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macrosheets/sheet1.xml" ContentType="application/vnd.ms-excel.macro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codeName="{DD97A8EA-9A9A-E61F-A557-7D5A7D7259CE}"/>
  <workbookPr codeName="ThisWorkbook"/>
  <mc:AlternateContent xmlns:mc="http://schemas.openxmlformats.org/markup-compatibility/2006">
    <mc:Choice Requires="x15">
      <x15ac:absPath xmlns:x15ac="http://schemas.microsoft.com/office/spreadsheetml/2010/11/ac" url="https://adticorp-my.sharepoint.com/personal/csearln_adticorp_com/Documents/Microsoft Teams Chat Files/"/>
    </mc:Choice>
  </mc:AlternateContent>
  <xr:revisionPtr revIDLastSave="351" documentId="8_{910BF29B-1E15-44A0-AA29-3C0DDBD71C39}" xr6:coauthVersionLast="47" xr6:coauthVersionMax="47" xr10:uidLastSave="{3F4BF7E9-9D99-4718-8FAD-6DFDD61DF4AE}"/>
  <workbookProtection workbookAlgorithmName="SHA-512" workbookHashValue="GuOn+jMr6haQHD6VWKktDQU+WWNrOxNfSKpBAQl2BYYMHhTulkOAEkvEMXAQ/g95XucCvpsgeAKBRwXSLWXDzQ==" workbookSaltValue="vjhZl890jikGmM77JHmZGw==" workbookSpinCount="100000" lockStructure="1"/>
  <bookViews>
    <workbookView xWindow="-108" yWindow="-108" windowWidth="23256" windowHeight="13896" tabRatio="768" firstSheet="2" activeTab="2" xr2:uid="{00000000-000D-0000-FFFF-FFFF00000000}"/>
  </bookViews>
  <sheets>
    <sheet name="Input" sheetId="20" state="veryHidden" r:id="rId1"/>
    <sheet name="Macro1" sheetId="25" state="veryHidden" r:id="rId2"/>
    <sheet name="Calculation" sheetId="10" r:id="rId3"/>
    <sheet name="Chilled Beam Schedule" sheetId="15" r:id="rId4"/>
    <sheet name="Building Summary" sheetId="24" r:id="rId5"/>
    <sheet name="User Notes" sheetId="27" r:id="rId6"/>
    <sheet name="LookUps" sheetId="12" state="veryHidden" r:id="rId7"/>
    <sheet name="CLU" sheetId="23" state="veryHidden" r:id="rId8"/>
    <sheet name="Compile" sheetId="21" state="veryHidden" r:id="rId9"/>
    <sheet name="Format" sheetId="26" state="hidden" r:id="rId10"/>
    <sheet name="Worksheet" sheetId="2" state="veryHidden" r:id="rId11"/>
    <sheet name="Coil pressure losses" sheetId="9" state="veryHidden" r:id="rId12"/>
    <sheet name="RSCalc" sheetId="19" state="veryHidden" r:id="rId13"/>
  </sheets>
  <functionGroups builtInGroupCount="19"/>
  <definedNames>
    <definedName name="_xleta.LEFT" hidden="1" xlm="1">#NAME?</definedName>
    <definedName name="Approx_Cool" localSheetId="5">#REF!</definedName>
    <definedName name="Approx_Cool">LookUps!$C$217:$M$219</definedName>
    <definedName name="Avail_Lengths" localSheetId="5">#REF!</definedName>
    <definedName name="Avail_Lengths">LookUps!$C$223:$M$233</definedName>
    <definedName name="CBAB_4P_1" localSheetId="5">#REF!</definedName>
    <definedName name="CBAB_4P_1">RSCalc!$D$2815:$P$2920</definedName>
    <definedName name="CBAB_4P_1_COM" localSheetId="5">#REF!</definedName>
    <definedName name="CBAB_4P_1_COM">RSCalc!$R$2815:$R$2920</definedName>
    <definedName name="CBAB_4P_1_FO" localSheetId="5">#REF!</definedName>
    <definedName name="CBAB_4P_1_FO">RSCalc!$Q$2815:$Q$2920</definedName>
    <definedName name="CBAB4P1">RSCalc!$D$2815:$P$2920</definedName>
    <definedName name="CBAL12_2P_1" localSheetId="5">#REF!</definedName>
    <definedName name="CBAL12_2P_1">RSCalc!$D$5068:$P$5350</definedName>
    <definedName name="CBAL12_2P_1_COM" localSheetId="5">#REF!</definedName>
    <definedName name="CBAL12_2P_1_COM">RSCalc!$R$5068:$R$5350</definedName>
    <definedName name="CBAL12_2P_1_FO" localSheetId="5">#REF!</definedName>
    <definedName name="CBAL12_2P_1_FO">RSCalc!$Q$5068:$Q$5350</definedName>
    <definedName name="CBAL12_2P_2" localSheetId="5">#REF!</definedName>
    <definedName name="CBAL12_2P_2">RSCalc!$D$3910:$P$4389</definedName>
    <definedName name="CBAL12_2P_2_COM" localSheetId="5">#REF!</definedName>
    <definedName name="CBAL12_2P_2_COM">RSCalc!$R$3910:$R$4389</definedName>
    <definedName name="CBAL12_2P_2_FO" localSheetId="5">#REF!</definedName>
    <definedName name="CBAL12_2P_2_FO">RSCalc!$Q$3910:$Q$4389</definedName>
    <definedName name="CBAL12_4P_1" localSheetId="5">#REF!</definedName>
    <definedName name="CBAL12_4P_1">RSCalc!$D$5352:$P$5634</definedName>
    <definedName name="CBAL12_4P_1_COM" localSheetId="5">#REF!</definedName>
    <definedName name="CBAL12_4P_1_COM">RSCalc!$R$5352:$R$5634</definedName>
    <definedName name="CBAL12_4P_1_FO" localSheetId="5">#REF!</definedName>
    <definedName name="CBAL12_4P_1_FO">RSCalc!$Q$5352:$Q$5634</definedName>
    <definedName name="CBAL12_4P_2" localSheetId="5">#REF!</definedName>
    <definedName name="CBAL12_4P_2">RSCalc!$D$4489:$P$4968</definedName>
    <definedName name="CBAL12_4P_2_COM" localSheetId="5">#REF!</definedName>
    <definedName name="CBAL12_4P_2_COM">RSCalc!$R$4489:$R$4968</definedName>
    <definedName name="CBAL12_4P_2_FO" localSheetId="5">#REF!</definedName>
    <definedName name="CBAL12_4P_2_FO">RSCalc!$Q$4489:$Q$4968</definedName>
    <definedName name="CBAS_2P_1" localSheetId="5">#REF!</definedName>
    <definedName name="CBAS_2P_1">RSCalc!$D$5636:$P$5752</definedName>
    <definedName name="CBAS_2P_1_COM" localSheetId="5">#REF!</definedName>
    <definedName name="CBAS_2P_1_COM">RSCalc!$R$5636:$R$5752</definedName>
    <definedName name="CBAS_2P_1_FO" localSheetId="5">#REF!</definedName>
    <definedName name="CBAS_2P_1_FO">RSCalc!$Q$5636:$Q$5752</definedName>
    <definedName name="CBAS_4P_1" localSheetId="5">#REF!</definedName>
    <definedName name="CBAS_4P_1">RSCalc!$D$5754:$P$5870</definedName>
    <definedName name="CBAS_4P_1_COM" localSheetId="5">#REF!</definedName>
    <definedName name="CBAS_4P_1_COM">RSCalc!$R$5754:$R$5870</definedName>
    <definedName name="CBAS_4P_1_FO" localSheetId="5">#REF!</definedName>
    <definedName name="CBAS_4P_1_FO">RSCalc!$Q$5754:$Q$5870</definedName>
    <definedName name="CBAV_2P" localSheetId="5">#REF!</definedName>
    <definedName name="CBAV_2P">RSCalc!$D$2922:$P$3005</definedName>
    <definedName name="CBAV_2P_1_FO" localSheetId="5">#REF!</definedName>
    <definedName name="CBAV_2P_1_FO">RSCalc!$Q$2922:$Q$3005</definedName>
    <definedName name="CBAV_2P_COM" localSheetId="5">#REF!</definedName>
    <definedName name="CBAV_2P_COM">RSCalc!$R$2922:$R$3005</definedName>
    <definedName name="CBAV_2P_FO">RSCalc!$Q$2922:$Q$3005</definedName>
    <definedName name="CBAV_4P_1" localSheetId="5">#REF!</definedName>
    <definedName name="CBAV_4P_1">RSCalc!$D$3007:$P$3090</definedName>
    <definedName name="CBAV_4P_1_COM" localSheetId="5">#REF!</definedName>
    <definedName name="CBAV_4P_1_COM">RSCalc!$R$3007:$R$3090</definedName>
    <definedName name="CBAV_4P_1_FO" localSheetId="5">#REF!</definedName>
    <definedName name="CBAV_4P_1_FO">RSCalc!$Q$3007:$Q$3090</definedName>
    <definedName name="CBAW_2P_1" localSheetId="5">#REF!</definedName>
    <definedName name="CBAW_2P_1">RSCalc!$D$3092:$P$3275</definedName>
    <definedName name="CBAW_2P_1_COM" localSheetId="5">#REF!</definedName>
    <definedName name="CBAW_2P_1_COM">RSCalc!$R$3092:$R$3275</definedName>
    <definedName name="CBAW_2P_1_FO" localSheetId="5">#REF!</definedName>
    <definedName name="CBAW_2P_1_FO">RSCalc!$Q$3092:$Q$3275</definedName>
    <definedName name="CBAW_2P_COM">RSCalc!$R$3092:$R$3275</definedName>
    <definedName name="CBAW_2P_FO">RSCalc!$Q$3092:$Q$3275</definedName>
    <definedName name="CBAW_4P_1" localSheetId="5">#REF!</definedName>
    <definedName name="CBAW_4P_1">RSCalc!$D$3277:$P$3460</definedName>
    <definedName name="CBAW_4P_1_COM" localSheetId="5">#REF!</definedName>
    <definedName name="CBAW_4P_1_COM">RSCalc!$R$3277:$R$3460</definedName>
    <definedName name="CBAW_4P_1_FO" localSheetId="5">#REF!</definedName>
    <definedName name="CBAW_4P_1_FO">RSCalc!$Q$3277:$Q$3460</definedName>
    <definedName name="CBLV_2P_2" localSheetId="5">#REF!</definedName>
    <definedName name="CBLV_2P_2">RSCalc!$D$3462:$P$3684</definedName>
    <definedName name="CBLV_2P_2_COM" localSheetId="5">#REF!</definedName>
    <definedName name="CBLV_2P_2_COM">RSCalc!$R$3462:$R$3684</definedName>
    <definedName name="CBLV_2P_2_FO" localSheetId="5">#REF!</definedName>
    <definedName name="CBLV_2P_2_FO">RSCalc!$Q$3462:$Q$3684</definedName>
    <definedName name="CBLV_4P_2" localSheetId="5">#REF!</definedName>
    <definedName name="CBLV_4P_2">RSCalc!$D$3686:$P$3908</definedName>
    <definedName name="CBLV_4P_2_COM" localSheetId="5">#REF!</definedName>
    <definedName name="CBLV_4P_2_COM">RSCalc!$R$3686:$R$3908</definedName>
    <definedName name="CBLV_4P_2_FO" localSheetId="5">#REF!</definedName>
    <definedName name="CBLV_4P_2_FO">RSCalc!$Q$3686:$Q$3908</definedName>
    <definedName name="Coil_K" localSheetId="3">#REF!</definedName>
    <definedName name="Coil_K" localSheetId="5">#REF!</definedName>
    <definedName name="Coil_K">LookUps!$C$45:$M$82</definedName>
    <definedName name="CoilWidths" localSheetId="3">#REF!</definedName>
    <definedName name="CoilWidths">LookUps!$C$38:$M$40</definedName>
    <definedName name="CoolWatersideRefs" localSheetId="3">#REF!</definedName>
    <definedName name="CoolWatersideRefs">LookUps!$C$4:$M$11</definedName>
    <definedName name="Discharge_Area" localSheetId="5">#REF!</definedName>
    <definedName name="Discharge_Area">LookUps!$C$128:$M$149</definedName>
    <definedName name="FourP_Coil_LU" localSheetId="3">#REF!</definedName>
    <definedName name="FourP_Coil_LU" localSheetId="5">#REF!</definedName>
    <definedName name="FourP_Coil_LU">LookUps!$B$89:$B$97</definedName>
    <definedName name="HeatWatersideRefs" localSheetId="3">#REF!</definedName>
    <definedName name="HeatWatersideRefs">LookUps!$C$15:$M$22</definedName>
    <definedName name="IndRatios" localSheetId="3">#REF!</definedName>
    <definedName name="IndRatios">LookUps!$C$26:$M$34</definedName>
    <definedName name="Len_SlotLU" localSheetId="5">#REF!</definedName>
    <definedName name="Len_SlotLU">LookUps!$B$240:$B$259</definedName>
    <definedName name="Length_Factor">LookUps!$C$263:$M$284</definedName>
    <definedName name="LengthCoilLU" localSheetId="3">#REF!</definedName>
    <definedName name="LengthCoilLU" localSheetId="5">#REF!</definedName>
    <definedName name="LengthCoilLU">LookUps!$B$47:$B$82</definedName>
    <definedName name="LengthIn" localSheetId="5">#REF!</definedName>
    <definedName name="LengthIn">Input!$I$4</definedName>
    <definedName name="LengthOut" localSheetId="5">#REF!</definedName>
    <definedName name="LengthOut">Compile!$C$4</definedName>
    <definedName name="MatchTagsOut" localSheetId="5">#REF!</definedName>
    <definedName name="MatchTagsOut">Compile!$E$4</definedName>
    <definedName name="ModelIn" localSheetId="5">#REF!</definedName>
    <definedName name="ModelIn">Input!$H$4</definedName>
    <definedName name="ModelOut" localSheetId="5">#REF!</definedName>
    <definedName name="ModelOut">Compile!$B$4</definedName>
    <definedName name="Noz_LU">LookUps!$O$28:$P$34</definedName>
    <definedName name="Noz_Qty" localSheetId="5">#REF!</definedName>
    <definedName name="Noz_Qty">LookUps!$C$238:$M$259</definedName>
    <definedName name="NozzleLU">LookUps!$P$28:$P$31</definedName>
    <definedName name="_xlnm.Print_Area" localSheetId="4">'Building Summary'!$B$2:$L$23</definedName>
    <definedName name="_xlnm.Print_Area" localSheetId="2">Calculation!$B$2:$BA$197</definedName>
    <definedName name="_xlnm.Print_Area" localSheetId="3">'Chilled Beam Schedule'!$C$1:$AT$100</definedName>
    <definedName name="_xlnm.Print_Area" localSheetId="7">CLU!$B$20:$O$757</definedName>
    <definedName name="QuantityIn" localSheetId="5">#REF!</definedName>
    <definedName name="QuantityIn">Input!$J$4</definedName>
    <definedName name="QuantityOut" localSheetId="5">#REF!</definedName>
    <definedName name="QuantityOut">Compile!$D$4</definedName>
    <definedName name="SCMG" localSheetId="3">#REF!</definedName>
    <definedName name="SCMG" localSheetId="5">#REF!</definedName>
    <definedName name="SCMG">LookUps!$C$102:$M$121</definedName>
    <definedName name="SCMG_LU" localSheetId="3">#REF!</definedName>
    <definedName name="SCMG_LU" localSheetId="5">#REF!</definedName>
    <definedName name="SCMG_LU">LookUps!$B$104:$B$121</definedName>
    <definedName name="Sec_Coil_K" localSheetId="3">#REF!</definedName>
    <definedName name="Sec_Coil_K" localSheetId="5">#REF!</definedName>
    <definedName name="Sec_Coil_K">LookUps!$C$87:$M$97</definedName>
    <definedName name="SlotPipeLU" localSheetId="3">#REF!</definedName>
    <definedName name="SlotPipeLU">LookUps!$P$6:$P$11</definedName>
    <definedName name="TagIn" localSheetId="5">#REF!</definedName>
    <definedName name="TagIn">Input!$K$4</definedName>
    <definedName name="Throw_Coeff" localSheetId="5">#REF!</definedName>
    <definedName name="Throw_Coeff">LookUps!$C$154:$M$158</definedName>
    <definedName name="Version">103</definedName>
    <definedName name="VINLET">Worksheet!$K$8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2" i="10" l="1"/>
  <c r="FD23" i="10"/>
  <c r="FE23" i="10"/>
  <c r="FF23" i="10"/>
  <c r="S23" i="10"/>
  <c r="FD24" i="10"/>
  <c r="FE24" i="10"/>
  <c r="FF24" i="10"/>
  <c r="S24" i="10"/>
  <c r="FD25" i="10"/>
  <c r="FE25" i="10"/>
  <c r="FF25" i="10"/>
  <c r="S25" i="10"/>
  <c r="FD26" i="10"/>
  <c r="FE26" i="10"/>
  <c r="FF26" i="10"/>
  <c r="S26" i="10"/>
  <c r="FD27" i="10"/>
  <c r="FE27" i="10"/>
  <c r="FF27" i="10"/>
  <c r="S27" i="10"/>
  <c r="FD28" i="10"/>
  <c r="FE28" i="10"/>
  <c r="FF28" i="10"/>
  <c r="S28" i="10"/>
  <c r="FD29" i="10"/>
  <c r="FE29" i="10"/>
  <c r="FF29" i="10"/>
  <c r="S29" i="10"/>
  <c r="FD30" i="10"/>
  <c r="FE30" i="10"/>
  <c r="FF30" i="10"/>
  <c r="S30" i="10"/>
  <c r="FD31" i="10"/>
  <c r="FE31" i="10"/>
  <c r="FF31" i="10"/>
  <c r="S31" i="10"/>
  <c r="FD32" i="10"/>
  <c r="FE32" i="10"/>
  <c r="FF32" i="10"/>
  <c r="S32" i="10"/>
  <c r="FD33" i="10"/>
  <c r="FE33" i="10"/>
  <c r="FF33" i="10"/>
  <c r="S33" i="10"/>
  <c r="FD34" i="10"/>
  <c r="FE34" i="10"/>
  <c r="FF34" i="10"/>
  <c r="S34" i="10"/>
  <c r="FD35" i="10"/>
  <c r="FE35" i="10"/>
  <c r="FF35" i="10"/>
  <c r="S35" i="10"/>
  <c r="FD36" i="10"/>
  <c r="FE36" i="10"/>
  <c r="FF36" i="10"/>
  <c r="S36" i="10"/>
  <c r="FD37" i="10"/>
  <c r="FE37" i="10"/>
  <c r="FF37" i="10"/>
  <c r="S37" i="10"/>
  <c r="FD38" i="10"/>
  <c r="FE38" i="10"/>
  <c r="FF38" i="10"/>
  <c r="S38" i="10"/>
  <c r="FD39" i="10"/>
  <c r="FE39" i="10"/>
  <c r="FF39" i="10"/>
  <c r="S39" i="10"/>
  <c r="FD40" i="10"/>
  <c r="FE40" i="10"/>
  <c r="FF40" i="10"/>
  <c r="S40" i="10"/>
  <c r="FD41" i="10"/>
  <c r="FE41" i="10"/>
  <c r="FF41" i="10"/>
  <c r="S41" i="10"/>
  <c r="FD42" i="10"/>
  <c r="FE42" i="10"/>
  <c r="FF42" i="10"/>
  <c r="S42" i="10"/>
  <c r="FD43" i="10"/>
  <c r="FE43" i="10"/>
  <c r="FF43" i="10"/>
  <c r="S43" i="10"/>
  <c r="FD44" i="10"/>
  <c r="FE44" i="10"/>
  <c r="FF44" i="10"/>
  <c r="S44" i="10"/>
  <c r="FD45" i="10"/>
  <c r="FE45" i="10"/>
  <c r="FF45" i="10"/>
  <c r="S45" i="10"/>
  <c r="FD46" i="10"/>
  <c r="FE46" i="10"/>
  <c r="FF46" i="10"/>
  <c r="S46" i="10"/>
  <c r="FD47" i="10"/>
  <c r="FE47" i="10"/>
  <c r="FF47" i="10"/>
  <c r="S47" i="10"/>
  <c r="FD48" i="10"/>
  <c r="FE48" i="10"/>
  <c r="FF48" i="10"/>
  <c r="S48" i="10"/>
  <c r="FD49" i="10"/>
  <c r="FE49" i="10"/>
  <c r="FF49" i="10"/>
  <c r="S49" i="10"/>
  <c r="FD50" i="10"/>
  <c r="FE50" i="10"/>
  <c r="FF50" i="10"/>
  <c r="S50" i="10"/>
  <c r="FD51" i="10"/>
  <c r="FE51" i="10"/>
  <c r="FF51" i="10"/>
  <c r="S51" i="10"/>
  <c r="FD52" i="10"/>
  <c r="FE52" i="10"/>
  <c r="FF52" i="10"/>
  <c r="S52" i="10"/>
  <c r="FD53" i="10"/>
  <c r="FE53" i="10"/>
  <c r="FF53" i="10"/>
  <c r="S53" i="10"/>
  <c r="FD54" i="10"/>
  <c r="FE54" i="10"/>
  <c r="FF54" i="10"/>
  <c r="S54" i="10"/>
  <c r="FD55" i="10"/>
  <c r="FE55" i="10"/>
  <c r="FF55" i="10"/>
  <c r="S55" i="10"/>
  <c r="FD56" i="10"/>
  <c r="FE56" i="10"/>
  <c r="FF56" i="10"/>
  <c r="S56" i="10"/>
  <c r="FD57" i="10"/>
  <c r="FE57" i="10"/>
  <c r="FF57" i="10"/>
  <c r="S57" i="10"/>
  <c r="FD58" i="10"/>
  <c r="FE58" i="10"/>
  <c r="FF58" i="10"/>
  <c r="S58" i="10"/>
  <c r="FD59" i="10"/>
  <c r="FE59" i="10"/>
  <c r="FF59" i="10"/>
  <c r="S59" i="10"/>
  <c r="FD60" i="10"/>
  <c r="FE60" i="10"/>
  <c r="FF60" i="10"/>
  <c r="S60" i="10"/>
  <c r="FD61" i="10"/>
  <c r="FE61" i="10"/>
  <c r="FF61" i="10"/>
  <c r="S61" i="10"/>
  <c r="FD62" i="10"/>
  <c r="FE62" i="10"/>
  <c r="FF62" i="10"/>
  <c r="S62" i="10"/>
  <c r="FD63" i="10"/>
  <c r="FE63" i="10"/>
  <c r="FF63" i="10"/>
  <c r="S63" i="10"/>
  <c r="FD64" i="10"/>
  <c r="FE64" i="10"/>
  <c r="FF64" i="10"/>
  <c r="S64" i="10"/>
  <c r="FD65" i="10"/>
  <c r="FE65" i="10"/>
  <c r="FF65" i="10"/>
  <c r="S65" i="10"/>
  <c r="FD66" i="10"/>
  <c r="FE66" i="10"/>
  <c r="FF66" i="10"/>
  <c r="S66" i="10"/>
  <c r="FD67" i="10"/>
  <c r="FE67" i="10"/>
  <c r="FF67" i="10"/>
  <c r="S67" i="10"/>
  <c r="FD68" i="10"/>
  <c r="FE68" i="10"/>
  <c r="FF68" i="10"/>
  <c r="S68" i="10"/>
  <c r="FD69" i="10"/>
  <c r="FE69" i="10"/>
  <c r="FF69" i="10"/>
  <c r="S69" i="10"/>
  <c r="FD70" i="10"/>
  <c r="FE70" i="10"/>
  <c r="FF70" i="10"/>
  <c r="S70" i="10"/>
  <c r="FD71" i="10"/>
  <c r="FE71" i="10"/>
  <c r="FF71" i="10"/>
  <c r="S71" i="10"/>
  <c r="FD72" i="10"/>
  <c r="FE72" i="10"/>
  <c r="FF72" i="10"/>
  <c r="S72" i="10"/>
  <c r="FD73" i="10"/>
  <c r="FE73" i="10"/>
  <c r="FF73" i="10"/>
  <c r="S73" i="10"/>
  <c r="FD74" i="10"/>
  <c r="FE74" i="10"/>
  <c r="FF74" i="10"/>
  <c r="S74" i="10"/>
  <c r="FD75" i="10"/>
  <c r="FE75" i="10"/>
  <c r="FF75" i="10"/>
  <c r="S75" i="10"/>
  <c r="FD76" i="10"/>
  <c r="FE76" i="10"/>
  <c r="FF76" i="10"/>
  <c r="S76" i="10"/>
  <c r="FD77" i="10"/>
  <c r="FE77" i="10"/>
  <c r="FF77" i="10"/>
  <c r="S77" i="10"/>
  <c r="FD78" i="10"/>
  <c r="FE78" i="10"/>
  <c r="FF78" i="10"/>
  <c r="S78" i="10"/>
  <c r="FD79" i="10"/>
  <c r="FE79" i="10"/>
  <c r="FF79" i="10"/>
  <c r="S79" i="10"/>
  <c r="FD80" i="10"/>
  <c r="FE80" i="10"/>
  <c r="FF80" i="10"/>
  <c r="S80" i="10"/>
  <c r="FD81" i="10"/>
  <c r="FE81" i="10"/>
  <c r="FF81" i="10"/>
  <c r="S81" i="10"/>
  <c r="FD82" i="10"/>
  <c r="FE82" i="10"/>
  <c r="FF82" i="10"/>
  <c r="S82" i="10"/>
  <c r="FD83" i="10"/>
  <c r="FE83" i="10"/>
  <c r="FF83" i="10"/>
  <c r="S83" i="10"/>
  <c r="FD84" i="10"/>
  <c r="FE84" i="10"/>
  <c r="FF84" i="10"/>
  <c r="S84" i="10"/>
  <c r="FD85" i="10"/>
  <c r="FE85" i="10"/>
  <c r="FF85" i="10"/>
  <c r="S85" i="10"/>
  <c r="FD86" i="10"/>
  <c r="FE86" i="10"/>
  <c r="FF86" i="10"/>
  <c r="S86" i="10"/>
  <c r="FD87" i="10"/>
  <c r="FE87" i="10"/>
  <c r="FF87" i="10"/>
  <c r="S87" i="10"/>
  <c r="FD88" i="10"/>
  <c r="FE88" i="10"/>
  <c r="FF88" i="10"/>
  <c r="S88" i="10"/>
  <c r="FD89" i="10"/>
  <c r="FE89" i="10"/>
  <c r="FF89" i="10"/>
  <c r="S89" i="10"/>
  <c r="FD90" i="10"/>
  <c r="FE90" i="10"/>
  <c r="FF90" i="10"/>
  <c r="S90" i="10"/>
  <c r="FD91" i="10"/>
  <c r="FE91" i="10"/>
  <c r="FF91" i="10"/>
  <c r="S91" i="10"/>
  <c r="FD92" i="10"/>
  <c r="FE92" i="10"/>
  <c r="FF92" i="10"/>
  <c r="S92" i="10"/>
  <c r="FD93" i="10"/>
  <c r="FE93" i="10"/>
  <c r="FF93" i="10"/>
  <c r="S93" i="10"/>
  <c r="FD94" i="10"/>
  <c r="FE94" i="10"/>
  <c r="FF94" i="10"/>
  <c r="S94" i="10"/>
  <c r="FD95" i="10"/>
  <c r="FE95" i="10"/>
  <c r="FF95" i="10"/>
  <c r="S95" i="10"/>
  <c r="FD96" i="10"/>
  <c r="FE96" i="10"/>
  <c r="FF96" i="10"/>
  <c r="S96" i="10"/>
  <c r="FD97" i="10"/>
  <c r="FE97" i="10"/>
  <c r="FF97" i="10"/>
  <c r="S97" i="10"/>
  <c r="FD98" i="10"/>
  <c r="FE98" i="10"/>
  <c r="FF98" i="10"/>
  <c r="S98" i="10"/>
  <c r="FD99" i="10"/>
  <c r="FE99" i="10"/>
  <c r="FF99" i="10"/>
  <c r="S99" i="10"/>
  <c r="FD100" i="10"/>
  <c r="FE100" i="10"/>
  <c r="FF100" i="10"/>
  <c r="S100" i="10"/>
  <c r="FD101" i="10"/>
  <c r="FE101" i="10"/>
  <c r="FF101" i="10"/>
  <c r="S101" i="10"/>
  <c r="FD102" i="10"/>
  <c r="FE102" i="10"/>
  <c r="FF102" i="10"/>
  <c r="S102" i="10"/>
  <c r="FD103" i="10"/>
  <c r="FE103" i="10"/>
  <c r="FF103" i="10"/>
  <c r="S103" i="10"/>
  <c r="FD104" i="10"/>
  <c r="FE104" i="10"/>
  <c r="FF104" i="10"/>
  <c r="S104" i="10"/>
  <c r="FD105" i="10"/>
  <c r="FE105" i="10"/>
  <c r="FF105" i="10"/>
  <c r="S105" i="10"/>
  <c r="FD106" i="10"/>
  <c r="FE106" i="10"/>
  <c r="FF106" i="10"/>
  <c r="S106" i="10"/>
  <c r="FD107" i="10"/>
  <c r="FE107" i="10"/>
  <c r="FF107" i="10"/>
  <c r="S107" i="10"/>
  <c r="FD108" i="10"/>
  <c r="FE108" i="10"/>
  <c r="FF108" i="10"/>
  <c r="S108" i="10"/>
  <c r="FD109" i="10"/>
  <c r="FE109" i="10"/>
  <c r="FF109" i="10"/>
  <c r="S109" i="10"/>
  <c r="FD110" i="10"/>
  <c r="FE110" i="10"/>
  <c r="FF110" i="10"/>
  <c r="S110" i="10"/>
  <c r="FD111" i="10"/>
  <c r="FE111" i="10"/>
  <c r="FF111" i="10"/>
  <c r="S111" i="10"/>
  <c r="FD112" i="10"/>
  <c r="FE112" i="10"/>
  <c r="FF112" i="10"/>
  <c r="S112" i="10"/>
  <c r="FD113" i="10"/>
  <c r="FE113" i="10"/>
  <c r="FF113" i="10"/>
  <c r="S113" i="10"/>
  <c r="FD114" i="10"/>
  <c r="FE114" i="10"/>
  <c r="FF114" i="10"/>
  <c r="S114" i="10"/>
  <c r="FD115" i="10"/>
  <c r="FE115" i="10"/>
  <c r="FF115" i="10"/>
  <c r="S115" i="10"/>
  <c r="FD116" i="10"/>
  <c r="FE116" i="10"/>
  <c r="FF116" i="10"/>
  <c r="S116" i="10"/>
  <c r="FD117" i="10"/>
  <c r="FE117" i="10"/>
  <c r="FF117" i="10"/>
  <c r="S117" i="10"/>
  <c r="FD118" i="10"/>
  <c r="FE118" i="10"/>
  <c r="FF118" i="10"/>
  <c r="S118" i="10"/>
  <c r="FD119" i="10"/>
  <c r="FE119" i="10"/>
  <c r="FF119" i="10"/>
  <c r="S119" i="10"/>
  <c r="FD120" i="10"/>
  <c r="FE120" i="10"/>
  <c r="FF120" i="10"/>
  <c r="S120" i="10"/>
  <c r="FD121" i="10"/>
  <c r="FE121" i="10"/>
  <c r="FF121" i="10"/>
  <c r="S121" i="10"/>
  <c r="FD122" i="10"/>
  <c r="FE122" i="10"/>
  <c r="FF122" i="10"/>
  <c r="S122" i="10"/>
  <c r="FD123" i="10"/>
  <c r="FE123" i="10"/>
  <c r="FF123" i="10"/>
  <c r="S123" i="10"/>
  <c r="FD124" i="10"/>
  <c r="FE124" i="10"/>
  <c r="FF124" i="10"/>
  <c r="S124" i="10"/>
  <c r="FD125" i="10"/>
  <c r="FE125" i="10"/>
  <c r="FF125" i="10"/>
  <c r="S125" i="10"/>
  <c r="FD126" i="10"/>
  <c r="FE126" i="10"/>
  <c r="FF126" i="10"/>
  <c r="S126" i="10"/>
  <c r="FD127" i="10"/>
  <c r="FE127" i="10"/>
  <c r="FF127" i="10"/>
  <c r="S127" i="10"/>
  <c r="FD128" i="10"/>
  <c r="FE128" i="10"/>
  <c r="FF128"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S301" i="10"/>
  <c r="S302" i="10"/>
  <c r="S303" i="10"/>
  <c r="S304" i="10"/>
  <c r="S305" i="10"/>
  <c r="S306" i="10"/>
  <c r="S307" i="10"/>
  <c r="S308" i="10"/>
  <c r="S309" i="10"/>
  <c r="S310" i="10"/>
  <c r="S311" i="10"/>
  <c r="S312" i="10"/>
  <c r="S313" i="10"/>
  <c r="S314" i="10"/>
  <c r="S315" i="10"/>
  <c r="S316" i="10"/>
  <c r="S317" i="10"/>
  <c r="S318" i="10"/>
  <c r="S319" i="10"/>
  <c r="S320" i="10"/>
  <c r="S321" i="10"/>
  <c r="S322" i="10"/>
  <c r="S323" i="10"/>
  <c r="S324" i="10"/>
  <c r="S325" i="10"/>
  <c r="S326" i="10"/>
  <c r="S327" i="10"/>
  <c r="S328" i="10"/>
  <c r="S329" i="10"/>
  <c r="S330" i="10"/>
  <c r="S331" i="10"/>
  <c r="S332" i="10"/>
  <c r="S333" i="10"/>
  <c r="S334" i="10"/>
  <c r="S335" i="10"/>
  <c r="S336" i="10"/>
  <c r="S337" i="10"/>
  <c r="S338" i="10"/>
  <c r="S339" i="10"/>
  <c r="S340" i="10"/>
  <c r="S341" i="10"/>
  <c r="S342" i="10"/>
  <c r="S343" i="10"/>
  <c r="S344" i="10"/>
  <c r="S345" i="10"/>
  <c r="S346" i="10"/>
  <c r="S347" i="10"/>
  <c r="S348" i="10"/>
  <c r="S349" i="10"/>
  <c r="S350" i="10"/>
  <c r="S351" i="10"/>
  <c r="S352" i="10"/>
  <c r="S353" i="10"/>
  <c r="S354" i="10"/>
  <c r="S355" i="10"/>
  <c r="S356" i="10"/>
  <c r="S357" i="10"/>
  <c r="S358" i="10"/>
  <c r="S359" i="10"/>
  <c r="S360" i="10"/>
  <c r="S361" i="10"/>
  <c r="S362" i="10"/>
  <c r="S363" i="10"/>
  <c r="S364" i="10"/>
  <c r="S365" i="10"/>
  <c r="S366" i="10"/>
  <c r="S367" i="10"/>
  <c r="S368" i="10"/>
  <c r="S369" i="10"/>
  <c r="S370" i="10"/>
  <c r="S371" i="10"/>
  <c r="S372" i="10"/>
  <c r="S373" i="10"/>
  <c r="S374" i="10"/>
  <c r="S375" i="10"/>
  <c r="S376" i="10"/>
  <c r="S377" i="10"/>
  <c r="S378" i="10"/>
  <c r="S379" i="10"/>
  <c r="S380" i="10"/>
  <c r="S381" i="10"/>
  <c r="S382" i="10"/>
  <c r="S383" i="10"/>
  <c r="S384" i="10"/>
  <c r="S385" i="10"/>
  <c r="S386" i="10"/>
  <c r="S387" i="10"/>
  <c r="S388" i="10"/>
  <c r="S389" i="10"/>
  <c r="S390" i="10"/>
  <c r="S391" i="10"/>
  <c r="S392" i="10"/>
  <c r="FD22" i="10"/>
  <c r="FE22" i="10"/>
  <c r="FF22" i="10"/>
  <c r="FD129" i="10"/>
  <c r="FE129" i="10"/>
  <c r="FF129" i="10"/>
  <c r="FD130" i="10"/>
  <c r="FE130" i="10"/>
  <c r="FF130" i="10"/>
  <c r="FD131" i="10"/>
  <c r="FE131" i="10"/>
  <c r="FF131" i="10"/>
  <c r="FD132" i="10"/>
  <c r="FE132" i="10"/>
  <c r="FF132" i="10"/>
  <c r="FD133" i="10"/>
  <c r="FE133" i="10"/>
  <c r="FF133" i="10"/>
  <c r="FD134" i="10"/>
  <c r="FE134" i="10"/>
  <c r="FF134" i="10"/>
  <c r="FD135" i="10"/>
  <c r="FE135" i="10"/>
  <c r="FF135" i="10"/>
  <c r="FD136" i="10"/>
  <c r="FE136" i="10"/>
  <c r="FF136" i="10"/>
  <c r="FD137" i="10"/>
  <c r="FE137" i="10"/>
  <c r="FF137" i="10"/>
  <c r="FD138" i="10"/>
  <c r="FE138" i="10"/>
  <c r="FF138" i="10"/>
  <c r="GV23" i="10"/>
  <c r="GW23" i="10"/>
  <c r="GX23" i="10"/>
  <c r="GY23" i="10"/>
  <c r="BO23" i="10"/>
  <c r="EV23" i="10"/>
  <c r="GV24" i="10"/>
  <c r="GW24" i="10"/>
  <c r="GX24" i="10"/>
  <c r="GY24" i="10"/>
  <c r="BO24" i="10"/>
  <c r="ET24" i="10"/>
  <c r="GV25" i="10"/>
  <c r="GW25" i="10"/>
  <c r="GX25" i="10"/>
  <c r="GY25" i="10"/>
  <c r="BO25" i="10"/>
  <c r="EO25" i="10"/>
  <c r="GV26" i="10"/>
  <c r="GW26" i="10"/>
  <c r="GX26" i="10"/>
  <c r="GY26" i="10"/>
  <c r="IX26" i="10"/>
  <c r="BO26" i="10"/>
  <c r="EW26" i="10"/>
  <c r="GV27" i="10"/>
  <c r="GW27" i="10"/>
  <c r="GX27" i="10"/>
  <c r="GY27" i="10"/>
  <c r="BO27" i="10"/>
  <c r="GJ27" i="10"/>
  <c r="GV28" i="10"/>
  <c r="GW28" i="10"/>
  <c r="GX28" i="10"/>
  <c r="GY28" i="10"/>
  <c r="BO28" i="10"/>
  <c r="GJ28" i="10"/>
  <c r="GV29" i="10"/>
  <c r="GW29" i="10"/>
  <c r="GX29" i="10"/>
  <c r="GY29" i="10"/>
  <c r="BO29" i="10"/>
  <c r="GJ29" i="10"/>
  <c r="GV30" i="10"/>
  <c r="GW30" i="10"/>
  <c r="GX30" i="10"/>
  <c r="GY30" i="10"/>
  <c r="BO30" i="10"/>
  <c r="GJ30" i="10"/>
  <c r="GV31" i="10"/>
  <c r="GW31" i="10"/>
  <c r="GX31" i="10"/>
  <c r="GY31" i="10"/>
  <c r="BO31" i="10"/>
  <c r="GJ31" i="10"/>
  <c r="GV32" i="10"/>
  <c r="GW32" i="10"/>
  <c r="GX32" i="10"/>
  <c r="GY32" i="10"/>
  <c r="BO32" i="10"/>
  <c r="GJ32" i="10"/>
  <c r="GV33" i="10"/>
  <c r="GW33" i="10"/>
  <c r="GX33" i="10"/>
  <c r="GY33" i="10"/>
  <c r="BO33" i="10"/>
  <c r="GJ33" i="10"/>
  <c r="GV34" i="10"/>
  <c r="GW34" i="10"/>
  <c r="GX34" i="10"/>
  <c r="GY34" i="10"/>
  <c r="BO34" i="10"/>
  <c r="GJ34" i="10"/>
  <c r="GV35" i="10"/>
  <c r="GW35" i="10"/>
  <c r="GX35" i="10"/>
  <c r="GY35" i="10"/>
  <c r="BO35" i="10"/>
  <c r="GJ35" i="10"/>
  <c r="GV36" i="10"/>
  <c r="GW36" i="10"/>
  <c r="GX36" i="10"/>
  <c r="GY36" i="10"/>
  <c r="BO36" i="10"/>
  <c r="GJ36" i="10"/>
  <c r="GV37" i="10"/>
  <c r="GW37" i="10"/>
  <c r="GX37" i="10"/>
  <c r="GY37" i="10"/>
  <c r="BO37" i="10"/>
  <c r="GJ37" i="10"/>
  <c r="GV38" i="10"/>
  <c r="GW38" i="10"/>
  <c r="GX38" i="10"/>
  <c r="GY38" i="10"/>
  <c r="BO38" i="10"/>
  <c r="GJ38" i="10"/>
  <c r="GV39" i="10"/>
  <c r="GW39" i="10"/>
  <c r="GX39" i="10"/>
  <c r="GY39" i="10"/>
  <c r="BO39" i="10"/>
  <c r="GJ39" i="10"/>
  <c r="GV40" i="10"/>
  <c r="GW40" i="10"/>
  <c r="GX40" i="10"/>
  <c r="GY40" i="10"/>
  <c r="BO40" i="10"/>
  <c r="GJ40" i="10"/>
  <c r="GV41" i="10"/>
  <c r="GW41" i="10"/>
  <c r="GX41" i="10"/>
  <c r="GY41" i="10"/>
  <c r="BO41" i="10"/>
  <c r="GJ41" i="10"/>
  <c r="GV42" i="10"/>
  <c r="GW42" i="10"/>
  <c r="GX42" i="10"/>
  <c r="GY42" i="10"/>
  <c r="BO42" i="10"/>
  <c r="GJ42" i="10"/>
  <c r="GV43" i="10"/>
  <c r="GW43" i="10"/>
  <c r="GX43" i="10"/>
  <c r="GY43" i="10"/>
  <c r="BO43" i="10"/>
  <c r="GJ43" i="10"/>
  <c r="GV44" i="10"/>
  <c r="GW44" i="10"/>
  <c r="GX44" i="10"/>
  <c r="GY44" i="10"/>
  <c r="BO44" i="10"/>
  <c r="GJ44" i="10"/>
  <c r="GV45" i="10"/>
  <c r="GW45" i="10"/>
  <c r="GX45" i="10"/>
  <c r="GY45" i="10"/>
  <c r="BO45" i="10"/>
  <c r="GJ45" i="10"/>
  <c r="GV46" i="10"/>
  <c r="GW46" i="10"/>
  <c r="GX46" i="10"/>
  <c r="GY46" i="10"/>
  <c r="BO46" i="10"/>
  <c r="GJ46" i="10"/>
  <c r="GV47" i="10"/>
  <c r="GW47" i="10"/>
  <c r="GX47" i="10"/>
  <c r="GY47" i="10"/>
  <c r="BO47" i="10"/>
  <c r="GJ47" i="10"/>
  <c r="GV48" i="10"/>
  <c r="GW48" i="10"/>
  <c r="GX48" i="10"/>
  <c r="GY48" i="10"/>
  <c r="BO48" i="10"/>
  <c r="GJ48" i="10"/>
  <c r="GV49" i="10"/>
  <c r="GW49" i="10"/>
  <c r="GX49" i="10"/>
  <c r="GY49" i="10"/>
  <c r="BO49" i="10"/>
  <c r="GJ49" i="10"/>
  <c r="GV50" i="10"/>
  <c r="GW50" i="10"/>
  <c r="GX50" i="10"/>
  <c r="GY50" i="10"/>
  <c r="BO50" i="10"/>
  <c r="GJ50" i="10"/>
  <c r="GV51" i="10"/>
  <c r="GW51" i="10"/>
  <c r="GX51" i="10"/>
  <c r="GY51" i="10"/>
  <c r="BO51" i="10"/>
  <c r="GJ51" i="10"/>
  <c r="GV52" i="10"/>
  <c r="GW52" i="10"/>
  <c r="GX52" i="10"/>
  <c r="GY52" i="10"/>
  <c r="BO52" i="10"/>
  <c r="GJ52" i="10"/>
  <c r="GV53" i="10"/>
  <c r="GW53" i="10"/>
  <c r="GX53" i="10"/>
  <c r="GY53" i="10"/>
  <c r="BO53" i="10"/>
  <c r="GJ53" i="10"/>
  <c r="GV54" i="10"/>
  <c r="GW54" i="10"/>
  <c r="GX54" i="10"/>
  <c r="GY54" i="10"/>
  <c r="BO54" i="10"/>
  <c r="GJ54" i="10"/>
  <c r="GV55" i="10"/>
  <c r="GW55" i="10"/>
  <c r="GX55" i="10"/>
  <c r="GY55" i="10"/>
  <c r="BO55" i="10"/>
  <c r="GJ55" i="10"/>
  <c r="GV56" i="10"/>
  <c r="GW56" i="10"/>
  <c r="GX56" i="10"/>
  <c r="GY56" i="10"/>
  <c r="BO56" i="10"/>
  <c r="GJ56" i="10"/>
  <c r="GV57" i="10"/>
  <c r="GW57" i="10"/>
  <c r="GX57" i="10"/>
  <c r="GY57" i="10"/>
  <c r="BO57" i="10"/>
  <c r="GJ57" i="10"/>
  <c r="GV58" i="10"/>
  <c r="GW58" i="10"/>
  <c r="GX58" i="10"/>
  <c r="GY58" i="10"/>
  <c r="BO58" i="10"/>
  <c r="GJ58" i="10"/>
  <c r="GV59" i="10"/>
  <c r="GW59" i="10"/>
  <c r="GX59" i="10"/>
  <c r="GY59" i="10"/>
  <c r="BO59" i="10"/>
  <c r="GJ59" i="10"/>
  <c r="GV60" i="10"/>
  <c r="GW60" i="10"/>
  <c r="GX60" i="10"/>
  <c r="GY60" i="10"/>
  <c r="BO60" i="10"/>
  <c r="GJ60" i="10"/>
  <c r="GV61" i="10"/>
  <c r="GW61" i="10"/>
  <c r="GX61" i="10"/>
  <c r="GY61" i="10"/>
  <c r="BO61" i="10"/>
  <c r="GJ61" i="10"/>
  <c r="GV62" i="10"/>
  <c r="GW62" i="10"/>
  <c r="GX62" i="10"/>
  <c r="GY62" i="10"/>
  <c r="BO62" i="10"/>
  <c r="GJ62" i="10"/>
  <c r="GV63" i="10"/>
  <c r="GW63" i="10"/>
  <c r="GX63" i="10"/>
  <c r="GY63" i="10"/>
  <c r="BO63" i="10"/>
  <c r="GJ63" i="10"/>
  <c r="GV64" i="10"/>
  <c r="GW64" i="10"/>
  <c r="GX64" i="10"/>
  <c r="GY64" i="10"/>
  <c r="BO64" i="10"/>
  <c r="GJ64" i="10"/>
  <c r="GV65" i="10"/>
  <c r="GW65" i="10"/>
  <c r="GX65" i="10"/>
  <c r="GY65" i="10"/>
  <c r="BO65" i="10"/>
  <c r="GJ65" i="10"/>
  <c r="GV66" i="10"/>
  <c r="GW66" i="10"/>
  <c r="GX66" i="10"/>
  <c r="GY66" i="10"/>
  <c r="BO66" i="10"/>
  <c r="GJ66" i="10"/>
  <c r="GV67" i="10"/>
  <c r="GW67" i="10"/>
  <c r="GX67" i="10"/>
  <c r="GY67" i="10"/>
  <c r="BO67" i="10"/>
  <c r="GJ67" i="10"/>
  <c r="GV68" i="10"/>
  <c r="GW68" i="10"/>
  <c r="GX68" i="10"/>
  <c r="GY68" i="10"/>
  <c r="BO68" i="10"/>
  <c r="GJ68" i="10"/>
  <c r="GV69" i="10"/>
  <c r="GW69" i="10"/>
  <c r="GX69" i="10"/>
  <c r="GY69" i="10"/>
  <c r="BO69" i="10"/>
  <c r="GJ69" i="10"/>
  <c r="GV70" i="10"/>
  <c r="GW70" i="10"/>
  <c r="GX70" i="10"/>
  <c r="GY70" i="10"/>
  <c r="BO70" i="10"/>
  <c r="GJ70" i="10"/>
  <c r="GV71" i="10"/>
  <c r="GW71" i="10"/>
  <c r="GX71" i="10"/>
  <c r="GY71" i="10"/>
  <c r="BO71" i="10"/>
  <c r="GJ71" i="10"/>
  <c r="GV72" i="10"/>
  <c r="GW72" i="10"/>
  <c r="GX72" i="10"/>
  <c r="GY72" i="10"/>
  <c r="BO72" i="10"/>
  <c r="GJ72" i="10"/>
  <c r="GV73" i="10"/>
  <c r="GW73" i="10"/>
  <c r="GX73" i="10"/>
  <c r="GY73" i="10"/>
  <c r="BO73" i="10"/>
  <c r="GJ73" i="10"/>
  <c r="GV74" i="10"/>
  <c r="GW74" i="10"/>
  <c r="GX74" i="10"/>
  <c r="GY74" i="10"/>
  <c r="BO74" i="10"/>
  <c r="GJ74" i="10"/>
  <c r="GV75" i="10"/>
  <c r="GW75" i="10"/>
  <c r="GX75" i="10"/>
  <c r="GY75" i="10"/>
  <c r="BO75" i="10"/>
  <c r="GJ75" i="10"/>
  <c r="GV76" i="10"/>
  <c r="GW76" i="10"/>
  <c r="GX76" i="10"/>
  <c r="GY76" i="10"/>
  <c r="BO76" i="10"/>
  <c r="GJ76" i="10"/>
  <c r="GV77" i="10"/>
  <c r="GW77" i="10"/>
  <c r="GX77" i="10"/>
  <c r="GY77" i="10"/>
  <c r="BO77" i="10"/>
  <c r="GJ77" i="10"/>
  <c r="GV78" i="10"/>
  <c r="GW78" i="10"/>
  <c r="GX78" i="10"/>
  <c r="GY78" i="10"/>
  <c r="BO78" i="10"/>
  <c r="GJ78" i="10"/>
  <c r="GV79" i="10"/>
  <c r="GW79" i="10"/>
  <c r="GX79" i="10"/>
  <c r="GY79" i="10"/>
  <c r="BO79" i="10"/>
  <c r="GJ79" i="10"/>
  <c r="GV80" i="10"/>
  <c r="GW80" i="10"/>
  <c r="GX80" i="10"/>
  <c r="GY80" i="10"/>
  <c r="BO80" i="10"/>
  <c r="GJ80" i="10"/>
  <c r="GV81" i="10"/>
  <c r="GW81" i="10"/>
  <c r="GX81" i="10"/>
  <c r="GY81" i="10"/>
  <c r="BO81" i="10"/>
  <c r="GJ81" i="10"/>
  <c r="GV82" i="10"/>
  <c r="GW82" i="10"/>
  <c r="GX82" i="10"/>
  <c r="GY82" i="10"/>
  <c r="BO82" i="10"/>
  <c r="GJ82" i="10"/>
  <c r="GV83" i="10"/>
  <c r="GW83" i="10"/>
  <c r="GX83" i="10"/>
  <c r="GY83" i="10"/>
  <c r="BO83" i="10"/>
  <c r="GJ83" i="10"/>
  <c r="GV84" i="10"/>
  <c r="GW84" i="10"/>
  <c r="GX84" i="10"/>
  <c r="GY84" i="10"/>
  <c r="BO84" i="10"/>
  <c r="GJ84" i="10"/>
  <c r="GV85" i="10"/>
  <c r="GW85" i="10"/>
  <c r="GX85" i="10"/>
  <c r="GY85" i="10"/>
  <c r="BO85" i="10"/>
  <c r="GJ85" i="10"/>
  <c r="GV86" i="10"/>
  <c r="GW86" i="10"/>
  <c r="GX86" i="10"/>
  <c r="GY86" i="10"/>
  <c r="BO86" i="10"/>
  <c r="GJ86" i="10"/>
  <c r="GV87" i="10"/>
  <c r="GW87" i="10"/>
  <c r="GX87" i="10"/>
  <c r="GY87" i="10"/>
  <c r="BO87" i="10"/>
  <c r="GJ87" i="10"/>
  <c r="GV88" i="10"/>
  <c r="GW88" i="10"/>
  <c r="GX88" i="10"/>
  <c r="GY88" i="10"/>
  <c r="BO88" i="10"/>
  <c r="GJ88" i="10"/>
  <c r="GV89" i="10"/>
  <c r="GW89" i="10"/>
  <c r="GX89" i="10"/>
  <c r="GY89" i="10"/>
  <c r="BO89" i="10"/>
  <c r="GJ89" i="10"/>
  <c r="GV90" i="10"/>
  <c r="GW90" i="10"/>
  <c r="GX90" i="10"/>
  <c r="GY90" i="10"/>
  <c r="BO90" i="10"/>
  <c r="GJ90" i="10"/>
  <c r="GV91" i="10"/>
  <c r="GW91" i="10"/>
  <c r="GX91" i="10"/>
  <c r="GY91" i="10"/>
  <c r="BO91" i="10"/>
  <c r="GJ91" i="10"/>
  <c r="GV92" i="10"/>
  <c r="GW92" i="10"/>
  <c r="GX92" i="10"/>
  <c r="GY92" i="10"/>
  <c r="BO92" i="10"/>
  <c r="GJ92" i="10"/>
  <c r="GV93" i="10"/>
  <c r="GW93" i="10"/>
  <c r="GX93" i="10"/>
  <c r="GY93" i="10"/>
  <c r="BO93" i="10"/>
  <c r="GJ93" i="10"/>
  <c r="GV94" i="10"/>
  <c r="GW94" i="10"/>
  <c r="GX94" i="10"/>
  <c r="GY94" i="10"/>
  <c r="BO94" i="10"/>
  <c r="GJ94" i="10"/>
  <c r="GV95" i="10"/>
  <c r="GW95" i="10"/>
  <c r="GX95" i="10"/>
  <c r="GY95" i="10"/>
  <c r="BO95" i="10"/>
  <c r="GJ95" i="10"/>
  <c r="GV96" i="10"/>
  <c r="GW96" i="10"/>
  <c r="GX96" i="10"/>
  <c r="GY96" i="10"/>
  <c r="BO96" i="10"/>
  <c r="GJ96" i="10"/>
  <c r="GV97" i="10"/>
  <c r="GW97" i="10"/>
  <c r="GX97" i="10"/>
  <c r="GY97" i="10"/>
  <c r="BO97" i="10"/>
  <c r="GJ97" i="10"/>
  <c r="GV98" i="10"/>
  <c r="GW98" i="10"/>
  <c r="GX98" i="10"/>
  <c r="GY98" i="10"/>
  <c r="BO98" i="10"/>
  <c r="GJ98" i="10"/>
  <c r="GV99" i="10"/>
  <c r="GW99" i="10"/>
  <c r="GX99" i="10"/>
  <c r="GY99" i="10"/>
  <c r="BO99" i="10"/>
  <c r="GJ99" i="10"/>
  <c r="GV100" i="10"/>
  <c r="GW100" i="10"/>
  <c r="GX100" i="10"/>
  <c r="GY100" i="10"/>
  <c r="BO100" i="10"/>
  <c r="GJ100" i="10"/>
  <c r="GV101" i="10"/>
  <c r="GW101" i="10"/>
  <c r="GX101" i="10"/>
  <c r="GY101" i="10"/>
  <c r="BO101" i="10"/>
  <c r="GJ101" i="10"/>
  <c r="GV102" i="10"/>
  <c r="GW102" i="10"/>
  <c r="GX102" i="10"/>
  <c r="GY102" i="10"/>
  <c r="BO102" i="10"/>
  <c r="GJ102" i="10"/>
  <c r="GV103" i="10"/>
  <c r="GW103" i="10"/>
  <c r="GX103" i="10"/>
  <c r="GY103" i="10"/>
  <c r="BO103" i="10"/>
  <c r="GJ103" i="10"/>
  <c r="GV104" i="10"/>
  <c r="GW104" i="10"/>
  <c r="GX104" i="10"/>
  <c r="GY104" i="10"/>
  <c r="BO104" i="10"/>
  <c r="GJ104" i="10"/>
  <c r="GV105" i="10"/>
  <c r="GW105" i="10"/>
  <c r="GX105" i="10"/>
  <c r="GY105" i="10"/>
  <c r="BO105" i="10"/>
  <c r="GJ105" i="10"/>
  <c r="GV106" i="10"/>
  <c r="GW106" i="10"/>
  <c r="GX106" i="10"/>
  <c r="GY106" i="10"/>
  <c r="BO106" i="10"/>
  <c r="GJ106" i="10"/>
  <c r="GV107" i="10"/>
  <c r="GW107" i="10"/>
  <c r="GX107" i="10"/>
  <c r="GY107" i="10"/>
  <c r="BO107" i="10"/>
  <c r="GJ107" i="10"/>
  <c r="GV108" i="10"/>
  <c r="GW108" i="10"/>
  <c r="GX108" i="10"/>
  <c r="GY108" i="10"/>
  <c r="BO108" i="10"/>
  <c r="GJ108" i="10"/>
  <c r="GV109" i="10"/>
  <c r="GW109" i="10"/>
  <c r="GX109" i="10"/>
  <c r="GY109" i="10"/>
  <c r="BO109" i="10"/>
  <c r="GJ109" i="10"/>
  <c r="GV110" i="10"/>
  <c r="GW110" i="10"/>
  <c r="GX110" i="10"/>
  <c r="GY110" i="10"/>
  <c r="BO110" i="10"/>
  <c r="GJ110" i="10"/>
  <c r="GV111" i="10"/>
  <c r="GW111" i="10"/>
  <c r="GX111" i="10"/>
  <c r="GY111" i="10"/>
  <c r="BO111" i="10"/>
  <c r="GJ111" i="10"/>
  <c r="GV112" i="10"/>
  <c r="GW112" i="10"/>
  <c r="GX112" i="10"/>
  <c r="GY112" i="10"/>
  <c r="BO112" i="10"/>
  <c r="GJ112" i="10"/>
  <c r="BO113" i="10"/>
  <c r="GV113" i="10"/>
  <c r="GW113" i="10"/>
  <c r="GX113" i="10"/>
  <c r="GY113" i="10"/>
  <c r="GJ113" i="10"/>
  <c r="BO114" i="10"/>
  <c r="GV114" i="10"/>
  <c r="GW114" i="10"/>
  <c r="GX114" i="10"/>
  <c r="GY114" i="10"/>
  <c r="GJ114" i="10"/>
  <c r="BO115" i="10"/>
  <c r="GV115" i="10"/>
  <c r="GW115" i="10"/>
  <c r="GX115" i="10"/>
  <c r="GY115" i="10"/>
  <c r="GJ115" i="10"/>
  <c r="BO116" i="10"/>
  <c r="GV116" i="10"/>
  <c r="GW116" i="10"/>
  <c r="GX116" i="10"/>
  <c r="GY116" i="10"/>
  <c r="GJ116" i="10"/>
  <c r="BO117" i="10"/>
  <c r="GV117" i="10"/>
  <c r="GW117" i="10"/>
  <c r="GX117" i="10"/>
  <c r="GY117" i="10"/>
  <c r="GJ117" i="10"/>
  <c r="BO118" i="10"/>
  <c r="GV118" i="10"/>
  <c r="GW118" i="10"/>
  <c r="GX118" i="10"/>
  <c r="GY118" i="10"/>
  <c r="GJ118" i="10"/>
  <c r="BO119" i="10"/>
  <c r="GV119" i="10"/>
  <c r="GW119" i="10"/>
  <c r="GX119" i="10"/>
  <c r="GY119" i="10"/>
  <c r="GJ119" i="10"/>
  <c r="BO120" i="10"/>
  <c r="GV120" i="10"/>
  <c r="GW120" i="10"/>
  <c r="GX120" i="10"/>
  <c r="GY120" i="10"/>
  <c r="GJ120" i="10"/>
  <c r="BO121" i="10"/>
  <c r="GV121" i="10"/>
  <c r="GW121" i="10"/>
  <c r="GX121" i="10"/>
  <c r="GY121" i="10"/>
  <c r="GJ121" i="10"/>
  <c r="BO122" i="10"/>
  <c r="GV122" i="10"/>
  <c r="GW122" i="10"/>
  <c r="GX122" i="10"/>
  <c r="GY122" i="10"/>
  <c r="GJ122" i="10"/>
  <c r="BO123" i="10"/>
  <c r="GV123" i="10"/>
  <c r="GW123" i="10"/>
  <c r="GX123" i="10"/>
  <c r="GY123" i="10"/>
  <c r="GJ123" i="10"/>
  <c r="BO124" i="10"/>
  <c r="GV124" i="10"/>
  <c r="GW124" i="10"/>
  <c r="GX124" i="10"/>
  <c r="GY124" i="10"/>
  <c r="GJ124" i="10"/>
  <c r="BO125" i="10"/>
  <c r="GV125" i="10"/>
  <c r="GW125" i="10"/>
  <c r="GX125" i="10"/>
  <c r="GY125" i="10"/>
  <c r="GJ125" i="10"/>
  <c r="BO126" i="10"/>
  <c r="GV126" i="10"/>
  <c r="GW126" i="10"/>
  <c r="GX126" i="10"/>
  <c r="GY126" i="10"/>
  <c r="GJ126" i="10"/>
  <c r="BO127" i="10"/>
  <c r="GV127" i="10"/>
  <c r="GW127" i="10"/>
  <c r="GX127" i="10"/>
  <c r="GY127" i="10"/>
  <c r="GJ127" i="10"/>
  <c r="BO128" i="10"/>
  <c r="GV128" i="10"/>
  <c r="GW128" i="10"/>
  <c r="GX128" i="10"/>
  <c r="GY128" i="10"/>
  <c r="GJ128" i="10"/>
  <c r="BO129" i="10"/>
  <c r="GV129" i="10"/>
  <c r="GW129" i="10"/>
  <c r="GX129" i="10"/>
  <c r="GY129" i="10"/>
  <c r="GJ129" i="10"/>
  <c r="BO130" i="10"/>
  <c r="GV130" i="10"/>
  <c r="GW130" i="10"/>
  <c r="GX130" i="10"/>
  <c r="GY130" i="10"/>
  <c r="GJ130" i="10"/>
  <c r="BO131" i="10"/>
  <c r="GV131" i="10"/>
  <c r="GW131" i="10"/>
  <c r="GX131" i="10"/>
  <c r="GY131" i="10"/>
  <c r="GJ131" i="10"/>
  <c r="BO132" i="10"/>
  <c r="GV132" i="10"/>
  <c r="GW132" i="10"/>
  <c r="GX132" i="10"/>
  <c r="GY132" i="10"/>
  <c r="GJ132" i="10"/>
  <c r="BO133" i="10"/>
  <c r="GV133" i="10"/>
  <c r="GW133" i="10"/>
  <c r="GX133" i="10"/>
  <c r="GY133" i="10"/>
  <c r="GJ133" i="10"/>
  <c r="BO134" i="10"/>
  <c r="GV134" i="10"/>
  <c r="GW134" i="10"/>
  <c r="GX134" i="10"/>
  <c r="GY134" i="10"/>
  <c r="GJ134" i="10"/>
  <c r="BO135" i="10"/>
  <c r="GV135" i="10"/>
  <c r="GW135" i="10"/>
  <c r="GX135" i="10"/>
  <c r="GY135" i="10"/>
  <c r="GJ135" i="10"/>
  <c r="BO136" i="10"/>
  <c r="GV136" i="10"/>
  <c r="GW136" i="10"/>
  <c r="GX136" i="10"/>
  <c r="GY136" i="10"/>
  <c r="GJ136" i="10"/>
  <c r="BO137" i="10"/>
  <c r="GV137" i="10"/>
  <c r="GW137" i="10"/>
  <c r="GX137" i="10"/>
  <c r="GY137" i="10"/>
  <c r="GJ137" i="10"/>
  <c r="BO138" i="10"/>
  <c r="GV138" i="10"/>
  <c r="GW138" i="10"/>
  <c r="GX138" i="10"/>
  <c r="GY138" i="10"/>
  <c r="GJ138" i="10"/>
  <c r="BO139" i="10"/>
  <c r="GJ139" i="10"/>
  <c r="BO140" i="10"/>
  <c r="GJ140" i="10"/>
  <c r="BO141" i="10"/>
  <c r="GJ141" i="10"/>
  <c r="BO142" i="10"/>
  <c r="GJ142" i="10"/>
  <c r="BO143" i="10"/>
  <c r="GJ143" i="10"/>
  <c r="BO144" i="10"/>
  <c r="GJ144" i="10"/>
  <c r="BO145" i="10"/>
  <c r="GJ145" i="10"/>
  <c r="BO146" i="10"/>
  <c r="GJ146" i="10"/>
  <c r="BO147" i="10"/>
  <c r="GJ147" i="10"/>
  <c r="BO148" i="10"/>
  <c r="GJ148" i="10"/>
  <c r="BO149" i="10"/>
  <c r="GJ149" i="10"/>
  <c r="BO150" i="10"/>
  <c r="GJ150" i="10"/>
  <c r="BO151" i="10"/>
  <c r="GJ151" i="10"/>
  <c r="BO152" i="10"/>
  <c r="GJ152" i="10"/>
  <c r="BO153" i="10"/>
  <c r="GJ153" i="10"/>
  <c r="BO154" i="10"/>
  <c r="GJ154" i="10"/>
  <c r="BO155" i="10"/>
  <c r="GJ155" i="10"/>
  <c r="BO156" i="10"/>
  <c r="GJ156" i="10"/>
  <c r="BO157" i="10"/>
  <c r="GJ157" i="10"/>
  <c r="BO158" i="10"/>
  <c r="GJ158" i="10"/>
  <c r="BO159" i="10"/>
  <c r="GJ159" i="10"/>
  <c r="BO160" i="10"/>
  <c r="GJ160" i="10"/>
  <c r="BO161" i="10"/>
  <c r="GJ161" i="10"/>
  <c r="BO162" i="10"/>
  <c r="GJ162" i="10"/>
  <c r="BO163" i="10"/>
  <c r="GJ163" i="10"/>
  <c r="BO164" i="10"/>
  <c r="GJ164" i="10"/>
  <c r="BO165" i="10"/>
  <c r="GJ165" i="10"/>
  <c r="BO166" i="10"/>
  <c r="GJ166" i="10"/>
  <c r="BO167" i="10"/>
  <c r="GJ167" i="10"/>
  <c r="BO168" i="10"/>
  <c r="GJ168" i="10"/>
  <c r="BO169" i="10"/>
  <c r="GJ169" i="10"/>
  <c r="BO170" i="10"/>
  <c r="GJ170" i="10"/>
  <c r="BO171" i="10"/>
  <c r="GJ171" i="10"/>
  <c r="BO172" i="10"/>
  <c r="GJ172" i="10"/>
  <c r="BO173" i="10"/>
  <c r="GJ173" i="10"/>
  <c r="BO174" i="10"/>
  <c r="GJ174" i="10"/>
  <c r="BO175" i="10"/>
  <c r="GJ175" i="10"/>
  <c r="BO176" i="10"/>
  <c r="GJ176" i="10"/>
  <c r="BO177" i="10"/>
  <c r="GJ177" i="10"/>
  <c r="BO178" i="10"/>
  <c r="GJ178" i="10"/>
  <c r="BO179" i="10"/>
  <c r="GJ179" i="10"/>
  <c r="BO180" i="10"/>
  <c r="GJ180" i="10"/>
  <c r="BO181" i="10"/>
  <c r="GJ181" i="10"/>
  <c r="BO182" i="10"/>
  <c r="GJ182" i="10"/>
  <c r="BO183" i="10"/>
  <c r="GJ183" i="10"/>
  <c r="BO184" i="10"/>
  <c r="GJ184" i="10"/>
  <c r="BO185" i="10"/>
  <c r="GJ185" i="10"/>
  <c r="BO186" i="10"/>
  <c r="GJ186" i="10"/>
  <c r="BO187" i="10"/>
  <c r="GJ187" i="10"/>
  <c r="BO188" i="10"/>
  <c r="GJ188" i="10"/>
  <c r="BO189" i="10"/>
  <c r="GJ189" i="10"/>
  <c r="BO190" i="10"/>
  <c r="GJ190" i="10"/>
  <c r="BO191" i="10"/>
  <c r="GJ191" i="10"/>
  <c r="BO192" i="10"/>
  <c r="GJ192" i="10"/>
  <c r="BO193" i="10"/>
  <c r="GJ193" i="10"/>
  <c r="BO194" i="10"/>
  <c r="GJ194" i="10"/>
  <c r="BO195" i="10"/>
  <c r="GJ195" i="10"/>
  <c r="BO196" i="10"/>
  <c r="GJ196" i="10"/>
  <c r="BO197" i="10"/>
  <c r="GJ197" i="10"/>
  <c r="BO198" i="10"/>
  <c r="GJ198" i="10"/>
  <c r="BO199" i="10"/>
  <c r="GJ199" i="10"/>
  <c r="BO200" i="10"/>
  <c r="GJ200" i="10"/>
  <c r="BO201" i="10"/>
  <c r="GJ201" i="10"/>
  <c r="BO202" i="10"/>
  <c r="GJ202" i="10"/>
  <c r="BO203" i="10"/>
  <c r="GJ203" i="10"/>
  <c r="BO204" i="10"/>
  <c r="GJ204" i="10"/>
  <c r="BO205" i="10"/>
  <c r="GJ205" i="10"/>
  <c r="BO206" i="10"/>
  <c r="GJ206" i="10"/>
  <c r="BO207" i="10"/>
  <c r="GJ207" i="10"/>
  <c r="BO208" i="10"/>
  <c r="GJ208" i="10"/>
  <c r="BO209" i="10"/>
  <c r="GJ209" i="10"/>
  <c r="BO210" i="10"/>
  <c r="GJ210" i="10"/>
  <c r="BO211" i="10"/>
  <c r="GJ211" i="10"/>
  <c r="BO212" i="10"/>
  <c r="GJ212" i="10"/>
  <c r="BO213" i="10"/>
  <c r="GJ213" i="10"/>
  <c r="BO214" i="10"/>
  <c r="GJ214" i="10"/>
  <c r="BO215" i="10"/>
  <c r="GJ215" i="10"/>
  <c r="BO216" i="10"/>
  <c r="GJ216" i="10"/>
  <c r="BO217" i="10"/>
  <c r="GJ217" i="10"/>
  <c r="BO218" i="10"/>
  <c r="GJ218" i="10"/>
  <c r="BO219" i="10"/>
  <c r="GJ219" i="10"/>
  <c r="BO220" i="10"/>
  <c r="GJ220" i="10"/>
  <c r="BO221" i="10"/>
  <c r="GJ221" i="10"/>
  <c r="BO222" i="10"/>
  <c r="GJ222" i="10"/>
  <c r="BO223" i="10"/>
  <c r="GJ223" i="10"/>
  <c r="BO224" i="10"/>
  <c r="GJ224" i="10"/>
  <c r="BO225" i="10"/>
  <c r="GJ225" i="10"/>
  <c r="BO226" i="10"/>
  <c r="GJ226" i="10"/>
  <c r="BO227" i="10"/>
  <c r="GJ227" i="10"/>
  <c r="BO228" i="10"/>
  <c r="GJ228" i="10"/>
  <c r="BO229" i="10"/>
  <c r="GJ229" i="10"/>
  <c r="BO230" i="10"/>
  <c r="GJ230" i="10"/>
  <c r="BO231" i="10"/>
  <c r="GJ231" i="10"/>
  <c r="BO232" i="10"/>
  <c r="GJ232" i="10"/>
  <c r="BO233" i="10"/>
  <c r="GJ233" i="10"/>
  <c r="BO234" i="10"/>
  <c r="GJ234" i="10"/>
  <c r="BO235" i="10"/>
  <c r="GJ235" i="10"/>
  <c r="BO236" i="10"/>
  <c r="GJ236" i="10"/>
  <c r="BO237" i="10"/>
  <c r="GJ237" i="10"/>
  <c r="BO238" i="10"/>
  <c r="GJ238" i="10"/>
  <c r="BO239" i="10"/>
  <c r="GJ239" i="10"/>
  <c r="BO240" i="10"/>
  <c r="GJ240" i="10"/>
  <c r="BO241" i="10"/>
  <c r="GJ241" i="10"/>
  <c r="BO242" i="10"/>
  <c r="GJ242" i="10"/>
  <c r="BO243" i="10"/>
  <c r="GJ243" i="10"/>
  <c r="BO244" i="10"/>
  <c r="GJ244" i="10"/>
  <c r="BO245" i="10"/>
  <c r="GJ245" i="10"/>
  <c r="BO246" i="10"/>
  <c r="GJ246" i="10"/>
  <c r="BO247" i="10"/>
  <c r="GJ247" i="10"/>
  <c r="BO248" i="10"/>
  <c r="GJ248" i="10"/>
  <c r="BO249" i="10"/>
  <c r="GJ249" i="10"/>
  <c r="BO250" i="10"/>
  <c r="GJ250" i="10"/>
  <c r="BO251" i="10"/>
  <c r="GJ251" i="10"/>
  <c r="BO252" i="10"/>
  <c r="GJ252" i="10"/>
  <c r="BO253" i="10"/>
  <c r="GJ253" i="10"/>
  <c r="BO254" i="10"/>
  <c r="GJ254" i="10"/>
  <c r="BO255" i="10"/>
  <c r="GJ255" i="10"/>
  <c r="BO256" i="10"/>
  <c r="GJ256" i="10"/>
  <c r="BO257" i="10"/>
  <c r="GJ257" i="10"/>
  <c r="BO258" i="10"/>
  <c r="GJ258" i="10"/>
  <c r="BO259" i="10"/>
  <c r="GJ259" i="10"/>
  <c r="BO260" i="10"/>
  <c r="GJ260" i="10"/>
  <c r="BO261" i="10"/>
  <c r="GJ261" i="10"/>
  <c r="BO262" i="10"/>
  <c r="GJ262" i="10"/>
  <c r="BO263" i="10"/>
  <c r="GJ263" i="10"/>
  <c r="BO264" i="10"/>
  <c r="GJ264" i="10"/>
  <c r="BO265" i="10"/>
  <c r="GJ265" i="10"/>
  <c r="BO266" i="10"/>
  <c r="GJ266" i="10"/>
  <c r="BO267" i="10"/>
  <c r="GJ267" i="10"/>
  <c r="BO268" i="10"/>
  <c r="GJ268" i="10"/>
  <c r="BO269" i="10"/>
  <c r="GJ269" i="10"/>
  <c r="BO270" i="10"/>
  <c r="GJ270" i="10"/>
  <c r="BO271" i="10"/>
  <c r="GJ271" i="10"/>
  <c r="BO272" i="10"/>
  <c r="GJ272" i="10"/>
  <c r="BO273" i="10"/>
  <c r="GJ273" i="10"/>
  <c r="BO274" i="10"/>
  <c r="GJ274" i="10"/>
  <c r="BO275" i="10"/>
  <c r="GJ275" i="10"/>
  <c r="BO276" i="10"/>
  <c r="GJ276" i="10"/>
  <c r="BO277" i="10"/>
  <c r="GJ277" i="10"/>
  <c r="BO278" i="10"/>
  <c r="GJ278" i="10"/>
  <c r="BO279" i="10"/>
  <c r="GJ279" i="10"/>
  <c r="BO280" i="10"/>
  <c r="GJ280" i="10"/>
  <c r="BO281" i="10"/>
  <c r="GJ281" i="10"/>
  <c r="BO282" i="10"/>
  <c r="GJ282" i="10"/>
  <c r="BO283" i="10"/>
  <c r="GJ283" i="10"/>
  <c r="BO284" i="10"/>
  <c r="GJ284" i="10"/>
  <c r="BO285" i="10"/>
  <c r="GJ285" i="10"/>
  <c r="BO286" i="10"/>
  <c r="GJ286" i="10"/>
  <c r="BO287" i="10"/>
  <c r="GJ287" i="10"/>
  <c r="BO288" i="10"/>
  <c r="GJ288" i="10"/>
  <c r="BO289" i="10"/>
  <c r="GJ289" i="10"/>
  <c r="BO290" i="10"/>
  <c r="GJ290" i="10"/>
  <c r="BO291" i="10"/>
  <c r="GJ291" i="10"/>
  <c r="BO292" i="10"/>
  <c r="GJ292" i="10"/>
  <c r="BO293" i="10"/>
  <c r="GJ293" i="10"/>
  <c r="BO294" i="10"/>
  <c r="GJ294" i="10"/>
  <c r="BO295" i="10"/>
  <c r="GJ295" i="10"/>
  <c r="BO296" i="10"/>
  <c r="GJ296" i="10"/>
  <c r="BO297" i="10"/>
  <c r="GJ297" i="10"/>
  <c r="BO298" i="10"/>
  <c r="GJ298" i="10"/>
  <c r="BO299" i="10"/>
  <c r="GJ299" i="10"/>
  <c r="BO300" i="10"/>
  <c r="GJ300" i="10"/>
  <c r="BO301" i="10"/>
  <c r="GJ301" i="10"/>
  <c r="BO302" i="10"/>
  <c r="GJ302" i="10"/>
  <c r="BO303" i="10"/>
  <c r="GJ303" i="10"/>
  <c r="BO304" i="10"/>
  <c r="GJ304" i="10"/>
  <c r="BO305" i="10"/>
  <c r="GJ305" i="10"/>
  <c r="BO306" i="10"/>
  <c r="GJ306" i="10"/>
  <c r="BO307" i="10"/>
  <c r="GJ307" i="10"/>
  <c r="BO308" i="10"/>
  <c r="GJ308" i="10"/>
  <c r="BO309" i="10"/>
  <c r="GJ309" i="10"/>
  <c r="BO310" i="10"/>
  <c r="GJ310" i="10"/>
  <c r="BO311" i="10"/>
  <c r="GJ311" i="10"/>
  <c r="BO312" i="10"/>
  <c r="GJ312" i="10"/>
  <c r="BO313" i="10"/>
  <c r="GJ313" i="10"/>
  <c r="BO314" i="10"/>
  <c r="GJ314" i="10"/>
  <c r="BO315" i="10"/>
  <c r="GJ315" i="10"/>
  <c r="BO316" i="10"/>
  <c r="GJ316" i="10"/>
  <c r="BO317" i="10"/>
  <c r="GJ317" i="10"/>
  <c r="BO318" i="10"/>
  <c r="GJ318" i="10"/>
  <c r="BO319" i="10"/>
  <c r="GJ319" i="10"/>
  <c r="BO320" i="10"/>
  <c r="GJ320" i="10"/>
  <c r="BO321" i="10"/>
  <c r="GJ321" i="10"/>
  <c r="BO322" i="10"/>
  <c r="GJ322" i="10"/>
  <c r="BO323" i="10"/>
  <c r="GJ323" i="10"/>
  <c r="BO324" i="10"/>
  <c r="GJ324" i="10"/>
  <c r="BO325" i="10"/>
  <c r="GJ325" i="10"/>
  <c r="BO326" i="10"/>
  <c r="GJ326" i="10"/>
  <c r="BO327" i="10"/>
  <c r="GJ327" i="10"/>
  <c r="BO328" i="10"/>
  <c r="GJ328" i="10"/>
  <c r="BO329" i="10"/>
  <c r="GJ329" i="10"/>
  <c r="BO330" i="10"/>
  <c r="GJ330" i="10"/>
  <c r="BO331" i="10"/>
  <c r="GJ331" i="10"/>
  <c r="BO332" i="10"/>
  <c r="GJ332" i="10"/>
  <c r="BO333" i="10"/>
  <c r="GJ333" i="10"/>
  <c r="BO334" i="10"/>
  <c r="GJ334" i="10"/>
  <c r="BO335" i="10"/>
  <c r="GJ335" i="10"/>
  <c r="BO336" i="10"/>
  <c r="GJ336" i="10"/>
  <c r="BO337" i="10"/>
  <c r="GJ337" i="10"/>
  <c r="BO338" i="10"/>
  <c r="GJ338" i="10"/>
  <c r="BO339" i="10"/>
  <c r="GJ339" i="10"/>
  <c r="BO340" i="10"/>
  <c r="GJ340" i="10"/>
  <c r="BO341" i="10"/>
  <c r="GJ341" i="10"/>
  <c r="BO342" i="10"/>
  <c r="GJ342" i="10"/>
  <c r="BO343" i="10"/>
  <c r="GJ343" i="10"/>
  <c r="BO344" i="10"/>
  <c r="GJ344" i="10"/>
  <c r="BO345" i="10"/>
  <c r="GJ345" i="10"/>
  <c r="BO346" i="10"/>
  <c r="GJ346" i="10"/>
  <c r="BO347" i="10"/>
  <c r="GJ347" i="10"/>
  <c r="BO348" i="10"/>
  <c r="GJ348" i="10"/>
  <c r="BO349" i="10"/>
  <c r="GJ349" i="10"/>
  <c r="BO350" i="10"/>
  <c r="GJ350" i="10"/>
  <c r="BO351" i="10"/>
  <c r="GJ351" i="10"/>
  <c r="BO352" i="10"/>
  <c r="GJ352" i="10"/>
  <c r="BO353" i="10"/>
  <c r="GJ353" i="10"/>
  <c r="BO354" i="10"/>
  <c r="GJ354" i="10"/>
  <c r="BO355" i="10"/>
  <c r="GJ355" i="10"/>
  <c r="BO356" i="10"/>
  <c r="GJ356" i="10"/>
  <c r="BO357" i="10"/>
  <c r="GJ357" i="10"/>
  <c r="BO358" i="10"/>
  <c r="GJ358" i="10"/>
  <c r="BO359" i="10"/>
  <c r="GJ359" i="10"/>
  <c r="BO360" i="10"/>
  <c r="GJ360" i="10"/>
  <c r="BO361" i="10"/>
  <c r="GJ361" i="10"/>
  <c r="BO362" i="10"/>
  <c r="GJ362" i="10"/>
  <c r="BO363" i="10"/>
  <c r="GJ363" i="10"/>
  <c r="BO364" i="10"/>
  <c r="GJ364" i="10"/>
  <c r="BO365" i="10"/>
  <c r="GJ365" i="10"/>
  <c r="BO366" i="10"/>
  <c r="GJ366" i="10"/>
  <c r="BO367" i="10"/>
  <c r="GJ367" i="10"/>
  <c r="BO368" i="10"/>
  <c r="GJ368" i="10"/>
  <c r="BO369" i="10"/>
  <c r="GJ369" i="10"/>
  <c r="BO370" i="10"/>
  <c r="GJ370" i="10"/>
  <c r="BO371" i="10"/>
  <c r="GJ371" i="10"/>
  <c r="BO372" i="10"/>
  <c r="GJ372" i="10"/>
  <c r="BO373" i="10"/>
  <c r="GJ373" i="10"/>
  <c r="BO374" i="10"/>
  <c r="GJ374" i="10"/>
  <c r="BO375" i="10"/>
  <c r="GJ375" i="10"/>
  <c r="BO376" i="10"/>
  <c r="GJ376" i="10"/>
  <c r="BO377" i="10"/>
  <c r="GJ377" i="10"/>
  <c r="BO378" i="10"/>
  <c r="GJ378" i="10"/>
  <c r="BO379" i="10"/>
  <c r="GJ379" i="10"/>
  <c r="BO380" i="10"/>
  <c r="GJ380" i="10"/>
  <c r="BO381" i="10"/>
  <c r="GJ381" i="10"/>
  <c r="BO382" i="10"/>
  <c r="GJ382" i="10"/>
  <c r="BO383" i="10"/>
  <c r="GJ383" i="10"/>
  <c r="BO384" i="10"/>
  <c r="GJ384" i="10"/>
  <c r="BO385" i="10"/>
  <c r="GJ385" i="10"/>
  <c r="BO386" i="10"/>
  <c r="GJ386" i="10"/>
  <c r="BO387" i="10"/>
  <c r="GJ387" i="10"/>
  <c r="BO388" i="10"/>
  <c r="GJ388" i="10"/>
  <c r="BO389" i="10"/>
  <c r="GJ389" i="10"/>
  <c r="BO390" i="10"/>
  <c r="GJ390" i="10"/>
  <c r="BO391" i="10"/>
  <c r="GJ391" i="10"/>
  <c r="BO392" i="10"/>
  <c r="GJ392" i="10"/>
  <c r="BO22" i="10"/>
  <c r="ER22" i="10"/>
  <c r="GV22" i="10"/>
  <c r="GW22" i="10"/>
  <c r="GX22" i="10"/>
  <c r="GY22" i="10"/>
  <c r="BP26" i="10"/>
  <c r="GK26" i="10"/>
  <c r="BP27" i="10"/>
  <c r="BQ27" i="10"/>
  <c r="HX27" i="10"/>
  <c r="LI27" i="10"/>
  <c r="BP28" i="10"/>
  <c r="BQ28" i="10"/>
  <c r="HX28" i="10"/>
  <c r="LI28" i="10"/>
  <c r="BP29" i="10"/>
  <c r="BQ29" i="10"/>
  <c r="HX29" i="10"/>
  <c r="LI29" i="10"/>
  <c r="BP30" i="10"/>
  <c r="BQ30" i="10"/>
  <c r="HX30" i="10"/>
  <c r="LI30" i="10"/>
  <c r="BP31" i="10"/>
  <c r="BQ31" i="10"/>
  <c r="HX31" i="10"/>
  <c r="LI31" i="10"/>
  <c r="BP32" i="10"/>
  <c r="BQ32" i="10"/>
  <c r="HX32" i="10"/>
  <c r="LI32" i="10"/>
  <c r="BP33" i="10"/>
  <c r="BQ33" i="10"/>
  <c r="HX33" i="10"/>
  <c r="LI33" i="10"/>
  <c r="BP34" i="10"/>
  <c r="BQ34" i="10"/>
  <c r="HX34" i="10"/>
  <c r="LI34" i="10"/>
  <c r="BP35" i="10"/>
  <c r="BQ35" i="10"/>
  <c r="HX35" i="10"/>
  <c r="LI35" i="10"/>
  <c r="BP36" i="10"/>
  <c r="BQ36" i="10"/>
  <c r="HX36" i="10"/>
  <c r="LI36" i="10"/>
  <c r="BP37" i="10"/>
  <c r="BQ37" i="10"/>
  <c r="HX37" i="10"/>
  <c r="LI37" i="10"/>
  <c r="BP38" i="10"/>
  <c r="BQ38" i="10"/>
  <c r="HX38" i="10"/>
  <c r="LI38" i="10"/>
  <c r="BP39" i="10"/>
  <c r="BQ39" i="10"/>
  <c r="HX39" i="10"/>
  <c r="LI39" i="10"/>
  <c r="BP40" i="10"/>
  <c r="BQ40" i="10"/>
  <c r="HX40" i="10"/>
  <c r="LI40" i="10"/>
  <c r="BP41" i="10"/>
  <c r="BQ41" i="10"/>
  <c r="HX41" i="10"/>
  <c r="LI41" i="10"/>
  <c r="BP42" i="10"/>
  <c r="BQ42" i="10"/>
  <c r="HX42" i="10"/>
  <c r="LI42" i="10"/>
  <c r="BP43" i="10"/>
  <c r="BQ43" i="10"/>
  <c r="HX43" i="10"/>
  <c r="LI43" i="10"/>
  <c r="BP44" i="10"/>
  <c r="BQ44" i="10"/>
  <c r="HX44" i="10"/>
  <c r="LI44" i="10"/>
  <c r="BP45" i="10"/>
  <c r="BQ45" i="10"/>
  <c r="HX45" i="10"/>
  <c r="LI45" i="10"/>
  <c r="BP46" i="10"/>
  <c r="BQ46" i="10"/>
  <c r="HX46" i="10"/>
  <c r="LI46" i="10"/>
  <c r="BP47" i="10"/>
  <c r="BQ47" i="10"/>
  <c r="HX47" i="10"/>
  <c r="LI47" i="10"/>
  <c r="BP48" i="10"/>
  <c r="BQ48" i="10"/>
  <c r="HX48" i="10"/>
  <c r="LI48" i="10"/>
  <c r="BP49" i="10"/>
  <c r="BQ49" i="10"/>
  <c r="HX49" i="10"/>
  <c r="LI49" i="10"/>
  <c r="BP50" i="10"/>
  <c r="BQ50" i="10"/>
  <c r="HX50" i="10"/>
  <c r="LI50" i="10"/>
  <c r="BP51" i="10"/>
  <c r="BQ51" i="10"/>
  <c r="HX51" i="10"/>
  <c r="LI51" i="10"/>
  <c r="BP52" i="10"/>
  <c r="BQ52" i="10"/>
  <c r="HX52" i="10"/>
  <c r="LI52" i="10"/>
  <c r="BP53" i="10"/>
  <c r="BQ53" i="10"/>
  <c r="HX53" i="10"/>
  <c r="LI53" i="10"/>
  <c r="BP54" i="10"/>
  <c r="BQ54" i="10"/>
  <c r="HX54" i="10"/>
  <c r="LI54" i="10"/>
  <c r="BP55" i="10"/>
  <c r="BQ55" i="10"/>
  <c r="HX55" i="10"/>
  <c r="LI55" i="10"/>
  <c r="BP56" i="10"/>
  <c r="BQ56" i="10"/>
  <c r="HX56" i="10"/>
  <c r="LI56" i="10"/>
  <c r="BP57" i="10"/>
  <c r="BQ57" i="10"/>
  <c r="HX57" i="10"/>
  <c r="LI57" i="10"/>
  <c r="BP58" i="10"/>
  <c r="BQ58" i="10"/>
  <c r="HX58" i="10"/>
  <c r="LI58" i="10"/>
  <c r="BP59" i="10"/>
  <c r="BQ59" i="10"/>
  <c r="HX59" i="10"/>
  <c r="LI59" i="10"/>
  <c r="BP60" i="10"/>
  <c r="BQ60" i="10"/>
  <c r="HX60" i="10"/>
  <c r="LI60" i="10"/>
  <c r="BP61" i="10"/>
  <c r="BQ61" i="10"/>
  <c r="HX61" i="10"/>
  <c r="LI61" i="10"/>
  <c r="BP62" i="10"/>
  <c r="BQ62" i="10"/>
  <c r="HX62" i="10"/>
  <c r="LI62" i="10"/>
  <c r="BP63" i="10"/>
  <c r="BQ63" i="10"/>
  <c r="HX63" i="10"/>
  <c r="LI63" i="10"/>
  <c r="BP64" i="10"/>
  <c r="BQ64" i="10"/>
  <c r="HX64" i="10"/>
  <c r="LI64" i="10"/>
  <c r="BP65" i="10"/>
  <c r="BQ65" i="10"/>
  <c r="HX65" i="10"/>
  <c r="LI65" i="10"/>
  <c r="BP66" i="10"/>
  <c r="BQ66" i="10"/>
  <c r="HX66" i="10"/>
  <c r="LI66" i="10"/>
  <c r="BP67" i="10"/>
  <c r="BQ67" i="10"/>
  <c r="HX67" i="10"/>
  <c r="LI67" i="10"/>
  <c r="BP68" i="10"/>
  <c r="BQ68" i="10"/>
  <c r="HX68" i="10"/>
  <c r="LI68" i="10"/>
  <c r="BP69" i="10"/>
  <c r="BQ69" i="10"/>
  <c r="HX69" i="10"/>
  <c r="LI69" i="10"/>
  <c r="BP70" i="10"/>
  <c r="BQ70" i="10"/>
  <c r="HX70" i="10"/>
  <c r="LI70" i="10"/>
  <c r="BP71" i="10"/>
  <c r="BQ71" i="10"/>
  <c r="HX71" i="10"/>
  <c r="LI71" i="10"/>
  <c r="BP72" i="10"/>
  <c r="BQ72" i="10"/>
  <c r="HX72" i="10"/>
  <c r="LI72" i="10"/>
  <c r="BP73" i="10"/>
  <c r="BQ73" i="10"/>
  <c r="HX73" i="10"/>
  <c r="LI73" i="10"/>
  <c r="BP74" i="10"/>
  <c r="BQ74" i="10"/>
  <c r="HX74" i="10"/>
  <c r="LI74" i="10"/>
  <c r="BP75" i="10"/>
  <c r="BQ75" i="10"/>
  <c r="HX75" i="10"/>
  <c r="LI75" i="10"/>
  <c r="BP76" i="10"/>
  <c r="BQ76" i="10"/>
  <c r="HX76" i="10"/>
  <c r="LI76" i="10"/>
  <c r="BP77" i="10"/>
  <c r="BQ77" i="10"/>
  <c r="HX77" i="10"/>
  <c r="LI77" i="10"/>
  <c r="BP78" i="10"/>
  <c r="BQ78" i="10"/>
  <c r="HX78" i="10"/>
  <c r="LI78" i="10"/>
  <c r="BP79" i="10"/>
  <c r="BQ79" i="10"/>
  <c r="HX79" i="10"/>
  <c r="LI79" i="10"/>
  <c r="BP80" i="10"/>
  <c r="BQ80" i="10"/>
  <c r="HX80" i="10"/>
  <c r="LI80" i="10"/>
  <c r="BP81" i="10"/>
  <c r="BQ81" i="10"/>
  <c r="HX81" i="10"/>
  <c r="LI81" i="10"/>
  <c r="BP82" i="10"/>
  <c r="BQ82" i="10"/>
  <c r="HX82" i="10"/>
  <c r="LI82" i="10"/>
  <c r="BP83" i="10"/>
  <c r="BQ83" i="10"/>
  <c r="HX83" i="10"/>
  <c r="LI83" i="10"/>
  <c r="BP84" i="10"/>
  <c r="BQ84" i="10"/>
  <c r="HX84" i="10"/>
  <c r="LI84" i="10"/>
  <c r="BP85" i="10"/>
  <c r="BQ85" i="10"/>
  <c r="HX85" i="10"/>
  <c r="LI85" i="10"/>
  <c r="BP86" i="10"/>
  <c r="BQ86" i="10"/>
  <c r="HX86" i="10"/>
  <c r="LI86" i="10"/>
  <c r="BP87" i="10"/>
  <c r="BQ87" i="10"/>
  <c r="HX87" i="10"/>
  <c r="LI87" i="10"/>
  <c r="BP88" i="10"/>
  <c r="BQ88" i="10"/>
  <c r="HX88" i="10"/>
  <c r="LI88" i="10"/>
  <c r="BP89" i="10"/>
  <c r="BQ89" i="10"/>
  <c r="HX89" i="10"/>
  <c r="LI89" i="10"/>
  <c r="BP90" i="10"/>
  <c r="BQ90" i="10"/>
  <c r="HX90" i="10"/>
  <c r="LI90" i="10"/>
  <c r="BP91" i="10"/>
  <c r="BQ91" i="10"/>
  <c r="HX91" i="10"/>
  <c r="LI91" i="10"/>
  <c r="BP92" i="10"/>
  <c r="BQ92" i="10"/>
  <c r="HX92" i="10"/>
  <c r="LI92" i="10"/>
  <c r="BP93" i="10"/>
  <c r="BQ93" i="10"/>
  <c r="HX93" i="10"/>
  <c r="LI93" i="10"/>
  <c r="BP94" i="10"/>
  <c r="BQ94" i="10"/>
  <c r="HX94" i="10"/>
  <c r="LI94" i="10"/>
  <c r="BP95" i="10"/>
  <c r="BQ95" i="10"/>
  <c r="HX95" i="10"/>
  <c r="LI95" i="10"/>
  <c r="BP96" i="10"/>
  <c r="BQ96" i="10"/>
  <c r="HX96" i="10"/>
  <c r="LI96" i="10"/>
  <c r="BP97" i="10"/>
  <c r="BQ97" i="10"/>
  <c r="HX97" i="10"/>
  <c r="LI97" i="10"/>
  <c r="BP98" i="10"/>
  <c r="BQ98" i="10"/>
  <c r="HX98" i="10"/>
  <c r="LI98" i="10"/>
  <c r="BP99" i="10"/>
  <c r="BQ99" i="10"/>
  <c r="HX99" i="10"/>
  <c r="LI99" i="10"/>
  <c r="BP100" i="10"/>
  <c r="BQ100" i="10"/>
  <c r="HX100" i="10"/>
  <c r="LI100" i="10"/>
  <c r="BP101" i="10"/>
  <c r="BQ101" i="10"/>
  <c r="HX101" i="10"/>
  <c r="LI101" i="10"/>
  <c r="BP102" i="10"/>
  <c r="BQ102" i="10"/>
  <c r="HX102" i="10"/>
  <c r="LI102" i="10"/>
  <c r="BP103" i="10"/>
  <c r="BQ103" i="10"/>
  <c r="HX103" i="10"/>
  <c r="LI103" i="10"/>
  <c r="BP104" i="10"/>
  <c r="BQ104" i="10"/>
  <c r="HX104" i="10"/>
  <c r="LI104" i="10"/>
  <c r="BP105" i="10"/>
  <c r="BQ105" i="10"/>
  <c r="HX105" i="10"/>
  <c r="LI105" i="10"/>
  <c r="BP106" i="10"/>
  <c r="BQ106" i="10"/>
  <c r="HX106" i="10"/>
  <c r="LI106" i="10"/>
  <c r="BP107" i="10"/>
  <c r="BQ107" i="10"/>
  <c r="HX107" i="10"/>
  <c r="LI107" i="10"/>
  <c r="BP108" i="10"/>
  <c r="BQ108" i="10"/>
  <c r="HX108" i="10"/>
  <c r="LI108" i="10"/>
  <c r="BP109" i="10"/>
  <c r="BQ109" i="10"/>
  <c r="HX109" i="10"/>
  <c r="LI109" i="10"/>
  <c r="BP110" i="10"/>
  <c r="BQ110" i="10"/>
  <c r="HX110" i="10"/>
  <c r="LI110" i="10"/>
  <c r="BP111" i="10"/>
  <c r="BQ111" i="10"/>
  <c r="HX111" i="10"/>
  <c r="LI111" i="10"/>
  <c r="BP112" i="10"/>
  <c r="BQ112" i="10"/>
  <c r="HX112" i="10"/>
  <c r="LI112" i="10"/>
  <c r="BP113" i="10"/>
  <c r="BQ113" i="10"/>
  <c r="HX113" i="10"/>
  <c r="LI113" i="10"/>
  <c r="BP114" i="10"/>
  <c r="BQ114" i="10"/>
  <c r="HX114" i="10"/>
  <c r="LI114" i="10"/>
  <c r="BP115" i="10"/>
  <c r="BQ115" i="10"/>
  <c r="HX115" i="10"/>
  <c r="LI115" i="10"/>
  <c r="BP116" i="10"/>
  <c r="BQ116" i="10"/>
  <c r="HX116" i="10"/>
  <c r="LI116" i="10"/>
  <c r="BP117" i="10"/>
  <c r="BQ117" i="10"/>
  <c r="HX117" i="10"/>
  <c r="LI117" i="10"/>
  <c r="BP118" i="10"/>
  <c r="BQ118" i="10"/>
  <c r="HX118" i="10"/>
  <c r="LI118" i="10"/>
  <c r="BP119" i="10"/>
  <c r="BQ119" i="10"/>
  <c r="HX119" i="10"/>
  <c r="LI119" i="10"/>
  <c r="BP120" i="10"/>
  <c r="BQ120" i="10"/>
  <c r="HX120" i="10"/>
  <c r="LI120" i="10"/>
  <c r="BP121" i="10"/>
  <c r="BQ121" i="10"/>
  <c r="HX121" i="10"/>
  <c r="LI121" i="10"/>
  <c r="BP122" i="10"/>
  <c r="BQ122" i="10"/>
  <c r="HX122" i="10"/>
  <c r="LI122" i="10"/>
  <c r="BP123" i="10"/>
  <c r="BQ123" i="10"/>
  <c r="HX123" i="10"/>
  <c r="LI123" i="10"/>
  <c r="BP124" i="10"/>
  <c r="BQ124" i="10"/>
  <c r="HX124" i="10"/>
  <c r="LI124" i="10"/>
  <c r="BP125" i="10"/>
  <c r="BQ125" i="10"/>
  <c r="HX125" i="10"/>
  <c r="LI125" i="10"/>
  <c r="BP126" i="10"/>
  <c r="BQ126" i="10"/>
  <c r="HX126" i="10"/>
  <c r="LI126" i="10"/>
  <c r="BP127" i="10"/>
  <c r="BQ127" i="10"/>
  <c r="HX127" i="10"/>
  <c r="LI127" i="10"/>
  <c r="BP128" i="10"/>
  <c r="BQ128" i="10"/>
  <c r="HX128" i="10"/>
  <c r="LI128" i="10"/>
  <c r="BP129" i="10"/>
  <c r="BQ129" i="10"/>
  <c r="HX129" i="10"/>
  <c r="LI129" i="10"/>
  <c r="BP130" i="10"/>
  <c r="BQ130" i="10"/>
  <c r="HX130" i="10"/>
  <c r="LI130" i="10"/>
  <c r="BP131" i="10"/>
  <c r="BQ131" i="10"/>
  <c r="HX131" i="10"/>
  <c r="LI131" i="10"/>
  <c r="BP132" i="10"/>
  <c r="BQ132" i="10"/>
  <c r="HX132" i="10"/>
  <c r="LI132" i="10"/>
  <c r="BP133" i="10"/>
  <c r="BQ133" i="10"/>
  <c r="HX133" i="10"/>
  <c r="LI133" i="10"/>
  <c r="BP134" i="10"/>
  <c r="BQ134" i="10"/>
  <c r="HX134" i="10"/>
  <c r="LI134" i="10"/>
  <c r="BP135" i="10"/>
  <c r="BQ135" i="10"/>
  <c r="HX135" i="10"/>
  <c r="LI135" i="10"/>
  <c r="BP136" i="10"/>
  <c r="BQ136" i="10"/>
  <c r="HX136" i="10"/>
  <c r="LI136" i="10"/>
  <c r="BP137" i="10"/>
  <c r="BQ137" i="10"/>
  <c r="HX137" i="10"/>
  <c r="LI137" i="10"/>
  <c r="BP138" i="10"/>
  <c r="BQ138" i="10"/>
  <c r="HX138" i="10"/>
  <c r="LI138" i="10"/>
  <c r="HX139" i="10"/>
  <c r="LI139" i="10"/>
  <c r="HX140" i="10"/>
  <c r="LI140" i="10"/>
  <c r="HX141" i="10"/>
  <c r="LI141" i="10"/>
  <c r="HX142" i="10"/>
  <c r="LI142" i="10"/>
  <c r="HX143" i="10"/>
  <c r="LI143" i="10"/>
  <c r="HX144" i="10"/>
  <c r="LI144" i="10"/>
  <c r="HX145" i="10"/>
  <c r="LI145" i="10"/>
  <c r="HX146" i="10"/>
  <c r="LI146" i="10"/>
  <c r="HX147" i="10"/>
  <c r="LI147" i="10"/>
  <c r="HX148" i="10"/>
  <c r="LI148" i="10"/>
  <c r="HX149" i="10"/>
  <c r="LI149" i="10"/>
  <c r="HX150" i="10"/>
  <c r="LI150" i="10"/>
  <c r="HX151" i="10"/>
  <c r="LI151" i="10"/>
  <c r="HX152" i="10"/>
  <c r="LI152" i="10"/>
  <c r="HX153" i="10"/>
  <c r="LI153" i="10"/>
  <c r="HX154" i="10"/>
  <c r="LI154" i="10"/>
  <c r="HX155" i="10"/>
  <c r="LI155" i="10"/>
  <c r="HX156" i="10"/>
  <c r="LI156" i="10"/>
  <c r="HX157" i="10"/>
  <c r="LI157" i="10"/>
  <c r="HX158" i="10"/>
  <c r="LI158" i="10"/>
  <c r="HX159" i="10"/>
  <c r="LI159" i="10"/>
  <c r="HX160" i="10"/>
  <c r="LI160" i="10"/>
  <c r="HX161" i="10"/>
  <c r="LI161" i="10"/>
  <c r="HX162" i="10"/>
  <c r="LI162" i="10"/>
  <c r="HX163" i="10"/>
  <c r="LI163" i="10"/>
  <c r="HX164" i="10"/>
  <c r="LI164" i="10"/>
  <c r="HX165" i="10"/>
  <c r="LI165" i="10"/>
  <c r="HX166" i="10"/>
  <c r="LI166" i="10"/>
  <c r="HX167" i="10"/>
  <c r="LI167" i="10"/>
  <c r="HX168" i="10"/>
  <c r="LI168" i="10"/>
  <c r="HX169" i="10"/>
  <c r="LI169" i="10"/>
  <c r="HX170" i="10"/>
  <c r="LI170" i="10"/>
  <c r="HX171" i="10"/>
  <c r="LI171" i="10"/>
  <c r="HX172" i="10"/>
  <c r="LI172" i="10"/>
  <c r="HX173" i="10"/>
  <c r="LI173" i="10"/>
  <c r="HX174" i="10"/>
  <c r="LI174" i="10"/>
  <c r="HX175" i="10"/>
  <c r="LI175" i="10"/>
  <c r="HX176" i="10"/>
  <c r="LI176" i="10"/>
  <c r="HX177" i="10"/>
  <c r="LI177" i="10"/>
  <c r="HX178" i="10"/>
  <c r="LI178" i="10"/>
  <c r="HX179" i="10"/>
  <c r="LI179" i="10"/>
  <c r="HX180" i="10"/>
  <c r="LI180" i="10"/>
  <c r="HX181" i="10"/>
  <c r="LI181" i="10"/>
  <c r="HX182" i="10"/>
  <c r="LI182" i="10"/>
  <c r="HX183" i="10"/>
  <c r="LI183" i="10"/>
  <c r="HX184" i="10"/>
  <c r="LI184" i="10"/>
  <c r="HX185" i="10"/>
  <c r="LI185" i="10"/>
  <c r="HX186" i="10"/>
  <c r="LI186" i="10"/>
  <c r="HX187" i="10"/>
  <c r="LI187" i="10"/>
  <c r="HX188" i="10"/>
  <c r="LI188" i="10"/>
  <c r="HX189" i="10"/>
  <c r="LI189" i="10"/>
  <c r="HX190" i="10"/>
  <c r="LI190" i="10"/>
  <c r="HX191" i="10"/>
  <c r="LI191" i="10"/>
  <c r="HX192" i="10"/>
  <c r="LI192" i="10"/>
  <c r="HX193" i="10"/>
  <c r="LI193" i="10"/>
  <c r="HX194" i="10"/>
  <c r="LI194" i="10"/>
  <c r="HX195" i="10"/>
  <c r="LI195" i="10"/>
  <c r="HX196" i="10"/>
  <c r="LI196" i="10"/>
  <c r="HX197" i="10"/>
  <c r="LI197" i="10"/>
  <c r="HX198" i="10"/>
  <c r="LI198" i="10"/>
  <c r="HX199" i="10"/>
  <c r="LI199" i="10"/>
  <c r="HX200" i="10"/>
  <c r="LI200" i="10"/>
  <c r="HX201" i="10"/>
  <c r="LI201" i="10"/>
  <c r="HX202" i="10"/>
  <c r="LI202" i="10"/>
  <c r="HX203" i="10"/>
  <c r="LI203" i="10"/>
  <c r="HX204" i="10"/>
  <c r="LI204" i="10"/>
  <c r="HX205" i="10"/>
  <c r="LI205" i="10"/>
  <c r="HX206" i="10"/>
  <c r="LI206" i="10"/>
  <c r="HX207" i="10"/>
  <c r="LI207" i="10"/>
  <c r="HX208" i="10"/>
  <c r="LI208" i="10"/>
  <c r="HX209" i="10"/>
  <c r="LI209" i="10"/>
  <c r="HX210" i="10"/>
  <c r="LI210" i="10"/>
  <c r="HX211" i="10"/>
  <c r="LI211" i="10"/>
  <c r="HX212" i="10"/>
  <c r="LI212" i="10"/>
  <c r="HX213" i="10"/>
  <c r="LI213" i="10"/>
  <c r="HX214" i="10"/>
  <c r="LI214" i="10"/>
  <c r="HX215" i="10"/>
  <c r="LI215" i="10"/>
  <c r="HX216" i="10"/>
  <c r="LI216" i="10"/>
  <c r="HX217" i="10"/>
  <c r="LI217" i="10"/>
  <c r="HX218" i="10"/>
  <c r="LI218" i="10"/>
  <c r="HX219" i="10"/>
  <c r="LI219" i="10"/>
  <c r="HX220" i="10"/>
  <c r="LI220" i="10"/>
  <c r="HX221" i="10"/>
  <c r="LI221" i="10"/>
  <c r="HX222" i="10"/>
  <c r="LI222" i="10"/>
  <c r="HX223" i="10"/>
  <c r="LI223" i="10"/>
  <c r="HX224" i="10"/>
  <c r="LI224" i="10"/>
  <c r="HX225" i="10"/>
  <c r="LI225" i="10"/>
  <c r="HX226" i="10"/>
  <c r="LI226" i="10"/>
  <c r="HX227" i="10"/>
  <c r="LI227" i="10"/>
  <c r="HX228" i="10"/>
  <c r="LI228" i="10"/>
  <c r="HX229" i="10"/>
  <c r="LI229" i="10"/>
  <c r="HX230" i="10"/>
  <c r="LI230" i="10"/>
  <c r="HX231" i="10"/>
  <c r="LI231" i="10"/>
  <c r="HX232" i="10"/>
  <c r="LI232" i="10"/>
  <c r="HX233" i="10"/>
  <c r="LI233" i="10"/>
  <c r="HX234" i="10"/>
  <c r="LI234" i="10"/>
  <c r="HX235" i="10"/>
  <c r="LI235" i="10"/>
  <c r="HX236" i="10"/>
  <c r="LI236" i="10"/>
  <c r="HX237" i="10"/>
  <c r="LI237" i="10"/>
  <c r="HX238" i="10"/>
  <c r="LI238" i="10"/>
  <c r="HX239" i="10"/>
  <c r="LI239" i="10"/>
  <c r="HX240" i="10"/>
  <c r="LI240" i="10"/>
  <c r="HX241" i="10"/>
  <c r="LI241" i="10"/>
  <c r="HX242" i="10"/>
  <c r="LI242" i="10"/>
  <c r="HX243" i="10"/>
  <c r="LI243" i="10"/>
  <c r="HX244" i="10"/>
  <c r="LI244" i="10"/>
  <c r="HX245" i="10"/>
  <c r="LI245" i="10"/>
  <c r="HX246" i="10"/>
  <c r="LI246" i="10"/>
  <c r="HX247" i="10"/>
  <c r="LI247" i="10"/>
  <c r="HX248" i="10"/>
  <c r="LI248" i="10"/>
  <c r="HX249" i="10"/>
  <c r="LI249" i="10"/>
  <c r="HX250" i="10"/>
  <c r="LI250" i="10"/>
  <c r="HX251" i="10"/>
  <c r="LI251" i="10"/>
  <c r="HX252" i="10"/>
  <c r="LI252" i="10"/>
  <c r="HX253" i="10"/>
  <c r="LI253" i="10"/>
  <c r="HX254" i="10"/>
  <c r="LI254" i="10"/>
  <c r="HX255" i="10"/>
  <c r="LI255" i="10"/>
  <c r="HX256" i="10"/>
  <c r="LI256" i="10"/>
  <c r="HX257" i="10"/>
  <c r="LI257" i="10"/>
  <c r="HX258" i="10"/>
  <c r="LI258" i="10"/>
  <c r="HX259" i="10"/>
  <c r="LI259" i="10"/>
  <c r="HX260" i="10"/>
  <c r="LI260" i="10"/>
  <c r="HX261" i="10"/>
  <c r="LI261" i="10"/>
  <c r="HX262" i="10"/>
  <c r="LI262" i="10"/>
  <c r="HX263" i="10"/>
  <c r="LI263" i="10"/>
  <c r="HX264" i="10"/>
  <c r="LI264" i="10"/>
  <c r="HX265" i="10"/>
  <c r="LI265" i="10"/>
  <c r="HX266" i="10"/>
  <c r="LI266" i="10"/>
  <c r="HX267" i="10"/>
  <c r="LI267" i="10"/>
  <c r="HX268" i="10"/>
  <c r="LI268" i="10"/>
  <c r="HX269" i="10"/>
  <c r="LI269" i="10"/>
  <c r="HX270" i="10"/>
  <c r="LI270" i="10"/>
  <c r="HX271" i="10"/>
  <c r="LI271" i="10"/>
  <c r="HX272" i="10"/>
  <c r="LI272" i="10"/>
  <c r="HX273" i="10"/>
  <c r="LI273" i="10"/>
  <c r="HX274" i="10"/>
  <c r="LI274" i="10"/>
  <c r="HX275" i="10"/>
  <c r="LI275" i="10"/>
  <c r="HX276" i="10"/>
  <c r="LI276" i="10"/>
  <c r="HX277" i="10"/>
  <c r="LI277" i="10"/>
  <c r="HX278" i="10"/>
  <c r="LI278" i="10"/>
  <c r="HX279" i="10"/>
  <c r="LI279" i="10"/>
  <c r="HX280" i="10"/>
  <c r="LI280" i="10"/>
  <c r="HX281" i="10"/>
  <c r="LI281" i="10"/>
  <c r="HX282" i="10"/>
  <c r="LI282" i="10"/>
  <c r="HX283" i="10"/>
  <c r="LI283" i="10"/>
  <c r="HX284" i="10"/>
  <c r="LI284" i="10"/>
  <c r="HX285" i="10"/>
  <c r="LI285" i="10"/>
  <c r="HX286" i="10"/>
  <c r="LI286" i="10"/>
  <c r="HX287" i="10"/>
  <c r="LI287" i="10"/>
  <c r="HX288" i="10"/>
  <c r="LI288" i="10"/>
  <c r="HX289" i="10"/>
  <c r="LI289" i="10"/>
  <c r="HX290" i="10"/>
  <c r="LI290" i="10"/>
  <c r="HX291" i="10"/>
  <c r="LI291" i="10"/>
  <c r="HX292" i="10"/>
  <c r="LI292" i="10"/>
  <c r="HX293" i="10"/>
  <c r="LI293" i="10"/>
  <c r="HX294" i="10"/>
  <c r="LI294" i="10"/>
  <c r="HX295" i="10"/>
  <c r="LI295" i="10"/>
  <c r="HX296" i="10"/>
  <c r="LI296" i="10"/>
  <c r="HX297" i="10"/>
  <c r="LI297" i="10"/>
  <c r="HX298" i="10"/>
  <c r="LI298" i="10"/>
  <c r="HX299" i="10"/>
  <c r="LI299" i="10"/>
  <c r="HX300" i="10"/>
  <c r="LI300" i="10"/>
  <c r="HX301" i="10"/>
  <c r="LI301" i="10"/>
  <c r="HX302" i="10"/>
  <c r="LI302" i="10"/>
  <c r="HX303" i="10"/>
  <c r="LI303" i="10"/>
  <c r="HX304" i="10"/>
  <c r="LI304" i="10"/>
  <c r="HX305" i="10"/>
  <c r="LI305" i="10"/>
  <c r="HX306" i="10"/>
  <c r="LI306" i="10"/>
  <c r="HX307" i="10"/>
  <c r="LI307" i="10"/>
  <c r="HX308" i="10"/>
  <c r="LI308" i="10"/>
  <c r="HX309" i="10"/>
  <c r="LI309" i="10"/>
  <c r="HX310" i="10"/>
  <c r="LI310" i="10"/>
  <c r="HX311" i="10"/>
  <c r="LI311" i="10"/>
  <c r="HX312" i="10"/>
  <c r="LI312" i="10"/>
  <c r="HX313" i="10"/>
  <c r="LI313" i="10"/>
  <c r="HX314" i="10"/>
  <c r="LI314" i="10"/>
  <c r="HX315" i="10"/>
  <c r="LI315" i="10"/>
  <c r="HX316" i="10"/>
  <c r="LI316" i="10"/>
  <c r="HX317" i="10"/>
  <c r="LI317" i="10"/>
  <c r="HX318" i="10"/>
  <c r="LI318" i="10"/>
  <c r="HX319" i="10"/>
  <c r="LI319" i="10"/>
  <c r="HX320" i="10"/>
  <c r="LI320" i="10"/>
  <c r="HX321" i="10"/>
  <c r="LI321" i="10"/>
  <c r="HX322" i="10"/>
  <c r="LI322" i="10"/>
  <c r="HX323" i="10"/>
  <c r="LI323" i="10"/>
  <c r="HX324" i="10"/>
  <c r="LI324" i="10"/>
  <c r="HX325" i="10"/>
  <c r="LI325" i="10"/>
  <c r="HX326" i="10"/>
  <c r="LI326" i="10"/>
  <c r="HX327" i="10"/>
  <c r="LI327" i="10"/>
  <c r="HX328" i="10"/>
  <c r="LI328" i="10"/>
  <c r="HX329" i="10"/>
  <c r="LI329" i="10"/>
  <c r="HX330" i="10"/>
  <c r="LI330" i="10"/>
  <c r="HX331" i="10"/>
  <c r="LI331" i="10"/>
  <c r="HX332" i="10"/>
  <c r="LI332" i="10"/>
  <c r="HX333" i="10"/>
  <c r="LI333" i="10"/>
  <c r="HX334" i="10"/>
  <c r="LI334" i="10"/>
  <c r="HX335" i="10"/>
  <c r="LI335" i="10"/>
  <c r="HX336" i="10"/>
  <c r="LI336" i="10"/>
  <c r="HX337" i="10"/>
  <c r="LI337" i="10"/>
  <c r="HX338" i="10"/>
  <c r="LI338" i="10"/>
  <c r="HX339" i="10"/>
  <c r="LI339" i="10"/>
  <c r="HX340" i="10"/>
  <c r="LI340" i="10"/>
  <c r="HX341" i="10"/>
  <c r="LI341" i="10"/>
  <c r="HX342" i="10"/>
  <c r="LI342" i="10"/>
  <c r="HX343" i="10"/>
  <c r="LI343" i="10"/>
  <c r="HX344" i="10"/>
  <c r="LI344" i="10"/>
  <c r="HX345" i="10"/>
  <c r="LI345" i="10"/>
  <c r="HX346" i="10"/>
  <c r="LI346" i="10"/>
  <c r="HX347" i="10"/>
  <c r="LI347" i="10"/>
  <c r="HX348" i="10"/>
  <c r="LI348" i="10"/>
  <c r="HX349" i="10"/>
  <c r="LI349" i="10"/>
  <c r="HX350" i="10"/>
  <c r="LI350" i="10"/>
  <c r="HX351" i="10"/>
  <c r="LI351" i="10"/>
  <c r="HX352" i="10"/>
  <c r="LI352" i="10"/>
  <c r="HX353" i="10"/>
  <c r="LI353" i="10"/>
  <c r="HX354" i="10"/>
  <c r="LI354" i="10"/>
  <c r="HX355" i="10"/>
  <c r="LI355" i="10"/>
  <c r="HX356" i="10"/>
  <c r="LI356" i="10"/>
  <c r="HX357" i="10"/>
  <c r="LI357" i="10"/>
  <c r="HX358" i="10"/>
  <c r="LI358" i="10"/>
  <c r="HX359" i="10"/>
  <c r="LI359" i="10"/>
  <c r="HX360" i="10"/>
  <c r="LI360" i="10"/>
  <c r="HX361" i="10"/>
  <c r="LI361" i="10"/>
  <c r="HX362" i="10"/>
  <c r="LI362" i="10"/>
  <c r="HX363" i="10"/>
  <c r="LI363" i="10"/>
  <c r="HX364" i="10"/>
  <c r="LI364" i="10"/>
  <c r="HX365" i="10"/>
  <c r="LI365" i="10"/>
  <c r="HX366" i="10"/>
  <c r="LI366" i="10"/>
  <c r="HX367" i="10"/>
  <c r="LI367" i="10"/>
  <c r="HX368" i="10"/>
  <c r="LI368" i="10"/>
  <c r="HX369" i="10"/>
  <c r="LI369" i="10"/>
  <c r="HX370" i="10"/>
  <c r="LI370" i="10"/>
  <c r="HX371" i="10"/>
  <c r="LI371" i="10"/>
  <c r="HX372" i="10"/>
  <c r="LI372" i="10"/>
  <c r="HX373" i="10"/>
  <c r="LI373" i="10"/>
  <c r="HX374" i="10"/>
  <c r="LI374" i="10"/>
  <c r="HX375" i="10"/>
  <c r="LI375" i="10"/>
  <c r="HX376" i="10"/>
  <c r="LI376" i="10"/>
  <c r="HX377" i="10"/>
  <c r="LI377" i="10"/>
  <c r="HX378" i="10"/>
  <c r="LI378" i="10"/>
  <c r="HX379" i="10"/>
  <c r="LI379" i="10"/>
  <c r="HX380" i="10"/>
  <c r="LI380" i="10"/>
  <c r="HX381" i="10"/>
  <c r="LI381" i="10"/>
  <c r="HX382" i="10"/>
  <c r="LI382" i="10"/>
  <c r="HX383" i="10"/>
  <c r="LI383" i="10"/>
  <c r="HX384" i="10"/>
  <c r="LI384" i="10"/>
  <c r="HX385" i="10"/>
  <c r="LI385" i="10"/>
  <c r="HX386" i="10"/>
  <c r="LI386" i="10"/>
  <c r="HX387" i="10"/>
  <c r="LI387" i="10"/>
  <c r="HX388" i="10"/>
  <c r="LI388" i="10"/>
  <c r="HX389" i="10"/>
  <c r="LI389" i="10"/>
  <c r="HX390" i="10"/>
  <c r="LI390" i="10"/>
  <c r="HX391" i="10"/>
  <c r="LI391" i="10"/>
  <c r="HX392" i="10"/>
  <c r="LI392" i="10"/>
  <c r="EX22" i="10"/>
  <c r="EY22" i="10"/>
  <c r="EZ22" i="10"/>
  <c r="FA22" i="10"/>
  <c r="FB22" i="10"/>
  <c r="IT22" i="10"/>
  <c r="FD139" i="10"/>
  <c r="FE139" i="10"/>
  <c r="FF139" i="10"/>
  <c r="FD140" i="10"/>
  <c r="FE140" i="10"/>
  <c r="FF140" i="10"/>
  <c r="FD141" i="10"/>
  <c r="FE141" i="10"/>
  <c r="FF141" i="10"/>
  <c r="FD142" i="10"/>
  <c r="FE142" i="10"/>
  <c r="FF142" i="10"/>
  <c r="FD143" i="10"/>
  <c r="FE143" i="10"/>
  <c r="FF143" i="10"/>
  <c r="FD144" i="10"/>
  <c r="FE144" i="10"/>
  <c r="FF144" i="10"/>
  <c r="FD145" i="10"/>
  <c r="FE145" i="10"/>
  <c r="FF145" i="10"/>
  <c r="FD146" i="10"/>
  <c r="FE146" i="10"/>
  <c r="FF146" i="10"/>
  <c r="FD147" i="10"/>
  <c r="FE147" i="10"/>
  <c r="FF147" i="10"/>
  <c r="FD148" i="10"/>
  <c r="FE148" i="10"/>
  <c r="FF148" i="10"/>
  <c r="FD149" i="10"/>
  <c r="FE149" i="10"/>
  <c r="FF149" i="10"/>
  <c r="FD150" i="10"/>
  <c r="FE150" i="10"/>
  <c r="FF150" i="10"/>
  <c r="FD151" i="10"/>
  <c r="FE151" i="10"/>
  <c r="FF151" i="10"/>
  <c r="FD152" i="10"/>
  <c r="FE152" i="10"/>
  <c r="FF152" i="10"/>
  <c r="FD153" i="10"/>
  <c r="FE153" i="10"/>
  <c r="FF153" i="10"/>
  <c r="FD154" i="10"/>
  <c r="FE154" i="10"/>
  <c r="FF154" i="10"/>
  <c r="FD155" i="10"/>
  <c r="FE155" i="10"/>
  <c r="FF155" i="10"/>
  <c r="FD156" i="10"/>
  <c r="FE156" i="10"/>
  <c r="FF156" i="10"/>
  <c r="FD157" i="10"/>
  <c r="FE157" i="10"/>
  <c r="FF157" i="10"/>
  <c r="FD158" i="10"/>
  <c r="FE158" i="10"/>
  <c r="FF158" i="10"/>
  <c r="FD159" i="10"/>
  <c r="FE159" i="10"/>
  <c r="FF159" i="10"/>
  <c r="FD160" i="10"/>
  <c r="FE160" i="10"/>
  <c r="FF160" i="10"/>
  <c r="FD161" i="10"/>
  <c r="FE161" i="10"/>
  <c r="FF161" i="10"/>
  <c r="FD162" i="10"/>
  <c r="FE162" i="10"/>
  <c r="FF162" i="10"/>
  <c r="FD163" i="10"/>
  <c r="FE163" i="10"/>
  <c r="FF163" i="10"/>
  <c r="FD164" i="10"/>
  <c r="FE164" i="10"/>
  <c r="FF164" i="10"/>
  <c r="FD165" i="10"/>
  <c r="FE165" i="10"/>
  <c r="FF165" i="10"/>
  <c r="FD166" i="10"/>
  <c r="FE166" i="10"/>
  <c r="FF166" i="10"/>
  <c r="FD167" i="10"/>
  <c r="FE167" i="10"/>
  <c r="FF167" i="10"/>
  <c r="FD168" i="10"/>
  <c r="FE168" i="10"/>
  <c r="FF168" i="10"/>
  <c r="FD169" i="10"/>
  <c r="FE169" i="10"/>
  <c r="FF169" i="10"/>
  <c r="FD170" i="10"/>
  <c r="FE170" i="10"/>
  <c r="FF170" i="10"/>
  <c r="FD171" i="10"/>
  <c r="FE171" i="10"/>
  <c r="FF171" i="10"/>
  <c r="FD172" i="10"/>
  <c r="FE172" i="10"/>
  <c r="FF172" i="10"/>
  <c r="FD173" i="10"/>
  <c r="FE173" i="10"/>
  <c r="FF173" i="10"/>
  <c r="FD174" i="10"/>
  <c r="FE174" i="10"/>
  <c r="FF174" i="10"/>
  <c r="FD175" i="10"/>
  <c r="FE175" i="10"/>
  <c r="FF175" i="10"/>
  <c r="FD176" i="10"/>
  <c r="FE176" i="10"/>
  <c r="FF176" i="10"/>
  <c r="FD177" i="10"/>
  <c r="FE177" i="10"/>
  <c r="FF177" i="10"/>
  <c r="FD178" i="10"/>
  <c r="FE178" i="10"/>
  <c r="FF178" i="10"/>
  <c r="FD179" i="10"/>
  <c r="FE179" i="10"/>
  <c r="FF179" i="10"/>
  <c r="FD180" i="10"/>
  <c r="FE180" i="10"/>
  <c r="FF180" i="10"/>
  <c r="FD181" i="10"/>
  <c r="FE181" i="10"/>
  <c r="FF181" i="10"/>
  <c r="FD182" i="10"/>
  <c r="FE182" i="10"/>
  <c r="FF182" i="10"/>
  <c r="FD183" i="10"/>
  <c r="FE183" i="10"/>
  <c r="FF183" i="10"/>
  <c r="FD184" i="10"/>
  <c r="FE184" i="10"/>
  <c r="FF184" i="10"/>
  <c r="FD185" i="10"/>
  <c r="FE185" i="10"/>
  <c r="FF185" i="10"/>
  <c r="FD186" i="10"/>
  <c r="FE186" i="10"/>
  <c r="FF186" i="10"/>
  <c r="FD187" i="10"/>
  <c r="FE187" i="10"/>
  <c r="FF187" i="10"/>
  <c r="FD188" i="10"/>
  <c r="FE188" i="10"/>
  <c r="FF188" i="10"/>
  <c r="FD189" i="10"/>
  <c r="FE189" i="10"/>
  <c r="FF189" i="10"/>
  <c r="FD190" i="10"/>
  <c r="FE190" i="10"/>
  <c r="FF190" i="10"/>
  <c r="FD191" i="10"/>
  <c r="FE191" i="10"/>
  <c r="FF191" i="10"/>
  <c r="FD192" i="10"/>
  <c r="FE192" i="10"/>
  <c r="FF192" i="10"/>
  <c r="FD193" i="10"/>
  <c r="FE193" i="10"/>
  <c r="FF193" i="10"/>
  <c r="FD194" i="10"/>
  <c r="FE194" i="10"/>
  <c r="FF194" i="10"/>
  <c r="FD195" i="10"/>
  <c r="FE195" i="10"/>
  <c r="FF195" i="10"/>
  <c r="FD196" i="10"/>
  <c r="FE196" i="10"/>
  <c r="FF196" i="10"/>
  <c r="FD197" i="10"/>
  <c r="FE197" i="10"/>
  <c r="FF197" i="10"/>
  <c r="FD198" i="10"/>
  <c r="FE198" i="10"/>
  <c r="FF198" i="10"/>
  <c r="FD199" i="10"/>
  <c r="FE199" i="10"/>
  <c r="FF199" i="10"/>
  <c r="FD200" i="10"/>
  <c r="FE200" i="10"/>
  <c r="FF200" i="10"/>
  <c r="FD201" i="10"/>
  <c r="FE201" i="10"/>
  <c r="FF201" i="10"/>
  <c r="FD202" i="10"/>
  <c r="FE202" i="10"/>
  <c r="FF202" i="10"/>
  <c r="FD203" i="10"/>
  <c r="FE203" i="10"/>
  <c r="FF203" i="10"/>
  <c r="FD204" i="10"/>
  <c r="FE204" i="10"/>
  <c r="FF204" i="10"/>
  <c r="FD205" i="10"/>
  <c r="FE205" i="10"/>
  <c r="FF205" i="10"/>
  <c r="FD206" i="10"/>
  <c r="FE206" i="10"/>
  <c r="FF206" i="10"/>
  <c r="FD207" i="10"/>
  <c r="FE207" i="10"/>
  <c r="FF207" i="10"/>
  <c r="FD208" i="10"/>
  <c r="FE208" i="10"/>
  <c r="FF208" i="10"/>
  <c r="FD209" i="10"/>
  <c r="FE209" i="10"/>
  <c r="FF209" i="10"/>
  <c r="FD210" i="10"/>
  <c r="FE210" i="10"/>
  <c r="FF210" i="10"/>
  <c r="FD211" i="10"/>
  <c r="FE211" i="10"/>
  <c r="FF211" i="10"/>
  <c r="FD212" i="10"/>
  <c r="FE212" i="10"/>
  <c r="FF212" i="10"/>
  <c r="FD213" i="10"/>
  <c r="FE213" i="10"/>
  <c r="FF213" i="10"/>
  <c r="FD214" i="10"/>
  <c r="FE214" i="10"/>
  <c r="FF214" i="10"/>
  <c r="FD215" i="10"/>
  <c r="FE215" i="10"/>
  <c r="FF215" i="10"/>
  <c r="FD216" i="10"/>
  <c r="FE216" i="10"/>
  <c r="FF216" i="10"/>
  <c r="FD217" i="10"/>
  <c r="FE217" i="10"/>
  <c r="FF217" i="10"/>
  <c r="FD218" i="10"/>
  <c r="FE218" i="10"/>
  <c r="FF218" i="10"/>
  <c r="FD219" i="10"/>
  <c r="FE219" i="10"/>
  <c r="FF219" i="10"/>
  <c r="FD220" i="10"/>
  <c r="FE220" i="10"/>
  <c r="FF220" i="10"/>
  <c r="FD221" i="10"/>
  <c r="FE221" i="10"/>
  <c r="FF221" i="10"/>
  <c r="FD222" i="10"/>
  <c r="FE222" i="10"/>
  <c r="FF222" i="10"/>
  <c r="FD223" i="10"/>
  <c r="FE223" i="10"/>
  <c r="FF223" i="10"/>
  <c r="FD224" i="10"/>
  <c r="FE224" i="10"/>
  <c r="FF224" i="10"/>
  <c r="FD225" i="10"/>
  <c r="FE225" i="10"/>
  <c r="FF225" i="10"/>
  <c r="FD226" i="10"/>
  <c r="FE226" i="10"/>
  <c r="FF226" i="10"/>
  <c r="FD227" i="10"/>
  <c r="FE227" i="10"/>
  <c r="FF227" i="10"/>
  <c r="FD228" i="10"/>
  <c r="FE228" i="10"/>
  <c r="FF228" i="10"/>
  <c r="FD229" i="10"/>
  <c r="FE229" i="10"/>
  <c r="FF229" i="10"/>
  <c r="FD230" i="10"/>
  <c r="FE230" i="10"/>
  <c r="FF230" i="10"/>
  <c r="FD231" i="10"/>
  <c r="FE231" i="10"/>
  <c r="FF231" i="10"/>
  <c r="FD232" i="10"/>
  <c r="FE232" i="10"/>
  <c r="FF232" i="10"/>
  <c r="FD233" i="10"/>
  <c r="FE233" i="10"/>
  <c r="FF233" i="10"/>
  <c r="FD234" i="10"/>
  <c r="FE234" i="10"/>
  <c r="FF234" i="10"/>
  <c r="FD235" i="10"/>
  <c r="FE235" i="10"/>
  <c r="FF235" i="10"/>
  <c r="FD236" i="10"/>
  <c r="FE236" i="10"/>
  <c r="FF236" i="10"/>
  <c r="FD237" i="10"/>
  <c r="FE237" i="10"/>
  <c r="FF237" i="10"/>
  <c r="FD238" i="10"/>
  <c r="FE238" i="10"/>
  <c r="FF238" i="10"/>
  <c r="FD239" i="10"/>
  <c r="FE239" i="10"/>
  <c r="FF239" i="10"/>
  <c r="FD240" i="10"/>
  <c r="FE240" i="10"/>
  <c r="FF240" i="10"/>
  <c r="FD241" i="10"/>
  <c r="FE241" i="10"/>
  <c r="FF241" i="10"/>
  <c r="FD242" i="10"/>
  <c r="FE242" i="10"/>
  <c r="FF242" i="10"/>
  <c r="FD243" i="10"/>
  <c r="FE243" i="10"/>
  <c r="FF243" i="10"/>
  <c r="FD244" i="10"/>
  <c r="FE244" i="10"/>
  <c r="FF244" i="10"/>
  <c r="FD245" i="10"/>
  <c r="FE245" i="10"/>
  <c r="FF245" i="10"/>
  <c r="FD246" i="10"/>
  <c r="FE246" i="10"/>
  <c r="FF246" i="10"/>
  <c r="FD247" i="10"/>
  <c r="FE247" i="10"/>
  <c r="FF247" i="10"/>
  <c r="FD248" i="10"/>
  <c r="FE248" i="10"/>
  <c r="FF248" i="10"/>
  <c r="FD249" i="10"/>
  <c r="FE249" i="10"/>
  <c r="FF249" i="10"/>
  <c r="FD250" i="10"/>
  <c r="FE250" i="10"/>
  <c r="FF250" i="10"/>
  <c r="FD251" i="10"/>
  <c r="FE251" i="10"/>
  <c r="FF251" i="10"/>
  <c r="FD252" i="10"/>
  <c r="FE252" i="10"/>
  <c r="FF252" i="10"/>
  <c r="FD253" i="10"/>
  <c r="FE253" i="10"/>
  <c r="FF253" i="10"/>
  <c r="FD254" i="10"/>
  <c r="FE254" i="10"/>
  <c r="FF254" i="10"/>
  <c r="FD255" i="10"/>
  <c r="FE255" i="10"/>
  <c r="FF255" i="10"/>
  <c r="FD256" i="10"/>
  <c r="FE256" i="10"/>
  <c r="FF256" i="10"/>
  <c r="FD257" i="10"/>
  <c r="FE257" i="10"/>
  <c r="FF257" i="10"/>
  <c r="FD258" i="10"/>
  <c r="FE258" i="10"/>
  <c r="FF258" i="10"/>
  <c r="FD259" i="10"/>
  <c r="FE259" i="10"/>
  <c r="FF259" i="10"/>
  <c r="FD260" i="10"/>
  <c r="FE260" i="10"/>
  <c r="FF260" i="10"/>
  <c r="FD261" i="10"/>
  <c r="FE261" i="10"/>
  <c r="FF261" i="10"/>
  <c r="FD262" i="10"/>
  <c r="FE262" i="10"/>
  <c r="FF262" i="10"/>
  <c r="FD263" i="10"/>
  <c r="FE263" i="10"/>
  <c r="FF263" i="10"/>
  <c r="FD264" i="10"/>
  <c r="FE264" i="10"/>
  <c r="FF264" i="10"/>
  <c r="FD265" i="10"/>
  <c r="FE265" i="10"/>
  <c r="FF265" i="10"/>
  <c r="FD266" i="10"/>
  <c r="FE266" i="10"/>
  <c r="FF266" i="10"/>
  <c r="FD267" i="10"/>
  <c r="FE267" i="10"/>
  <c r="FF267" i="10"/>
  <c r="FD268" i="10"/>
  <c r="FE268" i="10"/>
  <c r="FF268" i="10"/>
  <c r="FD269" i="10"/>
  <c r="FE269" i="10"/>
  <c r="FF269" i="10"/>
  <c r="FD270" i="10"/>
  <c r="FE270" i="10"/>
  <c r="FF270" i="10"/>
  <c r="FD271" i="10"/>
  <c r="FE271" i="10"/>
  <c r="FF271" i="10"/>
  <c r="FD272" i="10"/>
  <c r="FE272" i="10"/>
  <c r="FF272" i="10"/>
  <c r="FD273" i="10"/>
  <c r="FE273" i="10"/>
  <c r="FF273" i="10"/>
  <c r="FD274" i="10"/>
  <c r="FE274" i="10"/>
  <c r="FF274" i="10"/>
  <c r="FD275" i="10"/>
  <c r="FE275" i="10"/>
  <c r="FF275" i="10"/>
  <c r="FD276" i="10"/>
  <c r="FE276" i="10"/>
  <c r="FF276" i="10"/>
  <c r="FD277" i="10"/>
  <c r="FE277" i="10"/>
  <c r="FF277" i="10"/>
  <c r="FD278" i="10"/>
  <c r="FE278" i="10"/>
  <c r="FF278" i="10"/>
  <c r="FD279" i="10"/>
  <c r="FE279" i="10"/>
  <c r="FF279" i="10"/>
  <c r="FD280" i="10"/>
  <c r="FE280" i="10"/>
  <c r="FF280" i="10"/>
  <c r="FD281" i="10"/>
  <c r="FE281" i="10"/>
  <c r="FF281" i="10"/>
  <c r="FD282" i="10"/>
  <c r="FE282" i="10"/>
  <c r="FF282" i="10"/>
  <c r="FD283" i="10"/>
  <c r="FE283" i="10"/>
  <c r="FF283" i="10"/>
  <c r="FD284" i="10"/>
  <c r="FE284" i="10"/>
  <c r="FF284" i="10"/>
  <c r="FD285" i="10"/>
  <c r="FE285" i="10"/>
  <c r="FF285" i="10"/>
  <c r="FD286" i="10"/>
  <c r="FE286" i="10"/>
  <c r="FF286" i="10"/>
  <c r="FD287" i="10"/>
  <c r="FE287" i="10"/>
  <c r="FF287" i="10"/>
  <c r="FD288" i="10"/>
  <c r="FE288" i="10"/>
  <c r="FF288" i="10"/>
  <c r="FD289" i="10"/>
  <c r="FE289" i="10"/>
  <c r="FF289" i="10"/>
  <c r="FD290" i="10"/>
  <c r="FE290" i="10"/>
  <c r="FF290" i="10"/>
  <c r="FD291" i="10"/>
  <c r="FE291" i="10"/>
  <c r="FF291" i="10"/>
  <c r="FD292" i="10"/>
  <c r="FE292" i="10"/>
  <c r="FF292" i="10"/>
  <c r="FD293" i="10"/>
  <c r="FE293" i="10"/>
  <c r="FF293" i="10"/>
  <c r="FD294" i="10"/>
  <c r="FE294" i="10"/>
  <c r="FF294" i="10"/>
  <c r="FD295" i="10"/>
  <c r="FE295" i="10"/>
  <c r="FF295" i="10"/>
  <c r="FD296" i="10"/>
  <c r="FE296" i="10"/>
  <c r="FF296" i="10"/>
  <c r="FD297" i="10"/>
  <c r="FE297" i="10"/>
  <c r="FF297" i="10"/>
  <c r="FD298" i="10"/>
  <c r="FE298" i="10"/>
  <c r="FF298" i="10"/>
  <c r="FD299" i="10"/>
  <c r="FE299" i="10"/>
  <c r="FF299" i="10"/>
  <c r="FD300" i="10"/>
  <c r="FE300" i="10"/>
  <c r="FF300" i="10"/>
  <c r="FD301" i="10"/>
  <c r="FE301" i="10"/>
  <c r="FF301" i="10"/>
  <c r="FD302" i="10"/>
  <c r="FE302" i="10"/>
  <c r="FF302" i="10"/>
  <c r="FD303" i="10"/>
  <c r="FE303" i="10"/>
  <c r="FF303" i="10"/>
  <c r="FD304" i="10"/>
  <c r="FE304" i="10"/>
  <c r="FF304" i="10"/>
  <c r="FD305" i="10"/>
  <c r="FE305" i="10"/>
  <c r="FF305" i="10"/>
  <c r="FD306" i="10"/>
  <c r="FE306" i="10"/>
  <c r="FF306" i="10"/>
  <c r="FD307" i="10"/>
  <c r="FE307" i="10"/>
  <c r="FF307" i="10"/>
  <c r="FD308" i="10"/>
  <c r="FE308" i="10"/>
  <c r="FF308" i="10"/>
  <c r="FD309" i="10"/>
  <c r="FE309" i="10"/>
  <c r="FF309" i="10"/>
  <c r="FD310" i="10"/>
  <c r="FE310" i="10"/>
  <c r="FF310" i="10"/>
  <c r="FD311" i="10"/>
  <c r="FE311" i="10"/>
  <c r="FF311" i="10"/>
  <c r="FD312" i="10"/>
  <c r="FE312" i="10"/>
  <c r="FF312" i="10"/>
  <c r="FD313" i="10"/>
  <c r="FE313" i="10"/>
  <c r="FF313" i="10"/>
  <c r="FD314" i="10"/>
  <c r="FE314" i="10"/>
  <c r="FF314" i="10"/>
  <c r="FD315" i="10"/>
  <c r="FE315" i="10"/>
  <c r="FF315" i="10"/>
  <c r="FD316" i="10"/>
  <c r="FE316" i="10"/>
  <c r="FF316" i="10"/>
  <c r="FD317" i="10"/>
  <c r="FE317" i="10"/>
  <c r="FF317" i="10"/>
  <c r="FD318" i="10"/>
  <c r="FE318" i="10"/>
  <c r="FF318" i="10"/>
  <c r="FD319" i="10"/>
  <c r="FE319" i="10"/>
  <c r="FF319" i="10"/>
  <c r="FD320" i="10"/>
  <c r="FE320" i="10"/>
  <c r="FF320" i="10"/>
  <c r="FD321" i="10"/>
  <c r="FE321" i="10"/>
  <c r="FF321" i="10"/>
  <c r="FD322" i="10"/>
  <c r="FE322" i="10"/>
  <c r="FF322" i="10"/>
  <c r="FD323" i="10"/>
  <c r="FE323" i="10"/>
  <c r="FF323" i="10"/>
  <c r="FD324" i="10"/>
  <c r="FE324" i="10"/>
  <c r="FF324" i="10"/>
  <c r="FD325" i="10"/>
  <c r="FE325" i="10"/>
  <c r="FF325" i="10"/>
  <c r="FD326" i="10"/>
  <c r="FE326" i="10"/>
  <c r="FF326" i="10"/>
  <c r="FD327" i="10"/>
  <c r="FE327" i="10"/>
  <c r="FF327" i="10"/>
  <c r="FD328" i="10"/>
  <c r="FE328" i="10"/>
  <c r="FF328" i="10"/>
  <c r="FD329" i="10"/>
  <c r="FE329" i="10"/>
  <c r="FF329" i="10"/>
  <c r="FD330" i="10"/>
  <c r="FE330" i="10"/>
  <c r="FF330" i="10"/>
  <c r="FD331" i="10"/>
  <c r="FE331" i="10"/>
  <c r="FF331" i="10"/>
  <c r="FD332" i="10"/>
  <c r="FE332" i="10"/>
  <c r="FF332" i="10"/>
  <c r="FD333" i="10"/>
  <c r="FE333" i="10"/>
  <c r="FF333" i="10"/>
  <c r="FD334" i="10"/>
  <c r="FE334" i="10"/>
  <c r="FF334" i="10"/>
  <c r="FD335" i="10"/>
  <c r="FE335" i="10"/>
  <c r="FF335" i="10"/>
  <c r="FD336" i="10"/>
  <c r="FE336" i="10"/>
  <c r="FF336" i="10"/>
  <c r="FD337" i="10"/>
  <c r="FE337" i="10"/>
  <c r="FF337" i="10"/>
  <c r="FD338" i="10"/>
  <c r="FE338" i="10"/>
  <c r="FF338" i="10"/>
  <c r="FD339" i="10"/>
  <c r="FE339" i="10"/>
  <c r="FF339" i="10"/>
  <c r="FD340" i="10"/>
  <c r="FE340" i="10"/>
  <c r="FF340" i="10"/>
  <c r="FD341" i="10"/>
  <c r="FE341" i="10"/>
  <c r="FF341" i="10"/>
  <c r="FD342" i="10"/>
  <c r="FE342" i="10"/>
  <c r="FF342" i="10"/>
  <c r="FD343" i="10"/>
  <c r="FE343" i="10"/>
  <c r="FF343" i="10"/>
  <c r="FD344" i="10"/>
  <c r="FE344" i="10"/>
  <c r="FF344" i="10"/>
  <c r="FD345" i="10"/>
  <c r="FE345" i="10"/>
  <c r="FF345" i="10"/>
  <c r="FD346" i="10"/>
  <c r="FE346" i="10"/>
  <c r="FF346" i="10"/>
  <c r="FD347" i="10"/>
  <c r="FE347" i="10"/>
  <c r="FF347" i="10"/>
  <c r="FD348" i="10"/>
  <c r="FE348" i="10"/>
  <c r="FF348" i="10"/>
  <c r="FD349" i="10"/>
  <c r="FE349" i="10"/>
  <c r="FF349" i="10"/>
  <c r="FD350" i="10"/>
  <c r="FE350" i="10"/>
  <c r="FF350" i="10"/>
  <c r="FD351" i="10"/>
  <c r="FE351" i="10"/>
  <c r="FF351" i="10"/>
  <c r="FD352" i="10"/>
  <c r="FE352" i="10"/>
  <c r="FF352" i="10"/>
  <c r="FD353" i="10"/>
  <c r="FE353" i="10"/>
  <c r="FF353" i="10"/>
  <c r="FD354" i="10"/>
  <c r="FE354" i="10"/>
  <c r="FF354" i="10"/>
  <c r="FD355" i="10"/>
  <c r="FE355" i="10"/>
  <c r="FF355" i="10"/>
  <c r="FD356" i="10"/>
  <c r="FE356" i="10"/>
  <c r="FF356" i="10"/>
  <c r="FD357" i="10"/>
  <c r="FE357" i="10"/>
  <c r="FF357" i="10"/>
  <c r="FD358" i="10"/>
  <c r="FE358" i="10"/>
  <c r="FF358" i="10"/>
  <c r="FD359" i="10"/>
  <c r="FE359" i="10"/>
  <c r="FF359" i="10"/>
  <c r="FD360" i="10"/>
  <c r="FE360" i="10"/>
  <c r="FF360" i="10"/>
  <c r="FD361" i="10"/>
  <c r="FE361" i="10"/>
  <c r="FF361" i="10"/>
  <c r="FD362" i="10"/>
  <c r="FE362" i="10"/>
  <c r="FF362" i="10"/>
  <c r="FD363" i="10"/>
  <c r="FE363" i="10"/>
  <c r="FF363" i="10"/>
  <c r="FD364" i="10"/>
  <c r="FE364" i="10"/>
  <c r="FF364" i="10"/>
  <c r="FD365" i="10"/>
  <c r="FE365" i="10"/>
  <c r="FF365" i="10"/>
  <c r="FD366" i="10"/>
  <c r="FE366" i="10"/>
  <c r="FF366" i="10"/>
  <c r="FD367" i="10"/>
  <c r="FE367" i="10"/>
  <c r="FF367" i="10"/>
  <c r="FD368" i="10"/>
  <c r="FE368" i="10"/>
  <c r="FF368" i="10"/>
  <c r="FD369" i="10"/>
  <c r="FE369" i="10"/>
  <c r="FF369" i="10"/>
  <c r="FD370" i="10"/>
  <c r="FE370" i="10"/>
  <c r="FF370" i="10"/>
  <c r="FD371" i="10"/>
  <c r="FE371" i="10"/>
  <c r="FF371" i="10"/>
  <c r="FD372" i="10"/>
  <c r="FE372" i="10"/>
  <c r="FF372" i="10"/>
  <c r="FD373" i="10"/>
  <c r="FE373" i="10"/>
  <c r="FF373" i="10"/>
  <c r="FD374" i="10"/>
  <c r="FE374" i="10"/>
  <c r="FF374" i="10"/>
  <c r="FD375" i="10"/>
  <c r="FE375" i="10"/>
  <c r="FF375" i="10"/>
  <c r="FD376" i="10"/>
  <c r="FE376" i="10"/>
  <c r="FF376" i="10"/>
  <c r="FD377" i="10"/>
  <c r="FE377" i="10"/>
  <c r="FF377" i="10"/>
  <c r="FD378" i="10"/>
  <c r="FE378" i="10"/>
  <c r="FF378" i="10"/>
  <c r="FD379" i="10"/>
  <c r="FE379" i="10"/>
  <c r="FF379" i="10"/>
  <c r="FD380" i="10"/>
  <c r="FE380" i="10"/>
  <c r="FF380" i="10"/>
  <c r="FD381" i="10"/>
  <c r="FE381" i="10"/>
  <c r="FF381" i="10"/>
  <c r="FD382" i="10"/>
  <c r="FE382" i="10"/>
  <c r="FF382" i="10"/>
  <c r="FD383" i="10"/>
  <c r="FE383" i="10"/>
  <c r="FF383" i="10"/>
  <c r="FD384" i="10"/>
  <c r="FE384" i="10"/>
  <c r="FF384" i="10"/>
  <c r="FD385" i="10"/>
  <c r="FE385" i="10"/>
  <c r="FF385" i="10"/>
  <c r="FD386" i="10"/>
  <c r="FE386" i="10"/>
  <c r="FF386" i="10"/>
  <c r="FD387" i="10"/>
  <c r="FE387" i="10"/>
  <c r="FF387" i="10"/>
  <c r="FD388" i="10"/>
  <c r="FE388" i="10"/>
  <c r="FF388" i="10"/>
  <c r="FD389" i="10"/>
  <c r="FE389" i="10"/>
  <c r="FF389" i="10"/>
  <c r="FD390" i="10"/>
  <c r="FE390" i="10"/>
  <c r="FF390" i="10"/>
  <c r="FD391" i="10"/>
  <c r="FE391" i="10"/>
  <c r="FF391" i="10"/>
  <c r="FD392" i="10"/>
  <c r="FE392" i="10"/>
  <c r="FF392" i="10"/>
  <c r="BV8" i="10"/>
  <c r="IN54" i="10"/>
  <c r="JA54" i="10"/>
  <c r="EO54" i="10"/>
  <c r="EP54" i="10"/>
  <c r="EQ54" i="10"/>
  <c r="ER54" i="10"/>
  <c r="ES54" i="10"/>
  <c r="ET54" i="10"/>
  <c r="EU54" i="10"/>
  <c r="EV54" i="10"/>
  <c r="EW54" i="10"/>
  <c r="IU54" i="10"/>
  <c r="EZ54" i="10"/>
  <c r="FA54" i="10"/>
  <c r="FB54" i="10"/>
  <c r="IW54" i="10"/>
  <c r="BR54" i="10"/>
  <c r="BS54" i="10"/>
  <c r="IZ54" i="10"/>
  <c r="EX54" i="10"/>
  <c r="EY54" i="10"/>
  <c r="IV54" i="10"/>
  <c r="IX54" i="10"/>
  <c r="IT54" i="10"/>
  <c r="JB54" i="10"/>
  <c r="LH54" i="10"/>
  <c r="GK54" i="10"/>
  <c r="CQ54" i="10"/>
  <c r="BX8" i="10"/>
  <c r="D2" i="19"/>
  <c r="C2" i="19"/>
  <c r="BR8" i="10"/>
  <c r="BS8" i="10"/>
  <c r="B2" i="19"/>
  <c r="A2" i="19"/>
  <c r="BT8" i="10"/>
  <c r="BU8" i="10"/>
  <c r="G11" i="2"/>
  <c r="H11" i="2"/>
  <c r="E4" i="19"/>
  <c r="F4" i="19"/>
  <c r="K4" i="19"/>
  <c r="X3" i="10"/>
  <c r="P4" i="19"/>
  <c r="X4" i="10"/>
  <c r="N4" i="19"/>
  <c r="C780" i="19"/>
  <c r="M4"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X6" i="10"/>
  <c r="Q4"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5352" i="19"/>
  <c r="C5353" i="19"/>
  <c r="C5354" i="19"/>
  <c r="C5355" i="19"/>
  <c r="C5356" i="19"/>
  <c r="C5357" i="19"/>
  <c r="C5358" i="19"/>
  <c r="C5359" i="19"/>
  <c r="C5360" i="19"/>
  <c r="C5361" i="19"/>
  <c r="C5362" i="19"/>
  <c r="C5363" i="19"/>
  <c r="C5364" i="19"/>
  <c r="C5365" i="19"/>
  <c r="C5366" i="19"/>
  <c r="C5367" i="19"/>
  <c r="C5368" i="19"/>
  <c r="C5369" i="19"/>
  <c r="C5370" i="19"/>
  <c r="C5371" i="19"/>
  <c r="C5372" i="19"/>
  <c r="C5373" i="19"/>
  <c r="C5374" i="19"/>
  <c r="C5375" i="19"/>
  <c r="C5376" i="19"/>
  <c r="C5377" i="19"/>
  <c r="C5378" i="19"/>
  <c r="C5379" i="19"/>
  <c r="C5380" i="19"/>
  <c r="C5381" i="19"/>
  <c r="C5382" i="19"/>
  <c r="C5383" i="19"/>
  <c r="C5384" i="19"/>
  <c r="C5385" i="19"/>
  <c r="C5386" i="19"/>
  <c r="C5387" i="19"/>
  <c r="C5388" i="19"/>
  <c r="C5389" i="19"/>
  <c r="C5390" i="19"/>
  <c r="C5391" i="19"/>
  <c r="C5392" i="19"/>
  <c r="C5393" i="19"/>
  <c r="C5394" i="19"/>
  <c r="C5395" i="19"/>
  <c r="C5396" i="19"/>
  <c r="C5397" i="19"/>
  <c r="C5398" i="19"/>
  <c r="C5399" i="19"/>
  <c r="C5400" i="19"/>
  <c r="C5401" i="19"/>
  <c r="C5402" i="19"/>
  <c r="C5403" i="19"/>
  <c r="C5404" i="19"/>
  <c r="C5405" i="19"/>
  <c r="C5406" i="19"/>
  <c r="C5407" i="19"/>
  <c r="C5408" i="19"/>
  <c r="C5409" i="19"/>
  <c r="C5410" i="19"/>
  <c r="C5411" i="19"/>
  <c r="C5412" i="19"/>
  <c r="C5413" i="19"/>
  <c r="C5414" i="19"/>
  <c r="C5415" i="19"/>
  <c r="C5416" i="19"/>
  <c r="C5417" i="19"/>
  <c r="C5418" i="19"/>
  <c r="C5419" i="19"/>
  <c r="C5420" i="19"/>
  <c r="C5421" i="19"/>
  <c r="C5422" i="19"/>
  <c r="C5423" i="19"/>
  <c r="C5424" i="19"/>
  <c r="C5425" i="19"/>
  <c r="C5426" i="19"/>
  <c r="C5427" i="19"/>
  <c r="C5428" i="19"/>
  <c r="C5429" i="19"/>
  <c r="C5430" i="19"/>
  <c r="C5431" i="19"/>
  <c r="C5432" i="19"/>
  <c r="C5433" i="19"/>
  <c r="C5434" i="19"/>
  <c r="C5435" i="19"/>
  <c r="C5436" i="19"/>
  <c r="C5437" i="19"/>
  <c r="C5438" i="19"/>
  <c r="C5439" i="19"/>
  <c r="C5440" i="19"/>
  <c r="C5441" i="19"/>
  <c r="C5442" i="19"/>
  <c r="C5443" i="19"/>
  <c r="C5444" i="19"/>
  <c r="C5445" i="19"/>
  <c r="C5446" i="19"/>
  <c r="C5447" i="19"/>
  <c r="C5448" i="19"/>
  <c r="C5449" i="19"/>
  <c r="C5450" i="19"/>
  <c r="C5451" i="19"/>
  <c r="C5452" i="19"/>
  <c r="C5453" i="19"/>
  <c r="C5454" i="19"/>
  <c r="C5455" i="19"/>
  <c r="C5456" i="19"/>
  <c r="C5457" i="19"/>
  <c r="C5458" i="19"/>
  <c r="C5459" i="19"/>
  <c r="C5460" i="19"/>
  <c r="C5461" i="19"/>
  <c r="C5462" i="19"/>
  <c r="C5463" i="19"/>
  <c r="C5464" i="19"/>
  <c r="C5465" i="19"/>
  <c r="C5466" i="19"/>
  <c r="C5467" i="19"/>
  <c r="C5468" i="19"/>
  <c r="C5469" i="19"/>
  <c r="C5470" i="19"/>
  <c r="C5471" i="19"/>
  <c r="C5472" i="19"/>
  <c r="C5473" i="19"/>
  <c r="C5474" i="19"/>
  <c r="C5475" i="19"/>
  <c r="C5476" i="19"/>
  <c r="C5477" i="19"/>
  <c r="C5478" i="19"/>
  <c r="C5479" i="19"/>
  <c r="C5480" i="19"/>
  <c r="C5481" i="19"/>
  <c r="C5482" i="19"/>
  <c r="C5483" i="19"/>
  <c r="C5484" i="19"/>
  <c r="C5485" i="19"/>
  <c r="C5486" i="19"/>
  <c r="C5487" i="19"/>
  <c r="C5488" i="19"/>
  <c r="C5489" i="19"/>
  <c r="C5490" i="19"/>
  <c r="C5491" i="19"/>
  <c r="C5492" i="19"/>
  <c r="C5493" i="19"/>
  <c r="C5494" i="19"/>
  <c r="C5495" i="19"/>
  <c r="C5496" i="19"/>
  <c r="C5497" i="19"/>
  <c r="C5498" i="19"/>
  <c r="C5499" i="19"/>
  <c r="C5500" i="19"/>
  <c r="C5501" i="19"/>
  <c r="C5502" i="19"/>
  <c r="C5503" i="19"/>
  <c r="C5504" i="19"/>
  <c r="C5505" i="19"/>
  <c r="C5506" i="19"/>
  <c r="C5507" i="19"/>
  <c r="C5508" i="19"/>
  <c r="C5509" i="19"/>
  <c r="C5510" i="19"/>
  <c r="C5511" i="19"/>
  <c r="C5512" i="19"/>
  <c r="C5513" i="19"/>
  <c r="C5514" i="19"/>
  <c r="C5515" i="19"/>
  <c r="C5516" i="19"/>
  <c r="C5517" i="19"/>
  <c r="C5518" i="19"/>
  <c r="C5519" i="19"/>
  <c r="C5520" i="19"/>
  <c r="C5521" i="19"/>
  <c r="C5522" i="19"/>
  <c r="C5523" i="19"/>
  <c r="C5524" i="19"/>
  <c r="C5525" i="19"/>
  <c r="C5526" i="19"/>
  <c r="C5527" i="19"/>
  <c r="C5528" i="19"/>
  <c r="C5529" i="19"/>
  <c r="C5530" i="19"/>
  <c r="C5531" i="19"/>
  <c r="C5532" i="19"/>
  <c r="C5533" i="19"/>
  <c r="C5534" i="19"/>
  <c r="C5535" i="19"/>
  <c r="C5536" i="19"/>
  <c r="C5537" i="19"/>
  <c r="C5538" i="19"/>
  <c r="C5539" i="19"/>
  <c r="C5540" i="19"/>
  <c r="C5541" i="19"/>
  <c r="C5542" i="19"/>
  <c r="C5543" i="19"/>
  <c r="C5544" i="19"/>
  <c r="C5545" i="19"/>
  <c r="C5546" i="19"/>
  <c r="C5547" i="19"/>
  <c r="C5548" i="19"/>
  <c r="C5549" i="19"/>
  <c r="C5550" i="19"/>
  <c r="C5551" i="19"/>
  <c r="C5552" i="19"/>
  <c r="C5553" i="19"/>
  <c r="C5554" i="19"/>
  <c r="C5555" i="19"/>
  <c r="C5556" i="19"/>
  <c r="C5557" i="19"/>
  <c r="C5558" i="19"/>
  <c r="C5559" i="19"/>
  <c r="C5560" i="19"/>
  <c r="C5561" i="19"/>
  <c r="C5562" i="19"/>
  <c r="C5563" i="19"/>
  <c r="C5564" i="19"/>
  <c r="C5565" i="19"/>
  <c r="C5566" i="19"/>
  <c r="C5567" i="19"/>
  <c r="C5568" i="19"/>
  <c r="C5569" i="19"/>
  <c r="C5570" i="19"/>
  <c r="C5571" i="19"/>
  <c r="C5572" i="19"/>
  <c r="C5573" i="19"/>
  <c r="C5574" i="19"/>
  <c r="C5575" i="19"/>
  <c r="C5576" i="19"/>
  <c r="C5577" i="19"/>
  <c r="C5578" i="19"/>
  <c r="C5579" i="19"/>
  <c r="C5580" i="19"/>
  <c r="C5581" i="19"/>
  <c r="C5582" i="19"/>
  <c r="C5583" i="19"/>
  <c r="C5584" i="19"/>
  <c r="C5585" i="19"/>
  <c r="C5586" i="19"/>
  <c r="C5587" i="19"/>
  <c r="C5588" i="19"/>
  <c r="C5589" i="19"/>
  <c r="C5590" i="19"/>
  <c r="C5591" i="19"/>
  <c r="C5592" i="19"/>
  <c r="C5593" i="19"/>
  <c r="C5594" i="19"/>
  <c r="C5595" i="19"/>
  <c r="C5596" i="19"/>
  <c r="C5597" i="19"/>
  <c r="C5598" i="19"/>
  <c r="C5599" i="19"/>
  <c r="C5600" i="19"/>
  <c r="C5601" i="19"/>
  <c r="C5602" i="19"/>
  <c r="C5603" i="19"/>
  <c r="C5604" i="19"/>
  <c r="C5605" i="19"/>
  <c r="C5606" i="19"/>
  <c r="C5607" i="19"/>
  <c r="C5608" i="19"/>
  <c r="C5609" i="19"/>
  <c r="C5610" i="19"/>
  <c r="C5611" i="19"/>
  <c r="C5612" i="19"/>
  <c r="C5613" i="19"/>
  <c r="C5614" i="19"/>
  <c r="C5615" i="19"/>
  <c r="C5616" i="19"/>
  <c r="C5617" i="19"/>
  <c r="C5618" i="19"/>
  <c r="C5619" i="19"/>
  <c r="C5620" i="19"/>
  <c r="C5621" i="19"/>
  <c r="C5622" i="19"/>
  <c r="C5623" i="19"/>
  <c r="C5624" i="19"/>
  <c r="C5625" i="19"/>
  <c r="C5626" i="19"/>
  <c r="C5627" i="19"/>
  <c r="C5628" i="19"/>
  <c r="C5629" i="19"/>
  <c r="C5630" i="19"/>
  <c r="C5631" i="19"/>
  <c r="C5632" i="19"/>
  <c r="C5633" i="19"/>
  <c r="C5634" i="19"/>
  <c r="C4489" i="19"/>
  <c r="C4490" i="19"/>
  <c r="C4491" i="19"/>
  <c r="C4492" i="19"/>
  <c r="C4493" i="19"/>
  <c r="C4494" i="19"/>
  <c r="C4495" i="19"/>
  <c r="C4496" i="19"/>
  <c r="C4497" i="19"/>
  <c r="C4498" i="19"/>
  <c r="C4499" i="19"/>
  <c r="C4500" i="19"/>
  <c r="C4501" i="19"/>
  <c r="C4502" i="19"/>
  <c r="C4503" i="19"/>
  <c r="C4504" i="19"/>
  <c r="C4505" i="19"/>
  <c r="C4506" i="19"/>
  <c r="C4507" i="19"/>
  <c r="C4508" i="19"/>
  <c r="C4509" i="19"/>
  <c r="C4510" i="19"/>
  <c r="C4511" i="19"/>
  <c r="C4512" i="19"/>
  <c r="C4513" i="19"/>
  <c r="C4514" i="19"/>
  <c r="C4515" i="19"/>
  <c r="C4516" i="19"/>
  <c r="C4517" i="19"/>
  <c r="C4518" i="19"/>
  <c r="C4519" i="19"/>
  <c r="C4520" i="19"/>
  <c r="C4521" i="19"/>
  <c r="C4522" i="19"/>
  <c r="C4523" i="19"/>
  <c r="C4524" i="19"/>
  <c r="C4525" i="19"/>
  <c r="C4526" i="19"/>
  <c r="C4527" i="19"/>
  <c r="C4528" i="19"/>
  <c r="C4529" i="19"/>
  <c r="C4530" i="19"/>
  <c r="C4531" i="19"/>
  <c r="C4532" i="19"/>
  <c r="C4533" i="19"/>
  <c r="C4534" i="19"/>
  <c r="C4535" i="19"/>
  <c r="C4536" i="19"/>
  <c r="C4537" i="19"/>
  <c r="C4538" i="19"/>
  <c r="C4539" i="19"/>
  <c r="C4540" i="19"/>
  <c r="C4541" i="19"/>
  <c r="C4542" i="19"/>
  <c r="C4543" i="19"/>
  <c r="C4544" i="19"/>
  <c r="C4545" i="19"/>
  <c r="C4546" i="19"/>
  <c r="C4547" i="19"/>
  <c r="C4548" i="19"/>
  <c r="C4549" i="19"/>
  <c r="C4550" i="19"/>
  <c r="C4551" i="19"/>
  <c r="C4552" i="19"/>
  <c r="C4553" i="19"/>
  <c r="C4554" i="19"/>
  <c r="C4555" i="19"/>
  <c r="C4556" i="19"/>
  <c r="C4557" i="19"/>
  <c r="C4558" i="19"/>
  <c r="C4559" i="19"/>
  <c r="C4560" i="19"/>
  <c r="C4561" i="19"/>
  <c r="C4562" i="19"/>
  <c r="C4563" i="19"/>
  <c r="C4564" i="19"/>
  <c r="C4565" i="19"/>
  <c r="C4566" i="19"/>
  <c r="C4567" i="19"/>
  <c r="C4568" i="19"/>
  <c r="C4569" i="19"/>
  <c r="C4570" i="19"/>
  <c r="C4571" i="19"/>
  <c r="C4572" i="19"/>
  <c r="C4573" i="19"/>
  <c r="C4574" i="19"/>
  <c r="C4575" i="19"/>
  <c r="C4576" i="19"/>
  <c r="C4577" i="19"/>
  <c r="C4578" i="19"/>
  <c r="C4579" i="19"/>
  <c r="C4580" i="19"/>
  <c r="C4581" i="19"/>
  <c r="C4582" i="19"/>
  <c r="C4583" i="19"/>
  <c r="C4584" i="19"/>
  <c r="C4585" i="19"/>
  <c r="C4586" i="19"/>
  <c r="C4587" i="19"/>
  <c r="C4588" i="19"/>
  <c r="C4589" i="19"/>
  <c r="C4590" i="19"/>
  <c r="C4591" i="19"/>
  <c r="C4592" i="19"/>
  <c r="C4593" i="19"/>
  <c r="C4594" i="19"/>
  <c r="C4595" i="19"/>
  <c r="C4596" i="19"/>
  <c r="C4597" i="19"/>
  <c r="C4598" i="19"/>
  <c r="C4599" i="19"/>
  <c r="C4600" i="19"/>
  <c r="C4601" i="19"/>
  <c r="C4602" i="19"/>
  <c r="C4603" i="19"/>
  <c r="C4604" i="19"/>
  <c r="C4605" i="19"/>
  <c r="C4606" i="19"/>
  <c r="C4607" i="19"/>
  <c r="C4608" i="19"/>
  <c r="C4609" i="19"/>
  <c r="C4610" i="19"/>
  <c r="C4611" i="19"/>
  <c r="C4612" i="19"/>
  <c r="C4613" i="19"/>
  <c r="C4614" i="19"/>
  <c r="C4615" i="19"/>
  <c r="C4616" i="19"/>
  <c r="C4617" i="19"/>
  <c r="C4618" i="19"/>
  <c r="C4619" i="19"/>
  <c r="C4620" i="19"/>
  <c r="C4621" i="19"/>
  <c r="C4622" i="19"/>
  <c r="C4623" i="19"/>
  <c r="C4624" i="19"/>
  <c r="C4625" i="19"/>
  <c r="C4626" i="19"/>
  <c r="C4627" i="19"/>
  <c r="C4628" i="19"/>
  <c r="C4629" i="19"/>
  <c r="C4630" i="19"/>
  <c r="C4631" i="19"/>
  <c r="C4632" i="19"/>
  <c r="C4633" i="19"/>
  <c r="C4634" i="19"/>
  <c r="C4635" i="19"/>
  <c r="C4636" i="19"/>
  <c r="C4637" i="19"/>
  <c r="C4638" i="19"/>
  <c r="C4639" i="19"/>
  <c r="C4640" i="19"/>
  <c r="C4641" i="19"/>
  <c r="C4642" i="19"/>
  <c r="C4643" i="19"/>
  <c r="C4644" i="19"/>
  <c r="C4645" i="19"/>
  <c r="C4646" i="19"/>
  <c r="C4647" i="19"/>
  <c r="C4648" i="19"/>
  <c r="C4649" i="19"/>
  <c r="C4650" i="19"/>
  <c r="C4651" i="19"/>
  <c r="C4652" i="19"/>
  <c r="C4653" i="19"/>
  <c r="C4654" i="19"/>
  <c r="C4655" i="19"/>
  <c r="C4656" i="19"/>
  <c r="C4657" i="19"/>
  <c r="C4658" i="19"/>
  <c r="C4659" i="19"/>
  <c r="C4660" i="19"/>
  <c r="C4661" i="19"/>
  <c r="C4662" i="19"/>
  <c r="C4663" i="19"/>
  <c r="C4664" i="19"/>
  <c r="C4665" i="19"/>
  <c r="C4666" i="19"/>
  <c r="C4667" i="19"/>
  <c r="C4668" i="19"/>
  <c r="C4669" i="19"/>
  <c r="C4670" i="19"/>
  <c r="C4671" i="19"/>
  <c r="C4672" i="19"/>
  <c r="C4673" i="19"/>
  <c r="C4674" i="19"/>
  <c r="C4675" i="19"/>
  <c r="C4676" i="19"/>
  <c r="C4677" i="19"/>
  <c r="C4678" i="19"/>
  <c r="C4679" i="19"/>
  <c r="C4680" i="19"/>
  <c r="C4681" i="19"/>
  <c r="C4682" i="19"/>
  <c r="C4683" i="19"/>
  <c r="C4684" i="19"/>
  <c r="C4685" i="19"/>
  <c r="C4686" i="19"/>
  <c r="C4687" i="19"/>
  <c r="C4688" i="19"/>
  <c r="C4689" i="19"/>
  <c r="C4690" i="19"/>
  <c r="C4691" i="19"/>
  <c r="C4692" i="19"/>
  <c r="C4693" i="19"/>
  <c r="C4694" i="19"/>
  <c r="C4695" i="19"/>
  <c r="C4696" i="19"/>
  <c r="C4697" i="19"/>
  <c r="C4698" i="19"/>
  <c r="C4699" i="19"/>
  <c r="C4700" i="19"/>
  <c r="C4701" i="19"/>
  <c r="C4702" i="19"/>
  <c r="C4703" i="19"/>
  <c r="C4704" i="19"/>
  <c r="C4705" i="19"/>
  <c r="C4706" i="19"/>
  <c r="C4707" i="19"/>
  <c r="C4708" i="19"/>
  <c r="C4709" i="19"/>
  <c r="C4710" i="19"/>
  <c r="C4711" i="19"/>
  <c r="C4712" i="19"/>
  <c r="C4713" i="19"/>
  <c r="C4714" i="19"/>
  <c r="C4715" i="19"/>
  <c r="C4716" i="19"/>
  <c r="C4717" i="19"/>
  <c r="C4718" i="19"/>
  <c r="C4719" i="19"/>
  <c r="C4720" i="19"/>
  <c r="C4721" i="19"/>
  <c r="C4722" i="19"/>
  <c r="C4723" i="19"/>
  <c r="C4724" i="19"/>
  <c r="C4725" i="19"/>
  <c r="C4726" i="19"/>
  <c r="C4727" i="19"/>
  <c r="C4728" i="19"/>
  <c r="C4729" i="19"/>
  <c r="C4730" i="19"/>
  <c r="C4731" i="19"/>
  <c r="C4732" i="19"/>
  <c r="C4733" i="19"/>
  <c r="C4734" i="19"/>
  <c r="C4735" i="19"/>
  <c r="C4736" i="19"/>
  <c r="C4737" i="19"/>
  <c r="C4738" i="19"/>
  <c r="C4739" i="19"/>
  <c r="C4740" i="19"/>
  <c r="C4741" i="19"/>
  <c r="C4742" i="19"/>
  <c r="C4743" i="19"/>
  <c r="C4744" i="19"/>
  <c r="C4745" i="19"/>
  <c r="C4746" i="19"/>
  <c r="C4747" i="19"/>
  <c r="C4748" i="19"/>
  <c r="C4749" i="19"/>
  <c r="C4750" i="19"/>
  <c r="C4751" i="19"/>
  <c r="C4752" i="19"/>
  <c r="C4753" i="19"/>
  <c r="C4754" i="19"/>
  <c r="C4755" i="19"/>
  <c r="C4756" i="19"/>
  <c r="C4757" i="19"/>
  <c r="C4758" i="19"/>
  <c r="C4759" i="19"/>
  <c r="C4760" i="19"/>
  <c r="C4761" i="19"/>
  <c r="C4762" i="19"/>
  <c r="C4763" i="19"/>
  <c r="C4764" i="19"/>
  <c r="C4765" i="19"/>
  <c r="C4766" i="19"/>
  <c r="C4767" i="19"/>
  <c r="C4768" i="19"/>
  <c r="C4769" i="19"/>
  <c r="C4770" i="19"/>
  <c r="C4771" i="19"/>
  <c r="C4772" i="19"/>
  <c r="C4773" i="19"/>
  <c r="C4774" i="19"/>
  <c r="C4775" i="19"/>
  <c r="C4776" i="19"/>
  <c r="C4777" i="19"/>
  <c r="C4778" i="19"/>
  <c r="C4779" i="19"/>
  <c r="C4780" i="19"/>
  <c r="C4781" i="19"/>
  <c r="C4782" i="19"/>
  <c r="C4783" i="19"/>
  <c r="C4784" i="19"/>
  <c r="C4785" i="19"/>
  <c r="C4786" i="19"/>
  <c r="C4787" i="19"/>
  <c r="C4788" i="19"/>
  <c r="C4789" i="19"/>
  <c r="C4790" i="19"/>
  <c r="C4791" i="19"/>
  <c r="C4792" i="19"/>
  <c r="C4793" i="19"/>
  <c r="C4794" i="19"/>
  <c r="C4795" i="19"/>
  <c r="C4796" i="19"/>
  <c r="C4797" i="19"/>
  <c r="C4798" i="19"/>
  <c r="C4799" i="19"/>
  <c r="C4800" i="19"/>
  <c r="C4801" i="19"/>
  <c r="C4802" i="19"/>
  <c r="C4803" i="19"/>
  <c r="C4804" i="19"/>
  <c r="C4805" i="19"/>
  <c r="C4806" i="19"/>
  <c r="C4807" i="19"/>
  <c r="C4808" i="19"/>
  <c r="C4809" i="19"/>
  <c r="C4810" i="19"/>
  <c r="C4811" i="19"/>
  <c r="C4812" i="19"/>
  <c r="C4813" i="19"/>
  <c r="C4814" i="19"/>
  <c r="C4815" i="19"/>
  <c r="C4816" i="19"/>
  <c r="C4817" i="19"/>
  <c r="C4818" i="19"/>
  <c r="C4819" i="19"/>
  <c r="C4820" i="19"/>
  <c r="C4821" i="19"/>
  <c r="C4822" i="19"/>
  <c r="C4823" i="19"/>
  <c r="C4824" i="19"/>
  <c r="C4825" i="19"/>
  <c r="C4826" i="19"/>
  <c r="C4827" i="19"/>
  <c r="C4828" i="19"/>
  <c r="C4829" i="19"/>
  <c r="C4830" i="19"/>
  <c r="C4831" i="19"/>
  <c r="C4832" i="19"/>
  <c r="C4833" i="19"/>
  <c r="C4834" i="19"/>
  <c r="C4835" i="19"/>
  <c r="C4836" i="19"/>
  <c r="C4837" i="19"/>
  <c r="C4838" i="19"/>
  <c r="C4839" i="19"/>
  <c r="C4840" i="19"/>
  <c r="C4841" i="19"/>
  <c r="C4842" i="19"/>
  <c r="C4843" i="19"/>
  <c r="C4844" i="19"/>
  <c r="C4845" i="19"/>
  <c r="C4846" i="19"/>
  <c r="C4847" i="19"/>
  <c r="C4848" i="19"/>
  <c r="C4849" i="19"/>
  <c r="C4850" i="19"/>
  <c r="C4851" i="19"/>
  <c r="C4852" i="19"/>
  <c r="C4853" i="19"/>
  <c r="C4854" i="19"/>
  <c r="C4855" i="19"/>
  <c r="C4856" i="19"/>
  <c r="C4857" i="19"/>
  <c r="C4858" i="19"/>
  <c r="C4859" i="19"/>
  <c r="C4860" i="19"/>
  <c r="C4861" i="19"/>
  <c r="C4862" i="19"/>
  <c r="C4863" i="19"/>
  <c r="C4864" i="19"/>
  <c r="C4865" i="19"/>
  <c r="C4866" i="19"/>
  <c r="C4867" i="19"/>
  <c r="C4868" i="19"/>
  <c r="C4869" i="19"/>
  <c r="C4870" i="19"/>
  <c r="C4871" i="19"/>
  <c r="C4872" i="19"/>
  <c r="C4873" i="19"/>
  <c r="C4874" i="19"/>
  <c r="C4875" i="19"/>
  <c r="C4876" i="19"/>
  <c r="C4877" i="19"/>
  <c r="C4878" i="19"/>
  <c r="C4879" i="19"/>
  <c r="C4880" i="19"/>
  <c r="C4881" i="19"/>
  <c r="C4882" i="19"/>
  <c r="C4883" i="19"/>
  <c r="C4884" i="19"/>
  <c r="C4885" i="19"/>
  <c r="C4886" i="19"/>
  <c r="C4887" i="19"/>
  <c r="C4888" i="19"/>
  <c r="C4889" i="19"/>
  <c r="C4890" i="19"/>
  <c r="C4891" i="19"/>
  <c r="C4892" i="19"/>
  <c r="C4893" i="19"/>
  <c r="C4894" i="19"/>
  <c r="C4895" i="19"/>
  <c r="C4896" i="19"/>
  <c r="C4897" i="19"/>
  <c r="C4898" i="19"/>
  <c r="C4899" i="19"/>
  <c r="C4900" i="19"/>
  <c r="C4901" i="19"/>
  <c r="C4902" i="19"/>
  <c r="C4903" i="19"/>
  <c r="C4904" i="19"/>
  <c r="C4905" i="19"/>
  <c r="C4906" i="19"/>
  <c r="C4907" i="19"/>
  <c r="C4908" i="19"/>
  <c r="C4909" i="19"/>
  <c r="C4910" i="19"/>
  <c r="C4911" i="19"/>
  <c r="C4912" i="19"/>
  <c r="C4913" i="19"/>
  <c r="C4914" i="19"/>
  <c r="C4915" i="19"/>
  <c r="C4916" i="19"/>
  <c r="C4917" i="19"/>
  <c r="C4918" i="19"/>
  <c r="C4919" i="19"/>
  <c r="C4920" i="19"/>
  <c r="C4921" i="19"/>
  <c r="C4922" i="19"/>
  <c r="C4923" i="19"/>
  <c r="C4924" i="19"/>
  <c r="C4925" i="19"/>
  <c r="C4926" i="19"/>
  <c r="C4927" i="19"/>
  <c r="C4928" i="19"/>
  <c r="C4929" i="19"/>
  <c r="C4930" i="19"/>
  <c r="C4931" i="19"/>
  <c r="C4932" i="19"/>
  <c r="C4933" i="19"/>
  <c r="C4934" i="19"/>
  <c r="C4935" i="19"/>
  <c r="C4936" i="19"/>
  <c r="C4937" i="19"/>
  <c r="C4938" i="19"/>
  <c r="C4939" i="19"/>
  <c r="C4940" i="19"/>
  <c r="C4941" i="19"/>
  <c r="C4942" i="19"/>
  <c r="C4943" i="19"/>
  <c r="C4944" i="19"/>
  <c r="C4945" i="19"/>
  <c r="C4946" i="19"/>
  <c r="C4947" i="19"/>
  <c r="C4948" i="19"/>
  <c r="C4949" i="19"/>
  <c r="C4950" i="19"/>
  <c r="C4951" i="19"/>
  <c r="C4952" i="19"/>
  <c r="C4953" i="19"/>
  <c r="C4954" i="19"/>
  <c r="C4955" i="19"/>
  <c r="C4956" i="19"/>
  <c r="C4957" i="19"/>
  <c r="C4958" i="19"/>
  <c r="C4959" i="19"/>
  <c r="C4960" i="19"/>
  <c r="C4961" i="19"/>
  <c r="C4962" i="19"/>
  <c r="C4963" i="19"/>
  <c r="C4964" i="19"/>
  <c r="C4965" i="19"/>
  <c r="C4966" i="19"/>
  <c r="C4967" i="19"/>
  <c r="C4968" i="19"/>
  <c r="C4969" i="19"/>
  <c r="C4970" i="19"/>
  <c r="C4971" i="19"/>
  <c r="C4972" i="19"/>
  <c r="C4973" i="19"/>
  <c r="C4974" i="19"/>
  <c r="C4975" i="19"/>
  <c r="C4976" i="19"/>
  <c r="C4977" i="19"/>
  <c r="C4978" i="19"/>
  <c r="C4979" i="19"/>
  <c r="C4980" i="19"/>
  <c r="C4981" i="19"/>
  <c r="C4982" i="19"/>
  <c r="C4983" i="19"/>
  <c r="C4984" i="19"/>
  <c r="C4985" i="19"/>
  <c r="C4986" i="19"/>
  <c r="C4987" i="19"/>
  <c r="C4988" i="19"/>
  <c r="C4989" i="19"/>
  <c r="C4990" i="19"/>
  <c r="C4991" i="19"/>
  <c r="C4992" i="19"/>
  <c r="C4993" i="19"/>
  <c r="C4994" i="19"/>
  <c r="C4995" i="19"/>
  <c r="C4996" i="19"/>
  <c r="C4997" i="19"/>
  <c r="C4998" i="19"/>
  <c r="C4999" i="19"/>
  <c r="C5000" i="19"/>
  <c r="C5001" i="19"/>
  <c r="C5002" i="19"/>
  <c r="C5003" i="19"/>
  <c r="C5004" i="19"/>
  <c r="C5005" i="19"/>
  <c r="C5006" i="19"/>
  <c r="C5007" i="19"/>
  <c r="C5008" i="19"/>
  <c r="C5009" i="19"/>
  <c r="C5010" i="19"/>
  <c r="C5011" i="19"/>
  <c r="C5012" i="19"/>
  <c r="C5013" i="19"/>
  <c r="C5014" i="19"/>
  <c r="C5015" i="19"/>
  <c r="C5016" i="19"/>
  <c r="C5017" i="19"/>
  <c r="C5018" i="19"/>
  <c r="C5019" i="19"/>
  <c r="C5020" i="19"/>
  <c r="C5021" i="19"/>
  <c r="C5022" i="19"/>
  <c r="C5023" i="19"/>
  <c r="C5024" i="19"/>
  <c r="C5025" i="19"/>
  <c r="C5026" i="19"/>
  <c r="C5027" i="19"/>
  <c r="C5028" i="19"/>
  <c r="C5029" i="19"/>
  <c r="C5030" i="19"/>
  <c r="C5031" i="19"/>
  <c r="C5032" i="19"/>
  <c r="C5033" i="19"/>
  <c r="C5034" i="19"/>
  <c r="C5035" i="19"/>
  <c r="C5036" i="19"/>
  <c r="C5037" i="19"/>
  <c r="C5038" i="19"/>
  <c r="C5039" i="19"/>
  <c r="C5040" i="19"/>
  <c r="C5041" i="19"/>
  <c r="C5042" i="19"/>
  <c r="C5043" i="19"/>
  <c r="C5044" i="19"/>
  <c r="C5045" i="19"/>
  <c r="C5046" i="19"/>
  <c r="C5047" i="19"/>
  <c r="C5048" i="19"/>
  <c r="C5049" i="19"/>
  <c r="C5050" i="19"/>
  <c r="C5051" i="19"/>
  <c r="C5052" i="19"/>
  <c r="C5053" i="19"/>
  <c r="C5054" i="19"/>
  <c r="C5055" i="19"/>
  <c r="C5056" i="19"/>
  <c r="C5057" i="19"/>
  <c r="C5058" i="19"/>
  <c r="C5059" i="19"/>
  <c r="C5060" i="19"/>
  <c r="C5061" i="19"/>
  <c r="C5062" i="19"/>
  <c r="C5063" i="19"/>
  <c r="C5064" i="19"/>
  <c r="C5065" i="19"/>
  <c r="C5066" i="19"/>
  <c r="C5068" i="19"/>
  <c r="C5069" i="19"/>
  <c r="C5070" i="19"/>
  <c r="C5071" i="19"/>
  <c r="C5072" i="19"/>
  <c r="C5073" i="19"/>
  <c r="C5074" i="19"/>
  <c r="C5075" i="19"/>
  <c r="C5076" i="19"/>
  <c r="C5077" i="19"/>
  <c r="C5078" i="19"/>
  <c r="C5079" i="19"/>
  <c r="C5080" i="19"/>
  <c r="C5081" i="19"/>
  <c r="C5082" i="19"/>
  <c r="C5083" i="19"/>
  <c r="C5084" i="19"/>
  <c r="C5085" i="19"/>
  <c r="C5086" i="19"/>
  <c r="C5087" i="19"/>
  <c r="C5088" i="19"/>
  <c r="C5089" i="19"/>
  <c r="C5090" i="19"/>
  <c r="C5091" i="19"/>
  <c r="C5092" i="19"/>
  <c r="C5093" i="19"/>
  <c r="C5094" i="19"/>
  <c r="C5095" i="19"/>
  <c r="C5096" i="19"/>
  <c r="C5097" i="19"/>
  <c r="C5098" i="19"/>
  <c r="C5099" i="19"/>
  <c r="C5100" i="19"/>
  <c r="C5101" i="19"/>
  <c r="C5102" i="19"/>
  <c r="C5103" i="19"/>
  <c r="C5104" i="19"/>
  <c r="C5105" i="19"/>
  <c r="C5106" i="19"/>
  <c r="C5107" i="19"/>
  <c r="C5108" i="19"/>
  <c r="C5109" i="19"/>
  <c r="C5110" i="19"/>
  <c r="C5111" i="19"/>
  <c r="C5112" i="19"/>
  <c r="C5113" i="19"/>
  <c r="C5114" i="19"/>
  <c r="C5115" i="19"/>
  <c r="C5116" i="19"/>
  <c r="C5117" i="19"/>
  <c r="C5118" i="19"/>
  <c r="C5119" i="19"/>
  <c r="C5120" i="19"/>
  <c r="C5121" i="19"/>
  <c r="C5122" i="19"/>
  <c r="C5123" i="19"/>
  <c r="C5124" i="19"/>
  <c r="C5125" i="19"/>
  <c r="C5126" i="19"/>
  <c r="C5127" i="19"/>
  <c r="C5128" i="19"/>
  <c r="C5129" i="19"/>
  <c r="C5130" i="19"/>
  <c r="C5131" i="19"/>
  <c r="C5132" i="19"/>
  <c r="C5133" i="19"/>
  <c r="C5134" i="19"/>
  <c r="C5135" i="19"/>
  <c r="C5136" i="19"/>
  <c r="C5137" i="19"/>
  <c r="C5138" i="19"/>
  <c r="C5139" i="19"/>
  <c r="C5140" i="19"/>
  <c r="C5141" i="19"/>
  <c r="C5142" i="19"/>
  <c r="C5143" i="19"/>
  <c r="C5144" i="19"/>
  <c r="C5145" i="19"/>
  <c r="C5146" i="19"/>
  <c r="C5147" i="19"/>
  <c r="C5148" i="19"/>
  <c r="C5149" i="19"/>
  <c r="C5150" i="19"/>
  <c r="C5151" i="19"/>
  <c r="C5152" i="19"/>
  <c r="C5153" i="19"/>
  <c r="C5154" i="19"/>
  <c r="C5155" i="19"/>
  <c r="C5156" i="19"/>
  <c r="C5157" i="19"/>
  <c r="C5158" i="19"/>
  <c r="C5159" i="19"/>
  <c r="C5160" i="19"/>
  <c r="C5161" i="19"/>
  <c r="C5162" i="19"/>
  <c r="C5163" i="19"/>
  <c r="C5164" i="19"/>
  <c r="C5165" i="19"/>
  <c r="C5166" i="19"/>
  <c r="C5167" i="19"/>
  <c r="C5168" i="19"/>
  <c r="C5169" i="19"/>
  <c r="C5170" i="19"/>
  <c r="C5171" i="19"/>
  <c r="C5172" i="19"/>
  <c r="C5173" i="19"/>
  <c r="C5174" i="19"/>
  <c r="C5175" i="19"/>
  <c r="C5176" i="19"/>
  <c r="C5177" i="19"/>
  <c r="C5178" i="19"/>
  <c r="C5179" i="19"/>
  <c r="C5180" i="19"/>
  <c r="C5181" i="19"/>
  <c r="C5182" i="19"/>
  <c r="C5183" i="19"/>
  <c r="C5184" i="19"/>
  <c r="C5185" i="19"/>
  <c r="C5186" i="19"/>
  <c r="C5187" i="19"/>
  <c r="C5188" i="19"/>
  <c r="C5189" i="19"/>
  <c r="C5190" i="19"/>
  <c r="C5191" i="19"/>
  <c r="C5192" i="19"/>
  <c r="C5193" i="19"/>
  <c r="C5194" i="19"/>
  <c r="C5195" i="19"/>
  <c r="C5196" i="19"/>
  <c r="C5197" i="19"/>
  <c r="C5198" i="19"/>
  <c r="C5199" i="19"/>
  <c r="C5200" i="19"/>
  <c r="C5201" i="19"/>
  <c r="C5202" i="19"/>
  <c r="C5203" i="19"/>
  <c r="C5204" i="19"/>
  <c r="C5205" i="19"/>
  <c r="C5206" i="19"/>
  <c r="C5207" i="19"/>
  <c r="C5208" i="19"/>
  <c r="C5209" i="19"/>
  <c r="C5210" i="19"/>
  <c r="C5211" i="19"/>
  <c r="C5212" i="19"/>
  <c r="C5213" i="19"/>
  <c r="C5214" i="19"/>
  <c r="C5215" i="19"/>
  <c r="C5216" i="19"/>
  <c r="C5217" i="19"/>
  <c r="C5218" i="19"/>
  <c r="C5219" i="19"/>
  <c r="C5220" i="19"/>
  <c r="C5221" i="19"/>
  <c r="C5222" i="19"/>
  <c r="C5223" i="19"/>
  <c r="C5224" i="19"/>
  <c r="C5225" i="19"/>
  <c r="C5226" i="19"/>
  <c r="C5227" i="19"/>
  <c r="C5228" i="19"/>
  <c r="C5229" i="19"/>
  <c r="C5230" i="19"/>
  <c r="C5231" i="19"/>
  <c r="C5232" i="19"/>
  <c r="C5233" i="19"/>
  <c r="C5234" i="19"/>
  <c r="C5235" i="19"/>
  <c r="C5236" i="19"/>
  <c r="C5237" i="19"/>
  <c r="C5238" i="19"/>
  <c r="C5239" i="19"/>
  <c r="C5240" i="19"/>
  <c r="C5241" i="19"/>
  <c r="C5242" i="19"/>
  <c r="C5243" i="19"/>
  <c r="C5244" i="19"/>
  <c r="C5245" i="19"/>
  <c r="C5246" i="19"/>
  <c r="C5247" i="19"/>
  <c r="C5248" i="19"/>
  <c r="C5249" i="19"/>
  <c r="C5250" i="19"/>
  <c r="C5251" i="19"/>
  <c r="C5252" i="19"/>
  <c r="C5253" i="19"/>
  <c r="C5254" i="19"/>
  <c r="C5255" i="19"/>
  <c r="C5256" i="19"/>
  <c r="C5257" i="19"/>
  <c r="C5258" i="19"/>
  <c r="C5259" i="19"/>
  <c r="C5260" i="19"/>
  <c r="C5261" i="19"/>
  <c r="C5262" i="19"/>
  <c r="C5263" i="19"/>
  <c r="C5264" i="19"/>
  <c r="C5265" i="19"/>
  <c r="C5266" i="19"/>
  <c r="C5267" i="19"/>
  <c r="C5268" i="19"/>
  <c r="C5269" i="19"/>
  <c r="C5270" i="19"/>
  <c r="C5271" i="19"/>
  <c r="C5272" i="19"/>
  <c r="C5273" i="19"/>
  <c r="C5274" i="19"/>
  <c r="C5275" i="19"/>
  <c r="C5276" i="19"/>
  <c r="C5277" i="19"/>
  <c r="C5278" i="19"/>
  <c r="C5279" i="19"/>
  <c r="C5280" i="19"/>
  <c r="C5281" i="19"/>
  <c r="C5282" i="19"/>
  <c r="C5283" i="19"/>
  <c r="C5284" i="19"/>
  <c r="C5285" i="19"/>
  <c r="C5286" i="19"/>
  <c r="C5287" i="19"/>
  <c r="C5288" i="19"/>
  <c r="C5289" i="19"/>
  <c r="C5290" i="19"/>
  <c r="C5291" i="19"/>
  <c r="C5292" i="19"/>
  <c r="C5293" i="19"/>
  <c r="C5294" i="19"/>
  <c r="C5295" i="19"/>
  <c r="C5296" i="19"/>
  <c r="C5297" i="19"/>
  <c r="C5298" i="19"/>
  <c r="C5299" i="19"/>
  <c r="C5300" i="19"/>
  <c r="C5301" i="19"/>
  <c r="C5302" i="19"/>
  <c r="C5303" i="19"/>
  <c r="C5304" i="19"/>
  <c r="C5305" i="19"/>
  <c r="C5306" i="19"/>
  <c r="C5307" i="19"/>
  <c r="C5308" i="19"/>
  <c r="C5309" i="19"/>
  <c r="C5310" i="19"/>
  <c r="C5311" i="19"/>
  <c r="C5312" i="19"/>
  <c r="C5313" i="19"/>
  <c r="C5314" i="19"/>
  <c r="C5315" i="19"/>
  <c r="C5316" i="19"/>
  <c r="C5317" i="19"/>
  <c r="C5318" i="19"/>
  <c r="C5319" i="19"/>
  <c r="C5320" i="19"/>
  <c r="C5321" i="19"/>
  <c r="C5322" i="19"/>
  <c r="C5323" i="19"/>
  <c r="C5324" i="19"/>
  <c r="C5325" i="19"/>
  <c r="C5326" i="19"/>
  <c r="C5327" i="19"/>
  <c r="C5328" i="19"/>
  <c r="C5329" i="19"/>
  <c r="C5330" i="19"/>
  <c r="C5331" i="19"/>
  <c r="C5332" i="19"/>
  <c r="C5333" i="19"/>
  <c r="C5334" i="19"/>
  <c r="C5335" i="19"/>
  <c r="C5336" i="19"/>
  <c r="C5337" i="19"/>
  <c r="C5338" i="19"/>
  <c r="C5339" i="19"/>
  <c r="C5340" i="19"/>
  <c r="C5341" i="19"/>
  <c r="C5342" i="19"/>
  <c r="C5343" i="19"/>
  <c r="C5344" i="19"/>
  <c r="C5345" i="19"/>
  <c r="C5346" i="19"/>
  <c r="C5347" i="19"/>
  <c r="C5348" i="19"/>
  <c r="C5349" i="19"/>
  <c r="C5350" i="19"/>
  <c r="C3910" i="19"/>
  <c r="C3911" i="19"/>
  <c r="C3912" i="19"/>
  <c r="C3913" i="19"/>
  <c r="C3914" i="19"/>
  <c r="C3915" i="19"/>
  <c r="C3916" i="19"/>
  <c r="C3917" i="19"/>
  <c r="C3918" i="19"/>
  <c r="C3919" i="19"/>
  <c r="C3920" i="19"/>
  <c r="C3921" i="19"/>
  <c r="C3922" i="19"/>
  <c r="C3923" i="19"/>
  <c r="C3924" i="19"/>
  <c r="C3925" i="19"/>
  <c r="C3926" i="19"/>
  <c r="C3927" i="19"/>
  <c r="C3928" i="19"/>
  <c r="C3929" i="19"/>
  <c r="C3930" i="19"/>
  <c r="C3931" i="19"/>
  <c r="C3932" i="19"/>
  <c r="C3933" i="19"/>
  <c r="C3934" i="19"/>
  <c r="C3935" i="19"/>
  <c r="C3936" i="19"/>
  <c r="C3937" i="19"/>
  <c r="C3938" i="19"/>
  <c r="C3939" i="19"/>
  <c r="C3940" i="19"/>
  <c r="C3941" i="19"/>
  <c r="C3942" i="19"/>
  <c r="C3943" i="19"/>
  <c r="C3944" i="19"/>
  <c r="C3945" i="19"/>
  <c r="C3946" i="19"/>
  <c r="C3947" i="19"/>
  <c r="C3948" i="19"/>
  <c r="C3949" i="19"/>
  <c r="C3950" i="19"/>
  <c r="C3951" i="19"/>
  <c r="C3952" i="19"/>
  <c r="C3953" i="19"/>
  <c r="C3954" i="19"/>
  <c r="C3955" i="19"/>
  <c r="C3956" i="19"/>
  <c r="C3957" i="19"/>
  <c r="C3958" i="19"/>
  <c r="C3959" i="19"/>
  <c r="C3960" i="19"/>
  <c r="C3961" i="19"/>
  <c r="C3962" i="19"/>
  <c r="C3963" i="19"/>
  <c r="C3964" i="19"/>
  <c r="C3965" i="19"/>
  <c r="C3966" i="19"/>
  <c r="C3967" i="19"/>
  <c r="C3968" i="19"/>
  <c r="C3969" i="19"/>
  <c r="C3970" i="19"/>
  <c r="C3971" i="19"/>
  <c r="C3972" i="19"/>
  <c r="C3973" i="19"/>
  <c r="C3974" i="19"/>
  <c r="C3975" i="19"/>
  <c r="C3976" i="19"/>
  <c r="C3977" i="19"/>
  <c r="C3978" i="19"/>
  <c r="C3979" i="19"/>
  <c r="C3980" i="19"/>
  <c r="C3981" i="19"/>
  <c r="C3982" i="19"/>
  <c r="C3983" i="19"/>
  <c r="C3984" i="19"/>
  <c r="C3985" i="19"/>
  <c r="C3986" i="19"/>
  <c r="C3987" i="19"/>
  <c r="C3988" i="19"/>
  <c r="C3989" i="19"/>
  <c r="C3990" i="19"/>
  <c r="C3991" i="19"/>
  <c r="C3992" i="19"/>
  <c r="C3993" i="19"/>
  <c r="C3994" i="19"/>
  <c r="C3995" i="19"/>
  <c r="C3996" i="19"/>
  <c r="C3997" i="19"/>
  <c r="C3998" i="19"/>
  <c r="C3999" i="19"/>
  <c r="C4000" i="19"/>
  <c r="C4001" i="19"/>
  <c r="C4002" i="19"/>
  <c r="C4003" i="19"/>
  <c r="C4004" i="19"/>
  <c r="C4005" i="19"/>
  <c r="C4006" i="19"/>
  <c r="C4007" i="19"/>
  <c r="C4008" i="19"/>
  <c r="C4009" i="19"/>
  <c r="C4010" i="19"/>
  <c r="C4011" i="19"/>
  <c r="C4012" i="19"/>
  <c r="C4013" i="19"/>
  <c r="C4014" i="19"/>
  <c r="C4015" i="19"/>
  <c r="C4016" i="19"/>
  <c r="C4017" i="19"/>
  <c r="C4018" i="19"/>
  <c r="C4019" i="19"/>
  <c r="C4020" i="19"/>
  <c r="C4021" i="19"/>
  <c r="C4022" i="19"/>
  <c r="C4023" i="19"/>
  <c r="C4024" i="19"/>
  <c r="C4025" i="19"/>
  <c r="C4026" i="19"/>
  <c r="C4027" i="19"/>
  <c r="C4028" i="19"/>
  <c r="C4029" i="19"/>
  <c r="C4030" i="19"/>
  <c r="C4031" i="19"/>
  <c r="C4032" i="19"/>
  <c r="C4033" i="19"/>
  <c r="C4034" i="19"/>
  <c r="C4035" i="19"/>
  <c r="C4036" i="19"/>
  <c r="C4037" i="19"/>
  <c r="C4038" i="19"/>
  <c r="C4039" i="19"/>
  <c r="C4040" i="19"/>
  <c r="C4041" i="19"/>
  <c r="C4042" i="19"/>
  <c r="C4043" i="19"/>
  <c r="C4044" i="19"/>
  <c r="C4045" i="19"/>
  <c r="C4046" i="19"/>
  <c r="C4047" i="19"/>
  <c r="C4048" i="19"/>
  <c r="C4049" i="19"/>
  <c r="C4050" i="19"/>
  <c r="C4051" i="19"/>
  <c r="C4052" i="19"/>
  <c r="C4053" i="19"/>
  <c r="C4054" i="19"/>
  <c r="C4055" i="19"/>
  <c r="C4056" i="19"/>
  <c r="C4057" i="19"/>
  <c r="C4058" i="19"/>
  <c r="C4059" i="19"/>
  <c r="C4060" i="19"/>
  <c r="C4061" i="19"/>
  <c r="C4062" i="19"/>
  <c r="C4063" i="19"/>
  <c r="C4064" i="19"/>
  <c r="C4065" i="19"/>
  <c r="C4066" i="19"/>
  <c r="C4067" i="19"/>
  <c r="C4068" i="19"/>
  <c r="C4069" i="19"/>
  <c r="C4070" i="19"/>
  <c r="C4071" i="19"/>
  <c r="C4072" i="19"/>
  <c r="C4073" i="19"/>
  <c r="C4074" i="19"/>
  <c r="C4075" i="19"/>
  <c r="C4076" i="19"/>
  <c r="C4077" i="19"/>
  <c r="C4078" i="19"/>
  <c r="C4079" i="19"/>
  <c r="C4080" i="19"/>
  <c r="C4081" i="19"/>
  <c r="C4082" i="19"/>
  <c r="C4083" i="19"/>
  <c r="C4084" i="19"/>
  <c r="C4085" i="19"/>
  <c r="C4086" i="19"/>
  <c r="C4087" i="19"/>
  <c r="C4088" i="19"/>
  <c r="C4089" i="19"/>
  <c r="C4090" i="19"/>
  <c r="C4091" i="19"/>
  <c r="C4092" i="19"/>
  <c r="C4093" i="19"/>
  <c r="C4094" i="19"/>
  <c r="C4095" i="19"/>
  <c r="C4096" i="19"/>
  <c r="C4097" i="19"/>
  <c r="C4098" i="19"/>
  <c r="C4099" i="19"/>
  <c r="C4100" i="19"/>
  <c r="C4101" i="19"/>
  <c r="C4102" i="19"/>
  <c r="C4103" i="19"/>
  <c r="C4104" i="19"/>
  <c r="C4105" i="19"/>
  <c r="C4106" i="19"/>
  <c r="C4107" i="19"/>
  <c r="C4108" i="19"/>
  <c r="C4109" i="19"/>
  <c r="C4110" i="19"/>
  <c r="C4111" i="19"/>
  <c r="C4112" i="19"/>
  <c r="C4113" i="19"/>
  <c r="C4114" i="19"/>
  <c r="C4115" i="19"/>
  <c r="C4116" i="19"/>
  <c r="C4117" i="19"/>
  <c r="C4118" i="19"/>
  <c r="C4119" i="19"/>
  <c r="C4120" i="19"/>
  <c r="C4121" i="19"/>
  <c r="C4122" i="19"/>
  <c r="C4123" i="19"/>
  <c r="C4124" i="19"/>
  <c r="C4125" i="19"/>
  <c r="C4126" i="19"/>
  <c r="C4127" i="19"/>
  <c r="C4128" i="19"/>
  <c r="C4129" i="19"/>
  <c r="C4130" i="19"/>
  <c r="C4131" i="19"/>
  <c r="C4132" i="19"/>
  <c r="C4133" i="19"/>
  <c r="C4134" i="19"/>
  <c r="C4135" i="19"/>
  <c r="C4136" i="19"/>
  <c r="C4137" i="19"/>
  <c r="C4138" i="19"/>
  <c r="C4139" i="19"/>
  <c r="C4140" i="19"/>
  <c r="C4141" i="19"/>
  <c r="C4142" i="19"/>
  <c r="C4143" i="19"/>
  <c r="C4144" i="19"/>
  <c r="C4145" i="19"/>
  <c r="C4146" i="19"/>
  <c r="C4147" i="19"/>
  <c r="C4148" i="19"/>
  <c r="C4149" i="19"/>
  <c r="C4150" i="19"/>
  <c r="C4151" i="19"/>
  <c r="C4152" i="19"/>
  <c r="C4153" i="19"/>
  <c r="C4154" i="19"/>
  <c r="C4155" i="19"/>
  <c r="C4156" i="19"/>
  <c r="C4157" i="19"/>
  <c r="C4158" i="19"/>
  <c r="C4159" i="19"/>
  <c r="C4160" i="19"/>
  <c r="C4161" i="19"/>
  <c r="C4162" i="19"/>
  <c r="C4163" i="19"/>
  <c r="C4164" i="19"/>
  <c r="C4165" i="19"/>
  <c r="C4166" i="19"/>
  <c r="C4167" i="19"/>
  <c r="C4168" i="19"/>
  <c r="C4169" i="19"/>
  <c r="C4170" i="19"/>
  <c r="C4171" i="19"/>
  <c r="C4172" i="19"/>
  <c r="C4173" i="19"/>
  <c r="C4174" i="19"/>
  <c r="C4175" i="19"/>
  <c r="C4176" i="19"/>
  <c r="C4177" i="19"/>
  <c r="C4178" i="19"/>
  <c r="C4179" i="19"/>
  <c r="C4180" i="19"/>
  <c r="C4181" i="19"/>
  <c r="C4182" i="19"/>
  <c r="C4183" i="19"/>
  <c r="C4184" i="19"/>
  <c r="C4185" i="19"/>
  <c r="C4186" i="19"/>
  <c r="C4187" i="19"/>
  <c r="C4188" i="19"/>
  <c r="C4189" i="19"/>
  <c r="C4190" i="19"/>
  <c r="C4191" i="19"/>
  <c r="C4192" i="19"/>
  <c r="C4193" i="19"/>
  <c r="C4194" i="19"/>
  <c r="C4195" i="19"/>
  <c r="C4196" i="19"/>
  <c r="C4197" i="19"/>
  <c r="C4198" i="19"/>
  <c r="C4199" i="19"/>
  <c r="C4200" i="19"/>
  <c r="C4201" i="19"/>
  <c r="C4202" i="19"/>
  <c r="C4203" i="19"/>
  <c r="C4204" i="19"/>
  <c r="C4205" i="19"/>
  <c r="C4206" i="19"/>
  <c r="C4207" i="19"/>
  <c r="C4208" i="19"/>
  <c r="C4209" i="19"/>
  <c r="C4210" i="19"/>
  <c r="C4211" i="19"/>
  <c r="C4212" i="19"/>
  <c r="C4213" i="19"/>
  <c r="C4214" i="19"/>
  <c r="C4215" i="19"/>
  <c r="C4216" i="19"/>
  <c r="C4217" i="19"/>
  <c r="C4218" i="19"/>
  <c r="C4219" i="19"/>
  <c r="C4220" i="19"/>
  <c r="C4221" i="19"/>
  <c r="C4222" i="19"/>
  <c r="C4223" i="19"/>
  <c r="C4224" i="19"/>
  <c r="C4225" i="19"/>
  <c r="C4226" i="19"/>
  <c r="C4227" i="19"/>
  <c r="C4228" i="19"/>
  <c r="C4229" i="19"/>
  <c r="C4230" i="19"/>
  <c r="C4231" i="19"/>
  <c r="C4232" i="19"/>
  <c r="C4233" i="19"/>
  <c r="C4234" i="19"/>
  <c r="C4235" i="19"/>
  <c r="C4236" i="19"/>
  <c r="C4237" i="19"/>
  <c r="C4238" i="19"/>
  <c r="C4239" i="19"/>
  <c r="C4240" i="19"/>
  <c r="C4241" i="19"/>
  <c r="C4242" i="19"/>
  <c r="C4243" i="19"/>
  <c r="C4244" i="19"/>
  <c r="C4245" i="19"/>
  <c r="C4246" i="19"/>
  <c r="C4247" i="19"/>
  <c r="C4248" i="19"/>
  <c r="C4249" i="19"/>
  <c r="C4250" i="19"/>
  <c r="C4251" i="19"/>
  <c r="C4252" i="19"/>
  <c r="C4253" i="19"/>
  <c r="C4254" i="19"/>
  <c r="C4255" i="19"/>
  <c r="C4256" i="19"/>
  <c r="C4257" i="19"/>
  <c r="C4258" i="19"/>
  <c r="C4259" i="19"/>
  <c r="C4260" i="19"/>
  <c r="C4261" i="19"/>
  <c r="C4262" i="19"/>
  <c r="C4263" i="19"/>
  <c r="C4264" i="19"/>
  <c r="C4265" i="19"/>
  <c r="C4266" i="19"/>
  <c r="C4267" i="19"/>
  <c r="C4268" i="19"/>
  <c r="C4269" i="19"/>
  <c r="C4270" i="19"/>
  <c r="C4271" i="19"/>
  <c r="C4272" i="19"/>
  <c r="C4273" i="19"/>
  <c r="C4274" i="19"/>
  <c r="C4275" i="19"/>
  <c r="C4276" i="19"/>
  <c r="C4277" i="19"/>
  <c r="C4278" i="19"/>
  <c r="C4279" i="19"/>
  <c r="C4280" i="19"/>
  <c r="C4281" i="19"/>
  <c r="C4282" i="19"/>
  <c r="C4283" i="19"/>
  <c r="C4284" i="19"/>
  <c r="C4285" i="19"/>
  <c r="C4286" i="19"/>
  <c r="C4287" i="19"/>
  <c r="C4288" i="19"/>
  <c r="C4289" i="19"/>
  <c r="C4290" i="19"/>
  <c r="C4291" i="19"/>
  <c r="C4292" i="19"/>
  <c r="C4293" i="19"/>
  <c r="C4294" i="19"/>
  <c r="C4295" i="19"/>
  <c r="C4296" i="19"/>
  <c r="C4297" i="19"/>
  <c r="C4298" i="19"/>
  <c r="C4299" i="19"/>
  <c r="C4300" i="19"/>
  <c r="C4301" i="19"/>
  <c r="C4302" i="19"/>
  <c r="C4303" i="19"/>
  <c r="C4304" i="19"/>
  <c r="C4305" i="19"/>
  <c r="C4306" i="19"/>
  <c r="C4307" i="19"/>
  <c r="C4308" i="19"/>
  <c r="C4309" i="19"/>
  <c r="C4310" i="19"/>
  <c r="C4311" i="19"/>
  <c r="C4312" i="19"/>
  <c r="C4313" i="19"/>
  <c r="C4314" i="19"/>
  <c r="C4315" i="19"/>
  <c r="C4316" i="19"/>
  <c r="C4317" i="19"/>
  <c r="C4318" i="19"/>
  <c r="C4319" i="19"/>
  <c r="C4320" i="19"/>
  <c r="C4321" i="19"/>
  <c r="C4322" i="19"/>
  <c r="C4323" i="19"/>
  <c r="C4324" i="19"/>
  <c r="C4325" i="19"/>
  <c r="C4326" i="19"/>
  <c r="C4327" i="19"/>
  <c r="C4328" i="19"/>
  <c r="C4329" i="19"/>
  <c r="C4330" i="19"/>
  <c r="C4331" i="19"/>
  <c r="C4332" i="19"/>
  <c r="C4333" i="19"/>
  <c r="C4334" i="19"/>
  <c r="C4335" i="19"/>
  <c r="C4336" i="19"/>
  <c r="C4337" i="19"/>
  <c r="C4338" i="19"/>
  <c r="C4339" i="19"/>
  <c r="C4340" i="19"/>
  <c r="C4341" i="19"/>
  <c r="C4342" i="19"/>
  <c r="C4343" i="19"/>
  <c r="C4344" i="19"/>
  <c r="C4345" i="19"/>
  <c r="C4346" i="19"/>
  <c r="C4347" i="19"/>
  <c r="C4348" i="19"/>
  <c r="C4349" i="19"/>
  <c r="C4350" i="19"/>
  <c r="C4351" i="19"/>
  <c r="C4352" i="19"/>
  <c r="C4353" i="19"/>
  <c r="C4354" i="19"/>
  <c r="C4355" i="19"/>
  <c r="C4356" i="19"/>
  <c r="C4357" i="19"/>
  <c r="C4358" i="19"/>
  <c r="C4359" i="19"/>
  <c r="C4360" i="19"/>
  <c r="C4361" i="19"/>
  <c r="C4362" i="19"/>
  <c r="C4363" i="19"/>
  <c r="C4364" i="19"/>
  <c r="C4365" i="19"/>
  <c r="C4366" i="19"/>
  <c r="C4367" i="19"/>
  <c r="C4368" i="19"/>
  <c r="C4369" i="19"/>
  <c r="C4370" i="19"/>
  <c r="C4371" i="19"/>
  <c r="C4372" i="19"/>
  <c r="C4373" i="19"/>
  <c r="C4374" i="19"/>
  <c r="C4375" i="19"/>
  <c r="C4376" i="19"/>
  <c r="C4377" i="19"/>
  <c r="C4378" i="19"/>
  <c r="C4379" i="19"/>
  <c r="C4380" i="19"/>
  <c r="C4381" i="19"/>
  <c r="C4382" i="19"/>
  <c r="C4383" i="19"/>
  <c r="C4384" i="19"/>
  <c r="C4385" i="19"/>
  <c r="C4386" i="19"/>
  <c r="C4387" i="19"/>
  <c r="C4388" i="19"/>
  <c r="C4389" i="19"/>
  <c r="C4390" i="19"/>
  <c r="C4391" i="19"/>
  <c r="C4392" i="19"/>
  <c r="C4393" i="19"/>
  <c r="C4394" i="19"/>
  <c r="C4395" i="19"/>
  <c r="C4396" i="19"/>
  <c r="C4397" i="19"/>
  <c r="C4398" i="19"/>
  <c r="C4399" i="19"/>
  <c r="C4400" i="19"/>
  <c r="C4401" i="19"/>
  <c r="C4402" i="19"/>
  <c r="C4403" i="19"/>
  <c r="C4404" i="19"/>
  <c r="C4405" i="19"/>
  <c r="C4406" i="19"/>
  <c r="C4407" i="19"/>
  <c r="C4408" i="19"/>
  <c r="C4409" i="19"/>
  <c r="C4410" i="19"/>
  <c r="C4411" i="19"/>
  <c r="C4412" i="19"/>
  <c r="C4413" i="19"/>
  <c r="C4414" i="19"/>
  <c r="C4415" i="19"/>
  <c r="C4416" i="19"/>
  <c r="C4417" i="19"/>
  <c r="C4418" i="19"/>
  <c r="C4419" i="19"/>
  <c r="C4420" i="19"/>
  <c r="C4421" i="19"/>
  <c r="C4422" i="19"/>
  <c r="C4423" i="19"/>
  <c r="C4424" i="19"/>
  <c r="C4425" i="19"/>
  <c r="C4426" i="19"/>
  <c r="C4427" i="19"/>
  <c r="C4428" i="19"/>
  <c r="C4429" i="19"/>
  <c r="C4430" i="19"/>
  <c r="C4431" i="19"/>
  <c r="C4432" i="19"/>
  <c r="C4433" i="19"/>
  <c r="C4434" i="19"/>
  <c r="C4435" i="19"/>
  <c r="C4436" i="19"/>
  <c r="C4437" i="19"/>
  <c r="C4438" i="19"/>
  <c r="C4439" i="19"/>
  <c r="C4440" i="19"/>
  <c r="C4441" i="19"/>
  <c r="C4442" i="19"/>
  <c r="C4443" i="19"/>
  <c r="C4444" i="19"/>
  <c r="C4445" i="19"/>
  <c r="C4446" i="19"/>
  <c r="C4447" i="19"/>
  <c r="C4448" i="19"/>
  <c r="C4449" i="19"/>
  <c r="C4450" i="19"/>
  <c r="C4451" i="19"/>
  <c r="C4452" i="19"/>
  <c r="C4453" i="19"/>
  <c r="C4454" i="19"/>
  <c r="C4455" i="19"/>
  <c r="C4456" i="19"/>
  <c r="C4457" i="19"/>
  <c r="C4458" i="19"/>
  <c r="C4459" i="19"/>
  <c r="C4460" i="19"/>
  <c r="C4461" i="19"/>
  <c r="C4462" i="19"/>
  <c r="C4463" i="19"/>
  <c r="C4464" i="19"/>
  <c r="C4465" i="19"/>
  <c r="C4466" i="19"/>
  <c r="C4467" i="19"/>
  <c r="C4468" i="19"/>
  <c r="C4469" i="19"/>
  <c r="C4470" i="19"/>
  <c r="C4471" i="19"/>
  <c r="C4472" i="19"/>
  <c r="C4473" i="19"/>
  <c r="C4474" i="19"/>
  <c r="C4475" i="19"/>
  <c r="C4476" i="19"/>
  <c r="C4477" i="19"/>
  <c r="C4478" i="19"/>
  <c r="C4479" i="19"/>
  <c r="C4480" i="19"/>
  <c r="C4481" i="19"/>
  <c r="C4482" i="19"/>
  <c r="C4483" i="19"/>
  <c r="C4484" i="19"/>
  <c r="C4485" i="19"/>
  <c r="C4486" i="19"/>
  <c r="C4487" i="19"/>
  <c r="C2031" i="19"/>
  <c r="C2032" i="19"/>
  <c r="C2033" i="19"/>
  <c r="C2034" i="19"/>
  <c r="C2035" i="19"/>
  <c r="C2036" i="19"/>
  <c r="C2037" i="19"/>
  <c r="C2038" i="19"/>
  <c r="C2039" i="19"/>
  <c r="C2040" i="19"/>
  <c r="C2041" i="19"/>
  <c r="C2042" i="19"/>
  <c r="C2043" i="19"/>
  <c r="C2044" i="19"/>
  <c r="C2045" i="19"/>
  <c r="C2046" i="19"/>
  <c r="C2047" i="19"/>
  <c r="C2048" i="19"/>
  <c r="C2049" i="19"/>
  <c r="C2050" i="19"/>
  <c r="C2051" i="19"/>
  <c r="C2052" i="19"/>
  <c r="C2053" i="19"/>
  <c r="C2054" i="19"/>
  <c r="C2055" i="19"/>
  <c r="C2056" i="19"/>
  <c r="C2057" i="19"/>
  <c r="C2058" i="19"/>
  <c r="C2059" i="19"/>
  <c r="C2060" i="19"/>
  <c r="C2061" i="19"/>
  <c r="C2062" i="19"/>
  <c r="C2063" i="19"/>
  <c r="C2064" i="19"/>
  <c r="C2065" i="19"/>
  <c r="C2066" i="19"/>
  <c r="C2067" i="19"/>
  <c r="C2068" i="19"/>
  <c r="C2069" i="19"/>
  <c r="C2070" i="19"/>
  <c r="C2071" i="19"/>
  <c r="C2072" i="19"/>
  <c r="C2073" i="19"/>
  <c r="C2074" i="19"/>
  <c r="C2075" i="19"/>
  <c r="C2076" i="19"/>
  <c r="C2077" i="19"/>
  <c r="C2078" i="19"/>
  <c r="C2079" i="19"/>
  <c r="C2080" i="19"/>
  <c r="C2081" i="19"/>
  <c r="C2082" i="19"/>
  <c r="C2083" i="19"/>
  <c r="C2084" i="19"/>
  <c r="C2085" i="19"/>
  <c r="C2086" i="19"/>
  <c r="C2087" i="19"/>
  <c r="C2088" i="19"/>
  <c r="C2089" i="19"/>
  <c r="C2090" i="19"/>
  <c r="C2091" i="19"/>
  <c r="C2092" i="19"/>
  <c r="C2093" i="19"/>
  <c r="C2094" i="19"/>
  <c r="C2095" i="19"/>
  <c r="C2096" i="19"/>
  <c r="C2097" i="19"/>
  <c r="C2098" i="19"/>
  <c r="C2099" i="19"/>
  <c r="C2100" i="19"/>
  <c r="C2101" i="19"/>
  <c r="C2102" i="19"/>
  <c r="C2103" i="19"/>
  <c r="C2104" i="19"/>
  <c r="C2105" i="19"/>
  <c r="C2106" i="19"/>
  <c r="C2107" i="19"/>
  <c r="C2108" i="19"/>
  <c r="C2109" i="19"/>
  <c r="C2110" i="19"/>
  <c r="C2111" i="19"/>
  <c r="C2112" i="19"/>
  <c r="C2113" i="19"/>
  <c r="C2114" i="19"/>
  <c r="C2115" i="19"/>
  <c r="C2116" i="19"/>
  <c r="C2117" i="19"/>
  <c r="C2118" i="19"/>
  <c r="C2119" i="19"/>
  <c r="C2120" i="19"/>
  <c r="C2121" i="19"/>
  <c r="C2122" i="19"/>
  <c r="C2123" i="19"/>
  <c r="C2124" i="19"/>
  <c r="C2125" i="19"/>
  <c r="C2126" i="19"/>
  <c r="C2127" i="19"/>
  <c r="C2128" i="19"/>
  <c r="C2129" i="19"/>
  <c r="C2130" i="19"/>
  <c r="C2131" i="19"/>
  <c r="C2132" i="19"/>
  <c r="C2133" i="19"/>
  <c r="C2134" i="19"/>
  <c r="C2135" i="19"/>
  <c r="C2136" i="19"/>
  <c r="C2137" i="19"/>
  <c r="C2138" i="19"/>
  <c r="C2139" i="19"/>
  <c r="C2140" i="19"/>
  <c r="C2141" i="19"/>
  <c r="C2142" i="19"/>
  <c r="C2143" i="19"/>
  <c r="C2144" i="19"/>
  <c r="C2145" i="19"/>
  <c r="C2146" i="19"/>
  <c r="C2147" i="19"/>
  <c r="C2148" i="19"/>
  <c r="C2149" i="19"/>
  <c r="C2150" i="19"/>
  <c r="C2151" i="19"/>
  <c r="C2152" i="19"/>
  <c r="C2153" i="19"/>
  <c r="C2154" i="19"/>
  <c r="C2155" i="19"/>
  <c r="C2156" i="19"/>
  <c r="C2157" i="19"/>
  <c r="C2158" i="19"/>
  <c r="C2159" i="19"/>
  <c r="C2160" i="19"/>
  <c r="C2161" i="19"/>
  <c r="C2162" i="19"/>
  <c r="C2163" i="19"/>
  <c r="C2164" i="19"/>
  <c r="C2165" i="19"/>
  <c r="C2166" i="19"/>
  <c r="C2167" i="19"/>
  <c r="C2168" i="19"/>
  <c r="C2169" i="19"/>
  <c r="C2170" i="19"/>
  <c r="C2171" i="19"/>
  <c r="C2172" i="19"/>
  <c r="C2173" i="19"/>
  <c r="C2174" i="19"/>
  <c r="C2175" i="19"/>
  <c r="C2176" i="19"/>
  <c r="C2177" i="19"/>
  <c r="C2178" i="19"/>
  <c r="C2179" i="19"/>
  <c r="C2180" i="19"/>
  <c r="C2181" i="19"/>
  <c r="C2182" i="19"/>
  <c r="C2183" i="19"/>
  <c r="C2184" i="19"/>
  <c r="C2185" i="19"/>
  <c r="C2186" i="19"/>
  <c r="C2187" i="19"/>
  <c r="C2188" i="19"/>
  <c r="C2189" i="19"/>
  <c r="C2190" i="19"/>
  <c r="C2191" i="19"/>
  <c r="C2192" i="19"/>
  <c r="C2193" i="19"/>
  <c r="C2194" i="19"/>
  <c r="C2195" i="19"/>
  <c r="C2196" i="19"/>
  <c r="C2197" i="19"/>
  <c r="C2198" i="19"/>
  <c r="C2199" i="19"/>
  <c r="C2200" i="19"/>
  <c r="C2201" i="19"/>
  <c r="C2202" i="19"/>
  <c r="C2203" i="19"/>
  <c r="C2204" i="19"/>
  <c r="C2205" i="19"/>
  <c r="C2206" i="19"/>
  <c r="C2207" i="19"/>
  <c r="C2208" i="19"/>
  <c r="C2209" i="19"/>
  <c r="C2210" i="19"/>
  <c r="C2211" i="19"/>
  <c r="C2212" i="19"/>
  <c r="C2213" i="19"/>
  <c r="C2214" i="19"/>
  <c r="C2215" i="19"/>
  <c r="C2216" i="19"/>
  <c r="C2217" i="19"/>
  <c r="C2218" i="19"/>
  <c r="C2219" i="19"/>
  <c r="C2220" i="19"/>
  <c r="C2221" i="19"/>
  <c r="C2222" i="19"/>
  <c r="C2223" i="19"/>
  <c r="C2224" i="19"/>
  <c r="C2225" i="19"/>
  <c r="C2226" i="19"/>
  <c r="C2227" i="19"/>
  <c r="C2228" i="19"/>
  <c r="C2229" i="19"/>
  <c r="C2230" i="19"/>
  <c r="C2231" i="19"/>
  <c r="C2232" i="19"/>
  <c r="C2233" i="19"/>
  <c r="C2234" i="19"/>
  <c r="C2235" i="19"/>
  <c r="C2236" i="19"/>
  <c r="C2237" i="19"/>
  <c r="C2238" i="19"/>
  <c r="C2239" i="19"/>
  <c r="C2240" i="19"/>
  <c r="C2241" i="19"/>
  <c r="C2242" i="19"/>
  <c r="C2243" i="19"/>
  <c r="C2244" i="19"/>
  <c r="C2245" i="19"/>
  <c r="C2246" i="19"/>
  <c r="C2247" i="19"/>
  <c r="C2248" i="19"/>
  <c r="C2249" i="19"/>
  <c r="C2250" i="19"/>
  <c r="C2251" i="19"/>
  <c r="C2252" i="19"/>
  <c r="C2253" i="19"/>
  <c r="C2254" i="19"/>
  <c r="C2255" i="19"/>
  <c r="C2256" i="19"/>
  <c r="C2257" i="19"/>
  <c r="C2258" i="19"/>
  <c r="C2259" i="19"/>
  <c r="C2260" i="19"/>
  <c r="C2261" i="19"/>
  <c r="C2262" i="19"/>
  <c r="C2263" i="19"/>
  <c r="C2264" i="19"/>
  <c r="C2265" i="19"/>
  <c r="C2266" i="19"/>
  <c r="C2267" i="19"/>
  <c r="C2268" i="19"/>
  <c r="C2269" i="19"/>
  <c r="C2270" i="19"/>
  <c r="C2271" i="19"/>
  <c r="C2272" i="19"/>
  <c r="C2273" i="19"/>
  <c r="C2274" i="19"/>
  <c r="C2275" i="19"/>
  <c r="C2276" i="19"/>
  <c r="C2277" i="19"/>
  <c r="C2278" i="19"/>
  <c r="C2279" i="19"/>
  <c r="C2280" i="19"/>
  <c r="C2281" i="19"/>
  <c r="C2282" i="19"/>
  <c r="C2283" i="19"/>
  <c r="C2284" i="19"/>
  <c r="C2285" i="19"/>
  <c r="C2286" i="19"/>
  <c r="C2287" i="19"/>
  <c r="C2288" i="19"/>
  <c r="C2289" i="19"/>
  <c r="C2290" i="19"/>
  <c r="C2291" i="19"/>
  <c r="C2292" i="19"/>
  <c r="C2293" i="19"/>
  <c r="C2294" i="19"/>
  <c r="C2295" i="19"/>
  <c r="C2296" i="19"/>
  <c r="C2297" i="19"/>
  <c r="C2298" i="19"/>
  <c r="C2299" i="19"/>
  <c r="C2300" i="19"/>
  <c r="C2301" i="19"/>
  <c r="C2302" i="19"/>
  <c r="C2303" i="19"/>
  <c r="C2304" i="19"/>
  <c r="C2305" i="19"/>
  <c r="C2306" i="19"/>
  <c r="C2307" i="19"/>
  <c r="C2308" i="19"/>
  <c r="C2309" i="19"/>
  <c r="C2310" i="19"/>
  <c r="C2311" i="19"/>
  <c r="C2312" i="19"/>
  <c r="C2313" i="19"/>
  <c r="C1261" i="19"/>
  <c r="C1262" i="19"/>
  <c r="C1263" i="19"/>
  <c r="C1264" i="19"/>
  <c r="C1265" i="19"/>
  <c r="C1266" i="19"/>
  <c r="C1267" i="19"/>
  <c r="C1268" i="19"/>
  <c r="C1269" i="19"/>
  <c r="C1270" i="19"/>
  <c r="C1271" i="19"/>
  <c r="C1272" i="19"/>
  <c r="C1273" i="19"/>
  <c r="C1274" i="19"/>
  <c r="C1275" i="19"/>
  <c r="C1276" i="19"/>
  <c r="C1277" i="19"/>
  <c r="C1278" i="19"/>
  <c r="C1279" i="19"/>
  <c r="C1280" i="19"/>
  <c r="C1281" i="19"/>
  <c r="C1282" i="19"/>
  <c r="C1283" i="19"/>
  <c r="C1284" i="19"/>
  <c r="C1285" i="19"/>
  <c r="C1286" i="19"/>
  <c r="C1287" i="19"/>
  <c r="C1288" i="19"/>
  <c r="C1289" i="19"/>
  <c r="C1290" i="19"/>
  <c r="C1291" i="19"/>
  <c r="C1292" i="19"/>
  <c r="C1293" i="19"/>
  <c r="C1294" i="19"/>
  <c r="C1295" i="19"/>
  <c r="C1296" i="19"/>
  <c r="C1297" i="19"/>
  <c r="C1298" i="19"/>
  <c r="C1299" i="19"/>
  <c r="C1300" i="19"/>
  <c r="C1301" i="19"/>
  <c r="C1302" i="19"/>
  <c r="C1303" i="19"/>
  <c r="C1304" i="19"/>
  <c r="C1305" i="19"/>
  <c r="C1306" i="19"/>
  <c r="C1307" i="19"/>
  <c r="C1308" i="19"/>
  <c r="C1309" i="19"/>
  <c r="C1310" i="19"/>
  <c r="C1311" i="19"/>
  <c r="C1312" i="19"/>
  <c r="C1313" i="19"/>
  <c r="C1314" i="19"/>
  <c r="C1315" i="19"/>
  <c r="C1316" i="19"/>
  <c r="C1317" i="19"/>
  <c r="C1318" i="19"/>
  <c r="C1319" i="19"/>
  <c r="C1320" i="19"/>
  <c r="C1321" i="19"/>
  <c r="C1322" i="19"/>
  <c r="C1323" i="19"/>
  <c r="C1324" i="19"/>
  <c r="C1325"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C1348" i="19"/>
  <c r="C1349" i="19"/>
  <c r="C1350" i="19"/>
  <c r="C1351" i="19"/>
  <c r="C1352" i="19"/>
  <c r="C1353" i="19"/>
  <c r="C1354" i="19"/>
  <c r="C1355" i="19"/>
  <c r="C1356" i="19"/>
  <c r="C1357" i="19"/>
  <c r="C1358" i="19"/>
  <c r="C1359" i="19"/>
  <c r="C1360" i="19"/>
  <c r="C1361" i="19"/>
  <c r="C1362" i="19"/>
  <c r="C1363" i="19"/>
  <c r="C1364" i="19"/>
  <c r="C1365" i="19"/>
  <c r="C1366" i="19"/>
  <c r="C1367" i="19"/>
  <c r="C1368" i="19"/>
  <c r="C1369" i="19"/>
  <c r="C1370" i="19"/>
  <c r="C1371" i="19"/>
  <c r="C1372" i="19"/>
  <c r="C1373" i="19"/>
  <c r="C1374" i="19"/>
  <c r="C1375" i="19"/>
  <c r="C1376" i="19"/>
  <c r="C1377" i="19"/>
  <c r="C1378" i="19"/>
  <c r="C1379" i="19"/>
  <c r="C1380" i="19"/>
  <c r="C1381" i="19"/>
  <c r="C1382" i="19"/>
  <c r="C1383" i="19"/>
  <c r="C1384" i="19"/>
  <c r="C1385" i="19"/>
  <c r="C1386" i="19"/>
  <c r="C1387" i="19"/>
  <c r="C1388" i="19"/>
  <c r="C1389" i="19"/>
  <c r="C1390" i="19"/>
  <c r="C1391" i="19"/>
  <c r="C1392" i="19"/>
  <c r="C1393" i="19"/>
  <c r="C1394" i="19"/>
  <c r="C1395" i="19"/>
  <c r="C1396" i="19"/>
  <c r="C1397" i="19"/>
  <c r="C1398" i="19"/>
  <c r="C1399" i="19"/>
  <c r="C1400" i="19"/>
  <c r="C1401" i="19"/>
  <c r="C1402" i="19"/>
  <c r="C1403" i="19"/>
  <c r="C1404" i="19"/>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3686" i="19"/>
  <c r="C3687" i="19"/>
  <c r="C3688" i="19"/>
  <c r="C3689" i="19"/>
  <c r="C3690" i="19"/>
  <c r="C3691" i="19"/>
  <c r="C3692" i="19"/>
  <c r="C3693" i="19"/>
  <c r="C3694" i="19"/>
  <c r="C3695" i="19"/>
  <c r="C3696" i="19"/>
  <c r="C3697" i="19"/>
  <c r="C3698" i="19"/>
  <c r="C3699" i="19"/>
  <c r="C3700" i="19"/>
  <c r="C3701" i="19"/>
  <c r="C3702" i="19"/>
  <c r="C3703" i="19"/>
  <c r="C3704" i="19"/>
  <c r="C3705" i="19"/>
  <c r="C3706" i="19"/>
  <c r="C3707" i="19"/>
  <c r="C3708" i="19"/>
  <c r="C3709" i="19"/>
  <c r="C3710" i="19"/>
  <c r="C3711" i="19"/>
  <c r="C3712" i="19"/>
  <c r="C3713" i="19"/>
  <c r="C3714" i="19"/>
  <c r="C3715" i="19"/>
  <c r="C3716" i="19"/>
  <c r="C3717" i="19"/>
  <c r="C3718" i="19"/>
  <c r="C3719" i="19"/>
  <c r="C3720" i="19"/>
  <c r="C3721" i="19"/>
  <c r="C3722" i="19"/>
  <c r="C3723" i="19"/>
  <c r="C3724" i="19"/>
  <c r="C3725" i="19"/>
  <c r="C3726" i="19"/>
  <c r="C3727" i="19"/>
  <c r="C3728" i="19"/>
  <c r="C3729" i="19"/>
  <c r="C3730" i="19"/>
  <c r="C3731" i="19"/>
  <c r="C3732" i="19"/>
  <c r="C3733" i="19"/>
  <c r="C3734" i="19"/>
  <c r="C3735" i="19"/>
  <c r="C3736" i="19"/>
  <c r="C3737" i="19"/>
  <c r="C3738" i="19"/>
  <c r="C3739" i="19"/>
  <c r="C3740" i="19"/>
  <c r="C3741" i="19"/>
  <c r="C3742" i="19"/>
  <c r="C3743" i="19"/>
  <c r="C3744" i="19"/>
  <c r="C3745" i="19"/>
  <c r="C3746" i="19"/>
  <c r="C3747" i="19"/>
  <c r="C3748" i="19"/>
  <c r="C3749" i="19"/>
  <c r="C3750" i="19"/>
  <c r="C3751" i="19"/>
  <c r="C3752" i="19"/>
  <c r="C3753" i="19"/>
  <c r="C3754" i="19"/>
  <c r="C3755" i="19"/>
  <c r="C3756" i="19"/>
  <c r="C3757" i="19"/>
  <c r="C3758" i="19"/>
  <c r="C3759" i="19"/>
  <c r="C3760" i="19"/>
  <c r="C3761" i="19"/>
  <c r="C3762" i="19"/>
  <c r="C3763" i="19"/>
  <c r="C3764" i="19"/>
  <c r="C3765" i="19"/>
  <c r="C3766" i="19"/>
  <c r="C3767" i="19"/>
  <c r="C3768" i="19"/>
  <c r="C3769" i="19"/>
  <c r="C3770" i="19"/>
  <c r="C3771" i="19"/>
  <c r="C3772" i="19"/>
  <c r="C3773" i="19"/>
  <c r="C3774" i="19"/>
  <c r="C3775" i="19"/>
  <c r="C3776" i="19"/>
  <c r="C3777" i="19"/>
  <c r="C3778" i="19"/>
  <c r="C3779" i="19"/>
  <c r="C3780" i="19"/>
  <c r="C3781" i="19"/>
  <c r="C3782" i="19"/>
  <c r="C3783" i="19"/>
  <c r="C3784" i="19"/>
  <c r="C3785" i="19"/>
  <c r="C3786" i="19"/>
  <c r="C3787" i="19"/>
  <c r="C3788" i="19"/>
  <c r="C3789" i="19"/>
  <c r="C3790" i="19"/>
  <c r="C3791" i="19"/>
  <c r="C3792" i="19"/>
  <c r="C3793" i="19"/>
  <c r="C3794" i="19"/>
  <c r="C3795" i="19"/>
  <c r="C3796" i="19"/>
  <c r="C3797" i="19"/>
  <c r="C3798" i="19"/>
  <c r="C3799" i="19"/>
  <c r="C3800" i="19"/>
  <c r="C3801" i="19"/>
  <c r="C3802" i="19"/>
  <c r="C3803" i="19"/>
  <c r="C3804" i="19"/>
  <c r="C3805" i="19"/>
  <c r="C3806" i="19"/>
  <c r="C3807" i="19"/>
  <c r="C3808" i="19"/>
  <c r="C3809" i="19"/>
  <c r="C3810" i="19"/>
  <c r="C3811" i="19"/>
  <c r="C3812" i="19"/>
  <c r="C3813" i="19"/>
  <c r="C3814" i="19"/>
  <c r="C3815" i="19"/>
  <c r="C3816" i="19"/>
  <c r="C3817" i="19"/>
  <c r="C3818" i="19"/>
  <c r="C3819" i="19"/>
  <c r="C3820" i="19"/>
  <c r="C3821" i="19"/>
  <c r="C3822" i="19"/>
  <c r="C3823" i="19"/>
  <c r="C3824" i="19"/>
  <c r="C3825" i="19"/>
  <c r="C3826" i="19"/>
  <c r="C3827" i="19"/>
  <c r="C3828" i="19"/>
  <c r="C3829" i="19"/>
  <c r="C3830" i="19"/>
  <c r="C3831" i="19"/>
  <c r="C3832" i="19"/>
  <c r="C3833" i="19"/>
  <c r="C3834" i="19"/>
  <c r="C3835" i="19"/>
  <c r="C3836" i="19"/>
  <c r="C3837" i="19"/>
  <c r="C3838" i="19"/>
  <c r="C3839" i="19"/>
  <c r="C3840" i="19"/>
  <c r="C3841" i="19"/>
  <c r="C3842" i="19"/>
  <c r="C3843" i="19"/>
  <c r="C3844" i="19"/>
  <c r="C3845" i="19"/>
  <c r="C3846" i="19"/>
  <c r="C3847" i="19"/>
  <c r="C3848" i="19"/>
  <c r="C3849" i="19"/>
  <c r="C3850" i="19"/>
  <c r="C3851" i="19"/>
  <c r="C3852" i="19"/>
  <c r="C3853" i="19"/>
  <c r="C3854" i="19"/>
  <c r="C3855" i="19"/>
  <c r="C3856" i="19"/>
  <c r="C3857" i="19"/>
  <c r="C3858" i="19"/>
  <c r="C3859" i="19"/>
  <c r="C3860" i="19"/>
  <c r="C3861" i="19"/>
  <c r="C3862" i="19"/>
  <c r="C3863" i="19"/>
  <c r="C3864" i="19"/>
  <c r="C3865" i="19"/>
  <c r="C3866" i="19"/>
  <c r="C3867" i="19"/>
  <c r="C3868" i="19"/>
  <c r="C3869" i="19"/>
  <c r="C3870" i="19"/>
  <c r="C3871" i="19"/>
  <c r="C3872" i="19"/>
  <c r="C3873" i="19"/>
  <c r="C3874" i="19"/>
  <c r="C3875" i="19"/>
  <c r="C3876" i="19"/>
  <c r="C3877" i="19"/>
  <c r="C3878" i="19"/>
  <c r="C3879" i="19"/>
  <c r="C3880" i="19"/>
  <c r="C3881" i="19"/>
  <c r="C3882" i="19"/>
  <c r="C3883" i="19"/>
  <c r="C3884" i="19"/>
  <c r="C3885" i="19"/>
  <c r="C3886" i="19"/>
  <c r="C3887" i="19"/>
  <c r="C3888" i="19"/>
  <c r="C3889" i="19"/>
  <c r="C3890" i="19"/>
  <c r="C3891" i="19"/>
  <c r="C3892" i="19"/>
  <c r="C3893" i="19"/>
  <c r="C3894" i="19"/>
  <c r="C3895" i="19"/>
  <c r="C3896" i="19"/>
  <c r="C3897" i="19"/>
  <c r="C3898" i="19"/>
  <c r="C3899" i="19"/>
  <c r="C3900" i="19"/>
  <c r="C3901" i="19"/>
  <c r="C3902" i="19"/>
  <c r="C3903" i="19"/>
  <c r="C3904" i="19"/>
  <c r="C3905" i="19"/>
  <c r="C3906" i="19"/>
  <c r="C3907" i="19"/>
  <c r="C3908" i="19"/>
  <c r="C3462" i="19"/>
  <c r="C3463" i="19"/>
  <c r="C3464" i="19"/>
  <c r="C3465" i="19"/>
  <c r="C3466" i="19"/>
  <c r="C3467" i="19"/>
  <c r="C3468" i="19"/>
  <c r="C3469" i="19"/>
  <c r="C3470" i="19"/>
  <c r="C3471" i="19"/>
  <c r="C3472" i="19"/>
  <c r="C3473" i="19"/>
  <c r="C3474" i="19"/>
  <c r="C3475" i="19"/>
  <c r="C3476" i="19"/>
  <c r="C3477" i="19"/>
  <c r="C3478" i="19"/>
  <c r="C3479" i="19"/>
  <c r="C3480" i="19"/>
  <c r="C3481" i="19"/>
  <c r="C3482" i="19"/>
  <c r="C3483" i="19"/>
  <c r="C3484" i="19"/>
  <c r="C3485" i="19"/>
  <c r="C3486" i="19"/>
  <c r="C3487" i="19"/>
  <c r="C3488" i="19"/>
  <c r="C3489" i="19"/>
  <c r="C3490" i="19"/>
  <c r="C3491" i="19"/>
  <c r="C3492" i="19"/>
  <c r="C3493" i="19"/>
  <c r="C3494" i="19"/>
  <c r="C3495" i="19"/>
  <c r="C3496" i="19"/>
  <c r="C3497" i="19"/>
  <c r="C3498" i="19"/>
  <c r="C3499" i="19"/>
  <c r="C3500" i="19"/>
  <c r="C3501" i="19"/>
  <c r="C3502" i="19"/>
  <c r="C3503" i="19"/>
  <c r="C3504" i="19"/>
  <c r="C3505" i="19"/>
  <c r="C3506" i="19"/>
  <c r="C3507" i="19"/>
  <c r="C3508" i="19"/>
  <c r="C3509" i="19"/>
  <c r="C3510" i="19"/>
  <c r="C3511" i="19"/>
  <c r="C3512" i="19"/>
  <c r="C3513" i="19"/>
  <c r="C3514" i="19"/>
  <c r="C3515" i="19"/>
  <c r="C3516" i="19"/>
  <c r="C3517" i="19"/>
  <c r="C3518" i="19"/>
  <c r="C3519" i="19"/>
  <c r="C3520" i="19"/>
  <c r="C3521" i="19"/>
  <c r="C3522" i="19"/>
  <c r="C3523" i="19"/>
  <c r="C3524" i="19"/>
  <c r="C3525" i="19"/>
  <c r="C3526" i="19"/>
  <c r="C3527" i="19"/>
  <c r="C3528" i="19"/>
  <c r="C3529" i="19"/>
  <c r="C3530" i="19"/>
  <c r="C3531" i="19"/>
  <c r="C3532" i="19"/>
  <c r="C3533" i="19"/>
  <c r="C3534" i="19"/>
  <c r="C3535" i="19"/>
  <c r="C3536" i="19"/>
  <c r="C3537" i="19"/>
  <c r="C3538" i="19"/>
  <c r="C3539" i="19"/>
  <c r="C3540" i="19"/>
  <c r="C3541" i="19"/>
  <c r="C3542" i="19"/>
  <c r="C3543" i="19"/>
  <c r="C3544" i="19"/>
  <c r="C3545" i="19"/>
  <c r="C3546" i="19"/>
  <c r="C3547" i="19"/>
  <c r="C3548" i="19"/>
  <c r="C3549" i="19"/>
  <c r="C3550" i="19"/>
  <c r="C3551" i="19"/>
  <c r="C3552" i="19"/>
  <c r="C3553" i="19"/>
  <c r="C3554" i="19"/>
  <c r="C3555" i="19"/>
  <c r="C3556" i="19"/>
  <c r="C3557" i="19"/>
  <c r="C3558" i="19"/>
  <c r="C3559" i="19"/>
  <c r="C3560" i="19"/>
  <c r="C3561" i="19"/>
  <c r="C3562" i="19"/>
  <c r="C3563" i="19"/>
  <c r="C3564" i="19"/>
  <c r="C3565" i="19"/>
  <c r="C3566" i="19"/>
  <c r="C3567" i="19"/>
  <c r="C3568" i="19"/>
  <c r="C3569" i="19"/>
  <c r="C3570" i="19"/>
  <c r="C3571" i="19"/>
  <c r="C3572" i="19"/>
  <c r="C3573" i="19"/>
  <c r="C3574" i="19"/>
  <c r="C3575" i="19"/>
  <c r="C3576" i="19"/>
  <c r="C3577" i="19"/>
  <c r="C3578" i="19"/>
  <c r="C3579" i="19"/>
  <c r="C3580" i="19"/>
  <c r="C3581" i="19"/>
  <c r="C3582" i="19"/>
  <c r="C3583" i="19"/>
  <c r="C3584" i="19"/>
  <c r="C3585" i="19"/>
  <c r="C3586" i="19"/>
  <c r="C3587" i="19"/>
  <c r="C3588" i="19"/>
  <c r="C3589" i="19"/>
  <c r="C3590" i="19"/>
  <c r="C3591" i="19"/>
  <c r="C3592" i="19"/>
  <c r="C3593" i="19"/>
  <c r="C3594" i="19"/>
  <c r="C3595" i="19"/>
  <c r="C3596" i="19"/>
  <c r="C3597" i="19"/>
  <c r="C3598" i="19"/>
  <c r="C3599" i="19"/>
  <c r="C3600" i="19"/>
  <c r="C3601" i="19"/>
  <c r="C3602" i="19"/>
  <c r="C3603" i="19"/>
  <c r="C3604" i="19"/>
  <c r="C3605" i="19"/>
  <c r="C3606" i="19"/>
  <c r="C3607" i="19"/>
  <c r="C3608" i="19"/>
  <c r="C3609" i="19"/>
  <c r="C3610" i="19"/>
  <c r="C3611" i="19"/>
  <c r="C3612" i="19"/>
  <c r="C3613" i="19"/>
  <c r="C3614" i="19"/>
  <c r="C3615" i="19"/>
  <c r="C3616" i="19"/>
  <c r="C3617" i="19"/>
  <c r="C3618" i="19"/>
  <c r="C3619" i="19"/>
  <c r="C3620" i="19"/>
  <c r="C3621" i="19"/>
  <c r="C3622" i="19"/>
  <c r="C3623" i="19"/>
  <c r="C3624" i="19"/>
  <c r="C3625" i="19"/>
  <c r="C3626" i="19"/>
  <c r="C3627" i="19"/>
  <c r="C3628" i="19"/>
  <c r="C3629" i="19"/>
  <c r="C3630" i="19"/>
  <c r="C3631" i="19"/>
  <c r="C3632" i="19"/>
  <c r="C3633" i="19"/>
  <c r="C3634" i="19"/>
  <c r="C3635" i="19"/>
  <c r="C3636" i="19"/>
  <c r="C3637" i="19"/>
  <c r="C3638" i="19"/>
  <c r="C3639" i="19"/>
  <c r="C3640" i="19"/>
  <c r="C3641" i="19"/>
  <c r="C3642" i="19"/>
  <c r="C3643" i="19"/>
  <c r="C3644" i="19"/>
  <c r="C3645" i="19"/>
  <c r="C3646" i="19"/>
  <c r="C3647" i="19"/>
  <c r="C3648" i="19"/>
  <c r="C3649" i="19"/>
  <c r="C3650" i="19"/>
  <c r="C3651" i="19"/>
  <c r="C3652" i="19"/>
  <c r="C3653" i="19"/>
  <c r="C3654" i="19"/>
  <c r="C3655" i="19"/>
  <c r="C3656" i="19"/>
  <c r="C3657" i="19"/>
  <c r="C3658" i="19"/>
  <c r="C3659" i="19"/>
  <c r="C3660" i="19"/>
  <c r="C3661" i="19"/>
  <c r="C3662" i="19"/>
  <c r="C3663" i="19"/>
  <c r="C3664" i="19"/>
  <c r="C3665" i="19"/>
  <c r="C3666" i="19"/>
  <c r="C3667" i="19"/>
  <c r="C3668" i="19"/>
  <c r="C3669" i="19"/>
  <c r="C3670" i="19"/>
  <c r="C3671" i="19"/>
  <c r="C3672" i="19"/>
  <c r="C3673" i="19"/>
  <c r="C3674" i="19"/>
  <c r="C3675" i="19"/>
  <c r="C3676" i="19"/>
  <c r="C3677" i="19"/>
  <c r="C3678" i="19"/>
  <c r="C3679" i="19"/>
  <c r="C3680" i="19"/>
  <c r="C3681" i="19"/>
  <c r="C3682" i="19"/>
  <c r="C3683" i="19"/>
  <c r="C3684" i="19"/>
  <c r="C3277" i="19"/>
  <c r="C3278" i="19"/>
  <c r="C3279" i="19"/>
  <c r="C3280" i="19"/>
  <c r="C3281" i="19"/>
  <c r="C3282" i="19"/>
  <c r="C3283" i="19"/>
  <c r="C3284" i="19"/>
  <c r="C3285" i="19"/>
  <c r="C3286" i="19"/>
  <c r="C3287" i="19"/>
  <c r="C3288" i="19"/>
  <c r="C3289" i="19"/>
  <c r="C3290" i="19"/>
  <c r="C3291" i="19"/>
  <c r="C3292" i="19"/>
  <c r="C3293" i="19"/>
  <c r="C3294" i="19"/>
  <c r="C3295" i="19"/>
  <c r="C3296" i="19"/>
  <c r="C3297" i="19"/>
  <c r="C3298" i="19"/>
  <c r="C3299" i="19"/>
  <c r="C3300" i="19"/>
  <c r="C3301" i="19"/>
  <c r="C3302" i="19"/>
  <c r="C3303" i="19"/>
  <c r="C3304" i="19"/>
  <c r="C3305" i="19"/>
  <c r="C3306" i="19"/>
  <c r="C3307" i="19"/>
  <c r="C3308" i="19"/>
  <c r="C3309" i="19"/>
  <c r="C3310" i="19"/>
  <c r="C3311" i="19"/>
  <c r="C3312" i="19"/>
  <c r="C3313" i="19"/>
  <c r="C3314" i="19"/>
  <c r="C3315" i="19"/>
  <c r="C3316" i="19"/>
  <c r="C3317" i="19"/>
  <c r="C3318" i="19"/>
  <c r="C3319" i="19"/>
  <c r="C3320" i="19"/>
  <c r="C3321" i="19"/>
  <c r="C3322" i="19"/>
  <c r="C3323" i="19"/>
  <c r="C3324" i="19"/>
  <c r="C3325" i="19"/>
  <c r="C3326" i="19"/>
  <c r="C3327" i="19"/>
  <c r="C3328" i="19"/>
  <c r="C3329" i="19"/>
  <c r="C3330" i="19"/>
  <c r="C3331" i="19"/>
  <c r="C3332" i="19"/>
  <c r="C3333" i="19"/>
  <c r="C3334" i="19"/>
  <c r="C3335" i="19"/>
  <c r="C3336" i="19"/>
  <c r="C3337" i="19"/>
  <c r="C3338" i="19"/>
  <c r="C3339" i="19"/>
  <c r="C3340" i="19"/>
  <c r="C3341" i="19"/>
  <c r="C3342" i="19"/>
  <c r="C3343" i="19"/>
  <c r="C3344" i="19"/>
  <c r="C3345" i="19"/>
  <c r="C3346" i="19"/>
  <c r="C3347" i="19"/>
  <c r="C3348" i="19"/>
  <c r="C3349" i="19"/>
  <c r="C3350" i="19"/>
  <c r="C3351" i="19"/>
  <c r="C3352" i="19"/>
  <c r="C3353" i="19"/>
  <c r="C3354" i="19"/>
  <c r="C3355" i="19"/>
  <c r="C3356" i="19"/>
  <c r="C3357" i="19"/>
  <c r="C3358" i="19"/>
  <c r="C3359" i="19"/>
  <c r="C3360" i="19"/>
  <c r="C3361" i="19"/>
  <c r="C3362" i="19"/>
  <c r="C3363" i="19"/>
  <c r="C3364" i="19"/>
  <c r="C3365" i="19"/>
  <c r="C3366" i="19"/>
  <c r="C3367" i="19"/>
  <c r="C3368" i="19"/>
  <c r="C3369" i="19"/>
  <c r="C3370" i="19"/>
  <c r="C3371" i="19"/>
  <c r="C3372" i="19"/>
  <c r="C3373" i="19"/>
  <c r="C3374" i="19"/>
  <c r="C3375" i="19"/>
  <c r="C3376" i="19"/>
  <c r="C3377" i="19"/>
  <c r="C3378" i="19"/>
  <c r="C3379" i="19"/>
  <c r="C3380" i="19"/>
  <c r="C3381" i="19"/>
  <c r="C3382" i="19"/>
  <c r="C3383" i="19"/>
  <c r="C3384" i="19"/>
  <c r="C3385" i="19"/>
  <c r="C3386" i="19"/>
  <c r="C3387" i="19"/>
  <c r="C3388" i="19"/>
  <c r="C3389" i="19"/>
  <c r="C3390" i="19"/>
  <c r="C3391" i="19"/>
  <c r="C3392" i="19"/>
  <c r="C3393" i="19"/>
  <c r="C3394" i="19"/>
  <c r="C3395" i="19"/>
  <c r="C3396" i="19"/>
  <c r="C3397" i="19"/>
  <c r="C3398" i="19"/>
  <c r="C3399" i="19"/>
  <c r="C3400" i="19"/>
  <c r="C3401" i="19"/>
  <c r="C3402" i="19"/>
  <c r="C3403" i="19"/>
  <c r="C3404" i="19"/>
  <c r="C3405" i="19"/>
  <c r="C3406" i="19"/>
  <c r="C3407" i="19"/>
  <c r="C3408" i="19"/>
  <c r="C3409" i="19"/>
  <c r="C3410" i="19"/>
  <c r="C3411" i="19"/>
  <c r="C3412" i="19"/>
  <c r="C3413" i="19"/>
  <c r="C3414" i="19"/>
  <c r="C3415" i="19"/>
  <c r="C3416" i="19"/>
  <c r="C3417" i="19"/>
  <c r="C3418" i="19"/>
  <c r="C3419" i="19"/>
  <c r="C3420" i="19"/>
  <c r="C3421" i="19"/>
  <c r="C3422" i="19"/>
  <c r="C3423" i="19"/>
  <c r="C3424" i="19"/>
  <c r="C3425" i="19"/>
  <c r="C3426" i="19"/>
  <c r="C3427" i="19"/>
  <c r="C3428" i="19"/>
  <c r="C3429" i="19"/>
  <c r="C3430" i="19"/>
  <c r="C3431" i="19"/>
  <c r="C3432" i="19"/>
  <c r="C3433" i="19"/>
  <c r="C3434" i="19"/>
  <c r="C3435" i="19"/>
  <c r="C3436" i="19"/>
  <c r="C3437" i="19"/>
  <c r="C3438" i="19"/>
  <c r="C3439" i="19"/>
  <c r="C3440" i="19"/>
  <c r="C3441" i="19"/>
  <c r="C3442" i="19"/>
  <c r="C3443" i="19"/>
  <c r="C3444" i="19"/>
  <c r="C3445" i="19"/>
  <c r="C3446" i="19"/>
  <c r="C3447" i="19"/>
  <c r="C3448" i="19"/>
  <c r="C3449" i="19"/>
  <c r="C3450" i="19"/>
  <c r="C3451" i="19"/>
  <c r="C3452" i="19"/>
  <c r="C3453" i="19"/>
  <c r="C3454" i="19"/>
  <c r="C3455" i="19"/>
  <c r="C3456" i="19"/>
  <c r="C3457" i="19"/>
  <c r="C3458" i="19"/>
  <c r="C3459" i="19"/>
  <c r="C3460" i="19"/>
  <c r="C3092" i="19"/>
  <c r="C3093" i="19"/>
  <c r="C3094" i="19"/>
  <c r="C3095" i="19"/>
  <c r="C3096" i="19"/>
  <c r="C3097" i="19"/>
  <c r="C3098" i="19"/>
  <c r="C3099" i="19"/>
  <c r="C3100" i="19"/>
  <c r="C3101" i="19"/>
  <c r="C3102" i="19"/>
  <c r="C3103" i="19"/>
  <c r="C3104" i="19"/>
  <c r="C3105" i="19"/>
  <c r="C3106" i="19"/>
  <c r="C3107" i="19"/>
  <c r="C3108" i="19"/>
  <c r="C3109" i="19"/>
  <c r="C3110" i="19"/>
  <c r="C3111" i="19"/>
  <c r="C3112" i="19"/>
  <c r="C3113" i="19"/>
  <c r="C3114" i="19"/>
  <c r="C3115" i="19"/>
  <c r="C3116" i="19"/>
  <c r="C3117" i="19"/>
  <c r="C3118" i="19"/>
  <c r="C3119" i="19"/>
  <c r="C3120" i="19"/>
  <c r="C3121" i="19"/>
  <c r="C3122" i="19"/>
  <c r="C3123" i="19"/>
  <c r="C3124" i="19"/>
  <c r="C3125" i="19"/>
  <c r="C3126" i="19"/>
  <c r="C3127" i="19"/>
  <c r="C3128" i="19"/>
  <c r="C3129" i="19"/>
  <c r="C3130" i="19"/>
  <c r="C3131" i="19"/>
  <c r="C3132" i="19"/>
  <c r="C3133" i="19"/>
  <c r="C3134" i="19"/>
  <c r="C3135" i="19"/>
  <c r="C3136" i="19"/>
  <c r="C3137" i="19"/>
  <c r="C3138" i="19"/>
  <c r="C3139" i="19"/>
  <c r="C3140" i="19"/>
  <c r="C3141" i="19"/>
  <c r="C3142" i="19"/>
  <c r="C3143" i="19"/>
  <c r="C3144" i="19"/>
  <c r="C3145" i="19"/>
  <c r="C3146" i="19"/>
  <c r="C3147" i="19"/>
  <c r="C3148" i="19"/>
  <c r="C3149" i="19"/>
  <c r="C3150" i="19"/>
  <c r="C3151" i="19"/>
  <c r="C3152" i="19"/>
  <c r="C3153" i="19"/>
  <c r="C3154" i="19"/>
  <c r="C3155" i="19"/>
  <c r="C3156" i="19"/>
  <c r="C3157" i="19"/>
  <c r="C3158" i="19"/>
  <c r="C3159" i="19"/>
  <c r="C3160" i="19"/>
  <c r="C3161" i="19"/>
  <c r="C3162" i="19"/>
  <c r="C3163" i="19"/>
  <c r="C3164" i="19"/>
  <c r="C3165" i="19"/>
  <c r="C3166" i="19"/>
  <c r="C3167" i="19"/>
  <c r="C3168" i="19"/>
  <c r="C3169" i="19"/>
  <c r="C3170" i="19"/>
  <c r="C3171" i="19"/>
  <c r="C3172" i="19"/>
  <c r="C3173" i="19"/>
  <c r="C3174" i="19"/>
  <c r="C3175" i="19"/>
  <c r="C3176" i="19"/>
  <c r="C3177" i="19"/>
  <c r="C3178" i="19"/>
  <c r="C3179" i="19"/>
  <c r="C3180" i="19"/>
  <c r="C3181" i="19"/>
  <c r="C3182" i="19"/>
  <c r="C3183" i="19"/>
  <c r="C3184" i="19"/>
  <c r="C3185" i="19"/>
  <c r="C3186" i="19"/>
  <c r="C3187" i="19"/>
  <c r="C3188" i="19"/>
  <c r="C3189" i="19"/>
  <c r="C3190" i="19"/>
  <c r="C3191" i="19"/>
  <c r="C3192" i="19"/>
  <c r="C3193" i="19"/>
  <c r="C3194" i="19"/>
  <c r="C3195" i="19"/>
  <c r="C3196" i="19"/>
  <c r="C3197" i="19"/>
  <c r="C3198" i="19"/>
  <c r="C3199" i="19"/>
  <c r="C3200" i="19"/>
  <c r="C3201" i="19"/>
  <c r="C3202" i="19"/>
  <c r="C3203" i="19"/>
  <c r="C3204" i="19"/>
  <c r="C3205" i="19"/>
  <c r="C3206" i="19"/>
  <c r="C3207" i="19"/>
  <c r="C3208" i="19"/>
  <c r="C3209" i="19"/>
  <c r="C3210" i="19"/>
  <c r="C3211" i="19"/>
  <c r="C3212" i="19"/>
  <c r="C3213" i="19"/>
  <c r="C3214" i="19"/>
  <c r="C3215" i="19"/>
  <c r="C3216" i="19"/>
  <c r="C3217" i="19"/>
  <c r="C3218" i="19"/>
  <c r="C3219" i="19"/>
  <c r="C3220" i="19"/>
  <c r="C3221" i="19"/>
  <c r="C3222" i="19"/>
  <c r="C3223" i="19"/>
  <c r="C3224" i="19"/>
  <c r="C3225" i="19"/>
  <c r="C3226" i="19"/>
  <c r="C3227" i="19"/>
  <c r="C3228" i="19"/>
  <c r="C3229" i="19"/>
  <c r="C3230" i="19"/>
  <c r="C3231" i="19"/>
  <c r="C3232" i="19"/>
  <c r="C3233" i="19"/>
  <c r="C3234" i="19"/>
  <c r="C3235" i="19"/>
  <c r="C3236" i="19"/>
  <c r="C3237" i="19"/>
  <c r="C3238" i="19"/>
  <c r="C3239" i="19"/>
  <c r="C3240" i="19"/>
  <c r="C3241" i="19"/>
  <c r="C3242" i="19"/>
  <c r="C3243" i="19"/>
  <c r="C3244" i="19"/>
  <c r="C3245" i="19"/>
  <c r="C3246" i="19"/>
  <c r="C3247" i="19"/>
  <c r="C3248" i="19"/>
  <c r="C3249" i="19"/>
  <c r="C3250" i="19"/>
  <c r="C3251" i="19"/>
  <c r="C3252" i="19"/>
  <c r="C3253" i="19"/>
  <c r="C3254" i="19"/>
  <c r="C3255" i="19"/>
  <c r="C3256" i="19"/>
  <c r="C3257" i="19"/>
  <c r="C3258" i="19"/>
  <c r="C3259" i="19"/>
  <c r="C3260" i="19"/>
  <c r="C3261" i="19"/>
  <c r="C3262" i="19"/>
  <c r="C3263" i="19"/>
  <c r="C3264" i="19"/>
  <c r="C3265" i="19"/>
  <c r="C3266" i="19"/>
  <c r="C3267" i="19"/>
  <c r="C3268" i="19"/>
  <c r="C3269" i="19"/>
  <c r="C3270" i="19"/>
  <c r="C3271" i="19"/>
  <c r="C3272" i="19"/>
  <c r="C3273" i="19"/>
  <c r="C3274" i="19"/>
  <c r="C3275" i="19"/>
  <c r="C3007" i="19"/>
  <c r="C3008" i="19"/>
  <c r="C3009" i="19"/>
  <c r="C3010" i="19"/>
  <c r="C3011" i="19"/>
  <c r="C3012" i="19"/>
  <c r="C3013" i="19"/>
  <c r="C3014" i="19"/>
  <c r="C3015" i="19"/>
  <c r="C3016" i="19"/>
  <c r="C3017" i="19"/>
  <c r="C3018" i="19"/>
  <c r="C3019" i="19"/>
  <c r="C3020" i="19"/>
  <c r="C3021" i="19"/>
  <c r="C3022" i="19"/>
  <c r="C3023" i="19"/>
  <c r="C3024" i="19"/>
  <c r="C3025" i="19"/>
  <c r="C3026" i="19"/>
  <c r="C3027" i="19"/>
  <c r="C3028" i="19"/>
  <c r="C3029" i="19"/>
  <c r="C3030" i="19"/>
  <c r="C3031" i="19"/>
  <c r="C3032" i="19"/>
  <c r="C3033" i="19"/>
  <c r="C3034" i="19"/>
  <c r="C3035" i="19"/>
  <c r="C3036" i="19"/>
  <c r="C3037" i="19"/>
  <c r="C3038" i="19"/>
  <c r="C3039" i="19"/>
  <c r="C3040" i="19"/>
  <c r="C3041" i="19"/>
  <c r="C3042" i="19"/>
  <c r="C3043" i="19"/>
  <c r="C3044" i="19"/>
  <c r="C3045" i="19"/>
  <c r="C3046" i="19"/>
  <c r="C3047" i="19"/>
  <c r="C3048" i="19"/>
  <c r="C3049" i="19"/>
  <c r="C3050" i="19"/>
  <c r="C3051" i="19"/>
  <c r="C3052" i="19"/>
  <c r="C3053" i="19"/>
  <c r="C3054" i="19"/>
  <c r="C3055" i="19"/>
  <c r="C3056" i="19"/>
  <c r="C3057" i="19"/>
  <c r="C3058" i="19"/>
  <c r="C3059" i="19"/>
  <c r="C3060" i="19"/>
  <c r="C3061" i="19"/>
  <c r="C3062" i="19"/>
  <c r="C3063" i="19"/>
  <c r="C3064" i="19"/>
  <c r="C3065" i="19"/>
  <c r="C3066" i="19"/>
  <c r="C3067" i="19"/>
  <c r="C3068" i="19"/>
  <c r="C3069" i="19"/>
  <c r="C3070" i="19"/>
  <c r="C3071" i="19"/>
  <c r="C3072" i="19"/>
  <c r="C3073" i="19"/>
  <c r="C3074" i="19"/>
  <c r="C3075" i="19"/>
  <c r="C3076" i="19"/>
  <c r="C3077" i="19"/>
  <c r="C3078" i="19"/>
  <c r="C3079" i="19"/>
  <c r="C3080" i="19"/>
  <c r="C3081" i="19"/>
  <c r="C3082" i="19"/>
  <c r="C3083" i="19"/>
  <c r="C3084" i="19"/>
  <c r="C3085" i="19"/>
  <c r="C3086" i="19"/>
  <c r="C3087" i="19"/>
  <c r="C3088" i="19"/>
  <c r="C3089" i="19"/>
  <c r="C3090" i="19"/>
  <c r="C2922" i="19"/>
  <c r="C2923" i="19"/>
  <c r="C2924" i="19"/>
  <c r="C2925" i="19"/>
  <c r="C2926" i="19"/>
  <c r="C2927" i="19"/>
  <c r="C2928" i="19"/>
  <c r="C2929" i="19"/>
  <c r="C2930" i="19"/>
  <c r="C2931" i="19"/>
  <c r="C2932" i="19"/>
  <c r="C2933" i="19"/>
  <c r="C2934" i="19"/>
  <c r="C2935" i="19"/>
  <c r="C2936" i="19"/>
  <c r="C2937" i="19"/>
  <c r="C2938" i="19"/>
  <c r="C2939" i="19"/>
  <c r="C2940" i="19"/>
  <c r="C2941" i="19"/>
  <c r="C2942" i="19"/>
  <c r="C2943" i="19"/>
  <c r="C2944" i="19"/>
  <c r="C2945" i="19"/>
  <c r="C2946" i="19"/>
  <c r="C2947" i="19"/>
  <c r="C2948" i="19"/>
  <c r="C2949" i="19"/>
  <c r="C2950" i="19"/>
  <c r="C2951" i="19"/>
  <c r="C2952" i="19"/>
  <c r="C2953" i="19"/>
  <c r="C2954" i="19"/>
  <c r="C2955" i="19"/>
  <c r="C2956" i="19"/>
  <c r="C2957" i="19"/>
  <c r="C2958" i="19"/>
  <c r="C2959" i="19"/>
  <c r="C2960" i="19"/>
  <c r="C2961" i="19"/>
  <c r="C2962" i="19"/>
  <c r="C2963" i="19"/>
  <c r="C2964" i="19"/>
  <c r="C2965" i="19"/>
  <c r="C2966" i="19"/>
  <c r="C2967" i="19"/>
  <c r="C2968" i="19"/>
  <c r="C2969" i="19"/>
  <c r="C2970" i="19"/>
  <c r="C2971" i="19"/>
  <c r="C2972" i="19"/>
  <c r="C2973" i="19"/>
  <c r="C2974" i="19"/>
  <c r="C2975" i="19"/>
  <c r="C2976" i="19"/>
  <c r="C2977" i="19"/>
  <c r="C2978" i="19"/>
  <c r="C2979" i="19"/>
  <c r="C2980" i="19"/>
  <c r="C2981" i="19"/>
  <c r="C2982" i="19"/>
  <c r="C2983" i="19"/>
  <c r="C2984" i="19"/>
  <c r="C2985" i="19"/>
  <c r="C2986" i="19"/>
  <c r="C2987" i="19"/>
  <c r="C2988" i="19"/>
  <c r="C2989" i="19"/>
  <c r="C2990" i="19"/>
  <c r="C2991" i="19"/>
  <c r="C2992" i="19"/>
  <c r="C2993" i="19"/>
  <c r="C2994" i="19"/>
  <c r="C2995" i="19"/>
  <c r="C2996" i="19"/>
  <c r="C2997" i="19"/>
  <c r="C2998" i="19"/>
  <c r="C2999" i="19"/>
  <c r="C3000" i="19"/>
  <c r="C3001" i="19"/>
  <c r="C3002" i="19"/>
  <c r="C3003" i="19"/>
  <c r="C3004" i="19"/>
  <c r="C3005" i="19"/>
  <c r="C5754" i="19"/>
  <c r="C5755" i="19"/>
  <c r="C5756" i="19"/>
  <c r="C5757" i="19"/>
  <c r="C5758" i="19"/>
  <c r="C5759" i="19"/>
  <c r="C5760" i="19"/>
  <c r="C5761" i="19"/>
  <c r="C5762" i="19"/>
  <c r="C5763" i="19"/>
  <c r="C5764" i="19"/>
  <c r="C5765" i="19"/>
  <c r="C5766" i="19"/>
  <c r="C5767" i="19"/>
  <c r="C5768" i="19"/>
  <c r="C5769" i="19"/>
  <c r="C5770" i="19"/>
  <c r="C5771" i="19"/>
  <c r="C5772" i="19"/>
  <c r="C5773" i="19"/>
  <c r="C5774" i="19"/>
  <c r="C5775" i="19"/>
  <c r="C5776" i="19"/>
  <c r="C5777" i="19"/>
  <c r="C5778" i="19"/>
  <c r="C5779" i="19"/>
  <c r="C5780" i="19"/>
  <c r="C5781" i="19"/>
  <c r="C5782" i="19"/>
  <c r="C5783" i="19"/>
  <c r="C5784" i="19"/>
  <c r="C5785" i="19"/>
  <c r="C5786" i="19"/>
  <c r="C5787" i="19"/>
  <c r="C5788" i="19"/>
  <c r="C5789" i="19"/>
  <c r="C5790" i="19"/>
  <c r="C5791" i="19"/>
  <c r="C5792" i="19"/>
  <c r="C5793" i="19"/>
  <c r="C5794" i="19"/>
  <c r="C5795" i="19"/>
  <c r="C5796" i="19"/>
  <c r="C5797" i="19"/>
  <c r="C5798" i="19"/>
  <c r="C5799" i="19"/>
  <c r="C5800" i="19"/>
  <c r="C5801" i="19"/>
  <c r="C5802" i="19"/>
  <c r="C5803" i="19"/>
  <c r="C5804" i="19"/>
  <c r="C5805" i="19"/>
  <c r="C5806" i="19"/>
  <c r="C5807" i="19"/>
  <c r="C5808" i="19"/>
  <c r="C5809" i="19"/>
  <c r="C5810" i="19"/>
  <c r="C5811" i="19"/>
  <c r="C5812" i="19"/>
  <c r="C5813" i="19"/>
  <c r="C5814" i="19"/>
  <c r="C5815" i="19"/>
  <c r="C5816" i="19"/>
  <c r="C5817" i="19"/>
  <c r="C5818" i="19"/>
  <c r="C5819" i="19"/>
  <c r="C5820" i="19"/>
  <c r="C5821" i="19"/>
  <c r="C5822" i="19"/>
  <c r="C5823" i="19"/>
  <c r="C5824" i="19"/>
  <c r="C5825" i="19"/>
  <c r="C5826" i="19"/>
  <c r="C5827" i="19"/>
  <c r="C5828" i="19"/>
  <c r="C5829" i="19"/>
  <c r="C5830" i="19"/>
  <c r="C5831" i="19"/>
  <c r="C5832" i="19"/>
  <c r="C5833" i="19"/>
  <c r="C5834" i="19"/>
  <c r="C5835" i="19"/>
  <c r="C5836" i="19"/>
  <c r="C5837" i="19"/>
  <c r="C5838" i="19"/>
  <c r="C5839" i="19"/>
  <c r="C5840" i="19"/>
  <c r="C5841" i="19"/>
  <c r="C5842" i="19"/>
  <c r="C5843" i="19"/>
  <c r="C5844" i="19"/>
  <c r="C5845" i="19"/>
  <c r="C5846" i="19"/>
  <c r="C5847" i="19"/>
  <c r="C5848" i="19"/>
  <c r="C5849" i="19"/>
  <c r="C5850" i="19"/>
  <c r="C5851" i="19"/>
  <c r="C5852" i="19"/>
  <c r="C5853" i="19"/>
  <c r="C5854" i="19"/>
  <c r="C5855" i="19"/>
  <c r="C5856" i="19"/>
  <c r="C5857" i="19"/>
  <c r="C5858" i="19"/>
  <c r="C5859" i="19"/>
  <c r="C5860" i="19"/>
  <c r="C5861" i="19"/>
  <c r="C5862" i="19"/>
  <c r="C5863" i="19"/>
  <c r="C5864" i="19"/>
  <c r="C5865" i="19"/>
  <c r="C5866" i="19"/>
  <c r="C5867" i="19"/>
  <c r="C5868" i="19"/>
  <c r="C5869" i="19"/>
  <c r="C5870" i="19"/>
  <c r="C5636" i="19"/>
  <c r="C5637" i="19"/>
  <c r="C5638" i="19"/>
  <c r="C5639" i="19"/>
  <c r="C5640" i="19"/>
  <c r="C5641" i="19"/>
  <c r="C5642" i="19"/>
  <c r="C5643" i="19"/>
  <c r="C5644" i="19"/>
  <c r="C5645" i="19"/>
  <c r="C5646" i="19"/>
  <c r="C5647" i="19"/>
  <c r="C5648" i="19"/>
  <c r="C5649" i="19"/>
  <c r="C5650" i="19"/>
  <c r="C5651" i="19"/>
  <c r="C5652" i="19"/>
  <c r="C5653" i="19"/>
  <c r="C5654" i="19"/>
  <c r="C5655" i="19"/>
  <c r="C5656" i="19"/>
  <c r="C5657" i="19"/>
  <c r="C5658" i="19"/>
  <c r="C5659" i="19"/>
  <c r="C5660" i="19"/>
  <c r="C5661" i="19"/>
  <c r="C5662" i="19"/>
  <c r="C5663" i="19"/>
  <c r="C5664" i="19"/>
  <c r="C5665" i="19"/>
  <c r="C5666" i="19"/>
  <c r="C5667" i="19"/>
  <c r="C5668" i="19"/>
  <c r="C5669" i="19"/>
  <c r="C5670" i="19"/>
  <c r="C5671" i="19"/>
  <c r="C5672" i="19"/>
  <c r="C5673" i="19"/>
  <c r="C5674" i="19"/>
  <c r="C5675" i="19"/>
  <c r="C5676" i="19"/>
  <c r="C5677" i="19"/>
  <c r="C5678" i="19"/>
  <c r="C5679" i="19"/>
  <c r="C5680" i="19"/>
  <c r="C5681" i="19"/>
  <c r="C5682" i="19"/>
  <c r="C5683" i="19"/>
  <c r="C5684" i="19"/>
  <c r="C5685" i="19"/>
  <c r="C5686" i="19"/>
  <c r="C5687" i="19"/>
  <c r="C5688" i="19"/>
  <c r="C5689" i="19"/>
  <c r="C5690" i="19"/>
  <c r="C5691" i="19"/>
  <c r="C5692" i="19"/>
  <c r="C5693" i="19"/>
  <c r="C5694" i="19"/>
  <c r="C5695" i="19"/>
  <c r="C5696" i="19"/>
  <c r="C5697" i="19"/>
  <c r="C5698" i="19"/>
  <c r="C5699" i="19"/>
  <c r="C5700" i="19"/>
  <c r="C5701" i="19"/>
  <c r="C5702" i="19"/>
  <c r="C5703" i="19"/>
  <c r="C5704" i="19"/>
  <c r="C5705" i="19"/>
  <c r="C5706" i="19"/>
  <c r="C5707" i="19"/>
  <c r="C5708" i="19"/>
  <c r="C5709" i="19"/>
  <c r="C5710" i="19"/>
  <c r="C5711" i="19"/>
  <c r="C5712" i="19"/>
  <c r="C5713" i="19"/>
  <c r="C5714" i="19"/>
  <c r="C5715" i="19"/>
  <c r="C5716" i="19"/>
  <c r="C5717" i="19"/>
  <c r="C5718" i="19"/>
  <c r="C5719" i="19"/>
  <c r="C5720" i="19"/>
  <c r="C5721" i="19"/>
  <c r="C5722" i="19"/>
  <c r="C5723" i="19"/>
  <c r="C5724" i="19"/>
  <c r="C5725" i="19"/>
  <c r="C5726" i="19"/>
  <c r="C5727" i="19"/>
  <c r="C5728" i="19"/>
  <c r="C5729" i="19"/>
  <c r="C5730" i="19"/>
  <c r="C5731" i="19"/>
  <c r="C5732" i="19"/>
  <c r="C5733" i="19"/>
  <c r="C5734" i="19"/>
  <c r="C5735" i="19"/>
  <c r="C5736" i="19"/>
  <c r="C5737" i="19"/>
  <c r="C5738" i="19"/>
  <c r="C5739" i="19"/>
  <c r="C5740" i="19"/>
  <c r="C5741" i="19"/>
  <c r="C5742" i="19"/>
  <c r="C5743" i="19"/>
  <c r="C5744" i="19"/>
  <c r="C5745" i="19"/>
  <c r="C5746" i="19"/>
  <c r="C5747" i="19"/>
  <c r="C5748" i="19"/>
  <c r="C5749" i="19"/>
  <c r="C5750" i="19"/>
  <c r="C5751" i="19"/>
  <c r="C5752" i="19"/>
  <c r="C2815" i="19"/>
  <c r="C2816" i="19"/>
  <c r="C2817" i="19"/>
  <c r="C2818" i="19"/>
  <c r="C2819" i="19"/>
  <c r="C2820" i="19"/>
  <c r="C2821" i="19"/>
  <c r="C2822" i="19"/>
  <c r="C2823" i="19"/>
  <c r="C2824" i="19"/>
  <c r="C2825" i="19"/>
  <c r="C2826" i="19"/>
  <c r="C2827" i="19"/>
  <c r="C2828" i="19"/>
  <c r="C2829" i="19"/>
  <c r="C2830" i="19"/>
  <c r="C2831" i="19"/>
  <c r="C2832" i="19"/>
  <c r="C2833" i="19"/>
  <c r="C2834" i="19"/>
  <c r="C2835" i="19"/>
  <c r="C2836" i="19"/>
  <c r="C2837" i="19"/>
  <c r="C2838" i="19"/>
  <c r="C2839" i="19"/>
  <c r="C2840" i="19"/>
  <c r="C2841" i="19"/>
  <c r="C2842" i="19"/>
  <c r="C2843" i="19"/>
  <c r="C2844" i="19"/>
  <c r="C2845" i="19"/>
  <c r="C2846" i="19"/>
  <c r="C2847" i="19"/>
  <c r="C2848" i="19"/>
  <c r="C2849" i="19"/>
  <c r="C2850" i="19"/>
  <c r="C2851" i="19"/>
  <c r="C2852" i="19"/>
  <c r="C2853" i="19"/>
  <c r="C2854" i="19"/>
  <c r="C2855" i="19"/>
  <c r="C2856" i="19"/>
  <c r="C2857" i="19"/>
  <c r="C2858" i="19"/>
  <c r="C2859" i="19"/>
  <c r="C2860" i="19"/>
  <c r="C2861" i="19"/>
  <c r="C2862" i="19"/>
  <c r="C2863" i="19"/>
  <c r="C2864" i="19"/>
  <c r="C2865" i="19"/>
  <c r="C2866" i="19"/>
  <c r="C2867" i="19"/>
  <c r="C2868" i="19"/>
  <c r="C2869" i="19"/>
  <c r="C2870" i="19"/>
  <c r="C2871" i="19"/>
  <c r="C2872" i="19"/>
  <c r="C2873" i="19"/>
  <c r="C2874" i="19"/>
  <c r="C2875" i="19"/>
  <c r="C2876" i="19"/>
  <c r="C2877" i="19"/>
  <c r="C2878" i="19"/>
  <c r="C2879" i="19"/>
  <c r="C2880" i="19"/>
  <c r="C2881" i="19"/>
  <c r="C2882" i="19"/>
  <c r="C2883" i="19"/>
  <c r="C2884" i="19"/>
  <c r="C2885" i="19"/>
  <c r="C2886" i="19"/>
  <c r="C2887" i="19"/>
  <c r="C2888" i="19"/>
  <c r="C2889" i="19"/>
  <c r="C2890" i="19"/>
  <c r="C2891" i="19"/>
  <c r="C2892" i="19"/>
  <c r="C2893" i="19"/>
  <c r="C2894" i="19"/>
  <c r="C2895" i="19"/>
  <c r="C2896" i="19"/>
  <c r="C2897" i="19"/>
  <c r="C2898" i="19"/>
  <c r="C2899" i="19"/>
  <c r="C2900" i="19"/>
  <c r="C2901" i="19"/>
  <c r="C2902" i="19"/>
  <c r="C2903" i="19"/>
  <c r="C2904" i="19"/>
  <c r="C2905" i="19"/>
  <c r="C2906" i="19"/>
  <c r="C2907" i="19"/>
  <c r="C2908" i="19"/>
  <c r="C2909" i="19"/>
  <c r="C2910" i="19"/>
  <c r="C2911" i="19"/>
  <c r="C2912" i="19"/>
  <c r="C2913" i="19"/>
  <c r="C2914" i="19"/>
  <c r="C2915" i="19"/>
  <c r="C2916" i="19"/>
  <c r="C2917" i="19"/>
  <c r="C2918" i="19"/>
  <c r="C2919" i="19"/>
  <c r="C2920" i="19"/>
  <c r="C2745" i="19"/>
  <c r="C2746" i="19"/>
  <c r="C2708" i="19"/>
  <c r="C2709" i="19"/>
  <c r="C2710" i="19"/>
  <c r="C2711" i="19"/>
  <c r="C2712" i="19"/>
  <c r="C2713" i="19"/>
  <c r="C2714" i="19"/>
  <c r="C2715" i="19"/>
  <c r="C2716" i="19"/>
  <c r="C2717" i="19"/>
  <c r="C2718" i="19"/>
  <c r="C2719" i="19"/>
  <c r="C2720" i="19"/>
  <c r="C2721" i="19"/>
  <c r="C2722" i="19"/>
  <c r="C2723" i="19"/>
  <c r="C2724" i="19"/>
  <c r="C2725" i="19"/>
  <c r="C2726" i="19"/>
  <c r="C2727" i="19"/>
  <c r="C2728" i="19"/>
  <c r="C2729" i="19"/>
  <c r="C2730" i="19"/>
  <c r="C2731" i="19"/>
  <c r="C2732" i="19"/>
  <c r="C2733" i="19"/>
  <c r="C2734" i="19"/>
  <c r="C2735" i="19"/>
  <c r="C2736" i="19"/>
  <c r="C2737" i="19"/>
  <c r="C2738" i="19"/>
  <c r="C2739" i="19"/>
  <c r="C2740" i="19"/>
  <c r="C2741" i="19"/>
  <c r="C2742" i="19"/>
  <c r="C2743" i="19"/>
  <c r="C2744" i="19"/>
  <c r="C2747" i="19"/>
  <c r="C2748" i="19"/>
  <c r="C2749" i="19"/>
  <c r="C2750" i="19"/>
  <c r="C2751" i="19"/>
  <c r="C2752" i="19"/>
  <c r="C2753" i="19"/>
  <c r="C2754" i="19"/>
  <c r="C2755" i="19"/>
  <c r="C2756" i="19"/>
  <c r="C2757" i="19"/>
  <c r="C2758" i="19"/>
  <c r="C2759" i="19"/>
  <c r="C2760" i="19"/>
  <c r="C2761" i="19"/>
  <c r="C2762" i="19"/>
  <c r="C2763" i="19"/>
  <c r="C2764" i="19"/>
  <c r="C2765" i="19"/>
  <c r="C2766" i="19"/>
  <c r="C2767" i="19"/>
  <c r="C2768" i="19"/>
  <c r="C2769" i="19"/>
  <c r="C2770" i="19"/>
  <c r="C2771" i="19"/>
  <c r="C2772" i="19"/>
  <c r="C2773" i="19"/>
  <c r="C2774" i="19"/>
  <c r="C2775" i="19"/>
  <c r="C2776" i="19"/>
  <c r="C2777" i="19"/>
  <c r="C2778" i="19"/>
  <c r="C2779" i="19"/>
  <c r="C2780" i="19"/>
  <c r="C2781" i="19"/>
  <c r="C2782" i="19"/>
  <c r="C2783" i="19"/>
  <c r="C2784" i="19"/>
  <c r="C2785" i="19"/>
  <c r="C2786" i="19"/>
  <c r="C2787" i="19"/>
  <c r="C2788" i="19"/>
  <c r="C2789" i="19"/>
  <c r="C2790" i="19"/>
  <c r="C2791" i="19"/>
  <c r="C2792" i="19"/>
  <c r="C2793" i="19"/>
  <c r="C2794" i="19"/>
  <c r="C2795" i="19"/>
  <c r="C2796" i="19"/>
  <c r="C2797" i="19"/>
  <c r="C2798" i="19"/>
  <c r="C2799" i="19"/>
  <c r="C2800" i="19"/>
  <c r="C2801" i="19"/>
  <c r="C2802" i="19"/>
  <c r="C2803" i="19"/>
  <c r="C2804" i="19"/>
  <c r="C2805" i="19"/>
  <c r="C2806" i="19"/>
  <c r="C2807" i="19"/>
  <c r="C2808" i="19"/>
  <c r="C2809" i="19"/>
  <c r="C2810" i="19"/>
  <c r="C2811" i="19"/>
  <c r="C2812" i="19"/>
  <c r="C2813" i="19"/>
  <c r="C2645" i="19"/>
  <c r="C2646" i="19"/>
  <c r="C2610" i="19"/>
  <c r="C2611" i="19"/>
  <c r="C2612" i="19"/>
  <c r="C2613" i="19"/>
  <c r="C2614" i="19"/>
  <c r="C2615" i="19"/>
  <c r="C2616" i="19"/>
  <c r="C2617" i="19"/>
  <c r="C2618" i="19"/>
  <c r="C2619" i="19"/>
  <c r="C2620" i="19"/>
  <c r="C2621" i="19"/>
  <c r="C2622" i="19"/>
  <c r="C2623" i="19"/>
  <c r="C2624" i="19"/>
  <c r="C2625" i="19"/>
  <c r="C2626" i="19"/>
  <c r="C2627" i="19"/>
  <c r="C2628" i="19"/>
  <c r="C2629" i="19"/>
  <c r="C2630" i="19"/>
  <c r="C2631" i="19"/>
  <c r="C2632" i="19"/>
  <c r="C2633" i="19"/>
  <c r="C2634" i="19"/>
  <c r="C2635" i="19"/>
  <c r="C2636" i="19"/>
  <c r="C2637" i="19"/>
  <c r="C2638" i="19"/>
  <c r="C2639" i="19"/>
  <c r="C2640" i="19"/>
  <c r="C2641" i="19"/>
  <c r="C2642" i="19"/>
  <c r="C2643" i="19"/>
  <c r="C2644" i="19"/>
  <c r="C2647" i="19"/>
  <c r="C2648" i="19"/>
  <c r="C2649" i="19"/>
  <c r="C2650" i="19"/>
  <c r="C2651" i="19"/>
  <c r="C2652" i="19"/>
  <c r="C2653" i="19"/>
  <c r="C2654" i="19"/>
  <c r="C2655" i="19"/>
  <c r="C2656" i="19"/>
  <c r="C2657" i="19"/>
  <c r="C2658" i="19"/>
  <c r="C2659" i="19"/>
  <c r="C2660" i="19"/>
  <c r="C2661" i="19"/>
  <c r="C2662" i="19"/>
  <c r="C2663" i="19"/>
  <c r="C2664" i="19"/>
  <c r="C2665" i="19"/>
  <c r="C2666" i="19"/>
  <c r="C2667" i="19"/>
  <c r="C2668" i="19"/>
  <c r="C2669" i="19"/>
  <c r="C2670" i="19"/>
  <c r="C2671" i="19"/>
  <c r="C2672" i="19"/>
  <c r="C2673" i="19"/>
  <c r="C2674" i="19"/>
  <c r="C2675" i="19"/>
  <c r="C2676" i="19"/>
  <c r="C2677" i="19"/>
  <c r="C2678" i="19"/>
  <c r="C2679" i="19"/>
  <c r="C2680" i="19"/>
  <c r="C2681" i="19"/>
  <c r="C2682" i="19"/>
  <c r="C2683" i="19"/>
  <c r="C2684" i="19"/>
  <c r="C2685" i="19"/>
  <c r="C2686" i="19"/>
  <c r="C2687" i="19"/>
  <c r="C2688" i="19"/>
  <c r="C2689" i="19"/>
  <c r="C2690" i="19"/>
  <c r="C2691" i="19"/>
  <c r="C2692" i="19"/>
  <c r="C2693" i="19"/>
  <c r="C2694" i="19"/>
  <c r="C2695" i="19"/>
  <c r="C2696" i="19"/>
  <c r="C2697" i="19"/>
  <c r="C2698" i="19"/>
  <c r="C2699" i="19"/>
  <c r="C2700" i="19"/>
  <c r="C2701" i="19"/>
  <c r="C2702" i="19"/>
  <c r="C2703" i="19"/>
  <c r="C2704" i="19"/>
  <c r="C2705" i="19"/>
  <c r="C2706" i="19"/>
  <c r="C2547" i="19"/>
  <c r="C2548" i="19"/>
  <c r="C2512" i="19"/>
  <c r="C2513" i="19"/>
  <c r="C2514" i="19"/>
  <c r="C2515" i="19"/>
  <c r="C2516" i="19"/>
  <c r="C2517" i="19"/>
  <c r="C2518" i="19"/>
  <c r="C2519" i="19"/>
  <c r="C2520" i="19"/>
  <c r="C2521" i="19"/>
  <c r="C2522" i="19"/>
  <c r="C2523" i="19"/>
  <c r="C2524" i="19"/>
  <c r="C2525" i="19"/>
  <c r="C2526" i="19"/>
  <c r="C2527" i="19"/>
  <c r="C2528" i="19"/>
  <c r="C2529" i="19"/>
  <c r="C2530" i="19"/>
  <c r="C2531" i="19"/>
  <c r="C2532" i="19"/>
  <c r="C2533" i="19"/>
  <c r="C2534" i="19"/>
  <c r="C2535" i="19"/>
  <c r="C2536" i="19"/>
  <c r="C2537" i="19"/>
  <c r="C2538" i="19"/>
  <c r="C2539" i="19"/>
  <c r="C2540" i="19"/>
  <c r="C2541" i="19"/>
  <c r="C2542" i="19"/>
  <c r="C2543" i="19"/>
  <c r="C2544" i="19"/>
  <c r="C2545" i="19"/>
  <c r="C2546" i="19"/>
  <c r="C2549" i="19"/>
  <c r="C2550" i="19"/>
  <c r="C2551" i="19"/>
  <c r="C2552" i="19"/>
  <c r="C2553" i="19"/>
  <c r="C2554" i="19"/>
  <c r="C2555" i="19"/>
  <c r="C2556" i="19"/>
  <c r="C2557" i="19"/>
  <c r="C2558" i="19"/>
  <c r="C2559" i="19"/>
  <c r="C2560" i="19"/>
  <c r="C2561" i="19"/>
  <c r="C2562" i="19"/>
  <c r="C2563" i="19"/>
  <c r="C2564" i="19"/>
  <c r="C2565" i="19"/>
  <c r="C2566" i="19"/>
  <c r="C2567" i="19"/>
  <c r="C2568" i="19"/>
  <c r="C2569" i="19"/>
  <c r="C2570" i="19"/>
  <c r="C2571" i="19"/>
  <c r="C2572" i="19"/>
  <c r="C2573" i="19"/>
  <c r="C2574" i="19"/>
  <c r="C2575" i="19"/>
  <c r="C2576" i="19"/>
  <c r="C2577" i="19"/>
  <c r="C2578" i="19"/>
  <c r="C2579" i="19"/>
  <c r="C2580" i="19"/>
  <c r="C2581" i="19"/>
  <c r="C2582" i="19"/>
  <c r="C2583" i="19"/>
  <c r="C2584" i="19"/>
  <c r="C2585" i="19"/>
  <c r="C2586" i="19"/>
  <c r="C2587" i="19"/>
  <c r="C2588" i="19"/>
  <c r="C2589" i="19"/>
  <c r="C2590" i="19"/>
  <c r="C2591" i="19"/>
  <c r="C2592" i="19"/>
  <c r="C2593" i="19"/>
  <c r="C2594" i="19"/>
  <c r="C2595" i="19"/>
  <c r="C2596" i="19"/>
  <c r="C2597" i="19"/>
  <c r="C2598" i="19"/>
  <c r="C2599" i="19"/>
  <c r="C2600" i="19"/>
  <c r="C2601" i="19"/>
  <c r="C2602" i="19"/>
  <c r="C2603" i="19"/>
  <c r="C2604" i="19"/>
  <c r="C2605" i="19"/>
  <c r="C2606" i="19"/>
  <c r="C2607" i="19"/>
  <c r="C2608" i="19"/>
  <c r="EZ23" i="10"/>
  <c r="FA23" i="10"/>
  <c r="FB23" i="10"/>
  <c r="EX23" i="10"/>
  <c r="EY23" i="10"/>
  <c r="IV23" i="10"/>
  <c r="IT23" i="10"/>
  <c r="KP23" i="10"/>
  <c r="BP23" i="10"/>
  <c r="BQ23" i="10"/>
  <c r="FG23" i="10"/>
  <c r="K23" i="10"/>
  <c r="GI23" i="10" s="1"/>
  <c r="AT23" i="10" s="1"/>
  <c r="BQ8" i="10"/>
  <c r="D58" i="2"/>
  <c r="E58" i="2"/>
  <c r="C58" i="2"/>
  <c r="B58" i="2"/>
  <c r="S14" i="10"/>
  <c r="EO24" i="10"/>
  <c r="EP24" i="10"/>
  <c r="ES24" i="10"/>
  <c r="EZ24" i="10"/>
  <c r="FA24" i="10"/>
  <c r="FB24" i="10"/>
  <c r="IW24" i="10"/>
  <c r="BP24" i="10"/>
  <c r="BR24" i="10"/>
  <c r="BS24" i="10"/>
  <c r="IZ24" i="10"/>
  <c r="EX24" i="10"/>
  <c r="EY24" i="10"/>
  <c r="IV24" i="10"/>
  <c r="IT24" i="10"/>
  <c r="KP24" i="10"/>
  <c r="BQ24" i="10"/>
  <c r="FG24" i="10"/>
  <c r="K24" i="10"/>
  <c r="Q24" i="10"/>
  <c r="EZ25" i="10"/>
  <c r="FA25" i="10"/>
  <c r="FB25" i="10"/>
  <c r="IW25" i="10"/>
  <c r="EX25" i="10"/>
  <c r="EY25" i="10"/>
  <c r="IV25" i="10"/>
  <c r="IX25" i="10"/>
  <c r="IT25" i="10"/>
  <c r="KP25" i="10"/>
  <c r="BP25" i="10"/>
  <c r="BQ25" i="10"/>
  <c r="FG25" i="10"/>
  <c r="K25" i="10"/>
  <c r="EV26" i="10"/>
  <c r="EZ26" i="10"/>
  <c r="FA26" i="10"/>
  <c r="FB26" i="10"/>
  <c r="IW26" i="10"/>
  <c r="EX26" i="10"/>
  <c r="EY26" i="10"/>
  <c r="IV26" i="10"/>
  <c r="IT26" i="10"/>
  <c r="KP26" i="10"/>
  <c r="BQ26" i="10"/>
  <c r="FG26" i="10"/>
  <c r="K26" i="10"/>
  <c r="GI26" i="10" s="1"/>
  <c r="AT26" i="10" s="1"/>
  <c r="IN27" i="10"/>
  <c r="JA27" i="10"/>
  <c r="EO27" i="10"/>
  <c r="EP27" i="10"/>
  <c r="EQ27" i="10"/>
  <c r="ER27" i="10"/>
  <c r="ES27" i="10"/>
  <c r="ET27" i="10"/>
  <c r="EU27" i="10"/>
  <c r="EV27" i="10"/>
  <c r="EW27" i="10"/>
  <c r="IU27" i="10"/>
  <c r="EZ27" i="10"/>
  <c r="FA27" i="10"/>
  <c r="FB27" i="10"/>
  <c r="IW27" i="10"/>
  <c r="BR27" i="10"/>
  <c r="BS27" i="10"/>
  <c r="IZ27" i="10"/>
  <c r="EX27" i="10"/>
  <c r="EY27" i="10"/>
  <c r="IV27" i="10"/>
  <c r="IX27" i="10"/>
  <c r="IT27" i="10"/>
  <c r="JB27" i="10"/>
  <c r="LH27" i="10"/>
  <c r="GK27" i="10"/>
  <c r="KP27" i="10"/>
  <c r="FG27" i="10"/>
  <c r="K27" i="10"/>
  <c r="Q27" i="10"/>
  <c r="BN27" i="10" s="1"/>
  <c r="CU21" i="10"/>
  <c r="AP27" i="10"/>
  <c r="AO27" i="10"/>
  <c r="AQ27" i="10"/>
  <c r="IJ27" i="10" s="1"/>
  <c r="AD27" i="10"/>
  <c r="KP22" i="10"/>
  <c r="BP22" i="10"/>
  <c r="BQ22" i="10"/>
  <c r="FG22" i="10"/>
  <c r="K22" i="10"/>
  <c r="IX28" i="10"/>
  <c r="IX29" i="10"/>
  <c r="IX30" i="10"/>
  <c r="IX31" i="10"/>
  <c r="IX32" i="10"/>
  <c r="IX33" i="10"/>
  <c r="IX34" i="10"/>
  <c r="IX35" i="10"/>
  <c r="IX36" i="10"/>
  <c r="IX37" i="10"/>
  <c r="IX38" i="10"/>
  <c r="IX39" i="10"/>
  <c r="IX40" i="10"/>
  <c r="IX41" i="10"/>
  <c r="IX42" i="10"/>
  <c r="IX43" i="10"/>
  <c r="IX44" i="10"/>
  <c r="IX45" i="10"/>
  <c r="IX46" i="10"/>
  <c r="IX47" i="10"/>
  <c r="IX48" i="10"/>
  <c r="IX49" i="10"/>
  <c r="IX50" i="10"/>
  <c r="IX51" i="10"/>
  <c r="IX52" i="10"/>
  <c r="IX53" i="10"/>
  <c r="IX55" i="10"/>
  <c r="IX56" i="10"/>
  <c r="IX57" i="10"/>
  <c r="IX58" i="10"/>
  <c r="IX59" i="10"/>
  <c r="IX60" i="10"/>
  <c r="IX61" i="10"/>
  <c r="IX62" i="10"/>
  <c r="IX63" i="10"/>
  <c r="IX64" i="10"/>
  <c r="IX65" i="10"/>
  <c r="IX66" i="10"/>
  <c r="IX67" i="10"/>
  <c r="IX68" i="10"/>
  <c r="IX69" i="10"/>
  <c r="IX70" i="10"/>
  <c r="IX71" i="10"/>
  <c r="IX72" i="10"/>
  <c r="IX73" i="10"/>
  <c r="IX74" i="10"/>
  <c r="IX75" i="10"/>
  <c r="IX76" i="10"/>
  <c r="IX77" i="10"/>
  <c r="IX78" i="10"/>
  <c r="IX79" i="10"/>
  <c r="IX80" i="10"/>
  <c r="IX81" i="10"/>
  <c r="IX82" i="10"/>
  <c r="IX83" i="10"/>
  <c r="IX84" i="10"/>
  <c r="IX85" i="10"/>
  <c r="IX86" i="10"/>
  <c r="IX87" i="10"/>
  <c r="IX88" i="10"/>
  <c r="IX89" i="10"/>
  <c r="IX90" i="10"/>
  <c r="IX91" i="10"/>
  <c r="IX92" i="10"/>
  <c r="IX93" i="10"/>
  <c r="IX94" i="10"/>
  <c r="IX95" i="10"/>
  <c r="IX96" i="10"/>
  <c r="IX97" i="10"/>
  <c r="IX98" i="10"/>
  <c r="IX99" i="10"/>
  <c r="IX100" i="10"/>
  <c r="IX101" i="10"/>
  <c r="IX102" i="10"/>
  <c r="IX103" i="10"/>
  <c r="IX104" i="10"/>
  <c r="IX105" i="10"/>
  <c r="IX106" i="10"/>
  <c r="IX107" i="10"/>
  <c r="IX108" i="10"/>
  <c r="IX109" i="10"/>
  <c r="IX110" i="10"/>
  <c r="IX111" i="10"/>
  <c r="IX112" i="10"/>
  <c r="IX113" i="10"/>
  <c r="IX114" i="10"/>
  <c r="IX115" i="10"/>
  <c r="IX116" i="10"/>
  <c r="IX117" i="10"/>
  <c r="IX118" i="10"/>
  <c r="IX119" i="10"/>
  <c r="IX120" i="10"/>
  <c r="IX121" i="10"/>
  <c r="IX122" i="10"/>
  <c r="IX123" i="10"/>
  <c r="IX124" i="10"/>
  <c r="IX125" i="10"/>
  <c r="IX126" i="10"/>
  <c r="IX127" i="10"/>
  <c r="IX128" i="10"/>
  <c r="IX129" i="10"/>
  <c r="IX130" i="10"/>
  <c r="IX131" i="10"/>
  <c r="IX132" i="10"/>
  <c r="IX133" i="10"/>
  <c r="IX134" i="10"/>
  <c r="IX135" i="10"/>
  <c r="IX136" i="10"/>
  <c r="IX137" i="10"/>
  <c r="IX138" i="10"/>
  <c r="GV139" i="10"/>
  <c r="GW139" i="10"/>
  <c r="GX139" i="10"/>
  <c r="GY139" i="10"/>
  <c r="IX139" i="10"/>
  <c r="GV140" i="10"/>
  <c r="GW140" i="10"/>
  <c r="GX140" i="10"/>
  <c r="GY140" i="10"/>
  <c r="IX140" i="10"/>
  <c r="GV141" i="10"/>
  <c r="GW141" i="10"/>
  <c r="GX141" i="10"/>
  <c r="GY141" i="10"/>
  <c r="IX141" i="10"/>
  <c r="GV142" i="10"/>
  <c r="GW142" i="10"/>
  <c r="GX142" i="10"/>
  <c r="GY142" i="10"/>
  <c r="IX142" i="10"/>
  <c r="GV143" i="10"/>
  <c r="GW143" i="10"/>
  <c r="GX143" i="10"/>
  <c r="GY143" i="10"/>
  <c r="IX143" i="10"/>
  <c r="GV144" i="10"/>
  <c r="GW144" i="10"/>
  <c r="GX144" i="10"/>
  <c r="GY144" i="10"/>
  <c r="IX144" i="10"/>
  <c r="GV145" i="10"/>
  <c r="GW145" i="10"/>
  <c r="GX145" i="10"/>
  <c r="GY145" i="10"/>
  <c r="IX145" i="10"/>
  <c r="GV146" i="10"/>
  <c r="GW146" i="10"/>
  <c r="GX146" i="10"/>
  <c r="GY146" i="10"/>
  <c r="IX146" i="10"/>
  <c r="GV147" i="10"/>
  <c r="GW147" i="10"/>
  <c r="GX147" i="10"/>
  <c r="GY147" i="10"/>
  <c r="IX147" i="10"/>
  <c r="GV148" i="10"/>
  <c r="GW148" i="10"/>
  <c r="GX148" i="10"/>
  <c r="GY148" i="10"/>
  <c r="IX148" i="10"/>
  <c r="GV149" i="10"/>
  <c r="GW149" i="10"/>
  <c r="GX149" i="10"/>
  <c r="GY149" i="10"/>
  <c r="IX149" i="10"/>
  <c r="GV150" i="10"/>
  <c r="GW150" i="10"/>
  <c r="GX150" i="10"/>
  <c r="GY150" i="10"/>
  <c r="IX150" i="10"/>
  <c r="GV151" i="10"/>
  <c r="GW151" i="10"/>
  <c r="GX151" i="10"/>
  <c r="GY151" i="10"/>
  <c r="IX151" i="10"/>
  <c r="GV152" i="10"/>
  <c r="GW152" i="10"/>
  <c r="GX152" i="10"/>
  <c r="GY152" i="10"/>
  <c r="IX152" i="10"/>
  <c r="GV153" i="10"/>
  <c r="GW153" i="10"/>
  <c r="GX153" i="10"/>
  <c r="GY153" i="10"/>
  <c r="IX153" i="10"/>
  <c r="GV154" i="10"/>
  <c r="GW154" i="10"/>
  <c r="GX154" i="10"/>
  <c r="GY154" i="10"/>
  <c r="IX154" i="10"/>
  <c r="GV155" i="10"/>
  <c r="GW155" i="10"/>
  <c r="GX155" i="10"/>
  <c r="GY155" i="10"/>
  <c r="IX155" i="10"/>
  <c r="GV156" i="10"/>
  <c r="GW156" i="10"/>
  <c r="GX156" i="10"/>
  <c r="GY156" i="10"/>
  <c r="IX156" i="10"/>
  <c r="GV157" i="10"/>
  <c r="GW157" i="10"/>
  <c r="GX157" i="10"/>
  <c r="GY157" i="10"/>
  <c r="IX157" i="10"/>
  <c r="GV158" i="10"/>
  <c r="GW158" i="10"/>
  <c r="GX158" i="10"/>
  <c r="GY158" i="10"/>
  <c r="IX158" i="10"/>
  <c r="GV159" i="10"/>
  <c r="GW159" i="10"/>
  <c r="GX159" i="10"/>
  <c r="GY159" i="10"/>
  <c r="IX159" i="10"/>
  <c r="GV160" i="10"/>
  <c r="GW160" i="10"/>
  <c r="GX160" i="10"/>
  <c r="GY160" i="10"/>
  <c r="IX160" i="10"/>
  <c r="GV161" i="10"/>
  <c r="GW161" i="10"/>
  <c r="GX161" i="10"/>
  <c r="GY161" i="10"/>
  <c r="IX161" i="10"/>
  <c r="GV162" i="10"/>
  <c r="GW162" i="10"/>
  <c r="GX162" i="10"/>
  <c r="GY162" i="10"/>
  <c r="IX162" i="10"/>
  <c r="GV163" i="10"/>
  <c r="GW163" i="10"/>
  <c r="GX163" i="10"/>
  <c r="GY163" i="10"/>
  <c r="IX163" i="10"/>
  <c r="GV164" i="10"/>
  <c r="GW164" i="10"/>
  <c r="GX164" i="10"/>
  <c r="GY164" i="10"/>
  <c r="IX164" i="10"/>
  <c r="GV165" i="10"/>
  <c r="GW165" i="10"/>
  <c r="GX165" i="10"/>
  <c r="GY165" i="10"/>
  <c r="IX165" i="10"/>
  <c r="GV166" i="10"/>
  <c r="GW166" i="10"/>
  <c r="GX166" i="10"/>
  <c r="GY166" i="10"/>
  <c r="IX166" i="10"/>
  <c r="GV167" i="10"/>
  <c r="GW167" i="10"/>
  <c r="GX167" i="10"/>
  <c r="GY167" i="10"/>
  <c r="IX167" i="10"/>
  <c r="GV168" i="10"/>
  <c r="GW168" i="10"/>
  <c r="GX168" i="10"/>
  <c r="GY168" i="10"/>
  <c r="IX168" i="10"/>
  <c r="GV169" i="10"/>
  <c r="GW169" i="10"/>
  <c r="GX169" i="10"/>
  <c r="GY169" i="10"/>
  <c r="IX169" i="10"/>
  <c r="GV170" i="10"/>
  <c r="GW170" i="10"/>
  <c r="GX170" i="10"/>
  <c r="GY170" i="10"/>
  <c r="IX170" i="10"/>
  <c r="GV171" i="10"/>
  <c r="GW171" i="10"/>
  <c r="GX171" i="10"/>
  <c r="GY171" i="10"/>
  <c r="IX171" i="10"/>
  <c r="GV172" i="10"/>
  <c r="GW172" i="10"/>
  <c r="GX172" i="10"/>
  <c r="GY172" i="10"/>
  <c r="IX172" i="10"/>
  <c r="GV173" i="10"/>
  <c r="GW173" i="10"/>
  <c r="GX173" i="10"/>
  <c r="GY173" i="10"/>
  <c r="IX173" i="10"/>
  <c r="GV174" i="10"/>
  <c r="GW174" i="10"/>
  <c r="GX174" i="10"/>
  <c r="GY174" i="10"/>
  <c r="IX174" i="10"/>
  <c r="GV175" i="10"/>
  <c r="GW175" i="10"/>
  <c r="GX175" i="10"/>
  <c r="GY175" i="10"/>
  <c r="IX175" i="10"/>
  <c r="GV176" i="10"/>
  <c r="GW176" i="10"/>
  <c r="GX176" i="10"/>
  <c r="GY176" i="10"/>
  <c r="IX176" i="10"/>
  <c r="GV177" i="10"/>
  <c r="GW177" i="10"/>
  <c r="GX177" i="10"/>
  <c r="GY177" i="10"/>
  <c r="IX177" i="10"/>
  <c r="GV178" i="10"/>
  <c r="GW178" i="10"/>
  <c r="GX178" i="10"/>
  <c r="GY178" i="10"/>
  <c r="IX178" i="10"/>
  <c r="GV179" i="10"/>
  <c r="GW179" i="10"/>
  <c r="GX179" i="10"/>
  <c r="GY179" i="10"/>
  <c r="IX179" i="10"/>
  <c r="GV180" i="10"/>
  <c r="GW180" i="10"/>
  <c r="GX180" i="10"/>
  <c r="GY180" i="10"/>
  <c r="IX180" i="10"/>
  <c r="GV181" i="10"/>
  <c r="GW181" i="10"/>
  <c r="GX181" i="10"/>
  <c r="GY181" i="10"/>
  <c r="IX181" i="10"/>
  <c r="GV182" i="10"/>
  <c r="GW182" i="10"/>
  <c r="GX182" i="10"/>
  <c r="GY182" i="10"/>
  <c r="IX182" i="10"/>
  <c r="GV183" i="10"/>
  <c r="GW183" i="10"/>
  <c r="GX183" i="10"/>
  <c r="GY183" i="10"/>
  <c r="IX183" i="10"/>
  <c r="GV184" i="10"/>
  <c r="GW184" i="10"/>
  <c r="GX184" i="10"/>
  <c r="GY184" i="10"/>
  <c r="IX184" i="10"/>
  <c r="GV185" i="10"/>
  <c r="GW185" i="10"/>
  <c r="GX185" i="10"/>
  <c r="GY185" i="10"/>
  <c r="IX185" i="10"/>
  <c r="GV186" i="10"/>
  <c r="GW186" i="10"/>
  <c r="GX186" i="10"/>
  <c r="GY186" i="10"/>
  <c r="IX186" i="10"/>
  <c r="GV187" i="10"/>
  <c r="GW187" i="10"/>
  <c r="GX187" i="10"/>
  <c r="GY187" i="10"/>
  <c r="IX187" i="10"/>
  <c r="GV188" i="10"/>
  <c r="GW188" i="10"/>
  <c r="GX188" i="10"/>
  <c r="GY188" i="10"/>
  <c r="IX188" i="10"/>
  <c r="GV189" i="10"/>
  <c r="GW189" i="10"/>
  <c r="GX189" i="10"/>
  <c r="GY189" i="10"/>
  <c r="IX189" i="10"/>
  <c r="GV190" i="10"/>
  <c r="GW190" i="10"/>
  <c r="GX190" i="10"/>
  <c r="GY190" i="10"/>
  <c r="IX190" i="10"/>
  <c r="GV191" i="10"/>
  <c r="GW191" i="10"/>
  <c r="GX191" i="10"/>
  <c r="GY191" i="10"/>
  <c r="IX191" i="10"/>
  <c r="GV192" i="10"/>
  <c r="GW192" i="10"/>
  <c r="GX192" i="10"/>
  <c r="GY192" i="10"/>
  <c r="IX192" i="10"/>
  <c r="GV193" i="10"/>
  <c r="GW193" i="10"/>
  <c r="GX193" i="10"/>
  <c r="GY193" i="10"/>
  <c r="IX193" i="10"/>
  <c r="GV194" i="10"/>
  <c r="GW194" i="10"/>
  <c r="GX194" i="10"/>
  <c r="GY194" i="10"/>
  <c r="IX194" i="10"/>
  <c r="GV195" i="10"/>
  <c r="GW195" i="10"/>
  <c r="GX195" i="10"/>
  <c r="GY195" i="10"/>
  <c r="IX195" i="10"/>
  <c r="GV196" i="10"/>
  <c r="GW196" i="10"/>
  <c r="GX196" i="10"/>
  <c r="GY196" i="10"/>
  <c r="IX196" i="10"/>
  <c r="GV197" i="10"/>
  <c r="GW197" i="10"/>
  <c r="GX197" i="10"/>
  <c r="GY197" i="10"/>
  <c r="IX197" i="10"/>
  <c r="GV198" i="10"/>
  <c r="GW198" i="10"/>
  <c r="GX198" i="10"/>
  <c r="GY198" i="10"/>
  <c r="IX198" i="10"/>
  <c r="GV199" i="10"/>
  <c r="GW199" i="10"/>
  <c r="GX199" i="10"/>
  <c r="GY199" i="10"/>
  <c r="IX199" i="10"/>
  <c r="GV200" i="10"/>
  <c r="GW200" i="10"/>
  <c r="GX200" i="10"/>
  <c r="GY200" i="10"/>
  <c r="IX200" i="10"/>
  <c r="GV201" i="10"/>
  <c r="GW201" i="10"/>
  <c r="GX201" i="10"/>
  <c r="GY201" i="10"/>
  <c r="IX201" i="10"/>
  <c r="GV202" i="10"/>
  <c r="GW202" i="10"/>
  <c r="GX202" i="10"/>
  <c r="GY202" i="10"/>
  <c r="IX202" i="10"/>
  <c r="GV203" i="10"/>
  <c r="GW203" i="10"/>
  <c r="GX203" i="10"/>
  <c r="GY203" i="10"/>
  <c r="IX203" i="10"/>
  <c r="GV204" i="10"/>
  <c r="GW204" i="10"/>
  <c r="GX204" i="10"/>
  <c r="GY204" i="10"/>
  <c r="IX204" i="10"/>
  <c r="GV205" i="10"/>
  <c r="GW205" i="10"/>
  <c r="GX205" i="10"/>
  <c r="GY205" i="10"/>
  <c r="IX205" i="10"/>
  <c r="GV206" i="10"/>
  <c r="GW206" i="10"/>
  <c r="GX206" i="10"/>
  <c r="GY206" i="10"/>
  <c r="IX206" i="10"/>
  <c r="GV207" i="10"/>
  <c r="GW207" i="10"/>
  <c r="GX207" i="10"/>
  <c r="GY207" i="10"/>
  <c r="IX207" i="10"/>
  <c r="GV208" i="10"/>
  <c r="GW208" i="10"/>
  <c r="GX208" i="10"/>
  <c r="GY208" i="10"/>
  <c r="IX208" i="10"/>
  <c r="GV209" i="10"/>
  <c r="GW209" i="10"/>
  <c r="GX209" i="10"/>
  <c r="GY209" i="10"/>
  <c r="IX209" i="10"/>
  <c r="GV210" i="10"/>
  <c r="GW210" i="10"/>
  <c r="GX210" i="10"/>
  <c r="GY210" i="10"/>
  <c r="IX210" i="10"/>
  <c r="GV211" i="10"/>
  <c r="GW211" i="10"/>
  <c r="GX211" i="10"/>
  <c r="GY211" i="10"/>
  <c r="IX211" i="10"/>
  <c r="GV212" i="10"/>
  <c r="GW212" i="10"/>
  <c r="GX212" i="10"/>
  <c r="GY212" i="10"/>
  <c r="IX212" i="10"/>
  <c r="GV213" i="10"/>
  <c r="GW213" i="10"/>
  <c r="GX213" i="10"/>
  <c r="GY213" i="10"/>
  <c r="IX213" i="10"/>
  <c r="GV214" i="10"/>
  <c r="GW214" i="10"/>
  <c r="GX214" i="10"/>
  <c r="GY214" i="10"/>
  <c r="IX214" i="10"/>
  <c r="GV215" i="10"/>
  <c r="GW215" i="10"/>
  <c r="GX215" i="10"/>
  <c r="GY215" i="10"/>
  <c r="IX215" i="10"/>
  <c r="GV216" i="10"/>
  <c r="GW216" i="10"/>
  <c r="GX216" i="10"/>
  <c r="GY216" i="10"/>
  <c r="IX216" i="10"/>
  <c r="GV217" i="10"/>
  <c r="GW217" i="10"/>
  <c r="GX217" i="10"/>
  <c r="GY217" i="10"/>
  <c r="IX217" i="10"/>
  <c r="GV218" i="10"/>
  <c r="GW218" i="10"/>
  <c r="GX218" i="10"/>
  <c r="GY218" i="10"/>
  <c r="IX218" i="10"/>
  <c r="GV219" i="10"/>
  <c r="GW219" i="10"/>
  <c r="GX219" i="10"/>
  <c r="GY219" i="10"/>
  <c r="IX219" i="10"/>
  <c r="GV220" i="10"/>
  <c r="GW220" i="10"/>
  <c r="GX220" i="10"/>
  <c r="GY220" i="10"/>
  <c r="IX220" i="10"/>
  <c r="GV221" i="10"/>
  <c r="GW221" i="10"/>
  <c r="GX221" i="10"/>
  <c r="GY221" i="10"/>
  <c r="IX221" i="10"/>
  <c r="GV222" i="10"/>
  <c r="GW222" i="10"/>
  <c r="GX222" i="10"/>
  <c r="GY222" i="10"/>
  <c r="IX222" i="10"/>
  <c r="GV223" i="10"/>
  <c r="GW223" i="10"/>
  <c r="GX223" i="10"/>
  <c r="GY223" i="10"/>
  <c r="IX223" i="10"/>
  <c r="GV224" i="10"/>
  <c r="GW224" i="10"/>
  <c r="GX224" i="10"/>
  <c r="GY224" i="10"/>
  <c r="IX224" i="10"/>
  <c r="GV225" i="10"/>
  <c r="GW225" i="10"/>
  <c r="GX225" i="10"/>
  <c r="GY225" i="10"/>
  <c r="IX225" i="10"/>
  <c r="GV226" i="10"/>
  <c r="GW226" i="10"/>
  <c r="GX226" i="10"/>
  <c r="GY226" i="10"/>
  <c r="IX226" i="10"/>
  <c r="GV227" i="10"/>
  <c r="GW227" i="10"/>
  <c r="GX227" i="10"/>
  <c r="GY227" i="10"/>
  <c r="IX227" i="10"/>
  <c r="GV228" i="10"/>
  <c r="GW228" i="10"/>
  <c r="GX228" i="10"/>
  <c r="GY228" i="10"/>
  <c r="IX228" i="10"/>
  <c r="GV229" i="10"/>
  <c r="GW229" i="10"/>
  <c r="GX229" i="10"/>
  <c r="GY229" i="10"/>
  <c r="IX229" i="10"/>
  <c r="GV230" i="10"/>
  <c r="GW230" i="10"/>
  <c r="GX230" i="10"/>
  <c r="GY230" i="10"/>
  <c r="IX230" i="10"/>
  <c r="GV231" i="10"/>
  <c r="GW231" i="10"/>
  <c r="GX231" i="10"/>
  <c r="GY231" i="10"/>
  <c r="IX231" i="10"/>
  <c r="GV232" i="10"/>
  <c r="GW232" i="10"/>
  <c r="GX232" i="10"/>
  <c r="GY232" i="10"/>
  <c r="IX232" i="10"/>
  <c r="GV233" i="10"/>
  <c r="GW233" i="10"/>
  <c r="GX233" i="10"/>
  <c r="GY233" i="10"/>
  <c r="IX233" i="10"/>
  <c r="GV234" i="10"/>
  <c r="GW234" i="10"/>
  <c r="GX234" i="10"/>
  <c r="GY234" i="10"/>
  <c r="IX234" i="10"/>
  <c r="GV235" i="10"/>
  <c r="GW235" i="10"/>
  <c r="GX235" i="10"/>
  <c r="GY235" i="10"/>
  <c r="IX235" i="10"/>
  <c r="GV236" i="10"/>
  <c r="GW236" i="10"/>
  <c r="GX236" i="10"/>
  <c r="GY236" i="10"/>
  <c r="IX236" i="10"/>
  <c r="GV237" i="10"/>
  <c r="GW237" i="10"/>
  <c r="GX237" i="10"/>
  <c r="GY237" i="10"/>
  <c r="IX237" i="10"/>
  <c r="GV238" i="10"/>
  <c r="GW238" i="10"/>
  <c r="GX238" i="10"/>
  <c r="GY238" i="10"/>
  <c r="IX238" i="10"/>
  <c r="GV239" i="10"/>
  <c r="GW239" i="10"/>
  <c r="GX239" i="10"/>
  <c r="GY239" i="10"/>
  <c r="IX239" i="10"/>
  <c r="GV240" i="10"/>
  <c r="GW240" i="10"/>
  <c r="GX240" i="10"/>
  <c r="GY240" i="10"/>
  <c r="IX240" i="10"/>
  <c r="GV241" i="10"/>
  <c r="GW241" i="10"/>
  <c r="GX241" i="10"/>
  <c r="GY241" i="10"/>
  <c r="IX241" i="10"/>
  <c r="GV242" i="10"/>
  <c r="GW242" i="10"/>
  <c r="GX242" i="10"/>
  <c r="GY242" i="10"/>
  <c r="IX242" i="10"/>
  <c r="GV243" i="10"/>
  <c r="GW243" i="10"/>
  <c r="GX243" i="10"/>
  <c r="GY243" i="10"/>
  <c r="IX243" i="10"/>
  <c r="GV244" i="10"/>
  <c r="GW244" i="10"/>
  <c r="GX244" i="10"/>
  <c r="GY244" i="10"/>
  <c r="IX244" i="10"/>
  <c r="GV245" i="10"/>
  <c r="GW245" i="10"/>
  <c r="GX245" i="10"/>
  <c r="GY245" i="10"/>
  <c r="IX245" i="10"/>
  <c r="GV246" i="10"/>
  <c r="GW246" i="10"/>
  <c r="GX246" i="10"/>
  <c r="GY246" i="10"/>
  <c r="IX246" i="10"/>
  <c r="GV247" i="10"/>
  <c r="GW247" i="10"/>
  <c r="GX247" i="10"/>
  <c r="GY247" i="10"/>
  <c r="IX247" i="10"/>
  <c r="GV248" i="10"/>
  <c r="GW248" i="10"/>
  <c r="GX248" i="10"/>
  <c r="GY248" i="10"/>
  <c r="IX248" i="10"/>
  <c r="GV249" i="10"/>
  <c r="GW249" i="10"/>
  <c r="GX249" i="10"/>
  <c r="GY249" i="10"/>
  <c r="IX249" i="10"/>
  <c r="GV250" i="10"/>
  <c r="GW250" i="10"/>
  <c r="GX250" i="10"/>
  <c r="GY250" i="10"/>
  <c r="IX250" i="10"/>
  <c r="GV251" i="10"/>
  <c r="GW251" i="10"/>
  <c r="GX251" i="10"/>
  <c r="GY251" i="10"/>
  <c r="IX251" i="10"/>
  <c r="GV252" i="10"/>
  <c r="GW252" i="10"/>
  <c r="GX252" i="10"/>
  <c r="GY252" i="10"/>
  <c r="IX252" i="10"/>
  <c r="GV253" i="10"/>
  <c r="GW253" i="10"/>
  <c r="GX253" i="10"/>
  <c r="GY253" i="10"/>
  <c r="IX253" i="10"/>
  <c r="GV254" i="10"/>
  <c r="GW254" i="10"/>
  <c r="GX254" i="10"/>
  <c r="GY254" i="10"/>
  <c r="IX254" i="10"/>
  <c r="GV255" i="10"/>
  <c r="GW255" i="10"/>
  <c r="GX255" i="10"/>
  <c r="GY255" i="10"/>
  <c r="IX255" i="10"/>
  <c r="GV256" i="10"/>
  <c r="GW256" i="10"/>
  <c r="GX256" i="10"/>
  <c r="GY256" i="10"/>
  <c r="IX256" i="10"/>
  <c r="GV257" i="10"/>
  <c r="GW257" i="10"/>
  <c r="GX257" i="10"/>
  <c r="GY257" i="10"/>
  <c r="IX257" i="10"/>
  <c r="GV258" i="10"/>
  <c r="GW258" i="10"/>
  <c r="GX258" i="10"/>
  <c r="GY258" i="10"/>
  <c r="IX258" i="10"/>
  <c r="GV259" i="10"/>
  <c r="GW259" i="10"/>
  <c r="GX259" i="10"/>
  <c r="GY259" i="10"/>
  <c r="IX259" i="10"/>
  <c r="GV260" i="10"/>
  <c r="GW260" i="10"/>
  <c r="GX260" i="10"/>
  <c r="GY260" i="10"/>
  <c r="IX260" i="10"/>
  <c r="GV261" i="10"/>
  <c r="GW261" i="10"/>
  <c r="GX261" i="10"/>
  <c r="GY261" i="10"/>
  <c r="IX261" i="10"/>
  <c r="GV262" i="10"/>
  <c r="GW262" i="10"/>
  <c r="GX262" i="10"/>
  <c r="GY262" i="10"/>
  <c r="IX262" i="10"/>
  <c r="GV263" i="10"/>
  <c r="GW263" i="10"/>
  <c r="GX263" i="10"/>
  <c r="GY263" i="10"/>
  <c r="IX263" i="10"/>
  <c r="GV264" i="10"/>
  <c r="GW264" i="10"/>
  <c r="GX264" i="10"/>
  <c r="GY264" i="10"/>
  <c r="IX264" i="10"/>
  <c r="GV265" i="10"/>
  <c r="GW265" i="10"/>
  <c r="GX265" i="10"/>
  <c r="GY265" i="10"/>
  <c r="IX265" i="10"/>
  <c r="GV266" i="10"/>
  <c r="GW266" i="10"/>
  <c r="GX266" i="10"/>
  <c r="GY266" i="10"/>
  <c r="IX266" i="10"/>
  <c r="GV267" i="10"/>
  <c r="GW267" i="10"/>
  <c r="GX267" i="10"/>
  <c r="GY267" i="10"/>
  <c r="IX267" i="10"/>
  <c r="GV268" i="10"/>
  <c r="GW268" i="10"/>
  <c r="GX268" i="10"/>
  <c r="GY268" i="10"/>
  <c r="IX268" i="10"/>
  <c r="GV269" i="10"/>
  <c r="GW269" i="10"/>
  <c r="GX269" i="10"/>
  <c r="GY269" i="10"/>
  <c r="IX269" i="10"/>
  <c r="GV270" i="10"/>
  <c r="GW270" i="10"/>
  <c r="GX270" i="10"/>
  <c r="GY270" i="10"/>
  <c r="IX270" i="10"/>
  <c r="GV271" i="10"/>
  <c r="GW271" i="10"/>
  <c r="GX271" i="10"/>
  <c r="GY271" i="10"/>
  <c r="IX271" i="10"/>
  <c r="GV272" i="10"/>
  <c r="GW272" i="10"/>
  <c r="GX272" i="10"/>
  <c r="GY272" i="10"/>
  <c r="IX272" i="10"/>
  <c r="GV273" i="10"/>
  <c r="GW273" i="10"/>
  <c r="GX273" i="10"/>
  <c r="GY273" i="10"/>
  <c r="IX273" i="10"/>
  <c r="GV274" i="10"/>
  <c r="GW274" i="10"/>
  <c r="GX274" i="10"/>
  <c r="GY274" i="10"/>
  <c r="IX274" i="10"/>
  <c r="GV275" i="10"/>
  <c r="GW275" i="10"/>
  <c r="GX275" i="10"/>
  <c r="GY275" i="10"/>
  <c r="IX275" i="10"/>
  <c r="GV276" i="10"/>
  <c r="GW276" i="10"/>
  <c r="GX276" i="10"/>
  <c r="GY276" i="10"/>
  <c r="IX276" i="10"/>
  <c r="GV277" i="10"/>
  <c r="GW277" i="10"/>
  <c r="GX277" i="10"/>
  <c r="GY277" i="10"/>
  <c r="IX277" i="10"/>
  <c r="GV278" i="10"/>
  <c r="GW278" i="10"/>
  <c r="GX278" i="10"/>
  <c r="GY278" i="10"/>
  <c r="IX278" i="10"/>
  <c r="GV279" i="10"/>
  <c r="GW279" i="10"/>
  <c r="GX279" i="10"/>
  <c r="GY279" i="10"/>
  <c r="IX279" i="10"/>
  <c r="GV280" i="10"/>
  <c r="GW280" i="10"/>
  <c r="GX280" i="10"/>
  <c r="GY280" i="10"/>
  <c r="IX280" i="10"/>
  <c r="GV281" i="10"/>
  <c r="GW281" i="10"/>
  <c r="GX281" i="10"/>
  <c r="GY281" i="10"/>
  <c r="IX281" i="10"/>
  <c r="GV282" i="10"/>
  <c r="GW282" i="10"/>
  <c r="GX282" i="10"/>
  <c r="GY282" i="10"/>
  <c r="IX282" i="10"/>
  <c r="GV283" i="10"/>
  <c r="GW283" i="10"/>
  <c r="GX283" i="10"/>
  <c r="GY283" i="10"/>
  <c r="IX283" i="10"/>
  <c r="GV284" i="10"/>
  <c r="GW284" i="10"/>
  <c r="GX284" i="10"/>
  <c r="GY284" i="10"/>
  <c r="IX284" i="10"/>
  <c r="GV285" i="10"/>
  <c r="GW285" i="10"/>
  <c r="GX285" i="10"/>
  <c r="GY285" i="10"/>
  <c r="IX285" i="10"/>
  <c r="GV286" i="10"/>
  <c r="GW286" i="10"/>
  <c r="GX286" i="10"/>
  <c r="GY286" i="10"/>
  <c r="IX286" i="10"/>
  <c r="GV287" i="10"/>
  <c r="GW287" i="10"/>
  <c r="GX287" i="10"/>
  <c r="GY287" i="10"/>
  <c r="IX287" i="10"/>
  <c r="GV288" i="10"/>
  <c r="GW288" i="10"/>
  <c r="GX288" i="10"/>
  <c r="GY288" i="10"/>
  <c r="IX288" i="10"/>
  <c r="GV289" i="10"/>
  <c r="GW289" i="10"/>
  <c r="GX289" i="10"/>
  <c r="GY289" i="10"/>
  <c r="IX289" i="10"/>
  <c r="GV290" i="10"/>
  <c r="GW290" i="10"/>
  <c r="GX290" i="10"/>
  <c r="GY290" i="10"/>
  <c r="IX290" i="10"/>
  <c r="GV291" i="10"/>
  <c r="GW291" i="10"/>
  <c r="GX291" i="10"/>
  <c r="GY291" i="10"/>
  <c r="IX291" i="10"/>
  <c r="GV292" i="10"/>
  <c r="GW292" i="10"/>
  <c r="GX292" i="10"/>
  <c r="GY292" i="10"/>
  <c r="IX292" i="10"/>
  <c r="GV293" i="10"/>
  <c r="GW293" i="10"/>
  <c r="GX293" i="10"/>
  <c r="GY293" i="10"/>
  <c r="IX293" i="10"/>
  <c r="GV294" i="10"/>
  <c r="GW294" i="10"/>
  <c r="GX294" i="10"/>
  <c r="GY294" i="10"/>
  <c r="IX294" i="10"/>
  <c r="GV295" i="10"/>
  <c r="GW295" i="10"/>
  <c r="GX295" i="10"/>
  <c r="GY295" i="10"/>
  <c r="IX295" i="10"/>
  <c r="GV296" i="10"/>
  <c r="GW296" i="10"/>
  <c r="GX296" i="10"/>
  <c r="GY296" i="10"/>
  <c r="IX296" i="10"/>
  <c r="GV297" i="10"/>
  <c r="GW297" i="10"/>
  <c r="GX297" i="10"/>
  <c r="GY297" i="10"/>
  <c r="IX297" i="10"/>
  <c r="GV298" i="10"/>
  <c r="GW298" i="10"/>
  <c r="GX298" i="10"/>
  <c r="GY298" i="10"/>
  <c r="IX298" i="10"/>
  <c r="GV299" i="10"/>
  <c r="GW299" i="10"/>
  <c r="GX299" i="10"/>
  <c r="GY299" i="10"/>
  <c r="IX299" i="10"/>
  <c r="GV300" i="10"/>
  <c r="GW300" i="10"/>
  <c r="GX300" i="10"/>
  <c r="GY300" i="10"/>
  <c r="IX300" i="10"/>
  <c r="GV301" i="10"/>
  <c r="GW301" i="10"/>
  <c r="GX301" i="10"/>
  <c r="GY301" i="10"/>
  <c r="IX301" i="10"/>
  <c r="GV302" i="10"/>
  <c r="GW302" i="10"/>
  <c r="GX302" i="10"/>
  <c r="GY302" i="10"/>
  <c r="IX302" i="10"/>
  <c r="GV303" i="10"/>
  <c r="GW303" i="10"/>
  <c r="GX303" i="10"/>
  <c r="GY303" i="10"/>
  <c r="IX303" i="10"/>
  <c r="GV304" i="10"/>
  <c r="GW304" i="10"/>
  <c r="GX304" i="10"/>
  <c r="GY304" i="10"/>
  <c r="IX304" i="10"/>
  <c r="GV305" i="10"/>
  <c r="GW305" i="10"/>
  <c r="GX305" i="10"/>
  <c r="GY305" i="10"/>
  <c r="IX305" i="10"/>
  <c r="GV306" i="10"/>
  <c r="GW306" i="10"/>
  <c r="GX306" i="10"/>
  <c r="GY306" i="10"/>
  <c r="IX306" i="10"/>
  <c r="GV307" i="10"/>
  <c r="GW307" i="10"/>
  <c r="GX307" i="10"/>
  <c r="GY307" i="10"/>
  <c r="IX307" i="10"/>
  <c r="GV308" i="10"/>
  <c r="GW308" i="10"/>
  <c r="GX308" i="10"/>
  <c r="GY308" i="10"/>
  <c r="IX308" i="10"/>
  <c r="GV309" i="10"/>
  <c r="GW309" i="10"/>
  <c r="GX309" i="10"/>
  <c r="GY309" i="10"/>
  <c r="IX309" i="10"/>
  <c r="GV310" i="10"/>
  <c r="GW310" i="10"/>
  <c r="GX310" i="10"/>
  <c r="GY310" i="10"/>
  <c r="IX310" i="10"/>
  <c r="GV311" i="10"/>
  <c r="GW311" i="10"/>
  <c r="GX311" i="10"/>
  <c r="GY311" i="10"/>
  <c r="IX311" i="10"/>
  <c r="GV312" i="10"/>
  <c r="GW312" i="10"/>
  <c r="GX312" i="10"/>
  <c r="GY312" i="10"/>
  <c r="IX312" i="10"/>
  <c r="GV313" i="10"/>
  <c r="GW313" i="10"/>
  <c r="GX313" i="10"/>
  <c r="GY313" i="10"/>
  <c r="IX313" i="10"/>
  <c r="GV314" i="10"/>
  <c r="GW314" i="10"/>
  <c r="GX314" i="10"/>
  <c r="GY314" i="10"/>
  <c r="IX314" i="10"/>
  <c r="GV315" i="10"/>
  <c r="GW315" i="10"/>
  <c r="GX315" i="10"/>
  <c r="GY315" i="10"/>
  <c r="IX315" i="10"/>
  <c r="GV316" i="10"/>
  <c r="GW316" i="10"/>
  <c r="GX316" i="10"/>
  <c r="GY316" i="10"/>
  <c r="IX316" i="10"/>
  <c r="GV317" i="10"/>
  <c r="GW317" i="10"/>
  <c r="GX317" i="10"/>
  <c r="GY317" i="10"/>
  <c r="IX317" i="10"/>
  <c r="GV318" i="10"/>
  <c r="GW318" i="10"/>
  <c r="GX318" i="10"/>
  <c r="GY318" i="10"/>
  <c r="IX318" i="10"/>
  <c r="GV319" i="10"/>
  <c r="GW319" i="10"/>
  <c r="GX319" i="10"/>
  <c r="GY319" i="10"/>
  <c r="IX319" i="10"/>
  <c r="GV320" i="10"/>
  <c r="GW320" i="10"/>
  <c r="GX320" i="10"/>
  <c r="GY320" i="10"/>
  <c r="IX320" i="10"/>
  <c r="GV321" i="10"/>
  <c r="GW321" i="10"/>
  <c r="GX321" i="10"/>
  <c r="GY321" i="10"/>
  <c r="IX321" i="10"/>
  <c r="GV322" i="10"/>
  <c r="GW322" i="10"/>
  <c r="GX322" i="10"/>
  <c r="GY322" i="10"/>
  <c r="IX322" i="10"/>
  <c r="GV323" i="10"/>
  <c r="GW323" i="10"/>
  <c r="GX323" i="10"/>
  <c r="GY323" i="10"/>
  <c r="IX323" i="10"/>
  <c r="GV324" i="10"/>
  <c r="GW324" i="10"/>
  <c r="GX324" i="10"/>
  <c r="GY324" i="10"/>
  <c r="IX324" i="10"/>
  <c r="GV325" i="10"/>
  <c r="GW325" i="10"/>
  <c r="GX325" i="10"/>
  <c r="GY325" i="10"/>
  <c r="IX325" i="10"/>
  <c r="GV326" i="10"/>
  <c r="GW326" i="10"/>
  <c r="GX326" i="10"/>
  <c r="GY326" i="10"/>
  <c r="IX326" i="10"/>
  <c r="GV327" i="10"/>
  <c r="GW327" i="10"/>
  <c r="GX327" i="10"/>
  <c r="GY327" i="10"/>
  <c r="IX327" i="10"/>
  <c r="GV328" i="10"/>
  <c r="GW328" i="10"/>
  <c r="GX328" i="10"/>
  <c r="GY328" i="10"/>
  <c r="IX328" i="10"/>
  <c r="GV329" i="10"/>
  <c r="GW329" i="10"/>
  <c r="GX329" i="10"/>
  <c r="GY329" i="10"/>
  <c r="IX329" i="10"/>
  <c r="GV330" i="10"/>
  <c r="GW330" i="10"/>
  <c r="GX330" i="10"/>
  <c r="GY330" i="10"/>
  <c r="IX330" i="10"/>
  <c r="GV331" i="10"/>
  <c r="GW331" i="10"/>
  <c r="GX331" i="10"/>
  <c r="GY331" i="10"/>
  <c r="IX331" i="10"/>
  <c r="GV332" i="10"/>
  <c r="GW332" i="10"/>
  <c r="GX332" i="10"/>
  <c r="GY332" i="10"/>
  <c r="IX332" i="10"/>
  <c r="GV333" i="10"/>
  <c r="GW333" i="10"/>
  <c r="GX333" i="10"/>
  <c r="GY333" i="10"/>
  <c r="IX333" i="10"/>
  <c r="GV334" i="10"/>
  <c r="GW334" i="10"/>
  <c r="GX334" i="10"/>
  <c r="GY334" i="10"/>
  <c r="IX334" i="10"/>
  <c r="GV335" i="10"/>
  <c r="GW335" i="10"/>
  <c r="GX335" i="10"/>
  <c r="GY335" i="10"/>
  <c r="IX335" i="10"/>
  <c r="GV336" i="10"/>
  <c r="GW336" i="10"/>
  <c r="GX336" i="10"/>
  <c r="GY336" i="10"/>
  <c r="IX336" i="10"/>
  <c r="GV337" i="10"/>
  <c r="GW337" i="10"/>
  <c r="GX337" i="10"/>
  <c r="GY337" i="10"/>
  <c r="IX337" i="10"/>
  <c r="GV338" i="10"/>
  <c r="GW338" i="10"/>
  <c r="GX338" i="10"/>
  <c r="GY338" i="10"/>
  <c r="IX338" i="10"/>
  <c r="GV339" i="10"/>
  <c r="GW339" i="10"/>
  <c r="GX339" i="10"/>
  <c r="GY339" i="10"/>
  <c r="IX339" i="10"/>
  <c r="GV340" i="10"/>
  <c r="GW340" i="10"/>
  <c r="GX340" i="10"/>
  <c r="GY340" i="10"/>
  <c r="IX340" i="10"/>
  <c r="GV341" i="10"/>
  <c r="GW341" i="10"/>
  <c r="GX341" i="10"/>
  <c r="GY341" i="10"/>
  <c r="IX341" i="10"/>
  <c r="GV342" i="10"/>
  <c r="GW342" i="10"/>
  <c r="GX342" i="10"/>
  <c r="GY342" i="10"/>
  <c r="IX342" i="10"/>
  <c r="GV343" i="10"/>
  <c r="GW343" i="10"/>
  <c r="GX343" i="10"/>
  <c r="GY343" i="10"/>
  <c r="IX343" i="10"/>
  <c r="GV344" i="10"/>
  <c r="GW344" i="10"/>
  <c r="GX344" i="10"/>
  <c r="GY344" i="10"/>
  <c r="IX344" i="10"/>
  <c r="GV345" i="10"/>
  <c r="GW345" i="10"/>
  <c r="GX345" i="10"/>
  <c r="GY345" i="10"/>
  <c r="IX345" i="10"/>
  <c r="GV346" i="10"/>
  <c r="GW346" i="10"/>
  <c r="GX346" i="10"/>
  <c r="GY346" i="10"/>
  <c r="IX346" i="10"/>
  <c r="GV347" i="10"/>
  <c r="GW347" i="10"/>
  <c r="GX347" i="10"/>
  <c r="GY347" i="10"/>
  <c r="IX347" i="10"/>
  <c r="GV348" i="10"/>
  <c r="GW348" i="10"/>
  <c r="GX348" i="10"/>
  <c r="GY348" i="10"/>
  <c r="IX348" i="10"/>
  <c r="GV349" i="10"/>
  <c r="GW349" i="10"/>
  <c r="GX349" i="10"/>
  <c r="GY349" i="10"/>
  <c r="IX349" i="10"/>
  <c r="GV350" i="10"/>
  <c r="GW350" i="10"/>
  <c r="GX350" i="10"/>
  <c r="GY350" i="10"/>
  <c r="IX350" i="10"/>
  <c r="GV351" i="10"/>
  <c r="GW351" i="10"/>
  <c r="GX351" i="10"/>
  <c r="GY351" i="10"/>
  <c r="IX351" i="10"/>
  <c r="GV352" i="10"/>
  <c r="GW352" i="10"/>
  <c r="GX352" i="10"/>
  <c r="GY352" i="10"/>
  <c r="IX352" i="10"/>
  <c r="GV353" i="10"/>
  <c r="GW353" i="10"/>
  <c r="GX353" i="10"/>
  <c r="GY353" i="10"/>
  <c r="IX353" i="10"/>
  <c r="GV354" i="10"/>
  <c r="GW354" i="10"/>
  <c r="GX354" i="10"/>
  <c r="GY354" i="10"/>
  <c r="IX354" i="10"/>
  <c r="GV355" i="10"/>
  <c r="GW355" i="10"/>
  <c r="GX355" i="10"/>
  <c r="GY355" i="10"/>
  <c r="IX355" i="10"/>
  <c r="GV356" i="10"/>
  <c r="GW356" i="10"/>
  <c r="GX356" i="10"/>
  <c r="GY356" i="10"/>
  <c r="IX356" i="10"/>
  <c r="GV357" i="10"/>
  <c r="GW357" i="10"/>
  <c r="GX357" i="10"/>
  <c r="GY357" i="10"/>
  <c r="IX357" i="10"/>
  <c r="GV358" i="10"/>
  <c r="GW358" i="10"/>
  <c r="GX358" i="10"/>
  <c r="GY358" i="10"/>
  <c r="IX358" i="10"/>
  <c r="GV359" i="10"/>
  <c r="GW359" i="10"/>
  <c r="GX359" i="10"/>
  <c r="GY359" i="10"/>
  <c r="IX359" i="10"/>
  <c r="GV360" i="10"/>
  <c r="GW360" i="10"/>
  <c r="GX360" i="10"/>
  <c r="GY360" i="10"/>
  <c r="IX360" i="10"/>
  <c r="GV361" i="10"/>
  <c r="GW361" i="10"/>
  <c r="GX361" i="10"/>
  <c r="GY361" i="10"/>
  <c r="IX361" i="10"/>
  <c r="GV362" i="10"/>
  <c r="GW362" i="10"/>
  <c r="GX362" i="10"/>
  <c r="GY362" i="10"/>
  <c r="IX362" i="10"/>
  <c r="GV363" i="10"/>
  <c r="GW363" i="10"/>
  <c r="GX363" i="10"/>
  <c r="GY363" i="10"/>
  <c r="IX363" i="10"/>
  <c r="GV364" i="10"/>
  <c r="GW364" i="10"/>
  <c r="GX364" i="10"/>
  <c r="GY364" i="10"/>
  <c r="IX364" i="10"/>
  <c r="GV365" i="10"/>
  <c r="GW365" i="10"/>
  <c r="GX365" i="10"/>
  <c r="GY365" i="10"/>
  <c r="IX365" i="10"/>
  <c r="GV366" i="10"/>
  <c r="GW366" i="10"/>
  <c r="GX366" i="10"/>
  <c r="GY366" i="10"/>
  <c r="IX366" i="10"/>
  <c r="GV367" i="10"/>
  <c r="GW367" i="10"/>
  <c r="GX367" i="10"/>
  <c r="GY367" i="10"/>
  <c r="IX367" i="10"/>
  <c r="GV368" i="10"/>
  <c r="GW368" i="10"/>
  <c r="GX368" i="10"/>
  <c r="GY368" i="10"/>
  <c r="IX368" i="10"/>
  <c r="GV369" i="10"/>
  <c r="GW369" i="10"/>
  <c r="GX369" i="10"/>
  <c r="GY369" i="10"/>
  <c r="IX369" i="10"/>
  <c r="GV370" i="10"/>
  <c r="GW370" i="10"/>
  <c r="GX370" i="10"/>
  <c r="GY370" i="10"/>
  <c r="IX370" i="10"/>
  <c r="GV371" i="10"/>
  <c r="GW371" i="10"/>
  <c r="GX371" i="10"/>
  <c r="GY371" i="10"/>
  <c r="IX371" i="10"/>
  <c r="GV372" i="10"/>
  <c r="GW372" i="10"/>
  <c r="GX372" i="10"/>
  <c r="GY372" i="10"/>
  <c r="IX372" i="10"/>
  <c r="GV373" i="10"/>
  <c r="GW373" i="10"/>
  <c r="GX373" i="10"/>
  <c r="GY373" i="10"/>
  <c r="IX373" i="10"/>
  <c r="GV374" i="10"/>
  <c r="GW374" i="10"/>
  <c r="GX374" i="10"/>
  <c r="GY374" i="10"/>
  <c r="IX374" i="10"/>
  <c r="GV375" i="10"/>
  <c r="GW375" i="10"/>
  <c r="GX375" i="10"/>
  <c r="GY375" i="10"/>
  <c r="IX375" i="10"/>
  <c r="GV376" i="10"/>
  <c r="GW376" i="10"/>
  <c r="GX376" i="10"/>
  <c r="GY376" i="10"/>
  <c r="IX376" i="10"/>
  <c r="GV377" i="10"/>
  <c r="GW377" i="10"/>
  <c r="GX377" i="10"/>
  <c r="GY377" i="10"/>
  <c r="IX377" i="10"/>
  <c r="GV378" i="10"/>
  <c r="GW378" i="10"/>
  <c r="GX378" i="10"/>
  <c r="GY378" i="10"/>
  <c r="IX378" i="10"/>
  <c r="GV379" i="10"/>
  <c r="GW379" i="10"/>
  <c r="GX379" i="10"/>
  <c r="GY379" i="10"/>
  <c r="IX379" i="10"/>
  <c r="GV380" i="10"/>
  <c r="GW380" i="10"/>
  <c r="GX380" i="10"/>
  <c r="GY380" i="10"/>
  <c r="IX380" i="10"/>
  <c r="GV381" i="10"/>
  <c r="GW381" i="10"/>
  <c r="GX381" i="10"/>
  <c r="GY381" i="10"/>
  <c r="IX381" i="10"/>
  <c r="GV382" i="10"/>
  <c r="GW382" i="10"/>
  <c r="GX382" i="10"/>
  <c r="GY382" i="10"/>
  <c r="IX382" i="10"/>
  <c r="GV383" i="10"/>
  <c r="GW383" i="10"/>
  <c r="GX383" i="10"/>
  <c r="GY383" i="10"/>
  <c r="IX383" i="10"/>
  <c r="GV384" i="10"/>
  <c r="GW384" i="10"/>
  <c r="GX384" i="10"/>
  <c r="GY384" i="10"/>
  <c r="IX384" i="10"/>
  <c r="GV385" i="10"/>
  <c r="GW385" i="10"/>
  <c r="GX385" i="10"/>
  <c r="GY385" i="10"/>
  <c r="IX385" i="10"/>
  <c r="GV386" i="10"/>
  <c r="GW386" i="10"/>
  <c r="GX386" i="10"/>
  <c r="GY386" i="10"/>
  <c r="IX386" i="10"/>
  <c r="GV387" i="10"/>
  <c r="GW387" i="10"/>
  <c r="GX387" i="10"/>
  <c r="GY387" i="10"/>
  <c r="IX387" i="10"/>
  <c r="GV388" i="10"/>
  <c r="GW388" i="10"/>
  <c r="GX388" i="10"/>
  <c r="GY388" i="10"/>
  <c r="IX388" i="10"/>
  <c r="GV389" i="10"/>
  <c r="GW389" i="10"/>
  <c r="GX389" i="10"/>
  <c r="GY389" i="10"/>
  <c r="IX389" i="10"/>
  <c r="GV390" i="10"/>
  <c r="GW390" i="10"/>
  <c r="GX390" i="10"/>
  <c r="GY390" i="10"/>
  <c r="IX390" i="10"/>
  <c r="GV391" i="10"/>
  <c r="GW391" i="10"/>
  <c r="GX391" i="10"/>
  <c r="GY391" i="10"/>
  <c r="IX391" i="10"/>
  <c r="GV392" i="10"/>
  <c r="GW392" i="10"/>
  <c r="GX392" i="10"/>
  <c r="GY392" i="10"/>
  <c r="IX392" i="10"/>
  <c r="BP139" i="10"/>
  <c r="BQ139" i="10"/>
  <c r="BP140" i="10"/>
  <c r="BQ140" i="10"/>
  <c r="BP141" i="10"/>
  <c r="BQ141" i="10"/>
  <c r="BP142" i="10"/>
  <c r="BQ142" i="10"/>
  <c r="BP143" i="10"/>
  <c r="BQ143" i="10"/>
  <c r="BP144" i="10"/>
  <c r="BQ144" i="10"/>
  <c r="BP145" i="10"/>
  <c r="BQ145" i="10"/>
  <c r="BP146" i="10"/>
  <c r="BQ146" i="10"/>
  <c r="BP147" i="10"/>
  <c r="BQ147" i="10"/>
  <c r="BP148" i="10"/>
  <c r="BQ148" i="10"/>
  <c r="BP149" i="10"/>
  <c r="BQ149" i="10"/>
  <c r="BP150" i="10"/>
  <c r="BQ150" i="10"/>
  <c r="BP151" i="10"/>
  <c r="BQ151" i="10"/>
  <c r="BP152" i="10"/>
  <c r="BQ152" i="10"/>
  <c r="BP153" i="10"/>
  <c r="BQ153" i="10"/>
  <c r="BP154" i="10"/>
  <c r="BQ154" i="10"/>
  <c r="BP155" i="10"/>
  <c r="BQ155" i="10"/>
  <c r="BP156" i="10"/>
  <c r="BQ156" i="10"/>
  <c r="BP157" i="10"/>
  <c r="BQ157" i="10"/>
  <c r="BP158" i="10"/>
  <c r="BQ158" i="10"/>
  <c r="BP159" i="10"/>
  <c r="BQ159" i="10"/>
  <c r="BP160" i="10"/>
  <c r="BQ160" i="10"/>
  <c r="BP161" i="10"/>
  <c r="BQ161" i="10"/>
  <c r="BP162" i="10"/>
  <c r="BQ162" i="10"/>
  <c r="BP163" i="10"/>
  <c r="BQ163" i="10"/>
  <c r="BP164" i="10"/>
  <c r="BQ164" i="10"/>
  <c r="BP165" i="10"/>
  <c r="BQ165" i="10"/>
  <c r="BP166" i="10"/>
  <c r="BQ166" i="10"/>
  <c r="BP167" i="10"/>
  <c r="BQ167" i="10"/>
  <c r="BP168" i="10"/>
  <c r="BQ168" i="10"/>
  <c r="BP169" i="10"/>
  <c r="BQ169" i="10"/>
  <c r="BP170" i="10"/>
  <c r="BQ170" i="10"/>
  <c r="BP171" i="10"/>
  <c r="BQ171" i="10"/>
  <c r="BP172" i="10"/>
  <c r="BQ172" i="10"/>
  <c r="BP173" i="10"/>
  <c r="BQ173" i="10"/>
  <c r="BP174" i="10"/>
  <c r="BQ174" i="10"/>
  <c r="BP175" i="10"/>
  <c r="BQ175" i="10"/>
  <c r="BP176" i="10"/>
  <c r="BQ176" i="10"/>
  <c r="BP177" i="10"/>
  <c r="BQ177" i="10"/>
  <c r="BP178" i="10"/>
  <c r="BQ178" i="10"/>
  <c r="BP179" i="10"/>
  <c r="BQ179" i="10"/>
  <c r="BP180" i="10"/>
  <c r="BQ180" i="10"/>
  <c r="BP181" i="10"/>
  <c r="BQ181" i="10"/>
  <c r="BP182" i="10"/>
  <c r="BQ182" i="10"/>
  <c r="BP183" i="10"/>
  <c r="BQ183" i="10"/>
  <c r="BP184" i="10"/>
  <c r="BQ184" i="10"/>
  <c r="BP185" i="10"/>
  <c r="BQ185" i="10"/>
  <c r="BP186" i="10"/>
  <c r="BQ186" i="10"/>
  <c r="BP187" i="10"/>
  <c r="BQ187" i="10"/>
  <c r="BP188" i="10"/>
  <c r="BQ188" i="10"/>
  <c r="BP189" i="10"/>
  <c r="BQ189" i="10"/>
  <c r="BP190" i="10"/>
  <c r="BQ190" i="10"/>
  <c r="BP191" i="10"/>
  <c r="BQ191" i="10"/>
  <c r="BP192" i="10"/>
  <c r="BQ192" i="10"/>
  <c r="BP193" i="10"/>
  <c r="BQ193" i="10"/>
  <c r="BP194" i="10"/>
  <c r="BQ194" i="10"/>
  <c r="BP195" i="10"/>
  <c r="BQ195" i="10"/>
  <c r="BP196" i="10"/>
  <c r="BQ196" i="10"/>
  <c r="BP197" i="10"/>
  <c r="BQ197" i="10"/>
  <c r="BP198" i="10"/>
  <c r="BQ198" i="10"/>
  <c r="BP199" i="10"/>
  <c r="BQ199" i="10"/>
  <c r="BP200" i="10"/>
  <c r="BQ200" i="10"/>
  <c r="BP201" i="10"/>
  <c r="BQ201" i="10"/>
  <c r="BP202" i="10"/>
  <c r="BQ202" i="10"/>
  <c r="BP203" i="10"/>
  <c r="BQ203" i="10"/>
  <c r="BP204" i="10"/>
  <c r="BQ204" i="10"/>
  <c r="BP205" i="10"/>
  <c r="BQ205" i="10"/>
  <c r="BP206" i="10"/>
  <c r="BQ206" i="10"/>
  <c r="BP207" i="10"/>
  <c r="BQ207" i="10"/>
  <c r="BP208" i="10"/>
  <c r="BQ208" i="10"/>
  <c r="BP209" i="10"/>
  <c r="BQ209" i="10"/>
  <c r="BP210" i="10"/>
  <c r="BQ210" i="10"/>
  <c r="BP211" i="10"/>
  <c r="BQ211" i="10"/>
  <c r="BP212" i="10"/>
  <c r="BQ212" i="10"/>
  <c r="BP213" i="10"/>
  <c r="BQ213" i="10"/>
  <c r="BP214" i="10"/>
  <c r="BQ214" i="10"/>
  <c r="BP215" i="10"/>
  <c r="BQ215" i="10"/>
  <c r="BP216" i="10"/>
  <c r="BQ216" i="10"/>
  <c r="BP217" i="10"/>
  <c r="BQ217" i="10"/>
  <c r="BP218" i="10"/>
  <c r="BQ218" i="10"/>
  <c r="BP219" i="10"/>
  <c r="BQ219" i="10"/>
  <c r="BP220" i="10"/>
  <c r="BQ220" i="10"/>
  <c r="BP221" i="10"/>
  <c r="BQ221" i="10"/>
  <c r="BP222" i="10"/>
  <c r="BQ222" i="10"/>
  <c r="BP223" i="10"/>
  <c r="BQ223" i="10"/>
  <c r="BP224" i="10"/>
  <c r="BQ224" i="10"/>
  <c r="BP225" i="10"/>
  <c r="BQ225" i="10"/>
  <c r="BP226" i="10"/>
  <c r="BQ226" i="10"/>
  <c r="BP227" i="10"/>
  <c r="BQ227" i="10"/>
  <c r="BP228" i="10"/>
  <c r="BQ228" i="10"/>
  <c r="BP229" i="10"/>
  <c r="BQ229" i="10"/>
  <c r="BP230" i="10"/>
  <c r="BQ230" i="10"/>
  <c r="BP231" i="10"/>
  <c r="BQ231" i="10"/>
  <c r="BP232" i="10"/>
  <c r="BQ232" i="10"/>
  <c r="BP233" i="10"/>
  <c r="BQ233" i="10"/>
  <c r="BP234" i="10"/>
  <c r="BQ234" i="10"/>
  <c r="BP235" i="10"/>
  <c r="BQ235" i="10"/>
  <c r="BP236" i="10"/>
  <c r="BQ236" i="10"/>
  <c r="BP237" i="10"/>
  <c r="BQ237" i="10"/>
  <c r="BP238" i="10"/>
  <c r="BQ238" i="10"/>
  <c r="BP239" i="10"/>
  <c r="BQ239" i="10"/>
  <c r="BP240" i="10"/>
  <c r="BQ240" i="10"/>
  <c r="BP241" i="10"/>
  <c r="BQ241" i="10"/>
  <c r="BP242" i="10"/>
  <c r="BQ242" i="10"/>
  <c r="BP243" i="10"/>
  <c r="BQ243" i="10"/>
  <c r="BP244" i="10"/>
  <c r="BQ244" i="10"/>
  <c r="BP245" i="10"/>
  <c r="BQ245" i="10"/>
  <c r="BP246" i="10"/>
  <c r="BQ246" i="10"/>
  <c r="BP247" i="10"/>
  <c r="BQ247" i="10"/>
  <c r="BP248" i="10"/>
  <c r="BQ248" i="10"/>
  <c r="BP249" i="10"/>
  <c r="BQ249" i="10"/>
  <c r="BP250" i="10"/>
  <c r="BQ250" i="10"/>
  <c r="BP251" i="10"/>
  <c r="BQ251" i="10"/>
  <c r="BP252" i="10"/>
  <c r="BQ252" i="10"/>
  <c r="BP253" i="10"/>
  <c r="BQ253" i="10"/>
  <c r="BP254" i="10"/>
  <c r="BQ254" i="10"/>
  <c r="BP255" i="10"/>
  <c r="BQ255" i="10"/>
  <c r="BP256" i="10"/>
  <c r="BQ256" i="10"/>
  <c r="BP257" i="10"/>
  <c r="BQ257" i="10"/>
  <c r="BP258" i="10"/>
  <c r="BQ258" i="10"/>
  <c r="BP259" i="10"/>
  <c r="BQ259" i="10"/>
  <c r="BP260" i="10"/>
  <c r="BQ260" i="10"/>
  <c r="BP261" i="10"/>
  <c r="BQ261" i="10"/>
  <c r="BP262" i="10"/>
  <c r="BQ262" i="10"/>
  <c r="BP263" i="10"/>
  <c r="BQ263" i="10"/>
  <c r="BP264" i="10"/>
  <c r="BQ264" i="10"/>
  <c r="BP265" i="10"/>
  <c r="BQ265" i="10"/>
  <c r="BP266" i="10"/>
  <c r="BQ266" i="10"/>
  <c r="BP267" i="10"/>
  <c r="BQ267" i="10"/>
  <c r="BP268" i="10"/>
  <c r="BQ268" i="10"/>
  <c r="BP269" i="10"/>
  <c r="BQ269" i="10"/>
  <c r="BP270" i="10"/>
  <c r="BQ270" i="10"/>
  <c r="BP271" i="10"/>
  <c r="BQ271" i="10"/>
  <c r="BP272" i="10"/>
  <c r="BQ272" i="10"/>
  <c r="BP273" i="10"/>
  <c r="BQ273" i="10"/>
  <c r="BP274" i="10"/>
  <c r="BQ274" i="10"/>
  <c r="BP275" i="10"/>
  <c r="BQ275" i="10"/>
  <c r="BP276" i="10"/>
  <c r="BQ276" i="10"/>
  <c r="BP277" i="10"/>
  <c r="BQ277" i="10"/>
  <c r="BP278" i="10"/>
  <c r="BQ278" i="10"/>
  <c r="BP279" i="10"/>
  <c r="BQ279" i="10"/>
  <c r="BP280" i="10"/>
  <c r="BQ280" i="10"/>
  <c r="BP281" i="10"/>
  <c r="BQ281" i="10"/>
  <c r="BP282" i="10"/>
  <c r="BQ282" i="10"/>
  <c r="BP283" i="10"/>
  <c r="BQ283" i="10"/>
  <c r="BP284" i="10"/>
  <c r="BQ284" i="10"/>
  <c r="BP285" i="10"/>
  <c r="BQ285" i="10"/>
  <c r="BP286" i="10"/>
  <c r="BQ286" i="10"/>
  <c r="BP287" i="10"/>
  <c r="BQ287" i="10"/>
  <c r="BP288" i="10"/>
  <c r="BQ288" i="10"/>
  <c r="BP289" i="10"/>
  <c r="BQ289" i="10"/>
  <c r="BP290" i="10"/>
  <c r="BQ290" i="10"/>
  <c r="BP291" i="10"/>
  <c r="BQ291" i="10"/>
  <c r="BP292" i="10"/>
  <c r="BQ292" i="10"/>
  <c r="BP293" i="10"/>
  <c r="BQ293" i="10"/>
  <c r="BP294" i="10"/>
  <c r="BQ294" i="10"/>
  <c r="BP295" i="10"/>
  <c r="BQ295" i="10"/>
  <c r="BP296" i="10"/>
  <c r="BQ296" i="10"/>
  <c r="BP297" i="10"/>
  <c r="BQ297" i="10"/>
  <c r="BP298" i="10"/>
  <c r="BQ298" i="10"/>
  <c r="BP299" i="10"/>
  <c r="BQ299" i="10"/>
  <c r="BP300" i="10"/>
  <c r="BQ300" i="10"/>
  <c r="BP301" i="10"/>
  <c r="BQ301" i="10"/>
  <c r="BP302" i="10"/>
  <c r="BQ302" i="10"/>
  <c r="BP303" i="10"/>
  <c r="BQ303" i="10"/>
  <c r="BP304" i="10"/>
  <c r="BQ304" i="10"/>
  <c r="BP305" i="10"/>
  <c r="BQ305" i="10"/>
  <c r="BP306" i="10"/>
  <c r="BQ306" i="10"/>
  <c r="BP307" i="10"/>
  <c r="BQ307" i="10"/>
  <c r="BP308" i="10"/>
  <c r="BQ308" i="10"/>
  <c r="BP309" i="10"/>
  <c r="BQ309" i="10"/>
  <c r="BP310" i="10"/>
  <c r="BQ310" i="10"/>
  <c r="BP311" i="10"/>
  <c r="BQ311" i="10"/>
  <c r="BP312" i="10"/>
  <c r="BQ312" i="10"/>
  <c r="BP313" i="10"/>
  <c r="BQ313" i="10"/>
  <c r="BP314" i="10"/>
  <c r="BQ314" i="10"/>
  <c r="BP315" i="10"/>
  <c r="BQ315" i="10"/>
  <c r="BP316" i="10"/>
  <c r="BQ316" i="10"/>
  <c r="BP317" i="10"/>
  <c r="BQ317" i="10"/>
  <c r="BP318" i="10"/>
  <c r="BQ318" i="10"/>
  <c r="BP319" i="10"/>
  <c r="BQ319" i="10"/>
  <c r="BP320" i="10"/>
  <c r="BQ320" i="10"/>
  <c r="BP321" i="10"/>
  <c r="BQ321" i="10"/>
  <c r="BP322" i="10"/>
  <c r="BQ322" i="10"/>
  <c r="BP323" i="10"/>
  <c r="BQ323" i="10"/>
  <c r="BP324" i="10"/>
  <c r="BQ324" i="10"/>
  <c r="BP325" i="10"/>
  <c r="BQ325" i="10"/>
  <c r="BP326" i="10"/>
  <c r="BQ326" i="10"/>
  <c r="BP327" i="10"/>
  <c r="BQ327" i="10"/>
  <c r="BP328" i="10"/>
  <c r="BQ328" i="10"/>
  <c r="BP329" i="10"/>
  <c r="BQ329" i="10"/>
  <c r="BP330" i="10"/>
  <c r="BQ330" i="10"/>
  <c r="BP331" i="10"/>
  <c r="BQ331" i="10"/>
  <c r="BP332" i="10"/>
  <c r="BQ332" i="10"/>
  <c r="BP333" i="10"/>
  <c r="BQ333" i="10"/>
  <c r="BP334" i="10"/>
  <c r="BQ334" i="10"/>
  <c r="BP335" i="10"/>
  <c r="BQ335" i="10"/>
  <c r="BP336" i="10"/>
  <c r="BQ336" i="10"/>
  <c r="BP337" i="10"/>
  <c r="BQ337" i="10"/>
  <c r="BP338" i="10"/>
  <c r="BQ338" i="10"/>
  <c r="BP339" i="10"/>
  <c r="BQ339" i="10"/>
  <c r="BP340" i="10"/>
  <c r="BQ340" i="10"/>
  <c r="BP341" i="10"/>
  <c r="BQ341" i="10"/>
  <c r="BP342" i="10"/>
  <c r="BQ342" i="10"/>
  <c r="BP343" i="10"/>
  <c r="BQ343" i="10"/>
  <c r="BP344" i="10"/>
  <c r="BQ344" i="10"/>
  <c r="BP345" i="10"/>
  <c r="BQ345" i="10"/>
  <c r="BP346" i="10"/>
  <c r="BQ346" i="10"/>
  <c r="BP347" i="10"/>
  <c r="BQ347" i="10"/>
  <c r="BP348" i="10"/>
  <c r="BQ348" i="10"/>
  <c r="BP349" i="10"/>
  <c r="BQ349" i="10"/>
  <c r="BP350" i="10"/>
  <c r="BQ350" i="10"/>
  <c r="BP351" i="10"/>
  <c r="BQ351" i="10"/>
  <c r="BP352" i="10"/>
  <c r="BQ352" i="10"/>
  <c r="BP353" i="10"/>
  <c r="BQ353" i="10"/>
  <c r="BP354" i="10"/>
  <c r="BQ354" i="10"/>
  <c r="BP355" i="10"/>
  <c r="BQ355" i="10"/>
  <c r="BP356" i="10"/>
  <c r="BQ356" i="10"/>
  <c r="BP357" i="10"/>
  <c r="BQ357" i="10"/>
  <c r="BP358" i="10"/>
  <c r="BQ358" i="10"/>
  <c r="BP359" i="10"/>
  <c r="BQ359" i="10"/>
  <c r="BP360" i="10"/>
  <c r="BQ360" i="10"/>
  <c r="BP361" i="10"/>
  <c r="BQ361" i="10"/>
  <c r="BP362" i="10"/>
  <c r="BQ362" i="10"/>
  <c r="BP363" i="10"/>
  <c r="BQ363" i="10"/>
  <c r="BP364" i="10"/>
  <c r="BQ364" i="10"/>
  <c r="BP365" i="10"/>
  <c r="BQ365" i="10"/>
  <c r="BP366" i="10"/>
  <c r="BQ366" i="10"/>
  <c r="BP367" i="10"/>
  <c r="BQ367" i="10"/>
  <c r="BP368" i="10"/>
  <c r="BQ368" i="10"/>
  <c r="BP369" i="10"/>
  <c r="BQ369" i="10"/>
  <c r="BP370" i="10"/>
  <c r="BQ370" i="10"/>
  <c r="BP371" i="10"/>
  <c r="BQ371" i="10"/>
  <c r="BP372" i="10"/>
  <c r="BQ372" i="10"/>
  <c r="BP373" i="10"/>
  <c r="BQ373" i="10"/>
  <c r="BP374" i="10"/>
  <c r="BQ374" i="10"/>
  <c r="BP375" i="10"/>
  <c r="BQ375" i="10"/>
  <c r="BP376" i="10"/>
  <c r="BQ376" i="10"/>
  <c r="BP377" i="10"/>
  <c r="BQ377" i="10"/>
  <c r="BP378" i="10"/>
  <c r="BQ378" i="10"/>
  <c r="BP379" i="10"/>
  <c r="BQ379" i="10"/>
  <c r="BP380" i="10"/>
  <c r="BQ380" i="10"/>
  <c r="BP381" i="10"/>
  <c r="BQ381" i="10"/>
  <c r="BP382" i="10"/>
  <c r="BQ382" i="10"/>
  <c r="BP383" i="10"/>
  <c r="BQ383" i="10"/>
  <c r="BP384" i="10"/>
  <c r="BQ384" i="10"/>
  <c r="BP385" i="10"/>
  <c r="BQ385" i="10"/>
  <c r="BP386" i="10"/>
  <c r="BQ386" i="10"/>
  <c r="BP387" i="10"/>
  <c r="BQ387" i="10"/>
  <c r="BP388" i="10"/>
  <c r="BQ388" i="10"/>
  <c r="BP389" i="10"/>
  <c r="BQ389" i="10"/>
  <c r="BP390" i="10"/>
  <c r="BQ390" i="10"/>
  <c r="BP391" i="10"/>
  <c r="BQ391" i="10"/>
  <c r="BP392" i="10"/>
  <c r="BQ392" i="10"/>
  <c r="BR28" i="10"/>
  <c r="BS28" i="10"/>
  <c r="BR29" i="10"/>
  <c r="BS29" i="10"/>
  <c r="BR30" i="10"/>
  <c r="BS30" i="10"/>
  <c r="BR31" i="10"/>
  <c r="BS31" i="10"/>
  <c r="BR32" i="10"/>
  <c r="BS32" i="10"/>
  <c r="BR33" i="10"/>
  <c r="BS33" i="10"/>
  <c r="BR34" i="10"/>
  <c r="BS34" i="10"/>
  <c r="BR35" i="10"/>
  <c r="BS35" i="10"/>
  <c r="BR36" i="10"/>
  <c r="BS36" i="10"/>
  <c r="BR37" i="10"/>
  <c r="BS37" i="10"/>
  <c r="BR38" i="10"/>
  <c r="BS38" i="10"/>
  <c r="BR39" i="10"/>
  <c r="BS39" i="10"/>
  <c r="BR40" i="10"/>
  <c r="BS40" i="10"/>
  <c r="BR41" i="10"/>
  <c r="BS41" i="10"/>
  <c r="BR42" i="10"/>
  <c r="BS42" i="10"/>
  <c r="BR43" i="10"/>
  <c r="BS43" i="10"/>
  <c r="BR44" i="10"/>
  <c r="BS44" i="10"/>
  <c r="BR45" i="10"/>
  <c r="BS45" i="10"/>
  <c r="BR46" i="10"/>
  <c r="BS46" i="10"/>
  <c r="BR47" i="10"/>
  <c r="BS47" i="10"/>
  <c r="BR48" i="10"/>
  <c r="BS48" i="10"/>
  <c r="BR49" i="10"/>
  <c r="BS49" i="10"/>
  <c r="BR50" i="10"/>
  <c r="BS50" i="10"/>
  <c r="BR51" i="10"/>
  <c r="BS51" i="10"/>
  <c r="BR52" i="10"/>
  <c r="BS52" i="10"/>
  <c r="BR53" i="10"/>
  <c r="BS53" i="10"/>
  <c r="BR55" i="10"/>
  <c r="BS55" i="10"/>
  <c r="BR56" i="10"/>
  <c r="BS56" i="10"/>
  <c r="BR57" i="10"/>
  <c r="BS57" i="10"/>
  <c r="BR58" i="10"/>
  <c r="BS58" i="10"/>
  <c r="BR59" i="10"/>
  <c r="BS59" i="10"/>
  <c r="BR60" i="10"/>
  <c r="BS60" i="10"/>
  <c r="BR61" i="10"/>
  <c r="BS61" i="10"/>
  <c r="BR62" i="10"/>
  <c r="BS62" i="10"/>
  <c r="BR63" i="10"/>
  <c r="BS63" i="10"/>
  <c r="BR64" i="10"/>
  <c r="BS64" i="10"/>
  <c r="BR65" i="10"/>
  <c r="BS65" i="10"/>
  <c r="BR66" i="10"/>
  <c r="BS66" i="10"/>
  <c r="BR67" i="10"/>
  <c r="BS67" i="10"/>
  <c r="BR68" i="10"/>
  <c r="BS68" i="10"/>
  <c r="BR69" i="10"/>
  <c r="BS69" i="10"/>
  <c r="BR70" i="10"/>
  <c r="BS70" i="10"/>
  <c r="BR71" i="10"/>
  <c r="BS71" i="10"/>
  <c r="BR72" i="10"/>
  <c r="BS72" i="10"/>
  <c r="BR73" i="10"/>
  <c r="BS73" i="10"/>
  <c r="BR74" i="10"/>
  <c r="BS74" i="10"/>
  <c r="BR75" i="10"/>
  <c r="BS75" i="10"/>
  <c r="BR76" i="10"/>
  <c r="BS76" i="10"/>
  <c r="BR77" i="10"/>
  <c r="BS77" i="10"/>
  <c r="BR78" i="10"/>
  <c r="BS78" i="10"/>
  <c r="BR79" i="10"/>
  <c r="BS79" i="10"/>
  <c r="BR80" i="10"/>
  <c r="BS80" i="10"/>
  <c r="BR81" i="10"/>
  <c r="BS81" i="10"/>
  <c r="BR82" i="10"/>
  <c r="BS82" i="10"/>
  <c r="BR83" i="10"/>
  <c r="BS83" i="10"/>
  <c r="BR84" i="10"/>
  <c r="BS84" i="10"/>
  <c r="BR85" i="10"/>
  <c r="BS85" i="10"/>
  <c r="BR86" i="10"/>
  <c r="BS86" i="10"/>
  <c r="BR87" i="10"/>
  <c r="BS87" i="10"/>
  <c r="BR88" i="10"/>
  <c r="BS88" i="10"/>
  <c r="BR89" i="10"/>
  <c r="BS89" i="10"/>
  <c r="BR90" i="10"/>
  <c r="BS90" i="10"/>
  <c r="BR91" i="10"/>
  <c r="BS91" i="10"/>
  <c r="BR92" i="10"/>
  <c r="BS92" i="10"/>
  <c r="BR93" i="10"/>
  <c r="BS93" i="10"/>
  <c r="BR94" i="10"/>
  <c r="BS94" i="10"/>
  <c r="BR95" i="10"/>
  <c r="BS95" i="10"/>
  <c r="BR96" i="10"/>
  <c r="BS96" i="10"/>
  <c r="BR97" i="10"/>
  <c r="BS97" i="10"/>
  <c r="BR98" i="10"/>
  <c r="BS98" i="10"/>
  <c r="BR99" i="10"/>
  <c r="BS99" i="10"/>
  <c r="BR100" i="10"/>
  <c r="BS100" i="10"/>
  <c r="BR101" i="10"/>
  <c r="BS101" i="10"/>
  <c r="BR102" i="10"/>
  <c r="BS102" i="10"/>
  <c r="BR103" i="10"/>
  <c r="BS103" i="10"/>
  <c r="BR104" i="10"/>
  <c r="BS104" i="10"/>
  <c r="BR105" i="10"/>
  <c r="BS105" i="10"/>
  <c r="BR106" i="10"/>
  <c r="BS106" i="10"/>
  <c r="BR107" i="10"/>
  <c r="BS107" i="10"/>
  <c r="BR108" i="10"/>
  <c r="BS108" i="10"/>
  <c r="BR109" i="10"/>
  <c r="BS109" i="10"/>
  <c r="BR110" i="10"/>
  <c r="BS110" i="10"/>
  <c r="BR111" i="10"/>
  <c r="BS111" i="10"/>
  <c r="BR112" i="10"/>
  <c r="BS112" i="10"/>
  <c r="BR113" i="10"/>
  <c r="BS113" i="10"/>
  <c r="BR114" i="10"/>
  <c r="BS114" i="10"/>
  <c r="BR115" i="10"/>
  <c r="BS115" i="10"/>
  <c r="BR116" i="10"/>
  <c r="BS116" i="10"/>
  <c r="BR117" i="10"/>
  <c r="BS117" i="10"/>
  <c r="BR118" i="10"/>
  <c r="BS118" i="10"/>
  <c r="BR119" i="10"/>
  <c r="BS119" i="10"/>
  <c r="BR120" i="10"/>
  <c r="BS120" i="10"/>
  <c r="BR121" i="10"/>
  <c r="BS121" i="10"/>
  <c r="BR122" i="10"/>
  <c r="BS122" i="10"/>
  <c r="BR123" i="10"/>
  <c r="BS123" i="10"/>
  <c r="BR124" i="10"/>
  <c r="BS124" i="10"/>
  <c r="BR125" i="10"/>
  <c r="BS125" i="10"/>
  <c r="BR126" i="10"/>
  <c r="BS126" i="10"/>
  <c r="BR127" i="10"/>
  <c r="BS127" i="10"/>
  <c r="BR128" i="10"/>
  <c r="BS128" i="10"/>
  <c r="BR129" i="10"/>
  <c r="BS129" i="10"/>
  <c r="BR130" i="10"/>
  <c r="BS130" i="10"/>
  <c r="BR131" i="10"/>
  <c r="BS131" i="10"/>
  <c r="BR132" i="10"/>
  <c r="BS132" i="10"/>
  <c r="BR133" i="10"/>
  <c r="BS133" i="10"/>
  <c r="BR134" i="10"/>
  <c r="BS134" i="10"/>
  <c r="BR135" i="10"/>
  <c r="BS135" i="10"/>
  <c r="BR136" i="10"/>
  <c r="BS136" i="10"/>
  <c r="BR137" i="10"/>
  <c r="BS137" i="10"/>
  <c r="BR138" i="10"/>
  <c r="BS138" i="10"/>
  <c r="BR139" i="10"/>
  <c r="BS139" i="10"/>
  <c r="BR140" i="10"/>
  <c r="BS140" i="10"/>
  <c r="BR141" i="10"/>
  <c r="BS141" i="10"/>
  <c r="BR142" i="10"/>
  <c r="BS142" i="10"/>
  <c r="BR143" i="10"/>
  <c r="BS143" i="10"/>
  <c r="BR144" i="10"/>
  <c r="BS144" i="10"/>
  <c r="BR145" i="10"/>
  <c r="BS145" i="10"/>
  <c r="BR146" i="10"/>
  <c r="BS146" i="10"/>
  <c r="BR147" i="10"/>
  <c r="BS147" i="10"/>
  <c r="BR148" i="10"/>
  <c r="BS148" i="10"/>
  <c r="BR149" i="10"/>
  <c r="BS149" i="10"/>
  <c r="BR150" i="10"/>
  <c r="BS150" i="10"/>
  <c r="BR151" i="10"/>
  <c r="BS151" i="10"/>
  <c r="BR152" i="10"/>
  <c r="BS152" i="10"/>
  <c r="BR153" i="10"/>
  <c r="BS153" i="10"/>
  <c r="BR154" i="10"/>
  <c r="BS154" i="10"/>
  <c r="BR155" i="10"/>
  <c r="BS155" i="10"/>
  <c r="BR156" i="10"/>
  <c r="BS156" i="10"/>
  <c r="BR157" i="10"/>
  <c r="BS157" i="10"/>
  <c r="BR158" i="10"/>
  <c r="BS158" i="10"/>
  <c r="BR159" i="10"/>
  <c r="BS159" i="10"/>
  <c r="BR160" i="10"/>
  <c r="BS160" i="10"/>
  <c r="BR161" i="10"/>
  <c r="BS161" i="10"/>
  <c r="BR162" i="10"/>
  <c r="BS162" i="10"/>
  <c r="BR163" i="10"/>
  <c r="BS163" i="10"/>
  <c r="BR164" i="10"/>
  <c r="BS164" i="10"/>
  <c r="BR165" i="10"/>
  <c r="BS165" i="10"/>
  <c r="BR166" i="10"/>
  <c r="BS166" i="10"/>
  <c r="BR167" i="10"/>
  <c r="BS167" i="10"/>
  <c r="BR168" i="10"/>
  <c r="BS168" i="10"/>
  <c r="BR169" i="10"/>
  <c r="BS169" i="10"/>
  <c r="BR170" i="10"/>
  <c r="BS170" i="10"/>
  <c r="BR171" i="10"/>
  <c r="BS171" i="10"/>
  <c r="BR172" i="10"/>
  <c r="BS172" i="10"/>
  <c r="BR173" i="10"/>
  <c r="BS173" i="10"/>
  <c r="BR174" i="10"/>
  <c r="BS174" i="10"/>
  <c r="BR175" i="10"/>
  <c r="BS175" i="10"/>
  <c r="BR176" i="10"/>
  <c r="BS176" i="10"/>
  <c r="BR177" i="10"/>
  <c r="BS177" i="10"/>
  <c r="BR178" i="10"/>
  <c r="BS178" i="10"/>
  <c r="BR179" i="10"/>
  <c r="BS179" i="10"/>
  <c r="BR180" i="10"/>
  <c r="BS180" i="10"/>
  <c r="BR181" i="10"/>
  <c r="BS181" i="10"/>
  <c r="BR182" i="10"/>
  <c r="BS182" i="10"/>
  <c r="BR183" i="10"/>
  <c r="BS183" i="10"/>
  <c r="BR184" i="10"/>
  <c r="BS184" i="10"/>
  <c r="BR185" i="10"/>
  <c r="BS185" i="10"/>
  <c r="BR186" i="10"/>
  <c r="BS186" i="10"/>
  <c r="BR187" i="10"/>
  <c r="BS187" i="10"/>
  <c r="BR188" i="10"/>
  <c r="BS188" i="10"/>
  <c r="BR189" i="10"/>
  <c r="BS189" i="10"/>
  <c r="BR190" i="10"/>
  <c r="BS190" i="10"/>
  <c r="BR191" i="10"/>
  <c r="BS191" i="10"/>
  <c r="BR192" i="10"/>
  <c r="BS192" i="10"/>
  <c r="BR193" i="10"/>
  <c r="BS193" i="10"/>
  <c r="BR194" i="10"/>
  <c r="BS194" i="10"/>
  <c r="BR195" i="10"/>
  <c r="BS195" i="10"/>
  <c r="BR196" i="10"/>
  <c r="BS196" i="10"/>
  <c r="BR197" i="10"/>
  <c r="BS197" i="10"/>
  <c r="BR198" i="10"/>
  <c r="BS198" i="10"/>
  <c r="BR199" i="10"/>
  <c r="BS199" i="10"/>
  <c r="BR200" i="10"/>
  <c r="BS200" i="10"/>
  <c r="BR201" i="10"/>
  <c r="BS201" i="10"/>
  <c r="BR202" i="10"/>
  <c r="BS202" i="10"/>
  <c r="BR203" i="10"/>
  <c r="BS203" i="10"/>
  <c r="BR204" i="10"/>
  <c r="BS204" i="10"/>
  <c r="BR205" i="10"/>
  <c r="BS205" i="10"/>
  <c r="BR206" i="10"/>
  <c r="BS206" i="10"/>
  <c r="BR207" i="10"/>
  <c r="BS207" i="10"/>
  <c r="BR208" i="10"/>
  <c r="BS208" i="10"/>
  <c r="BR209" i="10"/>
  <c r="BS209" i="10"/>
  <c r="BR210" i="10"/>
  <c r="BS210" i="10"/>
  <c r="BR211" i="10"/>
  <c r="BS211" i="10"/>
  <c r="BR212" i="10"/>
  <c r="BS212" i="10"/>
  <c r="BR213" i="10"/>
  <c r="BS213" i="10"/>
  <c r="BR214" i="10"/>
  <c r="BS214" i="10"/>
  <c r="BR215" i="10"/>
  <c r="BS215" i="10"/>
  <c r="BR216" i="10"/>
  <c r="BS216" i="10"/>
  <c r="BR217" i="10"/>
  <c r="BS217" i="10"/>
  <c r="BR218" i="10"/>
  <c r="BS218" i="10"/>
  <c r="BR219" i="10"/>
  <c r="BS219" i="10"/>
  <c r="BR220" i="10"/>
  <c r="BS220" i="10"/>
  <c r="BR221" i="10"/>
  <c r="BS221" i="10"/>
  <c r="BR222" i="10"/>
  <c r="BS222" i="10"/>
  <c r="BR223" i="10"/>
  <c r="BS223" i="10"/>
  <c r="BR224" i="10"/>
  <c r="BS224" i="10"/>
  <c r="BR225" i="10"/>
  <c r="BS225" i="10"/>
  <c r="BR226" i="10"/>
  <c r="BS226" i="10"/>
  <c r="BR227" i="10"/>
  <c r="BS227" i="10"/>
  <c r="BR228" i="10"/>
  <c r="BS228" i="10"/>
  <c r="BR229" i="10"/>
  <c r="BS229" i="10"/>
  <c r="BR230" i="10"/>
  <c r="BS230" i="10"/>
  <c r="BR231" i="10"/>
  <c r="BS231" i="10"/>
  <c r="BR232" i="10"/>
  <c r="BS232" i="10"/>
  <c r="BR233" i="10"/>
  <c r="BS233" i="10"/>
  <c r="BR234" i="10"/>
  <c r="BS234" i="10"/>
  <c r="BR235" i="10"/>
  <c r="BS235" i="10"/>
  <c r="BR236" i="10"/>
  <c r="BS236" i="10"/>
  <c r="BR237" i="10"/>
  <c r="BS237" i="10"/>
  <c r="BR238" i="10"/>
  <c r="BS238" i="10"/>
  <c r="BR239" i="10"/>
  <c r="BS239" i="10"/>
  <c r="BR240" i="10"/>
  <c r="BS240" i="10"/>
  <c r="BR241" i="10"/>
  <c r="BS241" i="10"/>
  <c r="BR242" i="10"/>
  <c r="BS242" i="10"/>
  <c r="BR243" i="10"/>
  <c r="BS243" i="10"/>
  <c r="BR244" i="10"/>
  <c r="BS244" i="10"/>
  <c r="BR245" i="10"/>
  <c r="BS245" i="10"/>
  <c r="BR246" i="10"/>
  <c r="BS246" i="10"/>
  <c r="BR247" i="10"/>
  <c r="BS247" i="10"/>
  <c r="BR248" i="10"/>
  <c r="BS248" i="10"/>
  <c r="BR249" i="10"/>
  <c r="BS249" i="10"/>
  <c r="BR250" i="10"/>
  <c r="BS250" i="10"/>
  <c r="BR251" i="10"/>
  <c r="BS251" i="10"/>
  <c r="BR252" i="10"/>
  <c r="BS252" i="10"/>
  <c r="BR253" i="10"/>
  <c r="BS253" i="10"/>
  <c r="BR254" i="10"/>
  <c r="BS254" i="10"/>
  <c r="BR255" i="10"/>
  <c r="BS255" i="10"/>
  <c r="BR256" i="10"/>
  <c r="BS256" i="10"/>
  <c r="BR257" i="10"/>
  <c r="BS257" i="10"/>
  <c r="BR258" i="10"/>
  <c r="BS258" i="10"/>
  <c r="BR259" i="10"/>
  <c r="BS259" i="10"/>
  <c r="BR260" i="10"/>
  <c r="BS260" i="10"/>
  <c r="BR261" i="10"/>
  <c r="BS261" i="10"/>
  <c r="BR262" i="10"/>
  <c r="BS262" i="10"/>
  <c r="BR263" i="10"/>
  <c r="BS263" i="10"/>
  <c r="BR264" i="10"/>
  <c r="BS264" i="10"/>
  <c r="BR265" i="10"/>
  <c r="BS265" i="10"/>
  <c r="BR266" i="10"/>
  <c r="BS266" i="10"/>
  <c r="BR267" i="10"/>
  <c r="BS267" i="10"/>
  <c r="BR268" i="10"/>
  <c r="BS268" i="10"/>
  <c r="BR269" i="10"/>
  <c r="BS269" i="10"/>
  <c r="BR270" i="10"/>
  <c r="BS270" i="10"/>
  <c r="BR271" i="10"/>
  <c r="BS271" i="10"/>
  <c r="BR272" i="10"/>
  <c r="BS272" i="10"/>
  <c r="BR273" i="10"/>
  <c r="BS273" i="10"/>
  <c r="BR274" i="10"/>
  <c r="BS274" i="10"/>
  <c r="BR275" i="10"/>
  <c r="BS275" i="10"/>
  <c r="BR276" i="10"/>
  <c r="BS276" i="10"/>
  <c r="BR277" i="10"/>
  <c r="BS277" i="10"/>
  <c r="BR278" i="10"/>
  <c r="BS278" i="10"/>
  <c r="BR279" i="10"/>
  <c r="BS279" i="10"/>
  <c r="BR280" i="10"/>
  <c r="BS280" i="10"/>
  <c r="BR281" i="10"/>
  <c r="BS281" i="10"/>
  <c r="BR282" i="10"/>
  <c r="BS282" i="10"/>
  <c r="BR283" i="10"/>
  <c r="BS283" i="10"/>
  <c r="BR284" i="10"/>
  <c r="BS284" i="10"/>
  <c r="BR285" i="10"/>
  <c r="BS285" i="10"/>
  <c r="BR286" i="10"/>
  <c r="BS286" i="10"/>
  <c r="BR287" i="10"/>
  <c r="BS287" i="10"/>
  <c r="BR288" i="10"/>
  <c r="BS288" i="10"/>
  <c r="BR289" i="10"/>
  <c r="BS289" i="10"/>
  <c r="BR290" i="10"/>
  <c r="BS290" i="10"/>
  <c r="BR291" i="10"/>
  <c r="BS291" i="10"/>
  <c r="BR292" i="10"/>
  <c r="BS292" i="10"/>
  <c r="BR293" i="10"/>
  <c r="BS293" i="10"/>
  <c r="BR294" i="10"/>
  <c r="BS294" i="10"/>
  <c r="BR295" i="10"/>
  <c r="BS295" i="10"/>
  <c r="BR296" i="10"/>
  <c r="BS296" i="10"/>
  <c r="BR297" i="10"/>
  <c r="BS297" i="10"/>
  <c r="BR298" i="10"/>
  <c r="BS298" i="10"/>
  <c r="BR299" i="10"/>
  <c r="BS299" i="10"/>
  <c r="BR300" i="10"/>
  <c r="BS300" i="10"/>
  <c r="BR301" i="10"/>
  <c r="BS301" i="10"/>
  <c r="BR302" i="10"/>
  <c r="BS302" i="10"/>
  <c r="BR303" i="10"/>
  <c r="BS303" i="10"/>
  <c r="BR304" i="10"/>
  <c r="BS304" i="10"/>
  <c r="BR305" i="10"/>
  <c r="BS305" i="10"/>
  <c r="BR306" i="10"/>
  <c r="BS306" i="10"/>
  <c r="BR307" i="10"/>
  <c r="BS307" i="10"/>
  <c r="BR308" i="10"/>
  <c r="BS308" i="10"/>
  <c r="BR309" i="10"/>
  <c r="BS309" i="10"/>
  <c r="BR310" i="10"/>
  <c r="BS310" i="10"/>
  <c r="BR311" i="10"/>
  <c r="BS311" i="10"/>
  <c r="BR312" i="10"/>
  <c r="BS312" i="10"/>
  <c r="BR313" i="10"/>
  <c r="BS313" i="10"/>
  <c r="BR314" i="10"/>
  <c r="BS314" i="10"/>
  <c r="BR315" i="10"/>
  <c r="BS315" i="10"/>
  <c r="BR316" i="10"/>
  <c r="BS316" i="10"/>
  <c r="BR317" i="10"/>
  <c r="BS317" i="10"/>
  <c r="BR318" i="10"/>
  <c r="BS318" i="10"/>
  <c r="BR319" i="10"/>
  <c r="BS319" i="10"/>
  <c r="BR320" i="10"/>
  <c r="BS320" i="10"/>
  <c r="BR321" i="10"/>
  <c r="BS321" i="10"/>
  <c r="BR322" i="10"/>
  <c r="BS322" i="10"/>
  <c r="BR323" i="10"/>
  <c r="BS323" i="10"/>
  <c r="BR324" i="10"/>
  <c r="BS324" i="10"/>
  <c r="BR325" i="10"/>
  <c r="BS325" i="10"/>
  <c r="BR326" i="10"/>
  <c r="BS326" i="10"/>
  <c r="BR327" i="10"/>
  <c r="BS327" i="10"/>
  <c r="BR328" i="10"/>
  <c r="BS328" i="10"/>
  <c r="BR329" i="10"/>
  <c r="BS329" i="10"/>
  <c r="BR330" i="10"/>
  <c r="BS330" i="10"/>
  <c r="BR331" i="10"/>
  <c r="BS331" i="10"/>
  <c r="BR332" i="10"/>
  <c r="BS332" i="10"/>
  <c r="BR333" i="10"/>
  <c r="BS333" i="10"/>
  <c r="BR334" i="10"/>
  <c r="BS334" i="10"/>
  <c r="BR335" i="10"/>
  <c r="BS335" i="10"/>
  <c r="BR336" i="10"/>
  <c r="BS336" i="10"/>
  <c r="BR337" i="10"/>
  <c r="BS337" i="10"/>
  <c r="BR338" i="10"/>
  <c r="BS338" i="10"/>
  <c r="BR339" i="10"/>
  <c r="BS339" i="10"/>
  <c r="BR340" i="10"/>
  <c r="BS340" i="10"/>
  <c r="BR341" i="10"/>
  <c r="BS341" i="10"/>
  <c r="BR342" i="10"/>
  <c r="BS342" i="10"/>
  <c r="BR343" i="10"/>
  <c r="BS343" i="10"/>
  <c r="BR344" i="10"/>
  <c r="BS344" i="10"/>
  <c r="BR345" i="10"/>
  <c r="BS345" i="10"/>
  <c r="BR346" i="10"/>
  <c r="BS346" i="10"/>
  <c r="BR347" i="10"/>
  <c r="BS347" i="10"/>
  <c r="BR348" i="10"/>
  <c r="BS348" i="10"/>
  <c r="BR349" i="10"/>
  <c r="BS349" i="10"/>
  <c r="BR350" i="10"/>
  <c r="BS350" i="10"/>
  <c r="BR351" i="10"/>
  <c r="BS351" i="10"/>
  <c r="BR352" i="10"/>
  <c r="BS352" i="10"/>
  <c r="BR353" i="10"/>
  <c r="BS353" i="10"/>
  <c r="BR354" i="10"/>
  <c r="BS354" i="10"/>
  <c r="BR355" i="10"/>
  <c r="BS355" i="10"/>
  <c r="BR356" i="10"/>
  <c r="BS356" i="10"/>
  <c r="BR357" i="10"/>
  <c r="BS357" i="10"/>
  <c r="BR358" i="10"/>
  <c r="BS358" i="10"/>
  <c r="BR359" i="10"/>
  <c r="BS359" i="10"/>
  <c r="BR360" i="10"/>
  <c r="BS360" i="10"/>
  <c r="BR361" i="10"/>
  <c r="BS361" i="10"/>
  <c r="BR362" i="10"/>
  <c r="BS362" i="10"/>
  <c r="BR363" i="10"/>
  <c r="BS363" i="10"/>
  <c r="BR364" i="10"/>
  <c r="BS364" i="10"/>
  <c r="BR365" i="10"/>
  <c r="BS365" i="10"/>
  <c r="BR366" i="10"/>
  <c r="BS366" i="10"/>
  <c r="BR367" i="10"/>
  <c r="BS367" i="10"/>
  <c r="BR368" i="10"/>
  <c r="BS368" i="10"/>
  <c r="BR369" i="10"/>
  <c r="BS369" i="10"/>
  <c r="BR370" i="10"/>
  <c r="BS370" i="10"/>
  <c r="BR371" i="10"/>
  <c r="BS371" i="10"/>
  <c r="BR372" i="10"/>
  <c r="BS372" i="10"/>
  <c r="BR373" i="10"/>
  <c r="BS373" i="10"/>
  <c r="BR374" i="10"/>
  <c r="BS374" i="10"/>
  <c r="BR375" i="10"/>
  <c r="BS375" i="10"/>
  <c r="BR376" i="10"/>
  <c r="BS376" i="10"/>
  <c r="BR377" i="10"/>
  <c r="BS377" i="10"/>
  <c r="BR378" i="10"/>
  <c r="BS378" i="10"/>
  <c r="BR379" i="10"/>
  <c r="BS379" i="10"/>
  <c r="BR380" i="10"/>
  <c r="BS380" i="10"/>
  <c r="BR381" i="10"/>
  <c r="BS381" i="10"/>
  <c r="BR382" i="10"/>
  <c r="BS382" i="10"/>
  <c r="BR383" i="10"/>
  <c r="BS383" i="10"/>
  <c r="BR384" i="10"/>
  <c r="BS384" i="10"/>
  <c r="BR385" i="10"/>
  <c r="BS385" i="10"/>
  <c r="BR386" i="10"/>
  <c r="BS386" i="10"/>
  <c r="BR387" i="10"/>
  <c r="BS387" i="10"/>
  <c r="BR388" i="10"/>
  <c r="BS388" i="10"/>
  <c r="BR389" i="10"/>
  <c r="BS389" i="10"/>
  <c r="BR390" i="10"/>
  <c r="BS390" i="10"/>
  <c r="BR391" i="10"/>
  <c r="BS391" i="10"/>
  <c r="BR392" i="10"/>
  <c r="BS392" i="10"/>
  <c r="BS393" i="10"/>
  <c r="IN28" i="10"/>
  <c r="JA28" i="10"/>
  <c r="IZ28" i="10"/>
  <c r="EO28" i="10"/>
  <c r="EP28" i="10"/>
  <c r="EQ28" i="10"/>
  <c r="ER28" i="10"/>
  <c r="ES28" i="10"/>
  <c r="ET28" i="10"/>
  <c r="EU28" i="10"/>
  <c r="EV28" i="10"/>
  <c r="EW28" i="10"/>
  <c r="IU28" i="10"/>
  <c r="EX28" i="10"/>
  <c r="EY28" i="10"/>
  <c r="IV28" i="10"/>
  <c r="EZ28" i="10"/>
  <c r="FA28" i="10"/>
  <c r="FB28" i="10"/>
  <c r="IW28" i="10"/>
  <c r="IT28" i="10"/>
  <c r="JB28" i="10"/>
  <c r="LH28" i="10"/>
  <c r="GK28" i="10"/>
  <c r="CQ28" i="10"/>
  <c r="IN29" i="10"/>
  <c r="JA29" i="10"/>
  <c r="IZ29" i="10"/>
  <c r="EO29" i="10"/>
  <c r="EP29" i="10"/>
  <c r="EQ29" i="10"/>
  <c r="ER29" i="10"/>
  <c r="ES29" i="10"/>
  <c r="ET29" i="10"/>
  <c r="EU29" i="10"/>
  <c r="EV29" i="10"/>
  <c r="EW29" i="10"/>
  <c r="IU29" i="10"/>
  <c r="EX29" i="10"/>
  <c r="EY29" i="10"/>
  <c r="IV29" i="10"/>
  <c r="EZ29" i="10"/>
  <c r="FA29" i="10"/>
  <c r="FB29" i="10"/>
  <c r="IW29" i="10"/>
  <c r="IT29" i="10"/>
  <c r="JB29" i="10"/>
  <c r="LH29" i="10"/>
  <c r="GK29" i="10"/>
  <c r="CQ29" i="10"/>
  <c r="IN30" i="10"/>
  <c r="JA30" i="10"/>
  <c r="IZ30" i="10"/>
  <c r="EO30" i="10"/>
  <c r="EP30" i="10"/>
  <c r="EQ30" i="10"/>
  <c r="ER30" i="10"/>
  <c r="ES30" i="10"/>
  <c r="ET30" i="10"/>
  <c r="EU30" i="10"/>
  <c r="EV30" i="10"/>
  <c r="EW30" i="10"/>
  <c r="IU30" i="10"/>
  <c r="EX30" i="10"/>
  <c r="EY30" i="10"/>
  <c r="IV30" i="10"/>
  <c r="EZ30" i="10"/>
  <c r="FA30" i="10"/>
  <c r="FB30" i="10"/>
  <c r="IW30" i="10"/>
  <c r="IT30" i="10"/>
  <c r="JB30" i="10"/>
  <c r="LH30" i="10"/>
  <c r="GK30" i="10"/>
  <c r="CQ30" i="10"/>
  <c r="IN31" i="10"/>
  <c r="JA31" i="10"/>
  <c r="IZ31" i="10"/>
  <c r="EO31" i="10"/>
  <c r="EP31" i="10"/>
  <c r="EQ31" i="10"/>
  <c r="ER31" i="10"/>
  <c r="ES31" i="10"/>
  <c r="ET31" i="10"/>
  <c r="EU31" i="10"/>
  <c r="EV31" i="10"/>
  <c r="EW31" i="10"/>
  <c r="IU31" i="10"/>
  <c r="EZ31" i="10"/>
  <c r="FA31" i="10"/>
  <c r="FB31" i="10"/>
  <c r="IW31" i="10"/>
  <c r="EX31" i="10"/>
  <c r="EY31" i="10"/>
  <c r="IV31" i="10"/>
  <c r="IT31" i="10"/>
  <c r="JB31" i="10"/>
  <c r="LH31" i="10"/>
  <c r="GK31" i="10"/>
  <c r="CQ31" i="10"/>
  <c r="IN32" i="10"/>
  <c r="JA32" i="10"/>
  <c r="EO32" i="10"/>
  <c r="EP32" i="10"/>
  <c r="EQ32" i="10"/>
  <c r="ER32" i="10"/>
  <c r="ES32" i="10"/>
  <c r="ET32" i="10"/>
  <c r="EU32" i="10"/>
  <c r="EV32" i="10"/>
  <c r="EW32" i="10"/>
  <c r="IU32" i="10"/>
  <c r="IZ32" i="10"/>
  <c r="EZ32" i="10"/>
  <c r="FA32" i="10"/>
  <c r="FB32" i="10"/>
  <c r="IW32" i="10"/>
  <c r="EX32" i="10"/>
  <c r="EY32" i="10"/>
  <c r="IV32" i="10"/>
  <c r="IT32" i="10"/>
  <c r="JB32" i="10"/>
  <c r="LH32" i="10"/>
  <c r="GK32" i="10"/>
  <c r="IN33" i="10"/>
  <c r="JA33" i="10"/>
  <c r="EO33" i="10"/>
  <c r="EP33" i="10"/>
  <c r="EQ33" i="10"/>
  <c r="ER33" i="10"/>
  <c r="ES33" i="10"/>
  <c r="ET33" i="10"/>
  <c r="EU33" i="10"/>
  <c r="EV33" i="10"/>
  <c r="EW33" i="10"/>
  <c r="IU33" i="10"/>
  <c r="IZ33" i="10"/>
  <c r="EZ33" i="10"/>
  <c r="FA33" i="10"/>
  <c r="FB33" i="10"/>
  <c r="IW33" i="10"/>
  <c r="EX33" i="10"/>
  <c r="EY33" i="10"/>
  <c r="IV33" i="10"/>
  <c r="IT33" i="10"/>
  <c r="JB33" i="10"/>
  <c r="LH33" i="10"/>
  <c r="GK33" i="10"/>
  <c r="CQ33" i="10"/>
  <c r="CF33" i="10"/>
  <c r="CW33" i="10"/>
  <c r="IN34" i="10"/>
  <c r="JA34" i="10"/>
  <c r="EO34" i="10"/>
  <c r="EP34" i="10"/>
  <c r="EQ34" i="10"/>
  <c r="ER34" i="10"/>
  <c r="ES34" i="10"/>
  <c r="ET34" i="10"/>
  <c r="EU34" i="10"/>
  <c r="EV34" i="10"/>
  <c r="EW34" i="10"/>
  <c r="IU34" i="10"/>
  <c r="IZ34" i="10"/>
  <c r="EZ34" i="10"/>
  <c r="FA34" i="10"/>
  <c r="FB34" i="10"/>
  <c r="IW34" i="10"/>
  <c r="EX34" i="10"/>
  <c r="EY34" i="10"/>
  <c r="IV34" i="10"/>
  <c r="IT34" i="10"/>
  <c r="JB34" i="10"/>
  <c r="LH34" i="10"/>
  <c r="GK34" i="10"/>
  <c r="IN35" i="10"/>
  <c r="JA35" i="10"/>
  <c r="EO35" i="10"/>
  <c r="EP35" i="10"/>
  <c r="EQ35" i="10"/>
  <c r="ER35" i="10"/>
  <c r="ES35" i="10"/>
  <c r="ET35" i="10"/>
  <c r="EU35" i="10"/>
  <c r="EV35" i="10"/>
  <c r="EW35" i="10"/>
  <c r="IU35" i="10"/>
  <c r="IZ35" i="10"/>
  <c r="EZ35" i="10"/>
  <c r="FA35" i="10"/>
  <c r="FB35" i="10"/>
  <c r="IW35" i="10"/>
  <c r="EX35" i="10"/>
  <c r="EY35" i="10"/>
  <c r="IV35" i="10"/>
  <c r="IT35" i="10"/>
  <c r="JB35" i="10"/>
  <c r="LH35" i="10"/>
  <c r="GK35" i="10"/>
  <c r="IN36" i="10"/>
  <c r="JA36" i="10"/>
  <c r="EO36" i="10"/>
  <c r="EP36" i="10"/>
  <c r="EQ36" i="10"/>
  <c r="ER36" i="10"/>
  <c r="ES36" i="10"/>
  <c r="ET36" i="10"/>
  <c r="EU36" i="10"/>
  <c r="EV36" i="10"/>
  <c r="EW36" i="10"/>
  <c r="IU36" i="10"/>
  <c r="IZ36" i="10"/>
  <c r="EZ36" i="10"/>
  <c r="FA36" i="10"/>
  <c r="FB36" i="10"/>
  <c r="IW36" i="10"/>
  <c r="EX36" i="10"/>
  <c r="EY36" i="10"/>
  <c r="IV36" i="10"/>
  <c r="IT36" i="10"/>
  <c r="JB36" i="10"/>
  <c r="LH36" i="10"/>
  <c r="GK36" i="10"/>
  <c r="CQ36" i="10"/>
  <c r="IN37" i="10"/>
  <c r="JA37" i="10"/>
  <c r="EO37" i="10"/>
  <c r="EP37" i="10"/>
  <c r="EQ37" i="10"/>
  <c r="ER37" i="10"/>
  <c r="ES37" i="10"/>
  <c r="ET37" i="10"/>
  <c r="EU37" i="10"/>
  <c r="EV37" i="10"/>
  <c r="EW37" i="10"/>
  <c r="IU37" i="10"/>
  <c r="IZ37" i="10"/>
  <c r="EZ37" i="10"/>
  <c r="FA37" i="10"/>
  <c r="FB37" i="10"/>
  <c r="IW37" i="10"/>
  <c r="EX37" i="10"/>
  <c r="EY37" i="10"/>
  <c r="IV37" i="10"/>
  <c r="IT37" i="10"/>
  <c r="JB37" i="10"/>
  <c r="LH37" i="10"/>
  <c r="GK37" i="10"/>
  <c r="IN38" i="10"/>
  <c r="JA38" i="10"/>
  <c r="EO38" i="10"/>
  <c r="EP38" i="10"/>
  <c r="EQ38" i="10"/>
  <c r="ER38" i="10"/>
  <c r="ES38" i="10"/>
  <c r="ET38" i="10"/>
  <c r="EU38" i="10"/>
  <c r="EV38" i="10"/>
  <c r="EW38" i="10"/>
  <c r="IU38" i="10"/>
  <c r="IZ38" i="10"/>
  <c r="EZ38" i="10"/>
  <c r="FA38" i="10"/>
  <c r="FB38" i="10"/>
  <c r="IW38" i="10"/>
  <c r="EX38" i="10"/>
  <c r="EY38" i="10"/>
  <c r="IV38" i="10"/>
  <c r="IT38" i="10"/>
  <c r="JB38" i="10"/>
  <c r="LH38" i="10"/>
  <c r="GK38" i="10"/>
  <c r="IN39" i="10"/>
  <c r="JA39" i="10"/>
  <c r="EO39" i="10"/>
  <c r="EP39" i="10"/>
  <c r="EQ39" i="10"/>
  <c r="ER39" i="10"/>
  <c r="ES39" i="10"/>
  <c r="ET39" i="10"/>
  <c r="EU39" i="10"/>
  <c r="EV39" i="10"/>
  <c r="EW39" i="10"/>
  <c r="IU39" i="10"/>
  <c r="IZ39" i="10"/>
  <c r="EZ39" i="10"/>
  <c r="FA39" i="10"/>
  <c r="FB39" i="10"/>
  <c r="IW39" i="10"/>
  <c r="EX39" i="10"/>
  <c r="EY39" i="10"/>
  <c r="IV39" i="10"/>
  <c r="IT39" i="10"/>
  <c r="JB39" i="10"/>
  <c r="LH39" i="10"/>
  <c r="GK39" i="10"/>
  <c r="IN40" i="10"/>
  <c r="JA40" i="10"/>
  <c r="EO40" i="10"/>
  <c r="EP40" i="10"/>
  <c r="EQ40" i="10"/>
  <c r="ER40" i="10"/>
  <c r="ES40" i="10"/>
  <c r="ET40" i="10"/>
  <c r="EU40" i="10"/>
  <c r="EV40" i="10"/>
  <c r="EW40" i="10"/>
  <c r="IU40" i="10"/>
  <c r="IZ40" i="10"/>
  <c r="EZ40" i="10"/>
  <c r="FA40" i="10"/>
  <c r="FB40" i="10"/>
  <c r="IW40" i="10"/>
  <c r="EX40" i="10"/>
  <c r="EY40" i="10"/>
  <c r="IV40" i="10"/>
  <c r="IT40" i="10"/>
  <c r="JB40" i="10"/>
  <c r="LH40" i="10"/>
  <c r="GK40" i="10"/>
  <c r="IN41" i="10"/>
  <c r="JA41" i="10"/>
  <c r="EO41" i="10"/>
  <c r="EP41" i="10"/>
  <c r="EQ41" i="10"/>
  <c r="ER41" i="10"/>
  <c r="ES41" i="10"/>
  <c r="ET41" i="10"/>
  <c r="EU41" i="10"/>
  <c r="EV41" i="10"/>
  <c r="EW41" i="10"/>
  <c r="IU41" i="10"/>
  <c r="IZ41" i="10"/>
  <c r="EZ41" i="10"/>
  <c r="FA41" i="10"/>
  <c r="FB41" i="10"/>
  <c r="IW41" i="10"/>
  <c r="EX41" i="10"/>
  <c r="EY41" i="10"/>
  <c r="IV41" i="10"/>
  <c r="IT41" i="10"/>
  <c r="JB41" i="10"/>
  <c r="LH41" i="10"/>
  <c r="GK41" i="10"/>
  <c r="IN42" i="10"/>
  <c r="JA42" i="10"/>
  <c r="EO42" i="10"/>
  <c r="EP42" i="10"/>
  <c r="EQ42" i="10"/>
  <c r="ER42" i="10"/>
  <c r="ES42" i="10"/>
  <c r="ET42" i="10"/>
  <c r="EU42" i="10"/>
  <c r="EV42" i="10"/>
  <c r="EW42" i="10"/>
  <c r="IU42" i="10"/>
  <c r="IZ42" i="10"/>
  <c r="EZ42" i="10"/>
  <c r="FA42" i="10"/>
  <c r="FB42" i="10"/>
  <c r="IW42" i="10"/>
  <c r="EX42" i="10"/>
  <c r="EY42" i="10"/>
  <c r="IV42" i="10"/>
  <c r="IT42" i="10"/>
  <c r="JB42" i="10"/>
  <c r="LH42" i="10"/>
  <c r="GK42" i="10"/>
  <c r="CQ42" i="10"/>
  <c r="IN43" i="10"/>
  <c r="JA43" i="10"/>
  <c r="EO43" i="10"/>
  <c r="EP43" i="10"/>
  <c r="EQ43" i="10"/>
  <c r="ER43" i="10"/>
  <c r="ES43" i="10"/>
  <c r="ET43" i="10"/>
  <c r="EU43" i="10"/>
  <c r="EV43" i="10"/>
  <c r="EW43" i="10"/>
  <c r="IU43" i="10"/>
  <c r="IZ43" i="10"/>
  <c r="EZ43" i="10"/>
  <c r="FA43" i="10"/>
  <c r="FB43" i="10"/>
  <c r="IW43" i="10"/>
  <c r="EX43" i="10"/>
  <c r="EY43" i="10"/>
  <c r="IV43" i="10"/>
  <c r="IT43" i="10"/>
  <c r="JB43" i="10"/>
  <c r="LH43" i="10"/>
  <c r="GK43" i="10"/>
  <c r="IN44" i="10"/>
  <c r="JA44" i="10"/>
  <c r="EO44" i="10"/>
  <c r="EP44" i="10"/>
  <c r="EQ44" i="10"/>
  <c r="ER44" i="10"/>
  <c r="ES44" i="10"/>
  <c r="ET44" i="10"/>
  <c r="EU44" i="10"/>
  <c r="EV44" i="10"/>
  <c r="EW44" i="10"/>
  <c r="IU44" i="10"/>
  <c r="IZ44" i="10"/>
  <c r="EZ44" i="10"/>
  <c r="FA44" i="10"/>
  <c r="FB44" i="10"/>
  <c r="IW44" i="10"/>
  <c r="EX44" i="10"/>
  <c r="EY44" i="10"/>
  <c r="IV44" i="10"/>
  <c r="IT44" i="10"/>
  <c r="JB44" i="10"/>
  <c r="LH44" i="10"/>
  <c r="GK44" i="10"/>
  <c r="CQ44" i="10"/>
  <c r="IN45" i="10"/>
  <c r="JA45" i="10"/>
  <c r="EO45" i="10"/>
  <c r="EP45" i="10"/>
  <c r="EQ45" i="10"/>
  <c r="ER45" i="10"/>
  <c r="ES45" i="10"/>
  <c r="ET45" i="10"/>
  <c r="EU45" i="10"/>
  <c r="EV45" i="10"/>
  <c r="EW45" i="10"/>
  <c r="IU45" i="10"/>
  <c r="IZ45" i="10"/>
  <c r="EZ45" i="10"/>
  <c r="FA45" i="10"/>
  <c r="FB45" i="10"/>
  <c r="IW45" i="10"/>
  <c r="EX45" i="10"/>
  <c r="EY45" i="10"/>
  <c r="IV45" i="10"/>
  <c r="IT45" i="10"/>
  <c r="JB45" i="10"/>
  <c r="LH45" i="10"/>
  <c r="GK45" i="10"/>
  <c r="IN46" i="10"/>
  <c r="JA46" i="10"/>
  <c r="EO46" i="10"/>
  <c r="EP46" i="10"/>
  <c r="EQ46" i="10"/>
  <c r="ER46" i="10"/>
  <c r="ES46" i="10"/>
  <c r="ET46" i="10"/>
  <c r="EU46" i="10"/>
  <c r="EV46" i="10"/>
  <c r="EW46" i="10"/>
  <c r="IU46" i="10"/>
  <c r="IZ46" i="10"/>
  <c r="EZ46" i="10"/>
  <c r="FA46" i="10"/>
  <c r="FB46" i="10"/>
  <c r="IW46" i="10"/>
  <c r="EX46" i="10"/>
  <c r="EY46" i="10"/>
  <c r="IV46" i="10"/>
  <c r="IT46" i="10"/>
  <c r="JB46" i="10"/>
  <c r="LH46" i="10"/>
  <c r="GK46" i="10"/>
  <c r="IN47" i="10"/>
  <c r="JA47" i="10"/>
  <c r="EO47" i="10"/>
  <c r="EP47" i="10"/>
  <c r="EQ47" i="10"/>
  <c r="ER47" i="10"/>
  <c r="ES47" i="10"/>
  <c r="ET47" i="10"/>
  <c r="EU47" i="10"/>
  <c r="EV47" i="10"/>
  <c r="EW47" i="10"/>
  <c r="IU47" i="10"/>
  <c r="IZ47" i="10"/>
  <c r="EZ47" i="10"/>
  <c r="FA47" i="10"/>
  <c r="FB47" i="10"/>
  <c r="IW47" i="10"/>
  <c r="EX47" i="10"/>
  <c r="EY47" i="10"/>
  <c r="IV47" i="10"/>
  <c r="IT47" i="10"/>
  <c r="JB47" i="10"/>
  <c r="LH47" i="10"/>
  <c r="GK47" i="10"/>
  <c r="CQ47" i="10"/>
  <c r="IN48" i="10"/>
  <c r="JA48" i="10"/>
  <c r="EO48" i="10"/>
  <c r="EP48" i="10"/>
  <c r="EQ48" i="10"/>
  <c r="ER48" i="10"/>
  <c r="ES48" i="10"/>
  <c r="ET48" i="10"/>
  <c r="EU48" i="10"/>
  <c r="EV48" i="10"/>
  <c r="EW48" i="10"/>
  <c r="IU48" i="10"/>
  <c r="IZ48" i="10"/>
  <c r="EZ48" i="10"/>
  <c r="FA48" i="10"/>
  <c r="FB48" i="10"/>
  <c r="IW48" i="10"/>
  <c r="EX48" i="10"/>
  <c r="EY48" i="10"/>
  <c r="IV48" i="10"/>
  <c r="IT48" i="10"/>
  <c r="JB48" i="10"/>
  <c r="LH48" i="10"/>
  <c r="GK48" i="10"/>
  <c r="CQ48" i="10"/>
  <c r="CF48" i="10"/>
  <c r="CW48" i="10"/>
  <c r="IN49" i="10"/>
  <c r="JA49" i="10"/>
  <c r="EO49" i="10"/>
  <c r="EP49" i="10"/>
  <c r="EQ49" i="10"/>
  <c r="ER49" i="10"/>
  <c r="ES49" i="10"/>
  <c r="ET49" i="10"/>
  <c r="EU49" i="10"/>
  <c r="EV49" i="10"/>
  <c r="EW49" i="10"/>
  <c r="IU49" i="10"/>
  <c r="IZ49" i="10"/>
  <c r="EZ49" i="10"/>
  <c r="FA49" i="10"/>
  <c r="FB49" i="10"/>
  <c r="IW49" i="10"/>
  <c r="EX49" i="10"/>
  <c r="EY49" i="10"/>
  <c r="IV49" i="10"/>
  <c r="IT49" i="10"/>
  <c r="JB49" i="10"/>
  <c r="LH49" i="10"/>
  <c r="GK49" i="10"/>
  <c r="CQ49" i="10"/>
  <c r="IN50" i="10"/>
  <c r="JA50" i="10"/>
  <c r="EO50" i="10"/>
  <c r="EP50" i="10"/>
  <c r="EQ50" i="10"/>
  <c r="ER50" i="10"/>
  <c r="ES50" i="10"/>
  <c r="ET50" i="10"/>
  <c r="EU50" i="10"/>
  <c r="EV50" i="10"/>
  <c r="EW50" i="10"/>
  <c r="IU50" i="10"/>
  <c r="IZ50" i="10"/>
  <c r="EZ50" i="10"/>
  <c r="FA50" i="10"/>
  <c r="FB50" i="10"/>
  <c r="IW50" i="10"/>
  <c r="EX50" i="10"/>
  <c r="EY50" i="10"/>
  <c r="IV50" i="10"/>
  <c r="IT50" i="10"/>
  <c r="JB50" i="10"/>
  <c r="LH50" i="10"/>
  <c r="GK50" i="10"/>
  <c r="IN51" i="10"/>
  <c r="JA51" i="10"/>
  <c r="EO51" i="10"/>
  <c r="EP51" i="10"/>
  <c r="EQ51" i="10"/>
  <c r="ER51" i="10"/>
  <c r="ES51" i="10"/>
  <c r="ET51" i="10"/>
  <c r="EU51" i="10"/>
  <c r="EV51" i="10"/>
  <c r="EW51" i="10"/>
  <c r="IU51" i="10"/>
  <c r="IZ51" i="10"/>
  <c r="EZ51" i="10"/>
  <c r="FA51" i="10"/>
  <c r="FB51" i="10"/>
  <c r="IW51" i="10"/>
  <c r="EX51" i="10"/>
  <c r="EY51" i="10"/>
  <c r="IV51" i="10"/>
  <c r="IT51" i="10"/>
  <c r="JB51" i="10"/>
  <c r="LH51" i="10"/>
  <c r="GK51" i="10"/>
  <c r="IN52" i="10"/>
  <c r="JA52" i="10"/>
  <c r="EO52" i="10"/>
  <c r="EP52" i="10"/>
  <c r="EQ52" i="10"/>
  <c r="ER52" i="10"/>
  <c r="ES52" i="10"/>
  <c r="ET52" i="10"/>
  <c r="EU52" i="10"/>
  <c r="EV52" i="10"/>
  <c r="EW52" i="10"/>
  <c r="IU52" i="10"/>
  <c r="IZ52" i="10"/>
  <c r="EZ52" i="10"/>
  <c r="FA52" i="10"/>
  <c r="FB52" i="10"/>
  <c r="IW52" i="10"/>
  <c r="EX52" i="10"/>
  <c r="EY52" i="10"/>
  <c r="IV52" i="10"/>
  <c r="IT52" i="10"/>
  <c r="JB52" i="10"/>
  <c r="LH52" i="10"/>
  <c r="GK52" i="10"/>
  <c r="IN53" i="10"/>
  <c r="JA53" i="10"/>
  <c r="EO53" i="10"/>
  <c r="EP53" i="10"/>
  <c r="EQ53" i="10"/>
  <c r="ER53" i="10"/>
  <c r="ES53" i="10"/>
  <c r="ET53" i="10"/>
  <c r="EU53" i="10"/>
  <c r="EV53" i="10"/>
  <c r="EW53" i="10"/>
  <c r="IU53" i="10"/>
  <c r="IZ53" i="10"/>
  <c r="EZ53" i="10"/>
  <c r="FA53" i="10"/>
  <c r="FB53" i="10"/>
  <c r="IW53" i="10"/>
  <c r="EX53" i="10"/>
  <c r="EY53" i="10"/>
  <c r="IV53" i="10"/>
  <c r="IT53" i="10"/>
  <c r="JB53" i="10"/>
  <c r="LH53" i="10"/>
  <c r="GK53" i="10"/>
  <c r="IN55" i="10"/>
  <c r="JA55" i="10"/>
  <c r="EO55" i="10"/>
  <c r="EP55" i="10"/>
  <c r="EQ55" i="10"/>
  <c r="ER55" i="10"/>
  <c r="ES55" i="10"/>
  <c r="ET55" i="10"/>
  <c r="EU55" i="10"/>
  <c r="EV55" i="10"/>
  <c r="EW55" i="10"/>
  <c r="IU55" i="10"/>
  <c r="IZ55" i="10"/>
  <c r="EZ55" i="10"/>
  <c r="FA55" i="10"/>
  <c r="FB55" i="10"/>
  <c r="IW55" i="10"/>
  <c r="EX55" i="10"/>
  <c r="EY55" i="10"/>
  <c r="IV55" i="10"/>
  <c r="IT55" i="10"/>
  <c r="JB55" i="10"/>
  <c r="LH55" i="10"/>
  <c r="GK55" i="10"/>
  <c r="IN56" i="10"/>
  <c r="JA56" i="10"/>
  <c r="EO56" i="10"/>
  <c r="EP56" i="10"/>
  <c r="EQ56" i="10"/>
  <c r="ER56" i="10"/>
  <c r="ES56" i="10"/>
  <c r="ET56" i="10"/>
  <c r="EU56" i="10"/>
  <c r="EV56" i="10"/>
  <c r="EW56" i="10"/>
  <c r="IU56" i="10"/>
  <c r="IZ56" i="10"/>
  <c r="EZ56" i="10"/>
  <c r="FA56" i="10"/>
  <c r="FB56" i="10"/>
  <c r="IW56" i="10"/>
  <c r="EX56" i="10"/>
  <c r="EY56" i="10"/>
  <c r="IV56" i="10"/>
  <c r="IT56" i="10"/>
  <c r="JB56" i="10"/>
  <c r="LH56" i="10"/>
  <c r="GK56" i="10"/>
  <c r="CQ56" i="10"/>
  <c r="CF56" i="10"/>
  <c r="CW56" i="10"/>
  <c r="IN57" i="10"/>
  <c r="JA57" i="10"/>
  <c r="EO57" i="10"/>
  <c r="EP57" i="10"/>
  <c r="EQ57" i="10"/>
  <c r="ER57" i="10"/>
  <c r="ES57" i="10"/>
  <c r="ET57" i="10"/>
  <c r="EU57" i="10"/>
  <c r="EV57" i="10"/>
  <c r="EW57" i="10"/>
  <c r="IU57" i="10"/>
  <c r="IZ57" i="10"/>
  <c r="EZ57" i="10"/>
  <c r="FA57" i="10"/>
  <c r="FB57" i="10"/>
  <c r="IW57" i="10"/>
  <c r="EX57" i="10"/>
  <c r="EY57" i="10"/>
  <c r="IV57" i="10"/>
  <c r="IT57" i="10"/>
  <c r="JB57" i="10"/>
  <c r="LH57" i="10"/>
  <c r="GK57" i="10"/>
  <c r="IN58" i="10"/>
  <c r="JA58" i="10"/>
  <c r="EO58" i="10"/>
  <c r="EP58" i="10"/>
  <c r="EQ58" i="10"/>
  <c r="ER58" i="10"/>
  <c r="ES58" i="10"/>
  <c r="ET58" i="10"/>
  <c r="EU58" i="10"/>
  <c r="EV58" i="10"/>
  <c r="EW58" i="10"/>
  <c r="IU58" i="10"/>
  <c r="IZ58" i="10"/>
  <c r="EZ58" i="10"/>
  <c r="FA58" i="10"/>
  <c r="FB58" i="10"/>
  <c r="IW58" i="10"/>
  <c r="EX58" i="10"/>
  <c r="EY58" i="10"/>
  <c r="IV58" i="10"/>
  <c r="IT58" i="10"/>
  <c r="JB58" i="10"/>
  <c r="LH58" i="10"/>
  <c r="GK58" i="10"/>
  <c r="IN59" i="10"/>
  <c r="JA59" i="10"/>
  <c r="EO59" i="10"/>
  <c r="EP59" i="10"/>
  <c r="EQ59" i="10"/>
  <c r="ER59" i="10"/>
  <c r="ES59" i="10"/>
  <c r="ET59" i="10"/>
  <c r="EU59" i="10"/>
  <c r="EV59" i="10"/>
  <c r="EW59" i="10"/>
  <c r="IU59" i="10"/>
  <c r="IZ59" i="10"/>
  <c r="EZ59" i="10"/>
  <c r="FA59" i="10"/>
  <c r="FB59" i="10"/>
  <c r="IW59" i="10"/>
  <c r="EX59" i="10"/>
  <c r="EY59" i="10"/>
  <c r="IV59" i="10"/>
  <c r="IT59" i="10"/>
  <c r="JB59" i="10"/>
  <c r="LH59" i="10"/>
  <c r="GK59" i="10"/>
  <c r="CQ59" i="10"/>
  <c r="IN60" i="10"/>
  <c r="JA60" i="10"/>
  <c r="EO60" i="10"/>
  <c r="EP60" i="10"/>
  <c r="EQ60" i="10"/>
  <c r="ER60" i="10"/>
  <c r="ES60" i="10"/>
  <c r="ET60" i="10"/>
  <c r="EU60" i="10"/>
  <c r="EV60" i="10"/>
  <c r="EW60" i="10"/>
  <c r="IU60" i="10"/>
  <c r="IZ60" i="10"/>
  <c r="EZ60" i="10"/>
  <c r="FA60" i="10"/>
  <c r="FB60" i="10"/>
  <c r="IW60" i="10"/>
  <c r="EX60" i="10"/>
  <c r="EY60" i="10"/>
  <c r="IV60" i="10"/>
  <c r="IT60" i="10"/>
  <c r="JB60" i="10"/>
  <c r="LH60" i="10"/>
  <c r="GK60" i="10"/>
  <c r="IN61" i="10"/>
  <c r="JA61" i="10"/>
  <c r="EO61" i="10"/>
  <c r="EP61" i="10"/>
  <c r="EQ61" i="10"/>
  <c r="ER61" i="10"/>
  <c r="ES61" i="10"/>
  <c r="ET61" i="10"/>
  <c r="EU61" i="10"/>
  <c r="EV61" i="10"/>
  <c r="EW61" i="10"/>
  <c r="IU61" i="10"/>
  <c r="IZ61" i="10"/>
  <c r="EZ61" i="10"/>
  <c r="FA61" i="10"/>
  <c r="FB61" i="10"/>
  <c r="IW61" i="10"/>
  <c r="EX61" i="10"/>
  <c r="EY61" i="10"/>
  <c r="IV61" i="10"/>
  <c r="IT61" i="10"/>
  <c r="JB61" i="10"/>
  <c r="LH61" i="10"/>
  <c r="GK61" i="10"/>
  <c r="CQ61" i="10"/>
  <c r="CF61" i="10"/>
  <c r="CW61" i="10"/>
  <c r="IN62" i="10"/>
  <c r="JA62" i="10"/>
  <c r="EO62" i="10"/>
  <c r="EP62" i="10"/>
  <c r="EQ62" i="10"/>
  <c r="ER62" i="10"/>
  <c r="ES62" i="10"/>
  <c r="ET62" i="10"/>
  <c r="EU62" i="10"/>
  <c r="EV62" i="10"/>
  <c r="EW62" i="10"/>
  <c r="IU62" i="10"/>
  <c r="IZ62" i="10"/>
  <c r="EZ62" i="10"/>
  <c r="FA62" i="10"/>
  <c r="FB62" i="10"/>
  <c r="IW62" i="10"/>
  <c r="EX62" i="10"/>
  <c r="EY62" i="10"/>
  <c r="IV62" i="10"/>
  <c r="IT62" i="10"/>
  <c r="JB62" i="10"/>
  <c r="LH62" i="10"/>
  <c r="GK62" i="10"/>
  <c r="IN63" i="10"/>
  <c r="JA63" i="10"/>
  <c r="EO63" i="10"/>
  <c r="EP63" i="10"/>
  <c r="EQ63" i="10"/>
  <c r="ER63" i="10"/>
  <c r="ES63" i="10"/>
  <c r="ET63" i="10"/>
  <c r="EU63" i="10"/>
  <c r="EV63" i="10"/>
  <c r="EW63" i="10"/>
  <c r="IU63" i="10"/>
  <c r="IZ63" i="10"/>
  <c r="EZ63" i="10"/>
  <c r="FA63" i="10"/>
  <c r="FB63" i="10"/>
  <c r="IW63" i="10"/>
  <c r="EX63" i="10"/>
  <c r="EY63" i="10"/>
  <c r="IV63" i="10"/>
  <c r="IT63" i="10"/>
  <c r="JB63" i="10"/>
  <c r="LH63" i="10"/>
  <c r="GK63" i="10"/>
  <c r="IN64" i="10"/>
  <c r="JA64" i="10"/>
  <c r="EO64" i="10"/>
  <c r="EP64" i="10"/>
  <c r="EQ64" i="10"/>
  <c r="ER64" i="10"/>
  <c r="ES64" i="10"/>
  <c r="ET64" i="10"/>
  <c r="EU64" i="10"/>
  <c r="EV64" i="10"/>
  <c r="EW64" i="10"/>
  <c r="IU64" i="10"/>
  <c r="IZ64" i="10"/>
  <c r="EZ64" i="10"/>
  <c r="FA64" i="10"/>
  <c r="FB64" i="10"/>
  <c r="IW64" i="10"/>
  <c r="EX64" i="10"/>
  <c r="EY64" i="10"/>
  <c r="IV64" i="10"/>
  <c r="IT64" i="10"/>
  <c r="JB64" i="10"/>
  <c r="LH64" i="10"/>
  <c r="GK64" i="10"/>
  <c r="CQ64" i="10"/>
  <c r="IN65" i="10"/>
  <c r="JA65" i="10"/>
  <c r="EO65" i="10"/>
  <c r="EP65" i="10"/>
  <c r="EQ65" i="10"/>
  <c r="ER65" i="10"/>
  <c r="ES65" i="10"/>
  <c r="ET65" i="10"/>
  <c r="EU65" i="10"/>
  <c r="EV65" i="10"/>
  <c r="EW65" i="10"/>
  <c r="IU65" i="10"/>
  <c r="IZ65" i="10"/>
  <c r="EZ65" i="10"/>
  <c r="FA65" i="10"/>
  <c r="FB65" i="10"/>
  <c r="IW65" i="10"/>
  <c r="EX65" i="10"/>
  <c r="EY65" i="10"/>
  <c r="IV65" i="10"/>
  <c r="IT65" i="10"/>
  <c r="JB65" i="10"/>
  <c r="LH65" i="10"/>
  <c r="GK65" i="10"/>
  <c r="IN66" i="10"/>
  <c r="JA66" i="10"/>
  <c r="EO66" i="10"/>
  <c r="EP66" i="10"/>
  <c r="EQ66" i="10"/>
  <c r="ER66" i="10"/>
  <c r="ES66" i="10"/>
  <c r="ET66" i="10"/>
  <c r="EU66" i="10"/>
  <c r="EV66" i="10"/>
  <c r="EW66" i="10"/>
  <c r="IU66" i="10"/>
  <c r="IZ66" i="10"/>
  <c r="EZ66" i="10"/>
  <c r="FA66" i="10"/>
  <c r="FB66" i="10"/>
  <c r="IW66" i="10"/>
  <c r="EX66" i="10"/>
  <c r="EY66" i="10"/>
  <c r="IV66" i="10"/>
  <c r="IT66" i="10"/>
  <c r="JB66" i="10"/>
  <c r="LH66" i="10"/>
  <c r="GK66" i="10"/>
  <c r="CQ66" i="10"/>
  <c r="CF66" i="10"/>
  <c r="CW66" i="10"/>
  <c r="IN67" i="10"/>
  <c r="JA67" i="10"/>
  <c r="EO67" i="10"/>
  <c r="EP67" i="10"/>
  <c r="EQ67" i="10"/>
  <c r="ER67" i="10"/>
  <c r="ES67" i="10"/>
  <c r="ET67" i="10"/>
  <c r="EU67" i="10"/>
  <c r="EV67" i="10"/>
  <c r="EW67" i="10"/>
  <c r="IU67" i="10"/>
  <c r="IZ67" i="10"/>
  <c r="EZ67" i="10"/>
  <c r="FA67" i="10"/>
  <c r="FB67" i="10"/>
  <c r="IW67" i="10"/>
  <c r="EX67" i="10"/>
  <c r="EY67" i="10"/>
  <c r="IV67" i="10"/>
  <c r="IT67" i="10"/>
  <c r="JB67" i="10"/>
  <c r="LH67" i="10"/>
  <c r="GK67" i="10"/>
  <c r="CQ67" i="10"/>
  <c r="IN68" i="10"/>
  <c r="JA68" i="10"/>
  <c r="EO68" i="10"/>
  <c r="EP68" i="10"/>
  <c r="EQ68" i="10"/>
  <c r="ER68" i="10"/>
  <c r="ES68" i="10"/>
  <c r="ET68" i="10"/>
  <c r="EU68" i="10"/>
  <c r="EV68" i="10"/>
  <c r="EW68" i="10"/>
  <c r="IU68" i="10"/>
  <c r="IZ68" i="10"/>
  <c r="EZ68" i="10"/>
  <c r="FA68" i="10"/>
  <c r="FB68" i="10"/>
  <c r="IW68" i="10"/>
  <c r="EX68" i="10"/>
  <c r="EY68" i="10"/>
  <c r="IV68" i="10"/>
  <c r="IT68" i="10"/>
  <c r="JB68" i="10"/>
  <c r="LH68" i="10"/>
  <c r="GK68" i="10"/>
  <c r="IN69" i="10"/>
  <c r="JA69" i="10"/>
  <c r="EO69" i="10"/>
  <c r="EP69" i="10"/>
  <c r="EQ69" i="10"/>
  <c r="ER69" i="10"/>
  <c r="ES69" i="10"/>
  <c r="ET69" i="10"/>
  <c r="EU69" i="10"/>
  <c r="EV69" i="10"/>
  <c r="EW69" i="10"/>
  <c r="IU69" i="10"/>
  <c r="IZ69" i="10"/>
  <c r="EZ69" i="10"/>
  <c r="FA69" i="10"/>
  <c r="FB69" i="10"/>
  <c r="IW69" i="10"/>
  <c r="EX69" i="10"/>
  <c r="EY69" i="10"/>
  <c r="IV69" i="10"/>
  <c r="IT69" i="10"/>
  <c r="JB69" i="10"/>
  <c r="LH69" i="10"/>
  <c r="GK69" i="10"/>
  <c r="CQ69" i="10"/>
  <c r="IN70" i="10"/>
  <c r="JA70" i="10"/>
  <c r="EO70" i="10"/>
  <c r="EP70" i="10"/>
  <c r="EQ70" i="10"/>
  <c r="ER70" i="10"/>
  <c r="ES70" i="10"/>
  <c r="ET70" i="10"/>
  <c r="EU70" i="10"/>
  <c r="EV70" i="10"/>
  <c r="EW70" i="10"/>
  <c r="IU70" i="10"/>
  <c r="IZ70" i="10"/>
  <c r="EZ70" i="10"/>
  <c r="FA70" i="10"/>
  <c r="FB70" i="10"/>
  <c r="IW70" i="10"/>
  <c r="EX70" i="10"/>
  <c r="EY70" i="10"/>
  <c r="IV70" i="10"/>
  <c r="IT70" i="10"/>
  <c r="JB70" i="10"/>
  <c r="LH70" i="10"/>
  <c r="GK70" i="10"/>
  <c r="IN71" i="10"/>
  <c r="JA71" i="10"/>
  <c r="EO71" i="10"/>
  <c r="EP71" i="10"/>
  <c r="EQ71" i="10"/>
  <c r="ER71" i="10"/>
  <c r="ES71" i="10"/>
  <c r="ET71" i="10"/>
  <c r="EU71" i="10"/>
  <c r="EV71" i="10"/>
  <c r="EW71" i="10"/>
  <c r="IU71" i="10"/>
  <c r="IZ71" i="10"/>
  <c r="EZ71" i="10"/>
  <c r="FA71" i="10"/>
  <c r="FB71" i="10"/>
  <c r="IW71" i="10"/>
  <c r="EX71" i="10"/>
  <c r="EY71" i="10"/>
  <c r="IV71" i="10"/>
  <c r="IT71" i="10"/>
  <c r="JB71" i="10"/>
  <c r="LH71" i="10"/>
  <c r="GK71" i="10"/>
  <c r="IN72" i="10"/>
  <c r="JA72" i="10"/>
  <c r="EO72" i="10"/>
  <c r="EP72" i="10"/>
  <c r="EQ72" i="10"/>
  <c r="ER72" i="10"/>
  <c r="ES72" i="10"/>
  <c r="ET72" i="10"/>
  <c r="EU72" i="10"/>
  <c r="EV72" i="10"/>
  <c r="EW72" i="10"/>
  <c r="IU72" i="10"/>
  <c r="IZ72" i="10"/>
  <c r="EZ72" i="10"/>
  <c r="FA72" i="10"/>
  <c r="FB72" i="10"/>
  <c r="IW72" i="10"/>
  <c r="EX72" i="10"/>
  <c r="EY72" i="10"/>
  <c r="IV72" i="10"/>
  <c r="IT72" i="10"/>
  <c r="JB72" i="10"/>
  <c r="LH72" i="10"/>
  <c r="GK72" i="10"/>
  <c r="CQ72" i="10"/>
  <c r="CF72" i="10"/>
  <c r="CW72" i="10"/>
  <c r="IN73" i="10"/>
  <c r="JA73" i="10"/>
  <c r="EO73" i="10"/>
  <c r="EP73" i="10"/>
  <c r="EQ73" i="10"/>
  <c r="ER73" i="10"/>
  <c r="ES73" i="10"/>
  <c r="ET73" i="10"/>
  <c r="EU73" i="10"/>
  <c r="EV73" i="10"/>
  <c r="EW73" i="10"/>
  <c r="IU73" i="10"/>
  <c r="IZ73" i="10"/>
  <c r="EZ73" i="10"/>
  <c r="FA73" i="10"/>
  <c r="FB73" i="10"/>
  <c r="IW73" i="10"/>
  <c r="EX73" i="10"/>
  <c r="EY73" i="10"/>
  <c r="IV73" i="10"/>
  <c r="IT73" i="10"/>
  <c r="JB73" i="10"/>
  <c r="LH73" i="10"/>
  <c r="GK73" i="10"/>
  <c r="IN74" i="10"/>
  <c r="JA74" i="10"/>
  <c r="EO74" i="10"/>
  <c r="EP74" i="10"/>
  <c r="EQ74" i="10"/>
  <c r="ER74" i="10"/>
  <c r="ES74" i="10"/>
  <c r="ET74" i="10"/>
  <c r="EU74" i="10"/>
  <c r="EV74" i="10"/>
  <c r="EW74" i="10"/>
  <c r="IU74" i="10"/>
  <c r="IZ74" i="10"/>
  <c r="EZ74" i="10"/>
  <c r="FA74" i="10"/>
  <c r="FB74" i="10"/>
  <c r="IW74" i="10"/>
  <c r="EX74" i="10"/>
  <c r="EY74" i="10"/>
  <c r="IV74" i="10"/>
  <c r="IT74" i="10"/>
  <c r="JB74" i="10"/>
  <c r="LH74" i="10"/>
  <c r="GK74" i="10"/>
  <c r="CQ74" i="10"/>
  <c r="IN75" i="10"/>
  <c r="JA75" i="10"/>
  <c r="EO75" i="10"/>
  <c r="EP75" i="10"/>
  <c r="EQ75" i="10"/>
  <c r="ER75" i="10"/>
  <c r="ES75" i="10"/>
  <c r="ET75" i="10"/>
  <c r="EU75" i="10"/>
  <c r="EV75" i="10"/>
  <c r="EW75" i="10"/>
  <c r="IU75" i="10"/>
  <c r="IZ75" i="10"/>
  <c r="EZ75" i="10"/>
  <c r="FA75" i="10"/>
  <c r="FB75" i="10"/>
  <c r="IW75" i="10"/>
  <c r="EX75" i="10"/>
  <c r="EY75" i="10"/>
  <c r="IV75" i="10"/>
  <c r="IT75" i="10"/>
  <c r="JB75" i="10"/>
  <c r="LH75" i="10"/>
  <c r="GK75" i="10"/>
  <c r="IN76" i="10"/>
  <c r="JA76" i="10"/>
  <c r="EO76" i="10"/>
  <c r="EP76" i="10"/>
  <c r="EQ76" i="10"/>
  <c r="ER76" i="10"/>
  <c r="ES76" i="10"/>
  <c r="ET76" i="10"/>
  <c r="EU76" i="10"/>
  <c r="EV76" i="10"/>
  <c r="EW76" i="10"/>
  <c r="IU76" i="10"/>
  <c r="IZ76" i="10"/>
  <c r="EZ76" i="10"/>
  <c r="FA76" i="10"/>
  <c r="FB76" i="10"/>
  <c r="IW76" i="10"/>
  <c r="EX76" i="10"/>
  <c r="EY76" i="10"/>
  <c r="IV76" i="10"/>
  <c r="IT76" i="10"/>
  <c r="JB76" i="10"/>
  <c r="LH76" i="10"/>
  <c r="GK76" i="10"/>
  <c r="IN77" i="10"/>
  <c r="JA77" i="10"/>
  <c r="EO77" i="10"/>
  <c r="EP77" i="10"/>
  <c r="EQ77" i="10"/>
  <c r="ER77" i="10"/>
  <c r="ES77" i="10"/>
  <c r="ET77" i="10"/>
  <c r="EU77" i="10"/>
  <c r="EV77" i="10"/>
  <c r="EW77" i="10"/>
  <c r="IU77" i="10"/>
  <c r="IZ77" i="10"/>
  <c r="EZ77" i="10"/>
  <c r="FA77" i="10"/>
  <c r="FB77" i="10"/>
  <c r="IW77" i="10"/>
  <c r="EX77" i="10"/>
  <c r="EY77" i="10"/>
  <c r="IV77" i="10"/>
  <c r="IT77" i="10"/>
  <c r="JB77" i="10"/>
  <c r="LH77" i="10"/>
  <c r="GK77" i="10"/>
  <c r="CQ77" i="10"/>
  <c r="IN78" i="10"/>
  <c r="JA78" i="10"/>
  <c r="EO78" i="10"/>
  <c r="EP78" i="10"/>
  <c r="EQ78" i="10"/>
  <c r="ER78" i="10"/>
  <c r="ES78" i="10"/>
  <c r="ET78" i="10"/>
  <c r="EU78" i="10"/>
  <c r="EV78" i="10"/>
  <c r="EW78" i="10"/>
  <c r="IU78" i="10"/>
  <c r="IZ78" i="10"/>
  <c r="EZ78" i="10"/>
  <c r="FA78" i="10"/>
  <c r="FB78" i="10"/>
  <c r="IW78" i="10"/>
  <c r="EX78" i="10"/>
  <c r="EY78" i="10"/>
  <c r="IV78" i="10"/>
  <c r="IT78" i="10"/>
  <c r="JB78" i="10"/>
  <c r="LH78" i="10"/>
  <c r="GK78" i="10"/>
  <c r="CQ78" i="10"/>
  <c r="IN79" i="10"/>
  <c r="JA79" i="10"/>
  <c r="EO79" i="10"/>
  <c r="EP79" i="10"/>
  <c r="EQ79" i="10"/>
  <c r="ER79" i="10"/>
  <c r="ES79" i="10"/>
  <c r="ET79" i="10"/>
  <c r="EU79" i="10"/>
  <c r="EV79" i="10"/>
  <c r="EW79" i="10"/>
  <c r="IU79" i="10"/>
  <c r="IZ79" i="10"/>
  <c r="EZ79" i="10"/>
  <c r="FA79" i="10"/>
  <c r="FB79" i="10"/>
  <c r="IW79" i="10"/>
  <c r="EX79" i="10"/>
  <c r="EY79" i="10"/>
  <c r="IV79" i="10"/>
  <c r="IT79" i="10"/>
  <c r="JB79" i="10"/>
  <c r="LH79" i="10"/>
  <c r="GK79" i="10"/>
  <c r="IN80" i="10"/>
  <c r="JA80" i="10"/>
  <c r="EO80" i="10"/>
  <c r="EP80" i="10"/>
  <c r="EQ80" i="10"/>
  <c r="ER80" i="10"/>
  <c r="ES80" i="10"/>
  <c r="ET80" i="10"/>
  <c r="EU80" i="10"/>
  <c r="EV80" i="10"/>
  <c r="EW80" i="10"/>
  <c r="IU80" i="10"/>
  <c r="IZ80" i="10"/>
  <c r="EZ80" i="10"/>
  <c r="FA80" i="10"/>
  <c r="FB80" i="10"/>
  <c r="IW80" i="10"/>
  <c r="EX80" i="10"/>
  <c r="EY80" i="10"/>
  <c r="IV80" i="10"/>
  <c r="IT80" i="10"/>
  <c r="JB80" i="10"/>
  <c r="LH80" i="10"/>
  <c r="GK80" i="10"/>
  <c r="CQ80" i="10"/>
  <c r="IN81" i="10"/>
  <c r="JA81" i="10"/>
  <c r="EO81" i="10"/>
  <c r="EP81" i="10"/>
  <c r="EQ81" i="10"/>
  <c r="ER81" i="10"/>
  <c r="ES81" i="10"/>
  <c r="ET81" i="10"/>
  <c r="EU81" i="10"/>
  <c r="EV81" i="10"/>
  <c r="EW81" i="10"/>
  <c r="IU81" i="10"/>
  <c r="IZ81" i="10"/>
  <c r="EZ81" i="10"/>
  <c r="FA81" i="10"/>
  <c r="FB81" i="10"/>
  <c r="IW81" i="10"/>
  <c r="EX81" i="10"/>
  <c r="EY81" i="10"/>
  <c r="IV81" i="10"/>
  <c r="IT81" i="10"/>
  <c r="JB81" i="10"/>
  <c r="LH81" i="10"/>
  <c r="GK81" i="10"/>
  <c r="IN82" i="10"/>
  <c r="JA82" i="10"/>
  <c r="EO82" i="10"/>
  <c r="EP82" i="10"/>
  <c r="EQ82" i="10"/>
  <c r="ER82" i="10"/>
  <c r="ES82" i="10"/>
  <c r="ET82" i="10"/>
  <c r="EU82" i="10"/>
  <c r="EV82" i="10"/>
  <c r="EW82" i="10"/>
  <c r="IU82" i="10"/>
  <c r="IZ82" i="10"/>
  <c r="EZ82" i="10"/>
  <c r="FA82" i="10"/>
  <c r="FB82" i="10"/>
  <c r="IW82" i="10"/>
  <c r="EX82" i="10"/>
  <c r="EY82" i="10"/>
  <c r="IV82" i="10"/>
  <c r="IT82" i="10"/>
  <c r="JB82" i="10"/>
  <c r="LH82" i="10"/>
  <c r="GK82" i="10"/>
  <c r="CQ82" i="10"/>
  <c r="IN83" i="10"/>
  <c r="JA83" i="10"/>
  <c r="EO83" i="10"/>
  <c r="EP83" i="10"/>
  <c r="EQ83" i="10"/>
  <c r="ER83" i="10"/>
  <c r="ES83" i="10"/>
  <c r="ET83" i="10"/>
  <c r="EU83" i="10"/>
  <c r="EV83" i="10"/>
  <c r="EW83" i="10"/>
  <c r="IU83" i="10"/>
  <c r="IZ83" i="10"/>
  <c r="EZ83" i="10"/>
  <c r="FA83" i="10"/>
  <c r="FB83" i="10"/>
  <c r="IW83" i="10"/>
  <c r="EX83" i="10"/>
  <c r="EY83" i="10"/>
  <c r="IV83" i="10"/>
  <c r="IT83" i="10"/>
  <c r="JB83" i="10"/>
  <c r="LH83" i="10"/>
  <c r="GK83" i="10"/>
  <c r="CQ83" i="10"/>
  <c r="IN84" i="10"/>
  <c r="JA84" i="10"/>
  <c r="EO84" i="10"/>
  <c r="EP84" i="10"/>
  <c r="EQ84" i="10"/>
  <c r="ER84" i="10"/>
  <c r="ES84" i="10"/>
  <c r="ET84" i="10"/>
  <c r="EU84" i="10"/>
  <c r="EV84" i="10"/>
  <c r="EW84" i="10"/>
  <c r="IU84" i="10"/>
  <c r="IZ84" i="10"/>
  <c r="EZ84" i="10"/>
  <c r="FA84" i="10"/>
  <c r="FB84" i="10"/>
  <c r="IW84" i="10"/>
  <c r="EX84" i="10"/>
  <c r="EY84" i="10"/>
  <c r="IV84" i="10"/>
  <c r="IT84" i="10"/>
  <c r="JB84" i="10"/>
  <c r="LH84" i="10"/>
  <c r="GK84" i="10"/>
  <c r="IN85" i="10"/>
  <c r="JA85" i="10"/>
  <c r="EO85" i="10"/>
  <c r="EP85" i="10"/>
  <c r="EQ85" i="10"/>
  <c r="ER85" i="10"/>
  <c r="ES85" i="10"/>
  <c r="ET85" i="10"/>
  <c r="EU85" i="10"/>
  <c r="EV85" i="10"/>
  <c r="EW85" i="10"/>
  <c r="IU85" i="10"/>
  <c r="IZ85" i="10"/>
  <c r="EZ85" i="10"/>
  <c r="FA85" i="10"/>
  <c r="FB85" i="10"/>
  <c r="IW85" i="10"/>
  <c r="EX85" i="10"/>
  <c r="EY85" i="10"/>
  <c r="IV85" i="10"/>
  <c r="IT85" i="10"/>
  <c r="JB85" i="10"/>
  <c r="LH85" i="10"/>
  <c r="GK85" i="10"/>
  <c r="CQ85" i="10"/>
  <c r="IN86" i="10"/>
  <c r="JA86" i="10"/>
  <c r="EO86" i="10"/>
  <c r="EP86" i="10"/>
  <c r="EQ86" i="10"/>
  <c r="ER86" i="10"/>
  <c r="ES86" i="10"/>
  <c r="ET86" i="10"/>
  <c r="EU86" i="10"/>
  <c r="EV86" i="10"/>
  <c r="EW86" i="10"/>
  <c r="IU86" i="10"/>
  <c r="IZ86" i="10"/>
  <c r="EZ86" i="10"/>
  <c r="FA86" i="10"/>
  <c r="FB86" i="10"/>
  <c r="IW86" i="10"/>
  <c r="EX86" i="10"/>
  <c r="EY86" i="10"/>
  <c r="IV86" i="10"/>
  <c r="IT86" i="10"/>
  <c r="JB86" i="10"/>
  <c r="LH86" i="10"/>
  <c r="GK86" i="10"/>
  <c r="IN87" i="10"/>
  <c r="JA87" i="10"/>
  <c r="EO87" i="10"/>
  <c r="EP87" i="10"/>
  <c r="EQ87" i="10"/>
  <c r="ER87" i="10"/>
  <c r="ES87" i="10"/>
  <c r="ET87" i="10"/>
  <c r="EU87" i="10"/>
  <c r="EV87" i="10"/>
  <c r="EW87" i="10"/>
  <c r="IU87" i="10"/>
  <c r="IZ87" i="10"/>
  <c r="EZ87" i="10"/>
  <c r="FA87" i="10"/>
  <c r="FB87" i="10"/>
  <c r="IW87" i="10"/>
  <c r="EX87" i="10"/>
  <c r="EY87" i="10"/>
  <c r="IV87" i="10"/>
  <c r="IT87" i="10"/>
  <c r="JB87" i="10"/>
  <c r="LH87" i="10"/>
  <c r="GK87" i="10"/>
  <c r="IN88" i="10"/>
  <c r="JA88" i="10"/>
  <c r="EO88" i="10"/>
  <c r="EP88" i="10"/>
  <c r="EQ88" i="10"/>
  <c r="ER88" i="10"/>
  <c r="ES88" i="10"/>
  <c r="ET88" i="10"/>
  <c r="EU88" i="10"/>
  <c r="EV88" i="10"/>
  <c r="EW88" i="10"/>
  <c r="IU88" i="10"/>
  <c r="IZ88" i="10"/>
  <c r="EZ88" i="10"/>
  <c r="FA88" i="10"/>
  <c r="FB88" i="10"/>
  <c r="IW88" i="10"/>
  <c r="EX88" i="10"/>
  <c r="EY88" i="10"/>
  <c r="IV88" i="10"/>
  <c r="IT88" i="10"/>
  <c r="JB88" i="10"/>
  <c r="LH88" i="10"/>
  <c r="GK88" i="10"/>
  <c r="IN89" i="10"/>
  <c r="JA89" i="10"/>
  <c r="EO89" i="10"/>
  <c r="EP89" i="10"/>
  <c r="EQ89" i="10"/>
  <c r="ER89" i="10"/>
  <c r="ES89" i="10"/>
  <c r="ET89" i="10"/>
  <c r="EU89" i="10"/>
  <c r="EV89" i="10"/>
  <c r="EW89" i="10"/>
  <c r="IU89" i="10"/>
  <c r="IZ89" i="10"/>
  <c r="EZ89" i="10"/>
  <c r="FA89" i="10"/>
  <c r="FB89" i="10"/>
  <c r="IW89" i="10"/>
  <c r="EX89" i="10"/>
  <c r="EY89" i="10"/>
  <c r="IV89" i="10"/>
  <c r="IT89" i="10"/>
  <c r="JB89" i="10"/>
  <c r="LH89" i="10"/>
  <c r="GK89" i="10"/>
  <c r="IN90" i="10"/>
  <c r="JA90" i="10"/>
  <c r="EO90" i="10"/>
  <c r="EP90" i="10"/>
  <c r="EQ90" i="10"/>
  <c r="ER90" i="10"/>
  <c r="ES90" i="10"/>
  <c r="ET90" i="10"/>
  <c r="EU90" i="10"/>
  <c r="EV90" i="10"/>
  <c r="EW90" i="10"/>
  <c r="IU90" i="10"/>
  <c r="IZ90" i="10"/>
  <c r="EZ90" i="10"/>
  <c r="FA90" i="10"/>
  <c r="FB90" i="10"/>
  <c r="IW90" i="10"/>
  <c r="EX90" i="10"/>
  <c r="EY90" i="10"/>
  <c r="IV90" i="10"/>
  <c r="IT90" i="10"/>
  <c r="JB90" i="10"/>
  <c r="LH90" i="10"/>
  <c r="GK90" i="10"/>
  <c r="CQ90" i="10"/>
  <c r="IN91" i="10"/>
  <c r="JA91" i="10"/>
  <c r="EO91" i="10"/>
  <c r="EP91" i="10"/>
  <c r="EQ91" i="10"/>
  <c r="ER91" i="10"/>
  <c r="ES91" i="10"/>
  <c r="ET91" i="10"/>
  <c r="EU91" i="10"/>
  <c r="EV91" i="10"/>
  <c r="EW91" i="10"/>
  <c r="IU91" i="10"/>
  <c r="IZ91" i="10"/>
  <c r="EZ91" i="10"/>
  <c r="FA91" i="10"/>
  <c r="FB91" i="10"/>
  <c r="IW91" i="10"/>
  <c r="EX91" i="10"/>
  <c r="EY91" i="10"/>
  <c r="IV91" i="10"/>
  <c r="IT91" i="10"/>
  <c r="JB91" i="10"/>
  <c r="LH91" i="10"/>
  <c r="GK91" i="10"/>
  <c r="IN92" i="10"/>
  <c r="JA92" i="10"/>
  <c r="EO92" i="10"/>
  <c r="EP92" i="10"/>
  <c r="EQ92" i="10"/>
  <c r="ER92" i="10"/>
  <c r="ES92" i="10"/>
  <c r="ET92" i="10"/>
  <c r="EU92" i="10"/>
  <c r="EV92" i="10"/>
  <c r="EW92" i="10"/>
  <c r="IU92" i="10"/>
  <c r="IZ92" i="10"/>
  <c r="EZ92" i="10"/>
  <c r="FA92" i="10"/>
  <c r="FB92" i="10"/>
  <c r="IW92" i="10"/>
  <c r="EX92" i="10"/>
  <c r="EY92" i="10"/>
  <c r="IV92" i="10"/>
  <c r="IT92" i="10"/>
  <c r="JB92" i="10"/>
  <c r="LH92" i="10"/>
  <c r="GK92" i="10"/>
  <c r="IN93" i="10"/>
  <c r="JA93" i="10"/>
  <c r="EO93" i="10"/>
  <c r="EP93" i="10"/>
  <c r="EQ93" i="10"/>
  <c r="ER93" i="10"/>
  <c r="ES93" i="10"/>
  <c r="ET93" i="10"/>
  <c r="EU93" i="10"/>
  <c r="EV93" i="10"/>
  <c r="EW93" i="10"/>
  <c r="IU93" i="10"/>
  <c r="IZ93" i="10"/>
  <c r="EZ93" i="10"/>
  <c r="FA93" i="10"/>
  <c r="FB93" i="10"/>
  <c r="IW93" i="10"/>
  <c r="EX93" i="10"/>
  <c r="EY93" i="10"/>
  <c r="IV93" i="10"/>
  <c r="IT93" i="10"/>
  <c r="JB93" i="10"/>
  <c r="LH93" i="10"/>
  <c r="GK93" i="10"/>
  <c r="IN94" i="10"/>
  <c r="JA94" i="10"/>
  <c r="EO94" i="10"/>
  <c r="EP94" i="10"/>
  <c r="EQ94" i="10"/>
  <c r="ER94" i="10"/>
  <c r="ES94" i="10"/>
  <c r="ET94" i="10"/>
  <c r="EU94" i="10"/>
  <c r="EV94" i="10"/>
  <c r="EW94" i="10"/>
  <c r="IU94" i="10"/>
  <c r="IZ94" i="10"/>
  <c r="EZ94" i="10"/>
  <c r="FA94" i="10"/>
  <c r="FB94" i="10"/>
  <c r="IW94" i="10"/>
  <c r="EX94" i="10"/>
  <c r="EY94" i="10"/>
  <c r="IV94" i="10"/>
  <c r="IT94" i="10"/>
  <c r="JB94" i="10"/>
  <c r="LH94" i="10"/>
  <c r="GK94" i="10"/>
  <c r="IN95" i="10"/>
  <c r="JA95" i="10"/>
  <c r="EO95" i="10"/>
  <c r="EP95" i="10"/>
  <c r="EQ95" i="10"/>
  <c r="ER95" i="10"/>
  <c r="ES95" i="10"/>
  <c r="ET95" i="10"/>
  <c r="EU95" i="10"/>
  <c r="EV95" i="10"/>
  <c r="EW95" i="10"/>
  <c r="IU95" i="10"/>
  <c r="IZ95" i="10"/>
  <c r="EZ95" i="10"/>
  <c r="FA95" i="10"/>
  <c r="FB95" i="10"/>
  <c r="IW95" i="10"/>
  <c r="EX95" i="10"/>
  <c r="EY95" i="10"/>
  <c r="IV95" i="10"/>
  <c r="IT95" i="10"/>
  <c r="JB95" i="10"/>
  <c r="LH95" i="10"/>
  <c r="GK95" i="10"/>
  <c r="IN96" i="10"/>
  <c r="JA96" i="10"/>
  <c r="EO96" i="10"/>
  <c r="EP96" i="10"/>
  <c r="EQ96" i="10"/>
  <c r="ER96" i="10"/>
  <c r="ES96" i="10"/>
  <c r="ET96" i="10"/>
  <c r="EU96" i="10"/>
  <c r="EV96" i="10"/>
  <c r="EW96" i="10"/>
  <c r="IU96" i="10"/>
  <c r="IZ96" i="10"/>
  <c r="EZ96" i="10"/>
  <c r="FA96" i="10"/>
  <c r="FB96" i="10"/>
  <c r="IW96" i="10"/>
  <c r="EX96" i="10"/>
  <c r="EY96" i="10"/>
  <c r="IV96" i="10"/>
  <c r="IT96" i="10"/>
  <c r="JB96" i="10"/>
  <c r="LH96" i="10"/>
  <c r="GK96" i="10"/>
  <c r="CQ96" i="10"/>
  <c r="IN97" i="10"/>
  <c r="JA97" i="10"/>
  <c r="EO97" i="10"/>
  <c r="EP97" i="10"/>
  <c r="EQ97" i="10"/>
  <c r="ER97" i="10"/>
  <c r="ES97" i="10"/>
  <c r="ET97" i="10"/>
  <c r="EU97" i="10"/>
  <c r="EV97" i="10"/>
  <c r="EW97" i="10"/>
  <c r="IU97" i="10"/>
  <c r="IZ97" i="10"/>
  <c r="EZ97" i="10"/>
  <c r="FA97" i="10"/>
  <c r="FB97" i="10"/>
  <c r="IW97" i="10"/>
  <c r="EX97" i="10"/>
  <c r="EY97" i="10"/>
  <c r="IV97" i="10"/>
  <c r="IT97" i="10"/>
  <c r="JB97" i="10"/>
  <c r="LH97" i="10"/>
  <c r="GK97" i="10"/>
  <c r="CQ97" i="10"/>
  <c r="IN98" i="10"/>
  <c r="JA98" i="10"/>
  <c r="EO98" i="10"/>
  <c r="EP98" i="10"/>
  <c r="EQ98" i="10"/>
  <c r="ER98" i="10"/>
  <c r="ES98" i="10"/>
  <c r="ET98" i="10"/>
  <c r="EU98" i="10"/>
  <c r="EV98" i="10"/>
  <c r="EW98" i="10"/>
  <c r="IU98" i="10"/>
  <c r="IZ98" i="10"/>
  <c r="EZ98" i="10"/>
  <c r="FA98" i="10"/>
  <c r="FB98" i="10"/>
  <c r="IW98" i="10"/>
  <c r="EX98" i="10"/>
  <c r="EY98" i="10"/>
  <c r="IV98" i="10"/>
  <c r="IT98" i="10"/>
  <c r="JB98" i="10"/>
  <c r="LH98" i="10"/>
  <c r="GK98" i="10"/>
  <c r="IN99" i="10"/>
  <c r="JA99" i="10"/>
  <c r="EO99" i="10"/>
  <c r="EP99" i="10"/>
  <c r="EQ99" i="10"/>
  <c r="ER99" i="10"/>
  <c r="ES99" i="10"/>
  <c r="ET99" i="10"/>
  <c r="EU99" i="10"/>
  <c r="EV99" i="10"/>
  <c r="EW99" i="10"/>
  <c r="IU99" i="10"/>
  <c r="IZ99" i="10"/>
  <c r="EZ99" i="10"/>
  <c r="FA99" i="10"/>
  <c r="FB99" i="10"/>
  <c r="IW99" i="10"/>
  <c r="EX99" i="10"/>
  <c r="EY99" i="10"/>
  <c r="IV99" i="10"/>
  <c r="IT99" i="10"/>
  <c r="JB99" i="10"/>
  <c r="LH99" i="10"/>
  <c r="GK99" i="10"/>
  <c r="IN100" i="10"/>
  <c r="JA100" i="10"/>
  <c r="EO100" i="10"/>
  <c r="EP100" i="10"/>
  <c r="EQ100" i="10"/>
  <c r="ER100" i="10"/>
  <c r="ES100" i="10"/>
  <c r="ET100" i="10"/>
  <c r="EU100" i="10"/>
  <c r="EV100" i="10"/>
  <c r="EW100" i="10"/>
  <c r="IU100" i="10"/>
  <c r="IZ100" i="10"/>
  <c r="EZ100" i="10"/>
  <c r="FA100" i="10"/>
  <c r="FB100" i="10"/>
  <c r="IW100" i="10"/>
  <c r="EX100" i="10"/>
  <c r="EY100" i="10"/>
  <c r="IV100" i="10"/>
  <c r="IT100" i="10"/>
  <c r="JB100" i="10"/>
  <c r="LH100" i="10"/>
  <c r="GK100" i="10"/>
  <c r="CQ100" i="10"/>
  <c r="IN101" i="10"/>
  <c r="JA101" i="10"/>
  <c r="EO101" i="10"/>
  <c r="EP101" i="10"/>
  <c r="EQ101" i="10"/>
  <c r="ER101" i="10"/>
  <c r="ES101" i="10"/>
  <c r="ET101" i="10"/>
  <c r="EU101" i="10"/>
  <c r="EV101" i="10"/>
  <c r="EW101" i="10"/>
  <c r="IU101" i="10"/>
  <c r="IZ101" i="10"/>
  <c r="EZ101" i="10"/>
  <c r="FA101" i="10"/>
  <c r="FB101" i="10"/>
  <c r="IW101" i="10"/>
  <c r="EX101" i="10"/>
  <c r="EY101" i="10"/>
  <c r="IV101" i="10"/>
  <c r="IT101" i="10"/>
  <c r="JB101" i="10"/>
  <c r="LH101" i="10"/>
  <c r="GK101" i="10"/>
  <c r="CQ101" i="10"/>
  <c r="IN102" i="10"/>
  <c r="JA102" i="10"/>
  <c r="EO102" i="10"/>
  <c r="EP102" i="10"/>
  <c r="EQ102" i="10"/>
  <c r="ER102" i="10"/>
  <c r="ES102" i="10"/>
  <c r="ET102" i="10"/>
  <c r="EU102" i="10"/>
  <c r="EV102" i="10"/>
  <c r="EW102" i="10"/>
  <c r="IU102" i="10"/>
  <c r="IZ102" i="10"/>
  <c r="EZ102" i="10"/>
  <c r="FA102" i="10"/>
  <c r="FB102" i="10"/>
  <c r="IW102" i="10"/>
  <c r="EX102" i="10"/>
  <c r="EY102" i="10"/>
  <c r="IV102" i="10"/>
  <c r="IT102" i="10"/>
  <c r="JB102" i="10"/>
  <c r="LH102" i="10"/>
  <c r="GK102" i="10"/>
  <c r="CQ102" i="10"/>
  <c r="IN103" i="10"/>
  <c r="JA103" i="10"/>
  <c r="EO103" i="10"/>
  <c r="EP103" i="10"/>
  <c r="EQ103" i="10"/>
  <c r="ER103" i="10"/>
  <c r="ES103" i="10"/>
  <c r="ET103" i="10"/>
  <c r="EU103" i="10"/>
  <c r="EV103" i="10"/>
  <c r="EW103" i="10"/>
  <c r="IU103" i="10"/>
  <c r="IZ103" i="10"/>
  <c r="EZ103" i="10"/>
  <c r="FA103" i="10"/>
  <c r="FB103" i="10"/>
  <c r="IW103" i="10"/>
  <c r="EX103" i="10"/>
  <c r="EY103" i="10"/>
  <c r="IV103" i="10"/>
  <c r="IT103" i="10"/>
  <c r="JB103" i="10"/>
  <c r="LH103" i="10"/>
  <c r="GK103" i="10"/>
  <c r="IN104" i="10"/>
  <c r="JA104" i="10"/>
  <c r="EO104" i="10"/>
  <c r="EP104" i="10"/>
  <c r="EQ104" i="10"/>
  <c r="ER104" i="10"/>
  <c r="ES104" i="10"/>
  <c r="ET104" i="10"/>
  <c r="EU104" i="10"/>
  <c r="EV104" i="10"/>
  <c r="EW104" i="10"/>
  <c r="IU104" i="10"/>
  <c r="IZ104" i="10"/>
  <c r="EZ104" i="10"/>
  <c r="FA104" i="10"/>
  <c r="FB104" i="10"/>
  <c r="IW104" i="10"/>
  <c r="EX104" i="10"/>
  <c r="EY104" i="10"/>
  <c r="IV104" i="10"/>
  <c r="IT104" i="10"/>
  <c r="JB104" i="10"/>
  <c r="LH104" i="10"/>
  <c r="GK104" i="10"/>
  <c r="IN105" i="10"/>
  <c r="JA105" i="10"/>
  <c r="EO105" i="10"/>
  <c r="EP105" i="10"/>
  <c r="EQ105" i="10"/>
  <c r="ER105" i="10"/>
  <c r="ES105" i="10"/>
  <c r="ET105" i="10"/>
  <c r="EU105" i="10"/>
  <c r="EV105" i="10"/>
  <c r="EW105" i="10"/>
  <c r="IU105" i="10"/>
  <c r="IZ105" i="10"/>
  <c r="EZ105" i="10"/>
  <c r="FA105" i="10"/>
  <c r="FB105" i="10"/>
  <c r="IW105" i="10"/>
  <c r="EX105" i="10"/>
  <c r="EY105" i="10"/>
  <c r="IV105" i="10"/>
  <c r="IT105" i="10"/>
  <c r="JB105" i="10"/>
  <c r="LH105" i="10"/>
  <c r="GK105" i="10"/>
  <c r="CQ105" i="10"/>
  <c r="IN106" i="10"/>
  <c r="JA106" i="10"/>
  <c r="EO106" i="10"/>
  <c r="EP106" i="10"/>
  <c r="EQ106" i="10"/>
  <c r="ER106" i="10"/>
  <c r="ES106" i="10"/>
  <c r="ET106" i="10"/>
  <c r="EU106" i="10"/>
  <c r="EV106" i="10"/>
  <c r="EW106" i="10"/>
  <c r="IU106" i="10"/>
  <c r="IZ106" i="10"/>
  <c r="EZ106" i="10"/>
  <c r="FA106" i="10"/>
  <c r="FB106" i="10"/>
  <c r="IW106" i="10"/>
  <c r="EX106" i="10"/>
  <c r="EY106" i="10"/>
  <c r="IV106" i="10"/>
  <c r="IT106" i="10"/>
  <c r="JB106" i="10"/>
  <c r="LH106" i="10"/>
  <c r="GK106" i="10"/>
  <c r="IN107" i="10"/>
  <c r="JA107" i="10"/>
  <c r="EO107" i="10"/>
  <c r="EP107" i="10"/>
  <c r="EQ107" i="10"/>
  <c r="ER107" i="10"/>
  <c r="ES107" i="10"/>
  <c r="ET107" i="10"/>
  <c r="EU107" i="10"/>
  <c r="EV107" i="10"/>
  <c r="EW107" i="10"/>
  <c r="IU107" i="10"/>
  <c r="IZ107" i="10"/>
  <c r="EZ107" i="10"/>
  <c r="FA107" i="10"/>
  <c r="FB107" i="10"/>
  <c r="IW107" i="10"/>
  <c r="EX107" i="10"/>
  <c r="EY107" i="10"/>
  <c r="IV107" i="10"/>
  <c r="IT107" i="10"/>
  <c r="JB107" i="10"/>
  <c r="LH107" i="10"/>
  <c r="GK107" i="10"/>
  <c r="CQ107" i="10"/>
  <c r="IN108" i="10"/>
  <c r="JA108" i="10"/>
  <c r="EO108" i="10"/>
  <c r="EP108" i="10"/>
  <c r="EQ108" i="10"/>
  <c r="ER108" i="10"/>
  <c r="ES108" i="10"/>
  <c r="ET108" i="10"/>
  <c r="EU108" i="10"/>
  <c r="EV108" i="10"/>
  <c r="EW108" i="10"/>
  <c r="IU108" i="10"/>
  <c r="IZ108" i="10"/>
  <c r="EZ108" i="10"/>
  <c r="FA108" i="10"/>
  <c r="FB108" i="10"/>
  <c r="IW108" i="10"/>
  <c r="EX108" i="10"/>
  <c r="EY108" i="10"/>
  <c r="IV108" i="10"/>
  <c r="IT108" i="10"/>
  <c r="JB108" i="10"/>
  <c r="LH108" i="10"/>
  <c r="GK108" i="10"/>
  <c r="CQ108" i="10"/>
  <c r="IN109" i="10"/>
  <c r="JA109" i="10"/>
  <c r="EO109" i="10"/>
  <c r="EP109" i="10"/>
  <c r="EQ109" i="10"/>
  <c r="ER109" i="10"/>
  <c r="ES109" i="10"/>
  <c r="ET109" i="10"/>
  <c r="EU109" i="10"/>
  <c r="EV109" i="10"/>
  <c r="EW109" i="10"/>
  <c r="IU109" i="10"/>
  <c r="IZ109" i="10"/>
  <c r="EZ109" i="10"/>
  <c r="FA109" i="10"/>
  <c r="FB109" i="10"/>
  <c r="IW109" i="10"/>
  <c r="EX109" i="10"/>
  <c r="EY109" i="10"/>
  <c r="IV109" i="10"/>
  <c r="IT109" i="10"/>
  <c r="JB109" i="10"/>
  <c r="LH109" i="10"/>
  <c r="GK109" i="10"/>
  <c r="IN110" i="10"/>
  <c r="JA110" i="10"/>
  <c r="EO110" i="10"/>
  <c r="EP110" i="10"/>
  <c r="EQ110" i="10"/>
  <c r="ER110" i="10"/>
  <c r="ES110" i="10"/>
  <c r="ET110" i="10"/>
  <c r="EU110" i="10"/>
  <c r="EV110" i="10"/>
  <c r="EW110" i="10"/>
  <c r="IU110" i="10"/>
  <c r="IZ110" i="10"/>
  <c r="EZ110" i="10"/>
  <c r="FA110" i="10"/>
  <c r="FB110" i="10"/>
  <c r="IW110" i="10"/>
  <c r="EX110" i="10"/>
  <c r="EY110" i="10"/>
  <c r="IV110" i="10"/>
  <c r="IT110" i="10"/>
  <c r="JB110" i="10"/>
  <c r="LH110" i="10"/>
  <c r="GK110" i="10"/>
  <c r="CQ110" i="10"/>
  <c r="CF110" i="10"/>
  <c r="CW110" i="10"/>
  <c r="IN111" i="10"/>
  <c r="JA111" i="10"/>
  <c r="EO111" i="10"/>
  <c r="EP111" i="10"/>
  <c r="EQ111" i="10"/>
  <c r="ER111" i="10"/>
  <c r="ES111" i="10"/>
  <c r="ET111" i="10"/>
  <c r="EU111" i="10"/>
  <c r="EV111" i="10"/>
  <c r="EW111" i="10"/>
  <c r="IU111" i="10"/>
  <c r="IZ111" i="10"/>
  <c r="EZ111" i="10"/>
  <c r="FA111" i="10"/>
  <c r="FB111" i="10"/>
  <c r="IW111" i="10"/>
  <c r="EX111" i="10"/>
  <c r="EY111" i="10"/>
  <c r="IV111" i="10"/>
  <c r="IT111" i="10"/>
  <c r="JB111" i="10"/>
  <c r="LH111" i="10"/>
  <c r="GK111" i="10"/>
  <c r="IN112" i="10"/>
  <c r="JA112" i="10"/>
  <c r="EO112" i="10"/>
  <c r="EP112" i="10"/>
  <c r="EQ112" i="10"/>
  <c r="ER112" i="10"/>
  <c r="ES112" i="10"/>
  <c r="ET112" i="10"/>
  <c r="EU112" i="10"/>
  <c r="EV112" i="10"/>
  <c r="EW112" i="10"/>
  <c r="IU112" i="10"/>
  <c r="IZ112" i="10"/>
  <c r="EZ112" i="10"/>
  <c r="FA112" i="10"/>
  <c r="FB112" i="10"/>
  <c r="IW112" i="10"/>
  <c r="EX112" i="10"/>
  <c r="EY112" i="10"/>
  <c r="IV112" i="10"/>
  <c r="IT112" i="10"/>
  <c r="JB112" i="10"/>
  <c r="LH112" i="10"/>
  <c r="GK112" i="10"/>
  <c r="IN113" i="10"/>
  <c r="JA113" i="10"/>
  <c r="EO113" i="10"/>
  <c r="EP113" i="10"/>
  <c r="EQ113" i="10"/>
  <c r="ER113" i="10"/>
  <c r="ES113" i="10"/>
  <c r="ET113" i="10"/>
  <c r="EU113" i="10"/>
  <c r="EV113" i="10"/>
  <c r="EW113" i="10"/>
  <c r="IU113" i="10"/>
  <c r="IZ113" i="10"/>
  <c r="EZ113" i="10"/>
  <c r="FA113" i="10"/>
  <c r="FB113" i="10"/>
  <c r="IW113" i="10"/>
  <c r="EX113" i="10"/>
  <c r="EY113" i="10"/>
  <c r="IV113" i="10"/>
  <c r="IT113" i="10"/>
  <c r="JB113" i="10"/>
  <c r="LH113" i="10"/>
  <c r="GK113" i="10"/>
  <c r="CQ113" i="10"/>
  <c r="IN114" i="10"/>
  <c r="JA114" i="10"/>
  <c r="EO114" i="10"/>
  <c r="EP114" i="10"/>
  <c r="EQ114" i="10"/>
  <c r="ER114" i="10"/>
  <c r="ES114" i="10"/>
  <c r="ET114" i="10"/>
  <c r="EU114" i="10"/>
  <c r="EV114" i="10"/>
  <c r="EW114" i="10"/>
  <c r="IU114" i="10"/>
  <c r="IZ114" i="10"/>
  <c r="EZ114" i="10"/>
  <c r="FA114" i="10"/>
  <c r="FB114" i="10"/>
  <c r="IW114" i="10"/>
  <c r="EX114" i="10"/>
  <c r="EY114" i="10"/>
  <c r="IV114" i="10"/>
  <c r="IT114" i="10"/>
  <c r="JB114" i="10"/>
  <c r="LH114" i="10"/>
  <c r="GK114" i="10"/>
  <c r="IN115" i="10"/>
  <c r="JA115" i="10"/>
  <c r="EO115" i="10"/>
  <c r="EP115" i="10"/>
  <c r="EQ115" i="10"/>
  <c r="ER115" i="10"/>
  <c r="ES115" i="10"/>
  <c r="ET115" i="10"/>
  <c r="EU115" i="10"/>
  <c r="EV115" i="10"/>
  <c r="EW115" i="10"/>
  <c r="IU115" i="10"/>
  <c r="IZ115" i="10"/>
  <c r="EZ115" i="10"/>
  <c r="FA115" i="10"/>
  <c r="FB115" i="10"/>
  <c r="IW115" i="10"/>
  <c r="EX115" i="10"/>
  <c r="EY115" i="10"/>
  <c r="IV115" i="10"/>
  <c r="IT115" i="10"/>
  <c r="JB115" i="10"/>
  <c r="LH115" i="10"/>
  <c r="GK115" i="10"/>
  <c r="CQ115" i="10"/>
  <c r="CF115" i="10"/>
  <c r="CW115" i="10"/>
  <c r="IN116" i="10"/>
  <c r="JA116" i="10"/>
  <c r="EO116" i="10"/>
  <c r="EP116" i="10"/>
  <c r="EQ116" i="10"/>
  <c r="ER116" i="10"/>
  <c r="ES116" i="10"/>
  <c r="ET116" i="10"/>
  <c r="EU116" i="10"/>
  <c r="EV116" i="10"/>
  <c r="EW116" i="10"/>
  <c r="IU116" i="10"/>
  <c r="IZ116" i="10"/>
  <c r="EZ116" i="10"/>
  <c r="FA116" i="10"/>
  <c r="FB116" i="10"/>
  <c r="IW116" i="10"/>
  <c r="EX116" i="10"/>
  <c r="EY116" i="10"/>
  <c r="IV116" i="10"/>
  <c r="IT116" i="10"/>
  <c r="JB116" i="10"/>
  <c r="LH116" i="10"/>
  <c r="GK116" i="10"/>
  <c r="CQ116" i="10"/>
  <c r="IN117" i="10"/>
  <c r="JA117" i="10"/>
  <c r="EO117" i="10"/>
  <c r="EP117" i="10"/>
  <c r="EQ117" i="10"/>
  <c r="ER117" i="10"/>
  <c r="ES117" i="10"/>
  <c r="ET117" i="10"/>
  <c r="EU117" i="10"/>
  <c r="EV117" i="10"/>
  <c r="EW117" i="10"/>
  <c r="IU117" i="10"/>
  <c r="IZ117" i="10"/>
  <c r="EZ117" i="10"/>
  <c r="FA117" i="10"/>
  <c r="FB117" i="10"/>
  <c r="IW117" i="10"/>
  <c r="EX117" i="10"/>
  <c r="EY117" i="10"/>
  <c r="IV117" i="10"/>
  <c r="IT117" i="10"/>
  <c r="JB117" i="10"/>
  <c r="LH117" i="10"/>
  <c r="GK117" i="10"/>
  <c r="IN118" i="10"/>
  <c r="JA118" i="10"/>
  <c r="EO118" i="10"/>
  <c r="EP118" i="10"/>
  <c r="EQ118" i="10"/>
  <c r="ER118" i="10"/>
  <c r="ES118" i="10"/>
  <c r="ET118" i="10"/>
  <c r="EU118" i="10"/>
  <c r="EV118" i="10"/>
  <c r="EW118" i="10"/>
  <c r="IU118" i="10"/>
  <c r="IZ118" i="10"/>
  <c r="EZ118" i="10"/>
  <c r="FA118" i="10"/>
  <c r="FB118" i="10"/>
  <c r="IW118" i="10"/>
  <c r="EX118" i="10"/>
  <c r="EY118" i="10"/>
  <c r="IV118" i="10"/>
  <c r="IT118" i="10"/>
  <c r="JB118" i="10"/>
  <c r="LH118" i="10"/>
  <c r="GK118" i="10"/>
  <c r="CQ118" i="10"/>
  <c r="IN119" i="10"/>
  <c r="JA119" i="10"/>
  <c r="EO119" i="10"/>
  <c r="EP119" i="10"/>
  <c r="EQ119" i="10"/>
  <c r="ER119" i="10"/>
  <c r="ES119" i="10"/>
  <c r="ET119" i="10"/>
  <c r="EU119" i="10"/>
  <c r="EV119" i="10"/>
  <c r="EW119" i="10"/>
  <c r="IU119" i="10"/>
  <c r="IZ119" i="10"/>
  <c r="EZ119" i="10"/>
  <c r="FA119" i="10"/>
  <c r="FB119" i="10"/>
  <c r="IW119" i="10"/>
  <c r="EX119" i="10"/>
  <c r="EY119" i="10"/>
  <c r="IV119" i="10"/>
  <c r="IT119" i="10"/>
  <c r="JB119" i="10"/>
  <c r="LH119" i="10"/>
  <c r="GK119" i="10"/>
  <c r="IN120" i="10"/>
  <c r="JA120" i="10"/>
  <c r="EO120" i="10"/>
  <c r="EP120" i="10"/>
  <c r="EQ120" i="10"/>
  <c r="ER120" i="10"/>
  <c r="ES120" i="10"/>
  <c r="ET120" i="10"/>
  <c r="EU120" i="10"/>
  <c r="EV120" i="10"/>
  <c r="EW120" i="10"/>
  <c r="IU120" i="10"/>
  <c r="IZ120" i="10"/>
  <c r="EZ120" i="10"/>
  <c r="FA120" i="10"/>
  <c r="FB120" i="10"/>
  <c r="IW120" i="10"/>
  <c r="EX120" i="10"/>
  <c r="EY120" i="10"/>
  <c r="IV120" i="10"/>
  <c r="IT120" i="10"/>
  <c r="JB120" i="10"/>
  <c r="LH120" i="10"/>
  <c r="GK120" i="10"/>
  <c r="CQ120" i="10"/>
  <c r="IN121" i="10"/>
  <c r="JA121" i="10"/>
  <c r="EO121" i="10"/>
  <c r="EP121" i="10"/>
  <c r="EQ121" i="10"/>
  <c r="ER121" i="10"/>
  <c r="ES121" i="10"/>
  <c r="ET121" i="10"/>
  <c r="EU121" i="10"/>
  <c r="EV121" i="10"/>
  <c r="EW121" i="10"/>
  <c r="IU121" i="10"/>
  <c r="IZ121" i="10"/>
  <c r="EZ121" i="10"/>
  <c r="FA121" i="10"/>
  <c r="FB121" i="10"/>
  <c r="IW121" i="10"/>
  <c r="EX121" i="10"/>
  <c r="EY121" i="10"/>
  <c r="IV121" i="10"/>
  <c r="IT121" i="10"/>
  <c r="JB121" i="10"/>
  <c r="LH121" i="10"/>
  <c r="GK121" i="10"/>
  <c r="CQ121" i="10"/>
  <c r="IN122" i="10"/>
  <c r="JA122" i="10"/>
  <c r="EO122" i="10"/>
  <c r="EP122" i="10"/>
  <c r="EQ122" i="10"/>
  <c r="ER122" i="10"/>
  <c r="ES122" i="10"/>
  <c r="ET122" i="10"/>
  <c r="EU122" i="10"/>
  <c r="EV122" i="10"/>
  <c r="EW122" i="10"/>
  <c r="IU122" i="10"/>
  <c r="IZ122" i="10"/>
  <c r="EZ122" i="10"/>
  <c r="FA122" i="10"/>
  <c r="FB122" i="10"/>
  <c r="IW122" i="10"/>
  <c r="EX122" i="10"/>
  <c r="EY122" i="10"/>
  <c r="IV122" i="10"/>
  <c r="IT122" i="10"/>
  <c r="JB122" i="10"/>
  <c r="LH122" i="10"/>
  <c r="GK122" i="10"/>
  <c r="IN123" i="10"/>
  <c r="JA123" i="10"/>
  <c r="EO123" i="10"/>
  <c r="EP123" i="10"/>
  <c r="EQ123" i="10"/>
  <c r="ER123" i="10"/>
  <c r="ES123" i="10"/>
  <c r="ET123" i="10"/>
  <c r="EU123" i="10"/>
  <c r="EV123" i="10"/>
  <c r="EW123" i="10"/>
  <c r="IU123" i="10"/>
  <c r="IZ123" i="10"/>
  <c r="EZ123" i="10"/>
  <c r="FA123" i="10"/>
  <c r="FB123" i="10"/>
  <c r="IW123" i="10"/>
  <c r="EX123" i="10"/>
  <c r="EY123" i="10"/>
  <c r="IV123" i="10"/>
  <c r="IT123" i="10"/>
  <c r="JB123" i="10"/>
  <c r="LH123" i="10"/>
  <c r="GK123" i="10"/>
  <c r="CQ123" i="10"/>
  <c r="IN124" i="10"/>
  <c r="JA124" i="10"/>
  <c r="EO124" i="10"/>
  <c r="EP124" i="10"/>
  <c r="EQ124" i="10"/>
  <c r="ER124" i="10"/>
  <c r="ES124" i="10"/>
  <c r="ET124" i="10"/>
  <c r="EU124" i="10"/>
  <c r="EV124" i="10"/>
  <c r="EW124" i="10"/>
  <c r="IU124" i="10"/>
  <c r="IZ124" i="10"/>
  <c r="EZ124" i="10"/>
  <c r="FA124" i="10"/>
  <c r="FB124" i="10"/>
  <c r="IW124" i="10"/>
  <c r="EX124" i="10"/>
  <c r="EY124" i="10"/>
  <c r="IV124" i="10"/>
  <c r="IT124" i="10"/>
  <c r="JB124" i="10"/>
  <c r="LH124" i="10"/>
  <c r="GK124" i="10"/>
  <c r="IN125" i="10"/>
  <c r="JA125" i="10"/>
  <c r="EO125" i="10"/>
  <c r="EP125" i="10"/>
  <c r="EQ125" i="10"/>
  <c r="ER125" i="10"/>
  <c r="ES125" i="10"/>
  <c r="ET125" i="10"/>
  <c r="EU125" i="10"/>
  <c r="EV125" i="10"/>
  <c r="EW125" i="10"/>
  <c r="IU125" i="10"/>
  <c r="IZ125" i="10"/>
  <c r="EZ125" i="10"/>
  <c r="FA125" i="10"/>
  <c r="FB125" i="10"/>
  <c r="IW125" i="10"/>
  <c r="EX125" i="10"/>
  <c r="EY125" i="10"/>
  <c r="IV125" i="10"/>
  <c r="IT125" i="10"/>
  <c r="JB125" i="10"/>
  <c r="LH125" i="10"/>
  <c r="GK125" i="10"/>
  <c r="IN126" i="10"/>
  <c r="JA126" i="10"/>
  <c r="EO126" i="10"/>
  <c r="EP126" i="10"/>
  <c r="EQ126" i="10"/>
  <c r="ER126" i="10"/>
  <c r="ES126" i="10"/>
  <c r="ET126" i="10"/>
  <c r="EU126" i="10"/>
  <c r="EV126" i="10"/>
  <c r="EW126" i="10"/>
  <c r="IU126" i="10"/>
  <c r="IZ126" i="10"/>
  <c r="EZ126" i="10"/>
  <c r="FA126" i="10"/>
  <c r="FB126" i="10"/>
  <c r="IW126" i="10"/>
  <c r="EX126" i="10"/>
  <c r="EY126" i="10"/>
  <c r="IV126" i="10"/>
  <c r="IT126" i="10"/>
  <c r="JB126" i="10"/>
  <c r="LH126" i="10"/>
  <c r="GK126" i="10"/>
  <c r="CQ126" i="10"/>
  <c r="CF126" i="10"/>
  <c r="CW126" i="10"/>
  <c r="IN127" i="10"/>
  <c r="JA127" i="10"/>
  <c r="EO127" i="10"/>
  <c r="EP127" i="10"/>
  <c r="EQ127" i="10"/>
  <c r="ER127" i="10"/>
  <c r="ES127" i="10"/>
  <c r="ET127" i="10"/>
  <c r="EU127" i="10"/>
  <c r="EV127" i="10"/>
  <c r="EW127" i="10"/>
  <c r="IU127" i="10"/>
  <c r="IZ127" i="10"/>
  <c r="EZ127" i="10"/>
  <c r="FA127" i="10"/>
  <c r="FB127" i="10"/>
  <c r="IW127" i="10"/>
  <c r="EX127" i="10"/>
  <c r="EY127" i="10"/>
  <c r="IV127" i="10"/>
  <c r="IT127" i="10"/>
  <c r="JB127" i="10"/>
  <c r="LH127" i="10"/>
  <c r="GK127" i="10"/>
  <c r="IN128" i="10"/>
  <c r="JA128" i="10"/>
  <c r="EO128" i="10"/>
  <c r="EP128" i="10"/>
  <c r="EQ128" i="10"/>
  <c r="ER128" i="10"/>
  <c r="ES128" i="10"/>
  <c r="ET128" i="10"/>
  <c r="EU128" i="10"/>
  <c r="EV128" i="10"/>
  <c r="EW128" i="10"/>
  <c r="IU128" i="10"/>
  <c r="IZ128" i="10"/>
  <c r="EZ128" i="10"/>
  <c r="FA128" i="10"/>
  <c r="FB128" i="10"/>
  <c r="IW128" i="10"/>
  <c r="EX128" i="10"/>
  <c r="EY128" i="10"/>
  <c r="IV128" i="10"/>
  <c r="IT128" i="10"/>
  <c r="JB128" i="10"/>
  <c r="LH128" i="10"/>
  <c r="GK128" i="10"/>
  <c r="CQ128" i="10"/>
  <c r="IN129" i="10"/>
  <c r="JA129" i="10"/>
  <c r="EO129" i="10"/>
  <c r="EP129" i="10"/>
  <c r="EQ129" i="10"/>
  <c r="ER129" i="10"/>
  <c r="ES129" i="10"/>
  <c r="ET129" i="10"/>
  <c r="EU129" i="10"/>
  <c r="EV129" i="10"/>
  <c r="EW129" i="10"/>
  <c r="IU129" i="10"/>
  <c r="IZ129" i="10"/>
  <c r="EZ129" i="10"/>
  <c r="FA129" i="10"/>
  <c r="FB129" i="10"/>
  <c r="IW129" i="10"/>
  <c r="EX129" i="10"/>
  <c r="EY129" i="10"/>
  <c r="IV129" i="10"/>
  <c r="IT129" i="10"/>
  <c r="JB129" i="10"/>
  <c r="LH129" i="10"/>
  <c r="GK129" i="10"/>
  <c r="IN130" i="10"/>
  <c r="JA130" i="10"/>
  <c r="EO130" i="10"/>
  <c r="EP130" i="10"/>
  <c r="EQ130" i="10"/>
  <c r="ER130" i="10"/>
  <c r="ES130" i="10"/>
  <c r="ET130" i="10"/>
  <c r="EU130" i="10"/>
  <c r="EV130" i="10"/>
  <c r="EW130" i="10"/>
  <c r="IU130" i="10"/>
  <c r="IZ130" i="10"/>
  <c r="EZ130" i="10"/>
  <c r="FA130" i="10"/>
  <c r="FB130" i="10"/>
  <c r="IW130" i="10"/>
  <c r="EX130" i="10"/>
  <c r="EY130" i="10"/>
  <c r="IV130" i="10"/>
  <c r="IT130" i="10"/>
  <c r="JB130" i="10"/>
  <c r="LH130" i="10"/>
  <c r="GK130" i="10"/>
  <c r="IN131" i="10"/>
  <c r="JA131" i="10"/>
  <c r="EO131" i="10"/>
  <c r="EP131" i="10"/>
  <c r="EQ131" i="10"/>
  <c r="ER131" i="10"/>
  <c r="ES131" i="10"/>
  <c r="ET131" i="10"/>
  <c r="EU131" i="10"/>
  <c r="EV131" i="10"/>
  <c r="EW131" i="10"/>
  <c r="IU131" i="10"/>
  <c r="IZ131" i="10"/>
  <c r="EZ131" i="10"/>
  <c r="FA131" i="10"/>
  <c r="FB131" i="10"/>
  <c r="IW131" i="10"/>
  <c r="EX131" i="10"/>
  <c r="EY131" i="10"/>
  <c r="IV131" i="10"/>
  <c r="IT131" i="10"/>
  <c r="JB131" i="10"/>
  <c r="LH131" i="10"/>
  <c r="GK131" i="10"/>
  <c r="CQ131" i="10"/>
  <c r="IN132" i="10"/>
  <c r="JA132" i="10"/>
  <c r="EO132" i="10"/>
  <c r="EP132" i="10"/>
  <c r="EQ132" i="10"/>
  <c r="ER132" i="10"/>
  <c r="ES132" i="10"/>
  <c r="ET132" i="10"/>
  <c r="EU132" i="10"/>
  <c r="EV132" i="10"/>
  <c r="EW132" i="10"/>
  <c r="IU132" i="10"/>
  <c r="IZ132" i="10"/>
  <c r="EZ132" i="10"/>
  <c r="FA132" i="10"/>
  <c r="FB132" i="10"/>
  <c r="IW132" i="10"/>
  <c r="EX132" i="10"/>
  <c r="EY132" i="10"/>
  <c r="IV132" i="10"/>
  <c r="IT132" i="10"/>
  <c r="JB132" i="10"/>
  <c r="LH132" i="10"/>
  <c r="GK132" i="10"/>
  <c r="CQ132" i="10"/>
  <c r="IN133" i="10"/>
  <c r="JA133" i="10"/>
  <c r="EO133" i="10"/>
  <c r="EP133" i="10"/>
  <c r="EQ133" i="10"/>
  <c r="ER133" i="10"/>
  <c r="ES133" i="10"/>
  <c r="ET133" i="10"/>
  <c r="EU133" i="10"/>
  <c r="EV133" i="10"/>
  <c r="EW133" i="10"/>
  <c r="IU133" i="10"/>
  <c r="IZ133" i="10"/>
  <c r="EZ133" i="10"/>
  <c r="FA133" i="10"/>
  <c r="FB133" i="10"/>
  <c r="IW133" i="10"/>
  <c r="EX133" i="10"/>
  <c r="EY133" i="10"/>
  <c r="IV133" i="10"/>
  <c r="IT133" i="10"/>
  <c r="JB133" i="10"/>
  <c r="LH133" i="10"/>
  <c r="GK133" i="10"/>
  <c r="IN134" i="10"/>
  <c r="JA134" i="10"/>
  <c r="EO134" i="10"/>
  <c r="EP134" i="10"/>
  <c r="EQ134" i="10"/>
  <c r="ER134" i="10"/>
  <c r="ES134" i="10"/>
  <c r="ET134" i="10"/>
  <c r="EU134" i="10"/>
  <c r="EV134" i="10"/>
  <c r="EW134" i="10"/>
  <c r="IU134" i="10"/>
  <c r="IZ134" i="10"/>
  <c r="EZ134" i="10"/>
  <c r="FA134" i="10"/>
  <c r="FB134" i="10"/>
  <c r="IW134" i="10"/>
  <c r="EX134" i="10"/>
  <c r="EY134" i="10"/>
  <c r="IV134" i="10"/>
  <c r="IT134" i="10"/>
  <c r="JB134" i="10"/>
  <c r="LH134" i="10"/>
  <c r="GK134" i="10"/>
  <c r="CQ134" i="10"/>
  <c r="IN135" i="10"/>
  <c r="JA135" i="10"/>
  <c r="EO135" i="10"/>
  <c r="EP135" i="10"/>
  <c r="EQ135" i="10"/>
  <c r="ER135" i="10"/>
  <c r="ES135" i="10"/>
  <c r="ET135" i="10"/>
  <c r="EU135" i="10"/>
  <c r="EV135" i="10"/>
  <c r="EW135" i="10"/>
  <c r="IU135" i="10"/>
  <c r="IZ135" i="10"/>
  <c r="EZ135" i="10"/>
  <c r="FA135" i="10"/>
  <c r="FB135" i="10"/>
  <c r="IW135" i="10"/>
  <c r="EX135" i="10"/>
  <c r="EY135" i="10"/>
  <c r="IV135" i="10"/>
  <c r="IT135" i="10"/>
  <c r="JB135" i="10"/>
  <c r="LH135" i="10"/>
  <c r="GK135" i="10"/>
  <c r="IN136" i="10"/>
  <c r="JA136" i="10"/>
  <c r="EO136" i="10"/>
  <c r="EP136" i="10"/>
  <c r="EQ136" i="10"/>
  <c r="ER136" i="10"/>
  <c r="ES136" i="10"/>
  <c r="ET136" i="10"/>
  <c r="EU136" i="10"/>
  <c r="EV136" i="10"/>
  <c r="EW136" i="10"/>
  <c r="IU136" i="10"/>
  <c r="IZ136" i="10"/>
  <c r="EZ136" i="10"/>
  <c r="FA136" i="10"/>
  <c r="FB136" i="10"/>
  <c r="IW136" i="10"/>
  <c r="EX136" i="10"/>
  <c r="EY136" i="10"/>
  <c r="IV136" i="10"/>
  <c r="IT136" i="10"/>
  <c r="JB136" i="10"/>
  <c r="LH136" i="10"/>
  <c r="GK136" i="10"/>
  <c r="CQ136" i="10"/>
  <c r="IN137" i="10"/>
  <c r="JA137" i="10"/>
  <c r="EO137" i="10"/>
  <c r="EP137" i="10"/>
  <c r="EQ137" i="10"/>
  <c r="ER137" i="10"/>
  <c r="ES137" i="10"/>
  <c r="ET137" i="10"/>
  <c r="EU137" i="10"/>
  <c r="EV137" i="10"/>
  <c r="EW137" i="10"/>
  <c r="IU137" i="10"/>
  <c r="IZ137" i="10"/>
  <c r="EZ137" i="10"/>
  <c r="FA137" i="10"/>
  <c r="FB137" i="10"/>
  <c r="IW137" i="10"/>
  <c r="EX137" i="10"/>
  <c r="EY137" i="10"/>
  <c r="IV137" i="10"/>
  <c r="IT137" i="10"/>
  <c r="JB137" i="10"/>
  <c r="LH137" i="10"/>
  <c r="GK137" i="10"/>
  <c r="CQ137" i="10"/>
  <c r="IN138" i="10"/>
  <c r="JA138" i="10"/>
  <c r="EO138" i="10"/>
  <c r="EP138" i="10"/>
  <c r="EQ138" i="10"/>
  <c r="ER138" i="10"/>
  <c r="ES138" i="10"/>
  <c r="ET138" i="10"/>
  <c r="EU138" i="10"/>
  <c r="EV138" i="10"/>
  <c r="EW138" i="10"/>
  <c r="IU138" i="10"/>
  <c r="IZ138" i="10"/>
  <c r="EZ138" i="10"/>
  <c r="FA138" i="10"/>
  <c r="FB138" i="10"/>
  <c r="IW138" i="10"/>
  <c r="EX138" i="10"/>
  <c r="EY138" i="10"/>
  <c r="IV138" i="10"/>
  <c r="IT138" i="10"/>
  <c r="JB138" i="10"/>
  <c r="LH138" i="10"/>
  <c r="GK138" i="10"/>
  <c r="IN139" i="10"/>
  <c r="JA139" i="10"/>
  <c r="EO139" i="10"/>
  <c r="EP139" i="10"/>
  <c r="EQ139" i="10"/>
  <c r="ER139" i="10"/>
  <c r="ES139" i="10"/>
  <c r="ET139" i="10"/>
  <c r="EU139" i="10"/>
  <c r="EV139" i="10"/>
  <c r="EW139" i="10"/>
  <c r="IU139" i="10"/>
  <c r="IZ139" i="10"/>
  <c r="EZ139" i="10"/>
  <c r="FA139" i="10"/>
  <c r="FB139" i="10"/>
  <c r="IW139" i="10"/>
  <c r="EX139" i="10"/>
  <c r="EY139" i="10"/>
  <c r="IV139" i="10"/>
  <c r="IT139" i="10"/>
  <c r="JB139" i="10"/>
  <c r="LH139" i="10"/>
  <c r="GK139" i="10"/>
  <c r="CQ139" i="10"/>
  <c r="IN140" i="10"/>
  <c r="JA140" i="10"/>
  <c r="EO140" i="10"/>
  <c r="EP140" i="10"/>
  <c r="EQ140" i="10"/>
  <c r="ER140" i="10"/>
  <c r="ES140" i="10"/>
  <c r="ET140" i="10"/>
  <c r="EU140" i="10"/>
  <c r="EV140" i="10"/>
  <c r="EW140" i="10"/>
  <c r="IU140" i="10"/>
  <c r="IZ140" i="10"/>
  <c r="EZ140" i="10"/>
  <c r="FA140" i="10"/>
  <c r="FB140" i="10"/>
  <c r="IW140" i="10"/>
  <c r="EX140" i="10"/>
  <c r="EY140" i="10"/>
  <c r="IV140" i="10"/>
  <c r="IT140" i="10"/>
  <c r="JB140" i="10"/>
  <c r="LH140" i="10"/>
  <c r="GK140" i="10"/>
  <c r="IN141" i="10"/>
  <c r="JA141" i="10"/>
  <c r="EO141" i="10"/>
  <c r="EP141" i="10"/>
  <c r="EQ141" i="10"/>
  <c r="ER141" i="10"/>
  <c r="ES141" i="10"/>
  <c r="ET141" i="10"/>
  <c r="EU141" i="10"/>
  <c r="EV141" i="10"/>
  <c r="EW141" i="10"/>
  <c r="IU141" i="10"/>
  <c r="IZ141" i="10"/>
  <c r="EZ141" i="10"/>
  <c r="FA141" i="10"/>
  <c r="FB141" i="10"/>
  <c r="IW141" i="10"/>
  <c r="EX141" i="10"/>
  <c r="EY141" i="10"/>
  <c r="IV141" i="10"/>
  <c r="IT141" i="10"/>
  <c r="JB141" i="10"/>
  <c r="LH141" i="10"/>
  <c r="GK141" i="10"/>
  <c r="IN142" i="10"/>
  <c r="JA142" i="10"/>
  <c r="EO142" i="10"/>
  <c r="EP142" i="10"/>
  <c r="EQ142" i="10"/>
  <c r="ER142" i="10"/>
  <c r="ES142" i="10"/>
  <c r="ET142" i="10"/>
  <c r="EU142" i="10"/>
  <c r="EV142" i="10"/>
  <c r="EW142" i="10"/>
  <c r="IU142" i="10"/>
  <c r="IZ142" i="10"/>
  <c r="EZ142" i="10"/>
  <c r="FA142" i="10"/>
  <c r="FB142" i="10"/>
  <c r="IW142" i="10"/>
  <c r="EX142" i="10"/>
  <c r="EY142" i="10"/>
  <c r="IV142" i="10"/>
  <c r="IT142" i="10"/>
  <c r="JB142" i="10"/>
  <c r="LH142" i="10"/>
  <c r="GK142" i="10"/>
  <c r="IN143" i="10"/>
  <c r="JA143" i="10"/>
  <c r="EO143" i="10"/>
  <c r="EP143" i="10"/>
  <c r="EQ143" i="10"/>
  <c r="ER143" i="10"/>
  <c r="ES143" i="10"/>
  <c r="ET143" i="10"/>
  <c r="EU143" i="10"/>
  <c r="EV143" i="10"/>
  <c r="EW143" i="10"/>
  <c r="IU143" i="10"/>
  <c r="IZ143" i="10"/>
  <c r="EZ143" i="10"/>
  <c r="FA143" i="10"/>
  <c r="FB143" i="10"/>
  <c r="IW143" i="10"/>
  <c r="EX143" i="10"/>
  <c r="EY143" i="10"/>
  <c r="IV143" i="10"/>
  <c r="IT143" i="10"/>
  <c r="JB143" i="10"/>
  <c r="LH143" i="10"/>
  <c r="GK143" i="10"/>
  <c r="CQ143" i="10"/>
  <c r="IN144" i="10"/>
  <c r="JA144" i="10"/>
  <c r="EO144" i="10"/>
  <c r="EP144" i="10"/>
  <c r="EQ144" i="10"/>
  <c r="ER144" i="10"/>
  <c r="ES144" i="10"/>
  <c r="ET144" i="10"/>
  <c r="EU144" i="10"/>
  <c r="EV144" i="10"/>
  <c r="EW144" i="10"/>
  <c r="IU144" i="10"/>
  <c r="IZ144" i="10"/>
  <c r="EZ144" i="10"/>
  <c r="FA144" i="10"/>
  <c r="FB144" i="10"/>
  <c r="IW144" i="10"/>
  <c r="EX144" i="10"/>
  <c r="EY144" i="10"/>
  <c r="IV144" i="10"/>
  <c r="IT144" i="10"/>
  <c r="JB144" i="10"/>
  <c r="LH144" i="10"/>
  <c r="GK144" i="10"/>
  <c r="CQ144" i="10"/>
  <c r="IN145" i="10"/>
  <c r="JA145" i="10"/>
  <c r="EO145" i="10"/>
  <c r="EP145" i="10"/>
  <c r="EQ145" i="10"/>
  <c r="ER145" i="10"/>
  <c r="ES145" i="10"/>
  <c r="ET145" i="10"/>
  <c r="EU145" i="10"/>
  <c r="EV145" i="10"/>
  <c r="EW145" i="10"/>
  <c r="IU145" i="10"/>
  <c r="IZ145" i="10"/>
  <c r="EZ145" i="10"/>
  <c r="FA145" i="10"/>
  <c r="FB145" i="10"/>
  <c r="IW145" i="10"/>
  <c r="EX145" i="10"/>
  <c r="EY145" i="10"/>
  <c r="IV145" i="10"/>
  <c r="IT145" i="10"/>
  <c r="JB145" i="10"/>
  <c r="LH145" i="10"/>
  <c r="GK145" i="10"/>
  <c r="IN146" i="10"/>
  <c r="JA146" i="10"/>
  <c r="EO146" i="10"/>
  <c r="EP146" i="10"/>
  <c r="EQ146" i="10"/>
  <c r="ER146" i="10"/>
  <c r="ES146" i="10"/>
  <c r="ET146" i="10"/>
  <c r="EU146" i="10"/>
  <c r="EV146" i="10"/>
  <c r="EW146" i="10"/>
  <c r="IU146" i="10"/>
  <c r="IZ146" i="10"/>
  <c r="EZ146" i="10"/>
  <c r="FA146" i="10"/>
  <c r="FB146" i="10"/>
  <c r="IW146" i="10"/>
  <c r="EX146" i="10"/>
  <c r="EY146" i="10"/>
  <c r="IV146" i="10"/>
  <c r="IT146" i="10"/>
  <c r="JB146" i="10"/>
  <c r="LH146" i="10"/>
  <c r="GK146" i="10"/>
  <c r="IN147" i="10"/>
  <c r="JA147" i="10"/>
  <c r="EO147" i="10"/>
  <c r="EP147" i="10"/>
  <c r="EQ147" i="10"/>
  <c r="ER147" i="10"/>
  <c r="ES147" i="10"/>
  <c r="ET147" i="10"/>
  <c r="EU147" i="10"/>
  <c r="EV147" i="10"/>
  <c r="EW147" i="10"/>
  <c r="IU147" i="10"/>
  <c r="IZ147" i="10"/>
  <c r="EZ147" i="10"/>
  <c r="FA147" i="10"/>
  <c r="FB147" i="10"/>
  <c r="IW147" i="10"/>
  <c r="EX147" i="10"/>
  <c r="EY147" i="10"/>
  <c r="IV147" i="10"/>
  <c r="IT147" i="10"/>
  <c r="JB147" i="10"/>
  <c r="LH147" i="10"/>
  <c r="GK147" i="10"/>
  <c r="IN148" i="10"/>
  <c r="JA148" i="10"/>
  <c r="EO148" i="10"/>
  <c r="EP148" i="10"/>
  <c r="EQ148" i="10"/>
  <c r="ER148" i="10"/>
  <c r="ES148" i="10"/>
  <c r="ET148" i="10"/>
  <c r="EU148" i="10"/>
  <c r="EV148" i="10"/>
  <c r="EW148" i="10"/>
  <c r="IU148" i="10"/>
  <c r="IZ148" i="10"/>
  <c r="EZ148" i="10"/>
  <c r="FA148" i="10"/>
  <c r="FB148" i="10"/>
  <c r="IW148" i="10"/>
  <c r="EX148" i="10"/>
  <c r="EY148" i="10"/>
  <c r="IV148" i="10"/>
  <c r="IT148" i="10"/>
  <c r="JB148" i="10"/>
  <c r="LH148" i="10"/>
  <c r="GK148" i="10"/>
  <c r="IN149" i="10"/>
  <c r="JA149" i="10"/>
  <c r="EO149" i="10"/>
  <c r="EP149" i="10"/>
  <c r="EQ149" i="10"/>
  <c r="ER149" i="10"/>
  <c r="ES149" i="10"/>
  <c r="ET149" i="10"/>
  <c r="EU149" i="10"/>
  <c r="EV149" i="10"/>
  <c r="EW149" i="10"/>
  <c r="IU149" i="10"/>
  <c r="IZ149" i="10"/>
  <c r="EZ149" i="10"/>
  <c r="FA149" i="10"/>
  <c r="FB149" i="10"/>
  <c r="IW149" i="10"/>
  <c r="EX149" i="10"/>
  <c r="EY149" i="10"/>
  <c r="IV149" i="10"/>
  <c r="IT149" i="10"/>
  <c r="JB149" i="10"/>
  <c r="LH149" i="10"/>
  <c r="GK149" i="10"/>
  <c r="IN150" i="10"/>
  <c r="JA150" i="10"/>
  <c r="EO150" i="10"/>
  <c r="EP150" i="10"/>
  <c r="EQ150" i="10"/>
  <c r="ER150" i="10"/>
  <c r="ES150" i="10"/>
  <c r="ET150" i="10"/>
  <c r="EU150" i="10"/>
  <c r="EV150" i="10"/>
  <c r="EW150" i="10"/>
  <c r="IU150" i="10"/>
  <c r="IZ150" i="10"/>
  <c r="EZ150" i="10"/>
  <c r="FA150" i="10"/>
  <c r="FB150" i="10"/>
  <c r="IW150" i="10"/>
  <c r="EX150" i="10"/>
  <c r="EY150" i="10"/>
  <c r="IV150" i="10"/>
  <c r="IT150" i="10"/>
  <c r="JB150" i="10"/>
  <c r="LH150" i="10"/>
  <c r="GK150" i="10"/>
  <c r="CQ150" i="10"/>
  <c r="IN151" i="10"/>
  <c r="JA151" i="10"/>
  <c r="EO151" i="10"/>
  <c r="EP151" i="10"/>
  <c r="EQ151" i="10"/>
  <c r="ER151" i="10"/>
  <c r="ES151" i="10"/>
  <c r="ET151" i="10"/>
  <c r="EU151" i="10"/>
  <c r="EV151" i="10"/>
  <c r="EW151" i="10"/>
  <c r="IU151" i="10"/>
  <c r="IZ151" i="10"/>
  <c r="EZ151" i="10"/>
  <c r="FA151" i="10"/>
  <c r="FB151" i="10"/>
  <c r="IW151" i="10"/>
  <c r="EX151" i="10"/>
  <c r="EY151" i="10"/>
  <c r="IV151" i="10"/>
  <c r="IT151" i="10"/>
  <c r="JB151" i="10"/>
  <c r="LH151" i="10"/>
  <c r="GK151" i="10"/>
  <c r="CQ151" i="10"/>
  <c r="CF151" i="10"/>
  <c r="CW151" i="10"/>
  <c r="IN152" i="10"/>
  <c r="JA152" i="10"/>
  <c r="EO152" i="10"/>
  <c r="EP152" i="10"/>
  <c r="EQ152" i="10"/>
  <c r="ER152" i="10"/>
  <c r="ES152" i="10"/>
  <c r="ET152" i="10"/>
  <c r="EU152" i="10"/>
  <c r="EV152" i="10"/>
  <c r="EW152" i="10"/>
  <c r="IU152" i="10"/>
  <c r="IZ152" i="10"/>
  <c r="EZ152" i="10"/>
  <c r="FA152" i="10"/>
  <c r="FB152" i="10"/>
  <c r="IW152" i="10"/>
  <c r="EX152" i="10"/>
  <c r="EY152" i="10"/>
  <c r="IV152" i="10"/>
  <c r="IT152" i="10"/>
  <c r="JB152" i="10"/>
  <c r="LH152" i="10"/>
  <c r="GK152" i="10"/>
  <c r="IN153" i="10"/>
  <c r="JA153" i="10"/>
  <c r="EO153" i="10"/>
  <c r="EP153" i="10"/>
  <c r="EQ153" i="10"/>
  <c r="ER153" i="10"/>
  <c r="ES153" i="10"/>
  <c r="ET153" i="10"/>
  <c r="EU153" i="10"/>
  <c r="EV153" i="10"/>
  <c r="EW153" i="10"/>
  <c r="IU153" i="10"/>
  <c r="IZ153" i="10"/>
  <c r="EZ153" i="10"/>
  <c r="FA153" i="10"/>
  <c r="FB153" i="10"/>
  <c r="IW153" i="10"/>
  <c r="EX153" i="10"/>
  <c r="EY153" i="10"/>
  <c r="IV153" i="10"/>
  <c r="IT153" i="10"/>
  <c r="JB153" i="10"/>
  <c r="LH153" i="10"/>
  <c r="GK153" i="10"/>
  <c r="IN154" i="10"/>
  <c r="JA154" i="10"/>
  <c r="EO154" i="10"/>
  <c r="EP154" i="10"/>
  <c r="EQ154" i="10"/>
  <c r="ER154" i="10"/>
  <c r="ES154" i="10"/>
  <c r="ET154" i="10"/>
  <c r="EU154" i="10"/>
  <c r="EV154" i="10"/>
  <c r="EW154" i="10"/>
  <c r="IU154" i="10"/>
  <c r="IZ154" i="10"/>
  <c r="EZ154" i="10"/>
  <c r="FA154" i="10"/>
  <c r="FB154" i="10"/>
  <c r="IW154" i="10"/>
  <c r="EX154" i="10"/>
  <c r="EY154" i="10"/>
  <c r="IV154" i="10"/>
  <c r="IT154" i="10"/>
  <c r="JB154" i="10"/>
  <c r="LH154" i="10"/>
  <c r="GK154" i="10"/>
  <c r="CQ154" i="10"/>
  <c r="IN155" i="10"/>
  <c r="JA155" i="10"/>
  <c r="EO155" i="10"/>
  <c r="EP155" i="10"/>
  <c r="EQ155" i="10"/>
  <c r="ER155" i="10"/>
  <c r="ES155" i="10"/>
  <c r="ET155" i="10"/>
  <c r="EU155" i="10"/>
  <c r="EV155" i="10"/>
  <c r="EW155" i="10"/>
  <c r="IU155" i="10"/>
  <c r="IZ155" i="10"/>
  <c r="EZ155" i="10"/>
  <c r="FA155" i="10"/>
  <c r="FB155" i="10"/>
  <c r="IW155" i="10"/>
  <c r="EX155" i="10"/>
  <c r="EY155" i="10"/>
  <c r="IV155" i="10"/>
  <c r="IT155" i="10"/>
  <c r="JB155" i="10"/>
  <c r="LH155" i="10"/>
  <c r="GK155" i="10"/>
  <c r="CQ155" i="10"/>
  <c r="IN156" i="10"/>
  <c r="JA156" i="10"/>
  <c r="EO156" i="10"/>
  <c r="EP156" i="10"/>
  <c r="EQ156" i="10"/>
  <c r="ER156" i="10"/>
  <c r="ES156" i="10"/>
  <c r="ET156" i="10"/>
  <c r="EU156" i="10"/>
  <c r="EV156" i="10"/>
  <c r="EW156" i="10"/>
  <c r="IU156" i="10"/>
  <c r="IZ156" i="10"/>
  <c r="EZ156" i="10"/>
  <c r="FA156" i="10"/>
  <c r="FB156" i="10"/>
  <c r="IW156" i="10"/>
  <c r="EX156" i="10"/>
  <c r="EY156" i="10"/>
  <c r="IV156" i="10"/>
  <c r="IT156" i="10"/>
  <c r="JB156" i="10"/>
  <c r="LH156" i="10"/>
  <c r="GK156" i="10"/>
  <c r="CQ156" i="10"/>
  <c r="CF156" i="10"/>
  <c r="CW156" i="10"/>
  <c r="IN157" i="10"/>
  <c r="JA157" i="10"/>
  <c r="EO157" i="10"/>
  <c r="EP157" i="10"/>
  <c r="EQ157" i="10"/>
  <c r="ER157" i="10"/>
  <c r="ES157" i="10"/>
  <c r="ET157" i="10"/>
  <c r="EU157" i="10"/>
  <c r="EV157" i="10"/>
  <c r="EW157" i="10"/>
  <c r="IU157" i="10"/>
  <c r="IZ157" i="10"/>
  <c r="EZ157" i="10"/>
  <c r="FA157" i="10"/>
  <c r="FB157" i="10"/>
  <c r="IW157" i="10"/>
  <c r="EX157" i="10"/>
  <c r="EY157" i="10"/>
  <c r="IV157" i="10"/>
  <c r="IT157" i="10"/>
  <c r="JB157" i="10"/>
  <c r="LH157" i="10"/>
  <c r="GK157" i="10"/>
  <c r="IN158" i="10"/>
  <c r="JA158" i="10"/>
  <c r="EO158" i="10"/>
  <c r="EP158" i="10"/>
  <c r="EQ158" i="10"/>
  <c r="ER158" i="10"/>
  <c r="ES158" i="10"/>
  <c r="ET158" i="10"/>
  <c r="EU158" i="10"/>
  <c r="EV158" i="10"/>
  <c r="EW158" i="10"/>
  <c r="IU158" i="10"/>
  <c r="IZ158" i="10"/>
  <c r="EZ158" i="10"/>
  <c r="FA158" i="10"/>
  <c r="FB158" i="10"/>
  <c r="IW158" i="10"/>
  <c r="EX158" i="10"/>
  <c r="EY158" i="10"/>
  <c r="IV158" i="10"/>
  <c r="IT158" i="10"/>
  <c r="JB158" i="10"/>
  <c r="LH158" i="10"/>
  <c r="GK158" i="10"/>
  <c r="IN159" i="10"/>
  <c r="JA159" i="10"/>
  <c r="EO159" i="10"/>
  <c r="EP159" i="10"/>
  <c r="EQ159" i="10"/>
  <c r="ER159" i="10"/>
  <c r="ES159" i="10"/>
  <c r="ET159" i="10"/>
  <c r="EU159" i="10"/>
  <c r="EV159" i="10"/>
  <c r="EW159" i="10"/>
  <c r="IU159" i="10"/>
  <c r="IZ159" i="10"/>
  <c r="EZ159" i="10"/>
  <c r="FA159" i="10"/>
  <c r="FB159" i="10"/>
  <c r="IW159" i="10"/>
  <c r="EX159" i="10"/>
  <c r="EY159" i="10"/>
  <c r="IV159" i="10"/>
  <c r="IT159" i="10"/>
  <c r="JB159" i="10"/>
  <c r="LH159" i="10"/>
  <c r="GK159" i="10"/>
  <c r="CQ159" i="10"/>
  <c r="IN160" i="10"/>
  <c r="JA160" i="10"/>
  <c r="EO160" i="10"/>
  <c r="EP160" i="10"/>
  <c r="EQ160" i="10"/>
  <c r="ER160" i="10"/>
  <c r="ES160" i="10"/>
  <c r="ET160" i="10"/>
  <c r="EU160" i="10"/>
  <c r="EV160" i="10"/>
  <c r="EW160" i="10"/>
  <c r="IU160" i="10"/>
  <c r="IZ160" i="10"/>
  <c r="EZ160" i="10"/>
  <c r="FA160" i="10"/>
  <c r="FB160" i="10"/>
  <c r="IW160" i="10"/>
  <c r="EX160" i="10"/>
  <c r="EY160" i="10"/>
  <c r="IV160" i="10"/>
  <c r="IT160" i="10"/>
  <c r="JB160" i="10"/>
  <c r="LH160" i="10"/>
  <c r="GK160" i="10"/>
  <c r="IN161" i="10"/>
  <c r="JA161" i="10"/>
  <c r="EO161" i="10"/>
  <c r="EP161" i="10"/>
  <c r="EQ161" i="10"/>
  <c r="ER161" i="10"/>
  <c r="ES161" i="10"/>
  <c r="ET161" i="10"/>
  <c r="EU161" i="10"/>
  <c r="EV161" i="10"/>
  <c r="EW161" i="10"/>
  <c r="IU161" i="10"/>
  <c r="IZ161" i="10"/>
  <c r="EZ161" i="10"/>
  <c r="FA161" i="10"/>
  <c r="FB161" i="10"/>
  <c r="IW161" i="10"/>
  <c r="EX161" i="10"/>
  <c r="EY161" i="10"/>
  <c r="IV161" i="10"/>
  <c r="IT161" i="10"/>
  <c r="JB161" i="10"/>
  <c r="LH161" i="10"/>
  <c r="GK161" i="10"/>
  <c r="CQ161" i="10"/>
  <c r="IN162" i="10"/>
  <c r="JA162" i="10"/>
  <c r="EO162" i="10"/>
  <c r="EP162" i="10"/>
  <c r="EQ162" i="10"/>
  <c r="ER162" i="10"/>
  <c r="ES162" i="10"/>
  <c r="ET162" i="10"/>
  <c r="EU162" i="10"/>
  <c r="EV162" i="10"/>
  <c r="EW162" i="10"/>
  <c r="IU162" i="10"/>
  <c r="IZ162" i="10"/>
  <c r="EZ162" i="10"/>
  <c r="FA162" i="10"/>
  <c r="FB162" i="10"/>
  <c r="IW162" i="10"/>
  <c r="EX162" i="10"/>
  <c r="EY162" i="10"/>
  <c r="IV162" i="10"/>
  <c r="IT162" i="10"/>
  <c r="JB162" i="10"/>
  <c r="LH162" i="10"/>
  <c r="GK162" i="10"/>
  <c r="CQ162" i="10"/>
  <c r="IN163" i="10"/>
  <c r="JA163" i="10"/>
  <c r="EO163" i="10"/>
  <c r="EP163" i="10"/>
  <c r="EQ163" i="10"/>
  <c r="ER163" i="10"/>
  <c r="ES163" i="10"/>
  <c r="ET163" i="10"/>
  <c r="EU163" i="10"/>
  <c r="EV163" i="10"/>
  <c r="EW163" i="10"/>
  <c r="IU163" i="10"/>
  <c r="IZ163" i="10"/>
  <c r="EZ163" i="10"/>
  <c r="FA163" i="10"/>
  <c r="FB163" i="10"/>
  <c r="IW163" i="10"/>
  <c r="EX163" i="10"/>
  <c r="EY163" i="10"/>
  <c r="IV163" i="10"/>
  <c r="IT163" i="10"/>
  <c r="JB163" i="10"/>
  <c r="LH163" i="10"/>
  <c r="GK163" i="10"/>
  <c r="IN164" i="10"/>
  <c r="JA164" i="10"/>
  <c r="EO164" i="10"/>
  <c r="EP164" i="10"/>
  <c r="EQ164" i="10"/>
  <c r="ER164" i="10"/>
  <c r="ES164" i="10"/>
  <c r="ET164" i="10"/>
  <c r="EU164" i="10"/>
  <c r="EV164" i="10"/>
  <c r="EW164" i="10"/>
  <c r="IU164" i="10"/>
  <c r="IZ164" i="10"/>
  <c r="EZ164" i="10"/>
  <c r="FA164" i="10"/>
  <c r="FB164" i="10"/>
  <c r="IW164" i="10"/>
  <c r="EX164" i="10"/>
  <c r="EY164" i="10"/>
  <c r="IV164" i="10"/>
  <c r="IT164" i="10"/>
  <c r="JB164" i="10"/>
  <c r="LH164" i="10"/>
  <c r="GK164" i="10"/>
  <c r="CQ164" i="10"/>
  <c r="CF164" i="10"/>
  <c r="CW164" i="10"/>
  <c r="IN165" i="10"/>
  <c r="JA165" i="10"/>
  <c r="EO165" i="10"/>
  <c r="EP165" i="10"/>
  <c r="EQ165" i="10"/>
  <c r="ER165" i="10"/>
  <c r="ES165" i="10"/>
  <c r="ET165" i="10"/>
  <c r="EU165" i="10"/>
  <c r="EV165" i="10"/>
  <c r="EW165" i="10"/>
  <c r="IU165" i="10"/>
  <c r="IZ165" i="10"/>
  <c r="EZ165" i="10"/>
  <c r="FA165" i="10"/>
  <c r="FB165" i="10"/>
  <c r="IW165" i="10"/>
  <c r="EX165" i="10"/>
  <c r="EY165" i="10"/>
  <c r="IV165" i="10"/>
  <c r="IT165" i="10"/>
  <c r="JB165" i="10"/>
  <c r="LH165" i="10"/>
  <c r="GK165" i="10"/>
  <c r="IN166" i="10"/>
  <c r="JA166" i="10"/>
  <c r="EO166" i="10"/>
  <c r="EP166" i="10"/>
  <c r="EQ166" i="10"/>
  <c r="ER166" i="10"/>
  <c r="ES166" i="10"/>
  <c r="ET166" i="10"/>
  <c r="EU166" i="10"/>
  <c r="EV166" i="10"/>
  <c r="EW166" i="10"/>
  <c r="IU166" i="10"/>
  <c r="IZ166" i="10"/>
  <c r="EZ166" i="10"/>
  <c r="FA166" i="10"/>
  <c r="FB166" i="10"/>
  <c r="IW166" i="10"/>
  <c r="EX166" i="10"/>
  <c r="EY166" i="10"/>
  <c r="IV166" i="10"/>
  <c r="IT166" i="10"/>
  <c r="JB166" i="10"/>
  <c r="LH166" i="10"/>
  <c r="GK166" i="10"/>
  <c r="IN167" i="10"/>
  <c r="JA167" i="10"/>
  <c r="EO167" i="10"/>
  <c r="EP167" i="10"/>
  <c r="EQ167" i="10"/>
  <c r="ER167" i="10"/>
  <c r="ES167" i="10"/>
  <c r="ET167" i="10"/>
  <c r="EU167" i="10"/>
  <c r="EV167" i="10"/>
  <c r="EW167" i="10"/>
  <c r="IU167" i="10"/>
  <c r="IZ167" i="10"/>
  <c r="EZ167" i="10"/>
  <c r="FA167" i="10"/>
  <c r="FB167" i="10"/>
  <c r="IW167" i="10"/>
  <c r="EX167" i="10"/>
  <c r="EY167" i="10"/>
  <c r="IV167" i="10"/>
  <c r="IT167" i="10"/>
  <c r="JB167" i="10"/>
  <c r="LH167" i="10"/>
  <c r="GK167" i="10"/>
  <c r="CQ167" i="10"/>
  <c r="IN168" i="10"/>
  <c r="JA168" i="10"/>
  <c r="EO168" i="10"/>
  <c r="EP168" i="10"/>
  <c r="EQ168" i="10"/>
  <c r="ER168" i="10"/>
  <c r="ES168" i="10"/>
  <c r="ET168" i="10"/>
  <c r="EU168" i="10"/>
  <c r="EV168" i="10"/>
  <c r="EW168" i="10"/>
  <c r="IU168" i="10"/>
  <c r="IZ168" i="10"/>
  <c r="EZ168" i="10"/>
  <c r="FA168" i="10"/>
  <c r="FB168" i="10"/>
  <c r="IW168" i="10"/>
  <c r="EX168" i="10"/>
  <c r="EY168" i="10"/>
  <c r="IV168" i="10"/>
  <c r="IT168" i="10"/>
  <c r="JB168" i="10"/>
  <c r="LH168" i="10"/>
  <c r="GK168" i="10"/>
  <c r="IN169" i="10"/>
  <c r="JA169" i="10"/>
  <c r="EO169" i="10"/>
  <c r="EP169" i="10"/>
  <c r="EQ169" i="10"/>
  <c r="ER169" i="10"/>
  <c r="ES169" i="10"/>
  <c r="ET169" i="10"/>
  <c r="EU169" i="10"/>
  <c r="EV169" i="10"/>
  <c r="EW169" i="10"/>
  <c r="IU169" i="10"/>
  <c r="IZ169" i="10"/>
  <c r="EZ169" i="10"/>
  <c r="FA169" i="10"/>
  <c r="FB169" i="10"/>
  <c r="IW169" i="10"/>
  <c r="EX169" i="10"/>
  <c r="EY169" i="10"/>
  <c r="IV169" i="10"/>
  <c r="IT169" i="10"/>
  <c r="JB169" i="10"/>
  <c r="LH169" i="10"/>
  <c r="GK169" i="10"/>
  <c r="CQ169" i="10"/>
  <c r="CF169" i="10"/>
  <c r="CW169" i="10"/>
  <c r="IN170" i="10"/>
  <c r="JA170" i="10"/>
  <c r="EO170" i="10"/>
  <c r="EP170" i="10"/>
  <c r="EQ170" i="10"/>
  <c r="ER170" i="10"/>
  <c r="ES170" i="10"/>
  <c r="ET170" i="10"/>
  <c r="EU170" i="10"/>
  <c r="EV170" i="10"/>
  <c r="EW170" i="10"/>
  <c r="IU170" i="10"/>
  <c r="IZ170" i="10"/>
  <c r="EZ170" i="10"/>
  <c r="FA170" i="10"/>
  <c r="FB170" i="10"/>
  <c r="IW170" i="10"/>
  <c r="EX170" i="10"/>
  <c r="EY170" i="10"/>
  <c r="IV170" i="10"/>
  <c r="IT170" i="10"/>
  <c r="JB170" i="10"/>
  <c r="LH170" i="10"/>
  <c r="GK170" i="10"/>
  <c r="CQ170" i="10"/>
  <c r="IN171" i="10"/>
  <c r="JA171" i="10"/>
  <c r="EO171" i="10"/>
  <c r="EP171" i="10"/>
  <c r="EQ171" i="10"/>
  <c r="ER171" i="10"/>
  <c r="ES171" i="10"/>
  <c r="ET171" i="10"/>
  <c r="EU171" i="10"/>
  <c r="EV171" i="10"/>
  <c r="EW171" i="10"/>
  <c r="IU171" i="10"/>
  <c r="IZ171" i="10"/>
  <c r="EZ171" i="10"/>
  <c r="FA171" i="10"/>
  <c r="FB171" i="10"/>
  <c r="IW171" i="10"/>
  <c r="EX171" i="10"/>
  <c r="EY171" i="10"/>
  <c r="IV171" i="10"/>
  <c r="IT171" i="10"/>
  <c r="JB171" i="10"/>
  <c r="LH171" i="10"/>
  <c r="GK171" i="10"/>
  <c r="IN172" i="10"/>
  <c r="JA172" i="10"/>
  <c r="EO172" i="10"/>
  <c r="EP172" i="10"/>
  <c r="EQ172" i="10"/>
  <c r="ER172" i="10"/>
  <c r="ES172" i="10"/>
  <c r="ET172" i="10"/>
  <c r="EU172" i="10"/>
  <c r="EV172" i="10"/>
  <c r="EW172" i="10"/>
  <c r="IU172" i="10"/>
  <c r="IZ172" i="10"/>
  <c r="EZ172" i="10"/>
  <c r="FA172" i="10"/>
  <c r="FB172" i="10"/>
  <c r="IW172" i="10"/>
  <c r="EX172" i="10"/>
  <c r="EY172" i="10"/>
  <c r="IV172" i="10"/>
  <c r="IT172" i="10"/>
  <c r="JB172" i="10"/>
  <c r="LH172" i="10"/>
  <c r="GK172" i="10"/>
  <c r="CQ172" i="10"/>
  <c r="IN173" i="10"/>
  <c r="JA173" i="10"/>
  <c r="EO173" i="10"/>
  <c r="EP173" i="10"/>
  <c r="EQ173" i="10"/>
  <c r="ER173" i="10"/>
  <c r="ES173" i="10"/>
  <c r="ET173" i="10"/>
  <c r="EU173" i="10"/>
  <c r="EV173" i="10"/>
  <c r="EW173" i="10"/>
  <c r="IU173" i="10"/>
  <c r="IZ173" i="10"/>
  <c r="EZ173" i="10"/>
  <c r="FA173" i="10"/>
  <c r="FB173" i="10"/>
  <c r="IW173" i="10"/>
  <c r="EX173" i="10"/>
  <c r="EY173" i="10"/>
  <c r="IV173" i="10"/>
  <c r="IT173" i="10"/>
  <c r="JB173" i="10"/>
  <c r="LH173" i="10"/>
  <c r="GK173" i="10"/>
  <c r="IN174" i="10"/>
  <c r="JA174" i="10"/>
  <c r="EO174" i="10"/>
  <c r="EP174" i="10"/>
  <c r="EQ174" i="10"/>
  <c r="ER174" i="10"/>
  <c r="ES174" i="10"/>
  <c r="ET174" i="10"/>
  <c r="EU174" i="10"/>
  <c r="EV174" i="10"/>
  <c r="EW174" i="10"/>
  <c r="IU174" i="10"/>
  <c r="IZ174" i="10"/>
  <c r="EZ174" i="10"/>
  <c r="FA174" i="10"/>
  <c r="FB174" i="10"/>
  <c r="IW174" i="10"/>
  <c r="EX174" i="10"/>
  <c r="EY174" i="10"/>
  <c r="IV174" i="10"/>
  <c r="IT174" i="10"/>
  <c r="JB174" i="10"/>
  <c r="LH174" i="10"/>
  <c r="GK174" i="10"/>
  <c r="CQ174" i="10"/>
  <c r="IN175" i="10"/>
  <c r="JA175" i="10"/>
  <c r="EO175" i="10"/>
  <c r="EP175" i="10"/>
  <c r="EQ175" i="10"/>
  <c r="ER175" i="10"/>
  <c r="ES175" i="10"/>
  <c r="ET175" i="10"/>
  <c r="EU175" i="10"/>
  <c r="EV175" i="10"/>
  <c r="EW175" i="10"/>
  <c r="IU175" i="10"/>
  <c r="IZ175" i="10"/>
  <c r="EZ175" i="10"/>
  <c r="FA175" i="10"/>
  <c r="FB175" i="10"/>
  <c r="IW175" i="10"/>
  <c r="EX175" i="10"/>
  <c r="EY175" i="10"/>
  <c r="IV175" i="10"/>
  <c r="IT175" i="10"/>
  <c r="JB175" i="10"/>
  <c r="LH175" i="10"/>
  <c r="GK175" i="10"/>
  <c r="CQ175" i="10"/>
  <c r="IN176" i="10"/>
  <c r="JA176" i="10"/>
  <c r="EO176" i="10"/>
  <c r="EP176" i="10"/>
  <c r="EQ176" i="10"/>
  <c r="ER176" i="10"/>
  <c r="ES176" i="10"/>
  <c r="ET176" i="10"/>
  <c r="EU176" i="10"/>
  <c r="EV176" i="10"/>
  <c r="EW176" i="10"/>
  <c r="IU176" i="10"/>
  <c r="IZ176" i="10"/>
  <c r="EZ176" i="10"/>
  <c r="FA176" i="10"/>
  <c r="FB176" i="10"/>
  <c r="IW176" i="10"/>
  <c r="EX176" i="10"/>
  <c r="EY176" i="10"/>
  <c r="IV176" i="10"/>
  <c r="IT176" i="10"/>
  <c r="JB176" i="10"/>
  <c r="LH176" i="10"/>
  <c r="GK176" i="10"/>
  <c r="IN177" i="10"/>
  <c r="JA177" i="10"/>
  <c r="EO177" i="10"/>
  <c r="EP177" i="10"/>
  <c r="EQ177" i="10"/>
  <c r="ER177" i="10"/>
  <c r="ES177" i="10"/>
  <c r="ET177" i="10"/>
  <c r="EU177" i="10"/>
  <c r="EV177" i="10"/>
  <c r="EW177" i="10"/>
  <c r="IU177" i="10"/>
  <c r="IZ177" i="10"/>
  <c r="EZ177" i="10"/>
  <c r="FA177" i="10"/>
  <c r="FB177" i="10"/>
  <c r="IW177" i="10"/>
  <c r="EX177" i="10"/>
  <c r="EY177" i="10"/>
  <c r="IV177" i="10"/>
  <c r="IT177" i="10"/>
  <c r="JB177" i="10"/>
  <c r="LH177" i="10"/>
  <c r="GK177" i="10"/>
  <c r="CQ177" i="10"/>
  <c r="IN178" i="10"/>
  <c r="JA178" i="10"/>
  <c r="EO178" i="10"/>
  <c r="EP178" i="10"/>
  <c r="EQ178" i="10"/>
  <c r="ER178" i="10"/>
  <c r="ES178" i="10"/>
  <c r="ET178" i="10"/>
  <c r="EU178" i="10"/>
  <c r="EV178" i="10"/>
  <c r="EW178" i="10"/>
  <c r="IU178" i="10"/>
  <c r="IZ178" i="10"/>
  <c r="EZ178" i="10"/>
  <c r="FA178" i="10"/>
  <c r="FB178" i="10"/>
  <c r="IW178" i="10"/>
  <c r="EX178" i="10"/>
  <c r="EY178" i="10"/>
  <c r="IV178" i="10"/>
  <c r="IT178" i="10"/>
  <c r="JB178" i="10"/>
  <c r="LH178" i="10"/>
  <c r="GK178" i="10"/>
  <c r="IN179" i="10"/>
  <c r="JA179" i="10"/>
  <c r="EO179" i="10"/>
  <c r="EP179" i="10"/>
  <c r="EQ179" i="10"/>
  <c r="ER179" i="10"/>
  <c r="ES179" i="10"/>
  <c r="ET179" i="10"/>
  <c r="EU179" i="10"/>
  <c r="EV179" i="10"/>
  <c r="EW179" i="10"/>
  <c r="IU179" i="10"/>
  <c r="IZ179" i="10"/>
  <c r="EZ179" i="10"/>
  <c r="FA179" i="10"/>
  <c r="FB179" i="10"/>
  <c r="IW179" i="10"/>
  <c r="EX179" i="10"/>
  <c r="EY179" i="10"/>
  <c r="IV179" i="10"/>
  <c r="IT179" i="10"/>
  <c r="JB179" i="10"/>
  <c r="LH179" i="10"/>
  <c r="GK179" i="10"/>
  <c r="IN180" i="10"/>
  <c r="JA180" i="10"/>
  <c r="EO180" i="10"/>
  <c r="EP180" i="10"/>
  <c r="EQ180" i="10"/>
  <c r="ER180" i="10"/>
  <c r="ES180" i="10"/>
  <c r="ET180" i="10"/>
  <c r="EU180" i="10"/>
  <c r="EV180" i="10"/>
  <c r="EW180" i="10"/>
  <c r="IU180" i="10"/>
  <c r="IZ180" i="10"/>
  <c r="EZ180" i="10"/>
  <c r="FA180" i="10"/>
  <c r="FB180" i="10"/>
  <c r="IW180" i="10"/>
  <c r="EX180" i="10"/>
  <c r="EY180" i="10"/>
  <c r="IV180" i="10"/>
  <c r="IT180" i="10"/>
  <c r="JB180" i="10"/>
  <c r="LH180" i="10"/>
  <c r="GK180" i="10"/>
  <c r="CQ180" i="10"/>
  <c r="CF180" i="10"/>
  <c r="CW180" i="10"/>
  <c r="IN181" i="10"/>
  <c r="JA181" i="10"/>
  <c r="EO181" i="10"/>
  <c r="EP181" i="10"/>
  <c r="EQ181" i="10"/>
  <c r="ER181" i="10"/>
  <c r="ES181" i="10"/>
  <c r="ET181" i="10"/>
  <c r="EU181" i="10"/>
  <c r="EV181" i="10"/>
  <c r="EW181" i="10"/>
  <c r="IU181" i="10"/>
  <c r="IZ181" i="10"/>
  <c r="EZ181" i="10"/>
  <c r="FA181" i="10"/>
  <c r="FB181" i="10"/>
  <c r="IW181" i="10"/>
  <c r="EX181" i="10"/>
  <c r="EY181" i="10"/>
  <c r="IV181" i="10"/>
  <c r="IT181" i="10"/>
  <c r="JB181" i="10"/>
  <c r="LH181" i="10"/>
  <c r="GK181" i="10"/>
  <c r="IN182" i="10"/>
  <c r="JA182" i="10"/>
  <c r="EO182" i="10"/>
  <c r="EP182" i="10"/>
  <c r="EQ182" i="10"/>
  <c r="ER182" i="10"/>
  <c r="ES182" i="10"/>
  <c r="ET182" i="10"/>
  <c r="EU182" i="10"/>
  <c r="EV182" i="10"/>
  <c r="EW182" i="10"/>
  <c r="IU182" i="10"/>
  <c r="IZ182" i="10"/>
  <c r="EZ182" i="10"/>
  <c r="FA182" i="10"/>
  <c r="FB182" i="10"/>
  <c r="IW182" i="10"/>
  <c r="EX182" i="10"/>
  <c r="EY182" i="10"/>
  <c r="IV182" i="10"/>
  <c r="IT182" i="10"/>
  <c r="JB182" i="10"/>
  <c r="LH182" i="10"/>
  <c r="GK182" i="10"/>
  <c r="CQ182" i="10"/>
  <c r="IN183" i="10"/>
  <c r="JA183" i="10"/>
  <c r="EO183" i="10"/>
  <c r="EP183" i="10"/>
  <c r="EQ183" i="10"/>
  <c r="ER183" i="10"/>
  <c r="ES183" i="10"/>
  <c r="ET183" i="10"/>
  <c r="EU183" i="10"/>
  <c r="EV183" i="10"/>
  <c r="EW183" i="10"/>
  <c r="IU183" i="10"/>
  <c r="IZ183" i="10"/>
  <c r="EZ183" i="10"/>
  <c r="FA183" i="10"/>
  <c r="FB183" i="10"/>
  <c r="IW183" i="10"/>
  <c r="EX183" i="10"/>
  <c r="EY183" i="10"/>
  <c r="IV183" i="10"/>
  <c r="IT183" i="10"/>
  <c r="JB183" i="10"/>
  <c r="LH183" i="10"/>
  <c r="GK183" i="10"/>
  <c r="IN184" i="10"/>
  <c r="JA184" i="10"/>
  <c r="EO184" i="10"/>
  <c r="EP184" i="10"/>
  <c r="EQ184" i="10"/>
  <c r="ER184" i="10"/>
  <c r="ES184" i="10"/>
  <c r="ET184" i="10"/>
  <c r="EU184" i="10"/>
  <c r="EV184" i="10"/>
  <c r="EW184" i="10"/>
  <c r="IU184" i="10"/>
  <c r="IZ184" i="10"/>
  <c r="EZ184" i="10"/>
  <c r="FA184" i="10"/>
  <c r="FB184" i="10"/>
  <c r="IW184" i="10"/>
  <c r="EX184" i="10"/>
  <c r="EY184" i="10"/>
  <c r="IV184" i="10"/>
  <c r="IT184" i="10"/>
  <c r="JB184" i="10"/>
  <c r="LH184" i="10"/>
  <c r="GK184" i="10"/>
  <c r="IN185" i="10"/>
  <c r="JA185" i="10"/>
  <c r="EO185" i="10"/>
  <c r="EP185" i="10"/>
  <c r="EQ185" i="10"/>
  <c r="ER185" i="10"/>
  <c r="ES185" i="10"/>
  <c r="ET185" i="10"/>
  <c r="EU185" i="10"/>
  <c r="EV185" i="10"/>
  <c r="EW185" i="10"/>
  <c r="IU185" i="10"/>
  <c r="IZ185" i="10"/>
  <c r="EZ185" i="10"/>
  <c r="FA185" i="10"/>
  <c r="FB185" i="10"/>
  <c r="IW185" i="10"/>
  <c r="EX185" i="10"/>
  <c r="EY185" i="10"/>
  <c r="IV185" i="10"/>
  <c r="IT185" i="10"/>
  <c r="JB185" i="10"/>
  <c r="LH185" i="10"/>
  <c r="GK185" i="10"/>
  <c r="CQ185" i="10"/>
  <c r="IN186" i="10"/>
  <c r="JA186" i="10"/>
  <c r="EO186" i="10"/>
  <c r="EP186" i="10"/>
  <c r="EQ186" i="10"/>
  <c r="ER186" i="10"/>
  <c r="ES186" i="10"/>
  <c r="ET186" i="10"/>
  <c r="EU186" i="10"/>
  <c r="EV186" i="10"/>
  <c r="EW186" i="10"/>
  <c r="IU186" i="10"/>
  <c r="IZ186" i="10"/>
  <c r="EZ186" i="10"/>
  <c r="FA186" i="10"/>
  <c r="FB186" i="10"/>
  <c r="IW186" i="10"/>
  <c r="EX186" i="10"/>
  <c r="EY186" i="10"/>
  <c r="IV186" i="10"/>
  <c r="IT186" i="10"/>
  <c r="JB186" i="10"/>
  <c r="LH186" i="10"/>
  <c r="GK186" i="10"/>
  <c r="CQ186" i="10"/>
  <c r="IN187" i="10"/>
  <c r="JA187" i="10"/>
  <c r="EO187" i="10"/>
  <c r="EP187" i="10"/>
  <c r="EQ187" i="10"/>
  <c r="ER187" i="10"/>
  <c r="ES187" i="10"/>
  <c r="ET187" i="10"/>
  <c r="EU187" i="10"/>
  <c r="EV187" i="10"/>
  <c r="EW187" i="10"/>
  <c r="IU187" i="10"/>
  <c r="IZ187" i="10"/>
  <c r="EZ187" i="10"/>
  <c r="FA187" i="10"/>
  <c r="FB187" i="10"/>
  <c r="IW187" i="10"/>
  <c r="EX187" i="10"/>
  <c r="EY187" i="10"/>
  <c r="IV187" i="10"/>
  <c r="IT187" i="10"/>
  <c r="JB187" i="10"/>
  <c r="LH187" i="10"/>
  <c r="GK187" i="10"/>
  <c r="IN188" i="10"/>
  <c r="JA188" i="10"/>
  <c r="EO188" i="10"/>
  <c r="EP188" i="10"/>
  <c r="EQ188" i="10"/>
  <c r="ER188" i="10"/>
  <c r="ES188" i="10"/>
  <c r="ET188" i="10"/>
  <c r="EU188" i="10"/>
  <c r="EV188" i="10"/>
  <c r="EW188" i="10"/>
  <c r="IU188" i="10"/>
  <c r="IZ188" i="10"/>
  <c r="EZ188" i="10"/>
  <c r="FA188" i="10"/>
  <c r="FB188" i="10"/>
  <c r="IW188" i="10"/>
  <c r="EX188" i="10"/>
  <c r="EY188" i="10"/>
  <c r="IV188" i="10"/>
  <c r="IT188" i="10"/>
  <c r="JB188" i="10"/>
  <c r="LH188" i="10"/>
  <c r="GK188" i="10"/>
  <c r="CQ188" i="10"/>
  <c r="IN189" i="10"/>
  <c r="JA189" i="10"/>
  <c r="EO189" i="10"/>
  <c r="EP189" i="10"/>
  <c r="EQ189" i="10"/>
  <c r="ER189" i="10"/>
  <c r="ES189" i="10"/>
  <c r="ET189" i="10"/>
  <c r="EU189" i="10"/>
  <c r="EV189" i="10"/>
  <c r="EW189" i="10"/>
  <c r="IU189" i="10"/>
  <c r="IZ189" i="10"/>
  <c r="EZ189" i="10"/>
  <c r="FA189" i="10"/>
  <c r="FB189" i="10"/>
  <c r="IW189" i="10"/>
  <c r="EX189" i="10"/>
  <c r="EY189" i="10"/>
  <c r="IV189" i="10"/>
  <c r="IT189" i="10"/>
  <c r="JB189" i="10"/>
  <c r="LH189" i="10"/>
  <c r="GK189" i="10"/>
  <c r="IN190" i="10"/>
  <c r="JA190" i="10"/>
  <c r="EO190" i="10"/>
  <c r="EP190" i="10"/>
  <c r="EQ190" i="10"/>
  <c r="ER190" i="10"/>
  <c r="ES190" i="10"/>
  <c r="ET190" i="10"/>
  <c r="EU190" i="10"/>
  <c r="EV190" i="10"/>
  <c r="EW190" i="10"/>
  <c r="IU190" i="10"/>
  <c r="IZ190" i="10"/>
  <c r="EZ190" i="10"/>
  <c r="FA190" i="10"/>
  <c r="FB190" i="10"/>
  <c r="IW190" i="10"/>
  <c r="EX190" i="10"/>
  <c r="EY190" i="10"/>
  <c r="IV190" i="10"/>
  <c r="IT190" i="10"/>
  <c r="JB190" i="10"/>
  <c r="LH190" i="10"/>
  <c r="GK190" i="10"/>
  <c r="CQ190" i="10"/>
  <c r="IN191" i="10"/>
  <c r="JA191" i="10"/>
  <c r="EO191" i="10"/>
  <c r="EP191" i="10"/>
  <c r="EQ191" i="10"/>
  <c r="ER191" i="10"/>
  <c r="ES191" i="10"/>
  <c r="ET191" i="10"/>
  <c r="EU191" i="10"/>
  <c r="EV191" i="10"/>
  <c r="EW191" i="10"/>
  <c r="IU191" i="10"/>
  <c r="IZ191" i="10"/>
  <c r="EZ191" i="10"/>
  <c r="FA191" i="10"/>
  <c r="FB191" i="10"/>
  <c r="IW191" i="10"/>
  <c r="EX191" i="10"/>
  <c r="EY191" i="10"/>
  <c r="IV191" i="10"/>
  <c r="IT191" i="10"/>
  <c r="JB191" i="10"/>
  <c r="LH191" i="10"/>
  <c r="GK191" i="10"/>
  <c r="CQ191" i="10"/>
  <c r="IN192" i="10"/>
  <c r="JA192" i="10"/>
  <c r="EO192" i="10"/>
  <c r="EP192" i="10"/>
  <c r="EQ192" i="10"/>
  <c r="ER192" i="10"/>
  <c r="ES192" i="10"/>
  <c r="ET192" i="10"/>
  <c r="EU192" i="10"/>
  <c r="EV192" i="10"/>
  <c r="EW192" i="10"/>
  <c r="IU192" i="10"/>
  <c r="IZ192" i="10"/>
  <c r="EZ192" i="10"/>
  <c r="FA192" i="10"/>
  <c r="FB192" i="10"/>
  <c r="IW192" i="10"/>
  <c r="EX192" i="10"/>
  <c r="EY192" i="10"/>
  <c r="IV192" i="10"/>
  <c r="IT192" i="10"/>
  <c r="JB192" i="10"/>
  <c r="LH192" i="10"/>
  <c r="GK192" i="10"/>
  <c r="IN193" i="10"/>
  <c r="JA193" i="10"/>
  <c r="EO193" i="10"/>
  <c r="EP193" i="10"/>
  <c r="EQ193" i="10"/>
  <c r="ER193" i="10"/>
  <c r="ES193" i="10"/>
  <c r="ET193" i="10"/>
  <c r="EU193" i="10"/>
  <c r="EV193" i="10"/>
  <c r="EW193" i="10"/>
  <c r="IU193" i="10"/>
  <c r="IZ193" i="10"/>
  <c r="EZ193" i="10"/>
  <c r="FA193" i="10"/>
  <c r="FB193" i="10"/>
  <c r="IW193" i="10"/>
  <c r="EX193" i="10"/>
  <c r="EY193" i="10"/>
  <c r="IV193" i="10"/>
  <c r="IT193" i="10"/>
  <c r="JB193" i="10"/>
  <c r="LH193" i="10"/>
  <c r="GK193" i="10"/>
  <c r="CQ193" i="10"/>
  <c r="IN194" i="10"/>
  <c r="JA194" i="10"/>
  <c r="EO194" i="10"/>
  <c r="EP194" i="10"/>
  <c r="EQ194" i="10"/>
  <c r="ER194" i="10"/>
  <c r="ES194" i="10"/>
  <c r="ET194" i="10"/>
  <c r="EU194" i="10"/>
  <c r="EV194" i="10"/>
  <c r="EW194" i="10"/>
  <c r="IU194" i="10"/>
  <c r="IZ194" i="10"/>
  <c r="EZ194" i="10"/>
  <c r="FA194" i="10"/>
  <c r="FB194" i="10"/>
  <c r="IW194" i="10"/>
  <c r="EX194" i="10"/>
  <c r="EY194" i="10"/>
  <c r="IV194" i="10"/>
  <c r="IT194" i="10"/>
  <c r="JB194" i="10"/>
  <c r="LH194" i="10"/>
  <c r="GK194" i="10"/>
  <c r="IN195" i="10"/>
  <c r="JA195" i="10"/>
  <c r="EO195" i="10"/>
  <c r="EP195" i="10"/>
  <c r="EQ195" i="10"/>
  <c r="ER195" i="10"/>
  <c r="ES195" i="10"/>
  <c r="ET195" i="10"/>
  <c r="EU195" i="10"/>
  <c r="EV195" i="10"/>
  <c r="EW195" i="10"/>
  <c r="IU195" i="10"/>
  <c r="IZ195" i="10"/>
  <c r="EZ195" i="10"/>
  <c r="FA195" i="10"/>
  <c r="FB195" i="10"/>
  <c r="IW195" i="10"/>
  <c r="EX195" i="10"/>
  <c r="EY195" i="10"/>
  <c r="IV195" i="10"/>
  <c r="IT195" i="10"/>
  <c r="JB195" i="10"/>
  <c r="LH195" i="10"/>
  <c r="GK195" i="10"/>
  <c r="IN196" i="10"/>
  <c r="JA196" i="10"/>
  <c r="EO196" i="10"/>
  <c r="EP196" i="10"/>
  <c r="EQ196" i="10"/>
  <c r="ER196" i="10"/>
  <c r="ES196" i="10"/>
  <c r="ET196" i="10"/>
  <c r="EU196" i="10"/>
  <c r="EV196" i="10"/>
  <c r="EW196" i="10"/>
  <c r="IU196" i="10"/>
  <c r="IZ196" i="10"/>
  <c r="EZ196" i="10"/>
  <c r="FA196" i="10"/>
  <c r="FB196" i="10"/>
  <c r="IW196" i="10"/>
  <c r="EX196" i="10"/>
  <c r="EY196" i="10"/>
  <c r="IV196" i="10"/>
  <c r="IT196" i="10"/>
  <c r="JB196" i="10"/>
  <c r="LH196" i="10"/>
  <c r="GK196" i="10"/>
  <c r="IN197" i="10"/>
  <c r="JA197" i="10"/>
  <c r="EO197" i="10"/>
  <c r="EP197" i="10"/>
  <c r="EQ197" i="10"/>
  <c r="ER197" i="10"/>
  <c r="ES197" i="10"/>
  <c r="ET197" i="10"/>
  <c r="EU197" i="10"/>
  <c r="EV197" i="10"/>
  <c r="EW197" i="10"/>
  <c r="IU197" i="10"/>
  <c r="IZ197" i="10"/>
  <c r="EZ197" i="10"/>
  <c r="FA197" i="10"/>
  <c r="FB197" i="10"/>
  <c r="IW197" i="10"/>
  <c r="EX197" i="10"/>
  <c r="EY197" i="10"/>
  <c r="IV197" i="10"/>
  <c r="IT197" i="10"/>
  <c r="JB197" i="10"/>
  <c r="LH197" i="10"/>
  <c r="GK197" i="10"/>
  <c r="CQ197" i="10"/>
  <c r="IN198" i="10"/>
  <c r="JA198" i="10"/>
  <c r="EO198" i="10"/>
  <c r="EP198" i="10"/>
  <c r="EQ198" i="10"/>
  <c r="ER198" i="10"/>
  <c r="ES198" i="10"/>
  <c r="ET198" i="10"/>
  <c r="EU198" i="10"/>
  <c r="EV198" i="10"/>
  <c r="EW198" i="10"/>
  <c r="IU198" i="10"/>
  <c r="IZ198" i="10"/>
  <c r="EZ198" i="10"/>
  <c r="FA198" i="10"/>
  <c r="FB198" i="10"/>
  <c r="IW198" i="10"/>
  <c r="EX198" i="10"/>
  <c r="EY198" i="10"/>
  <c r="IV198" i="10"/>
  <c r="IT198" i="10"/>
  <c r="JB198" i="10"/>
  <c r="LH198" i="10"/>
  <c r="GK198" i="10"/>
  <c r="CQ198" i="10"/>
  <c r="IN199" i="10"/>
  <c r="JA199" i="10"/>
  <c r="EO199" i="10"/>
  <c r="EP199" i="10"/>
  <c r="EQ199" i="10"/>
  <c r="ER199" i="10"/>
  <c r="ES199" i="10"/>
  <c r="ET199" i="10"/>
  <c r="EU199" i="10"/>
  <c r="EV199" i="10"/>
  <c r="EW199" i="10"/>
  <c r="IU199" i="10"/>
  <c r="IZ199" i="10"/>
  <c r="EZ199" i="10"/>
  <c r="FA199" i="10"/>
  <c r="FB199" i="10"/>
  <c r="IW199" i="10"/>
  <c r="EX199" i="10"/>
  <c r="EY199" i="10"/>
  <c r="IV199" i="10"/>
  <c r="IT199" i="10"/>
  <c r="JB199" i="10"/>
  <c r="LH199" i="10"/>
  <c r="GK199" i="10"/>
  <c r="IN200" i="10"/>
  <c r="JA200" i="10"/>
  <c r="EO200" i="10"/>
  <c r="EP200" i="10"/>
  <c r="EQ200" i="10"/>
  <c r="ER200" i="10"/>
  <c r="ES200" i="10"/>
  <c r="ET200" i="10"/>
  <c r="EU200" i="10"/>
  <c r="EV200" i="10"/>
  <c r="EW200" i="10"/>
  <c r="IU200" i="10"/>
  <c r="IZ200" i="10"/>
  <c r="EZ200" i="10"/>
  <c r="FA200" i="10"/>
  <c r="FB200" i="10"/>
  <c r="IW200" i="10"/>
  <c r="EX200" i="10"/>
  <c r="EY200" i="10"/>
  <c r="IV200" i="10"/>
  <c r="IT200" i="10"/>
  <c r="JB200" i="10"/>
  <c r="LH200" i="10"/>
  <c r="GK200" i="10"/>
  <c r="IN201" i="10"/>
  <c r="JA201" i="10"/>
  <c r="EO201" i="10"/>
  <c r="EP201" i="10"/>
  <c r="EQ201" i="10"/>
  <c r="ER201" i="10"/>
  <c r="ES201" i="10"/>
  <c r="ET201" i="10"/>
  <c r="EU201" i="10"/>
  <c r="EV201" i="10"/>
  <c r="EW201" i="10"/>
  <c r="IU201" i="10"/>
  <c r="IZ201" i="10"/>
  <c r="EZ201" i="10"/>
  <c r="FA201" i="10"/>
  <c r="FB201" i="10"/>
  <c r="IW201" i="10"/>
  <c r="EX201" i="10"/>
  <c r="EY201" i="10"/>
  <c r="IV201" i="10"/>
  <c r="IT201" i="10"/>
  <c r="JB201" i="10"/>
  <c r="LH201" i="10"/>
  <c r="GK201" i="10"/>
  <c r="IN202" i="10"/>
  <c r="JA202" i="10"/>
  <c r="EO202" i="10"/>
  <c r="EP202" i="10"/>
  <c r="EQ202" i="10"/>
  <c r="ER202" i="10"/>
  <c r="ES202" i="10"/>
  <c r="ET202" i="10"/>
  <c r="EU202" i="10"/>
  <c r="EV202" i="10"/>
  <c r="EW202" i="10"/>
  <c r="IU202" i="10"/>
  <c r="IZ202" i="10"/>
  <c r="EZ202" i="10"/>
  <c r="FA202" i="10"/>
  <c r="FB202" i="10"/>
  <c r="IW202" i="10"/>
  <c r="EX202" i="10"/>
  <c r="EY202" i="10"/>
  <c r="IV202" i="10"/>
  <c r="IT202" i="10"/>
  <c r="JB202" i="10"/>
  <c r="LH202" i="10"/>
  <c r="GK202" i="10"/>
  <c r="IN203" i="10"/>
  <c r="JA203" i="10"/>
  <c r="EO203" i="10"/>
  <c r="EP203" i="10"/>
  <c r="EQ203" i="10"/>
  <c r="ER203" i="10"/>
  <c r="ES203" i="10"/>
  <c r="ET203" i="10"/>
  <c r="EU203" i="10"/>
  <c r="EV203" i="10"/>
  <c r="EW203" i="10"/>
  <c r="IU203" i="10"/>
  <c r="IZ203" i="10"/>
  <c r="EZ203" i="10"/>
  <c r="FA203" i="10"/>
  <c r="FB203" i="10"/>
  <c r="IW203" i="10"/>
  <c r="EX203" i="10"/>
  <c r="EY203" i="10"/>
  <c r="IV203" i="10"/>
  <c r="IT203" i="10"/>
  <c r="JB203" i="10"/>
  <c r="LH203" i="10"/>
  <c r="GK203" i="10"/>
  <c r="IN204" i="10"/>
  <c r="JA204" i="10"/>
  <c r="EO204" i="10"/>
  <c r="EP204" i="10"/>
  <c r="EQ204" i="10"/>
  <c r="ER204" i="10"/>
  <c r="ES204" i="10"/>
  <c r="ET204" i="10"/>
  <c r="EU204" i="10"/>
  <c r="EV204" i="10"/>
  <c r="EW204" i="10"/>
  <c r="IU204" i="10"/>
  <c r="IZ204" i="10"/>
  <c r="EZ204" i="10"/>
  <c r="FA204" i="10"/>
  <c r="FB204" i="10"/>
  <c r="IW204" i="10"/>
  <c r="EX204" i="10"/>
  <c r="EY204" i="10"/>
  <c r="IV204" i="10"/>
  <c r="IT204" i="10"/>
  <c r="JB204" i="10"/>
  <c r="LH204" i="10"/>
  <c r="GK204" i="10"/>
  <c r="CQ204" i="10"/>
  <c r="IN205" i="10"/>
  <c r="JA205" i="10"/>
  <c r="EO205" i="10"/>
  <c r="EP205" i="10"/>
  <c r="EQ205" i="10"/>
  <c r="ER205" i="10"/>
  <c r="ES205" i="10"/>
  <c r="ET205" i="10"/>
  <c r="EU205" i="10"/>
  <c r="EV205" i="10"/>
  <c r="EW205" i="10"/>
  <c r="IU205" i="10"/>
  <c r="IZ205" i="10"/>
  <c r="EZ205" i="10"/>
  <c r="FA205" i="10"/>
  <c r="FB205" i="10"/>
  <c r="IW205" i="10"/>
  <c r="EX205" i="10"/>
  <c r="EY205" i="10"/>
  <c r="IV205" i="10"/>
  <c r="IT205" i="10"/>
  <c r="JB205" i="10"/>
  <c r="LH205" i="10"/>
  <c r="GK205" i="10"/>
  <c r="CQ205" i="10"/>
  <c r="IN206" i="10"/>
  <c r="JA206" i="10"/>
  <c r="EO206" i="10"/>
  <c r="EP206" i="10"/>
  <c r="EQ206" i="10"/>
  <c r="ER206" i="10"/>
  <c r="ES206" i="10"/>
  <c r="ET206" i="10"/>
  <c r="EU206" i="10"/>
  <c r="EV206" i="10"/>
  <c r="EW206" i="10"/>
  <c r="IU206" i="10"/>
  <c r="IZ206" i="10"/>
  <c r="EZ206" i="10"/>
  <c r="FA206" i="10"/>
  <c r="FB206" i="10"/>
  <c r="IW206" i="10"/>
  <c r="EX206" i="10"/>
  <c r="EY206" i="10"/>
  <c r="IV206" i="10"/>
  <c r="IT206" i="10"/>
  <c r="JB206" i="10"/>
  <c r="LH206" i="10"/>
  <c r="GK206" i="10"/>
  <c r="IN207" i="10"/>
  <c r="JA207" i="10"/>
  <c r="EO207" i="10"/>
  <c r="EP207" i="10"/>
  <c r="EQ207" i="10"/>
  <c r="ER207" i="10"/>
  <c r="ES207" i="10"/>
  <c r="ET207" i="10"/>
  <c r="EU207" i="10"/>
  <c r="EV207" i="10"/>
  <c r="EW207" i="10"/>
  <c r="IU207" i="10"/>
  <c r="IZ207" i="10"/>
  <c r="EZ207" i="10"/>
  <c r="FA207" i="10"/>
  <c r="FB207" i="10"/>
  <c r="IW207" i="10"/>
  <c r="EX207" i="10"/>
  <c r="EY207" i="10"/>
  <c r="IV207" i="10"/>
  <c r="IT207" i="10"/>
  <c r="JB207" i="10"/>
  <c r="LH207" i="10"/>
  <c r="GK207" i="10"/>
  <c r="IN208" i="10"/>
  <c r="JA208" i="10"/>
  <c r="EO208" i="10"/>
  <c r="EP208" i="10"/>
  <c r="EQ208" i="10"/>
  <c r="ER208" i="10"/>
  <c r="ES208" i="10"/>
  <c r="ET208" i="10"/>
  <c r="EU208" i="10"/>
  <c r="EV208" i="10"/>
  <c r="EW208" i="10"/>
  <c r="IU208" i="10"/>
  <c r="IZ208" i="10"/>
  <c r="EZ208" i="10"/>
  <c r="FA208" i="10"/>
  <c r="FB208" i="10"/>
  <c r="IW208" i="10"/>
  <c r="EX208" i="10"/>
  <c r="EY208" i="10"/>
  <c r="IV208" i="10"/>
  <c r="IT208" i="10"/>
  <c r="JB208" i="10"/>
  <c r="LH208" i="10"/>
  <c r="GK208" i="10"/>
  <c r="CQ208" i="10"/>
  <c r="IN209" i="10"/>
  <c r="JA209" i="10"/>
  <c r="EO209" i="10"/>
  <c r="EP209" i="10"/>
  <c r="EQ209" i="10"/>
  <c r="ER209" i="10"/>
  <c r="ES209" i="10"/>
  <c r="ET209" i="10"/>
  <c r="EU209" i="10"/>
  <c r="EV209" i="10"/>
  <c r="EW209" i="10"/>
  <c r="IU209" i="10"/>
  <c r="IZ209" i="10"/>
  <c r="EZ209" i="10"/>
  <c r="FA209" i="10"/>
  <c r="FB209" i="10"/>
  <c r="IW209" i="10"/>
  <c r="EX209" i="10"/>
  <c r="EY209" i="10"/>
  <c r="IV209" i="10"/>
  <c r="IT209" i="10"/>
  <c r="JB209" i="10"/>
  <c r="LH209" i="10"/>
  <c r="GK209" i="10"/>
  <c r="CQ209" i="10"/>
  <c r="IN210" i="10"/>
  <c r="JA210" i="10"/>
  <c r="EO210" i="10"/>
  <c r="EP210" i="10"/>
  <c r="EQ210" i="10"/>
  <c r="ER210" i="10"/>
  <c r="ES210" i="10"/>
  <c r="ET210" i="10"/>
  <c r="EU210" i="10"/>
  <c r="EV210" i="10"/>
  <c r="EW210" i="10"/>
  <c r="IU210" i="10"/>
  <c r="IZ210" i="10"/>
  <c r="EZ210" i="10"/>
  <c r="FA210" i="10"/>
  <c r="FB210" i="10"/>
  <c r="IW210" i="10"/>
  <c r="EX210" i="10"/>
  <c r="EY210" i="10"/>
  <c r="IV210" i="10"/>
  <c r="IT210" i="10"/>
  <c r="JB210" i="10"/>
  <c r="LH210" i="10"/>
  <c r="GK210" i="10"/>
  <c r="CQ210" i="10"/>
  <c r="IN211" i="10"/>
  <c r="JA211" i="10"/>
  <c r="EO211" i="10"/>
  <c r="EP211" i="10"/>
  <c r="EQ211" i="10"/>
  <c r="ER211" i="10"/>
  <c r="ES211" i="10"/>
  <c r="ET211" i="10"/>
  <c r="EU211" i="10"/>
  <c r="EV211" i="10"/>
  <c r="EW211" i="10"/>
  <c r="IU211" i="10"/>
  <c r="IZ211" i="10"/>
  <c r="EZ211" i="10"/>
  <c r="FA211" i="10"/>
  <c r="FB211" i="10"/>
  <c r="IW211" i="10"/>
  <c r="EX211" i="10"/>
  <c r="EY211" i="10"/>
  <c r="IV211" i="10"/>
  <c r="IT211" i="10"/>
  <c r="JB211" i="10"/>
  <c r="LH211" i="10"/>
  <c r="GK211" i="10"/>
  <c r="IN212" i="10"/>
  <c r="JA212" i="10"/>
  <c r="EO212" i="10"/>
  <c r="EP212" i="10"/>
  <c r="EQ212" i="10"/>
  <c r="ER212" i="10"/>
  <c r="ES212" i="10"/>
  <c r="ET212" i="10"/>
  <c r="EU212" i="10"/>
  <c r="EV212" i="10"/>
  <c r="EW212" i="10"/>
  <c r="IU212" i="10"/>
  <c r="IZ212" i="10"/>
  <c r="EZ212" i="10"/>
  <c r="FA212" i="10"/>
  <c r="FB212" i="10"/>
  <c r="IW212" i="10"/>
  <c r="EX212" i="10"/>
  <c r="EY212" i="10"/>
  <c r="IV212" i="10"/>
  <c r="IT212" i="10"/>
  <c r="JB212" i="10"/>
  <c r="LH212" i="10"/>
  <c r="GK212" i="10"/>
  <c r="IN213" i="10"/>
  <c r="JA213" i="10"/>
  <c r="EO213" i="10"/>
  <c r="EP213" i="10"/>
  <c r="EQ213" i="10"/>
  <c r="ER213" i="10"/>
  <c r="ES213" i="10"/>
  <c r="ET213" i="10"/>
  <c r="EU213" i="10"/>
  <c r="EV213" i="10"/>
  <c r="EW213" i="10"/>
  <c r="IU213" i="10"/>
  <c r="IZ213" i="10"/>
  <c r="EZ213" i="10"/>
  <c r="FA213" i="10"/>
  <c r="FB213" i="10"/>
  <c r="IW213" i="10"/>
  <c r="EX213" i="10"/>
  <c r="EY213" i="10"/>
  <c r="IV213" i="10"/>
  <c r="IT213" i="10"/>
  <c r="JB213" i="10"/>
  <c r="LH213" i="10"/>
  <c r="GK213" i="10"/>
  <c r="CQ213" i="10"/>
  <c r="IN214" i="10"/>
  <c r="JA214" i="10"/>
  <c r="EO214" i="10"/>
  <c r="EP214" i="10"/>
  <c r="EQ214" i="10"/>
  <c r="ER214" i="10"/>
  <c r="ES214" i="10"/>
  <c r="ET214" i="10"/>
  <c r="EU214" i="10"/>
  <c r="EV214" i="10"/>
  <c r="EW214" i="10"/>
  <c r="IU214" i="10"/>
  <c r="IZ214" i="10"/>
  <c r="EZ214" i="10"/>
  <c r="FA214" i="10"/>
  <c r="FB214" i="10"/>
  <c r="IW214" i="10"/>
  <c r="EX214" i="10"/>
  <c r="EY214" i="10"/>
  <c r="IV214" i="10"/>
  <c r="IT214" i="10"/>
  <c r="JB214" i="10"/>
  <c r="LH214" i="10"/>
  <c r="GK214" i="10"/>
  <c r="IN215" i="10"/>
  <c r="JA215" i="10"/>
  <c r="EO215" i="10"/>
  <c r="EP215" i="10"/>
  <c r="EQ215" i="10"/>
  <c r="ER215" i="10"/>
  <c r="ES215" i="10"/>
  <c r="ET215" i="10"/>
  <c r="EU215" i="10"/>
  <c r="EV215" i="10"/>
  <c r="EW215" i="10"/>
  <c r="IU215" i="10"/>
  <c r="IZ215" i="10"/>
  <c r="EZ215" i="10"/>
  <c r="FA215" i="10"/>
  <c r="FB215" i="10"/>
  <c r="IW215" i="10"/>
  <c r="EX215" i="10"/>
  <c r="EY215" i="10"/>
  <c r="IV215" i="10"/>
  <c r="IT215" i="10"/>
  <c r="JB215" i="10"/>
  <c r="LH215" i="10"/>
  <c r="GK215" i="10"/>
  <c r="CQ215" i="10"/>
  <c r="IN216" i="10"/>
  <c r="JA216" i="10"/>
  <c r="EO216" i="10"/>
  <c r="EP216" i="10"/>
  <c r="EQ216" i="10"/>
  <c r="ER216" i="10"/>
  <c r="ES216" i="10"/>
  <c r="ET216" i="10"/>
  <c r="EU216" i="10"/>
  <c r="EV216" i="10"/>
  <c r="EW216" i="10"/>
  <c r="IU216" i="10"/>
  <c r="IZ216" i="10"/>
  <c r="EZ216" i="10"/>
  <c r="FA216" i="10"/>
  <c r="FB216" i="10"/>
  <c r="IW216" i="10"/>
  <c r="EX216" i="10"/>
  <c r="EY216" i="10"/>
  <c r="IV216" i="10"/>
  <c r="IT216" i="10"/>
  <c r="JB216" i="10"/>
  <c r="LH216" i="10"/>
  <c r="GK216" i="10"/>
  <c r="CQ216" i="10"/>
  <c r="IN217" i="10"/>
  <c r="JA217" i="10"/>
  <c r="EO217" i="10"/>
  <c r="EP217" i="10"/>
  <c r="EQ217" i="10"/>
  <c r="ER217" i="10"/>
  <c r="ES217" i="10"/>
  <c r="ET217" i="10"/>
  <c r="EU217" i="10"/>
  <c r="EV217" i="10"/>
  <c r="EW217" i="10"/>
  <c r="IU217" i="10"/>
  <c r="IZ217" i="10"/>
  <c r="EZ217" i="10"/>
  <c r="FA217" i="10"/>
  <c r="FB217" i="10"/>
  <c r="IW217" i="10"/>
  <c r="EX217" i="10"/>
  <c r="EY217" i="10"/>
  <c r="IV217" i="10"/>
  <c r="IT217" i="10"/>
  <c r="JB217" i="10"/>
  <c r="LH217" i="10"/>
  <c r="GK217" i="10"/>
  <c r="IN218" i="10"/>
  <c r="JA218" i="10"/>
  <c r="EO218" i="10"/>
  <c r="EP218" i="10"/>
  <c r="EQ218" i="10"/>
  <c r="ER218" i="10"/>
  <c r="ES218" i="10"/>
  <c r="ET218" i="10"/>
  <c r="EU218" i="10"/>
  <c r="EV218" i="10"/>
  <c r="EW218" i="10"/>
  <c r="IU218" i="10"/>
  <c r="IZ218" i="10"/>
  <c r="EZ218" i="10"/>
  <c r="FA218" i="10"/>
  <c r="FB218" i="10"/>
  <c r="IW218" i="10"/>
  <c r="EX218" i="10"/>
  <c r="EY218" i="10"/>
  <c r="IV218" i="10"/>
  <c r="IT218" i="10"/>
  <c r="JB218" i="10"/>
  <c r="LH218" i="10"/>
  <c r="GK218" i="10"/>
  <c r="CQ218" i="10"/>
  <c r="CF218" i="10"/>
  <c r="CW218" i="10"/>
  <c r="IN219" i="10"/>
  <c r="JA219" i="10"/>
  <c r="EO219" i="10"/>
  <c r="EP219" i="10"/>
  <c r="EQ219" i="10"/>
  <c r="ER219" i="10"/>
  <c r="ES219" i="10"/>
  <c r="ET219" i="10"/>
  <c r="EU219" i="10"/>
  <c r="EV219" i="10"/>
  <c r="EW219" i="10"/>
  <c r="IU219" i="10"/>
  <c r="IZ219" i="10"/>
  <c r="EZ219" i="10"/>
  <c r="FA219" i="10"/>
  <c r="FB219" i="10"/>
  <c r="IW219" i="10"/>
  <c r="EX219" i="10"/>
  <c r="EY219" i="10"/>
  <c r="IV219" i="10"/>
  <c r="IT219" i="10"/>
  <c r="JB219" i="10"/>
  <c r="LH219" i="10"/>
  <c r="GK219" i="10"/>
  <c r="IN220" i="10"/>
  <c r="JA220" i="10"/>
  <c r="EO220" i="10"/>
  <c r="EP220" i="10"/>
  <c r="EQ220" i="10"/>
  <c r="ER220" i="10"/>
  <c r="ES220" i="10"/>
  <c r="ET220" i="10"/>
  <c r="EU220" i="10"/>
  <c r="EV220" i="10"/>
  <c r="EW220" i="10"/>
  <c r="IU220" i="10"/>
  <c r="IZ220" i="10"/>
  <c r="EZ220" i="10"/>
  <c r="FA220" i="10"/>
  <c r="FB220" i="10"/>
  <c r="IW220" i="10"/>
  <c r="EX220" i="10"/>
  <c r="EY220" i="10"/>
  <c r="IV220" i="10"/>
  <c r="IT220" i="10"/>
  <c r="JB220" i="10"/>
  <c r="LH220" i="10"/>
  <c r="GK220" i="10"/>
  <c r="IN221" i="10"/>
  <c r="JA221" i="10"/>
  <c r="EO221" i="10"/>
  <c r="EP221" i="10"/>
  <c r="EQ221" i="10"/>
  <c r="ER221" i="10"/>
  <c r="ES221" i="10"/>
  <c r="ET221" i="10"/>
  <c r="EU221" i="10"/>
  <c r="EV221" i="10"/>
  <c r="EW221" i="10"/>
  <c r="IU221" i="10"/>
  <c r="IZ221" i="10"/>
  <c r="EZ221" i="10"/>
  <c r="FA221" i="10"/>
  <c r="FB221" i="10"/>
  <c r="IW221" i="10"/>
  <c r="EX221" i="10"/>
  <c r="EY221" i="10"/>
  <c r="IV221" i="10"/>
  <c r="IT221" i="10"/>
  <c r="JB221" i="10"/>
  <c r="LH221" i="10"/>
  <c r="GK221" i="10"/>
  <c r="CQ221" i="10"/>
  <c r="IN222" i="10"/>
  <c r="JA222" i="10"/>
  <c r="EO222" i="10"/>
  <c r="EP222" i="10"/>
  <c r="EQ222" i="10"/>
  <c r="ER222" i="10"/>
  <c r="ES222" i="10"/>
  <c r="ET222" i="10"/>
  <c r="EU222" i="10"/>
  <c r="EV222" i="10"/>
  <c r="EW222" i="10"/>
  <c r="IU222" i="10"/>
  <c r="IZ222" i="10"/>
  <c r="EZ222" i="10"/>
  <c r="FA222" i="10"/>
  <c r="FB222" i="10"/>
  <c r="IW222" i="10"/>
  <c r="EX222" i="10"/>
  <c r="EY222" i="10"/>
  <c r="IV222" i="10"/>
  <c r="IT222" i="10"/>
  <c r="JB222" i="10"/>
  <c r="LH222" i="10"/>
  <c r="GK222" i="10"/>
  <c r="IN223" i="10"/>
  <c r="JA223" i="10"/>
  <c r="EO223" i="10"/>
  <c r="EP223" i="10"/>
  <c r="EQ223" i="10"/>
  <c r="ER223" i="10"/>
  <c r="ES223" i="10"/>
  <c r="ET223" i="10"/>
  <c r="EU223" i="10"/>
  <c r="EV223" i="10"/>
  <c r="EW223" i="10"/>
  <c r="IU223" i="10"/>
  <c r="IZ223" i="10"/>
  <c r="EZ223" i="10"/>
  <c r="FA223" i="10"/>
  <c r="FB223" i="10"/>
  <c r="IW223" i="10"/>
  <c r="EX223" i="10"/>
  <c r="EY223" i="10"/>
  <c r="IV223" i="10"/>
  <c r="IT223" i="10"/>
  <c r="JB223" i="10"/>
  <c r="LH223" i="10"/>
  <c r="GK223" i="10"/>
  <c r="CQ223" i="10"/>
  <c r="CF223" i="10"/>
  <c r="CW223" i="10"/>
  <c r="IN224" i="10"/>
  <c r="JA224" i="10"/>
  <c r="EO224" i="10"/>
  <c r="EP224" i="10"/>
  <c r="EQ224" i="10"/>
  <c r="ER224" i="10"/>
  <c r="ES224" i="10"/>
  <c r="ET224" i="10"/>
  <c r="EU224" i="10"/>
  <c r="EV224" i="10"/>
  <c r="EW224" i="10"/>
  <c r="IU224" i="10"/>
  <c r="IZ224" i="10"/>
  <c r="EZ224" i="10"/>
  <c r="FA224" i="10"/>
  <c r="FB224" i="10"/>
  <c r="IW224" i="10"/>
  <c r="EX224" i="10"/>
  <c r="EY224" i="10"/>
  <c r="IV224" i="10"/>
  <c r="IT224" i="10"/>
  <c r="JB224" i="10"/>
  <c r="LH224" i="10"/>
  <c r="GK224" i="10"/>
  <c r="CQ224" i="10"/>
  <c r="IN225" i="10"/>
  <c r="JA225" i="10"/>
  <c r="EO225" i="10"/>
  <c r="EP225" i="10"/>
  <c r="EQ225" i="10"/>
  <c r="ER225" i="10"/>
  <c r="ES225" i="10"/>
  <c r="ET225" i="10"/>
  <c r="EU225" i="10"/>
  <c r="EV225" i="10"/>
  <c r="EW225" i="10"/>
  <c r="IU225" i="10"/>
  <c r="IZ225" i="10"/>
  <c r="EZ225" i="10"/>
  <c r="FA225" i="10"/>
  <c r="FB225" i="10"/>
  <c r="IW225" i="10"/>
  <c r="EX225" i="10"/>
  <c r="EY225" i="10"/>
  <c r="IV225" i="10"/>
  <c r="IT225" i="10"/>
  <c r="JB225" i="10"/>
  <c r="LH225" i="10"/>
  <c r="GK225" i="10"/>
  <c r="IN226" i="10"/>
  <c r="JA226" i="10"/>
  <c r="EO226" i="10"/>
  <c r="EP226" i="10"/>
  <c r="EQ226" i="10"/>
  <c r="ER226" i="10"/>
  <c r="ES226" i="10"/>
  <c r="ET226" i="10"/>
  <c r="EU226" i="10"/>
  <c r="EV226" i="10"/>
  <c r="EW226" i="10"/>
  <c r="IU226" i="10"/>
  <c r="IZ226" i="10"/>
  <c r="EZ226" i="10"/>
  <c r="FA226" i="10"/>
  <c r="FB226" i="10"/>
  <c r="IW226" i="10"/>
  <c r="EX226" i="10"/>
  <c r="EY226" i="10"/>
  <c r="IV226" i="10"/>
  <c r="IT226" i="10"/>
  <c r="JB226" i="10"/>
  <c r="LH226" i="10"/>
  <c r="GK226" i="10"/>
  <c r="CQ226" i="10"/>
  <c r="IN227" i="10"/>
  <c r="JA227" i="10"/>
  <c r="EO227" i="10"/>
  <c r="EP227" i="10"/>
  <c r="EQ227" i="10"/>
  <c r="ER227" i="10"/>
  <c r="ES227" i="10"/>
  <c r="ET227" i="10"/>
  <c r="EU227" i="10"/>
  <c r="EV227" i="10"/>
  <c r="EW227" i="10"/>
  <c r="IU227" i="10"/>
  <c r="IZ227" i="10"/>
  <c r="EZ227" i="10"/>
  <c r="FA227" i="10"/>
  <c r="FB227" i="10"/>
  <c r="IW227" i="10"/>
  <c r="EX227" i="10"/>
  <c r="EY227" i="10"/>
  <c r="IV227" i="10"/>
  <c r="IT227" i="10"/>
  <c r="JB227" i="10"/>
  <c r="LH227" i="10"/>
  <c r="GK227" i="10"/>
  <c r="IN228" i="10"/>
  <c r="JA228" i="10"/>
  <c r="EO228" i="10"/>
  <c r="EP228" i="10"/>
  <c r="EQ228" i="10"/>
  <c r="ER228" i="10"/>
  <c r="ES228" i="10"/>
  <c r="ET228" i="10"/>
  <c r="EU228" i="10"/>
  <c r="EV228" i="10"/>
  <c r="EW228" i="10"/>
  <c r="IU228" i="10"/>
  <c r="IZ228" i="10"/>
  <c r="EZ228" i="10"/>
  <c r="FA228" i="10"/>
  <c r="FB228" i="10"/>
  <c r="IW228" i="10"/>
  <c r="EX228" i="10"/>
  <c r="EY228" i="10"/>
  <c r="IV228" i="10"/>
  <c r="IT228" i="10"/>
  <c r="JB228" i="10"/>
  <c r="LH228" i="10"/>
  <c r="GK228" i="10"/>
  <c r="CQ228" i="10"/>
  <c r="IN229" i="10"/>
  <c r="JA229" i="10"/>
  <c r="EO229" i="10"/>
  <c r="EP229" i="10"/>
  <c r="EQ229" i="10"/>
  <c r="ER229" i="10"/>
  <c r="ES229" i="10"/>
  <c r="ET229" i="10"/>
  <c r="EU229" i="10"/>
  <c r="EV229" i="10"/>
  <c r="EW229" i="10"/>
  <c r="IU229" i="10"/>
  <c r="IZ229" i="10"/>
  <c r="EZ229" i="10"/>
  <c r="FA229" i="10"/>
  <c r="FB229" i="10"/>
  <c r="IW229" i="10"/>
  <c r="EX229" i="10"/>
  <c r="EY229" i="10"/>
  <c r="IV229" i="10"/>
  <c r="IT229" i="10"/>
  <c r="JB229" i="10"/>
  <c r="LH229" i="10"/>
  <c r="GK229" i="10"/>
  <c r="CQ229" i="10"/>
  <c r="IN230" i="10"/>
  <c r="JA230" i="10"/>
  <c r="EO230" i="10"/>
  <c r="EP230" i="10"/>
  <c r="EQ230" i="10"/>
  <c r="ER230" i="10"/>
  <c r="ES230" i="10"/>
  <c r="ET230" i="10"/>
  <c r="EU230" i="10"/>
  <c r="EV230" i="10"/>
  <c r="EW230" i="10"/>
  <c r="IU230" i="10"/>
  <c r="IZ230" i="10"/>
  <c r="EZ230" i="10"/>
  <c r="FA230" i="10"/>
  <c r="FB230" i="10"/>
  <c r="IW230" i="10"/>
  <c r="EX230" i="10"/>
  <c r="EY230" i="10"/>
  <c r="IV230" i="10"/>
  <c r="IT230" i="10"/>
  <c r="JB230" i="10"/>
  <c r="LH230" i="10"/>
  <c r="GK230" i="10"/>
  <c r="IN231" i="10"/>
  <c r="JA231" i="10"/>
  <c r="EO231" i="10"/>
  <c r="EP231" i="10"/>
  <c r="EQ231" i="10"/>
  <c r="ER231" i="10"/>
  <c r="ES231" i="10"/>
  <c r="ET231" i="10"/>
  <c r="EU231" i="10"/>
  <c r="EV231" i="10"/>
  <c r="EW231" i="10"/>
  <c r="IU231" i="10"/>
  <c r="IZ231" i="10"/>
  <c r="EZ231" i="10"/>
  <c r="FA231" i="10"/>
  <c r="FB231" i="10"/>
  <c r="IW231" i="10"/>
  <c r="EX231" i="10"/>
  <c r="EY231" i="10"/>
  <c r="IV231" i="10"/>
  <c r="IT231" i="10"/>
  <c r="JB231" i="10"/>
  <c r="LH231" i="10"/>
  <c r="GK231" i="10"/>
  <c r="CQ231" i="10"/>
  <c r="IN232" i="10"/>
  <c r="JA232" i="10"/>
  <c r="EO232" i="10"/>
  <c r="EP232" i="10"/>
  <c r="EQ232" i="10"/>
  <c r="ER232" i="10"/>
  <c r="ES232" i="10"/>
  <c r="ET232" i="10"/>
  <c r="EU232" i="10"/>
  <c r="EV232" i="10"/>
  <c r="EW232" i="10"/>
  <c r="IU232" i="10"/>
  <c r="IZ232" i="10"/>
  <c r="EZ232" i="10"/>
  <c r="FA232" i="10"/>
  <c r="FB232" i="10"/>
  <c r="IW232" i="10"/>
  <c r="EX232" i="10"/>
  <c r="EY232" i="10"/>
  <c r="IV232" i="10"/>
  <c r="IT232" i="10"/>
  <c r="JB232" i="10"/>
  <c r="LH232" i="10"/>
  <c r="GK232" i="10"/>
  <c r="IN233" i="10"/>
  <c r="JA233" i="10"/>
  <c r="EO233" i="10"/>
  <c r="EP233" i="10"/>
  <c r="EQ233" i="10"/>
  <c r="ER233" i="10"/>
  <c r="ES233" i="10"/>
  <c r="ET233" i="10"/>
  <c r="EU233" i="10"/>
  <c r="EV233" i="10"/>
  <c r="EW233" i="10"/>
  <c r="IU233" i="10"/>
  <c r="IZ233" i="10"/>
  <c r="EZ233" i="10"/>
  <c r="FA233" i="10"/>
  <c r="FB233" i="10"/>
  <c r="IW233" i="10"/>
  <c r="EX233" i="10"/>
  <c r="EY233" i="10"/>
  <c r="IV233" i="10"/>
  <c r="IT233" i="10"/>
  <c r="JB233" i="10"/>
  <c r="LH233" i="10"/>
  <c r="GK233" i="10"/>
  <c r="IN234" i="10"/>
  <c r="JA234" i="10"/>
  <c r="EO234" i="10"/>
  <c r="EP234" i="10"/>
  <c r="EQ234" i="10"/>
  <c r="ER234" i="10"/>
  <c r="ES234" i="10"/>
  <c r="ET234" i="10"/>
  <c r="EU234" i="10"/>
  <c r="EV234" i="10"/>
  <c r="EW234" i="10"/>
  <c r="IU234" i="10"/>
  <c r="IZ234" i="10"/>
  <c r="EZ234" i="10"/>
  <c r="FA234" i="10"/>
  <c r="FB234" i="10"/>
  <c r="IW234" i="10"/>
  <c r="EX234" i="10"/>
  <c r="EY234" i="10"/>
  <c r="IV234" i="10"/>
  <c r="IT234" i="10"/>
  <c r="JB234" i="10"/>
  <c r="LH234" i="10"/>
  <c r="GK234" i="10"/>
  <c r="CQ234" i="10"/>
  <c r="CF234" i="10"/>
  <c r="CW234" i="10"/>
  <c r="IN235" i="10"/>
  <c r="JA235" i="10"/>
  <c r="EO235" i="10"/>
  <c r="EP235" i="10"/>
  <c r="EQ235" i="10"/>
  <c r="ER235" i="10"/>
  <c r="ES235" i="10"/>
  <c r="ET235" i="10"/>
  <c r="EU235" i="10"/>
  <c r="EV235" i="10"/>
  <c r="EW235" i="10"/>
  <c r="IU235" i="10"/>
  <c r="IZ235" i="10"/>
  <c r="EZ235" i="10"/>
  <c r="FA235" i="10"/>
  <c r="FB235" i="10"/>
  <c r="IW235" i="10"/>
  <c r="EX235" i="10"/>
  <c r="EY235" i="10"/>
  <c r="IV235" i="10"/>
  <c r="IT235" i="10"/>
  <c r="JB235" i="10"/>
  <c r="LH235" i="10"/>
  <c r="GK235" i="10"/>
  <c r="IN236" i="10"/>
  <c r="JA236" i="10"/>
  <c r="EO236" i="10"/>
  <c r="EP236" i="10"/>
  <c r="EQ236" i="10"/>
  <c r="ER236" i="10"/>
  <c r="ES236" i="10"/>
  <c r="ET236" i="10"/>
  <c r="EU236" i="10"/>
  <c r="EV236" i="10"/>
  <c r="EW236" i="10"/>
  <c r="IU236" i="10"/>
  <c r="IZ236" i="10"/>
  <c r="EZ236" i="10"/>
  <c r="FA236" i="10"/>
  <c r="FB236" i="10"/>
  <c r="IW236" i="10"/>
  <c r="EX236" i="10"/>
  <c r="EY236" i="10"/>
  <c r="IV236" i="10"/>
  <c r="IT236" i="10"/>
  <c r="JB236" i="10"/>
  <c r="LH236" i="10"/>
  <c r="GK236" i="10"/>
  <c r="CQ236" i="10"/>
  <c r="IN237" i="10"/>
  <c r="JA237" i="10"/>
  <c r="EO237" i="10"/>
  <c r="EP237" i="10"/>
  <c r="EQ237" i="10"/>
  <c r="ER237" i="10"/>
  <c r="ES237" i="10"/>
  <c r="ET237" i="10"/>
  <c r="EU237" i="10"/>
  <c r="EV237" i="10"/>
  <c r="EW237" i="10"/>
  <c r="IU237" i="10"/>
  <c r="IZ237" i="10"/>
  <c r="EZ237" i="10"/>
  <c r="FA237" i="10"/>
  <c r="FB237" i="10"/>
  <c r="IW237" i="10"/>
  <c r="EX237" i="10"/>
  <c r="EY237" i="10"/>
  <c r="IV237" i="10"/>
  <c r="IT237" i="10"/>
  <c r="JB237" i="10"/>
  <c r="LH237" i="10"/>
  <c r="GK237" i="10"/>
  <c r="IN238" i="10"/>
  <c r="JA238" i="10"/>
  <c r="EO238" i="10"/>
  <c r="EP238" i="10"/>
  <c r="EQ238" i="10"/>
  <c r="ER238" i="10"/>
  <c r="ES238" i="10"/>
  <c r="ET238" i="10"/>
  <c r="EU238" i="10"/>
  <c r="EV238" i="10"/>
  <c r="EW238" i="10"/>
  <c r="IU238" i="10"/>
  <c r="IZ238" i="10"/>
  <c r="EZ238" i="10"/>
  <c r="FA238" i="10"/>
  <c r="FB238" i="10"/>
  <c r="IW238" i="10"/>
  <c r="EX238" i="10"/>
  <c r="EY238" i="10"/>
  <c r="IV238" i="10"/>
  <c r="IT238" i="10"/>
  <c r="JB238" i="10"/>
  <c r="LH238" i="10"/>
  <c r="GK238" i="10"/>
  <c r="IN239" i="10"/>
  <c r="JA239" i="10"/>
  <c r="EO239" i="10"/>
  <c r="EP239" i="10"/>
  <c r="EQ239" i="10"/>
  <c r="ER239" i="10"/>
  <c r="ES239" i="10"/>
  <c r="ET239" i="10"/>
  <c r="EU239" i="10"/>
  <c r="EV239" i="10"/>
  <c r="EW239" i="10"/>
  <c r="IU239" i="10"/>
  <c r="IZ239" i="10"/>
  <c r="EZ239" i="10"/>
  <c r="FA239" i="10"/>
  <c r="FB239" i="10"/>
  <c r="IW239" i="10"/>
  <c r="EX239" i="10"/>
  <c r="EY239" i="10"/>
  <c r="IV239" i="10"/>
  <c r="IT239" i="10"/>
  <c r="JB239" i="10"/>
  <c r="LH239" i="10"/>
  <c r="GK239" i="10"/>
  <c r="CQ239" i="10"/>
  <c r="IN240" i="10"/>
  <c r="JA240" i="10"/>
  <c r="EO240" i="10"/>
  <c r="EP240" i="10"/>
  <c r="EQ240" i="10"/>
  <c r="ER240" i="10"/>
  <c r="ES240" i="10"/>
  <c r="ET240" i="10"/>
  <c r="EU240" i="10"/>
  <c r="EV240" i="10"/>
  <c r="EW240" i="10"/>
  <c r="IU240" i="10"/>
  <c r="IZ240" i="10"/>
  <c r="EZ240" i="10"/>
  <c r="FA240" i="10"/>
  <c r="FB240" i="10"/>
  <c r="IW240" i="10"/>
  <c r="EX240" i="10"/>
  <c r="EY240" i="10"/>
  <c r="IV240" i="10"/>
  <c r="IT240" i="10"/>
  <c r="JB240" i="10"/>
  <c r="LH240" i="10"/>
  <c r="GK240" i="10"/>
  <c r="CQ240" i="10"/>
  <c r="IN241" i="10"/>
  <c r="JA241" i="10"/>
  <c r="EO241" i="10"/>
  <c r="EP241" i="10"/>
  <c r="EQ241" i="10"/>
  <c r="ER241" i="10"/>
  <c r="ES241" i="10"/>
  <c r="ET241" i="10"/>
  <c r="EU241" i="10"/>
  <c r="EV241" i="10"/>
  <c r="EW241" i="10"/>
  <c r="IU241" i="10"/>
  <c r="IZ241" i="10"/>
  <c r="EZ241" i="10"/>
  <c r="FA241" i="10"/>
  <c r="FB241" i="10"/>
  <c r="IW241" i="10"/>
  <c r="EX241" i="10"/>
  <c r="EY241" i="10"/>
  <c r="IV241" i="10"/>
  <c r="IT241" i="10"/>
  <c r="JB241" i="10"/>
  <c r="LH241" i="10"/>
  <c r="GK241" i="10"/>
  <c r="IN242" i="10"/>
  <c r="JA242" i="10"/>
  <c r="EO242" i="10"/>
  <c r="EP242" i="10"/>
  <c r="EQ242" i="10"/>
  <c r="ER242" i="10"/>
  <c r="ES242" i="10"/>
  <c r="ET242" i="10"/>
  <c r="EU242" i="10"/>
  <c r="EV242" i="10"/>
  <c r="EW242" i="10"/>
  <c r="IU242" i="10"/>
  <c r="IZ242" i="10"/>
  <c r="EZ242" i="10"/>
  <c r="FA242" i="10"/>
  <c r="FB242" i="10"/>
  <c r="IW242" i="10"/>
  <c r="EX242" i="10"/>
  <c r="EY242" i="10"/>
  <c r="IV242" i="10"/>
  <c r="IT242" i="10"/>
  <c r="JB242" i="10"/>
  <c r="LH242" i="10"/>
  <c r="GK242" i="10"/>
  <c r="CQ242" i="10"/>
  <c r="IN243" i="10"/>
  <c r="JA243" i="10"/>
  <c r="EO243" i="10"/>
  <c r="EP243" i="10"/>
  <c r="EQ243" i="10"/>
  <c r="ER243" i="10"/>
  <c r="ES243" i="10"/>
  <c r="ET243" i="10"/>
  <c r="EU243" i="10"/>
  <c r="EV243" i="10"/>
  <c r="EW243" i="10"/>
  <c r="IU243" i="10"/>
  <c r="IZ243" i="10"/>
  <c r="EZ243" i="10"/>
  <c r="FA243" i="10"/>
  <c r="FB243" i="10"/>
  <c r="IW243" i="10"/>
  <c r="EX243" i="10"/>
  <c r="EY243" i="10"/>
  <c r="IV243" i="10"/>
  <c r="IT243" i="10"/>
  <c r="JB243" i="10"/>
  <c r="LH243" i="10"/>
  <c r="GK243" i="10"/>
  <c r="IN244" i="10"/>
  <c r="JA244" i="10"/>
  <c r="EO244" i="10"/>
  <c r="EP244" i="10"/>
  <c r="EQ244" i="10"/>
  <c r="ER244" i="10"/>
  <c r="ES244" i="10"/>
  <c r="ET244" i="10"/>
  <c r="EU244" i="10"/>
  <c r="EV244" i="10"/>
  <c r="EW244" i="10"/>
  <c r="IU244" i="10"/>
  <c r="IZ244" i="10"/>
  <c r="EZ244" i="10"/>
  <c r="FA244" i="10"/>
  <c r="FB244" i="10"/>
  <c r="IW244" i="10"/>
  <c r="EX244" i="10"/>
  <c r="EY244" i="10"/>
  <c r="IV244" i="10"/>
  <c r="IT244" i="10"/>
  <c r="JB244" i="10"/>
  <c r="LH244" i="10"/>
  <c r="GK244" i="10"/>
  <c r="CQ244" i="10"/>
  <c r="IN245" i="10"/>
  <c r="JA245" i="10"/>
  <c r="EO245" i="10"/>
  <c r="EP245" i="10"/>
  <c r="EQ245" i="10"/>
  <c r="ER245" i="10"/>
  <c r="ES245" i="10"/>
  <c r="ET245" i="10"/>
  <c r="EU245" i="10"/>
  <c r="EV245" i="10"/>
  <c r="EW245" i="10"/>
  <c r="IU245" i="10"/>
  <c r="IZ245" i="10"/>
  <c r="EZ245" i="10"/>
  <c r="FA245" i="10"/>
  <c r="FB245" i="10"/>
  <c r="IW245" i="10"/>
  <c r="EX245" i="10"/>
  <c r="EY245" i="10"/>
  <c r="IV245" i="10"/>
  <c r="IT245" i="10"/>
  <c r="JB245" i="10"/>
  <c r="LH245" i="10"/>
  <c r="GK245" i="10"/>
  <c r="CQ245" i="10"/>
  <c r="IN246" i="10"/>
  <c r="JA246" i="10"/>
  <c r="EO246" i="10"/>
  <c r="EP246" i="10"/>
  <c r="EQ246" i="10"/>
  <c r="ER246" i="10"/>
  <c r="ES246" i="10"/>
  <c r="ET246" i="10"/>
  <c r="EU246" i="10"/>
  <c r="EV246" i="10"/>
  <c r="EW246" i="10"/>
  <c r="IU246" i="10"/>
  <c r="IZ246" i="10"/>
  <c r="EZ246" i="10"/>
  <c r="FA246" i="10"/>
  <c r="FB246" i="10"/>
  <c r="IW246" i="10"/>
  <c r="EX246" i="10"/>
  <c r="EY246" i="10"/>
  <c r="IV246" i="10"/>
  <c r="IT246" i="10"/>
  <c r="JB246" i="10"/>
  <c r="LH246" i="10"/>
  <c r="GK246" i="10"/>
  <c r="IN247" i="10"/>
  <c r="JA247" i="10"/>
  <c r="EO247" i="10"/>
  <c r="EP247" i="10"/>
  <c r="EQ247" i="10"/>
  <c r="ER247" i="10"/>
  <c r="ES247" i="10"/>
  <c r="ET247" i="10"/>
  <c r="EU247" i="10"/>
  <c r="EV247" i="10"/>
  <c r="EW247" i="10"/>
  <c r="IU247" i="10"/>
  <c r="IZ247" i="10"/>
  <c r="EZ247" i="10"/>
  <c r="FA247" i="10"/>
  <c r="FB247" i="10"/>
  <c r="IW247" i="10"/>
  <c r="EX247" i="10"/>
  <c r="EY247" i="10"/>
  <c r="IV247" i="10"/>
  <c r="IT247" i="10"/>
  <c r="JB247" i="10"/>
  <c r="LH247" i="10"/>
  <c r="GK247" i="10"/>
  <c r="CQ247" i="10"/>
  <c r="IN248" i="10"/>
  <c r="JA248" i="10"/>
  <c r="EO248" i="10"/>
  <c r="EP248" i="10"/>
  <c r="EQ248" i="10"/>
  <c r="ER248" i="10"/>
  <c r="ES248" i="10"/>
  <c r="ET248" i="10"/>
  <c r="EU248" i="10"/>
  <c r="EV248" i="10"/>
  <c r="EW248" i="10"/>
  <c r="IU248" i="10"/>
  <c r="IZ248" i="10"/>
  <c r="EZ248" i="10"/>
  <c r="FA248" i="10"/>
  <c r="FB248" i="10"/>
  <c r="IW248" i="10"/>
  <c r="EX248" i="10"/>
  <c r="EY248" i="10"/>
  <c r="IV248" i="10"/>
  <c r="IT248" i="10"/>
  <c r="JB248" i="10"/>
  <c r="LH248" i="10"/>
  <c r="GK248" i="10"/>
  <c r="IN249" i="10"/>
  <c r="JA249" i="10"/>
  <c r="EO249" i="10"/>
  <c r="EP249" i="10"/>
  <c r="EQ249" i="10"/>
  <c r="ER249" i="10"/>
  <c r="ES249" i="10"/>
  <c r="ET249" i="10"/>
  <c r="EU249" i="10"/>
  <c r="EV249" i="10"/>
  <c r="EW249" i="10"/>
  <c r="IU249" i="10"/>
  <c r="IZ249" i="10"/>
  <c r="EZ249" i="10"/>
  <c r="FA249" i="10"/>
  <c r="FB249" i="10"/>
  <c r="IW249" i="10"/>
  <c r="EX249" i="10"/>
  <c r="EY249" i="10"/>
  <c r="IV249" i="10"/>
  <c r="IT249" i="10"/>
  <c r="JB249" i="10"/>
  <c r="LH249" i="10"/>
  <c r="GK249" i="10"/>
  <c r="IN250" i="10"/>
  <c r="JA250" i="10"/>
  <c r="EO250" i="10"/>
  <c r="EP250" i="10"/>
  <c r="EQ250" i="10"/>
  <c r="ER250" i="10"/>
  <c r="ES250" i="10"/>
  <c r="ET250" i="10"/>
  <c r="EU250" i="10"/>
  <c r="EV250" i="10"/>
  <c r="EW250" i="10"/>
  <c r="IU250" i="10"/>
  <c r="IZ250" i="10"/>
  <c r="EZ250" i="10"/>
  <c r="FA250" i="10"/>
  <c r="FB250" i="10"/>
  <c r="IW250" i="10"/>
  <c r="EX250" i="10"/>
  <c r="EY250" i="10"/>
  <c r="IV250" i="10"/>
  <c r="IT250" i="10"/>
  <c r="JB250" i="10"/>
  <c r="LH250" i="10"/>
  <c r="GK250" i="10"/>
  <c r="IN251" i="10"/>
  <c r="JA251" i="10"/>
  <c r="EO251" i="10"/>
  <c r="EP251" i="10"/>
  <c r="EQ251" i="10"/>
  <c r="ER251" i="10"/>
  <c r="ES251" i="10"/>
  <c r="ET251" i="10"/>
  <c r="EU251" i="10"/>
  <c r="EV251" i="10"/>
  <c r="EW251" i="10"/>
  <c r="IU251" i="10"/>
  <c r="IZ251" i="10"/>
  <c r="EZ251" i="10"/>
  <c r="FA251" i="10"/>
  <c r="FB251" i="10"/>
  <c r="IW251" i="10"/>
  <c r="EX251" i="10"/>
  <c r="EY251" i="10"/>
  <c r="IV251" i="10"/>
  <c r="IT251" i="10"/>
  <c r="JB251" i="10"/>
  <c r="LH251" i="10"/>
  <c r="GK251" i="10"/>
  <c r="CQ251" i="10"/>
  <c r="IN252" i="10"/>
  <c r="JA252" i="10"/>
  <c r="EO252" i="10"/>
  <c r="EP252" i="10"/>
  <c r="EQ252" i="10"/>
  <c r="ER252" i="10"/>
  <c r="ES252" i="10"/>
  <c r="ET252" i="10"/>
  <c r="EU252" i="10"/>
  <c r="EV252" i="10"/>
  <c r="EW252" i="10"/>
  <c r="IU252" i="10"/>
  <c r="IZ252" i="10"/>
  <c r="EZ252" i="10"/>
  <c r="FA252" i="10"/>
  <c r="FB252" i="10"/>
  <c r="IW252" i="10"/>
  <c r="EX252" i="10"/>
  <c r="EY252" i="10"/>
  <c r="IV252" i="10"/>
  <c r="IT252" i="10"/>
  <c r="JB252" i="10"/>
  <c r="LH252" i="10"/>
  <c r="GK252" i="10"/>
  <c r="CQ252" i="10"/>
  <c r="IN253" i="10"/>
  <c r="JA253" i="10"/>
  <c r="EO253" i="10"/>
  <c r="EP253" i="10"/>
  <c r="EQ253" i="10"/>
  <c r="ER253" i="10"/>
  <c r="ES253" i="10"/>
  <c r="ET253" i="10"/>
  <c r="EU253" i="10"/>
  <c r="EV253" i="10"/>
  <c r="EW253" i="10"/>
  <c r="IU253" i="10"/>
  <c r="IZ253" i="10"/>
  <c r="EZ253" i="10"/>
  <c r="FA253" i="10"/>
  <c r="FB253" i="10"/>
  <c r="IW253" i="10"/>
  <c r="EX253" i="10"/>
  <c r="EY253" i="10"/>
  <c r="IV253" i="10"/>
  <c r="IT253" i="10"/>
  <c r="JB253" i="10"/>
  <c r="LH253" i="10"/>
  <c r="GK253" i="10"/>
  <c r="IN254" i="10"/>
  <c r="JA254" i="10"/>
  <c r="EO254" i="10"/>
  <c r="EP254" i="10"/>
  <c r="EQ254" i="10"/>
  <c r="ER254" i="10"/>
  <c r="ES254" i="10"/>
  <c r="ET254" i="10"/>
  <c r="EU254" i="10"/>
  <c r="EV254" i="10"/>
  <c r="EW254" i="10"/>
  <c r="IU254" i="10"/>
  <c r="IZ254" i="10"/>
  <c r="EZ254" i="10"/>
  <c r="FA254" i="10"/>
  <c r="FB254" i="10"/>
  <c r="IW254" i="10"/>
  <c r="EX254" i="10"/>
  <c r="EY254" i="10"/>
  <c r="IV254" i="10"/>
  <c r="IT254" i="10"/>
  <c r="JB254" i="10"/>
  <c r="LH254" i="10"/>
  <c r="GK254" i="10"/>
  <c r="IN255" i="10"/>
  <c r="JA255" i="10"/>
  <c r="IZ255" i="10"/>
  <c r="EO255" i="10"/>
  <c r="EP255" i="10"/>
  <c r="EQ255" i="10"/>
  <c r="ER255" i="10"/>
  <c r="ES255" i="10"/>
  <c r="ET255" i="10"/>
  <c r="EU255" i="10"/>
  <c r="EV255" i="10"/>
  <c r="EW255" i="10"/>
  <c r="IU255" i="10"/>
  <c r="EZ255" i="10"/>
  <c r="FA255" i="10"/>
  <c r="FB255" i="10"/>
  <c r="IW255" i="10"/>
  <c r="EX255" i="10"/>
  <c r="EY255" i="10"/>
  <c r="IV255" i="10"/>
  <c r="IT255" i="10"/>
  <c r="JB255" i="10"/>
  <c r="LH255" i="10"/>
  <c r="GK255" i="10"/>
  <c r="IN256" i="10"/>
  <c r="JA256" i="10"/>
  <c r="EO256" i="10"/>
  <c r="EP256" i="10"/>
  <c r="EQ256" i="10"/>
  <c r="ER256" i="10"/>
  <c r="ES256" i="10"/>
  <c r="ET256" i="10"/>
  <c r="EU256" i="10"/>
  <c r="EV256" i="10"/>
  <c r="EW256" i="10"/>
  <c r="IU256" i="10"/>
  <c r="IZ256" i="10"/>
  <c r="EZ256" i="10"/>
  <c r="FA256" i="10"/>
  <c r="FB256" i="10"/>
  <c r="IW256" i="10"/>
  <c r="EX256" i="10"/>
  <c r="EY256" i="10"/>
  <c r="IV256" i="10"/>
  <c r="IT256" i="10"/>
  <c r="JB256" i="10"/>
  <c r="LH256" i="10"/>
  <c r="GK256" i="10"/>
  <c r="IN257" i="10"/>
  <c r="JA257" i="10"/>
  <c r="EO257" i="10"/>
  <c r="EP257" i="10"/>
  <c r="EQ257" i="10"/>
  <c r="ER257" i="10"/>
  <c r="ES257" i="10"/>
  <c r="ET257" i="10"/>
  <c r="EU257" i="10"/>
  <c r="EV257" i="10"/>
  <c r="EW257" i="10"/>
  <c r="IU257" i="10"/>
  <c r="IZ257" i="10"/>
  <c r="EZ257" i="10"/>
  <c r="FA257" i="10"/>
  <c r="FB257" i="10"/>
  <c r="IW257" i="10"/>
  <c r="EX257" i="10"/>
  <c r="EY257" i="10"/>
  <c r="IV257" i="10"/>
  <c r="IT257" i="10"/>
  <c r="JB257" i="10"/>
  <c r="LH257" i="10"/>
  <c r="GK257" i="10"/>
  <c r="IN258" i="10"/>
  <c r="JA258" i="10"/>
  <c r="EO258" i="10"/>
  <c r="EP258" i="10"/>
  <c r="EQ258" i="10"/>
  <c r="ER258" i="10"/>
  <c r="ES258" i="10"/>
  <c r="ET258" i="10"/>
  <c r="EU258" i="10"/>
  <c r="EV258" i="10"/>
  <c r="EW258" i="10"/>
  <c r="IU258" i="10"/>
  <c r="IZ258" i="10"/>
  <c r="EZ258" i="10"/>
  <c r="FA258" i="10"/>
  <c r="FB258" i="10"/>
  <c r="IW258" i="10"/>
  <c r="EX258" i="10"/>
  <c r="EY258" i="10"/>
  <c r="IV258" i="10"/>
  <c r="IT258" i="10"/>
  <c r="JB258" i="10"/>
  <c r="LH258" i="10"/>
  <c r="GK258" i="10"/>
  <c r="CQ258" i="10"/>
  <c r="IN259" i="10"/>
  <c r="JA259" i="10"/>
  <c r="EO259" i="10"/>
  <c r="EP259" i="10"/>
  <c r="EQ259" i="10"/>
  <c r="ER259" i="10"/>
  <c r="ES259" i="10"/>
  <c r="ET259" i="10"/>
  <c r="EU259" i="10"/>
  <c r="EV259" i="10"/>
  <c r="EW259" i="10"/>
  <c r="IU259" i="10"/>
  <c r="IZ259" i="10"/>
  <c r="EZ259" i="10"/>
  <c r="FA259" i="10"/>
  <c r="FB259" i="10"/>
  <c r="IW259" i="10"/>
  <c r="EX259" i="10"/>
  <c r="EY259" i="10"/>
  <c r="IV259" i="10"/>
  <c r="IT259" i="10"/>
  <c r="JB259" i="10"/>
  <c r="LH259" i="10"/>
  <c r="GK259" i="10"/>
  <c r="CQ259" i="10"/>
  <c r="IN260" i="10"/>
  <c r="JA260" i="10"/>
  <c r="EO260" i="10"/>
  <c r="EP260" i="10"/>
  <c r="EQ260" i="10"/>
  <c r="ER260" i="10"/>
  <c r="ES260" i="10"/>
  <c r="ET260" i="10"/>
  <c r="EU260" i="10"/>
  <c r="EV260" i="10"/>
  <c r="EW260" i="10"/>
  <c r="IU260" i="10"/>
  <c r="IZ260" i="10"/>
  <c r="EZ260" i="10"/>
  <c r="FA260" i="10"/>
  <c r="FB260" i="10"/>
  <c r="IW260" i="10"/>
  <c r="EX260" i="10"/>
  <c r="EY260" i="10"/>
  <c r="IV260" i="10"/>
  <c r="IT260" i="10"/>
  <c r="JB260" i="10"/>
  <c r="LH260" i="10"/>
  <c r="GK260" i="10"/>
  <c r="IN261" i="10"/>
  <c r="JA261" i="10"/>
  <c r="EO261" i="10"/>
  <c r="EP261" i="10"/>
  <c r="EQ261" i="10"/>
  <c r="ER261" i="10"/>
  <c r="ES261" i="10"/>
  <c r="ET261" i="10"/>
  <c r="EU261" i="10"/>
  <c r="EV261" i="10"/>
  <c r="EW261" i="10"/>
  <c r="IU261" i="10"/>
  <c r="IZ261" i="10"/>
  <c r="EZ261" i="10"/>
  <c r="FA261" i="10"/>
  <c r="FB261" i="10"/>
  <c r="IW261" i="10"/>
  <c r="EX261" i="10"/>
  <c r="EY261" i="10"/>
  <c r="IV261" i="10"/>
  <c r="IT261" i="10"/>
  <c r="JB261" i="10"/>
  <c r="LH261" i="10"/>
  <c r="GK261" i="10"/>
  <c r="IN262" i="10"/>
  <c r="JA262" i="10"/>
  <c r="EO262" i="10"/>
  <c r="EP262" i="10"/>
  <c r="EQ262" i="10"/>
  <c r="ER262" i="10"/>
  <c r="ES262" i="10"/>
  <c r="ET262" i="10"/>
  <c r="EU262" i="10"/>
  <c r="EV262" i="10"/>
  <c r="EW262" i="10"/>
  <c r="IU262" i="10"/>
  <c r="IZ262" i="10"/>
  <c r="EZ262" i="10"/>
  <c r="FA262" i="10"/>
  <c r="FB262" i="10"/>
  <c r="IW262" i="10"/>
  <c r="EX262" i="10"/>
  <c r="EY262" i="10"/>
  <c r="IV262" i="10"/>
  <c r="IT262" i="10"/>
  <c r="JB262" i="10"/>
  <c r="LH262" i="10"/>
  <c r="GK262" i="10"/>
  <c r="CQ262" i="10"/>
  <c r="IN263" i="10"/>
  <c r="JA263" i="10"/>
  <c r="EO263" i="10"/>
  <c r="EP263" i="10"/>
  <c r="EQ263" i="10"/>
  <c r="ER263" i="10"/>
  <c r="ES263" i="10"/>
  <c r="ET263" i="10"/>
  <c r="EU263" i="10"/>
  <c r="EV263" i="10"/>
  <c r="EW263" i="10"/>
  <c r="IU263" i="10"/>
  <c r="IZ263" i="10"/>
  <c r="EZ263" i="10"/>
  <c r="FA263" i="10"/>
  <c r="FB263" i="10"/>
  <c r="IW263" i="10"/>
  <c r="EX263" i="10"/>
  <c r="EY263" i="10"/>
  <c r="IV263" i="10"/>
  <c r="IT263" i="10"/>
  <c r="JB263" i="10"/>
  <c r="LH263" i="10"/>
  <c r="GK263" i="10"/>
  <c r="CQ263" i="10"/>
  <c r="IN264" i="10"/>
  <c r="JA264" i="10"/>
  <c r="EO264" i="10"/>
  <c r="EP264" i="10"/>
  <c r="EQ264" i="10"/>
  <c r="ER264" i="10"/>
  <c r="ES264" i="10"/>
  <c r="ET264" i="10"/>
  <c r="EU264" i="10"/>
  <c r="EV264" i="10"/>
  <c r="EW264" i="10"/>
  <c r="IU264" i="10"/>
  <c r="IZ264" i="10"/>
  <c r="EZ264" i="10"/>
  <c r="FA264" i="10"/>
  <c r="FB264" i="10"/>
  <c r="IW264" i="10"/>
  <c r="EX264" i="10"/>
  <c r="EY264" i="10"/>
  <c r="IV264" i="10"/>
  <c r="IT264" i="10"/>
  <c r="JB264" i="10"/>
  <c r="LH264" i="10"/>
  <c r="GK264" i="10"/>
  <c r="CQ264" i="10"/>
  <c r="IN265" i="10"/>
  <c r="JA265" i="10"/>
  <c r="EO265" i="10"/>
  <c r="EP265" i="10"/>
  <c r="EQ265" i="10"/>
  <c r="ER265" i="10"/>
  <c r="ES265" i="10"/>
  <c r="ET265" i="10"/>
  <c r="EU265" i="10"/>
  <c r="EV265" i="10"/>
  <c r="EW265" i="10"/>
  <c r="IU265" i="10"/>
  <c r="IZ265" i="10"/>
  <c r="EZ265" i="10"/>
  <c r="FA265" i="10"/>
  <c r="FB265" i="10"/>
  <c r="IW265" i="10"/>
  <c r="EX265" i="10"/>
  <c r="EY265" i="10"/>
  <c r="IV265" i="10"/>
  <c r="IT265" i="10"/>
  <c r="JB265" i="10"/>
  <c r="LH265" i="10"/>
  <c r="GK265" i="10"/>
  <c r="IN266" i="10"/>
  <c r="JA266" i="10"/>
  <c r="EO266" i="10"/>
  <c r="EP266" i="10"/>
  <c r="EQ266" i="10"/>
  <c r="ER266" i="10"/>
  <c r="ES266" i="10"/>
  <c r="ET266" i="10"/>
  <c r="EU266" i="10"/>
  <c r="EV266" i="10"/>
  <c r="EW266" i="10"/>
  <c r="IU266" i="10"/>
  <c r="IZ266" i="10"/>
  <c r="EZ266" i="10"/>
  <c r="FA266" i="10"/>
  <c r="FB266" i="10"/>
  <c r="IW266" i="10"/>
  <c r="EX266" i="10"/>
  <c r="EY266" i="10"/>
  <c r="IV266" i="10"/>
  <c r="IT266" i="10"/>
  <c r="JB266" i="10"/>
  <c r="LH266" i="10"/>
  <c r="GK266" i="10"/>
  <c r="IN267" i="10"/>
  <c r="JA267" i="10"/>
  <c r="EO267" i="10"/>
  <c r="EP267" i="10"/>
  <c r="EQ267" i="10"/>
  <c r="ER267" i="10"/>
  <c r="ES267" i="10"/>
  <c r="ET267" i="10"/>
  <c r="EU267" i="10"/>
  <c r="EV267" i="10"/>
  <c r="EW267" i="10"/>
  <c r="IU267" i="10"/>
  <c r="IZ267" i="10"/>
  <c r="EZ267" i="10"/>
  <c r="FA267" i="10"/>
  <c r="FB267" i="10"/>
  <c r="IW267" i="10"/>
  <c r="EX267" i="10"/>
  <c r="EY267" i="10"/>
  <c r="IV267" i="10"/>
  <c r="IT267" i="10"/>
  <c r="JB267" i="10"/>
  <c r="LH267" i="10"/>
  <c r="GK267" i="10"/>
  <c r="CQ267" i="10"/>
  <c r="IN268" i="10"/>
  <c r="JA268" i="10"/>
  <c r="EO268" i="10"/>
  <c r="EP268" i="10"/>
  <c r="EQ268" i="10"/>
  <c r="ER268" i="10"/>
  <c r="ES268" i="10"/>
  <c r="ET268" i="10"/>
  <c r="EU268" i="10"/>
  <c r="EV268" i="10"/>
  <c r="EW268" i="10"/>
  <c r="IU268" i="10"/>
  <c r="IZ268" i="10"/>
  <c r="EZ268" i="10"/>
  <c r="FA268" i="10"/>
  <c r="FB268" i="10"/>
  <c r="IW268" i="10"/>
  <c r="EX268" i="10"/>
  <c r="EY268" i="10"/>
  <c r="IV268" i="10"/>
  <c r="IT268" i="10"/>
  <c r="JB268" i="10"/>
  <c r="LH268" i="10"/>
  <c r="GK268" i="10"/>
  <c r="IN269" i="10"/>
  <c r="JA269" i="10"/>
  <c r="EO269" i="10"/>
  <c r="EP269" i="10"/>
  <c r="EQ269" i="10"/>
  <c r="ER269" i="10"/>
  <c r="ES269" i="10"/>
  <c r="ET269" i="10"/>
  <c r="EU269" i="10"/>
  <c r="EV269" i="10"/>
  <c r="EW269" i="10"/>
  <c r="IU269" i="10"/>
  <c r="IZ269" i="10"/>
  <c r="EZ269" i="10"/>
  <c r="FA269" i="10"/>
  <c r="FB269" i="10"/>
  <c r="IW269" i="10"/>
  <c r="EX269" i="10"/>
  <c r="EY269" i="10"/>
  <c r="IV269" i="10"/>
  <c r="IT269" i="10"/>
  <c r="JB269" i="10"/>
  <c r="LH269" i="10"/>
  <c r="GK269" i="10"/>
  <c r="CQ269" i="10"/>
  <c r="IN270" i="10"/>
  <c r="JA270" i="10"/>
  <c r="EO270" i="10"/>
  <c r="EP270" i="10"/>
  <c r="EQ270" i="10"/>
  <c r="ER270" i="10"/>
  <c r="ES270" i="10"/>
  <c r="ET270" i="10"/>
  <c r="EU270" i="10"/>
  <c r="EV270" i="10"/>
  <c r="EW270" i="10"/>
  <c r="IU270" i="10"/>
  <c r="IZ270" i="10"/>
  <c r="EZ270" i="10"/>
  <c r="FA270" i="10"/>
  <c r="FB270" i="10"/>
  <c r="IW270" i="10"/>
  <c r="EX270" i="10"/>
  <c r="EY270" i="10"/>
  <c r="IV270" i="10"/>
  <c r="IT270" i="10"/>
  <c r="JB270" i="10"/>
  <c r="LH270" i="10"/>
  <c r="GK270" i="10"/>
  <c r="CQ270" i="10"/>
  <c r="IN271" i="10"/>
  <c r="JA271" i="10"/>
  <c r="EO271" i="10"/>
  <c r="EP271" i="10"/>
  <c r="EQ271" i="10"/>
  <c r="ER271" i="10"/>
  <c r="ES271" i="10"/>
  <c r="ET271" i="10"/>
  <c r="EU271" i="10"/>
  <c r="EV271" i="10"/>
  <c r="EW271" i="10"/>
  <c r="IU271" i="10"/>
  <c r="IZ271" i="10"/>
  <c r="EZ271" i="10"/>
  <c r="FA271" i="10"/>
  <c r="FB271" i="10"/>
  <c r="IW271" i="10"/>
  <c r="EX271" i="10"/>
  <c r="EY271" i="10"/>
  <c r="IV271" i="10"/>
  <c r="IT271" i="10"/>
  <c r="JB271" i="10"/>
  <c r="LH271" i="10"/>
  <c r="GK271" i="10"/>
  <c r="IN272" i="10"/>
  <c r="JA272" i="10"/>
  <c r="EO272" i="10"/>
  <c r="EP272" i="10"/>
  <c r="EQ272" i="10"/>
  <c r="ER272" i="10"/>
  <c r="ES272" i="10"/>
  <c r="ET272" i="10"/>
  <c r="EU272" i="10"/>
  <c r="EV272" i="10"/>
  <c r="EW272" i="10"/>
  <c r="IU272" i="10"/>
  <c r="IZ272" i="10"/>
  <c r="EZ272" i="10"/>
  <c r="FA272" i="10"/>
  <c r="FB272" i="10"/>
  <c r="IW272" i="10"/>
  <c r="EX272" i="10"/>
  <c r="EY272" i="10"/>
  <c r="IV272" i="10"/>
  <c r="IT272" i="10"/>
  <c r="JB272" i="10"/>
  <c r="LH272" i="10"/>
  <c r="GK272" i="10"/>
  <c r="CQ272" i="10"/>
  <c r="CF272" i="10"/>
  <c r="CW272" i="10"/>
  <c r="IN273" i="10"/>
  <c r="JA273" i="10"/>
  <c r="EO273" i="10"/>
  <c r="EP273" i="10"/>
  <c r="EQ273" i="10"/>
  <c r="ER273" i="10"/>
  <c r="ES273" i="10"/>
  <c r="ET273" i="10"/>
  <c r="EU273" i="10"/>
  <c r="EV273" i="10"/>
  <c r="EW273" i="10"/>
  <c r="IU273" i="10"/>
  <c r="IZ273" i="10"/>
  <c r="EZ273" i="10"/>
  <c r="FA273" i="10"/>
  <c r="FB273" i="10"/>
  <c r="IW273" i="10"/>
  <c r="EX273" i="10"/>
  <c r="EY273" i="10"/>
  <c r="IV273" i="10"/>
  <c r="IT273" i="10"/>
  <c r="JB273" i="10"/>
  <c r="LH273" i="10"/>
  <c r="GK273" i="10"/>
  <c r="IN274" i="10"/>
  <c r="JA274" i="10"/>
  <c r="EO274" i="10"/>
  <c r="EP274" i="10"/>
  <c r="EQ274" i="10"/>
  <c r="ER274" i="10"/>
  <c r="ES274" i="10"/>
  <c r="ET274" i="10"/>
  <c r="EU274" i="10"/>
  <c r="EV274" i="10"/>
  <c r="EW274" i="10"/>
  <c r="IU274" i="10"/>
  <c r="IZ274" i="10"/>
  <c r="EZ274" i="10"/>
  <c r="FA274" i="10"/>
  <c r="FB274" i="10"/>
  <c r="IW274" i="10"/>
  <c r="EX274" i="10"/>
  <c r="EY274" i="10"/>
  <c r="IV274" i="10"/>
  <c r="IT274" i="10"/>
  <c r="JB274" i="10"/>
  <c r="LH274" i="10"/>
  <c r="GK274" i="10"/>
  <c r="IN275" i="10"/>
  <c r="JA275" i="10"/>
  <c r="EO275" i="10"/>
  <c r="EP275" i="10"/>
  <c r="EQ275" i="10"/>
  <c r="ER275" i="10"/>
  <c r="ES275" i="10"/>
  <c r="ET275" i="10"/>
  <c r="EU275" i="10"/>
  <c r="EV275" i="10"/>
  <c r="EW275" i="10"/>
  <c r="IU275" i="10"/>
  <c r="IZ275" i="10"/>
  <c r="EZ275" i="10"/>
  <c r="FA275" i="10"/>
  <c r="FB275" i="10"/>
  <c r="IW275" i="10"/>
  <c r="EX275" i="10"/>
  <c r="EY275" i="10"/>
  <c r="IV275" i="10"/>
  <c r="IT275" i="10"/>
  <c r="JB275" i="10"/>
  <c r="LH275" i="10"/>
  <c r="GK275" i="10"/>
  <c r="CQ275" i="10"/>
  <c r="IN276" i="10"/>
  <c r="JA276" i="10"/>
  <c r="EO276" i="10"/>
  <c r="EP276" i="10"/>
  <c r="EQ276" i="10"/>
  <c r="ER276" i="10"/>
  <c r="ES276" i="10"/>
  <c r="ET276" i="10"/>
  <c r="EU276" i="10"/>
  <c r="EV276" i="10"/>
  <c r="EW276" i="10"/>
  <c r="IU276" i="10"/>
  <c r="IZ276" i="10"/>
  <c r="EZ276" i="10"/>
  <c r="FA276" i="10"/>
  <c r="FB276" i="10"/>
  <c r="IW276" i="10"/>
  <c r="EX276" i="10"/>
  <c r="EY276" i="10"/>
  <c r="IV276" i="10"/>
  <c r="IT276" i="10"/>
  <c r="JB276" i="10"/>
  <c r="LH276" i="10"/>
  <c r="GK276" i="10"/>
  <c r="IN277" i="10"/>
  <c r="JA277" i="10"/>
  <c r="EO277" i="10"/>
  <c r="EP277" i="10"/>
  <c r="EQ277" i="10"/>
  <c r="ER277" i="10"/>
  <c r="ES277" i="10"/>
  <c r="ET277" i="10"/>
  <c r="EU277" i="10"/>
  <c r="EV277" i="10"/>
  <c r="EW277" i="10"/>
  <c r="IU277" i="10"/>
  <c r="IZ277" i="10"/>
  <c r="EZ277" i="10"/>
  <c r="FA277" i="10"/>
  <c r="FB277" i="10"/>
  <c r="IW277" i="10"/>
  <c r="EX277" i="10"/>
  <c r="EY277" i="10"/>
  <c r="IV277" i="10"/>
  <c r="IT277" i="10"/>
  <c r="JB277" i="10"/>
  <c r="LH277" i="10"/>
  <c r="GK277" i="10"/>
  <c r="CQ277" i="10"/>
  <c r="CF277" i="10"/>
  <c r="CW277" i="10"/>
  <c r="IN278" i="10"/>
  <c r="JA278" i="10"/>
  <c r="EO278" i="10"/>
  <c r="EP278" i="10"/>
  <c r="EQ278" i="10"/>
  <c r="ER278" i="10"/>
  <c r="ES278" i="10"/>
  <c r="ET278" i="10"/>
  <c r="EU278" i="10"/>
  <c r="EV278" i="10"/>
  <c r="EW278" i="10"/>
  <c r="IU278" i="10"/>
  <c r="IZ278" i="10"/>
  <c r="EZ278" i="10"/>
  <c r="FA278" i="10"/>
  <c r="FB278" i="10"/>
  <c r="IW278" i="10"/>
  <c r="EX278" i="10"/>
  <c r="EY278" i="10"/>
  <c r="IV278" i="10"/>
  <c r="IT278" i="10"/>
  <c r="JB278" i="10"/>
  <c r="LH278" i="10"/>
  <c r="GK278" i="10"/>
  <c r="CQ278" i="10"/>
  <c r="IN279" i="10"/>
  <c r="JA279" i="10"/>
  <c r="EO279" i="10"/>
  <c r="EP279" i="10"/>
  <c r="EQ279" i="10"/>
  <c r="ER279" i="10"/>
  <c r="ES279" i="10"/>
  <c r="ET279" i="10"/>
  <c r="EU279" i="10"/>
  <c r="EV279" i="10"/>
  <c r="EW279" i="10"/>
  <c r="IU279" i="10"/>
  <c r="IZ279" i="10"/>
  <c r="EZ279" i="10"/>
  <c r="FA279" i="10"/>
  <c r="FB279" i="10"/>
  <c r="IW279" i="10"/>
  <c r="EX279" i="10"/>
  <c r="EY279" i="10"/>
  <c r="IV279" i="10"/>
  <c r="IT279" i="10"/>
  <c r="JB279" i="10"/>
  <c r="LH279" i="10"/>
  <c r="GK279" i="10"/>
  <c r="IN280" i="10"/>
  <c r="JA280" i="10"/>
  <c r="EO280" i="10"/>
  <c r="EP280" i="10"/>
  <c r="EQ280" i="10"/>
  <c r="ER280" i="10"/>
  <c r="ES280" i="10"/>
  <c r="ET280" i="10"/>
  <c r="EU280" i="10"/>
  <c r="EV280" i="10"/>
  <c r="EW280" i="10"/>
  <c r="IU280" i="10"/>
  <c r="IZ280" i="10"/>
  <c r="EZ280" i="10"/>
  <c r="FA280" i="10"/>
  <c r="FB280" i="10"/>
  <c r="IW280" i="10"/>
  <c r="EX280" i="10"/>
  <c r="EY280" i="10"/>
  <c r="IV280" i="10"/>
  <c r="IT280" i="10"/>
  <c r="JB280" i="10"/>
  <c r="LH280" i="10"/>
  <c r="GK280" i="10"/>
  <c r="CQ280" i="10"/>
  <c r="IN281" i="10"/>
  <c r="JA281" i="10"/>
  <c r="EO281" i="10"/>
  <c r="EP281" i="10"/>
  <c r="EQ281" i="10"/>
  <c r="ER281" i="10"/>
  <c r="ES281" i="10"/>
  <c r="ET281" i="10"/>
  <c r="EU281" i="10"/>
  <c r="EV281" i="10"/>
  <c r="EW281" i="10"/>
  <c r="IU281" i="10"/>
  <c r="IZ281" i="10"/>
  <c r="EZ281" i="10"/>
  <c r="FA281" i="10"/>
  <c r="FB281" i="10"/>
  <c r="IW281" i="10"/>
  <c r="EX281" i="10"/>
  <c r="EY281" i="10"/>
  <c r="IV281" i="10"/>
  <c r="IT281" i="10"/>
  <c r="JB281" i="10"/>
  <c r="LH281" i="10"/>
  <c r="GK281" i="10"/>
  <c r="IN282" i="10"/>
  <c r="JA282" i="10"/>
  <c r="EO282" i="10"/>
  <c r="EP282" i="10"/>
  <c r="EQ282" i="10"/>
  <c r="ER282" i="10"/>
  <c r="ES282" i="10"/>
  <c r="ET282" i="10"/>
  <c r="EU282" i="10"/>
  <c r="EV282" i="10"/>
  <c r="EW282" i="10"/>
  <c r="IU282" i="10"/>
  <c r="IZ282" i="10"/>
  <c r="EZ282" i="10"/>
  <c r="FA282" i="10"/>
  <c r="FB282" i="10"/>
  <c r="IW282" i="10"/>
  <c r="EX282" i="10"/>
  <c r="EY282" i="10"/>
  <c r="IV282" i="10"/>
  <c r="IT282" i="10"/>
  <c r="JB282" i="10"/>
  <c r="LH282" i="10"/>
  <c r="GK282" i="10"/>
  <c r="CQ282" i="10"/>
  <c r="IN283" i="10"/>
  <c r="JA283" i="10"/>
  <c r="EO283" i="10"/>
  <c r="EP283" i="10"/>
  <c r="EQ283" i="10"/>
  <c r="ER283" i="10"/>
  <c r="ES283" i="10"/>
  <c r="ET283" i="10"/>
  <c r="EU283" i="10"/>
  <c r="EV283" i="10"/>
  <c r="EW283" i="10"/>
  <c r="IU283" i="10"/>
  <c r="IZ283" i="10"/>
  <c r="EZ283" i="10"/>
  <c r="FA283" i="10"/>
  <c r="FB283" i="10"/>
  <c r="IW283" i="10"/>
  <c r="EX283" i="10"/>
  <c r="EY283" i="10"/>
  <c r="IV283" i="10"/>
  <c r="IT283" i="10"/>
  <c r="JB283" i="10"/>
  <c r="LH283" i="10"/>
  <c r="GK283" i="10"/>
  <c r="CQ283" i="10"/>
  <c r="IN284" i="10"/>
  <c r="JA284" i="10"/>
  <c r="EO284" i="10"/>
  <c r="EP284" i="10"/>
  <c r="EQ284" i="10"/>
  <c r="ER284" i="10"/>
  <c r="ES284" i="10"/>
  <c r="ET284" i="10"/>
  <c r="EU284" i="10"/>
  <c r="EV284" i="10"/>
  <c r="EW284" i="10"/>
  <c r="IU284" i="10"/>
  <c r="IZ284" i="10"/>
  <c r="EZ284" i="10"/>
  <c r="FA284" i="10"/>
  <c r="FB284" i="10"/>
  <c r="IW284" i="10"/>
  <c r="EX284" i="10"/>
  <c r="EY284" i="10"/>
  <c r="IV284" i="10"/>
  <c r="IT284" i="10"/>
  <c r="JB284" i="10"/>
  <c r="LH284" i="10"/>
  <c r="GK284" i="10"/>
  <c r="IN285" i="10"/>
  <c r="JA285" i="10"/>
  <c r="EO285" i="10"/>
  <c r="EP285" i="10"/>
  <c r="EQ285" i="10"/>
  <c r="ER285" i="10"/>
  <c r="ES285" i="10"/>
  <c r="ET285" i="10"/>
  <c r="EU285" i="10"/>
  <c r="EV285" i="10"/>
  <c r="EW285" i="10"/>
  <c r="IU285" i="10"/>
  <c r="IZ285" i="10"/>
  <c r="EZ285" i="10"/>
  <c r="FA285" i="10"/>
  <c r="FB285" i="10"/>
  <c r="IW285" i="10"/>
  <c r="EX285" i="10"/>
  <c r="EY285" i="10"/>
  <c r="IV285" i="10"/>
  <c r="IT285" i="10"/>
  <c r="JB285" i="10"/>
  <c r="LH285" i="10"/>
  <c r="GK285" i="10"/>
  <c r="CQ285" i="10"/>
  <c r="IN286" i="10"/>
  <c r="JA286" i="10"/>
  <c r="EO286" i="10"/>
  <c r="EP286" i="10"/>
  <c r="EQ286" i="10"/>
  <c r="ER286" i="10"/>
  <c r="ES286" i="10"/>
  <c r="ET286" i="10"/>
  <c r="EU286" i="10"/>
  <c r="EV286" i="10"/>
  <c r="EW286" i="10"/>
  <c r="IU286" i="10"/>
  <c r="IZ286" i="10"/>
  <c r="EZ286" i="10"/>
  <c r="FA286" i="10"/>
  <c r="FB286" i="10"/>
  <c r="IW286" i="10"/>
  <c r="EX286" i="10"/>
  <c r="EY286" i="10"/>
  <c r="IV286" i="10"/>
  <c r="IT286" i="10"/>
  <c r="JB286" i="10"/>
  <c r="LH286" i="10"/>
  <c r="GK286" i="10"/>
  <c r="IN287" i="10"/>
  <c r="JA287" i="10"/>
  <c r="EO287" i="10"/>
  <c r="EP287" i="10"/>
  <c r="EQ287" i="10"/>
  <c r="ER287" i="10"/>
  <c r="ES287" i="10"/>
  <c r="ET287" i="10"/>
  <c r="EU287" i="10"/>
  <c r="EV287" i="10"/>
  <c r="EW287" i="10"/>
  <c r="IU287" i="10"/>
  <c r="IZ287" i="10"/>
  <c r="EZ287" i="10"/>
  <c r="FA287" i="10"/>
  <c r="FB287" i="10"/>
  <c r="IW287" i="10"/>
  <c r="EX287" i="10"/>
  <c r="EY287" i="10"/>
  <c r="IV287" i="10"/>
  <c r="IT287" i="10"/>
  <c r="JB287" i="10"/>
  <c r="LH287" i="10"/>
  <c r="GK287" i="10"/>
  <c r="IN288" i="10"/>
  <c r="JA288" i="10"/>
  <c r="EO288" i="10"/>
  <c r="EP288" i="10"/>
  <c r="EQ288" i="10"/>
  <c r="ER288" i="10"/>
  <c r="ES288" i="10"/>
  <c r="ET288" i="10"/>
  <c r="EU288" i="10"/>
  <c r="EV288" i="10"/>
  <c r="EW288" i="10"/>
  <c r="IU288" i="10"/>
  <c r="IZ288" i="10"/>
  <c r="EZ288" i="10"/>
  <c r="FA288" i="10"/>
  <c r="FB288" i="10"/>
  <c r="IW288" i="10"/>
  <c r="EX288" i="10"/>
  <c r="EY288" i="10"/>
  <c r="IV288" i="10"/>
  <c r="IT288" i="10"/>
  <c r="JB288" i="10"/>
  <c r="LH288" i="10"/>
  <c r="GK288" i="10"/>
  <c r="CQ288" i="10"/>
  <c r="CF288" i="10"/>
  <c r="CW288" i="10"/>
  <c r="IN289" i="10"/>
  <c r="JA289" i="10"/>
  <c r="EO289" i="10"/>
  <c r="EP289" i="10"/>
  <c r="EQ289" i="10"/>
  <c r="ER289" i="10"/>
  <c r="ES289" i="10"/>
  <c r="ET289" i="10"/>
  <c r="EU289" i="10"/>
  <c r="EV289" i="10"/>
  <c r="EW289" i="10"/>
  <c r="IU289" i="10"/>
  <c r="IZ289" i="10"/>
  <c r="EZ289" i="10"/>
  <c r="FA289" i="10"/>
  <c r="FB289" i="10"/>
  <c r="IW289" i="10"/>
  <c r="EX289" i="10"/>
  <c r="EY289" i="10"/>
  <c r="IV289" i="10"/>
  <c r="IT289" i="10"/>
  <c r="JB289" i="10"/>
  <c r="LH289" i="10"/>
  <c r="GK289" i="10"/>
  <c r="IN290" i="10"/>
  <c r="JA290" i="10"/>
  <c r="EO290" i="10"/>
  <c r="EP290" i="10"/>
  <c r="EQ290" i="10"/>
  <c r="ER290" i="10"/>
  <c r="ES290" i="10"/>
  <c r="ET290" i="10"/>
  <c r="EU290" i="10"/>
  <c r="EV290" i="10"/>
  <c r="EW290" i="10"/>
  <c r="IU290" i="10"/>
  <c r="IZ290" i="10"/>
  <c r="EZ290" i="10"/>
  <c r="FA290" i="10"/>
  <c r="FB290" i="10"/>
  <c r="IW290" i="10"/>
  <c r="EX290" i="10"/>
  <c r="EY290" i="10"/>
  <c r="IV290" i="10"/>
  <c r="IT290" i="10"/>
  <c r="JB290" i="10"/>
  <c r="LH290" i="10"/>
  <c r="GK290" i="10"/>
  <c r="CQ290" i="10"/>
  <c r="IN291" i="10"/>
  <c r="JA291" i="10"/>
  <c r="EO291" i="10"/>
  <c r="EP291" i="10"/>
  <c r="EQ291" i="10"/>
  <c r="ER291" i="10"/>
  <c r="ES291" i="10"/>
  <c r="ET291" i="10"/>
  <c r="EU291" i="10"/>
  <c r="EV291" i="10"/>
  <c r="EW291" i="10"/>
  <c r="IU291" i="10"/>
  <c r="IZ291" i="10"/>
  <c r="EZ291" i="10"/>
  <c r="FA291" i="10"/>
  <c r="FB291" i="10"/>
  <c r="IW291" i="10"/>
  <c r="EX291" i="10"/>
  <c r="EY291" i="10"/>
  <c r="IV291" i="10"/>
  <c r="IT291" i="10"/>
  <c r="JB291" i="10"/>
  <c r="LH291" i="10"/>
  <c r="GK291" i="10"/>
  <c r="IN292" i="10"/>
  <c r="JA292" i="10"/>
  <c r="EO292" i="10"/>
  <c r="EP292" i="10"/>
  <c r="EQ292" i="10"/>
  <c r="ER292" i="10"/>
  <c r="ES292" i="10"/>
  <c r="ET292" i="10"/>
  <c r="EU292" i="10"/>
  <c r="EV292" i="10"/>
  <c r="EW292" i="10"/>
  <c r="IU292" i="10"/>
  <c r="IZ292" i="10"/>
  <c r="EZ292" i="10"/>
  <c r="FA292" i="10"/>
  <c r="FB292" i="10"/>
  <c r="IW292" i="10"/>
  <c r="EX292" i="10"/>
  <c r="EY292" i="10"/>
  <c r="IV292" i="10"/>
  <c r="IT292" i="10"/>
  <c r="JB292" i="10"/>
  <c r="LH292" i="10"/>
  <c r="GK292" i="10"/>
  <c r="IN293" i="10"/>
  <c r="JA293" i="10"/>
  <c r="EO293" i="10"/>
  <c r="EP293" i="10"/>
  <c r="EQ293" i="10"/>
  <c r="ER293" i="10"/>
  <c r="ES293" i="10"/>
  <c r="ET293" i="10"/>
  <c r="EU293" i="10"/>
  <c r="EV293" i="10"/>
  <c r="EW293" i="10"/>
  <c r="IU293" i="10"/>
  <c r="IZ293" i="10"/>
  <c r="EZ293" i="10"/>
  <c r="FA293" i="10"/>
  <c r="FB293" i="10"/>
  <c r="IW293" i="10"/>
  <c r="EX293" i="10"/>
  <c r="EY293" i="10"/>
  <c r="IV293" i="10"/>
  <c r="IT293" i="10"/>
  <c r="JB293" i="10"/>
  <c r="LH293" i="10"/>
  <c r="GK293" i="10"/>
  <c r="CQ293" i="10"/>
  <c r="IN294" i="10"/>
  <c r="JA294" i="10"/>
  <c r="EO294" i="10"/>
  <c r="EP294" i="10"/>
  <c r="EQ294" i="10"/>
  <c r="ER294" i="10"/>
  <c r="ES294" i="10"/>
  <c r="ET294" i="10"/>
  <c r="EU294" i="10"/>
  <c r="EV294" i="10"/>
  <c r="EW294" i="10"/>
  <c r="IU294" i="10"/>
  <c r="IZ294" i="10"/>
  <c r="EZ294" i="10"/>
  <c r="FA294" i="10"/>
  <c r="FB294" i="10"/>
  <c r="IW294" i="10"/>
  <c r="EX294" i="10"/>
  <c r="EY294" i="10"/>
  <c r="IV294" i="10"/>
  <c r="IT294" i="10"/>
  <c r="JB294" i="10"/>
  <c r="LH294" i="10"/>
  <c r="GK294" i="10"/>
  <c r="CQ294" i="10"/>
  <c r="IN295" i="10"/>
  <c r="JA295" i="10"/>
  <c r="EO295" i="10"/>
  <c r="EP295" i="10"/>
  <c r="EQ295" i="10"/>
  <c r="ER295" i="10"/>
  <c r="ES295" i="10"/>
  <c r="ET295" i="10"/>
  <c r="EU295" i="10"/>
  <c r="EV295" i="10"/>
  <c r="EW295" i="10"/>
  <c r="IU295" i="10"/>
  <c r="IZ295" i="10"/>
  <c r="EZ295" i="10"/>
  <c r="FA295" i="10"/>
  <c r="FB295" i="10"/>
  <c r="IW295" i="10"/>
  <c r="EX295" i="10"/>
  <c r="EY295" i="10"/>
  <c r="IV295" i="10"/>
  <c r="IT295" i="10"/>
  <c r="JB295" i="10"/>
  <c r="LH295" i="10"/>
  <c r="GK295" i="10"/>
  <c r="IN296" i="10"/>
  <c r="JA296" i="10"/>
  <c r="EO296" i="10"/>
  <c r="EP296" i="10"/>
  <c r="EQ296" i="10"/>
  <c r="ER296" i="10"/>
  <c r="ES296" i="10"/>
  <c r="ET296" i="10"/>
  <c r="EU296" i="10"/>
  <c r="EV296" i="10"/>
  <c r="EW296" i="10"/>
  <c r="IU296" i="10"/>
  <c r="IZ296" i="10"/>
  <c r="EZ296" i="10"/>
  <c r="FA296" i="10"/>
  <c r="FB296" i="10"/>
  <c r="IW296" i="10"/>
  <c r="EX296" i="10"/>
  <c r="EY296" i="10"/>
  <c r="IV296" i="10"/>
  <c r="IT296" i="10"/>
  <c r="JB296" i="10"/>
  <c r="LH296" i="10"/>
  <c r="GK296" i="10"/>
  <c r="CQ296" i="10"/>
  <c r="IN297" i="10"/>
  <c r="JA297" i="10"/>
  <c r="EO297" i="10"/>
  <c r="EP297" i="10"/>
  <c r="EQ297" i="10"/>
  <c r="ER297" i="10"/>
  <c r="ES297" i="10"/>
  <c r="ET297" i="10"/>
  <c r="EU297" i="10"/>
  <c r="EV297" i="10"/>
  <c r="EW297" i="10"/>
  <c r="IU297" i="10"/>
  <c r="IZ297" i="10"/>
  <c r="EZ297" i="10"/>
  <c r="FA297" i="10"/>
  <c r="FB297" i="10"/>
  <c r="IW297" i="10"/>
  <c r="EX297" i="10"/>
  <c r="EY297" i="10"/>
  <c r="IV297" i="10"/>
  <c r="IT297" i="10"/>
  <c r="JB297" i="10"/>
  <c r="LH297" i="10"/>
  <c r="GK297" i="10"/>
  <c r="IN298" i="10"/>
  <c r="JA298" i="10"/>
  <c r="EO298" i="10"/>
  <c r="EP298" i="10"/>
  <c r="EQ298" i="10"/>
  <c r="ER298" i="10"/>
  <c r="ES298" i="10"/>
  <c r="ET298" i="10"/>
  <c r="EU298" i="10"/>
  <c r="EV298" i="10"/>
  <c r="EW298" i="10"/>
  <c r="IU298" i="10"/>
  <c r="IZ298" i="10"/>
  <c r="EZ298" i="10"/>
  <c r="FA298" i="10"/>
  <c r="FB298" i="10"/>
  <c r="IW298" i="10"/>
  <c r="EX298" i="10"/>
  <c r="EY298" i="10"/>
  <c r="IV298" i="10"/>
  <c r="IT298" i="10"/>
  <c r="JB298" i="10"/>
  <c r="LH298" i="10"/>
  <c r="GK298" i="10"/>
  <c r="CQ298" i="10"/>
  <c r="IN299" i="10"/>
  <c r="JA299" i="10"/>
  <c r="EO299" i="10"/>
  <c r="EP299" i="10"/>
  <c r="EQ299" i="10"/>
  <c r="ER299" i="10"/>
  <c r="ES299" i="10"/>
  <c r="ET299" i="10"/>
  <c r="EU299" i="10"/>
  <c r="EV299" i="10"/>
  <c r="EW299" i="10"/>
  <c r="IU299" i="10"/>
  <c r="IZ299" i="10"/>
  <c r="EZ299" i="10"/>
  <c r="FA299" i="10"/>
  <c r="FB299" i="10"/>
  <c r="IW299" i="10"/>
  <c r="EX299" i="10"/>
  <c r="EY299" i="10"/>
  <c r="IV299" i="10"/>
  <c r="IT299" i="10"/>
  <c r="JB299" i="10"/>
  <c r="LH299" i="10"/>
  <c r="GK299" i="10"/>
  <c r="CQ299" i="10"/>
  <c r="IN300" i="10"/>
  <c r="JA300" i="10"/>
  <c r="EO300" i="10"/>
  <c r="EP300" i="10"/>
  <c r="EQ300" i="10"/>
  <c r="ER300" i="10"/>
  <c r="ES300" i="10"/>
  <c r="ET300" i="10"/>
  <c r="EU300" i="10"/>
  <c r="EV300" i="10"/>
  <c r="EW300" i="10"/>
  <c r="IU300" i="10"/>
  <c r="IZ300" i="10"/>
  <c r="EZ300" i="10"/>
  <c r="FA300" i="10"/>
  <c r="FB300" i="10"/>
  <c r="IW300" i="10"/>
  <c r="EX300" i="10"/>
  <c r="EY300" i="10"/>
  <c r="IV300" i="10"/>
  <c r="IT300" i="10"/>
  <c r="JB300" i="10"/>
  <c r="LH300" i="10"/>
  <c r="GK300" i="10"/>
  <c r="IN301" i="10"/>
  <c r="JA301" i="10"/>
  <c r="EO301" i="10"/>
  <c r="EP301" i="10"/>
  <c r="EQ301" i="10"/>
  <c r="ER301" i="10"/>
  <c r="ES301" i="10"/>
  <c r="ET301" i="10"/>
  <c r="EU301" i="10"/>
  <c r="EV301" i="10"/>
  <c r="EW301" i="10"/>
  <c r="IU301" i="10"/>
  <c r="IZ301" i="10"/>
  <c r="EZ301" i="10"/>
  <c r="FA301" i="10"/>
  <c r="FB301" i="10"/>
  <c r="IW301" i="10"/>
  <c r="EX301" i="10"/>
  <c r="EY301" i="10"/>
  <c r="IV301" i="10"/>
  <c r="IT301" i="10"/>
  <c r="JB301" i="10"/>
  <c r="LH301" i="10"/>
  <c r="GK301" i="10"/>
  <c r="CQ301" i="10"/>
  <c r="IN302" i="10"/>
  <c r="JA302" i="10"/>
  <c r="EO302" i="10"/>
  <c r="EP302" i="10"/>
  <c r="EQ302" i="10"/>
  <c r="ER302" i="10"/>
  <c r="ES302" i="10"/>
  <c r="ET302" i="10"/>
  <c r="EU302" i="10"/>
  <c r="EV302" i="10"/>
  <c r="EW302" i="10"/>
  <c r="IU302" i="10"/>
  <c r="IZ302" i="10"/>
  <c r="EZ302" i="10"/>
  <c r="FA302" i="10"/>
  <c r="FB302" i="10"/>
  <c r="IW302" i="10"/>
  <c r="EX302" i="10"/>
  <c r="EY302" i="10"/>
  <c r="IV302" i="10"/>
  <c r="IT302" i="10"/>
  <c r="JB302" i="10"/>
  <c r="LH302" i="10"/>
  <c r="GK302" i="10"/>
  <c r="IN303" i="10"/>
  <c r="JA303" i="10"/>
  <c r="EO303" i="10"/>
  <c r="EP303" i="10"/>
  <c r="EQ303" i="10"/>
  <c r="ER303" i="10"/>
  <c r="ES303" i="10"/>
  <c r="ET303" i="10"/>
  <c r="EU303" i="10"/>
  <c r="EV303" i="10"/>
  <c r="EW303" i="10"/>
  <c r="IU303" i="10"/>
  <c r="IZ303" i="10"/>
  <c r="EZ303" i="10"/>
  <c r="FA303" i="10"/>
  <c r="FB303" i="10"/>
  <c r="IW303" i="10"/>
  <c r="EX303" i="10"/>
  <c r="EY303" i="10"/>
  <c r="IV303" i="10"/>
  <c r="IT303" i="10"/>
  <c r="JB303" i="10"/>
  <c r="LH303" i="10"/>
  <c r="GK303" i="10"/>
  <c r="IN304" i="10"/>
  <c r="JA304" i="10"/>
  <c r="EO304" i="10"/>
  <c r="EP304" i="10"/>
  <c r="EQ304" i="10"/>
  <c r="ER304" i="10"/>
  <c r="ES304" i="10"/>
  <c r="ET304" i="10"/>
  <c r="EU304" i="10"/>
  <c r="EV304" i="10"/>
  <c r="EW304" i="10"/>
  <c r="IU304" i="10"/>
  <c r="IZ304" i="10"/>
  <c r="EZ304" i="10"/>
  <c r="FA304" i="10"/>
  <c r="FB304" i="10"/>
  <c r="IW304" i="10"/>
  <c r="EX304" i="10"/>
  <c r="EY304" i="10"/>
  <c r="IV304" i="10"/>
  <c r="IT304" i="10"/>
  <c r="JB304" i="10"/>
  <c r="LH304" i="10"/>
  <c r="GK304" i="10"/>
  <c r="IN305" i="10"/>
  <c r="JA305" i="10"/>
  <c r="EO305" i="10"/>
  <c r="EP305" i="10"/>
  <c r="EQ305" i="10"/>
  <c r="ER305" i="10"/>
  <c r="ES305" i="10"/>
  <c r="ET305" i="10"/>
  <c r="EU305" i="10"/>
  <c r="EV305" i="10"/>
  <c r="EW305" i="10"/>
  <c r="IU305" i="10"/>
  <c r="IZ305" i="10"/>
  <c r="EZ305" i="10"/>
  <c r="FA305" i="10"/>
  <c r="FB305" i="10"/>
  <c r="IW305" i="10"/>
  <c r="EX305" i="10"/>
  <c r="EY305" i="10"/>
  <c r="IV305" i="10"/>
  <c r="IT305" i="10"/>
  <c r="JB305" i="10"/>
  <c r="LH305" i="10"/>
  <c r="GK305" i="10"/>
  <c r="CQ305" i="10"/>
  <c r="CF305" i="10"/>
  <c r="CW305" i="10"/>
  <c r="IN306" i="10"/>
  <c r="JA306" i="10"/>
  <c r="EO306" i="10"/>
  <c r="EP306" i="10"/>
  <c r="EQ306" i="10"/>
  <c r="ER306" i="10"/>
  <c r="ES306" i="10"/>
  <c r="ET306" i="10"/>
  <c r="EU306" i="10"/>
  <c r="EV306" i="10"/>
  <c r="EW306" i="10"/>
  <c r="IU306" i="10"/>
  <c r="IZ306" i="10"/>
  <c r="EZ306" i="10"/>
  <c r="FA306" i="10"/>
  <c r="FB306" i="10"/>
  <c r="IW306" i="10"/>
  <c r="EX306" i="10"/>
  <c r="EY306" i="10"/>
  <c r="IV306" i="10"/>
  <c r="IT306" i="10"/>
  <c r="JB306" i="10"/>
  <c r="LH306" i="10"/>
  <c r="GK306" i="10"/>
  <c r="CQ306" i="10"/>
  <c r="IN307" i="10"/>
  <c r="JA307" i="10"/>
  <c r="EO307" i="10"/>
  <c r="EP307" i="10"/>
  <c r="EQ307" i="10"/>
  <c r="ER307" i="10"/>
  <c r="ES307" i="10"/>
  <c r="ET307" i="10"/>
  <c r="EU307" i="10"/>
  <c r="EV307" i="10"/>
  <c r="EW307" i="10"/>
  <c r="IU307" i="10"/>
  <c r="IZ307" i="10"/>
  <c r="EZ307" i="10"/>
  <c r="FA307" i="10"/>
  <c r="FB307" i="10"/>
  <c r="IW307" i="10"/>
  <c r="EX307" i="10"/>
  <c r="EY307" i="10"/>
  <c r="IV307" i="10"/>
  <c r="IT307" i="10"/>
  <c r="JB307" i="10"/>
  <c r="LH307" i="10"/>
  <c r="GK307" i="10"/>
  <c r="IN308" i="10"/>
  <c r="JA308" i="10"/>
  <c r="EO308" i="10"/>
  <c r="EP308" i="10"/>
  <c r="EQ308" i="10"/>
  <c r="ER308" i="10"/>
  <c r="ES308" i="10"/>
  <c r="ET308" i="10"/>
  <c r="EU308" i="10"/>
  <c r="EV308" i="10"/>
  <c r="EW308" i="10"/>
  <c r="IU308" i="10"/>
  <c r="IZ308" i="10"/>
  <c r="EZ308" i="10"/>
  <c r="FA308" i="10"/>
  <c r="FB308" i="10"/>
  <c r="IW308" i="10"/>
  <c r="EX308" i="10"/>
  <c r="EY308" i="10"/>
  <c r="IV308" i="10"/>
  <c r="IT308" i="10"/>
  <c r="JB308" i="10"/>
  <c r="LH308" i="10"/>
  <c r="GK308" i="10"/>
  <c r="IN309" i="10"/>
  <c r="JA309" i="10"/>
  <c r="EO309" i="10"/>
  <c r="EP309" i="10"/>
  <c r="EQ309" i="10"/>
  <c r="ER309" i="10"/>
  <c r="ES309" i="10"/>
  <c r="ET309" i="10"/>
  <c r="EU309" i="10"/>
  <c r="EV309" i="10"/>
  <c r="EW309" i="10"/>
  <c r="IU309" i="10"/>
  <c r="IZ309" i="10"/>
  <c r="EZ309" i="10"/>
  <c r="FA309" i="10"/>
  <c r="FB309" i="10"/>
  <c r="IW309" i="10"/>
  <c r="EX309" i="10"/>
  <c r="EY309" i="10"/>
  <c r="IV309" i="10"/>
  <c r="IT309" i="10"/>
  <c r="JB309" i="10"/>
  <c r="LH309" i="10"/>
  <c r="GK309" i="10"/>
  <c r="IN310" i="10"/>
  <c r="JA310" i="10"/>
  <c r="EO310" i="10"/>
  <c r="EP310" i="10"/>
  <c r="EQ310" i="10"/>
  <c r="ER310" i="10"/>
  <c r="ES310" i="10"/>
  <c r="ET310" i="10"/>
  <c r="EU310" i="10"/>
  <c r="EV310" i="10"/>
  <c r="EW310" i="10"/>
  <c r="IU310" i="10"/>
  <c r="IZ310" i="10"/>
  <c r="EZ310" i="10"/>
  <c r="FA310" i="10"/>
  <c r="FB310" i="10"/>
  <c r="IW310" i="10"/>
  <c r="EX310" i="10"/>
  <c r="EY310" i="10"/>
  <c r="IV310" i="10"/>
  <c r="IT310" i="10"/>
  <c r="JB310" i="10"/>
  <c r="LH310" i="10"/>
  <c r="GK310" i="10"/>
  <c r="IN311" i="10"/>
  <c r="JA311" i="10"/>
  <c r="EO311" i="10"/>
  <c r="EP311" i="10"/>
  <c r="EQ311" i="10"/>
  <c r="ER311" i="10"/>
  <c r="ES311" i="10"/>
  <c r="ET311" i="10"/>
  <c r="EU311" i="10"/>
  <c r="EV311" i="10"/>
  <c r="EW311" i="10"/>
  <c r="IU311" i="10"/>
  <c r="IZ311" i="10"/>
  <c r="EZ311" i="10"/>
  <c r="FA311" i="10"/>
  <c r="FB311" i="10"/>
  <c r="IW311" i="10"/>
  <c r="EX311" i="10"/>
  <c r="EY311" i="10"/>
  <c r="IV311" i="10"/>
  <c r="IT311" i="10"/>
  <c r="JB311" i="10"/>
  <c r="LH311" i="10"/>
  <c r="GK311" i="10"/>
  <c r="IN312" i="10"/>
  <c r="JA312" i="10"/>
  <c r="EO312" i="10"/>
  <c r="EP312" i="10"/>
  <c r="EQ312" i="10"/>
  <c r="ER312" i="10"/>
  <c r="ES312" i="10"/>
  <c r="ET312" i="10"/>
  <c r="EU312" i="10"/>
  <c r="EV312" i="10"/>
  <c r="EW312" i="10"/>
  <c r="IU312" i="10"/>
  <c r="IZ312" i="10"/>
  <c r="EZ312" i="10"/>
  <c r="FA312" i="10"/>
  <c r="FB312" i="10"/>
  <c r="IW312" i="10"/>
  <c r="EX312" i="10"/>
  <c r="EY312" i="10"/>
  <c r="IV312" i="10"/>
  <c r="IT312" i="10"/>
  <c r="JB312" i="10"/>
  <c r="LH312" i="10"/>
  <c r="GK312" i="10"/>
  <c r="CQ312" i="10"/>
  <c r="IN313" i="10"/>
  <c r="JA313" i="10"/>
  <c r="EO313" i="10"/>
  <c r="EP313" i="10"/>
  <c r="EQ313" i="10"/>
  <c r="ER313" i="10"/>
  <c r="ES313" i="10"/>
  <c r="ET313" i="10"/>
  <c r="EU313" i="10"/>
  <c r="EV313" i="10"/>
  <c r="EW313" i="10"/>
  <c r="IU313" i="10"/>
  <c r="IZ313" i="10"/>
  <c r="EZ313" i="10"/>
  <c r="FA313" i="10"/>
  <c r="FB313" i="10"/>
  <c r="IW313" i="10"/>
  <c r="EX313" i="10"/>
  <c r="EY313" i="10"/>
  <c r="IV313" i="10"/>
  <c r="IT313" i="10"/>
  <c r="JB313" i="10"/>
  <c r="LH313" i="10"/>
  <c r="GK313" i="10"/>
  <c r="CQ313" i="10"/>
  <c r="IN314" i="10"/>
  <c r="JA314" i="10"/>
  <c r="EO314" i="10"/>
  <c r="EP314" i="10"/>
  <c r="EQ314" i="10"/>
  <c r="ER314" i="10"/>
  <c r="ES314" i="10"/>
  <c r="ET314" i="10"/>
  <c r="EU314" i="10"/>
  <c r="EV314" i="10"/>
  <c r="EW314" i="10"/>
  <c r="IU314" i="10"/>
  <c r="IZ314" i="10"/>
  <c r="EZ314" i="10"/>
  <c r="FA314" i="10"/>
  <c r="FB314" i="10"/>
  <c r="IW314" i="10"/>
  <c r="EX314" i="10"/>
  <c r="EY314" i="10"/>
  <c r="IV314" i="10"/>
  <c r="IT314" i="10"/>
  <c r="JB314" i="10"/>
  <c r="LH314" i="10"/>
  <c r="GK314" i="10"/>
  <c r="IN315" i="10"/>
  <c r="JA315" i="10"/>
  <c r="EO315" i="10"/>
  <c r="EP315" i="10"/>
  <c r="EQ315" i="10"/>
  <c r="ER315" i="10"/>
  <c r="ES315" i="10"/>
  <c r="ET315" i="10"/>
  <c r="EU315" i="10"/>
  <c r="EV315" i="10"/>
  <c r="EW315" i="10"/>
  <c r="IU315" i="10"/>
  <c r="IZ315" i="10"/>
  <c r="EZ315" i="10"/>
  <c r="FA315" i="10"/>
  <c r="FB315" i="10"/>
  <c r="IW315" i="10"/>
  <c r="EX315" i="10"/>
  <c r="EY315" i="10"/>
  <c r="IV315" i="10"/>
  <c r="IT315" i="10"/>
  <c r="JB315" i="10"/>
  <c r="LH315" i="10"/>
  <c r="GK315" i="10"/>
  <c r="IN316" i="10"/>
  <c r="JA316" i="10"/>
  <c r="EO316" i="10"/>
  <c r="EP316" i="10"/>
  <c r="EQ316" i="10"/>
  <c r="ER316" i="10"/>
  <c r="ES316" i="10"/>
  <c r="ET316" i="10"/>
  <c r="EU316" i="10"/>
  <c r="EV316" i="10"/>
  <c r="EW316" i="10"/>
  <c r="IU316" i="10"/>
  <c r="IZ316" i="10"/>
  <c r="EZ316" i="10"/>
  <c r="FA316" i="10"/>
  <c r="FB316" i="10"/>
  <c r="IW316" i="10"/>
  <c r="EX316" i="10"/>
  <c r="EY316" i="10"/>
  <c r="IV316" i="10"/>
  <c r="IT316" i="10"/>
  <c r="JB316" i="10"/>
  <c r="LH316" i="10"/>
  <c r="GK316" i="10"/>
  <c r="CQ316" i="10"/>
  <c r="IN317" i="10"/>
  <c r="JA317" i="10"/>
  <c r="EO317" i="10"/>
  <c r="EP317" i="10"/>
  <c r="EQ317" i="10"/>
  <c r="ER317" i="10"/>
  <c r="ES317" i="10"/>
  <c r="ET317" i="10"/>
  <c r="EU317" i="10"/>
  <c r="EV317" i="10"/>
  <c r="EW317" i="10"/>
  <c r="IU317" i="10"/>
  <c r="IZ317" i="10"/>
  <c r="EZ317" i="10"/>
  <c r="FA317" i="10"/>
  <c r="FB317" i="10"/>
  <c r="IW317" i="10"/>
  <c r="EX317" i="10"/>
  <c r="EY317" i="10"/>
  <c r="IV317" i="10"/>
  <c r="IT317" i="10"/>
  <c r="JB317" i="10"/>
  <c r="LH317" i="10"/>
  <c r="GK317" i="10"/>
  <c r="CQ317" i="10"/>
  <c r="IN318" i="10"/>
  <c r="JA318" i="10"/>
  <c r="EO318" i="10"/>
  <c r="EP318" i="10"/>
  <c r="EQ318" i="10"/>
  <c r="ER318" i="10"/>
  <c r="ES318" i="10"/>
  <c r="ET318" i="10"/>
  <c r="EU318" i="10"/>
  <c r="EV318" i="10"/>
  <c r="EW318" i="10"/>
  <c r="IU318" i="10"/>
  <c r="IZ318" i="10"/>
  <c r="EZ318" i="10"/>
  <c r="FA318" i="10"/>
  <c r="FB318" i="10"/>
  <c r="IW318" i="10"/>
  <c r="EX318" i="10"/>
  <c r="EY318" i="10"/>
  <c r="IV318" i="10"/>
  <c r="IT318" i="10"/>
  <c r="JB318" i="10"/>
  <c r="LH318" i="10"/>
  <c r="GK318" i="10"/>
  <c r="CQ318" i="10"/>
  <c r="IN319" i="10"/>
  <c r="JA319" i="10"/>
  <c r="EO319" i="10"/>
  <c r="EP319" i="10"/>
  <c r="EQ319" i="10"/>
  <c r="ER319" i="10"/>
  <c r="ES319" i="10"/>
  <c r="ET319" i="10"/>
  <c r="EU319" i="10"/>
  <c r="EV319" i="10"/>
  <c r="EW319" i="10"/>
  <c r="IU319" i="10"/>
  <c r="IZ319" i="10"/>
  <c r="EZ319" i="10"/>
  <c r="FA319" i="10"/>
  <c r="FB319" i="10"/>
  <c r="IW319" i="10"/>
  <c r="EX319" i="10"/>
  <c r="EY319" i="10"/>
  <c r="IV319" i="10"/>
  <c r="IT319" i="10"/>
  <c r="JB319" i="10"/>
  <c r="LH319" i="10"/>
  <c r="GK319" i="10"/>
  <c r="IN320" i="10"/>
  <c r="JA320" i="10"/>
  <c r="EO320" i="10"/>
  <c r="EP320" i="10"/>
  <c r="EQ320" i="10"/>
  <c r="ER320" i="10"/>
  <c r="ES320" i="10"/>
  <c r="ET320" i="10"/>
  <c r="EU320" i="10"/>
  <c r="EV320" i="10"/>
  <c r="EW320" i="10"/>
  <c r="IU320" i="10"/>
  <c r="IZ320" i="10"/>
  <c r="EZ320" i="10"/>
  <c r="FA320" i="10"/>
  <c r="FB320" i="10"/>
  <c r="IW320" i="10"/>
  <c r="EX320" i="10"/>
  <c r="EY320" i="10"/>
  <c r="IV320" i="10"/>
  <c r="IT320" i="10"/>
  <c r="JB320" i="10"/>
  <c r="LH320" i="10"/>
  <c r="GK320" i="10"/>
  <c r="IN321" i="10"/>
  <c r="JA321" i="10"/>
  <c r="EO321" i="10"/>
  <c r="EP321" i="10"/>
  <c r="EQ321" i="10"/>
  <c r="ER321" i="10"/>
  <c r="ES321" i="10"/>
  <c r="ET321" i="10"/>
  <c r="EU321" i="10"/>
  <c r="EV321" i="10"/>
  <c r="EW321" i="10"/>
  <c r="IU321" i="10"/>
  <c r="IZ321" i="10"/>
  <c r="EZ321" i="10"/>
  <c r="FA321" i="10"/>
  <c r="FB321" i="10"/>
  <c r="IW321" i="10"/>
  <c r="EX321" i="10"/>
  <c r="EY321" i="10"/>
  <c r="IV321" i="10"/>
  <c r="IT321" i="10"/>
  <c r="JB321" i="10"/>
  <c r="LH321" i="10"/>
  <c r="GK321" i="10"/>
  <c r="CQ321" i="10"/>
  <c r="IN322" i="10"/>
  <c r="JA322" i="10"/>
  <c r="EO322" i="10"/>
  <c r="EP322" i="10"/>
  <c r="EQ322" i="10"/>
  <c r="ER322" i="10"/>
  <c r="ES322" i="10"/>
  <c r="ET322" i="10"/>
  <c r="EU322" i="10"/>
  <c r="EV322" i="10"/>
  <c r="EW322" i="10"/>
  <c r="IU322" i="10"/>
  <c r="IZ322" i="10"/>
  <c r="EZ322" i="10"/>
  <c r="FA322" i="10"/>
  <c r="FB322" i="10"/>
  <c r="IW322" i="10"/>
  <c r="EX322" i="10"/>
  <c r="EY322" i="10"/>
  <c r="IV322" i="10"/>
  <c r="IT322" i="10"/>
  <c r="JB322" i="10"/>
  <c r="LH322" i="10"/>
  <c r="GK322" i="10"/>
  <c r="IN323" i="10"/>
  <c r="JA323" i="10"/>
  <c r="EO323" i="10"/>
  <c r="EP323" i="10"/>
  <c r="EQ323" i="10"/>
  <c r="ER323" i="10"/>
  <c r="ES323" i="10"/>
  <c r="ET323" i="10"/>
  <c r="EU323" i="10"/>
  <c r="EV323" i="10"/>
  <c r="EW323" i="10"/>
  <c r="IU323" i="10"/>
  <c r="IZ323" i="10"/>
  <c r="EZ323" i="10"/>
  <c r="FA323" i="10"/>
  <c r="FB323" i="10"/>
  <c r="IW323" i="10"/>
  <c r="EX323" i="10"/>
  <c r="EY323" i="10"/>
  <c r="IV323" i="10"/>
  <c r="IT323" i="10"/>
  <c r="JB323" i="10"/>
  <c r="LH323" i="10"/>
  <c r="GK323" i="10"/>
  <c r="CQ323" i="10"/>
  <c r="IN324" i="10"/>
  <c r="JA324" i="10"/>
  <c r="EO324" i="10"/>
  <c r="EP324" i="10"/>
  <c r="EQ324" i="10"/>
  <c r="ER324" i="10"/>
  <c r="ES324" i="10"/>
  <c r="ET324" i="10"/>
  <c r="EU324" i="10"/>
  <c r="EV324" i="10"/>
  <c r="EW324" i="10"/>
  <c r="IU324" i="10"/>
  <c r="IZ324" i="10"/>
  <c r="EZ324" i="10"/>
  <c r="FA324" i="10"/>
  <c r="FB324" i="10"/>
  <c r="IW324" i="10"/>
  <c r="EX324" i="10"/>
  <c r="EY324" i="10"/>
  <c r="IV324" i="10"/>
  <c r="IT324" i="10"/>
  <c r="JB324" i="10"/>
  <c r="LH324" i="10"/>
  <c r="GK324" i="10"/>
  <c r="CQ324" i="10"/>
  <c r="IN325" i="10"/>
  <c r="JA325" i="10"/>
  <c r="EO325" i="10"/>
  <c r="EP325" i="10"/>
  <c r="EQ325" i="10"/>
  <c r="ER325" i="10"/>
  <c r="ES325" i="10"/>
  <c r="ET325" i="10"/>
  <c r="EU325" i="10"/>
  <c r="EV325" i="10"/>
  <c r="EW325" i="10"/>
  <c r="IU325" i="10"/>
  <c r="IZ325" i="10"/>
  <c r="EZ325" i="10"/>
  <c r="FA325" i="10"/>
  <c r="FB325" i="10"/>
  <c r="IW325" i="10"/>
  <c r="EX325" i="10"/>
  <c r="EY325" i="10"/>
  <c r="IV325" i="10"/>
  <c r="IT325" i="10"/>
  <c r="JB325" i="10"/>
  <c r="LH325" i="10"/>
  <c r="GK325" i="10"/>
  <c r="IN326" i="10"/>
  <c r="JA326" i="10"/>
  <c r="EO326" i="10"/>
  <c r="EP326" i="10"/>
  <c r="EQ326" i="10"/>
  <c r="ER326" i="10"/>
  <c r="ES326" i="10"/>
  <c r="ET326" i="10"/>
  <c r="EU326" i="10"/>
  <c r="EV326" i="10"/>
  <c r="EW326" i="10"/>
  <c r="IU326" i="10"/>
  <c r="IZ326" i="10"/>
  <c r="EZ326" i="10"/>
  <c r="FA326" i="10"/>
  <c r="FB326" i="10"/>
  <c r="IW326" i="10"/>
  <c r="EX326" i="10"/>
  <c r="EY326" i="10"/>
  <c r="IV326" i="10"/>
  <c r="IT326" i="10"/>
  <c r="JB326" i="10"/>
  <c r="LH326" i="10"/>
  <c r="GK326" i="10"/>
  <c r="CQ326" i="10"/>
  <c r="IN327" i="10"/>
  <c r="JA327" i="10"/>
  <c r="EO327" i="10"/>
  <c r="EP327" i="10"/>
  <c r="EQ327" i="10"/>
  <c r="ER327" i="10"/>
  <c r="ES327" i="10"/>
  <c r="ET327" i="10"/>
  <c r="EU327" i="10"/>
  <c r="EV327" i="10"/>
  <c r="EW327" i="10"/>
  <c r="IU327" i="10"/>
  <c r="IZ327" i="10"/>
  <c r="EZ327" i="10"/>
  <c r="FA327" i="10"/>
  <c r="FB327" i="10"/>
  <c r="IW327" i="10"/>
  <c r="EX327" i="10"/>
  <c r="EY327" i="10"/>
  <c r="IV327" i="10"/>
  <c r="IT327" i="10"/>
  <c r="JB327" i="10"/>
  <c r="LH327" i="10"/>
  <c r="GK327" i="10"/>
  <c r="IN328" i="10"/>
  <c r="JA328" i="10"/>
  <c r="EO328" i="10"/>
  <c r="EP328" i="10"/>
  <c r="EQ328" i="10"/>
  <c r="ER328" i="10"/>
  <c r="ES328" i="10"/>
  <c r="ET328" i="10"/>
  <c r="EU328" i="10"/>
  <c r="EV328" i="10"/>
  <c r="EW328" i="10"/>
  <c r="IU328" i="10"/>
  <c r="IZ328" i="10"/>
  <c r="EZ328" i="10"/>
  <c r="FA328" i="10"/>
  <c r="FB328" i="10"/>
  <c r="IW328" i="10"/>
  <c r="EX328" i="10"/>
  <c r="EY328" i="10"/>
  <c r="IV328" i="10"/>
  <c r="IT328" i="10"/>
  <c r="JB328" i="10"/>
  <c r="LH328" i="10"/>
  <c r="GK328" i="10"/>
  <c r="IN329" i="10"/>
  <c r="JA329" i="10"/>
  <c r="EO329" i="10"/>
  <c r="EP329" i="10"/>
  <c r="EQ329" i="10"/>
  <c r="ER329" i="10"/>
  <c r="ES329" i="10"/>
  <c r="ET329" i="10"/>
  <c r="EU329" i="10"/>
  <c r="EV329" i="10"/>
  <c r="EW329" i="10"/>
  <c r="IU329" i="10"/>
  <c r="IZ329" i="10"/>
  <c r="EZ329" i="10"/>
  <c r="FA329" i="10"/>
  <c r="FB329" i="10"/>
  <c r="IW329" i="10"/>
  <c r="EX329" i="10"/>
  <c r="EY329" i="10"/>
  <c r="IV329" i="10"/>
  <c r="IT329" i="10"/>
  <c r="JB329" i="10"/>
  <c r="LH329" i="10"/>
  <c r="GK329" i="10"/>
  <c r="CQ329" i="10"/>
  <c r="IN330" i="10"/>
  <c r="JA330" i="10"/>
  <c r="EO330" i="10"/>
  <c r="EP330" i="10"/>
  <c r="EQ330" i="10"/>
  <c r="ER330" i="10"/>
  <c r="ES330" i="10"/>
  <c r="ET330" i="10"/>
  <c r="EU330" i="10"/>
  <c r="EV330" i="10"/>
  <c r="EW330" i="10"/>
  <c r="IU330" i="10"/>
  <c r="IZ330" i="10"/>
  <c r="EZ330" i="10"/>
  <c r="FA330" i="10"/>
  <c r="FB330" i="10"/>
  <c r="IW330" i="10"/>
  <c r="EX330" i="10"/>
  <c r="EY330" i="10"/>
  <c r="IV330" i="10"/>
  <c r="IT330" i="10"/>
  <c r="JB330" i="10"/>
  <c r="LH330" i="10"/>
  <c r="GK330" i="10"/>
  <c r="IN331" i="10"/>
  <c r="JA331" i="10"/>
  <c r="EO331" i="10"/>
  <c r="EP331" i="10"/>
  <c r="EQ331" i="10"/>
  <c r="ER331" i="10"/>
  <c r="ES331" i="10"/>
  <c r="ET331" i="10"/>
  <c r="EU331" i="10"/>
  <c r="EV331" i="10"/>
  <c r="EW331" i="10"/>
  <c r="IU331" i="10"/>
  <c r="IZ331" i="10"/>
  <c r="EZ331" i="10"/>
  <c r="FA331" i="10"/>
  <c r="FB331" i="10"/>
  <c r="IW331" i="10"/>
  <c r="EX331" i="10"/>
  <c r="EY331" i="10"/>
  <c r="IV331" i="10"/>
  <c r="IT331" i="10"/>
  <c r="JB331" i="10"/>
  <c r="LH331" i="10"/>
  <c r="GK331" i="10"/>
  <c r="CQ331" i="10"/>
  <c r="CF331" i="10"/>
  <c r="CW331" i="10"/>
  <c r="IN332" i="10"/>
  <c r="JA332" i="10"/>
  <c r="EO332" i="10"/>
  <c r="EP332" i="10"/>
  <c r="EQ332" i="10"/>
  <c r="ER332" i="10"/>
  <c r="ES332" i="10"/>
  <c r="ET332" i="10"/>
  <c r="EU332" i="10"/>
  <c r="EV332" i="10"/>
  <c r="EW332" i="10"/>
  <c r="IU332" i="10"/>
  <c r="IZ332" i="10"/>
  <c r="EZ332" i="10"/>
  <c r="FA332" i="10"/>
  <c r="FB332" i="10"/>
  <c r="IW332" i="10"/>
  <c r="EX332" i="10"/>
  <c r="EY332" i="10"/>
  <c r="IV332" i="10"/>
  <c r="IT332" i="10"/>
  <c r="JB332" i="10"/>
  <c r="LH332" i="10"/>
  <c r="GK332" i="10"/>
  <c r="CQ332" i="10"/>
  <c r="IN333" i="10"/>
  <c r="JA333" i="10"/>
  <c r="EO333" i="10"/>
  <c r="EP333" i="10"/>
  <c r="EQ333" i="10"/>
  <c r="ER333" i="10"/>
  <c r="ES333" i="10"/>
  <c r="ET333" i="10"/>
  <c r="EU333" i="10"/>
  <c r="EV333" i="10"/>
  <c r="EW333" i="10"/>
  <c r="IU333" i="10"/>
  <c r="IZ333" i="10"/>
  <c r="EZ333" i="10"/>
  <c r="FA333" i="10"/>
  <c r="FB333" i="10"/>
  <c r="IW333" i="10"/>
  <c r="EX333" i="10"/>
  <c r="EY333" i="10"/>
  <c r="IV333" i="10"/>
  <c r="IT333" i="10"/>
  <c r="JB333" i="10"/>
  <c r="LH333" i="10"/>
  <c r="GK333" i="10"/>
  <c r="IN334" i="10"/>
  <c r="JA334" i="10"/>
  <c r="EO334" i="10"/>
  <c r="EP334" i="10"/>
  <c r="EQ334" i="10"/>
  <c r="ER334" i="10"/>
  <c r="ES334" i="10"/>
  <c r="ET334" i="10"/>
  <c r="EU334" i="10"/>
  <c r="EV334" i="10"/>
  <c r="EW334" i="10"/>
  <c r="IU334" i="10"/>
  <c r="IZ334" i="10"/>
  <c r="EZ334" i="10"/>
  <c r="FA334" i="10"/>
  <c r="FB334" i="10"/>
  <c r="IW334" i="10"/>
  <c r="EX334" i="10"/>
  <c r="EY334" i="10"/>
  <c r="IV334" i="10"/>
  <c r="IT334" i="10"/>
  <c r="JB334" i="10"/>
  <c r="LH334" i="10"/>
  <c r="GK334" i="10"/>
  <c r="CQ334" i="10"/>
  <c r="IN335" i="10"/>
  <c r="JA335" i="10"/>
  <c r="EO335" i="10"/>
  <c r="EP335" i="10"/>
  <c r="EQ335" i="10"/>
  <c r="ER335" i="10"/>
  <c r="ES335" i="10"/>
  <c r="ET335" i="10"/>
  <c r="EU335" i="10"/>
  <c r="EV335" i="10"/>
  <c r="EW335" i="10"/>
  <c r="IU335" i="10"/>
  <c r="IZ335" i="10"/>
  <c r="EZ335" i="10"/>
  <c r="FA335" i="10"/>
  <c r="FB335" i="10"/>
  <c r="IW335" i="10"/>
  <c r="EX335" i="10"/>
  <c r="EY335" i="10"/>
  <c r="IV335" i="10"/>
  <c r="IT335" i="10"/>
  <c r="JB335" i="10"/>
  <c r="LH335" i="10"/>
  <c r="GK335" i="10"/>
  <c r="IN336" i="10"/>
  <c r="JA336" i="10"/>
  <c r="EO336" i="10"/>
  <c r="EP336" i="10"/>
  <c r="EQ336" i="10"/>
  <c r="ER336" i="10"/>
  <c r="ES336" i="10"/>
  <c r="ET336" i="10"/>
  <c r="EU336" i="10"/>
  <c r="EV336" i="10"/>
  <c r="EW336" i="10"/>
  <c r="IU336" i="10"/>
  <c r="IZ336" i="10"/>
  <c r="EZ336" i="10"/>
  <c r="FA336" i="10"/>
  <c r="FB336" i="10"/>
  <c r="IW336" i="10"/>
  <c r="EX336" i="10"/>
  <c r="EY336" i="10"/>
  <c r="IV336" i="10"/>
  <c r="IT336" i="10"/>
  <c r="JB336" i="10"/>
  <c r="LH336" i="10"/>
  <c r="GK336" i="10"/>
  <c r="CQ336" i="10"/>
  <c r="IN337" i="10"/>
  <c r="JA337" i="10"/>
  <c r="EO337" i="10"/>
  <c r="EP337" i="10"/>
  <c r="EQ337" i="10"/>
  <c r="ER337" i="10"/>
  <c r="ES337" i="10"/>
  <c r="ET337" i="10"/>
  <c r="EU337" i="10"/>
  <c r="EV337" i="10"/>
  <c r="EW337" i="10"/>
  <c r="IU337" i="10"/>
  <c r="IZ337" i="10"/>
  <c r="EZ337" i="10"/>
  <c r="FA337" i="10"/>
  <c r="FB337" i="10"/>
  <c r="IW337" i="10"/>
  <c r="EX337" i="10"/>
  <c r="EY337" i="10"/>
  <c r="IV337" i="10"/>
  <c r="IT337" i="10"/>
  <c r="JB337" i="10"/>
  <c r="LH337" i="10"/>
  <c r="GK337" i="10"/>
  <c r="CQ337" i="10"/>
  <c r="IN338" i="10"/>
  <c r="JA338" i="10"/>
  <c r="EO338" i="10"/>
  <c r="EP338" i="10"/>
  <c r="EQ338" i="10"/>
  <c r="ER338" i="10"/>
  <c r="ES338" i="10"/>
  <c r="ET338" i="10"/>
  <c r="EU338" i="10"/>
  <c r="EV338" i="10"/>
  <c r="EW338" i="10"/>
  <c r="IU338" i="10"/>
  <c r="IZ338" i="10"/>
  <c r="EZ338" i="10"/>
  <c r="FA338" i="10"/>
  <c r="FB338" i="10"/>
  <c r="IW338" i="10"/>
  <c r="EX338" i="10"/>
  <c r="EY338" i="10"/>
  <c r="IV338" i="10"/>
  <c r="IT338" i="10"/>
  <c r="JB338" i="10"/>
  <c r="LH338" i="10"/>
  <c r="GK338" i="10"/>
  <c r="IN339" i="10"/>
  <c r="JA339" i="10"/>
  <c r="EO339" i="10"/>
  <c r="EP339" i="10"/>
  <c r="EQ339" i="10"/>
  <c r="ER339" i="10"/>
  <c r="ES339" i="10"/>
  <c r="ET339" i="10"/>
  <c r="EU339" i="10"/>
  <c r="EV339" i="10"/>
  <c r="EW339" i="10"/>
  <c r="IU339" i="10"/>
  <c r="IZ339" i="10"/>
  <c r="EZ339" i="10"/>
  <c r="FA339" i="10"/>
  <c r="FB339" i="10"/>
  <c r="IW339" i="10"/>
  <c r="EX339" i="10"/>
  <c r="EY339" i="10"/>
  <c r="IV339" i="10"/>
  <c r="IT339" i="10"/>
  <c r="JB339" i="10"/>
  <c r="LH339" i="10"/>
  <c r="GK339" i="10"/>
  <c r="CQ339" i="10"/>
  <c r="IN340" i="10"/>
  <c r="JA340" i="10"/>
  <c r="EO340" i="10"/>
  <c r="EP340" i="10"/>
  <c r="EQ340" i="10"/>
  <c r="ER340" i="10"/>
  <c r="ES340" i="10"/>
  <c r="ET340" i="10"/>
  <c r="EU340" i="10"/>
  <c r="EV340" i="10"/>
  <c r="EW340" i="10"/>
  <c r="IU340" i="10"/>
  <c r="IZ340" i="10"/>
  <c r="EZ340" i="10"/>
  <c r="FA340" i="10"/>
  <c r="FB340" i="10"/>
  <c r="IW340" i="10"/>
  <c r="EX340" i="10"/>
  <c r="EY340" i="10"/>
  <c r="IV340" i="10"/>
  <c r="IT340" i="10"/>
  <c r="JB340" i="10"/>
  <c r="LH340" i="10"/>
  <c r="GK340" i="10"/>
  <c r="IN341" i="10"/>
  <c r="JA341" i="10"/>
  <c r="EO341" i="10"/>
  <c r="EP341" i="10"/>
  <c r="EQ341" i="10"/>
  <c r="ER341" i="10"/>
  <c r="ES341" i="10"/>
  <c r="ET341" i="10"/>
  <c r="EU341" i="10"/>
  <c r="EV341" i="10"/>
  <c r="EW341" i="10"/>
  <c r="IU341" i="10"/>
  <c r="IZ341" i="10"/>
  <c r="EZ341" i="10"/>
  <c r="FA341" i="10"/>
  <c r="FB341" i="10"/>
  <c r="IW341" i="10"/>
  <c r="EX341" i="10"/>
  <c r="EY341" i="10"/>
  <c r="IV341" i="10"/>
  <c r="IT341" i="10"/>
  <c r="JB341" i="10"/>
  <c r="LH341" i="10"/>
  <c r="GK341" i="10"/>
  <c r="IN342" i="10"/>
  <c r="JA342" i="10"/>
  <c r="EO342" i="10"/>
  <c r="EP342" i="10"/>
  <c r="EQ342" i="10"/>
  <c r="ER342" i="10"/>
  <c r="ES342" i="10"/>
  <c r="ET342" i="10"/>
  <c r="EU342" i="10"/>
  <c r="EV342" i="10"/>
  <c r="EW342" i="10"/>
  <c r="IU342" i="10"/>
  <c r="IZ342" i="10"/>
  <c r="EZ342" i="10"/>
  <c r="FA342" i="10"/>
  <c r="FB342" i="10"/>
  <c r="IW342" i="10"/>
  <c r="EX342" i="10"/>
  <c r="EY342" i="10"/>
  <c r="IV342" i="10"/>
  <c r="IT342" i="10"/>
  <c r="JB342" i="10"/>
  <c r="LH342" i="10"/>
  <c r="GK342" i="10"/>
  <c r="CQ342" i="10"/>
  <c r="CF342" i="10"/>
  <c r="CW342" i="10"/>
  <c r="IN343" i="10"/>
  <c r="JA343" i="10"/>
  <c r="EO343" i="10"/>
  <c r="EP343" i="10"/>
  <c r="EQ343" i="10"/>
  <c r="ER343" i="10"/>
  <c r="ES343" i="10"/>
  <c r="ET343" i="10"/>
  <c r="EU343" i="10"/>
  <c r="EV343" i="10"/>
  <c r="EW343" i="10"/>
  <c r="IU343" i="10"/>
  <c r="IZ343" i="10"/>
  <c r="EZ343" i="10"/>
  <c r="FA343" i="10"/>
  <c r="FB343" i="10"/>
  <c r="IW343" i="10"/>
  <c r="EX343" i="10"/>
  <c r="EY343" i="10"/>
  <c r="IV343" i="10"/>
  <c r="IT343" i="10"/>
  <c r="JB343" i="10"/>
  <c r="LH343" i="10"/>
  <c r="GK343" i="10"/>
  <c r="IN344" i="10"/>
  <c r="JA344" i="10"/>
  <c r="EO344" i="10"/>
  <c r="EP344" i="10"/>
  <c r="EQ344" i="10"/>
  <c r="ER344" i="10"/>
  <c r="ES344" i="10"/>
  <c r="ET344" i="10"/>
  <c r="EU344" i="10"/>
  <c r="EV344" i="10"/>
  <c r="EW344" i="10"/>
  <c r="IU344" i="10"/>
  <c r="IZ344" i="10"/>
  <c r="EZ344" i="10"/>
  <c r="FA344" i="10"/>
  <c r="FB344" i="10"/>
  <c r="IW344" i="10"/>
  <c r="EX344" i="10"/>
  <c r="EY344" i="10"/>
  <c r="IV344" i="10"/>
  <c r="IT344" i="10"/>
  <c r="JB344" i="10"/>
  <c r="LH344" i="10"/>
  <c r="GK344" i="10"/>
  <c r="CQ344" i="10"/>
  <c r="IN345" i="10"/>
  <c r="JA345" i="10"/>
  <c r="EO345" i="10"/>
  <c r="EP345" i="10"/>
  <c r="EQ345" i="10"/>
  <c r="ER345" i="10"/>
  <c r="ES345" i="10"/>
  <c r="ET345" i="10"/>
  <c r="EU345" i="10"/>
  <c r="EV345" i="10"/>
  <c r="EW345" i="10"/>
  <c r="IU345" i="10"/>
  <c r="IZ345" i="10"/>
  <c r="EZ345" i="10"/>
  <c r="FA345" i="10"/>
  <c r="FB345" i="10"/>
  <c r="IW345" i="10"/>
  <c r="EX345" i="10"/>
  <c r="EY345" i="10"/>
  <c r="IV345" i="10"/>
  <c r="IT345" i="10"/>
  <c r="JB345" i="10"/>
  <c r="LH345" i="10"/>
  <c r="GK345" i="10"/>
  <c r="IN346" i="10"/>
  <c r="JA346" i="10"/>
  <c r="EO346" i="10"/>
  <c r="EP346" i="10"/>
  <c r="EQ346" i="10"/>
  <c r="ER346" i="10"/>
  <c r="ES346" i="10"/>
  <c r="ET346" i="10"/>
  <c r="EU346" i="10"/>
  <c r="EV346" i="10"/>
  <c r="EW346" i="10"/>
  <c r="IU346" i="10"/>
  <c r="IZ346" i="10"/>
  <c r="EZ346" i="10"/>
  <c r="FA346" i="10"/>
  <c r="FB346" i="10"/>
  <c r="IW346" i="10"/>
  <c r="EX346" i="10"/>
  <c r="EY346" i="10"/>
  <c r="IV346" i="10"/>
  <c r="IT346" i="10"/>
  <c r="JB346" i="10"/>
  <c r="LH346" i="10"/>
  <c r="GK346" i="10"/>
  <c r="IN347" i="10"/>
  <c r="JA347" i="10"/>
  <c r="EO347" i="10"/>
  <c r="EP347" i="10"/>
  <c r="EQ347" i="10"/>
  <c r="ER347" i="10"/>
  <c r="ES347" i="10"/>
  <c r="ET347" i="10"/>
  <c r="EU347" i="10"/>
  <c r="EV347" i="10"/>
  <c r="EW347" i="10"/>
  <c r="IU347" i="10"/>
  <c r="IZ347" i="10"/>
  <c r="EZ347" i="10"/>
  <c r="FA347" i="10"/>
  <c r="FB347" i="10"/>
  <c r="IW347" i="10"/>
  <c r="EX347" i="10"/>
  <c r="EY347" i="10"/>
  <c r="IV347" i="10"/>
  <c r="IT347" i="10"/>
  <c r="JB347" i="10"/>
  <c r="LH347" i="10"/>
  <c r="GK347" i="10"/>
  <c r="CQ347" i="10"/>
  <c r="IN348" i="10"/>
  <c r="JA348" i="10"/>
  <c r="EO348" i="10"/>
  <c r="EP348" i="10"/>
  <c r="EQ348" i="10"/>
  <c r="ER348" i="10"/>
  <c r="ES348" i="10"/>
  <c r="ET348" i="10"/>
  <c r="EU348" i="10"/>
  <c r="EV348" i="10"/>
  <c r="EW348" i="10"/>
  <c r="IU348" i="10"/>
  <c r="IZ348" i="10"/>
  <c r="EZ348" i="10"/>
  <c r="FA348" i="10"/>
  <c r="FB348" i="10"/>
  <c r="IW348" i="10"/>
  <c r="EX348" i="10"/>
  <c r="EY348" i="10"/>
  <c r="IV348" i="10"/>
  <c r="IT348" i="10"/>
  <c r="JB348" i="10"/>
  <c r="LH348" i="10"/>
  <c r="GK348" i="10"/>
  <c r="CQ348" i="10"/>
  <c r="IN349" i="10"/>
  <c r="JA349" i="10"/>
  <c r="EO349" i="10"/>
  <c r="EP349" i="10"/>
  <c r="EQ349" i="10"/>
  <c r="ER349" i="10"/>
  <c r="ES349" i="10"/>
  <c r="ET349" i="10"/>
  <c r="EU349" i="10"/>
  <c r="EV349" i="10"/>
  <c r="EW349" i="10"/>
  <c r="IU349" i="10"/>
  <c r="IZ349" i="10"/>
  <c r="EZ349" i="10"/>
  <c r="FA349" i="10"/>
  <c r="FB349" i="10"/>
  <c r="IW349" i="10"/>
  <c r="EX349" i="10"/>
  <c r="EY349" i="10"/>
  <c r="IV349" i="10"/>
  <c r="IT349" i="10"/>
  <c r="JB349" i="10"/>
  <c r="LH349" i="10"/>
  <c r="GK349" i="10"/>
  <c r="IN350" i="10"/>
  <c r="JA350" i="10"/>
  <c r="EO350" i="10"/>
  <c r="EP350" i="10"/>
  <c r="EQ350" i="10"/>
  <c r="ER350" i="10"/>
  <c r="ES350" i="10"/>
  <c r="ET350" i="10"/>
  <c r="EU350" i="10"/>
  <c r="EV350" i="10"/>
  <c r="EW350" i="10"/>
  <c r="IU350" i="10"/>
  <c r="IZ350" i="10"/>
  <c r="EZ350" i="10"/>
  <c r="FA350" i="10"/>
  <c r="FB350" i="10"/>
  <c r="IW350" i="10"/>
  <c r="EX350" i="10"/>
  <c r="EY350" i="10"/>
  <c r="IV350" i="10"/>
  <c r="IT350" i="10"/>
  <c r="JB350" i="10"/>
  <c r="LH350" i="10"/>
  <c r="GK350" i="10"/>
  <c r="CQ350" i="10"/>
  <c r="IN351" i="10"/>
  <c r="JA351" i="10"/>
  <c r="EO351" i="10"/>
  <c r="EP351" i="10"/>
  <c r="EQ351" i="10"/>
  <c r="ER351" i="10"/>
  <c r="ES351" i="10"/>
  <c r="ET351" i="10"/>
  <c r="EU351" i="10"/>
  <c r="EV351" i="10"/>
  <c r="EW351" i="10"/>
  <c r="IU351" i="10"/>
  <c r="IZ351" i="10"/>
  <c r="EZ351" i="10"/>
  <c r="FA351" i="10"/>
  <c r="FB351" i="10"/>
  <c r="IW351" i="10"/>
  <c r="EX351" i="10"/>
  <c r="EY351" i="10"/>
  <c r="IV351" i="10"/>
  <c r="IT351" i="10"/>
  <c r="JB351" i="10"/>
  <c r="LH351" i="10"/>
  <c r="GK351" i="10"/>
  <c r="IN352" i="10"/>
  <c r="JA352" i="10"/>
  <c r="EO352" i="10"/>
  <c r="EP352" i="10"/>
  <c r="EQ352" i="10"/>
  <c r="ER352" i="10"/>
  <c r="ES352" i="10"/>
  <c r="ET352" i="10"/>
  <c r="EU352" i="10"/>
  <c r="EV352" i="10"/>
  <c r="EW352" i="10"/>
  <c r="IU352" i="10"/>
  <c r="EZ352" i="10"/>
  <c r="FA352" i="10"/>
  <c r="FB352" i="10"/>
  <c r="IW352" i="10"/>
  <c r="IZ352" i="10"/>
  <c r="EX352" i="10"/>
  <c r="EY352" i="10"/>
  <c r="IV352" i="10"/>
  <c r="IT352" i="10"/>
  <c r="JB352" i="10"/>
  <c r="LH352" i="10"/>
  <c r="GK352" i="10"/>
  <c r="CQ352" i="10"/>
  <c r="IN353" i="10"/>
  <c r="JA353" i="10"/>
  <c r="EO353" i="10"/>
  <c r="EP353" i="10"/>
  <c r="EQ353" i="10"/>
  <c r="ER353" i="10"/>
  <c r="ES353" i="10"/>
  <c r="ET353" i="10"/>
  <c r="EU353" i="10"/>
  <c r="EV353" i="10"/>
  <c r="EW353" i="10"/>
  <c r="IU353" i="10"/>
  <c r="EZ353" i="10"/>
  <c r="FA353" i="10"/>
  <c r="FB353" i="10"/>
  <c r="IW353" i="10"/>
  <c r="IZ353" i="10"/>
  <c r="EX353" i="10"/>
  <c r="EY353" i="10"/>
  <c r="IV353" i="10"/>
  <c r="IT353" i="10"/>
  <c r="JB353" i="10"/>
  <c r="LH353" i="10"/>
  <c r="GK353" i="10"/>
  <c r="CQ353" i="10"/>
  <c r="IN354" i="10"/>
  <c r="JA354" i="10"/>
  <c r="EO354" i="10"/>
  <c r="EP354" i="10"/>
  <c r="EQ354" i="10"/>
  <c r="ER354" i="10"/>
  <c r="ES354" i="10"/>
  <c r="ET354" i="10"/>
  <c r="EU354" i="10"/>
  <c r="EV354" i="10"/>
  <c r="EW354" i="10"/>
  <c r="IU354" i="10"/>
  <c r="EZ354" i="10"/>
  <c r="FA354" i="10"/>
  <c r="FB354" i="10"/>
  <c r="IW354" i="10"/>
  <c r="IZ354" i="10"/>
  <c r="EX354" i="10"/>
  <c r="EY354" i="10"/>
  <c r="IV354" i="10"/>
  <c r="IT354" i="10"/>
  <c r="JB354" i="10"/>
  <c r="LH354" i="10"/>
  <c r="GK354" i="10"/>
  <c r="IN355" i="10"/>
  <c r="JA355" i="10"/>
  <c r="EO355" i="10"/>
  <c r="EP355" i="10"/>
  <c r="EQ355" i="10"/>
  <c r="ER355" i="10"/>
  <c r="ES355" i="10"/>
  <c r="ET355" i="10"/>
  <c r="EU355" i="10"/>
  <c r="EV355" i="10"/>
  <c r="EW355" i="10"/>
  <c r="IU355" i="10"/>
  <c r="EZ355" i="10"/>
  <c r="FA355" i="10"/>
  <c r="FB355" i="10"/>
  <c r="IW355" i="10"/>
  <c r="IZ355" i="10"/>
  <c r="EX355" i="10"/>
  <c r="EY355" i="10"/>
  <c r="IV355" i="10"/>
  <c r="IT355" i="10"/>
  <c r="JB355" i="10"/>
  <c r="LH355" i="10"/>
  <c r="GK355" i="10"/>
  <c r="CQ355" i="10"/>
  <c r="IN356" i="10"/>
  <c r="JA356" i="10"/>
  <c r="EO356" i="10"/>
  <c r="EP356" i="10"/>
  <c r="EQ356" i="10"/>
  <c r="ER356" i="10"/>
  <c r="ES356" i="10"/>
  <c r="ET356" i="10"/>
  <c r="EU356" i="10"/>
  <c r="EV356" i="10"/>
  <c r="EW356" i="10"/>
  <c r="IU356" i="10"/>
  <c r="EZ356" i="10"/>
  <c r="FA356" i="10"/>
  <c r="FB356" i="10"/>
  <c r="IW356" i="10"/>
  <c r="IZ356" i="10"/>
  <c r="EX356" i="10"/>
  <c r="EY356" i="10"/>
  <c r="IV356" i="10"/>
  <c r="IT356" i="10"/>
  <c r="JB356" i="10"/>
  <c r="LH356" i="10"/>
  <c r="GK356" i="10"/>
  <c r="IN357" i="10"/>
  <c r="JA357" i="10"/>
  <c r="EO357" i="10"/>
  <c r="EP357" i="10"/>
  <c r="EQ357" i="10"/>
  <c r="ER357" i="10"/>
  <c r="ES357" i="10"/>
  <c r="ET357" i="10"/>
  <c r="EU357" i="10"/>
  <c r="EV357" i="10"/>
  <c r="EW357" i="10"/>
  <c r="IU357" i="10"/>
  <c r="EZ357" i="10"/>
  <c r="FA357" i="10"/>
  <c r="FB357" i="10"/>
  <c r="IW357" i="10"/>
  <c r="IZ357" i="10"/>
  <c r="EX357" i="10"/>
  <c r="EY357" i="10"/>
  <c r="IV357" i="10"/>
  <c r="IT357" i="10"/>
  <c r="JB357" i="10"/>
  <c r="LH357" i="10"/>
  <c r="GK357" i="10"/>
  <c r="IN358" i="10"/>
  <c r="JA358" i="10"/>
  <c r="EO358" i="10"/>
  <c r="EP358" i="10"/>
  <c r="EQ358" i="10"/>
  <c r="ER358" i="10"/>
  <c r="ES358" i="10"/>
  <c r="ET358" i="10"/>
  <c r="EU358" i="10"/>
  <c r="EV358" i="10"/>
  <c r="EW358" i="10"/>
  <c r="IU358" i="10"/>
  <c r="EZ358" i="10"/>
  <c r="FA358" i="10"/>
  <c r="FB358" i="10"/>
  <c r="IW358" i="10"/>
  <c r="IZ358" i="10"/>
  <c r="EX358" i="10"/>
  <c r="EY358" i="10"/>
  <c r="IV358" i="10"/>
  <c r="IT358" i="10"/>
  <c r="JB358" i="10"/>
  <c r="LH358" i="10"/>
  <c r="GK358" i="10"/>
  <c r="IN359" i="10"/>
  <c r="JA359" i="10"/>
  <c r="EO359" i="10"/>
  <c r="EP359" i="10"/>
  <c r="EQ359" i="10"/>
  <c r="ER359" i="10"/>
  <c r="ES359" i="10"/>
  <c r="ET359" i="10"/>
  <c r="EU359" i="10"/>
  <c r="EV359" i="10"/>
  <c r="EW359" i="10"/>
  <c r="IU359" i="10"/>
  <c r="EZ359" i="10"/>
  <c r="FA359" i="10"/>
  <c r="FB359" i="10"/>
  <c r="IW359" i="10"/>
  <c r="IZ359" i="10"/>
  <c r="EX359" i="10"/>
  <c r="EY359" i="10"/>
  <c r="IV359" i="10"/>
  <c r="IT359" i="10"/>
  <c r="JB359" i="10"/>
  <c r="LH359" i="10"/>
  <c r="GK359" i="10"/>
  <c r="CQ359" i="10"/>
  <c r="IN360" i="10"/>
  <c r="JA360" i="10"/>
  <c r="EO360" i="10"/>
  <c r="EP360" i="10"/>
  <c r="EQ360" i="10"/>
  <c r="ER360" i="10"/>
  <c r="ES360" i="10"/>
  <c r="ET360" i="10"/>
  <c r="EU360" i="10"/>
  <c r="EV360" i="10"/>
  <c r="EW360" i="10"/>
  <c r="IU360" i="10"/>
  <c r="EZ360" i="10"/>
  <c r="FA360" i="10"/>
  <c r="FB360" i="10"/>
  <c r="IW360" i="10"/>
  <c r="IZ360" i="10"/>
  <c r="EX360" i="10"/>
  <c r="EY360" i="10"/>
  <c r="IV360" i="10"/>
  <c r="IT360" i="10"/>
  <c r="JB360" i="10"/>
  <c r="LH360" i="10"/>
  <c r="GK360" i="10"/>
  <c r="CQ360" i="10"/>
  <c r="IN361" i="10"/>
  <c r="JA361" i="10"/>
  <c r="EO361" i="10"/>
  <c r="EP361" i="10"/>
  <c r="EQ361" i="10"/>
  <c r="ER361" i="10"/>
  <c r="ES361" i="10"/>
  <c r="ET361" i="10"/>
  <c r="EU361" i="10"/>
  <c r="EV361" i="10"/>
  <c r="EW361" i="10"/>
  <c r="IU361" i="10"/>
  <c r="EZ361" i="10"/>
  <c r="FA361" i="10"/>
  <c r="FB361" i="10"/>
  <c r="IW361" i="10"/>
  <c r="IZ361" i="10"/>
  <c r="EX361" i="10"/>
  <c r="EY361" i="10"/>
  <c r="IV361" i="10"/>
  <c r="IT361" i="10"/>
  <c r="JB361" i="10"/>
  <c r="LH361" i="10"/>
  <c r="GK361" i="10"/>
  <c r="IN362" i="10"/>
  <c r="JA362" i="10"/>
  <c r="EO362" i="10"/>
  <c r="EP362" i="10"/>
  <c r="EQ362" i="10"/>
  <c r="ER362" i="10"/>
  <c r="ES362" i="10"/>
  <c r="ET362" i="10"/>
  <c r="EU362" i="10"/>
  <c r="EV362" i="10"/>
  <c r="EW362" i="10"/>
  <c r="IU362" i="10"/>
  <c r="EZ362" i="10"/>
  <c r="FA362" i="10"/>
  <c r="FB362" i="10"/>
  <c r="IW362" i="10"/>
  <c r="IZ362" i="10"/>
  <c r="EX362" i="10"/>
  <c r="EY362" i="10"/>
  <c r="IV362" i="10"/>
  <c r="IT362" i="10"/>
  <c r="JB362" i="10"/>
  <c r="LH362" i="10"/>
  <c r="GK362" i="10"/>
  <c r="IN363" i="10"/>
  <c r="JA363" i="10"/>
  <c r="EO363" i="10"/>
  <c r="EP363" i="10"/>
  <c r="EQ363" i="10"/>
  <c r="ER363" i="10"/>
  <c r="ES363" i="10"/>
  <c r="ET363" i="10"/>
  <c r="EU363" i="10"/>
  <c r="EV363" i="10"/>
  <c r="EW363" i="10"/>
  <c r="IU363" i="10"/>
  <c r="EZ363" i="10"/>
  <c r="FA363" i="10"/>
  <c r="FB363" i="10"/>
  <c r="IW363" i="10"/>
  <c r="IZ363" i="10"/>
  <c r="EX363" i="10"/>
  <c r="EY363" i="10"/>
  <c r="IV363" i="10"/>
  <c r="IT363" i="10"/>
  <c r="JB363" i="10"/>
  <c r="LH363" i="10"/>
  <c r="GK363" i="10"/>
  <c r="IN364" i="10"/>
  <c r="JA364" i="10"/>
  <c r="EO364" i="10"/>
  <c r="EP364" i="10"/>
  <c r="EQ364" i="10"/>
  <c r="ER364" i="10"/>
  <c r="ES364" i="10"/>
  <c r="ET364" i="10"/>
  <c r="EU364" i="10"/>
  <c r="EV364" i="10"/>
  <c r="EW364" i="10"/>
  <c r="IU364" i="10"/>
  <c r="EZ364" i="10"/>
  <c r="FA364" i="10"/>
  <c r="FB364" i="10"/>
  <c r="IW364" i="10"/>
  <c r="IZ364" i="10"/>
  <c r="EX364" i="10"/>
  <c r="EY364" i="10"/>
  <c r="IV364" i="10"/>
  <c r="IT364" i="10"/>
  <c r="JB364" i="10"/>
  <c r="LH364" i="10"/>
  <c r="GK364" i="10"/>
  <c r="IN365" i="10"/>
  <c r="JA365" i="10"/>
  <c r="EO365" i="10"/>
  <c r="EP365" i="10"/>
  <c r="EQ365" i="10"/>
  <c r="ER365" i="10"/>
  <c r="ES365" i="10"/>
  <c r="ET365" i="10"/>
  <c r="EU365" i="10"/>
  <c r="EV365" i="10"/>
  <c r="EW365" i="10"/>
  <c r="IU365" i="10"/>
  <c r="EZ365" i="10"/>
  <c r="FA365" i="10"/>
  <c r="FB365" i="10"/>
  <c r="IW365" i="10"/>
  <c r="IZ365" i="10"/>
  <c r="EX365" i="10"/>
  <c r="EY365" i="10"/>
  <c r="IV365" i="10"/>
  <c r="IT365" i="10"/>
  <c r="JB365" i="10"/>
  <c r="LH365" i="10"/>
  <c r="GK365" i="10"/>
  <c r="IN366" i="10"/>
  <c r="JA366" i="10"/>
  <c r="EO366" i="10"/>
  <c r="EP366" i="10"/>
  <c r="EQ366" i="10"/>
  <c r="ER366" i="10"/>
  <c r="ES366" i="10"/>
  <c r="ET366" i="10"/>
  <c r="EU366" i="10"/>
  <c r="EV366" i="10"/>
  <c r="EW366" i="10"/>
  <c r="IU366" i="10"/>
  <c r="EZ366" i="10"/>
  <c r="FA366" i="10"/>
  <c r="FB366" i="10"/>
  <c r="IW366" i="10"/>
  <c r="IZ366" i="10"/>
  <c r="EX366" i="10"/>
  <c r="EY366" i="10"/>
  <c r="IV366" i="10"/>
  <c r="IT366" i="10"/>
  <c r="JB366" i="10"/>
  <c r="LH366" i="10"/>
  <c r="GK366" i="10"/>
  <c r="CQ366" i="10"/>
  <c r="CF366" i="10"/>
  <c r="CW366" i="10"/>
  <c r="IN367" i="10"/>
  <c r="JA367" i="10"/>
  <c r="EO367" i="10"/>
  <c r="EP367" i="10"/>
  <c r="EQ367" i="10"/>
  <c r="ER367" i="10"/>
  <c r="ES367" i="10"/>
  <c r="ET367" i="10"/>
  <c r="EU367" i="10"/>
  <c r="EV367" i="10"/>
  <c r="EW367" i="10"/>
  <c r="IU367" i="10"/>
  <c r="EZ367" i="10"/>
  <c r="FA367" i="10"/>
  <c r="FB367" i="10"/>
  <c r="IW367" i="10"/>
  <c r="IZ367" i="10"/>
  <c r="EX367" i="10"/>
  <c r="EY367" i="10"/>
  <c r="IV367" i="10"/>
  <c r="IT367" i="10"/>
  <c r="JB367" i="10"/>
  <c r="LH367" i="10"/>
  <c r="GK367" i="10"/>
  <c r="CQ367" i="10"/>
  <c r="CF367" i="10"/>
  <c r="CW367" i="10"/>
  <c r="IN368" i="10"/>
  <c r="JA368" i="10"/>
  <c r="EO368" i="10"/>
  <c r="EP368" i="10"/>
  <c r="EQ368" i="10"/>
  <c r="ER368" i="10"/>
  <c r="ES368" i="10"/>
  <c r="ET368" i="10"/>
  <c r="EU368" i="10"/>
  <c r="EV368" i="10"/>
  <c r="EW368" i="10"/>
  <c r="IU368" i="10"/>
  <c r="EZ368" i="10"/>
  <c r="FA368" i="10"/>
  <c r="FB368" i="10"/>
  <c r="IW368" i="10"/>
  <c r="IZ368" i="10"/>
  <c r="EX368" i="10"/>
  <c r="EY368" i="10"/>
  <c r="IV368" i="10"/>
  <c r="IT368" i="10"/>
  <c r="JB368" i="10"/>
  <c r="LH368" i="10"/>
  <c r="GK368" i="10"/>
  <c r="IN369" i="10"/>
  <c r="JA369" i="10"/>
  <c r="EO369" i="10"/>
  <c r="EP369" i="10"/>
  <c r="EQ369" i="10"/>
  <c r="ER369" i="10"/>
  <c r="ES369" i="10"/>
  <c r="ET369" i="10"/>
  <c r="EU369" i="10"/>
  <c r="EV369" i="10"/>
  <c r="EW369" i="10"/>
  <c r="IU369" i="10"/>
  <c r="EZ369" i="10"/>
  <c r="FA369" i="10"/>
  <c r="FB369" i="10"/>
  <c r="IW369" i="10"/>
  <c r="IZ369" i="10"/>
  <c r="EX369" i="10"/>
  <c r="EY369" i="10"/>
  <c r="IV369" i="10"/>
  <c r="IT369" i="10"/>
  <c r="JB369" i="10"/>
  <c r="LH369" i="10"/>
  <c r="GK369" i="10"/>
  <c r="IN370" i="10"/>
  <c r="JA370" i="10"/>
  <c r="EO370" i="10"/>
  <c r="EP370" i="10"/>
  <c r="EQ370" i="10"/>
  <c r="ER370" i="10"/>
  <c r="ES370" i="10"/>
  <c r="ET370" i="10"/>
  <c r="EU370" i="10"/>
  <c r="EV370" i="10"/>
  <c r="EW370" i="10"/>
  <c r="IU370" i="10"/>
  <c r="EZ370" i="10"/>
  <c r="FA370" i="10"/>
  <c r="FB370" i="10"/>
  <c r="IW370" i="10"/>
  <c r="IZ370" i="10"/>
  <c r="EX370" i="10"/>
  <c r="EY370" i="10"/>
  <c r="IV370" i="10"/>
  <c r="IT370" i="10"/>
  <c r="JB370" i="10"/>
  <c r="LH370" i="10"/>
  <c r="GK370" i="10"/>
  <c r="CQ370" i="10"/>
  <c r="IN371" i="10"/>
  <c r="JA371" i="10"/>
  <c r="EO371" i="10"/>
  <c r="EP371" i="10"/>
  <c r="EQ371" i="10"/>
  <c r="ER371" i="10"/>
  <c r="ES371" i="10"/>
  <c r="ET371" i="10"/>
  <c r="EU371" i="10"/>
  <c r="EV371" i="10"/>
  <c r="EW371" i="10"/>
  <c r="IU371" i="10"/>
  <c r="EZ371" i="10"/>
  <c r="FA371" i="10"/>
  <c r="FB371" i="10"/>
  <c r="IW371" i="10"/>
  <c r="IZ371" i="10"/>
  <c r="EX371" i="10"/>
  <c r="EY371" i="10"/>
  <c r="IV371" i="10"/>
  <c r="IT371" i="10"/>
  <c r="JB371" i="10"/>
  <c r="LH371" i="10"/>
  <c r="GK371" i="10"/>
  <c r="CQ371" i="10"/>
  <c r="IN372" i="10"/>
  <c r="JA372" i="10"/>
  <c r="EO372" i="10"/>
  <c r="EP372" i="10"/>
  <c r="EQ372" i="10"/>
  <c r="ER372" i="10"/>
  <c r="ES372" i="10"/>
  <c r="ET372" i="10"/>
  <c r="EU372" i="10"/>
  <c r="EV372" i="10"/>
  <c r="EW372" i="10"/>
  <c r="IU372" i="10"/>
  <c r="EZ372" i="10"/>
  <c r="FA372" i="10"/>
  <c r="FB372" i="10"/>
  <c r="IW372" i="10"/>
  <c r="IZ372" i="10"/>
  <c r="EX372" i="10"/>
  <c r="EY372" i="10"/>
  <c r="IV372" i="10"/>
  <c r="IT372" i="10"/>
  <c r="JB372" i="10"/>
  <c r="LH372" i="10"/>
  <c r="GK372" i="10"/>
  <c r="CQ372" i="10"/>
  <c r="IN373" i="10"/>
  <c r="JA373" i="10"/>
  <c r="EO373" i="10"/>
  <c r="EP373" i="10"/>
  <c r="EQ373" i="10"/>
  <c r="ER373" i="10"/>
  <c r="ES373" i="10"/>
  <c r="ET373" i="10"/>
  <c r="EU373" i="10"/>
  <c r="EV373" i="10"/>
  <c r="EW373" i="10"/>
  <c r="IU373" i="10"/>
  <c r="EZ373" i="10"/>
  <c r="FA373" i="10"/>
  <c r="FB373" i="10"/>
  <c r="IW373" i="10"/>
  <c r="IZ373" i="10"/>
  <c r="EX373" i="10"/>
  <c r="EY373" i="10"/>
  <c r="IV373" i="10"/>
  <c r="IT373" i="10"/>
  <c r="JB373" i="10"/>
  <c r="LH373" i="10"/>
  <c r="GK373" i="10"/>
  <c r="IN374" i="10"/>
  <c r="JA374" i="10"/>
  <c r="EO374" i="10"/>
  <c r="EP374" i="10"/>
  <c r="EQ374" i="10"/>
  <c r="ER374" i="10"/>
  <c r="ES374" i="10"/>
  <c r="ET374" i="10"/>
  <c r="EU374" i="10"/>
  <c r="EV374" i="10"/>
  <c r="EW374" i="10"/>
  <c r="IU374" i="10"/>
  <c r="EZ374" i="10"/>
  <c r="FA374" i="10"/>
  <c r="FB374" i="10"/>
  <c r="IW374" i="10"/>
  <c r="IZ374" i="10"/>
  <c r="EX374" i="10"/>
  <c r="EY374" i="10"/>
  <c r="IV374" i="10"/>
  <c r="IT374" i="10"/>
  <c r="JB374" i="10"/>
  <c r="LH374" i="10"/>
  <c r="GK374" i="10"/>
  <c r="IN375" i="10"/>
  <c r="JA375" i="10"/>
  <c r="EO375" i="10"/>
  <c r="EP375" i="10"/>
  <c r="EQ375" i="10"/>
  <c r="ER375" i="10"/>
  <c r="ES375" i="10"/>
  <c r="ET375" i="10"/>
  <c r="EU375" i="10"/>
  <c r="EV375" i="10"/>
  <c r="EW375" i="10"/>
  <c r="IU375" i="10"/>
  <c r="EZ375" i="10"/>
  <c r="FA375" i="10"/>
  <c r="FB375" i="10"/>
  <c r="IW375" i="10"/>
  <c r="IZ375" i="10"/>
  <c r="EX375" i="10"/>
  <c r="EY375" i="10"/>
  <c r="IV375" i="10"/>
  <c r="IT375" i="10"/>
  <c r="JB375" i="10"/>
  <c r="LH375" i="10"/>
  <c r="GK375" i="10"/>
  <c r="CQ375" i="10"/>
  <c r="IN376" i="10"/>
  <c r="JA376" i="10"/>
  <c r="EO376" i="10"/>
  <c r="EP376" i="10"/>
  <c r="EQ376" i="10"/>
  <c r="ER376" i="10"/>
  <c r="ES376" i="10"/>
  <c r="ET376" i="10"/>
  <c r="EU376" i="10"/>
  <c r="EV376" i="10"/>
  <c r="EW376" i="10"/>
  <c r="IU376" i="10"/>
  <c r="EZ376" i="10"/>
  <c r="FA376" i="10"/>
  <c r="FB376" i="10"/>
  <c r="IW376" i="10"/>
  <c r="IZ376" i="10"/>
  <c r="EX376" i="10"/>
  <c r="EY376" i="10"/>
  <c r="IV376" i="10"/>
  <c r="IT376" i="10"/>
  <c r="JB376" i="10"/>
  <c r="LH376" i="10"/>
  <c r="GK376" i="10"/>
  <c r="IN377" i="10"/>
  <c r="JA377" i="10"/>
  <c r="EO377" i="10"/>
  <c r="EP377" i="10"/>
  <c r="EQ377" i="10"/>
  <c r="ER377" i="10"/>
  <c r="ES377" i="10"/>
  <c r="ET377" i="10"/>
  <c r="EU377" i="10"/>
  <c r="EV377" i="10"/>
  <c r="EW377" i="10"/>
  <c r="IU377" i="10"/>
  <c r="EZ377" i="10"/>
  <c r="FA377" i="10"/>
  <c r="FB377" i="10"/>
  <c r="IW377" i="10"/>
  <c r="IZ377" i="10"/>
  <c r="EX377" i="10"/>
  <c r="EY377" i="10"/>
  <c r="IV377" i="10"/>
  <c r="IT377" i="10"/>
  <c r="JB377" i="10"/>
  <c r="LH377" i="10"/>
  <c r="GK377" i="10"/>
  <c r="CQ377" i="10"/>
  <c r="IN378" i="10"/>
  <c r="JA378" i="10"/>
  <c r="EO378" i="10"/>
  <c r="EP378" i="10"/>
  <c r="EQ378" i="10"/>
  <c r="ER378" i="10"/>
  <c r="ES378" i="10"/>
  <c r="ET378" i="10"/>
  <c r="EU378" i="10"/>
  <c r="EV378" i="10"/>
  <c r="EW378" i="10"/>
  <c r="IU378" i="10"/>
  <c r="EZ378" i="10"/>
  <c r="FA378" i="10"/>
  <c r="FB378" i="10"/>
  <c r="IW378" i="10"/>
  <c r="IZ378" i="10"/>
  <c r="EX378" i="10"/>
  <c r="EY378" i="10"/>
  <c r="IV378" i="10"/>
  <c r="IT378" i="10"/>
  <c r="JB378" i="10"/>
  <c r="LH378" i="10"/>
  <c r="GK378" i="10"/>
  <c r="CQ378" i="10"/>
  <c r="IN379" i="10"/>
  <c r="JA379" i="10"/>
  <c r="EO379" i="10"/>
  <c r="EP379" i="10"/>
  <c r="EQ379" i="10"/>
  <c r="ER379" i="10"/>
  <c r="ES379" i="10"/>
  <c r="ET379" i="10"/>
  <c r="EU379" i="10"/>
  <c r="EV379" i="10"/>
  <c r="EW379" i="10"/>
  <c r="IU379" i="10"/>
  <c r="EZ379" i="10"/>
  <c r="FA379" i="10"/>
  <c r="FB379" i="10"/>
  <c r="IW379" i="10"/>
  <c r="IZ379" i="10"/>
  <c r="EX379" i="10"/>
  <c r="EY379" i="10"/>
  <c r="IV379" i="10"/>
  <c r="IT379" i="10"/>
  <c r="JB379" i="10"/>
  <c r="LH379" i="10"/>
  <c r="GK379" i="10"/>
  <c r="IN380" i="10"/>
  <c r="JA380" i="10"/>
  <c r="EO380" i="10"/>
  <c r="EP380" i="10"/>
  <c r="EQ380" i="10"/>
  <c r="ER380" i="10"/>
  <c r="ES380" i="10"/>
  <c r="ET380" i="10"/>
  <c r="EU380" i="10"/>
  <c r="EV380" i="10"/>
  <c r="EW380" i="10"/>
  <c r="IU380" i="10"/>
  <c r="EZ380" i="10"/>
  <c r="FA380" i="10"/>
  <c r="FB380" i="10"/>
  <c r="IW380" i="10"/>
  <c r="IZ380" i="10"/>
  <c r="EX380" i="10"/>
  <c r="EY380" i="10"/>
  <c r="IV380" i="10"/>
  <c r="IT380" i="10"/>
  <c r="JB380" i="10"/>
  <c r="LH380" i="10"/>
  <c r="GK380" i="10"/>
  <c r="CQ380" i="10"/>
  <c r="IN381" i="10"/>
  <c r="JA381" i="10"/>
  <c r="EO381" i="10"/>
  <c r="EP381" i="10"/>
  <c r="EQ381" i="10"/>
  <c r="ER381" i="10"/>
  <c r="ES381" i="10"/>
  <c r="ET381" i="10"/>
  <c r="EU381" i="10"/>
  <c r="EV381" i="10"/>
  <c r="EW381" i="10"/>
  <c r="IU381" i="10"/>
  <c r="EZ381" i="10"/>
  <c r="FA381" i="10"/>
  <c r="FB381" i="10"/>
  <c r="IW381" i="10"/>
  <c r="IZ381" i="10"/>
  <c r="EX381" i="10"/>
  <c r="EY381" i="10"/>
  <c r="IV381" i="10"/>
  <c r="IT381" i="10"/>
  <c r="JB381" i="10"/>
  <c r="LH381" i="10"/>
  <c r="GK381" i="10"/>
  <c r="IN382" i="10"/>
  <c r="JA382" i="10"/>
  <c r="EO382" i="10"/>
  <c r="EP382" i="10"/>
  <c r="EQ382" i="10"/>
  <c r="ER382" i="10"/>
  <c r="ES382" i="10"/>
  <c r="ET382" i="10"/>
  <c r="EU382" i="10"/>
  <c r="EV382" i="10"/>
  <c r="EW382" i="10"/>
  <c r="IU382" i="10"/>
  <c r="EZ382" i="10"/>
  <c r="FA382" i="10"/>
  <c r="FB382" i="10"/>
  <c r="IW382" i="10"/>
  <c r="IZ382" i="10"/>
  <c r="EX382" i="10"/>
  <c r="EY382" i="10"/>
  <c r="IV382" i="10"/>
  <c r="IT382" i="10"/>
  <c r="JB382" i="10"/>
  <c r="LH382" i="10"/>
  <c r="GK382" i="10"/>
  <c r="IN383" i="10"/>
  <c r="JA383" i="10"/>
  <c r="EO383" i="10"/>
  <c r="EP383" i="10"/>
  <c r="EQ383" i="10"/>
  <c r="ER383" i="10"/>
  <c r="ES383" i="10"/>
  <c r="ET383" i="10"/>
  <c r="EU383" i="10"/>
  <c r="EV383" i="10"/>
  <c r="EW383" i="10"/>
  <c r="IU383" i="10"/>
  <c r="EZ383" i="10"/>
  <c r="FA383" i="10"/>
  <c r="FB383" i="10"/>
  <c r="IW383" i="10"/>
  <c r="IZ383" i="10"/>
  <c r="EX383" i="10"/>
  <c r="EY383" i="10"/>
  <c r="IV383" i="10"/>
  <c r="IT383" i="10"/>
  <c r="JB383" i="10"/>
  <c r="LH383" i="10"/>
  <c r="GK383" i="10"/>
  <c r="CQ383" i="10"/>
  <c r="IN384" i="10"/>
  <c r="JA384" i="10"/>
  <c r="EO384" i="10"/>
  <c r="EP384" i="10"/>
  <c r="EQ384" i="10"/>
  <c r="ER384" i="10"/>
  <c r="ES384" i="10"/>
  <c r="ET384" i="10"/>
  <c r="EU384" i="10"/>
  <c r="EV384" i="10"/>
  <c r="EW384" i="10"/>
  <c r="IU384" i="10"/>
  <c r="EZ384" i="10"/>
  <c r="FA384" i="10"/>
  <c r="FB384" i="10"/>
  <c r="IW384" i="10"/>
  <c r="IZ384" i="10"/>
  <c r="EX384" i="10"/>
  <c r="EY384" i="10"/>
  <c r="IV384" i="10"/>
  <c r="IT384" i="10"/>
  <c r="JB384" i="10"/>
  <c r="LH384" i="10"/>
  <c r="GK384" i="10"/>
  <c r="IN385" i="10"/>
  <c r="JA385" i="10"/>
  <c r="EO385" i="10"/>
  <c r="EP385" i="10"/>
  <c r="EQ385" i="10"/>
  <c r="ER385" i="10"/>
  <c r="ES385" i="10"/>
  <c r="ET385" i="10"/>
  <c r="EU385" i="10"/>
  <c r="EV385" i="10"/>
  <c r="EW385" i="10"/>
  <c r="IU385" i="10"/>
  <c r="EZ385" i="10"/>
  <c r="FA385" i="10"/>
  <c r="FB385" i="10"/>
  <c r="IW385" i="10"/>
  <c r="IZ385" i="10"/>
  <c r="EX385" i="10"/>
  <c r="EY385" i="10"/>
  <c r="IV385" i="10"/>
  <c r="IT385" i="10"/>
  <c r="JB385" i="10"/>
  <c r="LH385" i="10"/>
  <c r="GK385" i="10"/>
  <c r="CQ385" i="10"/>
  <c r="IN386" i="10"/>
  <c r="JA386" i="10"/>
  <c r="EO386" i="10"/>
  <c r="EP386" i="10"/>
  <c r="EQ386" i="10"/>
  <c r="ER386" i="10"/>
  <c r="ES386" i="10"/>
  <c r="ET386" i="10"/>
  <c r="EU386" i="10"/>
  <c r="EV386" i="10"/>
  <c r="EW386" i="10"/>
  <c r="IU386" i="10"/>
  <c r="EZ386" i="10"/>
  <c r="FA386" i="10"/>
  <c r="FB386" i="10"/>
  <c r="IW386" i="10"/>
  <c r="IZ386" i="10"/>
  <c r="EX386" i="10"/>
  <c r="EY386" i="10"/>
  <c r="IV386" i="10"/>
  <c r="IT386" i="10"/>
  <c r="JB386" i="10"/>
  <c r="LH386" i="10"/>
  <c r="GK386" i="10"/>
  <c r="CQ386" i="10"/>
  <c r="IN387" i="10"/>
  <c r="JA387" i="10"/>
  <c r="EO387" i="10"/>
  <c r="EP387" i="10"/>
  <c r="EQ387" i="10"/>
  <c r="ER387" i="10"/>
  <c r="ES387" i="10"/>
  <c r="ET387" i="10"/>
  <c r="EU387" i="10"/>
  <c r="EV387" i="10"/>
  <c r="EW387" i="10"/>
  <c r="IU387" i="10"/>
  <c r="EZ387" i="10"/>
  <c r="FA387" i="10"/>
  <c r="FB387" i="10"/>
  <c r="IW387" i="10"/>
  <c r="IZ387" i="10"/>
  <c r="EX387" i="10"/>
  <c r="EY387" i="10"/>
  <c r="IV387" i="10"/>
  <c r="IT387" i="10"/>
  <c r="JB387" i="10"/>
  <c r="LH387" i="10"/>
  <c r="GK387" i="10"/>
  <c r="IN388" i="10"/>
  <c r="JA388" i="10"/>
  <c r="EO388" i="10"/>
  <c r="EP388" i="10"/>
  <c r="EQ388" i="10"/>
  <c r="ER388" i="10"/>
  <c r="ES388" i="10"/>
  <c r="ET388" i="10"/>
  <c r="EU388" i="10"/>
  <c r="EV388" i="10"/>
  <c r="EW388" i="10"/>
  <c r="IU388" i="10"/>
  <c r="EZ388" i="10"/>
  <c r="FA388" i="10"/>
  <c r="FB388" i="10"/>
  <c r="IW388" i="10"/>
  <c r="IZ388" i="10"/>
  <c r="EX388" i="10"/>
  <c r="EY388" i="10"/>
  <c r="IV388" i="10"/>
  <c r="IT388" i="10"/>
  <c r="JB388" i="10"/>
  <c r="LH388" i="10"/>
  <c r="GK388" i="10"/>
  <c r="CQ388" i="10"/>
  <c r="IN389" i="10"/>
  <c r="JA389" i="10"/>
  <c r="EO389" i="10"/>
  <c r="EP389" i="10"/>
  <c r="EQ389" i="10"/>
  <c r="ER389" i="10"/>
  <c r="ES389" i="10"/>
  <c r="ET389" i="10"/>
  <c r="EU389" i="10"/>
  <c r="EV389" i="10"/>
  <c r="EW389" i="10"/>
  <c r="IU389" i="10"/>
  <c r="EZ389" i="10"/>
  <c r="FA389" i="10"/>
  <c r="FB389" i="10"/>
  <c r="IW389" i="10"/>
  <c r="IZ389" i="10"/>
  <c r="EX389" i="10"/>
  <c r="EY389" i="10"/>
  <c r="IV389" i="10"/>
  <c r="IT389" i="10"/>
  <c r="JB389" i="10"/>
  <c r="LH389" i="10"/>
  <c r="GK389" i="10"/>
  <c r="IN390" i="10"/>
  <c r="JA390" i="10"/>
  <c r="EO390" i="10"/>
  <c r="EP390" i="10"/>
  <c r="EQ390" i="10"/>
  <c r="ER390" i="10"/>
  <c r="ES390" i="10"/>
  <c r="ET390" i="10"/>
  <c r="EU390" i="10"/>
  <c r="EV390" i="10"/>
  <c r="EW390" i="10"/>
  <c r="IU390" i="10"/>
  <c r="EZ390" i="10"/>
  <c r="FA390" i="10"/>
  <c r="FB390" i="10"/>
  <c r="IW390" i="10"/>
  <c r="IZ390" i="10"/>
  <c r="EX390" i="10"/>
  <c r="EY390" i="10"/>
  <c r="IV390" i="10"/>
  <c r="IT390" i="10"/>
  <c r="JB390" i="10"/>
  <c r="LH390" i="10"/>
  <c r="GK390" i="10"/>
  <c r="CQ390" i="10"/>
  <c r="IN391" i="10"/>
  <c r="JA391" i="10"/>
  <c r="EO391" i="10"/>
  <c r="EP391" i="10"/>
  <c r="EQ391" i="10"/>
  <c r="ER391" i="10"/>
  <c r="ES391" i="10"/>
  <c r="ET391" i="10"/>
  <c r="EU391" i="10"/>
  <c r="EV391" i="10"/>
  <c r="EW391" i="10"/>
  <c r="IU391" i="10"/>
  <c r="EZ391" i="10"/>
  <c r="FA391" i="10"/>
  <c r="FB391" i="10"/>
  <c r="IW391" i="10"/>
  <c r="IZ391" i="10"/>
  <c r="EX391" i="10"/>
  <c r="EY391" i="10"/>
  <c r="IV391" i="10"/>
  <c r="IT391" i="10"/>
  <c r="JB391" i="10"/>
  <c r="LH391" i="10"/>
  <c r="GK391" i="10"/>
  <c r="CQ391" i="10"/>
  <c r="IN392" i="10"/>
  <c r="JA392" i="10"/>
  <c r="EO392" i="10"/>
  <c r="EP392" i="10"/>
  <c r="EQ392" i="10"/>
  <c r="ER392" i="10"/>
  <c r="ES392" i="10"/>
  <c r="ET392" i="10"/>
  <c r="EU392" i="10"/>
  <c r="EV392" i="10"/>
  <c r="EW392" i="10"/>
  <c r="IU392" i="10"/>
  <c r="EZ392" i="10"/>
  <c r="FA392" i="10"/>
  <c r="FB392" i="10"/>
  <c r="IW392" i="10"/>
  <c r="IZ392" i="10"/>
  <c r="EX392" i="10"/>
  <c r="EY392" i="10"/>
  <c r="IV392" i="10"/>
  <c r="IT392" i="10"/>
  <c r="JB392" i="10"/>
  <c r="LH392" i="10"/>
  <c r="GK392" i="10"/>
  <c r="CF32" i="10"/>
  <c r="CF34" i="10"/>
  <c r="CF35" i="10"/>
  <c r="CF36" i="10"/>
  <c r="CF37" i="10"/>
  <c r="CF38" i="10"/>
  <c r="CF39" i="10"/>
  <c r="CF42" i="10"/>
  <c r="CF43" i="10"/>
  <c r="CF49" i="10"/>
  <c r="CF50" i="10"/>
  <c r="CF57" i="10"/>
  <c r="CF60" i="10"/>
  <c r="CF67" i="10"/>
  <c r="CF68" i="10"/>
  <c r="CF69" i="10"/>
  <c r="CF70" i="10"/>
  <c r="CF71" i="10"/>
  <c r="CF73" i="10"/>
  <c r="CF74" i="10"/>
  <c r="CW74" i="10"/>
  <c r="CF86" i="10"/>
  <c r="CF87" i="10"/>
  <c r="CF88" i="10"/>
  <c r="CF89" i="10"/>
  <c r="CF90" i="10"/>
  <c r="CW90" i="10"/>
  <c r="CF91" i="10"/>
  <c r="CF92" i="10"/>
  <c r="CF93" i="10"/>
  <c r="CF96" i="10"/>
  <c r="CF97" i="10"/>
  <c r="CF102" i="10"/>
  <c r="CF103" i="10"/>
  <c r="CF104" i="10"/>
  <c r="CF111" i="10"/>
  <c r="CF114" i="10"/>
  <c r="CF120" i="10"/>
  <c r="CW120" i="10"/>
  <c r="CF121" i="10"/>
  <c r="CW121" i="10"/>
  <c r="CF122" i="10"/>
  <c r="CF123" i="10"/>
  <c r="CF124" i="10"/>
  <c r="CF125" i="10"/>
  <c r="CF127" i="10"/>
  <c r="CF128" i="10"/>
  <c r="CF140" i="10"/>
  <c r="CF141" i="10"/>
  <c r="CF142" i="10"/>
  <c r="CF143" i="10"/>
  <c r="CW143" i="10"/>
  <c r="CF144" i="10"/>
  <c r="CF145" i="10"/>
  <c r="CF146" i="10"/>
  <c r="CF147" i="10"/>
  <c r="CF150" i="10"/>
  <c r="CF157" i="10"/>
  <c r="CF158" i="10"/>
  <c r="CF165" i="10"/>
  <c r="CF168" i="10"/>
  <c r="CF174" i="10"/>
  <c r="CW174" i="10"/>
  <c r="CF175" i="10"/>
  <c r="CF176" i="10"/>
  <c r="CF177" i="10"/>
  <c r="CF178" i="10"/>
  <c r="CF179" i="10"/>
  <c r="CF181" i="10"/>
  <c r="CF182" i="10"/>
  <c r="CF194" i="10"/>
  <c r="CF195" i="10"/>
  <c r="CF196" i="10"/>
  <c r="CF197" i="10"/>
  <c r="CW197" i="10"/>
  <c r="CF198" i="10"/>
  <c r="CF199" i="10"/>
  <c r="CF200" i="10"/>
  <c r="CF201" i="10"/>
  <c r="CF204" i="10"/>
  <c r="CF205" i="10"/>
  <c r="CF210" i="10"/>
  <c r="CF211" i="10"/>
  <c r="CF212" i="10"/>
  <c r="CF219" i="10"/>
  <c r="CF222" i="10"/>
  <c r="CF228" i="10"/>
  <c r="CF229" i="10"/>
  <c r="CF230" i="10"/>
  <c r="CF231" i="10"/>
  <c r="CF232" i="10"/>
  <c r="CF233" i="10"/>
  <c r="CF235" i="10"/>
  <c r="CF236" i="10"/>
  <c r="CW236" i="10"/>
  <c r="CF248" i="10"/>
  <c r="CF249" i="10"/>
  <c r="CF250" i="10"/>
  <c r="CF251" i="10"/>
  <c r="CF252" i="10"/>
  <c r="CF253" i="10"/>
  <c r="CF254" i="10"/>
  <c r="CF255" i="10"/>
  <c r="CF258" i="10"/>
  <c r="CF259" i="10"/>
  <c r="CF264" i="10"/>
  <c r="CF265" i="10"/>
  <c r="CF266" i="10"/>
  <c r="CF273" i="10"/>
  <c r="CF276" i="10"/>
  <c r="CF282" i="10"/>
  <c r="CF283" i="10"/>
  <c r="CF284" i="10"/>
  <c r="CF285" i="10"/>
  <c r="CF286" i="10"/>
  <c r="CF287" i="10"/>
  <c r="CF289" i="10"/>
  <c r="CF290" i="10"/>
  <c r="CF302" i="10"/>
  <c r="CF303" i="10"/>
  <c r="CF304" i="10"/>
  <c r="CF306" i="10"/>
  <c r="CF307" i="10"/>
  <c r="CF308" i="10"/>
  <c r="CF309" i="10"/>
  <c r="CF312" i="10"/>
  <c r="CF313" i="10"/>
  <c r="CF318" i="10"/>
  <c r="CF319" i="10"/>
  <c r="CF320" i="10"/>
  <c r="CF326" i="10"/>
  <c r="CF327" i="10"/>
  <c r="CF330" i="10"/>
  <c r="CF336" i="10"/>
  <c r="CW336" i="10"/>
  <c r="CF337" i="10"/>
  <c r="CF338" i="10"/>
  <c r="CF339" i="10"/>
  <c r="CF340" i="10"/>
  <c r="CF341" i="10"/>
  <c r="CF343" i="10"/>
  <c r="CF344" i="10"/>
  <c r="CW344" i="10"/>
  <c r="CF356" i="10"/>
  <c r="CF357" i="10"/>
  <c r="CF358" i="10"/>
  <c r="CF359" i="10"/>
  <c r="CW359" i="10"/>
  <c r="CF360" i="10"/>
  <c r="CF361" i="10"/>
  <c r="CF362" i="10"/>
  <c r="CF363" i="10"/>
  <c r="CF372" i="10"/>
  <c r="CF373" i="10"/>
  <c r="CF374" i="10"/>
  <c r="CF380" i="10"/>
  <c r="CF381" i="10"/>
  <c r="CF384" i="10"/>
  <c r="CF385" i="10"/>
  <c r="CF390" i="10"/>
  <c r="CF391" i="10"/>
  <c r="CF392" i="10"/>
  <c r="DZ167" i="10"/>
  <c r="EA167" i="10"/>
  <c r="EB167" i="10"/>
  <c r="DZ168" i="10"/>
  <c r="EA168" i="10"/>
  <c r="EB168" i="10"/>
  <c r="DZ169" i="10"/>
  <c r="EA169" i="10"/>
  <c r="EB169" i="10"/>
  <c r="DZ170" i="10"/>
  <c r="EA170" i="10"/>
  <c r="EB170" i="10"/>
  <c r="DZ171" i="10"/>
  <c r="EA171" i="10"/>
  <c r="EB171" i="10"/>
  <c r="DZ172" i="10"/>
  <c r="EA172" i="10"/>
  <c r="EB172" i="10"/>
  <c r="DZ173" i="10"/>
  <c r="EA173" i="10"/>
  <c r="EB173" i="10"/>
  <c r="DZ174" i="10"/>
  <c r="EA174" i="10"/>
  <c r="EB174" i="10"/>
  <c r="DZ175" i="10"/>
  <c r="EA175" i="10"/>
  <c r="EB175" i="10"/>
  <c r="DZ176" i="10"/>
  <c r="EA176" i="10"/>
  <c r="EB176" i="10"/>
  <c r="DZ177" i="10"/>
  <c r="EA177" i="10"/>
  <c r="EB177" i="10"/>
  <c r="DZ178" i="10"/>
  <c r="EA178" i="10"/>
  <c r="EB178" i="10"/>
  <c r="DZ179" i="10"/>
  <c r="EA179" i="10"/>
  <c r="EB179" i="10"/>
  <c r="DZ180" i="10"/>
  <c r="EA180" i="10"/>
  <c r="EB180" i="10"/>
  <c r="DZ181" i="10"/>
  <c r="EA181" i="10"/>
  <c r="EB181" i="10"/>
  <c r="DZ182" i="10"/>
  <c r="EA182" i="10"/>
  <c r="EB182" i="10"/>
  <c r="DZ183" i="10"/>
  <c r="EA183" i="10"/>
  <c r="EB183" i="10"/>
  <c r="DZ184" i="10"/>
  <c r="EA184" i="10"/>
  <c r="EB184" i="10"/>
  <c r="DZ185" i="10"/>
  <c r="EA185" i="10"/>
  <c r="EB185" i="10"/>
  <c r="DZ186" i="10"/>
  <c r="EA186" i="10"/>
  <c r="EB186" i="10"/>
  <c r="DZ187" i="10"/>
  <c r="EA187" i="10"/>
  <c r="EB187" i="10"/>
  <c r="DZ188" i="10"/>
  <c r="EA188" i="10"/>
  <c r="EB188" i="10"/>
  <c r="DZ189" i="10"/>
  <c r="EA189" i="10"/>
  <c r="EB189" i="10"/>
  <c r="DZ190" i="10"/>
  <c r="EA190" i="10"/>
  <c r="EB190" i="10"/>
  <c r="DZ191" i="10"/>
  <c r="EA191" i="10"/>
  <c r="EB191" i="10"/>
  <c r="DZ192" i="10"/>
  <c r="EA192" i="10"/>
  <c r="EB192" i="10"/>
  <c r="DZ193" i="10"/>
  <c r="EA193" i="10"/>
  <c r="EB193" i="10"/>
  <c r="DZ194" i="10"/>
  <c r="EA194" i="10"/>
  <c r="EB194" i="10"/>
  <c r="DZ195" i="10"/>
  <c r="EA195" i="10"/>
  <c r="EB195" i="10"/>
  <c r="DZ196" i="10"/>
  <c r="EA196" i="10"/>
  <c r="EB196" i="10"/>
  <c r="DZ197" i="10"/>
  <c r="EA197" i="10"/>
  <c r="EB197" i="10"/>
  <c r="DZ198" i="10"/>
  <c r="EA198" i="10"/>
  <c r="EB198" i="10"/>
  <c r="DZ199" i="10"/>
  <c r="EA199" i="10"/>
  <c r="EB199" i="10"/>
  <c r="DZ200" i="10"/>
  <c r="EA200" i="10"/>
  <c r="EB200" i="10"/>
  <c r="DZ201" i="10"/>
  <c r="EA201" i="10"/>
  <c r="EB201" i="10"/>
  <c r="DZ202" i="10"/>
  <c r="EA202" i="10"/>
  <c r="EB202" i="10"/>
  <c r="DZ203" i="10"/>
  <c r="EA203" i="10"/>
  <c r="EB203" i="10"/>
  <c r="DZ204" i="10"/>
  <c r="EA204" i="10"/>
  <c r="EB204" i="10"/>
  <c r="DZ205" i="10"/>
  <c r="EA205" i="10"/>
  <c r="EB205" i="10"/>
  <c r="DZ206" i="10"/>
  <c r="EA206" i="10"/>
  <c r="EB206" i="10"/>
  <c r="DZ207" i="10"/>
  <c r="EA207" i="10"/>
  <c r="EB207" i="10"/>
  <c r="DZ208" i="10"/>
  <c r="EA208" i="10"/>
  <c r="EB208" i="10"/>
  <c r="DZ209" i="10"/>
  <c r="EA209" i="10"/>
  <c r="EB209" i="10"/>
  <c r="DZ210" i="10"/>
  <c r="EA210" i="10"/>
  <c r="EB210" i="10"/>
  <c r="DZ211" i="10"/>
  <c r="EA211" i="10"/>
  <c r="EB211" i="10"/>
  <c r="DZ212" i="10"/>
  <c r="EA212" i="10"/>
  <c r="EB212" i="10"/>
  <c r="DZ213" i="10"/>
  <c r="EA213" i="10"/>
  <c r="EB213" i="10"/>
  <c r="DZ214" i="10"/>
  <c r="EA214" i="10"/>
  <c r="EB214" i="10"/>
  <c r="DZ215" i="10"/>
  <c r="EA215" i="10"/>
  <c r="EB215" i="10"/>
  <c r="DZ216" i="10"/>
  <c r="EA216" i="10"/>
  <c r="EB216" i="10"/>
  <c r="DZ217" i="10"/>
  <c r="EA217" i="10"/>
  <c r="EB217" i="10"/>
  <c r="DZ218" i="10"/>
  <c r="EA218" i="10"/>
  <c r="EB218" i="10"/>
  <c r="DZ219" i="10"/>
  <c r="EA219" i="10"/>
  <c r="EB219" i="10"/>
  <c r="DZ220" i="10"/>
  <c r="EA220" i="10"/>
  <c r="EB220" i="10"/>
  <c r="DZ221" i="10"/>
  <c r="EA221" i="10"/>
  <c r="EB221" i="10"/>
  <c r="DZ222" i="10"/>
  <c r="EA222" i="10"/>
  <c r="EB222" i="10"/>
  <c r="DZ223" i="10"/>
  <c r="EA223" i="10"/>
  <c r="EB223" i="10"/>
  <c r="DZ224" i="10"/>
  <c r="EA224" i="10"/>
  <c r="EB224" i="10"/>
  <c r="DZ225" i="10"/>
  <c r="EA225" i="10"/>
  <c r="EB225" i="10"/>
  <c r="DZ226" i="10"/>
  <c r="EA226" i="10"/>
  <c r="EB226" i="10"/>
  <c r="DZ227" i="10"/>
  <c r="EA227" i="10"/>
  <c r="EB227" i="10"/>
  <c r="DZ228" i="10"/>
  <c r="EA228" i="10"/>
  <c r="EB228" i="10"/>
  <c r="DZ229" i="10"/>
  <c r="EA229" i="10"/>
  <c r="EB229" i="10"/>
  <c r="DZ230" i="10"/>
  <c r="EA230" i="10"/>
  <c r="EB230" i="10"/>
  <c r="DZ231" i="10"/>
  <c r="EA231" i="10"/>
  <c r="EB231" i="10"/>
  <c r="DZ232" i="10"/>
  <c r="EA232" i="10"/>
  <c r="EB232" i="10"/>
  <c r="DZ233" i="10"/>
  <c r="EA233" i="10"/>
  <c r="EB233" i="10"/>
  <c r="DZ234" i="10"/>
  <c r="EA234" i="10"/>
  <c r="EB234" i="10"/>
  <c r="DZ235" i="10"/>
  <c r="EA235" i="10"/>
  <c r="EB235" i="10"/>
  <c r="DZ236" i="10"/>
  <c r="EA236" i="10"/>
  <c r="EB236" i="10"/>
  <c r="DZ237" i="10"/>
  <c r="EA237" i="10"/>
  <c r="EB237" i="10"/>
  <c r="DZ238" i="10"/>
  <c r="EA238" i="10"/>
  <c r="EB238" i="10"/>
  <c r="DZ239" i="10"/>
  <c r="EA239" i="10"/>
  <c r="EB239" i="10"/>
  <c r="DZ240" i="10"/>
  <c r="EA240" i="10"/>
  <c r="EB240" i="10"/>
  <c r="DZ241" i="10"/>
  <c r="EA241" i="10"/>
  <c r="EB241" i="10"/>
  <c r="DZ242" i="10"/>
  <c r="EA242" i="10"/>
  <c r="EB242" i="10"/>
  <c r="DZ243" i="10"/>
  <c r="EA243" i="10"/>
  <c r="EB243" i="10"/>
  <c r="DZ244" i="10"/>
  <c r="EA244" i="10"/>
  <c r="EB244" i="10"/>
  <c r="DZ245" i="10"/>
  <c r="EA245" i="10"/>
  <c r="EB245" i="10"/>
  <c r="DZ246" i="10"/>
  <c r="EA246" i="10"/>
  <c r="EB246" i="10"/>
  <c r="DZ247" i="10"/>
  <c r="EA247" i="10"/>
  <c r="EB247" i="10"/>
  <c r="DZ248" i="10"/>
  <c r="EA248" i="10"/>
  <c r="EB248" i="10"/>
  <c r="DZ249" i="10"/>
  <c r="EA249" i="10"/>
  <c r="EB249" i="10"/>
  <c r="DZ250" i="10"/>
  <c r="EA250" i="10"/>
  <c r="EB250" i="10"/>
  <c r="DZ251" i="10"/>
  <c r="EA251" i="10"/>
  <c r="EB251" i="10"/>
  <c r="DZ252" i="10"/>
  <c r="EA252" i="10"/>
  <c r="EB252" i="10"/>
  <c r="DZ253" i="10"/>
  <c r="EA253" i="10"/>
  <c r="EB253" i="10"/>
  <c r="DZ254" i="10"/>
  <c r="EA254" i="10"/>
  <c r="EB254" i="10"/>
  <c r="DZ255" i="10"/>
  <c r="EA255" i="10"/>
  <c r="EB255" i="10"/>
  <c r="DZ256" i="10"/>
  <c r="EA256" i="10"/>
  <c r="EB256" i="10"/>
  <c r="DZ257" i="10"/>
  <c r="EA257" i="10"/>
  <c r="EB257" i="10"/>
  <c r="DZ258" i="10"/>
  <c r="EA258" i="10"/>
  <c r="EB258" i="10"/>
  <c r="DZ259" i="10"/>
  <c r="EA259" i="10"/>
  <c r="EB259" i="10"/>
  <c r="DZ260" i="10"/>
  <c r="EA260" i="10"/>
  <c r="EB260" i="10"/>
  <c r="DZ261" i="10"/>
  <c r="EA261" i="10"/>
  <c r="EB261" i="10"/>
  <c r="DZ262" i="10"/>
  <c r="EA262" i="10"/>
  <c r="EB262" i="10"/>
  <c r="DZ263" i="10"/>
  <c r="EA263" i="10"/>
  <c r="EB263" i="10"/>
  <c r="DZ264" i="10"/>
  <c r="EA264" i="10"/>
  <c r="EB264" i="10"/>
  <c r="DZ265" i="10"/>
  <c r="EA265" i="10"/>
  <c r="EB265" i="10"/>
  <c r="DZ266" i="10"/>
  <c r="EA266" i="10"/>
  <c r="EB266" i="10"/>
  <c r="DZ267" i="10"/>
  <c r="EA267" i="10"/>
  <c r="EB267" i="10"/>
  <c r="DZ268" i="10"/>
  <c r="EA268" i="10"/>
  <c r="EB268" i="10"/>
  <c r="DZ269" i="10"/>
  <c r="EA269" i="10"/>
  <c r="EB269" i="10"/>
  <c r="DZ270" i="10"/>
  <c r="EA270" i="10"/>
  <c r="EB270" i="10"/>
  <c r="DZ271" i="10"/>
  <c r="EA271" i="10"/>
  <c r="EB271" i="10"/>
  <c r="DZ272" i="10"/>
  <c r="EA272" i="10"/>
  <c r="EB272" i="10"/>
  <c r="DZ273" i="10"/>
  <c r="EA273" i="10"/>
  <c r="EB273" i="10"/>
  <c r="DZ274" i="10"/>
  <c r="EA274" i="10"/>
  <c r="EB274" i="10"/>
  <c r="DZ275" i="10"/>
  <c r="EA275" i="10"/>
  <c r="EB275" i="10"/>
  <c r="DZ276" i="10"/>
  <c r="EA276" i="10"/>
  <c r="EB276" i="10"/>
  <c r="DZ277" i="10"/>
  <c r="EA277" i="10"/>
  <c r="EB277" i="10"/>
  <c r="DZ278" i="10"/>
  <c r="EA278" i="10"/>
  <c r="EB278" i="10"/>
  <c r="DZ279" i="10"/>
  <c r="EA279" i="10"/>
  <c r="EB279" i="10"/>
  <c r="DZ280" i="10"/>
  <c r="EA280" i="10"/>
  <c r="EB280" i="10"/>
  <c r="DZ281" i="10"/>
  <c r="EA281" i="10"/>
  <c r="EB281" i="10"/>
  <c r="DZ282" i="10"/>
  <c r="EA282" i="10"/>
  <c r="EB282" i="10"/>
  <c r="DZ283" i="10"/>
  <c r="EA283" i="10"/>
  <c r="EB283" i="10"/>
  <c r="DZ284" i="10"/>
  <c r="EA284" i="10"/>
  <c r="EB284" i="10"/>
  <c r="DZ285" i="10"/>
  <c r="EA285" i="10"/>
  <c r="EB285" i="10"/>
  <c r="DZ286" i="10"/>
  <c r="EA286" i="10"/>
  <c r="EB286" i="10"/>
  <c r="DZ287" i="10"/>
  <c r="EA287" i="10"/>
  <c r="EB287" i="10"/>
  <c r="DZ288" i="10"/>
  <c r="EA288" i="10"/>
  <c r="EB288" i="10"/>
  <c r="DZ289" i="10"/>
  <c r="EA289" i="10"/>
  <c r="EB289" i="10"/>
  <c r="DZ290" i="10"/>
  <c r="EA290" i="10"/>
  <c r="EB290" i="10"/>
  <c r="DZ291" i="10"/>
  <c r="EA291" i="10"/>
  <c r="EB291" i="10"/>
  <c r="DZ292" i="10"/>
  <c r="EA292" i="10"/>
  <c r="EB292" i="10"/>
  <c r="DZ293" i="10"/>
  <c r="EA293" i="10"/>
  <c r="EB293" i="10"/>
  <c r="DZ294" i="10"/>
  <c r="EA294" i="10"/>
  <c r="EB294" i="10"/>
  <c r="DZ295" i="10"/>
  <c r="EA295" i="10"/>
  <c r="EB295" i="10"/>
  <c r="DZ296" i="10"/>
  <c r="EA296" i="10"/>
  <c r="EB296" i="10"/>
  <c r="DZ297" i="10"/>
  <c r="EA297" i="10"/>
  <c r="EB297" i="10"/>
  <c r="DZ298" i="10"/>
  <c r="EA298" i="10"/>
  <c r="EB298" i="10"/>
  <c r="DZ299" i="10"/>
  <c r="EA299" i="10"/>
  <c r="EB299" i="10"/>
  <c r="DZ300" i="10"/>
  <c r="EA300" i="10"/>
  <c r="EB300" i="10"/>
  <c r="DZ301" i="10"/>
  <c r="EA301" i="10"/>
  <c r="EB301" i="10"/>
  <c r="DZ302" i="10"/>
  <c r="EA302" i="10"/>
  <c r="EB302" i="10"/>
  <c r="DZ303" i="10"/>
  <c r="EA303" i="10"/>
  <c r="EB303" i="10"/>
  <c r="DZ304" i="10"/>
  <c r="EA304" i="10"/>
  <c r="EB304" i="10"/>
  <c r="DZ305" i="10"/>
  <c r="EA305" i="10"/>
  <c r="EB305" i="10"/>
  <c r="DZ306" i="10"/>
  <c r="EA306" i="10"/>
  <c r="EB306" i="10"/>
  <c r="DZ307" i="10"/>
  <c r="EA307" i="10"/>
  <c r="EB307" i="10"/>
  <c r="DZ308" i="10"/>
  <c r="EA308" i="10"/>
  <c r="EB308" i="10"/>
  <c r="DZ309" i="10"/>
  <c r="EA309" i="10"/>
  <c r="EB309" i="10"/>
  <c r="DZ310" i="10"/>
  <c r="EA310" i="10"/>
  <c r="EB310" i="10"/>
  <c r="DZ311" i="10"/>
  <c r="EA311" i="10"/>
  <c r="EB311" i="10"/>
  <c r="DZ312" i="10"/>
  <c r="EA312" i="10"/>
  <c r="EB312" i="10"/>
  <c r="DZ313" i="10"/>
  <c r="EA313" i="10"/>
  <c r="EB313" i="10"/>
  <c r="DZ314" i="10"/>
  <c r="EA314" i="10"/>
  <c r="EB314" i="10"/>
  <c r="DZ315" i="10"/>
  <c r="EA315" i="10"/>
  <c r="EB315" i="10"/>
  <c r="DZ316" i="10"/>
  <c r="EA316" i="10"/>
  <c r="EB316" i="10"/>
  <c r="DZ317" i="10"/>
  <c r="EA317" i="10"/>
  <c r="EB317" i="10"/>
  <c r="DZ318" i="10"/>
  <c r="EA318" i="10"/>
  <c r="EB318" i="10"/>
  <c r="DZ319" i="10"/>
  <c r="EA319" i="10"/>
  <c r="EB319" i="10"/>
  <c r="DZ320" i="10"/>
  <c r="EA320" i="10"/>
  <c r="EB320" i="10"/>
  <c r="DZ321" i="10"/>
  <c r="EA321" i="10"/>
  <c r="EB321" i="10"/>
  <c r="DZ322" i="10"/>
  <c r="EA322" i="10"/>
  <c r="EB322" i="10"/>
  <c r="DZ323" i="10"/>
  <c r="EA323" i="10"/>
  <c r="EB323" i="10"/>
  <c r="DZ324" i="10"/>
  <c r="EA324" i="10"/>
  <c r="EB324" i="10"/>
  <c r="DZ325" i="10"/>
  <c r="EA325" i="10"/>
  <c r="EB325" i="10"/>
  <c r="DZ326" i="10"/>
  <c r="EA326" i="10"/>
  <c r="EB326" i="10"/>
  <c r="DZ327" i="10"/>
  <c r="EA327" i="10"/>
  <c r="EB327" i="10"/>
  <c r="DZ328" i="10"/>
  <c r="EA328" i="10"/>
  <c r="EB328" i="10"/>
  <c r="DZ329" i="10"/>
  <c r="EA329" i="10"/>
  <c r="EB329" i="10"/>
  <c r="DZ330" i="10"/>
  <c r="EA330" i="10"/>
  <c r="EB330" i="10"/>
  <c r="DZ331" i="10"/>
  <c r="EA331" i="10"/>
  <c r="EB331" i="10"/>
  <c r="DZ332" i="10"/>
  <c r="EA332" i="10"/>
  <c r="EB332" i="10"/>
  <c r="DZ333" i="10"/>
  <c r="EA333" i="10"/>
  <c r="EB333" i="10"/>
  <c r="DZ334" i="10"/>
  <c r="EA334" i="10"/>
  <c r="EB334" i="10"/>
  <c r="DZ335" i="10"/>
  <c r="EA335" i="10"/>
  <c r="EB335" i="10"/>
  <c r="DZ336" i="10"/>
  <c r="EA336" i="10"/>
  <c r="EB336" i="10"/>
  <c r="DZ337" i="10"/>
  <c r="EA337" i="10"/>
  <c r="EB337" i="10"/>
  <c r="DZ338" i="10"/>
  <c r="EA338" i="10"/>
  <c r="EB338" i="10"/>
  <c r="DZ339" i="10"/>
  <c r="EA339" i="10"/>
  <c r="EB339" i="10"/>
  <c r="DZ340" i="10"/>
  <c r="EA340" i="10"/>
  <c r="EB340" i="10"/>
  <c r="DZ341" i="10"/>
  <c r="EA341" i="10"/>
  <c r="EB341" i="10"/>
  <c r="DZ342" i="10"/>
  <c r="EA342" i="10"/>
  <c r="EB342" i="10"/>
  <c r="DZ343" i="10"/>
  <c r="EA343" i="10"/>
  <c r="EB343" i="10"/>
  <c r="DZ344" i="10"/>
  <c r="EA344" i="10"/>
  <c r="EB344" i="10"/>
  <c r="DZ345" i="10"/>
  <c r="EA345" i="10"/>
  <c r="EB345" i="10"/>
  <c r="DZ346" i="10"/>
  <c r="EA346" i="10"/>
  <c r="EB346" i="10"/>
  <c r="DZ347" i="10"/>
  <c r="EA347" i="10"/>
  <c r="EB347" i="10"/>
  <c r="DZ348" i="10"/>
  <c r="EA348" i="10"/>
  <c r="EB348" i="10"/>
  <c r="DZ349" i="10"/>
  <c r="EA349" i="10"/>
  <c r="EB349" i="10"/>
  <c r="DZ350" i="10"/>
  <c r="EA350" i="10"/>
  <c r="EB350" i="10"/>
  <c r="DZ351" i="10"/>
  <c r="EA351" i="10"/>
  <c r="EB351" i="10"/>
  <c r="DZ352" i="10"/>
  <c r="EA352" i="10"/>
  <c r="EB352" i="10"/>
  <c r="DZ353" i="10"/>
  <c r="EA353" i="10"/>
  <c r="EB353" i="10"/>
  <c r="DZ354" i="10"/>
  <c r="EA354" i="10"/>
  <c r="EB354" i="10"/>
  <c r="DZ355" i="10"/>
  <c r="EA355" i="10"/>
  <c r="EB355" i="10"/>
  <c r="DZ356" i="10"/>
  <c r="EA356" i="10"/>
  <c r="EB356" i="10"/>
  <c r="DZ357" i="10"/>
  <c r="EA357" i="10"/>
  <c r="EB357" i="10"/>
  <c r="DZ358" i="10"/>
  <c r="EA358" i="10"/>
  <c r="EB358" i="10"/>
  <c r="DZ359" i="10"/>
  <c r="EA359" i="10"/>
  <c r="EB359" i="10"/>
  <c r="DZ360" i="10"/>
  <c r="EA360" i="10"/>
  <c r="EB360" i="10"/>
  <c r="DZ361" i="10"/>
  <c r="EA361" i="10"/>
  <c r="EB361" i="10"/>
  <c r="DZ362" i="10"/>
  <c r="EA362" i="10"/>
  <c r="EB362" i="10"/>
  <c r="DZ363" i="10"/>
  <c r="EA363" i="10"/>
  <c r="EB363" i="10"/>
  <c r="DZ364" i="10"/>
  <c r="EA364" i="10"/>
  <c r="EB364" i="10"/>
  <c r="DZ365" i="10"/>
  <c r="EA365" i="10"/>
  <c r="EB365" i="10"/>
  <c r="DZ366" i="10"/>
  <c r="EA366" i="10"/>
  <c r="EB366" i="10"/>
  <c r="DZ367" i="10"/>
  <c r="EA367" i="10"/>
  <c r="EB367" i="10"/>
  <c r="DZ368" i="10"/>
  <c r="EA368" i="10"/>
  <c r="EB368" i="10"/>
  <c r="DZ369" i="10"/>
  <c r="EA369" i="10"/>
  <c r="EB369" i="10"/>
  <c r="DZ370" i="10"/>
  <c r="EA370" i="10"/>
  <c r="EB370" i="10"/>
  <c r="DZ371" i="10"/>
  <c r="EA371" i="10"/>
  <c r="EB371" i="10"/>
  <c r="DZ372" i="10"/>
  <c r="EA372" i="10"/>
  <c r="EB372" i="10"/>
  <c r="DZ373" i="10"/>
  <c r="EA373" i="10"/>
  <c r="EB373" i="10"/>
  <c r="DZ374" i="10"/>
  <c r="EA374" i="10"/>
  <c r="EB374" i="10"/>
  <c r="DZ375" i="10"/>
  <c r="EA375" i="10"/>
  <c r="EB375" i="10"/>
  <c r="DZ376" i="10"/>
  <c r="EA376" i="10"/>
  <c r="EB376" i="10"/>
  <c r="DZ377" i="10"/>
  <c r="EA377" i="10"/>
  <c r="EB377" i="10"/>
  <c r="DZ378" i="10"/>
  <c r="EA378" i="10"/>
  <c r="EB378" i="10"/>
  <c r="DZ379" i="10"/>
  <c r="EA379" i="10"/>
  <c r="EB379" i="10"/>
  <c r="DZ380" i="10"/>
  <c r="EA380" i="10"/>
  <c r="EB380" i="10"/>
  <c r="DZ381" i="10"/>
  <c r="EA381" i="10"/>
  <c r="EB381" i="10"/>
  <c r="DZ382" i="10"/>
  <c r="EA382" i="10"/>
  <c r="EB382" i="10"/>
  <c r="DZ383" i="10"/>
  <c r="EA383" i="10"/>
  <c r="EB383" i="10"/>
  <c r="DZ384" i="10"/>
  <c r="EA384" i="10"/>
  <c r="EB384" i="10"/>
  <c r="DZ385" i="10"/>
  <c r="EA385" i="10"/>
  <c r="EB385" i="10"/>
  <c r="DZ386" i="10"/>
  <c r="EA386" i="10"/>
  <c r="EB386" i="10"/>
  <c r="DZ387" i="10"/>
  <c r="EA387" i="10"/>
  <c r="EB387" i="10"/>
  <c r="DZ388" i="10"/>
  <c r="EA388" i="10"/>
  <c r="EB388" i="10"/>
  <c r="DZ389" i="10"/>
  <c r="EA389" i="10"/>
  <c r="EB389" i="10"/>
  <c r="DZ390" i="10"/>
  <c r="EA390" i="10"/>
  <c r="EB390" i="10"/>
  <c r="DZ391" i="10"/>
  <c r="EA391" i="10"/>
  <c r="EB391" i="10"/>
  <c r="DZ392" i="10"/>
  <c r="EA392" i="10"/>
  <c r="EB392" i="10"/>
  <c r="G179" i="12"/>
  <c r="G206" i="12"/>
  <c r="F190" i="12"/>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I43" i="27"/>
  <c r="E42" i="27"/>
  <c r="E41" i="27"/>
  <c r="FO23" i="10"/>
  <c r="FO24" i="10"/>
  <c r="FO25" i="10"/>
  <c r="FO26" i="10"/>
  <c r="FO27" i="10"/>
  <c r="FO28" i="10"/>
  <c r="FO29" i="10"/>
  <c r="FO30" i="10"/>
  <c r="FO31" i="10"/>
  <c r="FO32" i="10"/>
  <c r="FO33" i="10"/>
  <c r="FO34" i="10"/>
  <c r="FO35" i="10"/>
  <c r="FO36" i="10"/>
  <c r="FO37" i="10"/>
  <c r="FO38" i="10"/>
  <c r="FO39" i="10"/>
  <c r="FO40" i="10"/>
  <c r="FO41" i="10"/>
  <c r="FO42" i="10"/>
  <c r="FO43" i="10"/>
  <c r="FO44" i="10"/>
  <c r="FO45" i="10"/>
  <c r="FO46" i="10"/>
  <c r="FO47" i="10"/>
  <c r="FO48" i="10"/>
  <c r="FO49" i="10"/>
  <c r="FO50" i="10"/>
  <c r="FO51" i="10"/>
  <c r="FO52" i="10"/>
  <c r="FO53" i="10"/>
  <c r="FO54" i="10"/>
  <c r="FO55" i="10"/>
  <c r="FO56" i="10"/>
  <c r="FO57" i="10"/>
  <c r="FO58" i="10"/>
  <c r="FO59" i="10"/>
  <c r="FO60" i="10"/>
  <c r="FO61" i="10"/>
  <c r="FO62" i="10"/>
  <c r="FO63" i="10"/>
  <c r="FO64" i="10"/>
  <c r="FO65" i="10"/>
  <c r="FO66" i="10"/>
  <c r="FO67" i="10"/>
  <c r="FO68" i="10"/>
  <c r="FO69" i="10"/>
  <c r="FO70" i="10"/>
  <c r="FO71" i="10"/>
  <c r="FO72" i="10"/>
  <c r="FO73" i="10"/>
  <c r="FO74" i="10"/>
  <c r="FO75" i="10"/>
  <c r="FO76" i="10"/>
  <c r="FO77" i="10"/>
  <c r="FO78" i="10"/>
  <c r="FO79" i="10"/>
  <c r="FO80" i="10"/>
  <c r="FO81" i="10"/>
  <c r="FO82" i="10"/>
  <c r="FO83" i="10"/>
  <c r="FO84" i="10"/>
  <c r="FO85" i="10"/>
  <c r="FO86" i="10"/>
  <c r="FO87" i="10"/>
  <c r="FO88" i="10"/>
  <c r="FO89" i="10"/>
  <c r="FO90" i="10"/>
  <c r="FO91" i="10"/>
  <c r="FO92" i="10"/>
  <c r="FO93" i="10"/>
  <c r="FO94" i="10"/>
  <c r="FO95" i="10"/>
  <c r="FO96" i="10"/>
  <c r="FO97" i="10"/>
  <c r="FO98" i="10"/>
  <c r="FO99" i="10"/>
  <c r="FO100" i="10"/>
  <c r="FO101" i="10"/>
  <c r="FO102" i="10"/>
  <c r="FO103" i="10"/>
  <c r="FO104" i="10"/>
  <c r="FO105" i="10"/>
  <c r="FO106" i="10"/>
  <c r="FO107" i="10"/>
  <c r="FO108" i="10"/>
  <c r="FO109" i="10"/>
  <c r="FO110" i="10"/>
  <c r="FO111" i="10"/>
  <c r="FO112" i="10"/>
  <c r="FO113" i="10"/>
  <c r="FO114" i="10"/>
  <c r="FO115" i="10"/>
  <c r="FO116" i="10"/>
  <c r="FO117" i="10"/>
  <c r="FO118" i="10"/>
  <c r="FO119" i="10"/>
  <c r="FO120" i="10"/>
  <c r="FO121" i="10"/>
  <c r="FO122" i="10"/>
  <c r="FO123" i="10"/>
  <c r="FO124" i="10"/>
  <c r="FO125" i="10"/>
  <c r="FO126" i="10"/>
  <c r="FO127" i="10"/>
  <c r="FO128" i="10"/>
  <c r="FO129" i="10"/>
  <c r="FO130" i="10"/>
  <c r="FO131" i="10"/>
  <c r="FO132" i="10"/>
  <c r="FO133" i="10"/>
  <c r="FO134" i="10"/>
  <c r="FO135" i="10"/>
  <c r="FO136" i="10"/>
  <c r="FO137" i="10"/>
  <c r="FO138" i="10"/>
  <c r="FO139" i="10"/>
  <c r="FO140" i="10"/>
  <c r="FO141" i="10"/>
  <c r="FO142" i="10"/>
  <c r="FO143" i="10"/>
  <c r="FO144" i="10"/>
  <c r="FO145" i="10"/>
  <c r="FO146" i="10"/>
  <c r="FO147" i="10"/>
  <c r="FO148" i="10"/>
  <c r="FO149" i="10"/>
  <c r="FO150" i="10"/>
  <c r="FO151" i="10"/>
  <c r="FO152" i="10"/>
  <c r="FO153" i="10"/>
  <c r="FO154" i="10"/>
  <c r="FO155" i="10"/>
  <c r="FO156" i="10"/>
  <c r="FO157" i="10"/>
  <c r="FO158" i="10"/>
  <c r="FO159" i="10"/>
  <c r="FO160" i="10"/>
  <c r="FO161" i="10"/>
  <c r="FO162" i="10"/>
  <c r="FO163" i="10"/>
  <c r="FO164" i="10"/>
  <c r="FO165" i="10"/>
  <c r="FO166" i="10"/>
  <c r="FO167" i="10"/>
  <c r="FO168" i="10"/>
  <c r="FO169" i="10"/>
  <c r="FO170" i="10"/>
  <c r="FO171" i="10"/>
  <c r="FO172" i="10"/>
  <c r="FO173" i="10"/>
  <c r="FO174" i="10"/>
  <c r="FO175" i="10"/>
  <c r="FO176" i="10"/>
  <c r="FO177" i="10"/>
  <c r="FO178" i="10"/>
  <c r="FO179" i="10"/>
  <c r="FO180" i="10"/>
  <c r="FO181" i="10"/>
  <c r="FO182" i="10"/>
  <c r="FO183" i="10"/>
  <c r="FO184" i="10"/>
  <c r="FO185" i="10"/>
  <c r="FO186" i="10"/>
  <c r="FO187" i="10"/>
  <c r="FO188" i="10"/>
  <c r="FO189" i="10"/>
  <c r="FO190" i="10"/>
  <c r="FO191" i="10"/>
  <c r="FO192" i="10"/>
  <c r="FO193" i="10"/>
  <c r="FO194" i="10"/>
  <c r="FO195" i="10"/>
  <c r="FO196" i="10"/>
  <c r="FO197" i="10"/>
  <c r="FO198" i="10"/>
  <c r="FO199" i="10"/>
  <c r="FO200" i="10"/>
  <c r="FO201" i="10"/>
  <c r="FO202" i="10"/>
  <c r="FO203" i="10"/>
  <c r="FO204" i="10"/>
  <c r="FO205" i="10"/>
  <c r="FO206" i="10"/>
  <c r="FO207" i="10"/>
  <c r="FO208" i="10"/>
  <c r="FO209" i="10"/>
  <c r="FO210" i="10"/>
  <c r="FO211" i="10"/>
  <c r="FO212" i="10"/>
  <c r="FO213" i="10"/>
  <c r="FO214" i="10"/>
  <c r="FO215" i="10"/>
  <c r="FO216" i="10"/>
  <c r="FO217" i="10"/>
  <c r="FO218" i="10"/>
  <c r="FO219" i="10"/>
  <c r="FO220" i="10"/>
  <c r="FO221" i="10"/>
  <c r="FO222" i="10"/>
  <c r="FO223" i="10"/>
  <c r="FO224" i="10"/>
  <c r="FO225" i="10"/>
  <c r="FO226" i="10"/>
  <c r="FO227" i="10"/>
  <c r="FO228" i="10"/>
  <c r="FO229" i="10"/>
  <c r="FO230" i="10"/>
  <c r="FO231" i="10"/>
  <c r="FO232" i="10"/>
  <c r="FO233" i="10"/>
  <c r="FO234" i="10"/>
  <c r="FO235" i="10"/>
  <c r="FO236" i="10"/>
  <c r="FO237" i="10"/>
  <c r="FO238" i="10"/>
  <c r="FO239" i="10"/>
  <c r="FO240" i="10"/>
  <c r="FO241" i="10"/>
  <c r="FO242" i="10"/>
  <c r="FO243" i="10"/>
  <c r="FO244" i="10"/>
  <c r="FO245" i="10"/>
  <c r="FO246" i="10"/>
  <c r="FO247" i="10"/>
  <c r="FO248" i="10"/>
  <c r="FO249" i="10"/>
  <c r="FO250" i="10"/>
  <c r="FO251" i="10"/>
  <c r="FO252" i="10"/>
  <c r="FO253" i="10"/>
  <c r="FO254" i="10"/>
  <c r="FO255" i="10"/>
  <c r="FO256" i="10"/>
  <c r="FO257" i="10"/>
  <c r="FO258" i="10"/>
  <c r="FO259" i="10"/>
  <c r="FO260" i="10"/>
  <c r="FO261" i="10"/>
  <c r="FO262" i="10"/>
  <c r="FO263" i="10"/>
  <c r="FO264" i="10"/>
  <c r="FO265" i="10"/>
  <c r="FO266" i="10"/>
  <c r="FO267" i="10"/>
  <c r="FO268" i="10"/>
  <c r="FO269" i="10"/>
  <c r="FO270" i="10"/>
  <c r="FO271" i="10"/>
  <c r="FO272" i="10"/>
  <c r="FO273" i="10"/>
  <c r="FO274" i="10"/>
  <c r="FO275" i="10"/>
  <c r="FO276" i="10"/>
  <c r="FO277" i="10"/>
  <c r="FO278" i="10"/>
  <c r="FO279" i="10"/>
  <c r="FO280" i="10"/>
  <c r="FO281" i="10"/>
  <c r="FO282" i="10"/>
  <c r="FO283" i="10"/>
  <c r="FO284" i="10"/>
  <c r="FO285" i="10"/>
  <c r="FO286" i="10"/>
  <c r="FO287" i="10"/>
  <c r="FO288" i="10"/>
  <c r="FO289" i="10"/>
  <c r="FO290" i="10"/>
  <c r="FO291" i="10"/>
  <c r="FO292" i="10"/>
  <c r="FO293" i="10"/>
  <c r="FO294" i="10"/>
  <c r="FO295" i="10"/>
  <c r="FO296" i="10"/>
  <c r="FO297" i="10"/>
  <c r="FO298" i="10"/>
  <c r="FO299" i="10"/>
  <c r="FO300" i="10"/>
  <c r="FO301" i="10"/>
  <c r="FO302" i="10"/>
  <c r="FO303" i="10"/>
  <c r="FO304" i="10"/>
  <c r="FO305" i="10"/>
  <c r="FO306" i="10"/>
  <c r="FO307" i="10"/>
  <c r="FO308" i="10"/>
  <c r="FO309" i="10"/>
  <c r="FO310" i="10"/>
  <c r="FO311" i="10"/>
  <c r="FO312" i="10"/>
  <c r="FO313" i="10"/>
  <c r="FO314" i="10"/>
  <c r="FO315" i="10"/>
  <c r="FO316" i="10"/>
  <c r="FO317" i="10"/>
  <c r="FO318" i="10"/>
  <c r="FO319" i="10"/>
  <c r="FO320" i="10"/>
  <c r="FO321" i="10"/>
  <c r="FO322" i="10"/>
  <c r="FO323" i="10"/>
  <c r="FO324" i="10"/>
  <c r="FO325" i="10"/>
  <c r="FO326" i="10"/>
  <c r="FO327" i="10"/>
  <c r="FO328" i="10"/>
  <c r="FO329" i="10"/>
  <c r="FO330" i="10"/>
  <c r="FO331" i="10"/>
  <c r="FO332" i="10"/>
  <c r="FO333" i="10"/>
  <c r="FO334" i="10"/>
  <c r="FO335" i="10"/>
  <c r="FO336" i="10"/>
  <c r="FO337" i="10"/>
  <c r="FO338" i="10"/>
  <c r="FO339" i="10"/>
  <c r="FO340" i="10"/>
  <c r="FO341" i="10"/>
  <c r="FO342" i="10"/>
  <c r="FO343" i="10"/>
  <c r="FO344" i="10"/>
  <c r="FO345" i="10"/>
  <c r="FO346" i="10"/>
  <c r="FO347" i="10"/>
  <c r="FO348" i="10"/>
  <c r="FO349" i="10"/>
  <c r="FO350" i="10"/>
  <c r="FO351" i="10"/>
  <c r="FO352" i="10"/>
  <c r="FO353" i="10"/>
  <c r="FO354" i="10"/>
  <c r="FO355" i="10"/>
  <c r="FO356" i="10"/>
  <c r="FO357" i="10"/>
  <c r="FO358" i="10"/>
  <c r="FO359" i="10"/>
  <c r="FO360" i="10"/>
  <c r="FO361" i="10"/>
  <c r="FO362" i="10"/>
  <c r="FO363" i="10"/>
  <c r="FO364" i="10"/>
  <c r="FO365" i="10"/>
  <c r="FO366" i="10"/>
  <c r="FO367" i="10"/>
  <c r="FO368" i="10"/>
  <c r="FO369" i="10"/>
  <c r="FO370" i="10"/>
  <c r="FO371" i="10"/>
  <c r="FO372" i="10"/>
  <c r="FO373" i="10"/>
  <c r="FO374" i="10"/>
  <c r="FO375" i="10"/>
  <c r="FO376" i="10"/>
  <c r="FO377" i="10"/>
  <c r="FO378" i="10"/>
  <c r="FO379" i="10"/>
  <c r="FO380" i="10"/>
  <c r="FO381" i="10"/>
  <c r="FO382" i="10"/>
  <c r="FO383" i="10"/>
  <c r="FO384" i="10"/>
  <c r="FO385" i="10"/>
  <c r="FO386" i="10"/>
  <c r="FO387" i="10"/>
  <c r="FO388" i="10"/>
  <c r="FO389" i="10"/>
  <c r="FO390" i="10"/>
  <c r="FO391" i="10"/>
  <c r="FO392" i="10"/>
  <c r="FO22" i="10"/>
  <c r="FP392" i="10"/>
  <c r="FN23" i="10"/>
  <c r="FN24" i="10"/>
  <c r="FN25" i="10"/>
  <c r="FN26" i="10"/>
  <c r="FN27" i="10"/>
  <c r="FN28" i="10"/>
  <c r="FN29" i="10"/>
  <c r="FN30" i="10"/>
  <c r="FN31" i="10"/>
  <c r="FN32" i="10"/>
  <c r="FN33" i="10"/>
  <c r="FN34" i="10"/>
  <c r="FN35" i="10"/>
  <c r="FN36" i="10"/>
  <c r="FN37" i="10"/>
  <c r="FN38" i="10"/>
  <c r="FN39" i="10"/>
  <c r="FN40" i="10"/>
  <c r="FN41" i="10"/>
  <c r="FN42" i="10"/>
  <c r="FN43" i="10"/>
  <c r="FN44" i="10"/>
  <c r="FN45" i="10"/>
  <c r="FN46" i="10"/>
  <c r="FN47" i="10"/>
  <c r="FN48" i="10"/>
  <c r="FN49" i="10"/>
  <c r="FN50" i="10"/>
  <c r="FN51" i="10"/>
  <c r="FN52" i="10"/>
  <c r="FN53" i="10"/>
  <c r="FN54" i="10"/>
  <c r="FN55" i="10"/>
  <c r="FN56" i="10"/>
  <c r="FN57" i="10"/>
  <c r="FN58" i="10"/>
  <c r="FN59" i="10"/>
  <c r="FN60" i="10"/>
  <c r="FN61" i="10"/>
  <c r="FN62" i="10"/>
  <c r="FN63" i="10"/>
  <c r="FN64" i="10"/>
  <c r="FN65" i="10"/>
  <c r="FN66" i="10"/>
  <c r="FN67" i="10"/>
  <c r="FN68" i="10"/>
  <c r="FN69" i="10"/>
  <c r="FN70" i="10"/>
  <c r="FN71" i="10"/>
  <c r="FN72" i="10"/>
  <c r="FN73" i="10"/>
  <c r="FN74" i="10"/>
  <c r="FN75" i="10"/>
  <c r="FN76" i="10"/>
  <c r="FN77" i="10"/>
  <c r="FN78" i="10"/>
  <c r="FN79" i="10"/>
  <c r="FN80" i="10"/>
  <c r="FN81" i="10"/>
  <c r="FN82" i="10"/>
  <c r="FN83" i="10"/>
  <c r="FN84" i="10"/>
  <c r="FN85" i="10"/>
  <c r="FN86" i="10"/>
  <c r="FN87" i="10"/>
  <c r="FN88" i="10"/>
  <c r="FN89" i="10"/>
  <c r="FN90" i="10"/>
  <c r="FN91" i="10"/>
  <c r="FN92" i="10"/>
  <c r="FN93" i="10"/>
  <c r="FN94" i="10"/>
  <c r="FN95" i="10"/>
  <c r="FN96" i="10"/>
  <c r="FN97" i="10"/>
  <c r="FN98" i="10"/>
  <c r="FN99" i="10"/>
  <c r="FN100" i="10"/>
  <c r="FN101" i="10"/>
  <c r="FN102" i="10"/>
  <c r="FN103" i="10"/>
  <c r="FN104" i="10"/>
  <c r="FN105" i="10"/>
  <c r="FN106" i="10"/>
  <c r="FN107" i="10"/>
  <c r="FN108" i="10"/>
  <c r="FN109" i="10"/>
  <c r="FN110" i="10"/>
  <c r="FN111" i="10"/>
  <c r="FN112" i="10"/>
  <c r="FN113" i="10"/>
  <c r="FN114" i="10"/>
  <c r="FN115" i="10"/>
  <c r="FN116" i="10"/>
  <c r="FN117" i="10"/>
  <c r="FN118" i="10"/>
  <c r="FN119" i="10"/>
  <c r="FN120" i="10"/>
  <c r="FN121" i="10"/>
  <c r="FN122" i="10"/>
  <c r="FN123" i="10"/>
  <c r="FN124" i="10"/>
  <c r="FN125" i="10"/>
  <c r="FN126" i="10"/>
  <c r="FN127" i="10"/>
  <c r="FN128" i="10"/>
  <c r="FN129" i="10"/>
  <c r="FN130" i="10"/>
  <c r="FN131" i="10"/>
  <c r="FN132" i="10"/>
  <c r="FN133" i="10"/>
  <c r="FN134" i="10"/>
  <c r="FN135" i="10"/>
  <c r="FN136" i="10"/>
  <c r="FN137" i="10"/>
  <c r="FN138" i="10"/>
  <c r="FN139" i="10"/>
  <c r="FN140" i="10"/>
  <c r="FN141" i="10"/>
  <c r="FN142" i="10"/>
  <c r="FN143" i="10"/>
  <c r="FN144" i="10"/>
  <c r="FN145" i="10"/>
  <c r="FN146" i="10"/>
  <c r="FN147" i="10"/>
  <c r="FN148" i="10"/>
  <c r="FN149" i="10"/>
  <c r="FN150" i="10"/>
  <c r="FN151" i="10"/>
  <c r="FN152" i="10"/>
  <c r="FN153" i="10"/>
  <c r="FN154" i="10"/>
  <c r="FN155" i="10"/>
  <c r="FN156" i="10"/>
  <c r="FN157" i="10"/>
  <c r="FN158" i="10"/>
  <c r="FN159" i="10"/>
  <c r="FN160" i="10"/>
  <c r="FN161" i="10"/>
  <c r="FN162" i="10"/>
  <c r="FN163" i="10"/>
  <c r="FN164" i="10"/>
  <c r="FN165" i="10"/>
  <c r="FN166" i="10"/>
  <c r="FN167" i="10"/>
  <c r="FN168" i="10"/>
  <c r="FN169" i="10"/>
  <c r="FN170" i="10"/>
  <c r="FN171" i="10"/>
  <c r="FN172" i="10"/>
  <c r="FN173" i="10"/>
  <c r="FN174" i="10"/>
  <c r="FN175" i="10"/>
  <c r="FN176" i="10"/>
  <c r="FN177" i="10"/>
  <c r="FN178" i="10"/>
  <c r="FN179" i="10"/>
  <c r="FN180" i="10"/>
  <c r="FN181" i="10"/>
  <c r="FN182" i="10"/>
  <c r="FN183" i="10"/>
  <c r="FN184" i="10"/>
  <c r="FN185" i="10"/>
  <c r="FN186" i="10"/>
  <c r="FN187" i="10"/>
  <c r="FN188" i="10"/>
  <c r="FN189" i="10"/>
  <c r="FN190" i="10"/>
  <c r="FN191" i="10"/>
  <c r="FN192" i="10"/>
  <c r="FN193" i="10"/>
  <c r="FN194" i="10"/>
  <c r="FN195" i="10"/>
  <c r="FN196" i="10"/>
  <c r="FN197" i="10"/>
  <c r="FN198" i="10"/>
  <c r="FN199" i="10"/>
  <c r="FN200" i="10"/>
  <c r="FN201" i="10"/>
  <c r="FN202" i="10"/>
  <c r="FN203" i="10"/>
  <c r="FN204" i="10"/>
  <c r="FN205" i="10"/>
  <c r="FN206" i="10"/>
  <c r="FN207" i="10"/>
  <c r="FN208" i="10"/>
  <c r="FN209" i="10"/>
  <c r="FN210" i="10"/>
  <c r="FN211" i="10"/>
  <c r="FN212" i="10"/>
  <c r="FN213" i="10"/>
  <c r="FN214" i="10"/>
  <c r="FN215" i="10"/>
  <c r="FN216" i="10"/>
  <c r="FN217" i="10"/>
  <c r="FN218" i="10"/>
  <c r="FN219" i="10"/>
  <c r="FN220" i="10"/>
  <c r="FN221" i="10"/>
  <c r="FN222" i="10"/>
  <c r="FN223" i="10"/>
  <c r="FN224" i="10"/>
  <c r="FN225" i="10"/>
  <c r="FN226" i="10"/>
  <c r="FN227" i="10"/>
  <c r="FN228" i="10"/>
  <c r="FN229" i="10"/>
  <c r="FN230" i="10"/>
  <c r="FN231" i="10"/>
  <c r="FN232" i="10"/>
  <c r="FN233" i="10"/>
  <c r="FN234" i="10"/>
  <c r="FN235" i="10"/>
  <c r="FN236" i="10"/>
  <c r="FN237" i="10"/>
  <c r="FN238" i="10"/>
  <c r="FN239" i="10"/>
  <c r="FN240" i="10"/>
  <c r="FN241" i="10"/>
  <c r="FN242" i="10"/>
  <c r="FN243" i="10"/>
  <c r="FN244" i="10"/>
  <c r="FN245" i="10"/>
  <c r="FN246" i="10"/>
  <c r="FN247" i="10"/>
  <c r="FN248" i="10"/>
  <c r="FN249" i="10"/>
  <c r="FN250" i="10"/>
  <c r="FN251" i="10"/>
  <c r="FN252" i="10"/>
  <c r="FN253" i="10"/>
  <c r="FN254" i="10"/>
  <c r="FN255" i="10"/>
  <c r="FN256" i="10"/>
  <c r="FN257" i="10"/>
  <c r="FN258" i="10"/>
  <c r="FN259" i="10"/>
  <c r="FN260" i="10"/>
  <c r="FN261" i="10"/>
  <c r="FN262" i="10"/>
  <c r="FN263" i="10"/>
  <c r="FN264" i="10"/>
  <c r="FN265" i="10"/>
  <c r="FN266" i="10"/>
  <c r="FN267" i="10"/>
  <c r="FN268" i="10"/>
  <c r="FN269" i="10"/>
  <c r="FN270" i="10"/>
  <c r="FN271" i="10"/>
  <c r="FN272" i="10"/>
  <c r="FN273" i="10"/>
  <c r="FN274" i="10"/>
  <c r="FN275" i="10"/>
  <c r="FN276" i="10"/>
  <c r="FN277" i="10"/>
  <c r="FN278" i="10"/>
  <c r="FN279" i="10"/>
  <c r="FN280" i="10"/>
  <c r="FN281" i="10"/>
  <c r="FN282" i="10"/>
  <c r="FN283" i="10"/>
  <c r="FN284" i="10"/>
  <c r="FN285" i="10"/>
  <c r="FN286" i="10"/>
  <c r="FN287" i="10"/>
  <c r="FN288" i="10"/>
  <c r="FN289" i="10"/>
  <c r="FN290" i="10"/>
  <c r="FN291" i="10"/>
  <c r="FN292" i="10"/>
  <c r="FN293" i="10"/>
  <c r="FN294" i="10"/>
  <c r="FN295" i="10"/>
  <c r="FN296" i="10"/>
  <c r="FN297" i="10"/>
  <c r="FN298" i="10"/>
  <c r="FN299" i="10"/>
  <c r="FN300" i="10"/>
  <c r="FN301" i="10"/>
  <c r="FN302" i="10"/>
  <c r="FN303" i="10"/>
  <c r="FN304" i="10"/>
  <c r="FN305" i="10"/>
  <c r="FN306" i="10"/>
  <c r="FN307" i="10"/>
  <c r="FN308" i="10"/>
  <c r="FN309" i="10"/>
  <c r="FN310" i="10"/>
  <c r="FN311" i="10"/>
  <c r="FN312" i="10"/>
  <c r="FN313" i="10"/>
  <c r="FN314" i="10"/>
  <c r="FN315" i="10"/>
  <c r="FN316" i="10"/>
  <c r="FN317" i="10"/>
  <c r="FN318" i="10"/>
  <c r="FN319" i="10"/>
  <c r="FN320" i="10"/>
  <c r="FN321" i="10"/>
  <c r="FN322" i="10"/>
  <c r="FN323" i="10"/>
  <c r="FN324" i="10"/>
  <c r="FN325" i="10"/>
  <c r="FN326" i="10"/>
  <c r="FN327" i="10"/>
  <c r="FN328" i="10"/>
  <c r="FN329" i="10"/>
  <c r="FN330" i="10"/>
  <c r="FN331" i="10"/>
  <c r="FN332" i="10"/>
  <c r="FN333" i="10"/>
  <c r="FN334" i="10"/>
  <c r="FN335" i="10"/>
  <c r="FN336" i="10"/>
  <c r="FN337" i="10"/>
  <c r="FN338" i="10"/>
  <c r="FN339" i="10"/>
  <c r="FN340" i="10"/>
  <c r="FN341" i="10"/>
  <c r="FN342" i="10"/>
  <c r="FN343" i="10"/>
  <c r="FN344" i="10"/>
  <c r="FN345" i="10"/>
  <c r="FN346" i="10"/>
  <c r="FN347" i="10"/>
  <c r="FN348" i="10"/>
  <c r="FN349" i="10"/>
  <c r="FN350" i="10"/>
  <c r="FN351" i="10"/>
  <c r="FN352" i="10"/>
  <c r="FN353" i="10"/>
  <c r="FN354" i="10"/>
  <c r="FN355" i="10"/>
  <c r="FN356" i="10"/>
  <c r="FN357" i="10"/>
  <c r="FN358" i="10"/>
  <c r="FN359" i="10"/>
  <c r="FN360" i="10"/>
  <c r="FN361" i="10"/>
  <c r="FN362" i="10"/>
  <c r="FN363" i="10"/>
  <c r="FN364" i="10"/>
  <c r="FN365" i="10"/>
  <c r="FN366" i="10"/>
  <c r="FN367" i="10"/>
  <c r="FN368" i="10"/>
  <c r="FN369" i="10"/>
  <c r="FN370" i="10"/>
  <c r="FN371" i="10"/>
  <c r="FN372" i="10"/>
  <c r="FN373" i="10"/>
  <c r="FN374" i="10"/>
  <c r="FN375" i="10"/>
  <c r="FN376" i="10"/>
  <c r="FN377" i="10"/>
  <c r="FN378" i="10"/>
  <c r="FN379" i="10"/>
  <c r="FN380" i="10"/>
  <c r="FN381" i="10"/>
  <c r="FN382" i="10"/>
  <c r="FN383" i="10"/>
  <c r="FN384" i="10"/>
  <c r="FN385" i="10"/>
  <c r="FN386" i="10"/>
  <c r="FN387" i="10"/>
  <c r="FN388" i="10"/>
  <c r="FN389" i="10"/>
  <c r="FN390" i="10"/>
  <c r="FN391" i="10"/>
  <c r="FN392" i="10"/>
  <c r="FN22" i="10"/>
  <c r="FT23" i="10"/>
  <c r="FT24" i="10"/>
  <c r="FT25" i="10"/>
  <c r="FT26" i="10"/>
  <c r="FT27" i="10"/>
  <c r="FT28" i="10"/>
  <c r="FT29" i="10"/>
  <c r="FT30" i="10"/>
  <c r="FT31" i="10"/>
  <c r="FT32" i="10"/>
  <c r="FT33" i="10"/>
  <c r="FT34" i="10"/>
  <c r="FT35" i="10"/>
  <c r="FT36" i="10"/>
  <c r="FT37" i="10"/>
  <c r="FT38" i="10"/>
  <c r="FT39" i="10"/>
  <c r="FT40" i="10"/>
  <c r="FT41" i="10"/>
  <c r="FT42" i="10"/>
  <c r="FT43" i="10"/>
  <c r="FT44" i="10"/>
  <c r="FT45" i="10"/>
  <c r="FT46" i="10"/>
  <c r="FT47" i="10"/>
  <c r="FT48" i="10"/>
  <c r="FT49" i="10"/>
  <c r="FT50" i="10"/>
  <c r="FT51" i="10"/>
  <c r="FT52" i="10"/>
  <c r="FT53" i="10"/>
  <c r="FT54" i="10"/>
  <c r="FT55" i="10"/>
  <c r="FT56" i="10"/>
  <c r="FT57" i="10"/>
  <c r="FT58" i="10"/>
  <c r="FT59" i="10"/>
  <c r="FT60" i="10"/>
  <c r="FT61" i="10"/>
  <c r="FT62" i="10"/>
  <c r="FT63" i="10"/>
  <c r="FT64" i="10"/>
  <c r="FT65" i="10"/>
  <c r="FT66" i="10"/>
  <c r="FT67" i="10"/>
  <c r="FT68" i="10"/>
  <c r="FT69" i="10"/>
  <c r="FT70" i="10"/>
  <c r="FT71" i="10"/>
  <c r="FT72" i="10"/>
  <c r="FT73" i="10"/>
  <c r="FT74" i="10"/>
  <c r="FT75" i="10"/>
  <c r="FT76" i="10"/>
  <c r="FT77" i="10"/>
  <c r="FT78" i="10"/>
  <c r="FT79" i="10"/>
  <c r="FT80" i="10"/>
  <c r="FT81" i="10"/>
  <c r="FT82" i="10"/>
  <c r="FT83" i="10"/>
  <c r="FT84" i="10"/>
  <c r="FT85" i="10"/>
  <c r="FT86" i="10"/>
  <c r="FT87" i="10"/>
  <c r="FT88" i="10"/>
  <c r="FT89" i="10"/>
  <c r="FT90" i="10"/>
  <c r="FT91" i="10"/>
  <c r="FT92" i="10"/>
  <c r="FT93" i="10"/>
  <c r="FT94" i="10"/>
  <c r="FT95" i="10"/>
  <c r="FT96" i="10"/>
  <c r="FT97" i="10"/>
  <c r="FT98" i="10"/>
  <c r="FT99" i="10"/>
  <c r="FT100" i="10"/>
  <c r="FT101" i="10"/>
  <c r="FT102" i="10"/>
  <c r="FT103" i="10"/>
  <c r="FT104" i="10"/>
  <c r="FT105" i="10"/>
  <c r="FT106" i="10"/>
  <c r="FT107" i="10"/>
  <c r="FT108" i="10"/>
  <c r="FT109" i="10"/>
  <c r="FT110" i="10"/>
  <c r="FT111" i="10"/>
  <c r="FT112" i="10"/>
  <c r="FT113" i="10"/>
  <c r="FT114" i="10"/>
  <c r="FT115" i="10"/>
  <c r="FT116" i="10"/>
  <c r="FT117" i="10"/>
  <c r="FT118" i="10"/>
  <c r="FT119" i="10"/>
  <c r="FT120" i="10"/>
  <c r="FT121" i="10"/>
  <c r="FT122" i="10"/>
  <c r="FT123" i="10"/>
  <c r="FT124" i="10"/>
  <c r="FT125" i="10"/>
  <c r="FT126" i="10"/>
  <c r="FT127" i="10"/>
  <c r="FT128" i="10"/>
  <c r="FT129" i="10"/>
  <c r="FT130" i="10"/>
  <c r="FT131" i="10"/>
  <c r="FT132" i="10"/>
  <c r="FT133" i="10"/>
  <c r="FT134" i="10"/>
  <c r="FT135" i="10"/>
  <c r="FT136" i="10"/>
  <c r="FT137" i="10"/>
  <c r="FT138" i="10"/>
  <c r="FT139" i="10"/>
  <c r="FT140" i="10"/>
  <c r="FT141" i="10"/>
  <c r="FT142" i="10"/>
  <c r="FT143" i="10"/>
  <c r="FT144" i="10"/>
  <c r="FT145" i="10"/>
  <c r="FT146" i="10"/>
  <c r="FT147" i="10"/>
  <c r="FT148" i="10"/>
  <c r="FT149" i="10"/>
  <c r="FT150" i="10"/>
  <c r="FT151" i="10"/>
  <c r="FT152" i="10"/>
  <c r="FT153" i="10"/>
  <c r="FT154" i="10"/>
  <c r="FT155" i="10"/>
  <c r="FT156" i="10"/>
  <c r="FT157" i="10"/>
  <c r="FT158" i="10"/>
  <c r="FT159" i="10"/>
  <c r="FT160" i="10"/>
  <c r="FT161" i="10"/>
  <c r="FT162" i="10"/>
  <c r="FT163" i="10"/>
  <c r="FT164" i="10"/>
  <c r="FT165" i="10"/>
  <c r="FT166" i="10"/>
  <c r="FT167" i="10"/>
  <c r="FT168" i="10"/>
  <c r="FT169" i="10"/>
  <c r="FT170" i="10"/>
  <c r="FT171" i="10"/>
  <c r="FT172" i="10"/>
  <c r="FT173" i="10"/>
  <c r="FT174" i="10"/>
  <c r="FT175" i="10"/>
  <c r="FT176" i="10"/>
  <c r="FT177" i="10"/>
  <c r="FT178" i="10"/>
  <c r="FT179" i="10"/>
  <c r="FT180" i="10"/>
  <c r="FT181" i="10"/>
  <c r="FT182" i="10"/>
  <c r="FT183" i="10"/>
  <c r="FT184" i="10"/>
  <c r="FT185" i="10"/>
  <c r="FT186" i="10"/>
  <c r="FT187" i="10"/>
  <c r="FT188" i="10"/>
  <c r="FT189" i="10"/>
  <c r="FT190" i="10"/>
  <c r="FT191" i="10"/>
  <c r="FT192" i="10"/>
  <c r="FT193" i="10"/>
  <c r="FT194" i="10"/>
  <c r="FT195" i="10"/>
  <c r="FT196" i="10"/>
  <c r="FT197" i="10"/>
  <c r="FT198" i="10"/>
  <c r="FT199" i="10"/>
  <c r="FT200" i="10"/>
  <c r="FT201" i="10"/>
  <c r="FT202" i="10"/>
  <c r="FT203" i="10"/>
  <c r="FT204" i="10"/>
  <c r="FT205" i="10"/>
  <c r="FT206" i="10"/>
  <c r="FT207" i="10"/>
  <c r="FT208" i="10"/>
  <c r="FT209" i="10"/>
  <c r="FT210" i="10"/>
  <c r="FT211" i="10"/>
  <c r="FT212" i="10"/>
  <c r="FT213" i="10"/>
  <c r="FT214" i="10"/>
  <c r="FT215" i="10"/>
  <c r="FT216" i="10"/>
  <c r="FT217" i="10"/>
  <c r="FT218" i="10"/>
  <c r="FT219" i="10"/>
  <c r="FT220" i="10"/>
  <c r="FT221" i="10"/>
  <c r="FT222" i="10"/>
  <c r="FT223" i="10"/>
  <c r="FT224" i="10"/>
  <c r="FT225" i="10"/>
  <c r="FT226" i="10"/>
  <c r="FT227" i="10"/>
  <c r="FT228" i="10"/>
  <c r="FT229" i="10"/>
  <c r="FT230" i="10"/>
  <c r="FT231" i="10"/>
  <c r="FT232" i="10"/>
  <c r="FT233" i="10"/>
  <c r="FT234" i="10"/>
  <c r="FT235" i="10"/>
  <c r="FT236" i="10"/>
  <c r="FT237" i="10"/>
  <c r="FT238" i="10"/>
  <c r="FT239" i="10"/>
  <c r="FT240" i="10"/>
  <c r="FT241" i="10"/>
  <c r="FT242" i="10"/>
  <c r="FT243" i="10"/>
  <c r="FT244" i="10"/>
  <c r="FT245" i="10"/>
  <c r="FT246" i="10"/>
  <c r="FT247" i="10"/>
  <c r="FT248" i="10"/>
  <c r="FT249" i="10"/>
  <c r="FT250" i="10"/>
  <c r="FT251" i="10"/>
  <c r="FT252" i="10"/>
  <c r="FT253" i="10"/>
  <c r="FT254" i="10"/>
  <c r="FT255" i="10"/>
  <c r="FT256" i="10"/>
  <c r="FT257" i="10"/>
  <c r="FT258" i="10"/>
  <c r="FT259" i="10"/>
  <c r="FT260" i="10"/>
  <c r="FT261" i="10"/>
  <c r="FT262" i="10"/>
  <c r="FT263" i="10"/>
  <c r="FT264" i="10"/>
  <c r="FT265" i="10"/>
  <c r="FT266" i="10"/>
  <c r="FT267" i="10"/>
  <c r="FT268" i="10"/>
  <c r="FT269" i="10"/>
  <c r="FT270" i="10"/>
  <c r="FT271" i="10"/>
  <c r="FT272" i="10"/>
  <c r="FT273" i="10"/>
  <c r="FT274" i="10"/>
  <c r="FT275" i="10"/>
  <c r="FT276" i="10"/>
  <c r="FT277" i="10"/>
  <c r="FT278" i="10"/>
  <c r="FT279" i="10"/>
  <c r="FT280" i="10"/>
  <c r="FT281" i="10"/>
  <c r="FT282" i="10"/>
  <c r="FT283" i="10"/>
  <c r="FT284" i="10"/>
  <c r="FT285" i="10"/>
  <c r="FT286" i="10"/>
  <c r="FT287" i="10"/>
  <c r="FT288" i="10"/>
  <c r="FT289" i="10"/>
  <c r="FT290" i="10"/>
  <c r="FT291" i="10"/>
  <c r="FT292" i="10"/>
  <c r="FT293" i="10"/>
  <c r="FT294" i="10"/>
  <c r="FT295" i="10"/>
  <c r="FT296" i="10"/>
  <c r="FT297" i="10"/>
  <c r="FT298" i="10"/>
  <c r="FT299" i="10"/>
  <c r="FT300" i="10"/>
  <c r="FT301" i="10"/>
  <c r="FT302" i="10"/>
  <c r="FT303" i="10"/>
  <c r="FT304" i="10"/>
  <c r="FT305" i="10"/>
  <c r="FT306" i="10"/>
  <c r="FT307" i="10"/>
  <c r="FT308" i="10"/>
  <c r="FT309" i="10"/>
  <c r="FT310" i="10"/>
  <c r="FT311" i="10"/>
  <c r="FT312" i="10"/>
  <c r="FT313" i="10"/>
  <c r="FT314" i="10"/>
  <c r="FT315" i="10"/>
  <c r="FT316" i="10"/>
  <c r="FT317" i="10"/>
  <c r="FT318" i="10"/>
  <c r="FT319" i="10"/>
  <c r="FT320" i="10"/>
  <c r="FT321" i="10"/>
  <c r="FT322" i="10"/>
  <c r="FT323" i="10"/>
  <c r="FT324" i="10"/>
  <c r="FT325" i="10"/>
  <c r="FT326" i="10"/>
  <c r="FT327" i="10"/>
  <c r="FT328" i="10"/>
  <c r="FT329" i="10"/>
  <c r="FT330" i="10"/>
  <c r="FT331" i="10"/>
  <c r="FT332" i="10"/>
  <c r="FT333" i="10"/>
  <c r="FT334" i="10"/>
  <c r="FT335" i="10"/>
  <c r="FT336" i="10"/>
  <c r="FT337" i="10"/>
  <c r="FT338" i="10"/>
  <c r="FT339" i="10"/>
  <c r="FT340" i="10"/>
  <c r="FT341" i="10"/>
  <c r="FT342" i="10"/>
  <c r="FT343" i="10"/>
  <c r="FT344" i="10"/>
  <c r="FT345" i="10"/>
  <c r="FT346" i="10"/>
  <c r="FT347" i="10"/>
  <c r="FT348" i="10"/>
  <c r="FT349" i="10"/>
  <c r="FT350" i="10"/>
  <c r="FT351" i="10"/>
  <c r="FT352" i="10"/>
  <c r="FT353" i="10"/>
  <c r="FT354" i="10"/>
  <c r="FT355" i="10"/>
  <c r="FT356" i="10"/>
  <c r="FT357" i="10"/>
  <c r="FT358" i="10"/>
  <c r="FT359" i="10"/>
  <c r="FT360" i="10"/>
  <c r="FT361" i="10"/>
  <c r="FT362" i="10"/>
  <c r="FT363" i="10"/>
  <c r="FT364" i="10"/>
  <c r="FT365" i="10"/>
  <c r="FT366" i="10"/>
  <c r="FT367" i="10"/>
  <c r="FT368" i="10"/>
  <c r="FT369" i="10"/>
  <c r="FT370" i="10"/>
  <c r="FT371" i="10"/>
  <c r="FT372" i="10"/>
  <c r="FT373" i="10"/>
  <c r="FT374" i="10"/>
  <c r="FT375" i="10"/>
  <c r="FT376" i="10"/>
  <c r="FT377" i="10"/>
  <c r="FT378" i="10"/>
  <c r="FT379" i="10"/>
  <c r="FT380" i="10"/>
  <c r="FT381" i="10"/>
  <c r="FT382" i="10"/>
  <c r="FT383" i="10"/>
  <c r="FT384" i="10"/>
  <c r="FT385" i="10"/>
  <c r="FT386" i="10"/>
  <c r="FT387" i="10"/>
  <c r="FT388" i="10"/>
  <c r="FT389" i="10"/>
  <c r="FT390" i="10"/>
  <c r="FT391" i="10"/>
  <c r="FT392" i="10"/>
  <c r="FT22" i="10"/>
  <c r="FS23" i="10"/>
  <c r="FS24" i="10"/>
  <c r="FS25" i="10"/>
  <c r="FS26" i="10"/>
  <c r="FS27" i="10"/>
  <c r="FS28" i="10"/>
  <c r="FS29" i="10"/>
  <c r="FS30" i="10"/>
  <c r="FS31" i="10"/>
  <c r="FS32" i="10"/>
  <c r="FS33" i="10"/>
  <c r="FS34" i="10"/>
  <c r="FS35" i="10"/>
  <c r="FS36" i="10"/>
  <c r="FS37" i="10"/>
  <c r="FS38" i="10"/>
  <c r="FS39" i="10"/>
  <c r="FS40" i="10"/>
  <c r="FS41" i="10"/>
  <c r="FS42" i="10"/>
  <c r="FS43" i="10"/>
  <c r="FS44" i="10"/>
  <c r="FS45" i="10"/>
  <c r="FS46" i="10"/>
  <c r="FS47" i="10"/>
  <c r="FS48" i="10"/>
  <c r="FS49" i="10"/>
  <c r="FS50" i="10"/>
  <c r="FS51" i="10"/>
  <c r="FS52" i="10"/>
  <c r="FS53" i="10"/>
  <c r="FS54" i="10"/>
  <c r="FS55" i="10"/>
  <c r="FS56" i="10"/>
  <c r="FS57" i="10"/>
  <c r="FS58" i="10"/>
  <c r="FS59" i="10"/>
  <c r="FS60" i="10"/>
  <c r="FS61" i="10"/>
  <c r="FS62" i="10"/>
  <c r="FS63" i="10"/>
  <c r="FS64" i="10"/>
  <c r="FS65" i="10"/>
  <c r="FS66" i="10"/>
  <c r="FS67" i="10"/>
  <c r="FS68" i="10"/>
  <c r="FS69" i="10"/>
  <c r="FS70" i="10"/>
  <c r="FS71" i="10"/>
  <c r="FS72" i="10"/>
  <c r="FS73" i="10"/>
  <c r="FS74" i="10"/>
  <c r="FS75" i="10"/>
  <c r="FS76" i="10"/>
  <c r="FS77" i="10"/>
  <c r="FS78" i="10"/>
  <c r="FS79" i="10"/>
  <c r="FS80" i="10"/>
  <c r="FS81" i="10"/>
  <c r="FS82" i="10"/>
  <c r="FS83" i="10"/>
  <c r="FS84" i="10"/>
  <c r="FS85" i="10"/>
  <c r="FS86" i="10"/>
  <c r="FS87" i="10"/>
  <c r="FS88" i="10"/>
  <c r="FS89" i="10"/>
  <c r="FS90" i="10"/>
  <c r="FS91" i="10"/>
  <c r="FS92" i="10"/>
  <c r="FS93" i="10"/>
  <c r="FS94" i="10"/>
  <c r="FS95" i="10"/>
  <c r="FS96" i="10"/>
  <c r="FS97" i="10"/>
  <c r="FS98" i="10"/>
  <c r="FS99" i="10"/>
  <c r="FS100" i="10"/>
  <c r="FS101" i="10"/>
  <c r="FS102" i="10"/>
  <c r="FS103" i="10"/>
  <c r="FS104" i="10"/>
  <c r="FS105" i="10"/>
  <c r="FS106" i="10"/>
  <c r="FS107" i="10"/>
  <c r="FS108" i="10"/>
  <c r="FS109" i="10"/>
  <c r="FS110" i="10"/>
  <c r="FS111" i="10"/>
  <c r="FS112" i="10"/>
  <c r="FS113" i="10"/>
  <c r="FS114" i="10"/>
  <c r="FS115" i="10"/>
  <c r="FS116" i="10"/>
  <c r="FS117" i="10"/>
  <c r="FS118" i="10"/>
  <c r="FS119" i="10"/>
  <c r="FS120" i="10"/>
  <c r="FS121" i="10"/>
  <c r="FS122" i="10"/>
  <c r="FS123" i="10"/>
  <c r="FS124" i="10"/>
  <c r="FS125" i="10"/>
  <c r="FS126" i="10"/>
  <c r="FS127" i="10"/>
  <c r="FS128" i="10"/>
  <c r="FS129" i="10"/>
  <c r="FS130" i="10"/>
  <c r="FS131" i="10"/>
  <c r="FS132" i="10"/>
  <c r="FS133" i="10"/>
  <c r="FS134" i="10"/>
  <c r="FS135" i="10"/>
  <c r="FS136" i="10"/>
  <c r="FS137" i="10"/>
  <c r="FS138" i="10"/>
  <c r="FS139" i="10"/>
  <c r="FS140" i="10"/>
  <c r="FS141" i="10"/>
  <c r="FS142" i="10"/>
  <c r="FS143" i="10"/>
  <c r="FS144" i="10"/>
  <c r="FS145" i="10"/>
  <c r="FS146" i="10"/>
  <c r="FS147" i="10"/>
  <c r="FS148" i="10"/>
  <c r="FS149" i="10"/>
  <c r="FS150" i="10"/>
  <c r="FS151" i="10"/>
  <c r="FS152" i="10"/>
  <c r="FS153" i="10"/>
  <c r="FS154" i="10"/>
  <c r="FS155" i="10"/>
  <c r="FS156" i="10"/>
  <c r="FS157" i="10"/>
  <c r="FS158" i="10"/>
  <c r="FS159" i="10"/>
  <c r="FS160" i="10"/>
  <c r="FS161" i="10"/>
  <c r="FS162" i="10"/>
  <c r="FS163" i="10"/>
  <c r="FS164" i="10"/>
  <c r="FS165" i="10"/>
  <c r="FS166" i="10"/>
  <c r="FS167" i="10"/>
  <c r="FS168" i="10"/>
  <c r="FS169" i="10"/>
  <c r="FS170" i="10"/>
  <c r="FS171" i="10"/>
  <c r="FS172" i="10"/>
  <c r="FS173" i="10"/>
  <c r="FS174" i="10"/>
  <c r="FS175" i="10"/>
  <c r="FS176" i="10"/>
  <c r="FS177" i="10"/>
  <c r="FS178" i="10"/>
  <c r="FS179" i="10"/>
  <c r="FS180" i="10"/>
  <c r="FS181" i="10"/>
  <c r="FS182" i="10"/>
  <c r="FS183" i="10"/>
  <c r="FS184" i="10"/>
  <c r="FS185" i="10"/>
  <c r="FS186" i="10"/>
  <c r="FS187" i="10"/>
  <c r="FS188" i="10"/>
  <c r="FS189" i="10"/>
  <c r="FS190" i="10"/>
  <c r="FS191" i="10"/>
  <c r="FS192" i="10"/>
  <c r="FS193" i="10"/>
  <c r="FS194" i="10"/>
  <c r="FS195" i="10"/>
  <c r="FS196" i="10"/>
  <c r="FS197" i="10"/>
  <c r="FS198" i="10"/>
  <c r="FS199" i="10"/>
  <c r="FS200" i="10"/>
  <c r="FS201" i="10"/>
  <c r="FS202" i="10"/>
  <c r="FS203" i="10"/>
  <c r="FS204" i="10"/>
  <c r="FS205" i="10"/>
  <c r="FS206" i="10"/>
  <c r="FS207" i="10"/>
  <c r="FS208" i="10"/>
  <c r="FS209" i="10"/>
  <c r="FS210" i="10"/>
  <c r="FS211" i="10"/>
  <c r="FS212" i="10"/>
  <c r="FS213" i="10"/>
  <c r="FS214" i="10"/>
  <c r="FS215" i="10"/>
  <c r="FS216" i="10"/>
  <c r="FS217" i="10"/>
  <c r="FS218" i="10"/>
  <c r="FS219" i="10"/>
  <c r="FS220" i="10"/>
  <c r="FS221" i="10"/>
  <c r="FS222" i="10"/>
  <c r="FS223" i="10"/>
  <c r="FS224" i="10"/>
  <c r="FS225" i="10"/>
  <c r="FS226" i="10"/>
  <c r="FS227" i="10"/>
  <c r="FS228" i="10"/>
  <c r="FS229" i="10"/>
  <c r="FS230" i="10"/>
  <c r="FS231" i="10"/>
  <c r="FS232" i="10"/>
  <c r="FS233" i="10"/>
  <c r="FS234" i="10"/>
  <c r="FS235" i="10"/>
  <c r="FS236" i="10"/>
  <c r="FS237" i="10"/>
  <c r="FS238" i="10"/>
  <c r="FS239" i="10"/>
  <c r="FS240" i="10"/>
  <c r="FS241" i="10"/>
  <c r="FS242" i="10"/>
  <c r="FS243" i="10"/>
  <c r="FS244" i="10"/>
  <c r="FS245" i="10"/>
  <c r="FS246" i="10"/>
  <c r="FS247" i="10"/>
  <c r="FS248" i="10"/>
  <c r="FS249" i="10"/>
  <c r="FS250" i="10"/>
  <c r="FS251" i="10"/>
  <c r="FS252" i="10"/>
  <c r="FS253" i="10"/>
  <c r="FS254" i="10"/>
  <c r="FS255" i="10"/>
  <c r="FS256" i="10"/>
  <c r="FS257" i="10"/>
  <c r="FS258" i="10"/>
  <c r="FS259" i="10"/>
  <c r="FS260" i="10"/>
  <c r="FS261" i="10"/>
  <c r="FS262" i="10"/>
  <c r="FS263" i="10"/>
  <c r="FS264" i="10"/>
  <c r="FS265" i="10"/>
  <c r="FS266" i="10"/>
  <c r="FS267" i="10"/>
  <c r="FS268" i="10"/>
  <c r="FS269" i="10"/>
  <c r="FS270" i="10"/>
  <c r="FS271" i="10"/>
  <c r="FS272" i="10"/>
  <c r="FS273" i="10"/>
  <c r="FS274" i="10"/>
  <c r="FS275" i="10"/>
  <c r="FS276" i="10"/>
  <c r="FS277" i="10"/>
  <c r="FS278" i="10"/>
  <c r="FS279" i="10"/>
  <c r="FS280" i="10"/>
  <c r="FS281" i="10"/>
  <c r="FS282" i="10"/>
  <c r="FS283" i="10"/>
  <c r="FS284" i="10"/>
  <c r="FS285" i="10"/>
  <c r="FS286" i="10"/>
  <c r="FS287" i="10"/>
  <c r="FS288" i="10"/>
  <c r="FS289" i="10"/>
  <c r="FS290" i="10"/>
  <c r="FS291" i="10"/>
  <c r="FS292" i="10"/>
  <c r="FS293" i="10"/>
  <c r="FS294" i="10"/>
  <c r="FS295" i="10"/>
  <c r="FS296" i="10"/>
  <c r="FS297" i="10"/>
  <c r="FS298" i="10"/>
  <c r="FS299" i="10"/>
  <c r="FS300" i="10"/>
  <c r="FS301" i="10"/>
  <c r="FS302" i="10"/>
  <c r="FS303" i="10"/>
  <c r="FS304" i="10"/>
  <c r="FS305" i="10"/>
  <c r="FS306" i="10"/>
  <c r="FS307" i="10"/>
  <c r="FS308" i="10"/>
  <c r="FS309" i="10"/>
  <c r="FS310" i="10"/>
  <c r="FS311" i="10"/>
  <c r="FS312" i="10"/>
  <c r="FS313" i="10"/>
  <c r="FS314" i="10"/>
  <c r="FS315" i="10"/>
  <c r="FS316" i="10"/>
  <c r="FS317" i="10"/>
  <c r="FS318" i="10"/>
  <c r="FS319" i="10"/>
  <c r="FS320" i="10"/>
  <c r="FS321" i="10"/>
  <c r="FS322" i="10"/>
  <c r="FS323" i="10"/>
  <c r="FS324" i="10"/>
  <c r="FS325" i="10"/>
  <c r="FS326" i="10"/>
  <c r="FS327" i="10"/>
  <c r="FS328" i="10"/>
  <c r="FS329" i="10"/>
  <c r="FS330" i="10"/>
  <c r="FS331" i="10"/>
  <c r="FS332" i="10"/>
  <c r="FS333" i="10"/>
  <c r="FS334" i="10"/>
  <c r="FS335" i="10"/>
  <c r="FS336" i="10"/>
  <c r="FS337" i="10"/>
  <c r="FS338" i="10"/>
  <c r="FS339" i="10"/>
  <c r="FS340" i="10"/>
  <c r="FS341" i="10"/>
  <c r="FS342" i="10"/>
  <c r="FS343" i="10"/>
  <c r="FS344" i="10"/>
  <c r="FS345" i="10"/>
  <c r="FS346" i="10"/>
  <c r="FS347" i="10"/>
  <c r="FS348" i="10"/>
  <c r="FS349" i="10"/>
  <c r="FS350" i="10"/>
  <c r="FS351" i="10"/>
  <c r="FS352" i="10"/>
  <c r="FS353" i="10"/>
  <c r="FS354" i="10"/>
  <c r="FS355" i="10"/>
  <c r="FS356" i="10"/>
  <c r="FS357" i="10"/>
  <c r="FS358" i="10"/>
  <c r="FS359" i="10"/>
  <c r="FS360" i="10"/>
  <c r="FS361" i="10"/>
  <c r="FS362" i="10"/>
  <c r="FS363" i="10"/>
  <c r="FS364" i="10"/>
  <c r="FS365" i="10"/>
  <c r="FS366" i="10"/>
  <c r="FS367" i="10"/>
  <c r="FS368" i="10"/>
  <c r="FS369" i="10"/>
  <c r="FS370" i="10"/>
  <c r="FS371" i="10"/>
  <c r="FS372" i="10"/>
  <c r="FS373" i="10"/>
  <c r="FS374" i="10"/>
  <c r="FS375" i="10"/>
  <c r="FS376" i="10"/>
  <c r="FS377" i="10"/>
  <c r="FS378" i="10"/>
  <c r="FS379" i="10"/>
  <c r="FS380" i="10"/>
  <c r="FS381" i="10"/>
  <c r="FS382" i="10"/>
  <c r="FS383" i="10"/>
  <c r="FS384" i="10"/>
  <c r="FS385" i="10"/>
  <c r="FS386" i="10"/>
  <c r="FS387" i="10"/>
  <c r="FS388" i="10"/>
  <c r="FS389" i="10"/>
  <c r="FS390" i="10"/>
  <c r="FS391" i="10"/>
  <c r="FS392" i="10"/>
  <c r="FS22" i="10"/>
  <c r="FR23" i="10"/>
  <c r="FR24" i="10"/>
  <c r="FR25" i="10"/>
  <c r="FU25" i="10"/>
  <c r="FV25" i="10"/>
  <c r="FR26" i="10"/>
  <c r="FY26" i="10"/>
  <c r="FR27" i="10"/>
  <c r="FR28" i="10"/>
  <c r="FR29" i="10"/>
  <c r="FR30" i="10"/>
  <c r="FR31" i="10"/>
  <c r="FR32" i="10"/>
  <c r="FR33" i="10"/>
  <c r="FR34" i="10"/>
  <c r="FR35" i="10"/>
  <c r="FR36" i="10"/>
  <c r="FR37" i="10"/>
  <c r="FR38" i="10"/>
  <c r="FR39" i="10"/>
  <c r="FR40" i="10"/>
  <c r="FR41" i="10"/>
  <c r="FR42" i="10"/>
  <c r="FR43" i="10"/>
  <c r="FR44" i="10"/>
  <c r="FR45" i="10"/>
  <c r="FR46" i="10"/>
  <c r="FR47" i="10"/>
  <c r="FR48" i="10"/>
  <c r="FR49" i="10"/>
  <c r="FR50" i="10"/>
  <c r="FR51" i="10"/>
  <c r="FR52" i="10"/>
  <c r="FR53" i="10"/>
  <c r="FR54" i="10"/>
  <c r="FR55" i="10"/>
  <c r="FR56" i="10"/>
  <c r="FR57" i="10"/>
  <c r="FR58" i="10"/>
  <c r="FR59" i="10"/>
  <c r="FR60" i="10"/>
  <c r="FR61" i="10"/>
  <c r="FR62" i="10"/>
  <c r="FR63" i="10"/>
  <c r="FR64" i="10"/>
  <c r="FR65" i="10"/>
  <c r="FR66" i="10"/>
  <c r="FR67" i="10"/>
  <c r="FR68" i="10"/>
  <c r="FR69" i="10"/>
  <c r="FR70" i="10"/>
  <c r="FR71" i="10"/>
  <c r="FR72" i="10"/>
  <c r="FR73" i="10"/>
  <c r="FR74" i="10"/>
  <c r="FR75" i="10"/>
  <c r="FR76" i="10"/>
  <c r="FR77" i="10"/>
  <c r="FR78" i="10"/>
  <c r="FR79" i="10"/>
  <c r="FR80" i="10"/>
  <c r="FR81" i="10"/>
  <c r="FR82" i="10"/>
  <c r="FR83" i="10"/>
  <c r="FR84" i="10"/>
  <c r="FR85" i="10"/>
  <c r="FR86" i="10"/>
  <c r="FR87" i="10"/>
  <c r="FR88" i="10"/>
  <c r="FR89" i="10"/>
  <c r="FR90" i="10"/>
  <c r="FR91" i="10"/>
  <c r="FR92" i="10"/>
  <c r="FR93" i="10"/>
  <c r="FR94" i="10"/>
  <c r="FR95" i="10"/>
  <c r="FR96" i="10"/>
  <c r="FR97" i="10"/>
  <c r="FR98" i="10"/>
  <c r="FR99" i="10"/>
  <c r="FR100" i="10"/>
  <c r="FR101" i="10"/>
  <c r="FR102" i="10"/>
  <c r="FR103" i="10"/>
  <c r="FR104" i="10"/>
  <c r="FR105" i="10"/>
  <c r="FR106" i="10"/>
  <c r="FR107" i="10"/>
  <c r="FR108" i="10"/>
  <c r="FR109" i="10"/>
  <c r="FR110" i="10"/>
  <c r="FR111" i="10"/>
  <c r="FR112" i="10"/>
  <c r="FR113" i="10"/>
  <c r="FR114" i="10"/>
  <c r="FR115" i="10"/>
  <c r="FR116" i="10"/>
  <c r="FR117" i="10"/>
  <c r="FR118" i="10"/>
  <c r="FR119" i="10"/>
  <c r="FR120" i="10"/>
  <c r="FR121" i="10"/>
  <c r="FR122" i="10"/>
  <c r="FR123" i="10"/>
  <c r="FR124" i="10"/>
  <c r="FR125" i="10"/>
  <c r="FR126" i="10"/>
  <c r="FR127" i="10"/>
  <c r="FR128" i="10"/>
  <c r="FR129" i="10"/>
  <c r="FR130" i="10"/>
  <c r="FR131" i="10"/>
  <c r="FR132" i="10"/>
  <c r="FR133" i="10"/>
  <c r="FR134" i="10"/>
  <c r="FR135" i="10"/>
  <c r="FR136" i="10"/>
  <c r="FR137" i="10"/>
  <c r="FR138" i="10"/>
  <c r="FR139" i="10"/>
  <c r="FR140" i="10"/>
  <c r="FR141" i="10"/>
  <c r="FR142" i="10"/>
  <c r="FR143" i="10"/>
  <c r="FR144" i="10"/>
  <c r="FR145" i="10"/>
  <c r="FR146" i="10"/>
  <c r="FR147" i="10"/>
  <c r="FR148" i="10"/>
  <c r="FR149" i="10"/>
  <c r="FR150" i="10"/>
  <c r="FR151" i="10"/>
  <c r="FR152" i="10"/>
  <c r="FR153" i="10"/>
  <c r="FR154" i="10"/>
  <c r="FR155" i="10"/>
  <c r="FR156" i="10"/>
  <c r="FR157" i="10"/>
  <c r="FR158" i="10"/>
  <c r="FR159" i="10"/>
  <c r="FR160" i="10"/>
  <c r="FR161" i="10"/>
  <c r="FR162" i="10"/>
  <c r="FR163" i="10"/>
  <c r="FR164" i="10"/>
  <c r="FR165" i="10"/>
  <c r="FR166" i="10"/>
  <c r="FR167" i="10"/>
  <c r="FR168" i="10"/>
  <c r="FR169" i="10"/>
  <c r="FR170" i="10"/>
  <c r="FR171" i="10"/>
  <c r="FR172" i="10"/>
  <c r="FR173" i="10"/>
  <c r="FR174" i="10"/>
  <c r="FR175" i="10"/>
  <c r="FR176" i="10"/>
  <c r="FR177" i="10"/>
  <c r="FR178" i="10"/>
  <c r="FR179" i="10"/>
  <c r="FR180" i="10"/>
  <c r="FR181" i="10"/>
  <c r="FR182" i="10"/>
  <c r="FR183" i="10"/>
  <c r="FR184" i="10"/>
  <c r="FR185" i="10"/>
  <c r="FR186" i="10"/>
  <c r="FR187" i="10"/>
  <c r="FR188" i="10"/>
  <c r="FR189" i="10"/>
  <c r="FR190" i="10"/>
  <c r="FR191" i="10"/>
  <c r="FR192" i="10"/>
  <c r="FR193" i="10"/>
  <c r="FR194" i="10"/>
  <c r="FR195" i="10"/>
  <c r="FR196" i="10"/>
  <c r="FR197" i="10"/>
  <c r="FR198" i="10"/>
  <c r="FR199" i="10"/>
  <c r="FR200" i="10"/>
  <c r="FR201" i="10"/>
  <c r="FR202" i="10"/>
  <c r="FR203" i="10"/>
  <c r="FR204" i="10"/>
  <c r="FR205" i="10"/>
  <c r="FR206" i="10"/>
  <c r="FR207" i="10"/>
  <c r="FR208" i="10"/>
  <c r="FR209" i="10"/>
  <c r="FR210" i="10"/>
  <c r="FR211" i="10"/>
  <c r="FR212" i="10"/>
  <c r="FR213" i="10"/>
  <c r="FR214" i="10"/>
  <c r="FR215" i="10"/>
  <c r="FR216" i="10"/>
  <c r="FR217" i="10"/>
  <c r="FR218" i="10"/>
  <c r="FR219" i="10"/>
  <c r="FR220" i="10"/>
  <c r="FR221" i="10"/>
  <c r="FR222" i="10"/>
  <c r="FR223" i="10"/>
  <c r="FR224" i="10"/>
  <c r="FR225" i="10"/>
  <c r="FR226" i="10"/>
  <c r="FR227" i="10"/>
  <c r="FR228" i="10"/>
  <c r="FR229" i="10"/>
  <c r="FR230" i="10"/>
  <c r="FR231" i="10"/>
  <c r="FR232" i="10"/>
  <c r="FR233" i="10"/>
  <c r="FR234" i="10"/>
  <c r="FR235" i="10"/>
  <c r="FR236" i="10"/>
  <c r="FR237" i="10"/>
  <c r="FR238" i="10"/>
  <c r="FR239" i="10"/>
  <c r="FR240" i="10"/>
  <c r="FR241" i="10"/>
  <c r="FR242" i="10"/>
  <c r="FR243" i="10"/>
  <c r="FR244" i="10"/>
  <c r="FR245" i="10"/>
  <c r="FR246" i="10"/>
  <c r="FR247" i="10"/>
  <c r="FR248" i="10"/>
  <c r="FR249" i="10"/>
  <c r="FR250" i="10"/>
  <c r="FR251" i="10"/>
  <c r="FR252" i="10"/>
  <c r="FR253" i="10"/>
  <c r="FR254" i="10"/>
  <c r="FR255" i="10"/>
  <c r="FR256" i="10"/>
  <c r="FR257" i="10"/>
  <c r="FR258" i="10"/>
  <c r="FR259" i="10"/>
  <c r="FR260" i="10"/>
  <c r="FR261" i="10"/>
  <c r="FR262" i="10"/>
  <c r="FR263" i="10"/>
  <c r="FR264" i="10"/>
  <c r="FR265" i="10"/>
  <c r="FR266" i="10"/>
  <c r="FR267" i="10"/>
  <c r="FR268" i="10"/>
  <c r="FR269" i="10"/>
  <c r="FR270" i="10"/>
  <c r="FR271" i="10"/>
  <c r="FR272" i="10"/>
  <c r="FR273" i="10"/>
  <c r="FR274" i="10"/>
  <c r="FR275" i="10"/>
  <c r="FR276" i="10"/>
  <c r="FR277" i="10"/>
  <c r="FR278" i="10"/>
  <c r="FR279" i="10"/>
  <c r="FR280" i="10"/>
  <c r="FR281" i="10"/>
  <c r="FR282" i="10"/>
  <c r="FR283" i="10"/>
  <c r="FR284" i="10"/>
  <c r="FR285" i="10"/>
  <c r="FR286" i="10"/>
  <c r="FR287" i="10"/>
  <c r="FR288" i="10"/>
  <c r="FR289" i="10"/>
  <c r="FR290" i="10"/>
  <c r="FR291" i="10"/>
  <c r="FR292" i="10"/>
  <c r="FR293" i="10"/>
  <c r="FR294" i="10"/>
  <c r="FR295" i="10"/>
  <c r="FR296" i="10"/>
  <c r="FR297" i="10"/>
  <c r="FR298" i="10"/>
  <c r="FR299" i="10"/>
  <c r="FR300" i="10"/>
  <c r="FR301" i="10"/>
  <c r="FR302" i="10"/>
  <c r="FR303" i="10"/>
  <c r="FR304" i="10"/>
  <c r="FR305" i="10"/>
  <c r="FR306" i="10"/>
  <c r="FR307" i="10"/>
  <c r="FR308" i="10"/>
  <c r="FR309" i="10"/>
  <c r="FR310" i="10"/>
  <c r="FR311" i="10"/>
  <c r="FR312" i="10"/>
  <c r="FR313" i="10"/>
  <c r="FR314" i="10"/>
  <c r="FR315" i="10"/>
  <c r="FR316" i="10"/>
  <c r="FR317" i="10"/>
  <c r="FR318" i="10"/>
  <c r="FR319" i="10"/>
  <c r="FR320" i="10"/>
  <c r="FR321" i="10"/>
  <c r="FR322" i="10"/>
  <c r="FR323" i="10"/>
  <c r="FR324" i="10"/>
  <c r="FR325" i="10"/>
  <c r="FR326" i="10"/>
  <c r="FR327" i="10"/>
  <c r="FR328" i="10"/>
  <c r="FR329" i="10"/>
  <c r="FR330" i="10"/>
  <c r="FR331" i="10"/>
  <c r="FR332" i="10"/>
  <c r="FR333" i="10"/>
  <c r="FR334" i="10"/>
  <c r="FR335" i="10"/>
  <c r="FR336" i="10"/>
  <c r="FR337" i="10"/>
  <c r="FR338" i="10"/>
  <c r="FR339" i="10"/>
  <c r="FR340" i="10"/>
  <c r="FR341" i="10"/>
  <c r="FR342" i="10"/>
  <c r="FR343" i="10"/>
  <c r="FR344" i="10"/>
  <c r="FR345" i="10"/>
  <c r="FR346" i="10"/>
  <c r="FR347" i="10"/>
  <c r="FR348" i="10"/>
  <c r="FR349" i="10"/>
  <c r="FR350" i="10"/>
  <c r="FR351" i="10"/>
  <c r="FR352" i="10"/>
  <c r="FR353" i="10"/>
  <c r="FR354" i="10"/>
  <c r="FR355" i="10"/>
  <c r="FR356" i="10"/>
  <c r="FR357" i="10"/>
  <c r="FR358" i="10"/>
  <c r="FR359" i="10"/>
  <c r="FR360" i="10"/>
  <c r="FR361" i="10"/>
  <c r="FR362" i="10"/>
  <c r="FR363" i="10"/>
  <c r="FR364" i="10"/>
  <c r="FR365" i="10"/>
  <c r="FR366" i="10"/>
  <c r="FR367" i="10"/>
  <c r="FR368" i="10"/>
  <c r="FR369" i="10"/>
  <c r="FR370" i="10"/>
  <c r="FR371" i="10"/>
  <c r="FR372" i="10"/>
  <c r="FR373" i="10"/>
  <c r="FR374" i="10"/>
  <c r="FR375" i="10"/>
  <c r="FR376" i="10"/>
  <c r="FR377" i="10"/>
  <c r="FR378" i="10"/>
  <c r="FR379" i="10"/>
  <c r="FR380" i="10"/>
  <c r="FR381" i="10"/>
  <c r="FR382" i="10"/>
  <c r="FR383" i="10"/>
  <c r="FR384" i="10"/>
  <c r="FR385" i="10"/>
  <c r="FR386" i="10"/>
  <c r="FR387" i="10"/>
  <c r="FR388" i="10"/>
  <c r="FR389" i="10"/>
  <c r="FR390" i="10"/>
  <c r="FR391" i="10"/>
  <c r="FR392" i="10"/>
  <c r="FR22" i="10"/>
  <c r="FU22" i="10"/>
  <c r="FW22" i="10"/>
  <c r="FU24" i="10"/>
  <c r="FV24" i="10"/>
  <c r="FZ24" i="10"/>
  <c r="GA24" i="10"/>
  <c r="GB24" i="10"/>
  <c r="GC24" i="10"/>
  <c r="GD24" i="10"/>
  <c r="GE24" i="10"/>
  <c r="GF24" i="10"/>
  <c r="GG24" i="10"/>
  <c r="FY25" i="10"/>
  <c r="FZ25" i="10"/>
  <c r="GA25" i="10"/>
  <c r="GB25" i="10"/>
  <c r="GC25" i="10"/>
  <c r="GD25" i="10"/>
  <c r="GE25" i="10"/>
  <c r="GF25" i="10"/>
  <c r="GG25" i="10"/>
  <c r="FZ26" i="10"/>
  <c r="GA26" i="10"/>
  <c r="GB26" i="10"/>
  <c r="GC26" i="10"/>
  <c r="GD26" i="10"/>
  <c r="GE26" i="10"/>
  <c r="GF26" i="10"/>
  <c r="GG26" i="10"/>
  <c r="FU27" i="10"/>
  <c r="FZ27" i="10"/>
  <c r="GA27" i="10"/>
  <c r="GB27" i="10"/>
  <c r="GC27" i="10"/>
  <c r="GD27" i="10"/>
  <c r="GE27" i="10"/>
  <c r="GF27" i="10"/>
  <c r="GG27" i="10"/>
  <c r="FY28" i="10"/>
  <c r="FZ28" i="10"/>
  <c r="GA28" i="10"/>
  <c r="GB28" i="10"/>
  <c r="GC28" i="10"/>
  <c r="GD28" i="10"/>
  <c r="GE28" i="10"/>
  <c r="GF28" i="10"/>
  <c r="GG28" i="10"/>
  <c r="FU29" i="10"/>
  <c r="FW29" i="10"/>
  <c r="FZ29" i="10"/>
  <c r="GA29" i="10"/>
  <c r="GB29" i="10"/>
  <c r="GC29" i="10"/>
  <c r="GD29" i="10"/>
  <c r="GE29" i="10"/>
  <c r="GF29" i="10"/>
  <c r="GG29" i="10"/>
  <c r="FY30" i="10"/>
  <c r="FZ30" i="10"/>
  <c r="GA30" i="10"/>
  <c r="GB30" i="10"/>
  <c r="GC30" i="10"/>
  <c r="GD30" i="10"/>
  <c r="GE30" i="10"/>
  <c r="GF30" i="10"/>
  <c r="GG30" i="10"/>
  <c r="FY31" i="10"/>
  <c r="FZ31" i="10"/>
  <c r="GA31" i="10"/>
  <c r="GB31" i="10"/>
  <c r="GC31" i="10"/>
  <c r="GD31" i="10"/>
  <c r="GE31" i="10"/>
  <c r="GF31" i="10"/>
  <c r="GG31" i="10"/>
  <c r="FU32" i="10"/>
  <c r="FW32" i="10"/>
  <c r="FZ32" i="10"/>
  <c r="GA32" i="10"/>
  <c r="GB32" i="10"/>
  <c r="GC32" i="10"/>
  <c r="GD32" i="10"/>
  <c r="GE32" i="10"/>
  <c r="GF32" i="10"/>
  <c r="GG32" i="10"/>
  <c r="FU33" i="10"/>
  <c r="FW33" i="10"/>
  <c r="FZ33" i="10"/>
  <c r="GA33" i="10"/>
  <c r="GB33" i="10"/>
  <c r="GC33" i="10"/>
  <c r="GD33" i="10"/>
  <c r="GE33" i="10"/>
  <c r="GF33" i="10"/>
  <c r="GG33" i="10"/>
  <c r="FY34" i="10"/>
  <c r="FZ34" i="10"/>
  <c r="GA34" i="10"/>
  <c r="GB34" i="10"/>
  <c r="GC34" i="10"/>
  <c r="GD34" i="10"/>
  <c r="GE34" i="10"/>
  <c r="GF34" i="10"/>
  <c r="GG34" i="10"/>
  <c r="FU35" i="10"/>
  <c r="FV35" i="10"/>
  <c r="FZ35" i="10"/>
  <c r="GA35" i="10"/>
  <c r="GB35" i="10"/>
  <c r="GC35" i="10"/>
  <c r="GD35" i="10"/>
  <c r="GE35" i="10"/>
  <c r="GF35" i="10"/>
  <c r="GG35" i="10"/>
  <c r="FU36" i="10"/>
  <c r="FW36" i="10"/>
  <c r="FZ36" i="10"/>
  <c r="GA36" i="10"/>
  <c r="GB36" i="10"/>
  <c r="GC36" i="10"/>
  <c r="GD36" i="10"/>
  <c r="GE36" i="10"/>
  <c r="GF36" i="10"/>
  <c r="GG36" i="10"/>
  <c r="FY37" i="10"/>
  <c r="FZ37" i="10"/>
  <c r="GA37" i="10"/>
  <c r="GB37" i="10"/>
  <c r="GC37" i="10"/>
  <c r="GD37" i="10"/>
  <c r="GE37" i="10"/>
  <c r="GF37" i="10"/>
  <c r="GG37" i="10"/>
  <c r="FU38" i="10"/>
  <c r="FZ38" i="10"/>
  <c r="GA38" i="10"/>
  <c r="GB38" i="10"/>
  <c r="GC38" i="10"/>
  <c r="GD38" i="10"/>
  <c r="GE38" i="10"/>
  <c r="GF38" i="10"/>
  <c r="GG38" i="10"/>
  <c r="FU39" i="10"/>
  <c r="FV39" i="10"/>
  <c r="FZ39" i="10"/>
  <c r="GA39" i="10"/>
  <c r="GB39" i="10"/>
  <c r="GC39" i="10"/>
  <c r="GD39" i="10"/>
  <c r="GE39" i="10"/>
  <c r="GF39" i="10"/>
  <c r="GG39" i="10"/>
  <c r="FY40" i="10"/>
  <c r="FZ40" i="10"/>
  <c r="GA40" i="10"/>
  <c r="GB40" i="10"/>
  <c r="GC40" i="10"/>
  <c r="GD40" i="10"/>
  <c r="GE40" i="10"/>
  <c r="GF40" i="10"/>
  <c r="GG40" i="10"/>
  <c r="FU41" i="10"/>
  <c r="FV41" i="10"/>
  <c r="FZ41" i="10"/>
  <c r="GA41" i="10"/>
  <c r="GB41" i="10"/>
  <c r="GC41" i="10"/>
  <c r="GD41" i="10"/>
  <c r="GE41" i="10"/>
  <c r="GF41" i="10"/>
  <c r="GG41" i="10"/>
  <c r="FU42" i="10"/>
  <c r="FV42" i="10"/>
  <c r="FZ42" i="10"/>
  <c r="GA42" i="10"/>
  <c r="GB42" i="10"/>
  <c r="GC42" i="10"/>
  <c r="GD42" i="10"/>
  <c r="GE42" i="10"/>
  <c r="GF42" i="10"/>
  <c r="GG42" i="10"/>
  <c r="FY43" i="10"/>
  <c r="FZ43" i="10"/>
  <c r="GA43" i="10"/>
  <c r="GB43" i="10"/>
  <c r="GC43" i="10"/>
  <c r="GD43" i="10"/>
  <c r="GE43" i="10"/>
  <c r="GF43" i="10"/>
  <c r="GG43" i="10"/>
  <c r="FU44" i="10"/>
  <c r="FV44" i="10"/>
  <c r="FZ44" i="10"/>
  <c r="GA44" i="10"/>
  <c r="GB44" i="10"/>
  <c r="GC44" i="10"/>
  <c r="GD44" i="10"/>
  <c r="GE44" i="10"/>
  <c r="GF44" i="10"/>
  <c r="GG44" i="10"/>
  <c r="FU45" i="10"/>
  <c r="FV45" i="10"/>
  <c r="FZ45" i="10"/>
  <c r="GA45" i="10"/>
  <c r="GB45" i="10"/>
  <c r="GC45" i="10"/>
  <c r="GD45" i="10"/>
  <c r="GE45" i="10"/>
  <c r="GF45" i="10"/>
  <c r="GG45" i="10"/>
  <c r="FY46" i="10"/>
  <c r="FZ46" i="10"/>
  <c r="GA46" i="10"/>
  <c r="GB46" i="10"/>
  <c r="GC46" i="10"/>
  <c r="GD46" i="10"/>
  <c r="GE46" i="10"/>
  <c r="GF46" i="10"/>
  <c r="GG46" i="10"/>
  <c r="FU47" i="10"/>
  <c r="FV47" i="10"/>
  <c r="FZ47" i="10"/>
  <c r="GA47" i="10"/>
  <c r="GB47" i="10"/>
  <c r="GC47" i="10"/>
  <c r="GD47" i="10"/>
  <c r="GE47" i="10"/>
  <c r="GF47" i="10"/>
  <c r="GG47" i="10"/>
  <c r="FU48" i="10"/>
  <c r="FV48" i="10"/>
  <c r="FY48" i="10"/>
  <c r="FZ48" i="10"/>
  <c r="GA48" i="10"/>
  <c r="GB48" i="10"/>
  <c r="GC48" i="10"/>
  <c r="GD48" i="10"/>
  <c r="GE48" i="10"/>
  <c r="GF48" i="10"/>
  <c r="GG48" i="10"/>
  <c r="FY49" i="10"/>
  <c r="FZ49" i="10"/>
  <c r="GA49" i="10"/>
  <c r="GB49" i="10"/>
  <c r="GC49" i="10"/>
  <c r="GD49" i="10"/>
  <c r="GE49" i="10"/>
  <c r="GF49" i="10"/>
  <c r="GG49" i="10"/>
  <c r="FU50" i="10"/>
  <c r="FV50" i="10"/>
  <c r="FZ50" i="10"/>
  <c r="GA50" i="10"/>
  <c r="GB50" i="10"/>
  <c r="GC50" i="10"/>
  <c r="GD50" i="10"/>
  <c r="GE50" i="10"/>
  <c r="GF50" i="10"/>
  <c r="GG50" i="10"/>
  <c r="FU51" i="10"/>
  <c r="FZ51" i="10"/>
  <c r="GA51" i="10"/>
  <c r="GB51" i="10"/>
  <c r="GC51" i="10"/>
  <c r="GD51" i="10"/>
  <c r="GE51" i="10"/>
  <c r="GF51" i="10"/>
  <c r="GG51" i="10"/>
  <c r="FY52" i="10"/>
  <c r="FZ52" i="10"/>
  <c r="GA52" i="10"/>
  <c r="GB52" i="10"/>
  <c r="GC52" i="10"/>
  <c r="GD52" i="10"/>
  <c r="GE52" i="10"/>
  <c r="GF52" i="10"/>
  <c r="GG52" i="10"/>
  <c r="FU53" i="10"/>
  <c r="FV53" i="10"/>
  <c r="FZ53" i="10"/>
  <c r="GA53" i="10"/>
  <c r="GB53" i="10"/>
  <c r="GC53" i="10"/>
  <c r="GD53" i="10"/>
  <c r="GE53" i="10"/>
  <c r="GF53" i="10"/>
  <c r="GG53" i="10"/>
  <c r="FU54" i="10"/>
  <c r="FZ54" i="10"/>
  <c r="GA54" i="10"/>
  <c r="GB54" i="10"/>
  <c r="GC54" i="10"/>
  <c r="GD54" i="10"/>
  <c r="GE54" i="10"/>
  <c r="GF54" i="10"/>
  <c r="GG54" i="10"/>
  <c r="FY55" i="10"/>
  <c r="FZ55" i="10"/>
  <c r="GA55" i="10"/>
  <c r="GB55" i="10"/>
  <c r="GC55" i="10"/>
  <c r="GD55" i="10"/>
  <c r="GE55" i="10"/>
  <c r="GF55" i="10"/>
  <c r="GG55" i="10"/>
  <c r="FU56" i="10"/>
  <c r="FZ56" i="10"/>
  <c r="GA56" i="10"/>
  <c r="GB56" i="10"/>
  <c r="GC56" i="10"/>
  <c r="GD56" i="10"/>
  <c r="GE56" i="10"/>
  <c r="GF56" i="10"/>
  <c r="GG56" i="10"/>
  <c r="FU57" i="10"/>
  <c r="FZ57" i="10"/>
  <c r="GA57" i="10"/>
  <c r="GB57" i="10"/>
  <c r="GC57" i="10"/>
  <c r="GD57" i="10"/>
  <c r="GE57" i="10"/>
  <c r="GF57" i="10"/>
  <c r="GG57" i="10"/>
  <c r="FY58" i="10"/>
  <c r="FZ58" i="10"/>
  <c r="GA58" i="10"/>
  <c r="GB58" i="10"/>
  <c r="GC58" i="10"/>
  <c r="GD58" i="10"/>
  <c r="GE58" i="10"/>
  <c r="GF58" i="10"/>
  <c r="GG58" i="10"/>
  <c r="FZ59" i="10"/>
  <c r="GA59" i="10"/>
  <c r="GB59" i="10"/>
  <c r="GC59" i="10"/>
  <c r="GD59" i="10"/>
  <c r="GE59" i="10"/>
  <c r="GF59" i="10"/>
  <c r="GG59" i="10"/>
  <c r="FU60" i="10"/>
  <c r="FZ60" i="10"/>
  <c r="GA60" i="10"/>
  <c r="GB60" i="10"/>
  <c r="GC60" i="10"/>
  <c r="GD60" i="10"/>
  <c r="GE60" i="10"/>
  <c r="GF60" i="10"/>
  <c r="GG60" i="10"/>
  <c r="FY61" i="10"/>
  <c r="FU61" i="10"/>
  <c r="FX61" i="10"/>
  <c r="FZ61" i="10"/>
  <c r="GA61" i="10"/>
  <c r="GB61" i="10"/>
  <c r="GC61" i="10"/>
  <c r="GD61" i="10"/>
  <c r="GE61" i="10"/>
  <c r="GF61" i="10"/>
  <c r="GG61" i="10"/>
  <c r="FZ62" i="10"/>
  <c r="GA62" i="10"/>
  <c r="GB62" i="10"/>
  <c r="GC62" i="10"/>
  <c r="GD62" i="10"/>
  <c r="GE62" i="10"/>
  <c r="GF62" i="10"/>
  <c r="GG62" i="10"/>
  <c r="FU63" i="10"/>
  <c r="FV63" i="10"/>
  <c r="FY63" i="10"/>
  <c r="FZ63" i="10"/>
  <c r="GA63" i="10"/>
  <c r="GB63" i="10"/>
  <c r="GC63" i="10"/>
  <c r="GD63" i="10"/>
  <c r="GE63" i="10"/>
  <c r="GF63" i="10"/>
  <c r="GG63" i="10"/>
  <c r="FY64" i="10"/>
  <c r="FZ64" i="10"/>
  <c r="GA64" i="10"/>
  <c r="GB64" i="10"/>
  <c r="GC64" i="10"/>
  <c r="GD64" i="10"/>
  <c r="GE64" i="10"/>
  <c r="GF64" i="10"/>
  <c r="GG64" i="10"/>
  <c r="FZ65" i="10"/>
  <c r="GA65" i="10"/>
  <c r="GB65" i="10"/>
  <c r="GC65" i="10"/>
  <c r="GD65" i="10"/>
  <c r="GE65" i="10"/>
  <c r="GF65" i="10"/>
  <c r="GG65" i="10"/>
  <c r="FZ66" i="10"/>
  <c r="GA66" i="10"/>
  <c r="GB66" i="10"/>
  <c r="GC66" i="10"/>
  <c r="GD66" i="10"/>
  <c r="GE66" i="10"/>
  <c r="GF66" i="10"/>
  <c r="GG66" i="10"/>
  <c r="FY67" i="10"/>
  <c r="FU67" i="10"/>
  <c r="FX67" i="10"/>
  <c r="FZ67" i="10"/>
  <c r="GA67" i="10"/>
  <c r="GB67" i="10"/>
  <c r="GC67" i="10"/>
  <c r="GD67" i="10"/>
  <c r="GE67" i="10"/>
  <c r="GF67" i="10"/>
  <c r="GG67" i="10"/>
  <c r="FZ68" i="10"/>
  <c r="GA68" i="10"/>
  <c r="GB68" i="10"/>
  <c r="GC68" i="10"/>
  <c r="GD68" i="10"/>
  <c r="GE68" i="10"/>
  <c r="GF68" i="10"/>
  <c r="GG68" i="10"/>
  <c r="FU69" i="10"/>
  <c r="FV69" i="10"/>
  <c r="FZ69" i="10"/>
  <c r="GA69" i="10"/>
  <c r="GB69" i="10"/>
  <c r="GC69" i="10"/>
  <c r="GD69" i="10"/>
  <c r="GE69" i="10"/>
  <c r="GF69" i="10"/>
  <c r="GG69" i="10"/>
  <c r="FY70" i="10"/>
  <c r="FU70" i="10"/>
  <c r="FX70" i="10"/>
  <c r="FZ70" i="10"/>
  <c r="GA70" i="10"/>
  <c r="GB70" i="10"/>
  <c r="GC70" i="10"/>
  <c r="GD70" i="10"/>
  <c r="GE70" i="10"/>
  <c r="GF70" i="10"/>
  <c r="GG70" i="10"/>
  <c r="FZ71" i="10"/>
  <c r="GA71" i="10"/>
  <c r="GB71" i="10"/>
  <c r="GC71" i="10"/>
  <c r="GD71" i="10"/>
  <c r="GE71" i="10"/>
  <c r="GF71" i="10"/>
  <c r="GG71" i="10"/>
  <c r="FU72" i="10"/>
  <c r="FV72" i="10"/>
  <c r="FY72" i="10"/>
  <c r="FZ72" i="10"/>
  <c r="GA72" i="10"/>
  <c r="GB72" i="10"/>
  <c r="GC72" i="10"/>
  <c r="GD72" i="10"/>
  <c r="GE72" i="10"/>
  <c r="GF72" i="10"/>
  <c r="GG72" i="10"/>
  <c r="FY73" i="10"/>
  <c r="FU73" i="10"/>
  <c r="FX73" i="10"/>
  <c r="FZ73" i="10"/>
  <c r="GA73" i="10"/>
  <c r="GB73" i="10"/>
  <c r="GC73" i="10"/>
  <c r="GD73" i="10"/>
  <c r="GE73" i="10"/>
  <c r="GF73" i="10"/>
  <c r="GG73" i="10"/>
  <c r="FZ74" i="10"/>
  <c r="GA74" i="10"/>
  <c r="GB74" i="10"/>
  <c r="GC74" i="10"/>
  <c r="GD74" i="10"/>
  <c r="GE74" i="10"/>
  <c r="GF74" i="10"/>
  <c r="GG74" i="10"/>
  <c r="FU75" i="10"/>
  <c r="FY75" i="10"/>
  <c r="FZ75" i="10"/>
  <c r="GA75" i="10"/>
  <c r="GB75" i="10"/>
  <c r="GC75" i="10"/>
  <c r="GD75" i="10"/>
  <c r="GE75" i="10"/>
  <c r="GF75" i="10"/>
  <c r="GG75" i="10"/>
  <c r="FY76" i="10"/>
  <c r="FU76" i="10"/>
  <c r="FX76" i="10"/>
  <c r="FZ76" i="10"/>
  <c r="GA76" i="10"/>
  <c r="GB76" i="10"/>
  <c r="GC76" i="10"/>
  <c r="GD76" i="10"/>
  <c r="GE76" i="10"/>
  <c r="GF76" i="10"/>
  <c r="GG76" i="10"/>
  <c r="FZ77" i="10"/>
  <c r="GA77" i="10"/>
  <c r="GB77" i="10"/>
  <c r="GC77" i="10"/>
  <c r="GD77" i="10"/>
  <c r="GE77" i="10"/>
  <c r="GF77" i="10"/>
  <c r="GG77" i="10"/>
  <c r="FU78" i="10"/>
  <c r="FW78" i="10"/>
  <c r="FY78" i="10"/>
  <c r="FZ78" i="10"/>
  <c r="GA78" i="10"/>
  <c r="GB78" i="10"/>
  <c r="GC78" i="10"/>
  <c r="GD78" i="10"/>
  <c r="GE78" i="10"/>
  <c r="GF78" i="10"/>
  <c r="GG78" i="10"/>
  <c r="FY79" i="10"/>
  <c r="FU79" i="10"/>
  <c r="FX79" i="10"/>
  <c r="FZ79" i="10"/>
  <c r="GA79" i="10"/>
  <c r="GB79" i="10"/>
  <c r="GC79" i="10"/>
  <c r="GD79" i="10"/>
  <c r="GE79" i="10"/>
  <c r="GF79" i="10"/>
  <c r="GG79" i="10"/>
  <c r="FZ80" i="10"/>
  <c r="GA80" i="10"/>
  <c r="GB80" i="10"/>
  <c r="GC80" i="10"/>
  <c r="GD80" i="10"/>
  <c r="GE80" i="10"/>
  <c r="GF80" i="10"/>
  <c r="GG80" i="10"/>
  <c r="FU81" i="10"/>
  <c r="FV81" i="10"/>
  <c r="FY81" i="10"/>
  <c r="FZ81" i="10"/>
  <c r="GA81" i="10"/>
  <c r="GB81" i="10"/>
  <c r="GC81" i="10"/>
  <c r="GD81" i="10"/>
  <c r="GE81" i="10"/>
  <c r="GF81" i="10"/>
  <c r="GG81" i="10"/>
  <c r="FY82" i="10"/>
  <c r="FU82" i="10"/>
  <c r="FX82" i="10"/>
  <c r="FZ82" i="10"/>
  <c r="GA82" i="10"/>
  <c r="GB82" i="10"/>
  <c r="GC82" i="10"/>
  <c r="GD82" i="10"/>
  <c r="GE82" i="10"/>
  <c r="GF82" i="10"/>
  <c r="GG82" i="10"/>
  <c r="FZ83" i="10"/>
  <c r="GA83" i="10"/>
  <c r="GB83" i="10"/>
  <c r="GC83" i="10"/>
  <c r="GD83" i="10"/>
  <c r="GE83" i="10"/>
  <c r="GF83" i="10"/>
  <c r="GG83" i="10"/>
  <c r="FZ84" i="10"/>
  <c r="GA84" i="10"/>
  <c r="GB84" i="10"/>
  <c r="GC84" i="10"/>
  <c r="GD84" i="10"/>
  <c r="GE84" i="10"/>
  <c r="GF84" i="10"/>
  <c r="GG84" i="10"/>
  <c r="FY85" i="10"/>
  <c r="FU85" i="10"/>
  <c r="FX85" i="10"/>
  <c r="FZ85" i="10"/>
  <c r="GA85" i="10"/>
  <c r="GB85" i="10"/>
  <c r="GC85" i="10"/>
  <c r="GD85" i="10"/>
  <c r="GE85" i="10"/>
  <c r="GF85" i="10"/>
  <c r="GG85" i="10"/>
  <c r="FZ86" i="10"/>
  <c r="GA86" i="10"/>
  <c r="GB86" i="10"/>
  <c r="GC86" i="10"/>
  <c r="GD86" i="10"/>
  <c r="GE86" i="10"/>
  <c r="GF86" i="10"/>
  <c r="GG86" i="10"/>
  <c r="FU87" i="10"/>
  <c r="FY87" i="10"/>
  <c r="FZ87" i="10"/>
  <c r="GA87" i="10"/>
  <c r="GB87" i="10"/>
  <c r="GC87" i="10"/>
  <c r="GD87" i="10"/>
  <c r="GE87" i="10"/>
  <c r="GF87" i="10"/>
  <c r="GG87" i="10"/>
  <c r="FY88" i="10"/>
  <c r="FU88" i="10"/>
  <c r="FX88" i="10"/>
  <c r="FZ88" i="10"/>
  <c r="GA88" i="10"/>
  <c r="GB88" i="10"/>
  <c r="GC88" i="10"/>
  <c r="GD88" i="10"/>
  <c r="GE88" i="10"/>
  <c r="GF88" i="10"/>
  <c r="GG88" i="10"/>
  <c r="FZ89" i="10"/>
  <c r="GA89" i="10"/>
  <c r="GB89" i="10"/>
  <c r="GC89" i="10"/>
  <c r="GD89" i="10"/>
  <c r="GE89" i="10"/>
  <c r="GF89" i="10"/>
  <c r="GG89" i="10"/>
  <c r="FU90" i="10"/>
  <c r="FV90" i="10"/>
  <c r="FY90" i="10"/>
  <c r="FZ90" i="10"/>
  <c r="GA90" i="10"/>
  <c r="GB90" i="10"/>
  <c r="GC90" i="10"/>
  <c r="GD90" i="10"/>
  <c r="GE90" i="10"/>
  <c r="GF90" i="10"/>
  <c r="GG90" i="10"/>
  <c r="FY91" i="10"/>
  <c r="FU91" i="10"/>
  <c r="FX91" i="10"/>
  <c r="FZ91" i="10"/>
  <c r="GA91" i="10"/>
  <c r="GB91" i="10"/>
  <c r="GC91" i="10"/>
  <c r="GD91" i="10"/>
  <c r="GE91" i="10"/>
  <c r="GF91" i="10"/>
  <c r="GG91" i="10"/>
  <c r="FZ92" i="10"/>
  <c r="GA92" i="10"/>
  <c r="GB92" i="10"/>
  <c r="GC92" i="10"/>
  <c r="GD92" i="10"/>
  <c r="GE92" i="10"/>
  <c r="GF92" i="10"/>
  <c r="GG92" i="10"/>
  <c r="FU93" i="10"/>
  <c r="FY93" i="10"/>
  <c r="FZ93" i="10"/>
  <c r="GA93" i="10"/>
  <c r="GB93" i="10"/>
  <c r="GC93" i="10"/>
  <c r="GD93" i="10"/>
  <c r="GE93" i="10"/>
  <c r="GF93" i="10"/>
  <c r="GG93" i="10"/>
  <c r="FY94" i="10"/>
  <c r="FU94" i="10"/>
  <c r="FX94" i="10"/>
  <c r="FZ94" i="10"/>
  <c r="GA94" i="10"/>
  <c r="GB94" i="10"/>
  <c r="GC94" i="10"/>
  <c r="GD94" i="10"/>
  <c r="GE94" i="10"/>
  <c r="GF94" i="10"/>
  <c r="GG94" i="10"/>
  <c r="FZ95" i="10"/>
  <c r="GA95" i="10"/>
  <c r="GB95" i="10"/>
  <c r="GC95" i="10"/>
  <c r="GD95" i="10"/>
  <c r="GE95" i="10"/>
  <c r="GF95" i="10"/>
  <c r="GG95" i="10"/>
  <c r="FU96" i="10"/>
  <c r="FV96" i="10"/>
  <c r="FY96" i="10"/>
  <c r="FZ96" i="10"/>
  <c r="GA96" i="10"/>
  <c r="GB96" i="10"/>
  <c r="GC96" i="10"/>
  <c r="GD96" i="10"/>
  <c r="GE96" i="10"/>
  <c r="GF96" i="10"/>
  <c r="GG96" i="10"/>
  <c r="FY97" i="10"/>
  <c r="FU97" i="10"/>
  <c r="FX97" i="10"/>
  <c r="FZ97" i="10"/>
  <c r="GA97" i="10"/>
  <c r="GB97" i="10"/>
  <c r="GC97" i="10"/>
  <c r="GD97" i="10"/>
  <c r="GE97" i="10"/>
  <c r="GF97" i="10"/>
  <c r="GG97" i="10"/>
  <c r="FZ98" i="10"/>
  <c r="GA98" i="10"/>
  <c r="GB98" i="10"/>
  <c r="GC98" i="10"/>
  <c r="GD98" i="10"/>
  <c r="GE98" i="10"/>
  <c r="GF98" i="10"/>
  <c r="GG98" i="10"/>
  <c r="FU99" i="10"/>
  <c r="FV99" i="10"/>
  <c r="FY99" i="10"/>
  <c r="FZ99" i="10"/>
  <c r="GA99" i="10"/>
  <c r="GB99" i="10"/>
  <c r="GC99" i="10"/>
  <c r="GD99" i="10"/>
  <c r="GE99" i="10"/>
  <c r="GF99" i="10"/>
  <c r="GG99" i="10"/>
  <c r="FY100" i="10"/>
  <c r="FU100" i="10"/>
  <c r="FX100" i="10"/>
  <c r="FZ100" i="10"/>
  <c r="GA100" i="10"/>
  <c r="GB100" i="10"/>
  <c r="GC100" i="10"/>
  <c r="GD100" i="10"/>
  <c r="GE100" i="10"/>
  <c r="GF100" i="10"/>
  <c r="GG100" i="10"/>
  <c r="FZ101" i="10"/>
  <c r="GA101" i="10"/>
  <c r="GB101" i="10"/>
  <c r="GC101" i="10"/>
  <c r="GD101" i="10"/>
  <c r="GE101" i="10"/>
  <c r="GF101" i="10"/>
  <c r="GG101" i="10"/>
  <c r="FZ102" i="10"/>
  <c r="GA102" i="10"/>
  <c r="GB102" i="10"/>
  <c r="GC102" i="10"/>
  <c r="GD102" i="10"/>
  <c r="GE102" i="10"/>
  <c r="GF102" i="10"/>
  <c r="GG102" i="10"/>
  <c r="FY103" i="10"/>
  <c r="FU103" i="10"/>
  <c r="FX103" i="10"/>
  <c r="FZ103" i="10"/>
  <c r="GA103" i="10"/>
  <c r="GB103" i="10"/>
  <c r="GC103" i="10"/>
  <c r="GD103" i="10"/>
  <c r="GE103" i="10"/>
  <c r="GF103" i="10"/>
  <c r="GG103" i="10"/>
  <c r="FZ104" i="10"/>
  <c r="GA104" i="10"/>
  <c r="GB104" i="10"/>
  <c r="GC104" i="10"/>
  <c r="GD104" i="10"/>
  <c r="GE104" i="10"/>
  <c r="GF104" i="10"/>
  <c r="GG104" i="10"/>
  <c r="FU105" i="10"/>
  <c r="FV105" i="10"/>
  <c r="FY105" i="10"/>
  <c r="FZ105" i="10"/>
  <c r="GA105" i="10"/>
  <c r="GB105" i="10"/>
  <c r="GC105" i="10"/>
  <c r="GD105" i="10"/>
  <c r="GE105" i="10"/>
  <c r="GF105" i="10"/>
  <c r="GG105" i="10"/>
  <c r="FY106" i="10"/>
  <c r="FU106" i="10"/>
  <c r="FX106" i="10"/>
  <c r="FZ106" i="10"/>
  <c r="GA106" i="10"/>
  <c r="GB106" i="10"/>
  <c r="GC106" i="10"/>
  <c r="GD106" i="10"/>
  <c r="GE106" i="10"/>
  <c r="GF106" i="10"/>
  <c r="GG106" i="10"/>
  <c r="FZ107" i="10"/>
  <c r="GA107" i="10"/>
  <c r="GB107" i="10"/>
  <c r="GC107" i="10"/>
  <c r="GD107" i="10"/>
  <c r="GE107" i="10"/>
  <c r="GF107" i="10"/>
  <c r="GG107" i="10"/>
  <c r="FU108" i="10"/>
  <c r="FV108" i="10"/>
  <c r="FY108" i="10"/>
  <c r="FZ108" i="10"/>
  <c r="GA108" i="10"/>
  <c r="GB108" i="10"/>
  <c r="GC108" i="10"/>
  <c r="GD108" i="10"/>
  <c r="GE108" i="10"/>
  <c r="GF108" i="10"/>
  <c r="GG108" i="10"/>
  <c r="FY109" i="10"/>
  <c r="FU109" i="10"/>
  <c r="FX109" i="10"/>
  <c r="FZ109" i="10"/>
  <c r="GA109" i="10"/>
  <c r="GB109" i="10"/>
  <c r="GC109" i="10"/>
  <c r="GD109" i="10"/>
  <c r="GE109" i="10"/>
  <c r="GF109" i="10"/>
  <c r="GG109" i="10"/>
  <c r="FZ110" i="10"/>
  <c r="GA110" i="10"/>
  <c r="GB110" i="10"/>
  <c r="GC110" i="10"/>
  <c r="GD110" i="10"/>
  <c r="GE110" i="10"/>
  <c r="GF110" i="10"/>
  <c r="GG110" i="10"/>
  <c r="FU111" i="10"/>
  <c r="FY111" i="10"/>
  <c r="FZ111" i="10"/>
  <c r="GA111" i="10"/>
  <c r="GB111" i="10"/>
  <c r="GC111" i="10"/>
  <c r="GD111" i="10"/>
  <c r="GE111" i="10"/>
  <c r="GF111" i="10"/>
  <c r="GG111" i="10"/>
  <c r="FY112" i="10"/>
  <c r="FU112" i="10"/>
  <c r="FX112" i="10"/>
  <c r="FZ112" i="10"/>
  <c r="GA112" i="10"/>
  <c r="GB112" i="10"/>
  <c r="GC112" i="10"/>
  <c r="GD112" i="10"/>
  <c r="GE112" i="10"/>
  <c r="GF112" i="10"/>
  <c r="GG112" i="10"/>
  <c r="FZ113" i="10"/>
  <c r="GA113" i="10"/>
  <c r="GB113" i="10"/>
  <c r="GC113" i="10"/>
  <c r="GD113" i="10"/>
  <c r="GE113" i="10"/>
  <c r="GF113" i="10"/>
  <c r="GG113" i="10"/>
  <c r="FU114" i="10"/>
  <c r="FV114" i="10"/>
  <c r="FY114" i="10"/>
  <c r="FZ114" i="10"/>
  <c r="GA114" i="10"/>
  <c r="GB114" i="10"/>
  <c r="GC114" i="10"/>
  <c r="GD114" i="10"/>
  <c r="GE114" i="10"/>
  <c r="GF114" i="10"/>
  <c r="GG114" i="10"/>
  <c r="FY115" i="10"/>
  <c r="FU115" i="10"/>
  <c r="FX115" i="10"/>
  <c r="FZ115" i="10"/>
  <c r="GA115" i="10"/>
  <c r="GB115" i="10"/>
  <c r="GC115" i="10"/>
  <c r="GD115" i="10"/>
  <c r="GE115" i="10"/>
  <c r="GF115" i="10"/>
  <c r="GG115" i="10"/>
  <c r="FZ116" i="10"/>
  <c r="GA116" i="10"/>
  <c r="GB116" i="10"/>
  <c r="GC116" i="10"/>
  <c r="GD116" i="10"/>
  <c r="GE116" i="10"/>
  <c r="GF116" i="10"/>
  <c r="GG116" i="10"/>
  <c r="FU117" i="10"/>
  <c r="FV117" i="10"/>
  <c r="FY117" i="10"/>
  <c r="FZ117" i="10"/>
  <c r="GA117" i="10"/>
  <c r="GB117" i="10"/>
  <c r="GC117" i="10"/>
  <c r="GD117" i="10"/>
  <c r="GE117" i="10"/>
  <c r="GF117" i="10"/>
  <c r="GG117" i="10"/>
  <c r="FY118" i="10"/>
  <c r="FU118" i="10"/>
  <c r="FX118" i="10"/>
  <c r="FZ118" i="10"/>
  <c r="GA118" i="10"/>
  <c r="GB118" i="10"/>
  <c r="GC118" i="10"/>
  <c r="GD118" i="10"/>
  <c r="GE118" i="10"/>
  <c r="GF118" i="10"/>
  <c r="GG118" i="10"/>
  <c r="FZ119" i="10"/>
  <c r="GA119" i="10"/>
  <c r="GB119" i="10"/>
  <c r="GC119" i="10"/>
  <c r="GD119" i="10"/>
  <c r="GE119" i="10"/>
  <c r="GF119" i="10"/>
  <c r="GG119" i="10"/>
  <c r="FZ120" i="10"/>
  <c r="GA120" i="10"/>
  <c r="GB120" i="10"/>
  <c r="GC120" i="10"/>
  <c r="GD120" i="10"/>
  <c r="GE120" i="10"/>
  <c r="GF120" i="10"/>
  <c r="GG120" i="10"/>
  <c r="FY121" i="10"/>
  <c r="FU121" i="10"/>
  <c r="FX121" i="10"/>
  <c r="FZ121" i="10"/>
  <c r="GA121" i="10"/>
  <c r="GB121" i="10"/>
  <c r="GC121" i="10"/>
  <c r="GD121" i="10"/>
  <c r="GE121" i="10"/>
  <c r="GF121" i="10"/>
  <c r="GG121" i="10"/>
  <c r="FZ122" i="10"/>
  <c r="GA122" i="10"/>
  <c r="GB122" i="10"/>
  <c r="GC122" i="10"/>
  <c r="GD122" i="10"/>
  <c r="GE122" i="10"/>
  <c r="GF122" i="10"/>
  <c r="GG122" i="10"/>
  <c r="FU123" i="10"/>
  <c r="FV123" i="10"/>
  <c r="FY123" i="10"/>
  <c r="FZ123" i="10"/>
  <c r="GA123" i="10"/>
  <c r="GB123" i="10"/>
  <c r="GC123" i="10"/>
  <c r="GD123" i="10"/>
  <c r="GE123" i="10"/>
  <c r="GF123" i="10"/>
  <c r="GG123" i="10"/>
  <c r="FY124" i="10"/>
  <c r="FU124" i="10"/>
  <c r="FX124" i="10"/>
  <c r="FZ124" i="10"/>
  <c r="GA124" i="10"/>
  <c r="GB124" i="10"/>
  <c r="GC124" i="10"/>
  <c r="GD124" i="10"/>
  <c r="GE124" i="10"/>
  <c r="GF124" i="10"/>
  <c r="GG124" i="10"/>
  <c r="FZ125" i="10"/>
  <c r="GA125" i="10"/>
  <c r="GB125" i="10"/>
  <c r="GC125" i="10"/>
  <c r="GD125" i="10"/>
  <c r="GE125" i="10"/>
  <c r="GF125" i="10"/>
  <c r="GG125" i="10"/>
  <c r="FU126" i="10"/>
  <c r="FW126" i="10"/>
  <c r="FY126" i="10"/>
  <c r="FZ126" i="10"/>
  <c r="GA126" i="10"/>
  <c r="GB126" i="10"/>
  <c r="GC126" i="10"/>
  <c r="GD126" i="10"/>
  <c r="GE126" i="10"/>
  <c r="GF126" i="10"/>
  <c r="GG126" i="10"/>
  <c r="FY127" i="10"/>
  <c r="FU127" i="10"/>
  <c r="FX127" i="10"/>
  <c r="FZ127" i="10"/>
  <c r="GA127" i="10"/>
  <c r="GB127" i="10"/>
  <c r="GC127" i="10"/>
  <c r="GD127" i="10"/>
  <c r="GE127" i="10"/>
  <c r="GF127" i="10"/>
  <c r="GG127" i="10"/>
  <c r="FZ128" i="10"/>
  <c r="GA128" i="10"/>
  <c r="GB128" i="10"/>
  <c r="GC128" i="10"/>
  <c r="GD128" i="10"/>
  <c r="GE128" i="10"/>
  <c r="GF128" i="10"/>
  <c r="GG128" i="10"/>
  <c r="FU129" i="10"/>
  <c r="FY129" i="10"/>
  <c r="FZ129" i="10"/>
  <c r="GA129" i="10"/>
  <c r="GB129" i="10"/>
  <c r="GC129" i="10"/>
  <c r="GD129" i="10"/>
  <c r="GE129" i="10"/>
  <c r="GF129" i="10"/>
  <c r="GG129" i="10"/>
  <c r="FY130" i="10"/>
  <c r="FU130" i="10"/>
  <c r="FX130" i="10"/>
  <c r="FZ130" i="10"/>
  <c r="GA130" i="10"/>
  <c r="GB130" i="10"/>
  <c r="GC130" i="10"/>
  <c r="GD130" i="10"/>
  <c r="GE130" i="10"/>
  <c r="GF130" i="10"/>
  <c r="GG130" i="10"/>
  <c r="FZ131" i="10"/>
  <c r="GA131" i="10"/>
  <c r="GB131" i="10"/>
  <c r="GC131" i="10"/>
  <c r="GD131" i="10"/>
  <c r="GE131" i="10"/>
  <c r="GF131" i="10"/>
  <c r="GG131" i="10"/>
  <c r="FU132" i="10"/>
  <c r="FV132" i="10"/>
  <c r="FY132" i="10"/>
  <c r="FZ132" i="10"/>
  <c r="GA132" i="10"/>
  <c r="GB132" i="10"/>
  <c r="GC132" i="10"/>
  <c r="GD132" i="10"/>
  <c r="GE132" i="10"/>
  <c r="GF132" i="10"/>
  <c r="GG132" i="10"/>
  <c r="FY133" i="10"/>
  <c r="FU133" i="10"/>
  <c r="FX133" i="10"/>
  <c r="FZ133" i="10"/>
  <c r="GA133" i="10"/>
  <c r="GB133" i="10"/>
  <c r="GC133" i="10"/>
  <c r="GD133" i="10"/>
  <c r="GE133" i="10"/>
  <c r="GF133" i="10"/>
  <c r="GG133" i="10"/>
  <c r="FZ134" i="10"/>
  <c r="GA134" i="10"/>
  <c r="GB134" i="10"/>
  <c r="GC134" i="10"/>
  <c r="GD134" i="10"/>
  <c r="GE134" i="10"/>
  <c r="GF134" i="10"/>
  <c r="GG134" i="10"/>
  <c r="FU135" i="10"/>
  <c r="FV135" i="10"/>
  <c r="FY135" i="10"/>
  <c r="FZ135" i="10"/>
  <c r="GA135" i="10"/>
  <c r="GB135" i="10"/>
  <c r="GC135" i="10"/>
  <c r="GD135" i="10"/>
  <c r="GE135" i="10"/>
  <c r="GF135" i="10"/>
  <c r="GG135" i="10"/>
  <c r="FY136" i="10"/>
  <c r="FU136" i="10"/>
  <c r="FX136" i="10"/>
  <c r="FZ136" i="10"/>
  <c r="GA136" i="10"/>
  <c r="GB136" i="10"/>
  <c r="GC136" i="10"/>
  <c r="GD136" i="10"/>
  <c r="GE136" i="10"/>
  <c r="GF136" i="10"/>
  <c r="GG136" i="10"/>
  <c r="FZ137" i="10"/>
  <c r="GA137" i="10"/>
  <c r="GB137" i="10"/>
  <c r="GC137" i="10"/>
  <c r="GD137" i="10"/>
  <c r="GE137" i="10"/>
  <c r="GF137" i="10"/>
  <c r="GG137" i="10"/>
  <c r="FZ138" i="10"/>
  <c r="GA138" i="10"/>
  <c r="GB138" i="10"/>
  <c r="GC138" i="10"/>
  <c r="GD138" i="10"/>
  <c r="GE138" i="10"/>
  <c r="GF138" i="10"/>
  <c r="GG138" i="10"/>
  <c r="FY139" i="10"/>
  <c r="FU139" i="10"/>
  <c r="FX139" i="10"/>
  <c r="FZ139" i="10"/>
  <c r="GA139" i="10"/>
  <c r="GB139" i="10"/>
  <c r="GC139" i="10"/>
  <c r="GD139" i="10"/>
  <c r="GE139" i="10"/>
  <c r="GF139" i="10"/>
  <c r="GG139" i="10"/>
  <c r="FZ140" i="10"/>
  <c r="GA140" i="10"/>
  <c r="GB140" i="10"/>
  <c r="GC140" i="10"/>
  <c r="GD140" i="10"/>
  <c r="GE140" i="10"/>
  <c r="GF140" i="10"/>
  <c r="GG140" i="10"/>
  <c r="FU141" i="10"/>
  <c r="FV141" i="10"/>
  <c r="FY141" i="10"/>
  <c r="FZ141" i="10"/>
  <c r="GA141" i="10"/>
  <c r="GB141" i="10"/>
  <c r="GC141" i="10"/>
  <c r="GD141" i="10"/>
  <c r="GE141" i="10"/>
  <c r="GF141" i="10"/>
  <c r="GG141" i="10"/>
  <c r="FY142" i="10"/>
  <c r="FU142" i="10"/>
  <c r="FX142" i="10"/>
  <c r="FZ142" i="10"/>
  <c r="GA142" i="10"/>
  <c r="GB142" i="10"/>
  <c r="GC142" i="10"/>
  <c r="GD142" i="10"/>
  <c r="GE142" i="10"/>
  <c r="GF142" i="10"/>
  <c r="GG142" i="10"/>
  <c r="FZ143" i="10"/>
  <c r="GA143" i="10"/>
  <c r="GB143" i="10"/>
  <c r="GC143" i="10"/>
  <c r="GD143" i="10"/>
  <c r="GE143" i="10"/>
  <c r="GF143" i="10"/>
  <c r="GG143" i="10"/>
  <c r="FU144" i="10"/>
  <c r="FV144" i="10"/>
  <c r="FY144" i="10"/>
  <c r="FZ144" i="10"/>
  <c r="GA144" i="10"/>
  <c r="GB144" i="10"/>
  <c r="GC144" i="10"/>
  <c r="GD144" i="10"/>
  <c r="GE144" i="10"/>
  <c r="GF144" i="10"/>
  <c r="GG144" i="10"/>
  <c r="FY145" i="10"/>
  <c r="FU145" i="10"/>
  <c r="FX145" i="10"/>
  <c r="FZ145" i="10"/>
  <c r="GA145" i="10"/>
  <c r="GB145" i="10"/>
  <c r="GC145" i="10"/>
  <c r="GD145" i="10"/>
  <c r="GE145" i="10"/>
  <c r="GF145" i="10"/>
  <c r="GG145" i="10"/>
  <c r="FZ146" i="10"/>
  <c r="GA146" i="10"/>
  <c r="GB146" i="10"/>
  <c r="GC146" i="10"/>
  <c r="GD146" i="10"/>
  <c r="GE146" i="10"/>
  <c r="GF146" i="10"/>
  <c r="GG146" i="10"/>
  <c r="FU147" i="10"/>
  <c r="FY147" i="10"/>
  <c r="FZ147" i="10"/>
  <c r="GA147" i="10"/>
  <c r="GB147" i="10"/>
  <c r="GC147" i="10"/>
  <c r="GD147" i="10"/>
  <c r="GE147" i="10"/>
  <c r="GF147" i="10"/>
  <c r="GG147" i="10"/>
  <c r="FY148" i="10"/>
  <c r="FU148" i="10"/>
  <c r="FX148" i="10"/>
  <c r="FZ148" i="10"/>
  <c r="GA148" i="10"/>
  <c r="GB148" i="10"/>
  <c r="GC148" i="10"/>
  <c r="GD148" i="10"/>
  <c r="GE148" i="10"/>
  <c r="GF148" i="10"/>
  <c r="GG148" i="10"/>
  <c r="FZ149" i="10"/>
  <c r="GA149" i="10"/>
  <c r="GB149" i="10"/>
  <c r="GC149" i="10"/>
  <c r="GD149" i="10"/>
  <c r="GE149" i="10"/>
  <c r="GF149" i="10"/>
  <c r="GG149" i="10"/>
  <c r="FU150" i="10"/>
  <c r="FV150" i="10"/>
  <c r="FY150" i="10"/>
  <c r="FZ150" i="10"/>
  <c r="GA150" i="10"/>
  <c r="GB150" i="10"/>
  <c r="GC150" i="10"/>
  <c r="GD150" i="10"/>
  <c r="GE150" i="10"/>
  <c r="GF150" i="10"/>
  <c r="GG150" i="10"/>
  <c r="FY151" i="10"/>
  <c r="FU151" i="10"/>
  <c r="FX151" i="10"/>
  <c r="FZ151" i="10"/>
  <c r="GA151" i="10"/>
  <c r="GB151" i="10"/>
  <c r="GC151" i="10"/>
  <c r="GD151" i="10"/>
  <c r="GE151" i="10"/>
  <c r="GF151" i="10"/>
  <c r="GG151" i="10"/>
  <c r="FZ152" i="10"/>
  <c r="GA152" i="10"/>
  <c r="GB152" i="10"/>
  <c r="GC152" i="10"/>
  <c r="GD152" i="10"/>
  <c r="GE152" i="10"/>
  <c r="GF152" i="10"/>
  <c r="GG152" i="10"/>
  <c r="FU153" i="10"/>
  <c r="FV153" i="10"/>
  <c r="FY153" i="10"/>
  <c r="FZ153" i="10"/>
  <c r="GA153" i="10"/>
  <c r="GB153" i="10"/>
  <c r="GC153" i="10"/>
  <c r="GD153" i="10"/>
  <c r="GE153" i="10"/>
  <c r="GF153" i="10"/>
  <c r="GG153" i="10"/>
  <c r="FY154" i="10"/>
  <c r="FU154" i="10"/>
  <c r="FX154" i="10"/>
  <c r="FZ154" i="10"/>
  <c r="GA154" i="10"/>
  <c r="GB154" i="10"/>
  <c r="GC154" i="10"/>
  <c r="GD154" i="10"/>
  <c r="GE154" i="10"/>
  <c r="GF154" i="10"/>
  <c r="GG154" i="10"/>
  <c r="FZ155" i="10"/>
  <c r="GA155" i="10"/>
  <c r="GB155" i="10"/>
  <c r="GC155" i="10"/>
  <c r="GD155" i="10"/>
  <c r="GE155" i="10"/>
  <c r="GF155" i="10"/>
  <c r="GG155" i="10"/>
  <c r="FZ156" i="10"/>
  <c r="GA156" i="10"/>
  <c r="GB156" i="10"/>
  <c r="GC156" i="10"/>
  <c r="GD156" i="10"/>
  <c r="GE156" i="10"/>
  <c r="GF156" i="10"/>
  <c r="GG156" i="10"/>
  <c r="FY157" i="10"/>
  <c r="FU157" i="10"/>
  <c r="FX157" i="10"/>
  <c r="FZ157" i="10"/>
  <c r="GA157" i="10"/>
  <c r="GB157" i="10"/>
  <c r="GC157" i="10"/>
  <c r="GD157" i="10"/>
  <c r="GE157" i="10"/>
  <c r="GF157" i="10"/>
  <c r="GG157" i="10"/>
  <c r="FZ158" i="10"/>
  <c r="GA158" i="10"/>
  <c r="GB158" i="10"/>
  <c r="GC158" i="10"/>
  <c r="GD158" i="10"/>
  <c r="GE158" i="10"/>
  <c r="GF158" i="10"/>
  <c r="GG158" i="10"/>
  <c r="FU159" i="10"/>
  <c r="FV159" i="10"/>
  <c r="FY159" i="10"/>
  <c r="FZ159" i="10"/>
  <c r="GA159" i="10"/>
  <c r="GB159" i="10"/>
  <c r="GC159" i="10"/>
  <c r="GD159" i="10"/>
  <c r="GE159" i="10"/>
  <c r="GF159" i="10"/>
  <c r="GG159" i="10"/>
  <c r="FY160" i="10"/>
  <c r="FU160" i="10"/>
  <c r="FX160" i="10"/>
  <c r="FZ160" i="10"/>
  <c r="GA160" i="10"/>
  <c r="GB160" i="10"/>
  <c r="GC160" i="10"/>
  <c r="GD160" i="10"/>
  <c r="GE160" i="10"/>
  <c r="GF160" i="10"/>
  <c r="GG160" i="10"/>
  <c r="FZ161" i="10"/>
  <c r="GA161" i="10"/>
  <c r="GB161" i="10"/>
  <c r="GC161" i="10"/>
  <c r="GD161" i="10"/>
  <c r="GE161" i="10"/>
  <c r="GF161" i="10"/>
  <c r="GG161" i="10"/>
  <c r="FU162" i="10"/>
  <c r="FV162" i="10"/>
  <c r="FY162" i="10"/>
  <c r="FZ162" i="10"/>
  <c r="GA162" i="10"/>
  <c r="GB162" i="10"/>
  <c r="GC162" i="10"/>
  <c r="GD162" i="10"/>
  <c r="GE162" i="10"/>
  <c r="GF162" i="10"/>
  <c r="GG162" i="10"/>
  <c r="FY163" i="10"/>
  <c r="FU163" i="10"/>
  <c r="FX163" i="10"/>
  <c r="FZ163" i="10"/>
  <c r="GA163" i="10"/>
  <c r="GB163" i="10"/>
  <c r="GC163" i="10"/>
  <c r="GD163" i="10"/>
  <c r="GE163" i="10"/>
  <c r="GF163" i="10"/>
  <c r="GG163" i="10"/>
  <c r="FZ164" i="10"/>
  <c r="GA164" i="10"/>
  <c r="GB164" i="10"/>
  <c r="GC164" i="10"/>
  <c r="GD164" i="10"/>
  <c r="GE164" i="10"/>
  <c r="GF164" i="10"/>
  <c r="GG164" i="10"/>
  <c r="FU165" i="10"/>
  <c r="FY165" i="10"/>
  <c r="FZ165" i="10"/>
  <c r="GA165" i="10"/>
  <c r="GB165" i="10"/>
  <c r="GC165" i="10"/>
  <c r="GD165" i="10"/>
  <c r="GE165" i="10"/>
  <c r="GF165" i="10"/>
  <c r="GG165" i="10"/>
  <c r="FY166" i="10"/>
  <c r="FU166" i="10"/>
  <c r="FX166" i="10"/>
  <c r="FZ166" i="10"/>
  <c r="GA166" i="10"/>
  <c r="GB166" i="10"/>
  <c r="GC166" i="10"/>
  <c r="GD166" i="10"/>
  <c r="GE166" i="10"/>
  <c r="GF166" i="10"/>
  <c r="GG166" i="10"/>
  <c r="FZ167" i="10"/>
  <c r="GA167" i="10"/>
  <c r="GB167" i="10"/>
  <c r="GC167" i="10"/>
  <c r="GD167" i="10"/>
  <c r="GE167" i="10"/>
  <c r="GF167" i="10"/>
  <c r="GG167" i="10"/>
  <c r="FU168" i="10"/>
  <c r="FV168" i="10"/>
  <c r="FY168" i="10"/>
  <c r="FZ168" i="10"/>
  <c r="GA168" i="10"/>
  <c r="GB168" i="10"/>
  <c r="GC168" i="10"/>
  <c r="GD168" i="10"/>
  <c r="GE168" i="10"/>
  <c r="GF168" i="10"/>
  <c r="GG168" i="10"/>
  <c r="FY169" i="10"/>
  <c r="FU169" i="10"/>
  <c r="FX169" i="10"/>
  <c r="FZ169" i="10"/>
  <c r="GA169" i="10"/>
  <c r="GB169" i="10"/>
  <c r="GC169" i="10"/>
  <c r="GD169" i="10"/>
  <c r="GE169" i="10"/>
  <c r="GF169" i="10"/>
  <c r="GG169" i="10"/>
  <c r="FZ170" i="10"/>
  <c r="GA170" i="10"/>
  <c r="GB170" i="10"/>
  <c r="GC170" i="10"/>
  <c r="GD170" i="10"/>
  <c r="GE170" i="10"/>
  <c r="GF170" i="10"/>
  <c r="GG170" i="10"/>
  <c r="FU171" i="10"/>
  <c r="FV171" i="10"/>
  <c r="FY171" i="10"/>
  <c r="FZ171" i="10"/>
  <c r="GA171" i="10"/>
  <c r="GB171" i="10"/>
  <c r="GC171" i="10"/>
  <c r="GD171" i="10"/>
  <c r="GE171" i="10"/>
  <c r="GF171" i="10"/>
  <c r="GG171" i="10"/>
  <c r="FY172" i="10"/>
  <c r="FU172" i="10"/>
  <c r="FX172" i="10"/>
  <c r="FZ172" i="10"/>
  <c r="GA172" i="10"/>
  <c r="GB172" i="10"/>
  <c r="GC172" i="10"/>
  <c r="GD172" i="10"/>
  <c r="GE172" i="10"/>
  <c r="GF172" i="10"/>
  <c r="GG172" i="10"/>
  <c r="FZ173" i="10"/>
  <c r="GA173" i="10"/>
  <c r="GB173" i="10"/>
  <c r="GC173" i="10"/>
  <c r="GD173" i="10"/>
  <c r="GE173" i="10"/>
  <c r="GF173" i="10"/>
  <c r="GG173" i="10"/>
  <c r="FZ174" i="10"/>
  <c r="GA174" i="10"/>
  <c r="GB174" i="10"/>
  <c r="GC174" i="10"/>
  <c r="GD174" i="10"/>
  <c r="GE174" i="10"/>
  <c r="GF174" i="10"/>
  <c r="GG174" i="10"/>
  <c r="FY175" i="10"/>
  <c r="FU175" i="10"/>
  <c r="FX175" i="10"/>
  <c r="FZ175" i="10"/>
  <c r="GA175" i="10"/>
  <c r="GB175" i="10"/>
  <c r="GC175" i="10"/>
  <c r="GD175" i="10"/>
  <c r="GE175" i="10"/>
  <c r="GF175" i="10"/>
  <c r="GG175" i="10"/>
  <c r="FZ176" i="10"/>
  <c r="GA176" i="10"/>
  <c r="GB176" i="10"/>
  <c r="GC176" i="10"/>
  <c r="GD176" i="10"/>
  <c r="GE176" i="10"/>
  <c r="GF176" i="10"/>
  <c r="GG176" i="10"/>
  <c r="FU177" i="10"/>
  <c r="FV177" i="10"/>
  <c r="FY177" i="10"/>
  <c r="FZ177" i="10"/>
  <c r="GA177" i="10"/>
  <c r="GB177" i="10"/>
  <c r="GC177" i="10"/>
  <c r="GD177" i="10"/>
  <c r="GE177" i="10"/>
  <c r="GF177" i="10"/>
  <c r="GG177" i="10"/>
  <c r="FY178" i="10"/>
  <c r="FU178" i="10"/>
  <c r="FX178" i="10"/>
  <c r="FZ178" i="10"/>
  <c r="GA178" i="10"/>
  <c r="GB178" i="10"/>
  <c r="GC178" i="10"/>
  <c r="GD178" i="10"/>
  <c r="GE178" i="10"/>
  <c r="GF178" i="10"/>
  <c r="GG178" i="10"/>
  <c r="FZ179" i="10"/>
  <c r="GA179" i="10"/>
  <c r="GB179" i="10"/>
  <c r="GC179" i="10"/>
  <c r="GD179" i="10"/>
  <c r="GE179" i="10"/>
  <c r="GF179" i="10"/>
  <c r="GG179" i="10"/>
  <c r="FU180" i="10"/>
  <c r="FW180" i="10"/>
  <c r="FY180" i="10"/>
  <c r="FZ180" i="10"/>
  <c r="GA180" i="10"/>
  <c r="GB180" i="10"/>
  <c r="GC180" i="10"/>
  <c r="GD180" i="10"/>
  <c r="GE180" i="10"/>
  <c r="GF180" i="10"/>
  <c r="GG180" i="10"/>
  <c r="FY181" i="10"/>
  <c r="FU181" i="10"/>
  <c r="FX181" i="10"/>
  <c r="FZ181" i="10"/>
  <c r="GA181" i="10"/>
  <c r="GB181" i="10"/>
  <c r="GC181" i="10"/>
  <c r="GD181" i="10"/>
  <c r="GE181" i="10"/>
  <c r="GF181" i="10"/>
  <c r="GG181" i="10"/>
  <c r="FZ182" i="10"/>
  <c r="GA182" i="10"/>
  <c r="GB182" i="10"/>
  <c r="GC182" i="10"/>
  <c r="GD182" i="10"/>
  <c r="GE182" i="10"/>
  <c r="GF182" i="10"/>
  <c r="GG182" i="10"/>
  <c r="FU183" i="10"/>
  <c r="FY183" i="10"/>
  <c r="FZ183" i="10"/>
  <c r="GA183" i="10"/>
  <c r="GB183" i="10"/>
  <c r="GC183" i="10"/>
  <c r="GD183" i="10"/>
  <c r="GE183" i="10"/>
  <c r="GF183" i="10"/>
  <c r="GG183" i="10"/>
  <c r="FY184" i="10"/>
  <c r="FU184" i="10"/>
  <c r="FX184" i="10"/>
  <c r="FZ184" i="10"/>
  <c r="GA184" i="10"/>
  <c r="GB184" i="10"/>
  <c r="GC184" i="10"/>
  <c r="GD184" i="10"/>
  <c r="GE184" i="10"/>
  <c r="GF184" i="10"/>
  <c r="GG184" i="10"/>
  <c r="FZ185" i="10"/>
  <c r="GA185" i="10"/>
  <c r="GB185" i="10"/>
  <c r="GC185" i="10"/>
  <c r="GD185" i="10"/>
  <c r="GE185" i="10"/>
  <c r="GF185" i="10"/>
  <c r="GG185" i="10"/>
  <c r="FU186" i="10"/>
  <c r="FV186" i="10"/>
  <c r="FY186" i="10"/>
  <c r="FZ186" i="10"/>
  <c r="GA186" i="10"/>
  <c r="GB186" i="10"/>
  <c r="GC186" i="10"/>
  <c r="GD186" i="10"/>
  <c r="GE186" i="10"/>
  <c r="GF186" i="10"/>
  <c r="GG186" i="10"/>
  <c r="FY187" i="10"/>
  <c r="FU187" i="10"/>
  <c r="FX187" i="10"/>
  <c r="FZ187" i="10"/>
  <c r="GA187" i="10"/>
  <c r="GB187" i="10"/>
  <c r="GC187" i="10"/>
  <c r="GD187" i="10"/>
  <c r="GE187" i="10"/>
  <c r="GF187" i="10"/>
  <c r="GG187" i="10"/>
  <c r="FZ188" i="10"/>
  <c r="GA188" i="10"/>
  <c r="GB188" i="10"/>
  <c r="GC188" i="10"/>
  <c r="GD188" i="10"/>
  <c r="GE188" i="10"/>
  <c r="GF188" i="10"/>
  <c r="GG188" i="10"/>
  <c r="FU189" i="10"/>
  <c r="FV189" i="10"/>
  <c r="FY189" i="10"/>
  <c r="FZ189" i="10"/>
  <c r="GA189" i="10"/>
  <c r="GB189" i="10"/>
  <c r="GC189" i="10"/>
  <c r="GD189" i="10"/>
  <c r="GE189" i="10"/>
  <c r="GF189" i="10"/>
  <c r="GG189" i="10"/>
  <c r="FY190" i="10"/>
  <c r="FU190" i="10"/>
  <c r="FX190" i="10"/>
  <c r="FZ190" i="10"/>
  <c r="GA190" i="10"/>
  <c r="GB190" i="10"/>
  <c r="GC190" i="10"/>
  <c r="GD190" i="10"/>
  <c r="GE190" i="10"/>
  <c r="GF190" i="10"/>
  <c r="GG190" i="10"/>
  <c r="FZ191" i="10"/>
  <c r="GA191" i="10"/>
  <c r="GB191" i="10"/>
  <c r="GC191" i="10"/>
  <c r="GD191" i="10"/>
  <c r="GE191" i="10"/>
  <c r="GF191" i="10"/>
  <c r="GG191" i="10"/>
  <c r="FZ192" i="10"/>
  <c r="GA192" i="10"/>
  <c r="GB192" i="10"/>
  <c r="GC192" i="10"/>
  <c r="GD192" i="10"/>
  <c r="GE192" i="10"/>
  <c r="GF192" i="10"/>
  <c r="GG192" i="10"/>
  <c r="FY193" i="10"/>
  <c r="FU193" i="10"/>
  <c r="FX193" i="10"/>
  <c r="FZ193" i="10"/>
  <c r="GA193" i="10"/>
  <c r="GB193" i="10"/>
  <c r="GC193" i="10"/>
  <c r="GD193" i="10"/>
  <c r="GE193" i="10"/>
  <c r="GF193" i="10"/>
  <c r="GG193" i="10"/>
  <c r="FZ194" i="10"/>
  <c r="GA194" i="10"/>
  <c r="GB194" i="10"/>
  <c r="GC194" i="10"/>
  <c r="GD194" i="10"/>
  <c r="GE194" i="10"/>
  <c r="GF194" i="10"/>
  <c r="GG194" i="10"/>
  <c r="FU195" i="10"/>
  <c r="FV195" i="10"/>
  <c r="FY195" i="10"/>
  <c r="FZ195" i="10"/>
  <c r="GA195" i="10"/>
  <c r="GB195" i="10"/>
  <c r="GC195" i="10"/>
  <c r="GD195" i="10"/>
  <c r="GE195" i="10"/>
  <c r="GF195" i="10"/>
  <c r="GG195" i="10"/>
  <c r="FY196" i="10"/>
  <c r="FU196" i="10"/>
  <c r="FX196" i="10"/>
  <c r="FZ196" i="10"/>
  <c r="GA196" i="10"/>
  <c r="GB196" i="10"/>
  <c r="GC196" i="10"/>
  <c r="GD196" i="10"/>
  <c r="GE196" i="10"/>
  <c r="GF196" i="10"/>
  <c r="GG196" i="10"/>
  <c r="FZ197" i="10"/>
  <c r="GA197" i="10"/>
  <c r="GB197" i="10"/>
  <c r="GC197" i="10"/>
  <c r="GD197" i="10"/>
  <c r="GE197" i="10"/>
  <c r="GF197" i="10"/>
  <c r="GG197" i="10"/>
  <c r="FU198" i="10"/>
  <c r="FW198" i="10"/>
  <c r="FY198" i="10"/>
  <c r="FZ198" i="10"/>
  <c r="GA198" i="10"/>
  <c r="GB198" i="10"/>
  <c r="GC198" i="10"/>
  <c r="GD198" i="10"/>
  <c r="GE198" i="10"/>
  <c r="GF198" i="10"/>
  <c r="GG198" i="10"/>
  <c r="FY199" i="10"/>
  <c r="FU199" i="10"/>
  <c r="FX199" i="10"/>
  <c r="FZ199" i="10"/>
  <c r="GA199" i="10"/>
  <c r="GB199" i="10"/>
  <c r="GC199" i="10"/>
  <c r="GD199" i="10"/>
  <c r="GE199" i="10"/>
  <c r="GF199" i="10"/>
  <c r="GG199" i="10"/>
  <c r="FZ200" i="10"/>
  <c r="GA200" i="10"/>
  <c r="GB200" i="10"/>
  <c r="GC200" i="10"/>
  <c r="GD200" i="10"/>
  <c r="GE200" i="10"/>
  <c r="GF200" i="10"/>
  <c r="GG200" i="10"/>
  <c r="FU201" i="10"/>
  <c r="FY201" i="10"/>
  <c r="FZ201" i="10"/>
  <c r="GA201" i="10"/>
  <c r="GB201" i="10"/>
  <c r="GC201" i="10"/>
  <c r="GD201" i="10"/>
  <c r="GE201" i="10"/>
  <c r="GF201" i="10"/>
  <c r="GG201" i="10"/>
  <c r="FY202" i="10"/>
  <c r="FU202" i="10"/>
  <c r="FX202" i="10"/>
  <c r="FZ202" i="10"/>
  <c r="GA202" i="10"/>
  <c r="GB202" i="10"/>
  <c r="GC202" i="10"/>
  <c r="GD202" i="10"/>
  <c r="GE202" i="10"/>
  <c r="GF202" i="10"/>
  <c r="GG202" i="10"/>
  <c r="FZ203" i="10"/>
  <c r="GA203" i="10"/>
  <c r="GB203" i="10"/>
  <c r="GC203" i="10"/>
  <c r="GD203" i="10"/>
  <c r="GE203" i="10"/>
  <c r="GF203" i="10"/>
  <c r="GG203" i="10"/>
  <c r="FU204" i="10"/>
  <c r="FV204" i="10"/>
  <c r="FY204" i="10"/>
  <c r="FZ204" i="10"/>
  <c r="GA204" i="10"/>
  <c r="GB204" i="10"/>
  <c r="GC204" i="10"/>
  <c r="GD204" i="10"/>
  <c r="GE204" i="10"/>
  <c r="GF204" i="10"/>
  <c r="GG204" i="10"/>
  <c r="FY205" i="10"/>
  <c r="FU205" i="10"/>
  <c r="FX205" i="10"/>
  <c r="FZ205" i="10"/>
  <c r="GA205" i="10"/>
  <c r="GB205" i="10"/>
  <c r="GC205" i="10"/>
  <c r="GD205" i="10"/>
  <c r="GE205" i="10"/>
  <c r="GF205" i="10"/>
  <c r="GG205" i="10"/>
  <c r="FZ206" i="10"/>
  <c r="GA206" i="10"/>
  <c r="GB206" i="10"/>
  <c r="GC206" i="10"/>
  <c r="GD206" i="10"/>
  <c r="GE206" i="10"/>
  <c r="GF206" i="10"/>
  <c r="GG206" i="10"/>
  <c r="FU207" i="10"/>
  <c r="FV207" i="10"/>
  <c r="FY207" i="10"/>
  <c r="FZ207" i="10"/>
  <c r="GA207" i="10"/>
  <c r="GB207" i="10"/>
  <c r="GC207" i="10"/>
  <c r="GD207" i="10"/>
  <c r="GE207" i="10"/>
  <c r="GF207" i="10"/>
  <c r="GG207" i="10"/>
  <c r="FY208" i="10"/>
  <c r="FU208" i="10"/>
  <c r="FX208" i="10"/>
  <c r="FZ208" i="10"/>
  <c r="GA208" i="10"/>
  <c r="GB208" i="10"/>
  <c r="GC208" i="10"/>
  <c r="GD208" i="10"/>
  <c r="GE208" i="10"/>
  <c r="GF208" i="10"/>
  <c r="GG208" i="10"/>
  <c r="FZ209" i="10"/>
  <c r="GA209" i="10"/>
  <c r="GB209" i="10"/>
  <c r="GC209" i="10"/>
  <c r="GD209" i="10"/>
  <c r="GE209" i="10"/>
  <c r="GF209" i="10"/>
  <c r="GG209" i="10"/>
  <c r="FZ210" i="10"/>
  <c r="GA210" i="10"/>
  <c r="GB210" i="10"/>
  <c r="GC210" i="10"/>
  <c r="GD210" i="10"/>
  <c r="GE210" i="10"/>
  <c r="GF210" i="10"/>
  <c r="GG210" i="10"/>
  <c r="FY211" i="10"/>
  <c r="FU211" i="10"/>
  <c r="FX211" i="10"/>
  <c r="FZ211" i="10"/>
  <c r="GA211" i="10"/>
  <c r="GB211" i="10"/>
  <c r="GC211" i="10"/>
  <c r="GD211" i="10"/>
  <c r="GE211" i="10"/>
  <c r="GF211" i="10"/>
  <c r="GG211" i="10"/>
  <c r="FZ212" i="10"/>
  <c r="GA212" i="10"/>
  <c r="GB212" i="10"/>
  <c r="GC212" i="10"/>
  <c r="GD212" i="10"/>
  <c r="GE212" i="10"/>
  <c r="GF212" i="10"/>
  <c r="GG212" i="10"/>
  <c r="FU213" i="10"/>
  <c r="FV213" i="10"/>
  <c r="FY213" i="10"/>
  <c r="FZ213" i="10"/>
  <c r="GA213" i="10"/>
  <c r="GB213" i="10"/>
  <c r="GC213" i="10"/>
  <c r="GD213" i="10"/>
  <c r="GE213" i="10"/>
  <c r="GF213" i="10"/>
  <c r="GG213" i="10"/>
  <c r="FY214" i="10"/>
  <c r="FU214" i="10"/>
  <c r="FX214" i="10"/>
  <c r="FZ214" i="10"/>
  <c r="GA214" i="10"/>
  <c r="GB214" i="10"/>
  <c r="GC214" i="10"/>
  <c r="GD214" i="10"/>
  <c r="GE214" i="10"/>
  <c r="GF214" i="10"/>
  <c r="GG214" i="10"/>
  <c r="FZ215" i="10"/>
  <c r="GA215" i="10"/>
  <c r="GB215" i="10"/>
  <c r="GC215" i="10"/>
  <c r="GD215" i="10"/>
  <c r="GE215" i="10"/>
  <c r="GF215" i="10"/>
  <c r="GG215" i="10"/>
  <c r="FU216" i="10"/>
  <c r="FV216" i="10"/>
  <c r="FY216" i="10"/>
  <c r="FZ216" i="10"/>
  <c r="GA216" i="10"/>
  <c r="GB216" i="10"/>
  <c r="GC216" i="10"/>
  <c r="GD216" i="10"/>
  <c r="GE216" i="10"/>
  <c r="GF216" i="10"/>
  <c r="GG216" i="10"/>
  <c r="FY217" i="10"/>
  <c r="FU217" i="10"/>
  <c r="FX217" i="10"/>
  <c r="FZ217" i="10"/>
  <c r="GA217" i="10"/>
  <c r="GB217" i="10"/>
  <c r="GC217" i="10"/>
  <c r="GD217" i="10"/>
  <c r="GE217" i="10"/>
  <c r="GF217" i="10"/>
  <c r="GG217" i="10"/>
  <c r="FZ218" i="10"/>
  <c r="GA218" i="10"/>
  <c r="GB218" i="10"/>
  <c r="GC218" i="10"/>
  <c r="GD218" i="10"/>
  <c r="GE218" i="10"/>
  <c r="GF218" i="10"/>
  <c r="GG218" i="10"/>
  <c r="FU219" i="10"/>
  <c r="FY219" i="10"/>
  <c r="FZ219" i="10"/>
  <c r="GA219" i="10"/>
  <c r="GB219" i="10"/>
  <c r="GC219" i="10"/>
  <c r="GD219" i="10"/>
  <c r="GE219" i="10"/>
  <c r="GF219" i="10"/>
  <c r="GG219" i="10"/>
  <c r="FY220" i="10"/>
  <c r="FU220" i="10"/>
  <c r="FX220" i="10"/>
  <c r="FZ220" i="10"/>
  <c r="GA220" i="10"/>
  <c r="GB220" i="10"/>
  <c r="GC220" i="10"/>
  <c r="GD220" i="10"/>
  <c r="GE220" i="10"/>
  <c r="GF220" i="10"/>
  <c r="GG220" i="10"/>
  <c r="FZ221" i="10"/>
  <c r="GA221" i="10"/>
  <c r="GB221" i="10"/>
  <c r="GC221" i="10"/>
  <c r="GD221" i="10"/>
  <c r="GE221" i="10"/>
  <c r="GF221" i="10"/>
  <c r="GG221" i="10"/>
  <c r="FU222" i="10"/>
  <c r="FV222" i="10"/>
  <c r="FY222" i="10"/>
  <c r="FZ222" i="10"/>
  <c r="GA222" i="10"/>
  <c r="GB222" i="10"/>
  <c r="GC222" i="10"/>
  <c r="GD222" i="10"/>
  <c r="GE222" i="10"/>
  <c r="GF222" i="10"/>
  <c r="GG222" i="10"/>
  <c r="FZ223" i="10"/>
  <c r="GA223" i="10"/>
  <c r="GB223" i="10"/>
  <c r="GC223" i="10"/>
  <c r="GD223" i="10"/>
  <c r="GE223" i="10"/>
  <c r="GF223" i="10"/>
  <c r="GG223" i="10"/>
  <c r="FZ224" i="10"/>
  <c r="GA224" i="10"/>
  <c r="GB224" i="10"/>
  <c r="GC224" i="10"/>
  <c r="GD224" i="10"/>
  <c r="GE224" i="10"/>
  <c r="GF224" i="10"/>
  <c r="GG224" i="10"/>
  <c r="FU225" i="10"/>
  <c r="FV225" i="10"/>
  <c r="FY225" i="10"/>
  <c r="FZ225" i="10"/>
  <c r="GA225" i="10"/>
  <c r="GB225" i="10"/>
  <c r="GC225" i="10"/>
  <c r="GD225" i="10"/>
  <c r="GE225" i="10"/>
  <c r="GF225" i="10"/>
  <c r="GG225" i="10"/>
  <c r="FY226" i="10"/>
  <c r="FZ226" i="10"/>
  <c r="GA226" i="10"/>
  <c r="GB226" i="10"/>
  <c r="GC226" i="10"/>
  <c r="GD226" i="10"/>
  <c r="GE226" i="10"/>
  <c r="GF226" i="10"/>
  <c r="GG226" i="10"/>
  <c r="FZ227" i="10"/>
  <c r="GA227" i="10"/>
  <c r="GB227" i="10"/>
  <c r="GC227" i="10"/>
  <c r="GD227" i="10"/>
  <c r="GE227" i="10"/>
  <c r="GF227" i="10"/>
  <c r="GG227" i="10"/>
  <c r="FZ228" i="10"/>
  <c r="GA228" i="10"/>
  <c r="GB228" i="10"/>
  <c r="GC228" i="10"/>
  <c r="GD228" i="10"/>
  <c r="GE228" i="10"/>
  <c r="GF228" i="10"/>
  <c r="GG228" i="10"/>
  <c r="FY229" i="10"/>
  <c r="FU229" i="10"/>
  <c r="FX229" i="10"/>
  <c r="FZ229" i="10"/>
  <c r="GA229" i="10"/>
  <c r="GB229" i="10"/>
  <c r="GC229" i="10"/>
  <c r="GD229" i="10"/>
  <c r="GE229" i="10"/>
  <c r="GF229" i="10"/>
  <c r="GG229" i="10"/>
  <c r="FZ230" i="10"/>
  <c r="GA230" i="10"/>
  <c r="GB230" i="10"/>
  <c r="GC230" i="10"/>
  <c r="GD230" i="10"/>
  <c r="GE230" i="10"/>
  <c r="GF230" i="10"/>
  <c r="GG230" i="10"/>
  <c r="FU231" i="10"/>
  <c r="FV231" i="10"/>
  <c r="FY231" i="10"/>
  <c r="FZ231" i="10"/>
  <c r="GA231" i="10"/>
  <c r="GB231" i="10"/>
  <c r="GC231" i="10"/>
  <c r="GD231" i="10"/>
  <c r="GE231" i="10"/>
  <c r="GF231" i="10"/>
  <c r="GG231" i="10"/>
  <c r="FY232" i="10"/>
  <c r="FZ232" i="10"/>
  <c r="GA232" i="10"/>
  <c r="GB232" i="10"/>
  <c r="GC232" i="10"/>
  <c r="GD232" i="10"/>
  <c r="GE232" i="10"/>
  <c r="GF232" i="10"/>
  <c r="GG232" i="10"/>
  <c r="FZ233" i="10"/>
  <c r="GA233" i="10"/>
  <c r="GB233" i="10"/>
  <c r="GC233" i="10"/>
  <c r="GD233" i="10"/>
  <c r="GE233" i="10"/>
  <c r="GF233" i="10"/>
  <c r="GG233" i="10"/>
  <c r="FU234" i="10"/>
  <c r="FV234" i="10"/>
  <c r="FY234" i="10"/>
  <c r="FZ234" i="10"/>
  <c r="GA234" i="10"/>
  <c r="GB234" i="10"/>
  <c r="GC234" i="10"/>
  <c r="GD234" i="10"/>
  <c r="GE234" i="10"/>
  <c r="GF234" i="10"/>
  <c r="GG234" i="10"/>
  <c r="FY235" i="10"/>
  <c r="FU235" i="10"/>
  <c r="FX235" i="10"/>
  <c r="FZ235" i="10"/>
  <c r="GA235" i="10"/>
  <c r="GB235" i="10"/>
  <c r="GC235" i="10"/>
  <c r="GD235" i="10"/>
  <c r="GE235" i="10"/>
  <c r="GF235" i="10"/>
  <c r="GG235" i="10"/>
  <c r="FZ236" i="10"/>
  <c r="GA236" i="10"/>
  <c r="GB236" i="10"/>
  <c r="GC236" i="10"/>
  <c r="GD236" i="10"/>
  <c r="GE236" i="10"/>
  <c r="GF236" i="10"/>
  <c r="GG236" i="10"/>
  <c r="FU237" i="10"/>
  <c r="FY237" i="10"/>
  <c r="FZ237" i="10"/>
  <c r="GA237" i="10"/>
  <c r="GB237" i="10"/>
  <c r="GC237" i="10"/>
  <c r="GD237" i="10"/>
  <c r="GE237" i="10"/>
  <c r="GF237" i="10"/>
  <c r="GG237" i="10"/>
  <c r="FY238" i="10"/>
  <c r="FU238" i="10"/>
  <c r="FX238" i="10"/>
  <c r="FZ238" i="10"/>
  <c r="GA238" i="10"/>
  <c r="GB238" i="10"/>
  <c r="GC238" i="10"/>
  <c r="GD238" i="10"/>
  <c r="GE238" i="10"/>
  <c r="GF238" i="10"/>
  <c r="GG238" i="10"/>
  <c r="FZ239" i="10"/>
  <c r="GA239" i="10"/>
  <c r="GB239" i="10"/>
  <c r="GC239" i="10"/>
  <c r="GD239" i="10"/>
  <c r="GE239" i="10"/>
  <c r="GF239" i="10"/>
  <c r="GG239" i="10"/>
  <c r="FU240" i="10"/>
  <c r="FV240" i="10"/>
  <c r="FY240" i="10"/>
  <c r="FZ240" i="10"/>
  <c r="GA240" i="10"/>
  <c r="GB240" i="10"/>
  <c r="GC240" i="10"/>
  <c r="GD240" i="10"/>
  <c r="GE240" i="10"/>
  <c r="GF240" i="10"/>
  <c r="GG240" i="10"/>
  <c r="FZ241" i="10"/>
  <c r="GA241" i="10"/>
  <c r="GB241" i="10"/>
  <c r="GC241" i="10"/>
  <c r="GD241" i="10"/>
  <c r="GE241" i="10"/>
  <c r="GF241" i="10"/>
  <c r="GG241" i="10"/>
  <c r="FZ242" i="10"/>
  <c r="GA242" i="10"/>
  <c r="GB242" i="10"/>
  <c r="GC242" i="10"/>
  <c r="GD242" i="10"/>
  <c r="GE242" i="10"/>
  <c r="GF242" i="10"/>
  <c r="GG242" i="10"/>
  <c r="FU243" i="10"/>
  <c r="FV243" i="10"/>
  <c r="FY243" i="10"/>
  <c r="FZ243" i="10"/>
  <c r="GA243" i="10"/>
  <c r="GB243" i="10"/>
  <c r="GC243" i="10"/>
  <c r="GD243" i="10"/>
  <c r="GE243" i="10"/>
  <c r="GF243" i="10"/>
  <c r="GG243" i="10"/>
  <c r="FY244" i="10"/>
  <c r="FZ244" i="10"/>
  <c r="GA244" i="10"/>
  <c r="GB244" i="10"/>
  <c r="GC244" i="10"/>
  <c r="GD244" i="10"/>
  <c r="GE244" i="10"/>
  <c r="GF244" i="10"/>
  <c r="GG244" i="10"/>
  <c r="FZ245" i="10"/>
  <c r="GA245" i="10"/>
  <c r="GB245" i="10"/>
  <c r="GC245" i="10"/>
  <c r="GD245" i="10"/>
  <c r="GE245" i="10"/>
  <c r="GF245" i="10"/>
  <c r="GG245" i="10"/>
  <c r="FZ246" i="10"/>
  <c r="GA246" i="10"/>
  <c r="GB246" i="10"/>
  <c r="GC246" i="10"/>
  <c r="GD246" i="10"/>
  <c r="GE246" i="10"/>
  <c r="GF246" i="10"/>
  <c r="GG246" i="10"/>
  <c r="FY247" i="10"/>
  <c r="FU247" i="10"/>
  <c r="FX247" i="10"/>
  <c r="FZ247" i="10"/>
  <c r="GA247" i="10"/>
  <c r="GB247" i="10"/>
  <c r="GC247" i="10"/>
  <c r="GD247" i="10"/>
  <c r="GE247" i="10"/>
  <c r="GF247" i="10"/>
  <c r="GG247" i="10"/>
  <c r="FZ248" i="10"/>
  <c r="GA248" i="10"/>
  <c r="GB248" i="10"/>
  <c r="GC248" i="10"/>
  <c r="GD248" i="10"/>
  <c r="GE248" i="10"/>
  <c r="GF248" i="10"/>
  <c r="GG248" i="10"/>
  <c r="FU249" i="10"/>
  <c r="FV249" i="10"/>
  <c r="FY249" i="10"/>
  <c r="FZ249" i="10"/>
  <c r="GA249" i="10"/>
  <c r="GB249" i="10"/>
  <c r="GC249" i="10"/>
  <c r="GD249" i="10"/>
  <c r="GE249" i="10"/>
  <c r="GF249" i="10"/>
  <c r="GG249" i="10"/>
  <c r="FY250" i="10"/>
  <c r="FZ250" i="10"/>
  <c r="GA250" i="10"/>
  <c r="GB250" i="10"/>
  <c r="GC250" i="10"/>
  <c r="GD250" i="10"/>
  <c r="GE250" i="10"/>
  <c r="GF250" i="10"/>
  <c r="GG250" i="10"/>
  <c r="FZ251" i="10"/>
  <c r="GA251" i="10"/>
  <c r="GB251" i="10"/>
  <c r="GC251" i="10"/>
  <c r="GD251" i="10"/>
  <c r="GE251" i="10"/>
  <c r="GF251" i="10"/>
  <c r="GG251" i="10"/>
  <c r="FU252" i="10"/>
  <c r="FV252" i="10"/>
  <c r="FY252" i="10"/>
  <c r="FZ252" i="10"/>
  <c r="GA252" i="10"/>
  <c r="GB252" i="10"/>
  <c r="GC252" i="10"/>
  <c r="GD252" i="10"/>
  <c r="GE252" i="10"/>
  <c r="GF252" i="10"/>
  <c r="GG252" i="10"/>
  <c r="FY253" i="10"/>
  <c r="FU253" i="10"/>
  <c r="FX253" i="10"/>
  <c r="FZ253" i="10"/>
  <c r="GA253" i="10"/>
  <c r="GB253" i="10"/>
  <c r="GC253" i="10"/>
  <c r="GD253" i="10"/>
  <c r="GE253" i="10"/>
  <c r="GF253" i="10"/>
  <c r="GG253" i="10"/>
  <c r="FZ254" i="10"/>
  <c r="GA254" i="10"/>
  <c r="GB254" i="10"/>
  <c r="GC254" i="10"/>
  <c r="GD254" i="10"/>
  <c r="GE254" i="10"/>
  <c r="GF254" i="10"/>
  <c r="GG254" i="10"/>
  <c r="FU255" i="10"/>
  <c r="FY255" i="10"/>
  <c r="FZ255" i="10"/>
  <c r="GA255" i="10"/>
  <c r="GB255" i="10"/>
  <c r="GC255" i="10"/>
  <c r="GD255" i="10"/>
  <c r="GE255" i="10"/>
  <c r="GF255" i="10"/>
  <c r="GG255" i="10"/>
  <c r="FY256" i="10"/>
  <c r="FU256" i="10"/>
  <c r="FX256" i="10"/>
  <c r="FZ256" i="10"/>
  <c r="GA256" i="10"/>
  <c r="GB256" i="10"/>
  <c r="GC256" i="10"/>
  <c r="GD256" i="10"/>
  <c r="GE256" i="10"/>
  <c r="GF256" i="10"/>
  <c r="GG256" i="10"/>
  <c r="FZ257" i="10"/>
  <c r="GA257" i="10"/>
  <c r="GB257" i="10"/>
  <c r="GC257" i="10"/>
  <c r="GD257" i="10"/>
  <c r="GE257" i="10"/>
  <c r="GF257" i="10"/>
  <c r="GG257" i="10"/>
  <c r="FU258" i="10"/>
  <c r="FV258" i="10"/>
  <c r="FY258" i="10"/>
  <c r="FZ258" i="10"/>
  <c r="GA258" i="10"/>
  <c r="GB258" i="10"/>
  <c r="GC258" i="10"/>
  <c r="GD258" i="10"/>
  <c r="GE258" i="10"/>
  <c r="GF258" i="10"/>
  <c r="GG258" i="10"/>
  <c r="FZ259" i="10"/>
  <c r="GA259" i="10"/>
  <c r="GB259" i="10"/>
  <c r="GC259" i="10"/>
  <c r="GD259" i="10"/>
  <c r="GE259" i="10"/>
  <c r="GF259" i="10"/>
  <c r="GG259" i="10"/>
  <c r="FZ260" i="10"/>
  <c r="GA260" i="10"/>
  <c r="GB260" i="10"/>
  <c r="GC260" i="10"/>
  <c r="GD260" i="10"/>
  <c r="GE260" i="10"/>
  <c r="GF260" i="10"/>
  <c r="GG260" i="10"/>
  <c r="FU261" i="10"/>
  <c r="FV261" i="10"/>
  <c r="FY261" i="10"/>
  <c r="FZ261" i="10"/>
  <c r="GA261" i="10"/>
  <c r="GB261" i="10"/>
  <c r="GC261" i="10"/>
  <c r="GD261" i="10"/>
  <c r="GE261" i="10"/>
  <c r="GF261" i="10"/>
  <c r="GG261" i="10"/>
  <c r="FY262" i="10"/>
  <c r="FZ262" i="10"/>
  <c r="GA262" i="10"/>
  <c r="GB262" i="10"/>
  <c r="GC262" i="10"/>
  <c r="GD262" i="10"/>
  <c r="GE262" i="10"/>
  <c r="GF262" i="10"/>
  <c r="GG262" i="10"/>
  <c r="FZ263" i="10"/>
  <c r="GA263" i="10"/>
  <c r="GB263" i="10"/>
  <c r="GC263" i="10"/>
  <c r="GD263" i="10"/>
  <c r="GE263" i="10"/>
  <c r="GF263" i="10"/>
  <c r="GG263" i="10"/>
  <c r="FU264" i="10"/>
  <c r="FY264" i="10"/>
  <c r="FZ264" i="10"/>
  <c r="GA264" i="10"/>
  <c r="GB264" i="10"/>
  <c r="GC264" i="10"/>
  <c r="GD264" i="10"/>
  <c r="GE264" i="10"/>
  <c r="GF264" i="10"/>
  <c r="GG264" i="10"/>
  <c r="FY265" i="10"/>
  <c r="FU265" i="10"/>
  <c r="FX265" i="10"/>
  <c r="FZ265" i="10"/>
  <c r="GA265" i="10"/>
  <c r="GB265" i="10"/>
  <c r="GC265" i="10"/>
  <c r="GD265" i="10"/>
  <c r="GE265" i="10"/>
  <c r="GF265" i="10"/>
  <c r="GG265" i="10"/>
  <c r="FZ266" i="10"/>
  <c r="GA266" i="10"/>
  <c r="GB266" i="10"/>
  <c r="GC266" i="10"/>
  <c r="GD266" i="10"/>
  <c r="GE266" i="10"/>
  <c r="GF266" i="10"/>
  <c r="GG266" i="10"/>
  <c r="FY267" i="10"/>
  <c r="FZ267" i="10"/>
  <c r="GA267" i="10"/>
  <c r="GB267" i="10"/>
  <c r="GC267" i="10"/>
  <c r="GD267" i="10"/>
  <c r="GE267" i="10"/>
  <c r="GF267" i="10"/>
  <c r="GG267" i="10"/>
  <c r="FU268" i="10"/>
  <c r="FY268" i="10"/>
  <c r="FZ268" i="10"/>
  <c r="GA268" i="10"/>
  <c r="GB268" i="10"/>
  <c r="GC268" i="10"/>
  <c r="GD268" i="10"/>
  <c r="GE268" i="10"/>
  <c r="GF268" i="10"/>
  <c r="GG268" i="10"/>
  <c r="FZ269" i="10"/>
  <c r="GA269" i="10"/>
  <c r="GB269" i="10"/>
  <c r="GC269" i="10"/>
  <c r="GD269" i="10"/>
  <c r="GE269" i="10"/>
  <c r="GF269" i="10"/>
  <c r="GG269" i="10"/>
  <c r="FY270" i="10"/>
  <c r="FU270" i="10"/>
  <c r="FW270" i="10"/>
  <c r="FZ270" i="10"/>
  <c r="GA270" i="10"/>
  <c r="GB270" i="10"/>
  <c r="GC270" i="10"/>
  <c r="GD270" i="10"/>
  <c r="GE270" i="10"/>
  <c r="GF270" i="10"/>
  <c r="GG270" i="10"/>
  <c r="FY271" i="10"/>
  <c r="FU271" i="10"/>
  <c r="FZ271" i="10"/>
  <c r="GA271" i="10"/>
  <c r="GB271" i="10"/>
  <c r="GC271" i="10"/>
  <c r="GD271" i="10"/>
  <c r="GE271" i="10"/>
  <c r="GF271" i="10"/>
  <c r="GG271" i="10"/>
  <c r="FZ272" i="10"/>
  <c r="GA272" i="10"/>
  <c r="GB272" i="10"/>
  <c r="GC272" i="10"/>
  <c r="GD272" i="10"/>
  <c r="GE272" i="10"/>
  <c r="GF272" i="10"/>
  <c r="GG272" i="10"/>
  <c r="FU273" i="10"/>
  <c r="FX273" i="10"/>
  <c r="FY273" i="10"/>
  <c r="FZ273" i="10"/>
  <c r="GA273" i="10"/>
  <c r="GB273" i="10"/>
  <c r="GC273" i="10"/>
  <c r="GD273" i="10"/>
  <c r="GE273" i="10"/>
  <c r="GF273" i="10"/>
  <c r="GG273" i="10"/>
  <c r="FU274" i="10"/>
  <c r="FV274" i="10"/>
  <c r="FY274" i="10"/>
  <c r="FZ274" i="10"/>
  <c r="GA274" i="10"/>
  <c r="GB274" i="10"/>
  <c r="GC274" i="10"/>
  <c r="GD274" i="10"/>
  <c r="GE274" i="10"/>
  <c r="GF274" i="10"/>
  <c r="GG274" i="10"/>
  <c r="FZ275" i="10"/>
  <c r="GA275" i="10"/>
  <c r="GB275" i="10"/>
  <c r="GC275" i="10"/>
  <c r="GD275" i="10"/>
  <c r="GE275" i="10"/>
  <c r="GF275" i="10"/>
  <c r="GG275" i="10"/>
  <c r="FU276" i="10"/>
  <c r="FV276" i="10"/>
  <c r="FY276" i="10"/>
  <c r="FZ276" i="10"/>
  <c r="GA276" i="10"/>
  <c r="GB276" i="10"/>
  <c r="GC276" i="10"/>
  <c r="GD276" i="10"/>
  <c r="GE276" i="10"/>
  <c r="GF276" i="10"/>
  <c r="GG276" i="10"/>
  <c r="FZ277" i="10"/>
  <c r="GA277" i="10"/>
  <c r="GB277" i="10"/>
  <c r="GC277" i="10"/>
  <c r="GD277" i="10"/>
  <c r="GE277" i="10"/>
  <c r="GF277" i="10"/>
  <c r="GG277" i="10"/>
  <c r="FU278" i="10"/>
  <c r="FY278" i="10"/>
  <c r="FZ278" i="10"/>
  <c r="GA278" i="10"/>
  <c r="GB278" i="10"/>
  <c r="GC278" i="10"/>
  <c r="GD278" i="10"/>
  <c r="GE278" i="10"/>
  <c r="GF278" i="10"/>
  <c r="GG278" i="10"/>
  <c r="FU279" i="10"/>
  <c r="FW279" i="10"/>
  <c r="FY279" i="10"/>
  <c r="FZ279" i="10"/>
  <c r="GA279" i="10"/>
  <c r="GB279" i="10"/>
  <c r="GC279" i="10"/>
  <c r="GD279" i="10"/>
  <c r="GE279" i="10"/>
  <c r="GF279" i="10"/>
  <c r="GG279" i="10"/>
  <c r="FZ280" i="10"/>
  <c r="GA280" i="10"/>
  <c r="GB280" i="10"/>
  <c r="GC280" i="10"/>
  <c r="GD280" i="10"/>
  <c r="GE280" i="10"/>
  <c r="GF280" i="10"/>
  <c r="GG280" i="10"/>
  <c r="FU281" i="10"/>
  <c r="FY281" i="10"/>
  <c r="FZ281" i="10"/>
  <c r="GA281" i="10"/>
  <c r="GB281" i="10"/>
  <c r="GC281" i="10"/>
  <c r="GD281" i="10"/>
  <c r="GE281" i="10"/>
  <c r="GF281" i="10"/>
  <c r="GG281" i="10"/>
  <c r="FU282" i="10"/>
  <c r="FX282" i="10"/>
  <c r="FY282" i="10"/>
  <c r="FZ282" i="10"/>
  <c r="GA282" i="10"/>
  <c r="GB282" i="10"/>
  <c r="GC282" i="10"/>
  <c r="GD282" i="10"/>
  <c r="GE282" i="10"/>
  <c r="GF282" i="10"/>
  <c r="GG282" i="10"/>
  <c r="FZ283" i="10"/>
  <c r="GA283" i="10"/>
  <c r="GB283" i="10"/>
  <c r="GC283" i="10"/>
  <c r="GD283" i="10"/>
  <c r="GE283" i="10"/>
  <c r="GF283" i="10"/>
  <c r="GG283" i="10"/>
  <c r="FU284" i="10"/>
  <c r="FY284" i="10"/>
  <c r="FZ284" i="10"/>
  <c r="GA284" i="10"/>
  <c r="GB284" i="10"/>
  <c r="GC284" i="10"/>
  <c r="GD284" i="10"/>
  <c r="GE284" i="10"/>
  <c r="GF284" i="10"/>
  <c r="GG284" i="10"/>
  <c r="FU285" i="10"/>
  <c r="FV285" i="10"/>
  <c r="FY285" i="10"/>
  <c r="FZ285" i="10"/>
  <c r="GA285" i="10"/>
  <c r="GB285" i="10"/>
  <c r="GC285" i="10"/>
  <c r="GD285" i="10"/>
  <c r="GE285" i="10"/>
  <c r="GF285" i="10"/>
  <c r="GG285" i="10"/>
  <c r="FZ286" i="10"/>
  <c r="GA286" i="10"/>
  <c r="GB286" i="10"/>
  <c r="GC286" i="10"/>
  <c r="GD286" i="10"/>
  <c r="GE286" i="10"/>
  <c r="GF286" i="10"/>
  <c r="GG286" i="10"/>
  <c r="FU287" i="10"/>
  <c r="FY287" i="10"/>
  <c r="FZ287" i="10"/>
  <c r="GA287" i="10"/>
  <c r="GB287" i="10"/>
  <c r="GC287" i="10"/>
  <c r="GD287" i="10"/>
  <c r="GE287" i="10"/>
  <c r="GF287" i="10"/>
  <c r="GG287" i="10"/>
  <c r="FU288" i="10"/>
  <c r="FW288" i="10"/>
  <c r="FY288" i="10"/>
  <c r="FZ288" i="10"/>
  <c r="GA288" i="10"/>
  <c r="GB288" i="10"/>
  <c r="GC288" i="10"/>
  <c r="GD288" i="10"/>
  <c r="GE288" i="10"/>
  <c r="GF288" i="10"/>
  <c r="GG288" i="10"/>
  <c r="FZ289" i="10"/>
  <c r="GA289" i="10"/>
  <c r="GB289" i="10"/>
  <c r="GC289" i="10"/>
  <c r="GD289" i="10"/>
  <c r="GE289" i="10"/>
  <c r="GF289" i="10"/>
  <c r="GG289" i="10"/>
  <c r="FU290" i="10"/>
  <c r="FV290" i="10"/>
  <c r="FY290" i="10"/>
  <c r="FZ290" i="10"/>
  <c r="GA290" i="10"/>
  <c r="GB290" i="10"/>
  <c r="GC290" i="10"/>
  <c r="GD290" i="10"/>
  <c r="GE290" i="10"/>
  <c r="GF290" i="10"/>
  <c r="GG290" i="10"/>
  <c r="FU291" i="10"/>
  <c r="FX291" i="10"/>
  <c r="FY291" i="10"/>
  <c r="FZ291" i="10"/>
  <c r="GA291" i="10"/>
  <c r="GB291" i="10"/>
  <c r="GC291" i="10"/>
  <c r="GD291" i="10"/>
  <c r="GE291" i="10"/>
  <c r="GF291" i="10"/>
  <c r="GG291" i="10"/>
  <c r="FZ292" i="10"/>
  <c r="GA292" i="10"/>
  <c r="GB292" i="10"/>
  <c r="GC292" i="10"/>
  <c r="GD292" i="10"/>
  <c r="GE292" i="10"/>
  <c r="GF292" i="10"/>
  <c r="GG292" i="10"/>
  <c r="FU293" i="10"/>
  <c r="FV293" i="10"/>
  <c r="FY293" i="10"/>
  <c r="FZ293" i="10"/>
  <c r="GA293" i="10"/>
  <c r="GB293" i="10"/>
  <c r="GC293" i="10"/>
  <c r="GD293" i="10"/>
  <c r="GE293" i="10"/>
  <c r="GF293" i="10"/>
  <c r="GG293" i="10"/>
  <c r="FU294" i="10"/>
  <c r="FV294" i="10"/>
  <c r="FY294" i="10"/>
  <c r="FZ294" i="10"/>
  <c r="GA294" i="10"/>
  <c r="GB294" i="10"/>
  <c r="GC294" i="10"/>
  <c r="GD294" i="10"/>
  <c r="GE294" i="10"/>
  <c r="GF294" i="10"/>
  <c r="GG294" i="10"/>
  <c r="FZ295" i="10"/>
  <c r="GA295" i="10"/>
  <c r="GB295" i="10"/>
  <c r="GC295" i="10"/>
  <c r="GD295" i="10"/>
  <c r="GE295" i="10"/>
  <c r="GF295" i="10"/>
  <c r="GG295" i="10"/>
  <c r="FU296" i="10"/>
  <c r="FV296" i="10"/>
  <c r="FY296" i="10"/>
  <c r="FZ296" i="10"/>
  <c r="GA296" i="10"/>
  <c r="GB296" i="10"/>
  <c r="GC296" i="10"/>
  <c r="GD296" i="10"/>
  <c r="GE296" i="10"/>
  <c r="GF296" i="10"/>
  <c r="GG296" i="10"/>
  <c r="FU297" i="10"/>
  <c r="FX297" i="10"/>
  <c r="FY297" i="10"/>
  <c r="FZ297" i="10"/>
  <c r="GA297" i="10"/>
  <c r="GB297" i="10"/>
  <c r="GC297" i="10"/>
  <c r="GD297" i="10"/>
  <c r="GE297" i="10"/>
  <c r="GF297" i="10"/>
  <c r="GG297" i="10"/>
  <c r="FZ298" i="10"/>
  <c r="GA298" i="10"/>
  <c r="GB298" i="10"/>
  <c r="GC298" i="10"/>
  <c r="GD298" i="10"/>
  <c r="GE298" i="10"/>
  <c r="GF298" i="10"/>
  <c r="GG298" i="10"/>
  <c r="FU299" i="10"/>
  <c r="FY299" i="10"/>
  <c r="FZ299" i="10"/>
  <c r="GA299" i="10"/>
  <c r="GB299" i="10"/>
  <c r="GC299" i="10"/>
  <c r="GD299" i="10"/>
  <c r="GE299" i="10"/>
  <c r="GF299" i="10"/>
  <c r="GG299" i="10"/>
  <c r="FU300" i="10"/>
  <c r="FV300" i="10"/>
  <c r="FY300" i="10"/>
  <c r="FZ300" i="10"/>
  <c r="GA300" i="10"/>
  <c r="GB300" i="10"/>
  <c r="GC300" i="10"/>
  <c r="GD300" i="10"/>
  <c r="GE300" i="10"/>
  <c r="GF300" i="10"/>
  <c r="GG300" i="10"/>
  <c r="FZ301" i="10"/>
  <c r="GA301" i="10"/>
  <c r="GB301" i="10"/>
  <c r="GC301" i="10"/>
  <c r="GD301" i="10"/>
  <c r="GE301" i="10"/>
  <c r="GF301" i="10"/>
  <c r="GG301" i="10"/>
  <c r="FU302" i="10"/>
  <c r="FV302" i="10"/>
  <c r="FY302" i="10"/>
  <c r="FZ302" i="10"/>
  <c r="GA302" i="10"/>
  <c r="GB302" i="10"/>
  <c r="GC302" i="10"/>
  <c r="GD302" i="10"/>
  <c r="GE302" i="10"/>
  <c r="GF302" i="10"/>
  <c r="GG302" i="10"/>
  <c r="FU303" i="10"/>
  <c r="FV303" i="10"/>
  <c r="FY303" i="10"/>
  <c r="FZ303" i="10"/>
  <c r="GA303" i="10"/>
  <c r="GB303" i="10"/>
  <c r="GC303" i="10"/>
  <c r="GD303" i="10"/>
  <c r="GE303" i="10"/>
  <c r="GF303" i="10"/>
  <c r="GG303" i="10"/>
  <c r="FZ304" i="10"/>
  <c r="GA304" i="10"/>
  <c r="GB304" i="10"/>
  <c r="GC304" i="10"/>
  <c r="GD304" i="10"/>
  <c r="GE304" i="10"/>
  <c r="GF304" i="10"/>
  <c r="GG304" i="10"/>
  <c r="FU305" i="10"/>
  <c r="FV305" i="10"/>
  <c r="FY305" i="10"/>
  <c r="FZ305" i="10"/>
  <c r="GA305" i="10"/>
  <c r="GB305" i="10"/>
  <c r="GC305" i="10"/>
  <c r="GD305" i="10"/>
  <c r="GE305" i="10"/>
  <c r="GF305" i="10"/>
  <c r="GG305" i="10"/>
  <c r="FU306" i="10"/>
  <c r="FV306" i="10"/>
  <c r="FY306" i="10"/>
  <c r="FZ306" i="10"/>
  <c r="GA306" i="10"/>
  <c r="GB306" i="10"/>
  <c r="GC306" i="10"/>
  <c r="GD306" i="10"/>
  <c r="GE306" i="10"/>
  <c r="GF306" i="10"/>
  <c r="GG306" i="10"/>
  <c r="FZ307" i="10"/>
  <c r="GA307" i="10"/>
  <c r="GB307" i="10"/>
  <c r="GC307" i="10"/>
  <c r="GD307" i="10"/>
  <c r="GE307" i="10"/>
  <c r="GF307" i="10"/>
  <c r="GG307" i="10"/>
  <c r="FU308" i="10"/>
  <c r="FV308" i="10"/>
  <c r="FZ308" i="10"/>
  <c r="GA308" i="10"/>
  <c r="GB308" i="10"/>
  <c r="GC308" i="10"/>
  <c r="GD308" i="10"/>
  <c r="GE308" i="10"/>
  <c r="GF308" i="10"/>
  <c r="GG308" i="10"/>
  <c r="FU309" i="10"/>
  <c r="FV309" i="10"/>
  <c r="FY309" i="10"/>
  <c r="FZ309" i="10"/>
  <c r="GA309" i="10"/>
  <c r="GB309" i="10"/>
  <c r="GC309" i="10"/>
  <c r="GD309" i="10"/>
  <c r="GE309" i="10"/>
  <c r="GF309" i="10"/>
  <c r="GG309" i="10"/>
  <c r="FU310" i="10"/>
  <c r="FW310" i="10"/>
  <c r="FZ310" i="10"/>
  <c r="GA310" i="10"/>
  <c r="GB310" i="10"/>
  <c r="GC310" i="10"/>
  <c r="GD310" i="10"/>
  <c r="GE310" i="10"/>
  <c r="GF310" i="10"/>
  <c r="GG310" i="10"/>
  <c r="FU311" i="10"/>
  <c r="FZ311" i="10"/>
  <c r="GA311" i="10"/>
  <c r="GB311" i="10"/>
  <c r="GC311" i="10"/>
  <c r="GD311" i="10"/>
  <c r="GE311" i="10"/>
  <c r="GF311" i="10"/>
  <c r="GG311" i="10"/>
  <c r="FU312" i="10"/>
  <c r="FV312" i="10"/>
  <c r="FY312" i="10"/>
  <c r="FZ312" i="10"/>
  <c r="GA312" i="10"/>
  <c r="GB312" i="10"/>
  <c r="GC312" i="10"/>
  <c r="GD312" i="10"/>
  <c r="GE312" i="10"/>
  <c r="GF312" i="10"/>
  <c r="GG312" i="10"/>
  <c r="FU313" i="10"/>
  <c r="FW313" i="10"/>
  <c r="FZ313" i="10"/>
  <c r="GA313" i="10"/>
  <c r="GB313" i="10"/>
  <c r="GC313" i="10"/>
  <c r="GD313" i="10"/>
  <c r="GE313" i="10"/>
  <c r="GF313" i="10"/>
  <c r="GG313" i="10"/>
  <c r="FU314" i="10"/>
  <c r="FV314" i="10"/>
  <c r="FY314" i="10"/>
  <c r="FZ314" i="10"/>
  <c r="GA314" i="10"/>
  <c r="GB314" i="10"/>
  <c r="GC314" i="10"/>
  <c r="GD314" i="10"/>
  <c r="GE314" i="10"/>
  <c r="GF314" i="10"/>
  <c r="GG314" i="10"/>
  <c r="FU315" i="10"/>
  <c r="FV315" i="10"/>
  <c r="FY315" i="10"/>
  <c r="FZ315" i="10"/>
  <c r="GA315" i="10"/>
  <c r="GB315" i="10"/>
  <c r="GC315" i="10"/>
  <c r="GD315" i="10"/>
  <c r="GE315" i="10"/>
  <c r="GF315" i="10"/>
  <c r="GG315" i="10"/>
  <c r="FU316" i="10"/>
  <c r="FW316" i="10"/>
  <c r="FZ316" i="10"/>
  <c r="GA316" i="10"/>
  <c r="GB316" i="10"/>
  <c r="GC316" i="10"/>
  <c r="GD316" i="10"/>
  <c r="GE316" i="10"/>
  <c r="GF316" i="10"/>
  <c r="GG316" i="10"/>
  <c r="FU317" i="10"/>
  <c r="FV317" i="10"/>
  <c r="FZ317" i="10"/>
  <c r="GA317" i="10"/>
  <c r="GB317" i="10"/>
  <c r="GC317" i="10"/>
  <c r="GD317" i="10"/>
  <c r="GE317" i="10"/>
  <c r="GF317" i="10"/>
  <c r="GG317" i="10"/>
  <c r="FU318" i="10"/>
  <c r="FW318" i="10"/>
  <c r="FY318" i="10"/>
  <c r="FZ318" i="10"/>
  <c r="GA318" i="10"/>
  <c r="GB318" i="10"/>
  <c r="GC318" i="10"/>
  <c r="GD318" i="10"/>
  <c r="GE318" i="10"/>
  <c r="GF318" i="10"/>
  <c r="GG318" i="10"/>
  <c r="FU319" i="10"/>
  <c r="FX319" i="10"/>
  <c r="FZ319" i="10"/>
  <c r="GA319" i="10"/>
  <c r="GB319" i="10"/>
  <c r="GC319" i="10"/>
  <c r="GD319" i="10"/>
  <c r="GE319" i="10"/>
  <c r="GF319" i="10"/>
  <c r="GG319" i="10"/>
  <c r="FU320" i="10"/>
  <c r="FV320" i="10"/>
  <c r="FY320" i="10"/>
  <c r="FZ320" i="10"/>
  <c r="GA320" i="10"/>
  <c r="GB320" i="10"/>
  <c r="GC320" i="10"/>
  <c r="GD320" i="10"/>
  <c r="GE320" i="10"/>
  <c r="GF320" i="10"/>
  <c r="GG320" i="10"/>
  <c r="FU321" i="10"/>
  <c r="FW321" i="10"/>
  <c r="FY321" i="10"/>
  <c r="FZ321" i="10"/>
  <c r="GA321" i="10"/>
  <c r="GB321" i="10"/>
  <c r="GC321" i="10"/>
  <c r="GD321" i="10"/>
  <c r="GE321" i="10"/>
  <c r="GF321" i="10"/>
  <c r="GG321" i="10"/>
  <c r="FU322" i="10"/>
  <c r="FX322" i="10"/>
  <c r="FY322" i="10"/>
  <c r="FZ322" i="10"/>
  <c r="GA322" i="10"/>
  <c r="GB322" i="10"/>
  <c r="GC322" i="10"/>
  <c r="GD322" i="10"/>
  <c r="GE322" i="10"/>
  <c r="GF322" i="10"/>
  <c r="GG322" i="10"/>
  <c r="FU323" i="10"/>
  <c r="FV323" i="10"/>
  <c r="FZ323" i="10"/>
  <c r="GA323" i="10"/>
  <c r="GB323" i="10"/>
  <c r="GC323" i="10"/>
  <c r="GD323" i="10"/>
  <c r="GE323" i="10"/>
  <c r="GF323" i="10"/>
  <c r="GG323" i="10"/>
  <c r="FU324" i="10"/>
  <c r="FW324" i="10"/>
  <c r="FY324" i="10"/>
  <c r="FZ324" i="10"/>
  <c r="GA324" i="10"/>
  <c r="GB324" i="10"/>
  <c r="GC324" i="10"/>
  <c r="GD324" i="10"/>
  <c r="GE324" i="10"/>
  <c r="GF324" i="10"/>
  <c r="GG324" i="10"/>
  <c r="FU325" i="10"/>
  <c r="FW325" i="10"/>
  <c r="FZ325" i="10"/>
  <c r="GA325" i="10"/>
  <c r="GB325" i="10"/>
  <c r="GC325" i="10"/>
  <c r="GD325" i="10"/>
  <c r="GE325" i="10"/>
  <c r="GF325" i="10"/>
  <c r="GG325" i="10"/>
  <c r="FU326" i="10"/>
  <c r="FV326" i="10"/>
  <c r="FY326" i="10"/>
  <c r="FZ326" i="10"/>
  <c r="GA326" i="10"/>
  <c r="GB326" i="10"/>
  <c r="GC326" i="10"/>
  <c r="GD326" i="10"/>
  <c r="GE326" i="10"/>
  <c r="GF326" i="10"/>
  <c r="GG326" i="10"/>
  <c r="FU327" i="10"/>
  <c r="FV327" i="10"/>
  <c r="FY327" i="10"/>
  <c r="FZ327" i="10"/>
  <c r="GA327" i="10"/>
  <c r="GB327" i="10"/>
  <c r="GC327" i="10"/>
  <c r="GD327" i="10"/>
  <c r="GE327" i="10"/>
  <c r="GF327" i="10"/>
  <c r="GG327" i="10"/>
  <c r="FU328" i="10"/>
  <c r="FV328" i="10"/>
  <c r="FY328" i="10"/>
  <c r="FZ328" i="10"/>
  <c r="GA328" i="10"/>
  <c r="GB328" i="10"/>
  <c r="GC328" i="10"/>
  <c r="GD328" i="10"/>
  <c r="GE328" i="10"/>
  <c r="GF328" i="10"/>
  <c r="GG328" i="10"/>
  <c r="FU329" i="10"/>
  <c r="FZ329" i="10"/>
  <c r="GA329" i="10"/>
  <c r="GB329" i="10"/>
  <c r="GC329" i="10"/>
  <c r="GD329" i="10"/>
  <c r="GE329" i="10"/>
  <c r="GF329" i="10"/>
  <c r="GG329" i="10"/>
  <c r="FU330" i="10"/>
  <c r="FX330" i="10"/>
  <c r="FY330" i="10"/>
  <c r="FZ330" i="10"/>
  <c r="GA330" i="10"/>
  <c r="GB330" i="10"/>
  <c r="GC330" i="10"/>
  <c r="GD330" i="10"/>
  <c r="GE330" i="10"/>
  <c r="GF330" i="10"/>
  <c r="GG330" i="10"/>
  <c r="FU331" i="10"/>
  <c r="FX331" i="10"/>
  <c r="FZ331" i="10"/>
  <c r="GA331" i="10"/>
  <c r="GB331" i="10"/>
  <c r="GC331" i="10"/>
  <c r="GD331" i="10"/>
  <c r="GE331" i="10"/>
  <c r="GF331" i="10"/>
  <c r="GG331" i="10"/>
  <c r="FU332" i="10"/>
  <c r="FW332" i="10"/>
  <c r="FY332" i="10"/>
  <c r="FZ332" i="10"/>
  <c r="GA332" i="10"/>
  <c r="GB332" i="10"/>
  <c r="GC332" i="10"/>
  <c r="GD332" i="10"/>
  <c r="GE332" i="10"/>
  <c r="GF332" i="10"/>
  <c r="GG332" i="10"/>
  <c r="FU333" i="10"/>
  <c r="FW333" i="10"/>
  <c r="FY333" i="10"/>
  <c r="FZ333" i="10"/>
  <c r="GA333" i="10"/>
  <c r="GB333" i="10"/>
  <c r="GC333" i="10"/>
  <c r="GD333" i="10"/>
  <c r="GE333" i="10"/>
  <c r="GF333" i="10"/>
  <c r="GG333" i="10"/>
  <c r="FU334" i="10"/>
  <c r="FV334" i="10"/>
  <c r="FZ334" i="10"/>
  <c r="GA334" i="10"/>
  <c r="GB334" i="10"/>
  <c r="GC334" i="10"/>
  <c r="GD334" i="10"/>
  <c r="GE334" i="10"/>
  <c r="GF334" i="10"/>
  <c r="GG334" i="10"/>
  <c r="FU335" i="10"/>
  <c r="FW335" i="10"/>
  <c r="FY335" i="10"/>
  <c r="FZ335" i="10"/>
  <c r="GA335" i="10"/>
  <c r="GB335" i="10"/>
  <c r="GC335" i="10"/>
  <c r="GD335" i="10"/>
  <c r="GE335" i="10"/>
  <c r="GF335" i="10"/>
  <c r="GG335" i="10"/>
  <c r="FU336" i="10"/>
  <c r="FW336" i="10"/>
  <c r="FY336" i="10"/>
  <c r="FZ336" i="10"/>
  <c r="GA336" i="10"/>
  <c r="GB336" i="10"/>
  <c r="GC336" i="10"/>
  <c r="GD336" i="10"/>
  <c r="GE336" i="10"/>
  <c r="GF336" i="10"/>
  <c r="GG336" i="10"/>
  <c r="FU337" i="10"/>
  <c r="FW337" i="10"/>
  <c r="FZ337" i="10"/>
  <c r="GA337" i="10"/>
  <c r="GB337" i="10"/>
  <c r="GC337" i="10"/>
  <c r="GD337" i="10"/>
  <c r="GE337" i="10"/>
  <c r="GF337" i="10"/>
  <c r="GG337" i="10"/>
  <c r="FU338" i="10"/>
  <c r="FW338" i="10"/>
  <c r="FZ338" i="10"/>
  <c r="GA338" i="10"/>
  <c r="GB338" i="10"/>
  <c r="GC338" i="10"/>
  <c r="GD338" i="10"/>
  <c r="GE338" i="10"/>
  <c r="GF338" i="10"/>
  <c r="GG338" i="10"/>
  <c r="FU339" i="10"/>
  <c r="FV339" i="10"/>
  <c r="FY339" i="10"/>
  <c r="FZ339" i="10"/>
  <c r="GA339" i="10"/>
  <c r="GB339" i="10"/>
  <c r="GC339" i="10"/>
  <c r="GD339" i="10"/>
  <c r="GE339" i="10"/>
  <c r="GF339" i="10"/>
  <c r="GG339" i="10"/>
  <c r="FU340" i="10"/>
  <c r="FV340" i="10"/>
  <c r="FY340" i="10"/>
  <c r="FZ340" i="10"/>
  <c r="GA340" i="10"/>
  <c r="GB340" i="10"/>
  <c r="GC340" i="10"/>
  <c r="GD340" i="10"/>
  <c r="GE340" i="10"/>
  <c r="GF340" i="10"/>
  <c r="GG340" i="10"/>
  <c r="FU341" i="10"/>
  <c r="FW341" i="10"/>
  <c r="FY341" i="10"/>
  <c r="FZ341" i="10"/>
  <c r="GA341" i="10"/>
  <c r="GB341" i="10"/>
  <c r="GC341" i="10"/>
  <c r="GD341" i="10"/>
  <c r="GE341" i="10"/>
  <c r="GF341" i="10"/>
  <c r="GG341" i="10"/>
  <c r="FU342" i="10"/>
  <c r="FX342" i="10"/>
  <c r="FY342" i="10"/>
  <c r="FZ342" i="10"/>
  <c r="GA342" i="10"/>
  <c r="GB342" i="10"/>
  <c r="GC342" i="10"/>
  <c r="GD342" i="10"/>
  <c r="GE342" i="10"/>
  <c r="GF342" i="10"/>
  <c r="GG342" i="10"/>
  <c r="FU343" i="10"/>
  <c r="FV343" i="10"/>
  <c r="FY343" i="10"/>
  <c r="FZ343" i="10"/>
  <c r="GA343" i="10"/>
  <c r="GB343" i="10"/>
  <c r="GC343" i="10"/>
  <c r="GD343" i="10"/>
  <c r="GE343" i="10"/>
  <c r="GF343" i="10"/>
  <c r="GG343" i="10"/>
  <c r="FU344" i="10"/>
  <c r="FW344" i="10"/>
  <c r="FY344" i="10"/>
  <c r="FZ344" i="10"/>
  <c r="GA344" i="10"/>
  <c r="GB344" i="10"/>
  <c r="GC344" i="10"/>
  <c r="GD344" i="10"/>
  <c r="GE344" i="10"/>
  <c r="GF344" i="10"/>
  <c r="GG344" i="10"/>
  <c r="FU345" i="10"/>
  <c r="FV345" i="10"/>
  <c r="FY345" i="10"/>
  <c r="FZ345" i="10"/>
  <c r="GA345" i="10"/>
  <c r="GB345" i="10"/>
  <c r="GC345" i="10"/>
  <c r="GD345" i="10"/>
  <c r="GE345" i="10"/>
  <c r="GF345" i="10"/>
  <c r="GG345" i="10"/>
  <c r="FU346" i="10"/>
  <c r="FV346" i="10"/>
  <c r="FZ346" i="10"/>
  <c r="GA346" i="10"/>
  <c r="GB346" i="10"/>
  <c r="GC346" i="10"/>
  <c r="GD346" i="10"/>
  <c r="GE346" i="10"/>
  <c r="GF346" i="10"/>
  <c r="GG346" i="10"/>
  <c r="FU347" i="10"/>
  <c r="FW347" i="10"/>
  <c r="FZ347" i="10"/>
  <c r="GA347" i="10"/>
  <c r="GB347" i="10"/>
  <c r="GC347" i="10"/>
  <c r="GD347" i="10"/>
  <c r="GE347" i="10"/>
  <c r="GF347" i="10"/>
  <c r="GG347" i="10"/>
  <c r="FU348" i="10"/>
  <c r="FX348" i="10"/>
  <c r="FY348" i="10"/>
  <c r="FZ348" i="10"/>
  <c r="GA348" i="10"/>
  <c r="GB348" i="10"/>
  <c r="GC348" i="10"/>
  <c r="GD348" i="10"/>
  <c r="GE348" i="10"/>
  <c r="GF348" i="10"/>
  <c r="GG348" i="10"/>
  <c r="FU349" i="10"/>
  <c r="FV349" i="10"/>
  <c r="FY349" i="10"/>
  <c r="FZ349" i="10"/>
  <c r="GA349" i="10"/>
  <c r="GB349" i="10"/>
  <c r="GC349" i="10"/>
  <c r="GD349" i="10"/>
  <c r="GE349" i="10"/>
  <c r="GF349" i="10"/>
  <c r="GG349" i="10"/>
  <c r="FU350" i="10"/>
  <c r="FW350" i="10"/>
  <c r="FZ350" i="10"/>
  <c r="GA350" i="10"/>
  <c r="GB350" i="10"/>
  <c r="GC350" i="10"/>
  <c r="GD350" i="10"/>
  <c r="GE350" i="10"/>
  <c r="GF350" i="10"/>
  <c r="GG350" i="10"/>
  <c r="FU351" i="10"/>
  <c r="FV351" i="10"/>
  <c r="FY351" i="10"/>
  <c r="FZ351" i="10"/>
  <c r="GA351" i="10"/>
  <c r="GB351" i="10"/>
  <c r="GC351" i="10"/>
  <c r="GD351" i="10"/>
  <c r="GE351" i="10"/>
  <c r="GF351" i="10"/>
  <c r="GG351" i="10"/>
  <c r="FU352" i="10"/>
  <c r="FW352" i="10"/>
  <c r="FY352" i="10"/>
  <c r="FZ352" i="10"/>
  <c r="GA352" i="10"/>
  <c r="GB352" i="10"/>
  <c r="GC352" i="10"/>
  <c r="GD352" i="10"/>
  <c r="GE352" i="10"/>
  <c r="GF352" i="10"/>
  <c r="GG352" i="10"/>
  <c r="FU353" i="10"/>
  <c r="FW353" i="10"/>
  <c r="FZ353" i="10"/>
  <c r="GA353" i="10"/>
  <c r="GB353" i="10"/>
  <c r="GC353" i="10"/>
  <c r="GD353" i="10"/>
  <c r="GE353" i="10"/>
  <c r="GF353" i="10"/>
  <c r="GG353" i="10"/>
  <c r="FU354" i="10"/>
  <c r="FV354" i="10"/>
  <c r="FY354" i="10"/>
  <c r="FZ354" i="10"/>
  <c r="GA354" i="10"/>
  <c r="GB354" i="10"/>
  <c r="GC354" i="10"/>
  <c r="GD354" i="10"/>
  <c r="GE354" i="10"/>
  <c r="GF354" i="10"/>
  <c r="GG354" i="10"/>
  <c r="FU355" i="10"/>
  <c r="FX355" i="10"/>
  <c r="FZ355" i="10"/>
  <c r="GA355" i="10"/>
  <c r="GB355" i="10"/>
  <c r="GC355" i="10"/>
  <c r="GD355" i="10"/>
  <c r="GE355" i="10"/>
  <c r="GF355" i="10"/>
  <c r="GG355" i="10"/>
  <c r="FU356" i="10"/>
  <c r="FW356" i="10"/>
  <c r="FY356" i="10"/>
  <c r="FZ356" i="10"/>
  <c r="GA356" i="10"/>
  <c r="GB356" i="10"/>
  <c r="GC356" i="10"/>
  <c r="GD356" i="10"/>
  <c r="GE356" i="10"/>
  <c r="GF356" i="10"/>
  <c r="GG356" i="10"/>
  <c r="FU357" i="10"/>
  <c r="FW357" i="10"/>
  <c r="FY357" i="10"/>
  <c r="FZ357" i="10"/>
  <c r="GA357" i="10"/>
  <c r="GB357" i="10"/>
  <c r="GC357" i="10"/>
  <c r="GD357" i="10"/>
  <c r="GE357" i="10"/>
  <c r="GF357" i="10"/>
  <c r="GG357" i="10"/>
  <c r="FU358" i="10"/>
  <c r="FV358" i="10"/>
  <c r="FZ358" i="10"/>
  <c r="GA358" i="10"/>
  <c r="GB358" i="10"/>
  <c r="GC358" i="10"/>
  <c r="GD358" i="10"/>
  <c r="GE358" i="10"/>
  <c r="GF358" i="10"/>
  <c r="GG358" i="10"/>
  <c r="FU359" i="10"/>
  <c r="FW359" i="10"/>
  <c r="FY359" i="10"/>
  <c r="FZ359" i="10"/>
  <c r="GA359" i="10"/>
  <c r="GB359" i="10"/>
  <c r="GC359" i="10"/>
  <c r="GD359" i="10"/>
  <c r="GE359" i="10"/>
  <c r="GF359" i="10"/>
  <c r="GG359" i="10"/>
  <c r="FU360" i="10"/>
  <c r="FV360" i="10"/>
  <c r="FY360" i="10"/>
  <c r="FZ360" i="10"/>
  <c r="GA360" i="10"/>
  <c r="GB360" i="10"/>
  <c r="GC360" i="10"/>
  <c r="GD360" i="10"/>
  <c r="GE360" i="10"/>
  <c r="GF360" i="10"/>
  <c r="GG360" i="10"/>
  <c r="FU361" i="10"/>
  <c r="FW361" i="10"/>
  <c r="FZ361" i="10"/>
  <c r="GA361" i="10"/>
  <c r="GB361" i="10"/>
  <c r="GC361" i="10"/>
  <c r="GD361" i="10"/>
  <c r="GE361" i="10"/>
  <c r="GF361" i="10"/>
  <c r="GG361" i="10"/>
  <c r="FU362" i="10"/>
  <c r="FW362" i="10"/>
  <c r="FZ362" i="10"/>
  <c r="GA362" i="10"/>
  <c r="GB362" i="10"/>
  <c r="GC362" i="10"/>
  <c r="GD362" i="10"/>
  <c r="GE362" i="10"/>
  <c r="GF362" i="10"/>
  <c r="GG362" i="10"/>
  <c r="FU363" i="10"/>
  <c r="FW363" i="10"/>
  <c r="FY363" i="10"/>
  <c r="FZ363" i="10"/>
  <c r="GA363" i="10"/>
  <c r="GB363" i="10"/>
  <c r="GC363" i="10"/>
  <c r="GD363" i="10"/>
  <c r="GE363" i="10"/>
  <c r="GF363" i="10"/>
  <c r="GG363" i="10"/>
  <c r="FU364" i="10"/>
  <c r="FV364" i="10"/>
  <c r="FY364" i="10"/>
  <c r="FZ364" i="10"/>
  <c r="GA364" i="10"/>
  <c r="GB364" i="10"/>
  <c r="GC364" i="10"/>
  <c r="GD364" i="10"/>
  <c r="GE364" i="10"/>
  <c r="GF364" i="10"/>
  <c r="GG364" i="10"/>
  <c r="FU365" i="10"/>
  <c r="FW365" i="10"/>
  <c r="FY365" i="10"/>
  <c r="FZ365" i="10"/>
  <c r="GA365" i="10"/>
  <c r="GB365" i="10"/>
  <c r="GC365" i="10"/>
  <c r="GD365" i="10"/>
  <c r="GE365" i="10"/>
  <c r="GF365" i="10"/>
  <c r="GG365" i="10"/>
  <c r="FU366" i="10"/>
  <c r="FV366" i="10"/>
  <c r="FY366" i="10"/>
  <c r="FZ366" i="10"/>
  <c r="GA366" i="10"/>
  <c r="GB366" i="10"/>
  <c r="GC366" i="10"/>
  <c r="GD366" i="10"/>
  <c r="GE366" i="10"/>
  <c r="GF366" i="10"/>
  <c r="GG366" i="10"/>
  <c r="FU367" i="10"/>
  <c r="FV367" i="10"/>
  <c r="FY367" i="10"/>
  <c r="FZ367" i="10"/>
  <c r="GA367" i="10"/>
  <c r="GB367" i="10"/>
  <c r="GC367" i="10"/>
  <c r="GD367" i="10"/>
  <c r="GE367" i="10"/>
  <c r="GF367" i="10"/>
  <c r="GG367" i="10"/>
  <c r="FU368" i="10"/>
  <c r="FW368" i="10"/>
  <c r="FY368" i="10"/>
  <c r="FZ368" i="10"/>
  <c r="GA368" i="10"/>
  <c r="GB368" i="10"/>
  <c r="GC368" i="10"/>
  <c r="GD368" i="10"/>
  <c r="GE368" i="10"/>
  <c r="GF368" i="10"/>
  <c r="GG368" i="10"/>
  <c r="FU369" i="10"/>
  <c r="FV369" i="10"/>
  <c r="FY369" i="10"/>
  <c r="FZ369" i="10"/>
  <c r="GA369" i="10"/>
  <c r="GB369" i="10"/>
  <c r="GC369" i="10"/>
  <c r="GD369" i="10"/>
  <c r="GE369" i="10"/>
  <c r="GF369" i="10"/>
  <c r="GG369" i="10"/>
  <c r="FU370" i="10"/>
  <c r="FV370" i="10"/>
  <c r="FZ370" i="10"/>
  <c r="GA370" i="10"/>
  <c r="GB370" i="10"/>
  <c r="GC370" i="10"/>
  <c r="GD370" i="10"/>
  <c r="GE370" i="10"/>
  <c r="GF370" i="10"/>
  <c r="GG370" i="10"/>
  <c r="FU371" i="10"/>
  <c r="FW371" i="10"/>
  <c r="FZ371" i="10"/>
  <c r="GA371" i="10"/>
  <c r="GB371" i="10"/>
  <c r="GC371" i="10"/>
  <c r="GD371" i="10"/>
  <c r="GE371" i="10"/>
  <c r="GF371" i="10"/>
  <c r="GG371" i="10"/>
  <c r="FU372" i="10"/>
  <c r="FW372" i="10"/>
  <c r="FY372" i="10"/>
  <c r="FZ372" i="10"/>
  <c r="GA372" i="10"/>
  <c r="GB372" i="10"/>
  <c r="GC372" i="10"/>
  <c r="GD372" i="10"/>
  <c r="GE372" i="10"/>
  <c r="GF372" i="10"/>
  <c r="GG372" i="10"/>
  <c r="FU373" i="10"/>
  <c r="FX373" i="10"/>
  <c r="FY373" i="10"/>
  <c r="FZ373" i="10"/>
  <c r="GA373" i="10"/>
  <c r="GB373" i="10"/>
  <c r="GC373" i="10"/>
  <c r="GD373" i="10"/>
  <c r="GE373" i="10"/>
  <c r="GF373" i="10"/>
  <c r="GG373" i="10"/>
  <c r="FU374" i="10"/>
  <c r="FW374" i="10"/>
  <c r="FZ374" i="10"/>
  <c r="GA374" i="10"/>
  <c r="GB374" i="10"/>
  <c r="GC374" i="10"/>
  <c r="GD374" i="10"/>
  <c r="GE374" i="10"/>
  <c r="GF374" i="10"/>
  <c r="GG374" i="10"/>
  <c r="FU375" i="10"/>
  <c r="FV375" i="10"/>
  <c r="FY375" i="10"/>
  <c r="FZ375" i="10"/>
  <c r="GA375" i="10"/>
  <c r="GB375" i="10"/>
  <c r="GC375" i="10"/>
  <c r="GD375" i="10"/>
  <c r="GE375" i="10"/>
  <c r="GF375" i="10"/>
  <c r="GG375" i="10"/>
  <c r="FU376" i="10"/>
  <c r="FV376" i="10"/>
  <c r="FY376" i="10"/>
  <c r="FZ376" i="10"/>
  <c r="GA376" i="10"/>
  <c r="GB376" i="10"/>
  <c r="GC376" i="10"/>
  <c r="GD376" i="10"/>
  <c r="GE376" i="10"/>
  <c r="GF376" i="10"/>
  <c r="GG376" i="10"/>
  <c r="FU377" i="10"/>
  <c r="FW377" i="10"/>
  <c r="FZ377" i="10"/>
  <c r="GA377" i="10"/>
  <c r="GB377" i="10"/>
  <c r="GC377" i="10"/>
  <c r="GD377" i="10"/>
  <c r="GE377" i="10"/>
  <c r="GF377" i="10"/>
  <c r="GG377" i="10"/>
  <c r="FU378" i="10"/>
  <c r="FV378" i="10"/>
  <c r="FY378" i="10"/>
  <c r="FZ378" i="10"/>
  <c r="GA378" i="10"/>
  <c r="GB378" i="10"/>
  <c r="GC378" i="10"/>
  <c r="GD378" i="10"/>
  <c r="GE378" i="10"/>
  <c r="GF378" i="10"/>
  <c r="GG378" i="10"/>
  <c r="FU379" i="10"/>
  <c r="FX379" i="10"/>
  <c r="FZ379" i="10"/>
  <c r="GA379" i="10"/>
  <c r="GB379" i="10"/>
  <c r="GC379" i="10"/>
  <c r="GD379" i="10"/>
  <c r="GE379" i="10"/>
  <c r="GF379" i="10"/>
  <c r="GG379" i="10"/>
  <c r="FU380" i="10"/>
  <c r="FW380" i="10"/>
  <c r="FY380" i="10"/>
  <c r="FZ380" i="10"/>
  <c r="GA380" i="10"/>
  <c r="GB380" i="10"/>
  <c r="GC380" i="10"/>
  <c r="GD380" i="10"/>
  <c r="GE380" i="10"/>
  <c r="GF380" i="10"/>
  <c r="GG380" i="10"/>
  <c r="FU381" i="10"/>
  <c r="FX381" i="10"/>
  <c r="FY381" i="10"/>
  <c r="FZ381" i="10"/>
  <c r="GA381" i="10"/>
  <c r="GB381" i="10"/>
  <c r="GC381" i="10"/>
  <c r="GD381" i="10"/>
  <c r="GE381" i="10"/>
  <c r="GF381" i="10"/>
  <c r="GG381" i="10"/>
  <c r="FU382" i="10"/>
  <c r="FV382" i="10"/>
  <c r="FZ382" i="10"/>
  <c r="GA382" i="10"/>
  <c r="GB382" i="10"/>
  <c r="GC382" i="10"/>
  <c r="GD382" i="10"/>
  <c r="GE382" i="10"/>
  <c r="GF382" i="10"/>
  <c r="GG382" i="10"/>
  <c r="FU383" i="10"/>
  <c r="FW383" i="10"/>
  <c r="FY383" i="10"/>
  <c r="FZ383" i="10"/>
  <c r="GA383" i="10"/>
  <c r="GB383" i="10"/>
  <c r="GC383" i="10"/>
  <c r="GD383" i="10"/>
  <c r="GE383" i="10"/>
  <c r="GF383" i="10"/>
  <c r="GG383" i="10"/>
  <c r="FU384" i="10"/>
  <c r="FX384" i="10"/>
  <c r="FY384" i="10"/>
  <c r="FZ384" i="10"/>
  <c r="GA384" i="10"/>
  <c r="GB384" i="10"/>
  <c r="GC384" i="10"/>
  <c r="GD384" i="10"/>
  <c r="GE384" i="10"/>
  <c r="GF384" i="10"/>
  <c r="GG384" i="10"/>
  <c r="FU385" i="10"/>
  <c r="FW385" i="10"/>
  <c r="FZ385" i="10"/>
  <c r="GA385" i="10"/>
  <c r="GB385" i="10"/>
  <c r="GC385" i="10"/>
  <c r="GD385" i="10"/>
  <c r="GE385" i="10"/>
  <c r="GF385" i="10"/>
  <c r="GG385" i="10"/>
  <c r="FU386" i="10"/>
  <c r="FW386" i="10"/>
  <c r="FZ386" i="10"/>
  <c r="GA386" i="10"/>
  <c r="GB386" i="10"/>
  <c r="GC386" i="10"/>
  <c r="GD386" i="10"/>
  <c r="GE386" i="10"/>
  <c r="GF386" i="10"/>
  <c r="GG386" i="10"/>
  <c r="FU387" i="10"/>
  <c r="FV387" i="10"/>
  <c r="FY387" i="10"/>
  <c r="FZ387" i="10"/>
  <c r="GA387" i="10"/>
  <c r="GB387" i="10"/>
  <c r="GC387" i="10"/>
  <c r="GD387" i="10"/>
  <c r="GE387" i="10"/>
  <c r="GF387" i="10"/>
  <c r="GG387" i="10"/>
  <c r="FU388" i="10"/>
  <c r="FV388" i="10"/>
  <c r="FY388" i="10"/>
  <c r="FZ388" i="10"/>
  <c r="GA388" i="10"/>
  <c r="GB388" i="10"/>
  <c r="GC388" i="10"/>
  <c r="GD388" i="10"/>
  <c r="GE388" i="10"/>
  <c r="GF388" i="10"/>
  <c r="GG388" i="10"/>
  <c r="FU389" i="10"/>
  <c r="FW389" i="10"/>
  <c r="FY389" i="10"/>
  <c r="FZ389" i="10"/>
  <c r="GA389" i="10"/>
  <c r="GB389" i="10"/>
  <c r="GC389" i="10"/>
  <c r="GD389" i="10"/>
  <c r="GE389" i="10"/>
  <c r="GF389" i="10"/>
  <c r="GG389" i="10"/>
  <c r="FU390" i="10"/>
  <c r="FV390" i="10"/>
  <c r="FY390" i="10"/>
  <c r="FZ390" i="10"/>
  <c r="GA390" i="10"/>
  <c r="GB390" i="10"/>
  <c r="GC390" i="10"/>
  <c r="GD390" i="10"/>
  <c r="GE390" i="10"/>
  <c r="GF390" i="10"/>
  <c r="GG390" i="10"/>
  <c r="FU391" i="10"/>
  <c r="FX391" i="10"/>
  <c r="FY391" i="10"/>
  <c r="FZ391" i="10"/>
  <c r="GA391" i="10"/>
  <c r="GB391" i="10"/>
  <c r="GC391" i="10"/>
  <c r="GD391" i="10"/>
  <c r="GE391" i="10"/>
  <c r="GF391" i="10"/>
  <c r="GG391" i="10"/>
  <c r="FU392" i="10"/>
  <c r="FW392" i="10"/>
  <c r="FY392" i="10"/>
  <c r="FZ392" i="10"/>
  <c r="GA392" i="10"/>
  <c r="GB392" i="10"/>
  <c r="GC392" i="10"/>
  <c r="GD392" i="10"/>
  <c r="GE392" i="10"/>
  <c r="GF392" i="10"/>
  <c r="GG392" i="10"/>
  <c r="FV324" i="10"/>
  <c r="FW319" i="10"/>
  <c r="FV348" i="10"/>
  <c r="FW199" i="10"/>
  <c r="FW178" i="10"/>
  <c r="FW342" i="10"/>
  <c r="FV208" i="10"/>
  <c r="FV342" i="10"/>
  <c r="FX315" i="10"/>
  <c r="FW297" i="10"/>
  <c r="FV297" i="10"/>
  <c r="FX339" i="10"/>
  <c r="FX276" i="10"/>
  <c r="FW214" i="10"/>
  <c r="FV341" i="10"/>
  <c r="FV319" i="10"/>
  <c r="FV365" i="10"/>
  <c r="FV139" i="10"/>
  <c r="FW367" i="10"/>
  <c r="FX389" i="10"/>
  <c r="FX387" i="10"/>
  <c r="FW312" i="10"/>
  <c r="FV78" i="10"/>
  <c r="FV389" i="10"/>
  <c r="FW387" i="10"/>
  <c r="FW204" i="10"/>
  <c r="FW291" i="10"/>
  <c r="FX380" i="10"/>
  <c r="FV291" i="10"/>
  <c r="FV82" i="10"/>
  <c r="FV353" i="10"/>
  <c r="FW145" i="10"/>
  <c r="FX234" i="10"/>
  <c r="FW322" i="10"/>
  <c r="FV333" i="10"/>
  <c r="FW348" i="10"/>
  <c r="FW315" i="10"/>
  <c r="FX309" i="10"/>
  <c r="FW384" i="10"/>
  <c r="FX365" i="10"/>
  <c r="FV336" i="10"/>
  <c r="FW330" i="10"/>
  <c r="FW309" i="10"/>
  <c r="FW109" i="10"/>
  <c r="FV384" i="10"/>
  <c r="FV330" i="10"/>
  <c r="FW240" i="10"/>
  <c r="FV172" i="10"/>
  <c r="FW168" i="10"/>
  <c r="FW88" i="10"/>
  <c r="FV380" i="10"/>
  <c r="FV361" i="10"/>
  <c r="FV357" i="10"/>
  <c r="FW355" i="10"/>
  <c r="FX324" i="10"/>
  <c r="FV270" i="10"/>
  <c r="FV136" i="10"/>
  <c r="FX132" i="10"/>
  <c r="FX96" i="10"/>
  <c r="FX90" i="10"/>
  <c r="FV363" i="10"/>
  <c r="FX216" i="10"/>
  <c r="FW132" i="10"/>
  <c r="FW96" i="10"/>
  <c r="FW73" i="10"/>
  <c r="FX351" i="10"/>
  <c r="FX300" i="10"/>
  <c r="FW282" i="10"/>
  <c r="FW276" i="10"/>
  <c r="FX180" i="10"/>
  <c r="FW391" i="10"/>
  <c r="FW351" i="10"/>
  <c r="FW300" i="10"/>
  <c r="FV282" i="10"/>
  <c r="FV180" i="10"/>
  <c r="FV372" i="10"/>
  <c r="FX294" i="10"/>
  <c r="FX366" i="10"/>
  <c r="FW294" i="10"/>
  <c r="FV288" i="10"/>
  <c r="FW186" i="10"/>
  <c r="FW366" i="10"/>
  <c r="FV318" i="10"/>
  <c r="FW381" i="10"/>
  <c r="FW339" i="10"/>
  <c r="FX327" i="10"/>
  <c r="FW127" i="10"/>
  <c r="FW91" i="10"/>
  <c r="FV381" i="10"/>
  <c r="FX364" i="10"/>
  <c r="FW327" i="10"/>
  <c r="FW150" i="10"/>
  <c r="FV91" i="10"/>
  <c r="FW364" i="10"/>
  <c r="FV325" i="10"/>
  <c r="FW379" i="10"/>
  <c r="FV377" i="10"/>
  <c r="FX375" i="10"/>
  <c r="FX354" i="10"/>
  <c r="FW375" i="10"/>
  <c r="FW354" i="10"/>
  <c r="FW258" i="10"/>
  <c r="FW373" i="10"/>
  <c r="FV321" i="10"/>
  <c r="FV279" i="10"/>
  <c r="FX50" i="10"/>
  <c r="FV373" i="10"/>
  <c r="FX367" i="10"/>
  <c r="FW160" i="10"/>
  <c r="FU64" i="10"/>
  <c r="FX64" i="10"/>
  <c r="FY69" i="10"/>
  <c r="FY51" i="10"/>
  <c r="FU55" i="10"/>
  <c r="FX55" i="10"/>
  <c r="FY57" i="10"/>
  <c r="FU46" i="10"/>
  <c r="FX46" i="10"/>
  <c r="FV60" i="10"/>
  <c r="FW60" i="10"/>
  <c r="FX60" i="10"/>
  <c r="FV54" i="10"/>
  <c r="FX54" i="10"/>
  <c r="FW51" i="10"/>
  <c r="FV51" i="10"/>
  <c r="FU49" i="10"/>
  <c r="FX49" i="10"/>
  <c r="FY60" i="10"/>
  <c r="FY54" i="10"/>
  <c r="FU58" i="10"/>
  <c r="FX58" i="10"/>
  <c r="FU52" i="10"/>
  <c r="FX52" i="10"/>
  <c r="FU40" i="10"/>
  <c r="FX40" i="10"/>
  <c r="FY33" i="10"/>
  <c r="FU31" i="10"/>
  <c r="FX31" i="10"/>
  <c r="FU30" i="10"/>
  <c r="FY45" i="10"/>
  <c r="FU43" i="10"/>
  <c r="FX43" i="10"/>
  <c r="FY39" i="10"/>
  <c r="FU37" i="10"/>
  <c r="FW37" i="10"/>
  <c r="FV33" i="10"/>
  <c r="FY42" i="10"/>
  <c r="FY36" i="10"/>
  <c r="FU34" i="10"/>
  <c r="FV34" i="10"/>
  <c r="FY27" i="10"/>
  <c r="FX27" i="10"/>
  <c r="FV27" i="10"/>
  <c r="FW27" i="10"/>
  <c r="FU28" i="10"/>
  <c r="FV28" i="10"/>
  <c r="FY24" i="10"/>
  <c r="FX360" i="10"/>
  <c r="FV391" i="10"/>
  <c r="FV379" i="10"/>
  <c r="FX372" i="10"/>
  <c r="FW360" i="10"/>
  <c r="FV322" i="10"/>
  <c r="FX198" i="10"/>
  <c r="FX36" i="10"/>
  <c r="FX341" i="10"/>
  <c r="FV198" i="10"/>
  <c r="FW196" i="10"/>
  <c r="FV190" i="10"/>
  <c r="FX72" i="10"/>
  <c r="FW70" i="10"/>
  <c r="FV36" i="10"/>
  <c r="FX332" i="10"/>
  <c r="FX41" i="10"/>
  <c r="FX349" i="10"/>
  <c r="FV332" i="10"/>
  <c r="FX285" i="10"/>
  <c r="FW274" i="10"/>
  <c r="FX252" i="10"/>
  <c r="FV154" i="10"/>
  <c r="FW41" i="10"/>
  <c r="FV32" i="10"/>
  <c r="FX363" i="10"/>
  <c r="FX356" i="10"/>
  <c r="FW349" i="10"/>
  <c r="FV337" i="10"/>
  <c r="FX318" i="10"/>
  <c r="FW285" i="10"/>
  <c r="FX270" i="10"/>
  <c r="FX162" i="10"/>
  <c r="FX39" i="10"/>
  <c r="FV356" i="10"/>
  <c r="FW217" i="10"/>
  <c r="FX150" i="10"/>
  <c r="FW39" i="10"/>
  <c r="FX144" i="10"/>
  <c r="FW142" i="10"/>
  <c r="FV73" i="10"/>
  <c r="FV385" i="10"/>
  <c r="FX328" i="10"/>
  <c r="FX303" i="10"/>
  <c r="FX390" i="10"/>
  <c r="FX378" i="10"/>
  <c r="FX347" i="10"/>
  <c r="FX335" i="10"/>
  <c r="FW328" i="10"/>
  <c r="FX321" i="10"/>
  <c r="FW303" i="10"/>
  <c r="FX279" i="10"/>
  <c r="FW235" i="10"/>
  <c r="FV118" i="10"/>
  <c r="FW50" i="10"/>
  <c r="FW390" i="10"/>
  <c r="FW378" i="10"/>
  <c r="FV347" i="10"/>
  <c r="FX345" i="10"/>
  <c r="FV335" i="10"/>
  <c r="FX333" i="10"/>
  <c r="FX312" i="10"/>
  <c r="FV193" i="10"/>
  <c r="FW181" i="10"/>
  <c r="FX126" i="10"/>
  <c r="FX35" i="10"/>
  <c r="FX371" i="10"/>
  <c r="FX359" i="10"/>
  <c r="FX352" i="10"/>
  <c r="FW345" i="10"/>
  <c r="FX340" i="10"/>
  <c r="FV126" i="10"/>
  <c r="FW124" i="10"/>
  <c r="FX114" i="10"/>
  <c r="FX42" i="10"/>
  <c r="FW35" i="10"/>
  <c r="FV371" i="10"/>
  <c r="FX369" i="10"/>
  <c r="FV359" i="10"/>
  <c r="FX357" i="10"/>
  <c r="FW340" i="10"/>
  <c r="FX310" i="10"/>
  <c r="FX288" i="10"/>
  <c r="FW114" i="10"/>
  <c r="FV100" i="10"/>
  <c r="FW42" i="10"/>
  <c r="FX24" i="10"/>
  <c r="FX383" i="10"/>
  <c r="FX376" i="10"/>
  <c r="FW369" i="10"/>
  <c r="FV310" i="10"/>
  <c r="FW253" i="10"/>
  <c r="FX108" i="10"/>
  <c r="FW106" i="10"/>
  <c r="FW24" i="10"/>
  <c r="FV383" i="10"/>
  <c r="FX343" i="10"/>
  <c r="FV175" i="10"/>
  <c r="FW163" i="10"/>
  <c r="FX388" i="10"/>
  <c r="FW343" i="10"/>
  <c r="FW331" i="10"/>
  <c r="FX53" i="10"/>
  <c r="FW388" i="10"/>
  <c r="FV331" i="10"/>
  <c r="FX306" i="10"/>
  <c r="FW53" i="10"/>
  <c r="FX336" i="10"/>
  <c r="FW306" i="10"/>
  <c r="FX78" i="10"/>
  <c r="FV355" i="10"/>
  <c r="FW222" i="10"/>
  <c r="FW299" i="10"/>
  <c r="FX299" i="10"/>
  <c r="FU283" i="10"/>
  <c r="FY283" i="10"/>
  <c r="FU128" i="10"/>
  <c r="FY128" i="10"/>
  <c r="FU236" i="10"/>
  <c r="FY236" i="10"/>
  <c r="FU228" i="10"/>
  <c r="FY228" i="10"/>
  <c r="FW177" i="10"/>
  <c r="FX177" i="10"/>
  <c r="FU120" i="10"/>
  <c r="FY120" i="10"/>
  <c r="FW290" i="10"/>
  <c r="FX290" i="10"/>
  <c r="FV281" i="10"/>
  <c r="FW281" i="10"/>
  <c r="FX281" i="10"/>
  <c r="FU254" i="10"/>
  <c r="FY254" i="10"/>
  <c r="FU246" i="10"/>
  <c r="FY246" i="10"/>
  <c r="FU210" i="10"/>
  <c r="FY210" i="10"/>
  <c r="FV165" i="10"/>
  <c r="FW165" i="10"/>
  <c r="FX165" i="10"/>
  <c r="FV75" i="10"/>
  <c r="FW75" i="10"/>
  <c r="FX75" i="10"/>
  <c r="FW329" i="10"/>
  <c r="FX329" i="10"/>
  <c r="FW314" i="10"/>
  <c r="FX314" i="10"/>
  <c r="FU200" i="10"/>
  <c r="FY200" i="10"/>
  <c r="FU110" i="10"/>
  <c r="FY110" i="10"/>
  <c r="FV268" i="10"/>
  <c r="FW268" i="10"/>
  <c r="FX268" i="10"/>
  <c r="FX370" i="10"/>
  <c r="FY338" i="10"/>
  <c r="FY325" i="10"/>
  <c r="FW302" i="10"/>
  <c r="FX302" i="10"/>
  <c r="FW159" i="10"/>
  <c r="FX159" i="10"/>
  <c r="FU102" i="10"/>
  <c r="FY102" i="10"/>
  <c r="FV264" i="10"/>
  <c r="FW264" i="10"/>
  <c r="FX264" i="10"/>
  <c r="FY370" i="10"/>
  <c r="FY346" i="10"/>
  <c r="FU295" i="10"/>
  <c r="FY295" i="10"/>
  <c r="FY386" i="10"/>
  <c r="FX386" i="10"/>
  <c r="FW370" i="10"/>
  <c r="FX362" i="10"/>
  <c r="FW346" i="10"/>
  <c r="FX338" i="10"/>
  <c r="FX325" i="10"/>
  <c r="FU307" i="10"/>
  <c r="FY307" i="10"/>
  <c r="FU286" i="10"/>
  <c r="FY286" i="10"/>
  <c r="FU277" i="10"/>
  <c r="FY277" i="10"/>
  <c r="FV147" i="10"/>
  <c r="FW147" i="10"/>
  <c r="FX147" i="10"/>
  <c r="FW69" i="10"/>
  <c r="FX69" i="10"/>
  <c r="FU304" i="10"/>
  <c r="FY304" i="10"/>
  <c r="FY317" i="10"/>
  <c r="FY362" i="10"/>
  <c r="FX346" i="10"/>
  <c r="FV386" i="10"/>
  <c r="FV362" i="10"/>
  <c r="FV338" i="10"/>
  <c r="FY310" i="10"/>
  <c r="FU192" i="10"/>
  <c r="FY192" i="10"/>
  <c r="FU92" i="10"/>
  <c r="FY92" i="10"/>
  <c r="FW87" i="10"/>
  <c r="FX87" i="10"/>
  <c r="FW317" i="10"/>
  <c r="FX317" i="10"/>
  <c r="FU182" i="10"/>
  <c r="FY182" i="10"/>
  <c r="FV57" i="10"/>
  <c r="FW57" i="10"/>
  <c r="FX57" i="10"/>
  <c r="FW293" i="10"/>
  <c r="FX293" i="10"/>
  <c r="FY275" i="10"/>
  <c r="FU275" i="10"/>
  <c r="FW141" i="10"/>
  <c r="FX141" i="10"/>
  <c r="FV273" i="10"/>
  <c r="FW273" i="10"/>
  <c r="FV271" i="10"/>
  <c r="FW271" i="10"/>
  <c r="FX271" i="10"/>
  <c r="FU84" i="10"/>
  <c r="FY84" i="10"/>
  <c r="FW311" i="10"/>
  <c r="FX311" i="10"/>
  <c r="FU218" i="10"/>
  <c r="FY218" i="10"/>
  <c r="FV284" i="10"/>
  <c r="FW284" i="10"/>
  <c r="FX284" i="10"/>
  <c r="FW305" i="10"/>
  <c r="FX305" i="10"/>
  <c r="FY223" i="10"/>
  <c r="FU223" i="10"/>
  <c r="FV129" i="10"/>
  <c r="FW129" i="10"/>
  <c r="FX129" i="10"/>
  <c r="FW376" i="10"/>
  <c r="FX368" i="10"/>
  <c r="FX344" i="10"/>
  <c r="FY323" i="10"/>
  <c r="FW320" i="10"/>
  <c r="FX320" i="10"/>
  <c r="FY241" i="10"/>
  <c r="FU241" i="10"/>
  <c r="FU174" i="10"/>
  <c r="FY174" i="10"/>
  <c r="FV392" i="10"/>
  <c r="FY379" i="10"/>
  <c r="FV368" i="10"/>
  <c r="FY355" i="10"/>
  <c r="FV352" i="10"/>
  <c r="FV344" i="10"/>
  <c r="FY331" i="10"/>
  <c r="FX313" i="10"/>
  <c r="FY308" i="10"/>
  <c r="FY259" i="10"/>
  <c r="FU259" i="10"/>
  <c r="FX219" i="10"/>
  <c r="FV219" i="10"/>
  <c r="FW219" i="10"/>
  <c r="FU164" i="10"/>
  <c r="FY164" i="10"/>
  <c r="FU74" i="10"/>
  <c r="FY74" i="10"/>
  <c r="FV38" i="10"/>
  <c r="FW38" i="10"/>
  <c r="FX38" i="10"/>
  <c r="FU298" i="10"/>
  <c r="FY298" i="10"/>
  <c r="FX392" i="10"/>
  <c r="FY313" i="10"/>
  <c r="FY371" i="10"/>
  <c r="FY347" i="10"/>
  <c r="FV313" i="10"/>
  <c r="FU289" i="10"/>
  <c r="FY289" i="10"/>
  <c r="FU280" i="10"/>
  <c r="FY280" i="10"/>
  <c r="FV237" i="10"/>
  <c r="FW237" i="10"/>
  <c r="FX237" i="10"/>
  <c r="FX255" i="10"/>
  <c r="FV255" i="10"/>
  <c r="FW255" i="10"/>
  <c r="FW231" i="10"/>
  <c r="FX231" i="10"/>
  <c r="FU156" i="10"/>
  <c r="FY156" i="10"/>
  <c r="FW123" i="10"/>
  <c r="FX123" i="10"/>
  <c r="FY358" i="10"/>
  <c r="FY334" i="10"/>
  <c r="FW323" i="10"/>
  <c r="FX323" i="10"/>
  <c r="FW296" i="10"/>
  <c r="FX296" i="10"/>
  <c r="FW249" i="10"/>
  <c r="FX249" i="10"/>
  <c r="FW213" i="10"/>
  <c r="FX213" i="10"/>
  <c r="FX201" i="10"/>
  <c r="FV201" i="10"/>
  <c r="FW201" i="10"/>
  <c r="FV111" i="10"/>
  <c r="FW111" i="10"/>
  <c r="FX111" i="10"/>
  <c r="FU66" i="10"/>
  <c r="FY66" i="10"/>
  <c r="FY382" i="10"/>
  <c r="FX382" i="10"/>
  <c r="FY374" i="10"/>
  <c r="FX358" i="10"/>
  <c r="FY350" i="10"/>
  <c r="FX334" i="10"/>
  <c r="FY316" i="10"/>
  <c r="FW308" i="10"/>
  <c r="FX308" i="10"/>
  <c r="FU301" i="10"/>
  <c r="FY301" i="10"/>
  <c r="FU146" i="10"/>
  <c r="FY146" i="10"/>
  <c r="FW382" i="10"/>
  <c r="FX374" i="10"/>
  <c r="FW358" i="10"/>
  <c r="FX350" i="10"/>
  <c r="FW334" i="10"/>
  <c r="FX316" i="10"/>
  <c r="FY311" i="10"/>
  <c r="FV287" i="10"/>
  <c r="FW287" i="10"/>
  <c r="FX287" i="10"/>
  <c r="FV278" i="10"/>
  <c r="FW278" i="10"/>
  <c r="FX278" i="10"/>
  <c r="FV350" i="10"/>
  <c r="FY337" i="10"/>
  <c r="FV316" i="10"/>
  <c r="FV311" i="10"/>
  <c r="FV299" i="10"/>
  <c r="FW105" i="10"/>
  <c r="FX105" i="10"/>
  <c r="FV56" i="10"/>
  <c r="FW56" i="10"/>
  <c r="FX56" i="10"/>
  <c r="FY385" i="10"/>
  <c r="FV374" i="10"/>
  <c r="FY361" i="10"/>
  <c r="FX385" i="10"/>
  <c r="FY377" i="10"/>
  <c r="FX361" i="10"/>
  <c r="FY353" i="10"/>
  <c r="FX337" i="10"/>
  <c r="FY329" i="10"/>
  <c r="FW326" i="10"/>
  <c r="FX326" i="10"/>
  <c r="FW195" i="10"/>
  <c r="FX195" i="10"/>
  <c r="FU138" i="10"/>
  <c r="FY138" i="10"/>
  <c r="FV93" i="10"/>
  <c r="FW93" i="10"/>
  <c r="FX93" i="10"/>
  <c r="FX377" i="10"/>
  <c r="FX353" i="10"/>
  <c r="FV329" i="10"/>
  <c r="FY319" i="10"/>
  <c r="FU292" i="10"/>
  <c r="FY292" i="10"/>
  <c r="FV183" i="10"/>
  <c r="FX183" i="10"/>
  <c r="FW183" i="10"/>
  <c r="FV87" i="10"/>
  <c r="FU267" i="10"/>
  <c r="FU262" i="10"/>
  <c r="FU244" i="10"/>
  <c r="FU226" i="10"/>
  <c r="FW265" i="10"/>
  <c r="FW252" i="10"/>
  <c r="FW247" i="10"/>
  <c r="FW234" i="10"/>
  <c r="FW229" i="10"/>
  <c r="FW216" i="10"/>
  <c r="FW211" i="10"/>
  <c r="FW193" i="10"/>
  <c r="FW175" i="10"/>
  <c r="FW162" i="10"/>
  <c r="FW157" i="10"/>
  <c r="FW144" i="10"/>
  <c r="FW139" i="10"/>
  <c r="FW121" i="10"/>
  <c r="FW108" i="10"/>
  <c r="FW103" i="10"/>
  <c r="FW90" i="10"/>
  <c r="FW85" i="10"/>
  <c r="FW72" i="10"/>
  <c r="FW67" i="10"/>
  <c r="FW54" i="10"/>
  <c r="FV265" i="10"/>
  <c r="FV247" i="10"/>
  <c r="FV229" i="10"/>
  <c r="FV211" i="10"/>
  <c r="FV157" i="10"/>
  <c r="FV121" i="10"/>
  <c r="FV103" i="10"/>
  <c r="FV85" i="10"/>
  <c r="FV67" i="10"/>
  <c r="FX44" i="10"/>
  <c r="FU221" i="10"/>
  <c r="FY221" i="10"/>
  <c r="FU167" i="10"/>
  <c r="FY167" i="10"/>
  <c r="FU149" i="10"/>
  <c r="FY149" i="10"/>
  <c r="FU131" i="10"/>
  <c r="FY131" i="10"/>
  <c r="FU113" i="10"/>
  <c r="FY113" i="10"/>
  <c r="FU95" i="10"/>
  <c r="FY95" i="10"/>
  <c r="FU77" i="10"/>
  <c r="FY77" i="10"/>
  <c r="FU59" i="10"/>
  <c r="FY59" i="10"/>
  <c r="FW44" i="10"/>
  <c r="FU257" i="10"/>
  <c r="FY257" i="10"/>
  <c r="FU239" i="10"/>
  <c r="FY239" i="10"/>
  <c r="FU203" i="10"/>
  <c r="FY203" i="10"/>
  <c r="FV214" i="10"/>
  <c r="FV196" i="10"/>
  <c r="FV178" i="10"/>
  <c r="FV160" i="10"/>
  <c r="FV142" i="10"/>
  <c r="FV124" i="10"/>
  <c r="FV106" i="10"/>
  <c r="FV88" i="10"/>
  <c r="FV70" i="10"/>
  <c r="FX29" i="10"/>
  <c r="FU185" i="10"/>
  <c r="FY185" i="10"/>
  <c r="FU250" i="10"/>
  <c r="FU232" i="10"/>
  <c r="FX47" i="10"/>
  <c r="FV29" i="10"/>
  <c r="FX274" i="10"/>
  <c r="FU260" i="10"/>
  <c r="FY260" i="10"/>
  <c r="FX258" i="10"/>
  <c r="FU242" i="10"/>
  <c r="FY242" i="10"/>
  <c r="FX240" i="10"/>
  <c r="FU224" i="10"/>
  <c r="FY224" i="10"/>
  <c r="FX222" i="10"/>
  <c r="FU206" i="10"/>
  <c r="FY206" i="10"/>
  <c r="FX204" i="10"/>
  <c r="FU188" i="10"/>
  <c r="FY188" i="10"/>
  <c r="FX186" i="10"/>
  <c r="FU170" i="10"/>
  <c r="FY170" i="10"/>
  <c r="FX168" i="10"/>
  <c r="FU152" i="10"/>
  <c r="FY152" i="10"/>
  <c r="FU134" i="10"/>
  <c r="FY134" i="10"/>
  <c r="FU116" i="10"/>
  <c r="FY116" i="10"/>
  <c r="FU98" i="10"/>
  <c r="FY98" i="10"/>
  <c r="FU80" i="10"/>
  <c r="FY80" i="10"/>
  <c r="FU62" i="10"/>
  <c r="FY62" i="10"/>
  <c r="FW47" i="10"/>
  <c r="FV253" i="10"/>
  <c r="FV235" i="10"/>
  <c r="FV217" i="10"/>
  <c r="FV199" i="10"/>
  <c r="FV181" i="10"/>
  <c r="FV163" i="10"/>
  <c r="FV145" i="10"/>
  <c r="FV127" i="10"/>
  <c r="FV109" i="10"/>
  <c r="FX32" i="10"/>
  <c r="FU263" i="10"/>
  <c r="FY263" i="10"/>
  <c r="FU245" i="10"/>
  <c r="FY245" i="10"/>
  <c r="FX171" i="10"/>
  <c r="FU155" i="10"/>
  <c r="FY155" i="10"/>
  <c r="FU137" i="10"/>
  <c r="FY137" i="10"/>
  <c r="FU119" i="10"/>
  <c r="FY119" i="10"/>
  <c r="FU83" i="10"/>
  <c r="FY83" i="10"/>
  <c r="FX81" i="10"/>
  <c r="FU65" i="10"/>
  <c r="FY65" i="10"/>
  <c r="FX63" i="10"/>
  <c r="FX45" i="10"/>
  <c r="FX243" i="10"/>
  <c r="FX225" i="10"/>
  <c r="FU209" i="10"/>
  <c r="FY209" i="10"/>
  <c r="FU191" i="10"/>
  <c r="FY191" i="10"/>
  <c r="FU173" i="10"/>
  <c r="FY173" i="10"/>
  <c r="FX99" i="10"/>
  <c r="FW261" i="10"/>
  <c r="FW256" i="10"/>
  <c r="FW243" i="10"/>
  <c r="FW238" i="10"/>
  <c r="FW225" i="10"/>
  <c r="FW220" i="10"/>
  <c r="FW207" i="10"/>
  <c r="FW202" i="10"/>
  <c r="FW189" i="10"/>
  <c r="FW184" i="10"/>
  <c r="FW171" i="10"/>
  <c r="FW166" i="10"/>
  <c r="FW153" i="10"/>
  <c r="FW148" i="10"/>
  <c r="FW135" i="10"/>
  <c r="FW130" i="10"/>
  <c r="FW117" i="10"/>
  <c r="FW112" i="10"/>
  <c r="FW99" i="10"/>
  <c r="FW94" i="10"/>
  <c r="FW81" i="10"/>
  <c r="FW76" i="10"/>
  <c r="FW63" i="10"/>
  <c r="FW45" i="10"/>
  <c r="FX261" i="10"/>
  <c r="FU227" i="10"/>
  <c r="FY227" i="10"/>
  <c r="FX207" i="10"/>
  <c r="FX189" i="10"/>
  <c r="FX153" i="10"/>
  <c r="FX135" i="10"/>
  <c r="FX117" i="10"/>
  <c r="FU101" i="10"/>
  <c r="FY101" i="10"/>
  <c r="FV256" i="10"/>
  <c r="FV238" i="10"/>
  <c r="FV220" i="10"/>
  <c r="FV202" i="10"/>
  <c r="FV184" i="10"/>
  <c r="FV166" i="10"/>
  <c r="FV148" i="10"/>
  <c r="FV130" i="10"/>
  <c r="FV112" i="10"/>
  <c r="FV94" i="10"/>
  <c r="FV76" i="10"/>
  <c r="FU266" i="10"/>
  <c r="FY266" i="10"/>
  <c r="FU248" i="10"/>
  <c r="FY248" i="10"/>
  <c r="FU230" i="10"/>
  <c r="FY230" i="10"/>
  <c r="FU212" i="10"/>
  <c r="FY212" i="10"/>
  <c r="FU194" i="10"/>
  <c r="FY194" i="10"/>
  <c r="FU176" i="10"/>
  <c r="FY176" i="10"/>
  <c r="FU158" i="10"/>
  <c r="FY158" i="10"/>
  <c r="FU140" i="10"/>
  <c r="FY140" i="10"/>
  <c r="FU122" i="10"/>
  <c r="FY122" i="10"/>
  <c r="FU104" i="10"/>
  <c r="FY104" i="10"/>
  <c r="FU86" i="10"/>
  <c r="FY86" i="10"/>
  <c r="FU68" i="10"/>
  <c r="FY68" i="10"/>
  <c r="FX48" i="10"/>
  <c r="FW205" i="10"/>
  <c r="FW169" i="10"/>
  <c r="FW151" i="10"/>
  <c r="FW133" i="10"/>
  <c r="FW115" i="10"/>
  <c r="FW97" i="10"/>
  <c r="FW79" i="10"/>
  <c r="FW61" i="10"/>
  <c r="FW48" i="10"/>
  <c r="FW187" i="10"/>
  <c r="FU269" i="10"/>
  <c r="FY269" i="10"/>
  <c r="FV205" i="10"/>
  <c r="FV187" i="10"/>
  <c r="FV169" i="10"/>
  <c r="FV151" i="10"/>
  <c r="FV133" i="10"/>
  <c r="FV115" i="10"/>
  <c r="FV97" i="10"/>
  <c r="FV79" i="10"/>
  <c r="FV61" i="10"/>
  <c r="FU272" i="10"/>
  <c r="FY272" i="10"/>
  <c r="FU251" i="10"/>
  <c r="FY251" i="10"/>
  <c r="FU233" i="10"/>
  <c r="FY233" i="10"/>
  <c r="FU215" i="10"/>
  <c r="FY215" i="10"/>
  <c r="FU197" i="10"/>
  <c r="FY197" i="10"/>
  <c r="FU179" i="10"/>
  <c r="FY179" i="10"/>
  <c r="FU161" i="10"/>
  <c r="FY161" i="10"/>
  <c r="FU143" i="10"/>
  <c r="FY143" i="10"/>
  <c r="FU125" i="10"/>
  <c r="FY125" i="10"/>
  <c r="FU107" i="10"/>
  <c r="FY107" i="10"/>
  <c r="FU89" i="10"/>
  <c r="FY89" i="10"/>
  <c r="FU71" i="10"/>
  <c r="FY71" i="10"/>
  <c r="FX51" i="10"/>
  <c r="FX33" i="10"/>
  <c r="FW208" i="10"/>
  <c r="FW190" i="10"/>
  <c r="FW172" i="10"/>
  <c r="FW154" i="10"/>
  <c r="FW136" i="10"/>
  <c r="FW118" i="10"/>
  <c r="FW100" i="10"/>
  <c r="FW82" i="10"/>
  <c r="FY56" i="10"/>
  <c r="FY53" i="10"/>
  <c r="FY50" i="10"/>
  <c r="FY47" i="10"/>
  <c r="FY44" i="10"/>
  <c r="FY41" i="10"/>
  <c r="FY38" i="10"/>
  <c r="FY35" i="10"/>
  <c r="FY32" i="10"/>
  <c r="FY29" i="10"/>
  <c r="BO393" i="10"/>
  <c r="FP383" i="10"/>
  <c r="FP301" i="10"/>
  <c r="FP277" i="10"/>
  <c r="FP253" i="10"/>
  <c r="FP229" i="10"/>
  <c r="FP205" i="10"/>
  <c r="FP181" i="10"/>
  <c r="FP157" i="10"/>
  <c r="FP133" i="10"/>
  <c r="FP109" i="10"/>
  <c r="FP85" i="10"/>
  <c r="FP61" i="10"/>
  <c r="FP374" i="10"/>
  <c r="FP349" i="10"/>
  <c r="FP325" i="10"/>
  <c r="FP372" i="10"/>
  <c r="FP348" i="10"/>
  <c r="FP324" i="10"/>
  <c r="FP300" i="10"/>
  <c r="FP276" i="10"/>
  <c r="FP252" i="10"/>
  <c r="FP228" i="10"/>
  <c r="FP204" i="10"/>
  <c r="FP180" i="10"/>
  <c r="FP156" i="10"/>
  <c r="FP132" i="10"/>
  <c r="FP108" i="10"/>
  <c r="FP84" i="10"/>
  <c r="FP60" i="10"/>
  <c r="FP357" i="10"/>
  <c r="FP323" i="10"/>
  <c r="FP299" i="10"/>
  <c r="FP275" i="10"/>
  <c r="FP251" i="10"/>
  <c r="FP227" i="10"/>
  <c r="FP203" i="10"/>
  <c r="FP179" i="10"/>
  <c r="FP155" i="10"/>
  <c r="FP131" i="10"/>
  <c r="FP107" i="10"/>
  <c r="FP83" i="10"/>
  <c r="FP59" i="10"/>
  <c r="FP391" i="10"/>
  <c r="FP384" i="10"/>
  <c r="FP373" i="10"/>
  <c r="FP347" i="10"/>
  <c r="FP346" i="10"/>
  <c r="FP322" i="10"/>
  <c r="FP298" i="10"/>
  <c r="FP274" i="10"/>
  <c r="FP250" i="10"/>
  <c r="FP226" i="10"/>
  <c r="FP202" i="10"/>
  <c r="FP178" i="10"/>
  <c r="FP154" i="10"/>
  <c r="FP130" i="10"/>
  <c r="FP106" i="10"/>
  <c r="FP82" i="10"/>
  <c r="FP58" i="10"/>
  <c r="FP385" i="10"/>
  <c r="FP371" i="10"/>
  <c r="FP370" i="10"/>
  <c r="FP369" i="10"/>
  <c r="FP321" i="10"/>
  <c r="FP297" i="10"/>
  <c r="FP273" i="10"/>
  <c r="FP249" i="10"/>
  <c r="FP225" i="10"/>
  <c r="FP201" i="10"/>
  <c r="FP177" i="10"/>
  <c r="FP153" i="10"/>
  <c r="FP129" i="10"/>
  <c r="FP105" i="10"/>
  <c r="FP81" i="10"/>
  <c r="FP57" i="10"/>
  <c r="FP381" i="10"/>
  <c r="FP345" i="10"/>
  <c r="FP368" i="10"/>
  <c r="FP344" i="10"/>
  <c r="FP320" i="10"/>
  <c r="FP296" i="10"/>
  <c r="FP272" i="10"/>
  <c r="FP248" i="10"/>
  <c r="FP224" i="10"/>
  <c r="FP200" i="10"/>
  <c r="FP176" i="10"/>
  <c r="FP152" i="10"/>
  <c r="FP128" i="10"/>
  <c r="FP104" i="10"/>
  <c r="FP80" i="10"/>
  <c r="FP56" i="10"/>
  <c r="FP343" i="10"/>
  <c r="FP319" i="10"/>
  <c r="FP295" i="10"/>
  <c r="FP271" i="10"/>
  <c r="FP247" i="10"/>
  <c r="FP223" i="10"/>
  <c r="FP199" i="10"/>
  <c r="FP175" i="10"/>
  <c r="FP151" i="10"/>
  <c r="FP127" i="10"/>
  <c r="FP103" i="10"/>
  <c r="FP79" i="10"/>
  <c r="FP55" i="10"/>
  <c r="FP270" i="10"/>
  <c r="FP222" i="10"/>
  <c r="FP174" i="10"/>
  <c r="FP150" i="10"/>
  <c r="FP126" i="10"/>
  <c r="FP102" i="10"/>
  <c r="FP78" i="10"/>
  <c r="FP54" i="10"/>
  <c r="FP367" i="10"/>
  <c r="FP342" i="10"/>
  <c r="FP294" i="10"/>
  <c r="FP246" i="10"/>
  <c r="FP198" i="10"/>
  <c r="FP389" i="10"/>
  <c r="FP365" i="10"/>
  <c r="FP341" i="10"/>
  <c r="FP317" i="10"/>
  <c r="FP293" i="10"/>
  <c r="FP269" i="10"/>
  <c r="FP245" i="10"/>
  <c r="FP197" i="10"/>
  <c r="FP173" i="10"/>
  <c r="FP149" i="10"/>
  <c r="FP125" i="10"/>
  <c r="FP101" i="10"/>
  <c r="FP77" i="10"/>
  <c r="FP53" i="10"/>
  <c r="FP390" i="10"/>
  <c r="FP318" i="10"/>
  <c r="FP340" i="10"/>
  <c r="FP316" i="10"/>
  <c r="FP292" i="10"/>
  <c r="FP268" i="10"/>
  <c r="FP244" i="10"/>
  <c r="FP220" i="10"/>
  <c r="FP196" i="10"/>
  <c r="FP172" i="10"/>
  <c r="FP148" i="10"/>
  <c r="FP124" i="10"/>
  <c r="FP100" i="10"/>
  <c r="FP76" i="10"/>
  <c r="FP52" i="10"/>
  <c r="FP366" i="10"/>
  <c r="FP388" i="10"/>
  <c r="FP364" i="10"/>
  <c r="FP387" i="10"/>
  <c r="FP363" i="10"/>
  <c r="FP339" i="10"/>
  <c r="FP315" i="10"/>
  <c r="FP291" i="10"/>
  <c r="FP267" i="10"/>
  <c r="FP243" i="10"/>
  <c r="FP219" i="10"/>
  <c r="FP195" i="10"/>
  <c r="FP171" i="10"/>
  <c r="FP147" i="10"/>
  <c r="FP123" i="10"/>
  <c r="FP99" i="10"/>
  <c r="FP75" i="10"/>
  <c r="FP51" i="10"/>
  <c r="FP386" i="10"/>
  <c r="FP362" i="10"/>
  <c r="FP338" i="10"/>
  <c r="FP314" i="10"/>
  <c r="FP290" i="10"/>
  <c r="FP266" i="10"/>
  <c r="FP242" i="10"/>
  <c r="FP218" i="10"/>
  <c r="FP194" i="10"/>
  <c r="FP170" i="10"/>
  <c r="FP146" i="10"/>
  <c r="FP122" i="10"/>
  <c r="FP98" i="10"/>
  <c r="FP74" i="10"/>
  <c r="FP50" i="10"/>
  <c r="FP337" i="10"/>
  <c r="FP313" i="10"/>
  <c r="FP289" i="10"/>
  <c r="FP265" i="10"/>
  <c r="FP241" i="10"/>
  <c r="FP217" i="10"/>
  <c r="FP193" i="10"/>
  <c r="FP169" i="10"/>
  <c r="FP145" i="10"/>
  <c r="FP121" i="10"/>
  <c r="FP97" i="10"/>
  <c r="FP73" i="10"/>
  <c r="FP49" i="10"/>
  <c r="FP288" i="10"/>
  <c r="FP264" i="10"/>
  <c r="FP240" i="10"/>
  <c r="FP216" i="10"/>
  <c r="FP192" i="10"/>
  <c r="FP168" i="10"/>
  <c r="FP144" i="10"/>
  <c r="FP120" i="10"/>
  <c r="FP96" i="10"/>
  <c r="FP72" i="10"/>
  <c r="FP48" i="10"/>
  <c r="FP359" i="10"/>
  <c r="FP335" i="10"/>
  <c r="FP311" i="10"/>
  <c r="FP287" i="10"/>
  <c r="FP263" i="10"/>
  <c r="FP239" i="10"/>
  <c r="FP215" i="10"/>
  <c r="FP191" i="10"/>
  <c r="FP167" i="10"/>
  <c r="FP143" i="10"/>
  <c r="FP119" i="10"/>
  <c r="FP95" i="10"/>
  <c r="FP71" i="10"/>
  <c r="FP47" i="10"/>
  <c r="FP361" i="10"/>
  <c r="FP382" i="10"/>
  <c r="FP358" i="10"/>
  <c r="FP334" i="10"/>
  <c r="FP310" i="10"/>
  <c r="FP286" i="10"/>
  <c r="FP262" i="10"/>
  <c r="FP238" i="10"/>
  <c r="FP214" i="10"/>
  <c r="FP190" i="10"/>
  <c r="FP166" i="10"/>
  <c r="FP142" i="10"/>
  <c r="FP118" i="10"/>
  <c r="FP94" i="10"/>
  <c r="FP70" i="10"/>
  <c r="FP261" i="10"/>
  <c r="FP237" i="10"/>
  <c r="FP213" i="10"/>
  <c r="FP189" i="10"/>
  <c r="FP165" i="10"/>
  <c r="FP141" i="10"/>
  <c r="FP117" i="10"/>
  <c r="FP93" i="10"/>
  <c r="FP69" i="10"/>
  <c r="FP312" i="10"/>
  <c r="FP356" i="10"/>
  <c r="FP332" i="10"/>
  <c r="FP308" i="10"/>
  <c r="FP284" i="10"/>
  <c r="FP260" i="10"/>
  <c r="FP236" i="10"/>
  <c r="FP212" i="10"/>
  <c r="FP188" i="10"/>
  <c r="FP164" i="10"/>
  <c r="FP140" i="10"/>
  <c r="FP116" i="10"/>
  <c r="FP92" i="10"/>
  <c r="FP68" i="10"/>
  <c r="FP44" i="10"/>
  <c r="FP380" i="10"/>
  <c r="FP379" i="10"/>
  <c r="FP283" i="10"/>
  <c r="FP235" i="10"/>
  <c r="FP211" i="10"/>
  <c r="FP187" i="10"/>
  <c r="FP163" i="10"/>
  <c r="FP139" i="10"/>
  <c r="FP115" i="10"/>
  <c r="FP91" i="10"/>
  <c r="FP67" i="10"/>
  <c r="FP333" i="10"/>
  <c r="FP331" i="10"/>
  <c r="FP259" i="10"/>
  <c r="FP378" i="10"/>
  <c r="FP354" i="10"/>
  <c r="FP330" i="10"/>
  <c r="FP306" i="10"/>
  <c r="FP282" i="10"/>
  <c r="FP258" i="10"/>
  <c r="FP234" i="10"/>
  <c r="FP210" i="10"/>
  <c r="FP186" i="10"/>
  <c r="FP162" i="10"/>
  <c r="FP138" i="10"/>
  <c r="FP114" i="10"/>
  <c r="FP90" i="10"/>
  <c r="FP66" i="10"/>
  <c r="FP285" i="10"/>
  <c r="FP307" i="10"/>
  <c r="FP329" i="10"/>
  <c r="FP305" i="10"/>
  <c r="FP281" i="10"/>
  <c r="FP257" i="10"/>
  <c r="FP233" i="10"/>
  <c r="FP209" i="10"/>
  <c r="FP185" i="10"/>
  <c r="FP161" i="10"/>
  <c r="FP137" i="10"/>
  <c r="FP113" i="10"/>
  <c r="FP89" i="10"/>
  <c r="FP65" i="10"/>
  <c r="FP360" i="10"/>
  <c r="FP377" i="10"/>
  <c r="FP352" i="10"/>
  <c r="FP328" i="10"/>
  <c r="FP280" i="10"/>
  <c r="FP256" i="10"/>
  <c r="FP232" i="10"/>
  <c r="FP208" i="10"/>
  <c r="FP184" i="10"/>
  <c r="FP160" i="10"/>
  <c r="FP136" i="10"/>
  <c r="FP112" i="10"/>
  <c r="FP88" i="10"/>
  <c r="FP64" i="10"/>
  <c r="FP309" i="10"/>
  <c r="FP355" i="10"/>
  <c r="FP353" i="10"/>
  <c r="FP376" i="10"/>
  <c r="FP304" i="10"/>
  <c r="FP375" i="10"/>
  <c r="FP351" i="10"/>
  <c r="FP327" i="10"/>
  <c r="FP303" i="10"/>
  <c r="FP279" i="10"/>
  <c r="FP255" i="10"/>
  <c r="FP231" i="10"/>
  <c r="FP207" i="10"/>
  <c r="FP183" i="10"/>
  <c r="FP159" i="10"/>
  <c r="FP135" i="10"/>
  <c r="FP111" i="10"/>
  <c r="FP87" i="10"/>
  <c r="FP63" i="10"/>
  <c r="FP336" i="10"/>
  <c r="FP350" i="10"/>
  <c r="FP326" i="10"/>
  <c r="FP302" i="10"/>
  <c r="FP278" i="10"/>
  <c r="FP254" i="10"/>
  <c r="FP230" i="10"/>
  <c r="FP206" i="10"/>
  <c r="FP182" i="10"/>
  <c r="FP158" i="10"/>
  <c r="FP134" i="10"/>
  <c r="FP110" i="10"/>
  <c r="FP86" i="10"/>
  <c r="FP62" i="10"/>
  <c r="FP221" i="10"/>
  <c r="FP36" i="10"/>
  <c r="FP35" i="10"/>
  <c r="FP31" i="10"/>
  <c r="FP33" i="10"/>
  <c r="FP30" i="10"/>
  <c r="FP34" i="10"/>
  <c r="FP29" i="10"/>
  <c r="FP37" i="10"/>
  <c r="FP28" i="10"/>
  <c r="FP32" i="10"/>
  <c r="FP27" i="10"/>
  <c r="FP25" i="10"/>
  <c r="FP24" i="10"/>
  <c r="FP43" i="10"/>
  <c r="FP40" i="10"/>
  <c r="FP41" i="10"/>
  <c r="FP39" i="10"/>
  <c r="FP38" i="10"/>
  <c r="FP46" i="10"/>
  <c r="FP45" i="10"/>
  <c r="FP42" i="10"/>
  <c r="FV55" i="10"/>
  <c r="FW64" i="10"/>
  <c r="FV64" i="10"/>
  <c r="FW58" i="10"/>
  <c r="FV58" i="10"/>
  <c r="FV49" i="10"/>
  <c r="FW49" i="10"/>
  <c r="FW52" i="10"/>
  <c r="FV40" i="10"/>
  <c r="FW55" i="10"/>
  <c r="FV46" i="10"/>
  <c r="FW46" i="10"/>
  <c r="FW40" i="10"/>
  <c r="FV52" i="10"/>
  <c r="FV43" i="10"/>
  <c r="FW31" i="10"/>
  <c r="FV31" i="10"/>
  <c r="FW43" i="10"/>
  <c r="FX34" i="10"/>
  <c r="FW34" i="10"/>
  <c r="FX37" i="10"/>
  <c r="FV37" i="10"/>
  <c r="FX30" i="10"/>
  <c r="FW30" i="10"/>
  <c r="FV30" i="10"/>
  <c r="FX28" i="10"/>
  <c r="FW28" i="10"/>
  <c r="FV125" i="10"/>
  <c r="FW125" i="10"/>
  <c r="FX125" i="10"/>
  <c r="FV122" i="10"/>
  <c r="FW122" i="10"/>
  <c r="FX122" i="10"/>
  <c r="FV191" i="10"/>
  <c r="FW191" i="10"/>
  <c r="FX191" i="10"/>
  <c r="FV170" i="10"/>
  <c r="FW170" i="10"/>
  <c r="FX170" i="10"/>
  <c r="FX262" i="10"/>
  <c r="FW262" i="10"/>
  <c r="FV262" i="10"/>
  <c r="FV277" i="10"/>
  <c r="FW277" i="10"/>
  <c r="FX277" i="10"/>
  <c r="FV182" i="10"/>
  <c r="FW182" i="10"/>
  <c r="FX182" i="10"/>
  <c r="FV143" i="10"/>
  <c r="FW143" i="10"/>
  <c r="FX143" i="10"/>
  <c r="FV286" i="10"/>
  <c r="FW286" i="10"/>
  <c r="FX286" i="10"/>
  <c r="FW269" i="10"/>
  <c r="FX269" i="10"/>
  <c r="FV269" i="10"/>
  <c r="FX244" i="10"/>
  <c r="FW244" i="10"/>
  <c r="FV244" i="10"/>
  <c r="FV246" i="10"/>
  <c r="FW246" i="10"/>
  <c r="FX246" i="10"/>
  <c r="FV188" i="10"/>
  <c r="FW188" i="10"/>
  <c r="FX188" i="10"/>
  <c r="FV113" i="10"/>
  <c r="FX113" i="10"/>
  <c r="FW113" i="10"/>
  <c r="FV289" i="10"/>
  <c r="FW289" i="10"/>
  <c r="FX289" i="10"/>
  <c r="FW158" i="10"/>
  <c r="FV158" i="10"/>
  <c r="FX158" i="10"/>
  <c r="FV131" i="10"/>
  <c r="FX131" i="10"/>
  <c r="FW131" i="10"/>
  <c r="FV218" i="10"/>
  <c r="FW218" i="10"/>
  <c r="FX218" i="10"/>
  <c r="FW206" i="10"/>
  <c r="FV206" i="10"/>
  <c r="FX206" i="10"/>
  <c r="FV149" i="10"/>
  <c r="FX149" i="10"/>
  <c r="FW149" i="10"/>
  <c r="FV292" i="10"/>
  <c r="FW292" i="10"/>
  <c r="FX292" i="10"/>
  <c r="FV92" i="10"/>
  <c r="FW92" i="10"/>
  <c r="FX92" i="10"/>
  <c r="FW140" i="10"/>
  <c r="FV140" i="10"/>
  <c r="FX140" i="10"/>
  <c r="FV209" i="10"/>
  <c r="FW209" i="10"/>
  <c r="FX209" i="10"/>
  <c r="FV254" i="10"/>
  <c r="FW254" i="10"/>
  <c r="FX254" i="10"/>
  <c r="FV161" i="10"/>
  <c r="FW161" i="10"/>
  <c r="FX161" i="10"/>
  <c r="FW307" i="10"/>
  <c r="FV307" i="10"/>
  <c r="FX307" i="10"/>
  <c r="FV179" i="10"/>
  <c r="FW179" i="10"/>
  <c r="FX179" i="10"/>
  <c r="FV176" i="10"/>
  <c r="FW176" i="10"/>
  <c r="FX176" i="10"/>
  <c r="FV146" i="10"/>
  <c r="FW146" i="10"/>
  <c r="FX146" i="10"/>
  <c r="FV197" i="10"/>
  <c r="FW197" i="10"/>
  <c r="FX197" i="10"/>
  <c r="FV194" i="10"/>
  <c r="FW194" i="10"/>
  <c r="FX194" i="10"/>
  <c r="FV101" i="10"/>
  <c r="FW101" i="10"/>
  <c r="FX101" i="10"/>
  <c r="FV65" i="10"/>
  <c r="FW65" i="10"/>
  <c r="FX65" i="10"/>
  <c r="FV301" i="10"/>
  <c r="FW301" i="10"/>
  <c r="FX301" i="10"/>
  <c r="FV224" i="10"/>
  <c r="FW224" i="10"/>
  <c r="FX224" i="10"/>
  <c r="FV167" i="10"/>
  <c r="FX167" i="10"/>
  <c r="FW167" i="10"/>
  <c r="FV174" i="10"/>
  <c r="FW174" i="10"/>
  <c r="FX174" i="10"/>
  <c r="FV84" i="10"/>
  <c r="FW84" i="10"/>
  <c r="FX84" i="10"/>
  <c r="FV192" i="10"/>
  <c r="FW192" i="10"/>
  <c r="FX192" i="10"/>
  <c r="FV110" i="10"/>
  <c r="FW110" i="10"/>
  <c r="FX110" i="10"/>
  <c r="FW298" i="10"/>
  <c r="FV298" i="10"/>
  <c r="FX298" i="10"/>
  <c r="FX241" i="10"/>
  <c r="FV241" i="10"/>
  <c r="FW241" i="10"/>
  <c r="FV120" i="10"/>
  <c r="FW120" i="10"/>
  <c r="FX120" i="10"/>
  <c r="FV280" i="10"/>
  <c r="FW280" i="10"/>
  <c r="FX280" i="10"/>
  <c r="FV77" i="10"/>
  <c r="FX77" i="10"/>
  <c r="FW77" i="10"/>
  <c r="FV83" i="10"/>
  <c r="FW83" i="10"/>
  <c r="FX83" i="10"/>
  <c r="FV62" i="10"/>
  <c r="FW62" i="10"/>
  <c r="FX62" i="10"/>
  <c r="FV221" i="10"/>
  <c r="FX221" i="10"/>
  <c r="FW221" i="10"/>
  <c r="FV200" i="10"/>
  <c r="FW200" i="10"/>
  <c r="FX200" i="10"/>
  <c r="FV233" i="10"/>
  <c r="FW233" i="10"/>
  <c r="FX233" i="10"/>
  <c r="FV230" i="10"/>
  <c r="FW230" i="10"/>
  <c r="FX230" i="10"/>
  <c r="FV242" i="10"/>
  <c r="FW242" i="10"/>
  <c r="FX242" i="10"/>
  <c r="FV203" i="10"/>
  <c r="FX203" i="10"/>
  <c r="FW203" i="10"/>
  <c r="FV119" i="10"/>
  <c r="FW119" i="10"/>
  <c r="FX119" i="10"/>
  <c r="FV80" i="10"/>
  <c r="FW80" i="10"/>
  <c r="FX80" i="10"/>
  <c r="FV251" i="10"/>
  <c r="FW251" i="10"/>
  <c r="FX251" i="10"/>
  <c r="FV248" i="10"/>
  <c r="FW248" i="10"/>
  <c r="FX248" i="10"/>
  <c r="FV239" i="10"/>
  <c r="FX239" i="10"/>
  <c r="FW239" i="10"/>
  <c r="FV295" i="10"/>
  <c r="FW295" i="10"/>
  <c r="FX295" i="10"/>
  <c r="FV228" i="10"/>
  <c r="FW228" i="10"/>
  <c r="FX228" i="10"/>
  <c r="FV95" i="10"/>
  <c r="FX95" i="10"/>
  <c r="FW95" i="10"/>
  <c r="FV215" i="10"/>
  <c r="FW215" i="10"/>
  <c r="FX215" i="10"/>
  <c r="FV212" i="10"/>
  <c r="FW212" i="10"/>
  <c r="FX212" i="10"/>
  <c r="FV227" i="10"/>
  <c r="FW227" i="10"/>
  <c r="FX227" i="10"/>
  <c r="FV137" i="10"/>
  <c r="FW137" i="10"/>
  <c r="FX137" i="10"/>
  <c r="FV98" i="10"/>
  <c r="FW98" i="10"/>
  <c r="FX98" i="10"/>
  <c r="FV260" i="10"/>
  <c r="FW260" i="10"/>
  <c r="FX260" i="10"/>
  <c r="FV156" i="10"/>
  <c r="FW156" i="10"/>
  <c r="FX156" i="10"/>
  <c r="FV74" i="10"/>
  <c r="FW74" i="10"/>
  <c r="FX74" i="10"/>
  <c r="FV272" i="10"/>
  <c r="FW272" i="10"/>
  <c r="FX272" i="10"/>
  <c r="FW266" i="10"/>
  <c r="FV266" i="10"/>
  <c r="FX266" i="10"/>
  <c r="FV257" i="10"/>
  <c r="FX257" i="10"/>
  <c r="FW257" i="10"/>
  <c r="FV138" i="10"/>
  <c r="FW138" i="10"/>
  <c r="FX138" i="10"/>
  <c r="FV236" i="10"/>
  <c r="FW236" i="10"/>
  <c r="FX236" i="10"/>
  <c r="FV155" i="10"/>
  <c r="FW155" i="10"/>
  <c r="FX155" i="10"/>
  <c r="FV116" i="10"/>
  <c r="FW116" i="10"/>
  <c r="FX116" i="10"/>
  <c r="FV164" i="10"/>
  <c r="FW164" i="10"/>
  <c r="FX164" i="10"/>
  <c r="FV275" i="10"/>
  <c r="FW275" i="10"/>
  <c r="FX275" i="10"/>
  <c r="FV71" i="10"/>
  <c r="FW71" i="10"/>
  <c r="FX71" i="10"/>
  <c r="FV68" i="10"/>
  <c r="FW68" i="10"/>
  <c r="FX68" i="10"/>
  <c r="FW304" i="10"/>
  <c r="FV304" i="10"/>
  <c r="FX304" i="10"/>
  <c r="FV128" i="10"/>
  <c r="FW128" i="10"/>
  <c r="FX128" i="10"/>
  <c r="FV134" i="10"/>
  <c r="FW134" i="10"/>
  <c r="FX134" i="10"/>
  <c r="FV210" i="10"/>
  <c r="FW210" i="10"/>
  <c r="FX210" i="10"/>
  <c r="FW267" i="10"/>
  <c r="FX267" i="10"/>
  <c r="FV267" i="10"/>
  <c r="FX232" i="10"/>
  <c r="FV232" i="10"/>
  <c r="FW232" i="10"/>
  <c r="FV66" i="10"/>
  <c r="FW66" i="10"/>
  <c r="FX66" i="10"/>
  <c r="FV89" i="10"/>
  <c r="FW89" i="10"/>
  <c r="FX89" i="10"/>
  <c r="FV86" i="10"/>
  <c r="FW86" i="10"/>
  <c r="FX86" i="10"/>
  <c r="FV245" i="10"/>
  <c r="FW245" i="10"/>
  <c r="FX245" i="10"/>
  <c r="FX250" i="10"/>
  <c r="FV250" i="10"/>
  <c r="FW250" i="10"/>
  <c r="FV283" i="10"/>
  <c r="FW283" i="10"/>
  <c r="FX283" i="10"/>
  <c r="FV152" i="10"/>
  <c r="FW152" i="10"/>
  <c r="FX152" i="10"/>
  <c r="FV59" i="10"/>
  <c r="FX59" i="10"/>
  <c r="FW59" i="10"/>
  <c r="FX259" i="10"/>
  <c r="FV259" i="10"/>
  <c r="FW259" i="10"/>
  <c r="FX223" i="10"/>
  <c r="FV223" i="10"/>
  <c r="FW223" i="10"/>
  <c r="FV102" i="10"/>
  <c r="FW102" i="10"/>
  <c r="FX102" i="10"/>
  <c r="FV107" i="10"/>
  <c r="FW107" i="10"/>
  <c r="FX107" i="10"/>
  <c r="FV104" i="10"/>
  <c r="FW104" i="10"/>
  <c r="FX104" i="10"/>
  <c r="FV173" i="10"/>
  <c r="FW173" i="10"/>
  <c r="FX173" i="10"/>
  <c r="FV263" i="10"/>
  <c r="FW263" i="10"/>
  <c r="FX263" i="10"/>
  <c r="FV185" i="10"/>
  <c r="FX185" i="10"/>
  <c r="FW185" i="10"/>
  <c r="FX226" i="10"/>
  <c r="FW226" i="10"/>
  <c r="FV226" i="10"/>
  <c r="LF28" i="10"/>
  <c r="LF29" i="10"/>
  <c r="LF30" i="10"/>
  <c r="LF31" i="10"/>
  <c r="LF32" i="10"/>
  <c r="LF33" i="10"/>
  <c r="LF34" i="10"/>
  <c r="LF35" i="10"/>
  <c r="LF36" i="10"/>
  <c r="LF37" i="10"/>
  <c r="LF38" i="10"/>
  <c r="LF39" i="10"/>
  <c r="LF40" i="10"/>
  <c r="LF41" i="10"/>
  <c r="LF42" i="10"/>
  <c r="LF43" i="10"/>
  <c r="LF44" i="10"/>
  <c r="LF45" i="10"/>
  <c r="LF46" i="10"/>
  <c r="LF47" i="10"/>
  <c r="LF48" i="10"/>
  <c r="LF49" i="10"/>
  <c r="LF50" i="10"/>
  <c r="LF51" i="10"/>
  <c r="LF52" i="10"/>
  <c r="LF53" i="10"/>
  <c r="LF54" i="10"/>
  <c r="LF55" i="10"/>
  <c r="LF56" i="10"/>
  <c r="LF57" i="10"/>
  <c r="LF58" i="10"/>
  <c r="LF59" i="10"/>
  <c r="LF60" i="10"/>
  <c r="LF61" i="10"/>
  <c r="LF62" i="10"/>
  <c r="LF63" i="10"/>
  <c r="LF64" i="10"/>
  <c r="LF65" i="10"/>
  <c r="LF66" i="10"/>
  <c r="LF67" i="10"/>
  <c r="LF68" i="10"/>
  <c r="LF69" i="10"/>
  <c r="LF70" i="10"/>
  <c r="LF71" i="10"/>
  <c r="LF72" i="10"/>
  <c r="LF73" i="10"/>
  <c r="LF74" i="10"/>
  <c r="LF75" i="10"/>
  <c r="LF76" i="10"/>
  <c r="LF77" i="10"/>
  <c r="LF78" i="10"/>
  <c r="LF79" i="10"/>
  <c r="LF80" i="10"/>
  <c r="LF81" i="10"/>
  <c r="LF82" i="10"/>
  <c r="LF83" i="10"/>
  <c r="LF84" i="10"/>
  <c r="LF85" i="10"/>
  <c r="LF86" i="10"/>
  <c r="LF87" i="10"/>
  <c r="LF88" i="10"/>
  <c r="LF89" i="10"/>
  <c r="LF90" i="10"/>
  <c r="LF91" i="10"/>
  <c r="LF92" i="10"/>
  <c r="LF93" i="10"/>
  <c r="LF94" i="10"/>
  <c r="LF95" i="10"/>
  <c r="LF96" i="10"/>
  <c r="LF97" i="10"/>
  <c r="LF98" i="10"/>
  <c r="LF99" i="10"/>
  <c r="LF100" i="10"/>
  <c r="LF101" i="10"/>
  <c r="LF102" i="10"/>
  <c r="LF103" i="10"/>
  <c r="LF104" i="10"/>
  <c r="LF105" i="10"/>
  <c r="LF106" i="10"/>
  <c r="LF107" i="10"/>
  <c r="LF108" i="10"/>
  <c r="LF109" i="10"/>
  <c r="LF110" i="10"/>
  <c r="LF111" i="10"/>
  <c r="LF112" i="10"/>
  <c r="LF113" i="10"/>
  <c r="LF114" i="10"/>
  <c r="LF115" i="10"/>
  <c r="LF116" i="10"/>
  <c r="LF117" i="10"/>
  <c r="LF118" i="10"/>
  <c r="LF119" i="10"/>
  <c r="LF120" i="10"/>
  <c r="LF121" i="10"/>
  <c r="LF122" i="10"/>
  <c r="LF123" i="10"/>
  <c r="LF124" i="10"/>
  <c r="LF125" i="10"/>
  <c r="LF126" i="10"/>
  <c r="LF127" i="10"/>
  <c r="LF128" i="10"/>
  <c r="LF129" i="10"/>
  <c r="LF130" i="10"/>
  <c r="LF131" i="10"/>
  <c r="LF132" i="10"/>
  <c r="LF133" i="10"/>
  <c r="LF134" i="10"/>
  <c r="LF135" i="10"/>
  <c r="LF136" i="10"/>
  <c r="LF137" i="10"/>
  <c r="LF138" i="10"/>
  <c r="LF139" i="10"/>
  <c r="LF140" i="10"/>
  <c r="LF141" i="10"/>
  <c r="LF142" i="10"/>
  <c r="LF143" i="10"/>
  <c r="LF144" i="10"/>
  <c r="LF145" i="10"/>
  <c r="LF146" i="10"/>
  <c r="LF147" i="10"/>
  <c r="LF148" i="10"/>
  <c r="LF149" i="10"/>
  <c r="LF150" i="10"/>
  <c r="LF151" i="10"/>
  <c r="LF152" i="10"/>
  <c r="LF153" i="10"/>
  <c r="LF154" i="10"/>
  <c r="LF155" i="10"/>
  <c r="LF156" i="10"/>
  <c r="LF157" i="10"/>
  <c r="LF158" i="10"/>
  <c r="LF159" i="10"/>
  <c r="LF160" i="10"/>
  <c r="LF161" i="10"/>
  <c r="LF162" i="10"/>
  <c r="LF163" i="10"/>
  <c r="LF164" i="10"/>
  <c r="LF165" i="10"/>
  <c r="LF166" i="10"/>
  <c r="LF167" i="10"/>
  <c r="LF168" i="10"/>
  <c r="LF169" i="10"/>
  <c r="LF170" i="10"/>
  <c r="LF171" i="10"/>
  <c r="LF172" i="10"/>
  <c r="LF173" i="10"/>
  <c r="LF174" i="10"/>
  <c r="LF175" i="10"/>
  <c r="LF176" i="10"/>
  <c r="LF177" i="10"/>
  <c r="LF178" i="10"/>
  <c r="LF179" i="10"/>
  <c r="LF180" i="10"/>
  <c r="LF181" i="10"/>
  <c r="LF182" i="10"/>
  <c r="LF183" i="10"/>
  <c r="LF184" i="10"/>
  <c r="LF185" i="10"/>
  <c r="LF186" i="10"/>
  <c r="LF187" i="10"/>
  <c r="LF188" i="10"/>
  <c r="LF189" i="10"/>
  <c r="LF190" i="10"/>
  <c r="LF191" i="10"/>
  <c r="LF192" i="10"/>
  <c r="LF193" i="10"/>
  <c r="LF194" i="10"/>
  <c r="LF195" i="10"/>
  <c r="LF196" i="10"/>
  <c r="LF197" i="10"/>
  <c r="LF198" i="10"/>
  <c r="LF199" i="10"/>
  <c r="LF200" i="10"/>
  <c r="LF201" i="10"/>
  <c r="LF202" i="10"/>
  <c r="LF203" i="10"/>
  <c r="LF204" i="10"/>
  <c r="LF205" i="10"/>
  <c r="LF206" i="10"/>
  <c r="LF207" i="10"/>
  <c r="LF208" i="10"/>
  <c r="LF209" i="10"/>
  <c r="LF210" i="10"/>
  <c r="LF211" i="10"/>
  <c r="LF212" i="10"/>
  <c r="LF213" i="10"/>
  <c r="LF214" i="10"/>
  <c r="LF215" i="10"/>
  <c r="LF216" i="10"/>
  <c r="LF217" i="10"/>
  <c r="LF218" i="10"/>
  <c r="LF219" i="10"/>
  <c r="LF220" i="10"/>
  <c r="LF221" i="10"/>
  <c r="LF222" i="10"/>
  <c r="LF223" i="10"/>
  <c r="LF224" i="10"/>
  <c r="LF225" i="10"/>
  <c r="LF226" i="10"/>
  <c r="LF227" i="10"/>
  <c r="LF228" i="10"/>
  <c r="LF229" i="10"/>
  <c r="LF230" i="10"/>
  <c r="LF231" i="10"/>
  <c r="LF232" i="10"/>
  <c r="LF233" i="10"/>
  <c r="LF234" i="10"/>
  <c r="LF235" i="10"/>
  <c r="LF236" i="10"/>
  <c r="LF237" i="10"/>
  <c r="LF238" i="10"/>
  <c r="LF239" i="10"/>
  <c r="LF240" i="10"/>
  <c r="LF241" i="10"/>
  <c r="LF242" i="10"/>
  <c r="LF243" i="10"/>
  <c r="LF244" i="10"/>
  <c r="LF245" i="10"/>
  <c r="LF246" i="10"/>
  <c r="LF247" i="10"/>
  <c r="LF248" i="10"/>
  <c r="LF249" i="10"/>
  <c r="LF250" i="10"/>
  <c r="LF251" i="10"/>
  <c r="LF252" i="10"/>
  <c r="LF253" i="10"/>
  <c r="LF254" i="10"/>
  <c r="LF255" i="10"/>
  <c r="LF256" i="10"/>
  <c r="LF257" i="10"/>
  <c r="LF258" i="10"/>
  <c r="LF259" i="10"/>
  <c r="LF260" i="10"/>
  <c r="LF261" i="10"/>
  <c r="LF262" i="10"/>
  <c r="LF263" i="10"/>
  <c r="LF264" i="10"/>
  <c r="LF265" i="10"/>
  <c r="LF266" i="10"/>
  <c r="LF267" i="10"/>
  <c r="LF268" i="10"/>
  <c r="LF269" i="10"/>
  <c r="LF270" i="10"/>
  <c r="LF271" i="10"/>
  <c r="LF272" i="10"/>
  <c r="LF273" i="10"/>
  <c r="LF274" i="10"/>
  <c r="LF275" i="10"/>
  <c r="LF276" i="10"/>
  <c r="LF277" i="10"/>
  <c r="LF278" i="10"/>
  <c r="LF279" i="10"/>
  <c r="LF280" i="10"/>
  <c r="LF281" i="10"/>
  <c r="LF282" i="10"/>
  <c r="LF283" i="10"/>
  <c r="LF284" i="10"/>
  <c r="LF285" i="10"/>
  <c r="LF286" i="10"/>
  <c r="LF287" i="10"/>
  <c r="LF288" i="10"/>
  <c r="LF289" i="10"/>
  <c r="LF290" i="10"/>
  <c r="LF291" i="10"/>
  <c r="LF292" i="10"/>
  <c r="LF293" i="10"/>
  <c r="LF294" i="10"/>
  <c r="LF295" i="10"/>
  <c r="LF296" i="10"/>
  <c r="LF297" i="10"/>
  <c r="LF298" i="10"/>
  <c r="LF299" i="10"/>
  <c r="LF300" i="10"/>
  <c r="LF301" i="10"/>
  <c r="LF302" i="10"/>
  <c r="LF303" i="10"/>
  <c r="LF304" i="10"/>
  <c r="LF305" i="10"/>
  <c r="LF306" i="10"/>
  <c r="LF307" i="10"/>
  <c r="LF308" i="10"/>
  <c r="LF309" i="10"/>
  <c r="LF310" i="10"/>
  <c r="LF311" i="10"/>
  <c r="LF312" i="10"/>
  <c r="LF313" i="10"/>
  <c r="LF314" i="10"/>
  <c r="LF315" i="10"/>
  <c r="LF316" i="10"/>
  <c r="LF317" i="10"/>
  <c r="LF318" i="10"/>
  <c r="LF319" i="10"/>
  <c r="LF320" i="10"/>
  <c r="LF321" i="10"/>
  <c r="LF322" i="10"/>
  <c r="LF323" i="10"/>
  <c r="LF324" i="10"/>
  <c r="LF325" i="10"/>
  <c r="LF326" i="10"/>
  <c r="LF327" i="10"/>
  <c r="LF328" i="10"/>
  <c r="LF329" i="10"/>
  <c r="LF330" i="10"/>
  <c r="LF331" i="10"/>
  <c r="LF332" i="10"/>
  <c r="LF333" i="10"/>
  <c r="LF334" i="10"/>
  <c r="LF335" i="10"/>
  <c r="LF336" i="10"/>
  <c r="LF337" i="10"/>
  <c r="LF338" i="10"/>
  <c r="LF339" i="10"/>
  <c r="LF340" i="10"/>
  <c r="LF341" i="10"/>
  <c r="LF342" i="10"/>
  <c r="LF343" i="10"/>
  <c r="LF344" i="10"/>
  <c r="LF345" i="10"/>
  <c r="LF346" i="10"/>
  <c r="LF347" i="10"/>
  <c r="LF348" i="10"/>
  <c r="LF349" i="10"/>
  <c r="LF350" i="10"/>
  <c r="LF351" i="10"/>
  <c r="LF352" i="10"/>
  <c r="LF353" i="10"/>
  <c r="LF354" i="10"/>
  <c r="LF355" i="10"/>
  <c r="LF356" i="10"/>
  <c r="LF357" i="10"/>
  <c r="LF358" i="10"/>
  <c r="LF359" i="10"/>
  <c r="LF360" i="10"/>
  <c r="LF361" i="10"/>
  <c r="LF362" i="10"/>
  <c r="LF363" i="10"/>
  <c r="LF364" i="10"/>
  <c r="LF365" i="10"/>
  <c r="LF366" i="10"/>
  <c r="LF367" i="10"/>
  <c r="LF368" i="10"/>
  <c r="LF369" i="10"/>
  <c r="LF370" i="10"/>
  <c r="LF371" i="10"/>
  <c r="LF372" i="10"/>
  <c r="LF373" i="10"/>
  <c r="LF374" i="10"/>
  <c r="LF375" i="10"/>
  <c r="LF376" i="10"/>
  <c r="LF377" i="10"/>
  <c r="LF378" i="10"/>
  <c r="LF379" i="10"/>
  <c r="LF380" i="10"/>
  <c r="LF381" i="10"/>
  <c r="LF382" i="10"/>
  <c r="LF383" i="10"/>
  <c r="LF384" i="10"/>
  <c r="LF385" i="10"/>
  <c r="LF386" i="10"/>
  <c r="LF387" i="10"/>
  <c r="LF388" i="10"/>
  <c r="LF389" i="10"/>
  <c r="LF390" i="10"/>
  <c r="LF391" i="10"/>
  <c r="LF392" i="10"/>
  <c r="X32" i="2"/>
  <c r="V31" i="2"/>
  <c r="V33" i="2"/>
  <c r="V32" i="2"/>
  <c r="U31" i="2"/>
  <c r="U32" i="2"/>
  <c r="U33" i="2"/>
  <c r="T32" i="2"/>
  <c r="Q32" i="2"/>
  <c r="IY392" i="10"/>
  <c r="JO51" i="10"/>
  <c r="JO54" i="10"/>
  <c r="JP54" i="10"/>
  <c r="JO55" i="10"/>
  <c r="JP55" i="10"/>
  <c r="JO56" i="10"/>
  <c r="JO58" i="10"/>
  <c r="JO60" i="10"/>
  <c r="JP60" i="10"/>
  <c r="JO65" i="10"/>
  <c r="JP65" i="10"/>
  <c r="JO66" i="10"/>
  <c r="JP66" i="10"/>
  <c r="JO67" i="10"/>
  <c r="JP67" i="10"/>
  <c r="JO68" i="10"/>
  <c r="JP68" i="10"/>
  <c r="JO72" i="10"/>
  <c r="JP72" i="10"/>
  <c r="JO80" i="10"/>
  <c r="JO83" i="10"/>
  <c r="JP83" i="10"/>
  <c r="JO91" i="10"/>
  <c r="JP91" i="10"/>
  <c r="JO92" i="10"/>
  <c r="JP92" i="10"/>
  <c r="JO96" i="10"/>
  <c r="JP96" i="10"/>
  <c r="JO107" i="10"/>
  <c r="F183" i="12"/>
  <c r="D183" i="12"/>
  <c r="F184" i="12"/>
  <c r="FG116" i="10"/>
  <c r="JO119" i="10"/>
  <c r="JO144" i="10"/>
  <c r="JP144" i="10"/>
  <c r="FG163" i="10"/>
  <c r="FG178" i="10"/>
  <c r="FG183" i="10"/>
  <c r="FG216" i="10"/>
  <c r="JO228" i="10"/>
  <c r="JP228" i="10"/>
  <c r="JO230" i="10"/>
  <c r="JP230" i="10"/>
  <c r="JO278" i="10"/>
  <c r="JP278" i="10"/>
  <c r="JO302" i="10"/>
  <c r="JP302" i="10"/>
  <c r="FG380" i="10"/>
  <c r="FG336" i="10"/>
  <c r="JO360" i="10"/>
  <c r="JP360" i="10"/>
  <c r="FG366" i="10"/>
  <c r="Q392" i="10"/>
  <c r="BN392" i="10" s="1"/>
  <c r="JM392" i="10" s="1"/>
  <c r="KP28" i="10"/>
  <c r="KP29" i="10"/>
  <c r="KP30" i="10"/>
  <c r="KP31" i="10"/>
  <c r="KP32" i="10"/>
  <c r="KP33" i="10"/>
  <c r="KP34" i="10"/>
  <c r="KP35" i="10"/>
  <c r="KP36" i="10"/>
  <c r="KP37" i="10"/>
  <c r="KP38" i="10"/>
  <c r="KP39" i="10"/>
  <c r="KP40" i="10"/>
  <c r="KP41" i="10"/>
  <c r="KP42" i="10"/>
  <c r="KP43" i="10"/>
  <c r="KP44" i="10"/>
  <c r="KP45" i="10"/>
  <c r="KP46" i="10"/>
  <c r="KP47" i="10"/>
  <c r="KP48" i="10"/>
  <c r="KP49" i="10"/>
  <c r="KP50" i="10"/>
  <c r="KP51" i="10"/>
  <c r="KP52" i="10"/>
  <c r="KP53" i="10"/>
  <c r="KP54" i="10"/>
  <c r="KP55" i="10"/>
  <c r="KP56" i="10"/>
  <c r="KP57" i="10"/>
  <c r="KP58" i="10"/>
  <c r="KP59" i="10"/>
  <c r="KP60" i="10"/>
  <c r="KP61" i="10"/>
  <c r="KP62" i="10"/>
  <c r="KP63" i="10"/>
  <c r="KP64" i="10"/>
  <c r="KP65" i="10"/>
  <c r="KP66" i="10"/>
  <c r="KP67" i="10"/>
  <c r="KP68" i="10"/>
  <c r="KP69" i="10"/>
  <c r="KP70" i="10"/>
  <c r="KP71" i="10"/>
  <c r="KP72" i="10"/>
  <c r="KP73" i="10"/>
  <c r="KP74" i="10"/>
  <c r="KP75" i="10"/>
  <c r="KP76" i="10"/>
  <c r="KP77" i="10"/>
  <c r="KP78" i="10"/>
  <c r="KP79" i="10"/>
  <c r="KP80" i="10"/>
  <c r="KP81" i="10"/>
  <c r="KP82" i="10"/>
  <c r="KP83" i="10"/>
  <c r="KP84" i="10"/>
  <c r="KP85" i="10"/>
  <c r="KP86" i="10"/>
  <c r="KP87" i="10"/>
  <c r="KP88" i="10"/>
  <c r="KP89" i="10"/>
  <c r="KP90" i="10"/>
  <c r="KP91" i="10"/>
  <c r="KP92" i="10"/>
  <c r="KP93" i="10"/>
  <c r="KP94" i="10"/>
  <c r="KP95" i="10"/>
  <c r="KP96" i="10"/>
  <c r="KP97" i="10"/>
  <c r="KP98" i="10"/>
  <c r="KP99" i="10"/>
  <c r="KP100" i="10"/>
  <c r="KP101" i="10"/>
  <c r="KP102" i="10"/>
  <c r="KP103" i="10"/>
  <c r="KP104" i="10"/>
  <c r="KP105" i="10"/>
  <c r="KP106" i="10"/>
  <c r="KP107" i="10"/>
  <c r="KP108" i="10"/>
  <c r="KP109" i="10"/>
  <c r="KP110" i="10"/>
  <c r="KP111" i="10"/>
  <c r="KP112" i="10"/>
  <c r="K113" i="10"/>
  <c r="GI113" i="10" s="1"/>
  <c r="AT113" i="10" s="1"/>
  <c r="KP113" i="10"/>
  <c r="KP114" i="10"/>
  <c r="KP115" i="10"/>
  <c r="K116" i="10"/>
  <c r="KP116" i="10"/>
  <c r="K117" i="10"/>
  <c r="KP117" i="10"/>
  <c r="K118" i="10"/>
  <c r="KP118" i="10"/>
  <c r="K119" i="10"/>
  <c r="KP119" i="10"/>
  <c r="K120" i="10"/>
  <c r="KP120" i="10"/>
  <c r="K121" i="10"/>
  <c r="GI121" i="10" s="1"/>
  <c r="AT121" i="10" s="1"/>
  <c r="KP121" i="10"/>
  <c r="K122" i="10"/>
  <c r="GI122" i="10" s="1"/>
  <c r="AT122" i="10" s="1"/>
  <c r="KP122" i="10"/>
  <c r="K123" i="10"/>
  <c r="KP123" i="10"/>
  <c r="K124" i="10"/>
  <c r="KP124" i="10"/>
  <c r="K125" i="10"/>
  <c r="KP125" i="10"/>
  <c r="K126" i="10"/>
  <c r="KP126" i="10"/>
  <c r="K127" i="10"/>
  <c r="GI127" i="10" s="1"/>
  <c r="AT127" i="10" s="1"/>
  <c r="KP127" i="10"/>
  <c r="K128" i="10"/>
  <c r="KP128" i="10"/>
  <c r="K129" i="10"/>
  <c r="GI129" i="10" s="1"/>
  <c r="KP129" i="10"/>
  <c r="K130" i="10"/>
  <c r="KP130" i="10"/>
  <c r="K131" i="10"/>
  <c r="GI131" i="10" s="1"/>
  <c r="AT131" i="10" s="1"/>
  <c r="KP131" i="10"/>
  <c r="K132" i="10"/>
  <c r="GI132" i="10" s="1"/>
  <c r="AT132" i="10" s="1"/>
  <c r="KP132" i="10"/>
  <c r="K133" i="10"/>
  <c r="KP133" i="10"/>
  <c r="K134" i="10"/>
  <c r="KP134" i="10"/>
  <c r="K135" i="10"/>
  <c r="KP135" i="10"/>
  <c r="K136" i="10"/>
  <c r="GI136" i="10" s="1"/>
  <c r="AT136" i="10" s="1"/>
  <c r="KP136" i="10"/>
  <c r="K137" i="10"/>
  <c r="Q137" i="10"/>
  <c r="DZ137" i="10"/>
  <c r="EA137" i="10"/>
  <c r="EB137" i="10"/>
  <c r="DX137" i="10"/>
  <c r="DY137" i="10"/>
  <c r="ED137" i="10"/>
  <c r="EM137" i="10"/>
  <c r="KP137" i="10"/>
  <c r="K138" i="10"/>
  <c r="KP138" i="10"/>
  <c r="K139" i="10"/>
  <c r="KP139" i="10"/>
  <c r="K140" i="10"/>
  <c r="KP140" i="10"/>
  <c r="K141" i="10"/>
  <c r="GI141" i="10" s="1"/>
  <c r="AT141" i="10" s="1"/>
  <c r="KP141" i="10"/>
  <c r="K142" i="10"/>
  <c r="KP142" i="10"/>
  <c r="K143" i="10"/>
  <c r="KP143" i="10"/>
  <c r="K144" i="10"/>
  <c r="GI144" i="10" s="1"/>
  <c r="AT144" i="10" s="1"/>
  <c r="KP144" i="10"/>
  <c r="K145" i="10"/>
  <c r="GI145" i="10" s="1"/>
  <c r="AT145" i="10" s="1"/>
  <c r="KP145" i="10"/>
  <c r="K146" i="10"/>
  <c r="KP146" i="10"/>
  <c r="K147" i="10"/>
  <c r="KP147" i="10"/>
  <c r="K148" i="10"/>
  <c r="KP148" i="10"/>
  <c r="K149" i="10"/>
  <c r="KP149" i="10"/>
  <c r="K150" i="10"/>
  <c r="GI150" i="10" s="1"/>
  <c r="AT150" i="10" s="1"/>
  <c r="KP150" i="10"/>
  <c r="K151" i="10"/>
  <c r="KP151" i="10"/>
  <c r="K152" i="10"/>
  <c r="KP152" i="10"/>
  <c r="K153" i="10"/>
  <c r="GI153" i="10" s="1"/>
  <c r="AT153" i="10" s="1"/>
  <c r="KP153" i="10"/>
  <c r="K154" i="10"/>
  <c r="GI154" i="10" s="1"/>
  <c r="AT154" i="10" s="1"/>
  <c r="KP154" i="10"/>
  <c r="K155" i="10"/>
  <c r="GI155" i="10" s="1"/>
  <c r="AT155" i="10" s="1"/>
  <c r="KP155" i="10"/>
  <c r="K156" i="10"/>
  <c r="KP156" i="10"/>
  <c r="K157" i="10"/>
  <c r="KP157" i="10"/>
  <c r="K158" i="10"/>
  <c r="KP158" i="10"/>
  <c r="K159" i="10"/>
  <c r="KP159" i="10"/>
  <c r="K160" i="10"/>
  <c r="KP160" i="10"/>
  <c r="K161" i="10"/>
  <c r="KP161" i="10"/>
  <c r="K162" i="10"/>
  <c r="GI162" i="10" s="1"/>
  <c r="AT162" i="10" s="1"/>
  <c r="KP162" i="10"/>
  <c r="K163" i="10"/>
  <c r="GI163" i="10" s="1"/>
  <c r="AT163" i="10" s="1"/>
  <c r="KP163" i="10"/>
  <c r="K164" i="10"/>
  <c r="GI164" i="10" s="1"/>
  <c r="AT164" i="10" s="1"/>
  <c r="Q164" i="10"/>
  <c r="KP164" i="10"/>
  <c r="K165" i="10"/>
  <c r="KP165" i="10"/>
  <c r="K166" i="10"/>
  <c r="KP166" i="10"/>
  <c r="K167" i="10"/>
  <c r="GI167" i="10" s="1"/>
  <c r="AT167" i="10" s="1"/>
  <c r="KP167" i="10"/>
  <c r="K168" i="10"/>
  <c r="KP168" i="10"/>
  <c r="K169" i="10"/>
  <c r="KP169" i="10"/>
  <c r="K170" i="10"/>
  <c r="GI170" i="10" s="1"/>
  <c r="AT170" i="10" s="1"/>
  <c r="KP170" i="10"/>
  <c r="K171" i="10"/>
  <c r="GI171" i="10" s="1"/>
  <c r="AT171" i="10" s="1"/>
  <c r="KP171" i="10"/>
  <c r="K172" i="10"/>
  <c r="GI172" i="10" s="1"/>
  <c r="AT172" i="10" s="1"/>
  <c r="KP172" i="10"/>
  <c r="K173" i="10"/>
  <c r="KP173" i="10"/>
  <c r="K174" i="10"/>
  <c r="KP174" i="10"/>
  <c r="K175" i="10"/>
  <c r="KP175" i="10"/>
  <c r="K176" i="10"/>
  <c r="KP176" i="10"/>
  <c r="K177" i="10"/>
  <c r="KP177" i="10"/>
  <c r="K178" i="10"/>
  <c r="KP178" i="10"/>
  <c r="K179" i="10"/>
  <c r="GI179" i="10" s="1"/>
  <c r="AT179" i="10" s="1"/>
  <c r="KP179" i="10"/>
  <c r="K180" i="10"/>
  <c r="GI180" i="10" s="1"/>
  <c r="AT180" i="10" s="1"/>
  <c r="KP180" i="10"/>
  <c r="K181" i="10"/>
  <c r="GI181" i="10" s="1"/>
  <c r="AT181" i="10" s="1"/>
  <c r="KP181" i="10"/>
  <c r="K182" i="10"/>
  <c r="KP182" i="10"/>
  <c r="K183" i="10"/>
  <c r="KP183" i="10"/>
  <c r="K184" i="10"/>
  <c r="KP184" i="10"/>
  <c r="K185" i="10"/>
  <c r="GI185" i="10" s="1"/>
  <c r="AT185" i="10" s="1"/>
  <c r="KP185" i="10"/>
  <c r="K186" i="10"/>
  <c r="KP186" i="10"/>
  <c r="K187" i="10"/>
  <c r="KP187" i="10"/>
  <c r="K188" i="10"/>
  <c r="GI188" i="10" s="1"/>
  <c r="AT188" i="10" s="1"/>
  <c r="KP188" i="10"/>
  <c r="K189" i="10"/>
  <c r="GI189" i="10" s="1"/>
  <c r="AT189" i="10" s="1"/>
  <c r="KP189" i="10"/>
  <c r="K190" i="10"/>
  <c r="GI190" i="10" s="1"/>
  <c r="AT190" i="10" s="1"/>
  <c r="KP190" i="10"/>
  <c r="K191" i="10"/>
  <c r="Q191" i="10"/>
  <c r="GI191" i="10"/>
  <c r="AT191" i="10" s="1"/>
  <c r="KP191" i="10"/>
  <c r="K192" i="10"/>
  <c r="KP192" i="10"/>
  <c r="K193" i="10"/>
  <c r="KP193" i="10"/>
  <c r="K194" i="10"/>
  <c r="KP194" i="10"/>
  <c r="K195" i="10"/>
  <c r="KP195" i="10"/>
  <c r="K196" i="10"/>
  <c r="GI196" i="10" s="1"/>
  <c r="AT196" i="10" s="1"/>
  <c r="KP196" i="10"/>
  <c r="K197" i="10"/>
  <c r="GI197" i="10" s="1"/>
  <c r="AT197" i="10" s="1"/>
  <c r="KP197" i="10"/>
  <c r="K198" i="10"/>
  <c r="GI198" i="10" s="1"/>
  <c r="AT198" i="10" s="1"/>
  <c r="KP198" i="10"/>
  <c r="K199" i="10"/>
  <c r="KP199" i="10"/>
  <c r="K200" i="10"/>
  <c r="KP200" i="10"/>
  <c r="K201" i="10"/>
  <c r="KP201" i="10"/>
  <c r="K202" i="10"/>
  <c r="KP202" i="10"/>
  <c r="K203" i="10"/>
  <c r="KP203" i="10"/>
  <c r="K204" i="10"/>
  <c r="KP204" i="10"/>
  <c r="K205" i="10"/>
  <c r="GI205" i="10" s="1"/>
  <c r="AT205" i="10" s="1"/>
  <c r="KP205" i="10"/>
  <c r="K206" i="10"/>
  <c r="GI206" i="10" s="1"/>
  <c r="AT206" i="10" s="1"/>
  <c r="KP206" i="10"/>
  <c r="K207" i="10"/>
  <c r="GI207" i="10" s="1"/>
  <c r="AT207" i="10" s="1"/>
  <c r="KP207" i="10"/>
  <c r="K208" i="10"/>
  <c r="KP208" i="10"/>
  <c r="K209" i="10"/>
  <c r="Q209" i="10"/>
  <c r="GI209" i="10" s="1"/>
  <c r="AT209" i="10" s="1"/>
  <c r="KP209" i="10"/>
  <c r="K210" i="10"/>
  <c r="KP210" i="10"/>
  <c r="K211" i="10"/>
  <c r="KP211" i="10"/>
  <c r="K212" i="10"/>
  <c r="KP212" i="10"/>
  <c r="K213" i="10"/>
  <c r="KP213" i="10"/>
  <c r="K214" i="10"/>
  <c r="GI214" i="10" s="1"/>
  <c r="AT214" i="10" s="1"/>
  <c r="KP214" i="10"/>
  <c r="K215" i="10"/>
  <c r="KP215" i="10"/>
  <c r="K216" i="10"/>
  <c r="KP216" i="10"/>
  <c r="K217" i="10"/>
  <c r="KP217" i="10"/>
  <c r="K218" i="10"/>
  <c r="KP218" i="10"/>
  <c r="K219" i="10"/>
  <c r="KP219" i="10"/>
  <c r="K220" i="10"/>
  <c r="KP220" i="10"/>
  <c r="K221" i="10"/>
  <c r="KP221" i="10"/>
  <c r="K222" i="10"/>
  <c r="GI222" i="10" s="1"/>
  <c r="AT222" i="10" s="1"/>
  <c r="KP222" i="10"/>
  <c r="K223" i="10"/>
  <c r="GI223" i="10" s="1"/>
  <c r="AT223" i="10" s="1"/>
  <c r="KP223" i="10"/>
  <c r="K224" i="10"/>
  <c r="KP224" i="10"/>
  <c r="K225" i="10"/>
  <c r="KP225" i="10"/>
  <c r="K226" i="10"/>
  <c r="KP226" i="10"/>
  <c r="K227" i="10"/>
  <c r="KP227" i="10"/>
  <c r="K228" i="10"/>
  <c r="KP228" i="10"/>
  <c r="K229" i="10"/>
  <c r="KP229" i="10"/>
  <c r="K230" i="10"/>
  <c r="KP230" i="10"/>
  <c r="K231" i="10"/>
  <c r="KP231" i="10"/>
  <c r="K232" i="10"/>
  <c r="GI232" i="10" s="1"/>
  <c r="AT232" i="10" s="1"/>
  <c r="KP232" i="10"/>
  <c r="K233" i="10"/>
  <c r="KP233" i="10"/>
  <c r="K234" i="10"/>
  <c r="KP234" i="10"/>
  <c r="K235" i="10"/>
  <c r="KP235" i="10"/>
  <c r="K236" i="10"/>
  <c r="KP236" i="10"/>
  <c r="K237" i="10"/>
  <c r="KP237" i="10"/>
  <c r="K238" i="10"/>
  <c r="KP238" i="10"/>
  <c r="K239" i="10"/>
  <c r="KP239" i="10"/>
  <c r="K240" i="10"/>
  <c r="KP240" i="10"/>
  <c r="K241" i="10"/>
  <c r="GI241" i="10" s="1"/>
  <c r="AT241" i="10" s="1"/>
  <c r="KP241" i="10"/>
  <c r="K242" i="10"/>
  <c r="KP242" i="10"/>
  <c r="K243" i="10"/>
  <c r="KP243" i="10"/>
  <c r="K244" i="10"/>
  <c r="KP244" i="10"/>
  <c r="K245" i="10"/>
  <c r="KP245" i="10"/>
  <c r="K246" i="10"/>
  <c r="KP246" i="10"/>
  <c r="K247" i="10"/>
  <c r="KP247" i="10"/>
  <c r="K248" i="10"/>
  <c r="KP248" i="10"/>
  <c r="K249" i="10"/>
  <c r="KP249" i="10"/>
  <c r="K250" i="10"/>
  <c r="GI250" i="10" s="1"/>
  <c r="AT250" i="10" s="1"/>
  <c r="KP250" i="10"/>
  <c r="K251" i="10"/>
  <c r="KP251" i="10"/>
  <c r="K252" i="10"/>
  <c r="KP252" i="10"/>
  <c r="K253" i="10"/>
  <c r="KP253" i="10"/>
  <c r="K254" i="10"/>
  <c r="KP254" i="10"/>
  <c r="K255" i="10"/>
  <c r="KP255" i="10"/>
  <c r="K256" i="10"/>
  <c r="KP256" i="10"/>
  <c r="K257" i="10"/>
  <c r="KP257" i="10"/>
  <c r="K258" i="10"/>
  <c r="KP258" i="10"/>
  <c r="K259" i="10"/>
  <c r="GI259" i="10" s="1"/>
  <c r="AT259" i="10" s="1"/>
  <c r="KP259" i="10"/>
  <c r="K260" i="10"/>
  <c r="KP260" i="10"/>
  <c r="K261" i="10"/>
  <c r="KP261" i="10"/>
  <c r="K262" i="10"/>
  <c r="KP262" i="10"/>
  <c r="K263" i="10"/>
  <c r="KP263" i="10"/>
  <c r="K264" i="10"/>
  <c r="KP264" i="10"/>
  <c r="K265" i="10"/>
  <c r="KP265" i="10"/>
  <c r="K266" i="10"/>
  <c r="KP266" i="10"/>
  <c r="K267" i="10"/>
  <c r="GI267" i="10" s="1"/>
  <c r="AT267" i="10" s="1"/>
  <c r="KP267" i="10"/>
  <c r="K268" i="10"/>
  <c r="GI268" i="10" s="1"/>
  <c r="AT268" i="10" s="1"/>
  <c r="KP268" i="10"/>
  <c r="K269" i="10"/>
  <c r="KP269" i="10"/>
  <c r="K270" i="10"/>
  <c r="KP270" i="10"/>
  <c r="K271" i="10"/>
  <c r="KP271" i="10"/>
  <c r="K272" i="10"/>
  <c r="Q272" i="10"/>
  <c r="BN272" i="10" s="1"/>
  <c r="KP272" i="10"/>
  <c r="K273" i="10"/>
  <c r="KP273" i="10"/>
  <c r="K274" i="10"/>
  <c r="GI274" i="10" s="1"/>
  <c r="AT274" i="10" s="1"/>
  <c r="KP274" i="10"/>
  <c r="K275" i="10"/>
  <c r="KP275" i="10"/>
  <c r="K276" i="10"/>
  <c r="GI276" i="10" s="1"/>
  <c r="AT276" i="10" s="1"/>
  <c r="KP276" i="10"/>
  <c r="K277" i="10"/>
  <c r="GI277" i="10" s="1"/>
  <c r="AT277" i="10" s="1"/>
  <c r="KP277" i="10"/>
  <c r="K278" i="10"/>
  <c r="KP278" i="10"/>
  <c r="K279" i="10"/>
  <c r="KP279" i="10"/>
  <c r="K280" i="10"/>
  <c r="KP280" i="10"/>
  <c r="K281" i="10"/>
  <c r="KP281" i="10"/>
  <c r="K282" i="10"/>
  <c r="KP282" i="10"/>
  <c r="K283" i="10"/>
  <c r="GI283" i="10" s="1"/>
  <c r="AT283" i="10" s="1"/>
  <c r="KP283" i="10"/>
  <c r="K284" i="10"/>
  <c r="KP284" i="10"/>
  <c r="K285" i="10"/>
  <c r="GI285" i="10" s="1"/>
  <c r="AT285" i="10" s="1"/>
  <c r="KP285" i="10"/>
  <c r="K286" i="10"/>
  <c r="GI286" i="10" s="1"/>
  <c r="AT286" i="10" s="1"/>
  <c r="KP286" i="10"/>
  <c r="K287" i="10"/>
  <c r="KP287" i="10"/>
  <c r="K288" i="10"/>
  <c r="KP288" i="10"/>
  <c r="K289" i="10"/>
  <c r="KP289" i="10"/>
  <c r="K290" i="10"/>
  <c r="KP290" i="10"/>
  <c r="K291" i="10"/>
  <c r="KP291" i="10"/>
  <c r="K292" i="10"/>
  <c r="GI292" i="10" s="1"/>
  <c r="AT292" i="10" s="1"/>
  <c r="KP292" i="10"/>
  <c r="K293" i="10"/>
  <c r="KP293" i="10"/>
  <c r="K294" i="10"/>
  <c r="GI294" i="10" s="1"/>
  <c r="KP294" i="10"/>
  <c r="K295" i="10"/>
  <c r="GI295" i="10" s="1"/>
  <c r="AT295" i="10" s="1"/>
  <c r="KP295" i="10"/>
  <c r="K296" i="10"/>
  <c r="KP296" i="10"/>
  <c r="K297" i="10"/>
  <c r="KP297" i="10"/>
  <c r="K298" i="10"/>
  <c r="KP298" i="10"/>
  <c r="K299" i="10"/>
  <c r="Q299" i="10"/>
  <c r="KP299" i="10"/>
  <c r="K300" i="10"/>
  <c r="KP300" i="10"/>
  <c r="K301" i="10"/>
  <c r="KP301" i="10"/>
  <c r="K302" i="10"/>
  <c r="KP302" i="10"/>
  <c r="K303" i="10"/>
  <c r="GI303" i="10" s="1"/>
  <c r="AT303" i="10" s="1"/>
  <c r="KP303" i="10"/>
  <c r="K304" i="10"/>
  <c r="KP304" i="10"/>
  <c r="K305" i="10"/>
  <c r="KP305" i="10"/>
  <c r="K306" i="10"/>
  <c r="KP306" i="10"/>
  <c r="K307" i="10"/>
  <c r="KP307" i="10"/>
  <c r="K308" i="10"/>
  <c r="KP308" i="10"/>
  <c r="K309" i="10"/>
  <c r="KP309" i="10"/>
  <c r="K310" i="10"/>
  <c r="GI310" i="10" s="1"/>
  <c r="AT310" i="10" s="1"/>
  <c r="KP310" i="10"/>
  <c r="K311" i="10"/>
  <c r="KP311" i="10"/>
  <c r="K312" i="10"/>
  <c r="GI312" i="10" s="1"/>
  <c r="AT312" i="10" s="1"/>
  <c r="KP312" i="10"/>
  <c r="K313" i="10"/>
  <c r="KP313" i="10"/>
  <c r="K314" i="10"/>
  <c r="KP314" i="10"/>
  <c r="K315" i="10"/>
  <c r="KP315" i="10"/>
  <c r="K316" i="10"/>
  <c r="KP316" i="10"/>
  <c r="K317" i="10"/>
  <c r="KP317" i="10"/>
  <c r="K318" i="10"/>
  <c r="KP318" i="10"/>
  <c r="K319" i="10"/>
  <c r="KP319" i="10"/>
  <c r="K320" i="10"/>
  <c r="KP320" i="10"/>
  <c r="K321" i="10"/>
  <c r="GI321" i="10" s="1"/>
  <c r="AT321" i="10" s="1"/>
  <c r="KP321" i="10"/>
  <c r="K322" i="10"/>
  <c r="KP322" i="10"/>
  <c r="K323" i="10"/>
  <c r="KP323" i="10"/>
  <c r="K324" i="10"/>
  <c r="KP324" i="10"/>
  <c r="K325" i="10"/>
  <c r="KP325" i="10"/>
  <c r="K326" i="10"/>
  <c r="Q326" i="10"/>
  <c r="GI326" i="10" s="1"/>
  <c r="AT326" i="10" s="1"/>
  <c r="KP326" i="10"/>
  <c r="K327" i="10"/>
  <c r="KP327" i="10"/>
  <c r="K328" i="10"/>
  <c r="GI328" i="10" s="1"/>
  <c r="AT328" i="10" s="1"/>
  <c r="KP328" i="10"/>
  <c r="K329" i="10"/>
  <c r="GI329" i="10" s="1"/>
  <c r="AT329" i="10" s="1"/>
  <c r="KP329" i="10"/>
  <c r="K330" i="10"/>
  <c r="GI330" i="10" s="1"/>
  <c r="AT330" i="10" s="1"/>
  <c r="KP330" i="10"/>
  <c r="K331" i="10"/>
  <c r="KP331" i="10"/>
  <c r="K332" i="10"/>
  <c r="KP332" i="10"/>
  <c r="K333" i="10"/>
  <c r="KP333" i="10"/>
  <c r="K334" i="10"/>
  <c r="KP334" i="10"/>
  <c r="K335" i="10"/>
  <c r="GI335" i="10" s="1"/>
  <c r="AT335" i="10" s="1"/>
  <c r="Q335" i="10"/>
  <c r="KP335" i="10"/>
  <c r="K336" i="10"/>
  <c r="KP336" i="10"/>
  <c r="K337" i="10"/>
  <c r="GI337" i="10" s="1"/>
  <c r="AT337" i="10" s="1"/>
  <c r="KP337" i="10"/>
  <c r="K338" i="10"/>
  <c r="GI338" i="10" s="1"/>
  <c r="AT338" i="10" s="1"/>
  <c r="KP338" i="10"/>
  <c r="K339" i="10"/>
  <c r="KP339" i="10"/>
  <c r="K340" i="10"/>
  <c r="KP340" i="10"/>
  <c r="K341" i="10"/>
  <c r="KP341" i="10"/>
  <c r="K342" i="10"/>
  <c r="KP342" i="10"/>
  <c r="K343" i="10"/>
  <c r="KP343" i="10"/>
  <c r="K344" i="10"/>
  <c r="KP344" i="10"/>
  <c r="K345" i="10"/>
  <c r="KP345" i="10"/>
  <c r="K346" i="10"/>
  <c r="GI346" i="10" s="1"/>
  <c r="KP346" i="10"/>
  <c r="K347" i="10"/>
  <c r="GI347" i="10" s="1"/>
  <c r="AT347" i="10" s="1"/>
  <c r="KP347" i="10"/>
  <c r="K348" i="10"/>
  <c r="KP348" i="10"/>
  <c r="K349" i="10"/>
  <c r="KP349" i="10"/>
  <c r="K350" i="10"/>
  <c r="KP350" i="10"/>
  <c r="K351" i="10"/>
  <c r="KP351" i="10"/>
  <c r="K352" i="10"/>
  <c r="KP352" i="10"/>
  <c r="K353" i="10"/>
  <c r="KP353" i="10"/>
  <c r="K354" i="10"/>
  <c r="KP354" i="10"/>
  <c r="K355" i="10"/>
  <c r="GI355" i="10" s="1"/>
  <c r="AT355" i="10" s="1"/>
  <c r="KP355" i="10"/>
  <c r="K356" i="10"/>
  <c r="GI356" i="10" s="1"/>
  <c r="AT356" i="10" s="1"/>
  <c r="KP356" i="10"/>
  <c r="K357" i="10"/>
  <c r="KP357" i="10"/>
  <c r="K358" i="10"/>
  <c r="KP358" i="10"/>
  <c r="K359" i="10"/>
  <c r="KP359" i="10"/>
  <c r="K360" i="10"/>
  <c r="KP360" i="10"/>
  <c r="K361" i="10"/>
  <c r="KP361" i="10"/>
  <c r="K362" i="10"/>
  <c r="KP362" i="10"/>
  <c r="K363" i="10"/>
  <c r="GI363" i="10" s="1"/>
  <c r="AT363" i="10" s="1"/>
  <c r="KP363" i="10"/>
  <c r="K364" i="10"/>
  <c r="GI364" i="10" s="1"/>
  <c r="AT364" i="10" s="1"/>
  <c r="KP364" i="10"/>
  <c r="K365" i="10"/>
  <c r="GI365" i="10" s="1"/>
  <c r="AT365" i="10" s="1"/>
  <c r="KP365" i="10"/>
  <c r="K366" i="10"/>
  <c r="KP366" i="10"/>
  <c r="K367" i="10"/>
  <c r="KP367" i="10"/>
  <c r="K368" i="10"/>
  <c r="KP368" i="10"/>
  <c r="K369" i="10"/>
  <c r="KP369" i="10"/>
  <c r="K370" i="10"/>
  <c r="KP370" i="10"/>
  <c r="K371" i="10"/>
  <c r="KP371" i="10"/>
  <c r="K372" i="10"/>
  <c r="KP372" i="10"/>
  <c r="K373" i="10"/>
  <c r="GI373" i="10" s="1"/>
  <c r="AT373" i="10" s="1"/>
  <c r="KP373" i="10"/>
  <c r="K374" i="10"/>
  <c r="GI374" i="10" s="1"/>
  <c r="AT374" i="10" s="1"/>
  <c r="KP374" i="10"/>
  <c r="K375" i="10"/>
  <c r="KP375" i="10"/>
  <c r="K376" i="10"/>
  <c r="KP376" i="10"/>
  <c r="K377" i="10"/>
  <c r="KP377" i="10"/>
  <c r="K378" i="10"/>
  <c r="KP378" i="10"/>
  <c r="K379" i="10"/>
  <c r="KP379" i="10"/>
  <c r="K380" i="10"/>
  <c r="Q380" i="10"/>
  <c r="KP380" i="10"/>
  <c r="K381" i="10"/>
  <c r="KP381" i="10"/>
  <c r="K382" i="10"/>
  <c r="GI382" i="10" s="1"/>
  <c r="AT382" i="10" s="1"/>
  <c r="KP382" i="10"/>
  <c r="X5" i="10"/>
  <c r="HZ28" i="10"/>
  <c r="HZ29" i="10"/>
  <c r="HZ30" i="10"/>
  <c r="HZ31" i="10"/>
  <c r="HZ32" i="10"/>
  <c r="HZ33" i="10"/>
  <c r="HZ34" i="10"/>
  <c r="HZ35" i="10"/>
  <c r="HZ36" i="10"/>
  <c r="HZ37" i="10"/>
  <c r="HZ38" i="10"/>
  <c r="HZ39" i="10"/>
  <c r="HZ40" i="10"/>
  <c r="HZ41" i="10"/>
  <c r="HZ42" i="10"/>
  <c r="HZ43" i="10"/>
  <c r="HZ44" i="10"/>
  <c r="HZ45" i="10"/>
  <c r="HZ46" i="10"/>
  <c r="HZ47" i="10"/>
  <c r="HZ48" i="10"/>
  <c r="HZ49" i="10"/>
  <c r="HZ50" i="10"/>
  <c r="HZ51" i="10"/>
  <c r="HZ52" i="10"/>
  <c r="HZ53" i="10"/>
  <c r="HZ54" i="10"/>
  <c r="HZ55" i="10"/>
  <c r="HZ56" i="10"/>
  <c r="HZ57" i="10"/>
  <c r="HZ58" i="10"/>
  <c r="HZ59" i="10"/>
  <c r="HZ60" i="10"/>
  <c r="HZ61" i="10"/>
  <c r="HZ62" i="10"/>
  <c r="HZ63" i="10"/>
  <c r="HZ64" i="10"/>
  <c r="HZ65" i="10"/>
  <c r="HZ66" i="10"/>
  <c r="HZ67" i="10"/>
  <c r="HZ68" i="10"/>
  <c r="HZ69" i="10"/>
  <c r="HZ70" i="10"/>
  <c r="HZ71" i="10"/>
  <c r="HZ72" i="10"/>
  <c r="HZ73" i="10"/>
  <c r="HZ74" i="10"/>
  <c r="HZ75" i="10"/>
  <c r="HZ76" i="10"/>
  <c r="HZ77" i="10"/>
  <c r="HZ78" i="10"/>
  <c r="HZ79" i="10"/>
  <c r="HZ80" i="10"/>
  <c r="HZ81" i="10"/>
  <c r="HZ82" i="10"/>
  <c r="HZ83" i="10"/>
  <c r="HZ84" i="10"/>
  <c r="HZ85" i="10"/>
  <c r="HZ86" i="10"/>
  <c r="HZ87" i="10"/>
  <c r="HZ88" i="10"/>
  <c r="HZ89" i="10"/>
  <c r="HZ90" i="10"/>
  <c r="HZ91" i="10"/>
  <c r="HZ92" i="10"/>
  <c r="HZ93" i="10"/>
  <c r="HZ94" i="10"/>
  <c r="HZ95" i="10"/>
  <c r="HZ96" i="10"/>
  <c r="HZ97" i="10"/>
  <c r="HZ98" i="10"/>
  <c r="HZ99" i="10"/>
  <c r="HZ100" i="10"/>
  <c r="HZ101" i="10"/>
  <c r="HZ102" i="10"/>
  <c r="HZ103" i="10"/>
  <c r="HZ104" i="10"/>
  <c r="HZ105" i="10"/>
  <c r="HZ106" i="10"/>
  <c r="HZ107" i="10"/>
  <c r="HZ108" i="10"/>
  <c r="HZ109" i="10"/>
  <c r="HZ110" i="10"/>
  <c r="HZ111" i="10"/>
  <c r="HZ112" i="10"/>
  <c r="HZ113" i="10"/>
  <c r="HZ114" i="10"/>
  <c r="HZ115" i="10"/>
  <c r="HZ116" i="10"/>
  <c r="HZ117" i="10"/>
  <c r="HZ118" i="10"/>
  <c r="HZ119" i="10"/>
  <c r="HZ120" i="10"/>
  <c r="HZ121" i="10"/>
  <c r="HZ122" i="10"/>
  <c r="HZ123" i="10"/>
  <c r="HZ124" i="10"/>
  <c r="HZ125" i="10"/>
  <c r="HZ126" i="10"/>
  <c r="HZ127" i="10"/>
  <c r="HZ128" i="10"/>
  <c r="HZ129" i="10"/>
  <c r="HZ130" i="10"/>
  <c r="HZ131" i="10"/>
  <c r="HZ132" i="10"/>
  <c r="HZ133" i="10"/>
  <c r="HZ134" i="10"/>
  <c r="HZ135" i="10"/>
  <c r="HZ136" i="10"/>
  <c r="HZ137" i="10"/>
  <c r="HZ138" i="10"/>
  <c r="HZ139" i="10"/>
  <c r="HZ140" i="10"/>
  <c r="HZ141" i="10"/>
  <c r="HZ142" i="10"/>
  <c r="HZ143" i="10"/>
  <c r="HZ144" i="10"/>
  <c r="HZ145" i="10"/>
  <c r="HZ146" i="10"/>
  <c r="HZ147" i="10"/>
  <c r="HZ148" i="10"/>
  <c r="HZ149" i="10"/>
  <c r="HZ150" i="10"/>
  <c r="HZ151" i="10"/>
  <c r="HZ152" i="10"/>
  <c r="HZ153" i="10"/>
  <c r="HZ154" i="10"/>
  <c r="HZ155" i="10"/>
  <c r="HZ156" i="10"/>
  <c r="HZ157" i="10"/>
  <c r="HZ158" i="10"/>
  <c r="HZ159" i="10"/>
  <c r="HZ160" i="10"/>
  <c r="HZ161" i="10"/>
  <c r="HZ162" i="10"/>
  <c r="HZ163" i="10"/>
  <c r="HZ164" i="10"/>
  <c r="HZ165" i="10"/>
  <c r="HZ166" i="10"/>
  <c r="HZ167" i="10"/>
  <c r="HZ168" i="10"/>
  <c r="HZ169" i="10"/>
  <c r="HZ170" i="10"/>
  <c r="HZ171" i="10"/>
  <c r="HZ172" i="10"/>
  <c r="HZ173" i="10"/>
  <c r="HZ174" i="10"/>
  <c r="HZ175" i="10"/>
  <c r="HZ176" i="10"/>
  <c r="HZ177" i="10"/>
  <c r="HZ178" i="10"/>
  <c r="HZ179" i="10"/>
  <c r="HZ180" i="10"/>
  <c r="HZ181" i="10"/>
  <c r="HZ182" i="10"/>
  <c r="HZ183" i="10"/>
  <c r="HZ184" i="10"/>
  <c r="HZ185" i="10"/>
  <c r="HZ186" i="10"/>
  <c r="HZ187" i="10"/>
  <c r="HZ188" i="10"/>
  <c r="HZ189" i="10"/>
  <c r="HZ190" i="10"/>
  <c r="HZ191" i="10"/>
  <c r="HZ192" i="10"/>
  <c r="HZ193" i="10"/>
  <c r="HZ194" i="10"/>
  <c r="HZ195" i="10"/>
  <c r="HZ196" i="10"/>
  <c r="HZ197" i="10"/>
  <c r="HZ198" i="10"/>
  <c r="HZ199" i="10"/>
  <c r="HZ200" i="10"/>
  <c r="HZ201" i="10"/>
  <c r="HZ202" i="10"/>
  <c r="HZ203" i="10"/>
  <c r="HZ204" i="10"/>
  <c r="HZ205" i="10"/>
  <c r="HZ206" i="10"/>
  <c r="HZ207" i="10"/>
  <c r="HZ208" i="10"/>
  <c r="HZ209" i="10"/>
  <c r="HZ210" i="10"/>
  <c r="HZ211" i="10"/>
  <c r="HZ212" i="10"/>
  <c r="HZ213" i="10"/>
  <c r="HZ214" i="10"/>
  <c r="HZ215" i="10"/>
  <c r="HZ216" i="10"/>
  <c r="HZ217" i="10"/>
  <c r="HZ218" i="10"/>
  <c r="HZ219" i="10"/>
  <c r="HZ220" i="10"/>
  <c r="HZ221" i="10"/>
  <c r="HZ222" i="10"/>
  <c r="HZ223" i="10"/>
  <c r="HZ224" i="10"/>
  <c r="HZ225" i="10"/>
  <c r="HZ226" i="10"/>
  <c r="HZ227" i="10"/>
  <c r="HZ228" i="10"/>
  <c r="HZ229" i="10"/>
  <c r="HZ230" i="10"/>
  <c r="HZ231" i="10"/>
  <c r="HZ232" i="10"/>
  <c r="HZ233" i="10"/>
  <c r="HZ234" i="10"/>
  <c r="HZ235" i="10"/>
  <c r="HZ236" i="10"/>
  <c r="HZ237" i="10"/>
  <c r="HZ238" i="10"/>
  <c r="HZ239" i="10"/>
  <c r="HZ240" i="10"/>
  <c r="HZ241" i="10"/>
  <c r="HZ242" i="10"/>
  <c r="HZ243" i="10"/>
  <c r="HZ244" i="10"/>
  <c r="HZ245" i="10"/>
  <c r="HZ246" i="10"/>
  <c r="HZ247" i="10"/>
  <c r="HZ248" i="10"/>
  <c r="HZ249" i="10"/>
  <c r="HZ250" i="10"/>
  <c r="HZ251" i="10"/>
  <c r="HZ252" i="10"/>
  <c r="HZ253" i="10"/>
  <c r="HZ254" i="10"/>
  <c r="HZ255" i="10"/>
  <c r="HZ256" i="10"/>
  <c r="HZ257" i="10"/>
  <c r="HZ258" i="10"/>
  <c r="HZ259" i="10"/>
  <c r="HZ260" i="10"/>
  <c r="HZ261" i="10"/>
  <c r="HZ262" i="10"/>
  <c r="HZ263" i="10"/>
  <c r="HZ264" i="10"/>
  <c r="HZ265" i="10"/>
  <c r="HZ266" i="10"/>
  <c r="HZ267" i="10"/>
  <c r="HZ268" i="10"/>
  <c r="HZ269" i="10"/>
  <c r="HZ270" i="10"/>
  <c r="HZ271" i="10"/>
  <c r="HZ272" i="10"/>
  <c r="HZ273" i="10"/>
  <c r="HZ274" i="10"/>
  <c r="HZ275" i="10"/>
  <c r="HZ276" i="10"/>
  <c r="HZ277" i="10"/>
  <c r="HZ278" i="10"/>
  <c r="HZ279" i="10"/>
  <c r="HZ280" i="10"/>
  <c r="HZ281" i="10"/>
  <c r="HZ282" i="10"/>
  <c r="HZ283" i="10"/>
  <c r="HZ284" i="10"/>
  <c r="HZ285" i="10"/>
  <c r="HZ286" i="10"/>
  <c r="HZ287" i="10"/>
  <c r="HZ288" i="10"/>
  <c r="HZ289" i="10"/>
  <c r="HZ290" i="10"/>
  <c r="HZ291" i="10"/>
  <c r="HZ292" i="10"/>
  <c r="HZ293" i="10"/>
  <c r="HZ294" i="10"/>
  <c r="HZ295" i="10"/>
  <c r="HZ296" i="10"/>
  <c r="HZ297" i="10"/>
  <c r="HZ298" i="10"/>
  <c r="HZ299" i="10"/>
  <c r="HZ300" i="10"/>
  <c r="HZ301" i="10"/>
  <c r="HZ302" i="10"/>
  <c r="HZ303" i="10"/>
  <c r="HZ304" i="10"/>
  <c r="HZ305" i="10"/>
  <c r="HZ306" i="10"/>
  <c r="HZ307" i="10"/>
  <c r="HZ308" i="10"/>
  <c r="HZ309" i="10"/>
  <c r="HZ310" i="10"/>
  <c r="HZ311" i="10"/>
  <c r="HZ312" i="10"/>
  <c r="HZ313" i="10"/>
  <c r="HZ314" i="10"/>
  <c r="HZ315" i="10"/>
  <c r="HZ316" i="10"/>
  <c r="HZ317" i="10"/>
  <c r="HZ318" i="10"/>
  <c r="HZ319" i="10"/>
  <c r="HZ320" i="10"/>
  <c r="HZ321" i="10"/>
  <c r="HZ322" i="10"/>
  <c r="HZ323" i="10"/>
  <c r="HZ324" i="10"/>
  <c r="HZ325" i="10"/>
  <c r="HZ326" i="10"/>
  <c r="HZ327" i="10"/>
  <c r="HZ328" i="10"/>
  <c r="HZ329" i="10"/>
  <c r="HZ330" i="10"/>
  <c r="HZ331" i="10"/>
  <c r="HZ332" i="10"/>
  <c r="HZ333" i="10"/>
  <c r="HZ334" i="10"/>
  <c r="HZ335" i="10"/>
  <c r="HZ336" i="10"/>
  <c r="HZ337" i="10"/>
  <c r="HZ338" i="10"/>
  <c r="HZ339" i="10"/>
  <c r="HZ340" i="10"/>
  <c r="HZ341" i="10"/>
  <c r="HZ342" i="10"/>
  <c r="HZ343" i="10"/>
  <c r="HZ344" i="10"/>
  <c r="HZ345" i="10"/>
  <c r="HZ346" i="10"/>
  <c r="HZ347" i="10"/>
  <c r="HZ348" i="10"/>
  <c r="HZ349" i="10"/>
  <c r="HZ350" i="10"/>
  <c r="HZ351" i="10"/>
  <c r="HZ352" i="10"/>
  <c r="HZ353" i="10"/>
  <c r="HZ354" i="10"/>
  <c r="HZ355" i="10"/>
  <c r="HZ356" i="10"/>
  <c r="HZ357" i="10"/>
  <c r="HZ358" i="10"/>
  <c r="HZ359" i="10"/>
  <c r="HZ360" i="10"/>
  <c r="HZ361" i="10"/>
  <c r="HZ362" i="10"/>
  <c r="HZ363" i="10"/>
  <c r="HZ364" i="10"/>
  <c r="HZ365" i="10"/>
  <c r="HZ366" i="10"/>
  <c r="HZ367" i="10"/>
  <c r="HZ368" i="10"/>
  <c r="HZ369" i="10"/>
  <c r="HZ370" i="10"/>
  <c r="HZ371" i="10"/>
  <c r="HZ372" i="10"/>
  <c r="HZ373" i="10"/>
  <c r="HZ374" i="10"/>
  <c r="HZ375" i="10"/>
  <c r="HZ376" i="10"/>
  <c r="HZ377" i="10"/>
  <c r="HZ378" i="10"/>
  <c r="HZ379" i="10"/>
  <c r="HZ380" i="10"/>
  <c r="HZ381" i="10"/>
  <c r="HZ382" i="10"/>
  <c r="HZ383" i="10"/>
  <c r="HZ384" i="10"/>
  <c r="HZ385" i="10"/>
  <c r="HZ386" i="10"/>
  <c r="HZ387" i="10"/>
  <c r="HZ388" i="10"/>
  <c r="HZ389" i="10"/>
  <c r="HZ390" i="10"/>
  <c r="HZ391" i="10"/>
  <c r="HZ392" i="10"/>
  <c r="DD392" i="10"/>
  <c r="LC392" i="10"/>
  <c r="E116" i="12"/>
  <c r="E112" i="12"/>
  <c r="FG383" i="10"/>
  <c r="JO386" i="10"/>
  <c r="JN386" i="10"/>
  <c r="EE387" i="10"/>
  <c r="FG389" i="10"/>
  <c r="FG391" i="10"/>
  <c r="FG392" i="10"/>
  <c r="DH23" i="10"/>
  <c r="DH24" i="10"/>
  <c r="DH25" i="10"/>
  <c r="DH26" i="10"/>
  <c r="DH27" i="10"/>
  <c r="JW23" i="10"/>
  <c r="JW24" i="10"/>
  <c r="KC24" i="10"/>
  <c r="BL24" i="10"/>
  <c r="AR18" i="15"/>
  <c r="JW25" i="10"/>
  <c r="JX25" i="10"/>
  <c r="JW26" i="10"/>
  <c r="KE26" i="10"/>
  <c r="BM26" i="10"/>
  <c r="AS20" i="15"/>
  <c r="JZ26" i="10"/>
  <c r="JW27" i="10"/>
  <c r="KB27" i="10"/>
  <c r="BJ27" i="10"/>
  <c r="AP21" i="15"/>
  <c r="JW28" i="10"/>
  <c r="KC28" i="10"/>
  <c r="BL28" i="10"/>
  <c r="AR22" i="15"/>
  <c r="JW29" i="10"/>
  <c r="JX29" i="10"/>
  <c r="JW30" i="10"/>
  <c r="KE30" i="10"/>
  <c r="BM30" i="10"/>
  <c r="AS24" i="15"/>
  <c r="JW31" i="10"/>
  <c r="KB31" i="10"/>
  <c r="BJ31" i="10"/>
  <c r="AP25" i="15"/>
  <c r="JW32" i="10"/>
  <c r="JY32" i="10"/>
  <c r="JW33" i="10"/>
  <c r="JX33" i="10"/>
  <c r="JW34" i="10"/>
  <c r="KB34" i="10"/>
  <c r="BJ34" i="10"/>
  <c r="AP28" i="15"/>
  <c r="JW35" i="10"/>
  <c r="KE35" i="10"/>
  <c r="BM35" i="10"/>
  <c r="AS29" i="15"/>
  <c r="JW36" i="10"/>
  <c r="JX36" i="10"/>
  <c r="JW37" i="10"/>
  <c r="KD37" i="10"/>
  <c r="BK37" i="10"/>
  <c r="AQ31" i="15"/>
  <c r="JW38" i="10"/>
  <c r="KA38" i="10"/>
  <c r="JW39" i="10"/>
  <c r="KB39" i="10"/>
  <c r="BJ39" i="10"/>
  <c r="AP33" i="15"/>
  <c r="JW40" i="10"/>
  <c r="KA40" i="10"/>
  <c r="JW41" i="10"/>
  <c r="KC41" i="10"/>
  <c r="BL41" i="10"/>
  <c r="AR35" i="15"/>
  <c r="JW42" i="10"/>
  <c r="KB42" i="10"/>
  <c r="BJ42" i="10"/>
  <c r="AP36" i="15"/>
  <c r="JW43" i="10"/>
  <c r="JZ43" i="10"/>
  <c r="JW44" i="10"/>
  <c r="KE44" i="10"/>
  <c r="BM44" i="10"/>
  <c r="AS38" i="15"/>
  <c r="JW45" i="10"/>
  <c r="KB45" i="10"/>
  <c r="BJ45" i="10"/>
  <c r="AP39" i="15"/>
  <c r="JW46" i="10"/>
  <c r="KC46" i="10"/>
  <c r="BL46" i="10"/>
  <c r="AR40" i="15"/>
  <c r="JW47" i="10"/>
  <c r="KC47" i="10"/>
  <c r="BL47" i="10"/>
  <c r="AR41" i="15"/>
  <c r="JW48" i="10"/>
  <c r="JZ48" i="10"/>
  <c r="JW49" i="10"/>
  <c r="KE49" i="10"/>
  <c r="BM49" i="10"/>
  <c r="AS43" i="15"/>
  <c r="JW50" i="10"/>
  <c r="KB50" i="10"/>
  <c r="BJ50" i="10"/>
  <c r="AP44" i="15"/>
  <c r="JW51" i="10"/>
  <c r="KA51" i="10"/>
  <c r="JW52" i="10"/>
  <c r="JZ52" i="10"/>
  <c r="JW53" i="10"/>
  <c r="KC53" i="10"/>
  <c r="BL53" i="10"/>
  <c r="AR47" i="15"/>
  <c r="JW54" i="10"/>
  <c r="JY54" i="10"/>
  <c r="JW55" i="10"/>
  <c r="JY55" i="10"/>
  <c r="JW56" i="10"/>
  <c r="KC56" i="10"/>
  <c r="BL56" i="10"/>
  <c r="AR50" i="15"/>
  <c r="JW57" i="10"/>
  <c r="JX57" i="10"/>
  <c r="JW58" i="10"/>
  <c r="KE58" i="10"/>
  <c r="BM58" i="10"/>
  <c r="AS52" i="15"/>
  <c r="JW59" i="10"/>
  <c r="KC59" i="10"/>
  <c r="BL59" i="10"/>
  <c r="AR53" i="15"/>
  <c r="JW60" i="10"/>
  <c r="KB60" i="10"/>
  <c r="BJ60" i="10"/>
  <c r="AP54" i="15"/>
  <c r="JW61" i="10"/>
  <c r="KE61" i="10"/>
  <c r="BM61" i="10"/>
  <c r="AS55" i="15"/>
  <c r="JW62" i="10"/>
  <c r="JY62" i="10"/>
  <c r="JW63" i="10"/>
  <c r="KC63" i="10"/>
  <c r="BL63" i="10"/>
  <c r="AR57" i="15"/>
  <c r="JW64" i="10"/>
  <c r="KD64" i="10"/>
  <c r="BK64" i="10" s="1"/>
  <c r="AQ58" i="15" s="1"/>
  <c r="JW65" i="10"/>
  <c r="KD65" i="10"/>
  <c r="BK65" i="10" s="1"/>
  <c r="AQ59" i="15" s="1"/>
  <c r="JW66" i="10"/>
  <c r="KC66" i="10"/>
  <c r="BL66" i="10"/>
  <c r="AR60" i="15"/>
  <c r="JW67" i="10"/>
  <c r="KC67" i="10"/>
  <c r="BL67" i="10"/>
  <c r="AR61" i="15"/>
  <c r="JW68" i="10"/>
  <c r="KC68" i="10"/>
  <c r="BL68" i="10"/>
  <c r="AR62" i="15"/>
  <c r="JW69" i="10"/>
  <c r="KC69" i="10"/>
  <c r="BL69" i="10"/>
  <c r="AR63" i="15"/>
  <c r="JW70" i="10"/>
  <c r="KE70" i="10"/>
  <c r="BM70" i="10"/>
  <c r="AS64" i="15"/>
  <c r="JW71" i="10"/>
  <c r="JZ71" i="10"/>
  <c r="JW72" i="10"/>
  <c r="KD72" i="10"/>
  <c r="BK72" i="10"/>
  <c r="AQ66" i="15" s="1"/>
  <c r="JW73" i="10"/>
  <c r="KA73" i="10"/>
  <c r="JW74" i="10"/>
  <c r="KB74" i="10"/>
  <c r="BJ74" i="10"/>
  <c r="AP68" i="15"/>
  <c r="JW75" i="10"/>
  <c r="KC75" i="10"/>
  <c r="BL75" i="10"/>
  <c r="AR69" i="15"/>
  <c r="JW76" i="10"/>
  <c r="KB76" i="10"/>
  <c r="BJ76" i="10"/>
  <c r="AP70" i="15"/>
  <c r="JW77" i="10"/>
  <c r="KB77" i="10"/>
  <c r="BJ77" i="10"/>
  <c r="AP71" i="15"/>
  <c r="JW78" i="10"/>
  <c r="KE78" i="10"/>
  <c r="BM78" i="10"/>
  <c r="AS72" i="15"/>
  <c r="JW79" i="10"/>
  <c r="JW80" i="10"/>
  <c r="JZ80" i="10"/>
  <c r="JW81" i="10"/>
  <c r="JZ81" i="10"/>
  <c r="JW82" i="10"/>
  <c r="KC82" i="10"/>
  <c r="BL82" i="10"/>
  <c r="AR76" i="15"/>
  <c r="JW83" i="10"/>
  <c r="KA83" i="10"/>
  <c r="JW84" i="10"/>
  <c r="KD84" i="10"/>
  <c r="BK84" i="10" s="1"/>
  <c r="AQ78" i="15" s="1"/>
  <c r="JW85" i="10"/>
  <c r="KB85" i="10"/>
  <c r="BJ85" i="10"/>
  <c r="AP79" i="15"/>
  <c r="JW86" i="10"/>
  <c r="KC86" i="10"/>
  <c r="BL86" i="10"/>
  <c r="AR80" i="15"/>
  <c r="JW87" i="10"/>
  <c r="KC87" i="10"/>
  <c r="BL87" i="10"/>
  <c r="AR81" i="15"/>
  <c r="JW88" i="10"/>
  <c r="KB88" i="10"/>
  <c r="BJ88" i="10"/>
  <c r="AP82" i="15"/>
  <c r="JW89" i="10"/>
  <c r="KC89" i="10"/>
  <c r="BL89" i="10"/>
  <c r="AR83" i="15"/>
  <c r="JW90" i="10"/>
  <c r="KE90" i="10"/>
  <c r="BM90" i="10"/>
  <c r="AS84" i="15"/>
  <c r="JW91" i="10"/>
  <c r="JZ91" i="10"/>
  <c r="JW92" i="10"/>
  <c r="JZ92" i="10"/>
  <c r="JW93" i="10"/>
  <c r="KD93" i="10"/>
  <c r="BK93" i="10" s="1"/>
  <c r="AQ87" i="15" s="1"/>
  <c r="JW94" i="10"/>
  <c r="KC94" i="10"/>
  <c r="BL94" i="10"/>
  <c r="AR88" i="15"/>
  <c r="JW95" i="10"/>
  <c r="JY95" i="10"/>
  <c r="JW96" i="10"/>
  <c r="KB96" i="10"/>
  <c r="BJ96" i="10"/>
  <c r="AP90" i="15"/>
  <c r="JW97" i="10"/>
  <c r="JY97" i="10"/>
  <c r="JW98" i="10"/>
  <c r="KA98" i="10"/>
  <c r="JW99" i="10"/>
  <c r="JX99" i="10"/>
  <c r="JW100" i="10"/>
  <c r="KB100" i="10"/>
  <c r="BJ100" i="10"/>
  <c r="AP94" i="15"/>
  <c r="JW101" i="10"/>
  <c r="KB101" i="10"/>
  <c r="BJ101" i="10"/>
  <c r="AP95" i="15"/>
  <c r="JW102" i="10"/>
  <c r="KC102" i="10"/>
  <c r="BL102" i="10"/>
  <c r="AR96" i="15"/>
  <c r="JW103" i="10"/>
  <c r="KD103" i="10"/>
  <c r="BK103" i="10" s="1"/>
  <c r="AQ97" i="15" s="1"/>
  <c r="JW104" i="10"/>
  <c r="JZ104" i="10"/>
  <c r="JW105" i="10"/>
  <c r="KE105" i="10"/>
  <c r="BM105" i="10"/>
  <c r="AS99" i="15"/>
  <c r="JW106" i="10"/>
  <c r="KB106" i="10"/>
  <c r="BJ106" i="10"/>
  <c r="AP100" i="15"/>
  <c r="JW107" i="10"/>
  <c r="JZ107" i="10"/>
  <c r="JW108" i="10"/>
  <c r="KA108" i="10"/>
  <c r="JW109" i="10"/>
  <c r="JX109" i="10"/>
  <c r="JW110" i="10"/>
  <c r="KA110" i="10"/>
  <c r="JW111" i="10"/>
  <c r="JX111" i="10"/>
  <c r="JW112" i="10"/>
  <c r="KB112" i="10"/>
  <c r="BJ112" i="10"/>
  <c r="AP106" i="15"/>
  <c r="JW113" i="10"/>
  <c r="KA113" i="10"/>
  <c r="KC113" i="10"/>
  <c r="BL113" i="10"/>
  <c r="AR107" i="15"/>
  <c r="JW114" i="10"/>
  <c r="KE114" i="10"/>
  <c r="BM114" i="10"/>
  <c r="AS108" i="15"/>
  <c r="KC114" i="10"/>
  <c r="BL114" i="10"/>
  <c r="AR108" i="15"/>
  <c r="JW115" i="10"/>
  <c r="KA115" i="10"/>
  <c r="JW116" i="10"/>
  <c r="JZ116" i="10"/>
  <c r="JW117" i="10"/>
  <c r="KB117" i="10"/>
  <c r="BJ117" i="10"/>
  <c r="AP111" i="15"/>
  <c r="KC117" i="10"/>
  <c r="BL117" i="10"/>
  <c r="AR111" i="15"/>
  <c r="JW118" i="10"/>
  <c r="KB118" i="10"/>
  <c r="BJ118" i="10"/>
  <c r="AP112" i="15"/>
  <c r="JW119" i="10"/>
  <c r="JX119" i="10"/>
  <c r="KC119" i="10"/>
  <c r="BL119" i="10"/>
  <c r="AR113" i="15"/>
  <c r="JW120" i="10"/>
  <c r="KB120" i="10"/>
  <c r="BJ120" i="10"/>
  <c r="AP114" i="15"/>
  <c r="JW121" i="10"/>
  <c r="JY121" i="10"/>
  <c r="KC121" i="10"/>
  <c r="BL121" i="10"/>
  <c r="AR115" i="15"/>
  <c r="JW122" i="10"/>
  <c r="JY122" i="10"/>
  <c r="JW123" i="10"/>
  <c r="KB123" i="10"/>
  <c r="BJ123" i="10"/>
  <c r="AP117" i="15"/>
  <c r="KC123" i="10"/>
  <c r="BL123" i="10"/>
  <c r="AR117" i="15"/>
  <c r="JW124" i="10"/>
  <c r="KB124" i="10"/>
  <c r="BJ124" i="10"/>
  <c r="AP118" i="15"/>
  <c r="JW125" i="10"/>
  <c r="KC125" i="10"/>
  <c r="BL125" i="10"/>
  <c r="AR119" i="15"/>
  <c r="JW126" i="10"/>
  <c r="KB126" i="10"/>
  <c r="BJ126" i="10"/>
  <c r="AP120" i="15"/>
  <c r="JW127" i="10"/>
  <c r="KA127" i="10"/>
  <c r="JW128" i="10"/>
  <c r="JZ128" i="10"/>
  <c r="JW129" i="10"/>
  <c r="JZ129" i="10"/>
  <c r="JW130" i="10"/>
  <c r="KC130" i="10"/>
  <c r="BL130" i="10"/>
  <c r="AR124" i="15"/>
  <c r="JW131" i="10"/>
  <c r="KB131" i="10"/>
  <c r="BJ131" i="10"/>
  <c r="AP125" i="15"/>
  <c r="KC131" i="10"/>
  <c r="BL131" i="10"/>
  <c r="AR125" i="15"/>
  <c r="JW132" i="10"/>
  <c r="JZ132" i="10"/>
  <c r="JW133" i="10"/>
  <c r="KB133" i="10"/>
  <c r="BJ133" i="10"/>
  <c r="AP127" i="15"/>
  <c r="KC133" i="10"/>
  <c r="BL133" i="10"/>
  <c r="AR127" i="15"/>
  <c r="JW134" i="10"/>
  <c r="KB134" i="10"/>
  <c r="BJ134" i="10"/>
  <c r="AP128" i="15"/>
  <c r="KC134" i="10"/>
  <c r="BL134" i="10"/>
  <c r="AR128" i="15"/>
  <c r="JW135" i="10"/>
  <c r="KB135" i="10"/>
  <c r="BJ135" i="10"/>
  <c r="AP129" i="15"/>
  <c r="JW136" i="10"/>
  <c r="KB136" i="10"/>
  <c r="BJ136" i="10"/>
  <c r="AP130" i="15"/>
  <c r="JW137" i="10"/>
  <c r="KD137" i="10"/>
  <c r="BK137" i="10" s="1"/>
  <c r="AQ131" i="15"/>
  <c r="JW138" i="10"/>
  <c r="JY138" i="10"/>
  <c r="KC138" i="10"/>
  <c r="BL138" i="10"/>
  <c r="AR132" i="15"/>
  <c r="JW139" i="10"/>
  <c r="JX139" i="10"/>
  <c r="JW140" i="10"/>
  <c r="JZ140" i="10"/>
  <c r="JW141" i="10"/>
  <c r="JY141" i="10"/>
  <c r="KC141" i="10"/>
  <c r="BL141" i="10"/>
  <c r="AR135" i="15"/>
  <c r="JW142" i="10"/>
  <c r="KC142" i="10"/>
  <c r="BL142" i="10"/>
  <c r="AR136" i="15"/>
  <c r="JW143" i="10"/>
  <c r="KE143" i="10"/>
  <c r="BM143" i="10"/>
  <c r="AS137" i="15"/>
  <c r="JW144" i="10"/>
  <c r="KB144" i="10"/>
  <c r="BJ144" i="10"/>
  <c r="AP138" i="15"/>
  <c r="JW145" i="10"/>
  <c r="JX145" i="10"/>
  <c r="KC145" i="10"/>
  <c r="BL145" i="10"/>
  <c r="AR139" i="15"/>
  <c r="JW146" i="10"/>
  <c r="JZ146" i="10"/>
  <c r="KC146" i="10"/>
  <c r="BL146" i="10"/>
  <c r="AR140" i="15"/>
  <c r="JW147" i="10"/>
  <c r="KB147" i="10"/>
  <c r="BJ147" i="10"/>
  <c r="AP141" i="15"/>
  <c r="KC147" i="10"/>
  <c r="BL147" i="10"/>
  <c r="AR141" i="15"/>
  <c r="JW148" i="10"/>
  <c r="KB148" i="10"/>
  <c r="BJ148" i="10"/>
  <c r="AP142" i="15"/>
  <c r="JW149" i="10"/>
  <c r="JZ149" i="10"/>
  <c r="KC149" i="10"/>
  <c r="BL149" i="10"/>
  <c r="AR143" i="15"/>
  <c r="JW150" i="10"/>
  <c r="KA150" i="10"/>
  <c r="JW151" i="10"/>
  <c r="JZ151" i="10"/>
  <c r="JW152" i="10"/>
  <c r="JZ152" i="10"/>
  <c r="JW153" i="10"/>
  <c r="KB153" i="10"/>
  <c r="BJ153" i="10"/>
  <c r="AP147" i="15"/>
  <c r="KC153" i="10"/>
  <c r="BL153" i="10"/>
  <c r="AR147" i="15"/>
  <c r="JW154" i="10"/>
  <c r="KB154" i="10"/>
  <c r="BJ154" i="10"/>
  <c r="AP148" i="15"/>
  <c r="JW155" i="10"/>
  <c r="JY155" i="10"/>
  <c r="KC155" i="10"/>
  <c r="BL155" i="10"/>
  <c r="AR149" i="15"/>
  <c r="JW156" i="10"/>
  <c r="KD156" i="10"/>
  <c r="BK156" i="10" s="1"/>
  <c r="AQ150" i="15" s="1"/>
  <c r="JW157" i="10"/>
  <c r="JZ157" i="10"/>
  <c r="JW158" i="10"/>
  <c r="KB158" i="10"/>
  <c r="BJ158" i="10"/>
  <c r="AP152" i="15"/>
  <c r="JW159" i="10"/>
  <c r="KB159" i="10"/>
  <c r="BJ159" i="10"/>
  <c r="AP153" i="15"/>
  <c r="JW160" i="10"/>
  <c r="KB160" i="10"/>
  <c r="BJ160" i="10"/>
  <c r="AP154" i="15"/>
  <c r="JW161" i="10"/>
  <c r="JZ161" i="10"/>
  <c r="KC161" i="10"/>
  <c r="BL161" i="10"/>
  <c r="AR155" i="15"/>
  <c r="JW162" i="10"/>
  <c r="KB162" i="10"/>
  <c r="BJ162" i="10"/>
  <c r="AP156" i="15"/>
  <c r="KC162" i="10"/>
  <c r="BL162" i="10"/>
  <c r="AR156" i="15"/>
  <c r="JW163" i="10"/>
  <c r="JW164" i="10"/>
  <c r="JZ164" i="10"/>
  <c r="JW165" i="10"/>
  <c r="KB165" i="10"/>
  <c r="BJ165" i="10"/>
  <c r="AP159" i="15"/>
  <c r="JW166" i="10"/>
  <c r="KC166" i="10"/>
  <c r="BL166" i="10"/>
  <c r="AR160" i="15"/>
  <c r="JW167" i="10"/>
  <c r="KB167" i="10"/>
  <c r="BJ167" i="10"/>
  <c r="AP161" i="15"/>
  <c r="JW168" i="10"/>
  <c r="KA168" i="10"/>
  <c r="JW169" i="10"/>
  <c r="KA169" i="10"/>
  <c r="KC169" i="10"/>
  <c r="BL169" i="10"/>
  <c r="AR163" i="15"/>
  <c r="JW170" i="10"/>
  <c r="KD170" i="10"/>
  <c r="BK170" i="10" s="1"/>
  <c r="AQ164" i="15" s="1"/>
  <c r="KC170" i="10"/>
  <c r="BL170" i="10"/>
  <c r="AR164" i="15"/>
  <c r="JW171" i="10"/>
  <c r="KB171" i="10"/>
  <c r="BJ171" i="10"/>
  <c r="AP165" i="15"/>
  <c r="KC171" i="10"/>
  <c r="BL171" i="10"/>
  <c r="AR165" i="15"/>
  <c r="JW172" i="10"/>
  <c r="KB172" i="10"/>
  <c r="BJ172" i="10"/>
  <c r="AP166" i="15"/>
  <c r="JW173" i="10"/>
  <c r="KB173" i="10"/>
  <c r="BJ173" i="10"/>
  <c r="AP167" i="15"/>
  <c r="JW174" i="10"/>
  <c r="KD174" i="10"/>
  <c r="BK174" i="10" s="1"/>
  <c r="AQ168" i="15" s="1"/>
  <c r="JW177" i="10"/>
  <c r="KC177" i="10"/>
  <c r="BL177" i="10"/>
  <c r="AR171" i="15"/>
  <c r="JW181" i="10"/>
  <c r="KC181" i="10"/>
  <c r="BL181" i="10"/>
  <c r="AR175" i="15"/>
  <c r="JW190" i="10"/>
  <c r="KC190" i="10"/>
  <c r="BL190" i="10"/>
  <c r="AR184" i="15"/>
  <c r="JW198" i="10"/>
  <c r="KC198" i="10"/>
  <c r="BL198" i="10"/>
  <c r="AR192" i="15"/>
  <c r="JW199" i="10"/>
  <c r="KC199" i="10"/>
  <c r="BL199" i="10"/>
  <c r="AR193" i="15"/>
  <c r="JW208" i="10"/>
  <c r="KC208" i="10"/>
  <c r="BL208" i="10"/>
  <c r="AR202" i="15"/>
  <c r="JW214" i="10"/>
  <c r="KC214" i="10"/>
  <c r="BL214" i="10"/>
  <c r="AR208" i="15"/>
  <c r="JW225" i="10"/>
  <c r="KC225" i="10"/>
  <c r="BL225" i="10"/>
  <c r="AR219" i="15"/>
  <c r="JW229" i="10"/>
  <c r="KC229" i="10"/>
  <c r="BL229" i="10"/>
  <c r="AR223" i="15"/>
  <c r="JW257" i="10"/>
  <c r="KC257" i="10"/>
  <c r="BL257" i="10"/>
  <c r="AR251" i="15"/>
  <c r="JW264" i="10"/>
  <c r="KC264" i="10"/>
  <c r="BL264" i="10"/>
  <c r="AR258" i="15"/>
  <c r="JW270" i="10"/>
  <c r="KC270" i="10"/>
  <c r="BL270" i="10"/>
  <c r="AR264" i="15"/>
  <c r="JW275" i="10"/>
  <c r="KC275" i="10"/>
  <c r="BL275" i="10"/>
  <c r="AR269" i="15"/>
  <c r="JW284" i="10"/>
  <c r="KC284" i="10"/>
  <c r="BL284" i="10"/>
  <c r="AR278" i="15"/>
  <c r="JW295" i="10"/>
  <c r="KC295" i="10"/>
  <c r="BL295" i="10"/>
  <c r="AR289" i="15"/>
  <c r="JW297" i="10"/>
  <c r="KC297" i="10"/>
  <c r="BL297" i="10"/>
  <c r="AR291" i="15"/>
  <c r="JW301" i="10"/>
  <c r="KC301" i="10"/>
  <c r="BL301" i="10"/>
  <c r="AR295" i="15"/>
  <c r="JW310" i="10"/>
  <c r="KC310" i="10"/>
  <c r="BL310" i="10"/>
  <c r="AR304" i="15"/>
  <c r="JW319" i="10"/>
  <c r="KC319" i="10"/>
  <c r="BL319" i="10"/>
  <c r="AR313" i="15"/>
  <c r="JW324" i="10"/>
  <c r="KC324" i="10"/>
  <c r="BL324" i="10"/>
  <c r="AR318" i="15"/>
  <c r="JW347" i="10"/>
  <c r="KC347" i="10"/>
  <c r="BL347" i="10"/>
  <c r="AR341" i="15"/>
  <c r="JW348" i="10"/>
  <c r="KC348" i="10"/>
  <c r="BL348" i="10"/>
  <c r="AR342" i="15"/>
  <c r="JW356" i="10"/>
  <c r="KC356" i="10"/>
  <c r="BL356" i="10"/>
  <c r="AR350" i="15"/>
  <c r="JW361" i="10"/>
  <c r="KC361" i="10"/>
  <c r="BL361" i="10"/>
  <c r="AR355" i="15"/>
  <c r="JW364" i="10"/>
  <c r="KC364" i="10"/>
  <c r="BL364" i="10"/>
  <c r="AR358" i="15"/>
  <c r="JW366" i="10"/>
  <c r="KC366" i="10"/>
  <c r="BL366" i="10"/>
  <c r="AR360" i="15"/>
  <c r="JW373" i="10"/>
  <c r="KC373" i="10"/>
  <c r="BL373" i="10"/>
  <c r="AR367" i="15"/>
  <c r="JW376" i="10"/>
  <c r="KC376" i="10"/>
  <c r="BL376" i="10"/>
  <c r="AR370" i="15"/>
  <c r="JW380" i="10"/>
  <c r="KC380" i="10"/>
  <c r="BL380" i="10"/>
  <c r="AR374" i="15"/>
  <c r="JW382" i="10"/>
  <c r="KC382" i="10"/>
  <c r="BL382" i="10"/>
  <c r="AR376" i="15"/>
  <c r="JW392" i="10"/>
  <c r="KC392" i="10"/>
  <c r="BL392" i="10"/>
  <c r="AR386" i="15"/>
  <c r="JW22" i="10"/>
  <c r="KB22" i="10"/>
  <c r="BJ22" i="10"/>
  <c r="AP16" i="15"/>
  <c r="JQ24" i="10"/>
  <c r="JR24" i="10"/>
  <c r="KB46" i="10"/>
  <c r="BJ46" i="10"/>
  <c r="AP40" i="15"/>
  <c r="KB55" i="10"/>
  <c r="BJ55" i="10"/>
  <c r="AP49" i="15"/>
  <c r="JW175" i="10"/>
  <c r="KC175" i="10"/>
  <c r="BL175" i="10"/>
  <c r="AR169" i="15"/>
  <c r="JW176" i="10"/>
  <c r="JZ176" i="10"/>
  <c r="KB177" i="10"/>
  <c r="BJ177" i="10"/>
  <c r="AP171" i="15"/>
  <c r="JW178" i="10"/>
  <c r="KB178" i="10"/>
  <c r="BJ178" i="10"/>
  <c r="AP172" i="15"/>
  <c r="JW179" i="10"/>
  <c r="JW180" i="10"/>
  <c r="JY180" i="10"/>
  <c r="KB181" i="10"/>
  <c r="BJ181" i="10"/>
  <c r="AP175" i="15"/>
  <c r="JW182" i="10"/>
  <c r="JZ182" i="10"/>
  <c r="JW183" i="10"/>
  <c r="KC183" i="10"/>
  <c r="BL183" i="10"/>
  <c r="AR177" i="15"/>
  <c r="JW184" i="10"/>
  <c r="KB184" i="10"/>
  <c r="BJ184" i="10"/>
  <c r="AP178" i="15"/>
  <c r="JW185" i="10"/>
  <c r="KC185" i="10"/>
  <c r="BL185" i="10"/>
  <c r="AR179" i="15"/>
  <c r="JW186" i="10"/>
  <c r="KC186" i="10"/>
  <c r="BL186" i="10"/>
  <c r="AR180" i="15"/>
  <c r="JW187" i="10"/>
  <c r="KC187" i="10"/>
  <c r="BL187" i="10"/>
  <c r="AR181" i="15"/>
  <c r="JW188" i="10"/>
  <c r="JZ188" i="10"/>
  <c r="JW189" i="10"/>
  <c r="KC189" i="10"/>
  <c r="BL189" i="10"/>
  <c r="AR183" i="15"/>
  <c r="KB190" i="10"/>
  <c r="BJ190" i="10"/>
  <c r="AP184" i="15"/>
  <c r="JW191" i="10"/>
  <c r="KB191" i="10"/>
  <c r="BJ191" i="10"/>
  <c r="AP185" i="15"/>
  <c r="JW192" i="10"/>
  <c r="KB192" i="10"/>
  <c r="BJ192" i="10"/>
  <c r="AP186" i="15"/>
  <c r="JW193" i="10"/>
  <c r="KE193" i="10"/>
  <c r="BM193" i="10"/>
  <c r="AS187" i="15"/>
  <c r="JW194" i="10"/>
  <c r="JX194" i="10"/>
  <c r="JW195" i="10"/>
  <c r="KE195" i="10"/>
  <c r="BM195" i="10"/>
  <c r="AS189" i="15"/>
  <c r="JW196" i="10"/>
  <c r="KB196" i="10"/>
  <c r="BJ196" i="10"/>
  <c r="AP190" i="15"/>
  <c r="JW197" i="10"/>
  <c r="KB197" i="10"/>
  <c r="BJ197" i="10"/>
  <c r="AP191" i="15"/>
  <c r="KB198" i="10"/>
  <c r="BJ198" i="10"/>
  <c r="AP192" i="15"/>
  <c r="KB199" i="10"/>
  <c r="BJ199" i="10"/>
  <c r="AP193" i="15"/>
  <c r="JW200" i="10"/>
  <c r="KE200" i="10"/>
  <c r="BM200" i="10"/>
  <c r="AS194" i="15"/>
  <c r="JW201" i="10"/>
  <c r="KB201" i="10"/>
  <c r="BJ201" i="10"/>
  <c r="AP195" i="15"/>
  <c r="JW202" i="10"/>
  <c r="JZ202" i="10"/>
  <c r="JW203" i="10"/>
  <c r="KB203" i="10"/>
  <c r="BJ203" i="10"/>
  <c r="AP197" i="15"/>
  <c r="JW204" i="10"/>
  <c r="KB204" i="10"/>
  <c r="BJ204" i="10"/>
  <c r="AP198" i="15"/>
  <c r="JW205" i="10"/>
  <c r="JX205" i="10"/>
  <c r="JW206" i="10"/>
  <c r="KC206" i="10"/>
  <c r="BL206" i="10"/>
  <c r="AR200" i="15"/>
  <c r="JW207" i="10"/>
  <c r="KB207" i="10"/>
  <c r="BJ207" i="10"/>
  <c r="AP201" i="15"/>
  <c r="JZ208" i="10"/>
  <c r="JW209" i="10"/>
  <c r="JZ209" i="10"/>
  <c r="JW210" i="10"/>
  <c r="JX210" i="10"/>
  <c r="JW211" i="10"/>
  <c r="JZ211" i="10"/>
  <c r="JW212" i="10"/>
  <c r="KA212" i="10"/>
  <c r="JW213" i="10"/>
  <c r="KA213" i="10"/>
  <c r="JZ214" i="10"/>
  <c r="JW215" i="10"/>
  <c r="KB215" i="10"/>
  <c r="BJ215" i="10"/>
  <c r="AP209" i="15"/>
  <c r="JW216" i="10"/>
  <c r="JX216" i="10"/>
  <c r="JW217" i="10"/>
  <c r="JW218" i="10"/>
  <c r="KB218" i="10"/>
  <c r="BJ218" i="10"/>
  <c r="AP212" i="15"/>
  <c r="JW219" i="10"/>
  <c r="JZ219" i="10"/>
  <c r="JW220" i="10"/>
  <c r="KD220" i="10"/>
  <c r="BK220" i="10" s="1"/>
  <c r="AQ214" i="15" s="1"/>
  <c r="JW221" i="10"/>
  <c r="KB221" i="10"/>
  <c r="BJ221" i="10"/>
  <c r="AP215" i="15"/>
  <c r="JW222" i="10"/>
  <c r="JX222" i="10"/>
  <c r="JW223" i="10"/>
  <c r="KB223" i="10"/>
  <c r="BJ223" i="10"/>
  <c r="AP217" i="15"/>
  <c r="JW224" i="10"/>
  <c r="JZ224" i="10"/>
  <c r="KB225" i="10"/>
  <c r="BJ225" i="10"/>
  <c r="AP219" i="15"/>
  <c r="JW226" i="10"/>
  <c r="JZ226" i="10"/>
  <c r="JW227" i="10"/>
  <c r="JX227" i="10"/>
  <c r="JW228" i="10"/>
  <c r="KA228" i="10"/>
  <c r="KB229" i="10"/>
  <c r="BJ229" i="10"/>
  <c r="AP223" i="15"/>
  <c r="JW230" i="10"/>
  <c r="KA230" i="10"/>
  <c r="JW231" i="10"/>
  <c r="KC231" i="10"/>
  <c r="BL231" i="10"/>
  <c r="AR225" i="15"/>
  <c r="JW232" i="10"/>
  <c r="KB232" i="10"/>
  <c r="BJ232" i="10"/>
  <c r="AP226" i="15"/>
  <c r="JW233" i="10"/>
  <c r="JX233" i="10"/>
  <c r="JW234" i="10"/>
  <c r="JY234" i="10"/>
  <c r="JW235" i="10"/>
  <c r="JZ235" i="10"/>
  <c r="JW236" i="10"/>
  <c r="JY236" i="10"/>
  <c r="JW237" i="10"/>
  <c r="JZ237" i="10"/>
  <c r="JW238" i="10"/>
  <c r="JY238" i="10"/>
  <c r="JW239" i="10"/>
  <c r="KB239" i="10"/>
  <c r="BJ239" i="10"/>
  <c r="AP233" i="15"/>
  <c r="JW240" i="10"/>
  <c r="JZ240" i="10"/>
  <c r="JW241" i="10"/>
  <c r="KB241" i="10"/>
  <c r="BJ241" i="10"/>
  <c r="AP235" i="15"/>
  <c r="JW242" i="10"/>
  <c r="JZ242" i="10"/>
  <c r="JW243" i="10"/>
  <c r="KC243" i="10"/>
  <c r="BL243" i="10"/>
  <c r="AR237" i="15"/>
  <c r="JW244" i="10"/>
  <c r="JY244" i="10"/>
  <c r="JW245" i="10"/>
  <c r="JZ245" i="10"/>
  <c r="JW246" i="10"/>
  <c r="JZ246" i="10"/>
  <c r="JW247" i="10"/>
  <c r="KB247" i="10"/>
  <c r="BJ247" i="10"/>
  <c r="AP241" i="15"/>
  <c r="JW248" i="10"/>
  <c r="KB248" i="10"/>
  <c r="BJ248" i="10"/>
  <c r="AP242" i="15"/>
  <c r="JW249" i="10"/>
  <c r="KB249" i="10"/>
  <c r="BJ249" i="10"/>
  <c r="AP243" i="15"/>
  <c r="JW250" i="10"/>
  <c r="JZ250" i="10"/>
  <c r="JW251" i="10"/>
  <c r="KB251" i="10"/>
  <c r="BJ251" i="10"/>
  <c r="AP245" i="15"/>
  <c r="JW252" i="10"/>
  <c r="JW253" i="10"/>
  <c r="JX253" i="10"/>
  <c r="JW254" i="10"/>
  <c r="JZ254" i="10"/>
  <c r="JW255" i="10"/>
  <c r="KB255" i="10"/>
  <c r="BJ255" i="10"/>
  <c r="AP249" i="15"/>
  <c r="JW256" i="10"/>
  <c r="KC256" i="10"/>
  <c r="BL256" i="10"/>
  <c r="AR250" i="15"/>
  <c r="KB257" i="10"/>
  <c r="BJ257" i="10"/>
  <c r="AP251" i="15"/>
  <c r="JW258" i="10"/>
  <c r="KE258" i="10"/>
  <c r="BM258" i="10"/>
  <c r="AS252" i="15"/>
  <c r="JW259" i="10"/>
  <c r="JZ259" i="10"/>
  <c r="JW260" i="10"/>
  <c r="KA260" i="10"/>
  <c r="JW261" i="10"/>
  <c r="KA261" i="10"/>
  <c r="JW262" i="10"/>
  <c r="KB262" i="10"/>
  <c r="BJ262" i="10"/>
  <c r="AP256" i="15"/>
  <c r="JW263" i="10"/>
  <c r="KB263" i="10"/>
  <c r="BJ263" i="10"/>
  <c r="AP257" i="15"/>
  <c r="JZ264" i="10"/>
  <c r="JW265" i="10"/>
  <c r="JZ265" i="10"/>
  <c r="JW266" i="10"/>
  <c r="JZ266" i="10"/>
  <c r="JW267" i="10"/>
  <c r="KB267" i="10"/>
  <c r="BJ267" i="10"/>
  <c r="AP261" i="15"/>
  <c r="JW268" i="10"/>
  <c r="JY268" i="10"/>
  <c r="JW269" i="10"/>
  <c r="KC269" i="10"/>
  <c r="BL269" i="10"/>
  <c r="AR263" i="15"/>
  <c r="KB270" i="10"/>
  <c r="BJ270" i="10"/>
  <c r="AP264" i="15"/>
  <c r="JW271" i="10"/>
  <c r="KB271" i="10"/>
  <c r="BJ271" i="10"/>
  <c r="AP265" i="15"/>
  <c r="JW272" i="10"/>
  <c r="JZ272" i="10"/>
  <c r="JW273" i="10"/>
  <c r="KC273" i="10"/>
  <c r="BL273" i="10"/>
  <c r="AR267" i="15"/>
  <c r="JW274" i="10"/>
  <c r="KC274" i="10"/>
  <c r="BL274" i="10"/>
  <c r="AR268" i="15"/>
  <c r="KB275" i="10"/>
  <c r="BJ275" i="10"/>
  <c r="AP269" i="15"/>
  <c r="JW276" i="10"/>
  <c r="KB276" i="10"/>
  <c r="BJ276" i="10"/>
  <c r="AP270" i="15"/>
  <c r="JW277" i="10"/>
  <c r="JZ277" i="10"/>
  <c r="JW278" i="10"/>
  <c r="KB278" i="10"/>
  <c r="BJ278" i="10"/>
  <c r="AP272" i="15"/>
  <c r="JW279" i="10"/>
  <c r="KB279" i="10"/>
  <c r="BJ279" i="10"/>
  <c r="AP273" i="15"/>
  <c r="JW280" i="10"/>
  <c r="JZ280" i="10"/>
  <c r="JW281" i="10"/>
  <c r="JW282" i="10"/>
  <c r="JX282" i="10"/>
  <c r="JW283" i="10"/>
  <c r="KC283" i="10"/>
  <c r="BL283" i="10"/>
  <c r="AR277" i="15"/>
  <c r="JW285" i="10"/>
  <c r="KB285" i="10"/>
  <c r="BJ285" i="10"/>
  <c r="AP279" i="15"/>
  <c r="JW286" i="10"/>
  <c r="KB286" i="10"/>
  <c r="BJ286" i="10"/>
  <c r="AP280" i="15"/>
  <c r="JW287" i="10"/>
  <c r="KC287" i="10"/>
  <c r="BL287" i="10"/>
  <c r="AR281" i="15"/>
  <c r="JW288" i="10"/>
  <c r="KC288" i="10"/>
  <c r="BL288" i="10"/>
  <c r="AR282" i="15"/>
  <c r="JW289" i="10"/>
  <c r="KB289" i="10"/>
  <c r="BJ289" i="10"/>
  <c r="AP283" i="15"/>
  <c r="JW290" i="10"/>
  <c r="JZ290" i="10"/>
  <c r="JW291" i="10"/>
  <c r="KB291" i="10"/>
  <c r="BJ291" i="10"/>
  <c r="AP285" i="15"/>
  <c r="JW292" i="10"/>
  <c r="JX292" i="10"/>
  <c r="JW293" i="10"/>
  <c r="JX293" i="10"/>
  <c r="JW294" i="10"/>
  <c r="JX294" i="10"/>
  <c r="JZ295" i="10"/>
  <c r="JW296" i="10"/>
  <c r="KC296" i="10"/>
  <c r="BL296" i="10"/>
  <c r="AR290" i="15"/>
  <c r="KB297" i="10"/>
  <c r="BJ297" i="10"/>
  <c r="AP291" i="15"/>
  <c r="JW298" i="10"/>
  <c r="KB298" i="10"/>
  <c r="BJ298" i="10"/>
  <c r="AP292" i="15"/>
  <c r="JW299" i="10"/>
  <c r="JW300" i="10"/>
  <c r="JZ301" i="10"/>
  <c r="JW302" i="10"/>
  <c r="KC302" i="10"/>
  <c r="BL302" i="10"/>
  <c r="AR296" i="15"/>
  <c r="JW303" i="10"/>
  <c r="JX303" i="10"/>
  <c r="JW304" i="10"/>
  <c r="KA304" i="10"/>
  <c r="JW305" i="10"/>
  <c r="KB305" i="10"/>
  <c r="BJ305" i="10"/>
  <c r="AP299" i="15"/>
  <c r="JW306" i="10"/>
  <c r="JZ306" i="10"/>
  <c r="JW307" i="10"/>
  <c r="KD307" i="10"/>
  <c r="BK307" i="10" s="1"/>
  <c r="AQ301" i="15" s="1"/>
  <c r="JW308" i="10"/>
  <c r="JZ308" i="10"/>
  <c r="JW309" i="10"/>
  <c r="JZ309" i="10"/>
  <c r="KB310" i="10"/>
  <c r="BJ310" i="10"/>
  <c r="AP304" i="15"/>
  <c r="JW311" i="10"/>
  <c r="KA311" i="10"/>
  <c r="JW312" i="10"/>
  <c r="KD312" i="10"/>
  <c r="BK312" i="10" s="1"/>
  <c r="AQ306" i="15" s="1"/>
  <c r="JW313" i="10"/>
  <c r="JY313" i="10"/>
  <c r="JW314" i="10"/>
  <c r="JW315" i="10"/>
  <c r="KC315" i="10"/>
  <c r="BL315" i="10"/>
  <c r="AR309" i="15"/>
  <c r="JW316" i="10"/>
  <c r="JZ316" i="10"/>
  <c r="JW317" i="10"/>
  <c r="JY317" i="10"/>
  <c r="JW318" i="10"/>
  <c r="KC318" i="10"/>
  <c r="BL318" i="10"/>
  <c r="AR312" i="15"/>
  <c r="KB319" i="10"/>
  <c r="BJ319" i="10"/>
  <c r="AP313" i="15"/>
  <c r="JW320" i="10"/>
  <c r="KB320" i="10"/>
  <c r="BJ320" i="10"/>
  <c r="AP314" i="15"/>
  <c r="JW321" i="10"/>
  <c r="KB321" i="10"/>
  <c r="BJ321" i="10"/>
  <c r="AP315" i="15"/>
  <c r="JW322" i="10"/>
  <c r="KC322" i="10"/>
  <c r="BL322" i="10"/>
  <c r="AR316" i="15"/>
  <c r="JW323" i="10"/>
  <c r="KB323" i="10"/>
  <c r="BJ323" i="10"/>
  <c r="AP317" i="15"/>
  <c r="KB324" i="10"/>
  <c r="BJ324" i="10"/>
  <c r="AP318" i="15"/>
  <c r="JW325" i="10"/>
  <c r="KB325" i="10"/>
  <c r="BJ325" i="10"/>
  <c r="AP319" i="15"/>
  <c r="JW326" i="10"/>
  <c r="KB326" i="10"/>
  <c r="BJ326" i="10"/>
  <c r="AP320" i="15"/>
  <c r="JW327" i="10"/>
  <c r="KC327" i="10"/>
  <c r="BL327" i="10"/>
  <c r="AR321" i="15"/>
  <c r="JW328" i="10"/>
  <c r="JZ328" i="10"/>
  <c r="JW329" i="10"/>
  <c r="KC329" i="10"/>
  <c r="BL329" i="10"/>
  <c r="AR323" i="15"/>
  <c r="JW330" i="10"/>
  <c r="KB330" i="10"/>
  <c r="BJ330" i="10"/>
  <c r="AP324" i="15"/>
  <c r="JW331" i="10"/>
  <c r="KD331" i="10"/>
  <c r="BK331" i="10" s="1"/>
  <c r="AQ325" i="15" s="1"/>
  <c r="JW332" i="10"/>
  <c r="KC332" i="10"/>
  <c r="BL332" i="10"/>
  <c r="AR326" i="15"/>
  <c r="JW333" i="10"/>
  <c r="KB333" i="10"/>
  <c r="BJ333" i="10"/>
  <c r="AP327" i="15"/>
  <c r="JW334" i="10"/>
  <c r="JZ334" i="10"/>
  <c r="JW335" i="10"/>
  <c r="KB335" i="10"/>
  <c r="BJ335" i="10"/>
  <c r="AP329" i="15"/>
  <c r="JW336" i="10"/>
  <c r="KB336" i="10"/>
  <c r="BJ336" i="10"/>
  <c r="AP330" i="15"/>
  <c r="JW337" i="10"/>
  <c r="KC337" i="10"/>
  <c r="BL337" i="10"/>
  <c r="AR331" i="15"/>
  <c r="JW338" i="10"/>
  <c r="KC338" i="10"/>
  <c r="BL338" i="10"/>
  <c r="AR332" i="15"/>
  <c r="JW339" i="10"/>
  <c r="JZ339" i="10"/>
  <c r="JW340" i="10"/>
  <c r="JZ340" i="10"/>
  <c r="JW341" i="10"/>
  <c r="KB341" i="10"/>
  <c r="BJ341" i="10"/>
  <c r="AP335" i="15"/>
  <c r="JW342" i="10"/>
  <c r="JX342" i="10"/>
  <c r="JW343" i="10"/>
  <c r="KC343" i="10"/>
  <c r="BL343" i="10"/>
  <c r="AR337" i="15"/>
  <c r="JW344" i="10"/>
  <c r="KC344" i="10"/>
  <c r="BL344" i="10"/>
  <c r="AR338" i="15"/>
  <c r="JW345" i="10"/>
  <c r="KE345" i="10"/>
  <c r="BM345" i="10"/>
  <c r="AS339" i="15"/>
  <c r="JW346" i="10"/>
  <c r="JX346" i="10"/>
  <c r="KB347" i="10"/>
  <c r="BJ347" i="10"/>
  <c r="AP341" i="15"/>
  <c r="KB348" i="10"/>
  <c r="BJ348" i="10"/>
  <c r="AP342" i="15"/>
  <c r="JW349" i="10"/>
  <c r="KB349" i="10"/>
  <c r="BJ349" i="10"/>
  <c r="AP343" i="15"/>
  <c r="JW350" i="10"/>
  <c r="KC350" i="10"/>
  <c r="BL350" i="10"/>
  <c r="AR344" i="15"/>
  <c r="JW351" i="10"/>
  <c r="KB351" i="10"/>
  <c r="BJ351" i="10"/>
  <c r="AP345" i="15"/>
  <c r="JW352" i="10"/>
  <c r="KB352" i="10"/>
  <c r="BJ352" i="10"/>
  <c r="AP346" i="15"/>
  <c r="JW353" i="10"/>
  <c r="KB353" i="10"/>
  <c r="BJ353" i="10"/>
  <c r="AP347" i="15"/>
  <c r="JW354" i="10"/>
  <c r="JX354" i="10"/>
  <c r="JW355" i="10"/>
  <c r="KC355" i="10"/>
  <c r="BL355" i="10"/>
  <c r="AR349" i="15"/>
  <c r="JW357" i="10"/>
  <c r="KC357" i="10"/>
  <c r="BL357" i="10"/>
  <c r="AR351" i="15"/>
  <c r="JW358" i="10"/>
  <c r="KB358" i="10"/>
  <c r="BJ358" i="10"/>
  <c r="AP352" i="15"/>
  <c r="JW359" i="10"/>
  <c r="KB359" i="10"/>
  <c r="BJ359" i="10"/>
  <c r="AP353" i="15"/>
  <c r="JW360" i="10"/>
  <c r="JX360" i="10"/>
  <c r="KB361" i="10"/>
  <c r="BJ361" i="10"/>
  <c r="AP355" i="15"/>
  <c r="JW362" i="10"/>
  <c r="KB362" i="10"/>
  <c r="BJ362" i="10"/>
  <c r="AP356" i="15"/>
  <c r="JW363" i="10"/>
  <c r="JZ363" i="10"/>
  <c r="KB363" i="10"/>
  <c r="BJ363" i="10"/>
  <c r="AP357" i="15"/>
  <c r="JX364" i="10"/>
  <c r="JW365" i="10"/>
  <c r="KB365" i="10"/>
  <c r="BJ365" i="10"/>
  <c r="AP359" i="15"/>
  <c r="JZ366" i="10"/>
  <c r="JW367" i="10"/>
  <c r="KB367" i="10"/>
  <c r="BJ367" i="10"/>
  <c r="AP361" i="15"/>
  <c r="JW368" i="10"/>
  <c r="JX368" i="10"/>
  <c r="KB368" i="10"/>
  <c r="BJ368" i="10"/>
  <c r="AP362" i="15"/>
  <c r="JW369" i="10"/>
  <c r="JZ369" i="10"/>
  <c r="JW370" i="10"/>
  <c r="KC370" i="10"/>
  <c r="BL370" i="10"/>
  <c r="AR364" i="15"/>
  <c r="JW371" i="10"/>
  <c r="JW372" i="10"/>
  <c r="JY372" i="10"/>
  <c r="KB373" i="10"/>
  <c r="BJ373" i="10"/>
  <c r="AP367" i="15"/>
  <c r="JW374" i="10"/>
  <c r="KB374" i="10"/>
  <c r="BJ374" i="10"/>
  <c r="AP368" i="15"/>
  <c r="JW375" i="10"/>
  <c r="KC375" i="10"/>
  <c r="BL375" i="10"/>
  <c r="AR369" i="15"/>
  <c r="KB376" i="10"/>
  <c r="BJ376" i="10"/>
  <c r="AP370" i="15"/>
  <c r="JW377" i="10"/>
  <c r="JY377" i="10"/>
  <c r="JW378" i="10"/>
  <c r="KC378" i="10"/>
  <c r="BL378" i="10"/>
  <c r="AR372" i="15"/>
  <c r="JW379" i="10"/>
  <c r="JW381" i="10"/>
  <c r="JX381" i="10"/>
  <c r="JZ382" i="10"/>
  <c r="JW383" i="10"/>
  <c r="KB383" i="10"/>
  <c r="BJ383" i="10"/>
  <c r="AP377" i="15"/>
  <c r="JW384" i="10"/>
  <c r="KC384" i="10"/>
  <c r="BL384" i="10"/>
  <c r="AR378" i="15"/>
  <c r="JW385" i="10"/>
  <c r="KC385" i="10"/>
  <c r="BL385" i="10"/>
  <c r="AR379" i="15"/>
  <c r="JW386" i="10"/>
  <c r="KC386" i="10"/>
  <c r="BL386" i="10"/>
  <c r="AR380" i="15"/>
  <c r="JW387" i="10"/>
  <c r="KB387" i="10"/>
  <c r="BJ387" i="10"/>
  <c r="AP381" i="15"/>
  <c r="JW388" i="10"/>
  <c r="JX388" i="10"/>
  <c r="JW389" i="10"/>
  <c r="KB389" i="10"/>
  <c r="BJ389" i="10"/>
  <c r="AP383" i="15"/>
  <c r="JW390" i="10"/>
  <c r="KB390" i="10"/>
  <c r="BJ390" i="10"/>
  <c r="AP384" i="15"/>
  <c r="JW391" i="10"/>
  <c r="KB391" i="10"/>
  <c r="BJ391" i="10"/>
  <c r="AP385" i="15"/>
  <c r="KB392" i="10"/>
  <c r="BJ392" i="10"/>
  <c r="AP386" i="15"/>
  <c r="KP383" i="10"/>
  <c r="KP384" i="10"/>
  <c r="KP385" i="10"/>
  <c r="KP386" i="10"/>
  <c r="KP387" i="10"/>
  <c r="KP388" i="10"/>
  <c r="KP389" i="10"/>
  <c r="KP390" i="10"/>
  <c r="KP391" i="10"/>
  <c r="KP392" i="10"/>
  <c r="G195" i="12"/>
  <c r="L112" i="12"/>
  <c r="E184" i="12"/>
  <c r="G184" i="12"/>
  <c r="G183" i="12"/>
  <c r="E183" i="12"/>
  <c r="X9" i="10"/>
  <c r="D194" i="12"/>
  <c r="D199" i="12"/>
  <c r="FG271" i="10"/>
  <c r="K383" i="10"/>
  <c r="K384" i="10"/>
  <c r="K385" i="10"/>
  <c r="K386" i="10"/>
  <c r="K387" i="10"/>
  <c r="K388" i="10"/>
  <c r="K389" i="10"/>
  <c r="K390" i="10"/>
  <c r="K391" i="10"/>
  <c r="GI391" i="10" s="1"/>
  <c r="AT391" i="10" s="1"/>
  <c r="K392" i="10"/>
  <c r="EJ24" i="10"/>
  <c r="EJ25" i="10"/>
  <c r="EJ26" i="10"/>
  <c r="CB6" i="10"/>
  <c r="FQ24" i="10"/>
  <c r="FQ25" i="10"/>
  <c r="FQ27" i="10"/>
  <c r="FQ28" i="10"/>
  <c r="FQ29" i="10"/>
  <c r="FQ30" i="10"/>
  <c r="FQ31" i="10"/>
  <c r="FQ32" i="10"/>
  <c r="FQ33" i="10"/>
  <c r="FQ34" i="10"/>
  <c r="FQ35" i="10"/>
  <c r="FQ36" i="10"/>
  <c r="FQ37" i="10"/>
  <c r="FQ38" i="10"/>
  <c r="FQ39" i="10"/>
  <c r="FQ40" i="10"/>
  <c r="FQ41" i="10"/>
  <c r="FQ42" i="10"/>
  <c r="FQ43" i="10"/>
  <c r="FQ44" i="10"/>
  <c r="FQ45" i="10"/>
  <c r="FQ46" i="10"/>
  <c r="FQ47" i="10"/>
  <c r="FQ48" i="10"/>
  <c r="FQ49" i="10"/>
  <c r="FQ50" i="10"/>
  <c r="FQ51" i="10"/>
  <c r="FQ52" i="10"/>
  <c r="FQ53" i="10"/>
  <c r="FQ54" i="10"/>
  <c r="FQ55" i="10"/>
  <c r="FQ56" i="10"/>
  <c r="FQ57" i="10"/>
  <c r="FQ58" i="10"/>
  <c r="FQ59" i="10"/>
  <c r="FQ60" i="10"/>
  <c r="FQ61" i="10"/>
  <c r="FQ62" i="10"/>
  <c r="FQ63" i="10"/>
  <c r="FQ64" i="10"/>
  <c r="FQ65" i="10"/>
  <c r="FQ66" i="10"/>
  <c r="FQ67" i="10"/>
  <c r="FQ68" i="10"/>
  <c r="FQ69" i="10"/>
  <c r="FQ70" i="10"/>
  <c r="FQ71" i="10"/>
  <c r="FQ72" i="10"/>
  <c r="FQ73" i="10"/>
  <c r="FQ74" i="10"/>
  <c r="FQ75" i="10"/>
  <c r="FQ76" i="10"/>
  <c r="FQ77" i="10"/>
  <c r="FQ78" i="10"/>
  <c r="FQ79" i="10"/>
  <c r="FQ80" i="10"/>
  <c r="FQ81" i="10"/>
  <c r="FQ82" i="10"/>
  <c r="FQ83" i="10"/>
  <c r="FQ84" i="10"/>
  <c r="FQ85" i="10"/>
  <c r="FQ86" i="10"/>
  <c r="FQ87" i="10"/>
  <c r="FQ88" i="10"/>
  <c r="FQ89" i="10"/>
  <c r="FQ90" i="10"/>
  <c r="FQ91" i="10"/>
  <c r="FQ92" i="10"/>
  <c r="FQ93" i="10"/>
  <c r="FQ94" i="10"/>
  <c r="FQ95" i="10"/>
  <c r="FQ96" i="10"/>
  <c r="FQ97" i="10"/>
  <c r="FQ98" i="10"/>
  <c r="FQ99" i="10"/>
  <c r="FQ100" i="10"/>
  <c r="FQ101" i="10"/>
  <c r="FQ102" i="10"/>
  <c r="FQ103" i="10"/>
  <c r="FQ104" i="10"/>
  <c r="FQ105" i="10"/>
  <c r="FQ106" i="10"/>
  <c r="FQ107" i="10"/>
  <c r="FQ108" i="10"/>
  <c r="FQ109" i="10"/>
  <c r="FQ110" i="10"/>
  <c r="FQ111" i="10"/>
  <c r="FQ112" i="10"/>
  <c r="FQ113" i="10"/>
  <c r="FQ114" i="10"/>
  <c r="FQ115" i="10"/>
  <c r="FQ116" i="10"/>
  <c r="FQ117" i="10"/>
  <c r="FQ118" i="10"/>
  <c r="FQ119" i="10"/>
  <c r="FQ120" i="10"/>
  <c r="FQ121" i="10"/>
  <c r="FQ122" i="10"/>
  <c r="FQ123" i="10"/>
  <c r="FQ124" i="10"/>
  <c r="FQ125" i="10"/>
  <c r="FQ126" i="10"/>
  <c r="FQ127" i="10"/>
  <c r="FQ128" i="10"/>
  <c r="FQ129" i="10"/>
  <c r="FQ130" i="10"/>
  <c r="FQ131" i="10"/>
  <c r="FQ132" i="10"/>
  <c r="FQ133" i="10"/>
  <c r="FQ134" i="10"/>
  <c r="FQ135" i="10"/>
  <c r="FQ136" i="10"/>
  <c r="FQ137" i="10"/>
  <c r="FQ138" i="10"/>
  <c r="FQ139" i="10"/>
  <c r="FQ140" i="10"/>
  <c r="FQ141" i="10"/>
  <c r="FQ142" i="10"/>
  <c r="FQ143" i="10"/>
  <c r="FQ144" i="10"/>
  <c r="FQ145" i="10"/>
  <c r="FQ146" i="10"/>
  <c r="FQ147" i="10"/>
  <c r="FQ148" i="10"/>
  <c r="FQ149" i="10"/>
  <c r="FQ150" i="10"/>
  <c r="FQ151" i="10"/>
  <c r="FQ152" i="10"/>
  <c r="FQ153" i="10"/>
  <c r="FQ154" i="10"/>
  <c r="FQ155" i="10"/>
  <c r="FQ156" i="10"/>
  <c r="FQ157" i="10"/>
  <c r="FQ158" i="10"/>
  <c r="FQ159" i="10"/>
  <c r="FQ160" i="10"/>
  <c r="FQ161" i="10"/>
  <c r="FQ162" i="10"/>
  <c r="FQ163" i="10"/>
  <c r="FQ164" i="10"/>
  <c r="FQ165" i="10"/>
  <c r="FQ166" i="10"/>
  <c r="FQ167" i="10"/>
  <c r="FQ168" i="10"/>
  <c r="FQ169" i="10"/>
  <c r="FQ170" i="10"/>
  <c r="FQ171" i="10"/>
  <c r="FQ172" i="10"/>
  <c r="FQ173" i="10"/>
  <c r="FQ174" i="10"/>
  <c r="FQ175" i="10"/>
  <c r="FQ176" i="10"/>
  <c r="FQ177" i="10"/>
  <c r="FQ178" i="10"/>
  <c r="FQ179" i="10"/>
  <c r="FQ180" i="10"/>
  <c r="FQ181" i="10"/>
  <c r="FQ182" i="10"/>
  <c r="FQ183" i="10"/>
  <c r="FQ184" i="10"/>
  <c r="FQ185" i="10"/>
  <c r="FQ186" i="10"/>
  <c r="FQ187" i="10"/>
  <c r="FQ188" i="10"/>
  <c r="FQ189" i="10"/>
  <c r="FQ190" i="10"/>
  <c r="FQ191" i="10"/>
  <c r="FQ192" i="10"/>
  <c r="FQ193" i="10"/>
  <c r="FQ194" i="10"/>
  <c r="FQ195" i="10"/>
  <c r="FQ196" i="10"/>
  <c r="FQ197" i="10"/>
  <c r="FQ198" i="10"/>
  <c r="FQ199" i="10"/>
  <c r="FQ200" i="10"/>
  <c r="FQ201" i="10"/>
  <c r="FQ202" i="10"/>
  <c r="FQ203" i="10"/>
  <c r="FQ204" i="10"/>
  <c r="FQ205" i="10"/>
  <c r="FQ206" i="10"/>
  <c r="FQ207" i="10"/>
  <c r="FQ208" i="10"/>
  <c r="FQ209" i="10"/>
  <c r="FQ210" i="10"/>
  <c r="FQ211" i="10"/>
  <c r="FQ212" i="10"/>
  <c r="FQ213" i="10"/>
  <c r="FQ214" i="10"/>
  <c r="FQ215" i="10"/>
  <c r="FQ216" i="10"/>
  <c r="FQ217" i="10"/>
  <c r="FQ218" i="10"/>
  <c r="FQ219" i="10"/>
  <c r="FQ220" i="10"/>
  <c r="FQ221" i="10"/>
  <c r="FQ222" i="10"/>
  <c r="FQ223" i="10"/>
  <c r="FQ224" i="10"/>
  <c r="FQ225" i="10"/>
  <c r="FQ226" i="10"/>
  <c r="FQ227" i="10"/>
  <c r="FQ228" i="10"/>
  <c r="FQ229" i="10"/>
  <c r="FQ230" i="10"/>
  <c r="FQ231" i="10"/>
  <c r="FQ232" i="10"/>
  <c r="FQ233" i="10"/>
  <c r="FQ234" i="10"/>
  <c r="FQ235" i="10"/>
  <c r="FQ236" i="10"/>
  <c r="FQ237" i="10"/>
  <c r="FQ238" i="10"/>
  <c r="FQ239" i="10"/>
  <c r="FQ240" i="10"/>
  <c r="FQ241" i="10"/>
  <c r="FQ242" i="10"/>
  <c r="FQ243" i="10"/>
  <c r="FQ244" i="10"/>
  <c r="FQ245" i="10"/>
  <c r="FQ246" i="10"/>
  <c r="FQ247" i="10"/>
  <c r="FQ248" i="10"/>
  <c r="FQ249" i="10"/>
  <c r="FQ250" i="10"/>
  <c r="FQ251" i="10"/>
  <c r="FQ252" i="10"/>
  <c r="FQ253" i="10"/>
  <c r="FQ254" i="10"/>
  <c r="FQ255" i="10"/>
  <c r="FQ256" i="10"/>
  <c r="FQ257" i="10"/>
  <c r="FQ258" i="10"/>
  <c r="FQ259" i="10"/>
  <c r="FQ260" i="10"/>
  <c r="FQ261" i="10"/>
  <c r="FQ262" i="10"/>
  <c r="FQ263" i="10"/>
  <c r="FQ264" i="10"/>
  <c r="FQ265" i="10"/>
  <c r="FQ266" i="10"/>
  <c r="FQ267" i="10"/>
  <c r="FQ268" i="10"/>
  <c r="FQ269" i="10"/>
  <c r="FQ270" i="10"/>
  <c r="FQ271" i="10"/>
  <c r="FQ272" i="10"/>
  <c r="FQ273" i="10"/>
  <c r="FQ274" i="10"/>
  <c r="FQ275" i="10"/>
  <c r="FQ276" i="10"/>
  <c r="FQ277" i="10"/>
  <c r="FQ278" i="10"/>
  <c r="FQ279" i="10"/>
  <c r="FQ280" i="10"/>
  <c r="FQ281" i="10"/>
  <c r="FQ282" i="10"/>
  <c r="FQ283" i="10"/>
  <c r="FQ284" i="10"/>
  <c r="FQ285" i="10"/>
  <c r="FQ286" i="10"/>
  <c r="FQ287" i="10"/>
  <c r="FQ288" i="10"/>
  <c r="FQ289" i="10"/>
  <c r="FQ290" i="10"/>
  <c r="FQ291" i="10"/>
  <c r="FQ292" i="10"/>
  <c r="FQ293" i="10"/>
  <c r="FQ294" i="10"/>
  <c r="FQ295" i="10"/>
  <c r="FQ296" i="10"/>
  <c r="FQ297" i="10"/>
  <c r="FQ298" i="10"/>
  <c r="FQ299" i="10"/>
  <c r="FQ300" i="10"/>
  <c r="FQ301" i="10"/>
  <c r="FQ302" i="10"/>
  <c r="FQ303" i="10"/>
  <c r="FQ304" i="10"/>
  <c r="FQ305" i="10"/>
  <c r="FQ306" i="10"/>
  <c r="FQ307" i="10"/>
  <c r="FQ308" i="10"/>
  <c r="FQ309" i="10"/>
  <c r="FQ310" i="10"/>
  <c r="FQ311" i="10"/>
  <c r="FQ312" i="10"/>
  <c r="FQ313" i="10"/>
  <c r="FQ314" i="10"/>
  <c r="FQ315" i="10"/>
  <c r="FQ316" i="10"/>
  <c r="FQ317" i="10"/>
  <c r="FQ318" i="10"/>
  <c r="FQ319" i="10"/>
  <c r="FQ320" i="10"/>
  <c r="FQ321" i="10"/>
  <c r="FQ322" i="10"/>
  <c r="FQ323" i="10"/>
  <c r="FQ324" i="10"/>
  <c r="FQ325" i="10"/>
  <c r="FQ326" i="10"/>
  <c r="FQ327" i="10"/>
  <c r="FQ328" i="10"/>
  <c r="FQ329" i="10"/>
  <c r="FQ330" i="10"/>
  <c r="FQ331" i="10"/>
  <c r="FQ332" i="10"/>
  <c r="FQ333" i="10"/>
  <c r="FQ334" i="10"/>
  <c r="FQ335" i="10"/>
  <c r="FQ336" i="10"/>
  <c r="FQ337" i="10"/>
  <c r="FQ338" i="10"/>
  <c r="FQ339" i="10"/>
  <c r="FQ340" i="10"/>
  <c r="FQ341" i="10"/>
  <c r="FQ342" i="10"/>
  <c r="FQ343" i="10"/>
  <c r="FQ344" i="10"/>
  <c r="FQ345" i="10"/>
  <c r="FQ346" i="10"/>
  <c r="FQ347" i="10"/>
  <c r="FQ348" i="10"/>
  <c r="FQ349" i="10"/>
  <c r="FQ350" i="10"/>
  <c r="FQ351" i="10"/>
  <c r="FQ352" i="10"/>
  <c r="FQ353" i="10"/>
  <c r="FQ354" i="10"/>
  <c r="FQ355" i="10"/>
  <c r="FQ356" i="10"/>
  <c r="FQ357" i="10"/>
  <c r="FQ358" i="10"/>
  <c r="FQ359" i="10"/>
  <c r="FQ360" i="10"/>
  <c r="FQ361" i="10"/>
  <c r="FQ362" i="10"/>
  <c r="FQ363" i="10"/>
  <c r="FQ364" i="10"/>
  <c r="FQ365" i="10"/>
  <c r="FQ366" i="10"/>
  <c r="FQ367" i="10"/>
  <c r="FQ368" i="10"/>
  <c r="FQ369" i="10"/>
  <c r="FQ370" i="10"/>
  <c r="FQ371" i="10"/>
  <c r="FQ372" i="10"/>
  <c r="FQ373" i="10"/>
  <c r="FQ374" i="10"/>
  <c r="FQ375" i="10"/>
  <c r="FQ376" i="10"/>
  <c r="FQ377" i="10"/>
  <c r="FQ378" i="10"/>
  <c r="FQ379" i="10"/>
  <c r="FQ380" i="10"/>
  <c r="FQ381" i="10"/>
  <c r="FQ382" i="10"/>
  <c r="FQ383" i="10"/>
  <c r="FQ384" i="10"/>
  <c r="FQ385" i="10"/>
  <c r="FQ386" i="10"/>
  <c r="FQ387" i="10"/>
  <c r="FQ388" i="10"/>
  <c r="FQ389" i="10"/>
  <c r="FQ390" i="10"/>
  <c r="FQ391" i="10"/>
  <c r="FQ392" i="10"/>
  <c r="L121" i="12"/>
  <c r="K121" i="12"/>
  <c r="J121" i="12"/>
  <c r="H121" i="12"/>
  <c r="G121" i="12"/>
  <c r="E121" i="12"/>
  <c r="M121" i="12"/>
  <c r="L120" i="12"/>
  <c r="K120" i="12"/>
  <c r="J120" i="12"/>
  <c r="H120" i="12"/>
  <c r="G120" i="12"/>
  <c r="E120" i="12"/>
  <c r="M120" i="12"/>
  <c r="L119" i="12"/>
  <c r="K119" i="12"/>
  <c r="J119" i="12"/>
  <c r="H119" i="12"/>
  <c r="G119" i="12"/>
  <c r="E119" i="12"/>
  <c r="M119" i="12"/>
  <c r="L118" i="12"/>
  <c r="K118" i="12"/>
  <c r="J118" i="12"/>
  <c r="H118" i="12"/>
  <c r="G118" i="12"/>
  <c r="E118" i="12"/>
  <c r="M118" i="12"/>
  <c r="L117" i="12"/>
  <c r="K117" i="12"/>
  <c r="J117" i="12"/>
  <c r="H117" i="12"/>
  <c r="G117" i="12"/>
  <c r="E117" i="12"/>
  <c r="M117" i="12"/>
  <c r="L116" i="12"/>
  <c r="K116" i="12"/>
  <c r="J116" i="12"/>
  <c r="H116" i="12"/>
  <c r="G116" i="12"/>
  <c r="M116" i="12"/>
  <c r="L115" i="12"/>
  <c r="K115" i="12"/>
  <c r="J115" i="12"/>
  <c r="H115" i="12"/>
  <c r="G115" i="12"/>
  <c r="E115" i="12"/>
  <c r="M115" i="12"/>
  <c r="L114" i="12"/>
  <c r="K114" i="12"/>
  <c r="J114" i="12"/>
  <c r="H114" i="12"/>
  <c r="G114" i="12"/>
  <c r="E114" i="12"/>
  <c r="M114" i="12"/>
  <c r="L113" i="12"/>
  <c r="K113" i="12"/>
  <c r="J113" i="12"/>
  <c r="H113" i="12"/>
  <c r="G113" i="12"/>
  <c r="E113" i="12"/>
  <c r="M113" i="12"/>
  <c r="D113" i="12"/>
  <c r="C113" i="12"/>
  <c r="K112" i="12"/>
  <c r="J112" i="12"/>
  <c r="H112" i="12"/>
  <c r="G112" i="12"/>
  <c r="M112" i="12"/>
  <c r="D112" i="12"/>
  <c r="C112" i="12"/>
  <c r="L111" i="12"/>
  <c r="K111" i="12"/>
  <c r="J111" i="12"/>
  <c r="H111" i="12"/>
  <c r="G111" i="12"/>
  <c r="E111" i="12"/>
  <c r="M111" i="12"/>
  <c r="D111" i="12"/>
  <c r="C111" i="12"/>
  <c r="L110" i="12"/>
  <c r="K110" i="12"/>
  <c r="J110" i="12"/>
  <c r="H110" i="12"/>
  <c r="G110" i="12"/>
  <c r="E110" i="12"/>
  <c r="M110" i="12"/>
  <c r="D110" i="12"/>
  <c r="C110" i="12"/>
  <c r="L109" i="12"/>
  <c r="K109" i="12"/>
  <c r="J109" i="12"/>
  <c r="H109" i="12"/>
  <c r="G109" i="12"/>
  <c r="E109" i="12"/>
  <c r="M109" i="12"/>
  <c r="D109" i="12"/>
  <c r="C109" i="12"/>
  <c r="L108" i="12"/>
  <c r="K108" i="12"/>
  <c r="J108" i="12"/>
  <c r="H108" i="12"/>
  <c r="G108" i="12"/>
  <c r="E108" i="12"/>
  <c r="M108" i="12"/>
  <c r="D108" i="12"/>
  <c r="C108" i="12"/>
  <c r="L107" i="12"/>
  <c r="K107" i="12"/>
  <c r="J107" i="12"/>
  <c r="H107" i="12"/>
  <c r="G107" i="12"/>
  <c r="E107" i="12"/>
  <c r="M107" i="12"/>
  <c r="D107" i="12"/>
  <c r="C107" i="12"/>
  <c r="L106" i="12"/>
  <c r="K106" i="12"/>
  <c r="J106" i="12"/>
  <c r="H106" i="12"/>
  <c r="G106" i="12"/>
  <c r="E106" i="12"/>
  <c r="M106" i="12"/>
  <c r="D106" i="12"/>
  <c r="C106" i="12"/>
  <c r="L105" i="12"/>
  <c r="K105" i="12"/>
  <c r="J105" i="12"/>
  <c r="H105" i="12"/>
  <c r="G105" i="12"/>
  <c r="E105" i="12"/>
  <c r="M105" i="12"/>
  <c r="D105" i="12"/>
  <c r="C105" i="12"/>
  <c r="L104" i="12"/>
  <c r="K104" i="12"/>
  <c r="J104" i="12"/>
  <c r="H104" i="12"/>
  <c r="G104" i="12"/>
  <c r="E104" i="12"/>
  <c r="M104" i="12"/>
  <c r="D104" i="12"/>
  <c r="C104" i="12"/>
  <c r="F3" i="15"/>
  <c r="F2" i="15"/>
  <c r="X8" i="10"/>
  <c r="IQ22" i="10"/>
  <c r="IQ301" i="10"/>
  <c r="IQ305" i="10"/>
  <c r="IQ306" i="10"/>
  <c r="IQ307" i="10"/>
  <c r="IQ308" i="10"/>
  <c r="IQ309" i="10"/>
  <c r="IQ310" i="10"/>
  <c r="IQ311" i="10"/>
  <c r="IQ312" i="10"/>
  <c r="IQ313" i="10"/>
  <c r="IQ314" i="10"/>
  <c r="IQ315" i="10"/>
  <c r="IQ316" i="10"/>
  <c r="IQ317" i="10"/>
  <c r="IQ318" i="10"/>
  <c r="IQ319" i="10"/>
  <c r="IQ320" i="10"/>
  <c r="IQ321" i="10"/>
  <c r="IQ322" i="10"/>
  <c r="IQ323" i="10"/>
  <c r="IQ324" i="10"/>
  <c r="IQ325" i="10"/>
  <c r="IQ326" i="10"/>
  <c r="IQ327" i="10"/>
  <c r="IQ328" i="10"/>
  <c r="IQ329" i="10"/>
  <c r="IQ330" i="10"/>
  <c r="IQ331" i="10"/>
  <c r="IQ332" i="10"/>
  <c r="IQ333" i="10"/>
  <c r="IQ334" i="10"/>
  <c r="IQ335" i="10"/>
  <c r="IQ336" i="10"/>
  <c r="IQ337" i="10"/>
  <c r="IQ338" i="10"/>
  <c r="IQ339" i="10"/>
  <c r="IQ340" i="10"/>
  <c r="IQ341" i="10"/>
  <c r="IQ342" i="10"/>
  <c r="IQ343" i="10"/>
  <c r="IQ344" i="10"/>
  <c r="IQ345" i="10"/>
  <c r="IQ346" i="10"/>
  <c r="IQ347" i="10"/>
  <c r="IQ348" i="10"/>
  <c r="IQ349" i="10"/>
  <c r="IQ350" i="10"/>
  <c r="IQ351" i="10"/>
  <c r="IQ352" i="10"/>
  <c r="IQ353" i="10"/>
  <c r="IQ354" i="10"/>
  <c r="IQ355" i="10"/>
  <c r="IQ356" i="10"/>
  <c r="IQ357" i="10"/>
  <c r="IQ358" i="10"/>
  <c r="IQ359" i="10"/>
  <c r="IQ360" i="10"/>
  <c r="IQ361" i="10"/>
  <c r="IQ362" i="10"/>
  <c r="IQ363" i="10"/>
  <c r="IQ364" i="10"/>
  <c r="IQ365" i="10"/>
  <c r="IQ366" i="10"/>
  <c r="IQ367" i="10"/>
  <c r="IQ368" i="10"/>
  <c r="IQ369" i="10"/>
  <c r="IQ370" i="10"/>
  <c r="IQ371" i="10"/>
  <c r="IQ372" i="10"/>
  <c r="IQ373" i="10"/>
  <c r="IQ374" i="10"/>
  <c r="IQ375" i="10"/>
  <c r="IQ376" i="10"/>
  <c r="IQ377" i="10"/>
  <c r="IQ378" i="10"/>
  <c r="IQ379" i="10"/>
  <c r="IQ380" i="10"/>
  <c r="IQ381" i="10"/>
  <c r="IQ382" i="10"/>
  <c r="IQ383" i="10"/>
  <c r="IQ384" i="10"/>
  <c r="IQ385" i="10"/>
  <c r="IQ386" i="10"/>
  <c r="IQ387" i="10"/>
  <c r="IQ388" i="10"/>
  <c r="IQ389" i="10"/>
  <c r="IQ390" i="10"/>
  <c r="IQ391" i="10"/>
  <c r="IQ392" i="10"/>
  <c r="JS27" i="10"/>
  <c r="JS28" i="10"/>
  <c r="JS29" i="10"/>
  <c r="JS30" i="10"/>
  <c r="JS31" i="10"/>
  <c r="JS32" i="10"/>
  <c r="JS33" i="10"/>
  <c r="JS34" i="10"/>
  <c r="JS35" i="10"/>
  <c r="JS36" i="10"/>
  <c r="JS37" i="10"/>
  <c r="JS38" i="10"/>
  <c r="JS39" i="10"/>
  <c r="JS40" i="10"/>
  <c r="JZ40" i="10"/>
  <c r="JS41" i="10"/>
  <c r="JS42" i="10"/>
  <c r="JS43" i="10"/>
  <c r="JS44" i="10"/>
  <c r="JS45" i="10"/>
  <c r="JS46" i="10"/>
  <c r="JZ46" i="10"/>
  <c r="JS47" i="10"/>
  <c r="JS48" i="10"/>
  <c r="JS49" i="10"/>
  <c r="JS50" i="10"/>
  <c r="JP51" i="10"/>
  <c r="JS51" i="10"/>
  <c r="JS52" i="10"/>
  <c r="JS53" i="10"/>
  <c r="JS54" i="10"/>
  <c r="JS55" i="10"/>
  <c r="JZ55" i="10"/>
  <c r="JS56" i="10"/>
  <c r="JS57" i="10"/>
  <c r="JS58" i="10"/>
  <c r="JS59" i="10"/>
  <c r="JS60" i="10"/>
  <c r="JS61" i="10"/>
  <c r="JS62" i="10"/>
  <c r="JZ62" i="10"/>
  <c r="JS63" i="10"/>
  <c r="JS64" i="10"/>
  <c r="JS65" i="10"/>
  <c r="JS66" i="10"/>
  <c r="JS67" i="10"/>
  <c r="JS68" i="10"/>
  <c r="JS69" i="10"/>
  <c r="JS70" i="10"/>
  <c r="JS71" i="10"/>
  <c r="JZ75" i="10"/>
  <c r="JZ78" i="10"/>
  <c r="JZ89" i="10"/>
  <c r="JZ117" i="10"/>
  <c r="JZ123" i="10"/>
  <c r="JZ125" i="10"/>
  <c r="JZ126" i="10"/>
  <c r="JZ138" i="10"/>
  <c r="JZ169" i="10"/>
  <c r="JZ190" i="10"/>
  <c r="JZ191" i="10"/>
  <c r="JZ392" i="10"/>
  <c r="IR24" i="10"/>
  <c r="IR23" i="10"/>
  <c r="IR25" i="10"/>
  <c r="IR26" i="10"/>
  <c r="IR27" i="10"/>
  <c r="IR28" i="10"/>
  <c r="IR29" i="10"/>
  <c r="IR30" i="10"/>
  <c r="IR31" i="10"/>
  <c r="IR32" i="10"/>
  <c r="IR33" i="10"/>
  <c r="IR34" i="10"/>
  <c r="IR35" i="10"/>
  <c r="IR36" i="10"/>
  <c r="IR37" i="10"/>
  <c r="IR38" i="10"/>
  <c r="IR39" i="10"/>
  <c r="IR22" i="10"/>
  <c r="E156" i="12"/>
  <c r="E157" i="12"/>
  <c r="E158" i="12"/>
  <c r="KF23" i="10"/>
  <c r="KF24" i="10"/>
  <c r="KG24" i="10"/>
  <c r="KF25" i="10"/>
  <c r="KN25" i="10"/>
  <c r="KG25" i="10"/>
  <c r="KF26" i="10"/>
  <c r="KI26" i="10"/>
  <c r="KL26" i="10"/>
  <c r="JQ27" i="10"/>
  <c r="JR27" i="10"/>
  <c r="EJ27" i="10"/>
  <c r="KF27" i="10"/>
  <c r="KH27" i="10"/>
  <c r="JQ28" i="10"/>
  <c r="JR28" i="10"/>
  <c r="EJ28" i="10"/>
  <c r="KF28" i="10"/>
  <c r="KH28" i="10"/>
  <c r="JQ29" i="10"/>
  <c r="JR29" i="10"/>
  <c r="EJ29" i="10"/>
  <c r="KF29" i="10"/>
  <c r="KG29" i="10"/>
  <c r="JQ30" i="10"/>
  <c r="JR30" i="10"/>
  <c r="EJ30" i="10"/>
  <c r="KF30" i="10"/>
  <c r="KM30" i="10"/>
  <c r="BI30" i="10" s="1"/>
  <c r="AO24" i="15" s="1"/>
  <c r="JQ31" i="10"/>
  <c r="JR31" i="10"/>
  <c r="EJ31" i="10"/>
  <c r="KF31" i="10"/>
  <c r="KG31" i="10"/>
  <c r="JQ32" i="10"/>
  <c r="JR32" i="10"/>
  <c r="EJ32" i="10"/>
  <c r="KF32" i="10"/>
  <c r="KG32" i="10"/>
  <c r="JQ33" i="10"/>
  <c r="JR33" i="10"/>
  <c r="EJ33" i="10"/>
  <c r="KF33" i="10"/>
  <c r="KI33" i="10"/>
  <c r="JQ34" i="10"/>
  <c r="JR34" i="10"/>
  <c r="EJ34" i="10"/>
  <c r="JX34" i="10"/>
  <c r="JY34" i="10"/>
  <c r="KD34" i="10"/>
  <c r="BK34" i="10" s="1"/>
  <c r="AQ28" i="15" s="1"/>
  <c r="KF34" i="10"/>
  <c r="KG34" i="10"/>
  <c r="JQ35" i="10"/>
  <c r="JR35" i="10"/>
  <c r="EJ35" i="10"/>
  <c r="KF35" i="10"/>
  <c r="KG35" i="10"/>
  <c r="JQ36" i="10"/>
  <c r="JR36" i="10"/>
  <c r="EJ36" i="10"/>
  <c r="KF36" i="10"/>
  <c r="KG36" i="10"/>
  <c r="JQ37" i="10"/>
  <c r="JR37" i="10"/>
  <c r="EJ37" i="10"/>
  <c r="KF37" i="10"/>
  <c r="KK37" i="10"/>
  <c r="BH37" i="10"/>
  <c r="AN31" i="15"/>
  <c r="JQ38" i="10"/>
  <c r="JR38" i="10"/>
  <c r="EJ38" i="10"/>
  <c r="KF38" i="10"/>
  <c r="KH38" i="10"/>
  <c r="JQ39" i="10"/>
  <c r="JR39" i="10"/>
  <c r="EJ39" i="10"/>
  <c r="KF39" i="10"/>
  <c r="KI39" i="10"/>
  <c r="IR40" i="10"/>
  <c r="JQ40" i="10"/>
  <c r="JR40" i="10"/>
  <c r="EJ40" i="10"/>
  <c r="JX40" i="10"/>
  <c r="JY40" i="10"/>
  <c r="KD40" i="10"/>
  <c r="BK40" i="10" s="1"/>
  <c r="AQ34" i="15" s="1"/>
  <c r="KF40" i="10"/>
  <c r="KG40" i="10"/>
  <c r="IR41" i="10"/>
  <c r="JQ41" i="10"/>
  <c r="JR41" i="10"/>
  <c r="EJ41" i="10"/>
  <c r="KF41" i="10"/>
  <c r="KM41" i="10"/>
  <c r="BI41" i="10" s="1"/>
  <c r="AO35" i="15" s="1"/>
  <c r="IR42" i="10"/>
  <c r="JQ42" i="10"/>
  <c r="JR42" i="10"/>
  <c r="EJ42" i="10"/>
  <c r="KE42" i="10"/>
  <c r="BM42" i="10"/>
  <c r="AS36" i="15"/>
  <c r="KF42" i="10"/>
  <c r="KH42" i="10"/>
  <c r="IR43" i="10"/>
  <c r="JQ43" i="10"/>
  <c r="JR43" i="10"/>
  <c r="EJ43" i="10"/>
  <c r="KF43" i="10"/>
  <c r="KG43" i="10"/>
  <c r="IR44" i="10"/>
  <c r="JQ44" i="10"/>
  <c r="JR44" i="10"/>
  <c r="EJ44" i="10"/>
  <c r="KF44" i="10"/>
  <c r="KM44" i="10"/>
  <c r="BI44" i="10" s="1"/>
  <c r="AO38" i="15" s="1"/>
  <c r="IR45" i="10"/>
  <c r="JQ45" i="10"/>
  <c r="JR45" i="10"/>
  <c r="EJ45" i="10"/>
  <c r="KA45" i="10"/>
  <c r="KF45" i="10"/>
  <c r="KK45" i="10"/>
  <c r="BH45" i="10"/>
  <c r="AN39" i="15"/>
  <c r="IR46" i="10"/>
  <c r="JQ46" i="10"/>
  <c r="JR46" i="10"/>
  <c r="EJ46" i="10"/>
  <c r="JX46" i="10"/>
  <c r="JY46" i="10"/>
  <c r="KD46" i="10"/>
  <c r="BK46" i="10"/>
  <c r="AQ40" i="15" s="1"/>
  <c r="KF46" i="10"/>
  <c r="KG46" i="10"/>
  <c r="IR47" i="10"/>
  <c r="JQ47" i="10"/>
  <c r="JR47" i="10"/>
  <c r="EJ47" i="10"/>
  <c r="KE47" i="10"/>
  <c r="BM47" i="10"/>
  <c r="AS41" i="15"/>
  <c r="KF47" i="10"/>
  <c r="KG47" i="10"/>
  <c r="IR48" i="10"/>
  <c r="JQ48" i="10"/>
  <c r="JR48" i="10"/>
  <c r="EJ48" i="10"/>
  <c r="KF48" i="10"/>
  <c r="KG48" i="10"/>
  <c r="IR49" i="10"/>
  <c r="JQ49" i="10"/>
  <c r="JR49" i="10"/>
  <c r="EJ49" i="10"/>
  <c r="KF49" i="10"/>
  <c r="IR50" i="10"/>
  <c r="JQ50" i="10"/>
  <c r="JR50" i="10"/>
  <c r="EJ50" i="10"/>
  <c r="KF50" i="10"/>
  <c r="KJ50" i="10"/>
  <c r="IR51" i="10"/>
  <c r="JQ51" i="10"/>
  <c r="JR51" i="10"/>
  <c r="EJ51" i="10"/>
  <c r="KF51" i="10"/>
  <c r="KK51" i="10"/>
  <c r="BH51" i="10"/>
  <c r="AN45" i="15"/>
  <c r="IR52" i="10"/>
  <c r="JQ52" i="10"/>
  <c r="JR52" i="10"/>
  <c r="EJ52" i="10"/>
  <c r="KD52" i="10"/>
  <c r="BK52" i="10" s="1"/>
  <c r="AQ46" i="15" s="1"/>
  <c r="KF52" i="10"/>
  <c r="KG52" i="10"/>
  <c r="IR53" i="10"/>
  <c r="JQ53" i="10"/>
  <c r="JR53" i="10"/>
  <c r="EJ53" i="10"/>
  <c r="KF53" i="10"/>
  <c r="KL53" i="10"/>
  <c r="IR54" i="10"/>
  <c r="JQ54" i="10"/>
  <c r="JR54" i="10"/>
  <c r="EJ54" i="10"/>
  <c r="JX54" i="10"/>
  <c r="KF54" i="10"/>
  <c r="KG54" i="10"/>
  <c r="IR55" i="10"/>
  <c r="JQ55" i="10"/>
  <c r="JR55" i="10"/>
  <c r="EJ55" i="10"/>
  <c r="JX55" i="10"/>
  <c r="KA55" i="10"/>
  <c r="KE55" i="10"/>
  <c r="BM55" i="10"/>
  <c r="AS49" i="15"/>
  <c r="KF55" i="10"/>
  <c r="KJ55" i="10"/>
  <c r="IR56" i="10"/>
  <c r="JQ56" i="10"/>
  <c r="JR56" i="10"/>
  <c r="EJ56" i="10"/>
  <c r="KD56" i="10"/>
  <c r="BK56" i="10" s="1"/>
  <c r="AQ50" i="15" s="1"/>
  <c r="KF56" i="10"/>
  <c r="KG56" i="10"/>
  <c r="IR57" i="10"/>
  <c r="JQ57" i="10"/>
  <c r="JR57" i="10"/>
  <c r="EJ57" i="10"/>
  <c r="JY57" i="10"/>
  <c r="KD57" i="10"/>
  <c r="BK57" i="10" s="1"/>
  <c r="AQ51" i="15" s="1"/>
  <c r="KF57" i="10"/>
  <c r="KJ57" i="10"/>
  <c r="IR58" i="10"/>
  <c r="JQ58" i="10"/>
  <c r="JR58" i="10"/>
  <c r="EJ58" i="10"/>
  <c r="KD58" i="10"/>
  <c r="BK58" i="10" s="1"/>
  <c r="AQ52" i="15" s="1"/>
  <c r="KF58" i="10"/>
  <c r="KL58" i="10"/>
  <c r="IR59" i="10"/>
  <c r="JQ59" i="10"/>
  <c r="JR59" i="10"/>
  <c r="EJ59" i="10"/>
  <c r="KF59" i="10"/>
  <c r="KH59" i="10"/>
  <c r="IR60" i="10"/>
  <c r="JQ60" i="10"/>
  <c r="JR60" i="10"/>
  <c r="EJ60" i="10"/>
  <c r="KF60" i="10"/>
  <c r="KG60" i="10"/>
  <c r="IR61" i="10"/>
  <c r="JQ61" i="10"/>
  <c r="JR61" i="10"/>
  <c r="EJ61" i="10"/>
  <c r="KF61" i="10"/>
  <c r="IR62" i="10"/>
  <c r="JQ62" i="10"/>
  <c r="JR62" i="10"/>
  <c r="EJ62" i="10"/>
  <c r="JX62" i="10"/>
  <c r="KD62" i="10"/>
  <c r="BK62" i="10" s="1"/>
  <c r="AQ56" i="15" s="1"/>
  <c r="KF62" i="10"/>
  <c r="KG62" i="10"/>
  <c r="IR63" i="10"/>
  <c r="JQ63" i="10"/>
  <c r="JR63" i="10"/>
  <c r="EJ63" i="10"/>
  <c r="KF63" i="10"/>
  <c r="KH63" i="10"/>
  <c r="IR64" i="10"/>
  <c r="JQ64" i="10"/>
  <c r="JR64" i="10"/>
  <c r="EJ64" i="10"/>
  <c r="JX64" i="10"/>
  <c r="JY64" i="10"/>
  <c r="KA64" i="10"/>
  <c r="KE64" i="10"/>
  <c r="BM64" i="10"/>
  <c r="AS58" i="15"/>
  <c r="KF64" i="10"/>
  <c r="KG64" i="10"/>
  <c r="IR65" i="10"/>
  <c r="JQ65" i="10"/>
  <c r="JR65" i="10"/>
  <c r="EJ65" i="10"/>
  <c r="JY65" i="10"/>
  <c r="KA65" i="10"/>
  <c r="KE65" i="10"/>
  <c r="BM65" i="10"/>
  <c r="AS59" i="15"/>
  <c r="KF65" i="10"/>
  <c r="KG65" i="10"/>
  <c r="IR66" i="10"/>
  <c r="JQ66" i="10"/>
  <c r="JR66" i="10"/>
  <c r="EJ66" i="10"/>
  <c r="KD66" i="10"/>
  <c r="BK66" i="10" s="1"/>
  <c r="AQ60" i="15" s="1"/>
  <c r="KE66" i="10"/>
  <c r="BM66" i="10"/>
  <c r="AS60" i="15"/>
  <c r="KF66" i="10"/>
  <c r="KI66" i="10"/>
  <c r="IR67" i="10"/>
  <c r="JQ67" i="10"/>
  <c r="JR67" i="10"/>
  <c r="EJ67" i="10"/>
  <c r="KF67" i="10"/>
  <c r="KH67" i="10"/>
  <c r="IR68" i="10"/>
  <c r="JQ68" i="10"/>
  <c r="JR68" i="10"/>
  <c r="EJ68" i="10"/>
  <c r="KF68" i="10"/>
  <c r="KG68" i="10"/>
  <c r="IR69" i="10"/>
  <c r="JQ69" i="10"/>
  <c r="JR69" i="10"/>
  <c r="EJ69" i="10"/>
  <c r="KF69" i="10"/>
  <c r="KN69" i="10"/>
  <c r="IR70" i="10"/>
  <c r="JQ70" i="10"/>
  <c r="JR70" i="10"/>
  <c r="EJ70" i="10"/>
  <c r="JX70" i="10"/>
  <c r="JY70" i="10"/>
  <c r="KF70" i="10"/>
  <c r="KH70" i="10"/>
  <c r="IR71" i="10"/>
  <c r="JQ71" i="10"/>
  <c r="JR71" i="10"/>
  <c r="EJ71" i="10"/>
  <c r="KF71" i="10"/>
  <c r="IR72" i="10"/>
  <c r="JQ72" i="10"/>
  <c r="JR72" i="10"/>
  <c r="JS72" i="10"/>
  <c r="EJ72" i="10"/>
  <c r="KF72" i="10"/>
  <c r="KL72" i="10"/>
  <c r="IR73" i="10"/>
  <c r="JQ73" i="10"/>
  <c r="JR73" i="10"/>
  <c r="JS73" i="10"/>
  <c r="EJ73" i="10"/>
  <c r="KD73" i="10"/>
  <c r="BK73" i="10" s="1"/>
  <c r="AQ67" i="15" s="1"/>
  <c r="KF73" i="10"/>
  <c r="KJ73" i="10"/>
  <c r="IR74" i="10"/>
  <c r="JQ74" i="10"/>
  <c r="JR74" i="10"/>
  <c r="JS74" i="10"/>
  <c r="EJ74" i="10"/>
  <c r="KA74" i="10"/>
  <c r="KE74" i="10"/>
  <c r="BM74" i="10"/>
  <c r="AS68" i="15"/>
  <c r="KF74" i="10"/>
  <c r="KI74" i="10"/>
  <c r="IR75" i="10"/>
  <c r="JO75" i="10"/>
  <c r="JP75" i="10"/>
  <c r="JQ75" i="10"/>
  <c r="JR75" i="10"/>
  <c r="JS75" i="10"/>
  <c r="EJ75" i="10"/>
  <c r="JX75" i="10"/>
  <c r="JY75" i="10"/>
  <c r="KD75" i="10"/>
  <c r="BK75" i="10" s="1"/>
  <c r="AQ69" i="15" s="1"/>
  <c r="KE75" i="10"/>
  <c r="BM75" i="10"/>
  <c r="AS69" i="15"/>
  <c r="KF75" i="10"/>
  <c r="KI75" i="10"/>
  <c r="IR76" i="10"/>
  <c r="JQ76" i="10"/>
  <c r="JR76" i="10"/>
  <c r="JS76" i="10"/>
  <c r="EJ76" i="10"/>
  <c r="KF76" i="10"/>
  <c r="KM76" i="10"/>
  <c r="BI76" i="10" s="1"/>
  <c r="AO70" i="15" s="1"/>
  <c r="IR77" i="10"/>
  <c r="JQ77" i="10"/>
  <c r="JR77" i="10"/>
  <c r="JS77" i="10"/>
  <c r="EJ77" i="10"/>
  <c r="KE77" i="10"/>
  <c r="BM77" i="10"/>
  <c r="AS71" i="15"/>
  <c r="KF77" i="10"/>
  <c r="KG77" i="10"/>
  <c r="IR78" i="10"/>
  <c r="JQ78" i="10"/>
  <c r="JR78" i="10"/>
  <c r="JS78" i="10"/>
  <c r="EJ78" i="10"/>
  <c r="KF78" i="10"/>
  <c r="KL78" i="10"/>
  <c r="IR79" i="10"/>
  <c r="JQ79" i="10"/>
  <c r="JR79" i="10"/>
  <c r="JS79" i="10"/>
  <c r="EJ79" i="10"/>
  <c r="KF79" i="10"/>
  <c r="KL79" i="10"/>
  <c r="IR80" i="10"/>
  <c r="JQ80" i="10"/>
  <c r="JR80" i="10"/>
  <c r="JS80" i="10"/>
  <c r="EJ80" i="10"/>
  <c r="JY80" i="10"/>
  <c r="KA80" i="10"/>
  <c r="KE80" i="10"/>
  <c r="BM80" i="10"/>
  <c r="AS74" i="15"/>
  <c r="KF80" i="10"/>
  <c r="IR81" i="10"/>
  <c r="JQ81" i="10"/>
  <c r="JR81" i="10"/>
  <c r="JS81" i="10"/>
  <c r="EJ81" i="10"/>
  <c r="JX81" i="10"/>
  <c r="KA81" i="10"/>
  <c r="KE81" i="10"/>
  <c r="BM81" i="10"/>
  <c r="AS75" i="15"/>
  <c r="KF81" i="10"/>
  <c r="KK81" i="10"/>
  <c r="BH81" i="10"/>
  <c r="AN75" i="15"/>
  <c r="IR82" i="10"/>
  <c r="JQ82" i="10"/>
  <c r="JR82" i="10"/>
  <c r="JS82" i="10"/>
  <c r="EJ82" i="10"/>
  <c r="KF82" i="10"/>
  <c r="KI82" i="10"/>
  <c r="IR83" i="10"/>
  <c r="JQ83" i="10"/>
  <c r="JR83" i="10"/>
  <c r="JS83" i="10"/>
  <c r="EJ83" i="10"/>
  <c r="KF83" i="10"/>
  <c r="KG83" i="10"/>
  <c r="IR84" i="10"/>
  <c r="JO84" i="10"/>
  <c r="JP84" i="10"/>
  <c r="JQ84" i="10"/>
  <c r="JR84" i="10"/>
  <c r="JS84" i="10"/>
  <c r="EJ84" i="10"/>
  <c r="JY84" i="10"/>
  <c r="KF84" i="10"/>
  <c r="KN84" i="10"/>
  <c r="IR85" i="10"/>
  <c r="JQ85" i="10"/>
  <c r="JR85" i="10"/>
  <c r="JS85" i="10"/>
  <c r="EJ85" i="10"/>
  <c r="KF85" i="10"/>
  <c r="KH85" i="10"/>
  <c r="IR86" i="10"/>
  <c r="JQ86" i="10"/>
  <c r="JR86" i="10"/>
  <c r="JS86" i="10"/>
  <c r="EJ86" i="10"/>
  <c r="JX86" i="10"/>
  <c r="KF86" i="10"/>
  <c r="KG86" i="10"/>
  <c r="IR87" i="10"/>
  <c r="JQ87" i="10"/>
  <c r="JR87" i="10"/>
  <c r="JS87" i="10"/>
  <c r="EJ87" i="10"/>
  <c r="KF87" i="10"/>
  <c r="KH87" i="10"/>
  <c r="IR88" i="10"/>
  <c r="JQ88" i="10"/>
  <c r="JR88" i="10"/>
  <c r="JS88" i="10"/>
  <c r="EJ88" i="10"/>
  <c r="JX88" i="10"/>
  <c r="KD88" i="10"/>
  <c r="BK88" i="10"/>
  <c r="AQ82" i="15" s="1"/>
  <c r="KE88" i="10"/>
  <c r="BM88" i="10"/>
  <c r="AS82" i="15"/>
  <c r="KF88" i="10"/>
  <c r="KH88" i="10"/>
  <c r="IR89" i="10"/>
  <c r="JO89" i="10"/>
  <c r="JP89" i="10"/>
  <c r="JQ89" i="10"/>
  <c r="JR89" i="10"/>
  <c r="JS89" i="10"/>
  <c r="EJ89" i="10"/>
  <c r="JX89" i="10"/>
  <c r="KA89" i="10"/>
  <c r="KE89" i="10"/>
  <c r="BM89" i="10"/>
  <c r="AS83" i="15"/>
  <c r="KF89" i="10"/>
  <c r="KK89" i="10"/>
  <c r="BH89" i="10"/>
  <c r="AN83" i="15"/>
  <c r="IR90" i="10"/>
  <c r="JQ90" i="10"/>
  <c r="JR90" i="10"/>
  <c r="JS90" i="10"/>
  <c r="EJ90" i="10"/>
  <c r="KF90" i="10"/>
  <c r="KI90" i="10"/>
  <c r="IR91" i="10"/>
  <c r="JQ91" i="10"/>
  <c r="JR91" i="10"/>
  <c r="JS91" i="10"/>
  <c r="EJ91" i="10"/>
  <c r="KF91" i="10"/>
  <c r="KI91" i="10"/>
  <c r="IR92" i="10"/>
  <c r="JQ92" i="10"/>
  <c r="JR92" i="10"/>
  <c r="JS92" i="10"/>
  <c r="EJ92" i="10"/>
  <c r="JY92" i="10"/>
  <c r="KF92" i="10"/>
  <c r="KK92" i="10"/>
  <c r="BH92" i="10"/>
  <c r="AN86" i="15"/>
  <c r="IR93" i="10"/>
  <c r="JQ93" i="10"/>
  <c r="JR93" i="10"/>
  <c r="JS93" i="10"/>
  <c r="EJ93" i="10"/>
  <c r="KF93" i="10"/>
  <c r="KI93" i="10"/>
  <c r="IR94" i="10"/>
  <c r="JQ94" i="10"/>
  <c r="JR94" i="10"/>
  <c r="JS94" i="10"/>
  <c r="EJ94" i="10"/>
  <c r="JX94" i="10"/>
  <c r="KF94" i="10"/>
  <c r="KM94" i="10"/>
  <c r="BI94" i="10" s="1"/>
  <c r="AO88" i="15" s="1"/>
  <c r="IR95" i="10"/>
  <c r="JQ95" i="10"/>
  <c r="JR95" i="10"/>
  <c r="JS95" i="10"/>
  <c r="EJ95" i="10"/>
  <c r="KF95" i="10"/>
  <c r="KJ95" i="10"/>
  <c r="IR96" i="10"/>
  <c r="JQ96" i="10"/>
  <c r="JR96" i="10"/>
  <c r="JS96" i="10"/>
  <c r="EJ96" i="10"/>
  <c r="KF96" i="10"/>
  <c r="KL96" i="10"/>
  <c r="IR97" i="10"/>
  <c r="JQ97" i="10"/>
  <c r="JR97" i="10"/>
  <c r="JS97" i="10"/>
  <c r="EJ97" i="10"/>
  <c r="KF97" i="10"/>
  <c r="KH97" i="10"/>
  <c r="IR98" i="10"/>
  <c r="JQ98" i="10"/>
  <c r="JR98" i="10"/>
  <c r="JS98" i="10"/>
  <c r="EJ98" i="10"/>
  <c r="JY98" i="10"/>
  <c r="KF98" i="10"/>
  <c r="KG98" i="10"/>
  <c r="IR99" i="10"/>
  <c r="JQ99" i="10"/>
  <c r="JR99" i="10"/>
  <c r="JS99" i="10"/>
  <c r="EJ99" i="10"/>
  <c r="KD99" i="10"/>
  <c r="BK99" i="10"/>
  <c r="AQ93" i="15" s="1"/>
  <c r="KE99" i="10"/>
  <c r="BM99" i="10"/>
  <c r="AS93" i="15"/>
  <c r="KF99" i="10"/>
  <c r="KK99" i="10"/>
  <c r="BH99" i="10"/>
  <c r="AN93" i="15"/>
  <c r="IR100" i="10"/>
  <c r="JQ100" i="10"/>
  <c r="JR100" i="10"/>
  <c r="JS100" i="10"/>
  <c r="EJ100" i="10"/>
  <c r="JX100" i="10"/>
  <c r="KA100" i="10"/>
  <c r="KD100" i="10"/>
  <c r="BK100" i="10" s="1"/>
  <c r="AQ94" i="15" s="1"/>
  <c r="KF100" i="10"/>
  <c r="KG100" i="10"/>
  <c r="IR101" i="10"/>
  <c r="JQ101" i="10"/>
  <c r="JR101" i="10"/>
  <c r="JS101" i="10"/>
  <c r="EJ101" i="10"/>
  <c r="KF101" i="10"/>
  <c r="KH101" i="10"/>
  <c r="IR102" i="10"/>
  <c r="JO102" i="10"/>
  <c r="JN102" i="10"/>
  <c r="JQ102" i="10"/>
  <c r="JR102" i="10"/>
  <c r="JS102" i="10"/>
  <c r="EJ102" i="10"/>
  <c r="KF102" i="10"/>
  <c r="KM102" i="10"/>
  <c r="BI102" i="10" s="1"/>
  <c r="AO96" i="15" s="1"/>
  <c r="IR103" i="10"/>
  <c r="JQ103" i="10"/>
  <c r="JR103" i="10"/>
  <c r="JS103" i="10"/>
  <c r="EJ103" i="10"/>
  <c r="KA103" i="10"/>
  <c r="KF103" i="10"/>
  <c r="KL103" i="10"/>
  <c r="IR104" i="10"/>
  <c r="JO104" i="10"/>
  <c r="JP104" i="10"/>
  <c r="JQ104" i="10"/>
  <c r="JR104" i="10"/>
  <c r="JS104" i="10"/>
  <c r="EJ104" i="10"/>
  <c r="JX104" i="10"/>
  <c r="KA104" i="10"/>
  <c r="KD104" i="10"/>
  <c r="BK104" i="10" s="1"/>
  <c r="AQ98" i="15" s="1"/>
  <c r="KF104" i="10"/>
  <c r="KG104" i="10"/>
  <c r="IR105" i="10"/>
  <c r="JQ105" i="10"/>
  <c r="JR105" i="10"/>
  <c r="JS105" i="10"/>
  <c r="EJ105" i="10"/>
  <c r="KF105" i="10"/>
  <c r="KH105" i="10"/>
  <c r="IR106" i="10"/>
  <c r="JQ106" i="10"/>
  <c r="JR106" i="10"/>
  <c r="JS106" i="10"/>
  <c r="EJ106" i="10"/>
  <c r="KE106" i="10"/>
  <c r="BM106" i="10"/>
  <c r="AS100" i="15"/>
  <c r="KF106" i="10"/>
  <c r="KH106" i="10"/>
  <c r="IR107" i="10"/>
  <c r="JQ107" i="10"/>
  <c r="JR107" i="10"/>
  <c r="JS107" i="10"/>
  <c r="EJ107" i="10"/>
  <c r="KF107" i="10"/>
  <c r="KG107" i="10"/>
  <c r="IR108" i="10"/>
  <c r="JO108" i="10"/>
  <c r="JP108" i="10"/>
  <c r="JQ108" i="10"/>
  <c r="JR108" i="10"/>
  <c r="JS108" i="10"/>
  <c r="EJ108" i="10"/>
  <c r="KF108" i="10"/>
  <c r="KK108" i="10"/>
  <c r="BH108" i="10"/>
  <c r="AN102" i="15"/>
  <c r="IR109" i="10"/>
  <c r="JQ109" i="10"/>
  <c r="JR109" i="10"/>
  <c r="JS109" i="10"/>
  <c r="EJ109" i="10"/>
  <c r="KF109" i="10"/>
  <c r="KN109" i="10"/>
  <c r="IR110" i="10"/>
  <c r="JO110" i="10"/>
  <c r="JP110" i="10"/>
  <c r="JQ110" i="10"/>
  <c r="JR110" i="10"/>
  <c r="JS110" i="10"/>
  <c r="EJ110" i="10"/>
  <c r="JX110" i="10"/>
  <c r="JY110" i="10"/>
  <c r="KD110" i="10"/>
  <c r="BK110" i="10"/>
  <c r="AQ104" i="15" s="1"/>
  <c r="KF110" i="10"/>
  <c r="KH110" i="10"/>
  <c r="IR111" i="10"/>
  <c r="JQ111" i="10"/>
  <c r="JR111" i="10"/>
  <c r="JS111" i="10"/>
  <c r="EJ111" i="10"/>
  <c r="KF111" i="10"/>
  <c r="KK111" i="10"/>
  <c r="BH111" i="10"/>
  <c r="AN105" i="15"/>
  <c r="IR112" i="10"/>
  <c r="JQ112" i="10"/>
  <c r="JR112" i="10"/>
  <c r="JS112" i="10"/>
  <c r="EJ112" i="10"/>
  <c r="KF112" i="10"/>
  <c r="KJ112" i="10"/>
  <c r="JQ113" i="10"/>
  <c r="JR113" i="10"/>
  <c r="JS113" i="10"/>
  <c r="EJ113" i="10"/>
  <c r="JX113" i="10"/>
  <c r="KE113" i="10"/>
  <c r="BM113" i="10"/>
  <c r="AS107" i="15"/>
  <c r="KF113" i="10"/>
  <c r="KG113" i="10"/>
  <c r="JQ114" i="10"/>
  <c r="JR114" i="10"/>
  <c r="JS114" i="10"/>
  <c r="EJ114" i="10"/>
  <c r="KD114" i="10"/>
  <c r="BK114" i="10" s="1"/>
  <c r="AQ108" i="15" s="1"/>
  <c r="KF114" i="10"/>
  <c r="KL114" i="10"/>
  <c r="JO115" i="10"/>
  <c r="JP115" i="10"/>
  <c r="JQ115" i="10"/>
  <c r="JR115" i="10"/>
  <c r="JS115" i="10"/>
  <c r="EJ115" i="10"/>
  <c r="KF115" i="10"/>
  <c r="KG115" i="10"/>
  <c r="JO116" i="10"/>
  <c r="JP116" i="10"/>
  <c r="JQ116" i="10"/>
  <c r="JR116" i="10"/>
  <c r="JS116" i="10"/>
  <c r="EJ116" i="10"/>
  <c r="KA116" i="10"/>
  <c r="KF116" i="10"/>
  <c r="KL116" i="10"/>
  <c r="JQ117" i="10"/>
  <c r="JR117" i="10"/>
  <c r="JS117" i="10"/>
  <c r="EJ117" i="10"/>
  <c r="JX117" i="10"/>
  <c r="JY117" i="10"/>
  <c r="KA117" i="10"/>
  <c r="KD117" i="10"/>
  <c r="BK117" i="10" s="1"/>
  <c r="AQ111" i="15" s="1"/>
  <c r="KE117" i="10"/>
  <c r="BM117" i="10"/>
  <c r="AS111" i="15"/>
  <c r="KF117" i="10"/>
  <c r="KJ117" i="10"/>
  <c r="JO118" i="10"/>
  <c r="JP118" i="10"/>
  <c r="JQ118" i="10"/>
  <c r="JR118" i="10"/>
  <c r="JS118" i="10"/>
  <c r="EJ118" i="10"/>
  <c r="KF118" i="10"/>
  <c r="KK118" i="10"/>
  <c r="BH118" i="10"/>
  <c r="AN112" i="15"/>
  <c r="JQ119" i="10"/>
  <c r="JR119" i="10"/>
  <c r="JS119" i="10"/>
  <c r="EJ119" i="10"/>
  <c r="JY119" i="10"/>
  <c r="KA119" i="10"/>
  <c r="KF119" i="10"/>
  <c r="KK119" i="10"/>
  <c r="BH119" i="10"/>
  <c r="AN113" i="15"/>
  <c r="JO120" i="10"/>
  <c r="JP120" i="10"/>
  <c r="JQ120" i="10"/>
  <c r="JR120" i="10"/>
  <c r="JS120" i="10"/>
  <c r="EJ120" i="10"/>
  <c r="KF120" i="10"/>
  <c r="KH120" i="10"/>
  <c r="JQ121" i="10"/>
  <c r="JR121" i="10"/>
  <c r="JS121" i="10"/>
  <c r="EJ121" i="10"/>
  <c r="KF121" i="10"/>
  <c r="JO122" i="10"/>
  <c r="JP122" i="10"/>
  <c r="JQ122" i="10"/>
  <c r="JR122" i="10"/>
  <c r="JS122" i="10"/>
  <c r="EJ122" i="10"/>
  <c r="JX122" i="10"/>
  <c r="KD122" i="10"/>
  <c r="BK122" i="10" s="1"/>
  <c r="AQ116" i="15" s="1"/>
  <c r="KE122" i="10"/>
  <c r="BM122" i="10"/>
  <c r="AS116" i="15"/>
  <c r="KF122" i="10"/>
  <c r="KG122" i="10"/>
  <c r="JO123" i="10"/>
  <c r="JP123" i="10"/>
  <c r="JQ123" i="10"/>
  <c r="JR123" i="10"/>
  <c r="JS123" i="10"/>
  <c r="EJ123" i="10"/>
  <c r="JX123" i="10"/>
  <c r="JY123" i="10"/>
  <c r="KA123" i="10"/>
  <c r="KD123" i="10"/>
  <c r="BK123" i="10" s="1"/>
  <c r="AQ117" i="15" s="1"/>
  <c r="KE123" i="10"/>
  <c r="BM123" i="10"/>
  <c r="AS117" i="15"/>
  <c r="KF123" i="10"/>
  <c r="KG123" i="10"/>
  <c r="JQ124" i="10"/>
  <c r="JR124" i="10"/>
  <c r="JS124" i="10"/>
  <c r="EJ124" i="10"/>
  <c r="KF124" i="10"/>
  <c r="KI124" i="10"/>
  <c r="JO125" i="10"/>
  <c r="JP125" i="10"/>
  <c r="JQ125" i="10"/>
  <c r="JR125" i="10"/>
  <c r="JS125" i="10"/>
  <c r="EJ125" i="10"/>
  <c r="KD125" i="10"/>
  <c r="BK125" i="10" s="1"/>
  <c r="AQ119" i="15" s="1"/>
  <c r="KF125" i="10"/>
  <c r="KL125" i="10"/>
  <c r="JO126" i="10"/>
  <c r="JP126" i="10"/>
  <c r="JQ126" i="10"/>
  <c r="JR126" i="10"/>
  <c r="JS126" i="10"/>
  <c r="EJ126" i="10"/>
  <c r="KF126" i="10"/>
  <c r="KI126" i="10"/>
  <c r="JO127" i="10"/>
  <c r="JP127" i="10"/>
  <c r="JQ127" i="10"/>
  <c r="JR127" i="10"/>
  <c r="JS127" i="10"/>
  <c r="EJ127" i="10"/>
  <c r="KF127" i="10"/>
  <c r="KL127" i="10"/>
  <c r="JO128" i="10"/>
  <c r="JP128" i="10"/>
  <c r="JQ128" i="10"/>
  <c r="JR128" i="10"/>
  <c r="JS128" i="10"/>
  <c r="EJ128" i="10"/>
  <c r="JY128" i="10"/>
  <c r="KA128" i="10"/>
  <c r="KF128" i="10"/>
  <c r="KG128" i="10"/>
  <c r="JQ129" i="10"/>
  <c r="JR129" i="10"/>
  <c r="JS129" i="10"/>
  <c r="EJ129" i="10"/>
  <c r="KF129" i="10"/>
  <c r="KI129" i="10"/>
  <c r="JO130" i="10"/>
  <c r="JP130" i="10"/>
  <c r="JQ130" i="10"/>
  <c r="JR130" i="10"/>
  <c r="JS130" i="10"/>
  <c r="EJ130" i="10"/>
  <c r="JX130" i="10"/>
  <c r="KF130" i="10"/>
  <c r="KM130" i="10"/>
  <c r="BI130" i="10" s="1"/>
  <c r="AO124" i="15" s="1"/>
  <c r="JO131" i="10"/>
  <c r="JP131" i="10"/>
  <c r="JQ131" i="10"/>
  <c r="JR131" i="10"/>
  <c r="JS131" i="10"/>
  <c r="EJ131" i="10"/>
  <c r="JX131" i="10"/>
  <c r="JY131" i="10"/>
  <c r="KA131" i="10"/>
  <c r="KE131" i="10"/>
  <c r="BM131" i="10"/>
  <c r="AS125" i="15"/>
  <c r="KF131" i="10"/>
  <c r="KG131" i="10"/>
  <c r="JO132" i="10"/>
  <c r="JP132" i="10"/>
  <c r="JQ132" i="10"/>
  <c r="JR132" i="10"/>
  <c r="JS132" i="10"/>
  <c r="EJ132" i="10"/>
  <c r="JX132" i="10"/>
  <c r="KA132" i="10"/>
  <c r="KD132" i="10"/>
  <c r="BK132" i="10" s="1"/>
  <c r="AQ126" i="15"/>
  <c r="KF132" i="10"/>
  <c r="KG132" i="10"/>
  <c r="JQ133" i="10"/>
  <c r="JR133" i="10"/>
  <c r="JS133" i="10"/>
  <c r="EJ133" i="10"/>
  <c r="KA133" i="10"/>
  <c r="KE133" i="10"/>
  <c r="BM133" i="10"/>
  <c r="AS127" i="15"/>
  <c r="KF133" i="10"/>
  <c r="KH133" i="10"/>
  <c r="JO134" i="10"/>
  <c r="JP134" i="10"/>
  <c r="JQ134" i="10"/>
  <c r="JR134" i="10"/>
  <c r="JS134" i="10"/>
  <c r="EJ134" i="10"/>
  <c r="JX134" i="10"/>
  <c r="KA134" i="10"/>
  <c r="KF134" i="10"/>
  <c r="KI134" i="10"/>
  <c r="JO135" i="10"/>
  <c r="JP135" i="10"/>
  <c r="JQ135" i="10"/>
  <c r="JR135" i="10"/>
  <c r="JS135" i="10"/>
  <c r="EJ135" i="10"/>
  <c r="KF135" i="10"/>
  <c r="KM135" i="10"/>
  <c r="BI135" i="10" s="1"/>
  <c r="AO129" i="15" s="1"/>
  <c r="JQ136" i="10"/>
  <c r="JR136" i="10"/>
  <c r="JS136" i="10"/>
  <c r="EJ136" i="10"/>
  <c r="KF136" i="10"/>
  <c r="KL136" i="10"/>
  <c r="JO137" i="10"/>
  <c r="JP137" i="10"/>
  <c r="JQ137" i="10"/>
  <c r="JR137" i="10"/>
  <c r="JS137" i="10"/>
  <c r="EJ137" i="10"/>
  <c r="KA137" i="10"/>
  <c r="KE137" i="10"/>
  <c r="BM137" i="10"/>
  <c r="AS131" i="15"/>
  <c r="KF137" i="10"/>
  <c r="KG137" i="10"/>
  <c r="JQ138" i="10"/>
  <c r="JR138" i="10"/>
  <c r="JS138" i="10"/>
  <c r="EJ138" i="10"/>
  <c r="JX138" i="10"/>
  <c r="KD138" i="10"/>
  <c r="BK138" i="10" s="1"/>
  <c r="AQ132" i="15"/>
  <c r="KE138" i="10"/>
  <c r="BM138" i="10"/>
  <c r="AS132" i="15"/>
  <c r="KF138" i="10"/>
  <c r="KJ138" i="10"/>
  <c r="JO139" i="10"/>
  <c r="JP139" i="10"/>
  <c r="JQ139" i="10"/>
  <c r="JR139" i="10"/>
  <c r="JS139" i="10"/>
  <c r="EJ139" i="10"/>
  <c r="KF139" i="10"/>
  <c r="KI139" i="10"/>
  <c r="JO140" i="10"/>
  <c r="JP140" i="10"/>
  <c r="JQ140" i="10"/>
  <c r="JR140" i="10"/>
  <c r="JS140" i="10"/>
  <c r="EJ140" i="10"/>
  <c r="KF140" i="10"/>
  <c r="KH140" i="10"/>
  <c r="JQ141" i="10"/>
  <c r="JR141" i="10"/>
  <c r="JS141" i="10"/>
  <c r="EJ141" i="10"/>
  <c r="KF141" i="10"/>
  <c r="KI141" i="10"/>
  <c r="JQ142" i="10"/>
  <c r="JR142" i="10"/>
  <c r="JS142" i="10"/>
  <c r="EJ142" i="10"/>
  <c r="KF142" i="10"/>
  <c r="KH142" i="10"/>
  <c r="JO143" i="10"/>
  <c r="JP143" i="10"/>
  <c r="JQ143" i="10"/>
  <c r="JR143" i="10"/>
  <c r="JS143" i="10"/>
  <c r="EJ143" i="10"/>
  <c r="KF143" i="10"/>
  <c r="KI143" i="10"/>
  <c r="JQ144" i="10"/>
  <c r="JR144" i="10"/>
  <c r="JS144" i="10"/>
  <c r="EJ144" i="10"/>
  <c r="KF144" i="10"/>
  <c r="KG144" i="10"/>
  <c r="JQ145" i="10"/>
  <c r="JR145" i="10"/>
  <c r="JS145" i="10"/>
  <c r="EJ145" i="10"/>
  <c r="KF145" i="10"/>
  <c r="KG145" i="10"/>
  <c r="JO146" i="10"/>
  <c r="JP146" i="10"/>
  <c r="JQ146" i="10"/>
  <c r="JR146" i="10"/>
  <c r="JS146" i="10"/>
  <c r="EJ146" i="10"/>
  <c r="JY146" i="10"/>
  <c r="KD146" i="10"/>
  <c r="BK146" i="10" s="1"/>
  <c r="AQ140" i="15" s="1"/>
  <c r="KE146" i="10"/>
  <c r="BM146" i="10"/>
  <c r="AS140" i="15"/>
  <c r="KF146" i="10"/>
  <c r="KG146" i="10"/>
  <c r="JO147" i="10"/>
  <c r="JP147" i="10"/>
  <c r="JQ147" i="10"/>
  <c r="JR147" i="10"/>
  <c r="JS147" i="10"/>
  <c r="EJ147" i="10"/>
  <c r="KA147" i="10"/>
  <c r="KE147" i="10"/>
  <c r="BM147" i="10"/>
  <c r="AS141" i="15"/>
  <c r="KF147" i="10"/>
  <c r="KJ147" i="10"/>
  <c r="JQ148" i="10"/>
  <c r="JR148" i="10"/>
  <c r="JS148" i="10"/>
  <c r="EJ148" i="10"/>
  <c r="JY148" i="10"/>
  <c r="KA148" i="10"/>
  <c r="KD148" i="10"/>
  <c r="BK148" i="10" s="1"/>
  <c r="AQ142" i="15" s="1"/>
  <c r="KF148" i="10"/>
  <c r="KI148" i="10"/>
  <c r="JO149" i="10"/>
  <c r="JP149" i="10"/>
  <c r="JQ149" i="10"/>
  <c r="JR149" i="10"/>
  <c r="JS149" i="10"/>
  <c r="EJ149" i="10"/>
  <c r="JY149" i="10"/>
  <c r="KA149" i="10"/>
  <c r="KD149" i="10"/>
  <c r="BK149" i="10" s="1"/>
  <c r="AQ143" i="15" s="1"/>
  <c r="KF149" i="10"/>
  <c r="KL149" i="10"/>
  <c r="JO150" i="10"/>
  <c r="JP150" i="10"/>
  <c r="JQ150" i="10"/>
  <c r="JR150" i="10"/>
  <c r="JS150" i="10"/>
  <c r="EJ150" i="10"/>
  <c r="KE150" i="10"/>
  <c r="BM150" i="10"/>
  <c r="AS144" i="15"/>
  <c r="KF150" i="10"/>
  <c r="KG150" i="10"/>
  <c r="JO151" i="10"/>
  <c r="JP151" i="10"/>
  <c r="JQ151" i="10"/>
  <c r="JR151" i="10"/>
  <c r="JS151" i="10"/>
  <c r="EJ151" i="10"/>
  <c r="JY151" i="10"/>
  <c r="KF151" i="10"/>
  <c r="KK151" i="10"/>
  <c r="BH151" i="10"/>
  <c r="AN145" i="15"/>
  <c r="JO152" i="10"/>
  <c r="JP152" i="10"/>
  <c r="JQ152" i="10"/>
  <c r="JR152" i="10"/>
  <c r="JS152" i="10"/>
  <c r="EJ152" i="10"/>
  <c r="JX152" i="10"/>
  <c r="JY152" i="10"/>
  <c r="KA152" i="10"/>
  <c r="KD152" i="10"/>
  <c r="BK152" i="10"/>
  <c r="AQ146" i="15" s="1"/>
  <c r="KE152" i="10"/>
  <c r="BM152" i="10"/>
  <c r="AS146" i="15"/>
  <c r="KF152" i="10"/>
  <c r="KH152" i="10"/>
  <c r="JQ153" i="10"/>
  <c r="JR153" i="10"/>
  <c r="JS153" i="10"/>
  <c r="EJ153" i="10"/>
  <c r="KF153" i="10"/>
  <c r="KG153" i="10"/>
  <c r="JO154" i="10"/>
  <c r="JP154" i="10"/>
  <c r="JQ154" i="10"/>
  <c r="JR154" i="10"/>
  <c r="JS154" i="10"/>
  <c r="EJ154" i="10"/>
  <c r="JY154" i="10"/>
  <c r="KF154" i="10"/>
  <c r="KG154" i="10"/>
  <c r="JO155" i="10"/>
  <c r="JP155" i="10"/>
  <c r="JQ155" i="10"/>
  <c r="JR155" i="10"/>
  <c r="JS155" i="10"/>
  <c r="EJ155" i="10"/>
  <c r="KF155" i="10"/>
  <c r="KI155" i="10"/>
  <c r="JO156" i="10"/>
  <c r="JP156" i="10"/>
  <c r="JQ156" i="10"/>
  <c r="JR156" i="10"/>
  <c r="JS156" i="10"/>
  <c r="EJ156" i="10"/>
  <c r="KF156" i="10"/>
  <c r="KH156" i="10"/>
  <c r="JQ157" i="10"/>
  <c r="JR157" i="10"/>
  <c r="JS157" i="10"/>
  <c r="EJ157" i="10"/>
  <c r="KF157" i="10"/>
  <c r="KL157" i="10"/>
  <c r="JO158" i="10"/>
  <c r="JP158" i="10"/>
  <c r="JQ158" i="10"/>
  <c r="JR158" i="10"/>
  <c r="JS158" i="10"/>
  <c r="EJ158" i="10"/>
  <c r="KA158" i="10"/>
  <c r="KD158" i="10"/>
  <c r="BK158" i="10" s="1"/>
  <c r="AQ152" i="15" s="1"/>
  <c r="KE158" i="10"/>
  <c r="BM158" i="10"/>
  <c r="AS152" i="15"/>
  <c r="KF158" i="10"/>
  <c r="KG158" i="10"/>
  <c r="JO159" i="10"/>
  <c r="JP159" i="10"/>
  <c r="JQ159" i="10"/>
  <c r="JR159" i="10"/>
  <c r="JS159" i="10"/>
  <c r="EJ159" i="10"/>
  <c r="JX159" i="10"/>
  <c r="KF159" i="10"/>
  <c r="KI159" i="10"/>
  <c r="JQ160" i="10"/>
  <c r="JR160" i="10"/>
  <c r="JS160" i="10"/>
  <c r="EJ160" i="10"/>
  <c r="KD160" i="10"/>
  <c r="BK160" i="10" s="1"/>
  <c r="AQ154" i="15" s="1"/>
  <c r="KF160" i="10"/>
  <c r="KH160" i="10"/>
  <c r="JO161" i="10"/>
  <c r="JP161" i="10"/>
  <c r="JQ161" i="10"/>
  <c r="JR161" i="10"/>
  <c r="JS161" i="10"/>
  <c r="EJ161" i="10"/>
  <c r="KF161" i="10"/>
  <c r="KL161" i="10"/>
  <c r="JQ162" i="10"/>
  <c r="JR162" i="10"/>
  <c r="JS162" i="10"/>
  <c r="EJ162" i="10"/>
  <c r="KF162" i="10"/>
  <c r="KH162" i="10"/>
  <c r="JO163" i="10"/>
  <c r="JP163" i="10"/>
  <c r="JQ163" i="10"/>
  <c r="JR163" i="10"/>
  <c r="JS163" i="10"/>
  <c r="EJ163" i="10"/>
  <c r="JX163" i="10"/>
  <c r="KA163" i="10"/>
  <c r="KD163" i="10"/>
  <c r="BK163" i="10" s="1"/>
  <c r="AQ157" i="15" s="1"/>
  <c r="KF163" i="10"/>
  <c r="KG163" i="10"/>
  <c r="JO164" i="10"/>
  <c r="JP164" i="10"/>
  <c r="JQ164" i="10"/>
  <c r="JR164" i="10"/>
  <c r="JS164" i="10"/>
  <c r="EJ164" i="10"/>
  <c r="KF164" i="10"/>
  <c r="KG164" i="10"/>
  <c r="JQ165" i="10"/>
  <c r="JR165" i="10"/>
  <c r="JS165" i="10"/>
  <c r="EJ165" i="10"/>
  <c r="JX165" i="10"/>
  <c r="KA165" i="10"/>
  <c r="KD165" i="10"/>
  <c r="BK165" i="10" s="1"/>
  <c r="AQ159" i="15" s="1"/>
  <c r="KF165" i="10"/>
  <c r="KG165" i="10"/>
  <c r="JO166" i="10"/>
  <c r="JN166" i="10"/>
  <c r="JQ166" i="10"/>
  <c r="JR166" i="10"/>
  <c r="JS166" i="10"/>
  <c r="EJ166" i="10"/>
  <c r="JX166" i="10"/>
  <c r="JY166" i="10"/>
  <c r="KD166" i="10"/>
  <c r="BK166" i="10"/>
  <c r="AQ160" i="15" s="1"/>
  <c r="KE166" i="10"/>
  <c r="BM166" i="10"/>
  <c r="AS160" i="15"/>
  <c r="KF166" i="10"/>
  <c r="KH166" i="10"/>
  <c r="JO167" i="10"/>
  <c r="JP167" i="10"/>
  <c r="JQ167" i="10"/>
  <c r="JR167" i="10"/>
  <c r="JS167" i="10"/>
  <c r="EJ167" i="10"/>
  <c r="KA167" i="10"/>
  <c r="KF167" i="10"/>
  <c r="KI167" i="10"/>
  <c r="JO168" i="10"/>
  <c r="JP168" i="10"/>
  <c r="JQ168" i="10"/>
  <c r="JR168" i="10"/>
  <c r="JS168" i="10"/>
  <c r="EJ168" i="10"/>
  <c r="JX168" i="10"/>
  <c r="JY168" i="10"/>
  <c r="KE168" i="10"/>
  <c r="BM168" i="10"/>
  <c r="AS162" i="15"/>
  <c r="KF168" i="10"/>
  <c r="KG168" i="10"/>
  <c r="JQ169" i="10"/>
  <c r="JR169" i="10"/>
  <c r="JS169" i="10"/>
  <c r="EJ169" i="10"/>
  <c r="JX169" i="10"/>
  <c r="JY169" i="10"/>
  <c r="KD169" i="10"/>
  <c r="BK169" i="10"/>
  <c r="AQ163" i="15" s="1"/>
  <c r="KE169" i="10"/>
  <c r="BM169" i="10"/>
  <c r="AS163" i="15"/>
  <c r="KF169" i="10"/>
  <c r="KG169" i="10"/>
  <c r="JO170" i="10"/>
  <c r="JP170" i="10"/>
  <c r="JQ170" i="10"/>
  <c r="JR170" i="10"/>
  <c r="JS170" i="10"/>
  <c r="EJ170" i="10"/>
  <c r="JX170" i="10"/>
  <c r="KA170" i="10"/>
  <c r="KF170" i="10"/>
  <c r="KM170" i="10"/>
  <c r="BI170" i="10"/>
  <c r="AO164" i="15" s="1"/>
  <c r="JO171" i="10"/>
  <c r="JP171" i="10"/>
  <c r="JQ171" i="10"/>
  <c r="JR171" i="10"/>
  <c r="JS171" i="10"/>
  <c r="EJ171" i="10"/>
  <c r="KF171" i="10"/>
  <c r="KL171" i="10"/>
  <c r="JO172" i="10"/>
  <c r="JP172" i="10"/>
  <c r="JQ172" i="10"/>
  <c r="JR172" i="10"/>
  <c r="JS172" i="10"/>
  <c r="EJ172" i="10"/>
  <c r="JX172" i="10"/>
  <c r="KD172" i="10"/>
  <c r="BK172" i="10"/>
  <c r="AQ166" i="15" s="1"/>
  <c r="KE172" i="10"/>
  <c r="BM172" i="10"/>
  <c r="AS166" i="15"/>
  <c r="KF172" i="10"/>
  <c r="KI172" i="10"/>
  <c r="JO173" i="10"/>
  <c r="JP173" i="10"/>
  <c r="JQ173" i="10"/>
  <c r="JR173" i="10"/>
  <c r="JS173" i="10"/>
  <c r="EJ173" i="10"/>
  <c r="JX173" i="10"/>
  <c r="KD173" i="10"/>
  <c r="BK173" i="10" s="1"/>
  <c r="AQ167" i="15" s="1"/>
  <c r="KF173" i="10"/>
  <c r="KL173" i="10"/>
  <c r="JO174" i="10"/>
  <c r="JP174" i="10"/>
  <c r="JQ174" i="10"/>
  <c r="JR174" i="10"/>
  <c r="JS174" i="10"/>
  <c r="EJ174" i="10"/>
  <c r="KF174" i="10"/>
  <c r="KL174" i="10"/>
  <c r="JO175" i="10"/>
  <c r="JP175" i="10"/>
  <c r="JQ175" i="10"/>
  <c r="JR175" i="10"/>
  <c r="JS175" i="10"/>
  <c r="EJ175" i="10"/>
  <c r="KF175" i="10"/>
  <c r="KK175" i="10"/>
  <c r="BH175" i="10"/>
  <c r="AN169" i="15"/>
  <c r="JO176" i="10"/>
  <c r="JP176" i="10"/>
  <c r="JQ176" i="10"/>
  <c r="JR176" i="10"/>
  <c r="JS176" i="10"/>
  <c r="EJ176" i="10"/>
  <c r="KF176" i="10"/>
  <c r="KG176" i="10"/>
  <c r="JQ177" i="10"/>
  <c r="JR177" i="10"/>
  <c r="JS177" i="10"/>
  <c r="EJ177" i="10"/>
  <c r="JX177" i="10"/>
  <c r="JY177" i="10"/>
  <c r="KD177" i="10"/>
  <c r="BK177" i="10"/>
  <c r="AQ171" i="15" s="1"/>
  <c r="KE177" i="10"/>
  <c r="BM177" i="10"/>
  <c r="AS171" i="15"/>
  <c r="KF177" i="10"/>
  <c r="KI177" i="10"/>
  <c r="JO178" i="10"/>
  <c r="JP178" i="10"/>
  <c r="JQ178" i="10"/>
  <c r="JR178" i="10"/>
  <c r="JS178" i="10"/>
  <c r="EJ178" i="10"/>
  <c r="KF178" i="10"/>
  <c r="KG178" i="10"/>
  <c r="JO179" i="10"/>
  <c r="JP179" i="10"/>
  <c r="JQ179" i="10"/>
  <c r="JR179" i="10"/>
  <c r="JS179" i="10"/>
  <c r="EJ179" i="10"/>
  <c r="JY179" i="10"/>
  <c r="KA179" i="10"/>
  <c r="KF179" i="10"/>
  <c r="KG179" i="10"/>
  <c r="JO180" i="10"/>
  <c r="JP180" i="10"/>
  <c r="JQ180" i="10"/>
  <c r="JR180" i="10"/>
  <c r="JS180" i="10"/>
  <c r="EJ180" i="10"/>
  <c r="JX180" i="10"/>
  <c r="KF180" i="10"/>
  <c r="KL180" i="10"/>
  <c r="JQ181" i="10"/>
  <c r="JR181" i="10"/>
  <c r="JS181" i="10"/>
  <c r="EJ181" i="10"/>
  <c r="KD181" i="10"/>
  <c r="BK181" i="10"/>
  <c r="AQ175" i="15" s="1"/>
  <c r="KF181" i="10"/>
  <c r="KM181" i="10"/>
  <c r="BI181" i="10" s="1"/>
  <c r="AO175" i="15" s="1"/>
  <c r="JO182" i="10"/>
  <c r="JP182" i="10"/>
  <c r="JQ182" i="10"/>
  <c r="JR182" i="10"/>
  <c r="JS182" i="10"/>
  <c r="EJ182" i="10"/>
  <c r="KF182" i="10"/>
  <c r="KI182" i="10"/>
  <c r="JQ183" i="10"/>
  <c r="JR183" i="10"/>
  <c r="JS183" i="10"/>
  <c r="EJ183" i="10"/>
  <c r="JX183" i="10"/>
  <c r="JY183" i="10"/>
  <c r="KA183" i="10"/>
  <c r="KD183" i="10"/>
  <c r="BK183" i="10" s="1"/>
  <c r="AQ177" i="15" s="1"/>
  <c r="KE183" i="10"/>
  <c r="BM183" i="10"/>
  <c r="AS177" i="15"/>
  <c r="KF183" i="10"/>
  <c r="JQ184" i="10"/>
  <c r="JR184" i="10"/>
  <c r="JS184" i="10"/>
  <c r="EJ184" i="10"/>
  <c r="JX184" i="10"/>
  <c r="JY184" i="10"/>
  <c r="KA184" i="10"/>
  <c r="KD184" i="10"/>
  <c r="BK184" i="10" s="1"/>
  <c r="AQ178" i="15" s="1"/>
  <c r="KE184" i="10"/>
  <c r="BM184" i="10"/>
  <c r="AS178" i="15"/>
  <c r="KF184" i="10"/>
  <c r="KI184" i="10"/>
  <c r="JQ185" i="10"/>
  <c r="JR185" i="10"/>
  <c r="JS185" i="10"/>
  <c r="EJ185" i="10"/>
  <c r="JY185" i="10"/>
  <c r="KA185" i="10"/>
  <c r="KF185" i="10"/>
  <c r="JQ186" i="10"/>
  <c r="JR186" i="10"/>
  <c r="JS186" i="10"/>
  <c r="EJ186" i="10"/>
  <c r="KF186" i="10"/>
  <c r="KI186" i="10"/>
  <c r="JO187" i="10"/>
  <c r="JP187" i="10"/>
  <c r="JQ187" i="10"/>
  <c r="JR187" i="10"/>
  <c r="JS187" i="10"/>
  <c r="EJ187" i="10"/>
  <c r="JX187" i="10"/>
  <c r="JY187" i="10"/>
  <c r="KA187" i="10"/>
  <c r="KD187" i="10"/>
  <c r="BK187" i="10"/>
  <c r="AQ181" i="15" s="1"/>
  <c r="KE187" i="10"/>
  <c r="BM187" i="10"/>
  <c r="AS181" i="15"/>
  <c r="KF187" i="10"/>
  <c r="KI187" i="10"/>
  <c r="JO188" i="10"/>
  <c r="JP188" i="10"/>
  <c r="JQ188" i="10"/>
  <c r="JR188" i="10"/>
  <c r="JS188" i="10"/>
  <c r="EJ188" i="10"/>
  <c r="JX188" i="10"/>
  <c r="JY188" i="10"/>
  <c r="KA188" i="10"/>
  <c r="KD188" i="10"/>
  <c r="BK188" i="10"/>
  <c r="AQ182" i="15" s="1"/>
  <c r="KE188" i="10"/>
  <c r="BM188" i="10"/>
  <c r="AS182" i="15"/>
  <c r="KF188" i="10"/>
  <c r="KI188" i="10"/>
  <c r="JQ189" i="10"/>
  <c r="JR189" i="10"/>
  <c r="JS189" i="10"/>
  <c r="EJ189" i="10"/>
  <c r="KD189" i="10"/>
  <c r="BK189" i="10" s="1"/>
  <c r="AQ183" i="15" s="1"/>
  <c r="KE189" i="10"/>
  <c r="BM189" i="10"/>
  <c r="AS183" i="15"/>
  <c r="KF189" i="10"/>
  <c r="KJ189" i="10"/>
  <c r="JO190" i="10"/>
  <c r="JP190" i="10"/>
  <c r="JQ190" i="10"/>
  <c r="JR190" i="10"/>
  <c r="JS190" i="10"/>
  <c r="EJ190" i="10"/>
  <c r="JY190" i="10"/>
  <c r="KA190" i="10"/>
  <c r="KE190" i="10"/>
  <c r="BM190" i="10"/>
  <c r="AS184" i="15"/>
  <c r="KF190" i="10"/>
  <c r="KJ190" i="10"/>
  <c r="JO191" i="10"/>
  <c r="JP191" i="10"/>
  <c r="JQ191" i="10"/>
  <c r="JR191" i="10"/>
  <c r="JS191" i="10"/>
  <c r="EJ191" i="10"/>
  <c r="JX191" i="10"/>
  <c r="JY191" i="10"/>
  <c r="KA191" i="10"/>
  <c r="KD191" i="10"/>
  <c r="BK191" i="10"/>
  <c r="AQ185" i="15" s="1"/>
  <c r="KE191" i="10"/>
  <c r="BM191" i="10"/>
  <c r="AS185" i="15"/>
  <c r="KF191" i="10"/>
  <c r="KM191" i="10"/>
  <c r="BI191" i="10" s="1"/>
  <c r="AO185" i="15" s="1"/>
  <c r="JO192" i="10"/>
  <c r="JP192" i="10"/>
  <c r="JQ192" i="10"/>
  <c r="JR192" i="10"/>
  <c r="JS192" i="10"/>
  <c r="EJ192" i="10"/>
  <c r="KE192" i="10"/>
  <c r="BM192" i="10"/>
  <c r="AS186" i="15"/>
  <c r="KF192" i="10"/>
  <c r="KG192" i="10"/>
  <c r="JQ193" i="10"/>
  <c r="JR193" i="10"/>
  <c r="JS193" i="10"/>
  <c r="EJ193" i="10"/>
  <c r="JX193" i="10"/>
  <c r="JY193" i="10"/>
  <c r="KA193" i="10"/>
  <c r="KF193" i="10"/>
  <c r="JO194" i="10"/>
  <c r="JP194" i="10"/>
  <c r="JQ194" i="10"/>
  <c r="JR194" i="10"/>
  <c r="JS194" i="10"/>
  <c r="EJ194" i="10"/>
  <c r="KF194" i="10"/>
  <c r="KJ194" i="10"/>
  <c r="JO195" i="10"/>
  <c r="JP195" i="10"/>
  <c r="JQ195" i="10"/>
  <c r="JR195" i="10"/>
  <c r="JS195" i="10"/>
  <c r="EJ195" i="10"/>
  <c r="KF195" i="10"/>
  <c r="JQ196" i="10"/>
  <c r="JR196" i="10"/>
  <c r="JS196" i="10"/>
  <c r="EJ196" i="10"/>
  <c r="JX196" i="10"/>
  <c r="KF196" i="10"/>
  <c r="KG196" i="10"/>
  <c r="JO197" i="10"/>
  <c r="JP197" i="10"/>
  <c r="JQ197" i="10"/>
  <c r="JR197" i="10"/>
  <c r="JS197" i="10"/>
  <c r="EJ197" i="10"/>
  <c r="JX197" i="10"/>
  <c r="JY197" i="10"/>
  <c r="KA197" i="10"/>
  <c r="KD197" i="10"/>
  <c r="BK197" i="10" s="1"/>
  <c r="AQ191" i="15" s="1"/>
  <c r="KF197" i="10"/>
  <c r="KG197" i="10"/>
  <c r="JO198" i="10"/>
  <c r="JP198" i="10"/>
  <c r="JQ198" i="10"/>
  <c r="JR198" i="10"/>
  <c r="JS198" i="10"/>
  <c r="EJ198" i="10"/>
  <c r="JX198" i="10"/>
  <c r="JY198" i="10"/>
  <c r="KD198" i="10"/>
  <c r="BK198" i="10"/>
  <c r="AQ192" i="15" s="1"/>
  <c r="KF198" i="10"/>
  <c r="KL198" i="10"/>
  <c r="JO199" i="10"/>
  <c r="JP199" i="10"/>
  <c r="JQ199" i="10"/>
  <c r="JR199" i="10"/>
  <c r="JS199" i="10"/>
  <c r="EJ199" i="10"/>
  <c r="JY199" i="10"/>
  <c r="KD199" i="10"/>
  <c r="BK199" i="10" s="1"/>
  <c r="AQ193" i="15" s="1"/>
  <c r="KF199" i="10"/>
  <c r="KG199" i="10"/>
  <c r="JO200" i="10"/>
  <c r="JP200" i="10"/>
  <c r="JQ200" i="10"/>
  <c r="JR200" i="10"/>
  <c r="JS200" i="10"/>
  <c r="EJ200" i="10"/>
  <c r="KF200" i="10"/>
  <c r="KM200" i="10"/>
  <c r="BI200" i="10" s="1"/>
  <c r="AO194" i="15" s="1"/>
  <c r="JQ201" i="10"/>
  <c r="JR201" i="10"/>
  <c r="JS201" i="10"/>
  <c r="EJ201" i="10"/>
  <c r="KF201" i="10"/>
  <c r="KI201" i="10"/>
  <c r="JO202" i="10"/>
  <c r="JP202" i="10"/>
  <c r="JQ202" i="10"/>
  <c r="JR202" i="10"/>
  <c r="JS202" i="10"/>
  <c r="EJ202" i="10"/>
  <c r="KF202" i="10"/>
  <c r="KM202" i="10"/>
  <c r="BI202" i="10"/>
  <c r="AO196" i="15" s="1"/>
  <c r="JO203" i="10"/>
  <c r="JP203" i="10"/>
  <c r="JQ203" i="10"/>
  <c r="JR203" i="10"/>
  <c r="JS203" i="10"/>
  <c r="EJ203" i="10"/>
  <c r="KF203" i="10"/>
  <c r="KL203" i="10"/>
  <c r="JO204" i="10"/>
  <c r="JP204" i="10"/>
  <c r="JQ204" i="10"/>
  <c r="JR204" i="10"/>
  <c r="JS204" i="10"/>
  <c r="EJ204" i="10"/>
  <c r="KF204" i="10"/>
  <c r="KI204" i="10"/>
  <c r="JQ205" i="10"/>
  <c r="JR205" i="10"/>
  <c r="JS205" i="10"/>
  <c r="EJ205" i="10"/>
  <c r="JY205" i="10"/>
  <c r="KD205" i="10"/>
  <c r="BK205" i="10" s="1"/>
  <c r="AQ199" i="15" s="1"/>
  <c r="KF205" i="10"/>
  <c r="KN205" i="10"/>
  <c r="JO206" i="10"/>
  <c r="JP206" i="10"/>
  <c r="JQ206" i="10"/>
  <c r="JR206" i="10"/>
  <c r="JS206" i="10"/>
  <c r="EJ206" i="10"/>
  <c r="JX206" i="10"/>
  <c r="JY206" i="10"/>
  <c r="KF206" i="10"/>
  <c r="KH206" i="10"/>
  <c r="JO207" i="10"/>
  <c r="JP207" i="10"/>
  <c r="JQ207" i="10"/>
  <c r="JR207" i="10"/>
  <c r="JS207" i="10"/>
  <c r="EJ207" i="10"/>
  <c r="JX207" i="10"/>
  <c r="JY207" i="10"/>
  <c r="KA207" i="10"/>
  <c r="KD207" i="10"/>
  <c r="BK207" i="10" s="1"/>
  <c r="AQ201" i="15" s="1"/>
  <c r="KE207" i="10"/>
  <c r="BM207" i="10"/>
  <c r="AS201" i="15"/>
  <c r="KF207" i="10"/>
  <c r="KH207" i="10"/>
  <c r="JQ208" i="10"/>
  <c r="JR208" i="10"/>
  <c r="JS208" i="10"/>
  <c r="EJ208" i="10"/>
  <c r="JY208" i="10"/>
  <c r="KA208" i="10"/>
  <c r="KD208" i="10"/>
  <c r="BK208" i="10" s="1"/>
  <c r="AQ202" i="15" s="1"/>
  <c r="KF208" i="10"/>
  <c r="KH208" i="10"/>
  <c r="JO209" i="10"/>
  <c r="JP209" i="10"/>
  <c r="JQ209" i="10"/>
  <c r="JR209" i="10"/>
  <c r="JS209" i="10"/>
  <c r="EJ209" i="10"/>
  <c r="KD209" i="10"/>
  <c r="BK209" i="10" s="1"/>
  <c r="AQ203" i="15" s="1"/>
  <c r="KF209" i="10"/>
  <c r="KI209" i="10"/>
  <c r="JQ210" i="10"/>
  <c r="JR210" i="10"/>
  <c r="JS210" i="10"/>
  <c r="EJ210" i="10"/>
  <c r="KF210" i="10"/>
  <c r="KH210" i="10"/>
  <c r="JO211" i="10"/>
  <c r="JP211" i="10"/>
  <c r="JQ211" i="10"/>
  <c r="JR211" i="10"/>
  <c r="JS211" i="10"/>
  <c r="EJ211" i="10"/>
  <c r="JX211" i="10"/>
  <c r="KA211" i="10"/>
  <c r="KD211" i="10"/>
  <c r="BK211" i="10"/>
  <c r="AQ205" i="15" s="1"/>
  <c r="KE211" i="10"/>
  <c r="BM211" i="10"/>
  <c r="AS205" i="15"/>
  <c r="KF211" i="10"/>
  <c r="KK211" i="10"/>
  <c r="BH211" i="10"/>
  <c r="AN205" i="15"/>
  <c r="JO212" i="10"/>
  <c r="JP212" i="10"/>
  <c r="JQ212" i="10"/>
  <c r="JR212" i="10"/>
  <c r="JS212" i="10"/>
  <c r="EJ212" i="10"/>
  <c r="JY212" i="10"/>
  <c r="KD212" i="10"/>
  <c r="BK212" i="10" s="1"/>
  <c r="AQ206" i="15" s="1"/>
  <c r="KF212" i="10"/>
  <c r="KG212" i="10"/>
  <c r="JQ213" i="10"/>
  <c r="JR213" i="10"/>
  <c r="JS213" i="10"/>
  <c r="EJ213" i="10"/>
  <c r="JX213" i="10"/>
  <c r="JY213" i="10"/>
  <c r="KD213" i="10"/>
  <c r="BK213" i="10" s="1"/>
  <c r="AQ207" i="15" s="1"/>
  <c r="KE213" i="10"/>
  <c r="BM213" i="10"/>
  <c r="AS207" i="15"/>
  <c r="KF213" i="10"/>
  <c r="KN213" i="10"/>
  <c r="JQ214" i="10"/>
  <c r="JR214" i="10"/>
  <c r="JS214" i="10"/>
  <c r="EJ214" i="10"/>
  <c r="JX214" i="10"/>
  <c r="JY214" i="10"/>
  <c r="KA214" i="10"/>
  <c r="KD214" i="10"/>
  <c r="BK214" i="10" s="1"/>
  <c r="AQ208" i="15" s="1"/>
  <c r="KE214" i="10"/>
  <c r="BM214" i="10"/>
  <c r="AS208" i="15"/>
  <c r="KF214" i="10"/>
  <c r="KG214" i="10"/>
  <c r="JO215" i="10"/>
  <c r="JP215" i="10"/>
  <c r="JQ215" i="10"/>
  <c r="JR215" i="10"/>
  <c r="JS215" i="10"/>
  <c r="EJ215" i="10"/>
  <c r="JY215" i="10"/>
  <c r="KE215" i="10"/>
  <c r="BM215" i="10"/>
  <c r="AS209" i="15"/>
  <c r="KF215" i="10"/>
  <c r="KG215" i="10"/>
  <c r="JO216" i="10"/>
  <c r="JN216" i="10"/>
  <c r="JQ216" i="10"/>
  <c r="JR216" i="10"/>
  <c r="JS216" i="10"/>
  <c r="EJ216" i="10"/>
  <c r="KA216" i="10"/>
  <c r="KF216" i="10"/>
  <c r="KI216" i="10"/>
  <c r="JQ217" i="10"/>
  <c r="JR217" i="10"/>
  <c r="JS217" i="10"/>
  <c r="EJ217" i="10"/>
  <c r="KF217" i="10"/>
  <c r="KG217" i="10"/>
  <c r="JO218" i="10"/>
  <c r="JP218" i="10"/>
  <c r="JQ218" i="10"/>
  <c r="JR218" i="10"/>
  <c r="JS218" i="10"/>
  <c r="EJ218" i="10"/>
  <c r="KA218" i="10"/>
  <c r="KF218" i="10"/>
  <c r="KG218" i="10"/>
  <c r="JO219" i="10"/>
  <c r="JP219" i="10"/>
  <c r="JQ219" i="10"/>
  <c r="JR219" i="10"/>
  <c r="JS219" i="10"/>
  <c r="EJ219" i="10"/>
  <c r="KF219" i="10"/>
  <c r="KG219" i="10"/>
  <c r="JQ220" i="10"/>
  <c r="JR220" i="10"/>
  <c r="JS220" i="10"/>
  <c r="EJ220" i="10"/>
  <c r="KF220" i="10"/>
  <c r="KJ220" i="10"/>
  <c r="JO221" i="10"/>
  <c r="JP221" i="10"/>
  <c r="JQ221" i="10"/>
  <c r="JR221" i="10"/>
  <c r="JS221" i="10"/>
  <c r="EJ221" i="10"/>
  <c r="JX221" i="10"/>
  <c r="JY221" i="10"/>
  <c r="KA221" i="10"/>
  <c r="KD221" i="10"/>
  <c r="BK221" i="10" s="1"/>
  <c r="AQ215" i="15" s="1"/>
  <c r="KE221" i="10"/>
  <c r="BM221" i="10"/>
  <c r="AS215" i="15"/>
  <c r="KF221" i="10"/>
  <c r="KK221" i="10"/>
  <c r="BH221" i="10"/>
  <c r="AN215" i="15"/>
  <c r="JO222" i="10"/>
  <c r="JP222" i="10"/>
  <c r="JQ222" i="10"/>
  <c r="JR222" i="10"/>
  <c r="JS222" i="10"/>
  <c r="EJ222" i="10"/>
  <c r="JY222" i="10"/>
  <c r="KD222" i="10"/>
  <c r="BK222" i="10" s="1"/>
  <c r="AQ216" i="15" s="1"/>
  <c r="KF222" i="10"/>
  <c r="KG222" i="10"/>
  <c r="JO223" i="10"/>
  <c r="JP223" i="10"/>
  <c r="JQ223" i="10"/>
  <c r="JR223" i="10"/>
  <c r="JS223" i="10"/>
  <c r="EJ223" i="10"/>
  <c r="KF223" i="10"/>
  <c r="KJ223" i="10"/>
  <c r="JO224" i="10"/>
  <c r="JP224" i="10"/>
  <c r="JQ224" i="10"/>
  <c r="JR224" i="10"/>
  <c r="JS224" i="10"/>
  <c r="EJ224" i="10"/>
  <c r="KF224" i="10"/>
  <c r="KJ224" i="10"/>
  <c r="JQ225" i="10"/>
  <c r="JR225" i="10"/>
  <c r="JS225" i="10"/>
  <c r="EJ225" i="10"/>
  <c r="JX225" i="10"/>
  <c r="KA225" i="10"/>
  <c r="KE225" i="10"/>
  <c r="BM225" i="10"/>
  <c r="AS219" i="15"/>
  <c r="KF225" i="10"/>
  <c r="KJ225" i="10"/>
  <c r="JO226" i="10"/>
  <c r="JP226" i="10"/>
  <c r="JQ226" i="10"/>
  <c r="JR226" i="10"/>
  <c r="JS226" i="10"/>
  <c r="EJ226" i="10"/>
  <c r="KF226" i="10"/>
  <c r="JO227" i="10"/>
  <c r="JP227" i="10"/>
  <c r="JQ227" i="10"/>
  <c r="JR227" i="10"/>
  <c r="JS227" i="10"/>
  <c r="EJ227" i="10"/>
  <c r="KF227" i="10"/>
  <c r="KJ227" i="10"/>
  <c r="JQ228" i="10"/>
  <c r="JR228" i="10"/>
  <c r="JS228" i="10"/>
  <c r="EJ228" i="10"/>
  <c r="JX228" i="10"/>
  <c r="KD228" i="10"/>
  <c r="BK228" i="10" s="1"/>
  <c r="AQ222" i="15" s="1"/>
  <c r="KF228" i="10"/>
  <c r="KH228" i="10"/>
  <c r="JQ229" i="10"/>
  <c r="JR229" i="10"/>
  <c r="JS229" i="10"/>
  <c r="EJ229" i="10"/>
  <c r="KD229" i="10"/>
  <c r="BK229" i="10" s="1"/>
  <c r="AQ223" i="15" s="1"/>
  <c r="KE229" i="10"/>
  <c r="BM229" i="10"/>
  <c r="AS223" i="15"/>
  <c r="KF229" i="10"/>
  <c r="KK229" i="10"/>
  <c r="BH229" i="10"/>
  <c r="AN223" i="15"/>
  <c r="JQ230" i="10"/>
  <c r="JR230" i="10"/>
  <c r="JS230" i="10"/>
  <c r="EJ230" i="10"/>
  <c r="JX230" i="10"/>
  <c r="KF230" i="10"/>
  <c r="KN230" i="10"/>
  <c r="JO231" i="10"/>
  <c r="JP231" i="10"/>
  <c r="JQ231" i="10"/>
  <c r="JR231" i="10"/>
  <c r="JS231" i="10"/>
  <c r="EJ231" i="10"/>
  <c r="JX231" i="10"/>
  <c r="KA231" i="10"/>
  <c r="KD231" i="10"/>
  <c r="BK231" i="10"/>
  <c r="AQ225" i="15" s="1"/>
  <c r="KF231" i="10"/>
  <c r="KG231" i="10"/>
  <c r="JQ232" i="10"/>
  <c r="JR232" i="10"/>
  <c r="JS232" i="10"/>
  <c r="EJ232" i="10"/>
  <c r="KE232" i="10"/>
  <c r="BM232" i="10"/>
  <c r="AS226" i="15"/>
  <c r="KF232" i="10"/>
  <c r="KG232" i="10"/>
  <c r="JQ233" i="10"/>
  <c r="JR233" i="10"/>
  <c r="JS233" i="10"/>
  <c r="EJ233" i="10"/>
  <c r="KF233" i="10"/>
  <c r="KI233" i="10"/>
  <c r="JQ234" i="10"/>
  <c r="JR234" i="10"/>
  <c r="JS234" i="10"/>
  <c r="EJ234" i="10"/>
  <c r="JX234" i="10"/>
  <c r="KD234" i="10"/>
  <c r="BK234" i="10" s="1"/>
  <c r="AQ228" i="15"/>
  <c r="KE234" i="10"/>
  <c r="BM234" i="10"/>
  <c r="AS228" i="15"/>
  <c r="KF234" i="10"/>
  <c r="KH234" i="10"/>
  <c r="JO235" i="10"/>
  <c r="JP235" i="10"/>
  <c r="JQ235" i="10"/>
  <c r="JR235" i="10"/>
  <c r="JS235" i="10"/>
  <c r="EJ235" i="10"/>
  <c r="JX235" i="10"/>
  <c r="KA235" i="10"/>
  <c r="KD235" i="10"/>
  <c r="BK235" i="10" s="1"/>
  <c r="AQ229" i="15" s="1"/>
  <c r="KE235" i="10"/>
  <c r="BM235" i="10"/>
  <c r="AS229" i="15"/>
  <c r="KF235" i="10"/>
  <c r="KJ235" i="10"/>
  <c r="JO236" i="10"/>
  <c r="JP236" i="10"/>
  <c r="JQ236" i="10"/>
  <c r="JR236" i="10"/>
  <c r="JS236" i="10"/>
  <c r="EJ236" i="10"/>
  <c r="JX236" i="10"/>
  <c r="KA236" i="10"/>
  <c r="KF236" i="10"/>
  <c r="KJ236" i="10"/>
  <c r="JQ237" i="10"/>
  <c r="JR237" i="10"/>
  <c r="JS237" i="10"/>
  <c r="EJ237" i="10"/>
  <c r="JX237" i="10"/>
  <c r="KA237" i="10"/>
  <c r="KD237" i="10"/>
  <c r="BK237" i="10" s="1"/>
  <c r="AQ231" i="15" s="1"/>
  <c r="KE237" i="10"/>
  <c r="BM237" i="10"/>
  <c r="AS231" i="15"/>
  <c r="KF237" i="10"/>
  <c r="KG237" i="10"/>
  <c r="JO238" i="10"/>
  <c r="JP238" i="10"/>
  <c r="JQ238" i="10"/>
  <c r="JR238" i="10"/>
  <c r="JS238" i="10"/>
  <c r="EJ238" i="10"/>
  <c r="KF238" i="10"/>
  <c r="KI238" i="10"/>
  <c r="JO239" i="10"/>
  <c r="JP239" i="10"/>
  <c r="JQ239" i="10"/>
  <c r="JR239" i="10"/>
  <c r="JS239" i="10"/>
  <c r="EJ239" i="10"/>
  <c r="KF239" i="10"/>
  <c r="KH239" i="10"/>
  <c r="JO240" i="10"/>
  <c r="JP240" i="10"/>
  <c r="JQ240" i="10"/>
  <c r="JR240" i="10"/>
  <c r="JS240" i="10"/>
  <c r="EJ240" i="10"/>
  <c r="JX240" i="10"/>
  <c r="KA240" i="10"/>
  <c r="KD240" i="10"/>
  <c r="BK240" i="10" s="1"/>
  <c r="AQ234" i="15" s="1"/>
  <c r="KE240" i="10"/>
  <c r="BM240" i="10"/>
  <c r="AS234" i="15"/>
  <c r="KF240" i="10"/>
  <c r="KK240" i="10"/>
  <c r="BH240" i="10"/>
  <c r="AN234" i="15"/>
  <c r="JQ241" i="10"/>
  <c r="JR241" i="10"/>
  <c r="JS241" i="10"/>
  <c r="EJ241" i="10"/>
  <c r="KF241" i="10"/>
  <c r="KH241" i="10"/>
  <c r="JO242" i="10"/>
  <c r="JP242" i="10"/>
  <c r="JQ242" i="10"/>
  <c r="JR242" i="10"/>
  <c r="JS242" i="10"/>
  <c r="EJ242" i="10"/>
  <c r="JX242" i="10"/>
  <c r="JY242" i="10"/>
  <c r="KA242" i="10"/>
  <c r="KE242" i="10"/>
  <c r="BM242" i="10"/>
  <c r="AS236" i="15"/>
  <c r="KF242" i="10"/>
  <c r="KM242" i="10"/>
  <c r="BI242" i="10" s="1"/>
  <c r="AO236" i="15" s="1"/>
  <c r="JO243" i="10"/>
  <c r="JP243" i="10"/>
  <c r="JQ243" i="10"/>
  <c r="JR243" i="10"/>
  <c r="JS243" i="10"/>
  <c r="EJ243" i="10"/>
  <c r="KF243" i="10"/>
  <c r="JQ244" i="10"/>
  <c r="JR244" i="10"/>
  <c r="JS244" i="10"/>
  <c r="EJ244" i="10"/>
  <c r="KF244" i="10"/>
  <c r="KH244" i="10"/>
  <c r="JO245" i="10"/>
  <c r="JP245" i="10"/>
  <c r="JQ245" i="10"/>
  <c r="JR245" i="10"/>
  <c r="JS245" i="10"/>
  <c r="JX245" i="10"/>
  <c r="KA245" i="10"/>
  <c r="KF245" i="10"/>
  <c r="KM245" i="10"/>
  <c r="BI245" i="10" s="1"/>
  <c r="AO239" i="15" s="1"/>
  <c r="JO246" i="10"/>
  <c r="JP246" i="10"/>
  <c r="JQ246" i="10"/>
  <c r="JR246" i="10"/>
  <c r="JS246" i="10"/>
  <c r="JY246" i="10"/>
  <c r="KE246" i="10"/>
  <c r="BM246" i="10"/>
  <c r="AS240" i="15"/>
  <c r="KF246" i="10"/>
  <c r="KG246" i="10"/>
  <c r="JO247" i="10"/>
  <c r="JP247" i="10"/>
  <c r="JQ247" i="10"/>
  <c r="JR247" i="10"/>
  <c r="JS247" i="10"/>
  <c r="JX247" i="10"/>
  <c r="KE247" i="10"/>
  <c r="BM247" i="10"/>
  <c r="AS241" i="15"/>
  <c r="KF247" i="10"/>
  <c r="KM247" i="10"/>
  <c r="BI247" i="10" s="1"/>
  <c r="AO241" i="15" s="1"/>
  <c r="JO248" i="10"/>
  <c r="JP248" i="10"/>
  <c r="JQ248" i="10"/>
  <c r="JR248" i="10"/>
  <c r="JS248" i="10"/>
  <c r="KA248" i="10"/>
  <c r="KF248" i="10"/>
  <c r="KG248" i="10"/>
  <c r="JQ249" i="10"/>
  <c r="JR249" i="10"/>
  <c r="JS249" i="10"/>
  <c r="KF249" i="10"/>
  <c r="KG249" i="10"/>
  <c r="JO250" i="10"/>
  <c r="JP250" i="10"/>
  <c r="JQ250" i="10"/>
  <c r="JR250" i="10"/>
  <c r="JS250" i="10"/>
  <c r="KF250" i="10"/>
  <c r="KH250" i="10"/>
  <c r="JO251" i="10"/>
  <c r="JP251" i="10"/>
  <c r="JQ251" i="10"/>
  <c r="JR251" i="10"/>
  <c r="JS251" i="10"/>
  <c r="JX251" i="10"/>
  <c r="JY251" i="10"/>
  <c r="KA251" i="10"/>
  <c r="KD251" i="10"/>
  <c r="BK251" i="10" s="1"/>
  <c r="AQ245" i="15" s="1"/>
  <c r="KE251" i="10"/>
  <c r="BM251" i="10"/>
  <c r="AS245" i="15"/>
  <c r="KF251" i="10"/>
  <c r="KG251" i="10"/>
  <c r="JO252" i="10"/>
  <c r="JP252" i="10"/>
  <c r="JQ252" i="10"/>
  <c r="JR252" i="10"/>
  <c r="JS252" i="10"/>
  <c r="JX252" i="10"/>
  <c r="KD252" i="10"/>
  <c r="BK252" i="10" s="1"/>
  <c r="AQ246" i="15" s="1"/>
  <c r="KE252" i="10"/>
  <c r="BM252" i="10"/>
  <c r="AS246" i="15"/>
  <c r="KF252" i="10"/>
  <c r="KG252" i="10"/>
  <c r="JQ253" i="10"/>
  <c r="JR253" i="10"/>
  <c r="JS253" i="10"/>
  <c r="KF253" i="10"/>
  <c r="KK253" i="10"/>
  <c r="BH253" i="10"/>
  <c r="AN247" i="15"/>
  <c r="JO254" i="10"/>
  <c r="JP254" i="10"/>
  <c r="JQ254" i="10"/>
  <c r="JR254" i="10"/>
  <c r="JS254" i="10"/>
  <c r="KF254" i="10"/>
  <c r="KJ254" i="10"/>
  <c r="KH254" i="10"/>
  <c r="JO255" i="10"/>
  <c r="JP255" i="10"/>
  <c r="JQ255" i="10"/>
  <c r="JR255" i="10"/>
  <c r="JS255" i="10"/>
  <c r="JX255" i="10"/>
  <c r="KA255" i="10"/>
  <c r="KD255" i="10"/>
  <c r="BK255" i="10"/>
  <c r="AQ249" i="15" s="1"/>
  <c r="KE255" i="10"/>
  <c r="BM255" i="10"/>
  <c r="AS249" i="15"/>
  <c r="KF255" i="10"/>
  <c r="KK255" i="10"/>
  <c r="BH255" i="10"/>
  <c r="AN249" i="15"/>
  <c r="JQ256" i="10"/>
  <c r="JR256" i="10"/>
  <c r="JS256" i="10"/>
  <c r="KF256" i="10"/>
  <c r="KH256" i="10"/>
  <c r="JQ257" i="10"/>
  <c r="JR257" i="10"/>
  <c r="JS257" i="10"/>
  <c r="JX257" i="10"/>
  <c r="JY257" i="10"/>
  <c r="KA257" i="10"/>
  <c r="KD257" i="10"/>
  <c r="BK257" i="10" s="1"/>
  <c r="AQ251" i="15" s="1"/>
  <c r="KE257" i="10"/>
  <c r="BM257" i="10"/>
  <c r="AS251" i="15"/>
  <c r="KF257" i="10"/>
  <c r="KH257" i="10"/>
  <c r="JO258" i="10"/>
  <c r="JN258" i="10"/>
  <c r="JQ258" i="10"/>
  <c r="JR258" i="10"/>
  <c r="JS258" i="10"/>
  <c r="JX258" i="10"/>
  <c r="KD258" i="10"/>
  <c r="BK258" i="10" s="1"/>
  <c r="AQ252" i="15"/>
  <c r="KF258" i="10"/>
  <c r="KM258" i="10"/>
  <c r="BI258" i="10" s="1"/>
  <c r="AO252" i="15" s="1"/>
  <c r="JO259" i="10"/>
  <c r="JP259" i="10"/>
  <c r="JQ259" i="10"/>
  <c r="JR259" i="10"/>
  <c r="JS259" i="10"/>
  <c r="JY259" i="10"/>
  <c r="KA259" i="10"/>
  <c r="KE259" i="10"/>
  <c r="BM259" i="10"/>
  <c r="AS253" i="15"/>
  <c r="KF259" i="10"/>
  <c r="KM259" i="10"/>
  <c r="BI259" i="10" s="1"/>
  <c r="AO253" i="15"/>
  <c r="JO260" i="10"/>
  <c r="JP260" i="10"/>
  <c r="JQ260" i="10"/>
  <c r="JR260" i="10"/>
  <c r="JS260" i="10"/>
  <c r="JX260" i="10"/>
  <c r="JY260" i="10"/>
  <c r="KD260" i="10"/>
  <c r="BK260" i="10" s="1"/>
  <c r="AQ254" i="15" s="1"/>
  <c r="KE260" i="10"/>
  <c r="BM260" i="10"/>
  <c r="AS254" i="15"/>
  <c r="KF260" i="10"/>
  <c r="KM260" i="10"/>
  <c r="BI260" i="10" s="1"/>
  <c r="AO254" i="15" s="1"/>
  <c r="JQ261" i="10"/>
  <c r="JR261" i="10"/>
  <c r="JS261" i="10"/>
  <c r="JX261" i="10"/>
  <c r="JY261" i="10"/>
  <c r="KF261" i="10"/>
  <c r="JQ262" i="10"/>
  <c r="JR262" i="10"/>
  <c r="JS262" i="10"/>
  <c r="KF262" i="10"/>
  <c r="KG262" i="10"/>
  <c r="JO263" i="10"/>
  <c r="JP263" i="10"/>
  <c r="JQ263" i="10"/>
  <c r="JR263" i="10"/>
  <c r="JS263" i="10"/>
  <c r="JX263" i="10"/>
  <c r="JY263" i="10"/>
  <c r="KA263" i="10"/>
  <c r="KD263" i="10"/>
  <c r="BK263" i="10" s="1"/>
  <c r="AQ257" i="15" s="1"/>
  <c r="KE263" i="10"/>
  <c r="BM263" i="10"/>
  <c r="AS257" i="15"/>
  <c r="KF263" i="10"/>
  <c r="KN263" i="10"/>
  <c r="JO264" i="10"/>
  <c r="JP264" i="10"/>
  <c r="JQ264" i="10"/>
  <c r="JR264" i="10"/>
  <c r="JS264" i="10"/>
  <c r="KF264" i="10"/>
  <c r="KK264" i="10"/>
  <c r="BH264" i="10"/>
  <c r="AN258" i="15"/>
  <c r="JQ265" i="10"/>
  <c r="JR265" i="10"/>
  <c r="JS265" i="10"/>
  <c r="KD265" i="10"/>
  <c r="BK265" i="10"/>
  <c r="AQ259" i="15" s="1"/>
  <c r="KF265" i="10"/>
  <c r="KH265" i="10"/>
  <c r="JO266" i="10"/>
  <c r="JP266" i="10"/>
  <c r="JQ266" i="10"/>
  <c r="JR266" i="10"/>
  <c r="JS266" i="10"/>
  <c r="JX266" i="10"/>
  <c r="KA266" i="10"/>
  <c r="KD266" i="10"/>
  <c r="BK266" i="10" s="1"/>
  <c r="AQ260" i="15" s="1"/>
  <c r="KF266" i="10"/>
  <c r="KM266" i="10"/>
  <c r="BI266" i="10" s="1"/>
  <c r="AO260" i="15" s="1"/>
  <c r="JO267" i="10"/>
  <c r="JP267" i="10"/>
  <c r="JQ267" i="10"/>
  <c r="JR267" i="10"/>
  <c r="JS267" i="10"/>
  <c r="JX267" i="10"/>
  <c r="KE267" i="10"/>
  <c r="BM267" i="10"/>
  <c r="AS261" i="15"/>
  <c r="KF267" i="10"/>
  <c r="KH267" i="10"/>
  <c r="JQ268" i="10"/>
  <c r="JR268" i="10"/>
  <c r="JS268" i="10"/>
  <c r="KE268" i="10"/>
  <c r="BM268" i="10"/>
  <c r="AS262" i="15"/>
  <c r="KF268" i="10"/>
  <c r="KG268" i="10"/>
  <c r="JO269" i="10"/>
  <c r="JP269" i="10"/>
  <c r="JQ269" i="10"/>
  <c r="JR269" i="10"/>
  <c r="JS269" i="10"/>
  <c r="KA269" i="10"/>
  <c r="KD269" i="10"/>
  <c r="BK269" i="10"/>
  <c r="AQ263" i="15" s="1"/>
  <c r="KE269" i="10"/>
  <c r="BM269" i="10"/>
  <c r="AS263" i="15"/>
  <c r="KF269" i="10"/>
  <c r="KG269" i="10"/>
  <c r="JO270" i="10"/>
  <c r="JP270" i="10"/>
  <c r="JQ270" i="10"/>
  <c r="JR270" i="10"/>
  <c r="JS270" i="10"/>
  <c r="JX270" i="10"/>
  <c r="JY270" i="10"/>
  <c r="KD270" i="10"/>
  <c r="BK270" i="10" s="1"/>
  <c r="AQ264" i="15" s="1"/>
  <c r="KF270" i="10"/>
  <c r="KI270" i="10"/>
  <c r="JO271" i="10"/>
  <c r="JP271" i="10"/>
  <c r="JQ271" i="10"/>
  <c r="JR271" i="10"/>
  <c r="JS271" i="10"/>
  <c r="JX271" i="10"/>
  <c r="KA271" i="10"/>
  <c r="KF271" i="10"/>
  <c r="KH271" i="10"/>
  <c r="JO272" i="10"/>
  <c r="JP272" i="10"/>
  <c r="JQ272" i="10"/>
  <c r="JR272" i="10"/>
  <c r="JS272" i="10"/>
  <c r="KF272" i="10"/>
  <c r="KK272" i="10"/>
  <c r="BH272" i="10"/>
  <c r="AN266" i="15"/>
  <c r="KG272" i="10"/>
  <c r="JQ273" i="10"/>
  <c r="JR273" i="10"/>
  <c r="JS273" i="10"/>
  <c r="KF273" i="10"/>
  <c r="KJ273" i="10"/>
  <c r="JO274" i="10"/>
  <c r="JP274" i="10"/>
  <c r="JQ274" i="10"/>
  <c r="JR274" i="10"/>
  <c r="JS274" i="10"/>
  <c r="KF274" i="10"/>
  <c r="KH274" i="10"/>
  <c r="KM274" i="10"/>
  <c r="BI274" i="10" s="1"/>
  <c r="AO268" i="15" s="1"/>
  <c r="JO275" i="10"/>
  <c r="JP275" i="10"/>
  <c r="JQ275" i="10"/>
  <c r="JR275" i="10"/>
  <c r="JS275" i="10"/>
  <c r="KF275" i="10"/>
  <c r="KG275" i="10"/>
  <c r="JO276" i="10"/>
  <c r="JP276" i="10"/>
  <c r="JQ276" i="10"/>
  <c r="JR276" i="10"/>
  <c r="JS276" i="10"/>
  <c r="JX276" i="10"/>
  <c r="KA276" i="10"/>
  <c r="KD276" i="10"/>
  <c r="BK276" i="10" s="1"/>
  <c r="AQ270" i="15" s="1"/>
  <c r="KE276" i="10"/>
  <c r="BM276" i="10"/>
  <c r="AS270" i="15"/>
  <c r="KF276" i="10"/>
  <c r="KK276" i="10"/>
  <c r="BH276" i="10"/>
  <c r="AN270" i="15"/>
  <c r="JQ277" i="10"/>
  <c r="JR277" i="10"/>
  <c r="JS277" i="10"/>
  <c r="JX277" i="10"/>
  <c r="JY277" i="10"/>
  <c r="KD277" i="10"/>
  <c r="BK277" i="10" s="1"/>
  <c r="AQ271" i="15" s="1"/>
  <c r="KE277" i="10"/>
  <c r="BM277" i="10"/>
  <c r="AS271" i="15"/>
  <c r="KF277" i="10"/>
  <c r="KI277" i="10"/>
  <c r="JQ278" i="10"/>
  <c r="JR278" i="10"/>
  <c r="JS278" i="10"/>
  <c r="JX278" i="10"/>
  <c r="JY278" i="10"/>
  <c r="KA278" i="10"/>
  <c r="KD278" i="10"/>
  <c r="BK278" i="10"/>
  <c r="AQ272" i="15" s="1"/>
  <c r="KF278" i="10"/>
  <c r="KH278" i="10"/>
  <c r="JO279" i="10"/>
  <c r="JN279" i="10"/>
  <c r="JQ279" i="10"/>
  <c r="JR279" i="10"/>
  <c r="JS279" i="10"/>
  <c r="JX279" i="10"/>
  <c r="JY279" i="10"/>
  <c r="KA279" i="10"/>
  <c r="KD279" i="10"/>
  <c r="BK279" i="10" s="1"/>
  <c r="AQ273" i="15"/>
  <c r="KE279" i="10"/>
  <c r="BM279" i="10"/>
  <c r="AS273" i="15"/>
  <c r="KF279" i="10"/>
  <c r="KH279" i="10"/>
  <c r="JQ280" i="10"/>
  <c r="JR280" i="10"/>
  <c r="JS280" i="10"/>
  <c r="KF280" i="10"/>
  <c r="KJ280" i="10"/>
  <c r="JQ281" i="10"/>
  <c r="JR281" i="10"/>
  <c r="JS281" i="10"/>
  <c r="JX281" i="10"/>
  <c r="JY281" i="10"/>
  <c r="KA281" i="10"/>
  <c r="KD281" i="10"/>
  <c r="BK281" i="10"/>
  <c r="AQ275" i="15" s="1"/>
  <c r="KE281" i="10"/>
  <c r="BM281" i="10"/>
  <c r="AS275" i="15"/>
  <c r="KF281" i="10"/>
  <c r="KG281" i="10"/>
  <c r="JQ282" i="10"/>
  <c r="JR282" i="10"/>
  <c r="JS282" i="10"/>
  <c r="KF282" i="10"/>
  <c r="KG282" i="10"/>
  <c r="JO283" i="10"/>
  <c r="JP283" i="10"/>
  <c r="JQ283" i="10"/>
  <c r="JR283" i="10"/>
  <c r="JS283" i="10"/>
  <c r="JX283" i="10"/>
  <c r="KD283" i="10"/>
  <c r="BK283" i="10" s="1"/>
  <c r="AQ277" i="15" s="1"/>
  <c r="KE283" i="10"/>
  <c r="BM283" i="10"/>
  <c r="AS277" i="15"/>
  <c r="KF283" i="10"/>
  <c r="KG283" i="10"/>
  <c r="JO284" i="10"/>
  <c r="JP284" i="10"/>
  <c r="JQ284" i="10"/>
  <c r="JR284" i="10"/>
  <c r="JS284" i="10"/>
  <c r="JX284" i="10"/>
  <c r="JY284" i="10"/>
  <c r="KA284" i="10"/>
  <c r="KD284" i="10"/>
  <c r="BK284" i="10" s="1"/>
  <c r="AQ278" i="15"/>
  <c r="KE284" i="10"/>
  <c r="BM284" i="10"/>
  <c r="AS278" i="15"/>
  <c r="KF284" i="10"/>
  <c r="KH284" i="10"/>
  <c r="JQ285" i="10"/>
  <c r="JR285" i="10"/>
  <c r="JS285" i="10"/>
  <c r="JX285" i="10"/>
  <c r="JY285" i="10"/>
  <c r="KD285" i="10"/>
  <c r="BK285" i="10"/>
  <c r="AQ279" i="15" s="1"/>
  <c r="KE285" i="10"/>
  <c r="BM285" i="10"/>
  <c r="AS279" i="15"/>
  <c r="KF285" i="10"/>
  <c r="KN285" i="10"/>
  <c r="JO286" i="10"/>
  <c r="JP286" i="10"/>
  <c r="JQ286" i="10"/>
  <c r="JR286" i="10"/>
  <c r="JS286" i="10"/>
  <c r="KA286" i="10"/>
  <c r="KE286" i="10"/>
  <c r="BM286" i="10"/>
  <c r="AS280" i="15"/>
  <c r="KF286" i="10"/>
  <c r="KH286" i="10"/>
  <c r="JO287" i="10"/>
  <c r="JP287" i="10"/>
  <c r="JQ287" i="10"/>
  <c r="JR287" i="10"/>
  <c r="JS287" i="10"/>
  <c r="JY287" i="10"/>
  <c r="KA287" i="10"/>
  <c r="KD287" i="10"/>
  <c r="BK287" i="10" s="1"/>
  <c r="AQ281" i="15" s="1"/>
  <c r="KE287" i="10"/>
  <c r="BM287" i="10"/>
  <c r="AS281" i="15"/>
  <c r="KF287" i="10"/>
  <c r="KK287" i="10"/>
  <c r="BH287" i="10"/>
  <c r="AN281" i="15"/>
  <c r="JO288" i="10"/>
  <c r="JN288" i="10"/>
  <c r="JQ288" i="10"/>
  <c r="JR288" i="10"/>
  <c r="JS288" i="10"/>
  <c r="JX288" i="10"/>
  <c r="KE288" i="10"/>
  <c r="BM288" i="10"/>
  <c r="AS282" i="15"/>
  <c r="KF288" i="10"/>
  <c r="KG288" i="10"/>
  <c r="JQ289" i="10"/>
  <c r="JR289" i="10"/>
  <c r="JS289" i="10"/>
  <c r="KA289" i="10"/>
  <c r="KD289" i="10"/>
  <c r="BK289" i="10" s="1"/>
  <c r="AQ283" i="15" s="1"/>
  <c r="KF289" i="10"/>
  <c r="KG289" i="10"/>
  <c r="JQ290" i="10"/>
  <c r="JR290" i="10"/>
  <c r="JS290" i="10"/>
  <c r="JX290" i="10"/>
  <c r="JY290" i="10"/>
  <c r="KA290" i="10"/>
  <c r="KD290" i="10"/>
  <c r="BK290" i="10" s="1"/>
  <c r="AQ284" i="15" s="1"/>
  <c r="KE290" i="10"/>
  <c r="BM290" i="10"/>
  <c r="AS284" i="15"/>
  <c r="KF290" i="10"/>
  <c r="KI290" i="10"/>
  <c r="JO291" i="10"/>
  <c r="JP291" i="10"/>
  <c r="JQ291" i="10"/>
  <c r="JR291" i="10"/>
  <c r="JS291" i="10"/>
  <c r="JY291" i="10"/>
  <c r="KE291" i="10"/>
  <c r="BM291" i="10"/>
  <c r="AS285" i="15"/>
  <c r="KF291" i="10"/>
  <c r="KI291" i="10"/>
  <c r="JQ292" i="10"/>
  <c r="JR292" i="10"/>
  <c r="JS292" i="10"/>
  <c r="KF292" i="10"/>
  <c r="KL292" i="10"/>
  <c r="JO293" i="10"/>
  <c r="JP293" i="10"/>
  <c r="JQ293" i="10"/>
  <c r="JR293" i="10"/>
  <c r="JS293" i="10"/>
  <c r="KA293" i="10"/>
  <c r="KF293" i="10"/>
  <c r="KN293" i="10"/>
  <c r="JO294" i="10"/>
  <c r="JP294" i="10"/>
  <c r="JQ294" i="10"/>
  <c r="JR294" i="10"/>
  <c r="JS294" i="10"/>
  <c r="KF294" i="10"/>
  <c r="KI294" i="10"/>
  <c r="JO295" i="10"/>
  <c r="JP295" i="10"/>
  <c r="JQ295" i="10"/>
  <c r="JR295" i="10"/>
  <c r="JS295" i="10"/>
  <c r="JX295" i="10"/>
  <c r="JY295" i="10"/>
  <c r="KA295" i="10"/>
  <c r="KD295" i="10"/>
  <c r="BK295" i="10" s="1"/>
  <c r="AQ289" i="15" s="1"/>
  <c r="KF295" i="10"/>
  <c r="KJ295" i="10"/>
  <c r="JO296" i="10"/>
  <c r="JP296" i="10"/>
  <c r="JQ296" i="10"/>
  <c r="JR296" i="10"/>
  <c r="JS296" i="10"/>
  <c r="KF296" i="10"/>
  <c r="KI296" i="10"/>
  <c r="JQ297" i="10"/>
  <c r="JR297" i="10"/>
  <c r="JS297" i="10"/>
  <c r="JX297" i="10"/>
  <c r="KA297" i="10"/>
  <c r="KD297" i="10"/>
  <c r="BK297" i="10" s="1"/>
  <c r="AQ291" i="15" s="1"/>
  <c r="KE297" i="10"/>
  <c r="BM297" i="10"/>
  <c r="AS291" i="15"/>
  <c r="KF297" i="10"/>
  <c r="KG297" i="10"/>
  <c r="KM297" i="10"/>
  <c r="BI297" i="10" s="1"/>
  <c r="AO291" i="15" s="1"/>
  <c r="JO298" i="10"/>
  <c r="JP298" i="10"/>
  <c r="JQ298" i="10"/>
  <c r="JR298" i="10"/>
  <c r="JS298" i="10"/>
  <c r="KF298" i="10"/>
  <c r="KL298" i="10"/>
  <c r="JO299" i="10"/>
  <c r="JP299" i="10"/>
  <c r="JQ299" i="10"/>
  <c r="JR299" i="10"/>
  <c r="JS299" i="10"/>
  <c r="JX299" i="10"/>
  <c r="KD299" i="10"/>
  <c r="BK299" i="10"/>
  <c r="AQ293" i="15" s="1"/>
  <c r="KE299" i="10"/>
  <c r="BM299" i="10"/>
  <c r="AS293" i="15"/>
  <c r="KF299" i="10"/>
  <c r="KK299" i="10"/>
  <c r="BH299" i="10"/>
  <c r="AN293" i="15"/>
  <c r="JO300" i="10"/>
  <c r="JP300" i="10"/>
  <c r="JQ300" i="10"/>
  <c r="JR300" i="10"/>
  <c r="JS300" i="10"/>
  <c r="JY300" i="10"/>
  <c r="KA300" i="10"/>
  <c r="KF300" i="10"/>
  <c r="KG300" i="10"/>
  <c r="KJ300" i="10"/>
  <c r="JO301" i="10"/>
  <c r="JN301" i="10"/>
  <c r="JQ301" i="10"/>
  <c r="JR301" i="10"/>
  <c r="JS301" i="10"/>
  <c r="JX301" i="10"/>
  <c r="JY301" i="10"/>
  <c r="KA301" i="10"/>
  <c r="KE301" i="10"/>
  <c r="BM301" i="10"/>
  <c r="AS295" i="15"/>
  <c r="KF301" i="10"/>
  <c r="KH301" i="10"/>
  <c r="JQ302" i="10"/>
  <c r="JR302" i="10"/>
  <c r="JS302" i="10"/>
  <c r="KF302" i="10"/>
  <c r="KN302" i="10"/>
  <c r="JO303" i="10"/>
  <c r="JP303" i="10"/>
  <c r="JQ303" i="10"/>
  <c r="JR303" i="10"/>
  <c r="JS303" i="10"/>
  <c r="KE303" i="10"/>
  <c r="BM303" i="10"/>
  <c r="AS297" i="15"/>
  <c r="KF303" i="10"/>
  <c r="JQ304" i="10"/>
  <c r="JR304" i="10"/>
  <c r="JS304" i="10"/>
  <c r="KF304" i="10"/>
  <c r="KJ304" i="10"/>
  <c r="JQ305" i="10"/>
  <c r="JR305" i="10"/>
  <c r="JS305" i="10"/>
  <c r="KA305" i="10"/>
  <c r="KF305" i="10"/>
  <c r="KH305" i="10"/>
  <c r="JO306" i="10"/>
  <c r="JP306" i="10"/>
  <c r="JQ306" i="10"/>
  <c r="JR306" i="10"/>
  <c r="JS306" i="10"/>
  <c r="JX306" i="10"/>
  <c r="JY306" i="10"/>
  <c r="KA306" i="10"/>
  <c r="KD306" i="10"/>
  <c r="BK306" i="10" s="1"/>
  <c r="AQ300" i="15" s="1"/>
  <c r="KE306" i="10"/>
  <c r="BM306" i="10"/>
  <c r="AS300" i="15"/>
  <c r="KF306" i="10"/>
  <c r="KH306" i="10"/>
  <c r="JO307" i="10"/>
  <c r="JP307" i="10"/>
  <c r="JQ307" i="10"/>
  <c r="JR307" i="10"/>
  <c r="JS307" i="10"/>
  <c r="JX307" i="10"/>
  <c r="KF307" i="10"/>
  <c r="KN307" i="10"/>
  <c r="JO308" i="10"/>
  <c r="JP308" i="10"/>
  <c r="JQ308" i="10"/>
  <c r="JR308" i="10"/>
  <c r="JS308" i="10"/>
  <c r="JX308" i="10"/>
  <c r="JY308" i="10"/>
  <c r="KA308" i="10"/>
  <c r="KD308" i="10"/>
  <c r="BK308" i="10"/>
  <c r="AQ302" i="15" s="1"/>
  <c r="KE308" i="10"/>
  <c r="BM308" i="10"/>
  <c r="AS302" i="15"/>
  <c r="KF308" i="10"/>
  <c r="KJ308" i="10"/>
  <c r="JO309" i="10"/>
  <c r="JP309" i="10"/>
  <c r="JQ309" i="10"/>
  <c r="JR309" i="10"/>
  <c r="JS309" i="10"/>
  <c r="JY309" i="10"/>
  <c r="KA309" i="10"/>
  <c r="KD309" i="10"/>
  <c r="BK309" i="10" s="1"/>
  <c r="AQ303" i="15" s="1"/>
  <c r="KF309" i="10"/>
  <c r="KK309" i="10"/>
  <c r="BH309" i="10"/>
  <c r="AN303" i="15"/>
  <c r="JQ310" i="10"/>
  <c r="JR310" i="10"/>
  <c r="JS310" i="10"/>
  <c r="JY310" i="10"/>
  <c r="KE310" i="10"/>
  <c r="BM310" i="10"/>
  <c r="AS304" i="15"/>
  <c r="KF310" i="10"/>
  <c r="KG310" i="10"/>
  <c r="JQ311" i="10"/>
  <c r="JR311" i="10"/>
  <c r="JS311" i="10"/>
  <c r="JY311" i="10"/>
  <c r="KF311" i="10"/>
  <c r="KH311" i="10"/>
  <c r="JO312" i="10"/>
  <c r="JQ312" i="10"/>
  <c r="JR312" i="10"/>
  <c r="JS312" i="10"/>
  <c r="JX312" i="10"/>
  <c r="JY312" i="10"/>
  <c r="KE312" i="10"/>
  <c r="BM312" i="10"/>
  <c r="AS306" i="15"/>
  <c r="KF312" i="10"/>
  <c r="KK312" i="10"/>
  <c r="BH312" i="10"/>
  <c r="AN306" i="15"/>
  <c r="JQ313" i="10"/>
  <c r="JR313" i="10"/>
  <c r="JS313" i="10"/>
  <c r="JX313" i="10"/>
  <c r="KF313" i="10"/>
  <c r="KG313" i="10"/>
  <c r="JO314" i="10"/>
  <c r="JN314" i="10"/>
  <c r="JQ314" i="10"/>
  <c r="JR314" i="10"/>
  <c r="JS314" i="10"/>
  <c r="JX314" i="10"/>
  <c r="JY314" i="10"/>
  <c r="KA314" i="10"/>
  <c r="KE314" i="10"/>
  <c r="BM314" i="10"/>
  <c r="AS308" i="15"/>
  <c r="KF314" i="10"/>
  <c r="KL314" i="10"/>
  <c r="JQ315" i="10"/>
  <c r="JR315" i="10"/>
  <c r="JS315" i="10"/>
  <c r="KF315" i="10"/>
  <c r="KI315" i="10"/>
  <c r="JQ316" i="10"/>
  <c r="JR316" i="10"/>
  <c r="JS316" i="10"/>
  <c r="KF316" i="10"/>
  <c r="KN316" i="10"/>
  <c r="JQ317" i="10"/>
  <c r="JR317" i="10"/>
  <c r="JS317" i="10"/>
  <c r="JX317" i="10"/>
  <c r="KA317" i="10"/>
  <c r="KD317" i="10"/>
  <c r="BK317" i="10" s="1"/>
  <c r="AQ311" i="15" s="1"/>
  <c r="KE317" i="10"/>
  <c r="BM317" i="10"/>
  <c r="AS311" i="15"/>
  <c r="KF317" i="10"/>
  <c r="KG317" i="10"/>
  <c r="JQ318" i="10"/>
  <c r="JR318" i="10"/>
  <c r="JS318" i="10"/>
  <c r="JY318" i="10"/>
  <c r="KA318" i="10"/>
  <c r="KF318" i="10"/>
  <c r="KG318" i="10"/>
  <c r="JO319" i="10"/>
  <c r="JP319" i="10"/>
  <c r="JQ319" i="10"/>
  <c r="JR319" i="10"/>
  <c r="JS319" i="10"/>
  <c r="JY319" i="10"/>
  <c r="KD319" i="10"/>
  <c r="BK319" i="10" s="1"/>
  <c r="AQ313" i="15" s="1"/>
  <c r="KF319" i="10"/>
  <c r="KI319" i="10"/>
  <c r="JQ320" i="10"/>
  <c r="JR320" i="10"/>
  <c r="JS320" i="10"/>
  <c r="KF320" i="10"/>
  <c r="KG320" i="10"/>
  <c r="JO321" i="10"/>
  <c r="JP321" i="10"/>
  <c r="JQ321" i="10"/>
  <c r="JR321" i="10"/>
  <c r="JS321" i="10"/>
  <c r="JX321" i="10"/>
  <c r="JY321" i="10"/>
  <c r="KF321" i="10"/>
  <c r="KN321" i="10"/>
  <c r="JO322" i="10"/>
  <c r="JP322" i="10"/>
  <c r="JQ322" i="10"/>
  <c r="JR322" i="10"/>
  <c r="JS322" i="10"/>
  <c r="KF322" i="10"/>
  <c r="KI322" i="10"/>
  <c r="JO323" i="10"/>
  <c r="JP323" i="10"/>
  <c r="JQ323" i="10"/>
  <c r="JR323" i="10"/>
  <c r="JS323" i="10"/>
  <c r="JX323" i="10"/>
  <c r="JY323" i="10"/>
  <c r="KA323" i="10"/>
  <c r="KD323" i="10"/>
  <c r="BK323" i="10" s="1"/>
  <c r="AQ317" i="15"/>
  <c r="KE323" i="10"/>
  <c r="BM323" i="10"/>
  <c r="AS317" i="15"/>
  <c r="KF323" i="10"/>
  <c r="KK323" i="10"/>
  <c r="BH323" i="10"/>
  <c r="AN317" i="15"/>
  <c r="JQ324" i="10"/>
  <c r="JR324" i="10"/>
  <c r="JS324" i="10"/>
  <c r="JX324" i="10"/>
  <c r="JY324" i="10"/>
  <c r="KA324" i="10"/>
  <c r="KD324" i="10"/>
  <c r="BK324" i="10" s="1"/>
  <c r="AQ318" i="15" s="1"/>
  <c r="KE324" i="10"/>
  <c r="BM324" i="10"/>
  <c r="AS318" i="15"/>
  <c r="KF324" i="10"/>
  <c r="KG324" i="10"/>
  <c r="JQ325" i="10"/>
  <c r="JR325" i="10"/>
  <c r="JS325" i="10"/>
  <c r="JY325" i="10"/>
  <c r="KF325" i="10"/>
  <c r="KI325" i="10"/>
  <c r="JO326" i="10"/>
  <c r="JP326" i="10"/>
  <c r="JQ326" i="10"/>
  <c r="JR326" i="10"/>
  <c r="JS326" i="10"/>
  <c r="KD326" i="10"/>
  <c r="BK326" i="10"/>
  <c r="AQ320" i="15" s="1"/>
  <c r="KF326" i="10"/>
  <c r="KN326" i="10"/>
  <c r="KM326" i="10"/>
  <c r="BI326" i="10" s="1"/>
  <c r="AO320" i="15"/>
  <c r="JO327" i="10"/>
  <c r="JP327" i="10"/>
  <c r="JQ327" i="10"/>
  <c r="JR327" i="10"/>
  <c r="JS327" i="10"/>
  <c r="KF327" i="10"/>
  <c r="KH327" i="10"/>
  <c r="JQ328" i="10"/>
  <c r="JR328" i="10"/>
  <c r="JS328" i="10"/>
  <c r="KF328" i="10"/>
  <c r="KG328" i="10"/>
  <c r="JO329" i="10"/>
  <c r="JP329" i="10"/>
  <c r="JQ329" i="10"/>
  <c r="JR329" i="10"/>
  <c r="JS329" i="10"/>
  <c r="JX329" i="10"/>
  <c r="KA329" i="10"/>
  <c r="KD329" i="10"/>
  <c r="BK329" i="10"/>
  <c r="AQ323" i="15" s="1"/>
  <c r="KE329" i="10"/>
  <c r="BM329" i="10"/>
  <c r="AS323" i="15"/>
  <c r="KF329" i="10"/>
  <c r="KH329" i="10"/>
  <c r="JO330" i="10"/>
  <c r="JP330" i="10"/>
  <c r="JQ330" i="10"/>
  <c r="JR330" i="10"/>
  <c r="JS330" i="10"/>
  <c r="JX330" i="10"/>
  <c r="KA330" i="10"/>
  <c r="KF330" i="10"/>
  <c r="KK330" i="10"/>
  <c r="BH330" i="10"/>
  <c r="AN324" i="15"/>
  <c r="JO331" i="10"/>
  <c r="JN331" i="10"/>
  <c r="JQ331" i="10"/>
  <c r="JR331" i="10"/>
  <c r="JS331" i="10"/>
  <c r="JX331" i="10"/>
  <c r="JY331" i="10"/>
  <c r="KA331" i="10"/>
  <c r="KE331" i="10"/>
  <c r="BM331" i="10"/>
  <c r="AS325" i="15"/>
  <c r="KF331" i="10"/>
  <c r="KK331" i="10"/>
  <c r="BH331" i="10"/>
  <c r="AN325" i="15"/>
  <c r="JO332" i="10"/>
  <c r="JP332" i="10"/>
  <c r="JQ332" i="10"/>
  <c r="JR332" i="10"/>
  <c r="JS332" i="10"/>
  <c r="JX332" i="10"/>
  <c r="JY332" i="10"/>
  <c r="KA332" i="10"/>
  <c r="KD332" i="10"/>
  <c r="BK332" i="10" s="1"/>
  <c r="AQ326" i="15" s="1"/>
  <c r="KE332" i="10"/>
  <c r="BM332" i="10"/>
  <c r="AS326" i="15"/>
  <c r="KF332" i="10"/>
  <c r="KM332" i="10"/>
  <c r="BI332" i="10" s="1"/>
  <c r="AO326" i="15" s="1"/>
  <c r="JQ333" i="10"/>
  <c r="JR333" i="10"/>
  <c r="JS333" i="10"/>
  <c r="JY333" i="10"/>
  <c r="KA333" i="10"/>
  <c r="KF333" i="10"/>
  <c r="KL333" i="10"/>
  <c r="JQ334" i="10"/>
  <c r="JR334" i="10"/>
  <c r="JS334" i="10"/>
  <c r="JY334" i="10"/>
  <c r="KA334" i="10"/>
  <c r="KD334" i="10"/>
  <c r="BK334" i="10" s="1"/>
  <c r="AQ328" i="15" s="1"/>
  <c r="KE334" i="10"/>
  <c r="BM334" i="10"/>
  <c r="AS328" i="15"/>
  <c r="KF334" i="10"/>
  <c r="JO335" i="10"/>
  <c r="JN335" i="10"/>
  <c r="JQ335" i="10"/>
  <c r="JR335" i="10"/>
  <c r="JS335" i="10"/>
  <c r="JX335" i="10"/>
  <c r="JY335" i="10"/>
  <c r="KA335" i="10"/>
  <c r="KD335" i="10"/>
  <c r="BK335" i="10"/>
  <c r="AQ329" i="15" s="1"/>
  <c r="KE335" i="10"/>
  <c r="BM335" i="10"/>
  <c r="AS329" i="15"/>
  <c r="KF335" i="10"/>
  <c r="KN335" i="10"/>
  <c r="JO336" i="10"/>
  <c r="JP336" i="10"/>
  <c r="JQ336" i="10"/>
  <c r="JR336" i="10"/>
  <c r="JS336" i="10"/>
  <c r="KE336" i="10"/>
  <c r="BM336" i="10"/>
  <c r="AS330" i="15"/>
  <c r="KF336" i="10"/>
  <c r="KG336" i="10"/>
  <c r="JQ337" i="10"/>
  <c r="JR337" i="10"/>
  <c r="JS337" i="10"/>
  <c r="JX337" i="10"/>
  <c r="JY337" i="10"/>
  <c r="KA337" i="10"/>
  <c r="KD337" i="10"/>
  <c r="BK337" i="10" s="1"/>
  <c r="AQ331" i="15" s="1"/>
  <c r="KE337" i="10"/>
  <c r="BM337" i="10"/>
  <c r="AS331" i="15"/>
  <c r="KF337" i="10"/>
  <c r="KL337" i="10"/>
  <c r="JQ338" i="10"/>
  <c r="JR338" i="10"/>
  <c r="JS338" i="10"/>
  <c r="KF338" i="10"/>
  <c r="KH338" i="10"/>
  <c r="JO339" i="10"/>
  <c r="JN339" i="10"/>
  <c r="JQ339" i="10"/>
  <c r="JR339" i="10"/>
  <c r="JS339" i="10"/>
  <c r="JX339" i="10"/>
  <c r="JY339" i="10"/>
  <c r="KA339" i="10"/>
  <c r="KD339" i="10"/>
  <c r="BK339" i="10" s="1"/>
  <c r="AQ333" i="15" s="1"/>
  <c r="KE339" i="10"/>
  <c r="BM339" i="10"/>
  <c r="AS333" i="15"/>
  <c r="KF339" i="10"/>
  <c r="KG339" i="10"/>
  <c r="JO340" i="10"/>
  <c r="JP340" i="10"/>
  <c r="JQ340" i="10"/>
  <c r="JR340" i="10"/>
  <c r="JS340" i="10"/>
  <c r="KF340" i="10"/>
  <c r="KI340" i="10"/>
  <c r="JO341" i="10"/>
  <c r="JP341" i="10"/>
  <c r="JQ341" i="10"/>
  <c r="JR341" i="10"/>
  <c r="JS341" i="10"/>
  <c r="JX341" i="10"/>
  <c r="JY341" i="10"/>
  <c r="KA341" i="10"/>
  <c r="KD341" i="10"/>
  <c r="BK341" i="10" s="1"/>
  <c r="AQ335" i="15"/>
  <c r="KE341" i="10"/>
  <c r="BM341" i="10"/>
  <c r="AS335" i="15"/>
  <c r="KF341" i="10"/>
  <c r="KG341" i="10"/>
  <c r="JQ342" i="10"/>
  <c r="JR342" i="10"/>
  <c r="JS342" i="10"/>
  <c r="KF342" i="10"/>
  <c r="KG342" i="10"/>
  <c r="JQ343" i="10"/>
  <c r="JR343" i="10"/>
  <c r="JS343" i="10"/>
  <c r="JX343" i="10"/>
  <c r="JY343" i="10"/>
  <c r="KA343" i="10"/>
  <c r="KD343" i="10"/>
  <c r="BK343" i="10"/>
  <c r="AQ337" i="15" s="1"/>
  <c r="KE343" i="10"/>
  <c r="BM343" i="10"/>
  <c r="AS337" i="15"/>
  <c r="KF343" i="10"/>
  <c r="KG343" i="10"/>
  <c r="JQ344" i="10"/>
  <c r="JR344" i="10"/>
  <c r="JS344" i="10"/>
  <c r="KF344" i="10"/>
  <c r="KH344" i="10"/>
  <c r="JQ345" i="10"/>
  <c r="JR345" i="10"/>
  <c r="JS345" i="10"/>
  <c r="JX345" i="10"/>
  <c r="JY345" i="10"/>
  <c r="KA345" i="10"/>
  <c r="KD345" i="10"/>
  <c r="BK345" i="10" s="1"/>
  <c r="AQ339" i="15" s="1"/>
  <c r="KF345" i="10"/>
  <c r="KJ345" i="10"/>
  <c r="JO346" i="10"/>
  <c r="JP346" i="10"/>
  <c r="JQ346" i="10"/>
  <c r="JR346" i="10"/>
  <c r="JS346" i="10"/>
  <c r="KF346" i="10"/>
  <c r="KH346" i="10"/>
  <c r="JQ347" i="10"/>
  <c r="JR347" i="10"/>
  <c r="JS347" i="10"/>
  <c r="JX347" i="10"/>
  <c r="JY347" i="10"/>
  <c r="KA347" i="10"/>
  <c r="KD347" i="10"/>
  <c r="BK347" i="10" s="1"/>
  <c r="AQ341" i="15" s="1"/>
  <c r="KE347" i="10"/>
  <c r="BM347" i="10"/>
  <c r="AS341" i="15"/>
  <c r="KF347" i="10"/>
  <c r="KI347" i="10"/>
  <c r="JQ348" i="10"/>
  <c r="JR348" i="10"/>
  <c r="JS348" i="10"/>
  <c r="KF348" i="10"/>
  <c r="KH348" i="10"/>
  <c r="JQ349" i="10"/>
  <c r="JR349" i="10"/>
  <c r="JS349" i="10"/>
  <c r="JY349" i="10"/>
  <c r="KA349" i="10"/>
  <c r="KE349" i="10"/>
  <c r="BM349" i="10"/>
  <c r="AS343" i="15"/>
  <c r="KF349" i="10"/>
  <c r="KG349" i="10"/>
  <c r="JO350" i="10"/>
  <c r="JP350" i="10"/>
  <c r="JQ350" i="10"/>
  <c r="JR350" i="10"/>
  <c r="JS350" i="10"/>
  <c r="JX350" i="10"/>
  <c r="KE350" i="10"/>
  <c r="BM350" i="10"/>
  <c r="AS344" i="15"/>
  <c r="KF350" i="10"/>
  <c r="KG350" i="10"/>
  <c r="JQ351" i="10"/>
  <c r="JR351" i="10"/>
  <c r="JS351" i="10"/>
  <c r="KF351" i="10"/>
  <c r="KH351" i="10"/>
  <c r="JQ352" i="10"/>
  <c r="JR352" i="10"/>
  <c r="JS352" i="10"/>
  <c r="JX352" i="10"/>
  <c r="JY352" i="10"/>
  <c r="KA352" i="10"/>
  <c r="KD352" i="10"/>
  <c r="BK352" i="10" s="1"/>
  <c r="AQ346" i="15" s="1"/>
  <c r="KE352" i="10"/>
  <c r="BM352" i="10"/>
  <c r="AS346" i="15"/>
  <c r="KF352" i="10"/>
  <c r="KG352" i="10"/>
  <c r="JO353" i="10"/>
  <c r="JP353" i="10"/>
  <c r="JQ353" i="10"/>
  <c r="JR353" i="10"/>
  <c r="JS353" i="10"/>
  <c r="JX353" i="10"/>
  <c r="KA353" i="10"/>
  <c r="KD353" i="10"/>
  <c r="BK353" i="10"/>
  <c r="AQ347" i="15"/>
  <c r="KF353" i="10"/>
  <c r="KL353" i="10"/>
  <c r="JQ354" i="10"/>
  <c r="JR354" i="10"/>
  <c r="JS354" i="10"/>
  <c r="JY354" i="10"/>
  <c r="KA354" i="10"/>
  <c r="KD354" i="10"/>
  <c r="BK354" i="10" s="1"/>
  <c r="AQ348" i="15" s="1"/>
  <c r="KE354" i="10"/>
  <c r="BM354" i="10"/>
  <c r="AS348" i="15"/>
  <c r="KF354" i="10"/>
  <c r="KH354" i="10"/>
  <c r="JO355" i="10"/>
  <c r="JP355" i="10"/>
  <c r="JQ355" i="10"/>
  <c r="JR355" i="10"/>
  <c r="JS355" i="10"/>
  <c r="JX355" i="10"/>
  <c r="JY355" i="10"/>
  <c r="KA355" i="10"/>
  <c r="KD355" i="10"/>
  <c r="BK355" i="10" s="1"/>
  <c r="AQ349" i="15" s="1"/>
  <c r="KF355" i="10"/>
  <c r="KH355" i="10"/>
  <c r="JQ356" i="10"/>
  <c r="JR356" i="10"/>
  <c r="JS356" i="10"/>
  <c r="JX356" i="10"/>
  <c r="JY356" i="10"/>
  <c r="KA356" i="10"/>
  <c r="KD356" i="10"/>
  <c r="BK356" i="10" s="1"/>
  <c r="AQ350" i="15" s="1"/>
  <c r="KE356" i="10"/>
  <c r="BM356" i="10"/>
  <c r="AS350" i="15"/>
  <c r="KF356" i="10"/>
  <c r="KI356" i="10"/>
  <c r="JO357" i="10"/>
  <c r="JN357" i="10"/>
  <c r="JQ357" i="10"/>
  <c r="JR357" i="10"/>
  <c r="JS357" i="10"/>
  <c r="KA357" i="10"/>
  <c r="KD357" i="10"/>
  <c r="BK357" i="10" s="1"/>
  <c r="AQ351" i="15" s="1"/>
  <c r="KF357" i="10"/>
  <c r="KI357" i="10"/>
  <c r="JQ358" i="10"/>
  <c r="JR358" i="10"/>
  <c r="JS358" i="10"/>
  <c r="KA358" i="10"/>
  <c r="KF358" i="10"/>
  <c r="KI358" i="10"/>
  <c r="JQ359" i="10"/>
  <c r="JR359" i="10"/>
  <c r="JS359" i="10"/>
  <c r="JX359" i="10"/>
  <c r="JY359" i="10"/>
  <c r="KA359" i="10"/>
  <c r="KD359" i="10"/>
  <c r="BK359" i="10" s="1"/>
  <c r="AQ353" i="15" s="1"/>
  <c r="KE359" i="10"/>
  <c r="BM359" i="10"/>
  <c r="AS353" i="15"/>
  <c r="KF359" i="10"/>
  <c r="KH359" i="10"/>
  <c r="JQ360" i="10"/>
  <c r="JR360" i="10"/>
  <c r="JS360" i="10"/>
  <c r="KA360" i="10"/>
  <c r="KF360" i="10"/>
  <c r="KM360" i="10"/>
  <c r="BI360" i="10" s="1"/>
  <c r="AO354" i="15" s="1"/>
  <c r="JQ361" i="10"/>
  <c r="JR361" i="10"/>
  <c r="JS361" i="10"/>
  <c r="JX361" i="10"/>
  <c r="JY361" i="10"/>
  <c r="KA361" i="10"/>
  <c r="KD361" i="10"/>
  <c r="BK361" i="10"/>
  <c r="AQ355" i="15" s="1"/>
  <c r="KE361" i="10"/>
  <c r="BM361" i="10"/>
  <c r="AS355" i="15"/>
  <c r="KF361" i="10"/>
  <c r="KG361" i="10"/>
  <c r="JO362" i="10"/>
  <c r="JP362" i="10"/>
  <c r="JQ362" i="10"/>
  <c r="JR362" i="10"/>
  <c r="JS362" i="10"/>
  <c r="KD362" i="10"/>
  <c r="BK362" i="10"/>
  <c r="AQ356" i="15" s="1"/>
  <c r="KF362" i="10"/>
  <c r="KH362" i="10"/>
  <c r="JQ363" i="10"/>
  <c r="JR363" i="10"/>
  <c r="JS363" i="10"/>
  <c r="JX363" i="10"/>
  <c r="JY363" i="10"/>
  <c r="KA363" i="10"/>
  <c r="KD363" i="10"/>
  <c r="BK363" i="10"/>
  <c r="AQ357" i="15"/>
  <c r="KE363" i="10"/>
  <c r="BM363" i="10"/>
  <c r="AS357" i="15"/>
  <c r="KF363" i="10"/>
  <c r="KG363" i="10"/>
  <c r="JQ364" i="10"/>
  <c r="JR364" i="10"/>
  <c r="JS364" i="10"/>
  <c r="JY364" i="10"/>
  <c r="KA364" i="10"/>
  <c r="KD364" i="10"/>
  <c r="BK364" i="10"/>
  <c r="AQ358" i="15" s="1"/>
  <c r="KE364" i="10"/>
  <c r="BM364" i="10"/>
  <c r="AS358" i="15"/>
  <c r="KF364" i="10"/>
  <c r="KN364" i="10"/>
  <c r="JQ365" i="10"/>
  <c r="JR365" i="10"/>
  <c r="JS365" i="10"/>
  <c r="JY365" i="10"/>
  <c r="KF365" i="10"/>
  <c r="KG365" i="10"/>
  <c r="JO366" i="10"/>
  <c r="JN366" i="10"/>
  <c r="JQ366" i="10"/>
  <c r="JR366" i="10"/>
  <c r="JS366" i="10"/>
  <c r="JY366" i="10"/>
  <c r="KD366" i="10"/>
  <c r="BK366" i="10" s="1"/>
  <c r="AQ360" i="15" s="1"/>
  <c r="KF366" i="10"/>
  <c r="KH366" i="10"/>
  <c r="JO367" i="10"/>
  <c r="JP367" i="10"/>
  <c r="JQ367" i="10"/>
  <c r="JR367" i="10"/>
  <c r="JS367" i="10"/>
  <c r="KF367" i="10"/>
  <c r="KJ367" i="10"/>
  <c r="JO368" i="10"/>
  <c r="JP368" i="10"/>
  <c r="JQ368" i="10"/>
  <c r="JR368" i="10"/>
  <c r="JS368" i="10"/>
  <c r="JY368" i="10"/>
  <c r="KD368" i="10"/>
  <c r="BK368" i="10"/>
  <c r="AQ362" i="15" s="1"/>
  <c r="KE368" i="10"/>
  <c r="BM368" i="10"/>
  <c r="AS362" i="15"/>
  <c r="KF368" i="10"/>
  <c r="KN368" i="10"/>
  <c r="JQ369" i="10"/>
  <c r="JR369" i="10"/>
  <c r="JS369" i="10"/>
  <c r="JX369" i="10"/>
  <c r="JY369" i="10"/>
  <c r="KA369" i="10"/>
  <c r="KD369" i="10"/>
  <c r="BK369" i="10"/>
  <c r="AQ363" i="15"/>
  <c r="KE369" i="10"/>
  <c r="BM369" i="10"/>
  <c r="AS363" i="15"/>
  <c r="KF369" i="10"/>
  <c r="KI369" i="10"/>
  <c r="JO370" i="10"/>
  <c r="JP370" i="10"/>
  <c r="JQ370" i="10"/>
  <c r="JR370" i="10"/>
  <c r="JS370" i="10"/>
  <c r="JY370" i="10"/>
  <c r="KA370" i="10"/>
  <c r="KD370" i="10"/>
  <c r="BK370" i="10" s="1"/>
  <c r="AQ364" i="15" s="1"/>
  <c r="KE370" i="10"/>
  <c r="BM370" i="10"/>
  <c r="AS364" i="15"/>
  <c r="KF370" i="10"/>
  <c r="KH370" i="10"/>
  <c r="JQ371" i="10"/>
  <c r="JR371" i="10"/>
  <c r="JS371" i="10"/>
  <c r="JX371" i="10"/>
  <c r="JY371" i="10"/>
  <c r="KA371" i="10"/>
  <c r="KD371" i="10"/>
  <c r="BK371" i="10"/>
  <c r="AQ365" i="15" s="1"/>
  <c r="KE371" i="10"/>
  <c r="BM371" i="10"/>
  <c r="AS365" i="15"/>
  <c r="KF371" i="10"/>
  <c r="KG371" i="10"/>
  <c r="JQ372" i="10"/>
  <c r="JR372" i="10"/>
  <c r="JS372" i="10"/>
  <c r="JX372" i="10"/>
  <c r="KF372" i="10"/>
  <c r="KM372" i="10"/>
  <c r="BI372" i="10" s="1"/>
  <c r="AO366" i="15" s="1"/>
  <c r="JQ373" i="10"/>
  <c r="JR373" i="10"/>
  <c r="JS373" i="10"/>
  <c r="KF373" i="10"/>
  <c r="KL373" i="10"/>
  <c r="JQ374" i="10"/>
  <c r="JR374" i="10"/>
  <c r="JS374" i="10"/>
  <c r="JX374" i="10"/>
  <c r="JY374" i="10"/>
  <c r="KA374" i="10"/>
  <c r="KD374" i="10"/>
  <c r="BK374" i="10"/>
  <c r="AQ368" i="15" s="1"/>
  <c r="KE374" i="10"/>
  <c r="BM374" i="10"/>
  <c r="AS368" i="15"/>
  <c r="KF374" i="10"/>
  <c r="JO375" i="10"/>
  <c r="JP375" i="10"/>
  <c r="JQ375" i="10"/>
  <c r="JR375" i="10"/>
  <c r="JS375" i="10"/>
  <c r="JY375" i="10"/>
  <c r="KA375" i="10"/>
  <c r="KE375" i="10"/>
  <c r="BM375" i="10"/>
  <c r="AS369" i="15"/>
  <c r="KF375" i="10"/>
  <c r="KM375" i="10"/>
  <c r="BI375" i="10" s="1"/>
  <c r="AO369" i="15" s="1"/>
  <c r="JO376" i="10"/>
  <c r="JP376" i="10"/>
  <c r="JQ376" i="10"/>
  <c r="JR376" i="10"/>
  <c r="JS376" i="10"/>
  <c r="JX376" i="10"/>
  <c r="JY376" i="10"/>
  <c r="KA376" i="10"/>
  <c r="KD376" i="10"/>
  <c r="BK376" i="10" s="1"/>
  <c r="AQ370" i="15" s="1"/>
  <c r="KE376" i="10"/>
  <c r="BM376" i="10"/>
  <c r="AS370" i="15"/>
  <c r="KF376" i="10"/>
  <c r="KH376" i="10"/>
  <c r="JO377" i="10"/>
  <c r="JP377" i="10"/>
  <c r="JQ377" i="10"/>
  <c r="JR377" i="10"/>
  <c r="JS377" i="10"/>
  <c r="JX377" i="10"/>
  <c r="KA377" i="10"/>
  <c r="KD377" i="10"/>
  <c r="BK377" i="10" s="1"/>
  <c r="AQ371" i="15" s="1"/>
  <c r="KE377" i="10"/>
  <c r="BM377" i="10"/>
  <c r="AS371" i="15"/>
  <c r="KF377" i="10"/>
  <c r="KK377" i="10"/>
  <c r="BH377" i="10"/>
  <c r="AN371" i="15"/>
  <c r="KN377" i="10"/>
  <c r="JO378" i="10"/>
  <c r="JQ378" i="10"/>
  <c r="JR378" i="10"/>
  <c r="JS378" i="10"/>
  <c r="JX378" i="10"/>
  <c r="JY378" i="10"/>
  <c r="KA378" i="10"/>
  <c r="KD378" i="10"/>
  <c r="BK378" i="10" s="1"/>
  <c r="AQ372" i="15" s="1"/>
  <c r="KE378" i="10"/>
  <c r="BM378" i="10"/>
  <c r="AS372" i="15"/>
  <c r="KF378" i="10"/>
  <c r="KH378" i="10"/>
  <c r="JO379" i="10"/>
  <c r="JP379" i="10"/>
  <c r="JQ379" i="10"/>
  <c r="JR379" i="10"/>
  <c r="JS379" i="10"/>
  <c r="JY379" i="10"/>
  <c r="KA379" i="10"/>
  <c r="KF379" i="10"/>
  <c r="KM379" i="10"/>
  <c r="BI379" i="10" s="1"/>
  <c r="AO373" i="15" s="1"/>
  <c r="JO380" i="10"/>
  <c r="JP380" i="10"/>
  <c r="JQ380" i="10"/>
  <c r="JR380" i="10"/>
  <c r="JS380" i="10"/>
  <c r="JX380" i="10"/>
  <c r="JY380" i="10"/>
  <c r="KA380" i="10"/>
  <c r="KD380" i="10"/>
  <c r="BK380" i="10" s="1"/>
  <c r="AQ374" i="15" s="1"/>
  <c r="KE380" i="10"/>
  <c r="BM380" i="10"/>
  <c r="AS374" i="15"/>
  <c r="KF380" i="10"/>
  <c r="KI380" i="10"/>
  <c r="JO381" i="10"/>
  <c r="JP381" i="10"/>
  <c r="JQ381" i="10"/>
  <c r="JR381" i="10"/>
  <c r="JS381" i="10"/>
  <c r="KA381" i="10"/>
  <c r="KE381" i="10"/>
  <c r="BM381" i="10"/>
  <c r="AS375" i="15"/>
  <c r="KF381" i="10"/>
  <c r="KK381" i="10"/>
  <c r="BH381" i="10"/>
  <c r="AN375" i="15"/>
  <c r="JQ382" i="10"/>
  <c r="JR382" i="10"/>
  <c r="JS382" i="10"/>
  <c r="JX382" i="10"/>
  <c r="JY382" i="10"/>
  <c r="KA382" i="10"/>
  <c r="KD382" i="10"/>
  <c r="BK382" i="10" s="1"/>
  <c r="AQ376" i="15" s="1"/>
  <c r="KE382" i="10"/>
  <c r="BM382" i="10"/>
  <c r="AS376" i="15"/>
  <c r="KF382" i="10"/>
  <c r="KG382" i="10"/>
  <c r="JQ383" i="10"/>
  <c r="JR383" i="10"/>
  <c r="JS383" i="10"/>
  <c r="KF383" i="10"/>
  <c r="KH383" i="10"/>
  <c r="JQ384" i="10"/>
  <c r="JR384" i="10"/>
  <c r="JS384" i="10"/>
  <c r="JX384" i="10"/>
  <c r="JY384" i="10"/>
  <c r="KA384" i="10"/>
  <c r="KD384" i="10"/>
  <c r="BK384" i="10" s="1"/>
  <c r="AQ378" i="15" s="1"/>
  <c r="KE384" i="10"/>
  <c r="BM384" i="10"/>
  <c r="AS378" i="15"/>
  <c r="KF384" i="10"/>
  <c r="KH384" i="10"/>
  <c r="JQ385" i="10"/>
  <c r="JR385" i="10"/>
  <c r="JS385" i="10"/>
  <c r="JY385" i="10"/>
  <c r="KE385" i="10"/>
  <c r="BM385" i="10"/>
  <c r="AS379" i="15"/>
  <c r="KF385" i="10"/>
  <c r="KG385" i="10"/>
  <c r="JQ386" i="10"/>
  <c r="JR386" i="10"/>
  <c r="JS386" i="10"/>
  <c r="JX386" i="10"/>
  <c r="JY386" i="10"/>
  <c r="KA386" i="10"/>
  <c r="KD386" i="10"/>
  <c r="BK386" i="10" s="1"/>
  <c r="AQ380" i="15" s="1"/>
  <c r="KF386" i="10"/>
  <c r="KK386" i="10"/>
  <c r="BH386" i="10"/>
  <c r="AN380" i="15"/>
  <c r="JQ387" i="10"/>
  <c r="JR387" i="10"/>
  <c r="JS387" i="10"/>
  <c r="JY387" i="10"/>
  <c r="KF387" i="10"/>
  <c r="KI387" i="10"/>
  <c r="JQ388" i="10"/>
  <c r="JR388" i="10"/>
  <c r="JS388" i="10"/>
  <c r="KF388" i="10"/>
  <c r="KH388" i="10"/>
  <c r="JO389" i="10"/>
  <c r="JP389" i="10"/>
  <c r="JQ389" i="10"/>
  <c r="JR389" i="10"/>
  <c r="JS389" i="10"/>
  <c r="KA389" i="10"/>
  <c r="KF389" i="10"/>
  <c r="KH389" i="10"/>
  <c r="JQ390" i="10"/>
  <c r="JR390" i="10"/>
  <c r="JS390" i="10"/>
  <c r="JX390" i="10"/>
  <c r="KA390" i="10"/>
  <c r="KE390" i="10"/>
  <c r="BM390" i="10"/>
  <c r="AS384" i="15"/>
  <c r="KF390" i="10"/>
  <c r="KG390" i="10"/>
  <c r="JO391" i="10"/>
  <c r="JN391" i="10"/>
  <c r="JQ391" i="10"/>
  <c r="JR391" i="10"/>
  <c r="JS391" i="10"/>
  <c r="KF391" i="10"/>
  <c r="KG391" i="10"/>
  <c r="JO392" i="10"/>
  <c r="JP392" i="10"/>
  <c r="JQ392" i="10"/>
  <c r="JR392" i="10"/>
  <c r="JS392" i="10"/>
  <c r="JX392" i="10"/>
  <c r="JY392" i="10"/>
  <c r="KA392" i="10"/>
  <c r="KD392" i="10"/>
  <c r="BK392" i="10" s="1"/>
  <c r="AQ386" i="15" s="1"/>
  <c r="KE392" i="10"/>
  <c r="BM392" i="10"/>
  <c r="AS386" i="15"/>
  <c r="KF392" i="10"/>
  <c r="KH392" i="10"/>
  <c r="KF22" i="10"/>
  <c r="IR113" i="10"/>
  <c r="IR114" i="10"/>
  <c r="IR115" i="10"/>
  <c r="IR116" i="10"/>
  <c r="IR117" i="10"/>
  <c r="IR118" i="10"/>
  <c r="IR119" i="10"/>
  <c r="IR120" i="10"/>
  <c r="IR121" i="10"/>
  <c r="IR122" i="10"/>
  <c r="IR123" i="10"/>
  <c r="IR124" i="10"/>
  <c r="IR125" i="10"/>
  <c r="IR126" i="10"/>
  <c r="IR127" i="10"/>
  <c r="IR128" i="10"/>
  <c r="IR129" i="10"/>
  <c r="IR130" i="10"/>
  <c r="IR131" i="10"/>
  <c r="IR132" i="10"/>
  <c r="IR133" i="10"/>
  <c r="IR134" i="10"/>
  <c r="IR135" i="10"/>
  <c r="IR136" i="10"/>
  <c r="IR137" i="10"/>
  <c r="IR138" i="10"/>
  <c r="IR139" i="10"/>
  <c r="IR140" i="10"/>
  <c r="IR141" i="10"/>
  <c r="IR142" i="10"/>
  <c r="IR143" i="10"/>
  <c r="IR144" i="10"/>
  <c r="IR145" i="10"/>
  <c r="IR146" i="10"/>
  <c r="IR147" i="10"/>
  <c r="IR148" i="10"/>
  <c r="IR149" i="10"/>
  <c r="IR150" i="10"/>
  <c r="IR151" i="10"/>
  <c r="IR152" i="10"/>
  <c r="IR153" i="10"/>
  <c r="IR154" i="10"/>
  <c r="IR155" i="10"/>
  <c r="IR156" i="10"/>
  <c r="IR157" i="10"/>
  <c r="IR158" i="10"/>
  <c r="IR159" i="10"/>
  <c r="IR160" i="10"/>
  <c r="IR161" i="10"/>
  <c r="IR162" i="10"/>
  <c r="IR163" i="10"/>
  <c r="IR164" i="10"/>
  <c r="IR165" i="10"/>
  <c r="IR166" i="10"/>
  <c r="IR167" i="10"/>
  <c r="IR168" i="10"/>
  <c r="IR169" i="10"/>
  <c r="IR170" i="10"/>
  <c r="IR171" i="10"/>
  <c r="IR172" i="10"/>
  <c r="IR173" i="10"/>
  <c r="IR174" i="10"/>
  <c r="IR175" i="10"/>
  <c r="IR176" i="10"/>
  <c r="IR177" i="10"/>
  <c r="IR178" i="10"/>
  <c r="IR179" i="10"/>
  <c r="IR180" i="10"/>
  <c r="IR181" i="10"/>
  <c r="IR182" i="10"/>
  <c r="IR183" i="10"/>
  <c r="IR184" i="10"/>
  <c r="IR185" i="10"/>
  <c r="IR186" i="10"/>
  <c r="IR187" i="10"/>
  <c r="IR188" i="10"/>
  <c r="IR189" i="10"/>
  <c r="IR190" i="10"/>
  <c r="IR191" i="10"/>
  <c r="IR192" i="10"/>
  <c r="IR193" i="10"/>
  <c r="IR194" i="10"/>
  <c r="IR195" i="10"/>
  <c r="IR196" i="10"/>
  <c r="IR197" i="10"/>
  <c r="IR198" i="10"/>
  <c r="IR199" i="10"/>
  <c r="IR200" i="10"/>
  <c r="IR201" i="10"/>
  <c r="IR202" i="10"/>
  <c r="IR203" i="10"/>
  <c r="IR204" i="10"/>
  <c r="IR205" i="10"/>
  <c r="IR206" i="10"/>
  <c r="IR207" i="10"/>
  <c r="IR208" i="10"/>
  <c r="IR209" i="10"/>
  <c r="IR210" i="10"/>
  <c r="IR211" i="10"/>
  <c r="IR212" i="10"/>
  <c r="IR213" i="10"/>
  <c r="IR214" i="10"/>
  <c r="IR215" i="10"/>
  <c r="IR216" i="10"/>
  <c r="IR217" i="10"/>
  <c r="IR218" i="10"/>
  <c r="IR219" i="10"/>
  <c r="IR220" i="10"/>
  <c r="IR221" i="10"/>
  <c r="IR222" i="10"/>
  <c r="IR223" i="10"/>
  <c r="IR224" i="10"/>
  <c r="IR225" i="10"/>
  <c r="IR226" i="10"/>
  <c r="IR227" i="10"/>
  <c r="IR228" i="10"/>
  <c r="IR229" i="10"/>
  <c r="IR230" i="10"/>
  <c r="IR231" i="10"/>
  <c r="IR232" i="10"/>
  <c r="IR233" i="10"/>
  <c r="IR234" i="10"/>
  <c r="IR235" i="10"/>
  <c r="IR236" i="10"/>
  <c r="IR237" i="10"/>
  <c r="IR238" i="10"/>
  <c r="IR239" i="10"/>
  <c r="IR240" i="10"/>
  <c r="IR241" i="10"/>
  <c r="IR242" i="10"/>
  <c r="IR243" i="10"/>
  <c r="IR244" i="10"/>
  <c r="IR245" i="10"/>
  <c r="IR246" i="10"/>
  <c r="IR247" i="10"/>
  <c r="IR248" i="10"/>
  <c r="IR249" i="10"/>
  <c r="IR250" i="10"/>
  <c r="IR251" i="10"/>
  <c r="IR252" i="10"/>
  <c r="IR253" i="10"/>
  <c r="IR254" i="10"/>
  <c r="IR255" i="10"/>
  <c r="IR256" i="10"/>
  <c r="IR257" i="10"/>
  <c r="IR258" i="10"/>
  <c r="IR259" i="10"/>
  <c r="IR260" i="10"/>
  <c r="IR261" i="10"/>
  <c r="IR262" i="10"/>
  <c r="IR263" i="10"/>
  <c r="IR264" i="10"/>
  <c r="IR265" i="10"/>
  <c r="IR266" i="10"/>
  <c r="IR267" i="10"/>
  <c r="IR268" i="10"/>
  <c r="IR269" i="10"/>
  <c r="IR270" i="10"/>
  <c r="IR271" i="10"/>
  <c r="IR272" i="10"/>
  <c r="IR273" i="10"/>
  <c r="IR274" i="10"/>
  <c r="IR275" i="10"/>
  <c r="IR276" i="10"/>
  <c r="IR277" i="10"/>
  <c r="IR278" i="10"/>
  <c r="IR279" i="10"/>
  <c r="IR280" i="10"/>
  <c r="IR281" i="10"/>
  <c r="IR282" i="10"/>
  <c r="IR283" i="10"/>
  <c r="IR284" i="10"/>
  <c r="IR285" i="10"/>
  <c r="IR286" i="10"/>
  <c r="IR287" i="10"/>
  <c r="IR288" i="10"/>
  <c r="IR289" i="10"/>
  <c r="IR290" i="10"/>
  <c r="IR291" i="10"/>
  <c r="IR292" i="10"/>
  <c r="IR293" i="10"/>
  <c r="IR294" i="10"/>
  <c r="IR295" i="10"/>
  <c r="IR296" i="10"/>
  <c r="IR297" i="10"/>
  <c r="IR298" i="10"/>
  <c r="IR299" i="10"/>
  <c r="IR300" i="10"/>
  <c r="IR301" i="10"/>
  <c r="IR302" i="10"/>
  <c r="IR303" i="10"/>
  <c r="IR304" i="10"/>
  <c r="IR305" i="10"/>
  <c r="IR306" i="10"/>
  <c r="IR307" i="10"/>
  <c r="IR308" i="10"/>
  <c r="IR309" i="10"/>
  <c r="IR310" i="10"/>
  <c r="IR311" i="10"/>
  <c r="IR312" i="10"/>
  <c r="IR313" i="10"/>
  <c r="IR314" i="10"/>
  <c r="IR315" i="10"/>
  <c r="IR316" i="10"/>
  <c r="IR317" i="10"/>
  <c r="IR318" i="10"/>
  <c r="IR319" i="10"/>
  <c r="IR320" i="10"/>
  <c r="IR321" i="10"/>
  <c r="IR322" i="10"/>
  <c r="IR323" i="10"/>
  <c r="IR324" i="10"/>
  <c r="IR325" i="10"/>
  <c r="IR326" i="10"/>
  <c r="IR327" i="10"/>
  <c r="IR328" i="10"/>
  <c r="IR329" i="10"/>
  <c r="IR330" i="10"/>
  <c r="IR331" i="10"/>
  <c r="IR332" i="10"/>
  <c r="IR333" i="10"/>
  <c r="IR334" i="10"/>
  <c r="IR335" i="10"/>
  <c r="IR336" i="10"/>
  <c r="IR337" i="10"/>
  <c r="IR338" i="10"/>
  <c r="IR339" i="10"/>
  <c r="IR340" i="10"/>
  <c r="IR341" i="10"/>
  <c r="IR342" i="10"/>
  <c r="IR343" i="10"/>
  <c r="IR344" i="10"/>
  <c r="IR345" i="10"/>
  <c r="IR346" i="10"/>
  <c r="IR347" i="10"/>
  <c r="IR348" i="10"/>
  <c r="IR349" i="10"/>
  <c r="IR350" i="10"/>
  <c r="IR351" i="10"/>
  <c r="IR352" i="10"/>
  <c r="IR353" i="10"/>
  <c r="IR354" i="10"/>
  <c r="IR355" i="10"/>
  <c r="IR356" i="10"/>
  <c r="IR357" i="10"/>
  <c r="IR358" i="10"/>
  <c r="IR359" i="10"/>
  <c r="IR360" i="10"/>
  <c r="IR361" i="10"/>
  <c r="IR362" i="10"/>
  <c r="IR363" i="10"/>
  <c r="IR364" i="10"/>
  <c r="IR365" i="10"/>
  <c r="IR366" i="10"/>
  <c r="IR367" i="10"/>
  <c r="IR368" i="10"/>
  <c r="IR369" i="10"/>
  <c r="IR370" i="10"/>
  <c r="IR371" i="10"/>
  <c r="IR372" i="10"/>
  <c r="IR373" i="10"/>
  <c r="IR374" i="10"/>
  <c r="IR375" i="10"/>
  <c r="IR376" i="10"/>
  <c r="IR377" i="10"/>
  <c r="IR378" i="10"/>
  <c r="IR379" i="10"/>
  <c r="IR380" i="10"/>
  <c r="IR381" i="10"/>
  <c r="IR382" i="10"/>
  <c r="IR383" i="10"/>
  <c r="IR384" i="10"/>
  <c r="IR385" i="10"/>
  <c r="IR386" i="10"/>
  <c r="IR387" i="10"/>
  <c r="IR388" i="10"/>
  <c r="IR389" i="10"/>
  <c r="IR390" i="10"/>
  <c r="IR391" i="10"/>
  <c r="IR392" i="10"/>
  <c r="IF23" i="10"/>
  <c r="IF24" i="10"/>
  <c r="IF25" i="10"/>
  <c r="IF26" i="10"/>
  <c r="IF27" i="10"/>
  <c r="IF28" i="10"/>
  <c r="IF29" i="10"/>
  <c r="IF30" i="10"/>
  <c r="IF31" i="10"/>
  <c r="IF32" i="10"/>
  <c r="IF33" i="10"/>
  <c r="IF34" i="10"/>
  <c r="IF35" i="10"/>
  <c r="IF36" i="10"/>
  <c r="IF37" i="10"/>
  <c r="IF38" i="10"/>
  <c r="IF39" i="10"/>
  <c r="IF40" i="10"/>
  <c r="IF41" i="10"/>
  <c r="IF42" i="10"/>
  <c r="IF43" i="10"/>
  <c r="IF44" i="10"/>
  <c r="IF45" i="10"/>
  <c r="IF46" i="10"/>
  <c r="IF47" i="10"/>
  <c r="IF48" i="10"/>
  <c r="IF49" i="10"/>
  <c r="IF50" i="10"/>
  <c r="IF51" i="10"/>
  <c r="IF52" i="10"/>
  <c r="IF53" i="10"/>
  <c r="IF54" i="10"/>
  <c r="IF55" i="10"/>
  <c r="IF56" i="10"/>
  <c r="IF57" i="10"/>
  <c r="IF58" i="10"/>
  <c r="IF59" i="10"/>
  <c r="IF60" i="10"/>
  <c r="IF61" i="10"/>
  <c r="IF62" i="10"/>
  <c r="IF63" i="10"/>
  <c r="IF64" i="10"/>
  <c r="IF65" i="10"/>
  <c r="IF66" i="10"/>
  <c r="IF67" i="10"/>
  <c r="IF68" i="10"/>
  <c r="IF69" i="10"/>
  <c r="IF70" i="10"/>
  <c r="IF71" i="10"/>
  <c r="IF72" i="10"/>
  <c r="IF73" i="10"/>
  <c r="IF74" i="10"/>
  <c r="IF75" i="10"/>
  <c r="IF76" i="10"/>
  <c r="IF77" i="10"/>
  <c r="IF78" i="10"/>
  <c r="IF79" i="10"/>
  <c r="IF80" i="10"/>
  <c r="IF81" i="10"/>
  <c r="IF82" i="10"/>
  <c r="IF83" i="10"/>
  <c r="IF84" i="10"/>
  <c r="IF85" i="10"/>
  <c r="IF86" i="10"/>
  <c r="IF87" i="10"/>
  <c r="IF88" i="10"/>
  <c r="IF89" i="10"/>
  <c r="IF90" i="10"/>
  <c r="IF91" i="10"/>
  <c r="IF92" i="10"/>
  <c r="IF93" i="10"/>
  <c r="IF94" i="10"/>
  <c r="IF95" i="10"/>
  <c r="IF96" i="10"/>
  <c r="IF97" i="10"/>
  <c r="IF98" i="10"/>
  <c r="IF99" i="10"/>
  <c r="IF100" i="10"/>
  <c r="IF101" i="10"/>
  <c r="IF102" i="10"/>
  <c r="IF103" i="10"/>
  <c r="IF104" i="10"/>
  <c r="IF105" i="10"/>
  <c r="IF106" i="10"/>
  <c r="IF107" i="10"/>
  <c r="IF108" i="10"/>
  <c r="IF109" i="10"/>
  <c r="IF110" i="10"/>
  <c r="IF111" i="10"/>
  <c r="IF112" i="10"/>
  <c r="IF113" i="10"/>
  <c r="IF114" i="10"/>
  <c r="IF115" i="10"/>
  <c r="IF116" i="10"/>
  <c r="IF117" i="10"/>
  <c r="IF118" i="10"/>
  <c r="IF119" i="10"/>
  <c r="IF120" i="10"/>
  <c r="IF121" i="10"/>
  <c r="IF122" i="10"/>
  <c r="IF123" i="10"/>
  <c r="IF124" i="10"/>
  <c r="IF125" i="10"/>
  <c r="IF126" i="10"/>
  <c r="IF127" i="10"/>
  <c r="IF128" i="10"/>
  <c r="IF129" i="10"/>
  <c r="IF130" i="10"/>
  <c r="IF131" i="10"/>
  <c r="IF132" i="10"/>
  <c r="IF133" i="10"/>
  <c r="IF134" i="10"/>
  <c r="IF135" i="10"/>
  <c r="IF136" i="10"/>
  <c r="IF137" i="10"/>
  <c r="IF138" i="10"/>
  <c r="IF139" i="10"/>
  <c r="IF140" i="10"/>
  <c r="IF141" i="10"/>
  <c r="IF142" i="10"/>
  <c r="IF143" i="10"/>
  <c r="IF144" i="10"/>
  <c r="IF145" i="10"/>
  <c r="IF146" i="10"/>
  <c r="IF147" i="10"/>
  <c r="IF148" i="10"/>
  <c r="IF149" i="10"/>
  <c r="IF150" i="10"/>
  <c r="IF151" i="10"/>
  <c r="IF152" i="10"/>
  <c r="IF153" i="10"/>
  <c r="IF154" i="10"/>
  <c r="IF155" i="10"/>
  <c r="IF156" i="10"/>
  <c r="IF157" i="10"/>
  <c r="IF158" i="10"/>
  <c r="IF159" i="10"/>
  <c r="IF160" i="10"/>
  <c r="IF161" i="10"/>
  <c r="IF162" i="10"/>
  <c r="IF163" i="10"/>
  <c r="IF164" i="10"/>
  <c r="IF165" i="10"/>
  <c r="IF166" i="10"/>
  <c r="IF167" i="10"/>
  <c r="IF168" i="10"/>
  <c r="IF169" i="10"/>
  <c r="IF170" i="10"/>
  <c r="IF171" i="10"/>
  <c r="IF172" i="10"/>
  <c r="IF173" i="10"/>
  <c r="IF174" i="10"/>
  <c r="IF175" i="10"/>
  <c r="IF176" i="10"/>
  <c r="IF177" i="10"/>
  <c r="IF178" i="10"/>
  <c r="IF179" i="10"/>
  <c r="IF180" i="10"/>
  <c r="IF181" i="10"/>
  <c r="IF182" i="10"/>
  <c r="IF183" i="10"/>
  <c r="IF184" i="10"/>
  <c r="IF185" i="10"/>
  <c r="IF186" i="10"/>
  <c r="IF187" i="10"/>
  <c r="IF188" i="10"/>
  <c r="IF189" i="10"/>
  <c r="IF190" i="10"/>
  <c r="IF191" i="10"/>
  <c r="IF192" i="10"/>
  <c r="IF193" i="10"/>
  <c r="IF194" i="10"/>
  <c r="IF195" i="10"/>
  <c r="IF196" i="10"/>
  <c r="IF197" i="10"/>
  <c r="IF198" i="10"/>
  <c r="IF199" i="10"/>
  <c r="IF200" i="10"/>
  <c r="IF201" i="10"/>
  <c r="IF202" i="10"/>
  <c r="IF203" i="10"/>
  <c r="IF204" i="10"/>
  <c r="IF205" i="10"/>
  <c r="IF206" i="10"/>
  <c r="IF207" i="10"/>
  <c r="IF208" i="10"/>
  <c r="IF209" i="10"/>
  <c r="IF210" i="10"/>
  <c r="IF211" i="10"/>
  <c r="IF212" i="10"/>
  <c r="IF213" i="10"/>
  <c r="IF214" i="10"/>
  <c r="IF215" i="10"/>
  <c r="IF216" i="10"/>
  <c r="IF217" i="10"/>
  <c r="IF218" i="10"/>
  <c r="IF219" i="10"/>
  <c r="IF220" i="10"/>
  <c r="IF221" i="10"/>
  <c r="IF222" i="10"/>
  <c r="IF223" i="10"/>
  <c r="IF224" i="10"/>
  <c r="IF225" i="10"/>
  <c r="IF226" i="10"/>
  <c r="IF227" i="10"/>
  <c r="IF228" i="10"/>
  <c r="IF229" i="10"/>
  <c r="IF230" i="10"/>
  <c r="IF231" i="10"/>
  <c r="IF232" i="10"/>
  <c r="IF233" i="10"/>
  <c r="IF234" i="10"/>
  <c r="IF235" i="10"/>
  <c r="IF236" i="10"/>
  <c r="IF237" i="10"/>
  <c r="IF238" i="10"/>
  <c r="IF239" i="10"/>
  <c r="IF240" i="10"/>
  <c r="IF241" i="10"/>
  <c r="IF242" i="10"/>
  <c r="IF243" i="10"/>
  <c r="IF244" i="10"/>
  <c r="IF245" i="10"/>
  <c r="IF246" i="10"/>
  <c r="IF247" i="10"/>
  <c r="IF248" i="10"/>
  <c r="IF249" i="10"/>
  <c r="IF250" i="10"/>
  <c r="IF251" i="10"/>
  <c r="IF252" i="10"/>
  <c r="IF253" i="10"/>
  <c r="IF254" i="10"/>
  <c r="IF255" i="10"/>
  <c r="IF256" i="10"/>
  <c r="IF257" i="10"/>
  <c r="IF258" i="10"/>
  <c r="IF259" i="10"/>
  <c r="IF260" i="10"/>
  <c r="IF261" i="10"/>
  <c r="IF262" i="10"/>
  <c r="IF263" i="10"/>
  <c r="IF264" i="10"/>
  <c r="IF265" i="10"/>
  <c r="IF266" i="10"/>
  <c r="IF267" i="10"/>
  <c r="IF268" i="10"/>
  <c r="IF269" i="10"/>
  <c r="IF270" i="10"/>
  <c r="IF271" i="10"/>
  <c r="IF272" i="10"/>
  <c r="IF273" i="10"/>
  <c r="IF274" i="10"/>
  <c r="IF275" i="10"/>
  <c r="IF276" i="10"/>
  <c r="IF277" i="10"/>
  <c r="IF278" i="10"/>
  <c r="IF279" i="10"/>
  <c r="IF280" i="10"/>
  <c r="IF281" i="10"/>
  <c r="IF282" i="10"/>
  <c r="IF283" i="10"/>
  <c r="IF284" i="10"/>
  <c r="IF285" i="10"/>
  <c r="IF286" i="10"/>
  <c r="IF287" i="10"/>
  <c r="IF288" i="10"/>
  <c r="IF289" i="10"/>
  <c r="IF290" i="10"/>
  <c r="IF291" i="10"/>
  <c r="IF292" i="10"/>
  <c r="IF293" i="10"/>
  <c r="IF294" i="10"/>
  <c r="IF295" i="10"/>
  <c r="IF296" i="10"/>
  <c r="IF297" i="10"/>
  <c r="IF298" i="10"/>
  <c r="IF299" i="10"/>
  <c r="IF300" i="10"/>
  <c r="IF301" i="10"/>
  <c r="IF302" i="10"/>
  <c r="IF303" i="10"/>
  <c r="IF304" i="10"/>
  <c r="IF305" i="10"/>
  <c r="IF306" i="10"/>
  <c r="IF307" i="10"/>
  <c r="IF308" i="10"/>
  <c r="IF309" i="10"/>
  <c r="IF310" i="10"/>
  <c r="IF311" i="10"/>
  <c r="IF312" i="10"/>
  <c r="IF313" i="10"/>
  <c r="IF314" i="10"/>
  <c r="IF315" i="10"/>
  <c r="IF316" i="10"/>
  <c r="IF317" i="10"/>
  <c r="IF318" i="10"/>
  <c r="IF319" i="10"/>
  <c r="IF320" i="10"/>
  <c r="IF321" i="10"/>
  <c r="IF322" i="10"/>
  <c r="IF323" i="10"/>
  <c r="IF324" i="10"/>
  <c r="IF325" i="10"/>
  <c r="IF326" i="10"/>
  <c r="IF327" i="10"/>
  <c r="IF328" i="10"/>
  <c r="IF329" i="10"/>
  <c r="IF330" i="10"/>
  <c r="IF331" i="10"/>
  <c r="IF332" i="10"/>
  <c r="IF333" i="10"/>
  <c r="IF334" i="10"/>
  <c r="IF335" i="10"/>
  <c r="IF336" i="10"/>
  <c r="IF337" i="10"/>
  <c r="IF338" i="10"/>
  <c r="IF339" i="10"/>
  <c r="IF340" i="10"/>
  <c r="IF341" i="10"/>
  <c r="IF342" i="10"/>
  <c r="IF343" i="10"/>
  <c r="IF344" i="10"/>
  <c r="IF345" i="10"/>
  <c r="IF346" i="10"/>
  <c r="IF347" i="10"/>
  <c r="IF348" i="10"/>
  <c r="IF349" i="10"/>
  <c r="IF350" i="10"/>
  <c r="IF351" i="10"/>
  <c r="IF352" i="10"/>
  <c r="IF353" i="10"/>
  <c r="IF354" i="10"/>
  <c r="IF355" i="10"/>
  <c r="IF356" i="10"/>
  <c r="IF357" i="10"/>
  <c r="IF358" i="10"/>
  <c r="IF359" i="10"/>
  <c r="IF360" i="10"/>
  <c r="IF361" i="10"/>
  <c r="IF362" i="10"/>
  <c r="IF363" i="10"/>
  <c r="IF364" i="10"/>
  <c r="IF365" i="10"/>
  <c r="IF366" i="10"/>
  <c r="IF367" i="10"/>
  <c r="IF368" i="10"/>
  <c r="IF369" i="10"/>
  <c r="IF370" i="10"/>
  <c r="IF371" i="10"/>
  <c r="IF372" i="10"/>
  <c r="IF373" i="10"/>
  <c r="IF374" i="10"/>
  <c r="IF375" i="10"/>
  <c r="IF376" i="10"/>
  <c r="IF377" i="10"/>
  <c r="IF378" i="10"/>
  <c r="IF379" i="10"/>
  <c r="IF380" i="10"/>
  <c r="IF381" i="10"/>
  <c r="IF382" i="10"/>
  <c r="IF383" i="10"/>
  <c r="IF384" i="10"/>
  <c r="IF385" i="10"/>
  <c r="IF386" i="10"/>
  <c r="IF387" i="10"/>
  <c r="IF388" i="10"/>
  <c r="IF389" i="10"/>
  <c r="IF390" i="10"/>
  <c r="IF391" i="10"/>
  <c r="IF392" i="10"/>
  <c r="ID23" i="10"/>
  <c r="IE23" i="10"/>
  <c r="IG23" i="10"/>
  <c r="IH23" i="10"/>
  <c r="ID24" i="10"/>
  <c r="IE24" i="10"/>
  <c r="IG24" i="10"/>
  <c r="IH24" i="10"/>
  <c r="ID25" i="10"/>
  <c r="IE25" i="10"/>
  <c r="IG25" i="10"/>
  <c r="IH25" i="10"/>
  <c r="ID26" i="10"/>
  <c r="IE26" i="10"/>
  <c r="IG26" i="10"/>
  <c r="IH26" i="10"/>
  <c r="ID27" i="10"/>
  <c r="IE27" i="10"/>
  <c r="IG27" i="10"/>
  <c r="IH27" i="10"/>
  <c r="IC28" i="10"/>
  <c r="ID28" i="10"/>
  <c r="IE28" i="10"/>
  <c r="IG28" i="10"/>
  <c r="IH28" i="10"/>
  <c r="IC29" i="10"/>
  <c r="ID29" i="10"/>
  <c r="IE29" i="10"/>
  <c r="IG29" i="10"/>
  <c r="IH29" i="10"/>
  <c r="IC30" i="10"/>
  <c r="ID30" i="10"/>
  <c r="IE30" i="10"/>
  <c r="IG30" i="10"/>
  <c r="IH30" i="10"/>
  <c r="IC31" i="10"/>
  <c r="ID31" i="10"/>
  <c r="IE31" i="10"/>
  <c r="IG31" i="10"/>
  <c r="IH31" i="10"/>
  <c r="IC32" i="10"/>
  <c r="ID32" i="10"/>
  <c r="IE32" i="10"/>
  <c r="IG32" i="10"/>
  <c r="IH32" i="10"/>
  <c r="IC33" i="10"/>
  <c r="ID33" i="10"/>
  <c r="IE33" i="10"/>
  <c r="IG33" i="10"/>
  <c r="IH33" i="10"/>
  <c r="IC34" i="10"/>
  <c r="ID34" i="10"/>
  <c r="IE34" i="10"/>
  <c r="IG34" i="10"/>
  <c r="IH34" i="10"/>
  <c r="IC35" i="10"/>
  <c r="ID35" i="10"/>
  <c r="IE35" i="10"/>
  <c r="IG35" i="10"/>
  <c r="IH35" i="10"/>
  <c r="IC36" i="10"/>
  <c r="ID36" i="10"/>
  <c r="IE36" i="10"/>
  <c r="IG36" i="10"/>
  <c r="IH36" i="10"/>
  <c r="IC37" i="10"/>
  <c r="IH37" i="10"/>
  <c r="IG37" i="10"/>
  <c r="ID37" i="10"/>
  <c r="IE37" i="10"/>
  <c r="IC38" i="10"/>
  <c r="IH38" i="10"/>
  <c r="IG38" i="10"/>
  <c r="ID38" i="10"/>
  <c r="IE38" i="10"/>
  <c r="IC39" i="10"/>
  <c r="IG39" i="10"/>
  <c r="ID39" i="10"/>
  <c r="IE39" i="10"/>
  <c r="IH39" i="10"/>
  <c r="IC40" i="10"/>
  <c r="IG40" i="10"/>
  <c r="IH40" i="10"/>
  <c r="ID40" i="10"/>
  <c r="IE40" i="10"/>
  <c r="IC41" i="10"/>
  <c r="IG41" i="10"/>
  <c r="IH41" i="10"/>
  <c r="ID41" i="10"/>
  <c r="IE41" i="10"/>
  <c r="IC42" i="10"/>
  <c r="IG42" i="10"/>
  <c r="IH42" i="10"/>
  <c r="ID42" i="10"/>
  <c r="IE42" i="10"/>
  <c r="IC43" i="10"/>
  <c r="IG43" i="10"/>
  <c r="IH43" i="10"/>
  <c r="ID43" i="10"/>
  <c r="IE43" i="10"/>
  <c r="IC44" i="10"/>
  <c r="IG44" i="10"/>
  <c r="IH44" i="10"/>
  <c r="ID44" i="10"/>
  <c r="IE44" i="10"/>
  <c r="IC45" i="10"/>
  <c r="IG45" i="10"/>
  <c r="IH45" i="10"/>
  <c r="ID45" i="10"/>
  <c r="IE45" i="10"/>
  <c r="IC46" i="10"/>
  <c r="IG46" i="10"/>
  <c r="IH46" i="10"/>
  <c r="ID46" i="10"/>
  <c r="IE46" i="10"/>
  <c r="IC47" i="10"/>
  <c r="IG47" i="10"/>
  <c r="IH47" i="10"/>
  <c r="ID47" i="10"/>
  <c r="IE47" i="10"/>
  <c r="IC48" i="10"/>
  <c r="IG48" i="10"/>
  <c r="IH48" i="10"/>
  <c r="ID48" i="10"/>
  <c r="IE48" i="10"/>
  <c r="IC49" i="10"/>
  <c r="IG49" i="10"/>
  <c r="IH49" i="10"/>
  <c r="ID49" i="10"/>
  <c r="IE49" i="10"/>
  <c r="IC50" i="10"/>
  <c r="IG50" i="10"/>
  <c r="IH50" i="10"/>
  <c r="ID50" i="10"/>
  <c r="IE50" i="10"/>
  <c r="IC51" i="10"/>
  <c r="IG51" i="10"/>
  <c r="IH51" i="10"/>
  <c r="ID51" i="10"/>
  <c r="IE51" i="10"/>
  <c r="IC52" i="10"/>
  <c r="IG52" i="10"/>
  <c r="IH52" i="10"/>
  <c r="ID52" i="10"/>
  <c r="IE52" i="10"/>
  <c r="IC53" i="10"/>
  <c r="IG53" i="10"/>
  <c r="IH53" i="10"/>
  <c r="ID53" i="10"/>
  <c r="IE53" i="10"/>
  <c r="IC54" i="10"/>
  <c r="IG54" i="10"/>
  <c r="IH54" i="10"/>
  <c r="ID54" i="10"/>
  <c r="IE54" i="10"/>
  <c r="IC55" i="10"/>
  <c r="IG55" i="10"/>
  <c r="IH55" i="10"/>
  <c r="ID55" i="10"/>
  <c r="IE55" i="10"/>
  <c r="IC56" i="10"/>
  <c r="IG56" i="10"/>
  <c r="IH56" i="10"/>
  <c r="ID56" i="10"/>
  <c r="IE56" i="10"/>
  <c r="IC57" i="10"/>
  <c r="IG57" i="10"/>
  <c r="IH57" i="10"/>
  <c r="ID57" i="10"/>
  <c r="IE57" i="10"/>
  <c r="IC58" i="10"/>
  <c r="IG58" i="10"/>
  <c r="IH58" i="10"/>
  <c r="ID58" i="10"/>
  <c r="IE58" i="10"/>
  <c r="IC59" i="10"/>
  <c r="IG59" i="10"/>
  <c r="IH59" i="10"/>
  <c r="ID59" i="10"/>
  <c r="IE59" i="10"/>
  <c r="IC60" i="10"/>
  <c r="IG60" i="10"/>
  <c r="IH60" i="10"/>
  <c r="ID60" i="10"/>
  <c r="IE60" i="10"/>
  <c r="IC61" i="10"/>
  <c r="IG61" i="10"/>
  <c r="IH61" i="10"/>
  <c r="ID61" i="10"/>
  <c r="IE61" i="10"/>
  <c r="IC62" i="10"/>
  <c r="IG62" i="10"/>
  <c r="IH62" i="10"/>
  <c r="ID62" i="10"/>
  <c r="IE62" i="10"/>
  <c r="IC63" i="10"/>
  <c r="IG63" i="10"/>
  <c r="IH63" i="10"/>
  <c r="ID63" i="10"/>
  <c r="IE63" i="10"/>
  <c r="IC64" i="10"/>
  <c r="IG64" i="10"/>
  <c r="IH64" i="10"/>
  <c r="ID64" i="10"/>
  <c r="IE64" i="10"/>
  <c r="IC65" i="10"/>
  <c r="IG65" i="10"/>
  <c r="IH65" i="10"/>
  <c r="ID65" i="10"/>
  <c r="IE65" i="10"/>
  <c r="IC66" i="10"/>
  <c r="IG66" i="10"/>
  <c r="IH66" i="10"/>
  <c r="ID66" i="10"/>
  <c r="IE66" i="10"/>
  <c r="IC67" i="10"/>
  <c r="IG67" i="10"/>
  <c r="IH67" i="10"/>
  <c r="ID67" i="10"/>
  <c r="IE67" i="10"/>
  <c r="IC68" i="10"/>
  <c r="IG68" i="10"/>
  <c r="IH68" i="10"/>
  <c r="ID68" i="10"/>
  <c r="IE68" i="10"/>
  <c r="IC69" i="10"/>
  <c r="IG69" i="10"/>
  <c r="IH69" i="10"/>
  <c r="ID69" i="10"/>
  <c r="IE69" i="10"/>
  <c r="IC70" i="10"/>
  <c r="IG70" i="10"/>
  <c r="IH70" i="10"/>
  <c r="ID70" i="10"/>
  <c r="IE70" i="10"/>
  <c r="IC71" i="10"/>
  <c r="IG71" i="10"/>
  <c r="IH71" i="10"/>
  <c r="ID71" i="10"/>
  <c r="IE71" i="10"/>
  <c r="IC72" i="10"/>
  <c r="IG72" i="10"/>
  <c r="IH72" i="10"/>
  <c r="ID72" i="10"/>
  <c r="IE72" i="10"/>
  <c r="IC73" i="10"/>
  <c r="IG73" i="10"/>
  <c r="IH73" i="10"/>
  <c r="ID73" i="10"/>
  <c r="IE73" i="10"/>
  <c r="IC74" i="10"/>
  <c r="IG74" i="10"/>
  <c r="IH74" i="10"/>
  <c r="ID74" i="10"/>
  <c r="IE74" i="10"/>
  <c r="IC75" i="10"/>
  <c r="IG75" i="10"/>
  <c r="IH75" i="10"/>
  <c r="ID75" i="10"/>
  <c r="IE75" i="10"/>
  <c r="IC76" i="10"/>
  <c r="IG76" i="10"/>
  <c r="IH76" i="10"/>
  <c r="ID76" i="10"/>
  <c r="IE76" i="10"/>
  <c r="IC77" i="10"/>
  <c r="IG77" i="10"/>
  <c r="IH77" i="10"/>
  <c r="ID77" i="10"/>
  <c r="IE77" i="10"/>
  <c r="IC78" i="10"/>
  <c r="IG78" i="10"/>
  <c r="IH78" i="10"/>
  <c r="ID78" i="10"/>
  <c r="IE78" i="10"/>
  <c r="IC79" i="10"/>
  <c r="IG79" i="10"/>
  <c r="IH79" i="10"/>
  <c r="ID79" i="10"/>
  <c r="IE79" i="10"/>
  <c r="IC80" i="10"/>
  <c r="IG80" i="10"/>
  <c r="IH80" i="10"/>
  <c r="ID80" i="10"/>
  <c r="IE80" i="10"/>
  <c r="IC81" i="10"/>
  <c r="IG81" i="10"/>
  <c r="IH81" i="10"/>
  <c r="ID81" i="10"/>
  <c r="IE81" i="10"/>
  <c r="IC82" i="10"/>
  <c r="IG82" i="10"/>
  <c r="IH82" i="10"/>
  <c r="ID82" i="10"/>
  <c r="IE82" i="10"/>
  <c r="IC83" i="10"/>
  <c r="IG83" i="10"/>
  <c r="IH83" i="10"/>
  <c r="ID83" i="10"/>
  <c r="IE83" i="10"/>
  <c r="IC84" i="10"/>
  <c r="IG84" i="10"/>
  <c r="IH84" i="10"/>
  <c r="ID84" i="10"/>
  <c r="IE84" i="10"/>
  <c r="IC85" i="10"/>
  <c r="IG85" i="10"/>
  <c r="IH85" i="10"/>
  <c r="ID85" i="10"/>
  <c r="IE85" i="10"/>
  <c r="IC86" i="10"/>
  <c r="IG86" i="10"/>
  <c r="IH86" i="10"/>
  <c r="ID86" i="10"/>
  <c r="IE86" i="10"/>
  <c r="IC87" i="10"/>
  <c r="IG87" i="10"/>
  <c r="IH87" i="10"/>
  <c r="ID87" i="10"/>
  <c r="IE87" i="10"/>
  <c r="IC88" i="10"/>
  <c r="IG88" i="10"/>
  <c r="IH88" i="10"/>
  <c r="ID88" i="10"/>
  <c r="IE88" i="10"/>
  <c r="IC89" i="10"/>
  <c r="IG89" i="10"/>
  <c r="IH89" i="10"/>
  <c r="ID89" i="10"/>
  <c r="IE89" i="10"/>
  <c r="IC90" i="10"/>
  <c r="IG90" i="10"/>
  <c r="IH90" i="10"/>
  <c r="ID90" i="10"/>
  <c r="IE90" i="10"/>
  <c r="IC91" i="10"/>
  <c r="IG91" i="10"/>
  <c r="IH91" i="10"/>
  <c r="ID91" i="10"/>
  <c r="IE91" i="10"/>
  <c r="IC92" i="10"/>
  <c r="IG92" i="10"/>
  <c r="IH92" i="10"/>
  <c r="ID92" i="10"/>
  <c r="IE92" i="10"/>
  <c r="IC93" i="10"/>
  <c r="IG93" i="10"/>
  <c r="IH93" i="10"/>
  <c r="ID93" i="10"/>
  <c r="IE93" i="10"/>
  <c r="IC94" i="10"/>
  <c r="IG94" i="10"/>
  <c r="IH94" i="10"/>
  <c r="ID94" i="10"/>
  <c r="IE94" i="10"/>
  <c r="IC95" i="10"/>
  <c r="IG95" i="10"/>
  <c r="IH95" i="10"/>
  <c r="ID95" i="10"/>
  <c r="IE95" i="10"/>
  <c r="IC96" i="10"/>
  <c r="IG96" i="10"/>
  <c r="IH96" i="10"/>
  <c r="ID96" i="10"/>
  <c r="IE96" i="10"/>
  <c r="IC97" i="10"/>
  <c r="IG97" i="10"/>
  <c r="IH97" i="10"/>
  <c r="ID97" i="10"/>
  <c r="IE97" i="10"/>
  <c r="IC98" i="10"/>
  <c r="IG98" i="10"/>
  <c r="IH98" i="10"/>
  <c r="ID98" i="10"/>
  <c r="IE98" i="10"/>
  <c r="IC99" i="10"/>
  <c r="IG99" i="10"/>
  <c r="IH99" i="10"/>
  <c r="ID99" i="10"/>
  <c r="IE99" i="10"/>
  <c r="IC100" i="10"/>
  <c r="IG100" i="10"/>
  <c r="IH100" i="10"/>
  <c r="ID100" i="10"/>
  <c r="IE100" i="10"/>
  <c r="IC101" i="10"/>
  <c r="IG101" i="10"/>
  <c r="IH101" i="10"/>
  <c r="ID101" i="10"/>
  <c r="IE101" i="10"/>
  <c r="IC102" i="10"/>
  <c r="IG102" i="10"/>
  <c r="IH102" i="10"/>
  <c r="ID102" i="10"/>
  <c r="IE102" i="10"/>
  <c r="IC103" i="10"/>
  <c r="IG103" i="10"/>
  <c r="IH103" i="10"/>
  <c r="ID103" i="10"/>
  <c r="IE103" i="10"/>
  <c r="IC104" i="10"/>
  <c r="IG104" i="10"/>
  <c r="IH104" i="10"/>
  <c r="ID104" i="10"/>
  <c r="IE104" i="10"/>
  <c r="IC105" i="10"/>
  <c r="IG105" i="10"/>
  <c r="IH105" i="10"/>
  <c r="ID105" i="10"/>
  <c r="IE105" i="10"/>
  <c r="IC106" i="10"/>
  <c r="IG106" i="10"/>
  <c r="IH106" i="10"/>
  <c r="ID106" i="10"/>
  <c r="IE106" i="10"/>
  <c r="IC107" i="10"/>
  <c r="IG107" i="10"/>
  <c r="IH107" i="10"/>
  <c r="ID107" i="10"/>
  <c r="IE107" i="10"/>
  <c r="IC108" i="10"/>
  <c r="IG108" i="10"/>
  <c r="IH108" i="10"/>
  <c r="ID108" i="10"/>
  <c r="IE108" i="10"/>
  <c r="IC109" i="10"/>
  <c r="IG109" i="10"/>
  <c r="IH109" i="10"/>
  <c r="ID109" i="10"/>
  <c r="IE109" i="10"/>
  <c r="IC110" i="10"/>
  <c r="IG110" i="10"/>
  <c r="IH110" i="10"/>
  <c r="ID110" i="10"/>
  <c r="IE110" i="10"/>
  <c r="IC111" i="10"/>
  <c r="IG111" i="10"/>
  <c r="IH111" i="10"/>
  <c r="ID111" i="10"/>
  <c r="IE111" i="10"/>
  <c r="IC112" i="10"/>
  <c r="IG112" i="10"/>
  <c r="IH112" i="10"/>
  <c r="ID112" i="10"/>
  <c r="IE112" i="10"/>
  <c r="IG113" i="10"/>
  <c r="IH113" i="10"/>
  <c r="ID113" i="10"/>
  <c r="IE113" i="10"/>
  <c r="IC113" i="10"/>
  <c r="IG114" i="10"/>
  <c r="IH114" i="10"/>
  <c r="ID114" i="10"/>
  <c r="IE114" i="10"/>
  <c r="IC114" i="10"/>
  <c r="IG115" i="10"/>
  <c r="IH115" i="10"/>
  <c r="ID115" i="10"/>
  <c r="IE115" i="10"/>
  <c r="IC115" i="10"/>
  <c r="IG116" i="10"/>
  <c r="IH116" i="10"/>
  <c r="ID116" i="10"/>
  <c r="IE116" i="10"/>
  <c r="IC116" i="10"/>
  <c r="IG117" i="10"/>
  <c r="IH117" i="10"/>
  <c r="ID117" i="10"/>
  <c r="IE117" i="10"/>
  <c r="IC117" i="10"/>
  <c r="IG118" i="10"/>
  <c r="IH118" i="10"/>
  <c r="ID118" i="10"/>
  <c r="IE118" i="10"/>
  <c r="IC118" i="10"/>
  <c r="IG119" i="10"/>
  <c r="IH119" i="10"/>
  <c r="ID119" i="10"/>
  <c r="IE119" i="10"/>
  <c r="IC119" i="10"/>
  <c r="IG120" i="10"/>
  <c r="IH120" i="10"/>
  <c r="ID120" i="10"/>
  <c r="IE120" i="10"/>
  <c r="IC120" i="10"/>
  <c r="IG121" i="10"/>
  <c r="IH121" i="10"/>
  <c r="ID121" i="10"/>
  <c r="IE121" i="10"/>
  <c r="IC121" i="10"/>
  <c r="IG122" i="10"/>
  <c r="IH122" i="10"/>
  <c r="ID122" i="10"/>
  <c r="IE122" i="10"/>
  <c r="IC122" i="10"/>
  <c r="IG123" i="10"/>
  <c r="IH123" i="10"/>
  <c r="ID123" i="10"/>
  <c r="IE123" i="10"/>
  <c r="IC123" i="10"/>
  <c r="IG124" i="10"/>
  <c r="IH124" i="10"/>
  <c r="ID124" i="10"/>
  <c r="IE124" i="10"/>
  <c r="IC124" i="10"/>
  <c r="IG125" i="10"/>
  <c r="IH125" i="10"/>
  <c r="ID125" i="10"/>
  <c r="IE125" i="10"/>
  <c r="IC125" i="10"/>
  <c r="IG126" i="10"/>
  <c r="IH126" i="10"/>
  <c r="ID126" i="10"/>
  <c r="IE126" i="10"/>
  <c r="IC126" i="10"/>
  <c r="IG127" i="10"/>
  <c r="IH127" i="10"/>
  <c r="ID127" i="10"/>
  <c r="IE127" i="10"/>
  <c r="IC127" i="10"/>
  <c r="IG128" i="10"/>
  <c r="IH128" i="10"/>
  <c r="ID128" i="10"/>
  <c r="IE128" i="10"/>
  <c r="IC128" i="10"/>
  <c r="IG129" i="10"/>
  <c r="IH129" i="10"/>
  <c r="ID129" i="10"/>
  <c r="IE129" i="10"/>
  <c r="IC129" i="10"/>
  <c r="IG130" i="10"/>
  <c r="IH130" i="10"/>
  <c r="ID130" i="10"/>
  <c r="IE130" i="10"/>
  <c r="IC130" i="10"/>
  <c r="IG131" i="10"/>
  <c r="IH131" i="10"/>
  <c r="ID131" i="10"/>
  <c r="IE131" i="10"/>
  <c r="IC131" i="10"/>
  <c r="IG132" i="10"/>
  <c r="IH132" i="10"/>
  <c r="ID132" i="10"/>
  <c r="IE132" i="10"/>
  <c r="IC132" i="10"/>
  <c r="IG133" i="10"/>
  <c r="IH133" i="10"/>
  <c r="ID133" i="10"/>
  <c r="IE133" i="10"/>
  <c r="IC133" i="10"/>
  <c r="IG134" i="10"/>
  <c r="IH134" i="10"/>
  <c r="ID134" i="10"/>
  <c r="IE134" i="10"/>
  <c r="IC134" i="10"/>
  <c r="IG135" i="10"/>
  <c r="IH135" i="10"/>
  <c r="ID135" i="10"/>
  <c r="IE135" i="10"/>
  <c r="IC135" i="10"/>
  <c r="IG136" i="10"/>
  <c r="IH136" i="10"/>
  <c r="ID136" i="10"/>
  <c r="IE136" i="10"/>
  <c r="IC136" i="10"/>
  <c r="IG137" i="10"/>
  <c r="IH137" i="10"/>
  <c r="ID137" i="10"/>
  <c r="IE137" i="10"/>
  <c r="IC137" i="10"/>
  <c r="IG138" i="10"/>
  <c r="IH138" i="10"/>
  <c r="ID138" i="10"/>
  <c r="IE138" i="10"/>
  <c r="IC138" i="10"/>
  <c r="IG139" i="10"/>
  <c r="IH139" i="10"/>
  <c r="ID139" i="10"/>
  <c r="IE139" i="10"/>
  <c r="IC139" i="10"/>
  <c r="IG140" i="10"/>
  <c r="IH140" i="10"/>
  <c r="ID140" i="10"/>
  <c r="IE140" i="10"/>
  <c r="IC140" i="10"/>
  <c r="IG141" i="10"/>
  <c r="IH141" i="10"/>
  <c r="ID141" i="10"/>
  <c r="IE141" i="10"/>
  <c r="IC141" i="10"/>
  <c r="IG142" i="10"/>
  <c r="IH142" i="10"/>
  <c r="ID142" i="10"/>
  <c r="IE142" i="10"/>
  <c r="IC142" i="10"/>
  <c r="IG143" i="10"/>
  <c r="IH143" i="10"/>
  <c r="ID143" i="10"/>
  <c r="IE143" i="10"/>
  <c r="IC143" i="10"/>
  <c r="IG144" i="10"/>
  <c r="IH144" i="10"/>
  <c r="ID144" i="10"/>
  <c r="IE144" i="10"/>
  <c r="IC144" i="10"/>
  <c r="IG145" i="10"/>
  <c r="IH145" i="10"/>
  <c r="ID145" i="10"/>
  <c r="IE145" i="10"/>
  <c r="IC145" i="10"/>
  <c r="IG146" i="10"/>
  <c r="IH146" i="10"/>
  <c r="ID146" i="10"/>
  <c r="IE146" i="10"/>
  <c r="IC146" i="10"/>
  <c r="IG147" i="10"/>
  <c r="IH147" i="10"/>
  <c r="ID147" i="10"/>
  <c r="IE147" i="10"/>
  <c r="IC147" i="10"/>
  <c r="IG148" i="10"/>
  <c r="IH148" i="10"/>
  <c r="ID148" i="10"/>
  <c r="IE148" i="10"/>
  <c r="IC148" i="10"/>
  <c r="IG149" i="10"/>
  <c r="IH149" i="10"/>
  <c r="ID149" i="10"/>
  <c r="IE149" i="10"/>
  <c r="IC149" i="10"/>
  <c r="IG150" i="10"/>
  <c r="IH150" i="10"/>
  <c r="ID150" i="10"/>
  <c r="IE150" i="10"/>
  <c r="IC150" i="10"/>
  <c r="IG151" i="10"/>
  <c r="IH151" i="10"/>
  <c r="ID151" i="10"/>
  <c r="IE151" i="10"/>
  <c r="IC151" i="10"/>
  <c r="IG152" i="10"/>
  <c r="IH152" i="10"/>
  <c r="ID152" i="10"/>
  <c r="IE152" i="10"/>
  <c r="IC152" i="10"/>
  <c r="IG153" i="10"/>
  <c r="IH153" i="10"/>
  <c r="ID153" i="10"/>
  <c r="IE153" i="10"/>
  <c r="IC153" i="10"/>
  <c r="IG154" i="10"/>
  <c r="IH154" i="10"/>
  <c r="ID154" i="10"/>
  <c r="IE154" i="10"/>
  <c r="IC154" i="10"/>
  <c r="IG155" i="10"/>
  <c r="IH155" i="10"/>
  <c r="ID155" i="10"/>
  <c r="IE155" i="10"/>
  <c r="IC155" i="10"/>
  <c r="IG156" i="10"/>
  <c r="IH156" i="10"/>
  <c r="ID156" i="10"/>
  <c r="IE156" i="10"/>
  <c r="IC156" i="10"/>
  <c r="IG157" i="10"/>
  <c r="IH157" i="10"/>
  <c r="ID157" i="10"/>
  <c r="IE157" i="10"/>
  <c r="IC157" i="10"/>
  <c r="IG158" i="10"/>
  <c r="IH158" i="10"/>
  <c r="ID158" i="10"/>
  <c r="IE158" i="10"/>
  <c r="IC158" i="10"/>
  <c r="IG159" i="10"/>
  <c r="IH159" i="10"/>
  <c r="ID159" i="10"/>
  <c r="IE159" i="10"/>
  <c r="IC159" i="10"/>
  <c r="IG160" i="10"/>
  <c r="IH160" i="10"/>
  <c r="ID160" i="10"/>
  <c r="IE160" i="10"/>
  <c r="IC160" i="10"/>
  <c r="IG161" i="10"/>
  <c r="IH161" i="10"/>
  <c r="ID161" i="10"/>
  <c r="IE161" i="10"/>
  <c r="IC161" i="10"/>
  <c r="IG162" i="10"/>
  <c r="IH162" i="10"/>
  <c r="ID162" i="10"/>
  <c r="IE162" i="10"/>
  <c r="IC162" i="10"/>
  <c r="IG163" i="10"/>
  <c r="IH163" i="10"/>
  <c r="ID163" i="10"/>
  <c r="IE163" i="10"/>
  <c r="IC163" i="10"/>
  <c r="IG164" i="10"/>
  <c r="IH164" i="10"/>
  <c r="ID164" i="10"/>
  <c r="IE164" i="10"/>
  <c r="IC164" i="10"/>
  <c r="IG165" i="10"/>
  <c r="IH165" i="10"/>
  <c r="ID165" i="10"/>
  <c r="IE165" i="10"/>
  <c r="IC165" i="10"/>
  <c r="IG166" i="10"/>
  <c r="IH166" i="10"/>
  <c r="ID166" i="10"/>
  <c r="IE166" i="10"/>
  <c r="IC166" i="10"/>
  <c r="IG167" i="10"/>
  <c r="IH167" i="10"/>
  <c r="ID167" i="10"/>
  <c r="IE167" i="10"/>
  <c r="IC167" i="10"/>
  <c r="IG168" i="10"/>
  <c r="IH168" i="10"/>
  <c r="ID168" i="10"/>
  <c r="IE168" i="10"/>
  <c r="IC168" i="10"/>
  <c r="IG169" i="10"/>
  <c r="IH169" i="10"/>
  <c r="ID169" i="10"/>
  <c r="IE169" i="10"/>
  <c r="IC169" i="10"/>
  <c r="IG170" i="10"/>
  <c r="IH170" i="10"/>
  <c r="ID170" i="10"/>
  <c r="IE170" i="10"/>
  <c r="IC170" i="10"/>
  <c r="IG171" i="10"/>
  <c r="IH171" i="10"/>
  <c r="ID171" i="10"/>
  <c r="IE171" i="10"/>
  <c r="IC171" i="10"/>
  <c r="IG172" i="10"/>
  <c r="IH172" i="10"/>
  <c r="ID172" i="10"/>
  <c r="IE172" i="10"/>
  <c r="IC172" i="10"/>
  <c r="IG173" i="10"/>
  <c r="IH173" i="10"/>
  <c r="ID173" i="10"/>
  <c r="IE173" i="10"/>
  <c r="IC173" i="10"/>
  <c r="IG174" i="10"/>
  <c r="IH174" i="10"/>
  <c r="ID174" i="10"/>
  <c r="IE174" i="10"/>
  <c r="IC174" i="10"/>
  <c r="IG175" i="10"/>
  <c r="IH175" i="10"/>
  <c r="ID175" i="10"/>
  <c r="IE175" i="10"/>
  <c r="IC175" i="10"/>
  <c r="IG176" i="10"/>
  <c r="IH176" i="10"/>
  <c r="ID176" i="10"/>
  <c r="IE176" i="10"/>
  <c r="IC176" i="10"/>
  <c r="IG177" i="10"/>
  <c r="IH177" i="10"/>
  <c r="ID177" i="10"/>
  <c r="IE177" i="10"/>
  <c r="IC177" i="10"/>
  <c r="IG178" i="10"/>
  <c r="IH178" i="10"/>
  <c r="ID178" i="10"/>
  <c r="IE178" i="10"/>
  <c r="IC178" i="10"/>
  <c r="IG179" i="10"/>
  <c r="IH179" i="10"/>
  <c r="ID179" i="10"/>
  <c r="IE179" i="10"/>
  <c r="IC179" i="10"/>
  <c r="IG180" i="10"/>
  <c r="IH180" i="10"/>
  <c r="ID180" i="10"/>
  <c r="IE180" i="10"/>
  <c r="IC180" i="10"/>
  <c r="IG181" i="10"/>
  <c r="IH181" i="10"/>
  <c r="ID181" i="10"/>
  <c r="IE181" i="10"/>
  <c r="IC181" i="10"/>
  <c r="IG182" i="10"/>
  <c r="IH182" i="10"/>
  <c r="ID182" i="10"/>
  <c r="IE182" i="10"/>
  <c r="IC182" i="10"/>
  <c r="IG183" i="10"/>
  <c r="IH183" i="10"/>
  <c r="ID183" i="10"/>
  <c r="IE183" i="10"/>
  <c r="IC183" i="10"/>
  <c r="IG184" i="10"/>
  <c r="IH184" i="10"/>
  <c r="ID184" i="10"/>
  <c r="IE184" i="10"/>
  <c r="IC184" i="10"/>
  <c r="IG185" i="10"/>
  <c r="IH185" i="10"/>
  <c r="ID185" i="10"/>
  <c r="IE185" i="10"/>
  <c r="IC185" i="10"/>
  <c r="IG186" i="10"/>
  <c r="IH186" i="10"/>
  <c r="ID186" i="10"/>
  <c r="IE186" i="10"/>
  <c r="IC186" i="10"/>
  <c r="IG187" i="10"/>
  <c r="IH187" i="10"/>
  <c r="ID187" i="10"/>
  <c r="IE187" i="10"/>
  <c r="IC187" i="10"/>
  <c r="IG188" i="10"/>
  <c r="IH188" i="10"/>
  <c r="ID188" i="10"/>
  <c r="IE188" i="10"/>
  <c r="IC188" i="10"/>
  <c r="IG189" i="10"/>
  <c r="IH189" i="10"/>
  <c r="ID189" i="10"/>
  <c r="IE189" i="10"/>
  <c r="IC189" i="10"/>
  <c r="IG190" i="10"/>
  <c r="IH190" i="10"/>
  <c r="ID190" i="10"/>
  <c r="IE190" i="10"/>
  <c r="IC190" i="10"/>
  <c r="IG191" i="10"/>
  <c r="IH191" i="10"/>
  <c r="ID191" i="10"/>
  <c r="IE191" i="10"/>
  <c r="IC191" i="10"/>
  <c r="IG192" i="10"/>
  <c r="IH192" i="10"/>
  <c r="ID192" i="10"/>
  <c r="IE192" i="10"/>
  <c r="IC192" i="10"/>
  <c r="IG193" i="10"/>
  <c r="IH193" i="10"/>
  <c r="ID193" i="10"/>
  <c r="IE193" i="10"/>
  <c r="IC193" i="10"/>
  <c r="IG194" i="10"/>
  <c r="IH194" i="10"/>
  <c r="ID194" i="10"/>
  <c r="IE194" i="10"/>
  <c r="IC194" i="10"/>
  <c r="IG195" i="10"/>
  <c r="IH195" i="10"/>
  <c r="ID195" i="10"/>
  <c r="IE195" i="10"/>
  <c r="IC195" i="10"/>
  <c r="IG196" i="10"/>
  <c r="IH196" i="10"/>
  <c r="ID196" i="10"/>
  <c r="IE196" i="10"/>
  <c r="IC196" i="10"/>
  <c r="IG197" i="10"/>
  <c r="IH197" i="10"/>
  <c r="ID197" i="10"/>
  <c r="IE197" i="10"/>
  <c r="IC197" i="10"/>
  <c r="IG198" i="10"/>
  <c r="IH198" i="10"/>
  <c r="ID198" i="10"/>
  <c r="IE198" i="10"/>
  <c r="IC198" i="10"/>
  <c r="IG199" i="10"/>
  <c r="IH199" i="10"/>
  <c r="ID199" i="10"/>
  <c r="IE199" i="10"/>
  <c r="IC199" i="10"/>
  <c r="IG200" i="10"/>
  <c r="IH200" i="10"/>
  <c r="ID200" i="10"/>
  <c r="IE200" i="10"/>
  <c r="IC200" i="10"/>
  <c r="IG201" i="10"/>
  <c r="IH201" i="10"/>
  <c r="ID201" i="10"/>
  <c r="IE201" i="10"/>
  <c r="IC201" i="10"/>
  <c r="IG202" i="10"/>
  <c r="IH202" i="10"/>
  <c r="ID202" i="10"/>
  <c r="IE202" i="10"/>
  <c r="IC202" i="10"/>
  <c r="IG203" i="10"/>
  <c r="IH203" i="10"/>
  <c r="ID203" i="10"/>
  <c r="IE203" i="10"/>
  <c r="IC203" i="10"/>
  <c r="IG204" i="10"/>
  <c r="IH204" i="10"/>
  <c r="ID204" i="10"/>
  <c r="IE204" i="10"/>
  <c r="IC204" i="10"/>
  <c r="IG205" i="10"/>
  <c r="IH205" i="10"/>
  <c r="ID205" i="10"/>
  <c r="IE205" i="10"/>
  <c r="IC205" i="10"/>
  <c r="IG206" i="10"/>
  <c r="IH206" i="10"/>
  <c r="ID206" i="10"/>
  <c r="IE206" i="10"/>
  <c r="IC206" i="10"/>
  <c r="IG207" i="10"/>
  <c r="IH207" i="10"/>
  <c r="ID207" i="10"/>
  <c r="IE207" i="10"/>
  <c r="IC207" i="10"/>
  <c r="IG208" i="10"/>
  <c r="IH208" i="10"/>
  <c r="ID208" i="10"/>
  <c r="IE208" i="10"/>
  <c r="IC208" i="10"/>
  <c r="IG209" i="10"/>
  <c r="IH209" i="10"/>
  <c r="ID209" i="10"/>
  <c r="IE209" i="10"/>
  <c r="IC209" i="10"/>
  <c r="IG210" i="10"/>
  <c r="IH210" i="10"/>
  <c r="ID210" i="10"/>
  <c r="IE210" i="10"/>
  <c r="IC210" i="10"/>
  <c r="IG211" i="10"/>
  <c r="IH211" i="10"/>
  <c r="ID211" i="10"/>
  <c r="IE211" i="10"/>
  <c r="IC211" i="10"/>
  <c r="IG212" i="10"/>
  <c r="IH212" i="10"/>
  <c r="ID212" i="10"/>
  <c r="IE212" i="10"/>
  <c r="IC212" i="10"/>
  <c r="IG213" i="10"/>
  <c r="IH213" i="10"/>
  <c r="ID213" i="10"/>
  <c r="IE213" i="10"/>
  <c r="IC213" i="10"/>
  <c r="IG214" i="10"/>
  <c r="IH214" i="10"/>
  <c r="ID214" i="10"/>
  <c r="IE214" i="10"/>
  <c r="IC214" i="10"/>
  <c r="IG215" i="10"/>
  <c r="IH215" i="10"/>
  <c r="ID215" i="10"/>
  <c r="IE215" i="10"/>
  <c r="IC215" i="10"/>
  <c r="IG216" i="10"/>
  <c r="IH216" i="10"/>
  <c r="ID216" i="10"/>
  <c r="IE216" i="10"/>
  <c r="IC216" i="10"/>
  <c r="IG217" i="10"/>
  <c r="IH217" i="10"/>
  <c r="ID217" i="10"/>
  <c r="IE217" i="10"/>
  <c r="IC217" i="10"/>
  <c r="IG218" i="10"/>
  <c r="IH218" i="10"/>
  <c r="ID218" i="10"/>
  <c r="IE218" i="10"/>
  <c r="IC218" i="10"/>
  <c r="IG219" i="10"/>
  <c r="IH219" i="10"/>
  <c r="ID219" i="10"/>
  <c r="IE219" i="10"/>
  <c r="IC219" i="10"/>
  <c r="IG220" i="10"/>
  <c r="IH220" i="10"/>
  <c r="ID220" i="10"/>
  <c r="IE220" i="10"/>
  <c r="IC220" i="10"/>
  <c r="IG221" i="10"/>
  <c r="IH221" i="10"/>
  <c r="ID221" i="10"/>
  <c r="IE221" i="10"/>
  <c r="IC221" i="10"/>
  <c r="IG222" i="10"/>
  <c r="IH222" i="10"/>
  <c r="ID222" i="10"/>
  <c r="IE222" i="10"/>
  <c r="IC222" i="10"/>
  <c r="IG223" i="10"/>
  <c r="IH223" i="10"/>
  <c r="ID223" i="10"/>
  <c r="IE223" i="10"/>
  <c r="IC223" i="10"/>
  <c r="IG224" i="10"/>
  <c r="IH224" i="10"/>
  <c r="ID224" i="10"/>
  <c r="IE224" i="10"/>
  <c r="IC224" i="10"/>
  <c r="IG225" i="10"/>
  <c r="IH225" i="10"/>
  <c r="ID225" i="10"/>
  <c r="IE225" i="10"/>
  <c r="IC225" i="10"/>
  <c r="IG226" i="10"/>
  <c r="IH226" i="10"/>
  <c r="ID226" i="10"/>
  <c r="IE226" i="10"/>
  <c r="IC226" i="10"/>
  <c r="IG227" i="10"/>
  <c r="IH227" i="10"/>
  <c r="ID227" i="10"/>
  <c r="IE227" i="10"/>
  <c r="IC227" i="10"/>
  <c r="IG228" i="10"/>
  <c r="IH228" i="10"/>
  <c r="ID228" i="10"/>
  <c r="IE228" i="10"/>
  <c r="IC228" i="10"/>
  <c r="IG229" i="10"/>
  <c r="IH229" i="10"/>
  <c r="ID229" i="10"/>
  <c r="IE229" i="10"/>
  <c r="IC229" i="10"/>
  <c r="IG230" i="10"/>
  <c r="IH230" i="10"/>
  <c r="ID230" i="10"/>
  <c r="IE230" i="10"/>
  <c r="IC230" i="10"/>
  <c r="IG231" i="10"/>
  <c r="IH231" i="10"/>
  <c r="ID231" i="10"/>
  <c r="IE231" i="10"/>
  <c r="IC231" i="10"/>
  <c r="IG232" i="10"/>
  <c r="IH232" i="10"/>
  <c r="ID232" i="10"/>
  <c r="IE232" i="10"/>
  <c r="IC232" i="10"/>
  <c r="IG233" i="10"/>
  <c r="IH233" i="10"/>
  <c r="ID233" i="10"/>
  <c r="IE233" i="10"/>
  <c r="IC233" i="10"/>
  <c r="IG234" i="10"/>
  <c r="IH234" i="10"/>
  <c r="ID234" i="10"/>
  <c r="IE234" i="10"/>
  <c r="IC234" i="10"/>
  <c r="IG235" i="10"/>
  <c r="IH235" i="10"/>
  <c r="ID235" i="10"/>
  <c r="IE235" i="10"/>
  <c r="IC235" i="10"/>
  <c r="IG236" i="10"/>
  <c r="IH236" i="10"/>
  <c r="ID236" i="10"/>
  <c r="IE236" i="10"/>
  <c r="IC236" i="10"/>
  <c r="IG237" i="10"/>
  <c r="IH237" i="10"/>
  <c r="ID237" i="10"/>
  <c r="IE237" i="10"/>
  <c r="IC237" i="10"/>
  <c r="IG238" i="10"/>
  <c r="IH238" i="10"/>
  <c r="ID238" i="10"/>
  <c r="IE238" i="10"/>
  <c r="IC238" i="10"/>
  <c r="IG239" i="10"/>
  <c r="IH239" i="10"/>
  <c r="ID239" i="10"/>
  <c r="IE239" i="10"/>
  <c r="IC239" i="10"/>
  <c r="IG240" i="10"/>
  <c r="IH240" i="10"/>
  <c r="ID240" i="10"/>
  <c r="IE240" i="10"/>
  <c r="IC240" i="10"/>
  <c r="IG241" i="10"/>
  <c r="IH241" i="10"/>
  <c r="ID241" i="10"/>
  <c r="IE241" i="10"/>
  <c r="IC241" i="10"/>
  <c r="IG242" i="10"/>
  <c r="IH242" i="10"/>
  <c r="ID242" i="10"/>
  <c r="IE242" i="10"/>
  <c r="IC242" i="10"/>
  <c r="IG243" i="10"/>
  <c r="IH243" i="10"/>
  <c r="ID243" i="10"/>
  <c r="IE243" i="10"/>
  <c r="IC243" i="10"/>
  <c r="IG244" i="10"/>
  <c r="IH244" i="10"/>
  <c r="ID244" i="10"/>
  <c r="IE244" i="10"/>
  <c r="IC244" i="10"/>
  <c r="IG245" i="10"/>
  <c r="IH245" i="10"/>
  <c r="IC245" i="10"/>
  <c r="ID245" i="10"/>
  <c r="IE245" i="10"/>
  <c r="IG246" i="10"/>
  <c r="IH246" i="10"/>
  <c r="IC246" i="10"/>
  <c r="ID246" i="10"/>
  <c r="IE246" i="10"/>
  <c r="IG247" i="10"/>
  <c r="IH247" i="10"/>
  <c r="IC247" i="10"/>
  <c r="ID247" i="10"/>
  <c r="IE247" i="10"/>
  <c r="IG248" i="10"/>
  <c r="IH248" i="10"/>
  <c r="IC248" i="10"/>
  <c r="ID248" i="10"/>
  <c r="IE248" i="10"/>
  <c r="IG249" i="10"/>
  <c r="IH249" i="10"/>
  <c r="IC249" i="10"/>
  <c r="ID249" i="10"/>
  <c r="IE249" i="10"/>
  <c r="IG250" i="10"/>
  <c r="IH250" i="10"/>
  <c r="IC250" i="10"/>
  <c r="ID250" i="10"/>
  <c r="IE250" i="10"/>
  <c r="IG251" i="10"/>
  <c r="IH251" i="10"/>
  <c r="IC251" i="10"/>
  <c r="ID251" i="10"/>
  <c r="IE251" i="10"/>
  <c r="IG252" i="10"/>
  <c r="IH252" i="10"/>
  <c r="IC252" i="10"/>
  <c r="ID252" i="10"/>
  <c r="IE252" i="10"/>
  <c r="IG253" i="10"/>
  <c r="IH253" i="10"/>
  <c r="IC253" i="10"/>
  <c r="ID253" i="10"/>
  <c r="IE253" i="10"/>
  <c r="IG254" i="10"/>
  <c r="IH254" i="10"/>
  <c r="IC254" i="10"/>
  <c r="ID254" i="10"/>
  <c r="IE254" i="10"/>
  <c r="IG255" i="10"/>
  <c r="IH255" i="10"/>
  <c r="IC255" i="10"/>
  <c r="ID255" i="10"/>
  <c r="IE255" i="10"/>
  <c r="IG256" i="10"/>
  <c r="IH256" i="10"/>
  <c r="IC256" i="10"/>
  <c r="ID256" i="10"/>
  <c r="IE256" i="10"/>
  <c r="IG257" i="10"/>
  <c r="IH257" i="10"/>
  <c r="IC257" i="10"/>
  <c r="ID257" i="10"/>
  <c r="IE257" i="10"/>
  <c r="IG258" i="10"/>
  <c r="IH258" i="10"/>
  <c r="IC258" i="10"/>
  <c r="ID258" i="10"/>
  <c r="IE258" i="10"/>
  <c r="IG259" i="10"/>
  <c r="IH259" i="10"/>
  <c r="IC259" i="10"/>
  <c r="ID259" i="10"/>
  <c r="IE259" i="10"/>
  <c r="IG260" i="10"/>
  <c r="IH260" i="10"/>
  <c r="IC260" i="10"/>
  <c r="ID260" i="10"/>
  <c r="IE260" i="10"/>
  <c r="IG261" i="10"/>
  <c r="IH261" i="10"/>
  <c r="IC261" i="10"/>
  <c r="ID261" i="10"/>
  <c r="IE261" i="10"/>
  <c r="IG262" i="10"/>
  <c r="IH262" i="10"/>
  <c r="IC262" i="10"/>
  <c r="ID262" i="10"/>
  <c r="IE262" i="10"/>
  <c r="IG263" i="10"/>
  <c r="IH263" i="10"/>
  <c r="IC263" i="10"/>
  <c r="ID263" i="10"/>
  <c r="IE263" i="10"/>
  <c r="IG264" i="10"/>
  <c r="IH264" i="10"/>
  <c r="IC264" i="10"/>
  <c r="ID264" i="10"/>
  <c r="IE264" i="10"/>
  <c r="IG265" i="10"/>
  <c r="IH265" i="10"/>
  <c r="IC265" i="10"/>
  <c r="ID265" i="10"/>
  <c r="IE265" i="10"/>
  <c r="IG266" i="10"/>
  <c r="IH266" i="10"/>
  <c r="IC266" i="10"/>
  <c r="ID266" i="10"/>
  <c r="IE266" i="10"/>
  <c r="IG267" i="10"/>
  <c r="IH267" i="10"/>
  <c r="IC267" i="10"/>
  <c r="ID267" i="10"/>
  <c r="IE267" i="10"/>
  <c r="IG268" i="10"/>
  <c r="IH268" i="10"/>
  <c r="IC268" i="10"/>
  <c r="ID268" i="10"/>
  <c r="IE268" i="10"/>
  <c r="IG269" i="10"/>
  <c r="IH269" i="10"/>
  <c r="IC269" i="10"/>
  <c r="ID269" i="10"/>
  <c r="IE269" i="10"/>
  <c r="IG270" i="10"/>
  <c r="IH270" i="10"/>
  <c r="IC270" i="10"/>
  <c r="ID270" i="10"/>
  <c r="IE270" i="10"/>
  <c r="IG271" i="10"/>
  <c r="IH271" i="10"/>
  <c r="IC271" i="10"/>
  <c r="ID271" i="10"/>
  <c r="IE271" i="10"/>
  <c r="IG272" i="10"/>
  <c r="IH272" i="10"/>
  <c r="IC272" i="10"/>
  <c r="ID272" i="10"/>
  <c r="IE272" i="10"/>
  <c r="IG273" i="10"/>
  <c r="IH273" i="10"/>
  <c r="IC273" i="10"/>
  <c r="ID273" i="10"/>
  <c r="IE273" i="10"/>
  <c r="IG274" i="10"/>
  <c r="IH274" i="10"/>
  <c r="IC274" i="10"/>
  <c r="ID274" i="10"/>
  <c r="IE274" i="10"/>
  <c r="IG275" i="10"/>
  <c r="IH275" i="10"/>
  <c r="IC275" i="10"/>
  <c r="ID275" i="10"/>
  <c r="IE275" i="10"/>
  <c r="IG276" i="10"/>
  <c r="IH276" i="10"/>
  <c r="IC276" i="10"/>
  <c r="ID276" i="10"/>
  <c r="IE276" i="10"/>
  <c r="IG277" i="10"/>
  <c r="IH277" i="10"/>
  <c r="IC277" i="10"/>
  <c r="ID277" i="10"/>
  <c r="IE277" i="10"/>
  <c r="IG278" i="10"/>
  <c r="IH278" i="10"/>
  <c r="IC278" i="10"/>
  <c r="ID278" i="10"/>
  <c r="IE278" i="10"/>
  <c r="IG279" i="10"/>
  <c r="IH279" i="10"/>
  <c r="IC279" i="10"/>
  <c r="ID279" i="10"/>
  <c r="IE279" i="10"/>
  <c r="IG280" i="10"/>
  <c r="IH280" i="10"/>
  <c r="IC280" i="10"/>
  <c r="ID280" i="10"/>
  <c r="IE280" i="10"/>
  <c r="IG281" i="10"/>
  <c r="IH281" i="10"/>
  <c r="IC281" i="10"/>
  <c r="ID281" i="10"/>
  <c r="IE281" i="10"/>
  <c r="IG282" i="10"/>
  <c r="IH282" i="10"/>
  <c r="IC282" i="10"/>
  <c r="ID282" i="10"/>
  <c r="IE282" i="10"/>
  <c r="IG283" i="10"/>
  <c r="IH283" i="10"/>
  <c r="IC283" i="10"/>
  <c r="ID283" i="10"/>
  <c r="IE283" i="10"/>
  <c r="IG284" i="10"/>
  <c r="IH284" i="10"/>
  <c r="IC284" i="10"/>
  <c r="ID284" i="10"/>
  <c r="IE284" i="10"/>
  <c r="IG285" i="10"/>
  <c r="IH285" i="10"/>
  <c r="IC285" i="10"/>
  <c r="ID285" i="10"/>
  <c r="IE285" i="10"/>
  <c r="IG286" i="10"/>
  <c r="IH286" i="10"/>
  <c r="IC286" i="10"/>
  <c r="ID286" i="10"/>
  <c r="IE286" i="10"/>
  <c r="IG287" i="10"/>
  <c r="IH287" i="10"/>
  <c r="IC287" i="10"/>
  <c r="ID287" i="10"/>
  <c r="IE287" i="10"/>
  <c r="IG288" i="10"/>
  <c r="IH288" i="10"/>
  <c r="IC288" i="10"/>
  <c r="ID288" i="10"/>
  <c r="IE288" i="10"/>
  <c r="IG289" i="10"/>
  <c r="IH289" i="10"/>
  <c r="IC289" i="10"/>
  <c r="ID289" i="10"/>
  <c r="IE289" i="10"/>
  <c r="IG290" i="10"/>
  <c r="IH290" i="10"/>
  <c r="IC290" i="10"/>
  <c r="ID290" i="10"/>
  <c r="IE290" i="10"/>
  <c r="IG291" i="10"/>
  <c r="IH291" i="10"/>
  <c r="IC291" i="10"/>
  <c r="ID291" i="10"/>
  <c r="IE291" i="10"/>
  <c r="IG292" i="10"/>
  <c r="IH292" i="10"/>
  <c r="IC292" i="10"/>
  <c r="ID292" i="10"/>
  <c r="IE292" i="10"/>
  <c r="IG293" i="10"/>
  <c r="IH293" i="10"/>
  <c r="IC293" i="10"/>
  <c r="ID293" i="10"/>
  <c r="IE293" i="10"/>
  <c r="IG294" i="10"/>
  <c r="IH294" i="10"/>
  <c r="IC294" i="10"/>
  <c r="ID294" i="10"/>
  <c r="IE294" i="10"/>
  <c r="IG295" i="10"/>
  <c r="IH295" i="10"/>
  <c r="IC295" i="10"/>
  <c r="ID295" i="10"/>
  <c r="IE295" i="10"/>
  <c r="IG296" i="10"/>
  <c r="IH296" i="10"/>
  <c r="IC296" i="10"/>
  <c r="ID296" i="10"/>
  <c r="IE296" i="10"/>
  <c r="IG297" i="10"/>
  <c r="IH297" i="10"/>
  <c r="IC297" i="10"/>
  <c r="ID297" i="10"/>
  <c r="IE297" i="10"/>
  <c r="IG298" i="10"/>
  <c r="IH298" i="10"/>
  <c r="IC298" i="10"/>
  <c r="ID298" i="10"/>
  <c r="IE298" i="10"/>
  <c r="IG299" i="10"/>
  <c r="IH299" i="10"/>
  <c r="IC299" i="10"/>
  <c r="ID299" i="10"/>
  <c r="IE299" i="10"/>
  <c r="IG300" i="10"/>
  <c r="IH300" i="10"/>
  <c r="IC300" i="10"/>
  <c r="ID300" i="10"/>
  <c r="IE300" i="10"/>
  <c r="IG301" i="10"/>
  <c r="IH301" i="10"/>
  <c r="IC301" i="10"/>
  <c r="ID301" i="10"/>
  <c r="IE301" i="10"/>
  <c r="IG302" i="10"/>
  <c r="IH302" i="10"/>
  <c r="IC302" i="10"/>
  <c r="ID302" i="10"/>
  <c r="IE302" i="10"/>
  <c r="IG303" i="10"/>
  <c r="IH303" i="10"/>
  <c r="IC303" i="10"/>
  <c r="ID303" i="10"/>
  <c r="IE303" i="10"/>
  <c r="IG304" i="10"/>
  <c r="IH304" i="10"/>
  <c r="IC304" i="10"/>
  <c r="ID304" i="10"/>
  <c r="IE304" i="10"/>
  <c r="IG305" i="10"/>
  <c r="IH305" i="10"/>
  <c r="IC305" i="10"/>
  <c r="ID305" i="10"/>
  <c r="IE305" i="10"/>
  <c r="IG306" i="10"/>
  <c r="IH306" i="10"/>
  <c r="IC306" i="10"/>
  <c r="ID306" i="10"/>
  <c r="IE306" i="10"/>
  <c r="IG307" i="10"/>
  <c r="IH307" i="10"/>
  <c r="IC307" i="10"/>
  <c r="ID307" i="10"/>
  <c r="IE307" i="10"/>
  <c r="IG308" i="10"/>
  <c r="IH308" i="10"/>
  <c r="IC308" i="10"/>
  <c r="ID308" i="10"/>
  <c r="IE308" i="10"/>
  <c r="IG309" i="10"/>
  <c r="IH309" i="10"/>
  <c r="IC309" i="10"/>
  <c r="ID309" i="10"/>
  <c r="IE309" i="10"/>
  <c r="IG310" i="10"/>
  <c r="IH310" i="10"/>
  <c r="IC310" i="10"/>
  <c r="ID310" i="10"/>
  <c r="IE310" i="10"/>
  <c r="IG311" i="10"/>
  <c r="IH311" i="10"/>
  <c r="IC311" i="10"/>
  <c r="ID311" i="10"/>
  <c r="IE311" i="10"/>
  <c r="IG312" i="10"/>
  <c r="IH312" i="10"/>
  <c r="IC312" i="10"/>
  <c r="ID312" i="10"/>
  <c r="IE312" i="10"/>
  <c r="IG313" i="10"/>
  <c r="IH313" i="10"/>
  <c r="IC313" i="10"/>
  <c r="ID313" i="10"/>
  <c r="IE313" i="10"/>
  <c r="IG314" i="10"/>
  <c r="IH314" i="10"/>
  <c r="IC314" i="10"/>
  <c r="ID314" i="10"/>
  <c r="IE314" i="10"/>
  <c r="IG315" i="10"/>
  <c r="IH315" i="10"/>
  <c r="IC315" i="10"/>
  <c r="ID315" i="10"/>
  <c r="IE315" i="10"/>
  <c r="IG316" i="10"/>
  <c r="IH316" i="10"/>
  <c r="IC316" i="10"/>
  <c r="ID316" i="10"/>
  <c r="IE316" i="10"/>
  <c r="IG317" i="10"/>
  <c r="IH317" i="10"/>
  <c r="IC317" i="10"/>
  <c r="ID317" i="10"/>
  <c r="IE317" i="10"/>
  <c r="IG318" i="10"/>
  <c r="IH318" i="10"/>
  <c r="IC318" i="10"/>
  <c r="ID318" i="10"/>
  <c r="IE318" i="10"/>
  <c r="IG319" i="10"/>
  <c r="IH319" i="10"/>
  <c r="IC319" i="10"/>
  <c r="ID319" i="10"/>
  <c r="IE319" i="10"/>
  <c r="IG320" i="10"/>
  <c r="IH320" i="10"/>
  <c r="IC320" i="10"/>
  <c r="ID320" i="10"/>
  <c r="IE320" i="10"/>
  <c r="IG321" i="10"/>
  <c r="IH321" i="10"/>
  <c r="IC321" i="10"/>
  <c r="ID321" i="10"/>
  <c r="IE321" i="10"/>
  <c r="IG322" i="10"/>
  <c r="IH322" i="10"/>
  <c r="IC322" i="10"/>
  <c r="ID322" i="10"/>
  <c r="IE322" i="10"/>
  <c r="IG323" i="10"/>
  <c r="IH323" i="10"/>
  <c r="IC323" i="10"/>
  <c r="ID323" i="10"/>
  <c r="IE323" i="10"/>
  <c r="IG324" i="10"/>
  <c r="IH324" i="10"/>
  <c r="IC324" i="10"/>
  <c r="ID324" i="10"/>
  <c r="IE324" i="10"/>
  <c r="IG325" i="10"/>
  <c r="IH325" i="10"/>
  <c r="IC325" i="10"/>
  <c r="ID325" i="10"/>
  <c r="IE325" i="10"/>
  <c r="IG326" i="10"/>
  <c r="IH326" i="10"/>
  <c r="IC326" i="10"/>
  <c r="ID326" i="10"/>
  <c r="IE326" i="10"/>
  <c r="IG327" i="10"/>
  <c r="IH327" i="10"/>
  <c r="IC327" i="10"/>
  <c r="ID327" i="10"/>
  <c r="IE327" i="10"/>
  <c r="IG328" i="10"/>
  <c r="IH328" i="10"/>
  <c r="IC328" i="10"/>
  <c r="ID328" i="10"/>
  <c r="IE328" i="10"/>
  <c r="IG329" i="10"/>
  <c r="IH329" i="10"/>
  <c r="IC329" i="10"/>
  <c r="ID329" i="10"/>
  <c r="IE329" i="10"/>
  <c r="IG330" i="10"/>
  <c r="IH330" i="10"/>
  <c r="IC330" i="10"/>
  <c r="ID330" i="10"/>
  <c r="IE330" i="10"/>
  <c r="IG331" i="10"/>
  <c r="IH331" i="10"/>
  <c r="IC331" i="10"/>
  <c r="ID331" i="10"/>
  <c r="IE331" i="10"/>
  <c r="IG332" i="10"/>
  <c r="IH332" i="10"/>
  <c r="IC332" i="10"/>
  <c r="ID332" i="10"/>
  <c r="IE332" i="10"/>
  <c r="IG333" i="10"/>
  <c r="IH333" i="10"/>
  <c r="IC333" i="10"/>
  <c r="ID333" i="10"/>
  <c r="IE333" i="10"/>
  <c r="IG334" i="10"/>
  <c r="IH334" i="10"/>
  <c r="IC334" i="10"/>
  <c r="ID334" i="10"/>
  <c r="IE334" i="10"/>
  <c r="IG335" i="10"/>
  <c r="IH335" i="10"/>
  <c r="IC335" i="10"/>
  <c r="ID335" i="10"/>
  <c r="IE335" i="10"/>
  <c r="IG336" i="10"/>
  <c r="IH336" i="10"/>
  <c r="IC336" i="10"/>
  <c r="ID336" i="10"/>
  <c r="IE336" i="10"/>
  <c r="IG337" i="10"/>
  <c r="IH337" i="10"/>
  <c r="IC337" i="10"/>
  <c r="ID337" i="10"/>
  <c r="IE337" i="10"/>
  <c r="IG338" i="10"/>
  <c r="IH338" i="10"/>
  <c r="IC338" i="10"/>
  <c r="ID338" i="10"/>
  <c r="IE338" i="10"/>
  <c r="IG339" i="10"/>
  <c r="IH339" i="10"/>
  <c r="IC339" i="10"/>
  <c r="ID339" i="10"/>
  <c r="IE339" i="10"/>
  <c r="IG340" i="10"/>
  <c r="IH340" i="10"/>
  <c r="IC340" i="10"/>
  <c r="ID340" i="10"/>
  <c r="IE340" i="10"/>
  <c r="IG341" i="10"/>
  <c r="IH341" i="10"/>
  <c r="IC341" i="10"/>
  <c r="ID341" i="10"/>
  <c r="IE341" i="10"/>
  <c r="IG342" i="10"/>
  <c r="IH342" i="10"/>
  <c r="IC342" i="10"/>
  <c r="ID342" i="10"/>
  <c r="IE342" i="10"/>
  <c r="IG343" i="10"/>
  <c r="IH343" i="10"/>
  <c r="IC343" i="10"/>
  <c r="ID343" i="10"/>
  <c r="IE343" i="10"/>
  <c r="IG344" i="10"/>
  <c r="IH344" i="10"/>
  <c r="IC344" i="10"/>
  <c r="ID344" i="10"/>
  <c r="IE344" i="10"/>
  <c r="IG345" i="10"/>
  <c r="IH345" i="10"/>
  <c r="IC345" i="10"/>
  <c r="ID345" i="10"/>
  <c r="IE345" i="10"/>
  <c r="IG346" i="10"/>
  <c r="IH346" i="10"/>
  <c r="IC346" i="10"/>
  <c r="ID346" i="10"/>
  <c r="IE346" i="10"/>
  <c r="IG347" i="10"/>
  <c r="IH347" i="10"/>
  <c r="IC347" i="10"/>
  <c r="ID347" i="10"/>
  <c r="IE347" i="10"/>
  <c r="IG348" i="10"/>
  <c r="IH348" i="10"/>
  <c r="IC348" i="10"/>
  <c r="ID348" i="10"/>
  <c r="IE348" i="10"/>
  <c r="IG349" i="10"/>
  <c r="IH349" i="10"/>
  <c r="IC349" i="10"/>
  <c r="ID349" i="10"/>
  <c r="IE349" i="10"/>
  <c r="IG350" i="10"/>
  <c r="IH350" i="10"/>
  <c r="IC350" i="10"/>
  <c r="ID350" i="10"/>
  <c r="IE350" i="10"/>
  <c r="IG351" i="10"/>
  <c r="IH351" i="10"/>
  <c r="IC351" i="10"/>
  <c r="ID351" i="10"/>
  <c r="IE351" i="10"/>
  <c r="IG352" i="10"/>
  <c r="IH352" i="10"/>
  <c r="IC352" i="10"/>
  <c r="ID352" i="10"/>
  <c r="IE352" i="10"/>
  <c r="IG353" i="10"/>
  <c r="IH353" i="10"/>
  <c r="IC353" i="10"/>
  <c r="ID353" i="10"/>
  <c r="IE353" i="10"/>
  <c r="IG354" i="10"/>
  <c r="IH354" i="10"/>
  <c r="IC354" i="10"/>
  <c r="ID354" i="10"/>
  <c r="IE354" i="10"/>
  <c r="IG355" i="10"/>
  <c r="IH355" i="10"/>
  <c r="IC355" i="10"/>
  <c r="ID355" i="10"/>
  <c r="IE355" i="10"/>
  <c r="IG356" i="10"/>
  <c r="IH356" i="10"/>
  <c r="IC356" i="10"/>
  <c r="ID356" i="10"/>
  <c r="IE356" i="10"/>
  <c r="IG357" i="10"/>
  <c r="IH357" i="10"/>
  <c r="IC357" i="10"/>
  <c r="ID357" i="10"/>
  <c r="IE357" i="10"/>
  <c r="IG358" i="10"/>
  <c r="IH358" i="10"/>
  <c r="IC358" i="10"/>
  <c r="ID358" i="10"/>
  <c r="IE358" i="10"/>
  <c r="IG359" i="10"/>
  <c r="IH359" i="10"/>
  <c r="IC359" i="10"/>
  <c r="ID359" i="10"/>
  <c r="IE359" i="10"/>
  <c r="IG360" i="10"/>
  <c r="IH360" i="10"/>
  <c r="IC360" i="10"/>
  <c r="ID360" i="10"/>
  <c r="IE360" i="10"/>
  <c r="IG361" i="10"/>
  <c r="IH361" i="10"/>
  <c r="IC361" i="10"/>
  <c r="ID361" i="10"/>
  <c r="IE361" i="10"/>
  <c r="IG362" i="10"/>
  <c r="IH362" i="10"/>
  <c r="IC362" i="10"/>
  <c r="ID362" i="10"/>
  <c r="IE362" i="10"/>
  <c r="IG363" i="10"/>
  <c r="IH363" i="10"/>
  <c r="IC363" i="10"/>
  <c r="ID363" i="10"/>
  <c r="IE363" i="10"/>
  <c r="IG364" i="10"/>
  <c r="IH364" i="10"/>
  <c r="IC364" i="10"/>
  <c r="ID364" i="10"/>
  <c r="IE364" i="10"/>
  <c r="IG365" i="10"/>
  <c r="IH365" i="10"/>
  <c r="IC365" i="10"/>
  <c r="ID365" i="10"/>
  <c r="IE365" i="10"/>
  <c r="IG366" i="10"/>
  <c r="IH366" i="10"/>
  <c r="IC366" i="10"/>
  <c r="ID366" i="10"/>
  <c r="IE366" i="10"/>
  <c r="IG367" i="10"/>
  <c r="IH367" i="10"/>
  <c r="IC367" i="10"/>
  <c r="ID367" i="10"/>
  <c r="IE367" i="10"/>
  <c r="IG368" i="10"/>
  <c r="IH368" i="10"/>
  <c r="IC368" i="10"/>
  <c r="ID368" i="10"/>
  <c r="IE368" i="10"/>
  <c r="IG369" i="10"/>
  <c r="IH369" i="10"/>
  <c r="IC369" i="10"/>
  <c r="ID369" i="10"/>
  <c r="IE369" i="10"/>
  <c r="IG370" i="10"/>
  <c r="IH370" i="10"/>
  <c r="IC370" i="10"/>
  <c r="ID370" i="10"/>
  <c r="IE370" i="10"/>
  <c r="IG371" i="10"/>
  <c r="IH371" i="10"/>
  <c r="IC371" i="10"/>
  <c r="ID371" i="10"/>
  <c r="IE371" i="10"/>
  <c r="IG372" i="10"/>
  <c r="IH372" i="10"/>
  <c r="IC372" i="10"/>
  <c r="ID372" i="10"/>
  <c r="IE372" i="10"/>
  <c r="IG373" i="10"/>
  <c r="IH373" i="10"/>
  <c r="IC373" i="10"/>
  <c r="ID373" i="10"/>
  <c r="IE373" i="10"/>
  <c r="IG374" i="10"/>
  <c r="IH374" i="10"/>
  <c r="IC374" i="10"/>
  <c r="ID374" i="10"/>
  <c r="IE374" i="10"/>
  <c r="IG375" i="10"/>
  <c r="IH375" i="10"/>
  <c r="IC375" i="10"/>
  <c r="ID375" i="10"/>
  <c r="IE375" i="10"/>
  <c r="IG376" i="10"/>
  <c r="IH376" i="10"/>
  <c r="IC376" i="10"/>
  <c r="ID376" i="10"/>
  <c r="IE376" i="10"/>
  <c r="IG377" i="10"/>
  <c r="IH377" i="10"/>
  <c r="IC377" i="10"/>
  <c r="ID377" i="10"/>
  <c r="IE377" i="10"/>
  <c r="IG378" i="10"/>
  <c r="IH378" i="10"/>
  <c r="IC378" i="10"/>
  <c r="ID378" i="10"/>
  <c r="IE378" i="10"/>
  <c r="IG379" i="10"/>
  <c r="IH379" i="10"/>
  <c r="IC379" i="10"/>
  <c r="ID379" i="10"/>
  <c r="IE379" i="10"/>
  <c r="IG380" i="10"/>
  <c r="IH380" i="10"/>
  <c r="IC380" i="10"/>
  <c r="ID380" i="10"/>
  <c r="IE380" i="10"/>
  <c r="IG381" i="10"/>
  <c r="IH381" i="10"/>
  <c r="IC381" i="10"/>
  <c r="ID381" i="10"/>
  <c r="IE381" i="10"/>
  <c r="IG382" i="10"/>
  <c r="IH382" i="10"/>
  <c r="IC382" i="10"/>
  <c r="ID382" i="10"/>
  <c r="IE382" i="10"/>
  <c r="IG383" i="10"/>
  <c r="IH383" i="10"/>
  <c r="IC383" i="10"/>
  <c r="ID383" i="10"/>
  <c r="IE383" i="10"/>
  <c r="IG384" i="10"/>
  <c r="IH384" i="10"/>
  <c r="IC384" i="10"/>
  <c r="ID384" i="10"/>
  <c r="IE384" i="10"/>
  <c r="IG385" i="10"/>
  <c r="IH385" i="10"/>
  <c r="IC385" i="10"/>
  <c r="ID385" i="10"/>
  <c r="IE385" i="10"/>
  <c r="IG386" i="10"/>
  <c r="IH386" i="10"/>
  <c r="IC386" i="10"/>
  <c r="ID386" i="10"/>
  <c r="IE386" i="10"/>
  <c r="IG387" i="10"/>
  <c r="IH387" i="10"/>
  <c r="IC387" i="10"/>
  <c r="ID387" i="10"/>
  <c r="IE387" i="10"/>
  <c r="IG388" i="10"/>
  <c r="IH388" i="10"/>
  <c r="IC388" i="10"/>
  <c r="ID388" i="10"/>
  <c r="IE388" i="10"/>
  <c r="IG389" i="10"/>
  <c r="IH389" i="10"/>
  <c r="IC389" i="10"/>
  <c r="ID389" i="10"/>
  <c r="IE389" i="10"/>
  <c r="IG390" i="10"/>
  <c r="IH390" i="10"/>
  <c r="IC390" i="10"/>
  <c r="ID390" i="10"/>
  <c r="IE390" i="10"/>
  <c r="IG391" i="10"/>
  <c r="IH391" i="10"/>
  <c r="IC391" i="10"/>
  <c r="ID391" i="10"/>
  <c r="IE391" i="10"/>
  <c r="IG392" i="10"/>
  <c r="IH392" i="10"/>
  <c r="IC392" i="10"/>
  <c r="ID392" i="10"/>
  <c r="IE392" i="10"/>
  <c r="IF22" i="10"/>
  <c r="ID22" i="10"/>
  <c r="IE22" i="10"/>
  <c r="IG22" i="10"/>
  <c r="IH22" i="10"/>
  <c r="E206" i="12"/>
  <c r="F206" i="12"/>
  <c r="D205" i="12"/>
  <c r="D210" i="12"/>
  <c r="E190" i="12"/>
  <c r="D189" i="12"/>
  <c r="C309" i="12"/>
  <c r="C310" i="12"/>
  <c r="C311" i="12"/>
  <c r="C308" i="12"/>
  <c r="L158" i="12"/>
  <c r="K158" i="12"/>
  <c r="F158" i="12"/>
  <c r="L157" i="12"/>
  <c r="K157" i="12"/>
  <c r="F157" i="12"/>
  <c r="L156" i="12"/>
  <c r="K156" i="12"/>
  <c r="F156" i="12"/>
  <c r="AJ385" i="15"/>
  <c r="AK385" i="15"/>
  <c r="AL385" i="15"/>
  <c r="AM385" i="15"/>
  <c r="AJ386" i="15"/>
  <c r="AK386" i="15"/>
  <c r="AL386" i="15"/>
  <c r="AM386" i="15"/>
  <c r="BQ393" i="10"/>
  <c r="G190" i="12"/>
  <c r="H3" i="24"/>
  <c r="B2" i="24"/>
  <c r="L6" i="24"/>
  <c r="K6" i="24"/>
  <c r="I6" i="24"/>
  <c r="J6" i="24"/>
  <c r="H6" i="24"/>
  <c r="G6" i="24"/>
  <c r="E6" i="24"/>
  <c r="C6" i="24"/>
  <c r="D6" i="24"/>
  <c r="B6" i="24"/>
  <c r="AE765" i="23"/>
  <c r="AE766" i="23"/>
  <c r="AE767" i="23"/>
  <c r="AE768" i="23"/>
  <c r="AE769" i="23"/>
  <c r="AE770" i="23"/>
  <c r="AE771" i="23"/>
  <c r="X7" i="10"/>
  <c r="AE772" i="23"/>
  <c r="IA391" i="10"/>
  <c r="IA392" i="10"/>
  <c r="DH391" i="10"/>
  <c r="EJ391" i="10"/>
  <c r="DH392" i="10"/>
  <c r="EJ392" i="10"/>
  <c r="IM392" i="10"/>
  <c r="AE624" i="23"/>
  <c r="AE625" i="23"/>
  <c r="AF623" i="23"/>
  <c r="AF625" i="23"/>
  <c r="AE626" i="23"/>
  <c r="AF624" i="23"/>
  <c r="AE627" i="23"/>
  <c r="AF626" i="23"/>
  <c r="AF627" i="23"/>
  <c r="AE628" i="23"/>
  <c r="AE629" i="23"/>
  <c r="AF628" i="23"/>
  <c r="AF629" i="23"/>
  <c r="AE630" i="23"/>
  <c r="AE631" i="23"/>
  <c r="AF631" i="23"/>
  <c r="AF630" i="23"/>
  <c r="AF519" i="23"/>
  <c r="AF518" i="23"/>
  <c r="AF517" i="23"/>
  <c r="AF516" i="23"/>
  <c r="AF515" i="23"/>
  <c r="AF514" i="23"/>
  <c r="AF513" i="23"/>
  <c r="AE404" i="23"/>
  <c r="AE405" i="23"/>
  <c r="AF403" i="23"/>
  <c r="AF405" i="23"/>
  <c r="AE406" i="23"/>
  <c r="AF404" i="23"/>
  <c r="AE407" i="23"/>
  <c r="AF406" i="23"/>
  <c r="AF407" i="23"/>
  <c r="AE408" i="23"/>
  <c r="AE409" i="23"/>
  <c r="AF409" i="23"/>
  <c r="AF408" i="23"/>
  <c r="AE214" i="23"/>
  <c r="AE215" i="23"/>
  <c r="AF215" i="23"/>
  <c r="AF213" i="23"/>
  <c r="AE24" i="23"/>
  <c r="AE25" i="23"/>
  <c r="AF23" i="23"/>
  <c r="AF214" i="23"/>
  <c r="AF25" i="23"/>
  <c r="AE26" i="23"/>
  <c r="AF24" i="23"/>
  <c r="AE216" i="23"/>
  <c r="AE217" i="23"/>
  <c r="AF217" i="23"/>
  <c r="AF216" i="23"/>
  <c r="AE27" i="23"/>
  <c r="AF26" i="23"/>
  <c r="AF27" i="23"/>
  <c r="AE28" i="23"/>
  <c r="AE29" i="23"/>
  <c r="AF28" i="23"/>
  <c r="AF29" i="23"/>
  <c r="AE30" i="23"/>
  <c r="AE31" i="23"/>
  <c r="AF31" i="23"/>
  <c r="AF30" i="23"/>
  <c r="H377" i="20"/>
  <c r="I377" i="20"/>
  <c r="J377" i="20"/>
  <c r="K377" i="20"/>
  <c r="H378" i="20"/>
  <c r="I378" i="20"/>
  <c r="J378" i="20"/>
  <c r="K378" i="20"/>
  <c r="H379" i="20"/>
  <c r="I379" i="20"/>
  <c r="J379" i="20"/>
  <c r="K379" i="20"/>
  <c r="H380" i="20"/>
  <c r="I380" i="20"/>
  <c r="J380" i="20"/>
  <c r="K380" i="20"/>
  <c r="H381" i="20"/>
  <c r="I381" i="20"/>
  <c r="J381" i="20"/>
  <c r="K381" i="20"/>
  <c r="H382" i="20"/>
  <c r="I382" i="20"/>
  <c r="J382" i="20"/>
  <c r="K382" i="20"/>
  <c r="H383" i="20"/>
  <c r="I383" i="20"/>
  <c r="J383" i="20"/>
  <c r="K383" i="20"/>
  <c r="H384" i="20"/>
  <c r="I384" i="20"/>
  <c r="J384" i="20"/>
  <c r="K384" i="20"/>
  <c r="H385" i="20"/>
  <c r="I385" i="20"/>
  <c r="J385" i="20"/>
  <c r="K385" i="20"/>
  <c r="H386" i="20"/>
  <c r="I386" i="20"/>
  <c r="J386" i="20"/>
  <c r="K386" i="20"/>
  <c r="H387" i="20"/>
  <c r="I387" i="20"/>
  <c r="J387" i="20"/>
  <c r="K387" i="20"/>
  <c r="H388" i="20"/>
  <c r="I388" i="20"/>
  <c r="J388" i="20"/>
  <c r="K388" i="20"/>
  <c r="H389" i="20"/>
  <c r="I389" i="20"/>
  <c r="J389" i="20"/>
  <c r="K389" i="20"/>
  <c r="H390" i="20"/>
  <c r="I390" i="20"/>
  <c r="J390" i="20"/>
  <c r="K390" i="20"/>
  <c r="H391" i="20"/>
  <c r="I391" i="20"/>
  <c r="J391" i="20"/>
  <c r="K391" i="20"/>
  <c r="H392" i="20"/>
  <c r="I392" i="20"/>
  <c r="J392" i="20"/>
  <c r="K392" i="20"/>
  <c r="H393" i="20"/>
  <c r="I393" i="20"/>
  <c r="J393" i="20"/>
  <c r="K393" i="20"/>
  <c r="H394" i="20"/>
  <c r="I394" i="20"/>
  <c r="J394" i="20"/>
  <c r="K394" i="20"/>
  <c r="H395" i="20"/>
  <c r="I395" i="20"/>
  <c r="J395" i="20"/>
  <c r="K395" i="20"/>
  <c r="H396" i="20"/>
  <c r="I396" i="20"/>
  <c r="J396" i="20"/>
  <c r="K396" i="20"/>
  <c r="H397" i="20"/>
  <c r="I397" i="20"/>
  <c r="J397" i="20"/>
  <c r="K397" i="20"/>
  <c r="H398" i="20"/>
  <c r="I398" i="20"/>
  <c r="J398" i="20"/>
  <c r="K398" i="20"/>
  <c r="H399" i="20"/>
  <c r="I399" i="20"/>
  <c r="J399" i="20"/>
  <c r="K399" i="20"/>
  <c r="H400" i="20"/>
  <c r="I400" i="20"/>
  <c r="J400" i="20"/>
  <c r="K400" i="20"/>
  <c r="H376" i="20"/>
  <c r="I376" i="20"/>
  <c r="J376" i="20"/>
  <c r="K376" i="20"/>
  <c r="BQ1" i="10"/>
  <c r="BP393" i="10"/>
  <c r="F5" i="15"/>
  <c r="F6" i="15"/>
  <c r="Q3" i="10"/>
  <c r="BR393" i="10"/>
  <c r="BT393" i="10"/>
  <c r="AJ17" i="15"/>
  <c r="AK17" i="15"/>
  <c r="AL17" i="15"/>
  <c r="AM17" i="15"/>
  <c r="AJ18" i="15"/>
  <c r="AK18" i="15"/>
  <c r="AL18" i="15"/>
  <c r="AM18" i="15"/>
  <c r="AJ19" i="15"/>
  <c r="AK19" i="15"/>
  <c r="AL19" i="15"/>
  <c r="AM19" i="15"/>
  <c r="AJ20" i="15"/>
  <c r="AK20" i="15"/>
  <c r="AL20" i="15"/>
  <c r="AM20" i="15"/>
  <c r="AJ21" i="15"/>
  <c r="AK21" i="15"/>
  <c r="AL21" i="15"/>
  <c r="AM21" i="15"/>
  <c r="AJ22" i="15"/>
  <c r="AK22" i="15"/>
  <c r="AL22" i="15"/>
  <c r="AM22" i="15"/>
  <c r="AJ23" i="15"/>
  <c r="AK23" i="15"/>
  <c r="AL23" i="15"/>
  <c r="AM23" i="15"/>
  <c r="AJ24" i="15"/>
  <c r="AK24" i="15"/>
  <c r="AL24" i="15"/>
  <c r="AM24" i="15"/>
  <c r="AJ25" i="15"/>
  <c r="AK25" i="15"/>
  <c r="AL25" i="15"/>
  <c r="AM25" i="15"/>
  <c r="AJ26" i="15"/>
  <c r="AK26" i="15"/>
  <c r="AL26" i="15"/>
  <c r="AM26" i="15"/>
  <c r="AJ27" i="15"/>
  <c r="AK27" i="15"/>
  <c r="AL27" i="15"/>
  <c r="AM27" i="15"/>
  <c r="AJ28" i="15"/>
  <c r="AK28" i="15"/>
  <c r="AL28" i="15"/>
  <c r="AM28" i="15"/>
  <c r="AJ29" i="15"/>
  <c r="AK29" i="15"/>
  <c r="AL29" i="15"/>
  <c r="AM29" i="15"/>
  <c r="AJ30" i="15"/>
  <c r="AK30" i="15"/>
  <c r="AL30" i="15"/>
  <c r="AM30" i="15"/>
  <c r="AJ31" i="15"/>
  <c r="AK31" i="15"/>
  <c r="AL31" i="15"/>
  <c r="AM31" i="15"/>
  <c r="AJ32" i="15"/>
  <c r="AK32" i="15"/>
  <c r="AL32" i="15"/>
  <c r="AM32" i="15"/>
  <c r="AJ33" i="15"/>
  <c r="AK33" i="15"/>
  <c r="AL33" i="15"/>
  <c r="AM33" i="15"/>
  <c r="AJ34" i="15"/>
  <c r="AK34" i="15"/>
  <c r="AL34" i="15"/>
  <c r="AM34" i="15"/>
  <c r="AJ35" i="15"/>
  <c r="AK35" i="15"/>
  <c r="AL35" i="15"/>
  <c r="AM35" i="15"/>
  <c r="AJ36" i="15"/>
  <c r="AK36" i="15"/>
  <c r="AL36" i="15"/>
  <c r="AM36" i="15"/>
  <c r="AJ37" i="15"/>
  <c r="AK37" i="15"/>
  <c r="AL37" i="15"/>
  <c r="AM37" i="15"/>
  <c r="AJ38" i="15"/>
  <c r="AK38" i="15"/>
  <c r="AL38" i="15"/>
  <c r="AM38" i="15"/>
  <c r="AJ39" i="15"/>
  <c r="AK39" i="15"/>
  <c r="AL39" i="15"/>
  <c r="AM39" i="15"/>
  <c r="AJ40" i="15"/>
  <c r="AK40" i="15"/>
  <c r="AL40" i="15"/>
  <c r="AM40" i="15"/>
  <c r="AJ41" i="15"/>
  <c r="AK41" i="15"/>
  <c r="AL41" i="15"/>
  <c r="AM41" i="15"/>
  <c r="AJ42" i="15"/>
  <c r="AK42" i="15"/>
  <c r="AL42" i="15"/>
  <c r="AM42" i="15"/>
  <c r="AJ43" i="15"/>
  <c r="AK43" i="15"/>
  <c r="AL43" i="15"/>
  <c r="AM43" i="15"/>
  <c r="AJ44" i="15"/>
  <c r="AK44" i="15"/>
  <c r="AL44" i="15"/>
  <c r="AM44" i="15"/>
  <c r="AJ45" i="15"/>
  <c r="AK45" i="15"/>
  <c r="AL45" i="15"/>
  <c r="AM45" i="15"/>
  <c r="AJ46" i="15"/>
  <c r="AK46" i="15"/>
  <c r="AL46" i="15"/>
  <c r="AM46" i="15"/>
  <c r="AJ47" i="15"/>
  <c r="AK47" i="15"/>
  <c r="AL47" i="15"/>
  <c r="AM47" i="15"/>
  <c r="AJ48" i="15"/>
  <c r="AK48" i="15"/>
  <c r="AL48" i="15"/>
  <c r="AM48" i="15"/>
  <c r="AJ49" i="15"/>
  <c r="AK49" i="15"/>
  <c r="AL49" i="15"/>
  <c r="AM49" i="15"/>
  <c r="AJ50" i="15"/>
  <c r="AK50" i="15"/>
  <c r="AL50" i="15"/>
  <c r="AM50" i="15"/>
  <c r="AJ51" i="15"/>
  <c r="AK51" i="15"/>
  <c r="AL51" i="15"/>
  <c r="AM51" i="15"/>
  <c r="AJ52" i="15"/>
  <c r="AK52" i="15"/>
  <c r="AL52" i="15"/>
  <c r="AM52" i="15"/>
  <c r="AJ53" i="15"/>
  <c r="AK53" i="15"/>
  <c r="AL53" i="15"/>
  <c r="AM53" i="15"/>
  <c r="AJ54" i="15"/>
  <c r="AK54" i="15"/>
  <c r="AL54" i="15"/>
  <c r="AM54" i="15"/>
  <c r="AJ55" i="15"/>
  <c r="AK55" i="15"/>
  <c r="AL55" i="15"/>
  <c r="AM55" i="15"/>
  <c r="AJ56" i="15"/>
  <c r="AK56" i="15"/>
  <c r="AL56" i="15"/>
  <c r="AM56" i="15"/>
  <c r="AJ57" i="15"/>
  <c r="AK57" i="15"/>
  <c r="AL57" i="15"/>
  <c r="AM57" i="15"/>
  <c r="AJ58" i="15"/>
  <c r="AK58" i="15"/>
  <c r="AL58" i="15"/>
  <c r="AM58" i="15"/>
  <c r="AJ59" i="15"/>
  <c r="AK59" i="15"/>
  <c r="AL59" i="15"/>
  <c r="AM59" i="15"/>
  <c r="AJ60" i="15"/>
  <c r="AK60" i="15"/>
  <c r="AL60" i="15"/>
  <c r="AM60" i="15"/>
  <c r="AJ61" i="15"/>
  <c r="AK61" i="15"/>
  <c r="AL61" i="15"/>
  <c r="AM61" i="15"/>
  <c r="AJ62" i="15"/>
  <c r="AK62" i="15"/>
  <c r="AL62" i="15"/>
  <c r="AM62" i="15"/>
  <c r="AJ63" i="15"/>
  <c r="AK63" i="15"/>
  <c r="AL63" i="15"/>
  <c r="AM63" i="15"/>
  <c r="AJ64" i="15"/>
  <c r="AK64" i="15"/>
  <c r="AL64" i="15"/>
  <c r="AM64" i="15"/>
  <c r="AJ65" i="15"/>
  <c r="AK65" i="15"/>
  <c r="AL65" i="15"/>
  <c r="AM65" i="15"/>
  <c r="AJ66" i="15"/>
  <c r="AK66" i="15"/>
  <c r="AL66" i="15"/>
  <c r="AM66" i="15"/>
  <c r="AJ67" i="15"/>
  <c r="AK67" i="15"/>
  <c r="AL67" i="15"/>
  <c r="AM67" i="15"/>
  <c r="AJ68" i="15"/>
  <c r="AK68" i="15"/>
  <c r="AL68" i="15"/>
  <c r="AM68" i="15"/>
  <c r="AJ69" i="15"/>
  <c r="AK69" i="15"/>
  <c r="AL69" i="15"/>
  <c r="AM69" i="15"/>
  <c r="AJ70" i="15"/>
  <c r="AK70" i="15"/>
  <c r="AL70" i="15"/>
  <c r="AM70" i="15"/>
  <c r="AJ71" i="15"/>
  <c r="AK71" i="15"/>
  <c r="AL71" i="15"/>
  <c r="AM71" i="15"/>
  <c r="AJ72" i="15"/>
  <c r="AK72" i="15"/>
  <c r="AL72" i="15"/>
  <c r="AM72" i="15"/>
  <c r="AJ73" i="15"/>
  <c r="AK73" i="15"/>
  <c r="AL73" i="15"/>
  <c r="AM73" i="15"/>
  <c r="AJ74" i="15"/>
  <c r="AK74" i="15"/>
  <c r="AL74" i="15"/>
  <c r="AM74" i="15"/>
  <c r="AJ75" i="15"/>
  <c r="AK75" i="15"/>
  <c r="AL75" i="15"/>
  <c r="AM75" i="15"/>
  <c r="AJ76" i="15"/>
  <c r="AK76" i="15"/>
  <c r="AL76" i="15"/>
  <c r="AM76" i="15"/>
  <c r="AJ77" i="15"/>
  <c r="AK77" i="15"/>
  <c r="AL77" i="15"/>
  <c r="AM77" i="15"/>
  <c r="AJ78" i="15"/>
  <c r="AK78" i="15"/>
  <c r="AL78" i="15"/>
  <c r="AM78" i="15"/>
  <c r="AJ79" i="15"/>
  <c r="AK79" i="15"/>
  <c r="AL79" i="15"/>
  <c r="AM79" i="15"/>
  <c r="AJ80" i="15"/>
  <c r="AK80" i="15"/>
  <c r="AL80" i="15"/>
  <c r="AM80" i="15"/>
  <c r="AJ81" i="15"/>
  <c r="AK81" i="15"/>
  <c r="AL81" i="15"/>
  <c r="AM81" i="15"/>
  <c r="AJ82" i="15"/>
  <c r="AK82" i="15"/>
  <c r="AL82" i="15"/>
  <c r="AM82" i="15"/>
  <c r="AJ83" i="15"/>
  <c r="AK83" i="15"/>
  <c r="AL83" i="15"/>
  <c r="AM83" i="15"/>
  <c r="AJ84" i="15"/>
  <c r="AK84" i="15"/>
  <c r="AL84" i="15"/>
  <c r="AM84" i="15"/>
  <c r="AJ85" i="15"/>
  <c r="AK85" i="15"/>
  <c r="AL85" i="15"/>
  <c r="AM85" i="15"/>
  <c r="AJ86" i="15"/>
  <c r="AK86" i="15"/>
  <c r="AL86" i="15"/>
  <c r="AM86" i="15"/>
  <c r="AJ87" i="15"/>
  <c r="AK87" i="15"/>
  <c r="AL87" i="15"/>
  <c r="AM87" i="15"/>
  <c r="AJ88" i="15"/>
  <c r="AK88" i="15"/>
  <c r="AL88" i="15"/>
  <c r="AM88" i="15"/>
  <c r="AJ89" i="15"/>
  <c r="AK89" i="15"/>
  <c r="AL89" i="15"/>
  <c r="AM89" i="15"/>
  <c r="AJ90" i="15"/>
  <c r="AK90" i="15"/>
  <c r="AL90" i="15"/>
  <c r="AM90" i="15"/>
  <c r="AJ91" i="15"/>
  <c r="AK91" i="15"/>
  <c r="AL91" i="15"/>
  <c r="AM91" i="15"/>
  <c r="AJ92" i="15"/>
  <c r="AK92" i="15"/>
  <c r="AL92" i="15"/>
  <c r="AM92" i="15"/>
  <c r="AJ93" i="15"/>
  <c r="AK93" i="15"/>
  <c r="AL93" i="15"/>
  <c r="AM93" i="15"/>
  <c r="AJ94" i="15"/>
  <c r="AK94" i="15"/>
  <c r="AL94" i="15"/>
  <c r="AM94" i="15"/>
  <c r="AJ95" i="15"/>
  <c r="AK95" i="15"/>
  <c r="AL95" i="15"/>
  <c r="AM95" i="15"/>
  <c r="AJ96" i="15"/>
  <c r="AK96" i="15"/>
  <c r="AL96" i="15"/>
  <c r="AM96" i="15"/>
  <c r="AJ97" i="15"/>
  <c r="AK97" i="15"/>
  <c r="AL97" i="15"/>
  <c r="AM97" i="15"/>
  <c r="AJ98" i="15"/>
  <c r="AK98" i="15"/>
  <c r="AL98" i="15"/>
  <c r="AM98" i="15"/>
  <c r="AJ99" i="15"/>
  <c r="AK99" i="15"/>
  <c r="AL99" i="15"/>
  <c r="AM99" i="15"/>
  <c r="AJ100" i="15"/>
  <c r="AK100" i="15"/>
  <c r="AL100" i="15"/>
  <c r="AM100" i="15"/>
  <c r="AJ101" i="15"/>
  <c r="AK101" i="15"/>
  <c r="AL101" i="15"/>
  <c r="AM101" i="15"/>
  <c r="AJ102" i="15"/>
  <c r="AK102" i="15"/>
  <c r="AL102" i="15"/>
  <c r="AM102" i="15"/>
  <c r="AJ103" i="15"/>
  <c r="AK103" i="15"/>
  <c r="AL103" i="15"/>
  <c r="AM103" i="15"/>
  <c r="AJ104" i="15"/>
  <c r="AK104" i="15"/>
  <c r="AL104" i="15"/>
  <c r="AM104" i="15"/>
  <c r="AJ105" i="15"/>
  <c r="AK105" i="15"/>
  <c r="AL105" i="15"/>
  <c r="AM105" i="15"/>
  <c r="AJ106" i="15"/>
  <c r="AK106" i="15"/>
  <c r="AL106" i="15"/>
  <c r="AM106" i="15"/>
  <c r="AJ107" i="15"/>
  <c r="AK107" i="15"/>
  <c r="AL107" i="15"/>
  <c r="AM107" i="15"/>
  <c r="AJ108" i="15"/>
  <c r="AK108" i="15"/>
  <c r="AL108" i="15"/>
  <c r="AM108" i="15"/>
  <c r="AJ109" i="15"/>
  <c r="AK109" i="15"/>
  <c r="AL109" i="15"/>
  <c r="AM109" i="15"/>
  <c r="AJ110" i="15"/>
  <c r="AK110" i="15"/>
  <c r="AL110" i="15"/>
  <c r="AM110" i="15"/>
  <c r="AJ111" i="15"/>
  <c r="AK111" i="15"/>
  <c r="AL111" i="15"/>
  <c r="AM111" i="15"/>
  <c r="AJ112" i="15"/>
  <c r="AK112" i="15"/>
  <c r="AL112" i="15"/>
  <c r="AM112" i="15"/>
  <c r="AJ113" i="15"/>
  <c r="AK113" i="15"/>
  <c r="AL113" i="15"/>
  <c r="AM113" i="15"/>
  <c r="AJ114" i="15"/>
  <c r="AK114" i="15"/>
  <c r="AL114" i="15"/>
  <c r="AM114" i="15"/>
  <c r="AJ115" i="15"/>
  <c r="AK115" i="15"/>
  <c r="AL115" i="15"/>
  <c r="AM115" i="15"/>
  <c r="AJ116" i="15"/>
  <c r="AK116" i="15"/>
  <c r="AL116" i="15"/>
  <c r="AM116" i="15"/>
  <c r="AJ117" i="15"/>
  <c r="AK117" i="15"/>
  <c r="AL117" i="15"/>
  <c r="AM117" i="15"/>
  <c r="AJ118" i="15"/>
  <c r="AK118" i="15"/>
  <c r="AL118" i="15"/>
  <c r="AM118" i="15"/>
  <c r="AJ119" i="15"/>
  <c r="AK119" i="15"/>
  <c r="AL119" i="15"/>
  <c r="AM119" i="15"/>
  <c r="AJ120" i="15"/>
  <c r="AK120" i="15"/>
  <c r="AL120" i="15"/>
  <c r="AM120" i="15"/>
  <c r="AJ121" i="15"/>
  <c r="AK121" i="15"/>
  <c r="AL121" i="15"/>
  <c r="AM121" i="15"/>
  <c r="AJ122" i="15"/>
  <c r="AK122" i="15"/>
  <c r="AL122" i="15"/>
  <c r="AM122" i="15"/>
  <c r="AJ123" i="15"/>
  <c r="AK123" i="15"/>
  <c r="AL123" i="15"/>
  <c r="AM123" i="15"/>
  <c r="AJ124" i="15"/>
  <c r="AK124" i="15"/>
  <c r="AL124" i="15"/>
  <c r="AM124" i="15"/>
  <c r="AJ125" i="15"/>
  <c r="AK125" i="15"/>
  <c r="AL125" i="15"/>
  <c r="AM125" i="15"/>
  <c r="AJ126" i="15"/>
  <c r="AK126" i="15"/>
  <c r="AL126" i="15"/>
  <c r="AM126" i="15"/>
  <c r="AJ127" i="15"/>
  <c r="AK127" i="15"/>
  <c r="AL127" i="15"/>
  <c r="AM127" i="15"/>
  <c r="AJ128" i="15"/>
  <c r="AK128" i="15"/>
  <c r="AL128" i="15"/>
  <c r="AM128" i="15"/>
  <c r="AJ129" i="15"/>
  <c r="AK129" i="15"/>
  <c r="AL129" i="15"/>
  <c r="AM129" i="15"/>
  <c r="AJ130" i="15"/>
  <c r="AK130" i="15"/>
  <c r="AL130" i="15"/>
  <c r="AM130" i="15"/>
  <c r="AJ131" i="15"/>
  <c r="AK131" i="15"/>
  <c r="AL131" i="15"/>
  <c r="AM131" i="15"/>
  <c r="AJ132" i="15"/>
  <c r="AK132" i="15"/>
  <c r="AL132" i="15"/>
  <c r="AM132" i="15"/>
  <c r="AJ133" i="15"/>
  <c r="AK133" i="15"/>
  <c r="AL133" i="15"/>
  <c r="AM133" i="15"/>
  <c r="AJ134" i="15"/>
  <c r="AK134" i="15"/>
  <c r="AL134" i="15"/>
  <c r="AM134" i="15"/>
  <c r="AJ135" i="15"/>
  <c r="AK135" i="15"/>
  <c r="AL135" i="15"/>
  <c r="AM135" i="15"/>
  <c r="AJ136" i="15"/>
  <c r="AK136" i="15"/>
  <c r="AL136" i="15"/>
  <c r="AM136" i="15"/>
  <c r="AJ137" i="15"/>
  <c r="AK137" i="15"/>
  <c r="AL137" i="15"/>
  <c r="AM137" i="15"/>
  <c r="AJ138" i="15"/>
  <c r="AK138" i="15"/>
  <c r="AL138" i="15"/>
  <c r="AM138" i="15"/>
  <c r="AJ139" i="15"/>
  <c r="AK139" i="15"/>
  <c r="AL139" i="15"/>
  <c r="AM139" i="15"/>
  <c r="AJ140" i="15"/>
  <c r="AK140" i="15"/>
  <c r="AL140" i="15"/>
  <c r="AM140" i="15"/>
  <c r="AJ141" i="15"/>
  <c r="AK141" i="15"/>
  <c r="AL141" i="15"/>
  <c r="AM141" i="15"/>
  <c r="AJ142" i="15"/>
  <c r="AK142" i="15"/>
  <c r="AL142" i="15"/>
  <c r="AM142" i="15"/>
  <c r="AJ143" i="15"/>
  <c r="AK143" i="15"/>
  <c r="AL143" i="15"/>
  <c r="AM143" i="15"/>
  <c r="AJ144" i="15"/>
  <c r="AK144" i="15"/>
  <c r="AL144" i="15"/>
  <c r="AM144" i="15"/>
  <c r="AJ145" i="15"/>
  <c r="AK145" i="15"/>
  <c r="AL145" i="15"/>
  <c r="AM145" i="15"/>
  <c r="AJ146" i="15"/>
  <c r="AK146" i="15"/>
  <c r="AL146" i="15"/>
  <c r="AM146" i="15"/>
  <c r="AJ147" i="15"/>
  <c r="AK147" i="15"/>
  <c r="AL147" i="15"/>
  <c r="AM147" i="15"/>
  <c r="AJ148" i="15"/>
  <c r="AK148" i="15"/>
  <c r="AL148" i="15"/>
  <c r="AM148" i="15"/>
  <c r="AJ149" i="15"/>
  <c r="AK149" i="15"/>
  <c r="AL149" i="15"/>
  <c r="AM149" i="15"/>
  <c r="AJ150" i="15"/>
  <c r="AK150" i="15"/>
  <c r="AL150" i="15"/>
  <c r="AM150" i="15"/>
  <c r="AJ151" i="15"/>
  <c r="AK151" i="15"/>
  <c r="AL151" i="15"/>
  <c r="AM151" i="15"/>
  <c r="AJ152" i="15"/>
  <c r="AK152" i="15"/>
  <c r="AL152" i="15"/>
  <c r="AM152" i="15"/>
  <c r="AJ153" i="15"/>
  <c r="AK153" i="15"/>
  <c r="AL153" i="15"/>
  <c r="AM153" i="15"/>
  <c r="AJ154" i="15"/>
  <c r="AK154" i="15"/>
  <c r="AL154" i="15"/>
  <c r="AM154" i="15"/>
  <c r="AJ155" i="15"/>
  <c r="AK155" i="15"/>
  <c r="AL155" i="15"/>
  <c r="AM155" i="15"/>
  <c r="AJ156" i="15"/>
  <c r="AK156" i="15"/>
  <c r="AL156" i="15"/>
  <c r="AM156" i="15"/>
  <c r="AJ157" i="15"/>
  <c r="AK157" i="15"/>
  <c r="AL157" i="15"/>
  <c r="AM157" i="15"/>
  <c r="AJ158" i="15"/>
  <c r="AK158" i="15"/>
  <c r="AL158" i="15"/>
  <c r="AM158" i="15"/>
  <c r="AJ159" i="15"/>
  <c r="AK159" i="15"/>
  <c r="AL159" i="15"/>
  <c r="AM159" i="15"/>
  <c r="AJ160" i="15"/>
  <c r="AK160" i="15"/>
  <c r="AL160" i="15"/>
  <c r="AM160" i="15"/>
  <c r="AJ161" i="15"/>
  <c r="AK161" i="15"/>
  <c r="AL161" i="15"/>
  <c r="AM161" i="15"/>
  <c r="AJ162" i="15"/>
  <c r="AK162" i="15"/>
  <c r="AL162" i="15"/>
  <c r="AM162" i="15"/>
  <c r="AJ163" i="15"/>
  <c r="AK163" i="15"/>
  <c r="AL163" i="15"/>
  <c r="AM163" i="15"/>
  <c r="AJ164" i="15"/>
  <c r="AK164" i="15"/>
  <c r="AL164" i="15"/>
  <c r="AM164" i="15"/>
  <c r="AJ165" i="15"/>
  <c r="AK165" i="15"/>
  <c r="AL165" i="15"/>
  <c r="AM165" i="15"/>
  <c r="AJ166" i="15"/>
  <c r="AK166" i="15"/>
  <c r="AL166" i="15"/>
  <c r="AM166" i="15"/>
  <c r="AJ167" i="15"/>
  <c r="AK167" i="15"/>
  <c r="AL167" i="15"/>
  <c r="AM167" i="15"/>
  <c r="AJ168" i="15"/>
  <c r="AK168" i="15"/>
  <c r="AL168" i="15"/>
  <c r="AM168" i="15"/>
  <c r="AJ169" i="15"/>
  <c r="AK169" i="15"/>
  <c r="AL169" i="15"/>
  <c r="AM169" i="15"/>
  <c r="AJ170" i="15"/>
  <c r="AK170" i="15"/>
  <c r="AL170" i="15"/>
  <c r="AM170" i="15"/>
  <c r="AJ171" i="15"/>
  <c r="AK171" i="15"/>
  <c r="AL171" i="15"/>
  <c r="AM171" i="15"/>
  <c r="AJ172" i="15"/>
  <c r="AK172" i="15"/>
  <c r="AL172" i="15"/>
  <c r="AM172" i="15"/>
  <c r="AJ173" i="15"/>
  <c r="AK173" i="15"/>
  <c r="AL173" i="15"/>
  <c r="AM173" i="15"/>
  <c r="AJ174" i="15"/>
  <c r="AK174" i="15"/>
  <c r="AL174" i="15"/>
  <c r="AM174" i="15"/>
  <c r="AJ175" i="15"/>
  <c r="AK175" i="15"/>
  <c r="AL175" i="15"/>
  <c r="AM175" i="15"/>
  <c r="AJ176" i="15"/>
  <c r="AK176" i="15"/>
  <c r="AL176" i="15"/>
  <c r="AM176" i="15"/>
  <c r="AJ177" i="15"/>
  <c r="AK177" i="15"/>
  <c r="AL177" i="15"/>
  <c r="AM177" i="15"/>
  <c r="AJ178" i="15"/>
  <c r="AK178" i="15"/>
  <c r="AL178" i="15"/>
  <c r="AM178" i="15"/>
  <c r="AJ179" i="15"/>
  <c r="AK179" i="15"/>
  <c r="AL179" i="15"/>
  <c r="AM179" i="15"/>
  <c r="AJ180" i="15"/>
  <c r="AK180" i="15"/>
  <c r="AL180" i="15"/>
  <c r="AM180" i="15"/>
  <c r="AJ181" i="15"/>
  <c r="AK181" i="15"/>
  <c r="AL181" i="15"/>
  <c r="AM181" i="15"/>
  <c r="AJ182" i="15"/>
  <c r="AK182" i="15"/>
  <c r="AL182" i="15"/>
  <c r="AM182" i="15"/>
  <c r="AJ183" i="15"/>
  <c r="AK183" i="15"/>
  <c r="AL183" i="15"/>
  <c r="AM183" i="15"/>
  <c r="AJ184" i="15"/>
  <c r="AK184" i="15"/>
  <c r="AL184" i="15"/>
  <c r="AM184" i="15"/>
  <c r="AJ185" i="15"/>
  <c r="AK185" i="15"/>
  <c r="AL185" i="15"/>
  <c r="AM185" i="15"/>
  <c r="AJ186" i="15"/>
  <c r="AK186" i="15"/>
  <c r="AL186" i="15"/>
  <c r="AM186" i="15"/>
  <c r="AJ187" i="15"/>
  <c r="AK187" i="15"/>
  <c r="AL187" i="15"/>
  <c r="AM187" i="15"/>
  <c r="AJ188" i="15"/>
  <c r="AK188" i="15"/>
  <c r="AL188" i="15"/>
  <c r="AM188" i="15"/>
  <c r="AJ189" i="15"/>
  <c r="AK189" i="15"/>
  <c r="AL189" i="15"/>
  <c r="AM189" i="15"/>
  <c r="AJ190" i="15"/>
  <c r="AK190" i="15"/>
  <c r="AL190" i="15"/>
  <c r="AM190" i="15"/>
  <c r="AJ191" i="15"/>
  <c r="AK191" i="15"/>
  <c r="AL191" i="15"/>
  <c r="AM191" i="15"/>
  <c r="AJ192" i="15"/>
  <c r="AK192" i="15"/>
  <c r="AL192" i="15"/>
  <c r="AM192" i="15"/>
  <c r="AJ193" i="15"/>
  <c r="AK193" i="15"/>
  <c r="AL193" i="15"/>
  <c r="AM193" i="15"/>
  <c r="AJ194" i="15"/>
  <c r="AK194" i="15"/>
  <c r="AL194" i="15"/>
  <c r="AM194" i="15"/>
  <c r="AJ195" i="15"/>
  <c r="AK195" i="15"/>
  <c r="AL195" i="15"/>
  <c r="AM195" i="15"/>
  <c r="AJ196" i="15"/>
  <c r="AK196" i="15"/>
  <c r="AL196" i="15"/>
  <c r="AM196" i="15"/>
  <c r="AJ197" i="15"/>
  <c r="AK197" i="15"/>
  <c r="AL197" i="15"/>
  <c r="AM197" i="15"/>
  <c r="AJ198" i="15"/>
  <c r="AK198" i="15"/>
  <c r="AL198" i="15"/>
  <c r="AM198" i="15"/>
  <c r="AJ199" i="15"/>
  <c r="AK199" i="15"/>
  <c r="AL199" i="15"/>
  <c r="AM199" i="15"/>
  <c r="AJ200" i="15"/>
  <c r="AK200" i="15"/>
  <c r="AL200" i="15"/>
  <c r="AM200" i="15"/>
  <c r="AJ201" i="15"/>
  <c r="AK201" i="15"/>
  <c r="AL201" i="15"/>
  <c r="AM201" i="15"/>
  <c r="AJ202" i="15"/>
  <c r="AK202" i="15"/>
  <c r="AL202" i="15"/>
  <c r="AM202" i="15"/>
  <c r="AJ203" i="15"/>
  <c r="AK203" i="15"/>
  <c r="AL203" i="15"/>
  <c r="AM203" i="15"/>
  <c r="AJ204" i="15"/>
  <c r="AK204" i="15"/>
  <c r="AL204" i="15"/>
  <c r="AM204" i="15"/>
  <c r="AJ205" i="15"/>
  <c r="AK205" i="15"/>
  <c r="AL205" i="15"/>
  <c r="AM205" i="15"/>
  <c r="AJ206" i="15"/>
  <c r="AK206" i="15"/>
  <c r="AL206" i="15"/>
  <c r="AM206" i="15"/>
  <c r="AJ207" i="15"/>
  <c r="AK207" i="15"/>
  <c r="AL207" i="15"/>
  <c r="AM207" i="15"/>
  <c r="AJ208" i="15"/>
  <c r="AK208" i="15"/>
  <c r="AL208" i="15"/>
  <c r="AM208" i="15"/>
  <c r="AJ209" i="15"/>
  <c r="AK209" i="15"/>
  <c r="AL209" i="15"/>
  <c r="AM209" i="15"/>
  <c r="AJ210" i="15"/>
  <c r="AK210" i="15"/>
  <c r="AL210" i="15"/>
  <c r="AM210" i="15"/>
  <c r="AJ211" i="15"/>
  <c r="AK211" i="15"/>
  <c r="AL211" i="15"/>
  <c r="AM211" i="15"/>
  <c r="AJ212" i="15"/>
  <c r="AK212" i="15"/>
  <c r="AL212" i="15"/>
  <c r="AM212" i="15"/>
  <c r="AJ213" i="15"/>
  <c r="AK213" i="15"/>
  <c r="AL213" i="15"/>
  <c r="AM213" i="15"/>
  <c r="AJ214" i="15"/>
  <c r="AK214" i="15"/>
  <c r="AL214" i="15"/>
  <c r="AM214" i="15"/>
  <c r="AJ215" i="15"/>
  <c r="AK215" i="15"/>
  <c r="AL215" i="15"/>
  <c r="AM215" i="15"/>
  <c r="AJ216" i="15"/>
  <c r="AK216" i="15"/>
  <c r="AL216" i="15"/>
  <c r="AM216" i="15"/>
  <c r="AJ217" i="15"/>
  <c r="AK217" i="15"/>
  <c r="AL217" i="15"/>
  <c r="AM217" i="15"/>
  <c r="AJ218" i="15"/>
  <c r="AK218" i="15"/>
  <c r="AL218" i="15"/>
  <c r="AM218" i="15"/>
  <c r="AJ219" i="15"/>
  <c r="AK219" i="15"/>
  <c r="AL219" i="15"/>
  <c r="AM219" i="15"/>
  <c r="AJ220" i="15"/>
  <c r="AK220" i="15"/>
  <c r="AL220" i="15"/>
  <c r="AM220" i="15"/>
  <c r="AJ221" i="15"/>
  <c r="AK221" i="15"/>
  <c r="AL221" i="15"/>
  <c r="AM221" i="15"/>
  <c r="AJ222" i="15"/>
  <c r="AK222" i="15"/>
  <c r="AL222" i="15"/>
  <c r="AM222" i="15"/>
  <c r="AJ223" i="15"/>
  <c r="AK223" i="15"/>
  <c r="AL223" i="15"/>
  <c r="AM223" i="15"/>
  <c r="AJ224" i="15"/>
  <c r="AK224" i="15"/>
  <c r="AL224" i="15"/>
  <c r="AM224" i="15"/>
  <c r="AJ225" i="15"/>
  <c r="AK225" i="15"/>
  <c r="AL225" i="15"/>
  <c r="AM225" i="15"/>
  <c r="AJ226" i="15"/>
  <c r="AK226" i="15"/>
  <c r="AL226" i="15"/>
  <c r="AM226" i="15"/>
  <c r="AJ227" i="15"/>
  <c r="AK227" i="15"/>
  <c r="AL227" i="15"/>
  <c r="AM227" i="15"/>
  <c r="AJ228" i="15"/>
  <c r="AK228" i="15"/>
  <c r="AL228" i="15"/>
  <c r="AM228" i="15"/>
  <c r="AJ229" i="15"/>
  <c r="AK229" i="15"/>
  <c r="AL229" i="15"/>
  <c r="AM229" i="15"/>
  <c r="AJ230" i="15"/>
  <c r="AK230" i="15"/>
  <c r="AL230" i="15"/>
  <c r="AM230" i="15"/>
  <c r="AJ231" i="15"/>
  <c r="AK231" i="15"/>
  <c r="AL231" i="15"/>
  <c r="AM231" i="15"/>
  <c r="AJ232" i="15"/>
  <c r="AK232" i="15"/>
  <c r="AL232" i="15"/>
  <c r="AM232" i="15"/>
  <c r="AJ233" i="15"/>
  <c r="AK233" i="15"/>
  <c r="AL233" i="15"/>
  <c r="AM233" i="15"/>
  <c r="AJ234" i="15"/>
  <c r="AK234" i="15"/>
  <c r="AL234" i="15"/>
  <c r="AM234" i="15"/>
  <c r="AJ235" i="15"/>
  <c r="AK235" i="15"/>
  <c r="AL235" i="15"/>
  <c r="AM235" i="15"/>
  <c r="AJ236" i="15"/>
  <c r="AK236" i="15"/>
  <c r="AL236" i="15"/>
  <c r="AM236" i="15"/>
  <c r="AJ237" i="15"/>
  <c r="AK237" i="15"/>
  <c r="AL237" i="15"/>
  <c r="AM237" i="15"/>
  <c r="AJ238" i="15"/>
  <c r="AK238" i="15"/>
  <c r="AL238" i="15"/>
  <c r="AM238" i="15"/>
  <c r="AJ239" i="15"/>
  <c r="AK239" i="15"/>
  <c r="AL239" i="15"/>
  <c r="AM239" i="15"/>
  <c r="AJ240" i="15"/>
  <c r="AK240" i="15"/>
  <c r="AL240" i="15"/>
  <c r="AM240" i="15"/>
  <c r="AJ241" i="15"/>
  <c r="AK241" i="15"/>
  <c r="AL241" i="15"/>
  <c r="AM241" i="15"/>
  <c r="AJ242" i="15"/>
  <c r="AK242" i="15"/>
  <c r="AL242" i="15"/>
  <c r="AM242" i="15"/>
  <c r="AJ243" i="15"/>
  <c r="AK243" i="15"/>
  <c r="AL243" i="15"/>
  <c r="AM243" i="15"/>
  <c r="AJ244" i="15"/>
  <c r="AK244" i="15"/>
  <c r="AL244" i="15"/>
  <c r="AM244" i="15"/>
  <c r="AJ245" i="15"/>
  <c r="AK245" i="15"/>
  <c r="AL245" i="15"/>
  <c r="AM245" i="15"/>
  <c r="AJ246" i="15"/>
  <c r="AK246" i="15"/>
  <c r="AL246" i="15"/>
  <c r="AM246" i="15"/>
  <c r="AJ247" i="15"/>
  <c r="AK247" i="15"/>
  <c r="AL247" i="15"/>
  <c r="AM247" i="15"/>
  <c r="AJ248" i="15"/>
  <c r="AK248" i="15"/>
  <c r="AL248" i="15"/>
  <c r="AM248" i="15"/>
  <c r="AJ249" i="15"/>
  <c r="AK249" i="15"/>
  <c r="AL249" i="15"/>
  <c r="AM249" i="15"/>
  <c r="AJ250" i="15"/>
  <c r="AK250" i="15"/>
  <c r="AL250" i="15"/>
  <c r="AM250" i="15"/>
  <c r="AJ251" i="15"/>
  <c r="AK251" i="15"/>
  <c r="AL251" i="15"/>
  <c r="AM251" i="15"/>
  <c r="AJ252" i="15"/>
  <c r="AK252" i="15"/>
  <c r="AL252" i="15"/>
  <c r="AM252" i="15"/>
  <c r="AJ253" i="15"/>
  <c r="AK253" i="15"/>
  <c r="AL253" i="15"/>
  <c r="AM253" i="15"/>
  <c r="AJ254" i="15"/>
  <c r="AK254" i="15"/>
  <c r="AL254" i="15"/>
  <c r="AM254" i="15"/>
  <c r="AJ255" i="15"/>
  <c r="AK255" i="15"/>
  <c r="AL255" i="15"/>
  <c r="AM255" i="15"/>
  <c r="AJ256" i="15"/>
  <c r="AK256" i="15"/>
  <c r="AL256" i="15"/>
  <c r="AM256" i="15"/>
  <c r="AJ257" i="15"/>
  <c r="AK257" i="15"/>
  <c r="AL257" i="15"/>
  <c r="AM257" i="15"/>
  <c r="AJ258" i="15"/>
  <c r="AK258" i="15"/>
  <c r="AL258" i="15"/>
  <c r="AM258" i="15"/>
  <c r="AJ259" i="15"/>
  <c r="AK259" i="15"/>
  <c r="AL259" i="15"/>
  <c r="AM259" i="15"/>
  <c r="AJ260" i="15"/>
  <c r="AK260" i="15"/>
  <c r="AL260" i="15"/>
  <c r="AM260" i="15"/>
  <c r="AJ261" i="15"/>
  <c r="AK261" i="15"/>
  <c r="AL261" i="15"/>
  <c r="AM261" i="15"/>
  <c r="AJ262" i="15"/>
  <c r="AK262" i="15"/>
  <c r="AL262" i="15"/>
  <c r="AM262" i="15"/>
  <c r="AJ263" i="15"/>
  <c r="AK263" i="15"/>
  <c r="AL263" i="15"/>
  <c r="AM263" i="15"/>
  <c r="AJ264" i="15"/>
  <c r="AK264" i="15"/>
  <c r="AL264" i="15"/>
  <c r="AM264" i="15"/>
  <c r="AJ265" i="15"/>
  <c r="AK265" i="15"/>
  <c r="AL265" i="15"/>
  <c r="AM265" i="15"/>
  <c r="AJ266" i="15"/>
  <c r="AK266" i="15"/>
  <c r="AL266" i="15"/>
  <c r="AM266" i="15"/>
  <c r="AJ267" i="15"/>
  <c r="AK267" i="15"/>
  <c r="AL267" i="15"/>
  <c r="AM267" i="15"/>
  <c r="AJ268" i="15"/>
  <c r="AK268" i="15"/>
  <c r="AL268" i="15"/>
  <c r="AM268" i="15"/>
  <c r="AJ269" i="15"/>
  <c r="AK269" i="15"/>
  <c r="AL269" i="15"/>
  <c r="AM269" i="15"/>
  <c r="AJ270" i="15"/>
  <c r="AK270" i="15"/>
  <c r="AL270" i="15"/>
  <c r="AM270" i="15"/>
  <c r="AJ271" i="15"/>
  <c r="AK271" i="15"/>
  <c r="AL271" i="15"/>
  <c r="AM271" i="15"/>
  <c r="AJ272" i="15"/>
  <c r="AK272" i="15"/>
  <c r="AL272" i="15"/>
  <c r="AM272" i="15"/>
  <c r="AJ273" i="15"/>
  <c r="AK273" i="15"/>
  <c r="AL273" i="15"/>
  <c r="AM273" i="15"/>
  <c r="AJ274" i="15"/>
  <c r="AK274" i="15"/>
  <c r="AL274" i="15"/>
  <c r="AM274" i="15"/>
  <c r="AJ275" i="15"/>
  <c r="AK275" i="15"/>
  <c r="AL275" i="15"/>
  <c r="AM275" i="15"/>
  <c r="AJ276" i="15"/>
  <c r="AK276" i="15"/>
  <c r="AL276" i="15"/>
  <c r="AM276" i="15"/>
  <c r="AJ277" i="15"/>
  <c r="AK277" i="15"/>
  <c r="AL277" i="15"/>
  <c r="AM277" i="15"/>
  <c r="AJ278" i="15"/>
  <c r="AK278" i="15"/>
  <c r="AL278" i="15"/>
  <c r="AM278" i="15"/>
  <c r="AJ279" i="15"/>
  <c r="AK279" i="15"/>
  <c r="AL279" i="15"/>
  <c r="AM279" i="15"/>
  <c r="AJ280" i="15"/>
  <c r="AK280" i="15"/>
  <c r="AL280" i="15"/>
  <c r="AM280" i="15"/>
  <c r="AJ281" i="15"/>
  <c r="AK281" i="15"/>
  <c r="AL281" i="15"/>
  <c r="AM281" i="15"/>
  <c r="AJ282" i="15"/>
  <c r="AK282" i="15"/>
  <c r="AL282" i="15"/>
  <c r="AM282" i="15"/>
  <c r="AJ283" i="15"/>
  <c r="AK283" i="15"/>
  <c r="AL283" i="15"/>
  <c r="AM283" i="15"/>
  <c r="AJ284" i="15"/>
  <c r="AK284" i="15"/>
  <c r="AL284" i="15"/>
  <c r="AM284" i="15"/>
  <c r="AJ285" i="15"/>
  <c r="AK285" i="15"/>
  <c r="AL285" i="15"/>
  <c r="AM285" i="15"/>
  <c r="AJ286" i="15"/>
  <c r="AK286" i="15"/>
  <c r="AL286" i="15"/>
  <c r="AM286" i="15"/>
  <c r="AJ287" i="15"/>
  <c r="AK287" i="15"/>
  <c r="AL287" i="15"/>
  <c r="AM287" i="15"/>
  <c r="AJ288" i="15"/>
  <c r="AK288" i="15"/>
  <c r="AL288" i="15"/>
  <c r="AM288" i="15"/>
  <c r="AJ289" i="15"/>
  <c r="AK289" i="15"/>
  <c r="AL289" i="15"/>
  <c r="AM289" i="15"/>
  <c r="AJ290" i="15"/>
  <c r="AK290" i="15"/>
  <c r="AL290" i="15"/>
  <c r="AM290" i="15"/>
  <c r="AJ291" i="15"/>
  <c r="AK291" i="15"/>
  <c r="AL291" i="15"/>
  <c r="AM291" i="15"/>
  <c r="AJ292" i="15"/>
  <c r="AK292" i="15"/>
  <c r="AL292" i="15"/>
  <c r="AM292" i="15"/>
  <c r="AJ293" i="15"/>
  <c r="AK293" i="15"/>
  <c r="AL293" i="15"/>
  <c r="AM293" i="15"/>
  <c r="AJ294" i="15"/>
  <c r="AK294" i="15"/>
  <c r="AL294" i="15"/>
  <c r="AM294" i="15"/>
  <c r="AJ295" i="15"/>
  <c r="AK295" i="15"/>
  <c r="AL295" i="15"/>
  <c r="AM295" i="15"/>
  <c r="AJ296" i="15"/>
  <c r="AK296" i="15"/>
  <c r="AL296" i="15"/>
  <c r="AM296" i="15"/>
  <c r="AJ297" i="15"/>
  <c r="AK297" i="15"/>
  <c r="AL297" i="15"/>
  <c r="AM297" i="15"/>
  <c r="AJ298" i="15"/>
  <c r="AK298" i="15"/>
  <c r="AL298" i="15"/>
  <c r="AM298" i="15"/>
  <c r="AJ299" i="15"/>
  <c r="AK299" i="15"/>
  <c r="AL299" i="15"/>
  <c r="AM299" i="15"/>
  <c r="AJ300" i="15"/>
  <c r="AK300" i="15"/>
  <c r="AL300" i="15"/>
  <c r="AM300" i="15"/>
  <c r="AJ301" i="15"/>
  <c r="AK301" i="15"/>
  <c r="AL301" i="15"/>
  <c r="AM301" i="15"/>
  <c r="AJ302" i="15"/>
  <c r="AK302" i="15"/>
  <c r="AL302" i="15"/>
  <c r="AM302" i="15"/>
  <c r="AJ303" i="15"/>
  <c r="AK303" i="15"/>
  <c r="AL303" i="15"/>
  <c r="AM303" i="15"/>
  <c r="AJ304" i="15"/>
  <c r="AK304" i="15"/>
  <c r="AL304" i="15"/>
  <c r="AM304" i="15"/>
  <c r="AJ305" i="15"/>
  <c r="AK305" i="15"/>
  <c r="AL305" i="15"/>
  <c r="AM305" i="15"/>
  <c r="AJ306" i="15"/>
  <c r="AK306" i="15"/>
  <c r="AL306" i="15"/>
  <c r="AM306" i="15"/>
  <c r="AJ307" i="15"/>
  <c r="AK307" i="15"/>
  <c r="AL307" i="15"/>
  <c r="AM307" i="15"/>
  <c r="AJ308" i="15"/>
  <c r="AK308" i="15"/>
  <c r="AL308" i="15"/>
  <c r="AM308" i="15"/>
  <c r="AJ309" i="15"/>
  <c r="AK309" i="15"/>
  <c r="AL309" i="15"/>
  <c r="AM309" i="15"/>
  <c r="AJ310" i="15"/>
  <c r="AK310" i="15"/>
  <c r="AL310" i="15"/>
  <c r="AM310" i="15"/>
  <c r="AJ311" i="15"/>
  <c r="AK311" i="15"/>
  <c r="AL311" i="15"/>
  <c r="AM311" i="15"/>
  <c r="AJ312" i="15"/>
  <c r="AK312" i="15"/>
  <c r="AL312" i="15"/>
  <c r="AM312" i="15"/>
  <c r="AJ313" i="15"/>
  <c r="AK313" i="15"/>
  <c r="AL313" i="15"/>
  <c r="AM313" i="15"/>
  <c r="AJ314" i="15"/>
  <c r="AK314" i="15"/>
  <c r="AL314" i="15"/>
  <c r="AM314" i="15"/>
  <c r="AJ315" i="15"/>
  <c r="AK315" i="15"/>
  <c r="AL315" i="15"/>
  <c r="AM315" i="15"/>
  <c r="AJ316" i="15"/>
  <c r="AK316" i="15"/>
  <c r="AL316" i="15"/>
  <c r="AM316" i="15"/>
  <c r="AJ317" i="15"/>
  <c r="AK317" i="15"/>
  <c r="AL317" i="15"/>
  <c r="AM317" i="15"/>
  <c r="AJ318" i="15"/>
  <c r="AK318" i="15"/>
  <c r="AL318" i="15"/>
  <c r="AM318" i="15"/>
  <c r="AJ319" i="15"/>
  <c r="AK319" i="15"/>
  <c r="AL319" i="15"/>
  <c r="AM319" i="15"/>
  <c r="AJ320" i="15"/>
  <c r="AK320" i="15"/>
  <c r="AL320" i="15"/>
  <c r="AM320" i="15"/>
  <c r="AJ321" i="15"/>
  <c r="AK321" i="15"/>
  <c r="AL321" i="15"/>
  <c r="AM321" i="15"/>
  <c r="AJ322" i="15"/>
  <c r="AK322" i="15"/>
  <c r="AL322" i="15"/>
  <c r="AM322" i="15"/>
  <c r="AJ323" i="15"/>
  <c r="AK323" i="15"/>
  <c r="AL323" i="15"/>
  <c r="AM323" i="15"/>
  <c r="AJ324" i="15"/>
  <c r="AK324" i="15"/>
  <c r="AL324" i="15"/>
  <c r="AM324" i="15"/>
  <c r="AJ325" i="15"/>
  <c r="AK325" i="15"/>
  <c r="AL325" i="15"/>
  <c r="AM325" i="15"/>
  <c r="AJ326" i="15"/>
  <c r="AK326" i="15"/>
  <c r="AL326" i="15"/>
  <c r="AM326" i="15"/>
  <c r="AJ327" i="15"/>
  <c r="AK327" i="15"/>
  <c r="AL327" i="15"/>
  <c r="AM327" i="15"/>
  <c r="AJ328" i="15"/>
  <c r="AK328" i="15"/>
  <c r="AL328" i="15"/>
  <c r="AM328" i="15"/>
  <c r="AJ329" i="15"/>
  <c r="AK329" i="15"/>
  <c r="AL329" i="15"/>
  <c r="AM329" i="15"/>
  <c r="AJ330" i="15"/>
  <c r="AK330" i="15"/>
  <c r="AL330" i="15"/>
  <c r="AM330" i="15"/>
  <c r="AJ331" i="15"/>
  <c r="AK331" i="15"/>
  <c r="AL331" i="15"/>
  <c r="AM331" i="15"/>
  <c r="AJ332" i="15"/>
  <c r="AK332" i="15"/>
  <c r="AL332" i="15"/>
  <c r="AM332" i="15"/>
  <c r="AJ333" i="15"/>
  <c r="AK333" i="15"/>
  <c r="AL333" i="15"/>
  <c r="AM333" i="15"/>
  <c r="AJ334" i="15"/>
  <c r="AK334" i="15"/>
  <c r="AL334" i="15"/>
  <c r="AM334" i="15"/>
  <c r="AJ335" i="15"/>
  <c r="AK335" i="15"/>
  <c r="AL335" i="15"/>
  <c r="AM335" i="15"/>
  <c r="AJ336" i="15"/>
  <c r="AK336" i="15"/>
  <c r="AL336" i="15"/>
  <c r="AM336" i="15"/>
  <c r="AJ337" i="15"/>
  <c r="AK337" i="15"/>
  <c r="AL337" i="15"/>
  <c r="AM337" i="15"/>
  <c r="AJ338" i="15"/>
  <c r="AK338" i="15"/>
  <c r="AL338" i="15"/>
  <c r="AM338" i="15"/>
  <c r="AJ339" i="15"/>
  <c r="AK339" i="15"/>
  <c r="AL339" i="15"/>
  <c r="AM339" i="15"/>
  <c r="AJ340" i="15"/>
  <c r="AK340" i="15"/>
  <c r="AL340" i="15"/>
  <c r="AM340" i="15"/>
  <c r="AJ341" i="15"/>
  <c r="AK341" i="15"/>
  <c r="AL341" i="15"/>
  <c r="AM341" i="15"/>
  <c r="AJ342" i="15"/>
  <c r="AK342" i="15"/>
  <c r="AL342" i="15"/>
  <c r="AM342" i="15"/>
  <c r="AJ343" i="15"/>
  <c r="AK343" i="15"/>
  <c r="AL343" i="15"/>
  <c r="AM343" i="15"/>
  <c r="AJ344" i="15"/>
  <c r="AK344" i="15"/>
  <c r="AL344" i="15"/>
  <c r="AM344" i="15"/>
  <c r="AJ345" i="15"/>
  <c r="AK345" i="15"/>
  <c r="AL345" i="15"/>
  <c r="AM345" i="15"/>
  <c r="AJ346" i="15"/>
  <c r="AK346" i="15"/>
  <c r="AL346" i="15"/>
  <c r="AM346" i="15"/>
  <c r="AJ347" i="15"/>
  <c r="AK347" i="15"/>
  <c r="AL347" i="15"/>
  <c r="AM347" i="15"/>
  <c r="AJ348" i="15"/>
  <c r="AK348" i="15"/>
  <c r="AL348" i="15"/>
  <c r="AM348" i="15"/>
  <c r="AJ349" i="15"/>
  <c r="AK349" i="15"/>
  <c r="AL349" i="15"/>
  <c r="AM349" i="15"/>
  <c r="AJ350" i="15"/>
  <c r="AK350" i="15"/>
  <c r="AL350" i="15"/>
  <c r="AM350" i="15"/>
  <c r="AJ351" i="15"/>
  <c r="AK351" i="15"/>
  <c r="AL351" i="15"/>
  <c r="AM351" i="15"/>
  <c r="AJ352" i="15"/>
  <c r="AK352" i="15"/>
  <c r="AL352" i="15"/>
  <c r="AM352" i="15"/>
  <c r="AJ353" i="15"/>
  <c r="AK353" i="15"/>
  <c r="AL353" i="15"/>
  <c r="AM353" i="15"/>
  <c r="AJ354" i="15"/>
  <c r="AK354" i="15"/>
  <c r="AL354" i="15"/>
  <c r="AM354" i="15"/>
  <c r="AJ355" i="15"/>
  <c r="AK355" i="15"/>
  <c r="AL355" i="15"/>
  <c r="AM355" i="15"/>
  <c r="AJ356" i="15"/>
  <c r="AK356" i="15"/>
  <c r="AL356" i="15"/>
  <c r="AM356" i="15"/>
  <c r="AJ357" i="15"/>
  <c r="AK357" i="15"/>
  <c r="AL357" i="15"/>
  <c r="AM357" i="15"/>
  <c r="AJ358" i="15"/>
  <c r="AK358" i="15"/>
  <c r="AL358" i="15"/>
  <c r="AM358" i="15"/>
  <c r="AJ359" i="15"/>
  <c r="AK359" i="15"/>
  <c r="AL359" i="15"/>
  <c r="AM359" i="15"/>
  <c r="AJ360" i="15"/>
  <c r="AK360" i="15"/>
  <c r="AL360" i="15"/>
  <c r="AM360" i="15"/>
  <c r="AJ361" i="15"/>
  <c r="AK361" i="15"/>
  <c r="AL361" i="15"/>
  <c r="AM361" i="15"/>
  <c r="AJ362" i="15"/>
  <c r="AK362" i="15"/>
  <c r="AL362" i="15"/>
  <c r="AM362" i="15"/>
  <c r="AJ363" i="15"/>
  <c r="AK363" i="15"/>
  <c r="AL363" i="15"/>
  <c r="AM363" i="15"/>
  <c r="AJ364" i="15"/>
  <c r="AK364" i="15"/>
  <c r="AL364" i="15"/>
  <c r="AM364" i="15"/>
  <c r="AJ365" i="15"/>
  <c r="AK365" i="15"/>
  <c r="AL365" i="15"/>
  <c r="AM365" i="15"/>
  <c r="AJ366" i="15"/>
  <c r="AK366" i="15"/>
  <c r="AL366" i="15"/>
  <c r="AM366" i="15"/>
  <c r="AJ367" i="15"/>
  <c r="AK367" i="15"/>
  <c r="AL367" i="15"/>
  <c r="AM367" i="15"/>
  <c r="AJ368" i="15"/>
  <c r="AK368" i="15"/>
  <c r="AL368" i="15"/>
  <c r="AM368" i="15"/>
  <c r="AJ369" i="15"/>
  <c r="AK369" i="15"/>
  <c r="AL369" i="15"/>
  <c r="AM369" i="15"/>
  <c r="AJ370" i="15"/>
  <c r="AK370" i="15"/>
  <c r="AL370" i="15"/>
  <c r="AM370" i="15"/>
  <c r="AJ371" i="15"/>
  <c r="AK371" i="15"/>
  <c r="AL371" i="15"/>
  <c r="AM371" i="15"/>
  <c r="AJ372" i="15"/>
  <c r="AK372" i="15"/>
  <c r="AL372" i="15"/>
  <c r="AM372" i="15"/>
  <c r="AJ373" i="15"/>
  <c r="AK373" i="15"/>
  <c r="AL373" i="15"/>
  <c r="AM373" i="15"/>
  <c r="AJ374" i="15"/>
  <c r="AK374" i="15"/>
  <c r="AL374" i="15"/>
  <c r="AM374" i="15"/>
  <c r="AJ375" i="15"/>
  <c r="AK375" i="15"/>
  <c r="AL375" i="15"/>
  <c r="AM375" i="15"/>
  <c r="AJ376" i="15"/>
  <c r="AK376" i="15"/>
  <c r="AL376" i="15"/>
  <c r="AM376" i="15"/>
  <c r="AJ377" i="15"/>
  <c r="AK377" i="15"/>
  <c r="AL377" i="15"/>
  <c r="AM377" i="15"/>
  <c r="AJ378" i="15"/>
  <c r="AK378" i="15"/>
  <c r="AL378" i="15"/>
  <c r="AM378" i="15"/>
  <c r="AJ379" i="15"/>
  <c r="AK379" i="15"/>
  <c r="AL379" i="15"/>
  <c r="AM379" i="15"/>
  <c r="AJ380" i="15"/>
  <c r="AK380" i="15"/>
  <c r="AL380" i="15"/>
  <c r="AM380" i="15"/>
  <c r="AJ381" i="15"/>
  <c r="AK381" i="15"/>
  <c r="AL381" i="15"/>
  <c r="AM381" i="15"/>
  <c r="AJ382" i="15"/>
  <c r="AK382" i="15"/>
  <c r="AL382" i="15"/>
  <c r="AM382" i="15"/>
  <c r="AJ383" i="15"/>
  <c r="AK383" i="15"/>
  <c r="AL383" i="15"/>
  <c r="AM383" i="15"/>
  <c r="AJ384" i="15"/>
  <c r="AK384" i="15"/>
  <c r="AL384" i="15"/>
  <c r="AM384" i="15"/>
  <c r="AM16" i="15"/>
  <c r="AL16" i="15"/>
  <c r="AK16" i="15"/>
  <c r="AJ16" i="15"/>
  <c r="S95" i="2"/>
  <c r="S94" i="2"/>
  <c r="S98" i="2"/>
  <c r="S96" i="2"/>
  <c r="S93" i="2"/>
  <c r="S91" i="2"/>
  <c r="S97" i="2"/>
  <c r="S100" i="2"/>
  <c r="D76" i="2"/>
  <c r="D75" i="2"/>
  <c r="A69" i="2"/>
  <c r="A70" i="2"/>
  <c r="A71" i="2"/>
  <c r="A72" i="2"/>
  <c r="A73" i="2"/>
  <c r="A74" i="2"/>
  <c r="A75" i="2"/>
  <c r="A76" i="2"/>
  <c r="A77" i="2"/>
  <c r="A78" i="2"/>
  <c r="D74" i="2"/>
  <c r="D73" i="2"/>
  <c r="D72" i="2"/>
  <c r="D71" i="2"/>
  <c r="D70" i="2"/>
  <c r="B70" i="2"/>
  <c r="C5" i="2"/>
  <c r="E5" i="2"/>
  <c r="S69" i="2"/>
  <c r="R69" i="2"/>
  <c r="Q69" i="2"/>
  <c r="P69" i="2"/>
  <c r="D69" i="2"/>
  <c r="C69" i="2"/>
  <c r="W31" i="2"/>
  <c r="B69" i="2"/>
  <c r="C4" i="2"/>
  <c r="E4" i="2"/>
  <c r="B68" i="2"/>
  <c r="C3" i="2"/>
  <c r="E3" i="2"/>
  <c r="S68" i="2"/>
  <c r="R68" i="2"/>
  <c r="Q68" i="2"/>
  <c r="P68" i="2"/>
  <c r="E68" i="2"/>
  <c r="E69" i="2"/>
  <c r="E70" i="2"/>
  <c r="E71" i="2"/>
  <c r="E72" i="2"/>
  <c r="E73" i="2"/>
  <c r="E74" i="2"/>
  <c r="E75" i="2"/>
  <c r="E76" i="2"/>
  <c r="E77" i="2"/>
  <c r="E78" i="2"/>
  <c r="D68" i="2"/>
  <c r="C68" i="2"/>
  <c r="S67" i="2"/>
  <c r="R67" i="2"/>
  <c r="Q67" i="2"/>
  <c r="P67" i="2"/>
  <c r="H33" i="2"/>
  <c r="G33" i="2"/>
  <c r="G32" i="2"/>
  <c r="T31" i="2"/>
  <c r="T33" i="2"/>
  <c r="S31" i="2"/>
  <c r="S33" i="2"/>
  <c r="R31" i="2"/>
  <c r="R32" i="2"/>
  <c r="Q31" i="2"/>
  <c r="Q33" i="2"/>
  <c r="P31" i="2"/>
  <c r="P33" i="2"/>
  <c r="G31" i="2"/>
  <c r="G30" i="2"/>
  <c r="G29" i="2"/>
  <c r="E29" i="2"/>
  <c r="C21" i="2"/>
  <c r="D21" i="2"/>
  <c r="C20" i="2"/>
  <c r="D20" i="2"/>
  <c r="G19" i="2"/>
  <c r="D19" i="2"/>
  <c r="G18" i="2"/>
  <c r="D13" i="2"/>
  <c r="D10" i="2"/>
  <c r="B3" i="2"/>
  <c r="A3" i="2"/>
  <c r="AC59" i="9"/>
  <c r="Z59" i="9"/>
  <c r="W59" i="9"/>
  <c r="X59" i="9"/>
  <c r="J59" i="9"/>
  <c r="G59" i="9"/>
  <c r="Q59" i="9"/>
  <c r="H59" i="9"/>
  <c r="AC58" i="9"/>
  <c r="Z58" i="9"/>
  <c r="W58" i="9"/>
  <c r="X58" i="9"/>
  <c r="J58" i="9"/>
  <c r="G58" i="9"/>
  <c r="Q58" i="9"/>
  <c r="H58" i="9"/>
  <c r="AC57" i="9"/>
  <c r="Z57" i="9"/>
  <c r="W57" i="9"/>
  <c r="X57" i="9"/>
  <c r="J57" i="9"/>
  <c r="G57" i="9"/>
  <c r="Q57" i="9"/>
  <c r="H57" i="9"/>
  <c r="AC56" i="9"/>
  <c r="Z56" i="9"/>
  <c r="W56" i="9"/>
  <c r="X56" i="9"/>
  <c r="J56" i="9"/>
  <c r="G56" i="9"/>
  <c r="Q56" i="9"/>
  <c r="H56" i="9"/>
  <c r="AC55" i="9"/>
  <c r="Z55" i="9"/>
  <c r="W55" i="9"/>
  <c r="X55" i="9"/>
  <c r="J55" i="9"/>
  <c r="G55" i="9"/>
  <c r="Q55" i="9"/>
  <c r="H55" i="9"/>
  <c r="AC54" i="9"/>
  <c r="Z54" i="9"/>
  <c r="W54" i="9"/>
  <c r="X54" i="9"/>
  <c r="J54" i="9"/>
  <c r="G54" i="9"/>
  <c r="Q54" i="9"/>
  <c r="H54" i="9"/>
  <c r="AC53" i="9"/>
  <c r="Z53" i="9"/>
  <c r="W53" i="9"/>
  <c r="X53" i="9"/>
  <c r="J53" i="9"/>
  <c r="G53" i="9"/>
  <c r="Q53" i="9"/>
  <c r="H53" i="9"/>
  <c r="E52" i="9"/>
  <c r="E53" i="9"/>
  <c r="E54" i="9"/>
  <c r="E55" i="9"/>
  <c r="E56" i="9"/>
  <c r="E57" i="9"/>
  <c r="E58" i="9"/>
  <c r="E59" i="9"/>
  <c r="AC52" i="9"/>
  <c r="Z52" i="9"/>
  <c r="W52" i="9"/>
  <c r="X52" i="9"/>
  <c r="U52" i="9"/>
  <c r="U53" i="9"/>
  <c r="U54" i="9"/>
  <c r="U55" i="9"/>
  <c r="U56" i="9"/>
  <c r="U57" i="9"/>
  <c r="U58" i="9"/>
  <c r="U59" i="9"/>
  <c r="J52" i="9"/>
  <c r="G52" i="9"/>
  <c r="Q52" i="9"/>
  <c r="H52" i="9"/>
  <c r="AC51" i="9"/>
  <c r="Z51" i="9"/>
  <c r="W51" i="9"/>
  <c r="X51" i="9"/>
  <c r="J51" i="9"/>
  <c r="G51" i="9"/>
  <c r="H51" i="9"/>
  <c r="AC36" i="9"/>
  <c r="Z36" i="9"/>
  <c r="W36" i="9"/>
  <c r="X36" i="9"/>
  <c r="J36" i="9"/>
  <c r="G36" i="9"/>
  <c r="H36" i="9"/>
  <c r="AC35" i="9"/>
  <c r="Z35" i="9"/>
  <c r="W35" i="9"/>
  <c r="X35" i="9"/>
  <c r="J35" i="9"/>
  <c r="G35" i="9"/>
  <c r="H35" i="9"/>
  <c r="AC34" i="9"/>
  <c r="Z34" i="9"/>
  <c r="W34" i="9"/>
  <c r="J34" i="9"/>
  <c r="G34" i="9"/>
  <c r="AC33" i="9"/>
  <c r="Z33" i="9"/>
  <c r="W33" i="9"/>
  <c r="X33" i="9"/>
  <c r="J33" i="9"/>
  <c r="G33" i="9"/>
  <c r="H33" i="9"/>
  <c r="AC32" i="9"/>
  <c r="Z32" i="9"/>
  <c r="W32" i="9"/>
  <c r="J32" i="9"/>
  <c r="G32" i="9"/>
  <c r="AC31" i="9"/>
  <c r="Z31" i="9"/>
  <c r="W31" i="9"/>
  <c r="X31" i="9"/>
  <c r="J31" i="9"/>
  <c r="G31" i="9"/>
  <c r="H31" i="9"/>
  <c r="AC30" i="9"/>
  <c r="Z30" i="9"/>
  <c r="W30" i="9"/>
  <c r="J30" i="9"/>
  <c r="G30" i="9"/>
  <c r="AC29" i="9"/>
  <c r="Z29" i="9"/>
  <c r="W29" i="9"/>
  <c r="X29" i="9"/>
  <c r="J29" i="9"/>
  <c r="G29" i="9"/>
  <c r="H29" i="9"/>
  <c r="AC28" i="9"/>
  <c r="Z28" i="9"/>
  <c r="W28" i="9"/>
  <c r="J28" i="9"/>
  <c r="G28" i="9"/>
  <c r="AC27" i="9"/>
  <c r="Z27" i="9"/>
  <c r="W27" i="9"/>
  <c r="J27" i="9"/>
  <c r="G27" i="9"/>
  <c r="AC26" i="9"/>
  <c r="Z26" i="9"/>
  <c r="W26" i="9"/>
  <c r="X26" i="9"/>
  <c r="J26" i="9"/>
  <c r="G26" i="9"/>
  <c r="AC25" i="9"/>
  <c r="Z25" i="9"/>
  <c r="W25" i="9"/>
  <c r="X25" i="9"/>
  <c r="J25" i="9"/>
  <c r="G25" i="9"/>
  <c r="AC24" i="9"/>
  <c r="Z24" i="9"/>
  <c r="W24" i="9"/>
  <c r="X24" i="9"/>
  <c r="J24" i="9"/>
  <c r="G24" i="9"/>
  <c r="H24" i="9"/>
  <c r="AC23" i="9"/>
  <c r="Z23" i="9"/>
  <c r="W23" i="9"/>
  <c r="X23" i="9"/>
  <c r="J23" i="9"/>
  <c r="G23" i="9"/>
  <c r="H23" i="9"/>
  <c r="AC22" i="9"/>
  <c r="Z22" i="9"/>
  <c r="W22" i="9"/>
  <c r="X22" i="9"/>
  <c r="J22" i="9"/>
  <c r="G22" i="9"/>
  <c r="H22" i="9"/>
  <c r="AC21" i="9"/>
  <c r="Z21" i="9"/>
  <c r="W21" i="9"/>
  <c r="X21" i="9"/>
  <c r="J21" i="9"/>
  <c r="G21" i="9"/>
  <c r="H21" i="9"/>
  <c r="AC20" i="9"/>
  <c r="Z20" i="9"/>
  <c r="W20" i="9"/>
  <c r="J20" i="9"/>
  <c r="G20" i="9"/>
  <c r="H20" i="9"/>
  <c r="AC19" i="9"/>
  <c r="Z19" i="9"/>
  <c r="W19" i="9"/>
  <c r="J19" i="9"/>
  <c r="G19" i="9"/>
  <c r="AC18" i="9"/>
  <c r="Z18" i="9"/>
  <c r="W18" i="9"/>
  <c r="J18" i="9"/>
  <c r="G18" i="9"/>
  <c r="AC17" i="9"/>
  <c r="Z17" i="9"/>
  <c r="W17" i="9"/>
  <c r="U17" i="9"/>
  <c r="U18" i="9"/>
  <c r="U19" i="9"/>
  <c r="U20" i="9"/>
  <c r="U21" i="9"/>
  <c r="U22" i="9"/>
  <c r="U23" i="9"/>
  <c r="U24" i="9"/>
  <c r="J17" i="9"/>
  <c r="G17" i="9"/>
  <c r="H17" i="9"/>
  <c r="E17" i="9"/>
  <c r="E18" i="9"/>
  <c r="E19" i="9"/>
  <c r="E20" i="9"/>
  <c r="E21" i="9"/>
  <c r="E22" i="9"/>
  <c r="E23" i="9"/>
  <c r="E24" i="9"/>
  <c r="AC16" i="9"/>
  <c r="Z16" i="9"/>
  <c r="W16" i="9"/>
  <c r="J16" i="9"/>
  <c r="G16" i="9"/>
  <c r="AC15" i="9"/>
  <c r="Z15" i="9"/>
  <c r="W15" i="9"/>
  <c r="G15" i="9"/>
  <c r="H15" i="9"/>
  <c r="AC14" i="9"/>
  <c r="Z14" i="9"/>
  <c r="W14" i="9"/>
  <c r="G14" i="9"/>
  <c r="AC13" i="9"/>
  <c r="Z13" i="9"/>
  <c r="W13" i="9"/>
  <c r="J13" i="9"/>
  <c r="G13" i="9"/>
  <c r="AC12" i="9"/>
  <c r="Z12" i="9"/>
  <c r="W12" i="9"/>
  <c r="X12" i="9"/>
  <c r="J12" i="9"/>
  <c r="G12" i="9"/>
  <c r="AC11" i="9"/>
  <c r="Z11" i="9"/>
  <c r="W11" i="9"/>
  <c r="J11" i="9"/>
  <c r="G11" i="9"/>
  <c r="AC10" i="9"/>
  <c r="Z10" i="9"/>
  <c r="W10" i="9"/>
  <c r="X10" i="9"/>
  <c r="J10" i="9"/>
  <c r="G10" i="9"/>
  <c r="AC9" i="9"/>
  <c r="Z9" i="9"/>
  <c r="W9" i="9"/>
  <c r="X9" i="9"/>
  <c r="J9" i="9"/>
  <c r="G9" i="9"/>
  <c r="AC8" i="9"/>
  <c r="Z8" i="9"/>
  <c r="W8" i="9"/>
  <c r="X8" i="9"/>
  <c r="U8" i="9"/>
  <c r="U9" i="9"/>
  <c r="U10" i="9"/>
  <c r="U11" i="9"/>
  <c r="U12" i="9"/>
  <c r="U13" i="9"/>
  <c r="U14" i="9"/>
  <c r="U15" i="9"/>
  <c r="J8" i="9"/>
  <c r="G8" i="9"/>
  <c r="H8" i="9"/>
  <c r="E8" i="9"/>
  <c r="E9" i="9"/>
  <c r="E10" i="9"/>
  <c r="E11" i="9"/>
  <c r="E12" i="9"/>
  <c r="E13" i="9"/>
  <c r="E14" i="9"/>
  <c r="E15" i="9"/>
  <c r="AC7" i="9"/>
  <c r="Z7" i="9"/>
  <c r="W7" i="9"/>
  <c r="J7" i="9"/>
  <c r="G7" i="9"/>
  <c r="D311" i="12"/>
  <c r="D310" i="12"/>
  <c r="D309" i="12"/>
  <c r="D308" i="12"/>
  <c r="H28" i="9"/>
  <c r="H30" i="9"/>
  <c r="H32" i="9"/>
  <c r="H34" i="9"/>
  <c r="H7" i="9"/>
  <c r="H10" i="9"/>
  <c r="H12" i="9"/>
  <c r="H14" i="9"/>
  <c r="X16" i="9"/>
  <c r="H18" i="9"/>
  <c r="X18" i="9"/>
  <c r="X20" i="9"/>
  <c r="H25" i="9"/>
  <c r="H27" i="9"/>
  <c r="Q51" i="9"/>
  <c r="X7" i="9"/>
  <c r="H11" i="9"/>
  <c r="X11" i="9"/>
  <c r="H19" i="9"/>
  <c r="X19" i="9"/>
  <c r="H26" i="9"/>
  <c r="X28" i="9"/>
  <c r="X32" i="9"/>
  <c r="H9" i="9"/>
  <c r="H13" i="9"/>
  <c r="X13" i="9"/>
  <c r="X14" i="9"/>
  <c r="X15" i="9"/>
  <c r="H16" i="9"/>
  <c r="X17" i="9"/>
  <c r="X30" i="9"/>
  <c r="X34" i="9"/>
  <c r="X31" i="2"/>
  <c r="X33" i="2"/>
  <c r="S92" i="2"/>
  <c r="S99" i="2"/>
  <c r="D5" i="2"/>
  <c r="HY392" i="10"/>
  <c r="IA122" i="10"/>
  <c r="DH122" i="10"/>
  <c r="IA123" i="10"/>
  <c r="DH123" i="10"/>
  <c r="DH124" i="10"/>
  <c r="IA124" i="10"/>
  <c r="IA125" i="10"/>
  <c r="DH125" i="10"/>
  <c r="IA126" i="10"/>
  <c r="DH126" i="10"/>
  <c r="DH127" i="10"/>
  <c r="IA127" i="10"/>
  <c r="DH128" i="10"/>
  <c r="IA128" i="10"/>
  <c r="IA129" i="10"/>
  <c r="DH129" i="10"/>
  <c r="IA130" i="10"/>
  <c r="DH130" i="10"/>
  <c r="IA131" i="10"/>
  <c r="DH131" i="10"/>
  <c r="IA132" i="10"/>
  <c r="DH132" i="10"/>
  <c r="DH133" i="10"/>
  <c r="IA133" i="10"/>
  <c r="IA134" i="10"/>
  <c r="DH134" i="10"/>
  <c r="IA135" i="10"/>
  <c r="DH135" i="10"/>
  <c r="IA136" i="10"/>
  <c r="DH136" i="10"/>
  <c r="IA137" i="10"/>
  <c r="DH137" i="10"/>
  <c r="DH138" i="10"/>
  <c r="IA138" i="10"/>
  <c r="IA139" i="10"/>
  <c r="DH139" i="10"/>
  <c r="DH140" i="10"/>
  <c r="IA140" i="10"/>
  <c r="IA141" i="10"/>
  <c r="DH141" i="10"/>
  <c r="DH142" i="10"/>
  <c r="IA142" i="10"/>
  <c r="IA143" i="10"/>
  <c r="DH143" i="10"/>
  <c r="DH144" i="10"/>
  <c r="IA144" i="10"/>
  <c r="IA145" i="10"/>
  <c r="DH145" i="10"/>
  <c r="IA146" i="10"/>
  <c r="DH146" i="10"/>
  <c r="IA147" i="10"/>
  <c r="DH147" i="10"/>
  <c r="DH148" i="10"/>
  <c r="IA148" i="10"/>
  <c r="DH149" i="10"/>
  <c r="IA149" i="10"/>
  <c r="DH150" i="10"/>
  <c r="IA150" i="10"/>
  <c r="IA151" i="10"/>
  <c r="DH151" i="10"/>
  <c r="IA152" i="10"/>
  <c r="DH152" i="10"/>
  <c r="IA153" i="10"/>
  <c r="DH153" i="10"/>
  <c r="DH154" i="10"/>
  <c r="IA154" i="10"/>
  <c r="DH155" i="10"/>
  <c r="IA155" i="10"/>
  <c r="IA156" i="10"/>
  <c r="DH156" i="10"/>
  <c r="DH157" i="10"/>
  <c r="IA157" i="10"/>
  <c r="IA158" i="10"/>
  <c r="DH158" i="10"/>
  <c r="DH159" i="10"/>
  <c r="IA159" i="10"/>
  <c r="DH160" i="10"/>
  <c r="IA160" i="10"/>
  <c r="DH161" i="10"/>
  <c r="IA161" i="10"/>
  <c r="IA162" i="10"/>
  <c r="DH162" i="10"/>
  <c r="IA163" i="10"/>
  <c r="DH163" i="10"/>
  <c r="IA164" i="10"/>
  <c r="DH164" i="10"/>
  <c r="IA165" i="10"/>
  <c r="DH165" i="10"/>
  <c r="IA166" i="10"/>
  <c r="DH166" i="10"/>
  <c r="DH167" i="10"/>
  <c r="IA167" i="10"/>
  <c r="IA168" i="10"/>
  <c r="DH168" i="10"/>
  <c r="IA169" i="10"/>
  <c r="DH169" i="10"/>
  <c r="IA170" i="10"/>
  <c r="DH170" i="10"/>
  <c r="IA171" i="10"/>
  <c r="DH171" i="10"/>
  <c r="DH172" i="10"/>
  <c r="IA172" i="10"/>
  <c r="IA173" i="10"/>
  <c r="DH173" i="10"/>
  <c r="DH174" i="10"/>
  <c r="IA174" i="10"/>
  <c r="IA175" i="10"/>
  <c r="DH175" i="10"/>
  <c r="IA176" i="10"/>
  <c r="DH176" i="10"/>
  <c r="IA177" i="10"/>
  <c r="DH177" i="10"/>
  <c r="IA178" i="10"/>
  <c r="DH178" i="10"/>
  <c r="IA179" i="10"/>
  <c r="DH179" i="10"/>
  <c r="DH180" i="10"/>
  <c r="IA180" i="10"/>
  <c r="DH181" i="10"/>
  <c r="IA181" i="10"/>
  <c r="IA182" i="10"/>
  <c r="DH182" i="10"/>
  <c r="DH183" i="10"/>
  <c r="IA183" i="10"/>
  <c r="DH184" i="10"/>
  <c r="IA184" i="10"/>
  <c r="IA185" i="10"/>
  <c r="DH185" i="10"/>
  <c r="DH186" i="10"/>
  <c r="IA186" i="10"/>
  <c r="DH187" i="10"/>
  <c r="IA187" i="10"/>
  <c r="IA188" i="10"/>
  <c r="DH188" i="10"/>
  <c r="DH189" i="10"/>
  <c r="IA189" i="10"/>
  <c r="DH190" i="10"/>
  <c r="IA190" i="10"/>
  <c r="IA191" i="10"/>
  <c r="DH191" i="10"/>
  <c r="IA192" i="10"/>
  <c r="DH192" i="10"/>
  <c r="IA193" i="10"/>
  <c r="DH193" i="10"/>
  <c r="DH194" i="10"/>
  <c r="IA194" i="10"/>
  <c r="IA195" i="10"/>
  <c r="DH195" i="10"/>
  <c r="IA196" i="10"/>
  <c r="DH196" i="10"/>
  <c r="IA197" i="10"/>
  <c r="DH197" i="10"/>
  <c r="IA198" i="10"/>
  <c r="DH198" i="10"/>
  <c r="IA199" i="10"/>
  <c r="DH199" i="10"/>
  <c r="DH200" i="10"/>
  <c r="IA200" i="10"/>
  <c r="IA201" i="10"/>
  <c r="DH201" i="10"/>
  <c r="DH202" i="10"/>
  <c r="IA202" i="10"/>
  <c r="IA203" i="10"/>
  <c r="DH203" i="10"/>
  <c r="IA204" i="10"/>
  <c r="DH204" i="10"/>
  <c r="DH205" i="10"/>
  <c r="IA205" i="10"/>
  <c r="IA206" i="10"/>
  <c r="DH206" i="10"/>
  <c r="IA207" i="10"/>
  <c r="DH207" i="10"/>
  <c r="DH208" i="10"/>
  <c r="IA208" i="10"/>
  <c r="IA209" i="10"/>
  <c r="DH209" i="10"/>
  <c r="DH210" i="10"/>
  <c r="IA210" i="10"/>
  <c r="IA211" i="10"/>
  <c r="DH211" i="10"/>
  <c r="IA212" i="10"/>
  <c r="DH212" i="10"/>
  <c r="DH213" i="10"/>
  <c r="IA213" i="10"/>
  <c r="DH214" i="10"/>
  <c r="IA214" i="10"/>
  <c r="IA215" i="10"/>
  <c r="DH215" i="10"/>
  <c r="DH216" i="10"/>
  <c r="IA216" i="10"/>
  <c r="IA217" i="10"/>
  <c r="DH217" i="10"/>
  <c r="IA218" i="10"/>
  <c r="DH218" i="10"/>
  <c r="DH219" i="10"/>
  <c r="IA219" i="10"/>
  <c r="IA220" i="10"/>
  <c r="DH220" i="10"/>
  <c r="DH221" i="10"/>
  <c r="IA221" i="10"/>
  <c r="IA222" i="10"/>
  <c r="DH222" i="10"/>
  <c r="DH223" i="10"/>
  <c r="IA223" i="10"/>
  <c r="IA224" i="10"/>
  <c r="DH224" i="10"/>
  <c r="IA225" i="10"/>
  <c r="DH225" i="10"/>
  <c r="IA226" i="10"/>
  <c r="DH226" i="10"/>
  <c r="IA227" i="10"/>
  <c r="DH227" i="10"/>
  <c r="IA228" i="10"/>
  <c r="DH228" i="10"/>
  <c r="IA229" i="10"/>
  <c r="DH229" i="10"/>
  <c r="DH230" i="10"/>
  <c r="IA230" i="10"/>
  <c r="DH231" i="10"/>
  <c r="IA231" i="10"/>
  <c r="IA232" i="10"/>
  <c r="DH232" i="10"/>
  <c r="IA233" i="10"/>
  <c r="DH233" i="10"/>
  <c r="IA234" i="10"/>
  <c r="DH234" i="10"/>
  <c r="IA235" i="10"/>
  <c r="DH235" i="10"/>
  <c r="IA236" i="10"/>
  <c r="DH236" i="10"/>
  <c r="DH237" i="10"/>
  <c r="IA237" i="10"/>
  <c r="IA238" i="10"/>
  <c r="DH238" i="10"/>
  <c r="IA239" i="10"/>
  <c r="DH239" i="10"/>
  <c r="IA240" i="10"/>
  <c r="DH240" i="10"/>
  <c r="DH241" i="10"/>
  <c r="IA241" i="10"/>
  <c r="DH242" i="10"/>
  <c r="IA242" i="10"/>
  <c r="DH243" i="10"/>
  <c r="IA243" i="10"/>
  <c r="IA244" i="10"/>
  <c r="DH244" i="10"/>
  <c r="EJ245" i="10"/>
  <c r="DH245" i="10"/>
  <c r="IA245" i="10"/>
  <c r="IA246" i="10"/>
  <c r="DH246" i="10"/>
  <c r="EJ246" i="10"/>
  <c r="IA247" i="10"/>
  <c r="EJ247" i="10"/>
  <c r="DH247" i="10"/>
  <c r="EJ248" i="10"/>
  <c r="DH248" i="10"/>
  <c r="IA248" i="10"/>
  <c r="DH249" i="10"/>
  <c r="EJ249" i="10"/>
  <c r="IA249" i="10"/>
  <c r="IA250" i="10"/>
  <c r="DH250" i="10"/>
  <c r="EJ250" i="10"/>
  <c r="EJ251" i="10"/>
  <c r="DH251" i="10"/>
  <c r="IA251" i="10"/>
  <c r="EJ252" i="10"/>
  <c r="DH252" i="10"/>
  <c r="IA252" i="10"/>
  <c r="DH253" i="10"/>
  <c r="EJ253" i="10"/>
  <c r="IA253" i="10"/>
  <c r="DH254" i="10"/>
  <c r="EJ254" i="10"/>
  <c r="IA254" i="10"/>
  <c r="IA255" i="10"/>
  <c r="DH255" i="10"/>
  <c r="EJ255" i="10"/>
  <c r="EJ256" i="10"/>
  <c r="DH256" i="10"/>
  <c r="IA256" i="10"/>
  <c r="IA257" i="10"/>
  <c r="DH257" i="10"/>
  <c r="EJ257" i="10"/>
  <c r="IA258" i="10"/>
  <c r="DH258" i="10"/>
  <c r="EJ258" i="10"/>
  <c r="DH259" i="10"/>
  <c r="EJ259" i="10"/>
  <c r="IA259" i="10"/>
  <c r="IA260" i="10"/>
  <c r="DH260" i="10"/>
  <c r="EJ260" i="10"/>
  <c r="IA261" i="10"/>
  <c r="EJ261" i="10"/>
  <c r="DH261" i="10"/>
  <c r="IA262" i="10"/>
  <c r="EJ262" i="10"/>
  <c r="DH262" i="10"/>
  <c r="IA263" i="10"/>
  <c r="DH263" i="10"/>
  <c r="EJ263" i="10"/>
  <c r="IA264" i="10"/>
  <c r="DH264" i="10"/>
  <c r="EJ264" i="10"/>
  <c r="IA265" i="10"/>
  <c r="DH265" i="10"/>
  <c r="EJ265" i="10"/>
  <c r="IA266" i="10"/>
  <c r="EE265" i="10"/>
  <c r="EJ266" i="10"/>
  <c r="DH266" i="10"/>
  <c r="IA267" i="10"/>
  <c r="DH267" i="10"/>
  <c r="EJ267" i="10"/>
  <c r="IA268" i="10"/>
  <c r="EJ268" i="10"/>
  <c r="DH268" i="10"/>
  <c r="EJ269" i="10"/>
  <c r="DH269" i="10"/>
  <c r="IA269" i="10"/>
  <c r="DH270" i="10"/>
  <c r="EJ270" i="10"/>
  <c r="IA270" i="10"/>
  <c r="EJ271" i="10"/>
  <c r="DH271" i="10"/>
  <c r="IA271" i="10"/>
  <c r="DH272" i="10"/>
  <c r="EJ272" i="10"/>
  <c r="IA272" i="10"/>
  <c r="IA273" i="10"/>
  <c r="DH273" i="10"/>
  <c r="EJ273" i="10"/>
  <c r="EJ274" i="10"/>
  <c r="DH274" i="10"/>
  <c r="IA274" i="10"/>
  <c r="IA275" i="10"/>
  <c r="DH275" i="10"/>
  <c r="EJ275" i="10"/>
  <c r="IA276" i="10"/>
  <c r="EJ276" i="10"/>
  <c r="DH276" i="10"/>
  <c r="IA277" i="10"/>
  <c r="EJ277" i="10"/>
  <c r="DH277" i="10"/>
  <c r="IA278" i="10"/>
  <c r="DH278" i="10"/>
  <c r="EJ278" i="10"/>
  <c r="DH279" i="10"/>
  <c r="EJ279" i="10"/>
  <c r="IA279" i="10"/>
  <c r="IA280" i="10"/>
  <c r="DH280" i="10"/>
  <c r="EJ280" i="10"/>
  <c r="IA281" i="10"/>
  <c r="EJ281" i="10"/>
  <c r="DH281" i="10"/>
  <c r="IA282" i="10"/>
  <c r="EJ282" i="10"/>
  <c r="DH282" i="10"/>
  <c r="IA283" i="10"/>
  <c r="DH283" i="10"/>
  <c r="EJ283" i="10"/>
  <c r="IA284" i="10"/>
  <c r="DH284" i="10"/>
  <c r="EJ284" i="10"/>
  <c r="IA285" i="10"/>
  <c r="EJ285" i="10"/>
  <c r="DH285" i="10"/>
  <c r="IA286" i="10"/>
  <c r="EJ286" i="10"/>
  <c r="DH286" i="10"/>
  <c r="DH287" i="10"/>
  <c r="EJ287" i="10"/>
  <c r="IA287" i="10"/>
  <c r="DH288" i="10"/>
  <c r="EJ288" i="10"/>
  <c r="IA288" i="10"/>
  <c r="IA289" i="10"/>
  <c r="EJ289" i="10"/>
  <c r="DH289" i="10"/>
  <c r="IA290" i="10"/>
  <c r="DH290" i="10"/>
  <c r="EJ290" i="10"/>
  <c r="IA291" i="10"/>
  <c r="EJ291" i="10"/>
  <c r="DH291" i="10"/>
  <c r="IA292" i="10"/>
  <c r="EJ292" i="10"/>
  <c r="DH292" i="10"/>
  <c r="IA293" i="10"/>
  <c r="EJ293" i="10"/>
  <c r="DH293" i="10"/>
  <c r="DH294" i="10"/>
  <c r="EJ294" i="10"/>
  <c r="IA294" i="10"/>
  <c r="EJ295" i="10"/>
  <c r="DH295" i="10"/>
  <c r="IA295" i="10"/>
  <c r="IA296" i="10"/>
  <c r="DH296" i="10"/>
  <c r="EJ296" i="10"/>
  <c r="IA297" i="10"/>
  <c r="EJ297" i="10"/>
  <c r="DH297" i="10"/>
  <c r="DH298" i="10"/>
  <c r="EJ298" i="10"/>
  <c r="IA298" i="10"/>
  <c r="IA299" i="10"/>
  <c r="EJ299" i="10"/>
  <c r="DH299" i="10"/>
  <c r="DH300" i="10"/>
  <c r="EJ300" i="10"/>
  <c r="IA300" i="10"/>
  <c r="IA301" i="10"/>
  <c r="EJ301" i="10"/>
  <c r="DH301" i="10"/>
  <c r="DH302" i="10"/>
  <c r="EJ302" i="10"/>
  <c r="IA302" i="10"/>
  <c r="IA303" i="10"/>
  <c r="DH303" i="10"/>
  <c r="EJ303" i="10"/>
  <c r="DH304" i="10"/>
  <c r="EJ304" i="10"/>
  <c r="IA304" i="10"/>
  <c r="IA305" i="10"/>
  <c r="DH305" i="10"/>
  <c r="EJ305" i="10"/>
  <c r="IA306" i="10"/>
  <c r="DH306" i="10"/>
  <c r="EJ306" i="10"/>
  <c r="DH307" i="10"/>
  <c r="EJ307" i="10"/>
  <c r="IA307" i="10"/>
  <c r="DH308" i="10"/>
  <c r="EJ308" i="10"/>
  <c r="IA308" i="10"/>
  <c r="DH309" i="10"/>
  <c r="EJ309" i="10"/>
  <c r="IA309" i="10"/>
  <c r="EJ310" i="10"/>
  <c r="DH310" i="10"/>
  <c r="IA310" i="10"/>
  <c r="EJ311" i="10"/>
  <c r="DH311" i="10"/>
  <c r="IA311" i="10"/>
  <c r="IA312" i="10"/>
  <c r="EJ312" i="10"/>
  <c r="DH312" i="10"/>
  <c r="IA313" i="10"/>
  <c r="DH313" i="10"/>
  <c r="EJ313" i="10"/>
  <c r="IA314" i="10"/>
  <c r="EJ314" i="10"/>
  <c r="DH314" i="10"/>
  <c r="IA315" i="10"/>
  <c r="EJ315" i="10"/>
  <c r="DH315" i="10"/>
  <c r="IA316" i="10"/>
  <c r="EJ316" i="10"/>
  <c r="DH316" i="10"/>
  <c r="IA317" i="10"/>
  <c r="DH317" i="10"/>
  <c r="EJ317" i="10"/>
  <c r="IA318" i="10"/>
  <c r="EJ318" i="10"/>
  <c r="DH318" i="10"/>
  <c r="IA319" i="10"/>
  <c r="EJ319" i="10"/>
  <c r="DH319" i="10"/>
  <c r="IA320" i="10"/>
  <c r="EJ320" i="10"/>
  <c r="DH320" i="10"/>
  <c r="IA321" i="10"/>
  <c r="EJ321" i="10"/>
  <c r="DH321" i="10"/>
  <c r="IA322" i="10"/>
  <c r="DH322" i="10"/>
  <c r="EJ322" i="10"/>
  <c r="IA323" i="10"/>
  <c r="EJ323" i="10"/>
  <c r="DH323" i="10"/>
  <c r="IA324" i="10"/>
  <c r="EJ324" i="10"/>
  <c r="DH324" i="10"/>
  <c r="IA325" i="10"/>
  <c r="EJ325" i="10"/>
  <c r="DH325" i="10"/>
  <c r="IA326" i="10"/>
  <c r="EJ326" i="10"/>
  <c r="DH326" i="10"/>
  <c r="EJ327" i="10"/>
  <c r="DH327" i="10"/>
  <c r="IA327" i="10"/>
  <c r="DH328" i="10"/>
  <c r="EJ328" i="10"/>
  <c r="IA328" i="10"/>
  <c r="EJ329" i="10"/>
  <c r="DH329" i="10"/>
  <c r="IA329" i="10"/>
  <c r="IA330" i="10"/>
  <c r="EJ330" i="10"/>
  <c r="DH330" i="10"/>
  <c r="IA331" i="10"/>
  <c r="DH331" i="10"/>
  <c r="EJ331" i="10"/>
  <c r="EJ332" i="10"/>
  <c r="DH332" i="10"/>
  <c r="IA332" i="10"/>
  <c r="DH333" i="10"/>
  <c r="EJ333" i="10"/>
  <c r="IA333" i="10"/>
  <c r="DH334" i="10"/>
  <c r="EJ334" i="10"/>
  <c r="IA334" i="10"/>
  <c r="EJ335" i="10"/>
  <c r="DH335" i="10"/>
  <c r="IA335" i="10"/>
  <c r="EJ336" i="10"/>
  <c r="DH336" i="10"/>
  <c r="IA336" i="10"/>
  <c r="DH337" i="10"/>
  <c r="EJ337" i="10"/>
  <c r="IA337" i="10"/>
  <c r="IA338" i="10"/>
  <c r="EJ338" i="10"/>
  <c r="DH338" i="10"/>
  <c r="EJ339" i="10"/>
  <c r="DH339" i="10"/>
  <c r="IA339" i="10"/>
  <c r="IA340" i="10"/>
  <c r="DH340" i="10"/>
  <c r="EJ340" i="10"/>
  <c r="EJ341" i="10"/>
  <c r="DH341" i="10"/>
  <c r="IA341" i="10"/>
  <c r="EJ342" i="10"/>
  <c r="DH342" i="10"/>
  <c r="IA342" i="10"/>
  <c r="IA343" i="10"/>
  <c r="EJ343" i="10"/>
  <c r="DH343" i="10"/>
  <c r="IA344" i="10"/>
  <c r="DH344" i="10"/>
  <c r="EJ344" i="10"/>
  <c r="IA345" i="10"/>
  <c r="EJ345" i="10"/>
  <c r="DH345" i="10"/>
  <c r="IA346" i="10"/>
  <c r="EJ346" i="10"/>
  <c r="DH346" i="10"/>
  <c r="IA347" i="10"/>
  <c r="EJ347" i="10"/>
  <c r="DH347" i="10"/>
  <c r="IA348" i="10"/>
  <c r="EJ348" i="10"/>
  <c r="DH348" i="10"/>
  <c r="IA349" i="10"/>
  <c r="EJ349" i="10"/>
  <c r="DH349" i="10"/>
  <c r="IA350" i="10"/>
  <c r="EE349" i="10"/>
  <c r="EJ350" i="10"/>
  <c r="DH350" i="10"/>
  <c r="IA351" i="10"/>
  <c r="DH351" i="10"/>
  <c r="EJ351" i="10"/>
  <c r="IA352" i="10"/>
  <c r="EJ352" i="10"/>
  <c r="DH352" i="10"/>
  <c r="IA353" i="10"/>
  <c r="EJ353" i="10"/>
  <c r="DH353" i="10"/>
  <c r="EJ354" i="10"/>
  <c r="DH354" i="10"/>
  <c r="IA354" i="10"/>
  <c r="DH355" i="10"/>
  <c r="EJ355" i="10"/>
  <c r="IA355" i="10"/>
  <c r="IA356" i="10"/>
  <c r="DH356" i="10"/>
  <c r="EJ356" i="10"/>
  <c r="DH357" i="10"/>
  <c r="EJ357" i="10"/>
  <c r="IA357" i="10"/>
  <c r="EJ358" i="10"/>
  <c r="DH358" i="10"/>
  <c r="IA358" i="10"/>
  <c r="IA359" i="10"/>
  <c r="DH359" i="10"/>
  <c r="EJ359" i="10"/>
  <c r="IA360" i="10"/>
  <c r="DH360" i="10"/>
  <c r="EJ360" i="10"/>
  <c r="DH361" i="10"/>
  <c r="EJ361" i="10"/>
  <c r="IA361" i="10"/>
  <c r="IA362" i="10"/>
  <c r="EJ362" i="10"/>
  <c r="DH362" i="10"/>
  <c r="EJ363" i="10"/>
  <c r="DH363" i="10"/>
  <c r="IA363" i="10"/>
  <c r="IA364" i="10"/>
  <c r="DH364" i="10"/>
  <c r="EJ364" i="10"/>
  <c r="IA365" i="10"/>
  <c r="EJ365" i="10"/>
  <c r="DH365" i="10"/>
  <c r="IA366" i="10"/>
  <c r="DH366" i="10"/>
  <c r="EJ366" i="10"/>
  <c r="DH367" i="10"/>
  <c r="EJ367" i="10"/>
  <c r="IA367" i="10"/>
  <c r="IA368" i="10"/>
  <c r="DH368" i="10"/>
  <c r="EJ368" i="10"/>
  <c r="EJ369" i="10"/>
  <c r="DH369" i="10"/>
  <c r="IA369" i="10"/>
  <c r="IA370" i="10"/>
  <c r="DH370" i="10"/>
  <c r="EJ370" i="10"/>
  <c r="IA371" i="10"/>
  <c r="EJ371" i="10"/>
  <c r="DH371" i="10"/>
  <c r="IA372" i="10"/>
  <c r="EJ372" i="10"/>
  <c r="DH372" i="10"/>
  <c r="IA373" i="10"/>
  <c r="DH373" i="10"/>
  <c r="EJ373" i="10"/>
  <c r="DH374" i="10"/>
  <c r="EJ374" i="10"/>
  <c r="IA374" i="10"/>
  <c r="IA375" i="10"/>
  <c r="DH375" i="10"/>
  <c r="EJ375" i="10"/>
  <c r="IA376" i="10"/>
  <c r="EJ376" i="10"/>
  <c r="DH376" i="10"/>
  <c r="DH377" i="10"/>
  <c r="EJ377" i="10"/>
  <c r="IA377" i="10"/>
  <c r="IA378" i="10"/>
  <c r="DH378" i="10"/>
  <c r="EJ378" i="10"/>
  <c r="IA379" i="10"/>
  <c r="DH379" i="10"/>
  <c r="EJ379" i="10"/>
  <c r="IA380" i="10"/>
  <c r="DH380" i="10"/>
  <c r="EJ380" i="10"/>
  <c r="DH381" i="10"/>
  <c r="EJ381" i="10"/>
  <c r="IA381" i="10"/>
  <c r="IA382" i="10"/>
  <c r="EJ382" i="10"/>
  <c r="DH382" i="10"/>
  <c r="DH383" i="10"/>
  <c r="EJ383" i="10"/>
  <c r="IA383" i="10"/>
  <c r="IA384" i="10"/>
  <c r="DH384" i="10"/>
  <c r="EJ384" i="10"/>
  <c r="IA385" i="10"/>
  <c r="DH385" i="10"/>
  <c r="EJ385" i="10"/>
  <c r="EJ386" i="10"/>
  <c r="DH386" i="10"/>
  <c r="IA386" i="10"/>
  <c r="DH387" i="10"/>
  <c r="EJ387" i="10"/>
  <c r="IA387" i="10"/>
  <c r="IA388" i="10"/>
  <c r="DH388" i="10"/>
  <c r="EJ388" i="10"/>
  <c r="IA389" i="10"/>
  <c r="EJ389" i="10"/>
  <c r="DH389" i="10"/>
  <c r="IA390" i="10"/>
  <c r="DH390" i="10"/>
  <c r="EJ390" i="10"/>
  <c r="D14" i="2"/>
  <c r="D15" i="2"/>
  <c r="I19" i="2"/>
  <c r="D11" i="2"/>
  <c r="D12" i="2"/>
  <c r="I18" i="2"/>
  <c r="Q72" i="2"/>
  <c r="DH22" i="10"/>
  <c r="IA22" i="10"/>
  <c r="P72" i="2"/>
  <c r="R72" i="2"/>
  <c r="IA24" i="10"/>
  <c r="IA23" i="10"/>
  <c r="IA25" i="10"/>
  <c r="IA26" i="10"/>
  <c r="IA27" i="10"/>
  <c r="IA28" i="10"/>
  <c r="DH28" i="10"/>
  <c r="DH29" i="10"/>
  <c r="IA29" i="10"/>
  <c r="IA30" i="10"/>
  <c r="DH30" i="10"/>
  <c r="IA31" i="10"/>
  <c r="DH31" i="10"/>
  <c r="IA32" i="10"/>
  <c r="DH32" i="10"/>
  <c r="DH33" i="10"/>
  <c r="IA33" i="10"/>
  <c r="DH34" i="10"/>
  <c r="IA34" i="10"/>
  <c r="IA35" i="10"/>
  <c r="DH35" i="10"/>
  <c r="DH36" i="10"/>
  <c r="IA36" i="10"/>
  <c r="DH37" i="10"/>
  <c r="IA37" i="10"/>
  <c r="DH38" i="10"/>
  <c r="IA38" i="10"/>
  <c r="IA39" i="10"/>
  <c r="DH39" i="10"/>
  <c r="IA40" i="10"/>
  <c r="DH40" i="10"/>
  <c r="IA41" i="10"/>
  <c r="DH41" i="10"/>
  <c r="DH42" i="10"/>
  <c r="IA42" i="10"/>
  <c r="IA43" i="10"/>
  <c r="DH43" i="10"/>
  <c r="DH44" i="10"/>
  <c r="IA44" i="10"/>
  <c r="DH45" i="10"/>
  <c r="IA45" i="10"/>
  <c r="IA46" i="10"/>
  <c r="DH46" i="10"/>
  <c r="DH47" i="10"/>
  <c r="IA47" i="10"/>
  <c r="DH48" i="10"/>
  <c r="IA48" i="10"/>
  <c r="IA49" i="10"/>
  <c r="DH49" i="10"/>
  <c r="IA50" i="10"/>
  <c r="DH50" i="10"/>
  <c r="JN51" i="10"/>
  <c r="DH51" i="10"/>
  <c r="IA51" i="10"/>
  <c r="DH52" i="10"/>
  <c r="IA52" i="10"/>
  <c r="DH53" i="10"/>
  <c r="IA53" i="10"/>
  <c r="IA54" i="10"/>
  <c r="DH54" i="10"/>
  <c r="DH55" i="10"/>
  <c r="IA55" i="10"/>
  <c r="DH56" i="10"/>
  <c r="IA56" i="10"/>
  <c r="DH57" i="10"/>
  <c r="IA57" i="10"/>
  <c r="IA58" i="10"/>
  <c r="DH58" i="10"/>
  <c r="IA59" i="10"/>
  <c r="DH59" i="10"/>
  <c r="JN60" i="10"/>
  <c r="IA60" i="10"/>
  <c r="DH60" i="10"/>
  <c r="DH61" i="10"/>
  <c r="IA61" i="10"/>
  <c r="DH62" i="10"/>
  <c r="IA62" i="10"/>
  <c r="IA63" i="10"/>
  <c r="DH63" i="10"/>
  <c r="DH64" i="10"/>
  <c r="IA64" i="10"/>
  <c r="JN65" i="10"/>
  <c r="IA65" i="10"/>
  <c r="DH65" i="10"/>
  <c r="JN66" i="10"/>
  <c r="DH66" i="10"/>
  <c r="IA66" i="10"/>
  <c r="DH67" i="10"/>
  <c r="IA67" i="10"/>
  <c r="IA68" i="10"/>
  <c r="DH68" i="10"/>
  <c r="DH69" i="10"/>
  <c r="IA69" i="10"/>
  <c r="IA70" i="10"/>
  <c r="DH70" i="10"/>
  <c r="IA71" i="10"/>
  <c r="DH71" i="10"/>
  <c r="DH73" i="10"/>
  <c r="IA73" i="10"/>
  <c r="DH72" i="10"/>
  <c r="IA72" i="10"/>
  <c r="DH74" i="10"/>
  <c r="IA74" i="10"/>
  <c r="DH75" i="10"/>
  <c r="IA75" i="10"/>
  <c r="IA76" i="10"/>
  <c r="DH76" i="10"/>
  <c r="DH77" i="10"/>
  <c r="IA77" i="10"/>
  <c r="IA78" i="10"/>
  <c r="DH78" i="10"/>
  <c r="IA79" i="10"/>
  <c r="DH79" i="10"/>
  <c r="DH80" i="10"/>
  <c r="IA80" i="10"/>
  <c r="DH81" i="10"/>
  <c r="IA81" i="10"/>
  <c r="DH82" i="10"/>
  <c r="IA82" i="10"/>
  <c r="IA83" i="10"/>
  <c r="DH83" i="10"/>
  <c r="DH84" i="10"/>
  <c r="IA84" i="10"/>
  <c r="IA85" i="10"/>
  <c r="DH85" i="10"/>
  <c r="IA86" i="10"/>
  <c r="DH86" i="10"/>
  <c r="IA87" i="10"/>
  <c r="DH87" i="10"/>
  <c r="IA88" i="10"/>
  <c r="DH88" i="10"/>
  <c r="IA89" i="10"/>
  <c r="DH89" i="10"/>
  <c r="IA90" i="10"/>
  <c r="DH90" i="10"/>
  <c r="DH91" i="10"/>
  <c r="IA91" i="10"/>
  <c r="IA92" i="10"/>
  <c r="DH92" i="10"/>
  <c r="IA93" i="10"/>
  <c r="DH93" i="10"/>
  <c r="DH94" i="10"/>
  <c r="IA94" i="10"/>
  <c r="IA95" i="10"/>
  <c r="DH95" i="10"/>
  <c r="DH96" i="10"/>
  <c r="IA96" i="10"/>
  <c r="IA97" i="10"/>
  <c r="DH97" i="10"/>
  <c r="IA98" i="10"/>
  <c r="DH98" i="10"/>
  <c r="IA99" i="10"/>
  <c r="DH99" i="10"/>
  <c r="IA100" i="10"/>
  <c r="DH100" i="10"/>
  <c r="IA101" i="10"/>
  <c r="DH101" i="10"/>
  <c r="IA102" i="10"/>
  <c r="DH102" i="10"/>
  <c r="DH103" i="10"/>
  <c r="IA103" i="10"/>
  <c r="IA104" i="10"/>
  <c r="DH104" i="10"/>
  <c r="IA105" i="10"/>
  <c r="DH105" i="10"/>
  <c r="IA106" i="10"/>
  <c r="DH106" i="10"/>
  <c r="IA107" i="10"/>
  <c r="DH107" i="10"/>
  <c r="IA108" i="10"/>
  <c r="DH108" i="10"/>
  <c r="IA109" i="10"/>
  <c r="DH109" i="10"/>
  <c r="IA110" i="10"/>
  <c r="DH110" i="10"/>
  <c r="IA111" i="10"/>
  <c r="DH111" i="10"/>
  <c r="IA112" i="10"/>
  <c r="DH112" i="10"/>
  <c r="IA113" i="10"/>
  <c r="DH113" i="10"/>
  <c r="IA114" i="10"/>
  <c r="DH114" i="10"/>
  <c r="IA115" i="10"/>
  <c r="DH115" i="10"/>
  <c r="IA116" i="10"/>
  <c r="DH116" i="10"/>
  <c r="DH117" i="10"/>
  <c r="IA117" i="10"/>
  <c r="IA118" i="10"/>
  <c r="DH118" i="10"/>
  <c r="IA119" i="10"/>
  <c r="DH119" i="10"/>
  <c r="IA120" i="10"/>
  <c r="DH120" i="10"/>
  <c r="IA121" i="10"/>
  <c r="DH121" i="10"/>
  <c r="JN125" i="10"/>
  <c r="S32" i="2"/>
  <c r="KA125" i="10"/>
  <c r="KE162" i="10"/>
  <c r="BM162" i="10"/>
  <c r="AS156" i="15"/>
  <c r="JY125" i="10"/>
  <c r="JY77" i="10"/>
  <c r="JZ102" i="10"/>
  <c r="KD162" i="10"/>
  <c r="BK162" i="10" s="1"/>
  <c r="AQ156" i="15" s="1"/>
  <c r="JX125" i="10"/>
  <c r="JZ53" i="10"/>
  <c r="KA162" i="10"/>
  <c r="JZ85" i="10"/>
  <c r="JY162" i="10"/>
  <c r="JX162" i="10"/>
  <c r="KE108" i="10"/>
  <c r="BM108" i="10"/>
  <c r="AS102" i="15"/>
  <c r="KE102" i="10"/>
  <c r="BM102" i="10"/>
  <c r="AS96" i="15"/>
  <c r="KE145" i="10"/>
  <c r="BM145" i="10"/>
  <c r="AS139" i="15"/>
  <c r="KA102" i="10"/>
  <c r="KD145" i="10"/>
  <c r="BK145" i="10" s="1"/>
  <c r="AQ139" i="15" s="1"/>
  <c r="JX102" i="10"/>
  <c r="KD92" i="10"/>
  <c r="BK92" i="10" s="1"/>
  <c r="AQ86" i="15" s="1"/>
  <c r="KA37" i="10"/>
  <c r="JY37" i="10"/>
  <c r="KE121" i="10"/>
  <c r="BM121" i="10"/>
  <c r="AS115" i="15"/>
  <c r="JX37" i="10"/>
  <c r="KA121" i="10"/>
  <c r="KM123" i="10"/>
  <c r="BI123" i="10" s="1"/>
  <c r="AO117" i="15" s="1"/>
  <c r="KE107" i="10"/>
  <c r="BM107" i="10"/>
  <c r="AS101" i="15"/>
  <c r="KD85" i="10"/>
  <c r="BK85" i="10" s="1"/>
  <c r="AQ79" i="15" s="1"/>
  <c r="KD61" i="10"/>
  <c r="BK61" i="10"/>
  <c r="AQ55" i="15" s="1"/>
  <c r="KE126" i="10"/>
  <c r="BM126" i="10"/>
  <c r="AS120" i="15"/>
  <c r="KD107" i="10"/>
  <c r="BK107" i="10" s="1"/>
  <c r="AQ101" i="15" s="1"/>
  <c r="KB125" i="10"/>
  <c r="BJ125" i="10"/>
  <c r="AP119" i="15"/>
  <c r="KA126" i="10"/>
  <c r="KA107" i="10"/>
  <c r="KB121" i="10"/>
  <c r="BJ121" i="10"/>
  <c r="AP115" i="15"/>
  <c r="JX126" i="10"/>
  <c r="JY107" i="10"/>
  <c r="KE101" i="10"/>
  <c r="BM101" i="10"/>
  <c r="AS95" i="15"/>
  <c r="KD53" i="10"/>
  <c r="BK53" i="10" s="1"/>
  <c r="AQ47" i="15" s="1"/>
  <c r="JX107" i="10"/>
  <c r="KD101" i="10"/>
  <c r="BK101" i="10" s="1"/>
  <c r="AQ95" i="15"/>
  <c r="KD78" i="10"/>
  <c r="BK78" i="10" s="1"/>
  <c r="AQ72" i="15" s="1"/>
  <c r="KA101" i="10"/>
  <c r="JY101" i="10"/>
  <c r="KE60" i="10"/>
  <c r="BM60" i="10"/>
  <c r="AS54" i="15"/>
  <c r="JZ162" i="10"/>
  <c r="KA84" i="10"/>
  <c r="KD60" i="10"/>
  <c r="BK60" i="10" s="1"/>
  <c r="AQ54" i="15" s="1"/>
  <c r="JP80" i="10"/>
  <c r="JN80" i="10"/>
  <c r="JO153" i="10"/>
  <c r="JP153" i="10"/>
  <c r="JO78" i="10"/>
  <c r="JP78" i="10"/>
  <c r="JN54" i="10"/>
  <c r="KD147" i="10"/>
  <c r="BK147" i="10"/>
  <c r="AQ141" i="15" s="1"/>
  <c r="KD133" i="10"/>
  <c r="BK133" i="10" s="1"/>
  <c r="AQ127" i="15" s="1"/>
  <c r="KE92" i="10"/>
  <c r="BM92" i="10"/>
  <c r="AS86" i="15"/>
  <c r="JX147" i="10"/>
  <c r="KD130" i="10"/>
  <c r="BK130" i="10" s="1"/>
  <c r="AQ124" i="15" s="1"/>
  <c r="JX143" i="10"/>
  <c r="KA88" i="10"/>
  <c r="JY165" i="10"/>
  <c r="JY88" i="10"/>
  <c r="KH134" i="10"/>
  <c r="JZ166" i="10"/>
  <c r="KB86" i="10"/>
  <c r="BJ86" i="10"/>
  <c r="AP80" i="15"/>
  <c r="KA87" i="10"/>
  <c r="JX87" i="10"/>
  <c r="JZ147" i="10"/>
  <c r="JP119" i="10"/>
  <c r="JN119" i="10"/>
  <c r="KL135" i="10"/>
  <c r="KM377" i="10"/>
  <c r="BI377" i="10"/>
  <c r="AO371" i="15" s="1"/>
  <c r="JY266" i="10"/>
  <c r="KE218" i="10"/>
  <c r="BM218" i="10"/>
  <c r="AS212" i="15"/>
  <c r="KA206" i="10"/>
  <c r="KA172" i="10"/>
  <c r="KG166" i="10"/>
  <c r="JY158" i="10"/>
  <c r="KE148" i="10"/>
  <c r="BM148" i="10"/>
  <c r="AS142" i="15"/>
  <c r="KD135" i="10"/>
  <c r="BK135" i="10"/>
  <c r="AQ129" i="15" s="1"/>
  <c r="JY108" i="10"/>
  <c r="KE100" i="10"/>
  <c r="BM100" i="10"/>
  <c r="AS94" i="15"/>
  <c r="JX74" i="10"/>
  <c r="JX60" i="10"/>
  <c r="JX53" i="10"/>
  <c r="KA49" i="10"/>
  <c r="JZ158" i="10"/>
  <c r="JZ66" i="10"/>
  <c r="KE63" i="10"/>
  <c r="BM63" i="10"/>
  <c r="AS57" i="15"/>
  <c r="KI337" i="10"/>
  <c r="KE142" i="10"/>
  <c r="BM142" i="10"/>
  <c r="AS136" i="15"/>
  <c r="KD63" i="10"/>
  <c r="BK63" i="10" s="1"/>
  <c r="AQ57" i="15" s="1"/>
  <c r="KA142" i="10"/>
  <c r="KA63" i="10"/>
  <c r="JY56" i="10"/>
  <c r="KA41" i="10"/>
  <c r="JZ137" i="10"/>
  <c r="KA166" i="10"/>
  <c r="JY41" i="10"/>
  <c r="KA33" i="10"/>
  <c r="JZ134" i="10"/>
  <c r="KE181" i="10"/>
  <c r="BM181" i="10"/>
  <c r="AS175" i="15"/>
  <c r="KE160" i="10"/>
  <c r="BM160" i="10"/>
  <c r="AS154" i="15"/>
  <c r="KN129" i="10"/>
  <c r="JX41" i="10"/>
  <c r="JZ131" i="10"/>
  <c r="KD59" i="10"/>
  <c r="BK59" i="10"/>
  <c r="AQ53" i="15" s="1"/>
  <c r="KB166" i="10"/>
  <c r="BJ166" i="10"/>
  <c r="AP160" i="15"/>
  <c r="JX309" i="10"/>
  <c r="KA285" i="10"/>
  <c r="JY237" i="10"/>
  <c r="KE198" i="10"/>
  <c r="BM198" i="10"/>
  <c r="AS192" i="15"/>
  <c r="KA181" i="10"/>
  <c r="KA160" i="10"/>
  <c r="JX157" i="10"/>
  <c r="JY59" i="10"/>
  <c r="KA52" i="10"/>
  <c r="JX44" i="10"/>
  <c r="JZ42" i="10"/>
  <c r="KC97" i="10"/>
  <c r="BL97" i="10"/>
  <c r="AR91" i="15"/>
  <c r="JY181" i="10"/>
  <c r="JX160" i="10"/>
  <c r="KE134" i="10"/>
  <c r="BM134" i="10"/>
  <c r="AS128" i="15"/>
  <c r="KE87" i="10"/>
  <c r="BM87" i="10"/>
  <c r="AS81" i="15"/>
  <c r="JX52" i="10"/>
  <c r="II392" i="10"/>
  <c r="KE205" i="10"/>
  <c r="BM205" i="10"/>
  <c r="AS199" i="15"/>
  <c r="KD134" i="10"/>
  <c r="BK134" i="10" s="1"/>
  <c r="AQ128" i="15" s="1"/>
  <c r="KI113" i="10"/>
  <c r="KD87" i="10"/>
  <c r="BK87" i="10" s="1"/>
  <c r="AQ81" i="15" s="1"/>
  <c r="KE84" i="10"/>
  <c r="BM84" i="10"/>
  <c r="AS78" i="15"/>
  <c r="KB102" i="10"/>
  <c r="BJ102" i="10"/>
  <c r="AP96" i="15"/>
  <c r="KB59" i="10"/>
  <c r="BJ59" i="10"/>
  <c r="AP53" i="15"/>
  <c r="KH308" i="10"/>
  <c r="KD230" i="10"/>
  <c r="BK230" i="10" s="1"/>
  <c r="AQ224" i="15" s="1"/>
  <c r="JY147" i="10"/>
  <c r="KD131" i="10"/>
  <c r="BK131" i="10" s="1"/>
  <c r="AQ125" i="15" s="1"/>
  <c r="JY113" i="10"/>
  <c r="KA92" i="10"/>
  <c r="JY89" i="10"/>
  <c r="JX84" i="10"/>
  <c r="KA75" i="10"/>
  <c r="JZ87" i="10"/>
  <c r="JZ56" i="10"/>
  <c r="KB56" i="10"/>
  <c r="BJ56" i="10"/>
  <c r="AP50" i="15"/>
  <c r="KC93" i="10"/>
  <c r="BL93" i="10"/>
  <c r="AR87" i="15"/>
  <c r="KD43" i="10"/>
  <c r="BK43" i="10"/>
  <c r="AQ37" i="15" s="1"/>
  <c r="KD116" i="10"/>
  <c r="BK116" i="10" s="1"/>
  <c r="AQ110" i="15" s="1"/>
  <c r="KE95" i="10"/>
  <c r="BM95" i="10"/>
  <c r="AS89" i="15"/>
  <c r="KE72" i="10"/>
  <c r="BM72" i="10"/>
  <c r="AS66" i="15"/>
  <c r="KA35" i="10"/>
  <c r="JZ84" i="10"/>
  <c r="KN167" i="10"/>
  <c r="JY72" i="10"/>
  <c r="JX35" i="10"/>
  <c r="KE24" i="10"/>
  <c r="BM24" i="10"/>
  <c r="AS18" i="15"/>
  <c r="KA24" i="10"/>
  <c r="KK369" i="10"/>
  <c r="BH369" i="10"/>
  <c r="AN363" i="15"/>
  <c r="KH167" i="10"/>
  <c r="KD24" i="10"/>
  <c r="BK24" i="10" s="1"/>
  <c r="AQ18" i="15" s="1"/>
  <c r="JZ302" i="10"/>
  <c r="JZ72" i="10"/>
  <c r="KE185" i="10"/>
  <c r="BM185" i="10"/>
  <c r="AS179" i="15"/>
  <c r="KA143" i="10"/>
  <c r="KE98" i="10"/>
  <c r="BM98" i="10"/>
  <c r="AS92" i="15"/>
  <c r="JY86" i="10"/>
  <c r="KD80" i="10"/>
  <c r="BK80" i="10" s="1"/>
  <c r="AQ74" i="15"/>
  <c r="JZ239" i="10"/>
  <c r="KD127" i="10"/>
  <c r="BK127" i="10" s="1"/>
  <c r="AQ121" i="15" s="1"/>
  <c r="KD106" i="10"/>
  <c r="BK106" i="10"/>
  <c r="AQ100" i="15" s="1"/>
  <c r="KE91" i="10"/>
  <c r="BM91" i="10"/>
  <c r="AS85" i="15"/>
  <c r="KD42" i="10"/>
  <c r="BK42" i="10" s="1"/>
  <c r="AQ36" i="15" s="1"/>
  <c r="KA277" i="10"/>
  <c r="KE266" i="10"/>
  <c r="BM266" i="10"/>
  <c r="AS260" i="15"/>
  <c r="JY229" i="10"/>
  <c r="JX185" i="10"/>
  <c r="JX127" i="10"/>
  <c r="JX106" i="10"/>
  <c r="JY103" i="10"/>
  <c r="JX80" i="10"/>
  <c r="JX77" i="10"/>
  <c r="KA42" i="10"/>
  <c r="KA34" i="10"/>
  <c r="KE391" i="10"/>
  <c r="BM391" i="10"/>
  <c r="AS385" i="15"/>
  <c r="JX385" i="10"/>
  <c r="KA153" i="10"/>
  <c r="JY391" i="10"/>
  <c r="KJ326" i="10"/>
  <c r="KE202" i="10"/>
  <c r="BM202" i="10"/>
  <c r="AS196" i="15"/>
  <c r="KA135" i="10"/>
  <c r="JX391" i="10"/>
  <c r="KE248" i="10"/>
  <c r="BM248" i="10"/>
  <c r="AS242" i="15"/>
  <c r="KD202" i="10"/>
  <c r="BK202" i="10" s="1"/>
  <c r="AQ196" i="15" s="1"/>
  <c r="JY135" i="10"/>
  <c r="JZ390" i="10"/>
  <c r="JZ120" i="10"/>
  <c r="KC98" i="10"/>
  <c r="BL98" i="10"/>
  <c r="AR92" i="15"/>
  <c r="KA391" i="10"/>
  <c r="KM354" i="10"/>
  <c r="BI354" i="10" s="1"/>
  <c r="AO348" i="15" s="1"/>
  <c r="KE326" i="10"/>
  <c r="BM326" i="10"/>
  <c r="AS320" i="15"/>
  <c r="JY297" i="10"/>
  <c r="KE271" i="10"/>
  <c r="BM271" i="10"/>
  <c r="AS265" i="15"/>
  <c r="KG258" i="10"/>
  <c r="KD248" i="10"/>
  <c r="BK248" i="10"/>
  <c r="AQ242" i="15" s="1"/>
  <c r="JX223" i="10"/>
  <c r="KA202" i="10"/>
  <c r="JZ319" i="10"/>
  <c r="KA326" i="10"/>
  <c r="KA302" i="10"/>
  <c r="JY271" i="10"/>
  <c r="KA268" i="10"/>
  <c r="JY248" i="10"/>
  <c r="KN232" i="10"/>
  <c r="KE161" i="10"/>
  <c r="BM161" i="10"/>
  <c r="AS155" i="15"/>
  <c r="KL144" i="10"/>
  <c r="KD121" i="10"/>
  <c r="BK121" i="10" s="1"/>
  <c r="AQ115" i="15" s="1"/>
  <c r="JZ256" i="10"/>
  <c r="KC52" i="10"/>
  <c r="BL52" i="10"/>
  <c r="AR46" i="15"/>
  <c r="KE372" i="10"/>
  <c r="BM372" i="10"/>
  <c r="AS366" i="15"/>
  <c r="KE344" i="10"/>
  <c r="BM344" i="10"/>
  <c r="AS338" i="15"/>
  <c r="JY326" i="10"/>
  <c r="JX302" i="10"/>
  <c r="KE274" i="10"/>
  <c r="BM274" i="10"/>
  <c r="AS268" i="15"/>
  <c r="JX248" i="10"/>
  <c r="KE178" i="10"/>
  <c r="BM178" i="10"/>
  <c r="AS172" i="15"/>
  <c r="KD161" i="10"/>
  <c r="BK161" i="10"/>
  <c r="AQ155" i="15" s="1"/>
  <c r="KD372" i="10"/>
  <c r="BK372" i="10" s="1"/>
  <c r="AQ366" i="15" s="1"/>
  <c r="KD344" i="10"/>
  <c r="BK344" i="10" s="1"/>
  <c r="AQ338" i="15" s="1"/>
  <c r="JX326" i="10"/>
  <c r="KD286" i="10"/>
  <c r="BK286" i="10" s="1"/>
  <c r="AQ280" i="15" s="1"/>
  <c r="KD274" i="10"/>
  <c r="BK274" i="10" s="1"/>
  <c r="AQ268" i="15" s="1"/>
  <c r="KA178" i="10"/>
  <c r="KA161" i="10"/>
  <c r="JX121" i="10"/>
  <c r="KA372" i="10"/>
  <c r="KA344" i="10"/>
  <c r="KA274" i="10"/>
  <c r="JY178" i="10"/>
  <c r="JY161" i="10"/>
  <c r="JZ198" i="10"/>
  <c r="KD390" i="10"/>
  <c r="BK390" i="10" s="1"/>
  <c r="AQ384" i="15" s="1"/>
  <c r="KN386" i="10"/>
  <c r="KE366" i="10"/>
  <c r="BM366" i="10"/>
  <c r="AS360" i="15"/>
  <c r="JY344" i="10"/>
  <c r="KE319" i="10"/>
  <c r="BM319" i="10"/>
  <c r="AS313" i="15"/>
  <c r="KN279" i="10"/>
  <c r="JY274" i="10"/>
  <c r="KD225" i="10"/>
  <c r="BK225" i="10" s="1"/>
  <c r="AQ219" i="15" s="1"/>
  <c r="JX161" i="10"/>
  <c r="JX344" i="10"/>
  <c r="KD292" i="10"/>
  <c r="BK292" i="10" s="1"/>
  <c r="AQ286" i="15" s="1"/>
  <c r="JX274" i="10"/>
  <c r="KD140" i="10"/>
  <c r="BK140" i="10" s="1"/>
  <c r="AQ134" i="15" s="1"/>
  <c r="JY202" i="10"/>
  <c r="JY390" i="10"/>
  <c r="KA366" i="10"/>
  <c r="JY350" i="10"/>
  <c r="KA319" i="10"/>
  <c r="JY292" i="10"/>
  <c r="KN257" i="10"/>
  <c r="KE244" i="10"/>
  <c r="BM244" i="10"/>
  <c r="AS238" i="15"/>
  <c r="JY225" i="10"/>
  <c r="KJ204" i="10"/>
  <c r="KA201" i="10"/>
  <c r="JY140" i="10"/>
  <c r="JZ178" i="10"/>
  <c r="KB378" i="10"/>
  <c r="BJ378" i="10"/>
  <c r="AP372" i="15"/>
  <c r="KD254" i="10"/>
  <c r="BK254" i="10"/>
  <c r="AQ248" i="15" s="1"/>
  <c r="KD244" i="10"/>
  <c r="BK244" i="10"/>
  <c r="AQ238" i="15" s="1"/>
  <c r="JX140" i="10"/>
  <c r="JZ177" i="10"/>
  <c r="JX366" i="10"/>
  <c r="KD322" i="10"/>
  <c r="BK322" i="10" s="1"/>
  <c r="AQ316" i="15" s="1"/>
  <c r="JX319" i="10"/>
  <c r="KE298" i="10"/>
  <c r="BM298" i="10"/>
  <c r="AS292" i="15"/>
  <c r="KD247" i="10"/>
  <c r="BK247" i="10"/>
  <c r="AQ241" i="15" s="1"/>
  <c r="KD143" i="10"/>
  <c r="BK143" i="10" s="1"/>
  <c r="AQ137" i="15" s="1"/>
  <c r="JY134" i="10"/>
  <c r="KE120" i="10"/>
  <c r="BM120" i="10"/>
  <c r="AS114" i="15"/>
  <c r="JZ174" i="10"/>
  <c r="KE346" i="10"/>
  <c r="BM346" i="10"/>
  <c r="AS340" i="15"/>
  <c r="KE340" i="10"/>
  <c r="BM340" i="10"/>
  <c r="AS334" i="15"/>
  <c r="KA322" i="10"/>
  <c r="KD298" i="10"/>
  <c r="BK298" i="10" s="1"/>
  <c r="AQ292" i="15" s="1"/>
  <c r="JY247" i="10"/>
  <c r="KD120" i="10"/>
  <c r="BK120" i="10"/>
  <c r="AQ114" i="15" s="1"/>
  <c r="KA346" i="10"/>
  <c r="KD340" i="10"/>
  <c r="BK340" i="10" s="1"/>
  <c r="AQ334" i="15"/>
  <c r="JY322" i="10"/>
  <c r="KA298" i="10"/>
  <c r="KA120" i="10"/>
  <c r="KN389" i="10"/>
  <c r="JY340" i="10"/>
  <c r="JX322" i="10"/>
  <c r="JY298" i="10"/>
  <c r="JY250" i="10"/>
  <c r="KE206" i="10"/>
  <c r="BM206" i="10"/>
  <c r="AS200" i="15"/>
  <c r="KL151" i="10"/>
  <c r="JY120" i="10"/>
  <c r="KC64" i="10"/>
  <c r="BL64" i="10"/>
  <c r="AR58" i="15"/>
  <c r="KK389" i="10"/>
  <c r="BH389" i="10"/>
  <c r="AN383" i="15"/>
  <c r="JX298" i="10"/>
  <c r="KD206" i="10"/>
  <c r="BK206" i="10"/>
  <c r="AQ200" i="15"/>
  <c r="KD200" i="10"/>
  <c r="BK200" i="10" s="1"/>
  <c r="AQ194" i="15" s="1"/>
  <c r="KA177" i="10"/>
  <c r="KG151" i="10"/>
  <c r="JX120" i="10"/>
  <c r="KE224" i="10"/>
  <c r="BM224" i="10"/>
  <c r="AS218" i="15"/>
  <c r="KE157" i="10"/>
  <c r="BM157" i="10"/>
  <c r="AS151" i="15"/>
  <c r="KA224" i="10"/>
  <c r="KD157" i="10"/>
  <c r="BK157" i="10" s="1"/>
  <c r="AQ151" i="15" s="1"/>
  <c r="KD385" i="10"/>
  <c r="BK385" i="10"/>
  <c r="AQ379" i="15" s="1"/>
  <c r="JY224" i="10"/>
  <c r="KA157" i="10"/>
  <c r="KA385" i="10"/>
  <c r="KA368" i="10"/>
  <c r="KN339" i="10"/>
  <c r="KE278" i="10"/>
  <c r="BM278" i="10"/>
  <c r="AS272" i="15"/>
  <c r="KA272" i="10"/>
  <c r="KM167" i="10"/>
  <c r="BI167" i="10" s="1"/>
  <c r="AO161" i="15" s="1"/>
  <c r="JY157" i="10"/>
  <c r="KC81" i="10"/>
  <c r="BL81" i="10"/>
  <c r="AR75" i="15"/>
  <c r="JO94" i="10"/>
  <c r="JP94" i="10"/>
  <c r="JN92" i="10"/>
  <c r="JP58" i="10"/>
  <c r="JN58" i="10"/>
  <c r="KM389" i="10"/>
  <c r="BI389" i="10" s="1"/>
  <c r="AO383" i="15" s="1"/>
  <c r="KE360" i="10"/>
  <c r="BM360" i="10"/>
  <c r="AS354" i="15"/>
  <c r="KE357" i="10"/>
  <c r="BM357" i="10"/>
  <c r="AS351" i="15"/>
  <c r="KD294" i="10"/>
  <c r="BK294" i="10" s="1"/>
  <c r="AQ288" i="15" s="1"/>
  <c r="KH282" i="10"/>
  <c r="KA270" i="10"/>
  <c r="KD267" i="10"/>
  <c r="BK267" i="10" s="1"/>
  <c r="AQ261" i="15" s="1"/>
  <c r="KD190" i="10"/>
  <c r="BK190" i="10" s="1"/>
  <c r="AQ184" i="15" s="1"/>
  <c r="KD168" i="10"/>
  <c r="BK168" i="10"/>
  <c r="AQ162" i="15"/>
  <c r="KI150" i="10"/>
  <c r="KE128" i="10"/>
  <c r="BM128" i="10"/>
  <c r="AS122" i="15"/>
  <c r="KJ88" i="10"/>
  <c r="JZ376" i="10"/>
  <c r="JZ153" i="10"/>
  <c r="KL389" i="10"/>
  <c r="KD360" i="10"/>
  <c r="BK360" i="10" s="1"/>
  <c r="AQ354" i="15" s="1"/>
  <c r="KI306" i="10"/>
  <c r="KA267" i="10"/>
  <c r="KE233" i="10"/>
  <c r="BM233" i="10"/>
  <c r="AS227" i="15"/>
  <c r="KI97" i="10"/>
  <c r="JZ336" i="10"/>
  <c r="JZ150" i="10"/>
  <c r="KE328" i="10"/>
  <c r="BM328" i="10"/>
  <c r="AS322" i="15"/>
  <c r="KA233" i="10"/>
  <c r="KJ389" i="10"/>
  <c r="JY360" i="10"/>
  <c r="JY357" i="10"/>
  <c r="KD336" i="10"/>
  <c r="BK336" i="10" s="1"/>
  <c r="AQ330" i="15" s="1"/>
  <c r="KD328" i="10"/>
  <c r="BK328" i="10"/>
  <c r="AQ322" i="15" s="1"/>
  <c r="JY233" i="10"/>
  <c r="KD192" i="10"/>
  <c r="BK192" i="10"/>
  <c r="AQ186" i="15" s="1"/>
  <c r="KD150" i="10"/>
  <c r="BK150" i="10" s="1"/>
  <c r="AQ144" i="15" s="1"/>
  <c r="JZ310" i="10"/>
  <c r="KB237" i="10"/>
  <c r="BJ237" i="10"/>
  <c r="AP231" i="15"/>
  <c r="KB214" i="10"/>
  <c r="BJ214" i="10"/>
  <c r="AP208" i="15"/>
  <c r="KI389" i="10"/>
  <c r="JX357" i="10"/>
  <c r="KA336" i="10"/>
  <c r="KA328" i="10"/>
  <c r="KD238" i="10"/>
  <c r="BK238" i="10" s="1"/>
  <c r="AQ232" i="15" s="1"/>
  <c r="JY192" i="10"/>
  <c r="JY150" i="10"/>
  <c r="KG389" i="10"/>
  <c r="JY336" i="10"/>
  <c r="JY328" i="10"/>
  <c r="JY315" i="10"/>
  <c r="KA238" i="10"/>
  <c r="JX192" i="10"/>
  <c r="JX150" i="10"/>
  <c r="JZ289" i="10"/>
  <c r="JY351" i="10"/>
  <c r="JX336" i="10"/>
  <c r="KE333" i="10"/>
  <c r="BM333" i="10"/>
  <c r="AS327" i="15"/>
  <c r="JX328" i="10"/>
  <c r="JX238" i="10"/>
  <c r="KD223" i="10"/>
  <c r="BK223" i="10"/>
  <c r="AQ217" i="15" s="1"/>
  <c r="KE135" i="10"/>
  <c r="BM135" i="10"/>
  <c r="AS129" i="15"/>
  <c r="KE110" i="10"/>
  <c r="BM110" i="10"/>
  <c r="AS104" i="15"/>
  <c r="KK82" i="10"/>
  <c r="BH82" i="10"/>
  <c r="AN76" i="15"/>
  <c r="JZ278" i="10"/>
  <c r="KD333" i="10"/>
  <c r="BK333" i="10" s="1"/>
  <c r="AQ327" i="15" s="1"/>
  <c r="JY223" i="10"/>
  <c r="KH211" i="10"/>
  <c r="JZ270" i="10"/>
  <c r="KB328" i="10"/>
  <c r="BJ328" i="10"/>
  <c r="AP322" i="15"/>
  <c r="KM350" i="10"/>
  <c r="BI350" i="10" s="1"/>
  <c r="AO344" i="15" s="1"/>
  <c r="JX333" i="10"/>
  <c r="KE318" i="10"/>
  <c r="BM318" i="10"/>
  <c r="AS312" i="15"/>
  <c r="JY200" i="10"/>
  <c r="KD176" i="10"/>
  <c r="BK176" i="10" s="1"/>
  <c r="AQ170" i="15" s="1"/>
  <c r="JX135" i="10"/>
  <c r="JZ121" i="10"/>
  <c r="JY338" i="10"/>
  <c r="JX200" i="10"/>
  <c r="KN178" i="10"/>
  <c r="KE119" i="10"/>
  <c r="BM119" i="10"/>
  <c r="AS113" i="15"/>
  <c r="JZ223" i="10"/>
  <c r="KE197" i="10"/>
  <c r="BM197" i="10"/>
  <c r="AS191" i="15"/>
  <c r="KJ178" i="10"/>
  <c r="KE154" i="10"/>
  <c r="BM154" i="10"/>
  <c r="AS148" i="15"/>
  <c r="KE149" i="10"/>
  <c r="BM149" i="10"/>
  <c r="AS143" i="15"/>
  <c r="JZ119" i="10"/>
  <c r="KE256" i="10"/>
  <c r="BM256" i="10"/>
  <c r="AS250" i="15"/>
  <c r="KG186" i="10"/>
  <c r="KI178" i="10"/>
  <c r="JZ197" i="10"/>
  <c r="JX73" i="10"/>
  <c r="JZ110" i="10"/>
  <c r="JY289" i="10"/>
  <c r="JY256" i="10"/>
  <c r="KE186" i="10"/>
  <c r="BM186" i="10"/>
  <c r="AS180" i="15"/>
  <c r="JY381" i="10"/>
  <c r="KD373" i="10"/>
  <c r="BK373" i="10" s="1"/>
  <c r="AQ367" i="15" s="1"/>
  <c r="KD310" i="10"/>
  <c r="BK310" i="10" s="1"/>
  <c r="AQ304" i="15" s="1"/>
  <c r="JX289" i="10"/>
  <c r="JY286" i="10"/>
  <c r="JX256" i="10"/>
  <c r="KK205" i="10"/>
  <c r="BH205" i="10"/>
  <c r="AN199" i="15"/>
  <c r="KD186" i="10"/>
  <c r="BK186" i="10"/>
  <c r="AQ180" i="15" s="1"/>
  <c r="KE164" i="10"/>
  <c r="BM164" i="10"/>
  <c r="AS158" i="15"/>
  <c r="JX95" i="10"/>
  <c r="KM358" i="10"/>
  <c r="BI358" i="10" s="1"/>
  <c r="AO352" i="15" s="1"/>
  <c r="KA310" i="10"/>
  <c r="KD246" i="10"/>
  <c r="BK246" i="10"/>
  <c r="AQ240" i="15" s="1"/>
  <c r="KJ205" i="10"/>
  <c r="KA186" i="10"/>
  <c r="KD164" i="10"/>
  <c r="BK164" i="10" s="1"/>
  <c r="AQ158" i="15" s="1"/>
  <c r="KH159" i="10"/>
  <c r="JY137" i="10"/>
  <c r="JY304" i="10"/>
  <c r="JY186" i="10"/>
  <c r="KA164" i="10"/>
  <c r="KA129" i="10"/>
  <c r="KE313" i="10"/>
  <c r="BM313" i="10"/>
  <c r="AS307" i="15"/>
  <c r="JX310" i="10"/>
  <c r="JX304" i="10"/>
  <c r="KD291" i="10"/>
  <c r="BK291" i="10" s="1"/>
  <c r="AQ285" i="15" s="1"/>
  <c r="KK279" i="10"/>
  <c r="BH279" i="10"/>
  <c r="AN273" i="15"/>
  <c r="KA265" i="10"/>
  <c r="JX246" i="10"/>
  <c r="KD215" i="10"/>
  <c r="BK215" i="10" s="1"/>
  <c r="AQ209" i="15" s="1"/>
  <c r="KE210" i="10"/>
  <c r="BM210" i="10"/>
  <c r="AS204" i="15"/>
  <c r="JX186" i="10"/>
  <c r="JY164" i="10"/>
  <c r="KD256" i="10"/>
  <c r="BK256" i="10" s="1"/>
  <c r="AQ250" i="15" s="1"/>
  <c r="KD313" i="10"/>
  <c r="BK313" i="10" s="1"/>
  <c r="AQ307" i="15" s="1"/>
  <c r="KA291" i="10"/>
  <c r="KA215" i="10"/>
  <c r="KD210" i="10"/>
  <c r="BK210" i="10"/>
  <c r="AQ204" i="15" s="1"/>
  <c r="JX164" i="10"/>
  <c r="KE153" i="10"/>
  <c r="BM153" i="10"/>
  <c r="AS147" i="15"/>
  <c r="JY115" i="10"/>
  <c r="JZ168" i="10"/>
  <c r="JY210" i="10"/>
  <c r="KL156" i="10"/>
  <c r="KB150" i="10"/>
  <c r="BJ150" i="10"/>
  <c r="AP144" i="15"/>
  <c r="JX291" i="10"/>
  <c r="KE270" i="10"/>
  <c r="BM270" i="10"/>
  <c r="AS264" i="15"/>
  <c r="KD218" i="10"/>
  <c r="BK218" i="10"/>
  <c r="AQ212" i="15" s="1"/>
  <c r="JX215" i="10"/>
  <c r="KN171" i="10"/>
  <c r="KJ156" i="10"/>
  <c r="JY153" i="10"/>
  <c r="KJ139" i="10"/>
  <c r="KG279" i="10"/>
  <c r="KK227" i="10"/>
  <c r="BH227" i="10"/>
  <c r="AN221" i="15"/>
  <c r="KE203" i="10"/>
  <c r="BM203" i="10"/>
  <c r="AS197" i="15"/>
  <c r="JY201" i="10"/>
  <c r="KA173" i="10"/>
  <c r="KD118" i="10"/>
  <c r="BK118" i="10" s="1"/>
  <c r="AQ112" i="15"/>
  <c r="KE86" i="10"/>
  <c r="BM86" i="10"/>
  <c r="AS80" i="15"/>
  <c r="KA78" i="10"/>
  <c r="KA58" i="10"/>
  <c r="JZ154" i="10"/>
  <c r="JZ100" i="10"/>
  <c r="KB174" i="10"/>
  <c r="BJ174" i="10"/>
  <c r="AP168" i="15"/>
  <c r="KL390" i="10"/>
  <c r="KI299" i="10"/>
  <c r="KG227" i="10"/>
  <c r="KD203" i="10"/>
  <c r="BK203" i="10" s="1"/>
  <c r="AQ197" i="15" s="1"/>
  <c r="JX201" i="10"/>
  <c r="KH180" i="10"/>
  <c r="KE175" i="10"/>
  <c r="BM175" i="10"/>
  <c r="AS169" i="15"/>
  <c r="JY173" i="10"/>
  <c r="JY133" i="10"/>
  <c r="KA118" i="10"/>
  <c r="KA86" i="10"/>
  <c r="JX78" i="10"/>
  <c r="JY73" i="10"/>
  <c r="KA70" i="10"/>
  <c r="JY58" i="10"/>
  <c r="KE45" i="10"/>
  <c r="BM45" i="10"/>
  <c r="AS39" i="15"/>
  <c r="KE31" i="10"/>
  <c r="BM31" i="10"/>
  <c r="AS25" i="15"/>
  <c r="JZ95" i="10"/>
  <c r="KC391" i="10"/>
  <c r="BL391" i="10"/>
  <c r="AR385" i="15"/>
  <c r="KC313" i="10"/>
  <c r="BL313" i="10"/>
  <c r="AR307" i="15"/>
  <c r="KC223" i="10"/>
  <c r="BL223" i="10"/>
  <c r="AR217" i="15"/>
  <c r="KC137" i="10"/>
  <c r="BL137" i="10"/>
  <c r="AR131" i="15"/>
  <c r="KC122" i="10"/>
  <c r="BL122" i="10"/>
  <c r="AR116" i="15"/>
  <c r="KC107" i="10"/>
  <c r="BL107" i="10"/>
  <c r="AR101" i="15"/>
  <c r="KN392" i="10"/>
  <c r="KK390" i="10"/>
  <c r="BH390" i="10"/>
  <c r="AN384" i="15"/>
  <c r="KL379" i="10"/>
  <c r="KA203" i="10"/>
  <c r="KD175" i="10"/>
  <c r="BK175" i="10" s="1"/>
  <c r="AQ169" i="15" s="1"/>
  <c r="JX58" i="10"/>
  <c r="KD31" i="10"/>
  <c r="BK31" i="10" s="1"/>
  <c r="AQ25" i="15" s="1"/>
  <c r="JZ60" i="10"/>
  <c r="KB164" i="10"/>
  <c r="BJ164" i="10"/>
  <c r="AP158" i="15"/>
  <c r="KC390" i="10"/>
  <c r="BL390" i="10"/>
  <c r="AR384" i="15"/>
  <c r="KC222" i="10"/>
  <c r="BL222" i="10"/>
  <c r="AR216" i="15"/>
  <c r="KC167" i="10"/>
  <c r="BL167" i="10"/>
  <c r="AR161" i="15"/>
  <c r="KK392" i="10"/>
  <c r="BH392" i="10"/>
  <c r="AN386" i="15"/>
  <c r="KJ390" i="10"/>
  <c r="KJ379" i="10"/>
  <c r="KN244" i="10"/>
  <c r="JY203" i="10"/>
  <c r="KE180" i="10"/>
  <c r="BM180" i="10"/>
  <c r="AS174" i="15"/>
  <c r="KA175" i="10"/>
  <c r="KD112" i="10"/>
  <c r="BK112" i="10"/>
  <c r="AQ106" i="15" s="1"/>
  <c r="KE96" i="10"/>
  <c r="BM96" i="10"/>
  <c r="AS90" i="15"/>
  <c r="KA31" i="10"/>
  <c r="JZ207" i="10"/>
  <c r="JZ148" i="10"/>
  <c r="KC389" i="10"/>
  <c r="BL389" i="10"/>
  <c r="AR383" i="15"/>
  <c r="KC308" i="10"/>
  <c r="BL308" i="10"/>
  <c r="AR302" i="15"/>
  <c r="KI392" i="10"/>
  <c r="KI390" i="10"/>
  <c r="KI388" i="10"/>
  <c r="KH379" i="10"/>
  <c r="JX340" i="10"/>
  <c r="JX318" i="10"/>
  <c r="KM287" i="10"/>
  <c r="BI287" i="10"/>
  <c r="AO281" i="15" s="1"/>
  <c r="KE265" i="10"/>
  <c r="BM265" i="10"/>
  <c r="AS259" i="15"/>
  <c r="KA256" i="10"/>
  <c r="KA247" i="10"/>
  <c r="KK244" i="10"/>
  <c r="BH244" i="10"/>
  <c r="AN238" i="15"/>
  <c r="KN235" i="10"/>
  <c r="JX203" i="10"/>
  <c r="KA192" i="10"/>
  <c r="JX190" i="10"/>
  <c r="KD185" i="10"/>
  <c r="BK185" i="10" s="1"/>
  <c r="AQ179" i="15" s="1"/>
  <c r="KA180" i="10"/>
  <c r="JX175" i="10"/>
  <c r="KE165" i="10"/>
  <c r="BM165" i="10"/>
  <c r="AS159" i="15"/>
  <c r="JX146" i="10"/>
  <c r="KE140" i="10"/>
  <c r="BM140" i="10"/>
  <c r="AS134" i="15"/>
  <c r="KA130" i="10"/>
  <c r="KE125" i="10"/>
  <c r="BM125" i="10"/>
  <c r="AS119" i="15"/>
  <c r="KE115" i="10"/>
  <c r="BM115" i="10"/>
  <c r="AS109" i="15"/>
  <c r="JY112" i="10"/>
  <c r="JY96" i="10"/>
  <c r="JX63" i="10"/>
  <c r="KA60" i="10"/>
  <c r="KE52" i="10"/>
  <c r="BM52" i="10"/>
  <c r="AS46" i="15"/>
  <c r="KE41" i="10"/>
  <c r="BM41" i="10"/>
  <c r="AS35" i="15"/>
  <c r="JY38" i="10"/>
  <c r="KE34" i="10"/>
  <c r="BM34" i="10"/>
  <c r="AS28" i="15"/>
  <c r="JZ206" i="10"/>
  <c r="JZ27" i="10"/>
  <c r="KB142" i="10"/>
  <c r="BJ142" i="10"/>
  <c r="AP136" i="15"/>
  <c r="KC388" i="10"/>
  <c r="BL388" i="10"/>
  <c r="AR382" i="15"/>
  <c r="KC305" i="10"/>
  <c r="BL305" i="10"/>
  <c r="AR299" i="15"/>
  <c r="KC209" i="10"/>
  <c r="BL209" i="10"/>
  <c r="AR203" i="15"/>
  <c r="KC150" i="10"/>
  <c r="BL150" i="10"/>
  <c r="AR144" i="15"/>
  <c r="KC135" i="10"/>
  <c r="BL135" i="10"/>
  <c r="AR129" i="15"/>
  <c r="KG392" i="10"/>
  <c r="KG388" i="10"/>
  <c r="KG379" i="10"/>
  <c r="KM323" i="10"/>
  <c r="BI323" i="10" s="1"/>
  <c r="AO317" i="15" s="1"/>
  <c r="KH235" i="10"/>
  <c r="JX112" i="10"/>
  <c r="KA109" i="10"/>
  <c r="JX96" i="10"/>
  <c r="JY60" i="10"/>
  <c r="KE48" i="10"/>
  <c r="BM48" i="10"/>
  <c r="AS42" i="15"/>
  <c r="KD41" i="10"/>
  <c r="BK41" i="10" s="1"/>
  <c r="AQ35" i="15" s="1"/>
  <c r="JZ203" i="10"/>
  <c r="JZ145" i="10"/>
  <c r="JZ59" i="10"/>
  <c r="KC165" i="10"/>
  <c r="BL165" i="10"/>
  <c r="AR159" i="15"/>
  <c r="KN249" i="10"/>
  <c r="JZ201" i="10"/>
  <c r="JZ144" i="10"/>
  <c r="KC201" i="10"/>
  <c r="BL201" i="10"/>
  <c r="AR195" i="15"/>
  <c r="JZ143" i="10"/>
  <c r="JZ58" i="10"/>
  <c r="KD273" i="10"/>
  <c r="BK273" i="10"/>
  <c r="AQ267" i="15" s="1"/>
  <c r="KD249" i="10"/>
  <c r="BK249" i="10"/>
  <c r="AQ243" i="15" s="1"/>
  <c r="KG229" i="10"/>
  <c r="JY218" i="10"/>
  <c r="KH172" i="10"/>
  <c r="JY143" i="10"/>
  <c r="JZ74" i="10"/>
  <c r="KC294" i="10"/>
  <c r="BL294" i="10"/>
  <c r="AR288" i="15"/>
  <c r="KM359" i="10"/>
  <c r="BI359" i="10" s="1"/>
  <c r="AO353" i="15" s="1"/>
  <c r="KA273" i="10"/>
  <c r="KA249" i="10"/>
  <c r="KE226" i="10"/>
  <c r="BM226" i="10"/>
  <c r="AS220" i="15"/>
  <c r="KA182" i="10"/>
  <c r="JZ196" i="10"/>
  <c r="KK359" i="10"/>
  <c r="BH359" i="10"/>
  <c r="AN353" i="15"/>
  <c r="JY342" i="10"/>
  <c r="KD320" i="10"/>
  <c r="BK320" i="10" s="1"/>
  <c r="AQ314" i="15" s="1"/>
  <c r="KI298" i="10"/>
  <c r="JY273" i="10"/>
  <c r="JY249" i="10"/>
  <c r="KD226" i="10"/>
  <c r="BK226" i="10" s="1"/>
  <c r="AQ220" i="15" s="1"/>
  <c r="JX182" i="10"/>
  <c r="JY160" i="10"/>
  <c r="JX158" i="10"/>
  <c r="JX137" i="10"/>
  <c r="KA122" i="10"/>
  <c r="JY106" i="10"/>
  <c r="JX101" i="10"/>
  <c r="KA77" i="10"/>
  <c r="KA72" i="10"/>
  <c r="JX65" i="10"/>
  <c r="KE62" i="10"/>
  <c r="BM62" i="10"/>
  <c r="AS56" i="15"/>
  <c r="JZ361" i="10"/>
  <c r="JZ135" i="10"/>
  <c r="JZ41" i="10"/>
  <c r="KB277" i="10"/>
  <c r="BJ277" i="10"/>
  <c r="AP271" i="15"/>
  <c r="KB75" i="10"/>
  <c r="BJ75" i="10"/>
  <c r="AP69" i="15"/>
  <c r="KC367" i="10"/>
  <c r="BL367" i="10"/>
  <c r="AR361" i="15"/>
  <c r="KC277" i="10"/>
  <c r="BL277" i="10"/>
  <c r="AR271" i="15"/>
  <c r="KC184" i="10"/>
  <c r="BL184" i="10"/>
  <c r="AR178" i="15"/>
  <c r="KC58" i="10"/>
  <c r="BL58" i="10"/>
  <c r="AR52" i="15"/>
  <c r="KM313" i="10"/>
  <c r="BI313" i="10" s="1"/>
  <c r="AO307" i="15" s="1"/>
  <c r="JX273" i="10"/>
  <c r="JX249" i="10"/>
  <c r="JY226" i="10"/>
  <c r="KE174" i="10"/>
  <c r="BM174" i="10"/>
  <c r="AS168" i="15"/>
  <c r="KE54" i="10"/>
  <c r="BM54" i="10"/>
  <c r="AS48" i="15"/>
  <c r="JZ358" i="10"/>
  <c r="KK313" i="10"/>
  <c r="BH313" i="10"/>
  <c r="AN307" i="15"/>
  <c r="KG260" i="10"/>
  <c r="JX226" i="10"/>
  <c r="KA174" i="10"/>
  <c r="KH89" i="10"/>
  <c r="JX72" i="10"/>
  <c r="KE59" i="10"/>
  <c r="BM59" i="10"/>
  <c r="AS53" i="15"/>
  <c r="KD54" i="10"/>
  <c r="BK54" i="10" s="1"/>
  <c r="AQ48" i="15" s="1"/>
  <c r="JZ184" i="10"/>
  <c r="KB58" i="10"/>
  <c r="BJ58" i="10"/>
  <c r="AP52" i="15"/>
  <c r="KC271" i="10"/>
  <c r="BL271" i="10"/>
  <c r="AR265" i="15"/>
  <c r="KC78" i="10"/>
  <c r="BL78" i="10"/>
  <c r="AR72" i="15"/>
  <c r="KC35" i="10"/>
  <c r="BL35" i="10"/>
  <c r="AR29" i="15"/>
  <c r="KM373" i="10"/>
  <c r="BI373" i="10"/>
  <c r="AO367" i="15" s="1"/>
  <c r="KM356" i="10"/>
  <c r="BI356" i="10" s="1"/>
  <c r="AO350" i="15" s="1"/>
  <c r="JY174" i="10"/>
  <c r="KE129" i="10"/>
  <c r="BM129" i="10"/>
  <c r="AS123" i="15"/>
  <c r="KA54" i="10"/>
  <c r="KE33" i="10"/>
  <c r="BM33" i="10"/>
  <c r="AS27" i="15"/>
  <c r="KI373" i="10"/>
  <c r="KH356" i="10"/>
  <c r="KG325" i="10"/>
  <c r="KL217" i="10"/>
  <c r="JX174" i="10"/>
  <c r="KD129" i="10"/>
  <c r="BK129" i="10" s="1"/>
  <c r="AQ123" i="15" s="1"/>
  <c r="KA95" i="10"/>
  <c r="KD74" i="10"/>
  <c r="BK74" i="10" s="1"/>
  <c r="AQ68" i="15"/>
  <c r="KA59" i="10"/>
  <c r="KE40" i="10"/>
  <c r="BM40" i="10"/>
  <c r="AS34" i="15"/>
  <c r="KD33" i="10"/>
  <c r="BK33" i="10" s="1"/>
  <c r="AQ27" i="15" s="1"/>
  <c r="KC358" i="10"/>
  <c r="BL358" i="10"/>
  <c r="AR352" i="15"/>
  <c r="KC267" i="10"/>
  <c r="BL267" i="10"/>
  <c r="AR261" i="15"/>
  <c r="KC174" i="10"/>
  <c r="BL174" i="10"/>
  <c r="AR168" i="15"/>
  <c r="KC159" i="10"/>
  <c r="BL159" i="10"/>
  <c r="AR153" i="15"/>
  <c r="KC129" i="10"/>
  <c r="BL129" i="10"/>
  <c r="AR123" i="15"/>
  <c r="KN350" i="10"/>
  <c r="KJ322" i="10"/>
  <c r="KJ159" i="10"/>
  <c r="JY129" i="10"/>
  <c r="JY87" i="10"/>
  <c r="JY74" i="10"/>
  <c r="JX59" i="10"/>
  <c r="KE56" i="10"/>
  <c r="BM56" i="10"/>
  <c r="AS50" i="15"/>
  <c r="JZ297" i="10"/>
  <c r="JZ173" i="10"/>
  <c r="JZ122" i="10"/>
  <c r="KB41" i="10"/>
  <c r="BJ41" i="10"/>
  <c r="AP35" i="15"/>
  <c r="KC349" i="10"/>
  <c r="BL349" i="10"/>
  <c r="AR343" i="15"/>
  <c r="KC262" i="10"/>
  <c r="BL262" i="10"/>
  <c r="AR256" i="15"/>
  <c r="KC173" i="10"/>
  <c r="BL173" i="10"/>
  <c r="AR167" i="15"/>
  <c r="KC158" i="10"/>
  <c r="BL158" i="10"/>
  <c r="AR152" i="15"/>
  <c r="KC143" i="10"/>
  <c r="BL143" i="10"/>
  <c r="AR137" i="15"/>
  <c r="KC95" i="10"/>
  <c r="BL95" i="10"/>
  <c r="AR89" i="15"/>
  <c r="KC32" i="10"/>
  <c r="BL32" i="10"/>
  <c r="AR26" i="15"/>
  <c r="JX129" i="10"/>
  <c r="KI367" i="10"/>
  <c r="KJ350" i="10"/>
  <c r="KL283" i="10"/>
  <c r="KD154" i="10"/>
  <c r="BK154" i="10" s="1"/>
  <c r="AQ148" i="15"/>
  <c r="KK144" i="10"/>
  <c r="BH144" i="10"/>
  <c r="AN138" i="15"/>
  <c r="KD81" i="10"/>
  <c r="BK81" i="10" s="1"/>
  <c r="AQ75" i="15" s="1"/>
  <c r="KA56" i="10"/>
  <c r="JZ279" i="10"/>
  <c r="JZ35" i="10"/>
  <c r="KB200" i="10"/>
  <c r="BJ200" i="10"/>
  <c r="AP194" i="15"/>
  <c r="KC249" i="10"/>
  <c r="BL249" i="10"/>
  <c r="AR243" i="15"/>
  <c r="KC157" i="10"/>
  <c r="BL157" i="10"/>
  <c r="AR151" i="15"/>
  <c r="KC126" i="10"/>
  <c r="BL126" i="10"/>
  <c r="AR120" i="15"/>
  <c r="KC111" i="10"/>
  <c r="BL111" i="10"/>
  <c r="AR105" i="15"/>
  <c r="KC31" i="10"/>
  <c r="BL31" i="10"/>
  <c r="AR25" i="15"/>
  <c r="KE159" i="10"/>
  <c r="BM159" i="10"/>
  <c r="AS153" i="15"/>
  <c r="KC342" i="10"/>
  <c r="BL342" i="10"/>
  <c r="AR336" i="15"/>
  <c r="KC247" i="10"/>
  <c r="BL247" i="10"/>
  <c r="AR241" i="15"/>
  <c r="KN358" i="10"/>
  <c r="KH315" i="10"/>
  <c r="KN306" i="10"/>
  <c r="KD288" i="10"/>
  <c r="BK288" i="10" s="1"/>
  <c r="AQ282" i="15"/>
  <c r="KJ274" i="10"/>
  <c r="KM203" i="10"/>
  <c r="BI203" i="10" s="1"/>
  <c r="AO197" i="15" s="1"/>
  <c r="KI173" i="10"/>
  <c r="KD159" i="10"/>
  <c r="BK159" i="10" s="1"/>
  <c r="AQ153" i="15" s="1"/>
  <c r="JX154" i="10"/>
  <c r="KE144" i="10"/>
  <c r="BM144" i="10"/>
  <c r="AS138" i="15"/>
  <c r="KG138" i="10"/>
  <c r="JY126" i="10"/>
  <c r="JY116" i="10"/>
  <c r="KD102" i="10"/>
  <c r="BK102" i="10" s="1"/>
  <c r="AQ96" i="15" s="1"/>
  <c r="JY100" i="10"/>
  <c r="JY81" i="10"/>
  <c r="JY61" i="10"/>
  <c r="JX56" i="10"/>
  <c r="KD35" i="10"/>
  <c r="BK35" i="10" s="1"/>
  <c r="AQ29" i="15" s="1"/>
  <c r="KE27" i="10"/>
  <c r="BM27" i="10"/>
  <c r="AS21" i="15"/>
  <c r="JZ274" i="10"/>
  <c r="JZ165" i="10"/>
  <c r="JZ34" i="10"/>
  <c r="KB337" i="10"/>
  <c r="BJ337" i="10"/>
  <c r="AP331" i="15"/>
  <c r="JX24" i="10"/>
  <c r="KC246" i="10"/>
  <c r="BL246" i="10"/>
  <c r="AR240" i="15"/>
  <c r="KC110" i="10"/>
  <c r="BL110" i="10"/>
  <c r="AR104" i="15"/>
  <c r="KA288" i="10"/>
  <c r="KJ203" i="10"/>
  <c r="KE201" i="10"/>
  <c r="BM201" i="10"/>
  <c r="AS195" i="15"/>
  <c r="KD196" i="10"/>
  <c r="BK196" i="10"/>
  <c r="AQ190" i="15" s="1"/>
  <c r="KA159" i="10"/>
  <c r="KD144" i="10"/>
  <c r="BK144" i="10"/>
  <c r="AQ138" i="15" s="1"/>
  <c r="JX116" i="10"/>
  <c r="KC328" i="10"/>
  <c r="BL328" i="10"/>
  <c r="AR322" i="15"/>
  <c r="KC241" i="10"/>
  <c r="BL241" i="10"/>
  <c r="AR235" i="15"/>
  <c r="JY288" i="10"/>
  <c r="KM279" i="10"/>
  <c r="BI279" i="10" s="1"/>
  <c r="AO273" i="15" s="1"/>
  <c r="KN259" i="10"/>
  <c r="KI203" i="10"/>
  <c r="KD201" i="10"/>
  <c r="BK201" i="10"/>
  <c r="AQ195" i="15" s="1"/>
  <c r="KA196" i="10"/>
  <c r="KE173" i="10"/>
  <c r="BM173" i="10"/>
  <c r="AS167" i="15"/>
  <c r="JY159" i="10"/>
  <c r="JY144" i="10"/>
  <c r="KL128" i="10"/>
  <c r="JY35" i="10"/>
  <c r="JZ257" i="10"/>
  <c r="JZ159" i="10"/>
  <c r="JZ106" i="10"/>
  <c r="KC325" i="10"/>
  <c r="BL325" i="10"/>
  <c r="AR319" i="15"/>
  <c r="KC236" i="10"/>
  <c r="BL236" i="10"/>
  <c r="AR230" i="15"/>
  <c r="KC109" i="10"/>
  <c r="BL109" i="10"/>
  <c r="AR103" i="15"/>
  <c r="KC48" i="10"/>
  <c r="BL48" i="10"/>
  <c r="AR42" i="15"/>
  <c r="JX144" i="10"/>
  <c r="IQ231" i="10"/>
  <c r="IQ303" i="10"/>
  <c r="IQ297" i="10"/>
  <c r="IQ295" i="10"/>
  <c r="IQ291" i="10"/>
  <c r="IQ287" i="10"/>
  <c r="IQ279" i="10"/>
  <c r="IQ277" i="10"/>
  <c r="IQ273" i="10"/>
  <c r="IQ271" i="10"/>
  <c r="IQ267" i="10"/>
  <c r="IQ263" i="10"/>
  <c r="IQ255" i="10"/>
  <c r="IQ253" i="10"/>
  <c r="IQ249" i="10"/>
  <c r="IQ247" i="10"/>
  <c r="IQ243" i="10"/>
  <c r="IQ239" i="10"/>
  <c r="IQ302" i="10"/>
  <c r="IQ278" i="10"/>
  <c r="IQ254" i="10"/>
  <c r="IQ230" i="10"/>
  <c r="IQ300" i="10"/>
  <c r="IQ276" i="10"/>
  <c r="IQ252" i="10"/>
  <c r="IQ299" i="10"/>
  <c r="IQ275" i="10"/>
  <c r="IQ251" i="10"/>
  <c r="IQ298" i="10"/>
  <c r="IQ274" i="10"/>
  <c r="IQ250" i="10"/>
  <c r="IQ296" i="10"/>
  <c r="IQ272" i="10"/>
  <c r="IQ248" i="10"/>
  <c r="IQ294" i="10"/>
  <c r="IQ270" i="10"/>
  <c r="IQ246" i="10"/>
  <c r="IQ293" i="10"/>
  <c r="IQ269" i="10"/>
  <c r="IQ245" i="10"/>
  <c r="IQ292" i="10"/>
  <c r="IQ268" i="10"/>
  <c r="IQ244" i="10"/>
  <c r="IQ290" i="10"/>
  <c r="IQ266" i="10"/>
  <c r="IQ242" i="10"/>
  <c r="IQ289" i="10"/>
  <c r="IQ265" i="10"/>
  <c r="IQ241" i="10"/>
  <c r="IQ288" i="10"/>
  <c r="IQ264" i="10"/>
  <c r="IQ240" i="10"/>
  <c r="IQ286" i="10"/>
  <c r="IQ262" i="10"/>
  <c r="IQ238" i="10"/>
  <c r="IQ285" i="10"/>
  <c r="IQ261" i="10"/>
  <c r="IQ237" i="10"/>
  <c r="IQ284" i="10"/>
  <c r="IQ260" i="10"/>
  <c r="IQ236" i="10"/>
  <c r="IQ283" i="10"/>
  <c r="IQ259" i="10"/>
  <c r="IQ235" i="10"/>
  <c r="IQ282" i="10"/>
  <c r="IQ258" i="10"/>
  <c r="IQ234" i="10"/>
  <c r="IQ281" i="10"/>
  <c r="IQ257" i="10"/>
  <c r="IQ233" i="10"/>
  <c r="IQ304" i="10"/>
  <c r="IQ280" i="10"/>
  <c r="IQ256" i="10"/>
  <c r="IQ232" i="10"/>
  <c r="JO282" i="10"/>
  <c r="JP282" i="10"/>
  <c r="JO138" i="10"/>
  <c r="JP138" i="10"/>
  <c r="FG158" i="10"/>
  <c r="JO162" i="10"/>
  <c r="JP162" i="10"/>
  <c r="JO114" i="10"/>
  <c r="JP114" i="10"/>
  <c r="JO234" i="10"/>
  <c r="JP234" i="10"/>
  <c r="JN108" i="10"/>
  <c r="FG235" i="10"/>
  <c r="JO185" i="10"/>
  <c r="JP185" i="10"/>
  <c r="JO281" i="10"/>
  <c r="JO257" i="10"/>
  <c r="JP257" i="10"/>
  <c r="JO290" i="10"/>
  <c r="JP290" i="10"/>
  <c r="JO233" i="10"/>
  <c r="JP233" i="10"/>
  <c r="FG287" i="10"/>
  <c r="JO142" i="10"/>
  <c r="JP142" i="10"/>
  <c r="FG222" i="10"/>
  <c r="IQ130" i="10"/>
  <c r="IQ188" i="10"/>
  <c r="IQ178" i="10"/>
  <c r="IQ58" i="10"/>
  <c r="IQ226" i="10"/>
  <c r="IQ118" i="10"/>
  <c r="IQ48" i="10"/>
  <c r="IQ168" i="10"/>
  <c r="IQ166" i="10"/>
  <c r="IQ154" i="10"/>
  <c r="IQ144" i="10"/>
  <c r="IQ120" i="10"/>
  <c r="IQ116" i="10"/>
  <c r="IQ106" i="10"/>
  <c r="IQ96" i="10"/>
  <c r="IQ92" i="10"/>
  <c r="IQ82" i="10"/>
  <c r="IQ72" i="10"/>
  <c r="IQ70" i="10"/>
  <c r="IQ216" i="10"/>
  <c r="IQ214" i="10"/>
  <c r="IQ212" i="10"/>
  <c r="IQ202" i="10"/>
  <c r="IQ192" i="10"/>
  <c r="IQ198" i="10"/>
  <c r="IQ102" i="10"/>
  <c r="IQ190" i="10"/>
  <c r="IQ94" i="10"/>
  <c r="IQ182" i="10"/>
  <c r="IQ86" i="10"/>
  <c r="IQ174" i="10"/>
  <c r="IQ78" i="10"/>
  <c r="IQ164" i="10"/>
  <c r="IQ68" i="10"/>
  <c r="IQ158" i="10"/>
  <c r="IQ62" i="10"/>
  <c r="IQ150" i="10"/>
  <c r="IQ54" i="10"/>
  <c r="IQ142" i="10"/>
  <c r="IQ44" i="10"/>
  <c r="IQ140" i="10"/>
  <c r="IQ38" i="10"/>
  <c r="IQ134" i="10"/>
  <c r="IQ34" i="10"/>
  <c r="IQ222" i="10"/>
  <c r="IQ126" i="10"/>
  <c r="IQ206" i="10"/>
  <c r="IQ110" i="10"/>
  <c r="IQ215" i="10"/>
  <c r="IQ191" i="10"/>
  <c r="IQ167" i="10"/>
  <c r="IQ143" i="10"/>
  <c r="IQ119" i="10"/>
  <c r="IQ95" i="10"/>
  <c r="IQ71" i="10"/>
  <c r="IQ47" i="10"/>
  <c r="IQ46" i="10"/>
  <c r="IQ213" i="10"/>
  <c r="IQ189" i="10"/>
  <c r="IQ165" i="10"/>
  <c r="IQ141" i="10"/>
  <c r="IQ117" i="10"/>
  <c r="IQ93" i="10"/>
  <c r="IQ69" i="10"/>
  <c r="IQ45" i="10"/>
  <c r="IQ211" i="10"/>
  <c r="IQ187" i="10"/>
  <c r="IQ163" i="10"/>
  <c r="IQ139" i="10"/>
  <c r="IQ115" i="10"/>
  <c r="IQ91" i="10"/>
  <c r="IQ67" i="10"/>
  <c r="IQ43" i="10"/>
  <c r="IQ210" i="10"/>
  <c r="IQ186" i="10"/>
  <c r="IQ162" i="10"/>
  <c r="IQ138" i="10"/>
  <c r="IQ114" i="10"/>
  <c r="IQ90" i="10"/>
  <c r="IQ66" i="10"/>
  <c r="IQ42" i="10"/>
  <c r="IQ209" i="10"/>
  <c r="IQ185" i="10"/>
  <c r="IQ161" i="10"/>
  <c r="IQ137" i="10"/>
  <c r="IQ113" i="10"/>
  <c r="IQ89" i="10"/>
  <c r="IQ65" i="10"/>
  <c r="IQ41" i="10"/>
  <c r="IQ208" i="10"/>
  <c r="IQ184" i="10"/>
  <c r="IQ160" i="10"/>
  <c r="IQ136" i="10"/>
  <c r="IQ112" i="10"/>
  <c r="IQ88" i="10"/>
  <c r="IQ64" i="10"/>
  <c r="IQ40" i="10"/>
  <c r="IQ207" i="10"/>
  <c r="IQ183" i="10"/>
  <c r="IQ159" i="10"/>
  <c r="IQ135" i="10"/>
  <c r="IQ111" i="10"/>
  <c r="IQ87" i="10"/>
  <c r="IQ63" i="10"/>
  <c r="IQ39" i="10"/>
  <c r="IQ229" i="10"/>
  <c r="IQ205" i="10"/>
  <c r="IQ181" i="10"/>
  <c r="IQ157" i="10"/>
  <c r="IQ133" i="10"/>
  <c r="IQ109" i="10"/>
  <c r="IQ85" i="10"/>
  <c r="IQ61" i="10"/>
  <c r="IQ37" i="10"/>
  <c r="IQ228" i="10"/>
  <c r="IQ204" i="10"/>
  <c r="IQ180" i="10"/>
  <c r="IQ156" i="10"/>
  <c r="IQ132" i="10"/>
  <c r="IQ108" i="10"/>
  <c r="IQ84" i="10"/>
  <c r="IQ60" i="10"/>
  <c r="IQ36" i="10"/>
  <c r="IQ227" i="10"/>
  <c r="IQ203" i="10"/>
  <c r="IQ179" i="10"/>
  <c r="IQ155" i="10"/>
  <c r="IQ131" i="10"/>
  <c r="IQ107" i="10"/>
  <c r="IQ83" i="10"/>
  <c r="IQ59" i="10"/>
  <c r="IQ35" i="10"/>
  <c r="IQ225" i="10"/>
  <c r="IQ201" i="10"/>
  <c r="IQ177" i="10"/>
  <c r="IQ153" i="10"/>
  <c r="IQ129" i="10"/>
  <c r="IQ105" i="10"/>
  <c r="IQ81" i="10"/>
  <c r="IQ57" i="10"/>
  <c r="IQ33" i="10"/>
  <c r="IQ224" i="10"/>
  <c r="IQ200" i="10"/>
  <c r="IQ176" i="10"/>
  <c r="IQ152" i="10"/>
  <c r="IQ128" i="10"/>
  <c r="IQ104" i="10"/>
  <c r="IQ80" i="10"/>
  <c r="IQ56" i="10"/>
  <c r="IQ32" i="10"/>
  <c r="IQ223" i="10"/>
  <c r="IQ199" i="10"/>
  <c r="IQ175" i="10"/>
  <c r="IQ151" i="10"/>
  <c r="IQ127" i="10"/>
  <c r="IQ103" i="10"/>
  <c r="IQ79" i="10"/>
  <c r="IQ55" i="10"/>
  <c r="IQ31" i="10"/>
  <c r="IQ221" i="10"/>
  <c r="IQ197" i="10"/>
  <c r="IQ173" i="10"/>
  <c r="IQ149" i="10"/>
  <c r="IQ125" i="10"/>
  <c r="IQ101" i="10"/>
  <c r="IQ77" i="10"/>
  <c r="IQ53" i="10"/>
  <c r="IQ220" i="10"/>
  <c r="IQ196" i="10"/>
  <c r="IQ172" i="10"/>
  <c r="IQ148" i="10"/>
  <c r="IQ124" i="10"/>
  <c r="IQ100" i="10"/>
  <c r="IQ76" i="10"/>
  <c r="IQ52" i="10"/>
  <c r="IQ219" i="10"/>
  <c r="IQ195" i="10"/>
  <c r="IQ171" i="10"/>
  <c r="IQ147" i="10"/>
  <c r="IQ123" i="10"/>
  <c r="IQ99" i="10"/>
  <c r="IQ75" i="10"/>
  <c r="IQ51" i="10"/>
  <c r="IQ218" i="10"/>
  <c r="IQ194" i="10"/>
  <c r="IQ170" i="10"/>
  <c r="IQ146" i="10"/>
  <c r="IQ122" i="10"/>
  <c r="IQ98" i="10"/>
  <c r="IQ74" i="10"/>
  <c r="IQ50" i="10"/>
  <c r="IQ217" i="10"/>
  <c r="IQ193" i="10"/>
  <c r="IQ169" i="10"/>
  <c r="IQ145" i="10"/>
  <c r="IQ121" i="10"/>
  <c r="IQ97" i="10"/>
  <c r="IQ73" i="10"/>
  <c r="IQ49" i="10"/>
  <c r="JO183" i="10"/>
  <c r="JP183" i="10"/>
  <c r="FG186" i="10"/>
  <c r="FG134" i="10"/>
  <c r="JO186" i="10"/>
  <c r="JP186" i="10"/>
  <c r="JO205" i="10"/>
  <c r="JP205" i="10"/>
  <c r="JN122" i="10"/>
  <c r="JN204" i="10"/>
  <c r="JN153" i="10"/>
  <c r="JO310" i="10"/>
  <c r="JP310" i="10"/>
  <c r="JN144" i="10"/>
  <c r="JO262" i="10"/>
  <c r="JP262" i="10"/>
  <c r="JO214" i="10"/>
  <c r="JP214" i="10"/>
  <c r="JN118" i="10"/>
  <c r="JO352" i="10"/>
  <c r="JN352" i="10"/>
  <c r="JN68" i="10"/>
  <c r="KL363" i="10"/>
  <c r="KL315" i="10"/>
  <c r="KM295" i="10"/>
  <c r="BI295" i="10" s="1"/>
  <c r="AO289" i="15" s="1"/>
  <c r="KH290" i="10"/>
  <c r="KI280" i="10"/>
  <c r="KE262" i="10"/>
  <c r="BM262" i="10"/>
  <c r="AS256" i="15"/>
  <c r="KA239" i="10"/>
  <c r="KD227" i="10"/>
  <c r="BK227" i="10" s="1"/>
  <c r="AQ221" i="15" s="1"/>
  <c r="KG220" i="10"/>
  <c r="KG187" i="10"/>
  <c r="KI140" i="10"/>
  <c r="KG74" i="10"/>
  <c r="JZ275" i="10"/>
  <c r="JZ183" i="10"/>
  <c r="JZ142" i="10"/>
  <c r="JZ88" i="10"/>
  <c r="KB259" i="10"/>
  <c r="BJ259" i="10"/>
  <c r="AP253" i="15"/>
  <c r="KB169" i="10"/>
  <c r="BJ169" i="10"/>
  <c r="AP163" i="15"/>
  <c r="KJ363" i="10"/>
  <c r="KI295" i="10"/>
  <c r="KE275" i="10"/>
  <c r="BM275" i="10"/>
  <c r="AS269" i="15"/>
  <c r="KA262" i="10"/>
  <c r="JY239" i="10"/>
  <c r="KA227" i="10"/>
  <c r="KI363" i="10"/>
  <c r="KL305" i="10"/>
  <c r="KG295" i="10"/>
  <c r="KK285" i="10"/>
  <c r="BH285" i="10"/>
  <c r="AN279" i="15"/>
  <c r="KD275" i="10"/>
  <c r="BK275" i="10" s="1"/>
  <c r="AQ269" i="15" s="1"/>
  <c r="KL270" i="10"/>
  <c r="JX239" i="10"/>
  <c r="JY227" i="10"/>
  <c r="KE194" i="10"/>
  <c r="BM194" i="10"/>
  <c r="AS188" i="15"/>
  <c r="KN124" i="10"/>
  <c r="KE387" i="10"/>
  <c r="BM387" i="10"/>
  <c r="AS381" i="15"/>
  <c r="KA275" i="10"/>
  <c r="KH205" i="10"/>
  <c r="KD194" i="10"/>
  <c r="BK194" i="10"/>
  <c r="AQ188" i="15" s="1"/>
  <c r="JX181" i="10"/>
  <c r="KA145" i="10"/>
  <c r="KL124" i="10"/>
  <c r="JZ375" i="10"/>
  <c r="JZ136" i="10"/>
  <c r="KD391" i="10"/>
  <c r="BK391" i="10" s="1"/>
  <c r="AQ385" i="15" s="1"/>
  <c r="KD387" i="10"/>
  <c r="BK387" i="10" s="1"/>
  <c r="AQ381" i="15" s="1"/>
  <c r="KJ377" i="10"/>
  <c r="KL358" i="10"/>
  <c r="KD349" i="10"/>
  <c r="BK349" i="10" s="1"/>
  <c r="AQ343" i="15" s="1"/>
  <c r="JX334" i="10"/>
  <c r="KA312" i="10"/>
  <c r="KE309" i="10"/>
  <c r="BM309" i="10"/>
  <c r="AS303" i="15"/>
  <c r="KA307" i="10"/>
  <c r="KE305" i="10"/>
  <c r="BM305" i="10"/>
  <c r="AS299" i="15"/>
  <c r="KE295" i="10"/>
  <c r="BM295" i="10"/>
  <c r="AS289" i="15"/>
  <c r="KJ292" i="10"/>
  <c r="JY275" i="10"/>
  <c r="KD259" i="10"/>
  <c r="BK259" i="10"/>
  <c r="AQ253" i="15" s="1"/>
  <c r="KN254" i="10"/>
  <c r="KL249" i="10"/>
  <c r="KJ244" i="10"/>
  <c r="KN234" i="10"/>
  <c r="KE222" i="10"/>
  <c r="BM222" i="10"/>
  <c r="AS216" i="15"/>
  <c r="KG205" i="10"/>
  <c r="JY194" i="10"/>
  <c r="KM178" i="10"/>
  <c r="BI178" i="10" s="1"/>
  <c r="AO172" i="15" s="1"/>
  <c r="JY172" i="10"/>
  <c r="KN169" i="10"/>
  <c r="KE167" i="10"/>
  <c r="BM167" i="10"/>
  <c r="AS161" i="15"/>
  <c r="JY145" i="10"/>
  <c r="KN128" i="10"/>
  <c r="KK124" i="10"/>
  <c r="BH124" i="10"/>
  <c r="AN118" i="15"/>
  <c r="JY102" i="10"/>
  <c r="KG94" i="10"/>
  <c r="JZ365" i="10"/>
  <c r="KB188" i="10"/>
  <c r="BJ188" i="10"/>
  <c r="AP182" i="15"/>
  <c r="KB157" i="10"/>
  <c r="BJ157" i="10"/>
  <c r="AP151" i="15"/>
  <c r="KA387" i="10"/>
  <c r="KL384" i="10"/>
  <c r="KE373" i="10"/>
  <c r="BM373" i="10"/>
  <c r="AS367" i="15"/>
  <c r="KK365" i="10"/>
  <c r="BH365" i="10"/>
  <c r="AN359" i="15"/>
  <c r="KG340" i="10"/>
  <c r="KE320" i="10"/>
  <c r="BM320" i="10"/>
  <c r="AS314" i="15"/>
  <c r="KD305" i="10"/>
  <c r="BK305" i="10"/>
  <c r="AQ299" i="15" s="1"/>
  <c r="KN299" i="10"/>
  <c r="KI292" i="10"/>
  <c r="KM277" i="10"/>
  <c r="BI277" i="10" s="1"/>
  <c r="AO271" i="15" s="1"/>
  <c r="JX275" i="10"/>
  <c r="KK254" i="10"/>
  <c r="BH254" i="10"/>
  <c r="AN248" i="15"/>
  <c r="KL241" i="10"/>
  <c r="KK236" i="10"/>
  <c r="BH236" i="10"/>
  <c r="AN230" i="15"/>
  <c r="KM234" i="10"/>
  <c r="BI234" i="10" s="1"/>
  <c r="AO228" i="15" s="1"/>
  <c r="KJ198" i="10"/>
  <c r="KE176" i="10"/>
  <c r="BM176" i="10"/>
  <c r="AS170" i="15"/>
  <c r="KD167" i="10"/>
  <c r="BK167" i="10" s="1"/>
  <c r="AQ161" i="15" s="1"/>
  <c r="KM128" i="10"/>
  <c r="BI128" i="10" s="1"/>
  <c r="AO122" i="15" s="1"/>
  <c r="KG124" i="10"/>
  <c r="KB149" i="10"/>
  <c r="BJ149" i="10"/>
  <c r="AP143" i="15"/>
  <c r="JX387" i="10"/>
  <c r="KA373" i="10"/>
  <c r="KE365" i="10"/>
  <c r="BM365" i="10"/>
  <c r="AS359" i="15"/>
  <c r="JX358" i="10"/>
  <c r="KE351" i="10"/>
  <c r="BM351" i="10"/>
  <c r="AS345" i="15"/>
  <c r="JX349" i="10"/>
  <c r="KE338" i="10"/>
  <c r="BM338" i="10"/>
  <c r="AS332" i="15"/>
  <c r="KA320" i="10"/>
  <c r="JY305" i="10"/>
  <c r="KH299" i="10"/>
  <c r="JX259" i="10"/>
  <c r="KG254" i="10"/>
  <c r="KE236" i="10"/>
  <c r="BM236" i="10"/>
  <c r="AS230" i="15"/>
  <c r="KA229" i="10"/>
  <c r="KM219" i="10"/>
  <c r="BI219" i="10" s="1"/>
  <c r="AO213" i="15" s="1"/>
  <c r="KA176" i="10"/>
  <c r="JY167" i="10"/>
  <c r="KK128" i="10"/>
  <c r="BH128" i="10"/>
  <c r="AN122" i="15"/>
  <c r="KE46" i="10"/>
  <c r="BM46" i="10"/>
  <c r="AS40" i="15"/>
  <c r="JZ354" i="10"/>
  <c r="JZ234" i="10"/>
  <c r="JZ167" i="10"/>
  <c r="JZ73" i="10"/>
  <c r="KB295" i="10"/>
  <c r="BJ295" i="10"/>
  <c r="AP289" i="15"/>
  <c r="KB274" i="10"/>
  <c r="BJ274" i="10"/>
  <c r="AP268" i="15"/>
  <c r="KB186" i="10"/>
  <c r="BJ186" i="10"/>
  <c r="AP180" i="15"/>
  <c r="JY373" i="10"/>
  <c r="KD365" i="10"/>
  <c r="BK365" i="10" s="1"/>
  <c r="AQ359" i="15" s="1"/>
  <c r="KD351" i="10"/>
  <c r="BK351" i="10"/>
  <c r="AQ345" i="15" s="1"/>
  <c r="KD338" i="10"/>
  <c r="BK338" i="10" s="1"/>
  <c r="AQ332" i="15" s="1"/>
  <c r="JY320" i="10"/>
  <c r="JX305" i="10"/>
  <c r="KJ301" i="10"/>
  <c r="KE272" i="10"/>
  <c r="BM272" i="10"/>
  <c r="AS266" i="15"/>
  <c r="KL219" i="10"/>
  <c r="JY176" i="10"/>
  <c r="JX167" i="10"/>
  <c r="KD151" i="10"/>
  <c r="BK151" i="10" s="1"/>
  <c r="AQ145" i="15" s="1"/>
  <c r="KJ128" i="10"/>
  <c r="KN119" i="10"/>
  <c r="JZ347" i="10"/>
  <c r="JZ231" i="10"/>
  <c r="KN219" i="10"/>
  <c r="KD375" i="10"/>
  <c r="BK375" i="10" s="1"/>
  <c r="AQ369" i="15" s="1"/>
  <c r="JX373" i="10"/>
  <c r="KA365" i="10"/>
  <c r="KE353" i="10"/>
  <c r="BM353" i="10"/>
  <c r="AS347" i="15"/>
  <c r="KA351" i="10"/>
  <c r="KA340" i="10"/>
  <c r="KA338" i="10"/>
  <c r="JX320" i="10"/>
  <c r="KI301" i="10"/>
  <c r="KD272" i="10"/>
  <c r="BK272" i="10"/>
  <c r="AQ266" i="15" s="1"/>
  <c r="JY267" i="10"/>
  <c r="KE254" i="10"/>
  <c r="BM254" i="10"/>
  <c r="AS248" i="15"/>
  <c r="KE238" i="10"/>
  <c r="BM238" i="10"/>
  <c r="AS232" i="15"/>
  <c r="KE231" i="10"/>
  <c r="BM231" i="10"/>
  <c r="AS225" i="15"/>
  <c r="JX229" i="10"/>
  <c r="KD224" i="10"/>
  <c r="BK224" i="10" s="1"/>
  <c r="AQ218" i="15" s="1"/>
  <c r="KK219" i="10"/>
  <c r="BH219" i="10"/>
  <c r="AN213" i="15"/>
  <c r="KA198" i="10"/>
  <c r="KE196" i="10"/>
  <c r="BM196" i="10"/>
  <c r="AS190" i="15"/>
  <c r="KD178" i="10"/>
  <c r="BK178" i="10" s="1"/>
  <c r="AQ172" i="15" s="1"/>
  <c r="JX176" i="10"/>
  <c r="KD153" i="10"/>
  <c r="BK153" i="10" s="1"/>
  <c r="AQ147" i="15" s="1"/>
  <c r="KA151" i="10"/>
  <c r="JX149" i="10"/>
  <c r="KM144" i="10"/>
  <c r="BI144" i="10" s="1"/>
  <c r="AO138" i="15" s="1"/>
  <c r="KH128" i="10"/>
  <c r="KM119" i="10"/>
  <c r="BI119" i="10"/>
  <c r="AO113" i="15" s="1"/>
  <c r="JX91" i="10"/>
  <c r="KA46" i="10"/>
  <c r="JZ341" i="10"/>
  <c r="KJ219" i="10"/>
  <c r="JX365" i="10"/>
  <c r="KJ357" i="10"/>
  <c r="JX351" i="10"/>
  <c r="KE342" i="10"/>
  <c r="BM342" i="10"/>
  <c r="AS336" i="15"/>
  <c r="JX338" i="10"/>
  <c r="KM306" i="10"/>
  <c r="BI306" i="10"/>
  <c r="AO300" i="15" s="1"/>
  <c r="JY272" i="10"/>
  <c r="KA254" i="10"/>
  <c r="KI219" i="10"/>
  <c r="KN182" i="10"/>
  <c r="JX151" i="10"/>
  <c r="KA114" i="10"/>
  <c r="JZ333" i="10"/>
  <c r="JZ218" i="10"/>
  <c r="KN390" i="10"/>
  <c r="JX375" i="10"/>
  <c r="KG367" i="10"/>
  <c r="KH357" i="10"/>
  <c r="KE355" i="10"/>
  <c r="BM355" i="10"/>
  <c r="AS349" i="15"/>
  <c r="JY353" i="10"/>
  <c r="KD342" i="10"/>
  <c r="BK342" i="10" s="1"/>
  <c r="AQ336" i="15" s="1"/>
  <c r="KM335" i="10"/>
  <c r="BI335" i="10" s="1"/>
  <c r="AO329" i="15" s="1"/>
  <c r="KL306" i="10"/>
  <c r="KH304" i="10"/>
  <c r="KD301" i="10"/>
  <c r="BK301" i="10" s="1"/>
  <c r="AQ295" i="15" s="1"/>
  <c r="KN291" i="10"/>
  <c r="KE289" i="10"/>
  <c r="BM289" i="10"/>
  <c r="AS283" i="15"/>
  <c r="JX287" i="10"/>
  <c r="KL284" i="10"/>
  <c r="JX272" i="10"/>
  <c r="KL258" i="10"/>
  <c r="JY254" i="10"/>
  <c r="KA246" i="10"/>
  <c r="JY231" i="10"/>
  <c r="KH219" i="10"/>
  <c r="JY196" i="10"/>
  <c r="KN186" i="10"/>
  <c r="KJ182" i="10"/>
  <c r="JX178" i="10"/>
  <c r="KI171" i="10"/>
  <c r="JX153" i="10"/>
  <c r="KN146" i="10"/>
  <c r="KI144" i="10"/>
  <c r="JY142" i="10"/>
  <c r="KD128" i="10"/>
  <c r="BK128" i="10" s="1"/>
  <c r="AQ122" i="15" s="1"/>
  <c r="KL123" i="10"/>
  <c r="KD119" i="10"/>
  <c r="BK119" i="10" s="1"/>
  <c r="AQ113" i="15" s="1"/>
  <c r="JY114" i="10"/>
  <c r="KD86" i="10"/>
  <c r="BK86" i="10" s="1"/>
  <c r="AQ80" i="15" s="1"/>
  <c r="JZ331" i="10"/>
  <c r="JZ215" i="10"/>
  <c r="KB183" i="10"/>
  <c r="BJ183" i="10"/>
  <c r="AP177" i="15"/>
  <c r="KM390" i="10"/>
  <c r="BI390" i="10" s="1"/>
  <c r="AO384" i="15" s="1"/>
  <c r="KE362" i="10"/>
  <c r="BM362" i="10"/>
  <c r="AS356" i="15"/>
  <c r="KG357" i="10"/>
  <c r="KA342" i="10"/>
  <c r="KK308" i="10"/>
  <c r="BH308" i="10"/>
  <c r="AN302" i="15"/>
  <c r="KK306" i="10"/>
  <c r="BH306" i="10"/>
  <c r="AN300" i="15"/>
  <c r="KL296" i="10"/>
  <c r="KL291" i="10"/>
  <c r="KN269" i="10"/>
  <c r="KJ258" i="10"/>
  <c r="JX254" i="10"/>
  <c r="KD216" i="10"/>
  <c r="BK216" i="10"/>
  <c r="AQ210" i="15" s="1"/>
  <c r="KJ206" i="10"/>
  <c r="KJ186" i="10"/>
  <c r="KK184" i="10"/>
  <c r="BH184" i="10"/>
  <c r="AN178" i="15"/>
  <c r="KH182" i="10"/>
  <c r="KI146" i="10"/>
  <c r="JX114" i="10"/>
  <c r="KM93" i="10"/>
  <c r="BI93" i="10"/>
  <c r="AO87" i="15" s="1"/>
  <c r="JZ324" i="10"/>
  <c r="KB114" i="10"/>
  <c r="BJ114" i="10"/>
  <c r="AP108" i="15"/>
  <c r="KN376" i="10"/>
  <c r="KA362" i="10"/>
  <c r="KG308" i="10"/>
  <c r="KG306" i="10"/>
  <c r="KE296" i="10"/>
  <c r="BM296" i="10"/>
  <c r="AS290" i="15"/>
  <c r="JY216" i="10"/>
  <c r="KM204" i="10"/>
  <c r="BI204" i="10" s="1"/>
  <c r="AO198" i="15" s="1"/>
  <c r="KJ108" i="10"/>
  <c r="JZ114" i="10"/>
  <c r="KE383" i="10"/>
  <c r="BM383" i="10"/>
  <c r="AS377" i="15"/>
  <c r="KM376" i="10"/>
  <c r="BI376" i="10" s="1"/>
  <c r="AO370" i="15" s="1"/>
  <c r="JX362" i="10"/>
  <c r="KE316" i="10"/>
  <c r="BM316" i="10"/>
  <c r="AS310" i="15"/>
  <c r="KD296" i="10"/>
  <c r="BK296" i="10" s="1"/>
  <c r="AQ290" i="15" s="1"/>
  <c r="KJ136" i="10"/>
  <c r="KI108" i="10"/>
  <c r="JZ113" i="10"/>
  <c r="KB266" i="10"/>
  <c r="BJ266" i="10"/>
  <c r="AP260" i="15"/>
  <c r="KD383" i="10"/>
  <c r="BK383" i="10"/>
  <c r="AQ377" i="15" s="1"/>
  <c r="KL376" i="10"/>
  <c r="KM339" i="10"/>
  <c r="BI339" i="10" s="1"/>
  <c r="AO333" i="15" s="1"/>
  <c r="KD316" i="10"/>
  <c r="BK316" i="10" s="1"/>
  <c r="AQ310" i="15" s="1"/>
  <c r="KA296" i="10"/>
  <c r="KL197" i="10"/>
  <c r="KN157" i="10"/>
  <c r="JZ305" i="10"/>
  <c r="KH390" i="10"/>
  <c r="KN388" i="10"/>
  <c r="KA383" i="10"/>
  <c r="KH380" i="10"/>
  <c r="KK376" i="10"/>
  <c r="BH376" i="10"/>
  <c r="AN370" i="15"/>
  <c r="KN366" i="10"/>
  <c r="KM352" i="10"/>
  <c r="BI352" i="10" s="1"/>
  <c r="AO346" i="15" s="1"/>
  <c r="KK339" i="10"/>
  <c r="BH339" i="10"/>
  <c r="AN333" i="15"/>
  <c r="KA316" i="10"/>
  <c r="KJ313" i="10"/>
  <c r="JY296" i="10"/>
  <c r="KJ255" i="10"/>
  <c r="KH253" i="10"/>
  <c r="KE250" i="10"/>
  <c r="BM250" i="10"/>
  <c r="AS244" i="15"/>
  <c r="KJ242" i="10"/>
  <c r="KE223" i="10"/>
  <c r="BM223" i="10"/>
  <c r="AS217" i="15"/>
  <c r="KE208" i="10"/>
  <c r="BM208" i="10"/>
  <c r="AS202" i="15"/>
  <c r="JY204" i="10"/>
  <c r="KJ197" i="10"/>
  <c r="KG159" i="10"/>
  <c r="KM157" i="10"/>
  <c r="BI157" i="10" s="1"/>
  <c r="AO151" i="15" s="1"/>
  <c r="KN141" i="10"/>
  <c r="KE136" i="10"/>
  <c r="BM136" i="10"/>
  <c r="AS130" i="15"/>
  <c r="KK388" i="10"/>
  <c r="BH388" i="10"/>
  <c r="AN382" i="15"/>
  <c r="JY383" i="10"/>
  <c r="KJ376" i="10"/>
  <c r="KJ352" i="10"/>
  <c r="KJ339" i="10"/>
  <c r="KN329" i="10"/>
  <c r="JY316" i="10"/>
  <c r="JX296" i="10"/>
  <c r="KD250" i="10"/>
  <c r="BK250" i="10" s="1"/>
  <c r="AQ244" i="15" s="1"/>
  <c r="KM225" i="10"/>
  <c r="BI225" i="10" s="1"/>
  <c r="AO219" i="15" s="1"/>
  <c r="JX204" i="10"/>
  <c r="KH197" i="10"/>
  <c r="KG170" i="10"/>
  <c r="KK157" i="10"/>
  <c r="BH157" i="10"/>
  <c r="AN151" i="15"/>
  <c r="KD136" i="10"/>
  <c r="BK136" i="10" s="1"/>
  <c r="AQ130" i="15" s="1"/>
  <c r="JX383" i="10"/>
  <c r="KI376" i="10"/>
  <c r="KL329" i="10"/>
  <c r="KI321" i="10"/>
  <c r="JX316" i="10"/>
  <c r="KE293" i="10"/>
  <c r="BM293" i="10"/>
  <c r="AS287" i="15"/>
  <c r="KA250" i="10"/>
  <c r="KH225" i="10"/>
  <c r="KG157" i="10"/>
  <c r="JX148" i="10"/>
  <c r="KA136" i="10"/>
  <c r="KG120" i="10"/>
  <c r="KI118" i="10"/>
  <c r="KG110" i="10"/>
  <c r="JY52" i="10"/>
  <c r="JZ101" i="10"/>
  <c r="JY136" i="10"/>
  <c r="KL354" i="10"/>
  <c r="JY293" i="10"/>
  <c r="JX250" i="10"/>
  <c r="KE239" i="10"/>
  <c r="BM239" i="10"/>
  <c r="AS233" i="15"/>
  <c r="JX136" i="10"/>
  <c r="KD113" i="10"/>
  <c r="BK113" i="10" s="1"/>
  <c r="AQ107" i="15"/>
  <c r="KL89" i="10"/>
  <c r="JZ186" i="10"/>
  <c r="KG354" i="10"/>
  <c r="KD239" i="10"/>
  <c r="BK239" i="10"/>
  <c r="AQ233" i="15" s="1"/>
  <c r="KK187" i="10"/>
  <c r="BH187" i="10"/>
  <c r="AN181" i="15"/>
  <c r="DD366" i="10"/>
  <c r="LC366" i="10"/>
  <c r="DD342" i="10"/>
  <c r="LC342" i="10"/>
  <c r="DD295" i="10"/>
  <c r="LC295" i="10"/>
  <c r="DD271" i="10"/>
  <c r="LC271" i="10"/>
  <c r="DD248" i="10"/>
  <c r="LC248" i="10"/>
  <c r="DD200" i="10"/>
  <c r="LC200" i="10"/>
  <c r="DD176" i="10"/>
  <c r="DD223" i="10"/>
  <c r="LC223" i="10"/>
  <c r="DD199" i="10"/>
  <c r="LC199" i="10"/>
  <c r="DD388" i="10"/>
  <c r="LC388" i="10"/>
  <c r="DD269" i="10"/>
  <c r="LC269" i="10"/>
  <c r="DD174" i="10"/>
  <c r="LC174" i="10"/>
  <c r="DD339" i="10"/>
  <c r="LC339" i="10"/>
  <c r="DD245" i="10"/>
  <c r="LC245" i="10"/>
  <c r="DD173" i="10"/>
  <c r="LC173" i="10"/>
  <c r="DD338" i="10"/>
  <c r="LC338" i="10"/>
  <c r="DD244" i="10"/>
  <c r="LC244" i="10"/>
  <c r="DD361" i="10"/>
  <c r="LC361" i="10"/>
  <c r="DD314" i="10"/>
  <c r="LC314" i="10"/>
  <c r="DD219" i="10"/>
  <c r="LC219" i="10"/>
  <c r="DD360" i="10"/>
  <c r="LC360" i="10"/>
  <c r="DD313" i="10"/>
  <c r="LC313" i="10"/>
  <c r="DD242" i="10"/>
  <c r="LC242" i="10"/>
  <c r="DD218" i="10"/>
  <c r="LC218" i="10"/>
  <c r="DD383" i="10"/>
  <c r="LC383" i="10"/>
  <c r="DD335" i="10"/>
  <c r="LC335" i="10"/>
  <c r="DD312" i="10"/>
  <c r="LC312" i="10"/>
  <c r="DD241" i="10"/>
  <c r="LC241" i="10"/>
  <c r="DD193" i="10"/>
  <c r="LC193" i="10"/>
  <c r="FG126" i="10"/>
  <c r="DD168" i="10"/>
  <c r="LC168" i="10"/>
  <c r="DD381" i="10"/>
  <c r="LC381" i="10"/>
  <c r="DD333" i="10"/>
  <c r="LC333" i="10"/>
  <c r="DD239" i="10"/>
  <c r="LC239" i="10"/>
  <c r="DD191" i="10"/>
  <c r="LC191" i="10"/>
  <c r="DD190" i="10"/>
  <c r="LC190" i="10"/>
  <c r="DD237" i="10"/>
  <c r="LC237" i="10"/>
  <c r="DD354" i="10"/>
  <c r="LC354" i="10"/>
  <c r="DD259" i="10"/>
  <c r="LC259" i="10"/>
  <c r="DD353" i="10"/>
  <c r="LC353" i="10"/>
  <c r="DD329" i="10"/>
  <c r="LC329" i="10"/>
  <c r="DD211" i="10"/>
  <c r="LC211" i="10"/>
  <c r="DD257" i="10"/>
  <c r="LC257" i="10"/>
  <c r="DD210" i="10"/>
  <c r="LC210" i="10"/>
  <c r="DD375" i="10"/>
  <c r="LC375" i="10"/>
  <c r="DD328" i="10"/>
  <c r="LC328" i="10"/>
  <c r="DD209" i="10"/>
  <c r="LC209" i="10"/>
  <c r="DD327" i="10"/>
  <c r="DE327" i="10"/>
  <c r="DD256" i="10"/>
  <c r="LC256" i="10"/>
  <c r="DD208" i="10"/>
  <c r="DE208" i="10"/>
  <c r="DD391" i="10"/>
  <c r="DE391" i="10"/>
  <c r="DD349" i="10"/>
  <c r="LC349" i="10"/>
  <c r="DD326" i="10"/>
  <c r="LC326" i="10"/>
  <c r="DD255" i="10"/>
  <c r="LC255" i="10"/>
  <c r="II75" i="10"/>
  <c r="DD371" i="10"/>
  <c r="LC371" i="10"/>
  <c r="DD324" i="10"/>
  <c r="LC324" i="10"/>
  <c r="DD276" i="10"/>
  <c r="LC276" i="10"/>
  <c r="DD229" i="10"/>
  <c r="LC229" i="10"/>
  <c r="II174" i="10"/>
  <c r="DD390" i="10"/>
  <c r="LC390" i="10"/>
  <c r="DD346" i="10"/>
  <c r="LC346" i="10"/>
  <c r="DD299" i="10"/>
  <c r="LC299" i="10"/>
  <c r="DD204" i="10"/>
  <c r="LC204" i="10"/>
  <c r="DD369" i="10"/>
  <c r="LC369" i="10"/>
  <c r="DD322" i="10"/>
  <c r="LC322" i="10"/>
  <c r="DD227" i="10"/>
  <c r="LC227" i="10"/>
  <c r="DD178" i="10"/>
  <c r="LC178" i="10"/>
  <c r="DD389" i="10"/>
  <c r="LC389" i="10"/>
  <c r="DD249" i="10"/>
  <c r="LC249" i="10"/>
  <c r="DD225" i="10"/>
  <c r="LC225" i="10"/>
  <c r="JN247" i="10"/>
  <c r="JN251" i="10"/>
  <c r="DX392" i="10"/>
  <c r="DY392" i="10"/>
  <c r="ED392" i="10"/>
  <c r="EM392" i="10"/>
  <c r="JN392" i="10"/>
  <c r="JN266" i="10"/>
  <c r="JN332" i="10"/>
  <c r="JN321" i="10"/>
  <c r="JN389" i="10"/>
  <c r="KC42" i="10"/>
  <c r="BL42" i="10"/>
  <c r="AR36" i="15"/>
  <c r="JZ38" i="10"/>
  <c r="KE38" i="10"/>
  <c r="BM38" i="10"/>
  <c r="AS32" i="15"/>
  <c r="KD38" i="10"/>
  <c r="BK38" i="10"/>
  <c r="AQ32" i="15" s="1"/>
  <c r="KD36" i="10"/>
  <c r="BK36" i="10" s="1"/>
  <c r="AQ30" i="15" s="1"/>
  <c r="KA36" i="10"/>
  <c r="F195" i="12"/>
  <c r="JY389" i="10"/>
  <c r="KD346" i="10"/>
  <c r="BK346" i="10" s="1"/>
  <c r="AQ340" i="15" s="1"/>
  <c r="KI330" i="10"/>
  <c r="KM311" i="10"/>
  <c r="BI311" i="10" s="1"/>
  <c r="AO305" i="15" s="1"/>
  <c r="KD303" i="10"/>
  <c r="BK303" i="10" s="1"/>
  <c r="AQ297" i="15" s="1"/>
  <c r="KG253" i="10"/>
  <c r="KI236" i="10"/>
  <c r="KH217" i="10"/>
  <c r="JY211" i="10"/>
  <c r="KE209" i="10"/>
  <c r="BM209" i="10"/>
  <c r="AS203" i="15"/>
  <c r="KH198" i="10"/>
  <c r="KH173" i="10"/>
  <c r="JY170" i="10"/>
  <c r="KL150" i="10"/>
  <c r="KG136" i="10"/>
  <c r="KG134" i="10"/>
  <c r="KI128" i="10"/>
  <c r="KD126" i="10"/>
  <c r="BK126" i="10" s="1"/>
  <c r="AQ120" i="15" s="1"/>
  <c r="KH124" i="10"/>
  <c r="KA91" i="10"/>
  <c r="KG51" i="10"/>
  <c r="JZ359" i="10"/>
  <c r="JZ298" i="10"/>
  <c r="JZ225" i="10"/>
  <c r="JZ172" i="10"/>
  <c r="JZ141" i="10"/>
  <c r="JZ93" i="10"/>
  <c r="JZ50" i="10"/>
  <c r="KB388" i="10"/>
  <c r="BJ388" i="10"/>
  <c r="AP382" i="15"/>
  <c r="KB302" i="10"/>
  <c r="BJ302" i="10"/>
  <c r="AP296" i="15"/>
  <c r="KB219" i="10"/>
  <c r="BJ219" i="10"/>
  <c r="AP213" i="15"/>
  <c r="KB145" i="10"/>
  <c r="BJ145" i="10"/>
  <c r="AP139" i="15"/>
  <c r="DE392" i="10"/>
  <c r="KN391" i="10"/>
  <c r="JX389" i="10"/>
  <c r="KN387" i="10"/>
  <c r="KL311" i="10"/>
  <c r="KA303" i="10"/>
  <c r="JY71" i="10"/>
  <c r="JZ171" i="10"/>
  <c r="KM391" i="10"/>
  <c r="BI391" i="10" s="1"/>
  <c r="AO385" i="15" s="1"/>
  <c r="KL387" i="10"/>
  <c r="JX370" i="10"/>
  <c r="KL350" i="10"/>
  <c r="KE348" i="10"/>
  <c r="BM348" i="10"/>
  <c r="AS342" i="15"/>
  <c r="JY346" i="10"/>
  <c r="KI339" i="10"/>
  <c r="KE330" i="10"/>
  <c r="BM330" i="10"/>
  <c r="AS324" i="15"/>
  <c r="KL318" i="10"/>
  <c r="KL313" i="10"/>
  <c r="KI311" i="10"/>
  <c r="JY303" i="10"/>
  <c r="KM294" i="10"/>
  <c r="BI294" i="10" s="1"/>
  <c r="AO288" i="15" s="1"/>
  <c r="JX286" i="10"/>
  <c r="KL279" i="10"/>
  <c r="KE253" i="10"/>
  <c r="BM253" i="10"/>
  <c r="AS247" i="15"/>
  <c r="KK234" i="10"/>
  <c r="BH234" i="10"/>
  <c r="AN228" i="15"/>
  <c r="KD232" i="10"/>
  <c r="BK232" i="10" s="1"/>
  <c r="AQ226" i="15" s="1"/>
  <c r="KA209" i="10"/>
  <c r="KL186" i="10"/>
  <c r="KK171" i="10"/>
  <c r="BH171" i="10"/>
  <c r="AN165" i="15"/>
  <c r="KM108" i="10"/>
  <c r="BI108" i="10" s="1"/>
  <c r="AO102" i="15" s="1"/>
  <c r="JZ357" i="10"/>
  <c r="JZ221" i="10"/>
  <c r="JZ170" i="10"/>
  <c r="KB301" i="10"/>
  <c r="BJ301" i="10"/>
  <c r="AP295" i="15"/>
  <c r="KL391" i="10"/>
  <c r="KG387" i="10"/>
  <c r="KL380" i="10"/>
  <c r="KK350" i="10"/>
  <c r="BH350" i="10"/>
  <c r="AN344" i="15"/>
  <c r="KD348" i="10"/>
  <c r="BK348" i="10" s="1"/>
  <c r="AQ342" i="15" s="1"/>
  <c r="KD330" i="10"/>
  <c r="BK330" i="10" s="1"/>
  <c r="AQ324" i="15" s="1"/>
  <c r="KG311" i="10"/>
  <c r="KE307" i="10"/>
  <c r="BM307" i="10"/>
  <c r="AS301" i="15"/>
  <c r="KN305" i="10"/>
  <c r="KJ294" i="10"/>
  <c r="KE292" i="10"/>
  <c r="BM292" i="10"/>
  <c r="AS286" i="15"/>
  <c r="KD253" i="10"/>
  <c r="BK253" i="10" s="1"/>
  <c r="AQ247" i="15" s="1"/>
  <c r="KN248" i="10"/>
  <c r="KL242" i="10"/>
  <c r="KI240" i="10"/>
  <c r="KI234" i="10"/>
  <c r="KA232" i="10"/>
  <c r="KE219" i="10"/>
  <c r="BM219" i="10"/>
  <c r="AS213" i="15"/>
  <c r="JY209" i="10"/>
  <c r="KN196" i="10"/>
  <c r="KK186" i="10"/>
  <c r="BH186" i="10"/>
  <c r="AN180" i="15"/>
  <c r="KJ171" i="10"/>
  <c r="KE124" i="10"/>
  <c r="BM124" i="10"/>
  <c r="AS118" i="15"/>
  <c r="KE93" i="10"/>
  <c r="BM93" i="10"/>
  <c r="AS87" i="15"/>
  <c r="JZ291" i="10"/>
  <c r="KB344" i="10"/>
  <c r="BJ344" i="10"/>
  <c r="AP338" i="15"/>
  <c r="KK391" i="10"/>
  <c r="BH391" i="10"/>
  <c r="AN385" i="15"/>
  <c r="KA348" i="10"/>
  <c r="JY253" i="10"/>
  <c r="KM248" i="10"/>
  <c r="BI248" i="10" s="1"/>
  <c r="AO242" i="15" s="1"/>
  <c r="JY232" i="10"/>
  <c r="KD219" i="10"/>
  <c r="BK219" i="10" s="1"/>
  <c r="AQ213" i="15" s="1"/>
  <c r="KM196" i="10"/>
  <c r="BI196" i="10" s="1"/>
  <c r="AO190" i="15" s="1"/>
  <c r="KD124" i="10"/>
  <c r="BK124" i="10" s="1"/>
  <c r="AQ118" i="15" s="1"/>
  <c r="KA93" i="10"/>
  <c r="JZ352" i="10"/>
  <c r="KJ391" i="10"/>
  <c r="KG380" i="10"/>
  <c r="KH350" i="10"/>
  <c r="JY348" i="10"/>
  <c r="JY330" i="10"/>
  <c r="KK315" i="10"/>
  <c r="BH315" i="10"/>
  <c r="AN309" i="15"/>
  <c r="JY307" i="10"/>
  <c r="KG305" i="10"/>
  <c r="KE294" i="10"/>
  <c r="BM294" i="10"/>
  <c r="AS288" i="15"/>
  <c r="KA292" i="10"/>
  <c r="KN256" i="10"/>
  <c r="KL248" i="10"/>
  <c r="KM244" i="10"/>
  <c r="BI244" i="10" s="1"/>
  <c r="AO238" i="15" s="1"/>
  <c r="KH242" i="10"/>
  <c r="JX232" i="10"/>
  <c r="KA219" i="10"/>
  <c r="KL196" i="10"/>
  <c r="KL184" i="10"/>
  <c r="KK182" i="10"/>
  <c r="BH182" i="10"/>
  <c r="AN176" i="15"/>
  <c r="KK178" i="10"/>
  <c r="BH178" i="10"/>
  <c r="AN172" i="15"/>
  <c r="KG171" i="10"/>
  <c r="KA124" i="10"/>
  <c r="KK113" i="10"/>
  <c r="BH113" i="10"/>
  <c r="AN107" i="15"/>
  <c r="JX93" i="10"/>
  <c r="JZ350" i="10"/>
  <c r="JZ282" i="10"/>
  <c r="KI391" i="10"/>
  <c r="KE367" i="10"/>
  <c r="BM367" i="10"/>
  <c r="AS361" i="15"/>
  <c r="JX348" i="10"/>
  <c r="KK248" i="10"/>
  <c r="BH248" i="10"/>
  <c r="AN242" i="15"/>
  <c r="JY219" i="10"/>
  <c r="KN214" i="10"/>
  <c r="KK196" i="10"/>
  <c r="BH196" i="10"/>
  <c r="AN190" i="15"/>
  <c r="KD139" i="10"/>
  <c r="BK139" i="10"/>
  <c r="AQ133" i="15" s="1"/>
  <c r="KN137" i="10"/>
  <c r="JY124" i="10"/>
  <c r="KG70" i="10"/>
  <c r="JZ348" i="10"/>
  <c r="KM392" i="10"/>
  <c r="BI392" i="10" s="1"/>
  <c r="AO386" i="15" s="1"/>
  <c r="KH391" i="10"/>
  <c r="KM388" i="10"/>
  <c r="BI388" i="10"/>
  <c r="AO382" i="15"/>
  <c r="KD367" i="10"/>
  <c r="BK367" i="10" s="1"/>
  <c r="AQ361" i="15"/>
  <c r="KA294" i="10"/>
  <c r="KJ248" i="10"/>
  <c r="JX219" i="10"/>
  <c r="KK214" i="10"/>
  <c r="BH214" i="10"/>
  <c r="AN208" i="15"/>
  <c r="KJ210" i="10"/>
  <c r="KJ196" i="10"/>
  <c r="KE171" i="10"/>
  <c r="BM171" i="10"/>
  <c r="AS165" i="15"/>
  <c r="KM165" i="10"/>
  <c r="BI165" i="10" s="1"/>
  <c r="AO159" i="15" s="1"/>
  <c r="KN159" i="10"/>
  <c r="KA139" i="10"/>
  <c r="KM137" i="10"/>
  <c r="BI137" i="10"/>
  <c r="AO131" i="15" s="1"/>
  <c r="KM131" i="10"/>
  <c r="BI131" i="10"/>
  <c r="AO125" i="15" s="1"/>
  <c r="JX124" i="10"/>
  <c r="KE50" i="10"/>
  <c r="BM50" i="10"/>
  <c r="AS44" i="15"/>
  <c r="KB122" i="10"/>
  <c r="BJ122" i="10"/>
  <c r="AP116" i="15"/>
  <c r="KL392" i="10"/>
  <c r="KL388" i="10"/>
  <c r="KM384" i="10"/>
  <c r="BI384" i="10"/>
  <c r="AO378" i="15" s="1"/>
  <c r="KG376" i="10"/>
  <c r="KJ369" i="10"/>
  <c r="KA367" i="10"/>
  <c r="KL360" i="10"/>
  <c r="KG356" i="10"/>
  <c r="KD350" i="10"/>
  <c r="BK350" i="10" s="1"/>
  <c r="AQ344" i="15" s="1"/>
  <c r="KN340" i="10"/>
  <c r="KE325" i="10"/>
  <c r="BM325" i="10"/>
  <c r="AS319" i="15"/>
  <c r="KE315" i="10"/>
  <c r="BM315" i="10"/>
  <c r="AS309" i="15"/>
  <c r="KA313" i="10"/>
  <c r="KN308" i="10"/>
  <c r="JY294" i="10"/>
  <c r="KJ287" i="10"/>
  <c r="KI285" i="10"/>
  <c r="KL262" i="10"/>
  <c r="KI248" i="10"/>
  <c r="KG244" i="10"/>
  <c r="KJ214" i="10"/>
  <c r="KN212" i="10"/>
  <c r="KI210" i="10"/>
  <c r="KG206" i="10"/>
  <c r="KI196" i="10"/>
  <c r="KG182" i="10"/>
  <c r="KG180" i="10"/>
  <c r="KH178" i="10"/>
  <c r="KD171" i="10"/>
  <c r="BK171" i="10" s="1"/>
  <c r="AQ165" i="15" s="1"/>
  <c r="KH169" i="10"/>
  <c r="KL165" i="10"/>
  <c r="KN163" i="10"/>
  <c r="KM159" i="10"/>
  <c r="BI159" i="10" s="1"/>
  <c r="AO153" i="15" s="1"/>
  <c r="KG141" i="10"/>
  <c r="JY139" i="10"/>
  <c r="KL137" i="10"/>
  <c r="KL131" i="10"/>
  <c r="KH129" i="10"/>
  <c r="KD50" i="10"/>
  <c r="BK50" i="10" s="1"/>
  <c r="AQ44" i="15" s="1"/>
  <c r="JZ344" i="10"/>
  <c r="JY367" i="10"/>
  <c r="KE358" i="10"/>
  <c r="BM358" i="10"/>
  <c r="AS352" i="15"/>
  <c r="KA350" i="10"/>
  <c r="KM340" i="10"/>
  <c r="BI340" i="10"/>
  <c r="AO334" i="15"/>
  <c r="KK336" i="10"/>
  <c r="BH336" i="10"/>
  <c r="AN330" i="15"/>
  <c r="KN327" i="10"/>
  <c r="KD325" i="10"/>
  <c r="BK325" i="10" s="1"/>
  <c r="AQ319" i="15" s="1"/>
  <c r="KD315" i="10"/>
  <c r="BK315" i="10"/>
  <c r="AQ309" i="15" s="1"/>
  <c r="KM308" i="10"/>
  <c r="BI308" i="10" s="1"/>
  <c r="AO302" i="15" s="1"/>
  <c r="KE302" i="10"/>
  <c r="BM302" i="10"/>
  <c r="AS296" i="15"/>
  <c r="KH285" i="10"/>
  <c r="KJ264" i="10"/>
  <c r="KK262" i="10"/>
  <c r="BH262" i="10"/>
  <c r="AN256" i="15"/>
  <c r="KH248" i="10"/>
  <c r="KK246" i="10"/>
  <c r="BH246" i="10"/>
  <c r="AN240" i="15"/>
  <c r="KM222" i="10"/>
  <c r="BI222" i="10" s="1"/>
  <c r="AO216" i="15" s="1"/>
  <c r="KH214" i="10"/>
  <c r="KJ212" i="10"/>
  <c r="KK208" i="10"/>
  <c r="BH208" i="10"/>
  <c r="AN202" i="15"/>
  <c r="KN201" i="10"/>
  <c r="KH196" i="10"/>
  <c r="KN187" i="10"/>
  <c r="KA171" i="10"/>
  <c r="KJ165" i="10"/>
  <c r="KK163" i="10"/>
  <c r="BH163" i="10"/>
  <c r="AN157" i="15"/>
  <c r="KL159" i="10"/>
  <c r="KE156" i="10"/>
  <c r="BM156" i="10"/>
  <c r="AS150" i="15"/>
  <c r="KI137" i="10"/>
  <c r="KK131" i="10"/>
  <c r="BH131" i="10"/>
  <c r="AN125" i="15"/>
  <c r="KK115" i="10"/>
  <c r="BH115" i="10"/>
  <c r="AN109" i="15"/>
  <c r="KA50" i="10"/>
  <c r="JZ124" i="10"/>
  <c r="KJ392" i="10"/>
  <c r="KJ388" i="10"/>
  <c r="KK384" i="10"/>
  <c r="BH384" i="10"/>
  <c r="AN378" i="15"/>
  <c r="KI371" i="10"/>
  <c r="JX367" i="10"/>
  <c r="KD358" i="10"/>
  <c r="BK358" i="10"/>
  <c r="AQ352" i="15" s="1"/>
  <c r="KK340" i="10"/>
  <c r="BH340" i="10"/>
  <c r="AN334" i="15"/>
  <c r="KJ336" i="10"/>
  <c r="KI327" i="10"/>
  <c r="KA325" i="10"/>
  <c r="KA315" i="10"/>
  <c r="KI310" i="10"/>
  <c r="KL308" i="10"/>
  <c r="KD302" i="10"/>
  <c r="BK302" i="10" s="1"/>
  <c r="AQ296" i="15" s="1"/>
  <c r="KG264" i="10"/>
  <c r="KM231" i="10"/>
  <c r="BI231" i="10" s="1"/>
  <c r="AO225" i="15" s="1"/>
  <c r="KI222" i="10"/>
  <c r="KM220" i="10"/>
  <c r="BI220" i="10" s="1"/>
  <c r="AO214" i="15" s="1"/>
  <c r="KG208" i="10"/>
  <c r="KN204" i="10"/>
  <c r="KL201" i="10"/>
  <c r="KE199" i="10"/>
  <c r="BM199" i="10"/>
  <c r="AS193" i="15"/>
  <c r="KN189" i="10"/>
  <c r="KL187" i="10"/>
  <c r="KE182" i="10"/>
  <c r="BM182" i="10"/>
  <c r="AS176" i="15"/>
  <c r="JY171" i="10"/>
  <c r="KI165" i="10"/>
  <c r="KK159" i="10"/>
  <c r="BH159" i="10"/>
  <c r="AN153" i="15"/>
  <c r="KA156" i="10"/>
  <c r="KI147" i="10"/>
  <c r="KK145" i="10"/>
  <c r="BH145" i="10"/>
  <c r="AN139" i="15"/>
  <c r="KG143" i="10"/>
  <c r="KA141" i="10"/>
  <c r="KH137" i="10"/>
  <c r="KI131" i="10"/>
  <c r="KH115" i="10"/>
  <c r="JY50" i="10"/>
  <c r="JZ337" i="10"/>
  <c r="JZ271" i="10"/>
  <c r="JZ199" i="10"/>
  <c r="KB211" i="10"/>
  <c r="BJ211" i="10"/>
  <c r="AP205" i="15"/>
  <c r="KJ384" i="10"/>
  <c r="KN342" i="10"/>
  <c r="KI336" i="10"/>
  <c r="KJ201" i="10"/>
  <c r="KM189" i="10"/>
  <c r="BI189" i="10" s="1"/>
  <c r="AO183" i="15" s="1"/>
  <c r="JX171" i="10"/>
  <c r="JY156" i="10"/>
  <c r="JX50" i="10"/>
  <c r="KB93" i="10"/>
  <c r="BJ93" i="10"/>
  <c r="AP87" i="15"/>
  <c r="KG384" i="10"/>
  <c r="JY358" i="10"/>
  <c r="KJ342" i="10"/>
  <c r="KH336" i="10"/>
  <c r="KM329" i="10"/>
  <c r="BI329" i="10" s="1"/>
  <c r="AO323" i="15" s="1"/>
  <c r="KE327" i="10"/>
  <c r="BM327" i="10"/>
  <c r="AS321" i="15"/>
  <c r="JX325" i="10"/>
  <c r="KK322" i="10"/>
  <c r="BH322" i="10"/>
  <c r="AN316" i="15"/>
  <c r="JX315" i="10"/>
  <c r="KI308" i="10"/>
  <c r="JY302" i="10"/>
  <c r="KM291" i="10"/>
  <c r="BI291" i="10"/>
  <c r="AO285" i="15" s="1"/>
  <c r="KE264" i="10"/>
  <c r="BM264" i="10"/>
  <c r="AS258" i="15"/>
  <c r="KD262" i="10"/>
  <c r="BK262" i="10" s="1"/>
  <c r="AQ256" i="15" s="1"/>
  <c r="KL235" i="10"/>
  <c r="KK204" i="10"/>
  <c r="BH204" i="10"/>
  <c r="AN198" i="15"/>
  <c r="KG201" i="10"/>
  <c r="KA199" i="10"/>
  <c r="KH189" i="10"/>
  <c r="JY182" i="10"/>
  <c r="KL172" i="10"/>
  <c r="JX156" i="10"/>
  <c r="KK149" i="10"/>
  <c r="BH149" i="10"/>
  <c r="AN143" i="15"/>
  <c r="KN123" i="10"/>
  <c r="JZ391" i="10"/>
  <c r="JZ335" i="10"/>
  <c r="JZ267" i="10"/>
  <c r="JZ155" i="10"/>
  <c r="KB357" i="10"/>
  <c r="BJ357" i="10"/>
  <c r="AP351" i="15"/>
  <c r="KB170" i="10"/>
  <c r="BJ170" i="10"/>
  <c r="AP164" i="15"/>
  <c r="JX327" i="10"/>
  <c r="KD264" i="10"/>
  <c r="BK264" i="10" s="1"/>
  <c r="AQ258" i="15" s="1"/>
  <c r="JY220" i="10"/>
  <c r="KM386" i="10"/>
  <c r="BI386" i="10"/>
  <c r="AO380" i="15" s="1"/>
  <c r="KL331" i="10"/>
  <c r="KJ329" i="10"/>
  <c r="KM312" i="10"/>
  <c r="BI312" i="10"/>
  <c r="AO306" i="15" s="1"/>
  <c r="KH293" i="10"/>
  <c r="KH291" i="10"/>
  <c r="KH280" i="10"/>
  <c r="KJ269" i="10"/>
  <c r="KA264" i="10"/>
  <c r="JY262" i="10"/>
  <c r="KG239" i="10"/>
  <c r="JX199" i="10"/>
  <c r="JZ389" i="10"/>
  <c r="KE388" i="10"/>
  <c r="BM388" i="10"/>
  <c r="AS382" i="15"/>
  <c r="JY264" i="10"/>
  <c r="JX262" i="10"/>
  <c r="KN138" i="10"/>
  <c r="KK123" i="10"/>
  <c r="BH123" i="10"/>
  <c r="AN117" i="15"/>
  <c r="KL119" i="10"/>
  <c r="JZ388" i="10"/>
  <c r="JZ330" i="10"/>
  <c r="JZ247" i="10"/>
  <c r="KD388" i="10"/>
  <c r="BK388" i="10" s="1"/>
  <c r="AQ382" i="15" s="1"/>
  <c r="KK366" i="10"/>
  <c r="BH366" i="10"/>
  <c r="AN360" i="15"/>
  <c r="KK353" i="10"/>
  <c r="BH353" i="10"/>
  <c r="AN347" i="15"/>
  <c r="KM299" i="10"/>
  <c r="BI299" i="10" s="1"/>
  <c r="AO293" i="15" s="1"/>
  <c r="KE280" i="10"/>
  <c r="BM280" i="10"/>
  <c r="AS274" i="15"/>
  <c r="JX264" i="10"/>
  <c r="KL259" i="10"/>
  <c r="KL257" i="10"/>
  <c r="KI255" i="10"/>
  <c r="KK249" i="10"/>
  <c r="BH249" i="10"/>
  <c r="AN243" i="15"/>
  <c r="JX224" i="10"/>
  <c r="KM215" i="10"/>
  <c r="BI215" i="10" s="1"/>
  <c r="AO209" i="15" s="1"/>
  <c r="KE204" i="10"/>
  <c r="BM204" i="10"/>
  <c r="AS198" i="15"/>
  <c r="KN202" i="10"/>
  <c r="KA189" i="10"/>
  <c r="KJ157" i="10"/>
  <c r="KM138" i="10"/>
  <c r="BI138" i="10"/>
  <c r="AO132" i="15" s="1"/>
  <c r="KJ123" i="10"/>
  <c r="KI119" i="10"/>
  <c r="KE69" i="10"/>
  <c r="BM69" i="10"/>
  <c r="AS63" i="15"/>
  <c r="JZ383" i="10"/>
  <c r="JZ243" i="10"/>
  <c r="JZ187" i="10"/>
  <c r="KB206" i="10"/>
  <c r="BJ206" i="10"/>
  <c r="AP200" i="15"/>
  <c r="KB187" i="10"/>
  <c r="BJ187" i="10"/>
  <c r="AP181" i="15"/>
  <c r="KB161" i="10"/>
  <c r="BJ161" i="10"/>
  <c r="AP155" i="15"/>
  <c r="KA388" i="10"/>
  <c r="KJ381" i="10"/>
  <c r="KJ299" i="10"/>
  <c r="KD280" i="10"/>
  <c r="BK280" i="10" s="1"/>
  <c r="AQ274" i="15" s="1"/>
  <c r="KD271" i="10"/>
  <c r="BK271" i="10"/>
  <c r="AQ265" i="15"/>
  <c r="KK259" i="10"/>
  <c r="BH259" i="10"/>
  <c r="AN253" i="15"/>
  <c r="KK257" i="10"/>
  <c r="BH257" i="10"/>
  <c r="AN251" i="15"/>
  <c r="KH255" i="10"/>
  <c r="KH251" i="10"/>
  <c r="KJ249" i="10"/>
  <c r="KE243" i="10"/>
  <c r="BM243" i="10"/>
  <c r="AS237" i="15"/>
  <c r="KL215" i="10"/>
  <c r="KD204" i="10"/>
  <c r="BK204" i="10" s="1"/>
  <c r="AQ198" i="15" s="1"/>
  <c r="KL202" i="10"/>
  <c r="KN170" i="10"/>
  <c r="KI157" i="10"/>
  <c r="KK138" i="10"/>
  <c r="BH138" i="10"/>
  <c r="AN132" i="15"/>
  <c r="KH123" i="10"/>
  <c r="KH119" i="10"/>
  <c r="KA69" i="10"/>
  <c r="JZ378" i="10"/>
  <c r="JY388" i="10"/>
  <c r="KM355" i="10"/>
  <c r="BI355" i="10" s="1"/>
  <c r="AO349" i="15" s="1"/>
  <c r="KE282" i="10"/>
  <c r="BM282" i="10"/>
  <c r="AS276" i="15"/>
  <c r="KA280" i="10"/>
  <c r="KM273" i="10"/>
  <c r="BI273" i="10"/>
  <c r="AO267" i="15" s="1"/>
  <c r="KI259" i="10"/>
  <c r="KG255" i="10"/>
  <c r="KN253" i="10"/>
  <c r="KI249" i="10"/>
  <c r="KD243" i="10"/>
  <c r="BK243" i="10" s="1"/>
  <c r="AQ237" i="15"/>
  <c r="KE241" i="10"/>
  <c r="BM241" i="10"/>
  <c r="AS235" i="15"/>
  <c r="KK215" i="10"/>
  <c r="BH215" i="10"/>
  <c r="AN209" i="15"/>
  <c r="KK202" i="10"/>
  <c r="BH202" i="10"/>
  <c r="AN196" i="15"/>
  <c r="KK168" i="10"/>
  <c r="BH168" i="10"/>
  <c r="AN162" i="15"/>
  <c r="KH157" i="10"/>
  <c r="KH138" i="10"/>
  <c r="JY69" i="10"/>
  <c r="JZ241" i="10"/>
  <c r="KM346" i="10"/>
  <c r="BI346" i="10"/>
  <c r="AO340" i="15" s="1"/>
  <c r="KJ286" i="10"/>
  <c r="KD282" i="10"/>
  <c r="BK282" i="10" s="1"/>
  <c r="AQ276" i="15" s="1"/>
  <c r="JY280" i="10"/>
  <c r="KM253" i="10"/>
  <c r="BI253" i="10" s="1"/>
  <c r="AO247" i="15" s="1"/>
  <c r="KA243" i="10"/>
  <c r="KD241" i="10"/>
  <c r="BK241" i="10" s="1"/>
  <c r="AQ235" i="15" s="1"/>
  <c r="KN209" i="10"/>
  <c r="KJ202" i="10"/>
  <c r="KN181" i="10"/>
  <c r="KN160" i="10"/>
  <c r="KE155" i="10"/>
  <c r="BM155" i="10"/>
  <c r="AS149" i="15"/>
  <c r="JZ315" i="10"/>
  <c r="KB155" i="10"/>
  <c r="BJ155" i="10"/>
  <c r="AP149" i="15"/>
  <c r="KL370" i="10"/>
  <c r="KN361" i="10"/>
  <c r="KL346" i="10"/>
  <c r="KK284" i="10"/>
  <c r="BH284" i="10"/>
  <c r="AN278" i="15"/>
  <c r="KA282" i="10"/>
  <c r="JX280" i="10"/>
  <c r="KE273" i="10"/>
  <c r="BM273" i="10"/>
  <c r="AS267" i="15"/>
  <c r="KL253" i="10"/>
  <c r="KJ245" i="10"/>
  <c r="JY243" i="10"/>
  <c r="KA241" i="10"/>
  <c r="KM209" i="10"/>
  <c r="BI209" i="10" s="1"/>
  <c r="AO203" i="15" s="1"/>
  <c r="KI202" i="10"/>
  <c r="KN198" i="10"/>
  <c r="KJ181" i="10"/>
  <c r="KN177" i="10"/>
  <c r="KJ175" i="10"/>
  <c r="KN173" i="10"/>
  <c r="KI160" i="10"/>
  <c r="KA155" i="10"/>
  <c r="KI54" i="10"/>
  <c r="JZ370" i="10"/>
  <c r="KB370" i="10"/>
  <c r="BJ370" i="10"/>
  <c r="AP364" i="15"/>
  <c r="KB350" i="10"/>
  <c r="BJ350" i="10"/>
  <c r="AP344" i="15"/>
  <c r="KB152" i="10"/>
  <c r="BJ152" i="10"/>
  <c r="AP146" i="15"/>
  <c r="KE389" i="10"/>
  <c r="BM389" i="10"/>
  <c r="AS383" i="15"/>
  <c r="KM361" i="10"/>
  <c r="BI361" i="10" s="1"/>
  <c r="AO355" i="15" s="1"/>
  <c r="KI346" i="10"/>
  <c r="KH309" i="10"/>
  <c r="JY282" i="10"/>
  <c r="KI263" i="10"/>
  <c r="KJ253" i="10"/>
  <c r="KN247" i="10"/>
  <c r="JX243" i="10"/>
  <c r="JY241" i="10"/>
  <c r="KI221" i="10"/>
  <c r="KJ209" i="10"/>
  <c r="KH202" i="10"/>
  <c r="KM198" i="10"/>
  <c r="BI198" i="10" s="1"/>
  <c r="AO192" i="15" s="1"/>
  <c r="KH190" i="10"/>
  <c r="KM177" i="10"/>
  <c r="BI177" i="10" s="1"/>
  <c r="AO171" i="15" s="1"/>
  <c r="KH175" i="10"/>
  <c r="KM173" i="10"/>
  <c r="BI173" i="10" s="1"/>
  <c r="AO167" i="15" s="1"/>
  <c r="KE170" i="10"/>
  <c r="BM170" i="10"/>
  <c r="AS164" i="15"/>
  <c r="KN142" i="10"/>
  <c r="KM136" i="10"/>
  <c r="BI136" i="10" s="1"/>
  <c r="AO130" i="15" s="1"/>
  <c r="KJ132" i="10"/>
  <c r="JZ367" i="10"/>
  <c r="JZ232" i="10"/>
  <c r="KD389" i="10"/>
  <c r="BK389" i="10" s="1"/>
  <c r="AQ383" i="15" s="1"/>
  <c r="KK383" i="10"/>
  <c r="BH383" i="10"/>
  <c r="AN377" i="15"/>
  <c r="KJ361" i="10"/>
  <c r="KI253" i="10"/>
  <c r="KL247" i="10"/>
  <c r="JX241" i="10"/>
  <c r="KH221" i="10"/>
  <c r="KJ213" i="10"/>
  <c r="KG209" i="10"/>
  <c r="KG202" i="10"/>
  <c r="KG190" i="10"/>
  <c r="KG175" i="10"/>
  <c r="KB264" i="10"/>
  <c r="BJ264" i="10"/>
  <c r="AP258" i="15"/>
  <c r="KB243" i="10"/>
  <c r="BJ243" i="10"/>
  <c r="AP237" i="15"/>
  <c r="JP56" i="10"/>
  <c r="JN56" i="10"/>
  <c r="JX108" i="10"/>
  <c r="KD48" i="10"/>
  <c r="BK48" i="10" s="1"/>
  <c r="AQ42" i="15" s="1"/>
  <c r="JY99" i="10"/>
  <c r="KD83" i="10"/>
  <c r="BK83" i="10" s="1"/>
  <c r="AQ77" i="15" s="1"/>
  <c r="KA66" i="10"/>
  <c r="JX51" i="10"/>
  <c r="KA48" i="10"/>
  <c r="JY83" i="10"/>
  <c r="KE71" i="10"/>
  <c r="BM71" i="10"/>
  <c r="AS65" i="15"/>
  <c r="JY66" i="10"/>
  <c r="JY48" i="10"/>
  <c r="JX83" i="10"/>
  <c r="KD71" i="10"/>
  <c r="BK71" i="10" s="1"/>
  <c r="AQ65" i="15" s="1"/>
  <c r="KE68" i="10"/>
  <c r="BM68" i="10"/>
  <c r="AS62" i="15"/>
  <c r="JX66" i="10"/>
  <c r="KK60" i="10"/>
  <c r="BH60" i="10"/>
  <c r="AN54" i="15"/>
  <c r="JX48" i="10"/>
  <c r="JZ68" i="10"/>
  <c r="KB113" i="10"/>
  <c r="BJ113" i="10"/>
  <c r="AP107" i="15"/>
  <c r="KD68" i="10"/>
  <c r="BK68" i="10" s="1"/>
  <c r="AQ62" i="15" s="1"/>
  <c r="JZ111" i="10"/>
  <c r="KB111" i="10"/>
  <c r="BJ111" i="10"/>
  <c r="AP105" i="15"/>
  <c r="KD96" i="10"/>
  <c r="BK96" i="10" s="1"/>
  <c r="AQ90" i="15" s="1"/>
  <c r="KA85" i="10"/>
  <c r="JY68" i="10"/>
  <c r="KJ53" i="10"/>
  <c r="KD27" i="10"/>
  <c r="BK27" i="10" s="1"/>
  <c r="AQ21" i="15" s="1"/>
  <c r="KD105" i="10"/>
  <c r="BK105" i="10" s="1"/>
  <c r="AQ99" i="15"/>
  <c r="KA96" i="10"/>
  <c r="JY85" i="10"/>
  <c r="JX68" i="10"/>
  <c r="KA27" i="10"/>
  <c r="JZ67" i="10"/>
  <c r="KB97" i="10"/>
  <c r="BJ97" i="10"/>
  <c r="AP91" i="15"/>
  <c r="KC77" i="10"/>
  <c r="BL77" i="10"/>
  <c r="AR71" i="15"/>
  <c r="KM98" i="10"/>
  <c r="BI98" i="10" s="1"/>
  <c r="AO92" i="15" s="1"/>
  <c r="JY27" i="10"/>
  <c r="KK98" i="10"/>
  <c r="BH98" i="10"/>
  <c r="AN92" i="15"/>
  <c r="KB87" i="10"/>
  <c r="BJ87" i="10"/>
  <c r="AP81" i="15"/>
  <c r="KC105" i="10"/>
  <c r="BL105" i="10"/>
  <c r="AR99" i="15"/>
  <c r="KC90" i="10"/>
  <c r="BL90" i="10"/>
  <c r="AR84" i="15"/>
  <c r="KC76" i="10"/>
  <c r="BL76" i="10"/>
  <c r="AR70" i="15"/>
  <c r="KJ93" i="10"/>
  <c r="KD47" i="10"/>
  <c r="BK47" i="10" s="1"/>
  <c r="AQ41" i="15" s="1"/>
  <c r="JZ96" i="10"/>
  <c r="KB81" i="10"/>
  <c r="BJ81" i="10"/>
  <c r="AP75" i="15"/>
  <c r="KE111" i="10"/>
  <c r="BM111" i="10"/>
  <c r="AS105" i="15"/>
  <c r="KA82" i="10"/>
  <c r="KG67" i="10"/>
  <c r="KA47" i="10"/>
  <c r="KB80" i="10"/>
  <c r="BJ80" i="10"/>
  <c r="AP74" i="15"/>
  <c r="KD111" i="10"/>
  <c r="BK111" i="10" s="1"/>
  <c r="AQ105" i="15" s="1"/>
  <c r="KG84" i="10"/>
  <c r="JX82" i="10"/>
  <c r="JX47" i="10"/>
  <c r="KC88" i="10"/>
  <c r="BL88" i="10"/>
  <c r="AR82" i="15"/>
  <c r="KC74" i="10"/>
  <c r="BL74" i="10"/>
  <c r="AR68" i="15"/>
  <c r="KA111" i="10"/>
  <c r="KE67" i="10"/>
  <c r="BM67" i="10"/>
  <c r="AS61" i="15"/>
  <c r="KB67" i="10"/>
  <c r="BJ67" i="10"/>
  <c r="AP61" i="15"/>
  <c r="JY111" i="10"/>
  <c r="KD67" i="10"/>
  <c r="BK67" i="10" s="1"/>
  <c r="AQ61" i="15" s="1"/>
  <c r="KN59" i="10"/>
  <c r="KB66" i="10"/>
  <c r="BJ66" i="10"/>
  <c r="AP60" i="15"/>
  <c r="KC101" i="10"/>
  <c r="BL101" i="10"/>
  <c r="AR95" i="15"/>
  <c r="KC73" i="10"/>
  <c r="BL73" i="10"/>
  <c r="AR67" i="15"/>
  <c r="KL74" i="10"/>
  <c r="KA67" i="10"/>
  <c r="KK59" i="10"/>
  <c r="BH59" i="10"/>
  <c r="AN53" i="15"/>
  <c r="KN88" i="10"/>
  <c r="KJ74" i="10"/>
  <c r="JY67" i="10"/>
  <c r="KJ59" i="10"/>
  <c r="JZ86" i="10"/>
  <c r="KC100" i="10"/>
  <c r="BL100" i="10"/>
  <c r="AR94" i="15"/>
  <c r="KC72" i="10"/>
  <c r="BL72" i="10"/>
  <c r="AR66" i="15"/>
  <c r="KN99" i="10"/>
  <c r="KK90" i="10"/>
  <c r="BH90" i="10"/>
  <c r="AN84" i="15"/>
  <c r="JX67" i="10"/>
  <c r="KL106" i="10"/>
  <c r="KM99" i="10"/>
  <c r="BI99" i="10" s="1"/>
  <c r="AO93" i="15" s="1"/>
  <c r="KH90" i="10"/>
  <c r="KC99" i="10"/>
  <c r="BL99" i="10"/>
  <c r="AR93" i="15"/>
  <c r="KC85" i="10"/>
  <c r="BL85" i="10"/>
  <c r="AR79" i="15"/>
  <c r="KC71" i="10"/>
  <c r="BL71" i="10"/>
  <c r="AR65" i="15"/>
  <c r="KL99" i="10"/>
  <c r="KD97" i="10"/>
  <c r="BK97" i="10" s="1"/>
  <c r="AQ91" i="15" s="1"/>
  <c r="KI99" i="10"/>
  <c r="KA97" i="10"/>
  <c r="KD90" i="10"/>
  <c r="BK90" i="10" s="1"/>
  <c r="AQ84" i="15" s="1"/>
  <c r="JZ47" i="10"/>
  <c r="KK110" i="10"/>
  <c r="BH110" i="10"/>
  <c r="AN104" i="15"/>
  <c r="KH99" i="10"/>
  <c r="JX90" i="10"/>
  <c r="KA76" i="10"/>
  <c r="KC83" i="10"/>
  <c r="BL83" i="10"/>
  <c r="AR77" i="15"/>
  <c r="JN55" i="10"/>
  <c r="II97" i="10"/>
  <c r="JN67" i="10"/>
  <c r="JN78" i="10"/>
  <c r="JO99" i="10"/>
  <c r="II95" i="10"/>
  <c r="KG105" i="10"/>
  <c r="JX98" i="10"/>
  <c r="KA90" i="10"/>
  <c r="KM88" i="10"/>
  <c r="BI88" i="10" s="1"/>
  <c r="AO82" i="15" s="1"/>
  <c r="KJ78" i="10"/>
  <c r="KK63" i="10"/>
  <c r="BH63" i="10"/>
  <c r="AN57" i="15"/>
  <c r="JZ99" i="10"/>
  <c r="KB64" i="10"/>
  <c r="BJ64" i="10"/>
  <c r="AP58" i="15"/>
  <c r="KD109" i="10"/>
  <c r="BK109" i="10" s="1"/>
  <c r="AQ103" i="15" s="1"/>
  <c r="JY90" i="10"/>
  <c r="KK88" i="10"/>
  <c r="BH88" i="10"/>
  <c r="AN82" i="15"/>
  <c r="KI78" i="10"/>
  <c r="KJ63" i="10"/>
  <c r="KD49" i="10"/>
  <c r="BK49" i="10" s="1"/>
  <c r="AQ43" i="15" s="1"/>
  <c r="JZ98" i="10"/>
  <c r="JY109" i="10"/>
  <c r="KA105" i="10"/>
  <c r="KM86" i="10"/>
  <c r="BI86" i="10" s="1"/>
  <c r="AO80" i="15" s="1"/>
  <c r="JY49" i="10"/>
  <c r="JY105" i="10"/>
  <c r="KN118" i="10"/>
  <c r="JX105" i="10"/>
  <c r="KH76" i="10"/>
  <c r="KB107" i="10"/>
  <c r="BJ107" i="10"/>
  <c r="AP101" i="15"/>
  <c r="KM118" i="10"/>
  <c r="BI118" i="10" s="1"/>
  <c r="AO112" i="15" s="1"/>
  <c r="KL112" i="10"/>
  <c r="KM97" i="10"/>
  <c r="BI97" i="10" s="1"/>
  <c r="AO91" i="15" s="1"/>
  <c r="KE51" i="10"/>
  <c r="BM51" i="10"/>
  <c r="AS45" i="15"/>
  <c r="JZ90" i="10"/>
  <c r="KB105" i="10"/>
  <c r="BJ105" i="10"/>
  <c r="AP99" i="15"/>
  <c r="KL118" i="10"/>
  <c r="KK112" i="10"/>
  <c r="BH112" i="10"/>
  <c r="AN106" i="15"/>
  <c r="KL97" i="10"/>
  <c r="KE76" i="10"/>
  <c r="BM76" i="10"/>
  <c r="AS70" i="15"/>
  <c r="KD51" i="10"/>
  <c r="BK51" i="10" s="1"/>
  <c r="AQ45" i="15" s="1"/>
  <c r="KB35" i="10"/>
  <c r="BJ35" i="10"/>
  <c r="AP29" i="15"/>
  <c r="KJ118" i="10"/>
  <c r="KG112" i="10"/>
  <c r="KN110" i="10"/>
  <c r="KA99" i="10"/>
  <c r="KJ97" i="10"/>
  <c r="KN89" i="10"/>
  <c r="KD76" i="10"/>
  <c r="BK76" i="10"/>
  <c r="AQ70" i="15" s="1"/>
  <c r="KK74" i="10"/>
  <c r="BH74" i="10"/>
  <c r="AN68" i="15"/>
  <c r="KN67" i="10"/>
  <c r="JZ64" i="10"/>
  <c r="KB99" i="10"/>
  <c r="BJ99" i="10"/>
  <c r="AP93" i="15"/>
  <c r="KB24" i="10"/>
  <c r="BJ24" i="10"/>
  <c r="AP18" i="15"/>
  <c r="KB98" i="10"/>
  <c r="BJ98" i="10"/>
  <c r="AP92" i="15"/>
  <c r="KG118" i="10"/>
  <c r="KE112" i="10"/>
  <c r="BM112" i="10"/>
  <c r="AS106" i="15"/>
  <c r="KN108" i="10"/>
  <c r="KG97" i="10"/>
  <c r="KI89" i="10"/>
  <c r="JY76" i="10"/>
  <c r="JZ24" i="10"/>
  <c r="KM104" i="10"/>
  <c r="BI104" i="10" s="1"/>
  <c r="AO98" i="15" s="1"/>
  <c r="KJ100" i="10"/>
  <c r="JX76" i="10"/>
  <c r="KA112" i="10"/>
  <c r="KL108" i="10"/>
  <c r="KL104" i="10"/>
  <c r="KN81" i="10"/>
  <c r="JY42" i="10"/>
  <c r="KB92" i="10"/>
  <c r="BJ92" i="10"/>
  <c r="AP86" i="15"/>
  <c r="JY24" i="10"/>
  <c r="KK104" i="10"/>
  <c r="BH104" i="10"/>
  <c r="AN98" i="15"/>
  <c r="KM81" i="10"/>
  <c r="BI81" i="10" s="1"/>
  <c r="AO75" i="15"/>
  <c r="KN77" i="10"/>
  <c r="JX42" i="10"/>
  <c r="KB90" i="10"/>
  <c r="BJ90" i="10"/>
  <c r="AP84" i="15"/>
  <c r="KI104" i="10"/>
  <c r="KL81" i="10"/>
  <c r="KL77" i="10"/>
  <c r="JZ76" i="10"/>
  <c r="JZ49" i="10"/>
  <c r="KN115" i="10"/>
  <c r="KG108" i="10"/>
  <c r="KH104" i="10"/>
  <c r="KN90" i="10"/>
  <c r="KJ87" i="10"/>
  <c r="KM85" i="10"/>
  <c r="BI85" i="10" s="1"/>
  <c r="AO79" i="15" s="1"/>
  <c r="KJ81" i="10"/>
  <c r="KK77" i="10"/>
  <c r="BH77" i="10"/>
  <c r="AN71" i="15"/>
  <c r="KD69" i="10"/>
  <c r="BK69" i="10"/>
  <c r="AQ63" i="15" s="1"/>
  <c r="KK57" i="10"/>
  <c r="BH57" i="10"/>
  <c r="AN51" i="15"/>
  <c r="KL115" i="10"/>
  <c r="KL113" i="10"/>
  <c r="KM90" i="10"/>
  <c r="BI90" i="10" s="1"/>
  <c r="AO84" i="15" s="1"/>
  <c r="KJ85" i="10"/>
  <c r="KI81" i="10"/>
  <c r="KJ77" i="10"/>
  <c r="JZ112" i="10"/>
  <c r="KH81" i="10"/>
  <c r="KI77" i="10"/>
  <c r="KJ75" i="10"/>
  <c r="KI115" i="10"/>
  <c r="KJ113" i="10"/>
  <c r="KL98" i="10"/>
  <c r="KJ90" i="10"/>
  <c r="KE85" i="10"/>
  <c r="BM85" i="10"/>
  <c r="AS79" i="15"/>
  <c r="KG81" i="10"/>
  <c r="KH77" i="10"/>
  <c r="KG75" i="10"/>
  <c r="JX69" i="10"/>
  <c r="JZ30" i="10"/>
  <c r="KJ111" i="10"/>
  <c r="KG90" i="10"/>
  <c r="JZ105" i="10"/>
  <c r="KB71" i="10"/>
  <c r="BJ71" i="10"/>
  <c r="AP65" i="15"/>
  <c r="KE94" i="10"/>
  <c r="BM94" i="10"/>
  <c r="AS88" i="15"/>
  <c r="KB69" i="10"/>
  <c r="BJ69" i="10"/>
  <c r="AP63" i="15"/>
  <c r="KD98" i="10"/>
  <c r="BK98" i="10"/>
  <c r="AQ92" i="15" s="1"/>
  <c r="KA94" i="10"/>
  <c r="JX92" i="10"/>
  <c r="JX85" i="10"/>
  <c r="KA71" i="10"/>
  <c r="KA61" i="10"/>
  <c r="II110" i="10"/>
  <c r="JO70" i="10"/>
  <c r="JP70" i="10"/>
  <c r="JP107" i="10"/>
  <c r="JN107" i="10"/>
  <c r="JN89" i="10"/>
  <c r="FG379" i="10"/>
  <c r="KG383" i="10"/>
  <c r="KG381" i="10"/>
  <c r="KJ372" i="10"/>
  <c r="KH365" i="10"/>
  <c r="KK361" i="10"/>
  <c r="BH361" i="10"/>
  <c r="AN355" i="15"/>
  <c r="KG344" i="10"/>
  <c r="KI333" i="10"/>
  <c r="KG331" i="10"/>
  <c r="KG312" i="10"/>
  <c r="KK269" i="10"/>
  <c r="BH269" i="10"/>
  <c r="AN263" i="15"/>
  <c r="KG267" i="10"/>
  <c r="KH258" i="10"/>
  <c r="KL246" i="10"/>
  <c r="KI239" i="10"/>
  <c r="KG230" i="10"/>
  <c r="KG224" i="10"/>
  <c r="KK224" i="10"/>
  <c r="BH224" i="10"/>
  <c r="AN218" i="15"/>
  <c r="KJ222" i="10"/>
  <c r="KL212" i="10"/>
  <c r="KG188" i="10"/>
  <c r="KJ188" i="10"/>
  <c r="KK107" i="10"/>
  <c r="BH107" i="10"/>
  <c r="AN101" i="15"/>
  <c r="JZ261" i="10"/>
  <c r="KC261" i="10"/>
  <c r="BL261" i="10"/>
  <c r="AR255" i="15"/>
  <c r="KB261" i="10"/>
  <c r="BJ261" i="10"/>
  <c r="AP255" i="15"/>
  <c r="KI181" i="10"/>
  <c r="KM169" i="10"/>
  <c r="BI169" i="10" s="1"/>
  <c r="AO163" i="15" s="1"/>
  <c r="KM160" i="10"/>
  <c r="BI160" i="10"/>
  <c r="AO154" i="15"/>
  <c r="KM146" i="10"/>
  <c r="BI146" i="10" s="1"/>
  <c r="AO140" i="15" s="1"/>
  <c r="KG114" i="10"/>
  <c r="KK114" i="10"/>
  <c r="BH114" i="10"/>
  <c r="AN108" i="15"/>
  <c r="KJ107" i="10"/>
  <c r="KL100" i="10"/>
  <c r="KH100" i="10"/>
  <c r="KK100" i="10"/>
  <c r="BH100" i="10"/>
  <c r="AN94" i="15"/>
  <c r="KN100" i="10"/>
  <c r="KH95" i="10"/>
  <c r="KI95" i="10"/>
  <c r="KN91" i="10"/>
  <c r="KM83" i="10"/>
  <c r="BI83" i="10" s="1"/>
  <c r="AO77" i="15" s="1"/>
  <c r="KC300" i="10"/>
  <c r="BL300" i="10"/>
  <c r="AR294" i="15"/>
  <c r="JX300" i="10"/>
  <c r="JZ260" i="10"/>
  <c r="KC260" i="10"/>
  <c r="BL260" i="10"/>
  <c r="AR254" i="15"/>
  <c r="KB260" i="10"/>
  <c r="BJ260" i="10"/>
  <c r="AP254" i="15"/>
  <c r="KB217" i="10"/>
  <c r="BJ217" i="10"/>
  <c r="AP211" i="15"/>
  <c r="JX217" i="10"/>
  <c r="JZ217" i="10"/>
  <c r="KD217" i="10"/>
  <c r="BK217" i="10" s="1"/>
  <c r="AQ211" i="15" s="1"/>
  <c r="KC217" i="10"/>
  <c r="BL217" i="10"/>
  <c r="AR211" i="15"/>
  <c r="KD180" i="10"/>
  <c r="BK180" i="10" s="1"/>
  <c r="AQ174" i="15" s="1"/>
  <c r="KC180" i="10"/>
  <c r="BL180" i="10"/>
  <c r="AR174" i="15"/>
  <c r="JZ180" i="10"/>
  <c r="KB180" i="10"/>
  <c r="BJ180" i="10"/>
  <c r="AP174" i="15"/>
  <c r="KI370" i="10"/>
  <c r="KI361" i="10"/>
  <c r="KJ335" i="10"/>
  <c r="KI323" i="10"/>
  <c r="KG315" i="10"/>
  <c r="KM315" i="10"/>
  <c r="BI315" i="10" s="1"/>
  <c r="AO309" i="15" s="1"/>
  <c r="KK302" i="10"/>
  <c r="BH302" i="10"/>
  <c r="AN296" i="15"/>
  <c r="KM281" i="10"/>
  <c r="BI281" i="10" s="1"/>
  <c r="AO275" i="15" s="1"/>
  <c r="KI269" i="10"/>
  <c r="KL256" i="10"/>
  <c r="KH222" i="10"/>
  <c r="KI212" i="10"/>
  <c r="KK169" i="10"/>
  <c r="BH169" i="10"/>
  <c r="AN163" i="15"/>
  <c r="KK160" i="10"/>
  <c r="BH160" i="10"/>
  <c r="AN154" i="15"/>
  <c r="KI156" i="10"/>
  <c r="KG156" i="10"/>
  <c r="KM156" i="10"/>
  <c r="BI156" i="10" s="1"/>
  <c r="AO150" i="15" s="1"/>
  <c r="KK146" i="10"/>
  <c r="BH146" i="10"/>
  <c r="AN140" i="15"/>
  <c r="KM126" i="10"/>
  <c r="BI126" i="10" s="1"/>
  <c r="AO120" i="15" s="1"/>
  <c r="KH107" i="10"/>
  <c r="KG93" i="10"/>
  <c r="KH93" i="10"/>
  <c r="KL93" i="10"/>
  <c r="KL91" i="10"/>
  <c r="KI85" i="10"/>
  <c r="KG85" i="10"/>
  <c r="KK85" i="10"/>
  <c r="BH85" i="10"/>
  <c r="AN79" i="15"/>
  <c r="KN85" i="10"/>
  <c r="KH83" i="10"/>
  <c r="KB381" i="10"/>
  <c r="BJ381" i="10"/>
  <c r="AP375" i="15"/>
  <c r="JZ381" i="10"/>
  <c r="KC381" i="10"/>
  <c r="BL381" i="10"/>
  <c r="AR375" i="15"/>
  <c r="JZ362" i="10"/>
  <c r="KC362" i="10"/>
  <c r="BL362" i="10"/>
  <c r="AR356" i="15"/>
  <c r="KC321" i="10"/>
  <c r="BL321" i="10"/>
  <c r="AR315" i="15"/>
  <c r="JZ321" i="10"/>
  <c r="KB299" i="10"/>
  <c r="BJ299" i="10"/>
  <c r="AP293" i="15"/>
  <c r="JY299" i="10"/>
  <c r="KC299" i="10"/>
  <c r="BL299" i="10"/>
  <c r="AR293" i="15"/>
  <c r="JZ299" i="10"/>
  <c r="JZ238" i="10"/>
  <c r="KB238" i="10"/>
  <c r="BJ238" i="10"/>
  <c r="AP232" i="15"/>
  <c r="KB216" i="10"/>
  <c r="BJ216" i="10"/>
  <c r="AP210" i="15"/>
  <c r="KE216" i="10"/>
  <c r="BM216" i="10"/>
  <c r="AS210" i="15"/>
  <c r="JZ216" i="10"/>
  <c r="KC216" i="10"/>
  <c r="BL216" i="10"/>
  <c r="AR210" i="15"/>
  <c r="KC179" i="10"/>
  <c r="BL179" i="10"/>
  <c r="AR173" i="15"/>
  <c r="KD179" i="10"/>
  <c r="BK179" i="10"/>
  <c r="AQ173" i="15" s="1"/>
  <c r="KN384" i="10"/>
  <c r="KD381" i="10"/>
  <c r="BK381" i="10"/>
  <c r="AQ375" i="15" s="1"/>
  <c r="KG370" i="10"/>
  <c r="KH361" i="10"/>
  <c r="KI350" i="10"/>
  <c r="KK342" i="10"/>
  <c r="BH342" i="10"/>
  <c r="AN336" i="15"/>
  <c r="KL340" i="10"/>
  <c r="KI335" i="10"/>
  <c r="KK329" i="10"/>
  <c r="BH329" i="10"/>
  <c r="AN323" i="15"/>
  <c r="KK327" i="10"/>
  <c r="BH327" i="10"/>
  <c r="AN321" i="15"/>
  <c r="KG323" i="10"/>
  <c r="KN313" i="10"/>
  <c r="KJ306" i="10"/>
  <c r="KH302" i="10"/>
  <c r="KA299" i="10"/>
  <c r="KN287" i="10"/>
  <c r="KI275" i="10"/>
  <c r="KJ265" i="10"/>
  <c r="KI242" i="10"/>
  <c r="KM235" i="10"/>
  <c r="BI235" i="10"/>
  <c r="AO229" i="15" s="1"/>
  <c r="KN217" i="10"/>
  <c r="KH193" i="10"/>
  <c r="KL193" i="10"/>
  <c r="KM172" i="10"/>
  <c r="BI172" i="10" s="1"/>
  <c r="AO166" i="15" s="1"/>
  <c r="KJ169" i="10"/>
  <c r="KJ160" i="10"/>
  <c r="KJ146" i="10"/>
  <c r="KJ121" i="10"/>
  <c r="KM121" i="10"/>
  <c r="BI121" i="10" s="1"/>
  <c r="AO115" i="15" s="1"/>
  <c r="KL88" i="10"/>
  <c r="KG88" i="10"/>
  <c r="KI88" i="10"/>
  <c r="JZ286" i="10"/>
  <c r="KC238" i="10"/>
  <c r="BL238" i="10"/>
  <c r="AR232" i="15"/>
  <c r="KK281" i="10"/>
  <c r="BH281" i="10"/>
  <c r="AN275" i="15"/>
  <c r="KI281" i="10"/>
  <c r="KH269" i="10"/>
  <c r="KM269" i="10"/>
  <c r="BI269" i="10"/>
  <c r="AO263" i="15" s="1"/>
  <c r="KI256" i="10"/>
  <c r="KM256" i="10"/>
  <c r="BI256" i="10" s="1"/>
  <c r="AO250" i="15" s="1"/>
  <c r="KK222" i="10"/>
  <c r="BH222" i="10"/>
  <c r="AN216" i="15"/>
  <c r="KN222" i="10"/>
  <c r="KH212" i="10"/>
  <c r="KK212" i="10"/>
  <c r="BH212" i="10"/>
  <c r="AN206" i="15"/>
  <c r="KH126" i="10"/>
  <c r="KL126" i="10"/>
  <c r="KN107" i="10"/>
  <c r="KI107" i="10"/>
  <c r="KM107" i="10"/>
  <c r="BI107" i="10" s="1"/>
  <c r="AO101" i="15" s="1"/>
  <c r="KM91" i="10"/>
  <c r="BI91" i="10" s="1"/>
  <c r="AO85" i="15" s="1"/>
  <c r="KH91" i="10"/>
  <c r="KI83" i="10"/>
  <c r="KJ83" i="10"/>
  <c r="KK83" i="10"/>
  <c r="BH83" i="10"/>
  <c r="AN77" i="15"/>
  <c r="KL83" i="10"/>
  <c r="KN83" i="10"/>
  <c r="KN65" i="10"/>
  <c r="KH65" i="10"/>
  <c r="KB379" i="10"/>
  <c r="BJ379" i="10"/>
  <c r="AP373" i="15"/>
  <c r="JZ379" i="10"/>
  <c r="KC379" i="10"/>
  <c r="BL379" i="10"/>
  <c r="AR373" i="15"/>
  <c r="KB360" i="10"/>
  <c r="BJ360" i="10"/>
  <c r="AP354" i="15"/>
  <c r="KC360" i="10"/>
  <c r="BL360" i="10"/>
  <c r="AR354" i="15"/>
  <c r="JZ360" i="10"/>
  <c r="KB258" i="10"/>
  <c r="BJ258" i="10"/>
  <c r="AP252" i="15"/>
  <c r="KA258" i="10"/>
  <c r="KC258" i="10"/>
  <c r="BL258" i="10"/>
  <c r="AR252" i="15"/>
  <c r="JZ258" i="10"/>
  <c r="JZ195" i="10"/>
  <c r="JX195" i="10"/>
  <c r="KD195" i="10"/>
  <c r="BK195" i="10" s="1"/>
  <c r="AQ189" i="15" s="1"/>
  <c r="KB195" i="10"/>
  <c r="BJ195" i="10"/>
  <c r="AP189" i="15"/>
  <c r="KC195" i="10"/>
  <c r="BL195" i="10"/>
  <c r="AR189" i="15"/>
  <c r="KC139" i="10"/>
  <c r="BL139" i="10"/>
  <c r="AR133" i="15"/>
  <c r="JZ139" i="10"/>
  <c r="KE139" i="10"/>
  <c r="BM139" i="10"/>
  <c r="AS133" i="15"/>
  <c r="KB139" i="10"/>
  <c r="BJ139" i="10"/>
  <c r="AP133" i="15"/>
  <c r="KJ355" i="10"/>
  <c r="KI342" i="10"/>
  <c r="KH340" i="10"/>
  <c r="KG329" i="10"/>
  <c r="KH325" i="10"/>
  <c r="KM321" i="10"/>
  <c r="BI321" i="10" s="1"/>
  <c r="AO315" i="15" s="1"/>
  <c r="KL263" i="10"/>
  <c r="JY258" i="10"/>
  <c r="KI244" i="10"/>
  <c r="KL244" i="10"/>
  <c r="KG242" i="10"/>
  <c r="KI235" i="10"/>
  <c r="KK217" i="10"/>
  <c r="BH217" i="10"/>
  <c r="AN211" i="15"/>
  <c r="KG195" i="10"/>
  <c r="KN195" i="10"/>
  <c r="KM112" i="10"/>
  <c r="BI112" i="10"/>
  <c r="AO106" i="15" s="1"/>
  <c r="KI112" i="10"/>
  <c r="KN112" i="10"/>
  <c r="KB318" i="10"/>
  <c r="BJ318" i="10"/>
  <c r="AP312" i="15"/>
  <c r="JZ318" i="10"/>
  <c r="KC276" i="10"/>
  <c r="BL276" i="10"/>
  <c r="AR270" i="15"/>
  <c r="JY276" i="10"/>
  <c r="JZ276" i="10"/>
  <c r="KB194" i="10"/>
  <c r="BJ194" i="10"/>
  <c r="AP188" i="15"/>
  <c r="KA194" i="10"/>
  <c r="KC194" i="10"/>
  <c r="BL194" i="10"/>
  <c r="AR188" i="15"/>
  <c r="KC79" i="10"/>
  <c r="BL79" i="10"/>
  <c r="AR73" i="15"/>
  <c r="KB79" i="10"/>
  <c r="BJ79" i="10"/>
  <c r="AP73" i="15"/>
  <c r="JY79" i="10"/>
  <c r="KE79" i="10"/>
  <c r="BM79" i="10"/>
  <c r="AS73" i="15"/>
  <c r="KI169" i="10"/>
  <c r="KL169" i="10"/>
  <c r="KG160" i="10"/>
  <c r="KL160" i="10"/>
  <c r="KH146" i="10"/>
  <c r="KL146" i="10"/>
  <c r="KB317" i="10"/>
  <c r="BJ317" i="10"/>
  <c r="AP311" i="15"/>
  <c r="KC317" i="10"/>
  <c r="BL317" i="10"/>
  <c r="AR311" i="15"/>
  <c r="KD193" i="10"/>
  <c r="BK193" i="10"/>
  <c r="AQ187" i="15" s="1"/>
  <c r="KB193" i="10"/>
  <c r="BJ193" i="10"/>
  <c r="AP187" i="15"/>
  <c r="KC193" i="10"/>
  <c r="BL193" i="10"/>
  <c r="AR187" i="15"/>
  <c r="JZ193" i="10"/>
  <c r="KH287" i="10"/>
  <c r="KI287" i="10"/>
  <c r="KL287" i="10"/>
  <c r="KA195" i="10"/>
  <c r="KJ172" i="10"/>
  <c r="KG172" i="10"/>
  <c r="KK172" i="10"/>
  <c r="BH172" i="10"/>
  <c r="AN166" i="15"/>
  <c r="KN172" i="10"/>
  <c r="KH79" i="10"/>
  <c r="KN79" i="10"/>
  <c r="KI79" i="10"/>
  <c r="KJ79" i="10"/>
  <c r="KB377" i="10"/>
  <c r="BJ377" i="10"/>
  <c r="AP371" i="15"/>
  <c r="KC377" i="10"/>
  <c r="BL377" i="10"/>
  <c r="AR371" i="15"/>
  <c r="KA234" i="10"/>
  <c r="KB234" i="10"/>
  <c r="BJ234" i="10"/>
  <c r="AP228" i="15"/>
  <c r="KC234" i="10"/>
  <c r="BL234" i="10"/>
  <c r="AR228" i="15"/>
  <c r="JZ212" i="10"/>
  <c r="KE212" i="10"/>
  <c r="BM212" i="10"/>
  <c r="AS206" i="15"/>
  <c r="KC212" i="10"/>
  <c r="BL212" i="10"/>
  <c r="AR206" i="15"/>
  <c r="KB212" i="10"/>
  <c r="BJ212" i="10"/>
  <c r="AP206" i="15"/>
  <c r="KI377" i="10"/>
  <c r="KN362" i="10"/>
  <c r="KI353" i="10"/>
  <c r="KN336" i="10"/>
  <c r="KD327" i="10"/>
  <c r="BK327" i="10" s="1"/>
  <c r="AQ321" i="15"/>
  <c r="KE321" i="10"/>
  <c r="BM321" i="10"/>
  <c r="AS315" i="15"/>
  <c r="KL316" i="10"/>
  <c r="KI313" i="10"/>
  <c r="KH300" i="10"/>
  <c r="KM300" i="10"/>
  <c r="BI300" i="10"/>
  <c r="AO294" i="15" s="1"/>
  <c r="KN290" i="10"/>
  <c r="KJ279" i="10"/>
  <c r="JY269" i="10"/>
  <c r="JY265" i="10"/>
  <c r="KK247" i="10"/>
  <c r="BH247" i="10"/>
  <c r="AN241" i="15"/>
  <c r="KA244" i="10"/>
  <c r="KN240" i="10"/>
  <c r="KK231" i="10"/>
  <c r="BH231" i="10"/>
  <c r="AN225" i="15"/>
  <c r="KL225" i="10"/>
  <c r="KE217" i="10"/>
  <c r="BM217" i="10"/>
  <c r="AS211" i="15"/>
  <c r="JX212" i="10"/>
  <c r="KH203" i="10"/>
  <c r="KN203" i="10"/>
  <c r="JY195" i="10"/>
  <c r="KL189" i="10"/>
  <c r="KK167" i="10"/>
  <c r="BH167" i="10"/>
  <c r="AN161" i="15"/>
  <c r="KM151" i="10"/>
  <c r="BI151" i="10" s="1"/>
  <c r="AO145" i="15"/>
  <c r="KI151" i="10"/>
  <c r="KN147" i="10"/>
  <c r="KL142" i="10"/>
  <c r="KK129" i="10"/>
  <c r="BH129" i="10"/>
  <c r="AN123" i="15"/>
  <c r="KI98" i="10"/>
  <c r="KK86" i="10"/>
  <c r="BH86" i="10"/>
  <c r="AN80" i="15"/>
  <c r="KD79" i="10"/>
  <c r="BK79" i="10"/>
  <c r="AQ73" i="15" s="1"/>
  <c r="KB294" i="10"/>
  <c r="BJ294" i="10"/>
  <c r="AP288" i="15"/>
  <c r="JZ294" i="10"/>
  <c r="KB233" i="10"/>
  <c r="BJ233" i="10"/>
  <c r="AP227" i="15"/>
  <c r="JZ233" i="10"/>
  <c r="KC233" i="10"/>
  <c r="BL233" i="10"/>
  <c r="AR227" i="15"/>
  <c r="KD233" i="10"/>
  <c r="BK233" i="10" s="1"/>
  <c r="AQ227" i="15" s="1"/>
  <c r="KH377" i="10"/>
  <c r="KK362" i="10"/>
  <c r="BH362" i="10"/>
  <c r="AN356" i="15"/>
  <c r="KH353" i="10"/>
  <c r="KM347" i="10"/>
  <c r="BI347" i="10" s="1"/>
  <c r="AO341" i="15" s="1"/>
  <c r="KM336" i="10"/>
  <c r="BI336" i="10" s="1"/>
  <c r="AO330" i="15" s="1"/>
  <c r="KA327" i="10"/>
  <c r="KD321" i="10"/>
  <c r="BK321" i="10"/>
  <c r="AQ315" i="15" s="1"/>
  <c r="KI316" i="10"/>
  <c r="KH313" i="10"/>
  <c r="KD304" i="10"/>
  <c r="BK304" i="10" s="1"/>
  <c r="AQ298" i="15" s="1"/>
  <c r="KE300" i="10"/>
  <c r="BM300" i="10"/>
  <c r="AS294" i="15"/>
  <c r="KN298" i="10"/>
  <c r="KL290" i="10"/>
  <c r="KN288" i="10"/>
  <c r="KI279" i="10"/>
  <c r="JX269" i="10"/>
  <c r="JX265" i="10"/>
  <c r="KE261" i="10"/>
  <c r="BM261" i="10"/>
  <c r="AS255" i="15"/>
  <c r="KJ247" i="10"/>
  <c r="KM240" i="10"/>
  <c r="BI240" i="10"/>
  <c r="AO234" i="15" s="1"/>
  <c r="KI231" i="10"/>
  <c r="KK225" i="10"/>
  <c r="BH225" i="10"/>
  <c r="AN219" i="15"/>
  <c r="KE220" i="10"/>
  <c r="BM220" i="10"/>
  <c r="AS214" i="15"/>
  <c r="KA217" i="10"/>
  <c r="KM213" i="10"/>
  <c r="BI213" i="10" s="1"/>
  <c r="AO207" i="15" s="1"/>
  <c r="KN208" i="10"/>
  <c r="KI198" i="10"/>
  <c r="KG198" i="10"/>
  <c r="KK198" i="10"/>
  <c r="BH198" i="10"/>
  <c r="AN192" i="15"/>
  <c r="KK189" i="10"/>
  <c r="BH189" i="10"/>
  <c r="AN183" i="15"/>
  <c r="KH186" i="10"/>
  <c r="KM186" i="10"/>
  <c r="BI186" i="10" s="1"/>
  <c r="AO180" i="15" s="1"/>
  <c r="KH177" i="10"/>
  <c r="KL177" i="10"/>
  <c r="KM175" i="10"/>
  <c r="BI175" i="10" s="1"/>
  <c r="AO169" i="15"/>
  <c r="KJ167" i="10"/>
  <c r="KM147" i="10"/>
  <c r="BI147" i="10" s="1"/>
  <c r="AO141" i="15"/>
  <c r="KK142" i="10"/>
  <c r="BH142" i="10"/>
  <c r="AN136" i="15"/>
  <c r="KJ129" i="10"/>
  <c r="KJ110" i="10"/>
  <c r="KM110" i="10"/>
  <c r="BI110" i="10" s="1"/>
  <c r="AO104" i="15" s="1"/>
  <c r="KK103" i="10"/>
  <c r="BH103" i="10"/>
  <c r="AN97" i="15"/>
  <c r="KH98" i="10"/>
  <c r="KH86" i="10"/>
  <c r="KA79" i="10"/>
  <c r="KD314" i="10"/>
  <c r="BK314" i="10" s="1"/>
  <c r="AQ308" i="15" s="1"/>
  <c r="KC314" i="10"/>
  <c r="BL314" i="10"/>
  <c r="AR308" i="15"/>
  <c r="KB293" i="10"/>
  <c r="BJ293" i="10"/>
  <c r="AP287" i="15"/>
  <c r="KC293" i="10"/>
  <c r="BL293" i="10"/>
  <c r="AR287" i="15"/>
  <c r="KD293" i="10"/>
  <c r="BK293" i="10" s="1"/>
  <c r="AQ287" i="15" s="1"/>
  <c r="KC253" i="10"/>
  <c r="BL253" i="10"/>
  <c r="AR247" i="15"/>
  <c r="KB253" i="10"/>
  <c r="BJ253" i="10"/>
  <c r="AP247" i="15"/>
  <c r="JZ253" i="10"/>
  <c r="KA253" i="10"/>
  <c r="KC151" i="10"/>
  <c r="BL151" i="10"/>
  <c r="AR145" i="15"/>
  <c r="KE151" i="10"/>
  <c r="BM151" i="10"/>
  <c r="AS145" i="15"/>
  <c r="KB151" i="10"/>
  <c r="BJ151" i="10"/>
  <c r="AP145" i="15"/>
  <c r="KC91" i="10"/>
  <c r="BL91" i="10"/>
  <c r="AR85" i="15"/>
  <c r="KB91" i="10"/>
  <c r="BJ91" i="10"/>
  <c r="AP85" i="15"/>
  <c r="JY91" i="10"/>
  <c r="KD91" i="10"/>
  <c r="BK91" i="10" s="1"/>
  <c r="AQ85" i="15" s="1"/>
  <c r="KG228" i="10"/>
  <c r="KI228" i="10"/>
  <c r="KE386" i="10"/>
  <c r="BM386" i="10"/>
  <c r="AS380" i="15"/>
  <c r="KE379" i="10"/>
  <c r="BM379" i="10"/>
  <c r="AS373" i="15"/>
  <c r="KG377" i="10"/>
  <c r="KN371" i="10"/>
  <c r="KG353" i="10"/>
  <c r="KL351" i="10"/>
  <c r="KL347" i="10"/>
  <c r="KL345" i="10"/>
  <c r="KN343" i="10"/>
  <c r="KI338" i="10"/>
  <c r="KL336" i="10"/>
  <c r="KL332" i="10"/>
  <c r="JY327" i="10"/>
  <c r="KA321" i="10"/>
  <c r="KG316" i="10"/>
  <c r="KD300" i="10"/>
  <c r="BK300" i="10" s="1"/>
  <c r="AQ294" i="15" s="1"/>
  <c r="KM298" i="10"/>
  <c r="BI298" i="10" s="1"/>
  <c r="AO292" i="15" s="1"/>
  <c r="KJ296" i="10"/>
  <c r="KG296" i="10"/>
  <c r="KK290" i="10"/>
  <c r="BH290" i="10"/>
  <c r="AN284" i="15"/>
  <c r="KM288" i="10"/>
  <c r="BI288" i="10"/>
  <c r="AO282" i="15" s="1"/>
  <c r="KD261" i="10"/>
  <c r="BK261" i="10"/>
  <c r="AQ255" i="15" s="1"/>
  <c r="KI247" i="10"/>
  <c r="KJ240" i="10"/>
  <c r="KI229" i="10"/>
  <c r="KI225" i="10"/>
  <c r="JY217" i="10"/>
  <c r="KK213" i="10"/>
  <c r="BH213" i="10"/>
  <c r="AN207" i="15"/>
  <c r="KL208" i="10"/>
  <c r="KI189" i="10"/>
  <c r="KM184" i="10"/>
  <c r="BI184" i="10" s="1"/>
  <c r="AO178" i="15" s="1"/>
  <c r="KG184" i="10"/>
  <c r="KJ184" i="10"/>
  <c r="KL147" i="10"/>
  <c r="KJ144" i="10"/>
  <c r="KH144" i="10"/>
  <c r="KN144" i="10"/>
  <c r="KH131" i="10"/>
  <c r="KJ131" i="10"/>
  <c r="KN131" i="10"/>
  <c r="KJ103" i="10"/>
  <c r="JX79" i="10"/>
  <c r="KK75" i="10"/>
  <c r="BH75" i="10"/>
  <c r="AN69" i="15"/>
  <c r="KB334" i="10"/>
  <c r="BJ334" i="10"/>
  <c r="AP328" i="15"/>
  <c r="JZ292" i="10"/>
  <c r="KB292" i="10"/>
  <c r="BJ292" i="10"/>
  <c r="AP286" i="15"/>
  <c r="KC292" i="10"/>
  <c r="BL292" i="10"/>
  <c r="AR286" i="15"/>
  <c r="KA252" i="10"/>
  <c r="KC252" i="10"/>
  <c r="BL252" i="10"/>
  <c r="AR246" i="15"/>
  <c r="KB210" i="10"/>
  <c r="BJ210" i="10"/>
  <c r="AP204" i="15"/>
  <c r="KA210" i="10"/>
  <c r="JZ210" i="10"/>
  <c r="KC210" i="10"/>
  <c r="BL210" i="10"/>
  <c r="AR204" i="15"/>
  <c r="KN380" i="10"/>
  <c r="KD379" i="10"/>
  <c r="BK379" i="10" s="1"/>
  <c r="AQ373" i="15" s="1"/>
  <c r="KL371" i="10"/>
  <c r="KI351" i="10"/>
  <c r="KH345" i="10"/>
  <c r="KM343" i="10"/>
  <c r="BI343" i="10"/>
  <c r="AO337" i="15"/>
  <c r="KG338" i="10"/>
  <c r="KN330" i="10"/>
  <c r="KN314" i="10"/>
  <c r="KJ290" i="10"/>
  <c r="KL288" i="10"/>
  <c r="KN266" i="10"/>
  <c r="KN252" i="10"/>
  <c r="KH247" i="10"/>
  <c r="KJ231" i="10"/>
  <c r="KH231" i="10"/>
  <c r="KL231" i="10"/>
  <c r="KN218" i="10"/>
  <c r="KN158" i="10"/>
  <c r="KI142" i="10"/>
  <c r="KM142" i="10"/>
  <c r="BI142" i="10" s="1"/>
  <c r="AO136" i="15"/>
  <c r="KG142" i="10"/>
  <c r="KJ142" i="10"/>
  <c r="KN122" i="10"/>
  <c r="KG117" i="10"/>
  <c r="KI117" i="10"/>
  <c r="KJ98" i="10"/>
  <c r="KN98" i="10"/>
  <c r="KM92" i="10"/>
  <c r="BI92" i="10"/>
  <c r="AO86" i="15" s="1"/>
  <c r="KN86" i="10"/>
  <c r="KI86" i="10"/>
  <c r="KJ86" i="10"/>
  <c r="KB354" i="10"/>
  <c r="BJ354" i="10"/>
  <c r="AP348" i="15"/>
  <c r="KC354" i="10"/>
  <c r="BL354" i="10"/>
  <c r="AR348" i="15"/>
  <c r="KB312" i="10"/>
  <c r="BJ312" i="10"/>
  <c r="AP306" i="15"/>
  <c r="KC312" i="10"/>
  <c r="BL312" i="10"/>
  <c r="AR306" i="15"/>
  <c r="KB230" i="10"/>
  <c r="BJ230" i="10"/>
  <c r="AP224" i="15"/>
  <c r="KC230" i="10"/>
  <c r="BL230" i="10"/>
  <c r="AR224" i="15"/>
  <c r="JY230" i="10"/>
  <c r="KE230" i="10"/>
  <c r="BM230" i="10"/>
  <c r="AS224" i="15"/>
  <c r="KJ191" i="10"/>
  <c r="KI191" i="10"/>
  <c r="KM380" i="10"/>
  <c r="BI380" i="10" s="1"/>
  <c r="AO374" i="15" s="1"/>
  <c r="KK371" i="10"/>
  <c r="BH371" i="10"/>
  <c r="AN365" i="15"/>
  <c r="KG351" i="10"/>
  <c r="KG345" i="10"/>
  <c r="KL343" i="10"/>
  <c r="KM318" i="10"/>
  <c r="BI318" i="10"/>
  <c r="AO312" i="15" s="1"/>
  <c r="KM314" i="10"/>
  <c r="BI314" i="10" s="1"/>
  <c r="AO308" i="15" s="1"/>
  <c r="KK288" i="10"/>
  <c r="BH288" i="10"/>
  <c r="AN282" i="15"/>
  <c r="KL266" i="10"/>
  <c r="KM252" i="10"/>
  <c r="BI252" i="10"/>
  <c r="AO246" i="15" s="1"/>
  <c r="KG247" i="10"/>
  <c r="KG240" i="10"/>
  <c r="KI223" i="10"/>
  <c r="KG223" i="10"/>
  <c r="KM218" i="10"/>
  <c r="BI218" i="10" s="1"/>
  <c r="AO212" i="15" s="1"/>
  <c r="KI213" i="10"/>
  <c r="KJ208" i="10"/>
  <c r="KM199" i="10"/>
  <c r="BI199" i="10" s="1"/>
  <c r="AO193" i="15" s="1"/>
  <c r="KN190" i="10"/>
  <c r="KG189" i="10"/>
  <c r="KN180" i="10"/>
  <c r="KG167" i="10"/>
  <c r="KL167" i="10"/>
  <c r="KM158" i="10"/>
  <c r="BI158" i="10" s="1"/>
  <c r="AO152" i="15" s="1"/>
  <c r="KG147" i="10"/>
  <c r="KL129" i="10"/>
  <c r="KG129" i="10"/>
  <c r="KM129" i="10"/>
  <c r="BI129" i="10"/>
  <c r="AO123" i="15" s="1"/>
  <c r="KM122" i="10"/>
  <c r="BI122" i="10"/>
  <c r="AO116" i="15" s="1"/>
  <c r="KB372" i="10"/>
  <c r="BJ372" i="10"/>
  <c r="AP366" i="15"/>
  <c r="KC372" i="10"/>
  <c r="BL372" i="10"/>
  <c r="AR366" i="15"/>
  <c r="KB311" i="10"/>
  <c r="BJ311" i="10"/>
  <c r="AP305" i="15"/>
  <c r="JX311" i="10"/>
  <c r="KC311" i="10"/>
  <c r="BL311" i="10"/>
  <c r="AR305" i="15"/>
  <c r="KK343" i="10"/>
  <c r="BH343" i="10"/>
  <c r="AN337" i="15"/>
  <c r="KK314" i="10"/>
  <c r="BH314" i="10"/>
  <c r="AN308" i="15"/>
  <c r="KJ288" i="10"/>
  <c r="KK266" i="10"/>
  <c r="BH266" i="10"/>
  <c r="AN260" i="15"/>
  <c r="KN264" i="10"/>
  <c r="KN255" i="10"/>
  <c r="KL252" i="10"/>
  <c r="KM238" i="10"/>
  <c r="BI238" i="10" s="1"/>
  <c r="AO232" i="15" s="1"/>
  <c r="KK218" i="10"/>
  <c r="BH218" i="10"/>
  <c r="AN212" i="15"/>
  <c r="KL199" i="10"/>
  <c r="KM190" i="10"/>
  <c r="BI190" i="10"/>
  <c r="AO184" i="15"/>
  <c r="KM180" i="10"/>
  <c r="BI180" i="10" s="1"/>
  <c r="AO174" i="15" s="1"/>
  <c r="KK158" i="10"/>
  <c r="BH158" i="10"/>
  <c r="AN152" i="15"/>
  <c r="KN134" i="10"/>
  <c r="KK122" i="10"/>
  <c r="BH122" i="10"/>
  <c r="AN116" i="15"/>
  <c r="KM120" i="10"/>
  <c r="BI120" i="10" s="1"/>
  <c r="AO114" i="15" s="1"/>
  <c r="KG92" i="10"/>
  <c r="KJ92" i="10"/>
  <c r="KN92" i="10"/>
  <c r="KB371" i="10"/>
  <c r="BJ371" i="10"/>
  <c r="AP365" i="15"/>
  <c r="KC371" i="10"/>
  <c r="BL371" i="10"/>
  <c r="AR365" i="15"/>
  <c r="JZ228" i="10"/>
  <c r="KC228" i="10"/>
  <c r="BL228" i="10"/>
  <c r="AR222" i="15"/>
  <c r="JY228" i="10"/>
  <c r="KE228" i="10"/>
  <c r="BM228" i="10"/>
  <c r="AS222" i="15"/>
  <c r="KC286" i="10"/>
  <c r="BL286" i="10"/>
  <c r="AR280" i="15"/>
  <c r="JZ103" i="10"/>
  <c r="KC103" i="10"/>
  <c r="BL103" i="10"/>
  <c r="AR97" i="15"/>
  <c r="JX103" i="10"/>
  <c r="KE103" i="10"/>
  <c r="BM103" i="10"/>
  <c r="AS97" i="15"/>
  <c r="KB103" i="10"/>
  <c r="BJ103" i="10"/>
  <c r="AP97" i="15"/>
  <c r="KK380" i="10"/>
  <c r="BH380" i="10"/>
  <c r="AN374" i="15"/>
  <c r="JX379" i="10"/>
  <c r="KH371" i="10"/>
  <c r="KN369" i="10"/>
  <c r="KI360" i="10"/>
  <c r="KL356" i="10"/>
  <c r="KJ343" i="10"/>
  <c r="KN322" i="10"/>
  <c r="KJ314" i="10"/>
  <c r="KN301" i="10"/>
  <c r="KG290" i="10"/>
  <c r="KM290" i="10"/>
  <c r="BI290" i="10" s="1"/>
  <c r="AO284" i="15"/>
  <c r="KI288" i="10"/>
  <c r="KN280" i="10"/>
  <c r="KI272" i="10"/>
  <c r="KH272" i="10"/>
  <c r="KJ266" i="10"/>
  <c r="KM264" i="10"/>
  <c r="BI264" i="10" s="1"/>
  <c r="AO258" i="15" s="1"/>
  <c r="KM255" i="10"/>
  <c r="BI255" i="10" s="1"/>
  <c r="AO249" i="15" s="1"/>
  <c r="KK252" i="10"/>
  <c r="BH252" i="10"/>
  <c r="AN246" i="15"/>
  <c r="KH245" i="10"/>
  <c r="KI245" i="10"/>
  <c r="KL238" i="10"/>
  <c r="KN221" i="10"/>
  <c r="KJ218" i="10"/>
  <c r="KN211" i="10"/>
  <c r="KI199" i="10"/>
  <c r="KN194" i="10"/>
  <c r="KL190" i="10"/>
  <c r="KK180" i="10"/>
  <c r="BH180" i="10"/>
  <c r="AN174" i="15"/>
  <c r="KI175" i="10"/>
  <c r="KL175" i="10"/>
  <c r="KJ158" i="10"/>
  <c r="KM134" i="10"/>
  <c r="BI134" i="10" s="1"/>
  <c r="AO128" i="15" s="1"/>
  <c r="KJ122" i="10"/>
  <c r="KK120" i="10"/>
  <c r="BH120" i="10"/>
  <c r="AN114" i="15"/>
  <c r="KN87" i="10"/>
  <c r="KL75" i="10"/>
  <c r="KH75" i="10"/>
  <c r="KM75" i="10"/>
  <c r="BI75" i="10"/>
  <c r="AO69" i="15" s="1"/>
  <c r="KN75" i="10"/>
  <c r="KC331" i="10"/>
  <c r="BL331" i="10"/>
  <c r="AR325" i="15"/>
  <c r="KB331" i="10"/>
  <c r="BJ331" i="10"/>
  <c r="AP325" i="15"/>
  <c r="KB309" i="10"/>
  <c r="BJ309" i="10"/>
  <c r="AP303" i="15"/>
  <c r="KC309" i="10"/>
  <c r="BL309" i="10"/>
  <c r="AR303" i="15"/>
  <c r="KB268" i="10"/>
  <c r="BJ268" i="10"/>
  <c r="AP262" i="15"/>
  <c r="JX268" i="10"/>
  <c r="KC268" i="10"/>
  <c r="BL268" i="10"/>
  <c r="AR262" i="15"/>
  <c r="KB227" i="10"/>
  <c r="BJ227" i="10"/>
  <c r="AP221" i="15"/>
  <c r="KC227" i="10"/>
  <c r="BL227" i="10"/>
  <c r="AR221" i="15"/>
  <c r="JZ163" i="10"/>
  <c r="KC163" i="10"/>
  <c r="BL163" i="10"/>
  <c r="AR157" i="15"/>
  <c r="KB163" i="10"/>
  <c r="BJ163" i="10"/>
  <c r="AP157" i="15"/>
  <c r="JY163" i="10"/>
  <c r="KE163" i="10"/>
  <c r="BM163" i="10"/>
  <c r="AS157" i="15"/>
  <c r="KJ380" i="10"/>
  <c r="KJ375" i="10"/>
  <c r="KM369" i="10"/>
  <c r="BI369" i="10"/>
  <c r="AO363" i="15"/>
  <c r="KN367" i="10"/>
  <c r="JY362" i="10"/>
  <c r="KH360" i="10"/>
  <c r="KJ356" i="10"/>
  <c r="KI343" i="10"/>
  <c r="KI328" i="10"/>
  <c r="KM322" i="10"/>
  <c r="BI322" i="10"/>
  <c r="AO316" i="15" s="1"/>
  <c r="KI314" i="10"/>
  <c r="KL301" i="10"/>
  <c r="KH288" i="10"/>
  <c r="KK280" i="10"/>
  <c r="BH280" i="10"/>
  <c r="AN274" i="15"/>
  <c r="KI266" i="10"/>
  <c r="KL264" i="10"/>
  <c r="KI257" i="10"/>
  <c r="KM257" i="10"/>
  <c r="BI257" i="10" s="1"/>
  <c r="AO251" i="15" s="1"/>
  <c r="KL255" i="10"/>
  <c r="KJ252" i="10"/>
  <c r="KE245" i="10"/>
  <c r="BM245" i="10"/>
  <c r="AS239" i="15"/>
  <c r="KJ238" i="10"/>
  <c r="KL221" i="10"/>
  <c r="KH218" i="10"/>
  <c r="KJ216" i="10"/>
  <c r="KM211" i="10"/>
  <c r="BI211" i="10" s="1"/>
  <c r="AO205" i="15" s="1"/>
  <c r="KH199" i="10"/>
  <c r="KM194" i="10"/>
  <c r="BI194" i="10"/>
  <c r="AO188" i="15"/>
  <c r="KK190" i="10"/>
  <c r="BH190" i="10"/>
  <c r="AN184" i="15"/>
  <c r="KJ180" i="10"/>
  <c r="KN168" i="10"/>
  <c r="KH158" i="10"/>
  <c r="KI136" i="10"/>
  <c r="KK136" i="10"/>
  <c r="BH136" i="10"/>
  <c r="AN130" i="15"/>
  <c r="KK134" i="10"/>
  <c r="BH134" i="10"/>
  <c r="AN128" i="15"/>
  <c r="KL132" i="10"/>
  <c r="KH122" i="10"/>
  <c r="KJ120" i="10"/>
  <c r="KD115" i="10"/>
  <c r="BK115" i="10"/>
  <c r="AQ109" i="15" s="1"/>
  <c r="KM87" i="10"/>
  <c r="BI87" i="10"/>
  <c r="AO81" i="15" s="1"/>
  <c r="KI57" i="10"/>
  <c r="KL57" i="10"/>
  <c r="JZ248" i="10"/>
  <c r="KC248" i="10"/>
  <c r="BL248" i="10"/>
  <c r="AR242" i="15"/>
  <c r="KC226" i="10"/>
  <c r="BL226" i="10"/>
  <c r="AR220" i="15"/>
  <c r="KB226" i="10"/>
  <c r="BJ226" i="10"/>
  <c r="AP220" i="15"/>
  <c r="KA226" i="10"/>
  <c r="KI375" i="10"/>
  <c r="KL369" i="10"/>
  <c r="KL367" i="10"/>
  <c r="KN354" i="10"/>
  <c r="KH343" i="10"/>
  <c r="KH328" i="10"/>
  <c r="KL322" i="10"/>
  <c r="KD318" i="10"/>
  <c r="BK318" i="10" s="1"/>
  <c r="AQ312" i="15" s="1"/>
  <c r="KH314" i="10"/>
  <c r="KD311" i="10"/>
  <c r="BK311" i="10" s="1"/>
  <c r="AQ305" i="15" s="1"/>
  <c r="KI303" i="10"/>
  <c r="KG303" i="10"/>
  <c r="KK301" i="10"/>
  <c r="BH301" i="10"/>
  <c r="AN295" i="15"/>
  <c r="KD268" i="10"/>
  <c r="BK268" i="10" s="1"/>
  <c r="AQ262" i="15" s="1"/>
  <c r="KH266" i="10"/>
  <c r="KI252" i="10"/>
  <c r="KD245" i="10"/>
  <c r="BK245" i="10" s="1"/>
  <c r="AQ239" i="15" s="1"/>
  <c r="KN241" i="10"/>
  <c r="KH216" i="10"/>
  <c r="KI190" i="10"/>
  <c r="KM187" i="10"/>
  <c r="BI187" i="10" s="1"/>
  <c r="AO181" i="15" s="1"/>
  <c r="KH187" i="10"/>
  <c r="KJ187" i="10"/>
  <c r="KI180" i="10"/>
  <c r="KL168" i="10"/>
  <c r="KI163" i="10"/>
  <c r="KJ163" i="10"/>
  <c r="KM163" i="10"/>
  <c r="BI163" i="10" s="1"/>
  <c r="AO157" i="15" s="1"/>
  <c r="KM145" i="10"/>
  <c r="BI145" i="10"/>
  <c r="AO139" i="15" s="1"/>
  <c r="KK132" i="10"/>
  <c r="BH132" i="10"/>
  <c r="AN126" i="15"/>
  <c r="KN127" i="10"/>
  <c r="KG125" i="10"/>
  <c r="KM125" i="10"/>
  <c r="BI125" i="10" s="1"/>
  <c r="AO119" i="15" s="1"/>
  <c r="KM113" i="10"/>
  <c r="BI113" i="10" s="1"/>
  <c r="AO107" i="15" s="1"/>
  <c r="KH113" i="10"/>
  <c r="KN113" i="10"/>
  <c r="KL111" i="10"/>
  <c r="KN106" i="10"/>
  <c r="KK87" i="10"/>
  <c r="BH87" i="10"/>
  <c r="AN81" i="15"/>
  <c r="KL82" i="10"/>
  <c r="KJ82" i="10"/>
  <c r="JZ372" i="10"/>
  <c r="JZ317" i="10"/>
  <c r="JZ79" i="10"/>
  <c r="KA205" i="10"/>
  <c r="JZ205" i="10"/>
  <c r="KC205" i="10"/>
  <c r="BL205" i="10"/>
  <c r="AR199" i="15"/>
  <c r="KB205" i="10"/>
  <c r="BJ205" i="10"/>
  <c r="AP199" i="15"/>
  <c r="KG314" i="10"/>
  <c r="KH252" i="10"/>
  <c r="KM241" i="10"/>
  <c r="BI241" i="10" s="1"/>
  <c r="AO235" i="15" s="1"/>
  <c r="KG238" i="10"/>
  <c r="KH238" i="10"/>
  <c r="KK238" i="10"/>
  <c r="BH238" i="10"/>
  <c r="AN232" i="15"/>
  <c r="KN238" i="10"/>
  <c r="KI218" i="10"/>
  <c r="KL218" i="10"/>
  <c r="KJ199" i="10"/>
  <c r="KK199" i="10"/>
  <c r="BH199" i="10"/>
  <c r="AN193" i="15"/>
  <c r="KN199" i="10"/>
  <c r="KI194" i="10"/>
  <c r="KK194" i="10"/>
  <c r="BH194" i="10"/>
  <c r="AN188" i="15"/>
  <c r="KI158" i="10"/>
  <c r="KL158" i="10"/>
  <c r="KI122" i="10"/>
  <c r="KL122" i="10"/>
  <c r="KL211" i="10"/>
  <c r="KJ211" i="10"/>
  <c r="KI168" i="10"/>
  <c r="KJ145" i="10"/>
  <c r="KI132" i="10"/>
  <c r="KL120" i="10"/>
  <c r="KI120" i="10"/>
  <c r="KN120" i="10"/>
  <c r="KI106" i="10"/>
  <c r="KI87" i="10"/>
  <c r="KH80" i="10"/>
  <c r="KG80" i="10"/>
  <c r="KN73" i="10"/>
  <c r="JZ368" i="10"/>
  <c r="KC368" i="10"/>
  <c r="BL368" i="10"/>
  <c r="AR362" i="15"/>
  <c r="KB245" i="10"/>
  <c r="BJ245" i="10"/>
  <c r="AP239" i="15"/>
  <c r="KC245" i="10"/>
  <c r="BL245" i="10"/>
  <c r="AR239" i="15"/>
  <c r="JY245" i="10"/>
  <c r="KB115" i="10"/>
  <c r="BJ115" i="10"/>
  <c r="AP109" i="15"/>
  <c r="JX115" i="10"/>
  <c r="KC115" i="10"/>
  <c r="BL115" i="10"/>
  <c r="AR109" i="15"/>
  <c r="JZ115" i="10"/>
  <c r="KN383" i="10"/>
  <c r="KN365" i="10"/>
  <c r="KK387" i="10"/>
  <c r="BH387" i="10"/>
  <c r="AN381" i="15"/>
  <c r="KM383" i="10"/>
  <c r="BI383" i="10" s="1"/>
  <c r="AO377" i="15" s="1"/>
  <c r="KN381" i="10"/>
  <c r="KM365" i="10"/>
  <c r="BI365" i="10"/>
  <c r="AO359" i="15" s="1"/>
  <c r="KN363" i="10"/>
  <c r="KK354" i="10"/>
  <c r="BH354" i="10"/>
  <c r="AN348" i="15"/>
  <c r="KL339" i="10"/>
  <c r="KK305" i="10"/>
  <c r="BH305" i="10"/>
  <c r="AN299" i="15"/>
  <c r="KL299" i="10"/>
  <c r="KN286" i="10"/>
  <c r="KG286" i="10"/>
  <c r="KM280" i="10"/>
  <c r="BI280" i="10" s="1"/>
  <c r="AO274" i="15" s="1"/>
  <c r="KL280" i="10"/>
  <c r="KI264" i="10"/>
  <c r="KH264" i="10"/>
  <c r="KI262" i="10"/>
  <c r="KI260" i="10"/>
  <c r="KJ260" i="10"/>
  <c r="KN258" i="10"/>
  <c r="KK241" i="10"/>
  <c r="BH241" i="10"/>
  <c r="AN235" i="15"/>
  <c r="KL234" i="10"/>
  <c r="KG221" i="10"/>
  <c r="KJ221" i="10"/>
  <c r="KM221" i="10"/>
  <c r="BI221" i="10" s="1"/>
  <c r="AO215" i="15"/>
  <c r="KL209" i="10"/>
  <c r="KM176" i="10"/>
  <c r="BI176" i="10" s="1"/>
  <c r="AO170" i="15" s="1"/>
  <c r="KK150" i="10"/>
  <c r="BH150" i="10"/>
  <c r="AN144" i="15"/>
  <c r="KL148" i="10"/>
  <c r="KL134" i="10"/>
  <c r="KJ134" i="10"/>
  <c r="KG78" i="10"/>
  <c r="KM78" i="10"/>
  <c r="BI78" i="10" s="1"/>
  <c r="AO72" i="15" s="1"/>
  <c r="KB304" i="10"/>
  <c r="BJ304" i="10"/>
  <c r="AP298" i="15"/>
  <c r="KE304" i="10"/>
  <c r="BM304" i="10"/>
  <c r="AS298" i="15"/>
  <c r="KC304" i="10"/>
  <c r="BL304" i="10"/>
  <c r="AR298" i="15"/>
  <c r="JZ304" i="10"/>
  <c r="KB265" i="10"/>
  <c r="BJ265" i="10"/>
  <c r="AP259" i="15"/>
  <c r="KC265" i="10"/>
  <c r="BL265" i="10"/>
  <c r="AR259" i="15"/>
  <c r="JX244" i="10"/>
  <c r="JZ244" i="10"/>
  <c r="KB244" i="10"/>
  <c r="BJ244" i="10"/>
  <c r="AP238" i="15"/>
  <c r="KC244" i="10"/>
  <c r="BL244" i="10"/>
  <c r="AR238" i="15"/>
  <c r="KH387" i="10"/>
  <c r="KL383" i="10"/>
  <c r="KM381" i="10"/>
  <c r="BI381" i="10" s="1"/>
  <c r="AO375" i="15" s="1"/>
  <c r="KL365" i="10"/>
  <c r="KJ354" i="10"/>
  <c r="KN315" i="10"/>
  <c r="KN312" i="10"/>
  <c r="KG301" i="10"/>
  <c r="KM301" i="10"/>
  <c r="BI301" i="10" s="1"/>
  <c r="AO295" i="15" s="1"/>
  <c r="KM284" i="10"/>
  <c r="BI284" i="10" s="1"/>
  <c r="AO278" i="15"/>
  <c r="KN284" i="10"/>
  <c r="KH262" i="10"/>
  <c r="KI241" i="10"/>
  <c r="KK176" i="10"/>
  <c r="BH176" i="10"/>
  <c r="AN170" i="15"/>
  <c r="KM168" i="10"/>
  <c r="BI168" i="10" s="1"/>
  <c r="AO162" i="15" s="1"/>
  <c r="KH168" i="10"/>
  <c r="KJ168" i="10"/>
  <c r="KK148" i="10"/>
  <c r="BH148" i="10"/>
  <c r="AN142" i="15"/>
  <c r="KH145" i="10"/>
  <c r="KI145" i="10"/>
  <c r="KL145" i="10"/>
  <c r="KN145" i="10"/>
  <c r="KM132" i="10"/>
  <c r="BI132" i="10" s="1"/>
  <c r="AO126" i="15" s="1"/>
  <c r="KH132" i="10"/>
  <c r="KN132" i="10"/>
  <c r="KJ106" i="10"/>
  <c r="KG106" i="10"/>
  <c r="KM106" i="10"/>
  <c r="BI106" i="10" s="1"/>
  <c r="AO100" i="15"/>
  <c r="KN102" i="10"/>
  <c r="KG87" i="10"/>
  <c r="KL87" i="10"/>
  <c r="KH73" i="10"/>
  <c r="KG73" i="10"/>
  <c r="KK73" i="10"/>
  <c r="BH73" i="10"/>
  <c r="AN67" i="15"/>
  <c r="KM73" i="10"/>
  <c r="BI73" i="10" s="1"/>
  <c r="AO67" i="15" s="1"/>
  <c r="KB346" i="10"/>
  <c r="BJ346" i="10"/>
  <c r="AP340" i="15"/>
  <c r="KC346" i="10"/>
  <c r="BL346" i="10"/>
  <c r="AR340" i="15"/>
  <c r="JZ303" i="10"/>
  <c r="KC303" i="10"/>
  <c r="BL303" i="10"/>
  <c r="AR297" i="15"/>
  <c r="KK258" i="10"/>
  <c r="BH258" i="10"/>
  <c r="AN252" i="15"/>
  <c r="KJ234" i="10"/>
  <c r="KN188" i="10"/>
  <c r="KJ176" i="10"/>
  <c r="KN156" i="10"/>
  <c r="KJ141" i="10"/>
  <c r="KG130" i="10"/>
  <c r="KM100" i="10"/>
  <c r="BI100" i="10"/>
  <c r="AO94" i="15" s="1"/>
  <c r="KC345" i="10"/>
  <c r="BL345" i="10"/>
  <c r="AR339" i="15"/>
  <c r="JZ345" i="10"/>
  <c r="KB345" i="10"/>
  <c r="BJ345" i="10"/>
  <c r="AP339" i="15"/>
  <c r="KB282" i="10"/>
  <c r="BJ282" i="10"/>
  <c r="AP276" i="15"/>
  <c r="KC282" i="10"/>
  <c r="BL282" i="10"/>
  <c r="AR276" i="15"/>
  <c r="KB220" i="10"/>
  <c r="BJ220" i="10"/>
  <c r="AP214" i="15"/>
  <c r="KA220" i="10"/>
  <c r="KC220" i="10"/>
  <c r="BL220" i="10"/>
  <c r="AR214" i="15"/>
  <c r="KJ383" i="10"/>
  <c r="KI381" i="10"/>
  <c r="KJ365" i="10"/>
  <c r="KL344" i="10"/>
  <c r="KI331" i="10"/>
  <c r="KL312" i="10"/>
  <c r="KI305" i="10"/>
  <c r="KM305" i="10"/>
  <c r="BI305" i="10" s="1"/>
  <c r="AO299" i="15" s="1"/>
  <c r="KL267" i="10"/>
  <c r="KM262" i="10"/>
  <c r="BI262" i="10" s="1"/>
  <c r="AO256" i="15" s="1"/>
  <c r="KJ262" i="10"/>
  <c r="KN262" i="10"/>
  <c r="KG241" i="10"/>
  <c r="KJ241" i="10"/>
  <c r="KL230" i="10"/>
  <c r="KL228" i="10"/>
  <c r="KM148" i="10"/>
  <c r="BI148" i="10" s="1"/>
  <c r="AO142" i="15" s="1"/>
  <c r="KG148" i="10"/>
  <c r="KJ148" i="10"/>
  <c r="KG102" i="10"/>
  <c r="KK102" i="10"/>
  <c r="BH102" i="10"/>
  <c r="AN96" i="15"/>
  <c r="KG49" i="10"/>
  <c r="KH49" i="10"/>
  <c r="KB281" i="10"/>
  <c r="BJ281" i="10"/>
  <c r="AP275" i="15"/>
  <c r="KC281" i="10"/>
  <c r="BL281" i="10"/>
  <c r="AR275" i="15"/>
  <c r="KB242" i="10"/>
  <c r="BJ242" i="10"/>
  <c r="AP236" i="15"/>
  <c r="KD242" i="10"/>
  <c r="BK242" i="10"/>
  <c r="AQ236" i="15" s="1"/>
  <c r="KC242" i="10"/>
  <c r="BL242" i="10"/>
  <c r="AR236" i="15"/>
  <c r="JZ200" i="10"/>
  <c r="KA200" i="10"/>
  <c r="KC200" i="10"/>
  <c r="BL200" i="10"/>
  <c r="AR194" i="15"/>
  <c r="KC334" i="10"/>
  <c r="BL334" i="10"/>
  <c r="AR328" i="15"/>
  <c r="KI383" i="10"/>
  <c r="KH381" i="10"/>
  <c r="KL372" i="10"/>
  <c r="KI365" i="10"/>
  <c r="KL361" i="10"/>
  <c r="KH352" i="10"/>
  <c r="KG346" i="10"/>
  <c r="KI344" i="10"/>
  <c r="KH339" i="10"/>
  <c r="KH337" i="10"/>
  <c r="KG337" i="10"/>
  <c r="KM333" i="10"/>
  <c r="BI333" i="10"/>
  <c r="AO327" i="15"/>
  <c r="KH331" i="10"/>
  <c r="KJ315" i="10"/>
  <c r="KJ312" i="10"/>
  <c r="KG299" i="10"/>
  <c r="KL269" i="10"/>
  <c r="KI267" i="10"/>
  <c r="KI258" i="10"/>
  <c r="KN246" i="10"/>
  <c r="KN239" i="10"/>
  <c r="KG234" i="10"/>
  <c r="KH230" i="10"/>
  <c r="KK228" i="10"/>
  <c r="BH228" i="10"/>
  <c r="AN222" i="15"/>
  <c r="KI224" i="10"/>
  <c r="KL222" i="10"/>
  <c r="KM212" i="10"/>
  <c r="BI212" i="10"/>
  <c r="AO206" i="15"/>
  <c r="KH209" i="10"/>
  <c r="KK209" i="10"/>
  <c r="BH209" i="10"/>
  <c r="AN203" i="15"/>
  <c r="KN191" i="10"/>
  <c r="KH188" i="10"/>
  <c r="KK181" i="10"/>
  <c r="BH181" i="10"/>
  <c r="AN175" i="15"/>
  <c r="KI166" i="10"/>
  <c r="KK156" i="10"/>
  <c r="BH156" i="10"/>
  <c r="AN150" i="15"/>
  <c r="KN114" i="10"/>
  <c r="KL107" i="10"/>
  <c r="KJ104" i="10"/>
  <c r="KN104" i="10"/>
  <c r="KI100" i="10"/>
  <c r="KN95" i="10"/>
  <c r="KK93" i="10"/>
  <c r="BH93" i="10"/>
  <c r="AN87" i="15"/>
  <c r="KL85" i="10"/>
  <c r="KB127" i="10"/>
  <c r="BJ127" i="10"/>
  <c r="AP121" i="15"/>
  <c r="KC127" i="10"/>
  <c r="BL127" i="10"/>
  <c r="AR121" i="15"/>
  <c r="JY127" i="10"/>
  <c r="KE127" i="10"/>
  <c r="BM127" i="10"/>
  <c r="AS121" i="15"/>
  <c r="JZ127" i="10"/>
  <c r="KC340" i="10"/>
  <c r="BL340" i="10"/>
  <c r="AR334" i="15"/>
  <c r="KC316" i="10"/>
  <c r="BL316" i="10"/>
  <c r="AR310" i="15"/>
  <c r="KC196" i="10"/>
  <c r="BL196" i="10"/>
  <c r="AR190" i="15"/>
  <c r="KG76" i="10"/>
  <c r="JZ160" i="10"/>
  <c r="KB382" i="10"/>
  <c r="BJ382" i="10"/>
  <c r="AP376" i="15"/>
  <c r="KB315" i="10"/>
  <c r="BJ315" i="10"/>
  <c r="AP309" i="15"/>
  <c r="KB246" i="10"/>
  <c r="BJ246" i="10"/>
  <c r="AP240" i="15"/>
  <c r="KB231" i="10"/>
  <c r="BJ231" i="10"/>
  <c r="AP225" i="15"/>
  <c r="KC387" i="10"/>
  <c r="BL387" i="10"/>
  <c r="AR381" i="15"/>
  <c r="KC363" i="10"/>
  <c r="BL363" i="10"/>
  <c r="AR357" i="15"/>
  <c r="KC339" i="10"/>
  <c r="BL339" i="10"/>
  <c r="AR333" i="15"/>
  <c r="KC291" i="10"/>
  <c r="BL291" i="10"/>
  <c r="AR285" i="15"/>
  <c r="KC219" i="10"/>
  <c r="BL219" i="10"/>
  <c r="AR213" i="15"/>
  <c r="KH118" i="10"/>
  <c r="KE116" i="10"/>
  <c r="BM116" i="10"/>
  <c r="AS110" i="15"/>
  <c r="KH108" i="10"/>
  <c r="JY104" i="10"/>
  <c r="KE53" i="10"/>
  <c r="BM53" i="10"/>
  <c r="AS47" i="15"/>
  <c r="JZ320" i="10"/>
  <c r="JZ229" i="10"/>
  <c r="JZ192" i="10"/>
  <c r="KB213" i="10"/>
  <c r="BJ213" i="10"/>
  <c r="AP207" i="15"/>
  <c r="KC290" i="10"/>
  <c r="BL290" i="10"/>
  <c r="AR284" i="15"/>
  <c r="KC266" i="10"/>
  <c r="BL266" i="10"/>
  <c r="AR260" i="15"/>
  <c r="KC218" i="10"/>
  <c r="BL218" i="10"/>
  <c r="AR212" i="15"/>
  <c r="KC172" i="10"/>
  <c r="BL172" i="10"/>
  <c r="AR166" i="15"/>
  <c r="KC160" i="10"/>
  <c r="BL160" i="10"/>
  <c r="AR154" i="15"/>
  <c r="KC148" i="10"/>
  <c r="BL148" i="10"/>
  <c r="AR142" i="15"/>
  <c r="KC136" i="10"/>
  <c r="BL136" i="10"/>
  <c r="AR130" i="15"/>
  <c r="KC124" i="10"/>
  <c r="BL124" i="10"/>
  <c r="AR118" i="15"/>
  <c r="KC112" i="10"/>
  <c r="BL112" i="10"/>
  <c r="AR106" i="15"/>
  <c r="KC289" i="10"/>
  <c r="BL289" i="10"/>
  <c r="AR283" i="15"/>
  <c r="KC60" i="10"/>
  <c r="BL60" i="10"/>
  <c r="AR54" i="15"/>
  <c r="KD94" i="10"/>
  <c r="BK94" i="10" s="1"/>
  <c r="AQ88" i="15" s="1"/>
  <c r="KA53" i="10"/>
  <c r="JZ273" i="10"/>
  <c r="JZ94" i="10"/>
  <c r="KC336" i="10"/>
  <c r="BL336" i="10"/>
  <c r="AR330" i="15"/>
  <c r="KC240" i="10"/>
  <c r="BL240" i="10"/>
  <c r="AR234" i="15"/>
  <c r="KC192" i="10"/>
  <c r="BL192" i="10"/>
  <c r="AR186" i="15"/>
  <c r="KB47" i="10"/>
  <c r="BJ47" i="10"/>
  <c r="AP41" i="15"/>
  <c r="KC383" i="10"/>
  <c r="BL383" i="10"/>
  <c r="AR377" i="15"/>
  <c r="KC359" i="10"/>
  <c r="BL359" i="10"/>
  <c r="AR353" i="15"/>
  <c r="KC335" i="10"/>
  <c r="BL335" i="10"/>
  <c r="AR329" i="15"/>
  <c r="KC263" i="10"/>
  <c r="BL263" i="10"/>
  <c r="AR257" i="15"/>
  <c r="KC239" i="10"/>
  <c r="BL239" i="10"/>
  <c r="AR233" i="15"/>
  <c r="KC215" i="10"/>
  <c r="BL215" i="10"/>
  <c r="AR209" i="15"/>
  <c r="KC191" i="10"/>
  <c r="BL191" i="10"/>
  <c r="AR185" i="15"/>
  <c r="KN294" i="10"/>
  <c r="KN292" i="10"/>
  <c r="JY240" i="10"/>
  <c r="KK201" i="10"/>
  <c r="BH201" i="10"/>
  <c r="AN195" i="15"/>
  <c r="KD142" i="10"/>
  <c r="BK142" i="10" s="1"/>
  <c r="AQ136" i="15" s="1"/>
  <c r="KA140" i="10"/>
  <c r="KE130" i="10"/>
  <c r="BM130" i="10"/>
  <c r="AS124" i="15"/>
  <c r="JX118" i="10"/>
  <c r="KD82" i="10"/>
  <c r="BK82" i="10" s="1"/>
  <c r="AQ76" i="15" s="1"/>
  <c r="KM77" i="10"/>
  <c r="BI77" i="10"/>
  <c r="AO71" i="15"/>
  <c r="JZ351" i="10"/>
  <c r="KB140" i="10"/>
  <c r="BJ140" i="10"/>
  <c r="AP134" i="15"/>
  <c r="KC333" i="10"/>
  <c r="BL333" i="10"/>
  <c r="AR327" i="15"/>
  <c r="KC285" i="10"/>
  <c r="BL285" i="10"/>
  <c r="AR279" i="15"/>
  <c r="KC237" i="10"/>
  <c r="BL237" i="10"/>
  <c r="AR231" i="15"/>
  <c r="KC213" i="10"/>
  <c r="BL213" i="10"/>
  <c r="AR207" i="15"/>
  <c r="KC188" i="10"/>
  <c r="BL188" i="10"/>
  <c r="AR182" i="15"/>
  <c r="JZ349" i="10"/>
  <c r="JZ307" i="10"/>
  <c r="JZ263" i="10"/>
  <c r="JZ181" i="10"/>
  <c r="KB308" i="10"/>
  <c r="BJ308" i="10"/>
  <c r="AP302" i="15"/>
  <c r="KB137" i="10"/>
  <c r="BJ137" i="10"/>
  <c r="AP131" i="15"/>
  <c r="KC307" i="10"/>
  <c r="BL307" i="10"/>
  <c r="AR301" i="15"/>
  <c r="KC259" i="10"/>
  <c r="BL259" i="10"/>
  <c r="AR253" i="15"/>
  <c r="KC235" i="10"/>
  <c r="BL235" i="10"/>
  <c r="AR229" i="15"/>
  <c r="KC211" i="10"/>
  <c r="BL211" i="10"/>
  <c r="AR205" i="15"/>
  <c r="KA204" i="10"/>
  <c r="JX142" i="10"/>
  <c r="JY130" i="10"/>
  <c r="KK97" i="10"/>
  <c r="BH97" i="10"/>
  <c r="AN91" i="15"/>
  <c r="KI70" i="10"/>
  <c r="JZ118" i="10"/>
  <c r="KB273" i="10"/>
  <c r="BJ273" i="10"/>
  <c r="AP267" i="15"/>
  <c r="KB256" i="10"/>
  <c r="BJ256" i="10"/>
  <c r="AP250" i="15"/>
  <c r="KB224" i="10"/>
  <c r="BJ224" i="10"/>
  <c r="AP218" i="15"/>
  <c r="KC330" i="10"/>
  <c r="BL330" i="10"/>
  <c r="AR324" i="15"/>
  <c r="KC306" i="10"/>
  <c r="BL306" i="10"/>
  <c r="AR300" i="15"/>
  <c r="KC168" i="10"/>
  <c r="BL168" i="10"/>
  <c r="AR162" i="15"/>
  <c r="KC156" i="10"/>
  <c r="BL156" i="10"/>
  <c r="AR150" i="15"/>
  <c r="KC144" i="10"/>
  <c r="BL144" i="10"/>
  <c r="AR138" i="15"/>
  <c r="KC132" i="10"/>
  <c r="BL132" i="10"/>
  <c r="AR126" i="15"/>
  <c r="KC120" i="10"/>
  <c r="BL120" i="10"/>
  <c r="AR114" i="15"/>
  <c r="KC108" i="10"/>
  <c r="BL108" i="10"/>
  <c r="AR102" i="15"/>
  <c r="KC96" i="10"/>
  <c r="BL96" i="10"/>
  <c r="AR90" i="15"/>
  <c r="KC84" i="10"/>
  <c r="BL84" i="10"/>
  <c r="AR78" i="15"/>
  <c r="JZ387" i="10"/>
  <c r="KB375" i="10"/>
  <c r="BJ375" i="10"/>
  <c r="AP369" i="15"/>
  <c r="KB340" i="10"/>
  <c r="BJ340" i="10"/>
  <c r="AP334" i="15"/>
  <c r="KB307" i="10"/>
  <c r="BJ307" i="10"/>
  <c r="AP301" i="15"/>
  <c r="KB240" i="10"/>
  <c r="BJ240" i="10"/>
  <c r="AP234" i="15"/>
  <c r="KC353" i="10"/>
  <c r="BL353" i="10"/>
  <c r="AR347" i="15"/>
  <c r="JZ213" i="10"/>
  <c r="KC352" i="10"/>
  <c r="BL352" i="10"/>
  <c r="AR346" i="15"/>
  <c r="KC280" i="10"/>
  <c r="BL280" i="10"/>
  <c r="AR274" i="15"/>
  <c r="KC232" i="10"/>
  <c r="BL232" i="10"/>
  <c r="AR226" i="15"/>
  <c r="KD70" i="10"/>
  <c r="BK70" i="10" s="1"/>
  <c r="AQ64" i="15" s="1"/>
  <c r="KG63" i="10"/>
  <c r="KH47" i="10"/>
  <c r="JZ255" i="10"/>
  <c r="KB339" i="10"/>
  <c r="BJ339" i="10"/>
  <c r="AP333" i="15"/>
  <c r="KB128" i="10"/>
  <c r="BJ128" i="10"/>
  <c r="AP122" i="15"/>
  <c r="KB82" i="10"/>
  <c r="BJ82" i="10"/>
  <c r="AP76" i="15"/>
  <c r="KC351" i="10"/>
  <c r="BL351" i="10"/>
  <c r="AR345" i="15"/>
  <c r="KC279" i="10"/>
  <c r="BL279" i="10"/>
  <c r="AR273" i="15"/>
  <c r="KC255" i="10"/>
  <c r="BL255" i="10"/>
  <c r="AR249" i="15"/>
  <c r="KC207" i="10"/>
  <c r="BL207" i="10"/>
  <c r="AR201" i="15"/>
  <c r="JZ82" i="10"/>
  <c r="KC374" i="10"/>
  <c r="BL374" i="10"/>
  <c r="AR368" i="15"/>
  <c r="KC326" i="10"/>
  <c r="BL326" i="10"/>
  <c r="AR320" i="15"/>
  <c r="KC278" i="10"/>
  <c r="BL278" i="10"/>
  <c r="AR272" i="15"/>
  <c r="KC254" i="10"/>
  <c r="BL254" i="10"/>
  <c r="AR248" i="15"/>
  <c r="KC182" i="10"/>
  <c r="BL182" i="10"/>
  <c r="AR176" i="15"/>
  <c r="KC154" i="10"/>
  <c r="BL154" i="10"/>
  <c r="AR148" i="15"/>
  <c r="KC118" i="10"/>
  <c r="BL118" i="10"/>
  <c r="AR112" i="15"/>
  <c r="KC106" i="10"/>
  <c r="BL106" i="10"/>
  <c r="AR100" i="15"/>
  <c r="KC70" i="10"/>
  <c r="BL70" i="10"/>
  <c r="AR64" i="15"/>
  <c r="KC204" i="10"/>
  <c r="BL204" i="10"/>
  <c r="AR198" i="15"/>
  <c r="KC323" i="10"/>
  <c r="BL323" i="10"/>
  <c r="AR317" i="15"/>
  <c r="KC251" i="10"/>
  <c r="BL251" i="10"/>
  <c r="AR245" i="15"/>
  <c r="KC203" i="10"/>
  <c r="BL203" i="10"/>
  <c r="AR197" i="15"/>
  <c r="JX218" i="10"/>
  <c r="KA106" i="10"/>
  <c r="JY63" i="10"/>
  <c r="JY47" i="10"/>
  <c r="JZ373" i="10"/>
  <c r="JZ204" i="10"/>
  <c r="JZ108" i="10"/>
  <c r="KB250" i="10"/>
  <c r="BJ250" i="10"/>
  <c r="AP244" i="15"/>
  <c r="KB202" i="10"/>
  <c r="BJ202" i="10"/>
  <c r="AP196" i="15"/>
  <c r="KC298" i="10"/>
  <c r="BL298" i="10"/>
  <c r="AR292" i="15"/>
  <c r="KC250" i="10"/>
  <c r="BL250" i="10"/>
  <c r="AR244" i="15"/>
  <c r="KC202" i="10"/>
  <c r="BL202" i="10"/>
  <c r="AR196" i="15"/>
  <c r="KC178" i="10"/>
  <c r="BL178" i="10"/>
  <c r="AR172" i="15"/>
  <c r="KC164" i="10"/>
  <c r="BL164" i="10"/>
  <c r="AR158" i="15"/>
  <c r="KC152" i="10"/>
  <c r="BL152" i="10"/>
  <c r="AR146" i="15"/>
  <c r="KC140" i="10"/>
  <c r="BL140" i="10"/>
  <c r="AR134" i="15"/>
  <c r="KC128" i="10"/>
  <c r="BL128" i="10"/>
  <c r="AR122" i="15"/>
  <c r="KC116" i="10"/>
  <c r="BL116" i="10"/>
  <c r="AR110" i="15"/>
  <c r="KC104" i="10"/>
  <c r="BL104" i="10"/>
  <c r="AR98" i="15"/>
  <c r="KC92" i="10"/>
  <c r="BL92" i="10"/>
  <c r="AR86" i="15"/>
  <c r="KC80" i="10"/>
  <c r="BL80" i="10"/>
  <c r="AR74" i="15"/>
  <c r="KB369" i="10"/>
  <c r="BJ369" i="10"/>
  <c r="AP363" i="15"/>
  <c r="KC369" i="10"/>
  <c r="BL369" i="10"/>
  <c r="AR363" i="15"/>
  <c r="KB116" i="10"/>
  <c r="BJ116" i="10"/>
  <c r="AP110" i="15"/>
  <c r="KB70" i="10"/>
  <c r="BJ70" i="10"/>
  <c r="AP64" i="15"/>
  <c r="KC320" i="10"/>
  <c r="BL320" i="10"/>
  <c r="AR314" i="15"/>
  <c r="KC272" i="10"/>
  <c r="BL272" i="10"/>
  <c r="AR266" i="15"/>
  <c r="KC224" i="10"/>
  <c r="BL224" i="10"/>
  <c r="AR218" i="15"/>
  <c r="KC176" i="10"/>
  <c r="BL176" i="10"/>
  <c r="AR170" i="15"/>
  <c r="JY255" i="10"/>
  <c r="JX202" i="10"/>
  <c r="KA154" i="10"/>
  <c r="KJ137" i="10"/>
  <c r="JX128" i="10"/>
  <c r="KE104" i="10"/>
  <c r="BM104" i="10"/>
  <c r="AS98" i="15"/>
  <c r="JZ325" i="10"/>
  <c r="JZ70" i="10"/>
  <c r="KB316" i="10"/>
  <c r="BJ316" i="10"/>
  <c r="AP310" i="15"/>
  <c r="KB280" i="10"/>
  <c r="BJ280" i="10"/>
  <c r="AP274" i="15"/>
  <c r="KC365" i="10"/>
  <c r="BL365" i="10"/>
  <c r="AR359" i="15"/>
  <c r="KC341" i="10"/>
  <c r="BL341" i="10"/>
  <c r="AR335" i="15"/>
  <c r="KC221" i="10"/>
  <c r="BL221" i="10"/>
  <c r="AR215" i="15"/>
  <c r="KC197" i="10"/>
  <c r="BL197" i="10"/>
  <c r="AR191" i="15"/>
  <c r="KC29" i="10"/>
  <c r="BL29" i="10"/>
  <c r="AR23" i="15"/>
  <c r="II310" i="10"/>
  <c r="II291" i="10"/>
  <c r="II158" i="10"/>
  <c r="II93" i="10"/>
  <c r="II226" i="10"/>
  <c r="II218" i="10"/>
  <c r="FG340" i="10"/>
  <c r="II305" i="10"/>
  <c r="II172" i="10"/>
  <c r="II338" i="10"/>
  <c r="II363" i="10"/>
  <c r="II162" i="10"/>
  <c r="II108" i="10"/>
  <c r="II374" i="10"/>
  <c r="II347" i="10"/>
  <c r="II233" i="10"/>
  <c r="II214" i="10"/>
  <c r="II377" i="10"/>
  <c r="II282" i="10"/>
  <c r="JN120" i="10"/>
  <c r="II258" i="10"/>
  <c r="II345" i="10"/>
  <c r="II250" i="10"/>
  <c r="II171" i="10"/>
  <c r="JN127" i="10"/>
  <c r="FG180" i="10"/>
  <c r="FG162" i="10"/>
  <c r="FG137" i="10"/>
  <c r="JN149" i="10"/>
  <c r="FG113" i="10"/>
  <c r="JN187" i="10"/>
  <c r="JN134" i="10"/>
  <c r="FG170" i="10"/>
  <c r="JN248" i="10"/>
  <c r="FG247" i="10"/>
  <c r="JN83" i="10"/>
  <c r="FG375" i="10"/>
  <c r="FG255" i="10"/>
  <c r="FG239" i="10"/>
  <c r="JN350" i="10"/>
  <c r="FG132" i="10"/>
  <c r="FG156" i="10"/>
  <c r="FG146" i="10"/>
  <c r="FG214" i="10"/>
  <c r="FG153" i="10"/>
  <c r="JN235" i="10"/>
  <c r="EE235" i="10"/>
  <c r="FG274" i="10"/>
  <c r="JN322" i="10"/>
  <c r="JN171" i="10"/>
  <c r="FG172" i="10"/>
  <c r="JN110" i="10"/>
  <c r="FG122" i="10"/>
  <c r="JN135" i="10"/>
  <c r="JN96" i="10"/>
  <c r="JN116" i="10"/>
  <c r="JN94" i="10"/>
  <c r="JN137" i="10"/>
  <c r="JN167" i="10"/>
  <c r="JN191" i="10"/>
  <c r="JN203" i="10"/>
  <c r="JN91" i="10"/>
  <c r="FG205" i="10"/>
  <c r="JN330" i="10"/>
  <c r="JN154" i="10"/>
  <c r="FG204" i="10"/>
  <c r="JN262" i="10"/>
  <c r="JN126" i="10"/>
  <c r="JN194" i="10"/>
  <c r="JN130" i="10"/>
  <c r="JN294" i="10"/>
  <c r="JN226" i="10"/>
  <c r="JN254" i="10"/>
  <c r="JN198" i="10"/>
  <c r="JN209" i="10"/>
  <c r="JN309" i="10"/>
  <c r="FG322" i="10"/>
  <c r="FG314" i="10"/>
  <c r="FG282" i="10"/>
  <c r="JN368" i="10"/>
  <c r="JO363" i="10"/>
  <c r="JP363" i="10"/>
  <c r="JO305" i="10"/>
  <c r="JP305" i="10"/>
  <c r="JO364" i="10"/>
  <c r="JP364" i="10"/>
  <c r="FG352" i="10"/>
  <c r="FG305" i="10"/>
  <c r="II371" i="10"/>
  <c r="II355" i="10"/>
  <c r="II330" i="10"/>
  <c r="II342" i="10"/>
  <c r="II370" i="10"/>
  <c r="II351" i="10"/>
  <c r="II373" i="10"/>
  <c r="II379" i="10"/>
  <c r="II335" i="10"/>
  <c r="FG250" i="10"/>
  <c r="FG231" i="10"/>
  <c r="FG226" i="10"/>
  <c r="JN246" i="10"/>
  <c r="FG218" i="10"/>
  <c r="JN310" i="10"/>
  <c r="FG377" i="10"/>
  <c r="JN307" i="10"/>
  <c r="FG335" i="10"/>
  <c r="JN269" i="10"/>
  <c r="JN319" i="10"/>
  <c r="FG319" i="10"/>
  <c r="JN353" i="10"/>
  <c r="JO365" i="10"/>
  <c r="JP365" i="10"/>
  <c r="JN188" i="10"/>
  <c r="FG306" i="10"/>
  <c r="JN72" i="10"/>
  <c r="JN131" i="10"/>
  <c r="FG376" i="10"/>
  <c r="IY391" i="10"/>
  <c r="IY390" i="10"/>
  <c r="FG147" i="10"/>
  <c r="JN239" i="10"/>
  <c r="JN291" i="10"/>
  <c r="LA169" i="10"/>
  <c r="FG238" i="10"/>
  <c r="FG123" i="10"/>
  <c r="FG195" i="10"/>
  <c r="FG267" i="10"/>
  <c r="JN224" i="10"/>
  <c r="FG262" i="10"/>
  <c r="FG243" i="10"/>
  <c r="DX178" i="10"/>
  <c r="DY178" i="10"/>
  <c r="ED178" i="10"/>
  <c r="EM178" i="10"/>
  <c r="FG290" i="10"/>
  <c r="FG266" i="10"/>
  <c r="JN242" i="10"/>
  <c r="II210" i="10"/>
  <c r="II113" i="10"/>
  <c r="II102" i="10"/>
  <c r="JN128" i="10"/>
  <c r="II185" i="10"/>
  <c r="II241" i="10"/>
  <c r="II77" i="10"/>
  <c r="II138" i="10"/>
  <c r="II111" i="10"/>
  <c r="JN152" i="10"/>
  <c r="II122" i="10"/>
  <c r="II86" i="10"/>
  <c r="II78" i="10"/>
  <c r="FG295" i="10"/>
  <c r="II289" i="10"/>
  <c r="II242" i="10"/>
  <c r="II89" i="10"/>
  <c r="JO113" i="10"/>
  <c r="FG291" i="10"/>
  <c r="FG219" i="10"/>
  <c r="II161" i="10"/>
  <c r="JN159" i="10"/>
  <c r="JN202" i="10"/>
  <c r="II106" i="10"/>
  <c r="FG286" i="10"/>
  <c r="II206" i="10"/>
  <c r="II195" i="10"/>
  <c r="II153" i="10"/>
  <c r="II73" i="10"/>
  <c r="JN174" i="10"/>
  <c r="JN179" i="10"/>
  <c r="JN138" i="10"/>
  <c r="FG283" i="10"/>
  <c r="DZ130" i="10"/>
  <c r="EA130" i="10"/>
  <c r="EB130" i="10"/>
  <c r="JN162" i="10"/>
  <c r="II112" i="10"/>
  <c r="FG281" i="10"/>
  <c r="II262" i="10"/>
  <c r="II148" i="10"/>
  <c r="JN276" i="10"/>
  <c r="FG185" i="10"/>
  <c r="II101" i="10"/>
  <c r="JN115" i="10"/>
  <c r="JN259" i="10"/>
  <c r="II170" i="10"/>
  <c r="JN123" i="10"/>
  <c r="JN170" i="10"/>
  <c r="JN290" i="10"/>
  <c r="FG259" i="10"/>
  <c r="FG161" i="10"/>
  <c r="DZ107" i="10"/>
  <c r="EA107" i="10"/>
  <c r="EB107" i="10"/>
  <c r="II193" i="10"/>
  <c r="FG257" i="10"/>
  <c r="II196" i="10"/>
  <c r="JN272" i="10"/>
  <c r="JN214" i="10"/>
  <c r="JN156" i="10"/>
  <c r="JN84" i="10"/>
  <c r="JN104" i="10"/>
  <c r="JN132" i="10"/>
  <c r="FG303" i="10"/>
  <c r="DZ84" i="10"/>
  <c r="EA84" i="10"/>
  <c r="EB84" i="10"/>
  <c r="DX84" i="10"/>
  <c r="DY84" i="10"/>
  <c r="ED84" i="10"/>
  <c r="EM84" i="10"/>
  <c r="JN219" i="10"/>
  <c r="JN150" i="10"/>
  <c r="FG206" i="10"/>
  <c r="FG209" i="10"/>
  <c r="Q257" i="10"/>
  <c r="JN271" i="10"/>
  <c r="JN212" i="10"/>
  <c r="DZ128" i="10"/>
  <c r="EA128" i="10"/>
  <c r="EB128" i="10"/>
  <c r="JN302" i="10"/>
  <c r="JN264" i="10"/>
  <c r="JN200" i="10"/>
  <c r="JN257" i="10"/>
  <c r="JN163" i="10"/>
  <c r="JN168" i="10"/>
  <c r="JN218" i="10"/>
  <c r="JN161" i="10"/>
  <c r="JN158" i="10"/>
  <c r="JN183" i="10"/>
  <c r="DZ110" i="10"/>
  <c r="EA110" i="10"/>
  <c r="EB110" i="10"/>
  <c r="DZ141" i="10"/>
  <c r="EA141" i="10"/>
  <c r="EB141" i="10"/>
  <c r="FG190" i="10"/>
  <c r="DZ94" i="10"/>
  <c r="EA94" i="10"/>
  <c r="EB94" i="10"/>
  <c r="DZ159" i="10"/>
  <c r="EA159" i="10"/>
  <c r="EB159" i="10"/>
  <c r="FG346" i="10"/>
  <c r="FG339" i="10"/>
  <c r="JN375" i="10"/>
  <c r="DX203" i="10"/>
  <c r="DY203" i="10"/>
  <c r="ED203" i="10"/>
  <c r="EM203" i="10"/>
  <c r="DZ96" i="10"/>
  <c r="EA96" i="10"/>
  <c r="EB96" i="10"/>
  <c r="JN252" i="10"/>
  <c r="DZ116" i="10"/>
  <c r="EA116" i="10"/>
  <c r="EB116" i="10"/>
  <c r="DZ163" i="10"/>
  <c r="EA163" i="10"/>
  <c r="EB163" i="10"/>
  <c r="II205" i="10"/>
  <c r="II208" i="10"/>
  <c r="JN180" i="10"/>
  <c r="II220" i="10"/>
  <c r="II182" i="10"/>
  <c r="II194" i="10"/>
  <c r="II87" i="10"/>
  <c r="II84" i="10"/>
  <c r="II70" i="10"/>
  <c r="II142" i="10"/>
  <c r="II209" i="10"/>
  <c r="II134" i="10"/>
  <c r="II105" i="10"/>
  <c r="II99" i="10"/>
  <c r="II79" i="10"/>
  <c r="II180" i="10"/>
  <c r="II177" i="10"/>
  <c r="II137" i="10"/>
  <c r="II85" i="10"/>
  <c r="II82" i="10"/>
  <c r="JN206" i="10"/>
  <c r="II189" i="10"/>
  <c r="II71" i="10"/>
  <c r="II146" i="10"/>
  <c r="II132" i="10"/>
  <c r="II129" i="10"/>
  <c r="II201" i="10"/>
  <c r="II94" i="10"/>
  <c r="II166" i="10"/>
  <c r="II147" i="10"/>
  <c r="II231" i="10"/>
  <c r="II121" i="10"/>
  <c r="II118" i="10"/>
  <c r="II103" i="10"/>
  <c r="II100" i="10"/>
  <c r="II222" i="10"/>
  <c r="II124" i="10"/>
  <c r="II47" i="10"/>
  <c r="JN175" i="10"/>
  <c r="JN228" i="10"/>
  <c r="JN199" i="10"/>
  <c r="JN221" i="10"/>
  <c r="JN215" i="10"/>
  <c r="EE86" i="10"/>
  <c r="DX168" i="10"/>
  <c r="DY168" i="10"/>
  <c r="ED168" i="10"/>
  <c r="EM168" i="10"/>
  <c r="DZ72" i="10"/>
  <c r="EA72" i="10"/>
  <c r="EB72" i="10"/>
  <c r="DZ120" i="10"/>
  <c r="EA120" i="10"/>
  <c r="EB120" i="10"/>
  <c r="FG174" i="10"/>
  <c r="DZ146" i="10"/>
  <c r="EA146" i="10"/>
  <c r="EB146" i="10"/>
  <c r="Q119" i="10"/>
  <c r="BN119" i="10" s="1"/>
  <c r="JN185" i="10"/>
  <c r="DZ150" i="10"/>
  <c r="EA150" i="10"/>
  <c r="EB150" i="10"/>
  <c r="DX150" i="10"/>
  <c r="DY150" i="10"/>
  <c r="ED150" i="10"/>
  <c r="EM150" i="10"/>
  <c r="JN75" i="10"/>
  <c r="JN230" i="10"/>
  <c r="FG166" i="10"/>
  <c r="DZ166" i="10"/>
  <c r="EA166" i="10"/>
  <c r="EB166" i="10"/>
  <c r="JN146" i="10"/>
  <c r="JN173" i="10"/>
  <c r="FG233" i="10"/>
  <c r="DZ165" i="10"/>
  <c r="EA165" i="10"/>
  <c r="EB165" i="10"/>
  <c r="DZ123" i="10"/>
  <c r="EA123" i="10"/>
  <c r="EB123" i="10"/>
  <c r="JN205" i="10"/>
  <c r="JN186" i="10"/>
  <c r="FG142" i="10"/>
  <c r="JN176" i="10"/>
  <c r="FG261" i="10"/>
  <c r="JO261" i="10"/>
  <c r="JP261" i="10"/>
  <c r="II266" i="10"/>
  <c r="II304" i="10"/>
  <c r="II298" i="10"/>
  <c r="II322" i="10"/>
  <c r="II340" i="10"/>
  <c r="II255" i="10"/>
  <c r="II319" i="10"/>
  <c r="II346" i="10"/>
  <c r="EE283" i="10"/>
  <c r="II281" i="10"/>
  <c r="II290" i="10"/>
  <c r="II287" i="10"/>
  <c r="II314" i="10"/>
  <c r="II273" i="10"/>
  <c r="II244" i="10"/>
  <c r="II259" i="10"/>
  <c r="Q305" i="10"/>
  <c r="BN305" i="10"/>
  <c r="JM305" i="10" s="1"/>
  <c r="II353" i="10"/>
  <c r="II285" i="10"/>
  <c r="II331" i="10"/>
  <c r="Q337" i="10"/>
  <c r="BN337" i="10" s="1"/>
  <c r="II327" i="10"/>
  <c r="II303" i="10"/>
  <c r="II297" i="10"/>
  <c r="II283" i="10"/>
  <c r="II238" i="10"/>
  <c r="II382" i="10"/>
  <c r="II271" i="10"/>
  <c r="FG364" i="10"/>
  <c r="FG363" i="10"/>
  <c r="II339" i="10"/>
  <c r="II286" i="10"/>
  <c r="JO165" i="10"/>
  <c r="FG165" i="10"/>
  <c r="JN231" i="10"/>
  <c r="DZ127" i="10"/>
  <c r="EA127" i="10"/>
  <c r="EB127" i="10"/>
  <c r="DZ103" i="10"/>
  <c r="EA103" i="10"/>
  <c r="EB103" i="10"/>
  <c r="JN151" i="10"/>
  <c r="JN139" i="10"/>
  <c r="DZ90" i="10"/>
  <c r="EA90" i="10"/>
  <c r="EB90" i="10"/>
  <c r="DZ124" i="10"/>
  <c r="EA124" i="10"/>
  <c r="EB124" i="10"/>
  <c r="DZ89" i="10"/>
  <c r="EA89" i="10"/>
  <c r="EB89" i="10"/>
  <c r="JN222" i="10"/>
  <c r="JN155" i="10"/>
  <c r="JN178" i="10"/>
  <c r="JN207" i="10"/>
  <c r="DZ158" i="10"/>
  <c r="EA158" i="10"/>
  <c r="EB158" i="10"/>
  <c r="EE150" i="10"/>
  <c r="DE244" i="10"/>
  <c r="DE329" i="10"/>
  <c r="DE338" i="10"/>
  <c r="DE225" i="10"/>
  <c r="DE276" i="10"/>
  <c r="DE366" i="10"/>
  <c r="DE342" i="10"/>
  <c r="DE339" i="10"/>
  <c r="DE295" i="10"/>
  <c r="JN379" i="10"/>
  <c r="JN329" i="10"/>
  <c r="JN238" i="10"/>
  <c r="DZ138" i="10"/>
  <c r="EA138" i="10"/>
  <c r="EB138" i="10"/>
  <c r="JN240" i="10"/>
  <c r="EE279" i="10"/>
  <c r="DZ157" i="10"/>
  <c r="EA157" i="10"/>
  <c r="EB157" i="10"/>
  <c r="DZ113" i="10"/>
  <c r="EA113" i="10"/>
  <c r="EB113" i="10"/>
  <c r="DZ73" i="10"/>
  <c r="EA73" i="10"/>
  <c r="EB73" i="10"/>
  <c r="FG327" i="10"/>
  <c r="DZ134" i="10"/>
  <c r="EA134" i="10"/>
  <c r="EB134" i="10"/>
  <c r="JN260" i="10"/>
  <c r="JN287" i="10"/>
  <c r="JN306" i="10"/>
  <c r="JN223" i="10"/>
  <c r="JN274" i="10"/>
  <c r="JN211" i="10"/>
  <c r="JN147" i="10"/>
  <c r="EE365" i="10"/>
  <c r="JO81" i="10"/>
  <c r="JN360" i="10"/>
  <c r="JN245" i="10"/>
  <c r="JN295" i="10"/>
  <c r="JN143" i="10"/>
  <c r="JN367" i="10"/>
  <c r="JN270" i="10"/>
  <c r="JN326" i="10"/>
  <c r="JN250" i="10"/>
  <c r="FG265" i="10"/>
  <c r="DZ162" i="10"/>
  <c r="EA162" i="10"/>
  <c r="EB162" i="10"/>
  <c r="JN282" i="10"/>
  <c r="JN341" i="10"/>
  <c r="JN255" i="10"/>
  <c r="JN234" i="10"/>
  <c r="DE335" i="10"/>
  <c r="DE383" i="10"/>
  <c r="DE248" i="10"/>
  <c r="DE322" i="10"/>
  <c r="DE191" i="10"/>
  <c r="JP312" i="10"/>
  <c r="JN312" i="10"/>
  <c r="II234" i="10"/>
  <c r="LA387" i="10"/>
  <c r="Q385" i="10"/>
  <c r="II235" i="10"/>
  <c r="FG133" i="10"/>
  <c r="JO133" i="10"/>
  <c r="LA349" i="10"/>
  <c r="II126" i="10"/>
  <c r="II225" i="10"/>
  <c r="JP331" i="10"/>
  <c r="II243" i="10"/>
  <c r="II295" i="10"/>
  <c r="BT265" i="10"/>
  <c r="LD265" i="10"/>
  <c r="II267" i="10"/>
  <c r="II204" i="10"/>
  <c r="FG353" i="10"/>
  <c r="DZ142" i="10"/>
  <c r="EA142" i="10"/>
  <c r="EB142" i="10"/>
  <c r="DZ126" i="10"/>
  <c r="EA126" i="10"/>
  <c r="EB126" i="10"/>
  <c r="DZ79" i="10"/>
  <c r="EA79" i="10"/>
  <c r="EB79" i="10"/>
  <c r="FG349" i="10"/>
  <c r="DZ102" i="10"/>
  <c r="EA102" i="10"/>
  <c r="EB102" i="10"/>
  <c r="DZ149" i="10"/>
  <c r="EA149" i="10"/>
  <c r="EB149" i="10"/>
  <c r="DZ131" i="10"/>
  <c r="EA131" i="10"/>
  <c r="EB131" i="10"/>
  <c r="DZ85" i="10"/>
  <c r="EA85" i="10"/>
  <c r="EB85" i="10"/>
  <c r="Q167" i="10"/>
  <c r="BN167" i="10" s="1"/>
  <c r="A161" i="15" s="1"/>
  <c r="II156" i="10"/>
  <c r="II292" i="10"/>
  <c r="DZ164" i="10"/>
  <c r="EA164" i="10"/>
  <c r="EB164" i="10"/>
  <c r="KG374" i="10"/>
  <c r="KJ374" i="10"/>
  <c r="KL374" i="10"/>
  <c r="KN374" i="10"/>
  <c r="KM364" i="10"/>
  <c r="BI364" i="10" s="1"/>
  <c r="AO358" i="15" s="1"/>
  <c r="KI334" i="10"/>
  <c r="KG334" i="10"/>
  <c r="KK334" i="10"/>
  <c r="BH334" i="10"/>
  <c r="AN328" i="15"/>
  <c r="KM334" i="10"/>
  <c r="BI334" i="10"/>
  <c r="AO328" i="15" s="1"/>
  <c r="KL307" i="10"/>
  <c r="KM307" i="10"/>
  <c r="BI307" i="10" s="1"/>
  <c r="AO301" i="15" s="1"/>
  <c r="KG261" i="10"/>
  <c r="KK261" i="10"/>
  <c r="BH261" i="10"/>
  <c r="AN255" i="15"/>
  <c r="KN261" i="10"/>
  <c r="II190" i="10"/>
  <c r="KM387" i="10"/>
  <c r="BI387" i="10"/>
  <c r="AO381" i="15" s="1"/>
  <c r="KK372" i="10"/>
  <c r="BH372" i="10"/>
  <c r="AN366" i="15"/>
  <c r="KG369" i="10"/>
  <c r="KH369" i="10"/>
  <c r="KL364" i="10"/>
  <c r="KJ353" i="10"/>
  <c r="KK332" i="10"/>
  <c r="BH332" i="10"/>
  <c r="AN326" i="15"/>
  <c r="KM324" i="10"/>
  <c r="BI324" i="10" s="1"/>
  <c r="AO318" i="15" s="1"/>
  <c r="KH321" i="10"/>
  <c r="KG304" i="10"/>
  <c r="KG293" i="10"/>
  <c r="KK245" i="10"/>
  <c r="BH245" i="10"/>
  <c r="AN239" i="15"/>
  <c r="KM233" i="10"/>
  <c r="BI233" i="10" s="1"/>
  <c r="AO227" i="15" s="1"/>
  <c r="KG233" i="10"/>
  <c r="KH233" i="10"/>
  <c r="KJ233" i="10"/>
  <c r="KL233" i="10"/>
  <c r="KN233" i="10"/>
  <c r="KI217" i="10"/>
  <c r="KM217" i="10"/>
  <c r="BI217" i="10" s="1"/>
  <c r="AO211" i="15" s="1"/>
  <c r="KK197" i="10"/>
  <c r="BH197" i="10"/>
  <c r="AN191" i="15"/>
  <c r="KM197" i="10"/>
  <c r="BI197" i="10" s="1"/>
  <c r="AO191" i="15" s="1"/>
  <c r="KN197" i="10"/>
  <c r="KG162" i="10"/>
  <c r="KM162" i="10"/>
  <c r="BI162" i="10"/>
  <c r="AO156" i="15" s="1"/>
  <c r="KN162" i="10"/>
  <c r="KI162" i="10"/>
  <c r="KJ162" i="10"/>
  <c r="KK162" i="10"/>
  <c r="BH162" i="10"/>
  <c r="AN156" i="15"/>
  <c r="KL162" i="10"/>
  <c r="II306" i="10"/>
  <c r="KM378" i="10"/>
  <c r="BI378" i="10" s="1"/>
  <c r="AO372" i="15" s="1"/>
  <c r="KK364" i="10"/>
  <c r="BH364" i="10"/>
  <c r="AN358" i="15"/>
  <c r="KJ332" i="10"/>
  <c r="KL324" i="10"/>
  <c r="KG321" i="10"/>
  <c r="KH310" i="10"/>
  <c r="KK310" i="10"/>
  <c r="BH310" i="10"/>
  <c r="AN304" i="15"/>
  <c r="KM310" i="10"/>
  <c r="BI310" i="10" s="1"/>
  <c r="AO304" i="15" s="1"/>
  <c r="KJ282" i="10"/>
  <c r="KM282" i="10"/>
  <c r="BI282" i="10" s="1"/>
  <c r="AO276" i="15" s="1"/>
  <c r="KJ277" i="10"/>
  <c r="KG277" i="10"/>
  <c r="KH277" i="10"/>
  <c r="KK277" i="10"/>
  <c r="BH277" i="10"/>
  <c r="AN271" i="15"/>
  <c r="KL277" i="10"/>
  <c r="KN277" i="10"/>
  <c r="KB386" i="10"/>
  <c r="BJ386" i="10"/>
  <c r="AP380" i="15"/>
  <c r="JZ386" i="10"/>
  <c r="KK378" i="10"/>
  <c r="BH378" i="10"/>
  <c r="AN372" i="15"/>
  <c r="KN375" i="10"/>
  <c r="KI372" i="10"/>
  <c r="KJ364" i="10"/>
  <c r="KM348" i="10"/>
  <c r="BI348" i="10" s="1"/>
  <c r="AO342" i="15"/>
  <c r="KI332" i="10"/>
  <c r="KJ324" i="10"/>
  <c r="KN319" i="10"/>
  <c r="KJ387" i="10"/>
  <c r="KJ378" i="10"/>
  <c r="KL375" i="10"/>
  <c r="KH372" i="10"/>
  <c r="KI364" i="10"/>
  <c r="KK348" i="10"/>
  <c r="BH348" i="10"/>
  <c r="AN342" i="15"/>
  <c r="KI345" i="10"/>
  <c r="KK345" i="10"/>
  <c r="BH345" i="10"/>
  <c r="AN339" i="15"/>
  <c r="KN345" i="10"/>
  <c r="KL335" i="10"/>
  <c r="KH332" i="10"/>
  <c r="KI324" i="10"/>
  <c r="KM319" i="10"/>
  <c r="BI319" i="10" s="1"/>
  <c r="AO313" i="15" s="1"/>
  <c r="KG302" i="10"/>
  <c r="KI302" i="10"/>
  <c r="KJ302" i="10"/>
  <c r="KL302" i="10"/>
  <c r="KM302" i="10"/>
  <c r="BI302" i="10" s="1"/>
  <c r="AO296" i="15" s="1"/>
  <c r="KH296" i="10"/>
  <c r="KK296" i="10"/>
  <c r="BH296" i="10"/>
  <c r="AN290" i="15"/>
  <c r="KN296" i="10"/>
  <c r="KN275" i="10"/>
  <c r="KJ272" i="10"/>
  <c r="KN272" i="10"/>
  <c r="KM265" i="10"/>
  <c r="BI265" i="10" s="1"/>
  <c r="AO259" i="15" s="1"/>
  <c r="KG259" i="10"/>
  <c r="KH259" i="10"/>
  <c r="KJ259" i="10"/>
  <c r="KH139" i="10"/>
  <c r="KN139" i="10"/>
  <c r="KK139" i="10"/>
  <c r="BH139" i="10"/>
  <c r="AN133" i="15"/>
  <c r="KL139" i="10"/>
  <c r="KM139" i="10"/>
  <c r="BI139" i="10" s="1"/>
  <c r="AO133" i="15"/>
  <c r="KG139" i="10"/>
  <c r="KH109" i="10"/>
  <c r="KJ109" i="10"/>
  <c r="KK109" i="10"/>
  <c r="BH109" i="10"/>
  <c r="AN103" i="15"/>
  <c r="KL109" i="10"/>
  <c r="KM109" i="10"/>
  <c r="BI109" i="10" s="1"/>
  <c r="AO103" i="15" s="1"/>
  <c r="KG109" i="10"/>
  <c r="KI109" i="10"/>
  <c r="KI378" i="10"/>
  <c r="KK375" i="10"/>
  <c r="BH375" i="10"/>
  <c r="AN369" i="15"/>
  <c r="KG372" i="10"/>
  <c r="KH364" i="10"/>
  <c r="KI348" i="10"/>
  <c r="KN346" i="10"/>
  <c r="KK335" i="10"/>
  <c r="BH335" i="10"/>
  <c r="AN329" i="15"/>
  <c r="KG332" i="10"/>
  <c r="KH324" i="10"/>
  <c r="KN311" i="10"/>
  <c r="KL294" i="10"/>
  <c r="KN283" i="10"/>
  <c r="KL275" i="10"/>
  <c r="KL265" i="10"/>
  <c r="KL245" i="10"/>
  <c r="KG245" i="10"/>
  <c r="KG364" i="10"/>
  <c r="KJ319" i="10"/>
  <c r="KG319" i="10"/>
  <c r="KH319" i="10"/>
  <c r="KK319" i="10"/>
  <c r="BH319" i="10"/>
  <c r="AN313" i="15"/>
  <c r="KL319" i="10"/>
  <c r="KN297" i="10"/>
  <c r="KK294" i="10"/>
  <c r="BH294" i="10"/>
  <c r="AN288" i="15"/>
  <c r="KL285" i="10"/>
  <c r="KG285" i="10"/>
  <c r="KJ285" i="10"/>
  <c r="KM285" i="10"/>
  <c r="BI285" i="10" s="1"/>
  <c r="AO279" i="15" s="1"/>
  <c r="KM283" i="10"/>
  <c r="BI283" i="10"/>
  <c r="AO277" i="15" s="1"/>
  <c r="KK275" i="10"/>
  <c r="BH275" i="10"/>
  <c r="AN269" i="15"/>
  <c r="KN270" i="10"/>
  <c r="KG270" i="10"/>
  <c r="KH270" i="10"/>
  <c r="KJ270" i="10"/>
  <c r="KK270" i="10"/>
  <c r="BH270" i="10"/>
  <c r="AN264" i="15"/>
  <c r="KM270" i="10"/>
  <c r="BI270" i="10" s="1"/>
  <c r="AO264" i="15" s="1"/>
  <c r="KK265" i="10"/>
  <c r="BH265" i="10"/>
  <c r="AN259" i="15"/>
  <c r="KN251" i="10"/>
  <c r="KH224" i="10"/>
  <c r="KM224" i="10"/>
  <c r="BI224" i="10" s="1"/>
  <c r="AO218" i="15" s="1"/>
  <c r="KL224" i="10"/>
  <c r="KN224" i="10"/>
  <c r="KK207" i="10"/>
  <c r="BH207" i="10"/>
  <c r="AN201" i="15"/>
  <c r="KG378" i="10"/>
  <c r="KL378" i="10"/>
  <c r="KN378" i="10"/>
  <c r="KG348" i="10"/>
  <c r="KJ348" i="10"/>
  <c r="KL348" i="10"/>
  <c r="KN348" i="10"/>
  <c r="KK324" i="10"/>
  <c r="BH324" i="10"/>
  <c r="AN318" i="15"/>
  <c r="KN324" i="10"/>
  <c r="KK251" i="10"/>
  <c r="BH251" i="10"/>
  <c r="AN245" i="15"/>
  <c r="KJ207" i="10"/>
  <c r="KL204" i="10"/>
  <c r="KG204" i="10"/>
  <c r="KH204" i="10"/>
  <c r="KG174" i="10"/>
  <c r="KH174" i="10"/>
  <c r="KI174" i="10"/>
  <c r="KJ174" i="10"/>
  <c r="KM174" i="10"/>
  <c r="BI174" i="10" s="1"/>
  <c r="AO168" i="15" s="1"/>
  <c r="KK174" i="10"/>
  <c r="BH174" i="10"/>
  <c r="AN168" i="15"/>
  <c r="KN174" i="10"/>
  <c r="KH141" i="10"/>
  <c r="KK141" i="10"/>
  <c r="BH141" i="10"/>
  <c r="AN135" i="15"/>
  <c r="KL141" i="10"/>
  <c r="KM141" i="10"/>
  <c r="BI141" i="10"/>
  <c r="AO135" i="15" s="1"/>
  <c r="KM103" i="10"/>
  <c r="BI103" i="10" s="1"/>
  <c r="AO97" i="15" s="1"/>
  <c r="KN103" i="10"/>
  <c r="KH103" i="10"/>
  <c r="KI103" i="10"/>
  <c r="KG103" i="10"/>
  <c r="II352" i="10"/>
  <c r="KN382" i="10"/>
  <c r="KH375" i="10"/>
  <c r="KH367" i="10"/>
  <c r="KK367" i="10"/>
  <c r="BH367" i="10"/>
  <c r="AN361" i="15"/>
  <c r="KM367" i="10"/>
  <c r="BI367" i="10" s="1"/>
  <c r="AO361" i="15" s="1"/>
  <c r="KI359" i="10"/>
  <c r="KN357" i="10"/>
  <c r="KK356" i="10"/>
  <c r="BH356" i="10"/>
  <c r="AN350" i="15"/>
  <c r="KN356" i="10"/>
  <c r="KK346" i="10"/>
  <c r="BH346" i="10"/>
  <c r="AN340" i="15"/>
  <c r="KN341" i="10"/>
  <c r="KM338" i="10"/>
  <c r="BI338" i="10" s="1"/>
  <c r="AO332" i="15" s="1"/>
  <c r="KH335" i="10"/>
  <c r="KN325" i="10"/>
  <c r="KK311" i="10"/>
  <c r="BH311" i="10"/>
  <c r="AN305" i="15"/>
  <c r="KL300" i="10"/>
  <c r="KL297" i="10"/>
  <c r="KK283" i="10"/>
  <c r="BH283" i="10"/>
  <c r="AN277" i="15"/>
  <c r="KH275" i="10"/>
  <c r="KI265" i="10"/>
  <c r="KJ251" i="10"/>
  <c r="KI207" i="10"/>
  <c r="KL382" i="10"/>
  <c r="KN379" i="10"/>
  <c r="KG375" i="10"/>
  <c r="KN373" i="10"/>
  <c r="KM357" i="10"/>
  <c r="BI357" i="10" s="1"/>
  <c r="AO351" i="15" s="1"/>
  <c r="KJ346" i="10"/>
  <c r="KK341" i="10"/>
  <c r="BH341" i="10"/>
  <c r="AN335" i="15"/>
  <c r="KL338" i="10"/>
  <c r="KG335" i="10"/>
  <c r="KN333" i="10"/>
  <c r="KM327" i="10"/>
  <c r="BI327" i="10"/>
  <c r="AO321" i="15" s="1"/>
  <c r="KG327" i="10"/>
  <c r="KJ327" i="10"/>
  <c r="KL327" i="10"/>
  <c r="KM325" i="10"/>
  <c r="BI325" i="10" s="1"/>
  <c r="AO319" i="15" s="1"/>
  <c r="KM317" i="10"/>
  <c r="BI317" i="10" s="1"/>
  <c r="AO311" i="15" s="1"/>
  <c r="KJ311" i="10"/>
  <c r="KK300" i="10"/>
  <c r="BH300" i="10"/>
  <c r="AN294" i="15"/>
  <c r="KK297" i="10"/>
  <c r="BH297" i="10"/>
  <c r="AN291" i="15"/>
  <c r="KG294" i="10"/>
  <c r="KH294" i="10"/>
  <c r="KL289" i="10"/>
  <c r="KM286" i="10"/>
  <c r="BI286" i="10" s="1"/>
  <c r="AO280" i="15" s="1"/>
  <c r="KJ283" i="10"/>
  <c r="KN273" i="10"/>
  <c r="KM268" i="10"/>
  <c r="BI268" i="10" s="1"/>
  <c r="AO262" i="15" s="1"/>
  <c r="KI251" i="10"/>
  <c r="KG243" i="10"/>
  <c r="KH243" i="10"/>
  <c r="KI243" i="10"/>
  <c r="KJ243" i="10"/>
  <c r="KK243" i="10"/>
  <c r="BH243" i="10"/>
  <c r="AN237" i="15"/>
  <c r="KL243" i="10"/>
  <c r="KM243" i="10"/>
  <c r="BI243" i="10" s="1"/>
  <c r="AO237" i="15" s="1"/>
  <c r="KN243" i="10"/>
  <c r="KL237" i="10"/>
  <c r="II328" i="10"/>
  <c r="KN385" i="10"/>
  <c r="KK382" i="10"/>
  <c r="BH382" i="10"/>
  <c r="AN376" i="15"/>
  <c r="KM368" i="10"/>
  <c r="BI368" i="10" s="1"/>
  <c r="AO362" i="15" s="1"/>
  <c r="KG359" i="10"/>
  <c r="KJ359" i="10"/>
  <c r="KL359" i="10"/>
  <c r="KN359" i="10"/>
  <c r="KL357" i="10"/>
  <c r="KI341" i="10"/>
  <c r="KL325" i="10"/>
  <c r="KL317" i="10"/>
  <c r="KJ297" i="10"/>
  <c r="KK289" i="10"/>
  <c r="BH289" i="10"/>
  <c r="AN283" i="15"/>
  <c r="KL286" i="10"/>
  <c r="KI283" i="10"/>
  <c r="KM278" i="10"/>
  <c r="BI278" i="10" s="1"/>
  <c r="AO272" i="15" s="1"/>
  <c r="KJ275" i="10"/>
  <c r="KM275" i="10"/>
  <c r="BI275" i="10" s="1"/>
  <c r="AO269" i="15" s="1"/>
  <c r="KL268" i="10"/>
  <c r="KG265" i="10"/>
  <c r="KN265" i="10"/>
  <c r="KK237" i="10"/>
  <c r="BH237" i="10"/>
  <c r="AN231" i="15"/>
  <c r="KG207" i="10"/>
  <c r="KN207" i="10"/>
  <c r="KL207" i="10"/>
  <c r="KM207" i="10"/>
  <c r="BI207" i="10" s="1"/>
  <c r="AO201" i="15" s="1"/>
  <c r="KK385" i="10"/>
  <c r="BH385" i="10"/>
  <c r="AN379" i="15"/>
  <c r="KJ382" i="10"/>
  <c r="KK379" i="10"/>
  <c r="BH379" i="10"/>
  <c r="AN373" i="15"/>
  <c r="KL368" i="10"/>
  <c r="KG362" i="10"/>
  <c r="KI362" i="10"/>
  <c r="KJ362" i="10"/>
  <c r="KL362" i="10"/>
  <c r="KM362" i="10"/>
  <c r="BI362" i="10" s="1"/>
  <c r="AO356" i="15" s="1"/>
  <c r="KK357" i="10"/>
  <c r="BH357" i="10"/>
  <c r="AN351" i="15"/>
  <c r="KM349" i="10"/>
  <c r="BI349" i="10" s="1"/>
  <c r="AO343" i="15" s="1"/>
  <c r="KH330" i="10"/>
  <c r="KG330" i="10"/>
  <c r="KJ330" i="10"/>
  <c r="KL330" i="10"/>
  <c r="KM330" i="10"/>
  <c r="BI330" i="10" s="1"/>
  <c r="AO324" i="15" s="1"/>
  <c r="KK325" i="10"/>
  <c r="BH325" i="10"/>
  <c r="AN319" i="15"/>
  <c r="KG322" i="10"/>
  <c r="KH322" i="10"/>
  <c r="KJ317" i="10"/>
  <c r="KM303" i="10"/>
  <c r="BI303" i="10" s="1"/>
  <c r="AO297" i="15" s="1"/>
  <c r="KI297" i="10"/>
  <c r="KI289" i="10"/>
  <c r="KK286" i="10"/>
  <c r="BH286" i="10"/>
  <c r="AN280" i="15"/>
  <c r="KH283" i="10"/>
  <c r="KK278" i="10"/>
  <c r="BH278" i="10"/>
  <c r="AN272" i="15"/>
  <c r="KN276" i="10"/>
  <c r="KL273" i="10"/>
  <c r="KI268" i="10"/>
  <c r="KL254" i="10"/>
  <c r="KI254" i="10"/>
  <c r="KM254" i="10"/>
  <c r="BI254" i="10"/>
  <c r="AO248" i="15" s="1"/>
  <c r="KI237" i="10"/>
  <c r="KG210" i="10"/>
  <c r="KL210" i="10"/>
  <c r="KK210" i="10"/>
  <c r="BH210" i="10"/>
  <c r="AN204" i="15"/>
  <c r="KM210" i="10"/>
  <c r="BI210" i="10" s="1"/>
  <c r="AO204" i="15" s="1"/>
  <c r="KN210" i="10"/>
  <c r="KH150" i="10"/>
  <c r="KN150" i="10"/>
  <c r="KJ150" i="10"/>
  <c r="KM150" i="10"/>
  <c r="BI150" i="10" s="1"/>
  <c r="AO144" i="15" s="1"/>
  <c r="KI385" i="10"/>
  <c r="KI382" i="10"/>
  <c r="KK368" i="10"/>
  <c r="BH368" i="10"/>
  <c r="AN362" i="15"/>
  <c r="KL349" i="10"/>
  <c r="KH341" i="10"/>
  <c r="KJ341" i="10"/>
  <c r="KL341" i="10"/>
  <c r="KM341" i="10"/>
  <c r="BI341" i="10" s="1"/>
  <c r="AO335" i="15" s="1"/>
  <c r="KN328" i="10"/>
  <c r="KJ325" i="10"/>
  <c r="KI317" i="10"/>
  <c r="KN309" i="10"/>
  <c r="KJ303" i="10"/>
  <c r="KH297" i="10"/>
  <c r="KH289" i="10"/>
  <c r="KI278" i="10"/>
  <c r="KM276" i="10"/>
  <c r="BI276" i="10"/>
  <c r="AO270" i="15" s="1"/>
  <c r="KH268" i="10"/>
  <c r="KL251" i="10"/>
  <c r="KM251" i="10"/>
  <c r="BI251" i="10"/>
  <c r="AO245" i="15"/>
  <c r="KH237" i="10"/>
  <c r="KG193" i="10"/>
  <c r="KN193" i="10"/>
  <c r="KI193" i="10"/>
  <c r="KJ193" i="10"/>
  <c r="KK193" i="10"/>
  <c r="BH193" i="10"/>
  <c r="AN187" i="15"/>
  <c r="KM193" i="10"/>
  <c r="BI193" i="10" s="1"/>
  <c r="AO187" i="15" s="1"/>
  <c r="KH385" i="10"/>
  <c r="KI379" i="10"/>
  <c r="KG373" i="10"/>
  <c r="KH373" i="10"/>
  <c r="KJ373" i="10"/>
  <c r="KK373" i="10"/>
  <c r="BH373" i="10"/>
  <c r="AN367" i="15"/>
  <c r="KJ368" i="10"/>
  <c r="KN360" i="10"/>
  <c r="KJ349" i="10"/>
  <c r="KK338" i="10"/>
  <c r="BH338" i="10"/>
  <c r="AN332" i="15"/>
  <c r="KJ338" i="10"/>
  <c r="KN338" i="10"/>
  <c r="KG333" i="10"/>
  <c r="KH333" i="10"/>
  <c r="KJ333" i="10"/>
  <c r="KK333" i="10"/>
  <c r="BH333" i="10"/>
  <c r="AN327" i="15"/>
  <c r="KM328" i="10"/>
  <c r="BI328" i="10"/>
  <c r="AO322" i="15" s="1"/>
  <c r="KN320" i="10"/>
  <c r="KH317" i="10"/>
  <c r="KI300" i="10"/>
  <c r="KN300" i="10"/>
  <c r="KI286" i="10"/>
  <c r="KL276" i="10"/>
  <c r="KI273" i="10"/>
  <c r="KG273" i="10"/>
  <c r="KH273" i="10"/>
  <c r="KK273" i="10"/>
  <c r="BH273" i="10"/>
  <c r="AN267" i="15"/>
  <c r="KM227" i="10"/>
  <c r="BI227" i="10" s="1"/>
  <c r="AO221" i="15"/>
  <c r="KH227" i="10"/>
  <c r="KI227" i="10"/>
  <c r="KL227" i="10"/>
  <c r="KN227" i="10"/>
  <c r="KH191" i="10"/>
  <c r="KK191" i="10"/>
  <c r="BH191" i="10"/>
  <c r="AN185" i="15"/>
  <c r="KL191" i="10"/>
  <c r="KG191" i="10"/>
  <c r="KH382" i="10"/>
  <c r="KM382" i="10"/>
  <c r="BI382" i="10" s="1"/>
  <c r="AO376" i="15" s="1"/>
  <c r="KI368" i="10"/>
  <c r="KI349" i="10"/>
  <c r="KL328" i="10"/>
  <c r="KL320" i="10"/>
  <c r="KM289" i="10"/>
  <c r="BI289" i="10"/>
  <c r="AO283" i="15"/>
  <c r="KJ289" i="10"/>
  <c r="KN289" i="10"/>
  <c r="KG278" i="10"/>
  <c r="KJ278" i="10"/>
  <c r="KL278" i="10"/>
  <c r="KN278" i="10"/>
  <c r="KJ276" i="10"/>
  <c r="KM271" i="10"/>
  <c r="BI271" i="10" s="1"/>
  <c r="AO265" i="15" s="1"/>
  <c r="KJ268" i="10"/>
  <c r="KK268" i="10"/>
  <c r="BH268" i="10"/>
  <c r="AN262" i="15"/>
  <c r="KN268" i="10"/>
  <c r="KJ237" i="10"/>
  <c r="KM237" i="10"/>
  <c r="BI237" i="10" s="1"/>
  <c r="AO231" i="15"/>
  <c r="KN237" i="10"/>
  <c r="KN121" i="10"/>
  <c r="II257" i="10"/>
  <c r="KJ385" i="10"/>
  <c r="KL385" i="10"/>
  <c r="KM385" i="10"/>
  <c r="BI385" i="10" s="1"/>
  <c r="AO379" i="15" s="1"/>
  <c r="KH368" i="10"/>
  <c r="KK360" i="10"/>
  <c r="BH360" i="10"/>
  <c r="AN354" i="15"/>
  <c r="KH349" i="10"/>
  <c r="KK328" i="10"/>
  <c r="BH328" i="10"/>
  <c r="AN322" i="15"/>
  <c r="KJ320" i="10"/>
  <c r="KK317" i="10"/>
  <c r="BH317" i="10"/>
  <c r="AN311" i="15"/>
  <c r="KN317" i="10"/>
  <c r="KG309" i="10"/>
  <c r="KI309" i="10"/>
  <c r="KJ309" i="10"/>
  <c r="KL309" i="10"/>
  <c r="KM309" i="10"/>
  <c r="BI309" i="10"/>
  <c r="AO303" i="15"/>
  <c r="KK303" i="10"/>
  <c r="BH303" i="10"/>
  <c r="AN297" i="15"/>
  <c r="KH303" i="10"/>
  <c r="KL303" i="10"/>
  <c r="KN303" i="10"/>
  <c r="KI276" i="10"/>
  <c r="KK271" i="10"/>
  <c r="BH271" i="10"/>
  <c r="AN265" i="15"/>
  <c r="KN153" i="10"/>
  <c r="KG368" i="10"/>
  <c r="KJ360" i="10"/>
  <c r="KK352" i="10"/>
  <c r="BH352" i="10"/>
  <c r="AN346" i="15"/>
  <c r="KN347" i="10"/>
  <c r="KJ328" i="10"/>
  <c r="KI320" i="10"/>
  <c r="KN318" i="10"/>
  <c r="KH292" i="10"/>
  <c r="KG292" i="10"/>
  <c r="KK292" i="10"/>
  <c r="BH292" i="10"/>
  <c r="AN286" i="15"/>
  <c r="KM292" i="10"/>
  <c r="BI292" i="10" s="1"/>
  <c r="AO286" i="15"/>
  <c r="KH276" i="10"/>
  <c r="KI271" i="10"/>
  <c r="KG263" i="10"/>
  <c r="KH263" i="10"/>
  <c r="KJ263" i="10"/>
  <c r="KK263" i="10"/>
  <c r="BH263" i="10"/>
  <c r="AN257" i="15"/>
  <c r="KM263" i="10"/>
  <c r="BI263" i="10" s="1"/>
  <c r="AO257" i="15" s="1"/>
  <c r="KM153" i="10"/>
  <c r="BI153" i="10" s="1"/>
  <c r="AO147" i="15" s="1"/>
  <c r="KK349" i="10"/>
  <c r="BH349" i="10"/>
  <c r="AN343" i="15"/>
  <c r="KN349" i="10"/>
  <c r="KG276" i="10"/>
  <c r="KI185" i="10"/>
  <c r="KM185" i="10"/>
  <c r="BI185" i="10" s="1"/>
  <c r="AO179" i="15" s="1"/>
  <c r="KG185" i="10"/>
  <c r="KH185" i="10"/>
  <c r="KJ185" i="10"/>
  <c r="KK185" i="10"/>
  <c r="BH185" i="10"/>
  <c r="AN179" i="15"/>
  <c r="KL185" i="10"/>
  <c r="KN185" i="10"/>
  <c r="KL121" i="10"/>
  <c r="KG121" i="10"/>
  <c r="KH121" i="10"/>
  <c r="KK121" i="10"/>
  <c r="BH121" i="10"/>
  <c r="AN115" i="15"/>
  <c r="KI121" i="10"/>
  <c r="KH320" i="10"/>
  <c r="KK320" i="10"/>
  <c r="BH320" i="10"/>
  <c r="AN314" i="15"/>
  <c r="KM320" i="10"/>
  <c r="BI320" i="10" s="1"/>
  <c r="AO314" i="15" s="1"/>
  <c r="KG271" i="10"/>
  <c r="KJ271" i="10"/>
  <c r="KL271" i="10"/>
  <c r="KN271" i="10"/>
  <c r="KI153" i="10"/>
  <c r="KH153" i="10"/>
  <c r="KJ153" i="10"/>
  <c r="KK153" i="10"/>
  <c r="BH153" i="10"/>
  <c r="AN147" i="15"/>
  <c r="KL153" i="10"/>
  <c r="KL386" i="10"/>
  <c r="KG360" i="10"/>
  <c r="KK318" i="10"/>
  <c r="BH318" i="10"/>
  <c r="AN312" i="15"/>
  <c r="KK307" i="10"/>
  <c r="BH307" i="10"/>
  <c r="AN301" i="15"/>
  <c r="KN304" i="10"/>
  <c r="KM293" i="10"/>
  <c r="BI293" i="10"/>
  <c r="AO287" i="15" s="1"/>
  <c r="KM261" i="10"/>
  <c r="BI261" i="10"/>
  <c r="AO255" i="15" s="1"/>
  <c r="KI214" i="10"/>
  <c r="KL214" i="10"/>
  <c r="KM214" i="10"/>
  <c r="BI214" i="10" s="1"/>
  <c r="AO208" i="15" s="1"/>
  <c r="KL155" i="10"/>
  <c r="KG155" i="10"/>
  <c r="KH155" i="10"/>
  <c r="KJ155" i="10"/>
  <c r="KK155" i="10"/>
  <c r="BH155" i="10"/>
  <c r="AN149" i="15"/>
  <c r="KM155" i="10"/>
  <c r="BI155" i="10" s="1"/>
  <c r="AO149" i="15" s="1"/>
  <c r="KN155" i="10"/>
  <c r="KJ130" i="10"/>
  <c r="KN130" i="10"/>
  <c r="KH130" i="10"/>
  <c r="KI130" i="10"/>
  <c r="KK130" i="10"/>
  <c r="BH130" i="10"/>
  <c r="AN124" i="15"/>
  <c r="KL130" i="10"/>
  <c r="KJ386" i="10"/>
  <c r="KM374" i="10"/>
  <c r="BI374" i="10" s="1"/>
  <c r="AO368" i="15" s="1"/>
  <c r="KG355" i="10"/>
  <c r="KI355" i="10"/>
  <c r="KK355" i="10"/>
  <c r="BH355" i="10"/>
  <c r="AN349" i="15"/>
  <c r="KL355" i="10"/>
  <c r="KN355" i="10"/>
  <c r="KI352" i="10"/>
  <c r="KL352" i="10"/>
  <c r="KN352" i="10"/>
  <c r="KG347" i="10"/>
  <c r="KH347" i="10"/>
  <c r="KJ347" i="10"/>
  <c r="KK347" i="10"/>
  <c r="BH347" i="10"/>
  <c r="AN341" i="15"/>
  <c r="KN334" i="10"/>
  <c r="KJ318" i="10"/>
  <c r="KJ307" i="10"/>
  <c r="KM304" i="10"/>
  <c r="BI304" i="10" s="1"/>
  <c r="AO298" i="15" s="1"/>
  <c r="KG298" i="10"/>
  <c r="KH298" i="10"/>
  <c r="KJ298" i="10"/>
  <c r="KK298" i="10"/>
  <c r="BH298" i="10"/>
  <c r="AN292" i="15"/>
  <c r="KL293" i="10"/>
  <c r="KN282" i="10"/>
  <c r="KL261" i="10"/>
  <c r="KI230" i="10"/>
  <c r="KJ230" i="10"/>
  <c r="KK230" i="10"/>
  <c r="BH230" i="10"/>
  <c r="AN224" i="15"/>
  <c r="KM230" i="10"/>
  <c r="BI230" i="10"/>
  <c r="AO224" i="15" s="1"/>
  <c r="KL220" i="10"/>
  <c r="KH220" i="10"/>
  <c r="KI220" i="10"/>
  <c r="KK220" i="10"/>
  <c r="BH220" i="10"/>
  <c r="AN214" i="15"/>
  <c r="KN220" i="10"/>
  <c r="KH183" i="10"/>
  <c r="KI183" i="10"/>
  <c r="KJ183" i="10"/>
  <c r="KK183" i="10"/>
  <c r="BH183" i="10"/>
  <c r="AN177" i="15"/>
  <c r="KN183" i="10"/>
  <c r="KG183" i="10"/>
  <c r="KL183" i="10"/>
  <c r="KM183" i="10"/>
  <c r="BI183" i="10" s="1"/>
  <c r="AO177" i="15" s="1"/>
  <c r="KG71" i="10"/>
  <c r="KJ71" i="10"/>
  <c r="II219" i="10"/>
  <c r="KI386" i="10"/>
  <c r="KK374" i="10"/>
  <c r="BH374" i="10"/>
  <c r="AN368" i="15"/>
  <c r="KJ371" i="10"/>
  <c r="KM371" i="10"/>
  <c r="BI371" i="10" s="1"/>
  <c r="AO365" i="15" s="1"/>
  <c r="KG366" i="10"/>
  <c r="KI366" i="10"/>
  <c r="KJ366" i="10"/>
  <c r="KL366" i="10"/>
  <c r="KM366" i="10"/>
  <c r="BI366" i="10" s="1"/>
  <c r="AO360" i="15" s="1"/>
  <c r="KN353" i="10"/>
  <c r="KH342" i="10"/>
  <c r="KL334" i="10"/>
  <c r="KM331" i="10"/>
  <c r="BI331" i="10"/>
  <c r="AO325" i="15" s="1"/>
  <c r="KJ331" i="10"/>
  <c r="KN331" i="10"/>
  <c r="KL321" i="10"/>
  <c r="KI318" i="10"/>
  <c r="KN310" i="10"/>
  <c r="KI307" i="10"/>
  <c r="KL304" i="10"/>
  <c r="KK293" i="10"/>
  <c r="BH293" i="10"/>
  <c r="AN287" i="15"/>
  <c r="KL282" i="10"/>
  <c r="KJ261" i="10"/>
  <c r="KG200" i="10"/>
  <c r="KJ200" i="10"/>
  <c r="KK200" i="10"/>
  <c r="BH200" i="10"/>
  <c r="AN194" i="15"/>
  <c r="KH200" i="10"/>
  <c r="KI200" i="10"/>
  <c r="KL200" i="10"/>
  <c r="KN200" i="10"/>
  <c r="KG133" i="10"/>
  <c r="KJ133" i="10"/>
  <c r="KI133" i="10"/>
  <c r="KK133" i="10"/>
  <c r="BH133" i="10"/>
  <c r="AN127" i="15"/>
  <c r="KN133" i="10"/>
  <c r="KL133" i="10"/>
  <c r="KM133" i="10"/>
  <c r="BI133" i="10"/>
  <c r="AO127" i="15" s="1"/>
  <c r="KG127" i="10"/>
  <c r="KH127" i="10"/>
  <c r="KI127" i="10"/>
  <c r="KJ127" i="10"/>
  <c r="KM127" i="10"/>
  <c r="BI127" i="10" s="1"/>
  <c r="AO121" i="15" s="1"/>
  <c r="KK127" i="10"/>
  <c r="BH127" i="10"/>
  <c r="AN121" i="15"/>
  <c r="II354" i="10"/>
  <c r="KH386" i="10"/>
  <c r="KI374" i="10"/>
  <c r="KN372" i="10"/>
  <c r="KH363" i="10"/>
  <c r="KK363" i="10"/>
  <c r="BH363" i="10"/>
  <c r="AN357" i="15"/>
  <c r="KM363" i="10"/>
  <c r="BI363" i="10" s="1"/>
  <c r="AO357" i="15" s="1"/>
  <c r="KM353" i="10"/>
  <c r="BI353" i="10" s="1"/>
  <c r="AO347" i="15" s="1"/>
  <c r="KJ334" i="10"/>
  <c r="KN332" i="10"/>
  <c r="KG326" i="10"/>
  <c r="KH326" i="10"/>
  <c r="KI326" i="10"/>
  <c r="KK326" i="10"/>
  <c r="BH326" i="10"/>
  <c r="AN320" i="15"/>
  <c r="KL326" i="10"/>
  <c r="KK321" i="10"/>
  <c r="BH321" i="10"/>
  <c r="AN315" i="15"/>
  <c r="KH318" i="10"/>
  <c r="KL310" i="10"/>
  <c r="KH307" i="10"/>
  <c r="KK304" i="10"/>
  <c r="BH304" i="10"/>
  <c r="AN298" i="15"/>
  <c r="KJ293" i="10"/>
  <c r="KK282" i="10"/>
  <c r="BH282" i="10"/>
  <c r="AN276" i="15"/>
  <c r="KM272" i="10"/>
  <c r="BI272" i="10" s="1"/>
  <c r="AO266" i="15" s="1"/>
  <c r="KI261" i="10"/>
  <c r="KJ217" i="10"/>
  <c r="KI197" i="10"/>
  <c r="II186" i="10"/>
  <c r="KG386" i="10"/>
  <c r="KH374" i="10"/>
  <c r="KG358" i="10"/>
  <c r="KH358" i="10"/>
  <c r="KJ358" i="10"/>
  <c r="KK358" i="10"/>
  <c r="BH358" i="10"/>
  <c r="AN352" i="15"/>
  <c r="KM345" i="10"/>
  <c r="BI345" i="10" s="1"/>
  <c r="AO339" i="15"/>
  <c r="KL342" i="10"/>
  <c r="KM342" i="10"/>
  <c r="BI342" i="10" s="1"/>
  <c r="AO336" i="15" s="1"/>
  <c r="KH334" i="10"/>
  <c r="KJ321" i="10"/>
  <c r="KJ310" i="10"/>
  <c r="KG307" i="10"/>
  <c r="KI304" i="10"/>
  <c r="KM296" i="10"/>
  <c r="BI296" i="10" s="1"/>
  <c r="AO290" i="15" s="1"/>
  <c r="KI293" i="10"/>
  <c r="KI282" i="10"/>
  <c r="KG274" i="10"/>
  <c r="KI274" i="10"/>
  <c r="KK274" i="10"/>
  <c r="BH274" i="10"/>
  <c r="AN268" i="15"/>
  <c r="KL274" i="10"/>
  <c r="KN274" i="10"/>
  <c r="KL272" i="10"/>
  <c r="KH261" i="10"/>
  <c r="KK250" i="10"/>
  <c r="BH250" i="10"/>
  <c r="AN244" i="15"/>
  <c r="KN250" i="10"/>
  <c r="KG250" i="10"/>
  <c r="KI250" i="10"/>
  <c r="KJ250" i="10"/>
  <c r="KL250" i="10"/>
  <c r="KM250" i="10"/>
  <c r="BI250" i="10"/>
  <c r="AO244" i="15" s="1"/>
  <c r="KN245" i="10"/>
  <c r="KK233" i="10"/>
  <c r="BH233" i="10"/>
  <c r="AN227" i="15"/>
  <c r="KH226" i="10"/>
  <c r="KL226" i="10"/>
  <c r="KG226" i="10"/>
  <c r="KI226" i="10"/>
  <c r="KJ226" i="10"/>
  <c r="KK226" i="10"/>
  <c r="BH226" i="10"/>
  <c r="AN220" i="15"/>
  <c r="KM226" i="10"/>
  <c r="BI226" i="10" s="1"/>
  <c r="AO220" i="15" s="1"/>
  <c r="KN226" i="10"/>
  <c r="KH194" i="10"/>
  <c r="KL194" i="10"/>
  <c r="KG194" i="10"/>
  <c r="KB283" i="10"/>
  <c r="BJ283" i="10"/>
  <c r="AP277" i="15"/>
  <c r="JZ283" i="10"/>
  <c r="KM58" i="10"/>
  <c r="BI58" i="10" s="1"/>
  <c r="AO52" i="15" s="1"/>
  <c r="KG58" i="10"/>
  <c r="KN58" i="10"/>
  <c r="KH58" i="10"/>
  <c r="KI58" i="10"/>
  <c r="KJ58" i="10"/>
  <c r="KK58" i="10"/>
  <c r="BH58" i="10"/>
  <c r="AN52" i="15"/>
  <c r="JZ385" i="10"/>
  <c r="KB385" i="10"/>
  <c r="BJ385" i="10"/>
  <c r="AP379" i="15"/>
  <c r="JZ300" i="10"/>
  <c r="KB300" i="10"/>
  <c r="BJ300" i="10"/>
  <c r="AP294" i="15"/>
  <c r="KI211" i="10"/>
  <c r="KL181" i="10"/>
  <c r="KG181" i="10"/>
  <c r="KH181" i="10"/>
  <c r="KI76" i="10"/>
  <c r="KJ76" i="10"/>
  <c r="KK76" i="10"/>
  <c r="BH76" i="10"/>
  <c r="AN70" i="15"/>
  <c r="KL76" i="10"/>
  <c r="KN76" i="10"/>
  <c r="KJ44" i="10"/>
  <c r="JZ384" i="10"/>
  <c r="KB384" i="10"/>
  <c r="BJ384" i="10"/>
  <c r="AP378" i="15"/>
  <c r="KG211" i="10"/>
  <c r="KH201" i="10"/>
  <c r="KM201" i="10"/>
  <c r="BI201" i="10" s="1"/>
  <c r="AO195" i="15" s="1"/>
  <c r="KL166" i="10"/>
  <c r="KJ166" i="10"/>
  <c r="KK166" i="10"/>
  <c r="BH166" i="10"/>
  <c r="AN160" i="15"/>
  <c r="KM166" i="10"/>
  <c r="BI166" i="10" s="1"/>
  <c r="AO160" i="15" s="1"/>
  <c r="KN166" i="10"/>
  <c r="KH163" i="10"/>
  <c r="KL163" i="10"/>
  <c r="KH136" i="10"/>
  <c r="KN136" i="10"/>
  <c r="KJ228" i="10"/>
  <c r="KM228" i="10"/>
  <c r="BI228" i="10"/>
  <c r="AO222" i="15" s="1"/>
  <c r="KN228" i="10"/>
  <c r="KM154" i="10"/>
  <c r="BI154" i="10" s="1"/>
  <c r="AO148" i="15" s="1"/>
  <c r="JZ332" i="10"/>
  <c r="KB332" i="10"/>
  <c r="BJ332" i="10"/>
  <c r="AP326" i="15"/>
  <c r="II114" i="10"/>
  <c r="KI384" i="10"/>
  <c r="KL381" i="10"/>
  <c r="KL377" i="10"/>
  <c r="KN370" i="10"/>
  <c r="KI354" i="10"/>
  <c r="KN351" i="10"/>
  <c r="KN344" i="10"/>
  <c r="KJ340" i="10"/>
  <c r="KN337" i="10"/>
  <c r="KI329" i="10"/>
  <c r="KI312" i="10"/>
  <c r="KJ305" i="10"/>
  <c r="KK291" i="10"/>
  <c r="BH291" i="10"/>
  <c r="AN285" i="15"/>
  <c r="KG287" i="10"/>
  <c r="KJ284" i="10"/>
  <c r="KA283" i="10"/>
  <c r="KG280" i="10"/>
  <c r="KN267" i="10"/>
  <c r="KG266" i="10"/>
  <c r="KK256" i="10"/>
  <c r="BH256" i="10"/>
  <c r="AN250" i="15"/>
  <c r="KI246" i="10"/>
  <c r="KK242" i="10"/>
  <c r="BH242" i="10"/>
  <c r="AN236" i="15"/>
  <c r="KN242" i="10"/>
  <c r="KM239" i="10"/>
  <c r="BI239" i="10" s="1"/>
  <c r="AO233" i="15" s="1"/>
  <c r="KG235" i="10"/>
  <c r="KK235" i="10"/>
  <c r="BH235" i="10"/>
  <c r="AN229" i="15"/>
  <c r="KM232" i="10"/>
  <c r="BI232" i="10"/>
  <c r="AO226" i="15" s="1"/>
  <c r="KG225" i="10"/>
  <c r="KN225" i="10"/>
  <c r="KJ215" i="10"/>
  <c r="KL195" i="10"/>
  <c r="KN192" i="10"/>
  <c r="KK188" i="10"/>
  <c r="BH188" i="10"/>
  <c r="AN182" i="15"/>
  <c r="KL188" i="10"/>
  <c r="KM188" i="10"/>
  <c r="BI188" i="10" s="1"/>
  <c r="AO182" i="15" s="1"/>
  <c r="KH184" i="10"/>
  <c r="KN184" i="10"/>
  <c r="KG173" i="10"/>
  <c r="KJ173" i="10"/>
  <c r="KK173" i="10"/>
  <c r="BH173" i="10"/>
  <c r="AN167" i="15"/>
  <c r="KN164" i="10"/>
  <c r="KL154" i="10"/>
  <c r="KM101" i="10"/>
  <c r="BI101" i="10" s="1"/>
  <c r="AO95" i="15" s="1"/>
  <c r="KJ89" i="10"/>
  <c r="KM89" i="10"/>
  <c r="BI89" i="10" s="1"/>
  <c r="AO83" i="15" s="1"/>
  <c r="KG89" i="10"/>
  <c r="KB364" i="10"/>
  <c r="BJ364" i="10"/>
  <c r="AP358" i="15"/>
  <c r="JZ364" i="10"/>
  <c r="II247" i="10"/>
  <c r="II123" i="10"/>
  <c r="KM370" i="10"/>
  <c r="BI370" i="10"/>
  <c r="AO364" i="15" s="1"/>
  <c r="KM351" i="10"/>
  <c r="BI351" i="10"/>
  <c r="AO345" i="15"/>
  <c r="KM344" i="10"/>
  <c r="BI344" i="10"/>
  <c r="AO338" i="15" s="1"/>
  <c r="KM337" i="10"/>
  <c r="BI337" i="10"/>
  <c r="AO331" i="15" s="1"/>
  <c r="KN323" i="10"/>
  <c r="KM316" i="10"/>
  <c r="BI316" i="10" s="1"/>
  <c r="AO310" i="15" s="1"/>
  <c r="KH312" i="10"/>
  <c r="KN295" i="10"/>
  <c r="KJ291" i="10"/>
  <c r="KI284" i="10"/>
  <c r="JY283" i="10"/>
  <c r="KN281" i="10"/>
  <c r="KM267" i="10"/>
  <c r="BI267" i="10" s="1"/>
  <c r="AO261" i="15" s="1"/>
  <c r="KN260" i="10"/>
  <c r="KJ256" i="10"/>
  <c r="KM249" i="10"/>
  <c r="BI249" i="10"/>
  <c r="AO243" i="15" s="1"/>
  <c r="KH249" i="10"/>
  <c r="KH246" i="10"/>
  <c r="KL239" i="10"/>
  <c r="KJ232" i="10"/>
  <c r="KN229" i="10"/>
  <c r="KH215" i="10"/>
  <c r="KK195" i="10"/>
  <c r="BH195" i="10"/>
  <c r="AN189" i="15"/>
  <c r="KL192" i="10"/>
  <c r="KJ179" i="10"/>
  <c r="KI176" i="10"/>
  <c r="KH170" i="10"/>
  <c r="KI170" i="10"/>
  <c r="KJ170" i="10"/>
  <c r="KK170" i="10"/>
  <c r="BH170" i="10"/>
  <c r="AN164" i="15"/>
  <c r="KL170" i="10"/>
  <c r="KL164" i="10"/>
  <c r="KM161" i="10"/>
  <c r="BI161" i="10" s="1"/>
  <c r="AO155" i="15" s="1"/>
  <c r="KK154" i="10"/>
  <c r="BH154" i="10"/>
  <c r="AN148" i="15"/>
  <c r="KH151" i="10"/>
  <c r="KJ151" i="10"/>
  <c r="KN151" i="10"/>
  <c r="KH125" i="10"/>
  <c r="KL101" i="10"/>
  <c r="KH51" i="10"/>
  <c r="KJ51" i="10"/>
  <c r="KN51" i="10"/>
  <c r="KB314" i="10"/>
  <c r="BJ314" i="10"/>
  <c r="AP308" i="15"/>
  <c r="JZ314" i="10"/>
  <c r="KK239" i="10"/>
  <c r="BH239" i="10"/>
  <c r="AN233" i="15"/>
  <c r="KI232" i="10"/>
  <c r="KM229" i="10"/>
  <c r="BI229" i="10"/>
  <c r="AO223" i="15" s="1"/>
  <c r="KI208" i="10"/>
  <c r="KM208" i="10"/>
  <c r="BI208" i="10" s="1"/>
  <c r="AO202" i="15" s="1"/>
  <c r="KI205" i="10"/>
  <c r="KL205" i="10"/>
  <c r="KM205" i="10"/>
  <c r="BI205" i="10"/>
  <c r="AO199" i="15" s="1"/>
  <c r="KJ195" i="10"/>
  <c r="KK192" i="10"/>
  <c r="BH192" i="10"/>
  <c r="AN186" i="15"/>
  <c r="KI179" i="10"/>
  <c r="KK164" i="10"/>
  <c r="BH164" i="10"/>
  <c r="AN158" i="15"/>
  <c r="KJ154" i="10"/>
  <c r="KN140" i="10"/>
  <c r="KM116" i="10"/>
  <c r="BI116" i="10" s="1"/>
  <c r="AO110" i="15" s="1"/>
  <c r="KJ101" i="10"/>
  <c r="KI80" i="10"/>
  <c r="KJ66" i="10"/>
  <c r="KK64" i="10"/>
  <c r="BH64" i="10"/>
  <c r="AN58" i="15"/>
  <c r="JZ285" i="10"/>
  <c r="JZ313" i="10"/>
  <c r="KB313" i="10"/>
  <c r="BJ313" i="10"/>
  <c r="AP307" i="15"/>
  <c r="KK370" i="10"/>
  <c r="BH370" i="10"/>
  <c r="AN364" i="15"/>
  <c r="KK351" i="10"/>
  <c r="BH351" i="10"/>
  <c r="AN345" i="15"/>
  <c r="KK344" i="10"/>
  <c r="BH344" i="10"/>
  <c r="AN338" i="15"/>
  <c r="KK337" i="10"/>
  <c r="BH337" i="10"/>
  <c r="AN331" i="15"/>
  <c r="KL323" i="10"/>
  <c r="KK316" i="10"/>
  <c r="BH316" i="10"/>
  <c r="AN310" i="15"/>
  <c r="KL295" i="10"/>
  <c r="KG291" i="10"/>
  <c r="KG284" i="10"/>
  <c r="KL281" i="10"/>
  <c r="KK267" i="10"/>
  <c r="BH267" i="10"/>
  <c r="AN261" i="15"/>
  <c r="KL260" i="10"/>
  <c r="KG256" i="10"/>
  <c r="KJ246" i="10"/>
  <c r="KM246" i="10"/>
  <c r="BI246" i="10"/>
  <c r="AO240" i="15"/>
  <c r="KJ239" i="10"/>
  <c r="KN236" i="10"/>
  <c r="KL229" i="10"/>
  <c r="KN223" i="10"/>
  <c r="KI215" i="10"/>
  <c r="KN215" i="10"/>
  <c r="KI192" i="10"/>
  <c r="KH179" i="10"/>
  <c r="KN176" i="10"/>
  <c r="KH176" i="10"/>
  <c r="KL176" i="10"/>
  <c r="KJ164" i="10"/>
  <c r="KK161" i="10"/>
  <c r="BH161" i="10"/>
  <c r="AN155" i="15"/>
  <c r="KG161" i="10"/>
  <c r="KH161" i="10"/>
  <c r="KI161" i="10"/>
  <c r="KJ161" i="10"/>
  <c r="KN161" i="10"/>
  <c r="KI154" i="10"/>
  <c r="KL140" i="10"/>
  <c r="KI125" i="10"/>
  <c r="KJ125" i="10"/>
  <c r="KK125" i="10"/>
  <c r="BH125" i="10"/>
  <c r="AN119" i="15"/>
  <c r="KN125" i="10"/>
  <c r="KI101" i="10"/>
  <c r="KK55" i="10"/>
  <c r="BH55" i="10"/>
  <c r="AN49" i="15"/>
  <c r="KB329" i="10"/>
  <c r="BJ329" i="10"/>
  <c r="AP323" i="15"/>
  <c r="JZ329" i="10"/>
  <c r="JY329" i="10"/>
  <c r="KJ370" i="10"/>
  <c r="KJ351" i="10"/>
  <c r="KJ344" i="10"/>
  <c r="KJ337" i="10"/>
  <c r="KJ323" i="10"/>
  <c r="KJ316" i="10"/>
  <c r="KK295" i="10"/>
  <c r="BH295" i="10"/>
  <c r="AN289" i="15"/>
  <c r="KJ281" i="10"/>
  <c r="KJ267" i="10"/>
  <c r="KK260" i="10"/>
  <c r="BH260" i="10"/>
  <c r="AN254" i="15"/>
  <c r="KM236" i="10"/>
  <c r="BI236" i="10"/>
  <c r="AO230" i="15"/>
  <c r="KH232" i="10"/>
  <c r="KK232" i="10"/>
  <c r="BH232" i="10"/>
  <c r="AN226" i="15"/>
  <c r="KL232" i="10"/>
  <c r="KJ229" i="10"/>
  <c r="KM223" i="10"/>
  <c r="BI223" i="10" s="1"/>
  <c r="AO217" i="15" s="1"/>
  <c r="KM216" i="10"/>
  <c r="BI216" i="10" s="1"/>
  <c r="AO210" i="15" s="1"/>
  <c r="KM206" i="10"/>
  <c r="BI206" i="10" s="1"/>
  <c r="AO200" i="15" s="1"/>
  <c r="KM195" i="10"/>
  <c r="BI195" i="10"/>
  <c r="AO189" i="15" s="1"/>
  <c r="KH195" i="10"/>
  <c r="KI195" i="10"/>
  <c r="KJ140" i="10"/>
  <c r="KI116" i="10"/>
  <c r="KG116" i="10"/>
  <c r="KH116" i="10"/>
  <c r="KJ116" i="10"/>
  <c r="KK116" i="10"/>
  <c r="BH116" i="10"/>
  <c r="AN110" i="15"/>
  <c r="KN116" i="10"/>
  <c r="KG66" i="10"/>
  <c r="KM66" i="10"/>
  <c r="BI66" i="10" s="1"/>
  <c r="AO60" i="15" s="1"/>
  <c r="KN66" i="10"/>
  <c r="KB179" i="10"/>
  <c r="BJ179" i="10"/>
  <c r="AP173" i="15"/>
  <c r="JX179" i="10"/>
  <c r="KE179" i="10"/>
  <c r="BM179" i="10"/>
  <c r="AS173" i="15"/>
  <c r="KL216" i="10"/>
  <c r="KL206" i="10"/>
  <c r="KH192" i="10"/>
  <c r="KJ192" i="10"/>
  <c r="KM192" i="10"/>
  <c r="BI192" i="10" s="1"/>
  <c r="AO186" i="15" s="1"/>
  <c r="KK179" i="10"/>
  <c r="BH179" i="10"/>
  <c r="AN173" i="15"/>
  <c r="KL179" i="10"/>
  <c r="KM179" i="10"/>
  <c r="BI179" i="10"/>
  <c r="AO173" i="15" s="1"/>
  <c r="KN179" i="10"/>
  <c r="KM164" i="10"/>
  <c r="BI164" i="10" s="1"/>
  <c r="AO158" i="15" s="1"/>
  <c r="KH164" i="10"/>
  <c r="KI164" i="10"/>
  <c r="KN154" i="10"/>
  <c r="KH154" i="10"/>
  <c r="KM143" i="10"/>
  <c r="BI143" i="10"/>
  <c r="AO137" i="15" s="1"/>
  <c r="KK101" i="10"/>
  <c r="BH101" i="10"/>
  <c r="AN95" i="15"/>
  <c r="KG101" i="10"/>
  <c r="KN101" i="10"/>
  <c r="KK80" i="10"/>
  <c r="BH80" i="10"/>
  <c r="AN74" i="15"/>
  <c r="KJ80" i="10"/>
  <c r="KL80" i="10"/>
  <c r="KM80" i="10"/>
  <c r="BI80" i="10" s="1"/>
  <c r="AO74" i="15" s="1"/>
  <c r="KN80" i="10"/>
  <c r="KH55" i="10"/>
  <c r="KG55" i="10"/>
  <c r="KN55" i="10"/>
  <c r="II274" i="10"/>
  <c r="KH323" i="10"/>
  <c r="KH316" i="10"/>
  <c r="KH295" i="10"/>
  <c r="KH281" i="10"/>
  <c r="KH260" i="10"/>
  <c r="KH229" i="10"/>
  <c r="KK216" i="10"/>
  <c r="BH216" i="10"/>
  <c r="AN210" i="15"/>
  <c r="KK206" i="10"/>
  <c r="BH206" i="10"/>
  <c r="AN200" i="15"/>
  <c r="KN152" i="10"/>
  <c r="KM149" i="10"/>
  <c r="BI149" i="10" s="1"/>
  <c r="AO143" i="15" s="1"/>
  <c r="KG149" i="10"/>
  <c r="KH149" i="10"/>
  <c r="KI149" i="10"/>
  <c r="KJ149" i="10"/>
  <c r="KN149" i="10"/>
  <c r="KL143" i="10"/>
  <c r="KJ70" i="10"/>
  <c r="JZ343" i="10"/>
  <c r="KB343" i="10"/>
  <c r="BJ343" i="10"/>
  <c r="AP337" i="15"/>
  <c r="JZ327" i="10"/>
  <c r="KB327" i="10"/>
  <c r="BJ327" i="10"/>
  <c r="AP321" i="15"/>
  <c r="KI152" i="10"/>
  <c r="KJ143" i="10"/>
  <c r="KM140" i="10"/>
  <c r="BI140" i="10" s="1"/>
  <c r="AO134" i="15" s="1"/>
  <c r="KG140" i="10"/>
  <c r="KK140" i="10"/>
  <c r="BH140" i="10"/>
  <c r="AN134" i="15"/>
  <c r="KB342" i="10"/>
  <c r="BJ342" i="10"/>
  <c r="AP336" i="15"/>
  <c r="JZ342" i="10"/>
  <c r="KB209" i="10"/>
  <c r="BJ209" i="10"/>
  <c r="AP203" i="15"/>
  <c r="JX209" i="10"/>
  <c r="KL236" i="10"/>
  <c r="KG236" i="10"/>
  <c r="KH236" i="10"/>
  <c r="KH223" i="10"/>
  <c r="KK223" i="10"/>
  <c r="BH223" i="10"/>
  <c r="AN217" i="15"/>
  <c r="KL223" i="10"/>
  <c r="KJ152" i="10"/>
  <c r="KM152" i="10"/>
  <c r="BI152" i="10"/>
  <c r="AO146" i="15" s="1"/>
  <c r="KG152" i="10"/>
  <c r="KK152" i="10"/>
  <c r="BH152" i="10"/>
  <c r="AN146" i="15"/>
  <c r="KL152" i="10"/>
  <c r="KG72" i="10"/>
  <c r="KH72" i="10"/>
  <c r="KI72" i="10"/>
  <c r="KJ72" i="10"/>
  <c r="KK72" i="10"/>
  <c r="BH72" i="10"/>
  <c r="AN66" i="15"/>
  <c r="KM72" i="10"/>
  <c r="BI72" i="10" s="1"/>
  <c r="AO66" i="15" s="1"/>
  <c r="KN72" i="10"/>
  <c r="JZ175" i="10"/>
  <c r="JY175" i="10"/>
  <c r="KB175" i="10"/>
  <c r="BJ175" i="10"/>
  <c r="AP169" i="15"/>
  <c r="KG216" i="10"/>
  <c r="KN216" i="10"/>
  <c r="KI206" i="10"/>
  <c r="KN206" i="10"/>
  <c r="KK143" i="10"/>
  <c r="BH143" i="10"/>
  <c r="AN137" i="15"/>
  <c r="KN143" i="10"/>
  <c r="KH143" i="10"/>
  <c r="KK135" i="10"/>
  <c r="BH135" i="10"/>
  <c r="AN129" i="15"/>
  <c r="KG135" i="10"/>
  <c r="KH135" i="10"/>
  <c r="KI135" i="10"/>
  <c r="KJ135" i="10"/>
  <c r="KN135" i="10"/>
  <c r="KM117" i="10"/>
  <c r="BI117" i="10" s="1"/>
  <c r="AO111" i="15" s="1"/>
  <c r="KK70" i="10"/>
  <c r="BH70" i="10"/>
  <c r="AN64" i="15"/>
  <c r="KN70" i="10"/>
  <c r="KL70" i="10"/>
  <c r="KM70" i="10"/>
  <c r="BI70" i="10" s="1"/>
  <c r="AO64" i="15"/>
  <c r="KN61" i="10"/>
  <c r="KI61" i="10"/>
  <c r="KK61" i="10"/>
  <c r="BH61" i="10"/>
  <c r="AN55" i="15"/>
  <c r="KG257" i="10"/>
  <c r="KJ257" i="10"/>
  <c r="KH240" i="10"/>
  <c r="KL240" i="10"/>
  <c r="KL213" i="10"/>
  <c r="KG213" i="10"/>
  <c r="KH213" i="10"/>
  <c r="KG203" i="10"/>
  <c r="KK203" i="10"/>
  <c r="BH203" i="10"/>
  <c r="AN197" i="15"/>
  <c r="KM171" i="10"/>
  <c r="BI171" i="10"/>
  <c r="AO165" i="15" s="1"/>
  <c r="KH171" i="10"/>
  <c r="KL117" i="10"/>
  <c r="KH111" i="10"/>
  <c r="KN111" i="10"/>
  <c r="KM111" i="10"/>
  <c r="BI111" i="10" s="1"/>
  <c r="AO105" i="15" s="1"/>
  <c r="KG111" i="10"/>
  <c r="KI111" i="10"/>
  <c r="KK105" i="10"/>
  <c r="BH105" i="10"/>
  <c r="AN99" i="15"/>
  <c r="KN105" i="10"/>
  <c r="KI105" i="10"/>
  <c r="KJ105" i="10"/>
  <c r="KL105" i="10"/>
  <c r="KM105" i="10"/>
  <c r="BI105" i="10" s="1"/>
  <c r="AO99" i="15" s="1"/>
  <c r="KK50" i="10"/>
  <c r="BH50" i="10"/>
  <c r="AN44" i="15"/>
  <c r="KG50" i="10"/>
  <c r="KL50" i="10"/>
  <c r="KM50" i="10"/>
  <c r="BI50" i="10" s="1"/>
  <c r="AO44" i="15" s="1"/>
  <c r="KN50" i="10"/>
  <c r="KB288" i="10"/>
  <c r="BJ288" i="10"/>
  <c r="AP282" i="15"/>
  <c r="JZ288" i="10"/>
  <c r="KB222" i="10"/>
  <c r="BJ222" i="10"/>
  <c r="AP216" i="15"/>
  <c r="JZ222" i="10"/>
  <c r="KA222" i="10"/>
  <c r="KG177" i="10"/>
  <c r="KJ177" i="10"/>
  <c r="KK177" i="10"/>
  <c r="BH177" i="10"/>
  <c r="AN171" i="15"/>
  <c r="KN126" i="10"/>
  <c r="KG126" i="10"/>
  <c r="KJ126" i="10"/>
  <c r="KK126" i="10"/>
  <c r="BH126" i="10"/>
  <c r="AN120" i="15"/>
  <c r="KK117" i="10"/>
  <c r="BH117" i="10"/>
  <c r="AN111" i="15"/>
  <c r="KH114" i="10"/>
  <c r="KI114" i="10"/>
  <c r="KJ114" i="10"/>
  <c r="KM114" i="10"/>
  <c r="BI114" i="10" s="1"/>
  <c r="AO108" i="15" s="1"/>
  <c r="KH102" i="10"/>
  <c r="KI102" i="10"/>
  <c r="KJ102" i="10"/>
  <c r="KL102" i="10"/>
  <c r="JZ356" i="10"/>
  <c r="KB356" i="10"/>
  <c r="BJ356" i="10"/>
  <c r="AP350" i="15"/>
  <c r="KB322" i="10"/>
  <c r="BJ322" i="10"/>
  <c r="AP316" i="15"/>
  <c r="KE322" i="10"/>
  <c r="BM322" i="10"/>
  <c r="AS316" i="15"/>
  <c r="JZ322" i="10"/>
  <c r="JZ189" i="10"/>
  <c r="JX189" i="10"/>
  <c r="JY189" i="10"/>
  <c r="KB189" i="10"/>
  <c r="BJ189" i="10"/>
  <c r="AP183" i="15"/>
  <c r="JZ355" i="10"/>
  <c r="KB355" i="10"/>
  <c r="BJ355" i="10"/>
  <c r="AP349" i="15"/>
  <c r="KB269" i="10"/>
  <c r="BJ269" i="10"/>
  <c r="AP263" i="15"/>
  <c r="JZ269" i="10"/>
  <c r="KK96" i="10"/>
  <c r="BH96" i="10"/>
  <c r="AN90" i="15"/>
  <c r="KG96" i="10"/>
  <c r="KH96" i="10"/>
  <c r="KI96" i="10"/>
  <c r="KJ96" i="10"/>
  <c r="KM96" i="10"/>
  <c r="BI96" i="10" s="1"/>
  <c r="AO90" i="15" s="1"/>
  <c r="KN96" i="10"/>
  <c r="KJ84" i="10"/>
  <c r="KM84" i="10"/>
  <c r="BI84" i="10" s="1"/>
  <c r="AO78" i="15"/>
  <c r="KH84" i="10"/>
  <c r="KI84" i="10"/>
  <c r="KK84" i="10"/>
  <c r="BH84" i="10"/>
  <c r="AN78" i="15"/>
  <c r="KL84" i="10"/>
  <c r="KB252" i="10"/>
  <c r="BJ252" i="10"/>
  <c r="AP246" i="15"/>
  <c r="JZ252" i="10"/>
  <c r="JY252" i="10"/>
  <c r="KH117" i="10"/>
  <c r="KN117" i="10"/>
  <c r="KH94" i="10"/>
  <c r="KK94" i="10"/>
  <c r="BH94" i="10"/>
  <c r="AN88" i="15"/>
  <c r="KI94" i="10"/>
  <c r="KJ94" i="10"/>
  <c r="KL94" i="10"/>
  <c r="KN94" i="10"/>
  <c r="KK54" i="10"/>
  <c r="BH54" i="10"/>
  <c r="AN48" i="15"/>
  <c r="KL54" i="10"/>
  <c r="KM54" i="10"/>
  <c r="BI54" i="10" s="1"/>
  <c r="AO48" i="15" s="1"/>
  <c r="KN54" i="10"/>
  <c r="JZ179" i="10"/>
  <c r="JZ236" i="10"/>
  <c r="KB236" i="10"/>
  <c r="BJ236" i="10"/>
  <c r="AP230" i="15"/>
  <c r="KD236" i="10"/>
  <c r="BK236" i="10"/>
  <c r="AQ230" i="15" s="1"/>
  <c r="JZ353" i="10"/>
  <c r="JZ326" i="10"/>
  <c r="JZ380" i="10"/>
  <c r="KB380" i="10"/>
  <c r="BJ380" i="10"/>
  <c r="AP374" i="15"/>
  <c r="KB141" i="10"/>
  <c r="BJ141" i="10"/>
  <c r="AP135" i="15"/>
  <c r="JX141" i="10"/>
  <c r="KD141" i="10"/>
  <c r="BK141" i="10" s="1"/>
  <c r="AQ135" i="15" s="1"/>
  <c r="KC33" i="10"/>
  <c r="BL33" i="10"/>
  <c r="AR27" i="15"/>
  <c r="JZ33" i="10"/>
  <c r="JY33" i="10"/>
  <c r="KB68" i="10"/>
  <c r="BJ68" i="10"/>
  <c r="AP62" i="15"/>
  <c r="KA68" i="10"/>
  <c r="JZ51" i="10"/>
  <c r="JY51" i="10"/>
  <c r="KM182" i="10"/>
  <c r="BI182" i="10" s="1"/>
  <c r="AO176" i="15" s="1"/>
  <c r="KL95" i="10"/>
  <c r="KK91" i="10"/>
  <c r="BH91" i="10"/>
  <c r="AN85" i="15"/>
  <c r="KH82" i="10"/>
  <c r="KK69" i="10"/>
  <c r="BH69" i="10"/>
  <c r="AN63" i="15"/>
  <c r="JZ323" i="10"/>
  <c r="JZ262" i="10"/>
  <c r="KB306" i="10"/>
  <c r="BJ306" i="10"/>
  <c r="AP300" i="15"/>
  <c r="JY235" i="10"/>
  <c r="KL182" i="10"/>
  <c r="KN165" i="10"/>
  <c r="KK95" i="10"/>
  <c r="BH95" i="10"/>
  <c r="AN89" i="15"/>
  <c r="KJ91" i="10"/>
  <c r="KG82" i="10"/>
  <c r="KH78" i="10"/>
  <c r="KK78" i="10"/>
  <c r="BH78" i="10"/>
  <c r="AN72" i="15"/>
  <c r="KH74" i="10"/>
  <c r="KN74" i="10"/>
  <c r="KI69" i="10"/>
  <c r="KG57" i="10"/>
  <c r="KH57" i="10"/>
  <c r="KG53" i="10"/>
  <c r="KK53" i="10"/>
  <c r="BH53" i="10"/>
  <c r="AN47" i="15"/>
  <c r="JZ377" i="10"/>
  <c r="JZ293" i="10"/>
  <c r="JZ230" i="10"/>
  <c r="KB290" i="10"/>
  <c r="BJ290" i="10"/>
  <c r="AP284" i="15"/>
  <c r="JZ227" i="10"/>
  <c r="KB168" i="10"/>
  <c r="BJ168" i="10"/>
  <c r="AP162" i="15"/>
  <c r="KA138" i="10"/>
  <c r="KB138" i="10"/>
  <c r="BJ138" i="10"/>
  <c r="AP132" i="15"/>
  <c r="JY78" i="10"/>
  <c r="KB78" i="10"/>
  <c r="BJ78" i="10"/>
  <c r="AP72" i="15"/>
  <c r="KE311" i="10"/>
  <c r="BM311" i="10"/>
  <c r="AS305" i="15"/>
  <c r="KE249" i="10"/>
  <c r="BM249" i="10"/>
  <c r="AS243" i="15"/>
  <c r="KE227" i="10"/>
  <c r="BM227" i="10"/>
  <c r="AS221" i="15"/>
  <c r="JX208" i="10"/>
  <c r="KL178" i="10"/>
  <c r="KK165" i="10"/>
  <c r="BH165" i="10"/>
  <c r="AN159" i="15"/>
  <c r="KH148" i="10"/>
  <c r="KN148" i="10"/>
  <c r="KA144" i="10"/>
  <c r="KJ115" i="10"/>
  <c r="KM115" i="10"/>
  <c r="BI115" i="10"/>
  <c r="AO109" i="15"/>
  <c r="KG99" i="10"/>
  <c r="KJ99" i="10"/>
  <c r="KL92" i="10"/>
  <c r="KG91" i="10"/>
  <c r="KK79" i="10"/>
  <c r="BH79" i="10"/>
  <c r="AN73" i="15"/>
  <c r="JX71" i="10"/>
  <c r="JZ374" i="10"/>
  <c r="JZ346" i="10"/>
  <c r="KB303" i="10"/>
  <c r="BJ303" i="10"/>
  <c r="AP297" i="15"/>
  <c r="KB228" i="10"/>
  <c r="BJ228" i="10"/>
  <c r="AP222" i="15"/>
  <c r="KG95" i="10"/>
  <c r="KM95" i="10"/>
  <c r="BI95" i="10" s="1"/>
  <c r="AO89" i="15" s="1"/>
  <c r="JZ194" i="10"/>
  <c r="KB185" i="10"/>
  <c r="BJ185" i="10"/>
  <c r="AP179" i="15"/>
  <c r="JZ185" i="10"/>
  <c r="KB129" i="10"/>
  <c r="BJ129" i="10"/>
  <c r="AP123" i="15"/>
  <c r="KB95" i="10"/>
  <c r="BJ95" i="10"/>
  <c r="AP89" i="15"/>
  <c r="KB89" i="10"/>
  <c r="BJ89" i="10"/>
  <c r="AP83" i="15"/>
  <c r="KD89" i="10"/>
  <c r="BK89" i="10" s="1"/>
  <c r="AQ83" i="15" s="1"/>
  <c r="JZ77" i="10"/>
  <c r="KD77" i="10"/>
  <c r="BK77" i="10" s="1"/>
  <c r="AQ71" i="15" s="1"/>
  <c r="KB62" i="10"/>
  <c r="BJ62" i="10"/>
  <c r="AP56" i="15"/>
  <c r="KA62" i="10"/>
  <c r="KH165" i="10"/>
  <c r="KE141" i="10"/>
  <c r="BM141" i="10"/>
  <c r="AS135" i="15"/>
  <c r="KI138" i="10"/>
  <c r="KL138" i="10"/>
  <c r="KI123" i="10"/>
  <c r="KG119" i="10"/>
  <c r="KJ119" i="10"/>
  <c r="KH112" i="10"/>
  <c r="KD95" i="10"/>
  <c r="BK95" i="10" s="1"/>
  <c r="AQ89" i="15" s="1"/>
  <c r="KI92" i="10"/>
  <c r="KE83" i="10"/>
  <c r="BM83" i="10"/>
  <c r="AS77" i="15"/>
  <c r="JZ371" i="10"/>
  <c r="KB287" i="10"/>
  <c r="BJ287" i="10"/>
  <c r="AP281" i="15"/>
  <c r="JZ287" i="10"/>
  <c r="KB272" i="10"/>
  <c r="BJ272" i="10"/>
  <c r="AP266" i="15"/>
  <c r="KB52" i="10"/>
  <c r="BJ52" i="10"/>
  <c r="AP46" i="15"/>
  <c r="KH92" i="10"/>
  <c r="KG79" i="10"/>
  <c r="KM79" i="10"/>
  <c r="BI79" i="10"/>
  <c r="AO73" i="15" s="1"/>
  <c r="JZ251" i="10"/>
  <c r="KA223" i="10"/>
  <c r="KD182" i="10"/>
  <c r="BK182" i="10"/>
  <c r="AQ176" i="15"/>
  <c r="KN175" i="10"/>
  <c r="KD108" i="10"/>
  <c r="BK108" i="10" s="1"/>
  <c r="AQ102" i="15" s="1"/>
  <c r="KN93" i="10"/>
  <c r="KK56" i="10"/>
  <c r="BH56" i="10"/>
  <c r="AN50" i="15"/>
  <c r="JZ312" i="10"/>
  <c r="JZ281" i="10"/>
  <c r="JZ220" i="10"/>
  <c r="KB254" i="10"/>
  <c r="BJ254" i="10"/>
  <c r="AP248" i="15"/>
  <c r="KN97" i="10"/>
  <c r="JZ311" i="10"/>
  <c r="JZ249" i="10"/>
  <c r="KB182" i="10"/>
  <c r="BJ182" i="10"/>
  <c r="AP176" i="15"/>
  <c r="KB146" i="10"/>
  <c r="BJ146" i="10"/>
  <c r="AP140" i="15"/>
  <c r="KA146" i="10"/>
  <c r="JZ284" i="10"/>
  <c r="KB284" i="10"/>
  <c r="BJ284" i="10"/>
  <c r="AP278" i="15"/>
  <c r="KB208" i="10"/>
  <c r="BJ208" i="10"/>
  <c r="AP202" i="15"/>
  <c r="KB119" i="10"/>
  <c r="BJ119" i="10"/>
  <c r="AP113" i="15"/>
  <c r="KB84" i="10"/>
  <c r="BJ84" i="10"/>
  <c r="AP78" i="15"/>
  <c r="KB33" i="10"/>
  <c r="BJ33" i="10"/>
  <c r="AP27" i="15"/>
  <c r="JX133" i="10"/>
  <c r="JZ133" i="10"/>
  <c r="KE109" i="10"/>
  <c r="BM109" i="10"/>
  <c r="AS103" i="15"/>
  <c r="JZ109" i="10"/>
  <c r="KB109" i="10"/>
  <c r="BJ109" i="10"/>
  <c r="AP103" i="15"/>
  <c r="JZ97" i="10"/>
  <c r="JX97" i="10"/>
  <c r="KE57" i="10"/>
  <c r="BM57" i="10"/>
  <c r="AS51" i="15"/>
  <c r="KA57" i="10"/>
  <c r="KC40" i="10"/>
  <c r="BL40" i="10"/>
  <c r="AR34" i="15"/>
  <c r="KB40" i="10"/>
  <c r="BJ40" i="10"/>
  <c r="AP34" i="15"/>
  <c r="JZ156" i="10"/>
  <c r="KB156" i="10"/>
  <c r="BJ156" i="10"/>
  <c r="AP150" i="15"/>
  <c r="JY132" i="10"/>
  <c r="KE132" i="10"/>
  <c r="BM132" i="10"/>
  <c r="AS126" i="15"/>
  <c r="KB132" i="10"/>
  <c r="BJ132" i="10"/>
  <c r="AP126" i="15"/>
  <c r="KC38" i="10"/>
  <c r="BL38" i="10"/>
  <c r="AR32" i="15"/>
  <c r="JX38" i="10"/>
  <c r="KB38" i="10"/>
  <c r="BJ38" i="10"/>
  <c r="AP32" i="15"/>
  <c r="KN231" i="10"/>
  <c r="KJ124" i="10"/>
  <c r="KM124" i="10"/>
  <c r="BI124" i="10" s="1"/>
  <c r="AO118" i="15" s="1"/>
  <c r="KK106" i="10"/>
  <c r="BH106" i="10"/>
  <c r="AN100" i="15"/>
  <c r="JZ296" i="10"/>
  <c r="KB296" i="10"/>
  <c r="BJ296" i="10"/>
  <c r="AP290" i="15"/>
  <c r="KB235" i="10"/>
  <c r="BJ235" i="10"/>
  <c r="AP229" i="15"/>
  <c r="KC55" i="10"/>
  <c r="BL55" i="10"/>
  <c r="AR49" i="15"/>
  <c r="KD55" i="10"/>
  <c r="BK55" i="10" s="1"/>
  <c r="AQ49" i="15" s="1"/>
  <c r="JX155" i="10"/>
  <c r="KD155" i="10"/>
  <c r="BK155" i="10" s="1"/>
  <c r="AQ149" i="15" s="1"/>
  <c r="JZ83" i="10"/>
  <c r="KB83" i="10"/>
  <c r="BJ83" i="10"/>
  <c r="AP77" i="15"/>
  <c r="KC54" i="10"/>
  <c r="BL54" i="10"/>
  <c r="AR48" i="15"/>
  <c r="JZ54" i="10"/>
  <c r="KB54" i="10"/>
  <c r="BJ54" i="10"/>
  <c r="AP48" i="15"/>
  <c r="KN82" i="10"/>
  <c r="KI73" i="10"/>
  <c r="KL73" i="10"/>
  <c r="KI110" i="10"/>
  <c r="KL110" i="10"/>
  <c r="KE97" i="10"/>
  <c r="BM97" i="10"/>
  <c r="AS91" i="15"/>
  <c r="JY93" i="10"/>
  <c r="KL90" i="10"/>
  <c r="KL86" i="10"/>
  <c r="KM82" i="10"/>
  <c r="BI82" i="10" s="1"/>
  <c r="AO76" i="15" s="1"/>
  <c r="KN78" i="10"/>
  <c r="KM74" i="10"/>
  <c r="BI74" i="10" s="1"/>
  <c r="AO68" i="15" s="1"/>
  <c r="KE73" i="10"/>
  <c r="BM73" i="10"/>
  <c r="AS67" i="15"/>
  <c r="KG59" i="10"/>
  <c r="JZ338" i="10"/>
  <c r="KB338" i="10"/>
  <c r="BJ338" i="10"/>
  <c r="AP332" i="15"/>
  <c r="KB176" i="10"/>
  <c r="BJ176" i="10"/>
  <c r="AP170" i="15"/>
  <c r="KB110" i="10"/>
  <c r="BJ110" i="10"/>
  <c r="AP104" i="15"/>
  <c r="KB73" i="10"/>
  <c r="BJ73" i="10"/>
  <c r="AP67" i="15"/>
  <c r="JZ130" i="10"/>
  <c r="KB130" i="10"/>
  <c r="BJ130" i="10"/>
  <c r="AP124" i="15"/>
  <c r="JY118" i="10"/>
  <c r="KE118" i="10"/>
  <c r="BM118" i="10"/>
  <c r="AS112" i="15"/>
  <c r="KB94" i="10"/>
  <c r="BJ94" i="10"/>
  <c r="AP88" i="15"/>
  <c r="JY94" i="10"/>
  <c r="JY82" i="10"/>
  <c r="KE82" i="10"/>
  <c r="BM82" i="10"/>
  <c r="AS76" i="15"/>
  <c r="KB53" i="10"/>
  <c r="BJ53" i="10"/>
  <c r="AP47" i="15"/>
  <c r="JY53" i="10"/>
  <c r="JX220" i="10"/>
  <c r="KH147" i="10"/>
  <c r="KK147" i="10"/>
  <c r="BH147" i="10"/>
  <c r="AN141" i="15"/>
  <c r="KK137" i="10"/>
  <c r="BH137" i="10"/>
  <c r="AN131" i="15"/>
  <c r="JZ268" i="10"/>
  <c r="KB366" i="10"/>
  <c r="BJ366" i="10"/>
  <c r="AP360" i="15"/>
  <c r="KB143" i="10"/>
  <c r="BJ143" i="10"/>
  <c r="AP137" i="15"/>
  <c r="KB108" i="10"/>
  <c r="BJ108" i="10"/>
  <c r="AP102" i="15"/>
  <c r="KB72" i="10"/>
  <c r="BJ72" i="10"/>
  <c r="AP66" i="15"/>
  <c r="KB48" i="10"/>
  <c r="BJ48" i="10"/>
  <c r="AP42" i="15"/>
  <c r="LC327" i="10"/>
  <c r="KB104" i="10"/>
  <c r="BJ104" i="10"/>
  <c r="AP98" i="15"/>
  <c r="DE361" i="10"/>
  <c r="JX27" i="10"/>
  <c r="DE313" i="10"/>
  <c r="KB65" i="10"/>
  <c r="BJ65" i="10"/>
  <c r="AP59" i="15"/>
  <c r="JZ65" i="10"/>
  <c r="DE245" i="10"/>
  <c r="LC176" i="10"/>
  <c r="DE176" i="10"/>
  <c r="DE257" i="10"/>
  <c r="DE360" i="10"/>
  <c r="DE174" i="10"/>
  <c r="DE255" i="10"/>
  <c r="DE211" i="10"/>
  <c r="DE199" i="10"/>
  <c r="DE328" i="10"/>
  <c r="DE237" i="10"/>
  <c r="DE219" i="10"/>
  <c r="DE375" i="10"/>
  <c r="JO311" i="10"/>
  <c r="FG237" i="10"/>
  <c r="JO237" i="10"/>
  <c r="JO76" i="10"/>
  <c r="JO320" i="10"/>
  <c r="FG320" i="10"/>
  <c r="JO88" i="10"/>
  <c r="JO109" i="10"/>
  <c r="JO343" i="10"/>
  <c r="FG343" i="10"/>
  <c r="JO249" i="10"/>
  <c r="JP249" i="10"/>
  <c r="FG249" i="10"/>
  <c r="FG268" i="10"/>
  <c r="JO268" i="10"/>
  <c r="FG258" i="10"/>
  <c r="FG138" i="10"/>
  <c r="JN376" i="10"/>
  <c r="JO210" i="10"/>
  <c r="FG378" i="10"/>
  <c r="FG310" i="10"/>
  <c r="FG194" i="10"/>
  <c r="JN362" i="10"/>
  <c r="FG370" i="10"/>
  <c r="FG298" i="10"/>
  <c r="FG182" i="10"/>
  <c r="JN381" i="10"/>
  <c r="JN182" i="10"/>
  <c r="JN263" i="10"/>
  <c r="FG367" i="10"/>
  <c r="FG242" i="10"/>
  <c r="JN308" i="10"/>
  <c r="FG118" i="10"/>
  <c r="JN327" i="10"/>
  <c r="JN355" i="10"/>
  <c r="FG355" i="10"/>
  <c r="FG171" i="10"/>
  <c r="FG234" i="10"/>
  <c r="JN278" i="10"/>
  <c r="JN227" i="10"/>
  <c r="JP335" i="10"/>
  <c r="JN236" i="10"/>
  <c r="FG330" i="10"/>
  <c r="FG210" i="10"/>
  <c r="JN336" i="10"/>
  <c r="FG280" i="10"/>
  <c r="JO280" i="10"/>
  <c r="JO213" i="10"/>
  <c r="FG213" i="10"/>
  <c r="FG350" i="10"/>
  <c r="IM330" i="10"/>
  <c r="FG301" i="10"/>
  <c r="FG277" i="10"/>
  <c r="JO277" i="10"/>
  <c r="JO74" i="10"/>
  <c r="FG117" i="10"/>
  <c r="JO117" i="10"/>
  <c r="JN378" i="10"/>
  <c r="JP378" i="10"/>
  <c r="FG232" i="10"/>
  <c r="JO232" i="10"/>
  <c r="JP232" i="10"/>
  <c r="FG184" i="10"/>
  <c r="JO184" i="10"/>
  <c r="JO253" i="10"/>
  <c r="FG253" i="10"/>
  <c r="FG316" i="10"/>
  <c r="JO316" i="10"/>
  <c r="JP316" i="10"/>
  <c r="JO160" i="10"/>
  <c r="FG160" i="10"/>
  <c r="FG229" i="10"/>
  <c r="JO229" i="10"/>
  <c r="JN229" i="10"/>
  <c r="FG181" i="10"/>
  <c r="JO181" i="10"/>
  <c r="FG136" i="10"/>
  <c r="JO136" i="10"/>
  <c r="II239" i="10"/>
  <c r="JO325" i="10"/>
  <c r="JN325" i="10"/>
  <c r="FG325" i="10"/>
  <c r="IM378" i="10"/>
  <c r="FG358" i="10"/>
  <c r="JO358" i="10"/>
  <c r="FG309" i="10"/>
  <c r="FG217" i="10"/>
  <c r="JO217" i="10"/>
  <c r="JP217" i="10"/>
  <c r="FG381" i="10"/>
  <c r="FG308" i="10"/>
  <c r="FG245" i="10"/>
  <c r="FG224" i="10"/>
  <c r="FG202" i="10"/>
  <c r="FG159" i="10"/>
  <c r="IM137" i="10"/>
  <c r="IM93" i="10"/>
  <c r="IM73" i="10"/>
  <c r="IY210" i="10"/>
  <c r="FG329" i="10"/>
  <c r="FG307" i="10"/>
  <c r="FG284" i="10"/>
  <c r="FG264" i="10"/>
  <c r="FG223" i="10"/>
  <c r="FG179" i="10"/>
  <c r="FG115" i="10"/>
  <c r="K115" i="10"/>
  <c r="IY361" i="10"/>
  <c r="FG368" i="10"/>
  <c r="FG263" i="10"/>
  <c r="FG200" i="10"/>
  <c r="II376" i="10"/>
  <c r="FG332" i="10"/>
  <c r="IM319" i="10"/>
  <c r="IM282" i="10"/>
  <c r="FG221" i="10"/>
  <c r="FG199" i="10"/>
  <c r="FG135" i="10"/>
  <c r="JO90" i="10"/>
  <c r="IM70" i="10"/>
  <c r="IY360" i="10"/>
  <c r="IY259" i="10"/>
  <c r="IY168" i="10"/>
  <c r="IM351" i="10"/>
  <c r="IM220" i="10"/>
  <c r="FG198" i="10"/>
  <c r="FG176" i="10"/>
  <c r="IM112" i="10"/>
  <c r="IM89" i="10"/>
  <c r="IY208" i="10"/>
  <c r="IM303" i="10"/>
  <c r="FG240" i="10"/>
  <c r="FG197" i="10"/>
  <c r="FG175" i="10"/>
  <c r="FG155" i="10"/>
  <c r="IM335" i="10"/>
  <c r="FG302" i="10"/>
  <c r="FG260" i="10"/>
  <c r="FG154" i="10"/>
  <c r="IY369" i="10"/>
  <c r="FG279" i="10"/>
  <c r="FG173" i="10"/>
  <c r="IY328" i="10"/>
  <c r="FG312" i="10"/>
  <c r="FG278" i="10"/>
  <c r="FG152" i="10"/>
  <c r="FG131" i="10"/>
  <c r="FG331" i="10"/>
  <c r="FG341" i="10"/>
  <c r="FG300" i="10"/>
  <c r="FG151" i="10"/>
  <c r="FG130" i="10"/>
  <c r="FG357" i="10"/>
  <c r="FG299" i="10"/>
  <c r="FG236" i="10"/>
  <c r="FG215" i="10"/>
  <c r="FG192" i="10"/>
  <c r="FG150" i="10"/>
  <c r="IY276" i="10"/>
  <c r="IY256" i="10"/>
  <c r="FG360" i="10"/>
  <c r="FG276" i="10"/>
  <c r="FG191" i="10"/>
  <c r="FG149" i="10"/>
  <c r="FG128" i="10"/>
  <c r="FG321" i="10"/>
  <c r="FG275" i="10"/>
  <c r="IM255" i="10"/>
  <c r="FG127" i="10"/>
  <c r="IM105" i="10"/>
  <c r="IM82" i="10"/>
  <c r="IY326" i="10"/>
  <c r="FG296" i="10"/>
  <c r="FG254" i="10"/>
  <c r="FG168" i="10"/>
  <c r="IY204" i="10"/>
  <c r="IY174" i="10"/>
  <c r="FG386" i="10"/>
  <c r="IM295" i="10"/>
  <c r="FG212" i="10"/>
  <c r="FG188" i="10"/>
  <c r="FG167" i="10"/>
  <c r="FG125" i="10"/>
  <c r="IY244" i="10"/>
  <c r="II378" i="10"/>
  <c r="II367" i="10"/>
  <c r="IM373" i="10"/>
  <c r="FG294" i="10"/>
  <c r="FG272" i="10"/>
  <c r="FG211" i="10"/>
  <c r="FG187" i="10"/>
  <c r="IM102" i="10"/>
  <c r="IM327" i="10"/>
  <c r="FG293" i="10"/>
  <c r="FG252" i="10"/>
  <c r="IM231" i="10"/>
  <c r="IM186" i="10"/>
  <c r="FG144" i="10"/>
  <c r="IM123" i="10"/>
  <c r="IY375" i="10"/>
  <c r="IY324" i="10"/>
  <c r="IM292" i="10"/>
  <c r="FG270" i="10"/>
  <c r="FG251" i="10"/>
  <c r="FG230" i="10"/>
  <c r="FG143" i="10"/>
  <c r="IM78" i="10"/>
  <c r="IY314" i="10"/>
  <c r="II364" i="10"/>
  <c r="IM314" i="10"/>
  <c r="FG269" i="10"/>
  <c r="IM250" i="10"/>
  <c r="FG164" i="10"/>
  <c r="IM99" i="10"/>
  <c r="IM77" i="10"/>
  <c r="IY354" i="10"/>
  <c r="II375" i="10"/>
  <c r="FG365" i="10"/>
  <c r="FG207" i="10"/>
  <c r="FG120" i="10"/>
  <c r="JO98" i="10"/>
  <c r="IY313" i="10"/>
  <c r="FG228" i="10"/>
  <c r="FG119" i="10"/>
  <c r="IY353" i="10"/>
  <c r="FG311" i="10"/>
  <c r="FG362" i="10"/>
  <c r="IM352" i="10"/>
  <c r="FG288" i="10"/>
  <c r="FG248" i="10"/>
  <c r="FG227" i="10"/>
  <c r="IM205" i="10"/>
  <c r="IM161" i="10"/>
  <c r="FG140" i="10"/>
  <c r="IY383" i="10"/>
  <c r="IY312" i="10"/>
  <c r="IY211" i="10"/>
  <c r="JP258" i="10"/>
  <c r="FG323" i="10"/>
  <c r="IM287" i="10"/>
  <c r="IM247" i="10"/>
  <c r="IM204" i="10"/>
  <c r="FG139" i="10"/>
  <c r="FG326" i="10"/>
  <c r="FG246" i="10"/>
  <c r="FG203" i="10"/>
  <c r="II57" i="10"/>
  <c r="II50" i="10"/>
  <c r="FG371" i="10"/>
  <c r="JO371" i="10"/>
  <c r="JP371" i="10"/>
  <c r="JO351" i="10"/>
  <c r="FG351" i="10"/>
  <c r="FG304" i="10"/>
  <c r="JO304" i="10"/>
  <c r="FG241" i="10"/>
  <c r="JO241" i="10"/>
  <c r="JO220" i="10"/>
  <c r="FG220" i="10"/>
  <c r="JO177" i="10"/>
  <c r="FG177" i="10"/>
  <c r="FG338" i="10"/>
  <c r="JO338" i="10"/>
  <c r="FG193" i="10"/>
  <c r="JO193" i="10"/>
  <c r="JO86" i="10"/>
  <c r="JO328" i="10"/>
  <c r="FG328" i="10"/>
  <c r="JO347" i="10"/>
  <c r="FG347" i="10"/>
  <c r="FG297" i="10"/>
  <c r="JO297" i="10"/>
  <c r="JO85" i="10"/>
  <c r="FG129" i="10"/>
  <c r="JO129" i="10"/>
  <c r="FG273" i="10"/>
  <c r="JO273" i="10"/>
  <c r="FG189" i="10"/>
  <c r="JO189" i="10"/>
  <c r="JO354" i="10"/>
  <c r="FG354" i="10"/>
  <c r="JO196" i="10"/>
  <c r="FG196" i="10"/>
  <c r="FG373" i="10"/>
  <c r="JO373" i="10"/>
  <c r="JN373" i="10"/>
  <c r="FG148" i="10"/>
  <c r="JO148" i="10"/>
  <c r="JO105" i="10"/>
  <c r="FG382" i="10"/>
  <c r="JO382" i="10"/>
  <c r="JO292" i="10"/>
  <c r="FG292" i="10"/>
  <c r="FG289" i="10"/>
  <c r="JO289" i="10"/>
  <c r="JO100" i="10"/>
  <c r="FG121" i="10"/>
  <c r="JO121" i="10"/>
  <c r="JO225" i="10"/>
  <c r="FG225" i="10"/>
  <c r="JO97" i="10"/>
  <c r="FG285" i="10"/>
  <c r="JO285" i="10"/>
  <c r="JO112" i="10"/>
  <c r="FG208" i="10"/>
  <c r="JO208" i="10"/>
  <c r="FG374" i="10"/>
  <c r="JO374" i="10"/>
  <c r="FG342" i="10"/>
  <c r="JO342" i="10"/>
  <c r="JO244" i="10"/>
  <c r="FG244" i="10"/>
  <c r="FG124" i="10"/>
  <c r="JO124" i="10"/>
  <c r="FG345" i="10"/>
  <c r="JO345" i="10"/>
  <c r="JO201" i="10"/>
  <c r="FG201" i="10"/>
  <c r="JO93" i="10"/>
  <c r="JO73" i="10"/>
  <c r="JP386" i="10"/>
  <c r="JP288" i="10"/>
  <c r="JP279" i="10"/>
  <c r="IM382" i="10"/>
  <c r="IM304" i="10"/>
  <c r="IM153" i="10"/>
  <c r="IM142" i="10"/>
  <c r="IM121" i="10"/>
  <c r="IM110" i="10"/>
  <c r="IM94" i="10"/>
  <c r="IM367" i="10"/>
  <c r="IM346" i="10"/>
  <c r="IM283" i="10"/>
  <c r="IM273" i="10"/>
  <c r="IM242" i="10"/>
  <c r="IM132" i="10"/>
  <c r="JN243" i="10"/>
  <c r="JP352" i="10"/>
  <c r="JP314" i="10"/>
  <c r="JP166" i="10"/>
  <c r="JP102" i="10"/>
  <c r="IM377" i="10"/>
  <c r="IM195" i="10"/>
  <c r="IM185" i="10"/>
  <c r="IM180" i="10"/>
  <c r="IM148" i="10"/>
  <c r="IM100" i="10"/>
  <c r="IM258" i="10"/>
  <c r="IM190" i="10"/>
  <c r="IM170" i="10"/>
  <c r="IM138" i="10"/>
  <c r="IM106" i="10"/>
  <c r="IM310" i="10"/>
  <c r="IM289" i="10"/>
  <c r="IM206" i="10"/>
  <c r="IM111" i="10"/>
  <c r="IM95" i="10"/>
  <c r="IM84" i="10"/>
  <c r="JN293" i="10"/>
  <c r="JN172" i="10"/>
  <c r="JN296" i="10"/>
  <c r="JP366" i="10"/>
  <c r="JP357" i="10"/>
  <c r="IM331" i="10"/>
  <c r="IM305" i="10"/>
  <c r="IM274" i="10"/>
  <c r="IM243" i="10"/>
  <c r="IM201" i="10"/>
  <c r="IM122" i="10"/>
  <c r="IM79" i="10"/>
  <c r="IM222" i="10"/>
  <c r="JN267" i="10"/>
  <c r="JN380" i="10"/>
  <c r="JO383" i="10"/>
  <c r="IM238" i="10"/>
  <c r="IM196" i="10"/>
  <c r="IM101" i="10"/>
  <c r="IM363" i="10"/>
  <c r="IM347" i="10"/>
  <c r="IM342" i="10"/>
  <c r="IM290" i="10"/>
  <c r="IM259" i="10"/>
  <c r="IM233" i="10"/>
  <c r="IM171" i="10"/>
  <c r="IM118" i="10"/>
  <c r="JN299" i="10"/>
  <c r="IM306" i="10"/>
  <c r="IM239" i="10"/>
  <c r="IM166" i="10"/>
  <c r="IM156" i="10"/>
  <c r="IM85" i="10"/>
  <c r="JN190" i="10"/>
  <c r="JN197" i="10"/>
  <c r="JN303" i="10"/>
  <c r="JN377" i="10"/>
  <c r="JN365" i="10"/>
  <c r="IM285" i="10"/>
  <c r="IM244" i="10"/>
  <c r="IM218" i="10"/>
  <c r="IM134" i="10"/>
  <c r="IM124" i="10"/>
  <c r="JN286" i="10"/>
  <c r="JN284" i="10"/>
  <c r="JN300" i="10"/>
  <c r="IM379" i="10"/>
  <c r="IM374" i="10"/>
  <c r="IM364" i="10"/>
  <c r="IM353" i="10"/>
  <c r="IM234" i="10"/>
  <c r="IM182" i="10"/>
  <c r="IM129" i="10"/>
  <c r="IM86" i="10"/>
  <c r="JN283" i="10"/>
  <c r="JN233" i="10"/>
  <c r="IM322" i="10"/>
  <c r="IM172" i="10"/>
  <c r="IM113" i="10"/>
  <c r="IM75" i="10"/>
  <c r="JN140" i="10"/>
  <c r="JN340" i="10"/>
  <c r="IM338" i="10"/>
  <c r="IM291" i="10"/>
  <c r="IM208" i="10"/>
  <c r="IM177" i="10"/>
  <c r="IM97" i="10"/>
  <c r="IM286" i="10"/>
  <c r="IM271" i="10"/>
  <c r="IM162" i="10"/>
  <c r="JN164" i="10"/>
  <c r="IM375" i="10"/>
  <c r="IM354" i="10"/>
  <c r="IM281" i="10"/>
  <c r="IM266" i="10"/>
  <c r="IM146" i="10"/>
  <c r="IM114" i="10"/>
  <c r="IM108" i="10"/>
  <c r="IM87" i="10"/>
  <c r="JP216" i="10"/>
  <c r="IM370" i="10"/>
  <c r="IM328" i="10"/>
  <c r="IM261" i="10"/>
  <c r="IM214" i="10"/>
  <c r="IM103" i="10"/>
  <c r="IM297" i="10"/>
  <c r="IM235" i="10"/>
  <c r="IM219" i="10"/>
  <c r="IM193" i="10"/>
  <c r="IM339" i="10"/>
  <c r="IM209" i="10"/>
  <c r="JN192" i="10"/>
  <c r="IM376" i="10"/>
  <c r="IM298" i="10"/>
  <c r="IM194" i="10"/>
  <c r="IM147" i="10"/>
  <c r="IM355" i="10"/>
  <c r="IM225" i="10"/>
  <c r="IM371" i="10"/>
  <c r="IM267" i="10"/>
  <c r="IM262" i="10"/>
  <c r="IM241" i="10"/>
  <c r="IM158" i="10"/>
  <c r="IM126" i="10"/>
  <c r="IM226" i="10"/>
  <c r="IM210" i="10"/>
  <c r="IM189" i="10"/>
  <c r="JN195" i="10"/>
  <c r="JN346" i="10"/>
  <c r="IM345" i="10"/>
  <c r="IM340" i="10"/>
  <c r="IM257" i="10"/>
  <c r="IM174" i="10"/>
  <c r="IY389" i="10"/>
  <c r="IY349" i="10"/>
  <c r="IY269" i="10"/>
  <c r="IY245" i="10"/>
  <c r="IY229" i="10"/>
  <c r="IY257" i="10"/>
  <c r="IY249" i="10"/>
  <c r="IY241" i="10"/>
  <c r="IY225" i="10"/>
  <c r="IY209" i="10"/>
  <c r="IY193" i="10"/>
  <c r="IY366" i="10"/>
  <c r="IY342" i="10"/>
  <c r="IY190" i="10"/>
  <c r="IY333" i="10"/>
  <c r="IY371" i="10"/>
  <c r="IY339" i="10"/>
  <c r="IY299" i="10"/>
  <c r="IY227" i="10"/>
  <c r="IY219" i="10"/>
  <c r="IY237" i="10"/>
  <c r="IY346" i="10"/>
  <c r="IY338" i="10"/>
  <c r="IY322" i="10"/>
  <c r="IY242" i="10"/>
  <c r="IY218" i="10"/>
  <c r="IY178" i="10"/>
  <c r="IY173" i="10"/>
  <c r="IY329" i="10"/>
  <c r="IY248" i="10"/>
  <c r="IY200" i="10"/>
  <c r="IY176" i="10"/>
  <c r="IY335" i="10"/>
  <c r="IY327" i="10"/>
  <c r="IY295" i="10"/>
  <c r="IY271" i="10"/>
  <c r="IY255" i="10"/>
  <c r="IY239" i="10"/>
  <c r="IY223" i="10"/>
  <c r="IY199" i="10"/>
  <c r="IY191" i="10"/>
  <c r="IQ30" i="10"/>
  <c r="IQ29" i="10"/>
  <c r="IQ28" i="10"/>
  <c r="IQ27" i="10"/>
  <c r="IQ26" i="10"/>
  <c r="IQ25" i="10"/>
  <c r="IQ24" i="10"/>
  <c r="IQ23" i="10"/>
  <c r="KK71" i="10"/>
  <c r="BH71" i="10"/>
  <c r="AN65" i="15"/>
  <c r="DZ71" i="10"/>
  <c r="EA71" i="10"/>
  <c r="EB71" i="10"/>
  <c r="KD30" i="10"/>
  <c r="BK30" i="10" s="1"/>
  <c r="AQ24" i="15" s="1"/>
  <c r="KH69" i="10"/>
  <c r="KK67" i="10"/>
  <c r="BH67" i="10"/>
  <c r="AN61" i="15"/>
  <c r="KH61" i="10"/>
  <c r="KA30" i="10"/>
  <c r="JZ69" i="10"/>
  <c r="KB63" i="10"/>
  <c r="BJ63" i="10"/>
  <c r="AP57" i="15"/>
  <c r="KG69" i="10"/>
  <c r="KJ67" i="10"/>
  <c r="KN62" i="10"/>
  <c r="KG61" i="10"/>
  <c r="KJ54" i="10"/>
  <c r="KM49" i="10"/>
  <c r="BI49" i="10" s="1"/>
  <c r="AO43" i="15" s="1"/>
  <c r="KD45" i="10"/>
  <c r="BK45" i="10" s="1"/>
  <c r="AQ39" i="15" s="1"/>
  <c r="JY30" i="10"/>
  <c r="KM62" i="10"/>
  <c r="BI62" i="10" s="1"/>
  <c r="AO56" i="15"/>
  <c r="KL49" i="10"/>
  <c r="JX30" i="10"/>
  <c r="KL62" i="10"/>
  <c r="KH54" i="10"/>
  <c r="KK49" i="10"/>
  <c r="BH49" i="10"/>
  <c r="AN43" i="15"/>
  <c r="JY45" i="10"/>
  <c r="KK62" i="10"/>
  <c r="BH62" i="10"/>
  <c r="AN56" i="15"/>
  <c r="KJ49" i="10"/>
  <c r="JX45" i="10"/>
  <c r="JZ57" i="10"/>
  <c r="KB57" i="10"/>
  <c r="BJ57" i="10"/>
  <c r="AP51" i="15"/>
  <c r="KJ62" i="10"/>
  <c r="KM57" i="10"/>
  <c r="BI57" i="10" s="1"/>
  <c r="AO51" i="15" s="1"/>
  <c r="KI49" i="10"/>
  <c r="KC57" i="10"/>
  <c r="BL57" i="10"/>
  <c r="AR51" i="15"/>
  <c r="KC45" i="10"/>
  <c r="BL45" i="10"/>
  <c r="AR39" i="15"/>
  <c r="KC30" i="10"/>
  <c r="BL30" i="10"/>
  <c r="AR24" i="15"/>
  <c r="KI62" i="10"/>
  <c r="KM65" i="10"/>
  <c r="BI65" i="10"/>
  <c r="AO59" i="15" s="1"/>
  <c r="KH62" i="10"/>
  <c r="KK52" i="10"/>
  <c r="BH52" i="10"/>
  <c r="AN46" i="15"/>
  <c r="KL65" i="10"/>
  <c r="KM38" i="10"/>
  <c r="BI38" i="10"/>
  <c r="AO32" i="15" s="1"/>
  <c r="JZ45" i="10"/>
  <c r="KC43" i="10"/>
  <c r="BL43" i="10"/>
  <c r="AR37" i="15"/>
  <c r="KK65" i="10"/>
  <c r="BH65" i="10"/>
  <c r="AN59" i="15"/>
  <c r="KB51" i="10"/>
  <c r="BJ51" i="10"/>
  <c r="AP45" i="15"/>
  <c r="KJ65" i="10"/>
  <c r="KI65" i="10"/>
  <c r="KN63" i="10"/>
  <c r="KK68" i="10"/>
  <c r="BH68" i="10"/>
  <c r="AN62" i="15"/>
  <c r="KI50" i="10"/>
  <c r="KH50" i="10"/>
  <c r="KC65" i="10"/>
  <c r="BL65" i="10"/>
  <c r="AR59" i="15"/>
  <c r="KK27" i="10"/>
  <c r="BH27" i="10"/>
  <c r="AN21" i="15"/>
  <c r="KL66" i="10"/>
  <c r="KM53" i="10"/>
  <c r="BI53" i="10"/>
  <c r="AO47" i="15" s="1"/>
  <c r="KK48" i="10"/>
  <c r="BH48" i="10"/>
  <c r="AN42" i="15"/>
  <c r="JZ63" i="10"/>
  <c r="KK66" i="10"/>
  <c r="BH66" i="10"/>
  <c r="AN60" i="15"/>
  <c r="KC51" i="10"/>
  <c r="BL51" i="10"/>
  <c r="AR45" i="15"/>
  <c r="KC37" i="10"/>
  <c r="BL37" i="10"/>
  <c r="AR31" i="15"/>
  <c r="KM69" i="10"/>
  <c r="BI69" i="10" s="1"/>
  <c r="AO63" i="15" s="1"/>
  <c r="KH66" i="10"/>
  <c r="KM61" i="10"/>
  <c r="BI61" i="10" s="1"/>
  <c r="AO55" i="15" s="1"/>
  <c r="KI53" i="10"/>
  <c r="KC62" i="10"/>
  <c r="BL62" i="10"/>
  <c r="AR56" i="15"/>
  <c r="KC50" i="10"/>
  <c r="BL50" i="10"/>
  <c r="AR44" i="15"/>
  <c r="KL69" i="10"/>
  <c r="KL61" i="10"/>
  <c r="KH53" i="10"/>
  <c r="KB30" i="10"/>
  <c r="BJ30" i="10"/>
  <c r="AP24" i="15"/>
  <c r="KC61" i="10"/>
  <c r="BL61" i="10"/>
  <c r="AR55" i="15"/>
  <c r="KC49" i="10"/>
  <c r="BL49" i="10"/>
  <c r="AR43" i="15"/>
  <c r="KJ69" i="10"/>
  <c r="KJ61" i="10"/>
  <c r="KC34" i="10"/>
  <c r="BL34" i="10"/>
  <c r="AR28" i="15"/>
  <c r="II59" i="10"/>
  <c r="II48" i="10"/>
  <c r="II46" i="10"/>
  <c r="KN71" i="10"/>
  <c r="KM71" i="10"/>
  <c r="BI71" i="10" s="1"/>
  <c r="AO65" i="15" s="1"/>
  <c r="KL71" i="10"/>
  <c r="KI71" i="10"/>
  <c r="KH71" i="10"/>
  <c r="IM71" i="10"/>
  <c r="BT61" i="10"/>
  <c r="LD61" i="10"/>
  <c r="DZ61" i="10"/>
  <c r="EA61" i="10"/>
  <c r="EB61" i="10"/>
  <c r="EE61" i="10"/>
  <c r="JO46" i="10"/>
  <c r="DZ64" i="10"/>
  <c r="EA64" i="10"/>
  <c r="EE64" i="10"/>
  <c r="IM53" i="10"/>
  <c r="KM67" i="10"/>
  <c r="BI67" i="10" s="1"/>
  <c r="AO61" i="15" s="1"/>
  <c r="KM63" i="10"/>
  <c r="BI63" i="10" s="1"/>
  <c r="AO57" i="15" s="1"/>
  <c r="JX61" i="10"/>
  <c r="KM59" i="10"/>
  <c r="BI59" i="10" s="1"/>
  <c r="AO53" i="15" s="1"/>
  <c r="KM55" i="10"/>
  <c r="BI55" i="10" s="1"/>
  <c r="AO49" i="15" s="1"/>
  <c r="KM51" i="10"/>
  <c r="BI51" i="10" s="1"/>
  <c r="AO45" i="15" s="1"/>
  <c r="JX49" i="10"/>
  <c r="KL67" i="10"/>
  <c r="KL63" i="10"/>
  <c r="KL59" i="10"/>
  <c r="KL55" i="10"/>
  <c r="KL51" i="10"/>
  <c r="JZ61" i="10"/>
  <c r="KI67" i="10"/>
  <c r="KI63" i="10"/>
  <c r="KI59" i="10"/>
  <c r="KI55" i="10"/>
  <c r="KI51" i="10"/>
  <c r="KN68" i="10"/>
  <c r="KN64" i="10"/>
  <c r="KN60" i="10"/>
  <c r="KN56" i="10"/>
  <c r="KN52" i="10"/>
  <c r="KN48" i="10"/>
  <c r="KN33" i="10"/>
  <c r="KM68" i="10"/>
  <c r="BI68" i="10"/>
  <c r="AO62" i="15" s="1"/>
  <c r="KM64" i="10"/>
  <c r="BI64" i="10" s="1"/>
  <c r="AO58" i="15"/>
  <c r="KM60" i="10"/>
  <c r="BI60" i="10"/>
  <c r="AO54" i="15"/>
  <c r="KM56" i="10"/>
  <c r="BI56" i="10" s="1"/>
  <c r="AO50" i="15" s="1"/>
  <c r="KM52" i="10"/>
  <c r="BI52" i="10" s="1"/>
  <c r="AO46" i="15" s="1"/>
  <c r="KM48" i="10"/>
  <c r="BI48" i="10"/>
  <c r="AO42" i="15" s="1"/>
  <c r="KB49" i="10"/>
  <c r="BJ49" i="10"/>
  <c r="AP43" i="15"/>
  <c r="KL68" i="10"/>
  <c r="KL64" i="10"/>
  <c r="KL60" i="10"/>
  <c r="KL56" i="10"/>
  <c r="KL52" i="10"/>
  <c r="KL48" i="10"/>
  <c r="KJ68" i="10"/>
  <c r="KJ64" i="10"/>
  <c r="KJ60" i="10"/>
  <c r="KJ56" i="10"/>
  <c r="KJ52" i="10"/>
  <c r="KJ48" i="10"/>
  <c r="KI68" i="10"/>
  <c r="KI64" i="10"/>
  <c r="KI60" i="10"/>
  <c r="KI56" i="10"/>
  <c r="KI52" i="10"/>
  <c r="KI48" i="10"/>
  <c r="KN46" i="10"/>
  <c r="KH68" i="10"/>
  <c r="KH64" i="10"/>
  <c r="KH60" i="10"/>
  <c r="KN57" i="10"/>
  <c r="KH56" i="10"/>
  <c r="KN53" i="10"/>
  <c r="KH52" i="10"/>
  <c r="KN49" i="10"/>
  <c r="KH48" i="10"/>
  <c r="KM46" i="10"/>
  <c r="BI46" i="10" s="1"/>
  <c r="AO40" i="15" s="1"/>
  <c r="KN38" i="10"/>
  <c r="KB43" i="10"/>
  <c r="BJ43" i="10"/>
  <c r="AP37" i="15"/>
  <c r="KE43" i="10"/>
  <c r="BM43" i="10"/>
  <c r="AS37" i="15"/>
  <c r="KA43" i="10"/>
  <c r="KB61" i="10"/>
  <c r="BJ61" i="10"/>
  <c r="AP55" i="15"/>
  <c r="JY43" i="10"/>
  <c r="JX43" i="10"/>
  <c r="JO62" i="10"/>
  <c r="IM52" i="10"/>
  <c r="JO49" i="10"/>
  <c r="JO69" i="10"/>
  <c r="II52" i="10"/>
  <c r="II53" i="10"/>
  <c r="II63" i="10"/>
  <c r="KC36" i="10"/>
  <c r="BL36" i="10"/>
  <c r="AR30" i="15"/>
  <c r="KL46" i="10"/>
  <c r="KK46" i="10"/>
  <c r="BH46" i="10"/>
  <c r="AN40" i="15"/>
  <c r="KJ46" i="10"/>
  <c r="KI46" i="10"/>
  <c r="KI44" i="10"/>
  <c r="KH39" i="10"/>
  <c r="KM33" i="10"/>
  <c r="BI33" i="10"/>
  <c r="AO27" i="15" s="1"/>
  <c r="KH46" i="10"/>
  <c r="KH44" i="10"/>
  <c r="KC44" i="10"/>
  <c r="BL44" i="10"/>
  <c r="AR38" i="15"/>
  <c r="JO52" i="10"/>
  <c r="JO50" i="10"/>
  <c r="JO57" i="10"/>
  <c r="IM50" i="10"/>
  <c r="IM57" i="10"/>
  <c r="IM46" i="10"/>
  <c r="IM63" i="10"/>
  <c r="IM59" i="10"/>
  <c r="IM48" i="10"/>
  <c r="KN47" i="10"/>
  <c r="KM47" i="10"/>
  <c r="BI47" i="10"/>
  <c r="AO41" i="15" s="1"/>
  <c r="KL47" i="10"/>
  <c r="KK47" i="10"/>
  <c r="BH47" i="10"/>
  <c r="AN41" i="15"/>
  <c r="KJ47" i="10"/>
  <c r="KI47" i="10"/>
  <c r="IM47" i="10"/>
  <c r="KN44" i="10"/>
  <c r="KK44" i="10"/>
  <c r="BH44" i="10"/>
  <c r="AN38" i="15"/>
  <c r="JZ39" i="10"/>
  <c r="KG37" i="10"/>
  <c r="KE39" i="10"/>
  <c r="BM39" i="10"/>
  <c r="AS33" i="15"/>
  <c r="KD39" i="10"/>
  <c r="BK39" i="10" s="1"/>
  <c r="AQ33" i="15" s="1"/>
  <c r="JZ36" i="10"/>
  <c r="KA39" i="10"/>
  <c r="JY39" i="10"/>
  <c r="JX39" i="10"/>
  <c r="KE36" i="10"/>
  <c r="BM36" i="10"/>
  <c r="AS30" i="15"/>
  <c r="KB36" i="10"/>
  <c r="BJ36" i="10"/>
  <c r="AP30" i="15"/>
  <c r="JY36" i="10"/>
  <c r="KL38" i="10"/>
  <c r="KJ40" i="10"/>
  <c r="KG38" i="10"/>
  <c r="KE29" i="10"/>
  <c r="BM29" i="10"/>
  <c r="AS23" i="15"/>
  <c r="KD29" i="10"/>
  <c r="BK29" i="10" s="1"/>
  <c r="AQ23" i="15" s="1"/>
  <c r="KB29" i="10"/>
  <c r="BJ29" i="10"/>
  <c r="AP23" i="15"/>
  <c r="KA29" i="10"/>
  <c r="JZ29" i="10"/>
  <c r="JY29" i="10"/>
  <c r="KM32" i="10"/>
  <c r="BI32" i="10" s="1"/>
  <c r="AO26" i="15" s="1"/>
  <c r="KN27" i="10"/>
  <c r="KL27" i="10"/>
  <c r="KC26" i="10"/>
  <c r="BL26" i="10"/>
  <c r="AR20" i="15"/>
  <c r="KI27" i="10"/>
  <c r="KC25" i="10"/>
  <c r="BL25" i="10"/>
  <c r="AR19" i="15"/>
  <c r="JY31" i="10"/>
  <c r="JX31" i="10"/>
  <c r="JZ31" i="10"/>
  <c r="JZ28" i="10"/>
  <c r="KB28" i="10"/>
  <c r="BJ28" i="10"/>
  <c r="AP22" i="15"/>
  <c r="KI28" i="10"/>
  <c r="KG28" i="10"/>
  <c r="KE28" i="10"/>
  <c r="BM28" i="10"/>
  <c r="AS22" i="15"/>
  <c r="KD28" i="10"/>
  <c r="BK28" i="10" s="1"/>
  <c r="AQ22" i="15" s="1"/>
  <c r="KA28" i="10"/>
  <c r="JY28" i="10"/>
  <c r="JX28" i="10"/>
  <c r="KG27" i="10"/>
  <c r="KJ27" i="10"/>
  <c r="KN26" i="10"/>
  <c r="KJ26" i="10"/>
  <c r="JN298" i="10"/>
  <c r="JP391" i="10"/>
  <c r="JO53" i="10"/>
  <c r="JO71" i="10"/>
  <c r="JN370" i="10"/>
  <c r="JO106" i="10"/>
  <c r="JO87" i="10"/>
  <c r="JP339" i="10"/>
  <c r="JP301" i="10"/>
  <c r="JO103" i="10"/>
  <c r="JO48" i="10"/>
  <c r="JO101" i="10"/>
  <c r="JO47" i="10"/>
  <c r="JO82" i="10"/>
  <c r="JO63" i="10"/>
  <c r="JN275" i="10"/>
  <c r="JO79" i="10"/>
  <c r="JO77" i="10"/>
  <c r="JO95" i="10"/>
  <c r="JO59" i="10"/>
  <c r="JN323" i="10"/>
  <c r="JO111" i="10"/>
  <c r="W32" i="2"/>
  <c r="W33" i="2"/>
  <c r="P32" i="2"/>
  <c r="KG44" i="10"/>
  <c r="KK38" i="10"/>
  <c r="BH38" i="10"/>
  <c r="AN32" i="15"/>
  <c r="KN34" i="10"/>
  <c r="KH26" i="10"/>
  <c r="KJ38" i="10"/>
  <c r="KK34" i="10"/>
  <c r="BH34" i="10"/>
  <c r="AN28" i="15"/>
  <c r="KG26" i="10"/>
  <c r="KI38" i="10"/>
  <c r="KH34" i="10"/>
  <c r="KI24" i="10"/>
  <c r="KN45" i="10"/>
  <c r="KM36" i="10"/>
  <c r="BI36" i="10" s="1"/>
  <c r="AO30" i="15" s="1"/>
  <c r="KM45" i="10"/>
  <c r="BI45" i="10" s="1"/>
  <c r="AO39" i="15" s="1"/>
  <c r="KK36" i="10"/>
  <c r="BH36" i="10"/>
  <c r="AN30" i="15"/>
  <c r="KK32" i="10"/>
  <c r="BH32" i="10"/>
  <c r="AN26" i="15"/>
  <c r="KM27" i="10"/>
  <c r="BI27" i="10" s="1"/>
  <c r="AO21" i="15"/>
  <c r="KB37" i="10"/>
  <c r="BJ37" i="10"/>
  <c r="AP31" i="15"/>
  <c r="KL45" i="10"/>
  <c r="KH36" i="10"/>
  <c r="KJ45" i="10"/>
  <c r="KG45" i="10"/>
  <c r="KH43" i="10"/>
  <c r="KL41" i="10"/>
  <c r="KI41" i="10"/>
  <c r="KL39" i="10"/>
  <c r="KJ39" i="10"/>
  <c r="KG39" i="10"/>
  <c r="KM37" i="10"/>
  <c r="BI37" i="10" s="1"/>
  <c r="AO31" i="15" s="1"/>
  <c r="KL37" i="10"/>
  <c r="KK33" i="10"/>
  <c r="BH33" i="10"/>
  <c r="AN27" i="15"/>
  <c r="KJ25" i="10"/>
  <c r="KB25" i="10"/>
  <c r="BJ25" i="10"/>
  <c r="AP19" i="15"/>
  <c r="KJ37" i="10"/>
  <c r="KJ33" i="10"/>
  <c r="KK28" i="10"/>
  <c r="BH28" i="10"/>
  <c r="AN22" i="15"/>
  <c r="KI25" i="10"/>
  <c r="JZ37" i="10"/>
  <c r="KI37" i="10"/>
  <c r="KH33" i="10"/>
  <c r="KG33" i="10"/>
  <c r="KC39" i="10"/>
  <c r="BL39" i="10"/>
  <c r="AR33" i="15"/>
  <c r="KC27" i="10"/>
  <c r="BL27" i="10"/>
  <c r="AR21" i="15"/>
  <c r="KN42" i="10"/>
  <c r="KN30" i="10"/>
  <c r="KL44" i="10"/>
  <c r="KK42" i="10"/>
  <c r="BH42" i="10"/>
  <c r="AN36" i="15"/>
  <c r="KN40" i="10"/>
  <c r="KE37" i="10"/>
  <c r="BM37" i="10"/>
  <c r="AS31" i="15"/>
  <c r="KL30" i="10"/>
  <c r="KG42" i="10"/>
  <c r="KM40" i="10"/>
  <c r="BI40" i="10"/>
  <c r="AO34" i="15" s="1"/>
  <c r="KI30" i="10"/>
  <c r="JO40" i="10"/>
  <c r="DC364" i="10"/>
  <c r="DD364" i="10"/>
  <c r="DE364" i="10"/>
  <c r="LB364" i="10"/>
  <c r="LA364" i="10"/>
  <c r="LC364" i="10"/>
  <c r="BT364" i="10"/>
  <c r="LD364" i="10"/>
  <c r="LE364" i="10"/>
  <c r="LG364" i="10"/>
  <c r="JO44" i="10"/>
  <c r="JO32" i="10"/>
  <c r="KD44" i="10"/>
  <c r="BK44" i="10" s="1"/>
  <c r="AQ38" i="15" s="1"/>
  <c r="JX32" i="10"/>
  <c r="KI45" i="10"/>
  <c r="KA44" i="10"/>
  <c r="KK41" i="10"/>
  <c r="BH41" i="10"/>
  <c r="AN35" i="15"/>
  <c r="KM34" i="10"/>
  <c r="BI34" i="10"/>
  <c r="AO28" i="15" s="1"/>
  <c r="KK30" i="10"/>
  <c r="BH30" i="10"/>
  <c r="AN24" i="15"/>
  <c r="KH45" i="10"/>
  <c r="JY44" i="10"/>
  <c r="KJ41" i="10"/>
  <c r="KH37" i="10"/>
  <c r="KL34" i="10"/>
  <c r="KJ30" i="10"/>
  <c r="JZ44" i="10"/>
  <c r="KM42" i="10"/>
  <c r="BI42" i="10" s="1"/>
  <c r="AO36" i="15" s="1"/>
  <c r="KH41" i="10"/>
  <c r="KJ34" i="10"/>
  <c r="KN31" i="10"/>
  <c r="KH30" i="10"/>
  <c r="KL42" i="10"/>
  <c r="KG41" i="10"/>
  <c r="KI34" i="10"/>
  <c r="KM31" i="10"/>
  <c r="BI31" i="10" s="1"/>
  <c r="AO25" i="15" s="1"/>
  <c r="KG30" i="10"/>
  <c r="KN35" i="10"/>
  <c r="KL31" i="10"/>
  <c r="KB32" i="10"/>
  <c r="BJ32" i="10"/>
  <c r="AP26" i="15"/>
  <c r="KJ42" i="10"/>
  <c r="KM35" i="10"/>
  <c r="BI35" i="10" s="1"/>
  <c r="AO29" i="15" s="1"/>
  <c r="KK31" i="10"/>
  <c r="BH31" i="10"/>
  <c r="AN25" i="15"/>
  <c r="JZ32" i="10"/>
  <c r="KN43" i="10"/>
  <c r="KI42" i="10"/>
  <c r="KL35" i="10"/>
  <c r="KJ31" i="10"/>
  <c r="KM43" i="10"/>
  <c r="BI43" i="10" s="1"/>
  <c r="AO37" i="15" s="1"/>
  <c r="KK35" i="10"/>
  <c r="BH35" i="10"/>
  <c r="AN29" i="15"/>
  <c r="KI31" i="10"/>
  <c r="KN28" i="10"/>
  <c r="KN24" i="10"/>
  <c r="KL43" i="10"/>
  <c r="KN39" i="10"/>
  <c r="KJ35" i="10"/>
  <c r="KH31" i="10"/>
  <c r="KM28" i="10"/>
  <c r="BI28" i="10" s="1"/>
  <c r="AO22" i="15" s="1"/>
  <c r="KM24" i="10"/>
  <c r="BI24" i="10" s="1"/>
  <c r="AO18" i="15" s="1"/>
  <c r="KK43" i="10"/>
  <c r="BH43" i="10"/>
  <c r="AN37" i="15"/>
  <c r="KM39" i="10"/>
  <c r="BI39" i="10" s="1"/>
  <c r="AO33" i="15" s="1"/>
  <c r="KI35" i="10"/>
  <c r="KN32" i="10"/>
  <c r="KL28" i="10"/>
  <c r="KL24" i="10"/>
  <c r="KJ43" i="10"/>
  <c r="KH35" i="10"/>
  <c r="KK24" i="10"/>
  <c r="BH24" i="10"/>
  <c r="AN18" i="15"/>
  <c r="KI43" i="10"/>
  <c r="KK39" i="10"/>
  <c r="BH39" i="10"/>
  <c r="AN33" i="15"/>
  <c r="KN36" i="10"/>
  <c r="KL32" i="10"/>
  <c r="KJ28" i="10"/>
  <c r="KJ24" i="10"/>
  <c r="KL36" i="10"/>
  <c r="KJ32" i="10"/>
  <c r="KH24" i="10"/>
  <c r="KI32" i="10"/>
  <c r="KN29" i="10"/>
  <c r="KJ36" i="10"/>
  <c r="KH32" i="10"/>
  <c r="KM29" i="10"/>
  <c r="BI29" i="10" s="1"/>
  <c r="AO23" i="15" s="1"/>
  <c r="KL40" i="10"/>
  <c r="KI36" i="10"/>
  <c r="KL29" i="10"/>
  <c r="KB44" i="10"/>
  <c r="BJ44" i="10"/>
  <c r="AP38" i="15"/>
  <c r="KK40" i="10"/>
  <c r="BH40" i="10"/>
  <c r="AN34" i="15"/>
  <c r="KK29" i="10"/>
  <c r="BH29" i="10"/>
  <c r="AN23" i="15"/>
  <c r="KN37" i="10"/>
  <c r="KL33" i="10"/>
  <c r="KE32" i="10"/>
  <c r="BM32" i="10"/>
  <c r="AS26" i="15"/>
  <c r="KJ29" i="10"/>
  <c r="KI40" i="10"/>
  <c r="KD32" i="10"/>
  <c r="BK32" i="10" s="1"/>
  <c r="AQ26" i="15"/>
  <c r="KI29" i="10"/>
  <c r="KN41" i="10"/>
  <c r="KH40" i="10"/>
  <c r="KA32" i="10"/>
  <c r="KH29" i="10"/>
  <c r="JO37" i="10"/>
  <c r="JO36" i="10"/>
  <c r="JO31" i="10"/>
  <c r="JO28" i="10"/>
  <c r="JO45" i="10"/>
  <c r="E195" i="12"/>
  <c r="BT106" i="10"/>
  <c r="LD106" i="10"/>
  <c r="DZ106" i="10"/>
  <c r="EA106" i="10"/>
  <c r="EB106" i="10"/>
  <c r="DZ75" i="10"/>
  <c r="EA75" i="10"/>
  <c r="EB75" i="10"/>
  <c r="DZ104" i="10"/>
  <c r="EA104" i="10"/>
  <c r="EB104" i="10"/>
  <c r="DZ144" i="10"/>
  <c r="EA144" i="10"/>
  <c r="EB144" i="10"/>
  <c r="DZ115" i="10"/>
  <c r="EA115" i="10"/>
  <c r="EB115" i="10"/>
  <c r="DX115" i="10"/>
  <c r="DY115" i="10"/>
  <c r="ED115" i="10"/>
  <c r="LA145" i="10"/>
  <c r="DZ145" i="10"/>
  <c r="EA145" i="10"/>
  <c r="EB145" i="10"/>
  <c r="DZ81" i="10"/>
  <c r="EA81" i="10"/>
  <c r="EB81" i="10"/>
  <c r="DX81" i="10"/>
  <c r="DY81" i="10"/>
  <c r="ED81" i="10"/>
  <c r="DZ143" i="10"/>
  <c r="EA143" i="10"/>
  <c r="EB143" i="10"/>
  <c r="DX143" i="10"/>
  <c r="DY143" i="10"/>
  <c r="ED143" i="10"/>
  <c r="EM143" i="10"/>
  <c r="DZ132" i="10"/>
  <c r="EA132" i="10"/>
  <c r="EB132" i="10"/>
  <c r="DX132" i="10"/>
  <c r="DY132" i="10"/>
  <c r="ED132" i="10"/>
  <c r="EM132" i="10"/>
  <c r="BT74" i="10"/>
  <c r="LD74" i="10"/>
  <c r="DZ74" i="10"/>
  <c r="EA74" i="10"/>
  <c r="EB74" i="10"/>
  <c r="BT109" i="10"/>
  <c r="LD109" i="10"/>
  <c r="DZ109" i="10"/>
  <c r="EA109" i="10"/>
  <c r="EB109" i="10"/>
  <c r="DZ76" i="10"/>
  <c r="EA76" i="10"/>
  <c r="EB76" i="10"/>
  <c r="DZ151" i="10"/>
  <c r="EA151" i="10"/>
  <c r="EB151" i="10"/>
  <c r="EB64" i="10"/>
  <c r="DX64" i="10"/>
  <c r="DY64" i="10"/>
  <c r="ED64" i="10"/>
  <c r="EM64" i="10"/>
  <c r="BT136" i="10"/>
  <c r="LD136" i="10"/>
  <c r="DZ136" i="10"/>
  <c r="EA136" i="10"/>
  <c r="EB136" i="10"/>
  <c r="BT87" i="10"/>
  <c r="LD87" i="10"/>
  <c r="DZ87" i="10"/>
  <c r="EA87" i="10"/>
  <c r="EB87" i="10"/>
  <c r="DZ108" i="10"/>
  <c r="EA108" i="10"/>
  <c r="EB108" i="10"/>
  <c r="DZ70" i="10"/>
  <c r="EA70" i="10"/>
  <c r="EB70" i="10"/>
  <c r="DZ95" i="10"/>
  <c r="EA95" i="10"/>
  <c r="EB95" i="10"/>
  <c r="DZ86" i="10"/>
  <c r="EA86" i="10"/>
  <c r="EB86" i="10"/>
  <c r="DZ60" i="10"/>
  <c r="EE48" i="10"/>
  <c r="DZ50" i="10"/>
  <c r="Q160" i="10"/>
  <c r="BN160" i="10" s="1"/>
  <c r="JM160" i="10" s="1"/>
  <c r="DZ160" i="10"/>
  <c r="EA160" i="10"/>
  <c r="EB160" i="10"/>
  <c r="DZ82" i="10"/>
  <c r="EA82" i="10"/>
  <c r="EB82" i="10"/>
  <c r="DZ80" i="10"/>
  <c r="EA80" i="10"/>
  <c r="EB80" i="10"/>
  <c r="EE93" i="10"/>
  <c r="DZ93" i="10"/>
  <c r="EA93" i="10"/>
  <c r="EB93" i="10"/>
  <c r="LA133" i="10"/>
  <c r="DZ133" i="10"/>
  <c r="EA133" i="10"/>
  <c r="EB133" i="10"/>
  <c r="DZ161" i="10"/>
  <c r="EA161" i="10"/>
  <c r="EB161" i="10"/>
  <c r="DX161" i="10"/>
  <c r="DY161" i="10"/>
  <c r="ED161" i="10"/>
  <c r="DZ54" i="10"/>
  <c r="EA54" i="10"/>
  <c r="EB54" i="10"/>
  <c r="DZ139" i="10"/>
  <c r="EA139" i="10"/>
  <c r="EB139" i="10"/>
  <c r="DX139" i="10"/>
  <c r="DY139" i="10"/>
  <c r="ED139" i="10"/>
  <c r="EM139" i="10"/>
  <c r="Q147" i="10"/>
  <c r="BN147" i="10" s="1"/>
  <c r="A141" i="15" s="1"/>
  <c r="X141" i="15" s="1"/>
  <c r="DZ147" i="10"/>
  <c r="EA147" i="10"/>
  <c r="EB147" i="10"/>
  <c r="LA97" i="10"/>
  <c r="DZ97" i="10"/>
  <c r="EA97" i="10"/>
  <c r="EB97" i="10"/>
  <c r="DZ88" i="10"/>
  <c r="EA88" i="10"/>
  <c r="EB88" i="10"/>
  <c r="DX88" i="10"/>
  <c r="DY88" i="10"/>
  <c r="ED88" i="10"/>
  <c r="EM88" i="10"/>
  <c r="DZ140" i="10"/>
  <c r="EA140" i="10"/>
  <c r="EB140" i="10"/>
  <c r="LA153" i="10"/>
  <c r="DZ153" i="10"/>
  <c r="EA153" i="10"/>
  <c r="EB153" i="10"/>
  <c r="DZ152" i="10"/>
  <c r="EA152" i="10"/>
  <c r="EB152" i="10"/>
  <c r="DZ98" i="10"/>
  <c r="EA98" i="10"/>
  <c r="EB98" i="10"/>
  <c r="BT77" i="10"/>
  <c r="LD77" i="10"/>
  <c r="DZ77" i="10"/>
  <c r="EA77" i="10"/>
  <c r="EB77" i="10"/>
  <c r="BT101" i="10"/>
  <c r="LD101" i="10"/>
  <c r="DZ101" i="10"/>
  <c r="EA101" i="10"/>
  <c r="EB101" i="10"/>
  <c r="EE111" i="10"/>
  <c r="DZ111" i="10"/>
  <c r="EA111" i="10"/>
  <c r="EB111" i="10"/>
  <c r="BT112" i="10"/>
  <c r="LD112" i="10"/>
  <c r="DZ112" i="10"/>
  <c r="EA112" i="10"/>
  <c r="EB112" i="10"/>
  <c r="Q154" i="10"/>
  <c r="BN154" i="10" s="1"/>
  <c r="DZ154" i="10"/>
  <c r="EA154" i="10"/>
  <c r="EB154" i="10"/>
  <c r="BT129" i="10"/>
  <c r="LD129" i="10"/>
  <c r="DZ129" i="10"/>
  <c r="EA129" i="10"/>
  <c r="EB129" i="10"/>
  <c r="BT125" i="10"/>
  <c r="LD125" i="10"/>
  <c r="DZ125" i="10"/>
  <c r="EA125" i="10"/>
  <c r="EB125" i="10"/>
  <c r="DZ83" i="10"/>
  <c r="EA83" i="10"/>
  <c r="EB83" i="10"/>
  <c r="DZ99" i="10"/>
  <c r="EA99" i="10"/>
  <c r="EB99" i="10"/>
  <c r="Q155" i="10"/>
  <c r="BN155" i="10" s="1"/>
  <c r="DZ155" i="10"/>
  <c r="EA155" i="10"/>
  <c r="EB155" i="10"/>
  <c r="DZ100" i="10"/>
  <c r="EA100" i="10"/>
  <c r="EB100" i="10"/>
  <c r="DZ117" i="10"/>
  <c r="EA117" i="10"/>
  <c r="EB117" i="10"/>
  <c r="DZ148" i="10"/>
  <c r="EA148" i="10"/>
  <c r="EB148" i="10"/>
  <c r="DZ122" i="10"/>
  <c r="EA122" i="10"/>
  <c r="EB122" i="10"/>
  <c r="BT114" i="10"/>
  <c r="LD114" i="10"/>
  <c r="DZ114" i="10"/>
  <c r="EA114" i="10"/>
  <c r="EB114" i="10"/>
  <c r="DZ121" i="10"/>
  <c r="EA121" i="10"/>
  <c r="EB121" i="10"/>
  <c r="DZ78" i="10"/>
  <c r="EA78" i="10"/>
  <c r="EB78" i="10"/>
  <c r="EE29" i="10"/>
  <c r="DZ105" i="10"/>
  <c r="EA105" i="10"/>
  <c r="EB105" i="10"/>
  <c r="DX105" i="10"/>
  <c r="DY105" i="10"/>
  <c r="ED105" i="10"/>
  <c r="DZ91" i="10"/>
  <c r="EA91" i="10"/>
  <c r="EB91" i="10"/>
  <c r="DZ119" i="10"/>
  <c r="EA119" i="10"/>
  <c r="EB119" i="10"/>
  <c r="DZ92" i="10"/>
  <c r="EA92" i="10"/>
  <c r="EB92" i="10"/>
  <c r="DZ118" i="10"/>
  <c r="EA118" i="10"/>
  <c r="EB118" i="10"/>
  <c r="DX118" i="10"/>
  <c r="DY118" i="10"/>
  <c r="ED118" i="10"/>
  <c r="EM118" i="10"/>
  <c r="Q156" i="10"/>
  <c r="BN156" i="10" s="1"/>
  <c r="JM156" i="10" s="1"/>
  <c r="DZ156" i="10"/>
  <c r="EA156" i="10"/>
  <c r="EB156" i="10"/>
  <c r="DZ135" i="10"/>
  <c r="EA135" i="10"/>
  <c r="EB135" i="10"/>
  <c r="DZ66" i="10"/>
  <c r="EA66" i="10"/>
  <c r="EB66" i="10"/>
  <c r="DX66" i="10"/>
  <c r="DY66" i="10"/>
  <c r="ED66" i="10"/>
  <c r="EM66" i="10"/>
  <c r="DD88" i="10"/>
  <c r="DD72" i="10"/>
  <c r="DD37" i="10"/>
  <c r="DE37" i="10"/>
  <c r="IY29" i="10"/>
  <c r="IY65" i="10"/>
  <c r="DD97" i="10"/>
  <c r="DD165" i="10"/>
  <c r="DD149" i="10"/>
  <c r="IY46" i="10"/>
  <c r="DD66" i="10"/>
  <c r="IY50" i="10"/>
  <c r="DD90" i="10"/>
  <c r="DD114" i="10"/>
  <c r="DD118" i="10"/>
  <c r="DD98" i="10"/>
  <c r="DD43" i="10"/>
  <c r="DD31" i="10"/>
  <c r="LC31" i="10"/>
  <c r="DD83" i="10"/>
  <c r="DD87" i="10"/>
  <c r="DD75" i="10"/>
  <c r="DD36" i="10"/>
  <c r="DD40" i="10"/>
  <c r="IY28" i="10"/>
  <c r="IY60" i="10"/>
  <c r="DD64" i="10"/>
  <c r="LC64" i="10"/>
  <c r="DD52" i="10"/>
  <c r="JN364" i="10"/>
  <c r="IM385" i="10"/>
  <c r="JN142" i="10"/>
  <c r="EE84" i="10"/>
  <c r="EI84" i="10"/>
  <c r="EN84" i="10"/>
  <c r="DE353" i="10"/>
  <c r="DX86" i="10"/>
  <c r="DY86" i="10"/>
  <c r="ED86" i="10"/>
  <c r="EM86" i="10"/>
  <c r="LA114" i="10"/>
  <c r="JN114" i="10"/>
  <c r="BT95" i="10"/>
  <c r="LD95" i="10"/>
  <c r="DX95" i="10"/>
  <c r="DY95" i="10"/>
  <c r="ED95" i="10"/>
  <c r="EM95" i="10"/>
  <c r="EE80" i="10"/>
  <c r="DX78" i="10"/>
  <c r="DY78" i="10"/>
  <c r="ED78" i="10"/>
  <c r="EM78" i="10"/>
  <c r="DD93" i="10"/>
  <c r="DD100" i="10"/>
  <c r="DD111" i="10"/>
  <c r="DD77" i="10"/>
  <c r="DD78" i="10"/>
  <c r="DE229" i="10"/>
  <c r="DE242" i="10"/>
  <c r="DE269" i="10"/>
  <c r="DE239" i="10"/>
  <c r="JP281" i="10"/>
  <c r="JN281" i="10"/>
  <c r="LA154" i="10"/>
  <c r="DE178" i="10"/>
  <c r="DE193" i="10"/>
  <c r="DE173" i="10"/>
  <c r="EE114" i="10"/>
  <c r="BT156" i="10"/>
  <c r="LD156" i="10"/>
  <c r="DX114" i="10"/>
  <c r="DY114" i="10"/>
  <c r="ED114" i="10"/>
  <c r="EM114" i="10"/>
  <c r="BT153" i="10"/>
  <c r="LD153" i="10"/>
  <c r="FG385" i="10"/>
  <c r="EE78" i="10"/>
  <c r="EI78" i="10"/>
  <c r="EN78" i="10"/>
  <c r="DE381" i="10"/>
  <c r="DE299" i="10"/>
  <c r="DE349" i="10"/>
  <c r="DE190" i="10"/>
  <c r="DE210" i="10"/>
  <c r="DE200" i="10"/>
  <c r="DE312" i="10"/>
  <c r="DE223" i="10"/>
  <c r="DE324" i="10"/>
  <c r="DE371" i="10"/>
  <c r="DE168" i="10"/>
  <c r="DE271" i="10"/>
  <c r="DE241" i="10"/>
  <c r="DE204" i="10"/>
  <c r="DE256" i="10"/>
  <c r="DE354" i="10"/>
  <c r="DE209" i="10"/>
  <c r="DE259" i="10"/>
  <c r="BT155" i="10"/>
  <c r="LD155" i="10"/>
  <c r="JN363" i="10"/>
  <c r="LA152" i="10"/>
  <c r="JN70" i="10"/>
  <c r="EE95" i="10"/>
  <c r="DE389" i="10"/>
  <c r="DE227" i="10"/>
  <c r="DE249" i="10"/>
  <c r="DE314" i="10"/>
  <c r="DE346" i="10"/>
  <c r="LC208" i="10"/>
  <c r="DE388" i="10"/>
  <c r="DE326" i="10"/>
  <c r="DE369" i="10"/>
  <c r="DE333" i="10"/>
  <c r="DD344" i="10"/>
  <c r="IY344" i="10"/>
  <c r="DD258" i="10"/>
  <c r="IY258" i="10"/>
  <c r="DD86" i="10"/>
  <c r="DD85" i="10"/>
  <c r="BT173" i="10"/>
  <c r="LD173" i="10"/>
  <c r="EE129" i="10"/>
  <c r="Q145" i="10"/>
  <c r="BN145" i="10"/>
  <c r="Q135" i="10"/>
  <c r="BN135" i="10"/>
  <c r="DZ29" i="10"/>
  <c r="DE218" i="10"/>
  <c r="DD263" i="10"/>
  <c r="IY263" i="10"/>
  <c r="LA167" i="10"/>
  <c r="LC391" i="10"/>
  <c r="DD53" i="10"/>
  <c r="LC53" i="10"/>
  <c r="DD105" i="10"/>
  <c r="IM389" i="10"/>
  <c r="DD101" i="10"/>
  <c r="II389" i="10"/>
  <c r="DD65" i="10"/>
  <c r="LC65" i="10"/>
  <c r="BT82" i="10"/>
  <c r="LD82" i="10"/>
  <c r="II388" i="10"/>
  <c r="IM388" i="10"/>
  <c r="DD106" i="10"/>
  <c r="DD112" i="10"/>
  <c r="DD89" i="10"/>
  <c r="DD115" i="10"/>
  <c r="DD309" i="10"/>
  <c r="IM390" i="10"/>
  <c r="DD107" i="10"/>
  <c r="IY388" i="10"/>
  <c r="BT145" i="10"/>
  <c r="LD145" i="10"/>
  <c r="Q235" i="10"/>
  <c r="BN235" i="10" s="1"/>
  <c r="DE390" i="10"/>
  <c r="DD117" i="10"/>
  <c r="DD108" i="10"/>
  <c r="DD70" i="10"/>
  <c r="DD103" i="10"/>
  <c r="IM391" i="10"/>
  <c r="DD189" i="10"/>
  <c r="DD56" i="10"/>
  <c r="LC56" i="10"/>
  <c r="DD80" i="10"/>
  <c r="II391" i="10"/>
  <c r="DD95" i="10"/>
  <c r="II390" i="10"/>
  <c r="BT135" i="10"/>
  <c r="LD135" i="10"/>
  <c r="IM380" i="10"/>
  <c r="DX80" i="10"/>
  <c r="DY80" i="10"/>
  <c r="Q283" i="10"/>
  <c r="DX389" i="10"/>
  <c r="DY389" i="10"/>
  <c r="ED389" i="10"/>
  <c r="EM389" i="10"/>
  <c r="JO385" i="10"/>
  <c r="Q391" i="10"/>
  <c r="EE391" i="10"/>
  <c r="EE392" i="10"/>
  <c r="EI392" i="10"/>
  <c r="EF392" i="10"/>
  <c r="EG392" i="10"/>
  <c r="EN392" i="10"/>
  <c r="JN305" i="10"/>
  <c r="DX388" i="10"/>
  <c r="DY388" i="10"/>
  <c r="ED388" i="10"/>
  <c r="EM388" i="10"/>
  <c r="IM165" i="10"/>
  <c r="BT121" i="10"/>
  <c r="LD121" i="10"/>
  <c r="JN249" i="10"/>
  <c r="BT154" i="10"/>
  <c r="LD154" i="10"/>
  <c r="Q389" i="10"/>
  <c r="EE389" i="10"/>
  <c r="IM343" i="10"/>
  <c r="IM384" i="10"/>
  <c r="II361" i="10"/>
  <c r="II272" i="10"/>
  <c r="IM386" i="10"/>
  <c r="II240" i="10"/>
  <c r="II246" i="10"/>
  <c r="II228" i="10"/>
  <c r="II253" i="10"/>
  <c r="II309" i="10"/>
  <c r="II164" i="10"/>
  <c r="II294" i="10"/>
  <c r="II321" i="10"/>
  <c r="IM192" i="10"/>
  <c r="II358" i="10"/>
  <c r="II213" i="10"/>
  <c r="II109" i="10"/>
  <c r="II326" i="10"/>
  <c r="II366" i="10"/>
  <c r="II387" i="10"/>
  <c r="II140" i="10"/>
  <c r="II184" i="10"/>
  <c r="DX390" i="10"/>
  <c r="DY390" i="10"/>
  <c r="ED390" i="10"/>
  <c r="EM390" i="10"/>
  <c r="II221" i="10"/>
  <c r="II178" i="10"/>
  <c r="II269" i="10"/>
  <c r="IM83" i="10"/>
  <c r="IM115" i="10"/>
  <c r="AW392" i="10"/>
  <c r="II163" i="10"/>
  <c r="II179" i="10"/>
  <c r="II232" i="10"/>
  <c r="II183" i="10"/>
  <c r="II227" i="10"/>
  <c r="II168" i="10"/>
  <c r="II320" i="10"/>
  <c r="II203" i="10"/>
  <c r="IM80" i="10"/>
  <c r="II299" i="10"/>
  <c r="II278" i="10"/>
  <c r="IM154" i="10"/>
  <c r="II313" i="10"/>
  <c r="II145" i="10"/>
  <c r="II176" i="10"/>
  <c r="IM119" i="10"/>
  <c r="II245" i="10"/>
  <c r="II369" i="10"/>
  <c r="II260" i="10"/>
  <c r="JN371" i="10"/>
  <c r="II296" i="10"/>
  <c r="IM357" i="10"/>
  <c r="II198" i="10"/>
  <c r="II143" i="10"/>
  <c r="II167" i="10"/>
  <c r="II276" i="10"/>
  <c r="II302" i="10"/>
  <c r="IM91" i="10"/>
  <c r="IM284" i="10"/>
  <c r="II308" i="10"/>
  <c r="II181" i="10"/>
  <c r="IM237" i="10"/>
  <c r="IM362" i="10"/>
  <c r="II365" i="10"/>
  <c r="II230" i="10"/>
  <c r="II360" i="10"/>
  <c r="II307" i="10"/>
  <c r="II200" i="10"/>
  <c r="II311" i="10"/>
  <c r="II323" i="10"/>
  <c r="II251" i="10"/>
  <c r="II212" i="10"/>
  <c r="II130" i="10"/>
  <c r="II329" i="10"/>
  <c r="Q390" i="10"/>
  <c r="EE390" i="10"/>
  <c r="II277" i="10"/>
  <c r="FG388" i="10"/>
  <c r="JO388" i="10"/>
  <c r="II337" i="10"/>
  <c r="IM151" i="10"/>
  <c r="II372" i="10"/>
  <c r="Q388" i="10"/>
  <c r="BN388" i="10"/>
  <c r="A382" i="15"/>
  <c r="EE388" i="10"/>
  <c r="II187" i="10"/>
  <c r="IM175" i="10"/>
  <c r="II301" i="10"/>
  <c r="II249" i="10"/>
  <c r="II333" i="10"/>
  <c r="IM350" i="10"/>
  <c r="II127" i="10"/>
  <c r="II217" i="10"/>
  <c r="II133" i="10"/>
  <c r="II336" i="10"/>
  <c r="II211" i="10"/>
  <c r="IM107" i="10"/>
  <c r="IM316" i="10"/>
  <c r="DX156" i="10"/>
  <c r="DY156" i="10"/>
  <c r="ED156" i="10"/>
  <c r="BT99" i="10"/>
  <c r="LD99" i="10"/>
  <c r="DD42" i="10"/>
  <c r="DE42" i="10"/>
  <c r="DD34" i="10"/>
  <c r="LC34" i="10"/>
  <c r="DC367" i="10"/>
  <c r="DD367" i="10"/>
  <c r="DE367" i="10"/>
  <c r="LB367" i="10"/>
  <c r="DC147" i="10"/>
  <c r="DD147" i="10"/>
  <c r="DE147" i="10"/>
  <c r="LB147" i="10"/>
  <c r="LA147" i="10"/>
  <c r="LC147" i="10"/>
  <c r="BT147" i="10"/>
  <c r="LD147" i="10"/>
  <c r="LE147" i="10"/>
  <c r="LG147" i="10"/>
  <c r="DC226" i="10"/>
  <c r="DD226" i="10"/>
  <c r="DE226" i="10"/>
  <c r="LB226" i="10"/>
  <c r="LA226" i="10"/>
  <c r="LC226" i="10"/>
  <c r="BT226" i="10"/>
  <c r="LD226" i="10"/>
  <c r="LE226" i="10"/>
  <c r="LG226" i="10"/>
  <c r="DC194" i="10"/>
  <c r="DD194" i="10"/>
  <c r="DE194" i="10"/>
  <c r="LB194" i="10"/>
  <c r="LA194" i="10"/>
  <c r="LC194" i="10"/>
  <c r="BT194" i="10"/>
  <c r="LD194" i="10"/>
  <c r="LE194" i="10"/>
  <c r="LG194" i="10"/>
  <c r="DC335" i="10"/>
  <c r="LB335" i="10"/>
  <c r="LA335" i="10"/>
  <c r="BT335" i="10"/>
  <c r="LD335" i="10"/>
  <c r="LE335" i="10"/>
  <c r="LG335" i="10"/>
  <c r="DC298" i="10"/>
  <c r="DD298" i="10"/>
  <c r="DE298" i="10"/>
  <c r="LB298" i="10"/>
  <c r="LA298" i="10"/>
  <c r="LC298" i="10"/>
  <c r="BT298" i="10"/>
  <c r="LD298" i="10"/>
  <c r="LE298" i="10"/>
  <c r="LG298" i="10"/>
  <c r="DC376" i="10"/>
  <c r="DD376" i="10"/>
  <c r="DE376" i="10"/>
  <c r="LB376" i="10"/>
  <c r="LA376" i="10"/>
  <c r="LC376" i="10"/>
  <c r="BT376" i="10"/>
  <c r="LD376" i="10"/>
  <c r="LE376" i="10"/>
  <c r="LG376" i="10"/>
  <c r="DC59" i="10"/>
  <c r="DD59" i="10"/>
  <c r="DE59" i="10"/>
  <c r="LB59" i="10"/>
  <c r="LA59" i="10"/>
  <c r="LC59" i="10"/>
  <c r="BT59" i="10"/>
  <c r="LD59" i="10"/>
  <c r="LE59" i="10"/>
  <c r="LG59" i="10"/>
  <c r="DC87" i="10"/>
  <c r="DE87" i="10"/>
  <c r="LB87" i="10"/>
  <c r="LA87" i="10"/>
  <c r="LC87" i="10"/>
  <c r="LE87" i="10"/>
  <c r="LG87" i="10"/>
  <c r="DC57" i="10"/>
  <c r="DD57" i="10"/>
  <c r="DE57" i="10"/>
  <c r="LB57" i="10"/>
  <c r="LA57" i="10"/>
  <c r="LC57" i="10"/>
  <c r="BT57" i="10"/>
  <c r="LD57" i="10"/>
  <c r="LE57" i="10"/>
  <c r="LG57" i="10"/>
  <c r="DC114" i="10"/>
  <c r="DE114" i="10"/>
  <c r="LB114" i="10"/>
  <c r="LC114" i="10"/>
  <c r="LE114" i="10"/>
  <c r="LG114" i="10"/>
  <c r="DC46" i="10"/>
  <c r="DD46" i="10"/>
  <c r="DE46" i="10"/>
  <c r="LB46" i="10"/>
  <c r="LA46" i="10"/>
  <c r="LC46" i="10"/>
  <c r="BT46" i="10"/>
  <c r="LD46" i="10"/>
  <c r="LE46" i="10"/>
  <c r="LG46" i="10"/>
  <c r="DC146" i="10"/>
  <c r="DD146" i="10"/>
  <c r="DE146" i="10"/>
  <c r="LB146" i="10"/>
  <c r="LA146" i="10"/>
  <c r="LC146" i="10"/>
  <c r="BT146" i="10"/>
  <c r="LD146" i="10"/>
  <c r="LE146" i="10"/>
  <c r="LG146" i="10"/>
  <c r="DC266" i="10"/>
  <c r="DD266" i="10"/>
  <c r="DE266" i="10"/>
  <c r="LB266" i="10"/>
  <c r="LA266" i="10"/>
  <c r="LC266" i="10"/>
  <c r="BT266" i="10"/>
  <c r="LD266" i="10"/>
  <c r="LE266" i="10"/>
  <c r="LG266" i="10"/>
  <c r="DC271" i="10"/>
  <c r="LB271" i="10"/>
  <c r="LA271" i="10"/>
  <c r="BT271" i="10"/>
  <c r="LD271" i="10"/>
  <c r="LE271" i="10"/>
  <c r="LG271" i="10"/>
  <c r="DC375" i="10"/>
  <c r="LB375" i="10"/>
  <c r="LA375" i="10"/>
  <c r="BT375" i="10"/>
  <c r="LD375" i="10"/>
  <c r="LE375" i="10"/>
  <c r="LG375" i="10"/>
  <c r="DC86" i="10"/>
  <c r="DE86" i="10"/>
  <c r="LB86" i="10"/>
  <c r="LA86" i="10"/>
  <c r="LC86" i="10"/>
  <c r="BT86" i="10"/>
  <c r="LD86" i="10"/>
  <c r="LE86" i="10"/>
  <c r="LG86" i="10"/>
  <c r="DC124" i="10"/>
  <c r="DD124" i="10"/>
  <c r="DE124" i="10"/>
  <c r="LB124" i="10"/>
  <c r="LA124" i="10"/>
  <c r="LC124" i="10"/>
  <c r="BT124" i="10"/>
  <c r="LD124" i="10"/>
  <c r="LE124" i="10"/>
  <c r="LG124" i="10"/>
  <c r="DC156" i="10"/>
  <c r="DD156" i="10"/>
  <c r="DE156" i="10"/>
  <c r="LB156" i="10"/>
  <c r="LA156" i="10"/>
  <c r="LC156" i="10"/>
  <c r="LE156" i="10"/>
  <c r="LG156" i="10"/>
  <c r="DC172" i="10"/>
  <c r="DD172" i="10"/>
  <c r="DE172" i="10"/>
  <c r="LB172" i="10"/>
  <c r="LA172" i="10"/>
  <c r="LC172" i="10"/>
  <c r="BT172" i="10"/>
  <c r="LD172" i="10"/>
  <c r="LE172" i="10"/>
  <c r="LG172" i="10"/>
  <c r="DC234" i="10"/>
  <c r="DD234" i="10"/>
  <c r="DE234" i="10"/>
  <c r="LB234" i="10"/>
  <c r="LA234" i="10"/>
  <c r="LC234" i="10"/>
  <c r="BT234" i="10"/>
  <c r="LD234" i="10"/>
  <c r="LE234" i="10"/>
  <c r="LG234" i="10"/>
  <c r="DC392" i="10"/>
  <c r="LB392" i="10"/>
  <c r="LA392" i="10"/>
  <c r="BT392" i="10"/>
  <c r="LD392" i="10"/>
  <c r="LE392" i="10"/>
  <c r="LG392" i="10"/>
  <c r="DC218" i="10"/>
  <c r="LB218" i="10"/>
  <c r="LA218" i="10"/>
  <c r="BT218" i="10"/>
  <c r="LD218" i="10"/>
  <c r="LE218" i="10"/>
  <c r="LG218" i="10"/>
  <c r="DC239" i="10"/>
  <c r="LB239" i="10"/>
  <c r="LA239" i="10"/>
  <c r="BT239" i="10"/>
  <c r="LD239" i="10"/>
  <c r="LE239" i="10"/>
  <c r="LG239" i="10"/>
  <c r="DC118" i="10"/>
  <c r="DE118" i="10"/>
  <c r="LB118" i="10"/>
  <c r="LA118" i="10"/>
  <c r="LC118" i="10"/>
  <c r="BT118" i="10"/>
  <c r="LD118" i="10"/>
  <c r="LE118" i="10"/>
  <c r="LG118" i="10"/>
  <c r="DC106" i="10"/>
  <c r="DE106" i="10"/>
  <c r="LB106" i="10"/>
  <c r="LA106" i="10"/>
  <c r="LC106" i="10"/>
  <c r="LE106" i="10"/>
  <c r="LG106" i="10"/>
  <c r="DC138" i="10"/>
  <c r="DD138" i="10"/>
  <c r="DE138" i="10"/>
  <c r="LB138" i="10"/>
  <c r="LA138" i="10"/>
  <c r="LC138" i="10"/>
  <c r="BT138" i="10"/>
  <c r="LD138" i="10"/>
  <c r="LE138" i="10"/>
  <c r="LG138" i="10"/>
  <c r="DC170" i="10"/>
  <c r="DD170" i="10"/>
  <c r="DE170" i="10"/>
  <c r="LB170" i="10"/>
  <c r="LA170" i="10"/>
  <c r="LC170" i="10"/>
  <c r="BT170" i="10"/>
  <c r="LD170" i="10"/>
  <c r="LE170" i="10"/>
  <c r="LG170" i="10"/>
  <c r="DC346" i="10"/>
  <c r="LB346" i="10"/>
  <c r="LA346" i="10"/>
  <c r="BT346" i="10"/>
  <c r="LD346" i="10"/>
  <c r="LE346" i="10"/>
  <c r="LG346" i="10"/>
  <c r="LA136" i="10"/>
  <c r="DX122" i="10"/>
  <c r="DY122" i="10"/>
  <c r="ED122" i="10"/>
  <c r="EM122" i="10"/>
  <c r="BT167" i="10"/>
  <c r="LD167" i="10"/>
  <c r="BT169" i="10"/>
  <c r="LD169" i="10"/>
  <c r="DX87" i="10"/>
  <c r="DY87" i="10"/>
  <c r="ED87" i="10"/>
  <c r="LA160" i="10"/>
  <c r="LA122" i="10"/>
  <c r="BT160" i="10"/>
  <c r="LD160" i="10"/>
  <c r="BT122" i="10"/>
  <c r="LD122" i="10"/>
  <c r="BT133" i="10"/>
  <c r="LD133" i="10"/>
  <c r="LA109" i="10"/>
  <c r="EE173" i="10"/>
  <c r="DX119" i="10"/>
  <c r="DY119" i="10"/>
  <c r="ED119" i="10"/>
  <c r="EM119" i="10"/>
  <c r="EE152" i="10"/>
  <c r="DX152" i="10"/>
  <c r="DY152" i="10"/>
  <c r="ED152" i="10"/>
  <c r="EM152" i="10"/>
  <c r="BT104" i="10"/>
  <c r="LD104" i="10"/>
  <c r="DX104" i="10"/>
  <c r="DY104" i="10"/>
  <c r="ED104" i="10"/>
  <c r="EM104" i="10"/>
  <c r="EE136" i="10"/>
  <c r="EE155" i="10"/>
  <c r="BT119" i="10"/>
  <c r="LD119" i="10"/>
  <c r="DD28" i="10"/>
  <c r="LC28" i="10"/>
  <c r="LA82" i="10"/>
  <c r="BT91" i="10"/>
  <c r="LD91" i="10"/>
  <c r="DX91" i="10"/>
  <c r="DY91" i="10"/>
  <c r="ED91" i="10"/>
  <c r="EM91" i="10"/>
  <c r="DX99" i="10"/>
  <c r="DY99" i="10"/>
  <c r="ED99" i="10"/>
  <c r="II116" i="10"/>
  <c r="EE104" i="10"/>
  <c r="JP99" i="10"/>
  <c r="JN99" i="10"/>
  <c r="II88" i="10"/>
  <c r="BT75" i="10"/>
  <c r="LD75" i="10"/>
  <c r="DX109" i="10"/>
  <c r="DY109" i="10"/>
  <c r="ED109" i="10"/>
  <c r="BT83" i="10"/>
  <c r="LD83" i="10"/>
  <c r="DX75" i="10"/>
  <c r="DY75" i="10"/>
  <c r="ED75" i="10"/>
  <c r="EM75" i="10"/>
  <c r="EE75" i="10"/>
  <c r="BT76" i="10"/>
  <c r="LD76" i="10"/>
  <c r="BT108" i="10"/>
  <c r="LD108" i="10"/>
  <c r="LA108" i="10"/>
  <c r="II81" i="10"/>
  <c r="LA75" i="10"/>
  <c r="LA104" i="10"/>
  <c r="II98" i="10"/>
  <c r="IY115" i="10"/>
  <c r="IY77" i="10"/>
  <c r="IY85" i="10"/>
  <c r="II76" i="10"/>
  <c r="IY86" i="10"/>
  <c r="IY106" i="10"/>
  <c r="IY90" i="10"/>
  <c r="II90" i="10"/>
  <c r="IY83" i="10"/>
  <c r="IY87" i="10"/>
  <c r="LA77" i="10"/>
  <c r="IY43" i="10"/>
  <c r="IM81" i="10"/>
  <c r="LA91" i="10"/>
  <c r="LA74" i="10"/>
  <c r="IY93" i="10"/>
  <c r="IY117" i="10"/>
  <c r="IY88" i="10"/>
  <c r="IY70" i="10"/>
  <c r="IY100" i="10"/>
  <c r="IY103" i="10"/>
  <c r="IY97" i="10"/>
  <c r="IY118" i="10"/>
  <c r="IY53" i="10"/>
  <c r="IY89" i="10"/>
  <c r="IY101" i="10"/>
  <c r="IY42" i="10"/>
  <c r="IY36" i="10"/>
  <c r="IY75" i="10"/>
  <c r="IY111" i="10"/>
  <c r="IY72" i="10"/>
  <c r="IY105" i="10"/>
  <c r="II264" i="10"/>
  <c r="II275" i="10"/>
  <c r="II368" i="10"/>
  <c r="II74" i="10"/>
  <c r="II270" i="10"/>
  <c r="II125" i="10"/>
  <c r="II254" i="10"/>
  <c r="II135" i="10"/>
  <c r="II350" i="10"/>
  <c r="LA101" i="10"/>
  <c r="LA121" i="10"/>
  <c r="LA129" i="10"/>
  <c r="EE91" i="10"/>
  <c r="Q270" i="10"/>
  <c r="BN270" i="10" s="1"/>
  <c r="EE270" i="10"/>
  <c r="Q153" i="10"/>
  <c r="BN153" i="10" s="1"/>
  <c r="Q129" i="10"/>
  <c r="DX129" i="10"/>
  <c r="DY129" i="10"/>
  <c r="ED129" i="10"/>
  <c r="EM129" i="10"/>
  <c r="AT129" i="10"/>
  <c r="EE108" i="10"/>
  <c r="EE109" i="10"/>
  <c r="EE154" i="10"/>
  <c r="EE160" i="10"/>
  <c r="DX167" i="10"/>
  <c r="DY167" i="10"/>
  <c r="ED167" i="10"/>
  <c r="EM167" i="10"/>
  <c r="LA173" i="10"/>
  <c r="DX173" i="10"/>
  <c r="DY173" i="10"/>
  <c r="ED173" i="10"/>
  <c r="EM173" i="10"/>
  <c r="EE156" i="10"/>
  <c r="DX136" i="10"/>
  <c r="DY136" i="10"/>
  <c r="ED136" i="10"/>
  <c r="EM136" i="10"/>
  <c r="EE122" i="10"/>
  <c r="EI122" i="10"/>
  <c r="EN122" i="10"/>
  <c r="EE119" i="10"/>
  <c r="EE87" i="10"/>
  <c r="IM251" i="10"/>
  <c r="EE145" i="10"/>
  <c r="IM198" i="10"/>
  <c r="II159" i="10"/>
  <c r="DX97" i="10"/>
  <c r="DY97" i="10"/>
  <c r="ED97" i="10"/>
  <c r="Q173" i="10"/>
  <c r="BN173" i="10" s="1"/>
  <c r="EE112" i="10"/>
  <c r="Q365" i="10"/>
  <c r="DX247" i="10"/>
  <c r="DY247" i="10"/>
  <c r="ED247" i="10"/>
  <c r="EM247" i="10"/>
  <c r="DX310" i="10"/>
  <c r="DY310" i="10"/>
  <c r="ED310" i="10"/>
  <c r="IM301" i="10"/>
  <c r="EE99" i="10"/>
  <c r="Q237" i="10"/>
  <c r="EE237" i="10"/>
  <c r="EE76" i="10"/>
  <c r="EE82" i="10"/>
  <c r="EE133" i="10"/>
  <c r="DX76" i="10"/>
  <c r="DY76" i="10"/>
  <c r="ED76" i="10"/>
  <c r="EM76" i="10"/>
  <c r="Q228" i="10"/>
  <c r="BN228" i="10"/>
  <c r="A222" i="15" s="1"/>
  <c r="EE228" i="10"/>
  <c r="Q133" i="10"/>
  <c r="Q121" i="10"/>
  <c r="BN121" i="10" s="1"/>
  <c r="EE83" i="10"/>
  <c r="LA99" i="10"/>
  <c r="DX133" i="10"/>
  <c r="DY133" i="10"/>
  <c r="ED133" i="10"/>
  <c r="EM133" i="10"/>
  <c r="EE167" i="10"/>
  <c r="EE74" i="10"/>
  <c r="DX121" i="10"/>
  <c r="DY121" i="10"/>
  <c r="ED121" i="10"/>
  <c r="EM121" i="10"/>
  <c r="LA135" i="10"/>
  <c r="DX74" i="10"/>
  <c r="DY74" i="10"/>
  <c r="ED74" i="10"/>
  <c r="EM74" i="10"/>
  <c r="DX77" i="10"/>
  <c r="DY77" i="10"/>
  <c r="ED77" i="10"/>
  <c r="EM77" i="10"/>
  <c r="EE97" i="10"/>
  <c r="EE77" i="10"/>
  <c r="EE135" i="10"/>
  <c r="DX169" i="10"/>
  <c r="DY169" i="10"/>
  <c r="ED169" i="10"/>
  <c r="EM169" i="10"/>
  <c r="EE220" i="10"/>
  <c r="Q180" i="10"/>
  <c r="BN180" i="10" s="1"/>
  <c r="EE180" i="10"/>
  <c r="Q136" i="10"/>
  <c r="DX144" i="10"/>
  <c r="DY144" i="10"/>
  <c r="ED144" i="10"/>
  <c r="EE121" i="10"/>
  <c r="DX160" i="10"/>
  <c r="DY160" i="10"/>
  <c r="ED160" i="10"/>
  <c r="EM160" i="10"/>
  <c r="IM365" i="10"/>
  <c r="DX365" i="10"/>
  <c r="DY365" i="10"/>
  <c r="ED365" i="10"/>
  <c r="EM365" i="10"/>
  <c r="JP325" i="10"/>
  <c r="IM329" i="10"/>
  <c r="JP373" i="10"/>
  <c r="IM308" i="10"/>
  <c r="Q306" i="10"/>
  <c r="EE306" i="10"/>
  <c r="DX306" i="10"/>
  <c r="DY306" i="10"/>
  <c r="ED306" i="10"/>
  <c r="EM306" i="10"/>
  <c r="IM309" i="10"/>
  <c r="Q169" i="10"/>
  <c r="BN169" i="10" s="1"/>
  <c r="JM169" i="10" s="1"/>
  <c r="DX250" i="10"/>
  <c r="DY250" i="10"/>
  <c r="ED250" i="10"/>
  <c r="EM250" i="10"/>
  <c r="BT97" i="10"/>
  <c r="LD97" i="10"/>
  <c r="IM253" i="10"/>
  <c r="EE189" i="10"/>
  <c r="II385" i="10"/>
  <c r="Q359" i="10"/>
  <c r="BN359" i="10" s="1"/>
  <c r="JM359" i="10" s="1"/>
  <c r="DX359" i="10"/>
  <c r="DY359" i="10"/>
  <c r="ED359" i="10"/>
  <c r="EM359" i="10"/>
  <c r="EE359" i="10"/>
  <c r="EE88" i="10"/>
  <c r="EI88" i="10"/>
  <c r="EN88" i="10"/>
  <c r="DX106" i="10"/>
  <c r="DY106" i="10"/>
  <c r="ED106" i="10"/>
  <c r="EM106" i="10"/>
  <c r="EE106" i="10"/>
  <c r="EE153" i="10"/>
  <c r="DX83" i="10"/>
  <c r="DY83" i="10"/>
  <c r="ED83" i="10"/>
  <c r="EM83" i="10"/>
  <c r="EE101" i="10"/>
  <c r="DX153" i="10"/>
  <c r="DY153" i="10"/>
  <c r="ED153" i="10"/>
  <c r="EM153" i="10"/>
  <c r="Q194" i="10"/>
  <c r="EE194" i="10"/>
  <c r="JN261" i="10"/>
  <c r="IM299" i="10"/>
  <c r="Q245" i="10"/>
  <c r="EE245" i="10"/>
  <c r="Q175" i="10"/>
  <c r="BN175" i="10" s="1"/>
  <c r="EE175" i="10"/>
  <c r="IM240" i="10"/>
  <c r="DX147" i="10"/>
  <c r="DY147" i="10"/>
  <c r="ED147" i="10"/>
  <c r="EM147" i="10"/>
  <c r="Q241" i="10"/>
  <c r="BN241" i="10"/>
  <c r="EE241" i="10"/>
  <c r="EI150" i="10"/>
  <c r="EN150" i="10"/>
  <c r="II268" i="10"/>
  <c r="EE169" i="10"/>
  <c r="DX148" i="10"/>
  <c r="DY148" i="10"/>
  <c r="Q293" i="10"/>
  <c r="EE293" i="10"/>
  <c r="DX112" i="10"/>
  <c r="DY112" i="10"/>
  <c r="ED112" i="10"/>
  <c r="EM112" i="10"/>
  <c r="EE147" i="10"/>
  <c r="BN191" i="10"/>
  <c r="EE191" i="10"/>
  <c r="IM230" i="10"/>
  <c r="Q178" i="10"/>
  <c r="BN178" i="10"/>
  <c r="EE178" i="10"/>
  <c r="EI178" i="10"/>
  <c r="EN178" i="10"/>
  <c r="Q262" i="10"/>
  <c r="EE262" i="10"/>
  <c r="DX293" i="10"/>
  <c r="DY293" i="10"/>
  <c r="ED293" i="10"/>
  <c r="Q221" i="10"/>
  <c r="EE221" i="10"/>
  <c r="DX256" i="10"/>
  <c r="DY256" i="10"/>
  <c r="ED256" i="10"/>
  <c r="EM256" i="10"/>
  <c r="EE208" i="10"/>
  <c r="LA98" i="10"/>
  <c r="Q122" i="10"/>
  <c r="BN122" i="10"/>
  <c r="A116" i="15" s="1"/>
  <c r="K116" i="15" s="1"/>
  <c r="EE274" i="10"/>
  <c r="DX304" i="10"/>
  <c r="DY304" i="10"/>
  <c r="ED304" i="10"/>
  <c r="EM304" i="10"/>
  <c r="DX140" i="10"/>
  <c r="DY140" i="10"/>
  <c r="EE281" i="10"/>
  <c r="EE263" i="10"/>
  <c r="DX263" i="10"/>
  <c r="DY263" i="10"/>
  <c r="ED263" i="10"/>
  <c r="EM263" i="10"/>
  <c r="EE287" i="10"/>
  <c r="EE302" i="10"/>
  <c r="DX302" i="10"/>
  <c r="DY302" i="10"/>
  <c r="ED302" i="10"/>
  <c r="EM302" i="10"/>
  <c r="DX262" i="10"/>
  <c r="DY262" i="10"/>
  <c r="ED262" i="10"/>
  <c r="DX274" i="10"/>
  <c r="DY274" i="10"/>
  <c r="ED274" i="10"/>
  <c r="DX270" i="10"/>
  <c r="DY270" i="10"/>
  <c r="ED270" i="10"/>
  <c r="DX208" i="10"/>
  <c r="DY208" i="10"/>
  <c r="ED208" i="10"/>
  <c r="EE130" i="10"/>
  <c r="DX237" i="10"/>
  <c r="DY237" i="10"/>
  <c r="ED237" i="10"/>
  <c r="EE148" i="10"/>
  <c r="DX170" i="10"/>
  <c r="DY170" i="10"/>
  <c r="ED170" i="10"/>
  <c r="EM170" i="10"/>
  <c r="DX202" i="10"/>
  <c r="DY202" i="10"/>
  <c r="ED202" i="10"/>
  <c r="EM202" i="10"/>
  <c r="EE202" i="10"/>
  <c r="EE193" i="10"/>
  <c r="LA83" i="10"/>
  <c r="DX175" i="10"/>
  <c r="DY175" i="10"/>
  <c r="ED175" i="10"/>
  <c r="EE304" i="10"/>
  <c r="DX117" i="10"/>
  <c r="DY117" i="10"/>
  <c r="ED117" i="10"/>
  <c r="EM117" i="10"/>
  <c r="EE107" i="10"/>
  <c r="DX279" i="10"/>
  <c r="DY279" i="10"/>
  <c r="ED279" i="10"/>
  <c r="EE256" i="10"/>
  <c r="DX241" i="10"/>
  <c r="DY241" i="10"/>
  <c r="ED241" i="10"/>
  <c r="DX245" i="10"/>
  <c r="DY245" i="10"/>
  <c r="ED245" i="10"/>
  <c r="EE294" i="10"/>
  <c r="DX294" i="10"/>
  <c r="DY294" i="10"/>
  <c r="ED294" i="10"/>
  <c r="EM294" i="10"/>
  <c r="Q125" i="10"/>
  <c r="GI125" i="10" s="1"/>
  <c r="AT125" i="10" s="1"/>
  <c r="JP113" i="10"/>
  <c r="JN113" i="10"/>
  <c r="IM228" i="10"/>
  <c r="Q227" i="10"/>
  <c r="DX227" i="10"/>
  <c r="DY227" i="10"/>
  <c r="ED227" i="10"/>
  <c r="EM227" i="10"/>
  <c r="EE227" i="10"/>
  <c r="Q303" i="10"/>
  <c r="BN303" i="10" s="1"/>
  <c r="EE303" i="10"/>
  <c r="Q251" i="10"/>
  <c r="DX251" i="10"/>
  <c r="DY251" i="10"/>
  <c r="ED251" i="10"/>
  <c r="EM251" i="10"/>
  <c r="EE251" i="10"/>
  <c r="Q128" i="10"/>
  <c r="DX128" i="10"/>
  <c r="DY128" i="10"/>
  <c r="ED128" i="10"/>
  <c r="EM128" i="10"/>
  <c r="EE128" i="10"/>
  <c r="EE236" i="10"/>
  <c r="IM276" i="10"/>
  <c r="EE163" i="10"/>
  <c r="EE257" i="10"/>
  <c r="DX257" i="10"/>
  <c r="DY257" i="10"/>
  <c r="ED257" i="10"/>
  <c r="EM257" i="10"/>
  <c r="EE115" i="10"/>
  <c r="EI115" i="10"/>
  <c r="EN115" i="10"/>
  <c r="Q132" i="10"/>
  <c r="BN132" i="10" s="1"/>
  <c r="EE132" i="10"/>
  <c r="EI132" i="10"/>
  <c r="EN132" i="10"/>
  <c r="EE140" i="10"/>
  <c r="Q177" i="10"/>
  <c r="EE177" i="10"/>
  <c r="BT98" i="10"/>
  <c r="LD98" i="10"/>
  <c r="Q271" i="10"/>
  <c r="BN271" i="10" s="1"/>
  <c r="EE271" i="10"/>
  <c r="Q248" i="10"/>
  <c r="BN248" i="10"/>
  <c r="A242" i="15" s="1"/>
  <c r="EE248" i="10"/>
  <c r="IM159" i="10"/>
  <c r="EE125" i="10"/>
  <c r="Q250" i="10"/>
  <c r="BN250" i="10"/>
  <c r="EE250" i="10"/>
  <c r="IM246" i="10"/>
  <c r="IM76" i="10"/>
  <c r="IM232" i="10"/>
  <c r="EE70" i="10"/>
  <c r="Q242" i="10"/>
  <c r="EE242" i="10"/>
  <c r="Q226" i="10"/>
  <c r="EE226" i="10"/>
  <c r="EE295" i="10"/>
  <c r="Q244" i="10"/>
  <c r="EE244" i="10"/>
  <c r="DX244" i="10"/>
  <c r="DY244" i="10"/>
  <c r="ED244" i="10"/>
  <c r="EM244" i="10"/>
  <c r="IM187" i="10"/>
  <c r="IM109" i="10"/>
  <c r="Q141" i="10"/>
  <c r="BN141" i="10" s="1"/>
  <c r="EE141" i="10"/>
  <c r="EE110" i="10"/>
  <c r="DX110" i="10"/>
  <c r="DY110" i="10"/>
  <c r="ED110" i="10"/>
  <c r="EM110" i="10"/>
  <c r="Q213" i="10"/>
  <c r="DX213" i="10"/>
  <c r="DY213" i="10"/>
  <c r="ED213" i="10"/>
  <c r="EM213" i="10"/>
  <c r="EE213" i="10"/>
  <c r="DX141" i="10"/>
  <c r="DY141" i="10"/>
  <c r="ED141" i="10"/>
  <c r="EM141" i="10"/>
  <c r="Q199" i="10"/>
  <c r="GI199" i="10" s="1"/>
  <c r="AT199" i="10" s="1"/>
  <c r="EE199" i="10"/>
  <c r="EE94" i="10"/>
  <c r="Q255" i="10"/>
  <c r="EE255" i="10"/>
  <c r="IM381" i="10"/>
  <c r="Q279" i="10"/>
  <c r="BN279" i="10" s="1"/>
  <c r="Q273" i="10"/>
  <c r="BN273" i="10" s="1"/>
  <c r="DX273" i="10"/>
  <c r="DY273" i="10"/>
  <c r="ED273" i="10"/>
  <c r="EM273" i="10"/>
  <c r="EE273" i="10"/>
  <c r="DX292" i="10"/>
  <c r="DY292" i="10"/>
  <c r="ED292" i="10"/>
  <c r="EM292" i="10"/>
  <c r="EE292" i="10"/>
  <c r="IM311" i="10"/>
  <c r="Q258" i="10"/>
  <c r="EE258" i="10"/>
  <c r="DX258" i="10"/>
  <c r="DY258" i="10"/>
  <c r="ED258" i="10"/>
  <c r="EM258" i="10"/>
  <c r="Q331" i="10"/>
  <c r="BN331" i="10"/>
  <c r="EE331" i="10"/>
  <c r="IM358" i="10"/>
  <c r="IM264" i="10"/>
  <c r="EE143" i="10"/>
  <c r="EI143" i="10"/>
  <c r="EN143" i="10"/>
  <c r="Q247" i="10"/>
  <c r="EE247" i="10"/>
  <c r="Q159" i="10"/>
  <c r="BN159" i="10"/>
  <c r="JM159" i="10" s="1"/>
  <c r="DX159" i="10"/>
  <c r="DY159" i="10"/>
  <c r="ED159" i="10"/>
  <c r="EM159" i="10"/>
  <c r="EE159" i="10"/>
  <c r="Q253" i="10"/>
  <c r="EE253" i="10"/>
  <c r="DX253" i="10"/>
  <c r="DY253" i="10"/>
  <c r="ED253" i="10"/>
  <c r="EM253" i="10"/>
  <c r="IM272" i="10"/>
  <c r="IM307" i="10"/>
  <c r="IM90" i="10"/>
  <c r="Q322" i="10"/>
  <c r="BN322" i="10" s="1"/>
  <c r="DX322" i="10"/>
  <c r="DY322" i="10"/>
  <c r="ED322" i="10"/>
  <c r="EM322" i="10"/>
  <c r="EE322" i="10"/>
  <c r="IM227" i="10"/>
  <c r="EE81" i="10"/>
  <c r="EI81" i="10"/>
  <c r="EN81" i="10"/>
  <c r="Q201" i="10"/>
  <c r="BN201" i="10" s="1"/>
  <c r="EE201" i="10"/>
  <c r="JN316" i="10"/>
  <c r="Q266" i="10"/>
  <c r="DX266" i="10"/>
  <c r="DY266" i="10"/>
  <c r="ED266" i="10"/>
  <c r="EM266" i="10"/>
  <c r="EE266" i="10"/>
  <c r="II261" i="10"/>
  <c r="EE98" i="10"/>
  <c r="EE50" i="10"/>
  <c r="IM368" i="10"/>
  <c r="EE96" i="10"/>
  <c r="Q170" i="10"/>
  <c r="EE170" i="10"/>
  <c r="DX116" i="10"/>
  <c r="DY116" i="10"/>
  <c r="ED116" i="10"/>
  <c r="EM116" i="10"/>
  <c r="EE116" i="10"/>
  <c r="Q203" i="10"/>
  <c r="EE203" i="10"/>
  <c r="EI203" i="10"/>
  <c r="EN203" i="10"/>
  <c r="Q240" i="10"/>
  <c r="BN240" i="10"/>
  <c r="EE240" i="10"/>
  <c r="DX240" i="10"/>
  <c r="DY240" i="10"/>
  <c r="ED240" i="10"/>
  <c r="EM240" i="10"/>
  <c r="EE117" i="10"/>
  <c r="Q254" i="10"/>
  <c r="EE254" i="10"/>
  <c r="Q261" i="10"/>
  <c r="BN261" i="10" s="1"/>
  <c r="EE261" i="10"/>
  <c r="Q188" i="10"/>
  <c r="BN188" i="10" s="1"/>
  <c r="JM188" i="10" s="1"/>
  <c r="EE188" i="10"/>
  <c r="Q286" i="10"/>
  <c r="BN286" i="10" s="1"/>
  <c r="A280" i="15" s="1"/>
  <c r="EE286" i="10"/>
  <c r="EE105" i="10"/>
  <c r="EI105" i="10"/>
  <c r="EN105" i="10"/>
  <c r="EE92" i="10"/>
  <c r="EE118" i="10"/>
  <c r="EI118" i="10"/>
  <c r="EN118" i="10"/>
  <c r="Q310" i="10"/>
  <c r="BN310" i="10" s="1"/>
  <c r="EE310" i="10"/>
  <c r="EE161" i="10"/>
  <c r="EI161" i="10"/>
  <c r="EN161" i="10"/>
  <c r="Q161" i="10"/>
  <c r="BN161" i="10" s="1"/>
  <c r="JM161" i="10"/>
  <c r="EM161" i="10"/>
  <c r="EE212" i="10"/>
  <c r="Q163" i="10"/>
  <c r="DX163" i="10"/>
  <c r="DY163" i="10"/>
  <c r="ED163" i="10"/>
  <c r="EM163" i="10"/>
  <c r="Q192" i="10"/>
  <c r="BN192" i="10" s="1"/>
  <c r="A186" i="15" s="1"/>
  <c r="EE192" i="10"/>
  <c r="DX192" i="10"/>
  <c r="DY192" i="10"/>
  <c r="ED192" i="10"/>
  <c r="EM192" i="10"/>
  <c r="DX98" i="10"/>
  <c r="DY98" i="10"/>
  <c r="ED98" i="10"/>
  <c r="EE222" i="10"/>
  <c r="IM213" i="10"/>
  <c r="IM125" i="10"/>
  <c r="IM221" i="10"/>
  <c r="Q120" i="10"/>
  <c r="BN120" i="10" s="1"/>
  <c r="EE120" i="10"/>
  <c r="DX120" i="10"/>
  <c r="DY120" i="10"/>
  <c r="ED120" i="10"/>
  <c r="EM120" i="10"/>
  <c r="DZ48" i="10"/>
  <c r="EA48" i="10"/>
  <c r="Q186" i="10"/>
  <c r="BN186" i="10"/>
  <c r="EE186" i="10"/>
  <c r="BN209" i="10"/>
  <c r="EE209" i="10"/>
  <c r="Q225" i="10"/>
  <c r="BN225" i="10" s="1"/>
  <c r="A219" i="15"/>
  <c r="AE219" i="15" s="1"/>
  <c r="EE225" i="10"/>
  <c r="Q233" i="10"/>
  <c r="BN233" i="10" s="1"/>
  <c r="EE233" i="10"/>
  <c r="EE72" i="10"/>
  <c r="DX72" i="10"/>
  <c r="DY72" i="10"/>
  <c r="ED72" i="10"/>
  <c r="EM72" i="10"/>
  <c r="EE146" i="10"/>
  <c r="DX146" i="10"/>
  <c r="DY146" i="10"/>
  <c r="ED146" i="10"/>
  <c r="EM146" i="10"/>
  <c r="Q139" i="10"/>
  <c r="BN139" i="10" s="1"/>
  <c r="EE139" i="10"/>
  <c r="EI139" i="10"/>
  <c r="EN139" i="10"/>
  <c r="Q197" i="10"/>
  <c r="EE197" i="10"/>
  <c r="DX197" i="10"/>
  <c r="DY197" i="10"/>
  <c r="ED197" i="10"/>
  <c r="Q219" i="10"/>
  <c r="EE219" i="10"/>
  <c r="Q176" i="10"/>
  <c r="DX176" i="10"/>
  <c r="DY176" i="10"/>
  <c r="ED176" i="10"/>
  <c r="EM176" i="10"/>
  <c r="EE176" i="10"/>
  <c r="Q206" i="10"/>
  <c r="BN206" i="10" s="1"/>
  <c r="EE206" i="10"/>
  <c r="Q144" i="10"/>
  <c r="BN144" i="10" s="1"/>
  <c r="EE144" i="10"/>
  <c r="EI144" i="10"/>
  <c r="EN144" i="10"/>
  <c r="Q168" i="10"/>
  <c r="EE168" i="10"/>
  <c r="EI168" i="10"/>
  <c r="EN168" i="10"/>
  <c r="DX193" i="10"/>
  <c r="DY193" i="10"/>
  <c r="ED193" i="10"/>
  <c r="EE166" i="10"/>
  <c r="DX166" i="10"/>
  <c r="DY166" i="10"/>
  <c r="ED166" i="10"/>
  <c r="EM166" i="10"/>
  <c r="DX183" i="10"/>
  <c r="DY183" i="10"/>
  <c r="ED183" i="10"/>
  <c r="EM183" i="10"/>
  <c r="EE183" i="10"/>
  <c r="JN232" i="10"/>
  <c r="DX222" i="10"/>
  <c r="DY222" i="10"/>
  <c r="ED222" i="10"/>
  <c r="II165" i="10"/>
  <c r="EE223" i="10"/>
  <c r="DX189" i="10"/>
  <c r="DY189" i="10"/>
  <c r="ED189" i="10"/>
  <c r="IM184" i="10"/>
  <c r="DX154" i="10"/>
  <c r="DX214" i="10"/>
  <c r="DY214" i="10"/>
  <c r="ED214" i="10"/>
  <c r="EM214" i="10"/>
  <c r="EE214" i="10"/>
  <c r="DX123" i="10"/>
  <c r="DY123" i="10"/>
  <c r="ED123" i="10"/>
  <c r="EM123" i="10"/>
  <c r="EE123" i="10"/>
  <c r="EE195" i="10"/>
  <c r="IM212" i="10"/>
  <c r="DX151" i="10"/>
  <c r="DY151" i="10"/>
  <c r="ED151" i="10"/>
  <c r="EM151" i="10"/>
  <c r="DX210" i="10"/>
  <c r="DY210" i="10"/>
  <c r="ED210" i="10"/>
  <c r="EM210" i="10"/>
  <c r="EE210" i="10"/>
  <c r="DX191" i="10"/>
  <c r="DY191" i="10"/>
  <c r="ED191" i="10"/>
  <c r="EM81" i="10"/>
  <c r="DX165" i="10"/>
  <c r="DY165" i="10"/>
  <c r="ED165" i="10"/>
  <c r="EM165" i="10"/>
  <c r="EE165" i="10"/>
  <c r="IM217" i="10"/>
  <c r="EM156" i="10"/>
  <c r="DX70" i="10"/>
  <c r="DY70" i="10"/>
  <c r="ED70" i="10"/>
  <c r="IM176" i="10"/>
  <c r="DX220" i="10"/>
  <c r="DY220" i="10"/>
  <c r="ED220" i="10"/>
  <c r="EI86" i="10"/>
  <c r="EN86" i="10"/>
  <c r="EI95" i="10"/>
  <c r="EN95" i="10"/>
  <c r="EM115" i="10"/>
  <c r="DX188" i="10"/>
  <c r="DY188" i="10"/>
  <c r="ED188" i="10"/>
  <c r="DX206" i="10"/>
  <c r="DY206" i="10"/>
  <c r="ED206" i="10"/>
  <c r="DX221" i="10"/>
  <c r="DY221" i="10"/>
  <c r="ED221" i="10"/>
  <c r="EE151" i="10"/>
  <c r="DX92" i="10"/>
  <c r="DY92" i="10"/>
  <c r="ED92" i="10"/>
  <c r="DX177" i="10"/>
  <c r="DY177" i="10"/>
  <c r="ED177" i="10"/>
  <c r="DX155" i="10"/>
  <c r="DY155" i="10"/>
  <c r="ED155" i="10"/>
  <c r="DX194" i="10"/>
  <c r="DY194" i="10"/>
  <c r="ED194" i="10"/>
  <c r="DX212" i="10"/>
  <c r="DY212" i="10"/>
  <c r="ED212" i="10"/>
  <c r="DX228" i="10"/>
  <c r="DX226" i="10"/>
  <c r="DY226" i="10"/>
  <c r="ED226" i="10"/>
  <c r="DX225" i="10"/>
  <c r="DY225" i="10"/>
  <c r="ED225" i="10"/>
  <c r="DX209" i="10"/>
  <c r="DY209" i="10"/>
  <c r="ED209" i="10"/>
  <c r="EE190" i="10"/>
  <c r="IM74" i="10"/>
  <c r="IM133" i="10"/>
  <c r="DX199" i="10"/>
  <c r="DY199" i="10"/>
  <c r="ED199" i="10"/>
  <c r="DC261" i="10"/>
  <c r="DD261" i="10"/>
  <c r="DE261" i="10"/>
  <c r="LB261" i="10"/>
  <c r="LA261" i="10"/>
  <c r="LC261" i="10"/>
  <c r="BT261" i="10"/>
  <c r="LD261" i="10"/>
  <c r="LE261" i="10"/>
  <c r="LG261" i="10"/>
  <c r="Q264" i="10"/>
  <c r="EE264" i="10"/>
  <c r="DX264" i="10"/>
  <c r="DY264" i="10"/>
  <c r="Q307" i="10"/>
  <c r="BN307" i="10" s="1"/>
  <c r="EE307" i="10"/>
  <c r="IM268" i="10"/>
  <c r="Q374" i="10"/>
  <c r="BN374" i="10" s="1"/>
  <c r="EE374" i="10"/>
  <c r="DX374" i="10"/>
  <c r="DY374" i="10"/>
  <c r="ED374" i="10"/>
  <c r="EM374" i="10"/>
  <c r="Q268" i="10"/>
  <c r="BN268" i="10" s="1"/>
  <c r="DX268" i="10"/>
  <c r="DY268" i="10"/>
  <c r="ED268" i="10"/>
  <c r="EM268" i="10"/>
  <c r="EE268" i="10"/>
  <c r="Q284" i="10"/>
  <c r="EE284" i="10"/>
  <c r="DX385" i="10"/>
  <c r="DY385" i="10"/>
  <c r="ED385" i="10"/>
  <c r="EM385" i="10"/>
  <c r="EE272" i="10"/>
  <c r="Q291" i="10"/>
  <c r="BN291" i="10"/>
  <c r="EE291" i="10"/>
  <c r="BN326" i="10"/>
  <c r="EE326" i="10"/>
  <c r="IM277" i="10"/>
  <c r="IM383" i="10"/>
  <c r="DX337" i="10"/>
  <c r="DY337" i="10"/>
  <c r="ED337" i="10"/>
  <c r="EM337" i="10"/>
  <c r="EE337" i="10"/>
  <c r="IM249" i="10"/>
  <c r="II343" i="10"/>
  <c r="LA365" i="10"/>
  <c r="Q289" i="10"/>
  <c r="EE289" i="10"/>
  <c r="DX289" i="10"/>
  <c r="DY289" i="10"/>
  <c r="ED289" i="10"/>
  <c r="EM289" i="10"/>
  <c r="BT365" i="10"/>
  <c r="LD365" i="10"/>
  <c r="DX326" i="10"/>
  <c r="DY326" i="10"/>
  <c r="ED326" i="10"/>
  <c r="EE305" i="10"/>
  <c r="DX305" i="10"/>
  <c r="DY305" i="10"/>
  <c r="ED305" i="10"/>
  <c r="EM305" i="10"/>
  <c r="IM366" i="10"/>
  <c r="IM296" i="10"/>
  <c r="DC165" i="10"/>
  <c r="DE165" i="10"/>
  <c r="LB165" i="10"/>
  <c r="LA165" i="10"/>
  <c r="LC165" i="10"/>
  <c r="BT165" i="10"/>
  <c r="LD165" i="10"/>
  <c r="LE165" i="10"/>
  <c r="LG165" i="10"/>
  <c r="IM135" i="10"/>
  <c r="EE89" i="10"/>
  <c r="EE100" i="10"/>
  <c r="Q184" i="10"/>
  <c r="EE184" i="10"/>
  <c r="Q124" i="10"/>
  <c r="EE124" i="10"/>
  <c r="EE137" i="10"/>
  <c r="Q216" i="10"/>
  <c r="BN216" i="10"/>
  <c r="EE216" i="10"/>
  <c r="Q158" i="10"/>
  <c r="BN158" i="10" s="1"/>
  <c r="DX158" i="10"/>
  <c r="DY158" i="10"/>
  <c r="ED158" i="10"/>
  <c r="EM158" i="10"/>
  <c r="EE158" i="10"/>
  <c r="Q229" i="10"/>
  <c r="DX229" i="10"/>
  <c r="DY229" i="10"/>
  <c r="ED229" i="10"/>
  <c r="EM229" i="10"/>
  <c r="EE229" i="10"/>
  <c r="EE90" i="10"/>
  <c r="IM179" i="10"/>
  <c r="JN217" i="10"/>
  <c r="Q217" i="10"/>
  <c r="EE217" i="10"/>
  <c r="DX103" i="10"/>
  <c r="DY103" i="10"/>
  <c r="ED103" i="10"/>
  <c r="EM103" i="10"/>
  <c r="EE103" i="10"/>
  <c r="IM211" i="10"/>
  <c r="Q198" i="10"/>
  <c r="BN198" i="10" s="1"/>
  <c r="DX198" i="10"/>
  <c r="DY198" i="10"/>
  <c r="ED198" i="10"/>
  <c r="EM198" i="10"/>
  <c r="EE198" i="10"/>
  <c r="Q127" i="10"/>
  <c r="DX127" i="10"/>
  <c r="DY127" i="10"/>
  <c r="ED127" i="10"/>
  <c r="EM127" i="10"/>
  <c r="EE127" i="10"/>
  <c r="Q205" i="10"/>
  <c r="BN205" i="10" s="1"/>
  <c r="A199" i="15" s="1"/>
  <c r="EE205" i="10"/>
  <c r="Q174" i="10"/>
  <c r="GI174" i="10" s="1"/>
  <c r="DX174" i="10"/>
  <c r="DY174" i="10"/>
  <c r="ED174" i="10"/>
  <c r="EM174" i="10"/>
  <c r="EE174" i="10"/>
  <c r="Q187" i="10"/>
  <c r="EE187" i="10"/>
  <c r="Q230" i="10"/>
  <c r="BN230" i="10" s="1"/>
  <c r="DX230" i="10"/>
  <c r="DY230" i="10"/>
  <c r="ED230" i="10"/>
  <c r="EM230" i="10"/>
  <c r="EE230" i="10"/>
  <c r="JP165" i="10"/>
  <c r="JN165" i="10"/>
  <c r="Q309" i="10"/>
  <c r="BN309" i="10" s="1"/>
  <c r="DX309" i="10"/>
  <c r="DY309" i="10"/>
  <c r="ED309" i="10"/>
  <c r="EM309" i="10"/>
  <c r="EE309" i="10"/>
  <c r="EE73" i="10"/>
  <c r="EE113" i="10"/>
  <c r="Q157" i="10"/>
  <c r="EE157" i="10"/>
  <c r="EE239" i="10"/>
  <c r="EE252" i="10"/>
  <c r="Q367" i="10"/>
  <c r="BN367" i="10" s="1"/>
  <c r="JM367" i="10" s="1"/>
  <c r="EE367" i="10"/>
  <c r="DX367" i="10"/>
  <c r="DY367" i="10"/>
  <c r="ED367" i="10"/>
  <c r="EM367" i="10"/>
  <c r="Q238" i="10"/>
  <c r="EE238" i="10"/>
  <c r="DX351" i="10"/>
  <c r="DY351" i="10"/>
  <c r="ED351" i="10"/>
  <c r="EM351" i="10"/>
  <c r="EE299" i="10"/>
  <c r="Q285" i="10"/>
  <c r="DX285" i="10"/>
  <c r="DY285" i="10"/>
  <c r="ED285" i="10"/>
  <c r="EM285" i="10"/>
  <c r="EE285" i="10"/>
  <c r="Q377" i="10"/>
  <c r="BN377" i="10" s="1"/>
  <c r="EE377" i="10"/>
  <c r="Q379" i="10"/>
  <c r="EE379" i="10"/>
  <c r="Q315" i="10"/>
  <c r="BN315" i="10" s="1"/>
  <c r="EE315" i="10"/>
  <c r="DX315" i="10"/>
  <c r="DY315" i="10"/>
  <c r="ED315" i="10"/>
  <c r="EM315" i="10"/>
  <c r="FG169" i="10"/>
  <c r="JO169" i="10"/>
  <c r="Q334" i="10"/>
  <c r="EE334" i="10"/>
  <c r="IM98" i="10"/>
  <c r="Q134" i="10"/>
  <c r="DX134" i="10"/>
  <c r="DY134" i="10"/>
  <c r="ED134" i="10"/>
  <c r="EM134" i="10"/>
  <c r="EE134" i="10"/>
  <c r="Q372" i="10"/>
  <c r="DX372" i="10"/>
  <c r="DY372" i="10"/>
  <c r="ED372" i="10"/>
  <c r="EM372" i="10"/>
  <c r="EE372" i="10"/>
  <c r="EE215" i="10"/>
  <c r="DX215" i="10"/>
  <c r="DY215" i="10"/>
  <c r="ED215" i="10"/>
  <c r="EM215" i="10"/>
  <c r="Q311" i="10"/>
  <c r="BN311" i="10" s="1"/>
  <c r="EE311" i="10"/>
  <c r="Q138" i="10"/>
  <c r="EE138" i="10"/>
  <c r="Q327" i="10"/>
  <c r="BN327" i="10" s="1"/>
  <c r="EE327" i="10"/>
  <c r="DX327" i="10"/>
  <c r="DY327" i="10"/>
  <c r="ED327" i="10"/>
  <c r="EM327" i="10"/>
  <c r="IM178" i="10"/>
  <c r="Q185" i="10"/>
  <c r="EE185" i="10"/>
  <c r="DX185" i="10"/>
  <c r="DY185" i="10"/>
  <c r="ED185" i="10"/>
  <c r="EM185" i="10"/>
  <c r="Q336" i="10"/>
  <c r="GI336" i="10" s="1"/>
  <c r="AT336" i="10" s="1"/>
  <c r="EE336" i="10"/>
  <c r="Q231" i="10"/>
  <c r="EE231" i="10"/>
  <c r="DX231" i="10"/>
  <c r="DY231" i="10"/>
  <c r="ED231" i="10"/>
  <c r="EM231" i="10"/>
  <c r="Q352" i="10"/>
  <c r="EE352" i="10"/>
  <c r="DX352" i="10"/>
  <c r="DY352" i="10"/>
  <c r="ED352" i="10"/>
  <c r="Q300" i="10"/>
  <c r="BN300" i="10" s="1"/>
  <c r="EE300" i="10"/>
  <c r="DX300" i="10"/>
  <c r="DY300" i="10"/>
  <c r="ED300" i="10"/>
  <c r="EM300" i="10"/>
  <c r="Q347" i="10"/>
  <c r="BN347" i="10" s="1"/>
  <c r="EE347" i="10"/>
  <c r="JO265" i="10"/>
  <c r="Q162" i="10"/>
  <c r="BN162" i="10"/>
  <c r="EE162" i="10"/>
  <c r="Q318" i="10"/>
  <c r="EE318" i="10"/>
  <c r="Q375" i="10"/>
  <c r="EE375" i="10"/>
  <c r="Q381" i="10"/>
  <c r="EE381" i="10"/>
  <c r="Q172" i="10"/>
  <c r="BN172" i="10" s="1"/>
  <c r="DX172" i="10"/>
  <c r="DY172" i="10"/>
  <c r="ED172" i="10"/>
  <c r="EM172" i="10"/>
  <c r="EE172" i="10"/>
  <c r="Q246" i="10"/>
  <c r="EE246" i="10"/>
  <c r="Q182" i="10"/>
  <c r="EE182" i="10"/>
  <c r="Q321" i="10"/>
  <c r="EE321" i="10"/>
  <c r="Q276" i="10"/>
  <c r="EE276" i="10"/>
  <c r="Q290" i="10"/>
  <c r="EE290" i="10"/>
  <c r="Q232" i="10"/>
  <c r="BN232" i="10" s="1"/>
  <c r="EE232" i="10"/>
  <c r="Q340" i="10"/>
  <c r="BN340" i="10"/>
  <c r="EE340" i="10"/>
  <c r="Q308" i="10"/>
  <c r="BN308" i="10" s="1"/>
  <c r="JM308" i="10" s="1"/>
  <c r="EE308" i="10"/>
  <c r="Q181" i="10"/>
  <c r="EE181" i="10"/>
  <c r="Q207" i="10"/>
  <c r="BN207" i="10" s="1"/>
  <c r="EE207" i="10"/>
  <c r="Q275" i="10"/>
  <c r="EE275" i="10"/>
  <c r="Q358" i="10"/>
  <c r="EE358" i="10"/>
  <c r="Q249" i="10"/>
  <c r="DX249" i="10"/>
  <c r="DY249" i="10"/>
  <c r="ED249" i="10"/>
  <c r="EM249" i="10"/>
  <c r="EE249" i="10"/>
  <c r="Q282" i="10"/>
  <c r="BN282" i="10"/>
  <c r="EE282" i="10"/>
  <c r="Q361" i="10"/>
  <c r="BN361" i="10" s="1"/>
  <c r="DX361" i="10"/>
  <c r="DY361" i="10"/>
  <c r="ED361" i="10"/>
  <c r="EM361" i="10"/>
  <c r="EE361" i="10"/>
  <c r="Q342" i="10"/>
  <c r="EE342" i="10"/>
  <c r="Q297" i="10"/>
  <c r="BN297" i="10" s="1"/>
  <c r="EE297" i="10"/>
  <c r="EE324" i="10"/>
  <c r="DX324" i="10"/>
  <c r="DY324" i="10"/>
  <c r="ED324" i="10"/>
  <c r="EM324" i="10"/>
  <c r="Q204" i="10"/>
  <c r="BN204" i="10" s="1"/>
  <c r="EE204" i="10"/>
  <c r="Q313" i="10"/>
  <c r="BN313" i="10" s="1"/>
  <c r="EE313" i="10"/>
  <c r="IM181" i="10"/>
  <c r="Q224" i="10"/>
  <c r="BN224" i="10" s="1"/>
  <c r="A218" i="15" s="1"/>
  <c r="EE224" i="10"/>
  <c r="Q267" i="10"/>
  <c r="EE267" i="10"/>
  <c r="Q320" i="10"/>
  <c r="EE320" i="10"/>
  <c r="JP81" i="10"/>
  <c r="JN81" i="10"/>
  <c r="Q298" i="10"/>
  <c r="EE298" i="10"/>
  <c r="DX298" i="10"/>
  <c r="DY298" i="10"/>
  <c r="ED298" i="10"/>
  <c r="EM298" i="10"/>
  <c r="Q328" i="10"/>
  <c r="EE328" i="10"/>
  <c r="Q353" i="10"/>
  <c r="BN353" i="10" s="1"/>
  <c r="EE353" i="10"/>
  <c r="Q356" i="10"/>
  <c r="BN356" i="10"/>
  <c r="JM356" i="10" s="1"/>
  <c r="EE356" i="10"/>
  <c r="DX356" i="10"/>
  <c r="DY356" i="10"/>
  <c r="ED356" i="10"/>
  <c r="EM356" i="10"/>
  <c r="Q218" i="10"/>
  <c r="EE218" i="10"/>
  <c r="EM105" i="10"/>
  <c r="IM203" i="10"/>
  <c r="IM200" i="10"/>
  <c r="DX275" i="10"/>
  <c r="DY275" i="10"/>
  <c r="ED275" i="10"/>
  <c r="DX319" i="10"/>
  <c r="DY319" i="10"/>
  <c r="ED319" i="10"/>
  <c r="EM319" i="10"/>
  <c r="EE319" i="10"/>
  <c r="EE332" i="10"/>
  <c r="DX331" i="10"/>
  <c r="DY331" i="10"/>
  <c r="ED331" i="10"/>
  <c r="EE330" i="10"/>
  <c r="DX243" i="10"/>
  <c r="DY243" i="10"/>
  <c r="ED243" i="10"/>
  <c r="EM243" i="10"/>
  <c r="EE243" i="10"/>
  <c r="EE348" i="10"/>
  <c r="DX316" i="10"/>
  <c r="DY316" i="10"/>
  <c r="ED316" i="10"/>
  <c r="EM316" i="10"/>
  <c r="EE316" i="10"/>
  <c r="EE317" i="10"/>
  <c r="JP133" i="10"/>
  <c r="JN133" i="10"/>
  <c r="IM163" i="10"/>
  <c r="IM245" i="10"/>
  <c r="IM278" i="10"/>
  <c r="DX347" i="10"/>
  <c r="DY347" i="10"/>
  <c r="ED347" i="10"/>
  <c r="DX378" i="10"/>
  <c r="DY378" i="10"/>
  <c r="ED378" i="10"/>
  <c r="EM378" i="10"/>
  <c r="EE378" i="10"/>
  <c r="DX219" i="10"/>
  <c r="DY219" i="10"/>
  <c r="ED219" i="10"/>
  <c r="DX343" i="10"/>
  <c r="DY343" i="10"/>
  <c r="ED343" i="10"/>
  <c r="EM343" i="10"/>
  <c r="EE343" i="10"/>
  <c r="DX323" i="10"/>
  <c r="DY323" i="10"/>
  <c r="ED323" i="10"/>
  <c r="EM323" i="10"/>
  <c r="EE323" i="10"/>
  <c r="EE384" i="10"/>
  <c r="EE370" i="10"/>
  <c r="IM336" i="10"/>
  <c r="EE314" i="10"/>
  <c r="EE102" i="10"/>
  <c r="EE344" i="10"/>
  <c r="IM183" i="10"/>
  <c r="EE366" i="10"/>
  <c r="DX383" i="10"/>
  <c r="DY383" i="10"/>
  <c r="ED383" i="10"/>
  <c r="EM383" i="10"/>
  <c r="EE383" i="10"/>
  <c r="DX164" i="10"/>
  <c r="DY164" i="10"/>
  <c r="ED164" i="10"/>
  <c r="EM164" i="10"/>
  <c r="EE164" i="10"/>
  <c r="EE357" i="10"/>
  <c r="DX335" i="10"/>
  <c r="DY335" i="10"/>
  <c r="ED335" i="10"/>
  <c r="EM335" i="10"/>
  <c r="EE335" i="10"/>
  <c r="EE200" i="10"/>
  <c r="DX363" i="10"/>
  <c r="DY363" i="10"/>
  <c r="ED363" i="10"/>
  <c r="EM363" i="10"/>
  <c r="EE363" i="10"/>
  <c r="DX180" i="10"/>
  <c r="DY180" i="10"/>
  <c r="ED180" i="10"/>
  <c r="EE385" i="10"/>
  <c r="EE351" i="10"/>
  <c r="EE234" i="10"/>
  <c r="EM310" i="10"/>
  <c r="EM197" i="10"/>
  <c r="DX260" i="10"/>
  <c r="DY260" i="10"/>
  <c r="ED260" i="10"/>
  <c r="EM260" i="10"/>
  <c r="EE260" i="10"/>
  <c r="DX333" i="10"/>
  <c r="DY333" i="10"/>
  <c r="ED333" i="10"/>
  <c r="EM333" i="10"/>
  <c r="EE333" i="10"/>
  <c r="EE79" i="10"/>
  <c r="DX236" i="10"/>
  <c r="DY236" i="10"/>
  <c r="ED236" i="10"/>
  <c r="DX362" i="10"/>
  <c r="DY362" i="10"/>
  <c r="ED362" i="10"/>
  <c r="EM362" i="10"/>
  <c r="EE362" i="10"/>
  <c r="EE259" i="10"/>
  <c r="EE269" i="10"/>
  <c r="DX364" i="10"/>
  <c r="DY364" i="10"/>
  <c r="ED364" i="10"/>
  <c r="EM364" i="10"/>
  <c r="EE364" i="10"/>
  <c r="JO349" i="10"/>
  <c r="IM302" i="10"/>
  <c r="DX235" i="10"/>
  <c r="DY235" i="10"/>
  <c r="ED235" i="10"/>
  <c r="DX329" i="10"/>
  <c r="DY329" i="10"/>
  <c r="ED329" i="10"/>
  <c r="EM329" i="10"/>
  <c r="EE329" i="10"/>
  <c r="EE373" i="10"/>
  <c r="EE277" i="10"/>
  <c r="DX277" i="10"/>
  <c r="DY277" i="10"/>
  <c r="ED277" i="10"/>
  <c r="EM277" i="10"/>
  <c r="DX278" i="10"/>
  <c r="DY278" i="10"/>
  <c r="ED278" i="10"/>
  <c r="EM278" i="10"/>
  <c r="EE278" i="10"/>
  <c r="EE360" i="10"/>
  <c r="DX126" i="10"/>
  <c r="DY126" i="10"/>
  <c r="ED126" i="10"/>
  <c r="EM126" i="10"/>
  <c r="EE126" i="10"/>
  <c r="DX286" i="10"/>
  <c r="DY286" i="10"/>
  <c r="ED286" i="10"/>
  <c r="IM269" i="10"/>
  <c r="DX271" i="10"/>
  <c r="DY271" i="10"/>
  <c r="ED271" i="10"/>
  <c r="EE345" i="10"/>
  <c r="EE325" i="10"/>
  <c r="DX382" i="10"/>
  <c r="DY382" i="10"/>
  <c r="ED382" i="10"/>
  <c r="EM382" i="10"/>
  <c r="EE382" i="10"/>
  <c r="EE149" i="10"/>
  <c r="DX149" i="10"/>
  <c r="DY149" i="10"/>
  <c r="ED149" i="10"/>
  <c r="EM149" i="10"/>
  <c r="DX371" i="10"/>
  <c r="DY371" i="10"/>
  <c r="ED371" i="10"/>
  <c r="EM371" i="10"/>
  <c r="EE371" i="10"/>
  <c r="DX142" i="10"/>
  <c r="DY142" i="10"/>
  <c r="ED142" i="10"/>
  <c r="EM142" i="10"/>
  <c r="EE142" i="10"/>
  <c r="DX313" i="10"/>
  <c r="DX349" i="10"/>
  <c r="DY349" i="10"/>
  <c r="ED349" i="10"/>
  <c r="DX287" i="10"/>
  <c r="EE341" i="10"/>
  <c r="EE301" i="10"/>
  <c r="EE85" i="10"/>
  <c r="DX376" i="10"/>
  <c r="DY376" i="10"/>
  <c r="ED376" i="10"/>
  <c r="EM376" i="10"/>
  <c r="EE376" i="10"/>
  <c r="BT349" i="10"/>
  <c r="LD349" i="10"/>
  <c r="Q349" i="10"/>
  <c r="DX346" i="10"/>
  <c r="DY346" i="10"/>
  <c r="ED346" i="10"/>
  <c r="EM346" i="10"/>
  <c r="EE346" i="10"/>
  <c r="DX387" i="10"/>
  <c r="DY387" i="10"/>
  <c r="ED387" i="10"/>
  <c r="EE368" i="10"/>
  <c r="EE171" i="10"/>
  <c r="DX386" i="10"/>
  <c r="DY386" i="10"/>
  <c r="ED386" i="10"/>
  <c r="EM386" i="10"/>
  <c r="EE386" i="10"/>
  <c r="DX131" i="10"/>
  <c r="DY131" i="10"/>
  <c r="ED131" i="10"/>
  <c r="EM131" i="10"/>
  <c r="EE131" i="10"/>
  <c r="DX321" i="10"/>
  <c r="BT387" i="10"/>
  <c r="LD387" i="10"/>
  <c r="Q387" i="10"/>
  <c r="BN387" i="10" s="1"/>
  <c r="A381" i="15" s="1"/>
  <c r="DX369" i="10"/>
  <c r="DY369" i="10"/>
  <c r="ED369" i="10"/>
  <c r="EM369" i="10"/>
  <c r="EE369" i="10"/>
  <c r="IM168" i="10"/>
  <c r="IM323" i="10"/>
  <c r="IM260" i="10"/>
  <c r="JP229" i="10"/>
  <c r="Q351" i="10"/>
  <c r="BN351" i="10"/>
  <c r="EE196" i="10"/>
  <c r="II381" i="10"/>
  <c r="EM144" i="10"/>
  <c r="EE179" i="10"/>
  <c r="EE211" i="10"/>
  <c r="DX312" i="10"/>
  <c r="DY312" i="10"/>
  <c r="ED312" i="10"/>
  <c r="EM312" i="10"/>
  <c r="EE312" i="10"/>
  <c r="DX265" i="10"/>
  <c r="DY265" i="10"/>
  <c r="ED265" i="10"/>
  <c r="EE380" i="10"/>
  <c r="EE339" i="10"/>
  <c r="IM320" i="10"/>
  <c r="EE338" i="10"/>
  <c r="DX350" i="10"/>
  <c r="DY350" i="10"/>
  <c r="ED350" i="10"/>
  <c r="EM350" i="10"/>
  <c r="EE350" i="10"/>
  <c r="Q265" i="10"/>
  <c r="LA265" i="10"/>
  <c r="DX288" i="10"/>
  <c r="DY288" i="10"/>
  <c r="ED288" i="10"/>
  <c r="EM288" i="10"/>
  <c r="EE288" i="10"/>
  <c r="DX280" i="10"/>
  <c r="DY280" i="10"/>
  <c r="ED280" i="10"/>
  <c r="EM280" i="10"/>
  <c r="EE280" i="10"/>
  <c r="DX354" i="10"/>
  <c r="DY354" i="10"/>
  <c r="ED354" i="10"/>
  <c r="EM354" i="10"/>
  <c r="EE354" i="10"/>
  <c r="DX355" i="10"/>
  <c r="DY355" i="10"/>
  <c r="ED355" i="10"/>
  <c r="EM355" i="10"/>
  <c r="EE355" i="10"/>
  <c r="IM130" i="10"/>
  <c r="DX100" i="10"/>
  <c r="DY100" i="10"/>
  <c r="ED100" i="10"/>
  <c r="DX336" i="10"/>
  <c r="DY336" i="10"/>
  <c r="ED336" i="10"/>
  <c r="EE296" i="10"/>
  <c r="DC345" i="10"/>
  <c r="DD345" i="10"/>
  <c r="DE345" i="10"/>
  <c r="LB345" i="10"/>
  <c r="LA345" i="10"/>
  <c r="LC345" i="10"/>
  <c r="BT345" i="10"/>
  <c r="LD345" i="10"/>
  <c r="LE345" i="10"/>
  <c r="LG345" i="10"/>
  <c r="DC262" i="10"/>
  <c r="DC209" i="10"/>
  <c r="LB209" i="10"/>
  <c r="LA209" i="10"/>
  <c r="BT209" i="10"/>
  <c r="LD209" i="10"/>
  <c r="LE209" i="10"/>
  <c r="LG209" i="10"/>
  <c r="DC297" i="10"/>
  <c r="DD297" i="10"/>
  <c r="DE297" i="10"/>
  <c r="LB297" i="10"/>
  <c r="LA297" i="10"/>
  <c r="LC297" i="10"/>
  <c r="BT297" i="10"/>
  <c r="LD297" i="10"/>
  <c r="LE297" i="10"/>
  <c r="LG297" i="10"/>
  <c r="DC97" i="10"/>
  <c r="DE97" i="10"/>
  <c r="LB97" i="10"/>
  <c r="LC97" i="10"/>
  <c r="LE97" i="10"/>
  <c r="LG97" i="10"/>
  <c r="DC353" i="10"/>
  <c r="LB353" i="10"/>
  <c r="LA353" i="10"/>
  <c r="BT353" i="10"/>
  <c r="LD353" i="10"/>
  <c r="LE353" i="10"/>
  <c r="LG353" i="10"/>
  <c r="DC244" i="10"/>
  <c r="LB244" i="10"/>
  <c r="DC242" i="10"/>
  <c r="LB242" i="10"/>
  <c r="LA242" i="10"/>
  <c r="BT242" i="10"/>
  <c r="LD242" i="10"/>
  <c r="LE242" i="10"/>
  <c r="LG242" i="10"/>
  <c r="DC81" i="10"/>
  <c r="DD81" i="10"/>
  <c r="DE81" i="10"/>
  <c r="LB81" i="10"/>
  <c r="LA81" i="10"/>
  <c r="LC81" i="10"/>
  <c r="BT81" i="10"/>
  <c r="LD81" i="10"/>
  <c r="LE81" i="10"/>
  <c r="LG81" i="10"/>
  <c r="DC342" i="10"/>
  <c r="LB342" i="10"/>
  <c r="LA342" i="10"/>
  <c r="BT342" i="10"/>
  <c r="LD342" i="10"/>
  <c r="LE342" i="10"/>
  <c r="LG342" i="10"/>
  <c r="DC201" i="10"/>
  <c r="DD201" i="10"/>
  <c r="DE201" i="10"/>
  <c r="LB201" i="10"/>
  <c r="LA201" i="10"/>
  <c r="LC201" i="10"/>
  <c r="BT201" i="10"/>
  <c r="LD201" i="10"/>
  <c r="LE201" i="10"/>
  <c r="LG201" i="10"/>
  <c r="DC84" i="10"/>
  <c r="DD84" i="10"/>
  <c r="DE84" i="10"/>
  <c r="LB84" i="10"/>
  <c r="LA84" i="10"/>
  <c r="LC84" i="10"/>
  <c r="BT84" i="10"/>
  <c r="LD84" i="10"/>
  <c r="LE84" i="10"/>
  <c r="LG84" i="10"/>
  <c r="DC258" i="10"/>
  <c r="DE258" i="10"/>
  <c r="LB258" i="10"/>
  <c r="LA258" i="10"/>
  <c r="LC258" i="10"/>
  <c r="BT258" i="10"/>
  <c r="LD258" i="10"/>
  <c r="LE258" i="10"/>
  <c r="LG258" i="10"/>
  <c r="DC267" i="10"/>
  <c r="DD267" i="10"/>
  <c r="DE267" i="10"/>
  <c r="LB267" i="10"/>
  <c r="LA267" i="10"/>
  <c r="LC267" i="10"/>
  <c r="BT267" i="10"/>
  <c r="LD267" i="10"/>
  <c r="LE267" i="10"/>
  <c r="LG267" i="10"/>
  <c r="DC306" i="10"/>
  <c r="DC273" i="10"/>
  <c r="DD273" i="10"/>
  <c r="DE273" i="10"/>
  <c r="LB273" i="10"/>
  <c r="LA273" i="10"/>
  <c r="LC273" i="10"/>
  <c r="BT273" i="10"/>
  <c r="LD273" i="10"/>
  <c r="LE273" i="10"/>
  <c r="LG273" i="10"/>
  <c r="DC374" i="10"/>
  <c r="DD374" i="10"/>
  <c r="DE374" i="10"/>
  <c r="LB374" i="10"/>
  <c r="LA374" i="10"/>
  <c r="LC374" i="10"/>
  <c r="BT374" i="10"/>
  <c r="LD374" i="10"/>
  <c r="LE374" i="10"/>
  <c r="LG374" i="10"/>
  <c r="DC347" i="10"/>
  <c r="DD347" i="10"/>
  <c r="DE347" i="10"/>
  <c r="LB347" i="10"/>
  <c r="LA347" i="10"/>
  <c r="LC347" i="10"/>
  <c r="BT347" i="10"/>
  <c r="LD347" i="10"/>
  <c r="LE347" i="10"/>
  <c r="LG347" i="10"/>
  <c r="DC95" i="10"/>
  <c r="DE95" i="10"/>
  <c r="LB95" i="10"/>
  <c r="LA95" i="10"/>
  <c r="LC95" i="10"/>
  <c r="LE95" i="10"/>
  <c r="LG95" i="10"/>
  <c r="DC304" i="10"/>
  <c r="DD304" i="10"/>
  <c r="DE304" i="10"/>
  <c r="LB304" i="10"/>
  <c r="LA304" i="10"/>
  <c r="LC304" i="10"/>
  <c r="BT304" i="10"/>
  <c r="LD304" i="10"/>
  <c r="LE304" i="10"/>
  <c r="LG304" i="10"/>
  <c r="DC108" i="10"/>
  <c r="DE108" i="10"/>
  <c r="LB108" i="10"/>
  <c r="LC108" i="10"/>
  <c r="LE108" i="10"/>
  <c r="LG108" i="10"/>
  <c r="DC177" i="10"/>
  <c r="DD177" i="10"/>
  <c r="DE177" i="10"/>
  <c r="LB177" i="10"/>
  <c r="LA177" i="10"/>
  <c r="LC177" i="10"/>
  <c r="BT177" i="10"/>
  <c r="LD177" i="10"/>
  <c r="LE177" i="10"/>
  <c r="LG177" i="10"/>
  <c r="DC283" i="10"/>
  <c r="DD283" i="10"/>
  <c r="DE283" i="10"/>
  <c r="LB283" i="10"/>
  <c r="LA283" i="10"/>
  <c r="LC283" i="10"/>
  <c r="BT283" i="10"/>
  <c r="LD283" i="10"/>
  <c r="LE283" i="10"/>
  <c r="LG283" i="10"/>
  <c r="DC379" i="10"/>
  <c r="DD379" i="10"/>
  <c r="DE379" i="10"/>
  <c r="LB379" i="10"/>
  <c r="LA379" i="10"/>
  <c r="LC379" i="10"/>
  <c r="BT379" i="10"/>
  <c r="LD379" i="10"/>
  <c r="LE379" i="10"/>
  <c r="LG379" i="10"/>
  <c r="DC363" i="10"/>
  <c r="DD363" i="10"/>
  <c r="DE363" i="10"/>
  <c r="LB363" i="10"/>
  <c r="LA363" i="10"/>
  <c r="LC363" i="10"/>
  <c r="BT363" i="10"/>
  <c r="LD363" i="10"/>
  <c r="LE363" i="10"/>
  <c r="LG363" i="10"/>
  <c r="DC243" i="10"/>
  <c r="DC111" i="10"/>
  <c r="DE111" i="10"/>
  <c r="LB111" i="10"/>
  <c r="LA111" i="10"/>
  <c r="LC111" i="10"/>
  <c r="BT111" i="10"/>
  <c r="LD111" i="10"/>
  <c r="LE111" i="10"/>
  <c r="LG111" i="10"/>
  <c r="DC189" i="10"/>
  <c r="DE189" i="10"/>
  <c r="LB189" i="10"/>
  <c r="LA189" i="10"/>
  <c r="LC189" i="10"/>
  <c r="BT189" i="10"/>
  <c r="LD189" i="10"/>
  <c r="LE189" i="10"/>
  <c r="LG189" i="10"/>
  <c r="DC350" i="10"/>
  <c r="DD350" i="10"/>
  <c r="DE350" i="10"/>
  <c r="LB350" i="10"/>
  <c r="LA350" i="10"/>
  <c r="LC350" i="10"/>
  <c r="BT350" i="10"/>
  <c r="LD350" i="10"/>
  <c r="LE350" i="10"/>
  <c r="LG350" i="10"/>
  <c r="DC339" i="10"/>
  <c r="LB339" i="10"/>
  <c r="LA339" i="10"/>
  <c r="BT339" i="10"/>
  <c r="LD339" i="10"/>
  <c r="LE339" i="10"/>
  <c r="LG339" i="10"/>
  <c r="DC208" i="10"/>
  <c r="LB208" i="10"/>
  <c r="LA208" i="10"/>
  <c r="BT208" i="10"/>
  <c r="LD208" i="10"/>
  <c r="LE208" i="10"/>
  <c r="LG208" i="10"/>
  <c r="DC285" i="10"/>
  <c r="DD285" i="10"/>
  <c r="DE285" i="10"/>
  <c r="LB285" i="10"/>
  <c r="LA285" i="10"/>
  <c r="LC285" i="10"/>
  <c r="BT285" i="10"/>
  <c r="LD285" i="10"/>
  <c r="LE285" i="10"/>
  <c r="LG285" i="10"/>
  <c r="DC162" i="10"/>
  <c r="DC382" i="10"/>
  <c r="DD382" i="10"/>
  <c r="DE382" i="10"/>
  <c r="LB382" i="10"/>
  <c r="LA382" i="10"/>
  <c r="LC382" i="10"/>
  <c r="BT382" i="10"/>
  <c r="LD382" i="10"/>
  <c r="LE382" i="10"/>
  <c r="LG382" i="10"/>
  <c r="DC210" i="10"/>
  <c r="LB210" i="10"/>
  <c r="LA210" i="10"/>
  <c r="BT210" i="10"/>
  <c r="LD210" i="10"/>
  <c r="LE210" i="10"/>
  <c r="LG210" i="10"/>
  <c r="DC371" i="10"/>
  <c r="LB371" i="10"/>
  <c r="LA371" i="10"/>
  <c r="BT371" i="10"/>
  <c r="LD371" i="10"/>
  <c r="LE371" i="10"/>
  <c r="LG371" i="10"/>
  <c r="DC322" i="10"/>
  <c r="LB322" i="10"/>
  <c r="LA322" i="10"/>
  <c r="BT322" i="10"/>
  <c r="LD322" i="10"/>
  <c r="LE322" i="10"/>
  <c r="LG322" i="10"/>
  <c r="DC100" i="10"/>
  <c r="DE100" i="10"/>
  <c r="LB100" i="10"/>
  <c r="LA100" i="10"/>
  <c r="LC100" i="10"/>
  <c r="BT100" i="10"/>
  <c r="LD100" i="10"/>
  <c r="LE100" i="10"/>
  <c r="LG100" i="10"/>
  <c r="DC274" i="10"/>
  <c r="DD274" i="10"/>
  <c r="DE274" i="10"/>
  <c r="LB274" i="10"/>
  <c r="LA274" i="10"/>
  <c r="LC274" i="10"/>
  <c r="BT274" i="10"/>
  <c r="LD274" i="10"/>
  <c r="LE274" i="10"/>
  <c r="LG274" i="10"/>
  <c r="DC206" i="10"/>
  <c r="DD206" i="10"/>
  <c r="DE206" i="10"/>
  <c r="LB206" i="10"/>
  <c r="LA206" i="10"/>
  <c r="LC206" i="10"/>
  <c r="BT206" i="10"/>
  <c r="LD206" i="10"/>
  <c r="LE206" i="10"/>
  <c r="LG206" i="10"/>
  <c r="DC377" i="10"/>
  <c r="DD377" i="10"/>
  <c r="DE377" i="10"/>
  <c r="LB377" i="10"/>
  <c r="LA377" i="10"/>
  <c r="LC377" i="10"/>
  <c r="BT377" i="10"/>
  <c r="LD377" i="10"/>
  <c r="LE377" i="10"/>
  <c r="LG377" i="10"/>
  <c r="DC225" i="10"/>
  <c r="LB225" i="10"/>
  <c r="LA225" i="10"/>
  <c r="BT225" i="10"/>
  <c r="LD225" i="10"/>
  <c r="LE225" i="10"/>
  <c r="LG225" i="10"/>
  <c r="DC291" i="10"/>
  <c r="DD291" i="10"/>
  <c r="DE291" i="10"/>
  <c r="LB291" i="10"/>
  <c r="DC103" i="10"/>
  <c r="DE103" i="10"/>
  <c r="LB103" i="10"/>
  <c r="LA103" i="10"/>
  <c r="LC103" i="10"/>
  <c r="BT103" i="10"/>
  <c r="LD103" i="10"/>
  <c r="LE103" i="10"/>
  <c r="LG103" i="10"/>
  <c r="DC101" i="10"/>
  <c r="DE101" i="10"/>
  <c r="LB101" i="10"/>
  <c r="LC101" i="10"/>
  <c r="LE101" i="10"/>
  <c r="LG101" i="10"/>
  <c r="DC305" i="10"/>
  <c r="DD305" i="10"/>
  <c r="DE305" i="10"/>
  <c r="LB305" i="10"/>
  <c r="LA305" i="10"/>
  <c r="LC305" i="10"/>
  <c r="BT305" i="10"/>
  <c r="LD305" i="10"/>
  <c r="LE305" i="10"/>
  <c r="LG305" i="10"/>
  <c r="DC289" i="10"/>
  <c r="DD289" i="10"/>
  <c r="DE289" i="10"/>
  <c r="LB289" i="10"/>
  <c r="DC94" i="10"/>
  <c r="DD94" i="10"/>
  <c r="DE94" i="10"/>
  <c r="LB94" i="10"/>
  <c r="LA94" i="10"/>
  <c r="LC94" i="10"/>
  <c r="BT94" i="10"/>
  <c r="LD94" i="10"/>
  <c r="LE94" i="10"/>
  <c r="LG94" i="10"/>
  <c r="DC338" i="10"/>
  <c r="LB338" i="10"/>
  <c r="LA338" i="10"/>
  <c r="BT338" i="10"/>
  <c r="LD338" i="10"/>
  <c r="LE338" i="10"/>
  <c r="LG338" i="10"/>
  <c r="DC171" i="10"/>
  <c r="DC310" i="10"/>
  <c r="DD310" i="10"/>
  <c r="DE310" i="10"/>
  <c r="LB310" i="10"/>
  <c r="LA310" i="10"/>
  <c r="LC310" i="10"/>
  <c r="BT310" i="10"/>
  <c r="LD310" i="10"/>
  <c r="LE310" i="10"/>
  <c r="LG310" i="10"/>
  <c r="DC110" i="10"/>
  <c r="DD110" i="10"/>
  <c r="DE110" i="10"/>
  <c r="LB110" i="10"/>
  <c r="LA110" i="10"/>
  <c r="LC110" i="10"/>
  <c r="BT110" i="10"/>
  <c r="LD110" i="10"/>
  <c r="LE110" i="10"/>
  <c r="LG110" i="10"/>
  <c r="DC126" i="10"/>
  <c r="DD126" i="10"/>
  <c r="DE126" i="10"/>
  <c r="LB126" i="10"/>
  <c r="LA126" i="10"/>
  <c r="LC126" i="10"/>
  <c r="BT126" i="10"/>
  <c r="LD126" i="10"/>
  <c r="LE126" i="10"/>
  <c r="LG126" i="10"/>
  <c r="DC286" i="10"/>
  <c r="DD286" i="10"/>
  <c r="DE286" i="10"/>
  <c r="LB286" i="10"/>
  <c r="LA286" i="10"/>
  <c r="LC286" i="10"/>
  <c r="BT286" i="10"/>
  <c r="LD286" i="10"/>
  <c r="LE286" i="10"/>
  <c r="LG286" i="10"/>
  <c r="DC196" i="10"/>
  <c r="DD196" i="10"/>
  <c r="DE196" i="10"/>
  <c r="LB196" i="10"/>
  <c r="LA196" i="10"/>
  <c r="LC196" i="10"/>
  <c r="BT196" i="10"/>
  <c r="LD196" i="10"/>
  <c r="LE196" i="10"/>
  <c r="LG196" i="10"/>
  <c r="DC148" i="10"/>
  <c r="DD148" i="10"/>
  <c r="DE148" i="10"/>
  <c r="LB148" i="10"/>
  <c r="LA148" i="10"/>
  <c r="LC148" i="10"/>
  <c r="BT148" i="10"/>
  <c r="LD148" i="10"/>
  <c r="LE148" i="10"/>
  <c r="DC214" i="10"/>
  <c r="DD214" i="10"/>
  <c r="DE214" i="10"/>
  <c r="LB214" i="10"/>
  <c r="LA214" i="10"/>
  <c r="LC214" i="10"/>
  <c r="BT214" i="10"/>
  <c r="LD214" i="10"/>
  <c r="LE214" i="10"/>
  <c r="LG214" i="10"/>
  <c r="DC129" i="10"/>
  <c r="DD129" i="10"/>
  <c r="DE129" i="10"/>
  <c r="LB129" i="10"/>
  <c r="LC129" i="10"/>
  <c r="LE129" i="10"/>
  <c r="LG129" i="10"/>
  <c r="DC222" i="10"/>
  <c r="DD222" i="10"/>
  <c r="DE222" i="10"/>
  <c r="LB222" i="10"/>
  <c r="LA222" i="10"/>
  <c r="LC222" i="10"/>
  <c r="BT222" i="10"/>
  <c r="LD222" i="10"/>
  <c r="LE222" i="10"/>
  <c r="LG222" i="10"/>
  <c r="DC331" i="10"/>
  <c r="DD331" i="10"/>
  <c r="DE331" i="10"/>
  <c r="LB331" i="10"/>
  <c r="LA331" i="10"/>
  <c r="LC331" i="10"/>
  <c r="BT331" i="10"/>
  <c r="LD331" i="10"/>
  <c r="LE331" i="10"/>
  <c r="LG331" i="10"/>
  <c r="DC121" i="10"/>
  <c r="DD121" i="10"/>
  <c r="DE121" i="10"/>
  <c r="LB121" i="10"/>
  <c r="LC121" i="10"/>
  <c r="LE121" i="10"/>
  <c r="LG121" i="10"/>
  <c r="DC174" i="10"/>
  <c r="LB174" i="10"/>
  <c r="LA174" i="10"/>
  <c r="BT174" i="10"/>
  <c r="LD174" i="10"/>
  <c r="LE174" i="10"/>
  <c r="LG174" i="10"/>
  <c r="DC158" i="10"/>
  <c r="DD158" i="10"/>
  <c r="DE158" i="10"/>
  <c r="LB158" i="10"/>
  <c r="LA158" i="10"/>
  <c r="LC158" i="10"/>
  <c r="BT158" i="10"/>
  <c r="LD158" i="10"/>
  <c r="LE158" i="10"/>
  <c r="LG158" i="10"/>
  <c r="DC355" i="10"/>
  <c r="DD355" i="10"/>
  <c r="DE355" i="10"/>
  <c r="LB355" i="10"/>
  <c r="LA355" i="10"/>
  <c r="LC355" i="10"/>
  <c r="BT355" i="10"/>
  <c r="LD355" i="10"/>
  <c r="LE355" i="10"/>
  <c r="LG355" i="10"/>
  <c r="DC75" i="10"/>
  <c r="DE75" i="10"/>
  <c r="LB75" i="10"/>
  <c r="LC75" i="10"/>
  <c r="LE75" i="10"/>
  <c r="LG75" i="10"/>
  <c r="DC182" i="10"/>
  <c r="DD182" i="10"/>
  <c r="DE182" i="10"/>
  <c r="LB182" i="10"/>
  <c r="LA182" i="10"/>
  <c r="LC182" i="10"/>
  <c r="BT182" i="10"/>
  <c r="LD182" i="10"/>
  <c r="LE182" i="10"/>
  <c r="LG182" i="10"/>
  <c r="DC233" i="10"/>
  <c r="DD233" i="10"/>
  <c r="DE233" i="10"/>
  <c r="LB233" i="10"/>
  <c r="LA233" i="10"/>
  <c r="LC233" i="10"/>
  <c r="BT233" i="10"/>
  <c r="LD233" i="10"/>
  <c r="LE233" i="10"/>
  <c r="LG233" i="10"/>
  <c r="DC142" i="10"/>
  <c r="DD142" i="10"/>
  <c r="DE142" i="10"/>
  <c r="LB142" i="10"/>
  <c r="LA142" i="10"/>
  <c r="LC142" i="10"/>
  <c r="BT142" i="10"/>
  <c r="LD142" i="10"/>
  <c r="LE142" i="10"/>
  <c r="LG142" i="10"/>
  <c r="DC257" i="10"/>
  <c r="LB257" i="10"/>
  <c r="LA257" i="10"/>
  <c r="BT257" i="10"/>
  <c r="LD257" i="10"/>
  <c r="LE257" i="10"/>
  <c r="LG257" i="10"/>
  <c r="DC193" i="10"/>
  <c r="LB193" i="10"/>
  <c r="LA193" i="10"/>
  <c r="BT193" i="10"/>
  <c r="LD193" i="10"/>
  <c r="LE193" i="10"/>
  <c r="LG193" i="10"/>
  <c r="DC134" i="10"/>
  <c r="DD134" i="10"/>
  <c r="DE134" i="10"/>
  <c r="LB134" i="10"/>
  <c r="LA134" i="10"/>
  <c r="LC134" i="10"/>
  <c r="BT134" i="10"/>
  <c r="LD134" i="10"/>
  <c r="LE134" i="10"/>
  <c r="LG134" i="10"/>
  <c r="DC85" i="10"/>
  <c r="DE85" i="10"/>
  <c r="LB85" i="10"/>
  <c r="LA85" i="10"/>
  <c r="LC85" i="10"/>
  <c r="BT85" i="10"/>
  <c r="LD85" i="10"/>
  <c r="LE85" i="10"/>
  <c r="LG85" i="10"/>
  <c r="DC180" i="10"/>
  <c r="DD180" i="10"/>
  <c r="DE180" i="10"/>
  <c r="LB180" i="10"/>
  <c r="LA180" i="10"/>
  <c r="LC180" i="10"/>
  <c r="BT180" i="10"/>
  <c r="LD180" i="10"/>
  <c r="LE180" i="10"/>
  <c r="LG180" i="10"/>
  <c r="DC381" i="10"/>
  <c r="LB381" i="10"/>
  <c r="LA381" i="10"/>
  <c r="BT381" i="10"/>
  <c r="LD381" i="10"/>
  <c r="LE381" i="10"/>
  <c r="LG381" i="10"/>
  <c r="DC281" i="10"/>
  <c r="DC113" i="10"/>
  <c r="DC259" i="10"/>
  <c r="LB259" i="10"/>
  <c r="LA259" i="10"/>
  <c r="BT259" i="10"/>
  <c r="LD259" i="10"/>
  <c r="LE259" i="10"/>
  <c r="LG259" i="10"/>
  <c r="DC153" i="10"/>
  <c r="DD153" i="10"/>
  <c r="DE153" i="10"/>
  <c r="LB153" i="10"/>
  <c r="LC153" i="10"/>
  <c r="LE153" i="10"/>
  <c r="LG153" i="10"/>
  <c r="DC219" i="10"/>
  <c r="LB219" i="10"/>
  <c r="LA219" i="10"/>
  <c r="BT219" i="10"/>
  <c r="LD219" i="10"/>
  <c r="LE219" i="10"/>
  <c r="LG219" i="10"/>
  <c r="DC328" i="10"/>
  <c r="LB328" i="10"/>
  <c r="LA328" i="10"/>
  <c r="BT328" i="10"/>
  <c r="LD328" i="10"/>
  <c r="LE328" i="10"/>
  <c r="LG328" i="10"/>
  <c r="DC238" i="10"/>
  <c r="DD238" i="10"/>
  <c r="DE238" i="10"/>
  <c r="LB238" i="10"/>
  <c r="LA238" i="10"/>
  <c r="LC238" i="10"/>
  <c r="BT238" i="10"/>
  <c r="LD238" i="10"/>
  <c r="LE238" i="10"/>
  <c r="LG238" i="10"/>
  <c r="DC185" i="10"/>
  <c r="DD185" i="10"/>
  <c r="DE185" i="10"/>
  <c r="LB185" i="10"/>
  <c r="LA185" i="10"/>
  <c r="LC185" i="10"/>
  <c r="BT185" i="10"/>
  <c r="LD185" i="10"/>
  <c r="LE185" i="10"/>
  <c r="LG185" i="10"/>
  <c r="DC132" i="10"/>
  <c r="DD132" i="10"/>
  <c r="DE132" i="10"/>
  <c r="LB132" i="10"/>
  <c r="LA132" i="10"/>
  <c r="LC132" i="10"/>
  <c r="BT132" i="10"/>
  <c r="LD132" i="10"/>
  <c r="LE132" i="10"/>
  <c r="LG132" i="10"/>
  <c r="DC166" i="10"/>
  <c r="DC290" i="10"/>
  <c r="DD290" i="10"/>
  <c r="DE290" i="10"/>
  <c r="LB290" i="10"/>
  <c r="LA290" i="10"/>
  <c r="LC290" i="10"/>
  <c r="BT290" i="10"/>
  <c r="LD290" i="10"/>
  <c r="LE290" i="10"/>
  <c r="LG290" i="10"/>
  <c r="DC79" i="10"/>
  <c r="DD79" i="10"/>
  <c r="DE79" i="10"/>
  <c r="LB79" i="10"/>
  <c r="DC190" i="10"/>
  <c r="LB190" i="10"/>
  <c r="LA190" i="10"/>
  <c r="BT190" i="10"/>
  <c r="LD190" i="10"/>
  <c r="LE190" i="10"/>
  <c r="LG190" i="10"/>
  <c r="DC340" i="10"/>
  <c r="DD340" i="10"/>
  <c r="DE340" i="10"/>
  <c r="LB340" i="10"/>
  <c r="LA340" i="10"/>
  <c r="LC340" i="10"/>
  <c r="BT340" i="10"/>
  <c r="LD340" i="10"/>
  <c r="LE340" i="10"/>
  <c r="LG340" i="10"/>
  <c r="DC241" i="10"/>
  <c r="LB241" i="10"/>
  <c r="LA241" i="10"/>
  <c r="BT241" i="10"/>
  <c r="LD241" i="10"/>
  <c r="LE241" i="10"/>
  <c r="LG241" i="10"/>
  <c r="DC235" i="10"/>
  <c r="DD235" i="10"/>
  <c r="DE235" i="10"/>
  <c r="LB235" i="10"/>
  <c r="LA235" i="10"/>
  <c r="LC235" i="10"/>
  <c r="BT235" i="10"/>
  <c r="LD235" i="10"/>
  <c r="LE235" i="10"/>
  <c r="LG235" i="10"/>
  <c r="DC370" i="10"/>
  <c r="DD370" i="10"/>
  <c r="DE370" i="10"/>
  <c r="LB370" i="10"/>
  <c r="LA370" i="10"/>
  <c r="LC370" i="10"/>
  <c r="BT370" i="10"/>
  <c r="LD370" i="10"/>
  <c r="LE370" i="10"/>
  <c r="LG370" i="10"/>
  <c r="DC385" i="10"/>
  <c r="DD385" i="10"/>
  <c r="DE385" i="10"/>
  <c r="LB385" i="10"/>
  <c r="LA385" i="10"/>
  <c r="LC385" i="10"/>
  <c r="BT385" i="10"/>
  <c r="LD385" i="10"/>
  <c r="LE385" i="10"/>
  <c r="LG385" i="10"/>
  <c r="DC195" i="10"/>
  <c r="DD195" i="10"/>
  <c r="DE195" i="10"/>
  <c r="LB195" i="10"/>
  <c r="LA195" i="10"/>
  <c r="LC195" i="10"/>
  <c r="BT195" i="10"/>
  <c r="LD195" i="10"/>
  <c r="LE195" i="10"/>
  <c r="LG195" i="10"/>
  <c r="DC354" i="10"/>
  <c r="LB354" i="10"/>
  <c r="LA354" i="10"/>
  <c r="BT354" i="10"/>
  <c r="LD354" i="10"/>
  <c r="LE354" i="10"/>
  <c r="LG354" i="10"/>
  <c r="DC122" i="10"/>
  <c r="DD122" i="10"/>
  <c r="DE122" i="10"/>
  <c r="LB122" i="10"/>
  <c r="LC122" i="10"/>
  <c r="LE122" i="10"/>
  <c r="LG122" i="10"/>
  <c r="DC204" i="10"/>
  <c r="LB204" i="10"/>
  <c r="LA204" i="10"/>
  <c r="BT204" i="10"/>
  <c r="LD204" i="10"/>
  <c r="LE204" i="10"/>
  <c r="LG204" i="10"/>
  <c r="DC205" i="10"/>
  <c r="DD205" i="10"/>
  <c r="DE205" i="10"/>
  <c r="LB205" i="10"/>
  <c r="DC247" i="10"/>
  <c r="DD247" i="10"/>
  <c r="DE247" i="10"/>
  <c r="LB247" i="10"/>
  <c r="LA247" i="10"/>
  <c r="LC247" i="10"/>
  <c r="BT247" i="10"/>
  <c r="LD247" i="10"/>
  <c r="LE247" i="10"/>
  <c r="LG247" i="10"/>
  <c r="DC287" i="10"/>
  <c r="DD287" i="10"/>
  <c r="DE287" i="10"/>
  <c r="LB287" i="10"/>
  <c r="DC102" i="10"/>
  <c r="DD102" i="10"/>
  <c r="DE102" i="10"/>
  <c r="LB102" i="10"/>
  <c r="LA102" i="10"/>
  <c r="LC102" i="10"/>
  <c r="BT102" i="10"/>
  <c r="LD102" i="10"/>
  <c r="LE102" i="10"/>
  <c r="LG102" i="10"/>
  <c r="DC123" i="10"/>
  <c r="DD123" i="10"/>
  <c r="DE123" i="10"/>
  <c r="LB123" i="10"/>
  <c r="LA123" i="10"/>
  <c r="LC123" i="10"/>
  <c r="BT123" i="10"/>
  <c r="LD123" i="10"/>
  <c r="LE123" i="10"/>
  <c r="LG123" i="10"/>
  <c r="DC82" i="10"/>
  <c r="DD82" i="10"/>
  <c r="DE82" i="10"/>
  <c r="LB82" i="10"/>
  <c r="DC352" i="10"/>
  <c r="DD352" i="10"/>
  <c r="DE352" i="10"/>
  <c r="LB352" i="10"/>
  <c r="LA352" i="10"/>
  <c r="LC352" i="10"/>
  <c r="BT352" i="10"/>
  <c r="LD352" i="10"/>
  <c r="LE352" i="10"/>
  <c r="LG352" i="10"/>
  <c r="DC105" i="10"/>
  <c r="DE105" i="10"/>
  <c r="LB105" i="10"/>
  <c r="DC70" i="10"/>
  <c r="DE70" i="10"/>
  <c r="LB70" i="10"/>
  <c r="LA70" i="10"/>
  <c r="LC70" i="10"/>
  <c r="BT70" i="10"/>
  <c r="LD70" i="10"/>
  <c r="LE70" i="10"/>
  <c r="LG70" i="10"/>
  <c r="DC78" i="10"/>
  <c r="DE78" i="10"/>
  <c r="LB78" i="10"/>
  <c r="LA78" i="10"/>
  <c r="LC78" i="10"/>
  <c r="BT78" i="10"/>
  <c r="LD78" i="10"/>
  <c r="LE78" i="10"/>
  <c r="LG78" i="10"/>
  <c r="DC186" i="10"/>
  <c r="DD186" i="10"/>
  <c r="DE186" i="10"/>
  <c r="LB186" i="10"/>
  <c r="LA186" i="10"/>
  <c r="LC186" i="10"/>
  <c r="BT186" i="10"/>
  <c r="LD186" i="10"/>
  <c r="LE186" i="10"/>
  <c r="LG186" i="10"/>
  <c r="DC73" i="10"/>
  <c r="DD73" i="10"/>
  <c r="DE73" i="10"/>
  <c r="LB73" i="10"/>
  <c r="LA73" i="10"/>
  <c r="LC73" i="10"/>
  <c r="BT73" i="10"/>
  <c r="LD73" i="10"/>
  <c r="LE73" i="10"/>
  <c r="LG73" i="10"/>
  <c r="DC77" i="10"/>
  <c r="DE77" i="10"/>
  <c r="LB77" i="10"/>
  <c r="LC77" i="10"/>
  <c r="LE77" i="10"/>
  <c r="LG77" i="10"/>
  <c r="DC89" i="10"/>
  <c r="DE89" i="10"/>
  <c r="LB89" i="10"/>
  <c r="LA89" i="10"/>
  <c r="LC89" i="10"/>
  <c r="BT89" i="10"/>
  <c r="LD89" i="10"/>
  <c r="LE89" i="10"/>
  <c r="LG89" i="10"/>
  <c r="DC231" i="10"/>
  <c r="DD231" i="10"/>
  <c r="DE231" i="10"/>
  <c r="LB231" i="10"/>
  <c r="LA231" i="10"/>
  <c r="LC231" i="10"/>
  <c r="BT231" i="10"/>
  <c r="LD231" i="10"/>
  <c r="LE231" i="10"/>
  <c r="LG231" i="10"/>
  <c r="DC255" i="10"/>
  <c r="LB255" i="10"/>
  <c r="LA255" i="10"/>
  <c r="BT255" i="10"/>
  <c r="LD255" i="10"/>
  <c r="LE255" i="10"/>
  <c r="LG255" i="10"/>
  <c r="DC93" i="10"/>
  <c r="DE93" i="10"/>
  <c r="LB93" i="10"/>
  <c r="LA93" i="10"/>
  <c r="LC93" i="10"/>
  <c r="BT93" i="10"/>
  <c r="LD93" i="10"/>
  <c r="LE93" i="10"/>
  <c r="LG93" i="10"/>
  <c r="DC99" i="10"/>
  <c r="DD99" i="10"/>
  <c r="DE99" i="10"/>
  <c r="LB99" i="10"/>
  <c r="LC99" i="10"/>
  <c r="LE99" i="10"/>
  <c r="LG99" i="10"/>
  <c r="DC112" i="10"/>
  <c r="DE112" i="10"/>
  <c r="LB112" i="10"/>
  <c r="LA112" i="10"/>
  <c r="LC112" i="10"/>
  <c r="LE112" i="10"/>
  <c r="LG112" i="10"/>
  <c r="DC137" i="10"/>
  <c r="DD137" i="10"/>
  <c r="DE137" i="10"/>
  <c r="LB137" i="10"/>
  <c r="LA137" i="10"/>
  <c r="LC137" i="10"/>
  <c r="BT137" i="10"/>
  <c r="LD137" i="10"/>
  <c r="LE137" i="10"/>
  <c r="LG137" i="10"/>
  <c r="DC330" i="10"/>
  <c r="DC295" i="10"/>
  <c r="LB295" i="10"/>
  <c r="LA295" i="10"/>
  <c r="BT295" i="10"/>
  <c r="LD295" i="10"/>
  <c r="LE295" i="10"/>
  <c r="LG295" i="10"/>
  <c r="DC250" i="10"/>
  <c r="DD250" i="10"/>
  <c r="DE250" i="10"/>
  <c r="LB250" i="10"/>
  <c r="DC383" i="10"/>
  <c r="LB383" i="10"/>
  <c r="LA383" i="10"/>
  <c r="BT383" i="10"/>
  <c r="LD383" i="10"/>
  <c r="LE383" i="10"/>
  <c r="LG383" i="10"/>
  <c r="DC327" i="10"/>
  <c r="LB327" i="10"/>
  <c r="LA327" i="10"/>
  <c r="BT327" i="10"/>
  <c r="LD327" i="10"/>
  <c r="LE327" i="10"/>
  <c r="LG327" i="10"/>
  <c r="DC373" i="10"/>
  <c r="DD373" i="10"/>
  <c r="DE373" i="10"/>
  <c r="LB373" i="10"/>
  <c r="LA373" i="10"/>
  <c r="LC373" i="10"/>
  <c r="BT373" i="10"/>
  <c r="LD373" i="10"/>
  <c r="LE373" i="10"/>
  <c r="LG373" i="10"/>
  <c r="DC282" i="10"/>
  <c r="DD282" i="10"/>
  <c r="DE282" i="10"/>
  <c r="LB282" i="10"/>
  <c r="LA282" i="10"/>
  <c r="LC282" i="10"/>
  <c r="BT282" i="10"/>
  <c r="LD282" i="10"/>
  <c r="LE282" i="10"/>
  <c r="LG282" i="10"/>
  <c r="DC292" i="10"/>
  <c r="DD292" i="10"/>
  <c r="DE292" i="10"/>
  <c r="LB292" i="10"/>
  <c r="LA292" i="10"/>
  <c r="LC292" i="10"/>
  <c r="BT292" i="10"/>
  <c r="LD292" i="10"/>
  <c r="LE292" i="10"/>
  <c r="LG292" i="10"/>
  <c r="DC380" i="10"/>
  <c r="DD380" i="10"/>
  <c r="DE380" i="10"/>
  <c r="LB380" i="10"/>
  <c r="LA380" i="10"/>
  <c r="LC380" i="10"/>
  <c r="BT380" i="10"/>
  <c r="LD380" i="10"/>
  <c r="LE380" i="10"/>
  <c r="LG380" i="10"/>
  <c r="DC303" i="10"/>
  <c r="DD303" i="10"/>
  <c r="DE303" i="10"/>
  <c r="LB303" i="10"/>
  <c r="LA303" i="10"/>
  <c r="LC303" i="10"/>
  <c r="BT303" i="10"/>
  <c r="LD303" i="10"/>
  <c r="LE303" i="10"/>
  <c r="LG303" i="10"/>
  <c r="DC220" i="10"/>
  <c r="DD220" i="10"/>
  <c r="DE220" i="10"/>
  <c r="LB220" i="10"/>
  <c r="LA220" i="10"/>
  <c r="LC220" i="10"/>
  <c r="BT220" i="10"/>
  <c r="LD220" i="10"/>
  <c r="LE220" i="10"/>
  <c r="LG220" i="10"/>
  <c r="DC378" i="10"/>
  <c r="DD378" i="10"/>
  <c r="DE378" i="10"/>
  <c r="LB378" i="10"/>
  <c r="LA378" i="10"/>
  <c r="LC378" i="10"/>
  <c r="BT378" i="10"/>
  <c r="LD378" i="10"/>
  <c r="LE378" i="10"/>
  <c r="LG378" i="10"/>
  <c r="DC319" i="10"/>
  <c r="DD319" i="10"/>
  <c r="DE319" i="10"/>
  <c r="LB319" i="10"/>
  <c r="LA319" i="10"/>
  <c r="LC319" i="10"/>
  <c r="BT319" i="10"/>
  <c r="LD319" i="10"/>
  <c r="LE319" i="10"/>
  <c r="LG319" i="10"/>
  <c r="DC314" i="10"/>
  <c r="LB314" i="10"/>
  <c r="LA314" i="10"/>
  <c r="BT314" i="10"/>
  <c r="LD314" i="10"/>
  <c r="LE314" i="10"/>
  <c r="LG314" i="10"/>
  <c r="DC351" i="10"/>
  <c r="DD351" i="10"/>
  <c r="DE351" i="10"/>
  <c r="LB351" i="10"/>
  <c r="LA351" i="10"/>
  <c r="LC351" i="10"/>
  <c r="BT351" i="10"/>
  <c r="LD351" i="10"/>
  <c r="LE351" i="10"/>
  <c r="LG351" i="10"/>
  <c r="DC161" i="10"/>
  <c r="BT279" i="10"/>
  <c r="LD279" i="10"/>
  <c r="LA337" i="10"/>
  <c r="BT337" i="10"/>
  <c r="LD337" i="10"/>
  <c r="IM127" i="10"/>
  <c r="IM167" i="10"/>
  <c r="IM275" i="10"/>
  <c r="IM88" i="10"/>
  <c r="FG348" i="10"/>
  <c r="JO348" i="10"/>
  <c r="JP210" i="10"/>
  <c r="JN210" i="10"/>
  <c r="JP343" i="10"/>
  <c r="JN343" i="10"/>
  <c r="JO141" i="10"/>
  <c r="FG141" i="10"/>
  <c r="JP109" i="10"/>
  <c r="JN109" i="10"/>
  <c r="II237" i="10"/>
  <c r="JP88" i="10"/>
  <c r="JN88" i="10"/>
  <c r="IM326" i="10"/>
  <c r="JP320" i="10"/>
  <c r="JN320" i="10"/>
  <c r="IM294" i="10"/>
  <c r="JP76" i="10"/>
  <c r="JN76" i="10"/>
  <c r="JP237" i="10"/>
  <c r="JN237" i="10"/>
  <c r="IM270" i="10"/>
  <c r="IM145" i="10"/>
  <c r="IM254" i="10"/>
  <c r="IM143" i="10"/>
  <c r="JP268" i="10"/>
  <c r="JN268" i="10"/>
  <c r="JP311" i="10"/>
  <c r="JN311" i="10"/>
  <c r="IM313" i="10"/>
  <c r="IM369" i="10"/>
  <c r="IM116" i="10"/>
  <c r="IM279" i="10"/>
  <c r="II279" i="10"/>
  <c r="IM140" i="10"/>
  <c r="II386" i="10"/>
  <c r="IM131" i="10"/>
  <c r="II131" i="10"/>
  <c r="JO344" i="10"/>
  <c r="FG344" i="10"/>
  <c r="II380" i="10"/>
  <c r="JP136" i="10"/>
  <c r="JN136" i="10"/>
  <c r="JO334" i="10"/>
  <c r="FG334" i="10"/>
  <c r="II107" i="10"/>
  <c r="IM152" i="10"/>
  <c r="II152" i="10"/>
  <c r="IM136" i="10"/>
  <c r="II136" i="10"/>
  <c r="JP117" i="10"/>
  <c r="JN117" i="10"/>
  <c r="IM356" i="10"/>
  <c r="II356" i="10"/>
  <c r="IM360" i="10"/>
  <c r="IM248" i="10"/>
  <c r="II248" i="10"/>
  <c r="II83" i="10"/>
  <c r="II151" i="10"/>
  <c r="IM72" i="10"/>
  <c r="II72" i="10"/>
  <c r="JP181" i="10"/>
  <c r="JN181" i="10"/>
  <c r="IM150" i="10"/>
  <c r="II150" i="10"/>
  <c r="IM117" i="10"/>
  <c r="II117" i="10"/>
  <c r="IM288" i="10"/>
  <c r="II288" i="10"/>
  <c r="IM128" i="10"/>
  <c r="II128" i="10"/>
  <c r="IM300" i="10"/>
  <c r="II300" i="10"/>
  <c r="IM92" i="10"/>
  <c r="II92" i="10"/>
  <c r="JP74" i="10"/>
  <c r="JN74" i="10"/>
  <c r="II192" i="10"/>
  <c r="IM216" i="10"/>
  <c r="II216" i="10"/>
  <c r="IM144" i="10"/>
  <c r="II144" i="10"/>
  <c r="IM149" i="10"/>
  <c r="II149" i="10"/>
  <c r="II115" i="10"/>
  <c r="IM215" i="10"/>
  <c r="II215" i="10"/>
  <c r="II91" i="10"/>
  <c r="IM229" i="10"/>
  <c r="II229" i="10"/>
  <c r="JP277" i="10"/>
  <c r="JN277" i="10"/>
  <c r="IY149" i="10"/>
  <c r="IM333" i="10"/>
  <c r="II362" i="10"/>
  <c r="IM191" i="10"/>
  <c r="II191" i="10"/>
  <c r="IM312" i="10"/>
  <c r="II312" i="10"/>
  <c r="IM164" i="10"/>
  <c r="IM236" i="10"/>
  <c r="II236" i="10"/>
  <c r="IM341" i="10"/>
  <c r="II341" i="10"/>
  <c r="IM155" i="10"/>
  <c r="II155" i="10"/>
  <c r="JP90" i="10"/>
  <c r="JN90" i="10"/>
  <c r="JO157" i="10"/>
  <c r="FG157" i="10"/>
  <c r="JP160" i="10"/>
  <c r="JN160" i="10"/>
  <c r="IM188" i="10"/>
  <c r="II188" i="10"/>
  <c r="IM223" i="10"/>
  <c r="II223" i="10"/>
  <c r="IM160" i="10"/>
  <c r="II160" i="10"/>
  <c r="IM321" i="10"/>
  <c r="IM104" i="10"/>
  <c r="II104" i="10"/>
  <c r="JO256" i="10"/>
  <c r="FG256" i="10"/>
  <c r="II175" i="10"/>
  <c r="II383" i="10"/>
  <c r="JP98" i="10"/>
  <c r="JN98" i="10"/>
  <c r="IM252" i="10"/>
  <c r="II252" i="10"/>
  <c r="IM199" i="10"/>
  <c r="II199" i="10"/>
  <c r="IM263" i="10"/>
  <c r="II263" i="10"/>
  <c r="IM120" i="10"/>
  <c r="II120" i="10"/>
  <c r="IM197" i="10"/>
  <c r="II197" i="10"/>
  <c r="II316" i="10"/>
  <c r="IM387" i="10"/>
  <c r="IM293" i="10"/>
  <c r="II293" i="10"/>
  <c r="FG324" i="10"/>
  <c r="JO324" i="10"/>
  <c r="II154" i="10"/>
  <c r="II284" i="10"/>
  <c r="JP358" i="10"/>
  <c r="JN358" i="10"/>
  <c r="II384" i="10"/>
  <c r="II357" i="10"/>
  <c r="JP253" i="10"/>
  <c r="JN253" i="10"/>
  <c r="IY381" i="10"/>
  <c r="IM337" i="10"/>
  <c r="IM96" i="10"/>
  <c r="II96" i="10"/>
  <c r="IM202" i="10"/>
  <c r="II202" i="10"/>
  <c r="IM361" i="10"/>
  <c r="IM207" i="10"/>
  <c r="II207" i="10"/>
  <c r="JP184" i="10"/>
  <c r="JN184" i="10"/>
  <c r="JP213" i="10"/>
  <c r="JN213" i="10"/>
  <c r="II80" i="10"/>
  <c r="IM224" i="10"/>
  <c r="II224" i="10"/>
  <c r="IM372" i="10"/>
  <c r="FG317" i="10"/>
  <c r="JO317" i="10"/>
  <c r="JP280" i="10"/>
  <c r="JN280" i="10"/>
  <c r="IM139" i="10"/>
  <c r="II139" i="10"/>
  <c r="IM173" i="10"/>
  <c r="II173" i="10"/>
  <c r="FG315" i="10"/>
  <c r="JO315" i="10"/>
  <c r="IM332" i="10"/>
  <c r="II332" i="10"/>
  <c r="II119" i="10"/>
  <c r="FG359" i="10"/>
  <c r="JO359" i="10"/>
  <c r="FG318" i="10"/>
  <c r="JO318" i="10"/>
  <c r="IM325" i="10"/>
  <c r="II325" i="10"/>
  <c r="IM280" i="10"/>
  <c r="II280" i="10"/>
  <c r="JP124" i="10"/>
  <c r="JN124" i="10"/>
  <c r="JN289" i="10"/>
  <c r="JP289" i="10"/>
  <c r="JP297" i="10"/>
  <c r="JN297" i="10"/>
  <c r="JP244" i="10"/>
  <c r="JN244" i="10"/>
  <c r="JP292" i="10"/>
  <c r="JN292" i="10"/>
  <c r="JP347" i="10"/>
  <c r="JN347" i="10"/>
  <c r="FG361" i="10"/>
  <c r="JO361" i="10"/>
  <c r="JN342" i="10"/>
  <c r="JP342" i="10"/>
  <c r="JP382" i="10"/>
  <c r="JN382" i="10"/>
  <c r="JP328" i="10"/>
  <c r="JN328" i="10"/>
  <c r="FG145" i="10"/>
  <c r="JO145" i="10"/>
  <c r="JP374" i="10"/>
  <c r="JN374" i="10"/>
  <c r="JP105" i="10"/>
  <c r="JN105" i="10"/>
  <c r="JP86" i="10"/>
  <c r="JN86" i="10"/>
  <c r="JP383" i="10"/>
  <c r="JN383" i="10"/>
  <c r="JP208" i="10"/>
  <c r="JN208" i="10"/>
  <c r="JP148" i="10"/>
  <c r="JN148" i="10"/>
  <c r="JN193" i="10"/>
  <c r="JP193" i="10"/>
  <c r="JN338" i="10"/>
  <c r="JP338" i="10"/>
  <c r="JN385" i="10"/>
  <c r="JP385" i="10"/>
  <c r="JP112" i="10"/>
  <c r="JN112" i="10"/>
  <c r="JP196" i="10"/>
  <c r="JN196" i="10"/>
  <c r="JP177" i="10"/>
  <c r="JN177" i="10"/>
  <c r="JN285" i="10"/>
  <c r="JP285" i="10"/>
  <c r="JP354" i="10"/>
  <c r="JN354" i="10"/>
  <c r="JP220" i="10"/>
  <c r="JN220" i="10"/>
  <c r="JP73" i="10"/>
  <c r="JN73" i="10"/>
  <c r="JN189" i="10"/>
  <c r="JP189" i="10"/>
  <c r="JN241" i="10"/>
  <c r="JP241" i="10"/>
  <c r="JP97" i="10"/>
  <c r="JN97" i="10"/>
  <c r="JP273" i="10"/>
  <c r="JN273" i="10"/>
  <c r="JP304" i="10"/>
  <c r="JN304" i="10"/>
  <c r="JN93" i="10"/>
  <c r="JP93" i="10"/>
  <c r="JP225" i="10"/>
  <c r="JN225" i="10"/>
  <c r="JP121" i="10"/>
  <c r="JN121" i="10"/>
  <c r="JN129" i="10"/>
  <c r="JP129" i="10"/>
  <c r="JP201" i="10"/>
  <c r="JN201" i="10"/>
  <c r="JP351" i="10"/>
  <c r="JN351" i="10"/>
  <c r="JP345" i="10"/>
  <c r="JN345" i="10"/>
  <c r="JN85" i="10"/>
  <c r="JP85" i="10"/>
  <c r="JP100" i="10"/>
  <c r="JN100" i="10"/>
  <c r="IY189" i="10"/>
  <c r="IY309" i="10"/>
  <c r="IY165" i="10"/>
  <c r="DX71" i="10"/>
  <c r="DY71" i="10"/>
  <c r="ED71" i="10"/>
  <c r="EM71" i="10"/>
  <c r="EE71" i="10"/>
  <c r="II51" i="10"/>
  <c r="II69" i="10"/>
  <c r="IM62" i="10"/>
  <c r="II54" i="10"/>
  <c r="II65" i="10"/>
  <c r="IM58" i="10"/>
  <c r="II56" i="10"/>
  <c r="II60" i="10"/>
  <c r="DZ59" i="10"/>
  <c r="EA59" i="10"/>
  <c r="EE59" i="10"/>
  <c r="EE60" i="10"/>
  <c r="IM60" i="10"/>
  <c r="DZ58" i="10"/>
  <c r="EA58" i="10"/>
  <c r="EI64" i="10"/>
  <c r="EN64" i="10"/>
  <c r="DX54" i="10"/>
  <c r="DY54" i="10"/>
  <c r="ED54" i="10"/>
  <c r="EM54" i="10"/>
  <c r="DC71" i="10"/>
  <c r="DD71" i="10"/>
  <c r="DE71" i="10"/>
  <c r="LB71" i="10"/>
  <c r="LA71" i="10"/>
  <c r="LC71" i="10"/>
  <c r="BT71" i="10"/>
  <c r="LD71" i="10"/>
  <c r="LE71" i="10"/>
  <c r="LG71" i="10"/>
  <c r="IY56" i="10"/>
  <c r="DD68" i="10"/>
  <c r="IY59" i="10"/>
  <c r="IY52" i="10"/>
  <c r="IY57" i="10"/>
  <c r="IY64" i="10"/>
  <c r="IY62" i="10"/>
  <c r="DD62" i="10"/>
  <c r="IY55" i="10"/>
  <c r="DD55" i="10"/>
  <c r="IY51" i="10"/>
  <c r="DD51" i="10"/>
  <c r="IY63" i="10"/>
  <c r="DD63" i="10"/>
  <c r="LA64" i="10"/>
  <c r="LA61" i="10"/>
  <c r="EA60" i="10"/>
  <c r="DX61" i="10"/>
  <c r="DY61" i="10"/>
  <c r="ED61" i="10"/>
  <c r="EM61" i="10"/>
  <c r="EE66" i="10"/>
  <c r="II58" i="10"/>
  <c r="EA50" i="10"/>
  <c r="EB50" i="10"/>
  <c r="EE63" i="10"/>
  <c r="DZ63" i="10"/>
  <c r="EA63" i="10"/>
  <c r="EB63" i="10"/>
  <c r="DZ67" i="10"/>
  <c r="EA67" i="10"/>
  <c r="EB67" i="10"/>
  <c r="EE67" i="10"/>
  <c r="JO61" i="10"/>
  <c r="DZ69" i="10"/>
  <c r="EA69" i="10"/>
  <c r="EE69" i="10"/>
  <c r="JO64" i="10"/>
  <c r="EE58" i="10"/>
  <c r="II55" i="10"/>
  <c r="DZ46" i="10"/>
  <c r="EA46" i="10"/>
  <c r="EE46" i="10"/>
  <c r="JP46" i="10"/>
  <c r="JN46" i="10"/>
  <c r="EE54" i="10"/>
  <c r="DC66" i="10"/>
  <c r="DE66" i="10"/>
  <c r="LB66" i="10"/>
  <c r="LA66" i="10"/>
  <c r="LC66" i="10"/>
  <c r="BT66" i="10"/>
  <c r="LD66" i="10"/>
  <c r="LE66" i="10"/>
  <c r="LG66" i="10"/>
  <c r="DC53" i="10"/>
  <c r="DE53" i="10"/>
  <c r="LB53" i="10"/>
  <c r="LA53" i="10"/>
  <c r="BT53" i="10"/>
  <c r="LD53" i="10"/>
  <c r="LE53" i="10"/>
  <c r="LG53" i="10"/>
  <c r="DZ49" i="10"/>
  <c r="EA49" i="10"/>
  <c r="EB49" i="10"/>
  <c r="EE49" i="10"/>
  <c r="DZ51" i="10"/>
  <c r="EA51" i="10"/>
  <c r="EB51" i="10"/>
  <c r="EE51" i="10"/>
  <c r="JO33" i="10"/>
  <c r="JN33" i="10"/>
  <c r="DZ62" i="10"/>
  <c r="EA62" i="10"/>
  <c r="EE62" i="10"/>
  <c r="DZ52" i="10"/>
  <c r="EA52" i="10"/>
  <c r="EB52" i="10"/>
  <c r="EE52" i="10"/>
  <c r="EE53" i="10"/>
  <c r="DZ53" i="10"/>
  <c r="EA53" i="10"/>
  <c r="EB53" i="10"/>
  <c r="II66" i="10"/>
  <c r="DZ65" i="10"/>
  <c r="EA65" i="10"/>
  <c r="EE65" i="10"/>
  <c r="IM54" i="10"/>
  <c r="BT64" i="10"/>
  <c r="LD64" i="10"/>
  <c r="II62" i="10"/>
  <c r="EE55" i="10"/>
  <c r="DZ55" i="10"/>
  <c r="EA55" i="10"/>
  <c r="EB55" i="10"/>
  <c r="IM66" i="10"/>
  <c r="DZ56" i="10"/>
  <c r="EA56" i="10"/>
  <c r="EB56" i="10"/>
  <c r="EE56" i="10"/>
  <c r="DZ57" i="10"/>
  <c r="EA57" i="10"/>
  <c r="EB57" i="10"/>
  <c r="EE57" i="10"/>
  <c r="EE68" i="10"/>
  <c r="DZ68" i="10"/>
  <c r="EA68" i="10"/>
  <c r="DC50" i="10"/>
  <c r="DD50" i="10"/>
  <c r="DE50" i="10"/>
  <c r="LB50" i="10"/>
  <c r="LA50" i="10"/>
  <c r="LC50" i="10"/>
  <c r="BT50" i="10"/>
  <c r="LD50" i="10"/>
  <c r="LE50" i="10"/>
  <c r="LG50" i="10"/>
  <c r="DC48" i="10"/>
  <c r="DD48" i="10"/>
  <c r="DE48" i="10"/>
  <c r="LB48" i="10"/>
  <c r="LA48" i="10"/>
  <c r="LC48" i="10"/>
  <c r="BT48" i="10"/>
  <c r="LD48" i="10"/>
  <c r="LE48" i="10"/>
  <c r="LG48" i="10"/>
  <c r="DC63" i="10"/>
  <c r="DE63" i="10"/>
  <c r="LB63" i="10"/>
  <c r="LA63" i="10"/>
  <c r="LC63" i="10"/>
  <c r="BT63" i="10"/>
  <c r="LD63" i="10"/>
  <c r="LE63" i="10"/>
  <c r="LG63" i="10"/>
  <c r="DC52" i="10"/>
  <c r="DE52" i="10"/>
  <c r="LB52" i="10"/>
  <c r="LA52" i="10"/>
  <c r="LC52" i="10"/>
  <c r="BT52" i="10"/>
  <c r="LD52" i="10"/>
  <c r="LE52" i="10"/>
  <c r="LG52" i="10"/>
  <c r="DZ47" i="10"/>
  <c r="EA47" i="10"/>
  <c r="IM55" i="10"/>
  <c r="IM68" i="10"/>
  <c r="JN69" i="10"/>
  <c r="JP69" i="10"/>
  <c r="IM69" i="10"/>
  <c r="IM49" i="10"/>
  <c r="IM65" i="10"/>
  <c r="JP49" i="10"/>
  <c r="JN49" i="10"/>
  <c r="IM56" i="10"/>
  <c r="DD69" i="10"/>
  <c r="II68" i="10"/>
  <c r="II49" i="10"/>
  <c r="II67" i="10"/>
  <c r="IM67" i="10"/>
  <c r="JN62" i="10"/>
  <c r="JP62" i="10"/>
  <c r="IM51" i="10"/>
  <c r="IY66" i="10"/>
  <c r="DD67" i="10"/>
  <c r="AX392" i="10"/>
  <c r="BA392" i="10"/>
  <c r="AO392" i="10"/>
  <c r="DM392" i="10" s="1"/>
  <c r="X392" i="10"/>
  <c r="FK392" i="10"/>
  <c r="AP392" i="10"/>
  <c r="AQ392" i="10"/>
  <c r="IJ392" i="10" s="1"/>
  <c r="AN392" i="10"/>
  <c r="Y392" i="10"/>
  <c r="AY392" i="10"/>
  <c r="AZ392" i="10"/>
  <c r="GH392" i="10"/>
  <c r="JN57" i="10"/>
  <c r="JP57" i="10"/>
  <c r="JP50" i="10"/>
  <c r="JN50" i="10"/>
  <c r="JN52" i="10"/>
  <c r="JP52" i="10"/>
  <c r="EE47" i="10"/>
  <c r="IM36" i="10"/>
  <c r="IM45" i="10"/>
  <c r="IM31" i="10"/>
  <c r="IM37" i="10"/>
  <c r="IM28" i="10"/>
  <c r="IM44" i="10"/>
  <c r="IM32" i="10"/>
  <c r="IM29" i="10"/>
  <c r="IM38" i="10"/>
  <c r="DC47" i="10"/>
  <c r="DD47" i="10"/>
  <c r="DE47" i="10"/>
  <c r="LB47" i="10"/>
  <c r="LA47" i="10"/>
  <c r="LC47" i="10"/>
  <c r="BT47" i="10"/>
  <c r="LD47" i="10"/>
  <c r="LE47" i="10"/>
  <c r="LG47" i="10"/>
  <c r="DD39" i="10"/>
  <c r="LC39" i="10"/>
  <c r="JO38" i="10"/>
  <c r="JN38" i="10"/>
  <c r="JO35" i="10"/>
  <c r="JP35" i="10"/>
  <c r="LA37" i="10"/>
  <c r="DD45" i="10"/>
  <c r="DC30" i="10"/>
  <c r="JO313" i="10"/>
  <c r="FG313" i="10"/>
  <c r="JP82" i="10"/>
  <c r="JN82" i="10"/>
  <c r="JO384" i="10"/>
  <c r="FG384" i="10"/>
  <c r="JP47" i="10"/>
  <c r="JN47" i="10"/>
  <c r="JP111" i="10"/>
  <c r="JN111" i="10"/>
  <c r="JP87" i="10"/>
  <c r="JN87" i="10"/>
  <c r="JP101" i="10"/>
  <c r="JN101" i="10"/>
  <c r="JP106" i="10"/>
  <c r="JN106" i="10"/>
  <c r="FG387" i="10"/>
  <c r="JO387" i="10"/>
  <c r="JP59" i="10"/>
  <c r="JN59" i="10"/>
  <c r="JP48" i="10"/>
  <c r="JN48" i="10"/>
  <c r="JP95" i="10"/>
  <c r="JN95" i="10"/>
  <c r="JP77" i="10"/>
  <c r="JN77" i="10"/>
  <c r="FG333" i="10"/>
  <c r="JO333" i="10"/>
  <c r="FG356" i="10"/>
  <c r="JO356" i="10"/>
  <c r="JP79" i="10"/>
  <c r="JN79" i="10"/>
  <c r="JO390" i="10"/>
  <c r="FG390" i="10"/>
  <c r="FG369" i="10"/>
  <c r="JO369" i="10"/>
  <c r="FG372" i="10"/>
  <c r="JO372" i="10"/>
  <c r="JO337" i="10"/>
  <c r="FG337" i="10"/>
  <c r="JP103" i="10"/>
  <c r="JN103" i="10"/>
  <c r="JP71" i="10"/>
  <c r="JN71" i="10"/>
  <c r="JP63" i="10"/>
  <c r="JN63" i="10"/>
  <c r="JP53" i="10"/>
  <c r="JN53" i="10"/>
  <c r="JO42" i="10"/>
  <c r="II38" i="10"/>
  <c r="II29" i="10"/>
  <c r="IY38" i="10"/>
  <c r="DZ32" i="10"/>
  <c r="EE32" i="10"/>
  <c r="DZ30" i="10"/>
  <c r="EE30" i="10"/>
  <c r="DD41" i="10"/>
  <c r="IY41" i="10"/>
  <c r="DD38" i="10"/>
  <c r="DD35" i="10"/>
  <c r="IY35" i="10"/>
  <c r="II44" i="10"/>
  <c r="IY33" i="10"/>
  <c r="DD33" i="10"/>
  <c r="DD32" i="10"/>
  <c r="DD29" i="10"/>
  <c r="JO29" i="10"/>
  <c r="EE28" i="10"/>
  <c r="DZ28" i="10"/>
  <c r="EE39" i="10"/>
  <c r="DZ39" i="10"/>
  <c r="EA39" i="10"/>
  <c r="EB39" i="10"/>
  <c r="EE36" i="10"/>
  <c r="BT36" i="10"/>
  <c r="LD36" i="10"/>
  <c r="DZ45" i="10"/>
  <c r="EE45" i="10"/>
  <c r="EE37" i="10"/>
  <c r="II45" i="10"/>
  <c r="DZ38" i="10"/>
  <c r="EE38" i="10"/>
  <c r="DZ37" i="10"/>
  <c r="EA37" i="10"/>
  <c r="EB37" i="10"/>
  <c r="DZ36" i="10"/>
  <c r="EA36" i="10"/>
  <c r="DZ44" i="10"/>
  <c r="EE44" i="10"/>
  <c r="JP44" i="10"/>
  <c r="JN44" i="10"/>
  <c r="DZ43" i="10"/>
  <c r="EE43" i="10"/>
  <c r="EA29" i="10"/>
  <c r="DZ27" i="10"/>
  <c r="EE27" i="10"/>
  <c r="II31" i="10"/>
  <c r="JP32" i="10"/>
  <c r="JN32" i="10"/>
  <c r="DZ31" i="10"/>
  <c r="EE31" i="10"/>
  <c r="LA32" i="10"/>
  <c r="BT32" i="10"/>
  <c r="LD32" i="10"/>
  <c r="LA43" i="10"/>
  <c r="BT43" i="10"/>
  <c r="LD43" i="10"/>
  <c r="LA38" i="10"/>
  <c r="BT38" i="10"/>
  <c r="LD38" i="10"/>
  <c r="LA44" i="10"/>
  <c r="BT44" i="10"/>
  <c r="LD44" i="10"/>
  <c r="IM30" i="10"/>
  <c r="II30" i="10"/>
  <c r="JP31" i="10"/>
  <c r="JN31" i="10"/>
  <c r="II32" i="10"/>
  <c r="JP45" i="10"/>
  <c r="JN45" i="10"/>
  <c r="IY32" i="10"/>
  <c r="II28" i="10"/>
  <c r="IY34" i="10"/>
  <c r="DD44" i="10"/>
  <c r="IY40" i="10"/>
  <c r="IY39" i="10"/>
  <c r="JN28" i="10"/>
  <c r="JP28" i="10"/>
  <c r="JO30" i="10"/>
  <c r="JP36" i="10"/>
  <c r="JN36" i="10"/>
  <c r="II36" i="10"/>
  <c r="JN40" i="10"/>
  <c r="JP40" i="10"/>
  <c r="II37" i="10"/>
  <c r="JP37" i="10"/>
  <c r="JN37" i="10"/>
  <c r="IY45" i="10"/>
  <c r="LA125" i="10"/>
  <c r="LA155" i="10"/>
  <c r="LA76" i="10"/>
  <c r="LA80" i="10"/>
  <c r="Q152" i="10"/>
  <c r="BN152" i="10" s="1"/>
  <c r="BT152" i="10"/>
  <c r="LD152" i="10"/>
  <c r="IY129" i="10"/>
  <c r="EE24" i="10"/>
  <c r="BT80" i="10"/>
  <c r="LD80" i="10"/>
  <c r="IY124" i="10"/>
  <c r="EB46" i="10"/>
  <c r="DX46" i="10"/>
  <c r="DY46" i="10"/>
  <c r="ED46" i="10"/>
  <c r="EM46" i="10"/>
  <c r="IY120" i="10"/>
  <c r="DD120" i="10"/>
  <c r="EB47" i="10"/>
  <c r="DX47" i="10"/>
  <c r="DY47" i="10"/>
  <c r="ED47" i="10"/>
  <c r="EM47" i="10"/>
  <c r="IY146" i="10"/>
  <c r="IY135" i="10"/>
  <c r="DD135" i="10"/>
  <c r="EB59" i="10"/>
  <c r="DX59" i="10"/>
  <c r="DY59" i="10"/>
  <c r="ED59" i="10"/>
  <c r="EM59" i="10"/>
  <c r="IY162" i="10"/>
  <c r="DD162" i="10"/>
  <c r="EB68" i="10"/>
  <c r="DX68" i="10"/>
  <c r="DY68" i="10"/>
  <c r="IY154" i="10"/>
  <c r="DD154" i="10"/>
  <c r="EB65" i="10"/>
  <c r="DX65" i="10"/>
  <c r="DY65" i="10"/>
  <c r="EB62" i="10"/>
  <c r="DX62" i="10"/>
  <c r="DY62" i="10"/>
  <c r="EB36" i="10"/>
  <c r="DX36" i="10"/>
  <c r="DY36" i="10"/>
  <c r="DX56" i="10"/>
  <c r="DY56" i="10"/>
  <c r="ED56" i="10"/>
  <c r="EM56" i="10"/>
  <c r="LA119" i="10"/>
  <c r="EB48" i="10"/>
  <c r="DX48" i="10"/>
  <c r="DY48" i="10"/>
  <c r="ED48" i="10"/>
  <c r="EM48" i="10"/>
  <c r="DX51" i="10"/>
  <c r="DY51" i="10"/>
  <c r="ED51" i="10"/>
  <c r="EM51" i="10"/>
  <c r="DX63" i="10"/>
  <c r="DY63" i="10"/>
  <c r="ED63" i="10"/>
  <c r="EM63" i="10"/>
  <c r="IY153" i="10"/>
  <c r="EB29" i="10"/>
  <c r="DX29" i="10"/>
  <c r="DY29" i="10"/>
  <c r="ED29" i="10"/>
  <c r="EM29" i="10"/>
  <c r="IY151" i="10"/>
  <c r="DD151" i="10"/>
  <c r="IY125" i="10"/>
  <c r="DD125" i="10"/>
  <c r="EB60" i="10"/>
  <c r="DX60" i="10"/>
  <c r="DY60" i="10"/>
  <c r="DX39" i="10"/>
  <c r="DY39" i="10"/>
  <c r="ED39" i="10"/>
  <c r="EM39" i="10"/>
  <c r="DX50" i="10"/>
  <c r="IY144" i="10"/>
  <c r="DD144" i="10"/>
  <c r="EB58" i="10"/>
  <c r="DX58" i="10"/>
  <c r="DY58" i="10"/>
  <c r="Q150" i="10"/>
  <c r="BT150" i="10"/>
  <c r="LD150" i="10"/>
  <c r="LA150" i="10"/>
  <c r="IY163" i="10"/>
  <c r="DD163" i="10"/>
  <c r="IY160" i="10"/>
  <c r="DD160" i="10"/>
  <c r="EB69" i="10"/>
  <c r="DX69" i="10"/>
  <c r="DY69" i="10"/>
  <c r="DD60" i="10"/>
  <c r="DE60" i="10"/>
  <c r="EI114" i="10"/>
  <c r="EN114" i="10"/>
  <c r="DE34" i="10"/>
  <c r="EI75" i="10"/>
  <c r="EN75" i="10"/>
  <c r="DE28" i="10"/>
  <c r="LC37" i="10"/>
  <c r="DE65" i="10"/>
  <c r="LC42" i="10"/>
  <c r="ED80" i="10"/>
  <c r="EM80" i="10"/>
  <c r="DE56" i="10"/>
  <c r="DE64" i="10"/>
  <c r="EI156" i="10"/>
  <c r="EN156" i="10"/>
  <c r="DX108" i="10"/>
  <c r="DY108" i="10"/>
  <c r="ED108" i="10"/>
  <c r="EM108" i="10"/>
  <c r="EI310" i="10"/>
  <c r="EN310" i="10"/>
  <c r="LC40" i="10"/>
  <c r="DE40" i="10"/>
  <c r="LC36" i="10"/>
  <c r="DE36" i="10"/>
  <c r="DE43" i="10"/>
  <c r="LC43" i="10"/>
  <c r="IY379" i="10"/>
  <c r="DD243" i="10"/>
  <c r="IY243" i="10"/>
  <c r="IY304" i="10"/>
  <c r="IY170" i="10"/>
  <c r="DD268" i="10"/>
  <c r="IY268" i="10"/>
  <c r="IY287" i="10"/>
  <c r="DD228" i="10"/>
  <c r="IY228" i="10"/>
  <c r="IY310" i="10"/>
  <c r="DD300" i="10"/>
  <c r="IY300" i="10"/>
  <c r="IY186" i="10"/>
  <c r="IY298" i="10"/>
  <c r="DD167" i="10"/>
  <c r="IY167" i="10"/>
  <c r="DD260" i="10"/>
  <c r="IY260" i="10"/>
  <c r="IY303" i="10"/>
  <c r="DD202" i="10"/>
  <c r="IY202" i="10"/>
  <c r="IY182" i="10"/>
  <c r="DD183" i="10"/>
  <c r="IY183" i="10"/>
  <c r="DD301" i="10"/>
  <c r="IY301" i="10"/>
  <c r="DD109" i="10"/>
  <c r="IY109" i="10"/>
  <c r="IY345" i="10"/>
  <c r="IY205" i="10"/>
  <c r="IY132" i="10"/>
  <c r="IY201" i="10"/>
  <c r="DD179" i="10"/>
  <c r="IY179" i="10"/>
  <c r="DD368" i="10"/>
  <c r="IY368" i="10"/>
  <c r="DD341" i="10"/>
  <c r="IY341" i="10"/>
  <c r="DD296" i="10"/>
  <c r="IY296" i="10"/>
  <c r="DD128" i="10"/>
  <c r="IY128" i="10"/>
  <c r="DD246" i="10"/>
  <c r="IY246" i="10"/>
  <c r="DD386" i="10"/>
  <c r="IY386" i="10"/>
  <c r="DD224" i="10"/>
  <c r="IY224" i="10"/>
  <c r="IY340" i="10"/>
  <c r="DD240" i="10"/>
  <c r="IY240" i="10"/>
  <c r="IY331" i="10"/>
  <c r="DD315" i="10"/>
  <c r="IY315" i="10"/>
  <c r="IY196" i="10"/>
  <c r="DD215" i="10"/>
  <c r="IY215" i="10"/>
  <c r="DD188" i="10"/>
  <c r="IY188" i="10"/>
  <c r="DD332" i="10"/>
  <c r="IY332" i="10"/>
  <c r="IY123" i="10"/>
  <c r="IY283" i="10"/>
  <c r="IY376" i="10"/>
  <c r="IY377" i="10"/>
  <c r="DD359" i="10"/>
  <c r="IY359" i="10"/>
  <c r="DD187" i="10"/>
  <c r="IY187" i="10"/>
  <c r="DD181" i="10"/>
  <c r="IY181" i="10"/>
  <c r="IY137" i="10"/>
  <c r="DD334" i="10"/>
  <c r="IY334" i="10"/>
  <c r="IY351" i="10"/>
  <c r="DD155" i="10"/>
  <c r="IY155" i="10"/>
  <c r="IY214" i="10"/>
  <c r="DD184" i="10"/>
  <c r="IY184" i="10"/>
  <c r="IY367" i="10"/>
  <c r="IY250" i="10"/>
  <c r="DD372" i="10"/>
  <c r="IY372" i="10"/>
  <c r="IY266" i="10"/>
  <c r="DD145" i="10"/>
  <c r="IY145" i="10"/>
  <c r="IY286" i="10"/>
  <c r="IY352" i="10"/>
  <c r="IY319" i="10"/>
  <c r="DD230" i="10"/>
  <c r="IY230" i="10"/>
  <c r="DD316" i="10"/>
  <c r="IY316" i="10"/>
  <c r="DD294" i="10"/>
  <c r="IY294" i="10"/>
  <c r="DD157" i="10"/>
  <c r="IY157" i="10"/>
  <c r="IY195" i="10"/>
  <c r="DD198" i="10"/>
  <c r="IY198" i="10"/>
  <c r="IY156" i="10"/>
  <c r="IY285" i="10"/>
  <c r="DD192" i="10"/>
  <c r="IY192" i="10"/>
  <c r="DD131" i="10"/>
  <c r="IY131" i="10"/>
  <c r="DD321" i="10"/>
  <c r="IY321" i="10"/>
  <c r="LC344" i="10"/>
  <c r="DE344" i="10"/>
  <c r="EM99" i="10"/>
  <c r="EI99" i="10"/>
  <c r="EN99" i="10"/>
  <c r="BN391" i="10"/>
  <c r="A385" i="15" s="1"/>
  <c r="U385" i="15" s="1"/>
  <c r="EI119" i="10"/>
  <c r="EN119" i="10"/>
  <c r="EI388" i="10"/>
  <c r="EN388" i="10"/>
  <c r="EI390" i="10"/>
  <c r="EN390" i="10"/>
  <c r="EI152" i="10"/>
  <c r="EN152" i="10"/>
  <c r="EI104" i="10"/>
  <c r="EN104" i="10"/>
  <c r="EI389" i="10"/>
  <c r="EN389" i="10"/>
  <c r="EI136" i="10"/>
  <c r="EN136" i="10"/>
  <c r="EI167" i="10"/>
  <c r="EN167" i="10"/>
  <c r="EI91" i="10"/>
  <c r="EN91" i="10"/>
  <c r="DX391" i="10"/>
  <c r="DY391" i="10"/>
  <c r="ED391" i="10"/>
  <c r="EM391" i="10"/>
  <c r="DC391" i="10"/>
  <c r="LB391" i="10"/>
  <c r="LA391" i="10"/>
  <c r="BT391" i="10"/>
  <c r="LD391" i="10"/>
  <c r="LE391" i="10"/>
  <c r="LG391" i="10"/>
  <c r="DC388" i="10"/>
  <c r="LB388" i="10"/>
  <c r="LA388" i="10"/>
  <c r="BT388" i="10"/>
  <c r="LD388" i="10"/>
  <c r="LE388" i="10"/>
  <c r="LG388" i="10"/>
  <c r="DC390" i="10"/>
  <c r="LB390" i="10"/>
  <c r="LA390" i="10"/>
  <c r="BT390" i="10"/>
  <c r="LD390" i="10"/>
  <c r="LE390" i="10"/>
  <c r="LG390" i="10"/>
  <c r="DC389" i="10"/>
  <c r="LB389" i="10"/>
  <c r="LA389" i="10"/>
  <c r="BT389" i="10"/>
  <c r="LD389" i="10"/>
  <c r="LE389" i="10"/>
  <c r="LG389" i="10"/>
  <c r="IY194" i="10"/>
  <c r="IY291" i="10"/>
  <c r="DD161" i="10"/>
  <c r="IY161" i="10"/>
  <c r="IY138" i="10"/>
  <c r="DD159" i="10"/>
  <c r="IY159" i="10"/>
  <c r="IY247" i="10"/>
  <c r="LC72" i="10"/>
  <c r="DE72" i="10"/>
  <c r="IY122" i="10"/>
  <c r="DD207" i="10"/>
  <c r="IY207" i="10"/>
  <c r="DD113" i="10"/>
  <c r="IY113" i="10"/>
  <c r="IY206" i="10"/>
  <c r="DD293" i="10"/>
  <c r="IY293" i="10"/>
  <c r="DD143" i="10"/>
  <c r="IY143" i="10"/>
  <c r="DD166" i="10"/>
  <c r="IY166" i="10"/>
  <c r="IY385" i="10"/>
  <c r="IY380" i="10"/>
  <c r="DD254" i="10"/>
  <c r="IY254" i="10"/>
  <c r="DD136" i="10"/>
  <c r="IY136" i="10"/>
  <c r="DD323" i="10"/>
  <c r="IY323" i="10"/>
  <c r="IY363" i="10"/>
  <c r="DD306" i="10"/>
  <c r="IY306" i="10"/>
  <c r="DD213" i="10"/>
  <c r="IY213" i="10"/>
  <c r="DD141" i="10"/>
  <c r="IY141" i="10"/>
  <c r="IY370" i="10"/>
  <c r="DD253" i="10"/>
  <c r="IY253" i="10"/>
  <c r="IY148" i="10"/>
  <c r="IY305" i="10"/>
  <c r="DD236" i="10"/>
  <c r="IY236" i="10"/>
  <c r="DD217" i="10"/>
  <c r="IY217" i="10"/>
  <c r="DD164" i="10"/>
  <c r="IY164" i="10"/>
  <c r="LC83" i="10"/>
  <c r="DE83" i="10"/>
  <c r="DD270" i="10"/>
  <c r="IY270" i="10"/>
  <c r="DD265" i="10"/>
  <c r="IY265" i="10"/>
  <c r="DD280" i="10"/>
  <c r="IY280" i="10"/>
  <c r="DD311" i="10"/>
  <c r="IY311" i="10"/>
  <c r="IY185" i="10"/>
  <c r="DD130" i="10"/>
  <c r="IY130" i="10"/>
  <c r="DD317" i="10"/>
  <c r="IY317" i="10"/>
  <c r="IY238" i="10"/>
  <c r="DD133" i="10"/>
  <c r="IY133" i="10"/>
  <c r="DD279" i="10"/>
  <c r="IY279" i="10"/>
  <c r="DD357" i="10"/>
  <c r="IY357" i="10"/>
  <c r="IY231" i="10"/>
  <c r="IY177" i="10"/>
  <c r="DD387" i="10"/>
  <c r="IY387" i="10"/>
  <c r="DD284" i="10"/>
  <c r="IY284" i="10"/>
  <c r="IY274" i="10"/>
  <c r="DD302" i="10"/>
  <c r="IY302" i="10"/>
  <c r="DD277" i="10"/>
  <c r="IY277" i="10"/>
  <c r="DD307" i="10"/>
  <c r="IY307" i="10"/>
  <c r="IY297" i="10"/>
  <c r="DD348" i="10"/>
  <c r="IY348" i="10"/>
  <c r="IY235" i="10"/>
  <c r="IY84" i="10"/>
  <c r="IY172" i="10"/>
  <c r="IY350" i="10"/>
  <c r="DD343" i="10"/>
  <c r="IY343" i="10"/>
  <c r="IY61" i="10"/>
  <c r="DD61" i="10"/>
  <c r="IY234" i="10"/>
  <c r="DD337" i="10"/>
  <c r="IY337" i="10"/>
  <c r="IY102" i="10"/>
  <c r="DD318" i="10"/>
  <c r="IY318" i="10"/>
  <c r="IY289" i="10"/>
  <c r="IY373" i="10"/>
  <c r="DD76" i="10"/>
  <c r="IY76" i="10"/>
  <c r="IY180" i="10"/>
  <c r="DD232" i="10"/>
  <c r="IY232" i="10"/>
  <c r="LC98" i="10"/>
  <c r="DE98" i="10"/>
  <c r="IY364" i="10"/>
  <c r="IY73" i="10"/>
  <c r="IY134" i="10"/>
  <c r="IY48" i="10"/>
  <c r="IY347" i="10"/>
  <c r="DD169" i="10"/>
  <c r="IY169" i="10"/>
  <c r="DD91" i="10"/>
  <c r="IY91" i="10"/>
  <c r="DD252" i="10"/>
  <c r="IY252" i="10"/>
  <c r="LC80" i="10"/>
  <c r="DE80" i="10"/>
  <c r="DD203" i="10"/>
  <c r="IY203" i="10"/>
  <c r="DE117" i="10"/>
  <c r="LC117" i="10"/>
  <c r="DD116" i="10"/>
  <c r="IY116" i="10"/>
  <c r="LC149" i="10"/>
  <c r="DE149" i="10"/>
  <c r="LC90" i="10"/>
  <c r="DE90" i="10"/>
  <c r="IY261" i="10"/>
  <c r="IY71" i="10"/>
  <c r="IY226" i="10"/>
  <c r="IY220" i="10"/>
  <c r="DD308" i="10"/>
  <c r="IY308" i="10"/>
  <c r="IY147" i="10"/>
  <c r="DD272" i="10"/>
  <c r="IY272" i="10"/>
  <c r="DD365" i="10"/>
  <c r="IY365" i="10"/>
  <c r="DD336" i="10"/>
  <c r="IY336" i="10"/>
  <c r="LC88" i="10"/>
  <c r="DE88" i="10"/>
  <c r="DD330" i="10"/>
  <c r="IY330" i="10"/>
  <c r="DD264" i="10"/>
  <c r="IY264" i="10"/>
  <c r="IY99" i="10"/>
  <c r="DD127" i="10"/>
  <c r="IY127" i="10"/>
  <c r="DD92" i="10"/>
  <c r="IY92" i="10"/>
  <c r="IY374" i="10"/>
  <c r="DD358" i="10"/>
  <c r="IY358" i="10"/>
  <c r="IY126" i="10"/>
  <c r="LC107" i="10"/>
  <c r="DE107" i="10"/>
  <c r="LC309" i="10"/>
  <c r="DE309" i="10"/>
  <c r="IY82" i="10"/>
  <c r="IY110" i="10"/>
  <c r="DD119" i="10"/>
  <c r="IY119" i="10"/>
  <c r="IY142" i="10"/>
  <c r="IY94" i="10"/>
  <c r="DD197" i="10"/>
  <c r="IY197" i="10"/>
  <c r="IY54" i="10"/>
  <c r="DD54" i="10"/>
  <c r="IY355" i="10"/>
  <c r="IY158" i="10"/>
  <c r="IY107" i="10"/>
  <c r="IY282" i="10"/>
  <c r="DD104" i="10"/>
  <c r="IY104" i="10"/>
  <c r="IY267" i="10"/>
  <c r="IY290" i="10"/>
  <c r="IY378" i="10"/>
  <c r="DD49" i="10"/>
  <c r="IY49" i="10"/>
  <c r="DD275" i="10"/>
  <c r="IY275" i="10"/>
  <c r="DD96" i="10"/>
  <c r="IY96" i="10"/>
  <c r="DD281" i="10"/>
  <c r="IY281" i="10"/>
  <c r="DD175" i="10"/>
  <c r="IY175" i="10"/>
  <c r="DD212" i="10"/>
  <c r="IY212" i="10"/>
  <c r="DD384" i="10"/>
  <c r="IY384" i="10"/>
  <c r="IY121" i="10"/>
  <c r="LC105" i="10"/>
  <c r="DD152" i="10"/>
  <c r="IY152" i="10"/>
  <c r="DD251" i="10"/>
  <c r="IY251" i="10"/>
  <c r="IY222" i="10"/>
  <c r="IY233" i="10"/>
  <c r="DD74" i="10"/>
  <c r="IY74" i="10"/>
  <c r="DD216" i="10"/>
  <c r="IY216" i="10"/>
  <c r="LC115" i="10"/>
  <c r="DE115" i="10"/>
  <c r="IY273" i="10"/>
  <c r="IY292" i="10"/>
  <c r="DD278" i="10"/>
  <c r="IY278" i="10"/>
  <c r="IY79" i="10"/>
  <c r="DD356" i="10"/>
  <c r="IY356" i="10"/>
  <c r="DD262" i="10"/>
  <c r="IY262" i="10"/>
  <c r="DD171" i="10"/>
  <c r="IY171" i="10"/>
  <c r="DD320" i="10"/>
  <c r="IY320" i="10"/>
  <c r="DD362" i="10"/>
  <c r="IY362" i="10"/>
  <c r="DD325" i="10"/>
  <c r="IY325" i="10"/>
  <c r="DD150" i="10"/>
  <c r="IY150" i="10"/>
  <c r="IY58" i="10"/>
  <c r="DD58" i="10"/>
  <c r="DD288" i="10"/>
  <c r="IY288" i="10"/>
  <c r="DD221" i="10"/>
  <c r="IY221" i="10"/>
  <c r="DD140" i="10"/>
  <c r="IY140" i="10"/>
  <c r="DD139" i="10"/>
  <c r="IY139" i="10"/>
  <c r="IY81" i="10"/>
  <c r="IY382" i="10"/>
  <c r="LC263" i="10"/>
  <c r="DE263" i="10"/>
  <c r="DC253" i="10"/>
  <c r="DE253" i="10"/>
  <c r="LB253" i="10"/>
  <c r="LA253" i="10"/>
  <c r="LC253" i="10"/>
  <c r="BT253" i="10"/>
  <c r="LD253" i="10"/>
  <c r="LE253" i="10"/>
  <c r="LG253" i="10"/>
  <c r="DC260" i="10"/>
  <c r="DE260" i="10"/>
  <c r="LB260" i="10"/>
  <c r="LA260" i="10"/>
  <c r="LC260" i="10"/>
  <c r="BT260" i="10"/>
  <c r="LD260" i="10"/>
  <c r="LE260" i="10"/>
  <c r="LG260" i="10"/>
  <c r="II344" i="10"/>
  <c r="JN388" i="10"/>
  <c r="JP388" i="10"/>
  <c r="II334" i="10"/>
  <c r="IY37" i="10"/>
  <c r="IM40" i="10"/>
  <c r="II40" i="10"/>
  <c r="II33" i="10"/>
  <c r="DE31" i="10"/>
  <c r="IY31" i="10"/>
  <c r="IY30" i="10"/>
  <c r="DD30" i="10"/>
  <c r="EI76" i="10"/>
  <c r="EN76" i="10"/>
  <c r="IY80" i="10"/>
  <c r="IY112" i="10"/>
  <c r="IY108" i="10"/>
  <c r="IY114" i="10"/>
  <c r="IY78" i="10"/>
  <c r="IY95" i="10"/>
  <c r="IY98" i="10"/>
  <c r="A163" i="15"/>
  <c r="LA279" i="10"/>
  <c r="EI129" i="10"/>
  <c r="EN129" i="10"/>
  <c r="LA270" i="10"/>
  <c r="BT270" i="10"/>
  <c r="LD270" i="10"/>
  <c r="EI160" i="10"/>
  <c r="EN160" i="10"/>
  <c r="EI74" i="10"/>
  <c r="EN74" i="10"/>
  <c r="EI173" i="10"/>
  <c r="EN173" i="10"/>
  <c r="DC343" i="10"/>
  <c r="DE343" i="10"/>
  <c r="LB343" i="10"/>
  <c r="LA343" i="10"/>
  <c r="LC343" i="10"/>
  <c r="BT343" i="10"/>
  <c r="LD343" i="10"/>
  <c r="LE343" i="10"/>
  <c r="LG343" i="10"/>
  <c r="EI121" i="10"/>
  <c r="EN121" i="10"/>
  <c r="DX82" i="10"/>
  <c r="DY82" i="10"/>
  <c r="EI170" i="10"/>
  <c r="EN170" i="10"/>
  <c r="EI169" i="10"/>
  <c r="EN169" i="10"/>
  <c r="DC301" i="10"/>
  <c r="DE301" i="10"/>
  <c r="LB301" i="10"/>
  <c r="LA301" i="10"/>
  <c r="LC301" i="10"/>
  <c r="BT301" i="10"/>
  <c r="LD301" i="10"/>
  <c r="LE301" i="10"/>
  <c r="LG301" i="10"/>
  <c r="DX353" i="10"/>
  <c r="DY353" i="10"/>
  <c r="ED353" i="10"/>
  <c r="EM353" i="10"/>
  <c r="EI253" i="10"/>
  <c r="EN253" i="10"/>
  <c r="DX283" i="10"/>
  <c r="DY283" i="10"/>
  <c r="ED283" i="10"/>
  <c r="EI305" i="10"/>
  <c r="EN305" i="10"/>
  <c r="BT237" i="10"/>
  <c r="LD237" i="10"/>
  <c r="LA237" i="10"/>
  <c r="LA228" i="10"/>
  <c r="BT228" i="10"/>
  <c r="LD228" i="10"/>
  <c r="DX135" i="10"/>
  <c r="DY135" i="10"/>
  <c r="ED135" i="10"/>
  <c r="EM135" i="10"/>
  <c r="DX145" i="10"/>
  <c r="DY145" i="10"/>
  <c r="DC125" i="10"/>
  <c r="DE125" i="10"/>
  <c r="LB125" i="10"/>
  <c r="LC125" i="10"/>
  <c r="LE125" i="10"/>
  <c r="LG125" i="10"/>
  <c r="EI133" i="10"/>
  <c r="EN133" i="10"/>
  <c r="EI77" i="10"/>
  <c r="EN77" i="10"/>
  <c r="Q220" i="10"/>
  <c r="BN220" i="10" s="1"/>
  <c r="EI352" i="10"/>
  <c r="EN352" i="10"/>
  <c r="EM352" i="10"/>
  <c r="EI361" i="10"/>
  <c r="EN361" i="10"/>
  <c r="DX320" i="10"/>
  <c r="DY320" i="10"/>
  <c r="ED320" i="10"/>
  <c r="EM320" i="10"/>
  <c r="DX307" i="10"/>
  <c r="DY307" i="10"/>
  <c r="ED307" i="10"/>
  <c r="EM307" i="10"/>
  <c r="DX334" i="10"/>
  <c r="DY334" i="10"/>
  <c r="ED334" i="10"/>
  <c r="EM334" i="10"/>
  <c r="DX370" i="10"/>
  <c r="DY370" i="10"/>
  <c r="ED370" i="10"/>
  <c r="EM370" i="10"/>
  <c r="EI153" i="10"/>
  <c r="EN153" i="10"/>
  <c r="EI367" i="10"/>
  <c r="EN367" i="10"/>
  <c r="DX342" i="10"/>
  <c r="DY342" i="10"/>
  <c r="ED342" i="10"/>
  <c r="EM342" i="10"/>
  <c r="DX308" i="10"/>
  <c r="DY308" i="10"/>
  <c r="ED308" i="10"/>
  <c r="EM308" i="10"/>
  <c r="DX311" i="10"/>
  <c r="DY311" i="10"/>
  <c r="ED311" i="10"/>
  <c r="EM311" i="10"/>
  <c r="EI315" i="10"/>
  <c r="EN315" i="10"/>
  <c r="EI320" i="10"/>
  <c r="EN320" i="10"/>
  <c r="EI359" i="10"/>
  <c r="EN359" i="10"/>
  <c r="EI306" i="10"/>
  <c r="EN306" i="10"/>
  <c r="DX381" i="10"/>
  <c r="DY381" i="10"/>
  <c r="ED381" i="10"/>
  <c r="EM381" i="10"/>
  <c r="DX379" i="10"/>
  <c r="DY379" i="10"/>
  <c r="ED379" i="10"/>
  <c r="EM379" i="10"/>
  <c r="DX340" i="10"/>
  <c r="DY340" i="10"/>
  <c r="ED340" i="10"/>
  <c r="EM340" i="10"/>
  <c r="EI372" i="10"/>
  <c r="EN372" i="10"/>
  <c r="EI356" i="10"/>
  <c r="EN356" i="10"/>
  <c r="DX375" i="10"/>
  <c r="DY375" i="10"/>
  <c r="ED375" i="10"/>
  <c r="EM375" i="10"/>
  <c r="DX377" i="10"/>
  <c r="DY377" i="10"/>
  <c r="ED377" i="10"/>
  <c r="EM377" i="10"/>
  <c r="EI365" i="10"/>
  <c r="EN365" i="10"/>
  <c r="DX358" i="10"/>
  <c r="DY358" i="10"/>
  <c r="ED358" i="10"/>
  <c r="EM358" i="10"/>
  <c r="EI337" i="10"/>
  <c r="EN337" i="10"/>
  <c r="EI374" i="10"/>
  <c r="EN374" i="10"/>
  <c r="DX318" i="10"/>
  <c r="DY318" i="10"/>
  <c r="ED318" i="10"/>
  <c r="EM318" i="10"/>
  <c r="EI309" i="10"/>
  <c r="EN309" i="10"/>
  <c r="DX328" i="10"/>
  <c r="DY328" i="10"/>
  <c r="ED328" i="10"/>
  <c r="EM328" i="10"/>
  <c r="EI324" i="10"/>
  <c r="EN324" i="10"/>
  <c r="EI327" i="10"/>
  <c r="EN327" i="10"/>
  <c r="DX339" i="10"/>
  <c r="DY339" i="10"/>
  <c r="ED339" i="10"/>
  <c r="EM339" i="10"/>
  <c r="EI322" i="10"/>
  <c r="EN322" i="10"/>
  <c r="LA306" i="10"/>
  <c r="BT306" i="10"/>
  <c r="LD306" i="10"/>
  <c r="DC311" i="10"/>
  <c r="DE311" i="10"/>
  <c r="LB311" i="10"/>
  <c r="LA311" i="10"/>
  <c r="LC311" i="10"/>
  <c r="BT311" i="10"/>
  <c r="LD311" i="10"/>
  <c r="LE311" i="10"/>
  <c r="LG311" i="10"/>
  <c r="EI117" i="10"/>
  <c r="EN117" i="10"/>
  <c r="DX233" i="10"/>
  <c r="DY233" i="10"/>
  <c r="ED233" i="10"/>
  <c r="EM233" i="10"/>
  <c r="EI106" i="10"/>
  <c r="EN106" i="10"/>
  <c r="EI83" i="10"/>
  <c r="EN83" i="10"/>
  <c r="Q189" i="10"/>
  <c r="BN189" i="10"/>
  <c r="A183" i="15" s="1"/>
  <c r="EI147" i="10"/>
  <c r="EN147" i="10"/>
  <c r="DX101" i="10"/>
  <c r="DY101" i="10"/>
  <c r="ED101" i="10"/>
  <c r="EI257" i="10"/>
  <c r="EN257" i="10"/>
  <c r="DC307" i="10"/>
  <c r="DE307" i="10"/>
  <c r="LB307" i="10"/>
  <c r="LA307" i="10"/>
  <c r="LC307" i="10"/>
  <c r="BT307" i="10"/>
  <c r="LD307" i="10"/>
  <c r="LE307" i="10"/>
  <c r="LG307" i="10"/>
  <c r="DC168" i="10"/>
  <c r="LB168" i="10"/>
  <c r="LA168" i="10"/>
  <c r="BT168" i="10"/>
  <c r="LD168" i="10"/>
  <c r="LE168" i="10"/>
  <c r="LG168" i="10"/>
  <c r="BT88" i="10"/>
  <c r="LD88" i="10"/>
  <c r="LA88" i="10"/>
  <c r="LA359" i="10"/>
  <c r="BT359" i="10"/>
  <c r="LD359" i="10"/>
  <c r="DC130" i="10"/>
  <c r="DE130" i="10"/>
  <c r="LB130" i="10"/>
  <c r="LA130" i="10"/>
  <c r="LC130" i="10"/>
  <c r="BT130" i="10"/>
  <c r="LD130" i="10"/>
  <c r="LE130" i="10"/>
  <c r="LG130" i="10"/>
  <c r="BT245" i="10"/>
  <c r="LD245" i="10"/>
  <c r="LA245" i="10"/>
  <c r="DC240" i="10"/>
  <c r="DE240" i="10"/>
  <c r="LB240" i="10"/>
  <c r="LA240" i="10"/>
  <c r="LC240" i="10"/>
  <c r="BT240" i="10"/>
  <c r="LD240" i="10"/>
  <c r="LE240" i="10"/>
  <c r="LG240" i="10"/>
  <c r="DC179" i="10"/>
  <c r="DE179" i="10"/>
  <c r="LB179" i="10"/>
  <c r="LA179" i="10"/>
  <c r="LC179" i="10"/>
  <c r="BT179" i="10"/>
  <c r="LD179" i="10"/>
  <c r="LE179" i="10"/>
  <c r="LG179" i="10"/>
  <c r="DX239" i="10"/>
  <c r="DY239" i="10"/>
  <c r="ED239" i="10"/>
  <c r="EM239" i="10"/>
  <c r="EI258" i="10"/>
  <c r="EN258" i="10"/>
  <c r="BT175" i="10"/>
  <c r="LD175" i="10"/>
  <c r="LA175" i="10"/>
  <c r="DC302" i="10"/>
  <c r="DE302" i="10"/>
  <c r="LB302" i="10"/>
  <c r="LA302" i="10"/>
  <c r="LC302" i="10"/>
  <c r="BT302" i="10"/>
  <c r="LD302" i="10"/>
  <c r="LE302" i="10"/>
  <c r="LG302" i="10"/>
  <c r="ED148" i="10"/>
  <c r="EM148" i="10"/>
  <c r="EI210" i="10"/>
  <c r="EN210" i="10"/>
  <c r="EI294" i="10"/>
  <c r="EN294" i="10"/>
  <c r="DX125" i="10"/>
  <c r="DY125" i="10"/>
  <c r="ED125" i="10"/>
  <c r="EM125" i="10"/>
  <c r="BT221" i="10"/>
  <c r="LD221" i="10"/>
  <c r="LA221" i="10"/>
  <c r="DX261" i="10"/>
  <c r="DY261" i="10"/>
  <c r="ED261" i="10"/>
  <c r="EM261" i="10"/>
  <c r="BT262" i="10"/>
  <c r="LD262" i="10"/>
  <c r="LA262" i="10"/>
  <c r="EI112" i="10"/>
  <c r="EN112" i="10"/>
  <c r="BT178" i="10"/>
  <c r="LD178" i="10"/>
  <c r="LA178" i="10"/>
  <c r="DX254" i="10"/>
  <c r="DY254" i="10"/>
  <c r="ED254" i="10"/>
  <c r="EM254" i="10"/>
  <c r="EI292" i="10"/>
  <c r="EN292" i="10"/>
  <c r="BT191" i="10"/>
  <c r="LD191" i="10"/>
  <c r="LA191" i="10"/>
  <c r="EI266" i="10"/>
  <c r="EN266" i="10"/>
  <c r="LA293" i="10"/>
  <c r="BT293" i="10"/>
  <c r="LD293" i="10"/>
  <c r="DX201" i="10"/>
  <c r="DY201" i="10"/>
  <c r="ED201" i="10"/>
  <c r="EM201" i="10"/>
  <c r="DX238" i="10"/>
  <c r="DY238" i="10"/>
  <c r="ED238" i="10"/>
  <c r="EM238" i="10"/>
  <c r="DX223" i="10"/>
  <c r="DY223" i="10"/>
  <c r="ED223" i="10"/>
  <c r="EM223" i="10"/>
  <c r="DY228" i="10"/>
  <c r="ED228" i="10"/>
  <c r="EM228" i="10"/>
  <c r="ED264" i="10"/>
  <c r="EM264" i="10"/>
  <c r="ED140" i="10"/>
  <c r="EM140" i="10"/>
  <c r="DX284" i="10"/>
  <c r="DY284" i="10"/>
  <c r="ED284" i="10"/>
  <c r="EM284" i="10"/>
  <c r="EI165" i="10"/>
  <c r="EN165" i="10"/>
  <c r="EI159" i="10"/>
  <c r="EN159" i="10"/>
  <c r="DY154" i="10"/>
  <c r="DX282" i="10"/>
  <c r="DY282" i="10"/>
  <c r="ED282" i="10"/>
  <c r="EM282" i="10"/>
  <c r="DX224" i="10"/>
  <c r="DY224" i="10"/>
  <c r="ED224" i="10"/>
  <c r="EM224" i="10"/>
  <c r="DX252" i="10"/>
  <c r="DY252" i="10"/>
  <c r="ED252" i="10"/>
  <c r="EM252" i="10"/>
  <c r="EI250" i="10"/>
  <c r="EN250" i="10"/>
  <c r="DX290" i="10"/>
  <c r="DY290" i="10"/>
  <c r="ED290" i="10"/>
  <c r="EM290" i="10"/>
  <c r="Q274" i="10"/>
  <c r="BN274" i="10" s="1"/>
  <c r="DX207" i="10"/>
  <c r="DY207" i="10"/>
  <c r="ED207" i="10"/>
  <c r="EM207" i="10"/>
  <c r="Q208" i="10"/>
  <c r="DC296" i="10"/>
  <c r="DE296" i="10"/>
  <c r="LB296" i="10"/>
  <c r="LA296" i="10"/>
  <c r="LC296" i="10"/>
  <c r="BT296" i="10"/>
  <c r="LD296" i="10"/>
  <c r="LE296" i="10"/>
  <c r="LG296" i="10"/>
  <c r="DC98" i="10"/>
  <c r="LB98" i="10"/>
  <c r="LE98" i="10"/>
  <c r="LG98" i="10"/>
  <c r="DC272" i="10"/>
  <c r="EM274" i="10"/>
  <c r="EI274" i="10"/>
  <c r="EN274" i="10"/>
  <c r="EM293" i="10"/>
  <c r="EI293" i="10"/>
  <c r="EN293" i="10"/>
  <c r="EM262" i="10"/>
  <c r="EI262" i="10"/>
  <c r="EN262" i="10"/>
  <c r="EM245" i="10"/>
  <c r="EI245" i="10"/>
  <c r="EN245" i="10"/>
  <c r="EM241" i="10"/>
  <c r="EI241" i="10"/>
  <c r="EN241" i="10"/>
  <c r="EI110" i="10"/>
  <c r="EN110" i="10"/>
  <c r="EM208" i="10"/>
  <c r="EI208" i="10"/>
  <c r="EN208" i="10"/>
  <c r="EI240" i="10"/>
  <c r="EN240" i="10"/>
  <c r="EI247" i="10"/>
  <c r="EN247" i="10"/>
  <c r="DX242" i="10"/>
  <c r="DY242" i="10"/>
  <c r="ED242" i="10"/>
  <c r="EM242" i="10"/>
  <c r="EI128" i="10"/>
  <c r="EN128" i="10"/>
  <c r="LA107" i="10"/>
  <c r="BT107" i="10"/>
  <c r="LD107" i="10"/>
  <c r="DX130" i="10"/>
  <c r="DY130" i="10"/>
  <c r="ED130" i="10"/>
  <c r="EI97" i="10"/>
  <c r="EN97" i="10"/>
  <c r="EM97" i="10"/>
  <c r="DX195" i="10"/>
  <c r="DY195" i="10"/>
  <c r="ED195" i="10"/>
  <c r="EM195" i="10"/>
  <c r="DX276" i="10"/>
  <c r="DY276" i="10"/>
  <c r="ED276" i="10"/>
  <c r="EM276" i="10"/>
  <c r="DX255" i="10"/>
  <c r="DY255" i="10"/>
  <c r="ED255" i="10"/>
  <c r="EM255" i="10"/>
  <c r="EM237" i="10"/>
  <c r="EI237" i="10"/>
  <c r="EN237" i="10"/>
  <c r="DX267" i="10"/>
  <c r="DY267" i="10"/>
  <c r="ED267" i="10"/>
  <c r="EM267" i="10"/>
  <c r="EI123" i="10"/>
  <c r="EN123" i="10"/>
  <c r="EI197" i="10"/>
  <c r="EN197" i="10"/>
  <c r="GI201" i="10"/>
  <c r="AT201" i="10" s="1"/>
  <c r="EI302" i="10"/>
  <c r="EN302" i="10"/>
  <c r="DX162" i="10"/>
  <c r="DY162" i="10"/>
  <c r="ED162" i="10"/>
  <c r="EM162" i="10"/>
  <c r="EI304" i="10"/>
  <c r="EN304" i="10"/>
  <c r="Q302" i="10"/>
  <c r="EI285" i="10"/>
  <c r="EN285" i="10"/>
  <c r="Q304" i="10"/>
  <c r="BN304" i="10" s="1"/>
  <c r="JM304" i="10" s="1"/>
  <c r="EM175" i="10"/>
  <c r="EI175" i="10"/>
  <c r="EN175" i="10"/>
  <c r="Q130" i="10"/>
  <c r="EI120" i="10"/>
  <c r="EN120" i="10"/>
  <c r="DX93" i="10"/>
  <c r="DY93" i="10"/>
  <c r="ED93" i="10"/>
  <c r="Q287" i="10"/>
  <c r="BT287" i="10"/>
  <c r="LD287" i="10"/>
  <c r="LA287" i="10"/>
  <c r="DX246" i="10"/>
  <c r="DY246" i="10"/>
  <c r="ED246" i="10"/>
  <c r="EM246" i="10"/>
  <c r="EI146" i="10"/>
  <c r="EN146" i="10"/>
  <c r="Q294" i="10"/>
  <c r="BN294" i="10" s="1"/>
  <c r="A288" i="15" s="1"/>
  <c r="LA294" i="10"/>
  <c r="BT294" i="10"/>
  <c r="LD294" i="10"/>
  <c r="EI263" i="10"/>
  <c r="EN263" i="10"/>
  <c r="DX303" i="10"/>
  <c r="DY303" i="10"/>
  <c r="ED303" i="10"/>
  <c r="EM303" i="10"/>
  <c r="Q263" i="10"/>
  <c r="BN263" i="10" s="1"/>
  <c r="BT263" i="10"/>
  <c r="LD263" i="10"/>
  <c r="LA263" i="10"/>
  <c r="DX299" i="10"/>
  <c r="DY299" i="10"/>
  <c r="ED299" i="10"/>
  <c r="EM299" i="10"/>
  <c r="EM270" i="10"/>
  <c r="EI270" i="10"/>
  <c r="EN270" i="10"/>
  <c r="DX281" i="10"/>
  <c r="DY281" i="10"/>
  <c r="ED281" i="10"/>
  <c r="EM281" i="10"/>
  <c r="EI249" i="10"/>
  <c r="EN249" i="10"/>
  <c r="EI72" i="10"/>
  <c r="EN72" i="10"/>
  <c r="EI163" i="10"/>
  <c r="EN163" i="10"/>
  <c r="Q193" i="10"/>
  <c r="Q281" i="10"/>
  <c r="BT281" i="10"/>
  <c r="LD281" i="10"/>
  <c r="LA281" i="10"/>
  <c r="DX204" i="10"/>
  <c r="DY204" i="10"/>
  <c r="ED204" i="10"/>
  <c r="EM204" i="10"/>
  <c r="DX232" i="10"/>
  <c r="DY232" i="10"/>
  <c r="ED232" i="10"/>
  <c r="EM232" i="10"/>
  <c r="DX291" i="10"/>
  <c r="DY291" i="10"/>
  <c r="ED291" i="10"/>
  <c r="EM291" i="10"/>
  <c r="EI202" i="10"/>
  <c r="EN202" i="10"/>
  <c r="DX248" i="10"/>
  <c r="DY248" i="10"/>
  <c r="ED248" i="10"/>
  <c r="EM248" i="10"/>
  <c r="DX94" i="10"/>
  <c r="DY94" i="10"/>
  <c r="ED94" i="10"/>
  <c r="EM94" i="10"/>
  <c r="EI256" i="10"/>
  <c r="EN256" i="10"/>
  <c r="Q202" i="10"/>
  <c r="BN202" i="10"/>
  <c r="BT202" i="10"/>
  <c r="LD202" i="10"/>
  <c r="LA202" i="10"/>
  <c r="EI298" i="10"/>
  <c r="EN298" i="10"/>
  <c r="EI192" i="10"/>
  <c r="EN192" i="10"/>
  <c r="DX96" i="10"/>
  <c r="DY96" i="10"/>
  <c r="ED96" i="10"/>
  <c r="LA256" i="10"/>
  <c r="Q256" i="10"/>
  <c r="BN256" i="10" s="1"/>
  <c r="BT256" i="10"/>
  <c r="LD256" i="10"/>
  <c r="DX295" i="10"/>
  <c r="DY295" i="10"/>
  <c r="ED295" i="10"/>
  <c r="EM295" i="10"/>
  <c r="EI300" i="10"/>
  <c r="EN300" i="10"/>
  <c r="DX272" i="10"/>
  <c r="DY272" i="10"/>
  <c r="ED272" i="10"/>
  <c r="EM272" i="10"/>
  <c r="EI176" i="10"/>
  <c r="EN176" i="10"/>
  <c r="DX111" i="10"/>
  <c r="DY111" i="10"/>
  <c r="ED111" i="10"/>
  <c r="DX186" i="10"/>
  <c r="DY186" i="10"/>
  <c r="ED186" i="10"/>
  <c r="EM186" i="10"/>
  <c r="DX297" i="10"/>
  <c r="DY297" i="10"/>
  <c r="ED297" i="10"/>
  <c r="EM297" i="10"/>
  <c r="Q148" i="10"/>
  <c r="BN148" i="10" s="1"/>
  <c r="EI289" i="10"/>
  <c r="EN289" i="10"/>
  <c r="DX107" i="10"/>
  <c r="DY107" i="10"/>
  <c r="ED107" i="10"/>
  <c r="DC232" i="10"/>
  <c r="DE232" i="10"/>
  <c r="LB232" i="10"/>
  <c r="LA232" i="10"/>
  <c r="LC232" i="10"/>
  <c r="BT232" i="10"/>
  <c r="LD232" i="10"/>
  <c r="LE232" i="10"/>
  <c r="LG232" i="10"/>
  <c r="EI268" i="10"/>
  <c r="EN268" i="10"/>
  <c r="EI116" i="10"/>
  <c r="EN116" i="10"/>
  <c r="EI251" i="10"/>
  <c r="EN251" i="10"/>
  <c r="LA251" i="10"/>
  <c r="BT251" i="10"/>
  <c r="LD251" i="10"/>
  <c r="EI48" i="10"/>
  <c r="EN48" i="10"/>
  <c r="EI127" i="10"/>
  <c r="EN127" i="10"/>
  <c r="EI244" i="10"/>
  <c r="EN244" i="10"/>
  <c r="EI213" i="10"/>
  <c r="EN213" i="10"/>
  <c r="EI227" i="10"/>
  <c r="EN227" i="10"/>
  <c r="EI273" i="10"/>
  <c r="EN273" i="10"/>
  <c r="LA227" i="10"/>
  <c r="BT227" i="10"/>
  <c r="LD227" i="10"/>
  <c r="EI141" i="10"/>
  <c r="EN141" i="10"/>
  <c r="DC268" i="10"/>
  <c r="DE268" i="10"/>
  <c r="LB268" i="10"/>
  <c r="LA268" i="10"/>
  <c r="LC268" i="10"/>
  <c r="BT268" i="10"/>
  <c r="LD268" i="10"/>
  <c r="LE268" i="10"/>
  <c r="LG268" i="10"/>
  <c r="DC184" i="10"/>
  <c r="DE184" i="10"/>
  <c r="LB184" i="10"/>
  <c r="LA184" i="10"/>
  <c r="LC184" i="10"/>
  <c r="BT184" i="10"/>
  <c r="LD184" i="10"/>
  <c r="LE184" i="10"/>
  <c r="LG184" i="10"/>
  <c r="DC198" i="10"/>
  <c r="DE198" i="10"/>
  <c r="LB198" i="10"/>
  <c r="LA198" i="10"/>
  <c r="LC198" i="10"/>
  <c r="BT198" i="10"/>
  <c r="LD198" i="10"/>
  <c r="LE198" i="10"/>
  <c r="LG198" i="10"/>
  <c r="DC278" i="10"/>
  <c r="DE278" i="10"/>
  <c r="LB278" i="10"/>
  <c r="LA278" i="10"/>
  <c r="LC278" i="10"/>
  <c r="BT278" i="10"/>
  <c r="LD278" i="10"/>
  <c r="LE278" i="10"/>
  <c r="LG278" i="10"/>
  <c r="DC251" i="10"/>
  <c r="DE251" i="10"/>
  <c r="LB251" i="10"/>
  <c r="LC251" i="10"/>
  <c r="LE251" i="10"/>
  <c r="LG251" i="10"/>
  <c r="Q140" i="10"/>
  <c r="BN140" i="10" s="1"/>
  <c r="A134" i="15" s="1"/>
  <c r="BT140" i="10"/>
  <c r="LD140" i="10"/>
  <c r="LA140" i="10"/>
  <c r="LA115" i="10"/>
  <c r="BT115" i="10"/>
  <c r="LD115" i="10"/>
  <c r="LA248" i="10"/>
  <c r="BT248" i="10"/>
  <c r="LD248" i="10"/>
  <c r="Q236" i="10"/>
  <c r="BN236" i="10" s="1"/>
  <c r="LA236" i="10"/>
  <c r="BT236" i="10"/>
  <c r="LD236" i="10"/>
  <c r="BT128" i="10"/>
  <c r="LD128" i="10"/>
  <c r="LA128" i="10"/>
  <c r="DC276" i="10"/>
  <c r="LB276" i="10"/>
  <c r="LA276" i="10"/>
  <c r="BT276" i="10"/>
  <c r="LD276" i="10"/>
  <c r="LE276" i="10"/>
  <c r="LG276" i="10"/>
  <c r="DC246" i="10"/>
  <c r="DE246" i="10"/>
  <c r="LB246" i="10"/>
  <c r="LA246" i="10"/>
  <c r="LC246" i="10"/>
  <c r="BT246" i="10"/>
  <c r="LD246" i="10"/>
  <c r="LE246" i="10"/>
  <c r="LG246" i="10"/>
  <c r="Q295" i="10"/>
  <c r="LA250" i="10"/>
  <c r="BT250" i="10"/>
  <c r="LD250" i="10"/>
  <c r="LA244" i="10"/>
  <c r="BT244" i="10"/>
  <c r="LD244" i="10"/>
  <c r="DC76" i="10"/>
  <c r="DE76" i="10"/>
  <c r="LB76" i="10"/>
  <c r="LC76" i="10"/>
  <c r="LE76" i="10"/>
  <c r="LG76" i="10"/>
  <c r="LA199" i="10"/>
  <c r="BT199" i="10"/>
  <c r="LD199" i="10"/>
  <c r="BT213" i="10"/>
  <c r="LD213" i="10"/>
  <c r="LA213" i="10"/>
  <c r="LA141" i="10"/>
  <c r="BT141" i="10"/>
  <c r="LD141" i="10"/>
  <c r="DC365" i="10"/>
  <c r="DE365" i="10"/>
  <c r="LB365" i="10"/>
  <c r="LC365" i="10"/>
  <c r="LE365" i="10"/>
  <c r="LG365" i="10"/>
  <c r="DC308" i="10"/>
  <c r="DE308" i="10"/>
  <c r="LB308" i="10"/>
  <c r="LA308" i="10"/>
  <c r="LC308" i="10"/>
  <c r="BT308" i="10"/>
  <c r="LD308" i="10"/>
  <c r="LE308" i="10"/>
  <c r="LG308" i="10"/>
  <c r="DC366" i="10"/>
  <c r="LB366" i="10"/>
  <c r="LA366" i="10"/>
  <c r="BT366" i="10"/>
  <c r="LD366" i="10"/>
  <c r="LE366" i="10"/>
  <c r="LG366" i="10"/>
  <c r="DC309" i="10"/>
  <c r="LB309" i="10"/>
  <c r="LA309" i="10"/>
  <c r="BT309" i="10"/>
  <c r="LD309" i="10"/>
  <c r="LE309" i="10"/>
  <c r="LG309" i="10"/>
  <c r="DC275" i="10"/>
  <c r="DE275" i="10"/>
  <c r="LB275" i="10"/>
  <c r="LA275" i="10"/>
  <c r="LC275" i="10"/>
  <c r="BT275" i="10"/>
  <c r="LD275" i="10"/>
  <c r="LE275" i="10"/>
  <c r="LG275" i="10"/>
  <c r="Q292" i="10"/>
  <c r="LA159" i="10"/>
  <c r="BT159" i="10"/>
  <c r="LD159" i="10"/>
  <c r="Q143" i="10"/>
  <c r="BN143" i="10" s="1"/>
  <c r="LA143" i="10"/>
  <c r="BT143" i="10"/>
  <c r="LD143" i="10"/>
  <c r="DC386" i="10"/>
  <c r="DE386" i="10"/>
  <c r="LB386" i="10"/>
  <c r="LA386" i="10"/>
  <c r="LC386" i="10"/>
  <c r="BT386" i="10"/>
  <c r="LD386" i="10"/>
  <c r="LE386" i="10"/>
  <c r="LG386" i="10"/>
  <c r="DC133" i="10"/>
  <c r="DE133" i="10"/>
  <c r="LB133" i="10"/>
  <c r="LC133" i="10"/>
  <c r="LE133" i="10"/>
  <c r="LG133" i="10"/>
  <c r="DC237" i="10"/>
  <c r="LB237" i="10"/>
  <c r="LE237" i="10"/>
  <c r="LG237" i="10"/>
  <c r="DC368" i="10"/>
  <c r="DE368" i="10"/>
  <c r="LB368" i="10"/>
  <c r="LA368" i="10"/>
  <c r="LC368" i="10"/>
  <c r="BT368" i="10"/>
  <c r="LD368" i="10"/>
  <c r="LE368" i="10"/>
  <c r="LG368" i="10"/>
  <c r="BT92" i="10"/>
  <c r="LD92" i="10"/>
  <c r="LA92" i="10"/>
  <c r="BT105" i="10"/>
  <c r="LD105" i="10"/>
  <c r="LA105" i="10"/>
  <c r="BT203" i="10"/>
  <c r="LD203" i="10"/>
  <c r="LA203" i="10"/>
  <c r="LA188" i="10"/>
  <c r="BT188" i="10"/>
  <c r="LD188" i="10"/>
  <c r="LA116" i="10"/>
  <c r="BT116" i="10"/>
  <c r="LD116" i="10"/>
  <c r="LA96" i="10"/>
  <c r="BT96" i="10"/>
  <c r="LD96" i="10"/>
  <c r="LA254" i="10"/>
  <c r="BT254" i="10"/>
  <c r="LD254" i="10"/>
  <c r="LA117" i="10"/>
  <c r="BT117" i="10"/>
  <c r="LD117" i="10"/>
  <c r="DC187" i="10"/>
  <c r="LA163" i="10"/>
  <c r="BT163" i="10"/>
  <c r="LD163" i="10"/>
  <c r="Q212" i="10"/>
  <c r="BT212" i="10"/>
  <c r="LD212" i="10"/>
  <c r="LA212" i="10"/>
  <c r="BT161" i="10"/>
  <c r="LD161" i="10"/>
  <c r="LA161" i="10"/>
  <c r="DC213" i="10"/>
  <c r="DE213" i="10"/>
  <c r="LB213" i="10"/>
  <c r="LC213" i="10"/>
  <c r="LE213" i="10"/>
  <c r="LG213" i="10"/>
  <c r="DC228" i="10"/>
  <c r="DE228" i="10"/>
  <c r="LB228" i="10"/>
  <c r="LC228" i="10"/>
  <c r="LE228" i="10"/>
  <c r="LG228" i="10"/>
  <c r="DC109" i="10"/>
  <c r="DE109" i="10"/>
  <c r="LB109" i="10"/>
  <c r="LC109" i="10"/>
  <c r="LE109" i="10"/>
  <c r="LG109" i="10"/>
  <c r="DC178" i="10"/>
  <c r="LB178" i="10"/>
  <c r="LE178" i="10"/>
  <c r="LG178" i="10"/>
  <c r="BT120" i="10"/>
  <c r="LD120" i="10"/>
  <c r="LA120" i="10"/>
  <c r="Q146" i="10"/>
  <c r="BN146" i="10" s="1"/>
  <c r="A140" i="15" s="1"/>
  <c r="BT72" i="10"/>
  <c r="LD72" i="10"/>
  <c r="LA72" i="10"/>
  <c r="Q222" i="10"/>
  <c r="BT144" i="10"/>
  <c r="LD144" i="10"/>
  <c r="LA144" i="10"/>
  <c r="LA192" i="10"/>
  <c r="BT192" i="10"/>
  <c r="LD192" i="10"/>
  <c r="LA176" i="10"/>
  <c r="BT176" i="10"/>
  <c r="LD176" i="10"/>
  <c r="BT197" i="10"/>
  <c r="LD197" i="10"/>
  <c r="LA197" i="10"/>
  <c r="LA139" i="10"/>
  <c r="BT139" i="10"/>
  <c r="LD139" i="10"/>
  <c r="DC230" i="10"/>
  <c r="DE230" i="10"/>
  <c r="LB230" i="10"/>
  <c r="LA230" i="10"/>
  <c r="LC230" i="10"/>
  <c r="BT230" i="10"/>
  <c r="LD230" i="10"/>
  <c r="LE230" i="10"/>
  <c r="LG230" i="10"/>
  <c r="DC159" i="10"/>
  <c r="DE159" i="10"/>
  <c r="LB159" i="10"/>
  <c r="LC159" i="10"/>
  <c r="LE159" i="10"/>
  <c r="LG159" i="10"/>
  <c r="DC217" i="10"/>
  <c r="DE217" i="10"/>
  <c r="LB217" i="10"/>
  <c r="LA217" i="10"/>
  <c r="LC217" i="10"/>
  <c r="BT217" i="10"/>
  <c r="LD217" i="10"/>
  <c r="LE217" i="10"/>
  <c r="LG217" i="10"/>
  <c r="DC145" i="10"/>
  <c r="DC221" i="10"/>
  <c r="DE221" i="10"/>
  <c r="LB221" i="10"/>
  <c r="LC221" i="10"/>
  <c r="LE221" i="10"/>
  <c r="LG221" i="10"/>
  <c r="DC74" i="10"/>
  <c r="DC176" i="10"/>
  <c r="LB176" i="10"/>
  <c r="LE176" i="10"/>
  <c r="LG176" i="10"/>
  <c r="EM209" i="10"/>
  <c r="EI209" i="10"/>
  <c r="EN209" i="10"/>
  <c r="EM98" i="10"/>
  <c r="EI98" i="10"/>
  <c r="EN98" i="10"/>
  <c r="EM191" i="10"/>
  <c r="EI191" i="10"/>
  <c r="EN191" i="10"/>
  <c r="EM189" i="10"/>
  <c r="EI189" i="10"/>
  <c r="EN189" i="10"/>
  <c r="EM226" i="10"/>
  <c r="EI226" i="10"/>
  <c r="EN226" i="10"/>
  <c r="EM212" i="10"/>
  <c r="EI212" i="10"/>
  <c r="EN212" i="10"/>
  <c r="EM220" i="10"/>
  <c r="EI220" i="10"/>
  <c r="EN220" i="10"/>
  <c r="EI194" i="10"/>
  <c r="EN194" i="10"/>
  <c r="EM194" i="10"/>
  <c r="EM155" i="10"/>
  <c r="EI155" i="10"/>
  <c r="EN155" i="10"/>
  <c r="EM199" i="10"/>
  <c r="EI199" i="10"/>
  <c r="EN199" i="10"/>
  <c r="EM177" i="10"/>
  <c r="EI177" i="10"/>
  <c r="EN177" i="10"/>
  <c r="EM70" i="10"/>
  <c r="EI70" i="10"/>
  <c r="EN70" i="10"/>
  <c r="EM221" i="10"/>
  <c r="EI221" i="10"/>
  <c r="EN221" i="10"/>
  <c r="EM206" i="10"/>
  <c r="EI206" i="10"/>
  <c r="EN206" i="10"/>
  <c r="EM193" i="10"/>
  <c r="EI193" i="10"/>
  <c r="EN193" i="10"/>
  <c r="EM188" i="10"/>
  <c r="EI188" i="10"/>
  <c r="EN188" i="10"/>
  <c r="LA223" i="10"/>
  <c r="Q223" i="10"/>
  <c r="BT223" i="10"/>
  <c r="LD223" i="10"/>
  <c r="DX182" i="10"/>
  <c r="DY182" i="10"/>
  <c r="ED182" i="10"/>
  <c r="EM182" i="10"/>
  <c r="Q165" i="10"/>
  <c r="GI165" i="10" s="1"/>
  <c r="AT165" i="10" s="1"/>
  <c r="Q195" i="10"/>
  <c r="BN195" i="10" s="1"/>
  <c r="A189" i="15" s="1"/>
  <c r="DX205" i="10"/>
  <c r="DY205" i="10"/>
  <c r="ED205" i="10"/>
  <c r="EM205" i="10"/>
  <c r="DX124" i="10"/>
  <c r="DY124" i="10"/>
  <c r="ED124" i="10"/>
  <c r="EM222" i="10"/>
  <c r="EI222" i="10"/>
  <c r="EN222" i="10"/>
  <c r="EI134" i="10"/>
  <c r="EN134" i="10"/>
  <c r="EM87" i="10"/>
  <c r="EI87" i="10"/>
  <c r="EN87" i="10"/>
  <c r="Q123" i="10"/>
  <c r="EI185" i="10"/>
  <c r="EN185" i="10"/>
  <c r="DX90" i="10"/>
  <c r="DY90" i="10"/>
  <c r="ED90" i="10"/>
  <c r="EI183" i="10"/>
  <c r="EN183" i="10"/>
  <c r="EI92" i="10"/>
  <c r="EN92" i="10"/>
  <c r="EM92" i="10"/>
  <c r="EI229" i="10"/>
  <c r="EN229" i="10"/>
  <c r="DX184" i="10"/>
  <c r="DY184" i="10"/>
  <c r="ED184" i="10"/>
  <c r="EM184" i="10"/>
  <c r="EI151" i="10"/>
  <c r="EN151" i="10"/>
  <c r="EI214" i="10"/>
  <c r="EN214" i="10"/>
  <c r="EI230" i="10"/>
  <c r="EN230" i="10"/>
  <c r="EI198" i="10"/>
  <c r="EN198" i="10"/>
  <c r="DX190" i="10"/>
  <c r="DY190" i="10"/>
  <c r="ED190" i="10"/>
  <c r="EM190" i="10"/>
  <c r="Q183" i="10"/>
  <c r="GI183" i="10" s="1"/>
  <c r="AT183" i="10" s="1"/>
  <c r="BT183" i="10"/>
  <c r="LD183" i="10"/>
  <c r="LA183" i="10"/>
  <c r="BT33" i="10"/>
  <c r="LD33" i="10"/>
  <c r="Q190" i="10"/>
  <c r="BN190" i="10" s="1"/>
  <c r="Q214" i="10"/>
  <c r="EI158" i="10"/>
  <c r="EN158" i="10"/>
  <c r="EI166" i="10"/>
  <c r="EN166" i="10"/>
  <c r="DX89" i="10"/>
  <c r="DY89" i="10"/>
  <c r="ED89" i="10"/>
  <c r="EM89" i="10"/>
  <c r="DX218" i="10"/>
  <c r="DY218" i="10"/>
  <c r="ED218" i="10"/>
  <c r="EM218" i="10"/>
  <c r="DX138" i="10"/>
  <c r="DY138" i="10"/>
  <c r="ED138" i="10"/>
  <c r="EM138" i="10"/>
  <c r="EI103" i="10"/>
  <c r="EN103" i="10"/>
  <c r="EM225" i="10"/>
  <c r="EI225" i="10"/>
  <c r="EN225" i="10"/>
  <c r="BT166" i="10"/>
  <c r="LD166" i="10"/>
  <c r="Q166" i="10"/>
  <c r="LA166" i="10"/>
  <c r="DX85" i="10"/>
  <c r="DY85" i="10"/>
  <c r="ED85" i="10"/>
  <c r="EM85" i="10"/>
  <c r="DX113" i="10"/>
  <c r="DY113" i="10"/>
  <c r="ED113" i="10"/>
  <c r="EM113" i="10"/>
  <c r="DX187" i="10"/>
  <c r="DY187" i="10"/>
  <c r="ED187" i="10"/>
  <c r="EM187" i="10"/>
  <c r="Q210" i="10"/>
  <c r="GI210" i="10" s="1"/>
  <c r="AT210" i="10" s="1"/>
  <c r="DX216" i="10"/>
  <c r="DY216" i="10"/>
  <c r="ED216" i="10"/>
  <c r="EM216" i="10"/>
  <c r="Q151" i="10"/>
  <c r="LA151" i="10"/>
  <c r="BT151" i="10"/>
  <c r="LD151" i="10"/>
  <c r="DX181" i="10"/>
  <c r="DY181" i="10"/>
  <c r="ED181" i="10"/>
  <c r="EM181" i="10"/>
  <c r="DX157" i="10"/>
  <c r="DY157" i="10"/>
  <c r="ED157" i="10"/>
  <c r="EM157" i="10"/>
  <c r="EI137" i="10"/>
  <c r="EN137" i="10"/>
  <c r="EI215" i="10"/>
  <c r="EN215" i="10"/>
  <c r="DX73" i="10"/>
  <c r="DY73" i="10"/>
  <c r="ED73" i="10"/>
  <c r="EM73" i="10"/>
  <c r="EI174" i="10"/>
  <c r="EN174" i="10"/>
  <c r="DX217" i="10"/>
  <c r="DY217" i="10"/>
  <c r="ED217" i="10"/>
  <c r="EM217" i="10"/>
  <c r="DC245" i="10"/>
  <c r="LB245" i="10"/>
  <c r="LE245" i="10"/>
  <c r="LG245" i="10"/>
  <c r="DC329" i="10"/>
  <c r="LB329" i="10"/>
  <c r="LA329" i="10"/>
  <c r="BT329" i="10"/>
  <c r="LD329" i="10"/>
  <c r="LE329" i="10"/>
  <c r="LG329" i="10"/>
  <c r="DC249" i="10"/>
  <c r="LB249" i="10"/>
  <c r="LA249" i="10"/>
  <c r="BT249" i="10"/>
  <c r="LD249" i="10"/>
  <c r="LE249" i="10"/>
  <c r="LG249" i="10"/>
  <c r="DC270" i="10"/>
  <c r="DE270" i="10"/>
  <c r="LB270" i="10"/>
  <c r="LC270" i="10"/>
  <c r="LE270" i="10"/>
  <c r="LG270" i="10"/>
  <c r="DC277" i="10"/>
  <c r="DE277" i="10"/>
  <c r="LB277" i="10"/>
  <c r="LA277" i="10"/>
  <c r="LC277" i="10"/>
  <c r="BT277" i="10"/>
  <c r="LD277" i="10"/>
  <c r="LE277" i="10"/>
  <c r="LG277" i="10"/>
  <c r="DC320" i="10"/>
  <c r="DE320" i="10"/>
  <c r="LB320" i="10"/>
  <c r="LA320" i="10"/>
  <c r="LC320" i="10"/>
  <c r="BT320" i="10"/>
  <c r="LD320" i="10"/>
  <c r="LE320" i="10"/>
  <c r="LG320" i="10"/>
  <c r="LA284" i="10"/>
  <c r="BT284" i="10"/>
  <c r="LD284" i="10"/>
  <c r="BT326" i="10"/>
  <c r="LD326" i="10"/>
  <c r="LA326" i="10"/>
  <c r="BT291" i="10"/>
  <c r="LD291" i="10"/>
  <c r="LA291" i="10"/>
  <c r="LA272" i="10"/>
  <c r="BT272" i="10"/>
  <c r="LD272" i="10"/>
  <c r="LA264" i="10"/>
  <c r="BT264" i="10"/>
  <c r="LD264" i="10"/>
  <c r="LA289" i="10"/>
  <c r="BT289" i="10"/>
  <c r="LD289" i="10"/>
  <c r="DC181" i="10"/>
  <c r="DE181" i="10"/>
  <c r="LB181" i="10"/>
  <c r="LA181" i="10"/>
  <c r="LC181" i="10"/>
  <c r="BT181" i="10"/>
  <c r="LD181" i="10"/>
  <c r="LE181" i="10"/>
  <c r="LG181" i="10"/>
  <c r="DC211" i="10"/>
  <c r="LB211" i="10"/>
  <c r="LA211" i="10"/>
  <c r="BT211" i="10"/>
  <c r="LD211" i="10"/>
  <c r="LE211" i="10"/>
  <c r="LG211" i="10"/>
  <c r="LA216" i="10"/>
  <c r="BT216" i="10"/>
  <c r="LD216" i="10"/>
  <c r="LA205" i="10"/>
  <c r="BT205" i="10"/>
  <c r="LD205" i="10"/>
  <c r="LA90" i="10"/>
  <c r="BT90" i="10"/>
  <c r="LD90" i="10"/>
  <c r="BT127" i="10"/>
  <c r="LD127" i="10"/>
  <c r="LA127" i="10"/>
  <c r="BT229" i="10"/>
  <c r="LD229" i="10"/>
  <c r="LA229" i="10"/>
  <c r="LA187" i="10"/>
  <c r="BT187" i="10"/>
  <c r="LD187" i="10"/>
  <c r="DC299" i="10"/>
  <c r="LB299" i="10"/>
  <c r="LA299" i="10"/>
  <c r="BT299" i="10"/>
  <c r="LD299" i="10"/>
  <c r="LE299" i="10"/>
  <c r="LG299" i="10"/>
  <c r="DC163" i="10"/>
  <c r="DE163" i="10"/>
  <c r="LB163" i="10"/>
  <c r="LC163" i="10"/>
  <c r="LE163" i="10"/>
  <c r="LG163" i="10"/>
  <c r="Q239" i="10"/>
  <c r="BT334" i="10"/>
  <c r="LD334" i="10"/>
  <c r="LA334" i="10"/>
  <c r="LA157" i="10"/>
  <c r="BT157" i="10"/>
  <c r="LD157" i="10"/>
  <c r="JP169" i="10"/>
  <c r="JN169" i="10"/>
  <c r="IM169" i="10"/>
  <c r="II169" i="10"/>
  <c r="BT113" i="10"/>
  <c r="LD113" i="10"/>
  <c r="LA113" i="10"/>
  <c r="BT315" i="10"/>
  <c r="LD315" i="10"/>
  <c r="LA315" i="10"/>
  <c r="EI231" i="10"/>
  <c r="EN231" i="10"/>
  <c r="Q215" i="10"/>
  <c r="BN215" i="10" s="1"/>
  <c r="LA215" i="10"/>
  <c r="BT215" i="10"/>
  <c r="LD215" i="10"/>
  <c r="BT367" i="10"/>
  <c r="LD367" i="10"/>
  <c r="LA367" i="10"/>
  <c r="BT336" i="10"/>
  <c r="LD336" i="10"/>
  <c r="LA336" i="10"/>
  <c r="BT372" i="10"/>
  <c r="LD372" i="10"/>
  <c r="LA372" i="10"/>
  <c r="Q252" i="10"/>
  <c r="BN252" i="10"/>
  <c r="BT252" i="10"/>
  <c r="LD252" i="10"/>
  <c r="LA252" i="10"/>
  <c r="DC361" i="10"/>
  <c r="LB361" i="10"/>
  <c r="LA361" i="10"/>
  <c r="BT361" i="10"/>
  <c r="LD361" i="10"/>
  <c r="LE361" i="10"/>
  <c r="LG361" i="10"/>
  <c r="BT321" i="10"/>
  <c r="LD321" i="10"/>
  <c r="LA321" i="10"/>
  <c r="LA224" i="10"/>
  <c r="BT224" i="10"/>
  <c r="LD224" i="10"/>
  <c r="LA313" i="10"/>
  <c r="BT313" i="10"/>
  <c r="LD313" i="10"/>
  <c r="BT318" i="10"/>
  <c r="LD318" i="10"/>
  <c r="LA318" i="10"/>
  <c r="LA162" i="10"/>
  <c r="BT162" i="10"/>
  <c r="LD162" i="10"/>
  <c r="Q324" i="10"/>
  <c r="LA324" i="10"/>
  <c r="BT324" i="10"/>
  <c r="LD324" i="10"/>
  <c r="EI172" i="10"/>
  <c r="EN172" i="10"/>
  <c r="JP265" i="10"/>
  <c r="JN265" i="10"/>
  <c r="LA358" i="10"/>
  <c r="BT358" i="10"/>
  <c r="LD358" i="10"/>
  <c r="IM265" i="10"/>
  <c r="II265" i="10"/>
  <c r="LA207" i="10"/>
  <c r="BT207" i="10"/>
  <c r="LD207" i="10"/>
  <c r="LA356" i="10"/>
  <c r="BT356" i="10"/>
  <c r="LD356" i="10"/>
  <c r="BT300" i="10"/>
  <c r="LD300" i="10"/>
  <c r="LA300" i="10"/>
  <c r="DY287" i="10"/>
  <c r="ED287" i="10"/>
  <c r="EI287" i="10"/>
  <c r="EN287" i="10"/>
  <c r="DY321" i="10"/>
  <c r="ED321" i="10"/>
  <c r="EM321" i="10"/>
  <c r="EI142" i="10"/>
  <c r="EN142" i="10"/>
  <c r="EI371" i="10"/>
  <c r="EN371" i="10"/>
  <c r="EI351" i="10"/>
  <c r="EN351" i="10"/>
  <c r="EI370" i="10"/>
  <c r="EN370" i="10"/>
  <c r="EI346" i="10"/>
  <c r="EN346" i="10"/>
  <c r="EI312" i="10"/>
  <c r="EN312" i="10"/>
  <c r="DY313" i="10"/>
  <c r="ED313" i="10"/>
  <c r="EI313" i="10"/>
  <c r="EN313" i="10"/>
  <c r="EI354" i="10"/>
  <c r="EN354" i="10"/>
  <c r="DC264" i="10"/>
  <c r="DE264" i="10"/>
  <c r="LB264" i="10"/>
  <c r="LC264" i="10"/>
  <c r="LE264" i="10"/>
  <c r="LG264" i="10"/>
  <c r="DC323" i="10"/>
  <c r="DE323" i="10"/>
  <c r="LB323" i="10"/>
  <c r="LA323" i="10"/>
  <c r="LC323" i="10"/>
  <c r="BT323" i="10"/>
  <c r="LD323" i="10"/>
  <c r="LE323" i="10"/>
  <c r="LG323" i="10"/>
  <c r="DC294" i="10"/>
  <c r="DE294" i="10"/>
  <c r="LB294" i="10"/>
  <c r="LC294" i="10"/>
  <c r="LE294" i="10"/>
  <c r="LG294" i="10"/>
  <c r="DC269" i="10"/>
  <c r="LB269" i="10"/>
  <c r="LA269" i="10"/>
  <c r="BT269" i="10"/>
  <c r="LD269" i="10"/>
  <c r="LE269" i="10"/>
  <c r="LG269" i="10"/>
  <c r="DC140" i="10"/>
  <c r="DE140" i="10"/>
  <c r="LB140" i="10"/>
  <c r="LC140" i="10"/>
  <c r="LE140" i="10"/>
  <c r="LG140" i="10"/>
  <c r="DC167" i="10"/>
  <c r="DE167" i="10"/>
  <c r="LB167" i="10"/>
  <c r="LC167" i="10"/>
  <c r="LE167" i="10"/>
  <c r="LG167" i="10"/>
  <c r="DC90" i="10"/>
  <c r="LB90" i="10"/>
  <c r="LE90" i="10"/>
  <c r="LG90" i="10"/>
  <c r="DC135" i="10"/>
  <c r="DE135" i="10"/>
  <c r="LB135" i="10"/>
  <c r="LC135" i="10"/>
  <c r="LE135" i="10"/>
  <c r="LG135" i="10"/>
  <c r="DC183" i="10"/>
  <c r="DE183" i="10"/>
  <c r="LB183" i="10"/>
  <c r="LC183" i="10"/>
  <c r="LE183" i="10"/>
  <c r="LG183" i="10"/>
  <c r="DC227" i="10"/>
  <c r="LB227" i="10"/>
  <c r="LE227" i="10"/>
  <c r="LG227" i="10"/>
  <c r="DC200" i="10"/>
  <c r="LB200" i="10"/>
  <c r="LA200" i="10"/>
  <c r="BT200" i="10"/>
  <c r="LD200" i="10"/>
  <c r="LE200" i="10"/>
  <c r="LG200" i="10"/>
  <c r="DC88" i="10"/>
  <c r="DC203" i="10"/>
  <c r="DE203" i="10"/>
  <c r="LB203" i="10"/>
  <c r="LC203" i="10"/>
  <c r="LE203" i="10"/>
  <c r="LG203" i="10"/>
  <c r="DC358" i="10"/>
  <c r="DE358" i="10"/>
  <c r="LB358" i="10"/>
  <c r="LC358" i="10"/>
  <c r="LE358" i="10"/>
  <c r="LG358" i="10"/>
  <c r="EM219" i="10"/>
  <c r="EI219" i="10"/>
  <c r="EN219" i="10"/>
  <c r="EM286" i="10"/>
  <c r="EI286" i="10"/>
  <c r="EN286" i="10"/>
  <c r="EM347" i="10"/>
  <c r="EI347" i="10"/>
  <c r="EN347" i="10"/>
  <c r="EM336" i="10"/>
  <c r="EI336" i="10"/>
  <c r="EN336" i="10"/>
  <c r="EI331" i="10"/>
  <c r="EN331" i="10"/>
  <c r="EM331" i="10"/>
  <c r="EM100" i="10"/>
  <c r="EI100" i="10"/>
  <c r="EN100" i="10"/>
  <c r="EM326" i="10"/>
  <c r="EI326" i="10"/>
  <c r="EN326" i="10"/>
  <c r="EI109" i="10"/>
  <c r="EN109" i="10"/>
  <c r="EM109" i="10"/>
  <c r="EM180" i="10"/>
  <c r="EI180" i="10"/>
  <c r="EN180" i="10"/>
  <c r="EM275" i="10"/>
  <c r="EI275" i="10"/>
  <c r="EN275" i="10"/>
  <c r="EM279" i="10"/>
  <c r="EI279" i="10"/>
  <c r="EN279" i="10"/>
  <c r="EM265" i="10"/>
  <c r="EI265" i="10"/>
  <c r="EN265" i="10"/>
  <c r="LA369" i="10"/>
  <c r="BT369" i="10"/>
  <c r="LD369" i="10"/>
  <c r="Q369" i="10"/>
  <c r="BN369" i="10" s="1"/>
  <c r="A363" i="15" s="1"/>
  <c r="Q278" i="10"/>
  <c r="BN278" i="10" s="1"/>
  <c r="A272" i="15" s="1"/>
  <c r="AG272" i="15" s="1"/>
  <c r="Q378" i="10"/>
  <c r="DX179" i="10"/>
  <c r="DY179" i="10"/>
  <c r="ED179" i="10"/>
  <c r="EM179" i="10"/>
  <c r="Q376" i="10"/>
  <c r="BN376" i="10"/>
  <c r="LA243" i="10"/>
  <c r="Q243" i="10"/>
  <c r="BN243" i="10" s="1"/>
  <c r="BT243" i="10"/>
  <c r="LD243" i="10"/>
  <c r="EI71" i="10"/>
  <c r="EN71" i="10"/>
  <c r="Q386" i="10"/>
  <c r="BN386" i="10" s="1"/>
  <c r="JM386" i="10" s="1"/>
  <c r="EI126" i="10"/>
  <c r="EN126" i="10"/>
  <c r="BT362" i="10"/>
  <c r="LD362" i="10"/>
  <c r="Q362" i="10"/>
  <c r="LA362" i="10"/>
  <c r="Q333" i="10"/>
  <c r="LA333" i="10"/>
  <c r="BT333" i="10"/>
  <c r="LD333" i="10"/>
  <c r="Q234" i="10"/>
  <c r="DX102" i="10"/>
  <c r="DY102" i="10"/>
  <c r="ED102" i="10"/>
  <c r="EM102" i="10"/>
  <c r="Q371" i="10"/>
  <c r="Q329" i="10"/>
  <c r="Q363" i="10"/>
  <c r="Q323" i="10"/>
  <c r="GI323" i="10" s="1"/>
  <c r="AT323" i="10" s="1"/>
  <c r="EI319" i="10"/>
  <c r="EN319" i="10"/>
  <c r="EI280" i="10"/>
  <c r="EN280" i="10"/>
  <c r="EI350" i="10"/>
  <c r="EN350" i="10"/>
  <c r="Q179" i="10"/>
  <c r="BN179" i="10" s="1"/>
  <c r="DX171" i="10"/>
  <c r="DY171" i="10"/>
  <c r="ED171" i="10"/>
  <c r="EM171" i="10"/>
  <c r="BT341" i="10"/>
  <c r="LD341" i="10"/>
  <c r="Q341" i="10"/>
  <c r="LA341" i="10"/>
  <c r="EM235" i="10"/>
  <c r="EI235" i="10"/>
  <c r="EN235" i="10"/>
  <c r="DX269" i="10"/>
  <c r="DY269" i="10"/>
  <c r="ED269" i="10"/>
  <c r="EM269" i="10"/>
  <c r="DX357" i="10"/>
  <c r="DY357" i="10"/>
  <c r="ED357" i="10"/>
  <c r="EM357" i="10"/>
  <c r="Q383" i="10"/>
  <c r="LA325" i="10"/>
  <c r="BT325" i="10"/>
  <c r="LD325" i="10"/>
  <c r="Q325" i="10"/>
  <c r="BN325" i="10" s="1"/>
  <c r="Q126" i="10"/>
  <c r="DX330" i="10"/>
  <c r="DY330" i="10"/>
  <c r="ED330" i="10"/>
  <c r="EM330" i="10"/>
  <c r="Q350" i="10"/>
  <c r="Q339" i="10"/>
  <c r="GI339" i="10" s="1"/>
  <c r="EI349" i="10"/>
  <c r="EN349" i="10"/>
  <c r="EM349" i="10"/>
  <c r="EI277" i="10"/>
  <c r="EN277" i="10"/>
  <c r="EM236" i="10"/>
  <c r="EI236" i="10"/>
  <c r="EN236" i="10"/>
  <c r="Q370" i="10"/>
  <c r="Q316" i="10"/>
  <c r="LA316" i="10"/>
  <c r="BT316" i="10"/>
  <c r="LD316" i="10"/>
  <c r="LA280" i="10"/>
  <c r="Q280" i="10"/>
  <c r="BT280" i="10"/>
  <c r="LD280" i="10"/>
  <c r="Q269" i="10"/>
  <c r="EI260" i="10"/>
  <c r="EN260" i="10"/>
  <c r="Q357" i="10"/>
  <c r="BN357" i="10"/>
  <c r="JM357" i="10" s="1"/>
  <c r="BT357" i="10"/>
  <c r="LD357" i="10"/>
  <c r="LA357" i="10"/>
  <c r="EI343" i="10"/>
  <c r="EN343" i="10"/>
  <c r="DX360" i="10"/>
  <c r="DY360" i="10"/>
  <c r="ED360" i="10"/>
  <c r="EM360" i="10"/>
  <c r="Q277" i="10"/>
  <c r="DX200" i="10"/>
  <c r="DY200" i="10"/>
  <c r="ED200" i="10"/>
  <c r="EM200" i="10"/>
  <c r="DX314" i="10"/>
  <c r="DY314" i="10"/>
  <c r="ED314" i="10"/>
  <c r="EM314" i="10"/>
  <c r="DX296" i="10"/>
  <c r="DY296" i="10"/>
  <c r="ED296" i="10"/>
  <c r="EM296" i="10"/>
  <c r="EI355" i="10"/>
  <c r="EN355" i="10"/>
  <c r="Q312" i="10"/>
  <c r="LA312" i="10"/>
  <c r="BT312" i="10"/>
  <c r="LD312" i="10"/>
  <c r="Q346" i="10"/>
  <c r="EI385" i="10"/>
  <c r="EN385" i="10"/>
  <c r="DX344" i="10"/>
  <c r="DY344" i="10"/>
  <c r="ED344" i="10"/>
  <c r="EM344" i="10"/>
  <c r="DX338" i="10"/>
  <c r="DY338" i="10"/>
  <c r="ED338" i="10"/>
  <c r="EM338" i="10"/>
  <c r="LA171" i="10"/>
  <c r="BT171" i="10"/>
  <c r="LD171" i="10"/>
  <c r="Q171" i="10"/>
  <c r="BN171" i="10"/>
  <c r="A165" i="15" s="1"/>
  <c r="EI149" i="10"/>
  <c r="EN149" i="10"/>
  <c r="DX259" i="10"/>
  <c r="DY259" i="10"/>
  <c r="ED259" i="10"/>
  <c r="EM259" i="10"/>
  <c r="Q260" i="10"/>
  <c r="BN260" i="10"/>
  <c r="A254" i="15" s="1"/>
  <c r="R254" i="15" s="1"/>
  <c r="Q319" i="10"/>
  <c r="EI288" i="10"/>
  <c r="EN288" i="10"/>
  <c r="DX301" i="10"/>
  <c r="DY301" i="10"/>
  <c r="ED301" i="10"/>
  <c r="EM301" i="10"/>
  <c r="LA149" i="10"/>
  <c r="Q149" i="10"/>
  <c r="BT149" i="10"/>
  <c r="LD149" i="10"/>
  <c r="DX345" i="10"/>
  <c r="DY345" i="10"/>
  <c r="ED345" i="10"/>
  <c r="EM345" i="10"/>
  <c r="Q200" i="10"/>
  <c r="DX384" i="10"/>
  <c r="DY384" i="10"/>
  <c r="ED384" i="10"/>
  <c r="EM384" i="10"/>
  <c r="Q343" i="10"/>
  <c r="Q330" i="10"/>
  <c r="BN330" i="10" s="1"/>
  <c r="JM330" i="10" s="1"/>
  <c r="LA330" i="10"/>
  <c r="BT330" i="10"/>
  <c r="LD330" i="10"/>
  <c r="DX380" i="10"/>
  <c r="DY380" i="10"/>
  <c r="ED380" i="10"/>
  <c r="EM380" i="10"/>
  <c r="JP349" i="10"/>
  <c r="JN349" i="10"/>
  <c r="DX348" i="10"/>
  <c r="DY348" i="10"/>
  <c r="ED348" i="10"/>
  <c r="EM348" i="10"/>
  <c r="Q355" i="10"/>
  <c r="BN355" i="10" s="1"/>
  <c r="JM355" i="10" s="1"/>
  <c r="EI131" i="10"/>
  <c r="EN131" i="10"/>
  <c r="DX373" i="10"/>
  <c r="DY373" i="10"/>
  <c r="ED373" i="10"/>
  <c r="EM373" i="10"/>
  <c r="IM349" i="10"/>
  <c r="II349" i="10"/>
  <c r="DX79" i="10"/>
  <c r="DY79" i="10"/>
  <c r="ED79" i="10"/>
  <c r="EM79" i="10"/>
  <c r="EI335" i="10"/>
  <c r="EN335" i="10"/>
  <c r="DX366" i="10"/>
  <c r="DY366" i="10"/>
  <c r="ED366" i="10"/>
  <c r="EM366" i="10"/>
  <c r="Q314" i="10"/>
  <c r="DX196" i="10"/>
  <c r="DY196" i="10"/>
  <c r="ED196" i="10"/>
  <c r="EM196" i="10"/>
  <c r="DX368" i="10"/>
  <c r="DY368" i="10"/>
  <c r="ED368" i="10"/>
  <c r="EM368" i="10"/>
  <c r="EI382" i="10"/>
  <c r="EN382" i="10"/>
  <c r="Q345" i="10"/>
  <c r="Q360" i="10"/>
  <c r="LA360" i="10"/>
  <c r="BT360" i="10"/>
  <c r="LD360" i="10"/>
  <c r="EI164" i="10"/>
  <c r="EN164" i="10"/>
  <c r="Q296" i="10"/>
  <c r="Q338" i="10"/>
  <c r="BN338" i="10" s="1"/>
  <c r="DX211" i="10"/>
  <c r="DY211" i="10"/>
  <c r="ED211" i="10"/>
  <c r="EM211" i="10"/>
  <c r="EM271" i="10"/>
  <c r="EI271" i="10"/>
  <c r="EN271" i="10"/>
  <c r="Q348" i="10"/>
  <c r="BT348" i="10"/>
  <c r="LD348" i="10"/>
  <c r="LA348" i="10"/>
  <c r="LA288" i="10"/>
  <c r="Q288" i="10"/>
  <c r="BN288" i="10" s="1"/>
  <c r="BT288" i="10"/>
  <c r="LD288" i="10"/>
  <c r="Q131" i="10"/>
  <c r="BN131" i="10"/>
  <c r="AO131" i="10"/>
  <c r="DP131" i="10" s="1"/>
  <c r="AP131" i="10"/>
  <c r="AQ131" i="10"/>
  <c r="IJ131" i="10" s="1"/>
  <c r="LA131" i="10"/>
  <c r="BT131" i="10"/>
  <c r="LD131" i="10"/>
  <c r="EI376" i="10"/>
  <c r="EN376" i="10"/>
  <c r="Q259" i="10"/>
  <c r="LA79" i="10"/>
  <c r="BT79" i="10"/>
  <c r="LD79" i="10"/>
  <c r="BT384" i="10"/>
  <c r="LD384" i="10"/>
  <c r="Q384" i="10"/>
  <c r="BN384" i="10" s="1"/>
  <c r="JM384" i="10" s="1"/>
  <c r="LA384" i="10"/>
  <c r="EI378" i="10"/>
  <c r="EN378" i="10"/>
  <c r="EM283" i="10"/>
  <c r="EI283" i="10"/>
  <c r="EN283" i="10"/>
  <c r="EI369" i="10"/>
  <c r="EN369" i="10"/>
  <c r="Q373" i="10"/>
  <c r="BN373" i="10"/>
  <c r="Q344" i="10"/>
  <c r="LA344" i="10"/>
  <c r="BT344" i="10"/>
  <c r="LD344" i="10"/>
  <c r="DX317" i="10"/>
  <c r="DY317" i="10"/>
  <c r="ED317" i="10"/>
  <c r="EM317" i="10"/>
  <c r="DX332" i="10"/>
  <c r="DY332" i="10"/>
  <c r="ED332" i="10"/>
  <c r="EM332" i="10"/>
  <c r="Q211" i="10"/>
  <c r="EI386" i="10"/>
  <c r="EN386" i="10"/>
  <c r="Q301" i="10"/>
  <c r="Q142" i="10"/>
  <c r="BN142" i="10"/>
  <c r="EI278" i="10"/>
  <c r="EN278" i="10"/>
  <c r="EI333" i="10"/>
  <c r="EN333" i="10"/>
  <c r="BN164" i="10"/>
  <c r="LA164" i="10"/>
  <c r="BT164" i="10"/>
  <c r="LD164" i="10"/>
  <c r="Q366" i="10"/>
  <c r="GI366" i="10" s="1"/>
  <c r="AT366" i="10" s="1"/>
  <c r="BN366" i="10"/>
  <c r="JM366" i="10" s="1"/>
  <c r="EI243" i="10"/>
  <c r="EN243" i="10"/>
  <c r="Q196" i="10"/>
  <c r="BN196" i="10"/>
  <c r="JM196" i="10" s="1"/>
  <c r="Q368" i="10"/>
  <c r="BN368" i="10" s="1"/>
  <c r="EI329" i="10"/>
  <c r="EN329" i="10"/>
  <c r="EI364" i="10"/>
  <c r="EN364" i="10"/>
  <c r="EI362" i="10"/>
  <c r="EN362" i="10"/>
  <c r="EI363" i="10"/>
  <c r="EN363" i="10"/>
  <c r="BN335" i="10"/>
  <c r="A329" i="15" s="1"/>
  <c r="Q329" i="15" s="1"/>
  <c r="EI383" i="10"/>
  <c r="EN383" i="10"/>
  <c r="DX341" i="10"/>
  <c r="DY341" i="10"/>
  <c r="ED341" i="10"/>
  <c r="EM341" i="10"/>
  <c r="Q382" i="10"/>
  <c r="EM387" i="10"/>
  <c r="EI387" i="10"/>
  <c r="EN387" i="10"/>
  <c r="EI323" i="10"/>
  <c r="EN323" i="10"/>
  <c r="Q317" i="10"/>
  <c r="LA317" i="10"/>
  <c r="BT317" i="10"/>
  <c r="LD317" i="10"/>
  <c r="JP33" i="10"/>
  <c r="Q354" i="10"/>
  <c r="DX325" i="10"/>
  <c r="DY325" i="10"/>
  <c r="ED325" i="10"/>
  <c r="EM325" i="10"/>
  <c r="Q364" i="10"/>
  <c r="DX234" i="10"/>
  <c r="DY234" i="10"/>
  <c r="ED234" i="10"/>
  <c r="EM234" i="10"/>
  <c r="EI316" i="10"/>
  <c r="EN316" i="10"/>
  <c r="Q332" i="10"/>
  <c r="BN332" i="10" s="1"/>
  <c r="BT332" i="10"/>
  <c r="LD332" i="10"/>
  <c r="LA332" i="10"/>
  <c r="DC325" i="10"/>
  <c r="DE325" i="10"/>
  <c r="LB325" i="10"/>
  <c r="LC325" i="10"/>
  <c r="LE325" i="10"/>
  <c r="LG325" i="10"/>
  <c r="DC91" i="10"/>
  <c r="DE91" i="10"/>
  <c r="LB91" i="10"/>
  <c r="LC91" i="10"/>
  <c r="LE91" i="10"/>
  <c r="LG91" i="10"/>
  <c r="DC144" i="10"/>
  <c r="DE144" i="10"/>
  <c r="LB144" i="10"/>
  <c r="LC144" i="10"/>
  <c r="LE144" i="10"/>
  <c r="LG144" i="10"/>
  <c r="DC117" i="10"/>
  <c r="LB117" i="10"/>
  <c r="DC136" i="10"/>
  <c r="DE136" i="10"/>
  <c r="LB136" i="10"/>
  <c r="LC136" i="10"/>
  <c r="LE136" i="10"/>
  <c r="LG136" i="10"/>
  <c r="DC312" i="10"/>
  <c r="LB312" i="10"/>
  <c r="LE312" i="10"/>
  <c r="LG312" i="10"/>
  <c r="DC263" i="10"/>
  <c r="LB263" i="10"/>
  <c r="LE263" i="10"/>
  <c r="LG263" i="10"/>
  <c r="DC215" i="10"/>
  <c r="DE215" i="10"/>
  <c r="LB215" i="10"/>
  <c r="LC215" i="10"/>
  <c r="LE215" i="10"/>
  <c r="LG215" i="10"/>
  <c r="DC216" i="10"/>
  <c r="DE216" i="10"/>
  <c r="LB216" i="10"/>
  <c r="DC150" i="10"/>
  <c r="DE150" i="10"/>
  <c r="LB150" i="10"/>
  <c r="LC150" i="10"/>
  <c r="LE150" i="10"/>
  <c r="LG150" i="10"/>
  <c r="DC152" i="10"/>
  <c r="DE152" i="10"/>
  <c r="LB152" i="10"/>
  <c r="LC152" i="10"/>
  <c r="LE152" i="10"/>
  <c r="LG152" i="10"/>
  <c r="DC333" i="10"/>
  <c r="LB333" i="10"/>
  <c r="LE333" i="10"/>
  <c r="LG333" i="10"/>
  <c r="DC202" i="10"/>
  <c r="DE202" i="10"/>
  <c r="LB202" i="10"/>
  <c r="LC202" i="10"/>
  <c r="LE202" i="10"/>
  <c r="LG202" i="10"/>
  <c r="DC284" i="10"/>
  <c r="DE284" i="10"/>
  <c r="LB284" i="10"/>
  <c r="LC284" i="10"/>
  <c r="LE284" i="10"/>
  <c r="LG284" i="10"/>
  <c r="DC191" i="10"/>
  <c r="LB191" i="10"/>
  <c r="LE191" i="10"/>
  <c r="LG191" i="10"/>
  <c r="DC107" i="10"/>
  <c r="LB107" i="10"/>
  <c r="LE107" i="10"/>
  <c r="LG107" i="10"/>
  <c r="DC199" i="10"/>
  <c r="LB199" i="10"/>
  <c r="LE199" i="10"/>
  <c r="LG199" i="10"/>
  <c r="DC360" i="10"/>
  <c r="LB360" i="10"/>
  <c r="LE360" i="10"/>
  <c r="LG360" i="10"/>
  <c r="DC154" i="10"/>
  <c r="DE154" i="10"/>
  <c r="LB154" i="10"/>
  <c r="LC154" i="10"/>
  <c r="LE154" i="10"/>
  <c r="LG154" i="10"/>
  <c r="DC160" i="10"/>
  <c r="DE160" i="10"/>
  <c r="LB160" i="10"/>
  <c r="LC160" i="10"/>
  <c r="LE160" i="10"/>
  <c r="LG160" i="10"/>
  <c r="DC155" i="10"/>
  <c r="DE155" i="10"/>
  <c r="LB155" i="10"/>
  <c r="LC155" i="10"/>
  <c r="LE155" i="10"/>
  <c r="LG155" i="10"/>
  <c r="DC362" i="10"/>
  <c r="DE362" i="10"/>
  <c r="LB362" i="10"/>
  <c r="LC362" i="10"/>
  <c r="LE362" i="10"/>
  <c r="LG362" i="10"/>
  <c r="DC192" i="10"/>
  <c r="DE192" i="10"/>
  <c r="LB192" i="10"/>
  <c r="LC192" i="10"/>
  <c r="LE192" i="10"/>
  <c r="DC131" i="10"/>
  <c r="DE131" i="10"/>
  <c r="LB131" i="10"/>
  <c r="DC119" i="10"/>
  <c r="DE119" i="10"/>
  <c r="LB119" i="10"/>
  <c r="LC119" i="10"/>
  <c r="LE119" i="10"/>
  <c r="LG119" i="10"/>
  <c r="DC96" i="10"/>
  <c r="DE96" i="10"/>
  <c r="LB96" i="10"/>
  <c r="LC96" i="10"/>
  <c r="LE96" i="10"/>
  <c r="LG96" i="10"/>
  <c r="DC164" i="10"/>
  <c r="DE164" i="10"/>
  <c r="LB164" i="10"/>
  <c r="LC164" i="10"/>
  <c r="LE164" i="10"/>
  <c r="LG164" i="10"/>
  <c r="DC369" i="10"/>
  <c r="LB369" i="10"/>
  <c r="LE369" i="10"/>
  <c r="LG369" i="10"/>
  <c r="DC252" i="10"/>
  <c r="DE252" i="10"/>
  <c r="LB252" i="10"/>
  <c r="LC252" i="10"/>
  <c r="LE252" i="10"/>
  <c r="LG252" i="10"/>
  <c r="DC313" i="10"/>
  <c r="LB313" i="10"/>
  <c r="LE313" i="10"/>
  <c r="LG313" i="10"/>
  <c r="DC223" i="10"/>
  <c r="LB223" i="10"/>
  <c r="LE223" i="10"/>
  <c r="LG223" i="10"/>
  <c r="DC341" i="10"/>
  <c r="DE341" i="10"/>
  <c r="LB341" i="10"/>
  <c r="LC341" i="10"/>
  <c r="LE341" i="10"/>
  <c r="LG341" i="10"/>
  <c r="DC92" i="10"/>
  <c r="DE92" i="10"/>
  <c r="LB92" i="10"/>
  <c r="LC92" i="10"/>
  <c r="LE92" i="10"/>
  <c r="LG92" i="10"/>
  <c r="DC72" i="10"/>
  <c r="LB72" i="10"/>
  <c r="LE72" i="10"/>
  <c r="LG72" i="10"/>
  <c r="DC356" i="10"/>
  <c r="DE356" i="10"/>
  <c r="LB356" i="10"/>
  <c r="LC356" i="10"/>
  <c r="LE356" i="10"/>
  <c r="LG356" i="10"/>
  <c r="DC224" i="10"/>
  <c r="DE224" i="10"/>
  <c r="LB224" i="10"/>
  <c r="LC224" i="10"/>
  <c r="LE224" i="10"/>
  <c r="LG224" i="10"/>
  <c r="DC293" i="10"/>
  <c r="DE293" i="10"/>
  <c r="LB293" i="10"/>
  <c r="LC293" i="10"/>
  <c r="LE293" i="10"/>
  <c r="LG293" i="10"/>
  <c r="DC188" i="10"/>
  <c r="DE188" i="10"/>
  <c r="LB188" i="10"/>
  <c r="LC188" i="10"/>
  <c r="LE188" i="10"/>
  <c r="LG188" i="10"/>
  <c r="DC236" i="10"/>
  <c r="DE236" i="10"/>
  <c r="LB236" i="10"/>
  <c r="LC236" i="10"/>
  <c r="LE236" i="10"/>
  <c r="LG236" i="10"/>
  <c r="DC332" i="10"/>
  <c r="DE332" i="10"/>
  <c r="LB332" i="10"/>
  <c r="DC175" i="10"/>
  <c r="DC321" i="10"/>
  <c r="DC151" i="10"/>
  <c r="DE151" i="10"/>
  <c r="LB151" i="10"/>
  <c r="LC151" i="10"/>
  <c r="LE151" i="10"/>
  <c r="LG151" i="10"/>
  <c r="DC80" i="10"/>
  <c r="LB80" i="10"/>
  <c r="LE80" i="10"/>
  <c r="LG80" i="10"/>
  <c r="DC300" i="10"/>
  <c r="DE300" i="10"/>
  <c r="LB300" i="10"/>
  <c r="LC300" i="10"/>
  <c r="LE300" i="10"/>
  <c r="LG300" i="10"/>
  <c r="DC372" i="10"/>
  <c r="DC316" i="10"/>
  <c r="DE316" i="10"/>
  <c r="LB316" i="10"/>
  <c r="LC316" i="10"/>
  <c r="LE316" i="10"/>
  <c r="LG316" i="10"/>
  <c r="DC83" i="10"/>
  <c r="LB83" i="10"/>
  <c r="LE83" i="10"/>
  <c r="LG83" i="10"/>
  <c r="DC115" i="10"/>
  <c r="LB115" i="10"/>
  <c r="LE115" i="10"/>
  <c r="LG115" i="10"/>
  <c r="DC128" i="10"/>
  <c r="DE128" i="10"/>
  <c r="LB128" i="10"/>
  <c r="LC128" i="10"/>
  <c r="LE128" i="10"/>
  <c r="LG128" i="10"/>
  <c r="DC357" i="10"/>
  <c r="DE357" i="10"/>
  <c r="LB357" i="10"/>
  <c r="LC357" i="10"/>
  <c r="LE357" i="10"/>
  <c r="LG357" i="10"/>
  <c r="DC197" i="10"/>
  <c r="DE197" i="10"/>
  <c r="LB197" i="10"/>
  <c r="LC197" i="10"/>
  <c r="LE197" i="10"/>
  <c r="LG197" i="10"/>
  <c r="DC248" i="10"/>
  <c r="LB248" i="10"/>
  <c r="LE248" i="10"/>
  <c r="LG248" i="10"/>
  <c r="DC173" i="10"/>
  <c r="LB173" i="10"/>
  <c r="LE173" i="10"/>
  <c r="LG173" i="10"/>
  <c r="DC337" i="10"/>
  <c r="DE337" i="10"/>
  <c r="LB337" i="10"/>
  <c r="LC337" i="10"/>
  <c r="LE337" i="10"/>
  <c r="LG337" i="10"/>
  <c r="DC104" i="10"/>
  <c r="DE104" i="10"/>
  <c r="LB104" i="10"/>
  <c r="LC104" i="10"/>
  <c r="LE104" i="10"/>
  <c r="LG104" i="10"/>
  <c r="DC336" i="10"/>
  <c r="DE336" i="10"/>
  <c r="LB336" i="10"/>
  <c r="LC336" i="10"/>
  <c r="LE336" i="10"/>
  <c r="LG336" i="10"/>
  <c r="DC280" i="10"/>
  <c r="DC149" i="10"/>
  <c r="LB149" i="10"/>
  <c r="LE149" i="10"/>
  <c r="LG149" i="10"/>
  <c r="DC288" i="10"/>
  <c r="DC384" i="10"/>
  <c r="DE384" i="10"/>
  <c r="LB384" i="10"/>
  <c r="LC384" i="10"/>
  <c r="LE384" i="10"/>
  <c r="LG384" i="10"/>
  <c r="DC120" i="10"/>
  <c r="DE120" i="10"/>
  <c r="LB120" i="10"/>
  <c r="LC120" i="10"/>
  <c r="LE120" i="10"/>
  <c r="LG120" i="10"/>
  <c r="DC229" i="10"/>
  <c r="LB229" i="10"/>
  <c r="LE229" i="10"/>
  <c r="LG229" i="10"/>
  <c r="DC279" i="10"/>
  <c r="DE279" i="10"/>
  <c r="LB279" i="10"/>
  <c r="LC279" i="10"/>
  <c r="LE279" i="10"/>
  <c r="LG279" i="10"/>
  <c r="DC139" i="10"/>
  <c r="DE139" i="10"/>
  <c r="LB139" i="10"/>
  <c r="LC139" i="10"/>
  <c r="LE139" i="10"/>
  <c r="LG139" i="10"/>
  <c r="DC207" i="10"/>
  <c r="DE207" i="10"/>
  <c r="LB207" i="10"/>
  <c r="LC207" i="10"/>
  <c r="LE207" i="10"/>
  <c r="LG207" i="10"/>
  <c r="DC387" i="10"/>
  <c r="DE387" i="10"/>
  <c r="LB387" i="10"/>
  <c r="LC387" i="10"/>
  <c r="LE387" i="10"/>
  <c r="LG387" i="10"/>
  <c r="DC326" i="10"/>
  <c r="LB326" i="10"/>
  <c r="LE326" i="10"/>
  <c r="LG326" i="10"/>
  <c r="DC127" i="10"/>
  <c r="DE127" i="10"/>
  <c r="LB127" i="10"/>
  <c r="LC127" i="10"/>
  <c r="LE127" i="10"/>
  <c r="LG127" i="10"/>
  <c r="DC116" i="10"/>
  <c r="DE116" i="10"/>
  <c r="LB116" i="10"/>
  <c r="LC116" i="10"/>
  <c r="LE116" i="10"/>
  <c r="LG116" i="10"/>
  <c r="DC212" i="10"/>
  <c r="DE212" i="10"/>
  <c r="LB212" i="10"/>
  <c r="LC212" i="10"/>
  <c r="LE212" i="10"/>
  <c r="LG212" i="10"/>
  <c r="DC143" i="10"/>
  <c r="DE143" i="10"/>
  <c r="LB143" i="10"/>
  <c r="LC143" i="10"/>
  <c r="LE143" i="10"/>
  <c r="LG143" i="10"/>
  <c r="DC254" i="10"/>
  <c r="DE254" i="10"/>
  <c r="LB254" i="10"/>
  <c r="LC254" i="10"/>
  <c r="LE254" i="10"/>
  <c r="LG254" i="10"/>
  <c r="IM348" i="10"/>
  <c r="II348" i="10"/>
  <c r="JP141" i="10"/>
  <c r="JN141" i="10"/>
  <c r="II141" i="10"/>
  <c r="IM141" i="10"/>
  <c r="JP348" i="10"/>
  <c r="JN348" i="10"/>
  <c r="JP318" i="10"/>
  <c r="JN318" i="10"/>
  <c r="JP157" i="10"/>
  <c r="JN157" i="10"/>
  <c r="II318" i="10"/>
  <c r="IM318" i="10"/>
  <c r="II157" i="10"/>
  <c r="IM157" i="10"/>
  <c r="JP317" i="10"/>
  <c r="JN317" i="10"/>
  <c r="JP344" i="10"/>
  <c r="JN344" i="10"/>
  <c r="JP359" i="10"/>
  <c r="JN359" i="10"/>
  <c r="IM344" i="10"/>
  <c r="II317" i="10"/>
  <c r="IM317" i="10"/>
  <c r="IM359" i="10"/>
  <c r="II359" i="10"/>
  <c r="JP324" i="10"/>
  <c r="JN324" i="10"/>
  <c r="II324" i="10"/>
  <c r="IM324" i="10"/>
  <c r="JP315" i="10"/>
  <c r="JN315" i="10"/>
  <c r="JP256" i="10"/>
  <c r="JN256" i="10"/>
  <c r="II315" i="10"/>
  <c r="IM315" i="10"/>
  <c r="IM256" i="10"/>
  <c r="II256" i="10"/>
  <c r="JP334" i="10"/>
  <c r="JN334" i="10"/>
  <c r="IM334" i="10"/>
  <c r="II35" i="10"/>
  <c r="JN145" i="10"/>
  <c r="JP145" i="10"/>
  <c r="JN361" i="10"/>
  <c r="JP361" i="10"/>
  <c r="LA31" i="10"/>
  <c r="EI56" i="10"/>
  <c r="EN56" i="10"/>
  <c r="LA60" i="10"/>
  <c r="BT60" i="10"/>
  <c r="LD60" i="10"/>
  <c r="EI59" i="10"/>
  <c r="EN59" i="10"/>
  <c r="DZ40" i="10"/>
  <c r="EA40" i="10"/>
  <c r="EB40" i="10"/>
  <c r="IM33" i="10"/>
  <c r="JP38" i="10"/>
  <c r="EE33" i="10"/>
  <c r="EI66" i="10"/>
  <c r="EN66" i="10"/>
  <c r="EE40" i="10"/>
  <c r="II43" i="10"/>
  <c r="DE39" i="10"/>
  <c r="EI54" i="10"/>
  <c r="EN54" i="10"/>
  <c r="EI46" i="10"/>
  <c r="EN46" i="10"/>
  <c r="EI61" i="10"/>
  <c r="EN61" i="10"/>
  <c r="EI51" i="10"/>
  <c r="EN51" i="10"/>
  <c r="DY50" i="10"/>
  <c r="ED50" i="10"/>
  <c r="LC69" i="10"/>
  <c r="DE69" i="10"/>
  <c r="IY68" i="10"/>
  <c r="DE67" i="10"/>
  <c r="LC67" i="10"/>
  <c r="LC51" i="10"/>
  <c r="DE51" i="10"/>
  <c r="LC68" i="10"/>
  <c r="DE68" i="10"/>
  <c r="LC55" i="10"/>
  <c r="DE55" i="10"/>
  <c r="LC62" i="10"/>
  <c r="DE62" i="10"/>
  <c r="DX67" i="10"/>
  <c r="DY67" i="10"/>
  <c r="ED67" i="10"/>
  <c r="EM67" i="10"/>
  <c r="DC58" i="10"/>
  <c r="DE58" i="10"/>
  <c r="LB58" i="10"/>
  <c r="LA58" i="10"/>
  <c r="LC58" i="10"/>
  <c r="BT58" i="10"/>
  <c r="LD58" i="10"/>
  <c r="LE58" i="10"/>
  <c r="LG58" i="10"/>
  <c r="DX53" i="10"/>
  <c r="DY53" i="10"/>
  <c r="ED53" i="10"/>
  <c r="EM53" i="10"/>
  <c r="DX55" i="10"/>
  <c r="DY55" i="10"/>
  <c r="ED55" i="10"/>
  <c r="EM55" i="10"/>
  <c r="DX52" i="10"/>
  <c r="DY52" i="10"/>
  <c r="ED52" i="10"/>
  <c r="EM52" i="10"/>
  <c r="DX49" i="10"/>
  <c r="DY49" i="10"/>
  <c r="ED49" i="10"/>
  <c r="EM49" i="10"/>
  <c r="DX57" i="10"/>
  <c r="DY57" i="10"/>
  <c r="ED57" i="10"/>
  <c r="EM57" i="10"/>
  <c r="DC60" i="10"/>
  <c r="LB60" i="10"/>
  <c r="LC60" i="10"/>
  <c r="LE60" i="10"/>
  <c r="LG60" i="10"/>
  <c r="LA69" i="10"/>
  <c r="BT69" i="10"/>
  <c r="LD69" i="10"/>
  <c r="JP61" i="10"/>
  <c r="JN61" i="10"/>
  <c r="IM61" i="10"/>
  <c r="II61" i="10"/>
  <c r="LA67" i="10"/>
  <c r="BT67" i="10"/>
  <c r="LD67" i="10"/>
  <c r="JP64" i="10"/>
  <c r="JN64" i="10"/>
  <c r="IM64" i="10"/>
  <c r="II64" i="10"/>
  <c r="DC54" i="10"/>
  <c r="DE54" i="10"/>
  <c r="LB54" i="10"/>
  <c r="LA54" i="10"/>
  <c r="LC54" i="10"/>
  <c r="BT54" i="10"/>
  <c r="LD54" i="10"/>
  <c r="LE54" i="10"/>
  <c r="LG54" i="10"/>
  <c r="DZ33" i="10"/>
  <c r="EA33" i="10"/>
  <c r="EB33" i="10"/>
  <c r="DC62" i="10"/>
  <c r="LB62" i="10"/>
  <c r="LA62" i="10"/>
  <c r="BT62" i="10"/>
  <c r="LD62" i="10"/>
  <c r="LE62" i="10"/>
  <c r="LG62" i="10"/>
  <c r="LA65" i="10"/>
  <c r="BT65" i="10"/>
  <c r="LD65" i="10"/>
  <c r="BT56" i="10"/>
  <c r="LD56" i="10"/>
  <c r="LA56" i="10"/>
  <c r="BT68" i="10"/>
  <c r="LD68" i="10"/>
  <c r="LA68" i="10"/>
  <c r="LA51" i="10"/>
  <c r="BT51" i="10"/>
  <c r="LD51" i="10"/>
  <c r="LA55" i="10"/>
  <c r="BT55" i="10"/>
  <c r="LD55" i="10"/>
  <c r="BT31" i="10"/>
  <c r="LD31" i="10"/>
  <c r="BT49" i="10"/>
  <c r="LD49" i="10"/>
  <c r="LA49" i="10"/>
  <c r="DC67" i="10"/>
  <c r="LB67" i="10"/>
  <c r="LE67" i="10"/>
  <c r="LG67" i="10"/>
  <c r="DC56" i="10"/>
  <c r="LB56" i="10"/>
  <c r="LE56" i="10"/>
  <c r="LG56" i="10"/>
  <c r="DC65" i="10"/>
  <c r="LB65" i="10"/>
  <c r="LE65" i="10"/>
  <c r="LG65" i="10"/>
  <c r="DC49" i="10"/>
  <c r="DC69" i="10"/>
  <c r="LB69" i="10"/>
  <c r="LE69" i="10"/>
  <c r="LG69" i="10"/>
  <c r="DC51" i="10"/>
  <c r="LB51" i="10"/>
  <c r="LE51" i="10"/>
  <c r="LG51" i="10"/>
  <c r="DC68" i="10"/>
  <c r="LB68" i="10"/>
  <c r="LE68" i="10"/>
  <c r="LG68" i="10"/>
  <c r="DC55" i="10"/>
  <c r="LB55" i="10"/>
  <c r="LE55" i="10"/>
  <c r="LG55" i="10"/>
  <c r="EI47" i="10"/>
  <c r="EN47" i="10"/>
  <c r="IY69" i="10"/>
  <c r="JN35" i="10"/>
  <c r="IY67" i="10"/>
  <c r="DE45" i="10"/>
  <c r="LC45" i="10"/>
  <c r="DC38" i="10"/>
  <c r="DE38" i="10"/>
  <c r="LB38" i="10"/>
  <c r="LC38" i="10"/>
  <c r="LE38" i="10"/>
  <c r="LG38" i="10"/>
  <c r="DC40" i="10"/>
  <c r="LB40" i="10"/>
  <c r="LA40" i="10"/>
  <c r="BT40" i="10"/>
  <c r="LD40" i="10"/>
  <c r="LE40" i="10"/>
  <c r="LG40" i="10"/>
  <c r="DC29" i="10"/>
  <c r="DE29" i="10"/>
  <c r="LB29" i="10"/>
  <c r="LA29" i="10"/>
  <c r="LC29" i="10"/>
  <c r="BT29" i="10"/>
  <c r="LD29" i="10"/>
  <c r="LE29" i="10"/>
  <c r="LG29" i="10"/>
  <c r="DC32" i="10"/>
  <c r="DE32" i="10"/>
  <c r="LB32" i="10"/>
  <c r="LC32" i="10"/>
  <c r="LE32" i="10"/>
  <c r="LG32" i="10"/>
  <c r="DC44" i="10"/>
  <c r="DE44" i="10"/>
  <c r="LB44" i="10"/>
  <c r="LC44" i="10"/>
  <c r="LE44" i="10"/>
  <c r="LG44" i="10"/>
  <c r="DC28" i="10"/>
  <c r="LB28" i="10"/>
  <c r="LA28" i="10"/>
  <c r="BT28" i="10"/>
  <c r="LD28" i="10"/>
  <c r="LE28" i="10"/>
  <c r="LG28" i="10"/>
  <c r="DC37" i="10"/>
  <c r="LB37" i="10"/>
  <c r="BT37" i="10"/>
  <c r="LD37" i="10"/>
  <c r="LE37" i="10"/>
  <c r="LG37" i="10"/>
  <c r="DC31" i="10"/>
  <c r="LB31" i="10"/>
  <c r="LE31" i="10"/>
  <c r="LG31" i="10"/>
  <c r="DC45" i="10"/>
  <c r="LB45" i="10"/>
  <c r="LA45" i="10"/>
  <c r="BT45" i="10"/>
  <c r="LD45" i="10"/>
  <c r="LE45" i="10"/>
  <c r="LG45" i="10"/>
  <c r="DC36" i="10"/>
  <c r="IM43" i="10"/>
  <c r="IM35" i="10"/>
  <c r="IY47" i="10"/>
  <c r="EE42" i="10"/>
  <c r="DZ24" i="10"/>
  <c r="EA24" i="10"/>
  <c r="EB24" i="10"/>
  <c r="D394" i="10"/>
  <c r="E11" i="24"/>
  <c r="JP387" i="10"/>
  <c r="JN387" i="10"/>
  <c r="JN372" i="10"/>
  <c r="JP372" i="10"/>
  <c r="JN369" i="10"/>
  <c r="JP369" i="10"/>
  <c r="JP390" i="10"/>
  <c r="JN390" i="10"/>
  <c r="JP356" i="10"/>
  <c r="JN356" i="10"/>
  <c r="JP333" i="10"/>
  <c r="JN333" i="10"/>
  <c r="JP384" i="10"/>
  <c r="JN384" i="10"/>
  <c r="JP313" i="10"/>
  <c r="JN313" i="10"/>
  <c r="JP337" i="10"/>
  <c r="JN337" i="10"/>
  <c r="LA27" i="10"/>
  <c r="JO43" i="10"/>
  <c r="EE35" i="10"/>
  <c r="DZ35" i="10"/>
  <c r="EA35" i="10"/>
  <c r="LA36" i="10"/>
  <c r="EA30" i="10"/>
  <c r="LA30" i="10"/>
  <c r="BT30" i="10"/>
  <c r="LD30" i="10"/>
  <c r="JO27" i="10"/>
  <c r="DZ42" i="10"/>
  <c r="EA42" i="10"/>
  <c r="EB42" i="10"/>
  <c r="EA32" i="10"/>
  <c r="EI39" i="10"/>
  <c r="EN39" i="10"/>
  <c r="EE34" i="10"/>
  <c r="DZ34" i="10"/>
  <c r="EI29" i="10"/>
  <c r="EN29" i="10"/>
  <c r="JO34" i="10"/>
  <c r="HY28" i="10"/>
  <c r="HY49" i="10"/>
  <c r="HY73" i="10"/>
  <c r="HY85" i="10"/>
  <c r="HY121" i="10"/>
  <c r="HY133" i="10"/>
  <c r="HY145" i="10"/>
  <c r="HY157" i="10"/>
  <c r="HY169" i="10"/>
  <c r="HY181" i="10"/>
  <c r="HY193" i="10"/>
  <c r="HY205" i="10"/>
  <c r="HY217" i="10"/>
  <c r="HY230" i="10"/>
  <c r="HY242" i="10"/>
  <c r="HY254" i="10"/>
  <c r="HY266" i="10"/>
  <c r="HY278" i="10"/>
  <c r="HY290" i="10"/>
  <c r="HY302" i="10"/>
  <c r="HY314" i="10"/>
  <c r="HY326" i="10"/>
  <c r="HY338" i="10"/>
  <c r="HY350" i="10"/>
  <c r="HY362" i="10"/>
  <c r="HY374" i="10"/>
  <c r="HY386" i="10"/>
  <c r="HY50" i="10"/>
  <c r="HY62" i="10"/>
  <c r="HY110" i="10"/>
  <c r="HY122" i="10"/>
  <c r="HY134" i="10"/>
  <c r="HY146" i="10"/>
  <c r="HY158" i="10"/>
  <c r="HY170" i="10"/>
  <c r="HY182" i="10"/>
  <c r="HY194" i="10"/>
  <c r="HY206" i="10"/>
  <c r="HY218" i="10"/>
  <c r="HY231" i="10"/>
  <c r="HY243" i="10"/>
  <c r="HY255" i="10"/>
  <c r="HY267" i="10"/>
  <c r="HY279" i="10"/>
  <c r="HY291" i="10"/>
  <c r="HY303" i="10"/>
  <c r="HY315" i="10"/>
  <c r="HY327" i="10"/>
  <c r="HY339" i="10"/>
  <c r="HY351" i="10"/>
  <c r="HY363" i="10"/>
  <c r="HY375" i="10"/>
  <c r="HY387" i="10"/>
  <c r="HY51" i="10"/>
  <c r="HY63" i="10"/>
  <c r="HY111" i="10"/>
  <c r="HY123" i="10"/>
  <c r="HY135" i="10"/>
  <c r="HY147" i="10"/>
  <c r="HY159" i="10"/>
  <c r="HY171" i="10"/>
  <c r="HY183" i="10"/>
  <c r="HY195" i="10"/>
  <c r="HY207" i="10"/>
  <c r="HY219" i="10"/>
  <c r="HY232" i="10"/>
  <c r="HY244" i="10"/>
  <c r="HY256" i="10"/>
  <c r="HY268" i="10"/>
  <c r="HY280" i="10"/>
  <c r="HY292" i="10"/>
  <c r="HY304" i="10"/>
  <c r="HY316" i="10"/>
  <c r="HY328" i="10"/>
  <c r="HY340" i="10"/>
  <c r="HY352" i="10"/>
  <c r="HY364" i="10"/>
  <c r="HY376" i="10"/>
  <c r="HY388" i="10"/>
  <c r="HY52" i="10"/>
  <c r="HY88" i="10"/>
  <c r="HY100" i="10"/>
  <c r="HY124" i="10"/>
  <c r="HY136" i="10"/>
  <c r="HY148" i="10"/>
  <c r="HY160" i="10"/>
  <c r="HY172" i="10"/>
  <c r="HY184" i="10"/>
  <c r="HY196" i="10"/>
  <c r="HY208" i="10"/>
  <c r="HY220" i="10"/>
  <c r="HY35" i="10"/>
  <c r="HY233" i="10"/>
  <c r="HY245" i="10"/>
  <c r="HY257" i="10"/>
  <c r="HY269" i="10"/>
  <c r="HY281" i="10"/>
  <c r="HY293" i="10"/>
  <c r="HY305" i="10"/>
  <c r="HY317" i="10"/>
  <c r="HY329" i="10"/>
  <c r="HY341" i="10"/>
  <c r="HY353" i="10"/>
  <c r="HY365" i="10"/>
  <c r="HY377" i="10"/>
  <c r="HY389" i="10"/>
  <c r="HY36" i="10"/>
  <c r="HY53" i="10"/>
  <c r="HY65" i="10"/>
  <c r="HY89" i="10"/>
  <c r="HY113" i="10"/>
  <c r="HY125" i="10"/>
  <c r="HY137" i="10"/>
  <c r="HY149" i="10"/>
  <c r="HY161" i="10"/>
  <c r="HY173" i="10"/>
  <c r="HY185" i="10"/>
  <c r="HY197" i="10"/>
  <c r="HY209" i="10"/>
  <c r="HY221" i="10"/>
  <c r="HY224" i="10"/>
  <c r="HY234" i="10"/>
  <c r="HY246" i="10"/>
  <c r="HY258" i="10"/>
  <c r="HY270" i="10"/>
  <c r="HY282" i="10"/>
  <c r="HY294" i="10"/>
  <c r="HY306" i="10"/>
  <c r="HY318" i="10"/>
  <c r="HY330" i="10"/>
  <c r="HY342" i="10"/>
  <c r="HY354" i="10"/>
  <c r="HY366" i="10"/>
  <c r="HY378" i="10"/>
  <c r="HY390" i="10"/>
  <c r="HY54" i="10"/>
  <c r="HY66" i="10"/>
  <c r="HY90" i="10"/>
  <c r="HY102" i="10"/>
  <c r="HY126" i="10"/>
  <c r="HY138" i="10"/>
  <c r="HY150" i="10"/>
  <c r="HY162" i="10"/>
  <c r="HY174" i="10"/>
  <c r="HY186" i="10"/>
  <c r="HY198" i="10"/>
  <c r="HY210" i="10"/>
  <c r="HY222" i="10"/>
  <c r="HY39" i="10"/>
  <c r="HY235" i="10"/>
  <c r="HY247" i="10"/>
  <c r="HY259" i="10"/>
  <c r="HY271" i="10"/>
  <c r="HY283" i="10"/>
  <c r="HY295" i="10"/>
  <c r="HY307" i="10"/>
  <c r="HY319" i="10"/>
  <c r="HY331" i="10"/>
  <c r="HY343" i="10"/>
  <c r="HY355" i="10"/>
  <c r="HY367" i="10"/>
  <c r="HY379" i="10"/>
  <c r="HY391" i="10"/>
  <c r="HY40" i="10"/>
  <c r="HY55" i="10"/>
  <c r="HY67" i="10"/>
  <c r="HY79" i="10"/>
  <c r="HY103" i="10"/>
  <c r="HY115" i="10"/>
  <c r="HY127" i="10"/>
  <c r="HY139" i="10"/>
  <c r="HY151" i="10"/>
  <c r="HY163" i="10"/>
  <c r="HY175" i="10"/>
  <c r="HY187" i="10"/>
  <c r="HY199" i="10"/>
  <c r="HY211" i="10"/>
  <c r="HY223" i="10"/>
  <c r="HY41" i="10"/>
  <c r="HY236" i="10"/>
  <c r="HY248" i="10"/>
  <c r="HY260" i="10"/>
  <c r="HY272" i="10"/>
  <c r="HY284" i="10"/>
  <c r="HY296" i="10"/>
  <c r="HY308" i="10"/>
  <c r="HY320" i="10"/>
  <c r="HY332" i="10"/>
  <c r="HY344" i="10"/>
  <c r="HY356" i="10"/>
  <c r="HY368" i="10"/>
  <c r="HY380" i="10"/>
  <c r="HY42" i="10"/>
  <c r="HY56" i="10"/>
  <c r="HY68" i="10"/>
  <c r="HY92" i="10"/>
  <c r="HY116" i="10"/>
  <c r="HY128" i="10"/>
  <c r="HY140" i="10"/>
  <c r="HY152" i="10"/>
  <c r="HY164" i="10"/>
  <c r="HY176" i="10"/>
  <c r="HY188" i="10"/>
  <c r="HY200" i="10"/>
  <c r="HY212" i="10"/>
  <c r="HY225" i="10"/>
  <c r="HY237" i="10"/>
  <c r="HY249" i="10"/>
  <c r="HY261" i="10"/>
  <c r="HY273" i="10"/>
  <c r="HY285" i="10"/>
  <c r="HY297" i="10"/>
  <c r="HY309" i="10"/>
  <c r="HY321" i="10"/>
  <c r="HY333" i="10"/>
  <c r="HY345" i="10"/>
  <c r="HY357" i="10"/>
  <c r="HY369" i="10"/>
  <c r="HY381" i="10"/>
  <c r="HY57" i="10"/>
  <c r="HY69" i="10"/>
  <c r="HY81" i="10"/>
  <c r="HY93" i="10"/>
  <c r="HY105" i="10"/>
  <c r="HY117" i="10"/>
  <c r="HY129" i="10"/>
  <c r="HY141" i="10"/>
  <c r="HY153" i="10"/>
  <c r="HY165" i="10"/>
  <c r="HY177" i="10"/>
  <c r="HY189" i="10"/>
  <c r="HY201" i="10"/>
  <c r="HY213" i="10"/>
  <c r="HY45" i="10"/>
  <c r="HY226" i="10"/>
  <c r="HY238" i="10"/>
  <c r="HY250" i="10"/>
  <c r="HY262" i="10"/>
  <c r="HY274" i="10"/>
  <c r="HY286" i="10"/>
  <c r="HY298" i="10"/>
  <c r="HY310" i="10"/>
  <c r="HY322" i="10"/>
  <c r="HY334" i="10"/>
  <c r="HY346" i="10"/>
  <c r="HY358" i="10"/>
  <c r="HY370" i="10"/>
  <c r="HY382" i="10"/>
  <c r="HY46" i="10"/>
  <c r="HY58" i="10"/>
  <c r="HY70" i="10"/>
  <c r="HY94" i="10"/>
  <c r="HY118" i="10"/>
  <c r="HY130" i="10"/>
  <c r="HY142" i="10"/>
  <c r="HY154" i="10"/>
  <c r="HY166" i="10"/>
  <c r="HY178" i="10"/>
  <c r="HY190" i="10"/>
  <c r="HY202" i="10"/>
  <c r="HY214" i="10"/>
  <c r="HY227" i="10"/>
  <c r="HY239" i="10"/>
  <c r="HY251" i="10"/>
  <c r="HY263" i="10"/>
  <c r="HY275" i="10"/>
  <c r="HY287" i="10"/>
  <c r="HY299" i="10"/>
  <c r="HY311" i="10"/>
  <c r="HY323" i="10"/>
  <c r="HY335" i="10"/>
  <c r="HY347" i="10"/>
  <c r="HY359" i="10"/>
  <c r="HY371" i="10"/>
  <c r="HY383" i="10"/>
  <c r="HY47" i="10"/>
  <c r="HY59" i="10"/>
  <c r="HY71" i="10"/>
  <c r="HY107" i="10"/>
  <c r="HY119" i="10"/>
  <c r="HY131" i="10"/>
  <c r="HY143" i="10"/>
  <c r="HY155" i="10"/>
  <c r="HY167" i="10"/>
  <c r="HY179" i="10"/>
  <c r="HY191" i="10"/>
  <c r="HY203" i="10"/>
  <c r="HY215" i="10"/>
  <c r="HY228" i="10"/>
  <c r="HY240" i="10"/>
  <c r="HY252" i="10"/>
  <c r="HY264" i="10"/>
  <c r="HY276" i="10"/>
  <c r="HY288" i="10"/>
  <c r="HY300" i="10"/>
  <c r="HY312" i="10"/>
  <c r="HY324" i="10"/>
  <c r="HY336" i="10"/>
  <c r="HY348" i="10"/>
  <c r="HY360" i="10"/>
  <c r="HY372" i="10"/>
  <c r="HY384" i="10"/>
  <c r="HY48" i="10"/>
  <c r="HY60" i="10"/>
  <c r="HY72" i="10"/>
  <c r="HY96" i="10"/>
  <c r="HY120" i="10"/>
  <c r="HY132" i="10"/>
  <c r="HY144" i="10"/>
  <c r="HY156" i="10"/>
  <c r="HY168" i="10"/>
  <c r="HY180" i="10"/>
  <c r="HY192" i="10"/>
  <c r="HY204" i="10"/>
  <c r="HY216" i="10"/>
  <c r="HY229" i="10"/>
  <c r="HY241" i="10"/>
  <c r="HY253" i="10"/>
  <c r="HY265" i="10"/>
  <c r="HY277" i="10"/>
  <c r="HY289" i="10"/>
  <c r="HY301" i="10"/>
  <c r="HY313" i="10"/>
  <c r="HY325" i="10"/>
  <c r="HY337" i="10"/>
  <c r="HY349" i="10"/>
  <c r="HY361" i="10"/>
  <c r="HY373" i="10"/>
  <c r="HY385" i="10"/>
  <c r="LC41" i="10"/>
  <c r="DE41" i="10"/>
  <c r="LC35" i="10"/>
  <c r="DE35" i="10"/>
  <c r="DE33" i="10"/>
  <c r="LC33" i="10"/>
  <c r="JP29" i="10"/>
  <c r="JN29" i="10"/>
  <c r="EA28" i="10"/>
  <c r="EA44" i="10"/>
  <c r="DX37" i="10"/>
  <c r="DY37" i="10"/>
  <c r="ED37" i="10"/>
  <c r="EM37" i="10"/>
  <c r="EA45" i="10"/>
  <c r="JO41" i="10"/>
  <c r="EA38" i="10"/>
  <c r="JO39" i="10"/>
  <c r="LA39" i="10"/>
  <c r="BT39" i="10"/>
  <c r="LD39" i="10"/>
  <c r="DZ41" i="10"/>
  <c r="EE41" i="10"/>
  <c r="LA35" i="10"/>
  <c r="BT35" i="10"/>
  <c r="LD35" i="10"/>
  <c r="EA43" i="10"/>
  <c r="EA27" i="10"/>
  <c r="EA31" i="10"/>
  <c r="JP30" i="10"/>
  <c r="JN30" i="10"/>
  <c r="JP42" i="10"/>
  <c r="JN42" i="10"/>
  <c r="IY44" i="10"/>
  <c r="LA33" i="10"/>
  <c r="ED36" i="10"/>
  <c r="EM36" i="10"/>
  <c r="EI36" i="10"/>
  <c r="EN36" i="10"/>
  <c r="ED62" i="10"/>
  <c r="EM62" i="10"/>
  <c r="EI62" i="10"/>
  <c r="EN62" i="10"/>
  <c r="ED60" i="10"/>
  <c r="EM60" i="10"/>
  <c r="EI60" i="10"/>
  <c r="EN60" i="10"/>
  <c r="ED58" i="10"/>
  <c r="EM58" i="10"/>
  <c r="EI58" i="10"/>
  <c r="EN58" i="10"/>
  <c r="ED65" i="10"/>
  <c r="EM65" i="10"/>
  <c r="EI65" i="10"/>
  <c r="EN65" i="10"/>
  <c r="ED68" i="10"/>
  <c r="EM68" i="10"/>
  <c r="EI68" i="10"/>
  <c r="EN68" i="10"/>
  <c r="ED69" i="10"/>
  <c r="EM69" i="10"/>
  <c r="EI69" i="10"/>
  <c r="EN69" i="10"/>
  <c r="EI63" i="10"/>
  <c r="EN63" i="10"/>
  <c r="EB38" i="10"/>
  <c r="DX38" i="10"/>
  <c r="DY38" i="10"/>
  <c r="ED38" i="10"/>
  <c r="EM38" i="10"/>
  <c r="EB32" i="10"/>
  <c r="DX32" i="10"/>
  <c r="DY32" i="10"/>
  <c r="LC162" i="10"/>
  <c r="DE162" i="10"/>
  <c r="LB162" i="10"/>
  <c r="LE162" i="10"/>
  <c r="LG162" i="10"/>
  <c r="DX33" i="10"/>
  <c r="DY33" i="10"/>
  <c r="ED33" i="10"/>
  <c r="EM33" i="10"/>
  <c r="EB45" i="10"/>
  <c r="DX45" i="10"/>
  <c r="DY45" i="10"/>
  <c r="DX42" i="10"/>
  <c r="DY42" i="10"/>
  <c r="ED42" i="10"/>
  <c r="EM42" i="10"/>
  <c r="DX24" i="10"/>
  <c r="DY24" i="10"/>
  <c r="ED24" i="10"/>
  <c r="EM24" i="10"/>
  <c r="EB30" i="10"/>
  <c r="DX30" i="10"/>
  <c r="DY30" i="10"/>
  <c r="EB31" i="10"/>
  <c r="DX31" i="10"/>
  <c r="DY31" i="10"/>
  <c r="EB27" i="10"/>
  <c r="DX27" i="10"/>
  <c r="DY27" i="10"/>
  <c r="EB43" i="10"/>
  <c r="DX43" i="10"/>
  <c r="DY43" i="10"/>
  <c r="DX40" i="10"/>
  <c r="DY40" i="10"/>
  <c r="ED40" i="10"/>
  <c r="EM40" i="10"/>
  <c r="EB28" i="10"/>
  <c r="DX28" i="10"/>
  <c r="DY28" i="10"/>
  <c r="EB44" i="10"/>
  <c r="DX44" i="10"/>
  <c r="DY44" i="10"/>
  <c r="ED44" i="10"/>
  <c r="EM44" i="10"/>
  <c r="EB35" i="10"/>
  <c r="DX35" i="10"/>
  <c r="DY35" i="10"/>
  <c r="LB36" i="10"/>
  <c r="LE36" i="10"/>
  <c r="LG36" i="10"/>
  <c r="FG70" i="10"/>
  <c r="K70" i="10"/>
  <c r="GI70" i="10" s="1"/>
  <c r="AT70" i="10" s="1"/>
  <c r="FG80" i="10"/>
  <c r="K80" i="10"/>
  <c r="FG110" i="10"/>
  <c r="K110" i="10"/>
  <c r="FG79" i="10"/>
  <c r="K79" i="10"/>
  <c r="FG77" i="10"/>
  <c r="K77" i="10"/>
  <c r="FG105" i="10"/>
  <c r="K105" i="10"/>
  <c r="GI105" i="10" s="1"/>
  <c r="AT105" i="10" s="1"/>
  <c r="FG98" i="10"/>
  <c r="K98" i="10"/>
  <c r="FG78" i="10"/>
  <c r="K78" i="10"/>
  <c r="FG76" i="10"/>
  <c r="K76" i="10"/>
  <c r="FG72" i="10"/>
  <c r="K72" i="10"/>
  <c r="Q72" i="10"/>
  <c r="BN72" i="10" s="1"/>
  <c r="FG83" i="10"/>
  <c r="K83" i="10"/>
  <c r="FG90" i="10"/>
  <c r="K90" i="10"/>
  <c r="FG94" i="10"/>
  <c r="K94" i="10"/>
  <c r="FG96" i="10"/>
  <c r="K96" i="10"/>
  <c r="GI96" i="10" s="1"/>
  <c r="AT96" i="10" s="1"/>
  <c r="FG71" i="10"/>
  <c r="K71" i="10"/>
  <c r="GI71" i="10" s="1"/>
  <c r="AT71" i="10" s="1"/>
  <c r="FG95" i="10"/>
  <c r="K95" i="10"/>
  <c r="GI95" i="10" s="1"/>
  <c r="AT95" i="10" s="1"/>
  <c r="FG84" i="10"/>
  <c r="K84" i="10"/>
  <c r="FG86" i="10"/>
  <c r="K86" i="10"/>
  <c r="GI86" i="10" s="1"/>
  <c r="AT86" i="10" s="1"/>
  <c r="FG81" i="10"/>
  <c r="K81" i="10"/>
  <c r="FG88" i="10"/>
  <c r="K88" i="10"/>
  <c r="FG106" i="10"/>
  <c r="K106" i="10"/>
  <c r="FG87" i="10"/>
  <c r="K87" i="10"/>
  <c r="FG99" i="10"/>
  <c r="K99" i="10"/>
  <c r="FG75" i="10"/>
  <c r="K75" i="10"/>
  <c r="GI75" i="10" s="1"/>
  <c r="AT75" i="10" s="1"/>
  <c r="FG111" i="10"/>
  <c r="K111" i="10"/>
  <c r="FG109" i="10"/>
  <c r="K109" i="10"/>
  <c r="FG107" i="10"/>
  <c r="K107" i="10"/>
  <c r="GI107" i="10" s="1"/>
  <c r="AT107" i="10" s="1"/>
  <c r="FG91" i="10"/>
  <c r="K91" i="10"/>
  <c r="GI91" i="10" s="1"/>
  <c r="AT91" i="10" s="1"/>
  <c r="FG73" i="10"/>
  <c r="K73" i="10"/>
  <c r="FG85" i="10"/>
  <c r="K85" i="10"/>
  <c r="FG100" i="10"/>
  <c r="K100" i="10"/>
  <c r="FG93" i="10"/>
  <c r="K93" i="10"/>
  <c r="GI93" i="10" s="1"/>
  <c r="AT93" i="10" s="1"/>
  <c r="FG101" i="10"/>
  <c r="K101" i="10"/>
  <c r="FG103" i="10"/>
  <c r="K103" i="10"/>
  <c r="GI103" i="10" s="1"/>
  <c r="AT103" i="10" s="1"/>
  <c r="FG104" i="10"/>
  <c r="K104" i="10"/>
  <c r="FG108" i="10"/>
  <c r="K108" i="10"/>
  <c r="GI108" i="10" s="1"/>
  <c r="AT108" i="10" s="1"/>
  <c r="FG102" i="10"/>
  <c r="K102" i="10"/>
  <c r="GI102" i="10" s="1"/>
  <c r="FG89" i="10"/>
  <c r="K89" i="10"/>
  <c r="FG74" i="10"/>
  <c r="K74" i="10"/>
  <c r="FG97" i="10"/>
  <c r="K97" i="10"/>
  <c r="FG82" i="10"/>
  <c r="K82" i="10"/>
  <c r="FG114" i="10"/>
  <c r="K114" i="10"/>
  <c r="FG92" i="10"/>
  <c r="K92" i="10"/>
  <c r="GI92" i="10" s="1"/>
  <c r="AT92" i="10" s="1"/>
  <c r="FG112" i="10"/>
  <c r="K112" i="10"/>
  <c r="Q85" i="10"/>
  <c r="BN85" i="10" s="1"/>
  <c r="LB88" i="10"/>
  <c r="LE88" i="10"/>
  <c r="LG88" i="10"/>
  <c r="LE117" i="10"/>
  <c r="LG117" i="10"/>
  <c r="EI80" i="10"/>
  <c r="EN80" i="10"/>
  <c r="EI252" i="10"/>
  <c r="EN252" i="10"/>
  <c r="EI108" i="10"/>
  <c r="EN108" i="10"/>
  <c r="EI339" i="10"/>
  <c r="EN339" i="10"/>
  <c r="LC131" i="10"/>
  <c r="LC187" i="10"/>
  <c r="DE187" i="10"/>
  <c r="LB187" i="10"/>
  <c r="LE187" i="10"/>
  <c r="LG187" i="10"/>
  <c r="LC250" i="10"/>
  <c r="LC287" i="10"/>
  <c r="LC367" i="10"/>
  <c r="LC315" i="10"/>
  <c r="DE315" i="10"/>
  <c r="LC359" i="10"/>
  <c r="DE359" i="10"/>
  <c r="LC243" i="10"/>
  <c r="DE243" i="10"/>
  <c r="LB243" i="10"/>
  <c r="LE243" i="10"/>
  <c r="LG243" i="10"/>
  <c r="LC145" i="10"/>
  <c r="DE145" i="10"/>
  <c r="LB145" i="10"/>
  <c r="LE145" i="10"/>
  <c r="LG145" i="10"/>
  <c r="LC205" i="10"/>
  <c r="LC332" i="10"/>
  <c r="LC157" i="10"/>
  <c r="DE157" i="10"/>
  <c r="LC334" i="10"/>
  <c r="DE334" i="10"/>
  <c r="LC321" i="10"/>
  <c r="DE321" i="10"/>
  <c r="LB321" i="10"/>
  <c r="LE321" i="10"/>
  <c r="LG321" i="10"/>
  <c r="LC372" i="10"/>
  <c r="DE372" i="10"/>
  <c r="LB372" i="10"/>
  <c r="LE372" i="10"/>
  <c r="LG372" i="10"/>
  <c r="EI224" i="10"/>
  <c r="EN224" i="10"/>
  <c r="EI207" i="10"/>
  <c r="EN207" i="10"/>
  <c r="JM388" i="10"/>
  <c r="EI353" i="10"/>
  <c r="EN353" i="10"/>
  <c r="EI391" i="10"/>
  <c r="EN391" i="10"/>
  <c r="LC262" i="10"/>
  <c r="DE262" i="10"/>
  <c r="LB262" i="10"/>
  <c r="LE262" i="10"/>
  <c r="LG262" i="10"/>
  <c r="LC175" i="10"/>
  <c r="DE175" i="10"/>
  <c r="LB175" i="10"/>
  <c r="LE175" i="10"/>
  <c r="LG175" i="10"/>
  <c r="LC265" i="10"/>
  <c r="DE265" i="10"/>
  <c r="LC61" i="10"/>
  <c r="DE61" i="10"/>
  <c r="LC141" i="10"/>
  <c r="DE141" i="10"/>
  <c r="LC79" i="10"/>
  <c r="LC166" i="10"/>
  <c r="DE166" i="10"/>
  <c r="LB166" i="10"/>
  <c r="LE166" i="10"/>
  <c r="LG166" i="10"/>
  <c r="LC281" i="10"/>
  <c r="DE281" i="10"/>
  <c r="LB281" i="10"/>
  <c r="LE281" i="10"/>
  <c r="LG281" i="10"/>
  <c r="LC82" i="10"/>
  <c r="LC49" i="10"/>
  <c r="DE49" i="10"/>
  <c r="LB49" i="10"/>
  <c r="LE49" i="10"/>
  <c r="LG49" i="10"/>
  <c r="LC161" i="10"/>
  <c r="DE161" i="10"/>
  <c r="LB161" i="10"/>
  <c r="LE161" i="10"/>
  <c r="LG161" i="10"/>
  <c r="LC330" i="10"/>
  <c r="DE330" i="10"/>
  <c r="LB330" i="10"/>
  <c r="LE330" i="10"/>
  <c r="LG330" i="10"/>
  <c r="LC169" i="10"/>
  <c r="DE169" i="10"/>
  <c r="LC306" i="10"/>
  <c r="DE306" i="10"/>
  <c r="LB306" i="10"/>
  <c r="LE306" i="10"/>
  <c r="LG306" i="10"/>
  <c r="LC317" i="10"/>
  <c r="DE317" i="10"/>
  <c r="LC291" i="10"/>
  <c r="LC113" i="10"/>
  <c r="DE113" i="10"/>
  <c r="LB113" i="10"/>
  <c r="LE113" i="10"/>
  <c r="LG113" i="10"/>
  <c r="LC289" i="10"/>
  <c r="LC348" i="10"/>
  <c r="DE348" i="10"/>
  <c r="LC171" i="10"/>
  <c r="DE171" i="10"/>
  <c r="LB171" i="10"/>
  <c r="LE171" i="10"/>
  <c r="LG171" i="10"/>
  <c r="LC216" i="10"/>
  <c r="LC272" i="10"/>
  <c r="DE272" i="10"/>
  <c r="LB272" i="10"/>
  <c r="LE272" i="10"/>
  <c r="LG272" i="10"/>
  <c r="LC318" i="10"/>
  <c r="DE318" i="10"/>
  <c r="LC280" i="10"/>
  <c r="DE280" i="10"/>
  <c r="LB280" i="10"/>
  <c r="LE280" i="10"/>
  <c r="LG280" i="10"/>
  <c r="LC74" i="10"/>
  <c r="DE74" i="10"/>
  <c r="LB74" i="10"/>
  <c r="LE74" i="10"/>
  <c r="LG74" i="10"/>
  <c r="LC288" i="10"/>
  <c r="DE288" i="10"/>
  <c r="LB288" i="10"/>
  <c r="LE288" i="10"/>
  <c r="LG288" i="10"/>
  <c r="LC30" i="10"/>
  <c r="DE30" i="10"/>
  <c r="LB30" i="10"/>
  <c r="LE30" i="10"/>
  <c r="LG30" i="10"/>
  <c r="Q51" i="10"/>
  <c r="BN51" i="10"/>
  <c r="HY78" i="10"/>
  <c r="Q78" i="10"/>
  <c r="BN78" i="10" s="1"/>
  <c r="A72" i="15" s="1"/>
  <c r="Q102" i="10"/>
  <c r="BN102" i="10" s="1"/>
  <c r="Q94" i="10"/>
  <c r="BN94" i="10" s="1"/>
  <c r="A88" i="15" s="1"/>
  <c r="Q48" i="10"/>
  <c r="BN48" i="10" s="1"/>
  <c r="JM48" i="10" s="1"/>
  <c r="HY108" i="10"/>
  <c r="Q108" i="10"/>
  <c r="BN108" i="10" s="1"/>
  <c r="A102" i="15" s="1"/>
  <c r="Q60" i="10"/>
  <c r="Q56" i="10"/>
  <c r="BN56" i="10"/>
  <c r="Q73" i="10"/>
  <c r="BN73" i="10" s="1"/>
  <c r="HY84" i="10"/>
  <c r="Q84" i="10"/>
  <c r="BN84" i="10" s="1"/>
  <c r="HY106" i="10"/>
  <c r="Q106" i="10"/>
  <c r="GI106" i="10" s="1"/>
  <c r="AT106" i="10" s="1"/>
  <c r="Q117" i="10"/>
  <c r="Q69" i="10"/>
  <c r="BN69" i="10"/>
  <c r="HY82" i="10"/>
  <c r="Q82" i="10"/>
  <c r="BN82" i="10" s="1"/>
  <c r="HY104" i="10"/>
  <c r="Q104" i="10"/>
  <c r="Q115" i="10"/>
  <c r="BN115" i="10" s="1"/>
  <c r="Q62" i="10"/>
  <c r="BN62" i="10" s="1"/>
  <c r="Q116" i="10"/>
  <c r="Q57" i="10"/>
  <c r="BN57" i="10"/>
  <c r="A51" i="15" s="1"/>
  <c r="J51" i="15" s="1"/>
  <c r="HY80" i="10"/>
  <c r="Q80" i="10"/>
  <c r="Q100" i="10"/>
  <c r="GI100" i="10" s="1"/>
  <c r="AT100" i="10" s="1"/>
  <c r="Q103" i="10"/>
  <c r="BN103" i="10" s="1"/>
  <c r="HY91" i="10"/>
  <c r="Q91" i="10"/>
  <c r="HY95" i="10"/>
  <c r="Q95" i="10"/>
  <c r="BN95" i="10" s="1"/>
  <c r="A89" i="15"/>
  <c r="CF95" i="10"/>
  <c r="CQ95" i="10"/>
  <c r="CW95" i="10"/>
  <c r="CZ21" i="10"/>
  <c r="AX95" i="10"/>
  <c r="BA95" i="10"/>
  <c r="HY109" i="10"/>
  <c r="Q109" i="10"/>
  <c r="BN109" i="10"/>
  <c r="Q66" i="10"/>
  <c r="BN66" i="10" s="1"/>
  <c r="Q65" i="10"/>
  <c r="BN65" i="10" s="1"/>
  <c r="JM65" i="10" s="1"/>
  <c r="Q90" i="10"/>
  <c r="HY83" i="10"/>
  <c r="Q83" i="10"/>
  <c r="BN83" i="10"/>
  <c r="HY97" i="10"/>
  <c r="Q97" i="10"/>
  <c r="Q105" i="10"/>
  <c r="Q113" i="10"/>
  <c r="HY99" i="10"/>
  <c r="Q99" i="10"/>
  <c r="BN99" i="10" s="1"/>
  <c r="Q107" i="10"/>
  <c r="Q70" i="10"/>
  <c r="BN70" i="10" s="1"/>
  <c r="Q89" i="10"/>
  <c r="HY87" i="10"/>
  <c r="Q87" i="10"/>
  <c r="Q54" i="10"/>
  <c r="BN54" i="10" s="1"/>
  <c r="Q52" i="10"/>
  <c r="HY75" i="10"/>
  <c r="Q75" i="10"/>
  <c r="BN75" i="10" s="1"/>
  <c r="HY61" i="10"/>
  <c r="Q61" i="10"/>
  <c r="BN61" i="10" s="1"/>
  <c r="Q47" i="10"/>
  <c r="BN47" i="10" s="1"/>
  <c r="A41" i="15" s="1"/>
  <c r="HY112" i="10"/>
  <c r="Q112" i="10"/>
  <c r="BN112" i="10"/>
  <c r="Q111" i="10"/>
  <c r="BN111" i="10" s="1"/>
  <c r="Q88" i="10"/>
  <c r="Q79" i="10"/>
  <c r="BN79" i="10" s="1"/>
  <c r="JM79" i="10" s="1"/>
  <c r="Q110" i="10"/>
  <c r="Q63" i="10"/>
  <c r="Q58" i="10"/>
  <c r="BN58" i="10" s="1"/>
  <c r="HY98" i="10"/>
  <c r="Q98" i="10"/>
  <c r="Q40" i="10"/>
  <c r="BN40" i="10" s="1"/>
  <c r="JM40" i="10" s="1"/>
  <c r="Q92" i="10"/>
  <c r="BN92" i="10"/>
  <c r="Q68" i="10"/>
  <c r="HY76" i="10"/>
  <c r="Q76" i="10"/>
  <c r="BN76" i="10" s="1"/>
  <c r="HY86" i="10"/>
  <c r="Q86" i="10"/>
  <c r="BN86" i="10"/>
  <c r="Q39" i="10"/>
  <c r="BN39" i="10"/>
  <c r="Q49" i="10"/>
  <c r="Q67" i="10"/>
  <c r="GI67" i="10" s="1"/>
  <c r="AT67" i="10" s="1"/>
  <c r="HY64" i="10"/>
  <c r="Q64" i="10"/>
  <c r="HY74" i="10"/>
  <c r="Q74" i="10"/>
  <c r="BN74" i="10" s="1"/>
  <c r="Q59" i="10"/>
  <c r="Q96" i="10"/>
  <c r="BN96" i="10" s="1"/>
  <c r="A90" i="15"/>
  <c r="X96" i="10"/>
  <c r="Q55" i="10"/>
  <c r="BN55" i="10" s="1"/>
  <c r="Q50" i="10"/>
  <c r="BN50" i="10" s="1"/>
  <c r="HY101" i="10"/>
  <c r="Q101" i="10"/>
  <c r="Q81" i="10"/>
  <c r="BN81" i="10" s="1"/>
  <c r="JM81" i="10" s="1"/>
  <c r="Q71" i="10"/>
  <c r="BN71" i="10" s="1"/>
  <c r="HY114" i="10"/>
  <c r="Q114" i="10"/>
  <c r="BN114" i="10" s="1"/>
  <c r="HY77" i="10"/>
  <c r="Q77" i="10"/>
  <c r="BN77" i="10" s="1"/>
  <c r="Q93" i="10"/>
  <c r="BN93" i="10" s="1"/>
  <c r="JM93" i="10" s="1"/>
  <c r="Q53" i="10"/>
  <c r="BN53" i="10" s="1"/>
  <c r="JM53" i="10" s="1"/>
  <c r="Q118" i="10"/>
  <c r="BN118" i="10"/>
  <c r="Q46" i="10"/>
  <c r="BN46" i="10" s="1"/>
  <c r="ED82" i="10"/>
  <c r="EM82" i="10"/>
  <c r="EI233" i="10"/>
  <c r="EN233" i="10"/>
  <c r="EI334" i="10"/>
  <c r="EN334" i="10"/>
  <c r="EI307" i="10"/>
  <c r="EN307" i="10"/>
  <c r="EI318" i="10"/>
  <c r="EN318" i="10"/>
  <c r="EI255" i="10"/>
  <c r="EN255" i="10"/>
  <c r="EI242" i="10"/>
  <c r="EN242" i="10"/>
  <c r="EI254" i="10"/>
  <c r="EN254" i="10"/>
  <c r="EI228" i="10"/>
  <c r="EN228" i="10"/>
  <c r="ED145" i="10"/>
  <c r="EM145" i="10"/>
  <c r="EI358" i="10"/>
  <c r="EN358" i="10"/>
  <c r="EI328" i="10"/>
  <c r="EN328" i="10"/>
  <c r="EI340" i="10"/>
  <c r="EN340" i="10"/>
  <c r="EI321" i="10"/>
  <c r="EN321" i="10"/>
  <c r="EI379" i="10"/>
  <c r="EN379" i="10"/>
  <c r="EI375" i="10"/>
  <c r="EN375" i="10"/>
  <c r="EI377" i="10"/>
  <c r="EN377" i="10"/>
  <c r="EI381" i="10"/>
  <c r="EN381" i="10"/>
  <c r="EI311" i="10"/>
  <c r="EN311" i="10"/>
  <c r="EI308" i="10"/>
  <c r="EN308" i="10"/>
  <c r="EI342" i="10"/>
  <c r="EN342" i="10"/>
  <c r="EI344" i="10"/>
  <c r="EN344" i="10"/>
  <c r="EM101" i="10"/>
  <c r="EI101" i="10"/>
  <c r="EN101" i="10"/>
  <c r="EI248" i="10"/>
  <c r="EN248" i="10"/>
  <c r="EI140" i="10"/>
  <c r="EN140" i="10"/>
  <c r="EI195" i="10"/>
  <c r="EN195" i="10"/>
  <c r="EI290" i="10"/>
  <c r="EN290" i="10"/>
  <c r="EI264" i="10"/>
  <c r="EN264" i="10"/>
  <c r="EI239" i="10"/>
  <c r="EN239" i="10"/>
  <c r="EI223" i="10"/>
  <c r="EN223" i="10"/>
  <c r="EI238" i="10"/>
  <c r="EN238" i="10"/>
  <c r="EI282" i="10"/>
  <c r="EN282" i="10"/>
  <c r="EI148" i="10"/>
  <c r="EN148" i="10"/>
  <c r="EI135" i="10"/>
  <c r="EN135" i="10"/>
  <c r="EI267" i="10"/>
  <c r="EN267" i="10"/>
  <c r="EI201" i="10"/>
  <c r="EN201" i="10"/>
  <c r="EI261" i="10"/>
  <c r="EN261" i="10"/>
  <c r="EI272" i="10"/>
  <c r="EN272" i="10"/>
  <c r="EM287" i="10"/>
  <c r="EI299" i="10"/>
  <c r="EN299" i="10"/>
  <c r="EI125" i="10"/>
  <c r="EN125" i="10"/>
  <c r="EI276" i="10"/>
  <c r="EN276" i="10"/>
  <c r="ED154" i="10"/>
  <c r="EM154" i="10"/>
  <c r="EI162" i="10"/>
  <c r="EN162" i="10"/>
  <c r="EI284" i="10"/>
  <c r="EN284" i="10"/>
  <c r="EM107" i="10"/>
  <c r="EI107" i="10"/>
  <c r="EN107" i="10"/>
  <c r="EM130" i="10"/>
  <c r="EI130" i="10"/>
  <c r="EN130" i="10"/>
  <c r="EI96" i="10"/>
  <c r="EN96" i="10"/>
  <c r="EM96" i="10"/>
  <c r="EI297" i="10"/>
  <c r="EN297" i="10"/>
  <c r="EM111" i="10"/>
  <c r="EI111" i="10"/>
  <c r="EN111" i="10"/>
  <c r="EI295" i="10"/>
  <c r="EN295" i="10"/>
  <c r="EI186" i="10"/>
  <c r="EN186" i="10"/>
  <c r="EI246" i="10"/>
  <c r="EN246" i="10"/>
  <c r="EM93" i="10"/>
  <c r="EI93" i="10"/>
  <c r="EN93" i="10"/>
  <c r="EI232" i="10"/>
  <c r="EN232" i="10"/>
  <c r="EI205" i="10"/>
  <c r="EN205" i="10"/>
  <c r="A182" i="15"/>
  <c r="EI94" i="10"/>
  <c r="EN94" i="10"/>
  <c r="EI181" i="10"/>
  <c r="EN181" i="10"/>
  <c r="EI281" i="10"/>
  <c r="EN281" i="10"/>
  <c r="EI303" i="10"/>
  <c r="EN303" i="10"/>
  <c r="EI291" i="10"/>
  <c r="EN291" i="10"/>
  <c r="EI204" i="10"/>
  <c r="EN204" i="10"/>
  <c r="EI190" i="10"/>
  <c r="EN190" i="10"/>
  <c r="EI157" i="10"/>
  <c r="EN157" i="10"/>
  <c r="EI85" i="10"/>
  <c r="EN85" i="10"/>
  <c r="EI216" i="10"/>
  <c r="EN216" i="10"/>
  <c r="EI113" i="10"/>
  <c r="EN113" i="10"/>
  <c r="EI259" i="10"/>
  <c r="EN259" i="10"/>
  <c r="LE244" i="10"/>
  <c r="LG244" i="10"/>
  <c r="LE105" i="10"/>
  <c r="LG105" i="10"/>
  <c r="EM124" i="10"/>
  <c r="EI124" i="10"/>
  <c r="EN124" i="10"/>
  <c r="EM90" i="10"/>
  <c r="EI90" i="10"/>
  <c r="EN90" i="10"/>
  <c r="EI138" i="10"/>
  <c r="EN138" i="10"/>
  <c r="EI184" i="10"/>
  <c r="EN184" i="10"/>
  <c r="EI218" i="10"/>
  <c r="EN218" i="10"/>
  <c r="EI182" i="10"/>
  <c r="EN182" i="10"/>
  <c r="BN214" i="10"/>
  <c r="EI187" i="10"/>
  <c r="EN187" i="10"/>
  <c r="EI89" i="10"/>
  <c r="EN89" i="10"/>
  <c r="EI217" i="10"/>
  <c r="EN217" i="10"/>
  <c r="EI73" i="10"/>
  <c r="EN73" i="10"/>
  <c r="DC169" i="10"/>
  <c r="LB169" i="10"/>
  <c r="LE169" i="10"/>
  <c r="LG169" i="10"/>
  <c r="DC265" i="10"/>
  <c r="LB265" i="10"/>
  <c r="LE265" i="10"/>
  <c r="LG265" i="10"/>
  <c r="EI332" i="10"/>
  <c r="EN332" i="10"/>
  <c r="EM313" i="10"/>
  <c r="EI179" i="10"/>
  <c r="EN179" i="10"/>
  <c r="EI102" i="10"/>
  <c r="EN102" i="10"/>
  <c r="EI171" i="10"/>
  <c r="EN171" i="10"/>
  <c r="EI348" i="10"/>
  <c r="EN348" i="10"/>
  <c r="EI384" i="10"/>
  <c r="EN384" i="10"/>
  <c r="EI79" i="10"/>
  <c r="EN79" i="10"/>
  <c r="EI314" i="10"/>
  <c r="EN314" i="10"/>
  <c r="EI368" i="10"/>
  <c r="EN368" i="10"/>
  <c r="EI380" i="10"/>
  <c r="EN380" i="10"/>
  <c r="DC349" i="10"/>
  <c r="LB349" i="10"/>
  <c r="LE349" i="10"/>
  <c r="LG349" i="10"/>
  <c r="EI357" i="10"/>
  <c r="EN357" i="10"/>
  <c r="EI366" i="10"/>
  <c r="EN366" i="10"/>
  <c r="EI301" i="10"/>
  <c r="EN301" i="10"/>
  <c r="EI269" i="10"/>
  <c r="EN269" i="10"/>
  <c r="EI52" i="10"/>
  <c r="EN52" i="10"/>
  <c r="EI234" i="10"/>
  <c r="EN234" i="10"/>
  <c r="EI196" i="10"/>
  <c r="EN196" i="10"/>
  <c r="EI325" i="10"/>
  <c r="EN325" i="10"/>
  <c r="EI341" i="10"/>
  <c r="EN341" i="10"/>
  <c r="EI373" i="10"/>
  <c r="EN373" i="10"/>
  <c r="EI200" i="10"/>
  <c r="EN200" i="10"/>
  <c r="EI317" i="10"/>
  <c r="EN317" i="10"/>
  <c r="EI211" i="10"/>
  <c r="EN211" i="10"/>
  <c r="EI360" i="10"/>
  <c r="EN360" i="10"/>
  <c r="EI338" i="10"/>
  <c r="EN338" i="10"/>
  <c r="EI345" i="10"/>
  <c r="EN345" i="10"/>
  <c r="EI296" i="10"/>
  <c r="EN296" i="10"/>
  <c r="EI330" i="10"/>
  <c r="EN330" i="10"/>
  <c r="DC359" i="10"/>
  <c r="LB359" i="10"/>
  <c r="LE359" i="10"/>
  <c r="LG359" i="10"/>
  <c r="DC318" i="10"/>
  <c r="LB318" i="10"/>
  <c r="LE318" i="10"/>
  <c r="LG318" i="10"/>
  <c r="DC324" i="10"/>
  <c r="LB324" i="10"/>
  <c r="LE324" i="10"/>
  <c r="LG324" i="10"/>
  <c r="DC317" i="10"/>
  <c r="LB317" i="10"/>
  <c r="LE317" i="10"/>
  <c r="LG317" i="10"/>
  <c r="DC334" i="10"/>
  <c r="LB334" i="10"/>
  <c r="LE334" i="10"/>
  <c r="LG334" i="10"/>
  <c r="DC344" i="10"/>
  <c r="LB344" i="10"/>
  <c r="LE344" i="10"/>
  <c r="LG344" i="10"/>
  <c r="DC256" i="10"/>
  <c r="LB256" i="10"/>
  <c r="LE256" i="10"/>
  <c r="LG256" i="10"/>
  <c r="DC315" i="10"/>
  <c r="LB315" i="10"/>
  <c r="LE315" i="10"/>
  <c r="LG315" i="10"/>
  <c r="DC157" i="10"/>
  <c r="LB157" i="10"/>
  <c r="LE157" i="10"/>
  <c r="LG157" i="10"/>
  <c r="DC141" i="10"/>
  <c r="LB141" i="10"/>
  <c r="LE141" i="10"/>
  <c r="LG141" i="10"/>
  <c r="DC348" i="10"/>
  <c r="LB348" i="10"/>
  <c r="LE348" i="10"/>
  <c r="LG348" i="10"/>
  <c r="EI40" i="10"/>
  <c r="EN40" i="10"/>
  <c r="EI55" i="10"/>
  <c r="EN55" i="10"/>
  <c r="EI53" i="10"/>
  <c r="EN53" i="10"/>
  <c r="BT42" i="10"/>
  <c r="LD42" i="10"/>
  <c r="EI57" i="10"/>
  <c r="EN57" i="10"/>
  <c r="LA42" i="10"/>
  <c r="EI67" i="10"/>
  <c r="EN67" i="10"/>
  <c r="EM50" i="10"/>
  <c r="EI50" i="10"/>
  <c r="EN50" i="10"/>
  <c r="EI49" i="10"/>
  <c r="EN49" i="10"/>
  <c r="FG42" i="10"/>
  <c r="K42" i="10"/>
  <c r="GI42" i="10" s="1"/>
  <c r="AT42" i="10" s="1"/>
  <c r="FG51" i="10"/>
  <c r="K51" i="10"/>
  <c r="GI51" i="10" s="1"/>
  <c r="AT51" i="10" s="1"/>
  <c r="FG54" i="10"/>
  <c r="K54" i="10"/>
  <c r="FG60" i="10"/>
  <c r="K60" i="10"/>
  <c r="GI60" i="10" s="1"/>
  <c r="AT60" i="10" s="1"/>
  <c r="FG65" i="10"/>
  <c r="K65" i="10"/>
  <c r="FG66" i="10"/>
  <c r="K66" i="10"/>
  <c r="FG68" i="10"/>
  <c r="K68" i="10"/>
  <c r="FG67" i="10"/>
  <c r="K67" i="10"/>
  <c r="FG52" i="10"/>
  <c r="K52" i="10"/>
  <c r="FG44" i="10"/>
  <c r="K44" i="10"/>
  <c r="FG58" i="10"/>
  <c r="K58" i="10"/>
  <c r="FG47" i="10"/>
  <c r="K47" i="10"/>
  <c r="GI47" i="10" s="1"/>
  <c r="AT47" i="10" s="1"/>
  <c r="FG56" i="10"/>
  <c r="K56" i="10"/>
  <c r="FG50" i="10"/>
  <c r="K50" i="10"/>
  <c r="FG55" i="10"/>
  <c r="K55" i="10"/>
  <c r="FG53" i="10"/>
  <c r="K53" i="10"/>
  <c r="FG57" i="10"/>
  <c r="K57" i="10"/>
  <c r="FG63" i="10"/>
  <c r="K63" i="10"/>
  <c r="FG37" i="10"/>
  <c r="K37" i="10"/>
  <c r="GI37" i="10" s="1"/>
  <c r="AT37" i="10" s="1"/>
  <c r="FG36" i="10"/>
  <c r="K36" i="10"/>
  <c r="GI36" i="10" s="1"/>
  <c r="AT36" i="10" s="1"/>
  <c r="FG62" i="10"/>
  <c r="K62" i="10"/>
  <c r="GI62" i="10" s="1"/>
  <c r="AT62" i="10" s="1"/>
  <c r="FG28" i="10"/>
  <c r="K28" i="10"/>
  <c r="FG45" i="10"/>
  <c r="K45" i="10"/>
  <c r="FG46" i="10"/>
  <c r="K46" i="10"/>
  <c r="FG49" i="10"/>
  <c r="K49" i="10"/>
  <c r="FG59" i="10"/>
  <c r="K59" i="10"/>
  <c r="FG31" i="10"/>
  <c r="K31" i="10"/>
  <c r="FG32" i="10"/>
  <c r="K32" i="10"/>
  <c r="FG69" i="10"/>
  <c r="K69" i="10"/>
  <c r="FG48" i="10"/>
  <c r="K48" i="10"/>
  <c r="FG40" i="10"/>
  <c r="K40" i="10"/>
  <c r="FG35" i="10"/>
  <c r="K35" i="10"/>
  <c r="FG64" i="10"/>
  <c r="K64" i="10"/>
  <c r="FG33" i="10"/>
  <c r="K33" i="10"/>
  <c r="FG29" i="10"/>
  <c r="K29" i="10"/>
  <c r="FG38" i="10"/>
  <c r="K38" i="10"/>
  <c r="FG30" i="10"/>
  <c r="K30" i="10"/>
  <c r="GI30" i="10" s="1"/>
  <c r="AT30" i="10" s="1"/>
  <c r="FG61" i="10"/>
  <c r="K61" i="10"/>
  <c r="GI61" i="10" s="1"/>
  <c r="AT61" i="10" s="1"/>
  <c r="FG39" i="10"/>
  <c r="K39" i="10"/>
  <c r="FG34" i="10"/>
  <c r="K34" i="10"/>
  <c r="FG41" i="10"/>
  <c r="K41" i="10"/>
  <c r="FG43" i="10"/>
  <c r="K43" i="10"/>
  <c r="GI43" i="10" s="1"/>
  <c r="AT43" i="10" s="1"/>
  <c r="DC33" i="10"/>
  <c r="LB33" i="10"/>
  <c r="LE33" i="10"/>
  <c r="LG33" i="10"/>
  <c r="DC64" i="10"/>
  <c r="LB64" i="10"/>
  <c r="LE64" i="10"/>
  <c r="LG64" i="10"/>
  <c r="DC61" i="10"/>
  <c r="LB61" i="10"/>
  <c r="LE61" i="10"/>
  <c r="LG61" i="10"/>
  <c r="II42" i="10"/>
  <c r="IM42" i="10"/>
  <c r="DC35" i="10"/>
  <c r="LB35" i="10"/>
  <c r="LE35" i="10"/>
  <c r="LG35" i="10"/>
  <c r="DC43" i="10"/>
  <c r="LB43" i="10"/>
  <c r="LE43" i="10"/>
  <c r="LG43" i="10"/>
  <c r="DC39" i="10"/>
  <c r="LB39" i="10"/>
  <c r="LE39" i="10"/>
  <c r="LG39" i="10"/>
  <c r="DC34" i="10"/>
  <c r="LB34" i="10"/>
  <c r="LA34" i="10"/>
  <c r="BT34" i="10"/>
  <c r="LD34" i="10"/>
  <c r="LE34" i="10"/>
  <c r="LG34" i="10"/>
  <c r="DC41" i="10"/>
  <c r="LB41" i="10"/>
  <c r="LA41" i="10"/>
  <c r="BT41" i="10"/>
  <c r="LD41" i="10"/>
  <c r="LE41" i="10"/>
  <c r="LG41" i="10"/>
  <c r="DC42" i="10"/>
  <c r="LB42" i="10"/>
  <c r="LE42" i="10"/>
  <c r="LG42" i="10"/>
  <c r="LA24" i="10"/>
  <c r="JP43" i="10"/>
  <c r="JN43" i="10"/>
  <c r="IM27" i="10"/>
  <c r="JN27" i="10"/>
  <c r="JP27" i="10"/>
  <c r="Q36" i="10"/>
  <c r="BN36" i="10" s="1"/>
  <c r="Q28" i="10"/>
  <c r="GI28" i="10" s="1"/>
  <c r="AT28" i="10" s="1"/>
  <c r="EI42" i="10"/>
  <c r="EN42" i="10"/>
  <c r="EA34" i="10"/>
  <c r="EI37" i="10"/>
  <c r="EN37" i="10"/>
  <c r="EI38" i="10"/>
  <c r="EN38" i="10"/>
  <c r="IM34" i="10"/>
  <c r="II34" i="10"/>
  <c r="EI44" i="10"/>
  <c r="EN44" i="10"/>
  <c r="JP34" i="10"/>
  <c r="JN34" i="10"/>
  <c r="Q35" i="10"/>
  <c r="Q30" i="10"/>
  <c r="BN30" i="10"/>
  <c r="HY30" i="10"/>
  <c r="HY33" i="10"/>
  <c r="Q33" i="10"/>
  <c r="BN33" i="10"/>
  <c r="JM33" i="10" s="1"/>
  <c r="Q29" i="10"/>
  <c r="HY29" i="10"/>
  <c r="HY38" i="10"/>
  <c r="Q38" i="10"/>
  <c r="BN38" i="10"/>
  <c r="HY31" i="10"/>
  <c r="Q31" i="10"/>
  <c r="BN31" i="10" s="1"/>
  <c r="A25" i="15" s="1"/>
  <c r="HY37" i="10"/>
  <c r="Q37" i="10"/>
  <c r="BN37" i="10" s="1"/>
  <c r="Q41" i="10"/>
  <c r="BN41" i="10" s="1"/>
  <c r="HY24" i="10"/>
  <c r="HY44" i="10"/>
  <c r="Q44" i="10"/>
  <c r="BN44" i="10" s="1"/>
  <c r="AP44" i="10"/>
  <c r="HY27" i="10"/>
  <c r="HY32" i="10"/>
  <c r="Q32" i="10"/>
  <c r="BN32" i="10" s="1"/>
  <c r="HY43" i="10"/>
  <c r="Q43" i="10"/>
  <c r="BN43" i="10" s="1"/>
  <c r="Q42" i="10"/>
  <c r="BN42" i="10"/>
  <c r="A36" i="15"/>
  <c r="Q36" i="15"/>
  <c r="Q34" i="10"/>
  <c r="BN34" i="10" s="1"/>
  <c r="JM34" i="10" s="1"/>
  <c r="HY34" i="10"/>
  <c r="Q45" i="10"/>
  <c r="BN45" i="10" s="1"/>
  <c r="EA41" i="10"/>
  <c r="JN39" i="10"/>
  <c r="JP39" i="10"/>
  <c r="IM39" i="10"/>
  <c r="II39" i="10"/>
  <c r="IM41" i="10"/>
  <c r="II41" i="10"/>
  <c r="JN41" i="10"/>
  <c r="JP41" i="10"/>
  <c r="EI24" i="10"/>
  <c r="EN24" i="10"/>
  <c r="ED30" i="10"/>
  <c r="EM30" i="10"/>
  <c r="EI30" i="10"/>
  <c r="EN30" i="10"/>
  <c r="ED32" i="10"/>
  <c r="EM32" i="10"/>
  <c r="EI32" i="10"/>
  <c r="EN32" i="10"/>
  <c r="ED28" i="10"/>
  <c r="EM28" i="10"/>
  <c r="EI28" i="10"/>
  <c r="EN28" i="10"/>
  <c r="ED45" i="10"/>
  <c r="EM45" i="10"/>
  <c r="EI45" i="10"/>
  <c r="EN45" i="10"/>
  <c r="ED43" i="10"/>
  <c r="EM43" i="10"/>
  <c r="EI43" i="10"/>
  <c r="EN43" i="10"/>
  <c r="ED27" i="10"/>
  <c r="EM27" i="10"/>
  <c r="EI27" i="10"/>
  <c r="EN27" i="10"/>
  <c r="ED31" i="10"/>
  <c r="EM31" i="10"/>
  <c r="EI31" i="10"/>
  <c r="EN31" i="10"/>
  <c r="ED35" i="10"/>
  <c r="EM35" i="10"/>
  <c r="EI35" i="10"/>
  <c r="EN35" i="10"/>
  <c r="EB41" i="10"/>
  <c r="DX41" i="10"/>
  <c r="DY41" i="10"/>
  <c r="ED41" i="10"/>
  <c r="EM41" i="10"/>
  <c r="EI33" i="10"/>
  <c r="EN33" i="10"/>
  <c r="EB34" i="10"/>
  <c r="DX34" i="10"/>
  <c r="DY34" i="10"/>
  <c r="LE287" i="10"/>
  <c r="LG287" i="10"/>
  <c r="LE131" i="10"/>
  <c r="LG131" i="10"/>
  <c r="LE250" i="10"/>
  <c r="LG250" i="10"/>
  <c r="LE332" i="10"/>
  <c r="LG332" i="10"/>
  <c r="LE79" i="10"/>
  <c r="LG79" i="10"/>
  <c r="LE205" i="10"/>
  <c r="LG205" i="10"/>
  <c r="LE367" i="10"/>
  <c r="LG367" i="10"/>
  <c r="LG192" i="10"/>
  <c r="LE216" i="10"/>
  <c r="LG216" i="10"/>
  <c r="LE289" i="10"/>
  <c r="LG289" i="10"/>
  <c r="LG148" i="10"/>
  <c r="LE291" i="10"/>
  <c r="LG291" i="10"/>
  <c r="EI145" i="10"/>
  <c r="EN145" i="10"/>
  <c r="LE82" i="10"/>
  <c r="LG82" i="10"/>
  <c r="EI82" i="10"/>
  <c r="EN82" i="10"/>
  <c r="EI154" i="10"/>
  <c r="EN154" i="10"/>
  <c r="A380" i="15"/>
  <c r="JM278" i="10"/>
  <c r="A367" i="15"/>
  <c r="Y367" i="15"/>
  <c r="JM373" i="10"/>
  <c r="EI41" i="10"/>
  <c r="EN41" i="10"/>
  <c r="ED34" i="10"/>
  <c r="EM34" i="10"/>
  <c r="EI34" i="10"/>
  <c r="EN34" i="10"/>
  <c r="AO82" i="10"/>
  <c r="AP82" i="10"/>
  <c r="AQ82" i="10"/>
  <c r="M51" i="15"/>
  <c r="JM57" i="10"/>
  <c r="AN46" i="10"/>
  <c r="Y46" i="10"/>
  <c r="A87" i="15"/>
  <c r="GI34" i="10"/>
  <c r="AT34" i="10" s="1"/>
  <c r="AB34" i="10"/>
  <c r="AN61" i="10"/>
  <c r="Y61" i="10"/>
  <c r="AA61" i="10"/>
  <c r="JE61" i="10"/>
  <c r="X61" i="10"/>
  <c r="FK61" i="10"/>
  <c r="AM61" i="10"/>
  <c r="AK61" i="10"/>
  <c r="W61" i="10"/>
  <c r="JC61" i="10"/>
  <c r="AR61" i="10"/>
  <c r="AE61" i="10"/>
  <c r="JK61" i="10"/>
  <c r="AO61" i="10"/>
  <c r="AB61" i="10"/>
  <c r="AV61" i="10"/>
  <c r="AF61" i="10"/>
  <c r="JF61" i="10"/>
  <c r="AW61" i="10"/>
  <c r="JG61" i="10"/>
  <c r="JH61" i="10"/>
  <c r="AA168" i="10"/>
  <c r="JE168" i="10"/>
  <c r="W168" i="10"/>
  <c r="JC168" i="10"/>
  <c r="AF168" i="10"/>
  <c r="JF168" i="10"/>
  <c r="AW168" i="10"/>
  <c r="AV168" i="10"/>
  <c r="AN168" i="10"/>
  <c r="Y168" i="10"/>
  <c r="X168" i="10"/>
  <c r="FK168" i="10"/>
  <c r="AM168" i="10"/>
  <c r="AO168" i="10"/>
  <c r="JG168" i="10"/>
  <c r="JH168" i="10"/>
  <c r="AK168" i="10"/>
  <c r="AR168" i="10"/>
  <c r="AE168" i="10"/>
  <c r="JK168" i="10"/>
  <c r="AB168" i="10"/>
  <c r="AO84" i="10"/>
  <c r="DM84" i="10" s="1"/>
  <c r="AV84" i="10"/>
  <c r="AF84" i="10"/>
  <c r="JF84" i="10"/>
  <c r="W84" i="10"/>
  <c r="JC84" i="10"/>
  <c r="JH84" i="10"/>
  <c r="AK84" i="10"/>
  <c r="JG84" i="10"/>
  <c r="AN84" i="10"/>
  <c r="Y84" i="10"/>
  <c r="AW84" i="10"/>
  <c r="X84" i="10"/>
  <c r="FK84" i="10"/>
  <c r="AB84" i="10"/>
  <c r="AR84" i="10"/>
  <c r="AE84" i="10"/>
  <c r="JK84" i="10"/>
  <c r="AA84" i="10"/>
  <c r="JE84" i="10"/>
  <c r="AB46" i="10"/>
  <c r="AA46" i="10"/>
  <c r="JE46" i="10"/>
  <c r="JH46" i="10"/>
  <c r="AV46" i="10"/>
  <c r="AK46" i="10"/>
  <c r="AR46" i="10"/>
  <c r="AE46" i="10"/>
  <c r="JK46" i="10"/>
  <c r="JG46" i="10"/>
  <c r="X46" i="10"/>
  <c r="FK46" i="10"/>
  <c r="AM46" i="10"/>
  <c r="AO46" i="10"/>
  <c r="DM46" i="10"/>
  <c r="W46" i="10"/>
  <c r="JC46" i="10"/>
  <c r="AF46" i="10"/>
  <c r="JF46" i="10"/>
  <c r="AW46" i="10"/>
  <c r="X176" i="10"/>
  <c r="FK176" i="10"/>
  <c r="JG176" i="10"/>
  <c r="AF176" i="10"/>
  <c r="JF176" i="10"/>
  <c r="JH176" i="10"/>
  <c r="AV176" i="10"/>
  <c r="AA176" i="10"/>
  <c r="JE176" i="10"/>
  <c r="AR176" i="10"/>
  <c r="AE176" i="10"/>
  <c r="JK176" i="10"/>
  <c r="AN176" i="10"/>
  <c r="Y176" i="10"/>
  <c r="AO176" i="10"/>
  <c r="W176" i="10"/>
  <c r="JC176" i="10"/>
  <c r="AW176" i="10"/>
  <c r="AK176" i="10"/>
  <c r="AB176" i="10"/>
  <c r="AW377" i="10"/>
  <c r="JH377" i="10"/>
  <c r="AN377" i="10"/>
  <c r="Y377" i="10"/>
  <c r="X377" i="10"/>
  <c r="FK377" i="10"/>
  <c r="AM377" i="10"/>
  <c r="AO377" i="10"/>
  <c r="DM377" i="10" s="1"/>
  <c r="JG377" i="10"/>
  <c r="W377" i="10"/>
  <c r="JC377" i="10"/>
  <c r="AF377" i="10"/>
  <c r="JF377" i="10"/>
  <c r="AA377" i="10"/>
  <c r="JE377" i="10"/>
  <c r="AV377" i="10"/>
  <c r="AR377" i="10"/>
  <c r="AE377" i="10"/>
  <c r="JK377" i="10"/>
  <c r="AB377" i="10"/>
  <c r="AK377" i="10"/>
  <c r="AA73" i="10"/>
  <c r="JE73" i="10"/>
  <c r="AK73" i="10"/>
  <c r="AB73" i="10"/>
  <c r="AO73" i="10"/>
  <c r="DM73" i="10" s="1"/>
  <c r="JH73" i="10"/>
  <c r="X73" i="10"/>
  <c r="FK73" i="10"/>
  <c r="AF73" i="10"/>
  <c r="JF73" i="10"/>
  <c r="AW73" i="10"/>
  <c r="W73" i="10"/>
  <c r="JC73" i="10"/>
  <c r="AN73" i="10"/>
  <c r="Y73" i="10"/>
  <c r="JG73" i="10"/>
  <c r="AR73" i="10"/>
  <c r="AE73" i="10"/>
  <c r="JK73" i="10"/>
  <c r="AV73" i="10"/>
  <c r="AF60" i="10"/>
  <c r="JF60" i="10"/>
  <c r="W60" i="10"/>
  <c r="JC60" i="10"/>
  <c r="AW60" i="10"/>
  <c r="AV60" i="10"/>
  <c r="AR60" i="10"/>
  <c r="AE60" i="10"/>
  <c r="JK60" i="10"/>
  <c r="AK60" i="10"/>
  <c r="AN60" i="10"/>
  <c r="Y60" i="10"/>
  <c r="AB60" i="10"/>
  <c r="JH60" i="10"/>
  <c r="AO60" i="10"/>
  <c r="DM60" i="10"/>
  <c r="X60" i="10"/>
  <c r="FK60" i="10"/>
  <c r="AM60" i="10"/>
  <c r="AA60" i="10"/>
  <c r="JE60" i="10"/>
  <c r="JG60" i="10"/>
  <c r="GI40" i="10"/>
  <c r="AT40" i="10" s="1"/>
  <c r="AR40" i="10"/>
  <c r="AE40" i="10"/>
  <c r="JK40" i="10"/>
  <c r="AN40" i="10"/>
  <c r="Y40" i="10"/>
  <c r="AA40" i="10"/>
  <c r="JE40" i="10"/>
  <c r="JH40" i="10"/>
  <c r="JG40" i="10"/>
  <c r="X40" i="10"/>
  <c r="FK40" i="10"/>
  <c r="AO40" i="10"/>
  <c r="AF40" i="10"/>
  <c r="JF40" i="10"/>
  <c r="W40" i="10"/>
  <c r="JC40" i="10"/>
  <c r="AW40" i="10"/>
  <c r="AB40" i="10"/>
  <c r="AV40" i="10"/>
  <c r="AK40" i="10"/>
  <c r="AA118" i="10"/>
  <c r="JE118" i="10"/>
  <c r="AV118" i="10"/>
  <c r="AK118" i="10"/>
  <c r="JH118" i="10"/>
  <c r="JG118" i="10"/>
  <c r="AW118" i="10"/>
  <c r="AB118" i="10"/>
  <c r="AR118" i="10"/>
  <c r="AE118" i="10"/>
  <c r="JK118" i="10"/>
  <c r="X118" i="10"/>
  <c r="FK118" i="10"/>
  <c r="AN118" i="10"/>
  <c r="Y118" i="10"/>
  <c r="AO118" i="10"/>
  <c r="DP118" i="10" s="1"/>
  <c r="DN118" i="10" s="1"/>
  <c r="DO118" i="10" s="1"/>
  <c r="AF118" i="10"/>
  <c r="JF118" i="10"/>
  <c r="W118" i="10"/>
  <c r="JC118" i="10"/>
  <c r="AW158" i="10"/>
  <c r="AN158" i="10"/>
  <c r="Y158" i="10"/>
  <c r="JG158" i="10"/>
  <c r="X158" i="10"/>
  <c r="FK158" i="10"/>
  <c r="AM158" i="10"/>
  <c r="W158" i="10"/>
  <c r="JC158" i="10"/>
  <c r="AF158" i="10"/>
  <c r="JF158" i="10"/>
  <c r="AO158" i="10"/>
  <c r="DM158" i="10" s="1"/>
  <c r="JI158" i="10"/>
  <c r="AA158" i="10"/>
  <c r="JE158" i="10"/>
  <c r="AK158" i="10"/>
  <c r="AB158" i="10"/>
  <c r="JH158" i="10"/>
  <c r="AR158" i="10"/>
  <c r="AE158" i="10"/>
  <c r="JK158" i="10"/>
  <c r="AV158" i="10"/>
  <c r="AA163" i="10"/>
  <c r="JE163" i="10"/>
  <c r="JG163" i="10"/>
  <c r="AK163" i="10"/>
  <c r="AF163" i="10"/>
  <c r="JF163" i="10"/>
  <c r="W163" i="10"/>
  <c r="JC163" i="10"/>
  <c r="AW163" i="10"/>
  <c r="JH163" i="10"/>
  <c r="AB163" i="10"/>
  <c r="AR163" i="10"/>
  <c r="AE163" i="10"/>
  <c r="JK163" i="10"/>
  <c r="AV163" i="10"/>
  <c r="AO163" i="10"/>
  <c r="DP163" i="10" s="1"/>
  <c r="DN163" i="10" s="1"/>
  <c r="DO163" i="10" s="1"/>
  <c r="AN163" i="10"/>
  <c r="Y163" i="10"/>
  <c r="X163" i="10"/>
  <c r="FK163" i="10"/>
  <c r="AM163" i="10"/>
  <c r="AR35" i="10"/>
  <c r="AE35" i="10"/>
  <c r="JK35" i="10"/>
  <c r="AN35" i="10"/>
  <c r="Y35" i="10"/>
  <c r="AK35" i="10"/>
  <c r="AO35" i="10"/>
  <c r="DM35" i="10" s="1"/>
  <c r="JH35" i="10"/>
  <c r="X35" i="10"/>
  <c r="AM35" i="10"/>
  <c r="AF35" i="10"/>
  <c r="JF35" i="10"/>
  <c r="JG35" i="10"/>
  <c r="W35" i="10"/>
  <c r="JC35" i="10"/>
  <c r="AW35" i="10"/>
  <c r="AV35" i="10"/>
  <c r="AB35" i="10"/>
  <c r="AA35" i="10"/>
  <c r="JE35" i="10"/>
  <c r="AK266" i="10"/>
  <c r="AR266" i="10"/>
  <c r="AE266" i="10"/>
  <c r="JK266" i="10"/>
  <c r="AB266" i="10"/>
  <c r="JH266" i="10"/>
  <c r="W266" i="10"/>
  <c r="JC266" i="10"/>
  <c r="JG266" i="10"/>
  <c r="AF266" i="10"/>
  <c r="JF266" i="10"/>
  <c r="AW266" i="10"/>
  <c r="AA266" i="10"/>
  <c r="JE266" i="10"/>
  <c r="AV266" i="10"/>
  <c r="X266" i="10"/>
  <c r="FK266" i="10"/>
  <c r="AM266" i="10"/>
  <c r="AN266" i="10"/>
  <c r="Y266" i="10"/>
  <c r="AO266" i="10"/>
  <c r="DM266" i="10"/>
  <c r="AW347" i="10"/>
  <c r="AR347" i="10"/>
  <c r="AE347" i="10"/>
  <c r="JK347" i="10"/>
  <c r="AV347" i="10"/>
  <c r="AN347" i="10"/>
  <c r="Y347" i="10"/>
  <c r="JH347" i="10"/>
  <c r="X347" i="10"/>
  <c r="FK347" i="10"/>
  <c r="AM347" i="10"/>
  <c r="AO347" i="10"/>
  <c r="AF347" i="10"/>
  <c r="JF347" i="10"/>
  <c r="JG347" i="10"/>
  <c r="W347" i="10"/>
  <c r="JC347" i="10"/>
  <c r="AB347" i="10"/>
  <c r="AK347" i="10"/>
  <c r="AA347" i="10"/>
  <c r="JE347" i="10"/>
  <c r="AB373" i="10"/>
  <c r="AO373" i="10"/>
  <c r="DM373" i="10"/>
  <c r="AN373" i="10"/>
  <c r="Y373" i="10"/>
  <c r="X373" i="10"/>
  <c r="FK373" i="10"/>
  <c r="JG373" i="10"/>
  <c r="W373" i="10"/>
  <c r="JC373" i="10"/>
  <c r="AW373" i="10"/>
  <c r="AV373" i="10"/>
  <c r="AR373" i="10"/>
  <c r="AE373" i="10"/>
  <c r="JK373" i="10"/>
  <c r="AF373" i="10"/>
  <c r="JF373" i="10"/>
  <c r="JH373" i="10"/>
  <c r="AK373" i="10"/>
  <c r="AA373" i="10"/>
  <c r="JE373" i="10"/>
  <c r="AO204" i="10"/>
  <c r="DM204" i="10" s="1"/>
  <c r="AF204" i="10"/>
  <c r="JF204" i="10"/>
  <c r="AA204" i="10"/>
  <c r="JE204" i="10"/>
  <c r="AB204" i="10"/>
  <c r="JH204" i="10"/>
  <c r="AN204" i="10"/>
  <c r="Y204" i="10"/>
  <c r="X204" i="10"/>
  <c r="FK204" i="10"/>
  <c r="AM204" i="10"/>
  <c r="AK204" i="10"/>
  <c r="JG204" i="10"/>
  <c r="AR204" i="10"/>
  <c r="AE204" i="10"/>
  <c r="JK204" i="10"/>
  <c r="AW204" i="10"/>
  <c r="W204" i="10"/>
  <c r="JC204" i="10"/>
  <c r="AV204" i="10"/>
  <c r="AB192" i="10"/>
  <c r="AK192" i="10"/>
  <c r="AN192" i="10"/>
  <c r="Y192" i="10"/>
  <c r="JH192" i="10"/>
  <c r="X192" i="10"/>
  <c r="FK192" i="10"/>
  <c r="AM192" i="10"/>
  <c r="AO192" i="10"/>
  <c r="DM192" i="10" s="1"/>
  <c r="AF192" i="10"/>
  <c r="JF192" i="10"/>
  <c r="AW192" i="10"/>
  <c r="W192" i="10"/>
  <c r="JC192" i="10"/>
  <c r="AR192" i="10"/>
  <c r="AE192" i="10"/>
  <c r="JK192" i="10"/>
  <c r="AA192" i="10"/>
  <c r="JE192" i="10"/>
  <c r="AV192" i="10"/>
  <c r="JG192" i="10"/>
  <c r="JG392" i="10"/>
  <c r="AV392" i="10"/>
  <c r="W392" i="10"/>
  <c r="AD392" i="10"/>
  <c r="AK392" i="10"/>
  <c r="AI392" i="10"/>
  <c r="JL392" i="10"/>
  <c r="AB392" i="10"/>
  <c r="AF392" i="10"/>
  <c r="JF392" i="10"/>
  <c r="JH392" i="10"/>
  <c r="Z392" i="10"/>
  <c r="JD392" i="10"/>
  <c r="JV392" i="10"/>
  <c r="AR392" i="10"/>
  <c r="AE392" i="10"/>
  <c r="AU392" i="10"/>
  <c r="AC392" i="10"/>
  <c r="AM392" i="10"/>
  <c r="JJ392" i="10"/>
  <c r="JI392" i="10"/>
  <c r="AA392" i="10"/>
  <c r="JE392" i="10"/>
  <c r="AS392" i="10"/>
  <c r="JT392" i="10"/>
  <c r="JC392" i="10"/>
  <c r="JK392" i="10"/>
  <c r="AK194" i="10"/>
  <c r="JG194" i="10"/>
  <c r="AR194" i="10"/>
  <c r="AE194" i="10"/>
  <c r="JK194" i="10"/>
  <c r="AN194" i="10"/>
  <c r="Y194" i="10"/>
  <c r="AO194" i="10"/>
  <c r="DM194" i="10" s="1"/>
  <c r="X194" i="10"/>
  <c r="FK194" i="10"/>
  <c r="AM194" i="10"/>
  <c r="JH194" i="10"/>
  <c r="W194" i="10"/>
  <c r="JC194" i="10"/>
  <c r="AW194" i="10"/>
  <c r="AF194" i="10"/>
  <c r="JF194" i="10"/>
  <c r="AV194" i="10"/>
  <c r="AB194" i="10"/>
  <c r="AA194" i="10"/>
  <c r="JE194" i="10"/>
  <c r="AA381" i="10"/>
  <c r="JE381" i="10"/>
  <c r="AN381" i="10"/>
  <c r="Y381" i="10"/>
  <c r="JG381" i="10"/>
  <c r="X381" i="10"/>
  <c r="FK381" i="10"/>
  <c r="AK381" i="10"/>
  <c r="AO381" i="10"/>
  <c r="DM381" i="10" s="1"/>
  <c r="W381" i="10"/>
  <c r="JC381" i="10"/>
  <c r="AW381" i="10"/>
  <c r="AF381" i="10"/>
  <c r="JF381" i="10"/>
  <c r="AB381" i="10"/>
  <c r="AV381" i="10"/>
  <c r="JH381" i="10"/>
  <c r="AR381" i="10"/>
  <c r="AE381" i="10"/>
  <c r="JK381" i="10"/>
  <c r="X274" i="10"/>
  <c r="FK274" i="10"/>
  <c r="AK274" i="10"/>
  <c r="AV274" i="10"/>
  <c r="AA274" i="10"/>
  <c r="JE274" i="10"/>
  <c r="AR274" i="10"/>
  <c r="AE274" i="10"/>
  <c r="JK274" i="10"/>
  <c r="JG274" i="10"/>
  <c r="JH274" i="10"/>
  <c r="AB274" i="10"/>
  <c r="AO274" i="10"/>
  <c r="AF274" i="10"/>
  <c r="JF274" i="10"/>
  <c r="AN274" i="10"/>
  <c r="Y274" i="10"/>
  <c r="AW274" i="10"/>
  <c r="W274" i="10"/>
  <c r="JC274" i="10"/>
  <c r="AK336" i="10"/>
  <c r="AF336" i="10"/>
  <c r="JF336" i="10"/>
  <c r="W336" i="10"/>
  <c r="JC336" i="10"/>
  <c r="AW336" i="10"/>
  <c r="JH336" i="10"/>
  <c r="JG336" i="10"/>
  <c r="AN336" i="10"/>
  <c r="Y336" i="10"/>
  <c r="AO336" i="10"/>
  <c r="DM336" i="10" s="1"/>
  <c r="DP336" i="10"/>
  <c r="DN336" i="10"/>
  <c r="DO336" i="10" s="1"/>
  <c r="X336" i="10"/>
  <c r="FK336" i="10"/>
  <c r="AR336" i="10"/>
  <c r="AE336" i="10"/>
  <c r="JK336" i="10"/>
  <c r="AV336" i="10"/>
  <c r="AA336" i="10"/>
  <c r="JE336" i="10"/>
  <c r="AB336" i="10"/>
  <c r="AV356" i="10"/>
  <c r="AR356" i="10"/>
  <c r="AE356" i="10"/>
  <c r="JK356" i="10"/>
  <c r="X356" i="10"/>
  <c r="FK356" i="10"/>
  <c r="AM356" i="10"/>
  <c r="AF356" i="10"/>
  <c r="JF356" i="10"/>
  <c r="JH356" i="10"/>
  <c r="AW356" i="10"/>
  <c r="AA356" i="10"/>
  <c r="JE356" i="10"/>
  <c r="AO356" i="10"/>
  <c r="DP356" i="10" s="1"/>
  <c r="DN356" i="10" s="1"/>
  <c r="DO356" i="10" s="1"/>
  <c r="AN356" i="10"/>
  <c r="Y356" i="10"/>
  <c r="W356" i="10"/>
  <c r="JC356" i="10"/>
  <c r="AB356" i="10"/>
  <c r="AK356" i="10"/>
  <c r="JG356" i="10"/>
  <c r="JH218" i="10"/>
  <c r="AF218" i="10"/>
  <c r="JF218" i="10"/>
  <c r="AV218" i="10"/>
  <c r="X218" i="10"/>
  <c r="FK218" i="10"/>
  <c r="AM218" i="10"/>
  <c r="JG218" i="10"/>
  <c r="W218" i="10"/>
  <c r="JC218" i="10"/>
  <c r="AO218" i="10"/>
  <c r="AN218" i="10"/>
  <c r="Y218" i="10"/>
  <c r="AW218" i="10"/>
  <c r="AK218" i="10"/>
  <c r="AA218" i="10"/>
  <c r="JE218" i="10"/>
  <c r="AR218" i="10"/>
  <c r="AE218" i="10"/>
  <c r="JK218" i="10"/>
  <c r="AB218" i="10"/>
  <c r="JG303" i="10"/>
  <c r="X303" i="10"/>
  <c r="JH303" i="10"/>
  <c r="AV303" i="10"/>
  <c r="AO303" i="10"/>
  <c r="DM303" i="10" s="1"/>
  <c r="AA303" i="10"/>
  <c r="JE303" i="10"/>
  <c r="AN303" i="10"/>
  <c r="Y303" i="10"/>
  <c r="AR303" i="10"/>
  <c r="AE303" i="10"/>
  <c r="JK303" i="10"/>
  <c r="AW303" i="10"/>
  <c r="W303" i="10"/>
  <c r="JC303" i="10"/>
  <c r="AF303" i="10"/>
  <c r="JF303" i="10"/>
  <c r="AB303" i="10"/>
  <c r="AK303" i="10"/>
  <c r="AV97" i="10"/>
  <c r="X97" i="10"/>
  <c r="FK97" i="10"/>
  <c r="AM97" i="10"/>
  <c r="AB97" i="10"/>
  <c r="AO97" i="10"/>
  <c r="JH97" i="10"/>
  <c r="AF97" i="10"/>
  <c r="JF97" i="10"/>
  <c r="W97" i="10"/>
  <c r="JC97" i="10"/>
  <c r="AW97" i="10"/>
  <c r="AK97" i="10"/>
  <c r="AR97" i="10"/>
  <c r="AE97" i="10"/>
  <c r="JK97" i="10"/>
  <c r="AN97" i="10"/>
  <c r="Y97" i="10"/>
  <c r="AA97" i="10"/>
  <c r="JE97" i="10"/>
  <c r="JG97" i="10"/>
  <c r="AV391" i="10"/>
  <c r="AK391" i="10"/>
  <c r="AN391" i="10"/>
  <c r="Y391" i="10"/>
  <c r="X391" i="10"/>
  <c r="FK391" i="10"/>
  <c r="AM391" i="10"/>
  <c r="AW391" i="10"/>
  <c r="JH391" i="10"/>
  <c r="AO391" i="10"/>
  <c r="DM391" i="10" s="1"/>
  <c r="AF391" i="10"/>
  <c r="JF391" i="10"/>
  <c r="W391" i="10"/>
  <c r="JC391" i="10"/>
  <c r="AR391" i="10"/>
  <c r="AE391" i="10"/>
  <c r="JK391" i="10"/>
  <c r="AA391" i="10"/>
  <c r="JE391" i="10"/>
  <c r="AB391" i="10"/>
  <c r="JG391" i="10"/>
  <c r="JH64" i="10"/>
  <c r="AB64" i="10"/>
  <c r="AO64" i="10"/>
  <c r="DM64" i="10" s="1"/>
  <c r="W64" i="10"/>
  <c r="JC64" i="10"/>
  <c r="AF64" i="10"/>
  <c r="JF64" i="10"/>
  <c r="AW64" i="10"/>
  <c r="JG64" i="10"/>
  <c r="AR64" i="10"/>
  <c r="AE64" i="10"/>
  <c r="JK64" i="10"/>
  <c r="AA64" i="10"/>
  <c r="JE64" i="10"/>
  <c r="AK64" i="10"/>
  <c r="AV64" i="10"/>
  <c r="AN64" i="10"/>
  <c r="Y64" i="10"/>
  <c r="X64" i="10"/>
  <c r="FK64" i="10"/>
  <c r="AM64" i="10"/>
  <c r="AR290" i="10"/>
  <c r="AE290" i="10"/>
  <c r="JK290" i="10"/>
  <c r="AV290" i="10"/>
  <c r="AN290" i="10"/>
  <c r="Y290" i="10"/>
  <c r="AO290" i="10"/>
  <c r="DM290" i="10" s="1"/>
  <c r="AB290" i="10"/>
  <c r="X290" i="10"/>
  <c r="FK290" i="10"/>
  <c r="AF290" i="10"/>
  <c r="JF290" i="10"/>
  <c r="AW290" i="10"/>
  <c r="W290" i="10"/>
  <c r="JC290" i="10"/>
  <c r="AA290" i="10"/>
  <c r="JE290" i="10"/>
  <c r="JH290" i="10"/>
  <c r="AK290" i="10"/>
  <c r="JG290" i="10"/>
  <c r="W317" i="10"/>
  <c r="JC317" i="10"/>
  <c r="AW317" i="10"/>
  <c r="AV317" i="10"/>
  <c r="AK317" i="10"/>
  <c r="AA317" i="10"/>
  <c r="JE317" i="10"/>
  <c r="AR317" i="10"/>
  <c r="AE317" i="10"/>
  <c r="JK317" i="10"/>
  <c r="JH317" i="10"/>
  <c r="AB317" i="10"/>
  <c r="JG317" i="10"/>
  <c r="AN317" i="10"/>
  <c r="Y317" i="10"/>
  <c r="X317" i="10"/>
  <c r="FK317" i="10"/>
  <c r="AO317" i="10"/>
  <c r="DM317" i="10" s="1"/>
  <c r="AF317" i="10"/>
  <c r="JF317" i="10"/>
  <c r="AW258" i="10"/>
  <c r="AA258" i="10"/>
  <c r="JE258" i="10"/>
  <c r="X258" i="10"/>
  <c r="FK258" i="10"/>
  <c r="AM258" i="10"/>
  <c r="AV258" i="10"/>
  <c r="W258" i="10"/>
  <c r="JC258" i="10"/>
  <c r="AN258" i="10"/>
  <c r="Y258" i="10"/>
  <c r="AO258" i="10"/>
  <c r="DM258" i="10" s="1"/>
  <c r="AF258" i="10"/>
  <c r="JF258" i="10"/>
  <c r="AK258" i="10"/>
  <c r="AB258" i="10"/>
  <c r="JH258" i="10"/>
  <c r="JG258" i="10"/>
  <c r="AR258" i="10"/>
  <c r="AE258" i="10"/>
  <c r="JK258" i="10"/>
  <c r="JG182" i="10"/>
  <c r="JH182" i="10"/>
  <c r="X182" i="10"/>
  <c r="AO182" i="10"/>
  <c r="W182" i="10"/>
  <c r="JC182" i="10"/>
  <c r="AF182" i="10"/>
  <c r="JF182" i="10"/>
  <c r="AW182" i="10"/>
  <c r="AV182" i="10"/>
  <c r="AK182" i="10"/>
  <c r="AA182" i="10"/>
  <c r="JE182" i="10"/>
  <c r="AB182" i="10"/>
  <c r="AN182" i="10"/>
  <c r="Y182" i="10"/>
  <c r="AR182" i="10"/>
  <c r="AE182" i="10"/>
  <c r="JK182" i="10"/>
  <c r="X170" i="10"/>
  <c r="FK170" i="10"/>
  <c r="AM170" i="10"/>
  <c r="JH170" i="10"/>
  <c r="AF170" i="10"/>
  <c r="JF170" i="10"/>
  <c r="AK170" i="10"/>
  <c r="AA170" i="10"/>
  <c r="JE170" i="10"/>
  <c r="JG170" i="10"/>
  <c r="AN170" i="10"/>
  <c r="Y170" i="10"/>
  <c r="AV170" i="10"/>
  <c r="AR170" i="10"/>
  <c r="AE170" i="10"/>
  <c r="JK170" i="10"/>
  <c r="AB170" i="10"/>
  <c r="AO170" i="10"/>
  <c r="DP170" i="10" s="1"/>
  <c r="DN170" i="10" s="1"/>
  <c r="DO170" i="10" s="1"/>
  <c r="W170" i="10"/>
  <c r="JC170" i="10"/>
  <c r="AW170" i="10"/>
  <c r="AR270" i="10"/>
  <c r="AE270" i="10"/>
  <c r="JK270" i="10"/>
  <c r="AB270" i="10"/>
  <c r="JH270" i="10"/>
  <c r="AN270" i="10"/>
  <c r="Y270" i="10"/>
  <c r="X270" i="10"/>
  <c r="FK270" i="10"/>
  <c r="AO270" i="10"/>
  <c r="DP270" i="10" s="1"/>
  <c r="DN270" i="10" s="1"/>
  <c r="DO270" i="10" s="1"/>
  <c r="AK270" i="10"/>
  <c r="AF270" i="10"/>
  <c r="JF270" i="10"/>
  <c r="W270" i="10"/>
  <c r="JC270" i="10"/>
  <c r="AW270" i="10"/>
  <c r="AV270" i="10"/>
  <c r="AA270" i="10"/>
  <c r="JE270" i="10"/>
  <c r="JG270" i="10"/>
  <c r="AN268" i="10"/>
  <c r="Y268" i="10"/>
  <c r="JG268" i="10"/>
  <c r="AV268" i="10"/>
  <c r="AR268" i="10"/>
  <c r="AE268" i="10"/>
  <c r="JK268" i="10"/>
  <c r="JH268" i="10"/>
  <c r="AK268" i="10"/>
  <c r="AA268" i="10"/>
  <c r="JE268" i="10"/>
  <c r="AB268" i="10"/>
  <c r="X268" i="10"/>
  <c r="FK268" i="10"/>
  <c r="AM268" i="10"/>
  <c r="AO268" i="10"/>
  <c r="AF268" i="10"/>
  <c r="JF268" i="10"/>
  <c r="AW268" i="10"/>
  <c r="W268" i="10"/>
  <c r="JC268" i="10"/>
  <c r="AF120" i="10"/>
  <c r="JF120" i="10"/>
  <c r="W120" i="10"/>
  <c r="JC120" i="10"/>
  <c r="AK120" i="10"/>
  <c r="AA120" i="10"/>
  <c r="JE120" i="10"/>
  <c r="JG120" i="10"/>
  <c r="AB120" i="10"/>
  <c r="AO120" i="10"/>
  <c r="AP120" i="10"/>
  <c r="AQ120" i="10"/>
  <c r="IJ120" i="10" s="1"/>
  <c r="AR120" i="10"/>
  <c r="AE120" i="10"/>
  <c r="JK120" i="10"/>
  <c r="JH120" i="10"/>
  <c r="AN120" i="10"/>
  <c r="Y120" i="10"/>
  <c r="X120" i="10"/>
  <c r="AM120" i="10"/>
  <c r="AW120" i="10"/>
  <c r="AV120" i="10"/>
  <c r="AN242" i="10"/>
  <c r="Y242" i="10"/>
  <c r="AB242" i="10"/>
  <c r="JH242" i="10"/>
  <c r="AK242" i="10"/>
  <c r="AR242" i="10"/>
  <c r="AE242" i="10"/>
  <c r="JK242" i="10"/>
  <c r="X242" i="10"/>
  <c r="FK242" i="10"/>
  <c r="AO242" i="10"/>
  <c r="DM242" i="10" s="1"/>
  <c r="W242" i="10"/>
  <c r="JC242" i="10"/>
  <c r="AF242" i="10"/>
  <c r="JF242" i="10"/>
  <c r="AW242" i="10"/>
  <c r="AA242" i="10"/>
  <c r="JE242" i="10"/>
  <c r="JG242" i="10"/>
  <c r="AV242" i="10"/>
  <c r="X330" i="10"/>
  <c r="FK330" i="10"/>
  <c r="AM330" i="10"/>
  <c r="AB330" i="10"/>
  <c r="AF330" i="10"/>
  <c r="JF330" i="10"/>
  <c r="W330" i="10"/>
  <c r="JC330" i="10"/>
  <c r="AW330" i="10"/>
  <c r="AV330" i="10"/>
  <c r="AN330" i="10"/>
  <c r="Y330" i="10"/>
  <c r="AO330" i="10"/>
  <c r="DP330" i="10" s="1"/>
  <c r="DN330" i="10" s="1"/>
  <c r="DO330" i="10" s="1"/>
  <c r="JH330" i="10"/>
  <c r="AR330" i="10"/>
  <c r="AE330" i="10"/>
  <c r="JK330" i="10"/>
  <c r="JG330" i="10"/>
  <c r="AA330" i="10"/>
  <c r="JE330" i="10"/>
  <c r="AK330" i="10"/>
  <c r="AO36" i="10"/>
  <c r="DM36" i="10"/>
  <c r="JI36" i="10"/>
  <c r="JG36" i="10"/>
  <c r="W36" i="10"/>
  <c r="JC36" i="10"/>
  <c r="AW36" i="10"/>
  <c r="X36" i="10"/>
  <c r="FK36" i="10"/>
  <c r="AF36" i="10"/>
  <c r="JF36" i="10"/>
  <c r="AR36" i="10"/>
  <c r="AE36" i="10"/>
  <c r="JK36" i="10"/>
  <c r="AV36" i="10"/>
  <c r="AK36" i="10"/>
  <c r="AB36" i="10"/>
  <c r="AA36" i="10"/>
  <c r="JE36" i="10"/>
  <c r="JH36" i="10"/>
  <c r="AN36" i="10"/>
  <c r="Y36" i="10"/>
  <c r="AN144" i="10"/>
  <c r="Y144" i="10"/>
  <c r="AB144" i="10"/>
  <c r="JH144" i="10"/>
  <c r="JG144" i="10"/>
  <c r="AR144" i="10"/>
  <c r="AE144" i="10"/>
  <c r="JK144" i="10"/>
  <c r="X144" i="10"/>
  <c r="FK144" i="10"/>
  <c r="AO144" i="10"/>
  <c r="JI144" i="10"/>
  <c r="AF144" i="10"/>
  <c r="JF144" i="10"/>
  <c r="W144" i="10"/>
  <c r="JC144" i="10"/>
  <c r="AW144" i="10"/>
  <c r="AV144" i="10"/>
  <c r="AK144" i="10"/>
  <c r="AA144" i="10"/>
  <c r="JE144" i="10"/>
  <c r="W284" i="10"/>
  <c r="JC284" i="10"/>
  <c r="AW284" i="10"/>
  <c r="AV284" i="10"/>
  <c r="AN284" i="10"/>
  <c r="Y284" i="10"/>
  <c r="AR284" i="10"/>
  <c r="AE284" i="10"/>
  <c r="JK284" i="10"/>
  <c r="AB284" i="10"/>
  <c r="X284" i="10"/>
  <c r="AK284" i="10"/>
  <c r="AF284" i="10"/>
  <c r="JF284" i="10"/>
  <c r="AO284" i="10"/>
  <c r="DM284" i="10"/>
  <c r="JI284" i="10"/>
  <c r="JH284" i="10"/>
  <c r="AA284" i="10"/>
  <c r="JE284" i="10"/>
  <c r="JG284" i="10"/>
  <c r="AW93" i="10"/>
  <c r="AA93" i="10"/>
  <c r="JE93" i="10"/>
  <c r="AO93" i="10"/>
  <c r="AF93" i="10"/>
  <c r="JF93" i="10"/>
  <c r="W93" i="10"/>
  <c r="JC93" i="10"/>
  <c r="JH93" i="10"/>
  <c r="AV93" i="10"/>
  <c r="AK93" i="10"/>
  <c r="X93" i="10"/>
  <c r="FK93" i="10"/>
  <c r="AM93" i="10"/>
  <c r="AN93" i="10"/>
  <c r="Y93" i="10"/>
  <c r="JG93" i="10"/>
  <c r="AR93" i="10"/>
  <c r="AE93" i="10"/>
  <c r="JK93" i="10"/>
  <c r="AB93" i="10"/>
  <c r="AO308" i="10"/>
  <c r="AA308" i="10"/>
  <c r="JE308" i="10"/>
  <c r="JG308" i="10"/>
  <c r="AN308" i="10"/>
  <c r="Y308" i="10"/>
  <c r="AK308" i="10"/>
  <c r="AB308" i="10"/>
  <c r="AV308" i="10"/>
  <c r="X308" i="10"/>
  <c r="FK308" i="10"/>
  <c r="AM308" i="10"/>
  <c r="AF308" i="10"/>
  <c r="JF308" i="10"/>
  <c r="AW308" i="10"/>
  <c r="W308" i="10"/>
  <c r="JC308" i="10"/>
  <c r="JH308" i="10"/>
  <c r="AR308" i="10"/>
  <c r="AE308" i="10"/>
  <c r="JK308" i="10"/>
  <c r="AA128" i="10"/>
  <c r="JE128" i="10"/>
  <c r="AR128" i="10"/>
  <c r="AE128" i="10"/>
  <c r="JK128" i="10"/>
  <c r="X128" i="10"/>
  <c r="AM128" i="10"/>
  <c r="AF128" i="10"/>
  <c r="JF128" i="10"/>
  <c r="AO128" i="10"/>
  <c r="DP128" i="10" s="1"/>
  <c r="DN128" i="10" s="1"/>
  <c r="DO128" i="10" s="1"/>
  <c r="AP128" i="10"/>
  <c r="AQ128" i="10"/>
  <c r="AW128" i="10"/>
  <c r="JH128" i="10"/>
  <c r="AN128" i="10"/>
  <c r="Y128" i="10"/>
  <c r="W128" i="10"/>
  <c r="JC128" i="10"/>
  <c r="JG128" i="10"/>
  <c r="AB128" i="10"/>
  <c r="AK128" i="10"/>
  <c r="AV128" i="10"/>
  <c r="AV125" i="10"/>
  <c r="X125" i="10"/>
  <c r="FK125" i="10"/>
  <c r="AM125" i="10"/>
  <c r="AF125" i="10"/>
  <c r="JF125" i="10"/>
  <c r="W125" i="10"/>
  <c r="JC125" i="10"/>
  <c r="AW125" i="10"/>
  <c r="AR125" i="10"/>
  <c r="AE125" i="10"/>
  <c r="JK125" i="10"/>
  <c r="AA125" i="10"/>
  <c r="JE125" i="10"/>
  <c r="AB125" i="10"/>
  <c r="JG125" i="10"/>
  <c r="AN125" i="10"/>
  <c r="Y125" i="10"/>
  <c r="AO125" i="10"/>
  <c r="DP125" i="10" s="1"/>
  <c r="DN125" i="10" s="1"/>
  <c r="DO125" i="10" s="1"/>
  <c r="DM125" i="10"/>
  <c r="JI125" i="10"/>
  <c r="AK125" i="10"/>
  <c r="JH125" i="10"/>
  <c r="AV245" i="10"/>
  <c r="AB245" i="10"/>
  <c r="AA245" i="10"/>
  <c r="JE245" i="10"/>
  <c r="AR245" i="10"/>
  <c r="AE245" i="10"/>
  <c r="JK245" i="10"/>
  <c r="X245" i="10"/>
  <c r="FK245" i="10"/>
  <c r="AM245" i="10"/>
  <c r="AF245" i="10"/>
  <c r="JF245" i="10"/>
  <c r="AW245" i="10"/>
  <c r="AN245" i="10"/>
  <c r="Y245" i="10"/>
  <c r="AO245" i="10"/>
  <c r="W245" i="10"/>
  <c r="JC245" i="10"/>
  <c r="AK245" i="10"/>
  <c r="JG245" i="10"/>
  <c r="JH245" i="10"/>
  <c r="AA74" i="10"/>
  <c r="JE74" i="10"/>
  <c r="AW74" i="10"/>
  <c r="AK74" i="10"/>
  <c r="AR74" i="10"/>
  <c r="AE74" i="10"/>
  <c r="JK74" i="10"/>
  <c r="AB74" i="10"/>
  <c r="AN74" i="10"/>
  <c r="Y74" i="10"/>
  <c r="X74" i="10"/>
  <c r="AM74" i="10"/>
  <c r="AO74" i="10"/>
  <c r="DM74" i="10" s="1"/>
  <c r="AF74" i="10"/>
  <c r="JF74" i="10"/>
  <c r="W74" i="10"/>
  <c r="JC74" i="10"/>
  <c r="JH74" i="10"/>
  <c r="JG74" i="10"/>
  <c r="AV74" i="10"/>
  <c r="X58" i="10"/>
  <c r="FK58" i="10"/>
  <c r="AF58" i="10"/>
  <c r="JF58" i="10"/>
  <c r="W58" i="10"/>
  <c r="JC58" i="10"/>
  <c r="AV58" i="10"/>
  <c r="AR58" i="10"/>
  <c r="AE58" i="10"/>
  <c r="JK58" i="10"/>
  <c r="AB58" i="10"/>
  <c r="AO58" i="10"/>
  <c r="DP58" i="10" s="1"/>
  <c r="DN58" i="10" s="1"/>
  <c r="DO58" i="10" s="1"/>
  <c r="AP58" i="10"/>
  <c r="AQ58" i="10"/>
  <c r="JG58" i="10"/>
  <c r="AK58" i="10"/>
  <c r="AA58" i="10"/>
  <c r="JE58" i="10"/>
  <c r="AN58" i="10"/>
  <c r="Y58" i="10"/>
  <c r="AW58" i="10"/>
  <c r="JH58" i="10"/>
  <c r="X34" i="10"/>
  <c r="FK34" i="10"/>
  <c r="AW34" i="10"/>
  <c r="AR34" i="10"/>
  <c r="AE34" i="10"/>
  <c r="JK34" i="10"/>
  <c r="AN34" i="10"/>
  <c r="Y34" i="10"/>
  <c r="AK34" i="10"/>
  <c r="AO34" i="10"/>
  <c r="DM34" i="10" s="1"/>
  <c r="AF34" i="10"/>
  <c r="JF34" i="10"/>
  <c r="W34" i="10"/>
  <c r="JC34" i="10"/>
  <c r="AA34" i="10"/>
  <c r="JE34" i="10"/>
  <c r="JG34" i="10"/>
  <c r="JH34" i="10"/>
  <c r="AV34" i="10"/>
  <c r="X323" i="10"/>
  <c r="FK323" i="10"/>
  <c r="AF323" i="10"/>
  <c r="JF323" i="10"/>
  <c r="AR323" i="10"/>
  <c r="AE323" i="10"/>
  <c r="JK323" i="10"/>
  <c r="W323" i="10"/>
  <c r="JC323" i="10"/>
  <c r="AA323" i="10"/>
  <c r="JE323" i="10"/>
  <c r="AO323" i="10"/>
  <c r="DM323" i="10"/>
  <c r="JH323" i="10"/>
  <c r="AB323" i="10"/>
  <c r="AN323" i="10"/>
  <c r="Y323" i="10"/>
  <c r="AW323" i="10"/>
  <c r="AV323" i="10"/>
  <c r="AK323" i="10"/>
  <c r="JG323" i="10"/>
  <c r="AN275" i="10"/>
  <c r="Y275" i="10"/>
  <c r="W275" i="10"/>
  <c r="JC275" i="10"/>
  <c r="AB275" i="10"/>
  <c r="AA275" i="10"/>
  <c r="JE275" i="10"/>
  <c r="AK275" i="10"/>
  <c r="AF275" i="10"/>
  <c r="JF275" i="10"/>
  <c r="AW275" i="10"/>
  <c r="AR275" i="10"/>
  <c r="AE275" i="10"/>
  <c r="JK275" i="10"/>
  <c r="JG275" i="10"/>
  <c r="AV275" i="10"/>
  <c r="X275" i="10"/>
  <c r="FK275" i="10"/>
  <c r="AM275" i="10"/>
  <c r="AO275" i="10"/>
  <c r="DP275" i="10" s="1"/>
  <c r="DN275" i="10" s="1"/>
  <c r="DO275" i="10" s="1"/>
  <c r="JH275" i="10"/>
  <c r="AF342" i="10"/>
  <c r="JF342" i="10"/>
  <c r="W342" i="10"/>
  <c r="JC342" i="10"/>
  <c r="JG342" i="10"/>
  <c r="AA342" i="10"/>
  <c r="JE342" i="10"/>
  <c r="AB342" i="10"/>
  <c r="X342" i="10"/>
  <c r="FK342" i="10"/>
  <c r="AV342" i="10"/>
  <c r="AK342" i="10"/>
  <c r="AO342" i="10"/>
  <c r="AN342" i="10"/>
  <c r="Y342" i="10"/>
  <c r="AW342" i="10"/>
  <c r="AR342" i="10"/>
  <c r="AE342" i="10"/>
  <c r="JK342" i="10"/>
  <c r="JH342" i="10"/>
  <c r="JH113" i="10"/>
  <c r="W113" i="10"/>
  <c r="JC113" i="10"/>
  <c r="JG113" i="10"/>
  <c r="AA113" i="10"/>
  <c r="JE113" i="10"/>
  <c r="AB113" i="10"/>
  <c r="AK113" i="10"/>
  <c r="X113" i="10"/>
  <c r="FK113" i="10"/>
  <c r="AM113" i="10"/>
  <c r="AN113" i="10"/>
  <c r="Y113" i="10"/>
  <c r="AO113" i="10"/>
  <c r="DM113" i="10" s="1"/>
  <c r="AR113" i="10"/>
  <c r="AE113" i="10"/>
  <c r="JK113" i="10"/>
  <c r="AF113" i="10"/>
  <c r="JF113" i="10"/>
  <c r="AV113" i="10"/>
  <c r="AW113" i="10"/>
  <c r="AK75" i="10"/>
  <c r="AA75" i="10"/>
  <c r="JE75" i="10"/>
  <c r="AF75" i="10"/>
  <c r="JF75" i="10"/>
  <c r="W75" i="10"/>
  <c r="JC75" i="10"/>
  <c r="AW75" i="10"/>
  <c r="JG75" i="10"/>
  <c r="AV75" i="10"/>
  <c r="AN75" i="10"/>
  <c r="Y75" i="10"/>
  <c r="AO75" i="10"/>
  <c r="DM75" i="10"/>
  <c r="AB75" i="10"/>
  <c r="JH75" i="10"/>
  <c r="X75" i="10"/>
  <c r="FK75" i="10"/>
  <c r="AR75" i="10"/>
  <c r="AE75" i="10"/>
  <c r="JK75" i="10"/>
  <c r="AA230" i="10"/>
  <c r="JE230" i="10"/>
  <c r="X230" i="10"/>
  <c r="FK230" i="10"/>
  <c r="AM230" i="10"/>
  <c r="AO230" i="10"/>
  <c r="AK230" i="10"/>
  <c r="AV230" i="10"/>
  <c r="W230" i="10"/>
  <c r="JC230" i="10"/>
  <c r="JG230" i="10"/>
  <c r="AW230" i="10"/>
  <c r="JH230" i="10"/>
  <c r="AR230" i="10"/>
  <c r="AE230" i="10"/>
  <c r="JK230" i="10"/>
  <c r="AN230" i="10"/>
  <c r="Y230" i="10"/>
  <c r="AF230" i="10"/>
  <c r="JF230" i="10"/>
  <c r="AB230" i="10"/>
  <c r="AR88" i="10"/>
  <c r="AE88" i="10"/>
  <c r="JK88" i="10"/>
  <c r="AO88" i="10"/>
  <c r="JI88" i="10"/>
  <c r="JH88" i="10"/>
  <c r="W88" i="10"/>
  <c r="JC88" i="10"/>
  <c r="AF88" i="10"/>
  <c r="JF88" i="10"/>
  <c r="AB88" i="10"/>
  <c r="JG88" i="10"/>
  <c r="AK88" i="10"/>
  <c r="AV88" i="10"/>
  <c r="AN88" i="10"/>
  <c r="Y88" i="10"/>
  <c r="X88" i="10"/>
  <c r="FK88" i="10"/>
  <c r="AW88" i="10"/>
  <c r="AA88" i="10"/>
  <c r="JE88" i="10"/>
  <c r="AF250" i="10"/>
  <c r="JF250" i="10"/>
  <c r="W250" i="10"/>
  <c r="JC250" i="10"/>
  <c r="AK250" i="10"/>
  <c r="AB250" i="10"/>
  <c r="JH250" i="10"/>
  <c r="AO250" i="10"/>
  <c r="AN250" i="10"/>
  <c r="Y250" i="10"/>
  <c r="X250" i="10"/>
  <c r="FK250" i="10"/>
  <c r="AW250" i="10"/>
  <c r="AR250" i="10"/>
  <c r="AE250" i="10"/>
  <c r="JK250" i="10"/>
  <c r="AV250" i="10"/>
  <c r="AA250" i="10"/>
  <c r="JE250" i="10"/>
  <c r="JG250" i="10"/>
  <c r="AN296" i="10"/>
  <c r="Y296" i="10"/>
  <c r="JH296" i="10"/>
  <c r="AA296" i="10"/>
  <c r="JE296" i="10"/>
  <c r="AR296" i="10"/>
  <c r="AE296" i="10"/>
  <c r="JK296" i="10"/>
  <c r="AV296" i="10"/>
  <c r="AK296" i="10"/>
  <c r="AB296" i="10"/>
  <c r="X296" i="10"/>
  <c r="FK296" i="10"/>
  <c r="JG296" i="10"/>
  <c r="AO296" i="10"/>
  <c r="DM296" i="10" s="1"/>
  <c r="AF296" i="10"/>
  <c r="JF296" i="10"/>
  <c r="AW296" i="10"/>
  <c r="W296" i="10"/>
  <c r="JC296" i="10"/>
  <c r="JG366" i="10"/>
  <c r="JH366" i="10"/>
  <c r="AW366" i="10"/>
  <c r="W366" i="10"/>
  <c r="JC366" i="10"/>
  <c r="AA366" i="10"/>
  <c r="JE366" i="10"/>
  <c r="X366" i="10"/>
  <c r="FK366" i="10"/>
  <c r="AN366" i="10"/>
  <c r="Y366" i="10"/>
  <c r="AV366" i="10"/>
  <c r="AK366" i="10"/>
  <c r="AR366" i="10"/>
  <c r="AE366" i="10"/>
  <c r="JK366" i="10"/>
  <c r="AB366" i="10"/>
  <c r="AF366" i="10"/>
  <c r="JF366" i="10"/>
  <c r="AO366" i="10"/>
  <c r="DM366" i="10" s="1"/>
  <c r="AB307" i="10"/>
  <c r="JH307" i="10"/>
  <c r="AW307" i="10"/>
  <c r="W307" i="10"/>
  <c r="JC307" i="10"/>
  <c r="AN307" i="10"/>
  <c r="Y307" i="10"/>
  <c r="X307" i="10"/>
  <c r="AF307" i="10"/>
  <c r="JF307" i="10"/>
  <c r="AK307" i="10"/>
  <c r="AR307" i="10"/>
  <c r="AE307" i="10"/>
  <c r="JK307" i="10"/>
  <c r="AV307" i="10"/>
  <c r="AA307" i="10"/>
  <c r="JE307" i="10"/>
  <c r="JG307" i="10"/>
  <c r="AO307" i="10"/>
  <c r="DP307" i="10" s="1"/>
  <c r="DN307" i="10" s="1"/>
  <c r="DO307" i="10" s="1"/>
  <c r="AR386" i="10"/>
  <c r="AE386" i="10"/>
  <c r="JK386" i="10"/>
  <c r="AN386" i="10"/>
  <c r="Y386" i="10"/>
  <c r="AF386" i="10"/>
  <c r="JF386" i="10"/>
  <c r="AV386" i="10"/>
  <c r="JH386" i="10"/>
  <c r="AK386" i="10"/>
  <c r="W386" i="10"/>
  <c r="JC386" i="10"/>
  <c r="AA386" i="10"/>
  <c r="JE386" i="10"/>
  <c r="X386" i="10"/>
  <c r="FK386" i="10"/>
  <c r="AW386" i="10"/>
  <c r="JG386" i="10"/>
  <c r="AB386" i="10"/>
  <c r="AO386" i="10"/>
  <c r="AW29" i="10"/>
  <c r="AN29" i="10"/>
  <c r="Y29" i="10"/>
  <c r="X29" i="10"/>
  <c r="FK29" i="10"/>
  <c r="AM29" i="10"/>
  <c r="AK29" i="10"/>
  <c r="AO29" i="10"/>
  <c r="DM29" i="10" s="1"/>
  <c r="AF29" i="10"/>
  <c r="JF29" i="10"/>
  <c r="W29" i="10"/>
  <c r="JC29" i="10"/>
  <c r="AA29" i="10"/>
  <c r="JE29" i="10"/>
  <c r="AR29" i="10"/>
  <c r="AE29" i="10"/>
  <c r="JK29" i="10"/>
  <c r="JH29" i="10"/>
  <c r="AB29" i="10"/>
  <c r="AV29" i="10"/>
  <c r="JG29" i="10"/>
  <c r="AV140" i="10"/>
  <c r="JG140" i="10"/>
  <c r="AF140" i="10"/>
  <c r="JF140" i="10"/>
  <c r="W140" i="10"/>
  <c r="JC140" i="10"/>
  <c r="AW140" i="10"/>
  <c r="AK140" i="10"/>
  <c r="AR140" i="10"/>
  <c r="AE140" i="10"/>
  <c r="JK140" i="10"/>
  <c r="AA140" i="10"/>
  <c r="JE140" i="10"/>
  <c r="JH140" i="10"/>
  <c r="AB140" i="10"/>
  <c r="AN140" i="10"/>
  <c r="Y140" i="10"/>
  <c r="AO140" i="10"/>
  <c r="DM140" i="10"/>
  <c r="X140" i="10"/>
  <c r="FK140" i="10"/>
  <c r="AN116" i="10"/>
  <c r="Y116" i="10"/>
  <c r="AV116" i="10"/>
  <c r="AA116" i="10"/>
  <c r="JE116" i="10"/>
  <c r="W116" i="10"/>
  <c r="JC116" i="10"/>
  <c r="GI116" i="10"/>
  <c r="AT116" i="10" s="1"/>
  <c r="AR116" i="10"/>
  <c r="AE116" i="10"/>
  <c r="JK116" i="10"/>
  <c r="AF116" i="10"/>
  <c r="JF116" i="10"/>
  <c r="AW116" i="10"/>
  <c r="X116" i="10"/>
  <c r="AO116" i="10"/>
  <c r="DP116" i="10" s="1"/>
  <c r="DN116" i="10" s="1"/>
  <c r="DO116" i="10" s="1"/>
  <c r="AB116" i="10"/>
  <c r="JG116" i="10"/>
  <c r="AK116" i="10"/>
  <c r="JH116" i="10"/>
  <c r="AK28" i="10"/>
  <c r="AA28" i="10"/>
  <c r="JE28" i="10"/>
  <c r="AF28" i="10"/>
  <c r="JF28" i="10"/>
  <c r="W28" i="10"/>
  <c r="JC28" i="10"/>
  <c r="AW28" i="10"/>
  <c r="AR28" i="10"/>
  <c r="AE28" i="10"/>
  <c r="JK28" i="10"/>
  <c r="AV28" i="10"/>
  <c r="AN28" i="10"/>
  <c r="Y28" i="10"/>
  <c r="AO28" i="10"/>
  <c r="X28" i="10"/>
  <c r="FK28" i="10"/>
  <c r="AB28" i="10"/>
  <c r="JH28" i="10"/>
  <c r="JG28" i="10"/>
  <c r="AW309" i="10"/>
  <c r="AA309" i="10"/>
  <c r="JE309" i="10"/>
  <c r="AK309" i="10"/>
  <c r="X309" i="10"/>
  <c r="AN309" i="10"/>
  <c r="Y309" i="10"/>
  <c r="AB309" i="10"/>
  <c r="JH309" i="10"/>
  <c r="AF309" i="10"/>
  <c r="JF309" i="10"/>
  <c r="AV309" i="10"/>
  <c r="JG309" i="10"/>
  <c r="AO309" i="10"/>
  <c r="W309" i="10"/>
  <c r="JC309" i="10"/>
  <c r="AR309" i="10"/>
  <c r="AE309" i="10"/>
  <c r="JK309" i="10"/>
  <c r="AF287" i="10"/>
  <c r="JF287" i="10"/>
  <c r="AW287" i="10"/>
  <c r="AR287" i="10"/>
  <c r="AE287" i="10"/>
  <c r="JK287" i="10"/>
  <c r="AV287" i="10"/>
  <c r="JG287" i="10"/>
  <c r="AN287" i="10"/>
  <c r="Y287" i="10"/>
  <c r="AB287" i="10"/>
  <c r="AO287" i="10"/>
  <c r="DP287" i="10" s="1"/>
  <c r="DN287" i="10" s="1"/>
  <c r="DO287" i="10" s="1"/>
  <c r="AA287" i="10"/>
  <c r="JE287" i="10"/>
  <c r="X287" i="10"/>
  <c r="FK287" i="10"/>
  <c r="W287" i="10"/>
  <c r="JC287" i="10"/>
  <c r="JH287" i="10"/>
  <c r="AK287" i="10"/>
  <c r="JG147" i="10"/>
  <c r="AF147" i="10"/>
  <c r="JF147" i="10"/>
  <c r="AV147" i="10"/>
  <c r="W147" i="10"/>
  <c r="JC147" i="10"/>
  <c r="AW147" i="10"/>
  <c r="AB147" i="10"/>
  <c r="AK147" i="10"/>
  <c r="AR147" i="10"/>
  <c r="AE147" i="10"/>
  <c r="JK147" i="10"/>
  <c r="AO147" i="10"/>
  <c r="X147" i="10"/>
  <c r="FK147" i="10"/>
  <c r="AN147" i="10"/>
  <c r="Y147" i="10"/>
  <c r="AA147" i="10"/>
  <c r="JE147" i="10"/>
  <c r="JH147" i="10"/>
  <c r="AF133" i="10"/>
  <c r="JF133" i="10"/>
  <c r="AA133" i="10"/>
  <c r="JE133" i="10"/>
  <c r="AB133" i="10"/>
  <c r="AR133" i="10"/>
  <c r="AE133" i="10"/>
  <c r="JK133" i="10"/>
  <c r="AN133" i="10"/>
  <c r="Y133" i="10"/>
  <c r="AV133" i="10"/>
  <c r="AO133" i="10"/>
  <c r="JI133" i="10"/>
  <c r="AW133" i="10"/>
  <c r="AK133" i="10"/>
  <c r="JG133" i="10"/>
  <c r="W133" i="10"/>
  <c r="JC133" i="10"/>
  <c r="X133" i="10"/>
  <c r="FK133" i="10"/>
  <c r="JH133" i="10"/>
  <c r="W314" i="10"/>
  <c r="JC314" i="10"/>
  <c r="AF314" i="10"/>
  <c r="JF314" i="10"/>
  <c r="AK314" i="10"/>
  <c r="AV314" i="10"/>
  <c r="AR314" i="10"/>
  <c r="AE314" i="10"/>
  <c r="JK314" i="10"/>
  <c r="AN314" i="10"/>
  <c r="Y314" i="10"/>
  <c r="X314" i="10"/>
  <c r="FK314" i="10"/>
  <c r="AO314" i="10"/>
  <c r="AW314" i="10"/>
  <c r="JG314" i="10"/>
  <c r="AA314" i="10"/>
  <c r="JE314" i="10"/>
  <c r="JH314" i="10"/>
  <c r="AB314" i="10"/>
  <c r="AK332" i="10"/>
  <c r="AW332" i="10"/>
  <c r="W332" i="10"/>
  <c r="JC332" i="10"/>
  <c r="JH332" i="10"/>
  <c r="AB332" i="10"/>
  <c r="AV332" i="10"/>
  <c r="JG332" i="10"/>
  <c r="AA332" i="10"/>
  <c r="JE332" i="10"/>
  <c r="AR332" i="10"/>
  <c r="AE332" i="10"/>
  <c r="JK332" i="10"/>
  <c r="AN332" i="10"/>
  <c r="Y332" i="10"/>
  <c r="X332" i="10"/>
  <c r="FK332" i="10"/>
  <c r="AM332" i="10"/>
  <c r="AO332" i="10"/>
  <c r="DP332" i="10" s="1"/>
  <c r="DN332" i="10" s="1"/>
  <c r="DO332" i="10" s="1"/>
  <c r="AF332" i="10"/>
  <c r="JF332" i="10"/>
  <c r="AR371" i="10"/>
  <c r="AE371" i="10"/>
  <c r="JK371" i="10"/>
  <c r="AW371" i="10"/>
  <c r="AA371" i="10"/>
  <c r="JE371" i="10"/>
  <c r="AK371" i="10"/>
  <c r="AB371" i="10"/>
  <c r="JH371" i="10"/>
  <c r="JG371" i="10"/>
  <c r="AO371" i="10"/>
  <c r="DM371" i="10"/>
  <c r="W371" i="10"/>
  <c r="JC371" i="10"/>
  <c r="AV371" i="10"/>
  <c r="AN371" i="10"/>
  <c r="Y371" i="10"/>
  <c r="X371" i="10"/>
  <c r="FK371" i="10"/>
  <c r="AF371" i="10"/>
  <c r="JF371" i="10"/>
  <c r="AW210" i="10"/>
  <c r="AK210" i="10"/>
  <c r="AA210" i="10"/>
  <c r="JE210" i="10"/>
  <c r="AR210" i="10"/>
  <c r="AE210" i="10"/>
  <c r="JK210" i="10"/>
  <c r="X210" i="10"/>
  <c r="FK210" i="10"/>
  <c r="AM210" i="10"/>
  <c r="AN210" i="10"/>
  <c r="Y210" i="10"/>
  <c r="JG210" i="10"/>
  <c r="AF210" i="10"/>
  <c r="JF210" i="10"/>
  <c r="JH210" i="10"/>
  <c r="AO210" i="10"/>
  <c r="DM210" i="10" s="1"/>
  <c r="W210" i="10"/>
  <c r="JC210" i="10"/>
  <c r="AB210" i="10"/>
  <c r="AV210" i="10"/>
  <c r="AW295" i="10"/>
  <c r="W295" i="10"/>
  <c r="JC295" i="10"/>
  <c r="AR295" i="10"/>
  <c r="AE295" i="10"/>
  <c r="JK295" i="10"/>
  <c r="AK295" i="10"/>
  <c r="AN295" i="10"/>
  <c r="Y295" i="10"/>
  <c r="AA295" i="10"/>
  <c r="JE295" i="10"/>
  <c r="AF295" i="10"/>
  <c r="JF295" i="10"/>
  <c r="JG295" i="10"/>
  <c r="AO295" i="10"/>
  <c r="X295" i="10"/>
  <c r="AM295" i="10"/>
  <c r="JH295" i="10"/>
  <c r="AV295" i="10"/>
  <c r="AB295" i="10"/>
  <c r="AN315" i="10"/>
  <c r="Y315" i="10"/>
  <c r="JH315" i="10"/>
  <c r="AA315" i="10"/>
  <c r="JE315" i="10"/>
  <c r="X315" i="10"/>
  <c r="FK315" i="10"/>
  <c r="AM315" i="10"/>
  <c r="AV315" i="10"/>
  <c r="AO315" i="10"/>
  <c r="W315" i="10"/>
  <c r="JC315" i="10"/>
  <c r="JG315" i="10"/>
  <c r="AK315" i="10"/>
  <c r="AB315" i="10"/>
  <c r="AR315" i="10"/>
  <c r="AE315" i="10"/>
  <c r="JK315" i="10"/>
  <c r="AF315" i="10"/>
  <c r="JF315" i="10"/>
  <c r="AW315" i="10"/>
  <c r="AR183" i="10"/>
  <c r="AE183" i="10"/>
  <c r="JK183" i="10"/>
  <c r="X183" i="10"/>
  <c r="FK183" i="10"/>
  <c r="AW183" i="10"/>
  <c r="AA183" i="10"/>
  <c r="JE183" i="10"/>
  <c r="JH183" i="10"/>
  <c r="AK183" i="10"/>
  <c r="JG183" i="10"/>
  <c r="AB183" i="10"/>
  <c r="AN183" i="10"/>
  <c r="Y183" i="10"/>
  <c r="AV183" i="10"/>
  <c r="AO183" i="10"/>
  <c r="W183" i="10"/>
  <c r="JC183" i="10"/>
  <c r="AF183" i="10"/>
  <c r="JF183" i="10"/>
  <c r="AF191" i="10"/>
  <c r="JF191" i="10"/>
  <c r="W191" i="10"/>
  <c r="JC191" i="10"/>
  <c r="AB191" i="10"/>
  <c r="AK191" i="10"/>
  <c r="AA191" i="10"/>
  <c r="JE191" i="10"/>
  <c r="JG191" i="10"/>
  <c r="AN191" i="10"/>
  <c r="Y191" i="10"/>
  <c r="X191" i="10"/>
  <c r="FK191" i="10"/>
  <c r="AM191" i="10"/>
  <c r="AO191" i="10"/>
  <c r="DM191" i="10" s="1"/>
  <c r="AW191" i="10"/>
  <c r="JH191" i="10"/>
  <c r="AR191" i="10"/>
  <c r="AE191" i="10"/>
  <c r="JK191" i="10"/>
  <c r="AV191" i="10"/>
  <c r="W167" i="10"/>
  <c r="JC167" i="10"/>
  <c r="AA167" i="10"/>
  <c r="JE167" i="10"/>
  <c r="AF167" i="10"/>
  <c r="JF167" i="10"/>
  <c r="AK167" i="10"/>
  <c r="AR167" i="10"/>
  <c r="AE167" i="10"/>
  <c r="JK167" i="10"/>
  <c r="JG167" i="10"/>
  <c r="AB167" i="10"/>
  <c r="X167" i="10"/>
  <c r="FK167" i="10"/>
  <c r="JH167" i="10"/>
  <c r="AO167" i="10"/>
  <c r="AV167" i="10"/>
  <c r="AN167" i="10"/>
  <c r="Y167" i="10"/>
  <c r="AW167" i="10"/>
  <c r="W175" i="10"/>
  <c r="JC175" i="10"/>
  <c r="AW175" i="10"/>
  <c r="AV175" i="10"/>
  <c r="AR175" i="10"/>
  <c r="AE175" i="10"/>
  <c r="JK175" i="10"/>
  <c r="AN175" i="10"/>
  <c r="Y175" i="10"/>
  <c r="AA175" i="10"/>
  <c r="JE175" i="10"/>
  <c r="AO175" i="10"/>
  <c r="X175" i="10"/>
  <c r="FK175" i="10"/>
  <c r="AM175" i="10"/>
  <c r="AF175" i="10"/>
  <c r="JF175" i="10"/>
  <c r="AB175" i="10"/>
  <c r="JG175" i="10"/>
  <c r="JH175" i="10"/>
  <c r="AK175" i="10"/>
  <c r="AA127" i="10"/>
  <c r="JE127" i="10"/>
  <c r="JG127" i="10"/>
  <c r="AR127" i="10"/>
  <c r="AE127" i="10"/>
  <c r="JK127" i="10"/>
  <c r="AK127" i="10"/>
  <c r="AB127" i="10"/>
  <c r="AO127" i="10"/>
  <c r="AP127" i="10"/>
  <c r="AQ127" i="10"/>
  <c r="IJ127" i="10" s="1"/>
  <c r="DP127" i="10"/>
  <c r="DN127" i="10" s="1"/>
  <c r="DO127" i="10" s="1"/>
  <c r="AV127" i="10"/>
  <c r="W127" i="10"/>
  <c r="JC127" i="10"/>
  <c r="AW127" i="10"/>
  <c r="AF127" i="10"/>
  <c r="JF127" i="10"/>
  <c r="JH127" i="10"/>
  <c r="AN127" i="10"/>
  <c r="Y127" i="10"/>
  <c r="X127" i="10"/>
  <c r="AM127" i="10"/>
  <c r="AB91" i="10"/>
  <c r="AW91" i="10"/>
  <c r="JH91" i="10"/>
  <c r="AR91" i="10"/>
  <c r="AE91" i="10"/>
  <c r="JK91" i="10"/>
  <c r="AA91" i="10"/>
  <c r="JE91" i="10"/>
  <c r="AN91" i="10"/>
  <c r="Y91" i="10"/>
  <c r="X91" i="10"/>
  <c r="FK91" i="10"/>
  <c r="AO91" i="10"/>
  <c r="DP91" i="10" s="1"/>
  <c r="DN91" i="10" s="1"/>
  <c r="DO91" i="10" s="1"/>
  <c r="JI91" i="10"/>
  <c r="AF91" i="10"/>
  <c r="JF91" i="10"/>
  <c r="W91" i="10"/>
  <c r="JC91" i="10"/>
  <c r="JG91" i="10"/>
  <c r="AK91" i="10"/>
  <c r="AV91" i="10"/>
  <c r="JH205" i="10"/>
  <c r="W205" i="10"/>
  <c r="JC205" i="10"/>
  <c r="AF205" i="10"/>
  <c r="JF205" i="10"/>
  <c r="AV205" i="10"/>
  <c r="AA205" i="10"/>
  <c r="JE205" i="10"/>
  <c r="AR205" i="10"/>
  <c r="AE205" i="10"/>
  <c r="JK205" i="10"/>
  <c r="AK205" i="10"/>
  <c r="AB205" i="10"/>
  <c r="X205" i="10"/>
  <c r="FK205" i="10"/>
  <c r="AM205" i="10"/>
  <c r="AO205" i="10"/>
  <c r="DP205" i="10" s="1"/>
  <c r="DN205" i="10" s="1"/>
  <c r="DO205" i="10" s="1"/>
  <c r="JI205" i="10"/>
  <c r="AN205" i="10"/>
  <c r="Y205" i="10"/>
  <c r="AW205" i="10"/>
  <c r="JG205" i="10"/>
  <c r="W160" i="10"/>
  <c r="JC160" i="10"/>
  <c r="AW160" i="10"/>
  <c r="AA160" i="10"/>
  <c r="JE160" i="10"/>
  <c r="AO160" i="10"/>
  <c r="DM160" i="10" s="1"/>
  <c r="AV160" i="10"/>
  <c r="X160" i="10"/>
  <c r="FK160" i="10"/>
  <c r="AN160" i="10"/>
  <c r="Y160" i="10"/>
  <c r="AF160" i="10"/>
  <c r="JF160" i="10"/>
  <c r="AR160" i="10"/>
  <c r="AE160" i="10"/>
  <c r="JK160" i="10"/>
  <c r="JH160" i="10"/>
  <c r="AB160" i="10"/>
  <c r="AK160" i="10"/>
  <c r="JG160" i="10"/>
  <c r="JG108" i="10"/>
  <c r="AO108" i="10"/>
  <c r="AA108" i="10"/>
  <c r="JE108" i="10"/>
  <c r="X108" i="10"/>
  <c r="FK108" i="10"/>
  <c r="AM108" i="10"/>
  <c r="AF108" i="10"/>
  <c r="JF108" i="10"/>
  <c r="W108" i="10"/>
  <c r="JC108" i="10"/>
  <c r="AW108" i="10"/>
  <c r="AB108" i="10"/>
  <c r="AK108" i="10"/>
  <c r="AN108" i="10"/>
  <c r="Y108" i="10"/>
  <c r="AR108" i="10"/>
  <c r="AE108" i="10"/>
  <c r="JK108" i="10"/>
  <c r="JH108" i="10"/>
  <c r="AV108" i="10"/>
  <c r="JH286" i="10"/>
  <c r="AK286" i="10"/>
  <c r="AV286" i="10"/>
  <c r="X286" i="10"/>
  <c r="FK286" i="10"/>
  <c r="AO286" i="10"/>
  <c r="DM286" i="10" s="1"/>
  <c r="AR286" i="10"/>
  <c r="AE286" i="10"/>
  <c r="JK286" i="10"/>
  <c r="JG286" i="10"/>
  <c r="AF286" i="10"/>
  <c r="JF286" i="10"/>
  <c r="AW286" i="10"/>
  <c r="W286" i="10"/>
  <c r="JC286" i="10"/>
  <c r="AA286" i="10"/>
  <c r="JE286" i="10"/>
  <c r="AB286" i="10"/>
  <c r="AN286" i="10"/>
  <c r="Y286" i="10"/>
  <c r="AA131" i="10"/>
  <c r="JE131" i="10"/>
  <c r="X131" i="10"/>
  <c r="FK131" i="10"/>
  <c r="DN131" i="10"/>
  <c r="DO131" i="10" s="1"/>
  <c r="AV131" i="10"/>
  <c r="AF131" i="10"/>
  <c r="JF131" i="10"/>
  <c r="JH131" i="10"/>
  <c r="W131" i="10"/>
  <c r="JC131" i="10"/>
  <c r="AW131" i="10"/>
  <c r="JG131" i="10"/>
  <c r="AB131" i="10"/>
  <c r="AK131" i="10"/>
  <c r="AR131" i="10"/>
  <c r="AE131" i="10"/>
  <c r="JK131" i="10"/>
  <c r="AN131" i="10"/>
  <c r="Y131" i="10"/>
  <c r="AW150" i="10"/>
  <c r="AR150" i="10"/>
  <c r="AE150" i="10"/>
  <c r="JK150" i="10"/>
  <c r="AB150" i="10"/>
  <c r="AN150" i="10"/>
  <c r="Y150" i="10"/>
  <c r="X150" i="10"/>
  <c r="FK150" i="10"/>
  <c r="AM150" i="10"/>
  <c r="AF150" i="10"/>
  <c r="JF150" i="10"/>
  <c r="JH150" i="10"/>
  <c r="AO150" i="10"/>
  <c r="DP150" i="10" s="1"/>
  <c r="DN150" i="10" s="1"/>
  <c r="W150" i="10"/>
  <c r="JC150" i="10"/>
  <c r="JG150" i="10"/>
  <c r="AA150" i="10"/>
  <c r="JE150" i="10"/>
  <c r="AV150" i="10"/>
  <c r="AK150" i="10"/>
  <c r="AA142" i="10"/>
  <c r="JE142" i="10"/>
  <c r="AK142" i="10"/>
  <c r="X142" i="10"/>
  <c r="FK142" i="10"/>
  <c r="AM142" i="10"/>
  <c r="AB142" i="10"/>
  <c r="AN142" i="10"/>
  <c r="Y142" i="10"/>
  <c r="W142" i="10"/>
  <c r="JC142" i="10"/>
  <c r="AW142" i="10"/>
  <c r="AO142" i="10"/>
  <c r="AF142" i="10"/>
  <c r="JF142" i="10"/>
  <c r="AR142" i="10"/>
  <c r="AE142" i="10"/>
  <c r="JK142" i="10"/>
  <c r="JG142" i="10"/>
  <c r="AV142" i="10"/>
  <c r="JH142" i="10"/>
  <c r="AB220" i="10"/>
  <c r="AN220" i="10"/>
  <c r="Y220" i="10"/>
  <c r="AW220" i="10"/>
  <c r="AA220" i="10"/>
  <c r="JE220" i="10"/>
  <c r="AK220" i="10"/>
  <c r="AR220" i="10"/>
  <c r="AE220" i="10"/>
  <c r="JK220" i="10"/>
  <c r="AV220" i="10"/>
  <c r="JG220" i="10"/>
  <c r="JH220" i="10"/>
  <c r="AO220" i="10"/>
  <c r="DM220" i="10" s="1"/>
  <c r="X220" i="10"/>
  <c r="FK220" i="10"/>
  <c r="AM220" i="10"/>
  <c r="AF220" i="10"/>
  <c r="JF220" i="10"/>
  <c r="W220" i="10"/>
  <c r="JC220" i="10"/>
  <c r="AB197" i="10"/>
  <c r="JH197" i="10"/>
  <c r="AV197" i="10"/>
  <c r="AF197" i="10"/>
  <c r="JF197" i="10"/>
  <c r="W197" i="10"/>
  <c r="JC197" i="10"/>
  <c r="AW197" i="10"/>
  <c r="AA197" i="10"/>
  <c r="JE197" i="10"/>
  <c r="AN197" i="10"/>
  <c r="Y197" i="10"/>
  <c r="AO197" i="10"/>
  <c r="DP197" i="10"/>
  <c r="DN197" i="10" s="1"/>
  <c r="DO197" i="10" s="1"/>
  <c r="X197" i="10"/>
  <c r="FK197" i="10"/>
  <c r="AM197" i="10"/>
  <c r="JG197" i="10"/>
  <c r="AR197" i="10"/>
  <c r="AE197" i="10"/>
  <c r="JK197" i="10"/>
  <c r="AK197" i="10"/>
  <c r="AW186" i="10"/>
  <c r="AR186" i="10"/>
  <c r="AE186" i="10"/>
  <c r="JK186" i="10"/>
  <c r="X186" i="10"/>
  <c r="AK186" i="10"/>
  <c r="AN186" i="10"/>
  <c r="Y186" i="10"/>
  <c r="AF186" i="10"/>
  <c r="JF186" i="10"/>
  <c r="JG186" i="10"/>
  <c r="AA186" i="10"/>
  <c r="JE186" i="10"/>
  <c r="AV186" i="10"/>
  <c r="JH186" i="10"/>
  <c r="AB186" i="10"/>
  <c r="AO186" i="10"/>
  <c r="W186" i="10"/>
  <c r="JC186" i="10"/>
  <c r="AV337" i="10"/>
  <c r="X337" i="10"/>
  <c r="FK337" i="10"/>
  <c r="AM337" i="10"/>
  <c r="AK337" i="10"/>
  <c r="AA337" i="10"/>
  <c r="JE337" i="10"/>
  <c r="JG337" i="10"/>
  <c r="AR337" i="10"/>
  <c r="AE337" i="10"/>
  <c r="JK337" i="10"/>
  <c r="JH337" i="10"/>
  <c r="W337" i="10"/>
  <c r="JC337" i="10"/>
  <c r="AF337" i="10"/>
  <c r="JF337" i="10"/>
  <c r="AW337" i="10"/>
  <c r="AB337" i="10"/>
  <c r="AN337" i="10"/>
  <c r="Y337" i="10"/>
  <c r="AO337" i="10"/>
  <c r="JH201" i="10"/>
  <c r="AF201" i="10"/>
  <c r="JF201" i="10"/>
  <c r="AW201" i="10"/>
  <c r="JG201" i="10"/>
  <c r="AR201" i="10"/>
  <c r="AE201" i="10"/>
  <c r="JK201" i="10"/>
  <c r="AK201" i="10"/>
  <c r="AN201" i="10"/>
  <c r="Y201" i="10"/>
  <c r="X201" i="10"/>
  <c r="AO201" i="10"/>
  <c r="DM201" i="10" s="1"/>
  <c r="W201" i="10"/>
  <c r="JC201" i="10"/>
  <c r="AB201" i="10"/>
  <c r="AA201" i="10"/>
  <c r="JE201" i="10"/>
  <c r="AV201" i="10"/>
  <c r="AO177" i="10"/>
  <c r="DM177" i="10"/>
  <c r="JI177" i="10"/>
  <c r="AF177" i="10"/>
  <c r="JF177" i="10"/>
  <c r="W177" i="10"/>
  <c r="JC177" i="10"/>
  <c r="AW177" i="10"/>
  <c r="AK177" i="10"/>
  <c r="AV177" i="10"/>
  <c r="AA177" i="10"/>
  <c r="JE177" i="10"/>
  <c r="AR177" i="10"/>
  <c r="AE177" i="10"/>
  <c r="JK177" i="10"/>
  <c r="AB177" i="10"/>
  <c r="AN177" i="10"/>
  <c r="Y177" i="10"/>
  <c r="X177" i="10"/>
  <c r="FK177" i="10"/>
  <c r="JH177" i="10"/>
  <c r="JG177" i="10"/>
  <c r="AB233" i="10"/>
  <c r="JH233" i="10"/>
  <c r="AW233" i="10"/>
  <c r="AA233" i="10"/>
  <c r="JE233" i="10"/>
  <c r="AV233" i="10"/>
  <c r="JG233" i="10"/>
  <c r="AO233" i="10"/>
  <c r="DP233" i="10" s="1"/>
  <c r="DN233" i="10" s="1"/>
  <c r="DO233" i="10" s="1"/>
  <c r="DM233" i="10"/>
  <c r="W233" i="10"/>
  <c r="JC233" i="10"/>
  <c r="AF233" i="10"/>
  <c r="JF233" i="10"/>
  <c r="AR233" i="10"/>
  <c r="AE233" i="10"/>
  <c r="JK233" i="10"/>
  <c r="AK233" i="10"/>
  <c r="AN233" i="10"/>
  <c r="Y233" i="10"/>
  <c r="X233" i="10"/>
  <c r="FK233" i="10"/>
  <c r="AM233" i="10"/>
  <c r="AV185" i="10"/>
  <c r="AR185" i="10"/>
  <c r="AE185" i="10"/>
  <c r="JK185" i="10"/>
  <c r="AA185" i="10"/>
  <c r="JE185" i="10"/>
  <c r="AN185" i="10"/>
  <c r="Y185" i="10"/>
  <c r="X185" i="10"/>
  <c r="FK185" i="10"/>
  <c r="JG185" i="10"/>
  <c r="AO185" i="10"/>
  <c r="W185" i="10"/>
  <c r="JC185" i="10"/>
  <c r="AF185" i="10"/>
  <c r="JF185" i="10"/>
  <c r="AB185" i="10"/>
  <c r="AK185" i="10"/>
  <c r="JH185" i="10"/>
  <c r="AW185" i="10"/>
  <c r="AV214" i="10"/>
  <c r="AN214" i="10"/>
  <c r="Y214" i="10"/>
  <c r="AK214" i="10"/>
  <c r="X214" i="10"/>
  <c r="AB214" i="10"/>
  <c r="AR214" i="10"/>
  <c r="AE214" i="10"/>
  <c r="JK214" i="10"/>
  <c r="JH214" i="10"/>
  <c r="JG214" i="10"/>
  <c r="AA214" i="10"/>
  <c r="JE214" i="10"/>
  <c r="AO214" i="10"/>
  <c r="DM214" i="10"/>
  <c r="W214" i="10"/>
  <c r="JC214" i="10"/>
  <c r="AF214" i="10"/>
  <c r="JF214" i="10"/>
  <c r="AW214" i="10"/>
  <c r="AK232" i="10"/>
  <c r="AA232" i="10"/>
  <c r="JE232" i="10"/>
  <c r="W232" i="10"/>
  <c r="JC232" i="10"/>
  <c r="AW232" i="10"/>
  <c r="JG232" i="10"/>
  <c r="AR232" i="10"/>
  <c r="AE232" i="10"/>
  <c r="JK232" i="10"/>
  <c r="AV232" i="10"/>
  <c r="AB232" i="10"/>
  <c r="JH232" i="10"/>
  <c r="AO232" i="10"/>
  <c r="DP232" i="10" s="1"/>
  <c r="DN232" i="10" s="1"/>
  <c r="DO232" i="10" s="1"/>
  <c r="AF232" i="10"/>
  <c r="JF232" i="10"/>
  <c r="X232" i="10"/>
  <c r="FK232" i="10"/>
  <c r="AM232" i="10"/>
  <c r="AN232" i="10"/>
  <c r="Y232" i="10"/>
  <c r="AB365" i="10"/>
  <c r="JG365" i="10"/>
  <c r="X365" i="10"/>
  <c r="FK365" i="10"/>
  <c r="AA365" i="10"/>
  <c r="JE365" i="10"/>
  <c r="AF365" i="10"/>
  <c r="JF365" i="10"/>
  <c r="AK365" i="10"/>
  <c r="W365" i="10"/>
  <c r="JC365" i="10"/>
  <c r="AW365" i="10"/>
  <c r="AV365" i="10"/>
  <c r="JH365" i="10"/>
  <c r="AO365" i="10"/>
  <c r="AR365" i="10"/>
  <c r="AE365" i="10"/>
  <c r="JK365" i="10"/>
  <c r="AN365" i="10"/>
  <c r="Y365" i="10"/>
  <c r="AF70" i="10"/>
  <c r="JF70" i="10"/>
  <c r="AA70" i="10"/>
  <c r="JE70" i="10"/>
  <c r="W70" i="10"/>
  <c r="JC70" i="10"/>
  <c r="AV70" i="10"/>
  <c r="JG70" i="10"/>
  <c r="AO70" i="10"/>
  <c r="DM70" i="10" s="1"/>
  <c r="X70" i="10"/>
  <c r="FK70" i="10"/>
  <c r="AN70" i="10"/>
  <c r="Y70" i="10"/>
  <c r="AK70" i="10"/>
  <c r="AB70" i="10"/>
  <c r="AW70" i="10"/>
  <c r="AR70" i="10"/>
  <c r="AE70" i="10"/>
  <c r="JK70" i="10"/>
  <c r="JH70" i="10"/>
  <c r="AK101" i="10"/>
  <c r="GI101" i="10"/>
  <c r="AT101" i="10" s="1"/>
  <c r="AB101" i="10"/>
  <c r="AN101" i="10"/>
  <c r="Y101" i="10"/>
  <c r="W101" i="10"/>
  <c r="JC101" i="10"/>
  <c r="AW101" i="10"/>
  <c r="AR101" i="10"/>
  <c r="AE101" i="10"/>
  <c r="JK101" i="10"/>
  <c r="AO101" i="10"/>
  <c r="DM101" i="10" s="1"/>
  <c r="X101" i="10"/>
  <c r="FK101" i="10"/>
  <c r="AF101" i="10"/>
  <c r="JF101" i="10"/>
  <c r="AV101" i="10"/>
  <c r="JG101" i="10"/>
  <c r="JH101" i="10"/>
  <c r="AA101" i="10"/>
  <c r="JE101" i="10"/>
  <c r="AB72" i="10"/>
  <c r="AR72" i="10"/>
  <c r="AE72" i="10"/>
  <c r="JK72" i="10"/>
  <c r="AN72" i="10"/>
  <c r="Y72" i="10"/>
  <c r="X72" i="10"/>
  <c r="FK72" i="10"/>
  <c r="AO72" i="10"/>
  <c r="DM72" i="10" s="1"/>
  <c r="AF72" i="10"/>
  <c r="JF72" i="10"/>
  <c r="W72" i="10"/>
  <c r="JC72" i="10"/>
  <c r="AW72" i="10"/>
  <c r="AV72" i="10"/>
  <c r="AK72" i="10"/>
  <c r="AA72" i="10"/>
  <c r="JE72" i="10"/>
  <c r="JH72" i="10"/>
  <c r="JG72" i="10"/>
  <c r="AR114" i="10"/>
  <c r="AE114" i="10"/>
  <c r="JK114" i="10"/>
  <c r="AK114" i="10"/>
  <c r="AN114" i="10"/>
  <c r="Y114" i="10"/>
  <c r="AO114" i="10"/>
  <c r="DM114" i="10"/>
  <c r="JI114" i="10"/>
  <c r="AF114" i="10"/>
  <c r="JF114" i="10"/>
  <c r="W114" i="10"/>
  <c r="JC114" i="10"/>
  <c r="X114" i="10"/>
  <c r="FK114" i="10"/>
  <c r="AM114" i="10"/>
  <c r="AA114" i="10"/>
  <c r="JE114" i="10"/>
  <c r="AV114" i="10"/>
  <c r="AB114" i="10"/>
  <c r="JH114" i="10"/>
  <c r="AW114" i="10"/>
  <c r="JG114" i="10"/>
  <c r="AW328" i="10"/>
  <c r="AR328" i="10"/>
  <c r="AE328" i="10"/>
  <c r="JK328" i="10"/>
  <c r="AA328" i="10"/>
  <c r="JE328" i="10"/>
  <c r="AV328" i="10"/>
  <c r="AN328" i="10"/>
  <c r="Y328" i="10"/>
  <c r="AO328" i="10"/>
  <c r="DP328" i="10" s="1"/>
  <c r="DN328" i="10" s="1"/>
  <c r="DO328" i="10" s="1"/>
  <c r="DM328" i="10"/>
  <c r="X328" i="10"/>
  <c r="FK328" i="10"/>
  <c r="JG328" i="10"/>
  <c r="AK328" i="10"/>
  <c r="AF328" i="10"/>
  <c r="JF328" i="10"/>
  <c r="AB328" i="10"/>
  <c r="JH328" i="10"/>
  <c r="W328" i="10"/>
  <c r="JC328" i="10"/>
  <c r="AB111" i="10"/>
  <c r="JH111" i="10"/>
  <c r="AN111" i="10"/>
  <c r="Y111" i="10"/>
  <c r="AR111" i="10"/>
  <c r="AE111" i="10"/>
  <c r="JK111" i="10"/>
  <c r="AF111" i="10"/>
  <c r="JF111" i="10"/>
  <c r="AO111" i="10"/>
  <c r="DM111" i="10" s="1"/>
  <c r="AP111" i="10"/>
  <c r="AQ111" i="10"/>
  <c r="DP111" i="10"/>
  <c r="DN111" i="10" s="1"/>
  <c r="DO111" i="10" s="1"/>
  <c r="AW111" i="10"/>
  <c r="X111" i="10"/>
  <c r="W111" i="10"/>
  <c r="JC111" i="10"/>
  <c r="JG111" i="10"/>
  <c r="AA111" i="10"/>
  <c r="JE111" i="10"/>
  <c r="AV111" i="10"/>
  <c r="AK111" i="10"/>
  <c r="W267" i="10"/>
  <c r="JC267" i="10"/>
  <c r="AK267" i="10"/>
  <c r="AN267" i="10"/>
  <c r="Y267" i="10"/>
  <c r="X267" i="10"/>
  <c r="AM267" i="10"/>
  <c r="JG267" i="10"/>
  <c r="AF267" i="10"/>
  <c r="JF267" i="10"/>
  <c r="JH267" i="10"/>
  <c r="AA267" i="10"/>
  <c r="JE267" i="10"/>
  <c r="AR267" i="10"/>
  <c r="AE267" i="10"/>
  <c r="JK267" i="10"/>
  <c r="AB267" i="10"/>
  <c r="AO267" i="10"/>
  <c r="DP267" i="10"/>
  <c r="DN267" i="10" s="1"/>
  <c r="DO267" i="10" s="1"/>
  <c r="AW267" i="10"/>
  <c r="AV267" i="10"/>
  <c r="AN219" i="10"/>
  <c r="Y219" i="10"/>
  <c r="JH219" i="10"/>
  <c r="X219" i="10"/>
  <c r="FK219" i="10"/>
  <c r="AM219" i="10"/>
  <c r="AA219" i="10"/>
  <c r="JE219" i="10"/>
  <c r="JG219" i="10"/>
  <c r="AR219" i="10"/>
  <c r="AE219" i="10"/>
  <c r="JK219" i="10"/>
  <c r="AK219" i="10"/>
  <c r="AO219" i="10"/>
  <c r="DM219" i="10" s="1"/>
  <c r="W219" i="10"/>
  <c r="JC219" i="10"/>
  <c r="AF219" i="10"/>
  <c r="JF219" i="10"/>
  <c r="AW219" i="10"/>
  <c r="AV219" i="10"/>
  <c r="AB219" i="10"/>
  <c r="AV344" i="10"/>
  <c r="JH344" i="10"/>
  <c r="AR344" i="10"/>
  <c r="AE344" i="10"/>
  <c r="JK344" i="10"/>
  <c r="AA344" i="10"/>
  <c r="JE344" i="10"/>
  <c r="AN344" i="10"/>
  <c r="Y344" i="10"/>
  <c r="AB344" i="10"/>
  <c r="X344" i="10"/>
  <c r="FK344" i="10"/>
  <c r="AO344" i="10"/>
  <c r="DM344" i="10" s="1"/>
  <c r="JI344" i="10"/>
  <c r="JG344" i="10"/>
  <c r="AF344" i="10"/>
  <c r="JF344" i="10"/>
  <c r="W344" i="10"/>
  <c r="JC344" i="10"/>
  <c r="AK344" i="10"/>
  <c r="AW344" i="10"/>
  <c r="JH31" i="10"/>
  <c r="X31" i="10"/>
  <c r="FK31" i="10"/>
  <c r="AM31" i="10"/>
  <c r="AR31" i="10"/>
  <c r="AE31" i="10"/>
  <c r="JK31" i="10"/>
  <c r="AV31" i="10"/>
  <c r="AB31" i="10"/>
  <c r="JG31" i="10"/>
  <c r="AO31" i="10"/>
  <c r="DM31" i="10" s="1"/>
  <c r="AK31" i="10"/>
  <c r="AN31" i="10"/>
  <c r="Y31" i="10"/>
  <c r="AA31" i="10"/>
  <c r="JE31" i="10"/>
  <c r="W31" i="10"/>
  <c r="JC31" i="10"/>
  <c r="AF31" i="10"/>
  <c r="JF31" i="10"/>
  <c r="AW31" i="10"/>
  <c r="AW384" i="10"/>
  <c r="JH384" i="10"/>
  <c r="X384" i="10"/>
  <c r="AM384" i="10"/>
  <c r="JG384" i="10"/>
  <c r="AB384" i="10"/>
  <c r="AR384" i="10"/>
  <c r="AE384" i="10"/>
  <c r="JK384" i="10"/>
  <c r="AN384" i="10"/>
  <c r="Y384" i="10"/>
  <c r="AF384" i="10"/>
  <c r="JF384" i="10"/>
  <c r="W384" i="10"/>
  <c r="JC384" i="10"/>
  <c r="AO384" i="10"/>
  <c r="DM384" i="10"/>
  <c r="AA384" i="10"/>
  <c r="JE384" i="10"/>
  <c r="AK384" i="10"/>
  <c r="AV384" i="10"/>
  <c r="JH200" i="10"/>
  <c r="W200" i="10"/>
  <c r="JC200" i="10"/>
  <c r="AV200" i="10"/>
  <c r="AF200" i="10"/>
  <c r="JF200" i="10"/>
  <c r="AW200" i="10"/>
  <c r="AB200" i="10"/>
  <c r="JG200" i="10"/>
  <c r="AA200" i="10"/>
  <c r="JE200" i="10"/>
  <c r="AK200" i="10"/>
  <c r="AR200" i="10"/>
  <c r="AE200" i="10"/>
  <c r="JK200" i="10"/>
  <c r="AN200" i="10"/>
  <c r="Y200" i="10"/>
  <c r="AO200" i="10"/>
  <c r="X200" i="10"/>
  <c r="FK200" i="10"/>
  <c r="AW152" i="10"/>
  <c r="AR152" i="10"/>
  <c r="AE152" i="10"/>
  <c r="JK152" i="10"/>
  <c r="AN152" i="10"/>
  <c r="Y152" i="10"/>
  <c r="JH152" i="10"/>
  <c r="X152" i="10"/>
  <c r="FK152" i="10"/>
  <c r="AV152" i="10"/>
  <c r="AO152" i="10"/>
  <c r="DP152" i="10" s="1"/>
  <c r="DN152" i="10" s="1"/>
  <c r="DO152" i="10" s="1"/>
  <c r="DM152" i="10"/>
  <c r="AB152" i="10"/>
  <c r="W152" i="10"/>
  <c r="JC152" i="10"/>
  <c r="JG152" i="10"/>
  <c r="AF152" i="10"/>
  <c r="JF152" i="10"/>
  <c r="AA152" i="10"/>
  <c r="JE152" i="10"/>
  <c r="AK152" i="10"/>
  <c r="X198" i="10"/>
  <c r="FK198" i="10"/>
  <c r="AM198" i="10"/>
  <c r="AO198" i="10"/>
  <c r="AF198" i="10"/>
  <c r="JF198" i="10"/>
  <c r="JG198" i="10"/>
  <c r="W198" i="10"/>
  <c r="JC198" i="10"/>
  <c r="AW198" i="10"/>
  <c r="AV198" i="10"/>
  <c r="AN198" i="10"/>
  <c r="Y198" i="10"/>
  <c r="AA198" i="10"/>
  <c r="JE198" i="10"/>
  <c r="AB198" i="10"/>
  <c r="AK198" i="10"/>
  <c r="JH198" i="10"/>
  <c r="AR198" i="10"/>
  <c r="AE198" i="10"/>
  <c r="JK198" i="10"/>
  <c r="X359" i="10"/>
  <c r="FK359" i="10"/>
  <c r="AO359" i="10"/>
  <c r="AN359" i="10"/>
  <c r="Y359" i="10"/>
  <c r="AR359" i="10"/>
  <c r="AE359" i="10"/>
  <c r="JK359" i="10"/>
  <c r="AB359" i="10"/>
  <c r="JH359" i="10"/>
  <c r="JG359" i="10"/>
  <c r="AF359" i="10"/>
  <c r="JF359" i="10"/>
  <c r="W359" i="10"/>
  <c r="JC359" i="10"/>
  <c r="AW359" i="10"/>
  <c r="AK359" i="10"/>
  <c r="AV359" i="10"/>
  <c r="AA359" i="10"/>
  <c r="JE359" i="10"/>
  <c r="AN96" i="10"/>
  <c r="Y96" i="10"/>
  <c r="AB96" i="10"/>
  <c r="JG96" i="10"/>
  <c r="JH96" i="10"/>
  <c r="AA96" i="10"/>
  <c r="JE96" i="10"/>
  <c r="AR96" i="10"/>
  <c r="AE96" i="10"/>
  <c r="JK96" i="10"/>
  <c r="AK96" i="10"/>
  <c r="AV96" i="10"/>
  <c r="FK96" i="10"/>
  <c r="AO96" i="10"/>
  <c r="JI96" i="10"/>
  <c r="AF96" i="10"/>
  <c r="JF96" i="10"/>
  <c r="W96" i="10"/>
  <c r="JC96" i="10"/>
  <c r="AW96" i="10"/>
  <c r="AF255" i="10"/>
  <c r="JF255" i="10"/>
  <c r="AA255" i="10"/>
  <c r="JE255" i="10"/>
  <c r="JG255" i="10"/>
  <c r="X255" i="10"/>
  <c r="FK255" i="10"/>
  <c r="AO255" i="10"/>
  <c r="DM255" i="10" s="1"/>
  <c r="AN255" i="10"/>
  <c r="Y255" i="10"/>
  <c r="AW255" i="10"/>
  <c r="W255" i="10"/>
  <c r="JC255" i="10"/>
  <c r="AV255" i="10"/>
  <c r="AR255" i="10"/>
  <c r="AE255" i="10"/>
  <c r="JK255" i="10"/>
  <c r="AB255" i="10"/>
  <c r="AK255" i="10"/>
  <c r="JH255" i="10"/>
  <c r="AK154" i="10"/>
  <c r="X154" i="10"/>
  <c r="FK154" i="10"/>
  <c r="AM154" i="10"/>
  <c r="AO154" i="10"/>
  <c r="DP154" i="10" s="1"/>
  <c r="DN154" i="10" s="1"/>
  <c r="DO154" i="10"/>
  <c r="AB154" i="10"/>
  <c r="AF154" i="10"/>
  <c r="JF154" i="10"/>
  <c r="AW154" i="10"/>
  <c r="AN154" i="10"/>
  <c r="Y154" i="10"/>
  <c r="W154" i="10"/>
  <c r="JC154" i="10"/>
  <c r="JG154" i="10"/>
  <c r="AV154" i="10"/>
  <c r="AR154" i="10"/>
  <c r="AE154" i="10"/>
  <c r="JK154" i="10"/>
  <c r="AA154" i="10"/>
  <c r="JE154" i="10"/>
  <c r="JH154" i="10"/>
  <c r="AK124" i="10"/>
  <c r="AA124" i="10"/>
  <c r="JE124" i="10"/>
  <c r="AV124" i="10"/>
  <c r="AO124" i="10"/>
  <c r="DP124" i="10" s="1"/>
  <c r="DN124" i="10" s="1"/>
  <c r="DO124" i="10" s="1"/>
  <c r="JG124" i="10"/>
  <c r="X124" i="10"/>
  <c r="FK124" i="10"/>
  <c r="W124" i="10"/>
  <c r="JC124" i="10"/>
  <c r="AF124" i="10"/>
  <c r="JF124" i="10"/>
  <c r="AR124" i="10"/>
  <c r="AE124" i="10"/>
  <c r="JK124" i="10"/>
  <c r="AN124" i="10"/>
  <c r="Y124" i="10"/>
  <c r="AW124" i="10"/>
  <c r="AB124" i="10"/>
  <c r="JH124" i="10"/>
  <c r="AN375" i="10"/>
  <c r="Y375" i="10"/>
  <c r="AR375" i="10"/>
  <c r="AE375" i="10"/>
  <c r="JK375" i="10"/>
  <c r="AA375" i="10"/>
  <c r="JE375" i="10"/>
  <c r="X375" i="10"/>
  <c r="AF375" i="10"/>
  <c r="JF375" i="10"/>
  <c r="W375" i="10"/>
  <c r="JC375" i="10"/>
  <c r="JH375" i="10"/>
  <c r="JG375" i="10"/>
  <c r="AO375" i="10"/>
  <c r="AW375" i="10"/>
  <c r="AB375" i="10"/>
  <c r="AK375" i="10"/>
  <c r="AV375" i="10"/>
  <c r="W265" i="10"/>
  <c r="JC265" i="10"/>
  <c r="AR265" i="10"/>
  <c r="AE265" i="10"/>
  <c r="JK265" i="10"/>
  <c r="AK265" i="10"/>
  <c r="AB265" i="10"/>
  <c r="AA265" i="10"/>
  <c r="JE265" i="10"/>
  <c r="AV265" i="10"/>
  <c r="JH265" i="10"/>
  <c r="JG265" i="10"/>
  <c r="AN265" i="10"/>
  <c r="Y265" i="10"/>
  <c r="X265" i="10"/>
  <c r="FK265" i="10"/>
  <c r="AM265" i="10"/>
  <c r="AO265" i="10"/>
  <c r="DM265" i="10"/>
  <c r="AF265" i="10"/>
  <c r="JF265" i="10"/>
  <c r="AW265" i="10"/>
  <c r="AN68" i="10"/>
  <c r="Y68" i="10"/>
  <c r="AK68" i="10"/>
  <c r="AA68" i="10"/>
  <c r="JE68" i="10"/>
  <c r="GI68" i="10"/>
  <c r="AT68" i="10" s="1"/>
  <c r="AR68" i="10"/>
  <c r="AE68" i="10"/>
  <c r="JK68" i="10"/>
  <c r="JH68" i="10"/>
  <c r="AB68" i="10"/>
  <c r="X68" i="10"/>
  <c r="FK68" i="10"/>
  <c r="AM68" i="10"/>
  <c r="AO68" i="10"/>
  <c r="DM68" i="10" s="1"/>
  <c r="AW68" i="10"/>
  <c r="AF68" i="10"/>
  <c r="JF68" i="10"/>
  <c r="W68" i="10"/>
  <c r="JC68" i="10"/>
  <c r="AV68" i="10"/>
  <c r="JG68" i="10"/>
  <c r="AO277" i="10"/>
  <c r="DM277" i="10" s="1"/>
  <c r="AB277" i="10"/>
  <c r="X277" i="10"/>
  <c r="AM277" i="10"/>
  <c r="AF277" i="10"/>
  <c r="JF277" i="10"/>
  <c r="JH277" i="10"/>
  <c r="W277" i="10"/>
  <c r="JC277" i="10"/>
  <c r="JG277" i="10"/>
  <c r="AR277" i="10"/>
  <c r="AE277" i="10"/>
  <c r="JK277" i="10"/>
  <c r="AK277" i="10"/>
  <c r="AV277" i="10"/>
  <c r="AN277" i="10"/>
  <c r="Y277" i="10"/>
  <c r="AW277" i="10"/>
  <c r="AA277" i="10"/>
  <c r="JE277" i="10"/>
  <c r="AB145" i="10"/>
  <c r="AR145" i="10"/>
  <c r="AE145" i="10"/>
  <c r="JK145" i="10"/>
  <c r="X145" i="10"/>
  <c r="FK145" i="10"/>
  <c r="AM145" i="10"/>
  <c r="W145" i="10"/>
  <c r="JC145" i="10"/>
  <c r="AF145" i="10"/>
  <c r="JF145" i="10"/>
  <c r="AW145" i="10"/>
  <c r="AO145" i="10"/>
  <c r="DM145" i="10"/>
  <c r="JH145" i="10"/>
  <c r="AK145" i="10"/>
  <c r="AA145" i="10"/>
  <c r="JE145" i="10"/>
  <c r="AV145" i="10"/>
  <c r="AN145" i="10"/>
  <c r="Y145" i="10"/>
  <c r="JG145" i="10"/>
  <c r="AA89" i="10"/>
  <c r="JE89" i="10"/>
  <c r="W89" i="10"/>
  <c r="JC89" i="10"/>
  <c r="JG89" i="10"/>
  <c r="AF89" i="10"/>
  <c r="JF89" i="10"/>
  <c r="AW89" i="10"/>
  <c r="AB89" i="10"/>
  <c r="AR89" i="10"/>
  <c r="AE89" i="10"/>
  <c r="JK89" i="10"/>
  <c r="AO89" i="10"/>
  <c r="DM89" i="10"/>
  <c r="AN89" i="10"/>
  <c r="Y89" i="10"/>
  <c r="JH89" i="10"/>
  <c r="X89" i="10"/>
  <c r="FK89" i="10"/>
  <c r="AM89" i="10"/>
  <c r="AK89" i="10"/>
  <c r="AV89" i="10"/>
  <c r="AA179" i="10"/>
  <c r="JE179" i="10"/>
  <c r="AV179" i="10"/>
  <c r="JH179" i="10"/>
  <c r="AB179" i="10"/>
  <c r="AK179" i="10"/>
  <c r="AR179" i="10"/>
  <c r="AE179" i="10"/>
  <c r="JK179" i="10"/>
  <c r="JG179" i="10"/>
  <c r="AN179" i="10"/>
  <c r="Y179" i="10"/>
  <c r="X179" i="10"/>
  <c r="FK179" i="10"/>
  <c r="AM179" i="10"/>
  <c r="AO179" i="10"/>
  <c r="W179" i="10"/>
  <c r="JC179" i="10"/>
  <c r="AF179" i="10"/>
  <c r="JF179" i="10"/>
  <c r="AW179" i="10"/>
  <c r="W354" i="10"/>
  <c r="JC354" i="10"/>
  <c r="AK354" i="10"/>
  <c r="AB354" i="10"/>
  <c r="X354" i="10"/>
  <c r="FK354" i="10"/>
  <c r="AV354" i="10"/>
  <c r="AO354" i="10"/>
  <c r="DM354" i="10"/>
  <c r="AF354" i="10"/>
  <c r="JF354" i="10"/>
  <c r="AW354" i="10"/>
  <c r="AN354" i="10"/>
  <c r="Y354" i="10"/>
  <c r="AA354" i="10"/>
  <c r="JE354" i="10"/>
  <c r="AR354" i="10"/>
  <c r="AE354" i="10"/>
  <c r="JK354" i="10"/>
  <c r="JG354" i="10"/>
  <c r="JH354" i="10"/>
  <c r="JG374" i="10"/>
  <c r="W374" i="10"/>
  <c r="JC374" i="10"/>
  <c r="AB374" i="10"/>
  <c r="AF374" i="10"/>
  <c r="JF374" i="10"/>
  <c r="AW374" i="10"/>
  <c r="AK374" i="10"/>
  <c r="AA374" i="10"/>
  <c r="JE374" i="10"/>
  <c r="AV374" i="10"/>
  <c r="AN374" i="10"/>
  <c r="Y374" i="10"/>
  <c r="AO374" i="10"/>
  <c r="X374" i="10"/>
  <c r="FK374" i="10"/>
  <c r="AM374" i="10"/>
  <c r="AR374" i="10"/>
  <c r="AE374" i="10"/>
  <c r="JK374" i="10"/>
  <c r="JH374" i="10"/>
  <c r="AK306" i="10"/>
  <c r="AO306" i="10"/>
  <c r="DP306" i="10"/>
  <c r="DN306" i="10" s="1"/>
  <c r="DO306" i="10" s="1"/>
  <c r="AV306" i="10"/>
  <c r="AW306" i="10"/>
  <c r="JH306" i="10"/>
  <c r="X306" i="10"/>
  <c r="AN306" i="10"/>
  <c r="Y306" i="10"/>
  <c r="AF306" i="10"/>
  <c r="JF306" i="10"/>
  <c r="W306" i="10"/>
  <c r="JC306" i="10"/>
  <c r="AB306" i="10"/>
  <c r="AR306" i="10"/>
  <c r="AE306" i="10"/>
  <c r="JK306" i="10"/>
  <c r="AA306" i="10"/>
  <c r="JE306" i="10"/>
  <c r="JG306" i="10"/>
  <c r="AN352" i="10"/>
  <c r="Y352" i="10"/>
  <c r="X352" i="10"/>
  <c r="FK352" i="10"/>
  <c r="AK352" i="10"/>
  <c r="AV352" i="10"/>
  <c r="AA352" i="10"/>
  <c r="JE352" i="10"/>
  <c r="JH352" i="10"/>
  <c r="AB352" i="10"/>
  <c r="AF352" i="10"/>
  <c r="JF352" i="10"/>
  <c r="AO352" i="10"/>
  <c r="W352" i="10"/>
  <c r="JC352" i="10"/>
  <c r="AW352" i="10"/>
  <c r="JG352" i="10"/>
  <c r="AR352" i="10"/>
  <c r="AE352" i="10"/>
  <c r="JK352" i="10"/>
  <c r="W222" i="10"/>
  <c r="JC222" i="10"/>
  <c r="AW222" i="10"/>
  <c r="AK222" i="10"/>
  <c r="AB222" i="10"/>
  <c r="AN222" i="10"/>
  <c r="Y222" i="10"/>
  <c r="X222" i="10"/>
  <c r="AM222" i="10"/>
  <c r="AF222" i="10"/>
  <c r="JF222" i="10"/>
  <c r="AO222" i="10"/>
  <c r="DP222" i="10" s="1"/>
  <c r="DN222" i="10" s="1"/>
  <c r="DO222" i="10" s="1"/>
  <c r="AV222" i="10"/>
  <c r="JH222" i="10"/>
  <c r="AR222" i="10"/>
  <c r="AE222" i="10"/>
  <c r="JK222" i="10"/>
  <c r="AA222" i="10"/>
  <c r="JE222" i="10"/>
  <c r="JG222" i="10"/>
  <c r="AK178" i="10"/>
  <c r="X178" i="10"/>
  <c r="FK178" i="10"/>
  <c r="AO178" i="10"/>
  <c r="DP178" i="10" s="1"/>
  <c r="DN178" i="10" s="1"/>
  <c r="DO178" i="10" s="1"/>
  <c r="W178" i="10"/>
  <c r="JC178" i="10"/>
  <c r="AW178" i="10"/>
  <c r="AN178" i="10"/>
  <c r="Y178" i="10"/>
  <c r="AF178" i="10"/>
  <c r="JF178" i="10"/>
  <c r="AB178" i="10"/>
  <c r="AA178" i="10"/>
  <c r="JE178" i="10"/>
  <c r="AV178" i="10"/>
  <c r="JG178" i="10"/>
  <c r="JH178" i="10"/>
  <c r="AR178" i="10"/>
  <c r="AE178" i="10"/>
  <c r="JK178" i="10"/>
  <c r="AR32" i="10"/>
  <c r="AE32" i="10"/>
  <c r="JK32" i="10"/>
  <c r="AK32" i="10"/>
  <c r="AN32" i="10"/>
  <c r="Y32" i="10"/>
  <c r="AV32" i="10"/>
  <c r="AW32" i="10"/>
  <c r="JH32" i="10"/>
  <c r="AO32" i="10"/>
  <c r="DP32" i="10" s="1"/>
  <c r="DN32" i="10" s="1"/>
  <c r="DO32" i="10" s="1"/>
  <c r="DM32" i="10"/>
  <c r="X32" i="10"/>
  <c r="AM32" i="10"/>
  <c r="AF32" i="10"/>
  <c r="JF32" i="10"/>
  <c r="W32" i="10"/>
  <c r="JC32" i="10"/>
  <c r="AB32" i="10"/>
  <c r="AA32" i="10"/>
  <c r="JE32" i="10"/>
  <c r="JG32" i="10"/>
  <c r="X331" i="10"/>
  <c r="FK331" i="10"/>
  <c r="AB331" i="10"/>
  <c r="AV331" i="10"/>
  <c r="AA331" i="10"/>
  <c r="JE331" i="10"/>
  <c r="AK331" i="10"/>
  <c r="AR331" i="10"/>
  <c r="AE331" i="10"/>
  <c r="JK331" i="10"/>
  <c r="JH331" i="10"/>
  <c r="AO331" i="10"/>
  <c r="DM331" i="10"/>
  <c r="AN331" i="10"/>
  <c r="Y331" i="10"/>
  <c r="AF331" i="10"/>
  <c r="JF331" i="10"/>
  <c r="W331" i="10"/>
  <c r="JC331" i="10"/>
  <c r="AW331" i="10"/>
  <c r="JG331" i="10"/>
  <c r="JH62" i="10"/>
  <c r="AR62" i="10"/>
  <c r="AE62" i="10"/>
  <c r="JK62" i="10"/>
  <c r="X62" i="10"/>
  <c r="FK62" i="10"/>
  <c r="AM62" i="10"/>
  <c r="AF62" i="10"/>
  <c r="JF62" i="10"/>
  <c r="W62" i="10"/>
  <c r="JC62" i="10"/>
  <c r="AW62" i="10"/>
  <c r="AB62" i="10"/>
  <c r="JG62" i="10"/>
  <c r="AO62" i="10"/>
  <c r="AA62" i="10"/>
  <c r="JE62" i="10"/>
  <c r="AN62" i="10"/>
  <c r="Y62" i="10"/>
  <c r="AV62" i="10"/>
  <c r="AK62" i="10"/>
  <c r="AK56" i="10"/>
  <c r="AB56" i="10"/>
  <c r="W56" i="10"/>
  <c r="JC56" i="10"/>
  <c r="AW56" i="10"/>
  <c r="JG56" i="10"/>
  <c r="AV56" i="10"/>
  <c r="AN56" i="10"/>
  <c r="Y56" i="10"/>
  <c r="AO56" i="10"/>
  <c r="AF56" i="10"/>
  <c r="JF56" i="10"/>
  <c r="X56" i="10"/>
  <c r="FK56" i="10"/>
  <c r="AM56" i="10"/>
  <c r="JH56" i="10"/>
  <c r="AR56" i="10"/>
  <c r="AE56" i="10"/>
  <c r="JK56" i="10"/>
  <c r="AA56" i="10"/>
  <c r="JE56" i="10"/>
  <c r="JG42" i="10"/>
  <c r="AF42" i="10"/>
  <c r="JF42" i="10"/>
  <c r="AA42" i="10"/>
  <c r="JE42" i="10"/>
  <c r="W42" i="10"/>
  <c r="JC42" i="10"/>
  <c r="JH42" i="10"/>
  <c r="AO42" i="10"/>
  <c r="DM42" i="10"/>
  <c r="AV42" i="10"/>
  <c r="AN42" i="10"/>
  <c r="Y42" i="10"/>
  <c r="X42" i="10"/>
  <c r="FK42" i="10"/>
  <c r="AM42" i="10"/>
  <c r="AW42" i="10"/>
  <c r="AK42" i="10"/>
  <c r="AR42" i="10"/>
  <c r="AE42" i="10"/>
  <c r="JK42" i="10"/>
  <c r="AB42" i="10"/>
  <c r="AK119" i="10"/>
  <c r="AN119" i="10"/>
  <c r="Y119" i="10"/>
  <c r="X119" i="10"/>
  <c r="FK119" i="10"/>
  <c r="AO119" i="10"/>
  <c r="AR119" i="10"/>
  <c r="AE119" i="10"/>
  <c r="JK119" i="10"/>
  <c r="W119" i="10"/>
  <c r="JC119" i="10"/>
  <c r="AF119" i="10"/>
  <c r="JF119" i="10"/>
  <c r="AW119" i="10"/>
  <c r="JH119" i="10"/>
  <c r="JG119" i="10"/>
  <c r="AA119" i="10"/>
  <c r="JE119" i="10"/>
  <c r="AB119" i="10"/>
  <c r="AV119" i="10"/>
  <c r="AO71" i="10"/>
  <c r="DM71" i="10"/>
  <c r="AN71" i="10"/>
  <c r="Y71" i="10"/>
  <c r="AA71" i="10"/>
  <c r="JE71" i="10"/>
  <c r="AR71" i="10"/>
  <c r="AE71" i="10"/>
  <c r="JK71" i="10"/>
  <c r="JG71" i="10"/>
  <c r="JH71" i="10"/>
  <c r="AV71" i="10"/>
  <c r="AB71" i="10"/>
  <c r="X71" i="10"/>
  <c r="W71" i="10"/>
  <c r="JC71" i="10"/>
  <c r="AF71" i="10"/>
  <c r="JF71" i="10"/>
  <c r="AW71" i="10"/>
  <c r="AK71" i="10"/>
  <c r="AB227" i="10"/>
  <c r="AV227" i="10"/>
  <c r="AR227" i="10"/>
  <c r="AE227" i="10"/>
  <c r="JK227" i="10"/>
  <c r="AK227" i="10"/>
  <c r="X227" i="10"/>
  <c r="AM227" i="10"/>
  <c r="JH227" i="10"/>
  <c r="AO227" i="10"/>
  <c r="DM227" i="10" s="1"/>
  <c r="AA227" i="10"/>
  <c r="JE227" i="10"/>
  <c r="JG227" i="10"/>
  <c r="AF227" i="10"/>
  <c r="JF227" i="10"/>
  <c r="AW227" i="10"/>
  <c r="W227" i="10"/>
  <c r="JC227" i="10"/>
  <c r="AN227" i="10"/>
  <c r="Y227" i="10"/>
  <c r="AO123" i="10"/>
  <c r="DM123" i="10" s="1"/>
  <c r="AV123" i="10"/>
  <c r="AF123" i="10"/>
  <c r="JF123" i="10"/>
  <c r="AA123" i="10"/>
  <c r="JE123" i="10"/>
  <c r="W123" i="10"/>
  <c r="JC123" i="10"/>
  <c r="AB123" i="10"/>
  <c r="JH123" i="10"/>
  <c r="AN123" i="10"/>
  <c r="Y123" i="10"/>
  <c r="JG123" i="10"/>
  <c r="AK123" i="10"/>
  <c r="X123" i="10"/>
  <c r="AM123" i="10"/>
  <c r="AW123" i="10"/>
  <c r="AR123" i="10"/>
  <c r="AE123" i="10"/>
  <c r="JK123" i="10"/>
  <c r="JH302" i="10"/>
  <c r="AN302" i="10"/>
  <c r="Y302" i="10"/>
  <c r="AB302" i="10"/>
  <c r="X302" i="10"/>
  <c r="AA302" i="10"/>
  <c r="JE302" i="10"/>
  <c r="AV302" i="10"/>
  <c r="AW302" i="10"/>
  <c r="AF302" i="10"/>
  <c r="JF302" i="10"/>
  <c r="AO302" i="10"/>
  <c r="DP302" i="10" s="1"/>
  <c r="DN302" i="10"/>
  <c r="DO302" i="10" s="1"/>
  <c r="W302" i="10"/>
  <c r="JC302" i="10"/>
  <c r="JG302" i="10"/>
  <c r="AR302" i="10"/>
  <c r="AE302" i="10"/>
  <c r="JK302" i="10"/>
  <c r="AK302" i="10"/>
  <c r="AN83" i="10"/>
  <c r="Y83" i="10"/>
  <c r="JG83" i="10"/>
  <c r="GI83" i="10"/>
  <c r="AT83" i="10" s="1"/>
  <c r="AB83" i="10"/>
  <c r="X83" i="10"/>
  <c r="FK83" i="10"/>
  <c r="AM83" i="10"/>
  <c r="AW83" i="10"/>
  <c r="AA83" i="10"/>
  <c r="JE83" i="10"/>
  <c r="JH83" i="10"/>
  <c r="AV83" i="10"/>
  <c r="AO83" i="10"/>
  <c r="DP83" i="10" s="1"/>
  <c r="DN83" i="10" s="1"/>
  <c r="DO83" i="10" s="1"/>
  <c r="AP83" i="10"/>
  <c r="AQ83" i="10"/>
  <c r="DM83" i="10"/>
  <c r="AF83" i="10"/>
  <c r="JF83" i="10"/>
  <c r="W83" i="10"/>
  <c r="JC83" i="10"/>
  <c r="AR83" i="10"/>
  <c r="AE83" i="10"/>
  <c r="JK83" i="10"/>
  <c r="AK83" i="10"/>
  <c r="X260" i="10"/>
  <c r="FK260" i="10"/>
  <c r="AO260" i="10"/>
  <c r="DM260" i="10" s="1"/>
  <c r="AN260" i="10"/>
  <c r="Y260" i="10"/>
  <c r="AR260" i="10"/>
  <c r="AE260" i="10"/>
  <c r="JK260" i="10"/>
  <c r="AA260" i="10"/>
  <c r="JE260" i="10"/>
  <c r="JG260" i="10"/>
  <c r="JH260" i="10"/>
  <c r="AF260" i="10"/>
  <c r="JF260" i="10"/>
  <c r="W260" i="10"/>
  <c r="JC260" i="10"/>
  <c r="AW260" i="10"/>
  <c r="AK260" i="10"/>
  <c r="AB260" i="10"/>
  <c r="AV260" i="10"/>
  <c r="AN196" i="10"/>
  <c r="Y196" i="10"/>
  <c r="AV196" i="10"/>
  <c r="AA196" i="10"/>
  <c r="JE196" i="10"/>
  <c r="AR196" i="10"/>
  <c r="AE196" i="10"/>
  <c r="JK196" i="10"/>
  <c r="AK196" i="10"/>
  <c r="AB196" i="10"/>
  <c r="JH196" i="10"/>
  <c r="X196" i="10"/>
  <c r="FK196" i="10"/>
  <c r="AM196" i="10"/>
  <c r="AO196" i="10"/>
  <c r="DM196" i="10" s="1"/>
  <c r="AF196" i="10"/>
  <c r="JF196" i="10"/>
  <c r="W196" i="10"/>
  <c r="JC196" i="10"/>
  <c r="AW196" i="10"/>
  <c r="JG196" i="10"/>
  <c r="AR364" i="10"/>
  <c r="AE364" i="10"/>
  <c r="JK364" i="10"/>
  <c r="AB364" i="10"/>
  <c r="JH364" i="10"/>
  <c r="AA364" i="10"/>
  <c r="JE364" i="10"/>
  <c r="AO364" i="10"/>
  <c r="W364" i="10"/>
  <c r="JC364" i="10"/>
  <c r="AW364" i="10"/>
  <c r="AK364" i="10"/>
  <c r="AN364" i="10"/>
  <c r="Y364" i="10"/>
  <c r="X364" i="10"/>
  <c r="FK364" i="10"/>
  <c r="AM364" i="10"/>
  <c r="AF364" i="10"/>
  <c r="JF364" i="10"/>
  <c r="AV364" i="10"/>
  <c r="JG364" i="10"/>
  <c r="X329" i="10"/>
  <c r="FK329" i="10"/>
  <c r="AB329" i="10"/>
  <c r="W329" i="10"/>
  <c r="JC329" i="10"/>
  <c r="AR329" i="10"/>
  <c r="AE329" i="10"/>
  <c r="JK329" i="10"/>
  <c r="AA329" i="10"/>
  <c r="JE329" i="10"/>
  <c r="JG329" i="10"/>
  <c r="AV329" i="10"/>
  <c r="AN329" i="10"/>
  <c r="Y329" i="10"/>
  <c r="AF329" i="10"/>
  <c r="JF329" i="10"/>
  <c r="AO329" i="10"/>
  <c r="DM329" i="10"/>
  <c r="AW329" i="10"/>
  <c r="JH329" i="10"/>
  <c r="AK329" i="10"/>
  <c r="JG360" i="10"/>
  <c r="W360" i="10"/>
  <c r="JC360" i="10"/>
  <c r="AW360" i="10"/>
  <c r="AV360" i="10"/>
  <c r="AR360" i="10"/>
  <c r="AE360" i="10"/>
  <c r="JK360" i="10"/>
  <c r="AA360" i="10"/>
  <c r="JE360" i="10"/>
  <c r="AK360" i="10"/>
  <c r="JH360" i="10"/>
  <c r="X360" i="10"/>
  <c r="FK360" i="10"/>
  <c r="AO360" i="10"/>
  <c r="JI360" i="10"/>
  <c r="AF360" i="10"/>
  <c r="JF360" i="10"/>
  <c r="AB360" i="10"/>
  <c r="AN360" i="10"/>
  <c r="Y360" i="10"/>
  <c r="AO52" i="10"/>
  <c r="JG52" i="10"/>
  <c r="X52" i="10"/>
  <c r="FK52" i="10"/>
  <c r="AM52" i="10"/>
  <c r="AF52" i="10"/>
  <c r="JF52" i="10"/>
  <c r="AV52" i="10"/>
  <c r="AR52" i="10"/>
  <c r="AE52" i="10"/>
  <c r="JK52" i="10"/>
  <c r="JH52" i="10"/>
  <c r="AN52" i="10"/>
  <c r="Y52" i="10"/>
  <c r="AB52" i="10"/>
  <c r="W52" i="10"/>
  <c r="JC52" i="10"/>
  <c r="AW52" i="10"/>
  <c r="AK52" i="10"/>
  <c r="AA52" i="10"/>
  <c r="JE52" i="10"/>
  <c r="AO129" i="10"/>
  <c r="JH129" i="10"/>
  <c r="AK129" i="10"/>
  <c r="JG129" i="10"/>
  <c r="AV129" i="10"/>
  <c r="AB129" i="10"/>
  <c r="AR129" i="10"/>
  <c r="AE129" i="10"/>
  <c r="JK129" i="10"/>
  <c r="AN129" i="10"/>
  <c r="Y129" i="10"/>
  <c r="X129" i="10"/>
  <c r="FK129" i="10"/>
  <c r="AM129" i="10"/>
  <c r="W129" i="10"/>
  <c r="JC129" i="10"/>
  <c r="AF129" i="10"/>
  <c r="JF129" i="10"/>
  <c r="AW129" i="10"/>
  <c r="AA129" i="10"/>
  <c r="JE129" i="10"/>
  <c r="JH81" i="10"/>
  <c r="AV81" i="10"/>
  <c r="AO81" i="10"/>
  <c r="AP81" i="10"/>
  <c r="AQ81" i="10"/>
  <c r="AA81" i="10"/>
  <c r="JE81" i="10"/>
  <c r="X81" i="10"/>
  <c r="FK81" i="10"/>
  <c r="AF81" i="10"/>
  <c r="JF81" i="10"/>
  <c r="W81" i="10"/>
  <c r="JC81" i="10"/>
  <c r="AK81" i="10"/>
  <c r="AR81" i="10"/>
  <c r="AE81" i="10"/>
  <c r="JK81" i="10"/>
  <c r="JG81" i="10"/>
  <c r="AN81" i="10"/>
  <c r="Y81" i="10"/>
  <c r="AB81" i="10"/>
  <c r="AW81" i="10"/>
  <c r="AF261" i="10"/>
  <c r="JF261" i="10"/>
  <c r="AV261" i="10"/>
  <c r="AO261" i="10"/>
  <c r="AB261" i="10"/>
  <c r="AA261" i="10"/>
  <c r="JE261" i="10"/>
  <c r="JH261" i="10"/>
  <c r="AW261" i="10"/>
  <c r="AK261" i="10"/>
  <c r="JG261" i="10"/>
  <c r="X261" i="10"/>
  <c r="FK261" i="10"/>
  <c r="AN261" i="10"/>
  <c r="Y261" i="10"/>
  <c r="W261" i="10"/>
  <c r="JC261" i="10"/>
  <c r="AR261" i="10"/>
  <c r="AE261" i="10"/>
  <c r="JK261" i="10"/>
  <c r="AW181" i="10"/>
  <c r="AF181" i="10"/>
  <c r="JF181" i="10"/>
  <c r="AO181" i="10"/>
  <c r="DM181" i="10" s="1"/>
  <c r="JG181" i="10"/>
  <c r="AK181" i="10"/>
  <c r="AA181" i="10"/>
  <c r="JE181" i="10"/>
  <c r="AB181" i="10"/>
  <c r="AV181" i="10"/>
  <c r="AR181" i="10"/>
  <c r="AE181" i="10"/>
  <c r="JK181" i="10"/>
  <c r="X181" i="10"/>
  <c r="FK181" i="10"/>
  <c r="W181" i="10"/>
  <c r="JC181" i="10"/>
  <c r="JH181" i="10"/>
  <c r="AN181" i="10"/>
  <c r="Y181" i="10"/>
  <c r="AB294" i="10"/>
  <c r="AK294" i="10"/>
  <c r="JG294" i="10"/>
  <c r="AN294" i="10"/>
  <c r="Y294" i="10"/>
  <c r="AO294" i="10"/>
  <c r="X294" i="10"/>
  <c r="FK294" i="10"/>
  <c r="AA294" i="10"/>
  <c r="JE294" i="10"/>
  <c r="AF294" i="10"/>
  <c r="JF294" i="10"/>
  <c r="AW294" i="10"/>
  <c r="W294" i="10"/>
  <c r="JC294" i="10"/>
  <c r="AR294" i="10"/>
  <c r="AE294" i="10"/>
  <c r="JK294" i="10"/>
  <c r="AV294" i="10"/>
  <c r="JH294" i="10"/>
  <c r="AR117" i="10"/>
  <c r="AE117" i="10"/>
  <c r="JK117" i="10"/>
  <c r="AB117" i="10"/>
  <c r="AN117" i="10"/>
  <c r="Y117" i="10"/>
  <c r="W117" i="10"/>
  <c r="JC117" i="10"/>
  <c r="AW117" i="10"/>
  <c r="AF117" i="10"/>
  <c r="JF117" i="10"/>
  <c r="JG117" i="10"/>
  <c r="JH117" i="10"/>
  <c r="AV117" i="10"/>
  <c r="AA117" i="10"/>
  <c r="JE117" i="10"/>
  <c r="X117" i="10"/>
  <c r="FK117" i="10"/>
  <c r="AM117" i="10"/>
  <c r="AO117" i="10"/>
  <c r="AK117" i="10"/>
  <c r="X69" i="10"/>
  <c r="FK69" i="10"/>
  <c r="AM69" i="10"/>
  <c r="GI69" i="10"/>
  <c r="AT69" i="10" s="1"/>
  <c r="AO69" i="10"/>
  <c r="AP69" i="10"/>
  <c r="AQ69" i="10"/>
  <c r="AR69" i="10"/>
  <c r="AE69" i="10"/>
  <c r="JK69" i="10"/>
  <c r="AK69" i="10"/>
  <c r="JH69" i="10"/>
  <c r="JG69" i="10"/>
  <c r="AB69" i="10"/>
  <c r="AN69" i="10"/>
  <c r="Y69" i="10"/>
  <c r="AF69" i="10"/>
  <c r="JF69" i="10"/>
  <c r="W69" i="10"/>
  <c r="JC69" i="10"/>
  <c r="AW69" i="10"/>
  <c r="AV69" i="10"/>
  <c r="AA69" i="10"/>
  <c r="JE69" i="10"/>
  <c r="AR247" i="10"/>
  <c r="AE247" i="10"/>
  <c r="JK247" i="10"/>
  <c r="X247" i="10"/>
  <c r="FK247" i="10"/>
  <c r="AK247" i="10"/>
  <c r="AF247" i="10"/>
  <c r="JF247" i="10"/>
  <c r="AA247" i="10"/>
  <c r="JE247" i="10"/>
  <c r="W247" i="10"/>
  <c r="JC247" i="10"/>
  <c r="AB247" i="10"/>
  <c r="AW247" i="10"/>
  <c r="AV247" i="10"/>
  <c r="JG247" i="10"/>
  <c r="JH247" i="10"/>
  <c r="AO247" i="10"/>
  <c r="DM247" i="10"/>
  <c r="AN247" i="10"/>
  <c r="Y247" i="10"/>
  <c r="AV363" i="10"/>
  <c r="X363" i="10"/>
  <c r="AB363" i="10"/>
  <c r="AW363" i="10"/>
  <c r="AA363" i="10"/>
  <c r="JE363" i="10"/>
  <c r="AK363" i="10"/>
  <c r="JG363" i="10"/>
  <c r="AR363" i="10"/>
  <c r="AE363" i="10"/>
  <c r="JK363" i="10"/>
  <c r="JH363" i="10"/>
  <c r="AO363" i="10"/>
  <c r="DP363" i="10" s="1"/>
  <c r="DN363" i="10" s="1"/>
  <c r="DO363" i="10" s="1"/>
  <c r="W363" i="10"/>
  <c r="JC363" i="10"/>
  <c r="AF363" i="10"/>
  <c r="JF363" i="10"/>
  <c r="AN363" i="10"/>
  <c r="Y363" i="10"/>
  <c r="AR78" i="10"/>
  <c r="AE78" i="10"/>
  <c r="JK78" i="10"/>
  <c r="AK78" i="10"/>
  <c r="AV78" i="10"/>
  <c r="AO78" i="10"/>
  <c r="DP78" i="10" s="1"/>
  <c r="DN78" i="10" s="1"/>
  <c r="DO78" i="10" s="1"/>
  <c r="AP78" i="10"/>
  <c r="AQ78" i="10"/>
  <c r="IJ78" i="10" s="1"/>
  <c r="DM78" i="10"/>
  <c r="JG78" i="10"/>
  <c r="X78" i="10"/>
  <c r="FK78" i="10"/>
  <c r="AA78" i="10"/>
  <c r="JE78" i="10"/>
  <c r="AF78" i="10"/>
  <c r="JF78" i="10"/>
  <c r="W78" i="10"/>
  <c r="JC78" i="10"/>
  <c r="AW78" i="10"/>
  <c r="AN78" i="10"/>
  <c r="Y78" i="10"/>
  <c r="AB78" i="10"/>
  <c r="JH78" i="10"/>
  <c r="X236" i="10"/>
  <c r="FK236" i="10"/>
  <c r="AO236" i="10"/>
  <c r="DP236" i="10"/>
  <c r="DN236" i="10" s="1"/>
  <c r="DO236" i="10"/>
  <c r="AV236" i="10"/>
  <c r="AK236" i="10"/>
  <c r="AR236" i="10"/>
  <c r="AE236" i="10"/>
  <c r="JK236" i="10"/>
  <c r="JG236" i="10"/>
  <c r="AN236" i="10"/>
  <c r="Y236" i="10"/>
  <c r="AB236" i="10"/>
  <c r="JH236" i="10"/>
  <c r="W236" i="10"/>
  <c r="JC236" i="10"/>
  <c r="AF236" i="10"/>
  <c r="JF236" i="10"/>
  <c r="AW236" i="10"/>
  <c r="AA236" i="10"/>
  <c r="JE236" i="10"/>
  <c r="JH350" i="10"/>
  <c r="AO350" i="10"/>
  <c r="AA350" i="10"/>
  <c r="JE350" i="10"/>
  <c r="AB350" i="10"/>
  <c r="AN350" i="10"/>
  <c r="Y350" i="10"/>
  <c r="AF350" i="10"/>
  <c r="JF350" i="10"/>
  <c r="JG350" i="10"/>
  <c r="X350" i="10"/>
  <c r="FK350" i="10"/>
  <c r="AM350" i="10"/>
  <c r="W350" i="10"/>
  <c r="JC350" i="10"/>
  <c r="AW350" i="10"/>
  <c r="AK350" i="10"/>
  <c r="AR350" i="10"/>
  <c r="AE350" i="10"/>
  <c r="JK350" i="10"/>
  <c r="AV350" i="10"/>
  <c r="JH82" i="10"/>
  <c r="AF82" i="10"/>
  <c r="JF82" i="10"/>
  <c r="AW82" i="10"/>
  <c r="X82" i="10"/>
  <c r="FK82" i="10"/>
  <c r="AB82" i="10"/>
  <c r="AN82" i="10"/>
  <c r="Y82" i="10"/>
  <c r="W82" i="10"/>
  <c r="JC82" i="10"/>
  <c r="AR82" i="10"/>
  <c r="AE82" i="10"/>
  <c r="JK82" i="10"/>
  <c r="AK82" i="10"/>
  <c r="AA82" i="10"/>
  <c r="JE82" i="10"/>
  <c r="AV82" i="10"/>
  <c r="DP82" i="10"/>
  <c r="DN82" i="10" s="1"/>
  <c r="DO82" i="10" s="1"/>
  <c r="DM82" i="10"/>
  <c r="JG82" i="10"/>
  <c r="AF252" i="10"/>
  <c r="JF252" i="10"/>
  <c r="W252" i="10"/>
  <c r="JC252" i="10"/>
  <c r="AW252" i="10"/>
  <c r="AV252" i="10"/>
  <c r="AB252" i="10"/>
  <c r="AA252" i="10"/>
  <c r="JE252" i="10"/>
  <c r="JH252" i="10"/>
  <c r="AN252" i="10"/>
  <c r="Y252" i="10"/>
  <c r="AO252" i="10"/>
  <c r="DP252" i="10"/>
  <c r="DN252" i="10"/>
  <c r="DO252" i="10" s="1"/>
  <c r="AK252" i="10"/>
  <c r="X252" i="10"/>
  <c r="JG252" i="10"/>
  <c r="AR252" i="10"/>
  <c r="AE252" i="10"/>
  <c r="JK252" i="10"/>
  <c r="JG199" i="10"/>
  <c r="AV199" i="10"/>
  <c r="AF199" i="10"/>
  <c r="JF199" i="10"/>
  <c r="JH199" i="10"/>
  <c r="AW199" i="10"/>
  <c r="AB199" i="10"/>
  <c r="AN199" i="10"/>
  <c r="Y199" i="10"/>
  <c r="X199" i="10"/>
  <c r="FK199" i="10"/>
  <c r="AM199" i="10"/>
  <c r="AO199" i="10"/>
  <c r="DM199" i="10" s="1"/>
  <c r="W199" i="10"/>
  <c r="JC199" i="10"/>
  <c r="AK199" i="10"/>
  <c r="AR199" i="10"/>
  <c r="AE199" i="10"/>
  <c r="JK199" i="10"/>
  <c r="AA199" i="10"/>
  <c r="JE199" i="10"/>
  <c r="AN63" i="10"/>
  <c r="Y63" i="10"/>
  <c r="JG63" i="10"/>
  <c r="AB63" i="10"/>
  <c r="AA63" i="10"/>
  <c r="JE63" i="10"/>
  <c r="AK63" i="10"/>
  <c r="AR63" i="10"/>
  <c r="AE63" i="10"/>
  <c r="JK63" i="10"/>
  <c r="AV63" i="10"/>
  <c r="JH63" i="10"/>
  <c r="W63" i="10"/>
  <c r="JC63" i="10"/>
  <c r="X63" i="10"/>
  <c r="AM63" i="10"/>
  <c r="AF63" i="10"/>
  <c r="JF63" i="10"/>
  <c r="AO63" i="10"/>
  <c r="AW63" i="10"/>
  <c r="X316" i="10"/>
  <c r="FK316" i="10"/>
  <c r="AM316" i="10"/>
  <c r="AO316" i="10"/>
  <c r="DM316" i="10" s="1"/>
  <c r="DP316" i="10"/>
  <c r="DN316" i="10" s="1"/>
  <c r="DO316" i="10" s="1"/>
  <c r="AV316" i="10"/>
  <c r="AK316" i="10"/>
  <c r="AN316" i="10"/>
  <c r="Y316" i="10"/>
  <c r="AB316" i="10"/>
  <c r="JH316" i="10"/>
  <c r="AR316" i="10"/>
  <c r="AE316" i="10"/>
  <c r="JK316" i="10"/>
  <c r="AA316" i="10"/>
  <c r="JE316" i="10"/>
  <c r="JG316" i="10"/>
  <c r="AW316" i="10"/>
  <c r="AF316" i="10"/>
  <c r="JF316" i="10"/>
  <c r="W316" i="10"/>
  <c r="JC316" i="10"/>
  <c r="GI79" i="10"/>
  <c r="AT79" i="10" s="1"/>
  <c r="AR79" i="10"/>
  <c r="AE79" i="10"/>
  <c r="JK79" i="10"/>
  <c r="JG79" i="10"/>
  <c r="AN79" i="10"/>
  <c r="Y79" i="10"/>
  <c r="AO79" i="10"/>
  <c r="AB79" i="10"/>
  <c r="X79" i="10"/>
  <c r="FK79" i="10"/>
  <c r="AM79" i="10"/>
  <c r="W79" i="10"/>
  <c r="JC79" i="10"/>
  <c r="AF79" i="10"/>
  <c r="JF79" i="10"/>
  <c r="AW79" i="10"/>
  <c r="AA79" i="10"/>
  <c r="JE79" i="10"/>
  <c r="AK79" i="10"/>
  <c r="AV79" i="10"/>
  <c r="JH79" i="10"/>
  <c r="W208" i="10"/>
  <c r="JC208" i="10"/>
  <c r="AW208" i="10"/>
  <c r="AR208" i="10"/>
  <c r="AE208" i="10"/>
  <c r="JK208" i="10"/>
  <c r="AA208" i="10"/>
  <c r="JE208" i="10"/>
  <c r="X208" i="10"/>
  <c r="FK208" i="10"/>
  <c r="AM208" i="10"/>
  <c r="AV208" i="10"/>
  <c r="AO208" i="10"/>
  <c r="DP208" i="10" s="1"/>
  <c r="AN208" i="10"/>
  <c r="Y208" i="10"/>
  <c r="AF208" i="10"/>
  <c r="JF208" i="10"/>
  <c r="JH208" i="10"/>
  <c r="AB208" i="10"/>
  <c r="AK208" i="10"/>
  <c r="JG208" i="10"/>
  <c r="AR94" i="10"/>
  <c r="AE94" i="10"/>
  <c r="JK94" i="10"/>
  <c r="AN94" i="10"/>
  <c r="Y94" i="10"/>
  <c r="JH94" i="10"/>
  <c r="AK94" i="10"/>
  <c r="AF94" i="10"/>
  <c r="JF94" i="10"/>
  <c r="AW94" i="10"/>
  <c r="W94" i="10"/>
  <c r="JC94" i="10"/>
  <c r="AV94" i="10"/>
  <c r="AB94" i="10"/>
  <c r="AA94" i="10"/>
  <c r="JE94" i="10"/>
  <c r="AO94" i="10"/>
  <c r="AP94" i="10"/>
  <c r="AQ94" i="10"/>
  <c r="IJ94" i="10" s="1"/>
  <c r="X94" i="10"/>
  <c r="FK94" i="10"/>
  <c r="JG94" i="10"/>
  <c r="AN240" i="10"/>
  <c r="Y240" i="10"/>
  <c r="AB240" i="10"/>
  <c r="AK240" i="10"/>
  <c r="JG240" i="10"/>
  <c r="AO240" i="10"/>
  <c r="DP240" i="10" s="1"/>
  <c r="DM240" i="10"/>
  <c r="AV240" i="10"/>
  <c r="AR240" i="10"/>
  <c r="AE240" i="10"/>
  <c r="JK240" i="10"/>
  <c r="JH240" i="10"/>
  <c r="AA240" i="10"/>
  <c r="JE240" i="10"/>
  <c r="X240" i="10"/>
  <c r="FK240" i="10"/>
  <c r="AF240" i="10"/>
  <c r="JF240" i="10"/>
  <c r="W240" i="10"/>
  <c r="JC240" i="10"/>
  <c r="AW240" i="10"/>
  <c r="X321" i="10"/>
  <c r="FK321" i="10"/>
  <c r="AF321" i="10"/>
  <c r="JF321" i="10"/>
  <c r="AV321" i="10"/>
  <c r="AA321" i="10"/>
  <c r="JE321" i="10"/>
  <c r="JH321" i="10"/>
  <c r="AK321" i="10"/>
  <c r="AN321" i="10"/>
  <c r="Y321" i="10"/>
  <c r="JG321" i="10"/>
  <c r="AO321" i="10"/>
  <c r="DM321" i="10"/>
  <c r="AW321" i="10"/>
  <c r="W321" i="10"/>
  <c r="JC321" i="10"/>
  <c r="AB321" i="10"/>
  <c r="AR321" i="10"/>
  <c r="AE321" i="10"/>
  <c r="JK321" i="10"/>
  <c r="AB340" i="10"/>
  <c r="AK340" i="10"/>
  <c r="AA340" i="10"/>
  <c r="JE340" i="10"/>
  <c r="AN340" i="10"/>
  <c r="Y340" i="10"/>
  <c r="X340" i="10"/>
  <c r="FK340" i="10"/>
  <c r="AM340" i="10"/>
  <c r="AO340" i="10"/>
  <c r="DM340" i="10"/>
  <c r="AF340" i="10"/>
  <c r="JF340" i="10"/>
  <c r="W340" i="10"/>
  <c r="JC340" i="10"/>
  <c r="AW340" i="10"/>
  <c r="AV340" i="10"/>
  <c r="AR340" i="10"/>
  <c r="AE340" i="10"/>
  <c r="JK340" i="10"/>
  <c r="JH340" i="10"/>
  <c r="JG340" i="10"/>
  <c r="AB98" i="10"/>
  <c r="AK98" i="10"/>
  <c r="X98" i="10"/>
  <c r="AM98" i="10"/>
  <c r="AO98" i="10"/>
  <c r="DM98" i="10" s="1"/>
  <c r="AF98" i="10"/>
  <c r="JF98" i="10"/>
  <c r="AA98" i="10"/>
  <c r="JE98" i="10"/>
  <c r="AW98" i="10"/>
  <c r="AN98" i="10"/>
  <c r="Y98" i="10"/>
  <c r="W98" i="10"/>
  <c r="JC98" i="10"/>
  <c r="JG98" i="10"/>
  <c r="AV98" i="10"/>
  <c r="JH98" i="10"/>
  <c r="AR98" i="10"/>
  <c r="AE98" i="10"/>
  <c r="JK98" i="10"/>
  <c r="AF164" i="10"/>
  <c r="JF164" i="10"/>
  <c r="AW164" i="10"/>
  <c r="AN164" i="10"/>
  <c r="Y164" i="10"/>
  <c r="JG164" i="10"/>
  <c r="AA164" i="10"/>
  <c r="JE164" i="10"/>
  <c r="AR164" i="10"/>
  <c r="AE164" i="10"/>
  <c r="JK164" i="10"/>
  <c r="W164" i="10"/>
  <c r="JC164" i="10"/>
  <c r="AV164" i="10"/>
  <c r="JH164" i="10"/>
  <c r="AK164" i="10"/>
  <c r="AB164" i="10"/>
  <c r="AO164" i="10"/>
  <c r="DM164" i="10" s="1"/>
  <c r="JI164" i="10"/>
  <c r="X164" i="10"/>
  <c r="FK164" i="10"/>
  <c r="AM164" i="10"/>
  <c r="W388" i="10"/>
  <c r="JC388" i="10"/>
  <c r="AV388" i="10"/>
  <c r="AK388" i="10"/>
  <c r="AO388" i="10"/>
  <c r="AF388" i="10"/>
  <c r="JF388" i="10"/>
  <c r="AN388" i="10"/>
  <c r="Y388" i="10"/>
  <c r="AI382" i="15"/>
  <c r="JG388" i="10"/>
  <c r="X388" i="10"/>
  <c r="FK388" i="10"/>
  <c r="AM388" i="10"/>
  <c r="AW388" i="10"/>
  <c r="JH388" i="10"/>
  <c r="AR388" i="10"/>
  <c r="AE388" i="10"/>
  <c r="JK388" i="10"/>
  <c r="AA388" i="10"/>
  <c r="JE388" i="10"/>
  <c r="AB388" i="10"/>
  <c r="AW257" i="10"/>
  <c r="W257" i="10"/>
  <c r="JC257" i="10"/>
  <c r="AA257" i="10"/>
  <c r="JE257" i="10"/>
  <c r="AO257" i="10"/>
  <c r="AR257" i="10"/>
  <c r="AE257" i="10"/>
  <c r="JK257" i="10"/>
  <c r="X257" i="10"/>
  <c r="FK257" i="10"/>
  <c r="AB257" i="10"/>
  <c r="AV257" i="10"/>
  <c r="AK257" i="10"/>
  <c r="JH257" i="10"/>
  <c r="JG257" i="10"/>
  <c r="AN257" i="10"/>
  <c r="Y257" i="10"/>
  <c r="AF257" i="10"/>
  <c r="JF257" i="10"/>
  <c r="JG217" i="10"/>
  <c r="AB217" i="10"/>
  <c r="AO217" i="10"/>
  <c r="W217" i="10"/>
  <c r="JC217" i="10"/>
  <c r="AF217" i="10"/>
  <c r="JF217" i="10"/>
  <c r="AR217" i="10"/>
  <c r="AE217" i="10"/>
  <c r="JK217" i="10"/>
  <c r="AK217" i="10"/>
  <c r="AA217" i="10"/>
  <c r="JE217" i="10"/>
  <c r="AN217" i="10"/>
  <c r="Y217" i="10"/>
  <c r="X217" i="10"/>
  <c r="FK217" i="10"/>
  <c r="JH217" i="10"/>
  <c r="AW217" i="10"/>
  <c r="AV217" i="10"/>
  <c r="AK304" i="10"/>
  <c r="AF304" i="10"/>
  <c r="JF304" i="10"/>
  <c r="W304" i="10"/>
  <c r="JC304" i="10"/>
  <c r="AW304" i="10"/>
  <c r="AR304" i="10"/>
  <c r="AE304" i="10"/>
  <c r="JK304" i="10"/>
  <c r="AA304" i="10"/>
  <c r="JE304" i="10"/>
  <c r="X304" i="10"/>
  <c r="FK304" i="10"/>
  <c r="AO304" i="10"/>
  <c r="AN304" i="10"/>
  <c r="Y304" i="10"/>
  <c r="JG304" i="10"/>
  <c r="AV304" i="10"/>
  <c r="JH304" i="10"/>
  <c r="AB304" i="10"/>
  <c r="JH137" i="10"/>
  <c r="X137" i="10"/>
  <c r="FK137" i="10"/>
  <c r="AM137" i="10"/>
  <c r="JG137" i="10"/>
  <c r="W137" i="10"/>
  <c r="JC137" i="10"/>
  <c r="AF137" i="10"/>
  <c r="JF137" i="10"/>
  <c r="AW137" i="10"/>
  <c r="AK137" i="10"/>
  <c r="AV137" i="10"/>
  <c r="AN137" i="10"/>
  <c r="Y137" i="10"/>
  <c r="AB137" i="10"/>
  <c r="AO137" i="10"/>
  <c r="DP137" i="10" s="1"/>
  <c r="DN137" i="10" s="1"/>
  <c r="DO137" i="10" s="1"/>
  <c r="AP137" i="10"/>
  <c r="AQ137" i="10"/>
  <c r="IJ137" i="10" s="1"/>
  <c r="AR137" i="10"/>
  <c r="AE137" i="10"/>
  <c r="JK137" i="10"/>
  <c r="AA137" i="10"/>
  <c r="JE137" i="10"/>
  <c r="AR246" i="10"/>
  <c r="AE246" i="10"/>
  <c r="JK246" i="10"/>
  <c r="JH246" i="10"/>
  <c r="AB246" i="10"/>
  <c r="AV246" i="10"/>
  <c r="AN246" i="10"/>
  <c r="Y246" i="10"/>
  <c r="AO246" i="10"/>
  <c r="DM246" i="10" s="1"/>
  <c r="DP246" i="10"/>
  <c r="DN246" i="10" s="1"/>
  <c r="DO246" i="10" s="1"/>
  <c r="X246" i="10"/>
  <c r="FK246" i="10"/>
  <c r="AF246" i="10"/>
  <c r="JF246" i="10"/>
  <c r="W246" i="10"/>
  <c r="JC246" i="10"/>
  <c r="AW246" i="10"/>
  <c r="AK246" i="10"/>
  <c r="AA246" i="10"/>
  <c r="JE246" i="10"/>
  <c r="JG246" i="10"/>
  <c r="AA378" i="10"/>
  <c r="JE378" i="10"/>
  <c r="JG378" i="10"/>
  <c r="JH378" i="10"/>
  <c r="AK378" i="10"/>
  <c r="X378" i="10"/>
  <c r="FK378" i="10"/>
  <c r="AM378" i="10"/>
  <c r="AO378" i="10"/>
  <c r="AV378" i="10"/>
  <c r="AR378" i="10"/>
  <c r="AE378" i="10"/>
  <c r="JK378" i="10"/>
  <c r="AB378" i="10"/>
  <c r="AN378" i="10"/>
  <c r="Y378" i="10"/>
  <c r="AF378" i="10"/>
  <c r="JF378" i="10"/>
  <c r="W378" i="10"/>
  <c r="JC378" i="10"/>
  <c r="AW378" i="10"/>
  <c r="AV322" i="10"/>
  <c r="AR322" i="10"/>
  <c r="AE322" i="10"/>
  <c r="JK322" i="10"/>
  <c r="AO322" i="10"/>
  <c r="JI322" i="10"/>
  <c r="AN322" i="10"/>
  <c r="Y322" i="10"/>
  <c r="X322" i="10"/>
  <c r="AB322" i="10"/>
  <c r="AW322" i="10"/>
  <c r="W322" i="10"/>
  <c r="JC322" i="10"/>
  <c r="AK322" i="10"/>
  <c r="JH322" i="10"/>
  <c r="AA322" i="10"/>
  <c r="JE322" i="10"/>
  <c r="JG322" i="10"/>
  <c r="AF322" i="10"/>
  <c r="JF322" i="10"/>
  <c r="AF355" i="10"/>
  <c r="JF355" i="10"/>
  <c r="AN355" i="10"/>
  <c r="Y355" i="10"/>
  <c r="AA355" i="10"/>
  <c r="JE355" i="10"/>
  <c r="JG355" i="10"/>
  <c r="AW355" i="10"/>
  <c r="JH355" i="10"/>
  <c r="X355" i="10"/>
  <c r="FK355" i="10"/>
  <c r="AO355" i="10"/>
  <c r="DP355" i="10" s="1"/>
  <c r="DN355" i="10" s="1"/>
  <c r="DO355" i="10" s="1"/>
  <c r="W355" i="10"/>
  <c r="JC355" i="10"/>
  <c r="AR355" i="10"/>
  <c r="AE355" i="10"/>
  <c r="JK355" i="10"/>
  <c r="AV355" i="10"/>
  <c r="AK355" i="10"/>
  <c r="AB355" i="10"/>
  <c r="AO149" i="10"/>
  <c r="DP149" i="10" s="1"/>
  <c r="DN149" i="10"/>
  <c r="DO149" i="10" s="1"/>
  <c r="JH149" i="10"/>
  <c r="AA149" i="10"/>
  <c r="JE149" i="10"/>
  <c r="JG149" i="10"/>
  <c r="AK149" i="10"/>
  <c r="AN149" i="10"/>
  <c r="Y149" i="10"/>
  <c r="AW149" i="10"/>
  <c r="AR149" i="10"/>
  <c r="AE149" i="10"/>
  <c r="JK149" i="10"/>
  <c r="AV149" i="10"/>
  <c r="AB149" i="10"/>
  <c r="X149" i="10"/>
  <c r="FK149" i="10"/>
  <c r="AM149" i="10"/>
  <c r="W149" i="10"/>
  <c r="JC149" i="10"/>
  <c r="AF149" i="10"/>
  <c r="JF149" i="10"/>
  <c r="JH43" i="10"/>
  <c r="AN43" i="10"/>
  <c r="Y43" i="10"/>
  <c r="AK43" i="10"/>
  <c r="AR43" i="10"/>
  <c r="AE43" i="10"/>
  <c r="JK43" i="10"/>
  <c r="AA43" i="10"/>
  <c r="JE43" i="10"/>
  <c r="X43" i="10"/>
  <c r="FK43" i="10"/>
  <c r="W43" i="10"/>
  <c r="JC43" i="10"/>
  <c r="AF43" i="10"/>
  <c r="JF43" i="10"/>
  <c r="AO43" i="10"/>
  <c r="AW43" i="10"/>
  <c r="JG43" i="10"/>
  <c r="AV43" i="10"/>
  <c r="AB43" i="10"/>
  <c r="AB372" i="10"/>
  <c r="W372" i="10"/>
  <c r="JC372" i="10"/>
  <c r="AR372" i="10"/>
  <c r="AE372" i="10"/>
  <c r="JK372" i="10"/>
  <c r="AK372" i="10"/>
  <c r="AA372" i="10"/>
  <c r="JE372" i="10"/>
  <c r="X372" i="10"/>
  <c r="FK372" i="10"/>
  <c r="JH372" i="10"/>
  <c r="JG372" i="10"/>
  <c r="AV372" i="10"/>
  <c r="AW372" i="10"/>
  <c r="AO372" i="10"/>
  <c r="DM372" i="10" s="1"/>
  <c r="JI372" i="10"/>
  <c r="AF372" i="10"/>
  <c r="JF372" i="10"/>
  <c r="AN372" i="10"/>
  <c r="Y372" i="10"/>
  <c r="JH53" i="10"/>
  <c r="AA53" i="10"/>
  <c r="JE53" i="10"/>
  <c r="GI53" i="10"/>
  <c r="AT53" i="10" s="1"/>
  <c r="AR53" i="10"/>
  <c r="AE53" i="10"/>
  <c r="JK53" i="10"/>
  <c r="AK53" i="10"/>
  <c r="AV53" i="10"/>
  <c r="AO53" i="10"/>
  <c r="DM53" i="10" s="1"/>
  <c r="AN53" i="10"/>
  <c r="Y53" i="10"/>
  <c r="W53" i="10"/>
  <c r="JC53" i="10"/>
  <c r="AW53" i="10"/>
  <c r="AF53" i="10"/>
  <c r="JF53" i="10"/>
  <c r="X53" i="10"/>
  <c r="FK53" i="10"/>
  <c r="AM53" i="10"/>
  <c r="AB53" i="10"/>
  <c r="JG53" i="10"/>
  <c r="AR215" i="10"/>
  <c r="AE215" i="10"/>
  <c r="JK215" i="10"/>
  <c r="AW215" i="10"/>
  <c r="AN215" i="10"/>
  <c r="Y215" i="10"/>
  <c r="JG215" i="10"/>
  <c r="AB215" i="10"/>
  <c r="AA215" i="10"/>
  <c r="JE215" i="10"/>
  <c r="X215" i="10"/>
  <c r="FK215" i="10"/>
  <c r="AO215" i="10"/>
  <c r="W215" i="10"/>
  <c r="JC215" i="10"/>
  <c r="AF215" i="10"/>
  <c r="JF215" i="10"/>
  <c r="AV215" i="10"/>
  <c r="AK215" i="10"/>
  <c r="JH215" i="10"/>
  <c r="JH383" i="10"/>
  <c r="X383" i="10"/>
  <c r="FK383" i="10"/>
  <c r="AM383" i="10"/>
  <c r="AK383" i="10"/>
  <c r="AV383" i="10"/>
  <c r="AO383" i="10"/>
  <c r="DP383" i="10" s="1"/>
  <c r="DN383" i="10" s="1"/>
  <c r="DO383" i="10" s="1"/>
  <c r="AW383" i="10"/>
  <c r="AN383" i="10"/>
  <c r="Y383" i="10"/>
  <c r="AF383" i="10"/>
  <c r="JF383" i="10"/>
  <c r="AB383" i="10"/>
  <c r="W383" i="10"/>
  <c r="JC383" i="10"/>
  <c r="AA383" i="10"/>
  <c r="JE383" i="10"/>
  <c r="AR383" i="10"/>
  <c r="AE383" i="10"/>
  <c r="JK383" i="10"/>
  <c r="JG383" i="10"/>
  <c r="AW291" i="10"/>
  <c r="W291" i="10"/>
  <c r="JC291" i="10"/>
  <c r="AR291" i="10"/>
  <c r="AE291" i="10"/>
  <c r="JK291" i="10"/>
  <c r="AA291" i="10"/>
  <c r="JE291" i="10"/>
  <c r="JG291" i="10"/>
  <c r="AB291" i="10"/>
  <c r="AV291" i="10"/>
  <c r="JH291" i="10"/>
  <c r="AN291" i="10"/>
  <c r="Y291" i="10"/>
  <c r="AO291" i="10"/>
  <c r="DM291" i="10"/>
  <c r="X291" i="10"/>
  <c r="FK291" i="10"/>
  <c r="AM291" i="10"/>
  <c r="AK291" i="10"/>
  <c r="AF291" i="10"/>
  <c r="JF291" i="10"/>
  <c r="AR299" i="10"/>
  <c r="AE299" i="10"/>
  <c r="JK299" i="10"/>
  <c r="AF299" i="10"/>
  <c r="JF299" i="10"/>
  <c r="AB299" i="10"/>
  <c r="JH299" i="10"/>
  <c r="AK299" i="10"/>
  <c r="AN299" i="10"/>
  <c r="Y299" i="10"/>
  <c r="AO299" i="10"/>
  <c r="DM299" i="10"/>
  <c r="X299" i="10"/>
  <c r="AM299" i="10"/>
  <c r="AW299" i="10"/>
  <c r="W299" i="10"/>
  <c r="JC299" i="10"/>
  <c r="AA299" i="10"/>
  <c r="JE299" i="10"/>
  <c r="JG299" i="10"/>
  <c r="AV299" i="10"/>
  <c r="W174" i="10"/>
  <c r="JC174" i="10"/>
  <c r="AV174" i="10"/>
  <c r="AF174" i="10"/>
  <c r="JF174" i="10"/>
  <c r="AW174" i="10"/>
  <c r="AR174" i="10"/>
  <c r="AE174" i="10"/>
  <c r="JK174" i="10"/>
  <c r="AA174" i="10"/>
  <c r="JE174" i="10"/>
  <c r="AO174" i="10"/>
  <c r="DP174" i="10" s="1"/>
  <c r="DN174" i="10" s="1"/>
  <c r="DO174" i="10" s="1"/>
  <c r="AB174" i="10"/>
  <c r="JG174" i="10"/>
  <c r="AK174" i="10"/>
  <c r="AN174" i="10"/>
  <c r="Y174" i="10"/>
  <c r="X174" i="10"/>
  <c r="AM174" i="10"/>
  <c r="JH174" i="10"/>
  <c r="AK171" i="10"/>
  <c r="AB171" i="10"/>
  <c r="AR171" i="10"/>
  <c r="AE171" i="10"/>
  <c r="JK171" i="10"/>
  <c r="AN171" i="10"/>
  <c r="Y171" i="10"/>
  <c r="JH171" i="10"/>
  <c r="AF171" i="10"/>
  <c r="JF171" i="10"/>
  <c r="JG171" i="10"/>
  <c r="W171" i="10"/>
  <c r="JC171" i="10"/>
  <c r="AW171" i="10"/>
  <c r="AV171" i="10"/>
  <c r="X171" i="10"/>
  <c r="AA171" i="10"/>
  <c r="JE171" i="10"/>
  <c r="AO171" i="10"/>
  <c r="AW370" i="10"/>
  <c r="W370" i="10"/>
  <c r="JC370" i="10"/>
  <c r="JH370" i="10"/>
  <c r="AR370" i="10"/>
  <c r="AE370" i="10"/>
  <c r="JK370" i="10"/>
  <c r="AK370" i="10"/>
  <c r="AO370" i="10"/>
  <c r="DM370" i="10"/>
  <c r="AV370" i="10"/>
  <c r="AF370" i="10"/>
  <c r="JF370" i="10"/>
  <c r="X370" i="10"/>
  <c r="FK370" i="10"/>
  <c r="AN370" i="10"/>
  <c r="Y370" i="10"/>
  <c r="AB370" i="10"/>
  <c r="AA370" i="10"/>
  <c r="JE370" i="10"/>
  <c r="JG370" i="10"/>
  <c r="AA107" i="10"/>
  <c r="JE107" i="10"/>
  <c r="AB107" i="10"/>
  <c r="X107" i="10"/>
  <c r="FK107" i="10"/>
  <c r="AM107" i="10"/>
  <c r="AV107" i="10"/>
  <c r="W107" i="10"/>
  <c r="JC107" i="10"/>
  <c r="AF107" i="10"/>
  <c r="JF107" i="10"/>
  <c r="AW107" i="10"/>
  <c r="AR107" i="10"/>
  <c r="AE107" i="10"/>
  <c r="JK107" i="10"/>
  <c r="AN107" i="10"/>
  <c r="Y107" i="10"/>
  <c r="AO107" i="10"/>
  <c r="DM107" i="10" s="1"/>
  <c r="JH107" i="10"/>
  <c r="AK107" i="10"/>
  <c r="JG107" i="10"/>
  <c r="JH387" i="10"/>
  <c r="X387" i="10"/>
  <c r="FK387" i="10"/>
  <c r="AW387" i="10"/>
  <c r="AA387" i="10"/>
  <c r="JE387" i="10"/>
  <c r="AK387" i="10"/>
  <c r="AR387" i="10"/>
  <c r="AE387" i="10"/>
  <c r="JK387" i="10"/>
  <c r="AO387" i="10"/>
  <c r="DM387" i="10"/>
  <c r="AN387" i="10"/>
  <c r="Y387" i="10"/>
  <c r="AF387" i="10"/>
  <c r="JF387" i="10"/>
  <c r="W387" i="10"/>
  <c r="JC387" i="10"/>
  <c r="AV387" i="10"/>
  <c r="AB387" i="10"/>
  <c r="JG387" i="10"/>
  <c r="AK207" i="10"/>
  <c r="AB207" i="10"/>
  <c r="AO207" i="10"/>
  <c r="JI207" i="10"/>
  <c r="W207" i="10"/>
  <c r="JC207" i="10"/>
  <c r="AF207" i="10"/>
  <c r="JF207" i="10"/>
  <c r="JH207" i="10"/>
  <c r="X207" i="10"/>
  <c r="AN207" i="10"/>
  <c r="Y207" i="10"/>
  <c r="AW207" i="10"/>
  <c r="AV207" i="10"/>
  <c r="AR207" i="10"/>
  <c r="AE207" i="10"/>
  <c r="JK207" i="10"/>
  <c r="AA207" i="10"/>
  <c r="JE207" i="10"/>
  <c r="JG207" i="10"/>
  <c r="AW225" i="10"/>
  <c r="AR225" i="10"/>
  <c r="AE225" i="10"/>
  <c r="JK225" i="10"/>
  <c r="AN225" i="10"/>
  <c r="Y225" i="10"/>
  <c r="X225" i="10"/>
  <c r="AM225" i="10"/>
  <c r="AO225" i="10"/>
  <c r="DM225" i="10" s="1"/>
  <c r="JI225" i="10"/>
  <c r="AF225" i="10"/>
  <c r="JF225" i="10"/>
  <c r="AV225" i="10"/>
  <c r="AB225" i="10"/>
  <c r="W225" i="10"/>
  <c r="JC225" i="10"/>
  <c r="AA225" i="10"/>
  <c r="JE225" i="10"/>
  <c r="AK225" i="10"/>
  <c r="JH225" i="10"/>
  <c r="JG225" i="10"/>
  <c r="AW50" i="10"/>
  <c r="AN50" i="10"/>
  <c r="Y50" i="10"/>
  <c r="AV50" i="10"/>
  <c r="GI50" i="10"/>
  <c r="AT50" i="10" s="1"/>
  <c r="AB50" i="10"/>
  <c r="AA50" i="10"/>
  <c r="JE50" i="10"/>
  <c r="AF50" i="10"/>
  <c r="JF50" i="10"/>
  <c r="JH50" i="10"/>
  <c r="AO50" i="10"/>
  <c r="DM50" i="10"/>
  <c r="X50" i="10"/>
  <c r="FK50" i="10"/>
  <c r="AM50" i="10"/>
  <c r="W50" i="10"/>
  <c r="JC50" i="10"/>
  <c r="JG50" i="10"/>
  <c r="AR50" i="10"/>
  <c r="AE50" i="10"/>
  <c r="JK50" i="10"/>
  <c r="AK50" i="10"/>
  <c r="AW92" i="10"/>
  <c r="AN92" i="10"/>
  <c r="Y92" i="10"/>
  <c r="AR92" i="10"/>
  <c r="AE92" i="10"/>
  <c r="JK92" i="10"/>
  <c r="X92" i="10"/>
  <c r="AV92" i="10"/>
  <c r="AB92" i="10"/>
  <c r="AO92" i="10"/>
  <c r="AF92" i="10"/>
  <c r="JF92" i="10"/>
  <c r="W92" i="10"/>
  <c r="JC92" i="10"/>
  <c r="JH92" i="10"/>
  <c r="AK92" i="10"/>
  <c r="JG92" i="10"/>
  <c r="AA92" i="10"/>
  <c r="JE92" i="10"/>
  <c r="JH333" i="10"/>
  <c r="AA333" i="10"/>
  <c r="JE333" i="10"/>
  <c r="AF333" i="10"/>
  <c r="JF333" i="10"/>
  <c r="W333" i="10"/>
  <c r="JC333" i="10"/>
  <c r="AW333" i="10"/>
  <c r="X333" i="10"/>
  <c r="FK333" i="10"/>
  <c r="AM333" i="10"/>
  <c r="AN333" i="10"/>
  <c r="Y333" i="10"/>
  <c r="AO333" i="10"/>
  <c r="AV333" i="10"/>
  <c r="JG333" i="10"/>
  <c r="AR333" i="10"/>
  <c r="AE333" i="10"/>
  <c r="JK333" i="10"/>
  <c r="AB333" i="10"/>
  <c r="AK333" i="10"/>
  <c r="AV115" i="10"/>
  <c r="AF115" i="10"/>
  <c r="JF115" i="10"/>
  <c r="AW115" i="10"/>
  <c r="AB115" i="10"/>
  <c r="JG115" i="10"/>
  <c r="JH115" i="10"/>
  <c r="AK115" i="10"/>
  <c r="AR115" i="10"/>
  <c r="AE115" i="10"/>
  <c r="JK115" i="10"/>
  <c r="AA115" i="10"/>
  <c r="JE115" i="10"/>
  <c r="W115" i="10"/>
  <c r="JC115" i="10"/>
  <c r="X115" i="10"/>
  <c r="FK115" i="10"/>
  <c r="AO115" i="10"/>
  <c r="AN115" i="10"/>
  <c r="Y115" i="10"/>
  <c r="W229" i="10"/>
  <c r="JC229" i="10"/>
  <c r="AF229" i="10"/>
  <c r="JF229" i="10"/>
  <c r="AW229" i="10"/>
  <c r="JH229" i="10"/>
  <c r="AV229" i="10"/>
  <c r="AK229" i="10"/>
  <c r="AN229" i="10"/>
  <c r="Y229" i="10"/>
  <c r="AB229" i="10"/>
  <c r="AA229" i="10"/>
  <c r="JE229" i="10"/>
  <c r="AO229" i="10"/>
  <c r="DP229" i="10" s="1"/>
  <c r="DN229" i="10" s="1"/>
  <c r="DO229" i="10" s="1"/>
  <c r="AR229" i="10"/>
  <c r="AE229" i="10"/>
  <c r="JK229" i="10"/>
  <c r="X229" i="10"/>
  <c r="FK229" i="10"/>
  <c r="AM229" i="10"/>
  <c r="JG229" i="10"/>
  <c r="X155" i="10"/>
  <c r="AO155" i="10"/>
  <c r="AB155" i="10"/>
  <c r="AK155" i="10"/>
  <c r="AR155" i="10"/>
  <c r="AE155" i="10"/>
  <c r="JK155" i="10"/>
  <c r="AA155" i="10"/>
  <c r="JE155" i="10"/>
  <c r="JG155" i="10"/>
  <c r="AN155" i="10"/>
  <c r="Y155" i="10"/>
  <c r="AV155" i="10"/>
  <c r="AF155" i="10"/>
  <c r="JF155" i="10"/>
  <c r="W155" i="10"/>
  <c r="JC155" i="10"/>
  <c r="AW155" i="10"/>
  <c r="JH155" i="10"/>
  <c r="AF141" i="10"/>
  <c r="JF141" i="10"/>
  <c r="JG141" i="10"/>
  <c r="AB141" i="10"/>
  <c r="JH141" i="10"/>
  <c r="AV141" i="10"/>
  <c r="AK141" i="10"/>
  <c r="AN141" i="10"/>
  <c r="Y141" i="10"/>
  <c r="W141" i="10"/>
  <c r="JC141" i="10"/>
  <c r="AW141" i="10"/>
  <c r="AO141" i="10"/>
  <c r="DP141" i="10" s="1"/>
  <c r="DN141" i="10" s="1"/>
  <c r="DO141" i="10" s="1"/>
  <c r="JI141" i="10"/>
  <c r="AA141" i="10"/>
  <c r="JE141" i="10"/>
  <c r="AR141" i="10"/>
  <c r="AE141" i="10"/>
  <c r="JK141" i="10"/>
  <c r="X141" i="10"/>
  <c r="FK141" i="10"/>
  <c r="AM141" i="10"/>
  <c r="JH85" i="10"/>
  <c r="JG85" i="10"/>
  <c r="AN85" i="10"/>
  <c r="Y85" i="10"/>
  <c r="AV85" i="10"/>
  <c r="X85" i="10"/>
  <c r="FK85" i="10"/>
  <c r="AM85" i="10"/>
  <c r="W85" i="10"/>
  <c r="JC85" i="10"/>
  <c r="AA85" i="10"/>
  <c r="JE85" i="10"/>
  <c r="GI85" i="10"/>
  <c r="AT85" i="10" s="1"/>
  <c r="AR85" i="10"/>
  <c r="AE85" i="10"/>
  <c r="JK85" i="10"/>
  <c r="AK85" i="10"/>
  <c r="AO85" i="10"/>
  <c r="AF85" i="10"/>
  <c r="JF85" i="10"/>
  <c r="AW85" i="10"/>
  <c r="AB85" i="10"/>
  <c r="AA343" i="10"/>
  <c r="JE343" i="10"/>
  <c r="AO343" i="10"/>
  <c r="DM343" i="10" s="1"/>
  <c r="JH343" i="10"/>
  <c r="AV343" i="10"/>
  <c r="AB343" i="10"/>
  <c r="AF343" i="10"/>
  <c r="JF343" i="10"/>
  <c r="AW343" i="10"/>
  <c r="X343" i="10"/>
  <c r="FK343" i="10"/>
  <c r="AM343" i="10"/>
  <c r="W343" i="10"/>
  <c r="JC343" i="10"/>
  <c r="AK343" i="10"/>
  <c r="AN343" i="10"/>
  <c r="Y343" i="10"/>
  <c r="JG343" i="10"/>
  <c r="AR343" i="10"/>
  <c r="AE343" i="10"/>
  <c r="JK343" i="10"/>
  <c r="X37" i="10"/>
  <c r="FK37" i="10"/>
  <c r="AF37" i="10"/>
  <c r="JF37" i="10"/>
  <c r="AA37" i="10"/>
  <c r="JE37" i="10"/>
  <c r="JG37" i="10"/>
  <c r="JH37" i="10"/>
  <c r="AO37" i="10"/>
  <c r="AR37" i="10"/>
  <c r="AE37" i="10"/>
  <c r="JK37" i="10"/>
  <c r="AN37" i="10"/>
  <c r="Y37" i="10"/>
  <c r="W37" i="10"/>
  <c r="JC37" i="10"/>
  <c r="AW37" i="10"/>
  <c r="AV37" i="10"/>
  <c r="AB37" i="10"/>
  <c r="AK37" i="10"/>
  <c r="JH173" i="10"/>
  <c r="AF173" i="10"/>
  <c r="JF173" i="10"/>
  <c r="W173" i="10"/>
  <c r="JC173" i="10"/>
  <c r="AW173" i="10"/>
  <c r="AA173" i="10"/>
  <c r="JE173" i="10"/>
  <c r="AK173" i="10"/>
  <c r="AV173" i="10"/>
  <c r="JG173" i="10"/>
  <c r="AR173" i="10"/>
  <c r="AE173" i="10"/>
  <c r="JK173" i="10"/>
  <c r="AB173" i="10"/>
  <c r="AN173" i="10"/>
  <c r="Y173" i="10"/>
  <c r="AO173" i="10"/>
  <c r="DM173" i="10" s="1"/>
  <c r="DP173" i="10"/>
  <c r="DN173" i="10" s="1"/>
  <c r="DO173" i="10" s="1"/>
  <c r="JI173" i="10"/>
  <c r="X173" i="10"/>
  <c r="FK173" i="10"/>
  <c r="AO80" i="10"/>
  <c r="JG80" i="10"/>
  <c r="AF80" i="10"/>
  <c r="JF80" i="10"/>
  <c r="JH80" i="10"/>
  <c r="AR80" i="10"/>
  <c r="AE80" i="10"/>
  <c r="JK80" i="10"/>
  <c r="AA80" i="10"/>
  <c r="JE80" i="10"/>
  <c r="AV80" i="10"/>
  <c r="AB80" i="10"/>
  <c r="AN80" i="10"/>
  <c r="Y80" i="10"/>
  <c r="X80" i="10"/>
  <c r="FK80" i="10"/>
  <c r="AM80" i="10"/>
  <c r="W80" i="10"/>
  <c r="JC80" i="10"/>
  <c r="AW80" i="10"/>
  <c r="AK80" i="10"/>
  <c r="JG156" i="10"/>
  <c r="AA156" i="10"/>
  <c r="JE156" i="10"/>
  <c r="AN156" i="10"/>
  <c r="Y156" i="10"/>
  <c r="AO156" i="10"/>
  <c r="AB156" i="10"/>
  <c r="X156" i="10"/>
  <c r="FK156" i="10"/>
  <c r="AF156" i="10"/>
  <c r="JF156" i="10"/>
  <c r="W156" i="10"/>
  <c r="JC156" i="10"/>
  <c r="JH156" i="10"/>
  <c r="AW156" i="10"/>
  <c r="AV156" i="10"/>
  <c r="AR156" i="10"/>
  <c r="AE156" i="10"/>
  <c r="JK156" i="10"/>
  <c r="AK156" i="10"/>
  <c r="AW122" i="10"/>
  <c r="AN122" i="10"/>
  <c r="Y122" i="10"/>
  <c r="AA122" i="10"/>
  <c r="JE122" i="10"/>
  <c r="X122" i="10"/>
  <c r="FK122" i="10"/>
  <c r="AM122" i="10"/>
  <c r="AV122" i="10"/>
  <c r="AF122" i="10"/>
  <c r="JF122" i="10"/>
  <c r="AB122" i="10"/>
  <c r="JH122" i="10"/>
  <c r="AK122" i="10"/>
  <c r="W122" i="10"/>
  <c r="JC122" i="10"/>
  <c r="AO122" i="10"/>
  <c r="DM122" i="10" s="1"/>
  <c r="JG122" i="10"/>
  <c r="AR122" i="10"/>
  <c r="AE122" i="10"/>
  <c r="JK122" i="10"/>
  <c r="AO361" i="10"/>
  <c r="AR361" i="10"/>
  <c r="AE361" i="10"/>
  <c r="JK361" i="10"/>
  <c r="W361" i="10"/>
  <c r="JC361" i="10"/>
  <c r="JG361" i="10"/>
  <c r="AB361" i="10"/>
  <c r="AN361" i="10"/>
  <c r="Y361" i="10"/>
  <c r="X361" i="10"/>
  <c r="FK361" i="10"/>
  <c r="AM361" i="10"/>
  <c r="AV361" i="10"/>
  <c r="AK361" i="10"/>
  <c r="AA361" i="10"/>
  <c r="JE361" i="10"/>
  <c r="AF361" i="10"/>
  <c r="JF361" i="10"/>
  <c r="AW361" i="10"/>
  <c r="JH361" i="10"/>
  <c r="AR319" i="10"/>
  <c r="AE319" i="10"/>
  <c r="JK319" i="10"/>
  <c r="AO319" i="10"/>
  <c r="X319" i="10"/>
  <c r="FK319" i="10"/>
  <c r="AM319" i="10"/>
  <c r="AF319" i="10"/>
  <c r="JF319" i="10"/>
  <c r="AW319" i="10"/>
  <c r="W319" i="10"/>
  <c r="JC319" i="10"/>
  <c r="AB319" i="10"/>
  <c r="AN319" i="10"/>
  <c r="Y319" i="10"/>
  <c r="AA319" i="10"/>
  <c r="JE319" i="10"/>
  <c r="AK319" i="10"/>
  <c r="AV319" i="10"/>
  <c r="JG319" i="10"/>
  <c r="JH319" i="10"/>
  <c r="JH143" i="10"/>
  <c r="AW143" i="10"/>
  <c r="AR143" i="10"/>
  <c r="AE143" i="10"/>
  <c r="JK143" i="10"/>
  <c r="AB143" i="10"/>
  <c r="AV143" i="10"/>
  <c r="AN143" i="10"/>
  <c r="Y143" i="10"/>
  <c r="X143" i="10"/>
  <c r="FK143" i="10"/>
  <c r="AO143" i="10"/>
  <c r="W143" i="10"/>
  <c r="JC143" i="10"/>
  <c r="AF143" i="10"/>
  <c r="JF143" i="10"/>
  <c r="AA143" i="10"/>
  <c r="JE143" i="10"/>
  <c r="JG143" i="10"/>
  <c r="AK143" i="10"/>
  <c r="W151" i="10"/>
  <c r="JC151" i="10"/>
  <c r="AF151" i="10"/>
  <c r="JF151" i="10"/>
  <c r="AO151" i="10"/>
  <c r="AK151" i="10"/>
  <c r="AV151" i="10"/>
  <c r="JH151" i="10"/>
  <c r="AA151" i="10"/>
  <c r="JE151" i="10"/>
  <c r="JG151" i="10"/>
  <c r="AB151" i="10"/>
  <c r="AR151" i="10"/>
  <c r="AE151" i="10"/>
  <c r="JK151" i="10"/>
  <c r="X151" i="10"/>
  <c r="FK151" i="10"/>
  <c r="AM151" i="10"/>
  <c r="AN151" i="10"/>
  <c r="Y151" i="10"/>
  <c r="AW151" i="10"/>
  <c r="W238" i="10"/>
  <c r="JC238" i="10"/>
  <c r="AV238" i="10"/>
  <c r="AB238" i="10"/>
  <c r="AN238" i="10"/>
  <c r="Y238" i="10"/>
  <c r="X238" i="10"/>
  <c r="FK238" i="10"/>
  <c r="AM238" i="10"/>
  <c r="JH238" i="10"/>
  <c r="JG238" i="10"/>
  <c r="AA238" i="10"/>
  <c r="JE238" i="10"/>
  <c r="AW238" i="10"/>
  <c r="AK238" i="10"/>
  <c r="AR238" i="10"/>
  <c r="AE238" i="10"/>
  <c r="JK238" i="10"/>
  <c r="AO238" i="10"/>
  <c r="DP238" i="10" s="1"/>
  <c r="DN238" i="10" s="1"/>
  <c r="DO238" i="10" s="1"/>
  <c r="AF238" i="10"/>
  <c r="JF238" i="10"/>
  <c r="AV256" i="10"/>
  <c r="AK256" i="10"/>
  <c r="AR256" i="10"/>
  <c r="AE256" i="10"/>
  <c r="JK256" i="10"/>
  <c r="X256" i="10"/>
  <c r="FK256" i="10"/>
  <c r="W256" i="10"/>
  <c r="JC256" i="10"/>
  <c r="AW256" i="10"/>
  <c r="JG256" i="10"/>
  <c r="AA256" i="10"/>
  <c r="JE256" i="10"/>
  <c r="JH256" i="10"/>
  <c r="AO256" i="10"/>
  <c r="DM256" i="10" s="1"/>
  <c r="JI256" i="10"/>
  <c r="AF256" i="10"/>
  <c r="JF256" i="10"/>
  <c r="AN256" i="10"/>
  <c r="Y256" i="10"/>
  <c r="AB256" i="10"/>
  <c r="JG189" i="10"/>
  <c r="JH189" i="10"/>
  <c r="AO189" i="10"/>
  <c r="DP189" i="10" s="1"/>
  <c r="DN189" i="10" s="1"/>
  <c r="DO189" i="10" s="1"/>
  <c r="AF189" i="10"/>
  <c r="JF189" i="10"/>
  <c r="W189" i="10"/>
  <c r="JC189" i="10"/>
  <c r="AR189" i="10"/>
  <c r="AE189" i="10"/>
  <c r="JK189" i="10"/>
  <c r="AW189" i="10"/>
  <c r="AK189" i="10"/>
  <c r="AV189" i="10"/>
  <c r="AA189" i="10"/>
  <c r="JE189" i="10"/>
  <c r="X189" i="10"/>
  <c r="FK189" i="10"/>
  <c r="AM189" i="10"/>
  <c r="AN189" i="10"/>
  <c r="Y189" i="10"/>
  <c r="AB189" i="10"/>
  <c r="AR264" i="10"/>
  <c r="AE264" i="10"/>
  <c r="JK264" i="10"/>
  <c r="AV264" i="10"/>
  <c r="AO264" i="10"/>
  <c r="JI264" i="10"/>
  <c r="AF264" i="10"/>
  <c r="JF264" i="10"/>
  <c r="W264" i="10"/>
  <c r="JC264" i="10"/>
  <c r="AK264" i="10"/>
  <c r="JG264" i="10"/>
  <c r="AN264" i="10"/>
  <c r="Y264" i="10"/>
  <c r="JH264" i="10"/>
  <c r="AB264" i="10"/>
  <c r="AA264" i="10"/>
  <c r="JE264" i="10"/>
  <c r="X264" i="10"/>
  <c r="FK264" i="10"/>
  <c r="AM264" i="10"/>
  <c r="AW264" i="10"/>
  <c r="AO112" i="10"/>
  <c r="AK112" i="10"/>
  <c r="AA112" i="10"/>
  <c r="JE112" i="10"/>
  <c r="AN112" i="10"/>
  <c r="Y112" i="10"/>
  <c r="AV112" i="10"/>
  <c r="X112" i="10"/>
  <c r="FK112" i="10"/>
  <c r="AM112" i="10"/>
  <c r="AF112" i="10"/>
  <c r="JF112" i="10"/>
  <c r="JH112" i="10"/>
  <c r="AB112" i="10"/>
  <c r="AR112" i="10"/>
  <c r="AE112" i="10"/>
  <c r="JK112" i="10"/>
  <c r="JG112" i="10"/>
  <c r="W112" i="10"/>
  <c r="JC112" i="10"/>
  <c r="AW112" i="10"/>
  <c r="AF327" i="10"/>
  <c r="JF327" i="10"/>
  <c r="W327" i="10"/>
  <c r="JC327" i="10"/>
  <c r="JG327" i="10"/>
  <c r="AA327" i="10"/>
  <c r="JE327" i="10"/>
  <c r="X327" i="10"/>
  <c r="FK327" i="10"/>
  <c r="AM327" i="10"/>
  <c r="AO327" i="10"/>
  <c r="DP327" i="10" s="1"/>
  <c r="DN327" i="10" s="1"/>
  <c r="DO327" i="10" s="1"/>
  <c r="AR327" i="10"/>
  <c r="AE327" i="10"/>
  <c r="JK327" i="10"/>
  <c r="AK327" i="10"/>
  <c r="AN327" i="10"/>
  <c r="Y327" i="10"/>
  <c r="AW327" i="10"/>
  <c r="AV327" i="10"/>
  <c r="AB327" i="10"/>
  <c r="JH327" i="10"/>
  <c r="JH234" i="10"/>
  <c r="AK234" i="10"/>
  <c r="AB234" i="10"/>
  <c r="AO234" i="10"/>
  <c r="W234" i="10"/>
  <c r="JC234" i="10"/>
  <c r="AF234" i="10"/>
  <c r="JF234" i="10"/>
  <c r="X234" i="10"/>
  <c r="FK234" i="10"/>
  <c r="AM234" i="10"/>
  <c r="AN234" i="10"/>
  <c r="Y234" i="10"/>
  <c r="AW234" i="10"/>
  <c r="AV234" i="10"/>
  <c r="AA234" i="10"/>
  <c r="JE234" i="10"/>
  <c r="AR234" i="10"/>
  <c r="AE234" i="10"/>
  <c r="JK234" i="10"/>
  <c r="JG234" i="10"/>
  <c r="AA49" i="10"/>
  <c r="JE49" i="10"/>
  <c r="AO49" i="10"/>
  <c r="DM49" i="10" s="1"/>
  <c r="AP49" i="10"/>
  <c r="AQ49" i="10"/>
  <c r="DP49" i="10"/>
  <c r="DN49" i="10"/>
  <c r="DO49" i="10" s="1"/>
  <c r="AR49" i="10"/>
  <c r="AE49" i="10"/>
  <c r="JK49" i="10"/>
  <c r="AB49" i="10"/>
  <c r="JH49" i="10"/>
  <c r="AK49" i="10"/>
  <c r="JG49" i="10"/>
  <c r="AN49" i="10"/>
  <c r="Y49" i="10"/>
  <c r="X49" i="10"/>
  <c r="FK49" i="10"/>
  <c r="AM49" i="10"/>
  <c r="W49" i="10"/>
  <c r="JC49" i="10"/>
  <c r="AW49" i="10"/>
  <c r="AV49" i="10"/>
  <c r="AF49" i="10"/>
  <c r="JF49" i="10"/>
  <c r="AW77" i="10"/>
  <c r="AV77" i="10"/>
  <c r="AN77" i="10"/>
  <c r="Y77" i="10"/>
  <c r="AB77" i="10"/>
  <c r="AK77" i="10"/>
  <c r="AO77" i="10"/>
  <c r="DP77" i="10" s="1"/>
  <c r="X77" i="10"/>
  <c r="FK77" i="10"/>
  <c r="AM77" i="10"/>
  <c r="AF77" i="10"/>
  <c r="JF77" i="10"/>
  <c r="W77" i="10"/>
  <c r="JC77" i="10"/>
  <c r="AR77" i="10"/>
  <c r="AE77" i="10"/>
  <c r="JK77" i="10"/>
  <c r="JH77" i="10"/>
  <c r="AA77" i="10"/>
  <c r="JE77" i="10"/>
  <c r="JG77" i="10"/>
  <c r="AV138" i="10"/>
  <c r="GI138" i="10"/>
  <c r="AT138" i="10" s="1"/>
  <c r="AO138" i="10"/>
  <c r="DM138" i="10"/>
  <c r="AF138" i="10"/>
  <c r="JF138" i="10"/>
  <c r="JH138" i="10"/>
  <c r="W138" i="10"/>
  <c r="JC138" i="10"/>
  <c r="AW138" i="10"/>
  <c r="AK138" i="10"/>
  <c r="AB138" i="10"/>
  <c r="X138" i="10"/>
  <c r="FK138" i="10"/>
  <c r="AA138" i="10"/>
  <c r="JE138" i="10"/>
  <c r="AR138" i="10"/>
  <c r="AE138" i="10"/>
  <c r="JK138" i="10"/>
  <c r="AN138" i="10"/>
  <c r="Y138" i="10"/>
  <c r="JG138" i="10"/>
  <c r="AF269" i="10"/>
  <c r="JF269" i="10"/>
  <c r="AA269" i="10"/>
  <c r="JE269" i="10"/>
  <c r="JG269" i="10"/>
  <c r="AK269" i="10"/>
  <c r="X269" i="10"/>
  <c r="FK269" i="10"/>
  <c r="AM269" i="10"/>
  <c r="AN269" i="10"/>
  <c r="Y269" i="10"/>
  <c r="AO269" i="10"/>
  <c r="DM269" i="10" s="1"/>
  <c r="AW269" i="10"/>
  <c r="JH269" i="10"/>
  <c r="AR269" i="10"/>
  <c r="AE269" i="10"/>
  <c r="JK269" i="10"/>
  <c r="AV269" i="10"/>
  <c r="AB269" i="10"/>
  <c r="W269" i="10"/>
  <c r="JC269" i="10"/>
  <c r="AW301" i="10"/>
  <c r="AK301" i="10"/>
  <c r="AR301" i="10"/>
  <c r="AE301" i="10"/>
  <c r="JK301" i="10"/>
  <c r="AN301" i="10"/>
  <c r="Y301" i="10"/>
  <c r="JG301" i="10"/>
  <c r="JH301" i="10"/>
  <c r="W301" i="10"/>
  <c r="JC301" i="10"/>
  <c r="AF301" i="10"/>
  <c r="JF301" i="10"/>
  <c r="AV301" i="10"/>
  <c r="AB301" i="10"/>
  <c r="X301" i="10"/>
  <c r="FK301" i="10"/>
  <c r="AO301" i="10"/>
  <c r="AA301" i="10"/>
  <c r="JE301" i="10"/>
  <c r="AW153" i="10"/>
  <c r="AK153" i="10"/>
  <c r="AN153" i="10"/>
  <c r="Y153" i="10"/>
  <c r="JH153" i="10"/>
  <c r="X153" i="10"/>
  <c r="FK153" i="10"/>
  <c r="AO153" i="10"/>
  <c r="DP153" i="10" s="1"/>
  <c r="DN153" i="10" s="1"/>
  <c r="DO153" i="10" s="1"/>
  <c r="AB153" i="10"/>
  <c r="W153" i="10"/>
  <c r="JC153" i="10"/>
  <c r="AF153" i="10"/>
  <c r="JF153" i="10"/>
  <c r="JG153" i="10"/>
  <c r="AR153" i="10"/>
  <c r="AE153" i="10"/>
  <c r="JK153" i="10"/>
  <c r="AV153" i="10"/>
  <c r="AA153" i="10"/>
  <c r="JE153" i="10"/>
  <c r="JH209" i="10"/>
  <c r="JG209" i="10"/>
  <c r="W209" i="10"/>
  <c r="JC209" i="10"/>
  <c r="AW209" i="10"/>
  <c r="AB209" i="10"/>
  <c r="AR209" i="10"/>
  <c r="AE209" i="10"/>
  <c r="JK209" i="10"/>
  <c r="AK209" i="10"/>
  <c r="AA209" i="10"/>
  <c r="JE209" i="10"/>
  <c r="AN209" i="10"/>
  <c r="Y209" i="10"/>
  <c r="AO209" i="10"/>
  <c r="X209" i="10"/>
  <c r="FK209" i="10"/>
  <c r="AM209" i="10"/>
  <c r="AF209" i="10"/>
  <c r="JF209" i="10"/>
  <c r="AV209" i="10"/>
  <c r="JH368" i="10"/>
  <c r="AN368" i="10"/>
  <c r="Y368" i="10"/>
  <c r="W368" i="10"/>
  <c r="JC368" i="10"/>
  <c r="AW368" i="10"/>
  <c r="AA368" i="10"/>
  <c r="JE368" i="10"/>
  <c r="AK368" i="10"/>
  <c r="AO368" i="10"/>
  <c r="JI368" i="10"/>
  <c r="X368" i="10"/>
  <c r="FK368" i="10"/>
  <c r="AM368" i="10"/>
  <c r="AF368" i="10"/>
  <c r="JF368" i="10"/>
  <c r="AV368" i="10"/>
  <c r="JG368" i="10"/>
  <c r="AR368" i="10"/>
  <c r="AE368" i="10"/>
  <c r="JK368" i="10"/>
  <c r="AB368" i="10"/>
  <c r="AW33" i="10"/>
  <c r="AK33" i="10"/>
  <c r="AR33" i="10"/>
  <c r="AE33" i="10"/>
  <c r="JK33" i="10"/>
  <c r="AN33" i="10"/>
  <c r="Y33" i="10"/>
  <c r="AA33" i="10"/>
  <c r="JE33" i="10"/>
  <c r="X33" i="10"/>
  <c r="FK33" i="10"/>
  <c r="AM33" i="10"/>
  <c r="AO33" i="10"/>
  <c r="DP33" i="10" s="1"/>
  <c r="DN33" i="10" s="1"/>
  <c r="DO33" i="10" s="1"/>
  <c r="DM33" i="10"/>
  <c r="JH33" i="10"/>
  <c r="JG33" i="10"/>
  <c r="AF33" i="10"/>
  <c r="JF33" i="10"/>
  <c r="W33" i="10"/>
  <c r="JC33" i="10"/>
  <c r="AB33" i="10"/>
  <c r="AV33" i="10"/>
  <c r="AF312" i="10"/>
  <c r="JF312" i="10"/>
  <c r="AR312" i="10"/>
  <c r="AE312" i="10"/>
  <c r="JK312" i="10"/>
  <c r="AV312" i="10"/>
  <c r="AK312" i="10"/>
  <c r="AA312" i="10"/>
  <c r="JE312" i="10"/>
  <c r="AN312" i="10"/>
  <c r="Y312" i="10"/>
  <c r="AB312" i="10"/>
  <c r="AO312" i="10"/>
  <c r="DP312" i="10" s="1"/>
  <c r="DN312" i="10" s="1"/>
  <c r="DO312" i="10" s="1"/>
  <c r="JG312" i="10"/>
  <c r="W312" i="10"/>
  <c r="JC312" i="10"/>
  <c r="JH312" i="10"/>
  <c r="X312" i="10"/>
  <c r="FK312" i="10"/>
  <c r="AM312" i="10"/>
  <c r="AW312" i="10"/>
  <c r="AF346" i="10"/>
  <c r="JF346" i="10"/>
  <c r="AB346" i="10"/>
  <c r="AK346" i="10"/>
  <c r="AV346" i="10"/>
  <c r="AN346" i="10"/>
  <c r="Y346" i="10"/>
  <c r="JG346" i="10"/>
  <c r="AO346" i="10"/>
  <c r="W346" i="10"/>
  <c r="JC346" i="10"/>
  <c r="AW346" i="10"/>
  <c r="AR346" i="10"/>
  <c r="AE346" i="10"/>
  <c r="JK346" i="10"/>
  <c r="AA346" i="10"/>
  <c r="JE346" i="10"/>
  <c r="X346" i="10"/>
  <c r="FK346" i="10"/>
  <c r="JH346" i="10"/>
  <c r="AW348" i="10"/>
  <c r="W348" i="10"/>
  <c r="JC348" i="10"/>
  <c r="AB348" i="10"/>
  <c r="AK348" i="10"/>
  <c r="AA348" i="10"/>
  <c r="JE348" i="10"/>
  <c r="AO348" i="10"/>
  <c r="DM348" i="10" s="1"/>
  <c r="AN348" i="10"/>
  <c r="Y348" i="10"/>
  <c r="X348" i="10"/>
  <c r="FK348" i="10"/>
  <c r="AM348" i="10"/>
  <c r="AF348" i="10"/>
  <c r="JF348" i="10"/>
  <c r="JG348" i="10"/>
  <c r="AR348" i="10"/>
  <c r="AE348" i="10"/>
  <c r="JK348" i="10"/>
  <c r="AV348" i="10"/>
  <c r="JH348" i="10"/>
  <c r="JH104" i="10"/>
  <c r="AW104" i="10"/>
  <c r="JG104" i="10"/>
  <c r="AK104" i="10"/>
  <c r="AV104" i="10"/>
  <c r="AN104" i="10"/>
  <c r="Y104" i="10"/>
  <c r="AO104" i="10"/>
  <c r="X104" i="10"/>
  <c r="FK104" i="10"/>
  <c r="AF104" i="10"/>
  <c r="JF104" i="10"/>
  <c r="W104" i="10"/>
  <c r="JC104" i="10"/>
  <c r="AB104" i="10"/>
  <c r="AA104" i="10"/>
  <c r="JE104" i="10"/>
  <c r="AR104" i="10"/>
  <c r="AE104" i="10"/>
  <c r="JK104" i="10"/>
  <c r="X244" i="10"/>
  <c r="FK244" i="10"/>
  <c r="AM244" i="10"/>
  <c r="JG244" i="10"/>
  <c r="AV244" i="10"/>
  <c r="JH244" i="10"/>
  <c r="AB244" i="10"/>
  <c r="AO244" i="10"/>
  <c r="DM244" i="10"/>
  <c r="AN244" i="10"/>
  <c r="Y244" i="10"/>
  <c r="AF244" i="10"/>
  <c r="JF244" i="10"/>
  <c r="W244" i="10"/>
  <c r="JC244" i="10"/>
  <c r="AK244" i="10"/>
  <c r="AR244" i="10"/>
  <c r="AE244" i="10"/>
  <c r="JK244" i="10"/>
  <c r="AA244" i="10"/>
  <c r="JE244" i="10"/>
  <c r="AW244" i="10"/>
  <c r="JG254" i="10"/>
  <c r="X254" i="10"/>
  <c r="FK254" i="10"/>
  <c r="AM254" i="10"/>
  <c r="AF254" i="10"/>
  <c r="JF254" i="10"/>
  <c r="AA254" i="10"/>
  <c r="JE254" i="10"/>
  <c r="W254" i="10"/>
  <c r="JC254" i="10"/>
  <c r="AB254" i="10"/>
  <c r="AW254" i="10"/>
  <c r="JH254" i="10"/>
  <c r="AN254" i="10"/>
  <c r="Y254" i="10"/>
  <c r="AK254" i="10"/>
  <c r="AV254" i="10"/>
  <c r="AR254" i="10"/>
  <c r="AE254" i="10"/>
  <c r="JK254" i="10"/>
  <c r="AO254" i="10"/>
  <c r="AW231" i="10"/>
  <c r="AA231" i="10"/>
  <c r="JE231" i="10"/>
  <c r="AK231" i="10"/>
  <c r="AB231" i="10"/>
  <c r="AF231" i="10"/>
  <c r="JF231" i="10"/>
  <c r="JG231" i="10"/>
  <c r="JH231" i="10"/>
  <c r="AV231" i="10"/>
  <c r="AN231" i="10"/>
  <c r="Y231" i="10"/>
  <c r="AR231" i="10"/>
  <c r="AE231" i="10"/>
  <c r="JK231" i="10"/>
  <c r="AO231" i="10"/>
  <c r="DM231" i="10" s="1"/>
  <c r="X231" i="10"/>
  <c r="FK231" i="10"/>
  <c r="AM231" i="10"/>
  <c r="W231" i="10"/>
  <c r="JC231" i="10"/>
  <c r="AV148" i="10"/>
  <c r="AR148" i="10"/>
  <c r="AE148" i="10"/>
  <c r="JK148" i="10"/>
  <c r="AN148" i="10"/>
  <c r="Y148" i="10"/>
  <c r="AK148" i="10"/>
  <c r="AB148" i="10"/>
  <c r="X148" i="10"/>
  <c r="FK148" i="10"/>
  <c r="AO148" i="10"/>
  <c r="AW148" i="10"/>
  <c r="JH148" i="10"/>
  <c r="AA148" i="10"/>
  <c r="JE148" i="10"/>
  <c r="W148" i="10"/>
  <c r="JC148" i="10"/>
  <c r="AF148" i="10"/>
  <c r="JF148" i="10"/>
  <c r="JG148" i="10"/>
  <c r="AO213" i="10"/>
  <c r="AR213" i="10"/>
  <c r="AE213" i="10"/>
  <c r="JK213" i="10"/>
  <c r="W213" i="10"/>
  <c r="JC213" i="10"/>
  <c r="AF213" i="10"/>
  <c r="JF213" i="10"/>
  <c r="AK213" i="10"/>
  <c r="AW213" i="10"/>
  <c r="AV213" i="10"/>
  <c r="AB213" i="10"/>
  <c r="JH213" i="10"/>
  <c r="AN213" i="10"/>
  <c r="Y213" i="10"/>
  <c r="AA213" i="10"/>
  <c r="JE213" i="10"/>
  <c r="JG213" i="10"/>
  <c r="X213" i="10"/>
  <c r="FK213" i="10"/>
  <c r="AV376" i="10"/>
  <c r="AB376" i="10"/>
  <c r="JG376" i="10"/>
  <c r="AA376" i="10"/>
  <c r="JE376" i="10"/>
  <c r="AK376" i="10"/>
  <c r="JH376" i="10"/>
  <c r="AR376" i="10"/>
  <c r="AE376" i="10"/>
  <c r="JK376" i="10"/>
  <c r="AN376" i="10"/>
  <c r="Y376" i="10"/>
  <c r="X376" i="10"/>
  <c r="FK376" i="10"/>
  <c r="AO376" i="10"/>
  <c r="AF376" i="10"/>
  <c r="JF376" i="10"/>
  <c r="W376" i="10"/>
  <c r="JC376" i="10"/>
  <c r="AW376" i="10"/>
  <c r="AW324" i="10"/>
  <c r="AK324" i="10"/>
  <c r="AO324" i="10"/>
  <c r="AA324" i="10"/>
  <c r="JE324" i="10"/>
  <c r="AN324" i="10"/>
  <c r="Y324" i="10"/>
  <c r="X324" i="10"/>
  <c r="FK324" i="10"/>
  <c r="AR324" i="10"/>
  <c r="AE324" i="10"/>
  <c r="JK324" i="10"/>
  <c r="AF324" i="10"/>
  <c r="JF324" i="10"/>
  <c r="JH324" i="10"/>
  <c r="AB324" i="10"/>
  <c r="AV324" i="10"/>
  <c r="JG324" i="10"/>
  <c r="W324" i="10"/>
  <c r="JC324" i="10"/>
  <c r="AW243" i="10"/>
  <c r="JG243" i="10"/>
  <c r="AV243" i="10"/>
  <c r="AN243" i="10"/>
  <c r="Y243" i="10"/>
  <c r="JH243" i="10"/>
  <c r="AO243" i="10"/>
  <c r="DM243" i="10"/>
  <c r="X243" i="10"/>
  <c r="FK243" i="10"/>
  <c r="AM243" i="10"/>
  <c r="W243" i="10"/>
  <c r="JC243" i="10"/>
  <c r="AF243" i="10"/>
  <c r="JF243" i="10"/>
  <c r="AR243" i="10"/>
  <c r="AE243" i="10"/>
  <c r="JK243" i="10"/>
  <c r="AB243" i="10"/>
  <c r="AK243" i="10"/>
  <c r="AA243" i="10"/>
  <c r="JE243" i="10"/>
  <c r="AW169" i="10"/>
  <c r="AK169" i="10"/>
  <c r="JH169" i="10"/>
  <c r="AN169" i="10"/>
  <c r="Y169" i="10"/>
  <c r="JG169" i="10"/>
  <c r="X169" i="10"/>
  <c r="FK169" i="10"/>
  <c r="AM169" i="10"/>
  <c r="AO169" i="10"/>
  <c r="AA169" i="10"/>
  <c r="JE169" i="10"/>
  <c r="W169" i="10"/>
  <c r="JC169" i="10"/>
  <c r="AF169" i="10"/>
  <c r="JF169" i="10"/>
  <c r="AR169" i="10"/>
  <c r="AE169" i="10"/>
  <c r="JK169" i="10"/>
  <c r="AV169" i="10"/>
  <c r="AB169" i="10"/>
  <c r="JH293" i="10"/>
  <c r="X293" i="10"/>
  <c r="FK293" i="10"/>
  <c r="AM293" i="10"/>
  <c r="AR293" i="10"/>
  <c r="AE293" i="10"/>
  <c r="JK293" i="10"/>
  <c r="AN293" i="10"/>
  <c r="Y293" i="10"/>
  <c r="AV293" i="10"/>
  <c r="AA293" i="10"/>
  <c r="JE293" i="10"/>
  <c r="JG293" i="10"/>
  <c r="AO293" i="10"/>
  <c r="AF293" i="10"/>
  <c r="JF293" i="10"/>
  <c r="W293" i="10"/>
  <c r="JC293" i="10"/>
  <c r="AB293" i="10"/>
  <c r="AW293" i="10"/>
  <c r="AK293" i="10"/>
  <c r="GI65" i="10"/>
  <c r="AT65" i="10" s="1"/>
  <c r="AO65" i="10"/>
  <c r="AR65" i="10"/>
  <c r="AE65" i="10"/>
  <c r="JK65" i="10"/>
  <c r="AK65" i="10"/>
  <c r="JH65" i="10"/>
  <c r="AN65" i="10"/>
  <c r="Y65" i="10"/>
  <c r="AV65" i="10"/>
  <c r="AB65" i="10"/>
  <c r="X65" i="10"/>
  <c r="FK65" i="10"/>
  <c r="AM65" i="10"/>
  <c r="AW65" i="10"/>
  <c r="AA65" i="10"/>
  <c r="JE65" i="10"/>
  <c r="AF65" i="10"/>
  <c r="JF65" i="10"/>
  <c r="W65" i="10"/>
  <c r="JC65" i="10"/>
  <c r="JG65" i="10"/>
  <c r="AR51" i="10"/>
  <c r="AE51" i="10"/>
  <c r="JK51" i="10"/>
  <c r="AF51" i="10"/>
  <c r="JF51" i="10"/>
  <c r="AW51" i="10"/>
  <c r="AK51" i="10"/>
  <c r="AB51" i="10"/>
  <c r="AO51" i="10"/>
  <c r="AP51" i="10"/>
  <c r="AQ51" i="10"/>
  <c r="IJ51" i="10" s="1"/>
  <c r="DP51" i="10"/>
  <c r="DM51" i="10"/>
  <c r="DN51" i="10"/>
  <c r="DO51" i="10" s="1"/>
  <c r="W51" i="10"/>
  <c r="JC51" i="10"/>
  <c r="JH51" i="10"/>
  <c r="AV51" i="10"/>
  <c r="AA51" i="10"/>
  <c r="JE51" i="10"/>
  <c r="JG51" i="10"/>
  <c r="AN51" i="10"/>
  <c r="Y51" i="10"/>
  <c r="X51" i="10"/>
  <c r="FK51" i="10"/>
  <c r="AM51" i="10"/>
  <c r="AR385" i="10"/>
  <c r="AE385" i="10"/>
  <c r="JK385" i="10"/>
  <c r="AO385" i="10"/>
  <c r="AV385" i="10"/>
  <c r="AN385" i="10"/>
  <c r="Y385" i="10"/>
  <c r="W385" i="10"/>
  <c r="JC385" i="10"/>
  <c r="JH385" i="10"/>
  <c r="X385" i="10"/>
  <c r="FK385" i="10"/>
  <c r="AM385" i="10"/>
  <c r="AK385" i="10"/>
  <c r="JG385" i="10"/>
  <c r="AW385" i="10"/>
  <c r="AF385" i="10"/>
  <c r="JF385" i="10"/>
  <c r="AA385" i="10"/>
  <c r="JE385" i="10"/>
  <c r="AB385" i="10"/>
  <c r="AV86" i="10"/>
  <c r="W86" i="10"/>
  <c r="JC86" i="10"/>
  <c r="AW86" i="10"/>
  <c r="JH86" i="10"/>
  <c r="AR86" i="10"/>
  <c r="AE86" i="10"/>
  <c r="JK86" i="10"/>
  <c r="AK86" i="10"/>
  <c r="AB86" i="10"/>
  <c r="AO86" i="10"/>
  <c r="AP86" i="10"/>
  <c r="AQ86" i="10"/>
  <c r="DP86" i="10"/>
  <c r="DN86" i="10" s="1"/>
  <c r="DO86" i="10" s="1"/>
  <c r="DM86" i="10"/>
  <c r="AN86" i="10"/>
  <c r="Y86" i="10"/>
  <c r="AF86" i="10"/>
  <c r="JF86" i="10"/>
  <c r="X86" i="10"/>
  <c r="FK86" i="10"/>
  <c r="AA86" i="10"/>
  <c r="JE86" i="10"/>
  <c r="JG86" i="10"/>
  <c r="AB362" i="10"/>
  <c r="AW362" i="10"/>
  <c r="JG362" i="10"/>
  <c r="AN362" i="10"/>
  <c r="Y362" i="10"/>
  <c r="AO362" i="10"/>
  <c r="DP362" i="10" s="1"/>
  <c r="DN362" i="10" s="1"/>
  <c r="DO362" i="10"/>
  <c r="W362" i="10"/>
  <c r="JC362" i="10"/>
  <c r="AF362" i="10"/>
  <c r="JF362" i="10"/>
  <c r="JH362" i="10"/>
  <c r="AV362" i="10"/>
  <c r="AK362" i="10"/>
  <c r="AA362" i="10"/>
  <c r="JE362" i="10"/>
  <c r="AR362" i="10"/>
  <c r="AE362" i="10"/>
  <c r="JK362" i="10"/>
  <c r="X362" i="10"/>
  <c r="FK362" i="10"/>
  <c r="W379" i="10"/>
  <c r="JC379" i="10"/>
  <c r="X379" i="10"/>
  <c r="FK379" i="10"/>
  <c r="AO379" i="10"/>
  <c r="DM379" i="10" s="1"/>
  <c r="JI379" i="10"/>
  <c r="AF379" i="10"/>
  <c r="JF379" i="10"/>
  <c r="AK379" i="10"/>
  <c r="AV379" i="10"/>
  <c r="AB379" i="10"/>
  <c r="JG379" i="10"/>
  <c r="AA379" i="10"/>
  <c r="JE379" i="10"/>
  <c r="JH379" i="10"/>
  <c r="AR379" i="10"/>
  <c r="AE379" i="10"/>
  <c r="JK379" i="10"/>
  <c r="AN379" i="10"/>
  <c r="Y379" i="10"/>
  <c r="AW379" i="10"/>
  <c r="AN334" i="10"/>
  <c r="Y334" i="10"/>
  <c r="X334" i="10"/>
  <c r="FK334" i="10"/>
  <c r="AO334" i="10"/>
  <c r="DM334" i="10" s="1"/>
  <c r="DP334" i="10"/>
  <c r="DN334" i="10" s="1"/>
  <c r="DO334" i="10"/>
  <c r="AB334" i="10"/>
  <c r="JG334" i="10"/>
  <c r="AK334" i="10"/>
  <c r="AV334" i="10"/>
  <c r="AA334" i="10"/>
  <c r="JE334" i="10"/>
  <c r="AR334" i="10"/>
  <c r="AE334" i="10"/>
  <c r="JK334" i="10"/>
  <c r="AF334" i="10"/>
  <c r="JF334" i="10"/>
  <c r="AW334" i="10"/>
  <c r="W334" i="10"/>
  <c r="JC334" i="10"/>
  <c r="JH334" i="10"/>
  <c r="AN44" i="10"/>
  <c r="Y44" i="10"/>
  <c r="JH44" i="10"/>
  <c r="AW44" i="10"/>
  <c r="AR44" i="10"/>
  <c r="AE44" i="10"/>
  <c r="JK44" i="10"/>
  <c r="AA44" i="10"/>
  <c r="JE44" i="10"/>
  <c r="X44" i="10"/>
  <c r="FK44" i="10"/>
  <c r="AO44" i="10"/>
  <c r="AF44" i="10"/>
  <c r="JF44" i="10"/>
  <c r="W44" i="10"/>
  <c r="JC44" i="10"/>
  <c r="AB44" i="10"/>
  <c r="JG44" i="10"/>
  <c r="AK44" i="10"/>
  <c r="AV44" i="10"/>
  <c r="AN251" i="10"/>
  <c r="Y251" i="10"/>
  <c r="JG251" i="10"/>
  <c r="AA251" i="10"/>
  <c r="JE251" i="10"/>
  <c r="JH251" i="10"/>
  <c r="AW251" i="10"/>
  <c r="AR251" i="10"/>
  <c r="AE251" i="10"/>
  <c r="JK251" i="10"/>
  <c r="AK251" i="10"/>
  <c r="AO251" i="10"/>
  <c r="DM251" i="10" s="1"/>
  <c r="JI251" i="10"/>
  <c r="X251" i="10"/>
  <c r="FK251" i="10"/>
  <c r="AM251" i="10"/>
  <c r="W251" i="10"/>
  <c r="JC251" i="10"/>
  <c r="AF251" i="10"/>
  <c r="JF251" i="10"/>
  <c r="AB251" i="10"/>
  <c r="AV251" i="10"/>
  <c r="AW283" i="10"/>
  <c r="W283" i="10"/>
  <c r="JC283" i="10"/>
  <c r="AA283" i="10"/>
  <c r="JE283" i="10"/>
  <c r="JH283" i="10"/>
  <c r="AB283" i="10"/>
  <c r="AN283" i="10"/>
  <c r="Y283" i="10"/>
  <c r="AO283" i="10"/>
  <c r="DM283" i="10" s="1"/>
  <c r="AR283" i="10"/>
  <c r="AE283" i="10"/>
  <c r="JK283" i="10"/>
  <c r="AV283" i="10"/>
  <c r="JG283" i="10"/>
  <c r="X283" i="10"/>
  <c r="FK283" i="10"/>
  <c r="AM283" i="10"/>
  <c r="AF283" i="10"/>
  <c r="JF283" i="10"/>
  <c r="AK283" i="10"/>
  <c r="AA99" i="10"/>
  <c r="JE99" i="10"/>
  <c r="AB99" i="10"/>
  <c r="X99" i="10"/>
  <c r="FK99" i="10"/>
  <c r="AO99" i="10"/>
  <c r="JH99" i="10"/>
  <c r="AF99" i="10"/>
  <c r="JF99" i="10"/>
  <c r="W99" i="10"/>
  <c r="JC99" i="10"/>
  <c r="JG99" i="10"/>
  <c r="AW99" i="10"/>
  <c r="AR99" i="10"/>
  <c r="AE99" i="10"/>
  <c r="JK99" i="10"/>
  <c r="AK99" i="10"/>
  <c r="AV99" i="10"/>
  <c r="AN99" i="10"/>
  <c r="Y99" i="10"/>
  <c r="AW109" i="10"/>
  <c r="AK109" i="10"/>
  <c r="AB109" i="10"/>
  <c r="AA109" i="10"/>
  <c r="JE109" i="10"/>
  <c r="X109" i="10"/>
  <c r="FK109" i="10"/>
  <c r="AM109" i="10"/>
  <c r="JH109" i="10"/>
  <c r="AF109" i="10"/>
  <c r="JF109" i="10"/>
  <c r="W109" i="10"/>
  <c r="JC109" i="10"/>
  <c r="AO109" i="10"/>
  <c r="AN109" i="10"/>
  <c r="Y109" i="10"/>
  <c r="AV109" i="10"/>
  <c r="JG109" i="10"/>
  <c r="AR109" i="10"/>
  <c r="AE109" i="10"/>
  <c r="JK109" i="10"/>
  <c r="AF279" i="10"/>
  <c r="JF279" i="10"/>
  <c r="W279" i="10"/>
  <c r="JC279" i="10"/>
  <c r="AO279" i="10"/>
  <c r="DM279" i="10" s="1"/>
  <c r="JI279" i="10"/>
  <c r="AK279" i="10"/>
  <c r="X279" i="10"/>
  <c r="FK279" i="10"/>
  <c r="AM279" i="10"/>
  <c r="AN279" i="10"/>
  <c r="Y279" i="10"/>
  <c r="AW279" i="10"/>
  <c r="JH279" i="10"/>
  <c r="AR279" i="10"/>
  <c r="AE279" i="10"/>
  <c r="JK279" i="10"/>
  <c r="AA279" i="10"/>
  <c r="JE279" i="10"/>
  <c r="AV279" i="10"/>
  <c r="JG279" i="10"/>
  <c r="AB279" i="10"/>
  <c r="X162" i="10"/>
  <c r="FK162" i="10"/>
  <c r="AM162" i="10"/>
  <c r="AO162" i="10"/>
  <c r="DM162" i="10" s="1"/>
  <c r="AB162" i="10"/>
  <c r="AR162" i="10"/>
  <c r="AE162" i="10"/>
  <c r="JK162" i="10"/>
  <c r="AK162" i="10"/>
  <c r="AV162" i="10"/>
  <c r="AF162" i="10"/>
  <c r="JF162" i="10"/>
  <c r="W162" i="10"/>
  <c r="JC162" i="10"/>
  <c r="JG162" i="10"/>
  <c r="AN162" i="10"/>
  <c r="Y162" i="10"/>
  <c r="AW162" i="10"/>
  <c r="JH162" i="10"/>
  <c r="AA162" i="10"/>
  <c r="JE162" i="10"/>
  <c r="W353" i="10"/>
  <c r="JC353" i="10"/>
  <c r="AW353" i="10"/>
  <c r="AK353" i="10"/>
  <c r="AN353" i="10"/>
  <c r="Y353" i="10"/>
  <c r="AO353" i="10"/>
  <c r="JI353" i="10"/>
  <c r="AA353" i="10"/>
  <c r="JE353" i="10"/>
  <c r="JG353" i="10"/>
  <c r="X353" i="10"/>
  <c r="FK353" i="10"/>
  <c r="AV353" i="10"/>
  <c r="AF353" i="10"/>
  <c r="JF353" i="10"/>
  <c r="JH353" i="10"/>
  <c r="AR353" i="10"/>
  <c r="AE353" i="10"/>
  <c r="JK353" i="10"/>
  <c r="AB353" i="10"/>
  <c r="AF326" i="10"/>
  <c r="JF326" i="10"/>
  <c r="AK326" i="10"/>
  <c r="W326" i="10"/>
  <c r="JC326" i="10"/>
  <c r="JG326" i="10"/>
  <c r="JH326" i="10"/>
  <c r="AO326" i="10"/>
  <c r="DM326" i="10" s="1"/>
  <c r="AR326" i="10"/>
  <c r="AE326" i="10"/>
  <c r="JK326" i="10"/>
  <c r="AN326" i="10"/>
  <c r="Y326" i="10"/>
  <c r="X326" i="10"/>
  <c r="FK326" i="10"/>
  <c r="AW326" i="10"/>
  <c r="AV326" i="10"/>
  <c r="AA326" i="10"/>
  <c r="JE326" i="10"/>
  <c r="AB326" i="10"/>
  <c r="AO235" i="10"/>
  <c r="DP235" i="10" s="1"/>
  <c r="DN235" i="10" s="1"/>
  <c r="DO235" i="10" s="1"/>
  <c r="JI235" i="10"/>
  <c r="AW235" i="10"/>
  <c r="JH235" i="10"/>
  <c r="JG235" i="10"/>
  <c r="AV235" i="10"/>
  <c r="AN235" i="10"/>
  <c r="Y235" i="10"/>
  <c r="X235" i="10"/>
  <c r="FK235" i="10"/>
  <c r="AM235" i="10"/>
  <c r="W235" i="10"/>
  <c r="JC235" i="10"/>
  <c r="AR235" i="10"/>
  <c r="AE235" i="10"/>
  <c r="JK235" i="10"/>
  <c r="AF235" i="10"/>
  <c r="JF235" i="10"/>
  <c r="AK235" i="10"/>
  <c r="AB235" i="10"/>
  <c r="AA235" i="10"/>
  <c r="JE235" i="10"/>
  <c r="AO389" i="10"/>
  <c r="DP389" i="10" s="1"/>
  <c r="DM389" i="10"/>
  <c r="AF389" i="10"/>
  <c r="JF389" i="10"/>
  <c r="AR389" i="10"/>
  <c r="AE389" i="10"/>
  <c r="JK389" i="10"/>
  <c r="AK389" i="10"/>
  <c r="JG389" i="10"/>
  <c r="AA389" i="10"/>
  <c r="JE389" i="10"/>
  <c r="AV389" i="10"/>
  <c r="W389" i="10"/>
  <c r="JC389" i="10"/>
  <c r="X389" i="10"/>
  <c r="FK389" i="10"/>
  <c r="AM389" i="10"/>
  <c r="AN389" i="10"/>
  <c r="Y389" i="10"/>
  <c r="AW389" i="10"/>
  <c r="AB389" i="10"/>
  <c r="JH389" i="10"/>
  <c r="JG95" i="10"/>
  <c r="X95" i="10"/>
  <c r="FK95" i="10"/>
  <c r="AM95" i="10"/>
  <c r="AN95" i="10"/>
  <c r="Y95" i="10"/>
  <c r="AO95" i="10"/>
  <c r="JI95" i="10"/>
  <c r="AF95" i="10"/>
  <c r="JF95" i="10"/>
  <c r="JH95" i="10"/>
  <c r="W95" i="10"/>
  <c r="JC95" i="10"/>
  <c r="AW95" i="10"/>
  <c r="AR95" i="10"/>
  <c r="AE95" i="10"/>
  <c r="JK95" i="10"/>
  <c r="AV95" i="10"/>
  <c r="AB95" i="10"/>
  <c r="AA95" i="10"/>
  <c r="JE95" i="10"/>
  <c r="AK95" i="10"/>
  <c r="AV285" i="10"/>
  <c r="AA285" i="10"/>
  <c r="JE285" i="10"/>
  <c r="X285" i="10"/>
  <c r="FK285" i="10"/>
  <c r="AN285" i="10"/>
  <c r="Y285" i="10"/>
  <c r="AK285" i="10"/>
  <c r="AO285" i="10"/>
  <c r="DP285" i="10" s="1"/>
  <c r="AR285" i="10"/>
  <c r="AE285" i="10"/>
  <c r="JK285" i="10"/>
  <c r="AB285" i="10"/>
  <c r="JH285" i="10"/>
  <c r="AF285" i="10"/>
  <c r="JF285" i="10"/>
  <c r="W285" i="10"/>
  <c r="JC285" i="10"/>
  <c r="AW285" i="10"/>
  <c r="JG285" i="10"/>
  <c r="AK259" i="10"/>
  <c r="AW259" i="10"/>
  <c r="AR259" i="10"/>
  <c r="AE259" i="10"/>
  <c r="JK259" i="10"/>
  <c r="JH259" i="10"/>
  <c r="JG259" i="10"/>
  <c r="AV259" i="10"/>
  <c r="AB259" i="10"/>
  <c r="AA259" i="10"/>
  <c r="JE259" i="10"/>
  <c r="AN259" i="10"/>
  <c r="Y259" i="10"/>
  <c r="AO259" i="10"/>
  <c r="AF259" i="10"/>
  <c r="JF259" i="10"/>
  <c r="W259" i="10"/>
  <c r="JC259" i="10"/>
  <c r="X259" i="10"/>
  <c r="FK259" i="10"/>
  <c r="AM259" i="10"/>
  <c r="AO157" i="10"/>
  <c r="DM157" i="10" s="1"/>
  <c r="AK157" i="10"/>
  <c r="AB157" i="10"/>
  <c r="JH157" i="10"/>
  <c r="AN157" i="10"/>
  <c r="Y157" i="10"/>
  <c r="AV157" i="10"/>
  <c r="AW157" i="10"/>
  <c r="AR157" i="10"/>
  <c r="AE157" i="10"/>
  <c r="JK157" i="10"/>
  <c r="X157" i="10"/>
  <c r="FK157" i="10"/>
  <c r="AF157" i="10"/>
  <c r="JF157" i="10"/>
  <c r="W157" i="10"/>
  <c r="JC157" i="10"/>
  <c r="JG157" i="10"/>
  <c r="AA157" i="10"/>
  <c r="JE157" i="10"/>
  <c r="AB136" i="10"/>
  <c r="AN136" i="10"/>
  <c r="Y136" i="10"/>
  <c r="AW136" i="10"/>
  <c r="AK136" i="10"/>
  <c r="AA136" i="10"/>
  <c r="JE136" i="10"/>
  <c r="AR136" i="10"/>
  <c r="AE136" i="10"/>
  <c r="JK136" i="10"/>
  <c r="AV136" i="10"/>
  <c r="JG136" i="10"/>
  <c r="X136" i="10"/>
  <c r="FK136" i="10"/>
  <c r="AM136" i="10"/>
  <c r="AO136" i="10"/>
  <c r="W136" i="10"/>
  <c r="JC136" i="10"/>
  <c r="AF136" i="10"/>
  <c r="JF136" i="10"/>
  <c r="JH136" i="10"/>
  <c r="AN206" i="10"/>
  <c r="Y206" i="10"/>
  <c r="AA206" i="10"/>
  <c r="JE206" i="10"/>
  <c r="AO206" i="10"/>
  <c r="DM206" i="10" s="1"/>
  <c r="AK206" i="10"/>
  <c r="AB206" i="10"/>
  <c r="AF206" i="10"/>
  <c r="JF206" i="10"/>
  <c r="AW206" i="10"/>
  <c r="JG206" i="10"/>
  <c r="X206" i="10"/>
  <c r="FK206" i="10"/>
  <c r="W206" i="10"/>
  <c r="JC206" i="10"/>
  <c r="JH206" i="10"/>
  <c r="AR206" i="10"/>
  <c r="AE206" i="10"/>
  <c r="JK206" i="10"/>
  <c r="AV206" i="10"/>
  <c r="AR202" i="10"/>
  <c r="AE202" i="10"/>
  <c r="JK202" i="10"/>
  <c r="AF202" i="10"/>
  <c r="JF202" i="10"/>
  <c r="AW202" i="10"/>
  <c r="JH202" i="10"/>
  <c r="AO202" i="10"/>
  <c r="DM202" i="10" s="1"/>
  <c r="W202" i="10"/>
  <c r="JC202" i="10"/>
  <c r="AK202" i="10"/>
  <c r="AA202" i="10"/>
  <c r="JE202" i="10"/>
  <c r="AV202" i="10"/>
  <c r="AB202" i="10"/>
  <c r="JG202" i="10"/>
  <c r="AN202" i="10"/>
  <c r="Y202" i="10"/>
  <c r="X202" i="10"/>
  <c r="FK202" i="10"/>
  <c r="AM202" i="10"/>
  <c r="AN146" i="10"/>
  <c r="Y146" i="10"/>
  <c r="W146" i="10"/>
  <c r="JC146" i="10"/>
  <c r="AF146" i="10"/>
  <c r="JF146" i="10"/>
  <c r="AR146" i="10"/>
  <c r="AE146" i="10"/>
  <c r="JK146" i="10"/>
  <c r="AA146" i="10"/>
  <c r="JE146" i="10"/>
  <c r="JH146" i="10"/>
  <c r="AB146" i="10"/>
  <c r="X146" i="10"/>
  <c r="FK146" i="10"/>
  <c r="AM146" i="10"/>
  <c r="JG146" i="10"/>
  <c r="AV146" i="10"/>
  <c r="AK146" i="10"/>
  <c r="AO146" i="10"/>
  <c r="AW146" i="10"/>
  <c r="AV172" i="10"/>
  <c r="AK172" i="10"/>
  <c r="AA172" i="10"/>
  <c r="JE172" i="10"/>
  <c r="JG172" i="10"/>
  <c r="AO172" i="10"/>
  <c r="DP172" i="10" s="1"/>
  <c r="DN172" i="10" s="1"/>
  <c r="DO172" i="10" s="1"/>
  <c r="X172" i="10"/>
  <c r="FK172" i="10"/>
  <c r="AW172" i="10"/>
  <c r="JH172" i="10"/>
  <c r="AR172" i="10"/>
  <c r="AE172" i="10"/>
  <c r="JK172" i="10"/>
  <c r="AN172" i="10"/>
  <c r="Y172" i="10"/>
  <c r="W172" i="10"/>
  <c r="JC172" i="10"/>
  <c r="AB172" i="10"/>
  <c r="AF172" i="10"/>
  <c r="JF172" i="10"/>
  <c r="AV106" i="10"/>
  <c r="AW106" i="10"/>
  <c r="AB106" i="10"/>
  <c r="AR106" i="10"/>
  <c r="AE106" i="10"/>
  <c r="JK106" i="10"/>
  <c r="JG106" i="10"/>
  <c r="X106" i="10"/>
  <c r="FK106" i="10"/>
  <c r="AM106" i="10"/>
  <c r="AK106" i="10"/>
  <c r="JH106" i="10"/>
  <c r="AN106" i="10"/>
  <c r="Y106" i="10"/>
  <c r="W106" i="10"/>
  <c r="JC106" i="10"/>
  <c r="AO106" i="10"/>
  <c r="DP106" i="10" s="1"/>
  <c r="DN106" i="10" s="1"/>
  <c r="DO106" i="10" s="1"/>
  <c r="AF106" i="10"/>
  <c r="JF106" i="10"/>
  <c r="AA106" i="10"/>
  <c r="JE106" i="10"/>
  <c r="AN382" i="10"/>
  <c r="Y382" i="10"/>
  <c r="X382" i="10"/>
  <c r="FK382" i="10"/>
  <c r="JH382" i="10"/>
  <c r="AW382" i="10"/>
  <c r="JG382" i="10"/>
  <c r="AR382" i="10"/>
  <c r="AE382" i="10"/>
  <c r="JK382" i="10"/>
  <c r="AV382" i="10"/>
  <c r="AK382" i="10"/>
  <c r="AA382" i="10"/>
  <c r="JE382" i="10"/>
  <c r="AB382" i="10"/>
  <c r="AF382" i="10"/>
  <c r="JF382" i="10"/>
  <c r="W382" i="10"/>
  <c r="JC382" i="10"/>
  <c r="AO382" i="10"/>
  <c r="DP382" i="10"/>
  <c r="DN382" i="10" s="1"/>
  <c r="DO382" i="10" s="1"/>
  <c r="JI382" i="10"/>
  <c r="AW358" i="10"/>
  <c r="JG358" i="10"/>
  <c r="AK358" i="10"/>
  <c r="AN358" i="10"/>
  <c r="Y358" i="10"/>
  <c r="AR358" i="10"/>
  <c r="AE358" i="10"/>
  <c r="JK358" i="10"/>
  <c r="X358" i="10"/>
  <c r="FK358" i="10"/>
  <c r="AO358" i="10"/>
  <c r="AF358" i="10"/>
  <c r="JF358" i="10"/>
  <c r="W358" i="10"/>
  <c r="JC358" i="10"/>
  <c r="AB358" i="10"/>
  <c r="AV358" i="10"/>
  <c r="AA358" i="10"/>
  <c r="JE358" i="10"/>
  <c r="JH358" i="10"/>
  <c r="AV357" i="10"/>
  <c r="AR357" i="10"/>
  <c r="AE357" i="10"/>
  <c r="JK357" i="10"/>
  <c r="X357" i="10"/>
  <c r="FK357" i="10"/>
  <c r="AN357" i="10"/>
  <c r="Y357" i="10"/>
  <c r="AA357" i="10"/>
  <c r="JE357" i="10"/>
  <c r="AO357" i="10"/>
  <c r="DM357" i="10" s="1"/>
  <c r="AK357" i="10"/>
  <c r="W357" i="10"/>
  <c r="JC357" i="10"/>
  <c r="AW357" i="10"/>
  <c r="AF357" i="10"/>
  <c r="JF357" i="10"/>
  <c r="AB357" i="10"/>
  <c r="JH357" i="10"/>
  <c r="JG357" i="10"/>
  <c r="AA105" i="10"/>
  <c r="JE105" i="10"/>
  <c r="JG105" i="10"/>
  <c r="JH105" i="10"/>
  <c r="AR105" i="10"/>
  <c r="AE105" i="10"/>
  <c r="JK105" i="10"/>
  <c r="AK105" i="10"/>
  <c r="AB105" i="10"/>
  <c r="AV105" i="10"/>
  <c r="AW105" i="10"/>
  <c r="X105" i="10"/>
  <c r="FK105" i="10"/>
  <c r="AM105" i="10"/>
  <c r="AN105" i="10"/>
  <c r="Y105" i="10"/>
  <c r="AO105" i="10"/>
  <c r="AP105" i="10"/>
  <c r="AQ105" i="10"/>
  <c r="IJ105" i="10" s="1"/>
  <c r="AF105" i="10"/>
  <c r="JF105" i="10"/>
  <c r="W105" i="10"/>
  <c r="JC105" i="10"/>
  <c r="AN103" i="10"/>
  <c r="Y103" i="10"/>
  <c r="AB103" i="10"/>
  <c r="AR103" i="10"/>
  <c r="AE103" i="10"/>
  <c r="JK103" i="10"/>
  <c r="AA103" i="10"/>
  <c r="JE103" i="10"/>
  <c r="AK103" i="10"/>
  <c r="X103" i="10"/>
  <c r="FK103" i="10"/>
  <c r="AW103" i="10"/>
  <c r="JG103" i="10"/>
  <c r="AV103" i="10"/>
  <c r="JH103" i="10"/>
  <c r="AO103" i="10"/>
  <c r="DP103" i="10" s="1"/>
  <c r="W103" i="10"/>
  <c r="JC103" i="10"/>
  <c r="AF103" i="10"/>
  <c r="JF103" i="10"/>
  <c r="AW67" i="10"/>
  <c r="AN67" i="10"/>
  <c r="Y67" i="10"/>
  <c r="AA67" i="10"/>
  <c r="JE67" i="10"/>
  <c r="AO67" i="10"/>
  <c r="JG67" i="10"/>
  <c r="X67" i="10"/>
  <c r="FK67" i="10"/>
  <c r="AM67" i="10"/>
  <c r="AR67" i="10"/>
  <c r="AE67" i="10"/>
  <c r="JK67" i="10"/>
  <c r="W67" i="10"/>
  <c r="JC67" i="10"/>
  <c r="AF67" i="10"/>
  <c r="JF67" i="10"/>
  <c r="AK67" i="10"/>
  <c r="AV67" i="10"/>
  <c r="JH67" i="10"/>
  <c r="AB67" i="10"/>
  <c r="AA184" i="10"/>
  <c r="JE184" i="10"/>
  <c r="W184" i="10"/>
  <c r="JC184" i="10"/>
  <c r="AF184" i="10"/>
  <c r="JF184" i="10"/>
  <c r="AK184" i="10"/>
  <c r="AW184" i="10"/>
  <c r="AR184" i="10"/>
  <c r="AE184" i="10"/>
  <c r="JK184" i="10"/>
  <c r="JH184" i="10"/>
  <c r="AN184" i="10"/>
  <c r="Y184" i="10"/>
  <c r="X184" i="10"/>
  <c r="FK184" i="10"/>
  <c r="AO184" i="10"/>
  <c r="DM184" i="10" s="1"/>
  <c r="AB184" i="10"/>
  <c r="JG184" i="10"/>
  <c r="AV184" i="10"/>
  <c r="JH311" i="10"/>
  <c r="AV311" i="10"/>
  <c r="AO311" i="10"/>
  <c r="AF311" i="10"/>
  <c r="JF311" i="10"/>
  <c r="W311" i="10"/>
  <c r="JC311" i="10"/>
  <c r="AW311" i="10"/>
  <c r="AK311" i="10"/>
  <c r="AA311" i="10"/>
  <c r="JE311" i="10"/>
  <c r="AR311" i="10"/>
  <c r="AE311" i="10"/>
  <c r="JK311" i="10"/>
  <c r="AB311" i="10"/>
  <c r="JG311" i="10"/>
  <c r="X311" i="10"/>
  <c r="FK311" i="10"/>
  <c r="AN311" i="10"/>
  <c r="Y311" i="10"/>
  <c r="JG134" i="10"/>
  <c r="AA134" i="10"/>
  <c r="JE134" i="10"/>
  <c r="AR134" i="10"/>
  <c r="AE134" i="10"/>
  <c r="JK134" i="10"/>
  <c r="AN134" i="10"/>
  <c r="Y134" i="10"/>
  <c r="AO134" i="10"/>
  <c r="DP134" i="10" s="1"/>
  <c r="DN134" i="10" s="1"/>
  <c r="DO134" i="10" s="1"/>
  <c r="AP134" i="10"/>
  <c r="AQ134" i="10"/>
  <c r="IJ134" i="10" s="1"/>
  <c r="AK134" i="10"/>
  <c r="X134" i="10"/>
  <c r="FK134" i="10"/>
  <c r="AW134" i="10"/>
  <c r="AB134" i="10"/>
  <c r="AF134" i="10"/>
  <c r="JF134" i="10"/>
  <c r="W134" i="10"/>
  <c r="JC134" i="10"/>
  <c r="JH134" i="10"/>
  <c r="AV134" i="10"/>
  <c r="AN110" i="10"/>
  <c r="Y110" i="10"/>
  <c r="X110" i="10"/>
  <c r="GI110" i="10"/>
  <c r="AO110" i="10"/>
  <c r="AR110" i="10"/>
  <c r="AE110" i="10"/>
  <c r="JK110" i="10"/>
  <c r="JG110" i="10"/>
  <c r="AA110" i="10"/>
  <c r="JE110" i="10"/>
  <c r="AV110" i="10"/>
  <c r="AT110" i="10"/>
  <c r="AB110" i="10"/>
  <c r="AK110" i="10"/>
  <c r="W110" i="10"/>
  <c r="JC110" i="10"/>
  <c r="AF110" i="10"/>
  <c r="JF110" i="10"/>
  <c r="AW110" i="10"/>
  <c r="JH110" i="10"/>
  <c r="AV188" i="10"/>
  <c r="AN188" i="10"/>
  <c r="Y188" i="10"/>
  <c r="JG188" i="10"/>
  <c r="JH188" i="10"/>
  <c r="X188" i="10"/>
  <c r="FK188" i="10"/>
  <c r="AM188" i="10"/>
  <c r="AF188" i="10"/>
  <c r="JF188" i="10"/>
  <c r="AA188" i="10"/>
  <c r="JE188" i="10"/>
  <c r="W188" i="10"/>
  <c r="JC188" i="10"/>
  <c r="AB188" i="10"/>
  <c r="AO188" i="10"/>
  <c r="DP188" i="10" s="1"/>
  <c r="DN188" i="10" s="1"/>
  <c r="DO188" i="10" s="1"/>
  <c r="AW188" i="10"/>
  <c r="AK188" i="10"/>
  <c r="AR188" i="10"/>
  <c r="AE188" i="10"/>
  <c r="JK188" i="10"/>
  <c r="X159" i="10"/>
  <c r="FK159" i="10"/>
  <c r="AM159" i="10"/>
  <c r="AR159" i="10"/>
  <c r="AE159" i="10"/>
  <c r="JK159" i="10"/>
  <c r="JH159" i="10"/>
  <c r="AK159" i="10"/>
  <c r="AB159" i="10"/>
  <c r="AA159" i="10"/>
  <c r="JE159" i="10"/>
  <c r="AV159" i="10"/>
  <c r="AN159" i="10"/>
  <c r="Y159" i="10"/>
  <c r="AF159" i="10"/>
  <c r="JF159" i="10"/>
  <c r="W159" i="10"/>
  <c r="JC159" i="10"/>
  <c r="JG159" i="10"/>
  <c r="AO159" i="10"/>
  <c r="JI159" i="10"/>
  <c r="AW159" i="10"/>
  <c r="AK135" i="10"/>
  <c r="JH135" i="10"/>
  <c r="AN135" i="10"/>
  <c r="Y135" i="10"/>
  <c r="AW135" i="10"/>
  <c r="GI135" i="10"/>
  <c r="AT135" i="10" s="1"/>
  <c r="AR135" i="10"/>
  <c r="AE135" i="10"/>
  <c r="JK135" i="10"/>
  <c r="AO135" i="10"/>
  <c r="DM135" i="10" s="1"/>
  <c r="W135" i="10"/>
  <c r="JC135" i="10"/>
  <c r="AF135" i="10"/>
  <c r="JF135" i="10"/>
  <c r="AV135" i="10"/>
  <c r="AB135" i="10"/>
  <c r="JG135" i="10"/>
  <c r="AA135" i="10"/>
  <c r="JE135" i="10"/>
  <c r="X135" i="10"/>
  <c r="FK135" i="10"/>
  <c r="AM135" i="10"/>
  <c r="AV278" i="10"/>
  <c r="AN278" i="10"/>
  <c r="Y278" i="10"/>
  <c r="AB278" i="10"/>
  <c r="AK278" i="10"/>
  <c r="AA278" i="10"/>
  <c r="JE278" i="10"/>
  <c r="W278" i="10"/>
  <c r="JC278" i="10"/>
  <c r="AW278" i="10"/>
  <c r="JG278" i="10"/>
  <c r="AR278" i="10"/>
  <c r="AE278" i="10"/>
  <c r="JK278" i="10"/>
  <c r="JH278" i="10"/>
  <c r="AO278" i="10"/>
  <c r="DM278" i="10"/>
  <c r="X278" i="10"/>
  <c r="FK278" i="10"/>
  <c r="AF278" i="10"/>
  <c r="JF278" i="10"/>
  <c r="AR280" i="10"/>
  <c r="AE280" i="10"/>
  <c r="JK280" i="10"/>
  <c r="AW280" i="10"/>
  <c r="AO280" i="10"/>
  <c r="DP280" i="10" s="1"/>
  <c r="DN280" i="10" s="1"/>
  <c r="DO280" i="10" s="1"/>
  <c r="AF280" i="10"/>
  <c r="JF280" i="10"/>
  <c r="W280" i="10"/>
  <c r="JC280" i="10"/>
  <c r="AV280" i="10"/>
  <c r="AB280" i="10"/>
  <c r="AK280" i="10"/>
  <c r="JG280" i="10"/>
  <c r="JH280" i="10"/>
  <c r="AA280" i="10"/>
  <c r="JE280" i="10"/>
  <c r="X280" i="10"/>
  <c r="FK280" i="10"/>
  <c r="AM280" i="10"/>
  <c r="AN280" i="10"/>
  <c r="Y280" i="10"/>
  <c r="X161" i="10"/>
  <c r="JH161" i="10"/>
  <c r="W161" i="10"/>
  <c r="JC161" i="10"/>
  <c r="JG161" i="10"/>
  <c r="AF161" i="10"/>
  <c r="JF161" i="10"/>
  <c r="AO161" i="10"/>
  <c r="DM161" i="10" s="1"/>
  <c r="AR161" i="10"/>
  <c r="AE161" i="10"/>
  <c r="JK161" i="10"/>
  <c r="AN161" i="10"/>
  <c r="Y161" i="10"/>
  <c r="AW161" i="10"/>
  <c r="AA161" i="10"/>
  <c r="JE161" i="10"/>
  <c r="AK161" i="10"/>
  <c r="AV161" i="10"/>
  <c r="AB161" i="10"/>
  <c r="AR190" i="10"/>
  <c r="AE190" i="10"/>
  <c r="JK190" i="10"/>
  <c r="AN190" i="10"/>
  <c r="Y190" i="10"/>
  <c r="AK190" i="10"/>
  <c r="JG190" i="10"/>
  <c r="X190" i="10"/>
  <c r="FK190" i="10"/>
  <c r="AM190" i="10"/>
  <c r="AO190" i="10"/>
  <c r="DM190" i="10" s="1"/>
  <c r="JI190" i="10"/>
  <c r="AF190" i="10"/>
  <c r="JF190" i="10"/>
  <c r="W190" i="10"/>
  <c r="JC190" i="10"/>
  <c r="AW190" i="10"/>
  <c r="AV190" i="10"/>
  <c r="AB190" i="10"/>
  <c r="JH190" i="10"/>
  <c r="AA190" i="10"/>
  <c r="JE190" i="10"/>
  <c r="AR335" i="10"/>
  <c r="AE335" i="10"/>
  <c r="JK335" i="10"/>
  <c r="AK335" i="10"/>
  <c r="AB335" i="10"/>
  <c r="X335" i="10"/>
  <c r="FK335" i="10"/>
  <c r="JG335" i="10"/>
  <c r="AF335" i="10"/>
  <c r="JF335" i="10"/>
  <c r="W335" i="10"/>
  <c r="JC335" i="10"/>
  <c r="AW335" i="10"/>
  <c r="AV335" i="10"/>
  <c r="JH335" i="10"/>
  <c r="AN335" i="10"/>
  <c r="Y335" i="10"/>
  <c r="AO335" i="10"/>
  <c r="DP335" i="10" s="1"/>
  <c r="AA335" i="10"/>
  <c r="JE335" i="10"/>
  <c r="AN272" i="10"/>
  <c r="Y272" i="10"/>
  <c r="AR272" i="10"/>
  <c r="AE272" i="10"/>
  <c r="JK272" i="10"/>
  <c r="X272" i="10"/>
  <c r="FK272" i="10"/>
  <c r="AM272" i="10"/>
  <c r="JH272" i="10"/>
  <c r="AA272" i="10"/>
  <c r="JE272" i="10"/>
  <c r="JG272" i="10"/>
  <c r="AV272" i="10"/>
  <c r="AB272" i="10"/>
  <c r="AK272" i="10"/>
  <c r="AO272" i="10"/>
  <c r="JI272" i="10"/>
  <c r="AW272" i="10"/>
  <c r="W272" i="10"/>
  <c r="JC272" i="10"/>
  <c r="AF272" i="10"/>
  <c r="JF272" i="10"/>
  <c r="GI59" i="10"/>
  <c r="AO59" i="10"/>
  <c r="DM59" i="10" s="1"/>
  <c r="JG59" i="10"/>
  <c r="AV59" i="10"/>
  <c r="AA59" i="10"/>
  <c r="JE59" i="10"/>
  <c r="AN59" i="10"/>
  <c r="Y59" i="10"/>
  <c r="AK59" i="10"/>
  <c r="AT59" i="10"/>
  <c r="AB59" i="10"/>
  <c r="X59" i="10"/>
  <c r="FK59" i="10"/>
  <c r="JH59" i="10"/>
  <c r="AR59" i="10"/>
  <c r="AE59" i="10"/>
  <c r="JK59" i="10"/>
  <c r="AF59" i="10"/>
  <c r="JF59" i="10"/>
  <c r="W59" i="10"/>
  <c r="JC59" i="10"/>
  <c r="AW59" i="10"/>
  <c r="X351" i="10"/>
  <c r="FK351" i="10"/>
  <c r="AN351" i="10"/>
  <c r="Y351" i="10"/>
  <c r="JH351" i="10"/>
  <c r="AR351" i="10"/>
  <c r="AE351" i="10"/>
  <c r="JK351" i="10"/>
  <c r="AK351" i="10"/>
  <c r="AV351" i="10"/>
  <c r="JG351" i="10"/>
  <c r="AA351" i="10"/>
  <c r="JE351" i="10"/>
  <c r="AB351" i="10"/>
  <c r="AO351" i="10"/>
  <c r="AW351" i="10"/>
  <c r="AF351" i="10"/>
  <c r="JF351" i="10"/>
  <c r="W351" i="10"/>
  <c r="JC351" i="10"/>
  <c r="AK226" i="10"/>
  <c r="AA226" i="10"/>
  <c r="JE226" i="10"/>
  <c r="AN226" i="10"/>
  <c r="Y226" i="10"/>
  <c r="JG226" i="10"/>
  <c r="JH226" i="10"/>
  <c r="AO226" i="10"/>
  <c r="DP226" i="10" s="1"/>
  <c r="DN226" i="10" s="1"/>
  <c r="DO226" i="10" s="1"/>
  <c r="AF226" i="10"/>
  <c r="JF226" i="10"/>
  <c r="AW226" i="10"/>
  <c r="W226" i="10"/>
  <c r="JC226" i="10"/>
  <c r="AR226" i="10"/>
  <c r="AE226" i="10"/>
  <c r="JK226" i="10"/>
  <c r="AV226" i="10"/>
  <c r="AB226" i="10"/>
  <c r="X226" i="10"/>
  <c r="FK226" i="10"/>
  <c r="AR102" i="10"/>
  <c r="AE102" i="10"/>
  <c r="JK102" i="10"/>
  <c r="AT102" i="10"/>
  <c r="AB102" i="10"/>
  <c r="JH102" i="10"/>
  <c r="AW102" i="10"/>
  <c r="JG102" i="10"/>
  <c r="AA102" i="10"/>
  <c r="JE102" i="10"/>
  <c r="AK102" i="10"/>
  <c r="AN102" i="10"/>
  <c r="Y102" i="10"/>
  <c r="AO102" i="10"/>
  <c r="DM102" i="10" s="1"/>
  <c r="X102" i="10"/>
  <c r="FK102" i="10"/>
  <c r="AF102" i="10"/>
  <c r="JF102" i="10"/>
  <c r="W102" i="10"/>
  <c r="JC102" i="10"/>
  <c r="AV102" i="10"/>
  <c r="AB54" i="10"/>
  <c r="AK54" i="10"/>
  <c r="X54" i="10"/>
  <c r="FK54" i="10"/>
  <c r="AM54" i="10"/>
  <c r="AF54" i="10"/>
  <c r="JF54" i="10"/>
  <c r="W54" i="10"/>
  <c r="JC54" i="10"/>
  <c r="AW54" i="10"/>
  <c r="JH54" i="10"/>
  <c r="JG54" i="10"/>
  <c r="AN54" i="10"/>
  <c r="Y54" i="10"/>
  <c r="AO54" i="10"/>
  <c r="DM54" i="10"/>
  <c r="AR54" i="10"/>
  <c r="AE54" i="10"/>
  <c r="JK54" i="10"/>
  <c r="AV54" i="10"/>
  <c r="AA54" i="10"/>
  <c r="JE54" i="10"/>
  <c r="JG48" i="10"/>
  <c r="AO48" i="10"/>
  <c r="DM48" i="10" s="1"/>
  <c r="X48" i="10"/>
  <c r="FK48" i="10"/>
  <c r="AV48" i="10"/>
  <c r="AF48" i="10"/>
  <c r="JF48" i="10"/>
  <c r="AR48" i="10"/>
  <c r="AE48" i="10"/>
  <c r="JK48" i="10"/>
  <c r="W48" i="10"/>
  <c r="JC48" i="10"/>
  <c r="AN48" i="10"/>
  <c r="Y48" i="10"/>
  <c r="AB48" i="10"/>
  <c r="AK48" i="10"/>
  <c r="JH48" i="10"/>
  <c r="AW48" i="10"/>
  <c r="AA48" i="10"/>
  <c r="JE48" i="10"/>
  <c r="X239" i="10"/>
  <c r="FK239" i="10"/>
  <c r="AM239" i="10"/>
  <c r="AV239" i="10"/>
  <c r="AO239" i="10"/>
  <c r="DP239" i="10" s="1"/>
  <c r="DN239" i="10" s="1"/>
  <c r="DO239" i="10" s="1"/>
  <c r="AA239" i="10"/>
  <c r="JE239" i="10"/>
  <c r="AK239" i="10"/>
  <c r="AR239" i="10"/>
  <c r="AE239" i="10"/>
  <c r="JK239" i="10"/>
  <c r="AB239" i="10"/>
  <c r="W239" i="10"/>
  <c r="JC239" i="10"/>
  <c r="AW239" i="10"/>
  <c r="JG239" i="10"/>
  <c r="AN239" i="10"/>
  <c r="Y239" i="10"/>
  <c r="AF239" i="10"/>
  <c r="JF239" i="10"/>
  <c r="JH239" i="10"/>
  <c r="JG313" i="10"/>
  <c r="JH313" i="10"/>
  <c r="AN313" i="10"/>
  <c r="Y313" i="10"/>
  <c r="X313" i="10"/>
  <c r="FK313" i="10"/>
  <c r="AM313" i="10"/>
  <c r="AB313" i="10"/>
  <c r="AO313" i="10"/>
  <c r="AV313" i="10"/>
  <c r="W313" i="10"/>
  <c r="JC313" i="10"/>
  <c r="AW313" i="10"/>
  <c r="AA313" i="10"/>
  <c r="JE313" i="10"/>
  <c r="AR313" i="10"/>
  <c r="AE313" i="10"/>
  <c r="JK313" i="10"/>
  <c r="AF313" i="10"/>
  <c r="JF313" i="10"/>
  <c r="AK313" i="10"/>
  <c r="AR289" i="10"/>
  <c r="AE289" i="10"/>
  <c r="JK289" i="10"/>
  <c r="JH289" i="10"/>
  <c r="X289" i="10"/>
  <c r="AM289" i="10"/>
  <c r="AO289" i="10"/>
  <c r="AK289" i="10"/>
  <c r="AF289" i="10"/>
  <c r="JF289" i="10"/>
  <c r="AB289" i="10"/>
  <c r="AA289" i="10"/>
  <c r="JE289" i="10"/>
  <c r="JG289" i="10"/>
  <c r="AN289" i="10"/>
  <c r="Y289" i="10"/>
  <c r="W289" i="10"/>
  <c r="JC289" i="10"/>
  <c r="AW289" i="10"/>
  <c r="AV289" i="10"/>
  <c r="AK341" i="10"/>
  <c r="JH341" i="10"/>
  <c r="AR341" i="10"/>
  <c r="AE341" i="10"/>
  <c r="JK341" i="10"/>
  <c r="X341" i="10"/>
  <c r="FK341" i="10"/>
  <c r="AF341" i="10"/>
  <c r="JF341" i="10"/>
  <c r="JG341" i="10"/>
  <c r="AW341" i="10"/>
  <c r="AA341" i="10"/>
  <c r="JE341" i="10"/>
  <c r="AB341" i="10"/>
  <c r="AV341" i="10"/>
  <c r="W341" i="10"/>
  <c r="JC341" i="10"/>
  <c r="AN341" i="10"/>
  <c r="Y341" i="10"/>
  <c r="AO341" i="10"/>
  <c r="AO276" i="10"/>
  <c r="DP276" i="10" s="1"/>
  <c r="DN276" i="10" s="1"/>
  <c r="DO276" i="10" s="1"/>
  <c r="DM276" i="10"/>
  <c r="JH276" i="10"/>
  <c r="AK276" i="10"/>
  <c r="AN276" i="10"/>
  <c r="Y276" i="10"/>
  <c r="AB276" i="10"/>
  <c r="AF276" i="10"/>
  <c r="JF276" i="10"/>
  <c r="W276" i="10"/>
  <c r="JC276" i="10"/>
  <c r="AW276" i="10"/>
  <c r="JG276" i="10"/>
  <c r="AA276" i="10"/>
  <c r="JE276" i="10"/>
  <c r="AV276" i="10"/>
  <c r="AR276" i="10"/>
  <c r="AE276" i="10"/>
  <c r="JK276" i="10"/>
  <c r="X276" i="10"/>
  <c r="FK276" i="10"/>
  <c r="AM276" i="10"/>
  <c r="AO195" i="10"/>
  <c r="JI195" i="10"/>
  <c r="W195" i="10"/>
  <c r="JC195" i="10"/>
  <c r="AA195" i="10"/>
  <c r="JE195" i="10"/>
  <c r="AK195" i="10"/>
  <c r="X195" i="10"/>
  <c r="FK195" i="10"/>
  <c r="AM195" i="10"/>
  <c r="AF195" i="10"/>
  <c r="JF195" i="10"/>
  <c r="AW195" i="10"/>
  <c r="JG195" i="10"/>
  <c r="JH195" i="10"/>
  <c r="AR195" i="10"/>
  <c r="AE195" i="10"/>
  <c r="JK195" i="10"/>
  <c r="AN195" i="10"/>
  <c r="Y195" i="10"/>
  <c r="AV195" i="10"/>
  <c r="AB195" i="10"/>
  <c r="AV320" i="10"/>
  <c r="JG320" i="10"/>
  <c r="AN320" i="10"/>
  <c r="Y320" i="10"/>
  <c r="JH320" i="10"/>
  <c r="AK320" i="10"/>
  <c r="X320" i="10"/>
  <c r="FK320" i="10"/>
  <c r="AM320" i="10"/>
  <c r="AB320" i="10"/>
  <c r="AO320" i="10"/>
  <c r="DP320" i="10" s="1"/>
  <c r="DN320" i="10" s="1"/>
  <c r="DO320" i="10" s="1"/>
  <c r="DM320" i="10"/>
  <c r="W320" i="10"/>
  <c r="JC320" i="10"/>
  <c r="AW320" i="10"/>
  <c r="AF320" i="10"/>
  <c r="JF320" i="10"/>
  <c r="AR320" i="10"/>
  <c r="AE320" i="10"/>
  <c r="JK320" i="10"/>
  <c r="AA320" i="10"/>
  <c r="JE320" i="10"/>
  <c r="W263" i="10"/>
  <c r="JC263" i="10"/>
  <c r="JG263" i="10"/>
  <c r="AK263" i="10"/>
  <c r="X263" i="10"/>
  <c r="FK263" i="10"/>
  <c r="AM263" i="10"/>
  <c r="AO263" i="10"/>
  <c r="AB263" i="10"/>
  <c r="JH263" i="10"/>
  <c r="AN263" i="10"/>
  <c r="Y263" i="10"/>
  <c r="AF263" i="10"/>
  <c r="JF263" i="10"/>
  <c r="AW263" i="10"/>
  <c r="AA263" i="10"/>
  <c r="JE263" i="10"/>
  <c r="AV263" i="10"/>
  <c r="AR263" i="10"/>
  <c r="AE263" i="10"/>
  <c r="JK263" i="10"/>
  <c r="AB338" i="10"/>
  <c r="JG338" i="10"/>
  <c r="AN338" i="10"/>
  <c r="Y338" i="10"/>
  <c r="AA338" i="10"/>
  <c r="JE338" i="10"/>
  <c r="AR338" i="10"/>
  <c r="AE338" i="10"/>
  <c r="JK338" i="10"/>
  <c r="X338" i="10"/>
  <c r="FK338" i="10"/>
  <c r="AM338" i="10"/>
  <c r="AV338" i="10"/>
  <c r="AO338" i="10"/>
  <c r="AK338" i="10"/>
  <c r="AF338" i="10"/>
  <c r="JF338" i="10"/>
  <c r="W338" i="10"/>
  <c r="JC338" i="10"/>
  <c r="AW338" i="10"/>
  <c r="JH338" i="10"/>
  <c r="W345" i="10"/>
  <c r="JC345" i="10"/>
  <c r="AB345" i="10"/>
  <c r="X345" i="10"/>
  <c r="AO345" i="10"/>
  <c r="AN345" i="10"/>
  <c r="Y345" i="10"/>
  <c r="AF345" i="10"/>
  <c r="JF345" i="10"/>
  <c r="AW345" i="10"/>
  <c r="JH345" i="10"/>
  <c r="JG345" i="10"/>
  <c r="AV345" i="10"/>
  <c r="AR345" i="10"/>
  <c r="AE345" i="10"/>
  <c r="JK345" i="10"/>
  <c r="AA345" i="10"/>
  <c r="JE345" i="10"/>
  <c r="AK345" i="10"/>
  <c r="X297" i="10"/>
  <c r="FK297" i="10"/>
  <c r="AM297" i="10"/>
  <c r="AF297" i="10"/>
  <c r="JF297" i="10"/>
  <c r="AB297" i="10"/>
  <c r="AV297" i="10"/>
  <c r="AR297" i="10"/>
  <c r="AE297" i="10"/>
  <c r="JK297" i="10"/>
  <c r="AK297" i="10"/>
  <c r="AN297" i="10"/>
  <c r="Y297" i="10"/>
  <c r="AA297" i="10"/>
  <c r="JE297" i="10"/>
  <c r="AW297" i="10"/>
  <c r="JG297" i="10"/>
  <c r="JH297" i="10"/>
  <c r="AO297" i="10"/>
  <c r="W297" i="10"/>
  <c r="JC297" i="10"/>
  <c r="AN130" i="10"/>
  <c r="Y130" i="10"/>
  <c r="AA130" i="10"/>
  <c r="JE130" i="10"/>
  <c r="JG130" i="10"/>
  <c r="AO130" i="10"/>
  <c r="DM130" i="10" s="1"/>
  <c r="X130" i="10"/>
  <c r="AM130" i="10"/>
  <c r="W130" i="10"/>
  <c r="JC130" i="10"/>
  <c r="AK130" i="10"/>
  <c r="AR130" i="10"/>
  <c r="AE130" i="10"/>
  <c r="JK130" i="10"/>
  <c r="AV130" i="10"/>
  <c r="AW130" i="10"/>
  <c r="AB130" i="10"/>
  <c r="JH130" i="10"/>
  <c r="AF130" i="10"/>
  <c r="JF130" i="10"/>
  <c r="AK249" i="10"/>
  <c r="AN249" i="10"/>
  <c r="Y249" i="10"/>
  <c r="AR249" i="10"/>
  <c r="AE249" i="10"/>
  <c r="JK249" i="10"/>
  <c r="AB249" i="10"/>
  <c r="X249" i="10"/>
  <c r="FK249" i="10"/>
  <c r="AM249" i="10"/>
  <c r="AF249" i="10"/>
  <c r="JF249" i="10"/>
  <c r="AW249" i="10"/>
  <c r="W249" i="10"/>
  <c r="JC249" i="10"/>
  <c r="JG249" i="10"/>
  <c r="AV249" i="10"/>
  <c r="AO249" i="10"/>
  <c r="AA249" i="10"/>
  <c r="JE249" i="10"/>
  <c r="JH249" i="10"/>
  <c r="X90" i="10"/>
  <c r="FK90" i="10"/>
  <c r="AM90" i="10"/>
  <c r="JH90" i="10"/>
  <c r="AO90" i="10"/>
  <c r="DP90" i="10" s="1"/>
  <c r="DN90" i="10" s="1"/>
  <c r="JG90" i="10"/>
  <c r="AV90" i="10"/>
  <c r="AK90" i="10"/>
  <c r="AN90" i="10"/>
  <c r="Y90" i="10"/>
  <c r="AW90" i="10"/>
  <c r="AA90" i="10"/>
  <c r="JE90" i="10"/>
  <c r="W90" i="10"/>
  <c r="JC90" i="10"/>
  <c r="AR90" i="10"/>
  <c r="AE90" i="10"/>
  <c r="JK90" i="10"/>
  <c r="AB90" i="10"/>
  <c r="AF90" i="10"/>
  <c r="JF90" i="10"/>
  <c r="AN66" i="10"/>
  <c r="Y66" i="10"/>
  <c r="JH66" i="10"/>
  <c r="W66" i="10"/>
  <c r="JC66" i="10"/>
  <c r="JG66" i="10"/>
  <c r="AV66" i="10"/>
  <c r="GI66" i="10"/>
  <c r="AT66" i="10" s="1"/>
  <c r="AB66" i="10"/>
  <c r="X66" i="10"/>
  <c r="FK66" i="10"/>
  <c r="AO66" i="10"/>
  <c r="DM66" i="10" s="1"/>
  <c r="AP66" i="10"/>
  <c r="AQ66" i="10"/>
  <c r="DP66" i="10"/>
  <c r="DN66" i="10" s="1"/>
  <c r="DO66" i="10" s="1"/>
  <c r="AF66" i="10"/>
  <c r="JF66" i="10"/>
  <c r="AR66" i="10"/>
  <c r="AE66" i="10"/>
  <c r="JK66" i="10"/>
  <c r="AW66" i="10"/>
  <c r="AK66" i="10"/>
  <c r="AA66" i="10"/>
  <c r="JE66" i="10"/>
  <c r="X187" i="10"/>
  <c r="FK187" i="10"/>
  <c r="AM187" i="10"/>
  <c r="AB187" i="10"/>
  <c r="AO187" i="10"/>
  <c r="DM187" i="10" s="1"/>
  <c r="AV187" i="10"/>
  <c r="JH187" i="10"/>
  <c r="AA187" i="10"/>
  <c r="JE187" i="10"/>
  <c r="AN187" i="10"/>
  <c r="Y187" i="10"/>
  <c r="AF187" i="10"/>
  <c r="JF187" i="10"/>
  <c r="W187" i="10"/>
  <c r="JC187" i="10"/>
  <c r="AW187" i="10"/>
  <c r="JG187" i="10"/>
  <c r="AR187" i="10"/>
  <c r="AE187" i="10"/>
  <c r="JK187" i="10"/>
  <c r="AK187" i="10"/>
  <c r="AF139" i="10"/>
  <c r="JF139" i="10"/>
  <c r="W139" i="10"/>
  <c r="JC139" i="10"/>
  <c r="AB139" i="10"/>
  <c r="AR139" i="10"/>
  <c r="AE139" i="10"/>
  <c r="JK139" i="10"/>
  <c r="AV139" i="10"/>
  <c r="JH139" i="10"/>
  <c r="AN139" i="10"/>
  <c r="Y139" i="10"/>
  <c r="X139" i="10"/>
  <c r="FK139" i="10"/>
  <c r="AM139" i="10"/>
  <c r="AO139" i="10"/>
  <c r="DP139" i="10" s="1"/>
  <c r="DN139" i="10" s="1"/>
  <c r="DO139" i="10" s="1"/>
  <c r="DM139" i="10"/>
  <c r="AW139" i="10"/>
  <c r="AK139" i="10"/>
  <c r="JG139" i="10"/>
  <c r="AA139" i="10"/>
  <c r="JE139" i="10"/>
  <c r="AF253" i="10"/>
  <c r="JF253" i="10"/>
  <c r="AR253" i="10"/>
  <c r="AE253" i="10"/>
  <c r="JK253" i="10"/>
  <c r="AB253" i="10"/>
  <c r="AN253" i="10"/>
  <c r="Y253" i="10"/>
  <c r="JG253" i="10"/>
  <c r="AO253" i="10"/>
  <c r="DP253" i="10" s="1"/>
  <c r="DN253" i="10" s="1"/>
  <c r="DO253" i="10" s="1"/>
  <c r="W253" i="10"/>
  <c r="JC253" i="10"/>
  <c r="AW253" i="10"/>
  <c r="AV253" i="10"/>
  <c r="AA253" i="10"/>
  <c r="JE253" i="10"/>
  <c r="X253" i="10"/>
  <c r="FK253" i="10"/>
  <c r="AK253" i="10"/>
  <c r="JH253" i="10"/>
  <c r="AR121" i="10"/>
  <c r="AE121" i="10"/>
  <c r="JK121" i="10"/>
  <c r="X121" i="10"/>
  <c r="FK121" i="10"/>
  <c r="AB121" i="10"/>
  <c r="AV121" i="10"/>
  <c r="AK121" i="10"/>
  <c r="JH121" i="10"/>
  <c r="JG121" i="10"/>
  <c r="AN121" i="10"/>
  <c r="Y121" i="10"/>
  <c r="AF121" i="10"/>
  <c r="JF121" i="10"/>
  <c r="AA121" i="10"/>
  <c r="JE121" i="10"/>
  <c r="AO121" i="10"/>
  <c r="DM121" i="10" s="1"/>
  <c r="W121" i="10"/>
  <c r="JC121" i="10"/>
  <c r="AW121" i="10"/>
  <c r="AK180" i="10"/>
  <c r="AN180" i="10"/>
  <c r="Y180" i="10"/>
  <c r="AV180" i="10"/>
  <c r="AR180" i="10"/>
  <c r="AE180" i="10"/>
  <c r="JK180" i="10"/>
  <c r="JH180" i="10"/>
  <c r="AA180" i="10"/>
  <c r="JE180" i="10"/>
  <c r="AB180" i="10"/>
  <c r="AO180" i="10"/>
  <c r="JI180" i="10"/>
  <c r="AF180" i="10"/>
  <c r="JF180" i="10"/>
  <c r="X180" i="10"/>
  <c r="FK180" i="10"/>
  <c r="AM180" i="10"/>
  <c r="W180" i="10"/>
  <c r="JC180" i="10"/>
  <c r="AW180" i="10"/>
  <c r="JG180" i="10"/>
  <c r="AA132" i="10"/>
  <c r="JE132" i="10"/>
  <c r="AO132" i="10"/>
  <c r="AP132" i="10"/>
  <c r="AQ132" i="10"/>
  <c r="AR132" i="10"/>
  <c r="AE132" i="10"/>
  <c r="JK132" i="10"/>
  <c r="AN132" i="10"/>
  <c r="Y132" i="10"/>
  <c r="X132" i="10"/>
  <c r="FK132" i="10"/>
  <c r="AM132" i="10"/>
  <c r="AF132" i="10"/>
  <c r="JF132" i="10"/>
  <c r="AV132" i="10"/>
  <c r="AK132" i="10"/>
  <c r="AB132" i="10"/>
  <c r="W132" i="10"/>
  <c r="JC132" i="10"/>
  <c r="AW132" i="10"/>
  <c r="JG132" i="10"/>
  <c r="JH132" i="10"/>
  <c r="JH126" i="10"/>
  <c r="AK126" i="10"/>
  <c r="AN126" i="10"/>
  <c r="Y126" i="10"/>
  <c r="AO126" i="10"/>
  <c r="DM126" i="10" s="1"/>
  <c r="AP126" i="10"/>
  <c r="AQ126" i="10"/>
  <c r="IJ126" i="10" s="1"/>
  <c r="DP126" i="10"/>
  <c r="DN126" i="10" s="1"/>
  <c r="DO126" i="10" s="1"/>
  <c r="X126" i="10"/>
  <c r="AM126" i="10"/>
  <c r="AF126" i="10"/>
  <c r="JF126" i="10"/>
  <c r="AA126" i="10"/>
  <c r="JE126" i="10"/>
  <c r="W126" i="10"/>
  <c r="JC126" i="10"/>
  <c r="AW126" i="10"/>
  <c r="AR126" i="10"/>
  <c r="AE126" i="10"/>
  <c r="JK126" i="10"/>
  <c r="AV126" i="10"/>
  <c r="AB126" i="10"/>
  <c r="JG126" i="10"/>
  <c r="JH211" i="10"/>
  <c r="X211" i="10"/>
  <c r="FK211" i="10"/>
  <c r="AK211" i="10"/>
  <c r="W211" i="10"/>
  <c r="JC211" i="10"/>
  <c r="AW211" i="10"/>
  <c r="AV211" i="10"/>
  <c r="AN211" i="10"/>
  <c r="Y211" i="10"/>
  <c r="AO211" i="10"/>
  <c r="AF211" i="10"/>
  <c r="JF211" i="10"/>
  <c r="AA211" i="10"/>
  <c r="JE211" i="10"/>
  <c r="AR211" i="10"/>
  <c r="AE211" i="10"/>
  <c r="JK211" i="10"/>
  <c r="JG211" i="10"/>
  <c r="AB211" i="10"/>
  <c r="AF221" i="10"/>
  <c r="JF221" i="10"/>
  <c r="AR221" i="10"/>
  <c r="AE221" i="10"/>
  <c r="JK221" i="10"/>
  <c r="AK221" i="10"/>
  <c r="AN221" i="10"/>
  <c r="Y221" i="10"/>
  <c r="AV221" i="10"/>
  <c r="AO221" i="10"/>
  <c r="AA221" i="10"/>
  <c r="JE221" i="10"/>
  <c r="X221" i="10"/>
  <c r="FK221" i="10"/>
  <c r="AM221" i="10"/>
  <c r="AB221" i="10"/>
  <c r="W221" i="10"/>
  <c r="JC221" i="10"/>
  <c r="AW221" i="10"/>
  <c r="JH221" i="10"/>
  <c r="JG221" i="10"/>
  <c r="JH212" i="10"/>
  <c r="X212" i="10"/>
  <c r="FK212" i="10"/>
  <c r="AF212" i="10"/>
  <c r="JF212" i="10"/>
  <c r="JG212" i="10"/>
  <c r="W212" i="10"/>
  <c r="JC212" i="10"/>
  <c r="AW212" i="10"/>
  <c r="AA212" i="10"/>
  <c r="JE212" i="10"/>
  <c r="AV212" i="10"/>
  <c r="AB212" i="10"/>
  <c r="AN212" i="10"/>
  <c r="Y212" i="10"/>
  <c r="AO212" i="10"/>
  <c r="AK212" i="10"/>
  <c r="AR212" i="10"/>
  <c r="AE212" i="10"/>
  <c r="JK212" i="10"/>
  <c r="AR248" i="10"/>
  <c r="AE248" i="10"/>
  <c r="JK248" i="10"/>
  <c r="JH248" i="10"/>
  <c r="AN248" i="10"/>
  <c r="Y248" i="10"/>
  <c r="JG248" i="10"/>
  <c r="AO248" i="10"/>
  <c r="DP248" i="10" s="1"/>
  <c r="DN248" i="10"/>
  <c r="DO248" i="10" s="1"/>
  <c r="W248" i="10"/>
  <c r="JC248" i="10"/>
  <c r="X248" i="10"/>
  <c r="FK248" i="10"/>
  <c r="AF248" i="10"/>
  <c r="JF248" i="10"/>
  <c r="AB248" i="10"/>
  <c r="AA248" i="10"/>
  <c r="JE248" i="10"/>
  <c r="AW248" i="10"/>
  <c r="AK248" i="10"/>
  <c r="AV248" i="10"/>
  <c r="AR100" i="10"/>
  <c r="AE100" i="10"/>
  <c r="JK100" i="10"/>
  <c r="AA100" i="10"/>
  <c r="JE100" i="10"/>
  <c r="X100" i="10"/>
  <c r="FK100" i="10"/>
  <c r="AO100" i="10"/>
  <c r="DM100" i="10" s="1"/>
  <c r="AP100" i="10"/>
  <c r="AQ100" i="10"/>
  <c r="IJ100" i="10" s="1"/>
  <c r="DP100" i="10"/>
  <c r="DN100" i="10" s="1"/>
  <c r="DO100" i="10" s="1"/>
  <c r="W100" i="10"/>
  <c r="JC100" i="10"/>
  <c r="AW100" i="10"/>
  <c r="AF100" i="10"/>
  <c r="JF100" i="10"/>
  <c r="JH100" i="10"/>
  <c r="JG100" i="10"/>
  <c r="AN100" i="10"/>
  <c r="Y100" i="10"/>
  <c r="AB100" i="10"/>
  <c r="AK100" i="10"/>
  <c r="AV100" i="10"/>
  <c r="AV76" i="10"/>
  <c r="AO76" i="10"/>
  <c r="AA76" i="10"/>
  <c r="JE76" i="10"/>
  <c r="AK76" i="10"/>
  <c r="X76" i="10"/>
  <c r="FK76" i="10"/>
  <c r="AM76" i="10"/>
  <c r="AF76" i="10"/>
  <c r="JF76" i="10"/>
  <c r="AB76" i="10"/>
  <c r="AW76" i="10"/>
  <c r="AN76" i="10"/>
  <c r="Y76" i="10"/>
  <c r="W76" i="10"/>
  <c r="JC76" i="10"/>
  <c r="JG76" i="10"/>
  <c r="JH76" i="10"/>
  <c r="AR76" i="10"/>
  <c r="AE76" i="10"/>
  <c r="JK76" i="10"/>
  <c r="AA310" i="10"/>
  <c r="JE310" i="10"/>
  <c r="AO310" i="10"/>
  <c r="DM310" i="10"/>
  <c r="JH310" i="10"/>
  <c r="AF310" i="10"/>
  <c r="JF310" i="10"/>
  <c r="AW310" i="10"/>
  <c r="AV310" i="10"/>
  <c r="AN310" i="10"/>
  <c r="Y310" i="10"/>
  <c r="X310" i="10"/>
  <c r="FK310" i="10"/>
  <c r="W310" i="10"/>
  <c r="JC310" i="10"/>
  <c r="AK310" i="10"/>
  <c r="AB310" i="10"/>
  <c r="AR310" i="10"/>
  <c r="AE310" i="10"/>
  <c r="JK310" i="10"/>
  <c r="JG310" i="10"/>
  <c r="AF262" i="10"/>
  <c r="JF262" i="10"/>
  <c r="JH262" i="10"/>
  <c r="W262" i="10"/>
  <c r="JC262" i="10"/>
  <c r="AB262" i="10"/>
  <c r="JG262" i="10"/>
  <c r="AA262" i="10"/>
  <c r="JE262" i="10"/>
  <c r="AO262" i="10"/>
  <c r="DM262" i="10"/>
  <c r="AV262" i="10"/>
  <c r="X262" i="10"/>
  <c r="FK262" i="10"/>
  <c r="AW262" i="10"/>
  <c r="AR262" i="10"/>
  <c r="AE262" i="10"/>
  <c r="JK262" i="10"/>
  <c r="AK262" i="10"/>
  <c r="AN262" i="10"/>
  <c r="Y262" i="10"/>
  <c r="AB47" i="10"/>
  <c r="AK47" i="10"/>
  <c r="JH47" i="10"/>
  <c r="AV47" i="10"/>
  <c r="AR47" i="10"/>
  <c r="AE47" i="10"/>
  <c r="JK47" i="10"/>
  <c r="AO47" i="10"/>
  <c r="AN47" i="10"/>
  <c r="Y47" i="10"/>
  <c r="AA47" i="10"/>
  <c r="JE47" i="10"/>
  <c r="X47" i="10"/>
  <c r="FK47" i="10"/>
  <c r="AM47" i="10"/>
  <c r="W47" i="10"/>
  <c r="JC47" i="10"/>
  <c r="AF47" i="10"/>
  <c r="JF47" i="10"/>
  <c r="AW47" i="10"/>
  <c r="JG47" i="10"/>
  <c r="AV203" i="10"/>
  <c r="AO203" i="10"/>
  <c r="JH203" i="10"/>
  <c r="AB203" i="10"/>
  <c r="AR203" i="10"/>
  <c r="AE203" i="10"/>
  <c r="JK203" i="10"/>
  <c r="X203" i="10"/>
  <c r="FK203" i="10"/>
  <c r="AF203" i="10"/>
  <c r="JF203" i="10"/>
  <c r="AW203" i="10"/>
  <c r="W203" i="10"/>
  <c r="JC203" i="10"/>
  <c r="AN203" i="10"/>
  <c r="Y203" i="10"/>
  <c r="AA203" i="10"/>
  <c r="JE203" i="10"/>
  <c r="AK203" i="10"/>
  <c r="JG203" i="10"/>
  <c r="AN165" i="10"/>
  <c r="Y165" i="10"/>
  <c r="AV165" i="10"/>
  <c r="AK165" i="10"/>
  <c r="X165" i="10"/>
  <c r="FK165" i="10"/>
  <c r="AM165" i="10"/>
  <c r="AR165" i="10"/>
  <c r="AE165" i="10"/>
  <c r="JK165" i="10"/>
  <c r="AW165" i="10"/>
  <c r="JH165" i="10"/>
  <c r="JG165" i="10"/>
  <c r="AB165" i="10"/>
  <c r="AO165" i="10"/>
  <c r="W165" i="10"/>
  <c r="JC165" i="10"/>
  <c r="AF165" i="10"/>
  <c r="JF165" i="10"/>
  <c r="AA165" i="10"/>
  <c r="JE165" i="10"/>
  <c r="AB224" i="10"/>
  <c r="AR224" i="10"/>
  <c r="AE224" i="10"/>
  <c r="JK224" i="10"/>
  <c r="AN224" i="10"/>
  <c r="Y224" i="10"/>
  <c r="AO224" i="10"/>
  <c r="DM224" i="10"/>
  <c r="AK224" i="10"/>
  <c r="JH224" i="10"/>
  <c r="X224" i="10"/>
  <c r="FK224" i="10"/>
  <c r="AV224" i="10"/>
  <c r="W224" i="10"/>
  <c r="JC224" i="10"/>
  <c r="JG224" i="10"/>
  <c r="AA224" i="10"/>
  <c r="JE224" i="10"/>
  <c r="AW224" i="10"/>
  <c r="AF224" i="10"/>
  <c r="JF224" i="10"/>
  <c r="JH216" i="10"/>
  <c r="AA216" i="10"/>
  <c r="JE216" i="10"/>
  <c r="AN216" i="10"/>
  <c r="Y216" i="10"/>
  <c r="JG216" i="10"/>
  <c r="AO216" i="10"/>
  <c r="DP216" i="10" s="1"/>
  <c r="DN216" i="10" s="1"/>
  <c r="DO216" i="10" s="1"/>
  <c r="X216" i="10"/>
  <c r="FK216" i="10"/>
  <c r="W216" i="10"/>
  <c r="JC216" i="10"/>
  <c r="AR216" i="10"/>
  <c r="AE216" i="10"/>
  <c r="JK216" i="10"/>
  <c r="AF216" i="10"/>
  <c r="JF216" i="10"/>
  <c r="AW216" i="10"/>
  <c r="AK216" i="10"/>
  <c r="AV216" i="10"/>
  <c r="AB216" i="10"/>
  <c r="AO298" i="10"/>
  <c r="JI298" i="10"/>
  <c r="AR298" i="10"/>
  <c r="AE298" i="10"/>
  <c r="JK298" i="10"/>
  <c r="JH298" i="10"/>
  <c r="AA298" i="10"/>
  <c r="JE298" i="10"/>
  <c r="JG298" i="10"/>
  <c r="AB298" i="10"/>
  <c r="AV298" i="10"/>
  <c r="AK298" i="10"/>
  <c r="AN298" i="10"/>
  <c r="Y298" i="10"/>
  <c r="X298" i="10"/>
  <c r="FK298" i="10"/>
  <c r="AM298" i="10"/>
  <c r="AF298" i="10"/>
  <c r="JF298" i="10"/>
  <c r="W298" i="10"/>
  <c r="JC298" i="10"/>
  <c r="AW298" i="10"/>
  <c r="AF369" i="10"/>
  <c r="JF369" i="10"/>
  <c r="AN369" i="10"/>
  <c r="Y369" i="10"/>
  <c r="AK369" i="10"/>
  <c r="AR369" i="10"/>
  <c r="AE369" i="10"/>
  <c r="JK369" i="10"/>
  <c r="JH369" i="10"/>
  <c r="AO369" i="10"/>
  <c r="DP369" i="10" s="1"/>
  <c r="DN369" i="10" s="1"/>
  <c r="DO369" i="10" s="1"/>
  <c r="AA369" i="10"/>
  <c r="JE369" i="10"/>
  <c r="X369" i="10"/>
  <c r="FK369" i="10"/>
  <c r="AM369" i="10"/>
  <c r="AW369" i="10"/>
  <c r="W369" i="10"/>
  <c r="JC369" i="10"/>
  <c r="AV369" i="10"/>
  <c r="AB369" i="10"/>
  <c r="JG369" i="10"/>
  <c r="AB166" i="10"/>
  <c r="AN166" i="10"/>
  <c r="Y166" i="10"/>
  <c r="X166" i="10"/>
  <c r="FK166" i="10"/>
  <c r="AM166" i="10"/>
  <c r="W166" i="10"/>
  <c r="JC166" i="10"/>
  <c r="AF166" i="10"/>
  <c r="JF166" i="10"/>
  <c r="AW166" i="10"/>
  <c r="AA166" i="10"/>
  <c r="JE166" i="10"/>
  <c r="AO166" i="10"/>
  <c r="JH166" i="10"/>
  <c r="AV166" i="10"/>
  <c r="AK166" i="10"/>
  <c r="JG166" i="10"/>
  <c r="AR166" i="10"/>
  <c r="AE166" i="10"/>
  <c r="JK166" i="10"/>
  <c r="JG30" i="10"/>
  <c r="AF30" i="10"/>
  <c r="JF30" i="10"/>
  <c r="W30" i="10"/>
  <c r="JC30" i="10"/>
  <c r="AK30" i="10"/>
  <c r="JH30" i="10"/>
  <c r="X30" i="10"/>
  <c r="FK30" i="10"/>
  <c r="AM30" i="10"/>
  <c r="AO30" i="10"/>
  <c r="DM30" i="10" s="1"/>
  <c r="AB30" i="10"/>
  <c r="AR30" i="10"/>
  <c r="AE30" i="10"/>
  <c r="JK30" i="10"/>
  <c r="AN30" i="10"/>
  <c r="Y30" i="10"/>
  <c r="AW30" i="10"/>
  <c r="AV30" i="10"/>
  <c r="AA30" i="10"/>
  <c r="JE30" i="10"/>
  <c r="JH300" i="10"/>
  <c r="X300" i="10"/>
  <c r="FK300" i="10"/>
  <c r="AA300" i="10"/>
  <c r="JE300" i="10"/>
  <c r="AB300" i="10"/>
  <c r="AK300" i="10"/>
  <c r="AN300" i="10"/>
  <c r="Y300" i="10"/>
  <c r="AV300" i="10"/>
  <c r="JG300" i="10"/>
  <c r="AR300" i="10"/>
  <c r="AE300" i="10"/>
  <c r="JK300" i="10"/>
  <c r="AF300" i="10"/>
  <c r="JF300" i="10"/>
  <c r="AO300" i="10"/>
  <c r="DP300" i="10"/>
  <c r="DN300" i="10" s="1"/>
  <c r="DO300" i="10" s="1"/>
  <c r="W300" i="10"/>
  <c r="JC300" i="10"/>
  <c r="AW300" i="10"/>
  <c r="GI38" i="10"/>
  <c r="AT38" i="10" s="1"/>
  <c r="AO38" i="10"/>
  <c r="DM38" i="10" s="1"/>
  <c r="JG38" i="10"/>
  <c r="JH38" i="10"/>
  <c r="AR38" i="10"/>
  <c r="AE38" i="10"/>
  <c r="JK38" i="10"/>
  <c r="AV38" i="10"/>
  <c r="AB38" i="10"/>
  <c r="AK38" i="10"/>
  <c r="AA38" i="10"/>
  <c r="JE38" i="10"/>
  <c r="AN38" i="10"/>
  <c r="Y38" i="10"/>
  <c r="X38" i="10"/>
  <c r="AW38" i="10"/>
  <c r="W38" i="10"/>
  <c r="JC38" i="10"/>
  <c r="AF38" i="10"/>
  <c r="JF38" i="10"/>
  <c r="JH223" i="10"/>
  <c r="AV223" i="10"/>
  <c r="AN223" i="10"/>
  <c r="Y223" i="10"/>
  <c r="AK223" i="10"/>
  <c r="AW223" i="10"/>
  <c r="W223" i="10"/>
  <c r="JC223" i="10"/>
  <c r="AR223" i="10"/>
  <c r="AE223" i="10"/>
  <c r="JK223" i="10"/>
  <c r="AA223" i="10"/>
  <c r="JE223" i="10"/>
  <c r="AB223" i="10"/>
  <c r="JG223" i="10"/>
  <c r="AO223" i="10"/>
  <c r="AF223" i="10"/>
  <c r="JF223" i="10"/>
  <c r="X223" i="10"/>
  <c r="FK223" i="10"/>
  <c r="AN87" i="10"/>
  <c r="Y87" i="10"/>
  <c r="JG87" i="10"/>
  <c r="AO87" i="10"/>
  <c r="AK87" i="10"/>
  <c r="AV87" i="10"/>
  <c r="AR87" i="10"/>
  <c r="AE87" i="10"/>
  <c r="JK87" i="10"/>
  <c r="AA87" i="10"/>
  <c r="JE87" i="10"/>
  <c r="AF87" i="10"/>
  <c r="JF87" i="10"/>
  <c r="W87" i="10"/>
  <c r="JC87" i="10"/>
  <c r="AW87" i="10"/>
  <c r="JH87" i="10"/>
  <c r="AB87" i="10"/>
  <c r="X87" i="10"/>
  <c r="FK87" i="10"/>
  <c r="AM87" i="10"/>
  <c r="AR39" i="10"/>
  <c r="AE39" i="10"/>
  <c r="JK39" i="10"/>
  <c r="AF39" i="10"/>
  <c r="JF39" i="10"/>
  <c r="W39" i="10"/>
  <c r="JC39" i="10"/>
  <c r="AW39" i="10"/>
  <c r="JG39" i="10"/>
  <c r="AK39" i="10"/>
  <c r="AN39" i="10"/>
  <c r="Y39" i="10"/>
  <c r="JH39" i="10"/>
  <c r="AA39" i="10"/>
  <c r="JE39" i="10"/>
  <c r="AV39" i="10"/>
  <c r="AB39" i="10"/>
  <c r="AO39" i="10"/>
  <c r="X39" i="10"/>
  <c r="FK39" i="10"/>
  <c r="AM39" i="10"/>
  <c r="AK57" i="10"/>
  <c r="GI57" i="10"/>
  <c r="AT57" i="10"/>
  <c r="AB57" i="10"/>
  <c r="AO57" i="10"/>
  <c r="DM57" i="10" s="1"/>
  <c r="JG57" i="10"/>
  <c r="X57" i="10"/>
  <c r="FK57" i="10"/>
  <c r="AF57" i="10"/>
  <c r="JF57" i="10"/>
  <c r="AR57" i="10"/>
  <c r="AE57" i="10"/>
  <c r="JK57" i="10"/>
  <c r="AA57" i="10"/>
  <c r="JE57" i="10"/>
  <c r="JH57" i="10"/>
  <c r="AN57" i="10"/>
  <c r="Y57" i="10"/>
  <c r="W57" i="10"/>
  <c r="JC57" i="10"/>
  <c r="AW57" i="10"/>
  <c r="AV57" i="10"/>
  <c r="AV237" i="10"/>
  <c r="AR237" i="10"/>
  <c r="AE237" i="10"/>
  <c r="JK237" i="10"/>
  <c r="JG237" i="10"/>
  <c r="X237" i="10"/>
  <c r="FK237" i="10"/>
  <c r="AM237" i="10"/>
  <c r="AN237" i="10"/>
  <c r="Y237" i="10"/>
  <c r="W237" i="10"/>
  <c r="JC237" i="10"/>
  <c r="AO237" i="10"/>
  <c r="DM237" i="10"/>
  <c r="AF237" i="10"/>
  <c r="JF237" i="10"/>
  <c r="AW237" i="10"/>
  <c r="JH237" i="10"/>
  <c r="AK237" i="10"/>
  <c r="AB237" i="10"/>
  <c r="AA237" i="10"/>
  <c r="JE237" i="10"/>
  <c r="AB288" i="10"/>
  <c r="X288" i="10"/>
  <c r="FK288" i="10"/>
  <c r="AO288" i="10"/>
  <c r="DM288" i="10" s="1"/>
  <c r="AR288" i="10"/>
  <c r="AE288" i="10"/>
  <c r="JK288" i="10"/>
  <c r="AF288" i="10"/>
  <c r="JF288" i="10"/>
  <c r="AA288" i="10"/>
  <c r="JE288" i="10"/>
  <c r="JG288" i="10"/>
  <c r="W288" i="10"/>
  <c r="JC288" i="10"/>
  <c r="AW288" i="10"/>
  <c r="AK288" i="10"/>
  <c r="AN288" i="10"/>
  <c r="Y288" i="10"/>
  <c r="AV288" i="10"/>
  <c r="JH288" i="10"/>
  <c r="AV349" i="10"/>
  <c r="AA349" i="10"/>
  <c r="JE349" i="10"/>
  <c r="X349" i="10"/>
  <c r="FK349" i="10"/>
  <c r="AM349" i="10"/>
  <c r="JH349" i="10"/>
  <c r="AK349" i="10"/>
  <c r="AN349" i="10"/>
  <c r="Y349" i="10"/>
  <c r="AF349" i="10"/>
  <c r="JF349" i="10"/>
  <c r="AB349" i="10"/>
  <c r="AW349" i="10"/>
  <c r="W349" i="10"/>
  <c r="JC349" i="10"/>
  <c r="AR349" i="10"/>
  <c r="AE349" i="10"/>
  <c r="JK349" i="10"/>
  <c r="AO349" i="10"/>
  <c r="JG349" i="10"/>
  <c r="AA282" i="10"/>
  <c r="JE282" i="10"/>
  <c r="AN282" i="10"/>
  <c r="Y282" i="10"/>
  <c r="AR282" i="10"/>
  <c r="AE282" i="10"/>
  <c r="JK282" i="10"/>
  <c r="AK282" i="10"/>
  <c r="JG282" i="10"/>
  <c r="AB282" i="10"/>
  <c r="X282" i="10"/>
  <c r="FK282" i="10"/>
  <c r="AM282" i="10"/>
  <c r="AO282" i="10"/>
  <c r="AF282" i="10"/>
  <c r="JF282" i="10"/>
  <c r="AW282" i="10"/>
  <c r="W282" i="10"/>
  <c r="JC282" i="10"/>
  <c r="JH282" i="10"/>
  <c r="AV282" i="10"/>
  <c r="AV292" i="10"/>
  <c r="X292" i="10"/>
  <c r="FK292" i="10"/>
  <c r="AM292" i="10"/>
  <c r="AF292" i="10"/>
  <c r="JF292" i="10"/>
  <c r="W292" i="10"/>
  <c r="JC292" i="10"/>
  <c r="AK292" i="10"/>
  <c r="AW292" i="10"/>
  <c r="AR292" i="10"/>
  <c r="AE292" i="10"/>
  <c r="JK292" i="10"/>
  <c r="AA292" i="10"/>
  <c r="JE292" i="10"/>
  <c r="JG292" i="10"/>
  <c r="AB292" i="10"/>
  <c r="JH292" i="10"/>
  <c r="AN292" i="10"/>
  <c r="Y292" i="10"/>
  <c r="AO292" i="10"/>
  <c r="DP292" i="10" s="1"/>
  <c r="DN292" i="10" s="1"/>
  <c r="DO292" i="10" s="1"/>
  <c r="AW228" i="10"/>
  <c r="AK228" i="10"/>
  <c r="AA228" i="10"/>
  <c r="JE228" i="10"/>
  <c r="AN228" i="10"/>
  <c r="Y228" i="10"/>
  <c r="AO228" i="10"/>
  <c r="W228" i="10"/>
  <c r="JC228" i="10"/>
  <c r="AF228" i="10"/>
  <c r="JF228" i="10"/>
  <c r="AR228" i="10"/>
  <c r="AE228" i="10"/>
  <c r="JK228" i="10"/>
  <c r="AB228" i="10"/>
  <c r="AV228" i="10"/>
  <c r="JG228" i="10"/>
  <c r="X228" i="10"/>
  <c r="FK228" i="10"/>
  <c r="AM228" i="10"/>
  <c r="JH228" i="10"/>
  <c r="AV380" i="10"/>
  <c r="AO380" i="10"/>
  <c r="AN380" i="10"/>
  <c r="Y380" i="10"/>
  <c r="X380" i="10"/>
  <c r="FK380" i="10"/>
  <c r="AF380" i="10"/>
  <c r="JF380" i="10"/>
  <c r="W380" i="10"/>
  <c r="JC380" i="10"/>
  <c r="AW380" i="10"/>
  <c r="AR380" i="10"/>
  <c r="AE380" i="10"/>
  <c r="JK380" i="10"/>
  <c r="AB380" i="10"/>
  <c r="AA380" i="10"/>
  <c r="JE380" i="10"/>
  <c r="AK380" i="10"/>
  <c r="JG380" i="10"/>
  <c r="JH380" i="10"/>
  <c r="JG45" i="10"/>
  <c r="AF45" i="10"/>
  <c r="JF45" i="10"/>
  <c r="AK45" i="10"/>
  <c r="AN45" i="10"/>
  <c r="Y45" i="10"/>
  <c r="AV45" i="10"/>
  <c r="AA45" i="10"/>
  <c r="JE45" i="10"/>
  <c r="X45" i="10"/>
  <c r="FK45" i="10"/>
  <c r="JH45" i="10"/>
  <c r="GI45" i="10"/>
  <c r="AT45" i="10" s="1"/>
  <c r="AO45" i="10"/>
  <c r="DM45" i="10" s="1"/>
  <c r="AP45" i="10"/>
  <c r="AQ45" i="10"/>
  <c r="W45" i="10"/>
  <c r="JC45" i="10"/>
  <c r="AW45" i="10"/>
  <c r="AB45" i="10"/>
  <c r="AR45" i="10"/>
  <c r="AE45" i="10"/>
  <c r="JK45" i="10"/>
  <c r="AF325" i="10"/>
  <c r="JF325" i="10"/>
  <c r="JH325" i="10"/>
  <c r="W325" i="10"/>
  <c r="JC325" i="10"/>
  <c r="AW325" i="10"/>
  <c r="AB325" i="10"/>
  <c r="AR325" i="10"/>
  <c r="AE325" i="10"/>
  <c r="JK325" i="10"/>
  <c r="AA325" i="10"/>
  <c r="JE325" i="10"/>
  <c r="AO325" i="10"/>
  <c r="AN325" i="10"/>
  <c r="Y325" i="10"/>
  <c r="X325" i="10"/>
  <c r="FK325" i="10"/>
  <c r="AM325" i="10"/>
  <c r="AK325" i="10"/>
  <c r="AV325" i="10"/>
  <c r="JG325" i="10"/>
  <c r="JG390" i="10"/>
  <c r="AK390" i="10"/>
  <c r="AN390" i="10"/>
  <c r="Y390" i="10"/>
  <c r="AO390" i="10"/>
  <c r="AV390" i="10"/>
  <c r="AB390" i="10"/>
  <c r="AW390" i="10"/>
  <c r="W390" i="10"/>
  <c r="JC390" i="10"/>
  <c r="X390" i="10"/>
  <c r="FK390" i="10"/>
  <c r="AA390" i="10"/>
  <c r="JE390" i="10"/>
  <c r="AR390" i="10"/>
  <c r="AE390" i="10"/>
  <c r="JK390" i="10"/>
  <c r="AF390" i="10"/>
  <c r="JF390" i="10"/>
  <c r="JH390" i="10"/>
  <c r="AO367" i="10"/>
  <c r="JG367" i="10"/>
  <c r="AK367" i="10"/>
  <c r="X367" i="10"/>
  <c r="FK367" i="10"/>
  <c r="AM367" i="10"/>
  <c r="AB367" i="10"/>
  <c r="JH367" i="10"/>
  <c r="AN367" i="10"/>
  <c r="Y367" i="10"/>
  <c r="AF367" i="10"/>
  <c r="JF367" i="10"/>
  <c r="AW367" i="10"/>
  <c r="W367" i="10"/>
  <c r="JC367" i="10"/>
  <c r="AR367" i="10"/>
  <c r="AE367" i="10"/>
  <c r="JK367" i="10"/>
  <c r="AV367" i="10"/>
  <c r="AA367" i="10"/>
  <c r="JE367" i="10"/>
  <c r="AF273" i="10"/>
  <c r="JF273" i="10"/>
  <c r="AW273" i="10"/>
  <c r="W273" i="10"/>
  <c r="JC273" i="10"/>
  <c r="AB273" i="10"/>
  <c r="AO273" i="10"/>
  <c r="DM273" i="10" s="1"/>
  <c r="AA273" i="10"/>
  <c r="JE273" i="10"/>
  <c r="JH273" i="10"/>
  <c r="AV273" i="10"/>
  <c r="X273" i="10"/>
  <c r="FK273" i="10"/>
  <c r="AN273" i="10"/>
  <c r="Y273" i="10"/>
  <c r="AR273" i="10"/>
  <c r="AE273" i="10"/>
  <c r="JK273" i="10"/>
  <c r="AK273" i="10"/>
  <c r="JG273" i="10"/>
  <c r="W318" i="10"/>
  <c r="JC318" i="10"/>
  <c r="AW318" i="10"/>
  <c r="AA318" i="10"/>
  <c r="JE318" i="10"/>
  <c r="AB318" i="10"/>
  <c r="AN318" i="10"/>
  <c r="Y318" i="10"/>
  <c r="X318" i="10"/>
  <c r="AM318" i="10"/>
  <c r="JH318" i="10"/>
  <c r="AO318" i="10"/>
  <c r="AF318" i="10"/>
  <c r="JF318" i="10"/>
  <c r="AK318" i="10"/>
  <c r="AV318" i="10"/>
  <c r="AR318" i="10"/>
  <c r="AE318" i="10"/>
  <c r="JK318" i="10"/>
  <c r="JG318" i="10"/>
  <c r="AO305" i="10"/>
  <c r="AB305" i="10"/>
  <c r="AF305" i="10"/>
  <c r="JF305" i="10"/>
  <c r="AW305" i="10"/>
  <c r="AR305" i="10"/>
  <c r="AE305" i="10"/>
  <c r="JK305" i="10"/>
  <c r="JG305" i="10"/>
  <c r="X305" i="10"/>
  <c r="FK305" i="10"/>
  <c r="AM305" i="10"/>
  <c r="AN305" i="10"/>
  <c r="Y305" i="10"/>
  <c r="W305" i="10"/>
  <c r="JC305" i="10"/>
  <c r="AV305" i="10"/>
  <c r="JH305" i="10"/>
  <c r="AK305" i="10"/>
  <c r="AA305" i="10"/>
  <c r="JE305" i="10"/>
  <c r="AB281" i="10"/>
  <c r="JG281" i="10"/>
  <c r="AO281" i="10"/>
  <c r="DP281" i="10" s="1"/>
  <c r="X281" i="10"/>
  <c r="FK281" i="10"/>
  <c r="AM281" i="10"/>
  <c r="AF281" i="10"/>
  <c r="JF281" i="10"/>
  <c r="JH281" i="10"/>
  <c r="W281" i="10"/>
  <c r="JC281" i="10"/>
  <c r="AA281" i="10"/>
  <c r="JE281" i="10"/>
  <c r="AK281" i="10"/>
  <c r="AV281" i="10"/>
  <c r="AR281" i="10"/>
  <c r="AE281" i="10"/>
  <c r="JK281" i="10"/>
  <c r="AN281" i="10"/>
  <c r="Y281" i="10"/>
  <c r="AW281" i="10"/>
  <c r="AA241" i="10"/>
  <c r="JE241" i="10"/>
  <c r="W241" i="10"/>
  <c r="JC241" i="10"/>
  <c r="JG241" i="10"/>
  <c r="AW241" i="10"/>
  <c r="AF241" i="10"/>
  <c r="JF241" i="10"/>
  <c r="AV241" i="10"/>
  <c r="AR241" i="10"/>
  <c r="AE241" i="10"/>
  <c r="JK241" i="10"/>
  <c r="AB241" i="10"/>
  <c r="JH241" i="10"/>
  <c r="AK241" i="10"/>
  <c r="AN241" i="10"/>
  <c r="Y241" i="10"/>
  <c r="X241" i="10"/>
  <c r="FK241" i="10"/>
  <c r="AM241" i="10"/>
  <c r="AO241" i="10"/>
  <c r="AW193" i="10"/>
  <c r="AF193" i="10"/>
  <c r="JF193" i="10"/>
  <c r="JH193" i="10"/>
  <c r="AN193" i="10"/>
  <c r="Y193" i="10"/>
  <c r="AR193" i="10"/>
  <c r="AE193" i="10"/>
  <c r="JK193" i="10"/>
  <c r="AO193" i="10"/>
  <c r="DM193" i="10" s="1"/>
  <c r="AA193" i="10"/>
  <c r="JE193" i="10"/>
  <c r="X193" i="10"/>
  <c r="FK193" i="10"/>
  <c r="W193" i="10"/>
  <c r="JC193" i="10"/>
  <c r="AB193" i="10"/>
  <c r="AV193" i="10"/>
  <c r="AK193" i="10"/>
  <c r="JG193" i="10"/>
  <c r="AK271" i="10"/>
  <c r="AO271" i="10"/>
  <c r="DM271" i="10" s="1"/>
  <c r="DP271" i="10"/>
  <c r="DN271" i="10" s="1"/>
  <c r="DO271" i="10" s="1"/>
  <c r="AB271" i="10"/>
  <c r="JG271" i="10"/>
  <c r="AV271" i="10"/>
  <c r="AR271" i="10"/>
  <c r="AE271" i="10"/>
  <c r="JK271" i="10"/>
  <c r="AA271" i="10"/>
  <c r="JE271" i="10"/>
  <c r="AN271" i="10"/>
  <c r="Y271" i="10"/>
  <c r="X271" i="10"/>
  <c r="FK271" i="10"/>
  <c r="AW271" i="10"/>
  <c r="W271" i="10"/>
  <c r="JC271" i="10"/>
  <c r="AF271" i="10"/>
  <c r="JF271" i="10"/>
  <c r="JH271" i="10"/>
  <c r="AA55" i="10"/>
  <c r="JE55" i="10"/>
  <c r="GI55" i="10"/>
  <c r="AT55" i="10" s="1"/>
  <c r="AB55" i="10"/>
  <c r="AO55" i="10"/>
  <c r="DM55" i="10" s="1"/>
  <c r="AP55" i="10"/>
  <c r="AQ55" i="10"/>
  <c r="IJ55" i="10" s="1"/>
  <c r="DP55" i="10"/>
  <c r="DN55" i="10" s="1"/>
  <c r="DO55" i="10" s="1"/>
  <c r="AR55" i="10"/>
  <c r="AE55" i="10"/>
  <c r="JK55" i="10"/>
  <c r="X55" i="10"/>
  <c r="FK55" i="10"/>
  <c r="AV55" i="10"/>
  <c r="AF55" i="10"/>
  <c r="JF55" i="10"/>
  <c r="W55" i="10"/>
  <c r="JC55" i="10"/>
  <c r="AW55" i="10"/>
  <c r="AK55" i="10"/>
  <c r="JH55" i="10"/>
  <c r="JG55" i="10"/>
  <c r="AN55" i="10"/>
  <c r="Y55" i="10"/>
  <c r="X41" i="10"/>
  <c r="FK41" i="10"/>
  <c r="AF41" i="10"/>
  <c r="JF41" i="10"/>
  <c r="JG41" i="10"/>
  <c r="W41" i="10"/>
  <c r="JC41" i="10"/>
  <c r="AA41" i="10"/>
  <c r="JE41" i="10"/>
  <c r="GI41" i="10"/>
  <c r="AT41" i="10" s="1"/>
  <c r="AB41" i="10"/>
  <c r="AO41" i="10"/>
  <c r="JI41" i="10"/>
  <c r="AK41" i="10"/>
  <c r="AN41" i="10"/>
  <c r="Y41" i="10"/>
  <c r="AW41" i="10"/>
  <c r="AV41" i="10"/>
  <c r="JH41" i="10"/>
  <c r="AR41" i="10"/>
  <c r="AE41" i="10"/>
  <c r="JK41" i="10"/>
  <c r="AO339" i="10"/>
  <c r="AV339" i="10"/>
  <c r="W339" i="10"/>
  <c r="JC339" i="10"/>
  <c r="AA339" i="10"/>
  <c r="JE339" i="10"/>
  <c r="X339" i="10"/>
  <c r="FK339" i="10"/>
  <c r="AK339" i="10"/>
  <c r="AR339" i="10"/>
  <c r="AE339" i="10"/>
  <c r="JK339" i="10"/>
  <c r="AN339" i="10"/>
  <c r="Y339" i="10"/>
  <c r="AF339" i="10"/>
  <c r="JF339" i="10"/>
  <c r="AB339" i="10"/>
  <c r="JH339" i="10"/>
  <c r="JG339" i="10"/>
  <c r="AW339" i="10"/>
  <c r="JI391" i="10"/>
  <c r="JI388" i="10"/>
  <c r="JI389" i="10"/>
  <c r="AM390" i="10"/>
  <c r="JI390" i="10"/>
  <c r="AG88" i="15"/>
  <c r="AI41" i="15"/>
  <c r="T102" i="15"/>
  <c r="EJ23" i="10"/>
  <c r="EJ22" i="10"/>
  <c r="JI346" i="10"/>
  <c r="JI282" i="10"/>
  <c r="JI325" i="10"/>
  <c r="JI287" i="10"/>
  <c r="JI323" i="10"/>
  <c r="JI363" i="10"/>
  <c r="JI366" i="10"/>
  <c r="JI345" i="10"/>
  <c r="JI350" i="10"/>
  <c r="JI315" i="10"/>
  <c r="JI310" i="10"/>
  <c r="JI361" i="10"/>
  <c r="JI316" i="10"/>
  <c r="JI199" i="10"/>
  <c r="JI234" i="10"/>
  <c r="JI281" i="10"/>
  <c r="JI330" i="10"/>
  <c r="JI354" i="10"/>
  <c r="JI364" i="10"/>
  <c r="JI378" i="10"/>
  <c r="JI362" i="10"/>
  <c r="JI356" i="10"/>
  <c r="JI307" i="10"/>
  <c r="JI306" i="10"/>
  <c r="JI337" i="10"/>
  <c r="JI349" i="10"/>
  <c r="JI305" i="10"/>
  <c r="JI387" i="10"/>
  <c r="JI331" i="10"/>
  <c r="JI327" i="10"/>
  <c r="JI326" i="10"/>
  <c r="JI357" i="10"/>
  <c r="JI375" i="10"/>
  <c r="JI347" i="10"/>
  <c r="JI278" i="10"/>
  <c r="JI200" i="10"/>
  <c r="JI280" i="10"/>
  <c r="JI192" i="10"/>
  <c r="JI70" i="10"/>
  <c r="JI238" i="10"/>
  <c r="JI229" i="10"/>
  <c r="JI113" i="10"/>
  <c r="JI168" i="10"/>
  <c r="JI247" i="10"/>
  <c r="JI138" i="10"/>
  <c r="JI250" i="10"/>
  <c r="JI268" i="10"/>
  <c r="JI132" i="10"/>
  <c r="JI245" i="10"/>
  <c r="JI265" i="10"/>
  <c r="JI171" i="10"/>
  <c r="JI286" i="10"/>
  <c r="JI134" i="10"/>
  <c r="JI101" i="10"/>
  <c r="JI167" i="10"/>
  <c r="JI122" i="10"/>
  <c r="JI106" i="10"/>
  <c r="JI260" i="10"/>
  <c r="JI277" i="10"/>
  <c r="JI246" i="10"/>
  <c r="JI176" i="10"/>
  <c r="JI74" i="10"/>
  <c r="JI72" i="10"/>
  <c r="JI237" i="10"/>
  <c r="JI257" i="10"/>
  <c r="JI174" i="10"/>
  <c r="JI293" i="10"/>
  <c r="JI299" i="10"/>
  <c r="JI78" i="10"/>
  <c r="JI291" i="10"/>
  <c r="JI304" i="10"/>
  <c r="JI261" i="10"/>
  <c r="JI270" i="10"/>
  <c r="JI253" i="10"/>
  <c r="JI262" i="10"/>
  <c r="JI198" i="10"/>
  <c r="JI219" i="10"/>
  <c r="JI191" i="10"/>
  <c r="JI157" i="10"/>
  <c r="JI117" i="10"/>
  <c r="JI292" i="10"/>
  <c r="JI289" i="10"/>
  <c r="JI239" i="10"/>
  <c r="JI259" i="10"/>
  <c r="JI266" i="10"/>
  <c r="JI116" i="10"/>
  <c r="JI248" i="10"/>
  <c r="JI175" i="10"/>
  <c r="JI303" i="10"/>
  <c r="JI300" i="10"/>
  <c r="JI107" i="10"/>
  <c r="JI121" i="10"/>
  <c r="JI131" i="10"/>
  <c r="JI263" i="10"/>
  <c r="JI269" i="10"/>
  <c r="JI187" i="10"/>
  <c r="JI208" i="10"/>
  <c r="JI108" i="10"/>
  <c r="JI150" i="10"/>
  <c r="JI210" i="10"/>
  <c r="JI143" i="10"/>
  <c r="JI178" i="10"/>
  <c r="JI124" i="10"/>
  <c r="JI214" i="10"/>
  <c r="JI202" i="10"/>
  <c r="JI76" i="10"/>
  <c r="JI102" i="10"/>
  <c r="JI221" i="10"/>
  <c r="JI161" i="10"/>
  <c r="JI103" i="10"/>
  <c r="JI172" i="10"/>
  <c r="JI104" i="10"/>
  <c r="JI155" i="10"/>
  <c r="JI75" i="10"/>
  <c r="JI139" i="10"/>
  <c r="JI146" i="10"/>
  <c r="JI142" i="10"/>
  <c r="JI120" i="10"/>
  <c r="JI184" i="10"/>
  <c r="JI231" i="10"/>
  <c r="JI188" i="10"/>
  <c r="JI223" i="10"/>
  <c r="JI162" i="10"/>
  <c r="JI151" i="10"/>
  <c r="JI181" i="10"/>
  <c r="JI227" i="10"/>
  <c r="JI165" i="10"/>
  <c r="JI126" i="10"/>
  <c r="JI232" i="10"/>
  <c r="JI185" i="10"/>
  <c r="JI98" i="10"/>
  <c r="JI119" i="10"/>
  <c r="JI201" i="10"/>
  <c r="JI163" i="10"/>
  <c r="AM323" i="10"/>
  <c r="AM344" i="10"/>
  <c r="AM131" i="10"/>
  <c r="AM366" i="10"/>
  <c r="FK74" i="10"/>
  <c r="JI271" i="10"/>
  <c r="JI166" i="10"/>
  <c r="JI224" i="10"/>
  <c r="JI334" i="10"/>
  <c r="JI193" i="10"/>
  <c r="JI380" i="10"/>
  <c r="JI339" i="10"/>
  <c r="JI100" i="10"/>
  <c r="AM273" i="10"/>
  <c r="AM288" i="10"/>
  <c r="JI130" i="10"/>
  <c r="JI288" i="10"/>
  <c r="JI216" i="10"/>
  <c r="AM100" i="10"/>
  <c r="AM211" i="10"/>
  <c r="AM262" i="10"/>
  <c r="JI318" i="10"/>
  <c r="JI87" i="10"/>
  <c r="JI212" i="10"/>
  <c r="JI99" i="10"/>
  <c r="JI351" i="10"/>
  <c r="AM278" i="10"/>
  <c r="JI273" i="10"/>
  <c r="AM223" i="10"/>
  <c r="JI313" i="10"/>
  <c r="AM253" i="10"/>
  <c r="JI241" i="10"/>
  <c r="JI228" i="10"/>
  <c r="JI276" i="10"/>
  <c r="AM339" i="10"/>
  <c r="JI311" i="10"/>
  <c r="AM271" i="10"/>
  <c r="AM203" i="10"/>
  <c r="JI249" i="10"/>
  <c r="AM193" i="10"/>
  <c r="AM248" i="10"/>
  <c r="JI369" i="10"/>
  <c r="FK345" i="10"/>
  <c r="AM345" i="10"/>
  <c r="JI341" i="10"/>
  <c r="JI135" i="10"/>
  <c r="AM99" i="10"/>
  <c r="JI338" i="10"/>
  <c r="AM335" i="10"/>
  <c r="AM311" i="10"/>
  <c r="AM206" i="10"/>
  <c r="AM157" i="10"/>
  <c r="FK318" i="10"/>
  <c r="AM380" i="10"/>
  <c r="AM300" i="10"/>
  <c r="AM224" i="10"/>
  <c r="JI203" i="10"/>
  <c r="JI213" i="10"/>
  <c r="JI358" i="10"/>
  <c r="AM326" i="10"/>
  <c r="AM353" i="10"/>
  <c r="AM358" i="10"/>
  <c r="JI320" i="10"/>
  <c r="AM103" i="10"/>
  <c r="JI335" i="10"/>
  <c r="JI367" i="10"/>
  <c r="JI206" i="10"/>
  <c r="AM121" i="10"/>
  <c r="JI226" i="10"/>
  <c r="AM172" i="10"/>
  <c r="JI136" i="10"/>
  <c r="AM285" i="10"/>
  <c r="AM212" i="10"/>
  <c r="JI211" i="10"/>
  <c r="JI90" i="10"/>
  <c r="AM357" i="10"/>
  <c r="AM184" i="10"/>
  <c r="JI105" i="10"/>
  <c r="AM382" i="10"/>
  <c r="JI243" i="10"/>
  <c r="JI209" i="10"/>
  <c r="AM310" i="10"/>
  <c r="FK110" i="10"/>
  <c r="AM110" i="10"/>
  <c r="JI385" i="10"/>
  <c r="AM334" i="10"/>
  <c r="JI169" i="10"/>
  <c r="JI348" i="10"/>
  <c r="AM104" i="10"/>
  <c r="AM102" i="10"/>
  <c r="AM226" i="10"/>
  <c r="JI109" i="10"/>
  <c r="JI80" i="10"/>
  <c r="AM173" i="10"/>
  <c r="JI244" i="10"/>
  <c r="JI302" i="10"/>
  <c r="AM362" i="10"/>
  <c r="AM148" i="10"/>
  <c r="JI215" i="10"/>
  <c r="FK126" i="10"/>
  <c r="AM351" i="10"/>
  <c r="JI285" i="10"/>
  <c r="AM376" i="10"/>
  <c r="AM216" i="10"/>
  <c r="AM341" i="10"/>
  <c r="AM86" i="10"/>
  <c r="JI324" i="10"/>
  <c r="AM379" i="10"/>
  <c r="AM134" i="10"/>
  <c r="FK289" i="10"/>
  <c r="FK161" i="10"/>
  <c r="JI110" i="10"/>
  <c r="FK130" i="10"/>
  <c r="JI297" i="10"/>
  <c r="AM161" i="10"/>
  <c r="AM213" i="10"/>
  <c r="JI137" i="10"/>
  <c r="JI301" i="10"/>
  <c r="AM94" i="10"/>
  <c r="JI94" i="10"/>
  <c r="AM387" i="10"/>
  <c r="AM370" i="10"/>
  <c r="AM304" i="10"/>
  <c r="JI197" i="10"/>
  <c r="JI283" i="10"/>
  <c r="JI77" i="10"/>
  <c r="JI370" i="10"/>
  <c r="AM246" i="10"/>
  <c r="JI255" i="10"/>
  <c r="AM240" i="10"/>
  <c r="JI92" i="10"/>
  <c r="JI321" i="10"/>
  <c r="JI79" i="10"/>
  <c r="AM294" i="10"/>
  <c r="AM247" i="10"/>
  <c r="JI294" i="10"/>
  <c r="JI153" i="10"/>
  <c r="FK155" i="10"/>
  <c r="AM155" i="10"/>
  <c r="JI355" i="10"/>
  <c r="JI86" i="10"/>
  <c r="AM324" i="10"/>
  <c r="JI148" i="10"/>
  <c r="AM153" i="10"/>
  <c r="AM301" i="10"/>
  <c r="AM355" i="10"/>
  <c r="JI343" i="10"/>
  <c r="JI333" i="10"/>
  <c r="JI240" i="10"/>
  <c r="JI252" i="10"/>
  <c r="AM217" i="10"/>
  <c r="AM261" i="10"/>
  <c r="AM346" i="10"/>
  <c r="AM256" i="10"/>
  <c r="AM143" i="10"/>
  <c r="AM156" i="10"/>
  <c r="JI85" i="10"/>
  <c r="AM257" i="10"/>
  <c r="AM178" i="10"/>
  <c r="JI376" i="10"/>
  <c r="JI254" i="10"/>
  <c r="AM181" i="10"/>
  <c r="JI189" i="10"/>
  <c r="JI156" i="10"/>
  <c r="JI340" i="10"/>
  <c r="JI83" i="10"/>
  <c r="JI152" i="10"/>
  <c r="AM101" i="10"/>
  <c r="AM138" i="10"/>
  <c r="FK171" i="10"/>
  <c r="AM171" i="10"/>
  <c r="AM82" i="10"/>
  <c r="AM329" i="10"/>
  <c r="AM352" i="10"/>
  <c r="JI374" i="10"/>
  <c r="FK98" i="10"/>
  <c r="JI82" i="10"/>
  <c r="AM78" i="10"/>
  <c r="FK302" i="10"/>
  <c r="AM302" i="10"/>
  <c r="JI149" i="10"/>
  <c r="FK322" i="10"/>
  <c r="AM322" i="10"/>
  <c r="AM200" i="10"/>
  <c r="JI312" i="10"/>
  <c r="AM314" i="10"/>
  <c r="JI217" i="10"/>
  <c r="AM354" i="10"/>
  <c r="AM81" i="10"/>
  <c r="AM260" i="10"/>
  <c r="AM72" i="10"/>
  <c r="JI112" i="10"/>
  <c r="JI319" i="10"/>
  <c r="JI236" i="10"/>
  <c r="JI329" i="10"/>
  <c r="JI222" i="10"/>
  <c r="AM321" i="10"/>
  <c r="FK252" i="10"/>
  <c r="AM252" i="10"/>
  <c r="JI129" i="10"/>
  <c r="AM236" i="10"/>
  <c r="FK363" i="10"/>
  <c r="AM363" i="10"/>
  <c r="JI196" i="10"/>
  <c r="FK227" i="10"/>
  <c r="AM255" i="10"/>
  <c r="JI267" i="10"/>
  <c r="JI115" i="10"/>
  <c r="AM359" i="10"/>
  <c r="JI365" i="10"/>
  <c r="FK375" i="10"/>
  <c r="AM375" i="10"/>
  <c r="JI154" i="10"/>
  <c r="FK186" i="10"/>
  <c r="AM186" i="10"/>
  <c r="FK225" i="10"/>
  <c r="AM215" i="10"/>
  <c r="AM372" i="10"/>
  <c r="JI81" i="10"/>
  <c r="FK123" i="10"/>
  <c r="JI179" i="10"/>
  <c r="FK92" i="10"/>
  <c r="AM92" i="10"/>
  <c r="FK207" i="10"/>
  <c r="AM207" i="10"/>
  <c r="AM360" i="10"/>
  <c r="AM75" i="10"/>
  <c r="JI145" i="10"/>
  <c r="AM183" i="10"/>
  <c r="AM160" i="10"/>
  <c r="AM70" i="10"/>
  <c r="JI332" i="10"/>
  <c r="AM96" i="10"/>
  <c r="AM185" i="10"/>
  <c r="JI127" i="10"/>
  <c r="FK174" i="10"/>
  <c r="JI186" i="10"/>
  <c r="AM91" i="10"/>
  <c r="AM115" i="10"/>
  <c r="JI383" i="10"/>
  <c r="JI352" i="10"/>
  <c r="AM371" i="10"/>
  <c r="AM342" i="10"/>
  <c r="FK222" i="10"/>
  <c r="JI160" i="10"/>
  <c r="JI296" i="10"/>
  <c r="AM296" i="10"/>
  <c r="JI384" i="10"/>
  <c r="JI371" i="10"/>
  <c r="JI314" i="10"/>
  <c r="AM152" i="10"/>
  <c r="JI233" i="10"/>
  <c r="AM177" i="10"/>
  <c r="JI275" i="10"/>
  <c r="FK277" i="10"/>
  <c r="FK214" i="10"/>
  <c r="AM214" i="10"/>
  <c r="AM286" i="10"/>
  <c r="AM147" i="10"/>
  <c r="FK309" i="10"/>
  <c r="AM309" i="10"/>
  <c r="JI89" i="10"/>
  <c r="AM124" i="10"/>
  <c r="FK111" i="10"/>
  <c r="AM111" i="10"/>
  <c r="AM328" i="10"/>
  <c r="AM365" i="10"/>
  <c r="AM133" i="10"/>
  <c r="AM119" i="10"/>
  <c r="JI111" i="10"/>
  <c r="FK267" i="10"/>
  <c r="JI220" i="10"/>
  <c r="FK299" i="10"/>
  <c r="JI123" i="10"/>
  <c r="AM331" i="10"/>
  <c r="FK307" i="10"/>
  <c r="AM307" i="10"/>
  <c r="AM88" i="10"/>
  <c r="AM84" i="10"/>
  <c r="FK384" i="10"/>
  <c r="JI308" i="10"/>
  <c r="JI290" i="10"/>
  <c r="FK303" i="10"/>
  <c r="AM303" i="10"/>
  <c r="FK182" i="10"/>
  <c r="AM182" i="10"/>
  <c r="FK306" i="10"/>
  <c r="FK120" i="10"/>
  <c r="JI182" i="10"/>
  <c r="AM274" i="10"/>
  <c r="AM73" i="10"/>
  <c r="AM176" i="10"/>
  <c r="AM306" i="10"/>
  <c r="JI73" i="10"/>
  <c r="FK201" i="10"/>
  <c r="AM201" i="10"/>
  <c r="FK127" i="10"/>
  <c r="JI386" i="10"/>
  <c r="JI218" i="10"/>
  <c r="JI295" i="10"/>
  <c r="AM250" i="10"/>
  <c r="JI317" i="10"/>
  <c r="JI274" i="10"/>
  <c r="AM144" i="10"/>
  <c r="JI336" i="10"/>
  <c r="AM167" i="10"/>
  <c r="AM140" i="10"/>
  <c r="FK284" i="10"/>
  <c r="AM284" i="10"/>
  <c r="JI381" i="10"/>
  <c r="JI93" i="10"/>
  <c r="JI183" i="10"/>
  <c r="JI147" i="10"/>
  <c r="AM381" i="10"/>
  <c r="JI194" i="10"/>
  <c r="JI359" i="10"/>
  <c r="JI128" i="10"/>
  <c r="AM118" i="10"/>
  <c r="AM290" i="10"/>
  <c r="JI328" i="10"/>
  <c r="JI258" i="10"/>
  <c r="AM373" i="10"/>
  <c r="JI377" i="10"/>
  <c r="AM242" i="10"/>
  <c r="JI373" i="10"/>
  <c r="AM287" i="10"/>
  <c r="JI230" i="10"/>
  <c r="JI97" i="10"/>
  <c r="AM336" i="10"/>
  <c r="JI84" i="10"/>
  <c r="FK295" i="10"/>
  <c r="JI309" i="10"/>
  <c r="JI140" i="10"/>
  <c r="JI342" i="10"/>
  <c r="FK128" i="10"/>
  <c r="FK116" i="10"/>
  <c r="AM116" i="10"/>
  <c r="AM386" i="10"/>
  <c r="JI242" i="10"/>
  <c r="AM270" i="10"/>
  <c r="AM317" i="10"/>
  <c r="JI118" i="10"/>
  <c r="JI170" i="10"/>
  <c r="JI204" i="10"/>
  <c r="JI49" i="10"/>
  <c r="JI64" i="10"/>
  <c r="JI71" i="10"/>
  <c r="FK71" i="10"/>
  <c r="AM71" i="10"/>
  <c r="JI68" i="10"/>
  <c r="JI51" i="10"/>
  <c r="JI57" i="10"/>
  <c r="JI48" i="10"/>
  <c r="JI60" i="10"/>
  <c r="JI63" i="10"/>
  <c r="JI67" i="10"/>
  <c r="JI65" i="10"/>
  <c r="JI46" i="10"/>
  <c r="JI61" i="10"/>
  <c r="JI69" i="10"/>
  <c r="JI54" i="10"/>
  <c r="JI53" i="10"/>
  <c r="AM66" i="10"/>
  <c r="JI66" i="10"/>
  <c r="AM48" i="10"/>
  <c r="JI59" i="10"/>
  <c r="JI50" i="10"/>
  <c r="AM57" i="10"/>
  <c r="JI56" i="10"/>
  <c r="JI62" i="10"/>
  <c r="AM55" i="10"/>
  <c r="AM59" i="10"/>
  <c r="AM58" i="10"/>
  <c r="FK63" i="10"/>
  <c r="JI52" i="10"/>
  <c r="JI55" i="10"/>
  <c r="JI58" i="10"/>
  <c r="JI47" i="10"/>
  <c r="JI42" i="10"/>
  <c r="JI33" i="10"/>
  <c r="JI32" i="10"/>
  <c r="JI43" i="10"/>
  <c r="JI44" i="10"/>
  <c r="JI29" i="10"/>
  <c r="JI30" i="10"/>
  <c r="AM41" i="10"/>
  <c r="AM28" i="10"/>
  <c r="AM36" i="10"/>
  <c r="FK32" i="10"/>
  <c r="AM40" i="10"/>
  <c r="JI35" i="10"/>
  <c r="JI45" i="10"/>
  <c r="FK35" i="10"/>
  <c r="JI28" i="10"/>
  <c r="JI38" i="10"/>
  <c r="FK38" i="10"/>
  <c r="JI40" i="10"/>
  <c r="AM43" i="10"/>
  <c r="AM45" i="10"/>
  <c r="JI39" i="10"/>
  <c r="AM44" i="10"/>
  <c r="AM37" i="10"/>
  <c r="JI31" i="10"/>
  <c r="AM34" i="10"/>
  <c r="JI34" i="10"/>
  <c r="AM38" i="10"/>
  <c r="JI37" i="10"/>
  <c r="AG56" i="10"/>
  <c r="AG131" i="10"/>
  <c r="AG332" i="10"/>
  <c r="AG309" i="10"/>
  <c r="AG246" i="10"/>
  <c r="AG316" i="10"/>
  <c r="AG223" i="10"/>
  <c r="AG272" i="10"/>
  <c r="AG106" i="10"/>
  <c r="AG162" i="10"/>
  <c r="AG193" i="10"/>
  <c r="AG349" i="10"/>
  <c r="AG82" i="10"/>
  <c r="AG78" i="10"/>
  <c r="AG181" i="10"/>
  <c r="AG28" i="10"/>
  <c r="AG247" i="10"/>
  <c r="AG75" i="10"/>
  <c r="AG238" i="10"/>
  <c r="AG361" i="10"/>
  <c r="AG122" i="10"/>
  <c r="AG79" i="10"/>
  <c r="AG329" i="10"/>
  <c r="AG167" i="10"/>
  <c r="AG342" i="10"/>
  <c r="AG242" i="10"/>
  <c r="AG290" i="10"/>
  <c r="AG176" i="10"/>
  <c r="AG61" i="10"/>
  <c r="AG59" i="10"/>
  <c r="AG305" i="10"/>
  <c r="AG380" i="10"/>
  <c r="AG249" i="10"/>
  <c r="AG134" i="10"/>
  <c r="AG235" i="10"/>
  <c r="AG279" i="10"/>
  <c r="AG243" i="10"/>
  <c r="AG215" i="10"/>
  <c r="AG331" i="10"/>
  <c r="AG178" i="10"/>
  <c r="AG145" i="10"/>
  <c r="AG124" i="10"/>
  <c r="AG296" i="10"/>
  <c r="AG241" i="10"/>
  <c r="AG318" i="10"/>
  <c r="AG390" i="10"/>
  <c r="AG228" i="10"/>
  <c r="AG282" i="10"/>
  <c r="AG87" i="10"/>
  <c r="AG211" i="10"/>
  <c r="AG126" i="10"/>
  <c r="AG132" i="10"/>
  <c r="AG48" i="10"/>
  <c r="AG293" i="10"/>
  <c r="AG138" i="10"/>
  <c r="AG115" i="10"/>
  <c r="AG387" i="10"/>
  <c r="AG378" i="10"/>
  <c r="AG199" i="10"/>
  <c r="AG375" i="10"/>
  <c r="AG96" i="10"/>
  <c r="AG219" i="10"/>
  <c r="AG70" i="10"/>
  <c r="AG185" i="10"/>
  <c r="AG201" i="10"/>
  <c r="AG108" i="10"/>
  <c r="AG125" i="10"/>
  <c r="AG308" i="10"/>
  <c r="AG300" i="10"/>
  <c r="AG76" i="10"/>
  <c r="AG351" i="10"/>
  <c r="AG259" i="10"/>
  <c r="AG51" i="10"/>
  <c r="AG368" i="10"/>
  <c r="AG234" i="10"/>
  <c r="AG327" i="10"/>
  <c r="AG85" i="10"/>
  <c r="AG207" i="10"/>
  <c r="AG137" i="10"/>
  <c r="AG328" i="10"/>
  <c r="AG214" i="10"/>
  <c r="AG287" i="10"/>
  <c r="AG116" i="10"/>
  <c r="AG339" i="10"/>
  <c r="AG273" i="10"/>
  <c r="AG292" i="10"/>
  <c r="AG47" i="10"/>
  <c r="AG341" i="10"/>
  <c r="AG353" i="10"/>
  <c r="AG209" i="10"/>
  <c r="AG365" i="10"/>
  <c r="AG127" i="10"/>
  <c r="AG93" i="10"/>
  <c r="AG274" i="10"/>
  <c r="AG168" i="10"/>
  <c r="AG39" i="10"/>
  <c r="AG165" i="10"/>
  <c r="AG335" i="10"/>
  <c r="AG311" i="10"/>
  <c r="AG202" i="10"/>
  <c r="AG153" i="10"/>
  <c r="AG189" i="10"/>
  <c r="AG92" i="10"/>
  <c r="AG364" i="10"/>
  <c r="AG205" i="10"/>
  <c r="AG133" i="10"/>
  <c r="AG57" i="10"/>
  <c r="AG253" i="10"/>
  <c r="AG187" i="10"/>
  <c r="AG345" i="10"/>
  <c r="AG278" i="10"/>
  <c r="AG86" i="10"/>
  <c r="AG348" i="10"/>
  <c r="AG94" i="10"/>
  <c r="AG360" i="10"/>
  <c r="AG119" i="10"/>
  <c r="AG306" i="10"/>
  <c r="AG114" i="10"/>
  <c r="AG197" i="10"/>
  <c r="AG150" i="10"/>
  <c r="AG295" i="10"/>
  <c r="AG36" i="10"/>
  <c r="AG330" i="10"/>
  <c r="AG46" i="10"/>
  <c r="AG172" i="10"/>
  <c r="AG206" i="10"/>
  <c r="AG171" i="10"/>
  <c r="AG174" i="10"/>
  <c r="AG240" i="10"/>
  <c r="AG260" i="10"/>
  <c r="AG42" i="10"/>
  <c r="AG62" i="10"/>
  <c r="AG68" i="10"/>
  <c r="AG72" i="10"/>
  <c r="AG245" i="10"/>
  <c r="AG128" i="10"/>
  <c r="AG271" i="10"/>
  <c r="AG203" i="10"/>
  <c r="AG297" i="10"/>
  <c r="AG195" i="10"/>
  <c r="AG190" i="10"/>
  <c r="AG161" i="10"/>
  <c r="AG135" i="10"/>
  <c r="AG244" i="10"/>
  <c r="AG319" i="10"/>
  <c r="AG111" i="10"/>
  <c r="AG120" i="10"/>
  <c r="AG40" i="10"/>
  <c r="AG237" i="10"/>
  <c r="AG313" i="10"/>
  <c r="AG102" i="10"/>
  <c r="AG226" i="10"/>
  <c r="AG136" i="10"/>
  <c r="AG283" i="10"/>
  <c r="AG65" i="10"/>
  <c r="AG37" i="10"/>
  <c r="AG155" i="10"/>
  <c r="AG355" i="10"/>
  <c r="AG257" i="10"/>
  <c r="AG227" i="10"/>
  <c r="AG315" i="10"/>
  <c r="AG230" i="10"/>
  <c r="AG284" i="10"/>
  <c r="AG97" i="10"/>
  <c r="AG45" i="10"/>
  <c r="AG281" i="10"/>
  <c r="AG166" i="10"/>
  <c r="AG100" i="10"/>
  <c r="AG180" i="10"/>
  <c r="AG289" i="10"/>
  <c r="AG188" i="10"/>
  <c r="AG103" i="10"/>
  <c r="AG358" i="10"/>
  <c r="AG382" i="10"/>
  <c r="AG385" i="10"/>
  <c r="AG254" i="10"/>
  <c r="AG33" i="10"/>
  <c r="AG143" i="10"/>
  <c r="AG225" i="10"/>
  <c r="AG71" i="10"/>
  <c r="AG374" i="10"/>
  <c r="AG354" i="10"/>
  <c r="AG179" i="10"/>
  <c r="AG286" i="10"/>
  <c r="AG74" i="10"/>
  <c r="AG204" i="10"/>
  <c r="AG221" i="10"/>
  <c r="AG320" i="10"/>
  <c r="AG280" i="10"/>
  <c r="AG301" i="10"/>
  <c r="AG156" i="10"/>
  <c r="AG80" i="10"/>
  <c r="AG107" i="10"/>
  <c r="AG208" i="10"/>
  <c r="AG222" i="10"/>
  <c r="AG277" i="10"/>
  <c r="AG152" i="10"/>
  <c r="AG194" i="10"/>
  <c r="EK392" i="10"/>
  <c r="EL392" i="10"/>
  <c r="AG192" i="10"/>
  <c r="AG99" i="10"/>
  <c r="AG44" i="10"/>
  <c r="AG117" i="10"/>
  <c r="AG302" i="10"/>
  <c r="AG344" i="10"/>
  <c r="AG186" i="10"/>
  <c r="AG371" i="10"/>
  <c r="AG325" i="10"/>
  <c r="AG38" i="10"/>
  <c r="AG139" i="10"/>
  <c r="AG276" i="10"/>
  <c r="AG67" i="10"/>
  <c r="AG148" i="10"/>
  <c r="AG346" i="10"/>
  <c r="AG333" i="10"/>
  <c r="AG63" i="10"/>
  <c r="AG101" i="10"/>
  <c r="AG147" i="10"/>
  <c r="AG113" i="10"/>
  <c r="AG34" i="10"/>
  <c r="BB392" i="10"/>
  <c r="AG118" i="10"/>
  <c r="AG41" i="10"/>
  <c r="AG30" i="10"/>
  <c r="AG369" i="10"/>
  <c r="AG224" i="10"/>
  <c r="AG389" i="10"/>
  <c r="AG251" i="10"/>
  <c r="AG343" i="10"/>
  <c r="AG53" i="10"/>
  <c r="AG43" i="10"/>
  <c r="AG322" i="10"/>
  <c r="AG304" i="10"/>
  <c r="AG177" i="10"/>
  <c r="AG366" i="10"/>
  <c r="AG268" i="10"/>
  <c r="AG266" i="10"/>
  <c r="AG163" i="10"/>
  <c r="AG288" i="10"/>
  <c r="AG130" i="10"/>
  <c r="AG110" i="10"/>
  <c r="AG231" i="10"/>
  <c r="AG149" i="10"/>
  <c r="AG164" i="10"/>
  <c r="AG261" i="10"/>
  <c r="AG32" i="10"/>
  <c r="AG265" i="10"/>
  <c r="AG267" i="10"/>
  <c r="AG233" i="10"/>
  <c r="AG191" i="10"/>
  <c r="AG270" i="10"/>
  <c r="AG170" i="10"/>
  <c r="AH392" i="10"/>
  <c r="AG392" i="10"/>
  <c r="AG158" i="10"/>
  <c r="AG73" i="10"/>
  <c r="AG184" i="10"/>
  <c r="AG95" i="10"/>
  <c r="AG326" i="10"/>
  <c r="AG370" i="10"/>
  <c r="AG252" i="10"/>
  <c r="AG123" i="10"/>
  <c r="AG198" i="10"/>
  <c r="AG210" i="10"/>
  <c r="AG307" i="10"/>
  <c r="AG391" i="10"/>
  <c r="AG303" i="10"/>
  <c r="AG336" i="10"/>
  <c r="AG35" i="10"/>
  <c r="AG66" i="10"/>
  <c r="AG54" i="10"/>
  <c r="AG159" i="10"/>
  <c r="AG98" i="10"/>
  <c r="AG363" i="10"/>
  <c r="AG129" i="10"/>
  <c r="AG196" i="10"/>
  <c r="AG89" i="10"/>
  <c r="AG232" i="10"/>
  <c r="AG142" i="10"/>
  <c r="AG183" i="10"/>
  <c r="AG144" i="10"/>
  <c r="AG64" i="10"/>
  <c r="AG381" i="10"/>
  <c r="AG347" i="10"/>
  <c r="AG60" i="10"/>
  <c r="AG262" i="10"/>
  <c r="AG55" i="10"/>
  <c r="AG367" i="10"/>
  <c r="AG216" i="10"/>
  <c r="AG157" i="10"/>
  <c r="AG285" i="10"/>
  <c r="AG376" i="10"/>
  <c r="AG77" i="10"/>
  <c r="AG141" i="10"/>
  <c r="AG229" i="10"/>
  <c r="AG299" i="10"/>
  <c r="AG383" i="10"/>
  <c r="AG372" i="10"/>
  <c r="AG321" i="10"/>
  <c r="AG352" i="10"/>
  <c r="AG154" i="10"/>
  <c r="AG255" i="10"/>
  <c r="AG359" i="10"/>
  <c r="AG200" i="10"/>
  <c r="AG160" i="10"/>
  <c r="AG314" i="10"/>
  <c r="AG386" i="10"/>
  <c r="AG88" i="10"/>
  <c r="AG218" i="10"/>
  <c r="AG298" i="10"/>
  <c r="AG310" i="10"/>
  <c r="AG212" i="10"/>
  <c r="AG121" i="10"/>
  <c r="AG90" i="10"/>
  <c r="AG338" i="10"/>
  <c r="AG239" i="10"/>
  <c r="AG146" i="10"/>
  <c r="AG109" i="10"/>
  <c r="AG362" i="10"/>
  <c r="AG169" i="10"/>
  <c r="AG324" i="10"/>
  <c r="AG104" i="10"/>
  <c r="AG151" i="10"/>
  <c r="AG217" i="10"/>
  <c r="AG388" i="10"/>
  <c r="AG340" i="10"/>
  <c r="AG236" i="10"/>
  <c r="AG81" i="10"/>
  <c r="AG220" i="10"/>
  <c r="AG250" i="10"/>
  <c r="AG317" i="10"/>
  <c r="AG373" i="10"/>
  <c r="AG377" i="10"/>
  <c r="AG248" i="10"/>
  <c r="AG263" i="10"/>
  <c r="AG269" i="10"/>
  <c r="AG264" i="10"/>
  <c r="AG256" i="10"/>
  <c r="AG350" i="10"/>
  <c r="AG83" i="10"/>
  <c r="AG384" i="10"/>
  <c r="AG31" i="10"/>
  <c r="AG91" i="10"/>
  <c r="AG175" i="10"/>
  <c r="AG140" i="10"/>
  <c r="AG275" i="10"/>
  <c r="AG58" i="10"/>
  <c r="AG258" i="10"/>
  <c r="AG105" i="10"/>
  <c r="AG213" i="10"/>
  <c r="AG49" i="10"/>
  <c r="AG112" i="10"/>
  <c r="AG50" i="10"/>
  <c r="AG69" i="10"/>
  <c r="AG29" i="10"/>
  <c r="AG182" i="10"/>
  <c r="AG357" i="10"/>
  <c r="AG334" i="10"/>
  <c r="AG379" i="10"/>
  <c r="AG312" i="10"/>
  <c r="AG173" i="10"/>
  <c r="AG291" i="10"/>
  <c r="AG294" i="10"/>
  <c r="AG52" i="10"/>
  <c r="AG337" i="10"/>
  <c r="AG323" i="10"/>
  <c r="AG356" i="10"/>
  <c r="AG84" i="10"/>
  <c r="JU392" i="10"/>
  <c r="JY23" i="10"/>
  <c r="KG23" i="10"/>
  <c r="KA23" i="10"/>
  <c r="KJ23" i="10"/>
  <c r="JZ23" i="10"/>
  <c r="JX23" i="10"/>
  <c r="KH23" i="10"/>
  <c r="KG22" i="10"/>
  <c r="FY22" i="10"/>
  <c r="KI22" i="10"/>
  <c r="KH22" i="10"/>
  <c r="FU23" i="10"/>
  <c r="FW23" i="10"/>
  <c r="KJ22" i="10"/>
  <c r="KB23" i="10"/>
  <c r="BJ23" i="10"/>
  <c r="AP17" i="15"/>
  <c r="KK23" i="10"/>
  <c r="BH23" i="10"/>
  <c r="AN17" i="15"/>
  <c r="KK22" i="10"/>
  <c r="BH22" i="10"/>
  <c r="AN16" i="15"/>
  <c r="KL23" i="10"/>
  <c r="KL22" i="10"/>
  <c r="GC22" i="10"/>
  <c r="GF23" i="10"/>
  <c r="GG23" i="10"/>
  <c r="GC23" i="10"/>
  <c r="FZ23" i="10"/>
  <c r="GA23" i="10"/>
  <c r="KM23" i="10"/>
  <c r="BI23" i="10" s="1"/>
  <c r="AO17" i="15" s="1"/>
  <c r="KE23" i="10"/>
  <c r="BM23" i="10"/>
  <c r="AS17" i="15"/>
  <c r="GF22" i="10"/>
  <c r="GG22" i="10"/>
  <c r="GB22" i="10"/>
  <c r="GB23" i="10"/>
  <c r="GD23" i="10"/>
  <c r="GE23" i="10"/>
  <c r="KN23" i="10"/>
  <c r="KN22" i="10"/>
  <c r="KM22" i="10"/>
  <c r="BI22" i="10" s="1"/>
  <c r="AO16" i="15" s="1"/>
  <c r="JV120" i="10"/>
  <c r="JV216" i="10"/>
  <c r="JV223" i="10"/>
  <c r="JV261" i="10"/>
  <c r="JV324" i="10"/>
  <c r="JV232" i="10"/>
  <c r="JV80" i="10"/>
  <c r="JV81" i="10"/>
  <c r="JV112" i="10"/>
  <c r="JV269" i="10"/>
  <c r="JV360" i="10"/>
  <c r="JV175" i="10"/>
  <c r="JV270" i="10"/>
  <c r="JV268" i="10"/>
  <c r="JV253" i="10"/>
  <c r="JV147" i="10"/>
  <c r="JV152" i="10"/>
  <c r="JV168" i="10"/>
  <c r="JV215" i="10"/>
  <c r="JV243" i="10"/>
  <c r="JV355" i="10"/>
  <c r="JV362" i="10"/>
  <c r="JV377" i="10"/>
  <c r="JV308" i="10"/>
  <c r="JV326" i="10"/>
  <c r="JV335" i="10"/>
  <c r="JV284" i="10"/>
  <c r="JV246" i="10"/>
  <c r="JV84" i="10"/>
  <c r="JV161" i="10"/>
  <c r="JV202" i="10"/>
  <c r="JV385" i="10"/>
  <c r="JV158" i="10"/>
  <c r="JV263" i="10"/>
  <c r="JV150" i="10"/>
  <c r="JV282" i="10"/>
  <c r="JV123" i="10"/>
  <c r="JV171" i="10"/>
  <c r="JV228" i="10"/>
  <c r="JV107" i="10"/>
  <c r="JV289" i="10"/>
  <c r="JV297" i="10"/>
  <c r="JV257" i="10"/>
  <c r="JV292" i="10"/>
  <c r="JV177" i="10"/>
  <c r="JV133" i="10"/>
  <c r="JV209" i="10"/>
  <c r="JV104" i="10"/>
  <c r="JV87" i="10"/>
  <c r="JV196" i="10"/>
  <c r="JV279" i="10"/>
  <c r="JV130" i="10"/>
  <c r="JV97" i="10"/>
  <c r="JV237" i="10"/>
  <c r="JV122" i="10"/>
  <c r="JV176" i="10"/>
  <c r="JV333" i="10"/>
  <c r="JV125" i="10"/>
  <c r="JV77" i="10"/>
  <c r="JV316" i="10"/>
  <c r="JV312" i="10"/>
  <c r="JV208" i="10"/>
  <c r="JV351" i="10"/>
  <c r="JV79" i="10"/>
  <c r="JV220" i="10"/>
  <c r="JV213" i="10"/>
  <c r="JV103" i="10"/>
  <c r="JV217" i="10"/>
  <c r="JV231" i="10"/>
  <c r="JV170" i="10"/>
  <c r="JV153" i="10"/>
  <c r="JV160" i="10"/>
  <c r="JV238" i="10"/>
  <c r="JV314" i="10"/>
  <c r="JV349" i="10"/>
  <c r="JV251" i="10"/>
  <c r="JV178" i="10"/>
  <c r="JV156" i="10"/>
  <c r="JV266" i="10"/>
  <c r="JV136" i="10"/>
  <c r="JV265" i="10"/>
  <c r="JV247" i="10"/>
  <c r="JV299" i="10"/>
  <c r="JV193" i="10"/>
  <c r="JV388" i="10"/>
  <c r="JV212" i="10"/>
  <c r="JV141" i="10"/>
  <c r="JV331" i="10"/>
  <c r="JV341" i="10"/>
  <c r="JV274" i="10"/>
  <c r="JV92" i="10"/>
  <c r="JV348" i="10"/>
  <c r="JV230" i="10"/>
  <c r="JV353" i="10"/>
  <c r="JV172" i="10"/>
  <c r="JV222" i="10"/>
  <c r="JV166" i="10"/>
  <c r="JV286" i="10"/>
  <c r="JV157" i="10"/>
  <c r="JV165" i="10"/>
  <c r="JV347" i="10"/>
  <c r="JV85" i="10"/>
  <c r="JV365" i="10"/>
  <c r="JV204" i="10"/>
  <c r="JV129" i="10"/>
  <c r="JV249" i="10"/>
  <c r="JV95" i="10"/>
  <c r="JV174" i="10"/>
  <c r="JV387" i="10"/>
  <c r="JV363" i="10"/>
  <c r="JV197" i="10"/>
  <c r="JV337" i="10"/>
  <c r="JV255" i="10"/>
  <c r="JV390" i="10"/>
  <c r="JV83" i="10"/>
  <c r="JV317" i="10"/>
  <c r="JV294" i="10"/>
  <c r="JV259" i="10"/>
  <c r="JV72" i="10"/>
  <c r="JV124" i="10"/>
  <c r="JV300" i="10"/>
  <c r="JV285" i="10"/>
  <c r="JV260" i="10"/>
  <c r="JV242" i="10"/>
  <c r="JV181" i="10"/>
  <c r="JV203" i="10"/>
  <c r="JV354" i="10"/>
  <c r="JV187" i="10"/>
  <c r="JV180" i="10"/>
  <c r="JV368" i="10"/>
  <c r="JV71" i="10"/>
  <c r="JV327" i="10"/>
  <c r="JV298" i="10"/>
  <c r="JV328" i="10"/>
  <c r="JV164" i="10"/>
  <c r="JV306" i="10"/>
  <c r="JV239" i="10"/>
  <c r="JV109" i="10"/>
  <c r="JV163" i="10"/>
  <c r="JV277" i="10"/>
  <c r="JV236" i="10"/>
  <c r="JV334" i="10"/>
  <c r="JV146" i="10"/>
  <c r="JV192" i="10"/>
  <c r="JV195" i="10"/>
  <c r="JV293" i="10"/>
  <c r="JV167" i="10"/>
  <c r="JV173" i="10"/>
  <c r="JV94" i="10"/>
  <c r="JV295" i="10"/>
  <c r="JV227" i="10"/>
  <c r="JV191" i="10"/>
  <c r="JV344" i="10"/>
  <c r="JV373" i="10"/>
  <c r="JV201" i="10"/>
  <c r="JV364" i="10"/>
  <c r="JV305" i="10"/>
  <c r="JV303" i="10"/>
  <c r="JV264" i="10"/>
  <c r="JV320" i="10"/>
  <c r="JV235" i="10"/>
  <c r="JV367" i="10"/>
  <c r="JV200" i="10"/>
  <c r="JV82" i="10"/>
  <c r="JV361" i="10"/>
  <c r="JV330" i="10"/>
  <c r="JV99" i="10"/>
  <c r="JV218" i="10"/>
  <c r="JV116" i="10"/>
  <c r="JV78" i="10"/>
  <c r="JV90" i="10"/>
  <c r="JV206" i="10"/>
  <c r="JV262" i="10"/>
  <c r="JV319" i="10"/>
  <c r="JV76" i="10"/>
  <c r="JV372" i="10"/>
  <c r="JV205" i="10"/>
  <c r="JV271" i="10"/>
  <c r="JV345" i="10"/>
  <c r="JV137" i="10"/>
  <c r="JV140" i="10"/>
  <c r="JV250" i="10"/>
  <c r="JV352" i="10"/>
  <c r="JV233" i="10"/>
  <c r="JV311" i="10"/>
  <c r="JV339" i="10"/>
  <c r="JV338" i="10"/>
  <c r="JV383" i="10"/>
  <c r="JV106" i="10"/>
  <c r="JV329" i="10"/>
  <c r="JV244" i="10"/>
  <c r="JV342" i="10"/>
  <c r="JV179" i="10"/>
  <c r="JV139" i="10"/>
  <c r="JV143" i="10"/>
  <c r="JV194" i="10"/>
  <c r="JV126" i="10"/>
  <c r="JV185" i="10"/>
  <c r="JV96" i="10"/>
  <c r="JV86" i="10"/>
  <c r="JV267" i="10"/>
  <c r="JV100" i="10"/>
  <c r="JV318" i="10"/>
  <c r="JV332" i="10"/>
  <c r="JV102" i="10"/>
  <c r="JV322" i="10"/>
  <c r="JV241" i="10"/>
  <c r="JV189" i="10"/>
  <c r="JV252" i="10"/>
  <c r="JV162" i="10"/>
  <c r="JV313" i="10"/>
  <c r="JV301" i="10"/>
  <c r="JV288" i="10"/>
  <c r="JV256" i="10"/>
  <c r="JV245" i="10"/>
  <c r="JV336" i="10"/>
  <c r="JV111" i="10"/>
  <c r="JV356" i="10"/>
  <c r="JV321" i="10"/>
  <c r="JV73" i="10"/>
  <c r="JV154" i="10"/>
  <c r="JV225" i="10"/>
  <c r="JV370" i="10"/>
  <c r="JV374" i="10"/>
  <c r="JV145" i="10"/>
  <c r="JV114" i="10"/>
  <c r="JV304" i="10"/>
  <c r="JV169" i="10"/>
  <c r="JV281" i="10"/>
  <c r="JV278" i="10"/>
  <c r="JV128" i="10"/>
  <c r="JV70" i="10"/>
  <c r="JV211" i="10"/>
  <c r="JV357" i="10"/>
  <c r="JV207" i="10"/>
  <c r="JV381" i="10"/>
  <c r="JV258" i="10"/>
  <c r="JV291" i="10"/>
  <c r="JV310" i="10"/>
  <c r="JV248" i="10"/>
  <c r="JV118" i="10"/>
  <c r="JV142" i="10"/>
  <c r="JV199" i="10"/>
  <c r="JV101" i="10"/>
  <c r="JV119" i="10"/>
  <c r="JV134" i="10"/>
  <c r="JV309" i="10"/>
  <c r="JV234" i="10"/>
  <c r="JV221" i="10"/>
  <c r="JV127" i="10"/>
  <c r="JV182" i="10"/>
  <c r="JV302" i="10"/>
  <c r="JV75" i="10"/>
  <c r="JV183" i="10"/>
  <c r="JV389" i="10"/>
  <c r="JV93" i="10"/>
  <c r="JV350" i="10"/>
  <c r="JV210" i="10"/>
  <c r="JV379" i="10"/>
  <c r="JV240" i="10"/>
  <c r="JV226" i="10"/>
  <c r="JV290" i="10"/>
  <c r="JV323" i="10"/>
  <c r="JV186" i="10"/>
  <c r="JV307" i="10"/>
  <c r="JV121" i="10"/>
  <c r="JV149" i="10"/>
  <c r="JV229" i="10"/>
  <c r="JV391" i="10"/>
  <c r="JV198" i="10"/>
  <c r="JV358" i="10"/>
  <c r="JV272" i="10"/>
  <c r="JV366" i="10"/>
  <c r="JV382" i="10"/>
  <c r="JV115" i="10"/>
  <c r="JV74" i="10"/>
  <c r="JV144" i="10"/>
  <c r="JV315" i="10"/>
  <c r="JV384" i="10"/>
  <c r="JV214" i="10"/>
  <c r="JV117" i="10"/>
  <c r="JV105" i="10"/>
  <c r="JV280" i="10"/>
  <c r="JV188" i="10"/>
  <c r="JV148" i="10"/>
  <c r="JV113" i="10"/>
  <c r="JV224" i="10"/>
  <c r="JV376" i="10"/>
  <c r="JV273" i="10"/>
  <c r="JV135" i="10"/>
  <c r="JV283" i="10"/>
  <c r="JV386" i="10"/>
  <c r="JV155" i="10"/>
  <c r="JV275" i="10"/>
  <c r="JV325" i="10"/>
  <c r="JV343" i="10"/>
  <c r="JV276" i="10"/>
  <c r="JV91" i="10"/>
  <c r="JV131" i="10"/>
  <c r="JV378" i="10"/>
  <c r="JV296" i="10"/>
  <c r="JV359" i="10"/>
  <c r="JV89" i="10"/>
  <c r="JV138" i="10"/>
  <c r="JV375" i="10"/>
  <c r="JV371" i="10"/>
  <c r="JV219" i="10"/>
  <c r="JV88" i="10"/>
  <c r="JV98" i="10"/>
  <c r="JV380" i="10"/>
  <c r="JV254" i="10"/>
  <c r="JV108" i="10"/>
  <c r="JV159" i="10"/>
  <c r="JV287" i="10"/>
  <c r="JV110" i="10"/>
  <c r="JV151" i="10"/>
  <c r="JV340" i="10"/>
  <c r="JV369" i="10"/>
  <c r="JV184" i="10"/>
  <c r="JV190" i="10"/>
  <c r="JV346" i="10"/>
  <c r="JV132" i="10"/>
  <c r="EF127" i="10"/>
  <c r="EG127" i="10"/>
  <c r="EF334" i="10"/>
  <c r="EG334" i="10"/>
  <c r="EF190" i="10"/>
  <c r="EG190" i="10"/>
  <c r="EF291" i="10"/>
  <c r="EG291" i="10"/>
  <c r="EF229" i="10"/>
  <c r="EG229" i="10"/>
  <c r="EF146" i="10"/>
  <c r="EG146" i="10"/>
  <c r="EF220" i="10"/>
  <c r="EG220" i="10"/>
  <c r="EF163" i="10"/>
  <c r="EG163" i="10"/>
  <c r="EF166" i="10"/>
  <c r="EG166" i="10"/>
  <c r="EF351" i="10"/>
  <c r="EG351" i="10"/>
  <c r="EF126" i="10"/>
  <c r="EG126" i="10"/>
  <c r="EF222" i="10"/>
  <c r="EG222" i="10"/>
  <c r="EF288" i="10"/>
  <c r="EG288" i="10"/>
  <c r="EF128" i="10"/>
  <c r="EG128" i="10"/>
  <c r="EF207" i="10"/>
  <c r="EG207" i="10"/>
  <c r="EF118" i="10"/>
  <c r="EG118" i="10"/>
  <c r="EF256" i="10"/>
  <c r="EG256" i="10"/>
  <c r="EF373" i="10"/>
  <c r="EG373" i="10"/>
  <c r="EF301" i="10"/>
  <c r="EG301" i="10"/>
  <c r="EF268" i="10"/>
  <c r="EG268" i="10"/>
  <c r="EF372" i="10"/>
  <c r="EG372" i="10"/>
  <c r="EF121" i="10"/>
  <c r="EG121" i="10"/>
  <c r="EF237" i="10"/>
  <c r="EG237" i="10"/>
  <c r="EF248" i="10"/>
  <c r="EG248" i="10"/>
  <c r="EF88" i="10"/>
  <c r="EG88" i="10"/>
  <c r="EF383" i="10"/>
  <c r="EG383" i="10"/>
  <c r="EF234" i="10"/>
  <c r="EG234" i="10"/>
  <c r="EF387" i="10"/>
  <c r="EG387" i="10"/>
  <c r="EF357" i="10"/>
  <c r="EG357" i="10"/>
  <c r="EF80" i="10"/>
  <c r="EG80" i="10"/>
  <c r="EF272" i="10"/>
  <c r="EG272" i="10"/>
  <c r="EF168" i="10"/>
  <c r="EG168" i="10"/>
  <c r="EF355" i="10"/>
  <c r="EG355" i="10"/>
  <c r="EF157" i="10"/>
  <c r="EG157" i="10"/>
  <c r="EF345" i="10"/>
  <c r="EG345" i="10"/>
  <c r="EF241" i="10"/>
  <c r="EG241" i="10"/>
  <c r="EF275" i="10"/>
  <c r="EG275" i="10"/>
  <c r="EF104" i="10"/>
  <c r="EG104" i="10"/>
  <c r="EF200" i="10"/>
  <c r="EG200" i="10"/>
  <c r="EF261" i="10"/>
  <c r="EG261" i="10"/>
  <c r="EF290" i="10"/>
  <c r="EG290" i="10"/>
  <c r="EF343" i="10"/>
  <c r="EG343" i="10"/>
  <c r="EF273" i="10"/>
  <c r="EG273" i="10"/>
  <c r="EF265" i="10"/>
  <c r="EG265" i="10"/>
  <c r="EF169" i="10"/>
  <c r="EG169" i="10"/>
  <c r="EF188" i="10"/>
  <c r="EG188" i="10"/>
  <c r="EF380" i="10"/>
  <c r="EG380" i="10"/>
  <c r="EF274" i="10"/>
  <c r="EG274" i="10"/>
  <c r="EF84" i="10"/>
  <c r="EG84" i="10"/>
  <c r="EF310" i="10"/>
  <c r="EG310" i="10"/>
  <c r="EF132" i="10"/>
  <c r="EG132" i="10"/>
  <c r="EF254" i="10"/>
  <c r="EG254" i="10"/>
  <c r="EF179" i="10"/>
  <c r="EG179" i="10"/>
  <c r="EF315" i="10"/>
  <c r="EG315" i="10"/>
  <c r="EF184" i="10"/>
  <c r="EG184" i="10"/>
  <c r="EF71" i="10"/>
  <c r="EG71" i="10"/>
  <c r="EF109" i="10"/>
  <c r="EG109" i="10"/>
  <c r="EF339" i="10"/>
  <c r="EG339" i="10"/>
  <c r="EF341" i="10"/>
  <c r="EG341" i="10"/>
  <c r="EF103" i="10"/>
  <c r="EG103" i="10"/>
  <c r="EF192" i="10"/>
  <c r="EG192" i="10"/>
  <c r="EF162" i="10"/>
  <c r="EG162" i="10"/>
  <c r="EF238" i="10"/>
  <c r="EG238" i="10"/>
  <c r="EF206" i="10"/>
  <c r="EG206" i="10"/>
  <c r="EF294" i="10"/>
  <c r="EG294" i="10"/>
  <c r="EF75" i="10"/>
  <c r="EG75" i="10"/>
  <c r="EF352" i="10"/>
  <c r="EG352" i="10"/>
  <c r="EF304" i="10"/>
  <c r="EG304" i="10"/>
  <c r="EF250" i="10"/>
  <c r="EG250" i="10"/>
  <c r="EF228" i="10"/>
  <c r="EG228" i="10"/>
  <c r="EF267" i="10"/>
  <c r="EG267" i="10"/>
  <c r="EF156" i="10"/>
  <c r="EG156" i="10"/>
  <c r="EF264" i="10"/>
  <c r="EG264" i="10"/>
  <c r="EF306" i="10"/>
  <c r="EG306" i="10"/>
  <c r="EF134" i="10"/>
  <c r="EG134" i="10"/>
  <c r="EF358" i="10"/>
  <c r="EG358" i="10"/>
  <c r="EF191" i="10"/>
  <c r="EG191" i="10"/>
  <c r="EF151" i="10"/>
  <c r="EG151" i="10"/>
  <c r="EF113" i="10"/>
  <c r="EG113" i="10"/>
  <c r="EF236" i="10"/>
  <c r="EG236" i="10"/>
  <c r="EF257" i="10"/>
  <c r="EG257" i="10"/>
  <c r="EF158" i="10"/>
  <c r="EG158" i="10"/>
  <c r="EF143" i="10"/>
  <c r="EG143" i="10"/>
  <c r="EF224" i="10"/>
  <c r="EG224" i="10"/>
  <c r="EF286" i="10"/>
  <c r="EG286" i="10"/>
  <c r="EF363" i="10"/>
  <c r="EG363" i="10"/>
  <c r="EF178" i="10"/>
  <c r="EG178" i="10"/>
  <c r="EF74" i="10"/>
  <c r="EG74" i="10"/>
  <c r="EF244" i="10"/>
  <c r="EG244" i="10"/>
  <c r="EF285" i="10"/>
  <c r="EG285" i="10"/>
  <c r="EF137" i="10"/>
  <c r="EG137" i="10"/>
  <c r="EF82" i="10"/>
  <c r="EG82" i="10"/>
  <c r="EF376" i="10"/>
  <c r="EG376" i="10"/>
  <c r="EF177" i="10"/>
  <c r="EG177" i="10"/>
  <c r="EF297" i="10"/>
  <c r="EG297" i="10"/>
  <c r="EF327" i="10"/>
  <c r="EG327" i="10"/>
  <c r="EF269" i="10"/>
  <c r="EG269" i="10"/>
  <c r="EF235" i="10"/>
  <c r="EG235" i="10"/>
  <c r="EF312" i="10"/>
  <c r="EG312" i="10"/>
  <c r="EF100" i="10"/>
  <c r="EG100" i="10"/>
  <c r="EF279" i="10"/>
  <c r="EG279" i="10"/>
  <c r="EF360" i="10"/>
  <c r="EG360" i="10"/>
  <c r="EF97" i="10"/>
  <c r="EG97" i="10"/>
  <c r="EF217" i="10"/>
  <c r="EG217" i="10"/>
  <c r="EF263" i="10"/>
  <c r="EG263" i="10"/>
  <c r="EF183" i="10"/>
  <c r="EG183" i="10"/>
  <c r="EF296" i="10"/>
  <c r="EG296" i="10"/>
  <c r="EF266" i="10"/>
  <c r="EG266" i="10"/>
  <c r="EF313" i="10"/>
  <c r="EG313" i="10"/>
  <c r="EF164" i="10"/>
  <c r="EG164" i="10"/>
  <c r="EF125" i="10"/>
  <c r="EG125" i="10"/>
  <c r="EF337" i="10"/>
  <c r="EG337" i="10"/>
  <c r="EF346" i="10"/>
  <c r="EG346" i="10"/>
  <c r="EF161" i="10"/>
  <c r="EG161" i="10"/>
  <c r="EF348" i="10"/>
  <c r="EG348" i="10"/>
  <c r="EF309" i="10"/>
  <c r="EG309" i="10"/>
  <c r="EF382" i="10"/>
  <c r="EG382" i="10"/>
  <c r="EF342" i="10"/>
  <c r="EG342" i="10"/>
  <c r="EF305" i="10"/>
  <c r="EG305" i="10"/>
  <c r="EF365" i="10"/>
  <c r="EG365" i="10"/>
  <c r="EF176" i="10"/>
  <c r="EG176" i="10"/>
  <c r="EF359" i="10"/>
  <c r="EG359" i="10"/>
  <c r="EF247" i="10"/>
  <c r="EG247" i="10"/>
  <c r="EF381" i="10"/>
  <c r="EG381" i="10"/>
  <c r="EF150" i="10"/>
  <c r="EG150" i="10"/>
  <c r="EF101" i="10"/>
  <c r="EG101" i="10"/>
  <c r="EF227" i="10"/>
  <c r="EG227" i="10"/>
  <c r="EF243" i="10"/>
  <c r="EG243" i="10"/>
  <c r="EF321" i="10"/>
  <c r="EG321" i="10"/>
  <c r="EF145" i="10"/>
  <c r="EG145" i="10"/>
  <c r="EF371" i="10"/>
  <c r="EG371" i="10"/>
  <c r="EF259" i="10"/>
  <c r="EG259" i="10"/>
  <c r="EF196" i="10"/>
  <c r="EG196" i="10"/>
  <c r="EF251" i="10"/>
  <c r="EG251" i="10"/>
  <c r="EF362" i="10"/>
  <c r="EG362" i="10"/>
  <c r="EF115" i="10"/>
  <c r="EG115" i="10"/>
  <c r="EF110" i="10"/>
  <c r="EG110" i="10"/>
  <c r="EF277" i="10"/>
  <c r="EG277" i="10"/>
  <c r="EF255" i="10"/>
  <c r="EG255" i="10"/>
  <c r="EF213" i="10"/>
  <c r="EG213" i="10"/>
  <c r="EF122" i="10"/>
  <c r="EG122" i="10"/>
  <c r="EF276" i="10"/>
  <c r="EG276" i="10"/>
  <c r="EF160" i="10"/>
  <c r="EG160" i="10"/>
  <c r="EF198" i="10"/>
  <c r="EG198" i="10"/>
  <c r="EF209" i="10"/>
  <c r="EG209" i="10"/>
  <c r="EF153" i="10"/>
  <c r="EG153" i="10"/>
  <c r="EF375" i="10"/>
  <c r="EG375" i="10"/>
  <c r="EF389" i="10"/>
  <c r="EG389" i="10"/>
  <c r="EF215" i="10"/>
  <c r="EG215" i="10"/>
  <c r="EF240" i="10"/>
  <c r="EG240" i="10"/>
  <c r="EF195" i="10"/>
  <c r="EG195" i="10"/>
  <c r="EF377" i="10"/>
  <c r="EG377" i="10"/>
  <c r="EF262" i="10"/>
  <c r="EG262" i="10"/>
  <c r="EF221" i="10"/>
  <c r="EG221" i="10"/>
  <c r="EF77" i="10"/>
  <c r="EG77" i="10"/>
  <c r="EF347" i="10"/>
  <c r="EG347" i="10"/>
  <c r="EF111" i="10"/>
  <c r="EG111" i="10"/>
  <c r="EF210" i="10"/>
  <c r="EG210" i="10"/>
  <c r="EF129" i="10"/>
  <c r="EG129" i="10"/>
  <c r="EF212" i="10"/>
  <c r="EG212" i="10"/>
  <c r="EF278" i="10"/>
  <c r="EG278" i="10"/>
  <c r="EF323" i="10"/>
  <c r="EG323" i="10"/>
  <c r="EF369" i="10"/>
  <c r="EG369" i="10"/>
  <c r="EF324" i="10"/>
  <c r="EG324" i="10"/>
  <c r="EF328" i="10"/>
  <c r="EG328" i="10"/>
  <c r="EF386" i="10"/>
  <c r="EG386" i="10"/>
  <c r="EF253" i="10"/>
  <c r="EG253" i="10"/>
  <c r="EF107" i="10"/>
  <c r="EG107" i="10"/>
  <c r="EF231" i="10"/>
  <c r="EG231" i="10"/>
  <c r="EF112" i="10"/>
  <c r="EG112" i="10"/>
  <c r="EF356" i="10"/>
  <c r="EG356" i="10"/>
  <c r="EF214" i="10"/>
  <c r="EG214" i="10"/>
  <c r="EF142" i="10"/>
  <c r="EG142" i="10"/>
  <c r="EF123" i="10"/>
  <c r="EG123" i="10"/>
  <c r="EF93" i="10"/>
  <c r="EG93" i="10"/>
  <c r="EF349" i="10"/>
  <c r="EG349" i="10"/>
  <c r="EF283" i="10"/>
  <c r="EG283" i="10"/>
  <c r="EF175" i="10"/>
  <c r="EG175" i="10"/>
  <c r="EF83" i="10"/>
  <c r="EG83" i="10"/>
  <c r="EF338" i="10"/>
  <c r="EG338" i="10"/>
  <c r="EF333" i="10"/>
  <c r="EG333" i="10"/>
  <c r="EF95" i="10"/>
  <c r="EG95" i="10"/>
  <c r="EF282" i="10"/>
  <c r="EG282" i="10"/>
  <c r="EF300" i="10"/>
  <c r="EG300" i="10"/>
  <c r="EF287" i="10"/>
  <c r="EG287" i="10"/>
  <c r="EF350" i="10"/>
  <c r="EG350" i="10"/>
  <c r="EF208" i="10"/>
  <c r="EG208" i="10"/>
  <c r="EF138" i="10"/>
  <c r="EG138" i="10"/>
  <c r="EF245" i="10"/>
  <c r="EG245" i="10"/>
  <c r="EF325" i="10"/>
  <c r="EG325" i="10"/>
  <c r="EF329" i="10"/>
  <c r="EG329" i="10"/>
  <c r="EF194" i="10"/>
  <c r="EG194" i="10"/>
  <c r="EF90" i="10"/>
  <c r="EG90" i="10"/>
  <c r="EF258" i="10"/>
  <c r="EG258" i="10"/>
  <c r="EF170" i="10"/>
  <c r="EG170" i="10"/>
  <c r="EF154" i="10"/>
  <c r="EG154" i="10"/>
  <c r="EF319" i="10"/>
  <c r="EG319" i="10"/>
  <c r="EF78" i="10"/>
  <c r="EG78" i="10"/>
  <c r="EF205" i="10"/>
  <c r="EG205" i="10"/>
  <c r="EF185" i="10"/>
  <c r="EG185" i="10"/>
  <c r="EF105" i="10"/>
  <c r="EG105" i="10"/>
  <c r="EF232" i="10"/>
  <c r="EG232" i="10"/>
  <c r="EF317" i="10"/>
  <c r="EG317" i="10"/>
  <c r="EF120" i="10"/>
  <c r="EG120" i="10"/>
  <c r="EF242" i="10"/>
  <c r="EG242" i="10"/>
  <c r="EF354" i="10"/>
  <c r="EG354" i="10"/>
  <c r="EF307" i="10"/>
  <c r="EG307" i="10"/>
  <c r="EF133" i="10"/>
  <c r="EG133" i="10"/>
  <c r="EF318" i="10"/>
  <c r="EG318" i="10"/>
  <c r="EF366" i="10"/>
  <c r="EG366" i="10"/>
  <c r="EF340" i="10"/>
  <c r="EG340" i="10"/>
  <c r="EF96" i="10"/>
  <c r="EG96" i="10"/>
  <c r="EF172" i="10"/>
  <c r="EG172" i="10"/>
  <c r="EF331" i="10"/>
  <c r="EG331" i="10"/>
  <c r="EF298" i="10"/>
  <c r="EG298" i="10"/>
  <c r="EF171" i="10"/>
  <c r="EG171" i="10"/>
  <c r="EF344" i="10"/>
  <c r="EG344" i="10"/>
  <c r="EF252" i="10"/>
  <c r="EG252" i="10"/>
  <c r="EF284" i="10"/>
  <c r="EG284" i="10"/>
  <c r="EF79" i="10"/>
  <c r="EG79" i="10"/>
  <c r="EF124" i="10"/>
  <c r="EG124" i="10"/>
  <c r="EF336" i="10"/>
  <c r="EG336" i="10"/>
  <c r="EF165" i="10"/>
  <c r="EG165" i="10"/>
  <c r="EF271" i="10"/>
  <c r="EG271" i="10"/>
  <c r="EF130" i="10"/>
  <c r="EG130" i="10"/>
  <c r="EF246" i="10"/>
  <c r="EG246" i="10"/>
  <c r="EF330" i="10"/>
  <c r="EG330" i="10"/>
  <c r="EF199" i="10"/>
  <c r="EG199" i="10"/>
  <c r="EF182" i="10"/>
  <c r="EG182" i="10"/>
  <c r="EF72" i="10"/>
  <c r="EG72" i="10"/>
  <c r="EF92" i="10"/>
  <c r="EG92" i="10"/>
  <c r="EF114" i="10"/>
  <c r="EG114" i="10"/>
  <c r="EF311" i="10"/>
  <c r="EG311" i="10"/>
  <c r="EF94" i="10"/>
  <c r="EG94" i="10"/>
  <c r="EF119" i="10"/>
  <c r="EG119" i="10"/>
  <c r="EF233" i="10"/>
  <c r="EG233" i="10"/>
  <c r="EF218" i="10"/>
  <c r="EG218" i="10"/>
  <c r="EF136" i="10"/>
  <c r="EG136" i="10"/>
  <c r="EF223" i="10"/>
  <c r="EG223" i="10"/>
  <c r="EF197" i="10"/>
  <c r="EG197" i="10"/>
  <c r="EF140" i="10"/>
  <c r="EG140" i="10"/>
  <c r="EF289" i="10"/>
  <c r="EG289" i="10"/>
  <c r="EF211" i="10"/>
  <c r="EG211" i="10"/>
  <c r="EF135" i="10"/>
  <c r="EG135" i="10"/>
  <c r="EF155" i="10"/>
  <c r="EG155" i="10"/>
  <c r="EF202" i="10"/>
  <c r="EG202" i="10"/>
  <c r="EF117" i="10"/>
  <c r="EG117" i="10"/>
  <c r="EF384" i="10"/>
  <c r="EG384" i="10"/>
  <c r="EF99" i="10"/>
  <c r="EG99" i="10"/>
  <c r="EF159" i="10"/>
  <c r="EG159" i="10"/>
  <c r="EF302" i="10"/>
  <c r="EG302" i="10"/>
  <c r="EF239" i="10"/>
  <c r="EG239" i="10"/>
  <c r="EF385" i="10"/>
  <c r="EG385" i="10"/>
  <c r="EF141" i="10"/>
  <c r="EG141" i="10"/>
  <c r="EF299" i="10"/>
  <c r="EG299" i="10"/>
  <c r="EF316" i="10"/>
  <c r="EG316" i="10"/>
  <c r="EF335" i="10"/>
  <c r="EG335" i="10"/>
  <c r="EF320" i="10"/>
  <c r="EG320" i="10"/>
  <c r="EF131" i="10"/>
  <c r="EG131" i="10"/>
  <c r="EF108" i="10"/>
  <c r="EG108" i="10"/>
  <c r="EF391" i="10"/>
  <c r="EG391" i="10"/>
  <c r="EF388" i="10"/>
  <c r="EG388" i="10"/>
  <c r="EF148" i="10"/>
  <c r="EG148" i="10"/>
  <c r="EF193" i="10"/>
  <c r="EG193" i="10"/>
  <c r="EF201" i="10"/>
  <c r="EG201" i="10"/>
  <c r="EF87" i="10"/>
  <c r="EG87" i="10"/>
  <c r="EF180" i="10"/>
  <c r="EG180" i="10"/>
  <c r="EF281" i="10"/>
  <c r="EG281" i="10"/>
  <c r="EF167" i="10"/>
  <c r="EG167" i="10"/>
  <c r="EF364" i="10"/>
  <c r="EG364" i="10"/>
  <c r="EF367" i="10"/>
  <c r="EG367" i="10"/>
  <c r="EF370" i="10"/>
  <c r="EG370" i="10"/>
  <c r="EF73" i="10"/>
  <c r="EG73" i="10"/>
  <c r="EF203" i="10"/>
  <c r="EG203" i="10"/>
  <c r="EF353" i="10"/>
  <c r="EG353" i="10"/>
  <c r="EF116" i="10"/>
  <c r="EG116" i="10"/>
  <c r="EF85" i="10"/>
  <c r="EG85" i="10"/>
  <c r="EF204" i="10"/>
  <c r="EG204" i="10"/>
  <c r="EF70" i="10"/>
  <c r="EG70" i="10"/>
  <c r="EF189" i="10"/>
  <c r="EG189" i="10"/>
  <c r="EF390" i="10"/>
  <c r="EG390" i="10"/>
  <c r="EF314" i="10"/>
  <c r="EG314" i="10"/>
  <c r="EF174" i="10"/>
  <c r="EG174" i="10"/>
  <c r="EF368" i="10"/>
  <c r="EG368" i="10"/>
  <c r="EF361" i="10"/>
  <c r="EG361" i="10"/>
  <c r="EF249" i="10"/>
  <c r="EG249" i="10"/>
  <c r="EF226" i="10"/>
  <c r="EG226" i="10"/>
  <c r="EF303" i="10"/>
  <c r="EG303" i="10"/>
  <c r="EF86" i="10"/>
  <c r="EG86" i="10"/>
  <c r="EF378" i="10"/>
  <c r="EG378" i="10"/>
  <c r="EF332" i="10"/>
  <c r="EG332" i="10"/>
  <c r="EF374" i="10"/>
  <c r="EG374" i="10"/>
  <c r="EF292" i="10"/>
  <c r="EG292" i="10"/>
  <c r="EF293" i="10"/>
  <c r="EG293" i="10"/>
  <c r="EF379" i="10"/>
  <c r="EG379" i="10"/>
  <c r="EF225" i="10"/>
  <c r="EG225" i="10"/>
  <c r="EF230" i="10"/>
  <c r="EG230" i="10"/>
  <c r="EF98" i="10"/>
  <c r="EG98" i="10"/>
  <c r="EF326" i="10"/>
  <c r="EG326" i="10"/>
  <c r="EF219" i="10"/>
  <c r="EG219" i="10"/>
  <c r="EF139" i="10"/>
  <c r="EG139" i="10"/>
  <c r="EF102" i="10"/>
  <c r="EG102" i="10"/>
  <c r="EF81" i="10"/>
  <c r="EG81" i="10"/>
  <c r="EF260" i="10"/>
  <c r="EG260" i="10"/>
  <c r="EF91" i="10"/>
  <c r="EG91" i="10"/>
  <c r="EF187" i="10"/>
  <c r="EG187" i="10"/>
  <c r="EF295" i="10"/>
  <c r="EG295" i="10"/>
  <c r="EF322" i="10"/>
  <c r="EG322" i="10"/>
  <c r="EF76" i="10"/>
  <c r="EG76" i="10"/>
  <c r="EF216" i="10"/>
  <c r="EG216" i="10"/>
  <c r="EF152" i="10"/>
  <c r="EG152" i="10"/>
  <c r="EF144" i="10"/>
  <c r="EG144" i="10"/>
  <c r="EF270" i="10"/>
  <c r="EG270" i="10"/>
  <c r="EF106" i="10"/>
  <c r="EG106" i="10"/>
  <c r="EF173" i="10"/>
  <c r="EG173" i="10"/>
  <c r="EF147" i="10"/>
  <c r="EG147" i="10"/>
  <c r="EF181" i="10"/>
  <c r="EG181" i="10"/>
  <c r="EF149" i="10"/>
  <c r="EG149" i="10"/>
  <c r="EF186" i="10"/>
  <c r="EG186" i="10"/>
  <c r="EF308" i="10"/>
  <c r="EG308" i="10"/>
  <c r="EF280" i="10"/>
  <c r="EG280" i="10"/>
  <c r="EF89" i="10"/>
  <c r="EG89" i="10"/>
  <c r="DG216" i="10"/>
  <c r="DI216" i="10"/>
  <c r="DG223" i="10"/>
  <c r="DI223" i="10"/>
  <c r="DG261" i="10"/>
  <c r="DI261" i="10"/>
  <c r="DG324" i="10"/>
  <c r="DI324" i="10"/>
  <c r="DG232" i="10"/>
  <c r="DI232" i="10"/>
  <c r="DG269" i="10"/>
  <c r="DI269" i="10"/>
  <c r="DG360" i="10"/>
  <c r="DI360" i="10"/>
  <c r="DG175" i="10"/>
  <c r="DI175" i="10"/>
  <c r="DG270" i="10"/>
  <c r="DI270" i="10"/>
  <c r="DG268" i="10"/>
  <c r="DI268" i="10"/>
  <c r="DG253" i="10"/>
  <c r="DI253" i="10"/>
  <c r="DG168" i="10"/>
  <c r="DI168" i="10"/>
  <c r="DG215" i="10"/>
  <c r="DI215" i="10"/>
  <c r="DG243" i="10"/>
  <c r="DI243" i="10"/>
  <c r="DG355" i="10"/>
  <c r="DI355" i="10"/>
  <c r="DG362" i="10"/>
  <c r="DI362" i="10"/>
  <c r="DG377" i="10"/>
  <c r="DI377" i="10"/>
  <c r="DG308" i="10"/>
  <c r="DI308" i="10"/>
  <c r="DG326" i="10"/>
  <c r="DI326" i="10"/>
  <c r="DG335" i="10"/>
  <c r="DI335" i="10"/>
  <c r="DG284" i="10"/>
  <c r="DI284" i="10"/>
  <c r="DG246" i="10"/>
  <c r="DI246" i="10"/>
  <c r="DG202" i="10"/>
  <c r="DI202" i="10"/>
  <c r="DG385" i="10"/>
  <c r="DI385" i="10"/>
  <c r="DG263" i="10"/>
  <c r="DI263" i="10"/>
  <c r="DG282" i="10"/>
  <c r="DI282" i="10"/>
  <c r="DG171" i="10"/>
  <c r="DI171" i="10"/>
  <c r="DG228" i="10"/>
  <c r="DI228" i="10"/>
  <c r="DG289" i="10"/>
  <c r="DI289" i="10"/>
  <c r="DG297" i="10"/>
  <c r="DI297" i="10"/>
  <c r="DG257" i="10"/>
  <c r="DI257" i="10"/>
  <c r="DG292" i="10"/>
  <c r="DI292" i="10"/>
  <c r="DG177" i="10"/>
  <c r="DI177" i="10"/>
  <c r="DG209" i="10"/>
  <c r="DI209" i="10"/>
  <c r="DG196" i="10"/>
  <c r="DI196" i="10"/>
  <c r="DG279" i="10"/>
  <c r="DI279" i="10"/>
  <c r="DG237" i="10"/>
  <c r="DI237" i="10"/>
  <c r="DG176" i="10"/>
  <c r="DI176" i="10"/>
  <c r="DG333" i="10"/>
  <c r="DI333" i="10"/>
  <c r="DG316" i="10"/>
  <c r="DI316" i="10"/>
  <c r="DG312" i="10"/>
  <c r="DI312" i="10"/>
  <c r="DG208" i="10"/>
  <c r="DI208" i="10"/>
  <c r="DG351" i="10"/>
  <c r="DI351" i="10"/>
  <c r="DG220" i="10"/>
  <c r="DI220" i="10"/>
  <c r="DG213" i="10"/>
  <c r="DI213" i="10"/>
  <c r="DG217" i="10"/>
  <c r="DI217" i="10"/>
  <c r="DG231" i="10"/>
  <c r="DI231" i="10"/>
  <c r="DG170" i="10"/>
  <c r="DI170" i="10"/>
  <c r="DG238" i="10"/>
  <c r="DI238" i="10"/>
  <c r="DG314" i="10"/>
  <c r="DI314" i="10"/>
  <c r="DG349" i="10"/>
  <c r="DI349" i="10"/>
  <c r="DG251" i="10"/>
  <c r="DI251" i="10"/>
  <c r="DG178" i="10"/>
  <c r="DI178" i="10"/>
  <c r="DG266" i="10"/>
  <c r="DI266" i="10"/>
  <c r="DG265" i="10"/>
  <c r="DI265" i="10"/>
  <c r="DG247" i="10"/>
  <c r="DI247" i="10"/>
  <c r="DG299" i="10"/>
  <c r="DI299" i="10"/>
  <c r="DG193" i="10"/>
  <c r="DI193" i="10"/>
  <c r="DG388" i="10"/>
  <c r="DI388" i="10"/>
  <c r="DG212" i="10"/>
  <c r="DI212" i="10"/>
  <c r="DG331" i="10"/>
  <c r="DI331" i="10"/>
  <c r="DG341" i="10"/>
  <c r="DI341" i="10"/>
  <c r="DG274" i="10"/>
  <c r="DI274" i="10"/>
  <c r="DG348" i="10"/>
  <c r="DI348" i="10"/>
  <c r="DG230" i="10"/>
  <c r="DI230" i="10"/>
  <c r="DG353" i="10"/>
  <c r="DI353" i="10"/>
  <c r="DG172" i="10"/>
  <c r="DI172" i="10"/>
  <c r="DG222" i="10"/>
  <c r="DI222" i="10"/>
  <c r="DG286" i="10"/>
  <c r="DI286" i="10"/>
  <c r="DG347" i="10"/>
  <c r="DI347" i="10"/>
  <c r="DG365" i="10"/>
  <c r="DI365" i="10"/>
  <c r="DG204" i="10"/>
  <c r="DI204" i="10"/>
  <c r="DG249" i="10"/>
  <c r="DI249" i="10"/>
  <c r="DG174" i="10"/>
  <c r="DI174" i="10"/>
  <c r="DG387" i="10"/>
  <c r="DI387" i="10"/>
  <c r="DG363" i="10"/>
  <c r="DI363" i="10"/>
  <c r="DG197" i="10"/>
  <c r="DI197" i="10"/>
  <c r="DG337" i="10"/>
  <c r="DI337" i="10"/>
  <c r="DG255" i="10"/>
  <c r="DI255" i="10"/>
  <c r="DG390" i="10"/>
  <c r="DI390" i="10"/>
  <c r="DG317" i="10"/>
  <c r="DI317" i="10"/>
  <c r="DG294" i="10"/>
  <c r="DI294" i="10"/>
  <c r="DG259" i="10"/>
  <c r="DI259" i="10"/>
  <c r="DG300" i="10"/>
  <c r="DI300" i="10"/>
  <c r="DG285" i="10"/>
  <c r="DI285" i="10"/>
  <c r="DG260" i="10"/>
  <c r="DI260" i="10"/>
  <c r="DG242" i="10"/>
  <c r="DI242" i="10"/>
  <c r="DG181" i="10"/>
  <c r="DI181" i="10"/>
  <c r="DG203" i="10"/>
  <c r="DI203" i="10"/>
  <c r="DG354" i="10"/>
  <c r="DI354" i="10"/>
  <c r="DG187" i="10"/>
  <c r="DI187" i="10"/>
  <c r="DG180" i="10"/>
  <c r="DI180" i="10"/>
  <c r="DG368" i="10"/>
  <c r="DI368" i="10"/>
  <c r="DG327" i="10"/>
  <c r="DI327" i="10"/>
  <c r="DG298" i="10"/>
  <c r="DI298" i="10"/>
  <c r="DG328" i="10"/>
  <c r="DI328" i="10"/>
  <c r="DG306" i="10"/>
  <c r="DI306" i="10"/>
  <c r="DG239" i="10"/>
  <c r="DI239" i="10"/>
  <c r="DG277" i="10"/>
  <c r="DI277" i="10"/>
  <c r="DG236" i="10"/>
  <c r="DI236" i="10"/>
  <c r="DG334" i="10"/>
  <c r="DI334" i="10"/>
  <c r="DG192" i="10"/>
  <c r="DI192" i="10"/>
  <c r="DG195" i="10"/>
  <c r="DI195" i="10"/>
  <c r="DG293" i="10"/>
  <c r="DI293" i="10"/>
  <c r="DG167" i="10"/>
  <c r="DI167" i="10"/>
  <c r="DG173" i="10"/>
  <c r="DI173" i="10"/>
  <c r="DG295" i="10"/>
  <c r="DI295" i="10"/>
  <c r="DG227" i="10"/>
  <c r="DI227" i="10"/>
  <c r="DG191" i="10"/>
  <c r="DI191" i="10"/>
  <c r="DG344" i="10"/>
  <c r="DI344" i="10"/>
  <c r="DG373" i="10"/>
  <c r="DI373" i="10"/>
  <c r="DG201" i="10"/>
  <c r="DI201" i="10"/>
  <c r="DG364" i="10"/>
  <c r="DI364" i="10"/>
  <c r="DG305" i="10"/>
  <c r="DI305" i="10"/>
  <c r="DG303" i="10"/>
  <c r="DI303" i="10"/>
  <c r="DG264" i="10"/>
  <c r="DI264" i="10"/>
  <c r="DG320" i="10"/>
  <c r="DI320" i="10"/>
  <c r="DG235" i="10"/>
  <c r="DI235" i="10"/>
  <c r="DG367" i="10"/>
  <c r="DI367" i="10"/>
  <c r="DG200" i="10"/>
  <c r="DI200" i="10"/>
  <c r="DG361" i="10"/>
  <c r="DI361" i="10"/>
  <c r="DG330" i="10"/>
  <c r="DI330" i="10"/>
  <c r="DG218" i="10"/>
  <c r="DI218" i="10"/>
  <c r="DG206" i="10"/>
  <c r="DI206" i="10"/>
  <c r="DG262" i="10"/>
  <c r="DI262" i="10"/>
  <c r="DG319" i="10"/>
  <c r="DI319" i="10"/>
  <c r="DG372" i="10"/>
  <c r="DI372" i="10"/>
  <c r="DG205" i="10"/>
  <c r="DI205" i="10"/>
  <c r="DG271" i="10"/>
  <c r="DI271" i="10"/>
  <c r="DG345" i="10"/>
  <c r="DI345" i="10"/>
  <c r="DG250" i="10"/>
  <c r="DI250" i="10"/>
  <c r="DG352" i="10"/>
  <c r="DI352" i="10"/>
  <c r="DG233" i="10"/>
  <c r="DI233" i="10"/>
  <c r="DG311" i="10"/>
  <c r="DI311" i="10"/>
  <c r="DG339" i="10"/>
  <c r="DI339" i="10"/>
  <c r="DG338" i="10"/>
  <c r="DI338" i="10"/>
  <c r="DG383" i="10"/>
  <c r="DI383" i="10"/>
  <c r="DG329" i="10"/>
  <c r="DI329" i="10"/>
  <c r="DG244" i="10"/>
  <c r="DI244" i="10"/>
  <c r="DG342" i="10"/>
  <c r="DI342" i="10"/>
  <c r="DG179" i="10"/>
  <c r="DI179" i="10"/>
  <c r="DG194" i="10"/>
  <c r="DI194" i="10"/>
  <c r="DG185" i="10"/>
  <c r="DI185" i="10"/>
  <c r="DG267" i="10"/>
  <c r="DI267" i="10"/>
  <c r="DG318" i="10"/>
  <c r="DI318" i="10"/>
  <c r="DG332" i="10"/>
  <c r="DI332" i="10"/>
  <c r="DG322" i="10"/>
  <c r="DI322" i="10"/>
  <c r="DG241" i="10"/>
  <c r="DI241" i="10"/>
  <c r="DG189" i="10"/>
  <c r="DI189" i="10"/>
  <c r="DG252" i="10"/>
  <c r="DI252" i="10"/>
  <c r="DG313" i="10"/>
  <c r="DI313" i="10"/>
  <c r="DG301" i="10"/>
  <c r="DI301" i="10"/>
  <c r="DG288" i="10"/>
  <c r="DI288" i="10"/>
  <c r="DG392" i="10"/>
  <c r="DI392" i="10"/>
  <c r="DG256" i="10"/>
  <c r="DI256" i="10"/>
  <c r="DG245" i="10"/>
  <c r="DI245" i="10"/>
  <c r="DG336" i="10"/>
  <c r="DI336" i="10"/>
  <c r="DG356" i="10"/>
  <c r="DI356" i="10"/>
  <c r="DG321" i="10"/>
  <c r="DI321" i="10"/>
  <c r="DG225" i="10"/>
  <c r="DI225" i="10"/>
  <c r="DG370" i="10"/>
  <c r="DI370" i="10"/>
  <c r="DG374" i="10"/>
  <c r="DI374" i="10"/>
  <c r="DG304" i="10"/>
  <c r="DI304" i="10"/>
  <c r="DG169" i="10"/>
  <c r="DI169" i="10"/>
  <c r="DG281" i="10"/>
  <c r="DI281" i="10"/>
  <c r="DG278" i="10"/>
  <c r="DI278" i="10"/>
  <c r="DG211" i="10"/>
  <c r="DI211" i="10"/>
  <c r="DG357" i="10"/>
  <c r="DI357" i="10"/>
  <c r="DG207" i="10"/>
  <c r="DI207" i="10"/>
  <c r="DG381" i="10"/>
  <c r="DI381" i="10"/>
  <c r="DG258" i="10"/>
  <c r="DI258" i="10"/>
  <c r="DG291" i="10"/>
  <c r="DI291" i="10"/>
  <c r="DG310" i="10"/>
  <c r="DI310" i="10"/>
  <c r="DG248" i="10"/>
  <c r="DI248" i="10"/>
  <c r="DG199" i="10"/>
  <c r="DI199" i="10"/>
  <c r="DG309" i="10"/>
  <c r="DI309" i="10"/>
  <c r="DG234" i="10"/>
  <c r="DI234" i="10"/>
  <c r="DG221" i="10"/>
  <c r="DI221" i="10"/>
  <c r="DG182" i="10"/>
  <c r="DI182" i="10"/>
  <c r="DG302" i="10"/>
  <c r="DI302" i="10"/>
  <c r="DG183" i="10"/>
  <c r="DI183" i="10"/>
  <c r="DG389" i="10"/>
  <c r="DI389" i="10"/>
  <c r="DG350" i="10"/>
  <c r="DI350" i="10"/>
  <c r="DG210" i="10"/>
  <c r="DI210" i="10"/>
  <c r="DG379" i="10"/>
  <c r="DI379" i="10"/>
  <c r="DG240" i="10"/>
  <c r="DI240" i="10"/>
  <c r="DG226" i="10"/>
  <c r="DI226" i="10"/>
  <c r="DG290" i="10"/>
  <c r="DI290" i="10"/>
  <c r="DG323" i="10"/>
  <c r="DI323" i="10"/>
  <c r="DG186" i="10"/>
  <c r="DI186" i="10"/>
  <c r="DG307" i="10"/>
  <c r="DI307" i="10"/>
  <c r="DG229" i="10"/>
  <c r="DI229" i="10"/>
  <c r="DG391" i="10"/>
  <c r="DI391" i="10"/>
  <c r="DG198" i="10"/>
  <c r="DI198" i="10"/>
  <c r="DG358" i="10"/>
  <c r="DI358" i="10"/>
  <c r="DG272" i="10"/>
  <c r="DI272" i="10"/>
  <c r="DG366" i="10"/>
  <c r="DI366" i="10"/>
  <c r="DG382" i="10"/>
  <c r="DI382" i="10"/>
  <c r="DG315" i="10"/>
  <c r="DI315" i="10"/>
  <c r="DG384" i="10"/>
  <c r="DI384" i="10"/>
  <c r="DG214" i="10"/>
  <c r="DI214" i="10"/>
  <c r="DG280" i="10"/>
  <c r="DI280" i="10"/>
  <c r="DG188" i="10"/>
  <c r="DI188" i="10"/>
  <c r="DG224" i="10"/>
  <c r="DI224" i="10"/>
  <c r="DG376" i="10"/>
  <c r="DI376" i="10"/>
  <c r="DG273" i="10"/>
  <c r="DI273" i="10"/>
  <c r="DG283" i="10"/>
  <c r="DI283" i="10"/>
  <c r="DG386" i="10"/>
  <c r="DI386" i="10"/>
  <c r="DG275" i="10"/>
  <c r="DI275" i="10"/>
  <c r="DG325" i="10"/>
  <c r="DI325" i="10"/>
  <c r="DG343" i="10"/>
  <c r="DI343" i="10"/>
  <c r="DG276" i="10"/>
  <c r="DI276" i="10"/>
  <c r="DG378" i="10"/>
  <c r="DI378" i="10"/>
  <c r="DG296" i="10"/>
  <c r="DI296" i="10"/>
  <c r="DG359" i="10"/>
  <c r="DI359" i="10"/>
  <c r="DG375" i="10"/>
  <c r="DI375" i="10"/>
  <c r="DG371" i="10"/>
  <c r="DI371" i="10"/>
  <c r="DG219" i="10"/>
  <c r="DI219" i="10"/>
  <c r="DG380" i="10"/>
  <c r="DI380" i="10"/>
  <c r="DG254" i="10"/>
  <c r="DI254" i="10"/>
  <c r="DG287" i="10"/>
  <c r="DI287" i="10"/>
  <c r="DG340" i="10"/>
  <c r="DI340" i="10"/>
  <c r="DG369" i="10"/>
  <c r="DI369" i="10"/>
  <c r="DG184" i="10"/>
  <c r="DI184" i="10"/>
  <c r="DG190" i="10"/>
  <c r="DI190" i="10"/>
  <c r="DG346" i="10"/>
  <c r="DI346" i="10"/>
  <c r="EF52" i="10"/>
  <c r="EG52" i="10"/>
  <c r="EF42" i="10"/>
  <c r="EG42" i="10"/>
  <c r="EF61" i="10"/>
  <c r="EG61" i="10"/>
  <c r="EF33" i="10"/>
  <c r="EG33" i="10"/>
  <c r="EF58" i="10"/>
  <c r="EG58" i="10"/>
  <c r="EF37" i="10"/>
  <c r="EG37" i="10"/>
  <c r="EF39" i="10"/>
  <c r="EG39" i="10"/>
  <c r="EF46" i="10"/>
  <c r="EG46" i="10"/>
  <c r="EF48" i="10"/>
  <c r="EG48" i="10"/>
  <c r="EF32" i="10"/>
  <c r="EG32" i="10"/>
  <c r="EF65" i="10"/>
  <c r="EG65" i="10"/>
  <c r="EF31" i="10"/>
  <c r="EG31" i="10"/>
  <c r="EF63" i="10"/>
  <c r="EG63" i="10"/>
  <c r="EF67" i="10"/>
  <c r="EG67" i="10"/>
  <c r="EF62" i="10"/>
  <c r="EG62" i="10"/>
  <c r="EF59" i="10"/>
  <c r="EG59" i="10"/>
  <c r="EF40" i="10"/>
  <c r="EG40" i="10"/>
  <c r="EF50" i="10"/>
  <c r="EG50" i="10"/>
  <c r="EF34" i="10"/>
  <c r="EG34" i="10"/>
  <c r="EF47" i="10"/>
  <c r="EG47" i="10"/>
  <c r="EF36" i="10"/>
  <c r="EG36" i="10"/>
  <c r="EF35" i="10"/>
  <c r="EG35" i="10"/>
  <c r="EF51" i="10"/>
  <c r="EG51" i="10"/>
  <c r="EF43" i="10"/>
  <c r="EG43" i="10"/>
  <c r="EF38" i="10"/>
  <c r="EG38" i="10"/>
  <c r="EF60" i="10"/>
  <c r="EG60" i="10"/>
  <c r="EF53" i="10"/>
  <c r="EG53" i="10"/>
  <c r="EF66" i="10"/>
  <c r="EG66" i="10"/>
  <c r="EF45" i="10"/>
  <c r="EG45" i="10"/>
  <c r="EF29" i="10"/>
  <c r="EG29" i="10"/>
  <c r="EF64" i="10"/>
  <c r="EG64" i="10"/>
  <c r="EF44" i="10"/>
  <c r="EG44" i="10"/>
  <c r="EF57" i="10"/>
  <c r="EG57" i="10"/>
  <c r="EF69" i="10"/>
  <c r="EG69" i="10"/>
  <c r="EF68" i="10"/>
  <c r="EG68" i="10"/>
  <c r="EF56" i="10"/>
  <c r="EG56" i="10"/>
  <c r="EF55" i="10"/>
  <c r="EG55" i="10"/>
  <c r="EF41" i="10"/>
  <c r="EG41" i="10"/>
  <c r="EF49" i="10"/>
  <c r="EG49" i="10"/>
  <c r="EF54" i="10"/>
  <c r="EG54" i="10"/>
  <c r="EF27" i="10"/>
  <c r="EG27" i="10"/>
  <c r="EF28" i="10"/>
  <c r="EG28" i="10"/>
  <c r="EF30" i="10"/>
  <c r="EG30" i="10"/>
  <c r="DG104" i="10"/>
  <c r="DI104" i="10"/>
  <c r="JV62" i="10"/>
  <c r="DG62" i="10"/>
  <c r="DI62" i="10"/>
  <c r="DG57" i="10"/>
  <c r="DI57" i="10"/>
  <c r="JV57" i="10"/>
  <c r="DG153" i="10"/>
  <c r="DI153" i="10"/>
  <c r="DG165" i="10"/>
  <c r="DI165" i="10"/>
  <c r="DG120" i="10"/>
  <c r="DI120" i="10"/>
  <c r="JV53" i="10"/>
  <c r="DG53" i="10"/>
  <c r="DI53" i="10"/>
  <c r="JV43" i="10"/>
  <c r="DG43" i="10"/>
  <c r="DI43" i="10"/>
  <c r="DG71" i="10"/>
  <c r="DI71" i="10"/>
  <c r="DG85" i="10"/>
  <c r="DI85" i="10"/>
  <c r="JV35" i="10"/>
  <c r="DG35" i="10"/>
  <c r="DI35" i="10"/>
  <c r="DG47" i="10"/>
  <c r="DI47" i="10"/>
  <c r="JV37" i="10"/>
  <c r="DG37" i="10"/>
  <c r="DI37" i="10"/>
  <c r="DG109" i="10"/>
  <c r="DI109" i="10"/>
  <c r="DG92" i="10"/>
  <c r="DI92" i="10"/>
  <c r="DG164" i="10"/>
  <c r="DI164" i="10"/>
  <c r="DG55" i="10"/>
  <c r="DI55" i="10"/>
  <c r="JV55" i="10"/>
  <c r="JV60" i="10"/>
  <c r="DG60" i="10"/>
  <c r="DI60" i="10"/>
  <c r="DG123" i="10"/>
  <c r="DI123" i="10"/>
  <c r="DG103" i="10"/>
  <c r="DI103" i="10"/>
  <c r="DG106" i="10"/>
  <c r="DI106" i="10"/>
  <c r="DG80" i="10"/>
  <c r="DI80" i="10"/>
  <c r="JV39" i="10"/>
  <c r="DG39" i="10"/>
  <c r="DI39" i="10"/>
  <c r="DG49" i="10"/>
  <c r="DI49" i="10"/>
  <c r="JV49" i="10"/>
  <c r="DG157" i="10"/>
  <c r="DI157" i="10"/>
  <c r="DG112" i="10"/>
  <c r="DI112" i="10"/>
  <c r="DG130" i="10"/>
  <c r="DI130" i="10"/>
  <c r="JV67" i="10"/>
  <c r="DG67" i="10"/>
  <c r="DI67" i="10"/>
  <c r="DG161" i="10"/>
  <c r="DI161" i="10"/>
  <c r="DG30" i="10"/>
  <c r="DI30" i="10"/>
  <c r="JV30" i="10"/>
  <c r="DG156" i="10"/>
  <c r="DI156" i="10"/>
  <c r="DG58" i="10"/>
  <c r="DI58" i="10"/>
  <c r="JV58" i="10"/>
  <c r="DG83" i="10"/>
  <c r="DI83" i="10"/>
  <c r="JV63" i="10"/>
  <c r="DG63" i="10"/>
  <c r="DI63" i="10"/>
  <c r="DG129" i="10"/>
  <c r="DI129" i="10"/>
  <c r="DG147" i="10"/>
  <c r="DI147" i="10"/>
  <c r="JV41" i="10"/>
  <c r="DG41" i="10"/>
  <c r="DI41" i="10"/>
  <c r="DG94" i="10"/>
  <c r="DI94" i="10"/>
  <c r="DG141" i="10"/>
  <c r="DI141" i="10"/>
  <c r="DG79" i="10"/>
  <c r="DI79" i="10"/>
  <c r="DG143" i="10"/>
  <c r="DI143" i="10"/>
  <c r="DG65" i="10"/>
  <c r="DI65" i="10"/>
  <c r="DG152" i="10"/>
  <c r="DI152" i="10"/>
  <c r="DG81" i="10"/>
  <c r="DI81" i="10"/>
  <c r="DG136" i="10"/>
  <c r="DI136" i="10"/>
  <c r="DG50" i="10"/>
  <c r="DI50" i="10"/>
  <c r="JV50" i="10"/>
  <c r="DG69" i="10"/>
  <c r="DI69" i="10"/>
  <c r="DG166" i="10"/>
  <c r="DI166" i="10"/>
  <c r="DG84" i="10"/>
  <c r="DI84" i="10"/>
  <c r="DG133" i="10"/>
  <c r="DI133" i="10"/>
  <c r="JV64" i="10"/>
  <c r="DG64" i="10"/>
  <c r="DI64" i="10"/>
  <c r="DG150" i="10"/>
  <c r="DI150" i="10"/>
  <c r="DG66" i="10"/>
  <c r="DI66" i="10"/>
  <c r="JV32" i="10"/>
  <c r="DG32" i="10"/>
  <c r="DI32" i="10"/>
  <c r="DG97" i="10"/>
  <c r="DI97" i="10"/>
  <c r="DG107" i="10"/>
  <c r="DI107" i="10"/>
  <c r="DG158" i="10"/>
  <c r="DI158" i="10"/>
  <c r="DG87" i="10"/>
  <c r="DI87" i="10"/>
  <c r="DG82" i="10"/>
  <c r="DI82" i="10"/>
  <c r="DG126" i="10"/>
  <c r="DI126" i="10"/>
  <c r="DG29" i="10"/>
  <c r="DI29" i="10"/>
  <c r="JV29" i="10"/>
  <c r="DG86" i="10"/>
  <c r="DI86" i="10"/>
  <c r="DG113" i="10"/>
  <c r="DI113" i="10"/>
  <c r="DG138" i="10"/>
  <c r="DI138" i="10"/>
  <c r="DG110" i="10"/>
  <c r="DI110" i="10"/>
  <c r="JV33" i="10"/>
  <c r="DG33" i="10"/>
  <c r="DI33" i="10"/>
  <c r="JV56" i="10"/>
  <c r="DG56" i="10"/>
  <c r="DI56" i="10"/>
  <c r="DG91" i="10"/>
  <c r="DI91" i="10"/>
  <c r="DG116" i="10"/>
  <c r="DI116" i="10"/>
  <c r="JV45" i="10"/>
  <c r="DG45" i="10"/>
  <c r="DI45" i="10"/>
  <c r="DG61" i="10"/>
  <c r="DI61" i="10"/>
  <c r="JV61" i="10"/>
  <c r="DG31" i="10"/>
  <c r="DI31" i="10"/>
  <c r="DG102" i="10"/>
  <c r="DI102" i="10"/>
  <c r="DG144" i="10"/>
  <c r="DI144" i="10"/>
  <c r="DG46" i="10"/>
  <c r="DI46" i="10"/>
  <c r="JV46" i="10"/>
  <c r="DG93" i="10"/>
  <c r="DI93" i="10"/>
  <c r="DG132" i="10"/>
  <c r="DI132" i="10"/>
  <c r="DG137" i="10"/>
  <c r="DI137" i="10"/>
  <c r="DG90" i="10"/>
  <c r="DI90" i="10"/>
  <c r="DG149" i="10"/>
  <c r="DI149" i="10"/>
  <c r="JV54" i="10"/>
  <c r="DG54" i="10"/>
  <c r="DI54" i="10"/>
  <c r="DG142" i="10"/>
  <c r="DI142" i="10"/>
  <c r="DG139" i="10"/>
  <c r="DI139" i="10"/>
  <c r="DG99" i="10"/>
  <c r="DI99" i="10"/>
  <c r="DG124" i="10"/>
  <c r="DI124" i="10"/>
  <c r="DG162" i="10"/>
  <c r="DI162" i="10"/>
  <c r="DG108" i="10"/>
  <c r="DI108" i="10"/>
  <c r="DG155" i="10"/>
  <c r="DI155" i="10"/>
  <c r="DG163" i="10"/>
  <c r="DI163" i="10"/>
  <c r="DG140" i="10"/>
  <c r="DI140" i="10"/>
  <c r="DG89" i="10"/>
  <c r="DI89" i="10"/>
  <c r="DG75" i="10"/>
  <c r="DI75" i="10"/>
  <c r="JV42" i="10"/>
  <c r="DG42" i="10"/>
  <c r="DI42" i="10"/>
  <c r="DG59" i="10"/>
  <c r="DI59" i="10"/>
  <c r="DG73" i="10"/>
  <c r="DI73" i="10"/>
  <c r="DG151" i="10"/>
  <c r="DI151" i="10"/>
  <c r="DG122" i="10"/>
  <c r="DI122" i="10"/>
  <c r="DG76" i="10"/>
  <c r="DI76" i="10"/>
  <c r="DG125" i="10"/>
  <c r="DI125" i="10"/>
  <c r="DG77" i="10"/>
  <c r="DI77" i="10"/>
  <c r="JV36" i="10"/>
  <c r="DG36" i="10"/>
  <c r="DI36" i="10"/>
  <c r="DG121" i="10"/>
  <c r="DI121" i="10"/>
  <c r="DG118" i="10"/>
  <c r="DI118" i="10"/>
  <c r="DG154" i="10"/>
  <c r="DI154" i="10"/>
  <c r="DG146" i="10"/>
  <c r="DI146" i="10"/>
  <c r="DG34" i="10"/>
  <c r="DI34" i="10"/>
  <c r="JV34" i="10"/>
  <c r="DG98" i="10"/>
  <c r="DI98" i="10"/>
  <c r="DG159" i="10"/>
  <c r="DI159" i="10"/>
  <c r="DG145" i="10"/>
  <c r="DI145" i="10"/>
  <c r="DG127" i="10"/>
  <c r="DI127" i="10"/>
  <c r="DG135" i="10"/>
  <c r="DI135" i="10"/>
  <c r="DG119" i="10"/>
  <c r="DI119" i="10"/>
  <c r="JV44" i="10"/>
  <c r="DG44" i="10"/>
  <c r="DI44" i="10"/>
  <c r="DG70" i="10"/>
  <c r="DI70" i="10"/>
  <c r="DG95" i="10"/>
  <c r="DI95" i="10"/>
  <c r="DG114" i="10"/>
  <c r="DI114" i="10"/>
  <c r="DG134" i="10"/>
  <c r="DI134" i="10"/>
  <c r="DG68" i="10"/>
  <c r="DI68" i="10"/>
  <c r="DG48" i="10"/>
  <c r="DI48" i="10"/>
  <c r="JV48" i="10"/>
  <c r="DG160" i="10"/>
  <c r="DI160" i="10"/>
  <c r="DG52" i="10"/>
  <c r="DI52" i="10"/>
  <c r="DG96" i="10"/>
  <c r="DI96" i="10"/>
  <c r="DG131" i="10"/>
  <c r="DI131" i="10"/>
  <c r="DG115" i="10"/>
  <c r="DI115" i="10"/>
  <c r="DG40" i="10"/>
  <c r="DI40" i="10"/>
  <c r="DG28" i="10"/>
  <c r="DI28" i="10"/>
  <c r="DG74" i="10"/>
  <c r="DI74" i="10"/>
  <c r="JV38" i="10"/>
  <c r="DG38" i="10"/>
  <c r="DI38" i="10"/>
  <c r="DG111" i="10"/>
  <c r="DI111" i="10"/>
  <c r="DG128" i="10"/>
  <c r="DI128" i="10"/>
  <c r="DG88" i="10"/>
  <c r="DI88" i="10"/>
  <c r="DG72" i="10"/>
  <c r="DI72" i="10"/>
  <c r="DG100" i="10"/>
  <c r="DI100" i="10"/>
  <c r="DG101" i="10"/>
  <c r="DI101" i="10"/>
  <c r="DG117" i="10"/>
  <c r="DI117" i="10"/>
  <c r="DG148" i="10"/>
  <c r="DI148" i="10"/>
  <c r="DG105" i="10"/>
  <c r="DI105" i="10"/>
  <c r="JV51" i="10"/>
  <c r="DG51" i="10"/>
  <c r="DI51" i="10"/>
  <c r="DG78" i="10"/>
  <c r="DI78" i="10"/>
  <c r="JV40" i="10"/>
  <c r="JV59" i="10"/>
  <c r="JV28" i="10"/>
  <c r="JV31" i="10"/>
  <c r="JV66" i="10"/>
  <c r="JV69" i="10"/>
  <c r="JV65" i="10"/>
  <c r="JV52" i="10"/>
  <c r="JV47" i="10"/>
  <c r="JV68" i="10"/>
  <c r="AP339" i="10"/>
  <c r="AU339" i="10"/>
  <c r="AC339" i="10"/>
  <c r="JJ339" i="10"/>
  <c r="AQ339" i="10"/>
  <c r="IJ339" i="10" s="1"/>
  <c r="CW372" i="10"/>
  <c r="CW385" i="10"/>
  <c r="CW264" i="10"/>
  <c r="AX332" i="10"/>
  <c r="AY332" i="10"/>
  <c r="IK332" i="10"/>
  <c r="AH332" i="10"/>
  <c r="AX343" i="10"/>
  <c r="AH343" i="10"/>
  <c r="AY343" i="10"/>
  <c r="AZ343" i="10"/>
  <c r="GH343" i="10"/>
  <c r="AX307" i="10"/>
  <c r="AY307" i="10"/>
  <c r="IK307" i="10"/>
  <c r="AH307" i="10"/>
  <c r="AX330" i="10"/>
  <c r="AY330" i="10"/>
  <c r="AZ330" i="10"/>
  <c r="GH330" i="10"/>
  <c r="AH330" i="10"/>
  <c r="AX353" i="10"/>
  <c r="EK353" i="10"/>
  <c r="EL353" i="10"/>
  <c r="AH353" i="10"/>
  <c r="AY353" i="10"/>
  <c r="IK353" i="10"/>
  <c r="AP353" i="10"/>
  <c r="JJ353" i="10"/>
  <c r="AU353" i="10"/>
  <c r="AC353" i="10"/>
  <c r="AQ353" i="10"/>
  <c r="IJ353" i="10"/>
  <c r="AD339" i="10"/>
  <c r="AS339" i="10"/>
  <c r="JT339" i="10"/>
  <c r="Z339" i="10"/>
  <c r="JD339" i="10"/>
  <c r="AP334" i="10"/>
  <c r="JJ334" i="10"/>
  <c r="AQ334" i="10"/>
  <c r="IJ334" i="10" s="1"/>
  <c r="AU334" i="10"/>
  <c r="AC334" i="10"/>
  <c r="AX334" i="10"/>
  <c r="AH334" i="10"/>
  <c r="AY334" i="10"/>
  <c r="IK334" i="10"/>
  <c r="AX387" i="10"/>
  <c r="AY387" i="10"/>
  <c r="AZ387" i="10"/>
  <c r="GH387" i="10"/>
  <c r="AH387" i="10"/>
  <c r="AP271" i="10"/>
  <c r="AQ271" i="10"/>
  <c r="IJ271" i="10" s="1"/>
  <c r="AU271" i="10"/>
  <c r="AC271" i="10"/>
  <c r="JJ271" i="10"/>
  <c r="AX272" i="10"/>
  <c r="AY272" i="10"/>
  <c r="IK272" i="10"/>
  <c r="AH272" i="10"/>
  <c r="AP343" i="10"/>
  <c r="JJ343" i="10"/>
  <c r="AU343" i="10"/>
  <c r="AC343" i="10"/>
  <c r="AQ343" i="10"/>
  <c r="IJ343" i="10"/>
  <c r="AX341" i="10"/>
  <c r="AY341" i="10"/>
  <c r="AH341" i="10"/>
  <c r="AP387" i="10"/>
  <c r="AU387" i="10"/>
  <c r="AC387" i="10"/>
  <c r="AX368" i="10"/>
  <c r="AH368" i="10"/>
  <c r="AY368" i="10"/>
  <c r="IK368" i="10"/>
  <c r="AP272" i="10"/>
  <c r="AU272" i="10"/>
  <c r="AC272" i="10"/>
  <c r="AQ272" i="10"/>
  <c r="IJ272" i="10"/>
  <c r="JJ272" i="10"/>
  <c r="AX323" i="10"/>
  <c r="AY323" i="10"/>
  <c r="AH323" i="10"/>
  <c r="AP338" i="10"/>
  <c r="AU338" i="10"/>
  <c r="AC338" i="10"/>
  <c r="AQ338" i="10"/>
  <c r="IJ338" i="10" s="1"/>
  <c r="AX352" i="10"/>
  <c r="AH352" i="10"/>
  <c r="AY352" i="10"/>
  <c r="AZ352" i="10"/>
  <c r="GH352" i="10"/>
  <c r="AX271" i="10"/>
  <c r="AY271" i="10"/>
  <c r="AH271" i="10"/>
  <c r="AP323" i="10"/>
  <c r="JJ323" i="10"/>
  <c r="AQ323" i="10"/>
  <c r="IJ323" i="10"/>
  <c r="AU323" i="10"/>
  <c r="AC323" i="10"/>
  <c r="AP341" i="10"/>
  <c r="AQ341" i="10"/>
  <c r="IJ341" i="10" s="1"/>
  <c r="AU341" i="10"/>
  <c r="AC341" i="10"/>
  <c r="JJ341" i="10"/>
  <c r="AP269" i="10"/>
  <c r="JJ269" i="10"/>
  <c r="AQ269" i="10"/>
  <c r="IJ269" i="10" s="1"/>
  <c r="AU269" i="10"/>
  <c r="AC269" i="10"/>
  <c r="AX380" i="10"/>
  <c r="AY380" i="10"/>
  <c r="AZ380" i="10"/>
  <c r="GH380" i="10"/>
  <c r="AH380" i="10"/>
  <c r="AX269" i="10"/>
  <c r="AH269" i="10"/>
  <c r="AP368" i="10"/>
  <c r="JJ368" i="10"/>
  <c r="AU368" i="10"/>
  <c r="AC368" i="10"/>
  <c r="AQ368" i="10"/>
  <c r="IJ368" i="10" s="1"/>
  <c r="AP330" i="10"/>
  <c r="JJ330" i="10"/>
  <c r="AQ330" i="10"/>
  <c r="IJ330" i="10" s="1"/>
  <c r="AU330" i="10"/>
  <c r="AC330" i="10"/>
  <c r="AP380" i="10"/>
  <c r="AU380" i="10"/>
  <c r="AC380" i="10"/>
  <c r="JJ380" i="10"/>
  <c r="AQ380" i="10"/>
  <c r="IJ380" i="10" s="1"/>
  <c r="AP307" i="10"/>
  <c r="AQ307" i="10"/>
  <c r="IJ307" i="10" s="1"/>
  <c r="JJ307" i="10"/>
  <c r="AU307" i="10"/>
  <c r="AC307" i="10"/>
  <c r="AX339" i="10"/>
  <c r="AH339" i="10"/>
  <c r="AY339" i="10"/>
  <c r="AZ339" i="10"/>
  <c r="GH339" i="10"/>
  <c r="AP261" i="10"/>
  <c r="AU261" i="10"/>
  <c r="AC261" i="10"/>
  <c r="JJ261" i="10"/>
  <c r="AQ261" i="10"/>
  <c r="IJ261" i="10"/>
  <c r="AX261" i="10"/>
  <c r="AY261" i="10"/>
  <c r="IK261" i="10"/>
  <c r="AH261" i="10"/>
  <c r="AP332" i="10"/>
  <c r="JJ332" i="10"/>
  <c r="AU332" i="10"/>
  <c r="AC332" i="10"/>
  <c r="AQ332" i="10"/>
  <c r="IJ332" i="10" s="1"/>
  <c r="AX351" i="10"/>
  <c r="AH351" i="10"/>
  <c r="AY351" i="10"/>
  <c r="AX152" i="10"/>
  <c r="AY152" i="10"/>
  <c r="AZ152" i="10"/>
  <c r="GH152" i="10"/>
  <c r="AH152" i="10"/>
  <c r="EK271" i="10"/>
  <c r="EL271" i="10"/>
  <c r="EK352" i="10"/>
  <c r="EL352" i="10"/>
  <c r="EK339" i="10"/>
  <c r="EL339" i="10"/>
  <c r="EK368" i="10"/>
  <c r="EL368" i="10"/>
  <c r="EK307" i="10"/>
  <c r="EL307" i="10"/>
  <c r="EK272" i="10"/>
  <c r="EL272" i="10"/>
  <c r="EK261" i="10"/>
  <c r="EL261" i="10"/>
  <c r="EK380" i="10"/>
  <c r="EL380" i="10"/>
  <c r="EK332" i="10"/>
  <c r="EL332" i="10"/>
  <c r="AP239" i="10"/>
  <c r="JJ239" i="10"/>
  <c r="AU239" i="10"/>
  <c r="AC239" i="10"/>
  <c r="AX239" i="10"/>
  <c r="EK239" i="10"/>
  <c r="EL239" i="10"/>
  <c r="EK269" i="10"/>
  <c r="EL269" i="10"/>
  <c r="AY269" i="10"/>
  <c r="AZ269" i="10"/>
  <c r="GH269" i="10"/>
  <c r="AI269" i="10"/>
  <c r="JL269" i="10"/>
  <c r="AP250" i="10"/>
  <c r="AQ250" i="10"/>
  <c r="IJ250" i="10" s="1"/>
  <c r="AS250" i="10"/>
  <c r="JT250" i="10"/>
  <c r="AP246" i="10"/>
  <c r="AU246" i="10"/>
  <c r="AC246" i="10"/>
  <c r="JJ250" i="10"/>
  <c r="AX246" i="10"/>
  <c r="AY246" i="10"/>
  <c r="IK246" i="10"/>
  <c r="AH239" i="10"/>
  <c r="AY239" i="10"/>
  <c r="AZ239" i="10"/>
  <c r="GH239" i="10"/>
  <c r="IK239" i="10"/>
  <c r="AX174" i="10"/>
  <c r="AH174" i="10"/>
  <c r="AX250" i="10"/>
  <c r="AH246" i="10"/>
  <c r="AH250" i="10"/>
  <c r="AP230" i="10"/>
  <c r="AX230" i="10"/>
  <c r="AX195" i="10"/>
  <c r="AH195" i="10"/>
  <c r="EK195" i="10"/>
  <c r="EL195" i="10"/>
  <c r="AQ246" i="10"/>
  <c r="IJ246" i="10" s="1"/>
  <c r="Z246" i="10"/>
  <c r="JD246" i="10"/>
  <c r="AY195" i="10"/>
  <c r="AU230" i="10"/>
  <c r="AC230" i="10"/>
  <c r="JJ230" i="10"/>
  <c r="AH230" i="10"/>
  <c r="AY230" i="10"/>
  <c r="AZ230" i="10"/>
  <c r="GH230" i="10"/>
  <c r="AY250" i="10"/>
  <c r="EK250" i="10"/>
  <c r="EL250" i="10"/>
  <c r="EK341" i="10"/>
  <c r="EL341" i="10"/>
  <c r="EK323" i="10"/>
  <c r="EL323" i="10"/>
  <c r="EK334" i="10"/>
  <c r="EL334" i="10"/>
  <c r="AP195" i="10"/>
  <c r="JJ195" i="10"/>
  <c r="AU195" i="10"/>
  <c r="AC195" i="10"/>
  <c r="AQ195" i="10"/>
  <c r="IJ195" i="10" s="1"/>
  <c r="AP97" i="10"/>
  <c r="AQ97" i="10"/>
  <c r="IJ97" i="10" s="1"/>
  <c r="AS97" i="10"/>
  <c r="JT97" i="10"/>
  <c r="JJ97" i="10"/>
  <c r="AU97" i="10"/>
  <c r="AC97" i="10"/>
  <c r="AY174" i="10"/>
  <c r="AP205" i="10"/>
  <c r="EK174" i="10"/>
  <c r="EL174" i="10"/>
  <c r="AP174" i="10"/>
  <c r="AQ174" i="10"/>
  <c r="IJ174" i="10" s="1"/>
  <c r="AU174" i="10"/>
  <c r="AC174" i="10"/>
  <c r="JJ174" i="10"/>
  <c r="AU205" i="10"/>
  <c r="AC205" i="10"/>
  <c r="CW205" i="10"/>
  <c r="AX205" i="10"/>
  <c r="EK205" i="10"/>
  <c r="EL205" i="10"/>
  <c r="JJ205" i="10"/>
  <c r="CW97" i="10"/>
  <c r="AX97" i="10"/>
  <c r="AH97" i="10"/>
  <c r="AY97" i="10"/>
  <c r="AP208" i="10"/>
  <c r="AQ208" i="10"/>
  <c r="IJ208" i="10"/>
  <c r="AH205" i="10"/>
  <c r="AY205" i="10"/>
  <c r="IK205" i="10"/>
  <c r="AF199" i="15"/>
  <c r="AU208" i="10"/>
  <c r="AC208" i="10"/>
  <c r="AX208" i="10"/>
  <c r="EK208" i="10"/>
  <c r="EL208" i="10"/>
  <c r="CF116" i="10"/>
  <c r="CW116" i="10"/>
  <c r="AX116" i="10"/>
  <c r="AY116" i="10"/>
  <c r="IK116" i="10"/>
  <c r="AI116" i="10"/>
  <c r="JL116" i="10"/>
  <c r="AX126" i="10"/>
  <c r="AY126" i="10"/>
  <c r="AH126" i="10"/>
  <c r="AY208" i="10"/>
  <c r="IK208" i="10"/>
  <c r="AP151" i="10"/>
  <c r="AQ151" i="10"/>
  <c r="IJ151" i="10" s="1"/>
  <c r="AX151" i="10"/>
  <c r="AH151" i="10"/>
  <c r="AP152" i="10"/>
  <c r="AU152" i="10"/>
  <c r="AC152" i="10"/>
  <c r="AY151" i="10"/>
  <c r="AI151" i="10"/>
  <c r="JL151" i="10"/>
  <c r="AH116" i="10"/>
  <c r="AP112" i="10"/>
  <c r="JJ112" i="10"/>
  <c r="AX191" i="10"/>
  <c r="AP124" i="10"/>
  <c r="AX217" i="10"/>
  <c r="EK217" i="10"/>
  <c r="EL217" i="10"/>
  <c r="AQ124" i="10"/>
  <c r="IJ124" i="10" s="1"/>
  <c r="Z124" i="10"/>
  <c r="JD124" i="10"/>
  <c r="AU151" i="10"/>
  <c r="AC151" i="10"/>
  <c r="AQ152" i="10"/>
  <c r="IJ152" i="10" s="1"/>
  <c r="AP191" i="10"/>
  <c r="AU191" i="10"/>
  <c r="AC191" i="10"/>
  <c r="JJ191" i="10"/>
  <c r="JJ151" i="10"/>
  <c r="JJ126" i="10"/>
  <c r="AD126" i="10"/>
  <c r="CQ124" i="10"/>
  <c r="CW124" i="10"/>
  <c r="AX124" i="10"/>
  <c r="AY124" i="10"/>
  <c r="IK124" i="10"/>
  <c r="AI124" i="10"/>
  <c r="JL124" i="10"/>
  <c r="AP116" i="10"/>
  <c r="AQ116" i="10"/>
  <c r="IJ116" i="10" s="1"/>
  <c r="AD116" i="10"/>
  <c r="AH124" i="10"/>
  <c r="CF130" i="10"/>
  <c r="CQ130" i="10"/>
  <c r="CW130" i="10"/>
  <c r="AX130" i="10"/>
  <c r="CF80" i="10"/>
  <c r="CW80" i="10"/>
  <c r="AX80" i="10"/>
  <c r="AY80" i="10"/>
  <c r="EK80" i="10"/>
  <c r="EL80" i="10"/>
  <c r="AZ80" i="10"/>
  <c r="GH80" i="10"/>
  <c r="AU124" i="10"/>
  <c r="AC124" i="10"/>
  <c r="AQ191" i="10"/>
  <c r="IJ191" i="10" s="1"/>
  <c r="AP80" i="10"/>
  <c r="AU80" i="10"/>
  <c r="AC80" i="10"/>
  <c r="AY217" i="10"/>
  <c r="EK191" i="10"/>
  <c r="EL191" i="10"/>
  <c r="JJ116" i="10"/>
  <c r="JJ80" i="10"/>
  <c r="AY191" i="10"/>
  <c r="AI191" i="10"/>
  <c r="JL191" i="10"/>
  <c r="AH217" i="10"/>
  <c r="CF112" i="10"/>
  <c r="CQ112" i="10"/>
  <c r="CW112" i="10"/>
  <c r="AX112" i="10"/>
  <c r="AU112" i="10"/>
  <c r="AC112" i="10"/>
  <c r="AQ112" i="10"/>
  <c r="IJ112" i="10"/>
  <c r="AY112" i="10"/>
  <c r="AH112" i="10"/>
  <c r="AP217" i="10"/>
  <c r="AU217" i="10"/>
  <c r="AC217" i="10"/>
  <c r="JJ217" i="10"/>
  <c r="AQ217" i="10"/>
  <c r="IJ217" i="10" s="1"/>
  <c r="EK230" i="10"/>
  <c r="EL230" i="10"/>
  <c r="AP130" i="10"/>
  <c r="AP178" i="10"/>
  <c r="AP223" i="10"/>
  <c r="AQ223" i="10"/>
  <c r="IJ223" i="10" s="1"/>
  <c r="AP219" i="10"/>
  <c r="AQ219" i="10"/>
  <c r="IJ219" i="10"/>
  <c r="AX219" i="10"/>
  <c r="AX178" i="10"/>
  <c r="AY178" i="10"/>
  <c r="JJ223" i="10"/>
  <c r="AU223" i="10"/>
  <c r="AC223" i="10"/>
  <c r="AY219" i="10"/>
  <c r="AZ219" i="10"/>
  <c r="GH219" i="10"/>
  <c r="AU219" i="10"/>
  <c r="AC219" i="10"/>
  <c r="AU130" i="10"/>
  <c r="AC130" i="10"/>
  <c r="AX223" i="10"/>
  <c r="AH223" i="10"/>
  <c r="AQ130" i="10"/>
  <c r="IJ130" i="10" s="1"/>
  <c r="AY130" i="10"/>
  <c r="EK130" i="10"/>
  <c r="EL130" i="10"/>
  <c r="AZ130" i="10"/>
  <c r="GH130" i="10"/>
  <c r="AI130" i="10"/>
  <c r="JL130" i="10"/>
  <c r="AH130" i="10"/>
  <c r="EK219" i="10"/>
  <c r="EL219" i="10"/>
  <c r="AY223" i="10"/>
  <c r="EK246" i="10"/>
  <c r="EL246" i="10"/>
  <c r="EK223" i="10"/>
  <c r="EL223" i="10"/>
  <c r="AX186" i="10"/>
  <c r="EK186" i="10"/>
  <c r="EL186" i="10"/>
  <c r="EK387" i="10"/>
  <c r="EL387" i="10"/>
  <c r="EK178" i="10"/>
  <c r="EL178" i="10"/>
  <c r="AH178" i="10"/>
  <c r="JJ387" i="10"/>
  <c r="AQ178" i="10"/>
  <c r="IJ178" i="10"/>
  <c r="AD178" i="10"/>
  <c r="AY186" i="10"/>
  <c r="IK186" i="10"/>
  <c r="AI186" i="10"/>
  <c r="JL186" i="10"/>
  <c r="JJ178" i="10"/>
  <c r="AP136" i="10"/>
  <c r="AP186" i="10"/>
  <c r="AU186" i="10"/>
  <c r="AC186" i="10"/>
  <c r="AX224" i="10"/>
  <c r="EK224" i="10"/>
  <c r="EL224" i="10"/>
  <c r="AX338" i="10"/>
  <c r="CF136" i="10"/>
  <c r="CW136" i="10"/>
  <c r="AX136" i="10"/>
  <c r="AH136" i="10"/>
  <c r="AP224" i="10"/>
  <c r="EK338" i="10"/>
  <c r="EL338" i="10"/>
  <c r="JJ186" i="10"/>
  <c r="AH338" i="10"/>
  <c r="AP290" i="10"/>
  <c r="AU136" i="10"/>
  <c r="AC136" i="10"/>
  <c r="AX290" i="10"/>
  <c r="AH290" i="10"/>
  <c r="JJ136" i="10"/>
  <c r="AQ290" i="10"/>
  <c r="IJ290" i="10"/>
  <c r="AX242" i="10"/>
  <c r="AY242" i="10"/>
  <c r="AI242" i="10"/>
  <c r="JL242" i="10"/>
  <c r="AY290" i="10"/>
  <c r="IK290" i="10"/>
  <c r="AH242" i="10"/>
  <c r="AY224" i="10"/>
  <c r="AZ224" i="10"/>
  <c r="GH224" i="10"/>
  <c r="AU290" i="10"/>
  <c r="AC290" i="10"/>
  <c r="AH224" i="10"/>
  <c r="AP242" i="10"/>
  <c r="AU242" i="10"/>
  <c r="AC242" i="10"/>
  <c r="AQ242" i="10"/>
  <c r="IJ242" i="10"/>
  <c r="EK242" i="10"/>
  <c r="EL242" i="10"/>
  <c r="AX236" i="10"/>
  <c r="EK236" i="10"/>
  <c r="EL236" i="10"/>
  <c r="AU224" i="10"/>
  <c r="AC224" i="10"/>
  <c r="JJ224" i="10"/>
  <c r="AX301" i="10"/>
  <c r="EK301" i="10"/>
  <c r="EL301" i="10"/>
  <c r="AP301" i="10"/>
  <c r="JJ301" i="10"/>
  <c r="AX385" i="10"/>
  <c r="EK385" i="10"/>
  <c r="EL385" i="10"/>
  <c r="AP352" i="10"/>
  <c r="AU352" i="10"/>
  <c r="AC352" i="10"/>
  <c r="AX262" i="10"/>
  <c r="EK262" i="10"/>
  <c r="EL262" i="10"/>
  <c r="AP296" i="10"/>
  <c r="AU296" i="10"/>
  <c r="AC296" i="10"/>
  <c r="AP143" i="10"/>
  <c r="JJ143" i="10"/>
  <c r="AH301" i="10"/>
  <c r="AU301" i="10"/>
  <c r="AC301" i="10"/>
  <c r="JJ352" i="10"/>
  <c r="AP377" i="10"/>
  <c r="JJ377" i="10"/>
  <c r="AQ296" i="10"/>
  <c r="IJ296" i="10"/>
  <c r="AS296" i="10"/>
  <c r="JT296" i="10"/>
  <c r="JJ296" i="10"/>
  <c r="AU377" i="10"/>
  <c r="AC377" i="10"/>
  <c r="AX377" i="10"/>
  <c r="AH377" i="10"/>
  <c r="AX316" i="10"/>
  <c r="AY316" i="10"/>
  <c r="AX372" i="10"/>
  <c r="AY372" i="10"/>
  <c r="AH372" i="10"/>
  <c r="EK372" i="10"/>
  <c r="EL372" i="10"/>
  <c r="AX188" i="10"/>
  <c r="EK188" i="10"/>
  <c r="EL188" i="10"/>
  <c r="AP385" i="10"/>
  <c r="AU385" i="10"/>
  <c r="AC385" i="10"/>
  <c r="AP262" i="10"/>
  <c r="JJ262" i="10"/>
  <c r="AH188" i="10"/>
  <c r="AP294" i="10"/>
  <c r="JJ294" i="10"/>
  <c r="AP207" i="10"/>
  <c r="AQ207" i="10"/>
  <c r="IJ207" i="10"/>
  <c r="Z207" i="10"/>
  <c r="JD207" i="10"/>
  <c r="AP372" i="10"/>
  <c r="AU372" i="10"/>
  <c r="AC372" i="10"/>
  <c r="AU207" i="10"/>
  <c r="AC207" i="10"/>
  <c r="AP188" i="10"/>
  <c r="AQ188" i="10"/>
  <c r="IJ188" i="10" s="1"/>
  <c r="JJ188" i="10"/>
  <c r="AP114" i="10"/>
  <c r="AU114" i="10"/>
  <c r="AC114" i="10"/>
  <c r="AY188" i="10"/>
  <c r="IK188" i="10"/>
  <c r="AI188" i="10"/>
  <c r="JL188" i="10"/>
  <c r="EK377" i="10"/>
  <c r="EL377" i="10"/>
  <c r="AH385" i="10"/>
  <c r="AQ385" i="10"/>
  <c r="IJ385" i="10" s="1"/>
  <c r="AD385" i="10"/>
  <c r="AP221" i="10"/>
  <c r="AU221" i="10"/>
  <c r="AC221" i="10"/>
  <c r="AQ294" i="10"/>
  <c r="IJ294" i="10"/>
  <c r="AQ372" i="10"/>
  <c r="IJ372" i="10" s="1"/>
  <c r="DP372" i="10"/>
  <c r="DN372" i="10" s="1"/>
  <c r="DO372" i="10" s="1"/>
  <c r="Z372" i="10"/>
  <c r="JD372" i="10"/>
  <c r="AY385" i="10"/>
  <c r="AZ385" i="10"/>
  <c r="GH385" i="10"/>
  <c r="AX348" i="10"/>
  <c r="AY348" i="10"/>
  <c r="IK348" i="10"/>
  <c r="AX296" i="10"/>
  <c r="AY296" i="10"/>
  <c r="AZ296" i="10"/>
  <c r="GH296" i="10"/>
  <c r="AP102" i="10"/>
  <c r="AU102" i="10"/>
  <c r="AC102" i="10"/>
  <c r="AQ102" i="10"/>
  <c r="IJ102" i="10"/>
  <c r="AQ262" i="10"/>
  <c r="IJ262" i="10" s="1"/>
  <c r="AY236" i="10"/>
  <c r="IK236" i="10"/>
  <c r="AX185" i="10"/>
  <c r="AY185" i="10"/>
  <c r="IK185" i="10"/>
  <c r="CW102" i="10"/>
  <c r="AX102" i="10"/>
  <c r="AQ221" i="10"/>
  <c r="IJ221" i="10" s="1"/>
  <c r="Z221" i="10"/>
  <c r="JD221" i="10"/>
  <c r="EK185" i="10"/>
  <c r="EL185" i="10"/>
  <c r="AX344" i="10"/>
  <c r="AY344" i="10"/>
  <c r="IK344" i="10"/>
  <c r="AH296" i="10"/>
  <c r="JJ114" i="10"/>
  <c r="EK316" i="10"/>
  <c r="EL316" i="10"/>
  <c r="AX221" i="10"/>
  <c r="AH221" i="10"/>
  <c r="CQ114" i="10"/>
  <c r="CW114" i="10"/>
  <c r="AX114" i="10"/>
  <c r="AH114" i="10"/>
  <c r="AY114" i="10"/>
  <c r="EK114" i="10"/>
  <c r="EL114" i="10"/>
  <c r="AZ114" i="10"/>
  <c r="GH114" i="10"/>
  <c r="IK114" i="10"/>
  <c r="AX294" i="10"/>
  <c r="EK294" i="10"/>
  <c r="EL294" i="10"/>
  <c r="AX229" i="10"/>
  <c r="AY229" i="10"/>
  <c r="IK229" i="10"/>
  <c r="EK344" i="10"/>
  <c r="EL344" i="10"/>
  <c r="AP291" i="10"/>
  <c r="AQ291" i="10"/>
  <c r="IJ291" i="10" s="1"/>
  <c r="AS291" i="10"/>
  <c r="JT291" i="10"/>
  <c r="AP304" i="10"/>
  <c r="AQ304" i="10"/>
  <c r="IJ304" i="10" s="1"/>
  <c r="AY294" i="10"/>
  <c r="IK294" i="10"/>
  <c r="AX280" i="10"/>
  <c r="AY280" i="10"/>
  <c r="IK280" i="10"/>
  <c r="AI280" i="10"/>
  <c r="JL280" i="10"/>
  <c r="AX215" i="10"/>
  <c r="AY215" i="10"/>
  <c r="EK215" i="10"/>
  <c r="EL215" i="10"/>
  <c r="AP185" i="10"/>
  <c r="AQ185" i="10"/>
  <c r="IJ185" i="10" s="1"/>
  <c r="Z185" i="10"/>
  <c r="JD185" i="10"/>
  <c r="AH215" i="10"/>
  <c r="AX298" i="10"/>
  <c r="EK298" i="10"/>
  <c r="EL298" i="10"/>
  <c r="AP376" i="10"/>
  <c r="JJ376" i="10"/>
  <c r="AQ376" i="10"/>
  <c r="IJ376" i="10" s="1"/>
  <c r="AX90" i="10"/>
  <c r="AH90" i="10"/>
  <c r="AX370" i="10"/>
  <c r="EK370" i="10"/>
  <c r="EL370" i="10"/>
  <c r="AY90" i="10"/>
  <c r="EK90" i="10"/>
  <c r="EL90" i="10"/>
  <c r="AZ90" i="10"/>
  <c r="GH90" i="10"/>
  <c r="JJ304" i="10"/>
  <c r="AP90" i="10"/>
  <c r="AQ90" i="10"/>
  <c r="IJ90" i="10" s="1"/>
  <c r="AS90" i="10"/>
  <c r="JT90" i="10"/>
  <c r="AH262" i="10"/>
  <c r="AP316" i="10"/>
  <c r="JJ316" i="10"/>
  <c r="AH185" i="10"/>
  <c r="AU185" i="10"/>
  <c r="AC185" i="10"/>
  <c r="AQ316" i="10"/>
  <c r="IJ316" i="10" s="1"/>
  <c r="AD316" i="10"/>
  <c r="JJ185" i="10"/>
  <c r="AQ114" i="10"/>
  <c r="IJ114" i="10"/>
  <c r="AS114" i="10"/>
  <c r="JT114" i="10"/>
  <c r="AP280" i="10"/>
  <c r="JJ280" i="10"/>
  <c r="AU90" i="10"/>
  <c r="AC90" i="10"/>
  <c r="EK280" i="10"/>
  <c r="EL280" i="10"/>
  <c r="AX257" i="10"/>
  <c r="EK257" i="10"/>
  <c r="EL257" i="10"/>
  <c r="AH294" i="10"/>
  <c r="AH102" i="10"/>
  <c r="AP211" i="10"/>
  <c r="JJ211" i="10"/>
  <c r="AQ211" i="10"/>
  <c r="IJ211" i="10" s="1"/>
  <c r="AU211" i="10"/>
  <c r="AC211" i="10"/>
  <c r="AH316" i="10"/>
  <c r="EK221" i="10"/>
  <c r="EL221" i="10"/>
  <c r="JJ291" i="10"/>
  <c r="AX375" i="10"/>
  <c r="EK375" i="10"/>
  <c r="EL375" i="10"/>
  <c r="AP295" i="10"/>
  <c r="AX376" i="10"/>
  <c r="EK376" i="10"/>
  <c r="EL376" i="10"/>
  <c r="AP228" i="10"/>
  <c r="JJ228" i="10"/>
  <c r="AX171" i="10"/>
  <c r="AY171" i="10"/>
  <c r="AI171" i="10"/>
  <c r="JL171" i="10"/>
  <c r="AP257" i="10"/>
  <c r="EK171" i="10"/>
  <c r="EL171" i="10"/>
  <c r="AH171" i="10"/>
  <c r="AU257" i="10"/>
  <c r="AC257" i="10"/>
  <c r="AQ257" i="10"/>
  <c r="IJ257" i="10"/>
  <c r="AX304" i="10"/>
  <c r="EK304" i="10"/>
  <c r="EL304" i="10"/>
  <c r="AH229" i="10"/>
  <c r="JJ90" i="10"/>
  <c r="JJ102" i="10"/>
  <c r="AX244" i="10"/>
  <c r="AY244" i="10"/>
  <c r="IK244" i="10"/>
  <c r="EK244" i="10"/>
  <c r="EL244" i="10"/>
  <c r="AX211" i="10"/>
  <c r="AH211" i="10"/>
  <c r="AY211" i="10"/>
  <c r="AI211" i="10"/>
  <c r="JL211" i="10"/>
  <c r="EK348" i="10"/>
  <c r="EL348" i="10"/>
  <c r="AQ280" i="10"/>
  <c r="IJ280" i="10" s="1"/>
  <c r="AS280" i="10"/>
  <c r="JT280" i="10"/>
  <c r="AH375" i="10"/>
  <c r="AU280" i="10"/>
  <c r="AC280" i="10"/>
  <c r="AP115" i="10"/>
  <c r="AQ115" i="10"/>
  <c r="IJ115" i="10" s="1"/>
  <c r="AS115" i="10"/>
  <c r="JT115" i="10"/>
  <c r="JJ115" i="10"/>
  <c r="AU115" i="10"/>
  <c r="AC115" i="10"/>
  <c r="AX115" i="10"/>
  <c r="AY115" i="10"/>
  <c r="IK115" i="10"/>
  <c r="AX291" i="10"/>
  <c r="EK211" i="10"/>
  <c r="EL211" i="10"/>
  <c r="AU376" i="10"/>
  <c r="AC376" i="10"/>
  <c r="AP171" i="10"/>
  <c r="CF98" i="10"/>
  <c r="CQ98" i="10"/>
  <c r="CW98" i="10"/>
  <c r="AX98" i="10"/>
  <c r="AP117" i="10"/>
  <c r="AQ117" i="10"/>
  <c r="IJ117" i="10" s="1"/>
  <c r="AS117" i="10"/>
  <c r="JT117" i="10"/>
  <c r="JJ117" i="10"/>
  <c r="EK291" i="10"/>
  <c r="EL291" i="10"/>
  <c r="AY98" i="10"/>
  <c r="AH291" i="10"/>
  <c r="AH344" i="10"/>
  <c r="JJ171" i="10"/>
  <c r="AU171" i="10"/>
  <c r="AC171" i="10"/>
  <c r="AU86" i="10"/>
  <c r="AC86" i="10"/>
  <c r="JJ86" i="10"/>
  <c r="AU295" i="10"/>
  <c r="AC295" i="10"/>
  <c r="AQ143" i="10"/>
  <c r="IJ143" i="10" s="1"/>
  <c r="AP192" i="10"/>
  <c r="JJ192" i="10"/>
  <c r="AP264" i="10"/>
  <c r="AU264" i="10"/>
  <c r="AC264" i="10"/>
  <c r="AQ264" i="10"/>
  <c r="IJ264" i="10" s="1"/>
  <c r="AQ192" i="10"/>
  <c r="IJ192" i="10"/>
  <c r="CF78" i="10"/>
  <c r="CW78" i="10"/>
  <c r="AX78" i="10"/>
  <c r="AY78" i="10"/>
  <c r="IK78" i="10"/>
  <c r="AH298" i="10"/>
  <c r="AX264" i="10"/>
  <c r="AH264" i="10"/>
  <c r="AY298" i="10"/>
  <c r="AI298" i="10"/>
  <c r="JL298" i="10"/>
  <c r="AH115" i="10"/>
  <c r="AP215" i="10"/>
  <c r="JJ215" i="10"/>
  <c r="AU215" i="10"/>
  <c r="AC215" i="10"/>
  <c r="AP375" i="10"/>
  <c r="JJ375" i="10"/>
  <c r="AQ375" i="10"/>
  <c r="IJ375" i="10" s="1"/>
  <c r="AU375" i="10"/>
  <c r="AC375" i="10"/>
  <c r="AP348" i="10"/>
  <c r="JJ348" i="10"/>
  <c r="AY375" i="10"/>
  <c r="IK375" i="10"/>
  <c r="AY376" i="10"/>
  <c r="IK376" i="10"/>
  <c r="AP298" i="10"/>
  <c r="AX192" i="10"/>
  <c r="EK192" i="10"/>
  <c r="EL192" i="10"/>
  <c r="AX207" i="10"/>
  <c r="EK207" i="10"/>
  <c r="EL207" i="10"/>
  <c r="AH257" i="10"/>
  <c r="AY257" i="10"/>
  <c r="IK257" i="10"/>
  <c r="AH192" i="10"/>
  <c r="AY192" i="10"/>
  <c r="AP184" i="10"/>
  <c r="AH348" i="10"/>
  <c r="AP344" i="10"/>
  <c r="AU344" i="10"/>
  <c r="AC344" i="10"/>
  <c r="JJ344" i="10"/>
  <c r="AQ344" i="10"/>
  <c r="IJ344" i="10" s="1"/>
  <c r="AD344" i="10"/>
  <c r="CF117" i="10"/>
  <c r="CQ117" i="10"/>
  <c r="CW117" i="10"/>
  <c r="AX117" i="10"/>
  <c r="AY207" i="10"/>
  <c r="IK207" i="10"/>
  <c r="JJ264" i="10"/>
  <c r="AH78" i="10"/>
  <c r="CQ86" i="10"/>
  <c r="CW86" i="10"/>
  <c r="AX86" i="10"/>
  <c r="AH86" i="10"/>
  <c r="AQ295" i="10"/>
  <c r="IJ295" i="10" s="1"/>
  <c r="AP320" i="10"/>
  <c r="JJ320" i="10"/>
  <c r="AU320" i="10"/>
  <c r="AC320" i="10"/>
  <c r="AP229" i="10"/>
  <c r="AY117" i="10"/>
  <c r="IK117" i="10"/>
  <c r="AI117" i="10"/>
  <c r="JL117" i="10"/>
  <c r="AH244" i="10"/>
  <c r="CF135" i="10"/>
  <c r="CQ135" i="10"/>
  <c r="CW135" i="10"/>
  <c r="AX135" i="10"/>
  <c r="AH135" i="10"/>
  <c r="AU229" i="10"/>
  <c r="AC229" i="10"/>
  <c r="AH117" i="10"/>
  <c r="AY264" i="10"/>
  <c r="AU348" i="10"/>
  <c r="AC348" i="10"/>
  <c r="AP243" i="10"/>
  <c r="AQ243" i="10"/>
  <c r="IJ243" i="10" s="1"/>
  <c r="Z243" i="10"/>
  <c r="JD243" i="10"/>
  <c r="AQ298" i="10"/>
  <c r="IJ298" i="10" s="1"/>
  <c r="EK264" i="10"/>
  <c r="EL264" i="10"/>
  <c r="AU243" i="10"/>
  <c r="AC243" i="10"/>
  <c r="AU298" i="10"/>
  <c r="AC298" i="10"/>
  <c r="AY86" i="10"/>
  <c r="AX320" i="10"/>
  <c r="AY320" i="10"/>
  <c r="AZ320" i="10"/>
  <c r="GH320" i="10"/>
  <c r="AI320" i="10"/>
  <c r="JL320" i="10"/>
  <c r="EK320" i="10"/>
  <c r="EL320" i="10"/>
  <c r="AQ320" i="10"/>
  <c r="IJ320" i="10"/>
  <c r="JJ78" i="10"/>
  <c r="AQ228" i="10"/>
  <c r="IJ228" i="10"/>
  <c r="AS228" i="10"/>
  <c r="JT228" i="10"/>
  <c r="AH304" i="10"/>
  <c r="AX333" i="10"/>
  <c r="EK333" i="10"/>
  <c r="EL333" i="10"/>
  <c r="AX184" i="10"/>
  <c r="EK184" i="10"/>
  <c r="EL184" i="10"/>
  <c r="AY370" i="10"/>
  <c r="AI370" i="10"/>
  <c r="JL370" i="10"/>
  <c r="AY304" i="10"/>
  <c r="AZ304" i="10"/>
  <c r="GH304" i="10"/>
  <c r="AP236" i="10"/>
  <c r="AQ236" i="10"/>
  <c r="IJ236" i="10"/>
  <c r="Z236" i="10"/>
  <c r="JD236" i="10"/>
  <c r="AP244" i="10"/>
  <c r="AU244" i="10"/>
  <c r="AC244" i="10"/>
  <c r="AU236" i="10"/>
  <c r="AC236" i="10"/>
  <c r="JJ236" i="10"/>
  <c r="AH184" i="10"/>
  <c r="AX143" i="10"/>
  <c r="AY143" i="10"/>
  <c r="IK143" i="10"/>
  <c r="AX243" i="10"/>
  <c r="EK243" i="10"/>
  <c r="EL243" i="10"/>
  <c r="AX295" i="10"/>
  <c r="AY295" i="10"/>
  <c r="IK295" i="10"/>
  <c r="CW228" i="10"/>
  <c r="AX228" i="10"/>
  <c r="AH228" i="10"/>
  <c r="EK295" i="10"/>
  <c r="EL295" i="10"/>
  <c r="AH243" i="10"/>
  <c r="AP370" i="10"/>
  <c r="JJ229" i="10"/>
  <c r="AQ244" i="10"/>
  <c r="IJ244" i="10"/>
  <c r="AS244" i="10"/>
  <c r="JT244" i="10"/>
  <c r="EK228" i="10"/>
  <c r="EL228" i="10"/>
  <c r="JJ244" i="10"/>
  <c r="AX284" i="10"/>
  <c r="AH284" i="10"/>
  <c r="AY284" i="10"/>
  <c r="IK284" i="10"/>
  <c r="AH295" i="10"/>
  <c r="AH320" i="10"/>
  <c r="AQ184" i="10"/>
  <c r="IJ184" i="10" s="1"/>
  <c r="JJ184" i="10"/>
  <c r="AU192" i="10"/>
  <c r="AC192" i="10"/>
  <c r="JJ370" i="10"/>
  <c r="AU370" i="10"/>
  <c r="AC370" i="10"/>
  <c r="AX319" i="10"/>
  <c r="AH319" i="10"/>
  <c r="AY319" i="10"/>
  <c r="AZ319" i="10"/>
  <c r="GH319" i="10"/>
  <c r="AP267" i="10"/>
  <c r="JJ267" i="10"/>
  <c r="AU267" i="10"/>
  <c r="AC267" i="10"/>
  <c r="AQ267" i="10"/>
  <c r="IJ267" i="10" s="1"/>
  <c r="AX371" i="10"/>
  <c r="AH371" i="10"/>
  <c r="AY371" i="10"/>
  <c r="AX270" i="10"/>
  <c r="AY270" i="10"/>
  <c r="AZ270" i="10"/>
  <c r="GH270" i="10"/>
  <c r="AH270" i="10"/>
  <c r="AP342" i="10"/>
  <c r="AU342" i="10"/>
  <c r="AC342" i="10"/>
  <c r="JJ342" i="10"/>
  <c r="AQ342" i="10"/>
  <c r="IJ342" i="10" s="1"/>
  <c r="AP75" i="10"/>
  <c r="JJ75" i="10"/>
  <c r="AQ75" i="10"/>
  <c r="IJ75" i="10"/>
  <c r="AU75" i="10"/>
  <c r="AC75" i="10"/>
  <c r="AX373" i="10"/>
  <c r="AH373" i="10"/>
  <c r="AY373" i="10"/>
  <c r="AP285" i="10"/>
  <c r="AQ285" i="10"/>
  <c r="IJ285" i="10" s="1"/>
  <c r="JJ285" i="10"/>
  <c r="AU285" i="10"/>
  <c r="AC285" i="10"/>
  <c r="AP202" i="10"/>
  <c r="AU202" i="10"/>
  <c r="AC202" i="10"/>
  <c r="AQ202" i="10"/>
  <c r="IJ202" i="10" s="1"/>
  <c r="JJ202" i="10"/>
  <c r="AP346" i="10"/>
  <c r="JJ346" i="10"/>
  <c r="AU346" i="10"/>
  <c r="AC346" i="10"/>
  <c r="AQ346" i="10"/>
  <c r="IJ346" i="10" s="1"/>
  <c r="AP84" i="10"/>
  <c r="AQ84" i="10"/>
  <c r="IJ84" i="10" s="1"/>
  <c r="JJ84" i="10"/>
  <c r="AU84" i="10"/>
  <c r="AC84" i="10"/>
  <c r="AX384" i="10"/>
  <c r="AH384" i="10"/>
  <c r="AY384" i="10"/>
  <c r="AZ384" i="10"/>
  <c r="GH384" i="10"/>
  <c r="AX361" i="10"/>
  <c r="AH361" i="10"/>
  <c r="AY361" i="10"/>
  <c r="AX237" i="10"/>
  <c r="AY237" i="10"/>
  <c r="IK237" i="10"/>
  <c r="AH237" i="10"/>
  <c r="AP76" i="10"/>
  <c r="JJ76" i="10"/>
  <c r="AU76" i="10"/>
  <c r="AC76" i="10"/>
  <c r="AQ76" i="10"/>
  <c r="IJ76" i="10" s="1"/>
  <c r="CW210" i="10"/>
  <c r="AX210" i="10"/>
  <c r="AH210" i="10"/>
  <c r="AY210" i="10"/>
  <c r="AZ210" i="10"/>
  <c r="GH210" i="10"/>
  <c r="AP333" i="10"/>
  <c r="JJ333" i="10"/>
  <c r="AU333" i="10"/>
  <c r="AC333" i="10"/>
  <c r="AQ333" i="10"/>
  <c r="IJ333" i="10" s="1"/>
  <c r="CQ125" i="10"/>
  <c r="CW125" i="10"/>
  <c r="AX125" i="10"/>
  <c r="AY125" i="10"/>
  <c r="IK125" i="10"/>
  <c r="AH125" i="10"/>
  <c r="AQ387" i="10"/>
  <c r="IJ387" i="10" s="1"/>
  <c r="Z387" i="10"/>
  <c r="JD387" i="10"/>
  <c r="AD387" i="10"/>
  <c r="AS387" i="10"/>
  <c r="JT387" i="10"/>
  <c r="CF94" i="10"/>
  <c r="CQ94" i="10"/>
  <c r="CW94" i="10"/>
  <c r="AX94" i="10"/>
  <c r="AH94" i="10"/>
  <c r="AY94" i="10"/>
  <c r="CF79" i="10"/>
  <c r="CQ79" i="10"/>
  <c r="CW79" i="10"/>
  <c r="AX79" i="10"/>
  <c r="AY79" i="10"/>
  <c r="EK79" i="10"/>
  <c r="EL79" i="10"/>
  <c r="AZ79" i="10"/>
  <c r="GH79" i="10"/>
  <c r="AH79" i="10"/>
  <c r="AX255" i="10"/>
  <c r="AH255" i="10"/>
  <c r="AY255" i="10"/>
  <c r="IK255" i="10"/>
  <c r="AP360" i="10"/>
  <c r="AU360" i="10"/>
  <c r="AC360" i="10"/>
  <c r="AQ360" i="10"/>
  <c r="IJ360" i="10" s="1"/>
  <c r="JJ360" i="10"/>
  <c r="AP256" i="10"/>
  <c r="JJ256" i="10"/>
  <c r="AU256" i="10"/>
  <c r="AC256" i="10"/>
  <c r="AQ256" i="10"/>
  <c r="IJ256" i="10"/>
  <c r="AX283" i="10"/>
  <c r="AH283" i="10"/>
  <c r="AY283" i="10"/>
  <c r="IK283" i="10"/>
  <c r="AP109" i="10"/>
  <c r="JJ109" i="10"/>
  <c r="AQ109" i="10"/>
  <c r="IJ109" i="10" s="1"/>
  <c r="AU109" i="10"/>
  <c r="AC109" i="10"/>
  <c r="AQ215" i="10"/>
  <c r="IJ215" i="10" s="1"/>
  <c r="AD215" i="10"/>
  <c r="AS215" i="10"/>
  <c r="JT215" i="10"/>
  <c r="Z215" i="10"/>
  <c r="JD215" i="10"/>
  <c r="AS343" i="10"/>
  <c r="JT343" i="10"/>
  <c r="AD343" i="10"/>
  <c r="Z343" i="10"/>
  <c r="JD343" i="10"/>
  <c r="AP306" i="10"/>
  <c r="AU306" i="10"/>
  <c r="AC306" i="10"/>
  <c r="AQ306" i="10"/>
  <c r="IJ306" i="10" s="1"/>
  <c r="JJ306" i="10"/>
  <c r="AX169" i="10"/>
  <c r="AY169" i="10"/>
  <c r="IK169" i="10"/>
  <c r="AH169" i="10"/>
  <c r="AP71" i="10"/>
  <c r="JJ71" i="10"/>
  <c r="AQ71" i="10"/>
  <c r="IJ71" i="10"/>
  <c r="AU71" i="10"/>
  <c r="AC71" i="10"/>
  <c r="AP309" i="10"/>
  <c r="JJ309" i="10"/>
  <c r="AQ309" i="10"/>
  <c r="IJ309" i="10" s="1"/>
  <c r="AU309" i="10"/>
  <c r="AC309" i="10"/>
  <c r="AX247" i="10"/>
  <c r="AH247" i="10"/>
  <c r="AY247" i="10"/>
  <c r="IK247" i="10"/>
  <c r="AX201" i="10"/>
  <c r="AH201" i="10"/>
  <c r="AY201" i="10"/>
  <c r="IK201" i="10"/>
  <c r="AX226" i="10"/>
  <c r="AY226" i="10"/>
  <c r="AZ226" i="10"/>
  <c r="GH226" i="10"/>
  <c r="AH226" i="10"/>
  <c r="AX356" i="10"/>
  <c r="AY356" i="10"/>
  <c r="IK356" i="10"/>
  <c r="AH356" i="10"/>
  <c r="AX194" i="10"/>
  <c r="AH194" i="10"/>
  <c r="AY194" i="10"/>
  <c r="AP101" i="10"/>
  <c r="AU101" i="10"/>
  <c r="AC101" i="10"/>
  <c r="JJ101" i="10"/>
  <c r="AQ101" i="10"/>
  <c r="IJ101" i="10" s="1"/>
  <c r="AX390" i="10"/>
  <c r="AY390" i="10"/>
  <c r="IK390" i="10"/>
  <c r="AH390" i="10"/>
  <c r="EK390" i="10"/>
  <c r="EL390" i="10"/>
  <c r="AP173" i="10"/>
  <c r="JJ173" i="10"/>
  <c r="AU173" i="10"/>
  <c r="AC173" i="10"/>
  <c r="AQ173" i="10"/>
  <c r="IJ173" i="10" s="1"/>
  <c r="CQ91" i="10"/>
  <c r="CW91" i="10"/>
  <c r="AX91" i="10"/>
  <c r="AY91" i="10"/>
  <c r="IK91" i="10"/>
  <c r="AH91" i="10"/>
  <c r="AX165" i="10"/>
  <c r="AH165" i="10"/>
  <c r="AY165" i="10"/>
  <c r="AX235" i="10"/>
  <c r="AY235" i="10"/>
  <c r="AZ235" i="10"/>
  <c r="GH235" i="10"/>
  <c r="AH235" i="10"/>
  <c r="AP391" i="10"/>
  <c r="AQ391" i="10"/>
  <c r="IJ391" i="10" s="1"/>
  <c r="JJ391" i="10"/>
  <c r="AU391" i="10"/>
  <c r="AC391" i="10"/>
  <c r="CF81" i="10"/>
  <c r="CQ81" i="10"/>
  <c r="CW81" i="10"/>
  <c r="AX81" i="10"/>
  <c r="AH81" i="10"/>
  <c r="AY81" i="10"/>
  <c r="EK81" i="10"/>
  <c r="EL81" i="10"/>
  <c r="AZ81" i="10"/>
  <c r="GH81" i="10"/>
  <c r="AP345" i="10"/>
  <c r="AU345" i="10"/>
  <c r="AC345" i="10"/>
  <c r="AQ345" i="10"/>
  <c r="IJ345" i="10" s="1"/>
  <c r="JJ345" i="10"/>
  <c r="AU127" i="10"/>
  <c r="AC127" i="10"/>
  <c r="JJ127" i="10"/>
  <c r="AP317" i="10"/>
  <c r="AQ317" i="10"/>
  <c r="IJ317" i="10" s="1"/>
  <c r="JJ317" i="10"/>
  <c r="AU317" i="10"/>
  <c r="AC317" i="10"/>
  <c r="AP147" i="10"/>
  <c r="W141" i="15"/>
  <c r="JJ147" i="10"/>
  <c r="AU147" i="10"/>
  <c r="AC147" i="10"/>
  <c r="AQ147" i="10"/>
  <c r="IJ147" i="10" s="1"/>
  <c r="CW123" i="10"/>
  <c r="AX123" i="10"/>
  <c r="AH123" i="10"/>
  <c r="AY123" i="10"/>
  <c r="AU137" i="10"/>
  <c r="AC137" i="10"/>
  <c r="JJ137" i="10"/>
  <c r="AX350" i="10"/>
  <c r="AY350" i="10"/>
  <c r="IK350" i="10"/>
  <c r="AH350" i="10"/>
  <c r="AP169" i="10"/>
  <c r="JJ169" i="10"/>
  <c r="AQ169" i="10"/>
  <c r="IJ169" i="10" s="1"/>
  <c r="AU169" i="10"/>
  <c r="AC169" i="10"/>
  <c r="AX172" i="10"/>
  <c r="AH172" i="10"/>
  <c r="AY172" i="10"/>
  <c r="IK172" i="10"/>
  <c r="AH333" i="10"/>
  <c r="AY333" i="10"/>
  <c r="AQ171" i="10"/>
  <c r="IJ171" i="10"/>
  <c r="AS171" i="10"/>
  <c r="JT171" i="10"/>
  <c r="AD171" i="10"/>
  <c r="Z171" i="10"/>
  <c r="JD171" i="10"/>
  <c r="AD261" i="10"/>
  <c r="AS261" i="10"/>
  <c r="JT261" i="10"/>
  <c r="Z261" i="10"/>
  <c r="JD261" i="10"/>
  <c r="AS380" i="10"/>
  <c r="JT380" i="10"/>
  <c r="AD380" i="10"/>
  <c r="Z380" i="10"/>
  <c r="JD380" i="10"/>
  <c r="AD246" i="10"/>
  <c r="AI387" i="10"/>
  <c r="JL387" i="10"/>
  <c r="AP263" i="10"/>
  <c r="JJ263" i="10"/>
  <c r="AQ263" i="10"/>
  <c r="IJ263" i="10"/>
  <c r="AU263" i="10"/>
  <c r="AC263" i="10"/>
  <c r="CQ122" i="10"/>
  <c r="CW122" i="10"/>
  <c r="AX122" i="10"/>
  <c r="AY122" i="10"/>
  <c r="EK122" i="10"/>
  <c r="EL122" i="10"/>
  <c r="AZ122" i="10"/>
  <c r="GH122" i="10"/>
  <c r="AH122" i="10"/>
  <c r="CW251" i="10"/>
  <c r="AX251" i="10"/>
  <c r="AH251" i="10"/>
  <c r="AY251" i="10"/>
  <c r="IK251" i="10"/>
  <c r="AX182" i="10"/>
  <c r="AY182" i="10"/>
  <c r="AZ182" i="10"/>
  <c r="GH182" i="10"/>
  <c r="AH182" i="10"/>
  <c r="CW96" i="10"/>
  <c r="AX96" i="10"/>
  <c r="AY96" i="10"/>
  <c r="AH96" i="10"/>
  <c r="AP384" i="10"/>
  <c r="AQ384" i="10"/>
  <c r="IJ384" i="10" s="1"/>
  <c r="JJ384" i="10"/>
  <c r="AU384" i="10"/>
  <c r="AC384" i="10"/>
  <c r="AX175" i="10"/>
  <c r="AY175" i="10"/>
  <c r="IK175" i="10"/>
  <c r="AH175" i="10"/>
  <c r="AP361" i="10"/>
  <c r="JJ361" i="10"/>
  <c r="AU361" i="10"/>
  <c r="AC361" i="10"/>
  <c r="AQ361" i="10"/>
  <c r="IJ361" i="10" s="1"/>
  <c r="CQ104" i="10"/>
  <c r="CW104" i="10"/>
  <c r="AX104" i="10"/>
  <c r="AY104" i="10"/>
  <c r="EK104" i="10"/>
  <c r="EL104" i="10"/>
  <c r="AZ104" i="10"/>
  <c r="GH104" i="10"/>
  <c r="AH104" i="10"/>
  <c r="AP386" i="10"/>
  <c r="JJ386" i="10"/>
  <c r="AU386" i="10"/>
  <c r="AC386" i="10"/>
  <c r="AQ386" i="10"/>
  <c r="IJ386" i="10"/>
  <c r="AP123" i="10"/>
  <c r="JJ123" i="10"/>
  <c r="AQ123" i="10"/>
  <c r="IJ123" i="10" s="1"/>
  <c r="AU123" i="10"/>
  <c r="AC123" i="10"/>
  <c r="AP234" i="10"/>
  <c r="JJ234" i="10"/>
  <c r="AU234" i="10"/>
  <c r="AC234" i="10"/>
  <c r="AQ234" i="10"/>
  <c r="IJ234" i="10" s="1"/>
  <c r="AP248" i="10"/>
  <c r="AU248" i="10"/>
  <c r="AC248" i="10"/>
  <c r="AQ248" i="10"/>
  <c r="IJ248" i="10" s="1"/>
  <c r="JJ248" i="10"/>
  <c r="AP70" i="10"/>
  <c r="JJ70" i="10"/>
  <c r="AQ70" i="10"/>
  <c r="IJ70" i="10"/>
  <c r="AU70" i="10"/>
  <c r="AC70" i="10"/>
  <c r="AP252" i="10"/>
  <c r="AQ252" i="10"/>
  <c r="IJ252" i="10" s="1"/>
  <c r="JJ252" i="10"/>
  <c r="AU252" i="10"/>
  <c r="AC252" i="10"/>
  <c r="AX354" i="10"/>
  <c r="AY354" i="10"/>
  <c r="AZ354" i="10"/>
  <c r="AH354" i="10"/>
  <c r="AX179" i="10"/>
  <c r="AH179" i="10"/>
  <c r="AY179" i="10"/>
  <c r="AZ179" i="10"/>
  <c r="GH179" i="10"/>
  <c r="AX163" i="10"/>
  <c r="AY163" i="10"/>
  <c r="AH163" i="10"/>
  <c r="AP104" i="10"/>
  <c r="AU104" i="10"/>
  <c r="AC104" i="10"/>
  <c r="JJ104" i="10"/>
  <c r="AQ104" i="10"/>
  <c r="IJ104" i="10" s="1"/>
  <c r="CF99" i="10"/>
  <c r="CQ99" i="10"/>
  <c r="CW99" i="10"/>
  <c r="AX99" i="10"/>
  <c r="AY99" i="10"/>
  <c r="IK99" i="10"/>
  <c r="AH99" i="10"/>
  <c r="AP91" i="10"/>
  <c r="JJ91" i="10"/>
  <c r="AU91" i="10"/>
  <c r="AC91" i="10"/>
  <c r="AQ91" i="10"/>
  <c r="IJ91" i="10"/>
  <c r="AU131" i="10"/>
  <c r="AC131" i="10"/>
  <c r="JJ131" i="10"/>
  <c r="AX337" i="10"/>
  <c r="AY337" i="10"/>
  <c r="AH337" i="10"/>
  <c r="AX233" i="10"/>
  <c r="AH233" i="10"/>
  <c r="AY233" i="10"/>
  <c r="IK233" i="10"/>
  <c r="AX148" i="10"/>
  <c r="AH148" i="10"/>
  <c r="AY148" i="10"/>
  <c r="AZ148" i="10"/>
  <c r="GH148" i="10"/>
  <c r="AP225" i="10"/>
  <c r="AU225" i="10"/>
  <c r="AC225" i="10"/>
  <c r="JJ225" i="10"/>
  <c r="AQ225" i="10"/>
  <c r="IJ225" i="10"/>
  <c r="CF118" i="10"/>
  <c r="CW118" i="10"/>
  <c r="AX118" i="10"/>
  <c r="AH118" i="10"/>
  <c r="AY118" i="10"/>
  <c r="IK118" i="10"/>
  <c r="AP355" i="10"/>
  <c r="AQ355" i="10"/>
  <c r="IJ355" i="10" s="1"/>
  <c r="JJ355" i="10"/>
  <c r="AU355" i="10"/>
  <c r="AC355" i="10"/>
  <c r="AX360" i="10"/>
  <c r="AH360" i="10"/>
  <c r="AY360" i="10"/>
  <c r="AZ360" i="10"/>
  <c r="GH360" i="10"/>
  <c r="AP293" i="10"/>
  <c r="JJ293" i="10"/>
  <c r="AU293" i="10"/>
  <c r="AC293" i="10"/>
  <c r="AQ293" i="10"/>
  <c r="IJ293" i="10" s="1"/>
  <c r="AX273" i="10"/>
  <c r="AY273" i="10"/>
  <c r="IK273" i="10"/>
  <c r="AH273" i="10"/>
  <c r="AS338" i="10"/>
  <c r="JT338" i="10"/>
  <c r="AD338" i="10"/>
  <c r="Z338" i="10"/>
  <c r="JD338" i="10"/>
  <c r="AQ348" i="10"/>
  <c r="IJ348" i="10" s="1"/>
  <c r="AS348" i="10"/>
  <c r="JT348" i="10"/>
  <c r="AD348" i="10"/>
  <c r="Z348" i="10"/>
  <c r="JD348" i="10"/>
  <c r="AD250" i="10"/>
  <c r="AQ136" i="10"/>
  <c r="IJ136" i="10" s="1"/>
  <c r="AS136" i="10"/>
  <c r="JT136" i="10"/>
  <c r="Z136" i="10"/>
  <c r="JD136" i="10"/>
  <c r="AD136" i="10"/>
  <c r="CF101" i="10"/>
  <c r="CW101" i="10"/>
  <c r="AX101" i="10"/>
  <c r="AY101" i="10"/>
  <c r="EK101" i="10"/>
  <c r="EL101" i="10"/>
  <c r="AZ101" i="10"/>
  <c r="GH101" i="10"/>
  <c r="AH101" i="10"/>
  <c r="AX74" i="10"/>
  <c r="AY74" i="10"/>
  <c r="EK74" i="10"/>
  <c r="EL74" i="10"/>
  <c r="AZ74" i="10"/>
  <c r="GH74" i="10"/>
  <c r="AH74" i="10"/>
  <c r="AP118" i="10"/>
  <c r="AQ118" i="10"/>
  <c r="IJ118" i="10" s="1"/>
  <c r="AU118" i="10"/>
  <c r="AC118" i="10"/>
  <c r="JJ118" i="10"/>
  <c r="AP200" i="10"/>
  <c r="AU200" i="10"/>
  <c r="AC200" i="10"/>
  <c r="AQ200" i="10"/>
  <c r="IJ200" i="10"/>
  <c r="JJ200" i="10"/>
  <c r="AP198" i="10"/>
  <c r="AQ198" i="10"/>
  <c r="IJ198" i="10" s="1"/>
  <c r="JJ198" i="10"/>
  <c r="AU198" i="10"/>
  <c r="AC198" i="10"/>
  <c r="AP310" i="10"/>
  <c r="JJ310" i="10"/>
  <c r="AQ310" i="10"/>
  <c r="IJ310" i="10" s="1"/>
  <c r="AU310" i="10"/>
  <c r="AC310" i="10"/>
  <c r="AP354" i="10"/>
  <c r="JJ354" i="10"/>
  <c r="AU354" i="10"/>
  <c r="AC354" i="10"/>
  <c r="AQ354" i="10"/>
  <c r="IJ354" i="10" s="1"/>
  <c r="AP351" i="10"/>
  <c r="AQ351" i="10"/>
  <c r="IJ351" i="10" s="1"/>
  <c r="JJ351" i="10"/>
  <c r="AU351" i="10"/>
  <c r="AC351" i="10"/>
  <c r="AX265" i="10"/>
  <c r="AY265" i="10"/>
  <c r="AH265" i="10"/>
  <c r="AP238" i="10"/>
  <c r="AQ238" i="10"/>
  <c r="IJ238" i="10"/>
  <c r="JJ238" i="10"/>
  <c r="AU238" i="10"/>
  <c r="AC238" i="10"/>
  <c r="JJ132" i="10"/>
  <c r="IJ132" i="10"/>
  <c r="AU132" i="10"/>
  <c r="AC132" i="10"/>
  <c r="AP282" i="10"/>
  <c r="JJ282" i="10"/>
  <c r="AU282" i="10"/>
  <c r="AC282" i="10"/>
  <c r="AQ282" i="10"/>
  <c r="IJ282" i="10"/>
  <c r="AX110" i="10"/>
  <c r="AY110" i="10"/>
  <c r="AH110" i="10"/>
  <c r="AQ205" i="10"/>
  <c r="IJ205" i="10"/>
  <c r="AD205" i="10"/>
  <c r="AS205" i="10"/>
  <c r="JT205" i="10"/>
  <c r="Z205" i="10"/>
  <c r="JD205" i="10"/>
  <c r="AI334" i="10"/>
  <c r="JL334" i="10"/>
  <c r="AS353" i="10"/>
  <c r="JT353" i="10"/>
  <c r="AD353" i="10"/>
  <c r="Z353" i="10"/>
  <c r="JD353" i="10"/>
  <c r="AP177" i="10"/>
  <c r="AQ177" i="10"/>
  <c r="IJ177" i="10" s="1"/>
  <c r="JJ177" i="10"/>
  <c r="AU177" i="10"/>
  <c r="AC177" i="10"/>
  <c r="AX324" i="10"/>
  <c r="AH324" i="10"/>
  <c r="AY324" i="10"/>
  <c r="IK324" i="10"/>
  <c r="AP260" i="10"/>
  <c r="JJ260" i="10"/>
  <c r="AQ260" i="10"/>
  <c r="IJ260" i="10" s="1"/>
  <c r="AU260" i="10"/>
  <c r="AC260" i="10"/>
  <c r="AX245" i="10"/>
  <c r="AY245" i="10"/>
  <c r="IK245" i="10"/>
  <c r="AH245" i="10"/>
  <c r="AP212" i="10"/>
  <c r="AU212" i="10"/>
  <c r="AC212" i="10"/>
  <c r="JJ212" i="10"/>
  <c r="AQ212" i="10"/>
  <c r="IJ212" i="10"/>
  <c r="AI152" i="10"/>
  <c r="JL152" i="10"/>
  <c r="EK152" i="10"/>
  <c r="EL152" i="10"/>
  <c r="AP87" i="10"/>
  <c r="AQ87" i="10"/>
  <c r="IJ87" i="10" s="1"/>
  <c r="AU87" i="10"/>
  <c r="AC87" i="10"/>
  <c r="JJ87" i="10"/>
  <c r="AP255" i="10"/>
  <c r="AQ255" i="10"/>
  <c r="IJ255" i="10" s="1"/>
  <c r="AU255" i="10"/>
  <c r="AC255" i="10"/>
  <c r="JJ255" i="10"/>
  <c r="AP197" i="10"/>
  <c r="JJ197" i="10"/>
  <c r="AU197" i="10"/>
  <c r="AC197" i="10"/>
  <c r="AQ197" i="10"/>
  <c r="IJ197" i="10" s="1"/>
  <c r="AP122" i="10"/>
  <c r="AQ122" i="10"/>
  <c r="IJ122" i="10" s="1"/>
  <c r="JJ122" i="10"/>
  <c r="AU122" i="10"/>
  <c r="AC122" i="10"/>
  <c r="AP148" i="10"/>
  <c r="AU148" i="10"/>
  <c r="AC148" i="10"/>
  <c r="AQ148" i="10"/>
  <c r="IJ148" i="10" s="1"/>
  <c r="JJ148" i="10"/>
  <c r="AP218" i="10"/>
  <c r="AU218" i="10"/>
  <c r="AC218" i="10"/>
  <c r="JJ218" i="10"/>
  <c r="AQ218" i="10"/>
  <c r="IJ218" i="10" s="1"/>
  <c r="AP176" i="10"/>
  <c r="JJ176" i="10"/>
  <c r="AQ176" i="10"/>
  <c r="AU176" i="10"/>
  <c r="AC176" i="10"/>
  <c r="AX293" i="10"/>
  <c r="EK293" i="10"/>
  <c r="EL293" i="10"/>
  <c r="AY293" i="10"/>
  <c r="AZ293" i="10"/>
  <c r="GH293" i="10"/>
  <c r="AH293" i="10"/>
  <c r="EK351" i="10"/>
  <c r="EL351" i="10"/>
  <c r="AI351" i="10"/>
  <c r="JL351" i="10"/>
  <c r="AQ377" i="10"/>
  <c r="IJ377" i="10" s="1"/>
  <c r="AS377" i="10"/>
  <c r="JT377" i="10"/>
  <c r="Z377" i="10"/>
  <c r="JD377" i="10"/>
  <c r="AD377" i="10"/>
  <c r="AY243" i="10"/>
  <c r="IK243" i="10"/>
  <c r="AI243" i="10"/>
  <c r="JL243" i="10"/>
  <c r="Z269" i="10"/>
  <c r="JD269" i="10"/>
  <c r="AS269" i="10"/>
  <c r="JT269" i="10"/>
  <c r="AD269" i="10"/>
  <c r="AP119" i="10"/>
  <c r="AQ119" i="10"/>
  <c r="IJ119" i="10" s="1"/>
  <c r="JJ119" i="10"/>
  <c r="AU119" i="10"/>
  <c r="AC119" i="10"/>
  <c r="AP251" i="10"/>
  <c r="JJ251" i="10"/>
  <c r="AU251" i="10"/>
  <c r="AC251" i="10"/>
  <c r="AQ251" i="10"/>
  <c r="IJ251" i="10"/>
  <c r="AP155" i="10"/>
  <c r="AU155" i="10"/>
  <c r="AC155" i="10"/>
  <c r="JJ155" i="10"/>
  <c r="AQ155" i="10"/>
  <c r="IJ155" i="10" s="1"/>
  <c r="AX321" i="10"/>
  <c r="AY321" i="10"/>
  <c r="IK321" i="10"/>
  <c r="AH321" i="10"/>
  <c r="AP162" i="10"/>
  <c r="JJ162" i="10"/>
  <c r="AU162" i="10"/>
  <c r="AC162" i="10"/>
  <c r="AQ162" i="10"/>
  <c r="IJ162" i="10"/>
  <c r="AP103" i="10"/>
  <c r="AU103" i="10"/>
  <c r="AC103" i="10"/>
  <c r="AQ103" i="10"/>
  <c r="IJ103" i="10" s="1"/>
  <c r="JJ103" i="10"/>
  <c r="AX177" i="10"/>
  <c r="AY177" i="10"/>
  <c r="IK177" i="10"/>
  <c r="AH177" i="10"/>
  <c r="AX220" i="10"/>
  <c r="AY220" i="10"/>
  <c r="AH220" i="10"/>
  <c r="AX263" i="10"/>
  <c r="AH263" i="10"/>
  <c r="AY263" i="10"/>
  <c r="AZ263" i="10"/>
  <c r="GH263" i="10"/>
  <c r="AX167" i="10"/>
  <c r="AY167" i="10"/>
  <c r="IK167" i="10"/>
  <c r="AH167" i="10"/>
  <c r="AP233" i="10"/>
  <c r="JJ233" i="10"/>
  <c r="AU233" i="10"/>
  <c r="AC233" i="10"/>
  <c r="AQ233" i="10"/>
  <c r="IJ233" i="10" s="1"/>
  <c r="CQ127" i="10"/>
  <c r="CW127" i="10"/>
  <c r="AX127" i="10"/>
  <c r="AH127" i="10"/>
  <c r="AY127" i="10"/>
  <c r="AP216" i="10"/>
  <c r="JJ216" i="10"/>
  <c r="AU216" i="10"/>
  <c r="AC216" i="10"/>
  <c r="AQ216" i="10"/>
  <c r="IJ216" i="10" s="1"/>
  <c r="AP240" i="10"/>
  <c r="AU240" i="10"/>
  <c r="AC240" i="10"/>
  <c r="AQ240" i="10"/>
  <c r="IJ240" i="10" s="1"/>
  <c r="JJ240" i="10"/>
  <c r="AX231" i="10"/>
  <c r="AH231" i="10"/>
  <c r="AY231" i="10"/>
  <c r="IK231" i="10"/>
  <c r="AX299" i="10"/>
  <c r="AH299" i="10"/>
  <c r="AY299" i="10"/>
  <c r="IK299" i="10"/>
  <c r="AP133" i="10"/>
  <c r="JJ133" i="10"/>
  <c r="AU133" i="10"/>
  <c r="AC133" i="10"/>
  <c r="AQ133" i="10"/>
  <c r="IJ133" i="10" s="1"/>
  <c r="AP268" i="10"/>
  <c r="AU268" i="10"/>
  <c r="AC268" i="10"/>
  <c r="AQ268" i="10"/>
  <c r="IJ268" i="10" s="1"/>
  <c r="JJ268" i="10"/>
  <c r="CQ93" i="10"/>
  <c r="CW93" i="10"/>
  <c r="AX93" i="10"/>
  <c r="AY93" i="10"/>
  <c r="AH93" i="10"/>
  <c r="AP183" i="10"/>
  <c r="AQ183" i="10"/>
  <c r="IJ183" i="10" s="1"/>
  <c r="JJ183" i="10"/>
  <c r="AU183" i="10"/>
  <c r="AC183" i="10"/>
  <c r="AY221" i="10"/>
  <c r="AI221" i="10"/>
  <c r="JL221" i="10"/>
  <c r="AD272" i="10"/>
  <c r="AS272" i="10"/>
  <c r="JT272" i="10"/>
  <c r="Z272" i="10"/>
  <c r="JD272" i="10"/>
  <c r="AP300" i="10"/>
  <c r="AQ300" i="10"/>
  <c r="IJ300" i="10" s="1"/>
  <c r="AU300" i="10"/>
  <c r="AC300" i="10"/>
  <c r="JJ300" i="10"/>
  <c r="AP209" i="10"/>
  <c r="AU209" i="10"/>
  <c r="AC209" i="10"/>
  <c r="JJ209" i="10"/>
  <c r="AQ209" i="10"/>
  <c r="IJ209" i="10" s="1"/>
  <c r="AX329" i="10"/>
  <c r="AY329" i="10"/>
  <c r="AH329" i="10"/>
  <c r="AX202" i="10"/>
  <c r="AH202" i="10"/>
  <c r="AY202" i="10"/>
  <c r="AX225" i="10"/>
  <c r="AY225" i="10"/>
  <c r="AH225" i="10"/>
  <c r="AX183" i="10"/>
  <c r="AH183" i="10"/>
  <c r="AY183" i="10"/>
  <c r="AZ183" i="10"/>
  <c r="GH183" i="10"/>
  <c r="AP247" i="10"/>
  <c r="JJ247" i="10"/>
  <c r="AU247" i="10"/>
  <c r="AC247" i="10"/>
  <c r="AQ247" i="10"/>
  <c r="IJ247" i="10" s="1"/>
  <c r="CF131" i="10"/>
  <c r="CW131" i="10"/>
  <c r="AX131" i="10"/>
  <c r="AY131" i="10"/>
  <c r="EK131" i="10"/>
  <c r="EL131" i="10"/>
  <c r="AZ131" i="10"/>
  <c r="GH131" i="10"/>
  <c r="AH131" i="10"/>
  <c r="AX388" i="10"/>
  <c r="AY388" i="10"/>
  <c r="AZ388" i="10"/>
  <c r="GH388" i="10"/>
  <c r="AH388" i="10"/>
  <c r="EK388" i="10"/>
  <c r="EL388" i="10"/>
  <c r="AX391" i="10"/>
  <c r="AH391" i="10"/>
  <c r="AY391" i="10"/>
  <c r="EK391" i="10"/>
  <c r="EL391" i="10"/>
  <c r="AP373" i="10"/>
  <c r="JJ373" i="10"/>
  <c r="AQ373" i="10"/>
  <c r="IJ373" i="10" s="1"/>
  <c r="AU373" i="10"/>
  <c r="AC373" i="10"/>
  <c r="AP95" i="10"/>
  <c r="JJ95" i="10"/>
  <c r="AU95" i="10"/>
  <c r="AC95" i="10"/>
  <c r="AQ95" i="10"/>
  <c r="IJ95" i="10" s="1"/>
  <c r="JJ100" i="10"/>
  <c r="AU100" i="10"/>
  <c r="AC100" i="10"/>
  <c r="AP213" i="10"/>
  <c r="JJ213" i="10"/>
  <c r="AU213" i="10"/>
  <c r="AC213" i="10"/>
  <c r="AQ213" i="10"/>
  <c r="IJ213" i="10" s="1"/>
  <c r="AX187" i="10"/>
  <c r="AH187" i="10"/>
  <c r="AY187" i="10"/>
  <c r="AP79" i="10"/>
  <c r="AQ79" i="10"/>
  <c r="IJ79" i="10" s="1"/>
  <c r="JJ79" i="10"/>
  <c r="AU79" i="10"/>
  <c r="AC79" i="10"/>
  <c r="CF75" i="10"/>
  <c r="CQ75" i="10"/>
  <c r="CW75" i="10"/>
  <c r="AX75" i="10"/>
  <c r="AY75" i="10"/>
  <c r="EK75" i="10"/>
  <c r="EL75" i="10"/>
  <c r="AZ75" i="10"/>
  <c r="GH75" i="10"/>
  <c r="AH75" i="10"/>
  <c r="AX378" i="10"/>
  <c r="AY378" i="10"/>
  <c r="IK378" i="10"/>
  <c r="AH378" i="10"/>
  <c r="AX146" i="10"/>
  <c r="AY146" i="10"/>
  <c r="IK146" i="10"/>
  <c r="AH146" i="10"/>
  <c r="CQ73" i="10"/>
  <c r="CW73" i="10"/>
  <c r="AX73" i="10"/>
  <c r="AH73" i="10"/>
  <c r="AY73" i="10"/>
  <c r="IK73" i="10"/>
  <c r="AX381" i="10"/>
  <c r="AH381" i="10"/>
  <c r="AY381" i="10"/>
  <c r="IK381" i="10"/>
  <c r="AP327" i="10"/>
  <c r="AU327" i="10"/>
  <c r="AC327" i="10"/>
  <c r="AQ327" i="10"/>
  <c r="IJ327" i="10" s="1"/>
  <c r="JJ327" i="10"/>
  <c r="CW312" i="10"/>
  <c r="AX312" i="10"/>
  <c r="EK312" i="10"/>
  <c r="EL312" i="10"/>
  <c r="AY312" i="10"/>
  <c r="IK312" i="10"/>
  <c r="AH312" i="10"/>
  <c r="AX145" i="10"/>
  <c r="AY145" i="10"/>
  <c r="AZ145" i="10"/>
  <c r="GH145" i="10"/>
  <c r="AH145" i="10"/>
  <c r="AP138" i="10"/>
  <c r="AQ138" i="10"/>
  <c r="IJ138" i="10"/>
  <c r="AU138" i="10"/>
  <c r="AC138" i="10"/>
  <c r="JJ138" i="10"/>
  <c r="AX252" i="10"/>
  <c r="AH252" i="10"/>
  <c r="AY252" i="10"/>
  <c r="AP281" i="10"/>
  <c r="JJ281" i="10"/>
  <c r="AQ281" i="10"/>
  <c r="IJ281" i="10" s="1"/>
  <c r="AU281" i="10"/>
  <c r="AC281" i="10"/>
  <c r="AP350" i="10"/>
  <c r="JJ350" i="10"/>
  <c r="AQ350" i="10"/>
  <c r="IJ350" i="10" s="1"/>
  <c r="AU350" i="10"/>
  <c r="AC350" i="10"/>
  <c r="AP193" i="10"/>
  <c r="JJ193" i="10"/>
  <c r="AQ193" i="10"/>
  <c r="IJ193" i="10" s="1"/>
  <c r="AU193" i="10"/>
  <c r="AC193" i="10"/>
  <c r="AP324" i="10"/>
  <c r="AU324" i="10"/>
  <c r="AC324" i="10"/>
  <c r="JJ324" i="10"/>
  <c r="AQ324" i="10"/>
  <c r="IJ324" i="10" s="1"/>
  <c r="AP165" i="10"/>
  <c r="AU165" i="10"/>
  <c r="AC165" i="10"/>
  <c r="AQ165" i="10"/>
  <c r="IJ165" i="10"/>
  <c r="JJ165" i="10"/>
  <c r="AX156" i="10"/>
  <c r="AH156" i="10"/>
  <c r="AY156" i="10"/>
  <c r="AZ156" i="10"/>
  <c r="GH156" i="10"/>
  <c r="AP265" i="10"/>
  <c r="AQ265" i="10"/>
  <c r="IJ265" i="10" s="1"/>
  <c r="AU265" i="10"/>
  <c r="AC265" i="10"/>
  <c r="JJ265" i="10"/>
  <c r="AP319" i="10"/>
  <c r="JJ319" i="10"/>
  <c r="AQ319" i="10"/>
  <c r="IJ319" i="10" s="1"/>
  <c r="AU319" i="10"/>
  <c r="AC319" i="10"/>
  <c r="AP365" i="10"/>
  <c r="JJ365" i="10"/>
  <c r="AU365" i="10"/>
  <c r="AC365" i="10"/>
  <c r="AQ365" i="10"/>
  <c r="IJ365" i="10"/>
  <c r="AP382" i="10"/>
  <c r="AQ382" i="10"/>
  <c r="IJ382" i="10" s="1"/>
  <c r="JJ382" i="10"/>
  <c r="AU382" i="10"/>
  <c r="AC382" i="10"/>
  <c r="AP226" i="10"/>
  <c r="JJ226" i="10"/>
  <c r="AQ226" i="10"/>
  <c r="IJ226" i="10" s="1"/>
  <c r="AU226" i="10"/>
  <c r="AC226" i="10"/>
  <c r="AP270" i="10"/>
  <c r="AQ270" i="10"/>
  <c r="IJ270" i="10" s="1"/>
  <c r="JJ270" i="10"/>
  <c r="AU270" i="10"/>
  <c r="AC270" i="10"/>
  <c r="AX300" i="10"/>
  <c r="AH300" i="10"/>
  <c r="AY300" i="10"/>
  <c r="IK300" i="10"/>
  <c r="AX248" i="10"/>
  <c r="AH248" i="10"/>
  <c r="AY248" i="10"/>
  <c r="IK248" i="10"/>
  <c r="AU134" i="10"/>
  <c r="AC134" i="10"/>
  <c r="JJ134" i="10"/>
  <c r="AP110" i="10"/>
  <c r="AQ110" i="10"/>
  <c r="IJ110" i="10"/>
  <c r="AU110" i="10"/>
  <c r="AC110" i="10"/>
  <c r="JJ110" i="10"/>
  <c r="AX149" i="10"/>
  <c r="AH149" i="10"/>
  <c r="AY149" i="10"/>
  <c r="AI246" i="10"/>
  <c r="JL246" i="10"/>
  <c r="CF100" i="10"/>
  <c r="CW100" i="10"/>
  <c r="AX100" i="10"/>
  <c r="AY100" i="10"/>
  <c r="AH100" i="10"/>
  <c r="AS323" i="10"/>
  <c r="JT323" i="10"/>
  <c r="Z323" i="10"/>
  <c r="JD323" i="10"/>
  <c r="AD323" i="10"/>
  <c r="AQ80" i="10"/>
  <c r="IJ80" i="10" s="1"/>
  <c r="DP80" i="10"/>
  <c r="DN80" i="10" s="1"/>
  <c r="DO80" i="10" s="1"/>
  <c r="DM80" i="10"/>
  <c r="Z80" i="10"/>
  <c r="JD80" i="10"/>
  <c r="AD80" i="10"/>
  <c r="AS80" i="10"/>
  <c r="JT80" i="10"/>
  <c r="AY102" i="10"/>
  <c r="AI102" i="10"/>
  <c r="JL102" i="10"/>
  <c r="AP322" i="10"/>
  <c r="JJ322" i="10"/>
  <c r="AU322" i="10"/>
  <c r="AC322" i="10"/>
  <c r="AQ322" i="10"/>
  <c r="IJ322" i="10"/>
  <c r="AP189" i="10"/>
  <c r="AU189" i="10"/>
  <c r="AC189" i="10"/>
  <c r="JJ189" i="10"/>
  <c r="AQ189" i="10"/>
  <c r="IJ189" i="10"/>
  <c r="AX166" i="10"/>
  <c r="AY166" i="10"/>
  <c r="AH166" i="10"/>
  <c r="AX196" i="10"/>
  <c r="AH196" i="10"/>
  <c r="AY196" i="10"/>
  <c r="AZ196" i="10"/>
  <c r="GH196" i="10"/>
  <c r="AP359" i="10"/>
  <c r="AU359" i="10"/>
  <c r="AC359" i="10"/>
  <c r="AQ359" i="10"/>
  <c r="IJ359" i="10"/>
  <c r="JJ359" i="10"/>
  <c r="AP73" i="10"/>
  <c r="AU73" i="10"/>
  <c r="AC73" i="10"/>
  <c r="JJ73" i="10"/>
  <c r="AQ73" i="10"/>
  <c r="IJ73" i="10"/>
  <c r="AU81" i="10"/>
  <c r="AC81" i="10"/>
  <c r="JJ81" i="10"/>
  <c r="IJ81" i="10"/>
  <c r="AX227" i="10"/>
  <c r="AH227" i="10"/>
  <c r="AY227" i="10"/>
  <c r="AZ227" i="10"/>
  <c r="GH227" i="10"/>
  <c r="AP321" i="10"/>
  <c r="JJ321" i="10"/>
  <c r="AQ321" i="10"/>
  <c r="IJ321" i="10"/>
  <c r="AU321" i="10"/>
  <c r="AC321" i="10"/>
  <c r="AP337" i="10"/>
  <c r="AQ337" i="10"/>
  <c r="IJ337" i="10"/>
  <c r="JJ337" i="10"/>
  <c r="AU337" i="10"/>
  <c r="AC337" i="10"/>
  <c r="AX141" i="10"/>
  <c r="AH141" i="10"/>
  <c r="AY141" i="10"/>
  <c r="AP231" i="10"/>
  <c r="JJ231" i="10"/>
  <c r="AQ231" i="10"/>
  <c r="IJ231" i="10"/>
  <c r="AU231" i="10"/>
  <c r="AC231" i="10"/>
  <c r="AX203" i="10"/>
  <c r="AY203" i="10"/>
  <c r="AH203" i="10"/>
  <c r="AX254" i="10"/>
  <c r="AH254" i="10"/>
  <c r="AY254" i="10"/>
  <c r="AP289" i="10"/>
  <c r="JJ289" i="10"/>
  <c r="AQ289" i="10"/>
  <c r="IJ289" i="10"/>
  <c r="AU289" i="10"/>
  <c r="AC289" i="10"/>
  <c r="AP364" i="10"/>
  <c r="JJ364" i="10"/>
  <c r="AQ364" i="10"/>
  <c r="IJ364" i="10"/>
  <c r="AU364" i="10"/>
  <c r="AC364" i="10"/>
  <c r="AP313" i="10"/>
  <c r="AQ313" i="10"/>
  <c r="IJ313" i="10" s="1"/>
  <c r="AU313" i="10"/>
  <c r="AC313" i="10"/>
  <c r="JJ313" i="10"/>
  <c r="AX256" i="10"/>
  <c r="AY256" i="10"/>
  <c r="AZ256" i="10"/>
  <c r="GH256" i="10"/>
  <c r="AH256" i="10"/>
  <c r="AP175" i="10"/>
  <c r="AU175" i="10"/>
  <c r="AC175" i="10"/>
  <c r="JJ175" i="10"/>
  <c r="AQ175" i="10"/>
  <c r="IJ175" i="10"/>
  <c r="AP121" i="10"/>
  <c r="AQ121" i="10"/>
  <c r="IJ121" i="10" s="1"/>
  <c r="JJ121" i="10"/>
  <c r="AU121" i="10"/>
  <c r="AC121" i="10"/>
  <c r="AP249" i="10"/>
  <c r="JJ249" i="10"/>
  <c r="AU249" i="10"/>
  <c r="AC249" i="10"/>
  <c r="AQ249" i="10"/>
  <c r="IJ249" i="10" s="1"/>
  <c r="CQ87" i="10"/>
  <c r="CW87" i="10"/>
  <c r="AX87" i="10"/>
  <c r="AH87" i="10"/>
  <c r="AY87" i="10"/>
  <c r="EK87" i="10"/>
  <c r="EL87" i="10"/>
  <c r="AZ87" i="10"/>
  <c r="GH87" i="10"/>
  <c r="CW259" i="10"/>
  <c r="AX259" i="10"/>
  <c r="AY259" i="10"/>
  <c r="AH259" i="10"/>
  <c r="AX364" i="10"/>
  <c r="AH364" i="10"/>
  <c r="AY364" i="10"/>
  <c r="AZ364" i="10"/>
  <c r="GH364" i="10"/>
  <c r="CQ89" i="10"/>
  <c r="CW89" i="10"/>
  <c r="AX89" i="10"/>
  <c r="AY89" i="10"/>
  <c r="EK89" i="10"/>
  <c r="EL89" i="10"/>
  <c r="AZ89" i="10"/>
  <c r="GH89" i="10"/>
  <c r="AH89" i="10"/>
  <c r="AP276" i="10"/>
  <c r="JJ276" i="10"/>
  <c r="AU276" i="10"/>
  <c r="AC276" i="10"/>
  <c r="AQ276" i="10"/>
  <c r="IJ276" i="10" s="1"/>
  <c r="AP237" i="10"/>
  <c r="JJ237" i="10"/>
  <c r="AU237" i="10"/>
  <c r="AC237" i="10"/>
  <c r="AQ237" i="10"/>
  <c r="IJ237" i="10" s="1"/>
  <c r="AP274" i="10"/>
  <c r="AQ274" i="10"/>
  <c r="IJ274" i="10" s="1"/>
  <c r="AU274" i="10"/>
  <c r="AC274" i="10"/>
  <c r="JJ274" i="10"/>
  <c r="AX379" i="10"/>
  <c r="AH379" i="10"/>
  <c r="AY379" i="10"/>
  <c r="IK379" i="10"/>
  <c r="AP329" i="10"/>
  <c r="AU329" i="10"/>
  <c r="AC329" i="10"/>
  <c r="AQ329" i="10"/>
  <c r="IJ329" i="10" s="1"/>
  <c r="JJ329" i="10"/>
  <c r="AP325" i="10"/>
  <c r="AQ325" i="10"/>
  <c r="IJ325" i="10" s="1"/>
  <c r="JJ325" i="10"/>
  <c r="AU325" i="10"/>
  <c r="AC325" i="10"/>
  <c r="AX340" i="10"/>
  <c r="AY340" i="10"/>
  <c r="AH340" i="10"/>
  <c r="AP390" i="10"/>
  <c r="JJ390" i="10"/>
  <c r="AQ390" i="10"/>
  <c r="IJ390" i="10" s="1"/>
  <c r="AU390" i="10"/>
  <c r="AC390" i="10"/>
  <c r="AX305" i="10"/>
  <c r="AY305" i="10"/>
  <c r="AZ305" i="10"/>
  <c r="GH305" i="10"/>
  <c r="AH305" i="10"/>
  <c r="AP273" i="10"/>
  <c r="JJ273" i="10"/>
  <c r="AU273" i="10"/>
  <c r="AC273" i="10"/>
  <c r="AQ273" i="10"/>
  <c r="IJ273" i="10" s="1"/>
  <c r="AD307" i="10"/>
  <c r="AS307" i="10"/>
  <c r="JT307" i="10"/>
  <c r="Z307" i="10"/>
  <c r="JD307" i="10"/>
  <c r="AD334" i="10"/>
  <c r="AS334" i="10"/>
  <c r="JT334" i="10"/>
  <c r="Z334" i="10"/>
  <c r="JD334" i="10"/>
  <c r="AY262" i="10"/>
  <c r="AI262" i="10"/>
  <c r="JL262" i="10"/>
  <c r="AP146" i="10"/>
  <c r="AU146" i="10"/>
  <c r="AC146" i="10"/>
  <c r="JJ146" i="10"/>
  <c r="AQ146" i="10"/>
  <c r="IJ146" i="10" s="1"/>
  <c r="AP158" i="10"/>
  <c r="AU158" i="10"/>
  <c r="AC158" i="10"/>
  <c r="JJ158" i="10"/>
  <c r="AQ158" i="10"/>
  <c r="IJ158" i="10" s="1"/>
  <c r="CF119" i="10"/>
  <c r="CQ119" i="10"/>
  <c r="CW119" i="10"/>
  <c r="AX119" i="10"/>
  <c r="AH119" i="10"/>
  <c r="AY119" i="10"/>
  <c r="AU105" i="10"/>
  <c r="AC105" i="10"/>
  <c r="JJ105" i="10"/>
  <c r="CF133" i="10"/>
  <c r="CQ133" i="10"/>
  <c r="CW133" i="10"/>
  <c r="AX133" i="10"/>
  <c r="AY133" i="10"/>
  <c r="IK133" i="10"/>
  <c r="AH133" i="10"/>
  <c r="AP253" i="10"/>
  <c r="AQ253" i="10"/>
  <c r="IJ253" i="10" s="1"/>
  <c r="JJ253" i="10"/>
  <c r="AU253" i="10"/>
  <c r="AC253" i="10"/>
  <c r="AP159" i="10"/>
  <c r="AU159" i="10"/>
  <c r="AC159" i="10"/>
  <c r="AQ159" i="10"/>
  <c r="IJ159" i="10"/>
  <c r="JJ159" i="10"/>
  <c r="AP363" i="10"/>
  <c r="AU363" i="10"/>
  <c r="AC363" i="10"/>
  <c r="AQ363" i="10"/>
  <c r="IJ363" i="10" s="1"/>
  <c r="JJ363" i="10"/>
  <c r="AX322" i="10"/>
  <c r="AH322" i="10"/>
  <c r="AY322" i="10"/>
  <c r="IK322" i="10"/>
  <c r="AP196" i="10"/>
  <c r="JJ196" i="10"/>
  <c r="AU196" i="10"/>
  <c r="AC196" i="10"/>
  <c r="AQ196" i="10"/>
  <c r="IJ196" i="10" s="1"/>
  <c r="AX389" i="10"/>
  <c r="AY389" i="10"/>
  <c r="AH389" i="10"/>
  <c r="EK389" i="10"/>
  <c r="EL389" i="10"/>
  <c r="AX279" i="10"/>
  <c r="AH279" i="10"/>
  <c r="AY279" i="10"/>
  <c r="AZ279" i="10"/>
  <c r="GH279" i="10"/>
  <c r="AX198" i="10"/>
  <c r="AY198" i="10"/>
  <c r="AH198" i="10"/>
  <c r="AX286" i="10"/>
  <c r="AH286" i="10"/>
  <c r="AY286" i="10"/>
  <c r="AX309" i="10"/>
  <c r="AY309" i="10"/>
  <c r="AH309" i="10"/>
  <c r="AP170" i="10"/>
  <c r="AU170" i="10"/>
  <c r="AC170" i="10"/>
  <c r="AQ170" i="10"/>
  <c r="IJ170" i="10" s="1"/>
  <c r="JJ170" i="10"/>
  <c r="AX374" i="10"/>
  <c r="AH374" i="10"/>
  <c r="AY374" i="10"/>
  <c r="AZ374" i="10"/>
  <c r="GH374" i="10"/>
  <c r="AP279" i="10"/>
  <c r="JJ279" i="10"/>
  <c r="AU279" i="10"/>
  <c r="AC279" i="10"/>
  <c r="AQ279" i="10"/>
  <c r="IJ279" i="10" s="1"/>
  <c r="AX311" i="10"/>
  <c r="AH311" i="10"/>
  <c r="AY311" i="10"/>
  <c r="IK311" i="10"/>
  <c r="AP145" i="10"/>
  <c r="JJ145" i="10"/>
  <c r="AU145" i="10"/>
  <c r="AC145" i="10"/>
  <c r="AQ145" i="10"/>
  <c r="IJ145" i="10"/>
  <c r="AP287" i="10"/>
  <c r="AU287" i="10"/>
  <c r="AC287" i="10"/>
  <c r="AQ287" i="10"/>
  <c r="IJ287" i="10" s="1"/>
  <c r="JJ287" i="10"/>
  <c r="AP88" i="10"/>
  <c r="AU88" i="10"/>
  <c r="AC88" i="10"/>
  <c r="JJ88" i="10"/>
  <c r="AQ88" i="10"/>
  <c r="IJ88" i="10"/>
  <c r="AX346" i="10"/>
  <c r="AH346" i="10"/>
  <c r="AY346" i="10"/>
  <c r="IK346" i="10"/>
  <c r="AX359" i="10"/>
  <c r="AH359" i="10"/>
  <c r="AY359" i="10"/>
  <c r="IK359" i="10"/>
  <c r="AX327" i="10"/>
  <c r="AH327" i="10"/>
  <c r="AY327" i="10"/>
  <c r="AZ327" i="10"/>
  <c r="GH327" i="10"/>
  <c r="AP235" i="10"/>
  <c r="AU235" i="10"/>
  <c r="AC235" i="10"/>
  <c r="JJ235" i="10"/>
  <c r="AQ235" i="10"/>
  <c r="IJ235" i="10" s="1"/>
  <c r="AP328" i="10"/>
  <c r="AQ328" i="10"/>
  <c r="IJ328" i="10" s="1"/>
  <c r="AU328" i="10"/>
  <c r="AC328" i="10"/>
  <c r="JJ328" i="10"/>
  <c r="AP96" i="10"/>
  <c r="JJ96" i="10"/>
  <c r="AQ96" i="10"/>
  <c r="IJ96" i="10"/>
  <c r="AU96" i="10"/>
  <c r="AC96" i="10"/>
  <c r="AP379" i="10"/>
  <c r="AU379" i="10"/>
  <c r="AC379" i="10"/>
  <c r="AQ379" i="10"/>
  <c r="IJ379" i="10" s="1"/>
  <c r="JJ379" i="10"/>
  <c r="AX325" i="10"/>
  <c r="AY325" i="10"/>
  <c r="AH325" i="10"/>
  <c r="AX206" i="10"/>
  <c r="AY206" i="10"/>
  <c r="AZ206" i="10"/>
  <c r="GH206" i="10"/>
  <c r="AH206" i="10"/>
  <c r="CF129" i="10"/>
  <c r="CQ129" i="10"/>
  <c r="CW129" i="10"/>
  <c r="AX129" i="10"/>
  <c r="AY129" i="10"/>
  <c r="AH129" i="10"/>
  <c r="AX347" i="10"/>
  <c r="AH347" i="10"/>
  <c r="AY347" i="10"/>
  <c r="IK347" i="10"/>
  <c r="AX302" i="10"/>
  <c r="AY302" i="10"/>
  <c r="AZ302" i="10"/>
  <c r="GH302" i="10"/>
  <c r="AH302" i="10"/>
  <c r="AP292" i="10"/>
  <c r="JJ292" i="10"/>
  <c r="AU292" i="10"/>
  <c r="AC292" i="10"/>
  <c r="AQ292" i="10"/>
  <c r="IJ292" i="10"/>
  <c r="JJ111" i="10"/>
  <c r="IJ111" i="10"/>
  <c r="AU111" i="10"/>
  <c r="AC111" i="10"/>
  <c r="Z242" i="10"/>
  <c r="JD242" i="10"/>
  <c r="AY136" i="10"/>
  <c r="AI136" i="10"/>
  <c r="JL136" i="10"/>
  <c r="AI343" i="10"/>
  <c r="JL343" i="10"/>
  <c r="EK343" i="10"/>
  <c r="EL343" i="10"/>
  <c r="AP163" i="10"/>
  <c r="AQ163" i="10"/>
  <c r="IJ163" i="10" s="1"/>
  <c r="AU163" i="10"/>
  <c r="AC163" i="10"/>
  <c r="JJ163" i="10"/>
  <c r="AX297" i="10"/>
  <c r="AY297" i="10"/>
  <c r="IK297" i="10"/>
  <c r="AH297" i="10"/>
  <c r="AX197" i="10"/>
  <c r="AH197" i="10"/>
  <c r="AY197" i="10"/>
  <c r="CW128" i="10"/>
  <c r="AX128" i="10"/>
  <c r="AH128" i="10"/>
  <c r="AY128" i="10"/>
  <c r="AX366" i="10"/>
  <c r="AH366" i="10"/>
  <c r="AY366" i="10"/>
  <c r="IK366" i="10"/>
  <c r="AX164" i="10"/>
  <c r="AY164" i="10"/>
  <c r="AZ164" i="10"/>
  <c r="GH164" i="10"/>
  <c r="AH164" i="10"/>
  <c r="AX386" i="10"/>
  <c r="AY386" i="10"/>
  <c r="IK386" i="10"/>
  <c r="AH386" i="10"/>
  <c r="AP194" i="10"/>
  <c r="AU194" i="10"/>
  <c r="AC194" i="10"/>
  <c r="AQ194" i="10"/>
  <c r="IJ194" i="10" s="1"/>
  <c r="JJ194" i="10"/>
  <c r="AP210" i="10"/>
  <c r="AU210" i="10"/>
  <c r="AC210" i="10"/>
  <c r="JJ210" i="10"/>
  <c r="AQ210" i="10"/>
  <c r="IJ210" i="10" s="1"/>
  <c r="CF84" i="10"/>
  <c r="CQ84" i="10"/>
  <c r="CW84" i="10"/>
  <c r="AX84" i="10"/>
  <c r="AY84" i="10"/>
  <c r="AH84" i="10"/>
  <c r="AX267" i="10"/>
  <c r="AY267" i="10"/>
  <c r="IK267" i="10"/>
  <c r="AH267" i="10"/>
  <c r="AX310" i="10"/>
  <c r="AY310" i="10"/>
  <c r="IK310" i="10"/>
  <c r="AH310" i="10"/>
  <c r="AX260" i="10"/>
  <c r="AY260" i="10"/>
  <c r="AZ260" i="10"/>
  <c r="GH260" i="10"/>
  <c r="AH260" i="10"/>
  <c r="AP374" i="10"/>
  <c r="AQ374" i="10"/>
  <c r="IJ374" i="10"/>
  <c r="AU374" i="10"/>
  <c r="AC374" i="10"/>
  <c r="JJ374" i="10"/>
  <c r="AP227" i="10"/>
  <c r="AQ227" i="10"/>
  <c r="IJ227" i="10"/>
  <c r="AU227" i="10"/>
  <c r="AC227" i="10"/>
  <c r="JJ227" i="10"/>
  <c r="CQ71" i="10"/>
  <c r="CW71" i="10"/>
  <c r="AX71" i="10"/>
  <c r="AH71" i="10"/>
  <c r="AY71" i="10"/>
  <c r="EK71" i="10"/>
  <c r="EL71" i="10"/>
  <c r="AZ71" i="10"/>
  <c r="GH71" i="10"/>
  <c r="AP141" i="10"/>
  <c r="AU141" i="10"/>
  <c r="AC141" i="10"/>
  <c r="JJ141" i="10"/>
  <c r="AQ141" i="10"/>
  <c r="IJ141" i="10"/>
  <c r="AP168" i="10"/>
  <c r="AU168" i="10"/>
  <c r="AC168" i="10"/>
  <c r="JJ168" i="10"/>
  <c r="AQ168" i="10"/>
  <c r="IJ168" i="10" s="1"/>
  <c r="CF132" i="10"/>
  <c r="CW132" i="10"/>
  <c r="AX132" i="10"/>
  <c r="AY132" i="10"/>
  <c r="EK132" i="10"/>
  <c r="EL132" i="10"/>
  <c r="AZ132" i="10"/>
  <c r="GH132" i="10"/>
  <c r="AH132" i="10"/>
  <c r="AP232" i="10"/>
  <c r="JJ232" i="10"/>
  <c r="AU232" i="10"/>
  <c r="AC232" i="10"/>
  <c r="AQ232" i="10"/>
  <c r="IJ232" i="10" s="1"/>
  <c r="AX193" i="10"/>
  <c r="AY193" i="10"/>
  <c r="AZ193" i="10"/>
  <c r="GH193" i="10"/>
  <c r="AH193" i="10"/>
  <c r="AP311" i="10"/>
  <c r="AQ311" i="10"/>
  <c r="IJ311" i="10" s="1"/>
  <c r="JJ311" i="10"/>
  <c r="AU311" i="10"/>
  <c r="AC311" i="10"/>
  <c r="AX234" i="10"/>
  <c r="AY234" i="10"/>
  <c r="IK234" i="10"/>
  <c r="AH234" i="10"/>
  <c r="AP340" i="10"/>
  <c r="JJ340" i="10"/>
  <c r="AU340" i="10"/>
  <c r="AC340" i="10"/>
  <c r="AQ340" i="10"/>
  <c r="IJ340" i="10" s="1"/>
  <c r="AP283" i="10"/>
  <c r="AU283" i="10"/>
  <c r="AC283" i="10"/>
  <c r="AQ283" i="10"/>
  <c r="IJ283" i="10"/>
  <c r="JJ283" i="10"/>
  <c r="AX240" i="10"/>
  <c r="AH240" i="10"/>
  <c r="AY240" i="10"/>
  <c r="IK240" i="10"/>
  <c r="AP190" i="10"/>
  <c r="AU190" i="10"/>
  <c r="AC190" i="10"/>
  <c r="JJ190" i="10"/>
  <c r="AQ190" i="10"/>
  <c r="IJ190" i="10" s="1"/>
  <c r="AP77" i="10"/>
  <c r="AQ77" i="10"/>
  <c r="IJ77" i="10" s="1"/>
  <c r="AU77" i="10"/>
  <c r="AC77" i="10"/>
  <c r="JJ77" i="10"/>
  <c r="AX314" i="10"/>
  <c r="EK314" i="10"/>
  <c r="EL314" i="10"/>
  <c r="AY314" i="10"/>
  <c r="AZ314" i="10"/>
  <c r="GH314" i="10"/>
  <c r="AH314" i="10"/>
  <c r="AI352" i="10"/>
  <c r="JL352" i="10"/>
  <c r="AI341" i="10"/>
  <c r="JL341" i="10"/>
  <c r="AX357" i="10"/>
  <c r="AH357" i="10"/>
  <c r="AY357" i="10"/>
  <c r="AZ357" i="10"/>
  <c r="GH357" i="10"/>
  <c r="AX176" i="10"/>
  <c r="AY176" i="10"/>
  <c r="AH176" i="10"/>
  <c r="AQ352" i="10"/>
  <c r="IJ352" i="10" s="1"/>
  <c r="AD352" i="10"/>
  <c r="AS352" i="10"/>
  <c r="JT352" i="10"/>
  <c r="Z352" i="10"/>
  <c r="JD352" i="10"/>
  <c r="AQ224" i="10"/>
  <c r="IJ224" i="10"/>
  <c r="AS224" i="10"/>
  <c r="JT224" i="10"/>
  <c r="Z224" i="10"/>
  <c r="JD224" i="10"/>
  <c r="AD224" i="10"/>
  <c r="AP180" i="10"/>
  <c r="AQ180" i="10"/>
  <c r="IJ180" i="10" s="1"/>
  <c r="AU180" i="10"/>
  <c r="AC180" i="10"/>
  <c r="JJ180" i="10"/>
  <c r="AX120" i="10"/>
  <c r="AY120" i="10"/>
  <c r="AH120" i="10"/>
  <c r="AX308" i="10"/>
  <c r="AY308" i="10"/>
  <c r="IK308" i="10"/>
  <c r="AH308" i="10"/>
  <c r="AY301" i="10"/>
  <c r="AZ301" i="10"/>
  <c r="GH301" i="10"/>
  <c r="AI301" i="10"/>
  <c r="JL301" i="10"/>
  <c r="AI271" i="10"/>
  <c r="JL271" i="10"/>
  <c r="AY338" i="10"/>
  <c r="AZ338" i="10"/>
  <c r="GH338" i="10"/>
  <c r="AI338" i="10"/>
  <c r="JL338" i="10"/>
  <c r="AX285" i="10"/>
  <c r="AY285" i="10"/>
  <c r="IK285" i="10"/>
  <c r="AH285" i="10"/>
  <c r="AP297" i="10"/>
  <c r="AQ297" i="10"/>
  <c r="IJ297" i="10"/>
  <c r="AU297" i="10"/>
  <c r="AC297" i="10"/>
  <c r="JJ297" i="10"/>
  <c r="AP164" i="10"/>
  <c r="AQ164" i="10"/>
  <c r="IJ164" i="10" s="1"/>
  <c r="JJ164" i="10"/>
  <c r="AU164" i="10"/>
  <c r="AC164" i="10"/>
  <c r="AX153" i="10"/>
  <c r="AY153" i="10"/>
  <c r="AH153" i="10"/>
  <c r="AP89" i="10"/>
  <c r="JJ89" i="10"/>
  <c r="AQ89" i="10"/>
  <c r="IJ89" i="10" s="1"/>
  <c r="AU89" i="10"/>
  <c r="AC89" i="10"/>
  <c r="AP389" i="10"/>
  <c r="AU389" i="10"/>
  <c r="AC389" i="10"/>
  <c r="JJ389" i="10"/>
  <c r="AQ389" i="10"/>
  <c r="IJ389" i="10" s="1"/>
  <c r="AP201" i="10"/>
  <c r="AQ201" i="10"/>
  <c r="IJ201" i="10"/>
  <c r="AU201" i="10"/>
  <c r="AC201" i="10"/>
  <c r="JJ201" i="10"/>
  <c r="AX274" i="10"/>
  <c r="AH274" i="10"/>
  <c r="AY274" i="10"/>
  <c r="AZ274" i="10"/>
  <c r="GH274" i="10"/>
  <c r="AP369" i="10"/>
  <c r="AU369" i="10"/>
  <c r="AC369" i="10"/>
  <c r="AQ369" i="10"/>
  <c r="IJ369" i="10"/>
  <c r="JJ369" i="10"/>
  <c r="AX281" i="10"/>
  <c r="AY281" i="10"/>
  <c r="AH281" i="10"/>
  <c r="AX159" i="10"/>
  <c r="AH159" i="10"/>
  <c r="AY159" i="10"/>
  <c r="AZ159" i="10"/>
  <c r="GH159" i="10"/>
  <c r="AX342" i="10"/>
  <c r="AY342" i="10"/>
  <c r="AH342" i="10"/>
  <c r="AP314" i="10"/>
  <c r="AQ314" i="10"/>
  <c r="IJ314" i="10" s="1"/>
  <c r="AU314" i="10"/>
  <c r="AC314" i="10"/>
  <c r="JJ314" i="10"/>
  <c r="CQ70" i="10"/>
  <c r="CW70" i="10"/>
  <c r="AX70" i="10"/>
  <c r="AY70" i="10"/>
  <c r="AH70" i="10"/>
  <c r="CF113" i="10"/>
  <c r="CW113" i="10"/>
  <c r="AX113" i="10"/>
  <c r="AY113" i="10"/>
  <c r="AH113" i="10"/>
  <c r="AS332" i="10"/>
  <c r="JT332" i="10"/>
  <c r="AD332" i="10"/>
  <c r="Z332" i="10"/>
  <c r="JD332" i="10"/>
  <c r="Z195" i="10"/>
  <c r="JD195" i="10"/>
  <c r="AD195" i="10"/>
  <c r="AS195" i="10"/>
  <c r="JT195" i="10"/>
  <c r="AI368" i="10"/>
  <c r="JL368" i="10"/>
  <c r="AZ272" i="10"/>
  <c r="GH272" i="10"/>
  <c r="AI272" i="10"/>
  <c r="JL272" i="10"/>
  <c r="AD174" i="10"/>
  <c r="Z174" i="10"/>
  <c r="JD174" i="10"/>
  <c r="AS174" i="10"/>
  <c r="JT174" i="10"/>
  <c r="AI195" i="10"/>
  <c r="JL195" i="10"/>
  <c r="AP388" i="10"/>
  <c r="JJ388" i="10"/>
  <c r="AU388" i="10"/>
  <c r="AC388" i="10"/>
  <c r="AQ388" i="10"/>
  <c r="IJ388" i="10" s="1"/>
  <c r="AI205" i="10"/>
  <c r="JL205" i="10"/>
  <c r="AD330" i="10"/>
  <c r="Z330" i="10"/>
  <c r="JD330" i="10"/>
  <c r="AS330" i="10"/>
  <c r="JT330" i="10"/>
  <c r="AI230" i="10"/>
  <c r="JL230" i="10"/>
  <c r="AS385" i="10"/>
  <c r="JT385" i="10"/>
  <c r="AP378" i="10"/>
  <c r="AQ378" i="10"/>
  <c r="IJ378" i="10" s="1"/>
  <c r="JJ378" i="10"/>
  <c r="AU378" i="10"/>
  <c r="AC378" i="10"/>
  <c r="AP277" i="10"/>
  <c r="AQ277" i="10"/>
  <c r="IJ277" i="10" s="1"/>
  <c r="AU277" i="10"/>
  <c r="AC277" i="10"/>
  <c r="JJ277" i="10"/>
  <c r="CF109" i="10"/>
  <c r="CQ109" i="10"/>
  <c r="CW109" i="10"/>
  <c r="AX109" i="10"/>
  <c r="AY109" i="10"/>
  <c r="EK109" i="10"/>
  <c r="EL109" i="10"/>
  <c r="AZ109" i="10"/>
  <c r="GH109" i="10"/>
  <c r="AH109" i="10"/>
  <c r="AI316" i="10"/>
  <c r="JL316" i="10"/>
  <c r="Z151" i="10"/>
  <c r="JD151" i="10"/>
  <c r="AD151" i="10"/>
  <c r="AI323" i="10"/>
  <c r="JL323" i="10"/>
  <c r="AI332" i="10"/>
  <c r="JL332" i="10"/>
  <c r="AP167" i="10"/>
  <c r="AQ167" i="10"/>
  <c r="IJ167" i="10" s="1"/>
  <c r="JJ167" i="10"/>
  <c r="AU167" i="10"/>
  <c r="AC167" i="10"/>
  <c r="AX238" i="10"/>
  <c r="AH238" i="10"/>
  <c r="AY238" i="10"/>
  <c r="AZ238" i="10"/>
  <c r="GH238" i="10"/>
  <c r="AX287" i="10"/>
  <c r="AH287" i="10"/>
  <c r="AY287" i="10"/>
  <c r="AX365" i="10"/>
  <c r="AY365" i="10"/>
  <c r="AZ365" i="10"/>
  <c r="GH365" i="10"/>
  <c r="AH365" i="10"/>
  <c r="AP98" i="10"/>
  <c r="AU98" i="10"/>
  <c r="AC98" i="10"/>
  <c r="AQ98" i="10"/>
  <c r="IJ98" i="10" s="1"/>
  <c r="JJ98" i="10"/>
  <c r="AP371" i="10"/>
  <c r="JJ371" i="10"/>
  <c r="AU371" i="10"/>
  <c r="AC371" i="10"/>
  <c r="AQ371" i="10"/>
  <c r="IJ371" i="10" s="1"/>
  <c r="AX216" i="10"/>
  <c r="AY216" i="10"/>
  <c r="AH216" i="10"/>
  <c r="CF138" i="10"/>
  <c r="CQ138" i="10"/>
  <c r="CW138" i="10"/>
  <c r="AX138" i="10"/>
  <c r="AY138" i="10"/>
  <c r="IK138" i="10"/>
  <c r="AH138" i="10"/>
  <c r="AP305" i="10"/>
  <c r="AU305" i="10"/>
  <c r="AC305" i="10"/>
  <c r="JJ305" i="10"/>
  <c r="AQ305" i="10"/>
  <c r="IJ305" i="10"/>
  <c r="AX266" i="10"/>
  <c r="AY266" i="10"/>
  <c r="IK266" i="10"/>
  <c r="AH266" i="10"/>
  <c r="AP220" i="10"/>
  <c r="JJ220" i="10"/>
  <c r="AU220" i="10"/>
  <c r="AC220" i="10"/>
  <c r="AQ220" i="10"/>
  <c r="IJ220" i="10"/>
  <c r="AX336" i="10"/>
  <c r="AY336" i="10"/>
  <c r="AZ336" i="10"/>
  <c r="GH336" i="10"/>
  <c r="AH336" i="10"/>
  <c r="AX249" i="10"/>
  <c r="AY249" i="10"/>
  <c r="IK249" i="10"/>
  <c r="AH249" i="10"/>
  <c r="AX328" i="10"/>
  <c r="AH328" i="10"/>
  <c r="AY328" i="10"/>
  <c r="IK328" i="10"/>
  <c r="AP254" i="10"/>
  <c r="AQ254" i="10"/>
  <c r="IJ254" i="10" s="1"/>
  <c r="AU254" i="10"/>
  <c r="AC254" i="10"/>
  <c r="JJ254" i="10"/>
  <c r="AX275" i="10"/>
  <c r="AH275" i="10"/>
  <c r="AY275" i="10"/>
  <c r="IK275" i="10"/>
  <c r="AX317" i="10"/>
  <c r="AH317" i="10"/>
  <c r="AY317" i="10"/>
  <c r="AX268" i="10"/>
  <c r="AY268" i="10"/>
  <c r="AZ268" i="10"/>
  <c r="GH268" i="10"/>
  <c r="AH268" i="10"/>
  <c r="CF83" i="10"/>
  <c r="CW83" i="10"/>
  <c r="AX83" i="10"/>
  <c r="AH83" i="10"/>
  <c r="AY83" i="10"/>
  <c r="AX292" i="10"/>
  <c r="AY292" i="10"/>
  <c r="AZ292" i="10"/>
  <c r="GH292" i="10"/>
  <c r="AH292" i="10"/>
  <c r="AX189" i="10"/>
  <c r="AY189" i="10"/>
  <c r="IK189" i="10"/>
  <c r="AH189" i="10"/>
  <c r="AP135" i="10"/>
  <c r="AQ135" i="10"/>
  <c r="IJ135" i="10" s="1"/>
  <c r="AU135" i="10"/>
  <c r="AC135" i="10"/>
  <c r="JJ135" i="10"/>
  <c r="AP161" i="10"/>
  <c r="JJ161" i="10"/>
  <c r="AU161" i="10"/>
  <c r="AC161" i="10"/>
  <c r="AQ161" i="10"/>
  <c r="IJ161" i="10" s="1"/>
  <c r="CQ111" i="10"/>
  <c r="CW111" i="10"/>
  <c r="AX111" i="10"/>
  <c r="AH111" i="10"/>
  <c r="AY111" i="10"/>
  <c r="EK111" i="10"/>
  <c r="EL111" i="10"/>
  <c r="AZ111" i="10"/>
  <c r="GH111" i="10"/>
  <c r="AX180" i="10"/>
  <c r="AY180" i="10"/>
  <c r="AZ180" i="10"/>
  <c r="GH180" i="10"/>
  <c r="AH180" i="10"/>
  <c r="Z208" i="10"/>
  <c r="JD208" i="10"/>
  <c r="AS208" i="10"/>
  <c r="JT208" i="10"/>
  <c r="AQ230" i="10"/>
  <c r="IJ230" i="10" s="1"/>
  <c r="AD230" i="10"/>
  <c r="Z230" i="10"/>
  <c r="JD230" i="10"/>
  <c r="AS230" i="10"/>
  <c r="JT230" i="10"/>
  <c r="AS376" i="10"/>
  <c r="JT376" i="10"/>
  <c r="Z376" i="10"/>
  <c r="JD376" i="10"/>
  <c r="AD376" i="10"/>
  <c r="AQ370" i="10"/>
  <c r="IJ370" i="10" s="1"/>
  <c r="AS370" i="10"/>
  <c r="JT370" i="10"/>
  <c r="Z370" i="10"/>
  <c r="JD370" i="10"/>
  <c r="AD370" i="10"/>
  <c r="AY228" i="10"/>
  <c r="AZ228" i="10"/>
  <c r="GH228" i="10"/>
  <c r="AI228" i="10"/>
  <c r="JL228" i="10"/>
  <c r="AI330" i="10"/>
  <c r="JL330" i="10"/>
  <c r="EK330" i="10"/>
  <c r="EL330" i="10"/>
  <c r="AP166" i="10"/>
  <c r="JJ166" i="10"/>
  <c r="AU166" i="10"/>
  <c r="AC166" i="10"/>
  <c r="AQ166" i="10"/>
  <c r="IJ166" i="10"/>
  <c r="AI307" i="10"/>
  <c r="JL307" i="10"/>
  <c r="AP299" i="10"/>
  <c r="AU299" i="10"/>
  <c r="AC299" i="10"/>
  <c r="AQ299" i="10"/>
  <c r="IJ299" i="10"/>
  <c r="JJ299" i="10"/>
  <c r="AX199" i="10"/>
  <c r="AY199" i="10"/>
  <c r="AH199" i="10"/>
  <c r="AX147" i="10"/>
  <c r="AY147" i="10"/>
  <c r="AZ147" i="10"/>
  <c r="GH147" i="10"/>
  <c r="AF141" i="15"/>
  <c r="AH147" i="10"/>
  <c r="AX150" i="10"/>
  <c r="AY150" i="10"/>
  <c r="AH150" i="10"/>
  <c r="AP179" i="10"/>
  <c r="AU179" i="10"/>
  <c r="AC179" i="10"/>
  <c r="JJ179" i="10"/>
  <c r="AQ179" i="10"/>
  <c r="IJ179" i="10" s="1"/>
  <c r="AP347" i="10"/>
  <c r="AQ347" i="10"/>
  <c r="IJ347" i="10" s="1"/>
  <c r="JJ347" i="10"/>
  <c r="AU347" i="10"/>
  <c r="AC347" i="10"/>
  <c r="AX212" i="10"/>
  <c r="AY212" i="10"/>
  <c r="IK212" i="10"/>
  <c r="AH212" i="10"/>
  <c r="AP150" i="10"/>
  <c r="JJ150" i="10"/>
  <c r="AU150" i="10"/>
  <c r="AC150" i="10"/>
  <c r="AQ150" i="10"/>
  <c r="IJ150" i="10" s="1"/>
  <c r="AP125" i="10"/>
  <c r="AU125" i="10"/>
  <c r="AC125" i="10"/>
  <c r="JJ125" i="10"/>
  <c r="AQ125" i="10"/>
  <c r="IJ125" i="10" s="1"/>
  <c r="AY377" i="10"/>
  <c r="AZ377" i="10"/>
  <c r="GH377" i="10"/>
  <c r="AI377" i="10"/>
  <c r="JL377" i="10"/>
  <c r="AS341" i="10"/>
  <c r="JT341" i="10"/>
  <c r="AD341" i="10"/>
  <c r="Z341" i="10"/>
  <c r="JD341" i="10"/>
  <c r="AX121" i="10"/>
  <c r="AH121" i="10"/>
  <c r="AY121" i="10"/>
  <c r="IK121" i="10"/>
  <c r="AX349" i="10"/>
  <c r="AH349" i="10"/>
  <c r="AY349" i="10"/>
  <c r="AZ349" i="10"/>
  <c r="GH349" i="10"/>
  <c r="AP187" i="10"/>
  <c r="AU187" i="10"/>
  <c r="AC187" i="10"/>
  <c r="JJ187" i="10"/>
  <c r="AQ187" i="10"/>
  <c r="IJ187" i="10" s="1"/>
  <c r="AP156" i="10"/>
  <c r="AQ156" i="10"/>
  <c r="IJ156" i="10" s="1"/>
  <c r="AU156" i="10"/>
  <c r="AC156" i="10"/>
  <c r="JJ156" i="10"/>
  <c r="AX173" i="10"/>
  <c r="AY173" i="10"/>
  <c r="AH173" i="10"/>
  <c r="AP74" i="10"/>
  <c r="AU74" i="10"/>
  <c r="AC74" i="10"/>
  <c r="JJ74" i="10"/>
  <c r="AQ74" i="10"/>
  <c r="IJ74" i="10" s="1"/>
  <c r="AP302" i="10"/>
  <c r="JJ302" i="10"/>
  <c r="AU302" i="10"/>
  <c r="AC302" i="10"/>
  <c r="AQ302" i="10"/>
  <c r="IJ302" i="10" s="1"/>
  <c r="AX355" i="10"/>
  <c r="AY355" i="10"/>
  <c r="IK355" i="10"/>
  <c r="AH355" i="10"/>
  <c r="CF105" i="10"/>
  <c r="CW105" i="10"/>
  <c r="AX105" i="10"/>
  <c r="AH105" i="10"/>
  <c r="AY105" i="10"/>
  <c r="AP308" i="10"/>
  <c r="AU308" i="10"/>
  <c r="AC308" i="10"/>
  <c r="JJ308" i="10"/>
  <c r="AQ308" i="10"/>
  <c r="IJ308" i="10" s="1"/>
  <c r="AX306" i="10"/>
  <c r="EK306" i="10"/>
  <c r="EL306" i="10"/>
  <c r="AY306" i="10"/>
  <c r="AH306" i="10"/>
  <c r="AI250" i="10"/>
  <c r="JL250" i="10"/>
  <c r="AI344" i="10"/>
  <c r="JL344" i="10"/>
  <c r="AQ186" i="10"/>
  <c r="IJ186" i="10" s="1"/>
  <c r="AS186" i="10"/>
  <c r="JT186" i="10"/>
  <c r="AD186" i="10"/>
  <c r="Z186" i="10"/>
  <c r="JD186" i="10"/>
  <c r="CF137" i="10"/>
  <c r="CW137" i="10"/>
  <c r="AX137" i="10"/>
  <c r="AH137" i="10"/>
  <c r="AY137" i="10"/>
  <c r="AX232" i="10"/>
  <c r="AH232" i="10"/>
  <c r="AY232" i="10"/>
  <c r="AZ232" i="10"/>
  <c r="GH232" i="10"/>
  <c r="AX276" i="10"/>
  <c r="AH276" i="10"/>
  <c r="AY276" i="10"/>
  <c r="CQ103" i="10"/>
  <c r="CW103" i="10"/>
  <c r="AX103" i="10"/>
  <c r="AH103" i="10"/>
  <c r="AY103" i="10"/>
  <c r="AP106" i="10"/>
  <c r="AU106" i="10"/>
  <c r="AC106" i="10"/>
  <c r="AQ106" i="10"/>
  <c r="IJ106" i="10" s="1"/>
  <c r="JJ106" i="10"/>
  <c r="CW318" i="10"/>
  <c r="AX318" i="10"/>
  <c r="AH318" i="10"/>
  <c r="AY318" i="10"/>
  <c r="EK318" i="10"/>
  <c r="EL318" i="10"/>
  <c r="AP367" i="10"/>
  <c r="AQ367" i="10"/>
  <c r="IJ367" i="10"/>
  <c r="AU367" i="10"/>
  <c r="AC367" i="10"/>
  <c r="JJ367" i="10"/>
  <c r="AU128" i="10"/>
  <c r="AC128" i="10"/>
  <c r="JJ128" i="10"/>
  <c r="IJ128" i="10"/>
  <c r="AP259" i="10"/>
  <c r="AU259" i="10"/>
  <c r="AC259" i="10"/>
  <c r="JJ259" i="10"/>
  <c r="AQ259" i="10"/>
  <c r="IJ259" i="10" s="1"/>
  <c r="AX168" i="10"/>
  <c r="AH168" i="10"/>
  <c r="AY168" i="10"/>
  <c r="AX190" i="10"/>
  <c r="AY190" i="10"/>
  <c r="AH190" i="10"/>
  <c r="AI261" i="10"/>
  <c r="JL261" i="10"/>
  <c r="AY135" i="10"/>
  <c r="AI135" i="10"/>
  <c r="JL135" i="10"/>
  <c r="AS368" i="10"/>
  <c r="JT368" i="10"/>
  <c r="AD368" i="10"/>
  <c r="Z368" i="10"/>
  <c r="JD368" i="10"/>
  <c r="AI348" i="10"/>
  <c r="JL348" i="10"/>
  <c r="IJ86" i="10"/>
  <c r="AD86" i="10"/>
  <c r="AS86" i="10"/>
  <c r="JT86" i="10"/>
  <c r="Z86" i="10"/>
  <c r="JD86" i="10"/>
  <c r="AY291" i="10"/>
  <c r="AZ291" i="10"/>
  <c r="GH291" i="10"/>
  <c r="AI291" i="10"/>
  <c r="JL291" i="10"/>
  <c r="AP318" i="10"/>
  <c r="AU318" i="10"/>
  <c r="AC318" i="10"/>
  <c r="JJ318" i="10"/>
  <c r="AQ318" i="10"/>
  <c r="IJ318" i="10" s="1"/>
  <c r="AX289" i="10"/>
  <c r="AY289" i="10"/>
  <c r="AZ289" i="10"/>
  <c r="GH289" i="10"/>
  <c r="AH289" i="10"/>
  <c r="AP182" i="10"/>
  <c r="JJ182" i="10"/>
  <c r="AQ182" i="10"/>
  <c r="IJ182" i="10" s="1"/>
  <c r="AU182" i="10"/>
  <c r="AC182" i="10"/>
  <c r="AX158" i="10"/>
  <c r="AH158" i="10"/>
  <c r="AY158" i="10"/>
  <c r="IK158" i="10"/>
  <c r="AX382" i="10"/>
  <c r="AH382" i="10"/>
  <c r="AY382" i="10"/>
  <c r="IK382" i="10"/>
  <c r="CF106" i="10"/>
  <c r="CQ106" i="10"/>
  <c r="CW106" i="10"/>
  <c r="AX106" i="10"/>
  <c r="AH106" i="10"/>
  <c r="AY106" i="10"/>
  <c r="AX209" i="10"/>
  <c r="AY209" i="10"/>
  <c r="IK209" i="10"/>
  <c r="AH209" i="10"/>
  <c r="AP139" i="10"/>
  <c r="AQ139" i="10"/>
  <c r="IJ139" i="10" s="1"/>
  <c r="AU139" i="10"/>
  <c r="AC139" i="10"/>
  <c r="JJ139" i="10"/>
  <c r="AX154" i="10"/>
  <c r="AH154" i="10"/>
  <c r="AY154" i="10"/>
  <c r="IK154" i="10"/>
  <c r="AP366" i="10"/>
  <c r="AU366" i="10"/>
  <c r="AC366" i="10"/>
  <c r="JJ366" i="10"/>
  <c r="AQ366" i="10"/>
  <c r="IJ366" i="10"/>
  <c r="AP381" i="10"/>
  <c r="AU381" i="10"/>
  <c r="AC381" i="10"/>
  <c r="JJ381" i="10"/>
  <c r="AQ381" i="10"/>
  <c r="IJ381" i="10" s="1"/>
  <c r="AP357" i="10"/>
  <c r="AU357" i="10"/>
  <c r="AC357" i="10"/>
  <c r="JJ357" i="10"/>
  <c r="AQ357" i="10"/>
  <c r="AP286" i="10"/>
  <c r="AQ286" i="10"/>
  <c r="IJ286" i="10" s="1"/>
  <c r="AU286" i="10"/>
  <c r="AC286" i="10"/>
  <c r="JJ286" i="10"/>
  <c r="AP99" i="10"/>
  <c r="AU99" i="10"/>
  <c r="AC99" i="10"/>
  <c r="JJ99" i="10"/>
  <c r="AQ99" i="10"/>
  <c r="IJ99" i="10" s="1"/>
  <c r="AX345" i="10"/>
  <c r="AY345" i="10"/>
  <c r="AZ345" i="10"/>
  <c r="GH345" i="10"/>
  <c r="AH345" i="10"/>
  <c r="AX200" i="10"/>
  <c r="AH200" i="10"/>
  <c r="AY200" i="10"/>
  <c r="AX155" i="10"/>
  <c r="AY155" i="10"/>
  <c r="AH155" i="10"/>
  <c r="CQ88" i="10"/>
  <c r="CW88" i="10"/>
  <c r="AX88" i="10"/>
  <c r="AH88" i="10"/>
  <c r="AY88" i="10"/>
  <c r="AP275" i="10"/>
  <c r="AQ275" i="10"/>
  <c r="IJ275" i="10"/>
  <c r="AU275" i="10"/>
  <c r="AC275" i="10"/>
  <c r="JJ275" i="10"/>
  <c r="CW313" i="10"/>
  <c r="AX313" i="10"/>
  <c r="AY313" i="10"/>
  <c r="IK313" i="10"/>
  <c r="AH313" i="10"/>
  <c r="IJ83" i="10"/>
  <c r="AU83" i="10"/>
  <c r="AC83" i="10"/>
  <c r="JJ83" i="10"/>
  <c r="AX277" i="10"/>
  <c r="AY277" i="10"/>
  <c r="IK277" i="10"/>
  <c r="AH277" i="10"/>
  <c r="AX278" i="10"/>
  <c r="AY278" i="10"/>
  <c r="AH278" i="10"/>
  <c r="AP284" i="10"/>
  <c r="JJ284" i="10"/>
  <c r="AU284" i="10"/>
  <c r="AC284" i="10"/>
  <c r="AQ284" i="10"/>
  <c r="IJ284" i="10" s="1"/>
  <c r="AP113" i="10"/>
  <c r="JJ113" i="10"/>
  <c r="AQ113" i="10"/>
  <c r="IJ113" i="10" s="1"/>
  <c r="AU113" i="10"/>
  <c r="AC113" i="10"/>
  <c r="CF77" i="10"/>
  <c r="CW77" i="10"/>
  <c r="AX77" i="10"/>
  <c r="AH77" i="10"/>
  <c r="AY77" i="10"/>
  <c r="AQ229" i="10"/>
  <c r="IJ229" i="10"/>
  <c r="AS229" i="10"/>
  <c r="JT229" i="10"/>
  <c r="AD229" i="10"/>
  <c r="Z229" i="10"/>
  <c r="JD229" i="10"/>
  <c r="AI339" i="10"/>
  <c r="JL339" i="10"/>
  <c r="AY184" i="10"/>
  <c r="AI184" i="10"/>
  <c r="JL184" i="10"/>
  <c r="AD152" i="10"/>
  <c r="Z152" i="10"/>
  <c r="JD152" i="10"/>
  <c r="AS152" i="10"/>
  <c r="JT152" i="10"/>
  <c r="AD271" i="10"/>
  <c r="Z271" i="10"/>
  <c r="JD271" i="10"/>
  <c r="AS271" i="10"/>
  <c r="JT271" i="10"/>
  <c r="AP204" i="10"/>
  <c r="AQ204" i="10"/>
  <c r="IJ204" i="10"/>
  <c r="JJ204" i="10"/>
  <c r="AU204" i="10"/>
  <c r="AC204" i="10"/>
  <c r="AP278" i="10"/>
  <c r="JJ278" i="10"/>
  <c r="AU278" i="10"/>
  <c r="AC278" i="10"/>
  <c r="AQ278" i="10"/>
  <c r="IJ278" i="10" s="1"/>
  <c r="AP154" i="10"/>
  <c r="JJ154" i="10"/>
  <c r="AU154" i="10"/>
  <c r="AC154" i="10"/>
  <c r="AQ154" i="10"/>
  <c r="IJ154" i="10" s="1"/>
  <c r="AX369" i="10"/>
  <c r="AH369" i="10"/>
  <c r="AY369" i="10"/>
  <c r="IK369" i="10"/>
  <c r="AX142" i="10"/>
  <c r="AH142" i="10"/>
  <c r="AY142" i="10"/>
  <c r="IK142" i="10"/>
  <c r="AX253" i="10"/>
  <c r="AY253" i="10"/>
  <c r="IK253" i="10"/>
  <c r="AH253" i="10"/>
  <c r="AP149" i="10"/>
  <c r="AU149" i="10"/>
  <c r="AC149" i="10"/>
  <c r="AQ149" i="10"/>
  <c r="IJ149" i="10"/>
  <c r="JJ149" i="10"/>
  <c r="AQ239" i="10"/>
  <c r="IJ239" i="10" s="1"/>
  <c r="AD239" i="10"/>
  <c r="AS239" i="10"/>
  <c r="JT239" i="10"/>
  <c r="Z239" i="10"/>
  <c r="JD239" i="10"/>
  <c r="AP349" i="10"/>
  <c r="JJ349" i="10"/>
  <c r="AU349" i="10"/>
  <c r="AC349" i="10"/>
  <c r="AQ349" i="10"/>
  <c r="IJ349" i="10"/>
  <c r="CW282" i="10"/>
  <c r="AX282" i="10"/>
  <c r="AY282" i="10"/>
  <c r="AH282" i="10"/>
  <c r="CF134" i="10"/>
  <c r="CW134" i="10"/>
  <c r="AX134" i="10"/>
  <c r="AY134" i="10"/>
  <c r="EK134" i="10"/>
  <c r="EL134" i="10"/>
  <c r="AZ134" i="10"/>
  <c r="GH134" i="10"/>
  <c r="AH134" i="10"/>
  <c r="AP153" i="10"/>
  <c r="AQ153" i="10"/>
  <c r="IJ153" i="10" s="1"/>
  <c r="JJ153" i="10"/>
  <c r="AU153" i="10"/>
  <c r="AC153" i="10"/>
  <c r="AP336" i="10"/>
  <c r="AQ336" i="10"/>
  <c r="IJ336" i="10" s="1"/>
  <c r="AU336" i="10"/>
  <c r="AC336" i="10"/>
  <c r="JJ336" i="10"/>
  <c r="AP203" i="10"/>
  <c r="AQ203" i="10"/>
  <c r="IJ203" i="10"/>
  <c r="JJ203" i="10"/>
  <c r="AU203" i="10"/>
  <c r="AC203" i="10"/>
  <c r="CF76" i="10"/>
  <c r="CQ76" i="10"/>
  <c r="CW76" i="10"/>
  <c r="AX76" i="10"/>
  <c r="AH76" i="10"/>
  <c r="AY76" i="10"/>
  <c r="IK76" i="10"/>
  <c r="AY95" i="10"/>
  <c r="AH95" i="10"/>
  <c r="AP199" i="10"/>
  <c r="JJ199" i="10"/>
  <c r="AU199" i="10"/>
  <c r="AC199" i="10"/>
  <c r="AQ199" i="10"/>
  <c r="IJ199" i="10"/>
  <c r="AX363" i="10"/>
  <c r="AY363" i="10"/>
  <c r="AH363" i="10"/>
  <c r="AP172" i="10"/>
  <c r="JJ172" i="10"/>
  <c r="AU172" i="10"/>
  <c r="AC172" i="10"/>
  <c r="AQ172" i="10"/>
  <c r="IJ172" i="10"/>
  <c r="AP356" i="10"/>
  <c r="AU356" i="10"/>
  <c r="AC356" i="10"/>
  <c r="AQ356" i="10"/>
  <c r="IJ356" i="10" s="1"/>
  <c r="JJ356" i="10"/>
  <c r="AX139" i="10"/>
  <c r="AY139" i="10"/>
  <c r="AZ139" i="10"/>
  <c r="GH139" i="10"/>
  <c r="AH139" i="10"/>
  <c r="AX162" i="10"/>
  <c r="AY162" i="10"/>
  <c r="AZ162" i="10"/>
  <c r="GH162" i="10"/>
  <c r="AH162" i="10"/>
  <c r="AP142" i="10"/>
  <c r="JJ142" i="10"/>
  <c r="AQ142" i="10"/>
  <c r="IJ142" i="10"/>
  <c r="AU142" i="10"/>
  <c r="AC142" i="10"/>
  <c r="AX213" i="10"/>
  <c r="AH213" i="10"/>
  <c r="AY213" i="10"/>
  <c r="IK213" i="10"/>
  <c r="AX170" i="10"/>
  <c r="AH170" i="10"/>
  <c r="AY170" i="10"/>
  <c r="AZ170" i="10"/>
  <c r="GH170" i="10"/>
  <c r="AP245" i="10"/>
  <c r="AQ245" i="10"/>
  <c r="IJ245" i="10" s="1"/>
  <c r="JJ245" i="10"/>
  <c r="AU245" i="10"/>
  <c r="AC245" i="10"/>
  <c r="JJ94" i="10"/>
  <c r="AU94" i="10"/>
  <c r="AC94" i="10"/>
  <c r="AX367" i="10"/>
  <c r="AY367" i="10"/>
  <c r="AZ367" i="10"/>
  <c r="GH367" i="10"/>
  <c r="AH367" i="10"/>
  <c r="AP206" i="10"/>
  <c r="AU206" i="10"/>
  <c r="AC206" i="10"/>
  <c r="JJ206" i="10"/>
  <c r="AQ206" i="10"/>
  <c r="IJ206" i="10" s="1"/>
  <c r="AP129" i="10"/>
  <c r="JJ129" i="10"/>
  <c r="AQ129" i="10"/>
  <c r="IJ129" i="10"/>
  <c r="AU129" i="10"/>
  <c r="AC129" i="10"/>
  <c r="AP93" i="10"/>
  <c r="AU93" i="10"/>
  <c r="AC93" i="10"/>
  <c r="JJ93" i="10"/>
  <c r="AQ93" i="10"/>
  <c r="IJ93" i="10" s="1"/>
  <c r="AP266" i="10"/>
  <c r="AU266" i="10"/>
  <c r="AC266" i="10"/>
  <c r="JJ266" i="10"/>
  <c r="AQ266" i="10"/>
  <c r="IJ266" i="10" s="1"/>
  <c r="JJ120" i="10"/>
  <c r="AU120" i="10"/>
  <c r="AC120" i="10"/>
  <c r="AP312" i="10"/>
  <c r="AQ312" i="10"/>
  <c r="IJ312" i="10" s="1"/>
  <c r="JJ312" i="10"/>
  <c r="AU312" i="10"/>
  <c r="AC312" i="10"/>
  <c r="AX218" i="10"/>
  <c r="AH218" i="10"/>
  <c r="AY218" i="10"/>
  <c r="IK218" i="10"/>
  <c r="AQ301" i="10"/>
  <c r="IJ301" i="10" s="1"/>
  <c r="Z301" i="10"/>
  <c r="JD301" i="10"/>
  <c r="AS301" i="10"/>
  <c r="JT301" i="10"/>
  <c r="AD301" i="10"/>
  <c r="AX161" i="10"/>
  <c r="AH161" i="10"/>
  <c r="AY161" i="10"/>
  <c r="IK161" i="10"/>
  <c r="AI380" i="10"/>
  <c r="JL380" i="10"/>
  <c r="AS304" i="10"/>
  <c r="JT304" i="10"/>
  <c r="AD304" i="10"/>
  <c r="Z304" i="10"/>
  <c r="JD304" i="10"/>
  <c r="AI353" i="10"/>
  <c r="JL353" i="10"/>
  <c r="AX204" i="10"/>
  <c r="EK204" i="10"/>
  <c r="EL204" i="10"/>
  <c r="AH204" i="10"/>
  <c r="AY204" i="10"/>
  <c r="IK204" i="10"/>
  <c r="EK212" i="10"/>
  <c r="EL212" i="10"/>
  <c r="EK176" i="10"/>
  <c r="EL176" i="10"/>
  <c r="EK70" i="10"/>
  <c r="EL70" i="10"/>
  <c r="EK273" i="10"/>
  <c r="EL273" i="10"/>
  <c r="EK183" i="10"/>
  <c r="EL183" i="10"/>
  <c r="EK169" i="10"/>
  <c r="EL169" i="10"/>
  <c r="EK172" i="10"/>
  <c r="EL172" i="10"/>
  <c r="EK202" i="10"/>
  <c r="EL202" i="10"/>
  <c r="EK170" i="10"/>
  <c r="EL170" i="10"/>
  <c r="EK373" i="10"/>
  <c r="EL373" i="10"/>
  <c r="EK173" i="10"/>
  <c r="EL173" i="10"/>
  <c r="EK282" i="10"/>
  <c r="EL282" i="10"/>
  <c r="EK139" i="10"/>
  <c r="EL139" i="10"/>
  <c r="EK194" i="10"/>
  <c r="EL194" i="10"/>
  <c r="EK235" i="10"/>
  <c r="EL235" i="10"/>
  <c r="EK337" i="10"/>
  <c r="EL337" i="10"/>
  <c r="EK167" i="10"/>
  <c r="EL167" i="10"/>
  <c r="EK260" i="10"/>
  <c r="EL260" i="10"/>
  <c r="EK203" i="10"/>
  <c r="EL203" i="10"/>
  <c r="EK254" i="10"/>
  <c r="EL254" i="10"/>
  <c r="EK367" i="10"/>
  <c r="EL367" i="10"/>
  <c r="EK120" i="10"/>
  <c r="EL120" i="10"/>
  <c r="EK350" i="10"/>
  <c r="EL350" i="10"/>
  <c r="EK179" i="10"/>
  <c r="EL179" i="10"/>
  <c r="EK233" i="10"/>
  <c r="EL233" i="10"/>
  <c r="EK360" i="10"/>
  <c r="EL360" i="10"/>
  <c r="EK180" i="10"/>
  <c r="EL180" i="10"/>
  <c r="EK286" i="10"/>
  <c r="EL286" i="10"/>
  <c r="EK187" i="10"/>
  <c r="EL187" i="10"/>
  <c r="EK374" i="10"/>
  <c r="EL374" i="10"/>
  <c r="EK311" i="10"/>
  <c r="EL311" i="10"/>
  <c r="EK381" i="10"/>
  <c r="EL381" i="10"/>
  <c r="EK310" i="10"/>
  <c r="EL310" i="10"/>
  <c r="EK357" i="10"/>
  <c r="EL357" i="10"/>
  <c r="EK378" i="10"/>
  <c r="EL378" i="10"/>
  <c r="EK300" i="10"/>
  <c r="EL300" i="10"/>
  <c r="EK248" i="10"/>
  <c r="EL248" i="10"/>
  <c r="EK209" i="10"/>
  <c r="EL209" i="10"/>
  <c r="EK259" i="10"/>
  <c r="EL259" i="10"/>
  <c r="EK364" i="10"/>
  <c r="EL364" i="10"/>
  <c r="EK379" i="10"/>
  <c r="EL379" i="10"/>
  <c r="EK190" i="10"/>
  <c r="EL190" i="10"/>
  <c r="EK177" i="10"/>
  <c r="EL177" i="10"/>
  <c r="EK168" i="10"/>
  <c r="EL168" i="10"/>
  <c r="EK277" i="10"/>
  <c r="EL277" i="10"/>
  <c r="EK270" i="10"/>
  <c r="EL270" i="10"/>
  <c r="EK363" i="10"/>
  <c r="EL363" i="10"/>
  <c r="EK325" i="10"/>
  <c r="EL325" i="10"/>
  <c r="EK359" i="10"/>
  <c r="EL359" i="10"/>
  <c r="EK193" i="10"/>
  <c r="EL193" i="10"/>
  <c r="EK121" i="10"/>
  <c r="EL121" i="10"/>
  <c r="EK119" i="10"/>
  <c r="EL119" i="10"/>
  <c r="EK238" i="10"/>
  <c r="EL238" i="10"/>
  <c r="EK199" i="10"/>
  <c r="EL199" i="10"/>
  <c r="EK308" i="10"/>
  <c r="EL308" i="10"/>
  <c r="EK200" i="10"/>
  <c r="EL200" i="10"/>
  <c r="EK302" i="10"/>
  <c r="EL302" i="10"/>
  <c r="EK234" i="10"/>
  <c r="EL234" i="10"/>
  <c r="EK319" i="10"/>
  <c r="EL319" i="10"/>
  <c r="EK285" i="10"/>
  <c r="EL285" i="10"/>
  <c r="EK153" i="10"/>
  <c r="EL153" i="10"/>
  <c r="EK281" i="10"/>
  <c r="EL281" i="10"/>
  <c r="EK342" i="10"/>
  <c r="EL342" i="10"/>
  <c r="EK218" i="10"/>
  <c r="EL218" i="10"/>
  <c r="EK324" i="10"/>
  <c r="EL324" i="10"/>
  <c r="EK366" i="10"/>
  <c r="EL366" i="10"/>
  <c r="EK249" i="10"/>
  <c r="EL249" i="10"/>
  <c r="EK275" i="10"/>
  <c r="EL275" i="10"/>
  <c r="EK189" i="10"/>
  <c r="EL189" i="10"/>
  <c r="EK225" i="10"/>
  <c r="EL225" i="10"/>
  <c r="EK251" i="10"/>
  <c r="EL251" i="10"/>
  <c r="EK355" i="10"/>
  <c r="EL355" i="10"/>
  <c r="EK96" i="10"/>
  <c r="EL96" i="10"/>
  <c r="EK182" i="10"/>
  <c r="EL182" i="10"/>
  <c r="EK265" i="10"/>
  <c r="EL265" i="10"/>
  <c r="EK237" i="10"/>
  <c r="EL237" i="10"/>
  <c r="EK210" i="10"/>
  <c r="EL210" i="10"/>
  <c r="EK247" i="10"/>
  <c r="EL247" i="10"/>
  <c r="EK255" i="10"/>
  <c r="EL255" i="10"/>
  <c r="EK356" i="10"/>
  <c r="EL356" i="10"/>
  <c r="EK340" i="10"/>
  <c r="EL340" i="10"/>
  <c r="EK305" i="10"/>
  <c r="EL305" i="10"/>
  <c r="EK346" i="10"/>
  <c r="EL346" i="10"/>
  <c r="EK327" i="10"/>
  <c r="EL327" i="10"/>
  <c r="EK206" i="10"/>
  <c r="EL206" i="10"/>
  <c r="EK347" i="10"/>
  <c r="EL347" i="10"/>
  <c r="EK240" i="10"/>
  <c r="EL240" i="10"/>
  <c r="EK309" i="10"/>
  <c r="EL309" i="10"/>
  <c r="EK232" i="10"/>
  <c r="EL232" i="10"/>
  <c r="EK361" i="10"/>
  <c r="EL361" i="10"/>
  <c r="EK226" i="10"/>
  <c r="EL226" i="10"/>
  <c r="EK289" i="10"/>
  <c r="EL289" i="10"/>
  <c r="EK297" i="10"/>
  <c r="EL297" i="10"/>
  <c r="EK349" i="10"/>
  <c r="EL349" i="10"/>
  <c r="EK276" i="10"/>
  <c r="EL276" i="10"/>
  <c r="EK274" i="10"/>
  <c r="EL274" i="10"/>
  <c r="EK118" i="10"/>
  <c r="EL118" i="10"/>
  <c r="EK365" i="10"/>
  <c r="EL365" i="10"/>
  <c r="EK197" i="10"/>
  <c r="EL197" i="10"/>
  <c r="EK133" i="10"/>
  <c r="EL133" i="10"/>
  <c r="EK382" i="10"/>
  <c r="EL382" i="10"/>
  <c r="EK329" i="10"/>
  <c r="EL329" i="10"/>
  <c r="EK321" i="10"/>
  <c r="EL321" i="10"/>
  <c r="EK354" i="10"/>
  <c r="EL354" i="10"/>
  <c r="EK198" i="10"/>
  <c r="EL198" i="10"/>
  <c r="EK299" i="10"/>
  <c r="EL299" i="10"/>
  <c r="EK287" i="10"/>
  <c r="EL287" i="10"/>
  <c r="EK216" i="10"/>
  <c r="EL216" i="10"/>
  <c r="EK138" i="10"/>
  <c r="EL138" i="10"/>
  <c r="EK266" i="10"/>
  <c r="EL266" i="10"/>
  <c r="EK336" i="10"/>
  <c r="EL336" i="10"/>
  <c r="EK328" i="10"/>
  <c r="EL328" i="10"/>
  <c r="EK317" i="10"/>
  <c r="EL317" i="10"/>
  <c r="EK268" i="10"/>
  <c r="EL268" i="10"/>
  <c r="EK292" i="10"/>
  <c r="EL292" i="10"/>
  <c r="EK201" i="10"/>
  <c r="EL201" i="10"/>
  <c r="EK245" i="10"/>
  <c r="EL245" i="10"/>
  <c r="EK386" i="10"/>
  <c r="EL386" i="10"/>
  <c r="EK369" i="10"/>
  <c r="EL369" i="10"/>
  <c r="EK231" i="10"/>
  <c r="EL231" i="10"/>
  <c r="EK256" i="10"/>
  <c r="EL256" i="10"/>
  <c r="EK371" i="10"/>
  <c r="EL371" i="10"/>
  <c r="EK322" i="10"/>
  <c r="EL322" i="10"/>
  <c r="EK142" i="10"/>
  <c r="EL142" i="10"/>
  <c r="EK105" i="10"/>
  <c r="EL105" i="10"/>
  <c r="EK196" i="10"/>
  <c r="EL196" i="10"/>
  <c r="EK227" i="10"/>
  <c r="EL227" i="10"/>
  <c r="EK220" i="10"/>
  <c r="EL220" i="10"/>
  <c r="EK267" i="10"/>
  <c r="EL267" i="10"/>
  <c r="EK263" i="10"/>
  <c r="EL263" i="10"/>
  <c r="EK253" i="10"/>
  <c r="EL253" i="10"/>
  <c r="EK345" i="10"/>
  <c r="EL345" i="10"/>
  <c r="EK155" i="10"/>
  <c r="EL155" i="10"/>
  <c r="EK313" i="10"/>
  <c r="EL313" i="10"/>
  <c r="EK278" i="10"/>
  <c r="EL278" i="10"/>
  <c r="EK213" i="10"/>
  <c r="EL213" i="10"/>
  <c r="EK175" i="10"/>
  <c r="EL175" i="10"/>
  <c r="EK384" i="10"/>
  <c r="EL384" i="10"/>
  <c r="EK283" i="10"/>
  <c r="EL283" i="10"/>
  <c r="EK279" i="10"/>
  <c r="EL279" i="10"/>
  <c r="EK252" i="10"/>
  <c r="EL252" i="10"/>
  <c r="EF24" i="10"/>
  <c r="EG24" i="10"/>
  <c r="KI23" i="10"/>
  <c r="FY23" i="10"/>
  <c r="JZ22" i="10"/>
  <c r="AH207" i="10"/>
  <c r="BB317" i="10"/>
  <c r="BA210" i="10"/>
  <c r="AH376" i="10"/>
  <c r="BB391" i="10"/>
  <c r="BA121" i="10"/>
  <c r="BA145" i="10"/>
  <c r="BA323" i="10"/>
  <c r="AH236" i="10"/>
  <c r="EK147" i="10"/>
  <c r="EL147" i="10"/>
  <c r="EK83" i="10"/>
  <c r="EL83" i="10"/>
  <c r="EK91" i="10"/>
  <c r="EL91" i="10"/>
  <c r="EK164" i="10"/>
  <c r="EL164" i="10"/>
  <c r="EK145" i="10"/>
  <c r="EL145" i="10"/>
  <c r="EK146" i="10"/>
  <c r="EL146" i="10"/>
  <c r="EK84" i="10"/>
  <c r="EL84" i="10"/>
  <c r="EK128" i="10"/>
  <c r="EL128" i="10"/>
  <c r="EK166" i="10"/>
  <c r="EL166" i="10"/>
  <c r="EK103" i="10"/>
  <c r="EL103" i="10"/>
  <c r="EK149" i="10"/>
  <c r="EL149" i="10"/>
  <c r="EK165" i="10"/>
  <c r="EL165" i="10"/>
  <c r="EK115" i="10"/>
  <c r="EL115" i="10"/>
  <c r="EK100" i="10"/>
  <c r="EL100" i="10"/>
  <c r="EK161" i="10"/>
  <c r="EL161" i="10"/>
  <c r="CF51" i="10"/>
  <c r="CQ51" i="10"/>
  <c r="CW51" i="10"/>
  <c r="AX51" i="10"/>
  <c r="EK51" i="10"/>
  <c r="EL51" i="10"/>
  <c r="AH51" i="10"/>
  <c r="AY51" i="10"/>
  <c r="AI51" i="10"/>
  <c r="JL51" i="10"/>
  <c r="EK136" i="10"/>
  <c r="EL136" i="10"/>
  <c r="EK113" i="10"/>
  <c r="EL113" i="10"/>
  <c r="EK102" i="10"/>
  <c r="EL102" i="10"/>
  <c r="EK124" i="10"/>
  <c r="EL124" i="10"/>
  <c r="EK123" i="10"/>
  <c r="EL123" i="10"/>
  <c r="EK151" i="10"/>
  <c r="EL151" i="10"/>
  <c r="EK116" i="10"/>
  <c r="EL116" i="10"/>
  <c r="EK78" i="10"/>
  <c r="EL78" i="10"/>
  <c r="EK126" i="10"/>
  <c r="EL126" i="10"/>
  <c r="CF63" i="10"/>
  <c r="CQ63" i="10"/>
  <c r="CW63" i="10"/>
  <c r="AX63" i="10"/>
  <c r="AH63" i="10"/>
  <c r="AY63" i="10"/>
  <c r="EK63" i="10"/>
  <c r="EL63" i="10"/>
  <c r="EK129" i="10"/>
  <c r="EL129" i="10"/>
  <c r="EK143" i="10"/>
  <c r="EL143" i="10"/>
  <c r="AP29" i="10"/>
  <c r="JJ29" i="10"/>
  <c r="AQ29" i="10"/>
  <c r="IJ29" i="10" s="1"/>
  <c r="EK135" i="10"/>
  <c r="EL135" i="10"/>
  <c r="Z97" i="10"/>
  <c r="JD97" i="10"/>
  <c r="AD97" i="10"/>
  <c r="AD191" i="10"/>
  <c r="AI294" i="10"/>
  <c r="JL294" i="10"/>
  <c r="AD221" i="10"/>
  <c r="Z250" i="10"/>
  <c r="JD250" i="10"/>
  <c r="AZ195" i="10"/>
  <c r="JU195" i="10"/>
  <c r="AS221" i="10"/>
  <c r="JT221" i="10"/>
  <c r="AD290" i="10"/>
  <c r="AZ246" i="10"/>
  <c r="GH246" i="10"/>
  <c r="AI236" i="10"/>
  <c r="JL236" i="10"/>
  <c r="AS242" i="10"/>
  <c r="JT242" i="10"/>
  <c r="AD242" i="10"/>
  <c r="EK290" i="10"/>
  <c r="EL290" i="10"/>
  <c r="AI239" i="10"/>
  <c r="JL239" i="10"/>
  <c r="AD295" i="10"/>
  <c r="EK97" i="10"/>
  <c r="EL97" i="10"/>
  <c r="AI97" i="10"/>
  <c r="JL97" i="10"/>
  <c r="Z294" i="10"/>
  <c r="JD294" i="10"/>
  <c r="AS151" i="10"/>
  <c r="JT151" i="10"/>
  <c r="AI257" i="10"/>
  <c r="JL257" i="10"/>
  <c r="AS246" i="10"/>
  <c r="JT246" i="10"/>
  <c r="AI290" i="10"/>
  <c r="JL290" i="10"/>
  <c r="Z112" i="10"/>
  <c r="JD112" i="10"/>
  <c r="AS124" i="10"/>
  <c r="JT124" i="10"/>
  <c r="AD124" i="10"/>
  <c r="AI126" i="10"/>
  <c r="JL126" i="10"/>
  <c r="AD208" i="10"/>
  <c r="AI174" i="10"/>
  <c r="JL174" i="10"/>
  <c r="AS112" i="10"/>
  <c r="JT112" i="10"/>
  <c r="AD112" i="10"/>
  <c r="Z217" i="10"/>
  <c r="JD217" i="10"/>
  <c r="AS185" i="10"/>
  <c r="JT185" i="10"/>
  <c r="AS207" i="10"/>
  <c r="JT207" i="10"/>
  <c r="AD207" i="10"/>
  <c r="Z191" i="10"/>
  <c r="JD191" i="10"/>
  <c r="AS191" i="10"/>
  <c r="JT191" i="10"/>
  <c r="AI215" i="10"/>
  <c r="JL215" i="10"/>
  <c r="Z126" i="10"/>
  <c r="JD126" i="10"/>
  <c r="AZ178" i="10"/>
  <c r="JU178" i="10"/>
  <c r="AI178" i="10"/>
  <c r="JL178" i="10"/>
  <c r="AD217" i="10"/>
  <c r="AS217" i="10"/>
  <c r="JT217" i="10"/>
  <c r="AI229" i="10"/>
  <c r="JL229" i="10"/>
  <c r="AS178" i="10"/>
  <c r="JT178" i="10"/>
  <c r="AS126" i="10"/>
  <c r="JT126" i="10"/>
  <c r="AS223" i="10"/>
  <c r="JT223" i="10"/>
  <c r="AZ208" i="10"/>
  <c r="JU208" i="10"/>
  <c r="Z223" i="10"/>
  <c r="JD223" i="10"/>
  <c r="AZ151" i="10"/>
  <c r="JU151" i="10"/>
  <c r="AI208" i="10"/>
  <c r="JL208" i="10"/>
  <c r="AD185" i="10"/>
  <c r="Z178" i="10"/>
  <c r="JD178" i="10"/>
  <c r="AD219" i="10"/>
  <c r="Z219" i="10"/>
  <c r="JD219" i="10"/>
  <c r="AD130" i="10"/>
  <c r="AI80" i="10"/>
  <c r="JL80" i="10"/>
  <c r="AS219" i="10"/>
  <c r="JT219" i="10"/>
  <c r="EK112" i="10"/>
  <c r="EL112" i="10"/>
  <c r="AS116" i="10"/>
  <c r="JT116" i="10"/>
  <c r="Z116" i="10"/>
  <c r="JD116" i="10"/>
  <c r="AD223" i="10"/>
  <c r="AZ191" i="10"/>
  <c r="JU191" i="10"/>
  <c r="AI217" i="10"/>
  <c r="JL217" i="10"/>
  <c r="AI112" i="10"/>
  <c r="JL112" i="10"/>
  <c r="AI219" i="10"/>
  <c r="JL219" i="10"/>
  <c r="AI90" i="10"/>
  <c r="JL90" i="10"/>
  <c r="DP130" i="10"/>
  <c r="DN130" i="10" s="1"/>
  <c r="DO130" i="10" s="1"/>
  <c r="Z130" i="10"/>
  <c r="JD130" i="10"/>
  <c r="AS130" i="10"/>
  <c r="JT130" i="10"/>
  <c r="JU219" i="10"/>
  <c r="AI223" i="10"/>
  <c r="JL223" i="10"/>
  <c r="AS192" i="10"/>
  <c r="JT192" i="10"/>
  <c r="AI98" i="10"/>
  <c r="JL98" i="10"/>
  <c r="DM90" i="10"/>
  <c r="DO90" i="10"/>
  <c r="Z90" i="10"/>
  <c r="JD90" i="10"/>
  <c r="AD114" i="10"/>
  <c r="AS295" i="10"/>
  <c r="JT295" i="10"/>
  <c r="AS290" i="10"/>
  <c r="JT290" i="10"/>
  <c r="AZ344" i="10"/>
  <c r="JU344" i="10"/>
  <c r="AD188" i="10"/>
  <c r="Z188" i="10"/>
  <c r="JD188" i="10"/>
  <c r="AI295" i="10"/>
  <c r="JL295" i="10"/>
  <c r="AI224" i="10"/>
  <c r="JL224" i="10"/>
  <c r="Z257" i="10"/>
  <c r="JD257" i="10"/>
  <c r="AS188" i="10"/>
  <c r="JT188" i="10"/>
  <c r="AI185" i="10"/>
  <c r="JL185" i="10"/>
  <c r="AS264" i="10"/>
  <c r="JT264" i="10"/>
  <c r="AD280" i="10"/>
  <c r="AZ316" i="10"/>
  <c r="JU316" i="10"/>
  <c r="Z385" i="10"/>
  <c r="JD385" i="10"/>
  <c r="Z262" i="10"/>
  <c r="JD262" i="10"/>
  <c r="AS262" i="10"/>
  <c r="JT262" i="10"/>
  <c r="AD262" i="10"/>
  <c r="EK229" i="10"/>
  <c r="EL229" i="10"/>
  <c r="Z344" i="10"/>
  <c r="JD344" i="10"/>
  <c r="AS78" i="10"/>
  <c r="JT78" i="10"/>
  <c r="AS184" i="10"/>
  <c r="JT184" i="10"/>
  <c r="AS298" i="10"/>
  <c r="JT298" i="10"/>
  <c r="Z290" i="10"/>
  <c r="JD290" i="10"/>
  <c r="Z298" i="10"/>
  <c r="JD298" i="10"/>
  <c r="AS316" i="10"/>
  <c r="JT316" i="10"/>
  <c r="AS236" i="10"/>
  <c r="JT236" i="10"/>
  <c r="AD257" i="10"/>
  <c r="AS257" i="10"/>
  <c r="JT257" i="10"/>
  <c r="AD117" i="10"/>
  <c r="AD294" i="10"/>
  <c r="AI192" i="10"/>
  <c r="JL192" i="10"/>
  <c r="EK284" i="10"/>
  <c r="EL284" i="10"/>
  <c r="AZ242" i="10"/>
  <c r="JU242" i="10"/>
  <c r="AD320" i="10"/>
  <c r="AZ294" i="10"/>
  <c r="JU294" i="10"/>
  <c r="Z296" i="10"/>
  <c r="JD296" i="10"/>
  <c r="EK296" i="10"/>
  <c r="EL296" i="10"/>
  <c r="AS320" i="10"/>
  <c r="JT320" i="10"/>
  <c r="Z192" i="10"/>
  <c r="JD192" i="10"/>
  <c r="AD192" i="10"/>
  <c r="Z295" i="10"/>
  <c r="JD295" i="10"/>
  <c r="AS344" i="10"/>
  <c r="JT344" i="10"/>
  <c r="AS294" i="10"/>
  <c r="JT294" i="10"/>
  <c r="AD296" i="10"/>
  <c r="DP114" i="10"/>
  <c r="DN114" i="10"/>
  <c r="DO114" i="10" s="1"/>
  <c r="Z114" i="10"/>
  <c r="JD114" i="10"/>
  <c r="AI115" i="10"/>
  <c r="JL115" i="10"/>
  <c r="Z320" i="10"/>
  <c r="JD320" i="10"/>
  <c r="AD298" i="10"/>
  <c r="Z316" i="10"/>
  <c r="JD316" i="10"/>
  <c r="AI304" i="10"/>
  <c r="JL304" i="10"/>
  <c r="Z291" i="10"/>
  <c r="JD291" i="10"/>
  <c r="AI296" i="10"/>
  <c r="JL296" i="10"/>
  <c r="AI114" i="10"/>
  <c r="JL114" i="10"/>
  <c r="AD90" i="10"/>
  <c r="AD78" i="10"/>
  <c r="Z78" i="10"/>
  <c r="JD78" i="10"/>
  <c r="AD372" i="10"/>
  <c r="AS372" i="10"/>
  <c r="JT372" i="10"/>
  <c r="AH165" i="15"/>
  <c r="AZ143" i="10"/>
  <c r="JU143" i="10"/>
  <c r="AI143" i="10"/>
  <c r="JL143" i="10"/>
  <c r="AD228" i="10"/>
  <c r="JU385" i="10"/>
  <c r="AZ171" i="10"/>
  <c r="JU171" i="10"/>
  <c r="AD184" i="10"/>
  <c r="Z184" i="10"/>
  <c r="JD184" i="10"/>
  <c r="JU320" i="10"/>
  <c r="AI207" i="10"/>
  <c r="JL207" i="10"/>
  <c r="AZ185" i="10"/>
  <c r="JU185" i="10"/>
  <c r="AZ188" i="10"/>
  <c r="JU188" i="10"/>
  <c r="AI372" i="10"/>
  <c r="JL372" i="10"/>
  <c r="DP102" i="10"/>
  <c r="DN102" i="10" s="1"/>
  <c r="DO102" i="10" s="1"/>
  <c r="Z102" i="10"/>
  <c r="JD102" i="10"/>
  <c r="AD236" i="10"/>
  <c r="EK98" i="10"/>
  <c r="EL98" i="10"/>
  <c r="AZ98" i="10"/>
  <c r="JU98" i="10"/>
  <c r="AD264" i="10"/>
  <c r="Z264" i="10"/>
  <c r="JD264" i="10"/>
  <c r="Z228" i="10"/>
  <c r="JD228" i="10"/>
  <c r="AD243" i="10"/>
  <c r="AS243" i="10"/>
  <c r="JT243" i="10"/>
  <c r="AI385" i="10"/>
  <c r="JL385" i="10"/>
  <c r="AZ348" i="10"/>
  <c r="JU348" i="10"/>
  <c r="AD102" i="10"/>
  <c r="AS102" i="10"/>
  <c r="JT102" i="10"/>
  <c r="Z375" i="10"/>
  <c r="JD375" i="10"/>
  <c r="AD375" i="10"/>
  <c r="AD291" i="10"/>
  <c r="AD143" i="10"/>
  <c r="Z211" i="10"/>
  <c r="JD211" i="10"/>
  <c r="AS375" i="10"/>
  <c r="JT375" i="10"/>
  <c r="AZ192" i="10"/>
  <c r="JU192" i="10"/>
  <c r="AI284" i="10"/>
  <c r="JL284" i="10"/>
  <c r="AZ244" i="10"/>
  <c r="JU244" i="10"/>
  <c r="Z117" i="10"/>
  <c r="JD117" i="10"/>
  <c r="AZ211" i="10"/>
  <c r="JU211" i="10"/>
  <c r="AZ280" i="10"/>
  <c r="JU280" i="10"/>
  <c r="EK86" i="10"/>
  <c r="EL86" i="10"/>
  <c r="AI244" i="10"/>
  <c r="JL244" i="10"/>
  <c r="Z280" i="10"/>
  <c r="JD280" i="10"/>
  <c r="AS211" i="10"/>
  <c r="JT211" i="10"/>
  <c r="Z143" i="10"/>
  <c r="JD143" i="10"/>
  <c r="AI78" i="10"/>
  <c r="JL78" i="10"/>
  <c r="AD211" i="10"/>
  <c r="AZ376" i="10"/>
  <c r="GH376" i="10"/>
  <c r="JU376" i="10"/>
  <c r="AI376" i="10"/>
  <c r="JL376" i="10"/>
  <c r="AD115" i="10"/>
  <c r="AS143" i="10"/>
  <c r="JT143" i="10"/>
  <c r="AI264" i="10"/>
  <c r="JL264" i="10"/>
  <c r="DP115" i="10"/>
  <c r="DN115" i="10" s="1"/>
  <c r="DO115" i="10" s="1"/>
  <c r="Z115" i="10"/>
  <c r="JD115" i="10"/>
  <c r="AI86" i="10"/>
  <c r="JL86" i="10"/>
  <c r="AI375" i="10"/>
  <c r="JL375" i="10"/>
  <c r="AD244" i="10"/>
  <c r="EK117" i="10"/>
  <c r="EL117" i="10"/>
  <c r="Z244" i="10"/>
  <c r="JD244" i="10"/>
  <c r="JU74" i="10"/>
  <c r="Z378" i="10"/>
  <c r="JD378" i="10"/>
  <c r="AS378" i="10"/>
  <c r="JT378" i="10"/>
  <c r="AD378" i="10"/>
  <c r="AS249" i="10"/>
  <c r="JT249" i="10"/>
  <c r="Z249" i="10"/>
  <c r="JD249" i="10"/>
  <c r="AD249" i="10"/>
  <c r="AZ351" i="10"/>
  <c r="JU351" i="10"/>
  <c r="AI324" i="10"/>
  <c r="JL324" i="10"/>
  <c r="Z386" i="10"/>
  <c r="JD386" i="10"/>
  <c r="AS386" i="10"/>
  <c r="JT386" i="10"/>
  <c r="AD386" i="10"/>
  <c r="AD173" i="10"/>
  <c r="AS173" i="10"/>
  <c r="JT173" i="10"/>
  <c r="Z173" i="10"/>
  <c r="JD173" i="10"/>
  <c r="AD75" i="10"/>
  <c r="AS75" i="10"/>
  <c r="JT75" i="10"/>
  <c r="DP75" i="10"/>
  <c r="DN75" i="10" s="1"/>
  <c r="DO75" i="10" s="1"/>
  <c r="Z75" i="10"/>
  <c r="JD75" i="10"/>
  <c r="AS83" i="10"/>
  <c r="JT83" i="10"/>
  <c r="Z83" i="10"/>
  <c r="JD83" i="10"/>
  <c r="AD83" i="10"/>
  <c r="AI200" i="10"/>
  <c r="JL200" i="10"/>
  <c r="AD187" i="10"/>
  <c r="Z187" i="10"/>
  <c r="JD187" i="10"/>
  <c r="AS187" i="10"/>
  <c r="JT187" i="10"/>
  <c r="AI199" i="10"/>
  <c r="JL199" i="10"/>
  <c r="AD135" i="10"/>
  <c r="AS135" i="10"/>
  <c r="JT135" i="10"/>
  <c r="DP135" i="10"/>
  <c r="DN135" i="10" s="1"/>
  <c r="DO135" i="10"/>
  <c r="Z135" i="10"/>
  <c r="JD135" i="10"/>
  <c r="IK260" i="10"/>
  <c r="AI260" i="10"/>
  <c r="JL260" i="10"/>
  <c r="EK125" i="10"/>
  <c r="EL125" i="10"/>
  <c r="AI125" i="10"/>
  <c r="JL125" i="10"/>
  <c r="AI384" i="10"/>
  <c r="JL384" i="10"/>
  <c r="AZ353" i="10"/>
  <c r="JU353" i="10"/>
  <c r="AI138" i="10"/>
  <c r="JL138" i="10"/>
  <c r="AI120" i="10"/>
  <c r="JL120" i="10"/>
  <c r="AI166" i="10"/>
  <c r="JL166" i="10"/>
  <c r="AX181" i="10"/>
  <c r="AH181" i="10"/>
  <c r="AY181" i="10"/>
  <c r="AI218" i="10"/>
  <c r="JL218" i="10"/>
  <c r="AI355" i="10"/>
  <c r="JL355" i="10"/>
  <c r="AD89" i="10"/>
  <c r="AS89" i="10"/>
  <c r="JT89" i="10"/>
  <c r="DP89" i="10"/>
  <c r="DN89" i="10"/>
  <c r="DO89" i="10"/>
  <c r="Z89" i="10"/>
  <c r="JD89" i="10"/>
  <c r="Z235" i="10"/>
  <c r="JD235" i="10"/>
  <c r="AD235" i="10"/>
  <c r="AS235" i="10"/>
  <c r="JT235" i="10"/>
  <c r="AI227" i="10"/>
  <c r="JL227" i="10"/>
  <c r="IK227" i="10"/>
  <c r="AS189" i="10"/>
  <c r="JT189" i="10"/>
  <c r="AD189" i="10"/>
  <c r="Z189" i="10"/>
  <c r="JD189" i="10"/>
  <c r="AS354" i="10"/>
  <c r="JT354" i="10"/>
  <c r="AD354" i="10"/>
  <c r="Z354" i="10"/>
  <c r="JD354" i="10"/>
  <c r="AP358" i="10"/>
  <c r="AU358" i="10"/>
  <c r="AC358" i="10"/>
  <c r="AQ358" i="10"/>
  <c r="IJ358" i="10" s="1"/>
  <c r="JJ358" i="10"/>
  <c r="AI213" i="10"/>
  <c r="JL213" i="10"/>
  <c r="AD153" i="10"/>
  <c r="AS153" i="10"/>
  <c r="JT153" i="10"/>
  <c r="Z153" i="10"/>
  <c r="JD153" i="10"/>
  <c r="EK77" i="10"/>
  <c r="EL77" i="10"/>
  <c r="AI77" i="10"/>
  <c r="JL77" i="10"/>
  <c r="AD366" i="10"/>
  <c r="AS366" i="10"/>
  <c r="JT366" i="10"/>
  <c r="Z366" i="10"/>
  <c r="JD366" i="10"/>
  <c r="AS259" i="10"/>
  <c r="JT259" i="10"/>
  <c r="Z259" i="10"/>
  <c r="JD259" i="10"/>
  <c r="AD259" i="10"/>
  <c r="Z150" i="10"/>
  <c r="JD150" i="10"/>
  <c r="AD150" i="10"/>
  <c r="AS150" i="10"/>
  <c r="JT150" i="10"/>
  <c r="AI238" i="10"/>
  <c r="JL238" i="10"/>
  <c r="AI164" i="10"/>
  <c r="JL164" i="10"/>
  <c r="AI129" i="10"/>
  <c r="JL129" i="10"/>
  <c r="AI389" i="10"/>
  <c r="JL389" i="10"/>
  <c r="AI340" i="10"/>
  <c r="JL340" i="10"/>
  <c r="Z265" i="10"/>
  <c r="JD265" i="10"/>
  <c r="AD265" i="10"/>
  <c r="AS265" i="10"/>
  <c r="JT265" i="10"/>
  <c r="AI183" i="10"/>
  <c r="JL183" i="10"/>
  <c r="AI321" i="10"/>
  <c r="JL321" i="10"/>
  <c r="AI293" i="10"/>
  <c r="JL293" i="10"/>
  <c r="IK101" i="10"/>
  <c r="AI101" i="10"/>
  <c r="JL101" i="10"/>
  <c r="AS252" i="10"/>
  <c r="JT252" i="10"/>
  <c r="AD252" i="10"/>
  <c r="Z252" i="10"/>
  <c r="JD252" i="10"/>
  <c r="AI182" i="10"/>
  <c r="JL182" i="10"/>
  <c r="AI247" i="10"/>
  <c r="JL247" i="10"/>
  <c r="AP315" i="10"/>
  <c r="AU315" i="10"/>
  <c r="AC315" i="10"/>
  <c r="JJ315" i="10"/>
  <c r="AQ315" i="10"/>
  <c r="IJ315" i="10" s="1"/>
  <c r="AI300" i="10"/>
  <c r="JL300" i="10"/>
  <c r="DP373" i="10"/>
  <c r="DN373" i="10" s="1"/>
  <c r="DO373" i="10" s="1"/>
  <c r="Z373" i="10"/>
  <c r="JD373" i="10"/>
  <c r="AD373" i="10"/>
  <c r="AS373" i="10"/>
  <c r="JT373" i="10"/>
  <c r="CF107" i="10"/>
  <c r="CW107" i="10"/>
  <c r="AX107" i="10"/>
  <c r="AH107" i="10"/>
  <c r="AY107" i="10"/>
  <c r="IK107" i="10"/>
  <c r="AS129" i="10"/>
  <c r="JT129" i="10"/>
  <c r="AD129" i="10"/>
  <c r="Z129" i="10"/>
  <c r="JD129" i="10"/>
  <c r="AI328" i="10"/>
  <c r="JL328" i="10"/>
  <c r="AX326" i="10"/>
  <c r="AY326" i="10"/>
  <c r="AZ326" i="10"/>
  <c r="GH326" i="10"/>
  <c r="AH326" i="10"/>
  <c r="AP160" i="10"/>
  <c r="AQ160" i="10"/>
  <c r="IJ160" i="10" s="1"/>
  <c r="JJ160" i="10"/>
  <c r="AU160" i="10"/>
  <c r="AC160" i="10"/>
  <c r="JU380" i="10"/>
  <c r="AI363" i="10"/>
  <c r="JL363" i="10"/>
  <c r="AZ250" i="10"/>
  <c r="JU250" i="10"/>
  <c r="AD302" i="10"/>
  <c r="Z302" i="10"/>
  <c r="JD302" i="10"/>
  <c r="AS302" i="10"/>
  <c r="JT302" i="10"/>
  <c r="AD299" i="10"/>
  <c r="AS299" i="10"/>
  <c r="JT299" i="10"/>
  <c r="Z299" i="10"/>
  <c r="JD299" i="10"/>
  <c r="JU330" i="10"/>
  <c r="AI216" i="10"/>
  <c r="JL216" i="10"/>
  <c r="AI281" i="10"/>
  <c r="JL281" i="10"/>
  <c r="AI132" i="10"/>
  <c r="JL132" i="10"/>
  <c r="AI254" i="10"/>
  <c r="JL254" i="10"/>
  <c r="AS81" i="10"/>
  <c r="JT81" i="10"/>
  <c r="Z81" i="10"/>
  <c r="JD81" i="10"/>
  <c r="AD81" i="10"/>
  <c r="AI156" i="10"/>
  <c r="JL156" i="10"/>
  <c r="EK156" i="10"/>
  <c r="EL156" i="10"/>
  <c r="AI252" i="10"/>
  <c r="JL252" i="10"/>
  <c r="AI312" i="10"/>
  <c r="JL312" i="10"/>
  <c r="AI167" i="10"/>
  <c r="JL167" i="10"/>
  <c r="AD132" i="10"/>
  <c r="AS132" i="10"/>
  <c r="JT132" i="10"/>
  <c r="Z132" i="10"/>
  <c r="JD132" i="10"/>
  <c r="AD293" i="10"/>
  <c r="AS293" i="10"/>
  <c r="JT293" i="10"/>
  <c r="Z293" i="10"/>
  <c r="JD293" i="10"/>
  <c r="AS342" i="10"/>
  <c r="JT342" i="10"/>
  <c r="AD342" i="10"/>
  <c r="Z342" i="10"/>
  <c r="JD342" i="10"/>
  <c r="AI345" i="10"/>
  <c r="JL345" i="10"/>
  <c r="AS318" i="10"/>
  <c r="JT318" i="10"/>
  <c r="AD318" i="10"/>
  <c r="Z318" i="10"/>
  <c r="JD318" i="10"/>
  <c r="AZ215" i="10"/>
  <c r="JU215" i="10"/>
  <c r="AI189" i="10"/>
  <c r="JL189" i="10"/>
  <c r="AI249" i="10"/>
  <c r="JL249" i="10"/>
  <c r="AS180" i="10"/>
  <c r="JT180" i="10"/>
  <c r="Z180" i="10"/>
  <c r="JD180" i="10"/>
  <c r="AD180" i="10"/>
  <c r="Z168" i="10"/>
  <c r="JD168" i="10"/>
  <c r="AD168" i="10"/>
  <c r="AS168" i="10"/>
  <c r="JT168" i="10"/>
  <c r="AI310" i="10"/>
  <c r="JL310" i="10"/>
  <c r="AI366" i="10"/>
  <c r="JL366" i="10"/>
  <c r="AD88" i="10"/>
  <c r="AS88" i="10"/>
  <c r="JT88" i="10"/>
  <c r="DP88" i="10"/>
  <c r="DM88" i="10"/>
  <c r="DN88" i="10"/>
  <c r="DO88" i="10" s="1"/>
  <c r="Z88" i="10"/>
  <c r="JD88" i="10"/>
  <c r="Z170" i="10"/>
  <c r="JD170" i="10"/>
  <c r="AS170" i="10"/>
  <c r="JT170" i="10"/>
  <c r="AD170" i="10"/>
  <c r="Z196" i="10"/>
  <c r="JD196" i="10"/>
  <c r="AS196" i="10"/>
  <c r="JT196" i="10"/>
  <c r="AD196" i="10"/>
  <c r="AI299" i="10"/>
  <c r="JL299" i="10"/>
  <c r="AI263" i="10"/>
  <c r="JL263" i="10"/>
  <c r="AS155" i="10"/>
  <c r="JT155" i="10"/>
  <c r="AD155" i="10"/>
  <c r="Z155" i="10"/>
  <c r="JD155" i="10"/>
  <c r="Z255" i="10"/>
  <c r="JD255" i="10"/>
  <c r="AS255" i="10"/>
  <c r="JT255" i="10"/>
  <c r="AD255" i="10"/>
  <c r="AI251" i="10"/>
  <c r="JL251" i="10"/>
  <c r="AS345" i="10"/>
  <c r="JT345" i="10"/>
  <c r="AD345" i="10"/>
  <c r="Z345" i="10"/>
  <c r="JD345" i="10"/>
  <c r="AD312" i="10"/>
  <c r="AS312" i="10"/>
  <c r="JT312" i="10"/>
  <c r="Z312" i="10"/>
  <c r="JD312" i="10"/>
  <c r="IJ82" i="10"/>
  <c r="JJ82" i="10"/>
  <c r="AU82" i="10"/>
  <c r="AC82" i="10"/>
  <c r="Z206" i="10"/>
  <c r="JD206" i="10"/>
  <c r="AS206" i="10"/>
  <c r="JT206" i="10"/>
  <c r="AD206" i="10"/>
  <c r="AI134" i="10"/>
  <c r="JL134" i="10"/>
  <c r="AX72" i="10"/>
  <c r="AH72" i="10"/>
  <c r="AY72" i="10"/>
  <c r="EK72" i="10"/>
  <c r="EL72" i="10"/>
  <c r="AZ72" i="10"/>
  <c r="GH72" i="10"/>
  <c r="AP362" i="10"/>
  <c r="AU362" i="10"/>
  <c r="AC362" i="10"/>
  <c r="AQ362" i="10"/>
  <c r="IJ362" i="10" s="1"/>
  <c r="JJ362" i="10"/>
  <c r="Z142" i="10"/>
  <c r="JD142" i="10"/>
  <c r="AS142" i="10"/>
  <c r="JT142" i="10"/>
  <c r="AD142" i="10"/>
  <c r="AI142" i="10"/>
  <c r="JL142" i="10"/>
  <c r="AD128" i="10"/>
  <c r="AS128" i="10"/>
  <c r="JT128" i="10"/>
  <c r="Z128" i="10"/>
  <c r="JD128" i="10"/>
  <c r="AS106" i="10"/>
  <c r="JT106" i="10"/>
  <c r="AD106" i="10"/>
  <c r="DM106" i="10"/>
  <c r="Z106" i="10"/>
  <c r="JD106" i="10"/>
  <c r="AI349" i="10"/>
  <c r="JL349" i="10"/>
  <c r="AD371" i="10"/>
  <c r="AS371" i="10"/>
  <c r="JT371" i="10"/>
  <c r="Z371" i="10"/>
  <c r="JD371" i="10"/>
  <c r="AI153" i="10"/>
  <c r="JL153" i="10"/>
  <c r="JU301" i="10"/>
  <c r="AI314" i="10"/>
  <c r="JL314" i="10"/>
  <c r="AI206" i="10"/>
  <c r="JL206" i="10"/>
  <c r="AI133" i="10"/>
  <c r="JL133" i="10"/>
  <c r="AI89" i="10"/>
  <c r="JL89" i="10"/>
  <c r="AS121" i="10"/>
  <c r="JT121" i="10"/>
  <c r="DP121" i="10"/>
  <c r="DN121" i="10" s="1"/>
  <c r="DO121" i="10" s="1"/>
  <c r="Z121" i="10"/>
  <c r="JD121" i="10"/>
  <c r="AD121" i="10"/>
  <c r="AD322" i="10"/>
  <c r="AS322" i="10"/>
  <c r="JT322" i="10"/>
  <c r="Z322" i="10"/>
  <c r="JD322" i="10"/>
  <c r="AI391" i="10"/>
  <c r="JL391" i="10"/>
  <c r="AI148" i="10"/>
  <c r="JL148" i="10"/>
  <c r="EK148" i="10"/>
  <c r="EL148" i="10"/>
  <c r="AS70" i="10"/>
  <c r="JT70" i="10"/>
  <c r="AD70" i="10"/>
  <c r="DP70" i="10"/>
  <c r="DN70" i="10"/>
  <c r="DO70" i="10" s="1"/>
  <c r="Z70" i="10"/>
  <c r="JD70" i="10"/>
  <c r="AI104" i="10"/>
  <c r="JL104" i="10"/>
  <c r="Z309" i="10"/>
  <c r="JD309" i="10"/>
  <c r="AD309" i="10"/>
  <c r="AS309" i="10"/>
  <c r="JT309" i="10"/>
  <c r="AI161" i="10"/>
  <c r="JL161" i="10"/>
  <c r="AS199" i="10"/>
  <c r="JT199" i="10"/>
  <c r="AD199" i="10"/>
  <c r="Z199" i="10"/>
  <c r="JD199" i="10"/>
  <c r="Z99" i="10"/>
  <c r="JD99" i="10"/>
  <c r="AS99" i="10"/>
  <c r="JT99" i="10"/>
  <c r="AD99" i="10"/>
  <c r="AI154" i="10"/>
  <c r="JL154" i="10"/>
  <c r="EK154" i="10"/>
  <c r="EL154" i="10"/>
  <c r="AD369" i="10"/>
  <c r="AS369" i="10"/>
  <c r="JT369" i="10"/>
  <c r="Z369" i="10"/>
  <c r="JD369" i="10"/>
  <c r="AI267" i="10"/>
  <c r="JL267" i="10"/>
  <c r="AI203" i="10"/>
  <c r="JL203" i="10"/>
  <c r="Z270" i="10"/>
  <c r="JD270" i="10"/>
  <c r="AS270" i="10"/>
  <c r="JT270" i="10"/>
  <c r="AD270" i="10"/>
  <c r="AS327" i="10"/>
  <c r="JT327" i="10"/>
  <c r="AD327" i="10"/>
  <c r="Z327" i="10"/>
  <c r="JD327" i="10"/>
  <c r="AS176" i="10"/>
  <c r="JT176" i="10"/>
  <c r="Z176" i="10"/>
  <c r="JD176" i="10"/>
  <c r="AD176" i="10"/>
  <c r="IJ176" i="10"/>
  <c r="AD310" i="10"/>
  <c r="AS310" i="10"/>
  <c r="JT310" i="10"/>
  <c r="Z310" i="10"/>
  <c r="JD310" i="10"/>
  <c r="AI360" i="10"/>
  <c r="JL360" i="10"/>
  <c r="AI255" i="10"/>
  <c r="JL255" i="10"/>
  <c r="DP84" i="10"/>
  <c r="DN84" i="10"/>
  <c r="DO84" i="10" s="1"/>
  <c r="Z84" i="10"/>
  <c r="JD84" i="10"/>
  <c r="AS84" i="10"/>
  <c r="JT84" i="10"/>
  <c r="AD84" i="10"/>
  <c r="AI212" i="10"/>
  <c r="JL212" i="10"/>
  <c r="AZ307" i="10"/>
  <c r="JU307" i="10"/>
  <c r="JU228" i="10"/>
  <c r="AI292" i="10"/>
  <c r="JL292" i="10"/>
  <c r="AI336" i="10"/>
  <c r="JL336" i="10"/>
  <c r="AI128" i="10"/>
  <c r="JL128" i="10"/>
  <c r="AD111" i="10"/>
  <c r="AS111" i="10"/>
  <c r="JT111" i="10"/>
  <c r="Z111" i="10"/>
  <c r="JD111" i="10"/>
  <c r="AI325" i="10"/>
  <c r="JL325" i="10"/>
  <c r="Z105" i="10"/>
  <c r="JD105" i="10"/>
  <c r="AD105" i="10"/>
  <c r="AS105" i="10"/>
  <c r="JT105" i="10"/>
  <c r="Z325" i="10"/>
  <c r="JD325" i="10"/>
  <c r="AS325" i="10"/>
  <c r="JT325" i="10"/>
  <c r="AD325" i="10"/>
  <c r="AD175" i="10"/>
  <c r="AS175" i="10"/>
  <c r="JT175" i="10"/>
  <c r="Z175" i="10"/>
  <c r="JD175" i="10"/>
  <c r="AS73" i="10"/>
  <c r="JT73" i="10"/>
  <c r="DP73" i="10"/>
  <c r="DN73" i="10" s="1"/>
  <c r="DO73" i="10" s="1"/>
  <c r="Z73" i="10"/>
  <c r="JD73" i="10"/>
  <c r="AD73" i="10"/>
  <c r="AS165" i="10"/>
  <c r="JT165" i="10"/>
  <c r="Z165" i="10"/>
  <c r="JD165" i="10"/>
  <c r="AD165" i="10"/>
  <c r="AS79" i="10"/>
  <c r="JT79" i="10"/>
  <c r="AD79" i="10"/>
  <c r="DP79" i="10"/>
  <c r="DN79" i="10" s="1"/>
  <c r="DO79" i="10" s="1"/>
  <c r="DM79" i="10"/>
  <c r="Z79" i="10"/>
  <c r="JD79" i="10"/>
  <c r="AS300" i="10"/>
  <c r="JT300" i="10"/>
  <c r="AD300" i="10"/>
  <c r="Z300" i="10"/>
  <c r="JD300" i="10"/>
  <c r="AI231" i="10"/>
  <c r="JL231" i="10"/>
  <c r="AD87" i="10"/>
  <c r="AS87" i="10"/>
  <c r="JT87" i="10"/>
  <c r="Z87" i="10"/>
  <c r="JD87" i="10"/>
  <c r="AS361" i="10"/>
  <c r="JT361" i="10"/>
  <c r="AD361" i="10"/>
  <c r="Z361" i="10"/>
  <c r="JD361" i="10"/>
  <c r="AD137" i="10"/>
  <c r="AS137" i="10"/>
  <c r="JT137" i="10"/>
  <c r="Z137" i="10"/>
  <c r="JD137" i="10"/>
  <c r="AI390" i="10"/>
  <c r="JL390" i="10"/>
  <c r="AP108" i="10"/>
  <c r="JJ108" i="10"/>
  <c r="AQ108" i="10"/>
  <c r="IJ108" i="10" s="1"/>
  <c r="AU108" i="10"/>
  <c r="AC108" i="10"/>
  <c r="AX303" i="10"/>
  <c r="AH303" i="10"/>
  <c r="AY303" i="10"/>
  <c r="AZ303" i="10"/>
  <c r="GH303" i="10"/>
  <c r="AP288" i="10"/>
  <c r="AQ288" i="10"/>
  <c r="IJ288" i="10"/>
  <c r="JJ288" i="10"/>
  <c r="AU288" i="10"/>
  <c r="AC288" i="10"/>
  <c r="AX335" i="10"/>
  <c r="AH335" i="10"/>
  <c r="AY335" i="10"/>
  <c r="DP164" i="10"/>
  <c r="DN164" i="10" s="1"/>
  <c r="DO164" i="10" s="1"/>
  <c r="Z164" i="10"/>
  <c r="JD164" i="10"/>
  <c r="AS164" i="10"/>
  <c r="JT164" i="10"/>
  <c r="AD164" i="10"/>
  <c r="AI309" i="10"/>
  <c r="JL309" i="10"/>
  <c r="AI322" i="10"/>
  <c r="JL322" i="10"/>
  <c r="AD138" i="10"/>
  <c r="AS138" i="10"/>
  <c r="JT138" i="10"/>
  <c r="DP138" i="10"/>
  <c r="DN138" i="10" s="1"/>
  <c r="DO138" i="10"/>
  <c r="Z138" i="10"/>
  <c r="JD138" i="10"/>
  <c r="AI187" i="10"/>
  <c r="JL187" i="10"/>
  <c r="AI225" i="10"/>
  <c r="JL225" i="10"/>
  <c r="AH219" i="15"/>
  <c r="AD183" i="10"/>
  <c r="AS183" i="10"/>
  <c r="JT183" i="10"/>
  <c r="Z183" i="10"/>
  <c r="JD183" i="10"/>
  <c r="AD251" i="10"/>
  <c r="Z251" i="10"/>
  <c r="JD251" i="10"/>
  <c r="AS251" i="10"/>
  <c r="JT251" i="10"/>
  <c r="AI233" i="10"/>
  <c r="JL233" i="10"/>
  <c r="AS104" i="10"/>
  <c r="JT104" i="10"/>
  <c r="AD104" i="10"/>
  <c r="Z104" i="10"/>
  <c r="JD104" i="10"/>
  <c r="AI122" i="10"/>
  <c r="JL122" i="10"/>
  <c r="AI123" i="10"/>
  <c r="JL123" i="10"/>
  <c r="AI81" i="10"/>
  <c r="JL81" i="10"/>
  <c r="AD346" i="10"/>
  <c r="AS346" i="10"/>
  <c r="JT346" i="10"/>
  <c r="Z346" i="10"/>
  <c r="JD346" i="10"/>
  <c r="AI270" i="10"/>
  <c r="JL270" i="10"/>
  <c r="IK270" i="10"/>
  <c r="AP214" i="10"/>
  <c r="AQ214" i="10"/>
  <c r="IJ214" i="10"/>
  <c r="JJ214" i="10"/>
  <c r="AU214" i="10"/>
  <c r="AC214" i="10"/>
  <c r="AI253" i="10"/>
  <c r="JL253" i="10"/>
  <c r="AX241" i="10"/>
  <c r="AH241" i="10"/>
  <c r="AY241" i="10"/>
  <c r="AP241" i="10"/>
  <c r="JJ241" i="10"/>
  <c r="AU241" i="10"/>
  <c r="AC241" i="10"/>
  <c r="AQ241" i="10"/>
  <c r="IJ241" i="10" s="1"/>
  <c r="AP157" i="10"/>
  <c r="AQ157" i="10"/>
  <c r="IJ157" i="10" s="1"/>
  <c r="JJ157" i="10"/>
  <c r="AU157" i="10"/>
  <c r="AC157" i="10"/>
  <c r="AI282" i="10"/>
  <c r="JL282" i="10"/>
  <c r="AI369" i="10"/>
  <c r="JL369" i="10"/>
  <c r="AD113" i="10"/>
  <c r="DP113" i="10"/>
  <c r="DN113" i="10" s="1"/>
  <c r="DO113" i="10" s="1"/>
  <c r="Z113" i="10"/>
  <c r="JD113" i="10"/>
  <c r="AS113" i="10"/>
  <c r="JT113" i="10"/>
  <c r="AI103" i="10"/>
  <c r="JL103" i="10"/>
  <c r="AI234" i="10"/>
  <c r="JL234" i="10"/>
  <c r="Z141" i="10"/>
  <c r="JD141" i="10"/>
  <c r="AD141" i="10"/>
  <c r="AS141" i="10"/>
  <c r="JT141" i="10"/>
  <c r="AX383" i="10"/>
  <c r="AH383" i="10"/>
  <c r="AY383" i="10"/>
  <c r="AZ383" i="10"/>
  <c r="GH383" i="10"/>
  <c r="AP107" i="10"/>
  <c r="AQ107" i="10"/>
  <c r="IJ107" i="10" s="1"/>
  <c r="JJ107" i="10"/>
  <c r="AU107" i="10"/>
  <c r="AC107" i="10"/>
  <c r="AD349" i="10"/>
  <c r="AS349" i="10"/>
  <c r="JT349" i="10"/>
  <c r="Z349" i="10"/>
  <c r="JD349" i="10"/>
  <c r="AS204" i="10"/>
  <c r="JT204" i="10"/>
  <c r="AD204" i="10"/>
  <c r="Z204" i="10"/>
  <c r="JD204" i="10"/>
  <c r="AZ184" i="10"/>
  <c r="JU184" i="10"/>
  <c r="AI313" i="10"/>
  <c r="JL313" i="10"/>
  <c r="JU377" i="10"/>
  <c r="AI83" i="10"/>
  <c r="JL83" i="10"/>
  <c r="AI286" i="10"/>
  <c r="JL286" i="10"/>
  <c r="AI149" i="10"/>
  <c r="JL149" i="10"/>
  <c r="Z226" i="10"/>
  <c r="JD226" i="10"/>
  <c r="AD226" i="10"/>
  <c r="AS226" i="10"/>
  <c r="JT226" i="10"/>
  <c r="AI381" i="10"/>
  <c r="JL381" i="10"/>
  <c r="AI220" i="10"/>
  <c r="JL220" i="10"/>
  <c r="AD218" i="10"/>
  <c r="AS218" i="10"/>
  <c r="JT218" i="10"/>
  <c r="Z218" i="10"/>
  <c r="JD218" i="10"/>
  <c r="Z177" i="10"/>
  <c r="JD177" i="10"/>
  <c r="AS177" i="10"/>
  <c r="JT177" i="10"/>
  <c r="AD177" i="10"/>
  <c r="AD101" i="10"/>
  <c r="DP101" i="10"/>
  <c r="DN101" i="10"/>
  <c r="DO101" i="10" s="1"/>
  <c r="Z101" i="10"/>
  <c r="JD101" i="10"/>
  <c r="AS101" i="10"/>
  <c r="JT101" i="10"/>
  <c r="DP71" i="10"/>
  <c r="DN71" i="10" s="1"/>
  <c r="DO71" i="10" s="1"/>
  <c r="Z71" i="10"/>
  <c r="JD71" i="10"/>
  <c r="AD71" i="10"/>
  <c r="AS71" i="10"/>
  <c r="JT71" i="10"/>
  <c r="AS333" i="10"/>
  <c r="JT333" i="10"/>
  <c r="AD333" i="10"/>
  <c r="Z333" i="10"/>
  <c r="JD333" i="10"/>
  <c r="AP144" i="10"/>
  <c r="AQ144" i="10"/>
  <c r="IJ144" i="10" s="1"/>
  <c r="AU144" i="10"/>
  <c r="AC144" i="10"/>
  <c r="JJ144" i="10"/>
  <c r="AX288" i="10"/>
  <c r="AH288" i="10"/>
  <c r="AY288" i="10"/>
  <c r="IK288" i="10"/>
  <c r="AP383" i="10"/>
  <c r="AQ383" i="10"/>
  <c r="IJ383" i="10" s="1"/>
  <c r="JJ383" i="10"/>
  <c r="AU383" i="10"/>
  <c r="AC383" i="10"/>
  <c r="AP258" i="10"/>
  <c r="AU258" i="10"/>
  <c r="AC258" i="10"/>
  <c r="AQ258" i="10"/>
  <c r="IJ258" i="10" s="1"/>
  <c r="JJ258" i="10"/>
  <c r="AP326" i="10"/>
  <c r="JJ326" i="10"/>
  <c r="AU326" i="10"/>
  <c r="AC326" i="10"/>
  <c r="AQ326" i="10"/>
  <c r="IJ326" i="10" s="1"/>
  <c r="AI367" i="10"/>
  <c r="JL367" i="10"/>
  <c r="EK95" i="10"/>
  <c r="EL95" i="10"/>
  <c r="AI95" i="10"/>
  <c r="JL95" i="10"/>
  <c r="AI306" i="10"/>
  <c r="JL306" i="10"/>
  <c r="AD98" i="10"/>
  <c r="AS98" i="10"/>
  <c r="JT98" i="10"/>
  <c r="DP98" i="10"/>
  <c r="DN98" i="10" s="1"/>
  <c r="DO98" i="10" s="1"/>
  <c r="Z98" i="10"/>
  <c r="JD98" i="10"/>
  <c r="AS77" i="10"/>
  <c r="JT77" i="10"/>
  <c r="DM77" i="10"/>
  <c r="DN77" i="10"/>
  <c r="DO77" i="10" s="1"/>
  <c r="Z77" i="10"/>
  <c r="JD77" i="10"/>
  <c r="AD77" i="10"/>
  <c r="AI197" i="10"/>
  <c r="JL197" i="10"/>
  <c r="AS292" i="10"/>
  <c r="JT292" i="10"/>
  <c r="AD292" i="10"/>
  <c r="Z292" i="10"/>
  <c r="JD292" i="10"/>
  <c r="Z379" i="10"/>
  <c r="JD379" i="10"/>
  <c r="AD379" i="10"/>
  <c r="AS379" i="10"/>
  <c r="JT379" i="10"/>
  <c r="Z287" i="10"/>
  <c r="JD287" i="10"/>
  <c r="AS287" i="10"/>
  <c r="JT287" i="10"/>
  <c r="AD287" i="10"/>
  <c r="AI119" i="10"/>
  <c r="JL119" i="10"/>
  <c r="AS329" i="10"/>
  <c r="JT329" i="10"/>
  <c r="Z329" i="10"/>
  <c r="JD329" i="10"/>
  <c r="AD329" i="10"/>
  <c r="AS231" i="10"/>
  <c r="JT231" i="10"/>
  <c r="Z231" i="10"/>
  <c r="JD231" i="10"/>
  <c r="AD231" i="10"/>
  <c r="Z324" i="10"/>
  <c r="JD324" i="10"/>
  <c r="AD324" i="10"/>
  <c r="AS324" i="10"/>
  <c r="JT324" i="10"/>
  <c r="AI145" i="10"/>
  <c r="JL145" i="10"/>
  <c r="JU152" i="10"/>
  <c r="AS248" i="10"/>
  <c r="JT248" i="10"/>
  <c r="AD248" i="10"/>
  <c r="Z248" i="10"/>
  <c r="JD248" i="10"/>
  <c r="AI333" i="10"/>
  <c r="JL333" i="10"/>
  <c r="AZ333" i="10"/>
  <c r="GH333" i="10"/>
  <c r="IK333" i="10"/>
  <c r="IK79" i="10"/>
  <c r="AI79" i="10"/>
  <c r="JL79" i="10"/>
  <c r="AD74" i="10"/>
  <c r="AS74" i="10"/>
  <c r="JT74" i="10"/>
  <c r="DP74" i="10"/>
  <c r="DN74" i="10" s="1"/>
  <c r="DO74" i="10"/>
  <c r="Z74" i="10"/>
  <c r="JD74" i="10"/>
  <c r="AD167" i="10"/>
  <c r="Z167" i="10"/>
  <c r="JD167" i="10"/>
  <c r="AS167" i="10"/>
  <c r="JT167" i="10"/>
  <c r="AZ205" i="10"/>
  <c r="JU205" i="10"/>
  <c r="AI113" i="10"/>
  <c r="JL113" i="10"/>
  <c r="AZ341" i="10"/>
  <c r="JU341" i="10"/>
  <c r="Z213" i="10"/>
  <c r="JD213" i="10"/>
  <c r="AD213" i="10"/>
  <c r="AS213" i="10"/>
  <c r="JT213" i="10"/>
  <c r="AI337" i="10"/>
  <c r="JL337" i="10"/>
  <c r="AD147" i="10"/>
  <c r="Z147" i="10"/>
  <c r="JD147" i="10"/>
  <c r="Y141" i="15"/>
  <c r="AS147" i="10"/>
  <c r="JT147" i="10"/>
  <c r="EK94" i="10"/>
  <c r="EL94" i="10"/>
  <c r="AI94" i="10"/>
  <c r="JL94" i="10"/>
  <c r="AD367" i="10"/>
  <c r="AS367" i="10"/>
  <c r="JT367" i="10"/>
  <c r="Z367" i="10"/>
  <c r="JD367" i="10"/>
  <c r="AI276" i="10"/>
  <c r="JL276" i="10"/>
  <c r="AI121" i="10"/>
  <c r="JL121" i="10"/>
  <c r="AS347" i="10"/>
  <c r="JT347" i="10"/>
  <c r="AD347" i="10"/>
  <c r="Z347" i="10"/>
  <c r="JD347" i="10"/>
  <c r="AI180" i="10"/>
  <c r="JL180" i="10"/>
  <c r="AI268" i="10"/>
  <c r="JL268" i="10"/>
  <c r="AD220" i="10"/>
  <c r="AS220" i="10"/>
  <c r="JT220" i="10"/>
  <c r="Z220" i="10"/>
  <c r="JD220" i="10"/>
  <c r="AZ332" i="10"/>
  <c r="JU332" i="10"/>
  <c r="JU272" i="10"/>
  <c r="AI274" i="10"/>
  <c r="JL274" i="10"/>
  <c r="AD297" i="10"/>
  <c r="AS297" i="10"/>
  <c r="JT297" i="10"/>
  <c r="Z297" i="10"/>
  <c r="JD297" i="10"/>
  <c r="Z190" i="10"/>
  <c r="JD190" i="10"/>
  <c r="AD190" i="10"/>
  <c r="AS190" i="10"/>
  <c r="JT190" i="10"/>
  <c r="AD311" i="10"/>
  <c r="Z311" i="10"/>
  <c r="JD311" i="10"/>
  <c r="AS311" i="10"/>
  <c r="JT311" i="10"/>
  <c r="AI71" i="10"/>
  <c r="JL71" i="10"/>
  <c r="AI327" i="10"/>
  <c r="JL327" i="10"/>
  <c r="AD145" i="10"/>
  <c r="AS145" i="10"/>
  <c r="JT145" i="10"/>
  <c r="Z145" i="10"/>
  <c r="JD145" i="10"/>
  <c r="Z363" i="10"/>
  <c r="JD363" i="10"/>
  <c r="AD363" i="10"/>
  <c r="AS363" i="10"/>
  <c r="JT363" i="10"/>
  <c r="AI379" i="10"/>
  <c r="JL379" i="10"/>
  <c r="AI256" i="10"/>
  <c r="JL256" i="10"/>
  <c r="AI141" i="10"/>
  <c r="JL141" i="10"/>
  <c r="EK141" i="10"/>
  <c r="EL141" i="10"/>
  <c r="AS359" i="10"/>
  <c r="JT359" i="10"/>
  <c r="Z359" i="10"/>
  <c r="JD359" i="10"/>
  <c r="AD359" i="10"/>
  <c r="AI73" i="10"/>
  <c r="JL73" i="10"/>
  <c r="EK73" i="10"/>
  <c r="EL73" i="10"/>
  <c r="AH382" i="15"/>
  <c r="AI388" i="10"/>
  <c r="JL388" i="10"/>
  <c r="AS240" i="10"/>
  <c r="JT240" i="10"/>
  <c r="Z240" i="10"/>
  <c r="JD240" i="10"/>
  <c r="AD240" i="10"/>
  <c r="AI177" i="10"/>
  <c r="JL177" i="10"/>
  <c r="AZ243" i="10"/>
  <c r="JU243" i="10"/>
  <c r="AS238" i="10"/>
  <c r="JT238" i="10"/>
  <c r="AD238" i="10"/>
  <c r="Z238" i="10"/>
  <c r="JD238" i="10"/>
  <c r="Z198" i="10"/>
  <c r="JD198" i="10"/>
  <c r="AS198" i="10"/>
  <c r="JT198" i="10"/>
  <c r="AD198" i="10"/>
  <c r="AI175" i="10"/>
  <c r="JL175" i="10"/>
  <c r="AD391" i="10"/>
  <c r="AS391" i="10"/>
  <c r="JT391" i="10"/>
  <c r="DP391" i="10"/>
  <c r="DN391" i="10" s="1"/>
  <c r="DO391" i="10" s="1"/>
  <c r="AD109" i="10"/>
  <c r="AS109" i="10"/>
  <c r="JT109" i="10"/>
  <c r="Z109" i="10"/>
  <c r="JD109" i="10"/>
  <c r="AI210" i="10"/>
  <c r="JL210" i="10"/>
  <c r="AZ261" i="10"/>
  <c r="JU261" i="10"/>
  <c r="AD286" i="10"/>
  <c r="AS286" i="10"/>
  <c r="JT286" i="10"/>
  <c r="Z286" i="10"/>
  <c r="JD286" i="10"/>
  <c r="AS308" i="10"/>
  <c r="JT308" i="10"/>
  <c r="AD308" i="10"/>
  <c r="Z308" i="10"/>
  <c r="JD308" i="10"/>
  <c r="AD179" i="10"/>
  <c r="Z179" i="10"/>
  <c r="JD179" i="10"/>
  <c r="AS179" i="10"/>
  <c r="JT179" i="10"/>
  <c r="AI70" i="10"/>
  <c r="JL70" i="10"/>
  <c r="AI84" i="10"/>
  <c r="JL84" i="10"/>
  <c r="AD158" i="10"/>
  <c r="AS158" i="10"/>
  <c r="JT158" i="10"/>
  <c r="Z158" i="10"/>
  <c r="JD158" i="10"/>
  <c r="Z212" i="10"/>
  <c r="JD212" i="10"/>
  <c r="AS212" i="10"/>
  <c r="JT212" i="10"/>
  <c r="AD212" i="10"/>
  <c r="AI172" i="10"/>
  <c r="JL172" i="10"/>
  <c r="AI169" i="10"/>
  <c r="JL169" i="10"/>
  <c r="AS202" i="10"/>
  <c r="JT202" i="10"/>
  <c r="AD202" i="10"/>
  <c r="Z202" i="10"/>
  <c r="JD202" i="10"/>
  <c r="AD284" i="10"/>
  <c r="AS284" i="10"/>
  <c r="JT284" i="10"/>
  <c r="Z284" i="10"/>
  <c r="JD284" i="10"/>
  <c r="AX222" i="10"/>
  <c r="AY222" i="10"/>
  <c r="AH222" i="10"/>
  <c r="AS120" i="10"/>
  <c r="JT120" i="10"/>
  <c r="AD120" i="10"/>
  <c r="Z120" i="10"/>
  <c r="JD120" i="10"/>
  <c r="AI162" i="10"/>
  <c r="JL162" i="10"/>
  <c r="EK162" i="10"/>
  <c r="EL162" i="10"/>
  <c r="AI88" i="10"/>
  <c r="JL88" i="10"/>
  <c r="EK88" i="10"/>
  <c r="EL88" i="10"/>
  <c r="EK158" i="10"/>
  <c r="EL158" i="10"/>
  <c r="AI158" i="10"/>
  <c r="JL158" i="10"/>
  <c r="AI232" i="10"/>
  <c r="JL232" i="10"/>
  <c r="IK232" i="10"/>
  <c r="AI111" i="10"/>
  <c r="JL111" i="10"/>
  <c r="AI317" i="10"/>
  <c r="JL317" i="10"/>
  <c r="AZ368" i="10"/>
  <c r="JU368" i="10"/>
  <c r="AI176" i="10"/>
  <c r="JL176" i="10"/>
  <c r="AD210" i="10"/>
  <c r="AS210" i="10"/>
  <c r="JT210" i="10"/>
  <c r="Z210" i="10"/>
  <c r="JD210" i="10"/>
  <c r="Z96" i="10"/>
  <c r="JD96" i="10"/>
  <c r="Y90" i="15"/>
  <c r="AD96" i="10"/>
  <c r="AS96" i="10"/>
  <c r="JT96" i="10"/>
  <c r="AI198" i="10"/>
  <c r="JL198" i="10"/>
  <c r="AI364" i="10"/>
  <c r="JL364" i="10"/>
  <c r="AD382" i="10"/>
  <c r="AS382" i="10"/>
  <c r="JT382" i="10"/>
  <c r="Z382" i="10"/>
  <c r="JD382" i="10"/>
  <c r="AI202" i="10"/>
  <c r="JL202" i="10"/>
  <c r="AD216" i="10"/>
  <c r="AS216" i="10"/>
  <c r="JT216" i="10"/>
  <c r="Z216" i="10"/>
  <c r="JD216" i="10"/>
  <c r="AD148" i="10"/>
  <c r="AS148" i="10"/>
  <c r="JT148" i="10"/>
  <c r="Z148" i="10"/>
  <c r="JD148" i="10"/>
  <c r="Z131" i="10"/>
  <c r="JD131" i="10"/>
  <c r="AS131" i="10"/>
  <c r="JT131" i="10"/>
  <c r="AD131" i="10"/>
  <c r="AI194" i="10"/>
  <c r="JL194" i="10"/>
  <c r="AI283" i="10"/>
  <c r="JL283" i="10"/>
  <c r="AI371" i="10"/>
  <c r="JL371" i="10"/>
  <c r="CF82" i="10"/>
  <c r="CW82" i="10"/>
  <c r="AX82" i="10"/>
  <c r="AY82" i="10"/>
  <c r="AH82" i="10"/>
  <c r="AP41" i="10"/>
  <c r="JJ41" i="10"/>
  <c r="AU41" i="10"/>
  <c r="AC41" i="10"/>
  <c r="AQ41" i="10"/>
  <c r="IJ41" i="10" s="1"/>
  <c r="AX160" i="10"/>
  <c r="AY160" i="10"/>
  <c r="AH160" i="10"/>
  <c r="AP181" i="10"/>
  <c r="JJ181" i="10"/>
  <c r="AU181" i="10"/>
  <c r="AC181" i="10"/>
  <c r="AQ181" i="10"/>
  <c r="IJ181" i="10"/>
  <c r="AD139" i="10"/>
  <c r="AS139" i="10"/>
  <c r="JT139" i="10"/>
  <c r="Z139" i="10"/>
  <c r="JD139" i="10"/>
  <c r="AI297" i="10"/>
  <c r="JL297" i="10"/>
  <c r="AI279" i="10"/>
  <c r="JL279" i="10"/>
  <c r="AD273" i="10"/>
  <c r="AS273" i="10"/>
  <c r="JT273" i="10"/>
  <c r="Z273" i="10"/>
  <c r="JD273" i="10"/>
  <c r="AD365" i="10"/>
  <c r="AS365" i="10"/>
  <c r="JT365" i="10"/>
  <c r="Z365" i="10"/>
  <c r="JD365" i="10"/>
  <c r="EK93" i="10"/>
  <c r="EL93" i="10"/>
  <c r="AI93" i="10"/>
  <c r="JL93" i="10"/>
  <c r="AS103" i="10"/>
  <c r="JT103" i="10"/>
  <c r="DN103" i="10"/>
  <c r="DO103" i="10" s="1"/>
  <c r="Z103" i="10"/>
  <c r="JD103" i="10"/>
  <c r="AD103" i="10"/>
  <c r="AS119" i="10"/>
  <c r="JT119" i="10"/>
  <c r="AD119" i="10"/>
  <c r="DP119" i="10"/>
  <c r="DN119" i="10" s="1"/>
  <c r="DO119" i="10" s="1"/>
  <c r="Z119" i="10"/>
  <c r="JD119" i="10"/>
  <c r="AS200" i="10"/>
  <c r="JT200" i="10"/>
  <c r="Z200" i="10"/>
  <c r="JD200" i="10"/>
  <c r="AD200" i="10"/>
  <c r="AS263" i="10"/>
  <c r="JT263" i="10"/>
  <c r="Z263" i="10"/>
  <c r="JD263" i="10"/>
  <c r="AD263" i="10"/>
  <c r="AD76" i="10"/>
  <c r="AS76" i="10"/>
  <c r="JT76" i="10"/>
  <c r="Z76" i="10"/>
  <c r="JD76" i="10"/>
  <c r="Z266" i="10"/>
  <c r="JD266" i="10"/>
  <c r="AS266" i="10"/>
  <c r="JT266" i="10"/>
  <c r="AD266" i="10"/>
  <c r="AI139" i="10"/>
  <c r="JL139" i="10"/>
  <c r="AI318" i="10"/>
  <c r="JL318" i="10"/>
  <c r="AI109" i="10"/>
  <c r="JL109" i="10"/>
  <c r="AI285" i="10"/>
  <c r="JL285" i="10"/>
  <c r="AZ285" i="10"/>
  <c r="GH285" i="10"/>
  <c r="AI302" i="10"/>
  <c r="JL302" i="10"/>
  <c r="AI359" i="10"/>
  <c r="JL359" i="10"/>
  <c r="AI311" i="10"/>
  <c r="JL311" i="10"/>
  <c r="AD159" i="10"/>
  <c r="AS159" i="10"/>
  <c r="JT159" i="10"/>
  <c r="Z159" i="10"/>
  <c r="JD159" i="10"/>
  <c r="AS313" i="10"/>
  <c r="JT313" i="10"/>
  <c r="AD313" i="10"/>
  <c r="Z313" i="10"/>
  <c r="JD313" i="10"/>
  <c r="Z110" i="10"/>
  <c r="JD110" i="10"/>
  <c r="AS110" i="10"/>
  <c r="JT110" i="10"/>
  <c r="AD110" i="10"/>
  <c r="AS193" i="10"/>
  <c r="JT193" i="10"/>
  <c r="Z193" i="10"/>
  <c r="JD193" i="10"/>
  <c r="AD193" i="10"/>
  <c r="AI146" i="10"/>
  <c r="JL146" i="10"/>
  <c r="AZ334" i="10"/>
  <c r="JU334" i="10"/>
  <c r="AI265" i="10"/>
  <c r="JL265" i="10"/>
  <c r="AS355" i="10"/>
  <c r="JT355" i="10"/>
  <c r="AD355" i="10"/>
  <c r="Z355" i="10"/>
  <c r="JD355" i="10"/>
  <c r="AI163" i="10"/>
  <c r="JL163" i="10"/>
  <c r="EK163" i="10"/>
  <c r="EL163" i="10"/>
  <c r="AS234" i="10"/>
  <c r="JT234" i="10"/>
  <c r="Z234" i="10"/>
  <c r="JD234" i="10"/>
  <c r="AD234" i="10"/>
  <c r="AI235" i="10"/>
  <c r="JL235" i="10"/>
  <c r="IK235" i="10"/>
  <c r="Y382" i="15"/>
  <c r="AS388" i="10"/>
  <c r="JT388" i="10"/>
  <c r="AD388" i="10"/>
  <c r="AI240" i="10"/>
  <c r="JL240" i="10"/>
  <c r="AS146" i="10"/>
  <c r="JT146" i="10"/>
  <c r="AD146" i="10"/>
  <c r="Z146" i="10"/>
  <c r="JD146" i="10"/>
  <c r="AD274" i="10"/>
  <c r="AS274" i="10"/>
  <c r="JT274" i="10"/>
  <c r="Z274" i="10"/>
  <c r="JD274" i="10"/>
  <c r="AD100" i="10"/>
  <c r="Z100" i="10"/>
  <c r="JD100" i="10"/>
  <c r="AS100" i="10"/>
  <c r="JT100" i="10"/>
  <c r="AI131" i="10"/>
  <c r="JL131" i="10"/>
  <c r="Z268" i="10"/>
  <c r="JD268" i="10"/>
  <c r="AS268" i="10"/>
  <c r="JT268" i="10"/>
  <c r="AD268" i="10"/>
  <c r="DM91" i="10"/>
  <c r="Z91" i="10"/>
  <c r="JD91" i="10"/>
  <c r="AS91" i="10"/>
  <c r="JT91" i="10"/>
  <c r="AD91" i="10"/>
  <c r="AI165" i="10"/>
  <c r="JL165" i="10"/>
  <c r="Z256" i="10"/>
  <c r="JD256" i="10"/>
  <c r="AS256" i="10"/>
  <c r="JT256" i="10"/>
  <c r="AD256" i="10"/>
  <c r="AS267" i="10"/>
  <c r="JT267" i="10"/>
  <c r="AD267" i="10"/>
  <c r="Z267" i="10"/>
  <c r="JD267" i="10"/>
  <c r="AP303" i="10"/>
  <c r="AU303" i="10"/>
  <c r="AC303" i="10"/>
  <c r="JJ303" i="10"/>
  <c r="AQ303" i="10"/>
  <c r="IJ303" i="10" s="1"/>
  <c r="AS94" i="10"/>
  <c r="JT94" i="10"/>
  <c r="AD94" i="10"/>
  <c r="Z94" i="10"/>
  <c r="JD94" i="10"/>
  <c r="JU339" i="10"/>
  <c r="AI173" i="10"/>
  <c r="JL173" i="10"/>
  <c r="AP92" i="10"/>
  <c r="AQ92" i="10"/>
  <c r="IJ92" i="10" s="1"/>
  <c r="AU92" i="10"/>
  <c r="AC92" i="10"/>
  <c r="JJ92" i="10"/>
  <c r="AP85" i="10"/>
  <c r="AU85" i="10"/>
  <c r="AC85" i="10"/>
  <c r="AQ85" i="10"/>
  <c r="IJ85" i="10" s="1"/>
  <c r="JJ85" i="10"/>
  <c r="AI278" i="10"/>
  <c r="JL278" i="10"/>
  <c r="IK278" i="10"/>
  <c r="AZ278" i="10"/>
  <c r="GH278" i="10"/>
  <c r="AI209" i="10"/>
  <c r="JL209" i="10"/>
  <c r="AS182" i="10"/>
  <c r="JT182" i="10"/>
  <c r="Z182" i="10"/>
  <c r="JD182" i="10"/>
  <c r="AD182" i="10"/>
  <c r="JU291" i="10"/>
  <c r="AI150" i="10"/>
  <c r="JL150" i="10"/>
  <c r="EK150" i="10"/>
  <c r="EL150" i="10"/>
  <c r="Z161" i="10"/>
  <c r="JD161" i="10"/>
  <c r="AD161" i="10"/>
  <c r="AS161" i="10"/>
  <c r="JT161" i="10"/>
  <c r="AI266" i="10"/>
  <c r="JL266" i="10"/>
  <c r="AI365" i="10"/>
  <c r="JL365" i="10"/>
  <c r="AD201" i="10"/>
  <c r="AS201" i="10"/>
  <c r="JT201" i="10"/>
  <c r="Z201" i="10"/>
  <c r="JD201" i="10"/>
  <c r="AI357" i="10"/>
  <c r="JL357" i="10"/>
  <c r="AD227" i="10"/>
  <c r="Z227" i="10"/>
  <c r="JD227" i="10"/>
  <c r="AS227" i="10"/>
  <c r="JT227" i="10"/>
  <c r="AD163" i="10"/>
  <c r="Z163" i="10"/>
  <c r="JD163" i="10"/>
  <c r="AS163" i="10"/>
  <c r="JT163" i="10"/>
  <c r="AI347" i="10"/>
  <c r="JL347" i="10"/>
  <c r="AI346" i="10"/>
  <c r="JL346" i="10"/>
  <c r="AI329" i="10"/>
  <c r="JL329" i="10"/>
  <c r="AI245" i="10"/>
  <c r="JL245" i="10"/>
  <c r="AI118" i="10"/>
  <c r="JL118" i="10"/>
  <c r="AZ118" i="10"/>
  <c r="GH118" i="10"/>
  <c r="AI179" i="10"/>
  <c r="JL179" i="10"/>
  <c r="Z169" i="10"/>
  <c r="JD169" i="10"/>
  <c r="AS169" i="10"/>
  <c r="JT169" i="10"/>
  <c r="AD169" i="10"/>
  <c r="AD317" i="10"/>
  <c r="AS317" i="10"/>
  <c r="JT317" i="10"/>
  <c r="Z317" i="10"/>
  <c r="JD317" i="10"/>
  <c r="AI356" i="10"/>
  <c r="JL356" i="10"/>
  <c r="AS306" i="10"/>
  <c r="JT306" i="10"/>
  <c r="AD306" i="10"/>
  <c r="Z306" i="10"/>
  <c r="JD306" i="10"/>
  <c r="AI76" i="10"/>
  <c r="JL76" i="10"/>
  <c r="EK76" i="10"/>
  <c r="EL76" i="10"/>
  <c r="AD203" i="10"/>
  <c r="Z203" i="10"/>
  <c r="JD203" i="10"/>
  <c r="AS203" i="10"/>
  <c r="JT203" i="10"/>
  <c r="AI137" i="10"/>
  <c r="JL137" i="10"/>
  <c r="EK137" i="10"/>
  <c r="EL137" i="10"/>
  <c r="AI275" i="10"/>
  <c r="JL275" i="10"/>
  <c r="AP222" i="10"/>
  <c r="AU222" i="10"/>
  <c r="AC222" i="10"/>
  <c r="AQ222" i="10"/>
  <c r="IJ222" i="10" s="1"/>
  <c r="JJ222" i="10"/>
  <c r="AD356" i="10"/>
  <c r="Z356" i="10"/>
  <c r="JD356" i="10"/>
  <c r="AS356" i="10"/>
  <c r="JT356" i="10"/>
  <c r="AS154" i="10"/>
  <c r="JT154" i="10"/>
  <c r="AD154" i="10"/>
  <c r="Z154" i="10"/>
  <c r="JD154" i="10"/>
  <c r="IJ357" i="10"/>
  <c r="AD357" i="10"/>
  <c r="AS357" i="10"/>
  <c r="JT357" i="10"/>
  <c r="Z357" i="10"/>
  <c r="JD357" i="10"/>
  <c r="AS314" i="10"/>
  <c r="JT314" i="10"/>
  <c r="AD314" i="10"/>
  <c r="Z314" i="10"/>
  <c r="JD314" i="10"/>
  <c r="AS389" i="10"/>
  <c r="JT389" i="10"/>
  <c r="AD389" i="10"/>
  <c r="AI308" i="10"/>
  <c r="JL308" i="10"/>
  <c r="AI193" i="10"/>
  <c r="JL193" i="10"/>
  <c r="AS279" i="10"/>
  <c r="JT279" i="10"/>
  <c r="AD279" i="10"/>
  <c r="Z279" i="10"/>
  <c r="JD279" i="10"/>
  <c r="AI305" i="10"/>
  <c r="JL305" i="10"/>
  <c r="Z237" i="10"/>
  <c r="JD237" i="10"/>
  <c r="AS237" i="10"/>
  <c r="JT237" i="10"/>
  <c r="AD237" i="10"/>
  <c r="AI259" i="10"/>
  <c r="JL259" i="10"/>
  <c r="AD337" i="10"/>
  <c r="Z337" i="10"/>
  <c r="JD337" i="10"/>
  <c r="AS337" i="10"/>
  <c r="JT337" i="10"/>
  <c r="AI196" i="10"/>
  <c r="JL196" i="10"/>
  <c r="AI100" i="10"/>
  <c r="JL100" i="10"/>
  <c r="AS95" i="10"/>
  <c r="JT95" i="10"/>
  <c r="Z95" i="10"/>
  <c r="JD95" i="10"/>
  <c r="AD95" i="10"/>
  <c r="AI127" i="10"/>
  <c r="JL127" i="10"/>
  <c r="EK127" i="10"/>
  <c r="EL127" i="10"/>
  <c r="Z122" i="10"/>
  <c r="JD122" i="10"/>
  <c r="AS122" i="10"/>
  <c r="JT122" i="10"/>
  <c r="AD122" i="10"/>
  <c r="JU387" i="10"/>
  <c r="Z285" i="10"/>
  <c r="JD285" i="10"/>
  <c r="AD285" i="10"/>
  <c r="AS285" i="10"/>
  <c r="JT285" i="10"/>
  <c r="AX362" i="10"/>
  <c r="AY362" i="10"/>
  <c r="AH362" i="10"/>
  <c r="AI204" i="10"/>
  <c r="JL204" i="10"/>
  <c r="AS93" i="10"/>
  <c r="JT93" i="10"/>
  <c r="AD93" i="10"/>
  <c r="Z93" i="10"/>
  <c r="JD93" i="10"/>
  <c r="AD245" i="10"/>
  <c r="Z245" i="10"/>
  <c r="JD245" i="10"/>
  <c r="AS245" i="10"/>
  <c r="JT245" i="10"/>
  <c r="AS149" i="10"/>
  <c r="JT149" i="10"/>
  <c r="Z149" i="10"/>
  <c r="JD149" i="10"/>
  <c r="AD149" i="10"/>
  <c r="AI106" i="10"/>
  <c r="JL106" i="10"/>
  <c r="EK106" i="10"/>
  <c r="EL106" i="10"/>
  <c r="AS305" i="10"/>
  <c r="JT305" i="10"/>
  <c r="Z305" i="10"/>
  <c r="JD305" i="10"/>
  <c r="AD305" i="10"/>
  <c r="AI287" i="10"/>
  <c r="JL287" i="10"/>
  <c r="AS277" i="10"/>
  <c r="JT277" i="10"/>
  <c r="Z277" i="10"/>
  <c r="JD277" i="10"/>
  <c r="AD277" i="10"/>
  <c r="JU338" i="10"/>
  <c r="AD283" i="10"/>
  <c r="AS283" i="10"/>
  <c r="JT283" i="10"/>
  <c r="Z283" i="10"/>
  <c r="JD283" i="10"/>
  <c r="Z194" i="10"/>
  <c r="JD194" i="10"/>
  <c r="AD194" i="10"/>
  <c r="AS194" i="10"/>
  <c r="JT194" i="10"/>
  <c r="JU343" i="10"/>
  <c r="AD328" i="10"/>
  <c r="AS328" i="10"/>
  <c r="JT328" i="10"/>
  <c r="Z328" i="10"/>
  <c r="JD328" i="10"/>
  <c r="AD364" i="10"/>
  <c r="AS364" i="10"/>
  <c r="JT364" i="10"/>
  <c r="Z364" i="10"/>
  <c r="JD364" i="10"/>
  <c r="AS134" i="10"/>
  <c r="JT134" i="10"/>
  <c r="AD134" i="10"/>
  <c r="Z134" i="10"/>
  <c r="JD134" i="10"/>
  <c r="Z319" i="10"/>
  <c r="JD319" i="10"/>
  <c r="AD319" i="10"/>
  <c r="AS319" i="10"/>
  <c r="JT319" i="10"/>
  <c r="AD350" i="10"/>
  <c r="Z350" i="10"/>
  <c r="JD350" i="10"/>
  <c r="AS350" i="10"/>
  <c r="JT350" i="10"/>
  <c r="AI378" i="10"/>
  <c r="JL378" i="10"/>
  <c r="AD209" i="10"/>
  <c r="Z209" i="10"/>
  <c r="JD209" i="10"/>
  <c r="AS209" i="10"/>
  <c r="JT209" i="10"/>
  <c r="EK110" i="10"/>
  <c r="EL110" i="10"/>
  <c r="AI110" i="10"/>
  <c r="JL110" i="10"/>
  <c r="AS118" i="10"/>
  <c r="JT118" i="10"/>
  <c r="Z118" i="10"/>
  <c r="JD118" i="10"/>
  <c r="AD118" i="10"/>
  <c r="Y219" i="15"/>
  <c r="AS225" i="10"/>
  <c r="JT225" i="10"/>
  <c r="AD225" i="10"/>
  <c r="Z225" i="10"/>
  <c r="JD225" i="10"/>
  <c r="Z384" i="10"/>
  <c r="JD384" i="10"/>
  <c r="AS384" i="10"/>
  <c r="JT384" i="10"/>
  <c r="AD384" i="10"/>
  <c r="AS127" i="10"/>
  <c r="JT127" i="10"/>
  <c r="AD127" i="10"/>
  <c r="Z127" i="10"/>
  <c r="JD127" i="10"/>
  <c r="AI237" i="10"/>
  <c r="JL237" i="10"/>
  <c r="AI382" i="10"/>
  <c r="JL382" i="10"/>
  <c r="AX258" i="10"/>
  <c r="EK258" i="10"/>
  <c r="EL258" i="10"/>
  <c r="AY258" i="10"/>
  <c r="AZ258" i="10"/>
  <c r="GH258" i="10"/>
  <c r="AH258" i="10"/>
  <c r="AX331" i="10"/>
  <c r="AY331" i="10"/>
  <c r="IK331" i="10"/>
  <c r="AH331" i="10"/>
  <c r="AX140" i="10"/>
  <c r="AH140" i="10"/>
  <c r="AY140" i="10"/>
  <c r="AP335" i="10"/>
  <c r="JJ335" i="10"/>
  <c r="AU335" i="10"/>
  <c r="AC335" i="10"/>
  <c r="AQ335" i="10"/>
  <c r="IJ335" i="10" s="1"/>
  <c r="AI342" i="10"/>
  <c r="JL342" i="10"/>
  <c r="AZ136" i="10"/>
  <c r="JU136" i="10"/>
  <c r="AD253" i="10"/>
  <c r="AS253" i="10"/>
  <c r="JT253" i="10"/>
  <c r="Z253" i="10"/>
  <c r="JD253" i="10"/>
  <c r="AI87" i="10"/>
  <c r="JL87" i="10"/>
  <c r="AD133" i="10"/>
  <c r="AS133" i="10"/>
  <c r="JT133" i="10"/>
  <c r="DP133" i="10"/>
  <c r="DN133" i="10" s="1"/>
  <c r="DO133" i="10" s="1"/>
  <c r="Z133" i="10"/>
  <c r="JD133" i="10"/>
  <c r="AD233" i="10"/>
  <c r="AS233" i="10"/>
  <c r="JT233" i="10"/>
  <c r="Z233" i="10"/>
  <c r="JD233" i="10"/>
  <c r="Z197" i="10"/>
  <c r="JD197" i="10"/>
  <c r="AS197" i="10"/>
  <c r="JT197" i="10"/>
  <c r="AD197" i="10"/>
  <c r="AD260" i="10"/>
  <c r="AS260" i="10"/>
  <c r="JT260" i="10"/>
  <c r="Z260" i="10"/>
  <c r="JD260" i="10"/>
  <c r="DP123" i="10"/>
  <c r="DN123" i="10" s="1"/>
  <c r="DO123" i="10" s="1"/>
  <c r="Z123" i="10"/>
  <c r="JD123" i="10"/>
  <c r="AD123" i="10"/>
  <c r="AS123" i="10"/>
  <c r="JT123" i="10"/>
  <c r="AI91" i="10"/>
  <c r="JL91" i="10"/>
  <c r="AI226" i="10"/>
  <c r="JL226" i="10"/>
  <c r="AI373" i="10"/>
  <c r="JL373" i="10"/>
  <c r="AI319" i="10"/>
  <c r="JL319" i="10"/>
  <c r="AD275" i="10"/>
  <c r="Z275" i="10"/>
  <c r="JD275" i="10"/>
  <c r="AS275" i="10"/>
  <c r="JT275" i="10"/>
  <c r="AX157" i="10"/>
  <c r="AY157" i="10"/>
  <c r="IK157" i="10"/>
  <c r="AH157" i="10"/>
  <c r="AX315" i="10"/>
  <c r="AY315" i="10"/>
  <c r="AZ315" i="10"/>
  <c r="GH315" i="10"/>
  <c r="AH315" i="10"/>
  <c r="AI277" i="10"/>
  <c r="JL277" i="10"/>
  <c r="AI190" i="10"/>
  <c r="JL190" i="10"/>
  <c r="AD156" i="10"/>
  <c r="AS156" i="10"/>
  <c r="JT156" i="10"/>
  <c r="Z156" i="10"/>
  <c r="JD156" i="10"/>
  <c r="Z125" i="10"/>
  <c r="JD125" i="10"/>
  <c r="AS125" i="10"/>
  <c r="JT125" i="10"/>
  <c r="AD125" i="10"/>
  <c r="AP72" i="10"/>
  <c r="JJ72" i="10"/>
  <c r="AU72" i="10"/>
  <c r="AC72" i="10"/>
  <c r="AQ72" i="10"/>
  <c r="IJ72" i="10" s="1"/>
  <c r="CF108" i="10"/>
  <c r="CW108" i="10"/>
  <c r="AX108" i="10"/>
  <c r="AH108" i="10"/>
  <c r="AY108" i="10"/>
  <c r="AI170" i="10"/>
  <c r="JL170" i="10"/>
  <c r="AS172" i="10"/>
  <c r="JT172" i="10"/>
  <c r="Z172" i="10"/>
  <c r="JD172" i="10"/>
  <c r="AD172" i="10"/>
  <c r="AI155" i="10"/>
  <c r="JL155" i="10"/>
  <c r="AS381" i="10"/>
  <c r="JT381" i="10"/>
  <c r="AD381" i="10"/>
  <c r="Z381" i="10"/>
  <c r="JD381" i="10"/>
  <c r="AI105" i="10"/>
  <c r="JL105" i="10"/>
  <c r="AH141" i="15"/>
  <c r="AI147" i="10"/>
  <c r="JL147" i="10"/>
  <c r="IK147" i="10"/>
  <c r="AZ271" i="10"/>
  <c r="JU271" i="10"/>
  <c r="JU352" i="10"/>
  <c r="AD232" i="10"/>
  <c r="Z232" i="10"/>
  <c r="JD232" i="10"/>
  <c r="AS232" i="10"/>
  <c r="JT232" i="10"/>
  <c r="AD374" i="10"/>
  <c r="AS374" i="10"/>
  <c r="JT374" i="10"/>
  <c r="Z374" i="10"/>
  <c r="JD374" i="10"/>
  <c r="AZ262" i="10"/>
  <c r="JU262" i="10"/>
  <c r="AS390" i="10"/>
  <c r="JT390" i="10"/>
  <c r="AD390" i="10"/>
  <c r="AD321" i="10"/>
  <c r="AS321" i="10"/>
  <c r="JT321" i="10"/>
  <c r="Z321" i="10"/>
  <c r="JD321" i="10"/>
  <c r="AI248" i="10"/>
  <c r="JL248" i="10"/>
  <c r="DP247" i="10"/>
  <c r="DN247" i="10" s="1"/>
  <c r="DO247" i="10"/>
  <c r="Z247" i="10"/>
  <c r="JD247" i="10"/>
  <c r="AD247" i="10"/>
  <c r="AS247" i="10"/>
  <c r="JT247" i="10"/>
  <c r="AD162" i="10"/>
  <c r="Z162" i="10"/>
  <c r="JD162" i="10"/>
  <c r="AS162" i="10"/>
  <c r="JT162" i="10"/>
  <c r="AS282" i="10"/>
  <c r="JT282" i="10"/>
  <c r="AD282" i="10"/>
  <c r="Z282" i="10"/>
  <c r="JD282" i="10"/>
  <c r="AI96" i="10"/>
  <c r="JL96" i="10"/>
  <c r="AI350" i="10"/>
  <c r="JL350" i="10"/>
  <c r="AI201" i="10"/>
  <c r="JL201" i="10"/>
  <c r="AX358" i="10"/>
  <c r="AH358" i="10"/>
  <c r="AY358" i="10"/>
  <c r="CF85" i="10"/>
  <c r="CW85" i="10"/>
  <c r="AX85" i="10"/>
  <c r="AY85" i="10"/>
  <c r="EK85" i="10"/>
  <c r="EL85" i="10"/>
  <c r="AZ85" i="10"/>
  <c r="GH85" i="10"/>
  <c r="AH85" i="10"/>
  <c r="AX214" i="10"/>
  <c r="AH214" i="10"/>
  <c r="AY214" i="10"/>
  <c r="IK214" i="10"/>
  <c r="AX144" i="10"/>
  <c r="AY144" i="10"/>
  <c r="AZ144" i="10"/>
  <c r="GH144" i="10"/>
  <c r="AH144" i="10"/>
  <c r="AP140" i="10"/>
  <c r="AU140" i="10"/>
  <c r="AC140" i="10"/>
  <c r="AQ140" i="10"/>
  <c r="IJ140" i="10" s="1"/>
  <c r="JJ140" i="10"/>
  <c r="AD336" i="10"/>
  <c r="AS336" i="10"/>
  <c r="JT336" i="10"/>
  <c r="Z336" i="10"/>
  <c r="JD336" i="10"/>
  <c r="CQ92" i="10"/>
  <c r="CW92" i="10"/>
  <c r="AX92" i="10"/>
  <c r="AY92" i="10"/>
  <c r="EK92" i="10"/>
  <c r="EL92" i="10"/>
  <c r="AZ92" i="10"/>
  <c r="GH92" i="10"/>
  <c r="AH92" i="10"/>
  <c r="AP331" i="10"/>
  <c r="AU331" i="10"/>
  <c r="AC331" i="10"/>
  <c r="JJ331" i="10"/>
  <c r="AQ331" i="10"/>
  <c r="IJ331" i="10"/>
  <c r="AD278" i="10"/>
  <c r="AS278" i="10"/>
  <c r="JT278" i="10"/>
  <c r="Z278" i="10"/>
  <c r="JD278" i="10"/>
  <c r="AI289" i="10"/>
  <c r="JL289" i="10"/>
  <c r="AI168" i="10"/>
  <c r="JL168" i="10"/>
  <c r="Z166" i="10"/>
  <c r="JD166" i="10"/>
  <c r="AD166" i="10"/>
  <c r="AS166" i="10"/>
  <c r="JT166" i="10"/>
  <c r="AS254" i="10"/>
  <c r="JT254" i="10"/>
  <c r="Z254" i="10"/>
  <c r="JD254" i="10"/>
  <c r="AD254" i="10"/>
  <c r="AZ323" i="10"/>
  <c r="JU323" i="10"/>
  <c r="AI159" i="10"/>
  <c r="JL159" i="10"/>
  <c r="EK159" i="10"/>
  <c r="EL159" i="10"/>
  <c r="Z340" i="10"/>
  <c r="JD340" i="10"/>
  <c r="AD340" i="10"/>
  <c r="AS340" i="10"/>
  <c r="JT340" i="10"/>
  <c r="AI386" i="10"/>
  <c r="JL386" i="10"/>
  <c r="AI374" i="10"/>
  <c r="JL374" i="10"/>
  <c r="Z276" i="10"/>
  <c r="JD276" i="10"/>
  <c r="AS276" i="10"/>
  <c r="JT276" i="10"/>
  <c r="AD276" i="10"/>
  <c r="Z289" i="10"/>
  <c r="JD289" i="10"/>
  <c r="AS289" i="10"/>
  <c r="JT289" i="10"/>
  <c r="AD289" i="10"/>
  <c r="AS281" i="10"/>
  <c r="JT281" i="10"/>
  <c r="AD281" i="10"/>
  <c r="Z281" i="10"/>
  <c r="JD281" i="10"/>
  <c r="AI75" i="10"/>
  <c r="JL75" i="10"/>
  <c r="AZ221" i="10"/>
  <c r="JU221" i="10"/>
  <c r="Z351" i="10"/>
  <c r="JD351" i="10"/>
  <c r="AS351" i="10"/>
  <c r="JT351" i="10"/>
  <c r="AD351" i="10"/>
  <c r="AI74" i="10"/>
  <c r="JL74" i="10"/>
  <c r="AI273" i="10"/>
  <c r="JL273" i="10"/>
  <c r="AI99" i="10"/>
  <c r="JL99" i="10"/>
  <c r="EK99" i="10"/>
  <c r="EL99" i="10"/>
  <c r="AI354" i="10"/>
  <c r="JL354" i="10"/>
  <c r="AD360" i="10"/>
  <c r="AS360" i="10"/>
  <c r="JT360" i="10"/>
  <c r="Z360" i="10"/>
  <c r="JD360" i="10"/>
  <c r="AI361" i="10"/>
  <c r="JL361" i="10"/>
  <c r="EK82" i="10"/>
  <c r="EL82" i="10"/>
  <c r="EK315" i="10"/>
  <c r="EL315" i="10"/>
  <c r="EK358" i="10"/>
  <c r="EL358" i="10"/>
  <c r="EK241" i="10"/>
  <c r="EL241" i="10"/>
  <c r="EK383" i="10"/>
  <c r="EL383" i="10"/>
  <c r="EK214" i="10"/>
  <c r="EL214" i="10"/>
  <c r="EK362" i="10"/>
  <c r="EL362" i="10"/>
  <c r="EK331" i="10"/>
  <c r="EL331" i="10"/>
  <c r="EK108" i="10"/>
  <c r="EL108" i="10"/>
  <c r="EK107" i="10"/>
  <c r="EL107" i="10"/>
  <c r="EK326" i="10"/>
  <c r="EL326" i="10"/>
  <c r="EK222" i="10"/>
  <c r="EL222" i="10"/>
  <c r="EK160" i="10"/>
  <c r="EL160" i="10"/>
  <c r="EK157" i="10"/>
  <c r="EL157" i="10"/>
  <c r="EK144" i="10"/>
  <c r="EL144" i="10"/>
  <c r="EK181" i="10"/>
  <c r="EL181" i="10"/>
  <c r="EK288" i="10"/>
  <c r="EL288" i="10"/>
  <c r="EK335" i="10"/>
  <c r="EL335" i="10"/>
  <c r="EK303" i="10"/>
  <c r="EL303" i="10"/>
  <c r="EK140" i="10"/>
  <c r="EL140" i="10"/>
  <c r="BB294" i="10"/>
  <c r="BB148" i="10"/>
  <c r="BB210" i="10"/>
  <c r="AH208" i="10"/>
  <c r="BB328" i="10"/>
  <c r="BA391" i="10"/>
  <c r="CF54" i="10"/>
  <c r="CW54" i="10"/>
  <c r="AX54" i="10"/>
  <c r="BB178" i="10"/>
  <c r="BB235" i="10"/>
  <c r="BB323" i="10"/>
  <c r="BB171" i="10"/>
  <c r="BB207" i="10"/>
  <c r="BB264" i="10"/>
  <c r="BB91" i="10"/>
  <c r="BB376" i="10"/>
  <c r="BB256" i="10"/>
  <c r="AX33" i="10"/>
  <c r="BB33" i="10"/>
  <c r="BB115" i="10"/>
  <c r="FZ22" i="10"/>
  <c r="GA22" i="10"/>
  <c r="GD22" i="10"/>
  <c r="GE22" i="10"/>
  <c r="BA294" i="10"/>
  <c r="BA207" i="10"/>
  <c r="BA194" i="10"/>
  <c r="BB342" i="10"/>
  <c r="BB83" i="10"/>
  <c r="BA376" i="10"/>
  <c r="BA137" i="10"/>
  <c r="BA127" i="10"/>
  <c r="BB344" i="10"/>
  <c r="BA317" i="10"/>
  <c r="CW49" i="10"/>
  <c r="AX49" i="10"/>
  <c r="AH49" i="10"/>
  <c r="BA312" i="10"/>
  <c r="BB312" i="10"/>
  <c r="BA79" i="10"/>
  <c r="CW36" i="10"/>
  <c r="AX36" i="10"/>
  <c r="BA252" i="10"/>
  <c r="BB252" i="10"/>
  <c r="BA236" i="10"/>
  <c r="BB236" i="10"/>
  <c r="CF47" i="10"/>
  <c r="CW47" i="10"/>
  <c r="AX47" i="10"/>
  <c r="EK47" i="10"/>
  <c r="EL47" i="10"/>
  <c r="BB141" i="10"/>
  <c r="BA282" i="10"/>
  <c r="BB282" i="10"/>
  <c r="CF44" i="10"/>
  <c r="CW44" i="10"/>
  <c r="AX44" i="10"/>
  <c r="EK44" i="10"/>
  <c r="EL44" i="10"/>
  <c r="BB119" i="10"/>
  <c r="BB155" i="10"/>
  <c r="BA363" i="10"/>
  <c r="BB310" i="10"/>
  <c r="CF52" i="10"/>
  <c r="CQ52" i="10"/>
  <c r="CW52" i="10"/>
  <c r="AX52" i="10"/>
  <c r="EK52" i="10"/>
  <c r="EL52" i="10"/>
  <c r="BA339" i="10"/>
  <c r="CF46" i="10"/>
  <c r="CQ46" i="10"/>
  <c r="CW46" i="10"/>
  <c r="AX46" i="10"/>
  <c r="EK46" i="10"/>
  <c r="EL46" i="10"/>
  <c r="BA124" i="10"/>
  <c r="BA348" i="10"/>
  <c r="BA71" i="10"/>
  <c r="BA190" i="10"/>
  <c r="BB218" i="10"/>
  <c r="AX66" i="10"/>
  <c r="AY66" i="10"/>
  <c r="IK66" i="10"/>
  <c r="CF45" i="10"/>
  <c r="CQ45" i="10"/>
  <c r="CW45" i="10"/>
  <c r="AX45" i="10"/>
  <c r="BB345" i="10"/>
  <c r="BB142" i="10"/>
  <c r="BA386" i="10"/>
  <c r="BA201" i="10"/>
  <c r="BB121" i="10"/>
  <c r="BA371" i="10"/>
  <c r="BB371" i="10"/>
  <c r="BB145" i="10"/>
  <c r="BB379" i="10"/>
  <c r="CF55" i="10"/>
  <c r="CQ55" i="10"/>
  <c r="CW55" i="10"/>
  <c r="AX55" i="10"/>
  <c r="AH55" i="10"/>
  <c r="BA277" i="10"/>
  <c r="BB277" i="10"/>
  <c r="AH80" i="10"/>
  <c r="CF41" i="10"/>
  <c r="CQ41" i="10"/>
  <c r="CW41" i="10"/>
  <c r="AX41" i="10"/>
  <c r="AY41" i="10"/>
  <c r="EK41" i="10"/>
  <c r="EL41" i="10"/>
  <c r="AH41" i="10"/>
  <c r="AX56" i="10"/>
  <c r="AY56" i="10"/>
  <c r="IK56" i="10"/>
  <c r="AP60" i="10"/>
  <c r="EK56" i="10"/>
  <c r="EL56" i="10"/>
  <c r="AH56" i="10"/>
  <c r="AI66" i="10"/>
  <c r="JL66" i="10"/>
  <c r="AP56" i="10"/>
  <c r="AQ56" i="10"/>
  <c r="IJ56" i="10" s="1"/>
  <c r="JJ56" i="10"/>
  <c r="AY45" i="10"/>
  <c r="AI45" i="10"/>
  <c r="JL45" i="10"/>
  <c r="EK45" i="10"/>
  <c r="EL45" i="10"/>
  <c r="AP42" i="10"/>
  <c r="AQ42" i="10"/>
  <c r="IJ42" i="10" s="1"/>
  <c r="AS42" i="10"/>
  <c r="JT42" i="10"/>
  <c r="CQ60" i="10"/>
  <c r="CW60" i="10"/>
  <c r="AX60" i="10"/>
  <c r="AH60" i="10"/>
  <c r="AS55" i="10"/>
  <c r="JT55" i="10"/>
  <c r="AH45" i="10"/>
  <c r="AP63" i="10"/>
  <c r="AQ63" i="10"/>
  <c r="IJ63" i="10" s="1"/>
  <c r="AD63" i="10"/>
  <c r="CQ43" i="10"/>
  <c r="CW43" i="10"/>
  <c r="AX43" i="10"/>
  <c r="AY43" i="10"/>
  <c r="AI43" i="10"/>
  <c r="JL43" i="10"/>
  <c r="AU60" i="10"/>
  <c r="AC60" i="10"/>
  <c r="JJ60" i="10"/>
  <c r="EK60" i="10"/>
  <c r="EL60" i="10"/>
  <c r="Z63" i="10"/>
  <c r="JD63" i="10"/>
  <c r="AY52" i="10"/>
  <c r="IK52" i="10"/>
  <c r="AZ51" i="10"/>
  <c r="JU51" i="10"/>
  <c r="JJ42" i="10"/>
  <c r="AS63" i="10"/>
  <c r="JT63" i="10"/>
  <c r="AU42" i="10"/>
  <c r="AC42" i="10"/>
  <c r="AU55" i="10"/>
  <c r="AC55" i="10"/>
  <c r="CQ37" i="10"/>
  <c r="CW37" i="10"/>
  <c r="AX37" i="10"/>
  <c r="AY37" i="10"/>
  <c r="AI37" i="10"/>
  <c r="JL37" i="10"/>
  <c r="AU45" i="10"/>
  <c r="AC45" i="10"/>
  <c r="IJ45" i="10"/>
  <c r="AP34" i="10"/>
  <c r="AQ34" i="10"/>
  <c r="IJ34" i="10" s="1"/>
  <c r="AD34" i="10"/>
  <c r="AS34" i="10"/>
  <c r="JT34" i="10"/>
  <c r="CF64" i="10"/>
  <c r="CW64" i="10"/>
  <c r="AX64" i="10"/>
  <c r="EK64" i="10"/>
  <c r="EL64" i="10"/>
  <c r="AI63" i="10"/>
  <c r="JL63" i="10"/>
  <c r="AD55" i="10"/>
  <c r="Z55" i="10"/>
  <c r="JD55" i="10"/>
  <c r="JJ55" i="10"/>
  <c r="AY55" i="10"/>
  <c r="IK55" i="10"/>
  <c r="CQ32" i="10"/>
  <c r="CW32" i="10"/>
  <c r="AX32" i="10"/>
  <c r="EK32" i="10"/>
  <c r="EL32" i="10"/>
  <c r="AU51" i="10"/>
  <c r="AC51" i="10"/>
  <c r="EK55" i="10"/>
  <c r="EL55" i="10"/>
  <c r="DP34" i="10"/>
  <c r="DN34" i="10" s="1"/>
  <c r="DO34" i="10"/>
  <c r="Z34" i="10"/>
  <c r="JD34" i="10"/>
  <c r="AH46" i="10"/>
  <c r="CF29" i="10"/>
  <c r="CW29" i="10"/>
  <c r="AX29" i="10"/>
  <c r="AP64" i="10"/>
  <c r="AQ64" i="10"/>
  <c r="IJ64" i="10" s="1"/>
  <c r="AH52" i="10"/>
  <c r="AH43" i="10"/>
  <c r="CQ34" i="10"/>
  <c r="CW34" i="10"/>
  <c r="AX34" i="10"/>
  <c r="AH34" i="10"/>
  <c r="AH32" i="10"/>
  <c r="AY32" i="10"/>
  <c r="IK32" i="10"/>
  <c r="AD64" i="10"/>
  <c r="AY54" i="10"/>
  <c r="AP53" i="10"/>
  <c r="JJ53" i="10"/>
  <c r="AU53" i="10"/>
  <c r="AC53" i="10"/>
  <c r="JJ64" i="10"/>
  <c r="AP62" i="10"/>
  <c r="AU62" i="10"/>
  <c r="AC62" i="10"/>
  <c r="JJ63" i="10"/>
  <c r="AH37" i="10"/>
  <c r="AH54" i="10"/>
  <c r="EK54" i="10"/>
  <c r="EL54" i="10"/>
  <c r="IJ66" i="10"/>
  <c r="Z66" i="10"/>
  <c r="JD66" i="10"/>
  <c r="AD66" i="10"/>
  <c r="AS66" i="10"/>
  <c r="JT66" i="10"/>
  <c r="AP39" i="10"/>
  <c r="AU39" i="10"/>
  <c r="AC39" i="10"/>
  <c r="AQ39" i="10"/>
  <c r="IJ39" i="10" s="1"/>
  <c r="JJ39" i="10"/>
  <c r="CF53" i="10"/>
  <c r="CQ53" i="10"/>
  <c r="CW53" i="10"/>
  <c r="AX53" i="10"/>
  <c r="EK53" i="10"/>
  <c r="EL53" i="10"/>
  <c r="AY53" i="10"/>
  <c r="AH53" i="10"/>
  <c r="CF31" i="10"/>
  <c r="CW31" i="10"/>
  <c r="AX31" i="10"/>
  <c r="AY31" i="10"/>
  <c r="IK31" i="10"/>
  <c r="AH31" i="10"/>
  <c r="AY29" i="10"/>
  <c r="IK29" i="10"/>
  <c r="EK29" i="10"/>
  <c r="EL29" i="10"/>
  <c r="AP52" i="10"/>
  <c r="AU52" i="10"/>
  <c r="AC52" i="10"/>
  <c r="DP64" i="10"/>
  <c r="DN64" i="10" s="1"/>
  <c r="DO64" i="10" s="1"/>
  <c r="Z64" i="10"/>
  <c r="JD64" i="10"/>
  <c r="AP43" i="10"/>
  <c r="AU64" i="10"/>
  <c r="AC64" i="10"/>
  <c r="AZ63" i="10"/>
  <c r="JU63" i="10"/>
  <c r="AP30" i="10"/>
  <c r="AQ30" i="10"/>
  <c r="IJ30" i="10" s="1"/>
  <c r="EK43" i="10"/>
  <c r="EL43" i="10"/>
  <c r="AQ43" i="10"/>
  <c r="IJ43" i="10"/>
  <c r="DP43" i="10"/>
  <c r="DM43" i="10"/>
  <c r="DN43" i="10"/>
  <c r="DO43" i="10" s="1"/>
  <c r="Z43" i="10"/>
  <c r="JD43" i="10"/>
  <c r="AS64" i="10"/>
  <c r="JT64" i="10"/>
  <c r="JJ43" i="10"/>
  <c r="AP47" i="10"/>
  <c r="AU47" i="10"/>
  <c r="AC47" i="10"/>
  <c r="AQ53" i="10"/>
  <c r="IJ53" i="10" s="1"/>
  <c r="AP54" i="10"/>
  <c r="AU54" i="10"/>
  <c r="AC54" i="10"/>
  <c r="CQ39" i="10"/>
  <c r="CW39" i="10"/>
  <c r="AX39" i="10"/>
  <c r="EK39" i="10"/>
  <c r="EL39" i="10"/>
  <c r="EK49" i="10"/>
  <c r="EL49" i="10"/>
  <c r="AH29" i="10"/>
  <c r="AY39" i="10"/>
  <c r="AZ39" i="10"/>
  <c r="GH39" i="10"/>
  <c r="AP32" i="10"/>
  <c r="AU32" i="10"/>
  <c r="AC32" i="10"/>
  <c r="EK31" i="10"/>
  <c r="EL31" i="10"/>
  <c r="DP30" i="10"/>
  <c r="DN30" i="10" s="1"/>
  <c r="DO30" i="10"/>
  <c r="Z30" i="10"/>
  <c r="JD30" i="10"/>
  <c r="AQ62" i="10"/>
  <c r="IJ62" i="10" s="1"/>
  <c r="AD62" i="10"/>
  <c r="AS62" i="10"/>
  <c r="JT62" i="10"/>
  <c r="DP62" i="10"/>
  <c r="DM62" i="10"/>
  <c r="DN62" i="10"/>
  <c r="DO62" i="10"/>
  <c r="Z62" i="10"/>
  <c r="JD62" i="10"/>
  <c r="JJ62" i="10"/>
  <c r="AP31" i="10"/>
  <c r="AQ31" i="10"/>
  <c r="IJ31" i="10" s="1"/>
  <c r="AS31" i="10"/>
  <c r="JT31" i="10"/>
  <c r="CF59" i="10"/>
  <c r="CW59" i="10"/>
  <c r="AX59" i="10"/>
  <c r="AH59" i="10"/>
  <c r="EK59" i="10"/>
  <c r="EL59" i="10"/>
  <c r="AY59" i="10"/>
  <c r="AZ59" i="10"/>
  <c r="GH59" i="10"/>
  <c r="AP33" i="10"/>
  <c r="AQ33" i="10"/>
  <c r="IJ33" i="10" s="1"/>
  <c r="AQ44" i="10"/>
  <c r="IJ44" i="10" s="1"/>
  <c r="AD44" i="10"/>
  <c r="AU44" i="10"/>
  <c r="AC44" i="10"/>
  <c r="CW42" i="10"/>
  <c r="AX42" i="10"/>
  <c r="EK42" i="10"/>
  <c r="EL42" i="10"/>
  <c r="CF62" i="10"/>
  <c r="CQ62" i="10"/>
  <c r="CW62" i="10"/>
  <c r="AX62" i="10"/>
  <c r="AY62" i="10"/>
  <c r="AI62" i="10"/>
  <c r="JL62" i="10"/>
  <c r="JJ30" i="10"/>
  <c r="AQ54" i="10"/>
  <c r="IJ54" i="10" s="1"/>
  <c r="AU66" i="10"/>
  <c r="AC66" i="10"/>
  <c r="AH186" i="10"/>
  <c r="AY42" i="10"/>
  <c r="AH42" i="10"/>
  <c r="AH39" i="10"/>
  <c r="AY34" i="10"/>
  <c r="AI34" i="10"/>
  <c r="JL34" i="10"/>
  <c r="AH64" i="10"/>
  <c r="AU33" i="10"/>
  <c r="AC33" i="10"/>
  <c r="AU31" i="10"/>
  <c r="AC31" i="10"/>
  <c r="JJ33" i="10"/>
  <c r="AP59" i="10"/>
  <c r="AQ59" i="10"/>
  <c r="IJ59" i="10" s="1"/>
  <c r="JJ31" i="10"/>
  <c r="AY64" i="10"/>
  <c r="AZ64" i="10"/>
  <c r="GH64" i="10"/>
  <c r="AI64" i="10"/>
  <c r="JL64" i="10"/>
  <c r="AU59" i="10"/>
  <c r="AC59" i="10"/>
  <c r="AU34" i="10"/>
  <c r="AC34" i="10"/>
  <c r="AQ52" i="10"/>
  <c r="IJ52" i="10" s="1"/>
  <c r="AQ32" i="10"/>
  <c r="IJ32" i="10" s="1"/>
  <c r="JJ34" i="10"/>
  <c r="JJ47" i="10"/>
  <c r="AQ47" i="10"/>
  <c r="IJ47" i="10"/>
  <c r="AD47" i="10"/>
  <c r="F41" i="15"/>
  <c r="EK33" i="10"/>
  <c r="EL33" i="10"/>
  <c r="AH33" i="10"/>
  <c r="AY33" i="10"/>
  <c r="AZ33" i="10"/>
  <c r="GH33" i="10"/>
  <c r="AH47" i="10"/>
  <c r="AH44" i="10"/>
  <c r="JJ66" i="10"/>
  <c r="EK66" i="10"/>
  <c r="EL66" i="10"/>
  <c r="AY47" i="10"/>
  <c r="IK47" i="10"/>
  <c r="AI47" i="10"/>
  <c r="JL47" i="10"/>
  <c r="AY46" i="10"/>
  <c r="AZ46" i="10"/>
  <c r="GH46" i="10"/>
  <c r="JU46" i="10"/>
  <c r="AY44" i="10"/>
  <c r="AP46" i="10"/>
  <c r="AQ46" i="10"/>
  <c r="IJ46" i="10" s="1"/>
  <c r="AH66" i="10"/>
  <c r="CF30" i="10"/>
  <c r="CW30" i="10"/>
  <c r="AX30" i="10"/>
  <c r="AH30" i="10"/>
  <c r="AP36" i="10"/>
  <c r="AU30" i="10"/>
  <c r="AC30" i="10"/>
  <c r="AU46" i="10"/>
  <c r="AC46" i="10"/>
  <c r="AU63" i="10"/>
  <c r="AC63" i="10"/>
  <c r="AS30" i="10"/>
  <c r="JT30" i="10"/>
  <c r="IJ49" i="10"/>
  <c r="JJ49" i="10"/>
  <c r="AH62" i="10"/>
  <c r="AU49" i="10"/>
  <c r="AC49" i="10"/>
  <c r="AD30" i="10"/>
  <c r="EK62" i="10"/>
  <c r="EL62" i="10"/>
  <c r="AY49" i="10"/>
  <c r="AZ49" i="10"/>
  <c r="GH49" i="10"/>
  <c r="AQ36" i="10"/>
  <c r="IJ36" i="10" s="1"/>
  <c r="AS36" i="10"/>
  <c r="JT36" i="10"/>
  <c r="AY36" i="10"/>
  <c r="IK36" i="10"/>
  <c r="AP37" i="10"/>
  <c r="AQ37" i="10"/>
  <c r="IJ37" i="10" s="1"/>
  <c r="AD37" i="10"/>
  <c r="AU37" i="10"/>
  <c r="AC37" i="10"/>
  <c r="EK36" i="10"/>
  <c r="EL36" i="10"/>
  <c r="JJ36" i="10"/>
  <c r="EK30" i="10"/>
  <c r="EL30" i="10"/>
  <c r="AY30" i="10"/>
  <c r="DP29" i="10"/>
  <c r="DN29" i="10" s="1"/>
  <c r="DO29" i="10" s="1"/>
  <c r="Z29" i="10"/>
  <c r="JD29" i="10"/>
  <c r="AS29" i="10"/>
  <c r="JT29" i="10"/>
  <c r="AD29" i="10"/>
  <c r="AZ135" i="10"/>
  <c r="JU135" i="10"/>
  <c r="AZ257" i="10"/>
  <c r="JU257" i="10"/>
  <c r="AZ229" i="10"/>
  <c r="JU229" i="10"/>
  <c r="JU246" i="10"/>
  <c r="AZ290" i="10"/>
  <c r="JU290" i="10"/>
  <c r="JU269" i="10"/>
  <c r="AZ298" i="10"/>
  <c r="JU298" i="10"/>
  <c r="AZ284" i="10"/>
  <c r="JU284" i="10"/>
  <c r="AZ115" i="10"/>
  <c r="JU115" i="10"/>
  <c r="JU80" i="10"/>
  <c r="AZ386" i="10"/>
  <c r="JU386" i="10"/>
  <c r="JU296" i="10"/>
  <c r="AZ217" i="10"/>
  <c r="JU217" i="10"/>
  <c r="AZ97" i="10"/>
  <c r="JU97" i="10"/>
  <c r="JU230" i="10"/>
  <c r="JU239" i="10"/>
  <c r="AZ124" i="10"/>
  <c r="JU124" i="10"/>
  <c r="AZ126" i="10"/>
  <c r="JU126" i="10"/>
  <c r="AZ370" i="10"/>
  <c r="JU370" i="10"/>
  <c r="AZ236" i="10"/>
  <c r="JU236" i="10"/>
  <c r="AZ117" i="10"/>
  <c r="JU117" i="10"/>
  <c r="AZ174" i="10"/>
  <c r="JU174" i="10"/>
  <c r="JU130" i="10"/>
  <c r="AZ116" i="10"/>
  <c r="JU116" i="10"/>
  <c r="JU224" i="10"/>
  <c r="AZ186" i="10"/>
  <c r="JU186" i="10"/>
  <c r="AZ112" i="10"/>
  <c r="JU112" i="10"/>
  <c r="JU90" i="10"/>
  <c r="AZ223" i="10"/>
  <c r="JU223" i="10"/>
  <c r="AZ86" i="10"/>
  <c r="JU86" i="10"/>
  <c r="AZ207" i="10"/>
  <c r="JU207" i="10"/>
  <c r="JU304" i="10"/>
  <c r="AZ264" i="10"/>
  <c r="JU264" i="10"/>
  <c r="AZ78" i="10"/>
  <c r="JU78" i="10"/>
  <c r="AZ295" i="10"/>
  <c r="JU295" i="10"/>
  <c r="AZ375" i="10"/>
  <c r="JU375" i="10"/>
  <c r="AZ372" i="10"/>
  <c r="JU372" i="10"/>
  <c r="JU114" i="10"/>
  <c r="AZ165" i="10"/>
  <c r="JU165" i="10"/>
  <c r="AZ371" i="10"/>
  <c r="JU371" i="10"/>
  <c r="Z390" i="10"/>
  <c r="JD390" i="10"/>
  <c r="Z303" i="10"/>
  <c r="JD303" i="10"/>
  <c r="AD303" i="10"/>
  <c r="AS303" i="10"/>
  <c r="JT303" i="10"/>
  <c r="AZ382" i="10"/>
  <c r="JU382" i="10"/>
  <c r="JU118" i="10"/>
  <c r="AZ286" i="10"/>
  <c r="JU286" i="10"/>
  <c r="AS108" i="10"/>
  <c r="JT108" i="10"/>
  <c r="AD108" i="10"/>
  <c r="DP108" i="10"/>
  <c r="DM108" i="10"/>
  <c r="DN108" i="10"/>
  <c r="DO108" i="10" s="1"/>
  <c r="Z108" i="10"/>
  <c r="JD108" i="10"/>
  <c r="AZ325" i="10"/>
  <c r="JU325" i="10"/>
  <c r="AZ252" i="10"/>
  <c r="JU252" i="10"/>
  <c r="AD315" i="10"/>
  <c r="AS315" i="10"/>
  <c r="JT315" i="10"/>
  <c r="Z315" i="10"/>
  <c r="JD315" i="10"/>
  <c r="AZ389" i="10"/>
  <c r="JU389" i="10"/>
  <c r="AZ273" i="10"/>
  <c r="JU273" i="10"/>
  <c r="JU109" i="10"/>
  <c r="AZ361" i="10"/>
  <c r="JU361" i="10"/>
  <c r="JU327" i="10"/>
  <c r="AZ378" i="10"/>
  <c r="JU378" i="10"/>
  <c r="AZ100" i="10"/>
  <c r="JU100" i="10"/>
  <c r="JU147" i="10"/>
  <c r="AZ346" i="10"/>
  <c r="JU346" i="10"/>
  <c r="AZ198" i="10"/>
  <c r="JU198" i="10"/>
  <c r="AZ317" i="10"/>
  <c r="JU317" i="10"/>
  <c r="AS331" i="10"/>
  <c r="JT331" i="10"/>
  <c r="Z331" i="10"/>
  <c r="JD331" i="10"/>
  <c r="AD331" i="10"/>
  <c r="AI85" i="10"/>
  <c r="JL85" i="10"/>
  <c r="AQ60" i="10"/>
  <c r="IJ60" i="10" s="1"/>
  <c r="AD60" i="10"/>
  <c r="DP60" i="10"/>
  <c r="DN60" i="10" s="1"/>
  <c r="DO60" i="10" s="1"/>
  <c r="Z60" i="10"/>
  <c r="JD60" i="10"/>
  <c r="AS60" i="10"/>
  <c r="JT60" i="10"/>
  <c r="Z181" i="10"/>
  <c r="JD181" i="10"/>
  <c r="AD181" i="10"/>
  <c r="AS181" i="10"/>
  <c r="JT181" i="10"/>
  <c r="AZ88" i="10"/>
  <c r="JU88" i="10"/>
  <c r="AZ175" i="10"/>
  <c r="JU175" i="10"/>
  <c r="AZ121" i="10"/>
  <c r="JU121" i="10"/>
  <c r="AD326" i="10"/>
  <c r="Z326" i="10"/>
  <c r="JD326" i="10"/>
  <c r="AS326" i="10"/>
  <c r="JT326" i="10"/>
  <c r="AZ234" i="10"/>
  <c r="JU234" i="10"/>
  <c r="JU81" i="10"/>
  <c r="AZ309" i="10"/>
  <c r="JU309" i="10"/>
  <c r="JU104" i="10"/>
  <c r="JU314" i="10"/>
  <c r="AI72" i="10"/>
  <c r="JL72" i="10"/>
  <c r="AZ299" i="10"/>
  <c r="JU299" i="10"/>
  <c r="AZ189" i="10"/>
  <c r="JU189" i="10"/>
  <c r="JU289" i="10"/>
  <c r="JU75" i="10"/>
  <c r="AI358" i="10"/>
  <c r="JL358" i="10"/>
  <c r="JU170" i="10"/>
  <c r="AZ190" i="10"/>
  <c r="JU190" i="10"/>
  <c r="JU196" i="10"/>
  <c r="Z85" i="10"/>
  <c r="JD85" i="10"/>
  <c r="AD85" i="10"/>
  <c r="AS85" i="10"/>
  <c r="JT85" i="10"/>
  <c r="JU256" i="10"/>
  <c r="JU333" i="10"/>
  <c r="AZ154" i="10"/>
  <c r="JU154" i="10"/>
  <c r="AZ363" i="10"/>
  <c r="JU363" i="10"/>
  <c r="AZ138" i="10"/>
  <c r="JU138" i="10"/>
  <c r="JU274" i="10"/>
  <c r="AZ373" i="10"/>
  <c r="JU373" i="10"/>
  <c r="JU71" i="10"/>
  <c r="AZ282" i="10"/>
  <c r="JU282" i="10"/>
  <c r="AZ231" i="10"/>
  <c r="JU231" i="10"/>
  <c r="JU156" i="10"/>
  <c r="AZ216" i="10"/>
  <c r="JU216" i="10"/>
  <c r="Z140" i="10"/>
  <c r="JD140" i="10"/>
  <c r="AS140" i="10"/>
  <c r="JT140" i="10"/>
  <c r="AD140" i="10"/>
  <c r="Z389" i="10"/>
  <c r="JD389" i="10"/>
  <c r="AS222" i="10"/>
  <c r="JT222" i="10"/>
  <c r="AD222" i="10"/>
  <c r="Z222" i="10"/>
  <c r="JD222" i="10"/>
  <c r="AZ245" i="10"/>
  <c r="JU245" i="10"/>
  <c r="AZ347" i="10"/>
  <c r="JU347" i="10"/>
  <c r="AZ276" i="10"/>
  <c r="JU276" i="10"/>
  <c r="AI41" i="10"/>
  <c r="JL41" i="10"/>
  <c r="JU360" i="10"/>
  <c r="AZ321" i="10"/>
  <c r="JU321" i="10"/>
  <c r="AZ355" i="10"/>
  <c r="JU355" i="10"/>
  <c r="AZ155" i="10"/>
  <c r="JU155" i="10"/>
  <c r="AZ177" i="10"/>
  <c r="JU177" i="10"/>
  <c r="GH354" i="10"/>
  <c r="JU354" i="10"/>
  <c r="JU374" i="10"/>
  <c r="AZ237" i="10"/>
  <c r="JU237" i="10"/>
  <c r="AZ204" i="10"/>
  <c r="JU204" i="10"/>
  <c r="AZ194" i="10"/>
  <c r="JU194" i="10"/>
  <c r="AZ113" i="10"/>
  <c r="JU113" i="10"/>
  <c r="Z258" i="10"/>
  <c r="JD258" i="10"/>
  <c r="AD258" i="10"/>
  <c r="AS258" i="10"/>
  <c r="JT258" i="10"/>
  <c r="JU134" i="10"/>
  <c r="AZ310" i="10"/>
  <c r="JU310" i="10"/>
  <c r="AZ129" i="10"/>
  <c r="JU129" i="10"/>
  <c r="AZ157" i="10"/>
  <c r="GH157" i="10"/>
  <c r="AI157" i="10"/>
  <c r="JL157" i="10"/>
  <c r="AZ248" i="10"/>
  <c r="JU248" i="10"/>
  <c r="AZ163" i="10"/>
  <c r="JU163" i="10"/>
  <c r="JU302" i="10"/>
  <c r="JU111" i="10"/>
  <c r="JU162" i="10"/>
  <c r="AZ83" i="10"/>
  <c r="JU83" i="10"/>
  <c r="AZ253" i="10"/>
  <c r="JU253" i="10"/>
  <c r="AZ123" i="10"/>
  <c r="JU123" i="10"/>
  <c r="AZ390" i="10"/>
  <c r="JU390" i="10"/>
  <c r="AZ167" i="10"/>
  <c r="JU167" i="10"/>
  <c r="AZ247" i="10"/>
  <c r="JU247" i="10"/>
  <c r="AZ218" i="10"/>
  <c r="JU218" i="10"/>
  <c r="AZ379" i="10"/>
  <c r="JU379" i="10"/>
  <c r="AZ128" i="10"/>
  <c r="JU128" i="10"/>
  <c r="JU183" i="10"/>
  <c r="JU384" i="10"/>
  <c r="AI160" i="10"/>
  <c r="JL160" i="10"/>
  <c r="DP41" i="10"/>
  <c r="DM41" i="10"/>
  <c r="DN41" i="10"/>
  <c r="DO41" i="10" s="1"/>
  <c r="Z41" i="10"/>
  <c r="JD41" i="10"/>
  <c r="AD41" i="10"/>
  <c r="AS41" i="10"/>
  <c r="JT41" i="10"/>
  <c r="AZ202" i="10"/>
  <c r="JU202" i="10"/>
  <c r="AZ169" i="10"/>
  <c r="JU169" i="10"/>
  <c r="AZ381" i="10"/>
  <c r="JU381" i="10"/>
  <c r="AZ225" i="10"/>
  <c r="JU225" i="10"/>
  <c r="AZ212" i="10"/>
  <c r="JU212" i="10"/>
  <c r="AZ153" i="10"/>
  <c r="JU153" i="10"/>
  <c r="JU182" i="10"/>
  <c r="AZ199" i="10"/>
  <c r="JU199" i="10"/>
  <c r="AZ324" i="10"/>
  <c r="JU324" i="10"/>
  <c r="AZ277" i="10"/>
  <c r="JU277" i="10"/>
  <c r="JU226" i="10"/>
  <c r="AZ342" i="10"/>
  <c r="JU342" i="10"/>
  <c r="AI108" i="10"/>
  <c r="JL108" i="10"/>
  <c r="AD92" i="10"/>
  <c r="AS92" i="10"/>
  <c r="JT92" i="10"/>
  <c r="Z92" i="10"/>
  <c r="JD92" i="10"/>
  <c r="AZ105" i="10"/>
  <c r="JU105" i="10"/>
  <c r="AZ91" i="10"/>
  <c r="JU91" i="10"/>
  <c r="AZ275" i="10"/>
  <c r="JU275" i="10"/>
  <c r="AZ356" i="10"/>
  <c r="JU356" i="10"/>
  <c r="JU365" i="10"/>
  <c r="AZ99" i="10"/>
  <c r="JU99" i="10"/>
  <c r="AS72" i="10"/>
  <c r="JT72" i="10"/>
  <c r="AD72" i="10"/>
  <c r="DP72" i="10"/>
  <c r="DN72" i="10" s="1"/>
  <c r="DO72" i="10"/>
  <c r="Z72" i="10"/>
  <c r="JD72" i="10"/>
  <c r="AZ106" i="10"/>
  <c r="JU106" i="10"/>
  <c r="AI362" i="10"/>
  <c r="JL362" i="10"/>
  <c r="AZ266" i="10"/>
  <c r="JU266" i="10"/>
  <c r="JU131" i="10"/>
  <c r="JU139" i="10"/>
  <c r="JU388" i="10"/>
  <c r="AZ306" i="10"/>
  <c r="JU306" i="10"/>
  <c r="JU122" i="10"/>
  <c r="AZ251" i="10"/>
  <c r="JU251" i="10"/>
  <c r="AD160" i="10"/>
  <c r="Z160" i="10"/>
  <c r="JD160" i="10"/>
  <c r="AS160" i="10"/>
  <c r="JT160" i="10"/>
  <c r="AZ213" i="10"/>
  <c r="JU213" i="10"/>
  <c r="AZ308" i="10"/>
  <c r="JU308" i="10"/>
  <c r="JU87" i="10"/>
  <c r="AZ240" i="10"/>
  <c r="JU240" i="10"/>
  <c r="JU210" i="10"/>
  <c r="Z383" i="10"/>
  <c r="JD383" i="10"/>
  <c r="AS383" i="10"/>
  <c r="JT383" i="10"/>
  <c r="AD383" i="10"/>
  <c r="AZ203" i="10"/>
  <c r="JU203" i="10"/>
  <c r="AZ84" i="10"/>
  <c r="JU84" i="10"/>
  <c r="AZ201" i="10"/>
  <c r="JU201" i="10"/>
  <c r="AI315" i="10"/>
  <c r="JL315" i="10"/>
  <c r="Z335" i="10"/>
  <c r="JD335" i="10"/>
  <c r="AS335" i="10"/>
  <c r="JT335" i="10"/>
  <c r="AD335" i="10"/>
  <c r="AZ110" i="10"/>
  <c r="JU110" i="10"/>
  <c r="JU193" i="10"/>
  <c r="AZ137" i="10"/>
  <c r="JU137" i="10"/>
  <c r="AZ173" i="10"/>
  <c r="JU173" i="10"/>
  <c r="AZ172" i="10"/>
  <c r="JU172" i="10"/>
  <c r="AZ70" i="10"/>
  <c r="JU70" i="10"/>
  <c r="JU268" i="10"/>
  <c r="AZ337" i="10"/>
  <c r="JU337" i="10"/>
  <c r="AZ103" i="10"/>
  <c r="JU103" i="10"/>
  <c r="Z157" i="10"/>
  <c r="JD157" i="10"/>
  <c r="AD157" i="10"/>
  <c r="AS157" i="10"/>
  <c r="JT157" i="10"/>
  <c r="AD214" i="10"/>
  <c r="Z214" i="10"/>
  <c r="JD214" i="10"/>
  <c r="AS214" i="10"/>
  <c r="JT214" i="10"/>
  <c r="AZ187" i="10"/>
  <c r="JU187" i="10"/>
  <c r="JU148" i="10"/>
  <c r="JU89" i="10"/>
  <c r="AZ142" i="10"/>
  <c r="JU142" i="10"/>
  <c r="AZ300" i="10"/>
  <c r="JU300" i="10"/>
  <c r="JU227" i="10"/>
  <c r="AI181" i="10"/>
  <c r="JL181" i="10"/>
  <c r="AI92" i="10"/>
  <c r="JL92" i="10"/>
  <c r="AZ127" i="10"/>
  <c r="JU127" i="10"/>
  <c r="AZ259" i="10"/>
  <c r="JU259" i="10"/>
  <c r="AZ197" i="10"/>
  <c r="JU197" i="10"/>
  <c r="AI326" i="10"/>
  <c r="JL326" i="10"/>
  <c r="JU285" i="10"/>
  <c r="AZ73" i="10"/>
  <c r="JU73" i="10"/>
  <c r="AI288" i="10"/>
  <c r="JL288" i="10"/>
  <c r="AI335" i="10"/>
  <c r="JL335" i="10"/>
  <c r="AZ254" i="10"/>
  <c r="JU254" i="10"/>
  <c r="Z388" i="10"/>
  <c r="JD388" i="10"/>
  <c r="AI82" i="10"/>
  <c r="JL82" i="10"/>
  <c r="AY60" i="10"/>
  <c r="IK60" i="10"/>
  <c r="AI60" i="10"/>
  <c r="JL60" i="10"/>
  <c r="JU270" i="10"/>
  <c r="JU164" i="10"/>
  <c r="AZ166" i="10"/>
  <c r="JU166" i="10"/>
  <c r="AZ125" i="10"/>
  <c r="JU125" i="10"/>
  <c r="AZ329" i="10"/>
  <c r="JU329" i="10"/>
  <c r="AZ265" i="10"/>
  <c r="JU265" i="10"/>
  <c r="JU279" i="10"/>
  <c r="AZ176" i="10"/>
  <c r="JU176" i="10"/>
  <c r="JU232" i="10"/>
  <c r="AZ95" i="10"/>
  <c r="JU95" i="10"/>
  <c r="AZ149" i="10"/>
  <c r="JU149" i="10"/>
  <c r="AS241" i="10"/>
  <c r="JT241" i="10"/>
  <c r="AD241" i="10"/>
  <c r="Z241" i="10"/>
  <c r="JD241" i="10"/>
  <c r="AZ133" i="10"/>
  <c r="JU133" i="10"/>
  <c r="AZ340" i="10"/>
  <c r="JU340" i="10"/>
  <c r="AZ297" i="10"/>
  <c r="JU297" i="10"/>
  <c r="JU180" i="10"/>
  <c r="JU367" i="10"/>
  <c r="AS107" i="10"/>
  <c r="JT107" i="10"/>
  <c r="AD107" i="10"/>
  <c r="DP107" i="10"/>
  <c r="DN107" i="10"/>
  <c r="DO107" i="10" s="1"/>
  <c r="Z107" i="10"/>
  <c r="JD107" i="10"/>
  <c r="JU336" i="10"/>
  <c r="JU132" i="10"/>
  <c r="AZ328" i="10"/>
  <c r="JU328" i="10"/>
  <c r="AZ209" i="10"/>
  <c r="JU209" i="10"/>
  <c r="AZ158" i="10"/>
  <c r="JU158" i="10"/>
  <c r="AI222" i="10"/>
  <c r="JL222" i="10"/>
  <c r="JU145" i="10"/>
  <c r="AZ233" i="10"/>
  <c r="JU233" i="10"/>
  <c r="AZ267" i="10"/>
  <c r="JU267" i="10"/>
  <c r="Z358" i="10"/>
  <c r="JD358" i="10"/>
  <c r="AD358" i="10"/>
  <c r="AS358" i="10"/>
  <c r="JT358" i="10"/>
  <c r="AZ200" i="10"/>
  <c r="JU200" i="10"/>
  <c r="Z144" i="10"/>
  <c r="JD144" i="10"/>
  <c r="AS144" i="10"/>
  <c r="JT144" i="10"/>
  <c r="AD144" i="10"/>
  <c r="AI383" i="10"/>
  <c r="JL383" i="10"/>
  <c r="AZ161" i="10"/>
  <c r="JU161" i="10"/>
  <c r="JU349" i="10"/>
  <c r="JU101" i="10"/>
  <c r="AZ168" i="10"/>
  <c r="JU168" i="10"/>
  <c r="JU235" i="10"/>
  <c r="AZ146" i="10"/>
  <c r="JU146" i="10"/>
  <c r="AZ311" i="10"/>
  <c r="JU311" i="10"/>
  <c r="Z391" i="10"/>
  <c r="JD391" i="10"/>
  <c r="AZ94" i="10"/>
  <c r="JU94" i="10"/>
  <c r="AI241" i="10"/>
  <c r="JL241" i="10"/>
  <c r="AS288" i="10"/>
  <c r="JT288" i="10"/>
  <c r="AD288" i="10"/>
  <c r="Z288" i="10"/>
  <c r="JD288" i="10"/>
  <c r="JU292" i="10"/>
  <c r="JU345" i="10"/>
  <c r="AZ312" i="10"/>
  <c r="JU312" i="10"/>
  <c r="JU238" i="10"/>
  <c r="AZ119" i="10"/>
  <c r="JU119" i="10"/>
  <c r="AZ313" i="10"/>
  <c r="JU313" i="10"/>
  <c r="AZ369" i="10"/>
  <c r="JU369" i="10"/>
  <c r="AZ255" i="10"/>
  <c r="JU255" i="10"/>
  <c r="AZ391" i="10"/>
  <c r="JU391" i="10"/>
  <c r="JU206" i="10"/>
  <c r="Z82" i="10"/>
  <c r="JD82" i="10"/>
  <c r="AS82" i="10"/>
  <c r="JT82" i="10"/>
  <c r="AD82" i="10"/>
  <c r="AZ120" i="10"/>
  <c r="JU120" i="10"/>
  <c r="AZ150" i="10"/>
  <c r="JU150" i="10"/>
  <c r="JU364" i="10"/>
  <c r="JU159" i="10"/>
  <c r="AI144" i="10"/>
  <c r="JL144" i="10"/>
  <c r="AI331" i="10"/>
  <c r="JL331" i="10"/>
  <c r="AI214" i="10"/>
  <c r="JL214" i="10"/>
  <c r="AZ76" i="10"/>
  <c r="JU76" i="10"/>
  <c r="JU278" i="10"/>
  <c r="JU79" i="10"/>
  <c r="AZ322" i="10"/>
  <c r="JU322" i="10"/>
  <c r="AI303" i="10"/>
  <c r="JL303" i="10"/>
  <c r="IK303" i="10"/>
  <c r="AD362" i="10"/>
  <c r="AS362" i="10"/>
  <c r="JT362" i="10"/>
  <c r="Z362" i="10"/>
  <c r="JD362" i="10"/>
  <c r="JU263" i="10"/>
  <c r="JU293" i="10"/>
  <c r="JU260" i="10"/>
  <c r="JU319" i="10"/>
  <c r="JU305" i="10"/>
  <c r="AI258" i="10"/>
  <c r="JL258" i="10"/>
  <c r="IK258" i="10"/>
  <c r="AZ287" i="10"/>
  <c r="JU287" i="10"/>
  <c r="JU357" i="10"/>
  <c r="AZ318" i="10"/>
  <c r="JU318" i="10"/>
  <c r="AZ141" i="10"/>
  <c r="JU141" i="10"/>
  <c r="AZ366" i="10"/>
  <c r="JU366" i="10"/>
  <c r="AZ249" i="10"/>
  <c r="JU249" i="10"/>
  <c r="AZ281" i="10"/>
  <c r="JU281" i="10"/>
  <c r="AZ77" i="10"/>
  <c r="JU77" i="10"/>
  <c r="AI140" i="10"/>
  <c r="JL140" i="10"/>
  <c r="AZ350" i="10"/>
  <c r="JU350" i="10"/>
  <c r="JU179" i="10"/>
  <c r="AZ96" i="10"/>
  <c r="JU96" i="10"/>
  <c r="AZ359" i="10"/>
  <c r="JU359" i="10"/>
  <c r="AZ93" i="10"/>
  <c r="JU93" i="10"/>
  <c r="AZ283" i="10"/>
  <c r="JU283" i="10"/>
  <c r="AZ220" i="10"/>
  <c r="JU220" i="10"/>
  <c r="AI107" i="10"/>
  <c r="JL107" i="10"/>
  <c r="BA224" i="10"/>
  <c r="BA328" i="10"/>
  <c r="BA264" i="10"/>
  <c r="BA208" i="10"/>
  <c r="BA295" i="10"/>
  <c r="BB295" i="10"/>
  <c r="AH280" i="10"/>
  <c r="BB208" i="10"/>
  <c r="BA44" i="10"/>
  <c r="BA184" i="10"/>
  <c r="BA122" i="10"/>
  <c r="BB343" i="10"/>
  <c r="BB267" i="10"/>
  <c r="BA343" i="10"/>
  <c r="BA289" i="10"/>
  <c r="BA266" i="10"/>
  <c r="BB132" i="10"/>
  <c r="BA178" i="10"/>
  <c r="BB186" i="10"/>
  <c r="BB133" i="10"/>
  <c r="BB196" i="10"/>
  <c r="BB250" i="10"/>
  <c r="BB269" i="10"/>
  <c r="BA230" i="10"/>
  <c r="BB261" i="10"/>
  <c r="BA115" i="10"/>
  <c r="BA235" i="10"/>
  <c r="BB254" i="10"/>
  <c r="BA283" i="10"/>
  <c r="BA380" i="10"/>
  <c r="BA171" i="10"/>
  <c r="BA225" i="10"/>
  <c r="BA383" i="10"/>
  <c r="BA54" i="10"/>
  <c r="BA91" i="10"/>
  <c r="BA251" i="10"/>
  <c r="BA29" i="10"/>
  <c r="BA233" i="10"/>
  <c r="BB54" i="10"/>
  <c r="BA111" i="10"/>
  <c r="BB173" i="10"/>
  <c r="BB372" i="10"/>
  <c r="BA372" i="10"/>
  <c r="BA107" i="10"/>
  <c r="BA240" i="10"/>
  <c r="BB131" i="10"/>
  <c r="BB82" i="10"/>
  <c r="BB350" i="10"/>
  <c r="BA119" i="10"/>
  <c r="AX61" i="10"/>
  <c r="BB61" i="10"/>
  <c r="BA310" i="10"/>
  <c r="BA83" i="10"/>
  <c r="BA329" i="10"/>
  <c r="BA344" i="10"/>
  <c r="BB44" i="10"/>
  <c r="BB52" i="10"/>
  <c r="BB194" i="10"/>
  <c r="BB127" i="10"/>
  <c r="BA191" i="10"/>
  <c r="BA256" i="10"/>
  <c r="BA345" i="10"/>
  <c r="BA298" i="10"/>
  <c r="BB46" i="10"/>
  <c r="BA42" i="10"/>
  <c r="BA46" i="10"/>
  <c r="BB71" i="10"/>
  <c r="BB348" i="10"/>
  <c r="BB190" i="10"/>
  <c r="BA273" i="10"/>
  <c r="BB201" i="10"/>
  <c r="BA47" i="10"/>
  <c r="BA247" i="10"/>
  <c r="BA74" i="10"/>
  <c r="BA296" i="10"/>
  <c r="BA223" i="10"/>
  <c r="BB290" i="10"/>
  <c r="BA52" i="10"/>
  <c r="BB124" i="10"/>
  <c r="BA320" i="10"/>
  <c r="BB137" i="10"/>
  <c r="BB386" i="10"/>
  <c r="CF28" i="10"/>
  <c r="CW28" i="10"/>
  <c r="AX28" i="10"/>
  <c r="BB47" i="10"/>
  <c r="BA142" i="10"/>
  <c r="BB305" i="10"/>
  <c r="BB104" i="10"/>
  <c r="BB272" i="10"/>
  <c r="CQ35" i="10"/>
  <c r="CW35" i="10"/>
  <c r="AX35" i="10"/>
  <c r="BA35" i="10"/>
  <c r="BB362" i="10"/>
  <c r="BB237" i="10"/>
  <c r="BA86" i="10"/>
  <c r="BB338" i="10"/>
  <c r="BA338" i="10"/>
  <c r="BA156" i="10"/>
  <c r="BB156" i="10"/>
  <c r="BA217" i="10"/>
  <c r="BB217" i="10"/>
  <c r="BA367" i="10"/>
  <c r="BB367" i="10"/>
  <c r="AH36" i="10"/>
  <c r="BA36" i="10"/>
  <c r="BB36" i="10"/>
  <c r="BA179" i="10"/>
  <c r="BB179" i="10"/>
  <c r="BA141" i="10"/>
  <c r="BA182" i="10"/>
  <c r="BB182" i="10"/>
  <c r="CW67" i="10"/>
  <c r="AX67" i="10"/>
  <c r="BB67" i="10"/>
  <c r="BA316" i="10"/>
  <c r="BB316" i="10"/>
  <c r="BA333" i="10"/>
  <c r="BB333" i="10"/>
  <c r="BA385" i="10"/>
  <c r="BB385" i="10"/>
  <c r="BA234" i="10"/>
  <c r="BB234" i="10"/>
  <c r="BA342" i="10"/>
  <c r="BB73" i="10"/>
  <c r="BB314" i="10"/>
  <c r="BA314" i="10"/>
  <c r="BB102" i="10"/>
  <c r="BA102" i="10"/>
  <c r="AH219" i="10"/>
  <c r="BA219" i="10"/>
  <c r="BB219" i="10"/>
  <c r="BA332" i="10"/>
  <c r="BB332" i="10"/>
  <c r="BB339" i="10"/>
  <c r="BB66" i="10"/>
  <c r="CF40" i="10"/>
  <c r="CQ40" i="10"/>
  <c r="CW40" i="10"/>
  <c r="AX40" i="10"/>
  <c r="BB113" i="10"/>
  <c r="BA113" i="10"/>
  <c r="BB204" i="10"/>
  <c r="BA204" i="10"/>
  <c r="BA176" i="10"/>
  <c r="BB176" i="10"/>
  <c r="BA353" i="10"/>
  <c r="BB353" i="10"/>
  <c r="BB193" i="10"/>
  <c r="BA193" i="10"/>
  <c r="BB238" i="10"/>
  <c r="BA238" i="10"/>
  <c r="AH191" i="10"/>
  <c r="BA218" i="10"/>
  <c r="BA155" i="10"/>
  <c r="BA199" i="10"/>
  <c r="BB369" i="10"/>
  <c r="BA369" i="10"/>
  <c r="BB359" i="10"/>
  <c r="BA359" i="10"/>
  <c r="BA185" i="10"/>
  <c r="BB185" i="10"/>
  <c r="BA172" i="10"/>
  <c r="BB172" i="10"/>
  <c r="BB260" i="10"/>
  <c r="BA260" i="10"/>
  <c r="CQ50" i="10"/>
  <c r="CW50" i="10"/>
  <c r="AX50" i="10"/>
  <c r="EK34" i="10"/>
  <c r="EL34" i="10"/>
  <c r="BA212" i="10"/>
  <c r="BA358" i="10"/>
  <c r="CF58" i="10"/>
  <c r="CQ58" i="10"/>
  <c r="CW58" i="10"/>
  <c r="AX58" i="10"/>
  <c r="BA77" i="10"/>
  <c r="BB98" i="10"/>
  <c r="BA128" i="10"/>
  <c r="BB249" i="10"/>
  <c r="BA352" i="10"/>
  <c r="BB258" i="10"/>
  <c r="AX48" i="10"/>
  <c r="BA126" i="10"/>
  <c r="BB125" i="10"/>
  <c r="BB335" i="10"/>
  <c r="BA222" i="10"/>
  <c r="BB255" i="10"/>
  <c r="CF65" i="10"/>
  <c r="CQ65" i="10"/>
  <c r="CW65" i="10"/>
  <c r="AX65" i="10"/>
  <c r="BB65" i="10"/>
  <c r="BA97" i="10"/>
  <c r="BB297" i="10"/>
  <c r="AH370" i="10"/>
  <c r="BB364" i="10"/>
  <c r="BB346" i="10"/>
  <c r="BA158" i="10"/>
  <c r="BA356" i="10"/>
  <c r="BA33" i="10"/>
  <c r="BB291" i="10"/>
  <c r="BB79" i="10"/>
  <c r="BA49" i="10"/>
  <c r="BB45" i="10"/>
  <c r="BA291" i="10"/>
  <c r="BA45" i="10"/>
  <c r="BB49" i="10"/>
  <c r="BA66" i="10"/>
  <c r="BA379" i="10"/>
  <c r="BA148" i="10"/>
  <c r="BB363" i="10"/>
  <c r="BB55" i="10"/>
  <c r="BB220" i="10"/>
  <c r="BA220" i="10"/>
  <c r="BA55" i="10"/>
  <c r="AH98" i="10"/>
  <c r="IK377" i="10"/>
  <c r="AI56" i="10"/>
  <c r="JL56" i="10"/>
  <c r="AZ56" i="10"/>
  <c r="JU56" i="10"/>
  <c r="AD56" i="10"/>
  <c r="AS56" i="10"/>
  <c r="JT56" i="10"/>
  <c r="DP56" i="10"/>
  <c r="DN56" i="10" s="1"/>
  <c r="DO56" i="10" s="1"/>
  <c r="DM56" i="10"/>
  <c r="Z56" i="10"/>
  <c r="JD56" i="10"/>
  <c r="DP42" i="10"/>
  <c r="DN42" i="10" s="1"/>
  <c r="DO42" i="10" s="1"/>
  <c r="Z42" i="10"/>
  <c r="JD42" i="10"/>
  <c r="AD42" i="10"/>
  <c r="AZ52" i="10"/>
  <c r="JU52" i="10"/>
  <c r="AZ32" i="10"/>
  <c r="JU32" i="10"/>
  <c r="AI52" i="10"/>
  <c r="JL52" i="10"/>
  <c r="EK37" i="10"/>
  <c r="EL37" i="10"/>
  <c r="AZ37" i="10"/>
  <c r="JU37" i="10"/>
  <c r="AD45" i="10"/>
  <c r="Z39" i="10"/>
  <c r="JD39" i="10"/>
  <c r="AZ29" i="10"/>
  <c r="JU29" i="10"/>
  <c r="DP44" i="10"/>
  <c r="DM44" i="10"/>
  <c r="DN44" i="10"/>
  <c r="DO44" i="10" s="1"/>
  <c r="Z44" i="10"/>
  <c r="JD44" i="10"/>
  <c r="AZ55" i="10"/>
  <c r="JU55" i="10"/>
  <c r="AI55" i="10"/>
  <c r="JL55" i="10"/>
  <c r="Z45" i="10"/>
  <c r="JD45" i="10"/>
  <c r="AI53" i="10"/>
  <c r="JL53" i="10"/>
  <c r="AS45" i="10"/>
  <c r="JT45" i="10"/>
  <c r="Z51" i="10"/>
  <c r="JD51" i="10"/>
  <c r="AZ53" i="10"/>
  <c r="JU53" i="10"/>
  <c r="AD31" i="10"/>
  <c r="AD51" i="10"/>
  <c r="AS51" i="10"/>
  <c r="JT51" i="10"/>
  <c r="AS32" i="10"/>
  <c r="JT32" i="10"/>
  <c r="DP53" i="10"/>
  <c r="DN53" i="10" s="1"/>
  <c r="DO53" i="10" s="1"/>
  <c r="Z53" i="10"/>
  <c r="JD53" i="10"/>
  <c r="AD39" i="10"/>
  <c r="AS53" i="10"/>
  <c r="JT53" i="10"/>
  <c r="AD53" i="10"/>
  <c r="AI32" i="10"/>
  <c r="JL32" i="10"/>
  <c r="AI46" i="10"/>
  <c r="JL46" i="10"/>
  <c r="AS39" i="10"/>
  <c r="JT39" i="10"/>
  <c r="AI54" i="10"/>
  <c r="JL54" i="10"/>
  <c r="AD32" i="10"/>
  <c r="AI39" i="10"/>
  <c r="JL39" i="10"/>
  <c r="AI31" i="10"/>
  <c r="JL31" i="10"/>
  <c r="AD59" i="10"/>
  <c r="DP31" i="10"/>
  <c r="DN31" i="10" s="1"/>
  <c r="DO31" i="10" s="1"/>
  <c r="Z31" i="10"/>
  <c r="JD31" i="10"/>
  <c r="AI36" i="10"/>
  <c r="JL36" i="10"/>
  <c r="Y41" i="15"/>
  <c r="AD43" i="10"/>
  <c r="AS43" i="10"/>
  <c r="JT43" i="10"/>
  <c r="AS47" i="10"/>
  <c r="JT47" i="10"/>
  <c r="AD54" i="10"/>
  <c r="AZ43" i="10"/>
  <c r="JU43" i="10"/>
  <c r="AI29" i="10"/>
  <c r="JL29" i="10"/>
  <c r="AI44" i="10"/>
  <c r="JL44" i="10"/>
  <c r="AS54" i="10"/>
  <c r="JT54" i="10"/>
  <c r="AS52" i="10"/>
  <c r="JT52" i="10"/>
  <c r="AD36" i="10"/>
  <c r="DP54" i="10"/>
  <c r="DN54" i="10" s="1"/>
  <c r="DO54" i="10" s="1"/>
  <c r="Z54" i="10"/>
  <c r="JD54" i="10"/>
  <c r="DP52" i="10"/>
  <c r="DN52" i="10" s="1"/>
  <c r="DO52" i="10" s="1"/>
  <c r="DM52" i="10"/>
  <c r="Z52" i="10"/>
  <c r="JD52" i="10"/>
  <c r="AD52" i="10"/>
  <c r="DP47" i="10"/>
  <c r="DN47" i="10" s="1"/>
  <c r="DO47" i="10" s="1"/>
  <c r="DM47" i="10"/>
  <c r="Z47" i="10"/>
  <c r="JD47" i="10"/>
  <c r="EK48" i="10"/>
  <c r="EL48" i="10"/>
  <c r="AI33" i="10"/>
  <c r="JL33" i="10"/>
  <c r="AZ42" i="10"/>
  <c r="JU42" i="10"/>
  <c r="JU33" i="10"/>
  <c r="AI42" i="10"/>
  <c r="JL42" i="10"/>
  <c r="AD49" i="10"/>
  <c r="AI30" i="10"/>
  <c r="JL30" i="10"/>
  <c r="AS49" i="10"/>
  <c r="JT49" i="10"/>
  <c r="AD33" i="10"/>
  <c r="AS33" i="10"/>
  <c r="JT33" i="10"/>
  <c r="Z33" i="10"/>
  <c r="JD33" i="10"/>
  <c r="DP36" i="10"/>
  <c r="DN36" i="10" s="1"/>
  <c r="DO36" i="10" s="1"/>
  <c r="Z36" i="10"/>
  <c r="JD36" i="10"/>
  <c r="AS44" i="10"/>
  <c r="JT44" i="10"/>
  <c r="Z49" i="10"/>
  <c r="JD49" i="10"/>
  <c r="AH48" i="10"/>
  <c r="AI59" i="10"/>
  <c r="JL59" i="10"/>
  <c r="AZ66" i="10"/>
  <c r="JU66" i="10"/>
  <c r="AZ36" i="10"/>
  <c r="JU36" i="10"/>
  <c r="AY48" i="10"/>
  <c r="AZ48" i="10"/>
  <c r="GH48" i="10"/>
  <c r="Z32" i="10"/>
  <c r="JD32" i="10"/>
  <c r="AS59" i="10"/>
  <c r="JT59" i="10"/>
  <c r="DP59" i="10"/>
  <c r="DN59" i="10" s="1"/>
  <c r="DO59" i="10" s="1"/>
  <c r="Z59" i="10"/>
  <c r="JD59" i="10"/>
  <c r="DP46" i="10"/>
  <c r="DN46" i="10" s="1"/>
  <c r="DO46" i="10" s="1"/>
  <c r="Z46" i="10"/>
  <c r="JD46" i="10"/>
  <c r="DP37" i="10"/>
  <c r="DN37" i="10" s="1"/>
  <c r="DO37" i="10" s="1"/>
  <c r="DM37" i="10"/>
  <c r="Z37" i="10"/>
  <c r="JD37" i="10"/>
  <c r="AS46" i="10"/>
  <c r="JT46" i="10"/>
  <c r="AS37" i="10"/>
  <c r="JT37" i="10"/>
  <c r="AD46" i="10"/>
  <c r="AZ44" i="10"/>
  <c r="JU44" i="10"/>
  <c r="JU49" i="10"/>
  <c r="AI49" i="10"/>
  <c r="JL49" i="10"/>
  <c r="AH58" i="10"/>
  <c r="AY58" i="10"/>
  <c r="EK58" i="10"/>
  <c r="EL58" i="10"/>
  <c r="AZ58" i="10"/>
  <c r="GH58" i="10"/>
  <c r="AP50" i="10"/>
  <c r="AU50" i="10"/>
  <c r="AC50" i="10"/>
  <c r="JJ50" i="10"/>
  <c r="AQ50" i="10"/>
  <c r="IJ50" i="10" s="1"/>
  <c r="AP35" i="10"/>
  <c r="JJ35" i="10"/>
  <c r="AU35" i="10"/>
  <c r="AC35" i="10"/>
  <c r="AQ35" i="10"/>
  <c r="IJ35" i="10" s="1"/>
  <c r="EK67" i="10"/>
  <c r="EL67" i="10"/>
  <c r="AH67" i="10"/>
  <c r="AY67" i="10"/>
  <c r="CQ38" i="10"/>
  <c r="CW38" i="10"/>
  <c r="AX38" i="10"/>
  <c r="EK38" i="10"/>
  <c r="EL38" i="10"/>
  <c r="AH38" i="10"/>
  <c r="AY38" i="10"/>
  <c r="AY65" i="10"/>
  <c r="AH65" i="10"/>
  <c r="EK65" i="10"/>
  <c r="EL65" i="10"/>
  <c r="EK35" i="10"/>
  <c r="EL35" i="10"/>
  <c r="AH35" i="10"/>
  <c r="AY35" i="10"/>
  <c r="AP48" i="10"/>
  <c r="JJ48" i="10"/>
  <c r="AQ48" i="10"/>
  <c r="IJ48" i="10" s="1"/>
  <c r="AU48" i="10"/>
  <c r="AC48" i="10"/>
  <c r="AH28" i="10"/>
  <c r="AY28" i="10"/>
  <c r="EK28" i="10"/>
  <c r="EL28" i="10"/>
  <c r="CQ57" i="10"/>
  <c r="CW57" i="10"/>
  <c r="AX57" i="10"/>
  <c r="AY57" i="10"/>
  <c r="IK57" i="10"/>
  <c r="EK57" i="10"/>
  <c r="EL57" i="10"/>
  <c r="AH57" i="10"/>
  <c r="EK40" i="10"/>
  <c r="EL40" i="10"/>
  <c r="AH40" i="10"/>
  <c r="AY40" i="10"/>
  <c r="IK40" i="10"/>
  <c r="AH50" i="10"/>
  <c r="AY50" i="10"/>
  <c r="EK50" i="10"/>
  <c r="EL50" i="10"/>
  <c r="AH61" i="10"/>
  <c r="EK61" i="10"/>
  <c r="EL61" i="10"/>
  <c r="AY61" i="10"/>
  <c r="AP65" i="10"/>
  <c r="AU65" i="10"/>
  <c r="AC65" i="10"/>
  <c r="AQ65" i="10"/>
  <c r="IJ65" i="10" s="1"/>
  <c r="JJ65" i="10"/>
  <c r="AP40" i="10"/>
  <c r="AQ40" i="10"/>
  <c r="IJ40" i="10" s="1"/>
  <c r="AU40" i="10"/>
  <c r="AC40" i="10"/>
  <c r="JJ40" i="10"/>
  <c r="AP38" i="10"/>
  <c r="AU38" i="10"/>
  <c r="AC38" i="10"/>
  <c r="AQ38" i="10"/>
  <c r="IJ38" i="10" s="1"/>
  <c r="JJ38" i="10"/>
  <c r="AP57" i="10"/>
  <c r="JJ57" i="10"/>
  <c r="AQ57" i="10"/>
  <c r="IJ57" i="10" s="1"/>
  <c r="AU57" i="10"/>
  <c r="AC57" i="10"/>
  <c r="AP28" i="10"/>
  <c r="AU28" i="10"/>
  <c r="AC28" i="10"/>
  <c r="AQ28" i="10"/>
  <c r="IJ28" i="10"/>
  <c r="JJ28" i="10"/>
  <c r="AP61" i="10"/>
  <c r="JJ61" i="10"/>
  <c r="AU61" i="10"/>
  <c r="AC61" i="10"/>
  <c r="AQ61" i="10"/>
  <c r="IJ61" i="10" s="1"/>
  <c r="AP67" i="10"/>
  <c r="JJ67" i="10"/>
  <c r="AQ67" i="10"/>
  <c r="IJ67" i="10" s="1"/>
  <c r="AU67" i="10"/>
  <c r="AC67" i="10"/>
  <c r="JJ58" i="10"/>
  <c r="AU58" i="10"/>
  <c r="AC58" i="10"/>
  <c r="IJ58" i="10"/>
  <c r="AZ60" i="10"/>
  <c r="JU60" i="10"/>
  <c r="AZ108" i="10"/>
  <c r="JU108" i="10"/>
  <c r="AZ41" i="10"/>
  <c r="JU41" i="10"/>
  <c r="AZ358" i="10"/>
  <c r="JU358" i="10"/>
  <c r="AZ362" i="10"/>
  <c r="JU362" i="10"/>
  <c r="JU326" i="10"/>
  <c r="JU144" i="10"/>
  <c r="JU85" i="10"/>
  <c r="AZ214" i="10"/>
  <c r="JU214" i="10"/>
  <c r="AZ241" i="10"/>
  <c r="JU241" i="10"/>
  <c r="AZ331" i="10"/>
  <c r="JU331" i="10"/>
  <c r="AZ222" i="10"/>
  <c r="JU222" i="10"/>
  <c r="JU303" i="10"/>
  <c r="JU383" i="10"/>
  <c r="AZ335" i="10"/>
  <c r="JU335" i="10"/>
  <c r="JU157" i="10"/>
  <c r="JU258" i="10"/>
  <c r="AZ288" i="10"/>
  <c r="JU288" i="10"/>
  <c r="AZ140" i="10"/>
  <c r="JU140" i="10"/>
  <c r="AZ181" i="10"/>
  <c r="JU181" i="10"/>
  <c r="AZ107" i="10"/>
  <c r="JU107" i="10"/>
  <c r="AZ160" i="10"/>
  <c r="JU160" i="10"/>
  <c r="AZ82" i="10"/>
  <c r="JU82" i="10"/>
  <c r="JU315" i="10"/>
  <c r="JU92" i="10"/>
  <c r="JU72" i="10"/>
  <c r="BB289" i="10"/>
  <c r="BB266" i="10"/>
  <c r="BA30" i="10"/>
  <c r="BB224" i="10"/>
  <c r="BB275" i="10"/>
  <c r="BB184" i="10"/>
  <c r="BA173" i="10"/>
  <c r="BB280" i="10"/>
  <c r="BA280" i="10"/>
  <c r="BB240" i="10"/>
  <c r="BB122" i="10"/>
  <c r="BA269" i="10"/>
  <c r="BA382" i="10"/>
  <c r="AU291" i="10"/>
  <c r="AC291" i="10"/>
  <c r="AU316" i="10"/>
  <c r="AC316" i="10"/>
  <c r="BB100" i="10"/>
  <c r="BA250" i="10"/>
  <c r="AU250" i="10"/>
  <c r="AC250" i="10"/>
  <c r="BA254" i="10"/>
  <c r="BB389" i="10"/>
  <c r="BA389" i="10"/>
  <c r="BA131" i="10"/>
  <c r="BB106" i="10"/>
  <c r="BB42" i="10"/>
  <c r="BB180" i="10"/>
  <c r="BB283" i="10"/>
  <c r="BA133" i="10"/>
  <c r="BA290" i="10"/>
  <c r="BB230" i="10"/>
  <c r="BB111" i="10"/>
  <c r="BB380" i="10"/>
  <c r="BA82" i="10"/>
  <c r="BB56" i="10"/>
  <c r="AU56" i="10"/>
  <c r="AC56" i="10"/>
  <c r="BA28" i="10"/>
  <c r="BB28" i="10"/>
  <c r="BB225" i="10"/>
  <c r="BB251" i="10"/>
  <c r="BB191" i="10"/>
  <c r="BA261" i="10"/>
  <c r="BB199" i="10"/>
  <c r="BA243" i="10"/>
  <c r="BB383" i="10"/>
  <c r="BB87" i="10"/>
  <c r="BA186" i="10"/>
  <c r="BB233" i="10"/>
  <c r="BB329" i="10"/>
  <c r="BA350" i="10"/>
  <c r="BB298" i="10"/>
  <c r="BB243" i="10"/>
  <c r="BB29" i="10"/>
  <c r="BB118" i="10"/>
  <c r="AU143" i="10"/>
  <c r="AC143" i="10"/>
  <c r="AH143" i="10"/>
  <c r="JJ37" i="10"/>
  <c r="BA281" i="10"/>
  <c r="BA53" i="10"/>
  <c r="JJ32" i="10"/>
  <c r="BB88" i="10"/>
  <c r="BA88" i="10"/>
  <c r="BA183" i="10"/>
  <c r="BA237" i="10"/>
  <c r="BA272" i="10"/>
  <c r="JJ242" i="10"/>
  <c r="BA249" i="10"/>
  <c r="BA98" i="10"/>
  <c r="BA327" i="10"/>
  <c r="BB58" i="10"/>
  <c r="BA58" i="10"/>
  <c r="BA195" i="10"/>
  <c r="BB195" i="10"/>
  <c r="BB349" i="10"/>
  <c r="BB352" i="10"/>
  <c r="JJ246" i="10"/>
  <c r="BA278" i="10"/>
  <c r="BB296" i="10"/>
  <c r="BA61" i="10"/>
  <c r="BA258" i="10"/>
  <c r="BB158" i="10"/>
  <c r="BA357" i="10"/>
  <c r="BB60" i="10"/>
  <c r="BB41" i="10"/>
  <c r="BA41" i="10"/>
  <c r="BB97" i="10"/>
  <c r="BA286" i="10"/>
  <c r="BB213" i="10"/>
  <c r="BA213" i="10"/>
  <c r="BB48" i="10"/>
  <c r="JJ152" i="10"/>
  <c r="BA93" i="10"/>
  <c r="BB273" i="10"/>
  <c r="BB324" i="10"/>
  <c r="BB74" i="10"/>
  <c r="BA48" i="10"/>
  <c r="BA362" i="10"/>
  <c r="BA65" i="10"/>
  <c r="JJ219" i="10"/>
  <c r="AU304" i="10"/>
  <c r="AC304" i="10"/>
  <c r="BB126" i="10"/>
  <c r="BA168" i="10"/>
  <c r="BB223" i="10"/>
  <c r="BB128" i="10"/>
  <c r="BB86" i="10"/>
  <c r="BB247" i="10"/>
  <c r="BA136" i="10"/>
  <c r="BB136" i="10"/>
  <c r="BB356" i="10"/>
  <c r="BA321" i="10"/>
  <c r="BB321" i="10"/>
  <c r="BA40" i="10"/>
  <c r="BB40" i="10"/>
  <c r="BA306" i="10"/>
  <c r="BB306" i="10"/>
  <c r="CW69" i="10"/>
  <c r="AX69" i="10"/>
  <c r="BA69" i="10"/>
  <c r="BA73" i="10"/>
  <c r="BA335" i="10"/>
  <c r="BA37" i="10"/>
  <c r="BB320" i="10"/>
  <c r="BA364" i="10"/>
  <c r="BA170" i="10"/>
  <c r="BB170" i="10"/>
  <c r="BB77" i="10"/>
  <c r="BB370" i="10"/>
  <c r="BB35" i="10"/>
  <c r="BA346" i="10"/>
  <c r="BA132" i="10"/>
  <c r="BA370" i="10"/>
  <c r="BB222" i="10"/>
  <c r="BA90" i="10"/>
  <c r="BB90" i="10"/>
  <c r="BA297" i="10"/>
  <c r="BA152" i="10"/>
  <c r="AU188" i="10"/>
  <c r="AC188" i="10"/>
  <c r="BA104" i="10"/>
  <c r="BA200" i="10"/>
  <c r="BB75" i="10"/>
  <c r="BB330" i="10"/>
  <c r="BA154" i="10"/>
  <c r="BA164" i="10"/>
  <c r="BB164" i="10"/>
  <c r="BB84" i="10"/>
  <c r="BA84" i="10"/>
  <c r="BB50" i="10"/>
  <c r="BA50" i="10"/>
  <c r="BA67" i="10"/>
  <c r="BB134" i="10"/>
  <c r="AU36" i="10"/>
  <c r="AC36" i="10"/>
  <c r="BA163" i="10"/>
  <c r="BB163" i="10"/>
  <c r="BB336" i="10"/>
  <c r="BA336" i="10"/>
  <c r="BA78" i="10"/>
  <c r="BB78" i="10"/>
  <c r="BA187" i="10"/>
  <c r="BB187" i="10"/>
  <c r="BB381" i="10"/>
  <c r="BA125" i="10"/>
  <c r="BA255" i="10"/>
  <c r="BB257" i="10"/>
  <c r="BA257" i="10"/>
  <c r="BB242" i="10"/>
  <c r="BA242" i="10"/>
  <c r="BB244" i="10"/>
  <c r="BA244" i="10"/>
  <c r="BA60" i="10"/>
  <c r="BA196" i="10"/>
  <c r="BB34" i="10"/>
  <c r="BB355" i="10"/>
  <c r="BA355" i="10"/>
  <c r="BA174" i="10"/>
  <c r="BB174" i="10"/>
  <c r="BB211" i="10"/>
  <c r="BA211" i="10"/>
  <c r="BA123" i="10"/>
  <c r="BB123" i="10"/>
  <c r="BA361" i="10"/>
  <c r="BA305" i="10"/>
  <c r="BB212" i="10"/>
  <c r="BB188" i="10"/>
  <c r="BA188" i="10"/>
  <c r="BA246" i="10"/>
  <c r="BB239" i="10"/>
  <c r="BA239" i="10"/>
  <c r="BA147" i="10"/>
  <c r="AE141" i="15"/>
  <c r="BB147" i="10"/>
  <c r="BB105" i="10"/>
  <c r="BA105" i="10"/>
  <c r="BA259" i="10"/>
  <c r="BB259" i="10"/>
  <c r="BA267" i="10"/>
  <c r="BB358" i="10"/>
  <c r="JJ290" i="10"/>
  <c r="BB378" i="10"/>
  <c r="BA378" i="10"/>
  <c r="BB331" i="10"/>
  <c r="BA34" i="10"/>
  <c r="BA32" i="10"/>
  <c r="BB32" i="10"/>
  <c r="BB129" i="10"/>
  <c r="BA129" i="10"/>
  <c r="BB116" i="10"/>
  <c r="BA116" i="10"/>
  <c r="BB313" i="10"/>
  <c r="BA313" i="10"/>
  <c r="BB300" i="10"/>
  <c r="BA300" i="10"/>
  <c r="BB169" i="10"/>
  <c r="BA169" i="10"/>
  <c r="BB354" i="10"/>
  <c r="BA354" i="10"/>
  <c r="BB221" i="10"/>
  <c r="BA221" i="10"/>
  <c r="BA72" i="10"/>
  <c r="BB351" i="10"/>
  <c r="BA351" i="10"/>
  <c r="BA270" i="10"/>
  <c r="BB270" i="10"/>
  <c r="BB162" i="10"/>
  <c r="BA162" i="10"/>
  <c r="BB262" i="10"/>
  <c r="BA262" i="10"/>
  <c r="BA271" i="10"/>
  <c r="BB271" i="10"/>
  <c r="BA274" i="10"/>
  <c r="BB274" i="10"/>
  <c r="JJ52" i="10"/>
  <c r="BB94" i="10"/>
  <c r="BB107" i="10"/>
  <c r="BB130" i="10"/>
  <c r="BA130" i="10"/>
  <c r="BB334" i="10"/>
  <c r="BA334" i="10"/>
  <c r="BA109" i="10"/>
  <c r="BB109" i="10"/>
  <c r="AU262" i="10"/>
  <c r="AC262" i="10"/>
  <c r="AU184" i="10"/>
  <c r="AC184" i="10"/>
  <c r="BA360" i="10"/>
  <c r="BB360" i="10"/>
  <c r="BB165" i="10"/>
  <c r="BA165" i="10"/>
  <c r="BB304" i="10"/>
  <c r="BA304" i="10"/>
  <c r="BB39" i="10"/>
  <c r="BA39" i="10"/>
  <c r="BA146" i="10"/>
  <c r="BB146" i="10"/>
  <c r="BB377" i="10"/>
  <c r="BA377" i="10"/>
  <c r="BB95" i="10"/>
  <c r="BB153" i="10"/>
  <c r="BA153" i="10"/>
  <c r="BA245" i="10"/>
  <c r="BB101" i="10"/>
  <c r="BA384" i="10"/>
  <c r="BA114" i="10"/>
  <c r="JJ298" i="10"/>
  <c r="AU78" i="10"/>
  <c r="AC78" i="10"/>
  <c r="JJ243" i="10"/>
  <c r="BB197" i="10"/>
  <c r="BA309" i="10"/>
  <c r="JJ385" i="10"/>
  <c r="BB288" i="10"/>
  <c r="BA203" i="10"/>
  <c r="JJ295" i="10"/>
  <c r="BB307" i="10"/>
  <c r="AU43" i="10"/>
  <c r="AC43" i="10"/>
  <c r="JJ46" i="10"/>
  <c r="AU29" i="10"/>
  <c r="AC29" i="10"/>
  <c r="BA205" i="10"/>
  <c r="BB216" i="10"/>
  <c r="BA303" i="10"/>
  <c r="JJ372" i="10"/>
  <c r="JJ54" i="10"/>
  <c r="AU178" i="10"/>
  <c r="AC178" i="10"/>
  <c r="AU116" i="10"/>
  <c r="AC116" i="10"/>
  <c r="JJ208" i="10"/>
  <c r="BB177" i="10"/>
  <c r="BA177" i="10"/>
  <c r="BB253" i="10"/>
  <c r="BA253" i="10"/>
  <c r="BB160" i="10"/>
  <c r="BA160" i="10"/>
  <c r="BB373" i="10"/>
  <c r="BA373" i="10"/>
  <c r="BA181" i="10"/>
  <c r="BB181" i="10"/>
  <c r="BB189" i="10"/>
  <c r="BA189" i="10"/>
  <c r="BB308" i="10"/>
  <c r="BA308" i="10"/>
  <c r="BB135" i="10"/>
  <c r="BA135" i="10"/>
  <c r="BA80" i="10"/>
  <c r="BB80" i="10"/>
  <c r="AZ45" i="10"/>
  <c r="JU45" i="10"/>
  <c r="AZ31" i="10"/>
  <c r="JU31" i="10"/>
  <c r="AZ54" i="10"/>
  <c r="JU54" i="10"/>
  <c r="JU39" i="10"/>
  <c r="JU59" i="10"/>
  <c r="AZ30" i="10"/>
  <c r="JU30" i="10"/>
  <c r="AZ47" i="10"/>
  <c r="JU47" i="10"/>
  <c r="AZ34" i="10"/>
  <c r="JU34" i="10"/>
  <c r="JU64" i="10"/>
  <c r="AI48" i="10"/>
  <c r="JL48" i="10"/>
  <c r="AZ57" i="10"/>
  <c r="JU57" i="10"/>
  <c r="AP68" i="10"/>
  <c r="AQ68" i="10"/>
  <c r="IJ68" i="10" s="1"/>
  <c r="JJ68" i="10"/>
  <c r="AU68" i="10"/>
  <c r="AC68" i="10"/>
  <c r="AD61" i="10"/>
  <c r="Z61" i="10"/>
  <c r="JD61" i="10"/>
  <c r="AS61" i="10"/>
  <c r="JT61" i="10"/>
  <c r="AH69" i="10"/>
  <c r="EK69" i="10"/>
  <c r="EL69" i="10"/>
  <c r="AY69" i="10"/>
  <c r="AD65" i="10"/>
  <c r="AS65" i="10"/>
  <c r="JT65" i="10"/>
  <c r="Z65" i="10"/>
  <c r="JD65" i="10"/>
  <c r="AI40" i="10"/>
  <c r="JL40" i="10"/>
  <c r="AI67" i="10"/>
  <c r="JL67" i="10"/>
  <c r="DP38" i="10"/>
  <c r="DN38" i="10" s="1"/>
  <c r="DO38" i="10" s="1"/>
  <c r="Z38" i="10"/>
  <c r="JD38" i="10"/>
  <c r="AS38" i="10"/>
  <c r="JT38" i="10"/>
  <c r="AD38" i="10"/>
  <c r="AD48" i="10"/>
  <c r="DP48" i="10"/>
  <c r="DN48" i="10" s="1"/>
  <c r="DO48" i="10" s="1"/>
  <c r="Z48" i="10"/>
  <c r="JD48" i="10"/>
  <c r="AS48" i="10"/>
  <c r="JT48" i="10"/>
  <c r="AD67" i="10"/>
  <c r="AS67" i="10"/>
  <c r="JT67" i="10"/>
  <c r="Z67" i="10"/>
  <c r="JD67" i="10"/>
  <c r="Z40" i="10"/>
  <c r="JD40" i="10"/>
  <c r="AD40" i="10"/>
  <c r="AS40" i="10"/>
  <c r="JT40" i="10"/>
  <c r="AU69" i="10"/>
  <c r="AC69" i="10"/>
  <c r="IJ69" i="10"/>
  <c r="JJ69" i="10"/>
  <c r="AD58" i="10"/>
  <c r="AS58" i="10"/>
  <c r="JT58" i="10"/>
  <c r="Z58" i="10"/>
  <c r="JD58" i="10"/>
  <c r="AI35" i="10"/>
  <c r="JL35" i="10"/>
  <c r="AI50" i="10"/>
  <c r="JL50" i="10"/>
  <c r="DP57" i="10"/>
  <c r="DN57" i="10" s="1"/>
  <c r="DO57" i="10" s="1"/>
  <c r="Z57" i="10"/>
  <c r="JD57" i="10"/>
  <c r="AD57" i="10"/>
  <c r="AS57" i="10"/>
  <c r="JT57" i="10"/>
  <c r="Z28" i="10"/>
  <c r="JD28" i="10"/>
  <c r="AD28" i="10"/>
  <c r="AS28" i="10"/>
  <c r="JT28" i="10"/>
  <c r="AI65" i="10"/>
  <c r="JL65" i="10"/>
  <c r="AI61" i="10"/>
  <c r="JL61" i="10"/>
  <c r="AI38" i="10"/>
  <c r="JL38" i="10"/>
  <c r="AD50" i="10"/>
  <c r="DP50" i="10"/>
  <c r="DN50" i="10" s="1"/>
  <c r="DO50" i="10" s="1"/>
  <c r="Z50" i="10"/>
  <c r="JD50" i="10"/>
  <c r="AS50" i="10"/>
  <c r="JT50" i="10"/>
  <c r="AI28" i="10"/>
  <c r="JL28" i="10"/>
  <c r="CQ68" i="10"/>
  <c r="CW68" i="10"/>
  <c r="AX68" i="10"/>
  <c r="EK68" i="10"/>
  <c r="EL68" i="10"/>
  <c r="AH68" i="10"/>
  <c r="AY68" i="10"/>
  <c r="IK68" i="10"/>
  <c r="AD35" i="10"/>
  <c r="AS35" i="10"/>
  <c r="JT35" i="10"/>
  <c r="DP35" i="10"/>
  <c r="DN35" i="10" s="1"/>
  <c r="DO35" i="10" s="1"/>
  <c r="Z35" i="10"/>
  <c r="JD35" i="10"/>
  <c r="AI57" i="10"/>
  <c r="JL57" i="10"/>
  <c r="IK58" i="10"/>
  <c r="AI58" i="10"/>
  <c r="JL58" i="10"/>
  <c r="BA43" i="10"/>
  <c r="BB30" i="10"/>
  <c r="BB281" i="10"/>
  <c r="BA275" i="10"/>
  <c r="BB143" i="10"/>
  <c r="BB357" i="10"/>
  <c r="BB327" i="10"/>
  <c r="BA106" i="10"/>
  <c r="BB382" i="10"/>
  <c r="BA349" i="10"/>
  <c r="BA100" i="10"/>
  <c r="BA75" i="10"/>
  <c r="BA330" i="10"/>
  <c r="BB43" i="10"/>
  <c r="BA180" i="10"/>
  <c r="BB114" i="10"/>
  <c r="BB200" i="10"/>
  <c r="BB384" i="10"/>
  <c r="BB69" i="10"/>
  <c r="BA143" i="10"/>
  <c r="BA56" i="10"/>
  <c r="BB286" i="10"/>
  <c r="BB361" i="10"/>
  <c r="BA118" i="10"/>
  <c r="BA87" i="10"/>
  <c r="BB53" i="10"/>
  <c r="BB246" i="10"/>
  <c r="BB93" i="10"/>
  <c r="BA197" i="10"/>
  <c r="BB183" i="10"/>
  <c r="BA134" i="10"/>
  <c r="BB278" i="10"/>
  <c r="BA324" i="10"/>
  <c r="BB303" i="10"/>
  <c r="BB152" i="10"/>
  <c r="BA381" i="10"/>
  <c r="BA94" i="10"/>
  <c r="BA307" i="10"/>
  <c r="BB37" i="10"/>
  <c r="BB309" i="10"/>
  <c r="BB168" i="10"/>
  <c r="BA288" i="10"/>
  <c r="BB203" i="10"/>
  <c r="AU294" i="10"/>
  <c r="AC294" i="10"/>
  <c r="BB374" i="10"/>
  <c r="BA374" i="10"/>
  <c r="BB245" i="10"/>
  <c r="BB154" i="10"/>
  <c r="BA140" i="10"/>
  <c r="BB140" i="10"/>
  <c r="BA216" i="10"/>
  <c r="BA365" i="10"/>
  <c r="BB365" i="10"/>
  <c r="BA315" i="10"/>
  <c r="BB315" i="10"/>
  <c r="BB157" i="10"/>
  <c r="BA157" i="10"/>
  <c r="BA227" i="10"/>
  <c r="BB227" i="10"/>
  <c r="BB110" i="10"/>
  <c r="BA110" i="10"/>
  <c r="BA209" i="10"/>
  <c r="BB209" i="10"/>
  <c r="BA192" i="10"/>
  <c r="BB192" i="10"/>
  <c r="BB341" i="10"/>
  <c r="BA341" i="10"/>
  <c r="BB347" i="10"/>
  <c r="BA347" i="10"/>
  <c r="BB112" i="10"/>
  <c r="BA112" i="10"/>
  <c r="BA206" i="10"/>
  <c r="BB206" i="10"/>
  <c r="BB149" i="10"/>
  <c r="BA149" i="10"/>
  <c r="BB167" i="10"/>
  <c r="BA167" i="10"/>
  <c r="BB70" i="10"/>
  <c r="BA70" i="10"/>
  <c r="BB103" i="10"/>
  <c r="BA103" i="10"/>
  <c r="BB166" i="10"/>
  <c r="BA166" i="10"/>
  <c r="BA302" i="10"/>
  <c r="BB302" i="10"/>
  <c r="BB64" i="10"/>
  <c r="BA64" i="10"/>
  <c r="BA96" i="10"/>
  <c r="BB96" i="10"/>
  <c r="BA279" i="10"/>
  <c r="BB279" i="10"/>
  <c r="BA101" i="10"/>
  <c r="BB120" i="10"/>
  <c r="BA120" i="10"/>
  <c r="BB202" i="10"/>
  <c r="BA202" i="10"/>
  <c r="BB72" i="10"/>
  <c r="BA331" i="10"/>
  <c r="BA263" i="10"/>
  <c r="BB263" i="10"/>
  <c r="BA337" i="10"/>
  <c r="BB337" i="10"/>
  <c r="BB229" i="10"/>
  <c r="BA229" i="10"/>
  <c r="BA301" i="10"/>
  <c r="BB301" i="10"/>
  <c r="BB326" i="10"/>
  <c r="BA326" i="10"/>
  <c r="BA285" i="10"/>
  <c r="BB285" i="10"/>
  <c r="BB31" i="10"/>
  <c r="BA31" i="10"/>
  <c r="BB366" i="10"/>
  <c r="BA366" i="10"/>
  <c r="BA144" i="10"/>
  <c r="BB144" i="10"/>
  <c r="BA293" i="10"/>
  <c r="BB293" i="10"/>
  <c r="BA388" i="10"/>
  <c r="AE382" i="15"/>
  <c r="BB388" i="10"/>
  <c r="BB241" i="10"/>
  <c r="BA241" i="10"/>
  <c r="BB81" i="10"/>
  <c r="BA81" i="10"/>
  <c r="BB85" i="10"/>
  <c r="BA85" i="10"/>
  <c r="AZ102" i="10"/>
  <c r="JU102" i="10"/>
  <c r="BB387" i="10"/>
  <c r="BA387" i="10"/>
  <c r="BB205" i="10"/>
  <c r="BB375" i="10"/>
  <c r="BA375" i="10"/>
  <c r="BB62" i="10"/>
  <c r="BA62" i="10"/>
  <c r="BB38" i="10"/>
  <c r="BA38" i="10"/>
  <c r="BA161" i="10"/>
  <c r="BB161" i="10"/>
  <c r="BA284" i="10"/>
  <c r="BB284" i="10"/>
  <c r="BA214" i="10"/>
  <c r="BB214" i="10"/>
  <c r="BB92" i="10"/>
  <c r="BA92" i="10"/>
  <c r="BB325" i="10"/>
  <c r="BA325" i="10"/>
  <c r="BB228" i="10"/>
  <c r="BA228" i="10"/>
  <c r="BB99" i="10"/>
  <c r="BA99" i="10"/>
  <c r="AU228" i="10"/>
  <c r="AC228" i="10"/>
  <c r="JJ130" i="10"/>
  <c r="JJ44" i="10"/>
  <c r="JJ257" i="10"/>
  <c r="JJ124" i="10"/>
  <c r="JJ59" i="10"/>
  <c r="AU126" i="10"/>
  <c r="AC126" i="10"/>
  <c r="JJ221" i="10"/>
  <c r="AU117" i="10"/>
  <c r="AC117" i="10"/>
  <c r="JJ51" i="10"/>
  <c r="JJ207" i="10"/>
  <c r="JJ45" i="10"/>
  <c r="JJ338" i="10"/>
  <c r="BA231" i="10"/>
  <c r="BB231" i="10"/>
  <c r="BA287" i="10"/>
  <c r="BB287" i="10"/>
  <c r="BA322" i="10"/>
  <c r="BB322" i="10"/>
  <c r="JU48" i="10"/>
  <c r="AZ28" i="10"/>
  <c r="JU28" i="10"/>
  <c r="AZ50" i="10"/>
  <c r="JU50" i="10"/>
  <c r="AZ40" i="10"/>
  <c r="JU40" i="10"/>
  <c r="AZ38" i="10"/>
  <c r="JU38" i="10"/>
  <c r="AZ65" i="10"/>
  <c r="JU65" i="10"/>
  <c r="AZ67" i="10"/>
  <c r="JU67" i="10"/>
  <c r="AD68" i="10"/>
  <c r="DP68" i="10"/>
  <c r="DN68" i="10" s="1"/>
  <c r="DO68" i="10" s="1"/>
  <c r="Z68" i="10"/>
  <c r="JD68" i="10"/>
  <c r="AS68" i="10"/>
  <c r="JT68" i="10"/>
  <c r="Z69" i="10"/>
  <c r="JD69" i="10"/>
  <c r="AD69" i="10"/>
  <c r="AS69" i="10"/>
  <c r="JT69" i="10"/>
  <c r="AZ61" i="10"/>
  <c r="JU61" i="10"/>
  <c r="AZ35" i="10"/>
  <c r="JU35" i="10"/>
  <c r="AI69" i="10"/>
  <c r="JL69" i="10"/>
  <c r="AI68" i="10"/>
  <c r="JL68" i="10"/>
  <c r="JU58" i="10"/>
  <c r="BA59" i="10"/>
  <c r="BB59" i="10"/>
  <c r="BB138" i="10"/>
  <c r="BA138" i="10"/>
  <c r="BA117" i="10"/>
  <c r="BB117" i="10"/>
  <c r="BB108" i="10"/>
  <c r="BA108" i="10"/>
  <c r="BB311" i="10"/>
  <c r="BA311" i="10"/>
  <c r="BB268" i="10"/>
  <c r="BA268" i="10"/>
  <c r="BA68" i="10"/>
  <c r="BB68" i="10"/>
  <c r="BB215" i="10"/>
  <c r="BA215" i="10"/>
  <c r="BA368" i="10"/>
  <c r="BB368" i="10"/>
  <c r="BA76" i="10"/>
  <c r="BB76" i="10"/>
  <c r="BA57" i="10"/>
  <c r="BB57" i="10"/>
  <c r="BB232" i="10"/>
  <c r="BA232" i="10"/>
  <c r="BA51" i="10"/>
  <c r="BB51" i="10"/>
  <c r="BA340" i="10"/>
  <c r="BB340" i="10"/>
  <c r="BB299" i="10"/>
  <c r="BA299" i="10"/>
  <c r="BA198" i="10"/>
  <c r="BB198" i="10"/>
  <c r="BA159" i="10"/>
  <c r="BB159" i="10"/>
  <c r="BB292" i="10"/>
  <c r="BA292" i="10"/>
  <c r="BA89" i="10"/>
  <c r="BB89" i="10"/>
  <c r="BB175" i="10"/>
  <c r="BA175" i="10"/>
  <c r="BB151" i="10"/>
  <c r="BA151" i="10"/>
  <c r="BB276" i="10"/>
  <c r="BA276" i="10"/>
  <c r="BA318" i="10"/>
  <c r="BB318" i="10"/>
  <c r="BB390" i="10"/>
  <c r="BA390" i="10"/>
  <c r="BA319" i="10"/>
  <c r="BB319" i="10"/>
  <c r="BA265" i="10"/>
  <c r="BB265" i="10"/>
  <c r="BB248" i="10"/>
  <c r="BA248" i="10"/>
  <c r="BA150" i="10"/>
  <c r="BB150" i="10"/>
  <c r="BA226" i="10"/>
  <c r="BB226" i="10"/>
  <c r="AZ69" i="10"/>
  <c r="JU69" i="10"/>
  <c r="AZ68" i="10"/>
  <c r="JU68" i="10"/>
  <c r="KC22" i="10"/>
  <c r="BL22" i="10"/>
  <c r="AR16" i="15"/>
  <c r="KC23" i="10"/>
  <c r="BL23" i="10"/>
  <c r="AR17" i="15"/>
  <c r="KD23" i="10"/>
  <c r="BK23" i="10" s="1"/>
  <c r="AQ17" i="15" s="1"/>
  <c r="BA139" i="10"/>
  <c r="BB139" i="10"/>
  <c r="BA63" i="10"/>
  <c r="BB63" i="10"/>
  <c r="AZ62" i="10"/>
  <c r="JU62" i="10"/>
  <c r="HX24" i="10"/>
  <c r="IN24" i="10"/>
  <c r="JA24" i="10"/>
  <c r="EQ24" i="10"/>
  <c r="ER24" i="10"/>
  <c r="EU24" i="10"/>
  <c r="EV24" i="10"/>
  <c r="EW24" i="10"/>
  <c r="IU24" i="10"/>
  <c r="IX24" i="10"/>
  <c r="JB24" i="10"/>
  <c r="GJ24" i="10"/>
  <c r="LH24" i="10"/>
  <c r="GK24" i="10"/>
  <c r="CF24" i="10"/>
  <c r="CQ24" i="10"/>
  <c r="CW24" i="10"/>
  <c r="AX24" i="10"/>
  <c r="EK24" i="10"/>
  <c r="EL24" i="10"/>
  <c r="AW27" i="10"/>
  <c r="CF27" i="10"/>
  <c r="CQ27" i="10"/>
  <c r="CW27" i="10"/>
  <c r="AX27" i="10"/>
  <c r="AY27" i="10"/>
  <c r="IK27" i="10"/>
  <c r="EK27" i="10"/>
  <c r="EL27" i="10"/>
  <c r="AI27" i="10"/>
  <c r="JL27" i="10"/>
  <c r="Z27" i="10"/>
  <c r="JD27" i="10"/>
  <c r="JJ27" i="10"/>
  <c r="AW24" i="10"/>
  <c r="AY24" i="10"/>
  <c r="AZ24" i="10"/>
  <c r="JU24" i="10"/>
  <c r="GI24" i="10"/>
  <c r="AT24" i="10" s="1"/>
  <c r="AO24" i="10"/>
  <c r="AP24" i="10"/>
  <c r="AQ24" i="10"/>
  <c r="AS24" i="10"/>
  <c r="JT24" i="10"/>
  <c r="JI27" i="10"/>
  <c r="AZ27" i="10"/>
  <c r="JU27" i="10"/>
  <c r="BA27" i="10"/>
  <c r="BB27" i="10"/>
  <c r="AS27" i="10"/>
  <c r="JT27" i="10"/>
  <c r="AU27" i="10"/>
  <c r="AC27" i="10"/>
  <c r="AF27" i="10"/>
  <c r="AH27" i="10"/>
  <c r="DG24" i="10"/>
  <c r="DI24" i="10"/>
  <c r="JO24" i="10"/>
  <c r="JP24" i="10"/>
  <c r="JV24" i="10"/>
  <c r="DG27" i="10"/>
  <c r="DI27" i="10"/>
  <c r="JV27" i="10"/>
  <c r="W27" i="10"/>
  <c r="JC27" i="10"/>
  <c r="JG27" i="10"/>
  <c r="AR27" i="10"/>
  <c r="AE27" i="10"/>
  <c r="JK27" i="10"/>
  <c r="AG27" i="10"/>
  <c r="JH27" i="10"/>
  <c r="AA27" i="10"/>
  <c r="JE27" i="10"/>
  <c r="DC27" i="10"/>
  <c r="DD27" i="10"/>
  <c r="DE27" i="10"/>
  <c r="LB27" i="10"/>
  <c r="LC27" i="10"/>
  <c r="BT27" i="10"/>
  <c r="LD27" i="10"/>
  <c r="LE27" i="10"/>
  <c r="LF27" i="10"/>
  <c r="LG27" i="10"/>
  <c r="X27" i="10"/>
  <c r="FK27" i="10"/>
  <c r="AM27" i="10"/>
  <c r="LI24" i="10"/>
  <c r="DC24" i="10"/>
  <c r="DD24" i="10"/>
  <c r="DE24" i="10"/>
  <c r="LC24" i="10"/>
  <c r="BT24" i="10"/>
  <c r="LD24" i="10"/>
  <c r="LF24" i="10"/>
  <c r="LF26" i="10"/>
  <c r="LF25" i="10"/>
  <c r="LF22" i="10"/>
  <c r="AN27" i="10"/>
  <c r="Y27" i="10"/>
  <c r="JF27" i="10"/>
  <c r="AB27" i="10"/>
  <c r="AV27" i="10"/>
  <c r="AK27" i="10"/>
  <c r="LF23" i="10"/>
  <c r="IC22" i="10"/>
  <c r="IC23" i="10"/>
  <c r="IC24" i="10"/>
  <c r="IC25" i="10"/>
  <c r="IC26" i="10"/>
  <c r="IC27" i="10"/>
  <c r="II27" i="10"/>
  <c r="K7" i="2"/>
  <c r="IY27" i="10"/>
  <c r="K2" i="2"/>
  <c r="HZ22" i="10"/>
  <c r="HZ27" i="10"/>
  <c r="HZ26" i="10"/>
  <c r="HZ25" i="10"/>
  <c r="HZ24" i="10"/>
  <c r="HZ23" i="10"/>
  <c r="FP26" i="10"/>
  <c r="FQ26" i="10"/>
  <c r="BR26" i="10"/>
  <c r="KK26" i="10"/>
  <c r="BH26" i="10"/>
  <c r="AN20" i="15"/>
  <c r="KM26" i="10"/>
  <c r="BI26" i="10" s="1"/>
  <c r="AO20" i="15" s="1"/>
  <c r="JX26" i="10"/>
  <c r="KD26" i="10"/>
  <c r="BK26" i="10" s="1"/>
  <c r="AQ20" i="15" s="1"/>
  <c r="JY26" i="10"/>
  <c r="KA26" i="10"/>
  <c r="KB26" i="10"/>
  <c r="BJ26" i="10"/>
  <c r="AP20" i="15"/>
  <c r="GJ26" i="10"/>
  <c r="EU26" i="10"/>
  <c r="ET26" i="10"/>
  <c r="FU26" i="10"/>
  <c r="JR26" i="10"/>
  <c r="JS26" i="10"/>
  <c r="JQ26" i="10"/>
  <c r="EP26" i="10"/>
  <c r="EO26" i="10"/>
  <c r="ES26" i="10"/>
  <c r="ER26" i="10"/>
  <c r="EQ26" i="10"/>
  <c r="JY25" i="10"/>
  <c r="KE25" i="10"/>
  <c r="BM25" i="10"/>
  <c r="AS19" i="15"/>
  <c r="KA25" i="10"/>
  <c r="KD25" i="10"/>
  <c r="BK25" i="10" s="1"/>
  <c r="AQ19" i="15" s="1"/>
  <c r="JZ25" i="10"/>
  <c r="KH25" i="10"/>
  <c r="KL25" i="10"/>
  <c r="KK25" i="10"/>
  <c r="BH25" i="10"/>
  <c r="AN19" i="15"/>
  <c r="KM25" i="10"/>
  <c r="BI25" i="10"/>
  <c r="AO19" i="15" s="1"/>
  <c r="GK25" i="10"/>
  <c r="ES25" i="10"/>
  <c r="GJ25" i="10"/>
  <c r="JQ25" i="10"/>
  <c r="FW25" i="10"/>
  <c r="EU25" i="10"/>
  <c r="ER25" i="10"/>
  <c r="FX25" i="10"/>
  <c r="JS25" i="10"/>
  <c r="JR25" i="10"/>
  <c r="EW25" i="10"/>
  <c r="EV25" i="10"/>
  <c r="ET25" i="10"/>
  <c r="EQ25" i="10"/>
  <c r="EP25" i="10"/>
  <c r="GH375" i="10"/>
  <c r="IK360" i="10"/>
  <c r="GH125" i="10"/>
  <c r="GH99" i="10"/>
  <c r="IK256" i="10"/>
  <c r="GH233" i="10"/>
  <c r="GH379" i="10"/>
  <c r="GH368" i="10"/>
  <c r="IK319" i="10"/>
  <c r="IK364" i="10"/>
  <c r="CF162" i="10"/>
  <c r="CW162" i="10"/>
  <c r="CF245" i="10"/>
  <c r="CW245" i="10"/>
  <c r="CF353" i="10"/>
  <c r="CW353" i="10"/>
  <c r="CF161" i="10"/>
  <c r="CW161" i="10"/>
  <c r="CF383" i="10"/>
  <c r="CW383" i="10"/>
  <c r="IK345" i="10"/>
  <c r="CF378" i="10"/>
  <c r="CW378" i="10"/>
  <c r="CF154" i="10"/>
  <c r="CW154" i="10"/>
  <c r="IK388" i="10"/>
  <c r="CQ289" i="10"/>
  <c r="CW289" i="10"/>
  <c r="CF332" i="10"/>
  <c r="CW332" i="10"/>
  <c r="GH66" i="10"/>
  <c r="GH280" i="10"/>
  <c r="IK63" i="10"/>
  <c r="GH63" i="10"/>
  <c r="CQ287" i="10"/>
  <c r="CW287" i="10"/>
  <c r="CQ179" i="10"/>
  <c r="CW179" i="10"/>
  <c r="CW391" i="10"/>
  <c r="CW337" i="10"/>
  <c r="CW283" i="10"/>
  <c r="CW229" i="10"/>
  <c r="CW175" i="10"/>
  <c r="CF375" i="10"/>
  <c r="CW375" i="10"/>
  <c r="CF267" i="10"/>
  <c r="CW267" i="10"/>
  <c r="IK374" i="10"/>
  <c r="IK202" i="10"/>
  <c r="GH202" i="10"/>
  <c r="CW258" i="10"/>
  <c r="CW204" i="10"/>
  <c r="CW150" i="10"/>
  <c r="CF275" i="10"/>
  <c r="CW275" i="10"/>
  <c r="CF221" i="10"/>
  <c r="CW221" i="10"/>
  <c r="IK223" i="10"/>
  <c r="GH223" i="10"/>
  <c r="CQ254" i="10"/>
  <c r="CW254" i="10"/>
  <c r="CQ200" i="10"/>
  <c r="CW200" i="10"/>
  <c r="CF388" i="10"/>
  <c r="CW388" i="10"/>
  <c r="IK323" i="10"/>
  <c r="GH323" i="10"/>
  <c r="CF379" i="10"/>
  <c r="CF355" i="10"/>
  <c r="CF325" i="10"/>
  <c r="CF301" i="10"/>
  <c r="CW301" i="10"/>
  <c r="CF271" i="10"/>
  <c r="CF247" i="10"/>
  <c r="CW247" i="10"/>
  <c r="CF217" i="10"/>
  <c r="CQ217" i="10"/>
  <c r="CW217" i="10"/>
  <c r="CF193" i="10"/>
  <c r="CW193" i="10"/>
  <c r="CF163" i="10"/>
  <c r="CQ163" i="10"/>
  <c r="CW163" i="10"/>
  <c r="CF139" i="10"/>
  <c r="CW139" i="10"/>
  <c r="CQ368" i="10"/>
  <c r="CQ341" i="10"/>
  <c r="CW341" i="10"/>
  <c r="CQ314" i="10"/>
  <c r="CQ260" i="10"/>
  <c r="CF260" i="10"/>
  <c r="CW260" i="10"/>
  <c r="CQ233" i="10"/>
  <c r="CW233" i="10"/>
  <c r="CQ206" i="10"/>
  <c r="CF206" i="10"/>
  <c r="CW206" i="10"/>
  <c r="CQ152" i="10"/>
  <c r="CW339" i="10"/>
  <c r="GH294" i="10"/>
  <c r="CQ165" i="10"/>
  <c r="CW165" i="10"/>
  <c r="CW290" i="10"/>
  <c r="CF263" i="10"/>
  <c r="CW263" i="10"/>
  <c r="CW182" i="10"/>
  <c r="CF155" i="10"/>
  <c r="CW155" i="10"/>
  <c r="GH328" i="10"/>
  <c r="CW380" i="10"/>
  <c r="CW198" i="10"/>
  <c r="GH308" i="10"/>
  <c r="IK330" i="10"/>
  <c r="CF354" i="10"/>
  <c r="CF324" i="10"/>
  <c r="CW324" i="10"/>
  <c r="CF300" i="10"/>
  <c r="CF270" i="10"/>
  <c r="CW270" i="10"/>
  <c r="CF246" i="10"/>
  <c r="CF216" i="10"/>
  <c r="CW216" i="10"/>
  <c r="CF192" i="10"/>
  <c r="CQ357" i="10"/>
  <c r="CW357" i="10"/>
  <c r="CQ349" i="10"/>
  <c r="CF349" i="10"/>
  <c r="CW349" i="10"/>
  <c r="CQ303" i="10"/>
  <c r="CW303" i="10"/>
  <c r="CQ295" i="10"/>
  <c r="CQ249" i="10"/>
  <c r="CW249" i="10"/>
  <c r="CQ241" i="10"/>
  <c r="CF241" i="10"/>
  <c r="CW241" i="10"/>
  <c r="CQ195" i="10"/>
  <c r="CW195" i="10"/>
  <c r="CQ187" i="10"/>
  <c r="CQ141" i="10"/>
  <c r="CW141" i="10"/>
  <c r="CQ330" i="10"/>
  <c r="CW330" i="10"/>
  <c r="CW390" i="10"/>
  <c r="CF347" i="10"/>
  <c r="CW347" i="10"/>
  <c r="CF293" i="10"/>
  <c r="CW293" i="10"/>
  <c r="IK74" i="10"/>
  <c r="CW252" i="10"/>
  <c r="GH91" i="10"/>
  <c r="IK292" i="10"/>
  <c r="GH205" i="10"/>
  <c r="CF377" i="10"/>
  <c r="CW377" i="10"/>
  <c r="CF323" i="10"/>
  <c r="CW323" i="10"/>
  <c r="CF295" i="10"/>
  <c r="CF269" i="10"/>
  <c r="CW269" i="10"/>
  <c r="CF215" i="10"/>
  <c r="CW215" i="10"/>
  <c r="CF187" i="10"/>
  <c r="CQ384" i="10"/>
  <c r="CW384" i="10"/>
  <c r="CQ373" i="10"/>
  <c r="CW373" i="10"/>
  <c r="CQ319" i="10"/>
  <c r="CW319" i="10"/>
  <c r="CQ276" i="10"/>
  <c r="CW276" i="10"/>
  <c r="CQ265" i="10"/>
  <c r="CW265" i="10"/>
  <c r="CQ222" i="10"/>
  <c r="CW222" i="10"/>
  <c r="CQ211" i="10"/>
  <c r="CW211" i="10"/>
  <c r="CQ168" i="10"/>
  <c r="CW168" i="10"/>
  <c r="CQ157" i="10"/>
  <c r="CW157" i="10"/>
  <c r="CQ199" i="10"/>
  <c r="CW199" i="10"/>
  <c r="CQ145" i="10"/>
  <c r="CW145" i="10"/>
  <c r="CF296" i="10"/>
  <c r="CW296" i="10"/>
  <c r="CF242" i="10"/>
  <c r="CW242" i="10"/>
  <c r="GH329" i="10"/>
  <c r="IK329" i="10"/>
  <c r="CW285" i="10"/>
  <c r="CW177" i="10"/>
  <c r="CW355" i="10"/>
  <c r="IK193" i="10"/>
  <c r="CF376" i="10"/>
  <c r="CF348" i="10"/>
  <c r="CW348" i="10"/>
  <c r="CF322" i="10"/>
  <c r="CF294" i="10"/>
  <c r="CW294" i="10"/>
  <c r="CF268" i="10"/>
  <c r="CF240" i="10"/>
  <c r="CW240" i="10"/>
  <c r="CF214" i="10"/>
  <c r="CF186" i="10"/>
  <c r="CW186" i="10"/>
  <c r="CF160" i="10"/>
  <c r="CQ160" i="10"/>
  <c r="CW160" i="10"/>
  <c r="CQ365" i="10"/>
  <c r="CQ354" i="10"/>
  <c r="CQ311" i="10"/>
  <c r="CQ300" i="10"/>
  <c r="CW300" i="10"/>
  <c r="CQ257" i="10"/>
  <c r="CF257" i="10"/>
  <c r="CW257" i="10"/>
  <c r="CQ246" i="10"/>
  <c r="CW246" i="10"/>
  <c r="CQ203" i="10"/>
  <c r="CQ192" i="10"/>
  <c r="CW192" i="10"/>
  <c r="CQ149" i="10"/>
  <c r="CF149" i="10"/>
  <c r="CW149" i="10"/>
  <c r="CQ307" i="10"/>
  <c r="CW307" i="10"/>
  <c r="CW231" i="10"/>
  <c r="GH245" i="10"/>
  <c r="CW326" i="10"/>
  <c r="CW360" i="10"/>
  <c r="CW306" i="10"/>
  <c r="CW144" i="10"/>
  <c r="BS15" i="10"/>
  <c r="V7" i="19"/>
  <c r="CQ181" i="10"/>
  <c r="CW181" i="10"/>
  <c r="CQ235" i="10"/>
  <c r="CW235" i="10"/>
  <c r="CQ253" i="10"/>
  <c r="CW253" i="10"/>
  <c r="CQ271" i="10"/>
  <c r="CQ325" i="10"/>
  <c r="CQ343" i="10"/>
  <c r="CW343" i="10"/>
  <c r="CQ361" i="10"/>
  <c r="CW361" i="10"/>
  <c r="CQ379" i="10"/>
  <c r="CF152" i="10"/>
  <c r="CF170" i="10"/>
  <c r="CW170" i="10"/>
  <c r="CF188" i="10"/>
  <c r="CW188" i="10"/>
  <c r="CF224" i="10"/>
  <c r="CW224" i="10"/>
  <c r="CF278" i="10"/>
  <c r="CW278" i="10"/>
  <c r="CF314" i="10"/>
  <c r="CF350" i="10"/>
  <c r="CW350" i="10"/>
  <c r="CF368" i="10"/>
  <c r="CF386" i="10"/>
  <c r="CW386" i="10"/>
  <c r="CQ184" i="10"/>
  <c r="CQ220" i="10"/>
  <c r="CQ310" i="10"/>
  <c r="CF310" i="10"/>
  <c r="CW310" i="10"/>
  <c r="CF191" i="10"/>
  <c r="CW191" i="10"/>
  <c r="CF209" i="10"/>
  <c r="CW209" i="10"/>
  <c r="CF299" i="10"/>
  <c r="CW299" i="10"/>
  <c r="CF335" i="10"/>
  <c r="CF371" i="10"/>
  <c r="CW371" i="10"/>
  <c r="CQ140" i="10"/>
  <c r="CW140" i="10"/>
  <c r="CQ158" i="10"/>
  <c r="CW158" i="10"/>
  <c r="CQ176" i="10"/>
  <c r="CW176" i="10"/>
  <c r="CQ194" i="10"/>
  <c r="CW194" i="10"/>
  <c r="CQ212" i="10"/>
  <c r="CW212" i="10"/>
  <c r="CQ230" i="10"/>
  <c r="CW230" i="10"/>
  <c r="CQ248" i="10"/>
  <c r="CW248" i="10"/>
  <c r="CQ266" i="10"/>
  <c r="CW266" i="10"/>
  <c r="CQ284" i="10"/>
  <c r="CW284" i="10"/>
  <c r="CQ302" i="10"/>
  <c r="CW302" i="10"/>
  <c r="CQ320" i="10"/>
  <c r="CW320" i="10"/>
  <c r="CQ338" i="10"/>
  <c r="CW338" i="10"/>
  <c r="CQ356" i="10"/>
  <c r="CW356" i="10"/>
  <c r="CQ374" i="10"/>
  <c r="CW374" i="10"/>
  <c r="CQ392" i="10"/>
  <c r="CW392" i="10"/>
  <c r="CF153" i="10"/>
  <c r="CF171" i="10"/>
  <c r="CF189" i="10"/>
  <c r="CF207" i="10"/>
  <c r="CQ207" i="10"/>
  <c r="CW207" i="10"/>
  <c r="CF225" i="10"/>
  <c r="CQ225" i="10"/>
  <c r="CW225" i="10"/>
  <c r="CF243" i="10"/>
  <c r="CF261" i="10"/>
  <c r="CQ261" i="10"/>
  <c r="CW261" i="10"/>
  <c r="CF279" i="10"/>
  <c r="CF297" i="10"/>
  <c r="CF315" i="10"/>
  <c r="CF333" i="10"/>
  <c r="CF351" i="10"/>
  <c r="CF369" i="10"/>
  <c r="CF387" i="10"/>
  <c r="CQ387" i="10"/>
  <c r="CW387" i="10"/>
  <c r="CQ148" i="10"/>
  <c r="CF148" i="10"/>
  <c r="CW148" i="10"/>
  <c r="CQ166" i="10"/>
  <c r="CF166" i="10"/>
  <c r="CW166" i="10"/>
  <c r="CQ202" i="10"/>
  <c r="CQ256" i="10"/>
  <c r="CQ274" i="10"/>
  <c r="CQ292" i="10"/>
  <c r="CQ328" i="10"/>
  <c r="CF328" i="10"/>
  <c r="CW328" i="10"/>
  <c r="CQ346" i="10"/>
  <c r="CF346" i="10"/>
  <c r="CW346" i="10"/>
  <c r="CQ364" i="10"/>
  <c r="CF364" i="10"/>
  <c r="CW364" i="10"/>
  <c r="CQ382" i="10"/>
  <c r="CF382" i="10"/>
  <c r="CW382" i="10"/>
  <c r="CF173" i="10"/>
  <c r="CF227" i="10"/>
  <c r="CF281" i="10"/>
  <c r="CF317" i="10"/>
  <c r="CW317" i="10"/>
  <c r="CF389" i="10"/>
  <c r="CQ153" i="10"/>
  <c r="CQ171" i="10"/>
  <c r="CQ189" i="10"/>
  <c r="CW189" i="10"/>
  <c r="CQ243" i="10"/>
  <c r="CQ279" i="10"/>
  <c r="CQ297" i="10"/>
  <c r="CQ315" i="10"/>
  <c r="CQ333" i="10"/>
  <c r="CQ351" i="10"/>
  <c r="CQ369" i="10"/>
  <c r="CF172" i="10"/>
  <c r="CW172" i="10"/>
  <c r="CF190" i="10"/>
  <c r="CW190" i="10"/>
  <c r="CF208" i="10"/>
  <c r="CW208" i="10"/>
  <c r="CF226" i="10"/>
  <c r="CW226" i="10"/>
  <c r="CF244" i="10"/>
  <c r="CW244" i="10"/>
  <c r="CF262" i="10"/>
  <c r="CW262" i="10"/>
  <c r="CF280" i="10"/>
  <c r="CW280" i="10"/>
  <c r="CF298" i="10"/>
  <c r="CW298" i="10"/>
  <c r="CF316" i="10"/>
  <c r="CW316" i="10"/>
  <c r="CF334" i="10"/>
  <c r="CW334" i="10"/>
  <c r="CF352" i="10"/>
  <c r="CW352" i="10"/>
  <c r="CF370" i="10"/>
  <c r="CW370" i="10"/>
  <c r="CQ238" i="10"/>
  <c r="CF238" i="10"/>
  <c r="CW238" i="10"/>
  <c r="CQ147" i="10"/>
  <c r="CW147" i="10"/>
  <c r="CQ183" i="10"/>
  <c r="CQ201" i="10"/>
  <c r="CW201" i="10"/>
  <c r="CQ219" i="10"/>
  <c r="CW219" i="10"/>
  <c r="CQ237" i="10"/>
  <c r="CQ255" i="10"/>
  <c r="CW255" i="10"/>
  <c r="CQ273" i="10"/>
  <c r="CW273" i="10"/>
  <c r="CQ291" i="10"/>
  <c r="CQ309" i="10"/>
  <c r="CW309" i="10"/>
  <c r="CQ327" i="10"/>
  <c r="CW327" i="10"/>
  <c r="CQ345" i="10"/>
  <c r="CQ363" i="10"/>
  <c r="CW363" i="10"/>
  <c r="CQ381" i="10"/>
  <c r="CW381" i="10"/>
  <c r="CF184" i="10"/>
  <c r="CF202" i="10"/>
  <c r="CF220" i="10"/>
  <c r="CF256" i="10"/>
  <c r="CF274" i="10"/>
  <c r="CF292" i="10"/>
  <c r="CQ142" i="10"/>
  <c r="CW142" i="10"/>
  <c r="CQ178" i="10"/>
  <c r="CW178" i="10"/>
  <c r="CQ196" i="10"/>
  <c r="CW196" i="10"/>
  <c r="CQ214" i="10"/>
  <c r="CW214" i="10"/>
  <c r="CQ232" i="10"/>
  <c r="CW232" i="10"/>
  <c r="CQ250" i="10"/>
  <c r="CW250" i="10"/>
  <c r="CQ268" i="10"/>
  <c r="CQ286" i="10"/>
  <c r="CW286" i="10"/>
  <c r="CQ304" i="10"/>
  <c r="CW304" i="10"/>
  <c r="CQ322" i="10"/>
  <c r="CQ340" i="10"/>
  <c r="CW340" i="10"/>
  <c r="CQ358" i="10"/>
  <c r="CW358" i="10"/>
  <c r="CQ376" i="10"/>
  <c r="CW376" i="10"/>
  <c r="CF167" i="10"/>
  <c r="CW167" i="10"/>
  <c r="CF185" i="10"/>
  <c r="CW185" i="10"/>
  <c r="CF203" i="10"/>
  <c r="CF239" i="10"/>
  <c r="CW239" i="10"/>
  <c r="CF311" i="10"/>
  <c r="CF329" i="10"/>
  <c r="CW329" i="10"/>
  <c r="CF365" i="10"/>
  <c r="GH251" i="10"/>
  <c r="GH186" i="10"/>
  <c r="IK342" i="10"/>
  <c r="GH342" i="10"/>
  <c r="GH136" i="10"/>
  <c r="IK136" i="10"/>
  <c r="IK131" i="10"/>
  <c r="IK163" i="10"/>
  <c r="GH163" i="10"/>
  <c r="CF345" i="10"/>
  <c r="CW345" i="10"/>
  <c r="CF321" i="10"/>
  <c r="CW321" i="10"/>
  <c r="CF291" i="10"/>
  <c r="CF237" i="10"/>
  <c r="CF213" i="10"/>
  <c r="CW213" i="10"/>
  <c r="CF183" i="10"/>
  <c r="CF159" i="10"/>
  <c r="CW159" i="10"/>
  <c r="CQ389" i="10"/>
  <c r="CW389" i="10"/>
  <c r="CQ362" i="10"/>
  <c r="CW362" i="10"/>
  <c r="CQ335" i="10"/>
  <c r="CW335" i="10"/>
  <c r="CQ308" i="10"/>
  <c r="CW308" i="10"/>
  <c r="CQ281" i="10"/>
  <c r="CQ227" i="10"/>
  <c r="CW227" i="10"/>
  <c r="CQ173" i="10"/>
  <c r="CW173" i="10"/>
  <c r="CQ146" i="10"/>
  <c r="CW146" i="10"/>
  <c r="FP22" i="10"/>
  <c r="FQ22" i="10"/>
  <c r="IX23" i="10"/>
  <c r="IW23" i="10"/>
  <c r="X363" i="15"/>
  <c r="AE363" i="15"/>
  <c r="E363" i="15"/>
  <c r="X288" i="15"/>
  <c r="AE288" i="15"/>
  <c r="V36" i="15"/>
  <c r="IK46" i="10"/>
  <c r="GH290" i="10"/>
  <c r="DM280" i="10"/>
  <c r="IK75" i="10"/>
  <c r="DP158" i="10"/>
  <c r="DN158" i="10" s="1"/>
  <c r="DO158" i="10" s="1"/>
  <c r="T51" i="15"/>
  <c r="GI278" i="10"/>
  <c r="AT278" i="10" s="1"/>
  <c r="GI260" i="10"/>
  <c r="AT260" i="10" s="1"/>
  <c r="AF36" i="15"/>
  <c r="GH273" i="10"/>
  <c r="DM253" i="10"/>
  <c r="GH248" i="10"/>
  <c r="K51" i="15"/>
  <c r="P189" i="15"/>
  <c r="AD36" i="15"/>
  <c r="GH55" i="10"/>
  <c r="IK326" i="10"/>
  <c r="IK302" i="10"/>
  <c r="GH169" i="10"/>
  <c r="IK81" i="10"/>
  <c r="K36" i="15"/>
  <c r="JM42" i="10"/>
  <c r="BN363" i="10"/>
  <c r="JM363" i="10" s="1"/>
  <c r="GI142" i="10"/>
  <c r="AT142" i="10" s="1"/>
  <c r="JM260" i="10"/>
  <c r="Q51" i="15"/>
  <c r="BN320" i="10"/>
  <c r="BN129" i="10"/>
  <c r="F36" i="15"/>
  <c r="AH72" i="15"/>
  <c r="H25" i="20"/>
  <c r="J25" i="20" s="1"/>
  <c r="GI357" i="10"/>
  <c r="AT357" i="10"/>
  <c r="AT294" i="10"/>
  <c r="GI204" i="10"/>
  <c r="AT204" i="10" s="1"/>
  <c r="GH284" i="10"/>
  <c r="AE72" i="15"/>
  <c r="IK71" i="10"/>
  <c r="AF72" i="15"/>
  <c r="IK291" i="10"/>
  <c r="GH73" i="10"/>
  <c r="IK274" i="10"/>
  <c r="GH143" i="10"/>
  <c r="GH307" i="10"/>
  <c r="GH332" i="10"/>
  <c r="DM127" i="10"/>
  <c r="I36" i="15"/>
  <c r="DP286" i="10"/>
  <c r="DN286" i="10" s="1"/>
  <c r="DO286" i="10" s="1"/>
  <c r="L72" i="15"/>
  <c r="GH204" i="10"/>
  <c r="IK206" i="10"/>
  <c r="DP354" i="10"/>
  <c r="DN354" i="10" s="1"/>
  <c r="DO354" i="10" s="1"/>
  <c r="GH353" i="10"/>
  <c r="IK64" i="10"/>
  <c r="GH31" i="10"/>
  <c r="IK357" i="10"/>
  <c r="GH146" i="10"/>
  <c r="W367" i="15"/>
  <c r="G36" i="15"/>
  <c r="X163" i="15"/>
  <c r="AG72" i="15"/>
  <c r="P367" i="15"/>
  <c r="JM369" i="10"/>
  <c r="J116" i="15"/>
  <c r="JM122" i="10"/>
  <c r="GH56" i="10"/>
  <c r="GH346" i="10"/>
  <c r="GH247" i="10"/>
  <c r="AG116" i="15"/>
  <c r="U367" i="15"/>
  <c r="JM95" i="10"/>
  <c r="BN210" i="10"/>
  <c r="DP278" i="10"/>
  <c r="DN278" i="10" s="1"/>
  <c r="DO278" i="10" s="1"/>
  <c r="IK109" i="10"/>
  <c r="DP284" i="10"/>
  <c r="DN284" i="10" s="1"/>
  <c r="DO284" i="10" s="1"/>
  <c r="IK122" i="10"/>
  <c r="IK384" i="10"/>
  <c r="IK296" i="10"/>
  <c r="R88" i="15"/>
  <c r="S88" i="15"/>
  <c r="Y116" i="15"/>
  <c r="GH255" i="10"/>
  <c r="GH244" i="10"/>
  <c r="AI36" i="15"/>
  <c r="GH243" i="10"/>
  <c r="IK104" i="10"/>
  <c r="IK182" i="10"/>
  <c r="IK269" i="10"/>
  <c r="T36" i="15"/>
  <c r="AC367" i="15"/>
  <c r="DP258" i="10"/>
  <c r="DN258" i="10" s="1"/>
  <c r="DO258" i="10" s="1"/>
  <c r="DP181" i="10"/>
  <c r="DN181" i="10"/>
  <c r="DO181" i="10" s="1"/>
  <c r="DP187" i="10"/>
  <c r="DN187" i="10" s="1"/>
  <c r="DO187" i="10"/>
  <c r="DM128" i="10"/>
  <c r="DM154" i="10"/>
  <c r="DP366" i="10"/>
  <c r="DN366" i="10" s="1"/>
  <c r="DO366" i="10" s="1"/>
  <c r="DP323" i="10"/>
  <c r="DN323" i="10" s="1"/>
  <c r="DO323" i="10" s="1"/>
  <c r="DP384" i="10"/>
  <c r="DN384" i="10" s="1"/>
  <c r="DO384" i="10" s="1"/>
  <c r="DP204" i="10"/>
  <c r="DN204" i="10" s="1"/>
  <c r="DO204" i="10" s="1"/>
  <c r="DP296" i="10"/>
  <c r="DN296" i="10"/>
  <c r="DO296" i="10" s="1"/>
  <c r="DP392" i="10"/>
  <c r="DN392" i="10" s="1"/>
  <c r="DO392" i="10" s="1"/>
  <c r="DP381" i="10"/>
  <c r="DN381" i="10"/>
  <c r="DO381" i="10"/>
  <c r="DP191" i="10"/>
  <c r="DN191" i="10" s="1"/>
  <c r="DO191" i="10" s="1"/>
  <c r="DM232" i="10"/>
  <c r="DP202" i="10"/>
  <c r="DN202" i="10" s="1"/>
  <c r="DO202" i="10"/>
  <c r="DP262" i="10"/>
  <c r="DN262" i="10" s="1"/>
  <c r="DO262" i="10" s="1"/>
  <c r="DM382" i="10"/>
  <c r="GI211" i="10"/>
  <c r="AT211" i="10"/>
  <c r="JM58" i="10"/>
  <c r="A52" i="15"/>
  <c r="JM325" i="10"/>
  <c r="A319" i="15"/>
  <c r="DP379" i="10"/>
  <c r="DN379" i="10" s="1"/>
  <c r="DO379" i="10" s="1"/>
  <c r="JM153" i="10"/>
  <c r="A147" i="15"/>
  <c r="A324" i="15"/>
  <c r="GH84" i="10"/>
  <c r="IK84" i="10"/>
  <c r="W254" i="15"/>
  <c r="AB51" i="15"/>
  <c r="AI90" i="15"/>
  <c r="X90" i="15"/>
  <c r="AE90" i="15"/>
  <c r="H79" i="20"/>
  <c r="J79" i="20" s="1"/>
  <c r="V90" i="15"/>
  <c r="W90" i="15"/>
  <c r="GH201" i="10"/>
  <c r="GH253" i="10"/>
  <c r="IK380" i="10"/>
  <c r="IK217" i="10"/>
  <c r="GH217" i="10"/>
  <c r="H51" i="15"/>
  <c r="IK53" i="10"/>
  <c r="GH53" i="10"/>
  <c r="N363" i="15"/>
  <c r="GH275" i="10"/>
  <c r="IK365" i="10"/>
  <c r="IK279" i="10"/>
  <c r="IK48" i="10"/>
  <c r="GH42" i="10"/>
  <c r="IK42" i="10"/>
  <c r="IK108" i="10"/>
  <c r="GH108" i="10"/>
  <c r="GH240" i="10"/>
  <c r="GH222" i="10"/>
  <c r="IK222" i="10"/>
  <c r="GH237" i="10"/>
  <c r="GH348" i="10"/>
  <c r="IK304" i="10"/>
  <c r="DM363" i="10"/>
  <c r="DM131" i="10"/>
  <c r="DM236" i="10"/>
  <c r="DM358" i="10"/>
  <c r="DP358" i="10"/>
  <c r="DN358" i="10"/>
  <c r="DO358" i="10" s="1"/>
  <c r="DP162" i="10"/>
  <c r="DN162" i="10" s="1"/>
  <c r="DO162" i="10" s="1"/>
  <c r="DP344" i="10"/>
  <c r="DN344" i="10" s="1"/>
  <c r="DO344" i="10" s="1"/>
  <c r="DP210" i="10"/>
  <c r="DN210" i="10" s="1"/>
  <c r="DO210" i="10" s="1"/>
  <c r="L381" i="15"/>
  <c r="Y381" i="15"/>
  <c r="T381" i="15"/>
  <c r="V381" i="15"/>
  <c r="BN382" i="10"/>
  <c r="GH93" i="10"/>
  <c r="IK93" i="10"/>
  <c r="AB87" i="15"/>
  <c r="GI300" i="10"/>
  <c r="AT300" i="10" s="1"/>
  <c r="DM349" i="10"/>
  <c r="DP349" i="10"/>
  <c r="DN349" i="10" s="1"/>
  <c r="DO349" i="10" s="1"/>
  <c r="IK210" i="10"/>
  <c r="IK180" i="10"/>
  <c r="GH267" i="10"/>
  <c r="GH306" i="10"/>
  <c r="IK306" i="10"/>
  <c r="GH120" i="10"/>
  <c r="IK120" i="10"/>
  <c r="JM108" i="10"/>
  <c r="V165" i="15"/>
  <c r="AC165" i="15"/>
  <c r="Y102" i="15"/>
  <c r="AE102" i="15"/>
  <c r="K102" i="15"/>
  <c r="H102" i="15"/>
  <c r="G102" i="15"/>
  <c r="L102" i="15"/>
  <c r="IK276" i="10"/>
  <c r="GH276" i="10"/>
  <c r="IK301" i="10"/>
  <c r="Y51" i="15"/>
  <c r="GH107" i="10"/>
  <c r="GH359" i="10"/>
  <c r="IK282" i="10"/>
  <c r="GH282" i="10"/>
  <c r="GH178" i="10"/>
  <c r="IK178" i="10"/>
  <c r="GH350" i="10"/>
  <c r="DN389" i="10"/>
  <c r="DO389" i="10" s="1"/>
  <c r="DP227" i="10"/>
  <c r="DN227" i="10" s="1"/>
  <c r="DO227" i="10"/>
  <c r="IK89" i="10"/>
  <c r="DP371" i="10"/>
  <c r="DN371" i="10" s="1"/>
  <c r="DO371" i="10" s="1"/>
  <c r="GH257" i="10"/>
  <c r="AF90" i="15"/>
  <c r="E102" i="15"/>
  <c r="DM118" i="10"/>
  <c r="AG288" i="15"/>
  <c r="Y288" i="15"/>
  <c r="AA288" i="15"/>
  <c r="W288" i="15"/>
  <c r="AF288" i="15"/>
  <c r="Z288" i="15"/>
  <c r="AD288" i="15"/>
  <c r="AH288" i="15"/>
  <c r="R288" i="15"/>
  <c r="GI186" i="10"/>
  <c r="AT186" i="10"/>
  <c r="Y254" i="15"/>
  <c r="E254" i="15"/>
  <c r="Q254" i="15"/>
  <c r="GH175" i="10"/>
  <c r="GH47" i="10"/>
  <c r="GH386" i="10"/>
  <c r="GH215" i="10"/>
  <c r="IK215" i="10"/>
  <c r="AF163" i="15"/>
  <c r="J163" i="15"/>
  <c r="BN211" i="10"/>
  <c r="JM351" i="10"/>
  <c r="A345" i="15"/>
  <c r="M345" i="15"/>
  <c r="IK336" i="10"/>
  <c r="IK263" i="10"/>
  <c r="GH366" i="10"/>
  <c r="GH138" i="10"/>
  <c r="IK153" i="10"/>
  <c r="GH153" i="10"/>
  <c r="Q102" i="15"/>
  <c r="DM151" i="10"/>
  <c r="DP151" i="10"/>
  <c r="DN151" i="10" s="1"/>
  <c r="DO151" i="10"/>
  <c r="DP260" i="10"/>
  <c r="DN260" i="10"/>
  <c r="DO260" i="10" s="1"/>
  <c r="A166" i="15"/>
  <c r="JM172" i="10"/>
  <c r="DM137" i="10"/>
  <c r="GH124" i="10"/>
  <c r="IK339" i="10"/>
  <c r="IK387" i="10"/>
  <c r="DM318" i="10"/>
  <c r="DP318" i="10"/>
  <c r="DN318" i="10" s="1"/>
  <c r="DO318" i="10" s="1"/>
  <c r="G163" i="15"/>
  <c r="AE254" i="15"/>
  <c r="IK44" i="10"/>
  <c r="GH44" i="10"/>
  <c r="DM270" i="10"/>
  <c r="AE51" i="15"/>
  <c r="IK203" i="10"/>
  <c r="GH203" i="10"/>
  <c r="GH32" i="10"/>
  <c r="AF381" i="15"/>
  <c r="GH347" i="10"/>
  <c r="GH261" i="10"/>
  <c r="DM148" i="10"/>
  <c r="DP148" i="10"/>
  <c r="DN148" i="10"/>
  <c r="DO148" i="10" s="1"/>
  <c r="DM167" i="10"/>
  <c r="DP167" i="10"/>
  <c r="DN167" i="10" s="1"/>
  <c r="DO167" i="10" s="1"/>
  <c r="I90" i="15"/>
  <c r="JM96" i="10"/>
  <c r="J381" i="15"/>
  <c r="JM214" i="10"/>
  <c r="A208" i="15"/>
  <c r="AF208" i="15" s="1"/>
  <c r="BN193" i="10"/>
  <c r="A184" i="15"/>
  <c r="JM190" i="10"/>
  <c r="GH286" i="10"/>
  <c r="IK286" i="10"/>
  <c r="AA51" i="15"/>
  <c r="N51" i="15"/>
  <c r="X51" i="15"/>
  <c r="I51" i="15"/>
  <c r="L51" i="15"/>
  <c r="J363" i="15"/>
  <c r="AD363" i="15"/>
  <c r="AB363" i="15"/>
  <c r="U363" i="15"/>
  <c r="GH214" i="10"/>
  <c r="GH45" i="10"/>
  <c r="IK45" i="10"/>
  <c r="IK196" i="10"/>
  <c r="GH283" i="10"/>
  <c r="GH177" i="10"/>
  <c r="AH183" i="15"/>
  <c r="V51" i="15"/>
  <c r="DM211" i="10"/>
  <c r="DP211" i="10"/>
  <c r="DN211" i="10" s="1"/>
  <c r="DO211" i="10" s="1"/>
  <c r="Q90" i="15"/>
  <c r="Q380" i="15"/>
  <c r="GI325" i="10"/>
  <c r="AT325" i="10" s="1"/>
  <c r="GI307" i="10"/>
  <c r="AT307" i="10" s="1"/>
  <c r="BN336" i="10"/>
  <c r="JM336" i="10" s="1"/>
  <c r="GI388" i="10"/>
  <c r="AT388" i="10" s="1"/>
  <c r="JM78" i="10"/>
  <c r="GI387" i="10"/>
  <c r="AT387" i="10" s="1"/>
  <c r="GI313" i="10"/>
  <c r="AT313" i="10" s="1"/>
  <c r="W72" i="15"/>
  <c r="H36" i="15"/>
  <c r="AC36" i="15"/>
  <c r="H367" i="15"/>
  <c r="GI311" i="10"/>
  <c r="AT311" i="10" s="1"/>
  <c r="IK156" i="10"/>
  <c r="GH185" i="10"/>
  <c r="IK230" i="10"/>
  <c r="S36" i="15"/>
  <c r="Y36" i="15"/>
  <c r="DP214" i="10"/>
  <c r="DN214" i="10" s="1"/>
  <c r="DO214" i="10" s="1"/>
  <c r="DP201" i="10"/>
  <c r="DN201" i="10" s="1"/>
  <c r="DO201" i="10" s="1"/>
  <c r="R36" i="15"/>
  <c r="DP251" i="10"/>
  <c r="DN251" i="10" s="1"/>
  <c r="DO251" i="10" s="1"/>
  <c r="GH208" i="10"/>
  <c r="DM275" i="10"/>
  <c r="D36" i="15"/>
  <c r="AH166" i="15"/>
  <c r="AI161" i="15"/>
  <c r="AG161" i="15"/>
  <c r="W161" i="15"/>
  <c r="J161" i="15"/>
  <c r="I161" i="15"/>
  <c r="E161" i="15"/>
  <c r="X161" i="15"/>
  <c r="Y161" i="15"/>
  <c r="AE161" i="15"/>
  <c r="AH161" i="15"/>
  <c r="AF161" i="15"/>
  <c r="GH262" i="10"/>
  <c r="IK262" i="10"/>
  <c r="DP279" i="10"/>
  <c r="DN279" i="10" s="1"/>
  <c r="DO279" i="10"/>
  <c r="A65" i="15"/>
  <c r="JM71" i="10"/>
  <c r="IK127" i="10"/>
  <c r="GH127" i="10"/>
  <c r="IK151" i="10"/>
  <c r="GH151" i="10"/>
  <c r="DM163" i="10"/>
  <c r="IK318" i="10"/>
  <c r="GH318" i="10"/>
  <c r="DP377" i="10"/>
  <c r="DN377" i="10" s="1"/>
  <c r="DO377" i="10" s="1"/>
  <c r="GH200" i="10"/>
  <c r="IK200" i="10"/>
  <c r="GH309" i="10"/>
  <c r="IK309" i="10"/>
  <c r="IK389" i="10"/>
  <c r="GH389" i="10"/>
  <c r="J189" i="15"/>
  <c r="AH87" i="15"/>
  <c r="JM37" i="10"/>
  <c r="A31" i="15"/>
  <c r="GI361" i="10"/>
  <c r="AT361" i="10" s="1"/>
  <c r="IK327" i="10"/>
  <c r="GH321" i="10"/>
  <c r="GH95" i="10"/>
  <c r="IK95" i="10"/>
  <c r="IK119" i="10"/>
  <c r="GH119" i="10"/>
  <c r="IK192" i="10"/>
  <c r="GH192" i="10"/>
  <c r="A332" i="15"/>
  <c r="JM338" i="10"/>
  <c r="A75" i="15"/>
  <c r="BN68" i="10"/>
  <c r="A62" i="15" s="1"/>
  <c r="I189" i="15"/>
  <c r="T189" i="15"/>
  <c r="N189" i="15"/>
  <c r="AC189" i="15"/>
  <c r="M189" i="15"/>
  <c r="V189" i="15"/>
  <c r="AH189" i="15"/>
  <c r="Y189" i="15"/>
  <c r="AE189" i="15"/>
  <c r="H189" i="15"/>
  <c r="AB189" i="15"/>
  <c r="W189" i="15"/>
  <c r="AI189" i="15"/>
  <c r="X189" i="15"/>
  <c r="Q189" i="15"/>
  <c r="AG189" i="15"/>
  <c r="AA189" i="15"/>
  <c r="A331" i="15"/>
  <c r="JM337" i="10"/>
  <c r="GH51" i="10"/>
  <c r="IK51" i="10"/>
  <c r="GH325" i="10"/>
  <c r="IK325" i="10"/>
  <c r="IK225" i="10"/>
  <c r="GH225" i="10"/>
  <c r="S189" i="15"/>
  <c r="IK30" i="10"/>
  <c r="GH30" i="10"/>
  <c r="IK179" i="10"/>
  <c r="GH113" i="10"/>
  <c r="IK113" i="10"/>
  <c r="IK343" i="10"/>
  <c r="IK187" i="10"/>
  <c r="GH187" i="10"/>
  <c r="GH370" i="10"/>
  <c r="IK370" i="10"/>
  <c r="IK264" i="10"/>
  <c r="GH264" i="10"/>
  <c r="JM335" i="10"/>
  <c r="M218" i="15"/>
  <c r="J218" i="15"/>
  <c r="S218" i="15"/>
  <c r="X218" i="15"/>
  <c r="G218" i="15"/>
  <c r="AB218" i="15"/>
  <c r="W218" i="15"/>
  <c r="E218" i="15"/>
  <c r="Y218" i="15"/>
  <c r="U218" i="15"/>
  <c r="L218" i="15"/>
  <c r="AC218" i="15"/>
  <c r="AG218" i="15"/>
  <c r="R218" i="15"/>
  <c r="V218" i="15"/>
  <c r="AH218" i="15"/>
  <c r="F218" i="15"/>
  <c r="AE218" i="15"/>
  <c r="AD218" i="15"/>
  <c r="AI218" i="15"/>
  <c r="O218" i="15"/>
  <c r="K218" i="15"/>
  <c r="AF218" i="15"/>
  <c r="GH312" i="10"/>
  <c r="DM330" i="10"/>
  <c r="A196" i="15"/>
  <c r="JM202" i="10"/>
  <c r="IK50" i="10"/>
  <c r="GH50" i="10"/>
  <c r="IK314" i="10"/>
  <c r="GH299" i="10"/>
  <c r="GH300" i="10"/>
  <c r="DP219" i="10"/>
  <c r="DN219" i="10"/>
  <c r="DO219" i="10"/>
  <c r="IK216" i="10"/>
  <c r="GH216" i="10"/>
  <c r="IK352" i="10"/>
  <c r="AA41" i="15"/>
  <c r="DM223" i="10"/>
  <c r="DP223" i="10"/>
  <c r="DN223" i="10" s="1"/>
  <c r="DO223" i="10" s="1"/>
  <c r="DM172" i="10"/>
  <c r="JM94" i="10"/>
  <c r="A276" i="15"/>
  <c r="JM282" i="10"/>
  <c r="JM322" i="10"/>
  <c r="A316" i="15"/>
  <c r="AF316" i="15" s="1"/>
  <c r="GH344" i="10"/>
  <c r="GI195" i="10"/>
  <c r="AT195" i="10" s="1"/>
  <c r="GH172" i="10"/>
  <c r="GH355" i="10"/>
  <c r="R189" i="15"/>
  <c r="GI159" i="10"/>
  <c r="AT159" i="10" s="1"/>
  <c r="IK315" i="10"/>
  <c r="DP185" i="10"/>
  <c r="DN185" i="10" s="1"/>
  <c r="DO185" i="10" s="1"/>
  <c r="DM185" i="10"/>
  <c r="GH54" i="10"/>
  <c r="IK54" i="10"/>
  <c r="A35" i="15"/>
  <c r="JM41" i="10"/>
  <c r="IK69" i="10"/>
  <c r="GH69" i="10"/>
  <c r="AH208" i="15"/>
  <c r="GH382" i="10"/>
  <c r="IK105" i="10"/>
  <c r="GH105" i="10"/>
  <c r="GH391" i="10"/>
  <c r="IK391" i="10"/>
  <c r="T363" i="15"/>
  <c r="L363" i="15"/>
  <c r="H352" i="20"/>
  <c r="I352" i="20" s="1"/>
  <c r="I363" i="15"/>
  <c r="C363" i="15"/>
  <c r="K363" i="15"/>
  <c r="V363" i="15"/>
  <c r="W363" i="15"/>
  <c r="Z363" i="15"/>
  <c r="AI363" i="15"/>
  <c r="M363" i="15"/>
  <c r="AF363" i="15"/>
  <c r="AG363" i="15"/>
  <c r="Y363" i="15"/>
  <c r="P363" i="15"/>
  <c r="Q363" i="15"/>
  <c r="S363" i="15"/>
  <c r="R363" i="15"/>
  <c r="AH363" i="15"/>
  <c r="AA363" i="15"/>
  <c r="A71" i="15"/>
  <c r="JM77" i="10"/>
  <c r="AG41" i="15"/>
  <c r="L41" i="15"/>
  <c r="AB41" i="15"/>
  <c r="E41" i="15"/>
  <c r="J41" i="15"/>
  <c r="AH41" i="15"/>
  <c r="X41" i="15"/>
  <c r="H41" i="15"/>
  <c r="AF41" i="15"/>
  <c r="K41" i="15"/>
  <c r="I41" i="15"/>
  <c r="R41" i="15"/>
  <c r="JM62" i="10"/>
  <c r="A56" i="15"/>
  <c r="F56" i="15" s="1"/>
  <c r="AI88" i="15"/>
  <c r="F88" i="15"/>
  <c r="T88" i="15"/>
  <c r="P88" i="15"/>
  <c r="N88" i="15"/>
  <c r="E88" i="15"/>
  <c r="D88" i="15"/>
  <c r="AF88" i="15"/>
  <c r="J88" i="15"/>
  <c r="AA88" i="15"/>
  <c r="AH88" i="15"/>
  <c r="C88" i="15"/>
  <c r="V88" i="15"/>
  <c r="X88" i="15"/>
  <c r="Y88" i="15"/>
  <c r="K88" i="15"/>
  <c r="AE88" i="15"/>
  <c r="W88" i="15"/>
  <c r="U88" i="15"/>
  <c r="M88" i="15"/>
  <c r="L88" i="15"/>
  <c r="JM167" i="10"/>
  <c r="IK174" i="10"/>
  <c r="GH174" i="10"/>
  <c r="DM332" i="10"/>
  <c r="O88" i="15"/>
  <c r="JM195" i="10"/>
  <c r="A42" i="15"/>
  <c r="IK90" i="10"/>
  <c r="IK106" i="10"/>
  <c r="GH106" i="10"/>
  <c r="IK150" i="10"/>
  <c r="GH150" i="10"/>
  <c r="GH242" i="10"/>
  <c r="IK242" i="10"/>
  <c r="H88" i="15"/>
  <c r="L189" i="15"/>
  <c r="I218" i="15"/>
  <c r="BN181" i="10"/>
  <c r="M208" i="15"/>
  <c r="AI208" i="15"/>
  <c r="R208" i="15"/>
  <c r="Y208" i="15"/>
  <c r="A350" i="15"/>
  <c r="GI224" i="10"/>
  <c r="AT224" i="10" s="1"/>
  <c r="IK70" i="10"/>
  <c r="GH70" i="10"/>
  <c r="GH281" i="10"/>
  <c r="IK281" i="10"/>
  <c r="DM221" i="10"/>
  <c r="DP221" i="10"/>
  <c r="DN221" i="10" s="1"/>
  <c r="DO221" i="10" s="1"/>
  <c r="V182" i="15"/>
  <c r="E182" i="15"/>
  <c r="U182" i="15"/>
  <c r="JM361" i="10"/>
  <c r="A355" i="15"/>
  <c r="JM272" i="10"/>
  <c r="A266" i="15"/>
  <c r="AF189" i="15"/>
  <c r="DP352" i="10"/>
  <c r="DN352" i="10" s="1"/>
  <c r="DO352" i="10" s="1"/>
  <c r="DM352" i="10"/>
  <c r="DP244" i="10"/>
  <c r="DN244" i="10" s="1"/>
  <c r="DO244" i="10" s="1"/>
  <c r="GH311" i="10"/>
  <c r="IK168" i="10"/>
  <c r="GH168" i="10"/>
  <c r="GH173" i="10"/>
  <c r="IK173" i="10"/>
  <c r="Q88" i="15"/>
  <c r="DP146" i="10"/>
  <c r="DN146" i="10" s="1"/>
  <c r="DO146" i="10" s="1"/>
  <c r="DM146" i="10"/>
  <c r="Z189" i="15"/>
  <c r="H207" i="20"/>
  <c r="JM75" i="10"/>
  <c r="A69" i="15"/>
  <c r="GI243" i="10"/>
  <c r="AT243" i="10" s="1"/>
  <c r="IK197" i="10"/>
  <c r="GH197" i="10"/>
  <c r="JM139" i="10"/>
  <c r="A133" i="15"/>
  <c r="I133" i="15" s="1"/>
  <c r="T133" i="15"/>
  <c r="GI208" i="10"/>
  <c r="AT208" i="10"/>
  <c r="BN208" i="10"/>
  <c r="A202" i="15" s="1"/>
  <c r="IK305" i="10"/>
  <c r="IK97" i="10"/>
  <c r="GH97" i="10"/>
  <c r="DP157" i="10"/>
  <c r="DN157" i="10" s="1"/>
  <c r="DO157" i="10" s="1"/>
  <c r="IK221" i="10"/>
  <c r="GH221" i="10"/>
  <c r="IK162" i="10"/>
  <c r="GH335" i="10"/>
  <c r="IK335" i="10"/>
  <c r="Y182" i="15"/>
  <c r="G88" i="15"/>
  <c r="DP277" i="10"/>
  <c r="DN277" i="10" s="1"/>
  <c r="DO277" i="10" s="1"/>
  <c r="DP200" i="10"/>
  <c r="DN200" i="10"/>
  <c r="DO200" i="10"/>
  <c r="DM200" i="10"/>
  <c r="K189" i="15"/>
  <c r="D218" i="15"/>
  <c r="JM66" i="10"/>
  <c r="A60" i="15"/>
  <c r="A349" i="15"/>
  <c r="GI219" i="10"/>
  <c r="AT219" i="10" s="1"/>
  <c r="BN219" i="10"/>
  <c r="A213" i="15" s="1"/>
  <c r="GH83" i="10"/>
  <c r="IK83" i="10"/>
  <c r="DM374" i="10"/>
  <c r="DP374" i="10"/>
  <c r="DN374" i="10"/>
  <c r="DO374" i="10" s="1"/>
  <c r="D51" i="15"/>
  <c r="H40" i="20"/>
  <c r="I40" i="20" s="1"/>
  <c r="F51" i="15"/>
  <c r="K40" i="20"/>
  <c r="U51" i="15"/>
  <c r="AI51" i="15"/>
  <c r="C51" i="15"/>
  <c r="G51" i="15"/>
  <c r="AG51" i="15"/>
  <c r="P51" i="15"/>
  <c r="AC51" i="15"/>
  <c r="E51" i="15"/>
  <c r="R51" i="15"/>
  <c r="Z51" i="15"/>
  <c r="O51" i="15"/>
  <c r="AA254" i="15"/>
  <c r="J254" i="15"/>
  <c r="M254" i="15"/>
  <c r="C254" i="15"/>
  <c r="AI183" i="15"/>
  <c r="AF183" i="15"/>
  <c r="GI384" i="10"/>
  <c r="AT384" i="10" s="1"/>
  <c r="A282" i="15"/>
  <c r="O282" i="15" s="1"/>
  <c r="JM288" i="10"/>
  <c r="S165" i="15"/>
  <c r="Z165" i="15"/>
  <c r="H154" i="20"/>
  <c r="I154" i="20" s="1"/>
  <c r="O165" i="15"/>
  <c r="AI165" i="15"/>
  <c r="AA165" i="15"/>
  <c r="D165" i="15"/>
  <c r="K165" i="15"/>
  <c r="X165" i="15"/>
  <c r="GI166" i="10"/>
  <c r="AT166" i="10" s="1"/>
  <c r="BN166" i="10"/>
  <c r="JM166" i="10" s="1"/>
  <c r="Q72" i="15"/>
  <c r="F72" i="15"/>
  <c r="C72" i="15"/>
  <c r="AC72" i="15"/>
  <c r="I72" i="15"/>
  <c r="Y72" i="15"/>
  <c r="N72" i="15"/>
  <c r="H61" i="20"/>
  <c r="I15" i="2"/>
  <c r="L4" i="19"/>
  <c r="H12" i="2"/>
  <c r="GI340" i="10"/>
  <c r="AT340" i="10" s="1"/>
  <c r="GI322" i="10"/>
  <c r="AT322" i="10" s="1"/>
  <c r="GH27" i="10"/>
  <c r="AH51" i="15"/>
  <c r="GH381" i="10"/>
  <c r="IK183" i="10"/>
  <c r="GH184" i="10"/>
  <c r="IK184" i="10"/>
  <c r="AD51" i="15"/>
  <c r="T165" i="15"/>
  <c r="A294" i="15"/>
  <c r="JM300" i="10"/>
  <c r="JM248" i="10"/>
  <c r="GI245" i="10"/>
  <c r="AT245" i="10" s="1"/>
  <c r="BN245" i="10"/>
  <c r="W51" i="15"/>
  <c r="IK392" i="10"/>
  <c r="R165" i="15"/>
  <c r="M165" i="15"/>
  <c r="U183" i="15"/>
  <c r="C165" i="15"/>
  <c r="JM286" i="10"/>
  <c r="H152" i="20"/>
  <c r="Q163" i="15"/>
  <c r="M163" i="15"/>
  <c r="AB163" i="15"/>
  <c r="AI163" i="15"/>
  <c r="IK340" i="10"/>
  <c r="GH340" i="10"/>
  <c r="AD165" i="15"/>
  <c r="F165" i="15"/>
  <c r="O163" i="15"/>
  <c r="A67" i="15"/>
  <c r="JM73" i="10"/>
  <c r="GI314" i="10"/>
  <c r="AT314" i="10" s="1"/>
  <c r="G381" i="15"/>
  <c r="AA381" i="15"/>
  <c r="AI381" i="15"/>
  <c r="W381" i="15"/>
  <c r="AH381" i="15"/>
  <c r="GI175" i="10"/>
  <c r="AT175" i="10" s="1"/>
  <c r="GI139" i="10"/>
  <c r="AT139" i="10" s="1"/>
  <c r="DM338" i="10"/>
  <c r="DP338" i="10"/>
  <c r="DN338" i="10"/>
  <c r="DO338" i="10"/>
  <c r="H334" i="20"/>
  <c r="H345" i="15"/>
  <c r="AA345" i="15"/>
  <c r="GI324" i="10"/>
  <c r="AT324" i="10" s="1"/>
  <c r="BN324" i="10"/>
  <c r="A318" i="15" s="1"/>
  <c r="JM324" i="10"/>
  <c r="AF51" i="15"/>
  <c r="IK92" i="10"/>
  <c r="IK160" i="10"/>
  <c r="GH160" i="10"/>
  <c r="GH116" i="10"/>
  <c r="W163" i="15"/>
  <c r="R381" i="15"/>
  <c r="GI316" i="10"/>
  <c r="AT316" i="10"/>
  <c r="AE381" i="15"/>
  <c r="GH76" i="10"/>
  <c r="AF254" i="15"/>
  <c r="V72" i="15"/>
  <c r="DP250" i="10"/>
  <c r="DN250" i="10" s="1"/>
  <c r="DO250" i="10"/>
  <c r="DM250" i="10"/>
  <c r="N165" i="15"/>
  <c r="AE380" i="15"/>
  <c r="BN329" i="10"/>
  <c r="JM329" i="10" s="1"/>
  <c r="GH86" i="10"/>
  <c r="IK86" i="10"/>
  <c r="GH341" i="10"/>
  <c r="IK341" i="10"/>
  <c r="GI378" i="10"/>
  <c r="AT378" i="10" s="1"/>
  <c r="BN378" i="10"/>
  <c r="JM378" i="10" s="1"/>
  <c r="IK241" i="10"/>
  <c r="GH241" i="10"/>
  <c r="AH254" i="15"/>
  <c r="W165" i="15"/>
  <c r="IK171" i="10"/>
  <c r="GH171" i="10"/>
  <c r="Z72" i="15"/>
  <c r="DP364" i="10"/>
  <c r="DN364" i="10"/>
  <c r="DO364" i="10" s="1"/>
  <c r="DM364" i="10"/>
  <c r="DM175" i="10"/>
  <c r="DP175" i="10"/>
  <c r="DN175" i="10"/>
  <c r="DO175" i="10" s="1"/>
  <c r="U165" i="15"/>
  <c r="AA319" i="15"/>
  <c r="D319" i="15"/>
  <c r="W319" i="15"/>
  <c r="AG319" i="15"/>
  <c r="J319" i="15"/>
  <c r="AI319" i="15"/>
  <c r="AH319" i="15"/>
  <c r="N319" i="15"/>
  <c r="BN314" i="10"/>
  <c r="JM314" i="10" s="1"/>
  <c r="AE165" i="15"/>
  <c r="GH209" i="10"/>
  <c r="W345" i="15"/>
  <c r="IK194" i="10"/>
  <c r="GH194" i="10"/>
  <c r="S51" i="15"/>
  <c r="DM150" i="10"/>
  <c r="DO150" i="10"/>
  <c r="DP309" i="10"/>
  <c r="DN309" i="10" s="1"/>
  <c r="DO309" i="10" s="1"/>
  <c r="DM309" i="10"/>
  <c r="H165" i="15"/>
  <c r="D367" i="15"/>
  <c r="J367" i="15"/>
  <c r="E367" i="15"/>
  <c r="O367" i="15"/>
  <c r="Q367" i="15"/>
  <c r="L367" i="15"/>
  <c r="AB367" i="15"/>
  <c r="JM279" i="10"/>
  <c r="A273" i="15"/>
  <c r="AH273" i="15" s="1"/>
  <c r="A26" i="15"/>
  <c r="JM32" i="10"/>
  <c r="A24" i="15"/>
  <c r="JM30" i="10"/>
  <c r="GI371" i="10"/>
  <c r="AT371" i="10" s="1"/>
  <c r="BN371" i="10"/>
  <c r="JM252" i="10"/>
  <c r="A246" i="15"/>
  <c r="N246" i="15"/>
  <c r="GH117" i="10"/>
  <c r="A351" i="15"/>
  <c r="R382" i="15"/>
  <c r="S382" i="15"/>
  <c r="AG382" i="15"/>
  <c r="L382" i="15"/>
  <c r="AG141" i="15"/>
  <c r="AI141" i="15"/>
  <c r="R141" i="15"/>
  <c r="JM271" i="10"/>
  <c r="A265" i="15"/>
  <c r="K265" i="15" s="1"/>
  <c r="H265" i="15"/>
  <c r="L288" i="15"/>
  <c r="D288" i="15"/>
  <c r="J288" i="15"/>
  <c r="A360" i="15"/>
  <c r="GI158" i="10"/>
  <c r="AT158" i="10" s="1"/>
  <c r="AI102" i="15"/>
  <c r="F102" i="15"/>
  <c r="D102" i="15"/>
  <c r="C90" i="15"/>
  <c r="N90" i="15"/>
  <c r="F90" i="15"/>
  <c r="G90" i="15"/>
  <c r="M90" i="15"/>
  <c r="F199" i="15"/>
  <c r="A357" i="15"/>
  <c r="U357" i="15" s="1"/>
  <c r="GI253" i="10"/>
  <c r="AT253" i="10"/>
  <c r="AB116" i="15"/>
  <c r="JM118" i="10"/>
  <c r="A112" i="15"/>
  <c r="K112" i="15"/>
  <c r="GI233" i="10"/>
  <c r="AT233" i="10" s="1"/>
  <c r="A167" i="15"/>
  <c r="JM173" i="10"/>
  <c r="GI284" i="10"/>
  <c r="AT284" i="10" s="1"/>
  <c r="GI177" i="10"/>
  <c r="AT177" i="10" s="1"/>
  <c r="GH36" i="10"/>
  <c r="IK367" i="10"/>
  <c r="GH37" i="10"/>
  <c r="IK37" i="10"/>
  <c r="IK67" i="10"/>
  <c r="GH67" i="10"/>
  <c r="GH181" i="10"/>
  <c r="IK181" i="10"/>
  <c r="GH361" i="10"/>
  <c r="IK361" i="10"/>
  <c r="BN280" i="10"/>
  <c r="A274" i="15" s="1"/>
  <c r="GI280" i="10"/>
  <c r="AT280" i="10" s="1"/>
  <c r="GI341" i="10"/>
  <c r="AT341" i="10" s="1"/>
  <c r="BN341" i="10"/>
  <c r="A335" i="15" s="1"/>
  <c r="F335" i="15" s="1"/>
  <c r="IK38" i="10"/>
  <c r="GH38" i="10"/>
  <c r="DP160" i="10"/>
  <c r="DN160" i="10" s="1"/>
  <c r="DO160" i="10" s="1"/>
  <c r="IK199" i="10"/>
  <c r="GH199" i="10"/>
  <c r="IK39" i="10"/>
  <c r="IK82" i="10"/>
  <c r="GH82" i="10"/>
  <c r="DM285" i="10"/>
  <c r="DN285" i="10"/>
  <c r="DO285" i="10" s="1"/>
  <c r="A49" i="15"/>
  <c r="X49" i="15" s="1"/>
  <c r="JM55" i="10"/>
  <c r="JM92" i="10"/>
  <c r="A86" i="15"/>
  <c r="A63" i="15"/>
  <c r="JM69" i="10"/>
  <c r="IK140" i="10"/>
  <c r="GH140" i="10"/>
  <c r="IK316" i="10"/>
  <c r="GH316" i="10"/>
  <c r="IK219" i="10"/>
  <c r="DP242" i="10"/>
  <c r="DN242" i="10" s="1"/>
  <c r="DO242" i="10" s="1"/>
  <c r="G242" i="15"/>
  <c r="V242" i="15"/>
  <c r="E242" i="15"/>
  <c r="Q242" i="15"/>
  <c r="GH155" i="10"/>
  <c r="IK155" i="10"/>
  <c r="IK149" i="10"/>
  <c r="GH149" i="10"/>
  <c r="GH96" i="10"/>
  <c r="IK96" i="10"/>
  <c r="IK65" i="10"/>
  <c r="GH65" i="10"/>
  <c r="GH129" i="10"/>
  <c r="IK129" i="10"/>
  <c r="GH358" i="10"/>
  <c r="IK358" i="10"/>
  <c r="IK41" i="10"/>
  <c r="GH41" i="10"/>
  <c r="IK166" i="10"/>
  <c r="GH166" i="10"/>
  <c r="DM339" i="10"/>
  <c r="DP339" i="10"/>
  <c r="DN339" i="10" s="1"/>
  <c r="DO339" i="10" s="1"/>
  <c r="IK287" i="10"/>
  <c r="GH287" i="10"/>
  <c r="IK102" i="10"/>
  <c r="GH102" i="10"/>
  <c r="GH52" i="10"/>
  <c r="IK170" i="10"/>
  <c r="IK224" i="10"/>
  <c r="M89" i="15"/>
  <c r="V89" i="15"/>
  <c r="K89" i="15"/>
  <c r="D89" i="15"/>
  <c r="H78" i="20"/>
  <c r="J78" i="20" s="1"/>
  <c r="AC89" i="15"/>
  <c r="H89" i="15"/>
  <c r="Z89" i="15"/>
  <c r="P89" i="15"/>
  <c r="Q89" i="15"/>
  <c r="AH89" i="15"/>
  <c r="AG89" i="15"/>
  <c r="Y89" i="15"/>
  <c r="A173" i="15"/>
  <c r="U173" i="15"/>
  <c r="JM179" i="10"/>
  <c r="GH133" i="10"/>
  <c r="GH78" i="10"/>
  <c r="GH236" i="10"/>
  <c r="BN312" i="10"/>
  <c r="A314" i="15"/>
  <c r="W314" i="15" s="1"/>
  <c r="JM320" i="10"/>
  <c r="AG112" i="15"/>
  <c r="BN197" i="10"/>
  <c r="D219" i="15"/>
  <c r="T219" i="15"/>
  <c r="K219" i="15"/>
  <c r="AC219" i="15"/>
  <c r="AG219" i="15"/>
  <c r="R219" i="15"/>
  <c r="AI219" i="15"/>
  <c r="BN199" i="10"/>
  <c r="A193" i="15" s="1"/>
  <c r="IK250" i="10"/>
  <c r="GH250" i="10"/>
  <c r="IK351" i="10"/>
  <c r="GH351" i="10"/>
  <c r="IK268" i="10"/>
  <c r="C42" i="15"/>
  <c r="K42" i="15"/>
  <c r="AA42" i="15"/>
  <c r="BN295" i="10"/>
  <c r="JM295" i="10" s="1"/>
  <c r="GH142" i="10"/>
  <c r="GH189" i="10"/>
  <c r="IK320" i="10"/>
  <c r="X219" i="15"/>
  <c r="Q219" i="15"/>
  <c r="JM225" i="10"/>
  <c r="IK228" i="10"/>
  <c r="GH29" i="10"/>
  <c r="GH158" i="10"/>
  <c r="K246" i="15"/>
  <c r="JM76" i="10"/>
  <c r="A70" i="15"/>
  <c r="C147" i="15"/>
  <c r="V147" i="15"/>
  <c r="A73" i="15"/>
  <c r="A50" i="15"/>
  <c r="JM56" i="10"/>
  <c r="DP198" i="10"/>
  <c r="DN198" i="10" s="1"/>
  <c r="DO198" i="10" s="1"/>
  <c r="DM198" i="10"/>
  <c r="GH234" i="10"/>
  <c r="GH207" i="10"/>
  <c r="GH229" i="10"/>
  <c r="AF380" i="15"/>
  <c r="DM115" i="10"/>
  <c r="JM332" i="10"/>
  <c r="A326" i="15"/>
  <c r="BN354" i="10"/>
  <c r="GI354" i="10"/>
  <c r="AT354" i="10" s="1"/>
  <c r="GI343" i="10"/>
  <c r="AT343" i="10"/>
  <c r="BN343" i="10"/>
  <c r="GI149" i="10"/>
  <c r="AT149" i="10" s="1"/>
  <c r="BN149" i="10"/>
  <c r="A198" i="15"/>
  <c r="AC198" i="15"/>
  <c r="JM204" i="10"/>
  <c r="IK59" i="10"/>
  <c r="IK159" i="10"/>
  <c r="GH378" i="10"/>
  <c r="GH322" i="10"/>
  <c r="GH390" i="10"/>
  <c r="GH161" i="10"/>
  <c r="IK148" i="10"/>
  <c r="IK349" i="10"/>
  <c r="A47" i="15"/>
  <c r="BN67" i="10"/>
  <c r="JM368" i="10"/>
  <c r="A362" i="15"/>
  <c r="K362" i="15"/>
  <c r="GH213" i="10"/>
  <c r="IK130" i="10"/>
  <c r="GH68" i="10"/>
  <c r="IK85" i="10"/>
  <c r="GH313" i="10"/>
  <c r="GH154" i="10"/>
  <c r="AF219" i="15"/>
  <c r="K90" i="15"/>
  <c r="I79" i="20"/>
  <c r="K79" i="20"/>
  <c r="AB280" i="15"/>
  <c r="AB161" i="15"/>
  <c r="T161" i="15"/>
  <c r="AC161" i="15"/>
  <c r="S161" i="15"/>
  <c r="H161" i="15"/>
  <c r="D161" i="15"/>
  <c r="L161" i="15"/>
  <c r="M161" i="15"/>
  <c r="Z161" i="15"/>
  <c r="Q161" i="15"/>
  <c r="AD161" i="15"/>
  <c r="C161" i="15"/>
  <c r="AA161" i="15"/>
  <c r="N161" i="15"/>
  <c r="H150" i="20"/>
  <c r="U161" i="15"/>
  <c r="O161" i="15"/>
  <c r="V161" i="15"/>
  <c r="P161" i="15"/>
  <c r="G161" i="15"/>
  <c r="R161" i="15"/>
  <c r="IK72" i="10"/>
  <c r="IK354" i="10"/>
  <c r="GH277" i="10"/>
  <c r="IK111" i="10"/>
  <c r="IK238" i="10"/>
  <c r="IK385" i="10"/>
  <c r="DP209" i="10"/>
  <c r="DN209" i="10"/>
  <c r="DO209" i="10" s="1"/>
  <c r="DM209" i="10"/>
  <c r="A28" i="15"/>
  <c r="LB24" i="10"/>
  <c r="DP329" i="10"/>
  <c r="DN329" i="10" s="1"/>
  <c r="DO329" i="10" s="1"/>
  <c r="T112" i="15"/>
  <c r="DM207" i="10"/>
  <c r="DP207" i="10"/>
  <c r="DN207" i="10" s="1"/>
  <c r="DO207" i="10"/>
  <c r="H122" i="20"/>
  <c r="J122" i="20"/>
  <c r="S133" i="15"/>
  <c r="U133" i="15"/>
  <c r="E133" i="15"/>
  <c r="AC133" i="15"/>
  <c r="X133" i="15"/>
  <c r="I288" i="15"/>
  <c r="AC288" i="15"/>
  <c r="K288" i="15"/>
  <c r="T288" i="15"/>
  <c r="AI288" i="15"/>
  <c r="Q288" i="15"/>
  <c r="O288" i="15"/>
  <c r="H288" i="15"/>
  <c r="F288" i="15"/>
  <c r="M288" i="15"/>
  <c r="C288" i="15"/>
  <c r="S288" i="15"/>
  <c r="G288" i="15"/>
  <c r="V288" i="15"/>
  <c r="Z381" i="15"/>
  <c r="M381" i="15"/>
  <c r="Q381" i="15"/>
  <c r="D381" i="15"/>
  <c r="F381" i="15"/>
  <c r="P381" i="15"/>
  <c r="C381" i="15"/>
  <c r="I381" i="15"/>
  <c r="U381" i="15"/>
  <c r="AC381" i="15"/>
  <c r="K381" i="15"/>
  <c r="AB381" i="15"/>
  <c r="O381" i="15"/>
  <c r="JM47" i="10"/>
  <c r="Z254" i="15"/>
  <c r="AI254" i="15"/>
  <c r="A109" i="15"/>
  <c r="C109" i="15"/>
  <c r="JM115" i="10"/>
  <c r="GI350" i="10"/>
  <c r="AT350" i="10" s="1"/>
  <c r="BN350" i="10"/>
  <c r="Z183" i="15"/>
  <c r="E381" i="15"/>
  <c r="M133" i="15"/>
  <c r="A79" i="15"/>
  <c r="JM85" i="10"/>
  <c r="N288" i="15"/>
  <c r="S381" i="15"/>
  <c r="J133" i="15"/>
  <c r="A103" i="15"/>
  <c r="JM109" i="10"/>
  <c r="P288" i="15"/>
  <c r="AD381" i="15"/>
  <c r="L133" i="15"/>
  <c r="K294" i="15"/>
  <c r="BN269" i="10"/>
  <c r="A263" i="15" s="1"/>
  <c r="M263" i="15" s="1"/>
  <c r="GI269" i="10"/>
  <c r="AT269" i="10" s="1"/>
  <c r="E288" i="15"/>
  <c r="D133" i="15"/>
  <c r="JM31" i="10"/>
  <c r="GI348" i="10"/>
  <c r="AT348" i="10" s="1"/>
  <c r="BN348" i="10"/>
  <c r="JM348" i="10" s="1"/>
  <c r="BN302" i="10"/>
  <c r="GI302" i="10"/>
  <c r="AT302" i="10" s="1"/>
  <c r="K199" i="15"/>
  <c r="J382" i="15"/>
  <c r="Q382" i="15"/>
  <c r="G382" i="15"/>
  <c r="M382" i="15"/>
  <c r="I382" i="15"/>
  <c r="K382" i="15"/>
  <c r="E199" i="15"/>
  <c r="N199" i="15"/>
  <c r="H199" i="15"/>
  <c r="F163" i="15"/>
  <c r="V163" i="15"/>
  <c r="L163" i="15"/>
  <c r="AA163" i="15"/>
  <c r="T163" i="15"/>
  <c r="A226" i="15"/>
  <c r="X226" i="15" s="1"/>
  <c r="JM232" i="10"/>
  <c r="GI381" i="10"/>
  <c r="AT381" i="10" s="1"/>
  <c r="BN381" i="10"/>
  <c r="JM381" i="10" s="1"/>
  <c r="GI238" i="10"/>
  <c r="AT238" i="10"/>
  <c r="BN238" i="10"/>
  <c r="JM238" i="10" s="1"/>
  <c r="A232" i="15"/>
  <c r="I199" i="15"/>
  <c r="S199" i="15"/>
  <c r="T199" i="15"/>
  <c r="GI156" i="10"/>
  <c r="AT156" i="10"/>
  <c r="Q199" i="15"/>
  <c r="AD189" i="15"/>
  <c r="U189" i="15"/>
  <c r="G189" i="15"/>
  <c r="BN116" i="10"/>
  <c r="BN284" i="10"/>
  <c r="BN138" i="10"/>
  <c r="A361" i="15"/>
  <c r="BN127" i="10"/>
  <c r="JM127" i="10" s="1"/>
  <c r="AG199" i="15"/>
  <c r="AA199" i="15"/>
  <c r="GI275" i="10"/>
  <c r="AT275" i="10" s="1"/>
  <c r="BN275" i="10"/>
  <c r="GI182" i="10"/>
  <c r="AT182" i="10" s="1"/>
  <c r="BN182" i="10"/>
  <c r="JM182" i="10" s="1"/>
  <c r="A255" i="15"/>
  <c r="K255" i="15" s="1"/>
  <c r="JM261" i="10"/>
  <c r="JM164" i="10"/>
  <c r="A158" i="15"/>
  <c r="BN323" i="10"/>
  <c r="GI273" i="10"/>
  <c r="AT273" i="10" s="1"/>
  <c r="F276" i="15"/>
  <c r="C276" i="15"/>
  <c r="T276" i="15"/>
  <c r="O276" i="15"/>
  <c r="A330" i="15"/>
  <c r="P330" i="15" s="1"/>
  <c r="J199" i="15"/>
  <c r="AC182" i="15"/>
  <c r="D196" i="15"/>
  <c r="Z196" i="15"/>
  <c r="GI367" i="10"/>
  <c r="AT367" i="10"/>
  <c r="GI331" i="10"/>
  <c r="AT331" i="10" s="1"/>
  <c r="GI304" i="10"/>
  <c r="AT304" i="10" s="1"/>
  <c r="BN125" i="10"/>
  <c r="A119" i="15" s="1"/>
  <c r="GI362" i="10"/>
  <c r="AT362" i="10" s="1"/>
  <c r="BN362" i="10"/>
  <c r="A169" i="15"/>
  <c r="JM175" i="10"/>
  <c r="A368" i="15"/>
  <c r="JM374" i="10"/>
  <c r="BN253" i="10"/>
  <c r="A247" i="15" s="1"/>
  <c r="BN259" i="10"/>
  <c r="A299" i="15"/>
  <c r="BN328" i="10"/>
  <c r="BN293" i="10"/>
  <c r="GI293" i="10"/>
  <c r="AT293" i="10" s="1"/>
  <c r="GI230" i="10"/>
  <c r="AT230" i="10" s="1"/>
  <c r="BN321" i="10"/>
  <c r="JM230" i="10"/>
  <c r="A224" i="15"/>
  <c r="U224" i="15" s="1"/>
  <c r="BN105" i="10"/>
  <c r="JM228" i="10"/>
  <c r="GI377" i="10"/>
  <c r="AT377" i="10" s="1"/>
  <c r="GI368" i="10"/>
  <c r="AT368" i="10" s="1"/>
  <c r="GI359" i="10"/>
  <c r="AT359" i="10" s="1"/>
  <c r="GI215" i="10"/>
  <c r="AT215" i="10" s="1"/>
  <c r="GI161" i="10"/>
  <c r="AT161" i="10" s="1"/>
  <c r="GI386" i="10"/>
  <c r="AT386" i="10" s="1"/>
  <c r="GI291" i="10"/>
  <c r="AT291" i="10" s="1"/>
  <c r="GI229" i="10"/>
  <c r="AT229" i="10"/>
  <c r="BN229" i="10"/>
  <c r="JM229" i="10" s="1"/>
  <c r="GI220" i="10"/>
  <c r="AT220" i="10"/>
  <c r="GI392" i="10"/>
  <c r="AT392" i="10" s="1"/>
  <c r="GI143" i="10"/>
  <c r="AT143" i="10" s="1"/>
  <c r="GI237" i="10"/>
  <c r="AT237" i="10" s="1"/>
  <c r="GH137" i="10"/>
  <c r="IK137" i="10"/>
  <c r="GH259" i="10"/>
  <c r="IK259" i="10"/>
  <c r="DP365" i="10"/>
  <c r="DN365" i="10" s="1"/>
  <c r="DO365" i="10" s="1"/>
  <c r="DM365" i="10"/>
  <c r="GH115" i="10"/>
  <c r="GH110" i="10"/>
  <c r="IK110" i="10"/>
  <c r="IK191" i="10"/>
  <c r="GH191" i="10"/>
  <c r="DP184" i="10"/>
  <c r="DN184" i="10" s="1"/>
  <c r="DO184" i="10" s="1"/>
  <c r="GH212" i="10"/>
  <c r="GH167" i="10"/>
  <c r="GH295" i="10"/>
  <c r="DP378" i="10"/>
  <c r="DN378" i="10" s="1"/>
  <c r="DO378" i="10" s="1"/>
  <c r="DM378" i="10"/>
  <c r="GH190" i="10"/>
  <c r="IK190" i="10"/>
  <c r="GH103" i="10"/>
  <c r="IK103" i="10"/>
  <c r="GH198" i="10"/>
  <c r="IK198" i="10"/>
  <c r="GH100" i="10"/>
  <c r="IK100" i="10"/>
  <c r="IK34" i="10"/>
  <c r="GH34" i="10"/>
  <c r="IK337" i="10"/>
  <c r="GH337" i="10"/>
  <c r="GH211" i="10"/>
  <c r="IK211" i="10"/>
  <c r="IK338" i="10"/>
  <c r="DP192" i="10"/>
  <c r="DN192" i="10"/>
  <c r="DO192" i="10" s="1"/>
  <c r="IK254" i="10"/>
  <c r="GH254" i="10"/>
  <c r="GH265" i="10"/>
  <c r="IK265" i="10"/>
  <c r="GH123" i="10"/>
  <c r="IK123" i="10"/>
  <c r="DM305" i="10"/>
  <c r="DP305" i="10"/>
  <c r="DN305" i="10" s="1"/>
  <c r="DO305" i="10" s="1"/>
  <c r="DM165" i="10"/>
  <c r="DP165" i="10"/>
  <c r="DN165" i="10" s="1"/>
  <c r="DO165" i="10" s="1"/>
  <c r="IK62" i="10"/>
  <c r="GH62" i="10"/>
  <c r="GH57" i="10"/>
  <c r="DP231" i="10"/>
  <c r="DN231" i="10"/>
  <c r="DO231" i="10" s="1"/>
  <c r="AB65" i="15"/>
  <c r="E52" i="15"/>
  <c r="X52" i="15"/>
  <c r="N52" i="15"/>
  <c r="AD52" i="15"/>
  <c r="L52" i="15"/>
  <c r="S52" i="15"/>
  <c r="U52" i="15"/>
  <c r="AA52" i="15"/>
  <c r="GH310" i="10"/>
  <c r="IK141" i="10"/>
  <c r="GH141" i="10"/>
  <c r="IK35" i="10"/>
  <c r="GH35" i="10"/>
  <c r="IK49" i="10"/>
  <c r="GH362" i="10"/>
  <c r="IK362" i="10"/>
  <c r="IK132" i="10"/>
  <c r="GH317" i="10"/>
  <c r="IK317" i="10"/>
  <c r="GH298" i="10"/>
  <c r="IK298" i="10"/>
  <c r="DP295" i="10"/>
  <c r="DN295" i="10" s="1"/>
  <c r="DO295" i="10" s="1"/>
  <c r="DM295" i="10"/>
  <c r="DP147" i="10"/>
  <c r="DN147" i="10" s="1"/>
  <c r="DO147" i="10" s="1"/>
  <c r="DM147" i="10"/>
  <c r="GH331" i="10"/>
  <c r="IK77" i="10"/>
  <c r="GH77" i="10"/>
  <c r="GH252" i="10"/>
  <c r="IK252" i="10"/>
  <c r="GH373" i="10"/>
  <c r="IK373" i="10"/>
  <c r="IK112" i="10"/>
  <c r="GH112" i="10"/>
  <c r="GH372" i="10"/>
  <c r="IK372" i="10"/>
  <c r="AT339" i="10"/>
  <c r="BN339" i="10"/>
  <c r="BN383" i="10"/>
  <c r="GI383" i="10"/>
  <c r="AT383" i="10" s="1"/>
  <c r="JM158" i="10"/>
  <c r="A152" i="15"/>
  <c r="A227" i="15"/>
  <c r="JM233" i="10"/>
  <c r="IK220" i="10"/>
  <c r="GH220" i="10"/>
  <c r="Q69" i="15"/>
  <c r="J69" i="15"/>
  <c r="U69" i="15"/>
  <c r="DM315" i="10"/>
  <c r="DP315" i="10"/>
  <c r="DN315" i="10" s="1"/>
  <c r="DO315" i="10" s="1"/>
  <c r="E65" i="15"/>
  <c r="L65" i="15"/>
  <c r="P65" i="15"/>
  <c r="AG65" i="15"/>
  <c r="U65" i="15"/>
  <c r="R65" i="15"/>
  <c r="G65" i="15"/>
  <c r="W65" i="15"/>
  <c r="M65" i="15"/>
  <c r="IK128" i="10"/>
  <c r="GH128" i="10"/>
  <c r="IK88" i="10"/>
  <c r="GH88" i="10"/>
  <c r="IK226" i="10"/>
  <c r="GH94" i="10"/>
  <c r="IK94" i="10"/>
  <c r="X69" i="15"/>
  <c r="IK383" i="10"/>
  <c r="GH165" i="10"/>
  <c r="IK165" i="10"/>
  <c r="GH371" i="10"/>
  <c r="IK371" i="10"/>
  <c r="IK43" i="10"/>
  <c r="GH43" i="10"/>
  <c r="IK289" i="10"/>
  <c r="GH297" i="10"/>
  <c r="IK145" i="10"/>
  <c r="GH249" i="10"/>
  <c r="GH188" i="10"/>
  <c r="IK135" i="10"/>
  <c r="GH135" i="10"/>
  <c r="BN123" i="10"/>
  <c r="JM123" i="10" s="1"/>
  <c r="IK28" i="10"/>
  <c r="GH28" i="10"/>
  <c r="GH176" i="10"/>
  <c r="IK176" i="10"/>
  <c r="IK61" i="10"/>
  <c r="GH61" i="10"/>
  <c r="GH40" i="10"/>
  <c r="GH363" i="10"/>
  <c r="IK363" i="10"/>
  <c r="GH195" i="10"/>
  <c r="IK195" i="10"/>
  <c r="GH271" i="10"/>
  <c r="IK271" i="10"/>
  <c r="GH98" i="10"/>
  <c r="IK98" i="10"/>
  <c r="GH126" i="10"/>
  <c r="IK126" i="10"/>
  <c r="IK293" i="10"/>
  <c r="DM281" i="10"/>
  <c r="DN281" i="10"/>
  <c r="DO281" i="10" s="1"/>
  <c r="IK80" i="10"/>
  <c r="DP351" i="10"/>
  <c r="DN351" i="10"/>
  <c r="DO351" i="10" s="1"/>
  <c r="DM351" i="10"/>
  <c r="AG42" i="15"/>
  <c r="L42" i="15"/>
  <c r="S42" i="15"/>
  <c r="DM383" i="10"/>
  <c r="H197" i="20"/>
  <c r="O208" i="15"/>
  <c r="AD208" i="15"/>
  <c r="I208" i="15"/>
  <c r="V208" i="15"/>
  <c r="S208" i="15"/>
  <c r="AB208" i="15"/>
  <c r="E208" i="15"/>
  <c r="X208" i="15"/>
  <c r="J208" i="15"/>
  <c r="IK33" i="10"/>
  <c r="GI379" i="10"/>
  <c r="AT379" i="10"/>
  <c r="BN379" i="10"/>
  <c r="BN217" i="10"/>
  <c r="GI217" i="10"/>
  <c r="AT217" i="10" s="1"/>
  <c r="GI264" i="10"/>
  <c r="AT264" i="10" s="1"/>
  <c r="BN264" i="10"/>
  <c r="BN203" i="10"/>
  <c r="GI203" i="10"/>
  <c r="AT203" i="10" s="1"/>
  <c r="BN266" i="10"/>
  <c r="GI266" i="10"/>
  <c r="AT266" i="10" s="1"/>
  <c r="BN226" i="10"/>
  <c r="GI226" i="10"/>
  <c r="AT226" i="10" s="1"/>
  <c r="GI227" i="10"/>
  <c r="AT227" i="10" s="1"/>
  <c r="BN227" i="10"/>
  <c r="JM227" i="10" s="1"/>
  <c r="A221" i="15"/>
  <c r="GI298" i="10"/>
  <c r="AT298" i="10" s="1"/>
  <c r="BN298" i="10"/>
  <c r="JM298" i="10" s="1"/>
  <c r="GI249" i="10"/>
  <c r="AT249" i="10" s="1"/>
  <c r="BN249" i="10"/>
  <c r="BN318" i="10"/>
  <c r="GI318" i="10"/>
  <c r="AT318" i="10" s="1"/>
  <c r="GH60" i="10"/>
  <c r="IK144" i="10"/>
  <c r="GH356" i="10"/>
  <c r="IK139" i="10"/>
  <c r="GH121" i="10"/>
  <c r="GH369" i="10"/>
  <c r="DM380" i="10"/>
  <c r="DP380" i="10"/>
  <c r="DN380" i="10" s="1"/>
  <c r="DO380" i="10" s="1"/>
  <c r="GH266" i="10"/>
  <c r="IK164" i="10"/>
  <c r="GH218" i="10"/>
  <c r="N24" i="15"/>
  <c r="I24" i="15"/>
  <c r="AC24" i="15"/>
  <c r="G72" i="15"/>
  <c r="O72" i="15"/>
  <c r="M72" i="15"/>
  <c r="U72" i="15"/>
  <c r="R72" i="15"/>
  <c r="AB72" i="15"/>
  <c r="D72" i="15"/>
  <c r="AD72" i="15"/>
  <c r="GH231" i="10"/>
  <c r="IK134" i="10"/>
  <c r="IK152" i="10"/>
  <c r="GH288" i="10"/>
  <c r="IK87" i="10"/>
  <c r="GH324" i="10"/>
  <c r="GH334" i="10"/>
  <c r="DP213" i="10"/>
  <c r="DN213" i="10" s="1"/>
  <c r="DO213" i="10" s="1"/>
  <c r="DM213" i="10"/>
  <c r="F380" i="15"/>
  <c r="AC380" i="15"/>
  <c r="U380" i="15"/>
  <c r="H380" i="15"/>
  <c r="C380" i="15"/>
  <c r="L380" i="15"/>
  <c r="X380" i="15"/>
  <c r="AA380" i="15"/>
  <c r="C265" i="15"/>
  <c r="AI265" i="15"/>
  <c r="H254" i="20"/>
  <c r="C280" i="15"/>
  <c r="E280" i="15"/>
  <c r="Q280" i="15"/>
  <c r="AI280" i="15"/>
  <c r="U280" i="15"/>
  <c r="X280" i="15"/>
  <c r="M280" i="15"/>
  <c r="F280" i="15"/>
  <c r="AA280" i="15"/>
  <c r="T280" i="15"/>
  <c r="JM50" i="10"/>
  <c r="A44" i="15"/>
  <c r="AC208" i="15"/>
  <c r="JM61" i="10"/>
  <c r="A55" i="15"/>
  <c r="M116" i="15"/>
  <c r="AA116" i="15"/>
  <c r="C319" i="15"/>
  <c r="U319" i="15"/>
  <c r="K319" i="15"/>
  <c r="V319" i="15"/>
  <c r="H319" i="15"/>
  <c r="H308" i="20"/>
  <c r="AC319" i="15"/>
  <c r="H246" i="15"/>
  <c r="M112" i="15"/>
  <c r="X102" i="15"/>
  <c r="Q319" i="15"/>
  <c r="F319" i="15"/>
  <c r="L116" i="15"/>
  <c r="BN317" i="10"/>
  <c r="GI317" i="10"/>
  <c r="AT317" i="10" s="1"/>
  <c r="BN346" i="10"/>
  <c r="AT346" i="10"/>
  <c r="A371" i="15"/>
  <c r="H360" i="20" s="1"/>
  <c r="I360" i="20" s="1"/>
  <c r="JM377" i="10"/>
  <c r="Z184" i="15"/>
  <c r="G184" i="15"/>
  <c r="O109" i="15"/>
  <c r="L319" i="15"/>
  <c r="M184" i="15"/>
  <c r="S367" i="15"/>
  <c r="C367" i="15"/>
  <c r="AD367" i="15"/>
  <c r="F367" i="15"/>
  <c r="G367" i="15"/>
  <c r="F363" i="15"/>
  <c r="D363" i="15"/>
  <c r="H363" i="15"/>
  <c r="G363" i="15"/>
  <c r="AC363" i="15"/>
  <c r="O363" i="15"/>
  <c r="AC116" i="15"/>
  <c r="C242" i="15"/>
  <c r="AB319" i="15"/>
  <c r="N294" i="15"/>
  <c r="U294" i="15"/>
  <c r="AG184" i="15"/>
  <c r="T319" i="15"/>
  <c r="T246" i="15"/>
  <c r="D184" i="15"/>
  <c r="P294" i="15"/>
  <c r="P282" i="15"/>
  <c r="G282" i="15"/>
  <c r="JM186" i="10"/>
  <c r="A180" i="15"/>
  <c r="GI235" i="10"/>
  <c r="AT235" i="10"/>
  <c r="O319" i="15"/>
  <c r="N184" i="15"/>
  <c r="Z319" i="15"/>
  <c r="A203" i="15"/>
  <c r="JM209" i="10"/>
  <c r="S319" i="15"/>
  <c r="A190" i="15"/>
  <c r="A37" i="15"/>
  <c r="JM43" i="10"/>
  <c r="GI244" i="10"/>
  <c r="AT244" i="10" s="1"/>
  <c r="BN244" i="10"/>
  <c r="A238" i="15" s="1"/>
  <c r="C87" i="15"/>
  <c r="G319" i="15"/>
  <c r="S246" i="15"/>
  <c r="G116" i="15"/>
  <c r="BN101" i="10"/>
  <c r="JM101" i="10"/>
  <c r="GI236" i="10"/>
  <c r="AT236" i="10" s="1"/>
  <c r="BN222" i="10"/>
  <c r="GI194" i="10"/>
  <c r="AT194" i="10" s="1"/>
  <c r="BN194" i="10"/>
  <c r="JM194" i="10" s="1"/>
  <c r="A185" i="15"/>
  <c r="JM191" i="10"/>
  <c r="A210" i="15"/>
  <c r="O210" i="15" s="1"/>
  <c r="JM216" i="10"/>
  <c r="BN262" i="10"/>
  <c r="GI262" i="10"/>
  <c r="AT262" i="10"/>
  <c r="GI390" i="10"/>
  <c r="AT390" i="10" s="1"/>
  <c r="BN390" i="10"/>
  <c r="JM390" i="10" s="1"/>
  <c r="BN163" i="10"/>
  <c r="BN242" i="10"/>
  <c r="GI242" i="10"/>
  <c r="AT242" i="10" s="1"/>
  <c r="GI263" i="10"/>
  <c r="AT263" i="10" s="1"/>
  <c r="JM311" i="10"/>
  <c r="A305" i="15"/>
  <c r="P382" i="15"/>
  <c r="GI376" i="10"/>
  <c r="AT376" i="10" s="1"/>
  <c r="GI301" i="10"/>
  <c r="AT301" i="10"/>
  <c r="BN301" i="10"/>
  <c r="A153" i="15"/>
  <c r="AB288" i="15"/>
  <c r="U288" i="15"/>
  <c r="A298" i="15"/>
  <c r="O169" i="15"/>
  <c r="H371" i="20"/>
  <c r="H277" i="20"/>
  <c r="AA382" i="15"/>
  <c r="JM313" i="10"/>
  <c r="A307" i="15"/>
  <c r="JM270" i="10"/>
  <c r="A264" i="15"/>
  <c r="T264" i="15"/>
  <c r="JM180" i="10"/>
  <c r="A174" i="15"/>
  <c r="Q174" i="15" s="1"/>
  <c r="GI140" i="10"/>
  <c r="AT140" i="10" s="1"/>
  <c r="GI178" i="10"/>
  <c r="AT178" i="10"/>
  <c r="GI353" i="10"/>
  <c r="AT353" i="10" s="1"/>
  <c r="GI308" i="10"/>
  <c r="AT308" i="10" s="1"/>
  <c r="BQ15" i="10"/>
  <c r="GI152" i="10"/>
  <c r="AT152" i="10" s="1"/>
  <c r="GI369" i="10"/>
  <c r="AT369" i="10" s="1"/>
  <c r="GI252" i="10"/>
  <c r="AT252" i="10" s="1"/>
  <c r="BR15" i="10"/>
  <c r="R33" i="2"/>
  <c r="IW22" i="10"/>
  <c r="IV22" i="10"/>
  <c r="DP283" i="10"/>
  <c r="DN283" i="10" s="1"/>
  <c r="DO283" i="10" s="1"/>
  <c r="DP220" i="10"/>
  <c r="DN220" i="10" s="1"/>
  <c r="DO220" i="10" s="1"/>
  <c r="DM174" i="10"/>
  <c r="DM178" i="10"/>
  <c r="DM238" i="10"/>
  <c r="DP340" i="10"/>
  <c r="DN340" i="10" s="1"/>
  <c r="DO340" i="10" s="1"/>
  <c r="DP291" i="10"/>
  <c r="DN291" i="10"/>
  <c r="DO291" i="10" s="1"/>
  <c r="DM134" i="10"/>
  <c r="DM149" i="10"/>
  <c r="DP303" i="10"/>
  <c r="DN303" i="10"/>
  <c r="DO303" i="10" s="1"/>
  <c r="DP265" i="10"/>
  <c r="DN265" i="10" s="1"/>
  <c r="DO265" i="10" s="1"/>
  <c r="DP266" i="10"/>
  <c r="DN266" i="10" s="1"/>
  <c r="DO266" i="10" s="1"/>
  <c r="DM356" i="10"/>
  <c r="DM306" i="10"/>
  <c r="DM362" i="10"/>
  <c r="DP145" i="10"/>
  <c r="DN145" i="10" s="1"/>
  <c r="DO145" i="10" s="1"/>
  <c r="DP387" i="10"/>
  <c r="DN387" i="10" s="1"/>
  <c r="DO387" i="10" s="1"/>
  <c r="DM189" i="10"/>
  <c r="DM252" i="10"/>
  <c r="DP326" i="10"/>
  <c r="DN326" i="10"/>
  <c r="DO326" i="10" s="1"/>
  <c r="DP256" i="10"/>
  <c r="DN256" i="10" s="1"/>
  <c r="DO256" i="10" s="1"/>
  <c r="DM197" i="10"/>
  <c r="DM153" i="10"/>
  <c r="DP343" i="10"/>
  <c r="DN343" i="10"/>
  <c r="DO343" i="10" s="1"/>
  <c r="DM302" i="10"/>
  <c r="DP140" i="10"/>
  <c r="DN140" i="10" s="1"/>
  <c r="DO140" i="10" s="1"/>
  <c r="DP321" i="10"/>
  <c r="DN321" i="10" s="1"/>
  <c r="DO321" i="10" s="1"/>
  <c r="DP237" i="10"/>
  <c r="DN237" i="10" s="1"/>
  <c r="DO237" i="10" s="1"/>
  <c r="DP177" i="10"/>
  <c r="DN177" i="10" s="1"/>
  <c r="DO177" i="10" s="1"/>
  <c r="DM312" i="10"/>
  <c r="DP193" i="10"/>
  <c r="DN193" i="10"/>
  <c r="DO193" i="10"/>
  <c r="DP273" i="10"/>
  <c r="DN273" i="10" s="1"/>
  <c r="DO273" i="10" s="1"/>
  <c r="DM267" i="10"/>
  <c r="DN240" i="10"/>
  <c r="DO240" i="10" s="1"/>
  <c r="DM205" i="10"/>
  <c r="DP190" i="10"/>
  <c r="DN190" i="10" s="1"/>
  <c r="DO190" i="10" s="1"/>
  <c r="DM170" i="10"/>
  <c r="DP290" i="10"/>
  <c r="DN290" i="10" s="1"/>
  <c r="DO290" i="10" s="1"/>
  <c r="DP254" i="10"/>
  <c r="DN254" i="10"/>
  <c r="DO254" i="10" s="1"/>
  <c r="DM254" i="10"/>
  <c r="DM261" i="10"/>
  <c r="DP261" i="10"/>
  <c r="DN261" i="10" s="1"/>
  <c r="DO261" i="10"/>
  <c r="DM144" i="10"/>
  <c r="DP144" i="10"/>
  <c r="DN144" i="10" s="1"/>
  <c r="DO144" i="10" s="1"/>
  <c r="A68" i="15"/>
  <c r="E68" i="15" s="1"/>
  <c r="JM74" i="10"/>
  <c r="BN110" i="10"/>
  <c r="DM325" i="10"/>
  <c r="DP325" i="10"/>
  <c r="DN325" i="10" s="1"/>
  <c r="DO325" i="10" s="1"/>
  <c r="DP257" i="10"/>
  <c r="DN257" i="10"/>
  <c r="DO257" i="10" s="1"/>
  <c r="DM257" i="10"/>
  <c r="DM308" i="10"/>
  <c r="DP308" i="10"/>
  <c r="DN308" i="10" s="1"/>
  <c r="DO308" i="10" s="1"/>
  <c r="DP243" i="10"/>
  <c r="DN243" i="10" s="1"/>
  <c r="DO243" i="10" s="1"/>
  <c r="DP215" i="10"/>
  <c r="DN215" i="10"/>
  <c r="DO215" i="10"/>
  <c r="DM215" i="10"/>
  <c r="C272" i="15"/>
  <c r="AD272" i="15"/>
  <c r="T272" i="15"/>
  <c r="D272" i="15"/>
  <c r="N272" i="15"/>
  <c r="I272" i="15"/>
  <c r="U272" i="15"/>
  <c r="H261" i="20"/>
  <c r="AC272" i="15"/>
  <c r="G272" i="15"/>
  <c r="AB272" i="15"/>
  <c r="Z272" i="15"/>
  <c r="O272" i="15"/>
  <c r="S272" i="15"/>
  <c r="K272" i="15"/>
  <c r="H272" i="15"/>
  <c r="J272" i="15"/>
  <c r="AE272" i="15"/>
  <c r="M272" i="15"/>
  <c r="R272" i="15"/>
  <c r="AH272" i="15"/>
  <c r="X272" i="15"/>
  <c r="AI272" i="15"/>
  <c r="AF272" i="15"/>
  <c r="I334" i="20"/>
  <c r="DP337" i="10"/>
  <c r="DN337" i="10" s="1"/>
  <c r="DO337" i="10" s="1"/>
  <c r="DM337" i="10"/>
  <c r="DM183" i="10"/>
  <c r="DP183" i="10"/>
  <c r="DN183" i="10" s="1"/>
  <c r="DO183" i="10" s="1"/>
  <c r="DN335" i="10"/>
  <c r="DO335" i="10" s="1"/>
  <c r="DM155" i="10"/>
  <c r="DP155" i="10"/>
  <c r="DN155" i="10"/>
  <c r="DO155" i="10" s="1"/>
  <c r="DP359" i="10"/>
  <c r="DN359" i="10" s="1"/>
  <c r="DO359" i="10"/>
  <c r="DM359" i="10"/>
  <c r="DM319" i="10"/>
  <c r="DP319" i="10"/>
  <c r="DN319" i="10"/>
  <c r="DO319" i="10"/>
  <c r="DM176" i="10"/>
  <c r="DP176" i="10"/>
  <c r="DN176" i="10" s="1"/>
  <c r="DO176" i="10" s="1"/>
  <c r="V272" i="15"/>
  <c r="JM331" i="10"/>
  <c r="A325" i="15"/>
  <c r="Q325" i="15"/>
  <c r="DP269" i="10"/>
  <c r="DN269" i="10" s="1"/>
  <c r="DO269" i="10" s="1"/>
  <c r="AD89" i="15"/>
  <c r="S89" i="15"/>
  <c r="I89" i="15"/>
  <c r="AA89" i="15"/>
  <c r="G89" i="15"/>
  <c r="AB89" i="15"/>
  <c r="O89" i="15"/>
  <c r="C89" i="15"/>
  <c r="U89" i="15"/>
  <c r="T89" i="15"/>
  <c r="DP194" i="10"/>
  <c r="DN194" i="10"/>
  <c r="DO194" i="10" s="1"/>
  <c r="DP299" i="10"/>
  <c r="DN299" i="10" s="1"/>
  <c r="DO299" i="10" s="1"/>
  <c r="DM229" i="10"/>
  <c r="AA72" i="15"/>
  <c r="P72" i="15"/>
  <c r="J72" i="15"/>
  <c r="X72" i="15"/>
  <c r="JM51" i="10"/>
  <c r="A45" i="15"/>
  <c r="AC90" i="15"/>
  <c r="S90" i="15"/>
  <c r="J90" i="15"/>
  <c r="P90" i="15"/>
  <c r="AD90" i="15"/>
  <c r="U90" i="15"/>
  <c r="Z90" i="15"/>
  <c r="AB90" i="15"/>
  <c r="E90" i="15"/>
  <c r="AG90" i="15"/>
  <c r="L90" i="15"/>
  <c r="AA90" i="15"/>
  <c r="H90" i="15"/>
  <c r="D90" i="15"/>
  <c r="T90" i="15"/>
  <c r="O90" i="15"/>
  <c r="DP331" i="10"/>
  <c r="DN331" i="10"/>
  <c r="DO331" i="10" s="1"/>
  <c r="DP370" i="10"/>
  <c r="DN370" i="10" s="1"/>
  <c r="DO370" i="10" s="1"/>
  <c r="DP206" i="10"/>
  <c r="DN206" i="10" s="1"/>
  <c r="DO206" i="10" s="1"/>
  <c r="DM287" i="10"/>
  <c r="DP317" i="10"/>
  <c r="DN317" i="10" s="1"/>
  <c r="DO317" i="10" s="1"/>
  <c r="DP196" i="10"/>
  <c r="DN196" i="10" s="1"/>
  <c r="DO196" i="10" s="1"/>
  <c r="DM327" i="10"/>
  <c r="U41" i="15"/>
  <c r="V41" i="15"/>
  <c r="DP224" i="10"/>
  <c r="DN224" i="10"/>
  <c r="DO224" i="10" s="1"/>
  <c r="DM292" i="10"/>
  <c r="DM216" i="10"/>
  <c r="X89" i="15"/>
  <c r="J89" i="15"/>
  <c r="T183" i="15"/>
  <c r="E183" i="15"/>
  <c r="H183" i="15"/>
  <c r="G183" i="15"/>
  <c r="L183" i="15"/>
  <c r="DM355" i="10"/>
  <c r="S31" i="15"/>
  <c r="X31" i="15"/>
  <c r="E89" i="15"/>
  <c r="G69" i="15"/>
  <c r="O69" i="15"/>
  <c r="N69" i="15"/>
  <c r="K207" i="20"/>
  <c r="L89" i="15"/>
  <c r="A250" i="15"/>
  <c r="JM256" i="10"/>
  <c r="W89" i="15"/>
  <c r="DM239" i="10"/>
  <c r="AB31" i="15"/>
  <c r="N89" i="15"/>
  <c r="BN59" i="10"/>
  <c r="BN107" i="10"/>
  <c r="A234" i="15"/>
  <c r="JM240" i="10"/>
  <c r="I316" i="15"/>
  <c r="T355" i="15"/>
  <c r="H344" i="20"/>
  <c r="J344" i="20" s="1"/>
  <c r="M355" i="15"/>
  <c r="M87" i="15"/>
  <c r="F87" i="15"/>
  <c r="L324" i="15"/>
  <c r="H76" i="20"/>
  <c r="A59" i="15"/>
  <c r="P59" i="15" s="1"/>
  <c r="D87" i="15"/>
  <c r="Q147" i="15"/>
  <c r="U147" i="15"/>
  <c r="O147" i="15"/>
  <c r="K147" i="15"/>
  <c r="T147" i="15"/>
  <c r="S147" i="15"/>
  <c r="D147" i="15"/>
  <c r="H147" i="15"/>
  <c r="AC147" i="15"/>
  <c r="F362" i="15"/>
  <c r="C182" i="15"/>
  <c r="AA182" i="15"/>
  <c r="K182" i="15"/>
  <c r="Z182" i="15"/>
  <c r="F182" i="15"/>
  <c r="I182" i="15"/>
  <c r="T182" i="15"/>
  <c r="S182" i="15"/>
  <c r="H182" i="15"/>
  <c r="Q182" i="15"/>
  <c r="AD182" i="15"/>
  <c r="N182" i="15"/>
  <c r="AA246" i="15"/>
  <c r="Z246" i="15"/>
  <c r="GI333" i="10"/>
  <c r="AT333" i="10" s="1"/>
  <c r="BN333" i="10"/>
  <c r="A309" i="15"/>
  <c r="JM315" i="10"/>
  <c r="A303" i="15"/>
  <c r="JM309" i="10"/>
  <c r="JM192" i="10"/>
  <c r="JM135" i="10"/>
  <c r="A129" i="15"/>
  <c r="F219" i="15"/>
  <c r="C219" i="15"/>
  <c r="O219" i="15"/>
  <c r="G219" i="15"/>
  <c r="AD219" i="15"/>
  <c r="J219" i="15"/>
  <c r="L219" i="15"/>
  <c r="P219" i="15"/>
  <c r="Z219" i="15"/>
  <c r="I219" i="15"/>
  <c r="U219" i="15"/>
  <c r="BN91" i="10"/>
  <c r="BN117" i="10"/>
  <c r="BN364" i="10"/>
  <c r="BN296" i="10"/>
  <c r="GI296" i="10"/>
  <c r="AT296" i="10" s="1"/>
  <c r="P345" i="15"/>
  <c r="G345" i="15"/>
  <c r="D345" i="15"/>
  <c r="V345" i="15"/>
  <c r="Q345" i="15"/>
  <c r="U345" i="15"/>
  <c r="BN344" i="10"/>
  <c r="JM344" i="10" s="1"/>
  <c r="GI344" i="10"/>
  <c r="AT344" i="10" s="1"/>
  <c r="BN151" i="10"/>
  <c r="GI151" i="10"/>
  <c r="AT151" i="10" s="1"/>
  <c r="BN319" i="10"/>
  <c r="GI319" i="10"/>
  <c r="AT319" i="10" s="1"/>
  <c r="BN277" i="10"/>
  <c r="JM102" i="10"/>
  <c r="A96" i="15"/>
  <c r="BN88" i="10"/>
  <c r="BN113" i="10"/>
  <c r="L242" i="15"/>
  <c r="P242" i="15"/>
  <c r="S242" i="15"/>
  <c r="O242" i="15"/>
  <c r="I242" i="15"/>
  <c r="AB242" i="15"/>
  <c r="H242" i="15"/>
  <c r="AA242" i="15"/>
  <c r="F189" i="15"/>
  <c r="C189" i="15"/>
  <c r="JM312" i="10"/>
  <c r="A306" i="15"/>
  <c r="JM198" i="10"/>
  <c r="A192" i="15"/>
  <c r="AA192" i="15" s="1"/>
  <c r="AC192" i="15"/>
  <c r="AD167" i="15"/>
  <c r="M167" i="15"/>
  <c r="H156" i="20"/>
  <c r="JM144" i="10"/>
  <c r="A138" i="15"/>
  <c r="GI212" i="10"/>
  <c r="AT212" i="10"/>
  <c r="BN212" i="10"/>
  <c r="A206" i="15" s="1"/>
  <c r="A386" i="15"/>
  <c r="BN223" i="10"/>
  <c r="H331" i="15"/>
  <c r="M331" i="15"/>
  <c r="K331" i="15"/>
  <c r="AD331" i="15"/>
  <c r="E331" i="15"/>
  <c r="S331" i="15"/>
  <c r="N331" i="15"/>
  <c r="T331" i="15"/>
  <c r="C331" i="15"/>
  <c r="U331" i="15"/>
  <c r="F331" i="15"/>
  <c r="AA331" i="15"/>
  <c r="AC331" i="15"/>
  <c r="L331" i="15"/>
  <c r="V331" i="15"/>
  <c r="I331" i="15"/>
  <c r="GI265" i="10"/>
  <c r="AT265" i="10" s="1"/>
  <c r="BN265" i="10"/>
  <c r="BN267" i="10"/>
  <c r="A261" i="15" s="1"/>
  <c r="JM207" i="10"/>
  <c r="A201" i="15"/>
  <c r="GI246" i="10"/>
  <c r="AT246" i="10" s="1"/>
  <c r="BN246" i="10"/>
  <c r="BN365" i="10"/>
  <c r="BN130" i="10"/>
  <c r="BN334" i="10"/>
  <c r="GI334" i="10"/>
  <c r="AT334" i="10"/>
  <c r="BN285" i="10"/>
  <c r="BN157" i="10"/>
  <c r="GI157" i="10"/>
  <c r="AT157" i="10" s="1"/>
  <c r="BN187" i="10"/>
  <c r="GI187" i="10"/>
  <c r="AT187" i="10" s="1"/>
  <c r="BN168" i="10"/>
  <c r="GI168" i="10"/>
  <c r="AT168" i="10" s="1"/>
  <c r="BN254" i="10"/>
  <c r="GI254" i="10"/>
  <c r="AT254" i="10" s="1"/>
  <c r="BN170" i="10"/>
  <c r="BN258" i="10"/>
  <c r="GI258" i="10"/>
  <c r="AT258" i="10"/>
  <c r="F382" i="15"/>
  <c r="C382" i="15"/>
  <c r="O382" i="15"/>
  <c r="AD382" i="15"/>
  <c r="U382" i="15"/>
  <c r="Z382" i="15"/>
  <c r="AC382" i="15"/>
  <c r="D382" i="15"/>
  <c r="A150" i="15"/>
  <c r="J141" i="15"/>
  <c r="E141" i="15"/>
  <c r="G141" i="15"/>
  <c r="I141" i="15"/>
  <c r="H130" i="20"/>
  <c r="C371" i="15"/>
  <c r="N371" i="15"/>
  <c r="GI240" i="10"/>
  <c r="AT240" i="10"/>
  <c r="GI305" i="10"/>
  <c r="AT305" i="10" s="1"/>
  <c r="GI202" i="10"/>
  <c r="AT202" i="10" s="1"/>
  <c r="GI192" i="10"/>
  <c r="AT192" i="10" s="1"/>
  <c r="GI173" i="10"/>
  <c r="AT173" i="10" s="1"/>
  <c r="BN316" i="10"/>
  <c r="JM316" i="10"/>
  <c r="A353" i="15"/>
  <c r="GI271" i="10"/>
  <c r="AT271" i="10" s="1"/>
  <c r="GI332" i="10"/>
  <c r="AT332" i="10" s="1"/>
  <c r="GI309" i="10"/>
  <c r="AT309" i="10"/>
  <c r="GI282" i="10"/>
  <c r="AT282" i="10" s="1"/>
  <c r="E6" i="2"/>
  <c r="GI351" i="10"/>
  <c r="AT351" i="10" s="1"/>
  <c r="GI315" i="10"/>
  <c r="AT315" i="10" s="1"/>
  <c r="GI297" i="10"/>
  <c r="AT297" i="10" s="1"/>
  <c r="GI279" i="10"/>
  <c r="AT279" i="10" s="1"/>
  <c r="GI270" i="10"/>
  <c r="AT270" i="10" s="1"/>
  <c r="GI261" i="10"/>
  <c r="AT261" i="10" s="1"/>
  <c r="GI225" i="10"/>
  <c r="AT225" i="10"/>
  <c r="GI216" i="10"/>
  <c r="AT216" i="10" s="1"/>
  <c r="JS24" i="10"/>
  <c r="LE24" i="10"/>
  <c r="LG24" i="10"/>
  <c r="FP23" i="10"/>
  <c r="FQ23" i="10"/>
  <c r="CB4" i="10"/>
  <c r="GK23" i="10"/>
  <c r="DP249" i="10"/>
  <c r="DN249" i="10" s="1"/>
  <c r="DO249" i="10" s="1"/>
  <c r="DM249" i="10"/>
  <c r="DP186" i="10"/>
  <c r="DN186" i="10" s="1"/>
  <c r="DO186" i="10" s="1"/>
  <c r="DM186" i="10"/>
  <c r="DM133" i="10"/>
  <c r="DP225" i="10"/>
  <c r="DN225" i="10" s="1"/>
  <c r="DO225" i="10" s="1"/>
  <c r="DN208" i="10"/>
  <c r="DO208" i="10" s="1"/>
  <c r="DM208" i="10"/>
  <c r="DM119" i="10"/>
  <c r="DM345" i="10"/>
  <c r="DP345" i="10"/>
  <c r="DN345" i="10" s="1"/>
  <c r="DO345" i="10" s="1"/>
  <c r="DM376" i="10"/>
  <c r="DP376" i="10"/>
  <c r="DN376" i="10" s="1"/>
  <c r="DO376" i="10" s="1"/>
  <c r="DM235" i="10"/>
  <c r="DM195" i="10"/>
  <c r="DP195" i="10"/>
  <c r="DN195" i="10"/>
  <c r="DO195" i="10" s="1"/>
  <c r="DM226" i="10"/>
  <c r="DP348" i="10"/>
  <c r="DN348" i="10" s="1"/>
  <c r="DO348" i="10" s="1"/>
  <c r="DM294" i="10"/>
  <c r="DP294" i="10"/>
  <c r="DN294" i="10"/>
  <c r="DO294" i="10" s="1"/>
  <c r="DP166" i="10"/>
  <c r="DN166" i="10"/>
  <c r="DO166" i="10" s="1"/>
  <c r="DM166" i="10"/>
  <c r="DP353" i="10"/>
  <c r="DN353" i="10" s="1"/>
  <c r="DO353" i="10" s="1"/>
  <c r="DM353" i="10"/>
  <c r="DP346" i="10"/>
  <c r="DN346" i="10"/>
  <c r="DO346" i="10" s="1"/>
  <c r="DM346" i="10"/>
  <c r="DP199" i="10"/>
  <c r="DN199" i="10" s="1"/>
  <c r="DO199" i="10" s="1"/>
  <c r="DP142" i="10"/>
  <c r="DN142" i="10"/>
  <c r="DO142" i="10" s="1"/>
  <c r="DM142" i="10"/>
  <c r="DM116" i="10"/>
  <c r="DM230" i="10"/>
  <c r="DP230" i="10"/>
  <c r="DN230" i="10" s="1"/>
  <c r="DO230" i="10" s="1"/>
  <c r="DP347" i="10"/>
  <c r="DN347" i="10" s="1"/>
  <c r="DO347" i="10" s="1"/>
  <c r="DM347" i="10"/>
  <c r="DP161" i="10"/>
  <c r="DN161" i="10" s="1"/>
  <c r="DO161" i="10" s="1"/>
  <c r="DP367" i="10"/>
  <c r="DN367" i="10"/>
  <c r="DO367" i="10"/>
  <c r="DM367" i="10"/>
  <c r="DP341" i="10"/>
  <c r="DN341" i="10" s="1"/>
  <c r="DO341" i="10" s="1"/>
  <c r="DM341" i="10"/>
  <c r="DP357" i="10"/>
  <c r="DN357" i="10" s="1"/>
  <c r="DO357" i="10" s="1"/>
  <c r="DM369" i="10"/>
  <c r="DM307" i="10"/>
  <c r="GI147" i="10"/>
  <c r="AT147" i="10" s="1"/>
  <c r="DM301" i="10"/>
  <c r="DP301" i="10"/>
  <c r="DN301" i="10" s="1"/>
  <c r="DO301" i="10" s="1"/>
  <c r="DM300" i="10"/>
  <c r="DP245" i="10"/>
  <c r="DN245" i="10" s="1"/>
  <c r="DO245" i="10" s="1"/>
  <c r="DM245" i="10"/>
  <c r="DP310" i="10"/>
  <c r="DN310" i="10" s="1"/>
  <c r="DO310" i="10" s="1"/>
  <c r="DM141" i="10"/>
  <c r="DM248" i="10"/>
  <c r="DM159" i="10"/>
  <c r="DP159" i="10"/>
  <c r="DN159" i="10"/>
  <c r="DO159" i="10" s="1"/>
  <c r="J40" i="20"/>
  <c r="S70" i="15"/>
  <c r="O70" i="15"/>
  <c r="AI70" i="15"/>
  <c r="L70" i="15"/>
  <c r="G70" i="15"/>
  <c r="K70" i="15"/>
  <c r="E70" i="15"/>
  <c r="AA70" i="15"/>
  <c r="AF70" i="15"/>
  <c r="R70" i="15"/>
  <c r="AC70" i="15"/>
  <c r="Z70" i="15"/>
  <c r="JM36" i="10"/>
  <c r="A30" i="15"/>
  <c r="JM142" i="10"/>
  <c r="A136" i="15"/>
  <c r="X136" i="15" s="1"/>
  <c r="A27" i="15"/>
  <c r="X27" i="15" s="1"/>
  <c r="P173" i="15"/>
  <c r="AI173" i="15"/>
  <c r="V173" i="15"/>
  <c r="BN289" i="10"/>
  <c r="GI289" i="10"/>
  <c r="AT289" i="10" s="1"/>
  <c r="A297" i="15"/>
  <c r="JM303" i="10"/>
  <c r="GI221" i="10"/>
  <c r="AT221" i="10" s="1"/>
  <c r="BN221" i="10"/>
  <c r="A93" i="15"/>
  <c r="K93" i="15" s="1"/>
  <c r="JM99" i="10"/>
  <c r="F254" i="15"/>
  <c r="H243" i="20"/>
  <c r="S254" i="15"/>
  <c r="T254" i="15"/>
  <c r="K254" i="15"/>
  <c r="AB254" i="15"/>
  <c r="D254" i="15"/>
  <c r="N254" i="15"/>
  <c r="AG254" i="15"/>
  <c r="G254" i="15"/>
  <c r="O254" i="15"/>
  <c r="X254" i="15"/>
  <c r="H254" i="15"/>
  <c r="L254" i="15"/>
  <c r="AD254" i="15"/>
  <c r="V254" i="15"/>
  <c r="I254" i="15"/>
  <c r="AC254" i="15"/>
  <c r="P254" i="15"/>
  <c r="U254" i="15"/>
  <c r="J309" i="15"/>
  <c r="AI309" i="15"/>
  <c r="Q309" i="15"/>
  <c r="F309" i="15"/>
  <c r="K309" i="15"/>
  <c r="AB309" i="15"/>
  <c r="GI200" i="10"/>
  <c r="AT200" i="10" s="1"/>
  <c r="BN200" i="10"/>
  <c r="G87" i="15"/>
  <c r="O87" i="15"/>
  <c r="JM38" i="10"/>
  <c r="A32" i="15"/>
  <c r="J65" i="15"/>
  <c r="H54" i="20"/>
  <c r="O65" i="15"/>
  <c r="AA65" i="15"/>
  <c r="U329" i="15"/>
  <c r="G329" i="15"/>
  <c r="E329" i="15"/>
  <c r="N329" i="15"/>
  <c r="T329" i="15"/>
  <c r="AC329" i="15"/>
  <c r="V329" i="15"/>
  <c r="S329" i="15"/>
  <c r="AB329" i="15"/>
  <c r="H329" i="15"/>
  <c r="L329" i="15"/>
  <c r="AA329" i="15"/>
  <c r="AI329" i="15"/>
  <c r="P329" i="15"/>
  <c r="I329" i="15"/>
  <c r="K329" i="15"/>
  <c r="H318" i="20"/>
  <c r="F329" i="15"/>
  <c r="J329" i="15"/>
  <c r="O298" i="15"/>
  <c r="I35" i="15"/>
  <c r="U35" i="15"/>
  <c r="V264" i="15"/>
  <c r="Z218" i="15"/>
  <c r="P218" i="15"/>
  <c r="Q218" i="15"/>
  <c r="AA218" i="15"/>
  <c r="N218" i="15"/>
  <c r="C218" i="15"/>
  <c r="H218" i="15"/>
  <c r="T218" i="15"/>
  <c r="JM353" i="10"/>
  <c r="A347" i="15"/>
  <c r="BN150" i="10"/>
  <c r="AT174" i="10"/>
  <c r="BN174" i="10"/>
  <c r="BN292" i="10"/>
  <c r="JM171" i="10"/>
  <c r="JM143" i="10"/>
  <c r="A137" i="15"/>
  <c r="I273" i="15"/>
  <c r="F273" i="15"/>
  <c r="BN60" i="10"/>
  <c r="A156" i="15"/>
  <c r="JM162" i="10"/>
  <c r="BN276" i="10"/>
  <c r="AD35" i="15"/>
  <c r="A34" i="15"/>
  <c r="AG34" i="15" s="1"/>
  <c r="F208" i="15"/>
  <c r="F345" i="15"/>
  <c r="I345" i="15"/>
  <c r="T345" i="15"/>
  <c r="K345" i="15"/>
  <c r="Z345" i="15"/>
  <c r="C208" i="15"/>
  <c r="A139" i="15"/>
  <c r="JM145" i="10"/>
  <c r="A146" i="15"/>
  <c r="JM152" i="10"/>
  <c r="C35" i="15"/>
  <c r="BN231" i="10"/>
  <c r="GI231" i="10"/>
  <c r="AT231" i="10" s="1"/>
  <c r="BN255" i="10"/>
  <c r="JM255" i="10" s="1"/>
  <c r="GI255" i="10"/>
  <c r="AT255" i="10"/>
  <c r="P208" i="15"/>
  <c r="L153" i="15"/>
  <c r="V153" i="15"/>
  <c r="BN281" i="10"/>
  <c r="GI281" i="10"/>
  <c r="AT281" i="10" s="1"/>
  <c r="L35" i="15"/>
  <c r="BN136" i="10"/>
  <c r="S35" i="15"/>
  <c r="A191" i="15"/>
  <c r="JM197" i="10"/>
  <c r="GI257" i="10"/>
  <c r="AT257" i="10"/>
  <c r="BN257" i="10"/>
  <c r="A251" i="15" s="1"/>
  <c r="J242" i="15"/>
  <c r="AB265" i="15"/>
  <c r="H208" i="20"/>
  <c r="P355" i="15"/>
  <c r="JM387" i="10"/>
  <c r="JM347" i="10"/>
  <c r="A341" i="15"/>
  <c r="JM391" i="10"/>
  <c r="GI290" i="10"/>
  <c r="AT290" i="10" s="1"/>
  <c r="BN290" i="10"/>
  <c r="GI375" i="10"/>
  <c r="AT375" i="10" s="1"/>
  <c r="BN375" i="10"/>
  <c r="JM375" i="10" s="1"/>
  <c r="N242" i="15"/>
  <c r="Z242" i="15"/>
  <c r="O265" i="15"/>
  <c r="E219" i="15"/>
  <c r="N355" i="15"/>
  <c r="BN183" i="10"/>
  <c r="K161" i="15"/>
  <c r="F161" i="15"/>
  <c r="A188" i="15"/>
  <c r="AB188" i="15" s="1"/>
  <c r="GI358" i="10"/>
  <c r="AT358" i="10" s="1"/>
  <c r="BN358" i="10"/>
  <c r="JM358" i="10" s="1"/>
  <c r="GI146" i="10"/>
  <c r="AT146" i="10" s="1"/>
  <c r="A301" i="15"/>
  <c r="JM307" i="10"/>
  <c r="AC242" i="15"/>
  <c r="M265" i="15"/>
  <c r="V219" i="15"/>
  <c r="N219" i="15"/>
  <c r="G355" i="15"/>
  <c r="A155" i="15"/>
  <c r="F147" i="15"/>
  <c r="Z147" i="15"/>
  <c r="AA141" i="15"/>
  <c r="BN185" i="10"/>
  <c r="BN177" i="10"/>
  <c r="GI288" i="10"/>
  <c r="AT288" i="10" s="1"/>
  <c r="D242" i="15"/>
  <c r="JM294" i="10"/>
  <c r="V265" i="15"/>
  <c r="AB219" i="15"/>
  <c r="M219" i="15"/>
  <c r="JM224" i="10"/>
  <c r="P141" i="15"/>
  <c r="A195" i="15"/>
  <c r="JM201" i="10"/>
  <c r="T242" i="15"/>
  <c r="E265" i="15"/>
  <c r="AD265" i="15"/>
  <c r="AA219" i="15"/>
  <c r="H219" i="15"/>
  <c r="JM205" i="10"/>
  <c r="T382" i="15"/>
  <c r="AB382" i="15"/>
  <c r="H382" i="15"/>
  <c r="A302" i="15"/>
  <c r="A291" i="15"/>
  <c r="JM297" i="10"/>
  <c r="GI213" i="10"/>
  <c r="AT213" i="10" s="1"/>
  <c r="BN213" i="10"/>
  <c r="JM120" i="10"/>
  <c r="A114" i="15"/>
  <c r="A267" i="15"/>
  <c r="JM273" i="10"/>
  <c r="T213" i="15"/>
  <c r="J265" i="15"/>
  <c r="I265" i="15"/>
  <c r="S219" i="15"/>
  <c r="D355" i="15"/>
  <c r="JM147" i="10"/>
  <c r="JM340" i="10"/>
  <c r="A334" i="15"/>
  <c r="AC255" i="15"/>
  <c r="G255" i="15"/>
  <c r="K141" i="15"/>
  <c r="AC141" i="15"/>
  <c r="U141" i="15"/>
  <c r="T141" i="15"/>
  <c r="S141" i="15"/>
  <c r="D141" i="15"/>
  <c r="O141" i="15"/>
  <c r="H141" i="15"/>
  <c r="AD141" i="15"/>
  <c r="Z141" i="15"/>
  <c r="L141" i="15"/>
  <c r="AB141" i="15"/>
  <c r="M141" i="15"/>
  <c r="V141" i="15"/>
  <c r="N141" i="15"/>
  <c r="F141" i="15"/>
  <c r="Q141" i="15"/>
  <c r="C141" i="15"/>
  <c r="C163" i="15"/>
  <c r="P163" i="15"/>
  <c r="K163" i="15"/>
  <c r="S163" i="15"/>
  <c r="U163" i="15"/>
  <c r="H163" i="15"/>
  <c r="AC163" i="15"/>
  <c r="N163" i="15"/>
  <c r="BN184" i="10"/>
  <c r="A178" i="15" s="1"/>
  <c r="GI184" i="10"/>
  <c r="AT184" i="10" s="1"/>
  <c r="BN237" i="10"/>
  <c r="JM237" i="10" s="1"/>
  <c r="BN283" i="10"/>
  <c r="GI169" i="10"/>
  <c r="AT169" i="10" s="1"/>
  <c r="A154" i="15"/>
  <c r="K386" i="15"/>
  <c r="GI160" i="10"/>
  <c r="AT160" i="10"/>
  <c r="V386" i="15"/>
  <c r="GI389" i="10"/>
  <c r="AT389" i="10" s="1"/>
  <c r="BN389" i="10"/>
  <c r="D3" i="2"/>
  <c r="D4" i="2"/>
  <c r="DD23" i="10"/>
  <c r="LC23" i="10"/>
  <c r="EU23" i="10"/>
  <c r="JQ23" i="10"/>
  <c r="GJ22" i="10"/>
  <c r="FX23" i="10"/>
  <c r="JR23" i="10"/>
  <c r="JS23" i="10"/>
  <c r="ES23" i="10"/>
  <c r="EQ23" i="10"/>
  <c r="FV23" i="10"/>
  <c r="GR13" i="10"/>
  <c r="ET23" i="10"/>
  <c r="ER23" i="10"/>
  <c r="EP23" i="10"/>
  <c r="EO23" i="10"/>
  <c r="EW23" i="10"/>
  <c r="GJ23" i="10"/>
  <c r="KE22" i="10"/>
  <c r="BM22" i="10"/>
  <c r="AS16" i="15"/>
  <c r="JY22" i="10"/>
  <c r="KA22" i="10"/>
  <c r="JX22" i="10"/>
  <c r="KD22" i="10"/>
  <c r="BK22" i="10" s="1"/>
  <c r="AQ16" i="15" s="1"/>
  <c r="JO22" i="10"/>
  <c r="JP22" i="10"/>
  <c r="JS22" i="10"/>
  <c r="EU22" i="10"/>
  <c r="FX22" i="10"/>
  <c r="FV22" i="10"/>
  <c r="EW22" i="10"/>
  <c r="EV22" i="10"/>
  <c r="ET22" i="10"/>
  <c r="DD22" i="10"/>
  <c r="LC22" i="10"/>
  <c r="ES22" i="10"/>
  <c r="O31" i="2"/>
  <c r="JQ22" i="10"/>
  <c r="EQ22" i="10"/>
  <c r="JR22" i="10"/>
  <c r="EP22" i="10"/>
  <c r="EO22" i="10"/>
  <c r="IX22" i="10"/>
  <c r="IY26" i="10"/>
  <c r="DD26" i="10"/>
  <c r="BS26" i="10"/>
  <c r="Q26" i="10"/>
  <c r="DZ26" i="10"/>
  <c r="EE26" i="10"/>
  <c r="DG26" i="10"/>
  <c r="DI26" i="10"/>
  <c r="IU26" i="10"/>
  <c r="JO26" i="10"/>
  <c r="HX26" i="10"/>
  <c r="FW26" i="10"/>
  <c r="FX26" i="10"/>
  <c r="FV26" i="10"/>
  <c r="JO25" i="10"/>
  <c r="JP25" i="10"/>
  <c r="BR25" i="10"/>
  <c r="JN25" i="10"/>
  <c r="IU25" i="10"/>
  <c r="DD25" i="10"/>
  <c r="CW292" i="10"/>
  <c r="CW322" i="10"/>
  <c r="CW274" i="10"/>
  <c r="CW203" i="10"/>
  <c r="CW152" i="10"/>
  <c r="CW271" i="10"/>
  <c r="CW256" i="10"/>
  <c r="CW183" i="10"/>
  <c r="CW202" i="10"/>
  <c r="CW171" i="10"/>
  <c r="CW325" i="10"/>
  <c r="CW333" i="10"/>
  <c r="CW153" i="10"/>
  <c r="CW237" i="10"/>
  <c r="CW315" i="10"/>
  <c r="CW311" i="10"/>
  <c r="CW379" i="10"/>
  <c r="CW297" i="10"/>
  <c r="CW354" i="10"/>
  <c r="CW187" i="10"/>
  <c r="CW291" i="10"/>
  <c r="CW279" i="10"/>
  <c r="CW365" i="10"/>
  <c r="CW314" i="10"/>
  <c r="CW243" i="10"/>
  <c r="CW368" i="10"/>
  <c r="CW369" i="10"/>
  <c r="CW220" i="10"/>
  <c r="CW295" i="10"/>
  <c r="CW281" i="10"/>
  <c r="CW268" i="10"/>
  <c r="CW351" i="10"/>
  <c r="CW184" i="10"/>
  <c r="CB11" i="10"/>
  <c r="AB349" i="15"/>
  <c r="AD294" i="15"/>
  <c r="O264" i="15"/>
  <c r="AD173" i="15"/>
  <c r="T202" i="15"/>
  <c r="D349" i="15"/>
  <c r="AI362" i="15"/>
  <c r="H192" i="15"/>
  <c r="Q264" i="15"/>
  <c r="Q173" i="15"/>
  <c r="AC294" i="15"/>
  <c r="S173" i="15"/>
  <c r="E294" i="15"/>
  <c r="E362" i="15"/>
  <c r="P133" i="15"/>
  <c r="S264" i="15"/>
  <c r="C173" i="15"/>
  <c r="H362" i="15"/>
  <c r="E349" i="15"/>
  <c r="Z349" i="15"/>
  <c r="M202" i="15"/>
  <c r="H162" i="20"/>
  <c r="I162" i="20" s="1"/>
  <c r="M273" i="15"/>
  <c r="H173" i="15"/>
  <c r="AC349" i="15"/>
  <c r="G112" i="15"/>
  <c r="D173" i="15"/>
  <c r="K273" i="15"/>
  <c r="T349" i="15"/>
  <c r="X309" i="15"/>
  <c r="O371" i="15"/>
  <c r="E351" i="15"/>
  <c r="S294" i="15"/>
  <c r="N28" i="15"/>
  <c r="L273" i="15"/>
  <c r="X112" i="15"/>
  <c r="I173" i="15"/>
  <c r="Z362" i="15"/>
  <c r="H283" i="20"/>
  <c r="AD349" i="15"/>
  <c r="M362" i="15"/>
  <c r="V273" i="15"/>
  <c r="O294" i="15"/>
  <c r="L264" i="15"/>
  <c r="V294" i="15"/>
  <c r="I294" i="15"/>
  <c r="Z133" i="15"/>
  <c r="M26" i="15"/>
  <c r="H42" i="15"/>
  <c r="F184" i="15"/>
  <c r="M173" i="15"/>
  <c r="AA362" i="15"/>
  <c r="G273" i="15"/>
  <c r="AD362" i="15"/>
  <c r="H166" i="15"/>
  <c r="U349" i="15"/>
  <c r="F294" i="15"/>
  <c r="I349" i="15"/>
  <c r="AI294" i="15"/>
  <c r="AA133" i="15"/>
  <c r="P362" i="15"/>
  <c r="K264" i="15"/>
  <c r="G173" i="15"/>
  <c r="G294" i="15"/>
  <c r="AA294" i="15"/>
  <c r="Z264" i="15"/>
  <c r="C309" i="15"/>
  <c r="H202" i="15"/>
  <c r="Q109" i="15"/>
  <c r="C294" i="15"/>
  <c r="G133" i="15"/>
  <c r="JM210" i="10"/>
  <c r="A204" i="15"/>
  <c r="A384" i="15"/>
  <c r="K325" i="15"/>
  <c r="V227" i="15"/>
  <c r="H244" i="20"/>
  <c r="AF345" i="15"/>
  <c r="AE345" i="15"/>
  <c r="L345" i="15"/>
  <c r="AI345" i="15"/>
  <c r="Y345" i="15"/>
  <c r="R345" i="15"/>
  <c r="X345" i="15"/>
  <c r="P255" i="15"/>
  <c r="N227" i="15"/>
  <c r="AB227" i="15"/>
  <c r="N133" i="15"/>
  <c r="T184" i="15"/>
  <c r="O345" i="15"/>
  <c r="AB133" i="15"/>
  <c r="AC345" i="15"/>
  <c r="AD345" i="15"/>
  <c r="X147" i="15"/>
  <c r="AF147" i="15"/>
  <c r="R147" i="15"/>
  <c r="AE147" i="15"/>
  <c r="AG147" i="15"/>
  <c r="W147" i="15"/>
  <c r="Y147" i="15"/>
  <c r="AH147" i="15"/>
  <c r="U202" i="15"/>
  <c r="Q26" i="15"/>
  <c r="AG246" i="15"/>
  <c r="AH345" i="15"/>
  <c r="AF184" i="15"/>
  <c r="AI184" i="15"/>
  <c r="X184" i="15"/>
  <c r="H184" i="15"/>
  <c r="AA184" i="15"/>
  <c r="AC184" i="15"/>
  <c r="C184" i="15"/>
  <c r="AE184" i="15"/>
  <c r="E184" i="15"/>
  <c r="H173" i="20"/>
  <c r="W184" i="15"/>
  <c r="G158" i="15"/>
  <c r="I246" i="15"/>
  <c r="AD133" i="15"/>
  <c r="J298" i="15"/>
  <c r="P158" i="15"/>
  <c r="AF324" i="15"/>
  <c r="AF319" i="15"/>
  <c r="Y319" i="15"/>
  <c r="AE319" i="15"/>
  <c r="R319" i="15"/>
  <c r="P319" i="15"/>
  <c r="X319" i="15"/>
  <c r="Y52" i="15"/>
  <c r="R52" i="15"/>
  <c r="J331" i="15"/>
  <c r="AG331" i="15"/>
  <c r="P331" i="15"/>
  <c r="G331" i="15"/>
  <c r="W331" i="15"/>
  <c r="X331" i="15"/>
  <c r="Y331" i="15"/>
  <c r="R331" i="15"/>
  <c r="AE331" i="15"/>
  <c r="AH331" i="15"/>
  <c r="AI331" i="15"/>
  <c r="AF331" i="15"/>
  <c r="Q255" i="15"/>
  <c r="H28" i="15"/>
  <c r="C202" i="15"/>
  <c r="R246" i="15"/>
  <c r="AC265" i="15"/>
  <c r="AA265" i="15"/>
  <c r="AG265" i="15"/>
  <c r="X265" i="15"/>
  <c r="R265" i="15"/>
  <c r="Y265" i="15"/>
  <c r="AE265" i="15"/>
  <c r="AH265" i="15"/>
  <c r="A308" i="15"/>
  <c r="H191" i="20"/>
  <c r="D202" i="15"/>
  <c r="X246" i="15"/>
  <c r="S282" i="15"/>
  <c r="E282" i="15"/>
  <c r="F282" i="15"/>
  <c r="AA282" i="15"/>
  <c r="I282" i="15"/>
  <c r="C282" i="15"/>
  <c r="AD282" i="15"/>
  <c r="AI282" i="15"/>
  <c r="U282" i="15"/>
  <c r="D282" i="15"/>
  <c r="N282" i="15"/>
  <c r="L282" i="15"/>
  <c r="Z282" i="15"/>
  <c r="W282" i="15"/>
  <c r="H271" i="20"/>
  <c r="R282" i="15"/>
  <c r="AE282" i="15"/>
  <c r="J282" i="15"/>
  <c r="M282" i="15"/>
  <c r="AF282" i="15"/>
  <c r="Y282" i="15"/>
  <c r="AH282" i="15"/>
  <c r="T282" i="15"/>
  <c r="K282" i="15"/>
  <c r="V282" i="15"/>
  <c r="AG282" i="15"/>
  <c r="H282" i="15"/>
  <c r="AC282" i="15"/>
  <c r="X282" i="15"/>
  <c r="D31" i="15"/>
  <c r="L31" i="15"/>
  <c r="N31" i="15"/>
  <c r="Z31" i="15"/>
  <c r="F31" i="15"/>
  <c r="AG31" i="15"/>
  <c r="W31" i="15"/>
  <c r="U31" i="15"/>
  <c r="AH31" i="15"/>
  <c r="Y31" i="15"/>
  <c r="AD31" i="15"/>
  <c r="V31" i="15"/>
  <c r="P31" i="15"/>
  <c r="AF31" i="15"/>
  <c r="G31" i="15"/>
  <c r="T31" i="15"/>
  <c r="V246" i="15"/>
  <c r="JM243" i="10"/>
  <c r="A237" i="15"/>
  <c r="K196" i="15"/>
  <c r="E196" i="15"/>
  <c r="AA196" i="15"/>
  <c r="N196" i="15"/>
  <c r="G196" i="15"/>
  <c r="R196" i="15"/>
  <c r="Q196" i="15"/>
  <c r="AI196" i="15"/>
  <c r="AD196" i="15"/>
  <c r="I196" i="15"/>
  <c r="J196" i="15"/>
  <c r="H185" i="20"/>
  <c r="AB196" i="15"/>
  <c r="X196" i="15"/>
  <c r="S196" i="15"/>
  <c r="V196" i="15"/>
  <c r="T196" i="15"/>
  <c r="P196" i="15"/>
  <c r="O196" i="15"/>
  <c r="AF196" i="15"/>
  <c r="Y196" i="15"/>
  <c r="K198" i="15"/>
  <c r="E158" i="15"/>
  <c r="V202" i="15"/>
  <c r="AB246" i="15"/>
  <c r="P24" i="15"/>
  <c r="Y24" i="15"/>
  <c r="AE24" i="15"/>
  <c r="G24" i="15"/>
  <c r="F24" i="15"/>
  <c r="AB24" i="15"/>
  <c r="AF24" i="15"/>
  <c r="U24" i="15"/>
  <c r="AH24" i="15"/>
  <c r="A378" i="15"/>
  <c r="I378" i="15" s="1"/>
  <c r="AA349" i="15"/>
  <c r="J349" i="15"/>
  <c r="O349" i="15"/>
  <c r="AG349" i="15"/>
  <c r="H349" i="15"/>
  <c r="AH349" i="15"/>
  <c r="S349" i="15"/>
  <c r="W349" i="15"/>
  <c r="AE349" i="15"/>
  <c r="X349" i="15"/>
  <c r="AF349" i="15"/>
  <c r="S69" i="15"/>
  <c r="AH69" i="15"/>
  <c r="O190" i="15"/>
  <c r="A239" i="15"/>
  <c r="JM245" i="10"/>
  <c r="O60" i="15"/>
  <c r="P60" i="15"/>
  <c r="U60" i="15"/>
  <c r="V60" i="15"/>
  <c r="Z60" i="15"/>
  <c r="AB60" i="15"/>
  <c r="AE60" i="15"/>
  <c r="G60" i="15"/>
  <c r="AD60" i="15"/>
  <c r="E60" i="15"/>
  <c r="T60" i="15"/>
  <c r="AG60" i="15"/>
  <c r="F60" i="15"/>
  <c r="W60" i="15"/>
  <c r="S60" i="15"/>
  <c r="N60" i="15"/>
  <c r="I60" i="15"/>
  <c r="AH60" i="15"/>
  <c r="J60" i="15"/>
  <c r="AA60" i="15"/>
  <c r="AF60" i="15"/>
  <c r="K60" i="15"/>
  <c r="AC60" i="15"/>
  <c r="L60" i="15"/>
  <c r="R60" i="15"/>
  <c r="AI60" i="15"/>
  <c r="L198" i="15"/>
  <c r="A95" i="15"/>
  <c r="AC95" i="15" s="1"/>
  <c r="O246" i="15"/>
  <c r="D246" i="15"/>
  <c r="Z112" i="15"/>
  <c r="AD112" i="15"/>
  <c r="Y112" i="15"/>
  <c r="L112" i="15"/>
  <c r="AE112" i="15"/>
  <c r="AH112" i="15"/>
  <c r="AB112" i="15"/>
  <c r="N112" i="15"/>
  <c r="O112" i="15"/>
  <c r="P26" i="15"/>
  <c r="AB26" i="15"/>
  <c r="AF26" i="15"/>
  <c r="E26" i="15"/>
  <c r="AH26" i="15"/>
  <c r="I26" i="15"/>
  <c r="E190" i="15"/>
  <c r="E303" i="15"/>
  <c r="F198" i="15"/>
  <c r="J246" i="15"/>
  <c r="E79" i="15"/>
  <c r="L246" i="15"/>
  <c r="J202" i="15"/>
  <c r="U112" i="15"/>
  <c r="P246" i="15"/>
  <c r="N265" i="15"/>
  <c r="H320" i="20"/>
  <c r="J320" i="20" s="1"/>
  <c r="K202" i="15"/>
  <c r="W112" i="15"/>
  <c r="AF273" i="15"/>
  <c r="W273" i="15"/>
  <c r="U273" i="15"/>
  <c r="R273" i="15"/>
  <c r="AE273" i="15"/>
  <c r="I280" i="15"/>
  <c r="Y280" i="15"/>
  <c r="AE280" i="15"/>
  <c r="W280" i="15"/>
  <c r="AH280" i="15"/>
  <c r="O42" i="15"/>
  <c r="AB42" i="15"/>
  <c r="E42" i="15"/>
  <c r="AC42" i="15"/>
  <c r="AH42" i="15"/>
  <c r="AE42" i="15"/>
  <c r="Y42" i="15"/>
  <c r="M42" i="15"/>
  <c r="R42" i="15"/>
  <c r="W42" i="15"/>
  <c r="F42" i="15"/>
  <c r="AF42" i="15"/>
  <c r="F153" i="15"/>
  <c r="N198" i="15"/>
  <c r="O325" i="15"/>
  <c r="AD246" i="15"/>
  <c r="K79" i="15"/>
  <c r="P265" i="15"/>
  <c r="M24" i="15"/>
  <c r="O331" i="15"/>
  <c r="X71" i="15"/>
  <c r="AI202" i="15"/>
  <c r="O26" i="15"/>
  <c r="P112" i="15"/>
  <c r="AF242" i="15"/>
  <c r="AH242" i="15"/>
  <c r="K213" i="15"/>
  <c r="AA303" i="15"/>
  <c r="J198" i="15"/>
  <c r="U309" i="15"/>
  <c r="E246" i="15"/>
  <c r="I362" i="15"/>
  <c r="AB282" i="15"/>
  <c r="Z265" i="15"/>
  <c r="S202" i="15"/>
  <c r="AF112" i="15"/>
  <c r="S112" i="15"/>
  <c r="X242" i="15"/>
  <c r="AD198" i="15"/>
  <c r="M198" i="15"/>
  <c r="S190" i="15"/>
  <c r="Z309" i="15"/>
  <c r="L309" i="15"/>
  <c r="Q246" i="15"/>
  <c r="J112" i="15"/>
  <c r="AI246" i="15"/>
  <c r="U265" i="15"/>
  <c r="K24" i="15"/>
  <c r="J294" i="15"/>
  <c r="M294" i="15"/>
  <c r="AH294" i="15"/>
  <c r="Z294" i="15"/>
  <c r="AB294" i="15"/>
  <c r="T294" i="15"/>
  <c r="AF294" i="15"/>
  <c r="AE294" i="15"/>
  <c r="R294" i="15"/>
  <c r="Y294" i="15"/>
  <c r="AG294" i="15"/>
  <c r="X294" i="15"/>
  <c r="L294" i="15"/>
  <c r="W294" i="15"/>
  <c r="AI35" i="15"/>
  <c r="R35" i="15"/>
  <c r="AH35" i="15"/>
  <c r="O35" i="15"/>
  <c r="E35" i="15"/>
  <c r="Y35" i="15"/>
  <c r="AE35" i="15"/>
  <c r="Q190" i="15"/>
  <c r="A175" i="15"/>
  <c r="JM181" i="10"/>
  <c r="AI316" i="15"/>
  <c r="AC202" i="15"/>
  <c r="W202" i="15"/>
  <c r="AE202" i="15"/>
  <c r="G202" i="15"/>
  <c r="Y202" i="15"/>
  <c r="K71" i="15"/>
  <c r="V71" i="15"/>
  <c r="I71" i="15"/>
  <c r="L71" i="15"/>
  <c r="AA71" i="15"/>
  <c r="R71" i="15"/>
  <c r="AC71" i="15"/>
  <c r="AE71" i="15"/>
  <c r="AH71" i="15"/>
  <c r="H60" i="20"/>
  <c r="J60" i="20" s="1"/>
  <c r="E71" i="15"/>
  <c r="T71" i="15"/>
  <c r="N71" i="15"/>
  <c r="AF71" i="15"/>
  <c r="Z71" i="15"/>
  <c r="F71" i="15"/>
  <c r="AD71" i="15"/>
  <c r="S71" i="15"/>
  <c r="H71" i="15"/>
  <c r="H179" i="20"/>
  <c r="R202" i="15"/>
  <c r="M246" i="15"/>
  <c r="AF246" i="15"/>
  <c r="Y246" i="15"/>
  <c r="AH246" i="15"/>
  <c r="AE246" i="15"/>
  <c r="W246" i="15"/>
  <c r="AG190" i="15"/>
  <c r="Q331" i="15"/>
  <c r="C246" i="15"/>
  <c r="J362" i="15"/>
  <c r="AD158" i="15"/>
  <c r="U362" i="15"/>
  <c r="Q282" i="15"/>
  <c r="F265" i="15"/>
  <c r="D24" i="15"/>
  <c r="AD202" i="15"/>
  <c r="JM208" i="10"/>
  <c r="D112" i="15"/>
  <c r="O133" i="15"/>
  <c r="V133" i="15"/>
  <c r="AG133" i="15"/>
  <c r="W133" i="15"/>
  <c r="H133" i="15"/>
  <c r="Y133" i="15"/>
  <c r="AI133" i="15"/>
  <c r="K133" i="15"/>
  <c r="AE133" i="15"/>
  <c r="AF133" i="15"/>
  <c r="R133" i="15"/>
  <c r="AH133" i="15"/>
  <c r="I355" i="15"/>
  <c r="AI355" i="15"/>
  <c r="AB355" i="15"/>
  <c r="Y355" i="15"/>
  <c r="J352" i="20"/>
  <c r="F303" i="15"/>
  <c r="S158" i="15"/>
  <c r="N202" i="15"/>
  <c r="AA24" i="15"/>
  <c r="R316" i="15"/>
  <c r="Q112" i="15"/>
  <c r="L351" i="15"/>
  <c r="O351" i="15"/>
  <c r="AI351" i="15"/>
  <c r="W351" i="15"/>
  <c r="K351" i="15"/>
  <c r="I351" i="15"/>
  <c r="H13" i="2"/>
  <c r="K3" i="2"/>
  <c r="G246" i="15"/>
  <c r="D158" i="15"/>
  <c r="H190" i="15"/>
  <c r="E309" i="15"/>
  <c r="AB331" i="15"/>
  <c r="AC246" i="15"/>
  <c r="L362" i="15"/>
  <c r="H158" i="15"/>
  <c r="G280" i="15"/>
  <c r="V280" i="15"/>
  <c r="J42" i="15"/>
  <c r="K69" i="15"/>
  <c r="Q133" i="15"/>
  <c r="AA112" i="15"/>
  <c r="H231" i="20"/>
  <c r="J154" i="20"/>
  <c r="K154" i="20"/>
  <c r="O329" i="15"/>
  <c r="AE329" i="15"/>
  <c r="C329" i="15"/>
  <c r="X329" i="15"/>
  <c r="W329" i="15"/>
  <c r="Y329" i="15"/>
  <c r="AH329" i="15"/>
  <c r="R329" i="15"/>
  <c r="Z329" i="15"/>
  <c r="M329" i="15"/>
  <c r="D329" i="15"/>
  <c r="AF329" i="15"/>
  <c r="AA158" i="15"/>
  <c r="I190" i="15"/>
  <c r="G309" i="15"/>
  <c r="A372" i="15"/>
  <c r="AA372" i="15"/>
  <c r="Z331" i="15"/>
  <c r="D331" i="15"/>
  <c r="F246" i="15"/>
  <c r="C362" i="15"/>
  <c r="O362" i="15"/>
  <c r="N362" i="15"/>
  <c r="Q326" i="15"/>
  <c r="AD280" i="15"/>
  <c r="H269" i="20"/>
  <c r="K269" i="20" s="1"/>
  <c r="P69" i="15"/>
  <c r="F133" i="15"/>
  <c r="X24" i="15"/>
  <c r="H305" i="20"/>
  <c r="AC112" i="15"/>
  <c r="Y242" i="15"/>
  <c r="G167" i="15"/>
  <c r="E167" i="15"/>
  <c r="I167" i="15"/>
  <c r="S167" i="15"/>
  <c r="H167" i="15"/>
  <c r="R167" i="15"/>
  <c r="Y167" i="15"/>
  <c r="AA167" i="15"/>
  <c r="AB167" i="15"/>
  <c r="AE167" i="15"/>
  <c r="P167" i="15"/>
  <c r="AF167" i="15"/>
  <c r="AC167" i="15"/>
  <c r="V167" i="15"/>
  <c r="T167" i="15"/>
  <c r="L350" i="15"/>
  <c r="D350" i="15"/>
  <c r="AH350" i="15"/>
  <c r="AE350" i="15"/>
  <c r="S350" i="15"/>
  <c r="Y350" i="15"/>
  <c r="Q350" i="15"/>
  <c r="V350" i="15"/>
  <c r="P350" i="15"/>
  <c r="E28" i="15"/>
  <c r="S266" i="15"/>
  <c r="K266" i="15"/>
  <c r="E266" i="15"/>
  <c r="H266" i="15"/>
  <c r="X266" i="15"/>
  <c r="W266" i="15"/>
  <c r="AD266" i="15"/>
  <c r="AB266" i="15"/>
  <c r="AE266" i="15"/>
  <c r="H255" i="20"/>
  <c r="Z266" i="15"/>
  <c r="F266" i="15"/>
  <c r="J266" i="15"/>
  <c r="G266" i="15"/>
  <c r="L266" i="15"/>
  <c r="AC266" i="15"/>
  <c r="N266" i="15"/>
  <c r="V266" i="15"/>
  <c r="D266" i="15"/>
  <c r="AF266" i="15"/>
  <c r="P309" i="15"/>
  <c r="F158" i="15"/>
  <c r="O158" i="15"/>
  <c r="L265" i="15"/>
  <c r="C133" i="15"/>
  <c r="X202" i="15"/>
  <c r="E24" i="15"/>
  <c r="R112" i="15"/>
  <c r="F112" i="15"/>
  <c r="AE242" i="15"/>
  <c r="A323" i="15"/>
  <c r="AD323" i="15" s="1"/>
  <c r="AI67" i="15"/>
  <c r="M67" i="15"/>
  <c r="H67" i="15"/>
  <c r="F67" i="15"/>
  <c r="I67" i="15"/>
  <c r="Z67" i="15"/>
  <c r="R67" i="15"/>
  <c r="T67" i="15"/>
  <c r="J61" i="20"/>
  <c r="L276" i="15"/>
  <c r="N276" i="15"/>
  <c r="V276" i="15"/>
  <c r="AB276" i="15"/>
  <c r="M276" i="15"/>
  <c r="H265" i="20"/>
  <c r="X276" i="15"/>
  <c r="AF276" i="15"/>
  <c r="AG276" i="15"/>
  <c r="H276" i="15"/>
  <c r="AD276" i="15"/>
  <c r="U276" i="15"/>
  <c r="K276" i="15"/>
  <c r="AH276" i="15"/>
  <c r="W276" i="15"/>
  <c r="I276" i="15"/>
  <c r="AA276" i="15"/>
  <c r="R276" i="15"/>
  <c r="S276" i="15"/>
  <c r="AE276" i="15"/>
  <c r="G276" i="15"/>
  <c r="Y276" i="15"/>
  <c r="AI276" i="15"/>
  <c r="Z276" i="15"/>
  <c r="Q276" i="15"/>
  <c r="AC276" i="15"/>
  <c r="P276" i="15"/>
  <c r="J360" i="20"/>
  <c r="K360" i="20"/>
  <c r="M222" i="15"/>
  <c r="I222" i="15"/>
  <c r="AB222" i="15"/>
  <c r="S222" i="15"/>
  <c r="AI222" i="15"/>
  <c r="K222" i="15"/>
  <c r="D222" i="15"/>
  <c r="T222" i="15"/>
  <c r="E222" i="15"/>
  <c r="AG222" i="15"/>
  <c r="R222" i="15"/>
  <c r="AF222" i="15"/>
  <c r="AE222" i="15"/>
  <c r="Q222" i="15"/>
  <c r="X222" i="15"/>
  <c r="Z222" i="15"/>
  <c r="A176" i="15"/>
  <c r="U103" i="15"/>
  <c r="P103" i="15"/>
  <c r="M103" i="15"/>
  <c r="T103" i="15"/>
  <c r="E103" i="15"/>
  <c r="L103" i="15"/>
  <c r="X103" i="15"/>
  <c r="AB103" i="15"/>
  <c r="AE103" i="15"/>
  <c r="AI103" i="15"/>
  <c r="A344" i="15"/>
  <c r="JM350" i="10"/>
  <c r="Z326" i="15"/>
  <c r="J326" i="15"/>
  <c r="AI326" i="15"/>
  <c r="Y326" i="15"/>
  <c r="L326" i="15"/>
  <c r="H315" i="20"/>
  <c r="K315" i="20" s="1"/>
  <c r="V326" i="15"/>
  <c r="W326" i="15"/>
  <c r="Z186" i="15"/>
  <c r="JM67" i="10"/>
  <c r="A61" i="15"/>
  <c r="JM341" i="10"/>
  <c r="JM220" i="10"/>
  <c r="A214" i="15"/>
  <c r="AH214" i="15" s="1"/>
  <c r="A269" i="15"/>
  <c r="JM275" i="10"/>
  <c r="N224" i="15"/>
  <c r="AG224" i="15"/>
  <c r="I224" i="15"/>
  <c r="JM253" i="10"/>
  <c r="AG109" i="15"/>
  <c r="F109" i="15"/>
  <c r="L109" i="15"/>
  <c r="U109" i="15"/>
  <c r="AB109" i="15"/>
  <c r="W109" i="15"/>
  <c r="E109" i="15"/>
  <c r="AD109" i="15"/>
  <c r="AE109" i="15"/>
  <c r="N109" i="15"/>
  <c r="AH109" i="15"/>
  <c r="H98" i="20"/>
  <c r="D109" i="15"/>
  <c r="Y109" i="15"/>
  <c r="N47" i="15"/>
  <c r="JM199" i="10"/>
  <c r="A110" i="15"/>
  <c r="JM116" i="10"/>
  <c r="JM302" i="10"/>
  <c r="A296" i="15"/>
  <c r="V70" i="15"/>
  <c r="P70" i="15"/>
  <c r="M70" i="15"/>
  <c r="N70" i="15"/>
  <c r="AE70" i="15"/>
  <c r="Y70" i="15"/>
  <c r="A289" i="15"/>
  <c r="JM280" i="10"/>
  <c r="K192" i="15"/>
  <c r="AA173" i="15"/>
  <c r="J173" i="15"/>
  <c r="AC173" i="15"/>
  <c r="AG173" i="15"/>
  <c r="AH173" i="15"/>
  <c r="R173" i="15"/>
  <c r="AF173" i="15"/>
  <c r="Y173" i="15"/>
  <c r="W173" i="15"/>
  <c r="N173" i="15"/>
  <c r="O173" i="15"/>
  <c r="AE173" i="15"/>
  <c r="O192" i="15"/>
  <c r="A223" i="15"/>
  <c r="A287" i="15"/>
  <c r="AH287" i="15" s="1"/>
  <c r="JM293" i="10"/>
  <c r="AB368" i="15"/>
  <c r="F368" i="15"/>
  <c r="H357" i="20"/>
  <c r="J357" i="20" s="1"/>
  <c r="AA368" i="15"/>
  <c r="AD368" i="15"/>
  <c r="I368" i="15"/>
  <c r="Q368" i="15"/>
  <c r="AI368" i="15"/>
  <c r="K368" i="15"/>
  <c r="H368" i="15"/>
  <c r="S368" i="15"/>
  <c r="AA213" i="15"/>
  <c r="S213" i="15"/>
  <c r="Z213" i="15"/>
  <c r="V213" i="15"/>
  <c r="H202" i="20"/>
  <c r="D213" i="15"/>
  <c r="F213" i="15"/>
  <c r="X213" i="15"/>
  <c r="AC213" i="15"/>
  <c r="U213" i="15"/>
  <c r="I213" i="15"/>
  <c r="W213" i="15"/>
  <c r="AI213" i="15"/>
  <c r="AH213" i="15"/>
  <c r="Y213" i="15"/>
  <c r="AE213" i="15"/>
  <c r="G213" i="15"/>
  <c r="Q213" i="15"/>
  <c r="Z79" i="15"/>
  <c r="S79" i="15"/>
  <c r="G79" i="15"/>
  <c r="AH79" i="15"/>
  <c r="V79" i="15"/>
  <c r="AD79" i="15"/>
  <c r="AB79" i="15"/>
  <c r="J79" i="15"/>
  <c r="X79" i="15"/>
  <c r="U198" i="15"/>
  <c r="G198" i="15"/>
  <c r="V198" i="15"/>
  <c r="Z198" i="15"/>
  <c r="H187" i="20"/>
  <c r="Q198" i="15"/>
  <c r="H198" i="15"/>
  <c r="AB198" i="15"/>
  <c r="E198" i="15"/>
  <c r="O198" i="15"/>
  <c r="X198" i="15"/>
  <c r="AG198" i="15"/>
  <c r="T198" i="15"/>
  <c r="AA198" i="15"/>
  <c r="S198" i="15"/>
  <c r="R198" i="15"/>
  <c r="I198" i="15"/>
  <c r="AI198" i="15"/>
  <c r="P198" i="15"/>
  <c r="D198" i="15"/>
  <c r="AH198" i="15"/>
  <c r="AE198" i="15"/>
  <c r="AF198" i="15"/>
  <c r="C198" i="15"/>
  <c r="W198" i="15"/>
  <c r="Y198" i="15"/>
  <c r="M63" i="15"/>
  <c r="U63" i="15"/>
  <c r="AA63" i="15"/>
  <c r="AB63" i="15"/>
  <c r="Q63" i="15"/>
  <c r="AC63" i="15"/>
  <c r="AD63" i="15"/>
  <c r="V63" i="15"/>
  <c r="G63" i="15"/>
  <c r="H52" i="20"/>
  <c r="I52" i="20" s="1"/>
  <c r="O63" i="15"/>
  <c r="W63" i="15"/>
  <c r="AE63" i="15"/>
  <c r="I63" i="15"/>
  <c r="F63" i="15"/>
  <c r="AH63" i="15"/>
  <c r="D192" i="15"/>
  <c r="A322" i="15"/>
  <c r="JM328" i="10"/>
  <c r="C25" i="15"/>
  <c r="I25" i="15"/>
  <c r="G25" i="15"/>
  <c r="AI25" i="15"/>
  <c r="JM149" i="10"/>
  <c r="A143" i="15"/>
  <c r="K143" i="15" s="1"/>
  <c r="V190" i="15"/>
  <c r="G169" i="15"/>
  <c r="AD169" i="15"/>
  <c r="V169" i="15"/>
  <c r="C169" i="15"/>
  <c r="S169" i="15"/>
  <c r="H169" i="15"/>
  <c r="Q169" i="15"/>
  <c r="X169" i="15"/>
  <c r="M169" i="15"/>
  <c r="Z169" i="15"/>
  <c r="I169" i="15"/>
  <c r="AF169" i="15"/>
  <c r="W169" i="15"/>
  <c r="J169" i="15"/>
  <c r="P169" i="15"/>
  <c r="R169" i="15"/>
  <c r="Y169" i="15"/>
  <c r="AH169" i="15"/>
  <c r="A121" i="15"/>
  <c r="JM362" i="10"/>
  <c r="A356" i="15"/>
  <c r="T86" i="15"/>
  <c r="F86" i="15"/>
  <c r="H75" i="20"/>
  <c r="AI361" i="15"/>
  <c r="AG361" i="15"/>
  <c r="Z361" i="15"/>
  <c r="E361" i="15"/>
  <c r="H350" i="20"/>
  <c r="Y361" i="15"/>
  <c r="R361" i="15"/>
  <c r="O361" i="15"/>
  <c r="N158" i="15"/>
  <c r="H147" i="20"/>
  <c r="AG158" i="15"/>
  <c r="Z158" i="15"/>
  <c r="AE158" i="15"/>
  <c r="AF158" i="15"/>
  <c r="W158" i="15"/>
  <c r="AH158" i="15"/>
  <c r="X158" i="15"/>
  <c r="AC158" i="15"/>
  <c r="J158" i="15"/>
  <c r="Y158" i="15"/>
  <c r="K314" i="15"/>
  <c r="J314" i="15"/>
  <c r="AA314" i="15"/>
  <c r="F314" i="15"/>
  <c r="U314" i="15"/>
  <c r="S314" i="15"/>
  <c r="H303" i="20"/>
  <c r="V314" i="15"/>
  <c r="AC314" i="15"/>
  <c r="AH314" i="15"/>
  <c r="I314" i="15"/>
  <c r="Z314" i="15"/>
  <c r="T314" i="15"/>
  <c r="X314" i="15"/>
  <c r="V362" i="15"/>
  <c r="AG362" i="15"/>
  <c r="G362" i="15"/>
  <c r="T362" i="15"/>
  <c r="W362" i="15"/>
  <c r="S362" i="15"/>
  <c r="H351" i="20"/>
  <c r="J351" i="20" s="1"/>
  <c r="AB362" i="15"/>
  <c r="X362" i="15"/>
  <c r="AH362" i="15"/>
  <c r="Q362" i="15"/>
  <c r="AC362" i="15"/>
  <c r="AF362" i="15"/>
  <c r="Y362" i="15"/>
  <c r="R362" i="15"/>
  <c r="AE362" i="15"/>
  <c r="AD50" i="15"/>
  <c r="H39" i="20"/>
  <c r="K50" i="15"/>
  <c r="M50" i="15"/>
  <c r="AI50" i="15"/>
  <c r="H50" i="15"/>
  <c r="AG50" i="15"/>
  <c r="Z50" i="15"/>
  <c r="G50" i="15"/>
  <c r="L50" i="15"/>
  <c r="I50" i="15"/>
  <c r="R50" i="15"/>
  <c r="O50" i="15"/>
  <c r="Q50" i="15"/>
  <c r="C50" i="15"/>
  <c r="U50" i="15"/>
  <c r="S50" i="15"/>
  <c r="J50" i="15"/>
  <c r="AA50" i="15"/>
  <c r="E50" i="15"/>
  <c r="AF50" i="15"/>
  <c r="AE50" i="15"/>
  <c r="AB50" i="15"/>
  <c r="N50" i="15"/>
  <c r="W50" i="15"/>
  <c r="V50" i="15"/>
  <c r="F50" i="15"/>
  <c r="D50" i="15"/>
  <c r="Y50" i="15"/>
  <c r="T50" i="15"/>
  <c r="AH50" i="15"/>
  <c r="AG49" i="15"/>
  <c r="Q49" i="15"/>
  <c r="G49" i="15"/>
  <c r="P49" i="15"/>
  <c r="S49" i="15"/>
  <c r="K49" i="15"/>
  <c r="L49" i="15"/>
  <c r="M49" i="15"/>
  <c r="AD49" i="15"/>
  <c r="E49" i="15"/>
  <c r="AA49" i="15"/>
  <c r="AI49" i="15"/>
  <c r="D49" i="15"/>
  <c r="O49" i="15"/>
  <c r="U49" i="15"/>
  <c r="J49" i="15"/>
  <c r="AC49" i="15"/>
  <c r="H38" i="20"/>
  <c r="R49" i="15"/>
  <c r="W49" i="15"/>
  <c r="F49" i="15"/>
  <c r="AB49" i="15"/>
  <c r="Y49" i="15"/>
  <c r="V49" i="15"/>
  <c r="N49" i="15"/>
  <c r="JM138" i="10"/>
  <c r="A132" i="15"/>
  <c r="J150" i="20"/>
  <c r="I150" i="20"/>
  <c r="K150" i="20"/>
  <c r="AA222" i="15"/>
  <c r="L186" i="15"/>
  <c r="AC309" i="15"/>
  <c r="M190" i="15"/>
  <c r="H158" i="20"/>
  <c r="K158" i="20"/>
  <c r="AA299" i="15"/>
  <c r="O299" i="15"/>
  <c r="I299" i="15"/>
  <c r="V299" i="15"/>
  <c r="D299" i="15"/>
  <c r="N299" i="15"/>
  <c r="K299" i="15"/>
  <c r="M299" i="15"/>
  <c r="AD299" i="15"/>
  <c r="AC299" i="15"/>
  <c r="Z299" i="15"/>
  <c r="H288" i="20"/>
  <c r="K288" i="20" s="1"/>
  <c r="L299" i="15"/>
  <c r="AF299" i="15"/>
  <c r="X299" i="15"/>
  <c r="T299" i="15"/>
  <c r="H299" i="15"/>
  <c r="W299" i="15"/>
  <c r="R299" i="15"/>
  <c r="Y299" i="15"/>
  <c r="AE299" i="15"/>
  <c r="AB299" i="15"/>
  <c r="JM125" i="10"/>
  <c r="K226" i="15"/>
  <c r="AD226" i="15"/>
  <c r="G226" i="15"/>
  <c r="Y226" i="15"/>
  <c r="AC318" i="15"/>
  <c r="AF318" i="15"/>
  <c r="AE318" i="15"/>
  <c r="K318" i="15"/>
  <c r="T318" i="15"/>
  <c r="Q318" i="15"/>
  <c r="U73" i="15"/>
  <c r="N264" i="15"/>
  <c r="L190" i="15"/>
  <c r="AG309" i="15"/>
  <c r="A342" i="15"/>
  <c r="G342" i="15"/>
  <c r="D362" i="15"/>
  <c r="A375" i="15"/>
  <c r="AI28" i="15"/>
  <c r="K190" i="15"/>
  <c r="AF330" i="15"/>
  <c r="H255" i="15"/>
  <c r="Z255" i="15"/>
  <c r="F255" i="15"/>
  <c r="L255" i="15"/>
  <c r="I255" i="15"/>
  <c r="N255" i="15"/>
  <c r="O255" i="15"/>
  <c r="E255" i="15"/>
  <c r="T255" i="15"/>
  <c r="M255" i="15"/>
  <c r="AA255" i="15"/>
  <c r="C255" i="15"/>
  <c r="V255" i="15"/>
  <c r="AI255" i="15"/>
  <c r="U255" i="15"/>
  <c r="X255" i="15"/>
  <c r="AD255" i="15"/>
  <c r="AF255" i="15"/>
  <c r="S255" i="15"/>
  <c r="R255" i="15"/>
  <c r="J255" i="15"/>
  <c r="AH255" i="15"/>
  <c r="AB255" i="15"/>
  <c r="AG255" i="15"/>
  <c r="W255" i="15"/>
  <c r="D255" i="15"/>
  <c r="Y255" i="15"/>
  <c r="AE255" i="15"/>
  <c r="JM354" i="10"/>
  <c r="A348" i="15"/>
  <c r="JM346" i="10"/>
  <c r="A340" i="15"/>
  <c r="G37" i="15"/>
  <c r="U37" i="15"/>
  <c r="AD37" i="15"/>
  <c r="AH37" i="15"/>
  <c r="AA37" i="15"/>
  <c r="M37" i="15"/>
  <c r="S37" i="15"/>
  <c r="C37" i="15"/>
  <c r="Z37" i="15"/>
  <c r="H26" i="20"/>
  <c r="K26" i="20" s="1"/>
  <c r="N37" i="15"/>
  <c r="D37" i="15"/>
  <c r="AC37" i="15"/>
  <c r="W37" i="15"/>
  <c r="AB37" i="15"/>
  <c r="I37" i="15"/>
  <c r="L37" i="15"/>
  <c r="AE37" i="15"/>
  <c r="J37" i="15"/>
  <c r="R37" i="15"/>
  <c r="T37" i="15"/>
  <c r="E37" i="15"/>
  <c r="O37" i="15"/>
  <c r="F37" i="15"/>
  <c r="V37" i="15"/>
  <c r="Y37" i="15"/>
  <c r="Q37" i="15"/>
  <c r="P37" i="15"/>
  <c r="H37" i="15"/>
  <c r="AF37" i="15"/>
  <c r="X37" i="15"/>
  <c r="Q152" i="15"/>
  <c r="K152" i="15"/>
  <c r="O152" i="15"/>
  <c r="Y152" i="15"/>
  <c r="A115" i="15"/>
  <c r="JM121" i="10"/>
  <c r="JM242" i="10"/>
  <c r="A236" i="15"/>
  <c r="U7" i="19"/>
  <c r="D195" i="12"/>
  <c r="C195" i="12"/>
  <c r="F219" i="12"/>
  <c r="D200" i="12"/>
  <c r="C200" i="12"/>
  <c r="L219" i="12"/>
  <c r="D184" i="12"/>
  <c r="C184" i="12"/>
  <c r="D206" i="12"/>
  <c r="C206" i="12"/>
  <c r="D190" i="12"/>
  <c r="C190" i="12"/>
  <c r="D211" i="12"/>
  <c r="C211" i="12"/>
  <c r="H142" i="20"/>
  <c r="M153" i="15"/>
  <c r="W153" i="15"/>
  <c r="AG153" i="15"/>
  <c r="AF153" i="15"/>
  <c r="Y153" i="15"/>
  <c r="R153" i="15"/>
  <c r="AE153" i="15"/>
  <c r="S153" i="15"/>
  <c r="AA185" i="15"/>
  <c r="AD185" i="15"/>
  <c r="X185" i="15"/>
  <c r="AG298" i="15"/>
  <c r="AI298" i="15"/>
  <c r="AH298" i="15"/>
  <c r="R298" i="15"/>
  <c r="W298" i="15"/>
  <c r="K283" i="20"/>
  <c r="N55" i="15"/>
  <c r="I55" i="15"/>
  <c r="V55" i="15"/>
  <c r="F55" i="15"/>
  <c r="X55" i="15"/>
  <c r="G55" i="15"/>
  <c r="H55" i="15"/>
  <c r="AD55" i="15"/>
  <c r="J55" i="15"/>
  <c r="A257" i="15"/>
  <c r="JM263" i="10"/>
  <c r="K308" i="20"/>
  <c r="I308" i="20"/>
  <c r="J308" i="20"/>
  <c r="N221" i="15"/>
  <c r="AB221" i="15"/>
  <c r="P221" i="15"/>
  <c r="I221" i="15"/>
  <c r="J221" i="15"/>
  <c r="AG221" i="15"/>
  <c r="H210" i="20"/>
  <c r="I197" i="20"/>
  <c r="JM383" i="10"/>
  <c r="A377" i="15"/>
  <c r="O377" i="15" s="1"/>
  <c r="A220" i="15"/>
  <c r="JM226" i="10"/>
  <c r="T190" i="15"/>
  <c r="W190" i="15"/>
  <c r="A292" i="15"/>
  <c r="C264" i="15"/>
  <c r="E264" i="15"/>
  <c r="AB264" i="15"/>
  <c r="AA264" i="15"/>
  <c r="I264" i="15"/>
  <c r="P264" i="15"/>
  <c r="J264" i="15"/>
  <c r="G264" i="15"/>
  <c r="AG264" i="15"/>
  <c r="D264" i="15"/>
  <c r="AC264" i="15"/>
  <c r="W264" i="15"/>
  <c r="AH264" i="15"/>
  <c r="X264" i="15"/>
  <c r="Y264" i="15"/>
  <c r="R264" i="15"/>
  <c r="AF264" i="15"/>
  <c r="U264" i="15"/>
  <c r="AI264" i="15"/>
  <c r="AE264" i="15"/>
  <c r="JM301" i="10"/>
  <c r="A295" i="15"/>
  <c r="T7" i="19"/>
  <c r="G219" i="12"/>
  <c r="I219" i="12"/>
  <c r="A256" i="15"/>
  <c r="JM262" i="10"/>
  <c r="I44" i="15"/>
  <c r="E44" i="15"/>
  <c r="AD44" i="15"/>
  <c r="AG44" i="15"/>
  <c r="AA44" i="15"/>
  <c r="T44" i="15"/>
  <c r="M44" i="15"/>
  <c r="U44" i="15"/>
  <c r="AI44" i="15"/>
  <c r="Y44" i="15"/>
  <c r="K44" i="15"/>
  <c r="AE44" i="15"/>
  <c r="P44" i="15"/>
  <c r="R44" i="15"/>
  <c r="H33" i="20"/>
  <c r="D44" i="15"/>
  <c r="O44" i="15"/>
  <c r="Z44" i="15"/>
  <c r="AC44" i="15"/>
  <c r="L44" i="15"/>
  <c r="F44" i="15"/>
  <c r="AB44" i="15"/>
  <c r="C44" i="15"/>
  <c r="H44" i="15"/>
  <c r="W44" i="15"/>
  <c r="G44" i="15"/>
  <c r="AF44" i="15"/>
  <c r="N44" i="15"/>
  <c r="J44" i="15"/>
  <c r="AH44" i="15"/>
  <c r="X44" i="15"/>
  <c r="Q44" i="15"/>
  <c r="S44" i="15"/>
  <c r="V44" i="15"/>
  <c r="JM264" i="10"/>
  <c r="A258" i="15"/>
  <c r="I307" i="15"/>
  <c r="AC307" i="15"/>
  <c r="C307" i="15"/>
  <c r="H307" i="15"/>
  <c r="F307" i="15"/>
  <c r="H296" i="20"/>
  <c r="D307" i="15"/>
  <c r="U307" i="15"/>
  <c r="L307" i="15"/>
  <c r="G307" i="15"/>
  <c r="S307" i="15"/>
  <c r="Q307" i="15"/>
  <c r="AD307" i="15"/>
  <c r="Z307" i="15"/>
  <c r="AI307" i="15"/>
  <c r="N307" i="15"/>
  <c r="V307" i="15"/>
  <c r="K307" i="15"/>
  <c r="M307" i="15"/>
  <c r="P307" i="15"/>
  <c r="J307" i="15"/>
  <c r="AG307" i="15"/>
  <c r="E307" i="15"/>
  <c r="AB307" i="15"/>
  <c r="X307" i="15"/>
  <c r="T307" i="15"/>
  <c r="AF307" i="15"/>
  <c r="Y307" i="15"/>
  <c r="R307" i="15"/>
  <c r="W307" i="15"/>
  <c r="AH307" i="15"/>
  <c r="AE307" i="15"/>
  <c r="T203" i="15"/>
  <c r="U203" i="15"/>
  <c r="N203" i="15"/>
  <c r="AH203" i="15"/>
  <c r="S203" i="15"/>
  <c r="L232" i="15"/>
  <c r="P232" i="15"/>
  <c r="I232" i="15"/>
  <c r="K232" i="15"/>
  <c r="X232" i="15"/>
  <c r="AH232" i="15"/>
  <c r="O232" i="15"/>
  <c r="V232" i="15"/>
  <c r="AI232" i="15"/>
  <c r="U232" i="15"/>
  <c r="W232" i="15"/>
  <c r="JM235" i="10"/>
  <c r="A229" i="15"/>
  <c r="A373" i="15"/>
  <c r="JM379" i="10"/>
  <c r="JM244" i="10"/>
  <c r="I180" i="15"/>
  <c r="O180" i="15"/>
  <c r="K180" i="15"/>
  <c r="AB180" i="15"/>
  <c r="J180" i="15"/>
  <c r="H180" i="15"/>
  <c r="P180" i="15"/>
  <c r="D180" i="15"/>
  <c r="F180" i="15"/>
  <c r="AD180" i="15"/>
  <c r="H169" i="20"/>
  <c r="AC180" i="15"/>
  <c r="AI180" i="15"/>
  <c r="M180" i="15"/>
  <c r="T180" i="15"/>
  <c r="V180" i="15"/>
  <c r="N180" i="15"/>
  <c r="AG180" i="15"/>
  <c r="AF180" i="15"/>
  <c r="C180" i="15"/>
  <c r="R180" i="15"/>
  <c r="AH180" i="15"/>
  <c r="Q180" i="15"/>
  <c r="S180" i="15"/>
  <c r="X180" i="15"/>
  <c r="AE180" i="15"/>
  <c r="G180" i="15"/>
  <c r="Y180" i="15"/>
  <c r="L371" i="15"/>
  <c r="P371" i="15"/>
  <c r="Q371" i="15"/>
  <c r="K371" i="15"/>
  <c r="AD371" i="15"/>
  <c r="T371" i="15"/>
  <c r="D371" i="15"/>
  <c r="M371" i="15"/>
  <c r="S371" i="15"/>
  <c r="H371" i="15"/>
  <c r="E371" i="15"/>
  <c r="R371" i="15"/>
  <c r="I371" i="15"/>
  <c r="AB371" i="15"/>
  <c r="U371" i="15"/>
  <c r="F371" i="15"/>
  <c r="J371" i="15"/>
  <c r="AA371" i="15"/>
  <c r="G371" i="15"/>
  <c r="AC371" i="15"/>
  <c r="AI371" i="15"/>
  <c r="Z371" i="15"/>
  <c r="W371" i="15"/>
  <c r="X371" i="15"/>
  <c r="AG371" i="15"/>
  <c r="AF371" i="15"/>
  <c r="V371" i="15"/>
  <c r="AE371" i="15"/>
  <c r="Y371" i="15"/>
  <c r="AH371" i="15"/>
  <c r="P305" i="15"/>
  <c r="V305" i="15"/>
  <c r="I305" i="15"/>
  <c r="AC305" i="15"/>
  <c r="AF305" i="15"/>
  <c r="AE305" i="15"/>
  <c r="J269" i="20"/>
  <c r="I269" i="20"/>
  <c r="K227" i="15"/>
  <c r="O227" i="15"/>
  <c r="C227" i="15"/>
  <c r="R227" i="15"/>
  <c r="H216" i="20"/>
  <c r="I216" i="20" s="1"/>
  <c r="D227" i="15"/>
  <c r="T227" i="15"/>
  <c r="M227" i="15"/>
  <c r="X227" i="15"/>
  <c r="H306" i="15"/>
  <c r="I306" i="15"/>
  <c r="L306" i="15"/>
  <c r="J306" i="15"/>
  <c r="V306" i="15"/>
  <c r="K306" i="15"/>
  <c r="AI306" i="15"/>
  <c r="F306" i="15"/>
  <c r="AB306" i="15"/>
  <c r="N306" i="15"/>
  <c r="AG306" i="15"/>
  <c r="AC306" i="15"/>
  <c r="X306" i="15"/>
  <c r="W306" i="15"/>
  <c r="Y306" i="15"/>
  <c r="AE306" i="15"/>
  <c r="AI325" i="15"/>
  <c r="S325" i="15"/>
  <c r="W325" i="15"/>
  <c r="AH325" i="15"/>
  <c r="Y325" i="15"/>
  <c r="R325" i="15"/>
  <c r="AE325" i="15"/>
  <c r="X325" i="15"/>
  <c r="J261" i="20"/>
  <c r="K261" i="20"/>
  <c r="I261" i="20"/>
  <c r="F150" i="15"/>
  <c r="E150" i="15"/>
  <c r="G150" i="15"/>
  <c r="H150" i="15"/>
  <c r="S150" i="15"/>
  <c r="I150" i="15"/>
  <c r="K150" i="15"/>
  <c r="AD150" i="15"/>
  <c r="AA150" i="15"/>
  <c r="V150" i="15"/>
  <c r="H139" i="20"/>
  <c r="I139" i="20" s="1"/>
  <c r="C150" i="15"/>
  <c r="AF150" i="15"/>
  <c r="AE150" i="15"/>
  <c r="Y150" i="15"/>
  <c r="AI150" i="15"/>
  <c r="AH150" i="15"/>
  <c r="W150" i="15"/>
  <c r="R150" i="15"/>
  <c r="AD96" i="15"/>
  <c r="V96" i="15"/>
  <c r="E96" i="15"/>
  <c r="K96" i="15"/>
  <c r="L96" i="15"/>
  <c r="O96" i="15"/>
  <c r="J96" i="15"/>
  <c r="AG96" i="15"/>
  <c r="H85" i="20"/>
  <c r="AF96" i="15"/>
  <c r="AA96" i="15"/>
  <c r="W96" i="15"/>
  <c r="X96" i="15"/>
  <c r="N96" i="15"/>
  <c r="J201" i="15"/>
  <c r="L201" i="15"/>
  <c r="S201" i="15"/>
  <c r="D201" i="15"/>
  <c r="P201" i="15"/>
  <c r="F201" i="15"/>
  <c r="V201" i="15"/>
  <c r="C201" i="15"/>
  <c r="U201" i="15"/>
  <c r="O201" i="15"/>
  <c r="Q201" i="15"/>
  <c r="N201" i="15"/>
  <c r="M201" i="15"/>
  <c r="G201" i="15"/>
  <c r="I201" i="15"/>
  <c r="AD201" i="15"/>
  <c r="K201" i="15"/>
  <c r="AA201" i="15"/>
  <c r="H190" i="20"/>
  <c r="AI201" i="15"/>
  <c r="E201" i="15"/>
  <c r="T201" i="15"/>
  <c r="Z201" i="15"/>
  <c r="H201" i="15"/>
  <c r="AC201" i="15"/>
  <c r="W201" i="15"/>
  <c r="AB201" i="15"/>
  <c r="AH201" i="15"/>
  <c r="X201" i="15"/>
  <c r="AF201" i="15"/>
  <c r="AG201" i="15"/>
  <c r="Y201" i="15"/>
  <c r="R201" i="15"/>
  <c r="AE201" i="15"/>
  <c r="U325" i="15"/>
  <c r="AC325" i="15"/>
  <c r="A53" i="15"/>
  <c r="JM59" i="10"/>
  <c r="V234" i="15"/>
  <c r="P234" i="15"/>
  <c r="S234" i="15"/>
  <c r="AD234" i="15"/>
  <c r="AB234" i="15"/>
  <c r="U234" i="15"/>
  <c r="AC234" i="15"/>
  <c r="H234" i="15"/>
  <c r="Z325" i="15"/>
  <c r="J325" i="15"/>
  <c r="A181" i="15"/>
  <c r="JM187" i="10"/>
  <c r="A162" i="15"/>
  <c r="M162" i="15" s="1"/>
  <c r="JM168" i="10"/>
  <c r="O59" i="15"/>
  <c r="N325" i="15"/>
  <c r="AD325" i="15"/>
  <c r="D325" i="15"/>
  <c r="T325" i="15"/>
  <c r="JM267" i="10"/>
  <c r="AG386" i="15"/>
  <c r="AB386" i="15"/>
  <c r="Y386" i="15"/>
  <c r="AH386" i="15"/>
  <c r="JM277" i="10"/>
  <c r="A271" i="15"/>
  <c r="H314" i="20"/>
  <c r="A310" i="15"/>
  <c r="S310" i="15" s="1"/>
  <c r="A151" i="15"/>
  <c r="JM157" i="10"/>
  <c r="JM265" i="10"/>
  <c r="A259" i="15"/>
  <c r="N259" i="15" s="1"/>
  <c r="A290" i="15"/>
  <c r="JM296" i="10"/>
  <c r="C129" i="15"/>
  <c r="D129" i="15"/>
  <c r="S129" i="15"/>
  <c r="E129" i="15"/>
  <c r="U129" i="15"/>
  <c r="H129" i="15"/>
  <c r="O129" i="15"/>
  <c r="J129" i="15"/>
  <c r="V129" i="15"/>
  <c r="G129" i="15"/>
  <c r="AC129" i="15"/>
  <c r="L129" i="15"/>
  <c r="I129" i="15"/>
  <c r="T129" i="15"/>
  <c r="M129" i="15"/>
  <c r="H118" i="20"/>
  <c r="K118" i="20" s="1"/>
  <c r="X129" i="15"/>
  <c r="AF129" i="15"/>
  <c r="W129" i="15"/>
  <c r="AH129" i="15"/>
  <c r="AE129" i="15"/>
  <c r="U45" i="15"/>
  <c r="O45" i="15"/>
  <c r="J45" i="15"/>
  <c r="AD45" i="15"/>
  <c r="K45" i="15"/>
  <c r="AB45" i="15"/>
  <c r="H45" i="15"/>
  <c r="X45" i="15"/>
  <c r="M45" i="15"/>
  <c r="V45" i="15"/>
  <c r="AC45" i="15"/>
  <c r="I45" i="15"/>
  <c r="R45" i="15"/>
  <c r="AE45" i="15"/>
  <c r="H34" i="20"/>
  <c r="Y45" i="15"/>
  <c r="Q45" i="15"/>
  <c r="F45" i="15"/>
  <c r="W45" i="15"/>
  <c r="T45" i="15"/>
  <c r="L45" i="15"/>
  <c r="G45" i="15"/>
  <c r="P45" i="15"/>
  <c r="E45" i="15"/>
  <c r="C45" i="15"/>
  <c r="Z45" i="15"/>
  <c r="N45" i="15"/>
  <c r="AA45" i="15"/>
  <c r="AG45" i="15"/>
  <c r="AF45" i="15"/>
  <c r="AI45" i="15"/>
  <c r="D45" i="15"/>
  <c r="S45" i="15"/>
  <c r="AH45" i="15"/>
  <c r="JM110" i="10"/>
  <c r="A104" i="15"/>
  <c r="Q104" i="15" s="1"/>
  <c r="D6" i="2"/>
  <c r="E325" i="15"/>
  <c r="F325" i="15"/>
  <c r="I59" i="15"/>
  <c r="JM212" i="10"/>
  <c r="A358" i="15"/>
  <c r="JM364" i="10"/>
  <c r="AA186" i="15"/>
  <c r="J186" i="15"/>
  <c r="V186" i="15"/>
  <c r="H175" i="20"/>
  <c r="I175" i="20" s="1"/>
  <c r="P186" i="15"/>
  <c r="N186" i="15"/>
  <c r="H186" i="15"/>
  <c r="F186" i="15"/>
  <c r="S186" i="15"/>
  <c r="G186" i="15"/>
  <c r="E186" i="15"/>
  <c r="AC186" i="15"/>
  <c r="K186" i="15"/>
  <c r="T186" i="15"/>
  <c r="X186" i="15"/>
  <c r="AH186" i="15"/>
  <c r="W186" i="15"/>
  <c r="AE186" i="15"/>
  <c r="D186" i="15"/>
  <c r="AI186" i="15"/>
  <c r="AD186" i="15"/>
  <c r="Q186" i="15"/>
  <c r="R186" i="15"/>
  <c r="Y186" i="15"/>
  <c r="I344" i="20"/>
  <c r="K344" i="20"/>
  <c r="J68" i="15"/>
  <c r="O68" i="15"/>
  <c r="AF68" i="15"/>
  <c r="C68" i="15"/>
  <c r="F68" i="15"/>
  <c r="P325" i="15"/>
  <c r="H325" i="15"/>
  <c r="A217" i="15"/>
  <c r="JM223" i="10"/>
  <c r="N263" i="15"/>
  <c r="Z263" i="15"/>
  <c r="Q263" i="15"/>
  <c r="H252" i="20"/>
  <c r="J252" i="20" s="1"/>
  <c r="D263" i="15"/>
  <c r="AC263" i="15"/>
  <c r="H263" i="15"/>
  <c r="G263" i="15"/>
  <c r="E263" i="15"/>
  <c r="J263" i="15"/>
  <c r="AB263" i="15"/>
  <c r="Y263" i="15"/>
  <c r="AH263" i="15"/>
  <c r="AE263" i="15"/>
  <c r="L263" i="15"/>
  <c r="K263" i="15"/>
  <c r="AF263" i="15"/>
  <c r="R263" i="15"/>
  <c r="O250" i="15"/>
  <c r="H250" i="15"/>
  <c r="C325" i="15"/>
  <c r="JM334" i="10"/>
  <c r="A328" i="15"/>
  <c r="JM151" i="10"/>
  <c r="A145" i="15"/>
  <c r="A111" i="15"/>
  <c r="JM117" i="10"/>
  <c r="G325" i="15"/>
  <c r="AD59" i="15"/>
  <c r="G303" i="15"/>
  <c r="H303" i="15"/>
  <c r="K303" i="15"/>
  <c r="D303" i="15"/>
  <c r="S303" i="15"/>
  <c r="H292" i="20"/>
  <c r="I303" i="15"/>
  <c r="AC303" i="15"/>
  <c r="J303" i="15"/>
  <c r="V303" i="15"/>
  <c r="AB303" i="15"/>
  <c r="L303" i="15"/>
  <c r="P303" i="15"/>
  <c r="O303" i="15"/>
  <c r="Q303" i="15"/>
  <c r="Y303" i="15"/>
  <c r="AH303" i="15"/>
  <c r="X303" i="15"/>
  <c r="AG303" i="15"/>
  <c r="W303" i="15"/>
  <c r="R303" i="15"/>
  <c r="AE303" i="15"/>
  <c r="AI303" i="15"/>
  <c r="AF303" i="15"/>
  <c r="A108" i="15"/>
  <c r="K108" i="15" s="1"/>
  <c r="JM114" i="10"/>
  <c r="F192" i="15"/>
  <c r="Q192" i="15"/>
  <c r="N192" i="15"/>
  <c r="E192" i="15"/>
  <c r="G192" i="15"/>
  <c r="I192" i="15"/>
  <c r="C192" i="15"/>
  <c r="V192" i="15"/>
  <c r="AB192" i="15"/>
  <c r="U192" i="15"/>
  <c r="H181" i="20"/>
  <c r="P192" i="15"/>
  <c r="J192" i="15"/>
  <c r="M192" i="15"/>
  <c r="L192" i="15"/>
  <c r="AD192" i="15"/>
  <c r="T192" i="15"/>
  <c r="Z192" i="15"/>
  <c r="AI192" i="15"/>
  <c r="S192" i="15"/>
  <c r="X192" i="15"/>
  <c r="AH192" i="15"/>
  <c r="AG192" i="15"/>
  <c r="AF192" i="15"/>
  <c r="Y192" i="15"/>
  <c r="W192" i="15"/>
  <c r="R192" i="15"/>
  <c r="AE192" i="15"/>
  <c r="A338" i="15"/>
  <c r="JM91" i="10"/>
  <c r="A85" i="15"/>
  <c r="F95" i="15"/>
  <c r="W95" i="15"/>
  <c r="JM365" i="10"/>
  <c r="A359" i="15"/>
  <c r="Q134" i="15"/>
  <c r="L134" i="15"/>
  <c r="G134" i="15"/>
  <c r="AD134" i="15"/>
  <c r="AB134" i="15"/>
  <c r="AF134" i="15"/>
  <c r="W134" i="15"/>
  <c r="Y134" i="15"/>
  <c r="J134" i="15"/>
  <c r="P134" i="15"/>
  <c r="AH134" i="15"/>
  <c r="E134" i="15"/>
  <c r="AF309" i="15"/>
  <c r="R309" i="15"/>
  <c r="AH309" i="15"/>
  <c r="I309" i="15"/>
  <c r="O309" i="15"/>
  <c r="AE309" i="15"/>
  <c r="W309" i="15"/>
  <c r="Y309" i="15"/>
  <c r="AC342" i="15"/>
  <c r="JM107" i="10"/>
  <c r="A101" i="15"/>
  <c r="F353" i="15"/>
  <c r="AB353" i="15"/>
  <c r="Q353" i="15"/>
  <c r="J353" i="15"/>
  <c r="S353" i="15"/>
  <c r="AC353" i="15"/>
  <c r="K353" i="15"/>
  <c r="I353" i="15"/>
  <c r="AA353" i="15"/>
  <c r="P353" i="15"/>
  <c r="D353" i="15"/>
  <c r="H342" i="20"/>
  <c r="AI353" i="15"/>
  <c r="AH353" i="15"/>
  <c r="W353" i="15"/>
  <c r="AE353" i="15"/>
  <c r="AF353" i="15"/>
  <c r="AG353" i="15"/>
  <c r="X353" i="15"/>
  <c r="A327" i="15"/>
  <c r="JM333" i="10"/>
  <c r="DG23" i="10"/>
  <c r="DI23" i="10"/>
  <c r="BR23" i="10"/>
  <c r="DE22" i="10"/>
  <c r="A277" i="15"/>
  <c r="JM283" i="10"/>
  <c r="E114" i="15"/>
  <c r="V114" i="15"/>
  <c r="J114" i="15"/>
  <c r="AB114" i="15"/>
  <c r="X114" i="15"/>
  <c r="K114" i="15"/>
  <c r="Z114" i="15"/>
  <c r="C114" i="15"/>
  <c r="AI114" i="15"/>
  <c r="H114" i="15"/>
  <c r="AG114" i="15"/>
  <c r="R114" i="15"/>
  <c r="A249" i="15"/>
  <c r="A225" i="15"/>
  <c r="JM231" i="10"/>
  <c r="J162" i="20"/>
  <c r="K162" i="20"/>
  <c r="G195" i="15"/>
  <c r="M146" i="15"/>
  <c r="AD146" i="15"/>
  <c r="U146" i="15"/>
  <c r="T146" i="15"/>
  <c r="H146" i="15"/>
  <c r="F146" i="15"/>
  <c r="L146" i="15"/>
  <c r="V146" i="15"/>
  <c r="AB146" i="15"/>
  <c r="O146" i="15"/>
  <c r="I146" i="15"/>
  <c r="AC146" i="15"/>
  <c r="E146" i="15"/>
  <c r="H135" i="20"/>
  <c r="K135" i="20" s="1"/>
  <c r="AA146" i="15"/>
  <c r="AI146" i="15"/>
  <c r="P146" i="15"/>
  <c r="D146" i="15"/>
  <c r="K146" i="15"/>
  <c r="S146" i="15"/>
  <c r="G146" i="15"/>
  <c r="N146" i="15"/>
  <c r="Q146" i="15"/>
  <c r="X146" i="15"/>
  <c r="Y146" i="15"/>
  <c r="AF146" i="15"/>
  <c r="R146" i="15"/>
  <c r="AG146" i="15"/>
  <c r="AH146" i="15"/>
  <c r="AE146" i="15"/>
  <c r="C146" i="15"/>
  <c r="J146" i="15"/>
  <c r="Z146" i="15"/>
  <c r="W146" i="15"/>
  <c r="J136" i="15"/>
  <c r="G136" i="15"/>
  <c r="N136" i="15"/>
  <c r="AI136" i="15"/>
  <c r="S136" i="15"/>
  <c r="Z136" i="15"/>
  <c r="K136" i="15"/>
  <c r="V136" i="15"/>
  <c r="AA136" i="15"/>
  <c r="T136" i="15"/>
  <c r="AD136" i="15"/>
  <c r="O136" i="15"/>
  <c r="L136" i="15"/>
  <c r="H125" i="20"/>
  <c r="U136" i="15"/>
  <c r="D136" i="15"/>
  <c r="M136" i="15"/>
  <c r="AE136" i="15"/>
  <c r="W136" i="15"/>
  <c r="R136" i="15"/>
  <c r="AB291" i="15"/>
  <c r="L291" i="15"/>
  <c r="T291" i="15"/>
  <c r="H280" i="20"/>
  <c r="D291" i="15"/>
  <c r="Q291" i="15"/>
  <c r="N291" i="15"/>
  <c r="U291" i="15"/>
  <c r="V291" i="15"/>
  <c r="E291" i="15"/>
  <c r="S291" i="15"/>
  <c r="X291" i="15"/>
  <c r="AD291" i="15"/>
  <c r="Z291" i="15"/>
  <c r="P291" i="15"/>
  <c r="G291" i="15"/>
  <c r="AC291" i="15"/>
  <c r="O291" i="15"/>
  <c r="C291" i="15"/>
  <c r="K291" i="15"/>
  <c r="F291" i="15"/>
  <c r="J291" i="15"/>
  <c r="M291" i="15"/>
  <c r="W291" i="15"/>
  <c r="H291" i="15"/>
  <c r="AA291" i="15"/>
  <c r="I291" i="15"/>
  <c r="AI291" i="15"/>
  <c r="AG291" i="15"/>
  <c r="AF291" i="15"/>
  <c r="R291" i="15"/>
  <c r="AE291" i="15"/>
  <c r="Y291" i="15"/>
  <c r="AH291" i="15"/>
  <c r="A130" i="15"/>
  <c r="JM136" i="10"/>
  <c r="A275" i="15"/>
  <c r="JM281" i="10"/>
  <c r="D302" i="15"/>
  <c r="U302" i="15"/>
  <c r="G302" i="15"/>
  <c r="N302" i="15"/>
  <c r="Q302" i="15"/>
  <c r="AA302" i="15"/>
  <c r="M302" i="15"/>
  <c r="F302" i="15"/>
  <c r="K302" i="15"/>
  <c r="H302" i="15"/>
  <c r="S302" i="15"/>
  <c r="AG302" i="15"/>
  <c r="H291" i="20"/>
  <c r="J302" i="15"/>
  <c r="AD302" i="15"/>
  <c r="C302" i="15"/>
  <c r="L302" i="15"/>
  <c r="AB302" i="15"/>
  <c r="I302" i="15"/>
  <c r="AI302" i="15"/>
  <c r="T302" i="15"/>
  <c r="Z302" i="15"/>
  <c r="E302" i="15"/>
  <c r="O302" i="15"/>
  <c r="Y302" i="15"/>
  <c r="AE302" i="15"/>
  <c r="R302" i="15"/>
  <c r="P302" i="15"/>
  <c r="V302" i="15"/>
  <c r="W302" i="15"/>
  <c r="AC302" i="15"/>
  <c r="X302" i="15"/>
  <c r="AH302" i="15"/>
  <c r="AF302" i="15"/>
  <c r="J243" i="20"/>
  <c r="K243" i="20"/>
  <c r="I243" i="20"/>
  <c r="C30" i="15"/>
  <c r="U30" i="15"/>
  <c r="I30" i="15"/>
  <c r="AA30" i="15"/>
  <c r="V30" i="15"/>
  <c r="N30" i="15"/>
  <c r="Z30" i="15"/>
  <c r="O30" i="15"/>
  <c r="E30" i="15"/>
  <c r="H19" i="20"/>
  <c r="K30" i="15"/>
  <c r="S30" i="15"/>
  <c r="M30" i="15"/>
  <c r="G30" i="15"/>
  <c r="AG30" i="15"/>
  <c r="Q30" i="15"/>
  <c r="R30" i="15"/>
  <c r="F30" i="15"/>
  <c r="AE30" i="15"/>
  <c r="H30" i="15"/>
  <c r="T30" i="15"/>
  <c r="X30" i="15"/>
  <c r="AH30" i="15"/>
  <c r="Y30" i="15"/>
  <c r="AI30" i="15"/>
  <c r="JM183" i="10"/>
  <c r="A177" i="15"/>
  <c r="A231" i="15"/>
  <c r="A207" i="15"/>
  <c r="JM213" i="10"/>
  <c r="H323" i="20"/>
  <c r="S334" i="15"/>
  <c r="H334" i="15"/>
  <c r="M334" i="15"/>
  <c r="U334" i="15"/>
  <c r="AI334" i="15"/>
  <c r="I334" i="15"/>
  <c r="Y334" i="15"/>
  <c r="R334" i="15"/>
  <c r="X334" i="15"/>
  <c r="AF334" i="15"/>
  <c r="AH334" i="15"/>
  <c r="W334" i="15"/>
  <c r="Z93" i="15"/>
  <c r="AD93" i="15"/>
  <c r="AH93" i="15"/>
  <c r="AE93" i="15"/>
  <c r="L93" i="15"/>
  <c r="AC93" i="15"/>
  <c r="H82" i="20"/>
  <c r="I82" i="20" s="1"/>
  <c r="E93" i="15"/>
  <c r="AF93" i="15"/>
  <c r="J93" i="15"/>
  <c r="JM221" i="10"/>
  <c r="A215" i="15"/>
  <c r="J244" i="20"/>
  <c r="K244" i="20"/>
  <c r="I244" i="20"/>
  <c r="I54" i="20"/>
  <c r="JM84" i="10"/>
  <c r="A78" i="15"/>
  <c r="A369" i="15"/>
  <c r="O369" i="15" s="1"/>
  <c r="A144" i="15"/>
  <c r="I144" i="15" s="1"/>
  <c r="JM150" i="10"/>
  <c r="D137" i="15"/>
  <c r="P137" i="15"/>
  <c r="M137" i="15"/>
  <c r="Q137" i="15"/>
  <c r="K137" i="15"/>
  <c r="AG137" i="15"/>
  <c r="I137" i="15"/>
  <c r="O137" i="15"/>
  <c r="Y137" i="15"/>
  <c r="JM200" i="10"/>
  <c r="A194" i="15"/>
  <c r="A171" i="15"/>
  <c r="JM177" i="10"/>
  <c r="H336" i="20"/>
  <c r="F347" i="15"/>
  <c r="L347" i="15"/>
  <c r="V347" i="15"/>
  <c r="AD347" i="15"/>
  <c r="AI347" i="15"/>
  <c r="E347" i="15"/>
  <c r="AA347" i="15"/>
  <c r="O347" i="15"/>
  <c r="J347" i="15"/>
  <c r="K347" i="15"/>
  <c r="Z347" i="15"/>
  <c r="H347" i="15"/>
  <c r="S347" i="15"/>
  <c r="JM290" i="10"/>
  <c r="A284" i="15"/>
  <c r="Q284" i="15" s="1"/>
  <c r="C297" i="15"/>
  <c r="H297" i="15"/>
  <c r="AC297" i="15"/>
  <c r="L297" i="15"/>
  <c r="D297" i="15"/>
  <c r="G297" i="15"/>
  <c r="O297" i="15"/>
  <c r="U297" i="15"/>
  <c r="I297" i="15"/>
  <c r="AA297" i="15"/>
  <c r="AB297" i="15"/>
  <c r="S297" i="15"/>
  <c r="E297" i="15"/>
  <c r="P297" i="15"/>
  <c r="AD297" i="15"/>
  <c r="X297" i="15"/>
  <c r="W297" i="15"/>
  <c r="AF297" i="15"/>
  <c r="R297" i="15"/>
  <c r="AG297" i="15"/>
  <c r="AH297" i="15"/>
  <c r="F301" i="15"/>
  <c r="AB301" i="15"/>
  <c r="I301" i="15"/>
  <c r="S301" i="15"/>
  <c r="H301" i="15"/>
  <c r="Q301" i="15"/>
  <c r="AA301" i="15"/>
  <c r="H290" i="20"/>
  <c r="J301" i="15"/>
  <c r="U301" i="15"/>
  <c r="P301" i="15"/>
  <c r="G301" i="15"/>
  <c r="E301" i="15"/>
  <c r="L301" i="15"/>
  <c r="Z301" i="15"/>
  <c r="X301" i="15"/>
  <c r="AC301" i="15"/>
  <c r="N301" i="15"/>
  <c r="K301" i="15"/>
  <c r="M301" i="15"/>
  <c r="D301" i="15"/>
  <c r="T301" i="15"/>
  <c r="W301" i="15"/>
  <c r="R301" i="15"/>
  <c r="AF301" i="15"/>
  <c r="AH301" i="15"/>
  <c r="C301" i="15"/>
  <c r="AG301" i="15"/>
  <c r="O301" i="15"/>
  <c r="AI301" i="15"/>
  <c r="V301" i="15"/>
  <c r="Y301" i="15"/>
  <c r="AD301" i="15"/>
  <c r="AE301" i="15"/>
  <c r="JM257" i="10"/>
  <c r="AI34" i="15"/>
  <c r="E34" i="15"/>
  <c r="K34" i="15"/>
  <c r="D34" i="15"/>
  <c r="Q34" i="15"/>
  <c r="H23" i="20"/>
  <c r="S34" i="15"/>
  <c r="AD34" i="15"/>
  <c r="V34" i="15"/>
  <c r="AC34" i="15"/>
  <c r="T34" i="15"/>
  <c r="R34" i="15"/>
  <c r="L34" i="15"/>
  <c r="AB34" i="15"/>
  <c r="J34" i="15"/>
  <c r="AF34" i="15"/>
  <c r="O34" i="15"/>
  <c r="AE34" i="15"/>
  <c r="AA34" i="15"/>
  <c r="AH34" i="15"/>
  <c r="G34" i="15"/>
  <c r="X34" i="15"/>
  <c r="Y34" i="15"/>
  <c r="AB385" i="15"/>
  <c r="V385" i="15"/>
  <c r="W139" i="15"/>
  <c r="AH139" i="15"/>
  <c r="J318" i="20"/>
  <c r="K318" i="20"/>
  <c r="I318" i="20"/>
  <c r="A283" i="15"/>
  <c r="JM289" i="10"/>
  <c r="C372" i="15"/>
  <c r="Z372" i="15"/>
  <c r="J372" i="15"/>
  <c r="F372" i="15"/>
  <c r="H372" i="15"/>
  <c r="X372" i="15"/>
  <c r="N372" i="15"/>
  <c r="I372" i="15"/>
  <c r="D372" i="15"/>
  <c r="M372" i="15"/>
  <c r="S372" i="15"/>
  <c r="E372" i="15"/>
  <c r="U372" i="15"/>
  <c r="AI372" i="15"/>
  <c r="G372" i="15"/>
  <c r="V372" i="15"/>
  <c r="AC372" i="15"/>
  <c r="AB372" i="15"/>
  <c r="L372" i="15"/>
  <c r="Y372" i="15"/>
  <c r="P372" i="15"/>
  <c r="Q372" i="15"/>
  <c r="AH372" i="15"/>
  <c r="O372" i="15"/>
  <c r="AG372" i="15"/>
  <c r="T372" i="15"/>
  <c r="AE372" i="15"/>
  <c r="W372" i="15"/>
  <c r="JM146" i="10"/>
  <c r="A286" i="15"/>
  <c r="JM292" i="10"/>
  <c r="C32" i="15"/>
  <c r="E32" i="15"/>
  <c r="S32" i="15"/>
  <c r="W32" i="15"/>
  <c r="N32" i="15"/>
  <c r="P32" i="15"/>
  <c r="AC32" i="15"/>
  <c r="K32" i="15"/>
  <c r="AG32" i="15"/>
  <c r="V32" i="15"/>
  <c r="AI32" i="15"/>
  <c r="T32" i="15"/>
  <c r="AA32" i="15"/>
  <c r="X32" i="15"/>
  <c r="J32" i="15"/>
  <c r="Q32" i="15"/>
  <c r="R32" i="15"/>
  <c r="H21" i="20"/>
  <c r="AD32" i="15"/>
  <c r="L32" i="15"/>
  <c r="AE32" i="15"/>
  <c r="D32" i="15"/>
  <c r="H32" i="15"/>
  <c r="I32" i="15"/>
  <c r="AF32" i="15"/>
  <c r="F32" i="15"/>
  <c r="O32" i="15"/>
  <c r="M32" i="15"/>
  <c r="Y32" i="15"/>
  <c r="Z32" i="15"/>
  <c r="G32" i="15"/>
  <c r="AB32" i="15"/>
  <c r="AH32" i="15"/>
  <c r="U32" i="15"/>
  <c r="A149" i="15"/>
  <c r="JM155" i="10"/>
  <c r="H341" i="15"/>
  <c r="U341" i="15"/>
  <c r="I341" i="15"/>
  <c r="Z341" i="15"/>
  <c r="V341" i="15"/>
  <c r="O341" i="15"/>
  <c r="T341" i="15"/>
  <c r="H330" i="20"/>
  <c r="D341" i="15"/>
  <c r="P341" i="15"/>
  <c r="M341" i="15"/>
  <c r="E341" i="15"/>
  <c r="AA341" i="15"/>
  <c r="N341" i="15"/>
  <c r="R341" i="15"/>
  <c r="AF341" i="15"/>
  <c r="L341" i="15"/>
  <c r="G341" i="15"/>
  <c r="AE341" i="15"/>
  <c r="AG341" i="15"/>
  <c r="F191" i="15"/>
  <c r="L191" i="15"/>
  <c r="AC191" i="15"/>
  <c r="G191" i="15"/>
  <c r="S191" i="15"/>
  <c r="M191" i="15"/>
  <c r="P191" i="15"/>
  <c r="Z191" i="15"/>
  <c r="U191" i="15"/>
  <c r="O191" i="15"/>
  <c r="V191" i="15"/>
  <c r="AB191" i="15"/>
  <c r="AA191" i="15"/>
  <c r="AD191" i="15"/>
  <c r="D191" i="15"/>
  <c r="J191" i="15"/>
  <c r="H180" i="20"/>
  <c r="J180" i="20" s="1"/>
  <c r="K191" i="15"/>
  <c r="E191" i="15"/>
  <c r="H191" i="15"/>
  <c r="Q191" i="15"/>
  <c r="N191" i="15"/>
  <c r="C191" i="15"/>
  <c r="I191" i="15"/>
  <c r="AI191" i="15"/>
  <c r="AH191" i="15"/>
  <c r="AG191" i="15"/>
  <c r="Y191" i="15"/>
  <c r="X191" i="15"/>
  <c r="R191" i="15"/>
  <c r="T191" i="15"/>
  <c r="W191" i="15"/>
  <c r="AE191" i="15"/>
  <c r="AF191" i="15"/>
  <c r="JM276" i="10"/>
  <c r="A270" i="15"/>
  <c r="Q154" i="15"/>
  <c r="N154" i="15"/>
  <c r="E154" i="15"/>
  <c r="I154" i="15"/>
  <c r="S154" i="15"/>
  <c r="H154" i="15"/>
  <c r="AA154" i="15"/>
  <c r="M154" i="15"/>
  <c r="Y154" i="15"/>
  <c r="AF154" i="15"/>
  <c r="M155" i="15"/>
  <c r="S155" i="15"/>
  <c r="O155" i="15"/>
  <c r="T155" i="15"/>
  <c r="AD155" i="15"/>
  <c r="Z155" i="15"/>
  <c r="H144" i="20"/>
  <c r="J144" i="20" s="1"/>
  <c r="D155" i="15"/>
  <c r="AA155" i="15"/>
  <c r="U155" i="15"/>
  <c r="G155" i="15"/>
  <c r="AC155" i="15"/>
  <c r="N155" i="15"/>
  <c r="AI155" i="15"/>
  <c r="H155" i="15"/>
  <c r="P155" i="15"/>
  <c r="AH155" i="15"/>
  <c r="AF155" i="15"/>
  <c r="AG155" i="15"/>
  <c r="W155" i="15"/>
  <c r="R155" i="15"/>
  <c r="Y155" i="15"/>
  <c r="AE155" i="15"/>
  <c r="L155" i="15"/>
  <c r="AD384" i="15"/>
  <c r="R384" i="15"/>
  <c r="N384" i="15"/>
  <c r="AF384" i="15"/>
  <c r="F188" i="15"/>
  <c r="M188" i="15"/>
  <c r="X188" i="15"/>
  <c r="AI188" i="15"/>
  <c r="AF188" i="15"/>
  <c r="R188" i="15"/>
  <c r="Y188" i="15"/>
  <c r="H267" i="15"/>
  <c r="P267" i="15"/>
  <c r="K267" i="15"/>
  <c r="AD267" i="15"/>
  <c r="I267" i="15"/>
  <c r="J267" i="15"/>
  <c r="D267" i="15"/>
  <c r="Q267" i="15"/>
  <c r="U267" i="15"/>
  <c r="E267" i="15"/>
  <c r="H256" i="20"/>
  <c r="T267" i="15"/>
  <c r="C267" i="15"/>
  <c r="AA267" i="15"/>
  <c r="W267" i="15"/>
  <c r="X267" i="15"/>
  <c r="AE267" i="15"/>
  <c r="Y267" i="15"/>
  <c r="Z267" i="15"/>
  <c r="N267" i="15"/>
  <c r="S267" i="15"/>
  <c r="JM148" i="10"/>
  <c r="A142" i="15"/>
  <c r="F156" i="15"/>
  <c r="Q156" i="15"/>
  <c r="C156" i="15"/>
  <c r="O156" i="15"/>
  <c r="U156" i="15"/>
  <c r="E156" i="15"/>
  <c r="AD156" i="15"/>
  <c r="P156" i="15"/>
  <c r="N156" i="15"/>
  <c r="V156" i="15"/>
  <c r="AB156" i="15"/>
  <c r="K156" i="15"/>
  <c r="T156" i="15"/>
  <c r="M156" i="15"/>
  <c r="H156" i="15"/>
  <c r="L156" i="15"/>
  <c r="AC156" i="15"/>
  <c r="S156" i="15"/>
  <c r="AA156" i="15"/>
  <c r="I156" i="15"/>
  <c r="H145" i="20"/>
  <c r="K145" i="20" s="1"/>
  <c r="AG156" i="15"/>
  <c r="J156" i="15"/>
  <c r="W156" i="15"/>
  <c r="AI156" i="15"/>
  <c r="D156" i="15"/>
  <c r="Z156" i="15"/>
  <c r="G156" i="15"/>
  <c r="X156" i="15"/>
  <c r="AF156" i="15"/>
  <c r="R156" i="15"/>
  <c r="Y156" i="15"/>
  <c r="AH156" i="15"/>
  <c r="AE156" i="15"/>
  <c r="AB27" i="15"/>
  <c r="W27" i="15"/>
  <c r="N27" i="15"/>
  <c r="C27" i="15"/>
  <c r="P27" i="15"/>
  <c r="AF27" i="15"/>
  <c r="H16" i="20"/>
  <c r="K16" i="20" s="1"/>
  <c r="T27" i="15"/>
  <c r="K27" i="15"/>
  <c r="AE27" i="15"/>
  <c r="AI27" i="15"/>
  <c r="I27" i="15"/>
  <c r="F27" i="15"/>
  <c r="AG27" i="15"/>
  <c r="S27" i="15"/>
  <c r="G27" i="15"/>
  <c r="D27" i="15"/>
  <c r="V27" i="15"/>
  <c r="Z27" i="15"/>
  <c r="H27" i="15"/>
  <c r="AH27" i="15"/>
  <c r="M27" i="15"/>
  <c r="E27" i="15"/>
  <c r="L27" i="15"/>
  <c r="AD27" i="15"/>
  <c r="Y27" i="15"/>
  <c r="O27" i="15"/>
  <c r="R27" i="15"/>
  <c r="IY23" i="10"/>
  <c r="DE23" i="10"/>
  <c r="IU23" i="10"/>
  <c r="GK22" i="10"/>
  <c r="JN22" i="10"/>
  <c r="DG22" i="10"/>
  <c r="DI22" i="10"/>
  <c r="BR22" i="10"/>
  <c r="HX22" i="10"/>
  <c r="IY22" i="10"/>
  <c r="K8" i="2"/>
  <c r="O32" i="2"/>
  <c r="U34" i="2"/>
  <c r="IU22" i="10"/>
  <c r="LC26" i="10"/>
  <c r="DE26" i="10"/>
  <c r="BN26" i="10"/>
  <c r="JM26" i="10" s="1"/>
  <c r="EF26" i="10"/>
  <c r="EG26" i="10"/>
  <c r="HX25" i="10"/>
  <c r="IN25" i="10"/>
  <c r="JA25" i="10"/>
  <c r="EA26" i="10"/>
  <c r="EB26" i="10"/>
  <c r="DX26" i="10"/>
  <c r="DY26" i="10"/>
  <c r="ED26" i="10"/>
  <c r="EM26" i="10"/>
  <c r="IZ26" i="10"/>
  <c r="BT26" i="10"/>
  <c r="LD26" i="10"/>
  <c r="LA26" i="10"/>
  <c r="II26" i="10"/>
  <c r="IM26" i="10"/>
  <c r="IN26" i="10"/>
  <c r="JA26" i="10"/>
  <c r="LI26" i="10"/>
  <c r="JN26" i="10"/>
  <c r="JP26" i="10"/>
  <c r="LC25" i="10"/>
  <c r="DE25" i="10"/>
  <c r="DG25" i="10"/>
  <c r="DI25" i="10"/>
  <c r="BS25" i="10"/>
  <c r="Q25" i="10"/>
  <c r="DZ25" i="10"/>
  <c r="EE25" i="10"/>
  <c r="IM25" i="10"/>
  <c r="IY25" i="10"/>
  <c r="P318" i="15"/>
  <c r="AG318" i="15"/>
  <c r="N318" i="15"/>
  <c r="H318" i="15"/>
  <c r="I318" i="15"/>
  <c r="D318" i="15"/>
  <c r="Z318" i="15"/>
  <c r="AB318" i="15"/>
  <c r="C204" i="15"/>
  <c r="AD204" i="15"/>
  <c r="W318" i="15"/>
  <c r="I179" i="20"/>
  <c r="K173" i="20"/>
  <c r="AD342" i="15"/>
  <c r="U342" i="15"/>
  <c r="Y323" i="15"/>
  <c r="AH323" i="15"/>
  <c r="R323" i="15"/>
  <c r="F323" i="15"/>
  <c r="AE323" i="15"/>
  <c r="AF323" i="15"/>
  <c r="W323" i="15"/>
  <c r="N323" i="15"/>
  <c r="T323" i="15"/>
  <c r="I323" i="15"/>
  <c r="E323" i="15"/>
  <c r="AI323" i="15"/>
  <c r="K323" i="15"/>
  <c r="S323" i="15"/>
  <c r="P323" i="15"/>
  <c r="J185" i="20"/>
  <c r="K185" i="20"/>
  <c r="I185" i="20"/>
  <c r="X342" i="15"/>
  <c r="J342" i="15"/>
  <c r="K342" i="15"/>
  <c r="AE342" i="15"/>
  <c r="AB342" i="15"/>
  <c r="H331" i="20"/>
  <c r="M62" i="15"/>
  <c r="U62" i="15"/>
  <c r="E62" i="15"/>
  <c r="AD62" i="15"/>
  <c r="J62" i="15"/>
  <c r="Z62" i="15"/>
  <c r="R237" i="15"/>
  <c r="Y237" i="15"/>
  <c r="AF237" i="15"/>
  <c r="X237" i="15"/>
  <c r="W237" i="15"/>
  <c r="S237" i="15"/>
  <c r="AE237" i="15"/>
  <c r="AB237" i="15"/>
  <c r="AA237" i="15"/>
  <c r="Q237" i="15"/>
  <c r="M237" i="15"/>
  <c r="H226" i="20"/>
  <c r="N237" i="15"/>
  <c r="J237" i="15"/>
  <c r="V237" i="15"/>
  <c r="T237" i="15"/>
  <c r="K237" i="15"/>
  <c r="I237" i="15"/>
  <c r="C237" i="15"/>
  <c r="L237" i="15"/>
  <c r="AC237" i="15"/>
  <c r="G237" i="15"/>
  <c r="H237" i="15"/>
  <c r="Q342" i="15"/>
  <c r="S342" i="15"/>
  <c r="AH378" i="15"/>
  <c r="U378" i="15"/>
  <c r="AF378" i="15"/>
  <c r="K378" i="15"/>
  <c r="C378" i="15"/>
  <c r="F378" i="15"/>
  <c r="AC378" i="15"/>
  <c r="Q378" i="15"/>
  <c r="P378" i="15"/>
  <c r="E378" i="15"/>
  <c r="H378" i="15"/>
  <c r="V378" i="15"/>
  <c r="AD378" i="15"/>
  <c r="M378" i="15"/>
  <c r="O378" i="15"/>
  <c r="G378" i="15"/>
  <c r="D378" i="15"/>
  <c r="X378" i="15"/>
  <c r="J378" i="15"/>
  <c r="AI378" i="15"/>
  <c r="H367" i="20"/>
  <c r="I367" i="20" s="1"/>
  <c r="S378" i="15"/>
  <c r="AA378" i="15"/>
  <c r="H342" i="15"/>
  <c r="W342" i="15"/>
  <c r="I342" i="15"/>
  <c r="AH342" i="15"/>
  <c r="C342" i="15"/>
  <c r="L342" i="15"/>
  <c r="O342" i="15"/>
  <c r="U175" i="15"/>
  <c r="I175" i="15"/>
  <c r="AB175" i="15"/>
  <c r="Z175" i="15"/>
  <c r="AA175" i="15"/>
  <c r="J175" i="15"/>
  <c r="Q175" i="15"/>
  <c r="E175" i="15"/>
  <c r="V175" i="15"/>
  <c r="AF175" i="15"/>
  <c r="M175" i="15"/>
  <c r="AI175" i="15"/>
  <c r="AE175" i="15"/>
  <c r="H164" i="20"/>
  <c r="I164" i="20" s="1"/>
  <c r="T175" i="15"/>
  <c r="AC175" i="15"/>
  <c r="AG175" i="15"/>
  <c r="Y175" i="15"/>
  <c r="X175" i="15"/>
  <c r="R175" i="15"/>
  <c r="S175" i="15"/>
  <c r="H175" i="15"/>
  <c r="AH175" i="15"/>
  <c r="W175" i="15"/>
  <c r="N175" i="15"/>
  <c r="K175" i="15"/>
  <c r="C175" i="15"/>
  <c r="F175" i="15"/>
  <c r="AD175" i="15"/>
  <c r="O175" i="15"/>
  <c r="P175" i="15"/>
  <c r="L175" i="15"/>
  <c r="D175" i="15"/>
  <c r="G175" i="15"/>
  <c r="K60" i="20"/>
  <c r="I60" i="20"/>
  <c r="K271" i="20"/>
  <c r="I271" i="20"/>
  <c r="J271" i="20"/>
  <c r="R372" i="15"/>
  <c r="K372" i="15"/>
  <c r="D342" i="15"/>
  <c r="F342" i="15"/>
  <c r="I158" i="20"/>
  <c r="X239" i="15"/>
  <c r="R239" i="15"/>
  <c r="W239" i="15"/>
  <c r="AI239" i="15"/>
  <c r="AF239" i="15"/>
  <c r="AH239" i="15"/>
  <c r="N239" i="15"/>
  <c r="Y239" i="15"/>
  <c r="AE239" i="15"/>
  <c r="AG239" i="15"/>
  <c r="AC239" i="15"/>
  <c r="M239" i="15"/>
  <c r="AD239" i="15"/>
  <c r="H239" i="15"/>
  <c r="P239" i="15"/>
  <c r="S239" i="15"/>
  <c r="F239" i="15"/>
  <c r="Z239" i="15"/>
  <c r="C239" i="15"/>
  <c r="U239" i="15"/>
  <c r="D239" i="15"/>
  <c r="J239" i="15"/>
  <c r="I239" i="15"/>
  <c r="H228" i="20"/>
  <c r="J228" i="20" s="1"/>
  <c r="K239" i="15"/>
  <c r="L239" i="15"/>
  <c r="Q239" i="15"/>
  <c r="E239" i="15"/>
  <c r="G239" i="15"/>
  <c r="O239" i="15"/>
  <c r="AB239" i="15"/>
  <c r="AA239" i="15"/>
  <c r="V239" i="15"/>
  <c r="T239" i="15"/>
  <c r="AA342" i="15"/>
  <c r="R342" i="15"/>
  <c r="E342" i="15"/>
  <c r="H361" i="20"/>
  <c r="J361" i="20" s="1"/>
  <c r="AD372" i="15"/>
  <c r="Y342" i="15"/>
  <c r="J158" i="20"/>
  <c r="M342" i="15"/>
  <c r="I265" i="20"/>
  <c r="I231" i="20"/>
  <c r="K231" i="20"/>
  <c r="J231" i="20"/>
  <c r="I191" i="20"/>
  <c r="K191" i="20"/>
  <c r="J191" i="20"/>
  <c r="AI342" i="15"/>
  <c r="T308" i="15"/>
  <c r="AA308" i="15"/>
  <c r="D308" i="15"/>
  <c r="X308" i="15"/>
  <c r="W308" i="15"/>
  <c r="AC308" i="15"/>
  <c r="V308" i="15"/>
  <c r="I308" i="15"/>
  <c r="H308" i="15"/>
  <c r="G308" i="15"/>
  <c r="R308" i="15"/>
  <c r="AG308" i="15"/>
  <c r="K308" i="15"/>
  <c r="L308" i="15"/>
  <c r="F308" i="15"/>
  <c r="P342" i="15"/>
  <c r="AF372" i="15"/>
  <c r="T342" i="15"/>
  <c r="I320" i="20"/>
  <c r="D375" i="15"/>
  <c r="H335" i="15"/>
  <c r="L335" i="15"/>
  <c r="S335" i="15"/>
  <c r="AG335" i="15"/>
  <c r="X335" i="15"/>
  <c r="W335" i="15"/>
  <c r="Y335" i="15"/>
  <c r="AE335" i="15"/>
  <c r="R335" i="15"/>
  <c r="T335" i="15"/>
  <c r="AC335" i="15"/>
  <c r="V335" i="15"/>
  <c r="AF335" i="15"/>
  <c r="AH335" i="15"/>
  <c r="I335" i="15"/>
  <c r="C335" i="15"/>
  <c r="E335" i="15"/>
  <c r="H324" i="20"/>
  <c r="J335" i="15"/>
  <c r="O335" i="15"/>
  <c r="Z335" i="15"/>
  <c r="AI335" i="15"/>
  <c r="D335" i="15"/>
  <c r="M335" i="15"/>
  <c r="U335" i="15"/>
  <c r="AA335" i="15"/>
  <c r="G335" i="15"/>
  <c r="Q335" i="15"/>
  <c r="I288" i="20"/>
  <c r="J288" i="20"/>
  <c r="I39" i="20"/>
  <c r="K39" i="20"/>
  <c r="J39" i="20"/>
  <c r="C61" i="15"/>
  <c r="X61" i="15"/>
  <c r="AA61" i="15"/>
  <c r="K61" i="15"/>
  <c r="S61" i="15"/>
  <c r="N61" i="15"/>
  <c r="H61" i="15"/>
  <c r="AB61" i="15"/>
  <c r="E296" i="15"/>
  <c r="Q296" i="15"/>
  <c r="S296" i="15"/>
  <c r="D296" i="15"/>
  <c r="O296" i="15"/>
  <c r="R296" i="15"/>
  <c r="K296" i="15"/>
  <c r="N296" i="15"/>
  <c r="AB296" i="15"/>
  <c r="AG132" i="15"/>
  <c r="AA132" i="15"/>
  <c r="Q132" i="15"/>
  <c r="R132" i="15"/>
  <c r="AI132" i="15"/>
  <c r="X132" i="15"/>
  <c r="AB132" i="15"/>
  <c r="AH132" i="15"/>
  <c r="AF132" i="15"/>
  <c r="W132" i="15"/>
  <c r="Y132" i="15"/>
  <c r="AC132" i="15"/>
  <c r="Z132" i="15"/>
  <c r="K132" i="15"/>
  <c r="I132" i="15"/>
  <c r="S132" i="15"/>
  <c r="M132" i="15"/>
  <c r="O132" i="15"/>
  <c r="T132" i="15"/>
  <c r="U132" i="15"/>
  <c r="AD132" i="15"/>
  <c r="J132" i="15"/>
  <c r="L132" i="15"/>
  <c r="P132" i="15"/>
  <c r="G132" i="15"/>
  <c r="T110" i="15"/>
  <c r="X110" i="15"/>
  <c r="O110" i="15"/>
  <c r="N110" i="15"/>
  <c r="W110" i="15"/>
  <c r="J110" i="15"/>
  <c r="AI110" i="15"/>
  <c r="Y110" i="15"/>
  <c r="R110" i="15"/>
  <c r="AF110" i="15"/>
  <c r="AE110" i="15"/>
  <c r="L110" i="15"/>
  <c r="E110" i="15"/>
  <c r="U110" i="15"/>
  <c r="V110" i="15"/>
  <c r="P193" i="15"/>
  <c r="E193" i="15"/>
  <c r="H193" i="15"/>
  <c r="L193" i="15"/>
  <c r="H182" i="20"/>
  <c r="M193" i="15"/>
  <c r="J193" i="15"/>
  <c r="N193" i="15"/>
  <c r="S193" i="15"/>
  <c r="D193" i="15"/>
  <c r="I193" i="15"/>
  <c r="AE193" i="15"/>
  <c r="AH193" i="15"/>
  <c r="Y193" i="15"/>
  <c r="F193" i="15"/>
  <c r="AI193" i="15"/>
  <c r="AF193" i="15"/>
  <c r="W193" i="15"/>
  <c r="X193" i="15"/>
  <c r="M247" i="15"/>
  <c r="H247" i="15"/>
  <c r="AC247" i="15"/>
  <c r="I247" i="15"/>
  <c r="J247" i="15"/>
  <c r="K247" i="15"/>
  <c r="T247" i="15"/>
  <c r="AB247" i="15"/>
  <c r="Q247" i="15"/>
  <c r="X247" i="15"/>
  <c r="U247" i="15"/>
  <c r="G247" i="15"/>
  <c r="AA247" i="15"/>
  <c r="Z247" i="15"/>
  <c r="N247" i="15"/>
  <c r="E247" i="15"/>
  <c r="AD247" i="15"/>
  <c r="AG247" i="15"/>
  <c r="AH247" i="15"/>
  <c r="Y247" i="15"/>
  <c r="AF247" i="15"/>
  <c r="W247" i="15"/>
  <c r="S247" i="15"/>
  <c r="H236" i="20"/>
  <c r="P247" i="15"/>
  <c r="AI247" i="15"/>
  <c r="V247" i="15"/>
  <c r="AE247" i="15"/>
  <c r="F247" i="15"/>
  <c r="R247" i="15"/>
  <c r="L247" i="15"/>
  <c r="D247" i="15"/>
  <c r="C247" i="15"/>
  <c r="O247" i="15"/>
  <c r="Y348" i="15"/>
  <c r="N348" i="15"/>
  <c r="H348" i="15"/>
  <c r="AB348" i="15"/>
  <c r="G348" i="15"/>
  <c r="Q348" i="15"/>
  <c r="T348" i="15"/>
  <c r="L348" i="15"/>
  <c r="AG348" i="15"/>
  <c r="AA348" i="15"/>
  <c r="U348" i="15"/>
  <c r="I350" i="20"/>
  <c r="I121" i="15"/>
  <c r="H121" i="15"/>
  <c r="AA121" i="15"/>
  <c r="V121" i="15"/>
  <c r="W121" i="15"/>
  <c r="AB121" i="15"/>
  <c r="J121" i="15"/>
  <c r="P121" i="15"/>
  <c r="G121" i="15"/>
  <c r="M121" i="15"/>
  <c r="AD121" i="15"/>
  <c r="AH121" i="15"/>
  <c r="AG121" i="15"/>
  <c r="F121" i="15"/>
  <c r="J202" i="20"/>
  <c r="R375" i="15"/>
  <c r="V322" i="15"/>
  <c r="P322" i="15"/>
  <c r="Z322" i="15"/>
  <c r="M322" i="15"/>
  <c r="H311" i="20"/>
  <c r="AB322" i="15"/>
  <c r="AF322" i="15"/>
  <c r="Z342" i="15"/>
  <c r="N342" i="15"/>
  <c r="I351" i="20"/>
  <c r="J52" i="20"/>
  <c r="K52" i="20"/>
  <c r="G287" i="15"/>
  <c r="H287" i="15"/>
  <c r="P287" i="15"/>
  <c r="V287" i="15"/>
  <c r="U287" i="15"/>
  <c r="Z287" i="15"/>
  <c r="S287" i="15"/>
  <c r="AI287" i="15"/>
  <c r="H276" i="20"/>
  <c r="AE287" i="15"/>
  <c r="E287" i="15"/>
  <c r="C287" i="15"/>
  <c r="X287" i="15"/>
  <c r="L223" i="15"/>
  <c r="W223" i="15"/>
  <c r="AG223" i="15"/>
  <c r="R223" i="15"/>
  <c r="AF223" i="15"/>
  <c r="AH223" i="15"/>
  <c r="AE223" i="15"/>
  <c r="Y223" i="15"/>
  <c r="S223" i="15"/>
  <c r="AD223" i="15"/>
  <c r="AI223" i="15"/>
  <c r="U223" i="15"/>
  <c r="G223" i="15"/>
  <c r="H223" i="15"/>
  <c r="Q223" i="15"/>
  <c r="E223" i="15"/>
  <c r="K223" i="15"/>
  <c r="M223" i="15"/>
  <c r="Z223" i="15"/>
  <c r="D223" i="15"/>
  <c r="H212" i="20"/>
  <c r="I223" i="15"/>
  <c r="P223" i="15"/>
  <c r="J223" i="15"/>
  <c r="AH274" i="15"/>
  <c r="W274" i="15"/>
  <c r="R274" i="15"/>
  <c r="AF274" i="15"/>
  <c r="AE274" i="15"/>
  <c r="Y274" i="15"/>
  <c r="V274" i="15"/>
  <c r="Q274" i="15"/>
  <c r="M274" i="15"/>
  <c r="K274" i="15"/>
  <c r="C274" i="15"/>
  <c r="E274" i="15"/>
  <c r="U274" i="15"/>
  <c r="AI274" i="15"/>
  <c r="P274" i="15"/>
  <c r="AD274" i="15"/>
  <c r="AG274" i="15"/>
  <c r="Z274" i="15"/>
  <c r="AC274" i="15"/>
  <c r="H274" i="15"/>
  <c r="AB274" i="15"/>
  <c r="J274" i="15"/>
  <c r="N274" i="15"/>
  <c r="D274" i="15"/>
  <c r="F274" i="15"/>
  <c r="G274" i="15"/>
  <c r="L274" i="15"/>
  <c r="X274" i="15"/>
  <c r="H263" i="20"/>
  <c r="AA274" i="15"/>
  <c r="S274" i="15"/>
  <c r="T274" i="15"/>
  <c r="I274" i="15"/>
  <c r="O274" i="15"/>
  <c r="K147" i="20"/>
  <c r="I147" i="20"/>
  <c r="J147" i="20"/>
  <c r="AF342" i="15"/>
  <c r="V342" i="15"/>
  <c r="H364" i="20"/>
  <c r="I75" i="20"/>
  <c r="J75" i="20"/>
  <c r="K75" i="20"/>
  <c r="M356" i="15"/>
  <c r="N356" i="15"/>
  <c r="Q356" i="15"/>
  <c r="J356" i="15"/>
  <c r="F356" i="15"/>
  <c r="AA356" i="15"/>
  <c r="AB356" i="15"/>
  <c r="AC356" i="15"/>
  <c r="O356" i="15"/>
  <c r="K356" i="15"/>
  <c r="R356" i="15"/>
  <c r="Y356" i="15"/>
  <c r="AF356" i="15"/>
  <c r="AG356" i="15"/>
  <c r="AH356" i="15"/>
  <c r="L356" i="15"/>
  <c r="I356" i="15"/>
  <c r="Z356" i="15"/>
  <c r="V356" i="15"/>
  <c r="AE356" i="15"/>
  <c r="AD356" i="15"/>
  <c r="T356" i="15"/>
  <c r="G356" i="15"/>
  <c r="D356" i="15"/>
  <c r="H356" i="15"/>
  <c r="C356" i="15"/>
  <c r="E356" i="15"/>
  <c r="H345" i="20"/>
  <c r="K187" i="20"/>
  <c r="I187" i="20"/>
  <c r="J187" i="20"/>
  <c r="Q289" i="15"/>
  <c r="AC289" i="15"/>
  <c r="AH289" i="15"/>
  <c r="D289" i="15"/>
  <c r="E269" i="15"/>
  <c r="C269" i="15"/>
  <c r="H258" i="20"/>
  <c r="I258" i="20" s="1"/>
  <c r="K269" i="15"/>
  <c r="H269" i="15"/>
  <c r="N269" i="15"/>
  <c r="U176" i="15"/>
  <c r="I176" i="15"/>
  <c r="K176" i="15"/>
  <c r="G176" i="15"/>
  <c r="Q176" i="15"/>
  <c r="N176" i="15"/>
  <c r="T176" i="15"/>
  <c r="AC176" i="15"/>
  <c r="J176" i="15"/>
  <c r="C176" i="15"/>
  <c r="S176" i="15"/>
  <c r="AI176" i="15"/>
  <c r="R176" i="15"/>
  <c r="V176" i="15"/>
  <c r="O176" i="15"/>
  <c r="AG176" i="15"/>
  <c r="P176" i="15"/>
  <c r="AD176" i="15"/>
  <c r="W176" i="15"/>
  <c r="M176" i="15"/>
  <c r="AA176" i="15"/>
  <c r="Y176" i="15"/>
  <c r="AE176" i="15"/>
  <c r="F176" i="15"/>
  <c r="AH176" i="15"/>
  <c r="D176" i="15"/>
  <c r="L176" i="15"/>
  <c r="Z176" i="15"/>
  <c r="AG342" i="15"/>
  <c r="K375" i="15"/>
  <c r="O214" i="15"/>
  <c r="G214" i="15"/>
  <c r="AF214" i="15"/>
  <c r="W214" i="15"/>
  <c r="Y214" i="15"/>
  <c r="AE214" i="15"/>
  <c r="R214" i="15"/>
  <c r="X214" i="15"/>
  <c r="S214" i="15"/>
  <c r="AA214" i="15"/>
  <c r="AD214" i="15"/>
  <c r="AI214" i="15"/>
  <c r="N214" i="15"/>
  <c r="I214" i="15"/>
  <c r="AG214" i="15"/>
  <c r="P214" i="15"/>
  <c r="J214" i="15"/>
  <c r="U214" i="15"/>
  <c r="E214" i="15"/>
  <c r="D214" i="15"/>
  <c r="AC214" i="15"/>
  <c r="F214" i="15"/>
  <c r="J315" i="20"/>
  <c r="I315" i="20"/>
  <c r="N344" i="15"/>
  <c r="C344" i="15"/>
  <c r="E344" i="15"/>
  <c r="I344" i="15"/>
  <c r="V344" i="15"/>
  <c r="X344" i="15"/>
  <c r="AF344" i="15"/>
  <c r="AA344" i="15"/>
  <c r="H344" i="15"/>
  <c r="R344" i="15"/>
  <c r="Y344" i="15"/>
  <c r="AH344" i="15"/>
  <c r="AD344" i="15"/>
  <c r="D344" i="15"/>
  <c r="W344" i="15"/>
  <c r="AE344" i="15"/>
  <c r="M344" i="15"/>
  <c r="O344" i="15"/>
  <c r="AB344" i="15"/>
  <c r="H333" i="20"/>
  <c r="J344" i="15"/>
  <c r="K344" i="15"/>
  <c r="S344" i="15"/>
  <c r="P344" i="15"/>
  <c r="G344" i="15"/>
  <c r="Q344" i="15"/>
  <c r="L344" i="15"/>
  <c r="T344" i="15"/>
  <c r="AC377" i="15"/>
  <c r="L377" i="15"/>
  <c r="M377" i="15"/>
  <c r="D377" i="15"/>
  <c r="G377" i="15"/>
  <c r="AI377" i="15"/>
  <c r="P377" i="15"/>
  <c r="W377" i="15"/>
  <c r="AH377" i="15"/>
  <c r="X377" i="15"/>
  <c r="R377" i="15"/>
  <c r="H366" i="20"/>
  <c r="I366" i="20" s="1"/>
  <c r="C377" i="15"/>
  <c r="I377" i="15"/>
  <c r="K377" i="15"/>
  <c r="Z377" i="15"/>
  <c r="V377" i="15"/>
  <c r="S377" i="15"/>
  <c r="AA377" i="15"/>
  <c r="U377" i="15"/>
  <c r="E219" i="12"/>
  <c r="K219" i="12"/>
  <c r="Q236" i="15"/>
  <c r="Z236" i="15"/>
  <c r="S236" i="15"/>
  <c r="AC236" i="15"/>
  <c r="G236" i="15"/>
  <c r="P236" i="15"/>
  <c r="H236" i="15"/>
  <c r="O236" i="15"/>
  <c r="AB236" i="15"/>
  <c r="U236" i="15"/>
  <c r="H225" i="20"/>
  <c r="K225" i="20" s="1"/>
  <c r="AA236" i="15"/>
  <c r="V236" i="15"/>
  <c r="J236" i="15"/>
  <c r="M236" i="15"/>
  <c r="AD236" i="15"/>
  <c r="AG236" i="15"/>
  <c r="R236" i="15"/>
  <c r="AI236" i="15"/>
  <c r="W236" i="15"/>
  <c r="AH236" i="15"/>
  <c r="E236" i="15"/>
  <c r="AF236" i="15"/>
  <c r="X236" i="15"/>
  <c r="Y236" i="15"/>
  <c r="AE236" i="15"/>
  <c r="F236" i="15"/>
  <c r="C236" i="15"/>
  <c r="Z295" i="15"/>
  <c r="AF295" i="15"/>
  <c r="AA295" i="15"/>
  <c r="E295" i="15"/>
  <c r="AD295" i="15"/>
  <c r="X295" i="15"/>
  <c r="W295" i="15"/>
  <c r="I295" i="15"/>
  <c r="G295" i="15"/>
  <c r="AG295" i="15"/>
  <c r="AE295" i="15"/>
  <c r="Q295" i="15"/>
  <c r="R295" i="15"/>
  <c r="H295" i="15"/>
  <c r="AB295" i="15"/>
  <c r="C295" i="15"/>
  <c r="K295" i="15"/>
  <c r="J295" i="15"/>
  <c r="H284" i="20"/>
  <c r="I284" i="20" s="1"/>
  <c r="N295" i="15"/>
  <c r="AC295" i="15"/>
  <c r="F295" i="15"/>
  <c r="I26" i="20"/>
  <c r="T238" i="15"/>
  <c r="D238" i="15"/>
  <c r="Z238" i="15"/>
  <c r="M238" i="15"/>
  <c r="AI238" i="15"/>
  <c r="AB238" i="15"/>
  <c r="L238" i="15"/>
  <c r="AH238" i="15"/>
  <c r="AE238" i="15"/>
  <c r="P238" i="15"/>
  <c r="AC238" i="15"/>
  <c r="W238" i="15"/>
  <c r="J257" i="15"/>
  <c r="P257" i="15"/>
  <c r="R257" i="15"/>
  <c r="AH257" i="15"/>
  <c r="AC257" i="15"/>
  <c r="Q257" i="15"/>
  <c r="AC258" i="15"/>
  <c r="H247" i="20"/>
  <c r="K247" i="20" s="1"/>
  <c r="F258" i="15"/>
  <c r="L258" i="15"/>
  <c r="K258" i="15"/>
  <c r="H258" i="15"/>
  <c r="U258" i="15"/>
  <c r="AH258" i="15"/>
  <c r="G258" i="15"/>
  <c r="AE258" i="15"/>
  <c r="S258" i="15"/>
  <c r="D258" i="15"/>
  <c r="W258" i="15"/>
  <c r="Y258" i="15"/>
  <c r="Z258" i="15"/>
  <c r="E373" i="15"/>
  <c r="AC373" i="15"/>
  <c r="D373" i="15"/>
  <c r="M373" i="15"/>
  <c r="Q373" i="15"/>
  <c r="K373" i="15"/>
  <c r="AB373" i="15"/>
  <c r="U373" i="15"/>
  <c r="P373" i="15"/>
  <c r="AA373" i="15"/>
  <c r="AI373" i="15"/>
  <c r="X373" i="15"/>
  <c r="AG373" i="15"/>
  <c r="R373" i="15"/>
  <c r="H373" i="15"/>
  <c r="H362" i="20"/>
  <c r="G373" i="15"/>
  <c r="S373" i="15"/>
  <c r="Y373" i="15"/>
  <c r="AE373" i="15"/>
  <c r="W373" i="15"/>
  <c r="AH373" i="15"/>
  <c r="AF373" i="15"/>
  <c r="V373" i="15"/>
  <c r="F373" i="15"/>
  <c r="O373" i="15"/>
  <c r="N373" i="15"/>
  <c r="T373" i="15"/>
  <c r="AD373" i="15"/>
  <c r="Z373" i="15"/>
  <c r="I373" i="15"/>
  <c r="C373" i="15"/>
  <c r="J373" i="15"/>
  <c r="L373" i="15"/>
  <c r="C219" i="12"/>
  <c r="D219" i="12"/>
  <c r="I33" i="20"/>
  <c r="J33" i="20"/>
  <c r="K33" i="20"/>
  <c r="C292" i="15"/>
  <c r="N292" i="15"/>
  <c r="U292" i="15"/>
  <c r="I292" i="15"/>
  <c r="H281" i="20"/>
  <c r="K281" i="20" s="1"/>
  <c r="J292" i="15"/>
  <c r="V292" i="15"/>
  <c r="Y292" i="15"/>
  <c r="AF292" i="15"/>
  <c r="R292" i="15"/>
  <c r="AH292" i="15"/>
  <c r="AG292" i="15"/>
  <c r="K292" i="15"/>
  <c r="AE292" i="15"/>
  <c r="M219" i="12"/>
  <c r="J219" i="12"/>
  <c r="AG229" i="15"/>
  <c r="Y229" i="15"/>
  <c r="V229" i="15"/>
  <c r="AF229" i="15"/>
  <c r="P229" i="15"/>
  <c r="H218" i="20"/>
  <c r="U229" i="15"/>
  <c r="E229" i="15"/>
  <c r="D229" i="15"/>
  <c r="G229" i="15"/>
  <c r="L229" i="15"/>
  <c r="I229" i="15"/>
  <c r="M229" i="15"/>
  <c r="C229" i="15"/>
  <c r="F229" i="15"/>
  <c r="K229" i="15"/>
  <c r="Z229" i="15"/>
  <c r="Q229" i="15"/>
  <c r="H229" i="15"/>
  <c r="T229" i="15"/>
  <c r="AD229" i="15"/>
  <c r="J229" i="15"/>
  <c r="AE229" i="15"/>
  <c r="S229" i="15"/>
  <c r="AH229" i="15"/>
  <c r="AC229" i="15"/>
  <c r="W229" i="15"/>
  <c r="N229" i="15"/>
  <c r="AB229" i="15"/>
  <c r="O229" i="15"/>
  <c r="AA229" i="15"/>
  <c r="AI229" i="15"/>
  <c r="R229" i="15"/>
  <c r="X229" i="15"/>
  <c r="Q340" i="15"/>
  <c r="D340" i="15"/>
  <c r="AB340" i="15"/>
  <c r="H329" i="20"/>
  <c r="X340" i="15"/>
  <c r="J340" i="15"/>
  <c r="AA340" i="15"/>
  <c r="E340" i="15"/>
  <c r="S340" i="15"/>
  <c r="AG340" i="15"/>
  <c r="T340" i="15"/>
  <c r="AD340" i="15"/>
  <c r="V340" i="15"/>
  <c r="P340" i="15"/>
  <c r="O340" i="15"/>
  <c r="R340" i="15"/>
  <c r="N340" i="15"/>
  <c r="H340" i="15"/>
  <c r="Y340" i="15"/>
  <c r="C340" i="15"/>
  <c r="AH340" i="15"/>
  <c r="AI340" i="15"/>
  <c r="AE340" i="15"/>
  <c r="I340" i="15"/>
  <c r="I782" i="19"/>
  <c r="K782" i="19"/>
  <c r="I788" i="19"/>
  <c r="K788" i="19"/>
  <c r="I794" i="19"/>
  <c r="K794" i="19"/>
  <c r="I800" i="19"/>
  <c r="K800" i="19"/>
  <c r="I11" i="19"/>
  <c r="K11" i="19"/>
  <c r="I17" i="19"/>
  <c r="K17" i="19"/>
  <c r="I806" i="19"/>
  <c r="K806" i="19"/>
  <c r="I812" i="19"/>
  <c r="K812" i="19"/>
  <c r="I818" i="19"/>
  <c r="K818" i="19"/>
  <c r="I824" i="19"/>
  <c r="K824" i="19"/>
  <c r="I830" i="19"/>
  <c r="K830" i="19"/>
  <c r="I836" i="19"/>
  <c r="K836" i="19"/>
  <c r="I842" i="19"/>
  <c r="K842" i="19"/>
  <c r="I848" i="19"/>
  <c r="K848" i="19"/>
  <c r="I854" i="19"/>
  <c r="K854" i="19"/>
  <c r="I860" i="19"/>
  <c r="K860" i="19"/>
  <c r="I866" i="19"/>
  <c r="K866" i="19"/>
  <c r="I872" i="19"/>
  <c r="K872" i="19"/>
  <c r="I878" i="19"/>
  <c r="K878" i="19"/>
  <c r="I884" i="19"/>
  <c r="K884" i="19"/>
  <c r="I890" i="19"/>
  <c r="K890" i="19"/>
  <c r="I896" i="19"/>
  <c r="K896" i="19"/>
  <c r="I902" i="19"/>
  <c r="K902" i="19"/>
  <c r="I908" i="19"/>
  <c r="K908" i="19"/>
  <c r="I914" i="19"/>
  <c r="K914" i="19"/>
  <c r="I920" i="19"/>
  <c r="K920" i="19"/>
  <c r="I926" i="19"/>
  <c r="K926" i="19"/>
  <c r="I932" i="19"/>
  <c r="K932" i="19"/>
  <c r="I938" i="19"/>
  <c r="K938" i="19"/>
  <c r="I944" i="19"/>
  <c r="K944" i="19"/>
  <c r="I950" i="19"/>
  <c r="K950" i="19"/>
  <c r="I956" i="19"/>
  <c r="K956" i="19"/>
  <c r="I962" i="19"/>
  <c r="K962" i="19"/>
  <c r="I968" i="19"/>
  <c r="K968" i="19"/>
  <c r="I974" i="19"/>
  <c r="K974" i="19"/>
  <c r="I980" i="19"/>
  <c r="K980" i="19"/>
  <c r="I986" i="19"/>
  <c r="K986" i="19"/>
  <c r="I992" i="19"/>
  <c r="K992" i="19"/>
  <c r="I998" i="19"/>
  <c r="K998" i="19"/>
  <c r="I1004" i="19"/>
  <c r="K1004" i="19"/>
  <c r="I1010" i="19"/>
  <c r="K1010" i="19"/>
  <c r="I1016" i="19"/>
  <c r="K1016" i="19"/>
  <c r="I1022" i="19"/>
  <c r="K1022" i="19"/>
  <c r="I1028" i="19"/>
  <c r="K1028" i="19"/>
  <c r="I1034" i="19"/>
  <c r="K1034" i="19"/>
  <c r="I1040" i="19"/>
  <c r="K1040" i="19"/>
  <c r="I1046" i="19"/>
  <c r="K1046" i="19"/>
  <c r="I1052" i="19"/>
  <c r="K1052" i="19"/>
  <c r="I1058" i="19"/>
  <c r="K1058" i="19"/>
  <c r="I1065" i="19"/>
  <c r="K1065" i="19"/>
  <c r="I1074" i="19"/>
  <c r="K1074" i="19"/>
  <c r="I1083" i="19"/>
  <c r="K1083" i="19"/>
  <c r="I1092" i="19"/>
  <c r="K1092" i="19"/>
  <c r="I1101" i="19"/>
  <c r="K1101" i="19"/>
  <c r="I1110" i="19"/>
  <c r="K1110" i="19"/>
  <c r="I1119" i="19"/>
  <c r="K1119" i="19"/>
  <c r="I1128" i="19"/>
  <c r="K1128" i="19"/>
  <c r="I1137" i="19"/>
  <c r="K1137" i="19"/>
  <c r="I1146" i="19"/>
  <c r="K1146" i="19"/>
  <c r="I1155" i="19"/>
  <c r="K1155" i="19"/>
  <c r="I1164" i="19"/>
  <c r="K1164" i="19"/>
  <c r="I1173" i="19"/>
  <c r="K1173" i="19"/>
  <c r="I1182" i="19"/>
  <c r="K1182" i="19"/>
  <c r="I1191" i="19"/>
  <c r="K1191" i="19"/>
  <c r="I1200" i="19"/>
  <c r="K1200" i="19"/>
  <c r="I1209" i="19"/>
  <c r="K1209" i="19"/>
  <c r="I1218" i="19"/>
  <c r="K1218" i="19"/>
  <c r="I1227" i="19"/>
  <c r="K1227" i="19"/>
  <c r="I1236" i="19"/>
  <c r="K1236" i="19"/>
  <c r="I1245" i="19"/>
  <c r="K1245" i="19"/>
  <c r="I1254" i="19"/>
  <c r="K1254" i="19"/>
  <c r="I23" i="19"/>
  <c r="K23" i="19"/>
  <c r="I29" i="19"/>
  <c r="K29" i="19"/>
  <c r="I35" i="19"/>
  <c r="K35" i="19"/>
  <c r="I41" i="19"/>
  <c r="K41" i="19"/>
  <c r="I47" i="19"/>
  <c r="K47" i="19"/>
  <c r="I53" i="19"/>
  <c r="K53" i="19"/>
  <c r="I59" i="19"/>
  <c r="K59" i="19"/>
  <c r="I65" i="19"/>
  <c r="K65" i="19"/>
  <c r="I783" i="19"/>
  <c r="K783" i="19"/>
  <c r="I789" i="19"/>
  <c r="K789" i="19"/>
  <c r="I795" i="19"/>
  <c r="K795" i="19"/>
  <c r="I1066" i="19"/>
  <c r="K1066" i="19"/>
  <c r="I1075" i="19"/>
  <c r="K1075" i="19"/>
  <c r="I1084" i="19"/>
  <c r="K1084" i="19"/>
  <c r="I1093" i="19"/>
  <c r="K1093" i="19"/>
  <c r="I1102" i="19"/>
  <c r="K1102" i="19"/>
  <c r="I1111" i="19"/>
  <c r="K1111" i="19"/>
  <c r="I1120" i="19"/>
  <c r="K1120" i="19"/>
  <c r="I1129" i="19"/>
  <c r="K1129" i="19"/>
  <c r="I1138" i="19"/>
  <c r="K1138" i="19"/>
  <c r="I1147" i="19"/>
  <c r="K1147" i="19"/>
  <c r="I1156" i="19"/>
  <c r="K1156" i="19"/>
  <c r="I1165" i="19"/>
  <c r="K1165" i="19"/>
  <c r="I1174" i="19"/>
  <c r="K1174" i="19"/>
  <c r="I1183" i="19"/>
  <c r="K1183" i="19"/>
  <c r="I1192" i="19"/>
  <c r="K1192" i="19"/>
  <c r="I1201" i="19"/>
  <c r="K1201" i="19"/>
  <c r="I1210" i="19"/>
  <c r="K1210" i="19"/>
  <c r="I1219" i="19"/>
  <c r="K1219" i="19"/>
  <c r="I1228" i="19"/>
  <c r="K1228" i="19"/>
  <c r="I1237" i="19"/>
  <c r="K1237" i="19"/>
  <c r="I1246" i="19"/>
  <c r="K1246" i="19"/>
  <c r="I1255" i="19"/>
  <c r="K1255" i="19"/>
  <c r="I12" i="19"/>
  <c r="K12" i="19"/>
  <c r="I18" i="19"/>
  <c r="K18" i="19"/>
  <c r="I801" i="19"/>
  <c r="K801" i="19"/>
  <c r="I807" i="19"/>
  <c r="K807" i="19"/>
  <c r="I813" i="19"/>
  <c r="K813" i="19"/>
  <c r="I819" i="19"/>
  <c r="K819" i="19"/>
  <c r="I825" i="19"/>
  <c r="K825" i="19"/>
  <c r="I831" i="19"/>
  <c r="K831" i="19"/>
  <c r="I837" i="19"/>
  <c r="K837" i="19"/>
  <c r="I843" i="19"/>
  <c r="K843" i="19"/>
  <c r="I849" i="19"/>
  <c r="K849" i="19"/>
  <c r="I855" i="19"/>
  <c r="K855" i="19"/>
  <c r="I861" i="19"/>
  <c r="K861" i="19"/>
  <c r="I867" i="19"/>
  <c r="K867" i="19"/>
  <c r="I873" i="19"/>
  <c r="K873" i="19"/>
  <c r="I879" i="19"/>
  <c r="K879" i="19"/>
  <c r="I885" i="19"/>
  <c r="K885" i="19"/>
  <c r="I891" i="19"/>
  <c r="K891" i="19"/>
  <c r="I897" i="19"/>
  <c r="K897" i="19"/>
  <c r="I903" i="19"/>
  <c r="K903" i="19"/>
  <c r="I909" i="19"/>
  <c r="K909" i="19"/>
  <c r="I915" i="19"/>
  <c r="K915" i="19"/>
  <c r="I921" i="19"/>
  <c r="K921" i="19"/>
  <c r="I927" i="19"/>
  <c r="K927" i="19"/>
  <c r="I933" i="19"/>
  <c r="K933" i="19"/>
  <c r="I939" i="19"/>
  <c r="K939" i="19"/>
  <c r="I945" i="19"/>
  <c r="K945" i="19"/>
  <c r="I951" i="19"/>
  <c r="K951" i="19"/>
  <c r="I957" i="19"/>
  <c r="K957" i="19"/>
  <c r="I963" i="19"/>
  <c r="K963" i="19"/>
  <c r="I969" i="19"/>
  <c r="K969" i="19"/>
  <c r="I975" i="19"/>
  <c r="K975" i="19"/>
  <c r="I981" i="19"/>
  <c r="K981" i="19"/>
  <c r="I987" i="19"/>
  <c r="K987" i="19"/>
  <c r="I993" i="19"/>
  <c r="K993" i="19"/>
  <c r="I999" i="19"/>
  <c r="K999" i="19"/>
  <c r="I1005" i="19"/>
  <c r="K1005" i="19"/>
  <c r="I1011" i="19"/>
  <c r="K1011" i="19"/>
  <c r="I1017" i="19"/>
  <c r="K1017" i="19"/>
  <c r="I1023" i="19"/>
  <c r="K1023" i="19"/>
  <c r="I1029" i="19"/>
  <c r="K1029" i="19"/>
  <c r="I1035" i="19"/>
  <c r="K1035" i="19"/>
  <c r="I1041" i="19"/>
  <c r="K1041" i="19"/>
  <c r="I1047" i="19"/>
  <c r="K1047" i="19"/>
  <c r="I1053" i="19"/>
  <c r="K1053" i="19"/>
  <c r="I1059" i="19"/>
  <c r="K1059" i="19"/>
  <c r="I24" i="19"/>
  <c r="K24" i="19"/>
  <c r="I30" i="19"/>
  <c r="K30" i="19"/>
  <c r="I36" i="19"/>
  <c r="K36" i="19"/>
  <c r="I42" i="19"/>
  <c r="K42" i="19"/>
  <c r="I48" i="19"/>
  <c r="K48" i="19"/>
  <c r="I54" i="19"/>
  <c r="K54" i="19"/>
  <c r="I60" i="19"/>
  <c r="K60" i="19"/>
  <c r="I66" i="19"/>
  <c r="K66" i="19"/>
  <c r="I72" i="19"/>
  <c r="K72" i="19"/>
  <c r="I78" i="19"/>
  <c r="K78" i="19"/>
  <c r="I84" i="19"/>
  <c r="K84" i="19"/>
  <c r="I90" i="19"/>
  <c r="K90" i="19"/>
  <c r="I96" i="19"/>
  <c r="K96" i="19"/>
  <c r="I780" i="19"/>
  <c r="K780" i="19"/>
  <c r="I804" i="19"/>
  <c r="K804" i="19"/>
  <c r="I810" i="19"/>
  <c r="K810" i="19"/>
  <c r="I816" i="19"/>
  <c r="K816" i="19"/>
  <c r="I822" i="19"/>
  <c r="K822" i="19"/>
  <c r="I828" i="19"/>
  <c r="K828" i="19"/>
  <c r="I834" i="19"/>
  <c r="K834" i="19"/>
  <c r="I840" i="19"/>
  <c r="K840" i="19"/>
  <c r="I846" i="19"/>
  <c r="K846" i="19"/>
  <c r="I852" i="19"/>
  <c r="K852" i="19"/>
  <c r="I858" i="19"/>
  <c r="K858" i="19"/>
  <c r="I864" i="19"/>
  <c r="K864" i="19"/>
  <c r="I870" i="19"/>
  <c r="K870" i="19"/>
  <c r="I876" i="19"/>
  <c r="K876" i="19"/>
  <c r="I882" i="19"/>
  <c r="K882" i="19"/>
  <c r="I888" i="19"/>
  <c r="K888" i="19"/>
  <c r="I894" i="19"/>
  <c r="K894" i="19"/>
  <c r="I900" i="19"/>
  <c r="K900" i="19"/>
  <c r="I906" i="19"/>
  <c r="K906" i="19"/>
  <c r="I912" i="19"/>
  <c r="K912" i="19"/>
  <c r="I918" i="19"/>
  <c r="K918" i="19"/>
  <c r="I924" i="19"/>
  <c r="K924" i="19"/>
  <c r="I930" i="19"/>
  <c r="K930" i="19"/>
  <c r="I936" i="19"/>
  <c r="K936" i="19"/>
  <c r="I942" i="19"/>
  <c r="K942" i="19"/>
  <c r="I948" i="19"/>
  <c r="K948" i="19"/>
  <c r="I954" i="19"/>
  <c r="K954" i="19"/>
  <c r="I960" i="19"/>
  <c r="K960" i="19"/>
  <c r="I966" i="19"/>
  <c r="K966" i="19"/>
  <c r="I972" i="19"/>
  <c r="K972" i="19"/>
  <c r="I978" i="19"/>
  <c r="K978" i="19"/>
  <c r="I984" i="19"/>
  <c r="K984" i="19"/>
  <c r="I990" i="19"/>
  <c r="K990" i="19"/>
  <c r="I996" i="19"/>
  <c r="K996" i="19"/>
  <c r="I1002" i="19"/>
  <c r="K1002" i="19"/>
  <c r="I1008" i="19"/>
  <c r="K1008" i="19"/>
  <c r="I1014" i="19"/>
  <c r="K1014" i="19"/>
  <c r="I1020" i="19"/>
  <c r="K1020" i="19"/>
  <c r="I1026" i="19"/>
  <c r="K1026" i="19"/>
  <c r="I1032" i="19"/>
  <c r="K1032" i="19"/>
  <c r="I1038" i="19"/>
  <c r="K1038" i="19"/>
  <c r="I1044" i="19"/>
  <c r="K1044" i="19"/>
  <c r="I1050" i="19"/>
  <c r="K1050" i="19"/>
  <c r="I1056" i="19"/>
  <c r="K1056" i="19"/>
  <c r="I1062" i="19"/>
  <c r="K1062" i="19"/>
  <c r="I1071" i="19"/>
  <c r="K1071" i="19"/>
  <c r="I1080" i="19"/>
  <c r="K1080" i="19"/>
  <c r="I1089" i="19"/>
  <c r="K1089" i="19"/>
  <c r="I1098" i="19"/>
  <c r="K1098" i="19"/>
  <c r="I1107" i="19"/>
  <c r="K1107" i="19"/>
  <c r="I1116" i="19"/>
  <c r="K1116" i="19"/>
  <c r="I1125" i="19"/>
  <c r="K1125" i="19"/>
  <c r="I1134" i="19"/>
  <c r="K1134" i="19"/>
  <c r="I1143" i="19"/>
  <c r="K1143" i="19"/>
  <c r="I1152" i="19"/>
  <c r="K1152" i="19"/>
  <c r="I1161" i="19"/>
  <c r="K1161" i="19"/>
  <c r="I1170" i="19"/>
  <c r="K1170" i="19"/>
  <c r="I1179" i="19"/>
  <c r="K1179" i="19"/>
  <c r="I1188" i="19"/>
  <c r="K1188" i="19"/>
  <c r="I1197" i="19"/>
  <c r="K1197" i="19"/>
  <c r="I1206" i="19"/>
  <c r="K1206" i="19"/>
  <c r="I1215" i="19"/>
  <c r="K1215" i="19"/>
  <c r="I1224" i="19"/>
  <c r="K1224" i="19"/>
  <c r="I1233" i="19"/>
  <c r="K1233" i="19"/>
  <c r="I1242" i="19"/>
  <c r="K1242" i="19"/>
  <c r="I1251" i="19"/>
  <c r="K1251" i="19"/>
  <c r="I21" i="19"/>
  <c r="K21" i="19"/>
  <c r="I27" i="19"/>
  <c r="K27" i="19"/>
  <c r="I33" i="19"/>
  <c r="K33" i="19"/>
  <c r="I39" i="19"/>
  <c r="K39" i="19"/>
  <c r="I45" i="19"/>
  <c r="K45" i="19"/>
  <c r="I51" i="19"/>
  <c r="K51" i="19"/>
  <c r="I57" i="19"/>
  <c r="K57" i="19"/>
  <c r="I63" i="19"/>
  <c r="K63" i="19"/>
  <c r="I69" i="19"/>
  <c r="K69" i="19"/>
  <c r="I792" i="19"/>
  <c r="K792" i="19"/>
  <c r="I850" i="19"/>
  <c r="K850" i="19"/>
  <c r="I875" i="19"/>
  <c r="K875" i="19"/>
  <c r="I883" i="19"/>
  <c r="K883" i="19"/>
  <c r="I958" i="19"/>
  <c r="K958" i="19"/>
  <c r="I983" i="19"/>
  <c r="K983" i="19"/>
  <c r="I991" i="19"/>
  <c r="K991" i="19"/>
  <c r="I1085" i="19"/>
  <c r="K1085" i="19"/>
  <c r="I1114" i="19"/>
  <c r="K1114" i="19"/>
  <c r="I1127" i="19"/>
  <c r="K1127" i="19"/>
  <c r="I1158" i="19"/>
  <c r="K1158" i="19"/>
  <c r="I1187" i="19"/>
  <c r="K1187" i="19"/>
  <c r="I1216" i="19"/>
  <c r="K1216" i="19"/>
  <c r="I1247" i="19"/>
  <c r="K1247" i="19"/>
  <c r="I26" i="19"/>
  <c r="K26" i="19"/>
  <c r="I34" i="19"/>
  <c r="K34" i="19"/>
  <c r="I67" i="19"/>
  <c r="K67" i="19"/>
  <c r="I74" i="19"/>
  <c r="K74" i="19"/>
  <c r="I93" i="19"/>
  <c r="K93" i="19"/>
  <c r="I793" i="19"/>
  <c r="K793" i="19"/>
  <c r="I835" i="19"/>
  <c r="K835" i="19"/>
  <c r="I844" i="19"/>
  <c r="K844" i="19"/>
  <c r="I904" i="19"/>
  <c r="K904" i="19"/>
  <c r="I929" i="19"/>
  <c r="K929" i="19"/>
  <c r="I955" i="19"/>
  <c r="K955" i="19"/>
  <c r="I964" i="19"/>
  <c r="K964" i="19"/>
  <c r="I1007" i="19"/>
  <c r="K1007" i="19"/>
  <c r="I1015" i="19"/>
  <c r="K1015" i="19"/>
  <c r="I1049" i="19"/>
  <c r="K1049" i="19"/>
  <c r="I1087" i="19"/>
  <c r="K1087" i="19"/>
  <c r="I1103" i="19"/>
  <c r="K1103" i="19"/>
  <c r="I1117" i="19"/>
  <c r="K1117" i="19"/>
  <c r="I1133" i="19"/>
  <c r="K1133" i="19"/>
  <c r="I1149" i="19"/>
  <c r="K1149" i="19"/>
  <c r="I1163" i="19"/>
  <c r="K1163" i="19"/>
  <c r="I1258" i="19"/>
  <c r="K1258" i="19"/>
  <c r="I50" i="19"/>
  <c r="K50" i="19"/>
  <c r="I58" i="19"/>
  <c r="K58" i="19"/>
  <c r="I87" i="19"/>
  <c r="K87" i="19"/>
  <c r="I113" i="19"/>
  <c r="K113" i="19"/>
  <c r="I132" i="19"/>
  <c r="K132" i="19"/>
  <c r="I151" i="19"/>
  <c r="K151" i="19"/>
  <c r="I170" i="19"/>
  <c r="K170" i="19"/>
  <c r="I189" i="19"/>
  <c r="K189" i="19"/>
  <c r="I202" i="19"/>
  <c r="K202" i="19"/>
  <c r="I221" i="19"/>
  <c r="K221" i="19"/>
  <c r="I240" i="19"/>
  <c r="K240" i="19"/>
  <c r="I259" i="19"/>
  <c r="K259" i="19"/>
  <c r="I278" i="19"/>
  <c r="K278" i="19"/>
  <c r="I297" i="19"/>
  <c r="K297" i="19"/>
  <c r="I310" i="19"/>
  <c r="K310" i="19"/>
  <c r="I329" i="19"/>
  <c r="K329" i="19"/>
  <c r="I348" i="19"/>
  <c r="K348" i="19"/>
  <c r="I367" i="19"/>
  <c r="K367" i="19"/>
  <c r="I5355" i="19"/>
  <c r="K5355" i="19"/>
  <c r="I5361" i="19"/>
  <c r="K5361" i="19"/>
  <c r="I5367" i="19"/>
  <c r="K5367" i="19"/>
  <c r="I5373" i="19"/>
  <c r="K5373" i="19"/>
  <c r="I5379" i="19"/>
  <c r="K5379" i="19"/>
  <c r="I4491" i="19"/>
  <c r="K4491" i="19"/>
  <c r="I4497" i="19"/>
  <c r="K4497" i="19"/>
  <c r="I4503" i="19"/>
  <c r="K4503" i="19"/>
  <c r="I5068" i="19"/>
  <c r="K5068" i="19"/>
  <c r="I5074" i="19"/>
  <c r="K5074" i="19"/>
  <c r="I5080" i="19"/>
  <c r="K5080" i="19"/>
  <c r="I5086" i="19"/>
  <c r="K5086" i="19"/>
  <c r="I5092" i="19"/>
  <c r="K5092" i="19"/>
  <c r="I3915" i="19"/>
  <c r="K3915" i="19"/>
  <c r="I3921" i="19"/>
  <c r="K3921" i="19"/>
  <c r="I2243" i="19"/>
  <c r="K2243" i="19"/>
  <c r="I2249" i="19"/>
  <c r="K2249" i="19"/>
  <c r="I863" i="19"/>
  <c r="K863" i="19"/>
  <c r="I871" i="19"/>
  <c r="K871" i="19"/>
  <c r="I880" i="19"/>
  <c r="K880" i="19"/>
  <c r="I922" i="19"/>
  <c r="K922" i="19"/>
  <c r="I1000" i="19"/>
  <c r="K1000" i="19"/>
  <c r="I1025" i="19"/>
  <c r="K1025" i="19"/>
  <c r="I1033" i="19"/>
  <c r="K1033" i="19"/>
  <c r="I1042" i="19"/>
  <c r="K1042" i="19"/>
  <c r="I1105" i="19"/>
  <c r="K1105" i="19"/>
  <c r="I1121" i="19"/>
  <c r="K1121" i="19"/>
  <c r="I1135" i="19"/>
  <c r="K1135" i="19"/>
  <c r="I1151" i="19"/>
  <c r="K1151" i="19"/>
  <c r="I1167" i="19"/>
  <c r="K1167" i="19"/>
  <c r="I1181" i="19"/>
  <c r="K1181" i="19"/>
  <c r="I43" i="19"/>
  <c r="K43" i="19"/>
  <c r="I68" i="19"/>
  <c r="K68" i="19"/>
  <c r="I75" i="19"/>
  <c r="K75" i="19"/>
  <c r="I88" i="19"/>
  <c r="K88" i="19"/>
  <c r="I114" i="19"/>
  <c r="K114" i="19"/>
  <c r="I133" i="19"/>
  <c r="K133" i="19"/>
  <c r="I152" i="19"/>
  <c r="K152" i="19"/>
  <c r="I171" i="19"/>
  <c r="K171" i="19"/>
  <c r="I184" i="19"/>
  <c r="K184" i="19"/>
  <c r="I203" i="19"/>
  <c r="K203" i="19"/>
  <c r="I222" i="19"/>
  <c r="K222" i="19"/>
  <c r="I241" i="19"/>
  <c r="K241" i="19"/>
  <c r="I260" i="19"/>
  <c r="K260" i="19"/>
  <c r="I279" i="19"/>
  <c r="K279" i="19"/>
  <c r="I292" i="19"/>
  <c r="K292" i="19"/>
  <c r="I311" i="19"/>
  <c r="K311" i="19"/>
  <c r="I330" i="19"/>
  <c r="K330" i="19"/>
  <c r="I349" i="19"/>
  <c r="K349" i="19"/>
  <c r="I368" i="19"/>
  <c r="K368" i="19"/>
  <c r="I5356" i="19"/>
  <c r="K5356" i="19"/>
  <c r="I5362" i="19"/>
  <c r="K5362" i="19"/>
  <c r="I5368" i="19"/>
  <c r="K5368" i="19"/>
  <c r="I5374" i="19"/>
  <c r="K5374" i="19"/>
  <c r="I5380" i="19"/>
  <c r="K5380" i="19"/>
  <c r="I4492" i="19"/>
  <c r="K4492" i="19"/>
  <c r="I4498" i="19"/>
  <c r="K4498" i="19"/>
  <c r="I5069" i="19"/>
  <c r="K5069" i="19"/>
  <c r="I5075" i="19"/>
  <c r="K5075" i="19"/>
  <c r="I5081" i="19"/>
  <c r="K5081" i="19"/>
  <c r="I5087" i="19"/>
  <c r="K5087" i="19"/>
  <c r="I5093" i="19"/>
  <c r="K5093" i="19"/>
  <c r="I3910" i="19"/>
  <c r="K3910" i="19"/>
  <c r="I3916" i="19"/>
  <c r="K3916" i="19"/>
  <c r="I3922" i="19"/>
  <c r="K3922" i="19"/>
  <c r="I802" i="19"/>
  <c r="K802" i="19"/>
  <c r="I820" i="19"/>
  <c r="K820" i="19"/>
  <c r="I838" i="19"/>
  <c r="K838" i="19"/>
  <c r="I893" i="19"/>
  <c r="K893" i="19"/>
  <c r="I940" i="19"/>
  <c r="K940" i="19"/>
  <c r="I995" i="19"/>
  <c r="K995" i="19"/>
  <c r="I1013" i="19"/>
  <c r="K1013" i="19"/>
  <c r="I1039" i="19"/>
  <c r="K1039" i="19"/>
  <c r="I1124" i="19"/>
  <c r="K1124" i="19"/>
  <c r="I1177" i="19"/>
  <c r="K1177" i="19"/>
  <c r="I1194" i="19"/>
  <c r="K1194" i="19"/>
  <c r="I1212" i="19"/>
  <c r="K1212" i="19"/>
  <c r="I1230" i="19"/>
  <c r="K1230" i="19"/>
  <c r="I1248" i="19"/>
  <c r="K1248" i="19"/>
  <c r="I38" i="19"/>
  <c r="K38" i="19"/>
  <c r="I56" i="19"/>
  <c r="K56" i="19"/>
  <c r="I73" i="19"/>
  <c r="K73" i="19"/>
  <c r="I80" i="19"/>
  <c r="K80" i="19"/>
  <c r="I94" i="19"/>
  <c r="K94" i="19"/>
  <c r="I101" i="19"/>
  <c r="K101" i="19"/>
  <c r="I128" i="19"/>
  <c r="K128" i="19"/>
  <c r="I135" i="19"/>
  <c r="K135" i="19"/>
  <c r="I169" i="19"/>
  <c r="K169" i="19"/>
  <c r="I176" i="19"/>
  <c r="K176" i="19"/>
  <c r="I190" i="19"/>
  <c r="K190" i="19"/>
  <c r="I217" i="19"/>
  <c r="K217" i="19"/>
  <c r="I224" i="19"/>
  <c r="K224" i="19"/>
  <c r="I231" i="19"/>
  <c r="K231" i="19"/>
  <c r="I258" i="19"/>
  <c r="K258" i="19"/>
  <c r="I265" i="19"/>
  <c r="K265" i="19"/>
  <c r="I272" i="19"/>
  <c r="K272" i="19"/>
  <c r="I286" i="19"/>
  <c r="K286" i="19"/>
  <c r="I306" i="19"/>
  <c r="K306" i="19"/>
  <c r="I313" i="19"/>
  <c r="K313" i="19"/>
  <c r="I320" i="19"/>
  <c r="K320" i="19"/>
  <c r="I347" i="19"/>
  <c r="K347" i="19"/>
  <c r="I354" i="19"/>
  <c r="K354" i="19"/>
  <c r="I361" i="19"/>
  <c r="K361" i="19"/>
  <c r="I375" i="19"/>
  <c r="K375" i="19"/>
  <c r="I785" i="19"/>
  <c r="K785" i="19"/>
  <c r="I811" i="19"/>
  <c r="K811" i="19"/>
  <c r="I829" i="19"/>
  <c r="K829" i="19"/>
  <c r="I857" i="19"/>
  <c r="K857" i="19"/>
  <c r="I949" i="19"/>
  <c r="K949" i="19"/>
  <c r="I959" i="19"/>
  <c r="K959" i="19"/>
  <c r="I977" i="19"/>
  <c r="K977" i="19"/>
  <c r="I1031" i="19"/>
  <c r="K1031" i="19"/>
  <c r="I1072" i="19"/>
  <c r="K1072" i="19"/>
  <c r="I1090" i="19"/>
  <c r="K1090" i="19"/>
  <c r="I1142" i="19"/>
  <c r="K1142" i="19"/>
  <c r="I1160" i="19"/>
  <c r="K1160" i="19"/>
  <c r="I1195" i="19"/>
  <c r="K1195" i="19"/>
  <c r="I1213" i="19"/>
  <c r="K1213" i="19"/>
  <c r="I1231" i="19"/>
  <c r="K1231" i="19"/>
  <c r="I1249" i="19"/>
  <c r="K1249" i="19"/>
  <c r="I20" i="19"/>
  <c r="K20" i="19"/>
  <c r="I108" i="19"/>
  <c r="K108" i="19"/>
  <c r="I115" i="19"/>
  <c r="K115" i="19"/>
  <c r="I122" i="19"/>
  <c r="K122" i="19"/>
  <c r="I149" i="19"/>
  <c r="K149" i="19"/>
  <c r="I156" i="19"/>
  <c r="K156" i="19"/>
  <c r="I163" i="19"/>
  <c r="K163" i="19"/>
  <c r="I183" i="19"/>
  <c r="K183" i="19"/>
  <c r="I197" i="19"/>
  <c r="K197" i="19"/>
  <c r="I204" i="19"/>
  <c r="K204" i="19"/>
  <c r="I211" i="19"/>
  <c r="K211" i="19"/>
  <c r="I238" i="19"/>
  <c r="K238" i="19"/>
  <c r="I245" i="19"/>
  <c r="K245" i="19"/>
  <c r="I252" i="19"/>
  <c r="K252" i="19"/>
  <c r="I293" i="19"/>
  <c r="K293" i="19"/>
  <c r="I300" i="19"/>
  <c r="K300" i="19"/>
  <c r="I334" i="19"/>
  <c r="K334" i="19"/>
  <c r="I341" i="19"/>
  <c r="K341" i="19"/>
  <c r="I5371" i="19"/>
  <c r="K5371" i="19"/>
  <c r="I5384" i="19"/>
  <c r="K5384" i="19"/>
  <c r="I5390" i="19"/>
  <c r="K5390" i="19"/>
  <c r="I5396" i="19"/>
  <c r="K5396" i="19"/>
  <c r="I5402" i="19"/>
  <c r="K5402" i="19"/>
  <c r="I5408" i="19"/>
  <c r="K5408" i="19"/>
  <c r="I5414" i="19"/>
  <c r="K5414" i="19"/>
  <c r="I5420" i="19"/>
  <c r="K5420" i="19"/>
  <c r="I5426" i="19"/>
  <c r="K5426" i="19"/>
  <c r="I5432" i="19"/>
  <c r="K5432" i="19"/>
  <c r="I5438" i="19"/>
  <c r="K5438" i="19"/>
  <c r="I5444" i="19"/>
  <c r="K5444" i="19"/>
  <c r="I5450" i="19"/>
  <c r="K5450" i="19"/>
  <c r="I5456" i="19"/>
  <c r="K5456" i="19"/>
  <c r="I5462" i="19"/>
  <c r="K5462" i="19"/>
  <c r="I5468" i="19"/>
  <c r="K5468" i="19"/>
  <c r="I5474" i="19"/>
  <c r="K5474" i="19"/>
  <c r="I5480" i="19"/>
  <c r="K5480" i="19"/>
  <c r="I5486" i="19"/>
  <c r="K5486" i="19"/>
  <c r="I5492" i="19"/>
  <c r="K5492" i="19"/>
  <c r="I5498" i="19"/>
  <c r="K5498" i="19"/>
  <c r="I5504" i="19"/>
  <c r="K5504" i="19"/>
  <c r="I5510" i="19"/>
  <c r="K5510" i="19"/>
  <c r="I841" i="19"/>
  <c r="K841" i="19"/>
  <c r="I928" i="19"/>
  <c r="K928" i="19"/>
  <c r="I1006" i="19"/>
  <c r="K1006" i="19"/>
  <c r="I1045" i="19"/>
  <c r="K1045" i="19"/>
  <c r="I1082" i="19"/>
  <c r="K1082" i="19"/>
  <c r="I1104" i="19"/>
  <c r="K1104" i="19"/>
  <c r="I1144" i="19"/>
  <c r="K1144" i="19"/>
  <c r="I1204" i="19"/>
  <c r="K1204" i="19"/>
  <c r="I1241" i="19"/>
  <c r="K1241" i="19"/>
  <c r="I76" i="19"/>
  <c r="K76" i="19"/>
  <c r="I83" i="19"/>
  <c r="K83" i="19"/>
  <c r="I98" i="19"/>
  <c r="K98" i="19"/>
  <c r="I120" i="19"/>
  <c r="K120" i="19"/>
  <c r="I127" i="19"/>
  <c r="K127" i="19"/>
  <c r="I164" i="19"/>
  <c r="K164" i="19"/>
  <c r="I172" i="19"/>
  <c r="K172" i="19"/>
  <c r="I179" i="19"/>
  <c r="K179" i="19"/>
  <c r="I186" i="19"/>
  <c r="K186" i="19"/>
  <c r="I200" i="19"/>
  <c r="K200" i="19"/>
  <c r="I215" i="19"/>
  <c r="K215" i="19"/>
  <c r="I237" i="19"/>
  <c r="K237" i="19"/>
  <c r="I289" i="19"/>
  <c r="K289" i="19"/>
  <c r="I296" i="19"/>
  <c r="K296" i="19"/>
  <c r="I319" i="19"/>
  <c r="K319" i="19"/>
  <c r="I326" i="19"/>
  <c r="K326" i="19"/>
  <c r="I371" i="19"/>
  <c r="K371" i="19"/>
  <c r="I391" i="19"/>
  <c r="K391" i="19"/>
  <c r="I410" i="19"/>
  <c r="K410" i="19"/>
  <c r="I429" i="19"/>
  <c r="K429" i="19"/>
  <c r="I442" i="19"/>
  <c r="K442" i="19"/>
  <c r="I461" i="19"/>
  <c r="K461" i="19"/>
  <c r="I480" i="19"/>
  <c r="K480" i="19"/>
  <c r="I499" i="19"/>
  <c r="K499" i="19"/>
  <c r="I518" i="19"/>
  <c r="K518" i="19"/>
  <c r="I537" i="19"/>
  <c r="K537" i="19"/>
  <c r="I550" i="19"/>
  <c r="K550" i="19"/>
  <c r="I569" i="19"/>
  <c r="K569" i="19"/>
  <c r="I588" i="19"/>
  <c r="K588" i="19"/>
  <c r="I607" i="19"/>
  <c r="K607" i="19"/>
  <c r="I626" i="19"/>
  <c r="K626" i="19"/>
  <c r="I645" i="19"/>
  <c r="K645" i="19"/>
  <c r="I658" i="19"/>
  <c r="K658" i="19"/>
  <c r="I677" i="19"/>
  <c r="K677" i="19"/>
  <c r="I696" i="19"/>
  <c r="K696" i="19"/>
  <c r="I715" i="19"/>
  <c r="K715" i="19"/>
  <c r="I734" i="19"/>
  <c r="K734" i="19"/>
  <c r="I753" i="19"/>
  <c r="K753" i="19"/>
  <c r="I766" i="19"/>
  <c r="K766" i="19"/>
  <c r="I5352" i="19"/>
  <c r="K5352" i="19"/>
  <c r="I5359" i="19"/>
  <c r="K5359" i="19"/>
  <c r="I5366" i="19"/>
  <c r="K5366" i="19"/>
  <c r="I5399" i="19"/>
  <c r="K5399" i="19"/>
  <c r="I5418" i="19"/>
  <c r="K5418" i="19"/>
  <c r="I5437" i="19"/>
  <c r="K5437" i="19"/>
  <c r="I5469" i="19"/>
  <c r="K5469" i="19"/>
  <c r="I5488" i="19"/>
  <c r="K5488" i="19"/>
  <c r="I5507" i="19"/>
  <c r="K5507" i="19"/>
  <c r="I4501" i="19"/>
  <c r="K4501" i="19"/>
  <c r="I4507" i="19"/>
  <c r="K4507" i="19"/>
  <c r="I4513" i="19"/>
  <c r="K4513" i="19"/>
  <c r="I4519" i="19"/>
  <c r="K4519" i="19"/>
  <c r="I4525" i="19"/>
  <c r="K4525" i="19"/>
  <c r="I4531" i="19"/>
  <c r="K4531" i="19"/>
  <c r="I4537" i="19"/>
  <c r="K4537" i="19"/>
  <c r="I4543" i="19"/>
  <c r="K4543" i="19"/>
  <c r="I4549" i="19"/>
  <c r="K4549" i="19"/>
  <c r="I4555" i="19"/>
  <c r="K4555" i="19"/>
  <c r="I4561" i="19"/>
  <c r="K4561" i="19"/>
  <c r="I4567" i="19"/>
  <c r="K4567" i="19"/>
  <c r="I4573" i="19"/>
  <c r="K4573" i="19"/>
  <c r="I4579" i="19"/>
  <c r="K4579" i="19"/>
  <c r="I4585" i="19"/>
  <c r="K4585" i="19"/>
  <c r="I4591" i="19"/>
  <c r="K4591" i="19"/>
  <c r="I4597" i="19"/>
  <c r="K4597" i="19"/>
  <c r="I4603" i="19"/>
  <c r="K4603" i="19"/>
  <c r="I4609" i="19"/>
  <c r="K4609" i="19"/>
  <c r="I4615" i="19"/>
  <c r="K4615" i="19"/>
  <c r="I4621" i="19"/>
  <c r="K4621" i="19"/>
  <c r="I4627" i="19"/>
  <c r="K4627" i="19"/>
  <c r="I4633" i="19"/>
  <c r="K4633" i="19"/>
  <c r="I4639" i="19"/>
  <c r="K4639" i="19"/>
  <c r="I4645" i="19"/>
  <c r="K4645" i="19"/>
  <c r="I4651" i="19"/>
  <c r="K4651" i="19"/>
  <c r="I4657" i="19"/>
  <c r="K4657" i="19"/>
  <c r="I4663" i="19"/>
  <c r="K4663" i="19"/>
  <c r="I4669" i="19"/>
  <c r="K4669" i="19"/>
  <c r="I4675" i="19"/>
  <c r="K4675" i="19"/>
  <c r="I4681" i="19"/>
  <c r="K4681" i="19"/>
  <c r="I4687" i="19"/>
  <c r="K4687" i="19"/>
  <c r="I4693" i="19"/>
  <c r="K4693" i="19"/>
  <c r="I4699" i="19"/>
  <c r="K4699" i="19"/>
  <c r="I4705" i="19"/>
  <c r="K4705" i="19"/>
  <c r="I4711" i="19"/>
  <c r="K4711" i="19"/>
  <c r="I4717" i="19"/>
  <c r="K4717" i="19"/>
  <c r="I4723" i="19"/>
  <c r="K4723" i="19"/>
  <c r="I4729" i="19"/>
  <c r="K4729" i="19"/>
  <c r="I4735" i="19"/>
  <c r="K4735" i="19"/>
  <c r="I4741" i="19"/>
  <c r="K4741" i="19"/>
  <c r="I4747" i="19"/>
  <c r="K4747" i="19"/>
  <c r="I4753" i="19"/>
  <c r="K4753" i="19"/>
  <c r="I832" i="19"/>
  <c r="K832" i="19"/>
  <c r="I881" i="19"/>
  <c r="K881" i="19"/>
  <c r="I919" i="19"/>
  <c r="K919" i="19"/>
  <c r="I997" i="19"/>
  <c r="K997" i="19"/>
  <c r="I1055" i="19"/>
  <c r="K1055" i="19"/>
  <c r="I1064" i="19"/>
  <c r="K1064" i="19"/>
  <c r="I1166" i="19"/>
  <c r="K1166" i="19"/>
  <c r="I1185" i="19"/>
  <c r="K1185" i="19"/>
  <c r="I1223" i="19"/>
  <c r="K1223" i="19"/>
  <c r="I10" i="19"/>
  <c r="K10" i="19"/>
  <c r="I28" i="19"/>
  <c r="K28" i="19"/>
  <c r="I91" i="19"/>
  <c r="K91" i="19"/>
  <c r="I106" i="19"/>
  <c r="K106" i="19"/>
  <c r="I143" i="19"/>
  <c r="K143" i="19"/>
  <c r="I157" i="19"/>
  <c r="K157" i="19"/>
  <c r="I208" i="19"/>
  <c r="K208" i="19"/>
  <c r="I223" i="19"/>
  <c r="K223" i="19"/>
  <c r="I268" i="19"/>
  <c r="K268" i="19"/>
  <c r="I275" i="19"/>
  <c r="K275" i="19"/>
  <c r="I282" i="19"/>
  <c r="K282" i="19"/>
  <c r="I304" i="19"/>
  <c r="K304" i="19"/>
  <c r="I364" i="19"/>
  <c r="K364" i="19"/>
  <c r="I385" i="19"/>
  <c r="K385" i="19"/>
  <c r="I404" i="19"/>
  <c r="K404" i="19"/>
  <c r="I423" i="19"/>
  <c r="K423" i="19"/>
  <c r="I436" i="19"/>
  <c r="K436" i="19"/>
  <c r="I455" i="19"/>
  <c r="K455" i="19"/>
  <c r="I474" i="19"/>
  <c r="K474" i="19"/>
  <c r="I493" i="19"/>
  <c r="K493" i="19"/>
  <c r="I512" i="19"/>
  <c r="K512" i="19"/>
  <c r="I531" i="19"/>
  <c r="K531" i="19"/>
  <c r="I544" i="19"/>
  <c r="K544" i="19"/>
  <c r="I563" i="19"/>
  <c r="K563" i="19"/>
  <c r="I582" i="19"/>
  <c r="K582" i="19"/>
  <c r="I814" i="19"/>
  <c r="K814" i="19"/>
  <c r="I845" i="19"/>
  <c r="K845" i="19"/>
  <c r="I865" i="19"/>
  <c r="K865" i="19"/>
  <c r="I967" i="19"/>
  <c r="K967" i="19"/>
  <c r="I1018" i="19"/>
  <c r="K1018" i="19"/>
  <c r="I1077" i="19"/>
  <c r="K1077" i="19"/>
  <c r="I1097" i="19"/>
  <c r="K1097" i="19"/>
  <c r="I1118" i="19"/>
  <c r="K1118" i="19"/>
  <c r="I1141" i="19"/>
  <c r="K1141" i="19"/>
  <c r="I123" i="19"/>
  <c r="K123" i="19"/>
  <c r="I131" i="19"/>
  <c r="K131" i="19"/>
  <c r="I146" i="19"/>
  <c r="K146" i="19"/>
  <c r="I154" i="19"/>
  <c r="K154" i="19"/>
  <c r="I242" i="19"/>
  <c r="K242" i="19"/>
  <c r="I250" i="19"/>
  <c r="K250" i="19"/>
  <c r="I257" i="19"/>
  <c r="K257" i="19"/>
  <c r="I281" i="19"/>
  <c r="K281" i="19"/>
  <c r="I305" i="19"/>
  <c r="K305" i="19"/>
  <c r="I353" i="19"/>
  <c r="K353" i="19"/>
  <c r="I369" i="19"/>
  <c r="K369" i="19"/>
  <c r="I384" i="19"/>
  <c r="K384" i="19"/>
  <c r="I398" i="19"/>
  <c r="K398" i="19"/>
  <c r="I412" i="19"/>
  <c r="K412" i="19"/>
  <c r="I432" i="19"/>
  <c r="K432" i="19"/>
  <c r="I459" i="19"/>
  <c r="K459" i="19"/>
  <c r="I473" i="19"/>
  <c r="K473" i="19"/>
  <c r="I487" i="19"/>
  <c r="K487" i="19"/>
  <c r="I528" i="19"/>
  <c r="K528" i="19"/>
  <c r="I548" i="19"/>
  <c r="K548" i="19"/>
  <c r="I555" i="19"/>
  <c r="K555" i="19"/>
  <c r="I562" i="19"/>
  <c r="K562" i="19"/>
  <c r="I576" i="19"/>
  <c r="K576" i="19"/>
  <c r="I636" i="19"/>
  <c r="K636" i="19"/>
  <c r="I649" i="19"/>
  <c r="K649" i="19"/>
  <c r="I662" i="19"/>
  <c r="K662" i="19"/>
  <c r="I675" i="19"/>
  <c r="K675" i="19"/>
  <c r="I682" i="19"/>
  <c r="K682" i="19"/>
  <c r="I695" i="19"/>
  <c r="K695" i="19"/>
  <c r="I728" i="19"/>
  <c r="K728" i="19"/>
  <c r="I748" i="19"/>
  <c r="K748" i="19"/>
  <c r="I761" i="19"/>
  <c r="K761" i="19"/>
  <c r="I5377" i="19"/>
  <c r="K5377" i="19"/>
  <c r="I5397" i="19"/>
  <c r="K5397" i="19"/>
  <c r="I5430" i="19"/>
  <c r="K5430" i="19"/>
  <c r="I5443" i="19"/>
  <c r="K5443" i="19"/>
  <c r="I5463" i="19"/>
  <c r="K5463" i="19"/>
  <c r="I5496" i="19"/>
  <c r="K5496" i="19"/>
  <c r="I5509" i="19"/>
  <c r="K5509" i="19"/>
  <c r="I5522" i="19"/>
  <c r="K5522" i="19"/>
  <c r="I5541" i="19"/>
  <c r="K5541" i="19"/>
  <c r="I5560" i="19"/>
  <c r="K5560" i="19"/>
  <c r="I5579" i="19"/>
  <c r="K5579" i="19"/>
  <c r="I5592" i="19"/>
  <c r="K5592" i="19"/>
  <c r="I5611" i="19"/>
  <c r="K5611" i="19"/>
  <c r="I5630" i="19"/>
  <c r="K5630" i="19"/>
  <c r="I4511" i="19"/>
  <c r="K4511" i="19"/>
  <c r="I4530" i="19"/>
  <c r="K4530" i="19"/>
  <c r="I4562" i="19"/>
  <c r="K4562" i="19"/>
  <c r="I4581" i="19"/>
  <c r="K4581" i="19"/>
  <c r="I4600" i="19"/>
  <c r="K4600" i="19"/>
  <c r="I4619" i="19"/>
  <c r="K4619" i="19"/>
  <c r="I4638" i="19"/>
  <c r="K4638" i="19"/>
  <c r="I4670" i="19"/>
  <c r="K4670" i="19"/>
  <c r="I4689" i="19"/>
  <c r="K4689" i="19"/>
  <c r="I4708" i="19"/>
  <c r="K4708" i="19"/>
  <c r="I4727" i="19"/>
  <c r="K4727" i="19"/>
  <c r="I4746" i="19"/>
  <c r="K4746" i="19"/>
  <c r="I5099" i="19"/>
  <c r="K5099" i="19"/>
  <c r="I5105" i="19"/>
  <c r="K5105" i="19"/>
  <c r="I5111" i="19"/>
  <c r="K5111" i="19"/>
  <c r="I5117" i="19"/>
  <c r="K5117" i="19"/>
  <c r="I5123" i="19"/>
  <c r="K5123" i="19"/>
  <c r="I5129" i="19"/>
  <c r="K5129" i="19"/>
  <c r="I5135" i="19"/>
  <c r="K5135" i="19"/>
  <c r="I5141" i="19"/>
  <c r="K5141" i="19"/>
  <c r="I5147" i="19"/>
  <c r="K5147" i="19"/>
  <c r="I5153" i="19"/>
  <c r="K5153" i="19"/>
  <c r="I5159" i="19"/>
  <c r="K5159" i="19"/>
  <c r="I5165" i="19"/>
  <c r="K5165" i="19"/>
  <c r="I5171" i="19"/>
  <c r="K5171" i="19"/>
  <c r="I5177" i="19"/>
  <c r="K5177" i="19"/>
  <c r="I5183" i="19"/>
  <c r="K5183" i="19"/>
  <c r="I5189" i="19"/>
  <c r="K5189" i="19"/>
  <c r="I5195" i="19"/>
  <c r="K5195" i="19"/>
  <c r="I5201" i="19"/>
  <c r="K5201" i="19"/>
  <c r="I5207" i="19"/>
  <c r="K5207" i="19"/>
  <c r="I5213" i="19"/>
  <c r="K5213" i="19"/>
  <c r="I5219" i="19"/>
  <c r="K5219" i="19"/>
  <c r="I5225" i="19"/>
  <c r="K5225" i="19"/>
  <c r="I5231" i="19"/>
  <c r="K5231" i="19"/>
  <c r="I5237" i="19"/>
  <c r="K5237" i="19"/>
  <c r="I5243" i="19"/>
  <c r="K5243" i="19"/>
  <c r="I5249" i="19"/>
  <c r="K5249" i="19"/>
  <c r="I5255" i="19"/>
  <c r="K5255" i="19"/>
  <c r="I5261" i="19"/>
  <c r="K5261" i="19"/>
  <c r="I5267" i="19"/>
  <c r="K5267" i="19"/>
  <c r="I5273" i="19"/>
  <c r="K5273" i="19"/>
  <c r="I5279" i="19"/>
  <c r="K5279" i="19"/>
  <c r="I5285" i="19"/>
  <c r="K5285" i="19"/>
  <c r="I5291" i="19"/>
  <c r="K5291" i="19"/>
  <c r="I5297" i="19"/>
  <c r="K5297" i="19"/>
  <c r="I5303" i="19"/>
  <c r="K5303" i="19"/>
  <c r="I5309" i="19"/>
  <c r="K5309" i="19"/>
  <c r="I5315" i="19"/>
  <c r="K5315" i="19"/>
  <c r="I5321" i="19"/>
  <c r="K5321" i="19"/>
  <c r="I5327" i="19"/>
  <c r="K5327" i="19"/>
  <c r="I5333" i="19"/>
  <c r="K5333" i="19"/>
  <c r="I5339" i="19"/>
  <c r="K5339" i="19"/>
  <c r="I5345" i="19"/>
  <c r="K5345" i="19"/>
  <c r="I3924" i="19"/>
  <c r="K3924" i="19"/>
  <c r="I4452" i="19"/>
  <c r="K4452" i="19"/>
  <c r="I4472" i="19"/>
  <c r="K4472" i="19"/>
  <c r="I4485" i="19"/>
  <c r="K4485" i="19"/>
  <c r="I2071" i="19"/>
  <c r="K2071" i="19"/>
  <c r="I2090" i="19"/>
  <c r="K2090" i="19"/>
  <c r="I2109" i="19"/>
  <c r="K2109" i="19"/>
  <c r="I2128" i="19"/>
  <c r="K2128" i="19"/>
  <c r="I2147" i="19"/>
  <c r="K2147" i="19"/>
  <c r="I2160" i="19"/>
  <c r="K2160" i="19"/>
  <c r="I2179" i="19"/>
  <c r="K2179" i="19"/>
  <c r="I2198" i="19"/>
  <c r="K2198" i="19"/>
  <c r="I2217" i="19"/>
  <c r="K2217" i="19"/>
  <c r="I2236" i="19"/>
  <c r="K2236" i="19"/>
  <c r="I2242" i="19"/>
  <c r="K2242" i="19"/>
  <c r="I796" i="19"/>
  <c r="K796" i="19"/>
  <c r="I886" i="19"/>
  <c r="K886" i="19"/>
  <c r="I917" i="19"/>
  <c r="K917" i="19"/>
  <c r="I947" i="19"/>
  <c r="K947" i="19"/>
  <c r="I976" i="19"/>
  <c r="K976" i="19"/>
  <c r="I1078" i="19"/>
  <c r="K1078" i="19"/>
  <c r="I1168" i="19"/>
  <c r="K1168" i="19"/>
  <c r="I1208" i="19"/>
  <c r="K1208" i="19"/>
  <c r="I1253" i="19"/>
  <c r="K1253" i="19"/>
  <c r="I15" i="19"/>
  <c r="K15" i="19"/>
  <c r="I55" i="19"/>
  <c r="K55" i="19"/>
  <c r="I100" i="19"/>
  <c r="K100" i="19"/>
  <c r="I139" i="19"/>
  <c r="K139" i="19"/>
  <c r="I162" i="19"/>
  <c r="K162" i="19"/>
  <c r="I187" i="19"/>
  <c r="K187" i="19"/>
  <c r="I227" i="19"/>
  <c r="K227" i="19"/>
  <c r="I266" i="19"/>
  <c r="K266" i="19"/>
  <c r="I274" i="19"/>
  <c r="K274" i="19"/>
  <c r="I298" i="19"/>
  <c r="K298" i="19"/>
  <c r="I314" i="19"/>
  <c r="K314" i="19"/>
  <c r="I338" i="19"/>
  <c r="K338" i="19"/>
  <c r="I345" i="19"/>
  <c r="K345" i="19"/>
  <c r="I405" i="19"/>
  <c r="K405" i="19"/>
  <c r="I419" i="19"/>
  <c r="K419" i="19"/>
  <c r="I439" i="19"/>
  <c r="K439" i="19"/>
  <c r="I446" i="19"/>
  <c r="K446" i="19"/>
  <c r="I494" i="19"/>
  <c r="K494" i="19"/>
  <c r="I501" i="19"/>
  <c r="K501" i="19"/>
  <c r="I508" i="19"/>
  <c r="K508" i="19"/>
  <c r="I535" i="19"/>
  <c r="K535" i="19"/>
  <c r="I583" i="19"/>
  <c r="K583" i="19"/>
  <c r="I590" i="19"/>
  <c r="K590" i="19"/>
  <c r="I603" i="19"/>
  <c r="K603" i="19"/>
  <c r="I610" i="19"/>
  <c r="K610" i="19"/>
  <c r="I623" i="19"/>
  <c r="K623" i="19"/>
  <c r="I669" i="19"/>
  <c r="K669" i="19"/>
  <c r="I689" i="19"/>
  <c r="K689" i="19"/>
  <c r="I702" i="19"/>
  <c r="K702" i="19"/>
  <c r="I722" i="19"/>
  <c r="K722" i="19"/>
  <c r="I735" i="19"/>
  <c r="K735" i="19"/>
  <c r="I742" i="19"/>
  <c r="K742" i="19"/>
  <c r="I755" i="19"/>
  <c r="K755" i="19"/>
  <c r="I768" i="19"/>
  <c r="K768" i="19"/>
  <c r="I5370" i="19"/>
  <c r="K5370" i="19"/>
  <c r="I5391" i="19"/>
  <c r="K5391" i="19"/>
  <c r="I5404" i="19"/>
  <c r="K5404" i="19"/>
  <c r="I5417" i="19"/>
  <c r="K5417" i="19"/>
  <c r="I5457" i="19"/>
  <c r="K5457" i="19"/>
  <c r="I5470" i="19"/>
  <c r="K5470" i="19"/>
  <c r="I5483" i="19"/>
  <c r="K5483" i="19"/>
  <c r="I5516" i="19"/>
  <c r="K5516" i="19"/>
  <c r="I5535" i="19"/>
  <c r="K5535" i="19"/>
  <c r="I5554" i="19"/>
  <c r="K5554" i="19"/>
  <c r="I5573" i="19"/>
  <c r="K5573" i="19"/>
  <c r="I5586" i="19"/>
  <c r="K5586" i="19"/>
  <c r="I5605" i="19"/>
  <c r="K5605" i="19"/>
  <c r="I5624" i="19"/>
  <c r="K5624" i="19"/>
  <c r="I4505" i="19"/>
  <c r="K4505" i="19"/>
  <c r="I4524" i="19"/>
  <c r="K4524" i="19"/>
  <c r="I4556" i="19"/>
  <c r="K4556" i="19"/>
  <c r="I4575" i="19"/>
  <c r="K4575" i="19"/>
  <c r="I4594" i="19"/>
  <c r="K4594" i="19"/>
  <c r="I4613" i="19"/>
  <c r="K4613" i="19"/>
  <c r="I4632" i="19"/>
  <c r="K4632" i="19"/>
  <c r="I4664" i="19"/>
  <c r="K4664" i="19"/>
  <c r="I4683" i="19"/>
  <c r="K4683" i="19"/>
  <c r="I4702" i="19"/>
  <c r="K4702" i="19"/>
  <c r="I4721" i="19"/>
  <c r="K4721" i="19"/>
  <c r="I4740" i="19"/>
  <c r="K4740" i="19"/>
  <c r="I4759" i="19"/>
  <c r="K4759" i="19"/>
  <c r="I4765" i="19"/>
  <c r="K4765" i="19"/>
  <c r="I4771" i="19"/>
  <c r="K4771" i="19"/>
  <c r="I4777" i="19"/>
  <c r="K4777" i="19"/>
  <c r="I4783" i="19"/>
  <c r="K4783" i="19"/>
  <c r="I4789" i="19"/>
  <c r="K4789" i="19"/>
  <c r="I4795" i="19"/>
  <c r="K4795" i="19"/>
  <c r="I4801" i="19"/>
  <c r="K4801" i="19"/>
  <c r="I4807" i="19"/>
  <c r="K4807" i="19"/>
  <c r="I4813" i="19"/>
  <c r="K4813" i="19"/>
  <c r="I4819" i="19"/>
  <c r="K4819" i="19"/>
  <c r="I4825" i="19"/>
  <c r="K4825" i="19"/>
  <c r="I4831" i="19"/>
  <c r="K4831" i="19"/>
  <c r="I4837" i="19"/>
  <c r="K4837" i="19"/>
  <c r="I4843" i="19"/>
  <c r="K4843" i="19"/>
  <c r="I4849" i="19"/>
  <c r="K4849" i="19"/>
  <c r="I4855" i="19"/>
  <c r="K4855" i="19"/>
  <c r="I4861" i="19"/>
  <c r="K4861" i="19"/>
  <c r="I4867" i="19"/>
  <c r="K4867" i="19"/>
  <c r="I4873" i="19"/>
  <c r="K4873" i="19"/>
  <c r="I4879" i="19"/>
  <c r="K4879" i="19"/>
  <c r="I4885" i="19"/>
  <c r="K4885" i="19"/>
  <c r="I4891" i="19"/>
  <c r="K4891" i="19"/>
  <c r="I4897" i="19"/>
  <c r="K4897" i="19"/>
  <c r="I4903" i="19"/>
  <c r="K4903" i="19"/>
  <c r="I4909" i="19"/>
  <c r="K4909" i="19"/>
  <c r="I4915" i="19"/>
  <c r="K4915" i="19"/>
  <c r="I4921" i="19"/>
  <c r="K4921" i="19"/>
  <c r="I4927" i="19"/>
  <c r="K4927" i="19"/>
  <c r="I4933" i="19"/>
  <c r="K4933" i="19"/>
  <c r="I805" i="19"/>
  <c r="K805" i="19"/>
  <c r="I826" i="19"/>
  <c r="K826" i="19"/>
  <c r="I869" i="19"/>
  <c r="K869" i="19"/>
  <c r="I901" i="19"/>
  <c r="K901" i="19"/>
  <c r="I923" i="19"/>
  <c r="K923" i="19"/>
  <c r="I985" i="19"/>
  <c r="K985" i="19"/>
  <c r="I1019" i="19"/>
  <c r="K1019" i="19"/>
  <c r="I1051" i="19"/>
  <c r="K1051" i="19"/>
  <c r="I1061" i="19"/>
  <c r="K1061" i="19"/>
  <c r="I1109" i="19"/>
  <c r="K1109" i="19"/>
  <c r="I1184" i="19"/>
  <c r="K1184" i="19"/>
  <c r="I1207" i="19"/>
  <c r="K1207" i="19"/>
  <c r="I130" i="19"/>
  <c r="K130" i="19"/>
  <c r="I138" i="19"/>
  <c r="K138" i="19"/>
  <c r="I198" i="19"/>
  <c r="K198" i="19"/>
  <c r="I249" i="19"/>
  <c r="K249" i="19"/>
  <c r="I267" i="19"/>
  <c r="K267" i="19"/>
  <c r="I318" i="19"/>
  <c r="K318" i="19"/>
  <c r="I335" i="19"/>
  <c r="K335" i="19"/>
  <c r="I343" i="19"/>
  <c r="K343" i="19"/>
  <c r="I360" i="19"/>
  <c r="K360" i="19"/>
  <c r="I377" i="19"/>
  <c r="K377" i="19"/>
  <c r="I392" i="19"/>
  <c r="K392" i="19"/>
  <c r="I465" i="19"/>
  <c r="K465" i="19"/>
  <c r="I568" i="19"/>
  <c r="K568" i="19"/>
  <c r="I575" i="19"/>
  <c r="K575" i="19"/>
  <c r="I625" i="19"/>
  <c r="K625" i="19"/>
  <c r="I632" i="19"/>
  <c r="K632" i="19"/>
  <c r="I668" i="19"/>
  <c r="K668" i="19"/>
  <c r="I697" i="19"/>
  <c r="K697" i="19"/>
  <c r="I704" i="19"/>
  <c r="K704" i="19"/>
  <c r="I718" i="19"/>
  <c r="K718" i="19"/>
  <c r="I725" i="19"/>
  <c r="K725" i="19"/>
  <c r="I732" i="19"/>
  <c r="K732" i="19"/>
  <c r="I739" i="19"/>
  <c r="K739" i="19"/>
  <c r="I746" i="19"/>
  <c r="K746" i="19"/>
  <c r="I775" i="19"/>
  <c r="K775" i="19"/>
  <c r="I5387" i="19"/>
  <c r="K5387" i="19"/>
  <c r="I5401" i="19"/>
  <c r="K5401" i="19"/>
  <c r="I5415" i="19"/>
  <c r="K5415" i="19"/>
  <c r="I5422" i="19"/>
  <c r="K5422" i="19"/>
  <c r="I5429" i="19"/>
  <c r="K5429" i="19"/>
  <c r="I5436" i="19"/>
  <c r="K5436" i="19"/>
  <c r="I5500" i="19"/>
  <c r="K5500" i="19"/>
  <c r="I5521" i="19"/>
  <c r="K5521" i="19"/>
  <c r="I5528" i="19"/>
  <c r="K5528" i="19"/>
  <c r="I5542" i="19"/>
  <c r="K5542" i="19"/>
  <c r="I5576" i="19"/>
  <c r="K5576" i="19"/>
  <c r="I5603" i="19"/>
  <c r="K5603" i="19"/>
  <c r="I5610" i="19"/>
  <c r="K5610" i="19"/>
  <c r="I5617" i="19"/>
  <c r="K5617" i="19"/>
  <c r="I5631" i="19"/>
  <c r="K5631" i="19"/>
  <c r="I4500" i="19"/>
  <c r="K4500" i="19"/>
  <c r="I4514" i="19"/>
  <c r="K4514" i="19"/>
  <c r="I4541" i="19"/>
  <c r="K4541" i="19"/>
  <c r="I4589" i="19"/>
  <c r="K4589" i="19"/>
  <c r="I4630" i="19"/>
  <c r="K4630" i="19"/>
  <c r="I4678" i="19"/>
  <c r="K4678" i="19"/>
  <c r="I4719" i="19"/>
  <c r="K4719" i="19"/>
  <c r="I4760" i="19"/>
  <c r="K4760" i="19"/>
  <c r="I4779" i="19"/>
  <c r="K4779" i="19"/>
  <c r="I4798" i="19"/>
  <c r="K4798" i="19"/>
  <c r="I4817" i="19"/>
  <c r="K4817" i="19"/>
  <c r="I4836" i="19"/>
  <c r="K4836" i="19"/>
  <c r="I4868" i="19"/>
  <c r="K4868" i="19"/>
  <c r="I4887" i="19"/>
  <c r="K4887" i="19"/>
  <c r="I4906" i="19"/>
  <c r="K4906" i="19"/>
  <c r="I4925" i="19"/>
  <c r="K4925" i="19"/>
  <c r="I5112" i="19"/>
  <c r="K5112" i="19"/>
  <c r="I5131" i="19"/>
  <c r="K5131" i="19"/>
  <c r="I5150" i="19"/>
  <c r="K5150" i="19"/>
  <c r="I5169" i="19"/>
  <c r="K5169" i="19"/>
  <c r="I5188" i="19"/>
  <c r="K5188" i="19"/>
  <c r="I5220" i="19"/>
  <c r="K5220" i="19"/>
  <c r="I5239" i="19"/>
  <c r="K5239" i="19"/>
  <c r="I5258" i="19"/>
  <c r="K5258" i="19"/>
  <c r="I5277" i="19"/>
  <c r="K5277" i="19"/>
  <c r="I5296" i="19"/>
  <c r="K5296" i="19"/>
  <c r="I5328" i="19"/>
  <c r="K5328" i="19"/>
  <c r="I5347" i="19"/>
  <c r="K5347" i="19"/>
  <c r="I4448" i="19"/>
  <c r="K4448" i="19"/>
  <c r="I4476" i="19"/>
  <c r="K4476" i="19"/>
  <c r="I2045" i="19"/>
  <c r="K2045" i="19"/>
  <c r="I2084" i="19"/>
  <c r="K2084" i="19"/>
  <c r="I2117" i="19"/>
  <c r="K2117" i="19"/>
  <c r="I2137" i="19"/>
  <c r="K2137" i="19"/>
  <c r="I2150" i="19"/>
  <c r="K2150" i="19"/>
  <c r="I2163" i="19"/>
  <c r="K2163" i="19"/>
  <c r="I2176" i="19"/>
  <c r="K2176" i="19"/>
  <c r="I2196" i="19"/>
  <c r="K2196" i="19"/>
  <c r="I2229" i="19"/>
  <c r="K2229" i="19"/>
  <c r="I2255" i="19"/>
  <c r="K2255" i="19"/>
  <c r="I2261" i="19"/>
  <c r="K2261" i="19"/>
  <c r="I2267" i="19"/>
  <c r="K2267" i="19"/>
  <c r="I2273" i="19"/>
  <c r="K2273" i="19"/>
  <c r="I2279" i="19"/>
  <c r="K2279" i="19"/>
  <c r="I2285" i="19"/>
  <c r="K2285" i="19"/>
  <c r="I2291" i="19"/>
  <c r="K2291" i="19"/>
  <c r="I2297" i="19"/>
  <c r="K2297" i="19"/>
  <c r="I2303" i="19"/>
  <c r="K2303" i="19"/>
  <c r="I2309" i="19"/>
  <c r="K2309" i="19"/>
  <c r="I2326" i="19"/>
  <c r="K2326" i="19"/>
  <c r="I2345" i="19"/>
  <c r="K2345" i="19"/>
  <c r="I1288" i="19"/>
  <c r="K1288" i="19"/>
  <c r="I1294" i="19"/>
  <c r="K1294" i="19"/>
  <c r="I1300" i="19"/>
  <c r="K1300" i="19"/>
  <c r="I1306" i="19"/>
  <c r="K1306" i="19"/>
  <c r="I1312" i="19"/>
  <c r="K1312" i="19"/>
  <c r="I1318" i="19"/>
  <c r="K1318" i="19"/>
  <c r="I1324" i="19"/>
  <c r="K1324" i="19"/>
  <c r="I1330" i="19"/>
  <c r="K1330" i="19"/>
  <c r="I1336" i="19"/>
  <c r="K1336" i="19"/>
  <c r="I1342" i="19"/>
  <c r="K1342" i="19"/>
  <c r="I1348" i="19"/>
  <c r="K1348" i="19"/>
  <c r="I1354" i="19"/>
  <c r="K1354" i="19"/>
  <c r="I1360" i="19"/>
  <c r="K1360" i="19"/>
  <c r="I1366" i="19"/>
  <c r="K1366" i="19"/>
  <c r="I1372" i="19"/>
  <c r="K1372" i="19"/>
  <c r="I1378" i="19"/>
  <c r="K1378" i="19"/>
  <c r="I1384" i="19"/>
  <c r="K1384" i="19"/>
  <c r="I1390" i="19"/>
  <c r="K1390" i="19"/>
  <c r="I1396" i="19"/>
  <c r="K1396" i="19"/>
  <c r="I1402" i="19"/>
  <c r="K1402" i="19"/>
  <c r="I1408" i="19"/>
  <c r="K1408" i="19"/>
  <c r="I1414" i="19"/>
  <c r="K1414" i="19"/>
  <c r="I1420" i="19"/>
  <c r="K1420" i="19"/>
  <c r="I1426" i="19"/>
  <c r="K1426" i="19"/>
  <c r="I1432" i="19"/>
  <c r="K1432" i="19"/>
  <c r="I1438" i="19"/>
  <c r="K1438" i="19"/>
  <c r="I1444" i="19"/>
  <c r="K1444" i="19"/>
  <c r="I1450" i="19"/>
  <c r="K1450" i="19"/>
  <c r="I1456" i="19"/>
  <c r="K1456" i="19"/>
  <c r="I1462" i="19"/>
  <c r="K1462" i="19"/>
  <c r="I859" i="19"/>
  <c r="K859" i="19"/>
  <c r="I965" i="19"/>
  <c r="K965" i="19"/>
  <c r="I1086" i="19"/>
  <c r="K1086" i="19"/>
  <c r="I1112" i="19"/>
  <c r="K1112" i="19"/>
  <c r="I1159" i="19"/>
  <c r="K1159" i="19"/>
  <c r="I1186" i="19"/>
  <c r="K1186" i="19"/>
  <c r="I1211" i="19"/>
  <c r="K1211" i="19"/>
  <c r="I1235" i="19"/>
  <c r="K1235" i="19"/>
  <c r="I1259" i="19"/>
  <c r="K1259" i="19"/>
  <c r="I49" i="19"/>
  <c r="K49" i="19"/>
  <c r="I105" i="19"/>
  <c r="K105" i="19"/>
  <c r="I147" i="19"/>
  <c r="K147" i="19"/>
  <c r="I191" i="19"/>
  <c r="K191" i="19"/>
  <c r="I233" i="19"/>
  <c r="K233" i="19"/>
  <c r="I301" i="19"/>
  <c r="K301" i="19"/>
  <c r="I309" i="19"/>
  <c r="K309" i="19"/>
  <c r="I327" i="19"/>
  <c r="K327" i="19"/>
  <c r="I352" i="19"/>
  <c r="K352" i="19"/>
  <c r="I400" i="19"/>
  <c r="K400" i="19"/>
  <c r="I407" i="19"/>
  <c r="K407" i="19"/>
  <c r="I444" i="19"/>
  <c r="K444" i="19"/>
  <c r="I451" i="19"/>
  <c r="K451" i="19"/>
  <c r="I458" i="19"/>
  <c r="K458" i="19"/>
  <c r="I488" i="19"/>
  <c r="K488" i="19"/>
  <c r="I495" i="19"/>
  <c r="K495" i="19"/>
  <c r="I524" i="19"/>
  <c r="K524" i="19"/>
  <c r="I532" i="19"/>
  <c r="K532" i="19"/>
  <c r="I539" i="19"/>
  <c r="K539" i="19"/>
  <c r="I546" i="19"/>
  <c r="K546" i="19"/>
  <c r="I598" i="19"/>
  <c r="K598" i="19"/>
  <c r="I640" i="19"/>
  <c r="K640" i="19"/>
  <c r="I647" i="19"/>
  <c r="K647" i="19"/>
  <c r="I654" i="19"/>
  <c r="K654" i="19"/>
  <c r="I661" i="19"/>
  <c r="K661" i="19"/>
  <c r="I683" i="19"/>
  <c r="K683" i="19"/>
  <c r="I690" i="19"/>
  <c r="K690" i="19"/>
  <c r="I711" i="19"/>
  <c r="K711" i="19"/>
  <c r="I754" i="19"/>
  <c r="K754" i="19"/>
  <c r="I5364" i="19"/>
  <c r="K5364" i="19"/>
  <c r="I5372" i="19"/>
  <c r="K5372" i="19"/>
  <c r="I5394" i="19"/>
  <c r="K5394" i="19"/>
  <c r="I5451" i="19"/>
  <c r="K5451" i="19"/>
  <c r="I5458" i="19"/>
  <c r="K5458" i="19"/>
  <c r="I5465" i="19"/>
  <c r="K5465" i="19"/>
  <c r="I5472" i="19"/>
  <c r="K5472" i="19"/>
  <c r="I5479" i="19"/>
  <c r="K5479" i="19"/>
  <c r="I5493" i="19"/>
  <c r="K5493" i="19"/>
  <c r="I5549" i="19"/>
  <c r="K5549" i="19"/>
  <c r="I5556" i="19"/>
  <c r="K5556" i="19"/>
  <c r="I5563" i="19"/>
  <c r="K5563" i="19"/>
  <c r="I5583" i="19"/>
  <c r="K5583" i="19"/>
  <c r="I4493" i="19"/>
  <c r="K4493" i="19"/>
  <c r="I4521" i="19"/>
  <c r="K4521" i="19"/>
  <c r="I4548" i="19"/>
  <c r="K4548" i="19"/>
  <c r="I4569" i="19"/>
  <c r="K4569" i="19"/>
  <c r="I4596" i="19"/>
  <c r="K4596" i="19"/>
  <c r="I4610" i="19"/>
  <c r="K4610" i="19"/>
  <c r="I4637" i="19"/>
  <c r="K4637" i="19"/>
  <c r="I4644" i="19"/>
  <c r="K4644" i="19"/>
  <c r="I4658" i="19"/>
  <c r="K4658" i="19"/>
  <c r="I4685" i="19"/>
  <c r="K4685" i="19"/>
  <c r="I4692" i="19"/>
  <c r="K4692" i="19"/>
  <c r="I4726" i="19"/>
  <c r="K4726" i="19"/>
  <c r="I4733" i="19"/>
  <c r="K4733" i="19"/>
  <c r="I4754" i="19"/>
  <c r="K4754" i="19"/>
  <c r="I4773" i="19"/>
  <c r="K4773" i="19"/>
  <c r="I4792" i="19"/>
  <c r="K4792" i="19"/>
  <c r="I4811" i="19"/>
  <c r="K4811" i="19"/>
  <c r="I4830" i="19"/>
  <c r="K4830" i="19"/>
  <c r="I4862" i="19"/>
  <c r="K4862" i="19"/>
  <c r="I4881" i="19"/>
  <c r="K4881" i="19"/>
  <c r="I4900" i="19"/>
  <c r="K4900" i="19"/>
  <c r="I4919" i="19"/>
  <c r="K4919" i="19"/>
  <c r="I4938" i="19"/>
  <c r="K4938" i="19"/>
  <c r="I4944" i="19"/>
  <c r="K4944" i="19"/>
  <c r="I4950" i="19"/>
  <c r="K4950" i="19"/>
  <c r="I4956" i="19"/>
  <c r="K4956" i="19"/>
  <c r="I4962" i="19"/>
  <c r="K4962" i="19"/>
  <c r="I4968" i="19"/>
  <c r="K4968" i="19"/>
  <c r="I4974" i="19"/>
  <c r="K4974" i="19"/>
  <c r="I4980" i="19"/>
  <c r="K4980" i="19"/>
  <c r="I4986" i="19"/>
  <c r="K4986" i="19"/>
  <c r="I4992" i="19"/>
  <c r="K4992" i="19"/>
  <c r="I4998" i="19"/>
  <c r="K4998" i="19"/>
  <c r="I5004" i="19"/>
  <c r="K5004" i="19"/>
  <c r="I5010" i="19"/>
  <c r="K5010" i="19"/>
  <c r="I5016" i="19"/>
  <c r="K5016" i="19"/>
  <c r="I5022" i="19"/>
  <c r="K5022" i="19"/>
  <c r="I5028" i="19"/>
  <c r="K5028" i="19"/>
  <c r="I5034" i="19"/>
  <c r="K5034" i="19"/>
  <c r="I5040" i="19"/>
  <c r="K5040" i="19"/>
  <c r="I5046" i="19"/>
  <c r="K5046" i="19"/>
  <c r="I5052" i="19"/>
  <c r="K5052" i="19"/>
  <c r="I5058" i="19"/>
  <c r="K5058" i="19"/>
  <c r="I5064" i="19"/>
  <c r="K5064" i="19"/>
  <c r="I5072" i="19"/>
  <c r="K5072" i="19"/>
  <c r="I5106" i="19"/>
  <c r="K5106" i="19"/>
  <c r="I5125" i="19"/>
  <c r="K5125" i="19"/>
  <c r="I5144" i="19"/>
  <c r="K5144" i="19"/>
  <c r="I5163" i="19"/>
  <c r="K5163" i="19"/>
  <c r="I5182" i="19"/>
  <c r="K5182" i="19"/>
  <c r="I5214" i="19"/>
  <c r="K5214" i="19"/>
  <c r="I5233" i="19"/>
  <c r="K5233" i="19"/>
  <c r="I5252" i="19"/>
  <c r="K5252" i="19"/>
  <c r="I5271" i="19"/>
  <c r="K5271" i="19"/>
  <c r="I5290" i="19"/>
  <c r="K5290" i="19"/>
  <c r="I5322" i="19"/>
  <c r="K5322" i="19"/>
  <c r="I5341" i="19"/>
  <c r="K5341" i="19"/>
  <c r="I3913" i="19"/>
  <c r="K3913" i="19"/>
  <c r="I3920" i="19"/>
  <c r="K3920" i="19"/>
  <c r="I4456" i="19"/>
  <c r="K4456" i="19"/>
  <c r="I2039" i="19"/>
  <c r="K2039" i="19"/>
  <c r="I2058" i="19"/>
  <c r="K2058" i="19"/>
  <c r="I2078" i="19"/>
  <c r="K2078" i="19"/>
  <c r="I2091" i="19"/>
  <c r="K2091" i="19"/>
  <c r="I2104" i="19"/>
  <c r="K2104" i="19"/>
  <c r="I2124" i="19"/>
  <c r="K2124" i="19"/>
  <c r="I2170" i="19"/>
  <c r="K2170" i="19"/>
  <c r="I2183" i="19"/>
  <c r="K2183" i="19"/>
  <c r="I2190" i="19"/>
  <c r="K2190" i="19"/>
  <c r="I2203" i="19"/>
  <c r="K2203" i="19"/>
  <c r="I2216" i="19"/>
  <c r="K2216" i="19"/>
  <c r="I2317" i="19"/>
  <c r="K2317" i="19"/>
  <c r="I2336" i="19"/>
  <c r="K2336" i="19"/>
  <c r="I2355" i="19"/>
  <c r="K2355" i="19"/>
  <c r="I2364" i="19"/>
  <c r="K2364" i="19"/>
  <c r="I2373" i="19"/>
  <c r="K2373" i="19"/>
  <c r="I2382" i="19"/>
  <c r="K2382" i="19"/>
  <c r="I2391" i="19"/>
  <c r="K2391" i="19"/>
  <c r="I2400" i="19"/>
  <c r="K2400" i="19"/>
  <c r="I2409" i="19"/>
  <c r="K2409" i="19"/>
  <c r="I2418" i="19"/>
  <c r="K2418" i="19"/>
  <c r="I2427" i="19"/>
  <c r="K2427" i="19"/>
  <c r="I2436" i="19"/>
  <c r="K2436" i="19"/>
  <c r="I2445" i="19"/>
  <c r="K2445" i="19"/>
  <c r="I2454" i="19"/>
  <c r="K2454" i="19"/>
  <c r="I2463" i="19"/>
  <c r="K2463" i="19"/>
  <c r="I2472" i="19"/>
  <c r="K2472" i="19"/>
  <c r="I2481" i="19"/>
  <c r="K2481" i="19"/>
  <c r="I2490" i="19"/>
  <c r="K2490" i="19"/>
  <c r="I2499" i="19"/>
  <c r="K2499" i="19"/>
  <c r="I2508" i="19"/>
  <c r="K2508" i="19"/>
  <c r="I1265" i="19"/>
  <c r="K1265" i="19"/>
  <c r="I787" i="19"/>
  <c r="K787" i="19"/>
  <c r="I817" i="19"/>
  <c r="K817" i="19"/>
  <c r="I839" i="19"/>
  <c r="K839" i="19"/>
  <c r="I935" i="19"/>
  <c r="K935" i="19"/>
  <c r="I988" i="19"/>
  <c r="K988" i="19"/>
  <c r="I1043" i="19"/>
  <c r="K1043" i="19"/>
  <c r="I1063" i="19"/>
  <c r="K1063" i="19"/>
  <c r="I1139" i="19"/>
  <c r="K1139" i="19"/>
  <c r="I1162" i="19"/>
  <c r="K1162" i="19"/>
  <c r="I1239" i="19"/>
  <c r="K1239" i="19"/>
  <c r="I40" i="19"/>
  <c r="K40" i="19"/>
  <c r="I62" i="19"/>
  <c r="K62" i="19"/>
  <c r="I166" i="19"/>
  <c r="K166" i="19"/>
  <c r="I192" i="19"/>
  <c r="K192" i="19"/>
  <c r="I226" i="19"/>
  <c r="K226" i="19"/>
  <c r="I234" i="19"/>
  <c r="K234" i="19"/>
  <c r="I269" i="19"/>
  <c r="K269" i="19"/>
  <c r="I285" i="19"/>
  <c r="K285" i="19"/>
  <c r="I302" i="19"/>
  <c r="K302" i="19"/>
  <c r="I337" i="19"/>
  <c r="K337" i="19"/>
  <c r="I362" i="19"/>
  <c r="K362" i="19"/>
  <c r="I379" i="19"/>
  <c r="K379" i="19"/>
  <c r="I401" i="19"/>
  <c r="K401" i="19"/>
  <c r="I408" i="19"/>
  <c r="K408" i="19"/>
  <c r="I445" i="19"/>
  <c r="K445" i="19"/>
  <c r="I799" i="19"/>
  <c r="K799" i="19"/>
  <c r="I809" i="19"/>
  <c r="K809" i="19"/>
  <c r="I895" i="19"/>
  <c r="K895" i="19"/>
  <c r="I937" i="19"/>
  <c r="K937" i="19"/>
  <c r="I970" i="19"/>
  <c r="K970" i="19"/>
  <c r="I1012" i="19"/>
  <c r="K1012" i="19"/>
  <c r="I1069" i="19"/>
  <c r="K1069" i="19"/>
  <c r="I1095" i="19"/>
  <c r="K1095" i="19"/>
  <c r="I1148" i="19"/>
  <c r="K1148" i="19"/>
  <c r="I1196" i="19"/>
  <c r="K1196" i="19"/>
  <c r="I1244" i="19"/>
  <c r="K1244" i="19"/>
  <c r="I13" i="19"/>
  <c r="K13" i="19"/>
  <c r="I32" i="19"/>
  <c r="K32" i="19"/>
  <c r="I125" i="19"/>
  <c r="K125" i="19"/>
  <c r="I134" i="19"/>
  <c r="K134" i="19"/>
  <c r="I142" i="19"/>
  <c r="K142" i="19"/>
  <c r="I185" i="19"/>
  <c r="K185" i="19"/>
  <c r="I219" i="19"/>
  <c r="K219" i="19"/>
  <c r="I228" i="19"/>
  <c r="K228" i="19"/>
  <c r="I295" i="19"/>
  <c r="K295" i="19"/>
  <c r="I823" i="19"/>
  <c r="K823" i="19"/>
  <c r="I833" i="19"/>
  <c r="K833" i="19"/>
  <c r="I877" i="19"/>
  <c r="K877" i="19"/>
  <c r="I941" i="19"/>
  <c r="K941" i="19"/>
  <c r="I1048" i="19"/>
  <c r="K1048" i="19"/>
  <c r="I1100" i="19"/>
  <c r="K1100" i="19"/>
  <c r="I1130" i="19"/>
  <c r="K1130" i="19"/>
  <c r="I1176" i="19"/>
  <c r="K1176" i="19"/>
  <c r="I1202" i="19"/>
  <c r="K1202" i="19"/>
  <c r="I1225" i="19"/>
  <c r="K1225" i="19"/>
  <c r="I103" i="19"/>
  <c r="K103" i="19"/>
  <c r="I196" i="19"/>
  <c r="K196" i="19"/>
  <c r="I230" i="19"/>
  <c r="K230" i="19"/>
  <c r="I247" i="19"/>
  <c r="K247" i="19"/>
  <c r="I255" i="19"/>
  <c r="K255" i="19"/>
  <c r="I264" i="19"/>
  <c r="K264" i="19"/>
  <c r="I786" i="19"/>
  <c r="K786" i="19"/>
  <c r="I798" i="19"/>
  <c r="K798" i="19"/>
  <c r="I1057" i="19"/>
  <c r="K1057" i="19"/>
  <c r="I1081" i="19"/>
  <c r="K1081" i="19"/>
  <c r="I1153" i="19"/>
  <c r="K1153" i="19"/>
  <c r="I1189" i="19"/>
  <c r="K1189" i="19"/>
  <c r="I1222" i="19"/>
  <c r="K1222" i="19"/>
  <c r="I97" i="19"/>
  <c r="K97" i="19"/>
  <c r="I116" i="19"/>
  <c r="K116" i="19"/>
  <c r="I136" i="19"/>
  <c r="K136" i="19"/>
  <c r="I195" i="19"/>
  <c r="K195" i="19"/>
  <c r="I214" i="19"/>
  <c r="K214" i="19"/>
  <c r="I244" i="19"/>
  <c r="K244" i="19"/>
  <c r="I324" i="19"/>
  <c r="K324" i="19"/>
  <c r="I421" i="19"/>
  <c r="K421" i="19"/>
  <c r="I453" i="19"/>
  <c r="K453" i="19"/>
  <c r="I530" i="19"/>
  <c r="K530" i="19"/>
  <c r="I538" i="19"/>
  <c r="K538" i="19"/>
  <c r="I561" i="19"/>
  <c r="K561" i="19"/>
  <c r="I570" i="19"/>
  <c r="K570" i="19"/>
  <c r="I585" i="19"/>
  <c r="K585" i="19"/>
  <c r="I593" i="19"/>
  <c r="K593" i="19"/>
  <c r="I615" i="19"/>
  <c r="K615" i="19"/>
  <c r="I638" i="19"/>
  <c r="K638" i="19"/>
  <c r="I653" i="19"/>
  <c r="K653" i="19"/>
  <c r="I676" i="19"/>
  <c r="K676" i="19"/>
  <c r="I684" i="19"/>
  <c r="K684" i="19"/>
  <c r="I691" i="19"/>
  <c r="K691" i="19"/>
  <c r="I699" i="19"/>
  <c r="K699" i="19"/>
  <c r="I707" i="19"/>
  <c r="K707" i="19"/>
  <c r="I714" i="19"/>
  <c r="K714" i="19"/>
  <c r="I738" i="19"/>
  <c r="K738" i="19"/>
  <c r="I762" i="19"/>
  <c r="K762" i="19"/>
  <c r="I777" i="19"/>
  <c r="K777" i="19"/>
  <c r="I5460" i="19"/>
  <c r="K5460" i="19"/>
  <c r="I5475" i="19"/>
  <c r="K5475" i="19"/>
  <c r="I5490" i="19"/>
  <c r="K5490" i="19"/>
  <c r="I5513" i="19"/>
  <c r="K5513" i="19"/>
  <c r="I5565" i="19"/>
  <c r="K5565" i="19"/>
  <c r="I5572" i="19"/>
  <c r="K5572" i="19"/>
  <c r="I5580" i="19"/>
  <c r="K5580" i="19"/>
  <c r="I5587" i="19"/>
  <c r="K5587" i="19"/>
  <c r="I4502" i="19"/>
  <c r="K4502" i="19"/>
  <c r="I4509" i="19"/>
  <c r="K4509" i="19"/>
  <c r="I4546" i="19"/>
  <c r="K4546" i="19"/>
  <c r="I4553" i="19"/>
  <c r="K4553" i="19"/>
  <c r="I4560" i="19"/>
  <c r="K4560" i="19"/>
  <c r="I4590" i="19"/>
  <c r="K4590" i="19"/>
  <c r="I4634" i="19"/>
  <c r="K4634" i="19"/>
  <c r="I4714" i="19"/>
  <c r="K4714" i="19"/>
  <c r="I4806" i="19"/>
  <c r="K4806" i="19"/>
  <c r="I4820" i="19"/>
  <c r="K4820" i="19"/>
  <c r="I4847" i="19"/>
  <c r="K4847" i="19"/>
  <c r="I4895" i="19"/>
  <c r="K4895" i="19"/>
  <c r="I4936" i="19"/>
  <c r="K4936" i="19"/>
  <c r="I4955" i="19"/>
  <c r="K4955" i="19"/>
  <c r="I4987" i="19"/>
  <c r="K4987" i="19"/>
  <c r="I5006" i="19"/>
  <c r="K5006" i="19"/>
  <c r="I5025" i="19"/>
  <c r="K5025" i="19"/>
  <c r="I5044" i="19"/>
  <c r="K5044" i="19"/>
  <c r="I5063" i="19"/>
  <c r="K5063" i="19"/>
  <c r="I5094" i="19"/>
  <c r="K5094" i="19"/>
  <c r="I5107" i="19"/>
  <c r="K5107" i="19"/>
  <c r="I5114" i="19"/>
  <c r="K5114" i="19"/>
  <c r="I5148" i="19"/>
  <c r="K5148" i="19"/>
  <c r="I5155" i="19"/>
  <c r="K5155" i="19"/>
  <c r="I5203" i="19"/>
  <c r="K5203" i="19"/>
  <c r="I5230" i="19"/>
  <c r="K5230" i="19"/>
  <c r="I5244" i="19"/>
  <c r="K5244" i="19"/>
  <c r="I5292" i="19"/>
  <c r="K5292" i="19"/>
  <c r="I5299" i="19"/>
  <c r="K5299" i="19"/>
  <c r="I5319" i="19"/>
  <c r="K5319" i="19"/>
  <c r="I3940" i="19"/>
  <c r="K3940" i="19"/>
  <c r="I3959" i="19"/>
  <c r="K3959" i="19"/>
  <c r="I3978" i="19"/>
  <c r="K3978" i="19"/>
  <c r="I3997" i="19"/>
  <c r="K3997" i="19"/>
  <c r="I4016" i="19"/>
  <c r="K4016" i="19"/>
  <c r="I4029" i="19"/>
  <c r="K4029" i="19"/>
  <c r="I4048" i="19"/>
  <c r="K4048" i="19"/>
  <c r="I4067" i="19"/>
  <c r="K4067" i="19"/>
  <c r="I4086" i="19"/>
  <c r="K4086" i="19"/>
  <c r="I4105" i="19"/>
  <c r="K4105" i="19"/>
  <c r="I4124" i="19"/>
  <c r="K4124" i="19"/>
  <c r="I4137" i="19"/>
  <c r="K4137" i="19"/>
  <c r="I4156" i="19"/>
  <c r="K4156" i="19"/>
  <c r="I4175" i="19"/>
  <c r="K4175" i="19"/>
  <c r="I4194" i="19"/>
  <c r="K4194" i="19"/>
  <c r="I4213" i="19"/>
  <c r="K4213" i="19"/>
  <c r="I4232" i="19"/>
  <c r="K4232" i="19"/>
  <c r="I4245" i="19"/>
  <c r="K4245" i="19"/>
  <c r="I4264" i="19"/>
  <c r="K4264" i="19"/>
  <c r="I4283" i="19"/>
  <c r="K4283" i="19"/>
  <c r="I4302" i="19"/>
  <c r="K4302" i="19"/>
  <c r="I4321" i="19"/>
  <c r="K4321" i="19"/>
  <c r="I4340" i="19"/>
  <c r="K4340" i="19"/>
  <c r="I4353" i="19"/>
  <c r="K4353" i="19"/>
  <c r="I4372" i="19"/>
  <c r="K4372" i="19"/>
  <c r="I4391" i="19"/>
  <c r="K4391" i="19"/>
  <c r="I4410" i="19"/>
  <c r="K4410" i="19"/>
  <c r="I4429" i="19"/>
  <c r="K4429" i="19"/>
  <c r="I4463" i="19"/>
  <c r="K4463" i="19"/>
  <c r="I2035" i="19"/>
  <c r="K2035" i="19"/>
  <c r="I2062" i="19"/>
  <c r="K2062" i="19"/>
  <c r="I2076" i="19"/>
  <c r="K2076" i="19"/>
  <c r="I2083" i="19"/>
  <c r="K2083" i="19"/>
  <c r="I2154" i="19"/>
  <c r="K2154" i="19"/>
  <c r="I2161" i="19"/>
  <c r="K2161" i="19"/>
  <c r="I2175" i="19"/>
  <c r="K2175" i="19"/>
  <c r="I2197" i="19"/>
  <c r="K2197" i="19"/>
  <c r="I2204" i="19"/>
  <c r="K2204" i="19"/>
  <c r="I2211" i="19"/>
  <c r="K2211" i="19"/>
  <c r="I2218" i="19"/>
  <c r="K2218" i="19"/>
  <c r="I2225" i="19"/>
  <c r="K2225" i="19"/>
  <c r="I2246" i="19"/>
  <c r="K2246" i="19"/>
  <c r="I2253" i="19"/>
  <c r="K2253" i="19"/>
  <c r="I2287" i="19"/>
  <c r="K2287" i="19"/>
  <c r="I2307" i="19"/>
  <c r="K2307" i="19"/>
  <c r="I2314" i="19"/>
  <c r="K2314" i="19"/>
  <c r="I2325" i="19"/>
  <c r="K2325" i="19"/>
  <c r="I2347" i="19"/>
  <c r="K2347" i="19"/>
  <c r="I1285" i="19"/>
  <c r="K1285" i="19"/>
  <c r="I1298" i="19"/>
  <c r="K1298" i="19"/>
  <c r="I1332" i="19"/>
  <c r="K1332" i="19"/>
  <c r="I1352" i="19"/>
  <c r="K1352" i="19"/>
  <c r="I1386" i="19"/>
  <c r="K1386" i="19"/>
  <c r="I1406" i="19"/>
  <c r="K1406" i="19"/>
  <c r="I1440" i="19"/>
  <c r="K1440" i="19"/>
  <c r="I1460" i="19"/>
  <c r="K1460" i="19"/>
  <c r="F1610" i="19"/>
  <c r="H1610" i="19"/>
  <c r="I1122" i="19"/>
  <c r="K1122" i="19"/>
  <c r="I1190" i="19"/>
  <c r="K1190" i="19"/>
  <c r="I1257" i="19"/>
  <c r="K1257" i="19"/>
  <c r="I19" i="19"/>
  <c r="K19" i="19"/>
  <c r="I107" i="19"/>
  <c r="K107" i="19"/>
  <c r="I235" i="19"/>
  <c r="K235" i="19"/>
  <c r="I276" i="19"/>
  <c r="K276" i="19"/>
  <c r="I333" i="19"/>
  <c r="K333" i="19"/>
  <c r="I372" i="19"/>
  <c r="K372" i="19"/>
  <c r="I389" i="19"/>
  <c r="K389" i="19"/>
  <c r="I414" i="19"/>
  <c r="K414" i="19"/>
  <c r="I469" i="19"/>
  <c r="K469" i="19"/>
  <c r="I484" i="19"/>
  <c r="K484" i="19"/>
  <c r="I507" i="19"/>
  <c r="K507" i="19"/>
  <c r="I515" i="19"/>
  <c r="K515" i="19"/>
  <c r="I554" i="19"/>
  <c r="K554" i="19"/>
  <c r="I578" i="19"/>
  <c r="K578" i="19"/>
  <c r="I608" i="19"/>
  <c r="K608" i="19"/>
  <c r="I646" i="19"/>
  <c r="K646" i="19"/>
  <c r="I5376" i="19"/>
  <c r="K5376" i="19"/>
  <c r="I5407" i="19"/>
  <c r="K5407" i="19"/>
  <c r="I5431" i="19"/>
  <c r="K5431" i="19"/>
  <c r="I5446" i="19"/>
  <c r="K5446" i="19"/>
  <c r="I5453" i="19"/>
  <c r="K5453" i="19"/>
  <c r="I5529" i="19"/>
  <c r="K5529" i="19"/>
  <c r="I5536" i="19"/>
  <c r="K5536" i="19"/>
  <c r="I5544" i="19"/>
  <c r="K5544" i="19"/>
  <c r="I5551" i="19"/>
  <c r="K5551" i="19"/>
  <c r="I5558" i="19"/>
  <c r="K5558" i="19"/>
  <c r="I5632" i="19"/>
  <c r="K5632" i="19"/>
  <c r="I4494" i="19"/>
  <c r="K4494" i="19"/>
  <c r="I4517" i="19"/>
  <c r="K4517" i="19"/>
  <c r="I4532" i="19"/>
  <c r="K4532" i="19"/>
  <c r="I4539" i="19"/>
  <c r="K4539" i="19"/>
  <c r="I4568" i="19"/>
  <c r="K4568" i="19"/>
  <c r="I4583" i="19"/>
  <c r="K4583" i="19"/>
  <c r="I4605" i="19"/>
  <c r="K4605" i="19"/>
  <c r="I4612" i="19"/>
  <c r="K4612" i="19"/>
  <c r="I4700" i="19"/>
  <c r="K4700" i="19"/>
  <c r="I4707" i="19"/>
  <c r="K4707" i="19"/>
  <c r="I4722" i="19"/>
  <c r="K4722" i="19"/>
  <c r="I4751" i="19"/>
  <c r="K4751" i="19"/>
  <c r="I4758" i="19"/>
  <c r="K4758" i="19"/>
  <c r="I4772" i="19"/>
  <c r="K4772" i="19"/>
  <c r="I4786" i="19"/>
  <c r="K4786" i="19"/>
  <c r="I4827" i="19"/>
  <c r="K4827" i="19"/>
  <c r="I4854" i="19"/>
  <c r="K4854" i="19"/>
  <c r="I4875" i="19"/>
  <c r="K4875" i="19"/>
  <c r="I4902" i="19"/>
  <c r="K4902" i="19"/>
  <c r="I4916" i="19"/>
  <c r="K4916" i="19"/>
  <c r="I4949" i="19"/>
  <c r="K4949" i="19"/>
  <c r="I4981" i="19"/>
  <c r="K4981" i="19"/>
  <c r="I5000" i="19"/>
  <c r="K5000" i="19"/>
  <c r="I5019" i="19"/>
  <c r="K5019" i="19"/>
  <c r="I5038" i="19"/>
  <c r="K5038" i="19"/>
  <c r="I5057" i="19"/>
  <c r="K5057" i="19"/>
  <c r="I5079" i="19"/>
  <c r="K5079" i="19"/>
  <c r="I5121" i="19"/>
  <c r="K5121" i="19"/>
  <c r="I5162" i="19"/>
  <c r="K5162" i="19"/>
  <c r="I5176" i="19"/>
  <c r="K5176" i="19"/>
  <c r="I5190" i="19"/>
  <c r="K5190" i="19"/>
  <c r="I5210" i="19"/>
  <c r="K5210" i="19"/>
  <c r="I5251" i="19"/>
  <c r="K5251" i="19"/>
  <c r="I5265" i="19"/>
  <c r="K5265" i="19"/>
  <c r="I5306" i="19"/>
  <c r="K5306" i="19"/>
  <c r="I5326" i="19"/>
  <c r="K5326" i="19"/>
  <c r="I5340" i="19"/>
  <c r="K5340" i="19"/>
  <c r="I3934" i="19"/>
  <c r="K3934" i="19"/>
  <c r="I3953" i="19"/>
  <c r="K3953" i="19"/>
  <c r="I3972" i="19"/>
  <c r="K3972" i="19"/>
  <c r="I3991" i="19"/>
  <c r="K3991" i="19"/>
  <c r="I4010" i="19"/>
  <c r="K4010" i="19"/>
  <c r="I4023" i="19"/>
  <c r="K4023" i="19"/>
  <c r="I4042" i="19"/>
  <c r="K4042" i="19"/>
  <c r="I4061" i="19"/>
  <c r="K4061" i="19"/>
  <c r="I4080" i="19"/>
  <c r="K4080" i="19"/>
  <c r="I4099" i="19"/>
  <c r="K4099" i="19"/>
  <c r="I4118" i="19"/>
  <c r="K4118" i="19"/>
  <c r="I4131" i="19"/>
  <c r="K4131" i="19"/>
  <c r="I4150" i="19"/>
  <c r="K4150" i="19"/>
  <c r="I4169" i="19"/>
  <c r="K4169" i="19"/>
  <c r="I4188" i="19"/>
  <c r="K4188" i="19"/>
  <c r="I4207" i="19"/>
  <c r="K4207" i="19"/>
  <c r="I4226" i="19"/>
  <c r="K4226" i="19"/>
  <c r="I4239" i="19"/>
  <c r="K4239" i="19"/>
  <c r="I4258" i="19"/>
  <c r="K4258" i="19"/>
  <c r="I4277" i="19"/>
  <c r="K4277" i="19"/>
  <c r="I4296" i="19"/>
  <c r="K4296" i="19"/>
  <c r="I4315" i="19"/>
  <c r="K4315" i="19"/>
  <c r="I4334" i="19"/>
  <c r="K4334" i="19"/>
  <c r="I4347" i="19"/>
  <c r="K4347" i="19"/>
  <c r="I4366" i="19"/>
  <c r="K4366" i="19"/>
  <c r="I4385" i="19"/>
  <c r="K4385" i="19"/>
  <c r="I4404" i="19"/>
  <c r="K4404" i="19"/>
  <c r="I4423" i="19"/>
  <c r="K4423" i="19"/>
  <c r="I4442" i="19"/>
  <c r="K4442" i="19"/>
  <c r="I4478" i="19"/>
  <c r="K4478" i="19"/>
  <c r="I2042" i="19"/>
  <c r="K2042" i="19"/>
  <c r="I2049" i="19"/>
  <c r="K2049" i="19"/>
  <c r="I2069" i="19"/>
  <c r="K2069" i="19"/>
  <c r="I2098" i="19"/>
  <c r="K2098" i="19"/>
  <c r="I2112" i="19"/>
  <c r="K2112" i="19"/>
  <c r="I2119" i="19"/>
  <c r="K2119" i="19"/>
  <c r="I2140" i="19"/>
  <c r="K2140" i="19"/>
  <c r="I2260" i="19"/>
  <c r="K2260" i="19"/>
  <c r="I2274" i="19"/>
  <c r="K2274" i="19"/>
  <c r="I2294" i="19"/>
  <c r="K2294" i="19"/>
  <c r="I2337" i="19"/>
  <c r="K2337" i="19"/>
  <c r="I2358" i="19"/>
  <c r="K2358" i="19"/>
  <c r="I2368" i="19"/>
  <c r="K2368" i="19"/>
  <c r="I2378" i="19"/>
  <c r="K2378" i="19"/>
  <c r="I2388" i="19"/>
  <c r="K2388" i="19"/>
  <c r="I2398" i="19"/>
  <c r="K2398" i="19"/>
  <c r="I2408" i="19"/>
  <c r="K2408" i="19"/>
  <c r="I2419" i="19"/>
  <c r="K2419" i="19"/>
  <c r="I2429" i="19"/>
  <c r="K2429" i="19"/>
  <c r="I2439" i="19"/>
  <c r="K2439" i="19"/>
  <c r="I2449" i="19"/>
  <c r="K2449" i="19"/>
  <c r="I2459" i="19"/>
  <c r="K2459" i="19"/>
  <c r="I2469" i="19"/>
  <c r="K2469" i="19"/>
  <c r="I2479" i="19"/>
  <c r="K2479" i="19"/>
  <c r="I2489" i="19"/>
  <c r="K2489" i="19"/>
  <c r="I2500" i="19"/>
  <c r="K2500" i="19"/>
  <c r="I2510" i="19"/>
  <c r="K2510" i="19"/>
  <c r="I1279" i="19"/>
  <c r="K1279" i="19"/>
  <c r="I1305" i="19"/>
  <c r="K1305" i="19"/>
  <c r="I1319" i="19"/>
  <c r="K1319" i="19"/>
  <c r="I1339" i="19"/>
  <c r="K1339" i="19"/>
  <c r="I1359" i="19"/>
  <c r="K1359" i="19"/>
  <c r="I1373" i="19"/>
  <c r="K1373" i="19"/>
  <c r="I1393" i="19"/>
  <c r="K1393" i="19"/>
  <c r="I1413" i="19"/>
  <c r="K1413" i="19"/>
  <c r="I1427" i="19"/>
  <c r="K1427" i="19"/>
  <c r="I1447" i="19"/>
  <c r="K1447" i="19"/>
  <c r="I1467" i="19"/>
  <c r="K1467" i="19"/>
  <c r="I1473" i="19"/>
  <c r="K1473" i="19"/>
  <c r="I1479" i="19"/>
  <c r="K1479" i="19"/>
  <c r="I1485" i="19"/>
  <c r="K1485" i="19"/>
  <c r="I1491" i="19"/>
  <c r="K1491" i="19"/>
  <c r="I1497" i="19"/>
  <c r="K1497" i="19"/>
  <c r="I1503" i="19"/>
  <c r="K1503" i="19"/>
  <c r="I1509" i="19"/>
  <c r="K1509" i="19"/>
  <c r="I1515" i="19"/>
  <c r="K1515" i="19"/>
  <c r="I1521" i="19"/>
  <c r="K1521" i="19"/>
  <c r="I1527" i="19"/>
  <c r="K1527" i="19"/>
  <c r="I1533" i="19"/>
  <c r="K1533" i="19"/>
  <c r="I1539" i="19"/>
  <c r="K1539" i="19"/>
  <c r="I1545" i="19"/>
  <c r="K1545" i="19"/>
  <c r="I1551" i="19"/>
  <c r="K1551" i="19"/>
  <c r="I1557" i="19"/>
  <c r="K1557" i="19"/>
  <c r="I1563" i="19"/>
  <c r="K1563" i="19"/>
  <c r="I1569" i="19"/>
  <c r="K1569" i="19"/>
  <c r="I1575" i="19"/>
  <c r="K1575" i="19"/>
  <c r="I1581" i="19"/>
  <c r="K1581" i="19"/>
  <c r="I1587" i="19"/>
  <c r="K1587" i="19"/>
  <c r="I1593" i="19"/>
  <c r="K1593" i="19"/>
  <c r="I1599" i="19"/>
  <c r="K1599" i="19"/>
  <c r="I1605" i="19"/>
  <c r="K1605" i="19"/>
  <c r="I898" i="19"/>
  <c r="K898" i="19"/>
  <c r="I910" i="19"/>
  <c r="K910" i="19"/>
  <c r="I982" i="19"/>
  <c r="K982" i="19"/>
  <c r="I994" i="19"/>
  <c r="K994" i="19"/>
  <c r="I1088" i="19"/>
  <c r="K1088" i="19"/>
  <c r="I1123" i="19"/>
  <c r="K1123" i="19"/>
  <c r="I1154" i="19"/>
  <c r="K1154" i="19"/>
  <c r="I1193" i="19"/>
  <c r="K1193" i="19"/>
  <c r="I31" i="19"/>
  <c r="K31" i="19"/>
  <c r="I137" i="19"/>
  <c r="K137" i="19"/>
  <c r="I158" i="19"/>
  <c r="K158" i="19"/>
  <c r="I167" i="19"/>
  <c r="K167" i="19"/>
  <c r="I177" i="19"/>
  <c r="K177" i="19"/>
  <c r="I206" i="19"/>
  <c r="K206" i="19"/>
  <c r="I225" i="19"/>
  <c r="K225" i="19"/>
  <c r="I256" i="19"/>
  <c r="K256" i="19"/>
  <c r="I315" i="19"/>
  <c r="K315" i="19"/>
  <c r="I363" i="19"/>
  <c r="K363" i="19"/>
  <c r="I381" i="19"/>
  <c r="K381" i="19"/>
  <c r="I397" i="19"/>
  <c r="K397" i="19"/>
  <c r="I406" i="19"/>
  <c r="K406" i="19"/>
  <c r="I422" i="19"/>
  <c r="K422" i="19"/>
  <c r="I430" i="19"/>
  <c r="K430" i="19"/>
  <c r="I438" i="19"/>
  <c r="K438" i="19"/>
  <c r="I454" i="19"/>
  <c r="K454" i="19"/>
  <c r="I462" i="19"/>
  <c r="K462" i="19"/>
  <c r="I477" i="19"/>
  <c r="K477" i="19"/>
  <c r="I492" i="19"/>
  <c r="K492" i="19"/>
  <c r="I500" i="19"/>
  <c r="K500" i="19"/>
  <c r="I523" i="19"/>
  <c r="K523" i="19"/>
  <c r="I586" i="19"/>
  <c r="K586" i="19"/>
  <c r="I601" i="19"/>
  <c r="K601" i="19"/>
  <c r="I616" i="19"/>
  <c r="K616" i="19"/>
  <c r="I631" i="19"/>
  <c r="K631" i="19"/>
  <c r="I670" i="19"/>
  <c r="K670" i="19"/>
  <c r="I700" i="19"/>
  <c r="K700" i="19"/>
  <c r="I723" i="19"/>
  <c r="K723" i="19"/>
  <c r="I731" i="19"/>
  <c r="K731" i="19"/>
  <c r="I747" i="19"/>
  <c r="K747" i="19"/>
  <c r="I770" i="19"/>
  <c r="K770" i="19"/>
  <c r="I778" i="19"/>
  <c r="K778" i="19"/>
  <c r="I5392" i="19"/>
  <c r="K5392" i="19"/>
  <c r="I5423" i="19"/>
  <c r="K5423" i="19"/>
  <c r="I5439" i="19"/>
  <c r="K5439" i="19"/>
  <c r="I5476" i="19"/>
  <c r="K5476" i="19"/>
  <c r="I874" i="19"/>
  <c r="K874" i="19"/>
  <c r="I946" i="19"/>
  <c r="K946" i="19"/>
  <c r="I971" i="19"/>
  <c r="K971" i="19"/>
  <c r="I1021" i="19"/>
  <c r="K1021" i="19"/>
  <c r="I1091" i="19"/>
  <c r="K1091" i="19"/>
  <c r="I1126" i="19"/>
  <c r="K1126" i="19"/>
  <c r="I1157" i="19"/>
  <c r="K1157" i="19"/>
  <c r="I1226" i="19"/>
  <c r="K1226" i="19"/>
  <c r="I79" i="19"/>
  <c r="K79" i="19"/>
  <c r="I89" i="19"/>
  <c r="K89" i="19"/>
  <c r="I117" i="19"/>
  <c r="K117" i="19"/>
  <c r="I126" i="19"/>
  <c r="K126" i="19"/>
  <c r="I148" i="19"/>
  <c r="K148" i="19"/>
  <c r="I246" i="19"/>
  <c r="K246" i="19"/>
  <c r="I287" i="19"/>
  <c r="K287" i="19"/>
  <c r="I325" i="19"/>
  <c r="K325" i="19"/>
  <c r="I344" i="19"/>
  <c r="K344" i="19"/>
  <c r="I415" i="19"/>
  <c r="K415" i="19"/>
  <c r="I571" i="19"/>
  <c r="K571" i="19"/>
  <c r="I594" i="19"/>
  <c r="K594" i="19"/>
  <c r="I639" i="19"/>
  <c r="K639" i="19"/>
  <c r="I685" i="19"/>
  <c r="K685" i="19"/>
  <c r="I692" i="19"/>
  <c r="K692" i="19"/>
  <c r="I708" i="19"/>
  <c r="K708" i="19"/>
  <c r="I763" i="19"/>
  <c r="K763" i="19"/>
  <c r="I5360" i="19"/>
  <c r="K5360" i="19"/>
  <c r="I5400" i="19"/>
  <c r="K5400" i="19"/>
  <c r="I5461" i="19"/>
  <c r="K5461" i="19"/>
  <c r="I5491" i="19"/>
  <c r="K5491" i="19"/>
  <c r="I5499" i="19"/>
  <c r="K5499" i="19"/>
  <c r="I827" i="19"/>
  <c r="K827" i="19"/>
  <c r="I851" i="19"/>
  <c r="K851" i="19"/>
  <c r="I862" i="19"/>
  <c r="K862" i="19"/>
  <c r="I887" i="19"/>
  <c r="K887" i="19"/>
  <c r="I899" i="19"/>
  <c r="K899" i="19"/>
  <c r="I911" i="19"/>
  <c r="K911" i="19"/>
  <c r="I934" i="19"/>
  <c r="K934" i="19"/>
  <c r="I1009" i="19"/>
  <c r="K1009" i="19"/>
  <c r="I1060" i="19"/>
  <c r="K1060" i="19"/>
  <c r="I1094" i="19"/>
  <c r="K1094" i="19"/>
  <c r="I1229" i="19"/>
  <c r="K1229" i="19"/>
  <c r="I44" i="19"/>
  <c r="K44" i="19"/>
  <c r="I99" i="19"/>
  <c r="K99" i="19"/>
  <c r="I159" i="19"/>
  <c r="K159" i="19"/>
  <c r="I168" i="19"/>
  <c r="K168" i="19"/>
  <c r="I178" i="19"/>
  <c r="K178" i="19"/>
  <c r="I207" i="19"/>
  <c r="K207" i="19"/>
  <c r="I216" i="19"/>
  <c r="K216" i="19"/>
  <c r="I236" i="19"/>
  <c r="K236" i="19"/>
  <c r="I277" i="19"/>
  <c r="K277" i="19"/>
  <c r="I307" i="19"/>
  <c r="K307" i="19"/>
  <c r="I316" i="19"/>
  <c r="K316" i="19"/>
  <c r="I355" i="19"/>
  <c r="K355" i="19"/>
  <c r="I373" i="19"/>
  <c r="K373" i="19"/>
  <c r="I382" i="19"/>
  <c r="K382" i="19"/>
  <c r="I390" i="19"/>
  <c r="K390" i="19"/>
  <c r="I431" i="19"/>
  <c r="K431" i="19"/>
  <c r="I447" i="19"/>
  <c r="K447" i="19"/>
  <c r="I470" i="19"/>
  <c r="K470" i="19"/>
  <c r="I478" i="19"/>
  <c r="K478" i="19"/>
  <c r="I485" i="19"/>
  <c r="K485" i="19"/>
  <c r="I516" i="19"/>
  <c r="K516" i="19"/>
  <c r="I547" i="19"/>
  <c r="K547" i="19"/>
  <c r="I579" i="19"/>
  <c r="K579" i="19"/>
  <c r="I609" i="19"/>
  <c r="K609" i="19"/>
  <c r="I617" i="19"/>
  <c r="K617" i="19"/>
  <c r="I624" i="19"/>
  <c r="K624" i="19"/>
  <c r="I716" i="19"/>
  <c r="K716" i="19"/>
  <c r="I724" i="19"/>
  <c r="K724" i="19"/>
  <c r="I740" i="19"/>
  <c r="K740" i="19"/>
  <c r="I756" i="19"/>
  <c r="K756" i="19"/>
  <c r="I5369" i="19"/>
  <c r="K5369" i="19"/>
  <c r="I5385" i="19"/>
  <c r="K5385" i="19"/>
  <c r="I5416" i="19"/>
  <c r="K5416" i="19"/>
  <c r="I5424" i="19"/>
  <c r="K5424" i="19"/>
  <c r="I5447" i="19"/>
  <c r="K5447" i="19"/>
  <c r="I5454" i="19"/>
  <c r="K5454" i="19"/>
  <c r="I5477" i="19"/>
  <c r="K5477" i="19"/>
  <c r="I5484" i="19"/>
  <c r="K5484" i="19"/>
  <c r="I5515" i="19"/>
  <c r="K5515" i="19"/>
  <c r="I5523" i="19"/>
  <c r="K5523" i="19"/>
  <c r="I5530" i="19"/>
  <c r="K5530" i="19"/>
  <c r="I5537" i="19"/>
  <c r="K5537" i="19"/>
  <c r="I5545" i="19"/>
  <c r="K5545" i="19"/>
  <c r="I5552" i="19"/>
  <c r="K5552" i="19"/>
  <c r="I5559" i="19"/>
  <c r="K5559" i="19"/>
  <c r="I5574" i="19"/>
  <c r="K5574" i="19"/>
  <c r="I5633" i="19"/>
  <c r="K5633" i="19"/>
  <c r="I4533" i="19"/>
  <c r="K4533" i="19"/>
  <c r="I4540" i="19"/>
  <c r="K4540" i="19"/>
  <c r="I4584" i="19"/>
  <c r="K4584" i="19"/>
  <c r="I4606" i="19"/>
  <c r="K4606" i="19"/>
  <c r="I4628" i="19"/>
  <c r="K4628" i="19"/>
  <c r="I4672" i="19"/>
  <c r="K4672" i="19"/>
  <c r="I4694" i="19"/>
  <c r="K4694" i="19"/>
  <c r="I4701" i="19"/>
  <c r="K4701" i="19"/>
  <c r="I4752" i="19"/>
  <c r="K4752" i="19"/>
  <c r="I4787" i="19"/>
  <c r="K4787" i="19"/>
  <c r="I4828" i="19"/>
  <c r="K4828" i="19"/>
  <c r="I4876" i="19"/>
  <c r="K4876" i="19"/>
  <c r="I4917" i="19"/>
  <c r="K4917" i="19"/>
  <c r="I4963" i="19"/>
  <c r="K4963" i="19"/>
  <c r="I4982" i="19"/>
  <c r="K4982" i="19"/>
  <c r="I1198" i="19"/>
  <c r="K1198" i="19"/>
  <c r="I1232" i="19"/>
  <c r="K1232" i="19"/>
  <c r="I109" i="19"/>
  <c r="K109" i="19"/>
  <c r="I118" i="19"/>
  <c r="K118" i="19"/>
  <c r="I188" i="19"/>
  <c r="K188" i="19"/>
  <c r="I288" i="19"/>
  <c r="K288" i="19"/>
  <c r="I336" i="19"/>
  <c r="K336" i="19"/>
  <c r="I399" i="19"/>
  <c r="K399" i="19"/>
  <c r="I463" i="19"/>
  <c r="K463" i="19"/>
  <c r="I509" i="19"/>
  <c r="K509" i="19"/>
  <c r="I540" i="19"/>
  <c r="K540" i="19"/>
  <c r="I556" i="19"/>
  <c r="K556" i="19"/>
  <c r="I564" i="19"/>
  <c r="K564" i="19"/>
  <c r="I587" i="19"/>
  <c r="K587" i="19"/>
  <c r="I595" i="19"/>
  <c r="K595" i="19"/>
  <c r="I602" i="19"/>
  <c r="K602" i="19"/>
  <c r="I655" i="19"/>
  <c r="K655" i="19"/>
  <c r="I663" i="19"/>
  <c r="K663" i="19"/>
  <c r="I671" i="19"/>
  <c r="K671" i="19"/>
  <c r="I678" i="19"/>
  <c r="K678" i="19"/>
  <c r="I701" i="19"/>
  <c r="K701" i="19"/>
  <c r="I709" i="19"/>
  <c r="K709" i="19"/>
  <c r="I749" i="19"/>
  <c r="K749" i="19"/>
  <c r="I771" i="19"/>
  <c r="K771" i="19"/>
  <c r="I5378" i="19"/>
  <c r="K5378" i="19"/>
  <c r="I5393" i="19"/>
  <c r="K5393" i="19"/>
  <c r="I5409" i="19"/>
  <c r="K5409" i="19"/>
  <c r="I5440" i="19"/>
  <c r="K5440" i="19"/>
  <c r="I803" i="19"/>
  <c r="K803" i="19"/>
  <c r="I853" i="19"/>
  <c r="K853" i="19"/>
  <c r="I889" i="19"/>
  <c r="K889" i="19"/>
  <c r="I961" i="19"/>
  <c r="K961" i="19"/>
  <c r="I1037" i="19"/>
  <c r="K1037" i="19"/>
  <c r="I1067" i="19"/>
  <c r="K1067" i="19"/>
  <c r="I1099" i="19"/>
  <c r="K1099" i="19"/>
  <c r="I1203" i="19"/>
  <c r="K1203" i="19"/>
  <c r="I71" i="19"/>
  <c r="K71" i="19"/>
  <c r="I82" i="19"/>
  <c r="K82" i="19"/>
  <c r="I92" i="19"/>
  <c r="K92" i="19"/>
  <c r="I102" i="19"/>
  <c r="K102" i="19"/>
  <c r="I110" i="19"/>
  <c r="K110" i="19"/>
  <c r="I119" i="19"/>
  <c r="K119" i="19"/>
  <c r="I129" i="19"/>
  <c r="K129" i="19"/>
  <c r="I218" i="19"/>
  <c r="K218" i="19"/>
  <c r="I229" i="19"/>
  <c r="K229" i="19"/>
  <c r="I270" i="19"/>
  <c r="K270" i="19"/>
  <c r="I328" i="19"/>
  <c r="K328" i="19"/>
  <c r="I357" i="19"/>
  <c r="K357" i="19"/>
  <c r="I417" i="19"/>
  <c r="K417" i="19"/>
  <c r="I433" i="19"/>
  <c r="K433" i="19"/>
  <c r="I449" i="19"/>
  <c r="K449" i="19"/>
  <c r="I464" i="19"/>
  <c r="K464" i="19"/>
  <c r="I503" i="19"/>
  <c r="K503" i="19"/>
  <c r="I526" i="19"/>
  <c r="K526" i="19"/>
  <c r="I541" i="19"/>
  <c r="K541" i="19"/>
  <c r="I549" i="19"/>
  <c r="K549" i="19"/>
  <c r="I565" i="19"/>
  <c r="K565" i="19"/>
  <c r="I596" i="19"/>
  <c r="K596" i="19"/>
  <c r="I611" i="19"/>
  <c r="K611" i="19"/>
  <c r="I634" i="19"/>
  <c r="K634" i="19"/>
  <c r="I672" i="19"/>
  <c r="K672" i="19"/>
  <c r="I679" i="19"/>
  <c r="K679" i="19"/>
  <c r="I694" i="19"/>
  <c r="K694" i="19"/>
  <c r="I710" i="19"/>
  <c r="K710" i="19"/>
  <c r="I726" i="19"/>
  <c r="K726" i="19"/>
  <c r="I750" i="19"/>
  <c r="K750" i="19"/>
  <c r="I5410" i="19"/>
  <c r="K5410" i="19"/>
  <c r="I5441" i="19"/>
  <c r="K5441" i="19"/>
  <c r="I856" i="19"/>
  <c r="K856" i="19"/>
  <c r="I868" i="19"/>
  <c r="K868" i="19"/>
  <c r="I1054" i="19"/>
  <c r="K1054" i="19"/>
  <c r="I1076" i="19"/>
  <c r="K1076" i="19"/>
  <c r="I1145" i="19"/>
  <c r="K1145" i="19"/>
  <c r="I1178" i="19"/>
  <c r="K1178" i="19"/>
  <c r="I16" i="19"/>
  <c r="K16" i="19"/>
  <c r="I104" i="19"/>
  <c r="K104" i="19"/>
  <c r="I174" i="19"/>
  <c r="K174" i="19"/>
  <c r="I212" i="19"/>
  <c r="K212" i="19"/>
  <c r="I232" i="19"/>
  <c r="K232" i="19"/>
  <c r="I322" i="19"/>
  <c r="K322" i="19"/>
  <c r="I331" i="19"/>
  <c r="K331" i="19"/>
  <c r="I340" i="19"/>
  <c r="K340" i="19"/>
  <c r="I350" i="19"/>
  <c r="K350" i="19"/>
  <c r="I359" i="19"/>
  <c r="K359" i="19"/>
  <c r="I378" i="19"/>
  <c r="K378" i="19"/>
  <c r="I411" i="19"/>
  <c r="K411" i="19"/>
  <c r="I443" i="19"/>
  <c r="K443" i="19"/>
  <c r="I497" i="19"/>
  <c r="K497" i="19"/>
  <c r="I543" i="19"/>
  <c r="K543" i="19"/>
  <c r="I559" i="19"/>
  <c r="K559" i="19"/>
  <c r="I591" i="19"/>
  <c r="K591" i="19"/>
  <c r="I613" i="19"/>
  <c r="K613" i="19"/>
  <c r="I651" i="19"/>
  <c r="K651" i="19"/>
  <c r="I705" i="19"/>
  <c r="K705" i="19"/>
  <c r="I720" i="19"/>
  <c r="K720" i="19"/>
  <c r="I744" i="19"/>
  <c r="K744" i="19"/>
  <c r="I759" i="19"/>
  <c r="K759" i="19"/>
  <c r="I767" i="19"/>
  <c r="K767" i="19"/>
  <c r="I5365" i="19"/>
  <c r="K5365" i="19"/>
  <c r="I5389" i="19"/>
  <c r="K5389" i="19"/>
  <c r="I5412" i="19"/>
  <c r="K5412" i="19"/>
  <c r="I5473" i="19"/>
  <c r="K5473" i="19"/>
  <c r="I4515" i="19"/>
  <c r="K4515" i="19"/>
  <c r="I4522" i="19"/>
  <c r="K4522" i="19"/>
  <c r="I4529" i="19"/>
  <c r="K4529" i="19"/>
  <c r="I4580" i="19"/>
  <c r="K4580" i="19"/>
  <c r="I4595" i="19"/>
  <c r="K4595" i="19"/>
  <c r="I4617" i="19"/>
  <c r="K4617" i="19"/>
  <c r="I808" i="19"/>
  <c r="K808" i="19"/>
  <c r="I821" i="19"/>
  <c r="K821" i="19"/>
  <c r="I953" i="19"/>
  <c r="K953" i="19"/>
  <c r="I1003" i="19"/>
  <c r="K1003" i="19"/>
  <c r="I1250" i="19"/>
  <c r="K1250" i="19"/>
  <c r="I85" i="19"/>
  <c r="K85" i="19"/>
  <c r="I95" i="19"/>
  <c r="K95" i="19"/>
  <c r="I144" i="19"/>
  <c r="K144" i="19"/>
  <c r="I193" i="19"/>
  <c r="K193" i="19"/>
  <c r="I253" i="19"/>
  <c r="K253" i="19"/>
  <c r="I263" i="19"/>
  <c r="K263" i="19"/>
  <c r="I273" i="19"/>
  <c r="K273" i="19"/>
  <c r="I312" i="19"/>
  <c r="K312" i="19"/>
  <c r="I387" i="19"/>
  <c r="K387" i="19"/>
  <c r="I395" i="19"/>
  <c r="K395" i="19"/>
  <c r="I403" i="19"/>
  <c r="K403" i="19"/>
  <c r="I427" i="19"/>
  <c r="K427" i="19"/>
  <c r="I435" i="19"/>
  <c r="K435" i="19"/>
  <c r="I467" i="19"/>
  <c r="K467" i="19"/>
  <c r="I475" i="19"/>
  <c r="K475" i="19"/>
  <c r="I482" i="19"/>
  <c r="K482" i="19"/>
  <c r="I490" i="19"/>
  <c r="K490" i="19"/>
  <c r="I505" i="19"/>
  <c r="K505" i="19"/>
  <c r="I536" i="19"/>
  <c r="K536" i="19"/>
  <c r="I552" i="19"/>
  <c r="K552" i="19"/>
  <c r="I567" i="19"/>
  <c r="K567" i="19"/>
  <c r="I599" i="19"/>
  <c r="K599" i="19"/>
  <c r="I606" i="19"/>
  <c r="K606" i="19"/>
  <c r="I659" i="19"/>
  <c r="K659" i="19"/>
  <c r="I674" i="19"/>
  <c r="K674" i="19"/>
  <c r="I681" i="19"/>
  <c r="K681" i="19"/>
  <c r="I752" i="19"/>
  <c r="K752" i="19"/>
  <c r="I5357" i="19"/>
  <c r="K5357" i="19"/>
  <c r="I5382" i="19"/>
  <c r="K5382" i="19"/>
  <c r="I5405" i="19"/>
  <c r="K5405" i="19"/>
  <c r="I5428" i="19"/>
  <c r="K5428" i="19"/>
  <c r="I905" i="19"/>
  <c r="K905" i="19"/>
  <c r="I1221" i="19"/>
  <c r="K1221" i="19"/>
  <c r="I70" i="19"/>
  <c r="K70" i="19"/>
  <c r="I290" i="19"/>
  <c r="K290" i="19"/>
  <c r="I366" i="19"/>
  <c r="K366" i="19"/>
  <c r="I489" i="19"/>
  <c r="K489" i="19"/>
  <c r="I757" i="19"/>
  <c r="K757" i="19"/>
  <c r="I5363" i="19"/>
  <c r="K5363" i="19"/>
  <c r="I5375" i="19"/>
  <c r="K5375" i="19"/>
  <c r="I5487" i="19"/>
  <c r="K5487" i="19"/>
  <c r="I5497" i="19"/>
  <c r="K5497" i="19"/>
  <c r="I5533" i="19"/>
  <c r="K5533" i="19"/>
  <c r="I5602" i="19"/>
  <c r="K5602" i="19"/>
  <c r="I5619" i="19"/>
  <c r="K5619" i="19"/>
  <c r="I4499" i="19"/>
  <c r="K4499" i="19"/>
  <c r="I4508" i="19"/>
  <c r="K4508" i="19"/>
  <c r="I4526" i="19"/>
  <c r="K4526" i="19"/>
  <c r="I4552" i="19"/>
  <c r="K4552" i="19"/>
  <c r="I4593" i="19"/>
  <c r="K4593" i="19"/>
  <c r="I4618" i="19"/>
  <c r="K4618" i="19"/>
  <c r="I4626" i="19"/>
  <c r="K4626" i="19"/>
  <c r="I4635" i="19"/>
  <c r="K4635" i="19"/>
  <c r="I4643" i="19"/>
  <c r="K4643" i="19"/>
  <c r="I4666" i="19"/>
  <c r="K4666" i="19"/>
  <c r="I4691" i="19"/>
  <c r="K4691" i="19"/>
  <c r="I4724" i="19"/>
  <c r="K4724" i="19"/>
  <c r="I4739" i="19"/>
  <c r="K4739" i="19"/>
  <c r="I4763" i="19"/>
  <c r="K4763" i="19"/>
  <c r="I4770" i="19"/>
  <c r="K4770" i="19"/>
  <c r="I4824" i="19"/>
  <c r="K4824" i="19"/>
  <c r="I4839" i="19"/>
  <c r="K4839" i="19"/>
  <c r="I4846" i="19"/>
  <c r="K4846" i="19"/>
  <c r="I4877" i="19"/>
  <c r="K4877" i="19"/>
  <c r="I4884" i="19"/>
  <c r="K4884" i="19"/>
  <c r="I4930" i="19"/>
  <c r="K4930" i="19"/>
  <c r="I4994" i="19"/>
  <c r="K4994" i="19"/>
  <c r="I5021" i="19"/>
  <c r="K5021" i="19"/>
  <c r="I5035" i="19"/>
  <c r="K5035" i="19"/>
  <c r="I5062" i="19"/>
  <c r="K5062" i="19"/>
  <c r="I5071" i="19"/>
  <c r="K5071" i="19"/>
  <c r="I5102" i="19"/>
  <c r="K5102" i="19"/>
  <c r="I5132" i="19"/>
  <c r="K5132" i="19"/>
  <c r="I5139" i="19"/>
  <c r="K5139" i="19"/>
  <c r="I5146" i="19"/>
  <c r="K5146" i="19"/>
  <c r="I5154" i="19"/>
  <c r="K5154" i="19"/>
  <c r="I5191" i="19"/>
  <c r="K5191" i="19"/>
  <c r="I5198" i="19"/>
  <c r="K5198" i="19"/>
  <c r="I5242" i="19"/>
  <c r="K5242" i="19"/>
  <c r="I5264" i="19"/>
  <c r="K5264" i="19"/>
  <c r="I5316" i="19"/>
  <c r="K5316" i="19"/>
  <c r="I3927" i="19"/>
  <c r="K3927" i="19"/>
  <c r="I3941" i="19"/>
  <c r="K3941" i="19"/>
  <c r="I3968" i="19"/>
  <c r="K3968" i="19"/>
  <c r="I3975" i="19"/>
  <c r="K3975" i="19"/>
  <c r="I3982" i="19"/>
  <c r="K3982" i="19"/>
  <c r="I4009" i="19"/>
  <c r="K4009" i="19"/>
  <c r="I4030" i="19"/>
  <c r="K4030" i="19"/>
  <c r="I4057" i="19"/>
  <c r="K4057" i="19"/>
  <c r="I4071" i="19"/>
  <c r="K4071" i="19"/>
  <c r="I4098" i="19"/>
  <c r="K4098" i="19"/>
  <c r="I4112" i="19"/>
  <c r="K4112" i="19"/>
  <c r="I4119" i="19"/>
  <c r="K4119" i="19"/>
  <c r="I4146" i="19"/>
  <c r="K4146" i="19"/>
  <c r="I4187" i="19"/>
  <c r="K4187" i="19"/>
  <c r="I4201" i="19"/>
  <c r="K4201" i="19"/>
  <c r="I4215" i="19"/>
  <c r="K4215" i="19"/>
  <c r="I4235" i="19"/>
  <c r="K4235" i="19"/>
  <c r="I4262" i="19"/>
  <c r="K4262" i="19"/>
  <c r="I4276" i="19"/>
  <c r="K4276" i="19"/>
  <c r="I4290" i="19"/>
  <c r="K4290" i="19"/>
  <c r="I4331" i="19"/>
  <c r="K4331" i="19"/>
  <c r="I4351" i="19"/>
  <c r="K4351" i="19"/>
  <c r="I4358" i="19"/>
  <c r="K4358" i="19"/>
  <c r="I4365" i="19"/>
  <c r="K4365" i="19"/>
  <c r="I4379" i="19"/>
  <c r="K4379" i="19"/>
  <c r="I4406" i="19"/>
  <c r="K4406" i="19"/>
  <c r="I4420" i="19"/>
  <c r="K4420" i="19"/>
  <c r="I4447" i="19"/>
  <c r="K4447" i="19"/>
  <c r="I4454" i="19"/>
  <c r="K4454" i="19"/>
  <c r="I4462" i="19"/>
  <c r="K4462" i="19"/>
  <c r="I4486" i="19"/>
  <c r="K4486" i="19"/>
  <c r="I2051" i="19"/>
  <c r="K2051" i="19"/>
  <c r="I2066" i="19"/>
  <c r="K2066" i="19"/>
  <c r="I2081" i="19"/>
  <c r="K2081" i="19"/>
  <c r="I2089" i="19"/>
  <c r="K2089" i="19"/>
  <c r="I2149" i="19"/>
  <c r="K2149" i="19"/>
  <c r="I2157" i="19"/>
  <c r="K2157" i="19"/>
  <c r="I2165" i="19"/>
  <c r="K2165" i="19"/>
  <c r="I2188" i="19"/>
  <c r="K2188" i="19"/>
  <c r="I2195" i="19"/>
  <c r="K2195" i="19"/>
  <c r="I2227" i="19"/>
  <c r="K2227" i="19"/>
  <c r="F2241" i="19"/>
  <c r="H2241" i="19"/>
  <c r="I2250" i="19"/>
  <c r="K2250" i="19"/>
  <c r="I2286" i="19"/>
  <c r="K2286" i="19"/>
  <c r="I2308" i="19"/>
  <c r="K2308" i="19"/>
  <c r="I2318" i="19"/>
  <c r="K2318" i="19"/>
  <c r="I2341" i="19"/>
  <c r="K2341" i="19"/>
  <c r="I2353" i="19"/>
  <c r="K2353" i="19"/>
  <c r="I2365" i="19"/>
  <c r="K2365" i="19"/>
  <c r="I2376" i="19"/>
  <c r="K2376" i="19"/>
  <c r="I2387" i="19"/>
  <c r="K2387" i="19"/>
  <c r="I2399" i="19"/>
  <c r="K2399" i="19"/>
  <c r="I2411" i="19"/>
  <c r="K2411" i="19"/>
  <c r="I2422" i="19"/>
  <c r="K2422" i="19"/>
  <c r="I2433" i="19"/>
  <c r="K2433" i="19"/>
  <c r="I2444" i="19"/>
  <c r="K2444" i="19"/>
  <c r="I2456" i="19"/>
  <c r="K2456" i="19"/>
  <c r="I2467" i="19"/>
  <c r="K2467" i="19"/>
  <c r="I2478" i="19"/>
  <c r="K2478" i="19"/>
  <c r="I2491" i="19"/>
  <c r="K2491" i="19"/>
  <c r="I2502" i="19"/>
  <c r="K2502" i="19"/>
  <c r="I1269" i="19"/>
  <c r="K1269" i="19"/>
  <c r="I1282" i="19"/>
  <c r="K1282" i="19"/>
  <c r="I1333" i="19"/>
  <c r="K1333" i="19"/>
  <c r="I1340" i="19"/>
  <c r="K1340" i="19"/>
  <c r="I1347" i="19"/>
  <c r="K1347" i="19"/>
  <c r="I1355" i="19"/>
  <c r="K1355" i="19"/>
  <c r="I1362" i="19"/>
  <c r="K1362" i="19"/>
  <c r="I1369" i="19"/>
  <c r="K1369" i="19"/>
  <c r="I1376" i="19"/>
  <c r="K1376" i="19"/>
  <c r="I1383" i="19"/>
  <c r="K1383" i="19"/>
  <c r="I1391" i="19"/>
  <c r="K1391" i="19"/>
  <c r="I1398" i="19"/>
  <c r="K1398" i="19"/>
  <c r="I1405" i="19"/>
  <c r="K1405" i="19"/>
  <c r="I1470" i="19"/>
  <c r="K1470" i="19"/>
  <c r="I1489" i="19"/>
  <c r="K1489" i="19"/>
  <c r="I1508" i="19"/>
  <c r="K1508" i="19"/>
  <c r="I1540" i="19"/>
  <c r="K1540" i="19"/>
  <c r="I1559" i="19"/>
  <c r="K1559" i="19"/>
  <c r="I1578" i="19"/>
  <c r="K1578" i="19"/>
  <c r="I1597" i="19"/>
  <c r="K1597" i="19"/>
  <c r="I1622" i="19"/>
  <c r="K1622" i="19"/>
  <c r="I1820" i="19"/>
  <c r="K1820" i="19"/>
  <c r="I1826" i="19"/>
  <c r="K1826" i="19"/>
  <c r="I1832" i="19"/>
  <c r="K1832" i="19"/>
  <c r="I1838" i="19"/>
  <c r="K1838" i="19"/>
  <c r="I1855" i="19"/>
  <c r="K1855" i="19"/>
  <c r="I1864" i="19"/>
  <c r="K1864" i="19"/>
  <c r="I2007" i="19"/>
  <c r="K2007" i="19"/>
  <c r="I2016" i="19"/>
  <c r="K2016" i="19"/>
  <c r="I2025" i="19"/>
  <c r="K2025" i="19"/>
  <c r="F3718" i="19"/>
  <c r="H3718" i="19"/>
  <c r="I3856" i="19"/>
  <c r="K3856" i="19"/>
  <c r="I3862" i="19"/>
  <c r="K3862" i="19"/>
  <c r="I3528" i="19"/>
  <c r="K3528" i="19"/>
  <c r="I3534" i="19"/>
  <c r="K3534" i="19"/>
  <c r="I3540" i="19"/>
  <c r="K3540" i="19"/>
  <c r="I3546" i="19"/>
  <c r="K3546" i="19"/>
  <c r="I3552" i="19"/>
  <c r="K3552" i="19"/>
  <c r="I3558" i="19"/>
  <c r="K3558" i="19"/>
  <c r="I3564" i="19"/>
  <c r="K3564" i="19"/>
  <c r="I3570" i="19"/>
  <c r="K3570" i="19"/>
  <c r="I3576" i="19"/>
  <c r="K3576" i="19"/>
  <c r="I3582" i="19"/>
  <c r="K3582" i="19"/>
  <c r="I3647" i="19"/>
  <c r="K3647" i="19"/>
  <c r="I3682" i="19"/>
  <c r="K3682" i="19"/>
  <c r="I3280" i="19"/>
  <c r="K3280" i="19"/>
  <c r="I3286" i="19"/>
  <c r="K3286" i="19"/>
  <c r="I3309" i="19"/>
  <c r="K3309" i="19"/>
  <c r="I3315" i="19"/>
  <c r="K3315" i="19"/>
  <c r="I3321" i="19"/>
  <c r="K3321" i="19"/>
  <c r="I3327" i="19"/>
  <c r="K3327" i="19"/>
  <c r="I3380" i="19"/>
  <c r="K3380" i="19"/>
  <c r="I3386" i="19"/>
  <c r="K3386" i="19"/>
  <c r="I3439" i="19"/>
  <c r="K3439" i="19"/>
  <c r="I1024" i="19"/>
  <c r="K1024" i="19"/>
  <c r="I1096" i="19"/>
  <c r="K1096" i="19"/>
  <c r="I1234" i="19"/>
  <c r="K1234" i="19"/>
  <c r="I150" i="19"/>
  <c r="K150" i="19"/>
  <c r="I161" i="19"/>
  <c r="K161" i="19"/>
  <c r="I175" i="19"/>
  <c r="K175" i="19"/>
  <c r="I457" i="19"/>
  <c r="K457" i="19"/>
  <c r="I468" i="19"/>
  <c r="K468" i="19"/>
  <c r="I479" i="19"/>
  <c r="K479" i="19"/>
  <c r="I511" i="19"/>
  <c r="K511" i="19"/>
  <c r="I521" i="19"/>
  <c r="K521" i="19"/>
  <c r="I542" i="19"/>
  <c r="K542" i="19"/>
  <c r="I553" i="19"/>
  <c r="K553" i="19"/>
  <c r="I628" i="19"/>
  <c r="K628" i="19"/>
  <c r="I680" i="19"/>
  <c r="K680" i="19"/>
  <c r="I713" i="19"/>
  <c r="K713" i="19"/>
  <c r="I5353" i="19"/>
  <c r="K5353" i="19"/>
  <c r="I5386" i="19"/>
  <c r="K5386" i="19"/>
  <c r="I5459" i="19"/>
  <c r="K5459" i="19"/>
  <c r="I5525" i="19"/>
  <c r="K5525" i="19"/>
  <c r="I5543" i="19"/>
  <c r="K5543" i="19"/>
  <c r="I5595" i="19"/>
  <c r="K5595" i="19"/>
  <c r="I5627" i="19"/>
  <c r="K5627" i="19"/>
  <c r="I4490" i="19"/>
  <c r="K4490" i="19"/>
  <c r="I4518" i="19"/>
  <c r="K4518" i="19"/>
  <c r="I4535" i="19"/>
  <c r="K4535" i="19"/>
  <c r="I4659" i="19"/>
  <c r="K4659" i="19"/>
  <c r="I4674" i="19"/>
  <c r="K4674" i="19"/>
  <c r="I4716" i="19"/>
  <c r="K4716" i="19"/>
  <c r="I4732" i="19"/>
  <c r="K4732" i="19"/>
  <c r="I4748" i="19"/>
  <c r="K4748" i="19"/>
  <c r="I4778" i="19"/>
  <c r="K4778" i="19"/>
  <c r="I4816" i="19"/>
  <c r="K4816" i="19"/>
  <c r="I4832" i="19"/>
  <c r="K4832" i="19"/>
  <c r="I4870" i="19"/>
  <c r="K4870" i="19"/>
  <c r="I4892" i="19"/>
  <c r="K4892" i="19"/>
  <c r="I4923" i="19"/>
  <c r="K4923" i="19"/>
  <c r="I4945" i="19"/>
  <c r="K4945" i="19"/>
  <c r="I4952" i="19"/>
  <c r="K4952" i="19"/>
  <c r="I4959" i="19"/>
  <c r="K4959" i="19"/>
  <c r="I4966" i="19"/>
  <c r="K4966" i="19"/>
  <c r="I4973" i="19"/>
  <c r="K4973" i="19"/>
  <c r="I5001" i="19"/>
  <c r="K5001" i="19"/>
  <c r="I5008" i="19"/>
  <c r="K5008" i="19"/>
  <c r="I5042" i="19"/>
  <c r="K5042" i="19"/>
  <c r="I5049" i="19"/>
  <c r="K5049" i="19"/>
  <c r="I5088" i="19"/>
  <c r="K5088" i="19"/>
  <c r="I5184" i="19"/>
  <c r="K5184" i="19"/>
  <c r="I5235" i="19"/>
  <c r="K5235" i="19"/>
  <c r="I5250" i="19"/>
  <c r="K5250" i="19"/>
  <c r="I5257" i="19"/>
  <c r="K5257" i="19"/>
  <c r="I5272" i="19"/>
  <c r="K5272" i="19"/>
  <c r="I5294" i="19"/>
  <c r="K5294" i="19"/>
  <c r="I5331" i="19"/>
  <c r="K5331" i="19"/>
  <c r="I5338" i="19"/>
  <c r="K5338" i="19"/>
  <c r="I3912" i="19"/>
  <c r="K3912" i="19"/>
  <c r="I3948" i="19"/>
  <c r="K3948" i="19"/>
  <c r="I3989" i="19"/>
  <c r="K3989" i="19"/>
  <c r="I4037" i="19"/>
  <c r="K4037" i="19"/>
  <c r="I4064" i="19"/>
  <c r="K4064" i="19"/>
  <c r="I4078" i="19"/>
  <c r="K4078" i="19"/>
  <c r="I4126" i="19"/>
  <c r="K4126" i="19"/>
  <c r="I4153" i="19"/>
  <c r="K4153" i="19"/>
  <c r="I4160" i="19"/>
  <c r="K4160" i="19"/>
  <c r="I4167" i="19"/>
  <c r="K4167" i="19"/>
  <c r="I4208" i="19"/>
  <c r="K4208" i="19"/>
  <c r="I4222" i="19"/>
  <c r="K4222" i="19"/>
  <c r="I4242" i="19"/>
  <c r="K4242" i="19"/>
  <c r="I4249" i="19"/>
  <c r="K4249" i="19"/>
  <c r="I4297" i="19"/>
  <c r="K4297" i="19"/>
  <c r="I4304" i="19"/>
  <c r="K4304" i="19"/>
  <c r="I4311" i="19"/>
  <c r="K4311" i="19"/>
  <c r="I4338" i="19"/>
  <c r="K4338" i="19"/>
  <c r="I4386" i="19"/>
  <c r="K4386" i="19"/>
  <c r="I4393" i="19"/>
  <c r="K4393" i="19"/>
  <c r="I4427" i="19"/>
  <c r="K4427" i="19"/>
  <c r="I4434" i="19"/>
  <c r="K4434" i="19"/>
  <c r="I4471" i="19"/>
  <c r="K4471" i="19"/>
  <c r="I4479" i="19"/>
  <c r="K4479" i="19"/>
  <c r="I2037" i="19"/>
  <c r="K2037" i="19"/>
  <c r="I2044" i="19"/>
  <c r="K2044" i="19"/>
  <c r="I2059" i="19"/>
  <c r="K2059" i="19"/>
  <c r="I2097" i="19"/>
  <c r="K2097" i="19"/>
  <c r="I2134" i="19"/>
  <c r="K2134" i="19"/>
  <c r="I2142" i="19"/>
  <c r="K2142" i="19"/>
  <c r="I2173" i="19"/>
  <c r="K2173" i="19"/>
  <c r="I2181" i="19"/>
  <c r="K2181" i="19"/>
  <c r="I2212" i="19"/>
  <c r="K2212" i="19"/>
  <c r="I2220" i="19"/>
  <c r="K2220" i="19"/>
  <c r="I2301" i="19"/>
  <c r="K2301" i="19"/>
  <c r="I2330" i="19"/>
  <c r="K2330" i="19"/>
  <c r="I1304" i="19"/>
  <c r="K1304" i="19"/>
  <c r="I1311" i="19"/>
  <c r="K1311" i="19"/>
  <c r="I1326" i="19"/>
  <c r="K1326" i="19"/>
  <c r="I1442" i="19"/>
  <c r="K1442" i="19"/>
  <c r="I1449" i="19"/>
  <c r="K1449" i="19"/>
  <c r="I1464" i="19"/>
  <c r="K1464" i="19"/>
  <c r="I1483" i="19"/>
  <c r="K1483" i="19"/>
  <c r="I1502" i="19"/>
  <c r="K1502" i="19"/>
  <c r="I1534" i="19"/>
  <c r="K1534" i="19"/>
  <c r="I1553" i="19"/>
  <c r="K1553" i="19"/>
  <c r="I1572" i="19"/>
  <c r="K1572" i="19"/>
  <c r="I1591" i="19"/>
  <c r="K1591" i="19"/>
  <c r="I1610" i="19"/>
  <c r="K1610" i="19"/>
  <c r="I1616" i="19"/>
  <c r="K1616" i="19"/>
  <c r="I1629" i="19"/>
  <c r="K1629" i="19"/>
  <c r="I1635" i="19"/>
  <c r="K1635" i="19"/>
  <c r="I1641" i="19"/>
  <c r="K1641" i="19"/>
  <c r="I1647" i="19"/>
  <c r="K1647" i="19"/>
  <c r="I1653" i="19"/>
  <c r="K1653" i="19"/>
  <c r="I1659" i="19"/>
  <c r="K1659" i="19"/>
  <c r="I1665" i="19"/>
  <c r="K1665" i="19"/>
  <c r="I1671" i="19"/>
  <c r="K1671" i="19"/>
  <c r="I1677" i="19"/>
  <c r="K1677" i="19"/>
  <c r="I1683" i="19"/>
  <c r="K1683" i="19"/>
  <c r="I1689" i="19"/>
  <c r="K1689" i="19"/>
  <c r="I1695" i="19"/>
  <c r="K1695" i="19"/>
  <c r="I1701" i="19"/>
  <c r="K1701" i="19"/>
  <c r="I1707" i="19"/>
  <c r="K1707" i="19"/>
  <c r="I1713" i="19"/>
  <c r="K1713" i="19"/>
  <c r="I1719" i="19"/>
  <c r="K1719" i="19"/>
  <c r="I1725" i="19"/>
  <c r="K1725" i="19"/>
  <c r="I1731" i="19"/>
  <c r="K1731" i="19"/>
  <c r="I1737" i="19"/>
  <c r="K1737" i="19"/>
  <c r="I1743" i="19"/>
  <c r="K1743" i="19"/>
  <c r="I1749" i="19"/>
  <c r="K1749" i="19"/>
  <c r="I1755" i="19"/>
  <c r="K1755" i="19"/>
  <c r="I1761" i="19"/>
  <c r="K1761" i="19"/>
  <c r="I1767" i="19"/>
  <c r="K1767" i="19"/>
  <c r="I1773" i="19"/>
  <c r="K1773" i="19"/>
  <c r="I1779" i="19"/>
  <c r="K1779" i="19"/>
  <c r="I1785" i="19"/>
  <c r="K1785" i="19"/>
  <c r="I1791" i="19"/>
  <c r="K1791" i="19"/>
  <c r="I1797" i="19"/>
  <c r="K1797" i="19"/>
  <c r="I1803" i="19"/>
  <c r="K1803" i="19"/>
  <c r="I1809" i="19"/>
  <c r="K1809" i="19"/>
  <c r="I1847" i="19"/>
  <c r="K1847" i="19"/>
  <c r="I1873" i="19"/>
  <c r="K1873" i="19"/>
  <c r="I1882" i="19"/>
  <c r="K1882" i="19"/>
  <c r="I1891" i="19"/>
  <c r="K1891" i="19"/>
  <c r="I1900" i="19"/>
  <c r="K1900" i="19"/>
  <c r="I1909" i="19"/>
  <c r="K1909" i="19"/>
  <c r="I1918" i="19"/>
  <c r="K1918" i="19"/>
  <c r="I1927" i="19"/>
  <c r="K1927" i="19"/>
  <c r="I1936" i="19"/>
  <c r="K1936" i="19"/>
  <c r="I1945" i="19"/>
  <c r="K1945" i="19"/>
  <c r="I1954" i="19"/>
  <c r="K1954" i="19"/>
  <c r="I1963" i="19"/>
  <c r="K1963" i="19"/>
  <c r="I1972" i="19"/>
  <c r="K1972" i="19"/>
  <c r="I1981" i="19"/>
  <c r="K1981" i="19"/>
  <c r="I1990" i="19"/>
  <c r="K1990" i="19"/>
  <c r="I1999" i="19"/>
  <c r="K1999" i="19"/>
  <c r="I3689" i="19"/>
  <c r="K3689" i="19"/>
  <c r="I3695" i="19"/>
  <c r="K3695" i="19"/>
  <c r="I3701" i="19"/>
  <c r="K3701" i="19"/>
  <c r="I3707" i="19"/>
  <c r="K3707" i="19"/>
  <c r="I3713" i="19"/>
  <c r="K3713" i="19"/>
  <c r="F3850" i="19"/>
  <c r="H3850" i="19"/>
  <c r="I3868" i="19"/>
  <c r="K3868" i="19"/>
  <c r="I3874" i="19"/>
  <c r="K3874" i="19"/>
  <c r="I3880" i="19"/>
  <c r="K3880" i="19"/>
  <c r="I3886" i="19"/>
  <c r="K3886" i="19"/>
  <c r="I3892" i="19"/>
  <c r="K3892" i="19"/>
  <c r="I3898" i="19"/>
  <c r="K3898" i="19"/>
  <c r="I3904" i="19"/>
  <c r="K3904" i="19"/>
  <c r="I3463" i="19"/>
  <c r="K3463" i="19"/>
  <c r="I3469" i="19"/>
  <c r="K3469" i="19"/>
  <c r="I3475" i="19"/>
  <c r="K3475" i="19"/>
  <c r="I3481" i="19"/>
  <c r="K3481" i="19"/>
  <c r="I3588" i="19"/>
  <c r="K3588" i="19"/>
  <c r="I3594" i="19"/>
  <c r="K3594" i="19"/>
  <c r="I3600" i="19"/>
  <c r="K3600" i="19"/>
  <c r="I3606" i="19"/>
  <c r="K3606" i="19"/>
  <c r="I3612" i="19"/>
  <c r="K3612" i="19"/>
  <c r="I3653" i="19"/>
  <c r="K3653" i="19"/>
  <c r="I3659" i="19"/>
  <c r="K3659" i="19"/>
  <c r="I3665" i="19"/>
  <c r="K3665" i="19"/>
  <c r="I3671" i="19"/>
  <c r="K3671" i="19"/>
  <c r="I3292" i="19"/>
  <c r="K3292" i="19"/>
  <c r="I3333" i="19"/>
  <c r="K3333" i="19"/>
  <c r="I3339" i="19"/>
  <c r="K3339" i="19"/>
  <c r="I3392" i="19"/>
  <c r="K3392" i="19"/>
  <c r="F3433" i="19"/>
  <c r="H3433" i="19"/>
  <c r="I979" i="19"/>
  <c r="K979" i="19"/>
  <c r="I1169" i="19"/>
  <c r="K1169" i="19"/>
  <c r="I1238" i="19"/>
  <c r="K1238" i="19"/>
  <c r="I201" i="19"/>
  <c r="K201" i="19"/>
  <c r="I213" i="19"/>
  <c r="K213" i="19"/>
  <c r="I254" i="19"/>
  <c r="K254" i="19"/>
  <c r="I342" i="19"/>
  <c r="K342" i="19"/>
  <c r="I402" i="19"/>
  <c r="K402" i="19"/>
  <c r="I413" i="19"/>
  <c r="K413" i="19"/>
  <c r="I424" i="19"/>
  <c r="K424" i="19"/>
  <c r="I847" i="19"/>
  <c r="K847" i="19"/>
  <c r="I892" i="19"/>
  <c r="K892" i="19"/>
  <c r="I907" i="19"/>
  <c r="K907" i="19"/>
  <c r="I1171" i="19"/>
  <c r="K1171" i="19"/>
  <c r="I1240" i="19"/>
  <c r="K1240" i="19"/>
  <c r="I111" i="19"/>
  <c r="K111" i="19"/>
  <c r="I124" i="19"/>
  <c r="K124" i="19"/>
  <c r="I280" i="19"/>
  <c r="K280" i="19"/>
  <c r="I291" i="19"/>
  <c r="K291" i="19"/>
  <c r="I303" i="19"/>
  <c r="K303" i="19"/>
  <c r="I317" i="19"/>
  <c r="K317" i="19"/>
  <c r="I356" i="19"/>
  <c r="K356" i="19"/>
  <c r="I502" i="19"/>
  <c r="K502" i="19"/>
  <c r="I522" i="19"/>
  <c r="K522" i="19"/>
  <c r="I533" i="19"/>
  <c r="K533" i="19"/>
  <c r="I566" i="19"/>
  <c r="K566" i="19"/>
  <c r="I577" i="19"/>
  <c r="K577" i="19"/>
  <c r="I629" i="19"/>
  <c r="K629" i="19"/>
  <c r="I650" i="19"/>
  <c r="K650" i="19"/>
  <c r="I660" i="19"/>
  <c r="K660" i="19"/>
  <c r="I5508" i="19"/>
  <c r="K5508" i="19"/>
  <c r="I5517" i="19"/>
  <c r="K5517" i="19"/>
  <c r="I5526" i="19"/>
  <c r="K5526" i="19"/>
  <c r="I5561" i="19"/>
  <c r="K5561" i="19"/>
  <c r="I5612" i="19"/>
  <c r="K5612" i="19"/>
  <c r="I5620" i="19"/>
  <c r="K5620" i="19"/>
  <c r="I5628" i="19"/>
  <c r="K5628" i="19"/>
  <c r="I4527" i="19"/>
  <c r="K4527" i="19"/>
  <c r="I4563" i="19"/>
  <c r="K4563" i="19"/>
  <c r="I4586" i="19"/>
  <c r="K4586" i="19"/>
  <c r="I4611" i="19"/>
  <c r="K4611" i="19"/>
  <c r="I4667" i="19"/>
  <c r="K4667" i="19"/>
  <c r="I4725" i="19"/>
  <c r="K4725" i="19"/>
  <c r="I4764" i="19"/>
  <c r="K4764" i="19"/>
  <c r="I4802" i="19"/>
  <c r="K4802" i="19"/>
  <c r="I4840" i="19"/>
  <c r="K4840" i="19"/>
  <c r="I4863" i="19"/>
  <c r="K4863" i="19"/>
  <c r="I4878" i="19"/>
  <c r="K4878" i="19"/>
  <c r="I4931" i="19"/>
  <c r="K4931" i="19"/>
  <c r="I4939" i="19"/>
  <c r="K4939" i="19"/>
  <c r="I4995" i="19"/>
  <c r="K4995" i="19"/>
  <c r="I5036" i="19"/>
  <c r="K5036" i="19"/>
  <c r="I5103" i="19"/>
  <c r="K5103" i="19"/>
  <c r="I5133" i="19"/>
  <c r="K5133" i="19"/>
  <c r="I5140" i="19"/>
  <c r="K5140" i="19"/>
  <c r="I5192" i="19"/>
  <c r="K5192" i="19"/>
  <c r="I5199" i="19"/>
  <c r="K5199" i="19"/>
  <c r="I5310" i="19"/>
  <c r="K5310" i="19"/>
  <c r="I5317" i="19"/>
  <c r="K5317" i="19"/>
  <c r="I5346" i="19"/>
  <c r="K5346" i="19"/>
  <c r="I3935" i="19"/>
  <c r="K3935" i="19"/>
  <c r="I3942" i="19"/>
  <c r="K3942" i="19"/>
  <c r="I3976" i="19"/>
  <c r="K3976" i="19"/>
  <c r="I3983" i="19"/>
  <c r="K3983" i="19"/>
  <c r="I4024" i="19"/>
  <c r="K4024" i="19"/>
  <c r="I4031" i="19"/>
  <c r="K4031" i="19"/>
  <c r="I4058" i="19"/>
  <c r="K4058" i="19"/>
  <c r="I4065" i="19"/>
  <c r="K4065" i="19"/>
  <c r="I4072" i="19"/>
  <c r="K4072" i="19"/>
  <c r="I4120" i="19"/>
  <c r="K4120" i="19"/>
  <c r="I4147" i="19"/>
  <c r="K4147" i="19"/>
  <c r="I4161" i="19"/>
  <c r="K4161" i="19"/>
  <c r="I4202" i="19"/>
  <c r="K4202" i="19"/>
  <c r="I4209" i="19"/>
  <c r="K4209" i="19"/>
  <c r="I4216" i="19"/>
  <c r="K4216" i="19"/>
  <c r="I4236" i="19"/>
  <c r="K4236" i="19"/>
  <c r="I4291" i="19"/>
  <c r="K4291" i="19"/>
  <c r="I4305" i="19"/>
  <c r="K4305" i="19"/>
  <c r="I4332" i="19"/>
  <c r="K4332" i="19"/>
  <c r="I4352" i="19"/>
  <c r="K4352" i="19"/>
  <c r="I4380" i="19"/>
  <c r="K4380" i="19"/>
  <c r="I4421" i="19"/>
  <c r="K4421" i="19"/>
  <c r="I4464" i="19"/>
  <c r="K4464" i="19"/>
  <c r="I4487" i="19"/>
  <c r="K4487" i="19"/>
  <c r="I2067" i="19"/>
  <c r="K2067" i="19"/>
  <c r="I2113" i="19"/>
  <c r="K2113" i="19"/>
  <c r="I790" i="19"/>
  <c r="K790" i="19"/>
  <c r="I1172" i="19"/>
  <c r="K1172" i="19"/>
  <c r="I140" i="19"/>
  <c r="K140" i="19"/>
  <c r="I380" i="19"/>
  <c r="K380" i="19"/>
  <c r="I393" i="19"/>
  <c r="K393" i="19"/>
  <c r="I448" i="19"/>
  <c r="K448" i="19"/>
  <c r="I481" i="19"/>
  <c r="K481" i="19"/>
  <c r="I491" i="19"/>
  <c r="K491" i="19"/>
  <c r="I619" i="19"/>
  <c r="K619" i="19"/>
  <c r="I693" i="19"/>
  <c r="K693" i="19"/>
  <c r="I727" i="19"/>
  <c r="K727" i="19"/>
  <c r="I737" i="19"/>
  <c r="K737" i="19"/>
  <c r="I5354" i="19"/>
  <c r="K5354" i="19"/>
  <c r="I5388" i="19"/>
  <c r="K5388" i="19"/>
  <c r="I5553" i="19"/>
  <c r="K5553" i="19"/>
  <c r="I5570" i="19"/>
  <c r="K5570" i="19"/>
  <c r="I5588" i="19"/>
  <c r="K5588" i="19"/>
  <c r="I5596" i="19"/>
  <c r="K5596" i="19"/>
  <c r="I1106" i="19"/>
  <c r="K1106" i="19"/>
  <c r="I1175" i="19"/>
  <c r="K1175" i="19"/>
  <c r="I1243" i="19"/>
  <c r="K1243" i="19"/>
  <c r="I46" i="19"/>
  <c r="K46" i="19"/>
  <c r="I86" i="19"/>
  <c r="K86" i="19"/>
  <c r="I112" i="19"/>
  <c r="K112" i="19"/>
  <c r="I243" i="19"/>
  <c r="K243" i="19"/>
  <c r="I332" i="19"/>
  <c r="K332" i="19"/>
  <c r="I425" i="19"/>
  <c r="K425" i="19"/>
  <c r="I952" i="19"/>
  <c r="K952" i="19"/>
  <c r="I1027" i="19"/>
  <c r="K1027" i="19"/>
  <c r="I1108" i="19"/>
  <c r="K1108" i="19"/>
  <c r="I61" i="19"/>
  <c r="K61" i="19"/>
  <c r="I141" i="19"/>
  <c r="K141" i="19"/>
  <c r="I153" i="19"/>
  <c r="K153" i="19"/>
  <c r="I358" i="19"/>
  <c r="K358" i="19"/>
  <c r="I394" i="19"/>
  <c r="K394" i="19"/>
  <c r="I460" i="19"/>
  <c r="K460" i="19"/>
  <c r="I471" i="19"/>
  <c r="K471" i="19"/>
  <c r="I534" i="19"/>
  <c r="K534" i="19"/>
  <c r="I557" i="19"/>
  <c r="K557" i="19"/>
  <c r="I760" i="19"/>
  <c r="K760" i="19"/>
  <c r="I772" i="19"/>
  <c r="K772" i="19"/>
  <c r="I5411" i="19"/>
  <c r="K5411" i="19"/>
  <c r="I5421" i="19"/>
  <c r="K5421" i="19"/>
  <c r="I5481" i="19"/>
  <c r="K5481" i="19"/>
  <c r="I5501" i="19"/>
  <c r="K5501" i="19"/>
  <c r="I5518" i="19"/>
  <c r="K5518" i="19"/>
  <c r="I5571" i="19"/>
  <c r="K5571" i="19"/>
  <c r="I5589" i="19"/>
  <c r="K5589" i="19"/>
  <c r="I5597" i="19"/>
  <c r="K5597" i="19"/>
  <c r="I5613" i="19"/>
  <c r="K5613" i="19"/>
  <c r="I5621" i="19"/>
  <c r="K5621" i="19"/>
  <c r="I5629" i="19"/>
  <c r="K5629" i="19"/>
  <c r="I4564" i="19"/>
  <c r="K4564" i="19"/>
  <c r="I4587" i="19"/>
  <c r="K4587" i="19"/>
  <c r="I4629" i="19"/>
  <c r="K4629" i="19"/>
  <c r="I4646" i="19"/>
  <c r="K4646" i="19"/>
  <c r="I4668" i="19"/>
  <c r="K4668" i="19"/>
  <c r="I4718" i="19"/>
  <c r="K4718" i="19"/>
  <c r="I4742" i="19"/>
  <c r="K4742" i="19"/>
  <c r="I4781" i="19"/>
  <c r="K4781" i="19"/>
  <c r="I4803" i="19"/>
  <c r="K4803" i="19"/>
  <c r="I4834" i="19"/>
  <c r="K4834" i="19"/>
  <c r="I4864" i="19"/>
  <c r="K4864" i="19"/>
  <c r="I4894" i="19"/>
  <c r="K4894" i="19"/>
  <c r="I4910" i="19"/>
  <c r="K4910" i="19"/>
  <c r="I791" i="19"/>
  <c r="K791" i="19"/>
  <c r="I1113" i="19"/>
  <c r="K1113" i="19"/>
  <c r="I1180" i="19"/>
  <c r="K1180" i="19"/>
  <c r="I165" i="19"/>
  <c r="K165" i="19"/>
  <c r="I346" i="19"/>
  <c r="K346" i="19"/>
  <c r="I370" i="19"/>
  <c r="K370" i="19"/>
  <c r="I416" i="19"/>
  <c r="K416" i="19"/>
  <c r="I426" i="19"/>
  <c r="K426" i="19"/>
  <c r="I437" i="19"/>
  <c r="K437" i="19"/>
  <c r="I504" i="19"/>
  <c r="K504" i="19"/>
  <c r="I514" i="19"/>
  <c r="K514" i="19"/>
  <c r="I525" i="19"/>
  <c r="K525" i="19"/>
  <c r="I545" i="19"/>
  <c r="K545" i="19"/>
  <c r="I589" i="19"/>
  <c r="K589" i="19"/>
  <c r="I620" i="19"/>
  <c r="K620" i="19"/>
  <c r="I642" i="19"/>
  <c r="K642" i="19"/>
  <c r="I652" i="19"/>
  <c r="K652" i="19"/>
  <c r="I673" i="19"/>
  <c r="K673" i="19"/>
  <c r="I706" i="19"/>
  <c r="K706" i="19"/>
  <c r="I717" i="19"/>
  <c r="K717" i="19"/>
  <c r="I5442" i="19"/>
  <c r="K5442" i="19"/>
  <c r="I5452" i="19"/>
  <c r="K5452" i="19"/>
  <c r="I5546" i="19"/>
  <c r="K5546" i="19"/>
  <c r="I5581" i="19"/>
  <c r="K5581" i="19"/>
  <c r="I1115" i="19"/>
  <c r="K1115" i="19"/>
  <c r="I1252" i="19"/>
  <c r="K1252" i="19"/>
  <c r="I180" i="19"/>
  <c r="K180" i="19"/>
  <c r="I205" i="19"/>
  <c r="K205" i="19"/>
  <c r="I283" i="19"/>
  <c r="K283" i="19"/>
  <c r="I294" i="19"/>
  <c r="K294" i="19"/>
  <c r="I321" i="19"/>
  <c r="K321" i="19"/>
  <c r="I383" i="19"/>
  <c r="K383" i="19"/>
  <c r="I943" i="19"/>
  <c r="K943" i="19"/>
  <c r="I973" i="19"/>
  <c r="K973" i="19"/>
  <c r="I1068" i="19"/>
  <c r="K1068" i="19"/>
  <c r="I1136" i="19"/>
  <c r="K1136" i="19"/>
  <c r="I52" i="19"/>
  <c r="K52" i="19"/>
  <c r="I209" i="19"/>
  <c r="K209" i="19"/>
  <c r="I441" i="19"/>
  <c r="K441" i="19"/>
  <c r="I486" i="19"/>
  <c r="K486" i="19"/>
  <c r="I635" i="19"/>
  <c r="K635" i="19"/>
  <c r="I656" i="19"/>
  <c r="K656" i="19"/>
  <c r="I666" i="19"/>
  <c r="K666" i="19"/>
  <c r="I743" i="19"/>
  <c r="K743" i="19"/>
  <c r="I5494" i="19"/>
  <c r="K5494" i="19"/>
  <c r="I5531" i="19"/>
  <c r="K5531" i="19"/>
  <c r="I5557" i="19"/>
  <c r="K5557" i="19"/>
  <c r="I5566" i="19"/>
  <c r="K5566" i="19"/>
  <c r="I5575" i="19"/>
  <c r="K5575" i="19"/>
  <c r="I797" i="19"/>
  <c r="K797" i="19"/>
  <c r="I989" i="19"/>
  <c r="K989" i="19"/>
  <c r="I1070" i="19"/>
  <c r="K1070" i="19"/>
  <c r="I25" i="19"/>
  <c r="K25" i="19"/>
  <c r="I262" i="19"/>
  <c r="K262" i="19"/>
  <c r="I299" i="19"/>
  <c r="K299" i="19"/>
  <c r="I409" i="19"/>
  <c r="K409" i="19"/>
  <c r="I420" i="19"/>
  <c r="K420" i="19"/>
  <c r="I551" i="19"/>
  <c r="K551" i="19"/>
  <c r="I573" i="19"/>
  <c r="K573" i="19"/>
  <c r="I604" i="19"/>
  <c r="K604" i="19"/>
  <c r="I614" i="19"/>
  <c r="K614" i="19"/>
  <c r="I688" i="19"/>
  <c r="K688" i="19"/>
  <c r="I721" i="19"/>
  <c r="K721" i="19"/>
  <c r="I733" i="19"/>
  <c r="K733" i="19"/>
  <c r="I765" i="19"/>
  <c r="K765" i="19"/>
  <c r="I776" i="19"/>
  <c r="K776" i="19"/>
  <c r="I5383" i="19"/>
  <c r="K5383" i="19"/>
  <c r="I5435" i="19"/>
  <c r="K5435" i="19"/>
  <c r="I5466" i="19"/>
  <c r="K5466" i="19"/>
  <c r="I5485" i="19"/>
  <c r="K5485" i="19"/>
  <c r="I1132" i="19"/>
  <c r="K1132" i="19"/>
  <c r="I248" i="19"/>
  <c r="K248" i="19"/>
  <c r="I339" i="19"/>
  <c r="K339" i="19"/>
  <c r="I496" i="19"/>
  <c r="K496" i="19"/>
  <c r="I519" i="19"/>
  <c r="K519" i="19"/>
  <c r="I597" i="19"/>
  <c r="K597" i="19"/>
  <c r="I622" i="19"/>
  <c r="K622" i="19"/>
  <c r="I648" i="19"/>
  <c r="K648" i="19"/>
  <c r="I5403" i="19"/>
  <c r="K5403" i="19"/>
  <c r="I5489" i="19"/>
  <c r="K5489" i="19"/>
  <c r="I5514" i="19"/>
  <c r="K5514" i="19"/>
  <c r="I5538" i="19"/>
  <c r="K5538" i="19"/>
  <c r="I5634" i="19"/>
  <c r="K5634" i="19"/>
  <c r="I4520" i="19"/>
  <c r="K4520" i="19"/>
  <c r="I4559" i="19"/>
  <c r="K4559" i="19"/>
  <c r="I4588" i="19"/>
  <c r="K4588" i="19"/>
  <c r="I4662" i="19"/>
  <c r="K4662" i="19"/>
  <c r="I4690" i="19"/>
  <c r="K4690" i="19"/>
  <c r="I4782" i="19"/>
  <c r="K4782" i="19"/>
  <c r="I4799" i="19"/>
  <c r="K4799" i="19"/>
  <c r="I4808" i="19"/>
  <c r="K4808" i="19"/>
  <c r="I4853" i="19"/>
  <c r="K4853" i="19"/>
  <c r="I4889" i="19"/>
  <c r="K4889" i="19"/>
  <c r="I4932" i="19"/>
  <c r="K4932" i="19"/>
  <c r="I4985" i="19"/>
  <c r="K4985" i="19"/>
  <c r="I5047" i="19"/>
  <c r="K5047" i="19"/>
  <c r="I5054" i="19"/>
  <c r="K5054" i="19"/>
  <c r="I5156" i="19"/>
  <c r="K5156" i="19"/>
  <c r="I5179" i="19"/>
  <c r="K5179" i="19"/>
  <c r="I5204" i="19"/>
  <c r="K5204" i="19"/>
  <c r="I5245" i="19"/>
  <c r="K5245" i="19"/>
  <c r="I5268" i="19"/>
  <c r="K5268" i="19"/>
  <c r="I5325" i="19"/>
  <c r="K5325" i="19"/>
  <c r="I5349" i="19"/>
  <c r="K5349" i="19"/>
  <c r="I3932" i="19"/>
  <c r="K3932" i="19"/>
  <c r="I3979" i="19"/>
  <c r="K3979" i="19"/>
  <c r="I3987" i="19"/>
  <c r="K3987" i="19"/>
  <c r="I3994" i="19"/>
  <c r="K3994" i="19"/>
  <c r="I4047" i="19"/>
  <c r="K4047" i="19"/>
  <c r="I4055" i="19"/>
  <c r="K4055" i="19"/>
  <c r="I4116" i="19"/>
  <c r="K4116" i="19"/>
  <c r="I4139" i="19"/>
  <c r="K4139" i="19"/>
  <c r="I4231" i="19"/>
  <c r="K4231" i="19"/>
  <c r="I4284" i="19"/>
  <c r="K4284" i="19"/>
  <c r="I4292" i="19"/>
  <c r="K4292" i="19"/>
  <c r="I4307" i="19"/>
  <c r="K4307" i="19"/>
  <c r="I4314" i="19"/>
  <c r="K4314" i="19"/>
  <c r="I4322" i="19"/>
  <c r="K4322" i="19"/>
  <c r="I4444" i="19"/>
  <c r="K4444" i="19"/>
  <c r="I4477" i="19"/>
  <c r="K4477" i="19"/>
  <c r="I77" i="19"/>
  <c r="K77" i="19"/>
  <c r="I386" i="19"/>
  <c r="K386" i="19"/>
  <c r="I456" i="19"/>
  <c r="K456" i="19"/>
  <c r="I483" i="19"/>
  <c r="K483" i="19"/>
  <c r="I584" i="19"/>
  <c r="K584" i="19"/>
  <c r="I5503" i="19"/>
  <c r="K5503" i="19"/>
  <c r="I5527" i="19"/>
  <c r="K5527" i="19"/>
  <c r="I5623" i="19"/>
  <c r="K5623" i="19"/>
  <c r="I4510" i="19"/>
  <c r="K4510" i="19"/>
  <c r="I4550" i="19"/>
  <c r="K4550" i="19"/>
  <c r="I4578" i="19"/>
  <c r="K4578" i="19"/>
  <c r="I4608" i="19"/>
  <c r="K4608" i="19"/>
  <c r="I4710" i="19"/>
  <c r="K4710" i="19"/>
  <c r="I4755" i="19"/>
  <c r="K4755" i="19"/>
  <c r="I4774" i="19"/>
  <c r="K4774" i="19"/>
  <c r="I4791" i="19"/>
  <c r="K4791" i="19"/>
  <c r="I4845" i="19"/>
  <c r="K4845" i="19"/>
  <c r="I4871" i="19"/>
  <c r="K4871" i="19"/>
  <c r="I4880" i="19"/>
  <c r="K4880" i="19"/>
  <c r="I4898" i="19"/>
  <c r="K4898" i="19"/>
  <c r="I4941" i="19"/>
  <c r="K4941" i="19"/>
  <c r="I4948" i="19"/>
  <c r="K4948" i="19"/>
  <c r="I4971" i="19"/>
  <c r="K4971" i="19"/>
  <c r="I4978" i="19"/>
  <c r="K4978" i="19"/>
  <c r="I4993" i="19"/>
  <c r="K4993" i="19"/>
  <c r="I5024" i="19"/>
  <c r="K5024" i="19"/>
  <c r="I5032" i="19"/>
  <c r="K5032" i="19"/>
  <c r="I1036" i="19"/>
  <c r="K1036" i="19"/>
  <c r="I1140" i="19"/>
  <c r="K1140" i="19"/>
  <c r="I14" i="19"/>
  <c r="K14" i="19"/>
  <c r="I173" i="19"/>
  <c r="K173" i="19"/>
  <c r="I428" i="19"/>
  <c r="K428" i="19"/>
  <c r="I520" i="19"/>
  <c r="K520" i="19"/>
  <c r="I612" i="19"/>
  <c r="K612" i="19"/>
  <c r="I637" i="19"/>
  <c r="K637" i="19"/>
  <c r="I664" i="19"/>
  <c r="K664" i="19"/>
  <c r="I687" i="19"/>
  <c r="K687" i="19"/>
  <c r="I5478" i="19"/>
  <c r="K5478" i="19"/>
  <c r="I5550" i="19"/>
  <c r="K5550" i="19"/>
  <c r="I5584" i="19"/>
  <c r="K5584" i="19"/>
  <c r="I5594" i="19"/>
  <c r="K5594" i="19"/>
  <c r="I5604" i="19"/>
  <c r="K5604" i="19"/>
  <c r="I4489" i="19"/>
  <c r="K4489" i="19"/>
  <c r="I4570" i="19"/>
  <c r="K4570" i="19"/>
  <c r="I4599" i="19"/>
  <c r="K4599" i="19"/>
  <c r="I4647" i="19"/>
  <c r="K4647" i="19"/>
  <c r="I4655" i="19"/>
  <c r="K4655" i="19"/>
  <c r="I4673" i="19"/>
  <c r="K4673" i="19"/>
  <c r="I4682" i="19"/>
  <c r="K4682" i="19"/>
  <c r="I4730" i="19"/>
  <c r="K4730" i="19"/>
  <c r="I4738" i="19"/>
  <c r="K4738" i="19"/>
  <c r="I4800" i="19"/>
  <c r="K4800" i="19"/>
  <c r="I4809" i="19"/>
  <c r="K4809" i="19"/>
  <c r="I4818" i="19"/>
  <c r="K4818" i="19"/>
  <c r="I4924" i="19"/>
  <c r="K4924" i="19"/>
  <c r="I4964" i="19"/>
  <c r="K4964" i="19"/>
  <c r="I5009" i="19"/>
  <c r="K5009" i="19"/>
  <c r="I5089" i="19"/>
  <c r="K5089" i="19"/>
  <c r="I5097" i="19"/>
  <c r="K5097" i="19"/>
  <c r="I5122" i="19"/>
  <c r="K5122" i="19"/>
  <c r="I5157" i="19"/>
  <c r="K5157" i="19"/>
  <c r="I5187" i="19"/>
  <c r="K5187" i="19"/>
  <c r="I5196" i="19"/>
  <c r="K5196" i="19"/>
  <c r="I5246" i="19"/>
  <c r="K5246" i="19"/>
  <c r="I5276" i="19"/>
  <c r="K5276" i="19"/>
  <c r="I5293" i="19"/>
  <c r="K5293" i="19"/>
  <c r="I5301" i="19"/>
  <c r="K5301" i="19"/>
  <c r="I5334" i="19"/>
  <c r="K5334" i="19"/>
  <c r="I3917" i="19"/>
  <c r="K3917" i="19"/>
  <c r="I3933" i="19"/>
  <c r="K3933" i="19"/>
  <c r="I3949" i="19"/>
  <c r="K3949" i="19"/>
  <c r="I182" i="19"/>
  <c r="K182" i="19"/>
  <c r="I308" i="19"/>
  <c r="K308" i="19"/>
  <c r="I665" i="19"/>
  <c r="K665" i="19"/>
  <c r="I5506" i="19"/>
  <c r="K5506" i="19"/>
  <c r="I5532" i="19"/>
  <c r="K5532" i="19"/>
  <c r="I5591" i="19"/>
  <c r="K5591" i="19"/>
  <c r="I5601" i="19"/>
  <c r="K5601" i="19"/>
  <c r="I4566" i="19"/>
  <c r="K4566" i="19"/>
  <c r="I4598" i="19"/>
  <c r="K4598" i="19"/>
  <c r="I4620" i="19"/>
  <c r="K4620" i="19"/>
  <c r="I4640" i="19"/>
  <c r="K4640" i="19"/>
  <c r="I4749" i="19"/>
  <c r="K4749" i="19"/>
  <c r="I4768" i="19"/>
  <c r="K4768" i="19"/>
  <c r="I4788" i="19"/>
  <c r="K4788" i="19"/>
  <c r="I4797" i="19"/>
  <c r="K4797" i="19"/>
  <c r="I4848" i="19"/>
  <c r="K4848" i="19"/>
  <c r="I4857" i="19"/>
  <c r="K4857" i="19"/>
  <c r="I4914" i="19"/>
  <c r="K4914" i="19"/>
  <c r="I4934" i="19"/>
  <c r="K4934" i="19"/>
  <c r="I4943" i="19"/>
  <c r="K4943" i="19"/>
  <c r="I4976" i="19"/>
  <c r="K4976" i="19"/>
  <c r="I4984" i="19"/>
  <c r="K4984" i="19"/>
  <c r="I5060" i="19"/>
  <c r="K5060" i="19"/>
  <c r="I5070" i="19"/>
  <c r="K5070" i="19"/>
  <c r="I5078" i="19"/>
  <c r="K5078" i="19"/>
  <c r="I5254" i="19"/>
  <c r="K5254" i="19"/>
  <c r="I5280" i="19"/>
  <c r="K5280" i="19"/>
  <c r="I5348" i="19"/>
  <c r="K5348" i="19"/>
  <c r="I3950" i="19"/>
  <c r="K3950" i="19"/>
  <c r="I3973" i="19"/>
  <c r="K3973" i="19"/>
  <c r="I3990" i="19"/>
  <c r="K3990" i="19"/>
  <c r="I4013" i="19"/>
  <c r="K4013" i="19"/>
  <c r="I4020" i="19"/>
  <c r="K4020" i="19"/>
  <c r="I4053" i="19"/>
  <c r="K4053" i="19"/>
  <c r="I4069" i="19"/>
  <c r="K4069" i="19"/>
  <c r="I4077" i="19"/>
  <c r="K4077" i="19"/>
  <c r="I4084" i="19"/>
  <c r="K4084" i="19"/>
  <c r="I4092" i="19"/>
  <c r="K4092" i="19"/>
  <c r="I4100" i="19"/>
  <c r="K4100" i="19"/>
  <c r="I4185" i="19"/>
  <c r="K4185" i="19"/>
  <c r="I4193" i="19"/>
  <c r="K4193" i="19"/>
  <c r="I4248" i="19"/>
  <c r="K4248" i="19"/>
  <c r="I4255" i="19"/>
  <c r="K4255" i="19"/>
  <c r="I4286" i="19"/>
  <c r="K4286" i="19"/>
  <c r="I4310" i="19"/>
  <c r="K4310" i="19"/>
  <c r="I4318" i="19"/>
  <c r="K4318" i="19"/>
  <c r="I4342" i="19"/>
  <c r="K4342" i="19"/>
  <c r="I4396" i="19"/>
  <c r="K4396" i="19"/>
  <c r="I2087" i="19"/>
  <c r="K2087" i="19"/>
  <c r="I2111" i="19"/>
  <c r="K2111" i="19"/>
  <c r="I2120" i="19"/>
  <c r="K2120" i="19"/>
  <c r="I2152" i="19"/>
  <c r="K2152" i="19"/>
  <c r="I2178" i="19"/>
  <c r="K2178" i="19"/>
  <c r="I2186" i="19"/>
  <c r="K2186" i="19"/>
  <c r="I2210" i="19"/>
  <c r="K2210" i="19"/>
  <c r="I2235" i="19"/>
  <c r="K2235" i="19"/>
  <c r="I2275" i="19"/>
  <c r="K2275" i="19"/>
  <c r="I2315" i="19"/>
  <c r="K2315" i="19"/>
  <c r="I2329" i="19"/>
  <c r="K2329" i="19"/>
  <c r="I2343" i="19"/>
  <c r="K2343" i="19"/>
  <c r="I1297" i="19"/>
  <c r="K1297" i="19"/>
  <c r="I1313" i="19"/>
  <c r="K1313" i="19"/>
  <c r="I1320" i="19"/>
  <c r="K1320" i="19"/>
  <c r="I1368" i="19"/>
  <c r="K1368" i="19"/>
  <c r="I1431" i="19"/>
  <c r="K1431" i="19"/>
  <c r="I1439" i="19"/>
  <c r="K1439" i="19"/>
  <c r="I1469" i="19"/>
  <c r="K1469" i="19"/>
  <c r="I1476" i="19"/>
  <c r="K1476" i="19"/>
  <c r="I1490" i="19"/>
  <c r="K1490" i="19"/>
  <c r="I1524" i="19"/>
  <c r="K1524" i="19"/>
  <c r="I1558" i="19"/>
  <c r="K1558" i="19"/>
  <c r="I1565" i="19"/>
  <c r="K1565" i="19"/>
  <c r="I1579" i="19"/>
  <c r="K1579" i="19"/>
  <c r="I1199" i="19"/>
  <c r="K1199" i="19"/>
  <c r="I261" i="19"/>
  <c r="K261" i="19"/>
  <c r="I388" i="19"/>
  <c r="K388" i="19"/>
  <c r="I418" i="19"/>
  <c r="K418" i="19"/>
  <c r="I774" i="19"/>
  <c r="K774" i="19"/>
  <c r="I5467" i="19"/>
  <c r="K5467" i="19"/>
  <c r="I5520" i="19"/>
  <c r="K5520" i="19"/>
  <c r="I5568" i="19"/>
  <c r="K5568" i="19"/>
  <c r="I4545" i="19"/>
  <c r="K4545" i="19"/>
  <c r="I4576" i="19"/>
  <c r="K4576" i="19"/>
  <c r="I4680" i="19"/>
  <c r="K4680" i="19"/>
  <c r="I4720" i="19"/>
  <c r="K4720" i="19"/>
  <c r="I4829" i="19"/>
  <c r="K4829" i="19"/>
  <c r="I4838" i="19"/>
  <c r="K4838" i="19"/>
  <c r="I4886" i="19"/>
  <c r="K4886" i="19"/>
  <c r="I4896" i="19"/>
  <c r="K4896" i="19"/>
  <c r="I4905" i="19"/>
  <c r="K4905" i="19"/>
  <c r="I5124" i="19"/>
  <c r="K5124" i="19"/>
  <c r="I5142" i="19"/>
  <c r="K5142" i="19"/>
  <c r="I5151" i="19"/>
  <c r="K5151" i="19"/>
  <c r="I5160" i="19"/>
  <c r="K5160" i="19"/>
  <c r="I5228" i="19"/>
  <c r="K5228" i="19"/>
  <c r="I5236" i="19"/>
  <c r="K5236" i="19"/>
  <c r="I5263" i="19"/>
  <c r="K5263" i="19"/>
  <c r="I5314" i="19"/>
  <c r="K5314" i="19"/>
  <c r="I5323" i="19"/>
  <c r="K5323" i="19"/>
  <c r="I3925" i="19"/>
  <c r="K3925" i="19"/>
  <c r="I3958" i="19"/>
  <c r="K3958" i="19"/>
  <c r="I3966" i="19"/>
  <c r="K3966" i="19"/>
  <c r="I3999" i="19"/>
  <c r="K3999" i="19"/>
  <c r="I4006" i="19"/>
  <c r="K4006" i="19"/>
  <c r="I4028" i="19"/>
  <c r="K4028" i="19"/>
  <c r="I4045" i="19"/>
  <c r="K4045" i="19"/>
  <c r="I4115" i="19"/>
  <c r="K4115" i="19"/>
  <c r="I4123" i="19"/>
  <c r="K4123" i="19"/>
  <c r="I4130" i="19"/>
  <c r="K4130" i="19"/>
  <c r="I4155" i="19"/>
  <c r="K4155" i="19"/>
  <c r="I4163" i="19"/>
  <c r="K4163" i="19"/>
  <c r="I4170" i="19"/>
  <c r="K4170" i="19"/>
  <c r="I4178" i="19"/>
  <c r="K4178" i="19"/>
  <c r="I4233" i="19"/>
  <c r="K4233" i="19"/>
  <c r="I4241" i="19"/>
  <c r="K4241" i="19"/>
  <c r="I4263" i="19"/>
  <c r="K4263" i="19"/>
  <c r="I4271" i="19"/>
  <c r="K4271" i="19"/>
  <c r="I4335" i="19"/>
  <c r="K4335" i="19"/>
  <c r="I4374" i="19"/>
  <c r="K4374" i="19"/>
  <c r="I4389" i="19"/>
  <c r="K4389" i="19"/>
  <c r="I4412" i="19"/>
  <c r="K4412" i="19"/>
  <c r="I4435" i="19"/>
  <c r="K4435" i="19"/>
  <c r="I4443" i="19"/>
  <c r="K4443" i="19"/>
  <c r="I4459" i="19"/>
  <c r="K4459" i="19"/>
  <c r="I2038" i="19"/>
  <c r="K2038" i="19"/>
  <c r="I2046" i="19"/>
  <c r="K2046" i="19"/>
  <c r="I2061" i="19"/>
  <c r="K2061" i="19"/>
  <c r="I2070" i="19"/>
  <c r="K2070" i="19"/>
  <c r="I2079" i="19"/>
  <c r="K2079" i="19"/>
  <c r="I2136" i="19"/>
  <c r="K2136" i="19"/>
  <c r="I2144" i="19"/>
  <c r="K2144" i="19"/>
  <c r="I2194" i="19"/>
  <c r="K2194" i="19"/>
  <c r="I2219" i="19"/>
  <c r="K2219" i="19"/>
  <c r="I2252" i="19"/>
  <c r="K2252" i="19"/>
  <c r="I2268" i="19"/>
  <c r="K2268" i="19"/>
  <c r="I2306" i="19"/>
  <c r="K2306" i="19"/>
  <c r="I2316" i="19"/>
  <c r="K2316" i="19"/>
  <c r="I2357" i="19"/>
  <c r="K2357" i="19"/>
  <c r="I2370" i="19"/>
  <c r="K2370" i="19"/>
  <c r="I2383" i="19"/>
  <c r="K2383" i="19"/>
  <c r="I2395" i="19"/>
  <c r="K2395" i="19"/>
  <c r="I2407" i="19"/>
  <c r="K2407" i="19"/>
  <c r="I2421" i="19"/>
  <c r="K2421" i="19"/>
  <c r="I2434" i="19"/>
  <c r="K2434" i="19"/>
  <c r="I2447" i="19"/>
  <c r="K2447" i="19"/>
  <c r="I2460" i="19"/>
  <c r="K2460" i="19"/>
  <c r="I2473" i="19"/>
  <c r="K2473" i="19"/>
  <c r="I2485" i="19"/>
  <c r="K2485" i="19"/>
  <c r="I2497" i="19"/>
  <c r="K2497" i="19"/>
  <c r="I1261" i="19"/>
  <c r="K1261" i="19"/>
  <c r="I1268" i="19"/>
  <c r="K1268" i="19"/>
  <c r="I1275" i="19"/>
  <c r="K1275" i="19"/>
  <c r="I1290" i="19"/>
  <c r="K1290" i="19"/>
  <c r="I1344" i="19"/>
  <c r="K1344" i="19"/>
  <c r="I1385" i="19"/>
  <c r="K1385" i="19"/>
  <c r="I1401" i="19"/>
  <c r="K1401" i="19"/>
  <c r="I1417" i="19"/>
  <c r="K1417" i="19"/>
  <c r="I1424" i="19"/>
  <c r="K1424" i="19"/>
  <c r="I1504" i="19"/>
  <c r="K1504" i="19"/>
  <c r="I1511" i="19"/>
  <c r="K1511" i="19"/>
  <c r="I1531" i="19"/>
  <c r="K1531" i="19"/>
  <c r="I1586" i="19"/>
  <c r="K1586" i="19"/>
  <c r="I1600" i="19"/>
  <c r="K1600" i="19"/>
  <c r="I1613" i="19"/>
  <c r="K1613" i="19"/>
  <c r="I1633" i="19"/>
  <c r="K1633" i="19"/>
  <c r="I1652" i="19"/>
  <c r="K1652" i="19"/>
  <c r="I1684" i="19"/>
  <c r="K1684" i="19"/>
  <c r="I1205" i="19"/>
  <c r="K1205" i="19"/>
  <c r="I199" i="19"/>
  <c r="K199" i="19"/>
  <c r="I374" i="19"/>
  <c r="K374" i="19"/>
  <c r="I5455" i="19"/>
  <c r="K5455" i="19"/>
  <c r="I4557" i="19"/>
  <c r="K4557" i="19"/>
  <c r="I4650" i="19"/>
  <c r="K4650" i="19"/>
  <c r="I4660" i="19"/>
  <c r="K4660" i="19"/>
  <c r="I4731" i="19"/>
  <c r="K4731" i="19"/>
  <c r="I4866" i="19"/>
  <c r="K4866" i="19"/>
  <c r="I4960" i="19"/>
  <c r="K4960" i="19"/>
  <c r="I5002" i="19"/>
  <c r="K5002" i="19"/>
  <c r="I5018" i="19"/>
  <c r="K5018" i="19"/>
  <c r="I5027" i="19"/>
  <c r="K5027" i="19"/>
  <c r="I5116" i="19"/>
  <c r="K5116" i="19"/>
  <c r="I5168" i="19"/>
  <c r="K5168" i="19"/>
  <c r="I5185" i="19"/>
  <c r="K5185" i="19"/>
  <c r="I5194" i="19"/>
  <c r="K5194" i="19"/>
  <c r="I5212" i="19"/>
  <c r="K5212" i="19"/>
  <c r="I5247" i="19"/>
  <c r="K5247" i="19"/>
  <c r="I5281" i="19"/>
  <c r="K5281" i="19"/>
  <c r="I5289" i="19"/>
  <c r="K5289" i="19"/>
  <c r="I5298" i="19"/>
  <c r="K5298" i="19"/>
  <c r="I5332" i="19"/>
  <c r="K5332" i="19"/>
  <c r="I3943" i="19"/>
  <c r="K3943" i="19"/>
  <c r="I3951" i="19"/>
  <c r="K3951" i="19"/>
  <c r="I4062" i="19"/>
  <c r="K4062" i="19"/>
  <c r="I4085" i="19"/>
  <c r="K4085" i="19"/>
  <c r="I4093" i="19"/>
  <c r="K4093" i="19"/>
  <c r="I4101" i="19"/>
  <c r="K4101" i="19"/>
  <c r="I4108" i="19"/>
  <c r="K4108" i="19"/>
  <c r="I4148" i="19"/>
  <c r="K4148" i="19"/>
  <c r="I4210" i="19"/>
  <c r="K4210" i="19"/>
  <c r="I4218" i="19"/>
  <c r="K4218" i="19"/>
  <c r="I4225" i="19"/>
  <c r="K4225" i="19"/>
  <c r="I4256" i="19"/>
  <c r="K4256" i="19"/>
  <c r="I4279" i="19"/>
  <c r="K4279" i="19"/>
  <c r="I4287" i="19"/>
  <c r="K4287" i="19"/>
  <c r="I4295" i="19"/>
  <c r="K4295" i="19"/>
  <c r="I4303" i="19"/>
  <c r="K4303" i="19"/>
  <c r="I4319" i="19"/>
  <c r="K4319" i="19"/>
  <c r="I4327" i="19"/>
  <c r="K4327" i="19"/>
  <c r="I4350" i="19"/>
  <c r="K4350" i="19"/>
  <c r="I4382" i="19"/>
  <c r="K4382" i="19"/>
  <c r="I4428" i="19"/>
  <c r="K4428" i="19"/>
  <c r="I4451" i="19"/>
  <c r="K4451" i="19"/>
  <c r="I4469" i="19"/>
  <c r="K4469" i="19"/>
  <c r="I2054" i="19"/>
  <c r="K2054" i="19"/>
  <c r="I2088" i="19"/>
  <c r="K2088" i="19"/>
  <c r="I2096" i="19"/>
  <c r="K2096" i="19"/>
  <c r="I2162" i="19"/>
  <c r="K2162" i="19"/>
  <c r="I2228" i="19"/>
  <c r="K2228" i="19"/>
  <c r="I2244" i="19"/>
  <c r="K2244" i="19"/>
  <c r="I2283" i="19"/>
  <c r="K2283" i="19"/>
  <c r="I2299" i="19"/>
  <c r="K2299" i="19"/>
  <c r="I2331" i="19"/>
  <c r="K2331" i="19"/>
  <c r="I2344" i="19"/>
  <c r="K2344" i="19"/>
  <c r="I1283" i="19"/>
  <c r="K1283" i="19"/>
  <c r="I1328" i="19"/>
  <c r="K1328" i="19"/>
  <c r="I1361" i="19"/>
  <c r="K1361" i="19"/>
  <c r="I1377" i="19"/>
  <c r="K1377" i="19"/>
  <c r="I1410" i="19"/>
  <c r="K1410" i="19"/>
  <c r="I1455" i="19"/>
  <c r="K1455" i="19"/>
  <c r="I1463" i="19"/>
  <c r="K1463" i="19"/>
  <c r="I1477" i="19"/>
  <c r="K1477" i="19"/>
  <c r="I1518" i="19"/>
  <c r="K1518" i="19"/>
  <c r="I1538" i="19"/>
  <c r="K1538" i="19"/>
  <c r="I1552" i="19"/>
  <c r="K1552" i="19"/>
  <c r="I1566" i="19"/>
  <c r="K1566" i="19"/>
  <c r="I1607" i="19"/>
  <c r="K1607" i="19"/>
  <c r="I1620" i="19"/>
  <c r="K1620" i="19"/>
  <c r="I1646" i="19"/>
  <c r="K1646" i="19"/>
  <c r="I1678" i="19"/>
  <c r="K1678" i="19"/>
  <c r="I1214" i="19"/>
  <c r="K1214" i="19"/>
  <c r="I37" i="19"/>
  <c r="K37" i="19"/>
  <c r="I434" i="19"/>
  <c r="K434" i="19"/>
  <c r="I476" i="19"/>
  <c r="K476" i="19"/>
  <c r="I529" i="19"/>
  <c r="K529" i="19"/>
  <c r="I572" i="19"/>
  <c r="K572" i="19"/>
  <c r="I5569" i="19"/>
  <c r="K5569" i="19"/>
  <c r="I5582" i="19"/>
  <c r="K5582" i="19"/>
  <c r="I5593" i="19"/>
  <c r="K5593" i="19"/>
  <c r="I5614" i="19"/>
  <c r="K5614" i="19"/>
  <c r="I5625" i="19"/>
  <c r="K5625" i="19"/>
  <c r="I1256" i="19"/>
  <c r="K1256" i="19"/>
  <c r="I160" i="19"/>
  <c r="K160" i="19"/>
  <c r="I210" i="19"/>
  <c r="K210" i="19"/>
  <c r="I450" i="19"/>
  <c r="K450" i="19"/>
  <c r="I4512" i="19"/>
  <c r="K4512" i="19"/>
  <c r="I4536" i="19"/>
  <c r="K4536" i="19"/>
  <c r="I4547" i="19"/>
  <c r="K4547" i="19"/>
  <c r="I4661" i="19"/>
  <c r="K4661" i="19"/>
  <c r="I4684" i="19"/>
  <c r="K4684" i="19"/>
  <c r="I4695" i="19"/>
  <c r="K4695" i="19"/>
  <c r="I4757" i="19"/>
  <c r="K4757" i="19"/>
  <c r="I4790" i="19"/>
  <c r="K4790" i="19"/>
  <c r="I4926" i="19"/>
  <c r="K4926" i="19"/>
  <c r="I4965" i="19"/>
  <c r="K4965" i="19"/>
  <c r="I4983" i="19"/>
  <c r="K4983" i="19"/>
  <c r="I5048" i="19"/>
  <c r="K5048" i="19"/>
  <c r="I5066" i="19"/>
  <c r="K5066" i="19"/>
  <c r="I5095" i="19"/>
  <c r="K5095" i="19"/>
  <c r="I5104" i="19"/>
  <c r="K5104" i="19"/>
  <c r="I5115" i="19"/>
  <c r="K5115" i="19"/>
  <c r="I5173" i="19"/>
  <c r="K5173" i="19"/>
  <c r="I5181" i="19"/>
  <c r="K5181" i="19"/>
  <c r="I5202" i="19"/>
  <c r="K5202" i="19"/>
  <c r="I5211" i="19"/>
  <c r="K5211" i="19"/>
  <c r="I5248" i="19"/>
  <c r="K5248" i="19"/>
  <c r="I5275" i="19"/>
  <c r="K5275" i="19"/>
  <c r="I5295" i="19"/>
  <c r="K5295" i="19"/>
  <c r="I5305" i="19"/>
  <c r="K5305" i="19"/>
  <c r="I5342" i="19"/>
  <c r="K5342" i="19"/>
  <c r="I3938" i="19"/>
  <c r="K3938" i="19"/>
  <c r="I3965" i="19"/>
  <c r="K3965" i="19"/>
  <c r="I3974" i="19"/>
  <c r="K3974" i="19"/>
  <c r="I3984" i="19"/>
  <c r="K3984" i="19"/>
  <c r="I4018" i="19"/>
  <c r="K4018" i="19"/>
  <c r="I4089" i="19"/>
  <c r="K4089" i="19"/>
  <c r="I4114" i="19"/>
  <c r="K4114" i="19"/>
  <c r="I4174" i="19"/>
  <c r="K4174" i="19"/>
  <c r="I4260" i="19"/>
  <c r="K4260" i="19"/>
  <c r="I4268" i="19"/>
  <c r="K4268" i="19"/>
  <c r="I4348" i="19"/>
  <c r="K4348" i="19"/>
  <c r="I4364" i="19"/>
  <c r="K4364" i="19"/>
  <c r="I4373" i="19"/>
  <c r="K4373" i="19"/>
  <c r="I4399" i="19"/>
  <c r="K4399" i="19"/>
  <c r="I4408" i="19"/>
  <c r="K4408" i="19"/>
  <c r="I4416" i="19"/>
  <c r="K4416" i="19"/>
  <c r="I4440" i="19"/>
  <c r="K4440" i="19"/>
  <c r="I2031" i="19"/>
  <c r="K2031" i="19"/>
  <c r="I2040" i="19"/>
  <c r="K2040" i="19"/>
  <c r="I2086" i="19"/>
  <c r="K2086" i="19"/>
  <c r="I2095" i="19"/>
  <c r="K2095" i="19"/>
  <c r="I2177" i="19"/>
  <c r="K2177" i="19"/>
  <c r="I2214" i="19"/>
  <c r="K2214" i="19"/>
  <c r="I2302" i="19"/>
  <c r="K2302" i="19"/>
  <c r="I2327" i="19"/>
  <c r="K2327" i="19"/>
  <c r="I2342" i="19"/>
  <c r="K2342" i="19"/>
  <c r="I2360" i="19"/>
  <c r="K2360" i="19"/>
  <c r="I2390" i="19"/>
  <c r="K2390" i="19"/>
  <c r="I2420" i="19"/>
  <c r="K2420" i="19"/>
  <c r="I2437" i="19"/>
  <c r="K2437" i="19"/>
  <c r="I2466" i="19"/>
  <c r="K2466" i="19"/>
  <c r="I2496" i="19"/>
  <c r="K2496" i="19"/>
  <c r="I1278" i="19"/>
  <c r="K1278" i="19"/>
  <c r="I1286" i="19"/>
  <c r="K1286" i="19"/>
  <c r="I1337" i="19"/>
  <c r="K1337" i="19"/>
  <c r="I1535" i="19"/>
  <c r="K1535" i="19"/>
  <c r="I1550" i="19"/>
  <c r="K1550" i="19"/>
  <c r="I1596" i="19"/>
  <c r="K1596" i="19"/>
  <c r="I1604" i="19"/>
  <c r="K1604" i="19"/>
  <c r="I1626" i="19"/>
  <c r="K1626" i="19"/>
  <c r="I1661" i="19"/>
  <c r="K1661" i="19"/>
  <c r="I1681" i="19"/>
  <c r="K1681" i="19"/>
  <c r="I1688" i="19"/>
  <c r="K1688" i="19"/>
  <c r="I1714" i="19"/>
  <c r="K1714" i="19"/>
  <c r="I1733" i="19"/>
  <c r="K1733" i="19"/>
  <c r="I1752" i="19"/>
  <c r="K1752" i="19"/>
  <c r="I1771" i="19"/>
  <c r="K1771" i="19"/>
  <c r="I1790" i="19"/>
  <c r="K1790" i="19"/>
  <c r="I1835" i="19"/>
  <c r="K1835" i="19"/>
  <c r="I1872" i="19"/>
  <c r="K1872" i="19"/>
  <c r="I1883" i="19"/>
  <c r="K1883" i="19"/>
  <c r="I1893" i="19"/>
  <c r="K1893" i="19"/>
  <c r="I1903" i="19"/>
  <c r="K1903" i="19"/>
  <c r="I1913" i="19"/>
  <c r="K1913" i="19"/>
  <c r="I1923" i="19"/>
  <c r="K1923" i="19"/>
  <c r="I1933" i="19"/>
  <c r="K1933" i="19"/>
  <c r="I1943" i="19"/>
  <c r="K1943" i="19"/>
  <c r="I1953" i="19"/>
  <c r="K1953" i="19"/>
  <c r="I1964" i="19"/>
  <c r="K1964" i="19"/>
  <c r="I1974" i="19"/>
  <c r="K1974" i="19"/>
  <c r="I1984" i="19"/>
  <c r="K1984" i="19"/>
  <c r="I1994" i="19"/>
  <c r="K1994" i="19"/>
  <c r="I2004" i="19"/>
  <c r="K2004" i="19"/>
  <c r="I3714" i="19"/>
  <c r="K3714" i="19"/>
  <c r="I3720" i="19"/>
  <c r="K3720" i="19"/>
  <c r="I3739" i="19"/>
  <c r="K3739" i="19"/>
  <c r="I3758" i="19"/>
  <c r="K3758" i="19"/>
  <c r="I3777" i="19"/>
  <c r="K3777" i="19"/>
  <c r="I3796" i="19"/>
  <c r="K3796" i="19"/>
  <c r="I3809" i="19"/>
  <c r="K3809" i="19"/>
  <c r="I3828" i="19"/>
  <c r="K3828" i="19"/>
  <c r="I3847" i="19"/>
  <c r="K3847" i="19"/>
  <c r="I3860" i="19"/>
  <c r="K3860" i="19"/>
  <c r="F3866" i="19"/>
  <c r="H3866" i="19"/>
  <c r="I3879" i="19"/>
  <c r="K3879" i="19"/>
  <c r="I3464" i="19"/>
  <c r="K3464" i="19"/>
  <c r="I3483" i="19"/>
  <c r="K3483" i="19"/>
  <c r="I3489" i="19"/>
  <c r="K3489" i="19"/>
  <c r="I3508" i="19"/>
  <c r="K3508" i="19"/>
  <c r="I3554" i="19"/>
  <c r="K3554" i="19"/>
  <c r="I3574" i="19"/>
  <c r="K3574" i="19"/>
  <c r="I3625" i="19"/>
  <c r="K3625" i="19"/>
  <c r="I3650" i="19"/>
  <c r="K3650" i="19"/>
  <c r="I3669" i="19"/>
  <c r="K3669" i="19"/>
  <c r="I3675" i="19"/>
  <c r="K3675" i="19"/>
  <c r="I3681" i="19"/>
  <c r="K3681" i="19"/>
  <c r="I3287" i="19"/>
  <c r="K3287" i="19"/>
  <c r="I3293" i="19"/>
  <c r="K3293" i="19"/>
  <c r="I3299" i="19"/>
  <c r="K3299" i="19"/>
  <c r="I3305" i="19"/>
  <c r="K3305" i="19"/>
  <c r="I3325" i="19"/>
  <c r="K3325" i="19"/>
  <c r="I3350" i="19"/>
  <c r="K3350" i="19"/>
  <c r="I3363" i="19"/>
  <c r="K3363" i="19"/>
  <c r="I3382" i="19"/>
  <c r="K3382" i="19"/>
  <c r="F3388" i="19"/>
  <c r="H3388" i="19"/>
  <c r="I3407" i="19"/>
  <c r="K3407" i="19"/>
  <c r="I3426" i="19"/>
  <c r="K3426" i="19"/>
  <c r="I3445" i="19"/>
  <c r="K3445" i="19"/>
  <c r="I3451" i="19"/>
  <c r="K3451" i="19"/>
  <c r="I3457" i="19"/>
  <c r="K3457" i="19"/>
  <c r="I3094" i="19"/>
  <c r="K3094" i="19"/>
  <c r="I3100" i="19"/>
  <c r="K3100" i="19"/>
  <c r="I3106" i="19"/>
  <c r="K3106" i="19"/>
  <c r="I3112" i="19"/>
  <c r="K3112" i="19"/>
  <c r="I145" i="19"/>
  <c r="K145" i="19"/>
  <c r="I194" i="19"/>
  <c r="K194" i="19"/>
  <c r="I323" i="19"/>
  <c r="K323" i="19"/>
  <c r="I5562" i="19"/>
  <c r="K5562" i="19"/>
  <c r="I5609" i="19"/>
  <c r="K5609" i="19"/>
  <c r="I5622" i="19"/>
  <c r="K5622" i="19"/>
  <c r="I4572" i="19"/>
  <c r="K4572" i="19"/>
  <c r="I4582" i="19"/>
  <c r="K4582" i="19"/>
  <c r="I4715" i="19"/>
  <c r="K4715" i="19"/>
  <c r="I4737" i="19"/>
  <c r="K4737" i="19"/>
  <c r="I4812" i="19"/>
  <c r="K4812" i="19"/>
  <c r="I4822" i="19"/>
  <c r="K4822" i="19"/>
  <c r="I4833" i="19"/>
  <c r="K4833" i="19"/>
  <c r="I4844" i="19"/>
  <c r="K4844" i="19"/>
  <c r="I4874" i="19"/>
  <c r="K4874" i="19"/>
  <c r="I4937" i="19"/>
  <c r="K4937" i="19"/>
  <c r="I5011" i="19"/>
  <c r="K5011" i="19"/>
  <c r="I5030" i="19"/>
  <c r="K5030" i="19"/>
  <c r="I5039" i="19"/>
  <c r="K5039" i="19"/>
  <c r="I5077" i="19"/>
  <c r="K5077" i="19"/>
  <c r="I5085" i="19"/>
  <c r="K5085" i="19"/>
  <c r="I5134" i="19"/>
  <c r="K5134" i="19"/>
  <c r="I5164" i="19"/>
  <c r="K5164" i="19"/>
  <c r="I5229" i="19"/>
  <c r="K5229" i="19"/>
  <c r="I5238" i="19"/>
  <c r="K5238" i="19"/>
  <c r="I5286" i="19"/>
  <c r="K5286" i="19"/>
  <c r="I5324" i="19"/>
  <c r="K5324" i="19"/>
  <c r="I3911" i="19"/>
  <c r="K3911" i="19"/>
  <c r="I3930" i="19"/>
  <c r="K3930" i="19"/>
  <c r="I3957" i="19"/>
  <c r="K3957" i="19"/>
  <c r="I3993" i="19"/>
  <c r="K3993" i="19"/>
  <c r="I4036" i="19"/>
  <c r="K4036" i="19"/>
  <c r="I4044" i="19"/>
  <c r="K4044" i="19"/>
  <c r="I4054" i="19"/>
  <c r="K4054" i="19"/>
  <c r="I4063" i="19"/>
  <c r="K4063" i="19"/>
  <c r="I4097" i="19"/>
  <c r="K4097" i="19"/>
  <c r="I4106" i="19"/>
  <c r="K4106" i="19"/>
  <c r="I4132" i="19"/>
  <c r="K4132" i="19"/>
  <c r="I4141" i="19"/>
  <c r="K4141" i="19"/>
  <c r="I4158" i="19"/>
  <c r="K4158" i="19"/>
  <c r="I4166" i="19"/>
  <c r="K4166" i="19"/>
  <c r="I4183" i="19"/>
  <c r="K4183" i="19"/>
  <c r="I4200" i="19"/>
  <c r="K4200" i="19"/>
  <c r="I4244" i="19"/>
  <c r="K4244" i="19"/>
  <c r="I4313" i="19"/>
  <c r="K4313" i="19"/>
  <c r="I4357" i="19"/>
  <c r="K4357" i="19"/>
  <c r="I4383" i="19"/>
  <c r="K4383" i="19"/>
  <c r="I4425" i="19"/>
  <c r="K4425" i="19"/>
  <c r="I4433" i="19"/>
  <c r="K4433" i="19"/>
  <c r="I4450" i="19"/>
  <c r="K4450" i="19"/>
  <c r="I4470" i="19"/>
  <c r="K4470" i="19"/>
  <c r="I2105" i="19"/>
  <c r="K2105" i="19"/>
  <c r="I2122" i="19"/>
  <c r="K2122" i="19"/>
  <c r="I2131" i="19"/>
  <c r="K2131" i="19"/>
  <c r="I2168" i="19"/>
  <c r="K2168" i="19"/>
  <c r="I2187" i="19"/>
  <c r="K2187" i="19"/>
  <c r="I2223" i="19"/>
  <c r="K2223" i="19"/>
  <c r="I2232" i="19"/>
  <c r="K2232" i="19"/>
  <c r="I2259" i="19"/>
  <c r="K2259" i="19"/>
  <c r="I2375" i="19"/>
  <c r="K2375" i="19"/>
  <c r="I2405" i="19"/>
  <c r="K2405" i="19"/>
  <c r="I2423" i="19"/>
  <c r="K2423" i="19"/>
  <c r="I2452" i="19"/>
  <c r="K2452" i="19"/>
  <c r="I2483" i="19"/>
  <c r="K2483" i="19"/>
  <c r="I2498" i="19"/>
  <c r="K2498" i="19"/>
  <c r="I1263" i="19"/>
  <c r="K1263" i="19"/>
  <c r="I1271" i="19"/>
  <c r="K1271" i="19"/>
  <c r="I1303" i="19"/>
  <c r="K1303" i="19"/>
  <c r="I1346" i="19"/>
  <c r="K1346" i="19"/>
  <c r="I1381" i="19"/>
  <c r="K1381" i="19"/>
  <c r="I1399" i="19"/>
  <c r="K1399" i="19"/>
  <c r="I1425" i="19"/>
  <c r="K1425" i="19"/>
  <c r="I1434" i="19"/>
  <c r="K1434" i="19"/>
  <c r="I1451" i="19"/>
  <c r="K1451" i="19"/>
  <c r="I1482" i="19"/>
  <c r="K1482" i="19"/>
  <c r="I1505" i="19"/>
  <c r="K1505" i="19"/>
  <c r="I1520" i="19"/>
  <c r="K1520" i="19"/>
  <c r="I1528" i="19"/>
  <c r="K1528" i="19"/>
  <c r="I1543" i="19"/>
  <c r="K1543" i="19"/>
  <c r="I1589" i="19"/>
  <c r="K1589" i="19"/>
  <c r="I1619" i="19"/>
  <c r="K1619" i="19"/>
  <c r="I1634" i="19"/>
  <c r="K1634" i="19"/>
  <c r="I1668" i="19"/>
  <c r="K1668" i="19"/>
  <c r="I1708" i="19"/>
  <c r="K1708" i="19"/>
  <c r="I1727" i="19"/>
  <c r="K1727" i="19"/>
  <c r="I1746" i="19"/>
  <c r="K1746" i="19"/>
  <c r="I1765" i="19"/>
  <c r="K1765" i="19"/>
  <c r="I1784" i="19"/>
  <c r="K1784" i="19"/>
  <c r="F1815" i="19"/>
  <c r="H1815" i="19"/>
  <c r="I1822" i="19"/>
  <c r="K1822" i="19"/>
  <c r="F1843" i="19"/>
  <c r="H1843" i="19"/>
  <c r="I1853" i="19"/>
  <c r="K1853" i="19"/>
  <c r="I1863" i="19"/>
  <c r="K1863" i="19"/>
  <c r="I2014" i="19"/>
  <c r="K2014" i="19"/>
  <c r="I2024" i="19"/>
  <c r="K2024" i="19"/>
  <c r="I3708" i="19"/>
  <c r="K3708" i="19"/>
  <c r="I3733" i="19"/>
  <c r="K3733" i="19"/>
  <c r="I3752" i="19"/>
  <c r="K3752" i="19"/>
  <c r="I3771" i="19"/>
  <c r="K3771" i="19"/>
  <c r="I3790" i="19"/>
  <c r="K3790" i="19"/>
  <c r="I3803" i="19"/>
  <c r="K3803" i="19"/>
  <c r="I3822" i="19"/>
  <c r="K3822" i="19"/>
  <c r="I3841" i="19"/>
  <c r="K3841" i="19"/>
  <c r="I3873" i="19"/>
  <c r="K3873" i="19"/>
  <c r="I3905" i="19"/>
  <c r="K3905" i="19"/>
  <c r="I3477" i="19"/>
  <c r="K3477" i="19"/>
  <c r="I3502" i="19"/>
  <c r="K3502" i="19"/>
  <c r="I3521" i="19"/>
  <c r="K3521" i="19"/>
  <c r="I3527" i="19"/>
  <c r="K3527" i="19"/>
  <c r="I3541" i="19"/>
  <c r="K3541" i="19"/>
  <c r="I3561" i="19"/>
  <c r="K3561" i="19"/>
  <c r="I3581" i="19"/>
  <c r="K3581" i="19"/>
  <c r="F3587" i="19"/>
  <c r="H3587" i="19"/>
  <c r="I3613" i="19"/>
  <c r="K3613" i="19"/>
  <c r="I3619" i="19"/>
  <c r="K3619" i="19"/>
  <c r="I3638" i="19"/>
  <c r="K3638" i="19"/>
  <c r="I3644" i="19"/>
  <c r="K3644" i="19"/>
  <c r="I3663" i="19"/>
  <c r="K3663" i="19"/>
  <c r="I3312" i="19"/>
  <c r="K3312" i="19"/>
  <c r="I3338" i="19"/>
  <c r="K3338" i="19"/>
  <c r="I3344" i="19"/>
  <c r="K3344" i="19"/>
  <c r="I3357" i="19"/>
  <c r="K3357" i="19"/>
  <c r="I3376" i="19"/>
  <c r="K3376" i="19"/>
  <c r="I3401" i="19"/>
  <c r="K3401" i="19"/>
  <c r="I3420" i="19"/>
  <c r="K3420" i="19"/>
  <c r="I3118" i="19"/>
  <c r="K3118" i="19"/>
  <c r="I3124" i="19"/>
  <c r="K3124" i="19"/>
  <c r="I3130" i="19"/>
  <c r="K3130" i="19"/>
  <c r="I3136" i="19"/>
  <c r="K3136" i="19"/>
  <c r="I3142" i="19"/>
  <c r="K3142" i="19"/>
  <c r="I3148" i="19"/>
  <c r="K3148" i="19"/>
  <c r="I3154" i="19"/>
  <c r="K3154" i="19"/>
  <c r="I3160" i="19"/>
  <c r="K3160" i="19"/>
  <c r="I3166" i="19"/>
  <c r="K3166" i="19"/>
  <c r="I466" i="19"/>
  <c r="K466" i="19"/>
  <c r="I510" i="19"/>
  <c r="K510" i="19"/>
  <c r="I581" i="19"/>
  <c r="K581" i="19"/>
  <c r="I667" i="19"/>
  <c r="K667" i="19"/>
  <c r="I5398" i="19"/>
  <c r="K5398" i="19"/>
  <c r="I5413" i="19"/>
  <c r="K5413" i="19"/>
  <c r="I5600" i="19"/>
  <c r="K5600" i="19"/>
  <c r="I4607" i="19"/>
  <c r="K4607" i="19"/>
  <c r="I4641" i="19"/>
  <c r="K4641" i="19"/>
  <c r="I4652" i="19"/>
  <c r="K4652" i="19"/>
  <c r="I4696" i="19"/>
  <c r="K4696" i="19"/>
  <c r="I4769" i="19"/>
  <c r="K4769" i="19"/>
  <c r="I4780" i="19"/>
  <c r="K4780" i="19"/>
  <c r="I4907" i="19"/>
  <c r="K4907" i="19"/>
  <c r="I4947" i="19"/>
  <c r="K4947" i="19"/>
  <c r="I4957" i="19"/>
  <c r="K4957" i="19"/>
  <c r="I4975" i="19"/>
  <c r="K4975" i="19"/>
  <c r="I5020" i="19"/>
  <c r="K5020" i="19"/>
  <c r="I5096" i="19"/>
  <c r="K5096" i="19"/>
  <c r="I5221" i="19"/>
  <c r="K5221" i="19"/>
  <c r="I3939" i="19"/>
  <c r="K3939" i="19"/>
  <c r="I3985" i="19"/>
  <c r="K3985" i="19"/>
  <c r="I4002" i="19"/>
  <c r="K4002" i="19"/>
  <c r="I4011" i="19"/>
  <c r="K4011" i="19"/>
  <c r="I4027" i="19"/>
  <c r="K4027" i="19"/>
  <c r="I4073" i="19"/>
  <c r="K4073" i="19"/>
  <c r="I4081" i="19"/>
  <c r="K4081" i="19"/>
  <c r="I4192" i="19"/>
  <c r="K4192" i="19"/>
  <c r="I4227" i="19"/>
  <c r="K4227" i="19"/>
  <c r="I4253" i="19"/>
  <c r="K4253" i="19"/>
  <c r="I4269" i="19"/>
  <c r="K4269" i="19"/>
  <c r="I4278" i="19"/>
  <c r="K4278" i="19"/>
  <c r="I4323" i="19"/>
  <c r="K4323" i="19"/>
  <c r="I4400" i="19"/>
  <c r="K4400" i="19"/>
  <c r="I4417" i="19"/>
  <c r="K4417" i="19"/>
  <c r="I181" i="19"/>
  <c r="K181" i="19"/>
  <c r="I698" i="19"/>
  <c r="K698" i="19"/>
  <c r="I5358" i="19"/>
  <c r="K5358" i="19"/>
  <c r="I5539" i="19"/>
  <c r="K5539" i="19"/>
  <c r="I4504" i="19"/>
  <c r="K4504" i="19"/>
  <c r="I4528" i="19"/>
  <c r="K4528" i="19"/>
  <c r="I4697" i="19"/>
  <c r="K4697" i="19"/>
  <c r="I4750" i="19"/>
  <c r="K4750" i="19"/>
  <c r="I4761" i="19"/>
  <c r="K4761" i="19"/>
  <c r="I4793" i="19"/>
  <c r="K4793" i="19"/>
  <c r="I4814" i="19"/>
  <c r="K4814" i="19"/>
  <c r="I4835" i="19"/>
  <c r="K4835" i="19"/>
  <c r="I4899" i="19"/>
  <c r="K4899" i="19"/>
  <c r="I4928" i="19"/>
  <c r="K4928" i="19"/>
  <c r="I4958" i="19"/>
  <c r="K4958" i="19"/>
  <c r="I4967" i="19"/>
  <c r="K4967" i="19"/>
  <c r="I5050" i="19"/>
  <c r="K5050" i="19"/>
  <c r="I5059" i="19"/>
  <c r="K5059" i="19"/>
  <c r="I5108" i="19"/>
  <c r="K5108" i="19"/>
  <c r="I5118" i="19"/>
  <c r="K5118" i="19"/>
  <c r="I5136" i="19"/>
  <c r="K5136" i="19"/>
  <c r="I5166" i="19"/>
  <c r="K5166" i="19"/>
  <c r="I5205" i="19"/>
  <c r="K5205" i="19"/>
  <c r="I5240" i="19"/>
  <c r="K5240" i="19"/>
  <c r="I5269" i="19"/>
  <c r="K5269" i="19"/>
  <c r="I5278" i="19"/>
  <c r="K5278" i="19"/>
  <c r="I5288" i="19"/>
  <c r="K5288" i="19"/>
  <c r="I3977" i="19"/>
  <c r="K3977" i="19"/>
  <c r="I3986" i="19"/>
  <c r="K3986" i="19"/>
  <c r="I4012" i="19"/>
  <c r="K4012" i="19"/>
  <c r="I4038" i="19"/>
  <c r="K4038" i="19"/>
  <c r="I4056" i="19"/>
  <c r="K4056" i="19"/>
  <c r="I4082" i="19"/>
  <c r="K4082" i="19"/>
  <c r="I4134" i="19"/>
  <c r="K4134" i="19"/>
  <c r="I4168" i="19"/>
  <c r="K4168" i="19"/>
  <c r="I4203" i="19"/>
  <c r="K4203" i="19"/>
  <c r="I4211" i="19"/>
  <c r="K4211" i="19"/>
  <c r="I4220" i="19"/>
  <c r="K4220" i="19"/>
  <c r="I4228" i="19"/>
  <c r="K4228" i="19"/>
  <c r="I4254" i="19"/>
  <c r="K4254" i="19"/>
  <c r="I4324" i="19"/>
  <c r="K4324" i="19"/>
  <c r="I4333" i="19"/>
  <c r="K4333" i="19"/>
  <c r="I4418" i="19"/>
  <c r="K4418" i="19"/>
  <c r="I1073" i="19"/>
  <c r="K1073" i="19"/>
  <c r="I558" i="19"/>
  <c r="K558" i="19"/>
  <c r="I657" i="19"/>
  <c r="K657" i="19"/>
  <c r="I686" i="19"/>
  <c r="K686" i="19"/>
  <c r="I730" i="19"/>
  <c r="K730" i="19"/>
  <c r="I773" i="19"/>
  <c r="K773" i="19"/>
  <c r="I5615" i="19"/>
  <c r="K5615" i="19"/>
  <c r="I4565" i="19"/>
  <c r="K4565" i="19"/>
  <c r="I4677" i="19"/>
  <c r="K4677" i="19"/>
  <c r="I4688" i="19"/>
  <c r="K4688" i="19"/>
  <c r="I4762" i="19"/>
  <c r="K4762" i="19"/>
  <c r="I4805" i="19"/>
  <c r="K4805" i="19"/>
  <c r="I4826" i="19"/>
  <c r="K4826" i="19"/>
  <c r="I4911" i="19"/>
  <c r="K4911" i="19"/>
  <c r="I4920" i="19"/>
  <c r="K4920" i="19"/>
  <c r="I4929" i="19"/>
  <c r="K4929" i="19"/>
  <c r="I4969" i="19"/>
  <c r="K4969" i="19"/>
  <c r="I4988" i="19"/>
  <c r="K4988" i="19"/>
  <c r="I5090" i="19"/>
  <c r="K5090" i="19"/>
  <c r="I1030" i="19"/>
  <c r="K1030" i="19"/>
  <c r="I1079" i="19"/>
  <c r="K1079" i="19"/>
  <c r="I574" i="19"/>
  <c r="K574" i="19"/>
  <c r="I643" i="19"/>
  <c r="K643" i="19"/>
  <c r="I745" i="19"/>
  <c r="K745" i="19"/>
  <c r="I5445" i="19"/>
  <c r="K5445" i="19"/>
  <c r="I5567" i="19"/>
  <c r="K5567" i="19"/>
  <c r="I4495" i="19"/>
  <c r="K4495" i="19"/>
  <c r="I4656" i="19"/>
  <c r="K4656" i="19"/>
  <c r="I4709" i="19"/>
  <c r="K4709" i="19"/>
  <c r="I4784" i="19"/>
  <c r="K4784" i="19"/>
  <c r="I4850" i="19"/>
  <c r="K4850" i="19"/>
  <c r="I4869" i="19"/>
  <c r="K4869" i="19"/>
  <c r="I4901" i="19"/>
  <c r="K4901" i="19"/>
  <c r="I4951" i="19"/>
  <c r="K4951" i="19"/>
  <c r="I1131" i="19"/>
  <c r="K1131" i="19"/>
  <c r="I121" i="19"/>
  <c r="K121" i="19"/>
  <c r="I155" i="19"/>
  <c r="K155" i="19"/>
  <c r="I220" i="19"/>
  <c r="K220" i="19"/>
  <c r="I284" i="19"/>
  <c r="K284" i="19"/>
  <c r="I517" i="19"/>
  <c r="K517" i="19"/>
  <c r="I618" i="19"/>
  <c r="K618" i="19"/>
  <c r="I719" i="19"/>
  <c r="K719" i="19"/>
  <c r="I784" i="19"/>
  <c r="K784" i="19"/>
  <c r="I1001" i="19"/>
  <c r="K1001" i="19"/>
  <c r="I271" i="19"/>
  <c r="K271" i="19"/>
  <c r="I592" i="19"/>
  <c r="K592" i="19"/>
  <c r="I736" i="19"/>
  <c r="K736" i="19"/>
  <c r="I5395" i="19"/>
  <c r="K5395" i="19"/>
  <c r="I1217" i="19"/>
  <c r="K1217" i="19"/>
  <c r="I22" i="19"/>
  <c r="K22" i="19"/>
  <c r="I239" i="19"/>
  <c r="K239" i="19"/>
  <c r="I5464" i="19"/>
  <c r="K5464" i="19"/>
  <c r="I440" i="19"/>
  <c r="K440" i="19"/>
  <c r="I472" i="19"/>
  <c r="K472" i="19"/>
  <c r="I600" i="19"/>
  <c r="K600" i="19"/>
  <c r="I644" i="19"/>
  <c r="K644" i="19"/>
  <c r="I758" i="19"/>
  <c r="K758" i="19"/>
  <c r="I5555" i="19"/>
  <c r="K5555" i="19"/>
  <c r="I5598" i="19"/>
  <c r="K5598" i="19"/>
  <c r="I4506" i="19"/>
  <c r="K4506" i="19"/>
  <c r="I4544" i="19"/>
  <c r="K4544" i="19"/>
  <c r="I4558" i="19"/>
  <c r="K4558" i="19"/>
  <c r="I4712" i="19"/>
  <c r="K4712" i="19"/>
  <c r="I4851" i="19"/>
  <c r="K4851" i="19"/>
  <c r="I4860" i="19"/>
  <c r="K4860" i="19"/>
  <c r="I4908" i="19"/>
  <c r="K4908" i="19"/>
  <c r="I4977" i="19"/>
  <c r="K4977" i="19"/>
  <c r="I4989" i="19"/>
  <c r="K4989" i="19"/>
  <c r="I5017" i="19"/>
  <c r="K5017" i="19"/>
  <c r="I5029" i="19"/>
  <c r="K5029" i="19"/>
  <c r="I5051" i="19"/>
  <c r="K5051" i="19"/>
  <c r="I5084" i="19"/>
  <c r="K5084" i="19"/>
  <c r="I5119" i="19"/>
  <c r="K5119" i="19"/>
  <c r="I5128" i="19"/>
  <c r="K5128" i="19"/>
  <c r="I5138" i="19"/>
  <c r="K5138" i="19"/>
  <c r="I5206" i="19"/>
  <c r="K5206" i="19"/>
  <c r="I5312" i="19"/>
  <c r="K5312" i="19"/>
  <c r="I5343" i="19"/>
  <c r="K5343" i="19"/>
  <c r="I3945" i="19"/>
  <c r="K3945" i="19"/>
  <c r="I3954" i="19"/>
  <c r="K3954" i="19"/>
  <c r="I3964" i="19"/>
  <c r="K3964" i="19"/>
  <c r="I4014" i="19"/>
  <c r="K4014" i="19"/>
  <c r="I4075" i="19"/>
  <c r="K4075" i="19"/>
  <c r="I4113" i="19"/>
  <c r="K4113" i="19"/>
  <c r="I4142" i="19"/>
  <c r="K4142" i="19"/>
  <c r="I4152" i="19"/>
  <c r="K4152" i="19"/>
  <c r="I4162" i="19"/>
  <c r="K4162" i="19"/>
  <c r="I4190" i="19"/>
  <c r="K4190" i="19"/>
  <c r="I4219" i="19"/>
  <c r="K4219" i="19"/>
  <c r="I4267" i="19"/>
  <c r="K4267" i="19"/>
  <c r="I4316" i="19"/>
  <c r="K4316" i="19"/>
  <c r="I4356" i="19"/>
  <c r="K4356" i="19"/>
  <c r="I4384" i="19"/>
  <c r="K4384" i="19"/>
  <c r="I4413" i="19"/>
  <c r="K4413" i="19"/>
  <c r="I4460" i="19"/>
  <c r="K4460" i="19"/>
  <c r="I2043" i="19"/>
  <c r="K2043" i="19"/>
  <c r="I2052" i="19"/>
  <c r="K2052" i="19"/>
  <c r="I2129" i="19"/>
  <c r="K2129" i="19"/>
  <c r="I2148" i="19"/>
  <c r="K2148" i="19"/>
  <c r="I2207" i="19"/>
  <c r="K2207" i="19"/>
  <c r="I2264" i="19"/>
  <c r="K2264" i="19"/>
  <c r="I2300" i="19"/>
  <c r="K2300" i="19"/>
  <c r="I2324" i="19"/>
  <c r="K2324" i="19"/>
  <c r="I2380" i="19"/>
  <c r="K2380" i="19"/>
  <c r="I2397" i="19"/>
  <c r="K2397" i="19"/>
  <c r="I2431" i="19"/>
  <c r="K2431" i="19"/>
  <c r="I2450" i="19"/>
  <c r="K2450" i="19"/>
  <c r="I2484" i="19"/>
  <c r="K2484" i="19"/>
  <c r="I2503" i="19"/>
  <c r="K2503" i="19"/>
  <c r="I1291" i="19"/>
  <c r="K1291" i="19"/>
  <c r="I1335" i="19"/>
  <c r="K1335" i="19"/>
  <c r="I1345" i="19"/>
  <c r="K1345" i="19"/>
  <c r="I1428" i="19"/>
  <c r="K1428" i="19"/>
  <c r="I1454" i="19"/>
  <c r="K1454" i="19"/>
  <c r="I1487" i="19"/>
  <c r="K1487" i="19"/>
  <c r="I1568" i="19"/>
  <c r="K1568" i="19"/>
  <c r="I1601" i="19"/>
  <c r="K1601" i="19"/>
  <c r="I1609" i="19"/>
  <c r="K1609" i="19"/>
  <c r="I1617" i="19"/>
  <c r="K1617" i="19"/>
  <c r="I1632" i="19"/>
  <c r="K1632" i="19"/>
  <c r="I1662" i="19"/>
  <c r="K1662" i="19"/>
  <c r="I1669" i="19"/>
  <c r="K1669" i="19"/>
  <c r="I1676" i="19"/>
  <c r="K1676" i="19"/>
  <c r="I1705" i="19"/>
  <c r="K1705" i="19"/>
  <c r="I1760" i="19"/>
  <c r="K1760" i="19"/>
  <c r="I1774" i="19"/>
  <c r="K1774" i="19"/>
  <c r="I1801" i="19"/>
  <c r="K1801" i="19"/>
  <c r="I1814" i="19"/>
  <c r="K1814" i="19"/>
  <c r="I1836" i="19"/>
  <c r="K1836" i="19"/>
  <c r="I1857" i="19"/>
  <c r="K1857" i="19"/>
  <c r="I1868" i="19"/>
  <c r="K1868" i="19"/>
  <c r="I2015" i="19"/>
  <c r="K2015" i="19"/>
  <c r="I2027" i="19"/>
  <c r="K2027" i="19"/>
  <c r="I3704" i="19"/>
  <c r="K3704" i="19"/>
  <c r="I3738" i="19"/>
  <c r="K3738" i="19"/>
  <c r="I3745" i="19"/>
  <c r="K3745" i="19"/>
  <c r="I3759" i="19"/>
  <c r="K3759" i="19"/>
  <c r="I3793" i="19"/>
  <c r="K3793" i="19"/>
  <c r="I3820" i="19"/>
  <c r="K3820" i="19"/>
  <c r="I3827" i="19"/>
  <c r="K3827" i="19"/>
  <c r="I3834" i="19"/>
  <c r="K3834" i="19"/>
  <c r="I3848" i="19"/>
  <c r="K3848" i="19"/>
  <c r="I3869" i="19"/>
  <c r="K3869" i="19"/>
  <c r="I3896" i="19"/>
  <c r="K3896" i="19"/>
  <c r="F3483" i="19"/>
  <c r="H3483" i="19"/>
  <c r="I3497" i="19"/>
  <c r="K3497" i="19"/>
  <c r="I3511" i="19"/>
  <c r="K3511" i="19"/>
  <c r="I3531" i="19"/>
  <c r="K3531" i="19"/>
  <c r="I3538" i="19"/>
  <c r="K3538" i="19"/>
  <c r="I3545" i="19"/>
  <c r="K3545" i="19"/>
  <c r="I3560" i="19"/>
  <c r="K3560" i="19"/>
  <c r="I3567" i="19"/>
  <c r="K3567" i="19"/>
  <c r="I3589" i="19"/>
  <c r="K3589" i="19"/>
  <c r="I3609" i="19"/>
  <c r="K3609" i="19"/>
  <c r="I3622" i="19"/>
  <c r="K3622" i="19"/>
  <c r="I3629" i="19"/>
  <c r="K3629" i="19"/>
  <c r="I3636" i="19"/>
  <c r="K3636" i="19"/>
  <c r="I3649" i="19"/>
  <c r="K3649" i="19"/>
  <c r="I3656" i="19"/>
  <c r="K3656" i="19"/>
  <c r="I3670" i="19"/>
  <c r="K3670" i="19"/>
  <c r="I3677" i="19"/>
  <c r="K3677" i="19"/>
  <c r="I3684" i="19"/>
  <c r="K3684" i="19"/>
  <c r="I3290" i="19"/>
  <c r="K3290" i="19"/>
  <c r="I3332" i="19"/>
  <c r="K3332" i="19"/>
  <c r="I3352" i="19"/>
  <c r="K3352" i="19"/>
  <c r="I3393" i="19"/>
  <c r="K3393" i="19"/>
  <c r="I3406" i="19"/>
  <c r="K3406" i="19"/>
  <c r="I3413" i="19"/>
  <c r="K3413" i="19"/>
  <c r="I3427" i="19"/>
  <c r="K3427" i="19"/>
  <c r="I3434" i="19"/>
  <c r="K3434" i="19"/>
  <c r="I3454" i="19"/>
  <c r="K3454" i="19"/>
  <c r="I3105" i="19"/>
  <c r="K3105" i="19"/>
  <c r="I3131" i="19"/>
  <c r="K3131" i="19"/>
  <c r="I3150" i="19"/>
  <c r="K3150" i="19"/>
  <c r="I3169" i="19"/>
  <c r="K3169" i="19"/>
  <c r="I3175" i="19"/>
  <c r="K3175" i="19"/>
  <c r="I3181" i="19"/>
  <c r="K3181" i="19"/>
  <c r="I3187" i="19"/>
  <c r="K3187" i="19"/>
  <c r="I3078" i="19"/>
  <c r="K3078" i="19"/>
  <c r="I3084" i="19"/>
  <c r="K3084" i="19"/>
  <c r="I3090" i="19"/>
  <c r="K3090" i="19"/>
  <c r="I2927" i="19"/>
  <c r="K2927" i="19"/>
  <c r="I2933" i="19"/>
  <c r="K2933" i="19"/>
  <c r="I2939" i="19"/>
  <c r="K2939" i="19"/>
  <c r="I2945" i="19"/>
  <c r="K2945" i="19"/>
  <c r="I2951" i="19"/>
  <c r="K2951" i="19"/>
  <c r="I2957" i="19"/>
  <c r="K2957" i="19"/>
  <c r="I2963" i="19"/>
  <c r="K2963" i="19"/>
  <c r="I5836" i="19"/>
  <c r="K5836" i="19"/>
  <c r="I5842" i="19"/>
  <c r="K5842" i="19"/>
  <c r="I5848" i="19"/>
  <c r="K5848" i="19"/>
  <c r="I5854" i="19"/>
  <c r="K5854" i="19"/>
  <c r="I5648" i="19"/>
  <c r="K5648" i="19"/>
  <c r="I5654" i="19"/>
  <c r="K5654" i="19"/>
  <c r="I5660" i="19"/>
  <c r="K5660" i="19"/>
  <c r="I5666" i="19"/>
  <c r="K5666" i="19"/>
  <c r="I5672" i="19"/>
  <c r="K5672" i="19"/>
  <c r="I5678" i="19"/>
  <c r="K5678" i="19"/>
  <c r="I5684" i="19"/>
  <c r="K5684" i="19"/>
  <c r="I5690" i="19"/>
  <c r="K5690" i="19"/>
  <c r="I5696" i="19"/>
  <c r="K5696" i="19"/>
  <c r="I5702" i="19"/>
  <c r="K5702" i="19"/>
  <c r="I5708" i="19"/>
  <c r="K5708" i="19"/>
  <c r="I5714" i="19"/>
  <c r="K5714" i="19"/>
  <c r="I5720" i="19"/>
  <c r="K5720" i="19"/>
  <c r="I5726" i="19"/>
  <c r="K5726" i="19"/>
  <c r="I5732" i="19"/>
  <c r="K5732" i="19"/>
  <c r="I5738" i="19"/>
  <c r="K5738" i="19"/>
  <c r="I5744" i="19"/>
  <c r="K5744" i="19"/>
  <c r="I5750" i="19"/>
  <c r="K5750" i="19"/>
  <c r="I2818" i="19"/>
  <c r="K2818" i="19"/>
  <c r="I2824" i="19"/>
  <c r="K2824" i="19"/>
  <c r="I2830" i="19"/>
  <c r="K2830" i="19"/>
  <c r="I2836" i="19"/>
  <c r="K2836" i="19"/>
  <c r="I2842" i="19"/>
  <c r="K2842" i="19"/>
  <c r="I2848" i="19"/>
  <c r="K2848" i="19"/>
  <c r="I2854" i="19"/>
  <c r="K2854" i="19"/>
  <c r="I2860" i="19"/>
  <c r="K2860" i="19"/>
  <c r="I2866" i="19"/>
  <c r="K2866" i="19"/>
  <c r="I2872" i="19"/>
  <c r="K2872" i="19"/>
  <c r="I2878" i="19"/>
  <c r="K2878" i="19"/>
  <c r="I2884" i="19"/>
  <c r="K2884" i="19"/>
  <c r="I2890" i="19"/>
  <c r="K2890" i="19"/>
  <c r="I2896" i="19"/>
  <c r="K2896" i="19"/>
  <c r="I2902" i="19"/>
  <c r="K2902" i="19"/>
  <c r="I2908" i="19"/>
  <c r="K2908" i="19"/>
  <c r="I2914" i="19"/>
  <c r="K2914" i="19"/>
  <c r="I2920" i="19"/>
  <c r="K2920" i="19"/>
  <c r="I2760" i="19"/>
  <c r="K2760" i="19"/>
  <c r="I2766" i="19"/>
  <c r="K2766" i="19"/>
  <c r="I2772" i="19"/>
  <c r="K2772" i="19"/>
  <c r="I2778" i="19"/>
  <c r="K2778" i="19"/>
  <c r="I2784" i="19"/>
  <c r="K2784" i="19"/>
  <c r="I2631" i="19"/>
  <c r="K2631" i="19"/>
  <c r="I2637" i="19"/>
  <c r="K2637" i="19"/>
  <c r="I2643" i="19"/>
  <c r="K2643" i="19"/>
  <c r="I2704" i="19"/>
  <c r="K2704" i="19"/>
  <c r="I2513" i="19"/>
  <c r="K2513" i="19"/>
  <c r="I2519" i="19"/>
  <c r="K2519" i="19"/>
  <c r="I2525" i="19"/>
  <c r="K2525" i="19"/>
  <c r="I2568" i="19"/>
  <c r="K2568" i="19"/>
  <c r="I2574" i="19"/>
  <c r="K2574" i="19"/>
  <c r="I2580" i="19"/>
  <c r="K2580" i="19"/>
  <c r="I2586" i="19"/>
  <c r="K2586" i="19"/>
  <c r="I1220" i="19"/>
  <c r="K1220" i="19"/>
  <c r="I630" i="19"/>
  <c r="K630" i="19"/>
  <c r="I5427" i="19"/>
  <c r="K5427" i="19"/>
  <c r="I5471" i="19"/>
  <c r="K5471" i="19"/>
  <c r="I4623" i="19"/>
  <c r="K4623" i="19"/>
  <c r="I4636" i="19"/>
  <c r="K4636" i="19"/>
  <c r="I4649" i="19"/>
  <c r="K4649" i="19"/>
  <c r="I4736" i="19"/>
  <c r="K4736" i="19"/>
  <c r="I5007" i="19"/>
  <c r="K5007" i="19"/>
  <c r="I5041" i="19"/>
  <c r="K5041" i="19"/>
  <c r="I5216" i="19"/>
  <c r="K5216" i="19"/>
  <c r="I5259" i="19"/>
  <c r="K5259" i="19"/>
  <c r="I3995" i="19"/>
  <c r="K3995" i="19"/>
  <c r="I4005" i="19"/>
  <c r="K4005" i="19"/>
  <c r="I4043" i="19"/>
  <c r="K4043" i="19"/>
  <c r="I4095" i="19"/>
  <c r="K4095" i="19"/>
  <c r="I4104" i="19"/>
  <c r="K4104" i="19"/>
  <c r="I4181" i="19"/>
  <c r="K4181" i="19"/>
  <c r="I4229" i="19"/>
  <c r="K4229" i="19"/>
  <c r="I4337" i="19"/>
  <c r="K4337" i="19"/>
  <c r="I4346" i="19"/>
  <c r="K4346" i="19"/>
  <c r="I4375" i="19"/>
  <c r="K4375" i="19"/>
  <c r="I4403" i="19"/>
  <c r="K4403" i="19"/>
  <c r="I4441" i="19"/>
  <c r="K4441" i="19"/>
  <c r="I4481" i="19"/>
  <c r="K4481" i="19"/>
  <c r="I2072" i="19"/>
  <c r="K2072" i="19"/>
  <c r="I2102" i="19"/>
  <c r="K2102" i="19"/>
  <c r="I2110" i="19"/>
  <c r="K2110" i="19"/>
  <c r="I2139" i="19"/>
  <c r="K2139" i="19"/>
  <c r="I2159" i="19"/>
  <c r="K2159" i="19"/>
  <c r="I2169" i="19"/>
  <c r="K2169" i="19"/>
  <c r="I2189" i="19"/>
  <c r="K2189" i="19"/>
  <c r="I2199" i="19"/>
  <c r="K2199" i="19"/>
  <c r="I2237" i="19"/>
  <c r="K2237" i="19"/>
  <c r="I2256" i="19"/>
  <c r="K2256" i="19"/>
  <c r="I2282" i="19"/>
  <c r="K2282" i="19"/>
  <c r="I2292" i="19"/>
  <c r="K2292" i="19"/>
  <c r="I2311" i="19"/>
  <c r="K2311" i="19"/>
  <c r="I2328" i="19"/>
  <c r="K2328" i="19"/>
  <c r="I2348" i="19"/>
  <c r="K2348" i="19"/>
  <c r="I2363" i="19"/>
  <c r="K2363" i="19"/>
  <c r="I2415" i="19"/>
  <c r="K2415" i="19"/>
  <c r="I2468" i="19"/>
  <c r="K2468" i="19"/>
  <c r="I2486" i="19"/>
  <c r="K2486" i="19"/>
  <c r="I1317" i="19"/>
  <c r="K1317" i="19"/>
  <c r="I1364" i="19"/>
  <c r="K1364" i="19"/>
  <c r="I1392" i="19"/>
  <c r="K1392" i="19"/>
  <c r="I1419" i="19"/>
  <c r="K1419" i="19"/>
  <c r="I1446" i="19"/>
  <c r="K1446" i="19"/>
  <c r="I1472" i="19"/>
  <c r="K1472" i="19"/>
  <c r="I1480" i="19"/>
  <c r="K1480" i="19"/>
  <c r="I1495" i="19"/>
  <c r="K1495" i="19"/>
  <c r="I1519" i="19"/>
  <c r="K1519" i="19"/>
  <c r="I1576" i="19"/>
  <c r="K1576" i="19"/>
  <c r="I1584" i="19"/>
  <c r="K1584" i="19"/>
  <c r="I1592" i="19"/>
  <c r="K1592" i="19"/>
  <c r="I1625" i="19"/>
  <c r="K1625" i="19"/>
  <c r="I1640" i="19"/>
  <c r="K1640" i="19"/>
  <c r="I1655" i="19"/>
  <c r="K1655" i="19"/>
  <c r="I1692" i="19"/>
  <c r="K1692" i="19"/>
  <c r="I1712" i="19"/>
  <c r="K1712" i="19"/>
  <c r="I1726" i="19"/>
  <c r="K1726" i="19"/>
  <c r="I1740" i="19"/>
  <c r="K1740" i="19"/>
  <c r="I1781" i="19"/>
  <c r="K1781" i="19"/>
  <c r="I1808" i="19"/>
  <c r="K1808" i="19"/>
  <c r="I1829" i="19"/>
  <c r="K1829" i="19"/>
  <c r="I1846" i="19"/>
  <c r="K1846" i="19"/>
  <c r="I1879" i="19"/>
  <c r="K1879" i="19"/>
  <c r="I1890" i="19"/>
  <c r="K1890" i="19"/>
  <c r="I1902" i="19"/>
  <c r="K1902" i="19"/>
  <c r="I1914" i="19"/>
  <c r="K1914" i="19"/>
  <c r="I1925" i="19"/>
  <c r="K1925" i="19"/>
  <c r="I1937" i="19"/>
  <c r="K1937" i="19"/>
  <c r="I1948" i="19"/>
  <c r="K1948" i="19"/>
  <c r="I1959" i="19"/>
  <c r="K1959" i="19"/>
  <c r="I1970" i="19"/>
  <c r="K1970" i="19"/>
  <c r="I1982" i="19"/>
  <c r="K1982" i="19"/>
  <c r="I1993" i="19"/>
  <c r="K1993" i="19"/>
  <c r="I2005" i="19"/>
  <c r="K2005" i="19"/>
  <c r="I3691" i="19"/>
  <c r="K3691" i="19"/>
  <c r="I3711" i="19"/>
  <c r="K3711" i="19"/>
  <c r="I3718" i="19"/>
  <c r="K3718" i="19"/>
  <c r="I3725" i="19"/>
  <c r="K3725" i="19"/>
  <c r="I3766" i="19"/>
  <c r="K3766" i="19"/>
  <c r="I3773" i="19"/>
  <c r="K3773" i="19"/>
  <c r="I3780" i="19"/>
  <c r="K3780" i="19"/>
  <c r="I3800" i="19"/>
  <c r="K3800" i="19"/>
  <c r="I913" i="19"/>
  <c r="K913" i="19"/>
  <c r="I5626" i="19"/>
  <c r="K5626" i="19"/>
  <c r="I4496" i="19"/>
  <c r="K4496" i="19"/>
  <c r="I4624" i="19"/>
  <c r="K4624" i="19"/>
  <c r="I4703" i="19"/>
  <c r="K4703" i="19"/>
  <c r="I4775" i="19"/>
  <c r="K4775" i="19"/>
  <c r="I4852" i="19"/>
  <c r="K4852" i="19"/>
  <c r="I4946" i="19"/>
  <c r="K4946" i="19"/>
  <c r="I4990" i="19"/>
  <c r="K4990" i="19"/>
  <c r="I5031" i="19"/>
  <c r="K5031" i="19"/>
  <c r="I5053" i="19"/>
  <c r="K5053" i="19"/>
  <c r="I5076" i="19"/>
  <c r="K5076" i="19"/>
  <c r="I5120" i="19"/>
  <c r="K5120" i="19"/>
  <c r="I5208" i="19"/>
  <c r="K5208" i="19"/>
  <c r="I5217" i="19"/>
  <c r="K5217" i="19"/>
  <c r="I5226" i="19"/>
  <c r="K5226" i="19"/>
  <c r="I5304" i="19"/>
  <c r="K5304" i="19"/>
  <c r="I5344" i="19"/>
  <c r="K5344" i="19"/>
  <c r="I3946" i="19"/>
  <c r="K3946" i="19"/>
  <c r="I3996" i="19"/>
  <c r="K3996" i="19"/>
  <c r="I4015" i="19"/>
  <c r="K4015" i="19"/>
  <c r="I4025" i="19"/>
  <c r="K4025" i="19"/>
  <c r="I4066" i="19"/>
  <c r="K4066" i="19"/>
  <c r="I4076" i="19"/>
  <c r="K4076" i="19"/>
  <c r="I4087" i="19"/>
  <c r="K4087" i="19"/>
  <c r="I4125" i="19"/>
  <c r="K4125" i="19"/>
  <c r="I4164" i="19"/>
  <c r="K4164" i="19"/>
  <c r="I4182" i="19"/>
  <c r="K4182" i="19"/>
  <c r="I4221" i="19"/>
  <c r="K4221" i="19"/>
  <c r="I4230" i="19"/>
  <c r="K4230" i="19"/>
  <c r="I4250" i="19"/>
  <c r="K4250" i="19"/>
  <c r="I4288" i="19"/>
  <c r="K4288" i="19"/>
  <c r="I4308" i="19"/>
  <c r="K4308" i="19"/>
  <c r="I4424" i="19"/>
  <c r="K4424" i="19"/>
  <c r="I4473" i="19"/>
  <c r="K4473" i="19"/>
  <c r="I2063" i="19"/>
  <c r="K2063" i="19"/>
  <c r="I2238" i="19"/>
  <c r="K2238" i="19"/>
  <c r="I2247" i="19"/>
  <c r="K2247" i="19"/>
  <c r="I2312" i="19"/>
  <c r="K2312" i="19"/>
  <c r="I2349" i="19"/>
  <c r="K2349" i="19"/>
  <c r="I2366" i="19"/>
  <c r="K2366" i="19"/>
  <c r="I2384" i="19"/>
  <c r="K2384" i="19"/>
  <c r="I2416" i="19"/>
  <c r="K2416" i="19"/>
  <c r="I2435" i="19"/>
  <c r="K2435" i="19"/>
  <c r="I2470" i="19"/>
  <c r="K2470" i="19"/>
  <c r="I2487" i="19"/>
  <c r="K2487" i="19"/>
  <c r="I1266" i="19"/>
  <c r="K1266" i="19"/>
  <c r="I1327" i="19"/>
  <c r="K1327" i="19"/>
  <c r="I1374" i="19"/>
  <c r="K1374" i="19"/>
  <c r="I1429" i="19"/>
  <c r="K1429" i="19"/>
  <c r="I1488" i="19"/>
  <c r="K1488" i="19"/>
  <c r="I1496" i="19"/>
  <c r="K1496" i="19"/>
  <c r="I1512" i="19"/>
  <c r="K1512" i="19"/>
  <c r="I1585" i="19"/>
  <c r="K1585" i="19"/>
  <c r="I1602" i="19"/>
  <c r="K1602" i="19"/>
  <c r="I1618" i="19"/>
  <c r="K1618" i="19"/>
  <c r="I1663" i="19"/>
  <c r="K1663" i="19"/>
  <c r="I1670" i="19"/>
  <c r="K1670" i="19"/>
  <c r="I1706" i="19"/>
  <c r="K1706" i="19"/>
  <c r="I1720" i="19"/>
  <c r="K1720" i="19"/>
  <c r="I1734" i="19"/>
  <c r="K1734" i="19"/>
  <c r="I1768" i="19"/>
  <c r="K1768" i="19"/>
  <c r="I1775" i="19"/>
  <c r="K1775" i="19"/>
  <c r="I1802" i="19"/>
  <c r="K1802" i="19"/>
  <c r="I1837" i="19"/>
  <c r="K1837" i="19"/>
  <c r="I1848" i="19"/>
  <c r="K1848" i="19"/>
  <c r="I1869" i="19"/>
  <c r="K1869" i="19"/>
  <c r="I1880" i="19"/>
  <c r="K1880" i="19"/>
  <c r="I1892" i="19"/>
  <c r="K1892" i="19"/>
  <c r="I1904" i="19"/>
  <c r="K1904" i="19"/>
  <c r="I1915" i="19"/>
  <c r="K1915" i="19"/>
  <c r="I1926" i="19"/>
  <c r="K1926" i="19"/>
  <c r="I1938" i="19"/>
  <c r="K1938" i="19"/>
  <c r="I1949" i="19"/>
  <c r="K1949" i="19"/>
  <c r="I1960" i="19"/>
  <c r="K1960" i="19"/>
  <c r="I1971" i="19"/>
  <c r="K1971" i="19"/>
  <c r="I1983" i="19"/>
  <c r="K1983" i="19"/>
  <c r="I1995" i="19"/>
  <c r="K1995" i="19"/>
  <c r="I2006" i="19"/>
  <c r="K2006" i="19"/>
  <c r="I3705" i="19"/>
  <c r="K3705" i="19"/>
  <c r="I3753" i="19"/>
  <c r="K3753" i="19"/>
  <c r="I3760" i="19"/>
  <c r="K3760" i="19"/>
  <c r="I3767" i="19"/>
  <c r="K3767" i="19"/>
  <c r="I3794" i="19"/>
  <c r="K3794" i="19"/>
  <c r="I3842" i="19"/>
  <c r="K3842" i="19"/>
  <c r="I3849" i="19"/>
  <c r="K3849" i="19"/>
  <c r="I3870" i="19"/>
  <c r="K3870" i="19"/>
  <c r="I3897" i="19"/>
  <c r="K3897" i="19"/>
  <c r="I3471" i="19"/>
  <c r="K3471" i="19"/>
  <c r="I3498" i="19"/>
  <c r="K3498" i="19"/>
  <c r="I3505" i="19"/>
  <c r="K3505" i="19"/>
  <c r="I3512" i="19"/>
  <c r="K3512" i="19"/>
  <c r="I560" i="19"/>
  <c r="K560" i="19"/>
  <c r="I5425" i="19"/>
  <c r="K5425" i="19"/>
  <c r="I4728" i="19"/>
  <c r="K4728" i="19"/>
  <c r="I4859" i="19"/>
  <c r="K4859" i="19"/>
  <c r="I4872" i="19"/>
  <c r="K4872" i="19"/>
  <c r="I4970" i="19"/>
  <c r="K4970" i="19"/>
  <c r="I5003" i="19"/>
  <c r="K5003" i="19"/>
  <c r="I5026" i="19"/>
  <c r="K5026" i="19"/>
  <c r="I5110" i="19"/>
  <c r="K5110" i="19"/>
  <c r="I5284" i="19"/>
  <c r="K5284" i="19"/>
  <c r="I4022" i="19"/>
  <c r="K4022" i="19"/>
  <c r="I4138" i="19"/>
  <c r="K4138" i="19"/>
  <c r="I4149" i="19"/>
  <c r="K4149" i="19"/>
  <c r="I4275" i="19"/>
  <c r="K4275" i="19"/>
  <c r="I4285" i="19"/>
  <c r="K4285" i="19"/>
  <c r="I4339" i="19"/>
  <c r="K4339" i="19"/>
  <c r="I4482" i="19"/>
  <c r="K4482" i="19"/>
  <c r="I2036" i="19"/>
  <c r="K2036" i="19"/>
  <c r="I2056" i="19"/>
  <c r="K2056" i="19"/>
  <c r="I2077" i="19"/>
  <c r="K2077" i="19"/>
  <c r="I2127" i="19"/>
  <c r="K2127" i="19"/>
  <c r="I2138" i="19"/>
  <c r="K2138" i="19"/>
  <c r="I2171" i="19"/>
  <c r="K2171" i="19"/>
  <c r="I2192" i="19"/>
  <c r="K2192" i="19"/>
  <c r="I2295" i="19"/>
  <c r="K2295" i="19"/>
  <c r="I2320" i="19"/>
  <c r="K2320" i="19"/>
  <c r="I2339" i="19"/>
  <c r="K2339" i="19"/>
  <c r="I2425" i="19"/>
  <c r="K2425" i="19"/>
  <c r="I2443" i="19"/>
  <c r="K2443" i="19"/>
  <c r="I1338" i="19"/>
  <c r="K1338" i="19"/>
  <c r="I1367" i="19"/>
  <c r="K1367" i="19"/>
  <c r="I1397" i="19"/>
  <c r="K1397" i="19"/>
  <c r="I1437" i="19"/>
  <c r="K1437" i="19"/>
  <c r="I1457" i="19"/>
  <c r="K1457" i="19"/>
  <c r="I1500" i="19"/>
  <c r="K1500" i="19"/>
  <c r="I1536" i="19"/>
  <c r="K1536" i="19"/>
  <c r="I1636" i="19"/>
  <c r="K1636" i="19"/>
  <c r="I1651" i="19"/>
  <c r="K1651" i="19"/>
  <c r="I1709" i="19"/>
  <c r="K1709" i="19"/>
  <c r="I1754" i="19"/>
  <c r="K1754" i="19"/>
  <c r="I1778" i="19"/>
  <c r="K1778" i="19"/>
  <c r="I1793" i="19"/>
  <c r="K1793" i="19"/>
  <c r="I1823" i="19"/>
  <c r="K1823" i="19"/>
  <c r="I1840" i="19"/>
  <c r="K1840" i="19"/>
  <c r="F1851" i="19"/>
  <c r="H1851" i="19"/>
  <c r="I1866" i="19"/>
  <c r="K1866" i="19"/>
  <c r="I1878" i="19"/>
  <c r="K1878" i="19"/>
  <c r="I1894" i="19"/>
  <c r="K1894" i="19"/>
  <c r="I1920" i="19"/>
  <c r="K1920" i="19"/>
  <c r="I1947" i="19"/>
  <c r="K1947" i="19"/>
  <c r="I1961" i="19"/>
  <c r="K1961" i="19"/>
  <c r="I1988" i="19"/>
  <c r="K1988" i="19"/>
  <c r="I3700" i="19"/>
  <c r="K3700" i="19"/>
  <c r="I3769" i="19"/>
  <c r="K3769" i="19"/>
  <c r="I3776" i="19"/>
  <c r="K3776" i="19"/>
  <c r="I3799" i="19"/>
  <c r="K3799" i="19"/>
  <c r="I3806" i="19"/>
  <c r="K3806" i="19"/>
  <c r="I3814" i="19"/>
  <c r="K3814" i="19"/>
  <c r="I3866" i="19"/>
  <c r="K3866" i="19"/>
  <c r="I3902" i="19"/>
  <c r="K3902" i="19"/>
  <c r="I3484" i="19"/>
  <c r="K3484" i="19"/>
  <c r="I3492" i="19"/>
  <c r="K3492" i="19"/>
  <c r="I3536" i="19"/>
  <c r="K3536" i="19"/>
  <c r="I3566" i="19"/>
  <c r="K3566" i="19"/>
  <c r="I3602" i="19"/>
  <c r="K3602" i="19"/>
  <c r="I3616" i="19"/>
  <c r="K3616" i="19"/>
  <c r="I3623" i="19"/>
  <c r="K3623" i="19"/>
  <c r="I3673" i="19"/>
  <c r="K3673" i="19"/>
  <c r="I3308" i="19"/>
  <c r="K3308" i="19"/>
  <c r="I3343" i="19"/>
  <c r="K3343" i="19"/>
  <c r="I3399" i="19"/>
  <c r="K3399" i="19"/>
  <c r="I3414" i="19"/>
  <c r="K3414" i="19"/>
  <c r="I3442" i="19"/>
  <c r="K3442" i="19"/>
  <c r="I3449" i="19"/>
  <c r="K3449" i="19"/>
  <c r="I3456" i="19"/>
  <c r="K3456" i="19"/>
  <c r="I3141" i="19"/>
  <c r="K3141" i="19"/>
  <c r="I3161" i="19"/>
  <c r="K3161" i="19"/>
  <c r="I3180" i="19"/>
  <c r="K3180" i="19"/>
  <c r="I3216" i="19"/>
  <c r="K3216" i="19"/>
  <c r="I3229" i="19"/>
  <c r="K3229" i="19"/>
  <c r="I3248" i="19"/>
  <c r="K3248" i="19"/>
  <c r="I3040" i="19"/>
  <c r="K3040" i="19"/>
  <c r="I3059" i="19"/>
  <c r="K3059" i="19"/>
  <c r="I2928" i="19"/>
  <c r="K2928" i="19"/>
  <c r="I2947" i="19"/>
  <c r="K2947" i="19"/>
  <c r="F2989" i="19"/>
  <c r="H2989" i="19"/>
  <c r="I3002" i="19"/>
  <c r="K3002" i="19"/>
  <c r="I5769" i="19"/>
  <c r="K5769" i="19"/>
  <c r="I5788" i="19"/>
  <c r="K5788" i="19"/>
  <c r="I5801" i="19"/>
  <c r="K5801" i="19"/>
  <c r="I5820" i="19"/>
  <c r="K5820" i="19"/>
  <c r="F5832" i="19"/>
  <c r="H5832" i="19"/>
  <c r="I5845" i="19"/>
  <c r="K5845" i="19"/>
  <c r="F5857" i="19"/>
  <c r="H5857" i="19"/>
  <c r="I5640" i="19"/>
  <c r="K5640" i="19"/>
  <c r="I5646" i="19"/>
  <c r="K5646" i="19"/>
  <c r="I5665" i="19"/>
  <c r="K5665" i="19"/>
  <c r="I5697" i="19"/>
  <c r="K5697" i="19"/>
  <c r="I5716" i="19"/>
  <c r="K5716" i="19"/>
  <c r="I5735" i="19"/>
  <c r="K5735" i="19"/>
  <c r="I2816" i="19"/>
  <c r="K2816" i="19"/>
  <c r="I2835" i="19"/>
  <c r="K2835" i="19"/>
  <c r="I2867" i="19"/>
  <c r="K2867" i="19"/>
  <c r="I2886" i="19"/>
  <c r="K2886" i="19"/>
  <c r="I2905" i="19"/>
  <c r="K2905" i="19"/>
  <c r="I2733" i="19"/>
  <c r="K2733" i="19"/>
  <c r="I2754" i="19"/>
  <c r="K2754" i="19"/>
  <c r="I2773" i="19"/>
  <c r="K2773" i="19"/>
  <c r="I527" i="19"/>
  <c r="K527" i="19"/>
  <c r="I641" i="19"/>
  <c r="K641" i="19"/>
  <c r="I4767" i="19"/>
  <c r="K4767" i="19"/>
  <c r="I5014" i="19"/>
  <c r="K5014" i="19"/>
  <c r="I5149" i="19"/>
  <c r="K5149" i="19"/>
  <c r="I5161" i="19"/>
  <c r="K5161" i="19"/>
  <c r="I5172" i="19"/>
  <c r="K5172" i="19"/>
  <c r="I3937" i="19"/>
  <c r="K3937" i="19"/>
  <c r="I3960" i="19"/>
  <c r="K3960" i="19"/>
  <c r="I3970" i="19"/>
  <c r="K3970" i="19"/>
  <c r="I3980" i="19"/>
  <c r="K3980" i="19"/>
  <c r="I4034" i="19"/>
  <c r="K4034" i="19"/>
  <c r="I4079" i="19"/>
  <c r="K4079" i="19"/>
  <c r="I4090" i="19"/>
  <c r="K4090" i="19"/>
  <c r="I4172" i="19"/>
  <c r="K4172" i="19"/>
  <c r="I4212" i="19"/>
  <c r="K4212" i="19"/>
  <c r="I4223" i="19"/>
  <c r="K4223" i="19"/>
  <c r="I4234" i="19"/>
  <c r="K4234" i="19"/>
  <c r="I4266" i="19"/>
  <c r="K4266" i="19"/>
  <c r="I4329" i="19"/>
  <c r="K4329" i="19"/>
  <c r="I4361" i="19"/>
  <c r="K4361" i="19"/>
  <c r="I4390" i="19"/>
  <c r="K4390" i="19"/>
  <c r="I4411" i="19"/>
  <c r="K4411" i="19"/>
  <c r="I4432" i="19"/>
  <c r="K4432" i="19"/>
  <c r="I4461" i="19"/>
  <c r="K4461" i="19"/>
  <c r="I2100" i="19"/>
  <c r="K2100" i="19"/>
  <c r="I2108" i="19"/>
  <c r="K2108" i="19"/>
  <c r="I2118" i="19"/>
  <c r="K2118" i="19"/>
  <c r="I2182" i="19"/>
  <c r="K2182" i="19"/>
  <c r="I2202" i="19"/>
  <c r="K2202" i="19"/>
  <c r="I2213" i="19"/>
  <c r="K2213" i="19"/>
  <c r="I2265" i="19"/>
  <c r="K2265" i="19"/>
  <c r="I2305" i="19"/>
  <c r="K2305" i="19"/>
  <c r="I2362" i="19"/>
  <c r="K2362" i="19"/>
  <c r="I2385" i="19"/>
  <c r="K2385" i="19"/>
  <c r="I2404" i="19"/>
  <c r="K2404" i="19"/>
  <c r="I2465" i="19"/>
  <c r="K2465" i="19"/>
  <c r="I2488" i="19"/>
  <c r="K2488" i="19"/>
  <c r="I2507" i="19"/>
  <c r="K2507" i="19"/>
  <c r="I1299" i="19"/>
  <c r="K1299" i="19"/>
  <c r="I1308" i="19"/>
  <c r="K1308" i="19"/>
  <c r="I1349" i="19"/>
  <c r="K1349" i="19"/>
  <c r="I1388" i="19"/>
  <c r="K1388" i="19"/>
  <c r="I1418" i="19"/>
  <c r="K1418" i="19"/>
  <c r="I1448" i="19"/>
  <c r="K1448" i="19"/>
  <c r="I1466" i="19"/>
  <c r="K1466" i="19"/>
  <c r="I1475" i="19"/>
  <c r="K1475" i="19"/>
  <c r="I1546" i="19"/>
  <c r="K1546" i="19"/>
  <c r="I1590" i="19"/>
  <c r="K1590" i="19"/>
  <c r="I1644" i="19"/>
  <c r="K1644" i="19"/>
  <c r="I1686" i="19"/>
  <c r="K1686" i="19"/>
  <c r="I1724" i="19"/>
  <c r="K1724" i="19"/>
  <c r="I1739" i="19"/>
  <c r="K1739" i="19"/>
  <c r="I1770" i="19"/>
  <c r="K1770" i="19"/>
  <c r="I1816" i="19"/>
  <c r="K1816" i="19"/>
  <c r="I1852" i="19"/>
  <c r="K1852" i="19"/>
  <c r="I1907" i="19"/>
  <c r="K1907" i="19"/>
  <c r="I1934" i="19"/>
  <c r="K1934" i="19"/>
  <c r="I1976" i="19"/>
  <c r="K1976" i="19"/>
  <c r="I2002" i="19"/>
  <c r="K2002" i="19"/>
  <c r="I2017" i="19"/>
  <c r="K2017" i="19"/>
  <c r="I3686" i="19"/>
  <c r="K3686" i="19"/>
  <c r="I3693" i="19"/>
  <c r="K3693" i="19"/>
  <c r="I3716" i="19"/>
  <c r="K3716" i="19"/>
  <c r="I3723" i="19"/>
  <c r="K3723" i="19"/>
  <c r="I3730" i="19"/>
  <c r="K3730" i="19"/>
  <c r="I3746" i="19"/>
  <c r="K3746" i="19"/>
  <c r="I3762" i="19"/>
  <c r="K3762" i="19"/>
  <c r="I3784" i="19"/>
  <c r="K3784" i="19"/>
  <c r="I3837" i="19"/>
  <c r="K3837" i="19"/>
  <c r="I3844" i="19"/>
  <c r="K3844" i="19"/>
  <c r="I3852" i="19"/>
  <c r="K3852" i="19"/>
  <c r="I3859" i="19"/>
  <c r="K3859" i="19"/>
  <c r="I3881" i="19"/>
  <c r="K3881" i="19"/>
  <c r="I3895" i="19"/>
  <c r="K3895" i="19"/>
  <c r="I3462" i="19"/>
  <c r="K3462" i="19"/>
  <c r="I3500" i="19"/>
  <c r="K3500" i="19"/>
  <c r="I3507" i="19"/>
  <c r="K3507" i="19"/>
  <c r="I3515" i="19"/>
  <c r="K3515" i="19"/>
  <c r="I3529" i="19"/>
  <c r="K3529" i="19"/>
  <c r="I3551" i="19"/>
  <c r="K3551" i="19"/>
  <c r="I3559" i="19"/>
  <c r="K3559" i="19"/>
  <c r="I3631" i="19"/>
  <c r="K3631" i="19"/>
  <c r="I3652" i="19"/>
  <c r="K3652" i="19"/>
  <c r="I3666" i="19"/>
  <c r="K3666" i="19"/>
  <c r="I3680" i="19"/>
  <c r="K3680" i="19"/>
  <c r="I3316" i="19"/>
  <c r="K3316" i="19"/>
  <c r="I3323" i="19"/>
  <c r="K3323" i="19"/>
  <c r="I3330" i="19"/>
  <c r="K3330" i="19"/>
  <c r="I3337" i="19"/>
  <c r="K3337" i="19"/>
  <c r="I3351" i="19"/>
  <c r="K3351" i="19"/>
  <c r="I3358" i="19"/>
  <c r="K3358" i="19"/>
  <c r="I3365" i="19"/>
  <c r="K3365" i="19"/>
  <c r="F3378" i="19"/>
  <c r="H3378" i="19"/>
  <c r="I3421" i="19"/>
  <c r="K3421" i="19"/>
  <c r="I3115" i="19"/>
  <c r="K3115" i="19"/>
  <c r="I3128" i="19"/>
  <c r="K3128" i="19"/>
  <c r="I3174" i="19"/>
  <c r="K3174" i="19"/>
  <c r="I3223" i="19"/>
  <c r="K3223" i="19"/>
  <c r="I3242" i="19"/>
  <c r="K3242" i="19"/>
  <c r="I3261" i="19"/>
  <c r="K3261" i="19"/>
  <c r="I3267" i="19"/>
  <c r="K3267" i="19"/>
  <c r="F3021" i="19"/>
  <c r="H3021" i="19"/>
  <c r="I3034" i="19"/>
  <c r="K3034" i="19"/>
  <c r="I3053" i="19"/>
  <c r="K3053" i="19"/>
  <c r="I3072" i="19"/>
  <c r="K3072" i="19"/>
  <c r="I2922" i="19"/>
  <c r="K2922" i="19"/>
  <c r="I2941" i="19"/>
  <c r="K2941" i="19"/>
  <c r="I2960" i="19"/>
  <c r="K2960" i="19"/>
  <c r="I2966" i="19"/>
  <c r="K2966" i="19"/>
  <c r="I2972" i="19"/>
  <c r="K2972" i="19"/>
  <c r="I2978" i="19"/>
  <c r="K2978" i="19"/>
  <c r="I2984" i="19"/>
  <c r="K2984" i="19"/>
  <c r="I2996" i="19"/>
  <c r="K2996" i="19"/>
  <c r="I5763" i="19"/>
  <c r="K5763" i="19"/>
  <c r="I5782" i="19"/>
  <c r="K5782" i="19"/>
  <c r="I5795" i="19"/>
  <c r="K5795" i="19"/>
  <c r="I5814" i="19"/>
  <c r="K5814" i="19"/>
  <c r="I5839" i="19"/>
  <c r="K5839" i="19"/>
  <c r="I5659" i="19"/>
  <c r="K5659" i="19"/>
  <c r="I5691" i="19"/>
  <c r="K5691" i="19"/>
  <c r="I5710" i="19"/>
  <c r="K5710" i="19"/>
  <c r="I5729" i="19"/>
  <c r="K5729" i="19"/>
  <c r="I5748" i="19"/>
  <c r="K5748" i="19"/>
  <c r="I2829" i="19"/>
  <c r="K2829" i="19"/>
  <c r="I2861" i="19"/>
  <c r="K2861" i="19"/>
  <c r="I2880" i="19"/>
  <c r="K2880" i="19"/>
  <c r="I2899" i="19"/>
  <c r="K2899" i="19"/>
  <c r="I2918" i="19"/>
  <c r="K2918" i="19"/>
  <c r="I2709" i="19"/>
  <c r="K2709" i="19"/>
  <c r="I2715" i="19"/>
  <c r="K2715" i="19"/>
  <c r="I2727" i="19"/>
  <c r="K2727" i="19"/>
  <c r="I2748" i="19"/>
  <c r="K2748" i="19"/>
  <c r="I2767" i="19"/>
  <c r="K2767" i="19"/>
  <c r="I2786" i="19"/>
  <c r="K2786" i="19"/>
  <c r="I64" i="19"/>
  <c r="K64" i="19"/>
  <c r="I81" i="19"/>
  <c r="K81" i="19"/>
  <c r="I741" i="19"/>
  <c r="K741" i="19"/>
  <c r="I5616" i="19"/>
  <c r="K5616" i="19"/>
  <c r="I4542" i="19"/>
  <c r="K4542" i="19"/>
  <c r="I4622" i="19"/>
  <c r="K4622" i="19"/>
  <c r="I4676" i="19"/>
  <c r="K4676" i="19"/>
  <c r="I4704" i="19"/>
  <c r="K4704" i="19"/>
  <c r="I4794" i="19"/>
  <c r="K4794" i="19"/>
  <c r="I4821" i="19"/>
  <c r="K4821" i="19"/>
  <c r="I4935" i="19"/>
  <c r="K4935" i="19"/>
  <c r="I5100" i="19"/>
  <c r="K5100" i="19"/>
  <c r="I5218" i="19"/>
  <c r="K5218" i="19"/>
  <c r="I5241" i="19"/>
  <c r="K5241" i="19"/>
  <c r="I5253" i="19"/>
  <c r="K5253" i="19"/>
  <c r="I5274" i="19"/>
  <c r="K5274" i="19"/>
  <c r="I3914" i="19"/>
  <c r="K3914" i="19"/>
  <c r="I3926" i="19"/>
  <c r="K3926" i="19"/>
  <c r="I4003" i="19"/>
  <c r="K4003" i="19"/>
  <c r="I4110" i="19"/>
  <c r="K4110" i="19"/>
  <c r="I4121" i="19"/>
  <c r="K4121" i="19"/>
  <c r="I4129" i="19"/>
  <c r="K4129" i="19"/>
  <c r="I4204" i="19"/>
  <c r="K4204" i="19"/>
  <c r="I4298" i="19"/>
  <c r="K4298" i="19"/>
  <c r="I4370" i="19"/>
  <c r="K4370" i="19"/>
  <c r="I4401" i="19"/>
  <c r="K4401" i="19"/>
  <c r="I4422" i="19"/>
  <c r="K4422" i="19"/>
  <c r="I4483" i="19"/>
  <c r="K4483" i="19"/>
  <c r="I2048" i="19"/>
  <c r="K2048" i="19"/>
  <c r="I2057" i="19"/>
  <c r="K2057" i="19"/>
  <c r="I2172" i="19"/>
  <c r="K2172" i="19"/>
  <c r="I2224" i="19"/>
  <c r="K2224" i="19"/>
  <c r="I2234" i="19"/>
  <c r="K2234" i="19"/>
  <c r="I2245" i="19"/>
  <c r="K2245" i="19"/>
  <c r="I2276" i="19"/>
  <c r="K2276" i="19"/>
  <c r="I2321" i="19"/>
  <c r="K2321" i="19"/>
  <c r="I2340" i="19"/>
  <c r="K2340" i="19"/>
  <c r="I2426" i="19"/>
  <c r="K2426" i="19"/>
  <c r="I2446" i="19"/>
  <c r="K2446" i="19"/>
  <c r="I1270" i="19"/>
  <c r="K1270" i="19"/>
  <c r="I1289" i="19"/>
  <c r="K1289" i="19"/>
  <c r="I1358" i="19"/>
  <c r="K1358" i="19"/>
  <c r="I1484" i="19"/>
  <c r="K1484" i="19"/>
  <c r="I1493" i="19"/>
  <c r="K1493" i="19"/>
  <c r="I1510" i="19"/>
  <c r="K1510" i="19"/>
  <c r="I1537" i="19"/>
  <c r="K1537" i="19"/>
  <c r="I1555" i="19"/>
  <c r="K1555" i="19"/>
  <c r="I1573" i="19"/>
  <c r="K1573" i="19"/>
  <c r="I1582" i="19"/>
  <c r="K1582" i="19"/>
  <c r="I916" i="19"/>
  <c r="K916" i="19"/>
  <c r="I365" i="19"/>
  <c r="K365" i="19"/>
  <c r="I5606" i="19"/>
  <c r="K5606" i="19"/>
  <c r="I5618" i="19"/>
  <c r="K5618" i="19"/>
  <c r="I4653" i="19"/>
  <c r="K4653" i="19"/>
  <c r="I4706" i="19"/>
  <c r="K4706" i="19"/>
  <c r="I4796" i="19"/>
  <c r="K4796" i="19"/>
  <c r="I4810" i="19"/>
  <c r="K4810" i="19"/>
  <c r="I4823" i="19"/>
  <c r="K4823" i="19"/>
  <c r="I4912" i="19"/>
  <c r="K4912" i="19"/>
  <c r="I5091" i="19"/>
  <c r="K5091" i="19"/>
  <c r="I5113" i="19"/>
  <c r="K5113" i="19"/>
  <c r="I5232" i="19"/>
  <c r="K5232" i="19"/>
  <c r="I3928" i="19"/>
  <c r="K3928" i="19"/>
  <c r="I712" i="19"/>
  <c r="K712" i="19"/>
  <c r="I729" i="19"/>
  <c r="K729" i="19"/>
  <c r="I5519" i="19"/>
  <c r="K5519" i="19"/>
  <c r="I5548" i="19"/>
  <c r="K5548" i="19"/>
  <c r="I5578" i="19"/>
  <c r="K5578" i="19"/>
  <c r="I4625" i="19"/>
  <c r="K4625" i="19"/>
  <c r="I4679" i="19"/>
  <c r="K4679" i="19"/>
  <c r="I4744" i="19"/>
  <c r="K4744" i="19"/>
  <c r="I4756" i="19"/>
  <c r="K4756" i="19"/>
  <c r="I4888" i="19"/>
  <c r="K4888" i="19"/>
  <c r="I4961" i="19"/>
  <c r="K4961" i="19"/>
  <c r="I5043" i="19"/>
  <c r="K5043" i="19"/>
  <c r="I5055" i="19"/>
  <c r="K5055" i="19"/>
  <c r="I5152" i="19"/>
  <c r="K5152" i="19"/>
  <c r="I5175" i="19"/>
  <c r="K5175" i="19"/>
  <c r="I5186" i="19"/>
  <c r="K5186" i="19"/>
  <c r="I5266" i="19"/>
  <c r="K5266" i="19"/>
  <c r="I5335" i="19"/>
  <c r="K5335" i="19"/>
  <c r="I3952" i="19"/>
  <c r="K3952" i="19"/>
  <c r="I3962" i="19"/>
  <c r="K3962" i="19"/>
  <c r="I4026" i="19"/>
  <c r="K4026" i="19"/>
  <c r="I4059" i="19"/>
  <c r="K4059" i="19"/>
  <c r="I4165" i="19"/>
  <c r="K4165" i="19"/>
  <c r="I4237" i="19"/>
  <c r="K4237" i="19"/>
  <c r="I4289" i="19"/>
  <c r="K4289" i="19"/>
  <c r="I4300" i="19"/>
  <c r="K4300" i="19"/>
  <c r="I4414" i="19"/>
  <c r="K4414" i="19"/>
  <c r="I4475" i="19"/>
  <c r="K4475" i="19"/>
  <c r="I2050" i="19"/>
  <c r="K2050" i="19"/>
  <c r="I2092" i="19"/>
  <c r="K2092" i="19"/>
  <c r="I2121" i="19"/>
  <c r="K2121" i="19"/>
  <c r="I2164" i="19"/>
  <c r="K2164" i="19"/>
  <c r="I2226" i="19"/>
  <c r="K2226" i="19"/>
  <c r="I2258" i="19"/>
  <c r="K2258" i="19"/>
  <c r="I2323" i="19"/>
  <c r="K2323" i="19"/>
  <c r="I2369" i="19"/>
  <c r="K2369" i="19"/>
  <c r="I2412" i="19"/>
  <c r="K2412" i="19"/>
  <c r="I2430" i="19"/>
  <c r="K2430" i="19"/>
  <c r="I2453" i="19"/>
  <c r="K2453" i="19"/>
  <c r="I1272" i="19"/>
  <c r="K1272" i="19"/>
  <c r="I1281" i="19"/>
  <c r="K1281" i="19"/>
  <c r="I1292" i="19"/>
  <c r="K1292" i="19"/>
  <c r="I1321" i="19"/>
  <c r="K1321" i="19"/>
  <c r="I1341" i="19"/>
  <c r="K1341" i="19"/>
  <c r="I1380" i="19"/>
  <c r="K1380" i="19"/>
  <c r="I1411" i="19"/>
  <c r="K1411" i="19"/>
  <c r="I1421" i="19"/>
  <c r="K1421" i="19"/>
  <c r="I1513" i="19"/>
  <c r="K1513" i="19"/>
  <c r="I1530" i="19"/>
  <c r="K1530" i="19"/>
  <c r="I1548" i="19"/>
  <c r="K1548" i="19"/>
  <c r="I351" i="19"/>
  <c r="K351" i="19"/>
  <c r="I5607" i="19"/>
  <c r="K5607" i="19"/>
  <c r="I4534" i="19"/>
  <c r="K4534" i="19"/>
  <c r="I4574" i="19"/>
  <c r="K4574" i="19"/>
  <c r="I4601" i="19"/>
  <c r="K4601" i="19"/>
  <c r="I4614" i="19"/>
  <c r="K4614" i="19"/>
  <c r="I5056" i="19"/>
  <c r="K5056" i="19"/>
  <c r="I5082" i="19"/>
  <c r="K5082" i="19"/>
  <c r="I5222" i="19"/>
  <c r="K5222" i="19"/>
  <c r="I5336" i="19"/>
  <c r="K5336" i="19"/>
  <c r="I3963" i="19"/>
  <c r="K3963" i="19"/>
  <c r="I4017" i="19"/>
  <c r="K4017" i="19"/>
  <c r="I4049" i="19"/>
  <c r="K4049" i="19"/>
  <c r="I4083" i="19"/>
  <c r="K4083" i="19"/>
  <c r="I4133" i="19"/>
  <c r="K4133" i="19"/>
  <c r="I4206" i="19"/>
  <c r="K4206" i="19"/>
  <c r="I4238" i="19"/>
  <c r="K4238" i="19"/>
  <c r="I4280" i="19"/>
  <c r="K4280" i="19"/>
  <c r="I4312" i="19"/>
  <c r="K4312" i="19"/>
  <c r="I4355" i="19"/>
  <c r="K4355" i="19"/>
  <c r="I4394" i="19"/>
  <c r="K4394" i="19"/>
  <c r="I4415" i="19"/>
  <c r="K4415" i="19"/>
  <c r="I4426" i="19"/>
  <c r="K4426" i="19"/>
  <c r="I4436" i="19"/>
  <c r="K4436" i="19"/>
  <c r="I4455" i="19"/>
  <c r="K4455" i="19"/>
  <c r="I2041" i="19"/>
  <c r="K2041" i="19"/>
  <c r="I2093" i="19"/>
  <c r="K2093" i="19"/>
  <c r="I2132" i="19"/>
  <c r="K2132" i="19"/>
  <c r="I2310" i="19"/>
  <c r="K2310" i="19"/>
  <c r="I2413" i="19"/>
  <c r="K2413" i="19"/>
  <c r="I2432" i="19"/>
  <c r="K2432" i="19"/>
  <c r="I2455" i="19"/>
  <c r="K2455" i="19"/>
  <c r="I1273" i="19"/>
  <c r="K1273" i="19"/>
  <c r="I1293" i="19"/>
  <c r="K1293" i="19"/>
  <c r="I1371" i="19"/>
  <c r="K1371" i="19"/>
  <c r="I1412" i="19"/>
  <c r="K1412" i="19"/>
  <c r="I1567" i="19"/>
  <c r="K1567" i="19"/>
  <c r="I1594" i="19"/>
  <c r="K1594" i="19"/>
  <c r="I506" i="19"/>
  <c r="K506" i="19"/>
  <c r="I5434" i="19"/>
  <c r="K5434" i="19"/>
  <c r="I5449" i="19"/>
  <c r="K5449" i="19"/>
  <c r="I5524" i="19"/>
  <c r="K5524" i="19"/>
  <c r="I4523" i="19"/>
  <c r="K4523" i="19"/>
  <c r="I4698" i="19"/>
  <c r="K4698" i="19"/>
  <c r="I4842" i="19"/>
  <c r="K4842" i="19"/>
  <c r="I4856" i="19"/>
  <c r="K4856" i="19"/>
  <c r="I5073" i="19"/>
  <c r="K5073" i="19"/>
  <c r="I5224" i="19"/>
  <c r="K5224" i="19"/>
  <c r="I5350" i="19"/>
  <c r="K5350" i="19"/>
  <c r="I3944" i="19"/>
  <c r="K3944" i="19"/>
  <c r="I3955" i="19"/>
  <c r="K3955" i="19"/>
  <c r="I4008" i="19"/>
  <c r="K4008" i="19"/>
  <c r="I4074" i="19"/>
  <c r="K4074" i="19"/>
  <c r="I4135" i="19"/>
  <c r="K4135" i="19"/>
  <c r="I4145" i="19"/>
  <c r="K4145" i="19"/>
  <c r="I4189" i="19"/>
  <c r="K4189" i="19"/>
  <c r="I4293" i="19"/>
  <c r="K4293" i="19"/>
  <c r="I4325" i="19"/>
  <c r="K4325" i="19"/>
  <c r="I4345" i="19"/>
  <c r="K4345" i="19"/>
  <c r="I4376" i="19"/>
  <c r="K4376" i="19"/>
  <c r="I4407" i="19"/>
  <c r="K4407" i="19"/>
  <c r="I2145" i="19"/>
  <c r="K2145" i="19"/>
  <c r="I2167" i="19"/>
  <c r="K2167" i="19"/>
  <c r="I2262" i="19"/>
  <c r="K2262" i="19"/>
  <c r="I2281" i="19"/>
  <c r="K2281" i="19"/>
  <c r="I2334" i="19"/>
  <c r="K2334" i="19"/>
  <c r="I2354" i="19"/>
  <c r="K2354" i="19"/>
  <c r="I2396" i="19"/>
  <c r="K2396" i="19"/>
  <c r="I2440" i="19"/>
  <c r="K2440" i="19"/>
  <c r="I2458" i="19"/>
  <c r="K2458" i="19"/>
  <c r="I2501" i="19"/>
  <c r="K2501" i="19"/>
  <c r="I1295" i="19"/>
  <c r="K1295" i="19"/>
  <c r="I1323" i="19"/>
  <c r="K1323" i="19"/>
  <c r="I1334" i="19"/>
  <c r="K1334" i="19"/>
  <c r="I1404" i="19"/>
  <c r="K1404" i="19"/>
  <c r="I1423" i="19"/>
  <c r="K1423" i="19"/>
  <c r="I1453" i="19"/>
  <c r="K1453" i="19"/>
  <c r="I1498" i="19"/>
  <c r="K1498" i="19"/>
  <c r="I1542" i="19"/>
  <c r="K1542" i="19"/>
  <c r="I1560" i="19"/>
  <c r="K1560" i="19"/>
  <c r="I925" i="19"/>
  <c r="K925" i="19"/>
  <c r="I1150" i="19"/>
  <c r="K1150" i="19"/>
  <c r="I5482" i="19"/>
  <c r="K5482" i="19"/>
  <c r="I5585" i="19"/>
  <c r="K5585" i="19"/>
  <c r="I4686" i="19"/>
  <c r="K4686" i="19"/>
  <c r="I4713" i="19"/>
  <c r="K4713" i="19"/>
  <c r="I4776" i="19"/>
  <c r="K4776" i="19"/>
  <c r="I4893" i="19"/>
  <c r="K4893" i="19"/>
  <c r="I4979" i="19"/>
  <c r="K4979" i="19"/>
  <c r="I5037" i="19"/>
  <c r="K5037" i="19"/>
  <c r="I5170" i="19"/>
  <c r="K5170" i="19"/>
  <c r="I5180" i="19"/>
  <c r="K5180" i="19"/>
  <c r="I3923" i="19"/>
  <c r="K3923" i="19"/>
  <c r="I769" i="19"/>
  <c r="K769" i="19"/>
  <c r="I5512" i="19"/>
  <c r="K5512" i="19"/>
  <c r="I4804" i="19"/>
  <c r="K4804" i="19"/>
  <c r="I4858" i="19"/>
  <c r="K4858" i="19"/>
  <c r="I5013" i="19"/>
  <c r="K5013" i="19"/>
  <c r="I5061" i="19"/>
  <c r="K5061" i="19"/>
  <c r="I5098" i="19"/>
  <c r="K5098" i="19"/>
  <c r="I5109" i="19"/>
  <c r="K5109" i="19"/>
  <c r="I5283" i="19"/>
  <c r="K5283" i="19"/>
  <c r="I5308" i="19"/>
  <c r="K5308" i="19"/>
  <c r="I5330" i="19"/>
  <c r="K5330" i="19"/>
  <c r="I3947" i="19"/>
  <c r="K3947" i="19"/>
  <c r="I764" i="19"/>
  <c r="K764" i="19"/>
  <c r="I4516" i="19"/>
  <c r="K4516" i="19"/>
  <c r="I4577" i="19"/>
  <c r="K4577" i="19"/>
  <c r="I4766" i="19"/>
  <c r="K4766" i="19"/>
  <c r="I5015" i="19"/>
  <c r="K5015" i="19"/>
  <c r="I5045" i="19"/>
  <c r="K5045" i="19"/>
  <c r="I5178" i="19"/>
  <c r="K5178" i="19"/>
  <c r="I3969" i="19"/>
  <c r="K3969" i="19"/>
  <c r="I4019" i="19"/>
  <c r="K4019" i="19"/>
  <c r="I4032" i="19"/>
  <c r="K4032" i="19"/>
  <c r="I4140" i="19"/>
  <c r="K4140" i="19"/>
  <c r="I4240" i="19"/>
  <c r="K4240" i="19"/>
  <c r="I4371" i="19"/>
  <c r="K4371" i="19"/>
  <c r="I4405" i="19"/>
  <c r="K4405" i="19"/>
  <c r="I4419" i="19"/>
  <c r="K4419" i="19"/>
  <c r="I4453" i="19"/>
  <c r="K4453" i="19"/>
  <c r="I4465" i="19"/>
  <c r="K4465" i="19"/>
  <c r="I2032" i="19"/>
  <c r="K2032" i="19"/>
  <c r="I2068" i="19"/>
  <c r="K2068" i="19"/>
  <c r="I2080" i="19"/>
  <c r="K2080" i="19"/>
  <c r="I2115" i="19"/>
  <c r="K2115" i="19"/>
  <c r="I2141" i="19"/>
  <c r="K2141" i="19"/>
  <c r="I2333" i="19"/>
  <c r="K2333" i="19"/>
  <c r="I2394" i="19"/>
  <c r="K2394" i="19"/>
  <c r="I2492" i="19"/>
  <c r="K2492" i="19"/>
  <c r="I1264" i="19"/>
  <c r="K1264" i="19"/>
  <c r="I1310" i="19"/>
  <c r="K1310" i="19"/>
  <c r="I1356" i="19"/>
  <c r="K1356" i="19"/>
  <c r="I1416" i="19"/>
  <c r="K1416" i="19"/>
  <c r="I1525" i="19"/>
  <c r="K1525" i="19"/>
  <c r="I1556" i="19"/>
  <c r="K1556" i="19"/>
  <c r="I1577" i="19"/>
  <c r="K1577" i="19"/>
  <c r="I1588" i="19"/>
  <c r="K1588" i="19"/>
  <c r="I1637" i="19"/>
  <c r="K1637" i="19"/>
  <c r="I1645" i="19"/>
  <c r="K1645" i="19"/>
  <c r="I1654" i="19"/>
  <c r="K1654" i="19"/>
  <c r="I1722" i="19"/>
  <c r="K1722" i="19"/>
  <c r="I1745" i="19"/>
  <c r="K1745" i="19"/>
  <c r="I1753" i="19"/>
  <c r="K1753" i="19"/>
  <c r="I1762" i="19"/>
  <c r="K1762" i="19"/>
  <c r="I1850" i="19"/>
  <c r="K1850" i="19"/>
  <c r="I1865" i="19"/>
  <c r="K1865" i="19"/>
  <c r="I1896" i="19"/>
  <c r="K1896" i="19"/>
  <c r="I1941" i="19"/>
  <c r="K1941" i="19"/>
  <c r="I1987" i="19"/>
  <c r="K1987" i="19"/>
  <c r="I2019" i="19"/>
  <c r="K2019" i="19"/>
  <c r="I3712" i="19"/>
  <c r="K3712" i="19"/>
  <c r="I3761" i="19"/>
  <c r="K3761" i="19"/>
  <c r="I3865" i="19"/>
  <c r="K3865" i="19"/>
  <c r="I3888" i="19"/>
  <c r="K3888" i="19"/>
  <c r="I3465" i="19"/>
  <c r="K3465" i="19"/>
  <c r="I3496" i="19"/>
  <c r="K3496" i="19"/>
  <c r="I3535" i="19"/>
  <c r="K3535" i="19"/>
  <c r="I3543" i="19"/>
  <c r="K3543" i="19"/>
  <c r="I3568" i="19"/>
  <c r="K3568" i="19"/>
  <c r="I3591" i="19"/>
  <c r="K3591" i="19"/>
  <c r="I3598" i="19"/>
  <c r="K3598" i="19"/>
  <c r="I3651" i="19"/>
  <c r="K3651" i="19"/>
  <c r="I3674" i="19"/>
  <c r="K3674" i="19"/>
  <c r="I3289" i="19"/>
  <c r="K3289" i="19"/>
  <c r="I3296" i="19"/>
  <c r="K3296" i="19"/>
  <c r="I3304" i="19"/>
  <c r="K3304" i="19"/>
  <c r="I3349" i="19"/>
  <c r="K3349" i="19"/>
  <c r="I3379" i="19"/>
  <c r="K3379" i="19"/>
  <c r="I3394" i="19"/>
  <c r="K3394" i="19"/>
  <c r="I3432" i="19"/>
  <c r="K3432" i="19"/>
  <c r="I3440" i="19"/>
  <c r="K3440" i="19"/>
  <c r="I3109" i="19"/>
  <c r="K3109" i="19"/>
  <c r="I3144" i="19"/>
  <c r="K3144" i="19"/>
  <c r="I3151" i="19"/>
  <c r="K3151" i="19"/>
  <c r="I3158" i="19"/>
  <c r="K3158" i="19"/>
  <c r="I3165" i="19"/>
  <c r="K3165" i="19"/>
  <c r="I3172" i="19"/>
  <c r="K3172" i="19"/>
  <c r="I3192" i="19"/>
  <c r="K3192" i="19"/>
  <c r="I3205" i="19"/>
  <c r="K3205" i="19"/>
  <c r="I3238" i="19"/>
  <c r="K3238" i="19"/>
  <c r="I3265" i="19"/>
  <c r="K3265" i="19"/>
  <c r="I3271" i="19"/>
  <c r="K3271" i="19"/>
  <c r="I3021" i="19"/>
  <c r="K3021" i="19"/>
  <c r="I3028" i="19"/>
  <c r="K3028" i="19"/>
  <c r="I3069" i="19"/>
  <c r="K3069" i="19"/>
  <c r="I3082" i="19"/>
  <c r="K3082" i="19"/>
  <c r="I2961" i="19"/>
  <c r="K2961" i="19"/>
  <c r="I2980" i="19"/>
  <c r="K2980" i="19"/>
  <c r="I5761" i="19"/>
  <c r="K5761" i="19"/>
  <c r="I5809" i="19"/>
  <c r="K5809" i="19"/>
  <c r="I5647" i="19"/>
  <c r="K5647" i="19"/>
  <c r="I5681" i="19"/>
  <c r="K5681" i="19"/>
  <c r="I5715" i="19"/>
  <c r="K5715" i="19"/>
  <c r="I5722" i="19"/>
  <c r="K5722" i="19"/>
  <c r="I5736" i="19"/>
  <c r="K5736" i="19"/>
  <c r="I2832" i="19"/>
  <c r="K2832" i="19"/>
  <c r="I2839" i="19"/>
  <c r="K2839" i="19"/>
  <c r="I2859" i="19"/>
  <c r="K2859" i="19"/>
  <c r="I2873" i="19"/>
  <c r="K2873" i="19"/>
  <c r="I2887" i="19"/>
  <c r="K2887" i="19"/>
  <c r="I2745" i="19"/>
  <c r="K2745" i="19"/>
  <c r="I2712" i="19"/>
  <c r="K2712" i="19"/>
  <c r="I2747" i="19"/>
  <c r="K2747" i="19"/>
  <c r="I2781" i="19"/>
  <c r="K2781" i="19"/>
  <c r="I2618" i="19"/>
  <c r="K2618" i="19"/>
  <c r="I2651" i="19"/>
  <c r="K2651" i="19"/>
  <c r="I2657" i="19"/>
  <c r="K2657" i="19"/>
  <c r="I2663" i="19"/>
  <c r="K2663" i="19"/>
  <c r="I2682" i="19"/>
  <c r="K2682" i="19"/>
  <c r="I2561" i="19"/>
  <c r="K2561" i="19"/>
  <c r="I2567" i="19"/>
  <c r="K2567" i="19"/>
  <c r="I2592" i="19"/>
  <c r="K2592" i="19"/>
  <c r="I2598" i="19"/>
  <c r="K2598" i="19"/>
  <c r="I2604" i="19"/>
  <c r="K2604" i="19"/>
  <c r="I627" i="19"/>
  <c r="K627" i="19"/>
  <c r="I5406" i="19"/>
  <c r="K5406" i="19"/>
  <c r="I5502" i="19"/>
  <c r="K5502" i="19"/>
  <c r="I5534" i="19"/>
  <c r="K5534" i="19"/>
  <c r="I4642" i="19"/>
  <c r="K4642" i="19"/>
  <c r="I4671" i="19"/>
  <c r="K4671" i="19"/>
  <c r="I4890" i="19"/>
  <c r="K4890" i="19"/>
  <c r="I4918" i="19"/>
  <c r="K4918" i="19"/>
  <c r="I5262" i="19"/>
  <c r="K5262" i="19"/>
  <c r="I5302" i="19"/>
  <c r="K5302" i="19"/>
  <c r="I3956" i="19"/>
  <c r="K3956" i="19"/>
  <c r="I4007" i="19"/>
  <c r="K4007" i="19"/>
  <c r="I4068" i="19"/>
  <c r="K4068" i="19"/>
  <c r="I4094" i="19"/>
  <c r="K4094" i="19"/>
  <c r="I4117" i="19"/>
  <c r="K4117" i="19"/>
  <c r="I4128" i="19"/>
  <c r="K4128" i="19"/>
  <c r="I4252" i="19"/>
  <c r="K4252" i="19"/>
  <c r="I4336" i="19"/>
  <c r="K4336" i="19"/>
  <c r="I2094" i="19"/>
  <c r="K2094" i="19"/>
  <c r="I2153" i="19"/>
  <c r="K2153" i="19"/>
  <c r="I2272" i="19"/>
  <c r="K2272" i="19"/>
  <c r="I2284" i="19"/>
  <c r="K2284" i="19"/>
  <c r="I2367" i="19"/>
  <c r="K2367" i="19"/>
  <c r="I2428" i="19"/>
  <c r="K2428" i="19"/>
  <c r="I2461" i="19"/>
  <c r="K2461" i="19"/>
  <c r="I1276" i="19"/>
  <c r="K1276" i="19"/>
  <c r="I1287" i="19"/>
  <c r="K1287" i="19"/>
  <c r="I1441" i="19"/>
  <c r="K1441" i="19"/>
  <c r="I1547" i="19"/>
  <c r="K1547" i="19"/>
  <c r="I1628" i="19"/>
  <c r="K1628" i="19"/>
  <c r="I1690" i="19"/>
  <c r="K1690" i="19"/>
  <c r="I1738" i="19"/>
  <c r="K1738" i="19"/>
  <c r="I1787" i="19"/>
  <c r="K1787" i="19"/>
  <c r="I1796" i="19"/>
  <c r="K1796" i="19"/>
  <c r="I1819" i="19"/>
  <c r="K1819" i="19"/>
  <c r="I1881" i="19"/>
  <c r="K1881" i="19"/>
  <c r="I1911" i="19"/>
  <c r="K1911" i="19"/>
  <c r="I1928" i="19"/>
  <c r="K1928" i="19"/>
  <c r="I1957" i="19"/>
  <c r="K1957" i="19"/>
  <c r="I1973" i="19"/>
  <c r="K1973" i="19"/>
  <c r="I2003" i="19"/>
  <c r="K2003" i="19"/>
  <c r="I3688" i="19"/>
  <c r="K3688" i="19"/>
  <c r="I3696" i="19"/>
  <c r="K3696" i="19"/>
  <c r="I3728" i="19"/>
  <c r="K3728" i="19"/>
  <c r="I3744" i="19"/>
  <c r="K3744" i="19"/>
  <c r="I3778" i="19"/>
  <c r="K3778" i="19"/>
  <c r="I3802" i="19"/>
  <c r="K3802" i="19"/>
  <c r="I3818" i="19"/>
  <c r="K3818" i="19"/>
  <c r="I3850" i="19"/>
  <c r="K3850" i="19"/>
  <c r="I3480" i="19"/>
  <c r="K3480" i="19"/>
  <c r="I3488" i="19"/>
  <c r="K3488" i="19"/>
  <c r="I3504" i="19"/>
  <c r="K3504" i="19"/>
  <c r="I3584" i="19"/>
  <c r="K3584" i="19"/>
  <c r="F3613" i="19"/>
  <c r="H3613" i="19"/>
  <c r="Q3613" i="19"/>
  <c r="I3621" i="19"/>
  <c r="K3621" i="19"/>
  <c r="F3643" i="19"/>
  <c r="H3643" i="19"/>
  <c r="I3282" i="19"/>
  <c r="K3282" i="19"/>
  <c r="I3328" i="19"/>
  <c r="K3328" i="19"/>
  <c r="I3335" i="19"/>
  <c r="K3335" i="19"/>
  <c r="I3372" i="19"/>
  <c r="K3372" i="19"/>
  <c r="I3402" i="19"/>
  <c r="K3402" i="19"/>
  <c r="I3410" i="19"/>
  <c r="K3410" i="19"/>
  <c r="I3448" i="19"/>
  <c r="K3448" i="19"/>
  <c r="I3102" i="19"/>
  <c r="K3102" i="19"/>
  <c r="I3116" i="19"/>
  <c r="K3116" i="19"/>
  <c r="I3123" i="19"/>
  <c r="K3123" i="19"/>
  <c r="I3137" i="19"/>
  <c r="K3137" i="19"/>
  <c r="I3179" i="19"/>
  <c r="K3179" i="19"/>
  <c r="I3186" i="19"/>
  <c r="K3186" i="19"/>
  <c r="I3199" i="19"/>
  <c r="K3199" i="19"/>
  <c r="I3218" i="19"/>
  <c r="K3218" i="19"/>
  <c r="I3245" i="19"/>
  <c r="K3245" i="19"/>
  <c r="I3252" i="19"/>
  <c r="K3252" i="19"/>
  <c r="I3259" i="19"/>
  <c r="K3259" i="19"/>
  <c r="I3015" i="19"/>
  <c r="K3015" i="19"/>
  <c r="I3035" i="19"/>
  <c r="K3035" i="19"/>
  <c r="I3042" i="19"/>
  <c r="K3042" i="19"/>
  <c r="I3049" i="19"/>
  <c r="K3049" i="19"/>
  <c r="I3089" i="19"/>
  <c r="K3089" i="19"/>
  <c r="I2934" i="19"/>
  <c r="K2934" i="19"/>
  <c r="I2948" i="19"/>
  <c r="K2948" i="19"/>
  <c r="I2974" i="19"/>
  <c r="K2974" i="19"/>
  <c r="I2993" i="19"/>
  <c r="K2993" i="19"/>
  <c r="I5768" i="19"/>
  <c r="K5768" i="19"/>
  <c r="I5775" i="19"/>
  <c r="K5775" i="19"/>
  <c r="I5789" i="19"/>
  <c r="K5789" i="19"/>
  <c r="I5816" i="19"/>
  <c r="K5816" i="19"/>
  <c r="I5823" i="19"/>
  <c r="K5823" i="19"/>
  <c r="I5843" i="19"/>
  <c r="K5843" i="19"/>
  <c r="I5850" i="19"/>
  <c r="K5850" i="19"/>
  <c r="I5869" i="19"/>
  <c r="K5869" i="19"/>
  <c r="I5661" i="19"/>
  <c r="K5661" i="19"/>
  <c r="I5668" i="19"/>
  <c r="K5668" i="19"/>
  <c r="I5688" i="19"/>
  <c r="K5688" i="19"/>
  <c r="I931" i="19"/>
  <c r="K931" i="19"/>
  <c r="I5599" i="19"/>
  <c r="K5599" i="19"/>
  <c r="I4815" i="19"/>
  <c r="K4815" i="19"/>
  <c r="I4904" i="19"/>
  <c r="K4904" i="19"/>
  <c r="I5137" i="19"/>
  <c r="K5137" i="19"/>
  <c r="I5234" i="19"/>
  <c r="K5234" i="19"/>
  <c r="I4033" i="19"/>
  <c r="K4033" i="19"/>
  <c r="I4154" i="19"/>
  <c r="K4154" i="19"/>
  <c r="I4179" i="19"/>
  <c r="K4179" i="19"/>
  <c r="I4191" i="19"/>
  <c r="K4191" i="19"/>
  <c r="I4214" i="19"/>
  <c r="K4214" i="19"/>
  <c r="I4274" i="19"/>
  <c r="K4274" i="19"/>
  <c r="I4349" i="19"/>
  <c r="K4349" i="19"/>
  <c r="I4395" i="19"/>
  <c r="K4395" i="19"/>
  <c r="I4466" i="19"/>
  <c r="K4466" i="19"/>
  <c r="I2033" i="19"/>
  <c r="K2033" i="19"/>
  <c r="I2106" i="19"/>
  <c r="K2106" i="19"/>
  <c r="I2116" i="19"/>
  <c r="K2116" i="19"/>
  <c r="I2201" i="19"/>
  <c r="K2201" i="19"/>
  <c r="I2296" i="19"/>
  <c r="K2296" i="19"/>
  <c r="I2335" i="19"/>
  <c r="K2335" i="19"/>
  <c r="I2401" i="19"/>
  <c r="K2401" i="19"/>
  <c r="I2493" i="19"/>
  <c r="K2493" i="19"/>
  <c r="I1322" i="19"/>
  <c r="K1322" i="19"/>
  <c r="I1357" i="19"/>
  <c r="K1357" i="19"/>
  <c r="I1394" i="19"/>
  <c r="K1394" i="19"/>
  <c r="I1452" i="19"/>
  <c r="K1452" i="19"/>
  <c r="I1494" i="19"/>
  <c r="K1494" i="19"/>
  <c r="I1516" i="19"/>
  <c r="K1516" i="19"/>
  <c r="I1664" i="19"/>
  <c r="K1664" i="19"/>
  <c r="I1673" i="19"/>
  <c r="K1673" i="19"/>
  <c r="I1698" i="19"/>
  <c r="K1698" i="19"/>
  <c r="I1715" i="19"/>
  <c r="K1715" i="19"/>
  <c r="I1730" i="19"/>
  <c r="K1730" i="19"/>
  <c r="I1763" i="19"/>
  <c r="K1763" i="19"/>
  <c r="I1780" i="19"/>
  <c r="K1780" i="19"/>
  <c r="I1805" i="19"/>
  <c r="K1805" i="19"/>
  <c r="I1812" i="19"/>
  <c r="K1812" i="19"/>
  <c r="I1828" i="19"/>
  <c r="K1828" i="19"/>
  <c r="I1851" i="19"/>
  <c r="K1851" i="19"/>
  <c r="I1867" i="19"/>
  <c r="K1867" i="19"/>
  <c r="I1897" i="19"/>
  <c r="K1897" i="19"/>
  <c r="I1942" i="19"/>
  <c r="K1942" i="19"/>
  <c r="I1989" i="19"/>
  <c r="K1989" i="19"/>
  <c r="I2020" i="19"/>
  <c r="K2020" i="19"/>
  <c r="I3721" i="19"/>
  <c r="K3721" i="19"/>
  <c r="I3736" i="19"/>
  <c r="K3736" i="19"/>
  <c r="I3770" i="19"/>
  <c r="K3770" i="19"/>
  <c r="I3786" i="19"/>
  <c r="K3786" i="19"/>
  <c r="I3811" i="19"/>
  <c r="K3811" i="19"/>
  <c r="I3826" i="19"/>
  <c r="K3826" i="19"/>
  <c r="I580" i="19"/>
  <c r="K580" i="19"/>
  <c r="I4991" i="19"/>
  <c r="K4991" i="19"/>
  <c r="I5193" i="19"/>
  <c r="K5193" i="19"/>
  <c r="I5329" i="19"/>
  <c r="K5329" i="19"/>
  <c r="I3929" i="19"/>
  <c r="K3929" i="19"/>
  <c r="I3971" i="19"/>
  <c r="K3971" i="19"/>
  <c r="I4021" i="19"/>
  <c r="K4021" i="19"/>
  <c r="I4301" i="19"/>
  <c r="K4301" i="19"/>
  <c r="I4362" i="19"/>
  <c r="K4362" i="19"/>
  <c r="I2047" i="19"/>
  <c r="K2047" i="19"/>
  <c r="I2082" i="19"/>
  <c r="K2082" i="19"/>
  <c r="I2130" i="19"/>
  <c r="K2130" i="19"/>
  <c r="I2166" i="19"/>
  <c r="K2166" i="19"/>
  <c r="I2191" i="19"/>
  <c r="K2191" i="19"/>
  <c r="I2239" i="19"/>
  <c r="K2239" i="19"/>
  <c r="I2251" i="19"/>
  <c r="K2251" i="19"/>
  <c r="I2263" i="19"/>
  <c r="K2263" i="19"/>
  <c r="I2371" i="19"/>
  <c r="K2371" i="19"/>
  <c r="I2402" i="19"/>
  <c r="K2402" i="19"/>
  <c r="I2462" i="19"/>
  <c r="K2462" i="19"/>
  <c r="I2494" i="19"/>
  <c r="K2494" i="19"/>
  <c r="I1277" i="19"/>
  <c r="K1277" i="19"/>
  <c r="F1287" i="19"/>
  <c r="H1287" i="19"/>
  <c r="Q1287" i="19"/>
  <c r="R1287" i="19"/>
  <c r="I1301" i="19"/>
  <c r="K1301" i="19"/>
  <c r="I1370" i="19"/>
  <c r="K1370" i="19"/>
  <c r="I1430" i="19"/>
  <c r="K1430" i="19"/>
  <c r="I1526" i="19"/>
  <c r="K1526" i="19"/>
  <c r="I1570" i="19"/>
  <c r="K1570" i="19"/>
  <c r="I1611" i="19"/>
  <c r="K1611" i="19"/>
  <c r="I1638" i="19"/>
  <c r="K1638" i="19"/>
  <c r="I1682" i="19"/>
  <c r="K1682" i="19"/>
  <c r="I1691" i="19"/>
  <c r="K1691" i="19"/>
  <c r="I1723" i="19"/>
  <c r="K1723" i="19"/>
  <c r="I1788" i="19"/>
  <c r="K1788" i="19"/>
  <c r="I1884" i="19"/>
  <c r="K1884" i="19"/>
  <c r="I1912" i="19"/>
  <c r="K1912" i="19"/>
  <c r="I1929" i="19"/>
  <c r="K1929" i="19"/>
  <c r="I1958" i="19"/>
  <c r="K1958" i="19"/>
  <c r="I1975" i="19"/>
  <c r="K1975" i="19"/>
  <c r="I3779" i="19"/>
  <c r="K3779" i="19"/>
  <c r="I3795" i="19"/>
  <c r="K3795" i="19"/>
  <c r="I3835" i="19"/>
  <c r="K3835" i="19"/>
  <c r="I3851" i="19"/>
  <c r="K3851" i="19"/>
  <c r="I3882" i="19"/>
  <c r="K3882" i="19"/>
  <c r="I3889" i="19"/>
  <c r="K3889" i="19"/>
  <c r="I3466" i="19"/>
  <c r="K3466" i="19"/>
  <c r="I3569" i="19"/>
  <c r="K3569" i="19"/>
  <c r="I3592" i="19"/>
  <c r="K3592" i="19"/>
  <c r="I3599" i="19"/>
  <c r="K3599" i="19"/>
  <c r="I3607" i="19"/>
  <c r="K3607" i="19"/>
  <c r="I3614" i="19"/>
  <c r="K3614" i="19"/>
  <c r="I3630" i="19"/>
  <c r="K3630" i="19"/>
  <c r="I605" i="19"/>
  <c r="K605" i="19"/>
  <c r="I621" i="19"/>
  <c r="K621" i="19"/>
  <c r="I5511" i="19"/>
  <c r="K5511" i="19"/>
  <c r="I5577" i="19"/>
  <c r="K5577" i="19"/>
  <c r="I4604" i="19"/>
  <c r="K4604" i="19"/>
  <c r="I5130" i="19"/>
  <c r="K5130" i="19"/>
  <c r="I5145" i="19"/>
  <c r="K5145" i="19"/>
  <c r="I5200" i="19"/>
  <c r="K5200" i="19"/>
  <c r="I5227" i="19"/>
  <c r="K5227" i="19"/>
  <c r="I3936" i="19"/>
  <c r="K3936" i="19"/>
  <c r="I4050" i="19"/>
  <c r="K4050" i="19"/>
  <c r="I4247" i="19"/>
  <c r="K4247" i="19"/>
  <c r="I4343" i="19"/>
  <c r="K4343" i="19"/>
  <c r="I4378" i="19"/>
  <c r="K4378" i="19"/>
  <c r="I4484" i="19"/>
  <c r="K4484" i="19"/>
  <c r="I2053" i="19"/>
  <c r="K2053" i="19"/>
  <c r="I2075" i="19"/>
  <c r="K2075" i="19"/>
  <c r="I2208" i="19"/>
  <c r="K2208" i="19"/>
  <c r="I2257" i="19"/>
  <c r="K2257" i="19"/>
  <c r="I2269" i="19"/>
  <c r="K2269" i="19"/>
  <c r="I2386" i="19"/>
  <c r="K2386" i="19"/>
  <c r="I2448" i="19"/>
  <c r="K2448" i="19"/>
  <c r="I2477" i="19"/>
  <c r="K2477" i="19"/>
  <c r="I2509" i="19"/>
  <c r="K2509" i="19"/>
  <c r="I1307" i="19"/>
  <c r="K1307" i="19"/>
  <c r="I1522" i="19"/>
  <c r="K1522" i="19"/>
  <c r="I1564" i="19"/>
  <c r="K1564" i="19"/>
  <c r="I1606" i="19"/>
  <c r="K1606" i="19"/>
  <c r="I1615" i="19"/>
  <c r="K1615" i="19"/>
  <c r="I1711" i="19"/>
  <c r="K1711" i="19"/>
  <c r="I1776" i="19"/>
  <c r="K1776" i="19"/>
  <c r="I1833" i="19"/>
  <c r="K1833" i="19"/>
  <c r="I1860" i="19"/>
  <c r="K1860" i="19"/>
  <c r="I1875" i="19"/>
  <c r="K1875" i="19"/>
  <c r="I1921" i="19"/>
  <c r="K1921" i="19"/>
  <c r="I1967" i="19"/>
  <c r="K1967" i="19"/>
  <c r="I2028" i="19"/>
  <c r="K2028" i="19"/>
  <c r="I3757" i="19"/>
  <c r="K3757" i="19"/>
  <c r="I3807" i="19"/>
  <c r="K3807" i="19"/>
  <c r="I3831" i="19"/>
  <c r="K3831" i="19"/>
  <c r="I3839" i="19"/>
  <c r="K3839" i="19"/>
  <c r="I4996" i="19"/>
  <c r="K4996" i="19"/>
  <c r="I5101" i="19"/>
  <c r="K5101" i="19"/>
  <c r="I5270" i="19"/>
  <c r="K5270" i="19"/>
  <c r="I3961" i="19"/>
  <c r="K3961" i="19"/>
  <c r="I4001" i="19"/>
  <c r="K4001" i="19"/>
  <c r="I4136" i="19"/>
  <c r="K4136" i="19"/>
  <c r="I4243" i="19"/>
  <c r="K4243" i="19"/>
  <c r="I4281" i="19"/>
  <c r="K4281" i="19"/>
  <c r="I4320" i="19"/>
  <c r="K4320" i="19"/>
  <c r="I4398" i="19"/>
  <c r="K4398" i="19"/>
  <c r="I4438" i="19"/>
  <c r="K4438" i="19"/>
  <c r="I4449" i="19"/>
  <c r="K4449" i="19"/>
  <c r="I2101" i="19"/>
  <c r="K2101" i="19"/>
  <c r="I2350" i="19"/>
  <c r="K2350" i="19"/>
  <c r="I2392" i="19"/>
  <c r="K2392" i="19"/>
  <c r="I1382" i="19"/>
  <c r="K1382" i="19"/>
  <c r="I1422" i="19"/>
  <c r="K1422" i="19"/>
  <c r="I1435" i="19"/>
  <c r="K1435" i="19"/>
  <c r="I1471" i="19"/>
  <c r="K1471" i="19"/>
  <c r="I1580" i="19"/>
  <c r="K1580" i="19"/>
  <c r="I1667" i="19"/>
  <c r="K1667" i="19"/>
  <c r="I1697" i="19"/>
  <c r="K1697" i="19"/>
  <c r="I1716" i="19"/>
  <c r="K1716" i="19"/>
  <c r="I1744" i="19"/>
  <c r="K1744" i="19"/>
  <c r="I1764" i="19"/>
  <c r="K1764" i="19"/>
  <c r="I1783" i="19"/>
  <c r="K1783" i="19"/>
  <c r="I1821" i="19"/>
  <c r="K1821" i="19"/>
  <c r="I1905" i="19"/>
  <c r="K1905" i="19"/>
  <c r="I1968" i="19"/>
  <c r="K1968" i="19"/>
  <c r="I3687" i="19"/>
  <c r="K3687" i="19"/>
  <c r="I3715" i="19"/>
  <c r="K3715" i="19"/>
  <c r="I3743" i="19"/>
  <c r="K3743" i="19"/>
  <c r="I3782" i="19"/>
  <c r="K3782" i="19"/>
  <c r="I3801" i="19"/>
  <c r="K3801" i="19"/>
  <c r="I3830" i="19"/>
  <c r="K3830" i="19"/>
  <c r="I3857" i="19"/>
  <c r="K3857" i="19"/>
  <c r="I3577" i="19"/>
  <c r="K3577" i="19"/>
  <c r="I3585" i="19"/>
  <c r="K3585" i="19"/>
  <c r="I3661" i="19"/>
  <c r="K3661" i="19"/>
  <c r="I3678" i="19"/>
  <c r="K3678" i="19"/>
  <c r="I3285" i="19"/>
  <c r="K3285" i="19"/>
  <c r="I3294" i="19"/>
  <c r="K3294" i="19"/>
  <c r="I3302" i="19"/>
  <c r="K3302" i="19"/>
  <c r="I3342" i="19"/>
  <c r="K3342" i="19"/>
  <c r="I3359" i="19"/>
  <c r="K3359" i="19"/>
  <c r="I3423" i="19"/>
  <c r="K3423" i="19"/>
  <c r="I3431" i="19"/>
  <c r="K3431" i="19"/>
  <c r="I3095" i="19"/>
  <c r="K3095" i="19"/>
  <c r="I3140" i="19"/>
  <c r="K3140" i="19"/>
  <c r="I3156" i="19"/>
  <c r="K3156" i="19"/>
  <c r="I3164" i="19"/>
  <c r="K3164" i="19"/>
  <c r="I3243" i="19"/>
  <c r="K3243" i="19"/>
  <c r="F3264" i="19"/>
  <c r="H3264" i="19"/>
  <c r="I3023" i="19"/>
  <c r="K3023" i="19"/>
  <c r="I3045" i="19"/>
  <c r="K3045" i="19"/>
  <c r="I3052" i="19"/>
  <c r="K3052" i="19"/>
  <c r="I3067" i="19"/>
  <c r="K3067" i="19"/>
  <c r="I3074" i="19"/>
  <c r="K3074" i="19"/>
  <c r="I3081" i="19"/>
  <c r="K3081" i="19"/>
  <c r="I2949" i="19"/>
  <c r="K2949" i="19"/>
  <c r="I2956" i="19"/>
  <c r="K2956" i="19"/>
  <c r="F2963" i="19"/>
  <c r="H2963" i="19"/>
  <c r="I2970" i="19"/>
  <c r="K2970" i="19"/>
  <c r="I3005" i="19"/>
  <c r="K3005" i="19"/>
  <c r="I5760" i="19"/>
  <c r="K5760" i="19"/>
  <c r="I5804" i="19"/>
  <c r="K5804" i="19"/>
  <c r="I5826" i="19"/>
  <c r="K5826" i="19"/>
  <c r="I5833" i="19"/>
  <c r="K5833" i="19"/>
  <c r="I5840" i="19"/>
  <c r="K5840" i="19"/>
  <c r="I5861" i="19"/>
  <c r="K5861" i="19"/>
  <c r="I5639" i="19"/>
  <c r="K5639" i="19"/>
  <c r="I5683" i="19"/>
  <c r="K5683" i="19"/>
  <c r="I5698" i="19"/>
  <c r="K5698" i="19"/>
  <c r="I5705" i="19"/>
  <c r="K5705" i="19"/>
  <c r="I5712" i="19"/>
  <c r="K5712" i="19"/>
  <c r="I5727" i="19"/>
  <c r="K5727" i="19"/>
  <c r="I5741" i="19"/>
  <c r="K5741" i="19"/>
  <c r="I2881" i="19"/>
  <c r="K2881" i="19"/>
  <c r="I2895" i="19"/>
  <c r="K2895" i="19"/>
  <c r="I2736" i="19"/>
  <c r="K2736" i="19"/>
  <c r="I2743" i="19"/>
  <c r="K2743" i="19"/>
  <c r="I2752" i="19"/>
  <c r="K2752" i="19"/>
  <c r="F2758" i="19"/>
  <c r="H2758" i="19"/>
  <c r="I2765" i="19"/>
  <c r="K2765" i="19"/>
  <c r="I2780" i="19"/>
  <c r="K2780" i="19"/>
  <c r="I2811" i="19"/>
  <c r="K2811" i="19"/>
  <c r="I2625" i="19"/>
  <c r="K2625" i="19"/>
  <c r="I2638" i="19"/>
  <c r="K2638" i="19"/>
  <c r="I2672" i="19"/>
  <c r="K2672" i="19"/>
  <c r="I2685" i="19"/>
  <c r="K2685" i="19"/>
  <c r="I2698" i="19"/>
  <c r="K2698" i="19"/>
  <c r="I2514" i="19"/>
  <c r="K2514" i="19"/>
  <c r="I2527" i="19"/>
  <c r="K2527" i="19"/>
  <c r="I2553" i="19"/>
  <c r="K2553" i="19"/>
  <c r="I2579" i="19"/>
  <c r="K2579" i="19"/>
  <c r="I5023" i="19"/>
  <c r="K5023" i="19"/>
  <c r="I5300" i="19"/>
  <c r="K5300" i="19"/>
  <c r="I5313" i="19"/>
  <c r="K5313" i="19"/>
  <c r="I4070" i="19"/>
  <c r="K4070" i="19"/>
  <c r="I4177" i="19"/>
  <c r="K4177" i="19"/>
  <c r="I4257" i="19"/>
  <c r="K4257" i="19"/>
  <c r="I4294" i="19"/>
  <c r="K4294" i="19"/>
  <c r="I4387" i="19"/>
  <c r="K4387" i="19"/>
  <c r="I2114" i="19"/>
  <c r="K2114" i="19"/>
  <c r="I2155" i="19"/>
  <c r="K2155" i="19"/>
  <c r="I2193" i="19"/>
  <c r="K2193" i="19"/>
  <c r="I2206" i="19"/>
  <c r="K2206" i="19"/>
  <c r="I2351" i="19"/>
  <c r="K2351" i="19"/>
  <c r="I2393" i="19"/>
  <c r="K2393" i="19"/>
  <c r="I2480" i="19"/>
  <c r="K2480" i="19"/>
  <c r="I1316" i="19"/>
  <c r="K1316" i="19"/>
  <c r="I1409" i="19"/>
  <c r="K1409" i="19"/>
  <c r="I1507" i="19"/>
  <c r="K1507" i="19"/>
  <c r="I1532" i="19"/>
  <c r="K1532" i="19"/>
  <c r="I1544" i="19"/>
  <c r="K1544" i="19"/>
  <c r="I1657" i="19"/>
  <c r="K1657" i="19"/>
  <c r="I1679" i="19"/>
  <c r="K1679" i="19"/>
  <c r="I1736" i="19"/>
  <c r="K1736" i="19"/>
  <c r="I1831" i="19"/>
  <c r="K1831" i="19"/>
  <c r="I1843" i="19"/>
  <c r="K1843" i="19"/>
  <c r="I1862" i="19"/>
  <c r="K1862" i="19"/>
  <c r="I1886" i="19"/>
  <c r="K1886" i="19"/>
  <c r="I1906" i="19"/>
  <c r="K1906" i="19"/>
  <c r="I1950" i="19"/>
  <c r="K1950" i="19"/>
  <c r="I1992" i="19"/>
  <c r="K1992" i="19"/>
  <c r="I2011" i="19"/>
  <c r="K2011" i="19"/>
  <c r="I3706" i="19"/>
  <c r="K3706" i="19"/>
  <c r="I3724" i="19"/>
  <c r="K3724" i="19"/>
  <c r="I3734" i="19"/>
  <c r="K3734" i="19"/>
  <c r="I3792" i="19"/>
  <c r="K3792" i="19"/>
  <c r="I3812" i="19"/>
  <c r="K3812" i="19"/>
  <c r="I3867" i="19"/>
  <c r="K3867" i="19"/>
  <c r="I3875" i="19"/>
  <c r="K3875" i="19"/>
  <c r="I3883" i="19"/>
  <c r="K3883" i="19"/>
  <c r="I3516" i="19"/>
  <c r="K3516" i="19"/>
  <c r="I3524" i="19"/>
  <c r="K3524" i="19"/>
  <c r="I3532" i="19"/>
  <c r="K3532" i="19"/>
  <c r="I3550" i="19"/>
  <c r="K3550" i="19"/>
  <c r="I3603" i="19"/>
  <c r="K3603" i="19"/>
  <c r="I3611" i="19"/>
  <c r="K3611" i="19"/>
  <c r="I3620" i="19"/>
  <c r="K3620" i="19"/>
  <c r="I3628" i="19"/>
  <c r="K3628" i="19"/>
  <c r="I3637" i="19"/>
  <c r="K3637" i="19"/>
  <c r="I3645" i="19"/>
  <c r="K3645" i="19"/>
  <c r="I3278" i="19"/>
  <c r="K3278" i="19"/>
  <c r="I633" i="19"/>
  <c r="K633" i="19"/>
  <c r="I703" i="19"/>
  <c r="K703" i="19"/>
  <c r="I5381" i="19"/>
  <c r="K5381" i="19"/>
  <c r="I5495" i="19"/>
  <c r="K5495" i="19"/>
  <c r="I4631" i="19"/>
  <c r="K4631" i="19"/>
  <c r="I4648" i="19"/>
  <c r="K4648" i="19"/>
  <c r="I4745" i="19"/>
  <c r="K4745" i="19"/>
  <c r="I4922" i="19"/>
  <c r="K4922" i="19"/>
  <c r="I4997" i="19"/>
  <c r="K4997" i="19"/>
  <c r="I3931" i="19"/>
  <c r="K3931" i="19"/>
  <c r="I4111" i="19"/>
  <c r="K4111" i="19"/>
  <c r="I4151" i="19"/>
  <c r="K4151" i="19"/>
  <c r="I4439" i="19"/>
  <c r="K4439" i="19"/>
  <c r="I2034" i="19"/>
  <c r="K2034" i="19"/>
  <c r="I2060" i="19"/>
  <c r="K2060" i="19"/>
  <c r="I2073" i="19"/>
  <c r="K2073" i="19"/>
  <c r="I2143" i="19"/>
  <c r="K2143" i="19"/>
  <c r="I2233" i="19"/>
  <c r="K2233" i="19"/>
  <c r="I2298" i="19"/>
  <c r="K2298" i="19"/>
  <c r="I2352" i="19"/>
  <c r="K2352" i="19"/>
  <c r="I2441" i="19"/>
  <c r="K2441" i="19"/>
  <c r="I1461" i="19"/>
  <c r="K1461" i="19"/>
  <c r="I1717" i="19"/>
  <c r="K1717" i="19"/>
  <c r="I1794" i="19"/>
  <c r="K1794" i="19"/>
  <c r="I1804" i="19"/>
  <c r="K1804" i="19"/>
  <c r="I1813" i="19"/>
  <c r="K1813" i="19"/>
  <c r="I1844" i="19"/>
  <c r="K1844" i="19"/>
  <c r="I1930" i="19"/>
  <c r="K1930" i="19"/>
  <c r="I1969" i="19"/>
  <c r="K1969" i="19"/>
  <c r="I2012" i="19"/>
  <c r="K2012" i="19"/>
  <c r="I3697" i="19"/>
  <c r="K3697" i="19"/>
  <c r="I3754" i="19"/>
  <c r="K3754" i="19"/>
  <c r="I3764" i="19"/>
  <c r="K3764" i="19"/>
  <c r="I3783" i="19"/>
  <c r="K3783" i="19"/>
  <c r="I3821" i="19"/>
  <c r="K3821" i="19"/>
  <c r="I3840" i="19"/>
  <c r="K3840" i="19"/>
  <c r="I3858" i="19"/>
  <c r="K3858" i="19"/>
  <c r="I3901" i="19"/>
  <c r="K3901" i="19"/>
  <c r="I3472" i="19"/>
  <c r="K3472" i="19"/>
  <c r="I3499" i="19"/>
  <c r="K3499" i="19"/>
  <c r="I3542" i="19"/>
  <c r="K3542" i="19"/>
  <c r="I3578" i="19"/>
  <c r="K3578" i="19"/>
  <c r="I3654" i="19"/>
  <c r="K3654" i="19"/>
  <c r="I3295" i="19"/>
  <c r="K3295" i="19"/>
  <c r="I3384" i="19"/>
  <c r="K3384" i="19"/>
  <c r="I3408" i="19"/>
  <c r="K3408" i="19"/>
  <c r="I3458" i="19"/>
  <c r="K3458" i="19"/>
  <c r="I3119" i="19"/>
  <c r="K3119" i="19"/>
  <c r="I3126" i="19"/>
  <c r="K3126" i="19"/>
  <c r="I3149" i="19"/>
  <c r="K3149" i="19"/>
  <c r="I3157" i="19"/>
  <c r="K3157" i="19"/>
  <c r="I3173" i="19"/>
  <c r="K3173" i="19"/>
  <c r="I3188" i="19"/>
  <c r="K3188" i="19"/>
  <c r="I3201" i="19"/>
  <c r="K3201" i="19"/>
  <c r="I3208" i="19"/>
  <c r="K3208" i="19"/>
  <c r="I3251" i="19"/>
  <c r="K3251" i="19"/>
  <c r="I3258" i="19"/>
  <c r="K3258" i="19"/>
  <c r="I3017" i="19"/>
  <c r="K3017" i="19"/>
  <c r="I2964" i="19"/>
  <c r="K2964" i="19"/>
  <c r="I2991" i="19"/>
  <c r="K2991" i="19"/>
  <c r="I2998" i="19"/>
  <c r="K2998" i="19"/>
  <c r="I5776" i="19"/>
  <c r="K5776" i="19"/>
  <c r="I5812" i="19"/>
  <c r="K5812" i="19"/>
  <c r="I5827" i="19"/>
  <c r="K5827" i="19"/>
  <c r="I5655" i="19"/>
  <c r="K5655" i="19"/>
  <c r="I5662" i="19"/>
  <c r="K5662" i="19"/>
  <c r="I5742" i="19"/>
  <c r="K5742" i="19"/>
  <c r="I2825" i="19"/>
  <c r="K2825" i="19"/>
  <c r="I2868" i="19"/>
  <c r="K2868" i="19"/>
  <c r="I2875" i="19"/>
  <c r="K2875" i="19"/>
  <c r="I2889" i="19"/>
  <c r="K2889" i="19"/>
  <c r="I2903" i="19"/>
  <c r="K2903" i="19"/>
  <c r="I2716" i="19"/>
  <c r="K2716" i="19"/>
  <c r="I2759" i="19"/>
  <c r="K2759" i="19"/>
  <c r="I2794" i="19"/>
  <c r="K2794" i="19"/>
  <c r="I2800" i="19"/>
  <c r="K2800" i="19"/>
  <c r="I2806" i="19"/>
  <c r="K2806" i="19"/>
  <c r="I2812" i="19"/>
  <c r="K2812" i="19"/>
  <c r="I2619" i="19"/>
  <c r="K2619" i="19"/>
  <c r="I2626" i="19"/>
  <c r="K2626" i="19"/>
  <c r="I2666" i="19"/>
  <c r="K2666" i="19"/>
  <c r="I2679" i="19"/>
  <c r="K2679" i="19"/>
  <c r="I2699" i="19"/>
  <c r="K2699" i="19"/>
  <c r="I2705" i="19"/>
  <c r="K2705" i="19"/>
  <c r="I4551" i="19"/>
  <c r="K4551" i="19"/>
  <c r="I4665" i="19"/>
  <c r="K4665" i="19"/>
  <c r="I4953" i="19"/>
  <c r="K4953" i="19"/>
  <c r="I5167" i="19"/>
  <c r="K5167" i="19"/>
  <c r="I5197" i="19"/>
  <c r="K5197" i="19"/>
  <c r="I5287" i="19"/>
  <c r="K5287" i="19"/>
  <c r="I4270" i="19"/>
  <c r="K4270" i="19"/>
  <c r="I4282" i="19"/>
  <c r="K4282" i="19"/>
  <c r="I4309" i="19"/>
  <c r="K4309" i="19"/>
  <c r="I2221" i="19"/>
  <c r="K2221" i="19"/>
  <c r="I2482" i="19"/>
  <c r="K2482" i="19"/>
  <c r="I1331" i="19"/>
  <c r="K1331" i="19"/>
  <c r="I1436" i="19"/>
  <c r="K1436" i="19"/>
  <c r="I1648" i="19"/>
  <c r="K1648" i="19"/>
  <c r="I1699" i="19"/>
  <c r="K1699" i="19"/>
  <c r="I1756" i="19"/>
  <c r="K1756" i="19"/>
  <c r="I1845" i="19"/>
  <c r="K1845" i="19"/>
  <c r="F1868" i="19"/>
  <c r="H1868" i="19"/>
  <c r="I1887" i="19"/>
  <c r="K1887" i="19"/>
  <c r="I1908" i="19"/>
  <c r="K1908" i="19"/>
  <c r="I1951" i="19"/>
  <c r="K1951" i="19"/>
  <c r="I3774" i="19"/>
  <c r="K3774" i="19"/>
  <c r="I3893" i="19"/>
  <c r="K3893" i="19"/>
  <c r="I3517" i="19"/>
  <c r="K3517" i="19"/>
  <c r="I3525" i="19"/>
  <c r="K3525" i="19"/>
  <c r="I3586" i="19"/>
  <c r="K3586" i="19"/>
  <c r="I3595" i="19"/>
  <c r="K3595" i="19"/>
  <c r="I3662" i="19"/>
  <c r="K3662" i="19"/>
  <c r="I3679" i="19"/>
  <c r="K3679" i="19"/>
  <c r="I3303" i="19"/>
  <c r="K3303" i="19"/>
  <c r="I3320" i="19"/>
  <c r="K3320" i="19"/>
  <c r="I3336" i="19"/>
  <c r="K3336" i="19"/>
  <c r="I3360" i="19"/>
  <c r="K3360" i="19"/>
  <c r="I3400" i="19"/>
  <c r="K3400" i="19"/>
  <c r="I3424" i="19"/>
  <c r="K3424" i="19"/>
  <c r="I3441" i="19"/>
  <c r="K3441" i="19"/>
  <c r="I3096" i="19"/>
  <c r="K3096" i="19"/>
  <c r="I3244" i="19"/>
  <c r="K3244" i="19"/>
  <c r="I3266" i="19"/>
  <c r="K3266" i="19"/>
  <c r="I3273" i="19"/>
  <c r="K3273" i="19"/>
  <c r="I3024" i="19"/>
  <c r="K3024" i="19"/>
  <c r="I3046" i="19"/>
  <c r="K3046" i="19"/>
  <c r="I3061" i="19"/>
  <c r="K3061" i="19"/>
  <c r="I3068" i="19"/>
  <c r="K3068" i="19"/>
  <c r="I3075" i="19"/>
  <c r="K3075" i="19"/>
  <c r="I2950" i="19"/>
  <c r="K2950" i="19"/>
  <c r="I4602" i="19"/>
  <c r="K4602" i="19"/>
  <c r="I4940" i="19"/>
  <c r="K4940" i="19"/>
  <c r="I3992" i="19"/>
  <c r="K3992" i="19"/>
  <c r="I4046" i="19"/>
  <c r="K4046" i="19"/>
  <c r="I4102" i="19"/>
  <c r="K4102" i="19"/>
  <c r="I4127" i="19"/>
  <c r="K4127" i="19"/>
  <c r="I4180" i="19"/>
  <c r="K4180" i="19"/>
  <c r="I4205" i="19"/>
  <c r="K4205" i="19"/>
  <c r="I4246" i="19"/>
  <c r="K4246" i="19"/>
  <c r="I4259" i="19"/>
  <c r="K4259" i="19"/>
  <c r="I4377" i="19"/>
  <c r="K4377" i="19"/>
  <c r="I4402" i="19"/>
  <c r="K4402" i="19"/>
  <c r="I4467" i="19"/>
  <c r="K4467" i="19"/>
  <c r="I4480" i="19"/>
  <c r="K4480" i="19"/>
  <c r="I2184" i="19"/>
  <c r="K2184" i="19"/>
  <c r="I2209" i="19"/>
  <c r="K2209" i="19"/>
  <c r="I2359" i="19"/>
  <c r="K2359" i="19"/>
  <c r="I2406" i="19"/>
  <c r="K2406" i="19"/>
  <c r="I1474" i="19"/>
  <c r="K1474" i="19"/>
  <c r="I1486" i="19"/>
  <c r="K1486" i="19"/>
  <c r="I1523" i="19"/>
  <c r="K1523" i="19"/>
  <c r="I1649" i="19"/>
  <c r="K1649" i="19"/>
  <c r="I1700" i="19"/>
  <c r="K1700" i="19"/>
  <c r="I1718" i="19"/>
  <c r="K1718" i="19"/>
  <c r="I1728" i="19"/>
  <c r="K1728" i="19"/>
  <c r="I1747" i="19"/>
  <c r="K1747" i="19"/>
  <c r="I1766" i="19"/>
  <c r="K1766" i="19"/>
  <c r="I1806" i="19"/>
  <c r="K1806" i="19"/>
  <c r="I1824" i="19"/>
  <c r="K1824" i="19"/>
  <c r="I1870" i="19"/>
  <c r="K1870" i="19"/>
  <c r="I1888" i="19"/>
  <c r="K1888" i="19"/>
  <c r="I1910" i="19"/>
  <c r="K1910" i="19"/>
  <c r="I1977" i="19"/>
  <c r="K1977" i="19"/>
  <c r="I2018" i="19"/>
  <c r="K2018" i="19"/>
  <c r="I3690" i="19"/>
  <c r="K3690" i="19"/>
  <c r="I3717" i="19"/>
  <c r="K3717" i="19"/>
  <c r="I3775" i="19"/>
  <c r="K3775" i="19"/>
  <c r="I3785" i="19"/>
  <c r="K3785" i="19"/>
  <c r="I3804" i="19"/>
  <c r="K3804" i="19"/>
  <c r="I3823" i="19"/>
  <c r="K3823" i="19"/>
  <c r="I3832" i="19"/>
  <c r="K3832" i="19"/>
  <c r="I3509" i="19"/>
  <c r="K3509" i="19"/>
  <c r="F3525" i="19"/>
  <c r="H3525" i="19"/>
  <c r="I3571" i="19"/>
  <c r="K3571" i="19"/>
  <c r="I3579" i="19"/>
  <c r="K3579" i="19"/>
  <c r="I3596" i="19"/>
  <c r="K3596" i="19"/>
  <c r="I3639" i="19"/>
  <c r="K3639" i="19"/>
  <c r="I3655" i="19"/>
  <c r="K3655" i="19"/>
  <c r="F3679" i="19"/>
  <c r="H3679" i="19"/>
  <c r="Q3679" i="19"/>
  <c r="R3679" i="19"/>
  <c r="I3288" i="19"/>
  <c r="K3288" i="19"/>
  <c r="I376" i="19"/>
  <c r="K376" i="19"/>
  <c r="I498" i="19"/>
  <c r="K498" i="19"/>
  <c r="I4538" i="19"/>
  <c r="K4538" i="19"/>
  <c r="I4734" i="19"/>
  <c r="K4734" i="19"/>
  <c r="I4954" i="19"/>
  <c r="K4954" i="19"/>
  <c r="I4999" i="19"/>
  <c r="K4999" i="19"/>
  <c r="I3919" i="19"/>
  <c r="K3919" i="19"/>
  <c r="I4035" i="19"/>
  <c r="K4035" i="19"/>
  <c r="I4195" i="19"/>
  <c r="K4195" i="19"/>
  <c r="I4272" i="19"/>
  <c r="K4272" i="19"/>
  <c r="I4431" i="19"/>
  <c r="K4431" i="19"/>
  <c r="I2222" i="19"/>
  <c r="K2222" i="19"/>
  <c r="I2277" i="19"/>
  <c r="K2277" i="19"/>
  <c r="I2319" i="19"/>
  <c r="K2319" i="19"/>
  <c r="I2410" i="19"/>
  <c r="K2410" i="19"/>
  <c r="I2495" i="19"/>
  <c r="K2495" i="19"/>
  <c r="I1387" i="19"/>
  <c r="K1387" i="19"/>
  <c r="I1400" i="19"/>
  <c r="K1400" i="19"/>
  <c r="I1499" i="19"/>
  <c r="K1499" i="19"/>
  <c r="I1561" i="19"/>
  <c r="K1561" i="19"/>
  <c r="I1583" i="19"/>
  <c r="K1583" i="19"/>
  <c r="I1595" i="19"/>
  <c r="K1595" i="19"/>
  <c r="I1639" i="19"/>
  <c r="K1639" i="19"/>
  <c r="I1757" i="19"/>
  <c r="K1757" i="19"/>
  <c r="I1786" i="19"/>
  <c r="K1786" i="19"/>
  <c r="I1815" i="19"/>
  <c r="K1815" i="19"/>
  <c r="I1849" i="19"/>
  <c r="K1849" i="19"/>
  <c r="I1889" i="19"/>
  <c r="K1889" i="19"/>
  <c r="I1932" i="19"/>
  <c r="K1932" i="19"/>
  <c r="I1955" i="19"/>
  <c r="K1955" i="19"/>
  <c r="I1997" i="19"/>
  <c r="K1997" i="19"/>
  <c r="I3699" i="19"/>
  <c r="K3699" i="19"/>
  <c r="I3727" i="19"/>
  <c r="K3727" i="19"/>
  <c r="I3747" i="19"/>
  <c r="K3747" i="19"/>
  <c r="I3894" i="19"/>
  <c r="K3894" i="19"/>
  <c r="I3903" i="19"/>
  <c r="K3903" i="19"/>
  <c r="I3474" i="19"/>
  <c r="K3474" i="19"/>
  <c r="I3482" i="19"/>
  <c r="K3482" i="19"/>
  <c r="I3491" i="19"/>
  <c r="K3491" i="19"/>
  <c r="I3518" i="19"/>
  <c r="K3518" i="19"/>
  <c r="I3544" i="19"/>
  <c r="K3544" i="19"/>
  <c r="I3553" i="19"/>
  <c r="K3553" i="19"/>
  <c r="I3587" i="19"/>
  <c r="K3587" i="19"/>
  <c r="I5419" i="19"/>
  <c r="K5419" i="19"/>
  <c r="I4554" i="19"/>
  <c r="K4554" i="19"/>
  <c r="I4571" i="19"/>
  <c r="K4571" i="19"/>
  <c r="I5318" i="19"/>
  <c r="K5318" i="19"/>
  <c r="I4972" i="19"/>
  <c r="K4972" i="19"/>
  <c r="I5215" i="19"/>
  <c r="K5215" i="19"/>
  <c r="I3981" i="19"/>
  <c r="K3981" i="19"/>
  <c r="I4091" i="19"/>
  <c r="K4091" i="19"/>
  <c r="I4103" i="19"/>
  <c r="K4103" i="19"/>
  <c r="I4143" i="19"/>
  <c r="K4143" i="19"/>
  <c r="I4196" i="19"/>
  <c r="K4196" i="19"/>
  <c r="I4261" i="19"/>
  <c r="K4261" i="19"/>
  <c r="I4326" i="19"/>
  <c r="K4326" i="19"/>
  <c r="I4354" i="19"/>
  <c r="K4354" i="19"/>
  <c r="I2185" i="19"/>
  <c r="K2185" i="19"/>
  <c r="I2322" i="19"/>
  <c r="K2322" i="19"/>
  <c r="I2372" i="19"/>
  <c r="K2372" i="19"/>
  <c r="I1296" i="19"/>
  <c r="K1296" i="19"/>
  <c r="I1350" i="19"/>
  <c r="K1350" i="19"/>
  <c r="I1415" i="19"/>
  <c r="K1415" i="19"/>
  <c r="I1465" i="19"/>
  <c r="K1465" i="19"/>
  <c r="I1549" i="19"/>
  <c r="K1549" i="19"/>
  <c r="I1562" i="19"/>
  <c r="K1562" i="19"/>
  <c r="I1630" i="19"/>
  <c r="K1630" i="19"/>
  <c r="I1650" i="19"/>
  <c r="K1650" i="19"/>
  <c r="I1672" i="19"/>
  <c r="K1672" i="19"/>
  <c r="I1729" i="19"/>
  <c r="K1729" i="19"/>
  <c r="I1777" i="19"/>
  <c r="K1777" i="19"/>
  <c r="I1798" i="19"/>
  <c r="K1798" i="19"/>
  <c r="I1807" i="19"/>
  <c r="K1807" i="19"/>
  <c r="I1825" i="19"/>
  <c r="K1825" i="19"/>
  <c r="I1916" i="19"/>
  <c r="K1916" i="19"/>
  <c r="I1935" i="19"/>
  <c r="K1935" i="19"/>
  <c r="I1956" i="19"/>
  <c r="K1956" i="19"/>
  <c r="I3787" i="19"/>
  <c r="K3787" i="19"/>
  <c r="I3805" i="19"/>
  <c r="K3805" i="19"/>
  <c r="I3510" i="19"/>
  <c r="K3510" i="19"/>
  <c r="I3572" i="19"/>
  <c r="K3572" i="19"/>
  <c r="I3580" i="19"/>
  <c r="K3580" i="19"/>
  <c r="I3597" i="19"/>
  <c r="K3597" i="19"/>
  <c r="I3640" i="19"/>
  <c r="K3640" i="19"/>
  <c r="I3648" i="19"/>
  <c r="K3648" i="19"/>
  <c r="I452" i="19"/>
  <c r="K452" i="19"/>
  <c r="I251" i="19"/>
  <c r="K251" i="19"/>
  <c r="I4913" i="19"/>
  <c r="K4913" i="19"/>
  <c r="I5127" i="19"/>
  <c r="K5127" i="19"/>
  <c r="I5209" i="19"/>
  <c r="K5209" i="19"/>
  <c r="I5260" i="19"/>
  <c r="K5260" i="19"/>
  <c r="I5337" i="19"/>
  <c r="K5337" i="19"/>
  <c r="I4144" i="19"/>
  <c r="K4144" i="19"/>
  <c r="I4173" i="19"/>
  <c r="K4173" i="19"/>
  <c r="I4437" i="19"/>
  <c r="K4437" i="19"/>
  <c r="I2099" i="19"/>
  <c r="K2099" i="19"/>
  <c r="I2248" i="19"/>
  <c r="K2248" i="19"/>
  <c r="I2289" i="19"/>
  <c r="K2289" i="19"/>
  <c r="I2474" i="19"/>
  <c r="K2474" i="19"/>
  <c r="I1267" i="19"/>
  <c r="K1267" i="19"/>
  <c r="I1541" i="19"/>
  <c r="K1541" i="19"/>
  <c r="I1623" i="19"/>
  <c r="K1623" i="19"/>
  <c r="I1674" i="19"/>
  <c r="K1674" i="19"/>
  <c r="I1696" i="19"/>
  <c r="K1696" i="19"/>
  <c r="I1842" i="19"/>
  <c r="K1842" i="19"/>
  <c r="I1946" i="19"/>
  <c r="K1946" i="19"/>
  <c r="I2021" i="19"/>
  <c r="K2021" i="19"/>
  <c r="I3749" i="19"/>
  <c r="K3749" i="19"/>
  <c r="I3810" i="19"/>
  <c r="K3810" i="19"/>
  <c r="I3833" i="19"/>
  <c r="K3833" i="19"/>
  <c r="I3845" i="19"/>
  <c r="K3845" i="19"/>
  <c r="I3855" i="19"/>
  <c r="K3855" i="19"/>
  <c r="I3908" i="19"/>
  <c r="K3908" i="19"/>
  <c r="I3493" i="19"/>
  <c r="K3493" i="19"/>
  <c r="I3548" i="19"/>
  <c r="K3548" i="19"/>
  <c r="I3557" i="19"/>
  <c r="K3557" i="19"/>
  <c r="I3604" i="19"/>
  <c r="K3604" i="19"/>
  <c r="I3317" i="19"/>
  <c r="K3317" i="19"/>
  <c r="I3334" i="19"/>
  <c r="K3334" i="19"/>
  <c r="I3377" i="19"/>
  <c r="K3377" i="19"/>
  <c r="I3404" i="19"/>
  <c r="K3404" i="19"/>
  <c r="I3422" i="19"/>
  <c r="K3422" i="19"/>
  <c r="F3113" i="19"/>
  <c r="H3113" i="19"/>
  <c r="I3206" i="19"/>
  <c r="K3206" i="19"/>
  <c r="F3213" i="19"/>
  <c r="H3213" i="19"/>
  <c r="I3228" i="19"/>
  <c r="K3228" i="19"/>
  <c r="I3236" i="19"/>
  <c r="K3236" i="19"/>
  <c r="I3269" i="19"/>
  <c r="K3269" i="19"/>
  <c r="I3007" i="19"/>
  <c r="K3007" i="19"/>
  <c r="I3014" i="19"/>
  <c r="K3014" i="19"/>
  <c r="I3038" i="19"/>
  <c r="K3038" i="19"/>
  <c r="I2925" i="19"/>
  <c r="K2925" i="19"/>
  <c r="I2940" i="19"/>
  <c r="K2940" i="19"/>
  <c r="I2965" i="19"/>
  <c r="K2965" i="19"/>
  <c r="I2994" i="19"/>
  <c r="K2994" i="19"/>
  <c r="I5781" i="19"/>
  <c r="K5781" i="19"/>
  <c r="I5813" i="19"/>
  <c r="K5813" i="19"/>
  <c r="I5821" i="19"/>
  <c r="K5821" i="19"/>
  <c r="I5852" i="19"/>
  <c r="K5852" i="19"/>
  <c r="I5859" i="19"/>
  <c r="K5859" i="19"/>
  <c r="I5866" i="19"/>
  <c r="K5866" i="19"/>
  <c r="I5638" i="19"/>
  <c r="K5638" i="19"/>
  <c r="I5676" i="19"/>
  <c r="K5676" i="19"/>
  <c r="I5700" i="19"/>
  <c r="K5700" i="19"/>
  <c r="I2853" i="19"/>
  <c r="K2853" i="19"/>
  <c r="I2876" i="19"/>
  <c r="K2876" i="19"/>
  <c r="I2883" i="19"/>
  <c r="K2883" i="19"/>
  <c r="I2746" i="19"/>
  <c r="K2746" i="19"/>
  <c r="I2714" i="19"/>
  <c r="K2714" i="19"/>
  <c r="I2728" i="19"/>
  <c r="K2728" i="19"/>
  <c r="I2753" i="19"/>
  <c r="K2753" i="19"/>
  <c r="I2768" i="19"/>
  <c r="K2768" i="19"/>
  <c r="I2783" i="19"/>
  <c r="K2783" i="19"/>
  <c r="I2810" i="19"/>
  <c r="K2810" i="19"/>
  <c r="I2611" i="19"/>
  <c r="K2611" i="19"/>
  <c r="I2633" i="19"/>
  <c r="K2633" i="19"/>
  <c r="F2648" i="19"/>
  <c r="H2648" i="19"/>
  <c r="I2655" i="19"/>
  <c r="K2655" i="19"/>
  <c r="I2669" i="19"/>
  <c r="K2669" i="19"/>
  <c r="I2676" i="19"/>
  <c r="K2676" i="19"/>
  <c r="I2521" i="19"/>
  <c r="K2521" i="19"/>
  <c r="I2528" i="19"/>
  <c r="K2528" i="19"/>
  <c r="I2534" i="19"/>
  <c r="K2534" i="19"/>
  <c r="I2540" i="19"/>
  <c r="K2540" i="19"/>
  <c r="I2582" i="19"/>
  <c r="K2582" i="19"/>
  <c r="I2589" i="19"/>
  <c r="K2589" i="19"/>
  <c r="I2595" i="19"/>
  <c r="K2595" i="19"/>
  <c r="I2608" i="19"/>
  <c r="K2608" i="19"/>
  <c r="I751" i="19"/>
  <c r="K751" i="19"/>
  <c r="I2055" i="19"/>
  <c r="K2055" i="19"/>
  <c r="I2085" i="19"/>
  <c r="K2085" i="19"/>
  <c r="I2290" i="19"/>
  <c r="K2290" i="19"/>
  <c r="I2304" i="19"/>
  <c r="K2304" i="19"/>
  <c r="I2414" i="19"/>
  <c r="K2414" i="19"/>
  <c r="I2476" i="19"/>
  <c r="K2476" i="19"/>
  <c r="I1445" i="19"/>
  <c r="K1445" i="19"/>
  <c r="I1514" i="19"/>
  <c r="K1514" i="19"/>
  <c r="I1571" i="19"/>
  <c r="K1571" i="19"/>
  <c r="I1598" i="19"/>
  <c r="K1598" i="19"/>
  <c r="I1612" i="19"/>
  <c r="K1612" i="19"/>
  <c r="I1675" i="19"/>
  <c r="K1675" i="19"/>
  <c r="I1721" i="19"/>
  <c r="K1721" i="19"/>
  <c r="I1769" i="19"/>
  <c r="K1769" i="19"/>
  <c r="I1817" i="19"/>
  <c r="K1817" i="19"/>
  <c r="I1952" i="19"/>
  <c r="K1952" i="19"/>
  <c r="I3694" i="19"/>
  <c r="K3694" i="19"/>
  <c r="I3750" i="19"/>
  <c r="K3750" i="19"/>
  <c r="I3788" i="19"/>
  <c r="K3788" i="19"/>
  <c r="I3583" i="19"/>
  <c r="K3583" i="19"/>
  <c r="I3593" i="19"/>
  <c r="K3593" i="19"/>
  <c r="I3605" i="19"/>
  <c r="K3605" i="19"/>
  <c r="I3615" i="19"/>
  <c r="K3615" i="19"/>
  <c r="I3667" i="19"/>
  <c r="K3667" i="19"/>
  <c r="I3353" i="19"/>
  <c r="K3353" i="19"/>
  <c r="I3361" i="19"/>
  <c r="K3361" i="19"/>
  <c r="I3396" i="19"/>
  <c r="K3396" i="19"/>
  <c r="I3459" i="19"/>
  <c r="K3459" i="19"/>
  <c r="I3114" i="19"/>
  <c r="K3114" i="19"/>
  <c r="I3139" i="19"/>
  <c r="K3139" i="19"/>
  <c r="I3147" i="19"/>
  <c r="K3147" i="19"/>
  <c r="I3191" i="19"/>
  <c r="K3191" i="19"/>
  <c r="I3198" i="19"/>
  <c r="K3198" i="19"/>
  <c r="I3214" i="19"/>
  <c r="K3214" i="19"/>
  <c r="I3237" i="19"/>
  <c r="K3237" i="19"/>
  <c r="I3254" i="19"/>
  <c r="K3254" i="19"/>
  <c r="I3262" i="19"/>
  <c r="K3262" i="19"/>
  <c r="F3269" i="19"/>
  <c r="H3269" i="19"/>
  <c r="I3039" i="19"/>
  <c r="K3039" i="19"/>
  <c r="I3087" i="19"/>
  <c r="K3087" i="19"/>
  <c r="I2973" i="19"/>
  <c r="K2973" i="19"/>
  <c r="I3003" i="19"/>
  <c r="K3003" i="19"/>
  <c r="I5790" i="19"/>
  <c r="K5790" i="19"/>
  <c r="I396" i="19"/>
  <c r="K396" i="19"/>
  <c r="I5448" i="19"/>
  <c r="K5448" i="19"/>
  <c r="I4883" i="19"/>
  <c r="K4883" i="19"/>
  <c r="I4040" i="19"/>
  <c r="K4040" i="19"/>
  <c r="I4052" i="19"/>
  <c r="K4052" i="19"/>
  <c r="I4217" i="19"/>
  <c r="K4217" i="19"/>
  <c r="I4381" i="19"/>
  <c r="K4381" i="19"/>
  <c r="I2146" i="19"/>
  <c r="K2146" i="19"/>
  <c r="I2278" i="19"/>
  <c r="K2278" i="19"/>
  <c r="I2417" i="19"/>
  <c r="K2417" i="19"/>
  <c r="I1284" i="19"/>
  <c r="K1284" i="19"/>
  <c r="I1314" i="19"/>
  <c r="K1314" i="19"/>
  <c r="I1459" i="19"/>
  <c r="K1459" i="19"/>
  <c r="I1501" i="19"/>
  <c r="K1501" i="19"/>
  <c r="I1624" i="19"/>
  <c r="K1624" i="19"/>
  <c r="I1687" i="19"/>
  <c r="K1687" i="19"/>
  <c r="I1782" i="19"/>
  <c r="K1782" i="19"/>
  <c r="I1854" i="19"/>
  <c r="K1854" i="19"/>
  <c r="I5433" i="19"/>
  <c r="K5433" i="19"/>
  <c r="I3998" i="19"/>
  <c r="K3998" i="19"/>
  <c r="I4041" i="19"/>
  <c r="K4041" i="19"/>
  <c r="I4251" i="19"/>
  <c r="K4251" i="19"/>
  <c r="I2103" i="19"/>
  <c r="K2103" i="19"/>
  <c r="I1302" i="19"/>
  <c r="K1302" i="19"/>
  <c r="I1433" i="19"/>
  <c r="K1433" i="19"/>
  <c r="I1710" i="19"/>
  <c r="K1710" i="19"/>
  <c r="I1758" i="19"/>
  <c r="K1758" i="19"/>
  <c r="I1795" i="19"/>
  <c r="K1795" i="19"/>
  <c r="I1818" i="19"/>
  <c r="K1818" i="19"/>
  <c r="I1856" i="19"/>
  <c r="K1856" i="19"/>
  <c r="I1991" i="19"/>
  <c r="K1991" i="19"/>
  <c r="I2026" i="19"/>
  <c r="K2026" i="19"/>
  <c r="I3719" i="19"/>
  <c r="K3719" i="19"/>
  <c r="I3751" i="19"/>
  <c r="K3751" i="19"/>
  <c r="I3789" i="19"/>
  <c r="K3789" i="19"/>
  <c r="I3824" i="19"/>
  <c r="K3824" i="19"/>
  <c r="I3890" i="19"/>
  <c r="K3890" i="19"/>
  <c r="I4616" i="19"/>
  <c r="K4616" i="19"/>
  <c r="I5005" i="19"/>
  <c r="K5005" i="19"/>
  <c r="I4000" i="19"/>
  <c r="K4000" i="19"/>
  <c r="I4369" i="19"/>
  <c r="K4369" i="19"/>
  <c r="I4430" i="19"/>
  <c r="K4430" i="19"/>
  <c r="I4457" i="19"/>
  <c r="K4457" i="19"/>
  <c r="I2074" i="19"/>
  <c r="K2074" i="19"/>
  <c r="I2180" i="19"/>
  <c r="K2180" i="19"/>
  <c r="I1389" i="19"/>
  <c r="K1389" i="19"/>
  <c r="I1666" i="19"/>
  <c r="K1666" i="19"/>
  <c r="I1702" i="19"/>
  <c r="K1702" i="19"/>
  <c r="I1859" i="19"/>
  <c r="K1859" i="19"/>
  <c r="I1924" i="19"/>
  <c r="K1924" i="19"/>
  <c r="I1965" i="19"/>
  <c r="K1965" i="19"/>
  <c r="I2000" i="19"/>
  <c r="K2000" i="19"/>
  <c r="I3698" i="19"/>
  <c r="K3698" i="19"/>
  <c r="I3709" i="19"/>
  <c r="K3709" i="19"/>
  <c r="I3731" i="19"/>
  <c r="K3731" i="19"/>
  <c r="I3742" i="19"/>
  <c r="K3742" i="19"/>
  <c r="I3467" i="19"/>
  <c r="K3467" i="19"/>
  <c r="I3520" i="19"/>
  <c r="K3520" i="19"/>
  <c r="I3530" i="19"/>
  <c r="K3530" i="19"/>
  <c r="F3329" i="19"/>
  <c r="H3329" i="19"/>
  <c r="I3355" i="19"/>
  <c r="K3355" i="19"/>
  <c r="I3364" i="19"/>
  <c r="K3364" i="19"/>
  <c r="I3435" i="19"/>
  <c r="K3435" i="19"/>
  <c r="I3092" i="19"/>
  <c r="K3092" i="19"/>
  <c r="I3125" i="19"/>
  <c r="K3125" i="19"/>
  <c r="I3217" i="19"/>
  <c r="K3217" i="19"/>
  <c r="I3232" i="19"/>
  <c r="K3232" i="19"/>
  <c r="I3264" i="19"/>
  <c r="K3264" i="19"/>
  <c r="I3272" i="19"/>
  <c r="K3272" i="19"/>
  <c r="I3026" i="19"/>
  <c r="K3026" i="19"/>
  <c r="I3050" i="19"/>
  <c r="K3050" i="19"/>
  <c r="I2929" i="19"/>
  <c r="K2929" i="19"/>
  <c r="I2952" i="19"/>
  <c r="K2952" i="19"/>
  <c r="I781" i="19"/>
  <c r="K781" i="19"/>
  <c r="I4841" i="19"/>
  <c r="K4841" i="19"/>
  <c r="I5282" i="19"/>
  <c r="K5282" i="19"/>
  <c r="I4299" i="19"/>
  <c r="K4299" i="19"/>
  <c r="I4328" i="19"/>
  <c r="K4328" i="19"/>
  <c r="I2135" i="19"/>
  <c r="K2135" i="19"/>
  <c r="I2151" i="19"/>
  <c r="K2151" i="19"/>
  <c r="I2241" i="19"/>
  <c r="K2241" i="19"/>
  <c r="I2270" i="19"/>
  <c r="K2270" i="19"/>
  <c r="I2374" i="19"/>
  <c r="K2374" i="19"/>
  <c r="I2438" i="19"/>
  <c r="K2438" i="19"/>
  <c r="I2506" i="19"/>
  <c r="K2506" i="19"/>
  <c r="I1274" i="19"/>
  <c r="K1274" i="19"/>
  <c r="I1375" i="19"/>
  <c r="K1375" i="19"/>
  <c r="I1478" i="19"/>
  <c r="K1478" i="19"/>
  <c r="I1492" i="19"/>
  <c r="K1492" i="19"/>
  <c r="I1603" i="19"/>
  <c r="K1603" i="19"/>
  <c r="I1680" i="19"/>
  <c r="K1680" i="19"/>
  <c r="I1810" i="19"/>
  <c r="K1810" i="19"/>
  <c r="I1834" i="19"/>
  <c r="K1834" i="19"/>
  <c r="I1898" i="19"/>
  <c r="K1898" i="19"/>
  <c r="I1931" i="19"/>
  <c r="K1931" i="19"/>
  <c r="I3791" i="19"/>
  <c r="K3791" i="19"/>
  <c r="I3816" i="19"/>
  <c r="K3816" i="19"/>
  <c r="I3838" i="19"/>
  <c r="K3838" i="19"/>
  <c r="I3861" i="19"/>
  <c r="K3861" i="19"/>
  <c r="I3487" i="19"/>
  <c r="K3487" i="19"/>
  <c r="I3563" i="19"/>
  <c r="K3563" i="19"/>
  <c r="I3575" i="19"/>
  <c r="K3575" i="19"/>
  <c r="I3283" i="19"/>
  <c r="K3283" i="19"/>
  <c r="I3313" i="19"/>
  <c r="K3313" i="19"/>
  <c r="I3373" i="19"/>
  <c r="K3373" i="19"/>
  <c r="I3409" i="19"/>
  <c r="K3409" i="19"/>
  <c r="I3418" i="19"/>
  <c r="K3418" i="19"/>
  <c r="I3444" i="19"/>
  <c r="K3444" i="19"/>
  <c r="I3117" i="19"/>
  <c r="K3117" i="19"/>
  <c r="I3134" i="19"/>
  <c r="K3134" i="19"/>
  <c r="I3152" i="19"/>
  <c r="K3152" i="19"/>
  <c r="I3194" i="19"/>
  <c r="K3194" i="19"/>
  <c r="I3202" i="19"/>
  <c r="K3202" i="19"/>
  <c r="I3210" i="19"/>
  <c r="K3210" i="19"/>
  <c r="I3225" i="19"/>
  <c r="K3225" i="19"/>
  <c r="I3240" i="19"/>
  <c r="K3240" i="19"/>
  <c r="I3011" i="19"/>
  <c r="K3011" i="19"/>
  <c r="I3058" i="19"/>
  <c r="K3058" i="19"/>
  <c r="I3066" i="19"/>
  <c r="K3066" i="19"/>
  <c r="I2944" i="19"/>
  <c r="K2944" i="19"/>
  <c r="I2983" i="19"/>
  <c r="K2983" i="19"/>
  <c r="I5754" i="19"/>
  <c r="K5754" i="19"/>
  <c r="I5762" i="19"/>
  <c r="K5762" i="19"/>
  <c r="I5778" i="19"/>
  <c r="K5778" i="19"/>
  <c r="I5800" i="19"/>
  <c r="K5800" i="19"/>
  <c r="I4039" i="19"/>
  <c r="K4039" i="19"/>
  <c r="I4224" i="19"/>
  <c r="K4224" i="19"/>
  <c r="I2288" i="19"/>
  <c r="K2288" i="19"/>
  <c r="I2361" i="19"/>
  <c r="K2361" i="19"/>
  <c r="I2464" i="19"/>
  <c r="K2464" i="19"/>
  <c r="I1407" i="19"/>
  <c r="K1407" i="19"/>
  <c r="I1517" i="19"/>
  <c r="K1517" i="19"/>
  <c r="I1608" i="19"/>
  <c r="K1608" i="19"/>
  <c r="I1704" i="19"/>
  <c r="K1704" i="19"/>
  <c r="I1759" i="19"/>
  <c r="K1759" i="19"/>
  <c r="I1830" i="19"/>
  <c r="K1830" i="19"/>
  <c r="I1861" i="19"/>
  <c r="K1861" i="19"/>
  <c r="I2009" i="19"/>
  <c r="K2009" i="19"/>
  <c r="I3627" i="19"/>
  <c r="K3627" i="19"/>
  <c r="F3648" i="19"/>
  <c r="H3648" i="19"/>
  <c r="I3284" i="19"/>
  <c r="K3284" i="19"/>
  <c r="I3354" i="19"/>
  <c r="K3354" i="19"/>
  <c r="I3120" i="19"/>
  <c r="K3120" i="19"/>
  <c r="I3129" i="19"/>
  <c r="K3129" i="19"/>
  <c r="I3224" i="19"/>
  <c r="K3224" i="19"/>
  <c r="I3233" i="19"/>
  <c r="K3233" i="19"/>
  <c r="I3056" i="19"/>
  <c r="K3056" i="19"/>
  <c r="I2923" i="19"/>
  <c r="K2923" i="19"/>
  <c r="I5767" i="19"/>
  <c r="K5767" i="19"/>
  <c r="I5793" i="19"/>
  <c r="K5793" i="19"/>
  <c r="I5810" i="19"/>
  <c r="K5810" i="19"/>
  <c r="I5818" i="19"/>
  <c r="K5818" i="19"/>
  <c r="I5858" i="19"/>
  <c r="K5858" i="19"/>
  <c r="I5669" i="19"/>
  <c r="K5669" i="19"/>
  <c r="I5677" i="19"/>
  <c r="K5677" i="19"/>
  <c r="I5718" i="19"/>
  <c r="K5718" i="19"/>
  <c r="I5733" i="19"/>
  <c r="K5733" i="19"/>
  <c r="I2819" i="19"/>
  <c r="K2819" i="19"/>
  <c r="I2857" i="19"/>
  <c r="K2857" i="19"/>
  <c r="I2864" i="19"/>
  <c r="K2864" i="19"/>
  <c r="I2713" i="19"/>
  <c r="K2713" i="19"/>
  <c r="I2744" i="19"/>
  <c r="K2744" i="19"/>
  <c r="I2769" i="19"/>
  <c r="K2769" i="19"/>
  <c r="I2791" i="19"/>
  <c r="K2791" i="19"/>
  <c r="I2798" i="19"/>
  <c r="K2798" i="19"/>
  <c r="I2805" i="19"/>
  <c r="K2805" i="19"/>
  <c r="I2614" i="19"/>
  <c r="K2614" i="19"/>
  <c r="I2636" i="19"/>
  <c r="K2636" i="19"/>
  <c r="I2652" i="19"/>
  <c r="K2652" i="19"/>
  <c r="I2674" i="19"/>
  <c r="K2674" i="19"/>
  <c r="I2696" i="19"/>
  <c r="K2696" i="19"/>
  <c r="F2528" i="19"/>
  <c r="H2528" i="19"/>
  <c r="Q2528" i="19"/>
  <c r="R2528" i="19"/>
  <c r="I2535" i="19"/>
  <c r="K2535" i="19"/>
  <c r="I2556" i="19"/>
  <c r="K2556" i="19"/>
  <c r="I2570" i="19"/>
  <c r="K2570" i="19"/>
  <c r="I2605" i="19"/>
  <c r="K2605" i="19"/>
  <c r="I4654" i="19"/>
  <c r="K4654" i="19"/>
  <c r="I5065" i="19"/>
  <c r="K5065" i="19"/>
  <c r="I5083" i="19"/>
  <c r="K5083" i="19"/>
  <c r="I4197" i="19"/>
  <c r="K4197" i="19"/>
  <c r="I4306" i="19"/>
  <c r="K4306" i="19"/>
  <c r="I4367" i="19"/>
  <c r="K4367" i="19"/>
  <c r="I4446" i="19"/>
  <c r="K4446" i="19"/>
  <c r="I2377" i="19"/>
  <c r="K2377" i="19"/>
  <c r="I1693" i="19"/>
  <c r="K1693" i="19"/>
  <c r="I1735" i="19"/>
  <c r="K1735" i="19"/>
  <c r="I1917" i="19"/>
  <c r="K1917" i="19"/>
  <c r="I1966" i="19"/>
  <c r="K1966" i="19"/>
  <c r="I3732" i="19"/>
  <c r="K3732" i="19"/>
  <c r="I3907" i="19"/>
  <c r="K3907" i="19"/>
  <c r="I3494" i="19"/>
  <c r="K3494" i="19"/>
  <c r="I3506" i="19"/>
  <c r="K3506" i="19"/>
  <c r="I3565" i="19"/>
  <c r="K3565" i="19"/>
  <c r="I3617" i="19"/>
  <c r="K3617" i="19"/>
  <c r="I3297" i="19"/>
  <c r="K3297" i="19"/>
  <c r="I3307" i="19"/>
  <c r="K3307" i="19"/>
  <c r="I3374" i="19"/>
  <c r="K3374" i="19"/>
  <c r="I3385" i="19"/>
  <c r="K3385" i="19"/>
  <c r="I3433" i="19"/>
  <c r="K3433" i="19"/>
  <c r="I3452" i="19"/>
  <c r="K3452" i="19"/>
  <c r="I3093" i="19"/>
  <c r="K3093" i="19"/>
  <c r="I3189" i="19"/>
  <c r="K3189" i="19"/>
  <c r="I3197" i="19"/>
  <c r="K3197" i="19"/>
  <c r="I3207" i="19"/>
  <c r="K3207" i="19"/>
  <c r="I3253" i="19"/>
  <c r="K3253" i="19"/>
  <c r="I3047" i="19"/>
  <c r="K3047" i="19"/>
  <c r="I3083" i="19"/>
  <c r="K3083" i="19"/>
  <c r="I2986" i="19"/>
  <c r="K2986" i="19"/>
  <c r="I5759" i="19"/>
  <c r="K5759" i="19"/>
  <c r="I5777" i="19"/>
  <c r="K5777" i="19"/>
  <c r="I5785" i="19"/>
  <c r="K5785" i="19"/>
  <c r="I5802" i="19"/>
  <c r="K5802" i="19"/>
  <c r="I5645" i="19"/>
  <c r="K5645" i="19"/>
  <c r="I5653" i="19"/>
  <c r="K5653" i="19"/>
  <c r="I5749" i="19"/>
  <c r="K5749" i="19"/>
  <c r="I2827" i="19"/>
  <c r="K2827" i="19"/>
  <c r="I2897" i="19"/>
  <c r="K2897" i="19"/>
  <c r="I2913" i="19"/>
  <c r="K2913" i="19"/>
  <c r="I2721" i="19"/>
  <c r="K2721" i="19"/>
  <c r="I2737" i="19"/>
  <c r="K2737" i="19"/>
  <c r="I2777" i="19"/>
  <c r="K2777" i="19"/>
  <c r="I2785" i="19"/>
  <c r="K2785" i="19"/>
  <c r="I2813" i="19"/>
  <c r="K2813" i="19"/>
  <c r="I2629" i="19"/>
  <c r="K2629" i="19"/>
  <c r="I2659" i="19"/>
  <c r="K2659" i="19"/>
  <c r="I2667" i="19"/>
  <c r="K2667" i="19"/>
  <c r="I2703" i="19"/>
  <c r="K2703" i="19"/>
  <c r="I2522" i="19"/>
  <c r="K2522" i="19"/>
  <c r="I2599" i="19"/>
  <c r="K2599" i="19"/>
  <c r="I5505" i="19"/>
  <c r="K5505" i="19"/>
  <c r="I5590" i="19"/>
  <c r="K5590" i="19"/>
  <c r="I4743" i="19"/>
  <c r="K4743" i="19"/>
  <c r="I5033" i="19"/>
  <c r="K5033" i="19"/>
  <c r="I4088" i="19"/>
  <c r="K4088" i="19"/>
  <c r="I2133" i="19"/>
  <c r="K2133" i="19"/>
  <c r="I2471" i="19"/>
  <c r="K2471" i="19"/>
  <c r="I1363" i="19"/>
  <c r="K1363" i="19"/>
  <c r="I1443" i="19"/>
  <c r="K1443" i="19"/>
  <c r="I1458" i="19"/>
  <c r="K1458" i="19"/>
  <c r="I1748" i="19"/>
  <c r="K1748" i="19"/>
  <c r="I1871" i="19"/>
  <c r="K1871" i="19"/>
  <c r="I1919" i="19"/>
  <c r="K1919" i="19"/>
  <c r="I2010" i="19"/>
  <c r="K2010" i="19"/>
  <c r="I3798" i="19"/>
  <c r="K3798" i="19"/>
  <c r="I3813" i="19"/>
  <c r="K3813" i="19"/>
  <c r="I3863" i="19"/>
  <c r="K3863" i="19"/>
  <c r="I3884" i="19"/>
  <c r="K3884" i="19"/>
  <c r="I3473" i="19"/>
  <c r="K3473" i="19"/>
  <c r="I3519" i="19"/>
  <c r="K3519" i="19"/>
  <c r="I3555" i="19"/>
  <c r="K3555" i="19"/>
  <c r="I3326" i="19"/>
  <c r="K3326" i="19"/>
  <c r="I3345" i="19"/>
  <c r="K3345" i="19"/>
  <c r="I3366" i="19"/>
  <c r="K3366" i="19"/>
  <c r="I3395" i="19"/>
  <c r="K3395" i="19"/>
  <c r="I3415" i="19"/>
  <c r="K3415" i="19"/>
  <c r="I3443" i="19"/>
  <c r="K3443" i="19"/>
  <c r="I3111" i="19"/>
  <c r="K3111" i="19"/>
  <c r="I5540" i="19"/>
  <c r="K5540" i="19"/>
  <c r="I4198" i="19"/>
  <c r="K4198" i="19"/>
  <c r="I4368" i="19"/>
  <c r="K4368" i="19"/>
  <c r="I2215" i="19"/>
  <c r="K2215" i="19"/>
  <c r="I2230" i="19"/>
  <c r="K2230" i="19"/>
  <c r="I2379" i="19"/>
  <c r="K2379" i="19"/>
  <c r="I2475" i="19"/>
  <c r="K2475" i="19"/>
  <c r="I1395" i="19"/>
  <c r="K1395" i="19"/>
  <c r="I1694" i="19"/>
  <c r="K1694" i="19"/>
  <c r="I1874" i="19"/>
  <c r="K1874" i="19"/>
  <c r="I2013" i="19"/>
  <c r="K2013" i="19"/>
  <c r="I3722" i="19"/>
  <c r="K3722" i="19"/>
  <c r="I3825" i="19"/>
  <c r="K3825" i="19"/>
  <c r="I3618" i="19"/>
  <c r="K3618" i="19"/>
  <c r="F3674" i="19"/>
  <c r="H3674" i="19"/>
  <c r="Q3674" i="19"/>
  <c r="R3674" i="19"/>
  <c r="I3298" i="19"/>
  <c r="K3298" i="19"/>
  <c r="I3375" i="19"/>
  <c r="K3375" i="19"/>
  <c r="I3405" i="19"/>
  <c r="K3405" i="19"/>
  <c r="I3425" i="19"/>
  <c r="K3425" i="19"/>
  <c r="I3453" i="19"/>
  <c r="K3453" i="19"/>
  <c r="I3103" i="19"/>
  <c r="K3103" i="19"/>
  <c r="I3121" i="19"/>
  <c r="K3121" i="19"/>
  <c r="I3162" i="19"/>
  <c r="K3162" i="19"/>
  <c r="I3234" i="19"/>
  <c r="K3234" i="19"/>
  <c r="I3012" i="19"/>
  <c r="K3012" i="19"/>
  <c r="I3048" i="19"/>
  <c r="K3048" i="19"/>
  <c r="I3057" i="19"/>
  <c r="K3057" i="19"/>
  <c r="I2924" i="19"/>
  <c r="K2924" i="19"/>
  <c r="I2962" i="19"/>
  <c r="K2962" i="19"/>
  <c r="I2979" i="19"/>
  <c r="K2979" i="19"/>
  <c r="I2987" i="19"/>
  <c r="K2987" i="19"/>
  <c r="I2995" i="19"/>
  <c r="K2995" i="19"/>
  <c r="I5786" i="19"/>
  <c r="K5786" i="19"/>
  <c r="I5794" i="19"/>
  <c r="K5794" i="19"/>
  <c r="I5803" i="19"/>
  <c r="K5803" i="19"/>
  <c r="I5811" i="19"/>
  <c r="K5811" i="19"/>
  <c r="I5703" i="19"/>
  <c r="K5703" i="19"/>
  <c r="I5711" i="19"/>
  <c r="K5711" i="19"/>
  <c r="I5719" i="19"/>
  <c r="K5719" i="19"/>
  <c r="I5734" i="19"/>
  <c r="K5734" i="19"/>
  <c r="I5743" i="19"/>
  <c r="K5743" i="19"/>
  <c r="I2820" i="19"/>
  <c r="K2820" i="19"/>
  <c r="I2858" i="19"/>
  <c r="K2858" i="19"/>
  <c r="I2865" i="19"/>
  <c r="K2865" i="19"/>
  <c r="I2722" i="19"/>
  <c r="K2722" i="19"/>
  <c r="I2770" i="19"/>
  <c r="K2770" i="19"/>
  <c r="I2799" i="19"/>
  <c r="K2799" i="19"/>
  <c r="I5608" i="19"/>
  <c r="K5608" i="19"/>
  <c r="I4184" i="19"/>
  <c r="K4184" i="19"/>
  <c r="F4447" i="19"/>
  <c r="H4447" i="19"/>
  <c r="I2200" i="19"/>
  <c r="K2200" i="19"/>
  <c r="I1379" i="19"/>
  <c r="K1379" i="19"/>
  <c r="I1922" i="19"/>
  <c r="K1922" i="19"/>
  <c r="I2022" i="19"/>
  <c r="K2022" i="19"/>
  <c r="I3710" i="19"/>
  <c r="K3710" i="19"/>
  <c r="I3772" i="19"/>
  <c r="K3772" i="19"/>
  <c r="I3885" i="19"/>
  <c r="K3885" i="19"/>
  <c r="I3485" i="19"/>
  <c r="K3485" i="19"/>
  <c r="I3495" i="19"/>
  <c r="K3495" i="19"/>
  <c r="I3664" i="19"/>
  <c r="K3664" i="19"/>
  <c r="I3277" i="19"/>
  <c r="K3277" i="19"/>
  <c r="I3318" i="19"/>
  <c r="K3318" i="19"/>
  <c r="I3346" i="19"/>
  <c r="K3346" i="19"/>
  <c r="I3356" i="19"/>
  <c r="K3356" i="19"/>
  <c r="I3387" i="19"/>
  <c r="K3387" i="19"/>
  <c r="I3416" i="19"/>
  <c r="K3416" i="19"/>
  <c r="I3132" i="19"/>
  <c r="K3132" i="19"/>
  <c r="I3190" i="19"/>
  <c r="K3190" i="19"/>
  <c r="I3209" i="19"/>
  <c r="K3209" i="19"/>
  <c r="I3226" i="19"/>
  <c r="K3226" i="19"/>
  <c r="I3255" i="19"/>
  <c r="K3255" i="19"/>
  <c r="I3031" i="19"/>
  <c r="K3031" i="19"/>
  <c r="I3076" i="19"/>
  <c r="K3076" i="19"/>
  <c r="I2943" i="19"/>
  <c r="K2943" i="19"/>
  <c r="I2953" i="19"/>
  <c r="K2953" i="19"/>
  <c r="I2971" i="19"/>
  <c r="K2971" i="19"/>
  <c r="I3004" i="19"/>
  <c r="K3004" i="19"/>
  <c r="I5770" i="19"/>
  <c r="K5770" i="19"/>
  <c r="I5867" i="19"/>
  <c r="K5867" i="19"/>
  <c r="I5663" i="19"/>
  <c r="K5663" i="19"/>
  <c r="I5679" i="19"/>
  <c r="K5679" i="19"/>
  <c r="I5695" i="19"/>
  <c r="K5695" i="19"/>
  <c r="I2828" i="19"/>
  <c r="K2828" i="19"/>
  <c r="I2874" i="19"/>
  <c r="K2874" i="19"/>
  <c r="I2882" i="19"/>
  <c r="K2882" i="19"/>
  <c r="I2898" i="19"/>
  <c r="K2898" i="19"/>
  <c r="I2730" i="19"/>
  <c r="K2730" i="19"/>
  <c r="I2738" i="19"/>
  <c r="K2738" i="19"/>
  <c r="I2807" i="19"/>
  <c r="K2807" i="19"/>
  <c r="I2630" i="19"/>
  <c r="K2630" i="19"/>
  <c r="I2668" i="19"/>
  <c r="K2668" i="19"/>
  <c r="I2691" i="19"/>
  <c r="K2691" i="19"/>
  <c r="I2523" i="19"/>
  <c r="K2523" i="19"/>
  <c r="I2551" i="19"/>
  <c r="K2551" i="19"/>
  <c r="F2564" i="19"/>
  <c r="H2564" i="19"/>
  <c r="I2593" i="19"/>
  <c r="K2593" i="19"/>
  <c r="I2600" i="19"/>
  <c r="K2600" i="19"/>
  <c r="I4865" i="19"/>
  <c r="K4865" i="19"/>
  <c r="I4882" i="19"/>
  <c r="K4882" i="19"/>
  <c r="I5320" i="19"/>
  <c r="K5320" i="19"/>
  <c r="I4122" i="19"/>
  <c r="K4122" i="19"/>
  <c r="I4199" i="19"/>
  <c r="K4199" i="19"/>
  <c r="I4388" i="19"/>
  <c r="K4388" i="19"/>
  <c r="I2107" i="19"/>
  <c r="K2107" i="19"/>
  <c r="I2293" i="19"/>
  <c r="K2293" i="19"/>
  <c r="I2505" i="19"/>
  <c r="K2505" i="19"/>
  <c r="I1351" i="19"/>
  <c r="K1351" i="19"/>
  <c r="I1365" i="19"/>
  <c r="K1365" i="19"/>
  <c r="I1506" i="19"/>
  <c r="K1506" i="19"/>
  <c r="I1627" i="19"/>
  <c r="K1627" i="19"/>
  <c r="I1876" i="19"/>
  <c r="K1876" i="19"/>
  <c r="I1979" i="19"/>
  <c r="K1979" i="19"/>
  <c r="I3748" i="19"/>
  <c r="K3748" i="19"/>
  <c r="I3876" i="19"/>
  <c r="K3876" i="19"/>
  <c r="I3522" i="19"/>
  <c r="K3522" i="19"/>
  <c r="I3608" i="19"/>
  <c r="K3608" i="19"/>
  <c r="I3676" i="19"/>
  <c r="K3676" i="19"/>
  <c r="I3300" i="19"/>
  <c r="K3300" i="19"/>
  <c r="I3310" i="19"/>
  <c r="K3310" i="19"/>
  <c r="I3319" i="19"/>
  <c r="K3319" i="19"/>
  <c r="I3329" i="19"/>
  <c r="K3329" i="19"/>
  <c r="I3347" i="19"/>
  <c r="K3347" i="19"/>
  <c r="I3388" i="19"/>
  <c r="K3388" i="19"/>
  <c r="I5223" i="19"/>
  <c r="K5223" i="19"/>
  <c r="I4107" i="19"/>
  <c r="K4107" i="19"/>
  <c r="I4171" i="19"/>
  <c r="K4171" i="19"/>
  <c r="I4186" i="19"/>
  <c r="K4186" i="19"/>
  <c r="I4265" i="19"/>
  <c r="K4265" i="19"/>
  <c r="I2123" i="19"/>
  <c r="K2123" i="19"/>
  <c r="I2389" i="19"/>
  <c r="K2389" i="19"/>
  <c r="I1554" i="19"/>
  <c r="K1554" i="19"/>
  <c r="I1614" i="19"/>
  <c r="K1614" i="19"/>
  <c r="I1642" i="19"/>
  <c r="K1642" i="19"/>
  <c r="I1685" i="19"/>
  <c r="K1685" i="19"/>
  <c r="I1751" i="19"/>
  <c r="K1751" i="19"/>
  <c r="I1877" i="19"/>
  <c r="K1877" i="19"/>
  <c r="I3854" i="19"/>
  <c r="K3854" i="19"/>
  <c r="I3899" i="19"/>
  <c r="K3899" i="19"/>
  <c r="I3486" i="19"/>
  <c r="K3486" i="19"/>
  <c r="I3533" i="19"/>
  <c r="K3533" i="19"/>
  <c r="I3642" i="19"/>
  <c r="K3642" i="19"/>
  <c r="I3368" i="19"/>
  <c r="K3368" i="19"/>
  <c r="I3133" i="19"/>
  <c r="K3133" i="19"/>
  <c r="I3227" i="19"/>
  <c r="K3227" i="19"/>
  <c r="I3256" i="19"/>
  <c r="K3256" i="19"/>
  <c r="I3077" i="19"/>
  <c r="K3077" i="19"/>
  <c r="I5822" i="19"/>
  <c r="K5822" i="19"/>
  <c r="I5830" i="19"/>
  <c r="K5830" i="19"/>
  <c r="I5868" i="19"/>
  <c r="K5868" i="19"/>
  <c r="I5641" i="19"/>
  <c r="K5641" i="19"/>
  <c r="I5656" i="19"/>
  <c r="K5656" i="19"/>
  <c r="I5664" i="19"/>
  <c r="K5664" i="19"/>
  <c r="I5680" i="19"/>
  <c r="K5680" i="19"/>
  <c r="I2892" i="19"/>
  <c r="K2892" i="19"/>
  <c r="I2708" i="19"/>
  <c r="K2708" i="19"/>
  <c r="I2731" i="19"/>
  <c r="K2731" i="19"/>
  <c r="I2787" i="19"/>
  <c r="K2787" i="19"/>
  <c r="I5158" i="19"/>
  <c r="K5158" i="19"/>
  <c r="I5307" i="19"/>
  <c r="K5307" i="19"/>
  <c r="I4060" i="19"/>
  <c r="K4060" i="19"/>
  <c r="I4157" i="19"/>
  <c r="K4157" i="19"/>
  <c r="I4359" i="19"/>
  <c r="K4359" i="19"/>
  <c r="I2403" i="19"/>
  <c r="K2403" i="19"/>
  <c r="I1262" i="19"/>
  <c r="K1262" i="19"/>
  <c r="I1309" i="19"/>
  <c r="K1309" i="19"/>
  <c r="I1656" i="19"/>
  <c r="K1656" i="19"/>
  <c r="I1885" i="19"/>
  <c r="K1885" i="19"/>
  <c r="I1939" i="19"/>
  <c r="K1939" i="19"/>
  <c r="I1980" i="19"/>
  <c r="K1980" i="19"/>
  <c r="I2029" i="19"/>
  <c r="K2029" i="19"/>
  <c r="I3737" i="19"/>
  <c r="K3737" i="19"/>
  <c r="I3763" i="19"/>
  <c r="K3763" i="19"/>
  <c r="I3843" i="19"/>
  <c r="K3843" i="19"/>
  <c r="I3877" i="19"/>
  <c r="K3877" i="19"/>
  <c r="I3887" i="19"/>
  <c r="K3887" i="19"/>
  <c r="I3476" i="19"/>
  <c r="K3476" i="19"/>
  <c r="I3523" i="19"/>
  <c r="K3523" i="19"/>
  <c r="I3547" i="19"/>
  <c r="K3547" i="19"/>
  <c r="I3632" i="19"/>
  <c r="K3632" i="19"/>
  <c r="I3279" i="19"/>
  <c r="K3279" i="19"/>
  <c r="F3290" i="19"/>
  <c r="H3290" i="19"/>
  <c r="Q3290" i="19"/>
  <c r="R3290" i="19"/>
  <c r="I3389" i="19"/>
  <c r="K3389" i="19"/>
  <c r="I3398" i="19"/>
  <c r="K3398" i="19"/>
  <c r="I3428" i="19"/>
  <c r="K3428" i="19"/>
  <c r="I3446" i="19"/>
  <c r="K3446" i="19"/>
  <c r="I3455" i="19"/>
  <c r="K3455" i="19"/>
  <c r="I3183" i="19"/>
  <c r="K3183" i="19"/>
  <c r="I3211" i="19"/>
  <c r="K3211" i="19"/>
  <c r="I3247" i="19"/>
  <c r="K3247" i="19"/>
  <c r="I3275" i="19"/>
  <c r="K3275" i="19"/>
  <c r="I3051" i="19"/>
  <c r="K3051" i="19"/>
  <c r="I3086" i="19"/>
  <c r="K3086" i="19"/>
  <c r="I2926" i="19"/>
  <c r="K2926" i="19"/>
  <c r="I2936" i="19"/>
  <c r="K2936" i="19"/>
  <c r="I2955" i="19"/>
  <c r="K2955" i="19"/>
  <c r="I2989" i="19"/>
  <c r="K2989" i="19"/>
  <c r="I2997" i="19"/>
  <c r="K2997" i="19"/>
  <c r="I5805" i="19"/>
  <c r="K5805" i="19"/>
  <c r="I5649" i="19"/>
  <c r="K5649" i="19"/>
  <c r="I5713" i="19"/>
  <c r="K5713" i="19"/>
  <c r="I5721" i="19"/>
  <c r="K5721" i="19"/>
  <c r="I5737" i="19"/>
  <c r="K5737" i="19"/>
  <c r="I5745" i="19"/>
  <c r="K5745" i="19"/>
  <c r="I5752" i="19"/>
  <c r="K5752" i="19"/>
  <c r="I2838" i="19"/>
  <c r="K2838" i="19"/>
  <c r="I2845" i="19"/>
  <c r="K2845" i="19"/>
  <c r="I2852" i="19"/>
  <c r="K2852" i="19"/>
  <c r="I2900" i="19"/>
  <c r="K2900" i="19"/>
  <c r="I2916" i="19"/>
  <c r="K2916" i="19"/>
  <c r="I2717" i="19"/>
  <c r="K2717" i="19"/>
  <c r="I2724" i="19"/>
  <c r="K2724" i="19"/>
  <c r="I2740" i="19"/>
  <c r="K2740" i="19"/>
  <c r="I2757" i="19"/>
  <c r="K2757" i="19"/>
  <c r="I2764" i="19"/>
  <c r="K2764" i="19"/>
  <c r="I5311" i="19"/>
  <c r="K5311" i="19"/>
  <c r="I4176" i="19"/>
  <c r="K4176" i="19"/>
  <c r="I2254" i="19"/>
  <c r="K2254" i="19"/>
  <c r="I2442" i="19"/>
  <c r="K2442" i="19"/>
  <c r="I1529" i="19"/>
  <c r="K1529" i="19"/>
  <c r="I1799" i="19"/>
  <c r="K1799" i="19"/>
  <c r="I1811" i="19"/>
  <c r="K1811" i="19"/>
  <c r="I1998" i="19"/>
  <c r="K1998" i="19"/>
  <c r="I3819" i="19"/>
  <c r="K3819" i="19"/>
  <c r="I3846" i="19"/>
  <c r="K3846" i="19"/>
  <c r="I3891" i="19"/>
  <c r="K3891" i="19"/>
  <c r="I3490" i="19"/>
  <c r="K3490" i="19"/>
  <c r="I3634" i="19"/>
  <c r="K3634" i="19"/>
  <c r="I3658" i="19"/>
  <c r="K3658" i="19"/>
  <c r="F3304" i="19"/>
  <c r="H3304" i="19"/>
  <c r="Q3304" i="19"/>
  <c r="R3304" i="19"/>
  <c r="I3381" i="19"/>
  <c r="K3381" i="19"/>
  <c r="I3391" i="19"/>
  <c r="K3391" i="19"/>
  <c r="I3430" i="19"/>
  <c r="K3430" i="19"/>
  <c r="I3099" i="19"/>
  <c r="K3099" i="19"/>
  <c r="I3127" i="19"/>
  <c r="K3127" i="19"/>
  <c r="I3146" i="19"/>
  <c r="K3146" i="19"/>
  <c r="I3185" i="19"/>
  <c r="K3185" i="19"/>
  <c r="I3195" i="19"/>
  <c r="K3195" i="19"/>
  <c r="I3213" i="19"/>
  <c r="K3213" i="19"/>
  <c r="I3008" i="19"/>
  <c r="K3008" i="19"/>
  <c r="I3044" i="19"/>
  <c r="K3044" i="19"/>
  <c r="I3062" i="19"/>
  <c r="K3062" i="19"/>
  <c r="I3071" i="19"/>
  <c r="K3071" i="19"/>
  <c r="I3080" i="19"/>
  <c r="K3080" i="19"/>
  <c r="I2938" i="19"/>
  <c r="K2938" i="19"/>
  <c r="I2958" i="19"/>
  <c r="K2958" i="19"/>
  <c r="I2967" i="19"/>
  <c r="K2967" i="19"/>
  <c r="I3000" i="19"/>
  <c r="K3000" i="19"/>
  <c r="I5765" i="19"/>
  <c r="K5765" i="19"/>
  <c r="I5856" i="19"/>
  <c r="K5856" i="19"/>
  <c r="I5636" i="19"/>
  <c r="K5636" i="19"/>
  <c r="I5658" i="19"/>
  <c r="K5658" i="19"/>
  <c r="I5667" i="19"/>
  <c r="K5667" i="19"/>
  <c r="I5707" i="19"/>
  <c r="K5707" i="19"/>
  <c r="I5731" i="19"/>
  <c r="K5731" i="19"/>
  <c r="I2840" i="19"/>
  <c r="K2840" i="19"/>
  <c r="I2847" i="19"/>
  <c r="K2847" i="19"/>
  <c r="I2870" i="19"/>
  <c r="K2870" i="19"/>
  <c r="I4004" i="19"/>
  <c r="K4004" i="19"/>
  <c r="I4360" i="19"/>
  <c r="K4360" i="19"/>
  <c r="I4445" i="19"/>
  <c r="K4445" i="19"/>
  <c r="I2156" i="19"/>
  <c r="K2156" i="19"/>
  <c r="I2240" i="19"/>
  <c r="K2240" i="19"/>
  <c r="I2424" i="19"/>
  <c r="K2424" i="19"/>
  <c r="I1944" i="19"/>
  <c r="K1944" i="19"/>
  <c r="I3703" i="19"/>
  <c r="K3703" i="19"/>
  <c r="I3808" i="19"/>
  <c r="K3808" i="19"/>
  <c r="I3853" i="19"/>
  <c r="K3853" i="19"/>
  <c r="I3478" i="19"/>
  <c r="K3478" i="19"/>
  <c r="I3322" i="19"/>
  <c r="K3322" i="19"/>
  <c r="I3383" i="19"/>
  <c r="K3383" i="19"/>
  <c r="I3113" i="19"/>
  <c r="K3113" i="19"/>
  <c r="I3184" i="19"/>
  <c r="K3184" i="19"/>
  <c r="I3016" i="19"/>
  <c r="K3016" i="19"/>
  <c r="I3027" i="19"/>
  <c r="K3027" i="19"/>
  <c r="F3072" i="19"/>
  <c r="H3072" i="19"/>
  <c r="I2982" i="19"/>
  <c r="K2982" i="19"/>
  <c r="I5835" i="19"/>
  <c r="K5835" i="19"/>
  <c r="I5864" i="19"/>
  <c r="K5864" i="19"/>
  <c r="I5657" i="19"/>
  <c r="K5657" i="19"/>
  <c r="I5709" i="19"/>
  <c r="K5709" i="19"/>
  <c r="I2851" i="19"/>
  <c r="K2851" i="19"/>
  <c r="I2862" i="19"/>
  <c r="K2862" i="19"/>
  <c r="I2782" i="19"/>
  <c r="K2782" i="19"/>
  <c r="I2790" i="19"/>
  <c r="K2790" i="19"/>
  <c r="I2617" i="19"/>
  <c r="K2617" i="19"/>
  <c r="I2634" i="19"/>
  <c r="K2634" i="19"/>
  <c r="I2658" i="19"/>
  <c r="K2658" i="19"/>
  <c r="I2700" i="19"/>
  <c r="K2700" i="19"/>
  <c r="I2533" i="19"/>
  <c r="K2533" i="19"/>
  <c r="I2541" i="19"/>
  <c r="K2541" i="19"/>
  <c r="I2573" i="19"/>
  <c r="K2573" i="19"/>
  <c r="I2581" i="19"/>
  <c r="K2581" i="19"/>
  <c r="I2596" i="19"/>
  <c r="K2596" i="19"/>
  <c r="I3988" i="19"/>
  <c r="K3988" i="19"/>
  <c r="I4344" i="19"/>
  <c r="K4344" i="19"/>
  <c r="I1403" i="19"/>
  <c r="K1403" i="19"/>
  <c r="I1574" i="19"/>
  <c r="K1574" i="19"/>
  <c r="I1732" i="19"/>
  <c r="K1732" i="19"/>
  <c r="F3295" i="19"/>
  <c r="H3295" i="19"/>
  <c r="I3397" i="19"/>
  <c r="K3397" i="19"/>
  <c r="I3460" i="19"/>
  <c r="K3460" i="19"/>
  <c r="I3138" i="19"/>
  <c r="K3138" i="19"/>
  <c r="I3163" i="19"/>
  <c r="K3163" i="19"/>
  <c r="I3241" i="19"/>
  <c r="K3241" i="19"/>
  <c r="I5772" i="19"/>
  <c r="K5772" i="19"/>
  <c r="F5638" i="19"/>
  <c r="H5638" i="19"/>
  <c r="I5699" i="19"/>
  <c r="K5699" i="19"/>
  <c r="I5730" i="19"/>
  <c r="K5730" i="19"/>
  <c r="I5751" i="19"/>
  <c r="K5751" i="19"/>
  <c r="I2823" i="19"/>
  <c r="K2823" i="19"/>
  <c r="I2833" i="19"/>
  <c r="K2833" i="19"/>
  <c r="I2912" i="19"/>
  <c r="K2912" i="19"/>
  <c r="I2763" i="19"/>
  <c r="K2763" i="19"/>
  <c r="I2774" i="19"/>
  <c r="K2774" i="19"/>
  <c r="I2684" i="19"/>
  <c r="K2684" i="19"/>
  <c r="I2692" i="19"/>
  <c r="K2692" i="19"/>
  <c r="I2550" i="19"/>
  <c r="K2550" i="19"/>
  <c r="I2565" i="19"/>
  <c r="K2565" i="19"/>
  <c r="I5547" i="19"/>
  <c r="K5547" i="19"/>
  <c r="I5564" i="19"/>
  <c r="K5564" i="19"/>
  <c r="I5174" i="19"/>
  <c r="K5174" i="19"/>
  <c r="I4159" i="19"/>
  <c r="K4159" i="19"/>
  <c r="I2451" i="19"/>
  <c r="K2451" i="19"/>
  <c r="F1810" i="19"/>
  <c r="H1810" i="19"/>
  <c r="I3549" i="19"/>
  <c r="K3549" i="19"/>
  <c r="I3635" i="19"/>
  <c r="K3635" i="19"/>
  <c r="I3371" i="19"/>
  <c r="K3371" i="19"/>
  <c r="I3411" i="19"/>
  <c r="K3411" i="19"/>
  <c r="I3436" i="19"/>
  <c r="K3436" i="19"/>
  <c r="I3447" i="19"/>
  <c r="K3447" i="19"/>
  <c r="I3196" i="19"/>
  <c r="K3196" i="19"/>
  <c r="I3219" i="19"/>
  <c r="K3219" i="19"/>
  <c r="I3073" i="19"/>
  <c r="K3073" i="19"/>
  <c r="I3085" i="19"/>
  <c r="K3085" i="19"/>
  <c r="I2992" i="19"/>
  <c r="K2992" i="19"/>
  <c r="I5783" i="19"/>
  <c r="K5783" i="19"/>
  <c r="I5855" i="19"/>
  <c r="K5855" i="19"/>
  <c r="I5689" i="19"/>
  <c r="K5689" i="19"/>
  <c r="I2843" i="19"/>
  <c r="K2843" i="19"/>
  <c r="I2863" i="19"/>
  <c r="K2863" i="19"/>
  <c r="I2894" i="19"/>
  <c r="K2894" i="19"/>
  <c r="I2725" i="19"/>
  <c r="K2725" i="19"/>
  <c r="I2734" i="19"/>
  <c r="K2734" i="19"/>
  <c r="I2755" i="19"/>
  <c r="K2755" i="19"/>
  <c r="I2808" i="19"/>
  <c r="K2808" i="19"/>
  <c r="I2627" i="19"/>
  <c r="K2627" i="19"/>
  <c r="I2642" i="19"/>
  <c r="K2642" i="19"/>
  <c r="F2700" i="19"/>
  <c r="H2700" i="19"/>
  <c r="I2542" i="19"/>
  <c r="K2542" i="19"/>
  <c r="I2558" i="19"/>
  <c r="K2558" i="19"/>
  <c r="F2589" i="19"/>
  <c r="H2589" i="19"/>
  <c r="I4330" i="19"/>
  <c r="K4330" i="19"/>
  <c r="I2125" i="19"/>
  <c r="K2125" i="19"/>
  <c r="I2158" i="19"/>
  <c r="K2158" i="19"/>
  <c r="I2174" i="19"/>
  <c r="K2174" i="19"/>
  <c r="I1353" i="19"/>
  <c r="K1353" i="19"/>
  <c r="I1703" i="19"/>
  <c r="K1703" i="19"/>
  <c r="I1827" i="19"/>
  <c r="K1827" i="19"/>
  <c r="I1858" i="19"/>
  <c r="K1858" i="19"/>
  <c r="I3692" i="19"/>
  <c r="K3692" i="19"/>
  <c r="I3735" i="19"/>
  <c r="K3735" i="19"/>
  <c r="I3765" i="19"/>
  <c r="K3765" i="19"/>
  <c r="I3479" i="19"/>
  <c r="K3479" i="19"/>
  <c r="I3537" i="19"/>
  <c r="K3537" i="19"/>
  <c r="I3624" i="19"/>
  <c r="K3624" i="19"/>
  <c r="I3311" i="19"/>
  <c r="K3311" i="19"/>
  <c r="I3104" i="19"/>
  <c r="K3104" i="19"/>
  <c r="I3153" i="19"/>
  <c r="K3153" i="19"/>
  <c r="I3230" i="19"/>
  <c r="K3230" i="19"/>
  <c r="I3018" i="19"/>
  <c r="K3018" i="19"/>
  <c r="I3029" i="19"/>
  <c r="K3029" i="19"/>
  <c r="I3063" i="19"/>
  <c r="K3063" i="19"/>
  <c r="I5806" i="19"/>
  <c r="K5806" i="19"/>
  <c r="I5817" i="19"/>
  <c r="K5817" i="19"/>
  <c r="I5837" i="19"/>
  <c r="K5837" i="19"/>
  <c r="I5846" i="19"/>
  <c r="K5846" i="19"/>
  <c r="I5865" i="19"/>
  <c r="K5865" i="19"/>
  <c r="I2904" i="19"/>
  <c r="K2904" i="19"/>
  <c r="I2775" i="19"/>
  <c r="K2775" i="19"/>
  <c r="I2610" i="19"/>
  <c r="K2610" i="19"/>
  <c r="I2635" i="19"/>
  <c r="K2635" i="19"/>
  <c r="I2693" i="19"/>
  <c r="K2693" i="19"/>
  <c r="I2512" i="19"/>
  <c r="K2512" i="19"/>
  <c r="I2597" i="19"/>
  <c r="K2597" i="19"/>
  <c r="I5126" i="19"/>
  <c r="K5126" i="19"/>
  <c r="I5143" i="19"/>
  <c r="K5143" i="19"/>
  <c r="I4109" i="19"/>
  <c r="K4109" i="19"/>
  <c r="I4363" i="19"/>
  <c r="K4363" i="19"/>
  <c r="I4397" i="19"/>
  <c r="K4397" i="19"/>
  <c r="I2457" i="19"/>
  <c r="K2457" i="19"/>
  <c r="I1962" i="19"/>
  <c r="K1962" i="19"/>
  <c r="I3610" i="19"/>
  <c r="K3610" i="19"/>
  <c r="I3412" i="19"/>
  <c r="K3412" i="19"/>
  <c r="I3437" i="19"/>
  <c r="K3437" i="19"/>
  <c r="I3220" i="19"/>
  <c r="K3220" i="19"/>
  <c r="I3041" i="19"/>
  <c r="K3041" i="19"/>
  <c r="I5773" i="19"/>
  <c r="K5773" i="19"/>
  <c r="I5784" i="19"/>
  <c r="K5784" i="19"/>
  <c r="I5796" i="19"/>
  <c r="K5796" i="19"/>
  <c r="I5828" i="19"/>
  <c r="K5828" i="19"/>
  <c r="I5650" i="19"/>
  <c r="K5650" i="19"/>
  <c r="I5670" i="19"/>
  <c r="K5670" i="19"/>
  <c r="I2834" i="19"/>
  <c r="K2834" i="19"/>
  <c r="I2844" i="19"/>
  <c r="K2844" i="19"/>
  <c r="I2885" i="19"/>
  <c r="K2885" i="19"/>
  <c r="I2735" i="19"/>
  <c r="K2735" i="19"/>
  <c r="I2756" i="19"/>
  <c r="K2756" i="19"/>
  <c r="I2792" i="19"/>
  <c r="K2792" i="19"/>
  <c r="I2801" i="19"/>
  <c r="K2801" i="19"/>
  <c r="F2627" i="19"/>
  <c r="H2627" i="19"/>
  <c r="Q2627" i="19"/>
  <c r="F2610" i="19"/>
  <c r="H2610" i="19"/>
  <c r="Q2610" i="19"/>
  <c r="F2611" i="19"/>
  <c r="H2611" i="19"/>
  <c r="Q2611" i="19"/>
  <c r="I2612" i="19"/>
  <c r="K2612" i="19"/>
  <c r="F2612" i="19"/>
  <c r="H2612" i="19"/>
  <c r="Q2612" i="19"/>
  <c r="I2613" i="19"/>
  <c r="K2613" i="19"/>
  <c r="F2613" i="19"/>
  <c r="H2613" i="19"/>
  <c r="Q2613" i="19"/>
  <c r="F2614" i="19"/>
  <c r="H2614" i="19"/>
  <c r="Q2614" i="19"/>
  <c r="I2615" i="19"/>
  <c r="K2615" i="19"/>
  <c r="F2615" i="19"/>
  <c r="H2615" i="19"/>
  <c r="Q2615" i="19"/>
  <c r="I2616" i="19"/>
  <c r="K2616" i="19"/>
  <c r="F2616" i="19"/>
  <c r="H2616" i="19"/>
  <c r="Q2616" i="19"/>
  <c r="F2617" i="19"/>
  <c r="H2617" i="19"/>
  <c r="Q2617" i="19"/>
  <c r="F2618" i="19"/>
  <c r="H2618" i="19"/>
  <c r="Q2618" i="19"/>
  <c r="F2619" i="19"/>
  <c r="H2619" i="19"/>
  <c r="Q2619" i="19"/>
  <c r="I2620" i="19"/>
  <c r="K2620" i="19"/>
  <c r="F2620" i="19"/>
  <c r="H2620" i="19"/>
  <c r="Q2620" i="19"/>
  <c r="I2621" i="19"/>
  <c r="K2621" i="19"/>
  <c r="F2621" i="19"/>
  <c r="H2621" i="19"/>
  <c r="Q2621" i="19"/>
  <c r="I2622" i="19"/>
  <c r="K2622" i="19"/>
  <c r="F2622" i="19"/>
  <c r="H2622" i="19"/>
  <c r="Q2622" i="19"/>
  <c r="I2623" i="19"/>
  <c r="K2623" i="19"/>
  <c r="F2623" i="19"/>
  <c r="H2623" i="19"/>
  <c r="Q2623" i="19"/>
  <c r="I2624" i="19"/>
  <c r="K2624" i="19"/>
  <c r="F2624" i="19"/>
  <c r="H2624" i="19"/>
  <c r="Q2624" i="19"/>
  <c r="F2625" i="19"/>
  <c r="H2625" i="19"/>
  <c r="Q2625" i="19"/>
  <c r="F2626" i="19"/>
  <c r="H2626" i="19"/>
  <c r="Q2626" i="19"/>
  <c r="I2628" i="19"/>
  <c r="K2628" i="19"/>
  <c r="F2628" i="19"/>
  <c r="H2628" i="19"/>
  <c r="Q2628" i="19"/>
  <c r="F2629" i="19"/>
  <c r="H2629" i="19"/>
  <c r="Q2629" i="19"/>
  <c r="F2630" i="19"/>
  <c r="H2630" i="19"/>
  <c r="Q2630" i="19"/>
  <c r="F2631" i="19"/>
  <c r="H2631" i="19"/>
  <c r="Q2631" i="19"/>
  <c r="I2632" i="19"/>
  <c r="K2632" i="19"/>
  <c r="F2632" i="19"/>
  <c r="H2632" i="19"/>
  <c r="Q2632" i="19"/>
  <c r="F2633" i="19"/>
  <c r="H2633" i="19"/>
  <c r="Q2633" i="19"/>
  <c r="F2634" i="19"/>
  <c r="H2634" i="19"/>
  <c r="Q2634" i="19"/>
  <c r="F2635" i="19"/>
  <c r="H2635" i="19"/>
  <c r="Q2635" i="19"/>
  <c r="F2636" i="19"/>
  <c r="H2636" i="19"/>
  <c r="Q2636" i="19"/>
  <c r="F2637" i="19"/>
  <c r="H2637" i="19"/>
  <c r="Q2637" i="19"/>
  <c r="F2638" i="19"/>
  <c r="H2638" i="19"/>
  <c r="Q2638" i="19"/>
  <c r="I2639" i="19"/>
  <c r="K2639" i="19"/>
  <c r="F2639" i="19"/>
  <c r="H2639" i="19"/>
  <c r="Q2639" i="19"/>
  <c r="I2640" i="19"/>
  <c r="K2640" i="19"/>
  <c r="F2640" i="19"/>
  <c r="H2640" i="19"/>
  <c r="Q2640" i="19"/>
  <c r="I2641" i="19"/>
  <c r="K2641" i="19"/>
  <c r="F2641" i="19"/>
  <c r="H2641" i="19"/>
  <c r="Q2641" i="19"/>
  <c r="F2642" i="19"/>
  <c r="H2642" i="19"/>
  <c r="Q2642" i="19"/>
  <c r="F2643" i="19"/>
  <c r="H2643" i="19"/>
  <c r="Q2643" i="19"/>
  <c r="I2644" i="19"/>
  <c r="K2644" i="19"/>
  <c r="F2644" i="19"/>
  <c r="H2644" i="19"/>
  <c r="Q2644" i="19"/>
  <c r="I2645" i="19"/>
  <c r="K2645" i="19"/>
  <c r="F2645" i="19"/>
  <c r="H2645" i="19"/>
  <c r="Q2645" i="19"/>
  <c r="I2646" i="19"/>
  <c r="K2646" i="19"/>
  <c r="F2646" i="19"/>
  <c r="H2646" i="19"/>
  <c r="Q2646" i="19"/>
  <c r="I2647" i="19"/>
  <c r="K2647" i="19"/>
  <c r="F2647" i="19"/>
  <c r="H2647" i="19"/>
  <c r="Q2647" i="19"/>
  <c r="I2648" i="19"/>
  <c r="K2648" i="19"/>
  <c r="Q2648" i="19"/>
  <c r="I2649" i="19"/>
  <c r="K2649" i="19"/>
  <c r="F2649" i="19"/>
  <c r="H2649" i="19"/>
  <c r="Q2649" i="19"/>
  <c r="I2650" i="19"/>
  <c r="K2650" i="19"/>
  <c r="F2650" i="19"/>
  <c r="H2650" i="19"/>
  <c r="Q2650" i="19"/>
  <c r="F2651" i="19"/>
  <c r="H2651" i="19"/>
  <c r="Q2651" i="19"/>
  <c r="F2652" i="19"/>
  <c r="H2652" i="19"/>
  <c r="Q2652" i="19"/>
  <c r="I2653" i="19"/>
  <c r="K2653" i="19"/>
  <c r="F2653" i="19"/>
  <c r="H2653" i="19"/>
  <c r="Q2653" i="19"/>
  <c r="I2654" i="19"/>
  <c r="K2654" i="19"/>
  <c r="F2654" i="19"/>
  <c r="H2654" i="19"/>
  <c r="Q2654" i="19"/>
  <c r="F2655" i="19"/>
  <c r="H2655" i="19"/>
  <c r="Q2655" i="19"/>
  <c r="I2656" i="19"/>
  <c r="K2656" i="19"/>
  <c r="F2656" i="19"/>
  <c r="H2656" i="19"/>
  <c r="Q2656" i="19"/>
  <c r="F2657" i="19"/>
  <c r="H2657" i="19"/>
  <c r="Q2657" i="19"/>
  <c r="F2658" i="19"/>
  <c r="H2658" i="19"/>
  <c r="Q2658" i="19"/>
  <c r="F2659" i="19"/>
  <c r="H2659" i="19"/>
  <c r="Q2659" i="19"/>
  <c r="I2660" i="19"/>
  <c r="K2660" i="19"/>
  <c r="F2660" i="19"/>
  <c r="H2660" i="19"/>
  <c r="Q2660" i="19"/>
  <c r="I2661" i="19"/>
  <c r="K2661" i="19"/>
  <c r="F2661" i="19"/>
  <c r="H2661" i="19"/>
  <c r="Q2661" i="19"/>
  <c r="I2662" i="19"/>
  <c r="K2662" i="19"/>
  <c r="F2662" i="19"/>
  <c r="H2662" i="19"/>
  <c r="Q2662" i="19"/>
  <c r="F2663" i="19"/>
  <c r="H2663" i="19"/>
  <c r="Q2663" i="19"/>
  <c r="I2664" i="19"/>
  <c r="K2664" i="19"/>
  <c r="F2664" i="19"/>
  <c r="H2664" i="19"/>
  <c r="Q2664" i="19"/>
  <c r="I2665" i="19"/>
  <c r="K2665" i="19"/>
  <c r="F2665" i="19"/>
  <c r="H2665" i="19"/>
  <c r="Q2665" i="19"/>
  <c r="F2666" i="19"/>
  <c r="H2666" i="19"/>
  <c r="Q2666" i="19"/>
  <c r="F2667" i="19"/>
  <c r="H2667" i="19"/>
  <c r="Q2667" i="19"/>
  <c r="F2668" i="19"/>
  <c r="H2668" i="19"/>
  <c r="Q2668" i="19"/>
  <c r="F2669" i="19"/>
  <c r="H2669" i="19"/>
  <c r="Q2669" i="19"/>
  <c r="I2670" i="19"/>
  <c r="K2670" i="19"/>
  <c r="F2670" i="19"/>
  <c r="H2670" i="19"/>
  <c r="Q2670" i="19"/>
  <c r="I2671" i="19"/>
  <c r="K2671" i="19"/>
  <c r="F2671" i="19"/>
  <c r="H2671" i="19"/>
  <c r="Q2671" i="19"/>
  <c r="F2672" i="19"/>
  <c r="H2672" i="19"/>
  <c r="Q2672" i="19"/>
  <c r="I2673" i="19"/>
  <c r="K2673" i="19"/>
  <c r="F2673" i="19"/>
  <c r="H2673" i="19"/>
  <c r="Q2673" i="19"/>
  <c r="F2674" i="19"/>
  <c r="H2674" i="19"/>
  <c r="Q2674" i="19"/>
  <c r="I2675" i="19"/>
  <c r="K2675" i="19"/>
  <c r="F2675" i="19"/>
  <c r="H2675" i="19"/>
  <c r="Q2675" i="19"/>
  <c r="F2676" i="19"/>
  <c r="H2676" i="19"/>
  <c r="Q2676" i="19"/>
  <c r="I2677" i="19"/>
  <c r="K2677" i="19"/>
  <c r="F2677" i="19"/>
  <c r="H2677" i="19"/>
  <c r="Q2677" i="19"/>
  <c r="I2678" i="19"/>
  <c r="K2678" i="19"/>
  <c r="F2678" i="19"/>
  <c r="H2678" i="19"/>
  <c r="Q2678" i="19"/>
  <c r="F2679" i="19"/>
  <c r="H2679" i="19"/>
  <c r="Q2679" i="19"/>
  <c r="I2680" i="19"/>
  <c r="K2680" i="19"/>
  <c r="F2680" i="19"/>
  <c r="H2680" i="19"/>
  <c r="Q2680" i="19"/>
  <c r="I2681" i="19"/>
  <c r="K2681" i="19"/>
  <c r="F2681" i="19"/>
  <c r="H2681" i="19"/>
  <c r="Q2681" i="19"/>
  <c r="F2682" i="19"/>
  <c r="H2682" i="19"/>
  <c r="Q2682" i="19"/>
  <c r="I2683" i="19"/>
  <c r="K2683" i="19"/>
  <c r="F2683" i="19"/>
  <c r="H2683" i="19"/>
  <c r="Q2683" i="19"/>
  <c r="F2684" i="19"/>
  <c r="H2684" i="19"/>
  <c r="Q2684" i="19"/>
  <c r="F2685" i="19"/>
  <c r="H2685" i="19"/>
  <c r="Q2685" i="19"/>
  <c r="I2686" i="19"/>
  <c r="K2686" i="19"/>
  <c r="F2686" i="19"/>
  <c r="H2686" i="19"/>
  <c r="Q2686" i="19"/>
  <c r="I2687" i="19"/>
  <c r="K2687" i="19"/>
  <c r="F2687" i="19"/>
  <c r="H2687" i="19"/>
  <c r="Q2687" i="19"/>
  <c r="I2688" i="19"/>
  <c r="K2688" i="19"/>
  <c r="F2688" i="19"/>
  <c r="H2688" i="19"/>
  <c r="Q2688" i="19"/>
  <c r="I2689" i="19"/>
  <c r="K2689" i="19"/>
  <c r="F2689" i="19"/>
  <c r="H2689" i="19"/>
  <c r="Q2689" i="19"/>
  <c r="I2690" i="19"/>
  <c r="K2690" i="19"/>
  <c r="F2690" i="19"/>
  <c r="H2690" i="19"/>
  <c r="Q2690" i="19"/>
  <c r="F2691" i="19"/>
  <c r="H2691" i="19"/>
  <c r="Q2691" i="19"/>
  <c r="F2692" i="19"/>
  <c r="H2692" i="19"/>
  <c r="Q2692" i="19"/>
  <c r="F2693" i="19"/>
  <c r="H2693" i="19"/>
  <c r="Q2693" i="19"/>
  <c r="I2694" i="19"/>
  <c r="K2694" i="19"/>
  <c r="F2694" i="19"/>
  <c r="H2694" i="19"/>
  <c r="Q2694" i="19"/>
  <c r="I2695" i="19"/>
  <c r="K2695" i="19"/>
  <c r="F2695" i="19"/>
  <c r="H2695" i="19"/>
  <c r="Q2695" i="19"/>
  <c r="F2696" i="19"/>
  <c r="H2696" i="19"/>
  <c r="Q2696" i="19"/>
  <c r="I2697" i="19"/>
  <c r="K2697" i="19"/>
  <c r="F2697" i="19"/>
  <c r="H2697" i="19"/>
  <c r="Q2697" i="19"/>
  <c r="F2698" i="19"/>
  <c r="H2698" i="19"/>
  <c r="Q2698" i="19"/>
  <c r="F2699" i="19"/>
  <c r="H2699" i="19"/>
  <c r="Q2699" i="19"/>
  <c r="Q2700" i="19"/>
  <c r="I2701" i="19"/>
  <c r="K2701" i="19"/>
  <c r="F2701" i="19"/>
  <c r="H2701" i="19"/>
  <c r="Q2701" i="19"/>
  <c r="I2702" i="19"/>
  <c r="K2702" i="19"/>
  <c r="F2702" i="19"/>
  <c r="H2702" i="19"/>
  <c r="Q2702" i="19"/>
  <c r="F2703" i="19"/>
  <c r="H2703" i="19"/>
  <c r="Q2703" i="19"/>
  <c r="F2704" i="19"/>
  <c r="H2704" i="19"/>
  <c r="Q2704" i="19"/>
  <c r="F2705" i="19"/>
  <c r="H2705" i="19"/>
  <c r="Q2705" i="19"/>
  <c r="I2706" i="19"/>
  <c r="K2706" i="19"/>
  <c r="F2706" i="19"/>
  <c r="H2706" i="19"/>
  <c r="Q2706" i="19"/>
  <c r="T19" i="19"/>
  <c r="X19" i="19"/>
  <c r="U19" i="19"/>
  <c r="R2627" i="19"/>
  <c r="I2520" i="19"/>
  <c r="K2520" i="19"/>
  <c r="I2566" i="19"/>
  <c r="K2566" i="19"/>
  <c r="I2575" i="19"/>
  <c r="K2575" i="19"/>
  <c r="I2590" i="19"/>
  <c r="K2590" i="19"/>
  <c r="I2126" i="19"/>
  <c r="K2126" i="19"/>
  <c r="I1750" i="19"/>
  <c r="K1750" i="19"/>
  <c r="I1978" i="19"/>
  <c r="K1978" i="19"/>
  <c r="I3781" i="19"/>
  <c r="K3781" i="19"/>
  <c r="I3797" i="19"/>
  <c r="K3797" i="19"/>
  <c r="I3871" i="19"/>
  <c r="K3871" i="19"/>
  <c r="I3900" i="19"/>
  <c r="K3900" i="19"/>
  <c r="I3324" i="19"/>
  <c r="K3324" i="19"/>
  <c r="I3348" i="19"/>
  <c r="K3348" i="19"/>
  <c r="I3176" i="19"/>
  <c r="K3176" i="19"/>
  <c r="I3231" i="19"/>
  <c r="K3231" i="19"/>
  <c r="I3019" i="19"/>
  <c r="K3019" i="19"/>
  <c r="I3030" i="19"/>
  <c r="K3030" i="19"/>
  <c r="I3064" i="19"/>
  <c r="K3064" i="19"/>
  <c r="I2930" i="19"/>
  <c r="K2930" i="19"/>
  <c r="I5807" i="19"/>
  <c r="K5807" i="19"/>
  <c r="I5838" i="19"/>
  <c r="K5838" i="19"/>
  <c r="I5857" i="19"/>
  <c r="K5857" i="19"/>
  <c r="I5701" i="19"/>
  <c r="K5701" i="19"/>
  <c r="I5723" i="19"/>
  <c r="K5723" i="19"/>
  <c r="I2718" i="19"/>
  <c r="K2718" i="19"/>
  <c r="I2726" i="19"/>
  <c r="K2726" i="19"/>
  <c r="I2809" i="19"/>
  <c r="K2809" i="19"/>
  <c r="I2536" i="19"/>
  <c r="K2536" i="19"/>
  <c r="I2543" i="19"/>
  <c r="K2543" i="19"/>
  <c r="I2552" i="19"/>
  <c r="K2552" i="19"/>
  <c r="I2559" i="19"/>
  <c r="K2559" i="19"/>
  <c r="I2583" i="19"/>
  <c r="K2583" i="19"/>
  <c r="I2606" i="19"/>
  <c r="K2606" i="19"/>
  <c r="I2504" i="19"/>
  <c r="K2504" i="19"/>
  <c r="I1985" i="19"/>
  <c r="K1985" i="19"/>
  <c r="I3468" i="19"/>
  <c r="K3468" i="19"/>
  <c r="I3626" i="19"/>
  <c r="K3626" i="19"/>
  <c r="I3362" i="19"/>
  <c r="K3362" i="19"/>
  <c r="I3450" i="19"/>
  <c r="K3450" i="19"/>
  <c r="F3188" i="19"/>
  <c r="H3188" i="19"/>
  <c r="I3268" i="19"/>
  <c r="K3268" i="19"/>
  <c r="I2975" i="19"/>
  <c r="K2975" i="19"/>
  <c r="I5774" i="19"/>
  <c r="K5774" i="19"/>
  <c r="I5797" i="19"/>
  <c r="K5797" i="19"/>
  <c r="I5829" i="19"/>
  <c r="K5829" i="19"/>
  <c r="I5847" i="19"/>
  <c r="K5847" i="19"/>
  <c r="I5642" i="19"/>
  <c r="K5642" i="19"/>
  <c r="I5671" i="19"/>
  <c r="K5671" i="19"/>
  <c r="I5682" i="19"/>
  <c r="K5682" i="19"/>
  <c r="I2815" i="19"/>
  <c r="K2815" i="19"/>
  <c r="I2826" i="19"/>
  <c r="K2826" i="19"/>
  <c r="I2855" i="19"/>
  <c r="K2855" i="19"/>
  <c r="F2718" i="19"/>
  <c r="H2718" i="19"/>
  <c r="I2776" i="19"/>
  <c r="K2776" i="19"/>
  <c r="I2793" i="19"/>
  <c r="K2793" i="19"/>
  <c r="I2529" i="19"/>
  <c r="K2529" i="19"/>
  <c r="I2576" i="19"/>
  <c r="K2576" i="19"/>
  <c r="I513" i="19"/>
  <c r="K513" i="19"/>
  <c r="I4317" i="19"/>
  <c r="K4317" i="19"/>
  <c r="I1325" i="19"/>
  <c r="K1325" i="19"/>
  <c r="I1643" i="19"/>
  <c r="K1643" i="19"/>
  <c r="I1658" i="19"/>
  <c r="K1658" i="19"/>
  <c r="I1895" i="19"/>
  <c r="K1895" i="19"/>
  <c r="I1986" i="19"/>
  <c r="K1986" i="19"/>
  <c r="I3768" i="19"/>
  <c r="K3768" i="19"/>
  <c r="I3872" i="19"/>
  <c r="K3872" i="19"/>
  <c r="I3539" i="19"/>
  <c r="K3539" i="19"/>
  <c r="I3438" i="19"/>
  <c r="K3438" i="19"/>
  <c r="I3155" i="19"/>
  <c r="K3155" i="19"/>
  <c r="I3177" i="19"/>
  <c r="K3177" i="19"/>
  <c r="I3221" i="19"/>
  <c r="K3221" i="19"/>
  <c r="I3257" i="19"/>
  <c r="K3257" i="19"/>
  <c r="I3009" i="19"/>
  <c r="K3009" i="19"/>
  <c r="I3020" i="19"/>
  <c r="K3020" i="19"/>
  <c r="I3043" i="19"/>
  <c r="K3043" i="19"/>
  <c r="I3054" i="19"/>
  <c r="K3054" i="19"/>
  <c r="I3065" i="19"/>
  <c r="K3065" i="19"/>
  <c r="I2985" i="19"/>
  <c r="K2985" i="19"/>
  <c r="I5764" i="19"/>
  <c r="K5764" i="19"/>
  <c r="I5808" i="19"/>
  <c r="K5808" i="19"/>
  <c r="I5819" i="19"/>
  <c r="K5819" i="19"/>
  <c r="I5651" i="19"/>
  <c r="K5651" i="19"/>
  <c r="I5692" i="19"/>
  <c r="K5692" i="19"/>
  <c r="I5724" i="19"/>
  <c r="K5724" i="19"/>
  <c r="I2877" i="19"/>
  <c r="K2877" i="19"/>
  <c r="I2906" i="19"/>
  <c r="K2906" i="19"/>
  <c r="I2915" i="19"/>
  <c r="K2915" i="19"/>
  <c r="I2749" i="19"/>
  <c r="K2749" i="19"/>
  <c r="I2802" i="19"/>
  <c r="K2802" i="19"/>
  <c r="I2537" i="19"/>
  <c r="K2537" i="19"/>
  <c r="I2560" i="19"/>
  <c r="K2560" i="19"/>
  <c r="I2591" i="19"/>
  <c r="K2591" i="19"/>
  <c r="I2607" i="19"/>
  <c r="K2607" i="19"/>
  <c r="I815" i="19"/>
  <c r="K815" i="19"/>
  <c r="I4096" i="19"/>
  <c r="K4096" i="19"/>
  <c r="I4468" i="19"/>
  <c r="K4468" i="19"/>
  <c r="I2231" i="19"/>
  <c r="K2231" i="19"/>
  <c r="I2313" i="19"/>
  <c r="K2313" i="19"/>
  <c r="I1800" i="19"/>
  <c r="K1800" i="19"/>
  <c r="I3815" i="19"/>
  <c r="K3815" i="19"/>
  <c r="I3829" i="19"/>
  <c r="K3829" i="19"/>
  <c r="I3513" i="19"/>
  <c r="K3513" i="19"/>
  <c r="I3526" i="19"/>
  <c r="K3526" i="19"/>
  <c r="I3301" i="19"/>
  <c r="K3301" i="19"/>
  <c r="I3314" i="19"/>
  <c r="K3314" i="19"/>
  <c r="I3107" i="19"/>
  <c r="K3107" i="19"/>
  <c r="I3143" i="19"/>
  <c r="K3143" i="19"/>
  <c r="I3167" i="19"/>
  <c r="K3167" i="19"/>
  <c r="I3200" i="19"/>
  <c r="K3200" i="19"/>
  <c r="I3032" i="19"/>
  <c r="K3032" i="19"/>
  <c r="I3088" i="19"/>
  <c r="K3088" i="19"/>
  <c r="I2931" i="19"/>
  <c r="K2931" i="19"/>
  <c r="I2942" i="19"/>
  <c r="K2942" i="19"/>
  <c r="I2954" i="19"/>
  <c r="K2954" i="19"/>
  <c r="I2976" i="19"/>
  <c r="K2976" i="19"/>
  <c r="I5755" i="19"/>
  <c r="K5755" i="19"/>
  <c r="I5798" i="19"/>
  <c r="K5798" i="19"/>
  <c r="I5643" i="19"/>
  <c r="K5643" i="19"/>
  <c r="I2837" i="19"/>
  <c r="K2837" i="19"/>
  <c r="I2856" i="19"/>
  <c r="K2856" i="19"/>
  <c r="I2710" i="19"/>
  <c r="K2710" i="19"/>
  <c r="I2719" i="19"/>
  <c r="K2719" i="19"/>
  <c r="I2544" i="19"/>
  <c r="K2544" i="19"/>
  <c r="I2584" i="19"/>
  <c r="K2584" i="19"/>
  <c r="I1899" i="19"/>
  <c r="K1899" i="19"/>
  <c r="I1996" i="19"/>
  <c r="K1996" i="19"/>
  <c r="I3726" i="19"/>
  <c r="K3726" i="19"/>
  <c r="I3740" i="19"/>
  <c r="K3740" i="19"/>
  <c r="I3755" i="19"/>
  <c r="K3755" i="19"/>
  <c r="I3470" i="19"/>
  <c r="K3470" i="19"/>
  <c r="I3641" i="19"/>
  <c r="K3641" i="19"/>
  <c r="I3668" i="19"/>
  <c r="K3668" i="19"/>
  <c r="I3683" i="19"/>
  <c r="K3683" i="19"/>
  <c r="F3339" i="19"/>
  <c r="H3339" i="19"/>
  <c r="Q3339" i="19"/>
  <c r="R3339" i="19"/>
  <c r="I3390" i="19"/>
  <c r="K3390" i="19"/>
  <c r="I3429" i="19"/>
  <c r="K3429" i="19"/>
  <c r="I3178" i="19"/>
  <c r="K3178" i="19"/>
  <c r="I3212" i="19"/>
  <c r="K3212" i="19"/>
  <c r="I3222" i="19"/>
  <c r="K3222" i="19"/>
  <c r="I3246" i="19"/>
  <c r="K3246" i="19"/>
  <c r="I3010" i="19"/>
  <c r="K3010" i="19"/>
  <c r="I3055" i="19"/>
  <c r="K3055" i="19"/>
  <c r="I5787" i="19"/>
  <c r="K5787" i="19"/>
  <c r="I5831" i="19"/>
  <c r="K5831" i="19"/>
  <c r="I5849" i="19"/>
  <c r="K5849" i="19"/>
  <c r="F5643" i="19"/>
  <c r="H5643" i="19"/>
  <c r="I5673" i="19"/>
  <c r="K5673" i="19"/>
  <c r="I5693" i="19"/>
  <c r="K5693" i="19"/>
  <c r="I5704" i="19"/>
  <c r="K5704" i="19"/>
  <c r="I5746" i="19"/>
  <c r="K5746" i="19"/>
  <c r="I2846" i="19"/>
  <c r="K2846" i="19"/>
  <c r="I2907" i="19"/>
  <c r="K2907" i="19"/>
  <c r="I2750" i="19"/>
  <c r="K2750" i="19"/>
  <c r="I2758" i="19"/>
  <c r="K2758" i="19"/>
  <c r="F2786" i="19"/>
  <c r="H2786" i="19"/>
  <c r="Q2786" i="19"/>
  <c r="I2795" i="19"/>
  <c r="K2795" i="19"/>
  <c r="F2810" i="19"/>
  <c r="H2810" i="19"/>
  <c r="Q2810" i="19"/>
  <c r="R2810" i="19"/>
  <c r="I2515" i="19"/>
  <c r="K2515" i="19"/>
  <c r="I2530" i="19"/>
  <c r="K2530" i="19"/>
  <c r="I2577" i="19"/>
  <c r="K2577" i="19"/>
  <c r="I2064" i="19"/>
  <c r="K2064" i="19"/>
  <c r="I2266" i="19"/>
  <c r="K2266" i="19"/>
  <c r="I2280" i="19"/>
  <c r="K2280" i="19"/>
  <c r="I1280" i="19"/>
  <c r="K1280" i="19"/>
  <c r="I1343" i="19"/>
  <c r="K1343" i="19"/>
  <c r="I1660" i="19"/>
  <c r="K1660" i="19"/>
  <c r="I1901" i="19"/>
  <c r="K1901" i="19"/>
  <c r="I2001" i="19"/>
  <c r="K2001" i="19"/>
  <c r="I3514" i="19"/>
  <c r="K3514" i="19"/>
  <c r="I3556" i="19"/>
  <c r="K3556" i="19"/>
  <c r="I3403" i="19"/>
  <c r="K3403" i="19"/>
  <c r="I3097" i="19"/>
  <c r="K3097" i="19"/>
  <c r="I3168" i="19"/>
  <c r="K3168" i="19"/>
  <c r="I3235" i="19"/>
  <c r="K3235" i="19"/>
  <c r="I3022" i="19"/>
  <c r="K3022" i="19"/>
  <c r="I3033" i="19"/>
  <c r="K3033" i="19"/>
  <c r="I3079" i="19"/>
  <c r="K3079" i="19"/>
  <c r="I2932" i="19"/>
  <c r="K2932" i="19"/>
  <c r="I5860" i="19"/>
  <c r="K5860" i="19"/>
  <c r="I5652" i="19"/>
  <c r="K5652" i="19"/>
  <c r="I5725" i="19"/>
  <c r="K5725" i="19"/>
  <c r="I2817" i="19"/>
  <c r="K2817" i="19"/>
  <c r="I2888" i="19"/>
  <c r="K2888" i="19"/>
  <c r="I2803" i="19"/>
  <c r="K2803" i="19"/>
  <c r="I2538" i="19"/>
  <c r="K2538" i="19"/>
  <c r="I2554" i="19"/>
  <c r="K2554" i="19"/>
  <c r="I2569" i="19"/>
  <c r="K2569" i="19"/>
  <c r="I2585" i="19"/>
  <c r="K2585" i="19"/>
  <c r="I2332" i="19"/>
  <c r="K2332" i="19"/>
  <c r="I1741" i="19"/>
  <c r="K1741" i="19"/>
  <c r="I1772" i="19"/>
  <c r="K1772" i="19"/>
  <c r="F2006" i="19"/>
  <c r="H2006" i="19"/>
  <c r="Q2006" i="19"/>
  <c r="R2006" i="19"/>
  <c r="I3741" i="19"/>
  <c r="K3741" i="19"/>
  <c r="I3756" i="19"/>
  <c r="K3756" i="19"/>
  <c r="I3817" i="19"/>
  <c r="K3817" i="19"/>
  <c r="I3601" i="19"/>
  <c r="K3601" i="19"/>
  <c r="I3340" i="19"/>
  <c r="K3340" i="19"/>
  <c r="I3417" i="19"/>
  <c r="K3417" i="19"/>
  <c r="I3108" i="19"/>
  <c r="K3108" i="19"/>
  <c r="I3145" i="19"/>
  <c r="K3145" i="19"/>
  <c r="I3270" i="19"/>
  <c r="K3270" i="19"/>
  <c r="I2977" i="19"/>
  <c r="K2977" i="19"/>
  <c r="I5756" i="19"/>
  <c r="K5756" i="19"/>
  <c r="I5766" i="19"/>
  <c r="K5766" i="19"/>
  <c r="I5799" i="19"/>
  <c r="K5799" i="19"/>
  <c r="I5870" i="19"/>
  <c r="K5870" i="19"/>
  <c r="I5644" i="19"/>
  <c r="K5644" i="19"/>
  <c r="I5694" i="19"/>
  <c r="K5694" i="19"/>
  <c r="I2869" i="19"/>
  <c r="K2869" i="19"/>
  <c r="I2879" i="19"/>
  <c r="K2879" i="19"/>
  <c r="I2711" i="19"/>
  <c r="K2711" i="19"/>
  <c r="I2720" i="19"/>
  <c r="K2720" i="19"/>
  <c r="I2729" i="19"/>
  <c r="K2729" i="19"/>
  <c r="I2739" i="19"/>
  <c r="K2739" i="19"/>
  <c r="I2545" i="19"/>
  <c r="K2545" i="19"/>
  <c r="I2578" i="19"/>
  <c r="K2578" i="19"/>
  <c r="I2601" i="19"/>
  <c r="K2601" i="19"/>
  <c r="I4273" i="19"/>
  <c r="K4273" i="19"/>
  <c r="I2065" i="19"/>
  <c r="K2065" i="19"/>
  <c r="I2338" i="19"/>
  <c r="K2338" i="19"/>
  <c r="I1329" i="19"/>
  <c r="K1329" i="19"/>
  <c r="I1481" i="19"/>
  <c r="K1481" i="19"/>
  <c r="I1631" i="19"/>
  <c r="K1631" i="19"/>
  <c r="I1789" i="19"/>
  <c r="K1789" i="19"/>
  <c r="I2008" i="19"/>
  <c r="K2008" i="19"/>
  <c r="I3906" i="19"/>
  <c r="K3906" i="19"/>
  <c r="I3501" i="19"/>
  <c r="K3501" i="19"/>
  <c r="I3643" i="19"/>
  <c r="K3643" i="19"/>
  <c r="I3657" i="19"/>
  <c r="K3657" i="19"/>
  <c r="I3367" i="19"/>
  <c r="K3367" i="19"/>
  <c r="I3378" i="19"/>
  <c r="K3378" i="19"/>
  <c r="I3098" i="19"/>
  <c r="K3098" i="19"/>
  <c r="I3260" i="19"/>
  <c r="K3260" i="19"/>
  <c r="I2968" i="19"/>
  <c r="K2968" i="19"/>
  <c r="I2988" i="19"/>
  <c r="K2988" i="19"/>
  <c r="I2999" i="19"/>
  <c r="K2999" i="19"/>
  <c r="I5832" i="19"/>
  <c r="K5832" i="19"/>
  <c r="I5841" i="19"/>
  <c r="K5841" i="19"/>
  <c r="I5674" i="19"/>
  <c r="K5674" i="19"/>
  <c r="I5685" i="19"/>
  <c r="K5685" i="19"/>
  <c r="I5747" i="19"/>
  <c r="K5747" i="19"/>
  <c r="I2909" i="19"/>
  <c r="K2909" i="19"/>
  <c r="I2917" i="19"/>
  <c r="K2917" i="19"/>
  <c r="I2751" i="19"/>
  <c r="K2751" i="19"/>
  <c r="I2779" i="19"/>
  <c r="K2779" i="19"/>
  <c r="I2788" i="19"/>
  <c r="K2788" i="19"/>
  <c r="I2796" i="19"/>
  <c r="K2796" i="19"/>
  <c r="I2804" i="19"/>
  <c r="K2804" i="19"/>
  <c r="I2516" i="19"/>
  <c r="K2516" i="19"/>
  <c r="I2524" i="19"/>
  <c r="K2524" i="19"/>
  <c r="I2531" i="19"/>
  <c r="K2531" i="19"/>
  <c r="I2562" i="19"/>
  <c r="K2562" i="19"/>
  <c r="I4785" i="19"/>
  <c r="K4785" i="19"/>
  <c r="I4942" i="19"/>
  <c r="K4942" i="19"/>
  <c r="I3967" i="19"/>
  <c r="K3967" i="19"/>
  <c r="I2346" i="19"/>
  <c r="K2346" i="19"/>
  <c r="I1315" i="19"/>
  <c r="K1315" i="19"/>
  <c r="I3573" i="19"/>
  <c r="K3573" i="19"/>
  <c r="I3291" i="19"/>
  <c r="K3291" i="19"/>
  <c r="I3159" i="19"/>
  <c r="K3159" i="19"/>
  <c r="I3203" i="19"/>
  <c r="K3203" i="19"/>
  <c r="I3013" i="19"/>
  <c r="K3013" i="19"/>
  <c r="I5757" i="19"/>
  <c r="K5757" i="19"/>
  <c r="I5779" i="19"/>
  <c r="K5779" i="19"/>
  <c r="I5851" i="19"/>
  <c r="K5851" i="19"/>
  <c r="I5706" i="19"/>
  <c r="K5706" i="19"/>
  <c r="I5717" i="19"/>
  <c r="K5717" i="19"/>
  <c r="I2539" i="19"/>
  <c r="K2539" i="19"/>
  <c r="F2545" i="19"/>
  <c r="H2545" i="19"/>
  <c r="Q2545" i="19"/>
  <c r="I2555" i="19"/>
  <c r="K2555" i="19"/>
  <c r="I2587" i="19"/>
  <c r="K2587" i="19"/>
  <c r="I2594" i="19"/>
  <c r="K2594" i="19"/>
  <c r="I5012" i="19"/>
  <c r="K5012" i="19"/>
  <c r="I5256" i="19"/>
  <c r="K5256" i="19"/>
  <c r="I4458" i="19"/>
  <c r="K4458" i="19"/>
  <c r="I2356" i="19"/>
  <c r="K2356" i="19"/>
  <c r="I1742" i="19"/>
  <c r="K1742" i="19"/>
  <c r="I2023" i="19"/>
  <c r="K2023" i="19"/>
  <c r="I3729" i="19"/>
  <c r="K3729" i="19"/>
  <c r="I3864" i="19"/>
  <c r="K3864" i="19"/>
  <c r="I3878" i="19"/>
  <c r="K3878" i="19"/>
  <c r="I3672" i="19"/>
  <c r="K3672" i="19"/>
  <c r="I3306" i="19"/>
  <c r="K3306" i="19"/>
  <c r="I3341" i="19"/>
  <c r="K3341" i="19"/>
  <c r="F3393" i="19"/>
  <c r="H3393" i="19"/>
  <c r="I3419" i="19"/>
  <c r="K3419" i="19"/>
  <c r="I3110" i="19"/>
  <c r="K3110" i="19"/>
  <c r="I3122" i="19"/>
  <c r="K3122" i="19"/>
  <c r="I3135" i="19"/>
  <c r="K3135" i="19"/>
  <c r="I3170" i="19"/>
  <c r="K3170" i="19"/>
  <c r="I3182" i="19"/>
  <c r="K3182" i="19"/>
  <c r="I3193" i="19"/>
  <c r="K3193" i="19"/>
  <c r="I3249" i="19"/>
  <c r="K3249" i="19"/>
  <c r="I3025" i="19"/>
  <c r="K3025" i="19"/>
  <c r="I3070" i="19"/>
  <c r="K3070" i="19"/>
  <c r="I2935" i="19"/>
  <c r="K2935" i="19"/>
  <c r="I2969" i="19"/>
  <c r="K2969" i="19"/>
  <c r="I5791" i="19"/>
  <c r="K5791" i="19"/>
  <c r="I5862" i="19"/>
  <c r="K5862" i="19"/>
  <c r="I5675" i="19"/>
  <c r="K5675" i="19"/>
  <c r="I5686" i="19"/>
  <c r="K5686" i="19"/>
  <c r="I2849" i="19"/>
  <c r="K2849" i="19"/>
  <c r="I2891" i="19"/>
  <c r="K2891" i="19"/>
  <c r="I2741" i="19"/>
  <c r="K2741" i="19"/>
  <c r="I2517" i="19"/>
  <c r="K2517" i="19"/>
  <c r="I2563" i="19"/>
  <c r="K2563" i="19"/>
  <c r="I2571" i="19"/>
  <c r="K2571" i="19"/>
  <c r="I2602" i="19"/>
  <c r="K2602" i="19"/>
  <c r="I4392" i="19"/>
  <c r="K4392" i="19"/>
  <c r="I1468" i="19"/>
  <c r="K1468" i="19"/>
  <c r="I1792" i="19"/>
  <c r="K1792" i="19"/>
  <c r="I1940" i="19"/>
  <c r="K1940" i="19"/>
  <c r="I3836" i="19"/>
  <c r="K3836" i="19"/>
  <c r="I3590" i="19"/>
  <c r="K3590" i="19"/>
  <c r="I3633" i="19"/>
  <c r="K3633" i="19"/>
  <c r="I3646" i="19"/>
  <c r="K3646" i="19"/>
  <c r="I3660" i="19"/>
  <c r="K3660" i="19"/>
  <c r="I3171" i="19"/>
  <c r="K3171" i="19"/>
  <c r="I3204" i="19"/>
  <c r="K3204" i="19"/>
  <c r="I3250" i="19"/>
  <c r="K3250" i="19"/>
  <c r="I3060" i="19"/>
  <c r="K3060" i="19"/>
  <c r="I2959" i="19"/>
  <c r="K2959" i="19"/>
  <c r="I2981" i="19"/>
  <c r="K2981" i="19"/>
  <c r="I3001" i="19"/>
  <c r="K3001" i="19"/>
  <c r="I5758" i="19"/>
  <c r="K5758" i="19"/>
  <c r="I5792" i="19"/>
  <c r="K5792" i="19"/>
  <c r="I5834" i="19"/>
  <c r="K5834" i="19"/>
  <c r="I5853" i="19"/>
  <c r="K5853" i="19"/>
  <c r="I5863" i="19"/>
  <c r="K5863" i="19"/>
  <c r="I5637" i="19"/>
  <c r="K5637" i="19"/>
  <c r="I5687" i="19"/>
  <c r="K5687" i="19"/>
  <c r="I2831" i="19"/>
  <c r="K2831" i="19"/>
  <c r="I2850" i="19"/>
  <c r="K2850" i="19"/>
  <c r="I2871" i="19"/>
  <c r="K2871" i="19"/>
  <c r="I2919" i="19"/>
  <c r="K2919" i="19"/>
  <c r="I2732" i="19"/>
  <c r="K2732" i="19"/>
  <c r="I2564" i="19"/>
  <c r="K2564" i="19"/>
  <c r="I2572" i="19"/>
  <c r="K2572" i="19"/>
  <c r="I2588" i="19"/>
  <c r="K2588" i="19"/>
  <c r="I3562" i="19"/>
  <c r="K3562" i="19"/>
  <c r="I5815" i="19"/>
  <c r="K5815" i="19"/>
  <c r="I2723" i="19"/>
  <c r="K2723" i="19"/>
  <c r="I2771" i="19"/>
  <c r="K2771" i="19"/>
  <c r="I3918" i="19"/>
  <c r="K3918" i="19"/>
  <c r="I2381" i="19"/>
  <c r="K2381" i="19"/>
  <c r="I3331" i="19"/>
  <c r="K3331" i="19"/>
  <c r="I3101" i="19"/>
  <c r="K3101" i="19"/>
  <c r="I3036" i="19"/>
  <c r="K3036" i="19"/>
  <c r="I2841" i="19"/>
  <c r="K2841" i="19"/>
  <c r="I2789" i="19"/>
  <c r="K2789" i="19"/>
  <c r="I3239" i="19"/>
  <c r="K3239" i="19"/>
  <c r="I2546" i="19"/>
  <c r="K2546" i="19"/>
  <c r="I3281" i="19"/>
  <c r="K3281" i="19"/>
  <c r="I3274" i="19"/>
  <c r="K3274" i="19"/>
  <c r="I3037" i="19"/>
  <c r="K3037" i="19"/>
  <c r="I2893" i="19"/>
  <c r="K2893" i="19"/>
  <c r="I3369" i="19"/>
  <c r="K3369" i="19"/>
  <c r="I2937" i="19"/>
  <c r="K2937" i="19"/>
  <c r="I2910" i="19"/>
  <c r="K2910" i="19"/>
  <c r="I2742" i="19"/>
  <c r="K2742" i="19"/>
  <c r="I2549" i="19"/>
  <c r="K2549" i="19"/>
  <c r="I2532" i="19"/>
  <c r="K2532" i="19"/>
  <c r="I1621" i="19"/>
  <c r="K1621" i="19"/>
  <c r="I3370" i="19"/>
  <c r="K3370" i="19"/>
  <c r="I5771" i="19"/>
  <c r="K5771" i="19"/>
  <c r="I2911" i="19"/>
  <c r="K2911" i="19"/>
  <c r="I2761" i="19"/>
  <c r="K2761" i="19"/>
  <c r="I2518" i="19"/>
  <c r="K2518" i="19"/>
  <c r="I4592" i="19"/>
  <c r="K4592" i="19"/>
  <c r="I4474" i="19"/>
  <c r="K4474" i="19"/>
  <c r="I2990" i="19"/>
  <c r="K2990" i="19"/>
  <c r="I1839" i="19"/>
  <c r="K1839" i="19"/>
  <c r="I2762" i="19"/>
  <c r="K2762" i="19"/>
  <c r="I1841" i="19"/>
  <c r="K1841" i="19"/>
  <c r="I3263" i="19"/>
  <c r="K3263" i="19"/>
  <c r="I5824" i="19"/>
  <c r="K5824" i="19"/>
  <c r="I5739" i="19"/>
  <c r="K5739" i="19"/>
  <c r="I2603" i="19"/>
  <c r="K2603" i="19"/>
  <c r="I3702" i="19"/>
  <c r="K3702" i="19"/>
  <c r="I2797" i="19"/>
  <c r="K2797" i="19"/>
  <c r="I3503" i="19"/>
  <c r="K3503" i="19"/>
  <c r="I5825" i="19"/>
  <c r="K5825" i="19"/>
  <c r="I5740" i="19"/>
  <c r="K5740" i="19"/>
  <c r="I4051" i="19"/>
  <c r="K4051" i="19"/>
  <c r="I4409" i="19"/>
  <c r="K4409" i="19"/>
  <c r="I2271" i="19"/>
  <c r="K2271" i="19"/>
  <c r="I2901" i="19"/>
  <c r="K2901" i="19"/>
  <c r="I2547" i="19"/>
  <c r="K2547" i="19"/>
  <c r="I3215" i="19"/>
  <c r="K3215" i="19"/>
  <c r="I5844" i="19"/>
  <c r="K5844" i="19"/>
  <c r="I2557" i="19"/>
  <c r="K2557" i="19"/>
  <c r="I2946" i="19"/>
  <c r="K2946" i="19"/>
  <c r="I5728" i="19"/>
  <c r="K5728" i="19"/>
  <c r="I2821" i="19"/>
  <c r="K2821" i="19"/>
  <c r="I2548" i="19"/>
  <c r="K2548" i="19"/>
  <c r="I4341" i="19"/>
  <c r="K4341" i="19"/>
  <c r="I2205" i="19"/>
  <c r="K2205" i="19"/>
  <c r="I2526" i="19"/>
  <c r="K2526" i="19"/>
  <c r="I2822" i="19"/>
  <c r="K2822" i="19"/>
  <c r="I5780" i="19"/>
  <c r="K5780" i="19"/>
  <c r="F5442" i="19"/>
  <c r="H5442" i="19"/>
  <c r="Q5442" i="19"/>
  <c r="R5442" i="19"/>
  <c r="F4748" i="19"/>
  <c r="H4748" i="19"/>
  <c r="Q4748" i="19"/>
  <c r="R4748" i="19"/>
  <c r="F5072" i="19"/>
  <c r="H5072" i="19"/>
  <c r="F5498" i="19"/>
  <c r="H5498" i="19"/>
  <c r="Q5498" i="19"/>
  <c r="R5498" i="19"/>
  <c r="F4785" i="19"/>
  <c r="H4785" i="19"/>
  <c r="Q4785" i="19"/>
  <c r="R4785" i="19"/>
  <c r="F5028" i="19"/>
  <c r="H5028" i="19"/>
  <c r="Q5028" i="19"/>
  <c r="R5028" i="19"/>
  <c r="F5430" i="19"/>
  <c r="H5430" i="19"/>
  <c r="Q5430" i="19"/>
  <c r="R5430" i="19"/>
  <c r="F4697" i="19"/>
  <c r="H4697" i="19"/>
  <c r="Q4697" i="19"/>
  <c r="R4697" i="19"/>
  <c r="F5052" i="19"/>
  <c r="H5052" i="19"/>
  <c r="F5451" i="19"/>
  <c r="H5451" i="19"/>
  <c r="F4706" i="19"/>
  <c r="H4706" i="19"/>
  <c r="Q4706" i="19"/>
  <c r="F5093" i="19"/>
  <c r="H5093" i="19"/>
  <c r="F5546" i="19"/>
  <c r="H5546" i="19"/>
  <c r="Q5546" i="19"/>
  <c r="R5546" i="19"/>
  <c r="F4881" i="19"/>
  <c r="H4881" i="19"/>
  <c r="Q4881" i="19"/>
  <c r="R4881" i="19"/>
  <c r="F738" i="19"/>
  <c r="H738" i="19"/>
  <c r="F5588" i="19"/>
  <c r="H5588" i="19"/>
  <c r="F5445" i="19"/>
  <c r="H5445" i="19"/>
  <c r="F4590" i="19"/>
  <c r="H4590" i="19"/>
  <c r="Q4590" i="19"/>
  <c r="F4919" i="19"/>
  <c r="H4919" i="19"/>
  <c r="F5170" i="19"/>
  <c r="H5170" i="19"/>
  <c r="F5601" i="19"/>
  <c r="H5601" i="19"/>
  <c r="F4927" i="19"/>
  <c r="H4927" i="19"/>
  <c r="F418" i="19"/>
  <c r="H418" i="19"/>
  <c r="F4627" i="19"/>
  <c r="H4627" i="19"/>
  <c r="F5119" i="19"/>
  <c r="H5119" i="19"/>
  <c r="Q5119" i="19"/>
  <c r="R5119" i="19"/>
  <c r="F4146" i="19"/>
  <c r="H4146" i="19"/>
  <c r="F4401" i="19"/>
  <c r="H4401" i="19"/>
  <c r="F5583" i="19"/>
  <c r="H5583" i="19"/>
  <c r="F5133" i="19"/>
  <c r="H5133" i="19"/>
  <c r="Q5133" i="19"/>
  <c r="R5133" i="19"/>
  <c r="F5326" i="19"/>
  <c r="H5326" i="19"/>
  <c r="F664" i="19"/>
  <c r="H664" i="19"/>
  <c r="Q664" i="19"/>
  <c r="R664" i="19"/>
  <c r="F4722" i="19"/>
  <c r="H4722" i="19"/>
  <c r="F5315" i="19"/>
  <c r="H5315" i="19"/>
  <c r="F4157" i="19"/>
  <c r="H4157" i="19"/>
  <c r="Q4157" i="19"/>
  <c r="R4157" i="19"/>
  <c r="F2130" i="19"/>
  <c r="H2130" i="19"/>
  <c r="F2506" i="19"/>
  <c r="H2506" i="19"/>
  <c r="Q2506" i="19"/>
  <c r="R2506" i="19"/>
  <c r="F737" i="19"/>
  <c r="H737" i="19"/>
  <c r="Q737" i="19"/>
  <c r="R737" i="19"/>
  <c r="F4857" i="19"/>
  <c r="H4857" i="19"/>
  <c r="F3930" i="19"/>
  <c r="H3930" i="19"/>
  <c r="F4249" i="19"/>
  <c r="H4249" i="19"/>
  <c r="Q4249" i="19"/>
  <c r="R4249" i="19"/>
  <c r="F2079" i="19"/>
  <c r="H2079" i="19"/>
  <c r="F2367" i="19"/>
  <c r="H2367" i="19"/>
  <c r="Q2367" i="19"/>
  <c r="R2367" i="19"/>
  <c r="F1392" i="19"/>
  <c r="H1392" i="19"/>
  <c r="F4656" i="19"/>
  <c r="H4656" i="19"/>
  <c r="Q4656" i="19"/>
  <c r="R4656" i="19"/>
  <c r="F5287" i="19"/>
  <c r="H5287" i="19"/>
  <c r="Q5287" i="19"/>
  <c r="R5287" i="19"/>
  <c r="F4132" i="19"/>
  <c r="H4132" i="19"/>
  <c r="F4440" i="19"/>
  <c r="H4440" i="19"/>
  <c r="F2312" i="19"/>
  <c r="H2312" i="19"/>
  <c r="F1330" i="19"/>
  <c r="H1330" i="19"/>
  <c r="F4915" i="19"/>
  <c r="H4915" i="19"/>
  <c r="Q4915" i="19"/>
  <c r="F5283" i="19"/>
  <c r="H5283" i="19"/>
  <c r="F4236" i="19"/>
  <c r="H4236" i="19"/>
  <c r="F2219" i="19"/>
  <c r="H2219" i="19"/>
  <c r="F611" i="19"/>
  <c r="H611" i="19"/>
  <c r="F4911" i="19"/>
  <c r="H4911" i="19"/>
  <c r="Q4911" i="19"/>
  <c r="R4911" i="19"/>
  <c r="F4259" i="19"/>
  <c r="H4259" i="19"/>
  <c r="F2070" i="19"/>
  <c r="H2070" i="19"/>
  <c r="Q2070" i="19"/>
  <c r="R2070" i="19"/>
  <c r="F5250" i="19"/>
  <c r="H5250" i="19"/>
  <c r="Q5250" i="19"/>
  <c r="R5250" i="19"/>
  <c r="F4171" i="19"/>
  <c r="H4171" i="19"/>
  <c r="Q4171" i="19"/>
  <c r="R4171" i="19"/>
  <c r="F2160" i="19"/>
  <c r="H2160" i="19"/>
  <c r="F1306" i="19"/>
  <c r="H1306" i="19"/>
  <c r="F4522" i="19"/>
  <c r="H4522" i="19"/>
  <c r="F5218" i="19"/>
  <c r="H5218" i="19"/>
  <c r="Q5218" i="19"/>
  <c r="R5218" i="19"/>
  <c r="F4193" i="19"/>
  <c r="H4193" i="19"/>
  <c r="F2176" i="19"/>
  <c r="H2176" i="19"/>
  <c r="Q2176" i="19"/>
  <c r="R2176" i="19"/>
  <c r="F1372" i="19"/>
  <c r="H1372" i="19"/>
  <c r="F4730" i="19"/>
  <c r="H4730" i="19"/>
  <c r="Q4730" i="19"/>
  <c r="F4049" i="19"/>
  <c r="H4049" i="19"/>
  <c r="Q4049" i="19"/>
  <c r="F2232" i="19"/>
  <c r="H2232" i="19"/>
  <c r="F4753" i="19"/>
  <c r="H4753" i="19"/>
  <c r="F4127" i="19"/>
  <c r="H4127" i="19"/>
  <c r="Q4127" i="19"/>
  <c r="F2253" i="19"/>
  <c r="H2253" i="19"/>
  <c r="F1529" i="19"/>
  <c r="H1529" i="19"/>
  <c r="Q1529" i="19"/>
  <c r="R1529" i="19"/>
  <c r="F4938" i="19"/>
  <c r="H4938" i="19"/>
  <c r="F3989" i="19"/>
  <c r="H3989" i="19"/>
  <c r="Q3989" i="19"/>
  <c r="R3989" i="19"/>
  <c r="F4404" i="19"/>
  <c r="H4404" i="19"/>
  <c r="F1379" i="19"/>
  <c r="H1379" i="19"/>
  <c r="F5509" i="19"/>
  <c r="H5509" i="19"/>
  <c r="Q5509" i="19"/>
  <c r="R5509" i="19"/>
  <c r="F5209" i="19"/>
  <c r="H5209" i="19"/>
  <c r="Q5209" i="19"/>
  <c r="F2097" i="19"/>
  <c r="H2097" i="19"/>
  <c r="F1264" i="19"/>
  <c r="H1264" i="19"/>
  <c r="Q1264" i="19"/>
  <c r="R1264" i="19"/>
  <c r="F4934" i="19"/>
  <c r="H4934" i="19"/>
  <c r="Q4934" i="19"/>
  <c r="R4934" i="19"/>
  <c r="F5053" i="19"/>
  <c r="H5053" i="19"/>
  <c r="Q5053" i="19"/>
  <c r="R5053" i="19"/>
  <c r="F4139" i="19"/>
  <c r="H4139" i="19"/>
  <c r="Q4139" i="19"/>
  <c r="F2464" i="19"/>
  <c r="H2464" i="19"/>
  <c r="Q2464" i="19"/>
  <c r="F4047" i="19"/>
  <c r="H4047" i="19"/>
  <c r="F2252" i="19"/>
  <c r="H2252" i="19"/>
  <c r="F1546" i="19"/>
  <c r="H1546" i="19"/>
  <c r="F4792" i="19"/>
  <c r="H4792" i="19"/>
  <c r="F4370" i="19"/>
  <c r="H4370" i="19"/>
  <c r="F2434" i="19"/>
  <c r="H2434" i="19"/>
  <c r="F5497" i="19"/>
  <c r="H5497" i="19"/>
  <c r="F5224" i="19"/>
  <c r="H5224" i="19"/>
  <c r="F4450" i="19"/>
  <c r="H4450" i="19"/>
  <c r="Q4450" i="19"/>
  <c r="R4450" i="19"/>
  <c r="F4865" i="19"/>
  <c r="H4865" i="19"/>
  <c r="Q4865" i="19"/>
  <c r="R4865" i="19"/>
  <c r="F2054" i="19"/>
  <c r="H2054" i="19"/>
  <c r="F1470" i="19"/>
  <c r="H1470" i="19"/>
  <c r="Q1470" i="19"/>
  <c r="R1470" i="19"/>
  <c r="F5018" i="19"/>
  <c r="H5018" i="19"/>
  <c r="F2198" i="19"/>
  <c r="H2198" i="19"/>
  <c r="Q2198" i="19"/>
  <c r="R2198" i="19"/>
  <c r="F1594" i="19"/>
  <c r="H1594" i="19"/>
  <c r="F5350" i="19"/>
  <c r="H5350" i="19"/>
  <c r="Q5350" i="19"/>
  <c r="R5350" i="19"/>
  <c r="F5320" i="19"/>
  <c r="H5320" i="19"/>
  <c r="F2359" i="19"/>
  <c r="H2359" i="19"/>
  <c r="F4035" i="19"/>
  <c r="H4035" i="19"/>
  <c r="F2238" i="19"/>
  <c r="H2238" i="19"/>
  <c r="F1566" i="19"/>
  <c r="H1566" i="19"/>
  <c r="Q1566" i="19"/>
  <c r="R1566" i="19"/>
  <c r="F2087" i="19"/>
  <c r="H2087" i="19"/>
  <c r="F1646" i="19"/>
  <c r="H1646" i="19"/>
  <c r="F3710" i="19"/>
  <c r="H3710" i="19"/>
  <c r="Q3710" i="19"/>
  <c r="R3710" i="19"/>
  <c r="F3514" i="19"/>
  <c r="H3514" i="19"/>
  <c r="F3134" i="19"/>
  <c r="H3134" i="19"/>
  <c r="F3002" i="19"/>
  <c r="H3002" i="19"/>
  <c r="F4267" i="19"/>
  <c r="H4267" i="19"/>
  <c r="Q4267" i="19"/>
  <c r="R4267" i="19"/>
  <c r="F1357" i="19"/>
  <c r="H1357" i="19"/>
  <c r="F1743" i="19"/>
  <c r="H1743" i="19"/>
  <c r="Q1743" i="19"/>
  <c r="R1743" i="19"/>
  <c r="F3803" i="19"/>
  <c r="H3803" i="19"/>
  <c r="F3342" i="19"/>
  <c r="H3342" i="19"/>
  <c r="F2945" i="19"/>
  <c r="H2945" i="19"/>
  <c r="F4791" i="19"/>
  <c r="H4791" i="19"/>
  <c r="Q4791" i="19"/>
  <c r="F4145" i="19"/>
  <c r="H4145" i="19"/>
  <c r="F626" i="19"/>
  <c r="H626" i="19"/>
  <c r="F4972" i="19"/>
  <c r="H4972" i="19"/>
  <c r="F2313" i="19"/>
  <c r="H2313" i="19"/>
  <c r="Q2313" i="19"/>
  <c r="R2313" i="19"/>
  <c r="F1682" i="19"/>
  <c r="H1682" i="19"/>
  <c r="Q1682" i="19"/>
  <c r="F1976" i="19"/>
  <c r="H1976" i="19"/>
  <c r="Q1976" i="19"/>
  <c r="R1976" i="19"/>
  <c r="F4189" i="19"/>
  <c r="H4189" i="19"/>
  <c r="F2405" i="19"/>
  <c r="H2405" i="19"/>
  <c r="Q2405" i="19"/>
  <c r="R2405" i="19"/>
  <c r="F5102" i="19"/>
  <c r="H5102" i="19"/>
  <c r="F5251" i="19"/>
  <c r="H5251" i="19"/>
  <c r="F1626" i="19"/>
  <c r="H1626" i="19"/>
  <c r="F2003" i="19"/>
  <c r="H2003" i="19"/>
  <c r="Q2003" i="19"/>
  <c r="R2003" i="19"/>
  <c r="F4512" i="19"/>
  <c r="H4512" i="19"/>
  <c r="F2387" i="19"/>
  <c r="H2387" i="19"/>
  <c r="F1888" i="19"/>
  <c r="H1888" i="19"/>
  <c r="F3886" i="19"/>
  <c r="H3886" i="19"/>
  <c r="Q3886" i="19"/>
  <c r="F2477" i="19"/>
  <c r="H2477" i="19"/>
  <c r="F1715" i="19"/>
  <c r="H1715" i="19"/>
  <c r="F3825" i="19"/>
  <c r="H3825" i="19"/>
  <c r="F2171" i="19"/>
  <c r="H2171" i="19"/>
  <c r="F5308" i="19"/>
  <c r="H5308" i="19"/>
  <c r="Q5308" i="19"/>
  <c r="R5308" i="19"/>
  <c r="F1397" i="19"/>
  <c r="H1397" i="19"/>
  <c r="F1908" i="19"/>
  <c r="H1908" i="19"/>
  <c r="F5042" i="19"/>
  <c r="H5042" i="19"/>
  <c r="Q5042" i="19"/>
  <c r="R5042" i="19"/>
  <c r="F1574" i="19"/>
  <c r="H1574" i="19"/>
  <c r="Q1574" i="19"/>
  <c r="R1574" i="19"/>
  <c r="F3772" i="19"/>
  <c r="H3772" i="19"/>
  <c r="F3344" i="19"/>
  <c r="H3344" i="19"/>
  <c r="F3245" i="19"/>
  <c r="H3245" i="19"/>
  <c r="F5725" i="19"/>
  <c r="H5725" i="19"/>
  <c r="Q5725" i="19"/>
  <c r="F5174" i="19"/>
  <c r="H5174" i="19"/>
  <c r="F1599" i="19"/>
  <c r="H1599" i="19"/>
  <c r="F2025" i="19"/>
  <c r="H2025" i="19"/>
  <c r="F3631" i="19"/>
  <c r="H3631" i="19"/>
  <c r="F3267" i="19"/>
  <c r="H3267" i="19"/>
  <c r="F5846" i="19"/>
  <c r="H5846" i="19"/>
  <c r="F4891" i="19"/>
  <c r="H4891" i="19"/>
  <c r="F5489" i="19"/>
  <c r="H5489" i="19"/>
  <c r="Q5489" i="19"/>
  <c r="R5489" i="19"/>
  <c r="F4789" i="19"/>
  <c r="H4789" i="19"/>
  <c r="F5100" i="19"/>
  <c r="H5100" i="19"/>
  <c r="F5528" i="19"/>
  <c r="H5528" i="19"/>
  <c r="F4810" i="19"/>
  <c r="H4810" i="19"/>
  <c r="F5056" i="19"/>
  <c r="H5056" i="19"/>
  <c r="F5485" i="19"/>
  <c r="H5485" i="19"/>
  <c r="F4719" i="19"/>
  <c r="H4719" i="19"/>
  <c r="Q4719" i="19"/>
  <c r="R4719" i="19"/>
  <c r="F5068" i="19"/>
  <c r="H5068" i="19"/>
  <c r="Q5068" i="19"/>
  <c r="F5468" i="19"/>
  <c r="H5468" i="19"/>
  <c r="Q5468" i="19"/>
  <c r="R5468" i="19"/>
  <c r="F4757" i="19"/>
  <c r="H4757" i="19"/>
  <c r="F5130" i="19"/>
  <c r="H5130" i="19"/>
  <c r="Q5130" i="19"/>
  <c r="R5130" i="19"/>
  <c r="F5579" i="19"/>
  <c r="H5579" i="19"/>
  <c r="F4901" i="19"/>
  <c r="H4901" i="19"/>
  <c r="F5364" i="19"/>
  <c r="H5364" i="19"/>
  <c r="F5596" i="19"/>
  <c r="H5596" i="19"/>
  <c r="Q5596" i="19"/>
  <c r="R5596" i="19"/>
  <c r="F5466" i="19"/>
  <c r="H5466" i="19"/>
  <c r="F4624" i="19"/>
  <c r="H4624" i="19"/>
  <c r="Q4624" i="19"/>
  <c r="F4960" i="19"/>
  <c r="H4960" i="19"/>
  <c r="Q4960" i="19"/>
  <c r="R4960" i="19"/>
  <c r="F5194" i="19"/>
  <c r="H5194" i="19"/>
  <c r="F5622" i="19"/>
  <c r="H5622" i="19"/>
  <c r="Q5622" i="19"/>
  <c r="R5622" i="19"/>
  <c r="F4935" i="19"/>
  <c r="H4935" i="19"/>
  <c r="Q4935" i="19"/>
  <c r="F623" i="19"/>
  <c r="H623" i="19"/>
  <c r="F4665" i="19"/>
  <c r="H4665" i="19"/>
  <c r="Q4665" i="19"/>
  <c r="R4665" i="19"/>
  <c r="F5244" i="19"/>
  <c r="H5244" i="19"/>
  <c r="Q5244" i="19"/>
  <c r="R5244" i="19"/>
  <c r="F4170" i="19"/>
  <c r="H4170" i="19"/>
  <c r="F401" i="19"/>
  <c r="H401" i="19"/>
  <c r="F5626" i="19"/>
  <c r="H5626" i="19"/>
  <c r="Q5626" i="19"/>
  <c r="R5626" i="19"/>
  <c r="F5190" i="19"/>
  <c r="H5190" i="19"/>
  <c r="Q5190" i="19"/>
  <c r="R5190" i="19"/>
  <c r="F3925" i="19"/>
  <c r="H3925" i="19"/>
  <c r="Q3925" i="19"/>
  <c r="R3925" i="19"/>
  <c r="F742" i="19"/>
  <c r="H742" i="19"/>
  <c r="Q742" i="19"/>
  <c r="R742" i="19"/>
  <c r="F4798" i="19"/>
  <c r="H4798" i="19"/>
  <c r="F3970" i="19"/>
  <c r="H3970" i="19"/>
  <c r="Q3970" i="19"/>
  <c r="R3970" i="19"/>
  <c r="F4199" i="19"/>
  <c r="H4199" i="19"/>
  <c r="F2142" i="19"/>
  <c r="H2142" i="19"/>
  <c r="Q2142" i="19"/>
  <c r="R2142" i="19"/>
  <c r="F1367" i="19"/>
  <c r="H1367" i="19"/>
  <c r="F5360" i="19"/>
  <c r="H5360" i="19"/>
  <c r="F4917" i="19"/>
  <c r="H4917" i="19"/>
  <c r="Q4917" i="19"/>
  <c r="F3954" i="19"/>
  <c r="H3954" i="19"/>
  <c r="F4300" i="19"/>
  <c r="H4300" i="19"/>
  <c r="F2111" i="19"/>
  <c r="H2111" i="19"/>
  <c r="Q2111" i="19"/>
  <c r="R2111" i="19"/>
  <c r="F2388" i="19"/>
  <c r="H2388" i="19"/>
  <c r="F1408" i="19"/>
  <c r="H1408" i="19"/>
  <c r="Q1408" i="19"/>
  <c r="R1408" i="19"/>
  <c r="F4750" i="19"/>
  <c r="H4750" i="19"/>
  <c r="Q4750" i="19"/>
  <c r="R4750" i="19"/>
  <c r="F5304" i="19"/>
  <c r="H5304" i="19"/>
  <c r="F4185" i="19"/>
  <c r="H4185" i="19"/>
  <c r="F4448" i="19"/>
  <c r="H4448" i="19"/>
  <c r="F2346" i="19"/>
  <c r="H2346" i="19"/>
  <c r="F1401" i="19"/>
  <c r="H1401" i="19"/>
  <c r="Q1401" i="19"/>
  <c r="F4944" i="19"/>
  <c r="H4944" i="19"/>
  <c r="F5341" i="19"/>
  <c r="H5341" i="19"/>
  <c r="F4272" i="19"/>
  <c r="H4272" i="19"/>
  <c r="Q4272" i="19"/>
  <c r="F2235" i="19"/>
  <c r="H2235" i="19"/>
  <c r="Q2235" i="19"/>
  <c r="R2235" i="19"/>
  <c r="F5457" i="19"/>
  <c r="H5457" i="19"/>
  <c r="Q5457" i="19"/>
  <c r="R5457" i="19"/>
  <c r="F4984" i="19"/>
  <c r="H4984" i="19"/>
  <c r="F4294" i="19"/>
  <c r="H4294" i="19"/>
  <c r="F5398" i="19"/>
  <c r="H5398" i="19"/>
  <c r="F5277" i="19"/>
  <c r="H5277" i="19"/>
  <c r="Q5277" i="19"/>
  <c r="R5277" i="19"/>
  <c r="F4202" i="19"/>
  <c r="H4202" i="19"/>
  <c r="Q4202" i="19"/>
  <c r="R4202" i="19"/>
  <c r="F2210" i="19"/>
  <c r="H2210" i="19"/>
  <c r="Q2210" i="19"/>
  <c r="F1394" i="19"/>
  <c r="H1394" i="19"/>
  <c r="F4652" i="19"/>
  <c r="H4652" i="19"/>
  <c r="F5232" i="19"/>
  <c r="H5232" i="19"/>
  <c r="Q5232" i="19"/>
  <c r="R5232" i="19"/>
  <c r="F4260" i="19"/>
  <c r="H4260" i="19"/>
  <c r="F2240" i="19"/>
  <c r="H2240" i="19"/>
  <c r="F1417" i="19"/>
  <c r="H1417" i="19"/>
  <c r="F4815" i="19"/>
  <c r="H4815" i="19"/>
  <c r="Q4815" i="19"/>
  <c r="F4180" i="19"/>
  <c r="H4180" i="19"/>
  <c r="F2324" i="19"/>
  <c r="H2324" i="19"/>
  <c r="Q2324" i="19"/>
  <c r="F4902" i="19"/>
  <c r="H4902" i="19"/>
  <c r="F4172" i="19"/>
  <c r="H4172" i="19"/>
  <c r="F2280" i="19"/>
  <c r="H2280" i="19"/>
  <c r="F1547" i="19"/>
  <c r="H1547" i="19"/>
  <c r="F4948" i="19"/>
  <c r="H4948" i="19"/>
  <c r="F4032" i="19"/>
  <c r="H4032" i="19"/>
  <c r="F4428" i="19"/>
  <c r="H4428" i="19"/>
  <c r="F1443" i="19"/>
  <c r="H1443" i="19"/>
  <c r="Q1443" i="19"/>
  <c r="F5541" i="19"/>
  <c r="H5541" i="19"/>
  <c r="Q5541" i="19"/>
  <c r="R5541" i="19"/>
  <c r="F5248" i="19"/>
  <c r="H5248" i="19"/>
  <c r="F2120" i="19"/>
  <c r="H2120" i="19"/>
  <c r="Q2120" i="19"/>
  <c r="F2031" i="19"/>
  <c r="H2031" i="19"/>
  <c r="Q2031" i="19"/>
  <c r="F2032" i="19"/>
  <c r="H2032" i="19"/>
  <c r="Q2032" i="19"/>
  <c r="F2033" i="19"/>
  <c r="H2033" i="19"/>
  <c r="Q2033" i="19"/>
  <c r="F2034" i="19"/>
  <c r="H2034" i="19"/>
  <c r="Q2034" i="19"/>
  <c r="F2035" i="19"/>
  <c r="H2035" i="19"/>
  <c r="Q2035" i="19"/>
  <c r="F2036" i="19"/>
  <c r="H2036" i="19"/>
  <c r="Q2036" i="19"/>
  <c r="F2037" i="19"/>
  <c r="H2037" i="19"/>
  <c r="Q2037" i="19"/>
  <c r="F2038" i="19"/>
  <c r="H2038" i="19"/>
  <c r="Q2038" i="19"/>
  <c r="F2039" i="19"/>
  <c r="H2039" i="19"/>
  <c r="Q2039" i="19"/>
  <c r="F2040" i="19"/>
  <c r="H2040" i="19"/>
  <c r="Q2040" i="19"/>
  <c r="F2041" i="19"/>
  <c r="H2041" i="19"/>
  <c r="Q2041" i="19"/>
  <c r="F2042" i="19"/>
  <c r="H2042" i="19"/>
  <c r="Q2042" i="19"/>
  <c r="F2043" i="19"/>
  <c r="H2043" i="19"/>
  <c r="Q2043" i="19"/>
  <c r="F2044" i="19"/>
  <c r="H2044" i="19"/>
  <c r="Q2044" i="19"/>
  <c r="F2045" i="19"/>
  <c r="H2045" i="19"/>
  <c r="Q2045" i="19"/>
  <c r="F2046" i="19"/>
  <c r="H2046" i="19"/>
  <c r="Q2046" i="19"/>
  <c r="F2047" i="19"/>
  <c r="H2047" i="19"/>
  <c r="Q2047" i="19"/>
  <c r="F2048" i="19"/>
  <c r="H2048" i="19"/>
  <c r="Q2048" i="19"/>
  <c r="F2049" i="19"/>
  <c r="H2049" i="19"/>
  <c r="Q2049" i="19"/>
  <c r="F2050" i="19"/>
  <c r="H2050" i="19"/>
  <c r="Q2050" i="19"/>
  <c r="F2051" i="19"/>
  <c r="H2051" i="19"/>
  <c r="Q2051" i="19"/>
  <c r="F2052" i="19"/>
  <c r="H2052" i="19"/>
  <c r="Q2052" i="19"/>
  <c r="F2053" i="19"/>
  <c r="H2053" i="19"/>
  <c r="Q2053" i="19"/>
  <c r="Q2054" i="19"/>
  <c r="F2055" i="19"/>
  <c r="H2055" i="19"/>
  <c r="Q2055" i="19"/>
  <c r="F2056" i="19"/>
  <c r="H2056" i="19"/>
  <c r="Q2056" i="19"/>
  <c r="F2057" i="19"/>
  <c r="H2057" i="19"/>
  <c r="Q2057" i="19"/>
  <c r="F2058" i="19"/>
  <c r="H2058" i="19"/>
  <c r="Q2058" i="19"/>
  <c r="F2059" i="19"/>
  <c r="H2059" i="19"/>
  <c r="Q2059" i="19"/>
  <c r="F2060" i="19"/>
  <c r="H2060" i="19"/>
  <c r="Q2060" i="19"/>
  <c r="F2061" i="19"/>
  <c r="H2061" i="19"/>
  <c r="Q2061" i="19"/>
  <c r="F2062" i="19"/>
  <c r="H2062" i="19"/>
  <c r="Q2062" i="19"/>
  <c r="F2063" i="19"/>
  <c r="H2063" i="19"/>
  <c r="Q2063" i="19"/>
  <c r="F2064" i="19"/>
  <c r="H2064" i="19"/>
  <c r="Q2064" i="19"/>
  <c r="F2065" i="19"/>
  <c r="H2065" i="19"/>
  <c r="Q2065" i="19"/>
  <c r="F2066" i="19"/>
  <c r="H2066" i="19"/>
  <c r="Q2066" i="19"/>
  <c r="F2067" i="19"/>
  <c r="H2067" i="19"/>
  <c r="Q2067" i="19"/>
  <c r="F2068" i="19"/>
  <c r="H2068" i="19"/>
  <c r="Q2068" i="19"/>
  <c r="F2069" i="19"/>
  <c r="H2069" i="19"/>
  <c r="Q2069" i="19"/>
  <c r="F2071" i="19"/>
  <c r="H2071" i="19"/>
  <c r="Q2071" i="19"/>
  <c r="F2072" i="19"/>
  <c r="H2072" i="19"/>
  <c r="Q2072" i="19"/>
  <c r="F2073" i="19"/>
  <c r="H2073" i="19"/>
  <c r="Q2073" i="19"/>
  <c r="F2074" i="19"/>
  <c r="H2074" i="19"/>
  <c r="Q2074" i="19"/>
  <c r="F2075" i="19"/>
  <c r="H2075" i="19"/>
  <c r="Q2075" i="19"/>
  <c r="F2076" i="19"/>
  <c r="H2076" i="19"/>
  <c r="Q2076" i="19"/>
  <c r="F2077" i="19"/>
  <c r="H2077" i="19"/>
  <c r="Q2077" i="19"/>
  <c r="F2078" i="19"/>
  <c r="H2078" i="19"/>
  <c r="Q2078" i="19"/>
  <c r="Q2079" i="19"/>
  <c r="F2080" i="19"/>
  <c r="H2080" i="19"/>
  <c r="Q2080" i="19"/>
  <c r="F2081" i="19"/>
  <c r="H2081" i="19"/>
  <c r="Q2081" i="19"/>
  <c r="F2082" i="19"/>
  <c r="H2082" i="19"/>
  <c r="Q2082" i="19"/>
  <c r="F2083" i="19"/>
  <c r="H2083" i="19"/>
  <c r="Q2083" i="19"/>
  <c r="F2084" i="19"/>
  <c r="H2084" i="19"/>
  <c r="Q2084" i="19"/>
  <c r="F2085" i="19"/>
  <c r="H2085" i="19"/>
  <c r="Q2085" i="19"/>
  <c r="F2086" i="19"/>
  <c r="H2086" i="19"/>
  <c r="Q2086" i="19"/>
  <c r="Q2087" i="19"/>
  <c r="F2088" i="19"/>
  <c r="H2088" i="19"/>
  <c r="Q2088" i="19"/>
  <c r="F2089" i="19"/>
  <c r="H2089" i="19"/>
  <c r="Q2089" i="19"/>
  <c r="F2090" i="19"/>
  <c r="H2090" i="19"/>
  <c r="Q2090" i="19"/>
  <c r="F2091" i="19"/>
  <c r="H2091" i="19"/>
  <c r="Q2091" i="19"/>
  <c r="F2092" i="19"/>
  <c r="H2092" i="19"/>
  <c r="Q2092" i="19"/>
  <c r="F2093" i="19"/>
  <c r="H2093" i="19"/>
  <c r="Q2093" i="19"/>
  <c r="F2094" i="19"/>
  <c r="H2094" i="19"/>
  <c r="Q2094" i="19"/>
  <c r="F2095" i="19"/>
  <c r="H2095" i="19"/>
  <c r="Q2095" i="19"/>
  <c r="F2096" i="19"/>
  <c r="H2096" i="19"/>
  <c r="Q2096" i="19"/>
  <c r="Q2097" i="19"/>
  <c r="F2098" i="19"/>
  <c r="H2098" i="19"/>
  <c r="Q2098" i="19"/>
  <c r="F2099" i="19"/>
  <c r="H2099" i="19"/>
  <c r="Q2099" i="19"/>
  <c r="F2100" i="19"/>
  <c r="H2100" i="19"/>
  <c r="Q2100" i="19"/>
  <c r="F2101" i="19"/>
  <c r="H2101" i="19"/>
  <c r="Q2101" i="19"/>
  <c r="F2102" i="19"/>
  <c r="H2102" i="19"/>
  <c r="Q2102" i="19"/>
  <c r="F2103" i="19"/>
  <c r="H2103" i="19"/>
  <c r="Q2103" i="19"/>
  <c r="F2104" i="19"/>
  <c r="H2104" i="19"/>
  <c r="Q2104" i="19"/>
  <c r="F2105" i="19"/>
  <c r="H2105" i="19"/>
  <c r="Q2105" i="19"/>
  <c r="F2106" i="19"/>
  <c r="H2106" i="19"/>
  <c r="Q2106" i="19"/>
  <c r="F2107" i="19"/>
  <c r="H2107" i="19"/>
  <c r="Q2107" i="19"/>
  <c r="F2108" i="19"/>
  <c r="H2108" i="19"/>
  <c r="Q2108" i="19"/>
  <c r="F2109" i="19"/>
  <c r="H2109" i="19"/>
  <c r="Q2109" i="19"/>
  <c r="F2110" i="19"/>
  <c r="H2110" i="19"/>
  <c r="Q2110" i="19"/>
  <c r="F2112" i="19"/>
  <c r="H2112" i="19"/>
  <c r="Q2112" i="19"/>
  <c r="F2113" i="19"/>
  <c r="H2113" i="19"/>
  <c r="Q2113" i="19"/>
  <c r="F2114" i="19"/>
  <c r="H2114" i="19"/>
  <c r="Q2114" i="19"/>
  <c r="F2115" i="19"/>
  <c r="H2115" i="19"/>
  <c r="Q2115" i="19"/>
  <c r="F2116" i="19"/>
  <c r="H2116" i="19"/>
  <c r="Q2116" i="19"/>
  <c r="F2117" i="19"/>
  <c r="H2117" i="19"/>
  <c r="Q2117" i="19"/>
  <c r="F2118" i="19"/>
  <c r="H2118" i="19"/>
  <c r="Q2118" i="19"/>
  <c r="F2119" i="19"/>
  <c r="H2119" i="19"/>
  <c r="Q2119" i="19"/>
  <c r="F2121" i="19"/>
  <c r="H2121" i="19"/>
  <c r="Q2121" i="19"/>
  <c r="F2122" i="19"/>
  <c r="H2122" i="19"/>
  <c r="Q2122" i="19"/>
  <c r="F2123" i="19"/>
  <c r="H2123" i="19"/>
  <c r="Q2123" i="19"/>
  <c r="F2124" i="19"/>
  <c r="H2124" i="19"/>
  <c r="Q2124" i="19"/>
  <c r="F2125" i="19"/>
  <c r="H2125" i="19"/>
  <c r="Q2125" i="19"/>
  <c r="F2126" i="19"/>
  <c r="H2126" i="19"/>
  <c r="Q2126" i="19"/>
  <c r="F2127" i="19"/>
  <c r="H2127" i="19"/>
  <c r="Q2127" i="19"/>
  <c r="F2128" i="19"/>
  <c r="H2128" i="19"/>
  <c r="Q2128" i="19"/>
  <c r="F2129" i="19"/>
  <c r="H2129" i="19"/>
  <c r="Q2129" i="19"/>
  <c r="Q2130" i="19"/>
  <c r="F2131" i="19"/>
  <c r="H2131" i="19"/>
  <c r="Q2131" i="19"/>
  <c r="F2132" i="19"/>
  <c r="H2132" i="19"/>
  <c r="Q2132" i="19"/>
  <c r="F2133" i="19"/>
  <c r="H2133" i="19"/>
  <c r="Q2133" i="19"/>
  <c r="F2134" i="19"/>
  <c r="H2134" i="19"/>
  <c r="Q2134" i="19"/>
  <c r="F2135" i="19"/>
  <c r="H2135" i="19"/>
  <c r="Q2135" i="19"/>
  <c r="F2136" i="19"/>
  <c r="H2136" i="19"/>
  <c r="Q2136" i="19"/>
  <c r="F2137" i="19"/>
  <c r="H2137" i="19"/>
  <c r="Q2137" i="19"/>
  <c r="F2138" i="19"/>
  <c r="H2138" i="19"/>
  <c r="Q2138" i="19"/>
  <c r="F2139" i="19"/>
  <c r="H2139" i="19"/>
  <c r="Q2139" i="19"/>
  <c r="F2140" i="19"/>
  <c r="H2140" i="19"/>
  <c r="Q2140" i="19"/>
  <c r="F2141" i="19"/>
  <c r="H2141" i="19"/>
  <c r="Q2141" i="19"/>
  <c r="F2143" i="19"/>
  <c r="H2143" i="19"/>
  <c r="Q2143" i="19"/>
  <c r="F2144" i="19"/>
  <c r="H2144" i="19"/>
  <c r="Q2144" i="19"/>
  <c r="F2145" i="19"/>
  <c r="H2145" i="19"/>
  <c r="Q2145" i="19"/>
  <c r="F2146" i="19"/>
  <c r="H2146" i="19"/>
  <c r="Q2146" i="19"/>
  <c r="F2147" i="19"/>
  <c r="H2147" i="19"/>
  <c r="Q2147" i="19"/>
  <c r="F2148" i="19"/>
  <c r="H2148" i="19"/>
  <c r="Q2148" i="19"/>
  <c r="F2149" i="19"/>
  <c r="H2149" i="19"/>
  <c r="Q2149" i="19"/>
  <c r="F2150" i="19"/>
  <c r="H2150" i="19"/>
  <c r="Q2150" i="19"/>
  <c r="F2151" i="19"/>
  <c r="H2151" i="19"/>
  <c r="Q2151" i="19"/>
  <c r="F2152" i="19"/>
  <c r="H2152" i="19"/>
  <c r="Q2152" i="19"/>
  <c r="F2153" i="19"/>
  <c r="H2153" i="19"/>
  <c r="Q2153" i="19"/>
  <c r="F2154" i="19"/>
  <c r="H2154" i="19"/>
  <c r="Q2154" i="19"/>
  <c r="F2155" i="19"/>
  <c r="H2155" i="19"/>
  <c r="Q2155" i="19"/>
  <c r="F2156" i="19"/>
  <c r="H2156" i="19"/>
  <c r="Q2156" i="19"/>
  <c r="F2157" i="19"/>
  <c r="H2157" i="19"/>
  <c r="Q2157" i="19"/>
  <c r="F2158" i="19"/>
  <c r="H2158" i="19"/>
  <c r="Q2158" i="19"/>
  <c r="F2159" i="19"/>
  <c r="H2159" i="19"/>
  <c r="Q2159" i="19"/>
  <c r="Q2160" i="19"/>
  <c r="F2161" i="19"/>
  <c r="H2161" i="19"/>
  <c r="Q2161" i="19"/>
  <c r="F2162" i="19"/>
  <c r="H2162" i="19"/>
  <c r="Q2162" i="19"/>
  <c r="F2163" i="19"/>
  <c r="H2163" i="19"/>
  <c r="Q2163" i="19"/>
  <c r="F2164" i="19"/>
  <c r="H2164" i="19"/>
  <c r="Q2164" i="19"/>
  <c r="F2165" i="19"/>
  <c r="H2165" i="19"/>
  <c r="Q2165" i="19"/>
  <c r="F2166" i="19"/>
  <c r="H2166" i="19"/>
  <c r="Q2166" i="19"/>
  <c r="F2167" i="19"/>
  <c r="H2167" i="19"/>
  <c r="Q2167" i="19"/>
  <c r="F2168" i="19"/>
  <c r="H2168" i="19"/>
  <c r="Q2168" i="19"/>
  <c r="F2169" i="19"/>
  <c r="H2169" i="19"/>
  <c r="Q2169" i="19"/>
  <c r="F2170" i="19"/>
  <c r="H2170" i="19"/>
  <c r="Q2170" i="19"/>
  <c r="Q2171" i="19"/>
  <c r="F2172" i="19"/>
  <c r="H2172" i="19"/>
  <c r="Q2172" i="19"/>
  <c r="F2173" i="19"/>
  <c r="H2173" i="19"/>
  <c r="Q2173" i="19"/>
  <c r="F2174" i="19"/>
  <c r="H2174" i="19"/>
  <c r="Q2174" i="19"/>
  <c r="F2175" i="19"/>
  <c r="H2175" i="19"/>
  <c r="Q2175" i="19"/>
  <c r="F2177" i="19"/>
  <c r="H2177" i="19"/>
  <c r="Q2177" i="19"/>
  <c r="F2178" i="19"/>
  <c r="H2178" i="19"/>
  <c r="Q2178" i="19"/>
  <c r="F2179" i="19"/>
  <c r="H2179" i="19"/>
  <c r="Q2179" i="19"/>
  <c r="F2180" i="19"/>
  <c r="H2180" i="19"/>
  <c r="Q2180" i="19"/>
  <c r="F2181" i="19"/>
  <c r="H2181" i="19"/>
  <c r="Q2181" i="19"/>
  <c r="F2182" i="19"/>
  <c r="H2182" i="19"/>
  <c r="Q2182" i="19"/>
  <c r="F2183" i="19"/>
  <c r="H2183" i="19"/>
  <c r="Q2183" i="19"/>
  <c r="F2184" i="19"/>
  <c r="H2184" i="19"/>
  <c r="Q2184" i="19"/>
  <c r="F2185" i="19"/>
  <c r="H2185" i="19"/>
  <c r="Q2185" i="19"/>
  <c r="F2186" i="19"/>
  <c r="H2186" i="19"/>
  <c r="Q2186" i="19"/>
  <c r="F2187" i="19"/>
  <c r="H2187" i="19"/>
  <c r="Q2187" i="19"/>
  <c r="F2188" i="19"/>
  <c r="H2188" i="19"/>
  <c r="Q2188" i="19"/>
  <c r="F2189" i="19"/>
  <c r="H2189" i="19"/>
  <c r="Q2189" i="19"/>
  <c r="F2190" i="19"/>
  <c r="H2190" i="19"/>
  <c r="Q2190" i="19"/>
  <c r="F2191" i="19"/>
  <c r="H2191" i="19"/>
  <c r="Q2191" i="19"/>
  <c r="F2192" i="19"/>
  <c r="H2192" i="19"/>
  <c r="Q2192" i="19"/>
  <c r="F2193" i="19"/>
  <c r="H2193" i="19"/>
  <c r="Q2193" i="19"/>
  <c r="F2194" i="19"/>
  <c r="H2194" i="19"/>
  <c r="Q2194" i="19"/>
  <c r="F2195" i="19"/>
  <c r="H2195" i="19"/>
  <c r="Q2195" i="19"/>
  <c r="F2196" i="19"/>
  <c r="H2196" i="19"/>
  <c r="Q2196" i="19"/>
  <c r="F2197" i="19"/>
  <c r="H2197" i="19"/>
  <c r="Q2197" i="19"/>
  <c r="F2199" i="19"/>
  <c r="H2199" i="19"/>
  <c r="Q2199" i="19"/>
  <c r="F2200" i="19"/>
  <c r="H2200" i="19"/>
  <c r="Q2200" i="19"/>
  <c r="F2201" i="19"/>
  <c r="H2201" i="19"/>
  <c r="Q2201" i="19"/>
  <c r="F2202" i="19"/>
  <c r="H2202" i="19"/>
  <c r="Q2202" i="19"/>
  <c r="F2203" i="19"/>
  <c r="H2203" i="19"/>
  <c r="Q2203" i="19"/>
  <c r="F2204" i="19"/>
  <c r="H2204" i="19"/>
  <c r="Q2204" i="19"/>
  <c r="F2205" i="19"/>
  <c r="H2205" i="19"/>
  <c r="Q2205" i="19"/>
  <c r="F2206" i="19"/>
  <c r="H2206" i="19"/>
  <c r="Q2206" i="19"/>
  <c r="F2207" i="19"/>
  <c r="H2207" i="19"/>
  <c r="Q2207" i="19"/>
  <c r="F2208" i="19"/>
  <c r="H2208" i="19"/>
  <c r="Q2208" i="19"/>
  <c r="F2209" i="19"/>
  <c r="H2209" i="19"/>
  <c r="Q2209" i="19"/>
  <c r="F2211" i="19"/>
  <c r="H2211" i="19"/>
  <c r="Q2211" i="19"/>
  <c r="F2212" i="19"/>
  <c r="H2212" i="19"/>
  <c r="Q2212" i="19"/>
  <c r="F2213" i="19"/>
  <c r="H2213" i="19"/>
  <c r="Q2213" i="19"/>
  <c r="F2214" i="19"/>
  <c r="H2214" i="19"/>
  <c r="Q2214" i="19"/>
  <c r="F2215" i="19"/>
  <c r="H2215" i="19"/>
  <c r="Q2215" i="19"/>
  <c r="F2216" i="19"/>
  <c r="H2216" i="19"/>
  <c r="Q2216" i="19"/>
  <c r="F2217" i="19"/>
  <c r="H2217" i="19"/>
  <c r="Q2217" i="19"/>
  <c r="F2218" i="19"/>
  <c r="H2218" i="19"/>
  <c r="Q2218" i="19"/>
  <c r="Q2219" i="19"/>
  <c r="F2220" i="19"/>
  <c r="H2220" i="19"/>
  <c r="Q2220" i="19"/>
  <c r="F2221" i="19"/>
  <c r="H2221" i="19"/>
  <c r="Q2221" i="19"/>
  <c r="F2222" i="19"/>
  <c r="H2222" i="19"/>
  <c r="Q2222" i="19"/>
  <c r="F2223" i="19"/>
  <c r="H2223" i="19"/>
  <c r="Q2223" i="19"/>
  <c r="F2224" i="19"/>
  <c r="H2224" i="19"/>
  <c r="Q2224" i="19"/>
  <c r="F2225" i="19"/>
  <c r="H2225" i="19"/>
  <c r="Q2225" i="19"/>
  <c r="F2226" i="19"/>
  <c r="H2226" i="19"/>
  <c r="Q2226" i="19"/>
  <c r="F2227" i="19"/>
  <c r="H2227" i="19"/>
  <c r="Q2227" i="19"/>
  <c r="F2228" i="19"/>
  <c r="H2228" i="19"/>
  <c r="Q2228" i="19"/>
  <c r="F2229" i="19"/>
  <c r="H2229" i="19"/>
  <c r="Q2229" i="19"/>
  <c r="F2230" i="19"/>
  <c r="H2230" i="19"/>
  <c r="Q2230" i="19"/>
  <c r="F2231" i="19"/>
  <c r="H2231" i="19"/>
  <c r="Q2231" i="19"/>
  <c r="Q2232" i="19"/>
  <c r="F2233" i="19"/>
  <c r="H2233" i="19"/>
  <c r="Q2233" i="19"/>
  <c r="F2234" i="19"/>
  <c r="H2234" i="19"/>
  <c r="Q2234" i="19"/>
  <c r="F2236" i="19"/>
  <c r="H2236" i="19"/>
  <c r="Q2236" i="19"/>
  <c r="F2237" i="19"/>
  <c r="H2237" i="19"/>
  <c r="Q2237" i="19"/>
  <c r="Q2238" i="19"/>
  <c r="F2239" i="19"/>
  <c r="H2239" i="19"/>
  <c r="Q2239" i="19"/>
  <c r="Q2240" i="19"/>
  <c r="Q2241" i="19"/>
  <c r="F2242" i="19"/>
  <c r="H2242" i="19"/>
  <c r="Q2242" i="19"/>
  <c r="F2243" i="19"/>
  <c r="H2243" i="19"/>
  <c r="Q2243" i="19"/>
  <c r="F2244" i="19"/>
  <c r="H2244" i="19"/>
  <c r="Q2244" i="19"/>
  <c r="F2245" i="19"/>
  <c r="H2245" i="19"/>
  <c r="Q2245" i="19"/>
  <c r="F2246" i="19"/>
  <c r="H2246" i="19"/>
  <c r="Q2246" i="19"/>
  <c r="F2247" i="19"/>
  <c r="H2247" i="19"/>
  <c r="Q2247" i="19"/>
  <c r="F2248" i="19"/>
  <c r="H2248" i="19"/>
  <c r="Q2248" i="19"/>
  <c r="F2249" i="19"/>
  <c r="H2249" i="19"/>
  <c r="Q2249" i="19"/>
  <c r="F2250" i="19"/>
  <c r="H2250" i="19"/>
  <c r="Q2250" i="19"/>
  <c r="F2251" i="19"/>
  <c r="H2251" i="19"/>
  <c r="Q2251" i="19"/>
  <c r="Q2252" i="19"/>
  <c r="Q2253" i="19"/>
  <c r="F2254" i="19"/>
  <c r="H2254" i="19"/>
  <c r="Q2254" i="19"/>
  <c r="F2255" i="19"/>
  <c r="H2255" i="19"/>
  <c r="Q2255" i="19"/>
  <c r="F2256" i="19"/>
  <c r="H2256" i="19"/>
  <c r="Q2256" i="19"/>
  <c r="F2257" i="19"/>
  <c r="H2257" i="19"/>
  <c r="Q2257" i="19"/>
  <c r="F2258" i="19"/>
  <c r="H2258" i="19"/>
  <c r="Q2258" i="19"/>
  <c r="F2259" i="19"/>
  <c r="H2259" i="19"/>
  <c r="Q2259" i="19"/>
  <c r="F2260" i="19"/>
  <c r="H2260" i="19"/>
  <c r="Q2260" i="19"/>
  <c r="F2261" i="19"/>
  <c r="H2261" i="19"/>
  <c r="Q2261" i="19"/>
  <c r="F2262" i="19"/>
  <c r="H2262" i="19"/>
  <c r="Q2262" i="19"/>
  <c r="F2263" i="19"/>
  <c r="H2263" i="19"/>
  <c r="Q2263" i="19"/>
  <c r="F2264" i="19"/>
  <c r="H2264" i="19"/>
  <c r="Q2264" i="19"/>
  <c r="F2265" i="19"/>
  <c r="H2265" i="19"/>
  <c r="Q2265" i="19"/>
  <c r="F2266" i="19"/>
  <c r="H2266" i="19"/>
  <c r="Q2266" i="19"/>
  <c r="F2267" i="19"/>
  <c r="H2267" i="19"/>
  <c r="Q2267" i="19"/>
  <c r="F2268" i="19"/>
  <c r="H2268" i="19"/>
  <c r="Q2268" i="19"/>
  <c r="F2269" i="19"/>
  <c r="H2269" i="19"/>
  <c r="Q2269" i="19"/>
  <c r="F2270" i="19"/>
  <c r="H2270" i="19"/>
  <c r="Q2270" i="19"/>
  <c r="F2271" i="19"/>
  <c r="H2271" i="19"/>
  <c r="Q2271" i="19"/>
  <c r="F2272" i="19"/>
  <c r="H2272" i="19"/>
  <c r="Q2272" i="19"/>
  <c r="F2273" i="19"/>
  <c r="H2273" i="19"/>
  <c r="Q2273" i="19"/>
  <c r="F2274" i="19"/>
  <c r="H2274" i="19"/>
  <c r="Q2274" i="19"/>
  <c r="F2275" i="19"/>
  <c r="H2275" i="19"/>
  <c r="Q2275" i="19"/>
  <c r="F2276" i="19"/>
  <c r="H2276" i="19"/>
  <c r="Q2276" i="19"/>
  <c r="F2277" i="19"/>
  <c r="H2277" i="19"/>
  <c r="Q2277" i="19"/>
  <c r="F2278" i="19"/>
  <c r="H2278" i="19"/>
  <c r="Q2278" i="19"/>
  <c r="F2279" i="19"/>
  <c r="H2279" i="19"/>
  <c r="Q2279" i="19"/>
  <c r="Q2280" i="19"/>
  <c r="F2281" i="19"/>
  <c r="H2281" i="19"/>
  <c r="Q2281" i="19"/>
  <c r="F2282" i="19"/>
  <c r="H2282" i="19"/>
  <c r="Q2282" i="19"/>
  <c r="F2283" i="19"/>
  <c r="H2283" i="19"/>
  <c r="Q2283" i="19"/>
  <c r="F2284" i="19"/>
  <c r="H2284" i="19"/>
  <c r="Q2284" i="19"/>
  <c r="F2285" i="19"/>
  <c r="H2285" i="19"/>
  <c r="Q2285" i="19"/>
  <c r="F2286" i="19"/>
  <c r="H2286" i="19"/>
  <c r="Q2286" i="19"/>
  <c r="F2287" i="19"/>
  <c r="H2287" i="19"/>
  <c r="Q2287" i="19"/>
  <c r="F2288" i="19"/>
  <c r="H2288" i="19"/>
  <c r="Q2288" i="19"/>
  <c r="F2289" i="19"/>
  <c r="H2289" i="19"/>
  <c r="Q2289" i="19"/>
  <c r="F2290" i="19"/>
  <c r="H2290" i="19"/>
  <c r="Q2290" i="19"/>
  <c r="F2291" i="19"/>
  <c r="H2291" i="19"/>
  <c r="Q2291" i="19"/>
  <c r="F2292" i="19"/>
  <c r="H2292" i="19"/>
  <c r="Q2292" i="19"/>
  <c r="F2293" i="19"/>
  <c r="H2293" i="19"/>
  <c r="Q2293" i="19"/>
  <c r="F2294" i="19"/>
  <c r="H2294" i="19"/>
  <c r="Q2294" i="19"/>
  <c r="F2295" i="19"/>
  <c r="H2295" i="19"/>
  <c r="Q2295" i="19"/>
  <c r="F2296" i="19"/>
  <c r="H2296" i="19"/>
  <c r="Q2296" i="19"/>
  <c r="F2297" i="19"/>
  <c r="H2297" i="19"/>
  <c r="Q2297" i="19"/>
  <c r="F2298" i="19"/>
  <c r="H2298" i="19"/>
  <c r="Q2298" i="19"/>
  <c r="F2299" i="19"/>
  <c r="H2299" i="19"/>
  <c r="Q2299" i="19"/>
  <c r="F2300" i="19"/>
  <c r="H2300" i="19"/>
  <c r="Q2300" i="19"/>
  <c r="F2301" i="19"/>
  <c r="H2301" i="19"/>
  <c r="Q2301" i="19"/>
  <c r="F2302" i="19"/>
  <c r="H2302" i="19"/>
  <c r="Q2302" i="19"/>
  <c r="F2303" i="19"/>
  <c r="H2303" i="19"/>
  <c r="Q2303" i="19"/>
  <c r="F2304" i="19"/>
  <c r="H2304" i="19"/>
  <c r="Q2304" i="19"/>
  <c r="F2305" i="19"/>
  <c r="H2305" i="19"/>
  <c r="Q2305" i="19"/>
  <c r="F2306" i="19"/>
  <c r="H2306" i="19"/>
  <c r="Q2306" i="19"/>
  <c r="F2307" i="19"/>
  <c r="H2307" i="19"/>
  <c r="Q2307" i="19"/>
  <c r="F2308" i="19"/>
  <c r="H2308" i="19"/>
  <c r="Q2308" i="19"/>
  <c r="F2309" i="19"/>
  <c r="H2309" i="19"/>
  <c r="Q2309" i="19"/>
  <c r="F2310" i="19"/>
  <c r="H2310" i="19"/>
  <c r="Q2310" i="19"/>
  <c r="F2311" i="19"/>
  <c r="H2311" i="19"/>
  <c r="Q2311" i="19"/>
  <c r="Q2312" i="19"/>
  <c r="F2314" i="19"/>
  <c r="H2314" i="19"/>
  <c r="Q2314" i="19"/>
  <c r="F2315" i="19"/>
  <c r="H2315" i="19"/>
  <c r="Q2315" i="19"/>
  <c r="F2316" i="19"/>
  <c r="H2316" i="19"/>
  <c r="Q2316" i="19"/>
  <c r="F2317" i="19"/>
  <c r="H2317" i="19"/>
  <c r="Q2317" i="19"/>
  <c r="F2318" i="19"/>
  <c r="H2318" i="19"/>
  <c r="Q2318" i="19"/>
  <c r="F2319" i="19"/>
  <c r="H2319" i="19"/>
  <c r="Q2319" i="19"/>
  <c r="F2320" i="19"/>
  <c r="H2320" i="19"/>
  <c r="Q2320" i="19"/>
  <c r="F2321" i="19"/>
  <c r="H2321" i="19"/>
  <c r="Q2321" i="19"/>
  <c r="F2322" i="19"/>
  <c r="H2322" i="19"/>
  <c r="Q2322" i="19"/>
  <c r="F2323" i="19"/>
  <c r="H2323" i="19"/>
  <c r="Q2323" i="19"/>
  <c r="F2325" i="19"/>
  <c r="H2325" i="19"/>
  <c r="Q2325" i="19"/>
  <c r="F2326" i="19"/>
  <c r="H2326" i="19"/>
  <c r="Q2326" i="19"/>
  <c r="F2327" i="19"/>
  <c r="H2327" i="19"/>
  <c r="Q2327" i="19"/>
  <c r="F2328" i="19"/>
  <c r="H2328" i="19"/>
  <c r="Q2328" i="19"/>
  <c r="F2329" i="19"/>
  <c r="H2329" i="19"/>
  <c r="Q2329" i="19"/>
  <c r="F2330" i="19"/>
  <c r="H2330" i="19"/>
  <c r="Q2330" i="19"/>
  <c r="F2331" i="19"/>
  <c r="H2331" i="19"/>
  <c r="Q2331" i="19"/>
  <c r="F2332" i="19"/>
  <c r="H2332" i="19"/>
  <c r="Q2332" i="19"/>
  <c r="F2333" i="19"/>
  <c r="H2333" i="19"/>
  <c r="Q2333" i="19"/>
  <c r="F2334" i="19"/>
  <c r="H2334" i="19"/>
  <c r="Q2334" i="19"/>
  <c r="F2335" i="19"/>
  <c r="H2335" i="19"/>
  <c r="Q2335" i="19"/>
  <c r="F2336" i="19"/>
  <c r="H2336" i="19"/>
  <c r="Q2336" i="19"/>
  <c r="F2337" i="19"/>
  <c r="H2337" i="19"/>
  <c r="Q2337" i="19"/>
  <c r="F2338" i="19"/>
  <c r="H2338" i="19"/>
  <c r="Q2338" i="19"/>
  <c r="F2339" i="19"/>
  <c r="H2339" i="19"/>
  <c r="Q2339" i="19"/>
  <c r="F2340" i="19"/>
  <c r="H2340" i="19"/>
  <c r="Q2340" i="19"/>
  <c r="F2341" i="19"/>
  <c r="H2341" i="19"/>
  <c r="Q2341" i="19"/>
  <c r="F2342" i="19"/>
  <c r="H2342" i="19"/>
  <c r="Q2342" i="19"/>
  <c r="F2343" i="19"/>
  <c r="H2343" i="19"/>
  <c r="Q2343" i="19"/>
  <c r="F2344" i="19"/>
  <c r="H2344" i="19"/>
  <c r="Q2344" i="19"/>
  <c r="F2345" i="19"/>
  <c r="H2345" i="19"/>
  <c r="Q2345" i="19"/>
  <c r="Q2346" i="19"/>
  <c r="F2347" i="19"/>
  <c r="H2347" i="19"/>
  <c r="Q2347" i="19"/>
  <c r="F2348" i="19"/>
  <c r="H2348" i="19"/>
  <c r="Q2348" i="19"/>
  <c r="F2349" i="19"/>
  <c r="H2349" i="19"/>
  <c r="Q2349" i="19"/>
  <c r="F2350" i="19"/>
  <c r="H2350" i="19"/>
  <c r="Q2350" i="19"/>
  <c r="F2351" i="19"/>
  <c r="H2351" i="19"/>
  <c r="Q2351" i="19"/>
  <c r="F2352" i="19"/>
  <c r="H2352" i="19"/>
  <c r="Q2352" i="19"/>
  <c r="F2353" i="19"/>
  <c r="H2353" i="19"/>
  <c r="Q2353" i="19"/>
  <c r="F2354" i="19"/>
  <c r="H2354" i="19"/>
  <c r="Q2354" i="19"/>
  <c r="F2355" i="19"/>
  <c r="H2355" i="19"/>
  <c r="Q2355" i="19"/>
  <c r="F2356" i="19"/>
  <c r="H2356" i="19"/>
  <c r="Q2356" i="19"/>
  <c r="F2357" i="19"/>
  <c r="H2357" i="19"/>
  <c r="Q2357" i="19"/>
  <c r="F2358" i="19"/>
  <c r="H2358" i="19"/>
  <c r="Q2358" i="19"/>
  <c r="Q2359" i="19"/>
  <c r="F2360" i="19"/>
  <c r="H2360" i="19"/>
  <c r="Q2360" i="19"/>
  <c r="F2361" i="19"/>
  <c r="H2361" i="19"/>
  <c r="Q2361" i="19"/>
  <c r="F2362" i="19"/>
  <c r="H2362" i="19"/>
  <c r="Q2362" i="19"/>
  <c r="F2363" i="19"/>
  <c r="H2363" i="19"/>
  <c r="Q2363" i="19"/>
  <c r="F2364" i="19"/>
  <c r="H2364" i="19"/>
  <c r="Q2364" i="19"/>
  <c r="F2365" i="19"/>
  <c r="H2365" i="19"/>
  <c r="Q2365" i="19"/>
  <c r="F2366" i="19"/>
  <c r="H2366" i="19"/>
  <c r="Q2366" i="19"/>
  <c r="F2368" i="19"/>
  <c r="H2368" i="19"/>
  <c r="Q2368" i="19"/>
  <c r="F2369" i="19"/>
  <c r="H2369" i="19"/>
  <c r="Q2369" i="19"/>
  <c r="F2370" i="19"/>
  <c r="H2370" i="19"/>
  <c r="Q2370" i="19"/>
  <c r="F2371" i="19"/>
  <c r="H2371" i="19"/>
  <c r="Q2371" i="19"/>
  <c r="F2372" i="19"/>
  <c r="H2372" i="19"/>
  <c r="Q2372" i="19"/>
  <c r="F2373" i="19"/>
  <c r="H2373" i="19"/>
  <c r="Q2373" i="19"/>
  <c r="F2374" i="19"/>
  <c r="H2374" i="19"/>
  <c r="Q2374" i="19"/>
  <c r="F2375" i="19"/>
  <c r="H2375" i="19"/>
  <c r="Q2375" i="19"/>
  <c r="F2376" i="19"/>
  <c r="H2376" i="19"/>
  <c r="Q2376" i="19"/>
  <c r="F2377" i="19"/>
  <c r="H2377" i="19"/>
  <c r="Q2377" i="19"/>
  <c r="F2378" i="19"/>
  <c r="H2378" i="19"/>
  <c r="Q2378" i="19"/>
  <c r="F2379" i="19"/>
  <c r="H2379" i="19"/>
  <c r="Q2379" i="19"/>
  <c r="F2380" i="19"/>
  <c r="H2380" i="19"/>
  <c r="Q2380" i="19"/>
  <c r="F2381" i="19"/>
  <c r="H2381" i="19"/>
  <c r="Q2381" i="19"/>
  <c r="F2382" i="19"/>
  <c r="H2382" i="19"/>
  <c r="Q2382" i="19"/>
  <c r="F2383" i="19"/>
  <c r="H2383" i="19"/>
  <c r="Q2383" i="19"/>
  <c r="F2384" i="19"/>
  <c r="H2384" i="19"/>
  <c r="Q2384" i="19"/>
  <c r="F2385" i="19"/>
  <c r="H2385" i="19"/>
  <c r="Q2385" i="19"/>
  <c r="F2386" i="19"/>
  <c r="H2386" i="19"/>
  <c r="Q2386" i="19"/>
  <c r="Q2387" i="19"/>
  <c r="Q2388" i="19"/>
  <c r="F2389" i="19"/>
  <c r="H2389" i="19"/>
  <c r="Q2389" i="19"/>
  <c r="F2390" i="19"/>
  <c r="H2390" i="19"/>
  <c r="Q2390" i="19"/>
  <c r="F2391" i="19"/>
  <c r="H2391" i="19"/>
  <c r="Q2391" i="19"/>
  <c r="F2392" i="19"/>
  <c r="H2392" i="19"/>
  <c r="Q2392" i="19"/>
  <c r="F2393" i="19"/>
  <c r="H2393" i="19"/>
  <c r="Q2393" i="19"/>
  <c r="F2394" i="19"/>
  <c r="H2394" i="19"/>
  <c r="Q2394" i="19"/>
  <c r="F2395" i="19"/>
  <c r="H2395" i="19"/>
  <c r="Q2395" i="19"/>
  <c r="F2396" i="19"/>
  <c r="H2396" i="19"/>
  <c r="Q2396" i="19"/>
  <c r="F2397" i="19"/>
  <c r="H2397" i="19"/>
  <c r="Q2397" i="19"/>
  <c r="F2398" i="19"/>
  <c r="H2398" i="19"/>
  <c r="Q2398" i="19"/>
  <c r="F2399" i="19"/>
  <c r="H2399" i="19"/>
  <c r="Q2399" i="19"/>
  <c r="F2400" i="19"/>
  <c r="H2400" i="19"/>
  <c r="Q2400" i="19"/>
  <c r="F2401" i="19"/>
  <c r="H2401" i="19"/>
  <c r="Q2401" i="19"/>
  <c r="F2402" i="19"/>
  <c r="H2402" i="19"/>
  <c r="Q2402" i="19"/>
  <c r="F2403" i="19"/>
  <c r="H2403" i="19"/>
  <c r="Q2403" i="19"/>
  <c r="F2404" i="19"/>
  <c r="H2404" i="19"/>
  <c r="Q2404" i="19"/>
  <c r="F2406" i="19"/>
  <c r="H2406" i="19"/>
  <c r="Q2406" i="19"/>
  <c r="F2407" i="19"/>
  <c r="H2407" i="19"/>
  <c r="Q2407" i="19"/>
  <c r="F2408" i="19"/>
  <c r="H2408" i="19"/>
  <c r="Q2408" i="19"/>
  <c r="F2409" i="19"/>
  <c r="H2409" i="19"/>
  <c r="Q2409" i="19"/>
  <c r="F2410" i="19"/>
  <c r="H2410" i="19"/>
  <c r="Q2410" i="19"/>
  <c r="F2411" i="19"/>
  <c r="H2411" i="19"/>
  <c r="Q2411" i="19"/>
  <c r="F2412" i="19"/>
  <c r="H2412" i="19"/>
  <c r="Q2412" i="19"/>
  <c r="F2413" i="19"/>
  <c r="H2413" i="19"/>
  <c r="Q2413" i="19"/>
  <c r="F2414" i="19"/>
  <c r="H2414" i="19"/>
  <c r="Q2414" i="19"/>
  <c r="F2415" i="19"/>
  <c r="H2415" i="19"/>
  <c r="Q2415" i="19"/>
  <c r="F2416" i="19"/>
  <c r="H2416" i="19"/>
  <c r="Q2416" i="19"/>
  <c r="F2417" i="19"/>
  <c r="H2417" i="19"/>
  <c r="Q2417" i="19"/>
  <c r="F2418" i="19"/>
  <c r="H2418" i="19"/>
  <c r="Q2418" i="19"/>
  <c r="F2419" i="19"/>
  <c r="H2419" i="19"/>
  <c r="Q2419" i="19"/>
  <c r="F2420" i="19"/>
  <c r="H2420" i="19"/>
  <c r="Q2420" i="19"/>
  <c r="F2421" i="19"/>
  <c r="H2421" i="19"/>
  <c r="Q2421" i="19"/>
  <c r="F2422" i="19"/>
  <c r="H2422" i="19"/>
  <c r="Q2422" i="19"/>
  <c r="F2423" i="19"/>
  <c r="H2423" i="19"/>
  <c r="Q2423" i="19"/>
  <c r="F2424" i="19"/>
  <c r="H2424" i="19"/>
  <c r="Q2424" i="19"/>
  <c r="F2425" i="19"/>
  <c r="H2425" i="19"/>
  <c r="Q2425" i="19"/>
  <c r="F2426" i="19"/>
  <c r="H2426" i="19"/>
  <c r="Q2426" i="19"/>
  <c r="F2427" i="19"/>
  <c r="H2427" i="19"/>
  <c r="Q2427" i="19"/>
  <c r="F2428" i="19"/>
  <c r="H2428" i="19"/>
  <c r="Q2428" i="19"/>
  <c r="F2429" i="19"/>
  <c r="H2429" i="19"/>
  <c r="Q2429" i="19"/>
  <c r="F2430" i="19"/>
  <c r="H2430" i="19"/>
  <c r="Q2430" i="19"/>
  <c r="F2431" i="19"/>
  <c r="H2431" i="19"/>
  <c r="Q2431" i="19"/>
  <c r="F2432" i="19"/>
  <c r="H2432" i="19"/>
  <c r="Q2432" i="19"/>
  <c r="F2433" i="19"/>
  <c r="H2433" i="19"/>
  <c r="Q2433" i="19"/>
  <c r="Q2434" i="19"/>
  <c r="F2435" i="19"/>
  <c r="H2435" i="19"/>
  <c r="Q2435" i="19"/>
  <c r="F2436" i="19"/>
  <c r="H2436" i="19"/>
  <c r="Q2436" i="19"/>
  <c r="F2437" i="19"/>
  <c r="H2437" i="19"/>
  <c r="Q2437" i="19"/>
  <c r="F2438" i="19"/>
  <c r="H2438" i="19"/>
  <c r="Q2438" i="19"/>
  <c r="F2439" i="19"/>
  <c r="H2439" i="19"/>
  <c r="Q2439" i="19"/>
  <c r="F2440" i="19"/>
  <c r="H2440" i="19"/>
  <c r="Q2440" i="19"/>
  <c r="F2441" i="19"/>
  <c r="H2441" i="19"/>
  <c r="Q2441" i="19"/>
  <c r="F2442" i="19"/>
  <c r="H2442" i="19"/>
  <c r="Q2442" i="19"/>
  <c r="F2443" i="19"/>
  <c r="H2443" i="19"/>
  <c r="Q2443" i="19"/>
  <c r="F2444" i="19"/>
  <c r="H2444" i="19"/>
  <c r="Q2444" i="19"/>
  <c r="F2445" i="19"/>
  <c r="H2445" i="19"/>
  <c r="Q2445" i="19"/>
  <c r="F2446" i="19"/>
  <c r="H2446" i="19"/>
  <c r="Q2446" i="19"/>
  <c r="F2447" i="19"/>
  <c r="H2447" i="19"/>
  <c r="Q2447" i="19"/>
  <c r="F2448" i="19"/>
  <c r="H2448" i="19"/>
  <c r="Q2448" i="19"/>
  <c r="F2449" i="19"/>
  <c r="H2449" i="19"/>
  <c r="Q2449" i="19"/>
  <c r="F2450" i="19"/>
  <c r="H2450" i="19"/>
  <c r="Q2450" i="19"/>
  <c r="F2451" i="19"/>
  <c r="H2451" i="19"/>
  <c r="Q2451" i="19"/>
  <c r="F2452" i="19"/>
  <c r="H2452" i="19"/>
  <c r="Q2452" i="19"/>
  <c r="F2453" i="19"/>
  <c r="H2453" i="19"/>
  <c r="Q2453" i="19"/>
  <c r="F2454" i="19"/>
  <c r="H2454" i="19"/>
  <c r="Q2454" i="19"/>
  <c r="F2455" i="19"/>
  <c r="H2455" i="19"/>
  <c r="Q2455" i="19"/>
  <c r="F2456" i="19"/>
  <c r="H2456" i="19"/>
  <c r="Q2456" i="19"/>
  <c r="F2457" i="19"/>
  <c r="H2457" i="19"/>
  <c r="Q2457" i="19"/>
  <c r="F2458" i="19"/>
  <c r="H2458" i="19"/>
  <c r="Q2458" i="19"/>
  <c r="F2459" i="19"/>
  <c r="H2459" i="19"/>
  <c r="Q2459" i="19"/>
  <c r="F2460" i="19"/>
  <c r="H2460" i="19"/>
  <c r="Q2460" i="19"/>
  <c r="F2461" i="19"/>
  <c r="H2461" i="19"/>
  <c r="Q2461" i="19"/>
  <c r="F2462" i="19"/>
  <c r="H2462" i="19"/>
  <c r="Q2462" i="19"/>
  <c r="F2463" i="19"/>
  <c r="H2463" i="19"/>
  <c r="Q2463" i="19"/>
  <c r="F2465" i="19"/>
  <c r="H2465" i="19"/>
  <c r="Q2465" i="19"/>
  <c r="F2466" i="19"/>
  <c r="H2466" i="19"/>
  <c r="Q2466" i="19"/>
  <c r="F2467" i="19"/>
  <c r="H2467" i="19"/>
  <c r="Q2467" i="19"/>
  <c r="F2468" i="19"/>
  <c r="H2468" i="19"/>
  <c r="Q2468" i="19"/>
  <c r="F2469" i="19"/>
  <c r="H2469" i="19"/>
  <c r="Q2469" i="19"/>
  <c r="F2470" i="19"/>
  <c r="H2470" i="19"/>
  <c r="Q2470" i="19"/>
  <c r="F2471" i="19"/>
  <c r="H2471" i="19"/>
  <c r="Q2471" i="19"/>
  <c r="F2472" i="19"/>
  <c r="H2472" i="19"/>
  <c r="Q2472" i="19"/>
  <c r="F2473" i="19"/>
  <c r="H2473" i="19"/>
  <c r="Q2473" i="19"/>
  <c r="F2474" i="19"/>
  <c r="H2474" i="19"/>
  <c r="Q2474" i="19"/>
  <c r="F2475" i="19"/>
  <c r="H2475" i="19"/>
  <c r="Q2475" i="19"/>
  <c r="F2476" i="19"/>
  <c r="H2476" i="19"/>
  <c r="Q2476" i="19"/>
  <c r="Q2477" i="19"/>
  <c r="F2478" i="19"/>
  <c r="H2478" i="19"/>
  <c r="Q2478" i="19"/>
  <c r="F2479" i="19"/>
  <c r="H2479" i="19"/>
  <c r="Q2479" i="19"/>
  <c r="F2480" i="19"/>
  <c r="H2480" i="19"/>
  <c r="Q2480" i="19"/>
  <c r="F2481" i="19"/>
  <c r="H2481" i="19"/>
  <c r="Q2481" i="19"/>
  <c r="F2482" i="19"/>
  <c r="H2482" i="19"/>
  <c r="Q2482" i="19"/>
  <c r="F2483" i="19"/>
  <c r="H2483" i="19"/>
  <c r="Q2483" i="19"/>
  <c r="F2484" i="19"/>
  <c r="H2484" i="19"/>
  <c r="Q2484" i="19"/>
  <c r="F2485" i="19"/>
  <c r="H2485" i="19"/>
  <c r="Q2485" i="19"/>
  <c r="F2486" i="19"/>
  <c r="H2486" i="19"/>
  <c r="Q2486" i="19"/>
  <c r="F2487" i="19"/>
  <c r="H2487" i="19"/>
  <c r="Q2487" i="19"/>
  <c r="F2488" i="19"/>
  <c r="H2488" i="19"/>
  <c r="Q2488" i="19"/>
  <c r="F2489" i="19"/>
  <c r="H2489" i="19"/>
  <c r="Q2489" i="19"/>
  <c r="F2490" i="19"/>
  <c r="H2490" i="19"/>
  <c r="Q2490" i="19"/>
  <c r="F2491" i="19"/>
  <c r="H2491" i="19"/>
  <c r="Q2491" i="19"/>
  <c r="F2492" i="19"/>
  <c r="H2492" i="19"/>
  <c r="Q2492" i="19"/>
  <c r="F2493" i="19"/>
  <c r="H2493" i="19"/>
  <c r="Q2493" i="19"/>
  <c r="F2494" i="19"/>
  <c r="H2494" i="19"/>
  <c r="Q2494" i="19"/>
  <c r="F2495" i="19"/>
  <c r="H2495" i="19"/>
  <c r="Q2495" i="19"/>
  <c r="F2496" i="19"/>
  <c r="H2496" i="19"/>
  <c r="Q2496" i="19"/>
  <c r="F2497" i="19"/>
  <c r="H2497" i="19"/>
  <c r="Q2497" i="19"/>
  <c r="F2498" i="19"/>
  <c r="H2498" i="19"/>
  <c r="Q2498" i="19"/>
  <c r="F2499" i="19"/>
  <c r="H2499" i="19"/>
  <c r="Q2499" i="19"/>
  <c r="F2500" i="19"/>
  <c r="H2500" i="19"/>
  <c r="Q2500" i="19"/>
  <c r="F2501" i="19"/>
  <c r="H2501" i="19"/>
  <c r="Q2501" i="19"/>
  <c r="F2502" i="19"/>
  <c r="H2502" i="19"/>
  <c r="Q2502" i="19"/>
  <c r="F2503" i="19"/>
  <c r="H2503" i="19"/>
  <c r="Q2503" i="19"/>
  <c r="F2504" i="19"/>
  <c r="H2504" i="19"/>
  <c r="Q2504" i="19"/>
  <c r="F2505" i="19"/>
  <c r="H2505" i="19"/>
  <c r="Q2505" i="19"/>
  <c r="F2507" i="19"/>
  <c r="H2507" i="19"/>
  <c r="Q2507" i="19"/>
  <c r="F2508" i="19"/>
  <c r="H2508" i="19"/>
  <c r="Q2508" i="19"/>
  <c r="F2509" i="19"/>
  <c r="H2509" i="19"/>
  <c r="Q2509" i="19"/>
  <c r="F2510" i="19"/>
  <c r="H2510" i="19"/>
  <c r="Q2510" i="19"/>
  <c r="T17" i="19"/>
  <c r="X17" i="19"/>
  <c r="U17" i="19"/>
  <c r="R2120" i="19"/>
  <c r="F762" i="19"/>
  <c r="H762" i="19"/>
  <c r="F659" i="19"/>
  <c r="H659" i="19"/>
  <c r="F5070" i="19"/>
  <c r="H5070" i="19"/>
  <c r="F4233" i="19"/>
  <c r="H4233" i="19"/>
  <c r="F4137" i="19"/>
  <c r="H4137" i="19"/>
  <c r="F1643" i="19"/>
  <c r="H1643" i="19"/>
  <c r="F4982" i="19"/>
  <c r="H4982" i="19"/>
  <c r="Q4982" i="19"/>
  <c r="R4982" i="19"/>
  <c r="F4469" i="19"/>
  <c r="H4469" i="19"/>
  <c r="Q4469" i="19"/>
  <c r="R4469" i="19"/>
  <c r="F676" i="19"/>
  <c r="H676" i="19"/>
  <c r="F5234" i="19"/>
  <c r="H5234" i="19"/>
  <c r="Q5234" i="19"/>
  <c r="R5234" i="19"/>
  <c r="F637" i="19"/>
  <c r="H637" i="19"/>
  <c r="F5266" i="19"/>
  <c r="H5266" i="19"/>
  <c r="R2183" i="19"/>
  <c r="F1511" i="19"/>
  <c r="H1511" i="19"/>
  <c r="F5125" i="19"/>
  <c r="H5125" i="19"/>
  <c r="Q5125" i="19"/>
  <c r="R5125" i="19"/>
  <c r="R2256" i="19"/>
  <c r="F1607" i="19"/>
  <c r="H1607" i="19"/>
  <c r="Q1607" i="19"/>
  <c r="R1607" i="19"/>
  <c r="F3967" i="19"/>
  <c r="H3967" i="19"/>
  <c r="F3983" i="19"/>
  <c r="H3983" i="19"/>
  <c r="Q3983" i="19"/>
  <c r="R3983" i="19"/>
  <c r="F672" i="19"/>
  <c r="H672" i="19"/>
  <c r="Q672" i="19"/>
  <c r="R672" i="19"/>
  <c r="F4071" i="19"/>
  <c r="H4071" i="19"/>
  <c r="F1587" i="19"/>
  <c r="H1587" i="19"/>
  <c r="R2102" i="19"/>
  <c r="F1700" i="19"/>
  <c r="H1700" i="19"/>
  <c r="Q1700" i="19"/>
  <c r="R1700" i="19"/>
  <c r="F3765" i="19"/>
  <c r="H3765" i="19"/>
  <c r="F3539" i="19"/>
  <c r="H3539" i="19"/>
  <c r="F3149" i="19"/>
  <c r="H3149" i="19"/>
  <c r="F5779" i="19"/>
  <c r="H5779" i="19"/>
  <c r="Q5779" i="19"/>
  <c r="R5779" i="19"/>
  <c r="F4369" i="19"/>
  <c r="H4369" i="19"/>
  <c r="Q4369" i="19"/>
  <c r="R4369" i="19"/>
  <c r="F1422" i="19"/>
  <c r="H1422" i="19"/>
  <c r="F1768" i="19"/>
  <c r="H1768" i="19"/>
  <c r="F3832" i="19"/>
  <c r="H3832" i="19"/>
  <c r="Q3832" i="19"/>
  <c r="F3361" i="19"/>
  <c r="H3361" i="19"/>
  <c r="F2965" i="19"/>
  <c r="H2965" i="19"/>
  <c r="F4988" i="19"/>
  <c r="H4988" i="19"/>
  <c r="Q4988" i="19"/>
  <c r="R4988" i="19"/>
  <c r="F4188" i="19"/>
  <c r="H4188" i="19"/>
  <c r="F5000" i="19"/>
  <c r="H5000" i="19"/>
  <c r="Q5000" i="19"/>
  <c r="F4489" i="19"/>
  <c r="H4489" i="19"/>
  <c r="Q4489" i="19"/>
  <c r="F4490" i="19"/>
  <c r="H4490" i="19"/>
  <c r="Q4490" i="19"/>
  <c r="F4491" i="19"/>
  <c r="H4491" i="19"/>
  <c r="Q4491" i="19"/>
  <c r="F4492" i="19"/>
  <c r="H4492" i="19"/>
  <c r="Q4492" i="19"/>
  <c r="F4493" i="19"/>
  <c r="H4493" i="19"/>
  <c r="Q4493" i="19"/>
  <c r="F4494" i="19"/>
  <c r="H4494" i="19"/>
  <c r="Q4494" i="19"/>
  <c r="F4495" i="19"/>
  <c r="H4495" i="19"/>
  <c r="Q4495" i="19"/>
  <c r="F4496" i="19"/>
  <c r="H4496" i="19"/>
  <c r="Q4496" i="19"/>
  <c r="F4497" i="19"/>
  <c r="H4497" i="19"/>
  <c r="Q4497" i="19"/>
  <c r="F4498" i="19"/>
  <c r="H4498" i="19"/>
  <c r="Q4498" i="19"/>
  <c r="F4499" i="19"/>
  <c r="H4499" i="19"/>
  <c r="Q4499" i="19"/>
  <c r="F4500" i="19"/>
  <c r="H4500" i="19"/>
  <c r="Q4500" i="19"/>
  <c r="F4501" i="19"/>
  <c r="H4501" i="19"/>
  <c r="Q4501" i="19"/>
  <c r="F4502" i="19"/>
  <c r="H4502" i="19"/>
  <c r="Q4502" i="19"/>
  <c r="F4503" i="19"/>
  <c r="H4503" i="19"/>
  <c r="Q4503" i="19"/>
  <c r="F4504" i="19"/>
  <c r="H4504" i="19"/>
  <c r="Q4504" i="19"/>
  <c r="F4505" i="19"/>
  <c r="H4505" i="19"/>
  <c r="Q4505" i="19"/>
  <c r="F4506" i="19"/>
  <c r="H4506" i="19"/>
  <c r="Q4506" i="19"/>
  <c r="F4507" i="19"/>
  <c r="H4507" i="19"/>
  <c r="Q4507" i="19"/>
  <c r="F4508" i="19"/>
  <c r="H4508" i="19"/>
  <c r="Q4508" i="19"/>
  <c r="F4509" i="19"/>
  <c r="H4509" i="19"/>
  <c r="Q4509" i="19"/>
  <c r="F4510" i="19"/>
  <c r="H4510" i="19"/>
  <c r="Q4510" i="19"/>
  <c r="F4511" i="19"/>
  <c r="H4511" i="19"/>
  <c r="Q4511" i="19"/>
  <c r="Q4512" i="19"/>
  <c r="F4513" i="19"/>
  <c r="H4513" i="19"/>
  <c r="Q4513" i="19"/>
  <c r="F4514" i="19"/>
  <c r="H4514" i="19"/>
  <c r="Q4514" i="19"/>
  <c r="F4515" i="19"/>
  <c r="H4515" i="19"/>
  <c r="Q4515" i="19"/>
  <c r="F4516" i="19"/>
  <c r="H4516" i="19"/>
  <c r="Q4516" i="19"/>
  <c r="F4517" i="19"/>
  <c r="H4517" i="19"/>
  <c r="Q4517" i="19"/>
  <c r="F4518" i="19"/>
  <c r="H4518" i="19"/>
  <c r="Q4518" i="19"/>
  <c r="F4519" i="19"/>
  <c r="H4519" i="19"/>
  <c r="Q4519" i="19"/>
  <c r="F4520" i="19"/>
  <c r="H4520" i="19"/>
  <c r="Q4520" i="19"/>
  <c r="F4521" i="19"/>
  <c r="H4521" i="19"/>
  <c r="Q4521" i="19"/>
  <c r="Q4522" i="19"/>
  <c r="F4523" i="19"/>
  <c r="H4523" i="19"/>
  <c r="Q4523" i="19"/>
  <c r="F4524" i="19"/>
  <c r="H4524" i="19"/>
  <c r="Q4524" i="19"/>
  <c r="F4525" i="19"/>
  <c r="H4525" i="19"/>
  <c r="Q4525" i="19"/>
  <c r="F4526" i="19"/>
  <c r="H4526" i="19"/>
  <c r="Q4526" i="19"/>
  <c r="F4527" i="19"/>
  <c r="H4527" i="19"/>
  <c r="Q4527" i="19"/>
  <c r="F4528" i="19"/>
  <c r="H4528" i="19"/>
  <c r="Q4528" i="19"/>
  <c r="F4529" i="19"/>
  <c r="H4529" i="19"/>
  <c r="Q4529" i="19"/>
  <c r="F4530" i="19"/>
  <c r="H4530" i="19"/>
  <c r="Q4530" i="19"/>
  <c r="F4531" i="19"/>
  <c r="H4531" i="19"/>
  <c r="Q4531" i="19"/>
  <c r="F4532" i="19"/>
  <c r="H4532" i="19"/>
  <c r="Q4532" i="19"/>
  <c r="F4533" i="19"/>
  <c r="H4533" i="19"/>
  <c r="Q4533" i="19"/>
  <c r="F4534" i="19"/>
  <c r="H4534" i="19"/>
  <c r="Q4534" i="19"/>
  <c r="F4535" i="19"/>
  <c r="H4535" i="19"/>
  <c r="Q4535" i="19"/>
  <c r="F4536" i="19"/>
  <c r="H4536" i="19"/>
  <c r="Q4536" i="19"/>
  <c r="F4537" i="19"/>
  <c r="H4537" i="19"/>
  <c r="Q4537" i="19"/>
  <c r="F4538" i="19"/>
  <c r="H4538" i="19"/>
  <c r="Q4538" i="19"/>
  <c r="F4539" i="19"/>
  <c r="H4539" i="19"/>
  <c r="Q4539" i="19"/>
  <c r="F4540" i="19"/>
  <c r="H4540" i="19"/>
  <c r="Q4540" i="19"/>
  <c r="F4541" i="19"/>
  <c r="H4541" i="19"/>
  <c r="Q4541" i="19"/>
  <c r="F4542" i="19"/>
  <c r="H4542" i="19"/>
  <c r="Q4542" i="19"/>
  <c r="F4543" i="19"/>
  <c r="H4543" i="19"/>
  <c r="Q4543" i="19"/>
  <c r="F4544" i="19"/>
  <c r="H4544" i="19"/>
  <c r="Q4544" i="19"/>
  <c r="F4545" i="19"/>
  <c r="H4545" i="19"/>
  <c r="Q4545" i="19"/>
  <c r="F4546" i="19"/>
  <c r="H4546" i="19"/>
  <c r="Q4546" i="19"/>
  <c r="F4547" i="19"/>
  <c r="H4547" i="19"/>
  <c r="Q4547" i="19"/>
  <c r="F4548" i="19"/>
  <c r="H4548" i="19"/>
  <c r="Q4548" i="19"/>
  <c r="F4549" i="19"/>
  <c r="H4549" i="19"/>
  <c r="Q4549" i="19"/>
  <c r="F4550" i="19"/>
  <c r="H4550" i="19"/>
  <c r="Q4550" i="19"/>
  <c r="F4551" i="19"/>
  <c r="H4551" i="19"/>
  <c r="Q4551" i="19"/>
  <c r="F4552" i="19"/>
  <c r="H4552" i="19"/>
  <c r="Q4552" i="19"/>
  <c r="F4553" i="19"/>
  <c r="H4553" i="19"/>
  <c r="Q4553" i="19"/>
  <c r="F4554" i="19"/>
  <c r="H4554" i="19"/>
  <c r="Q4554" i="19"/>
  <c r="F4555" i="19"/>
  <c r="H4555" i="19"/>
  <c r="Q4555" i="19"/>
  <c r="F4556" i="19"/>
  <c r="H4556" i="19"/>
  <c r="Q4556" i="19"/>
  <c r="F4557" i="19"/>
  <c r="H4557" i="19"/>
  <c r="Q4557" i="19"/>
  <c r="F4558" i="19"/>
  <c r="H4558" i="19"/>
  <c r="Q4558" i="19"/>
  <c r="F4559" i="19"/>
  <c r="H4559" i="19"/>
  <c r="Q4559" i="19"/>
  <c r="F4560" i="19"/>
  <c r="H4560" i="19"/>
  <c r="Q4560" i="19"/>
  <c r="F4561" i="19"/>
  <c r="H4561" i="19"/>
  <c r="Q4561" i="19"/>
  <c r="F4562" i="19"/>
  <c r="H4562" i="19"/>
  <c r="Q4562" i="19"/>
  <c r="F4563" i="19"/>
  <c r="H4563" i="19"/>
  <c r="Q4563" i="19"/>
  <c r="F4564" i="19"/>
  <c r="H4564" i="19"/>
  <c r="Q4564" i="19"/>
  <c r="F4565" i="19"/>
  <c r="H4565" i="19"/>
  <c r="Q4565" i="19"/>
  <c r="F4566" i="19"/>
  <c r="H4566" i="19"/>
  <c r="Q4566" i="19"/>
  <c r="F4567" i="19"/>
  <c r="H4567" i="19"/>
  <c r="Q4567" i="19"/>
  <c r="F4568" i="19"/>
  <c r="H4568" i="19"/>
  <c r="Q4568" i="19"/>
  <c r="F4569" i="19"/>
  <c r="H4569" i="19"/>
  <c r="Q4569" i="19"/>
  <c r="F4570" i="19"/>
  <c r="H4570" i="19"/>
  <c r="Q4570" i="19"/>
  <c r="F4571" i="19"/>
  <c r="H4571" i="19"/>
  <c r="Q4571" i="19"/>
  <c r="F4572" i="19"/>
  <c r="H4572" i="19"/>
  <c r="Q4572" i="19"/>
  <c r="F4573" i="19"/>
  <c r="H4573" i="19"/>
  <c r="Q4573" i="19"/>
  <c r="F4574" i="19"/>
  <c r="H4574" i="19"/>
  <c r="Q4574" i="19"/>
  <c r="F4575" i="19"/>
  <c r="H4575" i="19"/>
  <c r="Q4575" i="19"/>
  <c r="F4576" i="19"/>
  <c r="H4576" i="19"/>
  <c r="Q4576" i="19"/>
  <c r="F4577" i="19"/>
  <c r="H4577" i="19"/>
  <c r="Q4577" i="19"/>
  <c r="F4578" i="19"/>
  <c r="H4578" i="19"/>
  <c r="Q4578" i="19"/>
  <c r="F4579" i="19"/>
  <c r="H4579" i="19"/>
  <c r="Q4579" i="19"/>
  <c r="F4580" i="19"/>
  <c r="H4580" i="19"/>
  <c r="Q4580" i="19"/>
  <c r="F4581" i="19"/>
  <c r="H4581" i="19"/>
  <c r="Q4581" i="19"/>
  <c r="F4582" i="19"/>
  <c r="H4582" i="19"/>
  <c r="Q4582" i="19"/>
  <c r="F4583" i="19"/>
  <c r="H4583" i="19"/>
  <c r="Q4583" i="19"/>
  <c r="F4584" i="19"/>
  <c r="H4584" i="19"/>
  <c r="Q4584" i="19"/>
  <c r="F4585" i="19"/>
  <c r="H4585" i="19"/>
  <c r="Q4585" i="19"/>
  <c r="F4586" i="19"/>
  <c r="H4586" i="19"/>
  <c r="Q4586" i="19"/>
  <c r="F4587" i="19"/>
  <c r="H4587" i="19"/>
  <c r="Q4587" i="19"/>
  <c r="F4588" i="19"/>
  <c r="H4588" i="19"/>
  <c r="Q4588" i="19"/>
  <c r="F4589" i="19"/>
  <c r="H4589" i="19"/>
  <c r="Q4589" i="19"/>
  <c r="F4591" i="19"/>
  <c r="H4591" i="19"/>
  <c r="Q4591" i="19"/>
  <c r="F4592" i="19"/>
  <c r="H4592" i="19"/>
  <c r="Q4592" i="19"/>
  <c r="F4593" i="19"/>
  <c r="H4593" i="19"/>
  <c r="Q4593" i="19"/>
  <c r="F4594" i="19"/>
  <c r="H4594" i="19"/>
  <c r="Q4594" i="19"/>
  <c r="F4595" i="19"/>
  <c r="H4595" i="19"/>
  <c r="Q4595" i="19"/>
  <c r="F4596" i="19"/>
  <c r="H4596" i="19"/>
  <c r="Q4596" i="19"/>
  <c r="F4597" i="19"/>
  <c r="H4597" i="19"/>
  <c r="Q4597" i="19"/>
  <c r="F4598" i="19"/>
  <c r="H4598" i="19"/>
  <c r="Q4598" i="19"/>
  <c r="F4599" i="19"/>
  <c r="H4599" i="19"/>
  <c r="Q4599" i="19"/>
  <c r="F4600" i="19"/>
  <c r="H4600" i="19"/>
  <c r="Q4600" i="19"/>
  <c r="F4601" i="19"/>
  <c r="H4601" i="19"/>
  <c r="Q4601" i="19"/>
  <c r="F4602" i="19"/>
  <c r="H4602" i="19"/>
  <c r="Q4602" i="19"/>
  <c r="F4603" i="19"/>
  <c r="H4603" i="19"/>
  <c r="Q4603" i="19"/>
  <c r="F4604" i="19"/>
  <c r="H4604" i="19"/>
  <c r="Q4604" i="19"/>
  <c r="F4605" i="19"/>
  <c r="H4605" i="19"/>
  <c r="Q4605" i="19"/>
  <c r="F4606" i="19"/>
  <c r="H4606" i="19"/>
  <c r="Q4606" i="19"/>
  <c r="F4607" i="19"/>
  <c r="H4607" i="19"/>
  <c r="Q4607" i="19"/>
  <c r="F4608" i="19"/>
  <c r="H4608" i="19"/>
  <c r="Q4608" i="19"/>
  <c r="F4609" i="19"/>
  <c r="H4609" i="19"/>
  <c r="Q4609" i="19"/>
  <c r="F4610" i="19"/>
  <c r="H4610" i="19"/>
  <c r="Q4610" i="19"/>
  <c r="F4611" i="19"/>
  <c r="H4611" i="19"/>
  <c r="Q4611" i="19"/>
  <c r="F4612" i="19"/>
  <c r="H4612" i="19"/>
  <c r="Q4612" i="19"/>
  <c r="F4613" i="19"/>
  <c r="H4613" i="19"/>
  <c r="Q4613" i="19"/>
  <c r="F4614" i="19"/>
  <c r="H4614" i="19"/>
  <c r="Q4614" i="19"/>
  <c r="F4615" i="19"/>
  <c r="H4615" i="19"/>
  <c r="Q4615" i="19"/>
  <c r="F4616" i="19"/>
  <c r="H4616" i="19"/>
  <c r="Q4616" i="19"/>
  <c r="F4617" i="19"/>
  <c r="H4617" i="19"/>
  <c r="Q4617" i="19"/>
  <c r="F4618" i="19"/>
  <c r="H4618" i="19"/>
  <c r="Q4618" i="19"/>
  <c r="F4619" i="19"/>
  <c r="H4619" i="19"/>
  <c r="Q4619" i="19"/>
  <c r="F4620" i="19"/>
  <c r="H4620" i="19"/>
  <c r="Q4620" i="19"/>
  <c r="F4621" i="19"/>
  <c r="H4621" i="19"/>
  <c r="Q4621" i="19"/>
  <c r="F4622" i="19"/>
  <c r="H4622" i="19"/>
  <c r="Q4622" i="19"/>
  <c r="F4623" i="19"/>
  <c r="H4623" i="19"/>
  <c r="Q4623" i="19"/>
  <c r="F4625" i="19"/>
  <c r="H4625" i="19"/>
  <c r="Q4625" i="19"/>
  <c r="F4626" i="19"/>
  <c r="H4626" i="19"/>
  <c r="Q4626" i="19"/>
  <c r="Q4627" i="19"/>
  <c r="F4628" i="19"/>
  <c r="H4628" i="19"/>
  <c r="Q4628" i="19"/>
  <c r="F4629" i="19"/>
  <c r="H4629" i="19"/>
  <c r="Q4629" i="19"/>
  <c r="F4630" i="19"/>
  <c r="H4630" i="19"/>
  <c r="Q4630" i="19"/>
  <c r="F4631" i="19"/>
  <c r="H4631" i="19"/>
  <c r="Q4631" i="19"/>
  <c r="F4632" i="19"/>
  <c r="H4632" i="19"/>
  <c r="Q4632" i="19"/>
  <c r="F4633" i="19"/>
  <c r="H4633" i="19"/>
  <c r="Q4633" i="19"/>
  <c r="F4634" i="19"/>
  <c r="H4634" i="19"/>
  <c r="Q4634" i="19"/>
  <c r="F4635" i="19"/>
  <c r="H4635" i="19"/>
  <c r="Q4635" i="19"/>
  <c r="F4636" i="19"/>
  <c r="H4636" i="19"/>
  <c r="Q4636" i="19"/>
  <c r="F4637" i="19"/>
  <c r="H4637" i="19"/>
  <c r="Q4637" i="19"/>
  <c r="F4638" i="19"/>
  <c r="H4638" i="19"/>
  <c r="Q4638" i="19"/>
  <c r="F4639" i="19"/>
  <c r="H4639" i="19"/>
  <c r="Q4639" i="19"/>
  <c r="F4640" i="19"/>
  <c r="H4640" i="19"/>
  <c r="Q4640" i="19"/>
  <c r="F4641" i="19"/>
  <c r="H4641" i="19"/>
  <c r="Q4641" i="19"/>
  <c r="F4642" i="19"/>
  <c r="H4642" i="19"/>
  <c r="Q4642" i="19"/>
  <c r="F4643" i="19"/>
  <c r="H4643" i="19"/>
  <c r="Q4643" i="19"/>
  <c r="F4644" i="19"/>
  <c r="H4644" i="19"/>
  <c r="Q4644" i="19"/>
  <c r="F4645" i="19"/>
  <c r="H4645" i="19"/>
  <c r="Q4645" i="19"/>
  <c r="F4646" i="19"/>
  <c r="H4646" i="19"/>
  <c r="Q4646" i="19"/>
  <c r="F4647" i="19"/>
  <c r="H4647" i="19"/>
  <c r="Q4647" i="19"/>
  <c r="F4648" i="19"/>
  <c r="H4648" i="19"/>
  <c r="Q4648" i="19"/>
  <c r="F4649" i="19"/>
  <c r="H4649" i="19"/>
  <c r="Q4649" i="19"/>
  <c r="F4650" i="19"/>
  <c r="H4650" i="19"/>
  <c r="Q4650" i="19"/>
  <c r="F4651" i="19"/>
  <c r="H4651" i="19"/>
  <c r="Q4651" i="19"/>
  <c r="Q4652" i="19"/>
  <c r="F4653" i="19"/>
  <c r="H4653" i="19"/>
  <c r="Q4653" i="19"/>
  <c r="F4654" i="19"/>
  <c r="H4654" i="19"/>
  <c r="Q4654" i="19"/>
  <c r="F4655" i="19"/>
  <c r="H4655" i="19"/>
  <c r="Q4655" i="19"/>
  <c r="F4657" i="19"/>
  <c r="H4657" i="19"/>
  <c r="Q4657" i="19"/>
  <c r="F4658" i="19"/>
  <c r="H4658" i="19"/>
  <c r="Q4658" i="19"/>
  <c r="F4659" i="19"/>
  <c r="H4659" i="19"/>
  <c r="Q4659" i="19"/>
  <c r="F4660" i="19"/>
  <c r="H4660" i="19"/>
  <c r="Q4660" i="19"/>
  <c r="F4661" i="19"/>
  <c r="H4661" i="19"/>
  <c r="Q4661" i="19"/>
  <c r="F4662" i="19"/>
  <c r="H4662" i="19"/>
  <c r="Q4662" i="19"/>
  <c r="F4663" i="19"/>
  <c r="H4663" i="19"/>
  <c r="Q4663" i="19"/>
  <c r="F4664" i="19"/>
  <c r="H4664" i="19"/>
  <c r="Q4664" i="19"/>
  <c r="F4666" i="19"/>
  <c r="H4666" i="19"/>
  <c r="Q4666" i="19"/>
  <c r="F4667" i="19"/>
  <c r="H4667" i="19"/>
  <c r="Q4667" i="19"/>
  <c r="F4668" i="19"/>
  <c r="H4668" i="19"/>
  <c r="Q4668" i="19"/>
  <c r="F4669" i="19"/>
  <c r="H4669" i="19"/>
  <c r="Q4669" i="19"/>
  <c r="F4670" i="19"/>
  <c r="H4670" i="19"/>
  <c r="Q4670" i="19"/>
  <c r="F4671" i="19"/>
  <c r="H4671" i="19"/>
  <c r="Q4671" i="19"/>
  <c r="F4672" i="19"/>
  <c r="H4672" i="19"/>
  <c r="Q4672" i="19"/>
  <c r="F4673" i="19"/>
  <c r="H4673" i="19"/>
  <c r="Q4673" i="19"/>
  <c r="F4674" i="19"/>
  <c r="H4674" i="19"/>
  <c r="Q4674" i="19"/>
  <c r="F4675" i="19"/>
  <c r="H4675" i="19"/>
  <c r="Q4675" i="19"/>
  <c r="F4676" i="19"/>
  <c r="H4676" i="19"/>
  <c r="Q4676" i="19"/>
  <c r="F4677" i="19"/>
  <c r="H4677" i="19"/>
  <c r="Q4677" i="19"/>
  <c r="F4678" i="19"/>
  <c r="H4678" i="19"/>
  <c r="Q4678" i="19"/>
  <c r="F4679" i="19"/>
  <c r="H4679" i="19"/>
  <c r="Q4679" i="19"/>
  <c r="F4680" i="19"/>
  <c r="H4680" i="19"/>
  <c r="Q4680" i="19"/>
  <c r="F4681" i="19"/>
  <c r="H4681" i="19"/>
  <c r="Q4681" i="19"/>
  <c r="F4682" i="19"/>
  <c r="H4682" i="19"/>
  <c r="Q4682" i="19"/>
  <c r="F4683" i="19"/>
  <c r="H4683" i="19"/>
  <c r="Q4683" i="19"/>
  <c r="F4684" i="19"/>
  <c r="H4684" i="19"/>
  <c r="Q4684" i="19"/>
  <c r="F4685" i="19"/>
  <c r="H4685" i="19"/>
  <c r="Q4685" i="19"/>
  <c r="F4686" i="19"/>
  <c r="H4686" i="19"/>
  <c r="Q4686" i="19"/>
  <c r="F4687" i="19"/>
  <c r="H4687" i="19"/>
  <c r="Q4687" i="19"/>
  <c r="F4688" i="19"/>
  <c r="H4688" i="19"/>
  <c r="Q4688" i="19"/>
  <c r="F4689" i="19"/>
  <c r="H4689" i="19"/>
  <c r="Q4689" i="19"/>
  <c r="F4690" i="19"/>
  <c r="H4690" i="19"/>
  <c r="Q4690" i="19"/>
  <c r="F4691" i="19"/>
  <c r="H4691" i="19"/>
  <c r="Q4691" i="19"/>
  <c r="F4692" i="19"/>
  <c r="H4692" i="19"/>
  <c r="Q4692" i="19"/>
  <c r="F4693" i="19"/>
  <c r="H4693" i="19"/>
  <c r="Q4693" i="19"/>
  <c r="F4694" i="19"/>
  <c r="H4694" i="19"/>
  <c r="Q4694" i="19"/>
  <c r="F4695" i="19"/>
  <c r="H4695" i="19"/>
  <c r="Q4695" i="19"/>
  <c r="F4696" i="19"/>
  <c r="H4696" i="19"/>
  <c r="Q4696" i="19"/>
  <c r="F4698" i="19"/>
  <c r="H4698" i="19"/>
  <c r="Q4698" i="19"/>
  <c r="F4699" i="19"/>
  <c r="H4699" i="19"/>
  <c r="Q4699" i="19"/>
  <c r="F4700" i="19"/>
  <c r="H4700" i="19"/>
  <c r="Q4700" i="19"/>
  <c r="F4701" i="19"/>
  <c r="H4701" i="19"/>
  <c r="Q4701" i="19"/>
  <c r="F4702" i="19"/>
  <c r="H4702" i="19"/>
  <c r="Q4702" i="19"/>
  <c r="F4703" i="19"/>
  <c r="H4703" i="19"/>
  <c r="Q4703" i="19"/>
  <c r="F4704" i="19"/>
  <c r="H4704" i="19"/>
  <c r="Q4704" i="19"/>
  <c r="F4705" i="19"/>
  <c r="H4705" i="19"/>
  <c r="Q4705" i="19"/>
  <c r="F4707" i="19"/>
  <c r="H4707" i="19"/>
  <c r="Q4707" i="19"/>
  <c r="F4708" i="19"/>
  <c r="H4708" i="19"/>
  <c r="Q4708" i="19"/>
  <c r="F4709" i="19"/>
  <c r="H4709" i="19"/>
  <c r="Q4709" i="19"/>
  <c r="F4710" i="19"/>
  <c r="H4710" i="19"/>
  <c r="Q4710" i="19"/>
  <c r="F4711" i="19"/>
  <c r="H4711" i="19"/>
  <c r="Q4711" i="19"/>
  <c r="F4712" i="19"/>
  <c r="H4712" i="19"/>
  <c r="Q4712" i="19"/>
  <c r="F4713" i="19"/>
  <c r="H4713" i="19"/>
  <c r="Q4713" i="19"/>
  <c r="F4714" i="19"/>
  <c r="H4714" i="19"/>
  <c r="Q4714" i="19"/>
  <c r="F4715" i="19"/>
  <c r="H4715" i="19"/>
  <c r="Q4715" i="19"/>
  <c r="F4716" i="19"/>
  <c r="H4716" i="19"/>
  <c r="Q4716" i="19"/>
  <c r="F4717" i="19"/>
  <c r="H4717" i="19"/>
  <c r="Q4717" i="19"/>
  <c r="F4718" i="19"/>
  <c r="H4718" i="19"/>
  <c r="Q4718" i="19"/>
  <c r="F4720" i="19"/>
  <c r="H4720" i="19"/>
  <c r="Q4720" i="19"/>
  <c r="F4721" i="19"/>
  <c r="H4721" i="19"/>
  <c r="Q4721" i="19"/>
  <c r="Q4722" i="19"/>
  <c r="F4723" i="19"/>
  <c r="H4723" i="19"/>
  <c r="Q4723" i="19"/>
  <c r="F4724" i="19"/>
  <c r="H4724" i="19"/>
  <c r="Q4724" i="19"/>
  <c r="F4725" i="19"/>
  <c r="H4725" i="19"/>
  <c r="Q4725" i="19"/>
  <c r="F4726" i="19"/>
  <c r="H4726" i="19"/>
  <c r="Q4726" i="19"/>
  <c r="F4727" i="19"/>
  <c r="H4727" i="19"/>
  <c r="Q4727" i="19"/>
  <c r="F4728" i="19"/>
  <c r="H4728" i="19"/>
  <c r="Q4728" i="19"/>
  <c r="F4729" i="19"/>
  <c r="H4729" i="19"/>
  <c r="Q4729" i="19"/>
  <c r="F4731" i="19"/>
  <c r="H4731" i="19"/>
  <c r="Q4731" i="19"/>
  <c r="F4732" i="19"/>
  <c r="H4732" i="19"/>
  <c r="Q4732" i="19"/>
  <c r="F4733" i="19"/>
  <c r="H4733" i="19"/>
  <c r="Q4733" i="19"/>
  <c r="F4734" i="19"/>
  <c r="H4734" i="19"/>
  <c r="Q4734" i="19"/>
  <c r="F4735" i="19"/>
  <c r="H4735" i="19"/>
  <c r="Q4735" i="19"/>
  <c r="F4736" i="19"/>
  <c r="H4736" i="19"/>
  <c r="Q4736" i="19"/>
  <c r="F4737" i="19"/>
  <c r="H4737" i="19"/>
  <c r="Q4737" i="19"/>
  <c r="F4738" i="19"/>
  <c r="H4738" i="19"/>
  <c r="Q4738" i="19"/>
  <c r="F4739" i="19"/>
  <c r="H4739" i="19"/>
  <c r="Q4739" i="19"/>
  <c r="F4740" i="19"/>
  <c r="H4740" i="19"/>
  <c r="Q4740" i="19"/>
  <c r="F4741" i="19"/>
  <c r="H4741" i="19"/>
  <c r="Q4741" i="19"/>
  <c r="F4742" i="19"/>
  <c r="H4742" i="19"/>
  <c r="Q4742" i="19"/>
  <c r="F4743" i="19"/>
  <c r="H4743" i="19"/>
  <c r="Q4743" i="19"/>
  <c r="F4744" i="19"/>
  <c r="H4744" i="19"/>
  <c r="Q4744" i="19"/>
  <c r="F4745" i="19"/>
  <c r="H4745" i="19"/>
  <c r="Q4745" i="19"/>
  <c r="F4746" i="19"/>
  <c r="H4746" i="19"/>
  <c r="Q4746" i="19"/>
  <c r="F4747" i="19"/>
  <c r="H4747" i="19"/>
  <c r="Q4747" i="19"/>
  <c r="F4749" i="19"/>
  <c r="H4749" i="19"/>
  <c r="Q4749" i="19"/>
  <c r="F4751" i="19"/>
  <c r="H4751" i="19"/>
  <c r="Q4751" i="19"/>
  <c r="F4752" i="19"/>
  <c r="H4752" i="19"/>
  <c r="Q4752" i="19"/>
  <c r="Q4753" i="19"/>
  <c r="F4754" i="19"/>
  <c r="H4754" i="19"/>
  <c r="Q4754" i="19"/>
  <c r="F4755" i="19"/>
  <c r="H4755" i="19"/>
  <c r="Q4755" i="19"/>
  <c r="F4756" i="19"/>
  <c r="H4756" i="19"/>
  <c r="Q4756" i="19"/>
  <c r="Q4757" i="19"/>
  <c r="F4758" i="19"/>
  <c r="H4758" i="19"/>
  <c r="Q4758" i="19"/>
  <c r="F4759" i="19"/>
  <c r="H4759" i="19"/>
  <c r="Q4759" i="19"/>
  <c r="F4760" i="19"/>
  <c r="H4760" i="19"/>
  <c r="Q4760" i="19"/>
  <c r="F4761" i="19"/>
  <c r="H4761" i="19"/>
  <c r="Q4761" i="19"/>
  <c r="F4762" i="19"/>
  <c r="H4762" i="19"/>
  <c r="Q4762" i="19"/>
  <c r="F4763" i="19"/>
  <c r="H4763" i="19"/>
  <c r="Q4763" i="19"/>
  <c r="F4764" i="19"/>
  <c r="H4764" i="19"/>
  <c r="Q4764" i="19"/>
  <c r="F4765" i="19"/>
  <c r="H4765" i="19"/>
  <c r="Q4765" i="19"/>
  <c r="F4766" i="19"/>
  <c r="H4766" i="19"/>
  <c r="Q4766" i="19"/>
  <c r="F4767" i="19"/>
  <c r="H4767" i="19"/>
  <c r="Q4767" i="19"/>
  <c r="F4768" i="19"/>
  <c r="H4768" i="19"/>
  <c r="Q4768" i="19"/>
  <c r="F4769" i="19"/>
  <c r="H4769" i="19"/>
  <c r="Q4769" i="19"/>
  <c r="F4770" i="19"/>
  <c r="H4770" i="19"/>
  <c r="Q4770" i="19"/>
  <c r="F4771" i="19"/>
  <c r="H4771" i="19"/>
  <c r="Q4771" i="19"/>
  <c r="F4772" i="19"/>
  <c r="H4772" i="19"/>
  <c r="Q4772" i="19"/>
  <c r="F4773" i="19"/>
  <c r="H4773" i="19"/>
  <c r="Q4773" i="19"/>
  <c r="F4774" i="19"/>
  <c r="H4774" i="19"/>
  <c r="Q4774" i="19"/>
  <c r="F4775" i="19"/>
  <c r="H4775" i="19"/>
  <c r="Q4775" i="19"/>
  <c r="F4776" i="19"/>
  <c r="H4776" i="19"/>
  <c r="Q4776" i="19"/>
  <c r="F4777" i="19"/>
  <c r="H4777" i="19"/>
  <c r="Q4777" i="19"/>
  <c r="F4778" i="19"/>
  <c r="H4778" i="19"/>
  <c r="Q4778" i="19"/>
  <c r="F4779" i="19"/>
  <c r="H4779" i="19"/>
  <c r="Q4779" i="19"/>
  <c r="F4780" i="19"/>
  <c r="H4780" i="19"/>
  <c r="Q4780" i="19"/>
  <c r="F4781" i="19"/>
  <c r="H4781" i="19"/>
  <c r="Q4781" i="19"/>
  <c r="F4782" i="19"/>
  <c r="H4782" i="19"/>
  <c r="Q4782" i="19"/>
  <c r="F4783" i="19"/>
  <c r="H4783" i="19"/>
  <c r="Q4783" i="19"/>
  <c r="F4784" i="19"/>
  <c r="H4784" i="19"/>
  <c r="Q4784" i="19"/>
  <c r="F4786" i="19"/>
  <c r="H4786" i="19"/>
  <c r="Q4786" i="19"/>
  <c r="F4787" i="19"/>
  <c r="H4787" i="19"/>
  <c r="Q4787" i="19"/>
  <c r="F4788" i="19"/>
  <c r="H4788" i="19"/>
  <c r="Q4788" i="19"/>
  <c r="Q4789" i="19"/>
  <c r="F4790" i="19"/>
  <c r="H4790" i="19"/>
  <c r="Q4790" i="19"/>
  <c r="Q4792" i="19"/>
  <c r="F4793" i="19"/>
  <c r="H4793" i="19"/>
  <c r="Q4793" i="19"/>
  <c r="F4794" i="19"/>
  <c r="H4794" i="19"/>
  <c r="Q4794" i="19"/>
  <c r="F4795" i="19"/>
  <c r="H4795" i="19"/>
  <c r="Q4795" i="19"/>
  <c r="F4796" i="19"/>
  <c r="H4796" i="19"/>
  <c r="Q4796" i="19"/>
  <c r="F4797" i="19"/>
  <c r="H4797" i="19"/>
  <c r="Q4797" i="19"/>
  <c r="Q4798" i="19"/>
  <c r="F4799" i="19"/>
  <c r="H4799" i="19"/>
  <c r="Q4799" i="19"/>
  <c r="F4800" i="19"/>
  <c r="H4800" i="19"/>
  <c r="Q4800" i="19"/>
  <c r="F4801" i="19"/>
  <c r="H4801" i="19"/>
  <c r="Q4801" i="19"/>
  <c r="F4802" i="19"/>
  <c r="H4802" i="19"/>
  <c r="Q4802" i="19"/>
  <c r="F4803" i="19"/>
  <c r="H4803" i="19"/>
  <c r="Q4803" i="19"/>
  <c r="F4804" i="19"/>
  <c r="H4804" i="19"/>
  <c r="Q4804" i="19"/>
  <c r="F4805" i="19"/>
  <c r="H4805" i="19"/>
  <c r="Q4805" i="19"/>
  <c r="F4806" i="19"/>
  <c r="H4806" i="19"/>
  <c r="Q4806" i="19"/>
  <c r="F4807" i="19"/>
  <c r="H4807" i="19"/>
  <c r="Q4807" i="19"/>
  <c r="F4808" i="19"/>
  <c r="H4808" i="19"/>
  <c r="Q4808" i="19"/>
  <c r="F4809" i="19"/>
  <c r="H4809" i="19"/>
  <c r="Q4809" i="19"/>
  <c r="Q4810" i="19"/>
  <c r="F4811" i="19"/>
  <c r="H4811" i="19"/>
  <c r="Q4811" i="19"/>
  <c r="F4812" i="19"/>
  <c r="H4812" i="19"/>
  <c r="Q4812" i="19"/>
  <c r="F4813" i="19"/>
  <c r="H4813" i="19"/>
  <c r="Q4813" i="19"/>
  <c r="F4814" i="19"/>
  <c r="H4814" i="19"/>
  <c r="Q4814" i="19"/>
  <c r="F4816" i="19"/>
  <c r="H4816" i="19"/>
  <c r="Q4816" i="19"/>
  <c r="F4817" i="19"/>
  <c r="H4817" i="19"/>
  <c r="Q4817" i="19"/>
  <c r="F4818" i="19"/>
  <c r="H4818" i="19"/>
  <c r="Q4818" i="19"/>
  <c r="F4819" i="19"/>
  <c r="H4819" i="19"/>
  <c r="Q4819" i="19"/>
  <c r="F4820" i="19"/>
  <c r="H4820" i="19"/>
  <c r="Q4820" i="19"/>
  <c r="F4821" i="19"/>
  <c r="H4821" i="19"/>
  <c r="Q4821" i="19"/>
  <c r="F4822" i="19"/>
  <c r="H4822" i="19"/>
  <c r="Q4822" i="19"/>
  <c r="F4823" i="19"/>
  <c r="H4823" i="19"/>
  <c r="Q4823" i="19"/>
  <c r="F4824" i="19"/>
  <c r="H4824" i="19"/>
  <c r="Q4824" i="19"/>
  <c r="F4825" i="19"/>
  <c r="H4825" i="19"/>
  <c r="Q4825" i="19"/>
  <c r="F4826" i="19"/>
  <c r="H4826" i="19"/>
  <c r="Q4826" i="19"/>
  <c r="F4827" i="19"/>
  <c r="H4827" i="19"/>
  <c r="Q4827" i="19"/>
  <c r="F4828" i="19"/>
  <c r="H4828" i="19"/>
  <c r="Q4828" i="19"/>
  <c r="F4829" i="19"/>
  <c r="H4829" i="19"/>
  <c r="Q4829" i="19"/>
  <c r="F4830" i="19"/>
  <c r="H4830" i="19"/>
  <c r="Q4830" i="19"/>
  <c r="F4831" i="19"/>
  <c r="H4831" i="19"/>
  <c r="Q4831" i="19"/>
  <c r="F4832" i="19"/>
  <c r="H4832" i="19"/>
  <c r="Q4832" i="19"/>
  <c r="F4833" i="19"/>
  <c r="H4833" i="19"/>
  <c r="Q4833" i="19"/>
  <c r="F4834" i="19"/>
  <c r="H4834" i="19"/>
  <c r="Q4834" i="19"/>
  <c r="F4835" i="19"/>
  <c r="H4835" i="19"/>
  <c r="Q4835" i="19"/>
  <c r="F4836" i="19"/>
  <c r="H4836" i="19"/>
  <c r="Q4836" i="19"/>
  <c r="F4837" i="19"/>
  <c r="H4837" i="19"/>
  <c r="Q4837" i="19"/>
  <c r="F4838" i="19"/>
  <c r="H4838" i="19"/>
  <c r="Q4838" i="19"/>
  <c r="F4839" i="19"/>
  <c r="H4839" i="19"/>
  <c r="Q4839" i="19"/>
  <c r="F4840" i="19"/>
  <c r="H4840" i="19"/>
  <c r="Q4840" i="19"/>
  <c r="F4841" i="19"/>
  <c r="H4841" i="19"/>
  <c r="Q4841" i="19"/>
  <c r="F4842" i="19"/>
  <c r="H4842" i="19"/>
  <c r="Q4842" i="19"/>
  <c r="F4843" i="19"/>
  <c r="H4843" i="19"/>
  <c r="Q4843" i="19"/>
  <c r="F4844" i="19"/>
  <c r="H4844" i="19"/>
  <c r="Q4844" i="19"/>
  <c r="F4845" i="19"/>
  <c r="H4845" i="19"/>
  <c r="Q4845" i="19"/>
  <c r="F4846" i="19"/>
  <c r="H4846" i="19"/>
  <c r="Q4846" i="19"/>
  <c r="F4847" i="19"/>
  <c r="H4847" i="19"/>
  <c r="Q4847" i="19"/>
  <c r="F4848" i="19"/>
  <c r="H4848" i="19"/>
  <c r="Q4848" i="19"/>
  <c r="F4849" i="19"/>
  <c r="H4849" i="19"/>
  <c r="Q4849" i="19"/>
  <c r="F4850" i="19"/>
  <c r="H4850" i="19"/>
  <c r="Q4850" i="19"/>
  <c r="F4851" i="19"/>
  <c r="H4851" i="19"/>
  <c r="Q4851" i="19"/>
  <c r="F4852" i="19"/>
  <c r="H4852" i="19"/>
  <c r="Q4852" i="19"/>
  <c r="F4853" i="19"/>
  <c r="H4853" i="19"/>
  <c r="Q4853" i="19"/>
  <c r="F4854" i="19"/>
  <c r="H4854" i="19"/>
  <c r="Q4854" i="19"/>
  <c r="F4855" i="19"/>
  <c r="H4855" i="19"/>
  <c r="Q4855" i="19"/>
  <c r="F4856" i="19"/>
  <c r="H4856" i="19"/>
  <c r="Q4856" i="19"/>
  <c r="Q4857" i="19"/>
  <c r="F4858" i="19"/>
  <c r="H4858" i="19"/>
  <c r="Q4858" i="19"/>
  <c r="F4859" i="19"/>
  <c r="H4859" i="19"/>
  <c r="Q4859" i="19"/>
  <c r="F4860" i="19"/>
  <c r="H4860" i="19"/>
  <c r="Q4860" i="19"/>
  <c r="F4861" i="19"/>
  <c r="H4861" i="19"/>
  <c r="Q4861" i="19"/>
  <c r="F4862" i="19"/>
  <c r="H4862" i="19"/>
  <c r="Q4862" i="19"/>
  <c r="F4863" i="19"/>
  <c r="H4863" i="19"/>
  <c r="Q4863" i="19"/>
  <c r="F4864" i="19"/>
  <c r="H4864" i="19"/>
  <c r="Q4864" i="19"/>
  <c r="F4866" i="19"/>
  <c r="H4866" i="19"/>
  <c r="Q4866" i="19"/>
  <c r="F4867" i="19"/>
  <c r="H4867" i="19"/>
  <c r="Q4867" i="19"/>
  <c r="F4868" i="19"/>
  <c r="H4868" i="19"/>
  <c r="Q4868" i="19"/>
  <c r="F4869" i="19"/>
  <c r="H4869" i="19"/>
  <c r="Q4869" i="19"/>
  <c r="F4870" i="19"/>
  <c r="H4870" i="19"/>
  <c r="Q4870" i="19"/>
  <c r="F4871" i="19"/>
  <c r="H4871" i="19"/>
  <c r="Q4871" i="19"/>
  <c r="F4872" i="19"/>
  <c r="H4872" i="19"/>
  <c r="Q4872" i="19"/>
  <c r="F4873" i="19"/>
  <c r="H4873" i="19"/>
  <c r="Q4873" i="19"/>
  <c r="F4874" i="19"/>
  <c r="H4874" i="19"/>
  <c r="Q4874" i="19"/>
  <c r="F4875" i="19"/>
  <c r="H4875" i="19"/>
  <c r="Q4875" i="19"/>
  <c r="F4876" i="19"/>
  <c r="H4876" i="19"/>
  <c r="Q4876" i="19"/>
  <c r="F4877" i="19"/>
  <c r="H4877" i="19"/>
  <c r="Q4877" i="19"/>
  <c r="F4878" i="19"/>
  <c r="H4878" i="19"/>
  <c r="Q4878" i="19"/>
  <c r="F4879" i="19"/>
  <c r="H4879" i="19"/>
  <c r="Q4879" i="19"/>
  <c r="F4880" i="19"/>
  <c r="H4880" i="19"/>
  <c r="Q4880" i="19"/>
  <c r="F4882" i="19"/>
  <c r="H4882" i="19"/>
  <c r="Q4882" i="19"/>
  <c r="F4883" i="19"/>
  <c r="H4883" i="19"/>
  <c r="Q4883" i="19"/>
  <c r="F4884" i="19"/>
  <c r="H4884" i="19"/>
  <c r="Q4884" i="19"/>
  <c r="F4885" i="19"/>
  <c r="H4885" i="19"/>
  <c r="Q4885" i="19"/>
  <c r="F4886" i="19"/>
  <c r="H4886" i="19"/>
  <c r="Q4886" i="19"/>
  <c r="F4887" i="19"/>
  <c r="H4887" i="19"/>
  <c r="Q4887" i="19"/>
  <c r="F4888" i="19"/>
  <c r="H4888" i="19"/>
  <c r="Q4888" i="19"/>
  <c r="F4889" i="19"/>
  <c r="H4889" i="19"/>
  <c r="Q4889" i="19"/>
  <c r="F4890" i="19"/>
  <c r="H4890" i="19"/>
  <c r="Q4890" i="19"/>
  <c r="Q4891" i="19"/>
  <c r="F4892" i="19"/>
  <c r="H4892" i="19"/>
  <c r="Q4892" i="19"/>
  <c r="F4893" i="19"/>
  <c r="H4893" i="19"/>
  <c r="Q4893" i="19"/>
  <c r="F4894" i="19"/>
  <c r="H4894" i="19"/>
  <c r="Q4894" i="19"/>
  <c r="F4895" i="19"/>
  <c r="H4895" i="19"/>
  <c r="Q4895" i="19"/>
  <c r="F4896" i="19"/>
  <c r="H4896" i="19"/>
  <c r="Q4896" i="19"/>
  <c r="F4897" i="19"/>
  <c r="H4897" i="19"/>
  <c r="Q4897" i="19"/>
  <c r="F4898" i="19"/>
  <c r="H4898" i="19"/>
  <c r="Q4898" i="19"/>
  <c r="F4899" i="19"/>
  <c r="H4899" i="19"/>
  <c r="Q4899" i="19"/>
  <c r="F4900" i="19"/>
  <c r="H4900" i="19"/>
  <c r="Q4900" i="19"/>
  <c r="Q4901" i="19"/>
  <c r="Q4902" i="19"/>
  <c r="F4903" i="19"/>
  <c r="H4903" i="19"/>
  <c r="Q4903" i="19"/>
  <c r="F4904" i="19"/>
  <c r="H4904" i="19"/>
  <c r="Q4904" i="19"/>
  <c r="F4905" i="19"/>
  <c r="H4905" i="19"/>
  <c r="Q4905" i="19"/>
  <c r="F4906" i="19"/>
  <c r="H4906" i="19"/>
  <c r="Q4906" i="19"/>
  <c r="F4907" i="19"/>
  <c r="H4907" i="19"/>
  <c r="Q4907" i="19"/>
  <c r="F4908" i="19"/>
  <c r="H4908" i="19"/>
  <c r="Q4908" i="19"/>
  <c r="F4909" i="19"/>
  <c r="H4909" i="19"/>
  <c r="Q4909" i="19"/>
  <c r="F4910" i="19"/>
  <c r="H4910" i="19"/>
  <c r="Q4910" i="19"/>
  <c r="F4912" i="19"/>
  <c r="H4912" i="19"/>
  <c r="Q4912" i="19"/>
  <c r="F4913" i="19"/>
  <c r="H4913" i="19"/>
  <c r="Q4913" i="19"/>
  <c r="F4914" i="19"/>
  <c r="H4914" i="19"/>
  <c r="Q4914" i="19"/>
  <c r="F4916" i="19"/>
  <c r="H4916" i="19"/>
  <c r="Q4916" i="19"/>
  <c r="F4918" i="19"/>
  <c r="H4918" i="19"/>
  <c r="Q4918" i="19"/>
  <c r="Q4919" i="19"/>
  <c r="F4920" i="19"/>
  <c r="H4920" i="19"/>
  <c r="Q4920" i="19"/>
  <c r="F4921" i="19"/>
  <c r="H4921" i="19"/>
  <c r="Q4921" i="19"/>
  <c r="F4922" i="19"/>
  <c r="H4922" i="19"/>
  <c r="Q4922" i="19"/>
  <c r="F4923" i="19"/>
  <c r="H4923" i="19"/>
  <c r="Q4923" i="19"/>
  <c r="F4924" i="19"/>
  <c r="H4924" i="19"/>
  <c r="Q4924" i="19"/>
  <c r="F4925" i="19"/>
  <c r="H4925" i="19"/>
  <c r="Q4925" i="19"/>
  <c r="F4926" i="19"/>
  <c r="H4926" i="19"/>
  <c r="Q4926" i="19"/>
  <c r="Q4927" i="19"/>
  <c r="F4928" i="19"/>
  <c r="H4928" i="19"/>
  <c r="Q4928" i="19"/>
  <c r="F4929" i="19"/>
  <c r="H4929" i="19"/>
  <c r="Q4929" i="19"/>
  <c r="F4930" i="19"/>
  <c r="H4930" i="19"/>
  <c r="Q4930" i="19"/>
  <c r="F4931" i="19"/>
  <c r="H4931" i="19"/>
  <c r="Q4931" i="19"/>
  <c r="F4932" i="19"/>
  <c r="H4932" i="19"/>
  <c r="Q4932" i="19"/>
  <c r="F4933" i="19"/>
  <c r="H4933" i="19"/>
  <c r="Q4933" i="19"/>
  <c r="F4936" i="19"/>
  <c r="H4936" i="19"/>
  <c r="Q4936" i="19"/>
  <c r="F4937" i="19"/>
  <c r="H4937" i="19"/>
  <c r="Q4937" i="19"/>
  <c r="Q4938" i="19"/>
  <c r="F4939" i="19"/>
  <c r="H4939" i="19"/>
  <c r="Q4939" i="19"/>
  <c r="F4940" i="19"/>
  <c r="H4940" i="19"/>
  <c r="Q4940" i="19"/>
  <c r="F4941" i="19"/>
  <c r="H4941" i="19"/>
  <c r="Q4941" i="19"/>
  <c r="F4942" i="19"/>
  <c r="H4942" i="19"/>
  <c r="Q4942" i="19"/>
  <c r="F4943" i="19"/>
  <c r="H4943" i="19"/>
  <c r="Q4943" i="19"/>
  <c r="Q4944" i="19"/>
  <c r="F4945" i="19"/>
  <c r="H4945" i="19"/>
  <c r="Q4945" i="19"/>
  <c r="F4946" i="19"/>
  <c r="H4946" i="19"/>
  <c r="Q4946" i="19"/>
  <c r="F4947" i="19"/>
  <c r="H4947" i="19"/>
  <c r="Q4947" i="19"/>
  <c r="Q4948" i="19"/>
  <c r="F4949" i="19"/>
  <c r="H4949" i="19"/>
  <c r="Q4949" i="19"/>
  <c r="F4950" i="19"/>
  <c r="H4950" i="19"/>
  <c r="Q4950" i="19"/>
  <c r="F4951" i="19"/>
  <c r="H4951" i="19"/>
  <c r="Q4951" i="19"/>
  <c r="F4952" i="19"/>
  <c r="H4952" i="19"/>
  <c r="Q4952" i="19"/>
  <c r="F4953" i="19"/>
  <c r="H4953" i="19"/>
  <c r="Q4953" i="19"/>
  <c r="F4954" i="19"/>
  <c r="H4954" i="19"/>
  <c r="Q4954" i="19"/>
  <c r="F4955" i="19"/>
  <c r="H4955" i="19"/>
  <c r="Q4955" i="19"/>
  <c r="F4956" i="19"/>
  <c r="H4956" i="19"/>
  <c r="Q4956" i="19"/>
  <c r="F4957" i="19"/>
  <c r="H4957" i="19"/>
  <c r="Q4957" i="19"/>
  <c r="F4958" i="19"/>
  <c r="H4958" i="19"/>
  <c r="Q4958" i="19"/>
  <c r="F4959" i="19"/>
  <c r="H4959" i="19"/>
  <c r="Q4959" i="19"/>
  <c r="F4961" i="19"/>
  <c r="H4961" i="19"/>
  <c r="Q4961" i="19"/>
  <c r="F4962" i="19"/>
  <c r="H4962" i="19"/>
  <c r="Q4962" i="19"/>
  <c r="F4963" i="19"/>
  <c r="H4963" i="19"/>
  <c r="Q4963" i="19"/>
  <c r="F4964" i="19"/>
  <c r="H4964" i="19"/>
  <c r="Q4964" i="19"/>
  <c r="F4965" i="19"/>
  <c r="H4965" i="19"/>
  <c r="Q4965" i="19"/>
  <c r="F4966" i="19"/>
  <c r="H4966" i="19"/>
  <c r="Q4966" i="19"/>
  <c r="F4967" i="19"/>
  <c r="H4967" i="19"/>
  <c r="Q4967" i="19"/>
  <c r="F4968" i="19"/>
  <c r="H4968" i="19"/>
  <c r="Q4968" i="19"/>
  <c r="F4969" i="19"/>
  <c r="H4969" i="19"/>
  <c r="Q4969" i="19"/>
  <c r="F4970" i="19"/>
  <c r="H4970" i="19"/>
  <c r="Q4970" i="19"/>
  <c r="F4971" i="19"/>
  <c r="H4971" i="19"/>
  <c r="Q4971" i="19"/>
  <c r="Q4972" i="19"/>
  <c r="F4973" i="19"/>
  <c r="H4973" i="19"/>
  <c r="Q4973" i="19"/>
  <c r="F4974" i="19"/>
  <c r="H4974" i="19"/>
  <c r="Q4974" i="19"/>
  <c r="F4975" i="19"/>
  <c r="H4975" i="19"/>
  <c r="Q4975" i="19"/>
  <c r="F4976" i="19"/>
  <c r="H4976" i="19"/>
  <c r="Q4976" i="19"/>
  <c r="F4977" i="19"/>
  <c r="H4977" i="19"/>
  <c r="Q4977" i="19"/>
  <c r="F4978" i="19"/>
  <c r="H4978" i="19"/>
  <c r="Q4978" i="19"/>
  <c r="F4979" i="19"/>
  <c r="H4979" i="19"/>
  <c r="Q4979" i="19"/>
  <c r="F4980" i="19"/>
  <c r="H4980" i="19"/>
  <c r="Q4980" i="19"/>
  <c r="F4981" i="19"/>
  <c r="H4981" i="19"/>
  <c r="Q4981" i="19"/>
  <c r="F4983" i="19"/>
  <c r="H4983" i="19"/>
  <c r="Q4983" i="19"/>
  <c r="Q4984" i="19"/>
  <c r="F4985" i="19"/>
  <c r="H4985" i="19"/>
  <c r="Q4985" i="19"/>
  <c r="F4986" i="19"/>
  <c r="H4986" i="19"/>
  <c r="Q4986" i="19"/>
  <c r="F4987" i="19"/>
  <c r="H4987" i="19"/>
  <c r="Q4987" i="19"/>
  <c r="F4989" i="19"/>
  <c r="H4989" i="19"/>
  <c r="Q4989" i="19"/>
  <c r="F4990" i="19"/>
  <c r="H4990" i="19"/>
  <c r="Q4990" i="19"/>
  <c r="F4991" i="19"/>
  <c r="H4991" i="19"/>
  <c r="Q4991" i="19"/>
  <c r="F4992" i="19"/>
  <c r="H4992" i="19"/>
  <c r="Q4992" i="19"/>
  <c r="F4993" i="19"/>
  <c r="H4993" i="19"/>
  <c r="Q4993" i="19"/>
  <c r="F4994" i="19"/>
  <c r="H4994" i="19"/>
  <c r="Q4994" i="19"/>
  <c r="F4995" i="19"/>
  <c r="H4995" i="19"/>
  <c r="Q4995" i="19"/>
  <c r="F4996" i="19"/>
  <c r="H4996" i="19"/>
  <c r="Q4996" i="19"/>
  <c r="F4997" i="19"/>
  <c r="H4997" i="19"/>
  <c r="Q4997" i="19"/>
  <c r="F4998" i="19"/>
  <c r="H4998" i="19"/>
  <c r="Q4998" i="19"/>
  <c r="F4999" i="19"/>
  <c r="H4999" i="19"/>
  <c r="Q4999" i="19"/>
  <c r="F5001" i="19"/>
  <c r="H5001" i="19"/>
  <c r="Q5001" i="19"/>
  <c r="F5002" i="19"/>
  <c r="H5002" i="19"/>
  <c r="Q5002" i="19"/>
  <c r="F5003" i="19"/>
  <c r="H5003" i="19"/>
  <c r="Q5003" i="19"/>
  <c r="F5004" i="19"/>
  <c r="H5004" i="19"/>
  <c r="Q5004" i="19"/>
  <c r="F5005" i="19"/>
  <c r="H5005" i="19"/>
  <c r="Q5005" i="19"/>
  <c r="F5006" i="19"/>
  <c r="H5006" i="19"/>
  <c r="Q5006" i="19"/>
  <c r="F5007" i="19"/>
  <c r="H5007" i="19"/>
  <c r="Q5007" i="19"/>
  <c r="F5008" i="19"/>
  <c r="H5008" i="19"/>
  <c r="Q5008" i="19"/>
  <c r="F5009" i="19"/>
  <c r="H5009" i="19"/>
  <c r="Q5009" i="19"/>
  <c r="F5010" i="19"/>
  <c r="H5010" i="19"/>
  <c r="Q5010" i="19"/>
  <c r="F5011" i="19"/>
  <c r="H5011" i="19"/>
  <c r="Q5011" i="19"/>
  <c r="F5012" i="19"/>
  <c r="H5012" i="19"/>
  <c r="Q5012" i="19"/>
  <c r="F5013" i="19"/>
  <c r="H5013" i="19"/>
  <c r="Q5013" i="19"/>
  <c r="F5014" i="19"/>
  <c r="H5014" i="19"/>
  <c r="Q5014" i="19"/>
  <c r="F5015" i="19"/>
  <c r="H5015" i="19"/>
  <c r="Q5015" i="19"/>
  <c r="F5016" i="19"/>
  <c r="H5016" i="19"/>
  <c r="Q5016" i="19"/>
  <c r="F5017" i="19"/>
  <c r="H5017" i="19"/>
  <c r="Q5017" i="19"/>
  <c r="Q5018" i="19"/>
  <c r="F5019" i="19"/>
  <c r="H5019" i="19"/>
  <c r="Q5019" i="19"/>
  <c r="F5020" i="19"/>
  <c r="H5020" i="19"/>
  <c r="Q5020" i="19"/>
  <c r="F5021" i="19"/>
  <c r="H5021" i="19"/>
  <c r="Q5021" i="19"/>
  <c r="F5022" i="19"/>
  <c r="H5022" i="19"/>
  <c r="Q5022" i="19"/>
  <c r="F5023" i="19"/>
  <c r="H5023" i="19"/>
  <c r="Q5023" i="19"/>
  <c r="F5024" i="19"/>
  <c r="H5024" i="19"/>
  <c r="Q5024" i="19"/>
  <c r="F5025" i="19"/>
  <c r="H5025" i="19"/>
  <c r="Q5025" i="19"/>
  <c r="F5026" i="19"/>
  <c r="H5026" i="19"/>
  <c r="Q5026" i="19"/>
  <c r="F5027" i="19"/>
  <c r="H5027" i="19"/>
  <c r="Q5027" i="19"/>
  <c r="F5029" i="19"/>
  <c r="H5029" i="19"/>
  <c r="Q5029" i="19"/>
  <c r="F5030" i="19"/>
  <c r="H5030" i="19"/>
  <c r="Q5030" i="19"/>
  <c r="F5031" i="19"/>
  <c r="H5031" i="19"/>
  <c r="Q5031" i="19"/>
  <c r="F5032" i="19"/>
  <c r="H5032" i="19"/>
  <c r="Q5032" i="19"/>
  <c r="F5033" i="19"/>
  <c r="H5033" i="19"/>
  <c r="Q5033" i="19"/>
  <c r="F5034" i="19"/>
  <c r="H5034" i="19"/>
  <c r="Q5034" i="19"/>
  <c r="F5035" i="19"/>
  <c r="H5035" i="19"/>
  <c r="Q5035" i="19"/>
  <c r="F5036" i="19"/>
  <c r="H5036" i="19"/>
  <c r="Q5036" i="19"/>
  <c r="F5037" i="19"/>
  <c r="H5037" i="19"/>
  <c r="Q5037" i="19"/>
  <c r="F5038" i="19"/>
  <c r="H5038" i="19"/>
  <c r="Q5038" i="19"/>
  <c r="F5039" i="19"/>
  <c r="H5039" i="19"/>
  <c r="Q5039" i="19"/>
  <c r="F5040" i="19"/>
  <c r="H5040" i="19"/>
  <c r="Q5040" i="19"/>
  <c r="F5041" i="19"/>
  <c r="H5041" i="19"/>
  <c r="Q5041" i="19"/>
  <c r="F5043" i="19"/>
  <c r="H5043" i="19"/>
  <c r="Q5043" i="19"/>
  <c r="F5044" i="19"/>
  <c r="H5044" i="19"/>
  <c r="Q5044" i="19"/>
  <c r="F5045" i="19"/>
  <c r="H5045" i="19"/>
  <c r="Q5045" i="19"/>
  <c r="F5046" i="19"/>
  <c r="H5046" i="19"/>
  <c r="Q5046" i="19"/>
  <c r="F5047" i="19"/>
  <c r="H5047" i="19"/>
  <c r="Q5047" i="19"/>
  <c r="F5048" i="19"/>
  <c r="H5048" i="19"/>
  <c r="Q5048" i="19"/>
  <c r="F5049" i="19"/>
  <c r="H5049" i="19"/>
  <c r="Q5049" i="19"/>
  <c r="F5050" i="19"/>
  <c r="H5050" i="19"/>
  <c r="Q5050" i="19"/>
  <c r="F5051" i="19"/>
  <c r="H5051" i="19"/>
  <c r="Q5051" i="19"/>
  <c r="Q5052" i="19"/>
  <c r="F5054" i="19"/>
  <c r="H5054" i="19"/>
  <c r="Q5054" i="19"/>
  <c r="F5055" i="19"/>
  <c r="H5055" i="19"/>
  <c r="Q5055" i="19"/>
  <c r="Q5056" i="19"/>
  <c r="F5057" i="19"/>
  <c r="H5057" i="19"/>
  <c r="Q5057" i="19"/>
  <c r="F5058" i="19"/>
  <c r="H5058" i="19"/>
  <c r="Q5058" i="19"/>
  <c r="F5059" i="19"/>
  <c r="H5059" i="19"/>
  <c r="Q5059" i="19"/>
  <c r="F5060" i="19"/>
  <c r="H5060" i="19"/>
  <c r="Q5060" i="19"/>
  <c r="F5061" i="19"/>
  <c r="H5061" i="19"/>
  <c r="Q5061" i="19"/>
  <c r="F5062" i="19"/>
  <c r="H5062" i="19"/>
  <c r="Q5062" i="19"/>
  <c r="F5063" i="19"/>
  <c r="H5063" i="19"/>
  <c r="Q5063" i="19"/>
  <c r="F5064" i="19"/>
  <c r="H5064" i="19"/>
  <c r="Q5064" i="19"/>
  <c r="F5065" i="19"/>
  <c r="H5065" i="19"/>
  <c r="Q5065" i="19"/>
  <c r="F5066" i="19"/>
  <c r="H5066" i="19"/>
  <c r="Q5066" i="19"/>
  <c r="T38" i="19"/>
  <c r="X38" i="19"/>
  <c r="U38" i="19"/>
  <c r="R5000" i="19"/>
  <c r="F5122" i="19"/>
  <c r="H5122" i="19"/>
  <c r="F1723" i="19"/>
  <c r="H1723" i="19"/>
  <c r="F376" i="19"/>
  <c r="H376" i="19"/>
  <c r="Q376" i="19"/>
  <c r="R376" i="19"/>
  <c r="F4279" i="19"/>
  <c r="H4279" i="19"/>
  <c r="F5273" i="19"/>
  <c r="H5273" i="19"/>
  <c r="Q5273" i="19"/>
  <c r="R5273" i="19"/>
  <c r="F4215" i="19"/>
  <c r="H4215" i="19"/>
  <c r="F1640" i="19"/>
  <c r="H1640" i="19"/>
  <c r="Q1640" i="19"/>
  <c r="R1640" i="19"/>
  <c r="F3694" i="19"/>
  <c r="H3694" i="19"/>
  <c r="R2484" i="19"/>
  <c r="F1924" i="19"/>
  <c r="H1924" i="19"/>
  <c r="Q1924" i="19"/>
  <c r="F3495" i="19"/>
  <c r="H3495" i="19"/>
  <c r="F1355" i="19"/>
  <c r="H1355" i="19"/>
  <c r="F1733" i="19"/>
  <c r="H1733" i="19"/>
  <c r="F3891" i="19"/>
  <c r="H3891" i="19"/>
  <c r="Q3891" i="19"/>
  <c r="F3959" i="19"/>
  <c r="H3959" i="19"/>
  <c r="Q3959" i="19"/>
  <c r="R3959" i="19"/>
  <c r="F1453" i="19"/>
  <c r="H1453" i="19"/>
  <c r="Q1453" i="19"/>
  <c r="F1938" i="19"/>
  <c r="H1938" i="19"/>
  <c r="F5282" i="19"/>
  <c r="H5282" i="19"/>
  <c r="Q5282" i="19"/>
  <c r="F1623" i="19"/>
  <c r="H1623" i="19"/>
  <c r="F3804" i="19"/>
  <c r="H3804" i="19"/>
  <c r="F3383" i="19"/>
  <c r="H3383" i="19"/>
  <c r="F3019" i="19"/>
  <c r="H3019" i="19"/>
  <c r="F2839" i="19"/>
  <c r="H2839" i="19"/>
  <c r="F3976" i="19"/>
  <c r="H3976" i="19"/>
  <c r="F1658" i="19"/>
  <c r="H1658" i="19"/>
  <c r="F3707" i="19"/>
  <c r="H3707" i="19"/>
  <c r="F3666" i="19"/>
  <c r="H3666" i="19"/>
  <c r="F3015" i="19"/>
  <c r="H3015" i="19"/>
  <c r="F5863" i="19"/>
  <c r="H5863" i="19"/>
  <c r="F4005" i="19"/>
  <c r="H4005" i="19"/>
  <c r="F1687" i="19"/>
  <c r="H1687" i="19"/>
  <c r="F3735" i="19"/>
  <c r="H3735" i="19"/>
  <c r="Q3735" i="19"/>
  <c r="F5502" i="19"/>
  <c r="H5502" i="19"/>
  <c r="F5104" i="19"/>
  <c r="H5104" i="19"/>
  <c r="F5557" i="19"/>
  <c r="H5557" i="19"/>
  <c r="F5511" i="19"/>
  <c r="H5511" i="19"/>
  <c r="R4736" i="19"/>
  <c r="F5109" i="19"/>
  <c r="H5109" i="19"/>
  <c r="F5481" i="19"/>
  <c r="H5481" i="19"/>
  <c r="F5147" i="19"/>
  <c r="H5147" i="19"/>
  <c r="Q5147" i="19"/>
  <c r="R5147" i="19"/>
  <c r="F5608" i="19"/>
  <c r="H5608" i="19"/>
  <c r="F5389" i="19"/>
  <c r="H5389" i="19"/>
  <c r="F5604" i="19"/>
  <c r="H5604" i="19"/>
  <c r="F5479" i="19"/>
  <c r="H5479" i="19"/>
  <c r="F5198" i="19"/>
  <c r="H5198" i="19"/>
  <c r="F5631" i="19"/>
  <c r="H5631" i="19"/>
  <c r="Q5631" i="19"/>
  <c r="R5631" i="19"/>
  <c r="R4939" i="19"/>
  <c r="F695" i="19"/>
  <c r="H695" i="19"/>
  <c r="F5261" i="19"/>
  <c r="H5261" i="19"/>
  <c r="Q5261" i="19"/>
  <c r="R5261" i="19"/>
  <c r="F4178" i="19"/>
  <c r="H4178" i="19"/>
  <c r="F430" i="19"/>
  <c r="H430" i="19"/>
  <c r="R4530" i="19"/>
  <c r="F5199" i="19"/>
  <c r="H5199" i="19"/>
  <c r="F3929" i="19"/>
  <c r="H3929" i="19"/>
  <c r="Q3929" i="19"/>
  <c r="R3929" i="19"/>
  <c r="F5382" i="19"/>
  <c r="H5382" i="19"/>
  <c r="Q5382" i="19"/>
  <c r="R5382" i="19"/>
  <c r="R4842" i="19"/>
  <c r="F3974" i="19"/>
  <c r="H3974" i="19"/>
  <c r="F4208" i="19"/>
  <c r="H4208" i="19"/>
  <c r="R2146" i="19"/>
  <c r="F1371" i="19"/>
  <c r="H1371" i="19"/>
  <c r="F5467" i="19"/>
  <c r="H5467" i="19"/>
  <c r="F3958" i="19"/>
  <c r="H3958" i="19"/>
  <c r="Q3958" i="19"/>
  <c r="F3910" i="19"/>
  <c r="H3910" i="19"/>
  <c r="Q3910" i="19"/>
  <c r="F3911" i="19"/>
  <c r="H3911" i="19"/>
  <c r="Q3911" i="19"/>
  <c r="F3912" i="19"/>
  <c r="H3912" i="19"/>
  <c r="Q3912" i="19"/>
  <c r="F3913" i="19"/>
  <c r="H3913" i="19"/>
  <c r="Q3913" i="19"/>
  <c r="F3914" i="19"/>
  <c r="H3914" i="19"/>
  <c r="Q3914" i="19"/>
  <c r="F3915" i="19"/>
  <c r="H3915" i="19"/>
  <c r="Q3915" i="19"/>
  <c r="F3916" i="19"/>
  <c r="H3916" i="19"/>
  <c r="Q3916" i="19"/>
  <c r="F3917" i="19"/>
  <c r="H3917" i="19"/>
  <c r="Q3917" i="19"/>
  <c r="F3918" i="19"/>
  <c r="H3918" i="19"/>
  <c r="Q3918" i="19"/>
  <c r="F3919" i="19"/>
  <c r="H3919" i="19"/>
  <c r="Q3919" i="19"/>
  <c r="F3920" i="19"/>
  <c r="H3920" i="19"/>
  <c r="Q3920" i="19"/>
  <c r="F3921" i="19"/>
  <c r="H3921" i="19"/>
  <c r="Q3921" i="19"/>
  <c r="F3922" i="19"/>
  <c r="H3922" i="19"/>
  <c r="Q3922" i="19"/>
  <c r="F3923" i="19"/>
  <c r="H3923" i="19"/>
  <c r="Q3923" i="19"/>
  <c r="F3924" i="19"/>
  <c r="H3924" i="19"/>
  <c r="Q3924" i="19"/>
  <c r="F3926" i="19"/>
  <c r="H3926" i="19"/>
  <c r="Q3926" i="19"/>
  <c r="F3927" i="19"/>
  <c r="H3927" i="19"/>
  <c r="Q3927" i="19"/>
  <c r="F3928" i="19"/>
  <c r="H3928" i="19"/>
  <c r="Q3928" i="19"/>
  <c r="Q3930" i="19"/>
  <c r="F3931" i="19"/>
  <c r="H3931" i="19"/>
  <c r="Q3931" i="19"/>
  <c r="F3932" i="19"/>
  <c r="H3932" i="19"/>
  <c r="Q3932" i="19"/>
  <c r="F3933" i="19"/>
  <c r="H3933" i="19"/>
  <c r="Q3933" i="19"/>
  <c r="F3934" i="19"/>
  <c r="H3934" i="19"/>
  <c r="Q3934" i="19"/>
  <c r="F3935" i="19"/>
  <c r="H3935" i="19"/>
  <c r="Q3935" i="19"/>
  <c r="F3936" i="19"/>
  <c r="H3936" i="19"/>
  <c r="Q3936" i="19"/>
  <c r="F3937" i="19"/>
  <c r="H3937" i="19"/>
  <c r="Q3937" i="19"/>
  <c r="F3938" i="19"/>
  <c r="H3938" i="19"/>
  <c r="Q3938" i="19"/>
  <c r="F3939" i="19"/>
  <c r="H3939" i="19"/>
  <c r="Q3939" i="19"/>
  <c r="F3940" i="19"/>
  <c r="H3940" i="19"/>
  <c r="Q3940" i="19"/>
  <c r="F3941" i="19"/>
  <c r="H3941" i="19"/>
  <c r="Q3941" i="19"/>
  <c r="F3942" i="19"/>
  <c r="H3942" i="19"/>
  <c r="Q3942" i="19"/>
  <c r="F3943" i="19"/>
  <c r="H3943" i="19"/>
  <c r="Q3943" i="19"/>
  <c r="F3944" i="19"/>
  <c r="H3944" i="19"/>
  <c r="Q3944" i="19"/>
  <c r="F3945" i="19"/>
  <c r="H3945" i="19"/>
  <c r="Q3945" i="19"/>
  <c r="F3946" i="19"/>
  <c r="H3946" i="19"/>
  <c r="Q3946" i="19"/>
  <c r="F3947" i="19"/>
  <c r="H3947" i="19"/>
  <c r="Q3947" i="19"/>
  <c r="F3948" i="19"/>
  <c r="H3948" i="19"/>
  <c r="Q3948" i="19"/>
  <c r="F3949" i="19"/>
  <c r="H3949" i="19"/>
  <c r="Q3949" i="19"/>
  <c r="F3950" i="19"/>
  <c r="H3950" i="19"/>
  <c r="Q3950" i="19"/>
  <c r="F3951" i="19"/>
  <c r="H3951" i="19"/>
  <c r="Q3951" i="19"/>
  <c r="F3952" i="19"/>
  <c r="H3952" i="19"/>
  <c r="Q3952" i="19"/>
  <c r="F3953" i="19"/>
  <c r="H3953" i="19"/>
  <c r="Q3953" i="19"/>
  <c r="Q3954" i="19"/>
  <c r="F3955" i="19"/>
  <c r="H3955" i="19"/>
  <c r="Q3955" i="19"/>
  <c r="F3956" i="19"/>
  <c r="H3956" i="19"/>
  <c r="Q3956" i="19"/>
  <c r="F3957" i="19"/>
  <c r="H3957" i="19"/>
  <c r="Q3957" i="19"/>
  <c r="F3960" i="19"/>
  <c r="H3960" i="19"/>
  <c r="Q3960" i="19"/>
  <c r="F3961" i="19"/>
  <c r="H3961" i="19"/>
  <c r="Q3961" i="19"/>
  <c r="F3962" i="19"/>
  <c r="H3962" i="19"/>
  <c r="Q3962" i="19"/>
  <c r="F3963" i="19"/>
  <c r="H3963" i="19"/>
  <c r="Q3963" i="19"/>
  <c r="F3964" i="19"/>
  <c r="H3964" i="19"/>
  <c r="Q3964" i="19"/>
  <c r="F3965" i="19"/>
  <c r="H3965" i="19"/>
  <c r="Q3965" i="19"/>
  <c r="F3966" i="19"/>
  <c r="H3966" i="19"/>
  <c r="Q3966" i="19"/>
  <c r="Q3967" i="19"/>
  <c r="F3968" i="19"/>
  <c r="H3968" i="19"/>
  <c r="Q3968" i="19"/>
  <c r="F3969" i="19"/>
  <c r="H3969" i="19"/>
  <c r="Q3969" i="19"/>
  <c r="F3971" i="19"/>
  <c r="H3971" i="19"/>
  <c r="Q3971" i="19"/>
  <c r="F3972" i="19"/>
  <c r="H3972" i="19"/>
  <c r="Q3972" i="19"/>
  <c r="F3973" i="19"/>
  <c r="H3973" i="19"/>
  <c r="Q3973" i="19"/>
  <c r="Q3974" i="19"/>
  <c r="F3975" i="19"/>
  <c r="H3975" i="19"/>
  <c r="Q3975" i="19"/>
  <c r="Q3976" i="19"/>
  <c r="F3977" i="19"/>
  <c r="H3977" i="19"/>
  <c r="Q3977" i="19"/>
  <c r="F3978" i="19"/>
  <c r="H3978" i="19"/>
  <c r="Q3978" i="19"/>
  <c r="F3979" i="19"/>
  <c r="H3979" i="19"/>
  <c r="Q3979" i="19"/>
  <c r="F3980" i="19"/>
  <c r="H3980" i="19"/>
  <c r="Q3980" i="19"/>
  <c r="F3981" i="19"/>
  <c r="H3981" i="19"/>
  <c r="Q3981" i="19"/>
  <c r="F3982" i="19"/>
  <c r="H3982" i="19"/>
  <c r="Q3982" i="19"/>
  <c r="F3984" i="19"/>
  <c r="H3984" i="19"/>
  <c r="Q3984" i="19"/>
  <c r="F3985" i="19"/>
  <c r="H3985" i="19"/>
  <c r="Q3985" i="19"/>
  <c r="F3986" i="19"/>
  <c r="H3986" i="19"/>
  <c r="Q3986" i="19"/>
  <c r="F3987" i="19"/>
  <c r="H3987" i="19"/>
  <c r="Q3987" i="19"/>
  <c r="F3988" i="19"/>
  <c r="H3988" i="19"/>
  <c r="Q3988" i="19"/>
  <c r="F3990" i="19"/>
  <c r="H3990" i="19"/>
  <c r="Q3990" i="19"/>
  <c r="F3991" i="19"/>
  <c r="H3991" i="19"/>
  <c r="Q3991" i="19"/>
  <c r="F3992" i="19"/>
  <c r="H3992" i="19"/>
  <c r="Q3992" i="19"/>
  <c r="F3993" i="19"/>
  <c r="H3993" i="19"/>
  <c r="Q3993" i="19"/>
  <c r="F3994" i="19"/>
  <c r="H3994" i="19"/>
  <c r="Q3994" i="19"/>
  <c r="F3995" i="19"/>
  <c r="H3995" i="19"/>
  <c r="Q3995" i="19"/>
  <c r="F3996" i="19"/>
  <c r="H3996" i="19"/>
  <c r="Q3996" i="19"/>
  <c r="F3997" i="19"/>
  <c r="H3997" i="19"/>
  <c r="Q3997" i="19"/>
  <c r="F3998" i="19"/>
  <c r="H3998" i="19"/>
  <c r="Q3998" i="19"/>
  <c r="F3999" i="19"/>
  <c r="H3999" i="19"/>
  <c r="Q3999" i="19"/>
  <c r="F4000" i="19"/>
  <c r="H4000" i="19"/>
  <c r="Q4000" i="19"/>
  <c r="F4001" i="19"/>
  <c r="H4001" i="19"/>
  <c r="Q4001" i="19"/>
  <c r="F4002" i="19"/>
  <c r="H4002" i="19"/>
  <c r="Q4002" i="19"/>
  <c r="F4003" i="19"/>
  <c r="H4003" i="19"/>
  <c r="Q4003" i="19"/>
  <c r="F4004" i="19"/>
  <c r="H4004" i="19"/>
  <c r="Q4004" i="19"/>
  <c r="Q4005" i="19"/>
  <c r="F4006" i="19"/>
  <c r="H4006" i="19"/>
  <c r="Q4006" i="19"/>
  <c r="F4007" i="19"/>
  <c r="H4007" i="19"/>
  <c r="Q4007" i="19"/>
  <c r="F4008" i="19"/>
  <c r="H4008" i="19"/>
  <c r="Q4008" i="19"/>
  <c r="F4009" i="19"/>
  <c r="H4009" i="19"/>
  <c r="Q4009" i="19"/>
  <c r="F4010" i="19"/>
  <c r="H4010" i="19"/>
  <c r="Q4010" i="19"/>
  <c r="F4011" i="19"/>
  <c r="H4011" i="19"/>
  <c r="Q4011" i="19"/>
  <c r="F4012" i="19"/>
  <c r="H4012" i="19"/>
  <c r="Q4012" i="19"/>
  <c r="F4013" i="19"/>
  <c r="H4013" i="19"/>
  <c r="Q4013" i="19"/>
  <c r="F4014" i="19"/>
  <c r="H4014" i="19"/>
  <c r="Q4014" i="19"/>
  <c r="F4015" i="19"/>
  <c r="H4015" i="19"/>
  <c r="Q4015" i="19"/>
  <c r="F4016" i="19"/>
  <c r="H4016" i="19"/>
  <c r="Q4016" i="19"/>
  <c r="F4017" i="19"/>
  <c r="H4017" i="19"/>
  <c r="Q4017" i="19"/>
  <c r="F4018" i="19"/>
  <c r="H4018" i="19"/>
  <c r="Q4018" i="19"/>
  <c r="F4019" i="19"/>
  <c r="H4019" i="19"/>
  <c r="Q4019" i="19"/>
  <c r="F4020" i="19"/>
  <c r="H4020" i="19"/>
  <c r="Q4020" i="19"/>
  <c r="F4021" i="19"/>
  <c r="H4021" i="19"/>
  <c r="Q4021" i="19"/>
  <c r="F4022" i="19"/>
  <c r="H4022" i="19"/>
  <c r="Q4022" i="19"/>
  <c r="F4023" i="19"/>
  <c r="H4023" i="19"/>
  <c r="Q4023" i="19"/>
  <c r="F4024" i="19"/>
  <c r="H4024" i="19"/>
  <c r="Q4024" i="19"/>
  <c r="F4025" i="19"/>
  <c r="H4025" i="19"/>
  <c r="Q4025" i="19"/>
  <c r="F4026" i="19"/>
  <c r="H4026" i="19"/>
  <c r="Q4026" i="19"/>
  <c r="F4027" i="19"/>
  <c r="H4027" i="19"/>
  <c r="Q4027" i="19"/>
  <c r="F4028" i="19"/>
  <c r="H4028" i="19"/>
  <c r="Q4028" i="19"/>
  <c r="F4029" i="19"/>
  <c r="H4029" i="19"/>
  <c r="Q4029" i="19"/>
  <c r="F4030" i="19"/>
  <c r="H4030" i="19"/>
  <c r="Q4030" i="19"/>
  <c r="F4031" i="19"/>
  <c r="H4031" i="19"/>
  <c r="Q4031" i="19"/>
  <c r="Q4032" i="19"/>
  <c r="F4033" i="19"/>
  <c r="H4033" i="19"/>
  <c r="Q4033" i="19"/>
  <c r="F4034" i="19"/>
  <c r="H4034" i="19"/>
  <c r="Q4034" i="19"/>
  <c r="Q4035" i="19"/>
  <c r="F4036" i="19"/>
  <c r="H4036" i="19"/>
  <c r="Q4036" i="19"/>
  <c r="F4037" i="19"/>
  <c r="H4037" i="19"/>
  <c r="Q4037" i="19"/>
  <c r="F4038" i="19"/>
  <c r="H4038" i="19"/>
  <c r="Q4038" i="19"/>
  <c r="F4039" i="19"/>
  <c r="H4039" i="19"/>
  <c r="Q4039" i="19"/>
  <c r="F4040" i="19"/>
  <c r="H4040" i="19"/>
  <c r="Q4040" i="19"/>
  <c r="F4041" i="19"/>
  <c r="H4041" i="19"/>
  <c r="Q4041" i="19"/>
  <c r="F4042" i="19"/>
  <c r="H4042" i="19"/>
  <c r="Q4042" i="19"/>
  <c r="F4043" i="19"/>
  <c r="H4043" i="19"/>
  <c r="Q4043" i="19"/>
  <c r="F4044" i="19"/>
  <c r="H4044" i="19"/>
  <c r="Q4044" i="19"/>
  <c r="F4045" i="19"/>
  <c r="H4045" i="19"/>
  <c r="Q4045" i="19"/>
  <c r="F4046" i="19"/>
  <c r="H4046" i="19"/>
  <c r="Q4046" i="19"/>
  <c r="Q4047" i="19"/>
  <c r="F4048" i="19"/>
  <c r="H4048" i="19"/>
  <c r="Q4048" i="19"/>
  <c r="F4050" i="19"/>
  <c r="H4050" i="19"/>
  <c r="Q4050" i="19"/>
  <c r="F4051" i="19"/>
  <c r="H4051" i="19"/>
  <c r="Q4051" i="19"/>
  <c r="F4052" i="19"/>
  <c r="H4052" i="19"/>
  <c r="Q4052" i="19"/>
  <c r="F4053" i="19"/>
  <c r="H4053" i="19"/>
  <c r="Q4053" i="19"/>
  <c r="F4054" i="19"/>
  <c r="H4054" i="19"/>
  <c r="Q4054" i="19"/>
  <c r="F4055" i="19"/>
  <c r="H4055" i="19"/>
  <c r="Q4055" i="19"/>
  <c r="F4056" i="19"/>
  <c r="H4056" i="19"/>
  <c r="Q4056" i="19"/>
  <c r="F4057" i="19"/>
  <c r="H4057" i="19"/>
  <c r="Q4057" i="19"/>
  <c r="F4058" i="19"/>
  <c r="H4058" i="19"/>
  <c r="Q4058" i="19"/>
  <c r="F4059" i="19"/>
  <c r="H4059" i="19"/>
  <c r="Q4059" i="19"/>
  <c r="F4060" i="19"/>
  <c r="H4060" i="19"/>
  <c r="Q4060" i="19"/>
  <c r="F4061" i="19"/>
  <c r="H4061" i="19"/>
  <c r="Q4061" i="19"/>
  <c r="F4062" i="19"/>
  <c r="H4062" i="19"/>
  <c r="Q4062" i="19"/>
  <c r="F4063" i="19"/>
  <c r="H4063" i="19"/>
  <c r="Q4063" i="19"/>
  <c r="F4064" i="19"/>
  <c r="H4064" i="19"/>
  <c r="Q4064" i="19"/>
  <c r="F4065" i="19"/>
  <c r="H4065" i="19"/>
  <c r="Q4065" i="19"/>
  <c r="F4066" i="19"/>
  <c r="H4066" i="19"/>
  <c r="Q4066" i="19"/>
  <c r="F4067" i="19"/>
  <c r="H4067" i="19"/>
  <c r="Q4067" i="19"/>
  <c r="F4068" i="19"/>
  <c r="H4068" i="19"/>
  <c r="Q4068" i="19"/>
  <c r="F4069" i="19"/>
  <c r="H4069" i="19"/>
  <c r="Q4069" i="19"/>
  <c r="F4070" i="19"/>
  <c r="H4070" i="19"/>
  <c r="Q4070" i="19"/>
  <c r="Q4071" i="19"/>
  <c r="F4072" i="19"/>
  <c r="H4072" i="19"/>
  <c r="Q4072" i="19"/>
  <c r="F4073" i="19"/>
  <c r="H4073" i="19"/>
  <c r="Q4073" i="19"/>
  <c r="F4074" i="19"/>
  <c r="H4074" i="19"/>
  <c r="Q4074" i="19"/>
  <c r="F4075" i="19"/>
  <c r="H4075" i="19"/>
  <c r="Q4075" i="19"/>
  <c r="F4076" i="19"/>
  <c r="H4076" i="19"/>
  <c r="Q4076" i="19"/>
  <c r="F4077" i="19"/>
  <c r="H4077" i="19"/>
  <c r="Q4077" i="19"/>
  <c r="F4078" i="19"/>
  <c r="H4078" i="19"/>
  <c r="Q4078" i="19"/>
  <c r="F4079" i="19"/>
  <c r="H4079" i="19"/>
  <c r="Q4079" i="19"/>
  <c r="F4080" i="19"/>
  <c r="H4080" i="19"/>
  <c r="Q4080" i="19"/>
  <c r="F4081" i="19"/>
  <c r="H4081" i="19"/>
  <c r="Q4081" i="19"/>
  <c r="F4082" i="19"/>
  <c r="H4082" i="19"/>
  <c r="Q4082" i="19"/>
  <c r="F4083" i="19"/>
  <c r="H4083" i="19"/>
  <c r="Q4083" i="19"/>
  <c r="F4084" i="19"/>
  <c r="H4084" i="19"/>
  <c r="Q4084" i="19"/>
  <c r="F4085" i="19"/>
  <c r="H4085" i="19"/>
  <c r="Q4085" i="19"/>
  <c r="F4086" i="19"/>
  <c r="H4086" i="19"/>
  <c r="Q4086" i="19"/>
  <c r="F4087" i="19"/>
  <c r="H4087" i="19"/>
  <c r="Q4087" i="19"/>
  <c r="F4088" i="19"/>
  <c r="H4088" i="19"/>
  <c r="Q4088" i="19"/>
  <c r="F4089" i="19"/>
  <c r="H4089" i="19"/>
  <c r="Q4089" i="19"/>
  <c r="F4090" i="19"/>
  <c r="H4090" i="19"/>
  <c r="Q4090" i="19"/>
  <c r="F4091" i="19"/>
  <c r="H4091" i="19"/>
  <c r="Q4091" i="19"/>
  <c r="F4092" i="19"/>
  <c r="H4092" i="19"/>
  <c r="Q4092" i="19"/>
  <c r="F4093" i="19"/>
  <c r="H4093" i="19"/>
  <c r="Q4093" i="19"/>
  <c r="F4094" i="19"/>
  <c r="H4094" i="19"/>
  <c r="Q4094" i="19"/>
  <c r="F4095" i="19"/>
  <c r="H4095" i="19"/>
  <c r="Q4095" i="19"/>
  <c r="F4096" i="19"/>
  <c r="H4096" i="19"/>
  <c r="Q4096" i="19"/>
  <c r="F4097" i="19"/>
  <c r="H4097" i="19"/>
  <c r="Q4097" i="19"/>
  <c r="F4098" i="19"/>
  <c r="H4098" i="19"/>
  <c r="Q4098" i="19"/>
  <c r="F4099" i="19"/>
  <c r="H4099" i="19"/>
  <c r="Q4099" i="19"/>
  <c r="F4100" i="19"/>
  <c r="H4100" i="19"/>
  <c r="Q4100" i="19"/>
  <c r="F4101" i="19"/>
  <c r="H4101" i="19"/>
  <c r="Q4101" i="19"/>
  <c r="F4102" i="19"/>
  <c r="H4102" i="19"/>
  <c r="Q4102" i="19"/>
  <c r="F4103" i="19"/>
  <c r="H4103" i="19"/>
  <c r="Q4103" i="19"/>
  <c r="F4104" i="19"/>
  <c r="H4104" i="19"/>
  <c r="Q4104" i="19"/>
  <c r="F4105" i="19"/>
  <c r="H4105" i="19"/>
  <c r="Q4105" i="19"/>
  <c r="F4106" i="19"/>
  <c r="H4106" i="19"/>
  <c r="Q4106" i="19"/>
  <c r="F4107" i="19"/>
  <c r="H4107" i="19"/>
  <c r="Q4107" i="19"/>
  <c r="F4108" i="19"/>
  <c r="H4108" i="19"/>
  <c r="Q4108" i="19"/>
  <c r="F4109" i="19"/>
  <c r="H4109" i="19"/>
  <c r="Q4109" i="19"/>
  <c r="F4110" i="19"/>
  <c r="H4110" i="19"/>
  <c r="Q4110" i="19"/>
  <c r="F4111" i="19"/>
  <c r="H4111" i="19"/>
  <c r="Q4111" i="19"/>
  <c r="F4112" i="19"/>
  <c r="H4112" i="19"/>
  <c r="Q4112" i="19"/>
  <c r="F4113" i="19"/>
  <c r="H4113" i="19"/>
  <c r="Q4113" i="19"/>
  <c r="F4114" i="19"/>
  <c r="H4114" i="19"/>
  <c r="Q4114" i="19"/>
  <c r="F4115" i="19"/>
  <c r="H4115" i="19"/>
  <c r="Q4115" i="19"/>
  <c r="F4116" i="19"/>
  <c r="H4116" i="19"/>
  <c r="Q4116" i="19"/>
  <c r="F4117" i="19"/>
  <c r="H4117" i="19"/>
  <c r="Q4117" i="19"/>
  <c r="F4118" i="19"/>
  <c r="H4118" i="19"/>
  <c r="Q4118" i="19"/>
  <c r="F4119" i="19"/>
  <c r="H4119" i="19"/>
  <c r="Q4119" i="19"/>
  <c r="F4120" i="19"/>
  <c r="H4120" i="19"/>
  <c r="Q4120" i="19"/>
  <c r="F4121" i="19"/>
  <c r="H4121" i="19"/>
  <c r="Q4121" i="19"/>
  <c r="F4122" i="19"/>
  <c r="H4122" i="19"/>
  <c r="Q4122" i="19"/>
  <c r="F4123" i="19"/>
  <c r="H4123" i="19"/>
  <c r="Q4123" i="19"/>
  <c r="F4124" i="19"/>
  <c r="H4124" i="19"/>
  <c r="Q4124" i="19"/>
  <c r="F4125" i="19"/>
  <c r="H4125" i="19"/>
  <c r="Q4125" i="19"/>
  <c r="F4126" i="19"/>
  <c r="H4126" i="19"/>
  <c r="Q4126" i="19"/>
  <c r="F4128" i="19"/>
  <c r="H4128" i="19"/>
  <c r="Q4128" i="19"/>
  <c r="F4129" i="19"/>
  <c r="H4129" i="19"/>
  <c r="Q4129" i="19"/>
  <c r="F4130" i="19"/>
  <c r="H4130" i="19"/>
  <c r="Q4130" i="19"/>
  <c r="F4131" i="19"/>
  <c r="H4131" i="19"/>
  <c r="Q4131" i="19"/>
  <c r="Q4132" i="19"/>
  <c r="F4133" i="19"/>
  <c r="H4133" i="19"/>
  <c r="Q4133" i="19"/>
  <c r="F4134" i="19"/>
  <c r="H4134" i="19"/>
  <c r="Q4134" i="19"/>
  <c r="F4135" i="19"/>
  <c r="H4135" i="19"/>
  <c r="Q4135" i="19"/>
  <c r="F4136" i="19"/>
  <c r="H4136" i="19"/>
  <c r="Q4136" i="19"/>
  <c r="Q4137" i="19"/>
  <c r="F4138" i="19"/>
  <c r="H4138" i="19"/>
  <c r="Q4138" i="19"/>
  <c r="F4140" i="19"/>
  <c r="H4140" i="19"/>
  <c r="Q4140" i="19"/>
  <c r="F4141" i="19"/>
  <c r="H4141" i="19"/>
  <c r="Q4141" i="19"/>
  <c r="F4142" i="19"/>
  <c r="H4142" i="19"/>
  <c r="Q4142" i="19"/>
  <c r="F4143" i="19"/>
  <c r="H4143" i="19"/>
  <c r="Q4143" i="19"/>
  <c r="F4144" i="19"/>
  <c r="H4144" i="19"/>
  <c r="Q4144" i="19"/>
  <c r="Q4145" i="19"/>
  <c r="Q4146" i="19"/>
  <c r="F4147" i="19"/>
  <c r="H4147" i="19"/>
  <c r="Q4147" i="19"/>
  <c r="F4148" i="19"/>
  <c r="H4148" i="19"/>
  <c r="Q4148" i="19"/>
  <c r="F4149" i="19"/>
  <c r="H4149" i="19"/>
  <c r="Q4149" i="19"/>
  <c r="F4150" i="19"/>
  <c r="H4150" i="19"/>
  <c r="Q4150" i="19"/>
  <c r="F4151" i="19"/>
  <c r="H4151" i="19"/>
  <c r="Q4151" i="19"/>
  <c r="F4152" i="19"/>
  <c r="H4152" i="19"/>
  <c r="Q4152" i="19"/>
  <c r="F4153" i="19"/>
  <c r="H4153" i="19"/>
  <c r="Q4153" i="19"/>
  <c r="F4154" i="19"/>
  <c r="H4154" i="19"/>
  <c r="Q4154" i="19"/>
  <c r="F4155" i="19"/>
  <c r="H4155" i="19"/>
  <c r="Q4155" i="19"/>
  <c r="F4156" i="19"/>
  <c r="H4156" i="19"/>
  <c r="Q4156" i="19"/>
  <c r="F4158" i="19"/>
  <c r="H4158" i="19"/>
  <c r="Q4158" i="19"/>
  <c r="F4159" i="19"/>
  <c r="H4159" i="19"/>
  <c r="Q4159" i="19"/>
  <c r="F4160" i="19"/>
  <c r="H4160" i="19"/>
  <c r="Q4160" i="19"/>
  <c r="F4161" i="19"/>
  <c r="H4161" i="19"/>
  <c r="Q4161" i="19"/>
  <c r="F4162" i="19"/>
  <c r="H4162" i="19"/>
  <c r="Q4162" i="19"/>
  <c r="F4163" i="19"/>
  <c r="H4163" i="19"/>
  <c r="Q4163" i="19"/>
  <c r="F4164" i="19"/>
  <c r="H4164" i="19"/>
  <c r="Q4164" i="19"/>
  <c r="F4165" i="19"/>
  <c r="H4165" i="19"/>
  <c r="Q4165" i="19"/>
  <c r="F4166" i="19"/>
  <c r="H4166" i="19"/>
  <c r="Q4166" i="19"/>
  <c r="F4167" i="19"/>
  <c r="H4167" i="19"/>
  <c r="Q4167" i="19"/>
  <c r="F4168" i="19"/>
  <c r="H4168" i="19"/>
  <c r="Q4168" i="19"/>
  <c r="F4169" i="19"/>
  <c r="H4169" i="19"/>
  <c r="Q4169" i="19"/>
  <c r="Q4170" i="19"/>
  <c r="Q4172" i="19"/>
  <c r="F4173" i="19"/>
  <c r="H4173" i="19"/>
  <c r="Q4173" i="19"/>
  <c r="F4174" i="19"/>
  <c r="H4174" i="19"/>
  <c r="Q4174" i="19"/>
  <c r="F4175" i="19"/>
  <c r="H4175" i="19"/>
  <c r="Q4175" i="19"/>
  <c r="F4176" i="19"/>
  <c r="H4176" i="19"/>
  <c r="Q4176" i="19"/>
  <c r="F4177" i="19"/>
  <c r="H4177" i="19"/>
  <c r="Q4177" i="19"/>
  <c r="Q4178" i="19"/>
  <c r="F4179" i="19"/>
  <c r="H4179" i="19"/>
  <c r="Q4179" i="19"/>
  <c r="Q4180" i="19"/>
  <c r="F4181" i="19"/>
  <c r="H4181" i="19"/>
  <c r="Q4181" i="19"/>
  <c r="F4182" i="19"/>
  <c r="H4182" i="19"/>
  <c r="Q4182" i="19"/>
  <c r="F4183" i="19"/>
  <c r="H4183" i="19"/>
  <c r="Q4183" i="19"/>
  <c r="F4184" i="19"/>
  <c r="H4184" i="19"/>
  <c r="Q4184" i="19"/>
  <c r="Q4185" i="19"/>
  <c r="F4186" i="19"/>
  <c r="H4186" i="19"/>
  <c r="Q4186" i="19"/>
  <c r="F4187" i="19"/>
  <c r="H4187" i="19"/>
  <c r="Q4187" i="19"/>
  <c r="Q4188" i="19"/>
  <c r="Q4189" i="19"/>
  <c r="F4190" i="19"/>
  <c r="H4190" i="19"/>
  <c r="Q4190" i="19"/>
  <c r="F4191" i="19"/>
  <c r="H4191" i="19"/>
  <c r="Q4191" i="19"/>
  <c r="F4192" i="19"/>
  <c r="H4192" i="19"/>
  <c r="Q4192" i="19"/>
  <c r="Q4193" i="19"/>
  <c r="F4194" i="19"/>
  <c r="H4194" i="19"/>
  <c r="Q4194" i="19"/>
  <c r="F4195" i="19"/>
  <c r="H4195" i="19"/>
  <c r="Q4195" i="19"/>
  <c r="F4196" i="19"/>
  <c r="H4196" i="19"/>
  <c r="Q4196" i="19"/>
  <c r="F4197" i="19"/>
  <c r="H4197" i="19"/>
  <c r="Q4197" i="19"/>
  <c r="F4198" i="19"/>
  <c r="H4198" i="19"/>
  <c r="Q4198" i="19"/>
  <c r="Q4199" i="19"/>
  <c r="F4200" i="19"/>
  <c r="H4200" i="19"/>
  <c r="Q4200" i="19"/>
  <c r="F4201" i="19"/>
  <c r="H4201" i="19"/>
  <c r="Q4201" i="19"/>
  <c r="F4203" i="19"/>
  <c r="H4203" i="19"/>
  <c r="Q4203" i="19"/>
  <c r="F4204" i="19"/>
  <c r="H4204" i="19"/>
  <c r="Q4204" i="19"/>
  <c r="F4205" i="19"/>
  <c r="H4205" i="19"/>
  <c r="Q4205" i="19"/>
  <c r="F4206" i="19"/>
  <c r="H4206" i="19"/>
  <c r="Q4206" i="19"/>
  <c r="F4207" i="19"/>
  <c r="H4207" i="19"/>
  <c r="Q4207" i="19"/>
  <c r="Q4208" i="19"/>
  <c r="F4209" i="19"/>
  <c r="H4209" i="19"/>
  <c r="Q4209" i="19"/>
  <c r="F4210" i="19"/>
  <c r="H4210" i="19"/>
  <c r="Q4210" i="19"/>
  <c r="F4211" i="19"/>
  <c r="H4211" i="19"/>
  <c r="Q4211" i="19"/>
  <c r="F4212" i="19"/>
  <c r="H4212" i="19"/>
  <c r="Q4212" i="19"/>
  <c r="F4213" i="19"/>
  <c r="H4213" i="19"/>
  <c r="Q4213" i="19"/>
  <c r="F4214" i="19"/>
  <c r="H4214" i="19"/>
  <c r="Q4214" i="19"/>
  <c r="Q4215" i="19"/>
  <c r="F4216" i="19"/>
  <c r="H4216" i="19"/>
  <c r="Q4216" i="19"/>
  <c r="F4217" i="19"/>
  <c r="H4217" i="19"/>
  <c r="Q4217" i="19"/>
  <c r="F4218" i="19"/>
  <c r="H4218" i="19"/>
  <c r="Q4218" i="19"/>
  <c r="F4219" i="19"/>
  <c r="H4219" i="19"/>
  <c r="Q4219" i="19"/>
  <c r="F4220" i="19"/>
  <c r="H4220" i="19"/>
  <c r="Q4220" i="19"/>
  <c r="F4221" i="19"/>
  <c r="H4221" i="19"/>
  <c r="Q4221" i="19"/>
  <c r="F4222" i="19"/>
  <c r="H4222" i="19"/>
  <c r="Q4222" i="19"/>
  <c r="F4223" i="19"/>
  <c r="H4223" i="19"/>
  <c r="Q4223" i="19"/>
  <c r="F4224" i="19"/>
  <c r="H4224" i="19"/>
  <c r="Q4224" i="19"/>
  <c r="F4225" i="19"/>
  <c r="H4225" i="19"/>
  <c r="Q4225" i="19"/>
  <c r="F4226" i="19"/>
  <c r="H4226" i="19"/>
  <c r="Q4226" i="19"/>
  <c r="F4227" i="19"/>
  <c r="H4227" i="19"/>
  <c r="Q4227" i="19"/>
  <c r="F4228" i="19"/>
  <c r="H4228" i="19"/>
  <c r="Q4228" i="19"/>
  <c r="F4229" i="19"/>
  <c r="H4229" i="19"/>
  <c r="Q4229" i="19"/>
  <c r="F4230" i="19"/>
  <c r="H4230" i="19"/>
  <c r="Q4230" i="19"/>
  <c r="F4231" i="19"/>
  <c r="H4231" i="19"/>
  <c r="Q4231" i="19"/>
  <c r="F4232" i="19"/>
  <c r="H4232" i="19"/>
  <c r="Q4232" i="19"/>
  <c r="Q4233" i="19"/>
  <c r="F4234" i="19"/>
  <c r="H4234" i="19"/>
  <c r="Q4234" i="19"/>
  <c r="F4235" i="19"/>
  <c r="H4235" i="19"/>
  <c r="Q4235" i="19"/>
  <c r="Q4236" i="19"/>
  <c r="F4237" i="19"/>
  <c r="H4237" i="19"/>
  <c r="Q4237" i="19"/>
  <c r="F4238" i="19"/>
  <c r="H4238" i="19"/>
  <c r="Q4238" i="19"/>
  <c r="F4239" i="19"/>
  <c r="H4239" i="19"/>
  <c r="Q4239" i="19"/>
  <c r="F4240" i="19"/>
  <c r="H4240" i="19"/>
  <c r="Q4240" i="19"/>
  <c r="F4241" i="19"/>
  <c r="H4241" i="19"/>
  <c r="Q4241" i="19"/>
  <c r="F4242" i="19"/>
  <c r="H4242" i="19"/>
  <c r="Q4242" i="19"/>
  <c r="F4243" i="19"/>
  <c r="H4243" i="19"/>
  <c r="Q4243" i="19"/>
  <c r="F4244" i="19"/>
  <c r="H4244" i="19"/>
  <c r="Q4244" i="19"/>
  <c r="F4245" i="19"/>
  <c r="H4245" i="19"/>
  <c r="Q4245" i="19"/>
  <c r="F4246" i="19"/>
  <c r="H4246" i="19"/>
  <c r="Q4246" i="19"/>
  <c r="F4247" i="19"/>
  <c r="H4247" i="19"/>
  <c r="Q4247" i="19"/>
  <c r="F4248" i="19"/>
  <c r="H4248" i="19"/>
  <c r="Q4248" i="19"/>
  <c r="F4250" i="19"/>
  <c r="H4250" i="19"/>
  <c r="Q4250" i="19"/>
  <c r="F4251" i="19"/>
  <c r="H4251" i="19"/>
  <c r="Q4251" i="19"/>
  <c r="F4252" i="19"/>
  <c r="H4252" i="19"/>
  <c r="Q4252" i="19"/>
  <c r="F4253" i="19"/>
  <c r="H4253" i="19"/>
  <c r="Q4253" i="19"/>
  <c r="F4254" i="19"/>
  <c r="H4254" i="19"/>
  <c r="Q4254" i="19"/>
  <c r="F4255" i="19"/>
  <c r="H4255" i="19"/>
  <c r="Q4255" i="19"/>
  <c r="F4256" i="19"/>
  <c r="H4256" i="19"/>
  <c r="Q4256" i="19"/>
  <c r="F4257" i="19"/>
  <c r="H4257" i="19"/>
  <c r="Q4257" i="19"/>
  <c r="F4258" i="19"/>
  <c r="H4258" i="19"/>
  <c r="Q4258" i="19"/>
  <c r="Q4259" i="19"/>
  <c r="Q4260" i="19"/>
  <c r="F4261" i="19"/>
  <c r="H4261" i="19"/>
  <c r="Q4261" i="19"/>
  <c r="F4262" i="19"/>
  <c r="H4262" i="19"/>
  <c r="Q4262" i="19"/>
  <c r="F4263" i="19"/>
  <c r="H4263" i="19"/>
  <c r="Q4263" i="19"/>
  <c r="F4264" i="19"/>
  <c r="H4264" i="19"/>
  <c r="Q4264" i="19"/>
  <c r="F4265" i="19"/>
  <c r="H4265" i="19"/>
  <c r="Q4265" i="19"/>
  <c r="F4266" i="19"/>
  <c r="H4266" i="19"/>
  <c r="Q4266" i="19"/>
  <c r="F4268" i="19"/>
  <c r="H4268" i="19"/>
  <c r="Q4268" i="19"/>
  <c r="F4269" i="19"/>
  <c r="H4269" i="19"/>
  <c r="Q4269" i="19"/>
  <c r="F4270" i="19"/>
  <c r="H4270" i="19"/>
  <c r="Q4270" i="19"/>
  <c r="F4271" i="19"/>
  <c r="H4271" i="19"/>
  <c r="Q4271" i="19"/>
  <c r="F4273" i="19"/>
  <c r="H4273" i="19"/>
  <c r="Q4273" i="19"/>
  <c r="F4274" i="19"/>
  <c r="H4274" i="19"/>
  <c r="Q4274" i="19"/>
  <c r="F4275" i="19"/>
  <c r="H4275" i="19"/>
  <c r="Q4275" i="19"/>
  <c r="F4276" i="19"/>
  <c r="H4276" i="19"/>
  <c r="Q4276" i="19"/>
  <c r="F4277" i="19"/>
  <c r="H4277" i="19"/>
  <c r="Q4277" i="19"/>
  <c r="F4278" i="19"/>
  <c r="H4278" i="19"/>
  <c r="Q4278" i="19"/>
  <c r="Q4279" i="19"/>
  <c r="F4280" i="19"/>
  <c r="H4280" i="19"/>
  <c r="Q4280" i="19"/>
  <c r="F4281" i="19"/>
  <c r="H4281" i="19"/>
  <c r="Q4281" i="19"/>
  <c r="F4282" i="19"/>
  <c r="H4282" i="19"/>
  <c r="Q4282" i="19"/>
  <c r="F4283" i="19"/>
  <c r="H4283" i="19"/>
  <c r="Q4283" i="19"/>
  <c r="F4284" i="19"/>
  <c r="H4284" i="19"/>
  <c r="Q4284" i="19"/>
  <c r="F4285" i="19"/>
  <c r="H4285" i="19"/>
  <c r="Q4285" i="19"/>
  <c r="F4286" i="19"/>
  <c r="H4286" i="19"/>
  <c r="Q4286" i="19"/>
  <c r="F4287" i="19"/>
  <c r="H4287" i="19"/>
  <c r="Q4287" i="19"/>
  <c r="F4288" i="19"/>
  <c r="H4288" i="19"/>
  <c r="Q4288" i="19"/>
  <c r="F4289" i="19"/>
  <c r="H4289" i="19"/>
  <c r="Q4289" i="19"/>
  <c r="F4290" i="19"/>
  <c r="H4290" i="19"/>
  <c r="Q4290" i="19"/>
  <c r="F4291" i="19"/>
  <c r="H4291" i="19"/>
  <c r="Q4291" i="19"/>
  <c r="F4292" i="19"/>
  <c r="H4292" i="19"/>
  <c r="Q4292" i="19"/>
  <c r="F4293" i="19"/>
  <c r="H4293" i="19"/>
  <c r="Q4293" i="19"/>
  <c r="Q4294" i="19"/>
  <c r="F4295" i="19"/>
  <c r="H4295" i="19"/>
  <c r="Q4295" i="19"/>
  <c r="F4296" i="19"/>
  <c r="H4296" i="19"/>
  <c r="Q4296" i="19"/>
  <c r="F4297" i="19"/>
  <c r="H4297" i="19"/>
  <c r="Q4297" i="19"/>
  <c r="F4298" i="19"/>
  <c r="H4298" i="19"/>
  <c r="Q4298" i="19"/>
  <c r="F4299" i="19"/>
  <c r="H4299" i="19"/>
  <c r="Q4299" i="19"/>
  <c r="Q4300" i="19"/>
  <c r="F4301" i="19"/>
  <c r="H4301" i="19"/>
  <c r="Q4301" i="19"/>
  <c r="F4302" i="19"/>
  <c r="H4302" i="19"/>
  <c r="Q4302" i="19"/>
  <c r="F4303" i="19"/>
  <c r="H4303" i="19"/>
  <c r="Q4303" i="19"/>
  <c r="F4304" i="19"/>
  <c r="H4304" i="19"/>
  <c r="Q4304" i="19"/>
  <c r="F4305" i="19"/>
  <c r="H4305" i="19"/>
  <c r="Q4305" i="19"/>
  <c r="F4306" i="19"/>
  <c r="H4306" i="19"/>
  <c r="Q4306" i="19"/>
  <c r="F4307" i="19"/>
  <c r="H4307" i="19"/>
  <c r="Q4307" i="19"/>
  <c r="F4308" i="19"/>
  <c r="H4308" i="19"/>
  <c r="Q4308" i="19"/>
  <c r="F4309" i="19"/>
  <c r="H4309" i="19"/>
  <c r="Q4309" i="19"/>
  <c r="F4310" i="19"/>
  <c r="H4310" i="19"/>
  <c r="Q4310" i="19"/>
  <c r="F4311" i="19"/>
  <c r="H4311" i="19"/>
  <c r="Q4311" i="19"/>
  <c r="F4312" i="19"/>
  <c r="H4312" i="19"/>
  <c r="Q4312" i="19"/>
  <c r="F4313" i="19"/>
  <c r="H4313" i="19"/>
  <c r="Q4313" i="19"/>
  <c r="F4314" i="19"/>
  <c r="H4314" i="19"/>
  <c r="Q4314" i="19"/>
  <c r="F4315" i="19"/>
  <c r="H4315" i="19"/>
  <c r="Q4315" i="19"/>
  <c r="F4316" i="19"/>
  <c r="H4316" i="19"/>
  <c r="Q4316" i="19"/>
  <c r="F4317" i="19"/>
  <c r="H4317" i="19"/>
  <c r="Q4317" i="19"/>
  <c r="F4318" i="19"/>
  <c r="H4318" i="19"/>
  <c r="Q4318" i="19"/>
  <c r="F4319" i="19"/>
  <c r="H4319" i="19"/>
  <c r="Q4319" i="19"/>
  <c r="F4320" i="19"/>
  <c r="H4320" i="19"/>
  <c r="Q4320" i="19"/>
  <c r="F4321" i="19"/>
  <c r="H4321" i="19"/>
  <c r="Q4321" i="19"/>
  <c r="F4322" i="19"/>
  <c r="H4322" i="19"/>
  <c r="Q4322" i="19"/>
  <c r="F4323" i="19"/>
  <c r="H4323" i="19"/>
  <c r="Q4323" i="19"/>
  <c r="F4324" i="19"/>
  <c r="H4324" i="19"/>
  <c r="Q4324" i="19"/>
  <c r="F4325" i="19"/>
  <c r="H4325" i="19"/>
  <c r="Q4325" i="19"/>
  <c r="F4326" i="19"/>
  <c r="H4326" i="19"/>
  <c r="Q4326" i="19"/>
  <c r="F4327" i="19"/>
  <c r="H4327" i="19"/>
  <c r="Q4327" i="19"/>
  <c r="F4328" i="19"/>
  <c r="H4328" i="19"/>
  <c r="Q4328" i="19"/>
  <c r="F4329" i="19"/>
  <c r="H4329" i="19"/>
  <c r="Q4329" i="19"/>
  <c r="F4330" i="19"/>
  <c r="H4330" i="19"/>
  <c r="Q4330" i="19"/>
  <c r="F4331" i="19"/>
  <c r="H4331" i="19"/>
  <c r="Q4331" i="19"/>
  <c r="F4332" i="19"/>
  <c r="H4332" i="19"/>
  <c r="Q4332" i="19"/>
  <c r="F4333" i="19"/>
  <c r="H4333" i="19"/>
  <c r="Q4333" i="19"/>
  <c r="F4334" i="19"/>
  <c r="H4334" i="19"/>
  <c r="Q4334" i="19"/>
  <c r="F4335" i="19"/>
  <c r="H4335" i="19"/>
  <c r="Q4335" i="19"/>
  <c r="F4336" i="19"/>
  <c r="H4336" i="19"/>
  <c r="Q4336" i="19"/>
  <c r="F4337" i="19"/>
  <c r="H4337" i="19"/>
  <c r="Q4337" i="19"/>
  <c r="F4338" i="19"/>
  <c r="H4338" i="19"/>
  <c r="Q4338" i="19"/>
  <c r="F4339" i="19"/>
  <c r="H4339" i="19"/>
  <c r="Q4339" i="19"/>
  <c r="F4340" i="19"/>
  <c r="H4340" i="19"/>
  <c r="Q4340" i="19"/>
  <c r="F4341" i="19"/>
  <c r="H4341" i="19"/>
  <c r="Q4341" i="19"/>
  <c r="F4342" i="19"/>
  <c r="H4342" i="19"/>
  <c r="Q4342" i="19"/>
  <c r="F4343" i="19"/>
  <c r="H4343" i="19"/>
  <c r="Q4343" i="19"/>
  <c r="F4344" i="19"/>
  <c r="H4344" i="19"/>
  <c r="Q4344" i="19"/>
  <c r="F4345" i="19"/>
  <c r="H4345" i="19"/>
  <c r="Q4345" i="19"/>
  <c r="F4346" i="19"/>
  <c r="H4346" i="19"/>
  <c r="Q4346" i="19"/>
  <c r="F4347" i="19"/>
  <c r="H4347" i="19"/>
  <c r="Q4347" i="19"/>
  <c r="F4348" i="19"/>
  <c r="H4348" i="19"/>
  <c r="Q4348" i="19"/>
  <c r="F4349" i="19"/>
  <c r="H4349" i="19"/>
  <c r="Q4349" i="19"/>
  <c r="F4350" i="19"/>
  <c r="H4350" i="19"/>
  <c r="Q4350" i="19"/>
  <c r="F4351" i="19"/>
  <c r="H4351" i="19"/>
  <c r="Q4351" i="19"/>
  <c r="F4352" i="19"/>
  <c r="H4352" i="19"/>
  <c r="Q4352" i="19"/>
  <c r="F4353" i="19"/>
  <c r="H4353" i="19"/>
  <c r="Q4353" i="19"/>
  <c r="F4354" i="19"/>
  <c r="H4354" i="19"/>
  <c r="Q4354" i="19"/>
  <c r="F4355" i="19"/>
  <c r="H4355" i="19"/>
  <c r="Q4355" i="19"/>
  <c r="F4356" i="19"/>
  <c r="H4356" i="19"/>
  <c r="Q4356" i="19"/>
  <c r="F4357" i="19"/>
  <c r="H4357" i="19"/>
  <c r="Q4357" i="19"/>
  <c r="F4358" i="19"/>
  <c r="H4358" i="19"/>
  <c r="Q4358" i="19"/>
  <c r="F4359" i="19"/>
  <c r="H4359" i="19"/>
  <c r="Q4359" i="19"/>
  <c r="F4360" i="19"/>
  <c r="H4360" i="19"/>
  <c r="Q4360" i="19"/>
  <c r="F4361" i="19"/>
  <c r="H4361" i="19"/>
  <c r="Q4361" i="19"/>
  <c r="F4362" i="19"/>
  <c r="H4362" i="19"/>
  <c r="Q4362" i="19"/>
  <c r="F4363" i="19"/>
  <c r="H4363" i="19"/>
  <c r="Q4363" i="19"/>
  <c r="F4364" i="19"/>
  <c r="H4364" i="19"/>
  <c r="Q4364" i="19"/>
  <c r="F4365" i="19"/>
  <c r="H4365" i="19"/>
  <c r="Q4365" i="19"/>
  <c r="F4366" i="19"/>
  <c r="H4366" i="19"/>
  <c r="Q4366" i="19"/>
  <c r="F4367" i="19"/>
  <c r="H4367" i="19"/>
  <c r="Q4367" i="19"/>
  <c r="F4368" i="19"/>
  <c r="H4368" i="19"/>
  <c r="Q4368" i="19"/>
  <c r="Q4370" i="19"/>
  <c r="F4371" i="19"/>
  <c r="H4371" i="19"/>
  <c r="Q4371" i="19"/>
  <c r="F4372" i="19"/>
  <c r="H4372" i="19"/>
  <c r="Q4372" i="19"/>
  <c r="F4373" i="19"/>
  <c r="H4373" i="19"/>
  <c r="Q4373" i="19"/>
  <c r="F4374" i="19"/>
  <c r="H4374" i="19"/>
  <c r="Q4374" i="19"/>
  <c r="F4375" i="19"/>
  <c r="H4375" i="19"/>
  <c r="Q4375" i="19"/>
  <c r="F4376" i="19"/>
  <c r="H4376" i="19"/>
  <c r="Q4376" i="19"/>
  <c r="F4377" i="19"/>
  <c r="H4377" i="19"/>
  <c r="Q4377" i="19"/>
  <c r="F4378" i="19"/>
  <c r="H4378" i="19"/>
  <c r="Q4378" i="19"/>
  <c r="F4379" i="19"/>
  <c r="H4379" i="19"/>
  <c r="Q4379" i="19"/>
  <c r="F4380" i="19"/>
  <c r="H4380" i="19"/>
  <c r="Q4380" i="19"/>
  <c r="F4381" i="19"/>
  <c r="H4381" i="19"/>
  <c r="Q4381" i="19"/>
  <c r="F4382" i="19"/>
  <c r="H4382" i="19"/>
  <c r="Q4382" i="19"/>
  <c r="F4383" i="19"/>
  <c r="H4383" i="19"/>
  <c r="Q4383" i="19"/>
  <c r="F4384" i="19"/>
  <c r="H4384" i="19"/>
  <c r="Q4384" i="19"/>
  <c r="F4385" i="19"/>
  <c r="H4385" i="19"/>
  <c r="Q4385" i="19"/>
  <c r="F4386" i="19"/>
  <c r="H4386" i="19"/>
  <c r="Q4386" i="19"/>
  <c r="F4387" i="19"/>
  <c r="H4387" i="19"/>
  <c r="Q4387" i="19"/>
  <c r="F4388" i="19"/>
  <c r="H4388" i="19"/>
  <c r="Q4388" i="19"/>
  <c r="F4389" i="19"/>
  <c r="H4389" i="19"/>
  <c r="Q4389" i="19"/>
  <c r="F4390" i="19"/>
  <c r="H4390" i="19"/>
  <c r="Q4390" i="19"/>
  <c r="F4391" i="19"/>
  <c r="H4391" i="19"/>
  <c r="Q4391" i="19"/>
  <c r="F4392" i="19"/>
  <c r="H4392" i="19"/>
  <c r="Q4392" i="19"/>
  <c r="F4393" i="19"/>
  <c r="H4393" i="19"/>
  <c r="Q4393" i="19"/>
  <c r="F4394" i="19"/>
  <c r="H4394" i="19"/>
  <c r="Q4394" i="19"/>
  <c r="F4395" i="19"/>
  <c r="H4395" i="19"/>
  <c r="Q4395" i="19"/>
  <c r="F4396" i="19"/>
  <c r="H4396" i="19"/>
  <c r="Q4396" i="19"/>
  <c r="F4397" i="19"/>
  <c r="H4397" i="19"/>
  <c r="Q4397" i="19"/>
  <c r="F4398" i="19"/>
  <c r="H4398" i="19"/>
  <c r="Q4398" i="19"/>
  <c r="F4399" i="19"/>
  <c r="H4399" i="19"/>
  <c r="Q4399" i="19"/>
  <c r="F4400" i="19"/>
  <c r="H4400" i="19"/>
  <c r="Q4400" i="19"/>
  <c r="Q4401" i="19"/>
  <c r="F4402" i="19"/>
  <c r="H4402" i="19"/>
  <c r="Q4402" i="19"/>
  <c r="F4403" i="19"/>
  <c r="H4403" i="19"/>
  <c r="Q4403" i="19"/>
  <c r="Q4404" i="19"/>
  <c r="F4405" i="19"/>
  <c r="H4405" i="19"/>
  <c r="Q4405" i="19"/>
  <c r="F4406" i="19"/>
  <c r="H4406" i="19"/>
  <c r="Q4406" i="19"/>
  <c r="F4407" i="19"/>
  <c r="H4407" i="19"/>
  <c r="Q4407" i="19"/>
  <c r="F4408" i="19"/>
  <c r="H4408" i="19"/>
  <c r="Q4408" i="19"/>
  <c r="F4409" i="19"/>
  <c r="H4409" i="19"/>
  <c r="Q4409" i="19"/>
  <c r="F4410" i="19"/>
  <c r="H4410" i="19"/>
  <c r="Q4410" i="19"/>
  <c r="F4411" i="19"/>
  <c r="H4411" i="19"/>
  <c r="Q4411" i="19"/>
  <c r="F4412" i="19"/>
  <c r="H4412" i="19"/>
  <c r="Q4412" i="19"/>
  <c r="F4413" i="19"/>
  <c r="H4413" i="19"/>
  <c r="Q4413" i="19"/>
  <c r="F4414" i="19"/>
  <c r="H4414" i="19"/>
  <c r="Q4414" i="19"/>
  <c r="F4415" i="19"/>
  <c r="H4415" i="19"/>
  <c r="Q4415" i="19"/>
  <c r="F4416" i="19"/>
  <c r="H4416" i="19"/>
  <c r="Q4416" i="19"/>
  <c r="F4417" i="19"/>
  <c r="H4417" i="19"/>
  <c r="Q4417" i="19"/>
  <c r="F4418" i="19"/>
  <c r="H4418" i="19"/>
  <c r="Q4418" i="19"/>
  <c r="F4419" i="19"/>
  <c r="H4419" i="19"/>
  <c r="Q4419" i="19"/>
  <c r="F4420" i="19"/>
  <c r="H4420" i="19"/>
  <c r="Q4420" i="19"/>
  <c r="F4421" i="19"/>
  <c r="H4421" i="19"/>
  <c r="Q4421" i="19"/>
  <c r="F4422" i="19"/>
  <c r="H4422" i="19"/>
  <c r="Q4422" i="19"/>
  <c r="F4423" i="19"/>
  <c r="H4423" i="19"/>
  <c r="Q4423" i="19"/>
  <c r="F4424" i="19"/>
  <c r="H4424" i="19"/>
  <c r="Q4424" i="19"/>
  <c r="F4425" i="19"/>
  <c r="H4425" i="19"/>
  <c r="Q4425" i="19"/>
  <c r="F4426" i="19"/>
  <c r="H4426" i="19"/>
  <c r="Q4426" i="19"/>
  <c r="F4427" i="19"/>
  <c r="H4427" i="19"/>
  <c r="Q4427" i="19"/>
  <c r="Q4428" i="19"/>
  <c r="F4429" i="19"/>
  <c r="H4429" i="19"/>
  <c r="Q4429" i="19"/>
  <c r="F4430" i="19"/>
  <c r="H4430" i="19"/>
  <c r="Q4430" i="19"/>
  <c r="F4431" i="19"/>
  <c r="H4431" i="19"/>
  <c r="Q4431" i="19"/>
  <c r="F4432" i="19"/>
  <c r="H4432" i="19"/>
  <c r="Q4432" i="19"/>
  <c r="F4433" i="19"/>
  <c r="H4433" i="19"/>
  <c r="Q4433" i="19"/>
  <c r="F4434" i="19"/>
  <c r="H4434" i="19"/>
  <c r="Q4434" i="19"/>
  <c r="F4435" i="19"/>
  <c r="H4435" i="19"/>
  <c r="Q4435" i="19"/>
  <c r="F4436" i="19"/>
  <c r="H4436" i="19"/>
  <c r="Q4436" i="19"/>
  <c r="F4437" i="19"/>
  <c r="H4437" i="19"/>
  <c r="Q4437" i="19"/>
  <c r="F4438" i="19"/>
  <c r="H4438" i="19"/>
  <c r="Q4438" i="19"/>
  <c r="F4439" i="19"/>
  <c r="H4439" i="19"/>
  <c r="Q4439" i="19"/>
  <c r="Q4440" i="19"/>
  <c r="F4441" i="19"/>
  <c r="H4441" i="19"/>
  <c r="Q4441" i="19"/>
  <c r="F4442" i="19"/>
  <c r="H4442" i="19"/>
  <c r="Q4442" i="19"/>
  <c r="F4443" i="19"/>
  <c r="H4443" i="19"/>
  <c r="Q4443" i="19"/>
  <c r="F4444" i="19"/>
  <c r="H4444" i="19"/>
  <c r="Q4444" i="19"/>
  <c r="F4445" i="19"/>
  <c r="H4445" i="19"/>
  <c r="Q4445" i="19"/>
  <c r="F4446" i="19"/>
  <c r="H4446" i="19"/>
  <c r="Q4446" i="19"/>
  <c r="Q4447" i="19"/>
  <c r="Q4448" i="19"/>
  <c r="F4449" i="19"/>
  <c r="H4449" i="19"/>
  <c r="Q4449" i="19"/>
  <c r="F4451" i="19"/>
  <c r="H4451" i="19"/>
  <c r="Q4451" i="19"/>
  <c r="F4452" i="19"/>
  <c r="H4452" i="19"/>
  <c r="Q4452" i="19"/>
  <c r="F4453" i="19"/>
  <c r="H4453" i="19"/>
  <c r="Q4453" i="19"/>
  <c r="F4454" i="19"/>
  <c r="H4454" i="19"/>
  <c r="Q4454" i="19"/>
  <c r="F4455" i="19"/>
  <c r="H4455" i="19"/>
  <c r="Q4455" i="19"/>
  <c r="F4456" i="19"/>
  <c r="H4456" i="19"/>
  <c r="Q4456" i="19"/>
  <c r="F4457" i="19"/>
  <c r="H4457" i="19"/>
  <c r="Q4457" i="19"/>
  <c r="F4458" i="19"/>
  <c r="H4458" i="19"/>
  <c r="Q4458" i="19"/>
  <c r="F4459" i="19"/>
  <c r="H4459" i="19"/>
  <c r="Q4459" i="19"/>
  <c r="F4460" i="19"/>
  <c r="H4460" i="19"/>
  <c r="Q4460" i="19"/>
  <c r="F4461" i="19"/>
  <c r="H4461" i="19"/>
  <c r="Q4461" i="19"/>
  <c r="F4462" i="19"/>
  <c r="H4462" i="19"/>
  <c r="Q4462" i="19"/>
  <c r="F4463" i="19"/>
  <c r="H4463" i="19"/>
  <c r="Q4463" i="19"/>
  <c r="F4464" i="19"/>
  <c r="H4464" i="19"/>
  <c r="Q4464" i="19"/>
  <c r="F4465" i="19"/>
  <c r="H4465" i="19"/>
  <c r="Q4465" i="19"/>
  <c r="F4466" i="19"/>
  <c r="H4466" i="19"/>
  <c r="Q4466" i="19"/>
  <c r="F4467" i="19"/>
  <c r="H4467" i="19"/>
  <c r="Q4467" i="19"/>
  <c r="F4468" i="19"/>
  <c r="H4468" i="19"/>
  <c r="Q4468" i="19"/>
  <c r="F4470" i="19"/>
  <c r="H4470" i="19"/>
  <c r="Q4470" i="19"/>
  <c r="F4471" i="19"/>
  <c r="H4471" i="19"/>
  <c r="Q4471" i="19"/>
  <c r="F4472" i="19"/>
  <c r="H4472" i="19"/>
  <c r="Q4472" i="19"/>
  <c r="F4473" i="19"/>
  <c r="H4473" i="19"/>
  <c r="Q4473" i="19"/>
  <c r="F4474" i="19"/>
  <c r="H4474" i="19"/>
  <c r="Q4474" i="19"/>
  <c r="F4475" i="19"/>
  <c r="H4475" i="19"/>
  <c r="Q4475" i="19"/>
  <c r="F4476" i="19"/>
  <c r="H4476" i="19"/>
  <c r="Q4476" i="19"/>
  <c r="F4477" i="19"/>
  <c r="H4477" i="19"/>
  <c r="Q4477" i="19"/>
  <c r="F4478" i="19"/>
  <c r="H4478" i="19"/>
  <c r="Q4478" i="19"/>
  <c r="F4479" i="19"/>
  <c r="H4479" i="19"/>
  <c r="Q4479" i="19"/>
  <c r="F4480" i="19"/>
  <c r="H4480" i="19"/>
  <c r="Q4480" i="19"/>
  <c r="F4481" i="19"/>
  <c r="H4481" i="19"/>
  <c r="Q4481" i="19"/>
  <c r="F4482" i="19"/>
  <c r="H4482" i="19"/>
  <c r="Q4482" i="19"/>
  <c r="F4483" i="19"/>
  <c r="H4483" i="19"/>
  <c r="Q4483" i="19"/>
  <c r="F4484" i="19"/>
  <c r="H4484" i="19"/>
  <c r="Q4484" i="19"/>
  <c r="F4485" i="19"/>
  <c r="H4485" i="19"/>
  <c r="Q4485" i="19"/>
  <c r="F4486" i="19"/>
  <c r="H4486" i="19"/>
  <c r="Q4486" i="19"/>
  <c r="F4487" i="19"/>
  <c r="H4487" i="19"/>
  <c r="Q4487" i="19"/>
  <c r="T36" i="19"/>
  <c r="X36" i="19"/>
  <c r="U36" i="19"/>
  <c r="R3958" i="19"/>
  <c r="R4304" i="19"/>
  <c r="R2393" i="19"/>
  <c r="F1433" i="19"/>
  <c r="H1433" i="19"/>
  <c r="F5336" i="19"/>
  <c r="H5336" i="19"/>
  <c r="F1405" i="19"/>
  <c r="H1405" i="19"/>
  <c r="Q1405" i="19"/>
  <c r="F5473" i="19"/>
  <c r="H5473" i="19"/>
  <c r="F5078" i="19"/>
  <c r="H5078" i="19"/>
  <c r="R4307" i="19"/>
  <c r="F5424" i="19"/>
  <c r="H5424" i="19"/>
  <c r="Q5424" i="19"/>
  <c r="R5424" i="19"/>
  <c r="F5299" i="19"/>
  <c r="H5299" i="19"/>
  <c r="F1421" i="19"/>
  <c r="H1421" i="19"/>
  <c r="F5295" i="19"/>
  <c r="H5295" i="19"/>
  <c r="F1434" i="19"/>
  <c r="H1434" i="19"/>
  <c r="Q1434" i="19"/>
  <c r="R1434" i="19"/>
  <c r="R4871" i="19"/>
  <c r="F1556" i="19"/>
  <c r="H1556" i="19"/>
  <c r="R4994" i="19"/>
  <c r="R4037" i="19"/>
  <c r="F1461" i="19"/>
  <c r="H1461" i="19"/>
  <c r="F5567" i="19"/>
  <c r="H5567" i="19"/>
  <c r="F5276" i="19"/>
  <c r="H5276" i="19"/>
  <c r="Q5276" i="19"/>
  <c r="F5418" i="19"/>
  <c r="H5418" i="19"/>
  <c r="F5484" i="19"/>
  <c r="H5484" i="19"/>
  <c r="F5086" i="19"/>
  <c r="H5086" i="19"/>
  <c r="Q5086" i="19"/>
  <c r="R5086" i="19"/>
  <c r="F1664" i="19"/>
  <c r="H1664" i="19"/>
  <c r="R5019" i="19"/>
  <c r="F5399" i="19"/>
  <c r="H5399" i="19"/>
  <c r="Q5399" i="19"/>
  <c r="R5399" i="19"/>
  <c r="F5255" i="19"/>
  <c r="H5255" i="19"/>
  <c r="Q5255" i="19"/>
  <c r="R5255" i="19"/>
  <c r="F666" i="19"/>
  <c r="H666" i="19"/>
  <c r="Q666" i="19"/>
  <c r="F5294" i="19"/>
  <c r="H5294" i="19"/>
  <c r="Q5294" i="19"/>
  <c r="R5294" i="19"/>
  <c r="F1524" i="19"/>
  <c r="H1524" i="19"/>
  <c r="F5211" i="19"/>
  <c r="H5211" i="19"/>
  <c r="F1620" i="19"/>
  <c r="H1620" i="19"/>
  <c r="F749" i="19"/>
  <c r="H749" i="19"/>
  <c r="R4150" i="19"/>
  <c r="F1591" i="19"/>
  <c r="H1591" i="19"/>
  <c r="Q1591" i="19"/>
  <c r="R1591" i="19"/>
  <c r="F1747" i="19"/>
  <c r="H1747" i="19"/>
  <c r="F3790" i="19"/>
  <c r="H3790" i="19"/>
  <c r="Q3790" i="19"/>
  <c r="F3555" i="19"/>
  <c r="H3555" i="19"/>
  <c r="F3153" i="19"/>
  <c r="H3153" i="19"/>
  <c r="Q3153" i="19"/>
  <c r="F3092" i="19"/>
  <c r="H3092" i="19"/>
  <c r="Q3092" i="19"/>
  <c r="F3093" i="19"/>
  <c r="H3093" i="19"/>
  <c r="Q3093" i="19"/>
  <c r="F3094" i="19"/>
  <c r="H3094" i="19"/>
  <c r="Q3094" i="19"/>
  <c r="F3095" i="19"/>
  <c r="H3095" i="19"/>
  <c r="Q3095" i="19"/>
  <c r="F3096" i="19"/>
  <c r="H3096" i="19"/>
  <c r="Q3096" i="19"/>
  <c r="F3097" i="19"/>
  <c r="H3097" i="19"/>
  <c r="Q3097" i="19"/>
  <c r="F3098" i="19"/>
  <c r="H3098" i="19"/>
  <c r="Q3098" i="19"/>
  <c r="F3099" i="19"/>
  <c r="H3099" i="19"/>
  <c r="Q3099" i="19"/>
  <c r="F3100" i="19"/>
  <c r="H3100" i="19"/>
  <c r="Q3100" i="19"/>
  <c r="F3101" i="19"/>
  <c r="H3101" i="19"/>
  <c r="Q3101" i="19"/>
  <c r="F3102" i="19"/>
  <c r="H3102" i="19"/>
  <c r="Q3102" i="19"/>
  <c r="F3103" i="19"/>
  <c r="H3103" i="19"/>
  <c r="Q3103" i="19"/>
  <c r="F3104" i="19"/>
  <c r="H3104" i="19"/>
  <c r="Q3104" i="19"/>
  <c r="F3105" i="19"/>
  <c r="H3105" i="19"/>
  <c r="Q3105" i="19"/>
  <c r="F3106" i="19"/>
  <c r="H3106" i="19"/>
  <c r="Q3106" i="19"/>
  <c r="F3107" i="19"/>
  <c r="H3107" i="19"/>
  <c r="Q3107" i="19"/>
  <c r="F3108" i="19"/>
  <c r="H3108" i="19"/>
  <c r="Q3108" i="19"/>
  <c r="F3109" i="19"/>
  <c r="H3109" i="19"/>
  <c r="Q3109" i="19"/>
  <c r="F3110" i="19"/>
  <c r="H3110" i="19"/>
  <c r="Q3110" i="19"/>
  <c r="F3111" i="19"/>
  <c r="H3111" i="19"/>
  <c r="Q3111" i="19"/>
  <c r="F3112" i="19"/>
  <c r="H3112" i="19"/>
  <c r="Q3112" i="19"/>
  <c r="Q3113" i="19"/>
  <c r="F3114" i="19"/>
  <c r="H3114" i="19"/>
  <c r="Q3114" i="19"/>
  <c r="F3115" i="19"/>
  <c r="H3115" i="19"/>
  <c r="Q3115" i="19"/>
  <c r="F3116" i="19"/>
  <c r="H3116" i="19"/>
  <c r="Q3116" i="19"/>
  <c r="F3117" i="19"/>
  <c r="H3117" i="19"/>
  <c r="Q3117" i="19"/>
  <c r="F3118" i="19"/>
  <c r="H3118" i="19"/>
  <c r="Q3118" i="19"/>
  <c r="F3119" i="19"/>
  <c r="H3119" i="19"/>
  <c r="Q3119" i="19"/>
  <c r="F3120" i="19"/>
  <c r="H3120" i="19"/>
  <c r="Q3120" i="19"/>
  <c r="F3121" i="19"/>
  <c r="H3121" i="19"/>
  <c r="Q3121" i="19"/>
  <c r="F3122" i="19"/>
  <c r="H3122" i="19"/>
  <c r="Q3122" i="19"/>
  <c r="F3123" i="19"/>
  <c r="H3123" i="19"/>
  <c r="Q3123" i="19"/>
  <c r="F3124" i="19"/>
  <c r="H3124" i="19"/>
  <c r="Q3124" i="19"/>
  <c r="F3125" i="19"/>
  <c r="H3125" i="19"/>
  <c r="Q3125" i="19"/>
  <c r="F3126" i="19"/>
  <c r="H3126" i="19"/>
  <c r="Q3126" i="19"/>
  <c r="F3127" i="19"/>
  <c r="H3127" i="19"/>
  <c r="Q3127" i="19"/>
  <c r="F3128" i="19"/>
  <c r="H3128" i="19"/>
  <c r="Q3128" i="19"/>
  <c r="F3129" i="19"/>
  <c r="H3129" i="19"/>
  <c r="Q3129" i="19"/>
  <c r="F3130" i="19"/>
  <c r="H3130" i="19"/>
  <c r="Q3130" i="19"/>
  <c r="F3131" i="19"/>
  <c r="H3131" i="19"/>
  <c r="Q3131" i="19"/>
  <c r="F3132" i="19"/>
  <c r="H3132" i="19"/>
  <c r="Q3132" i="19"/>
  <c r="F3133" i="19"/>
  <c r="H3133" i="19"/>
  <c r="Q3133" i="19"/>
  <c r="Q3134" i="19"/>
  <c r="F3135" i="19"/>
  <c r="H3135" i="19"/>
  <c r="Q3135" i="19"/>
  <c r="F3136" i="19"/>
  <c r="H3136" i="19"/>
  <c r="Q3136" i="19"/>
  <c r="F3137" i="19"/>
  <c r="H3137" i="19"/>
  <c r="Q3137" i="19"/>
  <c r="F3138" i="19"/>
  <c r="H3138" i="19"/>
  <c r="Q3138" i="19"/>
  <c r="F3139" i="19"/>
  <c r="H3139" i="19"/>
  <c r="Q3139" i="19"/>
  <c r="F3140" i="19"/>
  <c r="H3140" i="19"/>
  <c r="Q3140" i="19"/>
  <c r="F3141" i="19"/>
  <c r="H3141" i="19"/>
  <c r="Q3141" i="19"/>
  <c r="F3142" i="19"/>
  <c r="H3142" i="19"/>
  <c r="Q3142" i="19"/>
  <c r="F3143" i="19"/>
  <c r="H3143" i="19"/>
  <c r="Q3143" i="19"/>
  <c r="F3144" i="19"/>
  <c r="H3144" i="19"/>
  <c r="Q3144" i="19"/>
  <c r="F3145" i="19"/>
  <c r="H3145" i="19"/>
  <c r="Q3145" i="19"/>
  <c r="F3146" i="19"/>
  <c r="H3146" i="19"/>
  <c r="Q3146" i="19"/>
  <c r="F3147" i="19"/>
  <c r="H3147" i="19"/>
  <c r="Q3147" i="19"/>
  <c r="F3148" i="19"/>
  <c r="H3148" i="19"/>
  <c r="Q3148" i="19"/>
  <c r="Q3149" i="19"/>
  <c r="F3150" i="19"/>
  <c r="H3150" i="19"/>
  <c r="Q3150" i="19"/>
  <c r="F3151" i="19"/>
  <c r="H3151" i="19"/>
  <c r="Q3151" i="19"/>
  <c r="F3152" i="19"/>
  <c r="H3152" i="19"/>
  <c r="Q3152" i="19"/>
  <c r="F3154" i="19"/>
  <c r="H3154" i="19"/>
  <c r="Q3154" i="19"/>
  <c r="F3155" i="19"/>
  <c r="H3155" i="19"/>
  <c r="Q3155" i="19"/>
  <c r="F3156" i="19"/>
  <c r="H3156" i="19"/>
  <c r="Q3156" i="19"/>
  <c r="F3157" i="19"/>
  <c r="H3157" i="19"/>
  <c r="Q3157" i="19"/>
  <c r="F3158" i="19"/>
  <c r="H3158" i="19"/>
  <c r="Q3158" i="19"/>
  <c r="F3159" i="19"/>
  <c r="H3159" i="19"/>
  <c r="Q3159" i="19"/>
  <c r="F3160" i="19"/>
  <c r="H3160" i="19"/>
  <c r="Q3160" i="19"/>
  <c r="F3161" i="19"/>
  <c r="H3161" i="19"/>
  <c r="Q3161" i="19"/>
  <c r="F3162" i="19"/>
  <c r="H3162" i="19"/>
  <c r="Q3162" i="19"/>
  <c r="F3163" i="19"/>
  <c r="H3163" i="19"/>
  <c r="Q3163" i="19"/>
  <c r="F3164" i="19"/>
  <c r="H3164" i="19"/>
  <c r="Q3164" i="19"/>
  <c r="F3165" i="19"/>
  <c r="H3165" i="19"/>
  <c r="Q3165" i="19"/>
  <c r="F3166" i="19"/>
  <c r="H3166" i="19"/>
  <c r="Q3166" i="19"/>
  <c r="F3167" i="19"/>
  <c r="H3167" i="19"/>
  <c r="Q3167" i="19"/>
  <c r="F3168" i="19"/>
  <c r="H3168" i="19"/>
  <c r="Q3168" i="19"/>
  <c r="F3169" i="19"/>
  <c r="H3169" i="19"/>
  <c r="Q3169" i="19"/>
  <c r="F3170" i="19"/>
  <c r="H3170" i="19"/>
  <c r="Q3170" i="19"/>
  <c r="F3171" i="19"/>
  <c r="H3171" i="19"/>
  <c r="Q3171" i="19"/>
  <c r="F3172" i="19"/>
  <c r="H3172" i="19"/>
  <c r="Q3172" i="19"/>
  <c r="F3173" i="19"/>
  <c r="H3173" i="19"/>
  <c r="Q3173" i="19"/>
  <c r="F3174" i="19"/>
  <c r="H3174" i="19"/>
  <c r="Q3174" i="19"/>
  <c r="F3175" i="19"/>
  <c r="H3175" i="19"/>
  <c r="Q3175" i="19"/>
  <c r="F3176" i="19"/>
  <c r="H3176" i="19"/>
  <c r="Q3176" i="19"/>
  <c r="F3177" i="19"/>
  <c r="H3177" i="19"/>
  <c r="Q3177" i="19"/>
  <c r="F3178" i="19"/>
  <c r="H3178" i="19"/>
  <c r="Q3178" i="19"/>
  <c r="F3179" i="19"/>
  <c r="H3179" i="19"/>
  <c r="Q3179" i="19"/>
  <c r="F3180" i="19"/>
  <c r="H3180" i="19"/>
  <c r="Q3180" i="19"/>
  <c r="F3181" i="19"/>
  <c r="H3181" i="19"/>
  <c r="Q3181" i="19"/>
  <c r="F3182" i="19"/>
  <c r="H3182" i="19"/>
  <c r="Q3182" i="19"/>
  <c r="F3183" i="19"/>
  <c r="H3183" i="19"/>
  <c r="Q3183" i="19"/>
  <c r="F3184" i="19"/>
  <c r="H3184" i="19"/>
  <c r="Q3184" i="19"/>
  <c r="F3185" i="19"/>
  <c r="H3185" i="19"/>
  <c r="Q3185" i="19"/>
  <c r="F3186" i="19"/>
  <c r="H3186" i="19"/>
  <c r="Q3186" i="19"/>
  <c r="F3187" i="19"/>
  <c r="H3187" i="19"/>
  <c r="Q3187" i="19"/>
  <c r="Q3188" i="19"/>
  <c r="F3189" i="19"/>
  <c r="H3189" i="19"/>
  <c r="Q3189" i="19"/>
  <c r="F3190" i="19"/>
  <c r="H3190" i="19"/>
  <c r="Q3190" i="19"/>
  <c r="F3191" i="19"/>
  <c r="H3191" i="19"/>
  <c r="Q3191" i="19"/>
  <c r="F3192" i="19"/>
  <c r="H3192" i="19"/>
  <c r="Q3192" i="19"/>
  <c r="F3193" i="19"/>
  <c r="H3193" i="19"/>
  <c r="Q3193" i="19"/>
  <c r="F3194" i="19"/>
  <c r="H3194" i="19"/>
  <c r="Q3194" i="19"/>
  <c r="F3195" i="19"/>
  <c r="H3195" i="19"/>
  <c r="Q3195" i="19"/>
  <c r="F3196" i="19"/>
  <c r="H3196" i="19"/>
  <c r="Q3196" i="19"/>
  <c r="F3197" i="19"/>
  <c r="H3197" i="19"/>
  <c r="Q3197" i="19"/>
  <c r="F3198" i="19"/>
  <c r="H3198" i="19"/>
  <c r="Q3198" i="19"/>
  <c r="F3199" i="19"/>
  <c r="H3199" i="19"/>
  <c r="Q3199" i="19"/>
  <c r="F3200" i="19"/>
  <c r="H3200" i="19"/>
  <c r="Q3200" i="19"/>
  <c r="F3201" i="19"/>
  <c r="H3201" i="19"/>
  <c r="Q3201" i="19"/>
  <c r="F3202" i="19"/>
  <c r="H3202" i="19"/>
  <c r="Q3202" i="19"/>
  <c r="F3203" i="19"/>
  <c r="H3203" i="19"/>
  <c r="Q3203" i="19"/>
  <c r="F3204" i="19"/>
  <c r="H3204" i="19"/>
  <c r="Q3204" i="19"/>
  <c r="F3205" i="19"/>
  <c r="H3205" i="19"/>
  <c r="Q3205" i="19"/>
  <c r="F3206" i="19"/>
  <c r="H3206" i="19"/>
  <c r="Q3206" i="19"/>
  <c r="F3207" i="19"/>
  <c r="H3207" i="19"/>
  <c r="Q3207" i="19"/>
  <c r="F3208" i="19"/>
  <c r="H3208" i="19"/>
  <c r="Q3208" i="19"/>
  <c r="F3209" i="19"/>
  <c r="H3209" i="19"/>
  <c r="Q3209" i="19"/>
  <c r="F3210" i="19"/>
  <c r="H3210" i="19"/>
  <c r="Q3210" i="19"/>
  <c r="F3211" i="19"/>
  <c r="H3211" i="19"/>
  <c r="Q3211" i="19"/>
  <c r="F3212" i="19"/>
  <c r="H3212" i="19"/>
  <c r="Q3212" i="19"/>
  <c r="Q3213" i="19"/>
  <c r="F3214" i="19"/>
  <c r="H3214" i="19"/>
  <c r="Q3214" i="19"/>
  <c r="F3215" i="19"/>
  <c r="H3215" i="19"/>
  <c r="Q3215" i="19"/>
  <c r="F3216" i="19"/>
  <c r="H3216" i="19"/>
  <c r="Q3216" i="19"/>
  <c r="F3217" i="19"/>
  <c r="H3217" i="19"/>
  <c r="Q3217" i="19"/>
  <c r="F3218" i="19"/>
  <c r="H3218" i="19"/>
  <c r="Q3218" i="19"/>
  <c r="F3219" i="19"/>
  <c r="H3219" i="19"/>
  <c r="Q3219" i="19"/>
  <c r="F3220" i="19"/>
  <c r="H3220" i="19"/>
  <c r="Q3220" i="19"/>
  <c r="F3221" i="19"/>
  <c r="H3221" i="19"/>
  <c r="Q3221" i="19"/>
  <c r="F3222" i="19"/>
  <c r="H3222" i="19"/>
  <c r="Q3222" i="19"/>
  <c r="F3223" i="19"/>
  <c r="H3223" i="19"/>
  <c r="Q3223" i="19"/>
  <c r="F3224" i="19"/>
  <c r="H3224" i="19"/>
  <c r="Q3224" i="19"/>
  <c r="F3225" i="19"/>
  <c r="H3225" i="19"/>
  <c r="Q3225" i="19"/>
  <c r="F3226" i="19"/>
  <c r="H3226" i="19"/>
  <c r="Q3226" i="19"/>
  <c r="F3227" i="19"/>
  <c r="H3227" i="19"/>
  <c r="Q3227" i="19"/>
  <c r="F3228" i="19"/>
  <c r="H3228" i="19"/>
  <c r="Q3228" i="19"/>
  <c r="F3229" i="19"/>
  <c r="H3229" i="19"/>
  <c r="Q3229" i="19"/>
  <c r="F3230" i="19"/>
  <c r="H3230" i="19"/>
  <c r="Q3230" i="19"/>
  <c r="F3231" i="19"/>
  <c r="H3231" i="19"/>
  <c r="Q3231" i="19"/>
  <c r="F3232" i="19"/>
  <c r="H3232" i="19"/>
  <c r="Q3232" i="19"/>
  <c r="F3233" i="19"/>
  <c r="H3233" i="19"/>
  <c r="Q3233" i="19"/>
  <c r="F3234" i="19"/>
  <c r="H3234" i="19"/>
  <c r="Q3234" i="19"/>
  <c r="F3235" i="19"/>
  <c r="H3235" i="19"/>
  <c r="Q3235" i="19"/>
  <c r="F3236" i="19"/>
  <c r="H3236" i="19"/>
  <c r="Q3236" i="19"/>
  <c r="F3237" i="19"/>
  <c r="H3237" i="19"/>
  <c r="Q3237" i="19"/>
  <c r="F3238" i="19"/>
  <c r="H3238" i="19"/>
  <c r="Q3238" i="19"/>
  <c r="F3239" i="19"/>
  <c r="H3239" i="19"/>
  <c r="Q3239" i="19"/>
  <c r="F3240" i="19"/>
  <c r="H3240" i="19"/>
  <c r="Q3240" i="19"/>
  <c r="F3241" i="19"/>
  <c r="H3241" i="19"/>
  <c r="Q3241" i="19"/>
  <c r="F3242" i="19"/>
  <c r="H3242" i="19"/>
  <c r="Q3242" i="19"/>
  <c r="F3243" i="19"/>
  <c r="H3243" i="19"/>
  <c r="Q3243" i="19"/>
  <c r="F3244" i="19"/>
  <c r="H3244" i="19"/>
  <c r="Q3244" i="19"/>
  <c r="Q3245" i="19"/>
  <c r="F3246" i="19"/>
  <c r="H3246" i="19"/>
  <c r="Q3246" i="19"/>
  <c r="F3247" i="19"/>
  <c r="H3247" i="19"/>
  <c r="Q3247" i="19"/>
  <c r="F3248" i="19"/>
  <c r="H3248" i="19"/>
  <c r="Q3248" i="19"/>
  <c r="F3249" i="19"/>
  <c r="H3249" i="19"/>
  <c r="Q3249" i="19"/>
  <c r="F3250" i="19"/>
  <c r="H3250" i="19"/>
  <c r="Q3250" i="19"/>
  <c r="F3251" i="19"/>
  <c r="H3251" i="19"/>
  <c r="Q3251" i="19"/>
  <c r="F3252" i="19"/>
  <c r="H3252" i="19"/>
  <c r="Q3252" i="19"/>
  <c r="F3253" i="19"/>
  <c r="H3253" i="19"/>
  <c r="Q3253" i="19"/>
  <c r="F3254" i="19"/>
  <c r="H3254" i="19"/>
  <c r="Q3254" i="19"/>
  <c r="F3255" i="19"/>
  <c r="H3255" i="19"/>
  <c r="Q3255" i="19"/>
  <c r="F3256" i="19"/>
  <c r="H3256" i="19"/>
  <c r="Q3256" i="19"/>
  <c r="F3257" i="19"/>
  <c r="H3257" i="19"/>
  <c r="Q3257" i="19"/>
  <c r="F3258" i="19"/>
  <c r="H3258" i="19"/>
  <c r="Q3258" i="19"/>
  <c r="F3259" i="19"/>
  <c r="H3259" i="19"/>
  <c r="Q3259" i="19"/>
  <c r="F3260" i="19"/>
  <c r="H3260" i="19"/>
  <c r="Q3260" i="19"/>
  <c r="F3261" i="19"/>
  <c r="H3261" i="19"/>
  <c r="Q3261" i="19"/>
  <c r="F3262" i="19"/>
  <c r="H3262" i="19"/>
  <c r="Q3262" i="19"/>
  <c r="F3263" i="19"/>
  <c r="H3263" i="19"/>
  <c r="Q3263" i="19"/>
  <c r="Q3264" i="19"/>
  <c r="F3265" i="19"/>
  <c r="H3265" i="19"/>
  <c r="Q3265" i="19"/>
  <c r="F3266" i="19"/>
  <c r="H3266" i="19"/>
  <c r="Q3266" i="19"/>
  <c r="Q3267" i="19"/>
  <c r="F3268" i="19"/>
  <c r="H3268" i="19"/>
  <c r="Q3268" i="19"/>
  <c r="Q3269" i="19"/>
  <c r="F3270" i="19"/>
  <c r="H3270" i="19"/>
  <c r="Q3270" i="19"/>
  <c r="F3271" i="19"/>
  <c r="H3271" i="19"/>
  <c r="Q3271" i="19"/>
  <c r="F3272" i="19"/>
  <c r="H3272" i="19"/>
  <c r="Q3272" i="19"/>
  <c r="F3273" i="19"/>
  <c r="H3273" i="19"/>
  <c r="Q3273" i="19"/>
  <c r="F3274" i="19"/>
  <c r="H3274" i="19"/>
  <c r="Q3274" i="19"/>
  <c r="F3275" i="19"/>
  <c r="H3275" i="19"/>
  <c r="Q3275" i="19"/>
  <c r="T28" i="19"/>
  <c r="X28" i="19"/>
  <c r="U28" i="19"/>
  <c r="R3153" i="19"/>
  <c r="F5783" i="19"/>
  <c r="H5783" i="19"/>
  <c r="R4374" i="19"/>
  <c r="F1455" i="19"/>
  <c r="H1455" i="19"/>
  <c r="F1789" i="19"/>
  <c r="H1789" i="19"/>
  <c r="F3841" i="19"/>
  <c r="H3841" i="19"/>
  <c r="F3418" i="19"/>
  <c r="H3418" i="19"/>
  <c r="F2969" i="19"/>
  <c r="H2969" i="19"/>
  <c r="F5172" i="19"/>
  <c r="H5172" i="19"/>
  <c r="R5023" i="19"/>
  <c r="F5139" i="19"/>
  <c r="H5139" i="19"/>
  <c r="Q5139" i="19"/>
  <c r="R5139" i="19"/>
  <c r="F1727" i="19"/>
  <c r="H1727" i="19"/>
  <c r="F5394" i="19"/>
  <c r="H5394" i="19"/>
  <c r="F1681" i="19"/>
  <c r="H1681" i="19"/>
  <c r="Q1681" i="19"/>
  <c r="F3720" i="19"/>
  <c r="H3720" i="19"/>
  <c r="Q3720" i="19"/>
  <c r="F3686" i="19"/>
  <c r="H3686" i="19"/>
  <c r="Q3686" i="19"/>
  <c r="F3687" i="19"/>
  <c r="H3687" i="19"/>
  <c r="Q3687" i="19"/>
  <c r="F3688" i="19"/>
  <c r="H3688" i="19"/>
  <c r="Q3688" i="19"/>
  <c r="F3689" i="19"/>
  <c r="H3689" i="19"/>
  <c r="Q3689" i="19"/>
  <c r="F3690" i="19"/>
  <c r="H3690" i="19"/>
  <c r="Q3690" i="19"/>
  <c r="F3691" i="19"/>
  <c r="H3691" i="19"/>
  <c r="Q3691" i="19"/>
  <c r="F3692" i="19"/>
  <c r="H3692" i="19"/>
  <c r="Q3692" i="19"/>
  <c r="F3693" i="19"/>
  <c r="H3693" i="19"/>
  <c r="Q3693" i="19"/>
  <c r="Q3694" i="19"/>
  <c r="F3695" i="19"/>
  <c r="H3695" i="19"/>
  <c r="Q3695" i="19"/>
  <c r="F3696" i="19"/>
  <c r="H3696" i="19"/>
  <c r="Q3696" i="19"/>
  <c r="F3697" i="19"/>
  <c r="H3697" i="19"/>
  <c r="Q3697" i="19"/>
  <c r="F3698" i="19"/>
  <c r="H3698" i="19"/>
  <c r="Q3698" i="19"/>
  <c r="F3699" i="19"/>
  <c r="H3699" i="19"/>
  <c r="Q3699" i="19"/>
  <c r="F3700" i="19"/>
  <c r="H3700" i="19"/>
  <c r="Q3700" i="19"/>
  <c r="F3701" i="19"/>
  <c r="H3701" i="19"/>
  <c r="Q3701" i="19"/>
  <c r="F3702" i="19"/>
  <c r="H3702" i="19"/>
  <c r="Q3702" i="19"/>
  <c r="F3703" i="19"/>
  <c r="H3703" i="19"/>
  <c r="Q3703" i="19"/>
  <c r="F3704" i="19"/>
  <c r="H3704" i="19"/>
  <c r="Q3704" i="19"/>
  <c r="F3705" i="19"/>
  <c r="H3705" i="19"/>
  <c r="Q3705" i="19"/>
  <c r="F3706" i="19"/>
  <c r="H3706" i="19"/>
  <c r="Q3706" i="19"/>
  <c r="Q3707" i="19"/>
  <c r="F3708" i="19"/>
  <c r="H3708" i="19"/>
  <c r="Q3708" i="19"/>
  <c r="F3709" i="19"/>
  <c r="H3709" i="19"/>
  <c r="Q3709" i="19"/>
  <c r="F3711" i="19"/>
  <c r="H3711" i="19"/>
  <c r="Q3711" i="19"/>
  <c r="F3712" i="19"/>
  <c r="H3712" i="19"/>
  <c r="Q3712" i="19"/>
  <c r="F3713" i="19"/>
  <c r="H3713" i="19"/>
  <c r="Q3713" i="19"/>
  <c r="F3714" i="19"/>
  <c r="H3714" i="19"/>
  <c r="Q3714" i="19"/>
  <c r="F3715" i="19"/>
  <c r="H3715" i="19"/>
  <c r="Q3715" i="19"/>
  <c r="F3716" i="19"/>
  <c r="H3716" i="19"/>
  <c r="Q3716" i="19"/>
  <c r="F3717" i="19"/>
  <c r="H3717" i="19"/>
  <c r="Q3717" i="19"/>
  <c r="Q3718" i="19"/>
  <c r="F3719" i="19"/>
  <c r="H3719" i="19"/>
  <c r="Q3719" i="19"/>
  <c r="F3721" i="19"/>
  <c r="H3721" i="19"/>
  <c r="Q3721" i="19"/>
  <c r="F3722" i="19"/>
  <c r="H3722" i="19"/>
  <c r="Q3722" i="19"/>
  <c r="F3723" i="19"/>
  <c r="H3723" i="19"/>
  <c r="Q3723" i="19"/>
  <c r="F3724" i="19"/>
  <c r="H3724" i="19"/>
  <c r="Q3724" i="19"/>
  <c r="F3725" i="19"/>
  <c r="H3725" i="19"/>
  <c r="Q3725" i="19"/>
  <c r="F3726" i="19"/>
  <c r="H3726" i="19"/>
  <c r="Q3726" i="19"/>
  <c r="F3727" i="19"/>
  <c r="H3727" i="19"/>
  <c r="Q3727" i="19"/>
  <c r="F3728" i="19"/>
  <c r="H3728" i="19"/>
  <c r="Q3728" i="19"/>
  <c r="F3729" i="19"/>
  <c r="H3729" i="19"/>
  <c r="Q3729" i="19"/>
  <c r="F3730" i="19"/>
  <c r="H3730" i="19"/>
  <c r="Q3730" i="19"/>
  <c r="F3731" i="19"/>
  <c r="H3731" i="19"/>
  <c r="Q3731" i="19"/>
  <c r="F3732" i="19"/>
  <c r="H3732" i="19"/>
  <c r="Q3732" i="19"/>
  <c r="F3733" i="19"/>
  <c r="H3733" i="19"/>
  <c r="Q3733" i="19"/>
  <c r="F3734" i="19"/>
  <c r="H3734" i="19"/>
  <c r="Q3734" i="19"/>
  <c r="F3736" i="19"/>
  <c r="H3736" i="19"/>
  <c r="Q3736" i="19"/>
  <c r="F3737" i="19"/>
  <c r="H3737" i="19"/>
  <c r="Q3737" i="19"/>
  <c r="F3738" i="19"/>
  <c r="H3738" i="19"/>
  <c r="Q3738" i="19"/>
  <c r="F3739" i="19"/>
  <c r="H3739" i="19"/>
  <c r="Q3739" i="19"/>
  <c r="F3740" i="19"/>
  <c r="H3740" i="19"/>
  <c r="Q3740" i="19"/>
  <c r="F3741" i="19"/>
  <c r="H3741" i="19"/>
  <c r="Q3741" i="19"/>
  <c r="F3742" i="19"/>
  <c r="H3742" i="19"/>
  <c r="Q3742" i="19"/>
  <c r="F3743" i="19"/>
  <c r="H3743" i="19"/>
  <c r="Q3743" i="19"/>
  <c r="F3744" i="19"/>
  <c r="H3744" i="19"/>
  <c r="Q3744" i="19"/>
  <c r="F3745" i="19"/>
  <c r="H3745" i="19"/>
  <c r="Q3745" i="19"/>
  <c r="F3746" i="19"/>
  <c r="H3746" i="19"/>
  <c r="Q3746" i="19"/>
  <c r="F3747" i="19"/>
  <c r="H3747" i="19"/>
  <c r="Q3747" i="19"/>
  <c r="F3748" i="19"/>
  <c r="H3748" i="19"/>
  <c r="Q3748" i="19"/>
  <c r="F3749" i="19"/>
  <c r="H3749" i="19"/>
  <c r="Q3749" i="19"/>
  <c r="F3750" i="19"/>
  <c r="H3750" i="19"/>
  <c r="Q3750" i="19"/>
  <c r="F3751" i="19"/>
  <c r="H3751" i="19"/>
  <c r="Q3751" i="19"/>
  <c r="F3752" i="19"/>
  <c r="H3752" i="19"/>
  <c r="Q3752" i="19"/>
  <c r="F3753" i="19"/>
  <c r="H3753" i="19"/>
  <c r="Q3753" i="19"/>
  <c r="F3754" i="19"/>
  <c r="H3754" i="19"/>
  <c r="Q3754" i="19"/>
  <c r="F3755" i="19"/>
  <c r="H3755" i="19"/>
  <c r="Q3755" i="19"/>
  <c r="F3756" i="19"/>
  <c r="H3756" i="19"/>
  <c r="Q3756" i="19"/>
  <c r="F3757" i="19"/>
  <c r="H3757" i="19"/>
  <c r="Q3757" i="19"/>
  <c r="F3758" i="19"/>
  <c r="H3758" i="19"/>
  <c r="Q3758" i="19"/>
  <c r="F3759" i="19"/>
  <c r="H3759" i="19"/>
  <c r="Q3759" i="19"/>
  <c r="F3760" i="19"/>
  <c r="H3760" i="19"/>
  <c r="Q3760" i="19"/>
  <c r="F3761" i="19"/>
  <c r="H3761" i="19"/>
  <c r="Q3761" i="19"/>
  <c r="F3762" i="19"/>
  <c r="H3762" i="19"/>
  <c r="Q3762" i="19"/>
  <c r="F3763" i="19"/>
  <c r="H3763" i="19"/>
  <c r="Q3763" i="19"/>
  <c r="F3764" i="19"/>
  <c r="H3764" i="19"/>
  <c r="Q3764" i="19"/>
  <c r="Q3765" i="19"/>
  <c r="F3766" i="19"/>
  <c r="H3766" i="19"/>
  <c r="Q3766" i="19"/>
  <c r="F3767" i="19"/>
  <c r="H3767" i="19"/>
  <c r="Q3767" i="19"/>
  <c r="F3768" i="19"/>
  <c r="H3768" i="19"/>
  <c r="Q3768" i="19"/>
  <c r="F3769" i="19"/>
  <c r="H3769" i="19"/>
  <c r="Q3769" i="19"/>
  <c r="F3770" i="19"/>
  <c r="H3770" i="19"/>
  <c r="Q3770" i="19"/>
  <c r="F3771" i="19"/>
  <c r="H3771" i="19"/>
  <c r="Q3771" i="19"/>
  <c r="Q3772" i="19"/>
  <c r="F3773" i="19"/>
  <c r="H3773" i="19"/>
  <c r="Q3773" i="19"/>
  <c r="F3774" i="19"/>
  <c r="H3774" i="19"/>
  <c r="Q3774" i="19"/>
  <c r="F3775" i="19"/>
  <c r="H3775" i="19"/>
  <c r="Q3775" i="19"/>
  <c r="F3776" i="19"/>
  <c r="H3776" i="19"/>
  <c r="Q3776" i="19"/>
  <c r="F3777" i="19"/>
  <c r="H3777" i="19"/>
  <c r="Q3777" i="19"/>
  <c r="F3778" i="19"/>
  <c r="H3778" i="19"/>
  <c r="Q3778" i="19"/>
  <c r="F3779" i="19"/>
  <c r="H3779" i="19"/>
  <c r="Q3779" i="19"/>
  <c r="F3780" i="19"/>
  <c r="H3780" i="19"/>
  <c r="Q3780" i="19"/>
  <c r="F3781" i="19"/>
  <c r="H3781" i="19"/>
  <c r="Q3781" i="19"/>
  <c r="F3782" i="19"/>
  <c r="H3782" i="19"/>
  <c r="Q3782" i="19"/>
  <c r="F3783" i="19"/>
  <c r="H3783" i="19"/>
  <c r="Q3783" i="19"/>
  <c r="F3784" i="19"/>
  <c r="H3784" i="19"/>
  <c r="Q3784" i="19"/>
  <c r="F3785" i="19"/>
  <c r="H3785" i="19"/>
  <c r="Q3785" i="19"/>
  <c r="F3786" i="19"/>
  <c r="H3786" i="19"/>
  <c r="Q3786" i="19"/>
  <c r="F3787" i="19"/>
  <c r="H3787" i="19"/>
  <c r="Q3787" i="19"/>
  <c r="F3788" i="19"/>
  <c r="H3788" i="19"/>
  <c r="Q3788" i="19"/>
  <c r="F3789" i="19"/>
  <c r="H3789" i="19"/>
  <c r="Q3789" i="19"/>
  <c r="F3791" i="19"/>
  <c r="H3791" i="19"/>
  <c r="Q3791" i="19"/>
  <c r="F3792" i="19"/>
  <c r="H3792" i="19"/>
  <c r="Q3792" i="19"/>
  <c r="F3793" i="19"/>
  <c r="H3793" i="19"/>
  <c r="Q3793" i="19"/>
  <c r="F3794" i="19"/>
  <c r="H3794" i="19"/>
  <c r="Q3794" i="19"/>
  <c r="F3795" i="19"/>
  <c r="H3795" i="19"/>
  <c r="Q3795" i="19"/>
  <c r="F3796" i="19"/>
  <c r="H3796" i="19"/>
  <c r="Q3796" i="19"/>
  <c r="F3797" i="19"/>
  <c r="H3797" i="19"/>
  <c r="Q3797" i="19"/>
  <c r="F3798" i="19"/>
  <c r="H3798" i="19"/>
  <c r="Q3798" i="19"/>
  <c r="F3799" i="19"/>
  <c r="H3799" i="19"/>
  <c r="Q3799" i="19"/>
  <c r="F3800" i="19"/>
  <c r="H3800" i="19"/>
  <c r="Q3800" i="19"/>
  <c r="F3801" i="19"/>
  <c r="H3801" i="19"/>
  <c r="Q3801" i="19"/>
  <c r="F3802" i="19"/>
  <c r="H3802" i="19"/>
  <c r="Q3802" i="19"/>
  <c r="Q3803" i="19"/>
  <c r="Q3804" i="19"/>
  <c r="F3805" i="19"/>
  <c r="H3805" i="19"/>
  <c r="Q3805" i="19"/>
  <c r="F3806" i="19"/>
  <c r="H3806" i="19"/>
  <c r="Q3806" i="19"/>
  <c r="F3807" i="19"/>
  <c r="H3807" i="19"/>
  <c r="Q3807" i="19"/>
  <c r="F3808" i="19"/>
  <c r="H3808" i="19"/>
  <c r="Q3808" i="19"/>
  <c r="F3809" i="19"/>
  <c r="H3809" i="19"/>
  <c r="Q3809" i="19"/>
  <c r="F3810" i="19"/>
  <c r="H3810" i="19"/>
  <c r="Q3810" i="19"/>
  <c r="F3811" i="19"/>
  <c r="H3811" i="19"/>
  <c r="Q3811" i="19"/>
  <c r="F3812" i="19"/>
  <c r="H3812" i="19"/>
  <c r="Q3812" i="19"/>
  <c r="F3813" i="19"/>
  <c r="H3813" i="19"/>
  <c r="Q3813" i="19"/>
  <c r="F3814" i="19"/>
  <c r="H3814" i="19"/>
  <c r="Q3814" i="19"/>
  <c r="F3815" i="19"/>
  <c r="H3815" i="19"/>
  <c r="Q3815" i="19"/>
  <c r="F3816" i="19"/>
  <c r="H3816" i="19"/>
  <c r="Q3816" i="19"/>
  <c r="F3817" i="19"/>
  <c r="H3817" i="19"/>
  <c r="Q3817" i="19"/>
  <c r="F3818" i="19"/>
  <c r="H3818" i="19"/>
  <c r="Q3818" i="19"/>
  <c r="F3819" i="19"/>
  <c r="H3819" i="19"/>
  <c r="Q3819" i="19"/>
  <c r="F3820" i="19"/>
  <c r="H3820" i="19"/>
  <c r="Q3820" i="19"/>
  <c r="F3821" i="19"/>
  <c r="H3821" i="19"/>
  <c r="Q3821" i="19"/>
  <c r="F3822" i="19"/>
  <c r="H3822" i="19"/>
  <c r="Q3822" i="19"/>
  <c r="F3823" i="19"/>
  <c r="H3823" i="19"/>
  <c r="Q3823" i="19"/>
  <c r="F3824" i="19"/>
  <c r="H3824" i="19"/>
  <c r="Q3824" i="19"/>
  <c r="Q3825" i="19"/>
  <c r="F3826" i="19"/>
  <c r="H3826" i="19"/>
  <c r="Q3826" i="19"/>
  <c r="F3827" i="19"/>
  <c r="H3827" i="19"/>
  <c r="Q3827" i="19"/>
  <c r="F3828" i="19"/>
  <c r="H3828" i="19"/>
  <c r="Q3828" i="19"/>
  <c r="F3829" i="19"/>
  <c r="H3829" i="19"/>
  <c r="Q3829" i="19"/>
  <c r="F3830" i="19"/>
  <c r="H3830" i="19"/>
  <c r="Q3830" i="19"/>
  <c r="F3831" i="19"/>
  <c r="H3831" i="19"/>
  <c r="Q3831" i="19"/>
  <c r="F3833" i="19"/>
  <c r="H3833" i="19"/>
  <c r="Q3833" i="19"/>
  <c r="F3834" i="19"/>
  <c r="H3834" i="19"/>
  <c r="Q3834" i="19"/>
  <c r="F3835" i="19"/>
  <c r="H3835" i="19"/>
  <c r="Q3835" i="19"/>
  <c r="F3836" i="19"/>
  <c r="H3836" i="19"/>
  <c r="Q3836" i="19"/>
  <c r="F3837" i="19"/>
  <c r="H3837" i="19"/>
  <c r="Q3837" i="19"/>
  <c r="F3838" i="19"/>
  <c r="H3838" i="19"/>
  <c r="Q3838" i="19"/>
  <c r="F3839" i="19"/>
  <c r="H3839" i="19"/>
  <c r="Q3839" i="19"/>
  <c r="F3840" i="19"/>
  <c r="H3840" i="19"/>
  <c r="Q3840" i="19"/>
  <c r="Q3841" i="19"/>
  <c r="F3842" i="19"/>
  <c r="H3842" i="19"/>
  <c r="Q3842" i="19"/>
  <c r="F3843" i="19"/>
  <c r="H3843" i="19"/>
  <c r="Q3843" i="19"/>
  <c r="F3844" i="19"/>
  <c r="H3844" i="19"/>
  <c r="Q3844" i="19"/>
  <c r="F3845" i="19"/>
  <c r="H3845" i="19"/>
  <c r="Q3845" i="19"/>
  <c r="F3846" i="19"/>
  <c r="H3846" i="19"/>
  <c r="Q3846" i="19"/>
  <c r="F3847" i="19"/>
  <c r="H3847" i="19"/>
  <c r="Q3847" i="19"/>
  <c r="F3848" i="19"/>
  <c r="H3848" i="19"/>
  <c r="Q3848" i="19"/>
  <c r="F3849" i="19"/>
  <c r="H3849" i="19"/>
  <c r="Q3849" i="19"/>
  <c r="Q3850" i="19"/>
  <c r="F3851" i="19"/>
  <c r="H3851" i="19"/>
  <c r="Q3851" i="19"/>
  <c r="F3852" i="19"/>
  <c r="H3852" i="19"/>
  <c r="Q3852" i="19"/>
  <c r="F3853" i="19"/>
  <c r="H3853" i="19"/>
  <c r="Q3853" i="19"/>
  <c r="F3854" i="19"/>
  <c r="H3854" i="19"/>
  <c r="Q3854" i="19"/>
  <c r="F3855" i="19"/>
  <c r="H3855" i="19"/>
  <c r="Q3855" i="19"/>
  <c r="F3856" i="19"/>
  <c r="H3856" i="19"/>
  <c r="Q3856" i="19"/>
  <c r="F3857" i="19"/>
  <c r="H3857" i="19"/>
  <c r="Q3857" i="19"/>
  <c r="F3858" i="19"/>
  <c r="H3858" i="19"/>
  <c r="Q3858" i="19"/>
  <c r="F3859" i="19"/>
  <c r="H3859" i="19"/>
  <c r="Q3859" i="19"/>
  <c r="F3860" i="19"/>
  <c r="H3860" i="19"/>
  <c r="Q3860" i="19"/>
  <c r="F3861" i="19"/>
  <c r="H3861" i="19"/>
  <c r="Q3861" i="19"/>
  <c r="F3862" i="19"/>
  <c r="H3862" i="19"/>
  <c r="Q3862" i="19"/>
  <c r="F3863" i="19"/>
  <c r="H3863" i="19"/>
  <c r="Q3863" i="19"/>
  <c r="F3864" i="19"/>
  <c r="H3864" i="19"/>
  <c r="Q3864" i="19"/>
  <c r="F3865" i="19"/>
  <c r="H3865" i="19"/>
  <c r="Q3865" i="19"/>
  <c r="Q3866" i="19"/>
  <c r="F3867" i="19"/>
  <c r="H3867" i="19"/>
  <c r="Q3867" i="19"/>
  <c r="F3868" i="19"/>
  <c r="H3868" i="19"/>
  <c r="Q3868" i="19"/>
  <c r="F3869" i="19"/>
  <c r="H3869" i="19"/>
  <c r="Q3869" i="19"/>
  <c r="F3870" i="19"/>
  <c r="H3870" i="19"/>
  <c r="Q3870" i="19"/>
  <c r="F3871" i="19"/>
  <c r="H3871" i="19"/>
  <c r="Q3871" i="19"/>
  <c r="F3872" i="19"/>
  <c r="H3872" i="19"/>
  <c r="Q3872" i="19"/>
  <c r="F3873" i="19"/>
  <c r="H3873" i="19"/>
  <c r="Q3873" i="19"/>
  <c r="F3874" i="19"/>
  <c r="H3874" i="19"/>
  <c r="Q3874" i="19"/>
  <c r="F3875" i="19"/>
  <c r="H3875" i="19"/>
  <c r="Q3875" i="19"/>
  <c r="F3876" i="19"/>
  <c r="H3876" i="19"/>
  <c r="Q3876" i="19"/>
  <c r="F3877" i="19"/>
  <c r="H3877" i="19"/>
  <c r="Q3877" i="19"/>
  <c r="F3878" i="19"/>
  <c r="H3878" i="19"/>
  <c r="Q3878" i="19"/>
  <c r="F3879" i="19"/>
  <c r="H3879" i="19"/>
  <c r="Q3879" i="19"/>
  <c r="F3880" i="19"/>
  <c r="H3880" i="19"/>
  <c r="Q3880" i="19"/>
  <c r="F3881" i="19"/>
  <c r="H3881" i="19"/>
  <c r="Q3881" i="19"/>
  <c r="F3882" i="19"/>
  <c r="H3882" i="19"/>
  <c r="Q3882" i="19"/>
  <c r="F3883" i="19"/>
  <c r="H3883" i="19"/>
  <c r="Q3883" i="19"/>
  <c r="F3884" i="19"/>
  <c r="H3884" i="19"/>
  <c r="Q3884" i="19"/>
  <c r="F3885" i="19"/>
  <c r="H3885" i="19"/>
  <c r="Q3885" i="19"/>
  <c r="F3887" i="19"/>
  <c r="H3887" i="19"/>
  <c r="Q3887" i="19"/>
  <c r="F3888" i="19"/>
  <c r="H3888" i="19"/>
  <c r="Q3888" i="19"/>
  <c r="F3889" i="19"/>
  <c r="H3889" i="19"/>
  <c r="Q3889" i="19"/>
  <c r="F3890" i="19"/>
  <c r="H3890" i="19"/>
  <c r="Q3890" i="19"/>
  <c r="F3892" i="19"/>
  <c r="H3892" i="19"/>
  <c r="Q3892" i="19"/>
  <c r="F3893" i="19"/>
  <c r="H3893" i="19"/>
  <c r="Q3893" i="19"/>
  <c r="F3894" i="19"/>
  <c r="H3894" i="19"/>
  <c r="Q3894" i="19"/>
  <c r="F3895" i="19"/>
  <c r="H3895" i="19"/>
  <c r="Q3895" i="19"/>
  <c r="F3896" i="19"/>
  <c r="H3896" i="19"/>
  <c r="Q3896" i="19"/>
  <c r="F3897" i="19"/>
  <c r="H3897" i="19"/>
  <c r="Q3897" i="19"/>
  <c r="F3898" i="19"/>
  <c r="H3898" i="19"/>
  <c r="Q3898" i="19"/>
  <c r="F3899" i="19"/>
  <c r="H3899" i="19"/>
  <c r="Q3899" i="19"/>
  <c r="F3900" i="19"/>
  <c r="H3900" i="19"/>
  <c r="Q3900" i="19"/>
  <c r="F3901" i="19"/>
  <c r="H3901" i="19"/>
  <c r="Q3901" i="19"/>
  <c r="F3902" i="19"/>
  <c r="H3902" i="19"/>
  <c r="Q3902" i="19"/>
  <c r="F3903" i="19"/>
  <c r="H3903" i="19"/>
  <c r="Q3903" i="19"/>
  <c r="F3904" i="19"/>
  <c r="H3904" i="19"/>
  <c r="Q3904" i="19"/>
  <c r="F3905" i="19"/>
  <c r="H3905" i="19"/>
  <c r="Q3905" i="19"/>
  <c r="F3906" i="19"/>
  <c r="H3906" i="19"/>
  <c r="Q3906" i="19"/>
  <c r="F3907" i="19"/>
  <c r="H3907" i="19"/>
  <c r="Q3907" i="19"/>
  <c r="F3908" i="19"/>
  <c r="H3908" i="19"/>
  <c r="Q3908" i="19"/>
  <c r="T31" i="19"/>
  <c r="X31" i="19"/>
  <c r="U31" i="19"/>
  <c r="R3720" i="19"/>
  <c r="F5246" i="19"/>
  <c r="H5246" i="19"/>
  <c r="Q5246" i="19"/>
  <c r="F1308" i="19"/>
  <c r="H1308" i="19"/>
  <c r="F1952" i="19"/>
  <c r="H1952" i="19"/>
  <c r="Q1952" i="19"/>
  <c r="R1952" i="19"/>
  <c r="F3533" i="19"/>
  <c r="H3533" i="19"/>
  <c r="F1406" i="19"/>
  <c r="H1406" i="19"/>
  <c r="F1756" i="19"/>
  <c r="H1756" i="19"/>
  <c r="Q1756" i="19"/>
  <c r="F3487" i="19"/>
  <c r="H3487" i="19"/>
  <c r="R4094" i="19"/>
  <c r="F1458" i="19"/>
  <c r="H1458" i="19"/>
  <c r="F1944" i="19"/>
  <c r="H1944" i="19"/>
  <c r="F1667" i="19"/>
  <c r="H1667" i="19"/>
  <c r="Q1667" i="19"/>
  <c r="R1667" i="19"/>
  <c r="F3391" i="19"/>
  <c r="H3391" i="19"/>
  <c r="F3032" i="19"/>
  <c r="H3032" i="19"/>
  <c r="F2858" i="19"/>
  <c r="H2858" i="19"/>
  <c r="F1663" i="19"/>
  <c r="H1663" i="19"/>
  <c r="F3675" i="19"/>
  <c r="H3675" i="19"/>
  <c r="F3028" i="19"/>
  <c r="H3028" i="19"/>
  <c r="Q3028" i="19"/>
  <c r="R3028" i="19"/>
  <c r="F5649" i="19"/>
  <c r="H5649" i="19"/>
  <c r="Q5649" i="19"/>
  <c r="R5649" i="19"/>
  <c r="R4136" i="19"/>
  <c r="F1720" i="19"/>
  <c r="H1720" i="19"/>
  <c r="Q1720" i="19"/>
  <c r="R1720" i="19"/>
  <c r="F5532" i="19"/>
  <c r="H5532" i="19"/>
  <c r="F5117" i="19"/>
  <c r="H5117" i="19"/>
  <c r="F5569" i="19"/>
  <c r="H5569" i="19"/>
  <c r="Q5569" i="19"/>
  <c r="R5569" i="19"/>
  <c r="R4844" i="19"/>
  <c r="F5085" i="19"/>
  <c r="H5085" i="19"/>
  <c r="F5515" i="19"/>
  <c r="H5515" i="19"/>
  <c r="F5138" i="19"/>
  <c r="H5138" i="19"/>
  <c r="F5494" i="19"/>
  <c r="H5494" i="19"/>
  <c r="Q5494" i="19"/>
  <c r="F5159" i="19"/>
  <c r="H5159" i="19"/>
  <c r="R4992" i="19"/>
  <c r="F5393" i="19"/>
  <c r="H5393" i="19"/>
  <c r="Q5393" i="19"/>
  <c r="R5393" i="19"/>
  <c r="F5625" i="19"/>
  <c r="H5625" i="19"/>
  <c r="F5492" i="19"/>
  <c r="H5492" i="19"/>
  <c r="Q5492" i="19"/>
  <c r="R5492" i="19"/>
  <c r="R4632" i="19"/>
  <c r="R4981" i="19"/>
  <c r="F563" i="19"/>
  <c r="H563" i="19"/>
  <c r="F712" i="19"/>
  <c r="H712" i="19"/>
  <c r="Q712" i="19"/>
  <c r="R712" i="19"/>
  <c r="F5265" i="19"/>
  <c r="H5265" i="19"/>
  <c r="F584" i="19"/>
  <c r="H584" i="19"/>
  <c r="R4561" i="19"/>
  <c r="F5203" i="19"/>
  <c r="H5203" i="19"/>
  <c r="F5397" i="19"/>
  <c r="H5397" i="19"/>
  <c r="Q5397" i="19"/>
  <c r="R5397" i="19"/>
  <c r="F1384" i="19"/>
  <c r="H1384" i="19"/>
  <c r="Q1384" i="19"/>
  <c r="R1384" i="19"/>
  <c r="F5487" i="19"/>
  <c r="H5487" i="19"/>
  <c r="R4959" i="19"/>
  <c r="R2150" i="19"/>
  <c r="R2404" i="19"/>
  <c r="F1437" i="19"/>
  <c r="H1437" i="19"/>
  <c r="R4818" i="19"/>
  <c r="F5345" i="19"/>
  <c r="H5345" i="19"/>
  <c r="R4470" i="19"/>
  <c r="F1444" i="19"/>
  <c r="H1444" i="19"/>
  <c r="F5087" i="19"/>
  <c r="H5087" i="19"/>
  <c r="R3973" i="19"/>
  <c r="R4280" i="19"/>
  <c r="F5478" i="19"/>
  <c r="H5478" i="19"/>
  <c r="Q5478" i="19"/>
  <c r="R5478" i="19"/>
  <c r="F5083" i="19"/>
  <c r="H5083" i="19"/>
  <c r="R4316" i="19"/>
  <c r="F5539" i="19"/>
  <c r="H5539" i="19"/>
  <c r="R3916" i="19"/>
  <c r="F1425" i="19"/>
  <c r="H1425" i="19"/>
  <c r="F5332" i="19"/>
  <c r="H5332" i="19"/>
  <c r="Q5332" i="19"/>
  <c r="R5332" i="19"/>
  <c r="F1438" i="19"/>
  <c r="H1438" i="19"/>
  <c r="R2390" i="19"/>
  <c r="R4968" i="19"/>
  <c r="R2302" i="19"/>
  <c r="F1560" i="19"/>
  <c r="H1560" i="19"/>
  <c r="Q1560" i="19"/>
  <c r="R1560" i="19"/>
  <c r="F1478" i="19"/>
  <c r="H1478" i="19"/>
  <c r="F5318" i="19"/>
  <c r="H5318" i="19"/>
  <c r="F5499" i="19"/>
  <c r="H5499" i="19"/>
  <c r="Q5499" i="19"/>
  <c r="R5499" i="19"/>
  <c r="F5510" i="19"/>
  <c r="H5510" i="19"/>
  <c r="Q5510" i="19"/>
  <c r="F5196" i="19"/>
  <c r="H5196" i="19"/>
  <c r="Q5196" i="19"/>
  <c r="R5196" i="19"/>
  <c r="R4382" i="19"/>
  <c r="F1291" i="19"/>
  <c r="H1291" i="19"/>
  <c r="Q1291" i="19"/>
  <c r="R1291" i="19"/>
  <c r="R4217" i="19"/>
  <c r="R2427" i="19"/>
  <c r="F1668" i="19"/>
  <c r="H1668" i="19"/>
  <c r="F5183" i="19"/>
  <c r="H5183" i="19"/>
  <c r="R2053" i="19"/>
  <c r="F1299" i="19"/>
  <c r="H1299" i="19"/>
  <c r="Q1299" i="19"/>
  <c r="F5470" i="19"/>
  <c r="H5470" i="19"/>
  <c r="F5274" i="19"/>
  <c r="H5274" i="19"/>
  <c r="F5416" i="19"/>
  <c r="H5416" i="19"/>
  <c r="Q5416" i="19"/>
  <c r="R5416" i="19"/>
  <c r="F5314" i="19"/>
  <c r="H5314" i="19"/>
  <c r="F1561" i="19"/>
  <c r="H1561" i="19"/>
  <c r="Q1561" i="19"/>
  <c r="R1561" i="19"/>
  <c r="F5237" i="19"/>
  <c r="H5237" i="19"/>
  <c r="F671" i="19"/>
  <c r="H671" i="19"/>
  <c r="Q671" i="19"/>
  <c r="R671" i="19"/>
  <c r="R4283" i="19"/>
  <c r="F5533" i="19"/>
  <c r="H5533" i="19"/>
  <c r="F1604" i="19"/>
  <c r="H1604" i="19"/>
  <c r="Q1604" i="19"/>
  <c r="R1604" i="19"/>
  <c r="F1821" i="19"/>
  <c r="H1821" i="19"/>
  <c r="F3608" i="19"/>
  <c r="H3608" i="19"/>
  <c r="Q3608" i="19"/>
  <c r="F5815" i="19"/>
  <c r="H5815" i="19"/>
  <c r="Q5815" i="19"/>
  <c r="R4443" i="19"/>
  <c r="F1469" i="19"/>
  <c r="H1469" i="19"/>
  <c r="F1838" i="19"/>
  <c r="H1838" i="19"/>
  <c r="R3896" i="19"/>
  <c r="F3426" i="19"/>
  <c r="H3426" i="19"/>
  <c r="Q3426" i="19"/>
  <c r="R3426" i="19"/>
  <c r="F2977" i="19"/>
  <c r="H2977" i="19"/>
  <c r="F5200" i="19"/>
  <c r="H5200" i="19"/>
  <c r="F5144" i="19"/>
  <c r="H5144" i="19"/>
  <c r="Q5144" i="19"/>
  <c r="R5144" i="19"/>
  <c r="F5206" i="19"/>
  <c r="H5206" i="19"/>
  <c r="F1267" i="19"/>
  <c r="H1267" i="19"/>
  <c r="Q1267" i="19"/>
  <c r="R1267" i="19"/>
  <c r="F1740" i="19"/>
  <c r="H1740" i="19"/>
  <c r="Q1740" i="19"/>
  <c r="F5439" i="19"/>
  <c r="H5439" i="19"/>
  <c r="R2467" i="19"/>
  <c r="F1685" i="19"/>
  <c r="H1685" i="19"/>
  <c r="Q1685" i="19"/>
  <c r="R1685" i="19"/>
  <c r="F5284" i="19"/>
  <c r="H5284" i="19"/>
  <c r="Q5284" i="19"/>
  <c r="F1328" i="19"/>
  <c r="H1328" i="19"/>
  <c r="F1969" i="19"/>
  <c r="H1969" i="19"/>
  <c r="F3563" i="19"/>
  <c r="H3563" i="19"/>
  <c r="Q3563" i="19"/>
  <c r="F1427" i="19"/>
  <c r="H1427" i="19"/>
  <c r="Q1427" i="19"/>
  <c r="F1786" i="19"/>
  <c r="H1786" i="19"/>
  <c r="F5425" i="19"/>
  <c r="H5425" i="19"/>
  <c r="Q5425" i="19"/>
  <c r="R5425" i="19"/>
  <c r="R4121" i="19"/>
  <c r="F1472" i="19"/>
  <c r="H1472" i="19"/>
  <c r="F1989" i="19"/>
  <c r="H1989" i="19"/>
  <c r="F1705" i="19"/>
  <c r="H1705" i="19"/>
  <c r="F3395" i="19"/>
  <c r="H3395" i="19"/>
  <c r="F3044" i="19"/>
  <c r="H3044" i="19"/>
  <c r="F2866" i="19"/>
  <c r="H2866" i="19"/>
  <c r="F1696" i="19"/>
  <c r="H1696" i="19"/>
  <c r="F3296" i="19"/>
  <c r="H3296" i="19"/>
  <c r="Q3296" i="19"/>
  <c r="R3296" i="19"/>
  <c r="F3036" i="19"/>
  <c r="H3036" i="19"/>
  <c r="Q3036" i="19"/>
  <c r="R3036" i="19"/>
  <c r="F5653" i="19"/>
  <c r="H5653" i="19"/>
  <c r="F1772" i="19"/>
  <c r="H1772" i="19"/>
  <c r="F960" i="19"/>
  <c r="H960" i="19"/>
  <c r="F5561" i="19"/>
  <c r="H5561" i="19"/>
  <c r="R4831" i="19"/>
  <c r="F5142" i="19"/>
  <c r="H5142" i="19"/>
  <c r="Q5142" i="19"/>
  <c r="R5142" i="19"/>
  <c r="F5582" i="19"/>
  <c r="H5582" i="19"/>
  <c r="F5089" i="19"/>
  <c r="H5089" i="19"/>
  <c r="F5545" i="19"/>
  <c r="H5545" i="19"/>
  <c r="Q5545" i="19"/>
  <c r="R5545" i="19"/>
  <c r="F5184" i="19"/>
  <c r="H5184" i="19"/>
  <c r="F5524" i="19"/>
  <c r="H5524" i="19"/>
  <c r="Q5524" i="19"/>
  <c r="F5188" i="19"/>
  <c r="H5188" i="19"/>
  <c r="Q5188" i="19"/>
  <c r="R5188" i="19"/>
  <c r="R5021" i="19"/>
  <c r="F5410" i="19"/>
  <c r="H5410" i="19"/>
  <c r="F5505" i="19"/>
  <c r="H5505" i="19"/>
  <c r="Q5505" i="19"/>
  <c r="R4998" i="19"/>
  <c r="F580" i="19"/>
  <c r="H580" i="19"/>
  <c r="F717" i="19"/>
  <c r="H717" i="19"/>
  <c r="Q717" i="19"/>
  <c r="R717" i="19"/>
  <c r="F5309" i="19"/>
  <c r="H5309" i="19"/>
  <c r="Q5309" i="19"/>
  <c r="R5309" i="19"/>
  <c r="R4186" i="19"/>
  <c r="F728" i="19"/>
  <c r="H728" i="19"/>
  <c r="Q728" i="19"/>
  <c r="R728" i="19"/>
  <c r="R4602" i="19"/>
  <c r="F5207" i="19"/>
  <c r="H5207" i="19"/>
  <c r="F5477" i="19"/>
  <c r="H5477" i="19"/>
  <c r="F1388" i="19"/>
  <c r="H1388" i="19"/>
  <c r="F5527" i="19"/>
  <c r="H5527" i="19"/>
  <c r="R5037" i="19"/>
  <c r="F1441" i="19"/>
  <c r="H1441" i="19"/>
  <c r="Q1441" i="19"/>
  <c r="R1441" i="19"/>
  <c r="F5349" i="19"/>
  <c r="H5349" i="19"/>
  <c r="R4483" i="19"/>
  <c r="F236" i="19"/>
  <c r="H236" i="19"/>
  <c r="Q236" i="19"/>
  <c r="R236" i="19"/>
  <c r="F5092" i="19"/>
  <c r="H5092" i="19"/>
  <c r="Q5092" i="19"/>
  <c r="R5092" i="19"/>
  <c r="R4003" i="19"/>
  <c r="F5529" i="19"/>
  <c r="H5529" i="19"/>
  <c r="Q5529" i="19"/>
  <c r="R5529" i="19"/>
  <c r="F5112" i="19"/>
  <c r="H5112" i="19"/>
  <c r="Q5112" i="19"/>
  <c r="R5112" i="19"/>
  <c r="F5606" i="19"/>
  <c r="H5606" i="19"/>
  <c r="R3934" i="19"/>
  <c r="F1476" i="19"/>
  <c r="H1476" i="19"/>
  <c r="Q1476" i="19"/>
  <c r="R1476" i="19"/>
  <c r="F5342" i="19"/>
  <c r="H5342" i="19"/>
  <c r="R4326" i="19"/>
  <c r="F1447" i="19"/>
  <c r="H1447" i="19"/>
  <c r="Q1447" i="19"/>
  <c r="R1447" i="19"/>
  <c r="F79" i="19"/>
  <c r="H79" i="19"/>
  <c r="F5565" i="19"/>
  <c r="H5565" i="19"/>
  <c r="Q5565" i="19"/>
  <c r="R5565" i="19"/>
  <c r="F5150" i="19"/>
  <c r="H5150" i="19"/>
  <c r="F5611" i="19"/>
  <c r="H5611" i="19"/>
  <c r="R4852" i="19"/>
  <c r="F5113" i="19"/>
  <c r="H5113" i="19"/>
  <c r="F5628" i="19"/>
  <c r="H5628" i="19"/>
  <c r="Q5628" i="19"/>
  <c r="R5628" i="19"/>
  <c r="F292" i="19"/>
  <c r="H292" i="19"/>
  <c r="Q292" i="19"/>
  <c r="R292" i="19"/>
  <c r="F5553" i="19"/>
  <c r="H5553" i="19"/>
  <c r="Q5553" i="19"/>
  <c r="R5553" i="19"/>
  <c r="F421" i="19"/>
  <c r="H421" i="19"/>
  <c r="F5423" i="19"/>
  <c r="H5423" i="19"/>
  <c r="Q5423" i="19"/>
  <c r="R5423" i="19"/>
  <c r="R4539" i="19"/>
  <c r="F5522" i="19"/>
  <c r="H5522" i="19"/>
  <c r="Q5522" i="19"/>
  <c r="R5522" i="19"/>
  <c r="R5002" i="19"/>
  <c r="F591" i="19"/>
  <c r="H591" i="19"/>
  <c r="R5014" i="19"/>
  <c r="F766" i="19"/>
  <c r="H766" i="19"/>
  <c r="Q766" i="19"/>
  <c r="R766" i="19"/>
  <c r="R4821" i="19"/>
  <c r="F5313" i="19"/>
  <c r="H5313" i="19"/>
  <c r="R4235" i="19"/>
  <c r="F744" i="19"/>
  <c r="H744" i="19"/>
  <c r="R4651" i="19"/>
  <c r="F5216" i="19"/>
  <c r="H5216" i="19"/>
  <c r="F5507" i="19"/>
  <c r="H5507" i="19"/>
  <c r="Q5507" i="19"/>
  <c r="R5507" i="19"/>
  <c r="F1396" i="19"/>
  <c r="H1396" i="19"/>
  <c r="Q1396" i="19"/>
  <c r="F5552" i="19"/>
  <c r="H5552" i="19"/>
  <c r="Q5552" i="19"/>
  <c r="R5552" i="19"/>
  <c r="R4346" i="19"/>
  <c r="R2474" i="19"/>
  <c r="F1527" i="19"/>
  <c r="H1527" i="19"/>
  <c r="F221" i="19"/>
  <c r="H221" i="19"/>
  <c r="Q221" i="19"/>
  <c r="F5586" i="19"/>
  <c r="H5586" i="19"/>
  <c r="Q5586" i="19"/>
  <c r="R5586" i="19"/>
  <c r="F5154" i="19"/>
  <c r="H5154" i="19"/>
  <c r="F5619" i="19"/>
  <c r="H5619" i="19"/>
  <c r="F5121" i="19"/>
  <c r="H5121" i="19"/>
  <c r="F362" i="19"/>
  <c r="H362" i="19"/>
  <c r="F5578" i="19"/>
  <c r="H5578" i="19"/>
  <c r="Q5578" i="19"/>
  <c r="R5578" i="19"/>
  <c r="R4892" i="19"/>
  <c r="F685" i="19"/>
  <c r="H685" i="19"/>
  <c r="F5082" i="19"/>
  <c r="H5082" i="19"/>
  <c r="Q5082" i="19"/>
  <c r="R5082" i="19"/>
  <c r="F5440" i="19"/>
  <c r="H5440" i="19"/>
  <c r="Q5440" i="19"/>
  <c r="R5440" i="19"/>
  <c r="F1103" i="19"/>
  <c r="H1103" i="19"/>
  <c r="F5531" i="19"/>
  <c r="H5531" i="19"/>
  <c r="F750" i="19"/>
  <c r="H750" i="19"/>
  <c r="R4675" i="19"/>
  <c r="F5372" i="19"/>
  <c r="H5372" i="19"/>
  <c r="F5334" i="19"/>
  <c r="H5334" i="19"/>
  <c r="Q5334" i="19"/>
  <c r="R5334" i="19"/>
  <c r="F5388" i="19"/>
  <c r="H5388" i="19"/>
  <c r="Q5388" i="19"/>
  <c r="R5388" i="19"/>
  <c r="R4737" i="19"/>
  <c r="F5220" i="19"/>
  <c r="H5220" i="19"/>
  <c r="Q5220" i="19"/>
  <c r="R4016" i="19"/>
  <c r="F5512" i="19"/>
  <c r="H5512" i="19"/>
  <c r="Q5512" i="19"/>
  <c r="R5512" i="19"/>
  <c r="F1400" i="19"/>
  <c r="H1400" i="19"/>
  <c r="Q1400" i="19"/>
  <c r="R1400" i="19"/>
  <c r="F5587" i="19"/>
  <c r="H5587" i="19"/>
  <c r="Q5587" i="19"/>
  <c r="R5587" i="19"/>
  <c r="F5123" i="19"/>
  <c r="H5123" i="19"/>
  <c r="F1548" i="19"/>
  <c r="H1548" i="19"/>
  <c r="R4302" i="19"/>
  <c r="F683" i="19"/>
  <c r="H683" i="19"/>
  <c r="Q683" i="19"/>
  <c r="R683" i="19"/>
  <c r="F5156" i="19"/>
  <c r="H5156" i="19"/>
  <c r="Q5156" i="19"/>
  <c r="R5156" i="19"/>
  <c r="R4389" i="19"/>
  <c r="F5595" i="19"/>
  <c r="H5595" i="19"/>
  <c r="Q5595" i="19"/>
  <c r="R5595" i="19"/>
  <c r="F5177" i="19"/>
  <c r="H5177" i="19"/>
  <c r="R4001" i="19"/>
  <c r="R2290" i="19"/>
  <c r="F1510" i="19"/>
  <c r="H1510" i="19"/>
  <c r="Q1510" i="19"/>
  <c r="R1510" i="19"/>
  <c r="R4866" i="19"/>
  <c r="R3939" i="19"/>
  <c r="R4343" i="19"/>
  <c r="R2360" i="19"/>
  <c r="F1464" i="19"/>
  <c r="H1464" i="19"/>
  <c r="F678" i="19"/>
  <c r="H678" i="19"/>
  <c r="Q678" i="19"/>
  <c r="R678" i="19"/>
  <c r="F5632" i="19"/>
  <c r="H5632" i="19"/>
  <c r="F97" i="19"/>
  <c r="H97" i="19"/>
  <c r="R4552" i="19"/>
  <c r="R4872" i="19"/>
  <c r="F1250" i="19"/>
  <c r="H1250" i="19"/>
  <c r="F571" i="19"/>
  <c r="H571" i="19"/>
  <c r="F5607" i="19"/>
  <c r="H5607" i="19"/>
  <c r="F5414" i="19"/>
  <c r="H5414" i="19"/>
  <c r="Q5414" i="19"/>
  <c r="R5414" i="19"/>
  <c r="F5127" i="19"/>
  <c r="H5127" i="19"/>
  <c r="F5465" i="19"/>
  <c r="H5465" i="19"/>
  <c r="Q5465" i="19"/>
  <c r="R5465" i="19"/>
  <c r="F371" i="19"/>
  <c r="H371" i="19"/>
  <c r="F5576" i="19"/>
  <c r="H5576" i="19"/>
  <c r="R4755" i="19"/>
  <c r="R5046" i="19"/>
  <c r="F5420" i="19"/>
  <c r="H5420" i="19"/>
  <c r="Q5420" i="19"/>
  <c r="R5420" i="19"/>
  <c r="R4726" i="19"/>
  <c r="F5535" i="19"/>
  <c r="H5535" i="19"/>
  <c r="R3952" i="19"/>
  <c r="F5422" i="19"/>
  <c r="H5422" i="19"/>
  <c r="Q5422" i="19"/>
  <c r="R5422" i="19"/>
  <c r="R4816" i="19"/>
  <c r="F5257" i="19"/>
  <c r="H5257" i="19"/>
  <c r="Q5257" i="19"/>
  <c r="R5257" i="19"/>
  <c r="F5562" i="19"/>
  <c r="H5562" i="19"/>
  <c r="R5012" i="19"/>
  <c r="R4040" i="19"/>
  <c r="F1449" i="19"/>
  <c r="H1449" i="19"/>
  <c r="R4620" i="19"/>
  <c r="F5208" i="19"/>
  <c r="H5208" i="19"/>
  <c r="F1305" i="19"/>
  <c r="H1305" i="19"/>
  <c r="Q1305" i="19"/>
  <c r="R1305" i="19"/>
  <c r="F5358" i="19"/>
  <c r="H5358" i="19"/>
  <c r="Q5358" i="19"/>
  <c r="R5358" i="19"/>
  <c r="R5057" i="19"/>
  <c r="R3964" i="19"/>
  <c r="R4315" i="19"/>
  <c r="F5513" i="19"/>
  <c r="H5513" i="19"/>
  <c r="Q5513" i="19"/>
  <c r="F5195" i="19"/>
  <c r="H5195" i="19"/>
  <c r="Q5195" i="19"/>
  <c r="R5195" i="19"/>
  <c r="F713" i="19"/>
  <c r="H713" i="19"/>
  <c r="R4955" i="19"/>
  <c r="R4375" i="19"/>
  <c r="R2472" i="19"/>
  <c r="F124" i="19"/>
  <c r="H124" i="19"/>
  <c r="F5134" i="19"/>
  <c r="H5134" i="19"/>
  <c r="F5603" i="19"/>
  <c r="H5603" i="19"/>
  <c r="F5152" i="19"/>
  <c r="H5152" i="19"/>
  <c r="R4451" i="19"/>
  <c r="F1307" i="19"/>
  <c r="H1307" i="19"/>
  <c r="Q1307" i="19"/>
  <c r="R1307" i="19"/>
  <c r="F772" i="19"/>
  <c r="H772" i="19"/>
  <c r="Q772" i="19"/>
  <c r="R772" i="19"/>
  <c r="F5267" i="19"/>
  <c r="H5267" i="19"/>
  <c r="F1597" i="19"/>
  <c r="H1597" i="19"/>
  <c r="F5480" i="19"/>
  <c r="H5480" i="19"/>
  <c r="Q5480" i="19"/>
  <c r="R5480" i="19"/>
  <c r="F1353" i="19"/>
  <c r="H1353" i="19"/>
  <c r="F1783" i="19"/>
  <c r="H1783" i="19"/>
  <c r="R2191" i="19"/>
  <c r="F1452" i="19"/>
  <c r="H1452" i="19"/>
  <c r="R4772" i="19"/>
  <c r="R4213" i="19"/>
  <c r="F5581" i="19"/>
  <c r="H5581" i="19"/>
  <c r="R2456" i="19"/>
  <c r="F5633" i="19"/>
  <c r="H5633" i="19"/>
  <c r="Q5633" i="19"/>
  <c r="R5633" i="19"/>
  <c r="R4085" i="19"/>
  <c r="F1389" i="19"/>
  <c r="H1389" i="19"/>
  <c r="F5493" i="19"/>
  <c r="H5493" i="19"/>
  <c r="Q5493" i="19"/>
  <c r="R5493" i="19"/>
  <c r="F5143" i="19"/>
  <c r="H5143" i="19"/>
  <c r="Q5143" i="19"/>
  <c r="R5143" i="19"/>
  <c r="F1272" i="19"/>
  <c r="H1272" i="19"/>
  <c r="R2451" i="19"/>
  <c r="F1915" i="19"/>
  <c r="H1915" i="19"/>
  <c r="F3334" i="19"/>
  <c r="H3334" i="19"/>
  <c r="F3022" i="19"/>
  <c r="H3022" i="19"/>
  <c r="R4824" i="19"/>
  <c r="F1588" i="19"/>
  <c r="H1588" i="19"/>
  <c r="F1985" i="19"/>
  <c r="H1985" i="19"/>
  <c r="Q1985" i="19"/>
  <c r="R1985" i="19"/>
  <c r="F3600" i="19"/>
  <c r="H3600" i="19"/>
  <c r="F5856" i="19"/>
  <c r="H5856" i="19"/>
  <c r="R2041" i="19"/>
  <c r="R4119" i="19"/>
  <c r="F1413" i="19"/>
  <c r="H1413" i="19"/>
  <c r="F1862" i="19"/>
  <c r="H1862" i="19"/>
  <c r="R4759" i="19"/>
  <c r="F158" i="19"/>
  <c r="H158" i="19"/>
  <c r="Q158" i="19"/>
  <c r="R158" i="19"/>
  <c r="R4335" i="19"/>
  <c r="R2491" i="19"/>
  <c r="F1781" i="19"/>
  <c r="H1781" i="19"/>
  <c r="Q1781" i="19"/>
  <c r="R1781" i="19"/>
  <c r="F3465" i="19"/>
  <c r="H3465" i="19"/>
  <c r="F1618" i="19"/>
  <c r="H1618" i="19"/>
  <c r="Q1618" i="19"/>
  <c r="R1618" i="19"/>
  <c r="F5329" i="19"/>
  <c r="H5329" i="19"/>
  <c r="Q5329" i="19"/>
  <c r="R5329" i="19"/>
  <c r="F1636" i="19"/>
  <c r="H1636" i="19"/>
  <c r="Q1636" i="19"/>
  <c r="F1993" i="19"/>
  <c r="H1993" i="19"/>
  <c r="R4052" i="19"/>
  <c r="F1507" i="19"/>
  <c r="H1507" i="19"/>
  <c r="F1712" i="19"/>
  <c r="H1712" i="19"/>
  <c r="F1874" i="19"/>
  <c r="H1874" i="19"/>
  <c r="F3562" i="19"/>
  <c r="H3562" i="19"/>
  <c r="Q3562" i="19"/>
  <c r="R3562" i="19"/>
  <c r="R3102" i="19"/>
  <c r="F2992" i="19"/>
  <c r="H2992" i="19"/>
  <c r="F2772" i="19"/>
  <c r="H2772" i="19"/>
  <c r="F1278" i="19"/>
  <c r="H1278" i="19"/>
  <c r="F1863" i="19"/>
  <c r="H1863" i="19"/>
  <c r="F5762" i="19"/>
  <c r="H5762" i="19"/>
  <c r="F2893" i="19"/>
  <c r="H2893" i="19"/>
  <c r="Q2893" i="19"/>
  <c r="F1820" i="19"/>
  <c r="H1820" i="19"/>
  <c r="Q1820" i="19"/>
  <c r="R1820" i="19"/>
  <c r="F736" i="19"/>
  <c r="H736" i="19"/>
  <c r="Q736" i="19"/>
  <c r="R736" i="19"/>
  <c r="R4965" i="19"/>
  <c r="F587" i="19"/>
  <c r="H587" i="19"/>
  <c r="R4557" i="19"/>
  <c r="F610" i="19"/>
  <c r="H610" i="19"/>
  <c r="Q610" i="19"/>
  <c r="R610" i="19"/>
  <c r="R4587" i="19"/>
  <c r="F684" i="19"/>
  <c r="H684" i="19"/>
  <c r="F5427" i="19"/>
  <c r="H5427" i="19"/>
  <c r="Q5427" i="19"/>
  <c r="R5427" i="19"/>
  <c r="F5160" i="19"/>
  <c r="H5160" i="19"/>
  <c r="F5491" i="19"/>
  <c r="H5491" i="19"/>
  <c r="Q5491" i="19"/>
  <c r="R5491" i="19"/>
  <c r="F452" i="19"/>
  <c r="H452" i="19"/>
  <c r="F5585" i="19"/>
  <c r="H5585" i="19"/>
  <c r="R4788" i="19"/>
  <c r="F5079" i="19"/>
  <c r="H5079" i="19"/>
  <c r="Q5079" i="19"/>
  <c r="R5079" i="19"/>
  <c r="F5433" i="19"/>
  <c r="H5433" i="19"/>
  <c r="F5071" i="19"/>
  <c r="H5071" i="19"/>
  <c r="F5549" i="19"/>
  <c r="H5549" i="19"/>
  <c r="Q5549" i="19"/>
  <c r="F5461" i="19"/>
  <c r="H5461" i="19"/>
  <c r="Q5461" i="19"/>
  <c r="R5461" i="19"/>
  <c r="R4826" i="19"/>
  <c r="F5281" i="19"/>
  <c r="H5281" i="19"/>
  <c r="F5571" i="19"/>
  <c r="H5571" i="19"/>
  <c r="R4044" i="19"/>
  <c r="R4459" i="19"/>
  <c r="R2349" i="19"/>
  <c r="F1473" i="19"/>
  <c r="H1473" i="19"/>
  <c r="F5217" i="19"/>
  <c r="H5217" i="19"/>
  <c r="R4472" i="19"/>
  <c r="F1309" i="19"/>
  <c r="H1309" i="19"/>
  <c r="Q1309" i="19"/>
  <c r="F1261" i="19"/>
  <c r="H1261" i="19"/>
  <c r="Q1261" i="19"/>
  <c r="F1262" i="19"/>
  <c r="H1262" i="19"/>
  <c r="Q1262" i="19"/>
  <c r="F1263" i="19"/>
  <c r="H1263" i="19"/>
  <c r="Q1263" i="19"/>
  <c r="F1265" i="19"/>
  <c r="H1265" i="19"/>
  <c r="Q1265" i="19"/>
  <c r="F1266" i="19"/>
  <c r="H1266" i="19"/>
  <c r="Q1266" i="19"/>
  <c r="F1268" i="19"/>
  <c r="H1268" i="19"/>
  <c r="Q1268" i="19"/>
  <c r="F1269" i="19"/>
  <c r="H1269" i="19"/>
  <c r="Q1269" i="19"/>
  <c r="F1270" i="19"/>
  <c r="H1270" i="19"/>
  <c r="Q1270" i="19"/>
  <c r="F1271" i="19"/>
  <c r="H1271" i="19"/>
  <c r="Q1271" i="19"/>
  <c r="Q1272" i="19"/>
  <c r="F1273" i="19"/>
  <c r="H1273" i="19"/>
  <c r="Q1273" i="19"/>
  <c r="F1274" i="19"/>
  <c r="H1274" i="19"/>
  <c r="Q1274" i="19"/>
  <c r="F1275" i="19"/>
  <c r="H1275" i="19"/>
  <c r="Q1275" i="19"/>
  <c r="F1276" i="19"/>
  <c r="H1276" i="19"/>
  <c r="Q1276" i="19"/>
  <c r="F1277" i="19"/>
  <c r="H1277" i="19"/>
  <c r="Q1277" i="19"/>
  <c r="Q1278" i="19"/>
  <c r="F1279" i="19"/>
  <c r="H1279" i="19"/>
  <c r="Q1279" i="19"/>
  <c r="F1280" i="19"/>
  <c r="H1280" i="19"/>
  <c r="Q1280" i="19"/>
  <c r="F1281" i="19"/>
  <c r="H1281" i="19"/>
  <c r="Q1281" i="19"/>
  <c r="F1282" i="19"/>
  <c r="H1282" i="19"/>
  <c r="Q1282" i="19"/>
  <c r="F1283" i="19"/>
  <c r="H1283" i="19"/>
  <c r="Q1283" i="19"/>
  <c r="F1284" i="19"/>
  <c r="H1284" i="19"/>
  <c r="Q1284" i="19"/>
  <c r="F1285" i="19"/>
  <c r="H1285" i="19"/>
  <c r="Q1285" i="19"/>
  <c r="F1286" i="19"/>
  <c r="H1286" i="19"/>
  <c r="Q1286" i="19"/>
  <c r="F1288" i="19"/>
  <c r="H1288" i="19"/>
  <c r="Q1288" i="19"/>
  <c r="F1289" i="19"/>
  <c r="H1289" i="19"/>
  <c r="Q1289" i="19"/>
  <c r="F1290" i="19"/>
  <c r="H1290" i="19"/>
  <c r="Q1290" i="19"/>
  <c r="F1292" i="19"/>
  <c r="H1292" i="19"/>
  <c r="Q1292" i="19"/>
  <c r="F1293" i="19"/>
  <c r="H1293" i="19"/>
  <c r="Q1293" i="19"/>
  <c r="F1294" i="19"/>
  <c r="H1294" i="19"/>
  <c r="Q1294" i="19"/>
  <c r="F1295" i="19"/>
  <c r="H1295" i="19"/>
  <c r="Q1295" i="19"/>
  <c r="F1296" i="19"/>
  <c r="H1296" i="19"/>
  <c r="Q1296" i="19"/>
  <c r="F1297" i="19"/>
  <c r="H1297" i="19"/>
  <c r="Q1297" i="19"/>
  <c r="F1298" i="19"/>
  <c r="H1298" i="19"/>
  <c r="Q1298" i="19"/>
  <c r="F1300" i="19"/>
  <c r="H1300" i="19"/>
  <c r="Q1300" i="19"/>
  <c r="F1301" i="19"/>
  <c r="H1301" i="19"/>
  <c r="Q1301" i="19"/>
  <c r="F1302" i="19"/>
  <c r="H1302" i="19"/>
  <c r="Q1302" i="19"/>
  <c r="F1303" i="19"/>
  <c r="H1303" i="19"/>
  <c r="Q1303" i="19"/>
  <c r="F1304" i="19"/>
  <c r="H1304" i="19"/>
  <c r="Q1304" i="19"/>
  <c r="Q1306" i="19"/>
  <c r="Q1308" i="19"/>
  <c r="F1310" i="19"/>
  <c r="H1310" i="19"/>
  <c r="Q1310" i="19"/>
  <c r="F1311" i="19"/>
  <c r="H1311" i="19"/>
  <c r="Q1311" i="19"/>
  <c r="F1312" i="19"/>
  <c r="H1312" i="19"/>
  <c r="Q1312" i="19"/>
  <c r="F1313" i="19"/>
  <c r="H1313" i="19"/>
  <c r="Q1313" i="19"/>
  <c r="F1314" i="19"/>
  <c r="H1314" i="19"/>
  <c r="Q1314" i="19"/>
  <c r="F1315" i="19"/>
  <c r="H1315" i="19"/>
  <c r="Q1315" i="19"/>
  <c r="F1316" i="19"/>
  <c r="H1316" i="19"/>
  <c r="Q1316" i="19"/>
  <c r="F1317" i="19"/>
  <c r="H1317" i="19"/>
  <c r="Q1317" i="19"/>
  <c r="F1318" i="19"/>
  <c r="H1318" i="19"/>
  <c r="Q1318" i="19"/>
  <c r="F1319" i="19"/>
  <c r="H1319" i="19"/>
  <c r="Q1319" i="19"/>
  <c r="F1320" i="19"/>
  <c r="H1320" i="19"/>
  <c r="Q1320" i="19"/>
  <c r="F1321" i="19"/>
  <c r="H1321" i="19"/>
  <c r="Q1321" i="19"/>
  <c r="F1322" i="19"/>
  <c r="H1322" i="19"/>
  <c r="Q1322" i="19"/>
  <c r="F1323" i="19"/>
  <c r="H1323" i="19"/>
  <c r="Q1323" i="19"/>
  <c r="F1324" i="19"/>
  <c r="H1324" i="19"/>
  <c r="Q1324" i="19"/>
  <c r="F1325" i="19"/>
  <c r="H1325" i="19"/>
  <c r="Q1325" i="19"/>
  <c r="F1326" i="19"/>
  <c r="H1326" i="19"/>
  <c r="Q1326" i="19"/>
  <c r="F1327" i="19"/>
  <c r="H1327" i="19"/>
  <c r="Q1327" i="19"/>
  <c r="Q1328" i="19"/>
  <c r="F1329" i="19"/>
  <c r="H1329" i="19"/>
  <c r="Q1329" i="19"/>
  <c r="Q1330" i="19"/>
  <c r="F1331" i="19"/>
  <c r="H1331" i="19"/>
  <c r="Q1331" i="19"/>
  <c r="F1332" i="19"/>
  <c r="H1332" i="19"/>
  <c r="Q1332" i="19"/>
  <c r="F1333" i="19"/>
  <c r="H1333" i="19"/>
  <c r="Q1333" i="19"/>
  <c r="F1334" i="19"/>
  <c r="H1334" i="19"/>
  <c r="Q1334" i="19"/>
  <c r="F1335" i="19"/>
  <c r="H1335" i="19"/>
  <c r="Q1335" i="19"/>
  <c r="F1336" i="19"/>
  <c r="H1336" i="19"/>
  <c r="Q1336" i="19"/>
  <c r="F1337" i="19"/>
  <c r="H1337" i="19"/>
  <c r="Q1337" i="19"/>
  <c r="F1338" i="19"/>
  <c r="H1338" i="19"/>
  <c r="Q1338" i="19"/>
  <c r="F1339" i="19"/>
  <c r="H1339" i="19"/>
  <c r="Q1339" i="19"/>
  <c r="F1340" i="19"/>
  <c r="H1340" i="19"/>
  <c r="Q1340" i="19"/>
  <c r="F1341" i="19"/>
  <c r="H1341" i="19"/>
  <c r="Q1341" i="19"/>
  <c r="F1342" i="19"/>
  <c r="H1342" i="19"/>
  <c r="Q1342" i="19"/>
  <c r="F1343" i="19"/>
  <c r="H1343" i="19"/>
  <c r="Q1343" i="19"/>
  <c r="F1344" i="19"/>
  <c r="H1344" i="19"/>
  <c r="Q1344" i="19"/>
  <c r="F1345" i="19"/>
  <c r="H1345" i="19"/>
  <c r="Q1345" i="19"/>
  <c r="F1346" i="19"/>
  <c r="H1346" i="19"/>
  <c r="Q1346" i="19"/>
  <c r="F1347" i="19"/>
  <c r="H1347" i="19"/>
  <c r="Q1347" i="19"/>
  <c r="F1348" i="19"/>
  <c r="H1348" i="19"/>
  <c r="Q1348" i="19"/>
  <c r="F1349" i="19"/>
  <c r="H1349" i="19"/>
  <c r="Q1349" i="19"/>
  <c r="F1350" i="19"/>
  <c r="H1350" i="19"/>
  <c r="Q1350" i="19"/>
  <c r="F1351" i="19"/>
  <c r="H1351" i="19"/>
  <c r="Q1351" i="19"/>
  <c r="F1352" i="19"/>
  <c r="H1352" i="19"/>
  <c r="Q1352" i="19"/>
  <c r="Q1353" i="19"/>
  <c r="F1354" i="19"/>
  <c r="H1354" i="19"/>
  <c r="Q1354" i="19"/>
  <c r="Q1355" i="19"/>
  <c r="F1356" i="19"/>
  <c r="H1356" i="19"/>
  <c r="Q1356" i="19"/>
  <c r="Q1357" i="19"/>
  <c r="F1358" i="19"/>
  <c r="H1358" i="19"/>
  <c r="Q1358" i="19"/>
  <c r="F1359" i="19"/>
  <c r="H1359" i="19"/>
  <c r="Q1359" i="19"/>
  <c r="F1360" i="19"/>
  <c r="H1360" i="19"/>
  <c r="Q1360" i="19"/>
  <c r="F1361" i="19"/>
  <c r="H1361" i="19"/>
  <c r="Q1361" i="19"/>
  <c r="F1362" i="19"/>
  <c r="H1362" i="19"/>
  <c r="Q1362" i="19"/>
  <c r="F1363" i="19"/>
  <c r="H1363" i="19"/>
  <c r="Q1363" i="19"/>
  <c r="F1364" i="19"/>
  <c r="H1364" i="19"/>
  <c r="Q1364" i="19"/>
  <c r="F1365" i="19"/>
  <c r="H1365" i="19"/>
  <c r="Q1365" i="19"/>
  <c r="F1366" i="19"/>
  <c r="H1366" i="19"/>
  <c r="Q1366" i="19"/>
  <c r="Q1367" i="19"/>
  <c r="F1368" i="19"/>
  <c r="H1368" i="19"/>
  <c r="Q1368" i="19"/>
  <c r="F1369" i="19"/>
  <c r="H1369" i="19"/>
  <c r="Q1369" i="19"/>
  <c r="F1370" i="19"/>
  <c r="H1370" i="19"/>
  <c r="Q1370" i="19"/>
  <c r="Q1371" i="19"/>
  <c r="Q1372" i="19"/>
  <c r="F1373" i="19"/>
  <c r="H1373" i="19"/>
  <c r="Q1373" i="19"/>
  <c r="F1374" i="19"/>
  <c r="H1374" i="19"/>
  <c r="Q1374" i="19"/>
  <c r="F1375" i="19"/>
  <c r="H1375" i="19"/>
  <c r="Q1375" i="19"/>
  <c r="F1376" i="19"/>
  <c r="H1376" i="19"/>
  <c r="Q1376" i="19"/>
  <c r="F1377" i="19"/>
  <c r="H1377" i="19"/>
  <c r="Q1377" i="19"/>
  <c r="F1378" i="19"/>
  <c r="H1378" i="19"/>
  <c r="Q1378" i="19"/>
  <c r="Q1379" i="19"/>
  <c r="F1380" i="19"/>
  <c r="H1380" i="19"/>
  <c r="Q1380" i="19"/>
  <c r="F1381" i="19"/>
  <c r="H1381" i="19"/>
  <c r="Q1381" i="19"/>
  <c r="F1382" i="19"/>
  <c r="H1382" i="19"/>
  <c r="Q1382" i="19"/>
  <c r="F1383" i="19"/>
  <c r="H1383" i="19"/>
  <c r="Q1383" i="19"/>
  <c r="F1385" i="19"/>
  <c r="H1385" i="19"/>
  <c r="Q1385" i="19"/>
  <c r="F1386" i="19"/>
  <c r="H1386" i="19"/>
  <c r="Q1386" i="19"/>
  <c r="F1387" i="19"/>
  <c r="H1387" i="19"/>
  <c r="Q1387" i="19"/>
  <c r="Q1388" i="19"/>
  <c r="Q1389" i="19"/>
  <c r="F1390" i="19"/>
  <c r="H1390" i="19"/>
  <c r="Q1390" i="19"/>
  <c r="F1391" i="19"/>
  <c r="H1391" i="19"/>
  <c r="Q1391" i="19"/>
  <c r="Q1392" i="19"/>
  <c r="F1393" i="19"/>
  <c r="H1393" i="19"/>
  <c r="Q1393" i="19"/>
  <c r="Q1394" i="19"/>
  <c r="F1395" i="19"/>
  <c r="H1395" i="19"/>
  <c r="Q1395" i="19"/>
  <c r="Q1397" i="19"/>
  <c r="F1398" i="19"/>
  <c r="H1398" i="19"/>
  <c r="Q1398" i="19"/>
  <c r="F1399" i="19"/>
  <c r="H1399" i="19"/>
  <c r="Q1399" i="19"/>
  <c r="F1402" i="19"/>
  <c r="H1402" i="19"/>
  <c r="Q1402" i="19"/>
  <c r="F1403" i="19"/>
  <c r="H1403" i="19"/>
  <c r="Q1403" i="19"/>
  <c r="F1404" i="19"/>
  <c r="H1404" i="19"/>
  <c r="Q1404" i="19"/>
  <c r="Q1406" i="19"/>
  <c r="F1407" i="19"/>
  <c r="H1407" i="19"/>
  <c r="Q1407" i="19"/>
  <c r="F1409" i="19"/>
  <c r="H1409" i="19"/>
  <c r="Q1409" i="19"/>
  <c r="F1410" i="19"/>
  <c r="H1410" i="19"/>
  <c r="Q1410" i="19"/>
  <c r="F1411" i="19"/>
  <c r="H1411" i="19"/>
  <c r="Q1411" i="19"/>
  <c r="F1412" i="19"/>
  <c r="H1412" i="19"/>
  <c r="Q1412" i="19"/>
  <c r="Q1413" i="19"/>
  <c r="F1414" i="19"/>
  <c r="H1414" i="19"/>
  <c r="Q1414" i="19"/>
  <c r="F1415" i="19"/>
  <c r="H1415" i="19"/>
  <c r="Q1415" i="19"/>
  <c r="F1416" i="19"/>
  <c r="H1416" i="19"/>
  <c r="Q1416" i="19"/>
  <c r="Q1417" i="19"/>
  <c r="F1418" i="19"/>
  <c r="H1418" i="19"/>
  <c r="Q1418" i="19"/>
  <c r="F1419" i="19"/>
  <c r="H1419" i="19"/>
  <c r="Q1419" i="19"/>
  <c r="F1420" i="19"/>
  <c r="H1420" i="19"/>
  <c r="Q1420" i="19"/>
  <c r="Q1421" i="19"/>
  <c r="Q1422" i="19"/>
  <c r="F1423" i="19"/>
  <c r="H1423" i="19"/>
  <c r="Q1423" i="19"/>
  <c r="F1424" i="19"/>
  <c r="H1424" i="19"/>
  <c r="Q1424" i="19"/>
  <c r="Q1425" i="19"/>
  <c r="F1426" i="19"/>
  <c r="H1426" i="19"/>
  <c r="Q1426" i="19"/>
  <c r="F1428" i="19"/>
  <c r="H1428" i="19"/>
  <c r="Q1428" i="19"/>
  <c r="F1429" i="19"/>
  <c r="H1429" i="19"/>
  <c r="Q1429" i="19"/>
  <c r="F1430" i="19"/>
  <c r="H1430" i="19"/>
  <c r="Q1430" i="19"/>
  <c r="F1431" i="19"/>
  <c r="H1431" i="19"/>
  <c r="Q1431" i="19"/>
  <c r="F1432" i="19"/>
  <c r="H1432" i="19"/>
  <c r="Q1432" i="19"/>
  <c r="Q1433" i="19"/>
  <c r="F1435" i="19"/>
  <c r="H1435" i="19"/>
  <c r="Q1435" i="19"/>
  <c r="F1436" i="19"/>
  <c r="H1436" i="19"/>
  <c r="Q1436" i="19"/>
  <c r="Q1437" i="19"/>
  <c r="Q1438" i="19"/>
  <c r="F1439" i="19"/>
  <c r="H1439" i="19"/>
  <c r="Q1439" i="19"/>
  <c r="F1440" i="19"/>
  <c r="H1440" i="19"/>
  <c r="Q1440" i="19"/>
  <c r="F1442" i="19"/>
  <c r="H1442" i="19"/>
  <c r="Q1442" i="19"/>
  <c r="Q1444" i="19"/>
  <c r="F1445" i="19"/>
  <c r="H1445" i="19"/>
  <c r="Q1445" i="19"/>
  <c r="F1446" i="19"/>
  <c r="H1446" i="19"/>
  <c r="Q1446" i="19"/>
  <c r="F1448" i="19"/>
  <c r="H1448" i="19"/>
  <c r="Q1448" i="19"/>
  <c r="Q1449" i="19"/>
  <c r="F1450" i="19"/>
  <c r="H1450" i="19"/>
  <c r="Q1450" i="19"/>
  <c r="F1451" i="19"/>
  <c r="H1451" i="19"/>
  <c r="Q1451" i="19"/>
  <c r="Q1452" i="19"/>
  <c r="F1454" i="19"/>
  <c r="H1454" i="19"/>
  <c r="Q1454" i="19"/>
  <c r="Q1455" i="19"/>
  <c r="F1456" i="19"/>
  <c r="H1456" i="19"/>
  <c r="Q1456" i="19"/>
  <c r="F1457" i="19"/>
  <c r="H1457" i="19"/>
  <c r="Q1457" i="19"/>
  <c r="Q1458" i="19"/>
  <c r="F1459" i="19"/>
  <c r="H1459" i="19"/>
  <c r="Q1459" i="19"/>
  <c r="F1460" i="19"/>
  <c r="H1460" i="19"/>
  <c r="Q1460" i="19"/>
  <c r="Q1461" i="19"/>
  <c r="F1462" i="19"/>
  <c r="H1462" i="19"/>
  <c r="Q1462" i="19"/>
  <c r="F1463" i="19"/>
  <c r="H1463" i="19"/>
  <c r="Q1463" i="19"/>
  <c r="Q1464" i="19"/>
  <c r="F1465" i="19"/>
  <c r="H1465" i="19"/>
  <c r="Q1465" i="19"/>
  <c r="F1466" i="19"/>
  <c r="H1466" i="19"/>
  <c r="Q1466" i="19"/>
  <c r="F1467" i="19"/>
  <c r="H1467" i="19"/>
  <c r="Q1467" i="19"/>
  <c r="F1468" i="19"/>
  <c r="H1468" i="19"/>
  <c r="Q1468" i="19"/>
  <c r="Q1469" i="19"/>
  <c r="F1471" i="19"/>
  <c r="H1471" i="19"/>
  <c r="Q1471" i="19"/>
  <c r="Q1472" i="19"/>
  <c r="Q1473" i="19"/>
  <c r="F1474" i="19"/>
  <c r="H1474" i="19"/>
  <c r="Q1474" i="19"/>
  <c r="F1475" i="19"/>
  <c r="H1475" i="19"/>
  <c r="Q1475" i="19"/>
  <c r="F1477" i="19"/>
  <c r="H1477" i="19"/>
  <c r="Q1477" i="19"/>
  <c r="Q1478" i="19"/>
  <c r="F1479" i="19"/>
  <c r="H1479" i="19"/>
  <c r="Q1479" i="19"/>
  <c r="F1480" i="19"/>
  <c r="H1480" i="19"/>
  <c r="Q1480" i="19"/>
  <c r="F1481" i="19"/>
  <c r="H1481" i="19"/>
  <c r="Q1481" i="19"/>
  <c r="F1482" i="19"/>
  <c r="H1482" i="19"/>
  <c r="Q1482" i="19"/>
  <c r="F1483" i="19"/>
  <c r="H1483" i="19"/>
  <c r="Q1483" i="19"/>
  <c r="F1484" i="19"/>
  <c r="H1484" i="19"/>
  <c r="Q1484" i="19"/>
  <c r="F1485" i="19"/>
  <c r="H1485" i="19"/>
  <c r="Q1485" i="19"/>
  <c r="F1486" i="19"/>
  <c r="H1486" i="19"/>
  <c r="Q1486" i="19"/>
  <c r="F1487" i="19"/>
  <c r="H1487" i="19"/>
  <c r="Q1487" i="19"/>
  <c r="F1488" i="19"/>
  <c r="H1488" i="19"/>
  <c r="Q1488" i="19"/>
  <c r="F1489" i="19"/>
  <c r="H1489" i="19"/>
  <c r="Q1489" i="19"/>
  <c r="F1490" i="19"/>
  <c r="H1490" i="19"/>
  <c r="Q1490" i="19"/>
  <c r="F1491" i="19"/>
  <c r="H1491" i="19"/>
  <c r="Q1491" i="19"/>
  <c r="F1492" i="19"/>
  <c r="H1492" i="19"/>
  <c r="Q1492" i="19"/>
  <c r="F1493" i="19"/>
  <c r="H1493" i="19"/>
  <c r="Q1493" i="19"/>
  <c r="F1494" i="19"/>
  <c r="H1494" i="19"/>
  <c r="Q1494" i="19"/>
  <c r="F1495" i="19"/>
  <c r="H1495" i="19"/>
  <c r="Q1495" i="19"/>
  <c r="F1496" i="19"/>
  <c r="H1496" i="19"/>
  <c r="Q1496" i="19"/>
  <c r="F1497" i="19"/>
  <c r="H1497" i="19"/>
  <c r="Q1497" i="19"/>
  <c r="F1498" i="19"/>
  <c r="H1498" i="19"/>
  <c r="Q1498" i="19"/>
  <c r="F1499" i="19"/>
  <c r="H1499" i="19"/>
  <c r="Q1499" i="19"/>
  <c r="F1500" i="19"/>
  <c r="H1500" i="19"/>
  <c r="Q1500" i="19"/>
  <c r="F1501" i="19"/>
  <c r="H1501" i="19"/>
  <c r="Q1501" i="19"/>
  <c r="F1502" i="19"/>
  <c r="H1502" i="19"/>
  <c r="Q1502" i="19"/>
  <c r="F1503" i="19"/>
  <c r="H1503" i="19"/>
  <c r="Q1503" i="19"/>
  <c r="F1504" i="19"/>
  <c r="H1504" i="19"/>
  <c r="Q1504" i="19"/>
  <c r="F1505" i="19"/>
  <c r="H1505" i="19"/>
  <c r="Q1505" i="19"/>
  <c r="F1506" i="19"/>
  <c r="H1506" i="19"/>
  <c r="Q1506" i="19"/>
  <c r="Q1507" i="19"/>
  <c r="F1508" i="19"/>
  <c r="H1508" i="19"/>
  <c r="Q1508" i="19"/>
  <c r="F1509" i="19"/>
  <c r="H1509" i="19"/>
  <c r="Q1509" i="19"/>
  <c r="Q1511" i="19"/>
  <c r="F1512" i="19"/>
  <c r="H1512" i="19"/>
  <c r="Q1512" i="19"/>
  <c r="F1513" i="19"/>
  <c r="H1513" i="19"/>
  <c r="Q1513" i="19"/>
  <c r="F1514" i="19"/>
  <c r="H1514" i="19"/>
  <c r="Q1514" i="19"/>
  <c r="F1515" i="19"/>
  <c r="H1515" i="19"/>
  <c r="Q1515" i="19"/>
  <c r="F1516" i="19"/>
  <c r="H1516" i="19"/>
  <c r="Q1516" i="19"/>
  <c r="F1517" i="19"/>
  <c r="H1517" i="19"/>
  <c r="Q1517" i="19"/>
  <c r="F1518" i="19"/>
  <c r="H1518" i="19"/>
  <c r="Q1518" i="19"/>
  <c r="F1519" i="19"/>
  <c r="H1519" i="19"/>
  <c r="Q1519" i="19"/>
  <c r="F1520" i="19"/>
  <c r="H1520" i="19"/>
  <c r="Q1520" i="19"/>
  <c r="F1521" i="19"/>
  <c r="H1521" i="19"/>
  <c r="Q1521" i="19"/>
  <c r="F1522" i="19"/>
  <c r="H1522" i="19"/>
  <c r="Q1522" i="19"/>
  <c r="F1523" i="19"/>
  <c r="H1523" i="19"/>
  <c r="Q1523" i="19"/>
  <c r="Q1524" i="19"/>
  <c r="F1525" i="19"/>
  <c r="H1525" i="19"/>
  <c r="Q1525" i="19"/>
  <c r="F1526" i="19"/>
  <c r="H1526" i="19"/>
  <c r="Q1526" i="19"/>
  <c r="Q1527" i="19"/>
  <c r="F1528" i="19"/>
  <c r="H1528" i="19"/>
  <c r="Q1528" i="19"/>
  <c r="F1530" i="19"/>
  <c r="H1530" i="19"/>
  <c r="Q1530" i="19"/>
  <c r="F1531" i="19"/>
  <c r="H1531" i="19"/>
  <c r="Q1531" i="19"/>
  <c r="F1532" i="19"/>
  <c r="H1532" i="19"/>
  <c r="Q1532" i="19"/>
  <c r="F1533" i="19"/>
  <c r="H1533" i="19"/>
  <c r="Q1533" i="19"/>
  <c r="F1534" i="19"/>
  <c r="H1534" i="19"/>
  <c r="Q1534" i="19"/>
  <c r="F1535" i="19"/>
  <c r="H1535" i="19"/>
  <c r="Q1535" i="19"/>
  <c r="F1536" i="19"/>
  <c r="H1536" i="19"/>
  <c r="Q1536" i="19"/>
  <c r="F1537" i="19"/>
  <c r="H1537" i="19"/>
  <c r="Q1537" i="19"/>
  <c r="F1538" i="19"/>
  <c r="H1538" i="19"/>
  <c r="Q1538" i="19"/>
  <c r="F1539" i="19"/>
  <c r="H1539" i="19"/>
  <c r="Q1539" i="19"/>
  <c r="F1540" i="19"/>
  <c r="H1540" i="19"/>
  <c r="Q1540" i="19"/>
  <c r="F1541" i="19"/>
  <c r="H1541" i="19"/>
  <c r="Q1541" i="19"/>
  <c r="F1542" i="19"/>
  <c r="H1542" i="19"/>
  <c r="Q1542" i="19"/>
  <c r="F1543" i="19"/>
  <c r="H1543" i="19"/>
  <c r="Q1543" i="19"/>
  <c r="F1544" i="19"/>
  <c r="H1544" i="19"/>
  <c r="Q1544" i="19"/>
  <c r="F1545" i="19"/>
  <c r="H1545" i="19"/>
  <c r="Q1545" i="19"/>
  <c r="Q1546" i="19"/>
  <c r="Q1547" i="19"/>
  <c r="Q1548" i="19"/>
  <c r="F1549" i="19"/>
  <c r="H1549" i="19"/>
  <c r="Q1549" i="19"/>
  <c r="F1550" i="19"/>
  <c r="H1550" i="19"/>
  <c r="Q1550" i="19"/>
  <c r="F1551" i="19"/>
  <c r="H1551" i="19"/>
  <c r="Q1551" i="19"/>
  <c r="F1552" i="19"/>
  <c r="H1552" i="19"/>
  <c r="Q1552" i="19"/>
  <c r="F1553" i="19"/>
  <c r="H1553" i="19"/>
  <c r="Q1553" i="19"/>
  <c r="F1554" i="19"/>
  <c r="H1554" i="19"/>
  <c r="Q1554" i="19"/>
  <c r="F1555" i="19"/>
  <c r="H1555" i="19"/>
  <c r="Q1555" i="19"/>
  <c r="Q1556" i="19"/>
  <c r="F1557" i="19"/>
  <c r="H1557" i="19"/>
  <c r="Q1557" i="19"/>
  <c r="F1558" i="19"/>
  <c r="H1558" i="19"/>
  <c r="Q1558" i="19"/>
  <c r="F1559" i="19"/>
  <c r="H1559" i="19"/>
  <c r="Q1559" i="19"/>
  <c r="F1562" i="19"/>
  <c r="H1562" i="19"/>
  <c r="Q1562" i="19"/>
  <c r="F1563" i="19"/>
  <c r="H1563" i="19"/>
  <c r="Q1563" i="19"/>
  <c r="F1564" i="19"/>
  <c r="H1564" i="19"/>
  <c r="Q1564" i="19"/>
  <c r="F1565" i="19"/>
  <c r="H1565" i="19"/>
  <c r="Q1565" i="19"/>
  <c r="F1567" i="19"/>
  <c r="H1567" i="19"/>
  <c r="Q1567" i="19"/>
  <c r="F1568" i="19"/>
  <c r="H1568" i="19"/>
  <c r="Q1568" i="19"/>
  <c r="F1569" i="19"/>
  <c r="H1569" i="19"/>
  <c r="Q1569" i="19"/>
  <c r="F1570" i="19"/>
  <c r="H1570" i="19"/>
  <c r="Q1570" i="19"/>
  <c r="F1571" i="19"/>
  <c r="H1571" i="19"/>
  <c r="Q1571" i="19"/>
  <c r="F1572" i="19"/>
  <c r="H1572" i="19"/>
  <c r="Q1572" i="19"/>
  <c r="F1573" i="19"/>
  <c r="H1573" i="19"/>
  <c r="Q1573" i="19"/>
  <c r="F1575" i="19"/>
  <c r="H1575" i="19"/>
  <c r="Q1575" i="19"/>
  <c r="F1576" i="19"/>
  <c r="H1576" i="19"/>
  <c r="Q1576" i="19"/>
  <c r="F1577" i="19"/>
  <c r="H1577" i="19"/>
  <c r="Q1577" i="19"/>
  <c r="F1578" i="19"/>
  <c r="H1578" i="19"/>
  <c r="Q1578" i="19"/>
  <c r="F1579" i="19"/>
  <c r="H1579" i="19"/>
  <c r="Q1579" i="19"/>
  <c r="F1580" i="19"/>
  <c r="H1580" i="19"/>
  <c r="Q1580" i="19"/>
  <c r="F1581" i="19"/>
  <c r="H1581" i="19"/>
  <c r="Q1581" i="19"/>
  <c r="F1582" i="19"/>
  <c r="H1582" i="19"/>
  <c r="Q1582" i="19"/>
  <c r="F1583" i="19"/>
  <c r="H1583" i="19"/>
  <c r="Q1583" i="19"/>
  <c r="F1584" i="19"/>
  <c r="H1584" i="19"/>
  <c r="Q1584" i="19"/>
  <c r="F1585" i="19"/>
  <c r="H1585" i="19"/>
  <c r="Q1585" i="19"/>
  <c r="F1586" i="19"/>
  <c r="H1586" i="19"/>
  <c r="Q1586" i="19"/>
  <c r="Q1587" i="19"/>
  <c r="Q1588" i="19"/>
  <c r="F1589" i="19"/>
  <c r="H1589" i="19"/>
  <c r="Q1589" i="19"/>
  <c r="F1590" i="19"/>
  <c r="H1590" i="19"/>
  <c r="Q1590" i="19"/>
  <c r="F1592" i="19"/>
  <c r="H1592" i="19"/>
  <c r="Q1592" i="19"/>
  <c r="F1593" i="19"/>
  <c r="H1593" i="19"/>
  <c r="Q1593" i="19"/>
  <c r="Q1594" i="19"/>
  <c r="F1595" i="19"/>
  <c r="H1595" i="19"/>
  <c r="Q1595" i="19"/>
  <c r="F1596" i="19"/>
  <c r="H1596" i="19"/>
  <c r="Q1596" i="19"/>
  <c r="Q1597" i="19"/>
  <c r="F1598" i="19"/>
  <c r="H1598" i="19"/>
  <c r="Q1598" i="19"/>
  <c r="Q1599" i="19"/>
  <c r="F1600" i="19"/>
  <c r="H1600" i="19"/>
  <c r="Q1600" i="19"/>
  <c r="F1601" i="19"/>
  <c r="H1601" i="19"/>
  <c r="Q1601" i="19"/>
  <c r="F1602" i="19"/>
  <c r="H1602" i="19"/>
  <c r="Q1602" i="19"/>
  <c r="F1603" i="19"/>
  <c r="H1603" i="19"/>
  <c r="Q1603" i="19"/>
  <c r="F1605" i="19"/>
  <c r="H1605" i="19"/>
  <c r="Q1605" i="19"/>
  <c r="F1606" i="19"/>
  <c r="H1606" i="19"/>
  <c r="Q1606" i="19"/>
  <c r="F1608" i="19"/>
  <c r="H1608" i="19"/>
  <c r="Q1608" i="19"/>
  <c r="F1609" i="19"/>
  <c r="H1609" i="19"/>
  <c r="Q1609" i="19"/>
  <c r="Q1610" i="19"/>
  <c r="F1611" i="19"/>
  <c r="H1611" i="19"/>
  <c r="Q1611" i="19"/>
  <c r="F1612" i="19"/>
  <c r="H1612" i="19"/>
  <c r="Q1612" i="19"/>
  <c r="F1613" i="19"/>
  <c r="H1613" i="19"/>
  <c r="Q1613" i="19"/>
  <c r="F1614" i="19"/>
  <c r="H1614" i="19"/>
  <c r="Q1614" i="19"/>
  <c r="F1615" i="19"/>
  <c r="H1615" i="19"/>
  <c r="Q1615" i="19"/>
  <c r="F1616" i="19"/>
  <c r="H1616" i="19"/>
  <c r="Q1616" i="19"/>
  <c r="F1617" i="19"/>
  <c r="H1617" i="19"/>
  <c r="Q1617" i="19"/>
  <c r="F1619" i="19"/>
  <c r="H1619" i="19"/>
  <c r="Q1619" i="19"/>
  <c r="Q1620" i="19"/>
  <c r="F1621" i="19"/>
  <c r="H1621" i="19"/>
  <c r="Q1621" i="19"/>
  <c r="F1622" i="19"/>
  <c r="H1622" i="19"/>
  <c r="Q1622" i="19"/>
  <c r="Q1623" i="19"/>
  <c r="F1624" i="19"/>
  <c r="H1624" i="19"/>
  <c r="Q1624" i="19"/>
  <c r="F1625" i="19"/>
  <c r="H1625" i="19"/>
  <c r="Q1625" i="19"/>
  <c r="Q1626" i="19"/>
  <c r="F1627" i="19"/>
  <c r="H1627" i="19"/>
  <c r="Q1627" i="19"/>
  <c r="F1628" i="19"/>
  <c r="H1628" i="19"/>
  <c r="Q1628" i="19"/>
  <c r="F1629" i="19"/>
  <c r="H1629" i="19"/>
  <c r="Q1629" i="19"/>
  <c r="F1630" i="19"/>
  <c r="H1630" i="19"/>
  <c r="Q1630" i="19"/>
  <c r="F1631" i="19"/>
  <c r="H1631" i="19"/>
  <c r="Q1631" i="19"/>
  <c r="F1632" i="19"/>
  <c r="H1632" i="19"/>
  <c r="Q1632" i="19"/>
  <c r="F1633" i="19"/>
  <c r="H1633" i="19"/>
  <c r="Q1633" i="19"/>
  <c r="F1634" i="19"/>
  <c r="H1634" i="19"/>
  <c r="Q1634" i="19"/>
  <c r="F1635" i="19"/>
  <c r="H1635" i="19"/>
  <c r="Q1635" i="19"/>
  <c r="F1637" i="19"/>
  <c r="H1637" i="19"/>
  <c r="Q1637" i="19"/>
  <c r="F1638" i="19"/>
  <c r="H1638" i="19"/>
  <c r="Q1638" i="19"/>
  <c r="F1639" i="19"/>
  <c r="H1639" i="19"/>
  <c r="Q1639" i="19"/>
  <c r="F1641" i="19"/>
  <c r="H1641" i="19"/>
  <c r="Q1641" i="19"/>
  <c r="F1642" i="19"/>
  <c r="H1642" i="19"/>
  <c r="Q1642" i="19"/>
  <c r="Q1643" i="19"/>
  <c r="F1644" i="19"/>
  <c r="H1644" i="19"/>
  <c r="Q1644" i="19"/>
  <c r="F1645" i="19"/>
  <c r="H1645" i="19"/>
  <c r="Q1645" i="19"/>
  <c r="Q1646" i="19"/>
  <c r="F1647" i="19"/>
  <c r="H1647" i="19"/>
  <c r="Q1647" i="19"/>
  <c r="F1648" i="19"/>
  <c r="H1648" i="19"/>
  <c r="Q1648" i="19"/>
  <c r="F1649" i="19"/>
  <c r="H1649" i="19"/>
  <c r="Q1649" i="19"/>
  <c r="F1650" i="19"/>
  <c r="H1650" i="19"/>
  <c r="Q1650" i="19"/>
  <c r="F1651" i="19"/>
  <c r="H1651" i="19"/>
  <c r="Q1651" i="19"/>
  <c r="F1652" i="19"/>
  <c r="H1652" i="19"/>
  <c r="Q1652" i="19"/>
  <c r="F1653" i="19"/>
  <c r="H1653" i="19"/>
  <c r="Q1653" i="19"/>
  <c r="F1654" i="19"/>
  <c r="H1654" i="19"/>
  <c r="Q1654" i="19"/>
  <c r="F1655" i="19"/>
  <c r="H1655" i="19"/>
  <c r="Q1655" i="19"/>
  <c r="F1656" i="19"/>
  <c r="H1656" i="19"/>
  <c r="Q1656" i="19"/>
  <c r="F1657" i="19"/>
  <c r="H1657" i="19"/>
  <c r="Q1657" i="19"/>
  <c r="Q1658" i="19"/>
  <c r="F1659" i="19"/>
  <c r="H1659" i="19"/>
  <c r="Q1659" i="19"/>
  <c r="F1660" i="19"/>
  <c r="H1660" i="19"/>
  <c r="Q1660" i="19"/>
  <c r="F1661" i="19"/>
  <c r="H1661" i="19"/>
  <c r="Q1661" i="19"/>
  <c r="F1662" i="19"/>
  <c r="H1662" i="19"/>
  <c r="Q1662" i="19"/>
  <c r="Q1663" i="19"/>
  <c r="Q1664" i="19"/>
  <c r="F1665" i="19"/>
  <c r="H1665" i="19"/>
  <c r="Q1665" i="19"/>
  <c r="F1666" i="19"/>
  <c r="H1666" i="19"/>
  <c r="Q1666" i="19"/>
  <c r="Q1668" i="19"/>
  <c r="F1669" i="19"/>
  <c r="H1669" i="19"/>
  <c r="Q1669" i="19"/>
  <c r="F1670" i="19"/>
  <c r="H1670" i="19"/>
  <c r="Q1670" i="19"/>
  <c r="F1671" i="19"/>
  <c r="H1671" i="19"/>
  <c r="Q1671" i="19"/>
  <c r="F1672" i="19"/>
  <c r="H1672" i="19"/>
  <c r="Q1672" i="19"/>
  <c r="F1673" i="19"/>
  <c r="H1673" i="19"/>
  <c r="Q1673" i="19"/>
  <c r="F1674" i="19"/>
  <c r="H1674" i="19"/>
  <c r="Q1674" i="19"/>
  <c r="F1675" i="19"/>
  <c r="H1675" i="19"/>
  <c r="Q1675" i="19"/>
  <c r="F1676" i="19"/>
  <c r="H1676" i="19"/>
  <c r="Q1676" i="19"/>
  <c r="F1677" i="19"/>
  <c r="H1677" i="19"/>
  <c r="Q1677" i="19"/>
  <c r="F1678" i="19"/>
  <c r="H1678" i="19"/>
  <c r="Q1678" i="19"/>
  <c r="F1679" i="19"/>
  <c r="H1679" i="19"/>
  <c r="Q1679" i="19"/>
  <c r="F1680" i="19"/>
  <c r="H1680" i="19"/>
  <c r="Q1680" i="19"/>
  <c r="F1683" i="19"/>
  <c r="H1683" i="19"/>
  <c r="Q1683" i="19"/>
  <c r="F1684" i="19"/>
  <c r="H1684" i="19"/>
  <c r="Q1684" i="19"/>
  <c r="F1686" i="19"/>
  <c r="H1686" i="19"/>
  <c r="Q1686" i="19"/>
  <c r="Q1687" i="19"/>
  <c r="F1688" i="19"/>
  <c r="H1688" i="19"/>
  <c r="Q1688" i="19"/>
  <c r="F1689" i="19"/>
  <c r="H1689" i="19"/>
  <c r="Q1689" i="19"/>
  <c r="F1690" i="19"/>
  <c r="H1690" i="19"/>
  <c r="Q1690" i="19"/>
  <c r="F1691" i="19"/>
  <c r="H1691" i="19"/>
  <c r="Q1691" i="19"/>
  <c r="F1692" i="19"/>
  <c r="H1692" i="19"/>
  <c r="Q1692" i="19"/>
  <c r="F1693" i="19"/>
  <c r="H1693" i="19"/>
  <c r="Q1693" i="19"/>
  <c r="F1694" i="19"/>
  <c r="H1694" i="19"/>
  <c r="Q1694" i="19"/>
  <c r="F1695" i="19"/>
  <c r="H1695" i="19"/>
  <c r="Q1695" i="19"/>
  <c r="Q1696" i="19"/>
  <c r="F1697" i="19"/>
  <c r="H1697" i="19"/>
  <c r="Q1697" i="19"/>
  <c r="F1698" i="19"/>
  <c r="H1698" i="19"/>
  <c r="Q1698" i="19"/>
  <c r="F1699" i="19"/>
  <c r="H1699" i="19"/>
  <c r="Q1699" i="19"/>
  <c r="F1701" i="19"/>
  <c r="H1701" i="19"/>
  <c r="Q1701" i="19"/>
  <c r="F1702" i="19"/>
  <c r="H1702" i="19"/>
  <c r="Q1702" i="19"/>
  <c r="F1703" i="19"/>
  <c r="H1703" i="19"/>
  <c r="Q1703" i="19"/>
  <c r="F1704" i="19"/>
  <c r="H1704" i="19"/>
  <c r="Q1704" i="19"/>
  <c r="Q1705" i="19"/>
  <c r="F1706" i="19"/>
  <c r="H1706" i="19"/>
  <c r="Q1706" i="19"/>
  <c r="F1707" i="19"/>
  <c r="H1707" i="19"/>
  <c r="Q1707" i="19"/>
  <c r="F1708" i="19"/>
  <c r="H1708" i="19"/>
  <c r="Q1708" i="19"/>
  <c r="F1709" i="19"/>
  <c r="H1709" i="19"/>
  <c r="Q1709" i="19"/>
  <c r="F1710" i="19"/>
  <c r="H1710" i="19"/>
  <c r="Q1710" i="19"/>
  <c r="F1711" i="19"/>
  <c r="H1711" i="19"/>
  <c r="Q1711" i="19"/>
  <c r="Q1712" i="19"/>
  <c r="F1713" i="19"/>
  <c r="H1713" i="19"/>
  <c r="Q1713" i="19"/>
  <c r="F1714" i="19"/>
  <c r="H1714" i="19"/>
  <c r="Q1714" i="19"/>
  <c r="Q1715" i="19"/>
  <c r="F1716" i="19"/>
  <c r="H1716" i="19"/>
  <c r="Q1716" i="19"/>
  <c r="F1717" i="19"/>
  <c r="H1717" i="19"/>
  <c r="Q1717" i="19"/>
  <c r="F1718" i="19"/>
  <c r="H1718" i="19"/>
  <c r="Q1718" i="19"/>
  <c r="F1719" i="19"/>
  <c r="H1719" i="19"/>
  <c r="Q1719" i="19"/>
  <c r="F1721" i="19"/>
  <c r="H1721" i="19"/>
  <c r="Q1721" i="19"/>
  <c r="F1722" i="19"/>
  <c r="H1722" i="19"/>
  <c r="Q1722" i="19"/>
  <c r="Q1723" i="19"/>
  <c r="F1724" i="19"/>
  <c r="H1724" i="19"/>
  <c r="Q1724" i="19"/>
  <c r="F1725" i="19"/>
  <c r="H1725" i="19"/>
  <c r="Q1725" i="19"/>
  <c r="F1726" i="19"/>
  <c r="H1726" i="19"/>
  <c r="Q1726" i="19"/>
  <c r="Q1727" i="19"/>
  <c r="F1728" i="19"/>
  <c r="H1728" i="19"/>
  <c r="Q1728" i="19"/>
  <c r="F1729" i="19"/>
  <c r="H1729" i="19"/>
  <c r="Q1729" i="19"/>
  <c r="F1730" i="19"/>
  <c r="H1730" i="19"/>
  <c r="Q1730" i="19"/>
  <c r="F1731" i="19"/>
  <c r="H1731" i="19"/>
  <c r="Q1731" i="19"/>
  <c r="F1732" i="19"/>
  <c r="H1732" i="19"/>
  <c r="Q1732" i="19"/>
  <c r="Q1733" i="19"/>
  <c r="F1734" i="19"/>
  <c r="H1734" i="19"/>
  <c r="Q1734" i="19"/>
  <c r="F1735" i="19"/>
  <c r="H1735" i="19"/>
  <c r="Q1735" i="19"/>
  <c r="F1736" i="19"/>
  <c r="H1736" i="19"/>
  <c r="Q1736" i="19"/>
  <c r="F1737" i="19"/>
  <c r="H1737" i="19"/>
  <c r="Q1737" i="19"/>
  <c r="F1738" i="19"/>
  <c r="H1738" i="19"/>
  <c r="Q1738" i="19"/>
  <c r="F1739" i="19"/>
  <c r="H1739" i="19"/>
  <c r="Q1739" i="19"/>
  <c r="F1741" i="19"/>
  <c r="H1741" i="19"/>
  <c r="Q1741" i="19"/>
  <c r="F1742" i="19"/>
  <c r="H1742" i="19"/>
  <c r="Q1742" i="19"/>
  <c r="F1744" i="19"/>
  <c r="H1744" i="19"/>
  <c r="Q1744" i="19"/>
  <c r="F1745" i="19"/>
  <c r="H1745" i="19"/>
  <c r="Q1745" i="19"/>
  <c r="F1746" i="19"/>
  <c r="H1746" i="19"/>
  <c r="Q1746" i="19"/>
  <c r="Q1747" i="19"/>
  <c r="F1748" i="19"/>
  <c r="H1748" i="19"/>
  <c r="Q1748" i="19"/>
  <c r="F1749" i="19"/>
  <c r="H1749" i="19"/>
  <c r="Q1749" i="19"/>
  <c r="F1750" i="19"/>
  <c r="H1750" i="19"/>
  <c r="Q1750" i="19"/>
  <c r="F1751" i="19"/>
  <c r="H1751" i="19"/>
  <c r="Q1751" i="19"/>
  <c r="F1752" i="19"/>
  <c r="H1752" i="19"/>
  <c r="Q1752" i="19"/>
  <c r="F1753" i="19"/>
  <c r="H1753" i="19"/>
  <c r="Q1753" i="19"/>
  <c r="F1754" i="19"/>
  <c r="H1754" i="19"/>
  <c r="Q1754" i="19"/>
  <c r="F1755" i="19"/>
  <c r="H1755" i="19"/>
  <c r="Q1755" i="19"/>
  <c r="F1757" i="19"/>
  <c r="H1757" i="19"/>
  <c r="Q1757" i="19"/>
  <c r="F1758" i="19"/>
  <c r="H1758" i="19"/>
  <c r="Q1758" i="19"/>
  <c r="F1759" i="19"/>
  <c r="H1759" i="19"/>
  <c r="Q1759" i="19"/>
  <c r="F1760" i="19"/>
  <c r="H1760" i="19"/>
  <c r="Q1760" i="19"/>
  <c r="F1761" i="19"/>
  <c r="H1761" i="19"/>
  <c r="Q1761" i="19"/>
  <c r="F1762" i="19"/>
  <c r="H1762" i="19"/>
  <c r="Q1762" i="19"/>
  <c r="F1763" i="19"/>
  <c r="H1763" i="19"/>
  <c r="Q1763" i="19"/>
  <c r="F1764" i="19"/>
  <c r="H1764" i="19"/>
  <c r="Q1764" i="19"/>
  <c r="F1765" i="19"/>
  <c r="H1765" i="19"/>
  <c r="Q1765" i="19"/>
  <c r="F1766" i="19"/>
  <c r="H1766" i="19"/>
  <c r="Q1766" i="19"/>
  <c r="F1767" i="19"/>
  <c r="H1767" i="19"/>
  <c r="Q1767" i="19"/>
  <c r="Q1768" i="19"/>
  <c r="F1769" i="19"/>
  <c r="H1769" i="19"/>
  <c r="Q1769" i="19"/>
  <c r="F1770" i="19"/>
  <c r="H1770" i="19"/>
  <c r="Q1770" i="19"/>
  <c r="F1771" i="19"/>
  <c r="H1771" i="19"/>
  <c r="Q1771" i="19"/>
  <c r="Q1772" i="19"/>
  <c r="F1773" i="19"/>
  <c r="H1773" i="19"/>
  <c r="Q1773" i="19"/>
  <c r="F1774" i="19"/>
  <c r="H1774" i="19"/>
  <c r="Q1774" i="19"/>
  <c r="F1775" i="19"/>
  <c r="H1775" i="19"/>
  <c r="Q1775" i="19"/>
  <c r="F1776" i="19"/>
  <c r="H1776" i="19"/>
  <c r="Q1776" i="19"/>
  <c r="F1777" i="19"/>
  <c r="H1777" i="19"/>
  <c r="Q1777" i="19"/>
  <c r="F1778" i="19"/>
  <c r="H1778" i="19"/>
  <c r="Q1778" i="19"/>
  <c r="F1779" i="19"/>
  <c r="H1779" i="19"/>
  <c r="Q1779" i="19"/>
  <c r="F1780" i="19"/>
  <c r="H1780" i="19"/>
  <c r="Q1780" i="19"/>
  <c r="F1782" i="19"/>
  <c r="H1782" i="19"/>
  <c r="Q1782" i="19"/>
  <c r="Q1783" i="19"/>
  <c r="F1784" i="19"/>
  <c r="H1784" i="19"/>
  <c r="Q1784" i="19"/>
  <c r="F1785" i="19"/>
  <c r="H1785" i="19"/>
  <c r="Q1785" i="19"/>
  <c r="Q1786" i="19"/>
  <c r="F1787" i="19"/>
  <c r="H1787" i="19"/>
  <c r="Q1787" i="19"/>
  <c r="F1788" i="19"/>
  <c r="H1788" i="19"/>
  <c r="Q1788" i="19"/>
  <c r="Q1789" i="19"/>
  <c r="F1790" i="19"/>
  <c r="H1790" i="19"/>
  <c r="Q1790" i="19"/>
  <c r="F1791" i="19"/>
  <c r="H1791" i="19"/>
  <c r="Q1791" i="19"/>
  <c r="F1792" i="19"/>
  <c r="H1792" i="19"/>
  <c r="Q1792" i="19"/>
  <c r="F1793" i="19"/>
  <c r="H1793" i="19"/>
  <c r="Q1793" i="19"/>
  <c r="F1794" i="19"/>
  <c r="H1794" i="19"/>
  <c r="Q1794" i="19"/>
  <c r="F1795" i="19"/>
  <c r="H1795" i="19"/>
  <c r="Q1795" i="19"/>
  <c r="F1796" i="19"/>
  <c r="H1796" i="19"/>
  <c r="Q1796" i="19"/>
  <c r="F1797" i="19"/>
  <c r="H1797" i="19"/>
  <c r="Q1797" i="19"/>
  <c r="F1798" i="19"/>
  <c r="H1798" i="19"/>
  <c r="Q1798" i="19"/>
  <c r="F1799" i="19"/>
  <c r="H1799" i="19"/>
  <c r="Q1799" i="19"/>
  <c r="F1800" i="19"/>
  <c r="H1800" i="19"/>
  <c r="Q1800" i="19"/>
  <c r="F1801" i="19"/>
  <c r="H1801" i="19"/>
  <c r="Q1801" i="19"/>
  <c r="F1802" i="19"/>
  <c r="H1802" i="19"/>
  <c r="Q1802" i="19"/>
  <c r="F1803" i="19"/>
  <c r="H1803" i="19"/>
  <c r="Q1803" i="19"/>
  <c r="F1804" i="19"/>
  <c r="H1804" i="19"/>
  <c r="Q1804" i="19"/>
  <c r="F1805" i="19"/>
  <c r="H1805" i="19"/>
  <c r="Q1805" i="19"/>
  <c r="F1806" i="19"/>
  <c r="H1806" i="19"/>
  <c r="Q1806" i="19"/>
  <c r="F1807" i="19"/>
  <c r="H1807" i="19"/>
  <c r="Q1807" i="19"/>
  <c r="F1808" i="19"/>
  <c r="H1808" i="19"/>
  <c r="Q1808" i="19"/>
  <c r="F1809" i="19"/>
  <c r="H1809" i="19"/>
  <c r="Q1809" i="19"/>
  <c r="Q1810" i="19"/>
  <c r="F1811" i="19"/>
  <c r="H1811" i="19"/>
  <c r="Q1811" i="19"/>
  <c r="F1812" i="19"/>
  <c r="H1812" i="19"/>
  <c r="Q1812" i="19"/>
  <c r="F1813" i="19"/>
  <c r="H1813" i="19"/>
  <c r="Q1813" i="19"/>
  <c r="F1814" i="19"/>
  <c r="H1814" i="19"/>
  <c r="Q1814" i="19"/>
  <c r="Q1815" i="19"/>
  <c r="F1816" i="19"/>
  <c r="H1816" i="19"/>
  <c r="Q1816" i="19"/>
  <c r="F1817" i="19"/>
  <c r="H1817" i="19"/>
  <c r="Q1817" i="19"/>
  <c r="F1818" i="19"/>
  <c r="H1818" i="19"/>
  <c r="Q1818" i="19"/>
  <c r="F1819" i="19"/>
  <c r="H1819" i="19"/>
  <c r="Q1819" i="19"/>
  <c r="Q1821" i="19"/>
  <c r="F1822" i="19"/>
  <c r="H1822" i="19"/>
  <c r="Q1822" i="19"/>
  <c r="F1823" i="19"/>
  <c r="H1823" i="19"/>
  <c r="Q1823" i="19"/>
  <c r="F1824" i="19"/>
  <c r="H1824" i="19"/>
  <c r="Q1824" i="19"/>
  <c r="F1825" i="19"/>
  <c r="H1825" i="19"/>
  <c r="Q1825" i="19"/>
  <c r="F1826" i="19"/>
  <c r="H1826" i="19"/>
  <c r="Q1826" i="19"/>
  <c r="F1827" i="19"/>
  <c r="H1827" i="19"/>
  <c r="Q1827" i="19"/>
  <c r="F1828" i="19"/>
  <c r="H1828" i="19"/>
  <c r="Q1828" i="19"/>
  <c r="F1829" i="19"/>
  <c r="H1829" i="19"/>
  <c r="Q1829" i="19"/>
  <c r="F1830" i="19"/>
  <c r="H1830" i="19"/>
  <c r="Q1830" i="19"/>
  <c r="F1831" i="19"/>
  <c r="H1831" i="19"/>
  <c r="Q1831" i="19"/>
  <c r="F1832" i="19"/>
  <c r="H1832" i="19"/>
  <c r="Q1832" i="19"/>
  <c r="F1833" i="19"/>
  <c r="H1833" i="19"/>
  <c r="Q1833" i="19"/>
  <c r="F1834" i="19"/>
  <c r="H1834" i="19"/>
  <c r="Q1834" i="19"/>
  <c r="F1835" i="19"/>
  <c r="H1835" i="19"/>
  <c r="Q1835" i="19"/>
  <c r="F1836" i="19"/>
  <c r="H1836" i="19"/>
  <c r="Q1836" i="19"/>
  <c r="F1837" i="19"/>
  <c r="H1837" i="19"/>
  <c r="Q1837" i="19"/>
  <c r="Q1838" i="19"/>
  <c r="F1839" i="19"/>
  <c r="H1839" i="19"/>
  <c r="Q1839" i="19"/>
  <c r="F1840" i="19"/>
  <c r="H1840" i="19"/>
  <c r="Q1840" i="19"/>
  <c r="F1841" i="19"/>
  <c r="H1841" i="19"/>
  <c r="Q1841" i="19"/>
  <c r="F1842" i="19"/>
  <c r="H1842" i="19"/>
  <c r="Q1842" i="19"/>
  <c r="Q1843" i="19"/>
  <c r="F1844" i="19"/>
  <c r="H1844" i="19"/>
  <c r="Q1844" i="19"/>
  <c r="F1845" i="19"/>
  <c r="H1845" i="19"/>
  <c r="Q1845" i="19"/>
  <c r="F1846" i="19"/>
  <c r="H1846" i="19"/>
  <c r="Q1846" i="19"/>
  <c r="F1847" i="19"/>
  <c r="H1847" i="19"/>
  <c r="Q1847" i="19"/>
  <c r="F1848" i="19"/>
  <c r="H1848" i="19"/>
  <c r="Q1848" i="19"/>
  <c r="F1849" i="19"/>
  <c r="H1849" i="19"/>
  <c r="Q1849" i="19"/>
  <c r="F1850" i="19"/>
  <c r="H1850" i="19"/>
  <c r="Q1850" i="19"/>
  <c r="Q1851" i="19"/>
  <c r="F1852" i="19"/>
  <c r="H1852" i="19"/>
  <c r="Q1852" i="19"/>
  <c r="F1853" i="19"/>
  <c r="H1853" i="19"/>
  <c r="Q1853" i="19"/>
  <c r="F1854" i="19"/>
  <c r="H1854" i="19"/>
  <c r="Q1854" i="19"/>
  <c r="F1855" i="19"/>
  <c r="H1855" i="19"/>
  <c r="Q1855" i="19"/>
  <c r="F1856" i="19"/>
  <c r="H1856" i="19"/>
  <c r="Q1856" i="19"/>
  <c r="F1857" i="19"/>
  <c r="H1857" i="19"/>
  <c r="Q1857" i="19"/>
  <c r="F1858" i="19"/>
  <c r="H1858" i="19"/>
  <c r="Q1858" i="19"/>
  <c r="F1859" i="19"/>
  <c r="H1859" i="19"/>
  <c r="Q1859" i="19"/>
  <c r="F1860" i="19"/>
  <c r="H1860" i="19"/>
  <c r="Q1860" i="19"/>
  <c r="F1861" i="19"/>
  <c r="H1861" i="19"/>
  <c r="Q1861" i="19"/>
  <c r="Q1862" i="19"/>
  <c r="Q1863" i="19"/>
  <c r="F1864" i="19"/>
  <c r="H1864" i="19"/>
  <c r="Q1864" i="19"/>
  <c r="F1865" i="19"/>
  <c r="H1865" i="19"/>
  <c r="Q1865" i="19"/>
  <c r="F1866" i="19"/>
  <c r="H1866" i="19"/>
  <c r="Q1866" i="19"/>
  <c r="F1867" i="19"/>
  <c r="H1867" i="19"/>
  <c r="Q1867" i="19"/>
  <c r="Q1868" i="19"/>
  <c r="F1869" i="19"/>
  <c r="H1869" i="19"/>
  <c r="Q1869" i="19"/>
  <c r="F1870" i="19"/>
  <c r="H1870" i="19"/>
  <c r="Q1870" i="19"/>
  <c r="F1871" i="19"/>
  <c r="H1871" i="19"/>
  <c r="Q1871" i="19"/>
  <c r="F1872" i="19"/>
  <c r="H1872" i="19"/>
  <c r="Q1872" i="19"/>
  <c r="F1873" i="19"/>
  <c r="H1873" i="19"/>
  <c r="Q1873" i="19"/>
  <c r="Q1874" i="19"/>
  <c r="F1875" i="19"/>
  <c r="H1875" i="19"/>
  <c r="Q1875" i="19"/>
  <c r="F1876" i="19"/>
  <c r="H1876" i="19"/>
  <c r="Q1876" i="19"/>
  <c r="F1877" i="19"/>
  <c r="H1877" i="19"/>
  <c r="Q1877" i="19"/>
  <c r="F1878" i="19"/>
  <c r="H1878" i="19"/>
  <c r="Q1878" i="19"/>
  <c r="F1879" i="19"/>
  <c r="H1879" i="19"/>
  <c r="Q1879" i="19"/>
  <c r="F1880" i="19"/>
  <c r="H1880" i="19"/>
  <c r="Q1880" i="19"/>
  <c r="F1881" i="19"/>
  <c r="H1881" i="19"/>
  <c r="Q1881" i="19"/>
  <c r="F1882" i="19"/>
  <c r="H1882" i="19"/>
  <c r="Q1882" i="19"/>
  <c r="F1883" i="19"/>
  <c r="H1883" i="19"/>
  <c r="Q1883" i="19"/>
  <c r="F1884" i="19"/>
  <c r="H1884" i="19"/>
  <c r="Q1884" i="19"/>
  <c r="F1885" i="19"/>
  <c r="H1885" i="19"/>
  <c r="Q1885" i="19"/>
  <c r="F1886" i="19"/>
  <c r="H1886" i="19"/>
  <c r="Q1886" i="19"/>
  <c r="F1887" i="19"/>
  <c r="H1887" i="19"/>
  <c r="Q1887" i="19"/>
  <c r="Q1888" i="19"/>
  <c r="F1889" i="19"/>
  <c r="H1889" i="19"/>
  <c r="Q1889" i="19"/>
  <c r="F1890" i="19"/>
  <c r="H1890" i="19"/>
  <c r="Q1890" i="19"/>
  <c r="F1891" i="19"/>
  <c r="H1891" i="19"/>
  <c r="Q1891" i="19"/>
  <c r="F1892" i="19"/>
  <c r="H1892" i="19"/>
  <c r="Q1892" i="19"/>
  <c r="F1893" i="19"/>
  <c r="H1893" i="19"/>
  <c r="Q1893" i="19"/>
  <c r="F1894" i="19"/>
  <c r="H1894" i="19"/>
  <c r="Q1894" i="19"/>
  <c r="F1895" i="19"/>
  <c r="H1895" i="19"/>
  <c r="Q1895" i="19"/>
  <c r="F1896" i="19"/>
  <c r="H1896" i="19"/>
  <c r="Q1896" i="19"/>
  <c r="F1897" i="19"/>
  <c r="H1897" i="19"/>
  <c r="Q1897" i="19"/>
  <c r="F1898" i="19"/>
  <c r="H1898" i="19"/>
  <c r="Q1898" i="19"/>
  <c r="F1899" i="19"/>
  <c r="H1899" i="19"/>
  <c r="Q1899" i="19"/>
  <c r="F1900" i="19"/>
  <c r="H1900" i="19"/>
  <c r="Q1900" i="19"/>
  <c r="F1901" i="19"/>
  <c r="H1901" i="19"/>
  <c r="Q1901" i="19"/>
  <c r="F1902" i="19"/>
  <c r="H1902" i="19"/>
  <c r="Q1902" i="19"/>
  <c r="F1903" i="19"/>
  <c r="H1903" i="19"/>
  <c r="Q1903" i="19"/>
  <c r="F1904" i="19"/>
  <c r="H1904" i="19"/>
  <c r="Q1904" i="19"/>
  <c r="F1905" i="19"/>
  <c r="H1905" i="19"/>
  <c r="Q1905" i="19"/>
  <c r="F1906" i="19"/>
  <c r="H1906" i="19"/>
  <c r="Q1906" i="19"/>
  <c r="F1907" i="19"/>
  <c r="H1907" i="19"/>
  <c r="Q1907" i="19"/>
  <c r="Q1908" i="19"/>
  <c r="F1909" i="19"/>
  <c r="H1909" i="19"/>
  <c r="Q1909" i="19"/>
  <c r="F1910" i="19"/>
  <c r="H1910" i="19"/>
  <c r="Q1910" i="19"/>
  <c r="F1911" i="19"/>
  <c r="H1911" i="19"/>
  <c r="Q1911" i="19"/>
  <c r="F1912" i="19"/>
  <c r="H1912" i="19"/>
  <c r="Q1912" i="19"/>
  <c r="F1913" i="19"/>
  <c r="H1913" i="19"/>
  <c r="Q1913" i="19"/>
  <c r="F1914" i="19"/>
  <c r="H1914" i="19"/>
  <c r="Q1914" i="19"/>
  <c r="Q1915" i="19"/>
  <c r="F1916" i="19"/>
  <c r="H1916" i="19"/>
  <c r="Q1916" i="19"/>
  <c r="F1917" i="19"/>
  <c r="H1917" i="19"/>
  <c r="Q1917" i="19"/>
  <c r="F1918" i="19"/>
  <c r="H1918" i="19"/>
  <c r="Q1918" i="19"/>
  <c r="F1919" i="19"/>
  <c r="H1919" i="19"/>
  <c r="Q1919" i="19"/>
  <c r="F1920" i="19"/>
  <c r="H1920" i="19"/>
  <c r="Q1920" i="19"/>
  <c r="F1921" i="19"/>
  <c r="H1921" i="19"/>
  <c r="Q1921" i="19"/>
  <c r="F1922" i="19"/>
  <c r="H1922" i="19"/>
  <c r="Q1922" i="19"/>
  <c r="F1923" i="19"/>
  <c r="H1923" i="19"/>
  <c r="Q1923" i="19"/>
  <c r="F1925" i="19"/>
  <c r="H1925" i="19"/>
  <c r="Q1925" i="19"/>
  <c r="F1926" i="19"/>
  <c r="H1926" i="19"/>
  <c r="Q1926" i="19"/>
  <c r="F1927" i="19"/>
  <c r="H1927" i="19"/>
  <c r="Q1927" i="19"/>
  <c r="F1928" i="19"/>
  <c r="H1928" i="19"/>
  <c r="Q1928" i="19"/>
  <c r="F1929" i="19"/>
  <c r="H1929" i="19"/>
  <c r="Q1929" i="19"/>
  <c r="F1930" i="19"/>
  <c r="H1930" i="19"/>
  <c r="Q1930" i="19"/>
  <c r="F1931" i="19"/>
  <c r="H1931" i="19"/>
  <c r="Q1931" i="19"/>
  <c r="F1932" i="19"/>
  <c r="H1932" i="19"/>
  <c r="Q1932" i="19"/>
  <c r="F1933" i="19"/>
  <c r="H1933" i="19"/>
  <c r="Q1933" i="19"/>
  <c r="F1934" i="19"/>
  <c r="H1934" i="19"/>
  <c r="Q1934" i="19"/>
  <c r="F1935" i="19"/>
  <c r="H1935" i="19"/>
  <c r="Q1935" i="19"/>
  <c r="F1936" i="19"/>
  <c r="H1936" i="19"/>
  <c r="Q1936" i="19"/>
  <c r="F1937" i="19"/>
  <c r="H1937" i="19"/>
  <c r="Q1937" i="19"/>
  <c r="Q1938" i="19"/>
  <c r="F1939" i="19"/>
  <c r="H1939" i="19"/>
  <c r="Q1939" i="19"/>
  <c r="F1940" i="19"/>
  <c r="H1940" i="19"/>
  <c r="Q1940" i="19"/>
  <c r="F1941" i="19"/>
  <c r="H1941" i="19"/>
  <c r="Q1941" i="19"/>
  <c r="F1942" i="19"/>
  <c r="H1942" i="19"/>
  <c r="Q1942" i="19"/>
  <c r="F1943" i="19"/>
  <c r="H1943" i="19"/>
  <c r="Q1943" i="19"/>
  <c r="Q1944" i="19"/>
  <c r="F1945" i="19"/>
  <c r="H1945" i="19"/>
  <c r="Q1945" i="19"/>
  <c r="F1946" i="19"/>
  <c r="H1946" i="19"/>
  <c r="Q1946" i="19"/>
  <c r="F1947" i="19"/>
  <c r="H1947" i="19"/>
  <c r="Q1947" i="19"/>
  <c r="F1948" i="19"/>
  <c r="H1948" i="19"/>
  <c r="Q1948" i="19"/>
  <c r="F1949" i="19"/>
  <c r="H1949" i="19"/>
  <c r="Q1949" i="19"/>
  <c r="F1950" i="19"/>
  <c r="H1950" i="19"/>
  <c r="Q1950" i="19"/>
  <c r="F1951" i="19"/>
  <c r="H1951" i="19"/>
  <c r="Q1951" i="19"/>
  <c r="F1953" i="19"/>
  <c r="H1953" i="19"/>
  <c r="Q1953" i="19"/>
  <c r="F1954" i="19"/>
  <c r="H1954" i="19"/>
  <c r="Q1954" i="19"/>
  <c r="F1955" i="19"/>
  <c r="H1955" i="19"/>
  <c r="Q1955" i="19"/>
  <c r="F1956" i="19"/>
  <c r="H1956" i="19"/>
  <c r="Q1956" i="19"/>
  <c r="F1957" i="19"/>
  <c r="H1957" i="19"/>
  <c r="Q1957" i="19"/>
  <c r="F1958" i="19"/>
  <c r="H1958" i="19"/>
  <c r="Q1958" i="19"/>
  <c r="F1959" i="19"/>
  <c r="H1959" i="19"/>
  <c r="Q1959" i="19"/>
  <c r="F1960" i="19"/>
  <c r="H1960" i="19"/>
  <c r="Q1960" i="19"/>
  <c r="F1961" i="19"/>
  <c r="H1961" i="19"/>
  <c r="Q1961" i="19"/>
  <c r="F1962" i="19"/>
  <c r="H1962" i="19"/>
  <c r="Q1962" i="19"/>
  <c r="F1963" i="19"/>
  <c r="H1963" i="19"/>
  <c r="Q1963" i="19"/>
  <c r="F1964" i="19"/>
  <c r="H1964" i="19"/>
  <c r="Q1964" i="19"/>
  <c r="F1965" i="19"/>
  <c r="H1965" i="19"/>
  <c r="Q1965" i="19"/>
  <c r="F1966" i="19"/>
  <c r="H1966" i="19"/>
  <c r="Q1966" i="19"/>
  <c r="F1967" i="19"/>
  <c r="H1967" i="19"/>
  <c r="Q1967" i="19"/>
  <c r="F1968" i="19"/>
  <c r="H1968" i="19"/>
  <c r="Q1968" i="19"/>
  <c r="Q1969" i="19"/>
  <c r="F1970" i="19"/>
  <c r="H1970" i="19"/>
  <c r="Q1970" i="19"/>
  <c r="F1971" i="19"/>
  <c r="H1971" i="19"/>
  <c r="Q1971" i="19"/>
  <c r="F1972" i="19"/>
  <c r="H1972" i="19"/>
  <c r="Q1972" i="19"/>
  <c r="F1973" i="19"/>
  <c r="H1973" i="19"/>
  <c r="Q1973" i="19"/>
  <c r="F1974" i="19"/>
  <c r="H1974" i="19"/>
  <c r="Q1974" i="19"/>
  <c r="F1975" i="19"/>
  <c r="H1975" i="19"/>
  <c r="Q1975" i="19"/>
  <c r="F1977" i="19"/>
  <c r="H1977" i="19"/>
  <c r="Q1977" i="19"/>
  <c r="F1978" i="19"/>
  <c r="H1978" i="19"/>
  <c r="Q1978" i="19"/>
  <c r="F1979" i="19"/>
  <c r="H1979" i="19"/>
  <c r="Q1979" i="19"/>
  <c r="F1980" i="19"/>
  <c r="H1980" i="19"/>
  <c r="Q1980" i="19"/>
  <c r="F1981" i="19"/>
  <c r="H1981" i="19"/>
  <c r="Q1981" i="19"/>
  <c r="F1982" i="19"/>
  <c r="H1982" i="19"/>
  <c r="Q1982" i="19"/>
  <c r="F1983" i="19"/>
  <c r="H1983" i="19"/>
  <c r="Q1983" i="19"/>
  <c r="F1984" i="19"/>
  <c r="H1984" i="19"/>
  <c r="Q1984" i="19"/>
  <c r="F1986" i="19"/>
  <c r="H1986" i="19"/>
  <c r="Q1986" i="19"/>
  <c r="F1987" i="19"/>
  <c r="H1987" i="19"/>
  <c r="Q1987" i="19"/>
  <c r="F1988" i="19"/>
  <c r="H1988" i="19"/>
  <c r="Q1988" i="19"/>
  <c r="Q1989" i="19"/>
  <c r="F1990" i="19"/>
  <c r="H1990" i="19"/>
  <c r="Q1990" i="19"/>
  <c r="F1991" i="19"/>
  <c r="H1991" i="19"/>
  <c r="Q1991" i="19"/>
  <c r="F1992" i="19"/>
  <c r="H1992" i="19"/>
  <c r="Q1992" i="19"/>
  <c r="Q1993" i="19"/>
  <c r="F1994" i="19"/>
  <c r="H1994" i="19"/>
  <c r="Q1994" i="19"/>
  <c r="F1995" i="19"/>
  <c r="H1995" i="19"/>
  <c r="Q1995" i="19"/>
  <c r="F1996" i="19"/>
  <c r="H1996" i="19"/>
  <c r="Q1996" i="19"/>
  <c r="F1997" i="19"/>
  <c r="H1997" i="19"/>
  <c r="Q1997" i="19"/>
  <c r="F1998" i="19"/>
  <c r="H1998" i="19"/>
  <c r="Q1998" i="19"/>
  <c r="F1999" i="19"/>
  <c r="H1999" i="19"/>
  <c r="Q1999" i="19"/>
  <c r="F2000" i="19"/>
  <c r="H2000" i="19"/>
  <c r="Q2000" i="19"/>
  <c r="F2001" i="19"/>
  <c r="H2001" i="19"/>
  <c r="Q2001" i="19"/>
  <c r="F2002" i="19"/>
  <c r="H2002" i="19"/>
  <c r="Q2002" i="19"/>
  <c r="F2004" i="19"/>
  <c r="H2004" i="19"/>
  <c r="Q2004" i="19"/>
  <c r="F2005" i="19"/>
  <c r="H2005" i="19"/>
  <c r="Q2005" i="19"/>
  <c r="F2007" i="19"/>
  <c r="H2007" i="19"/>
  <c r="Q2007" i="19"/>
  <c r="F2008" i="19"/>
  <c r="H2008" i="19"/>
  <c r="Q2008" i="19"/>
  <c r="F2009" i="19"/>
  <c r="H2009" i="19"/>
  <c r="Q2009" i="19"/>
  <c r="F2010" i="19"/>
  <c r="H2010" i="19"/>
  <c r="Q2010" i="19"/>
  <c r="F2011" i="19"/>
  <c r="H2011" i="19"/>
  <c r="Q2011" i="19"/>
  <c r="F2012" i="19"/>
  <c r="H2012" i="19"/>
  <c r="Q2012" i="19"/>
  <c r="F2013" i="19"/>
  <c r="H2013" i="19"/>
  <c r="Q2013" i="19"/>
  <c r="F2014" i="19"/>
  <c r="H2014" i="19"/>
  <c r="Q2014" i="19"/>
  <c r="F2015" i="19"/>
  <c r="H2015" i="19"/>
  <c r="Q2015" i="19"/>
  <c r="F2016" i="19"/>
  <c r="H2016" i="19"/>
  <c r="Q2016" i="19"/>
  <c r="F2017" i="19"/>
  <c r="H2017" i="19"/>
  <c r="Q2017" i="19"/>
  <c r="F2018" i="19"/>
  <c r="H2018" i="19"/>
  <c r="Q2018" i="19"/>
  <c r="F2019" i="19"/>
  <c r="H2019" i="19"/>
  <c r="Q2019" i="19"/>
  <c r="F2020" i="19"/>
  <c r="H2020" i="19"/>
  <c r="Q2020" i="19"/>
  <c r="F2021" i="19"/>
  <c r="H2021" i="19"/>
  <c r="Q2021" i="19"/>
  <c r="F2022" i="19"/>
  <c r="H2022" i="19"/>
  <c r="Q2022" i="19"/>
  <c r="F2023" i="19"/>
  <c r="H2023" i="19"/>
  <c r="Q2023" i="19"/>
  <c r="F2024" i="19"/>
  <c r="H2024" i="19"/>
  <c r="Q2024" i="19"/>
  <c r="Q2025" i="19"/>
  <c r="F2026" i="19"/>
  <c r="H2026" i="19"/>
  <c r="Q2026" i="19"/>
  <c r="F2027" i="19"/>
  <c r="H2027" i="19"/>
  <c r="Q2027" i="19"/>
  <c r="F2028" i="19"/>
  <c r="H2028" i="19"/>
  <c r="Q2028" i="19"/>
  <c r="F2029" i="19"/>
  <c r="H2029" i="19"/>
  <c r="Q2029" i="19"/>
  <c r="T16" i="19"/>
  <c r="X16" i="19"/>
  <c r="U16" i="19"/>
  <c r="R1309" i="19"/>
  <c r="F5391" i="19"/>
  <c r="H5391" i="19"/>
  <c r="Q5391" i="19"/>
  <c r="R5391" i="19"/>
  <c r="F5131" i="19"/>
  <c r="H5131" i="19"/>
  <c r="Q5131" i="19"/>
  <c r="R5131" i="19"/>
  <c r="F5574" i="19"/>
  <c r="H5574" i="19"/>
  <c r="Q5574" i="19"/>
  <c r="R5574" i="19"/>
  <c r="F5204" i="19"/>
  <c r="H5204" i="19"/>
  <c r="R4116" i="19"/>
  <c r="R2056" i="19"/>
  <c r="R2488" i="19"/>
  <c r="R4617" i="19"/>
  <c r="R3940" i="19"/>
  <c r="R4445" i="19"/>
  <c r="R4861" i="19"/>
  <c r="F730" i="19"/>
  <c r="H730" i="19"/>
  <c r="Q730" i="19"/>
  <c r="R730" i="19"/>
  <c r="R4975" i="19"/>
  <c r="R4006" i="19"/>
  <c r="F708" i="19"/>
  <c r="H708" i="19"/>
  <c r="F5214" i="19"/>
  <c r="H5214" i="19"/>
  <c r="Q5214" i="19"/>
  <c r="F5624" i="19"/>
  <c r="H5624" i="19"/>
  <c r="F5252" i="19"/>
  <c r="H5252" i="19"/>
  <c r="R4485" i="19"/>
  <c r="F5551" i="19"/>
  <c r="H5551" i="19"/>
  <c r="F5271" i="19"/>
  <c r="H5271" i="19"/>
  <c r="R2348" i="19"/>
  <c r="R3972" i="19"/>
  <c r="R2197" i="19"/>
  <c r="R4493" i="19"/>
  <c r="R4464" i="19"/>
  <c r="R2201" i="19"/>
  <c r="F5609" i="19"/>
  <c r="H5609" i="19"/>
  <c r="Q5609" i="19"/>
  <c r="R5609" i="19"/>
  <c r="R2483" i="19"/>
  <c r="F5516" i="19"/>
  <c r="H5516" i="19"/>
  <c r="Q5516" i="19"/>
  <c r="R5516" i="19"/>
  <c r="F5192" i="19"/>
  <c r="H5192" i="19"/>
  <c r="Q5192" i="19"/>
  <c r="R5192" i="19"/>
  <c r="R4299" i="19"/>
  <c r="R2478" i="19"/>
  <c r="F3466" i="19"/>
  <c r="H3466" i="19"/>
  <c r="F3357" i="19"/>
  <c r="H3357" i="19"/>
  <c r="Q3357" i="19"/>
  <c r="R3357" i="19"/>
  <c r="F3026" i="19"/>
  <c r="H3026" i="19"/>
  <c r="F3625" i="19"/>
  <c r="H3625" i="19"/>
  <c r="Q3625" i="19"/>
  <c r="F5646" i="19"/>
  <c r="H5646" i="19"/>
  <c r="R4379" i="19"/>
  <c r="F771" i="19"/>
  <c r="H771" i="19"/>
  <c r="F5500" i="19"/>
  <c r="H5500" i="19"/>
  <c r="R1852" i="19"/>
  <c r="F3516" i="19"/>
  <c r="H3516" i="19"/>
  <c r="R1641" i="19"/>
  <c r="R4328" i="19"/>
  <c r="R1744" i="19"/>
  <c r="R2328" i="19"/>
  <c r="F3575" i="19"/>
  <c r="H3575" i="19"/>
  <c r="F5775" i="19"/>
  <c r="H5775" i="19"/>
  <c r="F2807" i="19"/>
  <c r="H2807" i="19"/>
  <c r="Q2807" i="19"/>
  <c r="F5788" i="19"/>
  <c r="H5788" i="19"/>
  <c r="Q5788" i="19"/>
  <c r="R5788" i="19"/>
  <c r="F2912" i="19"/>
  <c r="H2912" i="19"/>
  <c r="F5367" i="19"/>
  <c r="H5367" i="19"/>
  <c r="F658" i="19"/>
  <c r="H658" i="19"/>
  <c r="R4936" i="19"/>
  <c r="F631" i="19"/>
  <c r="H631" i="19"/>
  <c r="F700" i="19"/>
  <c r="H700" i="19"/>
  <c r="F5452" i="19"/>
  <c r="H5452" i="19"/>
  <c r="Q5452" i="19"/>
  <c r="R5452" i="19"/>
  <c r="F5185" i="19"/>
  <c r="H5185" i="19"/>
  <c r="F5508" i="19"/>
  <c r="H5508" i="19"/>
  <c r="F523" i="19"/>
  <c r="H523" i="19"/>
  <c r="Q523" i="19"/>
  <c r="F5597" i="19"/>
  <c r="H5597" i="19"/>
  <c r="F5099" i="19"/>
  <c r="H5099" i="19"/>
  <c r="F5441" i="19"/>
  <c r="H5441" i="19"/>
  <c r="R4784" i="19"/>
  <c r="F5075" i="19"/>
  <c r="H5075" i="19"/>
  <c r="R3960" i="19"/>
  <c r="F5496" i="19"/>
  <c r="H5496" i="19"/>
  <c r="F5285" i="19"/>
  <c r="H5285" i="19"/>
  <c r="F5630" i="19"/>
  <c r="H5630" i="19"/>
  <c r="Q5630" i="19"/>
  <c r="R5630" i="19"/>
  <c r="F5118" i="19"/>
  <c r="H5118" i="19"/>
  <c r="Q5118" i="19"/>
  <c r="R5118" i="19"/>
  <c r="R4480" i="19"/>
  <c r="R1477" i="19"/>
  <c r="F5242" i="19"/>
  <c r="H5242" i="19"/>
  <c r="F5401" i="19"/>
  <c r="H5401" i="19"/>
  <c r="F5136" i="19"/>
  <c r="H5136" i="19"/>
  <c r="Q5136" i="19"/>
  <c r="R5136" i="19"/>
  <c r="R2482" i="19"/>
  <c r="F5213" i="19"/>
  <c r="H5213" i="19"/>
  <c r="R1265" i="19"/>
  <c r="R4642" i="19"/>
  <c r="R4453" i="19"/>
  <c r="R2038" i="19"/>
  <c r="F5419" i="19"/>
  <c r="H5419" i="19"/>
  <c r="R4980" i="19"/>
  <c r="R4020" i="19"/>
  <c r="F725" i="19"/>
  <c r="H725" i="19"/>
  <c r="Q725" i="19"/>
  <c r="R725" i="19"/>
  <c r="F5319" i="19"/>
  <c r="H5319" i="19"/>
  <c r="R4543" i="19"/>
  <c r="F5298" i="19"/>
  <c r="H5298" i="19"/>
  <c r="R1625" i="19"/>
  <c r="R2285" i="19"/>
  <c r="R4000" i="19"/>
  <c r="R2072" i="19"/>
  <c r="R1424" i="19"/>
  <c r="F699" i="19"/>
  <c r="H699" i="19"/>
  <c r="Q699" i="19"/>
  <c r="F10" i="19"/>
  <c r="H10" i="19"/>
  <c r="Q10" i="19"/>
  <c r="F11" i="19"/>
  <c r="H11" i="19"/>
  <c r="Q11" i="19"/>
  <c r="F12" i="19"/>
  <c r="H12" i="19"/>
  <c r="Q12" i="19"/>
  <c r="F13" i="19"/>
  <c r="H13" i="19"/>
  <c r="Q13" i="19"/>
  <c r="F14" i="19"/>
  <c r="H14" i="19"/>
  <c r="Q14" i="19"/>
  <c r="F15" i="19"/>
  <c r="H15" i="19"/>
  <c r="Q15" i="19"/>
  <c r="F16" i="19"/>
  <c r="H16" i="19"/>
  <c r="Q16" i="19"/>
  <c r="F17" i="19"/>
  <c r="H17" i="19"/>
  <c r="Q17" i="19"/>
  <c r="F18" i="19"/>
  <c r="H18" i="19"/>
  <c r="Q18" i="19"/>
  <c r="F19" i="19"/>
  <c r="H19" i="19"/>
  <c r="Q19" i="19"/>
  <c r="F20" i="19"/>
  <c r="H20" i="19"/>
  <c r="Q20" i="19"/>
  <c r="F21" i="19"/>
  <c r="H21" i="19"/>
  <c r="Q21" i="19"/>
  <c r="F22" i="19"/>
  <c r="H22" i="19"/>
  <c r="Q22" i="19"/>
  <c r="F23" i="19"/>
  <c r="H23" i="19"/>
  <c r="Q23" i="19"/>
  <c r="F24" i="19"/>
  <c r="H24" i="19"/>
  <c r="Q24" i="19"/>
  <c r="F25" i="19"/>
  <c r="H25" i="19"/>
  <c r="Q25" i="19"/>
  <c r="F26" i="19"/>
  <c r="H26" i="19"/>
  <c r="Q26" i="19"/>
  <c r="F27" i="19"/>
  <c r="H27" i="19"/>
  <c r="Q27" i="19"/>
  <c r="F28" i="19"/>
  <c r="H28" i="19"/>
  <c r="Q28" i="19"/>
  <c r="F29" i="19"/>
  <c r="H29" i="19"/>
  <c r="Q29" i="19"/>
  <c r="F30" i="19"/>
  <c r="H30" i="19"/>
  <c r="Q30" i="19"/>
  <c r="F31" i="19"/>
  <c r="H31" i="19"/>
  <c r="Q31" i="19"/>
  <c r="F32" i="19"/>
  <c r="H32" i="19"/>
  <c r="Q32" i="19"/>
  <c r="F33" i="19"/>
  <c r="H33" i="19"/>
  <c r="Q33" i="19"/>
  <c r="F34" i="19"/>
  <c r="H34" i="19"/>
  <c r="Q34" i="19"/>
  <c r="F35" i="19"/>
  <c r="H35" i="19"/>
  <c r="Q35" i="19"/>
  <c r="F36" i="19"/>
  <c r="H36" i="19"/>
  <c r="Q36" i="19"/>
  <c r="F37" i="19"/>
  <c r="H37" i="19"/>
  <c r="Q37" i="19"/>
  <c r="F38" i="19"/>
  <c r="H38" i="19"/>
  <c r="Q38" i="19"/>
  <c r="F39" i="19"/>
  <c r="H39" i="19"/>
  <c r="Q39" i="19"/>
  <c r="F40" i="19"/>
  <c r="H40" i="19"/>
  <c r="Q40" i="19"/>
  <c r="F41" i="19"/>
  <c r="H41" i="19"/>
  <c r="Q41" i="19"/>
  <c r="F42" i="19"/>
  <c r="H42" i="19"/>
  <c r="Q42" i="19"/>
  <c r="F43" i="19"/>
  <c r="H43" i="19"/>
  <c r="Q43" i="19"/>
  <c r="F44" i="19"/>
  <c r="H44" i="19"/>
  <c r="Q44" i="19"/>
  <c r="F45" i="19"/>
  <c r="H45" i="19"/>
  <c r="Q45" i="19"/>
  <c r="F46" i="19"/>
  <c r="H46" i="19"/>
  <c r="Q46" i="19"/>
  <c r="F47" i="19"/>
  <c r="H47" i="19"/>
  <c r="Q47" i="19"/>
  <c r="F48" i="19"/>
  <c r="H48" i="19"/>
  <c r="Q48" i="19"/>
  <c r="F49" i="19"/>
  <c r="H49" i="19"/>
  <c r="Q49" i="19"/>
  <c r="F50" i="19"/>
  <c r="H50" i="19"/>
  <c r="Q50" i="19"/>
  <c r="F51" i="19"/>
  <c r="H51" i="19"/>
  <c r="Q51" i="19"/>
  <c r="F52" i="19"/>
  <c r="H52" i="19"/>
  <c r="Q52" i="19"/>
  <c r="F53" i="19"/>
  <c r="H53" i="19"/>
  <c r="Q53" i="19"/>
  <c r="F54" i="19"/>
  <c r="H54" i="19"/>
  <c r="Q54" i="19"/>
  <c r="F55" i="19"/>
  <c r="H55" i="19"/>
  <c r="Q55" i="19"/>
  <c r="F56" i="19"/>
  <c r="H56" i="19"/>
  <c r="Q56" i="19"/>
  <c r="F57" i="19"/>
  <c r="H57" i="19"/>
  <c r="Q57" i="19"/>
  <c r="F58" i="19"/>
  <c r="H58" i="19"/>
  <c r="Q58" i="19"/>
  <c r="F59" i="19"/>
  <c r="H59" i="19"/>
  <c r="Q59" i="19"/>
  <c r="F60" i="19"/>
  <c r="H60" i="19"/>
  <c r="Q60" i="19"/>
  <c r="F61" i="19"/>
  <c r="H61" i="19"/>
  <c r="Q61" i="19"/>
  <c r="F62" i="19"/>
  <c r="H62" i="19"/>
  <c r="Q62" i="19"/>
  <c r="F63" i="19"/>
  <c r="H63" i="19"/>
  <c r="Q63" i="19"/>
  <c r="F64" i="19"/>
  <c r="H64" i="19"/>
  <c r="Q64" i="19"/>
  <c r="F65" i="19"/>
  <c r="H65" i="19"/>
  <c r="Q65" i="19"/>
  <c r="F66" i="19"/>
  <c r="H66" i="19"/>
  <c r="Q66" i="19"/>
  <c r="F67" i="19"/>
  <c r="H67" i="19"/>
  <c r="Q67" i="19"/>
  <c r="F68" i="19"/>
  <c r="H68" i="19"/>
  <c r="Q68" i="19"/>
  <c r="F69" i="19"/>
  <c r="H69" i="19"/>
  <c r="Q69" i="19"/>
  <c r="F70" i="19"/>
  <c r="H70" i="19"/>
  <c r="Q70" i="19"/>
  <c r="F71" i="19"/>
  <c r="H71" i="19"/>
  <c r="Q71" i="19"/>
  <c r="F72" i="19"/>
  <c r="H72" i="19"/>
  <c r="Q72" i="19"/>
  <c r="F73" i="19"/>
  <c r="H73" i="19"/>
  <c r="Q73" i="19"/>
  <c r="F74" i="19"/>
  <c r="H74" i="19"/>
  <c r="Q74" i="19"/>
  <c r="F75" i="19"/>
  <c r="H75" i="19"/>
  <c r="Q75" i="19"/>
  <c r="F76" i="19"/>
  <c r="H76" i="19"/>
  <c r="Q76" i="19"/>
  <c r="F77" i="19"/>
  <c r="H77" i="19"/>
  <c r="Q77" i="19"/>
  <c r="F78" i="19"/>
  <c r="H78" i="19"/>
  <c r="Q78" i="19"/>
  <c r="Q79" i="19"/>
  <c r="F80" i="19"/>
  <c r="H80" i="19"/>
  <c r="Q80" i="19"/>
  <c r="F81" i="19"/>
  <c r="H81" i="19"/>
  <c r="Q81" i="19"/>
  <c r="F82" i="19"/>
  <c r="H82" i="19"/>
  <c r="Q82" i="19"/>
  <c r="F83" i="19"/>
  <c r="H83" i="19"/>
  <c r="Q83" i="19"/>
  <c r="F84" i="19"/>
  <c r="H84" i="19"/>
  <c r="Q84" i="19"/>
  <c r="F85" i="19"/>
  <c r="H85" i="19"/>
  <c r="Q85" i="19"/>
  <c r="F86" i="19"/>
  <c r="H86" i="19"/>
  <c r="Q86" i="19"/>
  <c r="F87" i="19"/>
  <c r="H87" i="19"/>
  <c r="Q87" i="19"/>
  <c r="F88" i="19"/>
  <c r="H88" i="19"/>
  <c r="Q88" i="19"/>
  <c r="F89" i="19"/>
  <c r="H89" i="19"/>
  <c r="Q89" i="19"/>
  <c r="F90" i="19"/>
  <c r="H90" i="19"/>
  <c r="Q90" i="19"/>
  <c r="F91" i="19"/>
  <c r="H91" i="19"/>
  <c r="Q91" i="19"/>
  <c r="F92" i="19"/>
  <c r="H92" i="19"/>
  <c r="Q92" i="19"/>
  <c r="F93" i="19"/>
  <c r="H93" i="19"/>
  <c r="Q93" i="19"/>
  <c r="F94" i="19"/>
  <c r="H94" i="19"/>
  <c r="Q94" i="19"/>
  <c r="F95" i="19"/>
  <c r="H95" i="19"/>
  <c r="Q95" i="19"/>
  <c r="F96" i="19"/>
  <c r="H96" i="19"/>
  <c r="Q96" i="19"/>
  <c r="Q97" i="19"/>
  <c r="F98" i="19"/>
  <c r="H98" i="19"/>
  <c r="Q98" i="19"/>
  <c r="F99" i="19"/>
  <c r="H99" i="19"/>
  <c r="Q99" i="19"/>
  <c r="F100" i="19"/>
  <c r="H100" i="19"/>
  <c r="Q100" i="19"/>
  <c r="F101" i="19"/>
  <c r="H101" i="19"/>
  <c r="Q101" i="19"/>
  <c r="F102" i="19"/>
  <c r="H102" i="19"/>
  <c r="Q102" i="19"/>
  <c r="F103" i="19"/>
  <c r="H103" i="19"/>
  <c r="Q103" i="19"/>
  <c r="F104" i="19"/>
  <c r="H104" i="19"/>
  <c r="Q104" i="19"/>
  <c r="F105" i="19"/>
  <c r="H105" i="19"/>
  <c r="Q105" i="19"/>
  <c r="F106" i="19"/>
  <c r="H106" i="19"/>
  <c r="Q106" i="19"/>
  <c r="F107" i="19"/>
  <c r="H107" i="19"/>
  <c r="Q107" i="19"/>
  <c r="F108" i="19"/>
  <c r="H108" i="19"/>
  <c r="Q108" i="19"/>
  <c r="F109" i="19"/>
  <c r="H109" i="19"/>
  <c r="Q109" i="19"/>
  <c r="F110" i="19"/>
  <c r="H110" i="19"/>
  <c r="Q110" i="19"/>
  <c r="F111" i="19"/>
  <c r="H111" i="19"/>
  <c r="Q111" i="19"/>
  <c r="F112" i="19"/>
  <c r="H112" i="19"/>
  <c r="Q112" i="19"/>
  <c r="F113" i="19"/>
  <c r="H113" i="19"/>
  <c r="Q113" i="19"/>
  <c r="F114" i="19"/>
  <c r="H114" i="19"/>
  <c r="Q114" i="19"/>
  <c r="F115" i="19"/>
  <c r="H115" i="19"/>
  <c r="Q115" i="19"/>
  <c r="F116" i="19"/>
  <c r="H116" i="19"/>
  <c r="Q116" i="19"/>
  <c r="F117" i="19"/>
  <c r="H117" i="19"/>
  <c r="Q117" i="19"/>
  <c r="F118" i="19"/>
  <c r="H118" i="19"/>
  <c r="Q118" i="19"/>
  <c r="F119" i="19"/>
  <c r="H119" i="19"/>
  <c r="Q119" i="19"/>
  <c r="F120" i="19"/>
  <c r="H120" i="19"/>
  <c r="Q120" i="19"/>
  <c r="F121" i="19"/>
  <c r="H121" i="19"/>
  <c r="Q121" i="19"/>
  <c r="F122" i="19"/>
  <c r="H122" i="19"/>
  <c r="Q122" i="19"/>
  <c r="F123" i="19"/>
  <c r="H123" i="19"/>
  <c r="Q123" i="19"/>
  <c r="Q124" i="19"/>
  <c r="F125" i="19"/>
  <c r="H125" i="19"/>
  <c r="Q125" i="19"/>
  <c r="F126" i="19"/>
  <c r="H126" i="19"/>
  <c r="Q126" i="19"/>
  <c r="F127" i="19"/>
  <c r="H127" i="19"/>
  <c r="Q127" i="19"/>
  <c r="F128" i="19"/>
  <c r="H128" i="19"/>
  <c r="Q128" i="19"/>
  <c r="F129" i="19"/>
  <c r="H129" i="19"/>
  <c r="Q129" i="19"/>
  <c r="F130" i="19"/>
  <c r="H130" i="19"/>
  <c r="Q130" i="19"/>
  <c r="F131" i="19"/>
  <c r="H131" i="19"/>
  <c r="Q131" i="19"/>
  <c r="F132" i="19"/>
  <c r="H132" i="19"/>
  <c r="Q132" i="19"/>
  <c r="F133" i="19"/>
  <c r="H133" i="19"/>
  <c r="Q133" i="19"/>
  <c r="F134" i="19"/>
  <c r="H134" i="19"/>
  <c r="Q134" i="19"/>
  <c r="F135" i="19"/>
  <c r="H135" i="19"/>
  <c r="Q135" i="19"/>
  <c r="F136" i="19"/>
  <c r="H136" i="19"/>
  <c r="Q136" i="19"/>
  <c r="F137" i="19"/>
  <c r="H137" i="19"/>
  <c r="Q137" i="19"/>
  <c r="F138" i="19"/>
  <c r="H138" i="19"/>
  <c r="Q138" i="19"/>
  <c r="F139" i="19"/>
  <c r="H139" i="19"/>
  <c r="Q139" i="19"/>
  <c r="F140" i="19"/>
  <c r="H140" i="19"/>
  <c r="Q140" i="19"/>
  <c r="F141" i="19"/>
  <c r="H141" i="19"/>
  <c r="Q141" i="19"/>
  <c r="F142" i="19"/>
  <c r="H142" i="19"/>
  <c r="Q142" i="19"/>
  <c r="F143" i="19"/>
  <c r="H143" i="19"/>
  <c r="Q143" i="19"/>
  <c r="F144" i="19"/>
  <c r="H144" i="19"/>
  <c r="Q144" i="19"/>
  <c r="F145" i="19"/>
  <c r="H145" i="19"/>
  <c r="Q145" i="19"/>
  <c r="F146" i="19"/>
  <c r="H146" i="19"/>
  <c r="Q146" i="19"/>
  <c r="F147" i="19"/>
  <c r="H147" i="19"/>
  <c r="Q147" i="19"/>
  <c r="F148" i="19"/>
  <c r="H148" i="19"/>
  <c r="Q148" i="19"/>
  <c r="F149" i="19"/>
  <c r="H149" i="19"/>
  <c r="Q149" i="19"/>
  <c r="F150" i="19"/>
  <c r="H150" i="19"/>
  <c r="Q150" i="19"/>
  <c r="F151" i="19"/>
  <c r="H151" i="19"/>
  <c r="Q151" i="19"/>
  <c r="F152" i="19"/>
  <c r="H152" i="19"/>
  <c r="Q152" i="19"/>
  <c r="F153" i="19"/>
  <c r="H153" i="19"/>
  <c r="Q153" i="19"/>
  <c r="F154" i="19"/>
  <c r="H154" i="19"/>
  <c r="Q154" i="19"/>
  <c r="F155" i="19"/>
  <c r="H155" i="19"/>
  <c r="Q155" i="19"/>
  <c r="F156" i="19"/>
  <c r="H156" i="19"/>
  <c r="Q156" i="19"/>
  <c r="F157" i="19"/>
  <c r="H157" i="19"/>
  <c r="Q157" i="19"/>
  <c r="F159" i="19"/>
  <c r="H159" i="19"/>
  <c r="Q159" i="19"/>
  <c r="F160" i="19"/>
  <c r="H160" i="19"/>
  <c r="Q160" i="19"/>
  <c r="F161" i="19"/>
  <c r="H161" i="19"/>
  <c r="Q161" i="19"/>
  <c r="F162" i="19"/>
  <c r="H162" i="19"/>
  <c r="Q162" i="19"/>
  <c r="F163" i="19"/>
  <c r="H163" i="19"/>
  <c r="Q163" i="19"/>
  <c r="F164" i="19"/>
  <c r="H164" i="19"/>
  <c r="Q164" i="19"/>
  <c r="F165" i="19"/>
  <c r="H165" i="19"/>
  <c r="Q165" i="19"/>
  <c r="F166" i="19"/>
  <c r="H166" i="19"/>
  <c r="Q166" i="19"/>
  <c r="F167" i="19"/>
  <c r="H167" i="19"/>
  <c r="Q167" i="19"/>
  <c r="F168" i="19"/>
  <c r="H168" i="19"/>
  <c r="Q168" i="19"/>
  <c r="F169" i="19"/>
  <c r="H169" i="19"/>
  <c r="Q169" i="19"/>
  <c r="F170" i="19"/>
  <c r="H170" i="19"/>
  <c r="Q170" i="19"/>
  <c r="F171" i="19"/>
  <c r="H171" i="19"/>
  <c r="Q171" i="19"/>
  <c r="F172" i="19"/>
  <c r="H172" i="19"/>
  <c r="Q172" i="19"/>
  <c r="F173" i="19"/>
  <c r="H173" i="19"/>
  <c r="Q173" i="19"/>
  <c r="F174" i="19"/>
  <c r="H174" i="19"/>
  <c r="Q174" i="19"/>
  <c r="F175" i="19"/>
  <c r="H175" i="19"/>
  <c r="Q175" i="19"/>
  <c r="F176" i="19"/>
  <c r="H176" i="19"/>
  <c r="Q176" i="19"/>
  <c r="F177" i="19"/>
  <c r="H177" i="19"/>
  <c r="Q177" i="19"/>
  <c r="F178" i="19"/>
  <c r="H178" i="19"/>
  <c r="Q178" i="19"/>
  <c r="F179" i="19"/>
  <c r="H179" i="19"/>
  <c r="Q179" i="19"/>
  <c r="F180" i="19"/>
  <c r="H180" i="19"/>
  <c r="Q180" i="19"/>
  <c r="F181" i="19"/>
  <c r="H181" i="19"/>
  <c r="Q181" i="19"/>
  <c r="F182" i="19"/>
  <c r="H182" i="19"/>
  <c r="Q182" i="19"/>
  <c r="F183" i="19"/>
  <c r="H183" i="19"/>
  <c r="Q183" i="19"/>
  <c r="F184" i="19"/>
  <c r="H184" i="19"/>
  <c r="Q184" i="19"/>
  <c r="F185" i="19"/>
  <c r="H185" i="19"/>
  <c r="Q185" i="19"/>
  <c r="F186" i="19"/>
  <c r="H186" i="19"/>
  <c r="Q186" i="19"/>
  <c r="F187" i="19"/>
  <c r="H187" i="19"/>
  <c r="Q187" i="19"/>
  <c r="F188" i="19"/>
  <c r="H188" i="19"/>
  <c r="Q188" i="19"/>
  <c r="F189" i="19"/>
  <c r="H189" i="19"/>
  <c r="Q189" i="19"/>
  <c r="F190" i="19"/>
  <c r="H190" i="19"/>
  <c r="Q190" i="19"/>
  <c r="F191" i="19"/>
  <c r="H191" i="19"/>
  <c r="Q191" i="19"/>
  <c r="F192" i="19"/>
  <c r="H192" i="19"/>
  <c r="Q192" i="19"/>
  <c r="F193" i="19"/>
  <c r="H193" i="19"/>
  <c r="Q193" i="19"/>
  <c r="F194" i="19"/>
  <c r="H194" i="19"/>
  <c r="Q194" i="19"/>
  <c r="F195" i="19"/>
  <c r="H195" i="19"/>
  <c r="Q195" i="19"/>
  <c r="F196" i="19"/>
  <c r="H196" i="19"/>
  <c r="Q196" i="19"/>
  <c r="F197" i="19"/>
  <c r="H197" i="19"/>
  <c r="Q197" i="19"/>
  <c r="F198" i="19"/>
  <c r="H198" i="19"/>
  <c r="Q198" i="19"/>
  <c r="F199" i="19"/>
  <c r="H199" i="19"/>
  <c r="Q199" i="19"/>
  <c r="F200" i="19"/>
  <c r="H200" i="19"/>
  <c r="Q200" i="19"/>
  <c r="F201" i="19"/>
  <c r="H201" i="19"/>
  <c r="Q201" i="19"/>
  <c r="F202" i="19"/>
  <c r="H202" i="19"/>
  <c r="Q202" i="19"/>
  <c r="F203" i="19"/>
  <c r="H203" i="19"/>
  <c r="Q203" i="19"/>
  <c r="F204" i="19"/>
  <c r="H204" i="19"/>
  <c r="Q204" i="19"/>
  <c r="F205" i="19"/>
  <c r="H205" i="19"/>
  <c r="Q205" i="19"/>
  <c r="F206" i="19"/>
  <c r="H206" i="19"/>
  <c r="Q206" i="19"/>
  <c r="F207" i="19"/>
  <c r="H207" i="19"/>
  <c r="Q207" i="19"/>
  <c r="F208" i="19"/>
  <c r="H208" i="19"/>
  <c r="Q208" i="19"/>
  <c r="F209" i="19"/>
  <c r="H209" i="19"/>
  <c r="Q209" i="19"/>
  <c r="F210" i="19"/>
  <c r="H210" i="19"/>
  <c r="Q210" i="19"/>
  <c r="F211" i="19"/>
  <c r="H211" i="19"/>
  <c r="Q211" i="19"/>
  <c r="F212" i="19"/>
  <c r="H212" i="19"/>
  <c r="Q212" i="19"/>
  <c r="F213" i="19"/>
  <c r="H213" i="19"/>
  <c r="Q213" i="19"/>
  <c r="F214" i="19"/>
  <c r="H214" i="19"/>
  <c r="Q214" i="19"/>
  <c r="F215" i="19"/>
  <c r="H215" i="19"/>
  <c r="Q215" i="19"/>
  <c r="F216" i="19"/>
  <c r="H216" i="19"/>
  <c r="Q216" i="19"/>
  <c r="F217" i="19"/>
  <c r="H217" i="19"/>
  <c r="Q217" i="19"/>
  <c r="F218" i="19"/>
  <c r="H218" i="19"/>
  <c r="Q218" i="19"/>
  <c r="F219" i="19"/>
  <c r="H219" i="19"/>
  <c r="Q219" i="19"/>
  <c r="F220" i="19"/>
  <c r="H220" i="19"/>
  <c r="Q220" i="19"/>
  <c r="F222" i="19"/>
  <c r="H222" i="19"/>
  <c r="Q222" i="19"/>
  <c r="F223" i="19"/>
  <c r="H223" i="19"/>
  <c r="Q223" i="19"/>
  <c r="F224" i="19"/>
  <c r="H224" i="19"/>
  <c r="Q224" i="19"/>
  <c r="F225" i="19"/>
  <c r="H225" i="19"/>
  <c r="Q225" i="19"/>
  <c r="F226" i="19"/>
  <c r="H226" i="19"/>
  <c r="Q226" i="19"/>
  <c r="F227" i="19"/>
  <c r="H227" i="19"/>
  <c r="Q227" i="19"/>
  <c r="F228" i="19"/>
  <c r="H228" i="19"/>
  <c r="Q228" i="19"/>
  <c r="F229" i="19"/>
  <c r="H229" i="19"/>
  <c r="Q229" i="19"/>
  <c r="F230" i="19"/>
  <c r="H230" i="19"/>
  <c r="Q230" i="19"/>
  <c r="F231" i="19"/>
  <c r="H231" i="19"/>
  <c r="Q231" i="19"/>
  <c r="F232" i="19"/>
  <c r="H232" i="19"/>
  <c r="Q232" i="19"/>
  <c r="F233" i="19"/>
  <c r="H233" i="19"/>
  <c r="Q233" i="19"/>
  <c r="F234" i="19"/>
  <c r="H234" i="19"/>
  <c r="Q234" i="19"/>
  <c r="F235" i="19"/>
  <c r="H235" i="19"/>
  <c r="Q235" i="19"/>
  <c r="F237" i="19"/>
  <c r="H237" i="19"/>
  <c r="Q237" i="19"/>
  <c r="F238" i="19"/>
  <c r="H238" i="19"/>
  <c r="Q238" i="19"/>
  <c r="F239" i="19"/>
  <c r="H239" i="19"/>
  <c r="Q239" i="19"/>
  <c r="F240" i="19"/>
  <c r="H240" i="19"/>
  <c r="Q240" i="19"/>
  <c r="F241" i="19"/>
  <c r="H241" i="19"/>
  <c r="Q241" i="19"/>
  <c r="F242" i="19"/>
  <c r="H242" i="19"/>
  <c r="Q242" i="19"/>
  <c r="F243" i="19"/>
  <c r="H243" i="19"/>
  <c r="Q243" i="19"/>
  <c r="F244" i="19"/>
  <c r="H244" i="19"/>
  <c r="Q244" i="19"/>
  <c r="F245" i="19"/>
  <c r="H245" i="19"/>
  <c r="Q245" i="19"/>
  <c r="F246" i="19"/>
  <c r="H246" i="19"/>
  <c r="Q246" i="19"/>
  <c r="F247" i="19"/>
  <c r="H247" i="19"/>
  <c r="Q247" i="19"/>
  <c r="F248" i="19"/>
  <c r="H248" i="19"/>
  <c r="Q248" i="19"/>
  <c r="F249" i="19"/>
  <c r="H249" i="19"/>
  <c r="Q249" i="19"/>
  <c r="F250" i="19"/>
  <c r="H250" i="19"/>
  <c r="Q250" i="19"/>
  <c r="F251" i="19"/>
  <c r="H251" i="19"/>
  <c r="Q251" i="19"/>
  <c r="F252" i="19"/>
  <c r="H252" i="19"/>
  <c r="Q252" i="19"/>
  <c r="F253" i="19"/>
  <c r="H253" i="19"/>
  <c r="Q253" i="19"/>
  <c r="F254" i="19"/>
  <c r="H254" i="19"/>
  <c r="Q254" i="19"/>
  <c r="F255" i="19"/>
  <c r="H255" i="19"/>
  <c r="Q255" i="19"/>
  <c r="F256" i="19"/>
  <c r="H256" i="19"/>
  <c r="Q256" i="19"/>
  <c r="F257" i="19"/>
  <c r="H257" i="19"/>
  <c r="Q257" i="19"/>
  <c r="F258" i="19"/>
  <c r="H258" i="19"/>
  <c r="Q258" i="19"/>
  <c r="F259" i="19"/>
  <c r="H259" i="19"/>
  <c r="Q259" i="19"/>
  <c r="F260" i="19"/>
  <c r="H260" i="19"/>
  <c r="Q260" i="19"/>
  <c r="F261" i="19"/>
  <c r="H261" i="19"/>
  <c r="Q261" i="19"/>
  <c r="F262" i="19"/>
  <c r="H262" i="19"/>
  <c r="Q262" i="19"/>
  <c r="F263" i="19"/>
  <c r="H263" i="19"/>
  <c r="Q263" i="19"/>
  <c r="F264" i="19"/>
  <c r="H264" i="19"/>
  <c r="Q264" i="19"/>
  <c r="F265" i="19"/>
  <c r="H265" i="19"/>
  <c r="Q265" i="19"/>
  <c r="F266" i="19"/>
  <c r="H266" i="19"/>
  <c r="Q266" i="19"/>
  <c r="F267" i="19"/>
  <c r="H267" i="19"/>
  <c r="Q267" i="19"/>
  <c r="F268" i="19"/>
  <c r="H268" i="19"/>
  <c r="Q268" i="19"/>
  <c r="F269" i="19"/>
  <c r="H269" i="19"/>
  <c r="Q269" i="19"/>
  <c r="F270" i="19"/>
  <c r="H270" i="19"/>
  <c r="Q270" i="19"/>
  <c r="F271" i="19"/>
  <c r="H271" i="19"/>
  <c r="Q271" i="19"/>
  <c r="F272" i="19"/>
  <c r="H272" i="19"/>
  <c r="Q272" i="19"/>
  <c r="F273" i="19"/>
  <c r="H273" i="19"/>
  <c r="Q273" i="19"/>
  <c r="F274" i="19"/>
  <c r="H274" i="19"/>
  <c r="Q274" i="19"/>
  <c r="F275" i="19"/>
  <c r="H275" i="19"/>
  <c r="Q275" i="19"/>
  <c r="F276" i="19"/>
  <c r="H276" i="19"/>
  <c r="Q276" i="19"/>
  <c r="F277" i="19"/>
  <c r="H277" i="19"/>
  <c r="Q277" i="19"/>
  <c r="F278" i="19"/>
  <c r="H278" i="19"/>
  <c r="Q278" i="19"/>
  <c r="F279" i="19"/>
  <c r="H279" i="19"/>
  <c r="Q279" i="19"/>
  <c r="F280" i="19"/>
  <c r="H280" i="19"/>
  <c r="Q280" i="19"/>
  <c r="F281" i="19"/>
  <c r="H281" i="19"/>
  <c r="Q281" i="19"/>
  <c r="F282" i="19"/>
  <c r="H282" i="19"/>
  <c r="Q282" i="19"/>
  <c r="F283" i="19"/>
  <c r="H283" i="19"/>
  <c r="Q283" i="19"/>
  <c r="F284" i="19"/>
  <c r="H284" i="19"/>
  <c r="Q284" i="19"/>
  <c r="F285" i="19"/>
  <c r="H285" i="19"/>
  <c r="Q285" i="19"/>
  <c r="F286" i="19"/>
  <c r="H286" i="19"/>
  <c r="Q286" i="19"/>
  <c r="F287" i="19"/>
  <c r="H287" i="19"/>
  <c r="Q287" i="19"/>
  <c r="F288" i="19"/>
  <c r="H288" i="19"/>
  <c r="Q288" i="19"/>
  <c r="F289" i="19"/>
  <c r="H289" i="19"/>
  <c r="Q289" i="19"/>
  <c r="F290" i="19"/>
  <c r="H290" i="19"/>
  <c r="Q290" i="19"/>
  <c r="F291" i="19"/>
  <c r="H291" i="19"/>
  <c r="Q291" i="19"/>
  <c r="F293" i="19"/>
  <c r="H293" i="19"/>
  <c r="Q293" i="19"/>
  <c r="F294" i="19"/>
  <c r="H294" i="19"/>
  <c r="Q294" i="19"/>
  <c r="F295" i="19"/>
  <c r="H295" i="19"/>
  <c r="Q295" i="19"/>
  <c r="F296" i="19"/>
  <c r="H296" i="19"/>
  <c r="Q296" i="19"/>
  <c r="F297" i="19"/>
  <c r="H297" i="19"/>
  <c r="Q297" i="19"/>
  <c r="F298" i="19"/>
  <c r="H298" i="19"/>
  <c r="Q298" i="19"/>
  <c r="F299" i="19"/>
  <c r="H299" i="19"/>
  <c r="Q299" i="19"/>
  <c r="F300" i="19"/>
  <c r="H300" i="19"/>
  <c r="Q300" i="19"/>
  <c r="F301" i="19"/>
  <c r="H301" i="19"/>
  <c r="Q301" i="19"/>
  <c r="F302" i="19"/>
  <c r="H302" i="19"/>
  <c r="Q302" i="19"/>
  <c r="F303" i="19"/>
  <c r="H303" i="19"/>
  <c r="Q303" i="19"/>
  <c r="F304" i="19"/>
  <c r="H304" i="19"/>
  <c r="Q304" i="19"/>
  <c r="F305" i="19"/>
  <c r="H305" i="19"/>
  <c r="Q305" i="19"/>
  <c r="F306" i="19"/>
  <c r="H306" i="19"/>
  <c r="Q306" i="19"/>
  <c r="F307" i="19"/>
  <c r="H307" i="19"/>
  <c r="Q307" i="19"/>
  <c r="F308" i="19"/>
  <c r="H308" i="19"/>
  <c r="Q308" i="19"/>
  <c r="F309" i="19"/>
  <c r="H309" i="19"/>
  <c r="Q309" i="19"/>
  <c r="F310" i="19"/>
  <c r="H310" i="19"/>
  <c r="Q310" i="19"/>
  <c r="F311" i="19"/>
  <c r="H311" i="19"/>
  <c r="Q311" i="19"/>
  <c r="F312" i="19"/>
  <c r="H312" i="19"/>
  <c r="Q312" i="19"/>
  <c r="F313" i="19"/>
  <c r="H313" i="19"/>
  <c r="Q313" i="19"/>
  <c r="F314" i="19"/>
  <c r="H314" i="19"/>
  <c r="Q314" i="19"/>
  <c r="F315" i="19"/>
  <c r="H315" i="19"/>
  <c r="Q315" i="19"/>
  <c r="F316" i="19"/>
  <c r="H316" i="19"/>
  <c r="Q316" i="19"/>
  <c r="F317" i="19"/>
  <c r="H317" i="19"/>
  <c r="Q317" i="19"/>
  <c r="F318" i="19"/>
  <c r="H318" i="19"/>
  <c r="Q318" i="19"/>
  <c r="F319" i="19"/>
  <c r="H319" i="19"/>
  <c r="Q319" i="19"/>
  <c r="F320" i="19"/>
  <c r="H320" i="19"/>
  <c r="Q320" i="19"/>
  <c r="F321" i="19"/>
  <c r="H321" i="19"/>
  <c r="Q321" i="19"/>
  <c r="F322" i="19"/>
  <c r="H322" i="19"/>
  <c r="Q322" i="19"/>
  <c r="F323" i="19"/>
  <c r="H323" i="19"/>
  <c r="Q323" i="19"/>
  <c r="F324" i="19"/>
  <c r="H324" i="19"/>
  <c r="Q324" i="19"/>
  <c r="F325" i="19"/>
  <c r="H325" i="19"/>
  <c r="Q325" i="19"/>
  <c r="F326" i="19"/>
  <c r="H326" i="19"/>
  <c r="Q326" i="19"/>
  <c r="F327" i="19"/>
  <c r="H327" i="19"/>
  <c r="Q327" i="19"/>
  <c r="F328" i="19"/>
  <c r="H328" i="19"/>
  <c r="Q328" i="19"/>
  <c r="F329" i="19"/>
  <c r="H329" i="19"/>
  <c r="Q329" i="19"/>
  <c r="F330" i="19"/>
  <c r="H330" i="19"/>
  <c r="Q330" i="19"/>
  <c r="F331" i="19"/>
  <c r="H331" i="19"/>
  <c r="Q331" i="19"/>
  <c r="F332" i="19"/>
  <c r="H332" i="19"/>
  <c r="Q332" i="19"/>
  <c r="F333" i="19"/>
  <c r="H333" i="19"/>
  <c r="Q333" i="19"/>
  <c r="F334" i="19"/>
  <c r="H334" i="19"/>
  <c r="Q334" i="19"/>
  <c r="F335" i="19"/>
  <c r="H335" i="19"/>
  <c r="Q335" i="19"/>
  <c r="F336" i="19"/>
  <c r="H336" i="19"/>
  <c r="Q336" i="19"/>
  <c r="F337" i="19"/>
  <c r="H337" i="19"/>
  <c r="Q337" i="19"/>
  <c r="F338" i="19"/>
  <c r="H338" i="19"/>
  <c r="Q338" i="19"/>
  <c r="F339" i="19"/>
  <c r="H339" i="19"/>
  <c r="Q339" i="19"/>
  <c r="F340" i="19"/>
  <c r="H340" i="19"/>
  <c r="Q340" i="19"/>
  <c r="F341" i="19"/>
  <c r="H341" i="19"/>
  <c r="Q341" i="19"/>
  <c r="F342" i="19"/>
  <c r="H342" i="19"/>
  <c r="Q342" i="19"/>
  <c r="F343" i="19"/>
  <c r="H343" i="19"/>
  <c r="Q343" i="19"/>
  <c r="F344" i="19"/>
  <c r="H344" i="19"/>
  <c r="Q344" i="19"/>
  <c r="F345" i="19"/>
  <c r="H345" i="19"/>
  <c r="Q345" i="19"/>
  <c r="F346" i="19"/>
  <c r="H346" i="19"/>
  <c r="Q346" i="19"/>
  <c r="F347" i="19"/>
  <c r="H347" i="19"/>
  <c r="Q347" i="19"/>
  <c r="F348" i="19"/>
  <c r="H348" i="19"/>
  <c r="Q348" i="19"/>
  <c r="F349" i="19"/>
  <c r="H349" i="19"/>
  <c r="Q349" i="19"/>
  <c r="F350" i="19"/>
  <c r="H350" i="19"/>
  <c r="Q350" i="19"/>
  <c r="F351" i="19"/>
  <c r="H351" i="19"/>
  <c r="Q351" i="19"/>
  <c r="F352" i="19"/>
  <c r="H352" i="19"/>
  <c r="Q352" i="19"/>
  <c r="F353" i="19"/>
  <c r="H353" i="19"/>
  <c r="Q353" i="19"/>
  <c r="F354" i="19"/>
  <c r="H354" i="19"/>
  <c r="Q354" i="19"/>
  <c r="F355" i="19"/>
  <c r="H355" i="19"/>
  <c r="Q355" i="19"/>
  <c r="F356" i="19"/>
  <c r="H356" i="19"/>
  <c r="Q356" i="19"/>
  <c r="F357" i="19"/>
  <c r="H357" i="19"/>
  <c r="Q357" i="19"/>
  <c r="F358" i="19"/>
  <c r="H358" i="19"/>
  <c r="Q358" i="19"/>
  <c r="F359" i="19"/>
  <c r="H359" i="19"/>
  <c r="Q359" i="19"/>
  <c r="F360" i="19"/>
  <c r="H360" i="19"/>
  <c r="Q360" i="19"/>
  <c r="F361" i="19"/>
  <c r="H361" i="19"/>
  <c r="Q361" i="19"/>
  <c r="Q362" i="19"/>
  <c r="F363" i="19"/>
  <c r="H363" i="19"/>
  <c r="Q363" i="19"/>
  <c r="F364" i="19"/>
  <c r="H364" i="19"/>
  <c r="Q364" i="19"/>
  <c r="F365" i="19"/>
  <c r="H365" i="19"/>
  <c r="Q365" i="19"/>
  <c r="F366" i="19"/>
  <c r="H366" i="19"/>
  <c r="Q366" i="19"/>
  <c r="F367" i="19"/>
  <c r="H367" i="19"/>
  <c r="Q367" i="19"/>
  <c r="F368" i="19"/>
  <c r="H368" i="19"/>
  <c r="Q368" i="19"/>
  <c r="F369" i="19"/>
  <c r="H369" i="19"/>
  <c r="Q369" i="19"/>
  <c r="F370" i="19"/>
  <c r="H370" i="19"/>
  <c r="Q370" i="19"/>
  <c r="Q371" i="19"/>
  <c r="F372" i="19"/>
  <c r="H372" i="19"/>
  <c r="Q372" i="19"/>
  <c r="F373" i="19"/>
  <c r="H373" i="19"/>
  <c r="Q373" i="19"/>
  <c r="F374" i="19"/>
  <c r="H374" i="19"/>
  <c r="Q374" i="19"/>
  <c r="F375" i="19"/>
  <c r="H375" i="19"/>
  <c r="Q375" i="19"/>
  <c r="F377" i="19"/>
  <c r="H377" i="19"/>
  <c r="Q377" i="19"/>
  <c r="F378" i="19"/>
  <c r="H378" i="19"/>
  <c r="Q378" i="19"/>
  <c r="F379" i="19"/>
  <c r="H379" i="19"/>
  <c r="Q379" i="19"/>
  <c r="F380" i="19"/>
  <c r="H380" i="19"/>
  <c r="Q380" i="19"/>
  <c r="F381" i="19"/>
  <c r="H381" i="19"/>
  <c r="Q381" i="19"/>
  <c r="F382" i="19"/>
  <c r="H382" i="19"/>
  <c r="Q382" i="19"/>
  <c r="F383" i="19"/>
  <c r="H383" i="19"/>
  <c r="Q383" i="19"/>
  <c r="F384" i="19"/>
  <c r="H384" i="19"/>
  <c r="Q384" i="19"/>
  <c r="F385" i="19"/>
  <c r="H385" i="19"/>
  <c r="Q385" i="19"/>
  <c r="F386" i="19"/>
  <c r="H386" i="19"/>
  <c r="Q386" i="19"/>
  <c r="F387" i="19"/>
  <c r="H387" i="19"/>
  <c r="Q387" i="19"/>
  <c r="F388" i="19"/>
  <c r="H388" i="19"/>
  <c r="Q388" i="19"/>
  <c r="F389" i="19"/>
  <c r="H389" i="19"/>
  <c r="Q389" i="19"/>
  <c r="F390" i="19"/>
  <c r="H390" i="19"/>
  <c r="Q390" i="19"/>
  <c r="F391" i="19"/>
  <c r="H391" i="19"/>
  <c r="Q391" i="19"/>
  <c r="F392" i="19"/>
  <c r="H392" i="19"/>
  <c r="Q392" i="19"/>
  <c r="F393" i="19"/>
  <c r="H393" i="19"/>
  <c r="Q393" i="19"/>
  <c r="F394" i="19"/>
  <c r="H394" i="19"/>
  <c r="Q394" i="19"/>
  <c r="F395" i="19"/>
  <c r="H395" i="19"/>
  <c r="Q395" i="19"/>
  <c r="F396" i="19"/>
  <c r="H396" i="19"/>
  <c r="Q396" i="19"/>
  <c r="F397" i="19"/>
  <c r="H397" i="19"/>
  <c r="Q397" i="19"/>
  <c r="F398" i="19"/>
  <c r="H398" i="19"/>
  <c r="Q398" i="19"/>
  <c r="F399" i="19"/>
  <c r="H399" i="19"/>
  <c r="Q399" i="19"/>
  <c r="F400" i="19"/>
  <c r="H400" i="19"/>
  <c r="Q400" i="19"/>
  <c r="Q401" i="19"/>
  <c r="F402" i="19"/>
  <c r="H402" i="19"/>
  <c r="Q402" i="19"/>
  <c r="F403" i="19"/>
  <c r="H403" i="19"/>
  <c r="Q403" i="19"/>
  <c r="F404" i="19"/>
  <c r="H404" i="19"/>
  <c r="Q404" i="19"/>
  <c r="F405" i="19"/>
  <c r="H405" i="19"/>
  <c r="Q405" i="19"/>
  <c r="F406" i="19"/>
  <c r="H406" i="19"/>
  <c r="Q406" i="19"/>
  <c r="F407" i="19"/>
  <c r="H407" i="19"/>
  <c r="Q407" i="19"/>
  <c r="F408" i="19"/>
  <c r="H408" i="19"/>
  <c r="Q408" i="19"/>
  <c r="F409" i="19"/>
  <c r="H409" i="19"/>
  <c r="Q409" i="19"/>
  <c r="F410" i="19"/>
  <c r="H410" i="19"/>
  <c r="Q410" i="19"/>
  <c r="F411" i="19"/>
  <c r="H411" i="19"/>
  <c r="Q411" i="19"/>
  <c r="F412" i="19"/>
  <c r="H412" i="19"/>
  <c r="Q412" i="19"/>
  <c r="F413" i="19"/>
  <c r="H413" i="19"/>
  <c r="Q413" i="19"/>
  <c r="F414" i="19"/>
  <c r="H414" i="19"/>
  <c r="Q414" i="19"/>
  <c r="F415" i="19"/>
  <c r="H415" i="19"/>
  <c r="Q415" i="19"/>
  <c r="F416" i="19"/>
  <c r="H416" i="19"/>
  <c r="Q416" i="19"/>
  <c r="F417" i="19"/>
  <c r="H417" i="19"/>
  <c r="Q417" i="19"/>
  <c r="Q418" i="19"/>
  <c r="F419" i="19"/>
  <c r="H419" i="19"/>
  <c r="Q419" i="19"/>
  <c r="F420" i="19"/>
  <c r="H420" i="19"/>
  <c r="Q420" i="19"/>
  <c r="Q421" i="19"/>
  <c r="F422" i="19"/>
  <c r="H422" i="19"/>
  <c r="Q422" i="19"/>
  <c r="F423" i="19"/>
  <c r="H423" i="19"/>
  <c r="Q423" i="19"/>
  <c r="F424" i="19"/>
  <c r="H424" i="19"/>
  <c r="Q424" i="19"/>
  <c r="F425" i="19"/>
  <c r="H425" i="19"/>
  <c r="Q425" i="19"/>
  <c r="F426" i="19"/>
  <c r="H426" i="19"/>
  <c r="Q426" i="19"/>
  <c r="F427" i="19"/>
  <c r="H427" i="19"/>
  <c r="Q427" i="19"/>
  <c r="F428" i="19"/>
  <c r="H428" i="19"/>
  <c r="Q428" i="19"/>
  <c r="F429" i="19"/>
  <c r="H429" i="19"/>
  <c r="Q429" i="19"/>
  <c r="Q430" i="19"/>
  <c r="F431" i="19"/>
  <c r="H431" i="19"/>
  <c r="Q431" i="19"/>
  <c r="F432" i="19"/>
  <c r="H432" i="19"/>
  <c r="Q432" i="19"/>
  <c r="F433" i="19"/>
  <c r="H433" i="19"/>
  <c r="Q433" i="19"/>
  <c r="F434" i="19"/>
  <c r="H434" i="19"/>
  <c r="Q434" i="19"/>
  <c r="F435" i="19"/>
  <c r="H435" i="19"/>
  <c r="Q435" i="19"/>
  <c r="F436" i="19"/>
  <c r="H436" i="19"/>
  <c r="Q436" i="19"/>
  <c r="F437" i="19"/>
  <c r="H437" i="19"/>
  <c r="Q437" i="19"/>
  <c r="F438" i="19"/>
  <c r="H438" i="19"/>
  <c r="Q438" i="19"/>
  <c r="F439" i="19"/>
  <c r="H439" i="19"/>
  <c r="Q439" i="19"/>
  <c r="F440" i="19"/>
  <c r="H440" i="19"/>
  <c r="Q440" i="19"/>
  <c r="F441" i="19"/>
  <c r="H441" i="19"/>
  <c r="Q441" i="19"/>
  <c r="F442" i="19"/>
  <c r="H442" i="19"/>
  <c r="Q442" i="19"/>
  <c r="F443" i="19"/>
  <c r="H443" i="19"/>
  <c r="Q443" i="19"/>
  <c r="F444" i="19"/>
  <c r="H444" i="19"/>
  <c r="Q444" i="19"/>
  <c r="F445" i="19"/>
  <c r="H445" i="19"/>
  <c r="Q445" i="19"/>
  <c r="F446" i="19"/>
  <c r="H446" i="19"/>
  <c r="Q446" i="19"/>
  <c r="F447" i="19"/>
  <c r="H447" i="19"/>
  <c r="Q447" i="19"/>
  <c r="F448" i="19"/>
  <c r="H448" i="19"/>
  <c r="Q448" i="19"/>
  <c r="F449" i="19"/>
  <c r="H449" i="19"/>
  <c r="Q449" i="19"/>
  <c r="F450" i="19"/>
  <c r="H450" i="19"/>
  <c r="Q450" i="19"/>
  <c r="F451" i="19"/>
  <c r="H451" i="19"/>
  <c r="Q451" i="19"/>
  <c r="Q452" i="19"/>
  <c r="F453" i="19"/>
  <c r="H453" i="19"/>
  <c r="Q453" i="19"/>
  <c r="F454" i="19"/>
  <c r="H454" i="19"/>
  <c r="Q454" i="19"/>
  <c r="F455" i="19"/>
  <c r="H455" i="19"/>
  <c r="Q455" i="19"/>
  <c r="F456" i="19"/>
  <c r="H456" i="19"/>
  <c r="Q456" i="19"/>
  <c r="F457" i="19"/>
  <c r="H457" i="19"/>
  <c r="Q457" i="19"/>
  <c r="F458" i="19"/>
  <c r="H458" i="19"/>
  <c r="Q458" i="19"/>
  <c r="F459" i="19"/>
  <c r="H459" i="19"/>
  <c r="Q459" i="19"/>
  <c r="F460" i="19"/>
  <c r="H460" i="19"/>
  <c r="Q460" i="19"/>
  <c r="F461" i="19"/>
  <c r="H461" i="19"/>
  <c r="Q461" i="19"/>
  <c r="F462" i="19"/>
  <c r="H462" i="19"/>
  <c r="Q462" i="19"/>
  <c r="F463" i="19"/>
  <c r="H463" i="19"/>
  <c r="Q463" i="19"/>
  <c r="F464" i="19"/>
  <c r="H464" i="19"/>
  <c r="Q464" i="19"/>
  <c r="F465" i="19"/>
  <c r="H465" i="19"/>
  <c r="Q465" i="19"/>
  <c r="F466" i="19"/>
  <c r="H466" i="19"/>
  <c r="Q466" i="19"/>
  <c r="F467" i="19"/>
  <c r="H467" i="19"/>
  <c r="Q467" i="19"/>
  <c r="F468" i="19"/>
  <c r="H468" i="19"/>
  <c r="Q468" i="19"/>
  <c r="F469" i="19"/>
  <c r="H469" i="19"/>
  <c r="Q469" i="19"/>
  <c r="F470" i="19"/>
  <c r="H470" i="19"/>
  <c r="Q470" i="19"/>
  <c r="F471" i="19"/>
  <c r="H471" i="19"/>
  <c r="Q471" i="19"/>
  <c r="F472" i="19"/>
  <c r="H472" i="19"/>
  <c r="Q472" i="19"/>
  <c r="F473" i="19"/>
  <c r="H473" i="19"/>
  <c r="Q473" i="19"/>
  <c r="F474" i="19"/>
  <c r="H474" i="19"/>
  <c r="Q474" i="19"/>
  <c r="F475" i="19"/>
  <c r="H475" i="19"/>
  <c r="Q475" i="19"/>
  <c r="F476" i="19"/>
  <c r="H476" i="19"/>
  <c r="Q476" i="19"/>
  <c r="F477" i="19"/>
  <c r="H477" i="19"/>
  <c r="Q477" i="19"/>
  <c r="F478" i="19"/>
  <c r="H478" i="19"/>
  <c r="Q478" i="19"/>
  <c r="F479" i="19"/>
  <c r="H479" i="19"/>
  <c r="Q479" i="19"/>
  <c r="F480" i="19"/>
  <c r="H480" i="19"/>
  <c r="Q480" i="19"/>
  <c r="F481" i="19"/>
  <c r="H481" i="19"/>
  <c r="Q481" i="19"/>
  <c r="F482" i="19"/>
  <c r="H482" i="19"/>
  <c r="Q482" i="19"/>
  <c r="F483" i="19"/>
  <c r="H483" i="19"/>
  <c r="Q483" i="19"/>
  <c r="F484" i="19"/>
  <c r="H484" i="19"/>
  <c r="Q484" i="19"/>
  <c r="F485" i="19"/>
  <c r="H485" i="19"/>
  <c r="Q485" i="19"/>
  <c r="F486" i="19"/>
  <c r="H486" i="19"/>
  <c r="Q486" i="19"/>
  <c r="F487" i="19"/>
  <c r="H487" i="19"/>
  <c r="Q487" i="19"/>
  <c r="F488" i="19"/>
  <c r="H488" i="19"/>
  <c r="Q488" i="19"/>
  <c r="F489" i="19"/>
  <c r="H489" i="19"/>
  <c r="Q489" i="19"/>
  <c r="F490" i="19"/>
  <c r="H490" i="19"/>
  <c r="Q490" i="19"/>
  <c r="F491" i="19"/>
  <c r="H491" i="19"/>
  <c r="Q491" i="19"/>
  <c r="F492" i="19"/>
  <c r="H492" i="19"/>
  <c r="Q492" i="19"/>
  <c r="F493" i="19"/>
  <c r="H493" i="19"/>
  <c r="Q493" i="19"/>
  <c r="F494" i="19"/>
  <c r="H494" i="19"/>
  <c r="Q494" i="19"/>
  <c r="F495" i="19"/>
  <c r="H495" i="19"/>
  <c r="Q495" i="19"/>
  <c r="F496" i="19"/>
  <c r="H496" i="19"/>
  <c r="Q496" i="19"/>
  <c r="F497" i="19"/>
  <c r="H497" i="19"/>
  <c r="Q497" i="19"/>
  <c r="F498" i="19"/>
  <c r="H498" i="19"/>
  <c r="Q498" i="19"/>
  <c r="F499" i="19"/>
  <c r="H499" i="19"/>
  <c r="Q499" i="19"/>
  <c r="F500" i="19"/>
  <c r="H500" i="19"/>
  <c r="Q500" i="19"/>
  <c r="F501" i="19"/>
  <c r="H501" i="19"/>
  <c r="Q501" i="19"/>
  <c r="F502" i="19"/>
  <c r="H502" i="19"/>
  <c r="Q502" i="19"/>
  <c r="F503" i="19"/>
  <c r="H503" i="19"/>
  <c r="Q503" i="19"/>
  <c r="F504" i="19"/>
  <c r="H504" i="19"/>
  <c r="Q504" i="19"/>
  <c r="F505" i="19"/>
  <c r="H505" i="19"/>
  <c r="Q505" i="19"/>
  <c r="F506" i="19"/>
  <c r="H506" i="19"/>
  <c r="Q506" i="19"/>
  <c r="F507" i="19"/>
  <c r="H507" i="19"/>
  <c r="Q507" i="19"/>
  <c r="F508" i="19"/>
  <c r="H508" i="19"/>
  <c r="Q508" i="19"/>
  <c r="F509" i="19"/>
  <c r="H509" i="19"/>
  <c r="Q509" i="19"/>
  <c r="F510" i="19"/>
  <c r="H510" i="19"/>
  <c r="Q510" i="19"/>
  <c r="F511" i="19"/>
  <c r="H511" i="19"/>
  <c r="Q511" i="19"/>
  <c r="F512" i="19"/>
  <c r="H512" i="19"/>
  <c r="Q512" i="19"/>
  <c r="F513" i="19"/>
  <c r="H513" i="19"/>
  <c r="Q513" i="19"/>
  <c r="F514" i="19"/>
  <c r="H514" i="19"/>
  <c r="Q514" i="19"/>
  <c r="F515" i="19"/>
  <c r="H515" i="19"/>
  <c r="Q515" i="19"/>
  <c r="F516" i="19"/>
  <c r="H516" i="19"/>
  <c r="Q516" i="19"/>
  <c r="F517" i="19"/>
  <c r="H517" i="19"/>
  <c r="Q517" i="19"/>
  <c r="F518" i="19"/>
  <c r="H518" i="19"/>
  <c r="Q518" i="19"/>
  <c r="F519" i="19"/>
  <c r="H519" i="19"/>
  <c r="Q519" i="19"/>
  <c r="F520" i="19"/>
  <c r="H520" i="19"/>
  <c r="Q520" i="19"/>
  <c r="F521" i="19"/>
  <c r="H521" i="19"/>
  <c r="Q521" i="19"/>
  <c r="F522" i="19"/>
  <c r="H522" i="19"/>
  <c r="Q522" i="19"/>
  <c r="F524" i="19"/>
  <c r="H524" i="19"/>
  <c r="Q524" i="19"/>
  <c r="F525" i="19"/>
  <c r="H525" i="19"/>
  <c r="Q525" i="19"/>
  <c r="F526" i="19"/>
  <c r="H526" i="19"/>
  <c r="Q526" i="19"/>
  <c r="F527" i="19"/>
  <c r="H527" i="19"/>
  <c r="Q527" i="19"/>
  <c r="F528" i="19"/>
  <c r="H528" i="19"/>
  <c r="Q528" i="19"/>
  <c r="F529" i="19"/>
  <c r="H529" i="19"/>
  <c r="Q529" i="19"/>
  <c r="F530" i="19"/>
  <c r="H530" i="19"/>
  <c r="Q530" i="19"/>
  <c r="F531" i="19"/>
  <c r="H531" i="19"/>
  <c r="Q531" i="19"/>
  <c r="F532" i="19"/>
  <c r="H532" i="19"/>
  <c r="Q532" i="19"/>
  <c r="F533" i="19"/>
  <c r="H533" i="19"/>
  <c r="Q533" i="19"/>
  <c r="F534" i="19"/>
  <c r="H534" i="19"/>
  <c r="Q534" i="19"/>
  <c r="F535" i="19"/>
  <c r="H535" i="19"/>
  <c r="Q535" i="19"/>
  <c r="F536" i="19"/>
  <c r="H536" i="19"/>
  <c r="Q536" i="19"/>
  <c r="F537" i="19"/>
  <c r="H537" i="19"/>
  <c r="Q537" i="19"/>
  <c r="F538" i="19"/>
  <c r="H538" i="19"/>
  <c r="Q538" i="19"/>
  <c r="F539" i="19"/>
  <c r="H539" i="19"/>
  <c r="Q539" i="19"/>
  <c r="F540" i="19"/>
  <c r="H540" i="19"/>
  <c r="Q540" i="19"/>
  <c r="F541" i="19"/>
  <c r="H541" i="19"/>
  <c r="Q541" i="19"/>
  <c r="F542" i="19"/>
  <c r="H542" i="19"/>
  <c r="Q542" i="19"/>
  <c r="F543" i="19"/>
  <c r="H543" i="19"/>
  <c r="Q543" i="19"/>
  <c r="F544" i="19"/>
  <c r="H544" i="19"/>
  <c r="Q544" i="19"/>
  <c r="F545" i="19"/>
  <c r="H545" i="19"/>
  <c r="Q545" i="19"/>
  <c r="F546" i="19"/>
  <c r="H546" i="19"/>
  <c r="Q546" i="19"/>
  <c r="F547" i="19"/>
  <c r="H547" i="19"/>
  <c r="Q547" i="19"/>
  <c r="F548" i="19"/>
  <c r="H548" i="19"/>
  <c r="Q548" i="19"/>
  <c r="F549" i="19"/>
  <c r="H549" i="19"/>
  <c r="Q549" i="19"/>
  <c r="F550" i="19"/>
  <c r="H550" i="19"/>
  <c r="Q550" i="19"/>
  <c r="F551" i="19"/>
  <c r="H551" i="19"/>
  <c r="Q551" i="19"/>
  <c r="F552" i="19"/>
  <c r="H552" i="19"/>
  <c r="Q552" i="19"/>
  <c r="F553" i="19"/>
  <c r="H553" i="19"/>
  <c r="Q553" i="19"/>
  <c r="F554" i="19"/>
  <c r="H554" i="19"/>
  <c r="Q554" i="19"/>
  <c r="F555" i="19"/>
  <c r="H555" i="19"/>
  <c r="Q555" i="19"/>
  <c r="F556" i="19"/>
  <c r="H556" i="19"/>
  <c r="Q556" i="19"/>
  <c r="F557" i="19"/>
  <c r="H557" i="19"/>
  <c r="Q557" i="19"/>
  <c r="F558" i="19"/>
  <c r="H558" i="19"/>
  <c r="Q558" i="19"/>
  <c r="F559" i="19"/>
  <c r="H559" i="19"/>
  <c r="Q559" i="19"/>
  <c r="F560" i="19"/>
  <c r="H560" i="19"/>
  <c r="Q560" i="19"/>
  <c r="F561" i="19"/>
  <c r="H561" i="19"/>
  <c r="Q561" i="19"/>
  <c r="F562" i="19"/>
  <c r="H562" i="19"/>
  <c r="Q562" i="19"/>
  <c r="Q563" i="19"/>
  <c r="F564" i="19"/>
  <c r="H564" i="19"/>
  <c r="Q564" i="19"/>
  <c r="F565" i="19"/>
  <c r="H565" i="19"/>
  <c r="Q565" i="19"/>
  <c r="F566" i="19"/>
  <c r="H566" i="19"/>
  <c r="Q566" i="19"/>
  <c r="F567" i="19"/>
  <c r="H567" i="19"/>
  <c r="Q567" i="19"/>
  <c r="F568" i="19"/>
  <c r="H568" i="19"/>
  <c r="Q568" i="19"/>
  <c r="F569" i="19"/>
  <c r="H569" i="19"/>
  <c r="Q569" i="19"/>
  <c r="F570" i="19"/>
  <c r="H570" i="19"/>
  <c r="Q570" i="19"/>
  <c r="Q571" i="19"/>
  <c r="F572" i="19"/>
  <c r="H572" i="19"/>
  <c r="Q572" i="19"/>
  <c r="F573" i="19"/>
  <c r="H573" i="19"/>
  <c r="Q573" i="19"/>
  <c r="F574" i="19"/>
  <c r="H574" i="19"/>
  <c r="Q574" i="19"/>
  <c r="F575" i="19"/>
  <c r="H575" i="19"/>
  <c r="Q575" i="19"/>
  <c r="F576" i="19"/>
  <c r="H576" i="19"/>
  <c r="Q576" i="19"/>
  <c r="F577" i="19"/>
  <c r="H577" i="19"/>
  <c r="Q577" i="19"/>
  <c r="F578" i="19"/>
  <c r="H578" i="19"/>
  <c r="Q578" i="19"/>
  <c r="F579" i="19"/>
  <c r="H579" i="19"/>
  <c r="Q579" i="19"/>
  <c r="Q580" i="19"/>
  <c r="F581" i="19"/>
  <c r="H581" i="19"/>
  <c r="Q581" i="19"/>
  <c r="F582" i="19"/>
  <c r="H582" i="19"/>
  <c r="Q582" i="19"/>
  <c r="F583" i="19"/>
  <c r="H583" i="19"/>
  <c r="Q583" i="19"/>
  <c r="Q584" i="19"/>
  <c r="F585" i="19"/>
  <c r="H585" i="19"/>
  <c r="Q585" i="19"/>
  <c r="F586" i="19"/>
  <c r="H586" i="19"/>
  <c r="Q586" i="19"/>
  <c r="Q587" i="19"/>
  <c r="F588" i="19"/>
  <c r="H588" i="19"/>
  <c r="Q588" i="19"/>
  <c r="F589" i="19"/>
  <c r="H589" i="19"/>
  <c r="Q589" i="19"/>
  <c r="F590" i="19"/>
  <c r="H590" i="19"/>
  <c r="Q590" i="19"/>
  <c r="Q591" i="19"/>
  <c r="F592" i="19"/>
  <c r="H592" i="19"/>
  <c r="Q592" i="19"/>
  <c r="F593" i="19"/>
  <c r="H593" i="19"/>
  <c r="Q593" i="19"/>
  <c r="F594" i="19"/>
  <c r="H594" i="19"/>
  <c r="Q594" i="19"/>
  <c r="F595" i="19"/>
  <c r="H595" i="19"/>
  <c r="Q595" i="19"/>
  <c r="F596" i="19"/>
  <c r="H596" i="19"/>
  <c r="Q596" i="19"/>
  <c r="F597" i="19"/>
  <c r="H597" i="19"/>
  <c r="Q597" i="19"/>
  <c r="F598" i="19"/>
  <c r="H598" i="19"/>
  <c r="Q598" i="19"/>
  <c r="F599" i="19"/>
  <c r="H599" i="19"/>
  <c r="Q599" i="19"/>
  <c r="F600" i="19"/>
  <c r="H600" i="19"/>
  <c r="Q600" i="19"/>
  <c r="F601" i="19"/>
  <c r="H601" i="19"/>
  <c r="Q601" i="19"/>
  <c r="F602" i="19"/>
  <c r="H602" i="19"/>
  <c r="Q602" i="19"/>
  <c r="F603" i="19"/>
  <c r="H603" i="19"/>
  <c r="Q603" i="19"/>
  <c r="F604" i="19"/>
  <c r="H604" i="19"/>
  <c r="Q604" i="19"/>
  <c r="F605" i="19"/>
  <c r="H605" i="19"/>
  <c r="Q605" i="19"/>
  <c r="F606" i="19"/>
  <c r="H606" i="19"/>
  <c r="Q606" i="19"/>
  <c r="F607" i="19"/>
  <c r="H607" i="19"/>
  <c r="Q607" i="19"/>
  <c r="F608" i="19"/>
  <c r="H608" i="19"/>
  <c r="Q608" i="19"/>
  <c r="F609" i="19"/>
  <c r="H609" i="19"/>
  <c r="Q609" i="19"/>
  <c r="Q611" i="19"/>
  <c r="F612" i="19"/>
  <c r="H612" i="19"/>
  <c r="Q612" i="19"/>
  <c r="F613" i="19"/>
  <c r="H613" i="19"/>
  <c r="Q613" i="19"/>
  <c r="F614" i="19"/>
  <c r="H614" i="19"/>
  <c r="Q614" i="19"/>
  <c r="F615" i="19"/>
  <c r="H615" i="19"/>
  <c r="Q615" i="19"/>
  <c r="F616" i="19"/>
  <c r="H616" i="19"/>
  <c r="Q616" i="19"/>
  <c r="F617" i="19"/>
  <c r="H617" i="19"/>
  <c r="Q617" i="19"/>
  <c r="F618" i="19"/>
  <c r="H618" i="19"/>
  <c r="Q618" i="19"/>
  <c r="F619" i="19"/>
  <c r="H619" i="19"/>
  <c r="Q619" i="19"/>
  <c r="F620" i="19"/>
  <c r="H620" i="19"/>
  <c r="Q620" i="19"/>
  <c r="F621" i="19"/>
  <c r="H621" i="19"/>
  <c r="Q621" i="19"/>
  <c r="F622" i="19"/>
  <c r="H622" i="19"/>
  <c r="Q622" i="19"/>
  <c r="Q623" i="19"/>
  <c r="F624" i="19"/>
  <c r="H624" i="19"/>
  <c r="Q624" i="19"/>
  <c r="F625" i="19"/>
  <c r="H625" i="19"/>
  <c r="Q625" i="19"/>
  <c r="Q626" i="19"/>
  <c r="F627" i="19"/>
  <c r="H627" i="19"/>
  <c r="Q627" i="19"/>
  <c r="F628" i="19"/>
  <c r="H628" i="19"/>
  <c r="Q628" i="19"/>
  <c r="F629" i="19"/>
  <c r="H629" i="19"/>
  <c r="Q629" i="19"/>
  <c r="F630" i="19"/>
  <c r="H630" i="19"/>
  <c r="Q630" i="19"/>
  <c r="Q631" i="19"/>
  <c r="F632" i="19"/>
  <c r="H632" i="19"/>
  <c r="Q632" i="19"/>
  <c r="F633" i="19"/>
  <c r="H633" i="19"/>
  <c r="Q633" i="19"/>
  <c r="F634" i="19"/>
  <c r="H634" i="19"/>
  <c r="Q634" i="19"/>
  <c r="F635" i="19"/>
  <c r="H635" i="19"/>
  <c r="Q635" i="19"/>
  <c r="F636" i="19"/>
  <c r="H636" i="19"/>
  <c r="Q636" i="19"/>
  <c r="Q637" i="19"/>
  <c r="F638" i="19"/>
  <c r="H638" i="19"/>
  <c r="Q638" i="19"/>
  <c r="F639" i="19"/>
  <c r="H639" i="19"/>
  <c r="Q639" i="19"/>
  <c r="F640" i="19"/>
  <c r="H640" i="19"/>
  <c r="Q640" i="19"/>
  <c r="F641" i="19"/>
  <c r="H641" i="19"/>
  <c r="Q641" i="19"/>
  <c r="F642" i="19"/>
  <c r="H642" i="19"/>
  <c r="Q642" i="19"/>
  <c r="F643" i="19"/>
  <c r="H643" i="19"/>
  <c r="Q643" i="19"/>
  <c r="F644" i="19"/>
  <c r="H644" i="19"/>
  <c r="Q644" i="19"/>
  <c r="F645" i="19"/>
  <c r="H645" i="19"/>
  <c r="Q645" i="19"/>
  <c r="F646" i="19"/>
  <c r="H646" i="19"/>
  <c r="Q646" i="19"/>
  <c r="F647" i="19"/>
  <c r="H647" i="19"/>
  <c r="Q647" i="19"/>
  <c r="F648" i="19"/>
  <c r="H648" i="19"/>
  <c r="Q648" i="19"/>
  <c r="F649" i="19"/>
  <c r="H649" i="19"/>
  <c r="Q649" i="19"/>
  <c r="F650" i="19"/>
  <c r="H650" i="19"/>
  <c r="Q650" i="19"/>
  <c r="F651" i="19"/>
  <c r="H651" i="19"/>
  <c r="Q651" i="19"/>
  <c r="F652" i="19"/>
  <c r="H652" i="19"/>
  <c r="Q652" i="19"/>
  <c r="F653" i="19"/>
  <c r="H653" i="19"/>
  <c r="Q653" i="19"/>
  <c r="F654" i="19"/>
  <c r="H654" i="19"/>
  <c r="Q654" i="19"/>
  <c r="F655" i="19"/>
  <c r="H655" i="19"/>
  <c r="Q655" i="19"/>
  <c r="F656" i="19"/>
  <c r="H656" i="19"/>
  <c r="Q656" i="19"/>
  <c r="F657" i="19"/>
  <c r="H657" i="19"/>
  <c r="Q657" i="19"/>
  <c r="Q658" i="19"/>
  <c r="Q659" i="19"/>
  <c r="F660" i="19"/>
  <c r="H660" i="19"/>
  <c r="Q660" i="19"/>
  <c r="F661" i="19"/>
  <c r="H661" i="19"/>
  <c r="Q661" i="19"/>
  <c r="F662" i="19"/>
  <c r="H662" i="19"/>
  <c r="Q662" i="19"/>
  <c r="F663" i="19"/>
  <c r="H663" i="19"/>
  <c r="Q663" i="19"/>
  <c r="F665" i="19"/>
  <c r="H665" i="19"/>
  <c r="Q665" i="19"/>
  <c r="F667" i="19"/>
  <c r="H667" i="19"/>
  <c r="Q667" i="19"/>
  <c r="F668" i="19"/>
  <c r="H668" i="19"/>
  <c r="Q668" i="19"/>
  <c r="F669" i="19"/>
  <c r="H669" i="19"/>
  <c r="Q669" i="19"/>
  <c r="F670" i="19"/>
  <c r="H670" i="19"/>
  <c r="Q670" i="19"/>
  <c r="F673" i="19"/>
  <c r="H673" i="19"/>
  <c r="Q673" i="19"/>
  <c r="F674" i="19"/>
  <c r="H674" i="19"/>
  <c r="Q674" i="19"/>
  <c r="F675" i="19"/>
  <c r="H675" i="19"/>
  <c r="Q675" i="19"/>
  <c r="Q676" i="19"/>
  <c r="F677" i="19"/>
  <c r="H677" i="19"/>
  <c r="Q677" i="19"/>
  <c r="F679" i="19"/>
  <c r="H679" i="19"/>
  <c r="Q679" i="19"/>
  <c r="F680" i="19"/>
  <c r="H680" i="19"/>
  <c r="Q680" i="19"/>
  <c r="F681" i="19"/>
  <c r="H681" i="19"/>
  <c r="Q681" i="19"/>
  <c r="F682" i="19"/>
  <c r="H682" i="19"/>
  <c r="Q682" i="19"/>
  <c r="Q684" i="19"/>
  <c r="Q685" i="19"/>
  <c r="F686" i="19"/>
  <c r="H686" i="19"/>
  <c r="Q686" i="19"/>
  <c r="F687" i="19"/>
  <c r="H687" i="19"/>
  <c r="Q687" i="19"/>
  <c r="F688" i="19"/>
  <c r="H688" i="19"/>
  <c r="Q688" i="19"/>
  <c r="F689" i="19"/>
  <c r="H689" i="19"/>
  <c r="Q689" i="19"/>
  <c r="F690" i="19"/>
  <c r="H690" i="19"/>
  <c r="Q690" i="19"/>
  <c r="F691" i="19"/>
  <c r="H691" i="19"/>
  <c r="Q691" i="19"/>
  <c r="F692" i="19"/>
  <c r="H692" i="19"/>
  <c r="Q692" i="19"/>
  <c r="F693" i="19"/>
  <c r="H693" i="19"/>
  <c r="Q693" i="19"/>
  <c r="F694" i="19"/>
  <c r="H694" i="19"/>
  <c r="Q694" i="19"/>
  <c r="Q695" i="19"/>
  <c r="F696" i="19"/>
  <c r="H696" i="19"/>
  <c r="Q696" i="19"/>
  <c r="F697" i="19"/>
  <c r="H697" i="19"/>
  <c r="Q697" i="19"/>
  <c r="F698" i="19"/>
  <c r="H698" i="19"/>
  <c r="Q698" i="19"/>
  <c r="Q700" i="19"/>
  <c r="F701" i="19"/>
  <c r="H701" i="19"/>
  <c r="Q701" i="19"/>
  <c r="F702" i="19"/>
  <c r="H702" i="19"/>
  <c r="Q702" i="19"/>
  <c r="F703" i="19"/>
  <c r="H703" i="19"/>
  <c r="Q703" i="19"/>
  <c r="F704" i="19"/>
  <c r="H704" i="19"/>
  <c r="Q704" i="19"/>
  <c r="F705" i="19"/>
  <c r="H705" i="19"/>
  <c r="Q705" i="19"/>
  <c r="F706" i="19"/>
  <c r="H706" i="19"/>
  <c r="Q706" i="19"/>
  <c r="F707" i="19"/>
  <c r="H707" i="19"/>
  <c r="Q707" i="19"/>
  <c r="Q708" i="19"/>
  <c r="F709" i="19"/>
  <c r="H709" i="19"/>
  <c r="Q709" i="19"/>
  <c r="F710" i="19"/>
  <c r="H710" i="19"/>
  <c r="Q710" i="19"/>
  <c r="F711" i="19"/>
  <c r="H711" i="19"/>
  <c r="Q711" i="19"/>
  <c r="Q713" i="19"/>
  <c r="F714" i="19"/>
  <c r="H714" i="19"/>
  <c r="Q714" i="19"/>
  <c r="F715" i="19"/>
  <c r="H715" i="19"/>
  <c r="Q715" i="19"/>
  <c r="F716" i="19"/>
  <c r="H716" i="19"/>
  <c r="Q716" i="19"/>
  <c r="F718" i="19"/>
  <c r="H718" i="19"/>
  <c r="Q718" i="19"/>
  <c r="F719" i="19"/>
  <c r="H719" i="19"/>
  <c r="Q719" i="19"/>
  <c r="F720" i="19"/>
  <c r="H720" i="19"/>
  <c r="Q720" i="19"/>
  <c r="F721" i="19"/>
  <c r="H721" i="19"/>
  <c r="Q721" i="19"/>
  <c r="F722" i="19"/>
  <c r="H722" i="19"/>
  <c r="Q722" i="19"/>
  <c r="F723" i="19"/>
  <c r="H723" i="19"/>
  <c r="Q723" i="19"/>
  <c r="F724" i="19"/>
  <c r="H724" i="19"/>
  <c r="Q724" i="19"/>
  <c r="F726" i="19"/>
  <c r="H726" i="19"/>
  <c r="Q726" i="19"/>
  <c r="F727" i="19"/>
  <c r="H727" i="19"/>
  <c r="Q727" i="19"/>
  <c r="F729" i="19"/>
  <c r="H729" i="19"/>
  <c r="Q729" i="19"/>
  <c r="F731" i="19"/>
  <c r="H731" i="19"/>
  <c r="Q731" i="19"/>
  <c r="F732" i="19"/>
  <c r="H732" i="19"/>
  <c r="Q732" i="19"/>
  <c r="F733" i="19"/>
  <c r="H733" i="19"/>
  <c r="Q733" i="19"/>
  <c r="F734" i="19"/>
  <c r="H734" i="19"/>
  <c r="Q734" i="19"/>
  <c r="F735" i="19"/>
  <c r="H735" i="19"/>
  <c r="Q735" i="19"/>
  <c r="Q738" i="19"/>
  <c r="F739" i="19"/>
  <c r="H739" i="19"/>
  <c r="Q739" i="19"/>
  <c r="F740" i="19"/>
  <c r="H740" i="19"/>
  <c r="Q740" i="19"/>
  <c r="F741" i="19"/>
  <c r="H741" i="19"/>
  <c r="Q741" i="19"/>
  <c r="F743" i="19"/>
  <c r="H743" i="19"/>
  <c r="Q743" i="19"/>
  <c r="Q744" i="19"/>
  <c r="F745" i="19"/>
  <c r="H745" i="19"/>
  <c r="Q745" i="19"/>
  <c r="F746" i="19"/>
  <c r="H746" i="19"/>
  <c r="Q746" i="19"/>
  <c r="F747" i="19"/>
  <c r="H747" i="19"/>
  <c r="Q747" i="19"/>
  <c r="F748" i="19"/>
  <c r="H748" i="19"/>
  <c r="Q748" i="19"/>
  <c r="Q749" i="19"/>
  <c r="Q750" i="19"/>
  <c r="F751" i="19"/>
  <c r="H751" i="19"/>
  <c r="Q751" i="19"/>
  <c r="F752" i="19"/>
  <c r="H752" i="19"/>
  <c r="Q752" i="19"/>
  <c r="F753" i="19"/>
  <c r="H753" i="19"/>
  <c r="Q753" i="19"/>
  <c r="F754" i="19"/>
  <c r="H754" i="19"/>
  <c r="Q754" i="19"/>
  <c r="F755" i="19"/>
  <c r="H755" i="19"/>
  <c r="Q755" i="19"/>
  <c r="F756" i="19"/>
  <c r="H756" i="19"/>
  <c r="Q756" i="19"/>
  <c r="F757" i="19"/>
  <c r="H757" i="19"/>
  <c r="Q757" i="19"/>
  <c r="F758" i="19"/>
  <c r="H758" i="19"/>
  <c r="Q758" i="19"/>
  <c r="F759" i="19"/>
  <c r="H759" i="19"/>
  <c r="Q759" i="19"/>
  <c r="F760" i="19"/>
  <c r="H760" i="19"/>
  <c r="Q760" i="19"/>
  <c r="F761" i="19"/>
  <c r="H761" i="19"/>
  <c r="Q761" i="19"/>
  <c r="Q762" i="19"/>
  <c r="F763" i="19"/>
  <c r="H763" i="19"/>
  <c r="Q763" i="19"/>
  <c r="F764" i="19"/>
  <c r="H764" i="19"/>
  <c r="Q764" i="19"/>
  <c r="F765" i="19"/>
  <c r="H765" i="19"/>
  <c r="Q765" i="19"/>
  <c r="F767" i="19"/>
  <c r="H767" i="19"/>
  <c r="Q767" i="19"/>
  <c r="F768" i="19"/>
  <c r="H768" i="19"/>
  <c r="Q768" i="19"/>
  <c r="F769" i="19"/>
  <c r="H769" i="19"/>
  <c r="Q769" i="19"/>
  <c r="F770" i="19"/>
  <c r="H770" i="19"/>
  <c r="Q770" i="19"/>
  <c r="Q771" i="19"/>
  <c r="F773" i="19"/>
  <c r="H773" i="19"/>
  <c r="Q773" i="19"/>
  <c r="F774" i="19"/>
  <c r="H774" i="19"/>
  <c r="Q774" i="19"/>
  <c r="F775" i="19"/>
  <c r="H775" i="19"/>
  <c r="Q775" i="19"/>
  <c r="F776" i="19"/>
  <c r="H776" i="19"/>
  <c r="Q776" i="19"/>
  <c r="F777" i="19"/>
  <c r="H777" i="19"/>
  <c r="Q777" i="19"/>
  <c r="F778" i="19"/>
  <c r="H778" i="19"/>
  <c r="Q778" i="19"/>
  <c r="T14" i="19"/>
  <c r="X14" i="19"/>
  <c r="U14" i="19"/>
  <c r="R699" i="19"/>
  <c r="R2220" i="19"/>
  <c r="R4209" i="19"/>
  <c r="R2502" i="19"/>
  <c r="R4210" i="19"/>
  <c r="R5044" i="19"/>
  <c r="F5521" i="19"/>
  <c r="H5521" i="19"/>
  <c r="F5197" i="19"/>
  <c r="H5197" i="19"/>
  <c r="F3470" i="19"/>
  <c r="H3470" i="19"/>
  <c r="Q3470" i="19"/>
  <c r="R3470" i="19"/>
  <c r="F3376" i="19"/>
  <c r="H3376" i="19"/>
  <c r="Q3376" i="19"/>
  <c r="F3030" i="19"/>
  <c r="H3030" i="19"/>
  <c r="F3646" i="19"/>
  <c r="H3646" i="19"/>
  <c r="Q3646" i="19"/>
  <c r="F3014" i="19"/>
  <c r="H3014" i="19"/>
  <c r="Q3014" i="19"/>
  <c r="R3014" i="19"/>
  <c r="F5650" i="19"/>
  <c r="H5650" i="19"/>
  <c r="R732" i="19"/>
  <c r="F5245" i="19"/>
  <c r="H5245" i="19"/>
  <c r="F5517" i="19"/>
  <c r="H5517" i="19"/>
  <c r="Q5517" i="19"/>
  <c r="R5517" i="19"/>
  <c r="R1343" i="19"/>
  <c r="R1875" i="19"/>
  <c r="F3542" i="19"/>
  <c r="H3542" i="19"/>
  <c r="R4477" i="19"/>
  <c r="R4373" i="19"/>
  <c r="R1660" i="19"/>
  <c r="R4368" i="19"/>
  <c r="R1522" i="19"/>
  <c r="R2172" i="19"/>
  <c r="R3835" i="19"/>
  <c r="F3609" i="19"/>
  <c r="H3609" i="19"/>
  <c r="Q3609" i="19"/>
  <c r="F5804" i="19"/>
  <c r="H5804" i="19"/>
  <c r="R1326" i="19"/>
  <c r="F3485" i="19"/>
  <c r="H3485" i="19"/>
  <c r="F5792" i="19"/>
  <c r="H5792" i="19"/>
  <c r="F2708" i="19"/>
  <c r="H2708" i="19"/>
  <c r="R1844" i="19"/>
  <c r="R4050" i="19"/>
  <c r="F5404" i="19"/>
  <c r="H5404" i="19"/>
  <c r="Q5404" i="19"/>
  <c r="R5404" i="19"/>
  <c r="F5400" i="19"/>
  <c r="H5400" i="19"/>
  <c r="R4650" i="19"/>
  <c r="R4945" i="19"/>
  <c r="F5392" i="19"/>
  <c r="H5392" i="19"/>
  <c r="Q5392" i="19"/>
  <c r="R5392" i="19"/>
  <c r="F5469" i="19"/>
  <c r="H5469" i="19"/>
  <c r="R4758" i="19"/>
  <c r="F5538" i="19"/>
  <c r="H5538" i="19"/>
  <c r="F5124" i="19"/>
  <c r="H5124" i="19"/>
  <c r="Q5124" i="19"/>
  <c r="R5124" i="19"/>
  <c r="F5488" i="19"/>
  <c r="H5488" i="19"/>
  <c r="Q5488" i="19"/>
  <c r="R5488" i="19"/>
  <c r="F5116" i="19"/>
  <c r="H5116" i="19"/>
  <c r="Q5116" i="19"/>
  <c r="R5116" i="19"/>
  <c r="F5530" i="19"/>
  <c r="H5530" i="19"/>
  <c r="F5293" i="19"/>
  <c r="H5293" i="19"/>
  <c r="R4599" i="19"/>
  <c r="F5171" i="19"/>
  <c r="H5171" i="19"/>
  <c r="Q5171" i="19"/>
  <c r="R5171" i="19"/>
  <c r="R4102" i="19"/>
  <c r="R2436" i="19"/>
  <c r="R1535" i="19"/>
  <c r="F5328" i="19"/>
  <c r="H5328" i="19"/>
  <c r="R1346" i="19"/>
  <c r="F5436" i="19"/>
  <c r="H5436" i="19"/>
  <c r="F5408" i="19"/>
  <c r="H5408" i="19"/>
  <c r="F5417" i="19"/>
  <c r="H5417" i="19"/>
  <c r="R726" i="19"/>
  <c r="R4953" i="19"/>
  <c r="F5413" i="19"/>
  <c r="H5413" i="19"/>
  <c r="Q5413" i="19"/>
  <c r="R5413" i="19"/>
  <c r="R4681" i="19"/>
  <c r="F5482" i="19"/>
  <c r="H5482" i="19"/>
  <c r="F5542" i="19"/>
  <c r="H5542" i="19"/>
  <c r="F5407" i="19"/>
  <c r="H5407" i="19"/>
  <c r="Q5407" i="19"/>
  <c r="R5407" i="19"/>
  <c r="R4521" i="19"/>
  <c r="R4886" i="19"/>
  <c r="F5145" i="19"/>
  <c r="H5145" i="19"/>
  <c r="F5501" i="19"/>
  <c r="H5501" i="19"/>
  <c r="F5141" i="19"/>
  <c r="H5141" i="19"/>
  <c r="Q5141" i="19"/>
  <c r="R5141" i="19"/>
  <c r="F5091" i="19"/>
  <c r="H5091" i="19"/>
  <c r="F5559" i="19"/>
  <c r="H5559" i="19"/>
  <c r="R5022" i="19"/>
  <c r="F5297" i="19"/>
  <c r="H5297" i="19"/>
  <c r="F5221" i="19"/>
  <c r="H5221" i="19"/>
  <c r="Q5221" i="19"/>
  <c r="R2447" i="19"/>
  <c r="F5337" i="19"/>
  <c r="H5337" i="19"/>
  <c r="F5421" i="19"/>
  <c r="H5421" i="19"/>
  <c r="Q5421" i="19"/>
  <c r="R5421" i="19"/>
  <c r="R5032" i="19"/>
  <c r="F5459" i="19"/>
  <c r="H5459" i="19"/>
  <c r="F5378" i="19"/>
  <c r="H5378" i="19"/>
  <c r="Q5378" i="19"/>
  <c r="R5378" i="19"/>
  <c r="R4663" i="19"/>
  <c r="F5426" i="19"/>
  <c r="H5426" i="19"/>
  <c r="R5048" i="19"/>
  <c r="F5495" i="19"/>
  <c r="H5495" i="19"/>
  <c r="Q5495" i="19"/>
  <c r="R5495" i="19"/>
  <c r="F5550" i="19"/>
  <c r="H5550" i="19"/>
  <c r="F5411" i="19"/>
  <c r="H5411" i="19"/>
  <c r="Q5411" i="19"/>
  <c r="R5411" i="19"/>
  <c r="F5149" i="19"/>
  <c r="H5149" i="19"/>
  <c r="Q5149" i="19"/>
  <c r="R5149" i="19"/>
  <c r="F5518" i="19"/>
  <c r="H5518" i="19"/>
  <c r="Q5518" i="19"/>
  <c r="R5518" i="19"/>
  <c r="F5076" i="19"/>
  <c r="H5076" i="19"/>
  <c r="Q5076" i="19"/>
  <c r="R5076" i="19"/>
  <c r="F5591" i="19"/>
  <c r="H5591" i="19"/>
  <c r="F5572" i="19"/>
  <c r="H5572" i="19"/>
  <c r="F5618" i="19"/>
  <c r="H5618" i="19"/>
  <c r="F5402" i="19"/>
  <c r="H5402" i="19"/>
  <c r="Q5402" i="19"/>
  <c r="R5402" i="19"/>
  <c r="R4036" i="19"/>
  <c r="R4019" i="19"/>
  <c r="F5161" i="19"/>
  <c r="H5161" i="19"/>
  <c r="R1289" i="19"/>
  <c r="F5262" i="19"/>
  <c r="H5262" i="19"/>
  <c r="Q5262" i="19"/>
  <c r="R5262" i="19"/>
  <c r="R4484" i="19"/>
  <c r="R2454" i="19"/>
  <c r="F5627" i="19"/>
  <c r="H5627" i="19"/>
  <c r="Q5627" i="19"/>
  <c r="R5627" i="19"/>
  <c r="R1645" i="19"/>
  <c r="R4686" i="19"/>
  <c r="R4754" i="19"/>
  <c r="F5249" i="19"/>
  <c r="H5249" i="19"/>
  <c r="Q5249" i="19"/>
  <c r="R2077" i="19"/>
  <c r="R1734" i="19"/>
  <c r="R4331" i="19"/>
  <c r="R1420" i="19"/>
  <c r="F5348" i="19"/>
  <c r="H5348" i="19"/>
  <c r="Q5348" i="19"/>
  <c r="R5348" i="19"/>
  <c r="R2429" i="19"/>
  <c r="F5114" i="19"/>
  <c r="H5114" i="19"/>
  <c r="Q5114" i="19"/>
  <c r="R5114" i="19"/>
  <c r="R4486" i="19"/>
  <c r="R3936" i="19"/>
  <c r="F3046" i="19"/>
  <c r="H3046" i="19"/>
  <c r="Q3046" i="19"/>
  <c r="R3931" i="19"/>
  <c r="R4114" i="19"/>
  <c r="R2181" i="19"/>
  <c r="R2166" i="19"/>
  <c r="R2273" i="19"/>
  <c r="R1494" i="19"/>
  <c r="F3540" i="19"/>
  <c r="H3540" i="19"/>
  <c r="Q3540" i="19"/>
  <c r="F2953" i="19"/>
  <c r="H2953" i="19"/>
  <c r="Q2953" i="19"/>
  <c r="R2953" i="19"/>
  <c r="F5395" i="19"/>
  <c r="H5395" i="19"/>
  <c r="R1816" i="19"/>
  <c r="F3640" i="19"/>
  <c r="H3640" i="19"/>
  <c r="F5800" i="19"/>
  <c r="H5800" i="19"/>
  <c r="F3292" i="19"/>
  <c r="H3292" i="19"/>
  <c r="Q3292" i="19"/>
  <c r="R3292" i="19"/>
  <c r="F5698" i="19"/>
  <c r="H5698" i="19"/>
  <c r="Q5698" i="19"/>
  <c r="F5636" i="19"/>
  <c r="H5636" i="19"/>
  <c r="Q5636" i="19"/>
  <c r="F5637" i="19"/>
  <c r="H5637" i="19"/>
  <c r="Q5637" i="19"/>
  <c r="Q5638" i="19"/>
  <c r="F5639" i="19"/>
  <c r="H5639" i="19"/>
  <c r="Q5639" i="19"/>
  <c r="F5640" i="19"/>
  <c r="H5640" i="19"/>
  <c r="Q5640" i="19"/>
  <c r="F5641" i="19"/>
  <c r="H5641" i="19"/>
  <c r="Q5641" i="19"/>
  <c r="F5642" i="19"/>
  <c r="H5642" i="19"/>
  <c r="Q5642" i="19"/>
  <c r="Q5643" i="19"/>
  <c r="F5644" i="19"/>
  <c r="H5644" i="19"/>
  <c r="Q5644" i="19"/>
  <c r="F5645" i="19"/>
  <c r="H5645" i="19"/>
  <c r="Q5645" i="19"/>
  <c r="Q5646" i="19"/>
  <c r="F5647" i="19"/>
  <c r="H5647" i="19"/>
  <c r="Q5647" i="19"/>
  <c r="F5648" i="19"/>
  <c r="H5648" i="19"/>
  <c r="Q5648" i="19"/>
  <c r="Q5650" i="19"/>
  <c r="F5651" i="19"/>
  <c r="H5651" i="19"/>
  <c r="Q5651" i="19"/>
  <c r="F5652" i="19"/>
  <c r="H5652" i="19"/>
  <c r="Q5652" i="19"/>
  <c r="Q5653" i="19"/>
  <c r="F5654" i="19"/>
  <c r="H5654" i="19"/>
  <c r="Q5654" i="19"/>
  <c r="F5655" i="19"/>
  <c r="H5655" i="19"/>
  <c r="Q5655" i="19"/>
  <c r="F5656" i="19"/>
  <c r="H5656" i="19"/>
  <c r="Q5656" i="19"/>
  <c r="F5657" i="19"/>
  <c r="H5657" i="19"/>
  <c r="Q5657" i="19"/>
  <c r="F5658" i="19"/>
  <c r="H5658" i="19"/>
  <c r="Q5658" i="19"/>
  <c r="F5659" i="19"/>
  <c r="H5659" i="19"/>
  <c r="Q5659" i="19"/>
  <c r="F5660" i="19"/>
  <c r="H5660" i="19"/>
  <c r="Q5660" i="19"/>
  <c r="F5661" i="19"/>
  <c r="H5661" i="19"/>
  <c r="Q5661" i="19"/>
  <c r="F5662" i="19"/>
  <c r="H5662" i="19"/>
  <c r="Q5662" i="19"/>
  <c r="F5663" i="19"/>
  <c r="H5663" i="19"/>
  <c r="Q5663" i="19"/>
  <c r="F5664" i="19"/>
  <c r="H5664" i="19"/>
  <c r="Q5664" i="19"/>
  <c r="F5665" i="19"/>
  <c r="H5665" i="19"/>
  <c r="Q5665" i="19"/>
  <c r="F5666" i="19"/>
  <c r="H5666" i="19"/>
  <c r="Q5666" i="19"/>
  <c r="F5667" i="19"/>
  <c r="H5667" i="19"/>
  <c r="Q5667" i="19"/>
  <c r="F5668" i="19"/>
  <c r="H5668" i="19"/>
  <c r="Q5668" i="19"/>
  <c r="F5669" i="19"/>
  <c r="H5669" i="19"/>
  <c r="Q5669" i="19"/>
  <c r="F5670" i="19"/>
  <c r="H5670" i="19"/>
  <c r="Q5670" i="19"/>
  <c r="F5671" i="19"/>
  <c r="H5671" i="19"/>
  <c r="Q5671" i="19"/>
  <c r="F5672" i="19"/>
  <c r="H5672" i="19"/>
  <c r="Q5672" i="19"/>
  <c r="F5673" i="19"/>
  <c r="H5673" i="19"/>
  <c r="Q5673" i="19"/>
  <c r="F5674" i="19"/>
  <c r="H5674" i="19"/>
  <c r="Q5674" i="19"/>
  <c r="F5675" i="19"/>
  <c r="H5675" i="19"/>
  <c r="Q5675" i="19"/>
  <c r="F5676" i="19"/>
  <c r="H5676" i="19"/>
  <c r="Q5676" i="19"/>
  <c r="F5677" i="19"/>
  <c r="H5677" i="19"/>
  <c r="Q5677" i="19"/>
  <c r="F5678" i="19"/>
  <c r="H5678" i="19"/>
  <c r="Q5678" i="19"/>
  <c r="F5679" i="19"/>
  <c r="H5679" i="19"/>
  <c r="Q5679" i="19"/>
  <c r="F5680" i="19"/>
  <c r="H5680" i="19"/>
  <c r="Q5680" i="19"/>
  <c r="F5681" i="19"/>
  <c r="H5681" i="19"/>
  <c r="Q5681" i="19"/>
  <c r="F5682" i="19"/>
  <c r="H5682" i="19"/>
  <c r="Q5682" i="19"/>
  <c r="F5683" i="19"/>
  <c r="H5683" i="19"/>
  <c r="Q5683" i="19"/>
  <c r="F5684" i="19"/>
  <c r="H5684" i="19"/>
  <c r="Q5684" i="19"/>
  <c r="F5685" i="19"/>
  <c r="H5685" i="19"/>
  <c r="Q5685" i="19"/>
  <c r="F5686" i="19"/>
  <c r="H5686" i="19"/>
  <c r="Q5686" i="19"/>
  <c r="F5687" i="19"/>
  <c r="H5687" i="19"/>
  <c r="Q5687" i="19"/>
  <c r="F5688" i="19"/>
  <c r="H5688" i="19"/>
  <c r="Q5688" i="19"/>
  <c r="F5689" i="19"/>
  <c r="H5689" i="19"/>
  <c r="Q5689" i="19"/>
  <c r="F5690" i="19"/>
  <c r="H5690" i="19"/>
  <c r="Q5690" i="19"/>
  <c r="F5691" i="19"/>
  <c r="H5691" i="19"/>
  <c r="Q5691" i="19"/>
  <c r="F5692" i="19"/>
  <c r="H5692" i="19"/>
  <c r="Q5692" i="19"/>
  <c r="F5693" i="19"/>
  <c r="H5693" i="19"/>
  <c r="Q5693" i="19"/>
  <c r="F5694" i="19"/>
  <c r="H5694" i="19"/>
  <c r="Q5694" i="19"/>
  <c r="F5695" i="19"/>
  <c r="H5695" i="19"/>
  <c r="Q5695" i="19"/>
  <c r="F5696" i="19"/>
  <c r="H5696" i="19"/>
  <c r="Q5696" i="19"/>
  <c r="F5697" i="19"/>
  <c r="H5697" i="19"/>
  <c r="Q5697" i="19"/>
  <c r="F5699" i="19"/>
  <c r="H5699" i="19"/>
  <c r="Q5699" i="19"/>
  <c r="F5700" i="19"/>
  <c r="H5700" i="19"/>
  <c r="Q5700" i="19"/>
  <c r="F5701" i="19"/>
  <c r="H5701" i="19"/>
  <c r="Q5701" i="19"/>
  <c r="F5702" i="19"/>
  <c r="H5702" i="19"/>
  <c r="Q5702" i="19"/>
  <c r="F5703" i="19"/>
  <c r="H5703" i="19"/>
  <c r="Q5703" i="19"/>
  <c r="F5704" i="19"/>
  <c r="H5704" i="19"/>
  <c r="Q5704" i="19"/>
  <c r="F5705" i="19"/>
  <c r="H5705" i="19"/>
  <c r="Q5705" i="19"/>
  <c r="F5706" i="19"/>
  <c r="H5706" i="19"/>
  <c r="Q5706" i="19"/>
  <c r="F5707" i="19"/>
  <c r="H5707" i="19"/>
  <c r="Q5707" i="19"/>
  <c r="F5708" i="19"/>
  <c r="H5708" i="19"/>
  <c r="Q5708" i="19"/>
  <c r="F5709" i="19"/>
  <c r="H5709" i="19"/>
  <c r="Q5709" i="19"/>
  <c r="F5710" i="19"/>
  <c r="H5710" i="19"/>
  <c r="Q5710" i="19"/>
  <c r="F5711" i="19"/>
  <c r="H5711" i="19"/>
  <c r="Q5711" i="19"/>
  <c r="F5712" i="19"/>
  <c r="H5712" i="19"/>
  <c r="Q5712" i="19"/>
  <c r="F5713" i="19"/>
  <c r="H5713" i="19"/>
  <c r="Q5713" i="19"/>
  <c r="F5714" i="19"/>
  <c r="H5714" i="19"/>
  <c r="Q5714" i="19"/>
  <c r="F5715" i="19"/>
  <c r="H5715" i="19"/>
  <c r="Q5715" i="19"/>
  <c r="F5716" i="19"/>
  <c r="H5716" i="19"/>
  <c r="Q5716" i="19"/>
  <c r="F5717" i="19"/>
  <c r="H5717" i="19"/>
  <c r="Q5717" i="19"/>
  <c r="F5718" i="19"/>
  <c r="H5718" i="19"/>
  <c r="Q5718" i="19"/>
  <c r="F5719" i="19"/>
  <c r="H5719" i="19"/>
  <c r="Q5719" i="19"/>
  <c r="F5720" i="19"/>
  <c r="H5720" i="19"/>
  <c r="Q5720" i="19"/>
  <c r="F5721" i="19"/>
  <c r="H5721" i="19"/>
  <c r="Q5721" i="19"/>
  <c r="F5722" i="19"/>
  <c r="H5722" i="19"/>
  <c r="Q5722" i="19"/>
  <c r="F5723" i="19"/>
  <c r="H5723" i="19"/>
  <c r="Q5723" i="19"/>
  <c r="F5724" i="19"/>
  <c r="H5724" i="19"/>
  <c r="Q5724" i="19"/>
  <c r="F5726" i="19"/>
  <c r="H5726" i="19"/>
  <c r="Q5726" i="19"/>
  <c r="F5727" i="19"/>
  <c r="H5727" i="19"/>
  <c r="Q5727" i="19"/>
  <c r="F5728" i="19"/>
  <c r="H5728" i="19"/>
  <c r="Q5728" i="19"/>
  <c r="F5729" i="19"/>
  <c r="H5729" i="19"/>
  <c r="Q5729" i="19"/>
  <c r="F5730" i="19"/>
  <c r="H5730" i="19"/>
  <c r="Q5730" i="19"/>
  <c r="F5731" i="19"/>
  <c r="H5731" i="19"/>
  <c r="Q5731" i="19"/>
  <c r="F5732" i="19"/>
  <c r="H5732" i="19"/>
  <c r="Q5732" i="19"/>
  <c r="F5733" i="19"/>
  <c r="H5733" i="19"/>
  <c r="Q5733" i="19"/>
  <c r="F5734" i="19"/>
  <c r="H5734" i="19"/>
  <c r="Q5734" i="19"/>
  <c r="F5735" i="19"/>
  <c r="H5735" i="19"/>
  <c r="Q5735" i="19"/>
  <c r="F5736" i="19"/>
  <c r="H5736" i="19"/>
  <c r="Q5736" i="19"/>
  <c r="F5737" i="19"/>
  <c r="H5737" i="19"/>
  <c r="Q5737" i="19"/>
  <c r="F5738" i="19"/>
  <c r="H5738" i="19"/>
  <c r="Q5738" i="19"/>
  <c r="F5739" i="19"/>
  <c r="H5739" i="19"/>
  <c r="Q5739" i="19"/>
  <c r="F5740" i="19"/>
  <c r="H5740" i="19"/>
  <c r="Q5740" i="19"/>
  <c r="F5741" i="19"/>
  <c r="H5741" i="19"/>
  <c r="Q5741" i="19"/>
  <c r="F5742" i="19"/>
  <c r="H5742" i="19"/>
  <c r="Q5742" i="19"/>
  <c r="F5743" i="19"/>
  <c r="H5743" i="19"/>
  <c r="Q5743" i="19"/>
  <c r="F5744" i="19"/>
  <c r="H5744" i="19"/>
  <c r="Q5744" i="19"/>
  <c r="F5745" i="19"/>
  <c r="H5745" i="19"/>
  <c r="Q5745" i="19"/>
  <c r="F5746" i="19"/>
  <c r="H5746" i="19"/>
  <c r="Q5746" i="19"/>
  <c r="F5747" i="19"/>
  <c r="H5747" i="19"/>
  <c r="Q5747" i="19"/>
  <c r="F5748" i="19"/>
  <c r="H5748" i="19"/>
  <c r="Q5748" i="19"/>
  <c r="F5749" i="19"/>
  <c r="H5749" i="19"/>
  <c r="Q5749" i="19"/>
  <c r="F5750" i="19"/>
  <c r="H5750" i="19"/>
  <c r="Q5750" i="19"/>
  <c r="F5751" i="19"/>
  <c r="H5751" i="19"/>
  <c r="Q5751" i="19"/>
  <c r="F5752" i="19"/>
  <c r="H5752" i="19"/>
  <c r="Q5752" i="19"/>
  <c r="T24" i="19"/>
  <c r="X24" i="19"/>
  <c r="U24" i="19"/>
  <c r="R5698" i="19"/>
  <c r="F2812" i="19"/>
  <c r="H2812" i="19"/>
  <c r="F3312" i="19"/>
  <c r="H3312" i="19"/>
  <c r="F5868" i="19"/>
  <c r="H5868" i="19"/>
  <c r="F2777" i="19"/>
  <c r="H2777" i="19"/>
  <c r="Q2777" i="19"/>
  <c r="R2777" i="19"/>
  <c r="R4195" i="19"/>
  <c r="F3377" i="19"/>
  <c r="H3377" i="19"/>
  <c r="F2947" i="19"/>
  <c r="H2947" i="19"/>
  <c r="R5735" i="19"/>
  <c r="R4104" i="19"/>
  <c r="F3527" i="19"/>
  <c r="H3527" i="19"/>
  <c r="F2830" i="19"/>
  <c r="H2830" i="19"/>
  <c r="F2556" i="19"/>
  <c r="H2556" i="19"/>
  <c r="F3047" i="19"/>
  <c r="H3047" i="19"/>
  <c r="Q3047" i="19"/>
  <c r="F2539" i="19"/>
  <c r="H2539" i="19"/>
  <c r="R3133" i="19"/>
  <c r="R5733" i="19"/>
  <c r="F3636" i="19"/>
  <c r="H3636" i="19"/>
  <c r="Q3636" i="19"/>
  <c r="R3636" i="19"/>
  <c r="R3261" i="19"/>
  <c r="F2892" i="19"/>
  <c r="H2892" i="19"/>
  <c r="F2964" i="19"/>
  <c r="H2964" i="19"/>
  <c r="Q2964" i="19"/>
  <c r="R2964" i="19"/>
  <c r="F2720" i="19"/>
  <c r="H2720" i="19"/>
  <c r="Q2720" i="19"/>
  <c r="R2720" i="19"/>
  <c r="F3386" i="19"/>
  <c r="H3386" i="19"/>
  <c r="Q3386" i="19"/>
  <c r="F2946" i="19"/>
  <c r="H2946" i="19"/>
  <c r="R1925" i="19"/>
  <c r="F3441" i="19"/>
  <c r="H3441" i="19"/>
  <c r="R5654" i="19"/>
  <c r="R4709" i="19"/>
  <c r="F2823" i="19"/>
  <c r="H2823" i="19"/>
  <c r="R3158" i="19"/>
  <c r="R2029" i="19"/>
  <c r="F2748" i="19"/>
  <c r="H2748" i="19"/>
  <c r="F3402" i="19"/>
  <c r="H3402" i="19"/>
  <c r="Q3402" i="19"/>
  <c r="R5690" i="19"/>
  <c r="R1898" i="19"/>
  <c r="F3303" i="19"/>
  <c r="H3303" i="19"/>
  <c r="F5820" i="19"/>
  <c r="H5820" i="19"/>
  <c r="Q5820" i="19"/>
  <c r="F3481" i="19"/>
  <c r="H3481" i="19"/>
  <c r="R3693" i="19"/>
  <c r="F3013" i="19"/>
  <c r="H3013" i="19"/>
  <c r="Q3013" i="19"/>
  <c r="R3013" i="19"/>
  <c r="F2975" i="19"/>
  <c r="H2975" i="19"/>
  <c r="Q2975" i="19"/>
  <c r="F3610" i="19"/>
  <c r="H3610" i="19"/>
  <c r="F5179" i="19"/>
  <c r="H5179" i="19"/>
  <c r="F5396" i="19"/>
  <c r="H5396" i="19"/>
  <c r="F5599" i="19"/>
  <c r="H5599" i="19"/>
  <c r="Q5599" i="19"/>
  <c r="R5599" i="19"/>
  <c r="F5614" i="19"/>
  <c r="H5614" i="19"/>
  <c r="Q5614" i="19"/>
  <c r="R5614" i="19"/>
  <c r="R4700" i="19"/>
  <c r="F5412" i="19"/>
  <c r="H5412" i="19"/>
  <c r="R1281" i="19"/>
  <c r="F5222" i="19"/>
  <c r="H5222" i="19"/>
  <c r="Q5222" i="19"/>
  <c r="R5222" i="19"/>
  <c r="F5275" i="19"/>
  <c r="H5275" i="19"/>
  <c r="Q5275" i="19"/>
  <c r="R5275" i="19"/>
  <c r="F5165" i="19"/>
  <c r="H5165" i="19"/>
  <c r="Q5165" i="19"/>
  <c r="R5165" i="19"/>
  <c r="R2104" i="19"/>
  <c r="R5004" i="19"/>
  <c r="R4554" i="19"/>
  <c r="R4712" i="19"/>
  <c r="F5254" i="19"/>
  <c r="H5254" i="19"/>
  <c r="Q5254" i="19"/>
  <c r="R5254" i="19"/>
  <c r="R2086" i="19"/>
  <c r="R1738" i="19"/>
  <c r="R4072" i="19"/>
  <c r="R4838" i="19"/>
  <c r="R3921" i="19"/>
  <c r="R4221" i="19"/>
  <c r="R23" i="19"/>
  <c r="R2065" i="19"/>
  <c r="F5615" i="19"/>
  <c r="H5615" i="19"/>
  <c r="F3474" i="19"/>
  <c r="H3474" i="19"/>
  <c r="Q3474" i="19"/>
  <c r="F3462" i="19"/>
  <c r="H3462" i="19"/>
  <c r="Q3462" i="19"/>
  <c r="F3463" i="19"/>
  <c r="H3463" i="19"/>
  <c r="Q3463" i="19"/>
  <c r="F3464" i="19"/>
  <c r="H3464" i="19"/>
  <c r="Q3464" i="19"/>
  <c r="Q3465" i="19"/>
  <c r="Q3466" i="19"/>
  <c r="F3467" i="19"/>
  <c r="H3467" i="19"/>
  <c r="Q3467" i="19"/>
  <c r="F3468" i="19"/>
  <c r="H3468" i="19"/>
  <c r="Q3468" i="19"/>
  <c r="F3469" i="19"/>
  <c r="H3469" i="19"/>
  <c r="Q3469" i="19"/>
  <c r="F3471" i="19"/>
  <c r="H3471" i="19"/>
  <c r="Q3471" i="19"/>
  <c r="F3472" i="19"/>
  <c r="H3472" i="19"/>
  <c r="Q3472" i="19"/>
  <c r="F3473" i="19"/>
  <c r="H3473" i="19"/>
  <c r="Q3473" i="19"/>
  <c r="F3475" i="19"/>
  <c r="H3475" i="19"/>
  <c r="Q3475" i="19"/>
  <c r="F3476" i="19"/>
  <c r="H3476" i="19"/>
  <c r="Q3476" i="19"/>
  <c r="F3477" i="19"/>
  <c r="H3477" i="19"/>
  <c r="Q3477" i="19"/>
  <c r="F3478" i="19"/>
  <c r="H3478" i="19"/>
  <c r="Q3478" i="19"/>
  <c r="F3479" i="19"/>
  <c r="H3479" i="19"/>
  <c r="Q3479" i="19"/>
  <c r="F3480" i="19"/>
  <c r="H3480" i="19"/>
  <c r="Q3480" i="19"/>
  <c r="Q3481" i="19"/>
  <c r="F3482" i="19"/>
  <c r="H3482" i="19"/>
  <c r="Q3482" i="19"/>
  <c r="Q3483" i="19"/>
  <c r="F3484" i="19"/>
  <c r="H3484" i="19"/>
  <c r="Q3484" i="19"/>
  <c r="Q3485" i="19"/>
  <c r="F3486" i="19"/>
  <c r="H3486" i="19"/>
  <c r="Q3486" i="19"/>
  <c r="Q3487" i="19"/>
  <c r="F3488" i="19"/>
  <c r="H3488" i="19"/>
  <c r="Q3488" i="19"/>
  <c r="F3489" i="19"/>
  <c r="H3489" i="19"/>
  <c r="Q3489" i="19"/>
  <c r="F3490" i="19"/>
  <c r="H3490" i="19"/>
  <c r="Q3490" i="19"/>
  <c r="F3491" i="19"/>
  <c r="H3491" i="19"/>
  <c r="Q3491" i="19"/>
  <c r="F3492" i="19"/>
  <c r="H3492" i="19"/>
  <c r="Q3492" i="19"/>
  <c r="F3493" i="19"/>
  <c r="H3493" i="19"/>
  <c r="Q3493" i="19"/>
  <c r="F3494" i="19"/>
  <c r="H3494" i="19"/>
  <c r="Q3494" i="19"/>
  <c r="Q3495" i="19"/>
  <c r="F3496" i="19"/>
  <c r="H3496" i="19"/>
  <c r="Q3496" i="19"/>
  <c r="F3497" i="19"/>
  <c r="H3497" i="19"/>
  <c r="Q3497" i="19"/>
  <c r="F3498" i="19"/>
  <c r="H3498" i="19"/>
  <c r="Q3498" i="19"/>
  <c r="F3499" i="19"/>
  <c r="H3499" i="19"/>
  <c r="Q3499" i="19"/>
  <c r="F3500" i="19"/>
  <c r="H3500" i="19"/>
  <c r="Q3500" i="19"/>
  <c r="F3501" i="19"/>
  <c r="H3501" i="19"/>
  <c r="Q3501" i="19"/>
  <c r="F3502" i="19"/>
  <c r="H3502" i="19"/>
  <c r="Q3502" i="19"/>
  <c r="F3503" i="19"/>
  <c r="H3503" i="19"/>
  <c r="Q3503" i="19"/>
  <c r="F3504" i="19"/>
  <c r="H3504" i="19"/>
  <c r="Q3504" i="19"/>
  <c r="F3505" i="19"/>
  <c r="H3505" i="19"/>
  <c r="Q3505" i="19"/>
  <c r="F3506" i="19"/>
  <c r="H3506" i="19"/>
  <c r="Q3506" i="19"/>
  <c r="F3507" i="19"/>
  <c r="H3507" i="19"/>
  <c r="Q3507" i="19"/>
  <c r="F3508" i="19"/>
  <c r="H3508" i="19"/>
  <c r="Q3508" i="19"/>
  <c r="F3509" i="19"/>
  <c r="H3509" i="19"/>
  <c r="Q3509" i="19"/>
  <c r="F3510" i="19"/>
  <c r="H3510" i="19"/>
  <c r="Q3510" i="19"/>
  <c r="F3511" i="19"/>
  <c r="H3511" i="19"/>
  <c r="Q3511" i="19"/>
  <c r="F3512" i="19"/>
  <c r="H3512" i="19"/>
  <c r="Q3512" i="19"/>
  <c r="F3513" i="19"/>
  <c r="H3513" i="19"/>
  <c r="Q3513" i="19"/>
  <c r="Q3514" i="19"/>
  <c r="F3515" i="19"/>
  <c r="H3515" i="19"/>
  <c r="Q3515" i="19"/>
  <c r="Q3516" i="19"/>
  <c r="F3517" i="19"/>
  <c r="H3517" i="19"/>
  <c r="Q3517" i="19"/>
  <c r="F3518" i="19"/>
  <c r="H3518" i="19"/>
  <c r="Q3518" i="19"/>
  <c r="F3519" i="19"/>
  <c r="H3519" i="19"/>
  <c r="Q3519" i="19"/>
  <c r="F3520" i="19"/>
  <c r="H3520" i="19"/>
  <c r="Q3520" i="19"/>
  <c r="F3521" i="19"/>
  <c r="H3521" i="19"/>
  <c r="Q3521" i="19"/>
  <c r="F3522" i="19"/>
  <c r="H3522" i="19"/>
  <c r="Q3522" i="19"/>
  <c r="F3523" i="19"/>
  <c r="H3523" i="19"/>
  <c r="Q3523" i="19"/>
  <c r="F3524" i="19"/>
  <c r="H3524" i="19"/>
  <c r="Q3524" i="19"/>
  <c r="Q3525" i="19"/>
  <c r="F3526" i="19"/>
  <c r="H3526" i="19"/>
  <c r="Q3526" i="19"/>
  <c r="Q3527" i="19"/>
  <c r="F3528" i="19"/>
  <c r="H3528" i="19"/>
  <c r="Q3528" i="19"/>
  <c r="F3529" i="19"/>
  <c r="H3529" i="19"/>
  <c r="Q3529" i="19"/>
  <c r="F3530" i="19"/>
  <c r="H3530" i="19"/>
  <c r="Q3530" i="19"/>
  <c r="F3531" i="19"/>
  <c r="H3531" i="19"/>
  <c r="Q3531" i="19"/>
  <c r="F3532" i="19"/>
  <c r="H3532" i="19"/>
  <c r="Q3532" i="19"/>
  <c r="Q3533" i="19"/>
  <c r="F3534" i="19"/>
  <c r="H3534" i="19"/>
  <c r="Q3534" i="19"/>
  <c r="F3535" i="19"/>
  <c r="H3535" i="19"/>
  <c r="Q3535" i="19"/>
  <c r="F3536" i="19"/>
  <c r="H3536" i="19"/>
  <c r="Q3536" i="19"/>
  <c r="F3537" i="19"/>
  <c r="H3537" i="19"/>
  <c r="Q3537" i="19"/>
  <c r="F3538" i="19"/>
  <c r="H3538" i="19"/>
  <c r="Q3538" i="19"/>
  <c r="Q3539" i="19"/>
  <c r="F3541" i="19"/>
  <c r="H3541" i="19"/>
  <c r="Q3541" i="19"/>
  <c r="Q3542" i="19"/>
  <c r="F3543" i="19"/>
  <c r="H3543" i="19"/>
  <c r="Q3543" i="19"/>
  <c r="F3544" i="19"/>
  <c r="H3544" i="19"/>
  <c r="Q3544" i="19"/>
  <c r="F3545" i="19"/>
  <c r="H3545" i="19"/>
  <c r="Q3545" i="19"/>
  <c r="F3546" i="19"/>
  <c r="H3546" i="19"/>
  <c r="Q3546" i="19"/>
  <c r="F3547" i="19"/>
  <c r="H3547" i="19"/>
  <c r="Q3547" i="19"/>
  <c r="F3548" i="19"/>
  <c r="H3548" i="19"/>
  <c r="Q3548" i="19"/>
  <c r="F3549" i="19"/>
  <c r="H3549" i="19"/>
  <c r="Q3549" i="19"/>
  <c r="F3550" i="19"/>
  <c r="H3550" i="19"/>
  <c r="Q3550" i="19"/>
  <c r="F3551" i="19"/>
  <c r="H3551" i="19"/>
  <c r="Q3551" i="19"/>
  <c r="F3552" i="19"/>
  <c r="H3552" i="19"/>
  <c r="Q3552" i="19"/>
  <c r="F3553" i="19"/>
  <c r="H3553" i="19"/>
  <c r="Q3553" i="19"/>
  <c r="F3554" i="19"/>
  <c r="H3554" i="19"/>
  <c r="Q3554" i="19"/>
  <c r="Q3555" i="19"/>
  <c r="F3556" i="19"/>
  <c r="H3556" i="19"/>
  <c r="Q3556" i="19"/>
  <c r="F3557" i="19"/>
  <c r="H3557" i="19"/>
  <c r="Q3557" i="19"/>
  <c r="F3558" i="19"/>
  <c r="H3558" i="19"/>
  <c r="Q3558" i="19"/>
  <c r="F3559" i="19"/>
  <c r="H3559" i="19"/>
  <c r="Q3559" i="19"/>
  <c r="F3560" i="19"/>
  <c r="H3560" i="19"/>
  <c r="Q3560" i="19"/>
  <c r="F3561" i="19"/>
  <c r="H3561" i="19"/>
  <c r="Q3561" i="19"/>
  <c r="F3564" i="19"/>
  <c r="H3564" i="19"/>
  <c r="Q3564" i="19"/>
  <c r="F3565" i="19"/>
  <c r="H3565" i="19"/>
  <c r="Q3565" i="19"/>
  <c r="F3566" i="19"/>
  <c r="H3566" i="19"/>
  <c r="Q3566" i="19"/>
  <c r="F3567" i="19"/>
  <c r="H3567" i="19"/>
  <c r="Q3567" i="19"/>
  <c r="F3568" i="19"/>
  <c r="H3568" i="19"/>
  <c r="Q3568" i="19"/>
  <c r="F3569" i="19"/>
  <c r="H3569" i="19"/>
  <c r="Q3569" i="19"/>
  <c r="F3570" i="19"/>
  <c r="H3570" i="19"/>
  <c r="Q3570" i="19"/>
  <c r="F3571" i="19"/>
  <c r="H3571" i="19"/>
  <c r="Q3571" i="19"/>
  <c r="F3572" i="19"/>
  <c r="H3572" i="19"/>
  <c r="Q3572" i="19"/>
  <c r="F3573" i="19"/>
  <c r="H3573" i="19"/>
  <c r="Q3573" i="19"/>
  <c r="F3574" i="19"/>
  <c r="H3574" i="19"/>
  <c r="Q3574" i="19"/>
  <c r="Q3575" i="19"/>
  <c r="F3576" i="19"/>
  <c r="H3576" i="19"/>
  <c r="Q3576" i="19"/>
  <c r="F3577" i="19"/>
  <c r="H3577" i="19"/>
  <c r="Q3577" i="19"/>
  <c r="F3578" i="19"/>
  <c r="H3578" i="19"/>
  <c r="Q3578" i="19"/>
  <c r="F3579" i="19"/>
  <c r="H3579" i="19"/>
  <c r="Q3579" i="19"/>
  <c r="F3580" i="19"/>
  <c r="H3580" i="19"/>
  <c r="Q3580" i="19"/>
  <c r="F3581" i="19"/>
  <c r="H3581" i="19"/>
  <c r="Q3581" i="19"/>
  <c r="F3582" i="19"/>
  <c r="H3582" i="19"/>
  <c r="Q3582" i="19"/>
  <c r="F3583" i="19"/>
  <c r="H3583" i="19"/>
  <c r="Q3583" i="19"/>
  <c r="F3584" i="19"/>
  <c r="H3584" i="19"/>
  <c r="Q3584" i="19"/>
  <c r="F3585" i="19"/>
  <c r="H3585" i="19"/>
  <c r="Q3585" i="19"/>
  <c r="F3586" i="19"/>
  <c r="H3586" i="19"/>
  <c r="Q3586" i="19"/>
  <c r="Q3587" i="19"/>
  <c r="F3588" i="19"/>
  <c r="H3588" i="19"/>
  <c r="Q3588" i="19"/>
  <c r="F3589" i="19"/>
  <c r="H3589" i="19"/>
  <c r="Q3589" i="19"/>
  <c r="F3590" i="19"/>
  <c r="H3590" i="19"/>
  <c r="Q3590" i="19"/>
  <c r="F3591" i="19"/>
  <c r="H3591" i="19"/>
  <c r="Q3591" i="19"/>
  <c r="F3592" i="19"/>
  <c r="H3592" i="19"/>
  <c r="Q3592" i="19"/>
  <c r="F3593" i="19"/>
  <c r="H3593" i="19"/>
  <c r="Q3593" i="19"/>
  <c r="F3594" i="19"/>
  <c r="H3594" i="19"/>
  <c r="Q3594" i="19"/>
  <c r="F3595" i="19"/>
  <c r="H3595" i="19"/>
  <c r="Q3595" i="19"/>
  <c r="F3596" i="19"/>
  <c r="H3596" i="19"/>
  <c r="Q3596" i="19"/>
  <c r="F3597" i="19"/>
  <c r="H3597" i="19"/>
  <c r="Q3597" i="19"/>
  <c r="F3598" i="19"/>
  <c r="H3598" i="19"/>
  <c r="Q3598" i="19"/>
  <c r="F3599" i="19"/>
  <c r="H3599" i="19"/>
  <c r="Q3599" i="19"/>
  <c r="Q3600" i="19"/>
  <c r="F3601" i="19"/>
  <c r="H3601" i="19"/>
  <c r="Q3601" i="19"/>
  <c r="F3602" i="19"/>
  <c r="H3602" i="19"/>
  <c r="Q3602" i="19"/>
  <c r="F3603" i="19"/>
  <c r="H3603" i="19"/>
  <c r="Q3603" i="19"/>
  <c r="F3604" i="19"/>
  <c r="H3604" i="19"/>
  <c r="Q3604" i="19"/>
  <c r="F3605" i="19"/>
  <c r="H3605" i="19"/>
  <c r="Q3605" i="19"/>
  <c r="F3606" i="19"/>
  <c r="H3606" i="19"/>
  <c r="Q3606" i="19"/>
  <c r="F3607" i="19"/>
  <c r="H3607" i="19"/>
  <c r="Q3607" i="19"/>
  <c r="Q3610" i="19"/>
  <c r="F3611" i="19"/>
  <c r="H3611" i="19"/>
  <c r="Q3611" i="19"/>
  <c r="F3612" i="19"/>
  <c r="H3612" i="19"/>
  <c r="Q3612" i="19"/>
  <c r="F3614" i="19"/>
  <c r="H3614" i="19"/>
  <c r="Q3614" i="19"/>
  <c r="F3615" i="19"/>
  <c r="H3615" i="19"/>
  <c r="Q3615" i="19"/>
  <c r="F3616" i="19"/>
  <c r="H3616" i="19"/>
  <c r="Q3616" i="19"/>
  <c r="F3617" i="19"/>
  <c r="H3617" i="19"/>
  <c r="Q3617" i="19"/>
  <c r="F3618" i="19"/>
  <c r="H3618" i="19"/>
  <c r="Q3618" i="19"/>
  <c r="F3619" i="19"/>
  <c r="H3619" i="19"/>
  <c r="Q3619" i="19"/>
  <c r="F3620" i="19"/>
  <c r="H3620" i="19"/>
  <c r="Q3620" i="19"/>
  <c r="F3621" i="19"/>
  <c r="H3621" i="19"/>
  <c r="Q3621" i="19"/>
  <c r="F3622" i="19"/>
  <c r="H3622" i="19"/>
  <c r="Q3622" i="19"/>
  <c r="F3623" i="19"/>
  <c r="H3623" i="19"/>
  <c r="Q3623" i="19"/>
  <c r="F3624" i="19"/>
  <c r="H3624" i="19"/>
  <c r="Q3624" i="19"/>
  <c r="F3626" i="19"/>
  <c r="H3626" i="19"/>
  <c r="Q3626" i="19"/>
  <c r="F3627" i="19"/>
  <c r="H3627" i="19"/>
  <c r="Q3627" i="19"/>
  <c r="F3628" i="19"/>
  <c r="H3628" i="19"/>
  <c r="Q3628" i="19"/>
  <c r="F3629" i="19"/>
  <c r="H3629" i="19"/>
  <c r="Q3629" i="19"/>
  <c r="F3630" i="19"/>
  <c r="H3630" i="19"/>
  <c r="Q3630" i="19"/>
  <c r="Q3631" i="19"/>
  <c r="F3632" i="19"/>
  <c r="H3632" i="19"/>
  <c r="Q3632" i="19"/>
  <c r="F3633" i="19"/>
  <c r="H3633" i="19"/>
  <c r="Q3633" i="19"/>
  <c r="F3634" i="19"/>
  <c r="H3634" i="19"/>
  <c r="Q3634" i="19"/>
  <c r="F3635" i="19"/>
  <c r="H3635" i="19"/>
  <c r="Q3635" i="19"/>
  <c r="F3637" i="19"/>
  <c r="H3637" i="19"/>
  <c r="Q3637" i="19"/>
  <c r="F3638" i="19"/>
  <c r="H3638" i="19"/>
  <c r="Q3638" i="19"/>
  <c r="F3639" i="19"/>
  <c r="H3639" i="19"/>
  <c r="Q3639" i="19"/>
  <c r="Q3640" i="19"/>
  <c r="F3641" i="19"/>
  <c r="H3641" i="19"/>
  <c r="Q3641" i="19"/>
  <c r="F3642" i="19"/>
  <c r="H3642" i="19"/>
  <c r="Q3642" i="19"/>
  <c r="Q3643" i="19"/>
  <c r="F3644" i="19"/>
  <c r="H3644" i="19"/>
  <c r="Q3644" i="19"/>
  <c r="F3645" i="19"/>
  <c r="H3645" i="19"/>
  <c r="Q3645" i="19"/>
  <c r="F3647" i="19"/>
  <c r="H3647" i="19"/>
  <c r="Q3647" i="19"/>
  <c r="Q3648" i="19"/>
  <c r="F3649" i="19"/>
  <c r="H3649" i="19"/>
  <c r="Q3649" i="19"/>
  <c r="F3650" i="19"/>
  <c r="H3650" i="19"/>
  <c r="Q3650" i="19"/>
  <c r="F3651" i="19"/>
  <c r="H3651" i="19"/>
  <c r="Q3651" i="19"/>
  <c r="F3652" i="19"/>
  <c r="H3652" i="19"/>
  <c r="Q3652" i="19"/>
  <c r="F3653" i="19"/>
  <c r="H3653" i="19"/>
  <c r="Q3653" i="19"/>
  <c r="F3654" i="19"/>
  <c r="H3654" i="19"/>
  <c r="Q3654" i="19"/>
  <c r="F3655" i="19"/>
  <c r="H3655" i="19"/>
  <c r="Q3655" i="19"/>
  <c r="F3656" i="19"/>
  <c r="H3656" i="19"/>
  <c r="Q3656" i="19"/>
  <c r="F3657" i="19"/>
  <c r="H3657" i="19"/>
  <c r="Q3657" i="19"/>
  <c r="F3658" i="19"/>
  <c r="H3658" i="19"/>
  <c r="Q3658" i="19"/>
  <c r="F3659" i="19"/>
  <c r="H3659" i="19"/>
  <c r="Q3659" i="19"/>
  <c r="F3660" i="19"/>
  <c r="H3660" i="19"/>
  <c r="Q3660" i="19"/>
  <c r="F3661" i="19"/>
  <c r="H3661" i="19"/>
  <c r="Q3661" i="19"/>
  <c r="F3662" i="19"/>
  <c r="H3662" i="19"/>
  <c r="Q3662" i="19"/>
  <c r="F3663" i="19"/>
  <c r="H3663" i="19"/>
  <c r="Q3663" i="19"/>
  <c r="F3664" i="19"/>
  <c r="H3664" i="19"/>
  <c r="Q3664" i="19"/>
  <c r="F3665" i="19"/>
  <c r="H3665" i="19"/>
  <c r="Q3665" i="19"/>
  <c r="Q3666" i="19"/>
  <c r="F3667" i="19"/>
  <c r="H3667" i="19"/>
  <c r="Q3667" i="19"/>
  <c r="F3668" i="19"/>
  <c r="H3668" i="19"/>
  <c r="Q3668" i="19"/>
  <c r="F3669" i="19"/>
  <c r="H3669" i="19"/>
  <c r="Q3669" i="19"/>
  <c r="F3670" i="19"/>
  <c r="H3670" i="19"/>
  <c r="Q3670" i="19"/>
  <c r="F3671" i="19"/>
  <c r="H3671" i="19"/>
  <c r="Q3671" i="19"/>
  <c r="F3672" i="19"/>
  <c r="H3672" i="19"/>
  <c r="Q3672" i="19"/>
  <c r="F3673" i="19"/>
  <c r="H3673" i="19"/>
  <c r="Q3673" i="19"/>
  <c r="Q3675" i="19"/>
  <c r="F3676" i="19"/>
  <c r="H3676" i="19"/>
  <c r="Q3676" i="19"/>
  <c r="F3677" i="19"/>
  <c r="H3677" i="19"/>
  <c r="Q3677" i="19"/>
  <c r="F3678" i="19"/>
  <c r="H3678" i="19"/>
  <c r="Q3678" i="19"/>
  <c r="F3680" i="19"/>
  <c r="H3680" i="19"/>
  <c r="Q3680" i="19"/>
  <c r="F3681" i="19"/>
  <c r="H3681" i="19"/>
  <c r="Q3681" i="19"/>
  <c r="F3682" i="19"/>
  <c r="H3682" i="19"/>
  <c r="Q3682" i="19"/>
  <c r="F3683" i="19"/>
  <c r="H3683" i="19"/>
  <c r="Q3683" i="19"/>
  <c r="F3684" i="19"/>
  <c r="H3684" i="19"/>
  <c r="Q3684" i="19"/>
  <c r="T30" i="19"/>
  <c r="X30" i="19"/>
  <c r="U30" i="19"/>
  <c r="R3474" i="19"/>
  <c r="R3208" i="19"/>
  <c r="F3089" i="19"/>
  <c r="H3089" i="19"/>
  <c r="Q3089" i="19"/>
  <c r="F3007" i="19"/>
  <c r="H3007" i="19"/>
  <c r="Q3007" i="19"/>
  <c r="F3008" i="19"/>
  <c r="H3008" i="19"/>
  <c r="Q3008" i="19"/>
  <c r="F3009" i="19"/>
  <c r="H3009" i="19"/>
  <c r="Q3009" i="19"/>
  <c r="F3010" i="19"/>
  <c r="H3010" i="19"/>
  <c r="Q3010" i="19"/>
  <c r="F3011" i="19"/>
  <c r="H3011" i="19"/>
  <c r="Q3011" i="19"/>
  <c r="F3012" i="19"/>
  <c r="H3012" i="19"/>
  <c r="Q3012" i="19"/>
  <c r="Q3015" i="19"/>
  <c r="F3016" i="19"/>
  <c r="H3016" i="19"/>
  <c r="Q3016" i="19"/>
  <c r="F3017" i="19"/>
  <c r="H3017" i="19"/>
  <c r="Q3017" i="19"/>
  <c r="F3018" i="19"/>
  <c r="H3018" i="19"/>
  <c r="Q3018" i="19"/>
  <c r="Q3019" i="19"/>
  <c r="F3020" i="19"/>
  <c r="H3020" i="19"/>
  <c r="Q3020" i="19"/>
  <c r="Q3021" i="19"/>
  <c r="Q3022" i="19"/>
  <c r="F3023" i="19"/>
  <c r="H3023" i="19"/>
  <c r="Q3023" i="19"/>
  <c r="F3024" i="19"/>
  <c r="H3024" i="19"/>
  <c r="Q3024" i="19"/>
  <c r="F3025" i="19"/>
  <c r="H3025" i="19"/>
  <c r="Q3025" i="19"/>
  <c r="Q3026" i="19"/>
  <c r="F3027" i="19"/>
  <c r="H3027" i="19"/>
  <c r="Q3027" i="19"/>
  <c r="F3029" i="19"/>
  <c r="H3029" i="19"/>
  <c r="Q3029" i="19"/>
  <c r="Q3030" i="19"/>
  <c r="F3031" i="19"/>
  <c r="H3031" i="19"/>
  <c r="Q3031" i="19"/>
  <c r="Q3032" i="19"/>
  <c r="F3033" i="19"/>
  <c r="H3033" i="19"/>
  <c r="Q3033" i="19"/>
  <c r="F3034" i="19"/>
  <c r="H3034" i="19"/>
  <c r="Q3034" i="19"/>
  <c r="F3035" i="19"/>
  <c r="H3035" i="19"/>
  <c r="Q3035" i="19"/>
  <c r="F3037" i="19"/>
  <c r="H3037" i="19"/>
  <c r="Q3037" i="19"/>
  <c r="F3038" i="19"/>
  <c r="H3038" i="19"/>
  <c r="Q3038" i="19"/>
  <c r="F3039" i="19"/>
  <c r="H3039" i="19"/>
  <c r="Q3039" i="19"/>
  <c r="F3040" i="19"/>
  <c r="H3040" i="19"/>
  <c r="Q3040" i="19"/>
  <c r="F3041" i="19"/>
  <c r="H3041" i="19"/>
  <c r="Q3041" i="19"/>
  <c r="F3042" i="19"/>
  <c r="H3042" i="19"/>
  <c r="Q3042" i="19"/>
  <c r="F3043" i="19"/>
  <c r="H3043" i="19"/>
  <c r="Q3043" i="19"/>
  <c r="Q3044" i="19"/>
  <c r="F3045" i="19"/>
  <c r="H3045" i="19"/>
  <c r="Q3045" i="19"/>
  <c r="F3048" i="19"/>
  <c r="H3048" i="19"/>
  <c r="Q3048" i="19"/>
  <c r="F3049" i="19"/>
  <c r="H3049" i="19"/>
  <c r="Q3049" i="19"/>
  <c r="F3050" i="19"/>
  <c r="H3050" i="19"/>
  <c r="Q3050" i="19"/>
  <c r="F3051" i="19"/>
  <c r="H3051" i="19"/>
  <c r="Q3051" i="19"/>
  <c r="F3052" i="19"/>
  <c r="H3052" i="19"/>
  <c r="Q3052" i="19"/>
  <c r="F3053" i="19"/>
  <c r="H3053" i="19"/>
  <c r="Q3053" i="19"/>
  <c r="F3054" i="19"/>
  <c r="H3054" i="19"/>
  <c r="Q3054" i="19"/>
  <c r="F3055" i="19"/>
  <c r="H3055" i="19"/>
  <c r="Q3055" i="19"/>
  <c r="F3056" i="19"/>
  <c r="H3056" i="19"/>
  <c r="Q3056" i="19"/>
  <c r="F3057" i="19"/>
  <c r="H3057" i="19"/>
  <c r="Q3057" i="19"/>
  <c r="F3058" i="19"/>
  <c r="H3058" i="19"/>
  <c r="Q3058" i="19"/>
  <c r="F3059" i="19"/>
  <c r="H3059" i="19"/>
  <c r="Q3059" i="19"/>
  <c r="F3060" i="19"/>
  <c r="H3060" i="19"/>
  <c r="Q3060" i="19"/>
  <c r="F3061" i="19"/>
  <c r="H3061" i="19"/>
  <c r="Q3061" i="19"/>
  <c r="F3062" i="19"/>
  <c r="H3062" i="19"/>
  <c r="Q3062" i="19"/>
  <c r="F3063" i="19"/>
  <c r="H3063" i="19"/>
  <c r="Q3063" i="19"/>
  <c r="F3064" i="19"/>
  <c r="H3064" i="19"/>
  <c r="Q3064" i="19"/>
  <c r="F3065" i="19"/>
  <c r="H3065" i="19"/>
  <c r="Q3065" i="19"/>
  <c r="F3066" i="19"/>
  <c r="H3066" i="19"/>
  <c r="Q3066" i="19"/>
  <c r="F3067" i="19"/>
  <c r="H3067" i="19"/>
  <c r="Q3067" i="19"/>
  <c r="F3068" i="19"/>
  <c r="H3068" i="19"/>
  <c r="Q3068" i="19"/>
  <c r="F3069" i="19"/>
  <c r="H3069" i="19"/>
  <c r="Q3069" i="19"/>
  <c r="F3070" i="19"/>
  <c r="H3070" i="19"/>
  <c r="Q3070" i="19"/>
  <c r="F3071" i="19"/>
  <c r="H3071" i="19"/>
  <c r="Q3071" i="19"/>
  <c r="Q3072" i="19"/>
  <c r="F3073" i="19"/>
  <c r="H3073" i="19"/>
  <c r="Q3073" i="19"/>
  <c r="F3074" i="19"/>
  <c r="H3074" i="19"/>
  <c r="Q3074" i="19"/>
  <c r="F3075" i="19"/>
  <c r="H3075" i="19"/>
  <c r="Q3075" i="19"/>
  <c r="F3076" i="19"/>
  <c r="H3076" i="19"/>
  <c r="Q3076" i="19"/>
  <c r="F3077" i="19"/>
  <c r="H3077" i="19"/>
  <c r="Q3077" i="19"/>
  <c r="F3078" i="19"/>
  <c r="H3078" i="19"/>
  <c r="Q3078" i="19"/>
  <c r="F3079" i="19"/>
  <c r="H3079" i="19"/>
  <c r="Q3079" i="19"/>
  <c r="F3080" i="19"/>
  <c r="H3080" i="19"/>
  <c r="Q3080" i="19"/>
  <c r="F3081" i="19"/>
  <c r="H3081" i="19"/>
  <c r="Q3081" i="19"/>
  <c r="F3082" i="19"/>
  <c r="H3082" i="19"/>
  <c r="Q3082" i="19"/>
  <c r="F3083" i="19"/>
  <c r="H3083" i="19"/>
  <c r="Q3083" i="19"/>
  <c r="F3084" i="19"/>
  <c r="H3084" i="19"/>
  <c r="Q3084" i="19"/>
  <c r="F3085" i="19"/>
  <c r="H3085" i="19"/>
  <c r="Q3085" i="19"/>
  <c r="F3086" i="19"/>
  <c r="H3086" i="19"/>
  <c r="Q3086" i="19"/>
  <c r="F3087" i="19"/>
  <c r="H3087" i="19"/>
  <c r="Q3087" i="19"/>
  <c r="F3088" i="19"/>
  <c r="H3088" i="19"/>
  <c r="Q3088" i="19"/>
  <c r="F3090" i="19"/>
  <c r="H3090" i="19"/>
  <c r="Q3090" i="19"/>
  <c r="T27" i="19"/>
  <c r="X27" i="19"/>
  <c r="U27" i="19"/>
  <c r="R3089" i="19"/>
  <c r="R3941" i="19"/>
  <c r="R2109" i="19"/>
  <c r="R4125" i="19"/>
  <c r="R2357" i="19"/>
  <c r="R1941" i="19"/>
  <c r="R4282" i="19"/>
  <c r="R1970" i="19"/>
  <c r="R2321" i="19"/>
  <c r="F2957" i="19"/>
  <c r="H2957" i="19"/>
  <c r="F3348" i="19"/>
  <c r="H3348" i="19"/>
  <c r="F5808" i="19"/>
  <c r="H5808" i="19"/>
  <c r="R1639" i="19"/>
  <c r="F3316" i="19"/>
  <c r="H3316" i="19"/>
  <c r="R3011" i="19"/>
  <c r="R2613" i="19"/>
  <c r="R1474" i="19"/>
  <c r="R2026" i="19"/>
  <c r="F3324" i="19"/>
  <c r="H3324" i="19"/>
  <c r="F2808" i="19"/>
  <c r="H2808" i="19"/>
  <c r="Q2808" i="19"/>
  <c r="R2808" i="19"/>
  <c r="R4270" i="19"/>
  <c r="F3400" i="19"/>
  <c r="H3400" i="19"/>
  <c r="Q3400" i="19"/>
  <c r="R3400" i="19"/>
  <c r="F5755" i="19"/>
  <c r="H5755" i="19"/>
  <c r="Q5755" i="19"/>
  <c r="R5755" i="19"/>
  <c r="R1842" i="19"/>
  <c r="F2865" i="19"/>
  <c r="H2865" i="19"/>
  <c r="Q2865" i="19"/>
  <c r="R2865" i="19"/>
  <c r="F2575" i="19"/>
  <c r="H2575" i="19"/>
  <c r="F2549" i="19"/>
  <c r="H2549" i="19"/>
  <c r="R3479" i="19"/>
  <c r="F2896" i="19"/>
  <c r="H2896" i="19"/>
  <c r="F5769" i="19"/>
  <c r="H5769" i="19"/>
  <c r="F2742" i="19"/>
  <c r="H2742" i="19"/>
  <c r="F3399" i="19"/>
  <c r="H3399" i="19"/>
  <c r="F2955" i="19"/>
  <c r="H2955" i="19"/>
  <c r="F2521" i="19"/>
  <c r="H2521" i="19"/>
  <c r="R1949" i="19"/>
  <c r="F3450" i="19"/>
  <c r="H3450" i="19"/>
  <c r="F2914" i="19"/>
  <c r="H2914" i="19"/>
  <c r="Q2914" i="19"/>
  <c r="F3299" i="19"/>
  <c r="H3299" i="19"/>
  <c r="R5652" i="19"/>
  <c r="F2785" i="19"/>
  <c r="H2785" i="19"/>
  <c r="Q2785" i="19"/>
  <c r="R3657" i="19"/>
  <c r="F2976" i="19"/>
  <c r="H2976" i="19"/>
  <c r="Q2976" i="19"/>
  <c r="F2813" i="19"/>
  <c r="H2813" i="19"/>
  <c r="Q2813" i="19"/>
  <c r="R2813" i="19"/>
  <c r="F5849" i="19"/>
  <c r="H5849" i="19"/>
  <c r="F2798" i="19"/>
  <c r="H2798" i="19"/>
  <c r="R1532" i="19"/>
  <c r="F2970" i="19"/>
  <c r="H2970" i="19"/>
  <c r="F966" i="19"/>
  <c r="H966" i="19"/>
  <c r="F5472" i="19"/>
  <c r="H5472" i="19"/>
  <c r="Q5472" i="19"/>
  <c r="R5472" i="19"/>
  <c r="F5090" i="19"/>
  <c r="H5090" i="19"/>
  <c r="Q5090" i="19"/>
  <c r="R5090" i="19"/>
  <c r="R4575" i="19"/>
  <c r="F5520" i="19"/>
  <c r="H5520" i="19"/>
  <c r="R4142" i="19"/>
  <c r="F5239" i="19"/>
  <c r="H5239" i="19"/>
  <c r="R4436" i="19"/>
  <c r="R1301" i="19"/>
  <c r="F5279" i="19"/>
  <c r="H5279" i="19"/>
  <c r="Q5279" i="19"/>
  <c r="R5279" i="19"/>
  <c r="R2215" i="19"/>
  <c r="R2061" i="19"/>
  <c r="R4166" i="19"/>
  <c r="R1280" i="19"/>
  <c r="F5175" i="19"/>
  <c r="H5175" i="19"/>
  <c r="R2148" i="19"/>
  <c r="R4705" i="19"/>
  <c r="F5084" i="19"/>
  <c r="H5084" i="19"/>
  <c r="Q5084" i="19"/>
  <c r="R5084" i="19"/>
  <c r="R1351" i="19"/>
  <c r="R4863" i="19"/>
  <c r="R1771" i="19"/>
  <c r="R4092" i="19"/>
  <c r="R1300" i="19"/>
  <c r="F5617" i="19"/>
  <c r="H5617" i="19"/>
  <c r="Q5617" i="19"/>
  <c r="R5617" i="19"/>
  <c r="R4801" i="19"/>
  <c r="R1651" i="19"/>
  <c r="F2924" i="19"/>
  <c r="H2924" i="19"/>
  <c r="F5260" i="19"/>
  <c r="H5260" i="19"/>
  <c r="Q5260" i="19"/>
  <c r="R5260" i="19"/>
  <c r="R2185" i="19"/>
  <c r="R1831" i="19"/>
  <c r="R2416" i="19"/>
  <c r="R1963" i="19"/>
  <c r="R2314" i="19"/>
  <c r="R1274" i="19"/>
  <c r="R3649" i="19"/>
  <c r="F2966" i="19"/>
  <c r="H2966" i="19"/>
  <c r="Q2966" i="19"/>
  <c r="R5054" i="19"/>
  <c r="R1933" i="19"/>
  <c r="F3352" i="19"/>
  <c r="H3352" i="19"/>
  <c r="F5821" i="19"/>
  <c r="H5821" i="19"/>
  <c r="R2377" i="19"/>
  <c r="F3320" i="19"/>
  <c r="H3320" i="19"/>
  <c r="R2625" i="19"/>
  <c r="F3328" i="19"/>
  <c r="H3328" i="19"/>
  <c r="R4452" i="19"/>
  <c r="R3482" i="19"/>
  <c r="F3404" i="19"/>
  <c r="H3404" i="19"/>
  <c r="F5759" i="19"/>
  <c r="H5759" i="19"/>
  <c r="Q5759" i="19"/>
  <c r="R5759" i="19"/>
  <c r="F2829" i="19"/>
  <c r="H2829" i="19"/>
  <c r="R4396" i="19"/>
  <c r="F2887" i="19"/>
  <c r="H2887" i="19"/>
  <c r="F2590" i="19"/>
  <c r="H2590" i="19"/>
  <c r="Q2590" i="19"/>
  <c r="R2590" i="19"/>
  <c r="F2940" i="19"/>
  <c r="H2940" i="19"/>
  <c r="F2560" i="19"/>
  <c r="H2560" i="19"/>
  <c r="R3489" i="19"/>
  <c r="F3279" i="19"/>
  <c r="H3279" i="19"/>
  <c r="Q3279" i="19"/>
  <c r="R3279" i="19"/>
  <c r="F2715" i="19"/>
  <c r="H2715" i="19"/>
  <c r="Q2715" i="19"/>
  <c r="R2715" i="19"/>
  <c r="F5778" i="19"/>
  <c r="H5778" i="19"/>
  <c r="F2803" i="19"/>
  <c r="H2803" i="19"/>
  <c r="F3408" i="19"/>
  <c r="H3408" i="19"/>
  <c r="Q3408" i="19"/>
  <c r="R3408" i="19"/>
  <c r="F5810" i="19"/>
  <c r="H5810" i="19"/>
  <c r="F2540" i="19"/>
  <c r="H2540" i="19"/>
  <c r="Q2540" i="19"/>
  <c r="R3099" i="19"/>
  <c r="R5741" i="19"/>
  <c r="F3447" i="19"/>
  <c r="H3447" i="19"/>
  <c r="F2861" i="19"/>
  <c r="H2861" i="19"/>
  <c r="Q2861" i="19"/>
  <c r="R2861" i="19"/>
  <c r="R3663" i="19"/>
  <c r="F2781" i="19"/>
  <c r="H2781" i="19"/>
  <c r="F3406" i="19"/>
  <c r="H3406" i="19"/>
  <c r="R1691" i="19"/>
  <c r="F5866" i="19"/>
  <c r="H5866" i="19"/>
  <c r="F2604" i="19"/>
  <c r="H2604" i="19"/>
  <c r="F2784" i="19"/>
  <c r="H2784" i="19"/>
  <c r="Q2784" i="19"/>
  <c r="R2784" i="19"/>
  <c r="F5794" i="19"/>
  <c r="H5794" i="19"/>
  <c r="F2793" i="19"/>
  <c r="H2793" i="19"/>
  <c r="Q2793" i="19"/>
  <c r="F3460" i="19"/>
  <c r="H3460" i="19"/>
  <c r="Q3460" i="19"/>
  <c r="R3460" i="19"/>
  <c r="F5111" i="19"/>
  <c r="H5111" i="19"/>
  <c r="F5864" i="19"/>
  <c r="H5864" i="19"/>
  <c r="Q5864" i="19"/>
  <c r="F5754" i="19"/>
  <c r="H5754" i="19"/>
  <c r="Q5754" i="19"/>
  <c r="F5756" i="19"/>
  <c r="H5756" i="19"/>
  <c r="Q5756" i="19"/>
  <c r="F5757" i="19"/>
  <c r="H5757" i="19"/>
  <c r="Q5757" i="19"/>
  <c r="F5758" i="19"/>
  <c r="H5758" i="19"/>
  <c r="Q5758" i="19"/>
  <c r="F5760" i="19"/>
  <c r="H5760" i="19"/>
  <c r="Q5760" i="19"/>
  <c r="F5761" i="19"/>
  <c r="H5761" i="19"/>
  <c r="Q5761" i="19"/>
  <c r="Q5762" i="19"/>
  <c r="F5763" i="19"/>
  <c r="H5763" i="19"/>
  <c r="Q5763" i="19"/>
  <c r="F5764" i="19"/>
  <c r="H5764" i="19"/>
  <c r="Q5764" i="19"/>
  <c r="F5765" i="19"/>
  <c r="H5765" i="19"/>
  <c r="Q5765" i="19"/>
  <c r="F5766" i="19"/>
  <c r="H5766" i="19"/>
  <c r="Q5766" i="19"/>
  <c r="F5767" i="19"/>
  <c r="H5767" i="19"/>
  <c r="Q5767" i="19"/>
  <c r="F5768" i="19"/>
  <c r="H5768" i="19"/>
  <c r="Q5768" i="19"/>
  <c r="Q5769" i="19"/>
  <c r="F5770" i="19"/>
  <c r="H5770" i="19"/>
  <c r="Q5770" i="19"/>
  <c r="F5771" i="19"/>
  <c r="H5771" i="19"/>
  <c r="Q5771" i="19"/>
  <c r="F5772" i="19"/>
  <c r="H5772" i="19"/>
  <c r="Q5772" i="19"/>
  <c r="F5773" i="19"/>
  <c r="H5773" i="19"/>
  <c r="Q5773" i="19"/>
  <c r="F5774" i="19"/>
  <c r="H5774" i="19"/>
  <c r="Q5774" i="19"/>
  <c r="Q5775" i="19"/>
  <c r="F5776" i="19"/>
  <c r="H5776" i="19"/>
  <c r="Q5776" i="19"/>
  <c r="F5777" i="19"/>
  <c r="H5777" i="19"/>
  <c r="Q5777" i="19"/>
  <c r="Q5778" i="19"/>
  <c r="F5780" i="19"/>
  <c r="H5780" i="19"/>
  <c r="Q5780" i="19"/>
  <c r="F5781" i="19"/>
  <c r="H5781" i="19"/>
  <c r="Q5781" i="19"/>
  <c r="F5782" i="19"/>
  <c r="H5782" i="19"/>
  <c r="Q5782" i="19"/>
  <c r="Q5783" i="19"/>
  <c r="F5784" i="19"/>
  <c r="H5784" i="19"/>
  <c r="Q5784" i="19"/>
  <c r="F5785" i="19"/>
  <c r="H5785" i="19"/>
  <c r="Q5785" i="19"/>
  <c r="F5786" i="19"/>
  <c r="H5786" i="19"/>
  <c r="Q5786" i="19"/>
  <c r="F5787" i="19"/>
  <c r="H5787" i="19"/>
  <c r="Q5787" i="19"/>
  <c r="F5789" i="19"/>
  <c r="H5789" i="19"/>
  <c r="Q5789" i="19"/>
  <c r="F5790" i="19"/>
  <c r="H5790" i="19"/>
  <c r="Q5790" i="19"/>
  <c r="F5791" i="19"/>
  <c r="H5791" i="19"/>
  <c r="Q5791" i="19"/>
  <c r="Q5792" i="19"/>
  <c r="F5793" i="19"/>
  <c r="H5793" i="19"/>
  <c r="Q5793" i="19"/>
  <c r="Q5794" i="19"/>
  <c r="F5795" i="19"/>
  <c r="H5795" i="19"/>
  <c r="Q5795" i="19"/>
  <c r="F5796" i="19"/>
  <c r="H5796" i="19"/>
  <c r="Q5796" i="19"/>
  <c r="F5797" i="19"/>
  <c r="H5797" i="19"/>
  <c r="Q5797" i="19"/>
  <c r="F5798" i="19"/>
  <c r="H5798" i="19"/>
  <c r="Q5798" i="19"/>
  <c r="F5799" i="19"/>
  <c r="H5799" i="19"/>
  <c r="Q5799" i="19"/>
  <c r="Q5800" i="19"/>
  <c r="F5801" i="19"/>
  <c r="H5801" i="19"/>
  <c r="Q5801" i="19"/>
  <c r="F5802" i="19"/>
  <c r="H5802" i="19"/>
  <c r="Q5802" i="19"/>
  <c r="F5803" i="19"/>
  <c r="H5803" i="19"/>
  <c r="Q5803" i="19"/>
  <c r="Q5804" i="19"/>
  <c r="F5805" i="19"/>
  <c r="H5805" i="19"/>
  <c r="Q5805" i="19"/>
  <c r="F5806" i="19"/>
  <c r="H5806" i="19"/>
  <c r="Q5806" i="19"/>
  <c r="F5807" i="19"/>
  <c r="H5807" i="19"/>
  <c r="Q5807" i="19"/>
  <c r="Q5808" i="19"/>
  <c r="F5809" i="19"/>
  <c r="H5809" i="19"/>
  <c r="Q5809" i="19"/>
  <c r="Q5810" i="19"/>
  <c r="F5811" i="19"/>
  <c r="H5811" i="19"/>
  <c r="Q5811" i="19"/>
  <c r="F5812" i="19"/>
  <c r="H5812" i="19"/>
  <c r="Q5812" i="19"/>
  <c r="F5813" i="19"/>
  <c r="H5813" i="19"/>
  <c r="Q5813" i="19"/>
  <c r="F5814" i="19"/>
  <c r="H5814" i="19"/>
  <c r="Q5814" i="19"/>
  <c r="F5816" i="19"/>
  <c r="H5816" i="19"/>
  <c r="Q5816" i="19"/>
  <c r="F5817" i="19"/>
  <c r="H5817" i="19"/>
  <c r="Q5817" i="19"/>
  <c r="F5818" i="19"/>
  <c r="H5818" i="19"/>
  <c r="Q5818" i="19"/>
  <c r="F5819" i="19"/>
  <c r="H5819" i="19"/>
  <c r="Q5819" i="19"/>
  <c r="Q5821" i="19"/>
  <c r="F5822" i="19"/>
  <c r="H5822" i="19"/>
  <c r="Q5822" i="19"/>
  <c r="F5823" i="19"/>
  <c r="H5823" i="19"/>
  <c r="Q5823" i="19"/>
  <c r="F5824" i="19"/>
  <c r="H5824" i="19"/>
  <c r="Q5824" i="19"/>
  <c r="F5825" i="19"/>
  <c r="H5825" i="19"/>
  <c r="Q5825" i="19"/>
  <c r="F5826" i="19"/>
  <c r="H5826" i="19"/>
  <c r="Q5826" i="19"/>
  <c r="F5827" i="19"/>
  <c r="H5827" i="19"/>
  <c r="Q5827" i="19"/>
  <c r="F5828" i="19"/>
  <c r="H5828" i="19"/>
  <c r="Q5828" i="19"/>
  <c r="F5829" i="19"/>
  <c r="H5829" i="19"/>
  <c r="Q5829" i="19"/>
  <c r="F5830" i="19"/>
  <c r="H5830" i="19"/>
  <c r="Q5830" i="19"/>
  <c r="F5831" i="19"/>
  <c r="H5831" i="19"/>
  <c r="Q5831" i="19"/>
  <c r="Q5832" i="19"/>
  <c r="F5833" i="19"/>
  <c r="H5833" i="19"/>
  <c r="Q5833" i="19"/>
  <c r="F5834" i="19"/>
  <c r="H5834" i="19"/>
  <c r="Q5834" i="19"/>
  <c r="F5835" i="19"/>
  <c r="H5835" i="19"/>
  <c r="Q5835" i="19"/>
  <c r="F5836" i="19"/>
  <c r="H5836" i="19"/>
  <c r="Q5836" i="19"/>
  <c r="F5837" i="19"/>
  <c r="H5837" i="19"/>
  <c r="Q5837" i="19"/>
  <c r="F5838" i="19"/>
  <c r="H5838" i="19"/>
  <c r="Q5838" i="19"/>
  <c r="F5839" i="19"/>
  <c r="H5839" i="19"/>
  <c r="Q5839" i="19"/>
  <c r="F5840" i="19"/>
  <c r="H5840" i="19"/>
  <c r="Q5840" i="19"/>
  <c r="F5841" i="19"/>
  <c r="H5841" i="19"/>
  <c r="Q5841" i="19"/>
  <c r="F5842" i="19"/>
  <c r="H5842" i="19"/>
  <c r="Q5842" i="19"/>
  <c r="F5843" i="19"/>
  <c r="H5843" i="19"/>
  <c r="Q5843" i="19"/>
  <c r="F5844" i="19"/>
  <c r="H5844" i="19"/>
  <c r="Q5844" i="19"/>
  <c r="F5845" i="19"/>
  <c r="H5845" i="19"/>
  <c r="Q5845" i="19"/>
  <c r="Q5846" i="19"/>
  <c r="F5847" i="19"/>
  <c r="H5847" i="19"/>
  <c r="Q5847" i="19"/>
  <c r="F5848" i="19"/>
  <c r="H5848" i="19"/>
  <c r="Q5848" i="19"/>
  <c r="Q5849" i="19"/>
  <c r="F5850" i="19"/>
  <c r="H5850" i="19"/>
  <c r="Q5850" i="19"/>
  <c r="F5851" i="19"/>
  <c r="H5851" i="19"/>
  <c r="Q5851" i="19"/>
  <c r="F5852" i="19"/>
  <c r="H5852" i="19"/>
  <c r="Q5852" i="19"/>
  <c r="F5853" i="19"/>
  <c r="H5853" i="19"/>
  <c r="Q5853" i="19"/>
  <c r="F5854" i="19"/>
  <c r="H5854" i="19"/>
  <c r="Q5854" i="19"/>
  <c r="F5855" i="19"/>
  <c r="H5855" i="19"/>
  <c r="Q5855" i="19"/>
  <c r="Q5856" i="19"/>
  <c r="Q5857" i="19"/>
  <c r="F5858" i="19"/>
  <c r="H5858" i="19"/>
  <c r="Q5858" i="19"/>
  <c r="F5859" i="19"/>
  <c r="H5859" i="19"/>
  <c r="Q5859" i="19"/>
  <c r="F5860" i="19"/>
  <c r="H5860" i="19"/>
  <c r="Q5860" i="19"/>
  <c r="F5861" i="19"/>
  <c r="H5861" i="19"/>
  <c r="Q5861" i="19"/>
  <c r="F5862" i="19"/>
  <c r="H5862" i="19"/>
  <c r="Q5862" i="19"/>
  <c r="Q5863" i="19"/>
  <c r="F5865" i="19"/>
  <c r="H5865" i="19"/>
  <c r="Q5865" i="19"/>
  <c r="Q5866" i="19"/>
  <c r="F5867" i="19"/>
  <c r="H5867" i="19"/>
  <c r="Q5867" i="19"/>
  <c r="Q5868" i="19"/>
  <c r="F5869" i="19"/>
  <c r="H5869" i="19"/>
  <c r="Q5869" i="19"/>
  <c r="F5870" i="19"/>
  <c r="H5870" i="19"/>
  <c r="Q5870" i="19"/>
  <c r="T25" i="19"/>
  <c r="X25" i="19"/>
  <c r="U25" i="19"/>
  <c r="R5864" i="19"/>
  <c r="F2779" i="19"/>
  <c r="H2779" i="19"/>
  <c r="R663" i="19"/>
  <c r="F5094" i="19"/>
  <c r="H5094" i="19"/>
  <c r="Q5094" i="19"/>
  <c r="R5094" i="19"/>
  <c r="F5096" i="19"/>
  <c r="H5096" i="19"/>
  <c r="Q5096" i="19"/>
  <c r="R5096" i="19"/>
  <c r="F5568" i="19"/>
  <c r="H5568" i="19"/>
  <c r="R614" i="19"/>
  <c r="R4216" i="19"/>
  <c r="F5300" i="19"/>
  <c r="H5300" i="19"/>
  <c r="F5327" i="19"/>
  <c r="H5327" i="19"/>
  <c r="R2227" i="19"/>
  <c r="F5223" i="19"/>
  <c r="H5223" i="19"/>
  <c r="R2180" i="19"/>
  <c r="R4794" i="19"/>
  <c r="F5095" i="19"/>
  <c r="H5095" i="19"/>
  <c r="R4778" i="19"/>
  <c r="R1407" i="19"/>
  <c r="R4888" i="19"/>
  <c r="R2196" i="19"/>
  <c r="R4878" i="19"/>
  <c r="R2145" i="19"/>
  <c r="R2057" i="19"/>
  <c r="F5415" i="19"/>
  <c r="H5415" i="19"/>
  <c r="R4107" i="19"/>
  <c r="F5120" i="19"/>
  <c r="H5120" i="19"/>
  <c r="R1849" i="19"/>
  <c r="F2941" i="19"/>
  <c r="H2941" i="19"/>
  <c r="Q2941" i="19"/>
  <c r="F2922" i="19"/>
  <c r="H2922" i="19"/>
  <c r="Q2922" i="19"/>
  <c r="F2923" i="19"/>
  <c r="H2923" i="19"/>
  <c r="Q2923" i="19"/>
  <c r="Q2924" i="19"/>
  <c r="F2925" i="19"/>
  <c r="H2925" i="19"/>
  <c r="Q2925" i="19"/>
  <c r="F2926" i="19"/>
  <c r="H2926" i="19"/>
  <c r="Q2926" i="19"/>
  <c r="F2927" i="19"/>
  <c r="H2927" i="19"/>
  <c r="Q2927" i="19"/>
  <c r="F2928" i="19"/>
  <c r="H2928" i="19"/>
  <c r="Q2928" i="19"/>
  <c r="F2929" i="19"/>
  <c r="H2929" i="19"/>
  <c r="Q2929" i="19"/>
  <c r="F2930" i="19"/>
  <c r="H2930" i="19"/>
  <c r="Q2930" i="19"/>
  <c r="F2931" i="19"/>
  <c r="H2931" i="19"/>
  <c r="Q2931" i="19"/>
  <c r="F2932" i="19"/>
  <c r="H2932" i="19"/>
  <c r="Q2932" i="19"/>
  <c r="F2933" i="19"/>
  <c r="H2933" i="19"/>
  <c r="Q2933" i="19"/>
  <c r="F2934" i="19"/>
  <c r="H2934" i="19"/>
  <c r="Q2934" i="19"/>
  <c r="F2935" i="19"/>
  <c r="H2935" i="19"/>
  <c r="Q2935" i="19"/>
  <c r="F2936" i="19"/>
  <c r="H2936" i="19"/>
  <c r="Q2936" i="19"/>
  <c r="F2937" i="19"/>
  <c r="H2937" i="19"/>
  <c r="Q2937" i="19"/>
  <c r="F2938" i="19"/>
  <c r="H2938" i="19"/>
  <c r="Q2938" i="19"/>
  <c r="F2939" i="19"/>
  <c r="H2939" i="19"/>
  <c r="Q2939" i="19"/>
  <c r="Q2940" i="19"/>
  <c r="F2942" i="19"/>
  <c r="H2942" i="19"/>
  <c r="Q2942" i="19"/>
  <c r="F2943" i="19"/>
  <c r="H2943" i="19"/>
  <c r="Q2943" i="19"/>
  <c r="F2944" i="19"/>
  <c r="H2944" i="19"/>
  <c r="Q2944" i="19"/>
  <c r="Q2945" i="19"/>
  <c r="Q2946" i="19"/>
  <c r="Q2947" i="19"/>
  <c r="F2948" i="19"/>
  <c r="H2948" i="19"/>
  <c r="Q2948" i="19"/>
  <c r="F2949" i="19"/>
  <c r="H2949" i="19"/>
  <c r="Q2949" i="19"/>
  <c r="F2950" i="19"/>
  <c r="H2950" i="19"/>
  <c r="Q2950" i="19"/>
  <c r="F2951" i="19"/>
  <c r="H2951" i="19"/>
  <c r="Q2951" i="19"/>
  <c r="F2952" i="19"/>
  <c r="H2952" i="19"/>
  <c r="Q2952" i="19"/>
  <c r="F2954" i="19"/>
  <c r="H2954" i="19"/>
  <c r="Q2954" i="19"/>
  <c r="Q2955" i="19"/>
  <c r="F2956" i="19"/>
  <c r="H2956" i="19"/>
  <c r="Q2956" i="19"/>
  <c r="Q2957" i="19"/>
  <c r="F2958" i="19"/>
  <c r="H2958" i="19"/>
  <c r="Q2958" i="19"/>
  <c r="F2959" i="19"/>
  <c r="H2959" i="19"/>
  <c r="Q2959" i="19"/>
  <c r="F2960" i="19"/>
  <c r="H2960" i="19"/>
  <c r="Q2960" i="19"/>
  <c r="F2961" i="19"/>
  <c r="H2961" i="19"/>
  <c r="Q2961" i="19"/>
  <c r="F2962" i="19"/>
  <c r="H2962" i="19"/>
  <c r="Q2962" i="19"/>
  <c r="Q2963" i="19"/>
  <c r="Q2965" i="19"/>
  <c r="F2967" i="19"/>
  <c r="H2967" i="19"/>
  <c r="Q2967" i="19"/>
  <c r="F2968" i="19"/>
  <c r="H2968" i="19"/>
  <c r="Q2968" i="19"/>
  <c r="Q2969" i="19"/>
  <c r="Q2970" i="19"/>
  <c r="F2971" i="19"/>
  <c r="H2971" i="19"/>
  <c r="Q2971" i="19"/>
  <c r="F2972" i="19"/>
  <c r="H2972" i="19"/>
  <c r="Q2972" i="19"/>
  <c r="F2973" i="19"/>
  <c r="H2973" i="19"/>
  <c r="Q2973" i="19"/>
  <c r="F2974" i="19"/>
  <c r="H2974" i="19"/>
  <c r="Q2974" i="19"/>
  <c r="Q2977" i="19"/>
  <c r="F2978" i="19"/>
  <c r="H2978" i="19"/>
  <c r="Q2978" i="19"/>
  <c r="F2979" i="19"/>
  <c r="H2979" i="19"/>
  <c r="Q2979" i="19"/>
  <c r="F2980" i="19"/>
  <c r="H2980" i="19"/>
  <c r="Q2980" i="19"/>
  <c r="F2981" i="19"/>
  <c r="H2981" i="19"/>
  <c r="Q2981" i="19"/>
  <c r="F2982" i="19"/>
  <c r="H2982" i="19"/>
  <c r="Q2982" i="19"/>
  <c r="F2983" i="19"/>
  <c r="H2983" i="19"/>
  <c r="Q2983" i="19"/>
  <c r="F2984" i="19"/>
  <c r="H2984" i="19"/>
  <c r="Q2984" i="19"/>
  <c r="F2985" i="19"/>
  <c r="H2985" i="19"/>
  <c r="Q2985" i="19"/>
  <c r="F2986" i="19"/>
  <c r="H2986" i="19"/>
  <c r="Q2986" i="19"/>
  <c r="F2987" i="19"/>
  <c r="H2987" i="19"/>
  <c r="Q2987" i="19"/>
  <c r="F2988" i="19"/>
  <c r="H2988" i="19"/>
  <c r="Q2988" i="19"/>
  <c r="Q2989" i="19"/>
  <c r="F2990" i="19"/>
  <c r="H2990" i="19"/>
  <c r="Q2990" i="19"/>
  <c r="F2991" i="19"/>
  <c r="H2991" i="19"/>
  <c r="Q2991" i="19"/>
  <c r="Q2992" i="19"/>
  <c r="F2993" i="19"/>
  <c r="H2993" i="19"/>
  <c r="Q2993" i="19"/>
  <c r="F2994" i="19"/>
  <c r="H2994" i="19"/>
  <c r="Q2994" i="19"/>
  <c r="F2995" i="19"/>
  <c r="H2995" i="19"/>
  <c r="Q2995" i="19"/>
  <c r="F2996" i="19"/>
  <c r="H2996" i="19"/>
  <c r="Q2996" i="19"/>
  <c r="F2997" i="19"/>
  <c r="H2997" i="19"/>
  <c r="Q2997" i="19"/>
  <c r="F2998" i="19"/>
  <c r="H2998" i="19"/>
  <c r="Q2998" i="19"/>
  <c r="F2999" i="19"/>
  <c r="H2999" i="19"/>
  <c r="Q2999" i="19"/>
  <c r="F3000" i="19"/>
  <c r="H3000" i="19"/>
  <c r="Q3000" i="19"/>
  <c r="F3001" i="19"/>
  <c r="H3001" i="19"/>
  <c r="Q3001" i="19"/>
  <c r="Q3002" i="19"/>
  <c r="F3003" i="19"/>
  <c r="H3003" i="19"/>
  <c r="Q3003" i="19"/>
  <c r="F3004" i="19"/>
  <c r="H3004" i="19"/>
  <c r="Q3004" i="19"/>
  <c r="F3005" i="19"/>
  <c r="H3005" i="19"/>
  <c r="Q3005" i="19"/>
  <c r="T26" i="19"/>
  <c r="X26" i="19"/>
  <c r="U26" i="19"/>
  <c r="R2941" i="19"/>
  <c r="F5449" i="19"/>
  <c r="H5449" i="19"/>
  <c r="Q5449" i="19"/>
  <c r="R5449" i="19"/>
  <c r="F5291" i="19"/>
  <c r="H5291" i="19"/>
  <c r="Q5291" i="19"/>
  <c r="R2085" i="19"/>
  <c r="R2509" i="19"/>
  <c r="F3283" i="19"/>
  <c r="H3283" i="19"/>
  <c r="Q3283" i="19"/>
  <c r="R3283" i="19"/>
  <c r="F5340" i="19"/>
  <c r="H5340" i="19"/>
  <c r="R1983" i="19"/>
  <c r="F3387" i="19"/>
  <c r="H3387" i="19"/>
  <c r="R1347" i="19"/>
  <c r="R3879" i="19"/>
  <c r="F3332" i="19"/>
  <c r="H3332" i="19"/>
  <c r="Q3332" i="19"/>
  <c r="R3332" i="19"/>
  <c r="R3049" i="19"/>
  <c r="R5734" i="19"/>
  <c r="R3745" i="19"/>
  <c r="F3356" i="19"/>
  <c r="H3356" i="19"/>
  <c r="R2621" i="19"/>
  <c r="R2048" i="19"/>
  <c r="F3416" i="19"/>
  <c r="H3416" i="19"/>
  <c r="F2856" i="19"/>
  <c r="H2856" i="19"/>
  <c r="Q2856" i="19"/>
  <c r="R2856" i="19"/>
  <c r="R1600" i="19"/>
  <c r="F2904" i="19"/>
  <c r="H2904" i="19"/>
  <c r="Q2904" i="19"/>
  <c r="R2904" i="19"/>
  <c r="F2594" i="19"/>
  <c r="H2594" i="19"/>
  <c r="R5782" i="19"/>
  <c r="F2571" i="19"/>
  <c r="H2571" i="19"/>
  <c r="F2826" i="19"/>
  <c r="H2826" i="19"/>
  <c r="Q2826" i="19"/>
  <c r="R2826" i="19"/>
  <c r="F3297" i="19"/>
  <c r="H3297" i="19"/>
  <c r="F2756" i="19"/>
  <c r="H2756" i="19"/>
  <c r="R5805" i="19"/>
  <c r="R2614" i="19"/>
  <c r="F3417" i="19"/>
  <c r="H3417" i="19"/>
  <c r="Q3417" i="19"/>
  <c r="R5640" i="19"/>
  <c r="F2553" i="19"/>
  <c r="H2553" i="19"/>
  <c r="R5712" i="19"/>
  <c r="F2537" i="19"/>
  <c r="H2537" i="19"/>
  <c r="Q2537" i="19"/>
  <c r="F3358" i="19"/>
  <c r="H3358" i="19"/>
  <c r="Q3358" i="19"/>
  <c r="R3358" i="19"/>
  <c r="F2842" i="19"/>
  <c r="H2842" i="19"/>
  <c r="F2762" i="19"/>
  <c r="H2762" i="19"/>
  <c r="Q2762" i="19"/>
  <c r="F3318" i="19"/>
  <c r="H3318" i="19"/>
  <c r="Q3318" i="19"/>
  <c r="R3318" i="19"/>
  <c r="R3097" i="19"/>
  <c r="F2600" i="19"/>
  <c r="H2600" i="19"/>
  <c r="F2780" i="19"/>
  <c r="H2780" i="19"/>
  <c r="R3131" i="19"/>
  <c r="R2428" i="19"/>
  <c r="F2788" i="19"/>
  <c r="H2788" i="19"/>
  <c r="Q2788" i="19"/>
  <c r="R2788" i="19"/>
  <c r="F3380" i="19"/>
  <c r="H3380" i="19"/>
  <c r="F2607" i="19"/>
  <c r="H2607" i="19"/>
  <c r="F2911" i="19"/>
  <c r="H2911" i="19"/>
  <c r="F5476" i="19"/>
  <c r="H5476" i="19"/>
  <c r="Q5476" i="19"/>
  <c r="R5476" i="19"/>
  <c r="F5189" i="19"/>
  <c r="H5189" i="19"/>
  <c r="F5110" i="19"/>
  <c r="H5110" i="19"/>
  <c r="Q5110" i="19"/>
  <c r="R5110" i="19"/>
  <c r="F5573" i="19"/>
  <c r="H5573" i="19"/>
  <c r="R4131" i="19"/>
  <c r="R3926" i="19"/>
  <c r="R2036" i="19"/>
  <c r="R4025" i="19"/>
  <c r="R2421" i="19"/>
  <c r="F5162" i="19"/>
  <c r="H5162" i="19"/>
  <c r="Q5162" i="19"/>
  <c r="R5162" i="19"/>
  <c r="R4264" i="19"/>
  <c r="R2347" i="19"/>
  <c r="R3975" i="19"/>
  <c r="R2369" i="19"/>
  <c r="F5069" i="19"/>
  <c r="H5069" i="19"/>
  <c r="R2209" i="19"/>
  <c r="R322" i="19"/>
  <c r="R4029" i="19"/>
  <c r="R2177" i="19"/>
  <c r="F5458" i="19"/>
  <c r="H5458" i="19"/>
  <c r="Q5458" i="19"/>
  <c r="R5458" i="19"/>
  <c r="F5464" i="19"/>
  <c r="H5464" i="19"/>
  <c r="R4183" i="19"/>
  <c r="F5339" i="19"/>
  <c r="H5339" i="19"/>
  <c r="R1439" i="19"/>
  <c r="F5148" i="19"/>
  <c r="H5148" i="19"/>
  <c r="Q5148" i="19"/>
  <c r="R5148" i="19"/>
  <c r="R1860" i="19"/>
  <c r="R2113" i="19"/>
  <c r="F5296" i="19"/>
  <c r="H5296" i="19"/>
  <c r="Q5296" i="19"/>
  <c r="R5296" i="19"/>
  <c r="R1900" i="19"/>
  <c r="R4417" i="19"/>
  <c r="R2461" i="19"/>
  <c r="R3755" i="19"/>
  <c r="R2165" i="19"/>
  <c r="R1288" i="19"/>
  <c r="R1758" i="19"/>
  <c r="F3307" i="19"/>
  <c r="H3307" i="19"/>
  <c r="R2228" i="19"/>
  <c r="F3423" i="19"/>
  <c r="H3423" i="19"/>
  <c r="Q3423" i="19"/>
  <c r="R3423" i="19"/>
  <c r="R3893" i="19"/>
  <c r="F3360" i="19"/>
  <c r="H3360" i="19"/>
  <c r="Q3360" i="19"/>
  <c r="R3360" i="19"/>
  <c r="R5738" i="19"/>
  <c r="F3384" i="19"/>
  <c r="H3384" i="19"/>
  <c r="Q3384" i="19"/>
  <c r="R3020" i="19"/>
  <c r="R5718" i="19"/>
  <c r="R2637" i="19"/>
  <c r="R2163" i="19"/>
  <c r="F3420" i="19"/>
  <c r="H3420" i="19"/>
  <c r="R5785" i="19"/>
  <c r="F2883" i="19"/>
  <c r="H2883" i="19"/>
  <c r="F5106" i="19"/>
  <c r="H5106" i="19"/>
  <c r="Q5106" i="19"/>
  <c r="R5106" i="19"/>
  <c r="R4430" i="19"/>
  <c r="R1606" i="19"/>
  <c r="F2913" i="19"/>
  <c r="H2913" i="19"/>
  <c r="F5428" i="19"/>
  <c r="H5428" i="19"/>
  <c r="Q5428" i="19"/>
  <c r="R5428" i="19"/>
  <c r="R3223" i="19"/>
  <c r="R4855" i="19"/>
  <c r="F3301" i="19"/>
  <c r="H3301" i="19"/>
  <c r="F2769" i="19"/>
  <c r="H2769" i="19"/>
  <c r="R1340" i="19"/>
  <c r="R3908" i="19"/>
  <c r="F3458" i="19"/>
  <c r="H3458" i="19"/>
  <c r="F2572" i="19"/>
  <c r="H2572" i="19"/>
  <c r="F2515" i="19"/>
  <c r="H2515" i="19"/>
  <c r="F3353" i="19"/>
  <c r="H3353" i="19"/>
  <c r="F2757" i="19"/>
  <c r="H2757" i="19"/>
  <c r="F3313" i="19"/>
  <c r="H3313" i="19"/>
  <c r="Q3313" i="19"/>
  <c r="R3313" i="19"/>
  <c r="R2093" i="19"/>
  <c r="R5836" i="19"/>
  <c r="F2588" i="19"/>
  <c r="H2588" i="19"/>
  <c r="Q2588" i="19"/>
  <c r="F3451" i="19"/>
  <c r="H3451" i="19"/>
  <c r="F2579" i="19"/>
  <c r="H2579" i="19"/>
  <c r="Q2579" i="19"/>
  <c r="R3050" i="19"/>
  <c r="R2445" i="19"/>
  <c r="F2873" i="19"/>
  <c r="H2873" i="19"/>
  <c r="F3371" i="19"/>
  <c r="H3371" i="19"/>
  <c r="Q3371" i="19"/>
  <c r="F2775" i="19"/>
  <c r="H2775" i="19"/>
  <c r="Q2775" i="19"/>
  <c r="R2775" i="19"/>
  <c r="F3336" i="19"/>
  <c r="H3336" i="19"/>
  <c r="F2599" i="19"/>
  <c r="H2599" i="19"/>
  <c r="Q2599" i="19"/>
  <c r="R2935" i="19"/>
  <c r="F2906" i="19"/>
  <c r="H2906" i="19"/>
  <c r="Q2906" i="19"/>
  <c r="F5519" i="19"/>
  <c r="H5519" i="19"/>
  <c r="F5240" i="19"/>
  <c r="H5240" i="19"/>
  <c r="F5621" i="19"/>
  <c r="H5621" i="19"/>
  <c r="Q5621" i="19"/>
  <c r="R5621" i="19"/>
  <c r="F5355" i="19"/>
  <c r="H5355" i="19"/>
  <c r="Q5355" i="19"/>
  <c r="R5355" i="19"/>
  <c r="R3943" i="19"/>
  <c r="F5406" i="19"/>
  <c r="H5406" i="19"/>
  <c r="R2460" i="19"/>
  <c r="F5288" i="19"/>
  <c r="H5288" i="19"/>
  <c r="Q5288" i="19"/>
  <c r="R5288" i="19"/>
  <c r="R4734" i="19"/>
  <c r="R4292" i="19"/>
  <c r="R349" i="19"/>
  <c r="R2396" i="19"/>
  <c r="R2430" i="19"/>
  <c r="R4342" i="19"/>
  <c r="R1517" i="19"/>
  <c r="F5074" i="19"/>
  <c r="H5074" i="19"/>
  <c r="Q5074" i="19"/>
  <c r="R5074" i="19"/>
  <c r="F5526" i="19"/>
  <c r="H5526" i="19"/>
  <c r="Q5526" i="19"/>
  <c r="R5526" i="19"/>
  <c r="R594" i="19"/>
  <c r="F5486" i="19"/>
  <c r="H5486" i="19"/>
  <c r="Q5486" i="19"/>
  <c r="R5486" i="19"/>
  <c r="F5475" i="19"/>
  <c r="H5475" i="19"/>
  <c r="R4351" i="19"/>
  <c r="F5344" i="19"/>
  <c r="H5344" i="19"/>
  <c r="F5361" i="19"/>
  <c r="H5361" i="19"/>
  <c r="Q5361" i="19"/>
  <c r="R5361" i="19"/>
  <c r="F5187" i="19"/>
  <c r="H5187" i="19"/>
  <c r="R2123" i="19"/>
  <c r="R2994" i="19"/>
  <c r="F5155" i="19"/>
  <c r="H5155" i="19"/>
  <c r="Q5155" i="19"/>
  <c r="R5155" i="19"/>
  <c r="R1359" i="19"/>
  <c r="R1501" i="19"/>
  <c r="R1471" i="19"/>
  <c r="R1448" i="19"/>
  <c r="F3311" i="19"/>
  <c r="H3311" i="19"/>
  <c r="R3114" i="19"/>
  <c r="R1725" i="19"/>
  <c r="F3372" i="19"/>
  <c r="H3372" i="19"/>
  <c r="Q3372" i="19"/>
  <c r="F2824" i="19"/>
  <c r="H2824" i="19"/>
  <c r="Q2824" i="19"/>
  <c r="R2824" i="19"/>
  <c r="F3392" i="19"/>
  <c r="H3392" i="19"/>
  <c r="R3045" i="19"/>
  <c r="R2664" i="19"/>
  <c r="R1929" i="19"/>
  <c r="F2894" i="19"/>
  <c r="H2894" i="19"/>
  <c r="Q2894" i="19"/>
  <c r="R2894" i="19"/>
  <c r="F5182" i="19"/>
  <c r="H5182" i="19"/>
  <c r="Q5182" i="19"/>
  <c r="R5182" i="19"/>
  <c r="R2274" i="19"/>
  <c r="R1784" i="19"/>
  <c r="R3668" i="19"/>
  <c r="F2710" i="19"/>
  <c r="H2710" i="19"/>
  <c r="R4884" i="19"/>
  <c r="F3309" i="19"/>
  <c r="H3309" i="19"/>
  <c r="R5062" i="19"/>
  <c r="F3319" i="19"/>
  <c r="H3319" i="19"/>
  <c r="F2853" i="19"/>
  <c r="H2853" i="19"/>
  <c r="Q2853" i="19"/>
  <c r="F5258" i="19"/>
  <c r="H5258" i="19"/>
  <c r="R3505" i="19"/>
  <c r="F2819" i="19"/>
  <c r="H2819" i="19"/>
  <c r="Q2819" i="19"/>
  <c r="R2819" i="19"/>
  <c r="R2681" i="19"/>
  <c r="R5686" i="19"/>
  <c r="F3285" i="19"/>
  <c r="H3285" i="19"/>
  <c r="Q3285" i="19"/>
  <c r="R3285" i="19"/>
  <c r="R5681" i="19"/>
  <c r="R5760" i="19"/>
  <c r="F2741" i="19"/>
  <c r="H2741" i="19"/>
  <c r="F3294" i="19"/>
  <c r="H3294" i="19"/>
  <c r="Q3294" i="19"/>
  <c r="R3294" i="19"/>
  <c r="R2937" i="19"/>
  <c r="R3627" i="19"/>
  <c r="F2550" i="19"/>
  <c r="H2550" i="19"/>
  <c r="F3401" i="19"/>
  <c r="H3401" i="19"/>
  <c r="Q3401" i="19"/>
  <c r="R3401" i="19"/>
  <c r="F2554" i="19"/>
  <c r="H2554" i="19"/>
  <c r="F2864" i="19"/>
  <c r="H2864" i="19"/>
  <c r="F2770" i="19"/>
  <c r="H2770" i="19"/>
  <c r="F3331" i="19"/>
  <c r="H3331" i="19"/>
  <c r="Q3331" i="19"/>
  <c r="R3331" i="19"/>
  <c r="R3480" i="19"/>
  <c r="R2137" i="19"/>
  <c r="F2595" i="19"/>
  <c r="H2595" i="19"/>
  <c r="Q2595" i="19"/>
  <c r="R3088" i="19"/>
  <c r="R3791" i="19"/>
  <c r="F2872" i="19"/>
  <c r="H2872" i="19"/>
  <c r="F5387" i="19"/>
  <c r="H5387" i="19"/>
  <c r="R4685" i="19"/>
  <c r="R743" i="19"/>
  <c r="R5035" i="19"/>
  <c r="F5338" i="19"/>
  <c r="H5338" i="19"/>
  <c r="Q5338" i="19"/>
  <c r="R5338" i="19"/>
  <c r="F5537" i="19"/>
  <c r="H5537" i="19"/>
  <c r="Q5537" i="19"/>
  <c r="R5537" i="19"/>
  <c r="R4350" i="19"/>
  <c r="F5620" i="19"/>
  <c r="H5620" i="19"/>
  <c r="R4418" i="19"/>
  <c r="R3951" i="19"/>
  <c r="F5503" i="19"/>
  <c r="H5503" i="19"/>
  <c r="Q5503" i="19"/>
  <c r="R5503" i="19"/>
  <c r="F5310" i="19"/>
  <c r="H5310" i="19"/>
  <c r="R4334" i="19"/>
  <c r="F5108" i="19"/>
  <c r="H5108" i="19"/>
  <c r="Q5108" i="19"/>
  <c r="R5108" i="19"/>
  <c r="F5164" i="19"/>
  <c r="H5164" i="19"/>
  <c r="Q5164" i="19"/>
  <c r="R5164" i="19"/>
  <c r="F5558" i="19"/>
  <c r="H5558" i="19"/>
  <c r="F5409" i="19"/>
  <c r="H5409" i="19"/>
  <c r="F5629" i="19"/>
  <c r="H5629" i="19"/>
  <c r="Q5629" i="19"/>
  <c r="R5629" i="19"/>
  <c r="F5514" i="19"/>
  <c r="H5514" i="19"/>
  <c r="R3968" i="19"/>
  <c r="R4591" i="19"/>
  <c r="F5212" i="19"/>
  <c r="H5212" i="19"/>
  <c r="R2292" i="19"/>
  <c r="R2179" i="19"/>
  <c r="F5280" i="19"/>
  <c r="H5280" i="19"/>
  <c r="F5268" i="19"/>
  <c r="H5268" i="19"/>
  <c r="Q5268" i="19"/>
  <c r="R5268" i="19"/>
  <c r="R2380" i="19"/>
  <c r="R1496" i="19"/>
  <c r="F3379" i="19"/>
  <c r="H3379" i="19"/>
  <c r="R2019" i="19"/>
  <c r="R3154" i="19"/>
  <c r="F2820" i="19"/>
  <c r="H2820" i="19"/>
  <c r="F5169" i="19"/>
  <c r="H5169" i="19"/>
  <c r="Q5169" i="19"/>
  <c r="R5169" i="19"/>
  <c r="R1735" i="19"/>
  <c r="R3473" i="19"/>
  <c r="F3407" i="19"/>
  <c r="H3407" i="19"/>
  <c r="Q3407" i="19"/>
  <c r="R3407" i="19"/>
  <c r="F2828" i="19"/>
  <c r="H2828" i="19"/>
  <c r="Q2828" i="19"/>
  <c r="R2828" i="19"/>
  <c r="R1754" i="19"/>
  <c r="F3396" i="19"/>
  <c r="H3396" i="19"/>
  <c r="Q3396" i="19"/>
  <c r="R3396" i="19"/>
  <c r="R1972" i="19"/>
  <c r="R3143" i="19"/>
  <c r="F2917" i="19"/>
  <c r="H2917" i="19"/>
  <c r="R3911" i="19"/>
  <c r="R3889" i="19"/>
  <c r="R2301" i="19"/>
  <c r="F2719" i="19"/>
  <c r="H2719" i="19"/>
  <c r="F5080" i="19"/>
  <c r="H5080" i="19"/>
  <c r="Q5080" i="19"/>
  <c r="R5080" i="19"/>
  <c r="F3314" i="19"/>
  <c r="H3314" i="19"/>
  <c r="R4009" i="19"/>
  <c r="F3368" i="19"/>
  <c r="H3368" i="19"/>
  <c r="R2978" i="19"/>
  <c r="R1569" i="19"/>
  <c r="R5861" i="19"/>
  <c r="F2875" i="19"/>
  <c r="H2875" i="19"/>
  <c r="F2841" i="19"/>
  <c r="H2841" i="19"/>
  <c r="Q2841" i="19"/>
  <c r="R2841" i="19"/>
  <c r="R5862" i="19"/>
  <c r="F3281" i="19"/>
  <c r="H3281" i="19"/>
  <c r="F2846" i="19"/>
  <c r="H2846" i="19"/>
  <c r="Q2846" i="19"/>
  <c r="F2584" i="19"/>
  <c r="H2584" i="19"/>
  <c r="F2531" i="19"/>
  <c r="H2531" i="19"/>
  <c r="F3362" i="19"/>
  <c r="H3362" i="19"/>
  <c r="Q3362" i="19"/>
  <c r="R3211" i="19"/>
  <c r="R4196" i="19"/>
  <c r="F2821" i="19"/>
  <c r="H2821" i="19"/>
  <c r="Q2821" i="19"/>
  <c r="R2821" i="19"/>
  <c r="F2558" i="19"/>
  <c r="H2558" i="19"/>
  <c r="Q2558" i="19"/>
  <c r="R2558" i="19"/>
  <c r="R2221" i="19"/>
  <c r="F2725" i="19"/>
  <c r="H2725" i="19"/>
  <c r="Q2725" i="19"/>
  <c r="Q2708" i="19"/>
  <c r="F2709" i="19"/>
  <c r="H2709" i="19"/>
  <c r="Q2709" i="19"/>
  <c r="Q2710" i="19"/>
  <c r="F2711" i="19"/>
  <c r="H2711" i="19"/>
  <c r="Q2711" i="19"/>
  <c r="F2712" i="19"/>
  <c r="H2712" i="19"/>
  <c r="Q2712" i="19"/>
  <c r="F2713" i="19"/>
  <c r="H2713" i="19"/>
  <c r="Q2713" i="19"/>
  <c r="F2714" i="19"/>
  <c r="H2714" i="19"/>
  <c r="Q2714" i="19"/>
  <c r="F2716" i="19"/>
  <c r="H2716" i="19"/>
  <c r="Q2716" i="19"/>
  <c r="F2717" i="19"/>
  <c r="H2717" i="19"/>
  <c r="Q2717" i="19"/>
  <c r="Q2718" i="19"/>
  <c r="Q2719" i="19"/>
  <c r="F2721" i="19"/>
  <c r="H2721" i="19"/>
  <c r="Q2721" i="19"/>
  <c r="F2722" i="19"/>
  <c r="H2722" i="19"/>
  <c r="Q2722" i="19"/>
  <c r="F2723" i="19"/>
  <c r="H2723" i="19"/>
  <c r="Q2723" i="19"/>
  <c r="F2724" i="19"/>
  <c r="H2724" i="19"/>
  <c r="Q2724" i="19"/>
  <c r="F2726" i="19"/>
  <c r="H2726" i="19"/>
  <c r="Q2726" i="19"/>
  <c r="F2727" i="19"/>
  <c r="H2727" i="19"/>
  <c r="Q2727" i="19"/>
  <c r="F2728" i="19"/>
  <c r="H2728" i="19"/>
  <c r="Q2728" i="19"/>
  <c r="F2729" i="19"/>
  <c r="H2729" i="19"/>
  <c r="Q2729" i="19"/>
  <c r="F2730" i="19"/>
  <c r="H2730" i="19"/>
  <c r="Q2730" i="19"/>
  <c r="F2731" i="19"/>
  <c r="H2731" i="19"/>
  <c r="Q2731" i="19"/>
  <c r="F2732" i="19"/>
  <c r="H2732" i="19"/>
  <c r="Q2732" i="19"/>
  <c r="F2733" i="19"/>
  <c r="H2733" i="19"/>
  <c r="Q2733" i="19"/>
  <c r="F2734" i="19"/>
  <c r="H2734" i="19"/>
  <c r="Q2734" i="19"/>
  <c r="F2735" i="19"/>
  <c r="H2735" i="19"/>
  <c r="Q2735" i="19"/>
  <c r="F2736" i="19"/>
  <c r="H2736" i="19"/>
  <c r="Q2736" i="19"/>
  <c r="F2737" i="19"/>
  <c r="H2737" i="19"/>
  <c r="Q2737" i="19"/>
  <c r="F2738" i="19"/>
  <c r="H2738" i="19"/>
  <c r="Q2738" i="19"/>
  <c r="F2739" i="19"/>
  <c r="H2739" i="19"/>
  <c r="Q2739" i="19"/>
  <c r="F2740" i="19"/>
  <c r="H2740" i="19"/>
  <c r="Q2740" i="19"/>
  <c r="Q2741" i="19"/>
  <c r="Q2742" i="19"/>
  <c r="F2743" i="19"/>
  <c r="H2743" i="19"/>
  <c r="Q2743" i="19"/>
  <c r="F2744" i="19"/>
  <c r="H2744" i="19"/>
  <c r="Q2744" i="19"/>
  <c r="F2745" i="19"/>
  <c r="H2745" i="19"/>
  <c r="Q2745" i="19"/>
  <c r="F2746" i="19"/>
  <c r="H2746" i="19"/>
  <c r="Q2746" i="19"/>
  <c r="F2747" i="19"/>
  <c r="H2747" i="19"/>
  <c r="Q2747" i="19"/>
  <c r="Q2748" i="19"/>
  <c r="F2749" i="19"/>
  <c r="H2749" i="19"/>
  <c r="Q2749" i="19"/>
  <c r="F2750" i="19"/>
  <c r="H2750" i="19"/>
  <c r="Q2750" i="19"/>
  <c r="F2751" i="19"/>
  <c r="H2751" i="19"/>
  <c r="Q2751" i="19"/>
  <c r="F2752" i="19"/>
  <c r="H2752" i="19"/>
  <c r="Q2752" i="19"/>
  <c r="F2753" i="19"/>
  <c r="H2753" i="19"/>
  <c r="Q2753" i="19"/>
  <c r="F2754" i="19"/>
  <c r="H2754" i="19"/>
  <c r="Q2754" i="19"/>
  <c r="F2755" i="19"/>
  <c r="H2755" i="19"/>
  <c r="Q2755" i="19"/>
  <c r="Q2756" i="19"/>
  <c r="Q2757" i="19"/>
  <c r="Q2758" i="19"/>
  <c r="F2759" i="19"/>
  <c r="H2759" i="19"/>
  <c r="Q2759" i="19"/>
  <c r="F2760" i="19"/>
  <c r="H2760" i="19"/>
  <c r="Q2760" i="19"/>
  <c r="F2761" i="19"/>
  <c r="H2761" i="19"/>
  <c r="Q2761" i="19"/>
  <c r="F2763" i="19"/>
  <c r="H2763" i="19"/>
  <c r="Q2763" i="19"/>
  <c r="F2764" i="19"/>
  <c r="H2764" i="19"/>
  <c r="Q2764" i="19"/>
  <c r="F2765" i="19"/>
  <c r="H2765" i="19"/>
  <c r="Q2765" i="19"/>
  <c r="F2766" i="19"/>
  <c r="H2766" i="19"/>
  <c r="Q2766" i="19"/>
  <c r="F2767" i="19"/>
  <c r="H2767" i="19"/>
  <c r="Q2767" i="19"/>
  <c r="F2768" i="19"/>
  <c r="H2768" i="19"/>
  <c r="Q2768" i="19"/>
  <c r="Q2769" i="19"/>
  <c r="Q2770" i="19"/>
  <c r="F2771" i="19"/>
  <c r="H2771" i="19"/>
  <c r="Q2771" i="19"/>
  <c r="Q2772" i="19"/>
  <c r="F2773" i="19"/>
  <c r="H2773" i="19"/>
  <c r="Q2773" i="19"/>
  <c r="F2774" i="19"/>
  <c r="H2774" i="19"/>
  <c r="Q2774" i="19"/>
  <c r="F2776" i="19"/>
  <c r="H2776" i="19"/>
  <c r="Q2776" i="19"/>
  <c r="F2778" i="19"/>
  <c r="H2778" i="19"/>
  <c r="Q2778" i="19"/>
  <c r="Q2779" i="19"/>
  <c r="Q2780" i="19"/>
  <c r="Q2781" i="19"/>
  <c r="F2782" i="19"/>
  <c r="H2782" i="19"/>
  <c r="Q2782" i="19"/>
  <c r="F2783" i="19"/>
  <c r="H2783" i="19"/>
  <c r="Q2783" i="19"/>
  <c r="F2787" i="19"/>
  <c r="H2787" i="19"/>
  <c r="Q2787" i="19"/>
  <c r="F2789" i="19"/>
  <c r="H2789" i="19"/>
  <c r="Q2789" i="19"/>
  <c r="F2790" i="19"/>
  <c r="H2790" i="19"/>
  <c r="Q2790" i="19"/>
  <c r="F2791" i="19"/>
  <c r="H2791" i="19"/>
  <c r="Q2791" i="19"/>
  <c r="F2792" i="19"/>
  <c r="H2792" i="19"/>
  <c r="Q2792" i="19"/>
  <c r="F2794" i="19"/>
  <c r="H2794" i="19"/>
  <c r="Q2794" i="19"/>
  <c r="F2795" i="19"/>
  <c r="H2795" i="19"/>
  <c r="Q2795" i="19"/>
  <c r="F2796" i="19"/>
  <c r="H2796" i="19"/>
  <c r="Q2796" i="19"/>
  <c r="F2797" i="19"/>
  <c r="H2797" i="19"/>
  <c r="Q2797" i="19"/>
  <c r="Q2798" i="19"/>
  <c r="F2799" i="19"/>
  <c r="H2799" i="19"/>
  <c r="Q2799" i="19"/>
  <c r="F2800" i="19"/>
  <c r="H2800" i="19"/>
  <c r="Q2800" i="19"/>
  <c r="F2801" i="19"/>
  <c r="H2801" i="19"/>
  <c r="Q2801" i="19"/>
  <c r="F2802" i="19"/>
  <c r="H2802" i="19"/>
  <c r="Q2802" i="19"/>
  <c r="Q2803" i="19"/>
  <c r="F2804" i="19"/>
  <c r="H2804" i="19"/>
  <c r="Q2804" i="19"/>
  <c r="F2805" i="19"/>
  <c r="H2805" i="19"/>
  <c r="Q2805" i="19"/>
  <c r="F2806" i="19"/>
  <c r="H2806" i="19"/>
  <c r="Q2806" i="19"/>
  <c r="F2809" i="19"/>
  <c r="H2809" i="19"/>
  <c r="Q2809" i="19"/>
  <c r="F2811" i="19"/>
  <c r="H2811" i="19"/>
  <c r="Q2811" i="19"/>
  <c r="Q2812" i="19"/>
  <c r="T20" i="19"/>
  <c r="X20" i="19"/>
  <c r="U20" i="19"/>
  <c r="R2725" i="19"/>
  <c r="F3326" i="19"/>
  <c r="H3326" i="19"/>
  <c r="F2542" i="19"/>
  <c r="H2542" i="19"/>
  <c r="F5434" i="19"/>
  <c r="H5434" i="19"/>
  <c r="Q5434" i="19"/>
  <c r="R5434" i="19"/>
  <c r="R4710" i="19"/>
  <c r="R4987" i="19"/>
  <c r="F5444" i="19"/>
  <c r="H5444" i="19"/>
  <c r="F5547" i="19"/>
  <c r="H5547" i="19"/>
  <c r="R4422" i="19"/>
  <c r="F1066" i="19"/>
  <c r="H1066" i="19"/>
  <c r="R4168" i="19"/>
  <c r="R4030" i="19"/>
  <c r="R4985" i="19"/>
  <c r="F5429" i="19"/>
  <c r="H5429" i="19"/>
  <c r="Q5429" i="19"/>
  <c r="F5352" i="19"/>
  <c r="H5352" i="19"/>
  <c r="Q5352" i="19"/>
  <c r="F5353" i="19"/>
  <c r="H5353" i="19"/>
  <c r="Q5353" i="19"/>
  <c r="F5354" i="19"/>
  <c r="H5354" i="19"/>
  <c r="Q5354" i="19"/>
  <c r="F5356" i="19"/>
  <c r="H5356" i="19"/>
  <c r="Q5356" i="19"/>
  <c r="F5357" i="19"/>
  <c r="H5357" i="19"/>
  <c r="Q5357" i="19"/>
  <c r="F5359" i="19"/>
  <c r="H5359" i="19"/>
  <c r="Q5359" i="19"/>
  <c r="Q5360" i="19"/>
  <c r="F5362" i="19"/>
  <c r="H5362" i="19"/>
  <c r="Q5362" i="19"/>
  <c r="F5363" i="19"/>
  <c r="H5363" i="19"/>
  <c r="Q5363" i="19"/>
  <c r="Q5364" i="19"/>
  <c r="F5365" i="19"/>
  <c r="H5365" i="19"/>
  <c r="Q5365" i="19"/>
  <c r="F5366" i="19"/>
  <c r="H5366" i="19"/>
  <c r="Q5366" i="19"/>
  <c r="Q5367" i="19"/>
  <c r="F5368" i="19"/>
  <c r="H5368" i="19"/>
  <c r="Q5368" i="19"/>
  <c r="F5369" i="19"/>
  <c r="H5369" i="19"/>
  <c r="Q5369" i="19"/>
  <c r="F5370" i="19"/>
  <c r="H5370" i="19"/>
  <c r="Q5370" i="19"/>
  <c r="F5371" i="19"/>
  <c r="H5371" i="19"/>
  <c r="Q5371" i="19"/>
  <c r="Q5372" i="19"/>
  <c r="F5373" i="19"/>
  <c r="H5373" i="19"/>
  <c r="Q5373" i="19"/>
  <c r="F5374" i="19"/>
  <c r="H5374" i="19"/>
  <c r="Q5374" i="19"/>
  <c r="F5375" i="19"/>
  <c r="H5375" i="19"/>
  <c r="Q5375" i="19"/>
  <c r="F5376" i="19"/>
  <c r="H5376" i="19"/>
  <c r="Q5376" i="19"/>
  <c r="F5377" i="19"/>
  <c r="H5377" i="19"/>
  <c r="Q5377" i="19"/>
  <c r="F5379" i="19"/>
  <c r="H5379" i="19"/>
  <c r="Q5379" i="19"/>
  <c r="F5380" i="19"/>
  <c r="H5380" i="19"/>
  <c r="Q5380" i="19"/>
  <c r="F5381" i="19"/>
  <c r="H5381" i="19"/>
  <c r="Q5381" i="19"/>
  <c r="F5383" i="19"/>
  <c r="H5383" i="19"/>
  <c r="Q5383" i="19"/>
  <c r="F5384" i="19"/>
  <c r="H5384" i="19"/>
  <c r="Q5384" i="19"/>
  <c r="F5385" i="19"/>
  <c r="H5385" i="19"/>
  <c r="Q5385" i="19"/>
  <c r="F5386" i="19"/>
  <c r="H5386" i="19"/>
  <c r="Q5386" i="19"/>
  <c r="Q5387" i="19"/>
  <c r="Q5389" i="19"/>
  <c r="F5390" i="19"/>
  <c r="H5390" i="19"/>
  <c r="Q5390" i="19"/>
  <c r="Q5394" i="19"/>
  <c r="Q5395" i="19"/>
  <c r="Q5396" i="19"/>
  <c r="Q5398" i="19"/>
  <c r="Q5400" i="19"/>
  <c r="Q5401" i="19"/>
  <c r="F5403" i="19"/>
  <c r="H5403" i="19"/>
  <c r="Q5403" i="19"/>
  <c r="F5405" i="19"/>
  <c r="H5405" i="19"/>
  <c r="Q5405" i="19"/>
  <c r="Q5406" i="19"/>
  <c r="Q5408" i="19"/>
  <c r="Q5409" i="19"/>
  <c r="Q5410" i="19"/>
  <c r="Q5412" i="19"/>
  <c r="Q5415" i="19"/>
  <c r="Q5417" i="19"/>
  <c r="Q5418" i="19"/>
  <c r="Q5419" i="19"/>
  <c r="Q5426" i="19"/>
  <c r="F5431" i="19"/>
  <c r="H5431" i="19"/>
  <c r="Q5431" i="19"/>
  <c r="F5432" i="19"/>
  <c r="H5432" i="19"/>
  <c r="Q5432" i="19"/>
  <c r="Q5433" i="19"/>
  <c r="F5435" i="19"/>
  <c r="H5435" i="19"/>
  <c r="Q5435" i="19"/>
  <c r="Q5436" i="19"/>
  <c r="F5437" i="19"/>
  <c r="H5437" i="19"/>
  <c r="Q5437" i="19"/>
  <c r="F5438" i="19"/>
  <c r="H5438" i="19"/>
  <c r="Q5438" i="19"/>
  <c r="Q5439" i="19"/>
  <c r="Q5441" i="19"/>
  <c r="F5443" i="19"/>
  <c r="H5443" i="19"/>
  <c r="Q5443" i="19"/>
  <c r="Q5444" i="19"/>
  <c r="Q5445" i="19"/>
  <c r="F5446" i="19"/>
  <c r="H5446" i="19"/>
  <c r="Q5446" i="19"/>
  <c r="F5447" i="19"/>
  <c r="H5447" i="19"/>
  <c r="Q5447" i="19"/>
  <c r="F5448" i="19"/>
  <c r="H5448" i="19"/>
  <c r="Q5448" i="19"/>
  <c r="F5450" i="19"/>
  <c r="H5450" i="19"/>
  <c r="Q5450" i="19"/>
  <c r="Q5451" i="19"/>
  <c r="F5453" i="19"/>
  <c r="H5453" i="19"/>
  <c r="Q5453" i="19"/>
  <c r="F5454" i="19"/>
  <c r="H5454" i="19"/>
  <c r="Q5454" i="19"/>
  <c r="F5455" i="19"/>
  <c r="H5455" i="19"/>
  <c r="Q5455" i="19"/>
  <c r="F5456" i="19"/>
  <c r="H5456" i="19"/>
  <c r="Q5456" i="19"/>
  <c r="Q5459" i="19"/>
  <c r="F5460" i="19"/>
  <c r="H5460" i="19"/>
  <c r="Q5460" i="19"/>
  <c r="F5462" i="19"/>
  <c r="H5462" i="19"/>
  <c r="Q5462" i="19"/>
  <c r="F5463" i="19"/>
  <c r="H5463" i="19"/>
  <c r="Q5463" i="19"/>
  <c r="Q5464" i="19"/>
  <c r="Q5466" i="19"/>
  <c r="Q5467" i="19"/>
  <c r="Q5469" i="19"/>
  <c r="Q5470" i="19"/>
  <c r="F5471" i="19"/>
  <c r="H5471" i="19"/>
  <c r="Q5471" i="19"/>
  <c r="Q5473" i="19"/>
  <c r="F5474" i="19"/>
  <c r="H5474" i="19"/>
  <c r="Q5474" i="19"/>
  <c r="Q5475" i="19"/>
  <c r="Q5477" i="19"/>
  <c r="Q5479" i="19"/>
  <c r="Q5481" i="19"/>
  <c r="Q5482" i="19"/>
  <c r="F5483" i="19"/>
  <c r="H5483" i="19"/>
  <c r="Q5483" i="19"/>
  <c r="Q5484" i="19"/>
  <c r="Q5485" i="19"/>
  <c r="Q5487" i="19"/>
  <c r="F5490" i="19"/>
  <c r="H5490" i="19"/>
  <c r="Q5490" i="19"/>
  <c r="Q5496" i="19"/>
  <c r="Q5497" i="19"/>
  <c r="Q5500" i="19"/>
  <c r="Q5501" i="19"/>
  <c r="Q5502" i="19"/>
  <c r="F5504" i="19"/>
  <c r="H5504" i="19"/>
  <c r="Q5504" i="19"/>
  <c r="F5506" i="19"/>
  <c r="H5506" i="19"/>
  <c r="Q5506" i="19"/>
  <c r="Q5508" i="19"/>
  <c r="Q5511" i="19"/>
  <c r="Q5514" i="19"/>
  <c r="Q5515" i="19"/>
  <c r="Q5519" i="19"/>
  <c r="Q5520" i="19"/>
  <c r="Q5521" i="19"/>
  <c r="F5523" i="19"/>
  <c r="H5523" i="19"/>
  <c r="Q5523" i="19"/>
  <c r="F5525" i="19"/>
  <c r="H5525" i="19"/>
  <c r="Q5525" i="19"/>
  <c r="Q5527" i="19"/>
  <c r="Q5528" i="19"/>
  <c r="Q5530" i="19"/>
  <c r="Q5531" i="19"/>
  <c r="Q5532" i="19"/>
  <c r="Q5533" i="19"/>
  <c r="F5534" i="19"/>
  <c r="H5534" i="19"/>
  <c r="Q5534" i="19"/>
  <c r="Q5535" i="19"/>
  <c r="F5536" i="19"/>
  <c r="H5536" i="19"/>
  <c r="Q5536" i="19"/>
  <c r="Q5538" i="19"/>
  <c r="Q5539" i="19"/>
  <c r="F5540" i="19"/>
  <c r="H5540" i="19"/>
  <c r="Q5540" i="19"/>
  <c r="Q5542" i="19"/>
  <c r="F5543" i="19"/>
  <c r="H5543" i="19"/>
  <c r="Q5543" i="19"/>
  <c r="F5544" i="19"/>
  <c r="H5544" i="19"/>
  <c r="Q5544" i="19"/>
  <c r="Q5547" i="19"/>
  <c r="F5548" i="19"/>
  <c r="H5548" i="19"/>
  <c r="Q5548" i="19"/>
  <c r="Q5550" i="19"/>
  <c r="Q5551" i="19"/>
  <c r="F5554" i="19"/>
  <c r="H5554" i="19"/>
  <c r="Q5554" i="19"/>
  <c r="F5555" i="19"/>
  <c r="H5555" i="19"/>
  <c r="Q5555" i="19"/>
  <c r="F5556" i="19"/>
  <c r="H5556" i="19"/>
  <c r="Q5556" i="19"/>
  <c r="Q5557" i="19"/>
  <c r="Q5558" i="19"/>
  <c r="Q5559" i="19"/>
  <c r="F5560" i="19"/>
  <c r="H5560" i="19"/>
  <c r="Q5560" i="19"/>
  <c r="Q5561" i="19"/>
  <c r="Q5562" i="19"/>
  <c r="F5563" i="19"/>
  <c r="H5563" i="19"/>
  <c r="Q5563" i="19"/>
  <c r="F5564" i="19"/>
  <c r="H5564" i="19"/>
  <c r="Q5564" i="19"/>
  <c r="F5566" i="19"/>
  <c r="H5566" i="19"/>
  <c r="Q5566" i="19"/>
  <c r="Q5567" i="19"/>
  <c r="Q5568" i="19"/>
  <c r="F5570" i="19"/>
  <c r="H5570" i="19"/>
  <c r="Q5570" i="19"/>
  <c r="Q5571" i="19"/>
  <c r="Q5572" i="19"/>
  <c r="Q5573" i="19"/>
  <c r="F5575" i="19"/>
  <c r="H5575" i="19"/>
  <c r="Q5575" i="19"/>
  <c r="Q5576" i="19"/>
  <c r="F5577" i="19"/>
  <c r="H5577" i="19"/>
  <c r="Q5577" i="19"/>
  <c r="Q5579" i="19"/>
  <c r="F5580" i="19"/>
  <c r="H5580" i="19"/>
  <c r="Q5580" i="19"/>
  <c r="Q5581" i="19"/>
  <c r="Q5582" i="19"/>
  <c r="Q5583" i="19"/>
  <c r="F5584" i="19"/>
  <c r="H5584" i="19"/>
  <c r="Q5584" i="19"/>
  <c r="Q5585" i="19"/>
  <c r="Q5588" i="19"/>
  <c r="F5589" i="19"/>
  <c r="H5589" i="19"/>
  <c r="Q5589" i="19"/>
  <c r="F5590" i="19"/>
  <c r="H5590" i="19"/>
  <c r="Q5590" i="19"/>
  <c r="Q5591" i="19"/>
  <c r="F5592" i="19"/>
  <c r="H5592" i="19"/>
  <c r="Q5592" i="19"/>
  <c r="F5593" i="19"/>
  <c r="H5593" i="19"/>
  <c r="Q5593" i="19"/>
  <c r="F5594" i="19"/>
  <c r="H5594" i="19"/>
  <c r="Q5594" i="19"/>
  <c r="Q5597" i="19"/>
  <c r="F5598" i="19"/>
  <c r="H5598" i="19"/>
  <c r="Q5598" i="19"/>
  <c r="F5600" i="19"/>
  <c r="H5600" i="19"/>
  <c r="Q5600" i="19"/>
  <c r="Q5601" i="19"/>
  <c r="F5602" i="19"/>
  <c r="H5602" i="19"/>
  <c r="Q5602" i="19"/>
  <c r="Q5603" i="19"/>
  <c r="Q5604" i="19"/>
  <c r="F5605" i="19"/>
  <c r="H5605" i="19"/>
  <c r="Q5605" i="19"/>
  <c r="Q5606" i="19"/>
  <c r="Q5607" i="19"/>
  <c r="Q5608" i="19"/>
  <c r="F5610" i="19"/>
  <c r="H5610" i="19"/>
  <c r="Q5610" i="19"/>
  <c r="Q5611" i="19"/>
  <c r="F5612" i="19"/>
  <c r="H5612" i="19"/>
  <c r="Q5612" i="19"/>
  <c r="F5613" i="19"/>
  <c r="H5613" i="19"/>
  <c r="Q5613" i="19"/>
  <c r="Q5615" i="19"/>
  <c r="F5616" i="19"/>
  <c r="H5616" i="19"/>
  <c r="Q5616" i="19"/>
  <c r="Q5618" i="19"/>
  <c r="Q5619" i="19"/>
  <c r="Q5620" i="19"/>
  <c r="F5623" i="19"/>
  <c r="H5623" i="19"/>
  <c r="Q5623" i="19"/>
  <c r="Q5624" i="19"/>
  <c r="Q5625" i="19"/>
  <c r="Q5632" i="19"/>
  <c r="F5634" i="19"/>
  <c r="H5634" i="19"/>
  <c r="Q5634" i="19"/>
  <c r="T39" i="19"/>
  <c r="X39" i="19"/>
  <c r="U39" i="19"/>
  <c r="R5429" i="19"/>
  <c r="F5129" i="19"/>
  <c r="H5129" i="19"/>
  <c r="R5066" i="19"/>
  <c r="F5238" i="19"/>
  <c r="H5238" i="19"/>
  <c r="Q5238" i="19"/>
  <c r="R5238" i="19"/>
  <c r="R5600" i="19"/>
  <c r="R4618" i="19"/>
  <c r="R1294" i="19"/>
  <c r="R5613" i="19"/>
  <c r="R4390" i="19"/>
  <c r="R4721" i="19"/>
  <c r="F5270" i="19"/>
  <c r="H5270" i="19"/>
  <c r="Q5270" i="19"/>
  <c r="R5270" i="19"/>
  <c r="F5290" i="19"/>
  <c r="H5290" i="19"/>
  <c r="Q5290" i="19"/>
  <c r="R5290" i="19"/>
  <c r="R1882" i="19"/>
  <c r="R1751" i="19"/>
  <c r="R5767" i="19"/>
  <c r="F5316" i="19"/>
  <c r="H5316" i="19"/>
  <c r="R4173" i="19"/>
  <c r="R1348" i="19"/>
  <c r="R1960" i="19"/>
  <c r="R2042" i="19"/>
  <c r="R3820" i="19"/>
  <c r="R1528" i="19"/>
  <c r="R3544" i="19"/>
  <c r="F3427" i="19"/>
  <c r="H3427" i="19"/>
  <c r="R5657" i="19"/>
  <c r="F2835" i="19"/>
  <c r="H2835" i="19"/>
  <c r="R1544" i="19"/>
  <c r="F5272" i="19"/>
  <c r="H5272" i="19"/>
  <c r="Q5272" i="19"/>
  <c r="R5272" i="19"/>
  <c r="F3411" i="19"/>
  <c r="H3411" i="19"/>
  <c r="Q3411" i="19"/>
  <c r="R3411" i="19"/>
  <c r="F2847" i="19"/>
  <c r="H2847" i="19"/>
  <c r="Q2847" i="19"/>
  <c r="R2847" i="19"/>
  <c r="F3428" i="19"/>
  <c r="H3428" i="19"/>
  <c r="Q3428" i="19"/>
  <c r="R3428" i="19"/>
  <c r="R5751" i="19"/>
  <c r="R2395" i="19"/>
  <c r="R3147" i="19"/>
  <c r="R3928" i="19"/>
  <c r="R1778" i="19"/>
  <c r="R1670" i="19"/>
  <c r="R1906" i="19"/>
  <c r="F3327" i="19"/>
  <c r="H3327" i="19"/>
  <c r="Q3327" i="19"/>
  <c r="R3327" i="19"/>
  <c r="F3341" i="19"/>
  <c r="H3341" i="19"/>
  <c r="R5648" i="19"/>
  <c r="F3390" i="19"/>
  <c r="H3390" i="19"/>
  <c r="R1580" i="19"/>
  <c r="R5870" i="19"/>
  <c r="R1279" i="19"/>
  <c r="F2888" i="19"/>
  <c r="H2888" i="19"/>
  <c r="R3031" i="19"/>
  <c r="F5230" i="19"/>
  <c r="H5230" i="19"/>
  <c r="R3653" i="19"/>
  <c r="R5816" i="19"/>
  <c r="R3202" i="19"/>
  <c r="F2593" i="19"/>
  <c r="H2593" i="19"/>
  <c r="F2827" i="19"/>
  <c r="H2827" i="19"/>
  <c r="Q2827" i="19"/>
  <c r="R2827" i="19"/>
  <c r="R3642" i="19"/>
  <c r="R3090" i="19"/>
  <c r="F2514" i="19"/>
  <c r="H2514" i="19"/>
  <c r="Q2514" i="19"/>
  <c r="R2514" i="19"/>
  <c r="F3284" i="19"/>
  <c r="H3284" i="19"/>
  <c r="F2816" i="19"/>
  <c r="H2816" i="19"/>
  <c r="F2526" i="19"/>
  <c r="H2526" i="19"/>
  <c r="R3145" i="19"/>
  <c r="R2103" i="19"/>
  <c r="R2745" i="19"/>
  <c r="R2744" i="19"/>
  <c r="F5081" i="19"/>
  <c r="H5081" i="19"/>
  <c r="F5088" i="19"/>
  <c r="H5088" i="19"/>
  <c r="R4859" i="19"/>
  <c r="R2035" i="19"/>
  <c r="R4111" i="19"/>
  <c r="R4671" i="19"/>
  <c r="R5050" i="19"/>
  <c r="R2095" i="19"/>
  <c r="R1302" i="19"/>
  <c r="F5323" i="19"/>
  <c r="H5323" i="19"/>
  <c r="R5390" i="19"/>
  <c r="F5105" i="19"/>
  <c r="H5105" i="19"/>
  <c r="R1543" i="19"/>
  <c r="R5605" i="19"/>
  <c r="R4220" i="19"/>
  <c r="R1317" i="19"/>
  <c r="R4573" i="19"/>
  <c r="R4724" i="19"/>
  <c r="R4400" i="19"/>
  <c r="R1582" i="19"/>
  <c r="R4909" i="19"/>
  <c r="R3978" i="19"/>
  <c r="F5325" i="19"/>
  <c r="H5325" i="19"/>
  <c r="Q5325" i="19"/>
  <c r="R5325" i="19"/>
  <c r="R1943" i="19"/>
  <c r="R2985" i="19"/>
  <c r="R2250" i="19"/>
  <c r="F3287" i="19"/>
  <c r="H3287" i="19"/>
  <c r="R4231" i="19"/>
  <c r="R2190" i="19"/>
  <c r="R1609" i="19"/>
  <c r="F3439" i="19"/>
  <c r="H3439" i="19"/>
  <c r="Q3439" i="19"/>
  <c r="R3439" i="19"/>
  <c r="R2503" i="19"/>
  <c r="R3182" i="19"/>
  <c r="F2862" i="19"/>
  <c r="H2862" i="19"/>
  <c r="R3915" i="19"/>
  <c r="F3419" i="19"/>
  <c r="H3419" i="19"/>
  <c r="R2950" i="19"/>
  <c r="F2851" i="19"/>
  <c r="H2851" i="19"/>
  <c r="Q2851" i="19"/>
  <c r="R2851" i="19"/>
  <c r="R4967" i="19"/>
  <c r="F3436" i="19"/>
  <c r="H3436" i="19"/>
  <c r="R2954" i="19"/>
  <c r="F2832" i="19"/>
  <c r="H2832" i="19"/>
  <c r="R3160" i="19"/>
  <c r="R5851" i="19"/>
  <c r="R2246" i="19"/>
  <c r="R1426" i="19"/>
  <c r="R1956" i="19"/>
  <c r="R1937" i="19"/>
  <c r="F3354" i="19"/>
  <c r="H3354" i="19"/>
  <c r="R2949" i="19"/>
  <c r="F3350" i="19"/>
  <c r="H3350" i="19"/>
  <c r="Q3350" i="19"/>
  <c r="F3277" i="19"/>
  <c r="H3277" i="19"/>
  <c r="Q3277" i="19"/>
  <c r="F3278" i="19"/>
  <c r="H3278" i="19"/>
  <c r="Q3278" i="19"/>
  <c r="F3280" i="19"/>
  <c r="H3280" i="19"/>
  <c r="Q3280" i="19"/>
  <c r="Q3281" i="19"/>
  <c r="F3282" i="19"/>
  <c r="H3282" i="19"/>
  <c r="Q3282" i="19"/>
  <c r="Q3284" i="19"/>
  <c r="F3286" i="19"/>
  <c r="H3286" i="19"/>
  <c r="Q3286" i="19"/>
  <c r="Q3287" i="19"/>
  <c r="F3288" i="19"/>
  <c r="H3288" i="19"/>
  <c r="Q3288" i="19"/>
  <c r="F3289" i="19"/>
  <c r="H3289" i="19"/>
  <c r="Q3289" i="19"/>
  <c r="F3291" i="19"/>
  <c r="H3291" i="19"/>
  <c r="Q3291" i="19"/>
  <c r="F3293" i="19"/>
  <c r="H3293" i="19"/>
  <c r="Q3293" i="19"/>
  <c r="Q3295" i="19"/>
  <c r="Q3297" i="19"/>
  <c r="F3298" i="19"/>
  <c r="H3298" i="19"/>
  <c r="Q3298" i="19"/>
  <c r="Q3299" i="19"/>
  <c r="F3300" i="19"/>
  <c r="H3300" i="19"/>
  <c r="Q3300" i="19"/>
  <c r="Q3301" i="19"/>
  <c r="F3302" i="19"/>
  <c r="H3302" i="19"/>
  <c r="Q3302" i="19"/>
  <c r="Q3303" i="19"/>
  <c r="F3305" i="19"/>
  <c r="H3305" i="19"/>
  <c r="Q3305" i="19"/>
  <c r="F3306" i="19"/>
  <c r="H3306" i="19"/>
  <c r="Q3306" i="19"/>
  <c r="Q3307" i="19"/>
  <c r="F3308" i="19"/>
  <c r="H3308" i="19"/>
  <c r="Q3308" i="19"/>
  <c r="Q3309" i="19"/>
  <c r="F3310" i="19"/>
  <c r="H3310" i="19"/>
  <c r="Q3310" i="19"/>
  <c r="Q3311" i="19"/>
  <c r="Q3312" i="19"/>
  <c r="Q3314" i="19"/>
  <c r="F3315" i="19"/>
  <c r="H3315" i="19"/>
  <c r="Q3315" i="19"/>
  <c r="Q3316" i="19"/>
  <c r="F3317" i="19"/>
  <c r="H3317" i="19"/>
  <c r="Q3317" i="19"/>
  <c r="Q3319" i="19"/>
  <c r="Q3320" i="19"/>
  <c r="F3321" i="19"/>
  <c r="H3321" i="19"/>
  <c r="Q3321" i="19"/>
  <c r="F3322" i="19"/>
  <c r="H3322" i="19"/>
  <c r="Q3322" i="19"/>
  <c r="F3323" i="19"/>
  <c r="H3323" i="19"/>
  <c r="Q3323" i="19"/>
  <c r="Q3324" i="19"/>
  <c r="F3325" i="19"/>
  <c r="H3325" i="19"/>
  <c r="Q3325" i="19"/>
  <c r="Q3326" i="19"/>
  <c r="Q3328" i="19"/>
  <c r="Q3329" i="19"/>
  <c r="F3330" i="19"/>
  <c r="H3330" i="19"/>
  <c r="Q3330" i="19"/>
  <c r="F3333" i="19"/>
  <c r="H3333" i="19"/>
  <c r="Q3333" i="19"/>
  <c r="Q3334" i="19"/>
  <c r="F3335" i="19"/>
  <c r="H3335" i="19"/>
  <c r="Q3335" i="19"/>
  <c r="Q3336" i="19"/>
  <c r="F3337" i="19"/>
  <c r="H3337" i="19"/>
  <c r="Q3337" i="19"/>
  <c r="F3338" i="19"/>
  <c r="H3338" i="19"/>
  <c r="Q3338" i="19"/>
  <c r="F3340" i="19"/>
  <c r="H3340" i="19"/>
  <c r="Q3340" i="19"/>
  <c r="Q3341" i="19"/>
  <c r="Q3342" i="19"/>
  <c r="F3343" i="19"/>
  <c r="H3343" i="19"/>
  <c r="Q3343" i="19"/>
  <c r="Q3344" i="19"/>
  <c r="F3345" i="19"/>
  <c r="H3345" i="19"/>
  <c r="Q3345" i="19"/>
  <c r="F3346" i="19"/>
  <c r="H3346" i="19"/>
  <c r="Q3346" i="19"/>
  <c r="F3347" i="19"/>
  <c r="H3347" i="19"/>
  <c r="Q3347" i="19"/>
  <c r="Q3348" i="19"/>
  <c r="F3349" i="19"/>
  <c r="H3349" i="19"/>
  <c r="Q3349" i="19"/>
  <c r="F3351" i="19"/>
  <c r="H3351" i="19"/>
  <c r="Q3351" i="19"/>
  <c r="Q3352" i="19"/>
  <c r="Q3353" i="19"/>
  <c r="Q3354" i="19"/>
  <c r="F3355" i="19"/>
  <c r="H3355" i="19"/>
  <c r="Q3355" i="19"/>
  <c r="Q3356" i="19"/>
  <c r="F3359" i="19"/>
  <c r="H3359" i="19"/>
  <c r="Q3359" i="19"/>
  <c r="Q3361" i="19"/>
  <c r="F3363" i="19"/>
  <c r="H3363" i="19"/>
  <c r="Q3363" i="19"/>
  <c r="F3364" i="19"/>
  <c r="H3364" i="19"/>
  <c r="Q3364" i="19"/>
  <c r="F3365" i="19"/>
  <c r="H3365" i="19"/>
  <c r="Q3365" i="19"/>
  <c r="F3366" i="19"/>
  <c r="H3366" i="19"/>
  <c r="Q3366" i="19"/>
  <c r="F3367" i="19"/>
  <c r="H3367" i="19"/>
  <c r="Q3367" i="19"/>
  <c r="Q3368" i="19"/>
  <c r="F3369" i="19"/>
  <c r="H3369" i="19"/>
  <c r="Q3369" i="19"/>
  <c r="F3370" i="19"/>
  <c r="H3370" i="19"/>
  <c r="Q3370" i="19"/>
  <c r="F3373" i="19"/>
  <c r="H3373" i="19"/>
  <c r="Q3373" i="19"/>
  <c r="F3374" i="19"/>
  <c r="H3374" i="19"/>
  <c r="Q3374" i="19"/>
  <c r="F3375" i="19"/>
  <c r="H3375" i="19"/>
  <c r="Q3375" i="19"/>
  <c r="Q3377" i="19"/>
  <c r="Q3378" i="19"/>
  <c r="Q3379" i="19"/>
  <c r="Q3380" i="19"/>
  <c r="F3381" i="19"/>
  <c r="H3381" i="19"/>
  <c r="Q3381" i="19"/>
  <c r="F3382" i="19"/>
  <c r="H3382" i="19"/>
  <c r="Q3382" i="19"/>
  <c r="Q3383" i="19"/>
  <c r="F3385" i="19"/>
  <c r="H3385" i="19"/>
  <c r="Q3385" i="19"/>
  <c r="Q3387" i="19"/>
  <c r="Q3388" i="19"/>
  <c r="F3389" i="19"/>
  <c r="H3389" i="19"/>
  <c r="Q3389" i="19"/>
  <c r="Q3390" i="19"/>
  <c r="Q3391" i="19"/>
  <c r="Q3392" i="19"/>
  <c r="Q3393" i="19"/>
  <c r="F3394" i="19"/>
  <c r="H3394" i="19"/>
  <c r="Q3394" i="19"/>
  <c r="Q3395" i="19"/>
  <c r="F3397" i="19"/>
  <c r="H3397" i="19"/>
  <c r="Q3397" i="19"/>
  <c r="F3398" i="19"/>
  <c r="H3398" i="19"/>
  <c r="Q3398" i="19"/>
  <c r="Q3399" i="19"/>
  <c r="F3403" i="19"/>
  <c r="H3403" i="19"/>
  <c r="Q3403" i="19"/>
  <c r="Q3404" i="19"/>
  <c r="F3405" i="19"/>
  <c r="H3405" i="19"/>
  <c r="Q3405" i="19"/>
  <c r="Q3406" i="19"/>
  <c r="F3409" i="19"/>
  <c r="H3409" i="19"/>
  <c r="Q3409" i="19"/>
  <c r="F3410" i="19"/>
  <c r="H3410" i="19"/>
  <c r="Q3410" i="19"/>
  <c r="F3412" i="19"/>
  <c r="H3412" i="19"/>
  <c r="Q3412" i="19"/>
  <c r="F3413" i="19"/>
  <c r="H3413" i="19"/>
  <c r="Q3413" i="19"/>
  <c r="F3414" i="19"/>
  <c r="H3414" i="19"/>
  <c r="Q3414" i="19"/>
  <c r="F3415" i="19"/>
  <c r="H3415" i="19"/>
  <c r="Q3415" i="19"/>
  <c r="Q3416" i="19"/>
  <c r="Q3418" i="19"/>
  <c r="Q3419" i="19"/>
  <c r="Q3420" i="19"/>
  <c r="F3421" i="19"/>
  <c r="H3421" i="19"/>
  <c r="Q3421" i="19"/>
  <c r="F3422" i="19"/>
  <c r="H3422" i="19"/>
  <c r="Q3422" i="19"/>
  <c r="F3424" i="19"/>
  <c r="H3424" i="19"/>
  <c r="Q3424" i="19"/>
  <c r="F3425" i="19"/>
  <c r="H3425" i="19"/>
  <c r="Q3425" i="19"/>
  <c r="Q3427" i="19"/>
  <c r="F3429" i="19"/>
  <c r="H3429" i="19"/>
  <c r="Q3429" i="19"/>
  <c r="F3430" i="19"/>
  <c r="H3430" i="19"/>
  <c r="Q3430" i="19"/>
  <c r="F3431" i="19"/>
  <c r="H3431" i="19"/>
  <c r="Q3431" i="19"/>
  <c r="F3432" i="19"/>
  <c r="H3432" i="19"/>
  <c r="Q3432" i="19"/>
  <c r="Q3433" i="19"/>
  <c r="F3434" i="19"/>
  <c r="H3434" i="19"/>
  <c r="Q3434" i="19"/>
  <c r="F3435" i="19"/>
  <c r="H3435" i="19"/>
  <c r="Q3435" i="19"/>
  <c r="Q3436" i="19"/>
  <c r="F3437" i="19"/>
  <c r="H3437" i="19"/>
  <c r="Q3437" i="19"/>
  <c r="F3438" i="19"/>
  <c r="H3438" i="19"/>
  <c r="Q3438" i="19"/>
  <c r="F3440" i="19"/>
  <c r="H3440" i="19"/>
  <c r="Q3440" i="19"/>
  <c r="Q3441" i="19"/>
  <c r="F3442" i="19"/>
  <c r="H3442" i="19"/>
  <c r="Q3442" i="19"/>
  <c r="F3443" i="19"/>
  <c r="H3443" i="19"/>
  <c r="Q3443" i="19"/>
  <c r="F3444" i="19"/>
  <c r="H3444" i="19"/>
  <c r="Q3444" i="19"/>
  <c r="F3445" i="19"/>
  <c r="H3445" i="19"/>
  <c r="Q3445" i="19"/>
  <c r="F3446" i="19"/>
  <c r="H3446" i="19"/>
  <c r="Q3446" i="19"/>
  <c r="Q3447" i="19"/>
  <c r="F3448" i="19"/>
  <c r="H3448" i="19"/>
  <c r="Q3448" i="19"/>
  <c r="F3449" i="19"/>
  <c r="H3449" i="19"/>
  <c r="Q3449" i="19"/>
  <c r="Q3450" i="19"/>
  <c r="Q3451" i="19"/>
  <c r="F3452" i="19"/>
  <c r="H3452" i="19"/>
  <c r="Q3452" i="19"/>
  <c r="F3453" i="19"/>
  <c r="H3453" i="19"/>
  <c r="Q3453" i="19"/>
  <c r="F3454" i="19"/>
  <c r="H3454" i="19"/>
  <c r="Q3454" i="19"/>
  <c r="F3455" i="19"/>
  <c r="H3455" i="19"/>
  <c r="Q3455" i="19"/>
  <c r="F3456" i="19"/>
  <c r="H3456" i="19"/>
  <c r="Q3456" i="19"/>
  <c r="F3457" i="19"/>
  <c r="H3457" i="19"/>
  <c r="Q3457" i="19"/>
  <c r="Q3458" i="19"/>
  <c r="F3459" i="19"/>
  <c r="H3459" i="19"/>
  <c r="Q3459" i="19"/>
  <c r="T29" i="19"/>
  <c r="X29" i="19"/>
  <c r="U29" i="19"/>
  <c r="R3350" i="19"/>
  <c r="F2852" i="19"/>
  <c r="H2852" i="19"/>
  <c r="Q2852" i="19"/>
  <c r="R2852" i="19"/>
  <c r="R3074" i="19"/>
  <c r="R3403" i="19"/>
  <c r="R5814" i="19"/>
  <c r="F2524" i="19"/>
  <c r="H2524" i="19"/>
  <c r="R1698" i="19"/>
  <c r="R5693" i="19"/>
  <c r="R4323" i="19"/>
  <c r="R5811" i="19"/>
  <c r="F2567" i="19"/>
  <c r="H2567" i="19"/>
  <c r="Q2567" i="19"/>
  <c r="F2817" i="19"/>
  <c r="H2817" i="19"/>
  <c r="Q2817" i="19"/>
  <c r="R2817" i="19"/>
  <c r="R2675" i="19"/>
  <c r="F2547" i="19"/>
  <c r="H2547" i="19"/>
  <c r="Q2547" i="19"/>
  <c r="R2547" i="19"/>
  <c r="R2620" i="19"/>
  <c r="R3121" i="19"/>
  <c r="R2702" i="19"/>
  <c r="F5219" i="19"/>
  <c r="H5219" i="19"/>
  <c r="F2854" i="19"/>
  <c r="H2854" i="19"/>
  <c r="Q2854" i="19"/>
  <c r="F2916" i="19"/>
  <c r="H2916" i="19"/>
  <c r="R4781" i="19"/>
  <c r="F5126" i="19"/>
  <c r="H5126" i="19"/>
  <c r="F5153" i="19"/>
  <c r="H5153" i="19"/>
  <c r="Q5153" i="19"/>
  <c r="R5153" i="19"/>
  <c r="R5059" i="19"/>
  <c r="R2247" i="19"/>
  <c r="R4696" i="19"/>
  <c r="R1297" i="19"/>
  <c r="F5180" i="19"/>
  <c r="H5180" i="19"/>
  <c r="R2108" i="19"/>
  <c r="F5347" i="19"/>
  <c r="H5347" i="19"/>
  <c r="R5556" i="19"/>
  <c r="F5115" i="19"/>
  <c r="H5115" i="19"/>
  <c r="R1629" i="19"/>
  <c r="R3971" i="19"/>
  <c r="R2444" i="19"/>
  <c r="R4415" i="19"/>
  <c r="R4874" i="19"/>
  <c r="R4966" i="19"/>
  <c r="R4435" i="19"/>
  <c r="R4454" i="19"/>
  <c r="R4942" i="19"/>
  <c r="R4325" i="19"/>
  <c r="F5335" i="19"/>
  <c r="H5335" i="19"/>
  <c r="Q5335" i="19"/>
  <c r="R5335" i="19"/>
  <c r="R1893" i="19"/>
  <c r="R5844" i="19"/>
  <c r="R5405" i="19"/>
  <c r="R2195" i="19"/>
  <c r="F5226" i="19"/>
  <c r="H5226" i="19"/>
  <c r="Q5226" i="19"/>
  <c r="R1957" i="19"/>
  <c r="R3443" i="19"/>
  <c r="R1463" i="19"/>
  <c r="R3212" i="19"/>
  <c r="F2889" i="19"/>
  <c r="H2889" i="19"/>
  <c r="R1914" i="19"/>
  <c r="R2971" i="19"/>
  <c r="F2855" i="19"/>
  <c r="H2855" i="19"/>
  <c r="Q2855" i="19"/>
  <c r="R2855" i="19"/>
  <c r="R3469" i="19"/>
  <c r="F2843" i="19"/>
  <c r="H2843" i="19"/>
  <c r="R2465" i="19"/>
  <c r="R1840" i="19"/>
  <c r="R3950" i="19"/>
  <c r="R1987" i="19"/>
  <c r="R2406" i="19"/>
  <c r="R5842" i="19"/>
  <c r="F2532" i="19"/>
  <c r="H2532" i="19"/>
  <c r="Q2532" i="19"/>
  <c r="R2532" i="19"/>
  <c r="R1759" i="19"/>
  <c r="R3669" i="19"/>
  <c r="R2737" i="19"/>
  <c r="R5781" i="19"/>
  <c r="R2229" i="19"/>
  <c r="F2563" i="19"/>
  <c r="H2563" i="19"/>
  <c r="Q2563" i="19"/>
  <c r="R3534" i="19"/>
  <c r="R3009" i="19"/>
  <c r="R3601" i="19"/>
  <c r="R2766" i="19"/>
  <c r="F2608" i="19"/>
  <c r="H2608" i="19"/>
  <c r="F2574" i="19"/>
  <c r="H2574" i="19"/>
  <c r="F2897" i="19"/>
  <c r="H2897" i="19"/>
  <c r="R3110" i="19"/>
  <c r="R775" i="19"/>
  <c r="F5166" i="19"/>
  <c r="H5166" i="19"/>
  <c r="F5077" i="19"/>
  <c r="H5077" i="19"/>
  <c r="R4679" i="19"/>
  <c r="R4228" i="19"/>
  <c r="R1310" i="19"/>
  <c r="F5236" i="19"/>
  <c r="H5236" i="19"/>
  <c r="R3944" i="19"/>
  <c r="R1486" i="19"/>
  <c r="F5233" i="19"/>
  <c r="H5233" i="19"/>
  <c r="R2071" i="19"/>
  <c r="F5193" i="19"/>
  <c r="H5193" i="19"/>
  <c r="R4762" i="19"/>
  <c r="R4313" i="19"/>
  <c r="R718" i="19"/>
  <c r="F5158" i="19"/>
  <c r="H5158" i="19"/>
  <c r="R4429" i="19"/>
  <c r="R2510" i="19"/>
  <c r="R2188" i="19"/>
  <c r="R1974" i="19"/>
  <c r="R3633" i="19"/>
  <c r="R1904" i="19"/>
  <c r="R1403" i="19"/>
  <c r="R5474" i="19"/>
  <c r="R1635" i="19"/>
  <c r="R1669" i="19"/>
  <c r="R4427" i="19"/>
  <c r="R3459" i="19"/>
  <c r="F2831" i="19"/>
  <c r="H2831" i="19"/>
  <c r="Q2831" i="19"/>
  <c r="F2815" i="19"/>
  <c r="H2815" i="19"/>
  <c r="Q2815" i="19"/>
  <c r="Q2816" i="19"/>
  <c r="F2818" i="19"/>
  <c r="H2818" i="19"/>
  <c r="Q2818" i="19"/>
  <c r="Q2820" i="19"/>
  <c r="F2822" i="19"/>
  <c r="H2822" i="19"/>
  <c r="Q2822" i="19"/>
  <c r="Q2823" i="19"/>
  <c r="F2825" i="19"/>
  <c r="H2825" i="19"/>
  <c r="Q2825" i="19"/>
  <c r="Q2829" i="19"/>
  <c r="Q2830" i="19"/>
  <c r="Q2832" i="19"/>
  <c r="F2833" i="19"/>
  <c r="H2833" i="19"/>
  <c r="Q2833" i="19"/>
  <c r="F2834" i="19"/>
  <c r="H2834" i="19"/>
  <c r="Q2834" i="19"/>
  <c r="Q2835" i="19"/>
  <c r="F2836" i="19"/>
  <c r="H2836" i="19"/>
  <c r="Q2836" i="19"/>
  <c r="F2837" i="19"/>
  <c r="H2837" i="19"/>
  <c r="Q2837" i="19"/>
  <c r="F2838" i="19"/>
  <c r="H2838" i="19"/>
  <c r="Q2838" i="19"/>
  <c r="Q2839" i="19"/>
  <c r="F2840" i="19"/>
  <c r="H2840" i="19"/>
  <c r="Q2840" i="19"/>
  <c r="Q2842" i="19"/>
  <c r="Q2843" i="19"/>
  <c r="F2844" i="19"/>
  <c r="H2844" i="19"/>
  <c r="Q2844" i="19"/>
  <c r="F2845" i="19"/>
  <c r="H2845" i="19"/>
  <c r="Q2845" i="19"/>
  <c r="F2848" i="19"/>
  <c r="H2848" i="19"/>
  <c r="Q2848" i="19"/>
  <c r="F2849" i="19"/>
  <c r="H2849" i="19"/>
  <c r="Q2849" i="19"/>
  <c r="F2850" i="19"/>
  <c r="H2850" i="19"/>
  <c r="Q2850" i="19"/>
  <c r="F2857" i="19"/>
  <c r="H2857" i="19"/>
  <c r="Q2857" i="19"/>
  <c r="Q2858" i="19"/>
  <c r="F2859" i="19"/>
  <c r="H2859" i="19"/>
  <c r="Q2859" i="19"/>
  <c r="F2860" i="19"/>
  <c r="H2860" i="19"/>
  <c r="Q2860" i="19"/>
  <c r="Q2862" i="19"/>
  <c r="F2863" i="19"/>
  <c r="H2863" i="19"/>
  <c r="Q2863" i="19"/>
  <c r="Q2864" i="19"/>
  <c r="Q2866" i="19"/>
  <c r="F2867" i="19"/>
  <c r="H2867" i="19"/>
  <c r="Q2867" i="19"/>
  <c r="F2868" i="19"/>
  <c r="H2868" i="19"/>
  <c r="Q2868" i="19"/>
  <c r="F2869" i="19"/>
  <c r="H2869" i="19"/>
  <c r="Q2869" i="19"/>
  <c r="F2870" i="19"/>
  <c r="H2870" i="19"/>
  <c r="Q2870" i="19"/>
  <c r="F2871" i="19"/>
  <c r="H2871" i="19"/>
  <c r="Q2871" i="19"/>
  <c r="Q2872" i="19"/>
  <c r="Q2873" i="19"/>
  <c r="F2874" i="19"/>
  <c r="H2874" i="19"/>
  <c r="Q2874" i="19"/>
  <c r="Q2875" i="19"/>
  <c r="F2876" i="19"/>
  <c r="H2876" i="19"/>
  <c r="Q2876" i="19"/>
  <c r="F2877" i="19"/>
  <c r="H2877" i="19"/>
  <c r="Q2877" i="19"/>
  <c r="F2878" i="19"/>
  <c r="H2878" i="19"/>
  <c r="Q2878" i="19"/>
  <c r="F2879" i="19"/>
  <c r="H2879" i="19"/>
  <c r="Q2879" i="19"/>
  <c r="F2880" i="19"/>
  <c r="H2880" i="19"/>
  <c r="Q2880" i="19"/>
  <c r="F2881" i="19"/>
  <c r="H2881" i="19"/>
  <c r="Q2881" i="19"/>
  <c r="F2882" i="19"/>
  <c r="H2882" i="19"/>
  <c r="Q2882" i="19"/>
  <c r="Q2883" i="19"/>
  <c r="F2884" i="19"/>
  <c r="H2884" i="19"/>
  <c r="Q2884" i="19"/>
  <c r="F2885" i="19"/>
  <c r="H2885" i="19"/>
  <c r="Q2885" i="19"/>
  <c r="F2886" i="19"/>
  <c r="H2886" i="19"/>
  <c r="Q2886" i="19"/>
  <c r="Q2887" i="19"/>
  <c r="Q2888" i="19"/>
  <c r="Q2889" i="19"/>
  <c r="F2890" i="19"/>
  <c r="H2890" i="19"/>
  <c r="Q2890" i="19"/>
  <c r="F2891" i="19"/>
  <c r="H2891" i="19"/>
  <c r="Q2891" i="19"/>
  <c r="Q2892" i="19"/>
  <c r="F2895" i="19"/>
  <c r="H2895" i="19"/>
  <c r="Q2895" i="19"/>
  <c r="Q2896" i="19"/>
  <c r="Q2897" i="19"/>
  <c r="F2898" i="19"/>
  <c r="H2898" i="19"/>
  <c r="Q2898" i="19"/>
  <c r="F2899" i="19"/>
  <c r="H2899" i="19"/>
  <c r="Q2899" i="19"/>
  <c r="F2900" i="19"/>
  <c r="H2900" i="19"/>
  <c r="Q2900" i="19"/>
  <c r="F2901" i="19"/>
  <c r="H2901" i="19"/>
  <c r="Q2901" i="19"/>
  <c r="F2902" i="19"/>
  <c r="H2902" i="19"/>
  <c r="Q2902" i="19"/>
  <c r="F2903" i="19"/>
  <c r="H2903" i="19"/>
  <c r="Q2903" i="19"/>
  <c r="F2905" i="19"/>
  <c r="H2905" i="19"/>
  <c r="Q2905" i="19"/>
  <c r="F2907" i="19"/>
  <c r="H2907" i="19"/>
  <c r="Q2907" i="19"/>
  <c r="F2908" i="19"/>
  <c r="H2908" i="19"/>
  <c r="Q2908" i="19"/>
  <c r="F2909" i="19"/>
  <c r="H2909" i="19"/>
  <c r="Q2909" i="19"/>
  <c r="F2910" i="19"/>
  <c r="H2910" i="19"/>
  <c r="Q2910" i="19"/>
  <c r="Q2911" i="19"/>
  <c r="Q2912" i="19"/>
  <c r="Q2913" i="19"/>
  <c r="F2915" i="19"/>
  <c r="H2915" i="19"/>
  <c r="Q2915" i="19"/>
  <c r="Q2916" i="19"/>
  <c r="Q2917" i="19"/>
  <c r="F2918" i="19"/>
  <c r="H2918" i="19"/>
  <c r="Q2918" i="19"/>
  <c r="F2919" i="19"/>
  <c r="H2919" i="19"/>
  <c r="Q2919" i="19"/>
  <c r="F2920" i="19"/>
  <c r="H2920" i="19"/>
  <c r="Q2920" i="19"/>
  <c r="T21" i="19"/>
  <c r="X21" i="19"/>
  <c r="U21" i="19"/>
  <c r="R2831" i="19"/>
  <c r="R1468" i="19"/>
  <c r="R4309" i="19"/>
  <c r="R1940" i="19"/>
  <c r="R3572" i="19"/>
  <c r="F5278" i="19"/>
  <c r="H5278" i="19"/>
  <c r="Q5278" i="19"/>
  <c r="R5278" i="19"/>
  <c r="R633" i="19"/>
  <c r="R3251" i="19"/>
  <c r="R5667" i="19"/>
  <c r="R4458" i="19"/>
  <c r="R473" i="19"/>
  <c r="R2325" i="19"/>
  <c r="R2018" i="19"/>
  <c r="R3903" i="19"/>
  <c r="R3421" i="19"/>
  <c r="F2536" i="19"/>
  <c r="H2536" i="19"/>
  <c r="R1805" i="19"/>
  <c r="F2517" i="19"/>
  <c r="H2517" i="19"/>
  <c r="Q2517" i="19"/>
  <c r="R2517" i="19"/>
  <c r="R3210" i="19"/>
  <c r="R2752" i="19"/>
  <c r="R1430" i="19"/>
  <c r="R4463" i="19"/>
  <c r="R2727" i="19"/>
  <c r="R2948" i="19"/>
  <c r="F930" i="19"/>
  <c r="H930" i="19"/>
  <c r="Q930" i="19"/>
  <c r="R930" i="19"/>
  <c r="F2605" i="19"/>
  <c r="H2605" i="19"/>
  <c r="Q2605" i="19"/>
  <c r="R2605" i="19"/>
  <c r="F2559" i="19"/>
  <c r="H2559" i="19"/>
  <c r="R2809" i="19"/>
  <c r="R1866" i="19"/>
  <c r="F2596" i="19"/>
  <c r="H2596" i="19"/>
  <c r="R5704" i="19"/>
  <c r="R3688" i="19"/>
  <c r="F2566" i="19"/>
  <c r="H2566" i="19"/>
  <c r="Q2566" i="19"/>
  <c r="R1919" i="19"/>
  <c r="R4974" i="19"/>
  <c r="F5103" i="19"/>
  <c r="H5103" i="19"/>
  <c r="F5176" i="19"/>
  <c r="H5176" i="19"/>
  <c r="R4775" i="19"/>
  <c r="R2138" i="19"/>
  <c r="R4862" i="19"/>
  <c r="R2091" i="19"/>
  <c r="R4128" i="19"/>
  <c r="R1339" i="19"/>
  <c r="F5241" i="19"/>
  <c r="H5241" i="19"/>
  <c r="Q5241" i="19"/>
  <c r="R5241" i="19"/>
  <c r="R4162" i="19"/>
  <c r="R1490" i="19"/>
  <c r="F5243" i="19"/>
  <c r="H5243" i="19"/>
  <c r="R2156" i="19"/>
  <c r="R739" i="19"/>
  <c r="R4018" i="19"/>
  <c r="R624" i="19"/>
  <c r="R4869" i="19"/>
  <c r="F5269" i="19"/>
  <c r="H5269" i="19"/>
  <c r="Q5269" i="19"/>
  <c r="R5269" i="19"/>
  <c r="R1442" i="19"/>
  <c r="R3991" i="19"/>
  <c r="R2340" i="19"/>
  <c r="R753" i="19"/>
  <c r="F5191" i="19"/>
  <c r="H5191" i="19"/>
  <c r="R4434" i="19"/>
  <c r="R1995" i="19"/>
  <c r="R3671" i="19"/>
  <c r="R1318" i="19"/>
  <c r="R1927" i="19"/>
  <c r="R3346" i="19"/>
  <c r="R4411" i="19"/>
  <c r="R1516" i="19"/>
  <c r="R3899" i="19"/>
  <c r="F5202" i="19"/>
  <c r="H5202" i="19"/>
  <c r="Q5202" i="19"/>
  <c r="R5202" i="19"/>
  <c r="R1779" i="19"/>
  <c r="R3094" i="19"/>
  <c r="R2885" i="19"/>
  <c r="R3111" i="19"/>
  <c r="R2878" i="19"/>
  <c r="F5346" i="19"/>
  <c r="H5346" i="19"/>
  <c r="Q5346" i="19"/>
  <c r="R5346" i="19"/>
  <c r="R3448" i="19"/>
  <c r="R1616" i="19"/>
  <c r="R3659" i="19"/>
  <c r="R3255" i="19"/>
  <c r="R4487" i="19"/>
  <c r="R1859" i="19"/>
  <c r="R3885" i="19"/>
  <c r="R3457" i="19"/>
  <c r="R3146" i="19"/>
  <c r="R2760" i="19"/>
  <c r="R5773" i="19"/>
  <c r="R1450" i="19"/>
  <c r="R3475" i="19"/>
  <c r="R3431" i="19"/>
  <c r="R5684" i="19"/>
  <c r="F2583" i="19"/>
  <c r="H2583" i="19"/>
  <c r="R2840" i="19"/>
  <c r="F2557" i="19"/>
  <c r="H2557" i="19"/>
  <c r="R3683" i="19"/>
  <c r="R3228" i="19"/>
  <c r="R5756" i="19"/>
  <c r="R3520" i="19"/>
  <c r="F2597" i="19"/>
  <c r="H2597" i="19"/>
  <c r="R3076" i="19"/>
  <c r="F2601" i="19"/>
  <c r="H2601" i="19"/>
  <c r="F2544" i="19"/>
  <c r="H2544" i="19"/>
  <c r="R2771" i="19"/>
  <c r="R1841" i="19"/>
  <c r="F2592" i="19"/>
  <c r="H2592" i="19"/>
  <c r="R5699" i="19"/>
  <c r="R2010" i="19"/>
  <c r="F2530" i="19"/>
  <c r="H2530" i="19"/>
  <c r="R5758" i="19"/>
  <c r="R2825" i="19"/>
  <c r="R3414" i="19"/>
  <c r="F5157" i="19"/>
  <c r="H5157" i="19"/>
  <c r="R5446" i="19"/>
  <c r="R4265" i="19"/>
  <c r="F5228" i="19"/>
  <c r="H5228" i="19"/>
  <c r="R4954" i="19"/>
  <c r="F5128" i="19"/>
  <c r="H5128" i="19"/>
  <c r="R4661" i="19"/>
  <c r="R4155" i="19"/>
  <c r="R4930" i="19"/>
  <c r="F5259" i="19"/>
  <c r="H5259" i="19"/>
  <c r="F5303" i="19"/>
  <c r="H5303" i="19"/>
  <c r="Q5303" i="19"/>
  <c r="R5303" i="19"/>
  <c r="R4075" i="19"/>
  <c r="R1456" i="19"/>
  <c r="R4021" i="19"/>
  <c r="R5443" i="19"/>
  <c r="R4421" i="19"/>
  <c r="R5593" i="19"/>
  <c r="F5201" i="19"/>
  <c r="H5201" i="19"/>
  <c r="Q5201" i="19"/>
  <c r="R5201" i="19"/>
  <c r="R1467" i="19"/>
  <c r="R2225" i="19"/>
  <c r="R2022" i="19"/>
  <c r="R5860" i="19"/>
  <c r="R1327" i="19"/>
  <c r="R3127" i="19"/>
  <c r="R5490" i="19"/>
  <c r="R4438" i="19"/>
  <c r="R4600" i="19"/>
  <c r="R5384" i="19"/>
  <c r="F5247" i="19"/>
  <c r="H5247" i="19"/>
  <c r="Q5247" i="19"/>
  <c r="R5247" i="19"/>
  <c r="R3938" i="19"/>
  <c r="R3744" i="19"/>
  <c r="R3040" i="19"/>
  <c r="R1804" i="19"/>
  <c r="R2184" i="19"/>
  <c r="R1964" i="19"/>
  <c r="R3597" i="19"/>
  <c r="R2882" i="19"/>
  <c r="R1928" i="19"/>
  <c r="R287" i="19"/>
  <c r="R5675" i="19"/>
  <c r="R2630" i="19"/>
  <c r="R4496" i="19"/>
  <c r="R2419" i="19"/>
  <c r="R1891" i="19"/>
  <c r="R1563" i="19"/>
  <c r="R4752" i="19"/>
  <c r="F5178" i="19"/>
  <c r="H5178" i="19"/>
  <c r="Q5178" i="19"/>
  <c r="R5178" i="19"/>
  <c r="R5471" i="19"/>
  <c r="F5253" i="19"/>
  <c r="H5253" i="19"/>
  <c r="R4997" i="19"/>
  <c r="R2327" i="19"/>
  <c r="F5137" i="19"/>
  <c r="H5137" i="19"/>
  <c r="Q5137" i="19"/>
  <c r="R5137" i="19"/>
  <c r="R4882" i="19"/>
  <c r="F5097" i="19"/>
  <c r="H5097" i="19"/>
  <c r="R4358" i="19"/>
  <c r="R5580" i="19"/>
  <c r="R2282" i="19"/>
  <c r="R1460" i="19"/>
  <c r="R4084" i="19"/>
  <c r="F5322" i="19"/>
  <c r="H5322" i="19"/>
  <c r="Q5322" i="19"/>
  <c r="R5483" i="19"/>
  <c r="R4925" i="19"/>
  <c r="R2121" i="19"/>
  <c r="R4226" i="19"/>
  <c r="R1491" i="19"/>
  <c r="F5098" i="19"/>
  <c r="H5098" i="19"/>
  <c r="F5227" i="19"/>
  <c r="H5227" i="19"/>
  <c r="R4176" i="19"/>
  <c r="R5662" i="19"/>
  <c r="R3719" i="19"/>
  <c r="R3161" i="19"/>
  <c r="R5548" i="19"/>
  <c r="R4465" i="19"/>
  <c r="R3969" i="19"/>
  <c r="R1515" i="19"/>
  <c r="R4629" i="19"/>
  <c r="R1710" i="19"/>
  <c r="R1737" i="19"/>
  <c r="R4502" i="19"/>
  <c r="R1694" i="19"/>
  <c r="F5312" i="19"/>
  <c r="H5312" i="19"/>
  <c r="R2233" i="19"/>
  <c r="R1579" i="19"/>
  <c r="R3103" i="19"/>
  <c r="R2901" i="19"/>
  <c r="R5380" i="19"/>
  <c r="R5679" i="19"/>
  <c r="R4648" i="19"/>
  <c r="R1897" i="19"/>
  <c r="R1671" i="19"/>
  <c r="R3777" i="19"/>
  <c r="R3155" i="19"/>
  <c r="R2631" i="19"/>
  <c r="R1839" i="19"/>
  <c r="R5828" i="19"/>
  <c r="R1634" i="19"/>
  <c r="R5724" i="19"/>
  <c r="F2598" i="19"/>
  <c r="H2598" i="19"/>
  <c r="F2576" i="19"/>
  <c r="H2576" i="19"/>
  <c r="Q2576" i="19"/>
  <c r="R3315" i="19"/>
  <c r="R2795" i="19"/>
  <c r="R5793" i="19"/>
  <c r="R1699" i="19"/>
  <c r="R3081" i="19"/>
  <c r="F2548" i="19"/>
  <c r="H2548" i="19"/>
  <c r="Q2548" i="19"/>
  <c r="R3248" i="19"/>
  <c r="F2555" i="19"/>
  <c r="H2555" i="19"/>
  <c r="F2523" i="19"/>
  <c r="H2523" i="19"/>
  <c r="Q2523" i="19"/>
  <c r="R2523" i="19"/>
  <c r="R2722" i="19"/>
  <c r="R1680" i="19"/>
  <c r="F2562" i="19"/>
  <c r="H2562" i="19"/>
  <c r="R2907" i="19"/>
  <c r="F2513" i="19"/>
  <c r="H2513" i="19"/>
  <c r="R5655" i="19"/>
  <c r="F5163" i="19"/>
  <c r="H5163" i="19"/>
  <c r="Q5163" i="19"/>
  <c r="R5163" i="19"/>
  <c r="R4462" i="19"/>
  <c r="R1617" i="19"/>
  <c r="R4495" i="19"/>
  <c r="R1555" i="19"/>
  <c r="R2170" i="19"/>
  <c r="R2224" i="19"/>
  <c r="R4742" i="19"/>
  <c r="R4290" i="19"/>
  <c r="R1971" i="19"/>
  <c r="R2740" i="19"/>
  <c r="R1704" i="19"/>
  <c r="R2679" i="19"/>
  <c r="F2551" i="19"/>
  <c r="H2551" i="19"/>
  <c r="Q2551" i="19"/>
  <c r="R2551" i="19"/>
  <c r="R3039" i="19"/>
  <c r="F2565" i="19"/>
  <c r="H2565" i="19"/>
  <c r="R5858" i="19"/>
  <c r="R2915" i="19"/>
  <c r="R3219" i="19"/>
  <c r="F2577" i="19"/>
  <c r="H2577" i="19"/>
  <c r="R3179" i="19"/>
  <c r="F850" i="19"/>
  <c r="H850" i="19"/>
  <c r="Q850" i="19"/>
  <c r="F780" i="19"/>
  <c r="H780" i="19"/>
  <c r="Q780" i="19"/>
  <c r="F781" i="19"/>
  <c r="H781" i="19"/>
  <c r="Q781" i="19"/>
  <c r="F782" i="19"/>
  <c r="H782" i="19"/>
  <c r="Q782" i="19"/>
  <c r="F783" i="19"/>
  <c r="H783" i="19"/>
  <c r="Q783" i="19"/>
  <c r="F784" i="19"/>
  <c r="H784" i="19"/>
  <c r="Q784" i="19"/>
  <c r="F785" i="19"/>
  <c r="H785" i="19"/>
  <c r="Q785" i="19"/>
  <c r="F786" i="19"/>
  <c r="H786" i="19"/>
  <c r="Q786" i="19"/>
  <c r="F787" i="19"/>
  <c r="H787" i="19"/>
  <c r="Q787" i="19"/>
  <c r="F788" i="19"/>
  <c r="H788" i="19"/>
  <c r="Q788" i="19"/>
  <c r="F789" i="19"/>
  <c r="H789" i="19"/>
  <c r="Q789" i="19"/>
  <c r="F790" i="19"/>
  <c r="H790" i="19"/>
  <c r="Q790" i="19"/>
  <c r="F791" i="19"/>
  <c r="H791" i="19"/>
  <c r="Q791" i="19"/>
  <c r="F792" i="19"/>
  <c r="H792" i="19"/>
  <c r="Q792" i="19"/>
  <c r="F793" i="19"/>
  <c r="H793" i="19"/>
  <c r="Q793" i="19"/>
  <c r="F794" i="19"/>
  <c r="H794" i="19"/>
  <c r="Q794" i="19"/>
  <c r="F795" i="19"/>
  <c r="H795" i="19"/>
  <c r="Q795" i="19"/>
  <c r="F796" i="19"/>
  <c r="H796" i="19"/>
  <c r="Q796" i="19"/>
  <c r="F797" i="19"/>
  <c r="H797" i="19"/>
  <c r="Q797" i="19"/>
  <c r="F798" i="19"/>
  <c r="H798" i="19"/>
  <c r="Q798" i="19"/>
  <c r="F799" i="19"/>
  <c r="H799" i="19"/>
  <c r="Q799" i="19"/>
  <c r="F800" i="19"/>
  <c r="H800" i="19"/>
  <c r="Q800" i="19"/>
  <c r="F801" i="19"/>
  <c r="H801" i="19"/>
  <c r="Q801" i="19"/>
  <c r="F802" i="19"/>
  <c r="H802" i="19"/>
  <c r="Q802" i="19"/>
  <c r="F803" i="19"/>
  <c r="H803" i="19"/>
  <c r="Q803" i="19"/>
  <c r="F804" i="19"/>
  <c r="H804" i="19"/>
  <c r="Q804" i="19"/>
  <c r="F805" i="19"/>
  <c r="H805" i="19"/>
  <c r="Q805" i="19"/>
  <c r="F806" i="19"/>
  <c r="H806" i="19"/>
  <c r="Q806" i="19"/>
  <c r="F807" i="19"/>
  <c r="H807" i="19"/>
  <c r="Q807" i="19"/>
  <c r="F808" i="19"/>
  <c r="H808" i="19"/>
  <c r="Q808" i="19"/>
  <c r="F809" i="19"/>
  <c r="H809" i="19"/>
  <c r="Q809" i="19"/>
  <c r="F810" i="19"/>
  <c r="H810" i="19"/>
  <c r="Q810" i="19"/>
  <c r="F811" i="19"/>
  <c r="H811" i="19"/>
  <c r="Q811" i="19"/>
  <c r="F812" i="19"/>
  <c r="H812" i="19"/>
  <c r="Q812" i="19"/>
  <c r="F813" i="19"/>
  <c r="H813" i="19"/>
  <c r="Q813" i="19"/>
  <c r="F814" i="19"/>
  <c r="H814" i="19"/>
  <c r="Q814" i="19"/>
  <c r="F815" i="19"/>
  <c r="H815" i="19"/>
  <c r="Q815" i="19"/>
  <c r="F816" i="19"/>
  <c r="H816" i="19"/>
  <c r="Q816" i="19"/>
  <c r="F817" i="19"/>
  <c r="H817" i="19"/>
  <c r="Q817" i="19"/>
  <c r="F818" i="19"/>
  <c r="H818" i="19"/>
  <c r="Q818" i="19"/>
  <c r="F819" i="19"/>
  <c r="H819" i="19"/>
  <c r="Q819" i="19"/>
  <c r="F820" i="19"/>
  <c r="H820" i="19"/>
  <c r="Q820" i="19"/>
  <c r="F821" i="19"/>
  <c r="H821" i="19"/>
  <c r="Q821" i="19"/>
  <c r="F822" i="19"/>
  <c r="H822" i="19"/>
  <c r="Q822" i="19"/>
  <c r="F823" i="19"/>
  <c r="H823" i="19"/>
  <c r="Q823" i="19"/>
  <c r="F824" i="19"/>
  <c r="H824" i="19"/>
  <c r="Q824" i="19"/>
  <c r="F825" i="19"/>
  <c r="H825" i="19"/>
  <c r="Q825" i="19"/>
  <c r="F826" i="19"/>
  <c r="H826" i="19"/>
  <c r="Q826" i="19"/>
  <c r="F827" i="19"/>
  <c r="H827" i="19"/>
  <c r="Q827" i="19"/>
  <c r="F828" i="19"/>
  <c r="H828" i="19"/>
  <c r="Q828" i="19"/>
  <c r="F829" i="19"/>
  <c r="H829" i="19"/>
  <c r="Q829" i="19"/>
  <c r="F830" i="19"/>
  <c r="H830" i="19"/>
  <c r="Q830" i="19"/>
  <c r="F831" i="19"/>
  <c r="H831" i="19"/>
  <c r="Q831" i="19"/>
  <c r="F832" i="19"/>
  <c r="H832" i="19"/>
  <c r="Q832" i="19"/>
  <c r="F833" i="19"/>
  <c r="H833" i="19"/>
  <c r="Q833" i="19"/>
  <c r="F834" i="19"/>
  <c r="H834" i="19"/>
  <c r="Q834" i="19"/>
  <c r="F835" i="19"/>
  <c r="H835" i="19"/>
  <c r="Q835" i="19"/>
  <c r="F836" i="19"/>
  <c r="H836" i="19"/>
  <c r="Q836" i="19"/>
  <c r="F837" i="19"/>
  <c r="H837" i="19"/>
  <c r="Q837" i="19"/>
  <c r="F838" i="19"/>
  <c r="H838" i="19"/>
  <c r="Q838" i="19"/>
  <c r="F839" i="19"/>
  <c r="H839" i="19"/>
  <c r="Q839" i="19"/>
  <c r="F840" i="19"/>
  <c r="H840" i="19"/>
  <c r="Q840" i="19"/>
  <c r="F841" i="19"/>
  <c r="H841" i="19"/>
  <c r="Q841" i="19"/>
  <c r="F842" i="19"/>
  <c r="H842" i="19"/>
  <c r="Q842" i="19"/>
  <c r="F843" i="19"/>
  <c r="H843" i="19"/>
  <c r="Q843" i="19"/>
  <c r="F844" i="19"/>
  <c r="H844" i="19"/>
  <c r="Q844" i="19"/>
  <c r="F845" i="19"/>
  <c r="H845" i="19"/>
  <c r="Q845" i="19"/>
  <c r="F846" i="19"/>
  <c r="H846" i="19"/>
  <c r="Q846" i="19"/>
  <c r="F847" i="19"/>
  <c r="H847" i="19"/>
  <c r="Q847" i="19"/>
  <c r="F848" i="19"/>
  <c r="H848" i="19"/>
  <c r="Q848" i="19"/>
  <c r="F849" i="19"/>
  <c r="H849" i="19"/>
  <c r="Q849" i="19"/>
  <c r="F851" i="19"/>
  <c r="H851" i="19"/>
  <c r="Q851" i="19"/>
  <c r="F852" i="19"/>
  <c r="H852" i="19"/>
  <c r="Q852" i="19"/>
  <c r="F853" i="19"/>
  <c r="H853" i="19"/>
  <c r="Q853" i="19"/>
  <c r="F854" i="19"/>
  <c r="H854" i="19"/>
  <c r="Q854" i="19"/>
  <c r="F855" i="19"/>
  <c r="H855" i="19"/>
  <c r="Q855" i="19"/>
  <c r="F856" i="19"/>
  <c r="H856" i="19"/>
  <c r="Q856" i="19"/>
  <c r="F857" i="19"/>
  <c r="H857" i="19"/>
  <c r="Q857" i="19"/>
  <c r="F858" i="19"/>
  <c r="H858" i="19"/>
  <c r="Q858" i="19"/>
  <c r="F859" i="19"/>
  <c r="H859" i="19"/>
  <c r="Q859" i="19"/>
  <c r="F860" i="19"/>
  <c r="H860" i="19"/>
  <c r="Q860" i="19"/>
  <c r="F861" i="19"/>
  <c r="H861" i="19"/>
  <c r="Q861" i="19"/>
  <c r="F862" i="19"/>
  <c r="H862" i="19"/>
  <c r="Q862" i="19"/>
  <c r="F863" i="19"/>
  <c r="H863" i="19"/>
  <c r="Q863" i="19"/>
  <c r="F864" i="19"/>
  <c r="H864" i="19"/>
  <c r="Q864" i="19"/>
  <c r="F865" i="19"/>
  <c r="H865" i="19"/>
  <c r="Q865" i="19"/>
  <c r="F866" i="19"/>
  <c r="H866" i="19"/>
  <c r="Q866" i="19"/>
  <c r="F867" i="19"/>
  <c r="H867" i="19"/>
  <c r="Q867" i="19"/>
  <c r="F868" i="19"/>
  <c r="H868" i="19"/>
  <c r="Q868" i="19"/>
  <c r="F869" i="19"/>
  <c r="H869" i="19"/>
  <c r="Q869" i="19"/>
  <c r="F870" i="19"/>
  <c r="H870" i="19"/>
  <c r="Q870" i="19"/>
  <c r="F871" i="19"/>
  <c r="H871" i="19"/>
  <c r="Q871" i="19"/>
  <c r="F872" i="19"/>
  <c r="H872" i="19"/>
  <c r="Q872" i="19"/>
  <c r="F873" i="19"/>
  <c r="H873" i="19"/>
  <c r="Q873" i="19"/>
  <c r="F874" i="19"/>
  <c r="H874" i="19"/>
  <c r="Q874" i="19"/>
  <c r="F875" i="19"/>
  <c r="H875" i="19"/>
  <c r="Q875" i="19"/>
  <c r="F876" i="19"/>
  <c r="H876" i="19"/>
  <c r="Q876" i="19"/>
  <c r="F877" i="19"/>
  <c r="H877" i="19"/>
  <c r="Q877" i="19"/>
  <c r="F878" i="19"/>
  <c r="H878" i="19"/>
  <c r="Q878" i="19"/>
  <c r="F879" i="19"/>
  <c r="H879" i="19"/>
  <c r="Q879" i="19"/>
  <c r="F880" i="19"/>
  <c r="H880" i="19"/>
  <c r="Q880" i="19"/>
  <c r="F881" i="19"/>
  <c r="H881" i="19"/>
  <c r="Q881" i="19"/>
  <c r="F882" i="19"/>
  <c r="H882" i="19"/>
  <c r="Q882" i="19"/>
  <c r="F883" i="19"/>
  <c r="H883" i="19"/>
  <c r="Q883" i="19"/>
  <c r="F884" i="19"/>
  <c r="H884" i="19"/>
  <c r="Q884" i="19"/>
  <c r="F885" i="19"/>
  <c r="H885" i="19"/>
  <c r="Q885" i="19"/>
  <c r="F886" i="19"/>
  <c r="H886" i="19"/>
  <c r="Q886" i="19"/>
  <c r="F887" i="19"/>
  <c r="H887" i="19"/>
  <c r="Q887" i="19"/>
  <c r="F888" i="19"/>
  <c r="H888" i="19"/>
  <c r="Q888" i="19"/>
  <c r="F889" i="19"/>
  <c r="H889" i="19"/>
  <c r="Q889" i="19"/>
  <c r="F890" i="19"/>
  <c r="H890" i="19"/>
  <c r="Q890" i="19"/>
  <c r="F891" i="19"/>
  <c r="H891" i="19"/>
  <c r="Q891" i="19"/>
  <c r="F892" i="19"/>
  <c r="H892" i="19"/>
  <c r="Q892" i="19"/>
  <c r="F893" i="19"/>
  <c r="H893" i="19"/>
  <c r="Q893" i="19"/>
  <c r="F894" i="19"/>
  <c r="H894" i="19"/>
  <c r="Q894" i="19"/>
  <c r="F895" i="19"/>
  <c r="H895" i="19"/>
  <c r="Q895" i="19"/>
  <c r="F896" i="19"/>
  <c r="H896" i="19"/>
  <c r="Q896" i="19"/>
  <c r="F897" i="19"/>
  <c r="H897" i="19"/>
  <c r="Q897" i="19"/>
  <c r="F898" i="19"/>
  <c r="H898" i="19"/>
  <c r="Q898" i="19"/>
  <c r="F899" i="19"/>
  <c r="H899" i="19"/>
  <c r="Q899" i="19"/>
  <c r="F900" i="19"/>
  <c r="H900" i="19"/>
  <c r="Q900" i="19"/>
  <c r="F901" i="19"/>
  <c r="H901" i="19"/>
  <c r="Q901" i="19"/>
  <c r="F902" i="19"/>
  <c r="H902" i="19"/>
  <c r="Q902" i="19"/>
  <c r="F903" i="19"/>
  <c r="H903" i="19"/>
  <c r="Q903" i="19"/>
  <c r="F904" i="19"/>
  <c r="H904" i="19"/>
  <c r="Q904" i="19"/>
  <c r="F905" i="19"/>
  <c r="H905" i="19"/>
  <c r="Q905" i="19"/>
  <c r="F906" i="19"/>
  <c r="H906" i="19"/>
  <c r="Q906" i="19"/>
  <c r="F907" i="19"/>
  <c r="H907" i="19"/>
  <c r="Q907" i="19"/>
  <c r="F908" i="19"/>
  <c r="H908" i="19"/>
  <c r="Q908" i="19"/>
  <c r="F909" i="19"/>
  <c r="H909" i="19"/>
  <c r="Q909" i="19"/>
  <c r="F910" i="19"/>
  <c r="H910" i="19"/>
  <c r="Q910" i="19"/>
  <c r="F911" i="19"/>
  <c r="H911" i="19"/>
  <c r="Q911" i="19"/>
  <c r="F912" i="19"/>
  <c r="H912" i="19"/>
  <c r="Q912" i="19"/>
  <c r="F913" i="19"/>
  <c r="H913" i="19"/>
  <c r="Q913" i="19"/>
  <c r="F914" i="19"/>
  <c r="H914" i="19"/>
  <c r="Q914" i="19"/>
  <c r="F915" i="19"/>
  <c r="H915" i="19"/>
  <c r="Q915" i="19"/>
  <c r="F916" i="19"/>
  <c r="H916" i="19"/>
  <c r="Q916" i="19"/>
  <c r="F917" i="19"/>
  <c r="H917" i="19"/>
  <c r="Q917" i="19"/>
  <c r="F918" i="19"/>
  <c r="H918" i="19"/>
  <c r="Q918" i="19"/>
  <c r="F919" i="19"/>
  <c r="H919" i="19"/>
  <c r="Q919" i="19"/>
  <c r="F920" i="19"/>
  <c r="H920" i="19"/>
  <c r="Q920" i="19"/>
  <c r="F921" i="19"/>
  <c r="H921" i="19"/>
  <c r="Q921" i="19"/>
  <c r="F922" i="19"/>
  <c r="H922" i="19"/>
  <c r="Q922" i="19"/>
  <c r="F923" i="19"/>
  <c r="H923" i="19"/>
  <c r="Q923" i="19"/>
  <c r="F924" i="19"/>
  <c r="H924" i="19"/>
  <c r="Q924" i="19"/>
  <c r="F925" i="19"/>
  <c r="H925" i="19"/>
  <c r="Q925" i="19"/>
  <c r="F926" i="19"/>
  <c r="H926" i="19"/>
  <c r="Q926" i="19"/>
  <c r="F927" i="19"/>
  <c r="H927" i="19"/>
  <c r="Q927" i="19"/>
  <c r="F928" i="19"/>
  <c r="H928" i="19"/>
  <c r="Q928" i="19"/>
  <c r="F929" i="19"/>
  <c r="H929" i="19"/>
  <c r="Q929" i="19"/>
  <c r="F931" i="19"/>
  <c r="H931" i="19"/>
  <c r="Q931" i="19"/>
  <c r="F932" i="19"/>
  <c r="H932" i="19"/>
  <c r="Q932" i="19"/>
  <c r="F933" i="19"/>
  <c r="H933" i="19"/>
  <c r="Q933" i="19"/>
  <c r="F934" i="19"/>
  <c r="H934" i="19"/>
  <c r="Q934" i="19"/>
  <c r="F935" i="19"/>
  <c r="H935" i="19"/>
  <c r="Q935" i="19"/>
  <c r="F936" i="19"/>
  <c r="H936" i="19"/>
  <c r="Q936" i="19"/>
  <c r="F937" i="19"/>
  <c r="H937" i="19"/>
  <c r="Q937" i="19"/>
  <c r="F938" i="19"/>
  <c r="H938" i="19"/>
  <c r="Q938" i="19"/>
  <c r="F939" i="19"/>
  <c r="H939" i="19"/>
  <c r="Q939" i="19"/>
  <c r="F940" i="19"/>
  <c r="H940" i="19"/>
  <c r="Q940" i="19"/>
  <c r="F941" i="19"/>
  <c r="H941" i="19"/>
  <c r="Q941" i="19"/>
  <c r="F942" i="19"/>
  <c r="H942" i="19"/>
  <c r="Q942" i="19"/>
  <c r="F943" i="19"/>
  <c r="H943" i="19"/>
  <c r="Q943" i="19"/>
  <c r="F944" i="19"/>
  <c r="H944" i="19"/>
  <c r="Q944" i="19"/>
  <c r="F945" i="19"/>
  <c r="H945" i="19"/>
  <c r="Q945" i="19"/>
  <c r="F946" i="19"/>
  <c r="H946" i="19"/>
  <c r="Q946" i="19"/>
  <c r="F947" i="19"/>
  <c r="H947" i="19"/>
  <c r="Q947" i="19"/>
  <c r="F948" i="19"/>
  <c r="H948" i="19"/>
  <c r="Q948" i="19"/>
  <c r="F949" i="19"/>
  <c r="H949" i="19"/>
  <c r="Q949" i="19"/>
  <c r="F950" i="19"/>
  <c r="H950" i="19"/>
  <c r="Q950" i="19"/>
  <c r="F951" i="19"/>
  <c r="H951" i="19"/>
  <c r="Q951" i="19"/>
  <c r="F952" i="19"/>
  <c r="H952" i="19"/>
  <c r="Q952" i="19"/>
  <c r="F953" i="19"/>
  <c r="H953" i="19"/>
  <c r="Q953" i="19"/>
  <c r="F954" i="19"/>
  <c r="H954" i="19"/>
  <c r="Q954" i="19"/>
  <c r="F955" i="19"/>
  <c r="H955" i="19"/>
  <c r="Q955" i="19"/>
  <c r="F956" i="19"/>
  <c r="H956" i="19"/>
  <c r="Q956" i="19"/>
  <c r="F957" i="19"/>
  <c r="H957" i="19"/>
  <c r="Q957" i="19"/>
  <c r="F958" i="19"/>
  <c r="H958" i="19"/>
  <c r="Q958" i="19"/>
  <c r="F959" i="19"/>
  <c r="H959" i="19"/>
  <c r="Q959" i="19"/>
  <c r="Q960" i="19"/>
  <c r="F961" i="19"/>
  <c r="H961" i="19"/>
  <c r="Q961" i="19"/>
  <c r="F962" i="19"/>
  <c r="H962" i="19"/>
  <c r="Q962" i="19"/>
  <c r="F963" i="19"/>
  <c r="H963" i="19"/>
  <c r="Q963" i="19"/>
  <c r="F964" i="19"/>
  <c r="H964" i="19"/>
  <c r="Q964" i="19"/>
  <c r="F965" i="19"/>
  <c r="H965" i="19"/>
  <c r="Q965" i="19"/>
  <c r="Q966" i="19"/>
  <c r="F967" i="19"/>
  <c r="H967" i="19"/>
  <c r="Q967" i="19"/>
  <c r="F968" i="19"/>
  <c r="H968" i="19"/>
  <c r="Q968" i="19"/>
  <c r="F969" i="19"/>
  <c r="H969" i="19"/>
  <c r="Q969" i="19"/>
  <c r="F970" i="19"/>
  <c r="H970" i="19"/>
  <c r="Q970" i="19"/>
  <c r="F971" i="19"/>
  <c r="H971" i="19"/>
  <c r="Q971" i="19"/>
  <c r="F972" i="19"/>
  <c r="H972" i="19"/>
  <c r="Q972" i="19"/>
  <c r="F973" i="19"/>
  <c r="H973" i="19"/>
  <c r="Q973" i="19"/>
  <c r="F974" i="19"/>
  <c r="H974" i="19"/>
  <c r="Q974" i="19"/>
  <c r="F975" i="19"/>
  <c r="H975" i="19"/>
  <c r="Q975" i="19"/>
  <c r="F976" i="19"/>
  <c r="H976" i="19"/>
  <c r="Q976" i="19"/>
  <c r="F977" i="19"/>
  <c r="H977" i="19"/>
  <c r="Q977" i="19"/>
  <c r="F978" i="19"/>
  <c r="H978" i="19"/>
  <c r="Q978" i="19"/>
  <c r="F979" i="19"/>
  <c r="H979" i="19"/>
  <c r="Q979" i="19"/>
  <c r="F980" i="19"/>
  <c r="H980" i="19"/>
  <c r="Q980" i="19"/>
  <c r="F981" i="19"/>
  <c r="H981" i="19"/>
  <c r="Q981" i="19"/>
  <c r="F982" i="19"/>
  <c r="H982" i="19"/>
  <c r="Q982" i="19"/>
  <c r="F983" i="19"/>
  <c r="H983" i="19"/>
  <c r="Q983" i="19"/>
  <c r="F984" i="19"/>
  <c r="H984" i="19"/>
  <c r="Q984" i="19"/>
  <c r="F985" i="19"/>
  <c r="H985" i="19"/>
  <c r="Q985" i="19"/>
  <c r="F986" i="19"/>
  <c r="H986" i="19"/>
  <c r="Q986" i="19"/>
  <c r="F987" i="19"/>
  <c r="H987" i="19"/>
  <c r="Q987" i="19"/>
  <c r="F988" i="19"/>
  <c r="H988" i="19"/>
  <c r="Q988" i="19"/>
  <c r="F989" i="19"/>
  <c r="H989" i="19"/>
  <c r="Q989" i="19"/>
  <c r="F990" i="19"/>
  <c r="H990" i="19"/>
  <c r="Q990" i="19"/>
  <c r="F991" i="19"/>
  <c r="H991" i="19"/>
  <c r="Q991" i="19"/>
  <c r="F992" i="19"/>
  <c r="H992" i="19"/>
  <c r="Q992" i="19"/>
  <c r="F993" i="19"/>
  <c r="H993" i="19"/>
  <c r="Q993" i="19"/>
  <c r="F994" i="19"/>
  <c r="H994" i="19"/>
  <c r="Q994" i="19"/>
  <c r="F995" i="19"/>
  <c r="H995" i="19"/>
  <c r="Q995" i="19"/>
  <c r="F996" i="19"/>
  <c r="H996" i="19"/>
  <c r="Q996" i="19"/>
  <c r="F997" i="19"/>
  <c r="H997" i="19"/>
  <c r="Q997" i="19"/>
  <c r="F998" i="19"/>
  <c r="H998" i="19"/>
  <c r="Q998" i="19"/>
  <c r="F999" i="19"/>
  <c r="H999" i="19"/>
  <c r="Q999" i="19"/>
  <c r="F1000" i="19"/>
  <c r="H1000" i="19"/>
  <c r="Q1000" i="19"/>
  <c r="F1001" i="19"/>
  <c r="H1001" i="19"/>
  <c r="Q1001" i="19"/>
  <c r="F1002" i="19"/>
  <c r="H1002" i="19"/>
  <c r="Q1002" i="19"/>
  <c r="F1003" i="19"/>
  <c r="H1003" i="19"/>
  <c r="Q1003" i="19"/>
  <c r="F1004" i="19"/>
  <c r="H1004" i="19"/>
  <c r="Q1004" i="19"/>
  <c r="F1005" i="19"/>
  <c r="H1005" i="19"/>
  <c r="Q1005" i="19"/>
  <c r="F1006" i="19"/>
  <c r="H1006" i="19"/>
  <c r="Q1006" i="19"/>
  <c r="F1007" i="19"/>
  <c r="H1007" i="19"/>
  <c r="Q1007" i="19"/>
  <c r="F1008" i="19"/>
  <c r="H1008" i="19"/>
  <c r="Q1008" i="19"/>
  <c r="F1009" i="19"/>
  <c r="H1009" i="19"/>
  <c r="Q1009" i="19"/>
  <c r="F1010" i="19"/>
  <c r="H1010" i="19"/>
  <c r="Q1010" i="19"/>
  <c r="F1011" i="19"/>
  <c r="H1011" i="19"/>
  <c r="Q1011" i="19"/>
  <c r="F1012" i="19"/>
  <c r="H1012" i="19"/>
  <c r="Q1012" i="19"/>
  <c r="F1013" i="19"/>
  <c r="H1013" i="19"/>
  <c r="Q1013" i="19"/>
  <c r="F1014" i="19"/>
  <c r="H1014" i="19"/>
  <c r="Q1014" i="19"/>
  <c r="F1015" i="19"/>
  <c r="H1015" i="19"/>
  <c r="Q1015" i="19"/>
  <c r="F1016" i="19"/>
  <c r="H1016" i="19"/>
  <c r="Q1016" i="19"/>
  <c r="F1017" i="19"/>
  <c r="H1017" i="19"/>
  <c r="Q1017" i="19"/>
  <c r="F1018" i="19"/>
  <c r="H1018" i="19"/>
  <c r="Q1018" i="19"/>
  <c r="F1019" i="19"/>
  <c r="H1019" i="19"/>
  <c r="Q1019" i="19"/>
  <c r="F1020" i="19"/>
  <c r="H1020" i="19"/>
  <c r="Q1020" i="19"/>
  <c r="F1021" i="19"/>
  <c r="H1021" i="19"/>
  <c r="Q1021" i="19"/>
  <c r="F1022" i="19"/>
  <c r="H1022" i="19"/>
  <c r="Q1022" i="19"/>
  <c r="F1023" i="19"/>
  <c r="H1023" i="19"/>
  <c r="Q1023" i="19"/>
  <c r="F1024" i="19"/>
  <c r="H1024" i="19"/>
  <c r="Q1024" i="19"/>
  <c r="F1025" i="19"/>
  <c r="H1025" i="19"/>
  <c r="Q1025" i="19"/>
  <c r="F1026" i="19"/>
  <c r="H1026" i="19"/>
  <c r="Q1026" i="19"/>
  <c r="F1027" i="19"/>
  <c r="H1027" i="19"/>
  <c r="Q1027" i="19"/>
  <c r="F1028" i="19"/>
  <c r="H1028" i="19"/>
  <c r="Q1028" i="19"/>
  <c r="F1029" i="19"/>
  <c r="H1029" i="19"/>
  <c r="Q1029" i="19"/>
  <c r="F1030" i="19"/>
  <c r="H1030" i="19"/>
  <c r="Q1030" i="19"/>
  <c r="F1031" i="19"/>
  <c r="H1031" i="19"/>
  <c r="Q1031" i="19"/>
  <c r="F1032" i="19"/>
  <c r="H1032" i="19"/>
  <c r="Q1032" i="19"/>
  <c r="F1033" i="19"/>
  <c r="H1033" i="19"/>
  <c r="Q1033" i="19"/>
  <c r="F1034" i="19"/>
  <c r="H1034" i="19"/>
  <c r="Q1034" i="19"/>
  <c r="F1035" i="19"/>
  <c r="H1035" i="19"/>
  <c r="Q1035" i="19"/>
  <c r="F1036" i="19"/>
  <c r="H1036" i="19"/>
  <c r="Q1036" i="19"/>
  <c r="F1037" i="19"/>
  <c r="H1037" i="19"/>
  <c r="Q1037" i="19"/>
  <c r="F1038" i="19"/>
  <c r="H1038" i="19"/>
  <c r="Q1038" i="19"/>
  <c r="F1039" i="19"/>
  <c r="H1039" i="19"/>
  <c r="Q1039" i="19"/>
  <c r="F1040" i="19"/>
  <c r="H1040" i="19"/>
  <c r="Q1040" i="19"/>
  <c r="F1041" i="19"/>
  <c r="H1041" i="19"/>
  <c r="Q1041" i="19"/>
  <c r="F1042" i="19"/>
  <c r="H1042" i="19"/>
  <c r="Q1042" i="19"/>
  <c r="F1043" i="19"/>
  <c r="H1043" i="19"/>
  <c r="Q1043" i="19"/>
  <c r="F1044" i="19"/>
  <c r="H1044" i="19"/>
  <c r="Q1044" i="19"/>
  <c r="F1045" i="19"/>
  <c r="H1045" i="19"/>
  <c r="Q1045" i="19"/>
  <c r="F1046" i="19"/>
  <c r="H1046" i="19"/>
  <c r="Q1046" i="19"/>
  <c r="F1047" i="19"/>
  <c r="H1047" i="19"/>
  <c r="Q1047" i="19"/>
  <c r="F1048" i="19"/>
  <c r="H1048" i="19"/>
  <c r="Q1048" i="19"/>
  <c r="F1049" i="19"/>
  <c r="H1049" i="19"/>
  <c r="Q1049" i="19"/>
  <c r="F1050" i="19"/>
  <c r="H1050" i="19"/>
  <c r="Q1050" i="19"/>
  <c r="F1051" i="19"/>
  <c r="H1051" i="19"/>
  <c r="Q1051" i="19"/>
  <c r="F1052" i="19"/>
  <c r="H1052" i="19"/>
  <c r="Q1052" i="19"/>
  <c r="F1053" i="19"/>
  <c r="H1053" i="19"/>
  <c r="Q1053" i="19"/>
  <c r="F1054" i="19"/>
  <c r="H1054" i="19"/>
  <c r="Q1054" i="19"/>
  <c r="F1055" i="19"/>
  <c r="H1055" i="19"/>
  <c r="Q1055" i="19"/>
  <c r="F1056" i="19"/>
  <c r="H1056" i="19"/>
  <c r="Q1056" i="19"/>
  <c r="F1057" i="19"/>
  <c r="H1057" i="19"/>
  <c r="Q1057" i="19"/>
  <c r="F1058" i="19"/>
  <c r="H1058" i="19"/>
  <c r="Q1058" i="19"/>
  <c r="F1059" i="19"/>
  <c r="H1059" i="19"/>
  <c r="Q1059" i="19"/>
  <c r="F1060" i="19"/>
  <c r="H1060" i="19"/>
  <c r="Q1060" i="19"/>
  <c r="F1061" i="19"/>
  <c r="H1061" i="19"/>
  <c r="Q1061" i="19"/>
  <c r="F1062" i="19"/>
  <c r="H1062" i="19"/>
  <c r="Q1062" i="19"/>
  <c r="F1063" i="19"/>
  <c r="H1063" i="19"/>
  <c r="Q1063" i="19"/>
  <c r="F1064" i="19"/>
  <c r="H1064" i="19"/>
  <c r="Q1064" i="19"/>
  <c r="F1065" i="19"/>
  <c r="H1065" i="19"/>
  <c r="Q1065" i="19"/>
  <c r="Q1066" i="19"/>
  <c r="F1067" i="19"/>
  <c r="H1067" i="19"/>
  <c r="Q1067" i="19"/>
  <c r="F1068" i="19"/>
  <c r="H1068" i="19"/>
  <c r="Q1068" i="19"/>
  <c r="F1069" i="19"/>
  <c r="H1069" i="19"/>
  <c r="Q1069" i="19"/>
  <c r="F1070" i="19"/>
  <c r="H1070" i="19"/>
  <c r="Q1070" i="19"/>
  <c r="F1071" i="19"/>
  <c r="H1071" i="19"/>
  <c r="Q1071" i="19"/>
  <c r="F1072" i="19"/>
  <c r="H1072" i="19"/>
  <c r="Q1072" i="19"/>
  <c r="F1073" i="19"/>
  <c r="H1073" i="19"/>
  <c r="Q1073" i="19"/>
  <c r="F1074" i="19"/>
  <c r="H1074" i="19"/>
  <c r="Q1074" i="19"/>
  <c r="F1075" i="19"/>
  <c r="H1075" i="19"/>
  <c r="Q1075" i="19"/>
  <c r="F1076" i="19"/>
  <c r="H1076" i="19"/>
  <c r="Q1076" i="19"/>
  <c r="F1077" i="19"/>
  <c r="H1077" i="19"/>
  <c r="Q1077" i="19"/>
  <c r="F1078" i="19"/>
  <c r="H1078" i="19"/>
  <c r="Q1078" i="19"/>
  <c r="F1079" i="19"/>
  <c r="H1079" i="19"/>
  <c r="Q1079" i="19"/>
  <c r="F1080" i="19"/>
  <c r="H1080" i="19"/>
  <c r="Q1080" i="19"/>
  <c r="F1081" i="19"/>
  <c r="H1081" i="19"/>
  <c r="Q1081" i="19"/>
  <c r="F1082" i="19"/>
  <c r="H1082" i="19"/>
  <c r="Q1082" i="19"/>
  <c r="F1083" i="19"/>
  <c r="H1083" i="19"/>
  <c r="Q1083" i="19"/>
  <c r="F1084" i="19"/>
  <c r="H1084" i="19"/>
  <c r="Q1084" i="19"/>
  <c r="F1085" i="19"/>
  <c r="H1085" i="19"/>
  <c r="Q1085" i="19"/>
  <c r="F1086" i="19"/>
  <c r="H1086" i="19"/>
  <c r="Q1086" i="19"/>
  <c r="F1087" i="19"/>
  <c r="H1087" i="19"/>
  <c r="Q1087" i="19"/>
  <c r="F1088" i="19"/>
  <c r="H1088" i="19"/>
  <c r="Q1088" i="19"/>
  <c r="F1089" i="19"/>
  <c r="H1089" i="19"/>
  <c r="Q1089" i="19"/>
  <c r="F1090" i="19"/>
  <c r="H1090" i="19"/>
  <c r="Q1090" i="19"/>
  <c r="F1091" i="19"/>
  <c r="H1091" i="19"/>
  <c r="Q1091" i="19"/>
  <c r="F1092" i="19"/>
  <c r="H1092" i="19"/>
  <c r="Q1092" i="19"/>
  <c r="F1093" i="19"/>
  <c r="H1093" i="19"/>
  <c r="Q1093" i="19"/>
  <c r="F1094" i="19"/>
  <c r="H1094" i="19"/>
  <c r="Q1094" i="19"/>
  <c r="F1095" i="19"/>
  <c r="H1095" i="19"/>
  <c r="Q1095" i="19"/>
  <c r="F1096" i="19"/>
  <c r="H1096" i="19"/>
  <c r="Q1096" i="19"/>
  <c r="F1097" i="19"/>
  <c r="H1097" i="19"/>
  <c r="Q1097" i="19"/>
  <c r="F1098" i="19"/>
  <c r="H1098" i="19"/>
  <c r="Q1098" i="19"/>
  <c r="F1099" i="19"/>
  <c r="H1099" i="19"/>
  <c r="Q1099" i="19"/>
  <c r="F1100" i="19"/>
  <c r="H1100" i="19"/>
  <c r="Q1100" i="19"/>
  <c r="F1101" i="19"/>
  <c r="H1101" i="19"/>
  <c r="Q1101" i="19"/>
  <c r="F1102" i="19"/>
  <c r="H1102" i="19"/>
  <c r="Q1102" i="19"/>
  <c r="Q1103" i="19"/>
  <c r="F1104" i="19"/>
  <c r="H1104" i="19"/>
  <c r="Q1104" i="19"/>
  <c r="F1105" i="19"/>
  <c r="H1105" i="19"/>
  <c r="Q1105" i="19"/>
  <c r="F1106" i="19"/>
  <c r="H1106" i="19"/>
  <c r="Q1106" i="19"/>
  <c r="F1107" i="19"/>
  <c r="H1107" i="19"/>
  <c r="Q1107" i="19"/>
  <c r="F1108" i="19"/>
  <c r="H1108" i="19"/>
  <c r="Q1108" i="19"/>
  <c r="F1109" i="19"/>
  <c r="H1109" i="19"/>
  <c r="Q1109" i="19"/>
  <c r="F1110" i="19"/>
  <c r="H1110" i="19"/>
  <c r="Q1110" i="19"/>
  <c r="F1111" i="19"/>
  <c r="H1111" i="19"/>
  <c r="Q1111" i="19"/>
  <c r="F1112" i="19"/>
  <c r="H1112" i="19"/>
  <c r="Q1112" i="19"/>
  <c r="F1113" i="19"/>
  <c r="H1113" i="19"/>
  <c r="Q1113" i="19"/>
  <c r="F1114" i="19"/>
  <c r="H1114" i="19"/>
  <c r="Q1114" i="19"/>
  <c r="F1115" i="19"/>
  <c r="H1115" i="19"/>
  <c r="Q1115" i="19"/>
  <c r="F1116" i="19"/>
  <c r="H1116" i="19"/>
  <c r="Q1116" i="19"/>
  <c r="F1117" i="19"/>
  <c r="H1117" i="19"/>
  <c r="Q1117" i="19"/>
  <c r="F1118" i="19"/>
  <c r="H1118" i="19"/>
  <c r="Q1118" i="19"/>
  <c r="F1119" i="19"/>
  <c r="H1119" i="19"/>
  <c r="Q1119" i="19"/>
  <c r="F1120" i="19"/>
  <c r="H1120" i="19"/>
  <c r="Q1120" i="19"/>
  <c r="F1121" i="19"/>
  <c r="H1121" i="19"/>
  <c r="Q1121" i="19"/>
  <c r="F1122" i="19"/>
  <c r="H1122" i="19"/>
  <c r="Q1122" i="19"/>
  <c r="F1123" i="19"/>
  <c r="H1123" i="19"/>
  <c r="Q1123" i="19"/>
  <c r="F1124" i="19"/>
  <c r="H1124" i="19"/>
  <c r="Q1124" i="19"/>
  <c r="F1125" i="19"/>
  <c r="H1125" i="19"/>
  <c r="Q1125" i="19"/>
  <c r="F1126" i="19"/>
  <c r="H1126" i="19"/>
  <c r="Q1126" i="19"/>
  <c r="F1127" i="19"/>
  <c r="H1127" i="19"/>
  <c r="Q1127" i="19"/>
  <c r="F1128" i="19"/>
  <c r="H1128" i="19"/>
  <c r="Q1128" i="19"/>
  <c r="F1129" i="19"/>
  <c r="H1129" i="19"/>
  <c r="Q1129" i="19"/>
  <c r="F1130" i="19"/>
  <c r="H1130" i="19"/>
  <c r="Q1130" i="19"/>
  <c r="F1131" i="19"/>
  <c r="H1131" i="19"/>
  <c r="Q1131" i="19"/>
  <c r="F1132" i="19"/>
  <c r="H1132" i="19"/>
  <c r="Q1132" i="19"/>
  <c r="F1133" i="19"/>
  <c r="H1133" i="19"/>
  <c r="Q1133" i="19"/>
  <c r="F1134" i="19"/>
  <c r="H1134" i="19"/>
  <c r="Q1134" i="19"/>
  <c r="F1135" i="19"/>
  <c r="H1135" i="19"/>
  <c r="Q1135" i="19"/>
  <c r="F1136" i="19"/>
  <c r="H1136" i="19"/>
  <c r="Q1136" i="19"/>
  <c r="F1137" i="19"/>
  <c r="H1137" i="19"/>
  <c r="Q1137" i="19"/>
  <c r="F1138" i="19"/>
  <c r="H1138" i="19"/>
  <c r="Q1138" i="19"/>
  <c r="F1139" i="19"/>
  <c r="H1139" i="19"/>
  <c r="Q1139" i="19"/>
  <c r="F1140" i="19"/>
  <c r="H1140" i="19"/>
  <c r="Q1140" i="19"/>
  <c r="F1141" i="19"/>
  <c r="H1141" i="19"/>
  <c r="Q1141" i="19"/>
  <c r="F1142" i="19"/>
  <c r="H1142" i="19"/>
  <c r="Q1142" i="19"/>
  <c r="F1143" i="19"/>
  <c r="H1143" i="19"/>
  <c r="Q1143" i="19"/>
  <c r="F1144" i="19"/>
  <c r="H1144" i="19"/>
  <c r="Q1144" i="19"/>
  <c r="F1145" i="19"/>
  <c r="H1145" i="19"/>
  <c r="Q1145" i="19"/>
  <c r="F1146" i="19"/>
  <c r="H1146" i="19"/>
  <c r="Q1146" i="19"/>
  <c r="F1147" i="19"/>
  <c r="H1147" i="19"/>
  <c r="Q1147" i="19"/>
  <c r="F1148" i="19"/>
  <c r="H1148" i="19"/>
  <c r="Q1148" i="19"/>
  <c r="F1149" i="19"/>
  <c r="H1149" i="19"/>
  <c r="Q1149" i="19"/>
  <c r="F1150" i="19"/>
  <c r="H1150" i="19"/>
  <c r="Q1150" i="19"/>
  <c r="F1151" i="19"/>
  <c r="H1151" i="19"/>
  <c r="Q1151" i="19"/>
  <c r="F1152" i="19"/>
  <c r="H1152" i="19"/>
  <c r="Q1152" i="19"/>
  <c r="F1153" i="19"/>
  <c r="H1153" i="19"/>
  <c r="Q1153" i="19"/>
  <c r="F1154" i="19"/>
  <c r="H1154" i="19"/>
  <c r="Q1154" i="19"/>
  <c r="F1155" i="19"/>
  <c r="H1155" i="19"/>
  <c r="Q1155" i="19"/>
  <c r="F1156" i="19"/>
  <c r="H1156" i="19"/>
  <c r="Q1156" i="19"/>
  <c r="F1157" i="19"/>
  <c r="H1157" i="19"/>
  <c r="Q1157" i="19"/>
  <c r="F1158" i="19"/>
  <c r="H1158" i="19"/>
  <c r="Q1158" i="19"/>
  <c r="F1159" i="19"/>
  <c r="H1159" i="19"/>
  <c r="Q1159" i="19"/>
  <c r="F1160" i="19"/>
  <c r="H1160" i="19"/>
  <c r="Q1160" i="19"/>
  <c r="F1161" i="19"/>
  <c r="H1161" i="19"/>
  <c r="Q1161" i="19"/>
  <c r="F1162" i="19"/>
  <c r="H1162" i="19"/>
  <c r="Q1162" i="19"/>
  <c r="F1163" i="19"/>
  <c r="H1163" i="19"/>
  <c r="Q1163" i="19"/>
  <c r="F1164" i="19"/>
  <c r="H1164" i="19"/>
  <c r="Q1164" i="19"/>
  <c r="F1165" i="19"/>
  <c r="H1165" i="19"/>
  <c r="Q1165" i="19"/>
  <c r="F1166" i="19"/>
  <c r="H1166" i="19"/>
  <c r="Q1166" i="19"/>
  <c r="F1167" i="19"/>
  <c r="H1167" i="19"/>
  <c r="Q1167" i="19"/>
  <c r="F1168" i="19"/>
  <c r="H1168" i="19"/>
  <c r="Q1168" i="19"/>
  <c r="F1169" i="19"/>
  <c r="H1169" i="19"/>
  <c r="Q1169" i="19"/>
  <c r="F1170" i="19"/>
  <c r="H1170" i="19"/>
  <c r="Q1170" i="19"/>
  <c r="F1171" i="19"/>
  <c r="H1171" i="19"/>
  <c r="Q1171" i="19"/>
  <c r="F1172" i="19"/>
  <c r="H1172" i="19"/>
  <c r="Q1172" i="19"/>
  <c r="F1173" i="19"/>
  <c r="H1173" i="19"/>
  <c r="Q1173" i="19"/>
  <c r="F1174" i="19"/>
  <c r="H1174" i="19"/>
  <c r="Q1174" i="19"/>
  <c r="F1175" i="19"/>
  <c r="H1175" i="19"/>
  <c r="Q1175" i="19"/>
  <c r="F1176" i="19"/>
  <c r="H1176" i="19"/>
  <c r="Q1176" i="19"/>
  <c r="F1177" i="19"/>
  <c r="H1177" i="19"/>
  <c r="Q1177" i="19"/>
  <c r="F1178" i="19"/>
  <c r="H1178" i="19"/>
  <c r="Q1178" i="19"/>
  <c r="F1179" i="19"/>
  <c r="H1179" i="19"/>
  <c r="Q1179" i="19"/>
  <c r="F1180" i="19"/>
  <c r="H1180" i="19"/>
  <c r="Q1180" i="19"/>
  <c r="F1181" i="19"/>
  <c r="H1181" i="19"/>
  <c r="Q1181" i="19"/>
  <c r="F1182" i="19"/>
  <c r="H1182" i="19"/>
  <c r="Q1182" i="19"/>
  <c r="F1183" i="19"/>
  <c r="H1183" i="19"/>
  <c r="Q1183" i="19"/>
  <c r="F1184" i="19"/>
  <c r="H1184" i="19"/>
  <c r="Q1184" i="19"/>
  <c r="F1185" i="19"/>
  <c r="H1185" i="19"/>
  <c r="Q1185" i="19"/>
  <c r="F1186" i="19"/>
  <c r="H1186" i="19"/>
  <c r="Q1186" i="19"/>
  <c r="F1187" i="19"/>
  <c r="H1187" i="19"/>
  <c r="Q1187" i="19"/>
  <c r="F1188" i="19"/>
  <c r="H1188" i="19"/>
  <c r="Q1188" i="19"/>
  <c r="F1189" i="19"/>
  <c r="H1189" i="19"/>
  <c r="Q1189" i="19"/>
  <c r="F1190" i="19"/>
  <c r="H1190" i="19"/>
  <c r="Q1190" i="19"/>
  <c r="F1191" i="19"/>
  <c r="H1191" i="19"/>
  <c r="Q1191" i="19"/>
  <c r="F1192" i="19"/>
  <c r="H1192" i="19"/>
  <c r="Q1192" i="19"/>
  <c r="F1193" i="19"/>
  <c r="H1193" i="19"/>
  <c r="Q1193" i="19"/>
  <c r="F1194" i="19"/>
  <c r="H1194" i="19"/>
  <c r="Q1194" i="19"/>
  <c r="F1195" i="19"/>
  <c r="H1195" i="19"/>
  <c r="Q1195" i="19"/>
  <c r="F1196" i="19"/>
  <c r="H1196" i="19"/>
  <c r="Q1196" i="19"/>
  <c r="F1197" i="19"/>
  <c r="H1197" i="19"/>
  <c r="Q1197" i="19"/>
  <c r="F1198" i="19"/>
  <c r="H1198" i="19"/>
  <c r="Q1198" i="19"/>
  <c r="F1199" i="19"/>
  <c r="H1199" i="19"/>
  <c r="Q1199" i="19"/>
  <c r="F1200" i="19"/>
  <c r="H1200" i="19"/>
  <c r="Q1200" i="19"/>
  <c r="F1201" i="19"/>
  <c r="H1201" i="19"/>
  <c r="Q1201" i="19"/>
  <c r="F1202" i="19"/>
  <c r="H1202" i="19"/>
  <c r="Q1202" i="19"/>
  <c r="F1203" i="19"/>
  <c r="H1203" i="19"/>
  <c r="Q1203" i="19"/>
  <c r="F1204" i="19"/>
  <c r="H1204" i="19"/>
  <c r="Q1204" i="19"/>
  <c r="F1205" i="19"/>
  <c r="H1205" i="19"/>
  <c r="Q1205" i="19"/>
  <c r="F1206" i="19"/>
  <c r="H1206" i="19"/>
  <c r="Q1206" i="19"/>
  <c r="F1207" i="19"/>
  <c r="H1207" i="19"/>
  <c r="Q1207" i="19"/>
  <c r="F1208" i="19"/>
  <c r="H1208" i="19"/>
  <c r="Q1208" i="19"/>
  <c r="F1209" i="19"/>
  <c r="H1209" i="19"/>
  <c r="Q1209" i="19"/>
  <c r="F1210" i="19"/>
  <c r="H1210" i="19"/>
  <c r="Q1210" i="19"/>
  <c r="F1211" i="19"/>
  <c r="H1211" i="19"/>
  <c r="Q1211" i="19"/>
  <c r="F1212" i="19"/>
  <c r="H1212" i="19"/>
  <c r="Q1212" i="19"/>
  <c r="F1213" i="19"/>
  <c r="H1213" i="19"/>
  <c r="Q1213" i="19"/>
  <c r="F1214" i="19"/>
  <c r="H1214" i="19"/>
  <c r="Q1214" i="19"/>
  <c r="F1215" i="19"/>
  <c r="H1215" i="19"/>
  <c r="Q1215" i="19"/>
  <c r="F1216" i="19"/>
  <c r="H1216" i="19"/>
  <c r="Q1216" i="19"/>
  <c r="F1217" i="19"/>
  <c r="H1217" i="19"/>
  <c r="Q1217" i="19"/>
  <c r="F1218" i="19"/>
  <c r="H1218" i="19"/>
  <c r="Q1218" i="19"/>
  <c r="F1219" i="19"/>
  <c r="H1219" i="19"/>
  <c r="Q1219" i="19"/>
  <c r="F1220" i="19"/>
  <c r="H1220" i="19"/>
  <c r="Q1220" i="19"/>
  <c r="F1221" i="19"/>
  <c r="H1221" i="19"/>
  <c r="Q1221" i="19"/>
  <c r="F1222" i="19"/>
  <c r="H1222" i="19"/>
  <c r="Q1222" i="19"/>
  <c r="F1223" i="19"/>
  <c r="H1223" i="19"/>
  <c r="Q1223" i="19"/>
  <c r="F1224" i="19"/>
  <c r="H1224" i="19"/>
  <c r="Q1224" i="19"/>
  <c r="F1225" i="19"/>
  <c r="H1225" i="19"/>
  <c r="Q1225" i="19"/>
  <c r="F1226" i="19"/>
  <c r="H1226" i="19"/>
  <c r="Q1226" i="19"/>
  <c r="F1227" i="19"/>
  <c r="H1227" i="19"/>
  <c r="Q1227" i="19"/>
  <c r="F1228" i="19"/>
  <c r="H1228" i="19"/>
  <c r="Q1228" i="19"/>
  <c r="F1229" i="19"/>
  <c r="H1229" i="19"/>
  <c r="Q1229" i="19"/>
  <c r="F1230" i="19"/>
  <c r="H1230" i="19"/>
  <c r="Q1230" i="19"/>
  <c r="F1231" i="19"/>
  <c r="H1231" i="19"/>
  <c r="Q1231" i="19"/>
  <c r="F1232" i="19"/>
  <c r="H1232" i="19"/>
  <c r="Q1232" i="19"/>
  <c r="F1233" i="19"/>
  <c r="H1233" i="19"/>
  <c r="Q1233" i="19"/>
  <c r="F1234" i="19"/>
  <c r="H1234" i="19"/>
  <c r="Q1234" i="19"/>
  <c r="F1235" i="19"/>
  <c r="H1235" i="19"/>
  <c r="Q1235" i="19"/>
  <c r="F1236" i="19"/>
  <c r="H1236" i="19"/>
  <c r="Q1236" i="19"/>
  <c r="F1237" i="19"/>
  <c r="H1237" i="19"/>
  <c r="Q1237" i="19"/>
  <c r="F1238" i="19"/>
  <c r="H1238" i="19"/>
  <c r="Q1238" i="19"/>
  <c r="F1239" i="19"/>
  <c r="H1239" i="19"/>
  <c r="Q1239" i="19"/>
  <c r="F1240" i="19"/>
  <c r="H1240" i="19"/>
  <c r="Q1240" i="19"/>
  <c r="F1241" i="19"/>
  <c r="H1241" i="19"/>
  <c r="Q1241" i="19"/>
  <c r="F1242" i="19"/>
  <c r="H1242" i="19"/>
  <c r="Q1242" i="19"/>
  <c r="F1243" i="19"/>
  <c r="H1243" i="19"/>
  <c r="Q1243" i="19"/>
  <c r="F1244" i="19"/>
  <c r="H1244" i="19"/>
  <c r="Q1244" i="19"/>
  <c r="F1245" i="19"/>
  <c r="H1245" i="19"/>
  <c r="Q1245" i="19"/>
  <c r="F1246" i="19"/>
  <c r="H1246" i="19"/>
  <c r="Q1246" i="19"/>
  <c r="F1247" i="19"/>
  <c r="H1247" i="19"/>
  <c r="Q1247" i="19"/>
  <c r="F1248" i="19"/>
  <c r="H1248" i="19"/>
  <c r="Q1248" i="19"/>
  <c r="F1249" i="19"/>
  <c r="H1249" i="19"/>
  <c r="Q1249" i="19"/>
  <c r="Q1250" i="19"/>
  <c r="F1251" i="19"/>
  <c r="H1251" i="19"/>
  <c r="Q1251" i="19"/>
  <c r="F1252" i="19"/>
  <c r="H1252" i="19"/>
  <c r="Q1252" i="19"/>
  <c r="F1253" i="19"/>
  <c r="H1253" i="19"/>
  <c r="Q1253" i="19"/>
  <c r="F1254" i="19"/>
  <c r="H1254" i="19"/>
  <c r="Q1254" i="19"/>
  <c r="F1255" i="19"/>
  <c r="H1255" i="19"/>
  <c r="Q1255" i="19"/>
  <c r="F1256" i="19"/>
  <c r="H1256" i="19"/>
  <c r="Q1256" i="19"/>
  <c r="F1257" i="19"/>
  <c r="H1257" i="19"/>
  <c r="Q1257" i="19"/>
  <c r="F1258" i="19"/>
  <c r="H1258" i="19"/>
  <c r="Q1258" i="19"/>
  <c r="F1259" i="19"/>
  <c r="H1259" i="19"/>
  <c r="Q1259" i="19"/>
  <c r="T15" i="19"/>
  <c r="X15" i="19"/>
  <c r="U15" i="19"/>
  <c r="R850" i="19"/>
  <c r="R1012" i="19"/>
  <c r="R1041" i="19"/>
  <c r="R1168" i="19"/>
  <c r="F5167" i="19"/>
  <c r="H5167" i="19"/>
  <c r="R4581" i="19"/>
  <c r="R1354" i="19"/>
  <c r="R2425" i="19"/>
  <c r="R4475" i="19"/>
  <c r="R4510" i="19"/>
  <c r="F5286" i="19"/>
  <c r="H5286" i="19"/>
  <c r="Q5286" i="19"/>
  <c r="R5286" i="19"/>
  <c r="R4996" i="19"/>
  <c r="R1748" i="19"/>
  <c r="R3607" i="19"/>
  <c r="R1440" i="19"/>
  <c r="R163" i="19"/>
  <c r="R2712" i="19"/>
  <c r="R2902" i="19"/>
  <c r="R1817" i="19"/>
  <c r="F2534" i="19"/>
  <c r="H2534" i="19"/>
  <c r="Q2534" i="19"/>
  <c r="F2561" i="19"/>
  <c r="H2561" i="19"/>
  <c r="Q2561" i="19"/>
  <c r="R3194" i="19"/>
  <c r="F2541" i="19"/>
  <c r="H2541" i="19"/>
  <c r="Q2541" i="19"/>
  <c r="R907" i="19"/>
  <c r="R806" i="19"/>
  <c r="R860" i="19"/>
  <c r="R914" i="19"/>
  <c r="R968" i="19"/>
  <c r="R1153" i="19"/>
  <c r="R1158" i="19"/>
  <c r="R1032" i="19"/>
  <c r="R1011" i="19"/>
  <c r="R70" i="19"/>
  <c r="R1140" i="19"/>
  <c r="R50" i="19"/>
  <c r="R131" i="19"/>
  <c r="R278" i="19"/>
  <c r="R785" i="19"/>
  <c r="R909" i="19"/>
  <c r="R454" i="19"/>
  <c r="R406" i="19"/>
  <c r="R11" i="19"/>
  <c r="R4597" i="19"/>
  <c r="F5264" i="19"/>
  <c r="H5264" i="19"/>
  <c r="R2504" i="19"/>
  <c r="R5435" i="19"/>
  <c r="R4527" i="19"/>
  <c r="R4117" i="19"/>
  <c r="F5307" i="19"/>
  <c r="H5307" i="19"/>
  <c r="R3195" i="19"/>
  <c r="R3070" i="19"/>
  <c r="R1752" i="19"/>
  <c r="R3098" i="19"/>
  <c r="R3165" i="19"/>
  <c r="R1991" i="19"/>
  <c r="R1592" i="19"/>
  <c r="R4626" i="19"/>
  <c r="R5750" i="19"/>
  <c r="R2845" i="19"/>
  <c r="R1807" i="19"/>
  <c r="R3321" i="19"/>
  <c r="R5664" i="19"/>
  <c r="R3901" i="19"/>
  <c r="F2552" i="19"/>
  <c r="H2552" i="19"/>
  <c r="R3124" i="19"/>
  <c r="F2520" i="19"/>
  <c r="H2520" i="19"/>
  <c r="Q2520" i="19"/>
  <c r="R2520" i="19"/>
  <c r="R802" i="19"/>
  <c r="R910" i="19"/>
  <c r="R1018" i="19"/>
  <c r="R809" i="19"/>
  <c r="R1057" i="19"/>
  <c r="R1179" i="19"/>
  <c r="R73" i="19"/>
  <c r="R1178" i="19"/>
  <c r="R83" i="19"/>
  <c r="R361" i="19"/>
  <c r="R1038" i="19"/>
  <c r="R20" i="19"/>
  <c r="R448" i="19"/>
  <c r="R3918" i="19"/>
  <c r="R4738" i="19"/>
  <c r="R4222" i="19"/>
  <c r="R4807" i="19"/>
  <c r="F5317" i="19"/>
  <c r="H5317" i="19"/>
  <c r="Q5317" i="19"/>
  <c r="R5317" i="19"/>
  <c r="R2162" i="19"/>
  <c r="R2930" i="19"/>
  <c r="F5073" i="19"/>
  <c r="H5073" i="19"/>
  <c r="R3270" i="19"/>
  <c r="F2527" i="19"/>
  <c r="H2527" i="19"/>
  <c r="Q2527" i="19"/>
  <c r="R2527" i="19"/>
  <c r="R2884" i="19"/>
  <c r="R5790" i="19"/>
  <c r="F2570" i="19"/>
  <c r="H2570" i="19"/>
  <c r="Q2570" i="19"/>
  <c r="R5744" i="19"/>
  <c r="R1986" i="19"/>
  <c r="F2546" i="19"/>
  <c r="H2546" i="19"/>
  <c r="R3073" i="19"/>
  <c r="R2848" i="19"/>
  <c r="R1266" i="19"/>
  <c r="R3922" i="19"/>
  <c r="F5181" i="19"/>
  <c r="H5181" i="19"/>
  <c r="Q5181" i="19"/>
  <c r="R5181" i="19"/>
  <c r="R4087" i="19"/>
  <c r="R4348" i="19"/>
  <c r="R4986" i="19"/>
  <c r="R4296" i="19"/>
  <c r="R4242" i="19"/>
  <c r="R767" i="19"/>
  <c r="F5205" i="19"/>
  <c r="H5205" i="19"/>
  <c r="R1790" i="19"/>
  <c r="R2636" i="19"/>
  <c r="R3684" i="19"/>
  <c r="F5101" i="19"/>
  <c r="H5101" i="19"/>
  <c r="Q5101" i="19"/>
  <c r="R5101" i="19"/>
  <c r="R3752" i="19"/>
  <c r="R3151" i="19"/>
  <c r="F2519" i="19"/>
  <c r="H2519" i="19"/>
  <c r="F2543" i="19"/>
  <c r="H2543" i="19"/>
  <c r="Q2543" i="19"/>
  <c r="R1828" i="19"/>
  <c r="R3873" i="19"/>
  <c r="F2529" i="19"/>
  <c r="H2529" i="19"/>
  <c r="Q2529" i="19"/>
  <c r="F2512" i="19"/>
  <c r="H2512" i="19"/>
  <c r="Q2512" i="19"/>
  <c r="Q2513" i="19"/>
  <c r="Q2515" i="19"/>
  <c r="F2516" i="19"/>
  <c r="H2516" i="19"/>
  <c r="Q2516" i="19"/>
  <c r="F2518" i="19"/>
  <c r="H2518" i="19"/>
  <c r="Q2518" i="19"/>
  <c r="Q2519" i="19"/>
  <c r="Q2521" i="19"/>
  <c r="F2522" i="19"/>
  <c r="H2522" i="19"/>
  <c r="Q2522" i="19"/>
  <c r="Q2524" i="19"/>
  <c r="F2525" i="19"/>
  <c r="H2525" i="19"/>
  <c r="Q2525" i="19"/>
  <c r="Q2526" i="19"/>
  <c r="Q2530" i="19"/>
  <c r="Q2531" i="19"/>
  <c r="F2533" i="19"/>
  <c r="H2533" i="19"/>
  <c r="Q2533" i="19"/>
  <c r="F2535" i="19"/>
  <c r="H2535" i="19"/>
  <c r="Q2535" i="19"/>
  <c r="Q2536" i="19"/>
  <c r="F2538" i="19"/>
  <c r="H2538" i="19"/>
  <c r="Q2538" i="19"/>
  <c r="Q2539" i="19"/>
  <c r="Q2542" i="19"/>
  <c r="Q2544" i="19"/>
  <c r="Q2546" i="19"/>
  <c r="Q2549" i="19"/>
  <c r="Q2550" i="19"/>
  <c r="Q2552" i="19"/>
  <c r="Q2553" i="19"/>
  <c r="Q2554" i="19"/>
  <c r="Q2555" i="19"/>
  <c r="Q2556" i="19"/>
  <c r="Q2557" i="19"/>
  <c r="Q2559" i="19"/>
  <c r="Q2560" i="19"/>
  <c r="Q2562" i="19"/>
  <c r="Q2564" i="19"/>
  <c r="Q2565" i="19"/>
  <c r="F2568" i="19"/>
  <c r="H2568" i="19"/>
  <c r="Q2568" i="19"/>
  <c r="F2569" i="19"/>
  <c r="H2569" i="19"/>
  <c r="Q2569" i="19"/>
  <c r="Q2571" i="19"/>
  <c r="Q2572" i="19"/>
  <c r="F2573" i="19"/>
  <c r="H2573" i="19"/>
  <c r="Q2573" i="19"/>
  <c r="Q2574" i="19"/>
  <c r="Q2575" i="19"/>
  <c r="Q2577" i="19"/>
  <c r="F2578" i="19"/>
  <c r="H2578" i="19"/>
  <c r="Q2578" i="19"/>
  <c r="F2580" i="19"/>
  <c r="H2580" i="19"/>
  <c r="Q2580" i="19"/>
  <c r="F2581" i="19"/>
  <c r="H2581" i="19"/>
  <c r="Q2581" i="19"/>
  <c r="F2582" i="19"/>
  <c r="H2582" i="19"/>
  <c r="Q2582" i="19"/>
  <c r="Q2583" i="19"/>
  <c r="Q2584" i="19"/>
  <c r="F2585" i="19"/>
  <c r="H2585" i="19"/>
  <c r="Q2585" i="19"/>
  <c r="F2586" i="19"/>
  <c r="H2586" i="19"/>
  <c r="Q2586" i="19"/>
  <c r="F2587" i="19"/>
  <c r="H2587" i="19"/>
  <c r="Q2587" i="19"/>
  <c r="Q2589" i="19"/>
  <c r="F2591" i="19"/>
  <c r="H2591" i="19"/>
  <c r="Q2591" i="19"/>
  <c r="Q2592" i="19"/>
  <c r="Q2593" i="19"/>
  <c r="Q2594" i="19"/>
  <c r="Q2596" i="19"/>
  <c r="Q2597" i="19"/>
  <c r="Q2598" i="19"/>
  <c r="Q2600" i="19"/>
  <c r="Q2601" i="19"/>
  <c r="F2602" i="19"/>
  <c r="H2602" i="19"/>
  <c r="Q2602" i="19"/>
  <c r="F2603" i="19"/>
  <c r="H2603" i="19"/>
  <c r="Q2603" i="19"/>
  <c r="Q2604" i="19"/>
  <c r="F2606" i="19"/>
  <c r="H2606" i="19"/>
  <c r="Q2606" i="19"/>
  <c r="Q2607" i="19"/>
  <c r="Q2608" i="19"/>
  <c r="T18" i="19"/>
  <c r="X18" i="19"/>
  <c r="U18" i="19"/>
  <c r="R2529" i="19"/>
  <c r="R1918" i="19"/>
  <c r="R5737" i="19"/>
  <c r="R4140" i="19"/>
  <c r="R5772" i="19"/>
  <c r="R808" i="19"/>
  <c r="R862" i="19"/>
  <c r="R970" i="19"/>
  <c r="R1074" i="19"/>
  <c r="R1061" i="19"/>
  <c r="R1224" i="19"/>
  <c r="R951" i="19"/>
  <c r="R1174" i="19"/>
  <c r="R366" i="19"/>
  <c r="R420" i="19"/>
  <c r="R474" i="19"/>
  <c r="R15" i="19"/>
  <c r="R220" i="19"/>
  <c r="R1115" i="19"/>
  <c r="R500" i="19"/>
  <c r="R1255" i="19"/>
  <c r="R541" i="19"/>
  <c r="R503" i="19"/>
  <c r="R169" i="19"/>
  <c r="R529" i="19"/>
  <c r="R512" i="19"/>
  <c r="R4359" i="19"/>
  <c r="F5186" i="19"/>
  <c r="H5186" i="19"/>
  <c r="R4096" i="19"/>
  <c r="R4353" i="19"/>
  <c r="R4013" i="19"/>
  <c r="R5610" i="19"/>
  <c r="F5321" i="19"/>
  <c r="H5321" i="19"/>
  <c r="R2508" i="19"/>
  <c r="R1896" i="19"/>
  <c r="F5302" i="19"/>
  <c r="H5302" i="19"/>
  <c r="Q5302" i="19"/>
  <c r="R5302" i="19"/>
  <c r="R3333" i="19"/>
  <c r="R3041" i="19"/>
  <c r="R5853" i="19"/>
  <c r="R3692" i="19"/>
  <c r="R3260" i="19"/>
  <c r="R5717" i="19"/>
  <c r="R2533" i="19"/>
  <c r="R2934" i="19"/>
  <c r="R865" i="19"/>
  <c r="R919" i="19"/>
  <c r="R973" i="19"/>
  <c r="R872" i="19"/>
  <c r="R1092" i="19"/>
  <c r="R1187" i="19"/>
  <c r="R12" i="19"/>
  <c r="R1232" i="19"/>
  <c r="R28" i="19"/>
  <c r="R1049" i="19"/>
  <c r="R39" i="19"/>
  <c r="R423" i="19"/>
  <c r="R127" i="19"/>
  <c r="R277" i="19"/>
  <c r="R472" i="19"/>
  <c r="R244" i="19"/>
  <c r="R45" i="19"/>
  <c r="R560" i="19"/>
  <c r="R615" i="19"/>
  <c r="R173" i="19"/>
  <c r="R837" i="19"/>
  <c r="R651" i="19"/>
  <c r="R526" i="19"/>
  <c r="R4376" i="19"/>
  <c r="F5231" i="19"/>
  <c r="H5231" i="19"/>
  <c r="F5210" i="19"/>
  <c r="H5210" i="19"/>
  <c r="Q5210" i="19"/>
  <c r="R1344" i="19"/>
  <c r="R4963" i="19"/>
  <c r="R4711" i="19"/>
  <c r="R3288" i="19"/>
  <c r="R1736" i="19"/>
  <c r="F5256" i="19"/>
  <c r="H5256" i="19"/>
  <c r="Q5256" i="19"/>
  <c r="R2927" i="19"/>
  <c r="R3351" i="19"/>
  <c r="R2651" i="19"/>
  <c r="R3141" i="19"/>
  <c r="R1675" i="19"/>
  <c r="R1657" i="19"/>
  <c r="R2734" i="19"/>
  <c r="R2024" i="19"/>
  <c r="R2658" i="19"/>
  <c r="R3189" i="19"/>
  <c r="R5707" i="19"/>
  <c r="R3325" i="19"/>
  <c r="R2923" i="19"/>
  <c r="R3708" i="19"/>
  <c r="R3463" i="19"/>
  <c r="R868" i="19"/>
  <c r="R976" i="19"/>
  <c r="R821" i="19"/>
  <c r="R983" i="19"/>
  <c r="R1110" i="19"/>
  <c r="R996" i="19"/>
  <c r="R1017" i="19"/>
  <c r="R31" i="19"/>
  <c r="R1067" i="19"/>
  <c r="R210" i="19"/>
  <c r="R318" i="19"/>
  <c r="R372" i="19"/>
  <c r="R1127" i="19"/>
  <c r="R4682" i="19"/>
  <c r="F5235" i="19"/>
  <c r="H5235" i="19"/>
  <c r="Q5235" i="19"/>
  <c r="R5235" i="19"/>
  <c r="F5215" i="19"/>
  <c r="H5215" i="19"/>
  <c r="R1377" i="19"/>
  <c r="R5013" i="19"/>
  <c r="R1509" i="19"/>
  <c r="F5331" i="19"/>
  <c r="H5331" i="19"/>
  <c r="Q5331" i="19"/>
  <c r="R5331" i="19"/>
  <c r="R2452" i="19"/>
  <c r="R1311" i="19"/>
  <c r="R4728" i="19"/>
  <c r="R3300" i="19"/>
  <c r="R2818" i="19"/>
  <c r="R2844" i="19"/>
  <c r="R3364" i="19"/>
  <c r="R3661" i="19"/>
  <c r="R2833" i="19"/>
  <c r="R2684" i="19"/>
  <c r="R5708" i="19"/>
  <c r="R1662" i="19"/>
  <c r="R5848" i="19"/>
  <c r="R3077" i="19"/>
  <c r="R2023" i="19"/>
  <c r="R3905" i="19"/>
  <c r="R871" i="19"/>
  <c r="R925" i="19"/>
  <c r="R979" i="19"/>
  <c r="R1033" i="19"/>
  <c r="R824" i="19"/>
  <c r="R878" i="19"/>
  <c r="R16" i="19"/>
  <c r="R819" i="19"/>
  <c r="R1125" i="19"/>
  <c r="R1198" i="19"/>
  <c r="R1122" i="19"/>
  <c r="R120" i="19"/>
  <c r="R267" i="19"/>
  <c r="R429" i="19"/>
  <c r="R537" i="19"/>
  <c r="F5289" i="19"/>
  <c r="H5289" i="19"/>
  <c r="R2384" i="19"/>
  <c r="R4680" i="19"/>
  <c r="R2486" i="19"/>
  <c r="R1322" i="19"/>
  <c r="R4889" i="19"/>
  <c r="F5263" i="19"/>
  <c r="H5263" i="19"/>
  <c r="R1749" i="19"/>
  <c r="R3107" i="19"/>
  <c r="R2652" i="19"/>
  <c r="R1922" i="19"/>
  <c r="R5865" i="19"/>
  <c r="R2822" i="19"/>
  <c r="R3108" i="19"/>
  <c r="R5651" i="19"/>
  <c r="R3017" i="19"/>
  <c r="R3335" i="19"/>
  <c r="R1277" i="19"/>
  <c r="R5802" i="19"/>
  <c r="R2618" i="19"/>
  <c r="F5301" i="19"/>
  <c r="H5301" i="19"/>
  <c r="Q5301" i="19"/>
  <c r="R5301" i="19"/>
  <c r="R2383" i="19"/>
  <c r="R2492" i="19"/>
  <c r="R2378" i="19"/>
  <c r="R1415" i="19"/>
  <c r="R2493" i="19"/>
  <c r="R4947" i="19"/>
  <c r="R2455" i="19"/>
  <c r="R3139" i="19"/>
  <c r="R1750" i="19"/>
  <c r="R3881" i="19"/>
  <c r="R2918" i="19"/>
  <c r="R3289" i="19"/>
  <c r="R3067" i="19"/>
  <c r="R3442" i="19"/>
  <c r="R3367" i="19"/>
  <c r="R5799" i="19"/>
  <c r="R1537" i="19"/>
  <c r="R3175" i="19"/>
  <c r="R1728" i="19"/>
  <c r="R2628" i="19"/>
  <c r="R3619" i="19"/>
  <c r="R2806" i="19"/>
  <c r="R5663" i="19"/>
  <c r="R823" i="19"/>
  <c r="R877" i="19"/>
  <c r="R931" i="19"/>
  <c r="R985" i="19"/>
  <c r="R1039" i="19"/>
  <c r="R846" i="19"/>
  <c r="R1164" i="19"/>
  <c r="R1109" i="19"/>
  <c r="R1155" i="19"/>
  <c r="R1211" i="19"/>
  <c r="R990" i="19"/>
  <c r="R40" i="19"/>
  <c r="R126" i="19"/>
  <c r="R435" i="19"/>
  <c r="R543" i="19"/>
  <c r="R347" i="19"/>
  <c r="R1093" i="19"/>
  <c r="R1129" i="19"/>
  <c r="R95" i="19"/>
  <c r="R62" i="19"/>
  <c r="R628" i="19"/>
  <c r="R59" i="19"/>
  <c r="R629" i="19"/>
  <c r="R639" i="19"/>
  <c r="F5305" i="19"/>
  <c r="H5305" i="19"/>
  <c r="R2090" i="19"/>
  <c r="R4921" i="19"/>
  <c r="R5536" i="19"/>
  <c r="R2397" i="19"/>
  <c r="F5135" i="19"/>
  <c r="H5135" i="19"/>
  <c r="R2337" i="19"/>
  <c r="F5107" i="19"/>
  <c r="H5107" i="19"/>
  <c r="R2462" i="19"/>
  <c r="R2716" i="19"/>
  <c r="R3043" i="19"/>
  <c r="R2580" i="19"/>
  <c r="R5774" i="19"/>
  <c r="R5757" i="19"/>
  <c r="R3239" i="19"/>
  <c r="R5658" i="19"/>
  <c r="R880" i="19"/>
  <c r="R833" i="19"/>
  <c r="R887" i="19"/>
  <c r="R995" i="19"/>
  <c r="R799" i="19"/>
  <c r="R1094" i="19"/>
  <c r="R1249" i="19"/>
  <c r="R999" i="19"/>
  <c r="R43" i="19"/>
  <c r="R183" i="19"/>
  <c r="R984" i="19"/>
  <c r="R276" i="19"/>
  <c r="R330" i="19"/>
  <c r="R384" i="19"/>
  <c r="R438" i="19"/>
  <c r="R546" i="19"/>
  <c r="R358" i="19"/>
  <c r="R1239" i="19"/>
  <c r="R648" i="19"/>
  <c r="F5330" i="19"/>
  <c r="H5330" i="19"/>
  <c r="Q5330" i="19"/>
  <c r="R5330" i="19"/>
  <c r="R5047" i="19"/>
  <c r="F5168" i="19"/>
  <c r="H5168" i="19"/>
  <c r="Q5168" i="19"/>
  <c r="R5168" i="19"/>
  <c r="R4002" i="19"/>
  <c r="R3996" i="19"/>
  <c r="R1489" i="19"/>
  <c r="R3225" i="19"/>
  <c r="R5715" i="19"/>
  <c r="F5292" i="19"/>
  <c r="H5292" i="19"/>
  <c r="R3048" i="19"/>
  <c r="R5770" i="19"/>
  <c r="R2800" i="19"/>
  <c r="R3263" i="19"/>
  <c r="R5789" i="19"/>
  <c r="R5678" i="19"/>
  <c r="R3105" i="19"/>
  <c r="R1370" i="19"/>
  <c r="R2516" i="19"/>
  <c r="R2709" i="19"/>
  <c r="R3234" i="19"/>
  <c r="R3713" i="19"/>
  <c r="R4932" i="19"/>
  <c r="F5132" i="19"/>
  <c r="H5132" i="19"/>
  <c r="F5146" i="19"/>
  <c r="H5146" i="19"/>
  <c r="Q5146" i="19"/>
  <c r="R5146" i="19"/>
  <c r="R4525" i="19"/>
  <c r="R5025" i="19"/>
  <c r="F5173" i="19"/>
  <c r="H5173" i="19"/>
  <c r="Q5173" i="19"/>
  <c r="R5173" i="19"/>
  <c r="F5324" i="19"/>
  <c r="H5324" i="19"/>
  <c r="Q5324" i="19"/>
  <c r="R5324" i="19"/>
  <c r="R4007" i="19"/>
  <c r="R1889" i="19"/>
  <c r="R2765" i="19"/>
  <c r="R2364" i="19"/>
  <c r="R3274" i="19"/>
  <c r="F5333" i="19"/>
  <c r="H5333" i="19"/>
  <c r="R3052" i="19"/>
  <c r="R2688" i="19"/>
  <c r="R3385" i="19"/>
  <c r="R2586" i="19"/>
  <c r="R2783" i="19"/>
  <c r="R2974" i="19"/>
  <c r="R3895" i="19"/>
  <c r="R2876" i="19"/>
  <c r="R2441" i="19"/>
  <c r="R5822" i="19"/>
  <c r="R832" i="19"/>
  <c r="R797" i="19"/>
  <c r="R786" i="19"/>
  <c r="R927" i="19"/>
  <c r="R1167" i="19"/>
  <c r="R1257" i="19"/>
  <c r="R49" i="19"/>
  <c r="R135" i="19"/>
  <c r="R189" i="19"/>
  <c r="R793" i="19"/>
  <c r="R336" i="19"/>
  <c r="R390" i="19"/>
  <c r="R498" i="19"/>
  <c r="R552" i="19"/>
  <c r="R499" i="19"/>
  <c r="R412" i="19"/>
  <c r="R217" i="19"/>
  <c r="R66" i="19"/>
  <c r="R21" i="19"/>
  <c r="R4940" i="19"/>
  <c r="F5225" i="19"/>
  <c r="H5225" i="19"/>
  <c r="F5151" i="19"/>
  <c r="H5151" i="19"/>
  <c r="Q5151" i="19"/>
  <c r="R5151" i="19"/>
  <c r="R5030" i="19"/>
  <c r="R4340" i="19"/>
  <c r="F5229" i="19"/>
  <c r="H5229" i="19"/>
  <c r="Q5229" i="19"/>
  <c r="R4130" i="19"/>
  <c r="R3860" i="19"/>
  <c r="R3768" i="19"/>
  <c r="R2804" i="19"/>
  <c r="R3038" i="19"/>
  <c r="R3468" i="19"/>
  <c r="R2899" i="19"/>
  <c r="R5665" i="19"/>
  <c r="R1979" i="19"/>
  <c r="R3306" i="19"/>
  <c r="R3454" i="19"/>
  <c r="F5343" i="19"/>
  <c r="H5343" i="19"/>
  <c r="R997" i="19"/>
  <c r="R792" i="19"/>
  <c r="R822" i="19"/>
  <c r="R1236" i="19"/>
  <c r="R1217" i="19"/>
  <c r="R897" i="19"/>
  <c r="R1227" i="19"/>
  <c r="R921" i="19"/>
  <c r="R84" i="19"/>
  <c r="R231" i="19"/>
  <c r="R285" i="19"/>
  <c r="R393" i="19"/>
  <c r="R501" i="19"/>
  <c r="R555" i="19"/>
  <c r="R493" i="19"/>
  <c r="R29" i="19"/>
  <c r="R1076" i="19"/>
  <c r="R1144" i="19"/>
  <c r="R115" i="19"/>
  <c r="R5007" i="19"/>
  <c r="R5386" i="19"/>
  <c r="F5306" i="19"/>
  <c r="H5306" i="19"/>
  <c r="R4647" i="19"/>
  <c r="R4357" i="19"/>
  <c r="R3317" i="19"/>
  <c r="R4749" i="19"/>
  <c r="R2049" i="19"/>
  <c r="R2606" i="19"/>
  <c r="R3816" i="19"/>
  <c r="R2837" i="19"/>
  <c r="R2040" i="19"/>
  <c r="R2629" i="19"/>
  <c r="R3278" i="19"/>
  <c r="R4715" i="19"/>
  <c r="R2653" i="19"/>
  <c r="R1959" i="19"/>
  <c r="R5732" i="19"/>
  <c r="R3148" i="19"/>
  <c r="R1414" i="19"/>
  <c r="R5036" i="19"/>
  <c r="R5403" i="19"/>
  <c r="R4657" i="19"/>
  <c r="R4366" i="19"/>
  <c r="R4365" i="19"/>
  <c r="R5570" i="19"/>
  <c r="R1612" i="19"/>
  <c r="R1905" i="19"/>
  <c r="R2207" i="19"/>
  <c r="R5830" i="19"/>
  <c r="R3337" i="19"/>
  <c r="R1312" i="19"/>
  <c r="R4790" i="19"/>
  <c r="R3236" i="19"/>
  <c r="R1968" i="19"/>
  <c r="R3322" i="19"/>
  <c r="R1798" i="19"/>
  <c r="R3005" i="19"/>
  <c r="R3676" i="19"/>
  <c r="R2834" i="19"/>
  <c r="R2797" i="19"/>
  <c r="R1934" i="19"/>
  <c r="R2602" i="19"/>
  <c r="R895" i="19"/>
  <c r="R782" i="19"/>
  <c r="R848" i="19"/>
  <c r="R902" i="19"/>
  <c r="R956" i="19"/>
  <c r="R1010" i="19"/>
  <c r="R1081" i="19"/>
  <c r="R798" i="19"/>
  <c r="R4407" i="19"/>
  <c r="R4381" i="19"/>
  <c r="R4631" i="19"/>
  <c r="R2204" i="19"/>
  <c r="R1719" i="19"/>
  <c r="R4612" i="19"/>
  <c r="R4478" i="19"/>
  <c r="R3207" i="19"/>
  <c r="R3001" i="19"/>
  <c r="R1966" i="19"/>
  <c r="R4083" i="19"/>
  <c r="R3706" i="19"/>
  <c r="F5140" i="19"/>
  <c r="H5140" i="19"/>
  <c r="Q5140" i="19"/>
  <c r="R5140" i="19"/>
  <c r="R1385" i="19"/>
  <c r="R3904" i="19"/>
  <c r="R3424" i="19"/>
  <c r="R2525" i="19"/>
  <c r="R3340" i="19"/>
  <c r="R5692" i="19"/>
  <c r="R3027" i="19"/>
  <c r="R3037" i="19"/>
  <c r="R3184" i="19"/>
  <c r="R1721" i="19"/>
  <c r="R3249" i="19"/>
  <c r="R1245" i="19"/>
  <c r="R903" i="19"/>
  <c r="R22" i="19"/>
  <c r="R1154" i="19"/>
  <c r="R297" i="19"/>
  <c r="R1240" i="19"/>
  <c r="R17" i="19"/>
  <c r="R807" i="19"/>
  <c r="R602" i="19"/>
  <c r="R427" i="19"/>
  <c r="R4583" i="19"/>
  <c r="R740" i="19"/>
  <c r="R1221" i="19"/>
  <c r="R759" i="19"/>
  <c r="R688" i="19"/>
  <c r="R1765" i="19"/>
  <c r="R1801" i="19"/>
  <c r="R892" i="19"/>
  <c r="R953" i="19"/>
  <c r="R945" i="19"/>
  <c r="R1244" i="19"/>
  <c r="R141" i="19"/>
  <c r="R1190" i="19"/>
  <c r="R300" i="19"/>
  <c r="R432" i="19"/>
  <c r="R558" i="19"/>
  <c r="R14" i="19"/>
  <c r="R77" i="19"/>
  <c r="R801" i="19"/>
  <c r="R389" i="19"/>
  <c r="R121" i="19"/>
  <c r="R777" i="19"/>
  <c r="R5377" i="19"/>
  <c r="R609" i="19"/>
  <c r="R1009" i="19"/>
  <c r="R4574" i="19"/>
  <c r="R568" i="19"/>
  <c r="R525" i="19"/>
  <c r="R4580" i="19"/>
  <c r="F5311" i="19"/>
  <c r="H5311" i="19"/>
  <c r="Q5311" i="19"/>
  <c r="R5311" i="19"/>
  <c r="R1045" i="19"/>
  <c r="R1106" i="19"/>
  <c r="R1259" i="19"/>
  <c r="R309" i="19"/>
  <c r="R441" i="19"/>
  <c r="R1098" i="19"/>
  <c r="R27" i="19"/>
  <c r="R394" i="19"/>
  <c r="R1203" i="19"/>
  <c r="R5363" i="19"/>
  <c r="R691" i="19"/>
  <c r="R520" i="19"/>
  <c r="R731" i="19"/>
  <c r="R532" i="19"/>
  <c r="R746" i="19"/>
  <c r="R618" i="19"/>
  <c r="R747" i="19"/>
  <c r="R905" i="19"/>
  <c r="R3711" i="19"/>
  <c r="R5365" i="19"/>
  <c r="R660" i="19"/>
  <c r="R882" i="19"/>
  <c r="R439" i="19"/>
  <c r="R3349" i="19"/>
  <c r="R962" i="19"/>
  <c r="R147" i="19"/>
  <c r="R26" i="19"/>
  <c r="R1180" i="19"/>
  <c r="R136" i="19"/>
  <c r="R218" i="19"/>
  <c r="R4538" i="19"/>
  <c r="R769" i="19"/>
  <c r="R424" i="19"/>
  <c r="R5381" i="19"/>
  <c r="R698" i="19"/>
  <c r="R559" i="19"/>
  <c r="R756" i="19"/>
  <c r="R755" i="19"/>
  <c r="R513" i="19"/>
  <c r="R913" i="19"/>
  <c r="R974" i="19"/>
  <c r="R1060" i="19"/>
  <c r="R1118" i="19"/>
  <c r="R816" i="19"/>
  <c r="R58" i="19"/>
  <c r="R148" i="19"/>
  <c r="R334" i="19"/>
  <c r="R813" i="19"/>
  <c r="R428" i="19"/>
  <c r="R311" i="19"/>
  <c r="R600" i="19"/>
  <c r="R729" i="19"/>
  <c r="R4595" i="19"/>
  <c r="R550" i="19"/>
  <c r="R776" i="19"/>
  <c r="R554" i="19"/>
  <c r="R567" i="19"/>
  <c r="R768" i="19"/>
  <c r="R4524" i="19"/>
  <c r="R5356" i="19"/>
  <c r="R565" i="19"/>
  <c r="R1253" i="19"/>
  <c r="R399" i="19"/>
  <c r="R1231" i="19"/>
  <c r="R4614" i="19"/>
  <c r="R182" i="19"/>
  <c r="R656" i="19"/>
  <c r="R108" i="19"/>
  <c r="R291" i="19"/>
  <c r="R4523" i="19"/>
  <c r="R398" i="19"/>
  <c r="R3871" i="19"/>
  <c r="R4526" i="19"/>
  <c r="R662" i="19"/>
  <c r="R748" i="19"/>
  <c r="R5796" i="19"/>
  <c r="R3016" i="19"/>
  <c r="R928" i="19"/>
  <c r="R827" i="19"/>
  <c r="R1146" i="19"/>
  <c r="R1116" i="19"/>
  <c r="R153" i="19"/>
  <c r="R216" i="19"/>
  <c r="R197" i="19"/>
  <c r="R578" i="19"/>
  <c r="R1078" i="19"/>
  <c r="R716" i="19"/>
  <c r="R598" i="19"/>
  <c r="R5359" i="19"/>
  <c r="R5353" i="19"/>
  <c r="R843" i="19"/>
  <c r="R1113" i="19"/>
  <c r="R937" i="19"/>
  <c r="R1222" i="19"/>
  <c r="R162" i="19"/>
  <c r="R459" i="19"/>
  <c r="R293" i="19"/>
  <c r="R1097" i="19"/>
  <c r="R765" i="19"/>
  <c r="R4601" i="19"/>
  <c r="R5370" i="19"/>
  <c r="R593" i="19"/>
  <c r="R1238" i="19"/>
  <c r="R727" i="19"/>
  <c r="R703" i="19"/>
  <c r="R1005" i="19"/>
  <c r="R946" i="19"/>
  <c r="R1254" i="19"/>
  <c r="R1235" i="19"/>
  <c r="R462" i="19"/>
  <c r="R1059" i="19"/>
  <c r="R650" i="19"/>
  <c r="R4550" i="19"/>
  <c r="R4604" i="19"/>
  <c r="R1252" i="19"/>
  <c r="R5371" i="19"/>
  <c r="R4549" i="19"/>
  <c r="R4562" i="19"/>
  <c r="R1188" i="19"/>
  <c r="R279" i="19"/>
  <c r="R908" i="19"/>
  <c r="R545" i="19"/>
  <c r="R1742" i="19"/>
  <c r="R1021" i="19"/>
  <c r="R870" i="19"/>
  <c r="R164" i="19"/>
  <c r="R5383" i="19"/>
  <c r="R2714" i="19"/>
  <c r="R790" i="19"/>
  <c r="R1133" i="19"/>
  <c r="R1216" i="19"/>
  <c r="R888" i="19"/>
  <c r="R271" i="19"/>
  <c r="R449" i="19"/>
  <c r="R2463" i="19"/>
  <c r="R3672" i="19"/>
  <c r="R851" i="19"/>
  <c r="R1196" i="19"/>
  <c r="R18" i="19"/>
  <c r="R891" i="19"/>
  <c r="R237" i="19"/>
  <c r="R471" i="19"/>
  <c r="R464" i="19"/>
  <c r="R1139" i="19"/>
  <c r="R1247" i="19"/>
  <c r="R4553" i="19"/>
  <c r="R646" i="19"/>
  <c r="R51" i="19"/>
  <c r="R416" i="19"/>
  <c r="R1208" i="19"/>
  <c r="R724" i="19"/>
  <c r="R4619" i="19"/>
  <c r="R588" i="19"/>
  <c r="R1536" i="19"/>
  <c r="R1006" i="19"/>
  <c r="R572" i="19"/>
  <c r="R3369" i="19"/>
  <c r="R854" i="19"/>
  <c r="R1016" i="19"/>
  <c r="R195" i="19"/>
  <c r="R240" i="19"/>
  <c r="R354" i="19"/>
  <c r="R486" i="19"/>
  <c r="R1111" i="19"/>
  <c r="R1002" i="19"/>
  <c r="R335" i="19"/>
  <c r="R419" i="19"/>
  <c r="R4492" i="19"/>
  <c r="R4556" i="19"/>
  <c r="R661" i="19"/>
  <c r="R527" i="19"/>
  <c r="R133" i="19"/>
  <c r="R33" i="19"/>
  <c r="R4567" i="19"/>
  <c r="R757" i="19"/>
  <c r="R701" i="19"/>
  <c r="R4508" i="19"/>
  <c r="R1145" i="19"/>
  <c r="R194" i="19"/>
  <c r="R4571" i="19"/>
  <c r="R524" i="19"/>
  <c r="R4520" i="19"/>
  <c r="R705" i="19"/>
  <c r="R915" i="19"/>
  <c r="R641" i="19"/>
  <c r="R1143" i="19"/>
  <c r="R316" i="19"/>
  <c r="R4437" i="19"/>
  <c r="R3691" i="19"/>
  <c r="R1550" i="19"/>
  <c r="R805" i="19"/>
  <c r="R967" i="19"/>
  <c r="R866" i="19"/>
  <c r="R1220" i="19"/>
  <c r="R78" i="19"/>
  <c r="R198" i="19"/>
  <c r="R243" i="19"/>
  <c r="R92" i="19"/>
  <c r="R346" i="19"/>
  <c r="R1077" i="19"/>
  <c r="R4613" i="19"/>
  <c r="R155" i="19"/>
  <c r="R4578" i="19"/>
  <c r="R761" i="19"/>
  <c r="R1130" i="19"/>
  <c r="R341" i="19"/>
  <c r="R553" i="19"/>
  <c r="R5376" i="19"/>
  <c r="R1099" i="19"/>
  <c r="R4664" i="19"/>
  <c r="R847" i="19"/>
  <c r="R608" i="19"/>
  <c r="R694" i="19"/>
  <c r="R2214" i="19"/>
  <c r="R655" i="19"/>
  <c r="R638" i="19"/>
  <c r="R4500" i="19"/>
  <c r="R4457" i="19"/>
  <c r="R2960" i="19"/>
  <c r="R2701" i="19"/>
  <c r="R820" i="19"/>
  <c r="R982" i="19"/>
  <c r="R881" i="19"/>
  <c r="R1023" i="19"/>
  <c r="R978" i="19"/>
  <c r="R246" i="19"/>
  <c r="R304" i="19"/>
  <c r="R152" i="19"/>
  <c r="R497" i="19"/>
  <c r="R679" i="19"/>
  <c r="R224" i="19"/>
  <c r="R259" i="19"/>
  <c r="R582" i="19"/>
  <c r="R511" i="19"/>
  <c r="R770" i="19"/>
  <c r="R778" i="19"/>
  <c r="R5366" i="19"/>
  <c r="R3665" i="19"/>
  <c r="R230" i="19"/>
  <c r="R681" i="19"/>
  <c r="R4414" i="19"/>
  <c r="R2678" i="19"/>
  <c r="R838" i="19"/>
  <c r="R1156" i="19"/>
  <c r="R93" i="19"/>
  <c r="R1202" i="19"/>
  <c r="R71" i="19"/>
  <c r="R1237" i="19"/>
  <c r="R101" i="19"/>
  <c r="R590" i="19"/>
  <c r="R573" i="19"/>
  <c r="R4514" i="19"/>
  <c r="R4568" i="19"/>
  <c r="R551" i="19"/>
  <c r="R310" i="19"/>
  <c r="R630" i="19"/>
  <c r="R1176" i="19"/>
  <c r="R96" i="19"/>
  <c r="R604" i="19"/>
  <c r="AA310" i="15"/>
  <c r="K142" i="20"/>
  <c r="J142" i="20"/>
  <c r="I142" i="20"/>
  <c r="D115" i="15"/>
  <c r="J115" i="15"/>
  <c r="AD115" i="15"/>
  <c r="AB115" i="15"/>
  <c r="R115" i="15"/>
  <c r="AG115" i="15"/>
  <c r="I115" i="15"/>
  <c r="W115" i="15"/>
  <c r="K115" i="15"/>
  <c r="P115" i="15"/>
  <c r="Y115" i="15"/>
  <c r="AE115" i="15"/>
  <c r="X115" i="15"/>
  <c r="AH115" i="15"/>
  <c r="AF115" i="15"/>
  <c r="L115" i="15"/>
  <c r="G115" i="15"/>
  <c r="AC115" i="15"/>
  <c r="F115" i="15"/>
  <c r="U115" i="15"/>
  <c r="M115" i="15"/>
  <c r="Q115" i="15"/>
  <c r="S115" i="15"/>
  <c r="Z115" i="15"/>
  <c r="C115" i="15"/>
  <c r="N115" i="15"/>
  <c r="E115" i="15"/>
  <c r="V115" i="15"/>
  <c r="T220" i="15"/>
  <c r="V220" i="15"/>
  <c r="AB220" i="15"/>
  <c r="S220" i="15"/>
  <c r="U220" i="15"/>
  <c r="D220" i="15"/>
  <c r="M220" i="15"/>
  <c r="Z220" i="15"/>
  <c r="AI220" i="15"/>
  <c r="H209" i="20"/>
  <c r="I209" i="20" s="1"/>
  <c r="K220" i="15"/>
  <c r="N220" i="15"/>
  <c r="X220" i="15"/>
  <c r="AG220" i="15"/>
  <c r="W220" i="15"/>
  <c r="F220" i="15"/>
  <c r="C220" i="15"/>
  <c r="AC220" i="15"/>
  <c r="AA220" i="15"/>
  <c r="I169" i="20"/>
  <c r="J169" i="20"/>
  <c r="K169" i="20"/>
  <c r="J296" i="20"/>
  <c r="K296" i="20"/>
  <c r="I296" i="20"/>
  <c r="AD53" i="15"/>
  <c r="AG53" i="15"/>
  <c r="AB53" i="15"/>
  <c r="Z53" i="15"/>
  <c r="K53" i="15"/>
  <c r="E53" i="15"/>
  <c r="Q53" i="15"/>
  <c r="AI53" i="15"/>
  <c r="U53" i="15"/>
  <c r="O53" i="15"/>
  <c r="AA53" i="15"/>
  <c r="G53" i="15"/>
  <c r="S53" i="15"/>
  <c r="AC53" i="15"/>
  <c r="R53" i="15"/>
  <c r="AF53" i="15"/>
  <c r="W53" i="15"/>
  <c r="AH53" i="15"/>
  <c r="C53" i="15"/>
  <c r="D53" i="15"/>
  <c r="X53" i="15"/>
  <c r="L53" i="15"/>
  <c r="H42" i="20"/>
  <c r="Y53" i="15"/>
  <c r="H53" i="15"/>
  <c r="V53" i="15"/>
  <c r="F53" i="15"/>
  <c r="T53" i="15"/>
  <c r="N53" i="15"/>
  <c r="P53" i="15"/>
  <c r="J53" i="15"/>
  <c r="AE53" i="15"/>
  <c r="I53" i="15"/>
  <c r="M53" i="15"/>
  <c r="J85" i="20"/>
  <c r="R3042" i="19"/>
  <c r="J190" i="20"/>
  <c r="I190" i="20"/>
  <c r="K190" i="20"/>
  <c r="C327" i="15"/>
  <c r="AC327" i="15"/>
  <c r="G327" i="15"/>
  <c r="H316" i="20"/>
  <c r="D327" i="15"/>
  <c r="Q327" i="15"/>
  <c r="J327" i="15"/>
  <c r="AB327" i="15"/>
  <c r="AD327" i="15"/>
  <c r="I327" i="15"/>
  <c r="K327" i="15"/>
  <c r="H327" i="15"/>
  <c r="N327" i="15"/>
  <c r="L327" i="15"/>
  <c r="AI327" i="15"/>
  <c r="O327" i="15"/>
  <c r="P327" i="15"/>
  <c r="Y327" i="15"/>
  <c r="Z327" i="15"/>
  <c r="S327" i="15"/>
  <c r="T327" i="15"/>
  <c r="R327" i="15"/>
  <c r="W327" i="15"/>
  <c r="AE327" i="15"/>
  <c r="AG327" i="15"/>
  <c r="U327" i="15"/>
  <c r="AF327" i="15"/>
  <c r="F327" i="15"/>
  <c r="V108" i="15"/>
  <c r="AC108" i="15"/>
  <c r="W108" i="15"/>
  <c r="N108" i="15"/>
  <c r="Y108" i="15"/>
  <c r="T108" i="15"/>
  <c r="J108" i="15"/>
  <c r="X108" i="15"/>
  <c r="AG108" i="15"/>
  <c r="I252" i="20"/>
  <c r="K252" i="20"/>
  <c r="K175" i="20"/>
  <c r="J175" i="20"/>
  <c r="H290" i="15"/>
  <c r="P290" i="15"/>
  <c r="V290" i="15"/>
  <c r="S290" i="15"/>
  <c r="AA290" i="15"/>
  <c r="Q290" i="15"/>
  <c r="AB290" i="15"/>
  <c r="H279" i="20"/>
  <c r="D290" i="15"/>
  <c r="T290" i="15"/>
  <c r="M290" i="15"/>
  <c r="Y290" i="15"/>
  <c r="W290" i="15"/>
  <c r="AI290" i="15"/>
  <c r="AH290" i="15"/>
  <c r="U290" i="15"/>
  <c r="J290" i="15"/>
  <c r="G290" i="15"/>
  <c r="R290" i="15"/>
  <c r="AF290" i="15"/>
  <c r="K290" i="15"/>
  <c r="C290" i="15"/>
  <c r="Z290" i="15"/>
  <c r="I290" i="15"/>
  <c r="E290" i="15"/>
  <c r="AC290" i="15"/>
  <c r="AD290" i="15"/>
  <c r="N290" i="15"/>
  <c r="I292" i="20"/>
  <c r="K104" i="15"/>
  <c r="H104" i="15"/>
  <c r="AA104" i="15"/>
  <c r="D104" i="15"/>
  <c r="AC104" i="15"/>
  <c r="S104" i="15"/>
  <c r="J104" i="15"/>
  <c r="L104" i="15"/>
  <c r="C104" i="15"/>
  <c r="I104" i="15"/>
  <c r="O104" i="15"/>
  <c r="F104" i="15"/>
  <c r="G104" i="15"/>
  <c r="H93" i="20"/>
  <c r="V104" i="15"/>
  <c r="P104" i="15"/>
  <c r="AF104" i="15"/>
  <c r="W104" i="15"/>
  <c r="M104" i="15"/>
  <c r="U104" i="15"/>
  <c r="AG104" i="15"/>
  <c r="AD104" i="15"/>
  <c r="AI104" i="15"/>
  <c r="Y104" i="15"/>
  <c r="E104" i="15"/>
  <c r="R104" i="15"/>
  <c r="AE104" i="15"/>
  <c r="AH104" i="15"/>
  <c r="D259" i="15"/>
  <c r="AG259" i="15"/>
  <c r="AE259" i="15"/>
  <c r="AI259" i="15"/>
  <c r="G259" i="15"/>
  <c r="H248" i="20"/>
  <c r="K248" i="20" s="1"/>
  <c r="I259" i="15"/>
  <c r="F261" i="15"/>
  <c r="C261" i="15"/>
  <c r="G261" i="15"/>
  <c r="R261" i="15"/>
  <c r="Y261" i="15"/>
  <c r="X261" i="15"/>
  <c r="AG261" i="15"/>
  <c r="AE261" i="15"/>
  <c r="W261" i="15"/>
  <c r="AF261" i="15"/>
  <c r="AH261" i="15"/>
  <c r="AI261" i="15"/>
  <c r="Q261" i="15"/>
  <c r="P261" i="15"/>
  <c r="S261" i="15"/>
  <c r="H250" i="20"/>
  <c r="J250" i="20" s="1"/>
  <c r="L261" i="15"/>
  <c r="V261" i="15"/>
  <c r="H261" i="15"/>
  <c r="J261" i="15"/>
  <c r="D261" i="15"/>
  <c r="AA261" i="15"/>
  <c r="AC261" i="15"/>
  <c r="I261" i="15"/>
  <c r="E261" i="15"/>
  <c r="T261" i="15"/>
  <c r="N261" i="15"/>
  <c r="AD261" i="15"/>
  <c r="K261" i="15"/>
  <c r="Z261" i="15"/>
  <c r="M261" i="15"/>
  <c r="O261" i="15"/>
  <c r="AB261" i="15"/>
  <c r="U261" i="15"/>
  <c r="I342" i="20"/>
  <c r="K342" i="20"/>
  <c r="J342" i="20"/>
  <c r="V111" i="15"/>
  <c r="G111" i="15"/>
  <c r="P111" i="15"/>
  <c r="AD111" i="15"/>
  <c r="M111" i="15"/>
  <c r="AE111" i="15"/>
  <c r="AI111" i="15"/>
  <c r="J111" i="15"/>
  <c r="O111" i="15"/>
  <c r="R111" i="15"/>
  <c r="D111" i="15"/>
  <c r="AH111" i="15"/>
  <c r="W111" i="15"/>
  <c r="I111" i="15"/>
  <c r="Y111" i="15"/>
  <c r="K111" i="15"/>
  <c r="T111" i="15"/>
  <c r="H111" i="15"/>
  <c r="E145" i="15"/>
  <c r="AA145" i="15"/>
  <c r="M145" i="15"/>
  <c r="S145" i="15"/>
  <c r="AC145" i="15"/>
  <c r="T145" i="15"/>
  <c r="F145" i="15"/>
  <c r="C145" i="15"/>
  <c r="AB145" i="15"/>
  <c r="I145" i="15"/>
  <c r="AD145" i="15"/>
  <c r="H134" i="20"/>
  <c r="J134" i="20" s="1"/>
  <c r="P145" i="15"/>
  <c r="U145" i="15"/>
  <c r="Y145" i="15"/>
  <c r="K145" i="15"/>
  <c r="AI145" i="15"/>
  <c r="R145" i="15"/>
  <c r="AH145" i="15"/>
  <c r="D145" i="15"/>
  <c r="M328" i="15"/>
  <c r="Y328" i="15"/>
  <c r="Z328" i="15"/>
  <c r="K328" i="15"/>
  <c r="V328" i="15"/>
  <c r="I34" i="20"/>
  <c r="J34" i="20"/>
  <c r="K34" i="20"/>
  <c r="F151" i="15"/>
  <c r="M151" i="15"/>
  <c r="U151" i="15"/>
  <c r="Q151" i="15"/>
  <c r="H140" i="20"/>
  <c r="H151" i="15"/>
  <c r="N151" i="15"/>
  <c r="C151" i="15"/>
  <c r="Z151" i="15"/>
  <c r="E151" i="15"/>
  <c r="AD151" i="15"/>
  <c r="V151" i="15"/>
  <c r="J151" i="15"/>
  <c r="P151" i="15"/>
  <c r="AG151" i="15"/>
  <c r="T151" i="15"/>
  <c r="AC151" i="15"/>
  <c r="AA151" i="15"/>
  <c r="AB151" i="15"/>
  <c r="I151" i="15"/>
  <c r="X151" i="15"/>
  <c r="D151" i="15"/>
  <c r="S151" i="15"/>
  <c r="R151" i="15"/>
  <c r="Y151" i="15"/>
  <c r="AE151" i="15"/>
  <c r="AF151" i="15"/>
  <c r="W151" i="15"/>
  <c r="P85" i="15"/>
  <c r="Q85" i="15"/>
  <c r="G85" i="15"/>
  <c r="AA85" i="15"/>
  <c r="F85" i="15"/>
  <c r="Z85" i="15"/>
  <c r="AB85" i="15"/>
  <c r="E85" i="15"/>
  <c r="V85" i="15"/>
  <c r="C85" i="15"/>
  <c r="I85" i="15"/>
  <c r="R85" i="15"/>
  <c r="M85" i="15"/>
  <c r="AH85" i="15"/>
  <c r="J85" i="15"/>
  <c r="D85" i="15"/>
  <c r="Y85" i="15"/>
  <c r="AG85" i="15"/>
  <c r="H85" i="15"/>
  <c r="T85" i="15"/>
  <c r="K85" i="15"/>
  <c r="X85" i="15"/>
  <c r="AC85" i="15"/>
  <c r="H74" i="20"/>
  <c r="J74" i="20" s="1"/>
  <c r="AI85" i="15"/>
  <c r="U85" i="15"/>
  <c r="S85" i="15"/>
  <c r="AE85" i="15"/>
  <c r="AD85" i="15"/>
  <c r="N85" i="15"/>
  <c r="L85" i="15"/>
  <c r="O85" i="15"/>
  <c r="W85" i="15"/>
  <c r="AF85" i="15"/>
  <c r="T358" i="15"/>
  <c r="C358" i="15"/>
  <c r="H347" i="20"/>
  <c r="Q358" i="15"/>
  <c r="F358" i="15"/>
  <c r="M358" i="15"/>
  <c r="V358" i="15"/>
  <c r="E358" i="15"/>
  <c r="Z358" i="15"/>
  <c r="P358" i="15"/>
  <c r="I358" i="15"/>
  <c r="K358" i="15"/>
  <c r="AG358" i="15"/>
  <c r="AH358" i="15"/>
  <c r="AA358" i="15"/>
  <c r="AC358" i="15"/>
  <c r="L358" i="15"/>
  <c r="AF358" i="15"/>
  <c r="G358" i="15"/>
  <c r="AI358" i="15"/>
  <c r="R358" i="15"/>
  <c r="X358" i="15"/>
  <c r="Y358" i="15"/>
  <c r="AE358" i="15"/>
  <c r="W358" i="15"/>
  <c r="H358" i="15"/>
  <c r="AD358" i="15"/>
  <c r="J358" i="15"/>
  <c r="S358" i="15"/>
  <c r="D358" i="15"/>
  <c r="U358" i="15"/>
  <c r="O358" i="15"/>
  <c r="N358" i="15"/>
  <c r="AB358" i="15"/>
  <c r="R5214" i="19"/>
  <c r="T359" i="15"/>
  <c r="AC359" i="15"/>
  <c r="G359" i="15"/>
  <c r="N359" i="15"/>
  <c r="C271" i="15"/>
  <c r="AA271" i="15"/>
  <c r="F271" i="15"/>
  <c r="U271" i="15"/>
  <c r="J271" i="15"/>
  <c r="D271" i="15"/>
  <c r="K271" i="15"/>
  <c r="G271" i="15"/>
  <c r="AC271" i="15"/>
  <c r="S271" i="15"/>
  <c r="E271" i="15"/>
  <c r="I271" i="15"/>
  <c r="H260" i="20"/>
  <c r="K260" i="20" s="1"/>
  <c r="T271" i="15"/>
  <c r="V271" i="15"/>
  <c r="H271" i="15"/>
  <c r="L271" i="15"/>
  <c r="X271" i="15"/>
  <c r="AH271" i="15"/>
  <c r="M271" i="15"/>
  <c r="Q271" i="15"/>
  <c r="AB271" i="15"/>
  <c r="O271" i="15"/>
  <c r="AE271" i="15"/>
  <c r="AD271" i="15"/>
  <c r="Z271" i="15"/>
  <c r="AF271" i="15"/>
  <c r="P271" i="15"/>
  <c r="N271" i="15"/>
  <c r="AI271" i="15"/>
  <c r="AG271" i="15"/>
  <c r="Y271" i="15"/>
  <c r="W271" i="15"/>
  <c r="R271" i="15"/>
  <c r="F338" i="15"/>
  <c r="H338" i="15"/>
  <c r="P338" i="15"/>
  <c r="D338" i="15"/>
  <c r="J338" i="15"/>
  <c r="M338" i="15"/>
  <c r="L338" i="15"/>
  <c r="AD338" i="15"/>
  <c r="O338" i="15"/>
  <c r="AA338" i="15"/>
  <c r="I338" i="15"/>
  <c r="U338" i="15"/>
  <c r="S338" i="15"/>
  <c r="AF338" i="15"/>
  <c r="AE338" i="15"/>
  <c r="T338" i="15"/>
  <c r="Y338" i="15"/>
  <c r="G338" i="15"/>
  <c r="Z338" i="15"/>
  <c r="X338" i="15"/>
  <c r="W338" i="15"/>
  <c r="AI338" i="15"/>
  <c r="N338" i="15"/>
  <c r="AH338" i="15"/>
  <c r="V338" i="15"/>
  <c r="R338" i="15"/>
  <c r="AC338" i="15"/>
  <c r="C338" i="15"/>
  <c r="J181" i="20"/>
  <c r="K181" i="20"/>
  <c r="I181" i="20"/>
  <c r="C206" i="15"/>
  <c r="F206" i="15"/>
  <c r="T206" i="15"/>
  <c r="J206" i="15"/>
  <c r="K206" i="15"/>
  <c r="E206" i="15"/>
  <c r="D206" i="15"/>
  <c r="Z206" i="15"/>
  <c r="H195" i="20"/>
  <c r="J195" i="20" s="1"/>
  <c r="AB206" i="15"/>
  <c r="AC206" i="15"/>
  <c r="N206" i="15"/>
  <c r="U206" i="15"/>
  <c r="Q206" i="15"/>
  <c r="L206" i="15"/>
  <c r="AI206" i="15"/>
  <c r="S206" i="15"/>
  <c r="O206" i="15"/>
  <c r="V206" i="15"/>
  <c r="P206" i="15"/>
  <c r="G206" i="15"/>
  <c r="H206" i="15"/>
  <c r="AH206" i="15"/>
  <c r="R206" i="15"/>
  <c r="AG206" i="15"/>
  <c r="Y206" i="15"/>
  <c r="AE206" i="15"/>
  <c r="AD206" i="15"/>
  <c r="M206" i="15"/>
  <c r="AA206" i="15"/>
  <c r="I206" i="15"/>
  <c r="W206" i="15"/>
  <c r="AF206" i="15"/>
  <c r="X206" i="15"/>
  <c r="F162" i="15"/>
  <c r="C162" i="15"/>
  <c r="G162" i="15"/>
  <c r="U162" i="15"/>
  <c r="H162" i="15"/>
  <c r="S162" i="15"/>
  <c r="AD162" i="15"/>
  <c r="D162" i="15"/>
  <c r="I162" i="15"/>
  <c r="N162" i="15"/>
  <c r="O162" i="15"/>
  <c r="Z162" i="15"/>
  <c r="E162" i="15"/>
  <c r="H151" i="20"/>
  <c r="AB162" i="15"/>
  <c r="AC162" i="15"/>
  <c r="L162" i="15"/>
  <c r="Q162" i="15"/>
  <c r="P162" i="15"/>
  <c r="AI162" i="15"/>
  <c r="R162" i="15"/>
  <c r="AE162" i="15"/>
  <c r="AH162" i="15"/>
  <c r="AF162" i="15"/>
  <c r="X162" i="15"/>
  <c r="AG162" i="15"/>
  <c r="Y162" i="15"/>
  <c r="W162" i="15"/>
  <c r="K139" i="20"/>
  <c r="AD181" i="15"/>
  <c r="U181" i="15"/>
  <c r="P181" i="15"/>
  <c r="AA181" i="15"/>
  <c r="H170" i="20"/>
  <c r="M181" i="15"/>
  <c r="Z181" i="15"/>
  <c r="N181" i="15"/>
  <c r="K181" i="15"/>
  <c r="G181" i="15"/>
  <c r="C181" i="15"/>
  <c r="I181" i="15"/>
  <c r="D181" i="15"/>
  <c r="AB181" i="15"/>
  <c r="X181" i="15"/>
  <c r="AE181" i="15"/>
  <c r="F181" i="15"/>
  <c r="Y181" i="15"/>
  <c r="AG181" i="15"/>
  <c r="W181" i="15"/>
  <c r="C101" i="15"/>
  <c r="V101" i="15"/>
  <c r="U101" i="15"/>
  <c r="M101" i="15"/>
  <c r="AA101" i="15"/>
  <c r="L101" i="15"/>
  <c r="N101" i="15"/>
  <c r="J101" i="15"/>
  <c r="G101" i="15"/>
  <c r="H101" i="15"/>
  <c r="S101" i="15"/>
  <c r="AD101" i="15"/>
  <c r="E101" i="15"/>
  <c r="AB101" i="15"/>
  <c r="Z101" i="15"/>
  <c r="T101" i="15"/>
  <c r="F101" i="15"/>
  <c r="P101" i="15"/>
  <c r="AF101" i="15"/>
  <c r="K101" i="15"/>
  <c r="AG101" i="15"/>
  <c r="H90" i="20"/>
  <c r="AC101" i="15"/>
  <c r="I101" i="15"/>
  <c r="AI101" i="15"/>
  <c r="X101" i="15"/>
  <c r="W101" i="15"/>
  <c r="AE101" i="15"/>
  <c r="Y101" i="15"/>
  <c r="AH101" i="15"/>
  <c r="D101" i="15"/>
  <c r="R101" i="15"/>
  <c r="O101" i="15"/>
  <c r="Q101" i="15"/>
  <c r="Q5069" i="19"/>
  <c r="Q5070" i="19"/>
  <c r="Q5071" i="19"/>
  <c r="Q5072" i="19"/>
  <c r="Q5073" i="19"/>
  <c r="Q5075" i="19"/>
  <c r="Q5077" i="19"/>
  <c r="Q5078" i="19"/>
  <c r="Q5081" i="19"/>
  <c r="Q5083" i="19"/>
  <c r="Q5085" i="19"/>
  <c r="Q5087" i="19"/>
  <c r="Q5088" i="19"/>
  <c r="Q5089" i="19"/>
  <c r="Q5091" i="19"/>
  <c r="Q5093" i="19"/>
  <c r="Q5095" i="19"/>
  <c r="Q5097" i="19"/>
  <c r="Q5098" i="19"/>
  <c r="Q5099" i="19"/>
  <c r="Q5100" i="19"/>
  <c r="Q5102" i="19"/>
  <c r="Q5103" i="19"/>
  <c r="Q5104" i="19"/>
  <c r="Q5105" i="19"/>
  <c r="Q5107" i="19"/>
  <c r="Q5109" i="19"/>
  <c r="Q5111" i="19"/>
  <c r="Q5113" i="19"/>
  <c r="Q5115" i="19"/>
  <c r="Q5117" i="19"/>
  <c r="Q5120" i="19"/>
  <c r="Q5121" i="19"/>
  <c r="Q5122" i="19"/>
  <c r="Q5123" i="19"/>
  <c r="Q5126" i="19"/>
  <c r="Q5127" i="19"/>
  <c r="Q5128" i="19"/>
  <c r="Q5129" i="19"/>
  <c r="Q5132" i="19"/>
  <c r="Q5134" i="19"/>
  <c r="Q5135" i="19"/>
  <c r="Q5138" i="19"/>
  <c r="Q5145" i="19"/>
  <c r="Q5150" i="19"/>
  <c r="Q5152" i="19"/>
  <c r="Q5154" i="19"/>
  <c r="Q5157" i="19"/>
  <c r="Q5158" i="19"/>
  <c r="Q5159" i="19"/>
  <c r="Q5160" i="19"/>
  <c r="Q5161" i="19"/>
  <c r="Q5166" i="19"/>
  <c r="Q5167" i="19"/>
  <c r="Q5170" i="19"/>
  <c r="Q5172" i="19"/>
  <c r="Q5174" i="19"/>
  <c r="Q5175" i="19"/>
  <c r="Q5176" i="19"/>
  <c r="Q5177" i="19"/>
  <c r="Q5179" i="19"/>
  <c r="Q5180" i="19"/>
  <c r="Q5183" i="19"/>
  <c r="Q5184" i="19"/>
  <c r="Q5185" i="19"/>
  <c r="Q5186" i="19"/>
  <c r="Q5187" i="19"/>
  <c r="Q5189" i="19"/>
  <c r="Q5191" i="19"/>
  <c r="Q5193" i="19"/>
  <c r="Q5194" i="19"/>
  <c r="Q5197" i="19"/>
  <c r="Q5198" i="19"/>
  <c r="Q5199" i="19"/>
  <c r="Q5200" i="19"/>
  <c r="Q5203" i="19"/>
  <c r="Q5204" i="19"/>
  <c r="Q5205" i="19"/>
  <c r="Q5206" i="19"/>
  <c r="Q5207" i="19"/>
  <c r="Q5208" i="19"/>
  <c r="Q5211" i="19"/>
  <c r="Q5212" i="19"/>
  <c r="Q5213" i="19"/>
  <c r="Q5215" i="19"/>
  <c r="Q5216" i="19"/>
  <c r="Q5217" i="19"/>
  <c r="Q5219" i="19"/>
  <c r="Q5223" i="19"/>
  <c r="Q5224" i="19"/>
  <c r="Q5225" i="19"/>
  <c r="Q5227" i="19"/>
  <c r="Q5228" i="19"/>
  <c r="Q5230" i="19"/>
  <c r="Q5231" i="19"/>
  <c r="Q5233" i="19"/>
  <c r="Q5236" i="19"/>
  <c r="Q5237" i="19"/>
  <c r="Q5239" i="19"/>
  <c r="Q5240" i="19"/>
  <c r="Q5242" i="19"/>
  <c r="Q5243" i="19"/>
  <c r="Q5245" i="19"/>
  <c r="Q5248" i="19"/>
  <c r="Q5251" i="19"/>
  <c r="Q5252" i="19"/>
  <c r="Q5253" i="19"/>
  <c r="Q5258" i="19"/>
  <c r="Q5259" i="19"/>
  <c r="Q5263" i="19"/>
  <c r="Q5264" i="19"/>
  <c r="Q5265" i="19"/>
  <c r="Q5266" i="19"/>
  <c r="Q5267" i="19"/>
  <c r="Q5271" i="19"/>
  <c r="Q5274" i="19"/>
  <c r="Q5280" i="19"/>
  <c r="Q5281" i="19"/>
  <c r="Q5283" i="19"/>
  <c r="Q5285" i="19"/>
  <c r="Q5289" i="19"/>
  <c r="Q5292" i="19"/>
  <c r="Q5293" i="19"/>
  <c r="Q5295" i="19"/>
  <c r="Q5297" i="19"/>
  <c r="Q5298" i="19"/>
  <c r="Q5299" i="19"/>
  <c r="Q5300" i="19"/>
  <c r="Q5304" i="19"/>
  <c r="Q5305" i="19"/>
  <c r="Q5306" i="19"/>
  <c r="Q5307" i="19"/>
  <c r="Q5310" i="19"/>
  <c r="Q5312" i="19"/>
  <c r="Q5313" i="19"/>
  <c r="Q5314" i="19"/>
  <c r="Q5315" i="19"/>
  <c r="Q5316" i="19"/>
  <c r="Q5318" i="19"/>
  <c r="Q5319" i="19"/>
  <c r="Q5320" i="19"/>
  <c r="Q5321" i="19"/>
  <c r="Q5323" i="19"/>
  <c r="Q5326" i="19"/>
  <c r="Q5327" i="19"/>
  <c r="Q5328" i="19"/>
  <c r="Q5333" i="19"/>
  <c r="Q5336" i="19"/>
  <c r="Q5337" i="19"/>
  <c r="Q5339" i="19"/>
  <c r="Q5340" i="19"/>
  <c r="Q5341" i="19"/>
  <c r="Q5342" i="19"/>
  <c r="Q5343" i="19"/>
  <c r="Q5344" i="19"/>
  <c r="Q5345" i="19"/>
  <c r="Q5347" i="19"/>
  <c r="Q5349" i="19"/>
  <c r="T37" i="19"/>
  <c r="X37" i="19"/>
  <c r="U37" i="19"/>
  <c r="R5209" i="19"/>
  <c r="AB217" i="15"/>
  <c r="K217" i="15"/>
  <c r="X217" i="15"/>
  <c r="AG217" i="15"/>
  <c r="AF217" i="15"/>
  <c r="W217" i="15"/>
  <c r="AE217" i="15"/>
  <c r="R217" i="15"/>
  <c r="Y217" i="15"/>
  <c r="AH217" i="15"/>
  <c r="F217" i="15"/>
  <c r="S217" i="15"/>
  <c r="AI217" i="15"/>
  <c r="AA217" i="15"/>
  <c r="D217" i="15"/>
  <c r="H206" i="20"/>
  <c r="I206" i="20" s="1"/>
  <c r="H217" i="15"/>
  <c r="AD217" i="15"/>
  <c r="T217" i="15"/>
  <c r="O217" i="15"/>
  <c r="I217" i="15"/>
  <c r="G217" i="15"/>
  <c r="U217" i="15"/>
  <c r="J217" i="15"/>
  <c r="N217" i="15"/>
  <c r="M217" i="15"/>
  <c r="C217" i="15"/>
  <c r="E217" i="15"/>
  <c r="L217" i="15"/>
  <c r="Z217" i="15"/>
  <c r="V217" i="15"/>
  <c r="Q217" i="15"/>
  <c r="AC217" i="15"/>
  <c r="P217" i="15"/>
  <c r="IY24" i="10"/>
  <c r="BN24" i="10"/>
  <c r="IM24" i="10"/>
  <c r="II24" i="10"/>
  <c r="JN24" i="10"/>
  <c r="DZ23" i="10"/>
  <c r="BS23" i="10"/>
  <c r="EE23" i="10"/>
  <c r="HX23" i="10"/>
  <c r="JO23" i="10"/>
  <c r="J145" i="20"/>
  <c r="I145" i="20"/>
  <c r="P270" i="15"/>
  <c r="H259" i="20"/>
  <c r="K259" i="20" s="1"/>
  <c r="AB270" i="15"/>
  <c r="AC270" i="15"/>
  <c r="Q270" i="15"/>
  <c r="R270" i="15"/>
  <c r="S270" i="15"/>
  <c r="M270" i="15"/>
  <c r="Q194" i="15"/>
  <c r="V194" i="15"/>
  <c r="AD194" i="15"/>
  <c r="N194" i="15"/>
  <c r="U194" i="15"/>
  <c r="Z194" i="15"/>
  <c r="E194" i="15"/>
  <c r="AB194" i="15"/>
  <c r="G194" i="15"/>
  <c r="P194" i="15"/>
  <c r="AC194" i="15"/>
  <c r="C194" i="15"/>
  <c r="AA194" i="15"/>
  <c r="I194" i="15"/>
  <c r="R194" i="15"/>
  <c r="K194" i="15"/>
  <c r="AE194" i="15"/>
  <c r="M194" i="15"/>
  <c r="AH194" i="15"/>
  <c r="X194" i="15"/>
  <c r="I323" i="20"/>
  <c r="I149" i="15"/>
  <c r="G149" i="15"/>
  <c r="AI149" i="15"/>
  <c r="Q149" i="15"/>
  <c r="W149" i="15"/>
  <c r="K21" i="20"/>
  <c r="I21" i="20"/>
  <c r="J21" i="20"/>
  <c r="E144" i="15"/>
  <c r="H133" i="20"/>
  <c r="J133" i="20" s="1"/>
  <c r="O144" i="15"/>
  <c r="C144" i="15"/>
  <c r="T144" i="15"/>
  <c r="Q144" i="15"/>
  <c r="N144" i="15"/>
  <c r="V144" i="15"/>
  <c r="AD144" i="15"/>
  <c r="G144" i="15"/>
  <c r="AC144" i="15"/>
  <c r="H144" i="15"/>
  <c r="X144" i="15"/>
  <c r="L144" i="15"/>
  <c r="AA144" i="15"/>
  <c r="K144" i="15"/>
  <c r="AG144" i="15"/>
  <c r="AB144" i="15"/>
  <c r="J144" i="15"/>
  <c r="S144" i="15"/>
  <c r="F144" i="15"/>
  <c r="AH144" i="15"/>
  <c r="D144" i="15"/>
  <c r="Z144" i="15"/>
  <c r="Y144" i="15"/>
  <c r="AE144" i="15"/>
  <c r="R144" i="15"/>
  <c r="W144" i="15"/>
  <c r="J256" i="20"/>
  <c r="K256" i="20"/>
  <c r="I256" i="20"/>
  <c r="Z369" i="15"/>
  <c r="E369" i="15"/>
  <c r="AA369" i="15"/>
  <c r="V369" i="15"/>
  <c r="J369" i="15"/>
  <c r="T369" i="15"/>
  <c r="AC369" i="15"/>
  <c r="AB369" i="15"/>
  <c r="F369" i="15"/>
  <c r="N369" i="15"/>
  <c r="C369" i="15"/>
  <c r="H369" i="15"/>
  <c r="X369" i="15"/>
  <c r="D369" i="15"/>
  <c r="P369" i="15"/>
  <c r="AG369" i="15"/>
  <c r="I369" i="15"/>
  <c r="G369" i="15"/>
  <c r="AI369" i="15"/>
  <c r="K369" i="15"/>
  <c r="Q369" i="15"/>
  <c r="Y369" i="15"/>
  <c r="U369" i="15"/>
  <c r="S369" i="15"/>
  <c r="R369" i="15"/>
  <c r="W369" i="15"/>
  <c r="AE369" i="15"/>
  <c r="AF369" i="15"/>
  <c r="K280" i="20"/>
  <c r="I280" i="20"/>
  <c r="J280" i="20"/>
  <c r="L249" i="15"/>
  <c r="AI249" i="15"/>
  <c r="P249" i="15"/>
  <c r="Y249" i="15"/>
  <c r="I125" i="20"/>
  <c r="K125" i="20"/>
  <c r="J125" i="20"/>
  <c r="Q142" i="15"/>
  <c r="K142" i="15"/>
  <c r="H142" i="15"/>
  <c r="F142" i="15"/>
  <c r="S142" i="15"/>
  <c r="C142" i="15"/>
  <c r="O142" i="15"/>
  <c r="J142" i="15"/>
  <c r="I142" i="15"/>
  <c r="AI142" i="15"/>
  <c r="G142" i="15"/>
  <c r="U142" i="15"/>
  <c r="AA142" i="15"/>
  <c r="AC142" i="15"/>
  <c r="X142" i="15"/>
  <c r="T142" i="15"/>
  <c r="AF142" i="15"/>
  <c r="R142" i="15"/>
  <c r="W142" i="15"/>
  <c r="AH142" i="15"/>
  <c r="AE142" i="15"/>
  <c r="Z142" i="15"/>
  <c r="AD142" i="15"/>
  <c r="H131" i="20"/>
  <c r="Y142" i="15"/>
  <c r="M142" i="15"/>
  <c r="D142" i="15"/>
  <c r="E142" i="15"/>
  <c r="I144" i="20"/>
  <c r="K144" i="20"/>
  <c r="V215" i="15"/>
  <c r="N215" i="15"/>
  <c r="P215" i="15"/>
  <c r="K215" i="15"/>
  <c r="AA215" i="15"/>
  <c r="O215" i="15"/>
  <c r="H215" i="15"/>
  <c r="L215" i="15"/>
  <c r="Q215" i="15"/>
  <c r="E215" i="15"/>
  <c r="U215" i="15"/>
  <c r="Z215" i="15"/>
  <c r="M215" i="15"/>
  <c r="AI215" i="15"/>
  <c r="G215" i="15"/>
  <c r="I215" i="15"/>
  <c r="AB215" i="15"/>
  <c r="D215" i="15"/>
  <c r="T215" i="15"/>
  <c r="AE215" i="15"/>
  <c r="AC215" i="15"/>
  <c r="S215" i="15"/>
  <c r="C215" i="15"/>
  <c r="Y215" i="15"/>
  <c r="W215" i="15"/>
  <c r="AG215" i="15"/>
  <c r="AF215" i="15"/>
  <c r="X215" i="15"/>
  <c r="AH215" i="15"/>
  <c r="R215" i="15"/>
  <c r="J19" i="20"/>
  <c r="J290" i="20"/>
  <c r="I290" i="20"/>
  <c r="K290" i="20"/>
  <c r="D178" i="15"/>
  <c r="H167" i="20"/>
  <c r="P178" i="15"/>
  <c r="M178" i="15"/>
  <c r="E178" i="15"/>
  <c r="AA178" i="15"/>
  <c r="G178" i="15"/>
  <c r="AG178" i="15"/>
  <c r="T178" i="15"/>
  <c r="Q178" i="15"/>
  <c r="V178" i="15"/>
  <c r="U178" i="15"/>
  <c r="S178" i="15"/>
  <c r="H178" i="15"/>
  <c r="AF178" i="15"/>
  <c r="AB178" i="15"/>
  <c r="L178" i="15"/>
  <c r="R178" i="15"/>
  <c r="AE178" i="15"/>
  <c r="Y178" i="15"/>
  <c r="C207" i="15"/>
  <c r="F207" i="15"/>
  <c r="N207" i="15"/>
  <c r="O207" i="15"/>
  <c r="K207" i="15"/>
  <c r="U207" i="15"/>
  <c r="V207" i="15"/>
  <c r="Q207" i="15"/>
  <c r="AC207" i="15"/>
  <c r="L207" i="15"/>
  <c r="H196" i="20"/>
  <c r="P207" i="15"/>
  <c r="J207" i="15"/>
  <c r="G207" i="15"/>
  <c r="M207" i="15"/>
  <c r="I207" i="15"/>
  <c r="X207" i="15"/>
  <c r="D207" i="15"/>
  <c r="T207" i="15"/>
  <c r="E207" i="15"/>
  <c r="Z207" i="15"/>
  <c r="H207" i="15"/>
  <c r="S207" i="15"/>
  <c r="AD207" i="15"/>
  <c r="AB207" i="15"/>
  <c r="AA207" i="15"/>
  <c r="AF207" i="15"/>
  <c r="AH207" i="15"/>
  <c r="AG207" i="15"/>
  <c r="R207" i="15"/>
  <c r="W207" i="15"/>
  <c r="AE207" i="15"/>
  <c r="AI207" i="15"/>
  <c r="Y207" i="15"/>
  <c r="H275" i="15"/>
  <c r="C275" i="15"/>
  <c r="I275" i="15"/>
  <c r="AG275" i="15"/>
  <c r="F275" i="15"/>
  <c r="G275" i="15"/>
  <c r="E275" i="15"/>
  <c r="T275" i="15"/>
  <c r="AD275" i="15"/>
  <c r="J275" i="15"/>
  <c r="AA275" i="15"/>
  <c r="S275" i="15"/>
  <c r="O275" i="15"/>
  <c r="AB275" i="15"/>
  <c r="K275" i="15"/>
  <c r="H264" i="20"/>
  <c r="K264" i="20" s="1"/>
  <c r="AH275" i="15"/>
  <c r="W275" i="15"/>
  <c r="U275" i="15"/>
  <c r="L275" i="15"/>
  <c r="AF275" i="15"/>
  <c r="Z275" i="15"/>
  <c r="AI275" i="15"/>
  <c r="Q275" i="15"/>
  <c r="X275" i="15"/>
  <c r="R275" i="15"/>
  <c r="V275" i="15"/>
  <c r="M275" i="15"/>
  <c r="AE275" i="15"/>
  <c r="AD283" i="15"/>
  <c r="E283" i="15"/>
  <c r="J283" i="15"/>
  <c r="D283" i="15"/>
  <c r="F140" i="15"/>
  <c r="Q140" i="15"/>
  <c r="C140" i="15"/>
  <c r="S140" i="15"/>
  <c r="M140" i="15"/>
  <c r="T140" i="15"/>
  <c r="I140" i="15"/>
  <c r="D140" i="15"/>
  <c r="G140" i="15"/>
  <c r="AA140" i="15"/>
  <c r="U140" i="15"/>
  <c r="P140" i="15"/>
  <c r="E140" i="15"/>
  <c r="L140" i="15"/>
  <c r="AD140" i="15"/>
  <c r="V140" i="15"/>
  <c r="AB140" i="15"/>
  <c r="AC140" i="15"/>
  <c r="AI140" i="15"/>
  <c r="X140" i="15"/>
  <c r="N140" i="15"/>
  <c r="AG140" i="15"/>
  <c r="H140" i="15"/>
  <c r="K140" i="15"/>
  <c r="W140" i="15"/>
  <c r="AF140" i="15"/>
  <c r="Z140" i="15"/>
  <c r="AH140" i="15"/>
  <c r="O140" i="15"/>
  <c r="J140" i="15"/>
  <c r="H129" i="20"/>
  <c r="R140" i="15"/>
  <c r="Y140" i="15"/>
  <c r="AE140" i="15"/>
  <c r="F284" i="15"/>
  <c r="AA284" i="15"/>
  <c r="M284" i="15"/>
  <c r="I284" i="15"/>
  <c r="AC284" i="15"/>
  <c r="L284" i="15"/>
  <c r="S284" i="15"/>
  <c r="N284" i="15"/>
  <c r="H273" i="20"/>
  <c r="I273" i="20" s="1"/>
  <c r="AD284" i="15"/>
  <c r="U284" i="15"/>
  <c r="J284" i="15"/>
  <c r="V284" i="15"/>
  <c r="G284" i="15"/>
  <c r="H284" i="15"/>
  <c r="E284" i="15"/>
  <c r="D284" i="15"/>
  <c r="X284" i="15"/>
  <c r="K284" i="15"/>
  <c r="AB284" i="15"/>
  <c r="AG284" i="15"/>
  <c r="R284" i="15"/>
  <c r="O284" i="15"/>
  <c r="P284" i="15"/>
  <c r="AI284" i="15"/>
  <c r="AH284" i="15"/>
  <c r="C284" i="15"/>
  <c r="AF284" i="15"/>
  <c r="W284" i="15"/>
  <c r="J291" i="20"/>
  <c r="K291" i="20"/>
  <c r="I291" i="20"/>
  <c r="F130" i="15"/>
  <c r="D130" i="15"/>
  <c r="L130" i="15"/>
  <c r="C130" i="15"/>
  <c r="AA130" i="15"/>
  <c r="M130" i="15"/>
  <c r="O130" i="15"/>
  <c r="K130" i="15"/>
  <c r="S130" i="15"/>
  <c r="J130" i="15"/>
  <c r="H130" i="15"/>
  <c r="AC130" i="15"/>
  <c r="V130" i="15"/>
  <c r="Q130" i="15"/>
  <c r="N130" i="15"/>
  <c r="X130" i="15"/>
  <c r="H119" i="20"/>
  <c r="AI130" i="15"/>
  <c r="AF130" i="15"/>
  <c r="AE130" i="15"/>
  <c r="J225" i="15"/>
  <c r="AA225" i="15"/>
  <c r="H214" i="20"/>
  <c r="J214" i="20" s="1"/>
  <c r="L225" i="15"/>
  <c r="S225" i="15"/>
  <c r="Z225" i="15"/>
  <c r="M225" i="15"/>
  <c r="O225" i="15"/>
  <c r="I225" i="15"/>
  <c r="K225" i="15"/>
  <c r="G225" i="15"/>
  <c r="AC225" i="15"/>
  <c r="Q225" i="15"/>
  <c r="N225" i="15"/>
  <c r="H225" i="15"/>
  <c r="F225" i="15"/>
  <c r="D225" i="15"/>
  <c r="AI225" i="15"/>
  <c r="C225" i="15"/>
  <c r="AD225" i="15"/>
  <c r="P225" i="15"/>
  <c r="U225" i="15"/>
  <c r="E225" i="15"/>
  <c r="AF225" i="15"/>
  <c r="W225" i="15"/>
  <c r="R225" i="15"/>
  <c r="AH225" i="15"/>
  <c r="T225" i="15"/>
  <c r="AB225" i="15"/>
  <c r="V225" i="15"/>
  <c r="X225" i="15"/>
  <c r="AG225" i="15"/>
  <c r="Y225" i="15"/>
  <c r="AE225" i="15"/>
  <c r="HY22" i="10"/>
  <c r="HY25" i="10"/>
  <c r="HY26" i="10"/>
  <c r="I336" i="20"/>
  <c r="I330" i="20"/>
  <c r="K330" i="20"/>
  <c r="J330" i="20"/>
  <c r="K361" i="20"/>
  <c r="AA171" i="15"/>
  <c r="T171" i="15"/>
  <c r="V171" i="15"/>
  <c r="C171" i="15"/>
  <c r="U171" i="15"/>
  <c r="Z171" i="15"/>
  <c r="G171" i="15"/>
  <c r="D171" i="15"/>
  <c r="H171" i="15"/>
  <c r="H160" i="20"/>
  <c r="J171" i="15"/>
  <c r="I171" i="15"/>
  <c r="E171" i="15"/>
  <c r="M171" i="15"/>
  <c r="N171" i="15"/>
  <c r="AD171" i="15"/>
  <c r="AC171" i="15"/>
  <c r="K171" i="15"/>
  <c r="W171" i="15"/>
  <c r="X171" i="15"/>
  <c r="AG171" i="15"/>
  <c r="R171" i="15"/>
  <c r="Y171" i="15"/>
  <c r="S171" i="15"/>
  <c r="AB171" i="15"/>
  <c r="AH171" i="15"/>
  <c r="AF171" i="15"/>
  <c r="AE171" i="15"/>
  <c r="I135" i="20"/>
  <c r="J135" i="20"/>
  <c r="K277" i="15"/>
  <c r="AD277" i="15"/>
  <c r="E277" i="15"/>
  <c r="V277" i="15"/>
  <c r="G277" i="15"/>
  <c r="H277" i="15"/>
  <c r="S277" i="15"/>
  <c r="D277" i="15"/>
  <c r="AC277" i="15"/>
  <c r="O277" i="15"/>
  <c r="C277" i="15"/>
  <c r="I277" i="15"/>
  <c r="P277" i="15"/>
  <c r="L277" i="15"/>
  <c r="AA277" i="15"/>
  <c r="Z277" i="15"/>
  <c r="J277" i="15"/>
  <c r="AB277" i="15"/>
  <c r="T277" i="15"/>
  <c r="F277" i="15"/>
  <c r="M277" i="15"/>
  <c r="U277" i="15"/>
  <c r="H266" i="20"/>
  <c r="J266" i="20" s="1"/>
  <c r="N277" i="15"/>
  <c r="Q277" i="15"/>
  <c r="AI277" i="15"/>
  <c r="R277" i="15"/>
  <c r="AH277" i="15"/>
  <c r="X277" i="15"/>
  <c r="AG277" i="15"/>
  <c r="AF277" i="15"/>
  <c r="Y277" i="15"/>
  <c r="W277" i="15"/>
  <c r="AE277" i="15"/>
  <c r="J251" i="15"/>
  <c r="T251" i="15"/>
  <c r="Z251" i="15"/>
  <c r="K251" i="15"/>
  <c r="I251" i="15"/>
  <c r="D251" i="15"/>
  <c r="AA251" i="15"/>
  <c r="N251" i="15"/>
  <c r="AC251" i="15"/>
  <c r="V251" i="15"/>
  <c r="H251" i="15"/>
  <c r="E251" i="15"/>
  <c r="Q251" i="15"/>
  <c r="C251" i="15"/>
  <c r="M251" i="15"/>
  <c r="F251" i="15"/>
  <c r="G251" i="15"/>
  <c r="P251" i="15"/>
  <c r="AD251" i="15"/>
  <c r="L251" i="15"/>
  <c r="H240" i="20"/>
  <c r="S251" i="15"/>
  <c r="O251" i="15"/>
  <c r="AB251" i="15"/>
  <c r="X251" i="15"/>
  <c r="U251" i="15"/>
  <c r="AG251" i="15"/>
  <c r="R251" i="15"/>
  <c r="AI251" i="15"/>
  <c r="AH251" i="15"/>
  <c r="Y251" i="15"/>
  <c r="AE251" i="15"/>
  <c r="AF251" i="15"/>
  <c r="W251" i="15"/>
  <c r="K82" i="20"/>
  <c r="Z177" i="15"/>
  <c r="L177" i="15"/>
  <c r="U177" i="15"/>
  <c r="Q177" i="15"/>
  <c r="E177" i="15"/>
  <c r="O177" i="15"/>
  <c r="G177" i="15"/>
  <c r="F177" i="15"/>
  <c r="H166" i="20"/>
  <c r="I177" i="15"/>
  <c r="S177" i="15"/>
  <c r="AF177" i="15"/>
  <c r="Y177" i="15"/>
  <c r="AB177" i="15"/>
  <c r="C177" i="15"/>
  <c r="AA177" i="15"/>
  <c r="N177" i="15"/>
  <c r="W177" i="15"/>
  <c r="AC177" i="15"/>
  <c r="V177" i="15"/>
  <c r="AH177" i="15"/>
  <c r="J16" i="20"/>
  <c r="I16" i="20"/>
  <c r="G78" i="15"/>
  <c r="E78" i="15"/>
  <c r="K78" i="15"/>
  <c r="I78" i="15"/>
  <c r="J78" i="15"/>
  <c r="D78" i="15"/>
  <c r="F78" i="15"/>
  <c r="M78" i="15"/>
  <c r="AD78" i="15"/>
  <c r="P78" i="15"/>
  <c r="T78" i="15"/>
  <c r="L78" i="15"/>
  <c r="X78" i="15"/>
  <c r="AH78" i="15"/>
  <c r="AI78" i="15"/>
  <c r="S78" i="15"/>
  <c r="U78" i="15"/>
  <c r="H67" i="20"/>
  <c r="O78" i="15"/>
  <c r="AE78" i="15"/>
  <c r="AC78" i="15"/>
  <c r="R78" i="15"/>
  <c r="Q78" i="15"/>
  <c r="N78" i="15"/>
  <c r="U231" i="15"/>
  <c r="D231" i="15"/>
  <c r="S231" i="15"/>
  <c r="I231" i="15"/>
  <c r="Q231" i="15"/>
  <c r="M231" i="15"/>
  <c r="O231" i="15"/>
  <c r="AA231" i="15"/>
  <c r="H231" i="15"/>
  <c r="E231" i="15"/>
  <c r="AB231" i="15"/>
  <c r="X231" i="15"/>
  <c r="AC231" i="15"/>
  <c r="P231" i="15"/>
  <c r="AD231" i="15"/>
  <c r="J231" i="15"/>
  <c r="AH231" i="15"/>
  <c r="AE231" i="15"/>
  <c r="R231" i="15"/>
  <c r="Y231" i="15"/>
  <c r="AF231" i="15"/>
  <c r="W231" i="15"/>
  <c r="BS22" i="10"/>
  <c r="EE22" i="10"/>
  <c r="DZ22" i="10"/>
  <c r="IM22" i="10"/>
  <c r="LI22" i="10"/>
  <c r="IN22" i="10"/>
  <c r="JA22" i="10"/>
  <c r="II22" i="10"/>
  <c r="O33" i="2"/>
  <c r="P34" i="2"/>
  <c r="K9" i="2"/>
  <c r="K10" i="2"/>
  <c r="JB26" i="10"/>
  <c r="AA26" i="10"/>
  <c r="JE26" i="10"/>
  <c r="II25" i="10"/>
  <c r="A20" i="15"/>
  <c r="H20" i="15" s="1"/>
  <c r="EI26" i="10"/>
  <c r="EN26" i="10"/>
  <c r="LI25" i="10"/>
  <c r="DC26" i="10"/>
  <c r="LB26" i="10"/>
  <c r="LE26" i="10"/>
  <c r="LG26" i="10"/>
  <c r="AN26" i="10"/>
  <c r="Y26" i="10"/>
  <c r="AB26" i="10"/>
  <c r="AF26" i="10"/>
  <c r="JH26" i="10"/>
  <c r="AV26" i="10"/>
  <c r="JG26" i="10"/>
  <c r="AR26" i="10"/>
  <c r="AE26" i="10"/>
  <c r="JK26" i="10"/>
  <c r="JF26" i="10"/>
  <c r="AK26" i="10"/>
  <c r="AO26" i="10"/>
  <c r="JI26" i="10"/>
  <c r="AW26" i="10"/>
  <c r="LH26" i="10"/>
  <c r="BN25" i="10"/>
  <c r="EA25" i="10"/>
  <c r="EB25" i="10"/>
  <c r="DX25" i="10"/>
  <c r="DY25" i="10"/>
  <c r="ED25" i="10"/>
  <c r="EM25" i="10"/>
  <c r="EF25" i="10"/>
  <c r="EG25" i="10"/>
  <c r="LA25" i="10"/>
  <c r="IZ25" i="10"/>
  <c r="JB25" i="10"/>
  <c r="BT25" i="10"/>
  <c r="LD25" i="10"/>
  <c r="R2584" i="19"/>
  <c r="R3486" i="19"/>
  <c r="R3132" i="19"/>
  <c r="R3122" i="19"/>
  <c r="R4184" i="19"/>
  <c r="R3596" i="19"/>
  <c r="R2081" i="19"/>
  <c r="R5632" i="19"/>
  <c r="R5484" i="19"/>
  <c r="R4153" i="19"/>
  <c r="R677" i="19"/>
  <c r="R2724" i="19"/>
  <c r="R1376" i="19"/>
  <c r="R1947" i="19"/>
  <c r="R5840" i="19"/>
  <c r="R1806" i="19"/>
  <c r="R2929" i="19"/>
  <c r="R2331" i="19"/>
  <c r="R3673" i="19"/>
  <c r="R3987" i="19"/>
  <c r="R2169" i="19"/>
  <c r="R754" i="19"/>
  <c r="R3034" i="19"/>
  <c r="R1911" i="19"/>
  <c r="R4215" i="19"/>
  <c r="R631" i="19"/>
  <c r="R2519" i="19"/>
  <c r="R2624" i="19"/>
  <c r="R3826" i="19"/>
  <c r="R4388" i="19"/>
  <c r="R1908" i="19"/>
  <c r="R4641" i="19"/>
  <c r="R4277" i="19"/>
  <c r="R963" i="19"/>
  <c r="R204" i="19"/>
  <c r="R711" i="19"/>
  <c r="R470" i="19"/>
  <c r="R883" i="19"/>
  <c r="R2202" i="19"/>
  <c r="R2916" i="19"/>
  <c r="R3615" i="19"/>
  <c r="R1562" i="19"/>
  <c r="R2708" i="19"/>
  <c r="R623" i="19"/>
  <c r="R4810" i="19"/>
  <c r="R409" i="19"/>
  <c r="R4082" i="19"/>
  <c r="R3309" i="19"/>
  <c r="R2351" i="19"/>
  <c r="R5623" i="19"/>
  <c r="R4468" i="19"/>
  <c r="R5357" i="19"/>
  <c r="R506" i="19"/>
  <c r="R5319" i="19"/>
  <c r="R3910" i="19"/>
  <c r="R2078" i="19"/>
  <c r="R2494" i="19"/>
  <c r="R2345" i="19"/>
  <c r="R5475" i="19"/>
  <c r="R2260" i="19"/>
  <c r="R395" i="19"/>
  <c r="R4949" i="19"/>
  <c r="R443" i="19"/>
  <c r="R5454" i="19"/>
  <c r="R2433" i="19"/>
  <c r="R4795" i="19"/>
  <c r="R168" i="19"/>
  <c r="R580" i="19"/>
  <c r="R1114" i="19"/>
  <c r="R991" i="19"/>
  <c r="R4616" i="19"/>
  <c r="R4505" i="19"/>
  <c r="R858" i="19"/>
  <c r="R845" i="19"/>
  <c r="R4598" i="19"/>
  <c r="R4506" i="19"/>
  <c r="R5682" i="19"/>
  <c r="R37" i="19"/>
  <c r="R1713" i="19"/>
  <c r="R1242" i="19"/>
  <c r="R219" i="19"/>
  <c r="R938" i="19"/>
  <c r="R4695" i="19"/>
  <c r="R4402" i="19"/>
  <c r="R1729" i="19"/>
  <c r="R54" i="19"/>
  <c r="R1850" i="19"/>
  <c r="R1226" i="19"/>
  <c r="R3413" i="19"/>
  <c r="R3138" i="19"/>
  <c r="R488" i="19"/>
  <c r="R252" i="19"/>
  <c r="R961" i="19"/>
  <c r="R5589" i="19"/>
  <c r="R5764" i="19"/>
  <c r="R4352" i="19"/>
  <c r="R5676" i="19"/>
  <c r="R3476" i="19"/>
  <c r="R1890" i="19"/>
  <c r="R2007" i="19"/>
  <c r="R1497" i="19"/>
  <c r="R1975" i="19"/>
  <c r="R4732" i="19"/>
  <c r="R5603" i="19"/>
  <c r="R944" i="19"/>
  <c r="R1063" i="19"/>
  <c r="R5597" i="19"/>
  <c r="R209" i="19"/>
  <c r="R4537" i="19"/>
  <c r="R5072" i="19"/>
  <c r="I331" i="20"/>
  <c r="K331" i="20"/>
  <c r="J331" i="20"/>
  <c r="R760" i="19"/>
  <c r="R280" i="19"/>
  <c r="R1954" i="19"/>
  <c r="R2431" i="19"/>
  <c r="R4182" i="19"/>
  <c r="R5104" i="19"/>
  <c r="R3342" i="19"/>
  <c r="R74" i="19"/>
  <c r="R998" i="19"/>
  <c r="R329" i="19"/>
  <c r="R2623" i="19"/>
  <c r="R5766" i="19"/>
  <c r="R3004" i="19"/>
  <c r="R3144" i="19"/>
  <c r="R3446" i="19"/>
  <c r="R3961" i="19"/>
  <c r="R1757" i="19"/>
  <c r="R179" i="19"/>
  <c r="R19" i="19"/>
  <c r="R1830" i="19"/>
  <c r="R5227" i="19"/>
  <c r="R3181" i="19"/>
  <c r="R4767" i="19"/>
  <c r="R2608" i="19"/>
  <c r="R1649" i="19"/>
  <c r="R4344" i="19"/>
  <c r="R1276" i="19"/>
  <c r="R3007" i="19"/>
  <c r="R4244" i="19"/>
  <c r="R2820" i="19"/>
  <c r="R1632" i="19"/>
  <c r="R3781" i="19"/>
  <c r="R539" i="19"/>
  <c r="R1775" i="19"/>
  <c r="R667" i="19"/>
  <c r="R3907" i="19"/>
  <c r="R3450" i="19"/>
  <c r="R2549" i="19"/>
  <c r="R2055" i="19"/>
  <c r="R5618" i="19"/>
  <c r="R721" i="19"/>
  <c r="R5003" i="19"/>
  <c r="R1993" i="19"/>
  <c r="R3948" i="19"/>
  <c r="R4922" i="19"/>
  <c r="R2248" i="19"/>
  <c r="R5018" i="19"/>
  <c r="R487" i="19"/>
  <c r="R382" i="19"/>
  <c r="R1767" i="19"/>
  <c r="R2838" i="19"/>
  <c r="R1128" i="19"/>
  <c r="R477" i="19"/>
  <c r="R4247" i="19"/>
  <c r="R5073" i="19"/>
  <c r="R4053" i="19"/>
  <c r="R5672" i="19"/>
  <c r="R1271" i="19"/>
  <c r="R5253" i="19"/>
  <c r="R5369" i="19"/>
  <c r="R3410" i="19"/>
  <c r="R5166" i="19"/>
  <c r="R1336" i="19"/>
  <c r="R3548" i="19"/>
  <c r="R1393" i="19"/>
  <c r="R4066" i="19"/>
  <c r="R4923" i="19"/>
  <c r="R4062" i="19"/>
  <c r="R3984" i="19"/>
  <c r="R1764" i="19"/>
  <c r="R3464" i="19"/>
  <c r="R2310" i="19"/>
  <c r="R1324" i="19"/>
  <c r="R3494" i="19"/>
  <c r="R5810" i="19"/>
  <c r="R4481" i="19"/>
  <c r="R5572" i="19"/>
  <c r="R4970" i="19"/>
  <c r="R4017" i="19"/>
  <c r="R4649" i="19"/>
  <c r="R2100" i="19"/>
  <c r="R5204" i="19"/>
  <c r="R5051" i="19"/>
  <c r="R4284" i="19"/>
  <c r="R1469" i="19"/>
  <c r="R2230" i="19"/>
  <c r="R2507" i="19"/>
  <c r="R1556" i="19"/>
  <c r="R4071" i="19"/>
  <c r="R4901" i="19"/>
  <c r="R4920" i="19"/>
  <c r="R869" i="19"/>
  <c r="R190" i="19"/>
  <c r="R377" i="19"/>
  <c r="R3216" i="19"/>
  <c r="R5027" i="19"/>
  <c r="R2728" i="19"/>
  <c r="R5010" i="19"/>
  <c r="R3314" i="19"/>
  <c r="R4108" i="19"/>
  <c r="R720" i="19"/>
  <c r="R3336" i="19"/>
  <c r="R4386" i="19"/>
  <c r="R205" i="19"/>
  <c r="R1856" i="19"/>
  <c r="R3257" i="19"/>
  <c r="R1939" i="19"/>
  <c r="R4800" i="19"/>
  <c r="R4707" i="19"/>
  <c r="R571" i="19"/>
  <c r="R4845" i="19"/>
  <c r="R5121" i="19"/>
  <c r="R2381" i="19"/>
  <c r="R1357" i="19"/>
  <c r="R2054" i="19"/>
  <c r="R2160" i="19"/>
  <c r="R3592" i="19"/>
  <c r="R5415" i="19"/>
  <c r="R5583" i="19"/>
  <c r="R794" i="19"/>
  <c r="R5656" i="19"/>
  <c r="R2802" i="19"/>
  <c r="R899" i="19"/>
  <c r="R212" i="19"/>
  <c r="R348" i="19"/>
  <c r="R85" i="19"/>
  <c r="R226" i="19"/>
  <c r="R100" i="19"/>
  <c r="R440" i="19"/>
  <c r="R2988" i="19"/>
  <c r="R35" i="19"/>
  <c r="R3389" i="19"/>
  <c r="R137" i="19"/>
  <c r="R810" i="19"/>
  <c r="R1802" i="19"/>
  <c r="R3104" i="19"/>
  <c r="R569" i="19"/>
  <c r="R912" i="19"/>
  <c r="R3025" i="19"/>
  <c r="R3166" i="19"/>
  <c r="R2870" i="19"/>
  <c r="R3115" i="19"/>
  <c r="R2300" i="19"/>
  <c r="R2888" i="19"/>
  <c r="R2270" i="19"/>
  <c r="R2379" i="19"/>
  <c r="R4833" i="19"/>
  <c r="R4952" i="19"/>
  <c r="R2435" i="19"/>
  <c r="R4745" i="19"/>
  <c r="R2946" i="19"/>
  <c r="R5395" i="19"/>
  <c r="R2407" i="19"/>
  <c r="R5245" i="19"/>
  <c r="R4101" i="19"/>
  <c r="R4856" i="19"/>
  <c r="R4843" i="19"/>
  <c r="R5479" i="19"/>
  <c r="R2718" i="19"/>
  <c r="R831" i="19"/>
  <c r="R3012" i="19"/>
  <c r="R2408" i="19"/>
  <c r="R5408" i="19"/>
  <c r="R4905" i="19"/>
  <c r="R5557" i="19"/>
  <c r="R1978" i="19"/>
  <c r="R235" i="19"/>
  <c r="R5385" i="19"/>
  <c r="R906" i="19"/>
  <c r="R1165" i="19"/>
  <c r="R46" i="19"/>
  <c r="R5761" i="19"/>
  <c r="R1518" i="19"/>
  <c r="R934" i="19"/>
  <c r="R2522" i="19"/>
  <c r="R3670" i="19"/>
  <c r="R514" i="19"/>
  <c r="R111" i="19"/>
  <c r="R2755" i="19"/>
  <c r="R4646" i="19"/>
  <c r="R2267" i="19"/>
  <c r="R911" i="19"/>
  <c r="R2836" i="19"/>
  <c r="R3137" i="19"/>
  <c r="R1953" i="19"/>
  <c r="R4086" i="19"/>
  <c r="R3702" i="19"/>
  <c r="R2363" i="19"/>
  <c r="R5126" i="19"/>
  <c r="R3196" i="19"/>
  <c r="R4635" i="19"/>
  <c r="R5563" i="19"/>
  <c r="R5634" i="19"/>
  <c r="R2531" i="19"/>
  <c r="R3116" i="19"/>
  <c r="R2719" i="19"/>
  <c r="R5867" i="19"/>
  <c r="R5763" i="19"/>
  <c r="R4990" i="19"/>
  <c r="R1679" i="19"/>
  <c r="R3729" i="19"/>
  <c r="R3258" i="19"/>
  <c r="R5396" i="19"/>
  <c r="R3303" i="19"/>
  <c r="R2830" i="19"/>
  <c r="R5482" i="19"/>
  <c r="R5038" i="19"/>
  <c r="R2082" i="19"/>
  <c r="R2004" i="19"/>
  <c r="R4099" i="19"/>
  <c r="R713" i="19"/>
  <c r="R5031" i="19"/>
  <c r="R3044" i="19"/>
  <c r="R4372" i="19"/>
  <c r="R5539" i="19"/>
  <c r="R4927" i="19"/>
  <c r="R2673" i="19"/>
  <c r="R4849" i="19"/>
  <c r="R5585" i="19"/>
  <c r="R4693" i="19"/>
  <c r="R4585" i="19"/>
  <c r="R2763" i="19"/>
  <c r="R41" i="19"/>
  <c r="R788" i="19"/>
  <c r="R612" i="19"/>
  <c r="R5368" i="19"/>
  <c r="R1100" i="19"/>
  <c r="R841" i="19"/>
  <c r="R2944" i="19"/>
  <c r="R4442" i="19"/>
  <c r="R1223" i="19"/>
  <c r="R534" i="19"/>
  <c r="R2667" i="19"/>
  <c r="R5016" i="19"/>
  <c r="R4314" i="19"/>
  <c r="R3624" i="19"/>
  <c r="R857" i="19"/>
  <c r="R5098" i="19"/>
  <c r="R301" i="19"/>
  <c r="R3705" i="19"/>
  <c r="R2046" i="19"/>
  <c r="R2794" i="19"/>
  <c r="R4904" i="19"/>
  <c r="R1980" i="19"/>
  <c r="R3557" i="19"/>
  <c r="R3472" i="19"/>
  <c r="R3379" i="19"/>
  <c r="R2487" i="19"/>
  <c r="R4931" i="19"/>
  <c r="R2925" i="19"/>
  <c r="R3301" i="19"/>
  <c r="R3848" i="19"/>
  <c r="R4678" i="19"/>
  <c r="R3528" i="19"/>
  <c r="R1706" i="19"/>
  <c r="R1314" i="19"/>
  <c r="R4444" i="19"/>
  <c r="R5637" i="19"/>
  <c r="R5179" i="19"/>
  <c r="R5297" i="19"/>
  <c r="R4077" i="19"/>
  <c r="R5508" i="19"/>
  <c r="R5029" i="19"/>
  <c r="R4533" i="19"/>
  <c r="R1588" i="19"/>
  <c r="R1250" i="19"/>
  <c r="R5470" i="19"/>
  <c r="R2415" i="19"/>
  <c r="R2965" i="19"/>
  <c r="R4260" i="19"/>
  <c r="R2682" i="19"/>
  <c r="R1538" i="19"/>
  <c r="R5835" i="19"/>
  <c r="R4689" i="19"/>
  <c r="R188" i="19"/>
  <c r="R654" i="19"/>
  <c r="R367" i="19"/>
  <c r="R1234" i="19"/>
  <c r="R67" i="19"/>
  <c r="R1131" i="19"/>
  <c r="R653" i="19"/>
  <c r="R1256" i="19"/>
  <c r="R4425" i="19"/>
  <c r="R1936" i="19"/>
  <c r="R2603" i="19"/>
  <c r="R780" i="19"/>
  <c r="R826" i="19"/>
  <c r="R75" i="19"/>
  <c r="R2307" i="19"/>
  <c r="R5669" i="19"/>
  <c r="R3123" i="19"/>
  <c r="R1709" i="19"/>
  <c r="R2726" i="19"/>
  <c r="R5525" i="19"/>
  <c r="R1792" i="19"/>
  <c r="R4914" i="19"/>
  <c r="R3338" i="19"/>
  <c r="R2982" i="19"/>
  <c r="R1321" i="19"/>
  <c r="R5463" i="19"/>
  <c r="R1269" i="19"/>
  <c r="R1776" i="19"/>
  <c r="R5387" i="19"/>
  <c r="R3957" i="19"/>
  <c r="R4751" i="19"/>
  <c r="R4243" i="19"/>
  <c r="R1284" i="19"/>
  <c r="R5300" i="19"/>
  <c r="R2781" i="19"/>
  <c r="R4004" i="19"/>
  <c r="R2203" i="19"/>
  <c r="R3933" i="19"/>
  <c r="R3229" i="19"/>
  <c r="R2128" i="19"/>
  <c r="R5459" i="19"/>
  <c r="R684" i="19"/>
  <c r="R3465" i="19"/>
  <c r="R1597" i="19"/>
  <c r="R4361" i="19"/>
  <c r="R4848" i="19"/>
  <c r="R4237" i="19"/>
  <c r="R3495" i="19"/>
  <c r="R3344" i="19"/>
  <c r="R5102" i="19"/>
  <c r="R1714" i="19"/>
  <c r="R174" i="19"/>
  <c r="R5731" i="19"/>
  <c r="R455" i="19"/>
  <c r="R1409" i="19"/>
  <c r="R2490" i="19"/>
  <c r="R3988" i="19"/>
  <c r="R1622" i="19"/>
  <c r="R5504" i="19"/>
  <c r="R3125" i="19"/>
  <c r="R2619" i="19"/>
  <c r="R3436" i="19"/>
  <c r="R3863" i="19"/>
  <c r="R2542" i="19"/>
  <c r="R1833" i="19"/>
  <c r="R4067" i="19"/>
  <c r="R1692" i="19"/>
  <c r="R3380" i="19"/>
  <c r="R1586" i="19"/>
  <c r="R4812" i="19"/>
  <c r="R3898" i="19"/>
  <c r="R2178" i="19"/>
  <c r="R3312" i="19"/>
  <c r="R5559" i="19"/>
  <c r="R4584" i="19"/>
  <c r="R2276" i="19"/>
  <c r="R4289" i="19"/>
  <c r="R2772" i="19"/>
  <c r="R5581" i="19"/>
  <c r="R4070" i="19"/>
  <c r="R5063" i="19"/>
  <c r="R5177" i="19"/>
  <c r="R5006" i="19"/>
  <c r="R744" i="19"/>
  <c r="R4321" i="19"/>
  <c r="R1705" i="19"/>
  <c r="R4391" i="19"/>
  <c r="R749" i="19"/>
  <c r="R3772" i="19"/>
  <c r="R5687" i="19"/>
  <c r="R583" i="19"/>
  <c r="R1152" i="19"/>
  <c r="R5362" i="19"/>
  <c r="R365" i="19"/>
  <c r="R1175" i="19"/>
  <c r="R4393" i="19"/>
  <c r="R1004" i="19"/>
  <c r="R3268" i="19"/>
  <c r="R5777" i="19"/>
  <c r="R2295" i="19"/>
  <c r="R1243" i="19"/>
  <c r="R2956" i="19"/>
  <c r="R939" i="19"/>
  <c r="R5728" i="19"/>
  <c r="R4540" i="19"/>
  <c r="R3162" i="19"/>
  <c r="R4337" i="19"/>
  <c r="R3949" i="19"/>
  <c r="R2009" i="19"/>
  <c r="R3440" i="19"/>
  <c r="R2499" i="19"/>
  <c r="R2017" i="19"/>
  <c r="R1573" i="19"/>
  <c r="R1945" i="19"/>
  <c r="R4605" i="19"/>
  <c r="R1508" i="19"/>
  <c r="R2096" i="19"/>
  <c r="R4896" i="19"/>
  <c r="R3883" i="19"/>
  <c r="R3992" i="19"/>
  <c r="R2842" i="19"/>
  <c r="R3690" i="19"/>
  <c r="R5647" i="19"/>
  <c r="R1982" i="19"/>
  <c r="R4774" i="19"/>
  <c r="R2626" i="19"/>
  <c r="R1823" i="19"/>
  <c r="R2020" i="19"/>
  <c r="R4322" i="19"/>
  <c r="R2099" i="19"/>
  <c r="R2417" i="19"/>
  <c r="R3902" i="19"/>
  <c r="R4608" i="19"/>
  <c r="R4123" i="19"/>
  <c r="R3956" i="19"/>
  <c r="R97" i="19"/>
  <c r="R4670" i="19"/>
  <c r="R3990" i="19"/>
  <c r="R5439" i="19"/>
  <c r="R2318" i="19"/>
  <c r="R2249" i="19"/>
  <c r="R3487" i="19"/>
  <c r="R1768" i="19"/>
  <c r="R1511" i="19"/>
  <c r="R1394" i="19"/>
  <c r="R2253" i="19"/>
  <c r="R611" i="19"/>
  <c r="R4447" i="19"/>
  <c r="R647" i="19"/>
  <c r="R119" i="19"/>
  <c r="R3109" i="19"/>
  <c r="R5132" i="19"/>
  <c r="R5437" i="19"/>
  <c r="R191" i="19"/>
  <c r="R5107" i="19"/>
  <c r="R4405" i="19"/>
  <c r="R3453" i="19"/>
  <c r="R114" i="19"/>
  <c r="R5745" i="19"/>
  <c r="R5776" i="19"/>
  <c r="R1690" i="19"/>
  <c r="R3101" i="19"/>
  <c r="R4822" i="19"/>
  <c r="R4623" i="19"/>
  <c r="R1542" i="19"/>
  <c r="R3185" i="19"/>
  <c r="R2710" i="19"/>
  <c r="R4951" i="19"/>
  <c r="R4643" i="19"/>
  <c r="R1552" i="19"/>
  <c r="R1557" i="19"/>
  <c r="R5730" i="19"/>
  <c r="R1794" i="19"/>
  <c r="R4420" i="19"/>
  <c r="R4432" i="19"/>
  <c r="R4403" i="19"/>
  <c r="R3892" i="19"/>
  <c r="R4406" i="19"/>
  <c r="R4048" i="19"/>
  <c r="R5538" i="19"/>
  <c r="R1263" i="19"/>
  <c r="R5285" i="19"/>
  <c r="R4383" i="19"/>
  <c r="R1611" i="19"/>
  <c r="R4969" i="19"/>
  <c r="R4441" i="19"/>
  <c r="R5531" i="19"/>
  <c r="R1527" i="19"/>
  <c r="R5313" i="19"/>
  <c r="R4333" i="19"/>
  <c r="R1989" i="19"/>
  <c r="R1668" i="19"/>
  <c r="R5625" i="19"/>
  <c r="R5172" i="19"/>
  <c r="R2261" i="19"/>
  <c r="R4461" i="19"/>
  <c r="R4687" i="19"/>
  <c r="R5056" i="19"/>
  <c r="R2087" i="19"/>
  <c r="R4792" i="19"/>
  <c r="R2130" i="19"/>
  <c r="R2612" i="19"/>
  <c r="R1020" i="19"/>
  <c r="R1642" i="19"/>
  <c r="R733" i="19"/>
  <c r="R800" i="19"/>
  <c r="R751" i="19"/>
  <c r="R5543" i="19"/>
  <c r="R896" i="19"/>
  <c r="R940" i="19"/>
  <c r="R5453" i="19"/>
  <c r="R1523" i="19"/>
  <c r="R1170" i="19"/>
  <c r="R1811" i="19"/>
  <c r="R34" i="19"/>
  <c r="R5641" i="19"/>
  <c r="R2289" i="19"/>
  <c r="R2778" i="19"/>
  <c r="R2661" i="19"/>
  <c r="R360" i="19"/>
  <c r="R156" i="19"/>
  <c r="R3355" i="19"/>
  <c r="R5711" i="19"/>
  <c r="R1627" i="19"/>
  <c r="R2475" i="19"/>
  <c r="R2255" i="19"/>
  <c r="R3919" i="19"/>
  <c r="R4564" i="19"/>
  <c r="R3311" i="19"/>
  <c r="R5519" i="19"/>
  <c r="R4026" i="19"/>
  <c r="R5854" i="19"/>
  <c r="R2996" i="19"/>
  <c r="R2005" i="19"/>
  <c r="R4832" i="19"/>
  <c r="R4115" i="19"/>
  <c r="R2234" i="19"/>
  <c r="R2812" i="19"/>
  <c r="R1942" i="19"/>
  <c r="R5161" i="19"/>
  <c r="R5650" i="19"/>
  <c r="R4811" i="19"/>
  <c r="R4582" i="19"/>
  <c r="R4179" i="19"/>
  <c r="R2281" i="19"/>
  <c r="R5561" i="19"/>
  <c r="R3982" i="19"/>
  <c r="R2969" i="19"/>
  <c r="R4297" i="19"/>
  <c r="R4198" i="19"/>
  <c r="R3694" i="19"/>
  <c r="R3021" i="19"/>
  <c r="R116" i="19"/>
  <c r="R4433" i="19"/>
  <c r="R124" i="19"/>
  <c r="R1141" i="19"/>
  <c r="R149" i="19"/>
  <c r="R1026" i="19"/>
  <c r="R1148" i="19"/>
  <c r="R709" i="19"/>
  <c r="R4360" i="19"/>
  <c r="R88" i="19"/>
  <c r="R1096" i="19"/>
  <c r="R804" i="19"/>
  <c r="R2749" i="19"/>
  <c r="R3302" i="19"/>
  <c r="R3914" i="19"/>
  <c r="R355" i="19"/>
  <c r="R102" i="19"/>
  <c r="R4929" i="19"/>
  <c r="R1861" i="19"/>
  <c r="R640" i="19"/>
  <c r="R3963" i="19"/>
  <c r="R3999" i="19"/>
  <c r="R5026" i="19"/>
  <c r="R1948" i="19"/>
  <c r="R2524" i="19"/>
  <c r="R5431" i="19"/>
  <c r="R2703" i="19"/>
  <c r="R4069" i="19"/>
  <c r="R1676" i="19"/>
  <c r="R3912" i="19"/>
  <c r="R4805" i="19"/>
  <c r="R2438" i="19"/>
  <c r="R1551" i="19"/>
  <c r="R5095" i="19"/>
  <c r="R3320" i="19"/>
  <c r="R4768" i="19"/>
  <c r="R2610" i="19"/>
  <c r="R2498" i="19"/>
  <c r="R5792" i="19"/>
  <c r="R4702" i="19"/>
  <c r="R4033" i="19"/>
  <c r="R5496" i="19"/>
  <c r="R5071" i="19"/>
  <c r="R4579" i="19"/>
  <c r="R1388" i="19"/>
  <c r="R4636" i="19"/>
  <c r="R5418" i="19"/>
  <c r="R5336" i="19"/>
  <c r="R5109" i="19"/>
  <c r="R637" i="19"/>
  <c r="R4428" i="19"/>
  <c r="R4300" i="19"/>
  <c r="R5283" i="19"/>
  <c r="R3295" i="19"/>
  <c r="R890" i="19"/>
  <c r="R5374" i="19"/>
  <c r="R3553" i="19"/>
  <c r="R492" i="19"/>
  <c r="R1653" i="19"/>
  <c r="R57" i="19"/>
  <c r="R2535" i="19"/>
  <c r="R2895" i="19"/>
  <c r="R5205" i="19"/>
  <c r="R2736" i="19"/>
  <c r="R3484" i="19"/>
  <c r="R5612" i="19"/>
  <c r="R4455" i="19"/>
  <c r="R2615" i="19"/>
  <c r="R5784" i="19"/>
  <c r="R1818" i="19"/>
  <c r="R2132" i="19"/>
  <c r="R2656" i="19"/>
  <c r="R3392" i="19"/>
  <c r="R4068" i="19"/>
  <c r="R5464" i="19"/>
  <c r="R5189" i="19"/>
  <c r="R3875" i="19"/>
  <c r="R4144" i="19"/>
  <c r="R4118" i="19"/>
  <c r="R4057" i="19"/>
  <c r="R2748" i="19"/>
  <c r="R3254" i="19"/>
  <c r="R2047" i="19"/>
  <c r="R5469" i="19"/>
  <c r="R5775" i="19"/>
  <c r="R1292" i="19"/>
  <c r="R4504" i="19"/>
  <c r="R4032" i="19"/>
  <c r="R5398" i="19"/>
  <c r="R5100" i="19"/>
  <c r="R4035" i="19"/>
  <c r="R4722" i="19"/>
  <c r="R47" i="19"/>
  <c r="R1659" i="19"/>
  <c r="R2858" i="19"/>
  <c r="R2088" i="19"/>
  <c r="R2940" i="19"/>
  <c r="R1166" i="19"/>
  <c r="R63" i="19"/>
  <c r="R1193" i="19"/>
  <c r="R933" i="19"/>
  <c r="R3677" i="19"/>
  <c r="R2622" i="19"/>
  <c r="R2147" i="19"/>
  <c r="R107" i="19"/>
  <c r="R884" i="19"/>
  <c r="R239" i="19"/>
  <c r="R1185" i="19"/>
  <c r="R811" i="19"/>
  <c r="R528" i="19"/>
  <c r="R3686" i="19"/>
  <c r="R508" i="19"/>
  <c r="R1258" i="19"/>
  <c r="R1984" i="19"/>
  <c r="R3985" i="19"/>
  <c r="R1994" i="19"/>
  <c r="R1998" i="19"/>
  <c r="R2943" i="19"/>
  <c r="R4324" i="19"/>
  <c r="R3869" i="19"/>
  <c r="R2311" i="19"/>
  <c r="R4858" i="19"/>
  <c r="R1436" i="19"/>
  <c r="R4546" i="19"/>
  <c r="R5620" i="19"/>
  <c r="R2067" i="19"/>
  <c r="R5768" i="19"/>
  <c r="R4412" i="19"/>
  <c r="R1296" i="19"/>
  <c r="R5752" i="19"/>
  <c r="R4683" i="19"/>
  <c r="R1531" i="19"/>
  <c r="R2002" i="19"/>
  <c r="R5660" i="19"/>
  <c r="R5417" i="19"/>
  <c r="R5293" i="19"/>
  <c r="R5419" i="19"/>
  <c r="R5401" i="19"/>
  <c r="R5271" i="19"/>
  <c r="R1783" i="19"/>
  <c r="R4423" i="19"/>
  <c r="R4673" i="19"/>
  <c r="R4666" i="19"/>
  <c r="R5150" i="19"/>
  <c r="R4273" i="19"/>
  <c r="R3937" i="19"/>
  <c r="R1524" i="19"/>
  <c r="R676" i="19"/>
  <c r="R1330" i="19"/>
  <c r="R3429" i="19"/>
  <c r="R2538" i="19"/>
  <c r="R5103" i="19"/>
  <c r="R5252" i="19"/>
  <c r="R373" i="19"/>
  <c r="R829" i="19"/>
  <c r="R825" i="19"/>
  <c r="R2186" i="19"/>
  <c r="R1282" i="19"/>
  <c r="R4419" i="19"/>
  <c r="R2308" i="19"/>
  <c r="R1095" i="19"/>
  <c r="R863" i="19"/>
  <c r="R3277" i="19"/>
  <c r="R2991" i="19"/>
  <c r="R2920" i="19"/>
  <c r="R2330" i="19"/>
  <c r="R1262" i="19"/>
  <c r="R2723" i="19"/>
  <c r="R4509" i="19"/>
  <c r="R5176" i="19"/>
  <c r="R3456" i="19"/>
  <c r="R3917" i="19"/>
  <c r="R5233" i="19"/>
  <c r="R3445" i="19"/>
  <c r="R5115" i="19"/>
  <c r="R4708" i="19"/>
  <c r="R3455" i="19"/>
  <c r="R3851" i="19"/>
  <c r="R2468" i="19"/>
  <c r="R3008" i="19"/>
  <c r="R2218" i="19"/>
  <c r="R4668" i="19"/>
  <c r="R4528" i="19"/>
  <c r="R1793" i="19"/>
  <c r="R3150" i="19"/>
  <c r="R3128" i="19"/>
  <c r="R4023" i="19"/>
  <c r="R4837" i="19"/>
  <c r="R1628" i="19"/>
  <c r="R5017" i="19"/>
  <c r="R771" i="19"/>
  <c r="R4630" i="19"/>
  <c r="R1413" i="19"/>
  <c r="R591" i="19"/>
  <c r="R4147" i="19"/>
  <c r="R2212" i="19"/>
  <c r="R2481" i="19"/>
  <c r="R2515" i="19"/>
  <c r="R1650" i="19"/>
  <c r="R2426" i="19"/>
  <c r="R4563" i="19"/>
  <c r="R273" i="19"/>
  <c r="R929" i="19"/>
  <c r="R2655" i="19"/>
  <c r="R2879" i="19"/>
  <c r="R5097" i="19"/>
  <c r="R5128" i="19"/>
  <c r="R2343" i="19"/>
  <c r="R4064" i="19"/>
  <c r="R2303" i="19"/>
  <c r="R1695" i="19"/>
  <c r="R1502" i="19"/>
  <c r="R5710" i="19"/>
  <c r="R1261" i="19"/>
  <c r="R2839" i="19"/>
  <c r="R5528" i="19"/>
  <c r="R1815" i="19"/>
  <c r="R2034" i="19"/>
  <c r="R3149" i="19"/>
  <c r="J367" i="20"/>
  <c r="K367" i="20"/>
  <c r="K226" i="20"/>
  <c r="I226" i="20"/>
  <c r="J226" i="20"/>
  <c r="R796" i="19"/>
  <c r="R331" i="19"/>
  <c r="R707" i="19"/>
  <c r="R5225" i="19"/>
  <c r="R1445" i="19"/>
  <c r="R828" i="19"/>
  <c r="R3709" i="19"/>
  <c r="R4039" i="19"/>
  <c r="R175" i="19"/>
  <c r="R5312" i="19"/>
  <c r="R1446" i="19"/>
  <c r="R2469" i="19"/>
  <c r="R1593" i="19"/>
  <c r="R5433" i="19"/>
  <c r="R371" i="19"/>
  <c r="R5511" i="19"/>
  <c r="K228" i="20"/>
  <c r="I228" i="20"/>
  <c r="R1177" i="19"/>
  <c r="R5375" i="19"/>
  <c r="R795" i="19"/>
  <c r="R936" i="19"/>
  <c r="R849" i="19"/>
  <c r="R469" i="19"/>
  <c r="R1205" i="19"/>
  <c r="R1030" i="19"/>
  <c r="R632" i="19"/>
  <c r="R1157" i="19"/>
  <c r="R853" i="19"/>
  <c r="R4548" i="19"/>
  <c r="R4275" i="19"/>
  <c r="R4894" i="19"/>
  <c r="R4828" i="19"/>
  <c r="R685" i="19"/>
  <c r="R4622" i="19"/>
  <c r="R1192" i="19"/>
  <c r="R644" i="19"/>
  <c r="R4690" i="19"/>
  <c r="R1846" i="19"/>
  <c r="R2115" i="19"/>
  <c r="R4408" i="19"/>
  <c r="R4088" i="19"/>
  <c r="R5547" i="19"/>
  <c r="R556" i="19"/>
  <c r="R4519" i="19"/>
  <c r="R4875" i="19"/>
  <c r="R835" i="19"/>
  <c r="R157" i="19"/>
  <c r="R1230" i="19"/>
  <c r="R5859" i="19"/>
  <c r="R2761" i="19"/>
  <c r="R4227" i="19"/>
  <c r="R3538" i="19"/>
  <c r="R3995" i="19"/>
  <c r="R256" i="19"/>
  <c r="R4476" i="19"/>
  <c r="R4654" i="19"/>
  <c r="R584" i="19"/>
  <c r="R305" i="19"/>
  <c r="R134" i="19"/>
  <c r="R1062" i="19"/>
  <c r="R317" i="19"/>
  <c r="R3176" i="19"/>
  <c r="R13" i="19"/>
  <c r="R5797" i="19"/>
  <c r="R4783" i="19"/>
  <c r="R5674" i="19"/>
  <c r="R1869" i="19"/>
  <c r="R42" i="19"/>
  <c r="R975" i="19"/>
  <c r="R1785" i="19"/>
  <c r="R4490" i="19"/>
  <c r="R4460" i="19"/>
  <c r="R1475" i="19"/>
  <c r="R1644" i="19"/>
  <c r="R4287" i="19"/>
  <c r="R4197" i="19"/>
  <c r="R5175" i="19"/>
  <c r="R5436" i="19"/>
  <c r="R4885" i="19"/>
  <c r="R5052" i="19"/>
  <c r="R463" i="19"/>
  <c r="R589" i="19"/>
  <c r="R24" i="19"/>
  <c r="R787" i="19"/>
  <c r="R5722" i="19"/>
  <c r="R1912" i="19"/>
  <c r="R1633" i="19"/>
  <c r="R576" i="19"/>
  <c r="R977" i="19"/>
  <c r="R1962" i="19"/>
  <c r="R5616" i="19"/>
  <c r="R5592" i="19"/>
  <c r="R4133" i="19"/>
  <c r="R5642" i="19"/>
  <c r="R4054" i="19"/>
  <c r="R5039" i="19"/>
  <c r="R1803" i="19"/>
  <c r="R4735" i="19"/>
  <c r="R5426" i="19"/>
  <c r="R4501" i="19"/>
  <c r="R5242" i="19"/>
  <c r="R4248" i="19"/>
  <c r="R4777" i="19"/>
  <c r="R5207" i="19"/>
  <c r="R2391" i="19"/>
  <c r="R5364" i="19"/>
  <c r="R4100" i="19"/>
  <c r="R952" i="19"/>
  <c r="R665" i="19"/>
  <c r="R281" i="19"/>
  <c r="R383" i="19"/>
  <c r="R238" i="19"/>
  <c r="R444" i="19"/>
  <c r="R3345" i="19"/>
  <c r="R2735" i="19"/>
  <c r="R2164" i="19"/>
  <c r="R2611" i="19"/>
  <c r="R1549" i="19"/>
  <c r="R2473" i="19"/>
  <c r="R1981" i="19"/>
  <c r="R4898" i="19"/>
  <c r="R4633" i="19"/>
  <c r="R3762" i="19"/>
  <c r="R2182" i="19"/>
  <c r="R5034" i="19"/>
  <c r="R4106" i="19"/>
  <c r="R5099" i="19"/>
  <c r="R1548" i="19"/>
  <c r="R2269" i="19"/>
  <c r="R4944" i="19"/>
  <c r="R1142" i="19"/>
  <c r="R199" i="19"/>
  <c r="R621" i="19"/>
  <c r="R359" i="19"/>
  <c r="R5333" i="19"/>
  <c r="R1375" i="19"/>
  <c r="R3087" i="19"/>
  <c r="R5869" i="19"/>
  <c r="R3018" i="19"/>
  <c r="R1019" i="19"/>
  <c r="R2050" i="19"/>
  <c r="R3689" i="19"/>
  <c r="R5444" i="19"/>
  <c r="R690" i="19"/>
  <c r="R4022" i="19"/>
  <c r="R2607" i="19"/>
  <c r="R1753" i="19"/>
  <c r="R5367" i="19"/>
  <c r="R4135" i="19"/>
  <c r="R3204" i="19"/>
  <c r="R5349" i="19"/>
  <c r="R5473" i="19"/>
  <c r="R4627" i="19"/>
  <c r="R485" i="19"/>
  <c r="R2909" i="19"/>
  <c r="R957" i="19"/>
  <c r="R4542" i="19"/>
  <c r="R4169" i="19"/>
  <c r="R272" i="19"/>
  <c r="R3887" i="19"/>
  <c r="R2787" i="19"/>
  <c r="R4588" i="19"/>
  <c r="R2938" i="19"/>
  <c r="R1040" i="19"/>
  <c r="R3129" i="19"/>
  <c r="R1044" i="19"/>
  <c r="R3100" i="19"/>
  <c r="R4431" i="19"/>
  <c r="R5544" i="19"/>
  <c r="R5081" i="19"/>
  <c r="R2094" i="19"/>
  <c r="R2155" i="19"/>
  <c r="R4900" i="19"/>
  <c r="R5591" i="19"/>
  <c r="R708" i="19"/>
  <c r="R4233" i="19"/>
  <c r="R418" i="19"/>
  <c r="R763" i="19"/>
  <c r="R4491" i="19"/>
  <c r="R774" i="19"/>
  <c r="R4456" i="19"/>
  <c r="R4637" i="19"/>
  <c r="R4973" i="19"/>
  <c r="R229" i="19"/>
  <c r="R599" i="19"/>
  <c r="R4330" i="19"/>
  <c r="R4667" i="19"/>
  <c r="R4305" i="19"/>
  <c r="R4806" i="19"/>
  <c r="R4739" i="19"/>
  <c r="R4466" i="19"/>
  <c r="R1462" i="19"/>
  <c r="R1295" i="19"/>
  <c r="R689" i="19"/>
  <c r="R5328" i="19"/>
  <c r="R4912" i="19"/>
  <c r="R3897" i="19"/>
  <c r="R4012" i="19"/>
  <c r="R4497" i="19"/>
  <c r="R5117" i="19"/>
  <c r="R5070" i="19"/>
  <c r="R674" i="19"/>
  <c r="R177" i="19"/>
  <c r="R1086" i="19"/>
  <c r="R5855" i="19"/>
  <c r="R4110" i="19"/>
  <c r="R447" i="19"/>
  <c r="R3164" i="19"/>
  <c r="R1428" i="19"/>
  <c r="R1132" i="19"/>
  <c r="R3244" i="19"/>
  <c r="R932" i="19"/>
  <c r="R4835" i="19"/>
  <c r="R3287" i="19"/>
  <c r="R3680" i="19"/>
  <c r="R2926" i="19"/>
  <c r="R5601" i="19"/>
  <c r="R547" i="19"/>
  <c r="R745" i="19"/>
  <c r="R715" i="19"/>
  <c r="R627" i="19"/>
  <c r="R223" i="19"/>
  <c r="R3308" i="19"/>
  <c r="R1585" i="19"/>
  <c r="R954" i="19"/>
  <c r="R2032" i="19"/>
  <c r="R298" i="19"/>
  <c r="R3095" i="19"/>
  <c r="R323" i="19"/>
  <c r="R2112" i="19"/>
  <c r="R3033" i="19"/>
  <c r="R1381" i="19"/>
  <c r="R25" i="19"/>
  <c r="R5447" i="19"/>
  <c r="R479" i="19"/>
  <c r="R1214" i="19"/>
  <c r="R1022" i="19"/>
  <c r="R3370" i="19"/>
  <c r="R1334" i="19"/>
  <c r="R3130" i="19"/>
  <c r="R3252" i="19"/>
  <c r="R2859" i="19"/>
  <c r="R1325" i="19"/>
  <c r="R4103" i="19"/>
  <c r="R3651" i="19"/>
  <c r="R2843" i="19"/>
  <c r="R3291" i="19"/>
  <c r="R4043" i="19"/>
  <c r="R1946" i="19"/>
  <c r="R1273" i="19"/>
  <c r="R2942" i="19"/>
  <c r="R1824" i="19"/>
  <c r="R2399" i="19"/>
  <c r="R3682" i="19"/>
  <c r="R1730" i="19"/>
  <c r="R5409" i="19"/>
  <c r="R2332" i="19"/>
  <c r="R3353" i="19"/>
  <c r="R3703" i="19"/>
  <c r="R3699" i="19"/>
  <c r="R3238" i="19"/>
  <c r="R3527" i="19"/>
  <c r="R1575" i="19"/>
  <c r="R2439" i="19"/>
  <c r="R4471" i="19"/>
  <c r="R4424" i="19"/>
  <c r="R5185" i="19"/>
  <c r="R1278" i="19"/>
  <c r="R5535" i="19"/>
  <c r="R5123" i="19"/>
  <c r="R750" i="19"/>
  <c r="R4255" i="19"/>
  <c r="R2154" i="19"/>
  <c r="R3361" i="19"/>
  <c r="R762" i="19"/>
  <c r="R401" i="19"/>
  <c r="R4259" i="19"/>
  <c r="R5170" i="19"/>
  <c r="R686" i="19"/>
  <c r="R5040" i="19"/>
  <c r="R812" i="19"/>
  <c r="R324" i="19"/>
  <c r="R4535" i="19"/>
  <c r="R250" i="19"/>
  <c r="R657" i="19"/>
  <c r="R3722" i="19"/>
  <c r="R265" i="19"/>
  <c r="R5373" i="19"/>
  <c r="R4763" i="19"/>
  <c r="R2000" i="19"/>
  <c r="R2297" i="19"/>
  <c r="R1581" i="19"/>
  <c r="R3218" i="19"/>
  <c r="R3725" i="19"/>
  <c r="R2080" i="19"/>
  <c r="R2076" i="19"/>
  <c r="R2373" i="19"/>
  <c r="R388" i="19"/>
  <c r="R4827" i="19"/>
  <c r="R2832" i="19"/>
  <c r="R4034" i="19"/>
  <c r="R4723" i="19"/>
  <c r="R3192" i="19"/>
  <c r="R4156" i="19"/>
  <c r="R3119" i="19"/>
  <c r="R5742" i="19"/>
  <c r="R407" i="19"/>
  <c r="R3766" i="19"/>
  <c r="R3920" i="19"/>
  <c r="R5389" i="19"/>
  <c r="I345" i="20"/>
  <c r="J345" i="20"/>
  <c r="K345" i="20"/>
  <c r="J263" i="20"/>
  <c r="I263" i="20"/>
  <c r="K263" i="20"/>
  <c r="R540" i="19"/>
  <c r="R263" i="19"/>
  <c r="R926" i="19"/>
  <c r="R206" i="19"/>
  <c r="R803" i="19"/>
  <c r="R1674" i="19"/>
  <c r="R3715" i="19"/>
  <c r="R3697" i="19"/>
  <c r="R1335" i="19"/>
  <c r="R2933" i="19"/>
  <c r="R2466" i="19"/>
  <c r="R2012" i="19"/>
  <c r="R5778" i="19"/>
  <c r="R4873" i="19"/>
  <c r="R4834" i="19"/>
  <c r="R2122" i="19"/>
  <c r="R5213" i="19"/>
  <c r="R4238" i="19"/>
  <c r="R1419" i="19"/>
  <c r="R2291" i="19"/>
  <c r="R4175" i="19"/>
  <c r="R2257" i="19"/>
  <c r="R5083" i="19"/>
  <c r="R5487" i="19"/>
  <c r="R5532" i="19"/>
  <c r="R5033" i="19"/>
  <c r="R5497" i="19"/>
  <c r="R4938" i="19"/>
  <c r="R642" i="19"/>
  <c r="R356" i="19"/>
  <c r="R319" i="19"/>
  <c r="R3531" i="19"/>
  <c r="R839" i="19"/>
  <c r="R1788" i="19"/>
  <c r="R4201" i="19"/>
  <c r="R1822" i="19"/>
  <c r="R1678" i="19"/>
  <c r="R2263" i="19"/>
  <c r="R3698" i="19"/>
  <c r="R2958" i="19"/>
  <c r="R5001" i="19"/>
  <c r="R2687" i="19"/>
  <c r="R2872" i="19"/>
  <c r="R2013" i="19"/>
  <c r="R649" i="19"/>
  <c r="R5696" i="19"/>
  <c r="R619" i="19"/>
  <c r="R1399" i="19"/>
  <c r="R2497" i="19"/>
  <c r="R3324" i="19"/>
  <c r="R4516" i="19"/>
  <c r="R4864" i="19"/>
  <c r="R5608" i="19"/>
  <c r="R4652" i="19"/>
  <c r="R4170" i="19"/>
  <c r="R4919" i="19"/>
  <c r="I236" i="20"/>
  <c r="K236" i="20"/>
  <c r="J236" i="20"/>
  <c r="R920" i="19"/>
  <c r="R2028" i="19"/>
  <c r="R859" i="19"/>
  <c r="R636" i="19"/>
  <c r="R3786" i="19"/>
  <c r="R3811" i="19"/>
  <c r="R3054" i="19"/>
  <c r="R203" i="19"/>
  <c r="R818" i="19"/>
  <c r="R2098" i="19"/>
  <c r="R468" i="19"/>
  <c r="R30" i="19"/>
  <c r="R958" i="19"/>
  <c r="R1967" i="19"/>
  <c r="R3140" i="19"/>
  <c r="R3647" i="19"/>
  <c r="R4879" i="19"/>
  <c r="R4413" i="19"/>
  <c r="R5111" i="19"/>
  <c r="R2457" i="19"/>
  <c r="R1293" i="19"/>
  <c r="R3172" i="19"/>
  <c r="R4714" i="19"/>
  <c r="R2277" i="19"/>
  <c r="R1990" i="19"/>
  <c r="R2992" i="19"/>
  <c r="R3022" i="19"/>
  <c r="R4256" i="19"/>
  <c r="R4765" i="19"/>
  <c r="R2159" i="19"/>
  <c r="R4206" i="19"/>
  <c r="R5248" i="19"/>
  <c r="R5485" i="19"/>
  <c r="R1646" i="19"/>
  <c r="R3113" i="19"/>
  <c r="R2670" i="19"/>
  <c r="R36" i="19"/>
  <c r="R196" i="19"/>
  <c r="R1206" i="19"/>
  <c r="R2939" i="19"/>
  <c r="R2706" i="19"/>
  <c r="R2242" i="19"/>
  <c r="R2633" i="19"/>
  <c r="R4126" i="19"/>
  <c r="R904" i="19"/>
  <c r="R1999" i="19"/>
  <c r="R5771" i="19"/>
  <c r="R2382" i="19"/>
  <c r="R3112" i="19"/>
  <c r="R4611" i="19"/>
  <c r="R5749" i="19"/>
  <c r="R1684" i="19"/>
  <c r="R3843" i="19"/>
  <c r="R1652" i="19"/>
  <c r="R1819" i="19"/>
  <c r="R5521" i="19"/>
  <c r="R1881" i="19"/>
  <c r="R5208" i="19"/>
  <c r="R2449" i="19"/>
  <c r="R1056" i="19"/>
  <c r="R2501" i="19"/>
  <c r="R2967" i="19"/>
  <c r="R284" i="19"/>
  <c r="R456" i="19"/>
  <c r="R1215" i="19"/>
  <c r="R4586" i="19"/>
  <c r="R834" i="19"/>
  <c r="R817" i="19"/>
  <c r="R2376" i="19"/>
  <c r="R5506" i="19"/>
  <c r="R2536" i="19"/>
  <c r="R517" i="19"/>
  <c r="R2092" i="19"/>
  <c r="R5584" i="19"/>
  <c r="R5550" i="19"/>
  <c r="R3026" i="19"/>
  <c r="R4122" i="19"/>
  <c r="R2329" i="19"/>
  <c r="R3675" i="19"/>
  <c r="R5211" i="19"/>
  <c r="R4972" i="19"/>
  <c r="K324" i="20"/>
  <c r="J324" i="20"/>
  <c r="I324" i="20"/>
  <c r="R225" i="19"/>
  <c r="R2066" i="19"/>
  <c r="R620" i="19"/>
  <c r="R601" i="19"/>
  <c r="R710" i="19"/>
  <c r="R5852" i="19"/>
  <c r="R211" i="19"/>
  <c r="R1182" i="19"/>
  <c r="R4771" i="19"/>
  <c r="R1689" i="19"/>
  <c r="R5191" i="19"/>
  <c r="R3086" i="19"/>
  <c r="R4399" i="19"/>
  <c r="R5219" i="19"/>
  <c r="R5105" i="19"/>
  <c r="R4507" i="19"/>
  <c r="R5009" i="19"/>
  <c r="R5833" i="19"/>
  <c r="R3106" i="19"/>
  <c r="R5500" i="19"/>
  <c r="R5217" i="19"/>
  <c r="K333" i="20"/>
  <c r="J333" i="20"/>
  <c r="I333" i="20"/>
  <c r="R669" i="19"/>
  <c r="R840" i="19"/>
  <c r="R257" i="19"/>
  <c r="R783" i="19"/>
  <c r="R4547" i="19"/>
  <c r="R1070" i="19"/>
  <c r="R425" i="19"/>
  <c r="R4395" i="19"/>
  <c r="R2647" i="19"/>
  <c r="R3374" i="19"/>
  <c r="R3310" i="19"/>
  <c r="R5228" i="19"/>
  <c r="R2062" i="19"/>
  <c r="R5212" i="19"/>
  <c r="R2251" i="19"/>
  <c r="R2069" i="19"/>
  <c r="R1835" i="19"/>
  <c r="R3977" i="19"/>
  <c r="R1530" i="19"/>
  <c r="R2213" i="19"/>
  <c r="R5501" i="19"/>
  <c r="R3986" i="19"/>
  <c r="R5203" i="19"/>
  <c r="R125" i="19"/>
  <c r="R861" i="19"/>
  <c r="R1201" i="19"/>
  <c r="R491" i="19"/>
  <c r="R1126" i="19"/>
  <c r="R1212" i="19"/>
  <c r="R44" i="19"/>
  <c r="R3120" i="19"/>
  <c r="R789" i="19"/>
  <c r="R1872" i="19"/>
  <c r="R3200" i="19"/>
  <c r="R2513" i="19"/>
  <c r="R5850" i="19"/>
  <c r="R1481" i="19"/>
  <c r="R2459" i="19"/>
  <c r="R2283" i="19"/>
  <c r="R3877" i="19"/>
  <c r="R4551" i="19"/>
  <c r="R3502" i="19"/>
  <c r="R2236" i="19"/>
  <c r="R1366" i="19"/>
  <c r="R4536" i="19"/>
  <c r="R4701" i="19"/>
  <c r="R400" i="19"/>
  <c r="R32" i="19"/>
  <c r="R4513" i="19"/>
  <c r="R143" i="19"/>
  <c r="R2792" i="19"/>
  <c r="R1229" i="19"/>
  <c r="R5829" i="19"/>
  <c r="R5554" i="19"/>
  <c r="R3096" i="19"/>
  <c r="R3003" i="19"/>
  <c r="R2717" i="19"/>
  <c r="R4063" i="19"/>
  <c r="R3611" i="19"/>
  <c r="R5412" i="19"/>
  <c r="R4569" i="19"/>
  <c r="R5075" i="19"/>
  <c r="R4694" i="19"/>
  <c r="R5477" i="19"/>
  <c r="R5466" i="19"/>
  <c r="R478" i="19"/>
  <c r="R3397" i="19"/>
  <c r="R2350" i="19"/>
  <c r="R4397" i="19"/>
  <c r="R328" i="19"/>
  <c r="R844" i="19"/>
  <c r="R502" i="19"/>
  <c r="R5826" i="19"/>
  <c r="R5306" i="19"/>
  <c r="R969" i="19"/>
  <c r="R3521" i="19"/>
  <c r="R1683" i="19"/>
  <c r="R5321" i="19"/>
  <c r="R1031" i="19"/>
  <c r="R3681" i="19"/>
  <c r="R5438" i="19"/>
  <c r="R3979" i="19"/>
  <c r="R5847" i="19"/>
  <c r="R1488" i="19"/>
  <c r="R3913" i="19"/>
  <c r="R2037" i="19"/>
  <c r="R2911" i="19"/>
  <c r="R3352" i="19"/>
  <c r="R3481" i="19"/>
  <c r="R2947" i="19"/>
  <c r="R4854" i="19"/>
  <c r="R4149" i="19"/>
  <c r="R658" i="19"/>
  <c r="R2139" i="19"/>
  <c r="R4008" i="19"/>
  <c r="R3032" i="19"/>
  <c r="R1587" i="19"/>
  <c r="R4199" i="19"/>
  <c r="R3267" i="19"/>
  <c r="J364" i="20"/>
  <c r="R738" i="19"/>
  <c r="R692" i="19"/>
  <c r="R764" i="19"/>
  <c r="R741" i="19"/>
  <c r="R2114" i="19"/>
  <c r="R106" i="19"/>
  <c r="R483" i="19"/>
  <c r="R1194" i="19"/>
  <c r="R605" i="19"/>
  <c r="R258" i="19"/>
  <c r="R5659" i="19"/>
  <c r="R5555" i="19"/>
  <c r="R1051" i="19"/>
  <c r="R2208" i="19"/>
  <c r="R266" i="19"/>
  <c r="R4662" i="19"/>
  <c r="R1791" i="19"/>
  <c r="R4387" i="19"/>
  <c r="R5347" i="19"/>
  <c r="R2862" i="19"/>
  <c r="R2835" i="19"/>
  <c r="R3319" i="19"/>
  <c r="R4518" i="19"/>
  <c r="R2604" i="19"/>
  <c r="R3377" i="19"/>
  <c r="R5800" i="19"/>
  <c r="R3126" i="19"/>
  <c r="R1838" i="19"/>
  <c r="R1425" i="19"/>
  <c r="R5198" i="19"/>
  <c r="R2713" i="19"/>
  <c r="R2158" i="19"/>
  <c r="R5206" i="19"/>
  <c r="R855" i="19"/>
  <c r="R103" i="19"/>
  <c r="R1880" i="19"/>
  <c r="R1210" i="19"/>
  <c r="R296" i="19"/>
  <c r="R1920" i="19"/>
  <c r="R2704" i="19"/>
  <c r="R2919" i="19"/>
  <c r="R2928" i="19"/>
  <c r="R2731" i="19"/>
  <c r="R4252" i="19"/>
  <c r="R4817" i="19"/>
  <c r="R4979" i="19"/>
  <c r="R4634" i="19"/>
  <c r="R3348" i="19"/>
  <c r="R5055" i="19"/>
  <c r="R5160" i="19"/>
  <c r="R5008" i="19"/>
  <c r="R2446" i="19"/>
  <c r="R1392" i="19"/>
  <c r="J212" i="20"/>
  <c r="K212" i="20"/>
  <c r="I212" i="20"/>
  <c r="J311" i="20"/>
  <c r="R758" i="19"/>
  <c r="R2705" i="19"/>
  <c r="R337" i="19"/>
  <c r="R1285" i="19"/>
  <c r="R4479" i="19"/>
  <c r="R1079" i="19"/>
  <c r="R1722" i="19"/>
  <c r="R2811" i="19"/>
  <c r="R5259" i="19"/>
  <c r="R5060" i="19"/>
  <c r="R2131" i="19"/>
  <c r="R1997" i="19"/>
  <c r="R5069" i="19"/>
  <c r="R4893" i="19"/>
  <c r="R1797" i="19"/>
  <c r="R2485" i="19"/>
  <c r="R3751" i="19"/>
  <c r="R1747" i="19"/>
  <c r="R1371" i="19"/>
  <c r="R5579" i="19"/>
  <c r="R1025" i="19"/>
  <c r="R3326" i="19"/>
  <c r="R3393" i="19"/>
  <c r="R5379" i="19"/>
  <c r="R340" i="19"/>
  <c r="R4596" i="19"/>
  <c r="R184" i="19"/>
  <c r="R989" i="19"/>
  <c r="R2867" i="19"/>
  <c r="R3063" i="19"/>
  <c r="R5215" i="19"/>
  <c r="R3630" i="19"/>
  <c r="R3758" i="19"/>
  <c r="R4729" i="19"/>
  <c r="R2051" i="19"/>
  <c r="R2864" i="19"/>
  <c r="R5043" i="19"/>
  <c r="R5327" i="19"/>
  <c r="R4078" i="19"/>
  <c r="R4129" i="19"/>
  <c r="R4615" i="19"/>
  <c r="R1270" i="19"/>
  <c r="R4192" i="19"/>
  <c r="R1829" i="19"/>
  <c r="R2205" i="19"/>
  <c r="R3118" i="19"/>
  <c r="R2101" i="19"/>
  <c r="R4317" i="19"/>
  <c r="R4188" i="19"/>
  <c r="R2346" i="19"/>
  <c r="R5832" i="19"/>
  <c r="R1298" i="19"/>
  <c r="R3418" i="19"/>
  <c r="R1000" i="19"/>
  <c r="R1050" i="19"/>
  <c r="R714" i="19"/>
  <c r="R645" i="19"/>
  <c r="R1082" i="19"/>
  <c r="R1362" i="19"/>
  <c r="R1034" i="19"/>
  <c r="R2891" i="19"/>
  <c r="R1955" i="19"/>
  <c r="R5432" i="19"/>
  <c r="R1429" i="19"/>
  <c r="R3854" i="19"/>
  <c r="R3156" i="19"/>
  <c r="R2732" i="19"/>
  <c r="R5736" i="19"/>
  <c r="R4205" i="19"/>
  <c r="R3246" i="19"/>
  <c r="R5011" i="19"/>
  <c r="R1884" i="19"/>
  <c r="R3932" i="19"/>
  <c r="R2496" i="19"/>
  <c r="R4448" i="19"/>
  <c r="R5577" i="19"/>
  <c r="R5562" i="19"/>
  <c r="R5451" i="19"/>
  <c r="R595" i="19"/>
  <c r="Q22" i="10"/>
  <c r="GI22" i="10" s="1"/>
  <c r="AT22" i="10" s="1"/>
  <c r="R1080" i="19"/>
  <c r="R5441" i="19"/>
  <c r="R791" i="19"/>
  <c r="R4645" i="19"/>
  <c r="R5607" i="19"/>
  <c r="R5502" i="19"/>
  <c r="J284" i="20"/>
  <c r="K284" i="20"/>
  <c r="R1052" i="19"/>
  <c r="R752" i="19"/>
  <c r="R4883" i="19"/>
  <c r="R5174" i="19"/>
  <c r="R5619" i="19"/>
  <c r="R4789" i="19"/>
  <c r="R5406" i="19"/>
  <c r="R10" i="19"/>
  <c r="R2932" i="19"/>
  <c r="R5786" i="19"/>
  <c r="R3233" i="19"/>
  <c r="R4928" i="19"/>
  <c r="R3831" i="19"/>
  <c r="R4913" i="19"/>
  <c r="R3015" i="19"/>
  <c r="R5068" i="19"/>
  <c r="R4592" i="19"/>
  <c r="R2791" i="19"/>
  <c r="R5748" i="19"/>
  <c r="R5186" i="19"/>
  <c r="R1275" i="19"/>
  <c r="R2873" i="19"/>
  <c r="R2922" i="19"/>
  <c r="R2161" i="19"/>
  <c r="R5769" i="19"/>
  <c r="R682" i="19"/>
  <c r="R4764" i="19"/>
  <c r="R3707" i="19"/>
  <c r="R4189" i="19"/>
  <c r="R4370" i="19"/>
  <c r="R5445" i="19"/>
  <c r="R700" i="19"/>
  <c r="R5352" i="19"/>
  <c r="R5636" i="19"/>
  <c r="R79" i="19"/>
  <c r="R5448" i="19"/>
  <c r="R5615" i="19"/>
  <c r="R484" i="19"/>
  <c r="R668" i="19"/>
  <c r="R507" i="19"/>
  <c r="R4565" i="19"/>
  <c r="R56" i="19"/>
  <c r="R784" i="19"/>
  <c r="R2905" i="19"/>
  <c r="R4091" i="19"/>
  <c r="R950" i="19"/>
  <c r="R5343" i="19"/>
  <c r="R2133" i="19"/>
  <c r="R5780" i="19"/>
  <c r="R1454" i="19"/>
  <c r="R381" i="19"/>
  <c r="R1037" i="19"/>
  <c r="R1027" i="19"/>
  <c r="R3942" i="19"/>
  <c r="R1777" i="19"/>
  <c r="R5668" i="19"/>
  <c r="R2730" i="19"/>
  <c r="R5450" i="19"/>
  <c r="R2583" i="19"/>
  <c r="R1686" i="19"/>
  <c r="R5729" i="19"/>
  <c r="R5720" i="19"/>
  <c r="R3135" i="19"/>
  <c r="R1382" i="19"/>
  <c r="R1763" i="19"/>
  <c r="R5825" i="19"/>
  <c r="R3297" i="19"/>
  <c r="R3857" i="19"/>
  <c r="R2106" i="19"/>
  <c r="R3695" i="19"/>
  <c r="R1268" i="19"/>
  <c r="R3334" i="19"/>
  <c r="R4961" i="19"/>
  <c r="R4055" i="19"/>
  <c r="R5199" i="19"/>
  <c r="R1658" i="19"/>
  <c r="R2219" i="19"/>
  <c r="R2989" i="19"/>
  <c r="R374" i="19"/>
  <c r="R670" i="19"/>
  <c r="R2394" i="19"/>
  <c r="R5462" i="19"/>
  <c r="R4159" i="19"/>
  <c r="R1973" i="19"/>
  <c r="R2951" i="19"/>
  <c r="R130" i="19"/>
  <c r="R781" i="19"/>
  <c r="R3330" i="19"/>
  <c r="R264" i="19"/>
  <c r="R3280" i="19"/>
  <c r="R1951" i="19"/>
  <c r="R1879" i="19"/>
  <c r="R1352" i="19"/>
  <c r="R2530" i="19"/>
  <c r="R2411" i="19"/>
  <c r="R5817" i="19"/>
  <c r="R2897" i="19"/>
  <c r="R1834" i="19"/>
  <c r="R3117" i="19"/>
  <c r="R4051" i="19"/>
  <c r="R2952" i="19"/>
  <c r="R3471" i="19"/>
  <c r="R5726" i="19"/>
  <c r="R5339" i="19"/>
  <c r="R2008" i="19"/>
  <c r="R3056" i="19"/>
  <c r="R3024" i="19"/>
  <c r="R1992" i="19"/>
  <c r="R3687" i="19"/>
  <c r="R2016" i="19"/>
  <c r="R4570" i="19"/>
  <c r="R5091" i="19"/>
  <c r="R1283" i="19"/>
  <c r="R4916" i="19"/>
  <c r="R3900" i="19"/>
  <c r="R3927" i="19"/>
  <c r="R5113" i="19"/>
  <c r="R5527" i="19"/>
  <c r="R1406" i="19"/>
  <c r="R5266" i="19"/>
  <c r="R2648" i="19"/>
  <c r="R723" i="19"/>
  <c r="R1228" i="19"/>
  <c r="R4531" i="19"/>
  <c r="R1186" i="19"/>
  <c r="R898" i="19"/>
  <c r="R516" i="19"/>
  <c r="R773" i="19"/>
  <c r="R5024" i="19"/>
  <c r="R1780" i="19"/>
  <c r="R842" i="19"/>
  <c r="R886" i="19"/>
  <c r="R3272" i="19"/>
  <c r="R3343" i="19"/>
  <c r="R1386" i="19"/>
  <c r="R2043" i="19"/>
  <c r="R5455" i="19"/>
  <c r="R1209" i="19"/>
  <c r="R306" i="19"/>
  <c r="R3159" i="19"/>
  <c r="R4056" i="19"/>
  <c r="R3366" i="19"/>
  <c r="R5243" i="19"/>
  <c r="R3437" i="19"/>
  <c r="R5590" i="19"/>
  <c r="R1598" i="19"/>
  <c r="R1567" i="19"/>
  <c r="R4446" i="19"/>
  <c r="R1762" i="19"/>
  <c r="R3467" i="19"/>
  <c r="R4704" i="19"/>
  <c r="R4482" i="19"/>
  <c r="R3299" i="19"/>
  <c r="R2309" i="19"/>
  <c r="R2344" i="19"/>
  <c r="R4978" i="19"/>
  <c r="R1457" i="19"/>
  <c r="R4937" i="19"/>
  <c r="R2052" i="19"/>
  <c r="R1915" i="19"/>
  <c r="R1449" i="19"/>
  <c r="R4038" i="19"/>
  <c r="R4160" i="19"/>
  <c r="R5087" i="19"/>
  <c r="R5295" i="19"/>
  <c r="R2252" i="19"/>
  <c r="R5315" i="19"/>
  <c r="K329" i="20"/>
  <c r="I329" i="20"/>
  <c r="J329" i="20"/>
  <c r="R4839" i="19"/>
  <c r="R5794" i="19"/>
  <c r="R1961" i="19"/>
  <c r="R1707" i="19"/>
  <c r="R2798" i="19"/>
  <c r="R4158" i="19"/>
  <c r="R3142" i="19"/>
  <c r="R4310" i="19"/>
  <c r="R4876" i="19"/>
  <c r="R4747" i="19"/>
  <c r="R587" i="19"/>
  <c r="R2471" i="19"/>
  <c r="R5576" i="19"/>
  <c r="R5611" i="19"/>
  <c r="R2268" i="19"/>
  <c r="R2129" i="19"/>
  <c r="R3019" i="19"/>
  <c r="R3954" i="19"/>
  <c r="R4047" i="19"/>
  <c r="R530" i="19"/>
  <c r="R342" i="19"/>
  <c r="R453" i="19"/>
  <c r="R706" i="19"/>
  <c r="R286" i="19"/>
  <c r="R3821" i="19"/>
  <c r="R4532" i="19"/>
  <c r="R458" i="19"/>
  <c r="R1950" i="19"/>
  <c r="R1724" i="19"/>
  <c r="R2868" i="19"/>
  <c r="R2361" i="19"/>
  <c r="R3092" i="19"/>
  <c r="R5231" i="19"/>
  <c r="R38" i="19"/>
  <c r="R3023" i="19"/>
  <c r="R2577" i="19"/>
  <c r="R3462" i="19"/>
  <c r="R4293" i="19"/>
  <c r="R2059" i="19"/>
  <c r="R1958" i="19"/>
  <c r="R5644" i="19"/>
  <c r="R5754" i="19"/>
  <c r="R4409" i="19"/>
  <c r="R2075" i="19"/>
  <c r="R2574" i="19"/>
  <c r="R2058" i="19"/>
  <c r="R3419" i="19"/>
  <c r="R3215" i="19"/>
  <c r="R2741" i="19"/>
  <c r="R3678" i="19"/>
  <c r="R3316" i="19"/>
  <c r="R4204" i="19"/>
  <c r="R2272" i="19"/>
  <c r="R4991" i="19"/>
  <c r="R3485" i="19"/>
  <c r="R2011" i="19"/>
  <c r="R4776" i="19"/>
  <c r="R4853" i="19"/>
  <c r="R3796" i="19"/>
  <c r="R1862" i="19"/>
  <c r="R5152" i="19"/>
  <c r="R4426" i="19"/>
  <c r="R5005" i="19"/>
  <c r="R4266" i="19"/>
  <c r="R4534" i="19"/>
  <c r="R1772" i="19"/>
  <c r="R1308" i="19"/>
  <c r="R1789" i="19"/>
  <c r="R1421" i="19"/>
  <c r="R1433" i="19"/>
  <c r="R4948" i="19"/>
  <c r="R4294" i="19"/>
  <c r="R2171" i="19"/>
  <c r="R2589" i="19"/>
  <c r="R2758" i="19"/>
  <c r="K6" i="19"/>
  <c r="L6" i="19"/>
  <c r="R697" i="19"/>
  <c r="R1895" i="19"/>
  <c r="R402" i="19"/>
  <c r="R434" i="19"/>
  <c r="R1248" i="19"/>
  <c r="R735" i="19"/>
  <c r="R515" i="19"/>
  <c r="R675" i="19"/>
  <c r="R4341" i="19"/>
  <c r="R3434" i="19"/>
  <c r="R2634" i="19"/>
  <c r="R2587" i="19"/>
  <c r="R5135" i="19"/>
  <c r="R830" i="19"/>
  <c r="R2669" i="19"/>
  <c r="R5645" i="19"/>
  <c r="R1112" i="19"/>
  <c r="R496" i="19"/>
  <c r="R1926" i="19"/>
  <c r="R5167" i="19"/>
  <c r="R2555" i="19"/>
  <c r="R5787" i="19"/>
  <c r="R4319" i="19"/>
  <c r="R1495" i="19"/>
  <c r="R4803" i="19"/>
  <c r="R2526" i="19"/>
  <c r="R4367" i="19"/>
  <c r="R3281" i="19"/>
  <c r="R2443" i="19"/>
  <c r="R3498" i="19"/>
  <c r="R3458" i="19"/>
  <c r="R2913" i="19"/>
  <c r="R3152" i="19"/>
  <c r="R2571" i="19"/>
  <c r="R3416" i="19"/>
  <c r="R5838" i="19"/>
  <c r="R5120" i="19"/>
  <c r="R4796" i="19"/>
  <c r="R3173" i="19"/>
  <c r="R2829" i="19"/>
  <c r="R2001" i="19"/>
  <c r="R2157" i="19"/>
  <c r="R5849" i="19"/>
  <c r="R1870" i="19"/>
  <c r="R1814" i="19"/>
  <c r="R1935" i="19"/>
  <c r="R5337" i="19"/>
  <c r="R5015" i="19"/>
  <c r="R4918" i="19"/>
  <c r="R1907" i="19"/>
  <c r="R4799" i="19"/>
  <c r="R2366" i="19"/>
  <c r="R1329" i="19"/>
  <c r="R3466" i="19"/>
  <c r="R1487" i="19"/>
  <c r="R4498" i="19"/>
  <c r="R1272" i="19"/>
  <c r="R1353" i="19"/>
  <c r="R2392" i="19"/>
  <c r="R5065" i="19"/>
  <c r="R5410" i="19"/>
  <c r="R5200" i="19"/>
  <c r="R4060" i="19"/>
  <c r="R1663" i="19"/>
  <c r="R1455" i="19"/>
  <c r="R5567" i="19"/>
  <c r="R5064" i="19"/>
  <c r="R1547" i="19"/>
  <c r="R4984" i="19"/>
  <c r="R5360" i="19"/>
  <c r="R3825" i="19"/>
  <c r="R4145" i="19"/>
  <c r="R5320" i="19"/>
  <c r="R1372" i="19"/>
  <c r="R2312" i="19"/>
  <c r="R5326" i="19"/>
  <c r="R5093" i="19"/>
  <c r="R3269" i="19"/>
  <c r="R1851" i="19"/>
  <c r="R5661" i="19"/>
  <c r="R1046" i="19"/>
  <c r="R955" i="19"/>
  <c r="R5564" i="19"/>
  <c r="R413" i="19"/>
  <c r="R260" i="19"/>
  <c r="R4511" i="19"/>
  <c r="R1204" i="19"/>
  <c r="R889" i="19"/>
  <c r="R3286" i="19"/>
  <c r="R2685" i="19"/>
  <c r="R1827" i="19"/>
  <c r="R4286" i="19"/>
  <c r="R5264" i="19"/>
  <c r="R2226" i="19"/>
  <c r="R3323" i="19"/>
  <c r="R3305" i="19"/>
  <c r="R5671" i="19"/>
  <c r="R3953" i="19"/>
  <c r="R3567" i="19"/>
  <c r="R1482" i="19"/>
  <c r="R3945" i="19"/>
  <c r="R1796" i="19"/>
  <c r="R1480" i="19"/>
  <c r="R1378" i="19"/>
  <c r="R2676" i="19"/>
  <c r="R1871" i="19"/>
  <c r="R3307" i="19"/>
  <c r="R3387" i="19"/>
  <c r="R5223" i="19"/>
  <c r="R4609" i="19"/>
  <c r="R5703" i="19"/>
  <c r="R4258" i="19"/>
  <c r="R5041" i="19"/>
  <c r="R5746" i="19"/>
  <c r="R5743" i="19"/>
  <c r="R1503" i="19"/>
  <c r="R3231" i="19"/>
  <c r="R2823" i="19"/>
  <c r="R1570" i="19"/>
  <c r="R4449" i="19"/>
  <c r="R4999" i="19"/>
  <c r="R5145" i="19"/>
  <c r="R3542" i="19"/>
  <c r="R2403" i="19"/>
  <c r="R2296" i="19"/>
  <c r="R1887" i="19"/>
  <c r="R2068" i="19"/>
  <c r="R1921" i="19"/>
  <c r="R1365" i="19"/>
  <c r="R2136" i="19"/>
  <c r="R4295" i="19"/>
  <c r="R4263" i="19"/>
  <c r="R4439" i="19"/>
  <c r="R2074" i="19"/>
  <c r="R5127" i="19"/>
  <c r="R2044" i="19"/>
  <c r="R5653" i="19"/>
  <c r="R4312" i="19"/>
  <c r="R4254" i="19"/>
  <c r="R1461" i="19"/>
  <c r="R4211" i="19"/>
  <c r="R2119" i="19"/>
  <c r="R695" i="19"/>
  <c r="R4823" i="19"/>
  <c r="R1623" i="19"/>
  <c r="R4279" i="19"/>
  <c r="R1367" i="19"/>
  <c r="R4891" i="19"/>
  <c r="R1715" i="19"/>
  <c r="R4440" i="19"/>
  <c r="R3433" i="19"/>
  <c r="J218" i="20"/>
  <c r="R1568" i="19"/>
  <c r="R353" i="19"/>
  <c r="R4674" i="19"/>
  <c r="R408" i="19"/>
  <c r="R61" i="19"/>
  <c r="R4639" i="19"/>
  <c r="R577" i="19"/>
  <c r="R4306" i="19"/>
  <c r="R1251" i="19"/>
  <c r="R89" i="19"/>
  <c r="R251" i="19"/>
  <c r="R1996" i="19"/>
  <c r="R3275" i="19"/>
  <c r="R1739" i="19"/>
  <c r="R3093" i="19"/>
  <c r="R1809" i="19"/>
  <c r="R4558" i="19"/>
  <c r="R3347" i="19"/>
  <c r="R4332" i="19"/>
  <c r="R5158" i="19"/>
  <c r="R3955" i="19"/>
  <c r="R2645" i="19"/>
  <c r="R2721" i="19"/>
  <c r="R2816" i="19"/>
  <c r="R4339" i="19"/>
  <c r="R3010" i="19"/>
  <c r="R2917" i="19"/>
  <c r="R4303" i="19"/>
  <c r="R1404" i="19"/>
  <c r="R2365" i="19"/>
  <c r="R2153" i="19"/>
  <c r="R1313" i="19"/>
  <c r="R2553" i="19"/>
  <c r="R3602" i="19"/>
  <c r="R1358" i="19"/>
  <c r="R1913" i="19"/>
  <c r="R3404" i="19"/>
  <c r="R5821" i="19"/>
  <c r="R4095" i="19"/>
  <c r="R5739" i="19"/>
  <c r="R1977" i="19"/>
  <c r="R4716" i="19"/>
  <c r="R2644" i="19"/>
  <c r="R1315" i="19"/>
  <c r="R2135" i="19"/>
  <c r="R2616" i="19"/>
  <c r="R4976" i="19"/>
  <c r="R2480" i="19"/>
  <c r="R4079" i="19"/>
  <c r="R4163" i="19"/>
  <c r="R1507" i="19"/>
  <c r="R5134" i="19"/>
  <c r="R5345" i="19"/>
  <c r="R5138" i="19"/>
  <c r="R5783" i="19"/>
  <c r="R2083" i="19"/>
  <c r="R5299" i="19"/>
  <c r="R4172" i="19"/>
  <c r="R5846" i="19"/>
  <c r="R2477" i="19"/>
  <c r="R2945" i="19"/>
  <c r="R4193" i="19"/>
  <c r="R4132" i="19"/>
  <c r="R3188" i="19"/>
  <c r="R2700" i="19"/>
  <c r="R2963" i="19"/>
  <c r="R542" i="19"/>
  <c r="R1200" i="19"/>
  <c r="R2064" i="19"/>
  <c r="R417" i="19"/>
  <c r="R2116" i="19"/>
  <c r="R170" i="19"/>
  <c r="R4741" i="19"/>
  <c r="R1241" i="19"/>
  <c r="R1246" i="19"/>
  <c r="R2518" i="19"/>
  <c r="R2890" i="19"/>
  <c r="R312" i="19"/>
  <c r="R3923" i="19"/>
  <c r="R964" i="19"/>
  <c r="R885" i="19"/>
  <c r="R5157" i="19"/>
  <c r="R3271" i="19"/>
  <c r="R2134" i="19"/>
  <c r="R5077" i="19"/>
  <c r="R5714" i="19"/>
  <c r="R2754" i="19"/>
  <c r="R5323" i="19"/>
  <c r="R4962" i="19"/>
  <c r="R5129" i="19"/>
  <c r="R1624" i="19"/>
  <c r="R2959" i="19"/>
  <c r="R5340" i="19"/>
  <c r="R2362" i="19"/>
  <c r="R4658" i="19"/>
  <c r="R4895" i="19"/>
  <c r="R5804" i="19"/>
  <c r="R3030" i="19"/>
  <c r="R1878" i="19"/>
  <c r="R4846" i="19"/>
  <c r="R2105" i="19"/>
  <c r="R3935" i="19"/>
  <c r="R2288" i="19"/>
  <c r="R1969" i="19"/>
  <c r="R5237" i="19"/>
  <c r="R2143" i="19"/>
  <c r="R4253" i="19"/>
  <c r="R1723" i="19"/>
  <c r="R4902" i="19"/>
  <c r="R4401" i="19"/>
  <c r="R245" i="19"/>
  <c r="R60" i="19"/>
  <c r="R734" i="19"/>
  <c r="R391" i="19"/>
  <c r="R5354" i="19"/>
  <c r="R566" i="19"/>
  <c r="R696" i="19"/>
  <c r="R2711" i="19"/>
  <c r="R185" i="19"/>
  <c r="R3839" i="19"/>
  <c r="R3282" i="19"/>
  <c r="R814" i="19"/>
  <c r="R1902" i="19"/>
  <c r="R3726" i="19"/>
  <c r="R4394" i="19"/>
  <c r="R4993" i="19"/>
  <c r="R1435" i="19"/>
  <c r="R3704" i="19"/>
  <c r="R2206" i="19"/>
  <c r="R3035" i="19"/>
  <c r="R2187" i="19"/>
  <c r="R1965" i="19"/>
  <c r="R5088" i="19"/>
  <c r="R3136" i="19"/>
  <c r="R2326" i="19"/>
  <c r="R2757" i="19"/>
  <c r="R3501" i="19"/>
  <c r="R1605" i="19"/>
  <c r="R5808" i="19"/>
  <c r="R2107" i="19"/>
  <c r="R5045" i="19"/>
  <c r="R4907" i="19"/>
  <c r="R1290" i="19"/>
  <c r="R5624" i="19"/>
  <c r="R2141" i="19"/>
  <c r="R1328" i="19"/>
  <c r="R5515" i="19"/>
  <c r="R3924" i="19"/>
  <c r="R5341" i="19"/>
  <c r="R1888" i="19"/>
  <c r="R2097" i="19"/>
  <c r="R4522" i="19"/>
  <c r="R4146" i="19"/>
  <c r="R722" i="19"/>
  <c r="R1195" i="19"/>
  <c r="R1233" i="19"/>
  <c r="R836" i="19"/>
  <c r="R1089" i="19"/>
  <c r="R1160" i="19"/>
  <c r="R4517" i="19"/>
  <c r="R719" i="19"/>
  <c r="R1184" i="19"/>
  <c r="R4377" i="19"/>
  <c r="R1218" i="19"/>
  <c r="R5292" i="19"/>
  <c r="R2073" i="19"/>
  <c r="R5263" i="19"/>
  <c r="R856" i="19"/>
  <c r="R2489" i="19"/>
  <c r="R5456" i="19"/>
  <c r="R2284" i="19"/>
  <c r="R3606" i="19"/>
  <c r="R3170" i="19"/>
  <c r="R5639" i="19"/>
  <c r="R4380" i="19"/>
  <c r="R5187" i="19"/>
  <c r="R3167" i="19"/>
  <c r="R3478" i="19"/>
  <c r="R3894" i="19"/>
  <c r="R5856" i="19"/>
  <c r="R4503" i="19"/>
  <c r="R3994" i="19"/>
  <c r="R4515" i="19"/>
  <c r="R5085" i="19"/>
  <c r="R5078" i="19"/>
  <c r="R5467" i="19"/>
  <c r="R5122" i="19"/>
  <c r="R4137" i="19"/>
  <c r="R4180" i="19"/>
  <c r="R2025" i="19"/>
  <c r="R5857" i="19"/>
  <c r="R3388" i="19"/>
  <c r="R2241" i="19"/>
  <c r="R864" i="19"/>
  <c r="R3203" i="19"/>
  <c r="R433" i="19"/>
  <c r="R2409" i="19"/>
  <c r="R1042" i="19"/>
  <c r="R4910" i="19"/>
  <c r="R1058" i="19"/>
  <c r="R1853" i="19"/>
  <c r="R3381" i="19"/>
  <c r="R2418" i="19"/>
  <c r="R4787" i="19"/>
  <c r="R4269" i="19"/>
  <c r="R2898" i="19"/>
  <c r="R2751" i="19"/>
  <c r="R3655" i="19"/>
  <c r="R2063" i="19"/>
  <c r="R1398" i="19"/>
  <c r="R2015" i="19"/>
  <c r="R5460" i="19"/>
  <c r="R3284" i="19"/>
  <c r="R3341" i="19"/>
  <c r="R2033" i="19"/>
  <c r="R5765" i="19"/>
  <c r="R2617" i="19"/>
  <c r="R2924" i="19"/>
  <c r="R2521" i="19"/>
  <c r="R2495" i="19"/>
  <c r="R1387" i="19"/>
  <c r="R533" i="19"/>
  <c r="R2039" i="19"/>
  <c r="R2084" i="19"/>
  <c r="R1932" i="19"/>
  <c r="R5571" i="19"/>
  <c r="R5762" i="19"/>
  <c r="R4566" i="19"/>
  <c r="R4903" i="19"/>
  <c r="R5049" i="19"/>
  <c r="R5342" i="19"/>
  <c r="R5184" i="19"/>
  <c r="R4473" i="19"/>
  <c r="R4355" i="19"/>
  <c r="R4474" i="19"/>
  <c r="R2293" i="19"/>
  <c r="R1599" i="19"/>
  <c r="R4512" i="19"/>
  <c r="R704" i="19"/>
  <c r="R564" i="19"/>
  <c r="R538" i="19"/>
  <c r="R702" i="19"/>
  <c r="R2738" i="19"/>
  <c r="R1514" i="19"/>
  <c r="R3265" i="19"/>
  <c r="R5305" i="19"/>
  <c r="R3273" i="19"/>
  <c r="R2479" i="19"/>
  <c r="R3243" i="19"/>
  <c r="R1286" i="19"/>
  <c r="R815" i="19"/>
  <c r="R4041" i="19"/>
  <c r="R142" i="19"/>
  <c r="R3298" i="19"/>
  <c r="R4725" i="19"/>
  <c r="R4868" i="19"/>
  <c r="R3222" i="19"/>
  <c r="R2027" i="19"/>
  <c r="R2021" i="19"/>
  <c r="R5534" i="19"/>
  <c r="R2729" i="19"/>
  <c r="R5316" i="19"/>
  <c r="R5280" i="19"/>
  <c r="R2140" i="19"/>
  <c r="R2769" i="19"/>
  <c r="R5866" i="19"/>
  <c r="R3830" i="19"/>
  <c r="R4143" i="19"/>
  <c r="R5400" i="19"/>
  <c r="R2110" i="19"/>
  <c r="R2437" i="19"/>
  <c r="R4285" i="19"/>
  <c r="R4274" i="19"/>
  <c r="R2189" i="19"/>
  <c r="R5372" i="19"/>
  <c r="R4761" i="19"/>
  <c r="R4956" i="19"/>
  <c r="R4239" i="19"/>
  <c r="R5394" i="19"/>
  <c r="R2149" i="19"/>
  <c r="R2271" i="19"/>
  <c r="R2079" i="19"/>
  <c r="R3329" i="19"/>
  <c r="R1610" i="19"/>
  <c r="R178" i="19"/>
  <c r="R4494" i="19"/>
  <c r="R3645" i="19"/>
  <c r="R4529" i="19"/>
  <c r="R2640" i="19"/>
  <c r="R3906" i="19"/>
  <c r="R3079" i="19"/>
  <c r="R1001" i="19"/>
  <c r="R2649" i="19"/>
  <c r="R76" i="19"/>
  <c r="R315" i="19"/>
  <c r="R5058" i="19"/>
  <c r="R2014" i="19"/>
  <c r="R5307" i="19"/>
  <c r="R411" i="19"/>
  <c r="R2790" i="19"/>
  <c r="R3293" i="19"/>
  <c r="R2333" i="19"/>
  <c r="R2117" i="19"/>
  <c r="R2733" i="19"/>
  <c r="R1988" i="19"/>
  <c r="R2672" i="19"/>
  <c r="R2936" i="19"/>
  <c r="R4224" i="19"/>
  <c r="R2045" i="19"/>
  <c r="R579" i="19"/>
  <c r="R2500" i="19"/>
  <c r="R5281" i="19"/>
  <c r="R4363" i="19"/>
  <c r="R3157" i="19"/>
  <c r="R1664" i="19"/>
  <c r="R4958" i="19"/>
  <c r="R4276" i="19"/>
  <c r="R4208" i="19"/>
  <c r="R5604" i="19"/>
  <c r="R4005" i="19"/>
  <c r="R3967" i="19"/>
  <c r="R2240" i="19"/>
  <c r="R3002" i="19"/>
  <c r="R1810" i="19"/>
  <c r="R5638" i="19"/>
  <c r="R3866" i="19"/>
  <c r="K366" i="20"/>
  <c r="R521" i="19"/>
  <c r="R378" i="19"/>
  <c r="R852" i="19"/>
  <c r="R879" i="19"/>
  <c r="R1075" i="19"/>
  <c r="R299" i="19"/>
  <c r="R4467" i="19"/>
  <c r="R1899" i="19"/>
  <c r="R3946" i="19"/>
  <c r="R947" i="19"/>
  <c r="R3639" i="19"/>
  <c r="R3373" i="19"/>
  <c r="R2060" i="19"/>
  <c r="R2512" i="19"/>
  <c r="R3700" i="19"/>
  <c r="R3452" i="19"/>
  <c r="R4245" i="19"/>
  <c r="R3477" i="19"/>
  <c r="R4232" i="19"/>
  <c r="R5193" i="19"/>
  <c r="R5180" i="19"/>
  <c r="R2931" i="19"/>
  <c r="R5747" i="19"/>
  <c r="R3226" i="19"/>
  <c r="R5344" i="19"/>
  <c r="R3059" i="19"/>
  <c r="R2089" i="19"/>
  <c r="R2505" i="19"/>
  <c r="R3328" i="19"/>
  <c r="R3701" i="19"/>
  <c r="R3029" i="19"/>
  <c r="R4780" i="19"/>
  <c r="R5740" i="19"/>
  <c r="R3696" i="19"/>
  <c r="R3241" i="19"/>
  <c r="R5868" i="19"/>
  <c r="R5020" i="19"/>
  <c r="R4698" i="19"/>
  <c r="R1766" i="19"/>
  <c r="R4499" i="19"/>
  <c r="R5646" i="19"/>
  <c r="R4384" i="19"/>
  <c r="R4349" i="19"/>
  <c r="R1863" i="19"/>
  <c r="R4946" i="19"/>
  <c r="R5154" i="19"/>
  <c r="R2278" i="19"/>
  <c r="R5089" i="19"/>
  <c r="R3395" i="19"/>
  <c r="R5061" i="19"/>
  <c r="R563" i="19"/>
  <c r="R4814" i="19"/>
  <c r="R2453" i="19"/>
  <c r="R2262" i="19"/>
  <c r="R3947" i="19"/>
  <c r="R3974" i="19"/>
  <c r="R5863" i="19"/>
  <c r="R4185" i="19"/>
  <c r="R5251" i="19"/>
  <c r="R3134" i="19"/>
  <c r="R3930" i="19"/>
  <c r="R5643" i="19"/>
  <c r="R3587" i="19"/>
  <c r="R3718" i="19"/>
  <c r="J362" i="20"/>
  <c r="K362" i="20"/>
  <c r="I362" i="20"/>
  <c r="J247" i="20"/>
  <c r="I247" i="20"/>
  <c r="I151" i="20"/>
  <c r="J151" i="20"/>
  <c r="K151" i="20"/>
  <c r="K90" i="20"/>
  <c r="J90" i="20"/>
  <c r="I90" i="20"/>
  <c r="R64" i="19"/>
  <c r="R5510" i="19"/>
  <c r="I195" i="20"/>
  <c r="K195" i="20"/>
  <c r="J347" i="20"/>
  <c r="I347" i="20"/>
  <c r="K347" i="20"/>
  <c r="K206" i="20"/>
  <c r="J206" i="20"/>
  <c r="K140" i="20"/>
  <c r="I140" i="20"/>
  <c r="J140" i="20"/>
  <c r="R4541" i="19"/>
  <c r="IJ24" i="10"/>
  <c r="JH24" i="10"/>
  <c r="AD24" i="10"/>
  <c r="JG24" i="10"/>
  <c r="AN24" i="10"/>
  <c r="Y24" i="10"/>
  <c r="AF24" i="10"/>
  <c r="JF24" i="10"/>
  <c r="X24" i="10"/>
  <c r="AM24" i="10"/>
  <c r="AV24" i="10"/>
  <c r="AA24" i="10"/>
  <c r="AR24" i="10"/>
  <c r="JE24" i="10"/>
  <c r="AK24" i="10"/>
  <c r="JJ24" i="10"/>
  <c r="AE24" i="10"/>
  <c r="AU24" i="10"/>
  <c r="JK24" i="10"/>
  <c r="DP24" i="10"/>
  <c r="DM24" i="10"/>
  <c r="DN24" i="10"/>
  <c r="DO24" i="10" s="1"/>
  <c r="Z24" i="10"/>
  <c r="AC24" i="10"/>
  <c r="JD24" i="10"/>
  <c r="JI24" i="10"/>
  <c r="FK24" i="10"/>
  <c r="W24" i="10"/>
  <c r="JC24" i="10"/>
  <c r="AB24" i="10"/>
  <c r="AI24" i="10"/>
  <c r="JL24" i="10"/>
  <c r="A18" i="15"/>
  <c r="JM24" i="10"/>
  <c r="JP23" i="10"/>
  <c r="JN23" i="10"/>
  <c r="II23" i="10"/>
  <c r="II20" i="10"/>
  <c r="LI23" i="10"/>
  <c r="IN23" i="10"/>
  <c r="JA23" i="10"/>
  <c r="IM23" i="10"/>
  <c r="EF23" i="10"/>
  <c r="EG23" i="10"/>
  <c r="LA23" i="10"/>
  <c r="IZ23" i="10"/>
  <c r="BT23" i="10"/>
  <c r="LD23" i="10"/>
  <c r="EA23" i="10"/>
  <c r="EB23" i="10"/>
  <c r="DX23" i="10"/>
  <c r="DY23" i="10"/>
  <c r="I240" i="20"/>
  <c r="J240" i="20"/>
  <c r="K240" i="20"/>
  <c r="K131" i="20"/>
  <c r="I131" i="20"/>
  <c r="J131" i="20"/>
  <c r="J119" i="20"/>
  <c r="J196" i="20"/>
  <c r="K196" i="20"/>
  <c r="I196" i="20"/>
  <c r="J264" i="20"/>
  <c r="HY23" i="10"/>
  <c r="Q23" i="10"/>
  <c r="I133" i="20"/>
  <c r="K133" i="20"/>
  <c r="I160" i="20"/>
  <c r="EA22" i="10"/>
  <c r="EB22" i="10"/>
  <c r="DX22" i="10"/>
  <c r="DY22" i="10"/>
  <c r="EF22" i="10"/>
  <c r="EG22" i="10"/>
  <c r="IZ22" i="10"/>
  <c r="JB22" i="10"/>
  <c r="BT22" i="10"/>
  <c r="LD22" i="10"/>
  <c r="LA22" i="10"/>
  <c r="DC22" i="10"/>
  <c r="LB22" i="10"/>
  <c r="K11" i="2"/>
  <c r="W26" i="10"/>
  <c r="JC26" i="10"/>
  <c r="X26" i="10"/>
  <c r="D20" i="15"/>
  <c r="C20" i="15"/>
  <c r="M20" i="15"/>
  <c r="K20" i="15"/>
  <c r="AA20" i="15"/>
  <c r="T20" i="15"/>
  <c r="E20" i="15"/>
  <c r="Z20" i="15"/>
  <c r="DC25" i="10"/>
  <c r="LB25" i="10"/>
  <c r="LE25" i="10"/>
  <c r="LG25" i="10"/>
  <c r="AN25" i="10"/>
  <c r="Y25" i="10"/>
  <c r="JV26" i="10"/>
  <c r="AG26" i="10"/>
  <c r="DM26" i="10"/>
  <c r="AB25" i="10"/>
  <c r="LH25" i="10"/>
  <c r="JV25" i="10"/>
  <c r="JG25" i="10"/>
  <c r="AW25" i="10"/>
  <c r="AR25" i="10"/>
  <c r="AE25" i="10"/>
  <c r="JK25" i="10"/>
  <c r="JH25" i="10"/>
  <c r="AF25" i="10"/>
  <c r="JF25" i="10"/>
  <c r="AO25" i="10"/>
  <c r="W25" i="10"/>
  <c r="JC25" i="10"/>
  <c r="AK25" i="10"/>
  <c r="AA25" i="10"/>
  <c r="JE25" i="10"/>
  <c r="AV25" i="10"/>
  <c r="EI25" i="10"/>
  <c r="EN25" i="10"/>
  <c r="ED23" i="10"/>
  <c r="EM23" i="10"/>
  <c r="AO22" i="10"/>
  <c r="JI22" i="10"/>
  <c r="T63" i="19"/>
  <c r="T109" i="19"/>
  <c r="T62" i="19"/>
  <c r="T108" i="19"/>
  <c r="T64" i="19"/>
  <c r="T65" i="19"/>
  <c r="T40" i="19"/>
  <c r="T43" i="19"/>
  <c r="X62" i="19"/>
  <c r="X108" i="19"/>
  <c r="Z62" i="19"/>
  <c r="AC62" i="19"/>
  <c r="Y62" i="19"/>
  <c r="Y27" i="19"/>
  <c r="Y108" i="19"/>
  <c r="T33" i="19"/>
  <c r="U33" i="19"/>
  <c r="R2031" i="19"/>
  <c r="T35" i="19"/>
  <c r="R2815" i="19"/>
  <c r="T58" i="19"/>
  <c r="T23" i="19"/>
  <c r="T56" i="19"/>
  <c r="R4489" i="19"/>
  <c r="T42" i="19"/>
  <c r="T59" i="19"/>
  <c r="T60" i="19"/>
  <c r="T66" i="19"/>
  <c r="T34" i="19"/>
  <c r="T41" i="19"/>
  <c r="T22" i="19"/>
  <c r="AA63" i="19"/>
  <c r="AC63" i="19"/>
  <c r="Y63" i="19"/>
  <c r="Y109" i="19"/>
  <c r="V63" i="19"/>
  <c r="V109" i="19"/>
  <c r="AB63" i="19"/>
  <c r="Z63" i="19"/>
  <c r="U63" i="19"/>
  <c r="U109" i="19"/>
  <c r="X63" i="19"/>
  <c r="X109" i="19"/>
  <c r="T61" i="19"/>
  <c r="T32" i="19"/>
  <c r="U32" i="19"/>
  <c r="ED22" i="10"/>
  <c r="EM22" i="10"/>
  <c r="BA24" i="10"/>
  <c r="H7" i="20"/>
  <c r="Z18" i="15"/>
  <c r="BB24" i="10"/>
  <c r="GH24" i="10"/>
  <c r="IK24" i="10"/>
  <c r="AG24" i="10"/>
  <c r="AH24" i="10"/>
  <c r="JB23" i="10"/>
  <c r="AA23" i="10"/>
  <c r="JG23" i="10"/>
  <c r="DC23" i="10"/>
  <c r="LB23" i="10"/>
  <c r="LE23" i="10"/>
  <c r="LG23" i="10"/>
  <c r="BN23" i="10"/>
  <c r="A17" i="15" s="1"/>
  <c r="AW22" i="10"/>
  <c r="AF22" i="10"/>
  <c r="X22" i="10"/>
  <c r="FK22" i="10"/>
  <c r="W22" i="10"/>
  <c r="LH22" i="10"/>
  <c r="AK22" i="10"/>
  <c r="AV22" i="10"/>
  <c r="JH22" i="10"/>
  <c r="AA22" i="10"/>
  <c r="JE22" i="10"/>
  <c r="JG22" i="10"/>
  <c r="LE22" i="10"/>
  <c r="LG22" i="10"/>
  <c r="AN22" i="10"/>
  <c r="Y22" i="10"/>
  <c r="FK26" i="10"/>
  <c r="AM26" i="10"/>
  <c r="X25" i="10"/>
  <c r="FK25" i="10"/>
  <c r="CF26" i="10"/>
  <c r="JI25" i="10"/>
  <c r="DM25" i="10"/>
  <c r="AG25" i="10"/>
  <c r="AA62" i="19"/>
  <c r="EI22" i="10"/>
  <c r="EN22" i="10"/>
  <c r="AG22" i="10"/>
  <c r="EI23" i="10"/>
  <c r="EN23" i="10"/>
  <c r="JB394" i="10"/>
  <c r="E10" i="24"/>
  <c r="JH23" i="10"/>
  <c r="AV23" i="10"/>
  <c r="LH23" i="10"/>
  <c r="AN23" i="10"/>
  <c r="Y23" i="10"/>
  <c r="AW23" i="10"/>
  <c r="AR22" i="10"/>
  <c r="AE22" i="10"/>
  <c r="JK22" i="10"/>
  <c r="JK394" i="10" s="1"/>
  <c r="E20" i="24" s="1"/>
  <c r="JF22" i="10"/>
  <c r="AB22" i="10"/>
  <c r="W62" i="19"/>
  <c r="W27" i="19"/>
  <c r="W108" i="19"/>
  <c r="V62" i="19"/>
  <c r="V27" i="19"/>
  <c r="V108" i="19"/>
  <c r="U62" i="19"/>
  <c r="U108" i="19"/>
  <c r="W63" i="19"/>
  <c r="W109" i="19"/>
  <c r="AB62" i="19"/>
  <c r="Y23" i="19"/>
  <c r="U23" i="19"/>
  <c r="X23" i="19"/>
  <c r="V23" i="19"/>
  <c r="AC23" i="19"/>
  <c r="W23" i="19"/>
  <c r="AA23" i="19"/>
  <c r="Z23" i="19"/>
  <c r="AB23" i="19"/>
  <c r="V58" i="19"/>
  <c r="V104" i="19"/>
  <c r="W58" i="19"/>
  <c r="W104" i="19"/>
  <c r="Z58" i="19"/>
  <c r="Y58" i="19"/>
  <c r="Y104" i="19"/>
  <c r="X58" i="19"/>
  <c r="X104" i="19"/>
  <c r="U58" i="19"/>
  <c r="U104" i="19"/>
  <c r="AA58" i="19"/>
  <c r="AC58" i="19"/>
  <c r="T104" i="19"/>
  <c r="AB58" i="19"/>
  <c r="AB38" i="19"/>
  <c r="AA38" i="19"/>
  <c r="Z38" i="19"/>
  <c r="W38" i="19"/>
  <c r="Y38" i="19"/>
  <c r="V38" i="19"/>
  <c r="AC38" i="19"/>
  <c r="W17" i="19"/>
  <c r="AB17" i="19"/>
  <c r="AC17" i="19"/>
  <c r="AA17" i="19"/>
  <c r="Y17" i="19"/>
  <c r="V17" i="19"/>
  <c r="Z17" i="19"/>
  <c r="AB65" i="19"/>
  <c r="AC65" i="19"/>
  <c r="Y65" i="19"/>
  <c r="Y111" i="19"/>
  <c r="Z65" i="19"/>
  <c r="U65" i="19"/>
  <c r="U111" i="19"/>
  <c r="V65" i="19"/>
  <c r="V111" i="19"/>
  <c r="T111" i="19"/>
  <c r="X65" i="19"/>
  <c r="X111" i="19"/>
  <c r="AA65" i="19"/>
  <c r="W65" i="19"/>
  <c r="W111" i="19"/>
  <c r="R2854" i="19"/>
  <c r="W21" i="19"/>
  <c r="Z21" i="19"/>
  <c r="AB21" i="19"/>
  <c r="AA21" i="19"/>
  <c r="V21" i="19"/>
  <c r="AC21" i="19"/>
  <c r="Y21" i="19"/>
  <c r="Y33" i="19"/>
  <c r="W15" i="19"/>
  <c r="Z33" i="19"/>
  <c r="V33" i="19"/>
  <c r="AC15" i="19"/>
  <c r="Z15" i="19"/>
  <c r="AA15" i="19"/>
  <c r="Y15" i="19"/>
  <c r="V15" i="19"/>
  <c r="AC33" i="19"/>
  <c r="AB33" i="19"/>
  <c r="AA33" i="19"/>
  <c r="X33" i="19"/>
  <c r="W33" i="19"/>
  <c r="AB15" i="19"/>
  <c r="Y25" i="19"/>
  <c r="W25" i="19"/>
  <c r="Z25" i="19"/>
  <c r="AA25" i="19"/>
  <c r="AB25" i="19"/>
  <c r="V25" i="19"/>
  <c r="AC25" i="19"/>
  <c r="T105" i="19"/>
  <c r="Y59" i="19"/>
  <c r="Y24" i="19"/>
  <c r="Y105" i="19"/>
  <c r="AC59" i="19"/>
  <c r="AB59" i="19"/>
  <c r="AA59" i="19"/>
  <c r="X59" i="19"/>
  <c r="X105" i="19"/>
  <c r="W59" i="19"/>
  <c r="W24" i="19"/>
  <c r="W105" i="19"/>
  <c r="V59" i="19"/>
  <c r="V24" i="19"/>
  <c r="V105" i="19"/>
  <c r="U59" i="19"/>
  <c r="U105" i="19"/>
  <c r="Z59" i="19"/>
  <c r="AB35" i="19"/>
  <c r="Z35" i="19"/>
  <c r="AC35" i="19"/>
  <c r="V35" i="19"/>
  <c r="U35" i="19"/>
  <c r="AA35" i="19"/>
  <c r="X35" i="19"/>
  <c r="W35" i="19"/>
  <c r="Y35" i="19"/>
  <c r="W30" i="19"/>
  <c r="AC30" i="19"/>
  <c r="Z30" i="19"/>
  <c r="AB30" i="19"/>
  <c r="AA30" i="19"/>
  <c r="V30" i="19"/>
  <c r="Y30" i="19"/>
  <c r="R3483" i="19"/>
  <c r="V64" i="19"/>
  <c r="V110" i="19"/>
  <c r="AB64" i="19"/>
  <c r="Y64" i="19"/>
  <c r="Y110" i="19"/>
  <c r="Z64" i="19"/>
  <c r="AA64" i="19"/>
  <c r="X64" i="19"/>
  <c r="X110" i="19"/>
  <c r="W64" i="19"/>
  <c r="W110" i="19"/>
  <c r="T110" i="19"/>
  <c r="U64" i="19"/>
  <c r="U110" i="19"/>
  <c r="AC64" i="19"/>
  <c r="R3168" i="19"/>
  <c r="Z28" i="19"/>
  <c r="Y28" i="19"/>
  <c r="W28" i="19"/>
  <c r="AB28" i="19"/>
  <c r="AC28" i="19"/>
  <c r="V28" i="19"/>
  <c r="AA28" i="19"/>
  <c r="V43" i="19"/>
  <c r="AC43" i="19"/>
  <c r="Z43" i="19"/>
  <c r="AB43" i="19"/>
  <c r="X43" i="19"/>
  <c r="W43" i="19"/>
  <c r="U43" i="19"/>
  <c r="Y43" i="19"/>
  <c r="AA43" i="19"/>
  <c r="Z22" i="19"/>
  <c r="AB22" i="19"/>
  <c r="U22" i="19"/>
  <c r="AA22" i="19"/>
  <c r="AC22" i="19"/>
  <c r="Y22" i="19"/>
  <c r="X22" i="19"/>
  <c r="W22" i="19"/>
  <c r="V22" i="19"/>
  <c r="R3962" i="19"/>
  <c r="AC36" i="19"/>
  <c r="AB36" i="19"/>
  <c r="AA36" i="19"/>
  <c r="Y36" i="19"/>
  <c r="V36" i="19"/>
  <c r="W36" i="19"/>
  <c r="Z36" i="19"/>
  <c r="W26" i="19"/>
  <c r="AA26" i="19"/>
  <c r="AC26" i="19"/>
  <c r="Z26" i="19"/>
  <c r="Y26" i="19"/>
  <c r="AB26" i="19"/>
  <c r="V26" i="19"/>
  <c r="W16" i="19"/>
  <c r="Y16" i="19"/>
  <c r="V16" i="19"/>
  <c r="AB16" i="19"/>
  <c r="AA16" i="19"/>
  <c r="AC16" i="19"/>
  <c r="Z16" i="19"/>
  <c r="W19" i="19"/>
  <c r="AC19" i="19"/>
  <c r="Z19" i="19"/>
  <c r="V19" i="19"/>
  <c r="Y19" i="19"/>
  <c r="AB19" i="19"/>
  <c r="AA19" i="19"/>
  <c r="AC61" i="19"/>
  <c r="Z61" i="19"/>
  <c r="AB61" i="19"/>
  <c r="AA61" i="19"/>
  <c r="Y61" i="19"/>
  <c r="Y107" i="19"/>
  <c r="X61" i="19"/>
  <c r="X107" i="19"/>
  <c r="W61" i="19"/>
  <c r="W107" i="19"/>
  <c r="U61" i="19"/>
  <c r="U107" i="19"/>
  <c r="T107" i="19"/>
  <c r="V61" i="19"/>
  <c r="V107" i="19"/>
  <c r="W34" i="19"/>
  <c r="AB34" i="19"/>
  <c r="AA34" i="19"/>
  <c r="Z34" i="19"/>
  <c r="Y34" i="19"/>
  <c r="X34" i="19"/>
  <c r="AC34" i="19"/>
  <c r="V34" i="19"/>
  <c r="U34" i="19"/>
  <c r="AC31" i="19"/>
  <c r="V31" i="19"/>
  <c r="W31" i="19"/>
  <c r="AB31" i="19"/>
  <c r="AA31" i="19"/>
  <c r="Z31" i="19"/>
  <c r="Y31" i="19"/>
  <c r="Z24" i="19"/>
  <c r="AB24" i="19"/>
  <c r="AA24" i="19"/>
  <c r="AC24" i="19"/>
  <c r="AC20" i="19"/>
  <c r="AA20" i="19"/>
  <c r="W20" i="19"/>
  <c r="AB20" i="19"/>
  <c r="Z20" i="19"/>
  <c r="V20" i="19"/>
  <c r="Y20" i="19"/>
  <c r="AB40" i="19"/>
  <c r="V40" i="19"/>
  <c r="W40" i="19"/>
  <c r="AA40" i="19"/>
  <c r="AC40" i="19"/>
  <c r="Z40" i="19"/>
  <c r="Y40" i="19"/>
  <c r="X40" i="19"/>
  <c r="U40" i="19"/>
  <c r="Z66" i="19"/>
  <c r="W66" i="19"/>
  <c r="W112" i="19"/>
  <c r="AA66" i="19"/>
  <c r="U66" i="19"/>
  <c r="U112" i="19"/>
  <c r="X66" i="19"/>
  <c r="X112" i="19"/>
  <c r="Y66" i="19"/>
  <c r="Y112" i="19"/>
  <c r="AB66" i="19"/>
  <c r="AC66" i="19"/>
  <c r="T112" i="19"/>
  <c r="V66" i="19"/>
  <c r="V112" i="19"/>
  <c r="V39" i="19"/>
  <c r="AC39" i="19"/>
  <c r="AB39" i="19"/>
  <c r="AA39" i="19"/>
  <c r="Z39" i="19"/>
  <c r="Y39" i="19"/>
  <c r="W39" i="19"/>
  <c r="W60" i="19"/>
  <c r="W106" i="19"/>
  <c r="X60" i="19"/>
  <c r="X106" i="19"/>
  <c r="Z60" i="19"/>
  <c r="AC60" i="19"/>
  <c r="T106" i="19"/>
  <c r="U60" i="19"/>
  <c r="U106" i="19"/>
  <c r="Y60" i="19"/>
  <c r="Y106" i="19"/>
  <c r="AB60" i="19"/>
  <c r="V60" i="19"/>
  <c r="V106" i="19"/>
  <c r="AA60" i="19"/>
  <c r="W18" i="19"/>
  <c r="AC18" i="19"/>
  <c r="AB18" i="19"/>
  <c r="Z18" i="19"/>
  <c r="AA18" i="19"/>
  <c r="R2539" i="19"/>
  <c r="V18" i="19"/>
  <c r="Y18" i="19"/>
  <c r="R3359" i="19"/>
  <c r="V29" i="19"/>
  <c r="Y29" i="19"/>
  <c r="Z29" i="19"/>
  <c r="AB29" i="19"/>
  <c r="AA29" i="19"/>
  <c r="AC29" i="19"/>
  <c r="W29" i="19"/>
  <c r="AB41" i="19"/>
  <c r="U41" i="19"/>
  <c r="Z41" i="19"/>
  <c r="AC41" i="19"/>
  <c r="Y41" i="19"/>
  <c r="AA41" i="19"/>
  <c r="X41" i="19"/>
  <c r="W41" i="19"/>
  <c r="V41" i="19"/>
  <c r="AB42" i="19"/>
  <c r="AA42" i="19"/>
  <c r="Z42" i="19"/>
  <c r="Y42" i="19"/>
  <c r="U42" i="19"/>
  <c r="W42" i="19"/>
  <c r="V42" i="19"/>
  <c r="AC42" i="19"/>
  <c r="X42" i="19"/>
  <c r="X32" i="19"/>
  <c r="Z32" i="19"/>
  <c r="Z14" i="19"/>
  <c r="V14" i="19"/>
  <c r="AA14" i="19"/>
  <c r="AC32" i="19"/>
  <c r="Y14" i="19"/>
  <c r="AB32" i="19"/>
  <c r="AA32" i="19"/>
  <c r="Y32" i="19"/>
  <c r="AC14" i="19"/>
  <c r="W32" i="19"/>
  <c r="V32" i="19"/>
  <c r="W14" i="19"/>
  <c r="AB14" i="19"/>
  <c r="AA27" i="19"/>
  <c r="Z27" i="19"/>
  <c r="AC27" i="19"/>
  <c r="AB27" i="19"/>
  <c r="Y37" i="19"/>
  <c r="AA37" i="19"/>
  <c r="AB37" i="19"/>
  <c r="AC37" i="19"/>
  <c r="Z37" i="19"/>
  <c r="V37" i="19"/>
  <c r="W37" i="19"/>
  <c r="AB56" i="19"/>
  <c r="W56" i="19"/>
  <c r="W102" i="19"/>
  <c r="U56" i="19"/>
  <c r="U102" i="19"/>
  <c r="T102" i="19"/>
  <c r="AA56" i="19"/>
  <c r="Y56" i="19"/>
  <c r="Y102" i="19"/>
  <c r="V56" i="19"/>
  <c r="V102" i="19"/>
  <c r="Z56" i="19"/>
  <c r="AC56" i="19"/>
  <c r="X56" i="19"/>
  <c r="X102" i="19"/>
  <c r="W23" i="10"/>
  <c r="JC23" i="10"/>
  <c r="AK23" i="10"/>
  <c r="JE23" i="10"/>
  <c r="JE394" i="10"/>
  <c r="E13" i="24"/>
  <c r="AF23" i="10"/>
  <c r="JG394" i="10"/>
  <c r="E15" i="24"/>
  <c r="X23" i="10"/>
  <c r="JH394" i="10"/>
  <c r="E16" i="24"/>
  <c r="AM22" i="10"/>
  <c r="AB23" i="10"/>
  <c r="AR23" i="10"/>
  <c r="AE23" i="10"/>
  <c r="JK23" i="10"/>
  <c r="AO23" i="10"/>
  <c r="DM23" i="10" s="1"/>
  <c r="JC22" i="10"/>
  <c r="DM22" i="10"/>
  <c r="JV22" i="10"/>
  <c r="AM25" i="10"/>
  <c r="CQ26" i="10"/>
  <c r="CW26" i="10"/>
  <c r="AP26" i="10"/>
  <c r="AG23" i="10"/>
  <c r="JF23" i="10"/>
  <c r="JF394" i="10"/>
  <c r="E14" i="24"/>
  <c r="JC394" i="10"/>
  <c r="E12" i="24"/>
  <c r="JV23" i="10"/>
  <c r="R2211" i="19"/>
  <c r="R2144" i="19"/>
  <c r="R3717" i="19"/>
  <c r="R1363" i="19"/>
  <c r="R4589" i="19"/>
  <c r="R4544" i="19"/>
  <c r="R5216" i="19"/>
  <c r="R894" i="19"/>
  <c r="R918" i="19"/>
  <c r="R5481" i="19"/>
  <c r="R2801" i="19"/>
  <c r="R2767" i="19"/>
  <c r="R2750" i="19"/>
  <c r="R2747" i="19"/>
  <c r="R2780" i="19"/>
  <c r="R2762" i="19"/>
  <c r="R2793" i="19"/>
  <c r="R2782" i="19"/>
  <c r="R2743" i="19"/>
  <c r="R2776" i="19"/>
  <c r="R2796" i="19"/>
  <c r="R2799" i="19"/>
  <c r="R2785" i="19"/>
  <c r="R2768" i="19"/>
  <c r="R2774" i="19"/>
  <c r="R2746" i="19"/>
  <c r="R2805" i="19"/>
  <c r="R2753" i="19"/>
  <c r="R2807" i="19"/>
  <c r="R2759" i="19"/>
  <c r="R2739" i="19"/>
  <c r="R2773" i="19"/>
  <c r="R2786" i="19"/>
  <c r="R2756" i="19"/>
  <c r="R2742" i="19"/>
  <c r="R2803" i="19"/>
  <c r="R2789" i="19"/>
  <c r="R2779" i="19"/>
  <c r="R2770" i="19"/>
  <c r="R2764" i="19"/>
  <c r="R5276" i="19"/>
  <c r="R5310" i="19"/>
  <c r="R5282" i="19"/>
  <c r="R5284" i="19"/>
  <c r="R5265" i="19"/>
  <c r="R5220" i="19"/>
  <c r="R5246" i="19"/>
  <c r="R5267" i="19"/>
  <c r="R5236" i="19"/>
  <c r="R5210" i="19"/>
  <c r="R5230" i="19"/>
  <c r="R5221" i="19"/>
  <c r="R5256" i="19"/>
  <c r="R5183" i="19"/>
  <c r="R5239" i="19"/>
  <c r="R5291" i="19"/>
  <c r="R5274" i="19"/>
  <c r="R5304" i="19"/>
  <c r="R5240" i="19"/>
  <c r="R5258" i="19"/>
  <c r="R5322" i="19"/>
  <c r="R5249" i="19"/>
  <c r="R5197" i="19"/>
  <c r="R5159" i="19"/>
  <c r="R5229" i="19"/>
  <c r="R5224" i="19"/>
  <c r="R5226" i="19"/>
  <c r="R5318" i="19"/>
  <c r="R5314" i="19"/>
  <c r="R5298" i="19"/>
  <c r="R5194" i="19"/>
  <c r="R5289" i="19"/>
  <c r="R2127" i="19"/>
  <c r="R2194" i="19"/>
  <c r="R2389" i="19"/>
  <c r="R2370" i="19"/>
  <c r="R2414" i="19"/>
  <c r="R2210" i="19"/>
  <c r="R2464" i="19"/>
  <c r="R2151" i="19"/>
  <c r="R2372" i="19"/>
  <c r="R2317" i="19"/>
  <c r="R2341" i="19"/>
  <c r="R2222" i="19"/>
  <c r="R2458" i="19"/>
  <c r="R2216" i="19"/>
  <c r="R2358" i="19"/>
  <c r="R2167" i="19"/>
  <c r="R2259" i="19"/>
  <c r="R2432" i="19"/>
  <c r="R2168" i="19"/>
  <c r="R2324" i="19"/>
  <c r="R2401" i="19"/>
  <c r="R2287" i="19"/>
  <c r="R2239" i="19"/>
  <c r="R2286" i="19"/>
  <c r="R2299" i="19"/>
  <c r="R2338" i="19"/>
  <c r="R2368" i="19"/>
  <c r="R2174" i="19"/>
  <c r="R2245" i="19"/>
  <c r="R2118" i="19"/>
  <c r="R2275" i="19"/>
  <c r="R2398" i="19"/>
  <c r="R2354" i="19"/>
  <c r="R2339" i="19"/>
  <c r="R2152" i="19"/>
  <c r="R2335" i="19"/>
  <c r="R2371" i="19"/>
  <c r="R2450" i="19"/>
  <c r="R2424" i="19"/>
  <c r="R2217" i="19"/>
  <c r="R2125" i="19"/>
  <c r="R2173" i="19"/>
  <c r="R2316" i="19"/>
  <c r="R2315" i="19"/>
  <c r="R2388" i="19"/>
  <c r="R2320" i="19"/>
  <c r="R2336" i="19"/>
  <c r="R2387" i="19"/>
  <c r="R2266" i="19"/>
  <c r="R2124" i="19"/>
  <c r="R2192" i="19"/>
  <c r="R2231" i="19"/>
  <c r="R2434" i="19"/>
  <c r="R2243" i="19"/>
  <c r="R2126" i="19"/>
  <c r="R2264" i="19"/>
  <c r="R2306" i="19"/>
  <c r="R2413" i="19"/>
  <c r="R2423" i="19"/>
  <c r="R2298" i="19"/>
  <c r="R2279" i="19"/>
  <c r="R2375" i="19"/>
  <c r="R2440" i="19"/>
  <c r="R2322" i="19"/>
  <c r="R2342" i="19"/>
  <c r="R2355" i="19"/>
  <c r="R2356" i="19"/>
  <c r="R2420" i="19"/>
  <c r="R2470" i="19"/>
  <c r="R2334" i="19"/>
  <c r="R2294" i="19"/>
  <c r="R2412" i="19"/>
  <c r="R2319" i="19"/>
  <c r="R2353" i="19"/>
  <c r="R2448" i="19"/>
  <c r="R2254" i="19"/>
  <c r="R2374" i="19"/>
  <c r="R2352" i="19"/>
  <c r="R2476" i="19"/>
  <c r="R2265" i="19"/>
  <c r="R2193" i="19"/>
  <c r="R2359" i="19"/>
  <c r="R2304" i="19"/>
  <c r="R2410" i="19"/>
  <c r="R2280" i="19"/>
  <c r="R2305" i="19"/>
  <c r="R2323" i="19"/>
  <c r="R2402" i="19"/>
  <c r="R2175" i="19"/>
  <c r="R2385" i="19"/>
  <c r="R2244" i="19"/>
  <c r="R2386" i="19"/>
  <c r="R2442" i="19"/>
  <c r="R2223" i="19"/>
  <c r="R2200" i="19"/>
  <c r="R2400" i="19"/>
  <c r="R2199" i="19"/>
  <c r="R2232" i="19"/>
  <c r="R2237" i="19"/>
  <c r="R2238" i="19"/>
  <c r="R2258" i="19"/>
  <c r="R2422" i="19"/>
  <c r="R3743" i="19"/>
  <c r="R3891" i="19"/>
  <c r="R3753" i="19"/>
  <c r="R3806" i="19"/>
  <c r="R3754" i="19"/>
  <c r="R3815" i="19"/>
  <c r="R3803" i="19"/>
  <c r="R3788" i="19"/>
  <c r="R3778" i="19"/>
  <c r="R3728" i="19"/>
  <c r="R3769" i="19"/>
  <c r="R3872" i="19"/>
  <c r="R3779" i="19"/>
  <c r="R3759" i="19"/>
  <c r="R3850" i="19"/>
  <c r="R3814" i="19"/>
  <c r="R3767" i="19"/>
  <c r="R3714" i="19"/>
  <c r="R3795" i="19"/>
  <c r="R3834" i="19"/>
  <c r="R3870" i="19"/>
  <c r="R3790" i="19"/>
  <c r="R3798" i="19"/>
  <c r="R3793" i="19"/>
  <c r="R3721" i="19"/>
  <c r="R3824" i="19"/>
  <c r="R3810" i="19"/>
  <c r="R3864" i="19"/>
  <c r="R3849" i="19"/>
  <c r="R3865" i="19"/>
  <c r="R3836" i="19"/>
  <c r="R3852" i="19"/>
  <c r="R3859" i="19"/>
  <c r="R3846" i="19"/>
  <c r="R3735" i="19"/>
  <c r="R3813" i="19"/>
  <c r="R3773" i="19"/>
  <c r="R3867" i="19"/>
  <c r="R3886" i="19"/>
  <c r="R3861" i="19"/>
  <c r="R3840" i="19"/>
  <c r="R3823" i="19"/>
  <c r="R3724" i="19"/>
  <c r="R3730" i="19"/>
  <c r="R3805" i="19"/>
  <c r="R3733" i="19"/>
  <c r="R3874" i="19"/>
  <c r="R3829" i="19"/>
  <c r="R3862" i="19"/>
  <c r="R3841" i="19"/>
  <c r="R3868" i="19"/>
  <c r="R3750" i="19"/>
  <c r="R3812" i="19"/>
  <c r="R3746" i="19"/>
  <c r="R3819" i="19"/>
  <c r="R3799" i="19"/>
  <c r="R3792" i="19"/>
  <c r="R3776" i="19"/>
  <c r="R3760" i="19"/>
  <c r="R3858" i="19"/>
  <c r="R3775" i="19"/>
  <c r="R3732" i="19"/>
  <c r="R3785" i="19"/>
  <c r="R3716" i="19"/>
  <c r="R3739" i="19"/>
  <c r="R3822" i="19"/>
  <c r="R3882" i="19"/>
  <c r="R3804" i="19"/>
  <c r="R3827" i="19"/>
  <c r="R3802" i="19"/>
  <c r="R3761" i="19"/>
  <c r="R3740" i="19"/>
  <c r="R3876" i="19"/>
  <c r="R3856" i="19"/>
  <c r="R3818" i="19"/>
  <c r="R3749" i="19"/>
  <c r="R3832" i="19"/>
  <c r="R3833" i="19"/>
  <c r="R3789" i="19"/>
  <c r="R3794" i="19"/>
  <c r="R3771" i="19"/>
  <c r="R3838" i="19"/>
  <c r="R3734" i="19"/>
  <c r="R3888" i="19"/>
  <c r="R3880" i="19"/>
  <c r="R3736" i="19"/>
  <c r="R3845" i="19"/>
  <c r="R3884" i="19"/>
  <c r="R3737" i="19"/>
  <c r="R3855" i="19"/>
  <c r="R3748" i="19"/>
  <c r="R3807" i="19"/>
  <c r="R3764" i="19"/>
  <c r="R3738" i="19"/>
  <c r="R3797" i="19"/>
  <c r="R3757" i="19"/>
  <c r="R3712" i="19"/>
  <c r="R3878" i="19"/>
  <c r="R3782" i="19"/>
  <c r="R3847" i="19"/>
  <c r="R3817" i="19"/>
  <c r="R3800" i="19"/>
  <c r="R3731" i="19"/>
  <c r="R3783" i="19"/>
  <c r="R3853" i="19"/>
  <c r="R3809" i="19"/>
  <c r="R3741" i="19"/>
  <c r="R3742" i="19"/>
  <c r="R3765" i="19"/>
  <c r="R3837" i="19"/>
  <c r="R3727" i="19"/>
  <c r="R3842" i="19"/>
  <c r="R3801" i="19"/>
  <c r="R3770" i="19"/>
  <c r="R3808" i="19"/>
  <c r="R3784" i="19"/>
  <c r="R3890" i="19"/>
  <c r="R3787" i="19"/>
  <c r="R3763" i="19"/>
  <c r="R3844" i="19"/>
  <c r="R3723" i="19"/>
  <c r="R3747" i="19"/>
  <c r="R3774" i="19"/>
  <c r="R3780" i="19"/>
  <c r="R3828" i="19"/>
  <c r="R3756" i="19"/>
  <c r="R1345" i="19"/>
  <c r="R1369" i="19"/>
  <c r="R1615" i="19"/>
  <c r="R1304" i="19"/>
  <c r="R1613" i="19"/>
  <c r="R1858" i="19"/>
  <c r="R1319" i="19"/>
  <c r="R1492" i="19"/>
  <c r="R1740" i="19"/>
  <c r="R1521" i="19"/>
  <c r="R1601" i="19"/>
  <c r="R1718" i="19"/>
  <c r="R1655" i="19"/>
  <c r="R1361" i="19"/>
  <c r="R1303" i="19"/>
  <c r="R1774" i="19"/>
  <c r="R1533" i="19"/>
  <c r="R1631" i="19"/>
  <c r="R1342" i="19"/>
  <c r="R1466" i="19"/>
  <c r="R1374" i="19"/>
  <c r="R1756" i="19"/>
  <c r="R1589" i="19"/>
  <c r="R1444" i="19"/>
  <c r="R1630" i="19"/>
  <c r="R1356" i="19"/>
  <c r="R1438" i="19"/>
  <c r="R1459" i="19"/>
  <c r="R1848" i="19"/>
  <c r="R1349" i="19"/>
  <c r="R1832" i="19"/>
  <c r="R1661" i="19"/>
  <c r="R1464" i="19"/>
  <c r="R1506" i="19"/>
  <c r="R1316" i="19"/>
  <c r="R1867" i="19"/>
  <c r="R1673" i="19"/>
  <c r="R1396" i="19"/>
  <c r="R1590" i="19"/>
  <c r="R1769" i="19"/>
  <c r="R1711" i="19"/>
  <c r="R1745" i="19"/>
  <c r="R1416" i="19"/>
  <c r="R1931" i="19"/>
  <c r="R1395" i="19"/>
  <c r="R1596" i="19"/>
  <c r="R1576" i="19"/>
  <c r="R1432" i="19"/>
  <c r="R1672" i="19"/>
  <c r="R1306" i="19"/>
  <c r="R1787" i="19"/>
  <c r="R1885" i="19"/>
  <c r="R1498" i="19"/>
  <c r="R1417" i="19"/>
  <c r="R1697" i="19"/>
  <c r="R1546" i="19"/>
  <c r="R1423" i="19"/>
  <c r="R1726" i="19"/>
  <c r="R1479" i="19"/>
  <c r="R1465" i="19"/>
  <c r="R1558" i="19"/>
  <c r="R1453" i="19"/>
  <c r="R1619" i="19"/>
  <c r="R1364" i="19"/>
  <c r="R1564" i="19"/>
  <c r="R1380" i="19"/>
  <c r="R1746" i="19"/>
  <c r="R1520" i="19"/>
  <c r="R1868" i="19"/>
  <c r="R1637" i="19"/>
  <c r="R1876" i="19"/>
  <c r="R1813" i="19"/>
  <c r="R1682" i="19"/>
  <c r="R1837" i="19"/>
  <c r="R1559" i="19"/>
  <c r="R1540" i="19"/>
  <c r="R1894" i="19"/>
  <c r="R1389" i="19"/>
  <c r="R1402" i="19"/>
  <c r="R1636" i="19"/>
  <c r="R1944" i="19"/>
  <c r="R1350" i="19"/>
  <c r="R1401" i="19"/>
  <c r="R1473" i="19"/>
  <c r="R1712" i="19"/>
  <c r="R1883" i="19"/>
  <c r="R1836" i="19"/>
  <c r="R1411" i="19"/>
  <c r="R1485" i="19"/>
  <c r="R1696" i="19"/>
  <c r="R1525" i="19"/>
  <c r="R1621" i="19"/>
  <c r="R1727" i="19"/>
  <c r="R1665" i="19"/>
  <c r="R1687" i="19"/>
  <c r="R1443" i="19"/>
  <c r="R1886" i="19"/>
  <c r="R1808" i="19"/>
  <c r="R1608" i="19"/>
  <c r="R1427" i="19"/>
  <c r="R1647" i="19"/>
  <c r="R1595" i="19"/>
  <c r="R1854" i="19"/>
  <c r="R1341" i="19"/>
  <c r="R1513" i="19"/>
  <c r="R1626" i="19"/>
  <c r="R1825" i="19"/>
  <c r="R1923" i="19"/>
  <c r="R1431" i="19"/>
  <c r="R1397" i="19"/>
  <c r="R1717" i="19"/>
  <c r="R1583" i="19"/>
  <c r="R1418" i="19"/>
  <c r="R1857" i="19"/>
  <c r="R1782" i="19"/>
  <c r="R1786" i="19"/>
  <c r="R1761" i="19"/>
  <c r="R1577" i="19"/>
  <c r="R1483" i="19"/>
  <c r="R1826" i="19"/>
  <c r="R1333" i="19"/>
  <c r="R1452" i="19"/>
  <c r="R1539" i="19"/>
  <c r="R1716" i="19"/>
  <c r="R1892" i="19"/>
  <c r="R1800" i="19"/>
  <c r="R1545" i="19"/>
  <c r="R1360" i="19"/>
  <c r="R1478" i="19"/>
  <c r="R1681" i="19"/>
  <c r="R1731" i="19"/>
  <c r="R1909" i="19"/>
  <c r="R1773" i="19"/>
  <c r="R1519" i="19"/>
  <c r="R1910" i="19"/>
  <c r="R1864" i="19"/>
  <c r="R1855" i="19"/>
  <c r="R1821" i="19"/>
  <c r="R1373" i="19"/>
  <c r="R1930" i="19"/>
  <c r="R1795" i="19"/>
  <c r="R1702" i="19"/>
  <c r="R1526" i="19"/>
  <c r="R1924" i="19"/>
  <c r="R1499" i="19"/>
  <c r="R1741" i="19"/>
  <c r="R1299" i="19"/>
  <c r="R1688" i="19"/>
  <c r="R1603" i="19"/>
  <c r="R1578" i="19"/>
  <c r="R1614" i="19"/>
  <c r="R1770" i="19"/>
  <c r="R1504" i="19"/>
  <c r="R1755" i="19"/>
  <c r="R1332" i="19"/>
  <c r="R1666" i="19"/>
  <c r="R1812" i="19"/>
  <c r="R1656" i="19"/>
  <c r="R1638" i="19"/>
  <c r="R1602" i="19"/>
  <c r="R1708" i="19"/>
  <c r="R1410" i="19"/>
  <c r="R1584" i="19"/>
  <c r="R1648" i="19"/>
  <c r="R1331" i="19"/>
  <c r="R1877" i="19"/>
  <c r="R1368" i="19"/>
  <c r="R1799" i="19"/>
  <c r="R1405" i="19"/>
  <c r="R1338" i="19"/>
  <c r="R1760" i="19"/>
  <c r="R1916" i="19"/>
  <c r="R1554" i="19"/>
  <c r="R1565" i="19"/>
  <c r="R1733" i="19"/>
  <c r="R1412" i="19"/>
  <c r="R1512" i="19"/>
  <c r="R1874" i="19"/>
  <c r="R1847" i="19"/>
  <c r="R1571" i="19"/>
  <c r="R1391" i="19"/>
  <c r="R1500" i="19"/>
  <c r="R1594" i="19"/>
  <c r="R1320" i="19"/>
  <c r="R1901" i="19"/>
  <c r="R1693" i="19"/>
  <c r="R1903" i="19"/>
  <c r="R1323" i="19"/>
  <c r="R1505" i="19"/>
  <c r="R1620" i="19"/>
  <c r="R1938" i="19"/>
  <c r="R1337" i="19"/>
  <c r="R1390" i="19"/>
  <c r="R1643" i="19"/>
  <c r="R1379" i="19"/>
  <c r="R1451" i="19"/>
  <c r="R1493" i="19"/>
  <c r="R1572" i="19"/>
  <c r="R1845" i="19"/>
  <c r="R1732" i="19"/>
  <c r="R1534" i="19"/>
  <c r="R1865" i="19"/>
  <c r="R1677" i="19"/>
  <c r="R1873" i="19"/>
  <c r="R1383" i="19"/>
  <c r="R1701" i="19"/>
  <c r="R1703" i="19"/>
  <c r="R1843" i="19"/>
  <c r="R1553" i="19"/>
  <c r="R1355" i="19"/>
  <c r="R1484" i="19"/>
  <c r="R1422" i="19"/>
  <c r="R1654" i="19"/>
  <c r="R1472" i="19"/>
  <c r="R1437" i="19"/>
  <c r="R1917" i="19"/>
  <c r="R1458" i="19"/>
  <c r="R1541" i="19"/>
  <c r="R3046" i="19"/>
  <c r="R3057" i="19"/>
  <c r="R3047" i="19"/>
  <c r="R3066" i="19"/>
  <c r="R3075" i="19"/>
  <c r="R3069" i="19"/>
  <c r="R3080" i="19"/>
  <c r="R3078" i="19"/>
  <c r="R3051" i="19"/>
  <c r="R3084" i="19"/>
  <c r="R3071" i="19"/>
  <c r="R3085" i="19"/>
  <c r="R3083" i="19"/>
  <c r="R3082" i="19"/>
  <c r="R3064" i="19"/>
  <c r="R3061" i="19"/>
  <c r="R3062" i="19"/>
  <c r="R3068" i="19"/>
  <c r="R3058" i="19"/>
  <c r="R3065" i="19"/>
  <c r="R3053" i="19"/>
  <c r="R3072" i="19"/>
  <c r="R3060" i="19"/>
  <c r="R3055" i="19"/>
  <c r="R2537" i="19"/>
  <c r="R2541" i="19"/>
  <c r="R2579" i="19"/>
  <c r="R2598" i="19"/>
  <c r="R2567" i="19"/>
  <c r="R2562" i="19"/>
  <c r="R2576" i="19"/>
  <c r="R2591" i="19"/>
  <c r="R2597" i="19"/>
  <c r="R2585" i="19"/>
  <c r="R2593" i="19"/>
  <c r="R2556" i="19"/>
  <c r="R2575" i="19"/>
  <c r="R2565" i="19"/>
  <c r="R2596" i="19"/>
  <c r="R2600" i="19"/>
  <c r="R2540" i="19"/>
  <c r="R2566" i="19"/>
  <c r="R2550" i="19"/>
  <c r="R2573" i="19"/>
  <c r="R2554" i="19"/>
  <c r="R2569" i="19"/>
  <c r="R2563" i="19"/>
  <c r="R2545" i="19"/>
  <c r="R2595" i="19"/>
  <c r="R2578" i="19"/>
  <c r="R2557" i="19"/>
  <c r="R2599" i="19"/>
  <c r="R2588" i="19"/>
  <c r="R2582" i="19"/>
  <c r="R2548" i="19"/>
  <c r="R2543" i="19"/>
  <c r="R2544" i="19"/>
  <c r="R2570" i="19"/>
  <c r="R2601" i="19"/>
  <c r="R2581" i="19"/>
  <c r="R2572" i="19"/>
  <c r="R2561" i="19"/>
  <c r="R2534" i="19"/>
  <c r="R2552" i="19"/>
  <c r="R2560" i="19"/>
  <c r="R2559" i="19"/>
  <c r="R2594" i="19"/>
  <c r="R2568" i="19"/>
  <c r="R2546" i="19"/>
  <c r="R2592" i="19"/>
  <c r="R2564" i="19"/>
  <c r="R4164" i="19"/>
  <c r="R4338" i="19"/>
  <c r="R4011" i="19"/>
  <c r="R4236" i="19"/>
  <c r="R4327" i="19"/>
  <c r="R4234" i="19"/>
  <c r="R3997" i="19"/>
  <c r="R3966" i="19"/>
  <c r="R4134" i="19"/>
  <c r="R4329" i="19"/>
  <c r="R4410" i="19"/>
  <c r="R4320" i="19"/>
  <c r="R4308" i="19"/>
  <c r="R4031" i="19"/>
  <c r="R4124" i="19"/>
  <c r="R4190" i="19"/>
  <c r="R4024" i="19"/>
  <c r="R4165" i="19"/>
  <c r="R4240" i="19"/>
  <c r="R4268" i="19"/>
  <c r="R4042" i="19"/>
  <c r="R4392" i="19"/>
  <c r="R4049" i="19"/>
  <c r="R4010" i="19"/>
  <c r="R4187" i="19"/>
  <c r="R4065" i="19"/>
  <c r="R4398" i="19"/>
  <c r="R4288" i="19"/>
  <c r="R4027" i="19"/>
  <c r="R4218" i="19"/>
  <c r="R4074" i="19"/>
  <c r="R4127" i="19"/>
  <c r="R4214" i="19"/>
  <c r="R4045" i="19"/>
  <c r="R4059" i="19"/>
  <c r="R4318" i="19"/>
  <c r="R4093" i="19"/>
  <c r="R4097" i="19"/>
  <c r="R4362" i="19"/>
  <c r="R4371" i="19"/>
  <c r="R4378" i="19"/>
  <c r="R4261" i="19"/>
  <c r="R4080" i="19"/>
  <c r="R3965" i="19"/>
  <c r="R4061" i="19"/>
  <c r="R3993" i="19"/>
  <c r="R4404" i="19"/>
  <c r="R4311" i="19"/>
  <c r="R4112" i="19"/>
  <c r="R4230" i="19"/>
  <c r="R4161" i="19"/>
  <c r="R4345" i="19"/>
  <c r="R4105" i="19"/>
  <c r="R4181" i="19"/>
  <c r="R4152" i="19"/>
  <c r="R4191" i="19"/>
  <c r="R4148" i="19"/>
  <c r="R4028" i="19"/>
  <c r="R4200" i="19"/>
  <c r="R4207" i="19"/>
  <c r="R4138" i="19"/>
  <c r="R4081" i="19"/>
  <c r="R4250" i="19"/>
  <c r="R4046" i="19"/>
  <c r="R4120" i="19"/>
  <c r="R4139" i="19"/>
  <c r="R4109" i="19"/>
  <c r="R4336" i="19"/>
  <c r="R4301" i="19"/>
  <c r="R4251" i="19"/>
  <c r="R4291" i="19"/>
  <c r="R3980" i="19"/>
  <c r="R4174" i="19"/>
  <c r="R4203" i="19"/>
  <c r="R4177" i="19"/>
  <c r="R4154" i="19"/>
  <c r="R4178" i="19"/>
  <c r="R4113" i="19"/>
  <c r="R4272" i="19"/>
  <c r="R4229" i="19"/>
  <c r="R4076" i="19"/>
  <c r="R4225" i="19"/>
  <c r="R4151" i="19"/>
  <c r="R4347" i="19"/>
  <c r="R4058" i="19"/>
  <c r="R4281" i="19"/>
  <c r="R4089" i="19"/>
  <c r="R4090" i="19"/>
  <c r="R4219" i="19"/>
  <c r="R4098" i="19"/>
  <c r="R4385" i="19"/>
  <c r="R4246" i="19"/>
  <c r="R4194" i="19"/>
  <c r="R4257" i="19"/>
  <c r="R3981" i="19"/>
  <c r="R4262" i="19"/>
  <c r="R4364" i="19"/>
  <c r="R4167" i="19"/>
  <c r="R4141" i="19"/>
  <c r="R4212" i="19"/>
  <c r="R4015" i="19"/>
  <c r="R4278" i="19"/>
  <c r="R4223" i="19"/>
  <c r="R4356" i="19"/>
  <c r="R4014" i="19"/>
  <c r="R4354" i="19"/>
  <c r="R3998" i="19"/>
  <c r="R4298" i="19"/>
  <c r="R4271" i="19"/>
  <c r="R3976" i="19"/>
  <c r="R4073" i="19"/>
  <c r="R4416" i="19"/>
  <c r="R4241" i="19"/>
  <c r="R3368" i="19"/>
  <c r="R3405" i="19"/>
  <c r="R3449" i="19"/>
  <c r="R3354" i="19"/>
  <c r="R3363" i="19"/>
  <c r="R3420" i="19"/>
  <c r="R3441" i="19"/>
  <c r="R3432" i="19"/>
  <c r="R3362" i="19"/>
  <c r="R3365" i="19"/>
  <c r="R3402" i="19"/>
  <c r="R3438" i="19"/>
  <c r="R3372" i="19"/>
  <c r="R3386" i="19"/>
  <c r="R3376" i="19"/>
  <c r="R3409" i="19"/>
  <c r="R3425" i="19"/>
  <c r="R3382" i="19"/>
  <c r="R3371" i="19"/>
  <c r="R3422" i="19"/>
  <c r="R3430" i="19"/>
  <c r="R3394" i="19"/>
  <c r="R3417" i="19"/>
  <c r="R3435" i="19"/>
  <c r="R3375" i="19"/>
  <c r="R3406" i="19"/>
  <c r="R3444" i="19"/>
  <c r="R3398" i="19"/>
  <c r="R3384" i="19"/>
  <c r="R3451" i="19"/>
  <c r="R3390" i="19"/>
  <c r="R3447" i="19"/>
  <c r="R3427" i="19"/>
  <c r="R3399" i="19"/>
  <c r="R3378" i="19"/>
  <c r="R3356" i="19"/>
  <c r="R3391" i="19"/>
  <c r="R3383" i="19"/>
  <c r="R3415" i="19"/>
  <c r="R3412" i="19"/>
  <c r="R48" i="19"/>
  <c r="R113" i="19"/>
  <c r="R635" i="19"/>
  <c r="R109" i="19"/>
  <c r="R494" i="19"/>
  <c r="R410" i="19"/>
  <c r="R451" i="19"/>
  <c r="R364" i="19"/>
  <c r="R105" i="19"/>
  <c r="R151" i="19"/>
  <c r="R288" i="19"/>
  <c r="R202" i="19"/>
  <c r="R357" i="19"/>
  <c r="R519" i="19"/>
  <c r="R94" i="19"/>
  <c r="R166" i="19"/>
  <c r="R452" i="19"/>
  <c r="R146" i="19"/>
  <c r="R548" i="19"/>
  <c r="R426" i="19"/>
  <c r="R213" i="19"/>
  <c r="R249" i="19"/>
  <c r="R320" i="19"/>
  <c r="R332" i="19"/>
  <c r="R450" i="19"/>
  <c r="R387" i="19"/>
  <c r="R603" i="19"/>
  <c r="R242" i="19"/>
  <c r="R350" i="19"/>
  <c r="R282" i="19"/>
  <c r="R128" i="19"/>
  <c r="R536" i="19"/>
  <c r="R294" i="19"/>
  <c r="R161" i="19"/>
  <c r="R261" i="19"/>
  <c r="R290" i="19"/>
  <c r="R68" i="19"/>
  <c r="R192" i="19"/>
  <c r="R274" i="19"/>
  <c r="R165" i="19"/>
  <c r="R549" i="19"/>
  <c r="R186" i="19"/>
  <c r="R489" i="19"/>
  <c r="R574" i="19"/>
  <c r="R673" i="19"/>
  <c r="R344" i="19"/>
  <c r="R180" i="19"/>
  <c r="R53" i="19"/>
  <c r="R308" i="19"/>
  <c r="R255" i="19"/>
  <c r="R466" i="19"/>
  <c r="R369" i="19"/>
  <c r="R325" i="19"/>
  <c r="R431" i="19"/>
  <c r="R232" i="19"/>
  <c r="R585" i="19"/>
  <c r="R622" i="19"/>
  <c r="R613" i="19"/>
  <c r="R430" i="19"/>
  <c r="R241" i="19"/>
  <c r="R81" i="19"/>
  <c r="R659" i="19"/>
  <c r="R482" i="19"/>
  <c r="R343" i="19"/>
  <c r="R386" i="19"/>
  <c r="R275" i="19"/>
  <c r="R338" i="19"/>
  <c r="R446" i="19"/>
  <c r="R414" i="19"/>
  <c r="R437" i="19"/>
  <c r="R616" i="19"/>
  <c r="R460" i="19"/>
  <c r="R405" i="19"/>
  <c r="R214" i="19"/>
  <c r="R233" i="19"/>
  <c r="R160" i="19"/>
  <c r="R475" i="19"/>
  <c r="R129" i="19"/>
  <c r="R490" i="19"/>
  <c r="R171" i="19"/>
  <c r="R362" i="19"/>
  <c r="R626" i="19"/>
  <c r="R392" i="19"/>
  <c r="R247" i="19"/>
  <c r="R518" i="19"/>
  <c r="R404" i="19"/>
  <c r="R221" i="19"/>
  <c r="R557" i="19"/>
  <c r="R302" i="19"/>
  <c r="R380" i="19"/>
  <c r="R480" i="19"/>
  <c r="R531" i="19"/>
  <c r="R268" i="19"/>
  <c r="R283" i="19"/>
  <c r="R339" i="19"/>
  <c r="R144" i="19"/>
  <c r="R481" i="19"/>
  <c r="R421" i="19"/>
  <c r="R634" i="19"/>
  <c r="R270" i="19"/>
  <c r="R208" i="19"/>
  <c r="R248" i="19"/>
  <c r="R363" i="19"/>
  <c r="R138" i="19"/>
  <c r="R172" i="19"/>
  <c r="R55" i="19"/>
  <c r="R123" i="19"/>
  <c r="R570" i="19"/>
  <c r="R510" i="19"/>
  <c r="R385" i="19"/>
  <c r="R150" i="19"/>
  <c r="R522" i="19"/>
  <c r="R159" i="19"/>
  <c r="R289" i="19"/>
  <c r="R65" i="19"/>
  <c r="R562" i="19"/>
  <c r="R314" i="19"/>
  <c r="R117" i="19"/>
  <c r="R307" i="19"/>
  <c r="R112" i="19"/>
  <c r="R445" i="19"/>
  <c r="R379" i="19"/>
  <c r="R295" i="19"/>
  <c r="R666" i="19"/>
  <c r="R597" i="19"/>
  <c r="R606" i="19"/>
  <c r="R457" i="19"/>
  <c r="R326" i="19"/>
  <c r="R207" i="19"/>
  <c r="R693" i="19"/>
  <c r="R687" i="19"/>
  <c r="R321" i="19"/>
  <c r="R403" i="19"/>
  <c r="R461" i="19"/>
  <c r="R193" i="19"/>
  <c r="R436" i="19"/>
  <c r="R581" i="19"/>
  <c r="R72" i="19"/>
  <c r="R303" i="19"/>
  <c r="R680" i="19"/>
  <c r="R215" i="19"/>
  <c r="R176" i="19"/>
  <c r="R122" i="19"/>
  <c r="R253" i="19"/>
  <c r="R586" i="19"/>
  <c r="R397" i="19"/>
  <c r="R596" i="19"/>
  <c r="R415" i="19"/>
  <c r="R139" i="19"/>
  <c r="R262" i="19"/>
  <c r="R617" i="19"/>
  <c r="R110" i="19"/>
  <c r="R370" i="19"/>
  <c r="R99" i="19"/>
  <c r="R269" i="19"/>
  <c r="R145" i="19"/>
  <c r="R200" i="19"/>
  <c r="R509" i="19"/>
  <c r="R375" i="19"/>
  <c r="R104" i="19"/>
  <c r="R333" i="19"/>
  <c r="R442" i="19"/>
  <c r="R535" i="19"/>
  <c r="R352" i="19"/>
  <c r="R118" i="19"/>
  <c r="R422" i="19"/>
  <c r="R82" i="19"/>
  <c r="R345" i="19"/>
  <c r="R187" i="19"/>
  <c r="R465" i="19"/>
  <c r="R575" i="19"/>
  <c r="R154" i="19"/>
  <c r="R227" i="19"/>
  <c r="R625" i="19"/>
  <c r="R652" i="19"/>
  <c r="R222" i="19"/>
  <c r="R201" i="19"/>
  <c r="R181" i="19"/>
  <c r="R544" i="19"/>
  <c r="R98" i="19"/>
  <c r="R504" i="19"/>
  <c r="R643" i="19"/>
  <c r="R87" i="19"/>
  <c r="R495" i="19"/>
  <c r="R234" i="19"/>
  <c r="R396" i="19"/>
  <c r="R140" i="19"/>
  <c r="R254" i="19"/>
  <c r="R69" i="19"/>
  <c r="R80" i="19"/>
  <c r="R592" i="19"/>
  <c r="R523" i="19"/>
  <c r="R91" i="19"/>
  <c r="R467" i="19"/>
  <c r="R86" i="19"/>
  <c r="R351" i="19"/>
  <c r="R505" i="19"/>
  <c r="R327" i="19"/>
  <c r="R607" i="19"/>
  <c r="R167" i="19"/>
  <c r="R561" i="19"/>
  <c r="R368" i="19"/>
  <c r="R90" i="19"/>
  <c r="R132" i="19"/>
  <c r="R228" i="19"/>
  <c r="R52" i="19"/>
  <c r="R476" i="19"/>
  <c r="R313" i="19"/>
  <c r="R2641" i="19"/>
  <c r="R2690" i="19"/>
  <c r="R2659" i="19"/>
  <c r="R2698" i="19"/>
  <c r="R2642" i="19"/>
  <c r="R2693" i="19"/>
  <c r="R2666" i="19"/>
  <c r="R2663" i="19"/>
  <c r="R2662" i="19"/>
  <c r="R2654" i="19"/>
  <c r="R2643" i="19"/>
  <c r="R2694" i="19"/>
  <c r="R2668" i="19"/>
  <c r="R2657" i="19"/>
  <c r="R2639" i="19"/>
  <c r="R2691" i="19"/>
  <c r="R2674" i="19"/>
  <c r="R2689" i="19"/>
  <c r="R2683" i="19"/>
  <c r="R2697" i="19"/>
  <c r="R2635" i="19"/>
  <c r="R2680" i="19"/>
  <c r="R2686" i="19"/>
  <c r="R2646" i="19"/>
  <c r="R2696" i="19"/>
  <c r="R2695" i="19"/>
  <c r="R2699" i="19"/>
  <c r="R2677" i="19"/>
  <c r="R2638" i="19"/>
  <c r="R2650" i="19"/>
  <c r="R2692" i="19"/>
  <c r="R2665" i="19"/>
  <c r="R2632" i="19"/>
  <c r="R2671" i="19"/>
  <c r="R2660" i="19"/>
  <c r="R4621" i="19"/>
  <c r="R4625" i="19"/>
  <c r="R4943" i="19"/>
  <c r="R4782" i="19"/>
  <c r="R4857" i="19"/>
  <c r="R4813" i="19"/>
  <c r="R4825" i="19"/>
  <c r="R4644" i="19"/>
  <c r="R4906" i="19"/>
  <c r="R4655" i="19"/>
  <c r="R4606" i="19"/>
  <c r="R4926" i="19"/>
  <c r="R4746" i="19"/>
  <c r="R4847" i="19"/>
  <c r="R4935" i="19"/>
  <c r="R4699" i="19"/>
  <c r="R4717" i="19"/>
  <c r="R4867" i="19"/>
  <c r="R4545" i="19"/>
  <c r="R4713" i="19"/>
  <c r="R4908" i="19"/>
  <c r="R4836" i="19"/>
  <c r="R4989" i="19"/>
  <c r="R4720" i="19"/>
  <c r="R4677" i="19"/>
  <c r="R4829" i="19"/>
  <c r="R4560" i="19"/>
  <c r="R4610" i="19"/>
  <c r="R4977" i="19"/>
  <c r="R4791" i="19"/>
  <c r="R4743" i="19"/>
  <c r="R4941" i="19"/>
  <c r="R4950" i="19"/>
  <c r="R4841" i="19"/>
  <c r="R4559" i="19"/>
  <c r="R4804" i="19"/>
  <c r="R4603" i="19"/>
  <c r="R4572" i="19"/>
  <c r="R4851" i="19"/>
  <c r="R4669" i="19"/>
  <c r="R4555" i="19"/>
  <c r="R4688" i="19"/>
  <c r="R4638" i="19"/>
  <c r="R4820" i="19"/>
  <c r="R4887" i="19"/>
  <c r="R4840" i="19"/>
  <c r="R4819" i="19"/>
  <c r="R4640" i="19"/>
  <c r="R4703" i="19"/>
  <c r="R4957" i="19"/>
  <c r="R4786" i="19"/>
  <c r="R4676" i="19"/>
  <c r="R4760" i="19"/>
  <c r="R4983" i="19"/>
  <c r="R4773" i="19"/>
  <c r="R4880" i="19"/>
  <c r="R4607" i="19"/>
  <c r="R4659" i="19"/>
  <c r="R4590" i="19"/>
  <c r="R4933" i="19"/>
  <c r="R4995" i="19"/>
  <c r="R4653" i="19"/>
  <c r="R4830" i="19"/>
  <c r="R4577" i="19"/>
  <c r="R4870" i="19"/>
  <c r="R4753" i="19"/>
  <c r="R4684" i="19"/>
  <c r="R4731" i="19"/>
  <c r="R4793" i="19"/>
  <c r="R4718" i="19"/>
  <c r="R4624" i="19"/>
  <c r="R4809" i="19"/>
  <c r="R4692" i="19"/>
  <c r="R4890" i="19"/>
  <c r="R4727" i="19"/>
  <c r="R4730" i="19"/>
  <c r="R4924" i="19"/>
  <c r="R4756" i="19"/>
  <c r="R4628" i="19"/>
  <c r="R4897" i="19"/>
  <c r="R4576" i="19"/>
  <c r="R4769" i="19"/>
  <c r="R4971" i="19"/>
  <c r="R4860" i="19"/>
  <c r="R4798" i="19"/>
  <c r="R4593" i="19"/>
  <c r="R4740" i="19"/>
  <c r="R4594" i="19"/>
  <c r="R4964" i="19"/>
  <c r="R4915" i="19"/>
  <c r="R4733" i="19"/>
  <c r="R4744" i="19"/>
  <c r="R4850" i="19"/>
  <c r="R4797" i="19"/>
  <c r="R4815" i="19"/>
  <c r="R4691" i="19"/>
  <c r="R4770" i="19"/>
  <c r="R4917" i="19"/>
  <c r="R4877" i="19"/>
  <c r="R4706" i="19"/>
  <c r="R4660" i="19"/>
  <c r="R4672" i="19"/>
  <c r="R4779" i="19"/>
  <c r="R4899" i="19"/>
  <c r="R4808" i="19"/>
  <c r="R4766" i="19"/>
  <c r="R4802" i="19"/>
  <c r="R4757" i="19"/>
  <c r="R5533" i="19"/>
  <c r="R5560" i="19"/>
  <c r="R5573" i="19"/>
  <c r="R5575" i="19"/>
  <c r="R5513" i="19"/>
  <c r="R5594" i="19"/>
  <c r="R5582" i="19"/>
  <c r="R5514" i="19"/>
  <c r="R5588" i="19"/>
  <c r="R5505" i="19"/>
  <c r="R5598" i="19"/>
  <c r="R5549" i="19"/>
  <c r="R5530" i="19"/>
  <c r="R5606" i="19"/>
  <c r="R5524" i="19"/>
  <c r="R5542" i="19"/>
  <c r="R5602" i="19"/>
  <c r="R5551" i="19"/>
  <c r="R5494" i="19"/>
  <c r="R5568" i="19"/>
  <c r="R5558" i="19"/>
  <c r="R5566" i="19"/>
  <c r="R5523" i="19"/>
  <c r="R5540" i="19"/>
  <c r="R5520" i="19"/>
  <c r="R5843" i="19"/>
  <c r="R5845" i="19"/>
  <c r="R5823" i="19"/>
  <c r="R5807" i="19"/>
  <c r="R5827" i="19"/>
  <c r="R5841" i="19"/>
  <c r="R5803" i="19"/>
  <c r="R5834" i="19"/>
  <c r="R5824" i="19"/>
  <c r="R5795" i="19"/>
  <c r="R5791" i="19"/>
  <c r="R5812" i="19"/>
  <c r="R5820" i="19"/>
  <c r="R5798" i="19"/>
  <c r="R5813" i="19"/>
  <c r="R5837" i="19"/>
  <c r="R5815" i="19"/>
  <c r="R5809" i="19"/>
  <c r="R5818" i="19"/>
  <c r="R5806" i="19"/>
  <c r="R5819" i="19"/>
  <c r="R5801" i="19"/>
  <c r="R5831" i="19"/>
  <c r="R5839" i="19"/>
  <c r="R3163" i="19"/>
  <c r="R3174" i="19"/>
  <c r="R3205" i="19"/>
  <c r="R3169" i="19"/>
  <c r="R3232" i="19"/>
  <c r="R3201" i="19"/>
  <c r="R3227" i="19"/>
  <c r="R3193" i="19"/>
  <c r="R3180" i="19"/>
  <c r="R3256" i="19"/>
  <c r="R3230" i="19"/>
  <c r="R3235" i="19"/>
  <c r="R3242" i="19"/>
  <c r="R3262" i="19"/>
  <c r="R3220" i="19"/>
  <c r="R3237" i="19"/>
  <c r="R3171" i="19"/>
  <c r="R3198" i="19"/>
  <c r="R3217" i="19"/>
  <c r="R3191" i="19"/>
  <c r="R3197" i="19"/>
  <c r="R3247" i="19"/>
  <c r="R3183" i="19"/>
  <c r="R3178" i="19"/>
  <c r="R3253" i="19"/>
  <c r="R3177" i="19"/>
  <c r="R3213" i="19"/>
  <c r="R3186" i="19"/>
  <c r="R3187" i="19"/>
  <c r="R3240" i="19"/>
  <c r="R3266" i="19"/>
  <c r="R3214" i="19"/>
  <c r="R3221" i="19"/>
  <c r="R3264" i="19"/>
  <c r="R3224" i="19"/>
  <c r="R3199" i="19"/>
  <c r="R3209" i="19"/>
  <c r="R3190" i="19"/>
  <c r="R3259" i="19"/>
  <c r="R3206" i="19"/>
  <c r="R3245" i="19"/>
  <c r="R3250" i="19"/>
  <c r="R3595" i="19"/>
  <c r="R3504" i="19"/>
  <c r="R3626" i="19"/>
  <c r="R3539" i="19"/>
  <c r="R3570" i="19"/>
  <c r="R3603" i="19"/>
  <c r="R3579" i="19"/>
  <c r="R3558" i="19"/>
  <c r="R3586" i="19"/>
  <c r="R3660" i="19"/>
  <c r="R3516" i="19"/>
  <c r="R3593" i="19"/>
  <c r="R3499" i="19"/>
  <c r="R3629" i="19"/>
  <c r="R3503" i="19"/>
  <c r="R3616" i="19"/>
  <c r="R3613" i="19"/>
  <c r="R3625" i="19"/>
  <c r="R3500" i="19"/>
  <c r="R3529" i="19"/>
  <c r="R3509" i="19"/>
  <c r="R3621" i="19"/>
  <c r="R3537" i="19"/>
  <c r="R3560" i="19"/>
  <c r="R3641" i="19"/>
  <c r="R3535" i="19"/>
  <c r="R3552" i="19"/>
  <c r="R3569" i="19"/>
  <c r="R3551" i="19"/>
  <c r="R3644" i="19"/>
  <c r="R3590" i="19"/>
  <c r="R3640" i="19"/>
  <c r="R3622" i="19"/>
  <c r="R3508" i="19"/>
  <c r="R3512" i="19"/>
  <c r="R3545" i="19"/>
  <c r="R3638" i="19"/>
  <c r="R3575" i="19"/>
  <c r="R3573" i="19"/>
  <c r="R3540" i="19"/>
  <c r="R3514" i="19"/>
  <c r="R3491" i="19"/>
  <c r="R3658" i="19"/>
  <c r="R3517" i="19"/>
  <c r="R3507" i="19"/>
  <c r="R3664" i="19"/>
  <c r="R3536" i="19"/>
  <c r="R3577" i="19"/>
  <c r="R3580" i="19"/>
  <c r="R3667" i="19"/>
  <c r="R3526" i="19"/>
  <c r="R3547" i="19"/>
  <c r="R3594" i="19"/>
  <c r="R3556" i="19"/>
  <c r="R3561" i="19"/>
  <c r="R3608" i="19"/>
  <c r="R3589" i="19"/>
  <c r="R3510" i="19"/>
  <c r="R3604" i="19"/>
  <c r="R3650" i="19"/>
  <c r="R3506" i="19"/>
  <c r="R3566" i="19"/>
  <c r="R3600" i="19"/>
  <c r="R3511" i="19"/>
  <c r="R3583" i="19"/>
  <c r="R3585" i="19"/>
  <c r="R3617" i="19"/>
  <c r="R3488" i="19"/>
  <c r="R3525" i="19"/>
  <c r="R3598" i="19"/>
  <c r="R3568" i="19"/>
  <c r="R3612" i="19"/>
  <c r="R3591" i="19"/>
  <c r="R3656" i="19"/>
  <c r="R3555" i="19"/>
  <c r="R3518" i="19"/>
  <c r="R3550" i="19"/>
  <c r="R3563" i="19"/>
  <c r="R3532" i="19"/>
  <c r="R3522" i="19"/>
  <c r="R3588" i="19"/>
  <c r="R3628" i="19"/>
  <c r="R3599" i="19"/>
  <c r="R3574" i="19"/>
  <c r="R3492" i="19"/>
  <c r="R3513" i="19"/>
  <c r="R3654" i="19"/>
  <c r="R3497" i="19"/>
  <c r="R3648" i="19"/>
  <c r="R3515" i="19"/>
  <c r="R3609" i="19"/>
  <c r="R3533" i="19"/>
  <c r="R3635" i="19"/>
  <c r="R3565" i="19"/>
  <c r="R3549" i="19"/>
  <c r="R3524" i="19"/>
  <c r="R3652" i="19"/>
  <c r="R3571" i="19"/>
  <c r="R3666" i="19"/>
  <c r="R3662" i="19"/>
  <c r="R3543" i="19"/>
  <c r="R3546" i="19"/>
  <c r="R3620" i="19"/>
  <c r="R3643" i="19"/>
  <c r="R3493" i="19"/>
  <c r="R3496" i="19"/>
  <c r="R3637" i="19"/>
  <c r="R3559" i="19"/>
  <c r="R3576" i="19"/>
  <c r="R3646" i="19"/>
  <c r="R3632" i="19"/>
  <c r="R3610" i="19"/>
  <c r="R3614" i="19"/>
  <c r="R3578" i="19"/>
  <c r="R3564" i="19"/>
  <c r="R3584" i="19"/>
  <c r="R3554" i="19"/>
  <c r="R3541" i="19"/>
  <c r="R3605" i="19"/>
  <c r="R3582" i="19"/>
  <c r="R3623" i="19"/>
  <c r="R3634" i="19"/>
  <c r="R3530" i="19"/>
  <c r="R3490" i="19"/>
  <c r="R3631" i="19"/>
  <c r="R3519" i="19"/>
  <c r="R3581" i="19"/>
  <c r="R3523" i="19"/>
  <c r="R3618" i="19"/>
  <c r="R5713" i="19"/>
  <c r="R5683" i="19"/>
  <c r="R5719" i="19"/>
  <c r="R5666" i="19"/>
  <c r="R5670" i="19"/>
  <c r="R5706" i="19"/>
  <c r="R5688" i="19"/>
  <c r="R5709" i="19"/>
  <c r="R5701" i="19"/>
  <c r="R5705" i="19"/>
  <c r="R5689" i="19"/>
  <c r="R5677" i="19"/>
  <c r="R5685" i="19"/>
  <c r="R5721" i="19"/>
  <c r="R5680" i="19"/>
  <c r="R5673" i="19"/>
  <c r="R5702" i="19"/>
  <c r="R5716" i="19"/>
  <c r="R5697" i="19"/>
  <c r="R5695" i="19"/>
  <c r="R5727" i="19"/>
  <c r="R5725" i="19"/>
  <c r="R5723" i="19"/>
  <c r="R5694" i="19"/>
  <c r="R5691" i="19"/>
  <c r="R5700" i="19"/>
  <c r="R1084" i="19"/>
  <c r="R1134" i="19"/>
  <c r="R1072" i="19"/>
  <c r="R1054" i="19"/>
  <c r="R1124" i="19"/>
  <c r="R942" i="19"/>
  <c r="R981" i="19"/>
  <c r="R966" i="19"/>
  <c r="R924" i="19"/>
  <c r="R1225" i="19"/>
  <c r="R876" i="19"/>
  <c r="R1149" i="19"/>
  <c r="R980" i="19"/>
  <c r="R874" i="19"/>
  <c r="R1189" i="19"/>
  <c r="R875" i="19"/>
  <c r="R1064" i="19"/>
  <c r="R1103" i="19"/>
  <c r="R1087" i="19"/>
  <c r="R1137" i="19"/>
  <c r="R1013" i="19"/>
  <c r="R1104" i="19"/>
  <c r="R1162" i="19"/>
  <c r="R1069" i="19"/>
  <c r="R1014" i="19"/>
  <c r="R1053" i="19"/>
  <c r="R923" i="19"/>
  <c r="R987" i="19"/>
  <c r="R1119" i="19"/>
  <c r="R1121" i="19"/>
  <c r="R1043" i="19"/>
  <c r="R1055" i="19"/>
  <c r="R1219" i="19"/>
  <c r="R1181" i="19"/>
  <c r="R965" i="19"/>
  <c r="R986" i="19"/>
  <c r="R1138" i="19"/>
  <c r="R1003" i="19"/>
  <c r="R943" i="19"/>
  <c r="R971" i="19"/>
  <c r="R1102" i="19"/>
  <c r="R935" i="19"/>
  <c r="R1083" i="19"/>
  <c r="R901" i="19"/>
  <c r="R900" i="19"/>
  <c r="R1147" i="19"/>
  <c r="R893" i="19"/>
  <c r="R972" i="19"/>
  <c r="R1107" i="19"/>
  <c r="R1071" i="19"/>
  <c r="R1183" i="19"/>
  <c r="R941" i="19"/>
  <c r="R1169" i="19"/>
  <c r="R1150" i="19"/>
  <c r="R948" i="19"/>
  <c r="R1088" i="19"/>
  <c r="R867" i="19"/>
  <c r="R992" i="19"/>
  <c r="R1065" i="19"/>
  <c r="R1008" i="19"/>
  <c r="R959" i="19"/>
  <c r="R1073" i="19"/>
  <c r="R1047" i="19"/>
  <c r="R1015" i="19"/>
  <c r="R1151" i="19"/>
  <c r="R917" i="19"/>
  <c r="R873" i="19"/>
  <c r="R1091" i="19"/>
  <c r="R1105" i="19"/>
  <c r="R993" i="19"/>
  <c r="R1172" i="19"/>
  <c r="R1035" i="19"/>
  <c r="R922" i="19"/>
  <c r="R1207" i="19"/>
  <c r="R1120" i="19"/>
  <c r="R1029" i="19"/>
  <c r="R1135" i="19"/>
  <c r="R1161" i="19"/>
  <c r="R1108" i="19"/>
  <c r="R1068" i="19"/>
  <c r="R1197" i="19"/>
  <c r="R949" i="19"/>
  <c r="R1173" i="19"/>
  <c r="R1159" i="19"/>
  <c r="R988" i="19"/>
  <c r="R1036" i="19"/>
  <c r="R1199" i="19"/>
  <c r="R1123" i="19"/>
  <c r="R1007" i="19"/>
  <c r="R1090" i="19"/>
  <c r="R1048" i="19"/>
  <c r="R1213" i="19"/>
  <c r="R1028" i="19"/>
  <c r="R1085" i="19"/>
  <c r="R1163" i="19"/>
  <c r="R994" i="19"/>
  <c r="R916" i="19"/>
  <c r="R1117" i="19"/>
  <c r="R1066" i="19"/>
  <c r="R1024" i="19"/>
  <c r="R1101" i="19"/>
  <c r="R1191" i="19"/>
  <c r="R1171" i="19"/>
  <c r="R960" i="19"/>
  <c r="R1136" i="19"/>
  <c r="R2866" i="19"/>
  <c r="R2846" i="19"/>
  <c r="R2860" i="19"/>
  <c r="R2914" i="19"/>
  <c r="R2869" i="19"/>
  <c r="R2883" i="19"/>
  <c r="R2877" i="19"/>
  <c r="R2857" i="19"/>
  <c r="R2880" i="19"/>
  <c r="R2881" i="19"/>
  <c r="R2912" i="19"/>
  <c r="R2874" i="19"/>
  <c r="R2853" i="19"/>
  <c r="R2900" i="19"/>
  <c r="R2910" i="19"/>
  <c r="R2850" i="19"/>
  <c r="R2906" i="19"/>
  <c r="R2903" i="19"/>
  <c r="R2908" i="19"/>
  <c r="R2886" i="19"/>
  <c r="R2893" i="19"/>
  <c r="R2892" i="19"/>
  <c r="R2896" i="19"/>
  <c r="R2871" i="19"/>
  <c r="R2889" i="19"/>
  <c r="R2887" i="19"/>
  <c r="R2875" i="19"/>
  <c r="R2863" i="19"/>
  <c r="R2849" i="19"/>
  <c r="R2987" i="19"/>
  <c r="R3000" i="19"/>
  <c r="R2997" i="19"/>
  <c r="R2979" i="19"/>
  <c r="R2975" i="19"/>
  <c r="R2962" i="19"/>
  <c r="R2995" i="19"/>
  <c r="R2990" i="19"/>
  <c r="R2961" i="19"/>
  <c r="R2973" i="19"/>
  <c r="R2968" i="19"/>
  <c r="R2981" i="19"/>
  <c r="R2984" i="19"/>
  <c r="R2966" i="19"/>
  <c r="R2972" i="19"/>
  <c r="R2976" i="19"/>
  <c r="R2980" i="19"/>
  <c r="R2957" i="19"/>
  <c r="R2986" i="19"/>
  <c r="R2999" i="19"/>
  <c r="R2983" i="19"/>
  <c r="R2970" i="19"/>
  <c r="R2993" i="19"/>
  <c r="R2955" i="19"/>
  <c r="R2998" i="19"/>
  <c r="R2977" i="19"/>
  <c r="FK23" i="10"/>
  <c r="AM23" i="10"/>
  <c r="JI23" i="10"/>
  <c r="JI394" i="10" s="1"/>
  <c r="E17" i="24" s="1"/>
  <c r="O17" i="24" s="1"/>
  <c r="CF23" i="10"/>
  <c r="CF22" i="10"/>
  <c r="CQ22" i="10"/>
  <c r="AX26" i="10"/>
  <c r="EK26" i="10"/>
  <c r="EL26" i="10"/>
  <c r="AQ26" i="10"/>
  <c r="AU26" i="10"/>
  <c r="AC26" i="10"/>
  <c r="JJ26" i="10"/>
  <c r="CF25" i="10"/>
  <c r="CW22" i="10"/>
  <c r="AX22" i="10"/>
  <c r="T49" i="19"/>
  <c r="T67" i="19"/>
  <c r="T57" i="19"/>
  <c r="T71" i="19"/>
  <c r="T75" i="19"/>
  <c r="T76" i="19"/>
  <c r="T72" i="19"/>
  <c r="T54" i="19"/>
  <c r="T68" i="19"/>
  <c r="T50" i="19"/>
  <c r="T55" i="19"/>
  <c r="T53" i="19"/>
  <c r="T69" i="19"/>
  <c r="T51" i="19"/>
  <c r="T78" i="19"/>
  <c r="T74" i="19"/>
  <c r="T73" i="19"/>
  <c r="T77" i="19"/>
  <c r="T70" i="19"/>
  <c r="T52" i="19"/>
  <c r="AP22" i="10"/>
  <c r="AH26" i="10"/>
  <c r="BA26" i="10"/>
  <c r="BB26" i="10"/>
  <c r="AY26" i="10"/>
  <c r="AZ26" i="10"/>
  <c r="IJ26" i="10"/>
  <c r="AS26" i="10"/>
  <c r="JT26" i="10"/>
  <c r="AD26" i="10"/>
  <c r="Y20" i="15"/>
  <c r="DP26" i="10"/>
  <c r="DN26" i="10" s="1"/>
  <c r="AP25" i="10"/>
  <c r="AU25" i="10"/>
  <c r="AC25" i="10"/>
  <c r="CQ25" i="10"/>
  <c r="CW25" i="10"/>
  <c r="AX25" i="10"/>
  <c r="AY25" i="10"/>
  <c r="BB22" i="10"/>
  <c r="AH22" i="10"/>
  <c r="AY22" i="10"/>
  <c r="IK22" i="10"/>
  <c r="BA22" i="10"/>
  <c r="EK22" i="10"/>
  <c r="EL22" i="10"/>
  <c r="CQ23" i="10"/>
  <c r="CW23" i="10"/>
  <c r="AX23" i="10"/>
  <c r="AP23" i="10"/>
  <c r="W77" i="19"/>
  <c r="W123" i="19"/>
  <c r="U77" i="19"/>
  <c r="U123" i="19"/>
  <c r="AA77" i="19"/>
  <c r="Z77" i="19"/>
  <c r="V77" i="19"/>
  <c r="V123" i="19"/>
  <c r="Y77" i="19"/>
  <c r="Y123" i="19"/>
  <c r="T123" i="19"/>
  <c r="X77" i="19"/>
  <c r="X123" i="19"/>
  <c r="AB77" i="19"/>
  <c r="AC77" i="19"/>
  <c r="AB74" i="19"/>
  <c r="AA74" i="19"/>
  <c r="V74" i="19"/>
  <c r="Y74" i="19"/>
  <c r="AC74" i="19"/>
  <c r="X74" i="19"/>
  <c r="W74" i="19"/>
  <c r="Z74" i="19"/>
  <c r="U74" i="19"/>
  <c r="U120" i="19"/>
  <c r="W120" i="19"/>
  <c r="V120" i="19"/>
  <c r="Y120" i="19"/>
  <c r="X120" i="19"/>
  <c r="T120" i="19"/>
  <c r="T97" i="19"/>
  <c r="S3" i="19"/>
  <c r="AA50" i="19"/>
  <c r="T96" i="19"/>
  <c r="V50" i="19"/>
  <c r="X50" i="19"/>
  <c r="W50" i="19"/>
  <c r="W96" i="19"/>
  <c r="Z50" i="19"/>
  <c r="U50" i="19"/>
  <c r="AC50" i="19"/>
  <c r="AC96" i="19"/>
  <c r="Y50" i="19"/>
  <c r="Y96" i="19"/>
  <c r="Z96" i="19"/>
  <c r="AA96" i="19"/>
  <c r="V96" i="19"/>
  <c r="U96" i="19"/>
  <c r="AB50" i="19"/>
  <c r="AB96" i="19"/>
  <c r="X96" i="19"/>
  <c r="Y72" i="19"/>
  <c r="Z72" i="19"/>
  <c r="U72" i="19"/>
  <c r="AC72" i="19"/>
  <c r="X72" i="19"/>
  <c r="W72" i="19"/>
  <c r="AA72" i="19"/>
  <c r="Y118" i="19"/>
  <c r="U118" i="19"/>
  <c r="V118" i="19"/>
  <c r="T118" i="19"/>
  <c r="W118" i="19"/>
  <c r="X118" i="19"/>
  <c r="AB72" i="19"/>
  <c r="V72" i="19"/>
  <c r="AB52" i="19"/>
  <c r="AC76" i="19"/>
  <c r="AC122" i="19"/>
  <c r="AA104" i="19"/>
  <c r="AA73" i="19"/>
  <c r="AA119" i="19"/>
  <c r="AA107" i="19"/>
  <c r="AB98" i="19"/>
  <c r="AB107" i="19"/>
  <c r="Y52" i="19"/>
  <c r="AC57" i="19"/>
  <c r="AC103" i="19"/>
  <c r="AC67" i="19"/>
  <c r="AC113" i="19"/>
  <c r="AB106" i="19"/>
  <c r="X52" i="19"/>
  <c r="AB53" i="19"/>
  <c r="AB99" i="19"/>
  <c r="AA67" i="19"/>
  <c r="AA113" i="19"/>
  <c r="AB120" i="19"/>
  <c r="AA110" i="19"/>
  <c r="AC111" i="19"/>
  <c r="AC55" i="19"/>
  <c r="AC101" i="19"/>
  <c r="AB69" i="19"/>
  <c r="AB115" i="19"/>
  <c r="AB111" i="19"/>
  <c r="Z52" i="19"/>
  <c r="AA109" i="19"/>
  <c r="AB68" i="19"/>
  <c r="AB114" i="19"/>
  <c r="AC112" i="19"/>
  <c r="AB78" i="19"/>
  <c r="AB124" i="19"/>
  <c r="AC78" i="19"/>
  <c r="AC124" i="19"/>
  <c r="AA70" i="19"/>
  <c r="AA116" i="19"/>
  <c r="AC52" i="19"/>
  <c r="AC98" i="19"/>
  <c r="AC102" i="19"/>
  <c r="AB118" i="19"/>
  <c r="T98" i="19"/>
  <c r="Z107" i="19"/>
  <c r="Z68" i="19"/>
  <c r="Z114" i="19"/>
  <c r="AA123" i="19"/>
  <c r="Z55" i="19"/>
  <c r="Z101" i="19"/>
  <c r="AB67" i="19"/>
  <c r="AB113" i="19"/>
  <c r="AB104" i="19"/>
  <c r="AC69" i="19"/>
  <c r="AC115" i="19"/>
  <c r="Z111" i="19"/>
  <c r="AC68" i="19"/>
  <c r="AC114" i="19"/>
  <c r="AB112" i="19"/>
  <c r="AA52" i="19"/>
  <c r="Z109" i="19"/>
  <c r="AA118" i="19"/>
  <c r="W52" i="19"/>
  <c r="AC70" i="19"/>
  <c r="AC116" i="19"/>
  <c r="U52" i="19"/>
  <c r="Z71" i="19"/>
  <c r="Z117" i="19"/>
  <c r="AA106" i="19"/>
  <c r="AA120" i="19"/>
  <c r="AB70" i="19"/>
  <c r="AB116" i="19"/>
  <c r="AA108" i="19"/>
  <c r="AC110" i="19"/>
  <c r="AA69" i="19"/>
  <c r="AA115" i="19"/>
  <c r="Z110" i="19"/>
  <c r="Z123" i="19"/>
  <c r="V52" i="19"/>
  <c r="AC75" i="19"/>
  <c r="AC121" i="19"/>
  <c r="AC118" i="19"/>
  <c r="AA105" i="19"/>
  <c r="Z98" i="19"/>
  <c r="AC108" i="19"/>
  <c r="Z57" i="19"/>
  <c r="Z103" i="19"/>
  <c r="Z120" i="19"/>
  <c r="AB102" i="19"/>
  <c r="AC54" i="19"/>
  <c r="AC100" i="19"/>
  <c r="V98" i="19"/>
  <c r="AB109" i="19"/>
  <c r="AB123" i="19"/>
  <c r="AC123" i="19"/>
  <c r="Z73" i="19"/>
  <c r="Z119" i="19"/>
  <c r="Z78" i="19"/>
  <c r="Z124" i="19"/>
  <c r="AC71" i="19"/>
  <c r="AC117" i="19"/>
  <c r="AC120" i="19"/>
  <c r="AA102" i="19"/>
  <c r="Z75" i="19"/>
  <c r="Z121" i="19"/>
  <c r="AB71" i="19"/>
  <c r="AB117" i="19"/>
  <c r="W98" i="19"/>
  <c r="Y98" i="19"/>
  <c r="AB73" i="19"/>
  <c r="AB119" i="19"/>
  <c r="AA78" i="19"/>
  <c r="AA124" i="19"/>
  <c r="Z104" i="19"/>
  <c r="Z67" i="19"/>
  <c r="Z113" i="19"/>
  <c r="AB108" i="19"/>
  <c r="Z53" i="19"/>
  <c r="Z99" i="19"/>
  <c r="AC105" i="19"/>
  <c r="Z70" i="19"/>
  <c r="Z116" i="19"/>
  <c r="Z76" i="19"/>
  <c r="Z122" i="19"/>
  <c r="AC107" i="19"/>
  <c r="Z118" i="19"/>
  <c r="AA111" i="19"/>
  <c r="AB105" i="19"/>
  <c r="X98" i="19"/>
  <c r="AA98" i="19"/>
  <c r="AA76" i="19"/>
  <c r="AA122" i="19"/>
  <c r="Z54" i="19"/>
  <c r="Z100" i="19"/>
  <c r="AA75" i="19"/>
  <c r="AA121" i="19"/>
  <c r="AB55" i="19"/>
  <c r="AB101" i="19"/>
  <c r="AC73" i="19"/>
  <c r="AC119" i="19"/>
  <c r="Z108" i="19"/>
  <c r="AC104" i="19"/>
  <c r="Z105" i="19"/>
  <c r="AA57" i="19"/>
  <c r="AA103" i="19"/>
  <c r="AC106" i="19"/>
  <c r="AC53" i="19"/>
  <c r="AC99" i="19"/>
  <c r="Z112" i="19"/>
  <c r="AA53" i="19"/>
  <c r="AA99" i="19"/>
  <c r="AA112" i="19"/>
  <c r="AA54" i="19"/>
  <c r="AA100" i="19"/>
  <c r="AC109" i="19"/>
  <c r="AB110" i="19"/>
  <c r="AA71" i="19"/>
  <c r="AA117" i="19"/>
  <c r="AA55" i="19"/>
  <c r="AA101" i="19"/>
  <c r="Z102" i="19"/>
  <c r="AA68" i="19"/>
  <c r="AA114" i="19"/>
  <c r="U98" i="19"/>
  <c r="AB75" i="19"/>
  <c r="AB121" i="19"/>
  <c r="Z69" i="19"/>
  <c r="Z115" i="19"/>
  <c r="Z106" i="19"/>
  <c r="AB57" i="19"/>
  <c r="AB103" i="19"/>
  <c r="AB54" i="19"/>
  <c r="AB100" i="19"/>
  <c r="AB76" i="19"/>
  <c r="AB122" i="19"/>
  <c r="U69" i="19"/>
  <c r="Y69" i="19"/>
  <c r="Y115" i="19"/>
  <c r="T115" i="19"/>
  <c r="X69" i="19"/>
  <c r="X115" i="19"/>
  <c r="U115" i="19"/>
  <c r="W69" i="19"/>
  <c r="W115" i="19"/>
  <c r="V69" i="19"/>
  <c r="V115" i="19"/>
  <c r="U55" i="19"/>
  <c r="Y101" i="19"/>
  <c r="V55" i="19"/>
  <c r="X55" i="19"/>
  <c r="Y55" i="19"/>
  <c r="W55" i="19"/>
  <c r="U101" i="19"/>
  <c r="T101" i="19"/>
  <c r="W101" i="19"/>
  <c r="X101" i="19"/>
  <c r="V101" i="19"/>
  <c r="X122" i="19"/>
  <c r="U122" i="19"/>
  <c r="T122" i="19"/>
  <c r="Y122" i="19"/>
  <c r="V122" i="19"/>
  <c r="U76" i="19"/>
  <c r="Y76" i="19"/>
  <c r="W122" i="19"/>
  <c r="X76" i="19"/>
  <c r="W76" i="19"/>
  <c r="V76" i="19"/>
  <c r="V73" i="19"/>
  <c r="V119" i="19"/>
  <c r="W73" i="19"/>
  <c r="Y73" i="19"/>
  <c r="U73" i="19"/>
  <c r="W119" i="19"/>
  <c r="T119" i="19"/>
  <c r="U119" i="19"/>
  <c r="Y119" i="19"/>
  <c r="X73" i="19"/>
  <c r="X119" i="19"/>
  <c r="Y53" i="19"/>
  <c r="X53" i="19"/>
  <c r="Y99" i="19"/>
  <c r="W99" i="19"/>
  <c r="X99" i="19"/>
  <c r="U53" i="19"/>
  <c r="V99" i="19"/>
  <c r="T99" i="19"/>
  <c r="U99" i="19"/>
  <c r="V53" i="19"/>
  <c r="W53" i="19"/>
  <c r="Y75" i="19"/>
  <c r="T121" i="19"/>
  <c r="U75" i="19"/>
  <c r="U121" i="19"/>
  <c r="W75" i="19"/>
  <c r="W121" i="19"/>
  <c r="X75" i="19"/>
  <c r="X121" i="19"/>
  <c r="Y121" i="19"/>
  <c r="V75" i="19"/>
  <c r="V121" i="19"/>
  <c r="V70" i="19"/>
  <c r="V116" i="19"/>
  <c r="U70" i="19"/>
  <c r="U116" i="19"/>
  <c r="W70" i="19"/>
  <c r="W116" i="19"/>
  <c r="T116" i="19"/>
  <c r="X70" i="19"/>
  <c r="Y70" i="19"/>
  <c r="Y116" i="19"/>
  <c r="X116" i="19"/>
  <c r="Y78" i="19"/>
  <c r="X78" i="19"/>
  <c r="U78" i="19"/>
  <c r="V78" i="19"/>
  <c r="X124" i="19"/>
  <c r="Y124" i="19"/>
  <c r="V124" i="19"/>
  <c r="U124" i="19"/>
  <c r="T124" i="19"/>
  <c r="W124" i="19"/>
  <c r="W78" i="19"/>
  <c r="Y68" i="19"/>
  <c r="X68" i="19"/>
  <c r="X114" i="19"/>
  <c r="V68" i="19"/>
  <c r="U68" i="19"/>
  <c r="W68" i="19"/>
  <c r="V114" i="19"/>
  <c r="T114" i="19"/>
  <c r="W114" i="19"/>
  <c r="U114" i="19"/>
  <c r="Y114" i="19"/>
  <c r="W71" i="19"/>
  <c r="V71" i="19"/>
  <c r="V117" i="19"/>
  <c r="Y71" i="19"/>
  <c r="Y117" i="19"/>
  <c r="X71" i="19"/>
  <c r="U71" i="19"/>
  <c r="U117" i="19"/>
  <c r="X117" i="19"/>
  <c r="T117" i="19"/>
  <c r="W117" i="19"/>
  <c r="W51" i="19"/>
  <c r="AC51" i="19"/>
  <c r="V51" i="19"/>
  <c r="V97" i="19"/>
  <c r="U51" i="19"/>
  <c r="Y51" i="19"/>
  <c r="Y97" i="19"/>
  <c r="AA51" i="19"/>
  <c r="AA97" i="19"/>
  <c r="AB51" i="19"/>
  <c r="AB97" i="19"/>
  <c r="Z51" i="19"/>
  <c r="Z97" i="19"/>
  <c r="X51" i="19"/>
  <c r="X97" i="19"/>
  <c r="AC97" i="19"/>
  <c r="W97" i="19"/>
  <c r="U97" i="19"/>
  <c r="W100" i="19"/>
  <c r="X54" i="19"/>
  <c r="T100" i="19"/>
  <c r="V100" i="19"/>
  <c r="Y100" i="19"/>
  <c r="X100" i="19"/>
  <c r="U100" i="19"/>
  <c r="V54" i="19"/>
  <c r="Y54" i="19"/>
  <c r="W54" i="19"/>
  <c r="U54" i="19"/>
  <c r="X103" i="19"/>
  <c r="X57" i="19"/>
  <c r="Y57" i="19"/>
  <c r="W57" i="19"/>
  <c r="U103" i="19"/>
  <c r="W103" i="19"/>
  <c r="V57" i="19"/>
  <c r="U57" i="19"/>
  <c r="Y103" i="19"/>
  <c r="T103" i="19"/>
  <c r="V103" i="19"/>
  <c r="W67" i="19"/>
  <c r="U67" i="19"/>
  <c r="U113" i="19"/>
  <c r="Y67" i="19"/>
  <c r="T113" i="19"/>
  <c r="V67" i="19"/>
  <c r="Y113" i="19"/>
  <c r="W113" i="19"/>
  <c r="V113" i="19"/>
  <c r="X67" i="19"/>
  <c r="X113" i="19"/>
  <c r="U49" i="19"/>
  <c r="U95" i="19"/>
  <c r="AB49" i="19"/>
  <c r="AB95" i="19"/>
  <c r="X49" i="19"/>
  <c r="X95" i="19"/>
  <c r="Y49" i="19"/>
  <c r="Y95" i="19"/>
  <c r="AC49" i="19"/>
  <c r="AC95" i="19"/>
  <c r="T95" i="19"/>
  <c r="Z49" i="19"/>
  <c r="Z95" i="19"/>
  <c r="W49" i="19"/>
  <c r="W95" i="19"/>
  <c r="AA49" i="19"/>
  <c r="AA95" i="19"/>
  <c r="V49" i="19"/>
  <c r="V95" i="19"/>
  <c r="JJ22" i="10"/>
  <c r="AU22" i="10"/>
  <c r="AC22" i="10"/>
  <c r="AQ22" i="10"/>
  <c r="IJ22" i="10" s="1"/>
  <c r="AI26" i="10"/>
  <c r="JL26" i="10"/>
  <c r="IK26" i="10"/>
  <c r="JU26" i="10"/>
  <c r="GH26" i="10"/>
  <c r="DO26" i="10"/>
  <c r="Z26" i="10"/>
  <c r="JD26" i="10"/>
  <c r="JJ25" i="10"/>
  <c r="AQ25" i="10"/>
  <c r="IJ25" i="10" s="1"/>
  <c r="AD25" i="10"/>
  <c r="BA25" i="10"/>
  <c r="AH25" i="10"/>
  <c r="EK25" i="10"/>
  <c r="EL25" i="10"/>
  <c r="AZ25" i="10"/>
  <c r="BB25" i="10"/>
  <c r="AS25" i="10"/>
  <c r="JT25" i="10"/>
  <c r="DP25" i="10"/>
  <c r="DN25" i="10" s="1"/>
  <c r="DO25" i="10" s="1"/>
  <c r="Z25" i="10"/>
  <c r="JD25" i="10"/>
  <c r="AI25" i="10"/>
  <c r="JL25" i="10"/>
  <c r="IK25" i="10"/>
  <c r="AI22" i="10"/>
  <c r="JL22" i="10"/>
  <c r="AZ22" i="10"/>
  <c r="GH22" i="10"/>
  <c r="AY23" i="10"/>
  <c r="IK23" i="10"/>
  <c r="BA23" i="10"/>
  <c r="AU23" i="10"/>
  <c r="AC23" i="10"/>
  <c r="JJ23" i="10"/>
  <c r="AH23" i="10"/>
  <c r="AQ23" i="10"/>
  <c r="IJ23" i="10" s="1"/>
  <c r="DP23" i="10"/>
  <c r="DN23" i="10" s="1"/>
  <c r="DO23" i="10" s="1"/>
  <c r="EK23" i="10"/>
  <c r="EL23" i="10"/>
  <c r="BB23" i="10"/>
  <c r="T3" i="19"/>
  <c r="U3" i="19"/>
  <c r="V3" i="19"/>
  <c r="AD22" i="10"/>
  <c r="AS22" i="10"/>
  <c r="JT22" i="10"/>
  <c r="DP22" i="10"/>
  <c r="DN22" i="10" s="1"/>
  <c r="DO22" i="10" s="1"/>
  <c r="JU25" i="10"/>
  <c r="GH25" i="10"/>
  <c r="JU22" i="10"/>
  <c r="AD23" i="10"/>
  <c r="AS23" i="10"/>
  <c r="JT23" i="10"/>
  <c r="AZ23" i="10"/>
  <c r="GH23" i="10"/>
  <c r="AI23" i="10"/>
  <c r="JL23" i="10"/>
  <c r="JL394" i="10"/>
  <c r="E21" i="24"/>
  <c r="Z23" i="10"/>
  <c r="JD23" i="10"/>
  <c r="Z22" i="10"/>
  <c r="JD22" i="10"/>
  <c r="CB5" i="10"/>
  <c r="JU23" i="10"/>
  <c r="F58" i="2"/>
  <c r="BQ9" i="10"/>
  <c r="G58" i="2"/>
  <c r="AC286" i="15" l="1"/>
  <c r="X286" i="15"/>
  <c r="D286" i="15"/>
  <c r="T286" i="15"/>
  <c r="E286" i="15"/>
  <c r="AH286" i="15"/>
  <c r="K286" i="15"/>
  <c r="H275" i="20"/>
  <c r="I286" i="15"/>
  <c r="M286" i="15"/>
  <c r="N286" i="15"/>
  <c r="R286" i="15"/>
  <c r="L286" i="15"/>
  <c r="G286" i="15"/>
  <c r="AI286" i="15"/>
  <c r="J286" i="15"/>
  <c r="Q286" i="15"/>
  <c r="F286" i="15"/>
  <c r="U286" i="15"/>
  <c r="H286" i="15"/>
  <c r="AF286" i="15"/>
  <c r="C286" i="15"/>
  <c r="Y286" i="15"/>
  <c r="AB286" i="15"/>
  <c r="AE286" i="15"/>
  <c r="AD286" i="15"/>
  <c r="W286" i="15"/>
  <c r="AG286" i="15"/>
  <c r="V286" i="15"/>
  <c r="O286" i="15"/>
  <c r="N256" i="15"/>
  <c r="Q256" i="15"/>
  <c r="H245" i="20"/>
  <c r="H256" i="15"/>
  <c r="AE256" i="15"/>
  <c r="AD256" i="15"/>
  <c r="AH256" i="15"/>
  <c r="AF256" i="15"/>
  <c r="C256" i="15"/>
  <c r="AB256" i="15"/>
  <c r="P256" i="15"/>
  <c r="I256" i="15"/>
  <c r="F256" i="15"/>
  <c r="J256" i="15"/>
  <c r="AC256" i="15"/>
  <c r="G256" i="15"/>
  <c r="X256" i="15"/>
  <c r="V256" i="15"/>
  <c r="L256" i="15"/>
  <c r="D256" i="15"/>
  <c r="W256" i="15"/>
  <c r="AA256" i="15"/>
  <c r="AG256" i="15"/>
  <c r="AI256" i="15"/>
  <c r="R256" i="15"/>
  <c r="S256" i="15"/>
  <c r="Y256" i="15"/>
  <c r="U256" i="15"/>
  <c r="Z256" i="15"/>
  <c r="E256" i="15"/>
  <c r="O256" i="15"/>
  <c r="I364" i="20"/>
  <c r="K364" i="20"/>
  <c r="JM274" i="10"/>
  <c r="A268" i="15"/>
  <c r="JM132" i="10"/>
  <c r="A126" i="15"/>
  <c r="C143" i="15"/>
  <c r="I166" i="20"/>
  <c r="K166" i="20"/>
  <c r="J166" i="20"/>
  <c r="J42" i="20"/>
  <c r="K42" i="20"/>
  <c r="I42" i="20"/>
  <c r="Z143" i="15"/>
  <c r="L375" i="15"/>
  <c r="AA375" i="15"/>
  <c r="AF375" i="15"/>
  <c r="AH375" i="15"/>
  <c r="G375" i="15"/>
  <c r="C375" i="15"/>
  <c r="W375" i="15"/>
  <c r="T375" i="15"/>
  <c r="AE375" i="15"/>
  <c r="Y375" i="15"/>
  <c r="O375" i="15"/>
  <c r="AI375" i="15"/>
  <c r="AB375" i="15"/>
  <c r="I375" i="15"/>
  <c r="AG375" i="15"/>
  <c r="Q375" i="15"/>
  <c r="P375" i="15"/>
  <c r="U375" i="15"/>
  <c r="N375" i="15"/>
  <c r="AC375" i="15"/>
  <c r="F375" i="15"/>
  <c r="X375" i="15"/>
  <c r="Z375" i="15"/>
  <c r="M375" i="15"/>
  <c r="AD375" i="15"/>
  <c r="J375" i="15"/>
  <c r="H375" i="15"/>
  <c r="E375" i="15"/>
  <c r="V375" i="15"/>
  <c r="S375" i="15"/>
  <c r="AC143" i="15"/>
  <c r="H128" i="20"/>
  <c r="I139" i="15"/>
  <c r="AB139" i="15"/>
  <c r="R139" i="15"/>
  <c r="G139" i="15"/>
  <c r="H139" i="15"/>
  <c r="E139" i="15"/>
  <c r="X139" i="15"/>
  <c r="O139" i="15"/>
  <c r="AF139" i="15"/>
  <c r="AC139" i="15"/>
  <c r="AE139" i="15"/>
  <c r="V139" i="15"/>
  <c r="Y139" i="15"/>
  <c r="Z139" i="15"/>
  <c r="L139" i="15"/>
  <c r="T139" i="15"/>
  <c r="AD139" i="15"/>
  <c r="K139" i="15"/>
  <c r="F139" i="15"/>
  <c r="S139" i="15"/>
  <c r="J139" i="15"/>
  <c r="D139" i="15"/>
  <c r="U139" i="15"/>
  <c r="N139" i="15"/>
  <c r="AA139" i="15"/>
  <c r="P139" i="15"/>
  <c r="C139" i="15"/>
  <c r="M139" i="15"/>
  <c r="Q139" i="15"/>
  <c r="AI139" i="15"/>
  <c r="AG139" i="15"/>
  <c r="AG47" i="15"/>
  <c r="S47" i="15"/>
  <c r="Q47" i="15"/>
  <c r="AD47" i="15"/>
  <c r="R47" i="15"/>
  <c r="AI47" i="15"/>
  <c r="Y47" i="15"/>
  <c r="X47" i="15"/>
  <c r="W47" i="15"/>
  <c r="AF47" i="15"/>
  <c r="H36" i="20"/>
  <c r="L47" i="15"/>
  <c r="AA47" i="15"/>
  <c r="U47" i="15"/>
  <c r="H47" i="15"/>
  <c r="C47" i="15"/>
  <c r="AH47" i="15"/>
  <c r="J47" i="15"/>
  <c r="T47" i="15"/>
  <c r="F47" i="15"/>
  <c r="Z47" i="15"/>
  <c r="D47" i="15"/>
  <c r="P47" i="15"/>
  <c r="V47" i="15"/>
  <c r="AB47" i="15"/>
  <c r="K47" i="15"/>
  <c r="M47" i="15"/>
  <c r="E47" i="15"/>
  <c r="AE47" i="15"/>
  <c r="O47" i="15"/>
  <c r="G47" i="15"/>
  <c r="I47" i="15"/>
  <c r="AC47" i="15"/>
  <c r="J359" i="15"/>
  <c r="AA359" i="15"/>
  <c r="I359" i="15"/>
  <c r="E359" i="15"/>
  <c r="S359" i="15"/>
  <c r="P359" i="15"/>
  <c r="M359" i="15"/>
  <c r="AD359" i="15"/>
  <c r="V359" i="15"/>
  <c r="Q359" i="15"/>
  <c r="AE359" i="15"/>
  <c r="K359" i="15"/>
  <c r="AI359" i="15"/>
  <c r="AB359" i="15"/>
  <c r="R359" i="15"/>
  <c r="U359" i="15"/>
  <c r="AF359" i="15"/>
  <c r="F359" i="15"/>
  <c r="AG359" i="15"/>
  <c r="H348" i="20"/>
  <c r="L359" i="15"/>
  <c r="Z359" i="15"/>
  <c r="D359" i="15"/>
  <c r="O359" i="15"/>
  <c r="AH359" i="15"/>
  <c r="Y359" i="15"/>
  <c r="W359" i="15"/>
  <c r="X359" i="15"/>
  <c r="C359" i="15"/>
  <c r="H359" i="15"/>
  <c r="AF152" i="15"/>
  <c r="N152" i="15"/>
  <c r="I152" i="15"/>
  <c r="T152" i="15"/>
  <c r="S152" i="15"/>
  <c r="J152" i="15"/>
  <c r="L152" i="15"/>
  <c r="V152" i="15"/>
  <c r="U152" i="15"/>
  <c r="AA152" i="15"/>
  <c r="H152" i="15"/>
  <c r="AH152" i="15"/>
  <c r="AE152" i="15"/>
  <c r="AD152" i="15"/>
  <c r="AG152" i="15"/>
  <c r="F152" i="15"/>
  <c r="AI152" i="15"/>
  <c r="D152" i="15"/>
  <c r="X152" i="15"/>
  <c r="Z152" i="15"/>
  <c r="W152" i="15"/>
  <c r="C152" i="15"/>
  <c r="G152" i="15"/>
  <c r="AC152" i="15"/>
  <c r="P152" i="15"/>
  <c r="M152" i="15"/>
  <c r="AB152" i="15"/>
  <c r="E152" i="15"/>
  <c r="H141" i="20"/>
  <c r="R152" i="15"/>
  <c r="I7" i="20"/>
  <c r="K7" i="20"/>
  <c r="J7" i="20"/>
  <c r="J170" i="20"/>
  <c r="I170" i="20"/>
  <c r="K170" i="20"/>
  <c r="K93" i="20"/>
  <c r="J93" i="20"/>
  <c r="I93" i="20"/>
  <c r="AH59" i="15"/>
  <c r="T59" i="15"/>
  <c r="AA59" i="15"/>
  <c r="N59" i="15"/>
  <c r="W59" i="15"/>
  <c r="L59" i="15"/>
  <c r="AB59" i="15"/>
  <c r="D59" i="15"/>
  <c r="V59" i="15"/>
  <c r="J59" i="15"/>
  <c r="Y59" i="15"/>
  <c r="X59" i="15"/>
  <c r="S59" i="15"/>
  <c r="Z59" i="15"/>
  <c r="R59" i="15"/>
  <c r="M59" i="15"/>
  <c r="AC59" i="15"/>
  <c r="E59" i="15"/>
  <c r="C59" i="15"/>
  <c r="H48" i="20"/>
  <c r="AI59" i="15"/>
  <c r="U59" i="15"/>
  <c r="H59" i="15"/>
  <c r="AG59" i="15"/>
  <c r="Q59" i="15"/>
  <c r="K59" i="15"/>
  <c r="AE59" i="15"/>
  <c r="AF59" i="15"/>
  <c r="F59" i="15"/>
  <c r="AB328" i="15"/>
  <c r="P328" i="15"/>
  <c r="H328" i="15"/>
  <c r="U328" i="15"/>
  <c r="AG328" i="15"/>
  <c r="D328" i="15"/>
  <c r="T328" i="15"/>
  <c r="H317" i="20"/>
  <c r="AI328" i="15"/>
  <c r="E328" i="15"/>
  <c r="W328" i="15"/>
  <c r="R328" i="15"/>
  <c r="J328" i="15"/>
  <c r="AH328" i="15"/>
  <c r="Q328" i="15"/>
  <c r="G328" i="15"/>
  <c r="AD328" i="15"/>
  <c r="S328" i="15"/>
  <c r="L328" i="15"/>
  <c r="N328" i="15"/>
  <c r="AA328" i="15"/>
  <c r="O328" i="15"/>
  <c r="AC328" i="15"/>
  <c r="AF328" i="15"/>
  <c r="X328" i="15"/>
  <c r="AE328" i="15"/>
  <c r="I328" i="15"/>
  <c r="C328" i="15"/>
  <c r="F328" i="15"/>
  <c r="I76" i="20"/>
  <c r="J76" i="20"/>
  <c r="K76" i="20"/>
  <c r="A315" i="15"/>
  <c r="JM321" i="10"/>
  <c r="JM25" i="10"/>
  <c r="A19" i="15"/>
  <c r="AF138" i="15"/>
  <c r="T138" i="15"/>
  <c r="AE138" i="15"/>
  <c r="W138" i="15"/>
  <c r="AG138" i="15"/>
  <c r="AI138" i="15"/>
  <c r="D138" i="15"/>
  <c r="P138" i="15"/>
  <c r="L138" i="15"/>
  <c r="AB138" i="15"/>
  <c r="I138" i="15"/>
  <c r="H127" i="20"/>
  <c r="N138" i="15"/>
  <c r="AD138" i="15"/>
  <c r="H138" i="15"/>
  <c r="Q138" i="15"/>
  <c r="Z138" i="15"/>
  <c r="E138" i="15"/>
  <c r="S138" i="15"/>
  <c r="R138" i="15"/>
  <c r="A333" i="15"/>
  <c r="JM339" i="10"/>
  <c r="I279" i="20"/>
  <c r="K279" i="20"/>
  <c r="J279" i="20"/>
  <c r="J323" i="20"/>
  <c r="K323" i="20"/>
  <c r="T310" i="15"/>
  <c r="V310" i="15"/>
  <c r="H310" i="15"/>
  <c r="Y310" i="15"/>
  <c r="AF310" i="15"/>
  <c r="AE310" i="15"/>
  <c r="X310" i="15"/>
  <c r="F310" i="15"/>
  <c r="H299" i="20"/>
  <c r="AB310" i="15"/>
  <c r="AC310" i="15"/>
  <c r="G310" i="15"/>
  <c r="J310" i="15"/>
  <c r="Q310" i="15"/>
  <c r="M310" i="15"/>
  <c r="R310" i="15"/>
  <c r="P310" i="15"/>
  <c r="AG310" i="15"/>
  <c r="E310" i="15"/>
  <c r="AD310" i="15"/>
  <c r="W310" i="15"/>
  <c r="D310" i="15"/>
  <c r="AH310" i="15"/>
  <c r="C310" i="15"/>
  <c r="U310" i="15"/>
  <c r="N310" i="15"/>
  <c r="I310" i="15"/>
  <c r="K310" i="15"/>
  <c r="O310" i="15"/>
  <c r="Z310" i="15"/>
  <c r="AI310" i="15"/>
  <c r="M256" i="15"/>
  <c r="L310" i="15"/>
  <c r="J336" i="20"/>
  <c r="K336" i="20"/>
  <c r="I314" i="20"/>
  <c r="J314" i="20"/>
  <c r="K314" i="20"/>
  <c r="A279" i="15"/>
  <c r="JM285" i="10"/>
  <c r="K156" i="20"/>
  <c r="I156" i="20"/>
  <c r="J156" i="20"/>
  <c r="JM113" i="10"/>
  <c r="A107" i="15"/>
  <c r="A211" i="15"/>
  <c r="C211" i="15" s="1"/>
  <c r="JM217" i="10"/>
  <c r="T256" i="15"/>
  <c r="S283" i="15"/>
  <c r="Y283" i="15"/>
  <c r="P283" i="15"/>
  <c r="F283" i="15"/>
  <c r="U283" i="15"/>
  <c r="N283" i="15"/>
  <c r="AB283" i="15"/>
  <c r="Z283" i="15"/>
  <c r="AA283" i="15"/>
  <c r="O283" i="15"/>
  <c r="W283" i="15"/>
  <c r="H283" i="15"/>
  <c r="X283" i="15"/>
  <c r="AG283" i="15"/>
  <c r="T283" i="15"/>
  <c r="K283" i="15"/>
  <c r="AF283" i="15"/>
  <c r="R283" i="15"/>
  <c r="AE283" i="15"/>
  <c r="Q283" i="15"/>
  <c r="M283" i="15"/>
  <c r="AH283" i="15"/>
  <c r="C283" i="15"/>
  <c r="V283" i="15"/>
  <c r="H272" i="20"/>
  <c r="I272" i="20" s="1"/>
  <c r="I283" i="15"/>
  <c r="G283" i="15"/>
  <c r="L283" i="15"/>
  <c r="AI283" i="15"/>
  <c r="AC283" i="15"/>
  <c r="AI143" i="15"/>
  <c r="Y143" i="15"/>
  <c r="AD143" i="15"/>
  <c r="P143" i="15"/>
  <c r="D143" i="15"/>
  <c r="H143" i="15"/>
  <c r="I143" i="15"/>
  <c r="N143" i="15"/>
  <c r="E143" i="15"/>
  <c r="X143" i="15"/>
  <c r="J143" i="15"/>
  <c r="AE143" i="15"/>
  <c r="R143" i="15"/>
  <c r="AB143" i="15"/>
  <c r="AF143" i="15"/>
  <c r="M143" i="15"/>
  <c r="AH143" i="15"/>
  <c r="W143" i="15"/>
  <c r="U143" i="15"/>
  <c r="H132" i="20"/>
  <c r="L143" i="15"/>
  <c r="G143" i="15"/>
  <c r="Q143" i="15"/>
  <c r="T143" i="15"/>
  <c r="AA143" i="15"/>
  <c r="AG143" i="15"/>
  <c r="S143" i="15"/>
  <c r="O143" i="15"/>
  <c r="F143" i="15"/>
  <c r="V143" i="15"/>
  <c r="JM318" i="10"/>
  <c r="A312" i="15"/>
  <c r="AA286" i="15"/>
  <c r="K256" i="15"/>
  <c r="I311" i="20"/>
  <c r="K311" i="20"/>
  <c r="AB249" i="15"/>
  <c r="T249" i="15"/>
  <c r="F249" i="15"/>
  <c r="J249" i="15"/>
  <c r="H238" i="20"/>
  <c r="AD249" i="15"/>
  <c r="AG249" i="15"/>
  <c r="E249" i="15"/>
  <c r="I249" i="15"/>
  <c r="Z249" i="15"/>
  <c r="AF249" i="15"/>
  <c r="N249" i="15"/>
  <c r="Q249" i="15"/>
  <c r="V249" i="15"/>
  <c r="AA249" i="15"/>
  <c r="X249" i="15"/>
  <c r="C249" i="15"/>
  <c r="W249" i="15"/>
  <c r="O249" i="15"/>
  <c r="R249" i="15"/>
  <c r="U249" i="15"/>
  <c r="AH249" i="15"/>
  <c r="AC249" i="15"/>
  <c r="AE249" i="15"/>
  <c r="M249" i="15"/>
  <c r="H249" i="15"/>
  <c r="D249" i="15"/>
  <c r="K249" i="15"/>
  <c r="S249" i="15"/>
  <c r="G249" i="15"/>
  <c r="U289" i="15"/>
  <c r="C289" i="15"/>
  <c r="AB289" i="15"/>
  <c r="S289" i="15"/>
  <c r="Z289" i="15"/>
  <c r="L289" i="15"/>
  <c r="N289" i="15"/>
  <c r="O289" i="15"/>
  <c r="I289" i="15"/>
  <c r="P289" i="15"/>
  <c r="Y289" i="15"/>
  <c r="F289" i="15"/>
  <c r="AF289" i="15"/>
  <c r="V289" i="15"/>
  <c r="AA289" i="15"/>
  <c r="X289" i="15"/>
  <c r="K289" i="15"/>
  <c r="H278" i="20"/>
  <c r="AI289" i="15"/>
  <c r="R289" i="15"/>
  <c r="W289" i="15"/>
  <c r="H289" i="15"/>
  <c r="J289" i="15"/>
  <c r="M289" i="15"/>
  <c r="AG289" i="15"/>
  <c r="E289" i="15"/>
  <c r="G289" i="15"/>
  <c r="T289" i="15"/>
  <c r="AE289" i="15"/>
  <c r="AD289" i="15"/>
  <c r="S286" i="15"/>
  <c r="Z286" i="15"/>
  <c r="I276" i="20"/>
  <c r="J276" i="20"/>
  <c r="K276" i="20"/>
  <c r="G59" i="15"/>
  <c r="P286" i="15"/>
  <c r="U149" i="15"/>
  <c r="AH149" i="15"/>
  <c r="Z149" i="15"/>
  <c r="AD149" i="15"/>
  <c r="S149" i="15"/>
  <c r="AF149" i="15"/>
  <c r="AA149" i="15"/>
  <c r="M149" i="15"/>
  <c r="F149" i="15"/>
  <c r="O149" i="15"/>
  <c r="L149" i="15"/>
  <c r="V149" i="15"/>
  <c r="Y149" i="15"/>
  <c r="T149" i="15"/>
  <c r="H138" i="20"/>
  <c r="C149" i="15"/>
  <c r="AE149" i="15"/>
  <c r="K149" i="15"/>
  <c r="AB149" i="15"/>
  <c r="P149" i="15"/>
  <c r="J149" i="15"/>
  <c r="N149" i="15"/>
  <c r="AC149" i="15"/>
  <c r="X149" i="15"/>
  <c r="AG149" i="15"/>
  <c r="E149" i="15"/>
  <c r="D149" i="15"/>
  <c r="H149" i="15"/>
  <c r="R149" i="15"/>
  <c r="AE18" i="15"/>
  <c r="U18" i="15"/>
  <c r="E18" i="15"/>
  <c r="L18" i="15"/>
  <c r="W18" i="15"/>
  <c r="I18" i="15"/>
  <c r="C18" i="15"/>
  <c r="O270" i="15"/>
  <c r="AD270" i="15"/>
  <c r="D270" i="15"/>
  <c r="AG270" i="15"/>
  <c r="H270" i="15"/>
  <c r="AH270" i="15"/>
  <c r="L270" i="15"/>
  <c r="F270" i="15"/>
  <c r="I270" i="15"/>
  <c r="Z270" i="15"/>
  <c r="AF270" i="15"/>
  <c r="Z119" i="15"/>
  <c r="S119" i="15"/>
  <c r="X119" i="15"/>
  <c r="AI119" i="15"/>
  <c r="AF119" i="15"/>
  <c r="AC119" i="15"/>
  <c r="AG119" i="15"/>
  <c r="H108" i="20"/>
  <c r="G119" i="15"/>
  <c r="N119" i="15"/>
  <c r="T119" i="15"/>
  <c r="F119" i="15"/>
  <c r="AB119" i="15"/>
  <c r="C119" i="15"/>
  <c r="AD119" i="15"/>
  <c r="Q119" i="15"/>
  <c r="L119" i="15"/>
  <c r="M119" i="15"/>
  <c r="R119" i="15"/>
  <c r="P119" i="15"/>
  <c r="E119" i="15"/>
  <c r="AA119" i="15"/>
  <c r="I119" i="15"/>
  <c r="U119" i="15"/>
  <c r="J119" i="15"/>
  <c r="JM154" i="10"/>
  <c r="A148" i="15"/>
  <c r="J67" i="20"/>
  <c r="K67" i="20"/>
  <c r="K167" i="20"/>
  <c r="I167" i="20"/>
  <c r="Y269" i="15"/>
  <c r="T269" i="15"/>
  <c r="W269" i="15"/>
  <c r="F269" i="15"/>
  <c r="AE269" i="15"/>
  <c r="U269" i="15"/>
  <c r="P269" i="15"/>
  <c r="AC269" i="15"/>
  <c r="Z269" i="15"/>
  <c r="L269" i="15"/>
  <c r="AI269" i="15"/>
  <c r="D269" i="15"/>
  <c r="AG269" i="15"/>
  <c r="AB269" i="15"/>
  <c r="M269" i="15"/>
  <c r="J269" i="15"/>
  <c r="O269" i="15"/>
  <c r="I269" i="15"/>
  <c r="R269" i="15"/>
  <c r="AF269" i="15"/>
  <c r="V269" i="15"/>
  <c r="P195" i="15"/>
  <c r="L195" i="15"/>
  <c r="H195" i="15"/>
  <c r="AH195" i="15"/>
  <c r="AD195" i="15"/>
  <c r="N195" i="15"/>
  <c r="M195" i="15"/>
  <c r="T195" i="15"/>
  <c r="O195" i="15"/>
  <c r="AF195" i="15"/>
  <c r="V195" i="15"/>
  <c r="D195" i="15"/>
  <c r="Z195" i="15"/>
  <c r="AG195" i="15"/>
  <c r="J195" i="15"/>
  <c r="Q195" i="15"/>
  <c r="F195" i="15"/>
  <c r="AC195" i="15"/>
  <c r="W195" i="15"/>
  <c r="E195" i="15"/>
  <c r="U195" i="15"/>
  <c r="S195" i="15"/>
  <c r="C195" i="15"/>
  <c r="J197" i="20"/>
  <c r="K197" i="20"/>
  <c r="JM105" i="10"/>
  <c r="A99" i="15"/>
  <c r="AB360" i="15"/>
  <c r="Z360" i="15"/>
  <c r="N360" i="15"/>
  <c r="H349" i="20"/>
  <c r="J360" i="15"/>
  <c r="Y360" i="15"/>
  <c r="K360" i="15"/>
  <c r="U360" i="15"/>
  <c r="AA360" i="15"/>
  <c r="D360" i="15"/>
  <c r="R360" i="15"/>
  <c r="P360" i="15"/>
  <c r="O360" i="15"/>
  <c r="W360" i="15"/>
  <c r="G360" i="15"/>
  <c r="E360" i="15"/>
  <c r="X360" i="15"/>
  <c r="L360" i="15"/>
  <c r="V360" i="15"/>
  <c r="AH360" i="15"/>
  <c r="AC360" i="15"/>
  <c r="I360" i="15"/>
  <c r="C62" i="15"/>
  <c r="K62" i="15"/>
  <c r="P62" i="15"/>
  <c r="AI62" i="15"/>
  <c r="AH62" i="15"/>
  <c r="T62" i="15"/>
  <c r="I62" i="15"/>
  <c r="AB62" i="15"/>
  <c r="W62" i="15"/>
  <c r="N62" i="15"/>
  <c r="AC62" i="15"/>
  <c r="R62" i="15"/>
  <c r="S62" i="15"/>
  <c r="F62" i="15"/>
  <c r="AG62" i="15"/>
  <c r="X62" i="15"/>
  <c r="Y62" i="15"/>
  <c r="H51" i="20"/>
  <c r="H62" i="15"/>
  <c r="AA62" i="15"/>
  <c r="Q62" i="15"/>
  <c r="O62" i="15"/>
  <c r="L62" i="15"/>
  <c r="G62" i="15"/>
  <c r="DP304" i="10"/>
  <c r="DN304" i="10" s="1"/>
  <c r="DO304" i="10" s="1"/>
  <c r="DM304" i="10"/>
  <c r="DP63" i="10"/>
  <c r="DN63" i="10" s="1"/>
  <c r="DO63" i="10" s="1"/>
  <c r="DM63" i="10"/>
  <c r="M18" i="15"/>
  <c r="O20" i="15"/>
  <c r="J366" i="20"/>
  <c r="K119" i="20"/>
  <c r="I119" i="20"/>
  <c r="J270" i="15"/>
  <c r="G269" i="15"/>
  <c r="D62" i="15"/>
  <c r="E188" i="15"/>
  <c r="I202" i="20"/>
  <c r="K202" i="20"/>
  <c r="D61" i="15"/>
  <c r="V61" i="15"/>
  <c r="I61" i="15"/>
  <c r="AI61" i="15"/>
  <c r="J61" i="15"/>
  <c r="Z61" i="15"/>
  <c r="L61" i="15"/>
  <c r="E61" i="15"/>
  <c r="U61" i="15"/>
  <c r="AD61" i="15"/>
  <c r="AF61" i="15"/>
  <c r="F61" i="15"/>
  <c r="AC61" i="15"/>
  <c r="Y61" i="15"/>
  <c r="M61" i="15"/>
  <c r="W61" i="15"/>
  <c r="AH61" i="15"/>
  <c r="Q61" i="15"/>
  <c r="T61" i="15"/>
  <c r="G61" i="15"/>
  <c r="P61" i="15"/>
  <c r="AG61" i="15"/>
  <c r="O61" i="15"/>
  <c r="D357" i="15"/>
  <c r="L384" i="15"/>
  <c r="AA384" i="15"/>
  <c r="O384" i="15"/>
  <c r="T384" i="15"/>
  <c r="D384" i="15"/>
  <c r="AG384" i="15"/>
  <c r="H384" i="15"/>
  <c r="C384" i="15"/>
  <c r="U384" i="15"/>
  <c r="AC384" i="15"/>
  <c r="V384" i="15"/>
  <c r="AH384" i="15"/>
  <c r="Z384" i="15"/>
  <c r="W384" i="15"/>
  <c r="Y384" i="15"/>
  <c r="X384" i="15"/>
  <c r="M384" i="15"/>
  <c r="AE384" i="15"/>
  <c r="K384" i="15"/>
  <c r="J384" i="15"/>
  <c r="Q384" i="15"/>
  <c r="F384" i="15"/>
  <c r="S384" i="15"/>
  <c r="I384" i="15"/>
  <c r="H373" i="20"/>
  <c r="G384" i="15"/>
  <c r="A82" i="15"/>
  <c r="JM88" i="10"/>
  <c r="DP311" i="10"/>
  <c r="DN311" i="10" s="1"/>
  <c r="DO311" i="10" s="1"/>
  <c r="DM311" i="10"/>
  <c r="A113" i="15"/>
  <c r="JM119" i="10"/>
  <c r="K18" i="15"/>
  <c r="J167" i="20"/>
  <c r="AD269" i="15"/>
  <c r="AF62" i="15"/>
  <c r="L204" i="15"/>
  <c r="V204" i="15"/>
  <c r="AE204" i="15"/>
  <c r="X204" i="15"/>
  <c r="R204" i="15"/>
  <c r="S204" i="15"/>
  <c r="E204" i="15"/>
  <c r="H204" i="15"/>
  <c r="W204" i="15"/>
  <c r="AF204" i="15"/>
  <c r="AC204" i="15"/>
  <c r="P204" i="15"/>
  <c r="J204" i="15"/>
  <c r="G204" i="15"/>
  <c r="AH204" i="15"/>
  <c r="Z204" i="15"/>
  <c r="D204" i="15"/>
  <c r="H193" i="20"/>
  <c r="AG204" i="15"/>
  <c r="O204" i="15"/>
  <c r="AA204" i="15"/>
  <c r="AI204" i="15"/>
  <c r="K204" i="15"/>
  <c r="V185" i="15"/>
  <c r="R185" i="15"/>
  <c r="F185" i="15"/>
  <c r="E185" i="15"/>
  <c r="AE185" i="15"/>
  <c r="H174" i="20"/>
  <c r="H185" i="15"/>
  <c r="J185" i="15"/>
  <c r="U185" i="15"/>
  <c r="AI185" i="15"/>
  <c r="G185" i="15"/>
  <c r="K185" i="15"/>
  <c r="AC185" i="15"/>
  <c r="N185" i="15"/>
  <c r="M185" i="15"/>
  <c r="D185" i="15"/>
  <c r="AB185" i="15"/>
  <c r="I185" i="15"/>
  <c r="Z185" i="15"/>
  <c r="O185" i="15"/>
  <c r="AH185" i="15"/>
  <c r="W185" i="15"/>
  <c r="L185" i="15"/>
  <c r="S185" i="15"/>
  <c r="DP298" i="10"/>
  <c r="DN298" i="10" s="1"/>
  <c r="DO298" i="10" s="1"/>
  <c r="DM298" i="10"/>
  <c r="G18" i="15"/>
  <c r="P20" i="15"/>
  <c r="AA270" i="15"/>
  <c r="S269" i="15"/>
  <c r="H119" i="15"/>
  <c r="AE62" i="15"/>
  <c r="N204" i="15"/>
  <c r="S188" i="15"/>
  <c r="D194" i="15"/>
  <c r="F194" i="15"/>
  <c r="L194" i="15"/>
  <c r="AF194" i="15"/>
  <c r="T194" i="15"/>
  <c r="Y194" i="15"/>
  <c r="H194" i="15"/>
  <c r="O194" i="15"/>
  <c r="S194" i="15"/>
  <c r="J194" i="15"/>
  <c r="H183" i="20"/>
  <c r="AI194" i="15"/>
  <c r="AG194" i="15"/>
  <c r="W194" i="15"/>
  <c r="Y78" i="15"/>
  <c r="AB78" i="15"/>
  <c r="W78" i="15"/>
  <c r="AF78" i="15"/>
  <c r="AG78" i="15"/>
  <c r="H78" i="15"/>
  <c r="V78" i="15"/>
  <c r="AA78" i="15"/>
  <c r="Z78" i="15"/>
  <c r="C78" i="15"/>
  <c r="R195" i="15"/>
  <c r="K85" i="20"/>
  <c r="I85" i="20"/>
  <c r="K179" i="20"/>
  <c r="J179" i="20"/>
  <c r="P203" i="15"/>
  <c r="V203" i="15"/>
  <c r="I203" i="15"/>
  <c r="AD203" i="15"/>
  <c r="H203" i="15"/>
  <c r="AB203" i="15"/>
  <c r="F203" i="15"/>
  <c r="W203" i="15"/>
  <c r="AA203" i="15"/>
  <c r="AI203" i="15"/>
  <c r="AE203" i="15"/>
  <c r="C203" i="15"/>
  <c r="AG203" i="15"/>
  <c r="Z203" i="15"/>
  <c r="K203" i="15"/>
  <c r="H192" i="20"/>
  <c r="L203" i="15"/>
  <c r="X203" i="15"/>
  <c r="Y203" i="15"/>
  <c r="R203" i="15"/>
  <c r="E203" i="15"/>
  <c r="M203" i="15"/>
  <c r="Q203" i="15"/>
  <c r="O203" i="15"/>
  <c r="D203" i="15"/>
  <c r="J254" i="20"/>
  <c r="K254" i="20"/>
  <c r="I254" i="20"/>
  <c r="O324" i="15"/>
  <c r="D324" i="15"/>
  <c r="AC324" i="15"/>
  <c r="AG324" i="15"/>
  <c r="AH324" i="15"/>
  <c r="AE324" i="15"/>
  <c r="C324" i="15"/>
  <c r="R324" i="15"/>
  <c r="H313" i="20"/>
  <c r="Y324" i="15"/>
  <c r="K324" i="15"/>
  <c r="W324" i="15"/>
  <c r="X324" i="15"/>
  <c r="T324" i="15"/>
  <c r="AD18" i="15"/>
  <c r="J82" i="20"/>
  <c r="T270" i="15"/>
  <c r="X269" i="15"/>
  <c r="I182" i="20"/>
  <c r="K182" i="20"/>
  <c r="J182" i="20"/>
  <c r="D119" i="15"/>
  <c r="V62" i="15"/>
  <c r="M204" i="15"/>
  <c r="E130" i="15"/>
  <c r="G130" i="15"/>
  <c r="T130" i="15"/>
  <c r="I130" i="15"/>
  <c r="P130" i="15"/>
  <c r="Y130" i="15"/>
  <c r="AB130" i="15"/>
  <c r="AG130" i="15"/>
  <c r="U130" i="15"/>
  <c r="AH130" i="15"/>
  <c r="Z130" i="15"/>
  <c r="R130" i="15"/>
  <c r="AD130" i="15"/>
  <c r="W130" i="15"/>
  <c r="AE195" i="15"/>
  <c r="A168" i="15"/>
  <c r="JM174" i="10"/>
  <c r="C357" i="15"/>
  <c r="N357" i="15"/>
  <c r="H346" i="20"/>
  <c r="J346" i="20" s="1"/>
  <c r="G357" i="15"/>
  <c r="AE357" i="15"/>
  <c r="AI357" i="15"/>
  <c r="AD357" i="15"/>
  <c r="AH357" i="15"/>
  <c r="T357" i="15"/>
  <c r="H357" i="15"/>
  <c r="AB357" i="15"/>
  <c r="Q357" i="15"/>
  <c r="L357" i="15"/>
  <c r="E357" i="15"/>
  <c r="P357" i="15"/>
  <c r="Z357" i="15"/>
  <c r="S357" i="15"/>
  <c r="AF357" i="15"/>
  <c r="Y357" i="15"/>
  <c r="W357" i="15"/>
  <c r="Q18" i="15"/>
  <c r="I67" i="20"/>
  <c r="G20" i="15"/>
  <c r="AE20" i="15"/>
  <c r="S20" i="15"/>
  <c r="N20" i="15"/>
  <c r="AH20" i="15"/>
  <c r="AD20" i="15"/>
  <c r="R20" i="15"/>
  <c r="AF20" i="15"/>
  <c r="AG20" i="15"/>
  <c r="V20" i="15"/>
  <c r="J20" i="15"/>
  <c r="AC20" i="15"/>
  <c r="F20" i="15"/>
  <c r="AH269" i="15"/>
  <c r="K119" i="15"/>
  <c r="X195" i="15"/>
  <c r="Z108" i="15"/>
  <c r="AE108" i="15"/>
  <c r="AF108" i="15"/>
  <c r="R108" i="15"/>
  <c r="L108" i="15"/>
  <c r="AD108" i="15"/>
  <c r="E108" i="15"/>
  <c r="P108" i="15"/>
  <c r="M108" i="15"/>
  <c r="C108" i="15"/>
  <c r="D108" i="15"/>
  <c r="F108" i="15"/>
  <c r="H108" i="15"/>
  <c r="I303" i="20"/>
  <c r="K303" i="20"/>
  <c r="J303" i="20"/>
  <c r="T188" i="15"/>
  <c r="AC188" i="15"/>
  <c r="N188" i="15"/>
  <c r="Z188" i="15"/>
  <c r="G188" i="15"/>
  <c r="V188" i="15"/>
  <c r="D188" i="15"/>
  <c r="AE188" i="15"/>
  <c r="AG188" i="15"/>
  <c r="Q188" i="15"/>
  <c r="J188" i="15"/>
  <c r="I188" i="15"/>
  <c r="P188" i="15"/>
  <c r="W188" i="15"/>
  <c r="C188" i="15"/>
  <c r="AH188" i="15"/>
  <c r="AD188" i="15"/>
  <c r="O188" i="15"/>
  <c r="H188" i="15"/>
  <c r="U188" i="15"/>
  <c r="H177" i="20"/>
  <c r="AA188" i="15"/>
  <c r="K188" i="15"/>
  <c r="JM222" i="10"/>
  <c r="A216" i="15"/>
  <c r="DP234" i="10"/>
  <c r="DN234" i="10" s="1"/>
  <c r="DO234" i="10" s="1"/>
  <c r="DM234" i="10"/>
  <c r="DM333" i="10"/>
  <c r="DP333" i="10"/>
  <c r="DN333" i="10" s="1"/>
  <c r="DO333" i="10" s="1"/>
  <c r="DP268" i="10"/>
  <c r="DN268" i="10" s="1"/>
  <c r="DO268" i="10" s="1"/>
  <c r="DM268" i="10"/>
  <c r="DP182" i="10"/>
  <c r="DN182" i="10" s="1"/>
  <c r="DO182" i="10" s="1"/>
  <c r="DM182" i="10"/>
  <c r="GI380" i="10"/>
  <c r="AT380" i="10" s="1"/>
  <c r="BN380" i="10"/>
  <c r="A21" i="15"/>
  <c r="JM27" i="10"/>
  <c r="Y18" i="15"/>
  <c r="AI20" i="15"/>
  <c r="I129" i="20"/>
  <c r="J129" i="20"/>
  <c r="K180" i="20"/>
  <c r="U270" i="15"/>
  <c r="Q269" i="15"/>
  <c r="W119" i="15"/>
  <c r="U204" i="15"/>
  <c r="L188" i="15"/>
  <c r="AA195" i="15"/>
  <c r="P226" i="15"/>
  <c r="L296" i="15"/>
  <c r="AF296" i="15"/>
  <c r="J296" i="15"/>
  <c r="AA296" i="15"/>
  <c r="G296" i="15"/>
  <c r="X296" i="15"/>
  <c r="AC296" i="15"/>
  <c r="W296" i="15"/>
  <c r="U296" i="15"/>
  <c r="Y296" i="15"/>
  <c r="M296" i="15"/>
  <c r="AI296" i="15"/>
  <c r="AD296" i="15"/>
  <c r="AG296" i="15"/>
  <c r="I296" i="15"/>
  <c r="P296" i="15"/>
  <c r="H296" i="15"/>
  <c r="AE296" i="15"/>
  <c r="F296" i="15"/>
  <c r="V296" i="15"/>
  <c r="AH296" i="15"/>
  <c r="Z296" i="15"/>
  <c r="T296" i="15"/>
  <c r="H285" i="20"/>
  <c r="C296" i="15"/>
  <c r="P185" i="15"/>
  <c r="C305" i="15"/>
  <c r="X305" i="15"/>
  <c r="Y305" i="15"/>
  <c r="AD305" i="15"/>
  <c r="R305" i="15"/>
  <c r="S305" i="15"/>
  <c r="AH305" i="15"/>
  <c r="N305" i="15"/>
  <c r="AB305" i="15"/>
  <c r="E305" i="15"/>
  <c r="Q305" i="15"/>
  <c r="T305" i="15"/>
  <c r="F305" i="15"/>
  <c r="H294" i="20"/>
  <c r="Z305" i="15"/>
  <c r="AA305" i="15"/>
  <c r="H305" i="15"/>
  <c r="W305" i="15"/>
  <c r="K305" i="15"/>
  <c r="AI55" i="15"/>
  <c r="D55" i="15"/>
  <c r="T55" i="15"/>
  <c r="L55" i="15"/>
  <c r="H44" i="20"/>
  <c r="Y55" i="15"/>
  <c r="AC55" i="15"/>
  <c r="O55" i="15"/>
  <c r="AF55" i="15"/>
  <c r="K55" i="15"/>
  <c r="AG55" i="15"/>
  <c r="AH55" i="15"/>
  <c r="AE55" i="15"/>
  <c r="U55" i="15"/>
  <c r="AB55" i="15"/>
  <c r="Q55" i="15"/>
  <c r="C55" i="15"/>
  <c r="E55" i="15"/>
  <c r="R55" i="15"/>
  <c r="Z55" i="15"/>
  <c r="M55" i="15"/>
  <c r="W55" i="15"/>
  <c r="P55" i="15"/>
  <c r="AA55" i="15"/>
  <c r="S55" i="15"/>
  <c r="JM193" i="10"/>
  <c r="A187" i="15"/>
  <c r="J18" i="15"/>
  <c r="AB20" i="15"/>
  <c r="I180" i="20"/>
  <c r="K270" i="15"/>
  <c r="AA269" i="15"/>
  <c r="K357" i="20"/>
  <c r="Y119" i="15"/>
  <c r="I204" i="15"/>
  <c r="N231" i="15"/>
  <c r="Z231" i="15"/>
  <c r="K231" i="15"/>
  <c r="AG231" i="15"/>
  <c r="H220" i="20"/>
  <c r="F231" i="15"/>
  <c r="C231" i="15"/>
  <c r="V231" i="15"/>
  <c r="G231" i="15"/>
  <c r="AI231" i="15"/>
  <c r="L231" i="15"/>
  <c r="T231" i="15"/>
  <c r="Y195" i="15"/>
  <c r="DM222" i="10"/>
  <c r="P68" i="15"/>
  <c r="AE68" i="15"/>
  <c r="AC68" i="15"/>
  <c r="L68" i="15"/>
  <c r="G68" i="15"/>
  <c r="Q68" i="15"/>
  <c r="H68" i="15"/>
  <c r="U68" i="15"/>
  <c r="AG68" i="15"/>
  <c r="T68" i="15"/>
  <c r="AD68" i="15"/>
  <c r="H57" i="20"/>
  <c r="AA68" i="15"/>
  <c r="R68" i="15"/>
  <c r="V68" i="15"/>
  <c r="AI68" i="15"/>
  <c r="I68" i="15"/>
  <c r="K68" i="15"/>
  <c r="Y68" i="15"/>
  <c r="AB68" i="15"/>
  <c r="X68" i="15"/>
  <c r="M68" i="15"/>
  <c r="S68" i="15"/>
  <c r="D68" i="15"/>
  <c r="AH68" i="15"/>
  <c r="N68" i="15"/>
  <c r="Z68" i="15"/>
  <c r="W68" i="15"/>
  <c r="JD394" i="10"/>
  <c r="AC18" i="15"/>
  <c r="H9" i="20"/>
  <c r="K164" i="20"/>
  <c r="K160" i="20"/>
  <c r="J160" i="20"/>
  <c r="Y270" i="15"/>
  <c r="E270" i="15"/>
  <c r="J139" i="20"/>
  <c r="I357" i="20"/>
  <c r="V119" i="15"/>
  <c r="Q204" i="15"/>
  <c r="AI384" i="15"/>
  <c r="J23" i="20"/>
  <c r="I23" i="20"/>
  <c r="K23" i="20"/>
  <c r="I19" i="20"/>
  <c r="K19" i="20"/>
  <c r="H184" i="20"/>
  <c r="T181" i="15"/>
  <c r="L181" i="15"/>
  <c r="S181" i="15"/>
  <c r="AI181" i="15"/>
  <c r="J181" i="15"/>
  <c r="H181" i="15"/>
  <c r="AC181" i="15"/>
  <c r="E181" i="15"/>
  <c r="O181" i="15"/>
  <c r="AF181" i="15"/>
  <c r="Q181" i="15"/>
  <c r="AH181" i="15"/>
  <c r="V181" i="15"/>
  <c r="R181" i="15"/>
  <c r="AF203" i="15"/>
  <c r="AD292" i="15"/>
  <c r="G292" i="15"/>
  <c r="Q292" i="15"/>
  <c r="H292" i="15"/>
  <c r="AA292" i="15"/>
  <c r="W292" i="15"/>
  <c r="M292" i="15"/>
  <c r="F292" i="15"/>
  <c r="S292" i="15"/>
  <c r="L292" i="15"/>
  <c r="AI292" i="15"/>
  <c r="T292" i="15"/>
  <c r="O292" i="15"/>
  <c r="AC292" i="15"/>
  <c r="D292" i="15"/>
  <c r="AB292" i="15"/>
  <c r="Z292" i="15"/>
  <c r="E292" i="15"/>
  <c r="P292" i="15"/>
  <c r="X292" i="15"/>
  <c r="R18" i="15"/>
  <c r="I20" i="15"/>
  <c r="Q20" i="15"/>
  <c r="J164" i="20"/>
  <c r="X270" i="15"/>
  <c r="C270" i="15"/>
  <c r="AE119" i="15"/>
  <c r="AB204" i="15"/>
  <c r="D177" i="15"/>
  <c r="R177" i="15"/>
  <c r="P177" i="15"/>
  <c r="X177" i="15"/>
  <c r="M177" i="15"/>
  <c r="AD177" i="15"/>
  <c r="AG177" i="15"/>
  <c r="H177" i="15"/>
  <c r="K177" i="15"/>
  <c r="AI177" i="15"/>
  <c r="J177" i="15"/>
  <c r="AE177" i="15"/>
  <c r="T177" i="15"/>
  <c r="AI195" i="15"/>
  <c r="Y185" i="15"/>
  <c r="J350" i="20"/>
  <c r="K350" i="20"/>
  <c r="J226" i="15"/>
  <c r="D226" i="15"/>
  <c r="H215" i="20"/>
  <c r="AE226" i="15"/>
  <c r="U226" i="15"/>
  <c r="N226" i="15"/>
  <c r="C226" i="15"/>
  <c r="R226" i="15"/>
  <c r="AA226" i="15"/>
  <c r="AF226" i="15"/>
  <c r="AI226" i="15"/>
  <c r="Q226" i="15"/>
  <c r="O226" i="15"/>
  <c r="T226" i="15"/>
  <c r="AB226" i="15"/>
  <c r="H226" i="15"/>
  <c r="E226" i="15"/>
  <c r="AH226" i="15"/>
  <c r="I226" i="15"/>
  <c r="V226" i="15"/>
  <c r="AG226" i="15"/>
  <c r="AC226" i="15"/>
  <c r="W226" i="15"/>
  <c r="S226" i="15"/>
  <c r="F226" i="15"/>
  <c r="N18" i="15"/>
  <c r="L20" i="15"/>
  <c r="I264" i="20"/>
  <c r="AE270" i="15"/>
  <c r="G270" i="15"/>
  <c r="AE61" i="15"/>
  <c r="AH119" i="15"/>
  <c r="F204" i="15"/>
  <c r="GI25" i="10"/>
  <c r="AT25" i="10" s="1"/>
  <c r="AB384" i="15"/>
  <c r="K195" i="15"/>
  <c r="J203" i="15"/>
  <c r="AF185" i="15"/>
  <c r="M226" i="15"/>
  <c r="K255" i="20"/>
  <c r="J255" i="20"/>
  <c r="I255" i="20"/>
  <c r="AI360" i="15"/>
  <c r="T185" i="15"/>
  <c r="D18" i="15"/>
  <c r="X20" i="15"/>
  <c r="I281" i="20"/>
  <c r="I225" i="20"/>
  <c r="W270" i="15"/>
  <c r="N270" i="15"/>
  <c r="K316" i="20"/>
  <c r="J316" i="20"/>
  <c r="I316" i="20"/>
  <c r="R61" i="15"/>
  <c r="O119" i="15"/>
  <c r="T204" i="15"/>
  <c r="E384" i="15"/>
  <c r="I195" i="15"/>
  <c r="L111" i="15"/>
  <c r="AB111" i="15"/>
  <c r="AG111" i="15"/>
  <c r="Z111" i="15"/>
  <c r="E111" i="15"/>
  <c r="AF111" i="15"/>
  <c r="F111" i="15"/>
  <c r="Q111" i="15"/>
  <c r="C111" i="15"/>
  <c r="H100" i="20"/>
  <c r="X111" i="15"/>
  <c r="N111" i="15"/>
  <c r="AC111" i="15"/>
  <c r="S111" i="15"/>
  <c r="AA111" i="15"/>
  <c r="U111" i="15"/>
  <c r="G203" i="15"/>
  <c r="AG185" i="15"/>
  <c r="Z226" i="15"/>
  <c r="J305" i="20"/>
  <c r="K305" i="20"/>
  <c r="I305" i="20"/>
  <c r="K357" i="15"/>
  <c r="I178" i="15"/>
  <c r="N178" i="15"/>
  <c r="AD178" i="15"/>
  <c r="W178" i="15"/>
  <c r="AC178" i="15"/>
  <c r="X178" i="15"/>
  <c r="O178" i="15"/>
  <c r="J178" i="15"/>
  <c r="C178" i="15"/>
  <c r="AI178" i="15"/>
  <c r="K178" i="15"/>
  <c r="Z178" i="15"/>
  <c r="F178" i="15"/>
  <c r="AH178" i="15"/>
  <c r="W20" i="15"/>
  <c r="AB18" i="15"/>
  <c r="U20" i="15"/>
  <c r="K134" i="20"/>
  <c r="J281" i="20"/>
  <c r="J225" i="20"/>
  <c r="AI270" i="15"/>
  <c r="V270" i="15"/>
  <c r="AH108" i="15"/>
  <c r="H50" i="20"/>
  <c r="Y204" i="15"/>
  <c r="P384" i="15"/>
  <c r="AB195" i="15"/>
  <c r="J292" i="20"/>
  <c r="K292" i="20"/>
  <c r="AC203" i="15"/>
  <c r="I258" i="15"/>
  <c r="Q258" i="15"/>
  <c r="AA258" i="15"/>
  <c r="N258" i="15"/>
  <c r="O258" i="15"/>
  <c r="R258" i="15"/>
  <c r="V258" i="15"/>
  <c r="AB258" i="15"/>
  <c r="E258" i="15"/>
  <c r="X258" i="15"/>
  <c r="AI258" i="15"/>
  <c r="J258" i="15"/>
  <c r="C258" i="15"/>
  <c r="AD258" i="15"/>
  <c r="T258" i="15"/>
  <c r="P258" i="15"/>
  <c r="M258" i="15"/>
  <c r="AG258" i="15"/>
  <c r="AF258" i="15"/>
  <c r="Q185" i="15"/>
  <c r="L226" i="15"/>
  <c r="A317" i="15"/>
  <c r="JM323" i="10"/>
  <c r="H351" i="15"/>
  <c r="AH351" i="15"/>
  <c r="AD351" i="15"/>
  <c r="R351" i="15"/>
  <c r="Z351" i="15"/>
  <c r="G351" i="15"/>
  <c r="AA351" i="15"/>
  <c r="AB351" i="15"/>
  <c r="S351" i="15"/>
  <c r="Z145" i="15"/>
  <c r="X145" i="15"/>
  <c r="G145" i="15"/>
  <c r="AE145" i="15"/>
  <c r="V145" i="15"/>
  <c r="W145" i="15"/>
  <c r="J348" i="15"/>
  <c r="AH348" i="15"/>
  <c r="AI348" i="15"/>
  <c r="P348" i="15"/>
  <c r="C348" i="15"/>
  <c r="F348" i="15"/>
  <c r="W348" i="15"/>
  <c r="O348" i="15"/>
  <c r="S348" i="15"/>
  <c r="E348" i="15"/>
  <c r="X348" i="15"/>
  <c r="AD348" i="15"/>
  <c r="JM130" i="10"/>
  <c r="A124" i="15"/>
  <c r="AB73" i="15"/>
  <c r="X73" i="15"/>
  <c r="H62" i="20"/>
  <c r="AE73" i="15"/>
  <c r="R73" i="15"/>
  <c r="U121" i="15"/>
  <c r="X121" i="15"/>
  <c r="C121" i="15"/>
  <c r="L121" i="15"/>
  <c r="AC121" i="15"/>
  <c r="Q121" i="15"/>
  <c r="K121" i="15"/>
  <c r="Y121" i="15"/>
  <c r="O121" i="15"/>
  <c r="AE121" i="15"/>
  <c r="N121" i="15"/>
  <c r="R121" i="15"/>
  <c r="AI121" i="15"/>
  <c r="H110" i="20"/>
  <c r="D121" i="15"/>
  <c r="AF121" i="15"/>
  <c r="K54" i="20"/>
  <c r="J54" i="20"/>
  <c r="G234" i="15"/>
  <c r="W234" i="15"/>
  <c r="K234" i="15"/>
  <c r="X234" i="15"/>
  <c r="O234" i="15"/>
  <c r="AI234" i="15"/>
  <c r="Z234" i="15"/>
  <c r="AF234" i="15"/>
  <c r="D234" i="15"/>
  <c r="AG234" i="15"/>
  <c r="N234" i="15"/>
  <c r="AE234" i="15"/>
  <c r="M234" i="15"/>
  <c r="E234" i="15"/>
  <c r="J234" i="15"/>
  <c r="AA234" i="15"/>
  <c r="F234" i="15"/>
  <c r="Y234" i="15"/>
  <c r="R234" i="15"/>
  <c r="I234" i="15"/>
  <c r="AH234" i="15"/>
  <c r="L234" i="15"/>
  <c r="AD103" i="15"/>
  <c r="AF103" i="15"/>
  <c r="AA103" i="15"/>
  <c r="W103" i="15"/>
  <c r="H92" i="20"/>
  <c r="Y103" i="15"/>
  <c r="H103" i="15"/>
  <c r="AH103" i="15"/>
  <c r="V103" i="15"/>
  <c r="R103" i="15"/>
  <c r="G103" i="15"/>
  <c r="AC103" i="15"/>
  <c r="Q103" i="15"/>
  <c r="I103" i="15"/>
  <c r="K103" i="15"/>
  <c r="AG103" i="15"/>
  <c r="S103" i="15"/>
  <c r="J103" i="15"/>
  <c r="C103" i="15"/>
  <c r="F103" i="15"/>
  <c r="Z103" i="15"/>
  <c r="O103" i="15"/>
  <c r="D103" i="15"/>
  <c r="N103" i="15"/>
  <c r="C86" i="15"/>
  <c r="S86" i="15"/>
  <c r="M86" i="15"/>
  <c r="O86" i="15"/>
  <c r="Y86" i="15"/>
  <c r="V86" i="15"/>
  <c r="P86" i="15"/>
  <c r="Z86" i="15"/>
  <c r="H86" i="15"/>
  <c r="R86" i="15"/>
  <c r="AC86" i="15"/>
  <c r="AD86" i="15"/>
  <c r="AI86" i="15"/>
  <c r="U86" i="15"/>
  <c r="L86" i="15"/>
  <c r="W86" i="15"/>
  <c r="D86" i="15"/>
  <c r="AE86" i="15"/>
  <c r="G86" i="15"/>
  <c r="AF86" i="15"/>
  <c r="K86" i="15"/>
  <c r="J86" i="15"/>
  <c r="E86" i="15"/>
  <c r="AG145" i="15"/>
  <c r="O145" i="15"/>
  <c r="Z121" i="15"/>
  <c r="I348" i="15"/>
  <c r="J323" i="15"/>
  <c r="H223" i="20"/>
  <c r="AH86" i="15"/>
  <c r="AC110" i="15"/>
  <c r="G110" i="15"/>
  <c r="H99" i="20"/>
  <c r="I110" i="15"/>
  <c r="M110" i="15"/>
  <c r="Z110" i="15"/>
  <c r="H110" i="15"/>
  <c r="P110" i="15"/>
  <c r="AA110" i="15"/>
  <c r="AH110" i="15"/>
  <c r="Q110" i="15"/>
  <c r="K110" i="15"/>
  <c r="AB110" i="15"/>
  <c r="F110" i="15"/>
  <c r="AD110" i="15"/>
  <c r="D110" i="15"/>
  <c r="C110" i="15"/>
  <c r="AH308" i="15"/>
  <c r="P308" i="15"/>
  <c r="E308" i="15"/>
  <c r="Z308" i="15"/>
  <c r="S308" i="15"/>
  <c r="AI308" i="15"/>
  <c r="H297" i="20"/>
  <c r="N308" i="15"/>
  <c r="M308" i="15"/>
  <c r="U308" i="15"/>
  <c r="AB308" i="15"/>
  <c r="Q308" i="15"/>
  <c r="Y308" i="15"/>
  <c r="AF308" i="15"/>
  <c r="AE308" i="15"/>
  <c r="AD308" i="15"/>
  <c r="T334" i="15"/>
  <c r="AG334" i="15"/>
  <c r="L334" i="15"/>
  <c r="AE334" i="15"/>
  <c r="Q334" i="15"/>
  <c r="AA334" i="15"/>
  <c r="J334" i="15"/>
  <c r="P334" i="15"/>
  <c r="E334" i="15"/>
  <c r="Z334" i="15"/>
  <c r="G334" i="15"/>
  <c r="K334" i="15"/>
  <c r="N334" i="15"/>
  <c r="D334" i="15"/>
  <c r="V334" i="15"/>
  <c r="AD334" i="15"/>
  <c r="O334" i="15"/>
  <c r="AB334" i="15"/>
  <c r="DM335" i="10"/>
  <c r="JM163" i="10"/>
  <c r="A157" i="15"/>
  <c r="U75" i="15"/>
  <c r="V75" i="15"/>
  <c r="AF75" i="15"/>
  <c r="P75" i="15"/>
  <c r="AB323" i="15"/>
  <c r="U323" i="15"/>
  <c r="M323" i="15"/>
  <c r="AA323" i="15"/>
  <c r="C323" i="15"/>
  <c r="Q323" i="15"/>
  <c r="Z323" i="15"/>
  <c r="H323" i="15"/>
  <c r="L323" i="15"/>
  <c r="D323" i="15"/>
  <c r="H312" i="20"/>
  <c r="AC323" i="15"/>
  <c r="X323" i="15"/>
  <c r="G323" i="15"/>
  <c r="A54" i="15"/>
  <c r="JM60" i="10"/>
  <c r="JM170" i="10"/>
  <c r="A164" i="15"/>
  <c r="V330" i="15"/>
  <c r="AH330" i="15"/>
  <c r="K330" i="15"/>
  <c r="D330" i="15"/>
  <c r="AB330" i="15"/>
  <c r="T330" i="15"/>
  <c r="X330" i="15"/>
  <c r="W330" i="15"/>
  <c r="R330" i="15"/>
  <c r="U330" i="15"/>
  <c r="M330" i="15"/>
  <c r="Z330" i="15"/>
  <c r="G330" i="15"/>
  <c r="S330" i="15"/>
  <c r="I330" i="15"/>
  <c r="J330" i="15"/>
  <c r="AE330" i="15"/>
  <c r="L330" i="15"/>
  <c r="AG330" i="15"/>
  <c r="N330" i="15"/>
  <c r="C361" i="15"/>
  <c r="I361" i="15"/>
  <c r="AH361" i="15"/>
  <c r="F361" i="15"/>
  <c r="S361" i="15"/>
  <c r="G361" i="15"/>
  <c r="X361" i="15"/>
  <c r="AB361" i="15"/>
  <c r="AE361" i="15"/>
  <c r="H361" i="15"/>
  <c r="AF361" i="15"/>
  <c r="M361" i="15"/>
  <c r="Q361" i="15"/>
  <c r="J361" i="15"/>
  <c r="AA361" i="15"/>
  <c r="L361" i="15"/>
  <c r="K361" i="15"/>
  <c r="D361" i="15"/>
  <c r="V361" i="15"/>
  <c r="U361" i="15"/>
  <c r="T361" i="15"/>
  <c r="AD361" i="15"/>
  <c r="N361" i="15"/>
  <c r="AC361" i="15"/>
  <c r="W361" i="15"/>
  <c r="DM272" i="10"/>
  <c r="DP272" i="10"/>
  <c r="DN272" i="10" s="1"/>
  <c r="DO272" i="10" s="1"/>
  <c r="AF145" i="15"/>
  <c r="J145" i="15"/>
  <c r="T121" i="15"/>
  <c r="C308" i="15"/>
  <c r="O323" i="15"/>
  <c r="C334" i="15"/>
  <c r="K151" i="15"/>
  <c r="G151" i="15"/>
  <c r="L151" i="15"/>
  <c r="AI151" i="15"/>
  <c r="O151" i="15"/>
  <c r="AH151" i="15"/>
  <c r="Q234" i="15"/>
  <c r="X86" i="15"/>
  <c r="AA330" i="15"/>
  <c r="C154" i="15"/>
  <c r="V154" i="15"/>
  <c r="H143" i="20"/>
  <c r="AD154" i="15"/>
  <c r="K154" i="15"/>
  <c r="AI154" i="15"/>
  <c r="AG154" i="15"/>
  <c r="G154" i="15"/>
  <c r="R154" i="15"/>
  <c r="P154" i="15"/>
  <c r="AC154" i="15"/>
  <c r="L154" i="15"/>
  <c r="J154" i="15"/>
  <c r="K130" i="20"/>
  <c r="I130" i="20"/>
  <c r="J130" i="20"/>
  <c r="N298" i="15"/>
  <c r="C298" i="15"/>
  <c r="V298" i="15"/>
  <c r="K298" i="15"/>
  <c r="M298" i="15"/>
  <c r="AA298" i="15"/>
  <c r="S298" i="15"/>
  <c r="H287" i="20"/>
  <c r="H298" i="15"/>
  <c r="Z298" i="15"/>
  <c r="AF298" i="15"/>
  <c r="D298" i="15"/>
  <c r="AE298" i="15"/>
  <c r="Q298" i="15"/>
  <c r="AB298" i="15"/>
  <c r="L298" i="15"/>
  <c r="AD298" i="15"/>
  <c r="F298" i="15"/>
  <c r="P298" i="15"/>
  <c r="X298" i="15"/>
  <c r="Y298" i="15"/>
  <c r="U298" i="15"/>
  <c r="AC298" i="15"/>
  <c r="AG28" i="15"/>
  <c r="AA28" i="15"/>
  <c r="X28" i="15"/>
  <c r="AB28" i="15"/>
  <c r="I28" i="15"/>
  <c r="F28" i="15"/>
  <c r="AH28" i="15"/>
  <c r="Y28" i="15"/>
  <c r="C28" i="15"/>
  <c r="R28" i="15"/>
  <c r="D28" i="15"/>
  <c r="P28" i="15"/>
  <c r="M28" i="15"/>
  <c r="Q28" i="15"/>
  <c r="O28" i="15"/>
  <c r="J28" i="15"/>
  <c r="W28" i="15"/>
  <c r="K28" i="15"/>
  <c r="V28" i="15"/>
  <c r="AF28" i="15"/>
  <c r="AE28" i="15"/>
  <c r="U28" i="15"/>
  <c r="G28" i="15"/>
  <c r="H17" i="20"/>
  <c r="AD28" i="15"/>
  <c r="AC28" i="15"/>
  <c r="S28" i="15"/>
  <c r="V193" i="15"/>
  <c r="K193" i="15"/>
  <c r="T193" i="15"/>
  <c r="AA193" i="15"/>
  <c r="AC193" i="15"/>
  <c r="Q193" i="15"/>
  <c r="G193" i="15"/>
  <c r="AB193" i="15"/>
  <c r="O193" i="15"/>
  <c r="Z193" i="15"/>
  <c r="R193" i="15"/>
  <c r="U193" i="15"/>
  <c r="AD193" i="15"/>
  <c r="C193" i="15"/>
  <c r="AG193" i="15"/>
  <c r="DM203" i="10"/>
  <c r="DP203" i="10"/>
  <c r="DN203" i="10" s="1"/>
  <c r="DO203" i="10" s="1"/>
  <c r="DP132" i="10"/>
  <c r="DN132" i="10" s="1"/>
  <c r="DO132" i="10" s="1"/>
  <c r="DM132" i="10"/>
  <c r="L145" i="15"/>
  <c r="Q145" i="15"/>
  <c r="I218" i="20"/>
  <c r="K218" i="20"/>
  <c r="J26" i="20"/>
  <c r="E121" i="15"/>
  <c r="AG110" i="15"/>
  <c r="O308" i="15"/>
  <c r="AG323" i="15"/>
  <c r="Z154" i="15"/>
  <c r="J215" i="15"/>
  <c r="H204" i="20"/>
  <c r="AD215" i="15"/>
  <c r="F215" i="15"/>
  <c r="F334" i="15"/>
  <c r="N275" i="15"/>
  <c r="P275" i="15"/>
  <c r="D275" i="15"/>
  <c r="Y275" i="15"/>
  <c r="AC275" i="15"/>
  <c r="T234" i="15"/>
  <c r="E298" i="15"/>
  <c r="I86" i="15"/>
  <c r="AA223" i="15"/>
  <c r="V223" i="15"/>
  <c r="C223" i="15"/>
  <c r="AB223" i="15"/>
  <c r="AC223" i="15"/>
  <c r="T223" i="15"/>
  <c r="F223" i="15"/>
  <c r="N223" i="15"/>
  <c r="X223" i="15"/>
  <c r="O223" i="15"/>
  <c r="JM68" i="10"/>
  <c r="AH318" i="15"/>
  <c r="L318" i="15"/>
  <c r="X318" i="15"/>
  <c r="C318" i="15"/>
  <c r="R318" i="15"/>
  <c r="E318" i="15"/>
  <c r="H307" i="20"/>
  <c r="F318" i="15"/>
  <c r="S318" i="15"/>
  <c r="M318" i="15"/>
  <c r="U318" i="15"/>
  <c r="O318" i="15"/>
  <c r="G318" i="15"/>
  <c r="AI318" i="15"/>
  <c r="J318" i="15"/>
  <c r="AD318" i="15"/>
  <c r="AA318" i="15"/>
  <c r="Y318" i="15"/>
  <c r="V318" i="15"/>
  <c r="X67" i="15"/>
  <c r="AC67" i="15"/>
  <c r="N67" i="15"/>
  <c r="G67" i="15"/>
  <c r="K67" i="15"/>
  <c r="AB67" i="15"/>
  <c r="AE67" i="15"/>
  <c r="P67" i="15"/>
  <c r="AD67" i="15"/>
  <c r="S67" i="15"/>
  <c r="U67" i="15"/>
  <c r="AH67" i="15"/>
  <c r="C67" i="15"/>
  <c r="V67" i="15"/>
  <c r="AA67" i="15"/>
  <c r="J67" i="15"/>
  <c r="W67" i="15"/>
  <c r="H56" i="20"/>
  <c r="Y67" i="15"/>
  <c r="E67" i="15"/>
  <c r="O67" i="15"/>
  <c r="AF67" i="15"/>
  <c r="Q67" i="15"/>
  <c r="H145" i="15"/>
  <c r="N145" i="15"/>
  <c r="S121" i="15"/>
  <c r="S110" i="15"/>
  <c r="J308" i="15"/>
  <c r="V323" i="15"/>
  <c r="L142" i="15"/>
  <c r="P142" i="15"/>
  <c r="N142" i="15"/>
  <c r="AB142" i="15"/>
  <c r="V142" i="15"/>
  <c r="AG142" i="15"/>
  <c r="U154" i="15"/>
  <c r="AC334" i="15"/>
  <c r="C234" i="15"/>
  <c r="T298" i="15"/>
  <c r="AI115" i="15"/>
  <c r="AA115" i="15"/>
  <c r="H104" i="20"/>
  <c r="T115" i="15"/>
  <c r="O115" i="15"/>
  <c r="H115" i="15"/>
  <c r="AB86" i="15"/>
  <c r="K265" i="20"/>
  <c r="J265" i="20"/>
  <c r="Z28" i="15"/>
  <c r="J341" i="15"/>
  <c r="W341" i="15"/>
  <c r="AI341" i="15"/>
  <c r="Y341" i="15"/>
  <c r="K341" i="15"/>
  <c r="AH341" i="15"/>
  <c r="S341" i="15"/>
  <c r="C341" i="15"/>
  <c r="AC341" i="15"/>
  <c r="Q341" i="15"/>
  <c r="F341" i="15"/>
  <c r="AB341" i="15"/>
  <c r="X341" i="15"/>
  <c r="AD341" i="15"/>
  <c r="U227" i="15"/>
  <c r="AA227" i="15"/>
  <c r="G227" i="15"/>
  <c r="F227" i="15"/>
  <c r="Q227" i="15"/>
  <c r="H227" i="15"/>
  <c r="AD227" i="15"/>
  <c r="AG227" i="15"/>
  <c r="S227" i="15"/>
  <c r="E227" i="15"/>
  <c r="L227" i="15"/>
  <c r="AC227" i="15"/>
  <c r="Z227" i="15"/>
  <c r="I227" i="15"/>
  <c r="J227" i="15"/>
  <c r="AE227" i="15"/>
  <c r="AH227" i="15"/>
  <c r="AF227" i="15"/>
  <c r="P227" i="15"/>
  <c r="AI227" i="15"/>
  <c r="W227" i="15"/>
  <c r="Y227" i="15"/>
  <c r="E368" i="15"/>
  <c r="P368" i="15"/>
  <c r="AE368" i="15"/>
  <c r="T368" i="15"/>
  <c r="W368" i="15"/>
  <c r="C368" i="15"/>
  <c r="N368" i="15"/>
  <c r="U368" i="15"/>
  <c r="J368" i="15"/>
  <c r="AC368" i="15"/>
  <c r="AG368" i="15"/>
  <c r="V368" i="15"/>
  <c r="Z368" i="15"/>
  <c r="AH368" i="15"/>
  <c r="G368" i="15"/>
  <c r="L368" i="15"/>
  <c r="O368" i="15"/>
  <c r="D368" i="15"/>
  <c r="X368" i="15"/>
  <c r="M368" i="15"/>
  <c r="AF368" i="15"/>
  <c r="R368" i="15"/>
  <c r="Y368" i="15"/>
  <c r="L79" i="15"/>
  <c r="N79" i="15"/>
  <c r="H79" i="15"/>
  <c r="D79" i="15"/>
  <c r="W79" i="15"/>
  <c r="M79" i="15"/>
  <c r="AA79" i="15"/>
  <c r="Q79" i="15"/>
  <c r="Y79" i="15"/>
  <c r="AG79" i="15"/>
  <c r="AE79" i="15"/>
  <c r="AI79" i="15"/>
  <c r="P79" i="15"/>
  <c r="R79" i="15"/>
  <c r="AF79" i="15"/>
  <c r="T79" i="15"/>
  <c r="AC79" i="15"/>
  <c r="U79" i="15"/>
  <c r="C79" i="15"/>
  <c r="I79" i="15"/>
  <c r="H68" i="20"/>
  <c r="I68" i="20" s="1"/>
  <c r="O79" i="15"/>
  <c r="F79" i="15"/>
  <c r="JM54" i="10"/>
  <c r="A48" i="15"/>
  <c r="Q171" i="15"/>
  <c r="O171" i="15"/>
  <c r="P171" i="15"/>
  <c r="AI171" i="15"/>
  <c r="L171" i="15"/>
  <c r="F171" i="15"/>
  <c r="A179" i="15"/>
  <c r="JM185" i="10"/>
  <c r="AB137" i="15"/>
  <c r="F137" i="15"/>
  <c r="G137" i="15"/>
  <c r="L137" i="15"/>
  <c r="AI137" i="15"/>
  <c r="W137" i="15"/>
  <c r="AH137" i="15"/>
  <c r="T137" i="15"/>
  <c r="S137" i="15"/>
  <c r="F96" i="15"/>
  <c r="AB96" i="15"/>
  <c r="M96" i="15"/>
  <c r="I96" i="15"/>
  <c r="T96" i="15"/>
  <c r="AE96" i="15"/>
  <c r="G96" i="15"/>
  <c r="U96" i="15"/>
  <c r="Q96" i="15"/>
  <c r="C96" i="15"/>
  <c r="S96" i="15"/>
  <c r="Y96" i="15"/>
  <c r="H96" i="15"/>
  <c r="R96" i="15"/>
  <c r="P96" i="15"/>
  <c r="Z96" i="15"/>
  <c r="AC96" i="15"/>
  <c r="AH96" i="15"/>
  <c r="AI96" i="15"/>
  <c r="D96" i="15"/>
  <c r="I250" i="15"/>
  <c r="S250" i="15"/>
  <c r="DP65" i="10"/>
  <c r="DN65" i="10" s="1"/>
  <c r="DO65" i="10" s="1"/>
  <c r="DM65" i="10"/>
  <c r="BN218" i="10"/>
  <c r="GI218" i="10"/>
  <c r="AT218" i="10" s="1"/>
  <c r="BN352" i="10"/>
  <c r="GI352" i="10"/>
  <c r="AT352" i="10" s="1"/>
  <c r="GI372" i="10"/>
  <c r="AT372" i="10" s="1"/>
  <c r="BN372" i="10"/>
  <c r="GI27" i="10"/>
  <c r="AT27" i="10" s="1"/>
  <c r="DP368" i="10"/>
  <c r="DN368" i="10" s="1"/>
  <c r="DO368" i="10" s="1"/>
  <c r="DM368" i="10"/>
  <c r="GI63" i="10"/>
  <c r="AT63" i="10" s="1"/>
  <c r="BN63" i="10"/>
  <c r="BN360" i="10"/>
  <c r="JM360" i="10" s="1"/>
  <c r="GI360" i="10"/>
  <c r="AT360" i="10" s="1"/>
  <c r="AB338" i="15"/>
  <c r="Q338" i="15"/>
  <c r="AG338" i="15"/>
  <c r="E338" i="15"/>
  <c r="K338" i="15"/>
  <c r="H327" i="20"/>
  <c r="I327" i="20" s="1"/>
  <c r="AG290" i="15"/>
  <c r="L290" i="15"/>
  <c r="AE290" i="15"/>
  <c r="F290" i="15"/>
  <c r="O290" i="15"/>
  <c r="X290" i="15"/>
  <c r="U295" i="15"/>
  <c r="Y295" i="15"/>
  <c r="S295" i="15"/>
  <c r="AH295" i="15"/>
  <c r="T295" i="15"/>
  <c r="P295" i="15"/>
  <c r="V295" i="15"/>
  <c r="L295" i="15"/>
  <c r="M295" i="15"/>
  <c r="D295" i="15"/>
  <c r="O295" i="15"/>
  <c r="AI295" i="15"/>
  <c r="I98" i="20"/>
  <c r="K98" i="20"/>
  <c r="F237" i="15"/>
  <c r="Z237" i="15"/>
  <c r="AI237" i="15"/>
  <c r="U237" i="15"/>
  <c r="D237" i="15"/>
  <c r="E237" i="15"/>
  <c r="O237" i="15"/>
  <c r="AD237" i="15"/>
  <c r="AG237" i="15"/>
  <c r="P237" i="15"/>
  <c r="AH237" i="15"/>
  <c r="J173" i="20"/>
  <c r="I173" i="20"/>
  <c r="AC267" i="15"/>
  <c r="AH267" i="15"/>
  <c r="F267" i="15"/>
  <c r="AI267" i="15"/>
  <c r="O267" i="15"/>
  <c r="R267" i="15"/>
  <c r="V267" i="15"/>
  <c r="M267" i="15"/>
  <c r="L267" i="15"/>
  <c r="G267" i="15"/>
  <c r="AG267" i="15"/>
  <c r="AB267" i="15"/>
  <c r="AF267" i="15"/>
  <c r="Q155" i="15"/>
  <c r="C155" i="15"/>
  <c r="V155" i="15"/>
  <c r="K155" i="15"/>
  <c r="E155" i="15"/>
  <c r="F155" i="15"/>
  <c r="J155" i="15"/>
  <c r="AB155" i="15"/>
  <c r="X155" i="15"/>
  <c r="I155" i="15"/>
  <c r="H286" i="20"/>
  <c r="Z297" i="15"/>
  <c r="N297" i="15"/>
  <c r="T297" i="15"/>
  <c r="Q297" i="15"/>
  <c r="M297" i="15"/>
  <c r="K297" i="15"/>
  <c r="Y297" i="15"/>
  <c r="F297" i="15"/>
  <c r="AE297" i="15"/>
  <c r="AI297" i="15"/>
  <c r="V297" i="15"/>
  <c r="J297" i="15"/>
  <c r="JM319" i="10"/>
  <c r="A313" i="15"/>
  <c r="AA232" i="15"/>
  <c r="Y232" i="15"/>
  <c r="Q232" i="15"/>
  <c r="R232" i="15"/>
  <c r="H232" i="15"/>
  <c r="AC232" i="15"/>
  <c r="G232" i="15"/>
  <c r="S232" i="15"/>
  <c r="AG232" i="15"/>
  <c r="AD232" i="15"/>
  <c r="AB232" i="15"/>
  <c r="J232" i="15"/>
  <c r="M232" i="15"/>
  <c r="E232" i="15"/>
  <c r="AF232" i="15"/>
  <c r="DP390" i="10"/>
  <c r="DN390" i="10" s="1"/>
  <c r="DO390" i="10" s="1"/>
  <c r="DM390" i="10"/>
  <c r="DM297" i="10"/>
  <c r="DP297" i="10"/>
  <c r="DN297" i="10" s="1"/>
  <c r="DO297" i="10" s="1"/>
  <c r="DP263" i="10"/>
  <c r="DN263" i="10" s="1"/>
  <c r="DO263" i="10" s="1"/>
  <c r="DM263" i="10"/>
  <c r="DP313" i="10"/>
  <c r="DN313" i="10" s="1"/>
  <c r="DO313" i="10" s="1"/>
  <c r="DM313" i="10"/>
  <c r="O220" i="15"/>
  <c r="H220" i="15"/>
  <c r="P220" i="15"/>
  <c r="J208" i="20"/>
  <c r="K208" i="20"/>
  <c r="I208" i="20"/>
  <c r="N153" i="15"/>
  <c r="AH153" i="15"/>
  <c r="G153" i="15"/>
  <c r="K153" i="15"/>
  <c r="P153" i="15"/>
  <c r="AB153" i="15"/>
  <c r="T153" i="15"/>
  <c r="I153" i="15"/>
  <c r="C153" i="15"/>
  <c r="AD153" i="15"/>
  <c r="Z153" i="15"/>
  <c r="H153" i="15"/>
  <c r="E153" i="15"/>
  <c r="J153" i="15"/>
  <c r="D153" i="15"/>
  <c r="AA153" i="15"/>
  <c r="U153" i="15"/>
  <c r="Q153" i="15"/>
  <c r="X153" i="15"/>
  <c r="AI153" i="15"/>
  <c r="AC153" i="15"/>
  <c r="O153" i="15"/>
  <c r="A253" i="15"/>
  <c r="JM259" i="10"/>
  <c r="M327" i="15"/>
  <c r="X327" i="15"/>
  <c r="E327" i="15"/>
  <c r="AA327" i="15"/>
  <c r="V327" i="15"/>
  <c r="AH327" i="15"/>
  <c r="Z340" i="15"/>
  <c r="AC340" i="15"/>
  <c r="W340" i="15"/>
  <c r="M340" i="15"/>
  <c r="L340" i="15"/>
  <c r="K340" i="15"/>
  <c r="F340" i="15"/>
  <c r="U340" i="15"/>
  <c r="G340" i="15"/>
  <c r="AF340" i="15"/>
  <c r="D132" i="15"/>
  <c r="C132" i="15"/>
  <c r="E132" i="15"/>
  <c r="H121" i="20"/>
  <c r="N132" i="15"/>
  <c r="AE132" i="15"/>
  <c r="F132" i="15"/>
  <c r="V132" i="15"/>
  <c r="H132" i="15"/>
  <c r="A383" i="15"/>
  <c r="JM389" i="10"/>
  <c r="A337" i="15"/>
  <c r="JM343" i="10"/>
  <c r="X350" i="15"/>
  <c r="F350" i="15"/>
  <c r="M350" i="15"/>
  <c r="AA350" i="15"/>
  <c r="AF350" i="15"/>
  <c r="W350" i="15"/>
  <c r="T350" i="15"/>
  <c r="K350" i="15"/>
  <c r="R350" i="15"/>
  <c r="U350" i="15"/>
  <c r="H339" i="20"/>
  <c r="I350" i="15"/>
  <c r="AD350" i="15"/>
  <c r="E350" i="15"/>
  <c r="AB350" i="15"/>
  <c r="J350" i="15"/>
  <c r="H350" i="15"/>
  <c r="AG350" i="15"/>
  <c r="O350" i="15"/>
  <c r="N350" i="15"/>
  <c r="C350" i="15"/>
  <c r="G350" i="15"/>
  <c r="Z350" i="15"/>
  <c r="AC350" i="15"/>
  <c r="AI350" i="15"/>
  <c r="DP385" i="10"/>
  <c r="DN385" i="10" s="1"/>
  <c r="DO385" i="10" s="1"/>
  <c r="DM385" i="10"/>
  <c r="BN385" i="10"/>
  <c r="GI385" i="10"/>
  <c r="AT385" i="10" s="1"/>
  <c r="T284" i="15"/>
  <c r="AH369" i="15"/>
  <c r="M369" i="15"/>
  <c r="M144" i="15"/>
  <c r="P144" i="15"/>
  <c r="AA162" i="15"/>
  <c r="V162" i="15"/>
  <c r="X104" i="15"/>
  <c r="N104" i="15"/>
  <c r="N377" i="15"/>
  <c r="P34" i="15"/>
  <c r="AG263" i="15"/>
  <c r="O316" i="15"/>
  <c r="A117" i="15"/>
  <c r="K78" i="20"/>
  <c r="L26" i="15"/>
  <c r="G26" i="15"/>
  <c r="AG26" i="15"/>
  <c r="R26" i="15"/>
  <c r="F26" i="15"/>
  <c r="N26" i="15"/>
  <c r="X26" i="15"/>
  <c r="AC26" i="15"/>
  <c r="S26" i="15"/>
  <c r="W26" i="15"/>
  <c r="AE26" i="15"/>
  <c r="Y26" i="15"/>
  <c r="J26" i="15"/>
  <c r="H26" i="15"/>
  <c r="H15" i="20"/>
  <c r="JM382" i="10"/>
  <c r="A376" i="15"/>
  <c r="O52" i="15"/>
  <c r="F52" i="15"/>
  <c r="AI52" i="15"/>
  <c r="M52" i="15"/>
  <c r="C52" i="15"/>
  <c r="W52" i="15"/>
  <c r="AG52" i="15"/>
  <c r="V52" i="15"/>
  <c r="P52" i="15"/>
  <c r="G52" i="15"/>
  <c r="AC52" i="15"/>
  <c r="Q52" i="15"/>
  <c r="AH52" i="15"/>
  <c r="H52" i="15"/>
  <c r="I52" i="15"/>
  <c r="AB52" i="15"/>
  <c r="AF52" i="15"/>
  <c r="H41" i="20"/>
  <c r="J52" i="15"/>
  <c r="T52" i="15"/>
  <c r="K52" i="15"/>
  <c r="Z52" i="15"/>
  <c r="AE52" i="15"/>
  <c r="D52" i="15"/>
  <c r="Q377" i="15"/>
  <c r="Y377" i="15"/>
  <c r="AD377" i="15"/>
  <c r="AG377" i="15"/>
  <c r="H377" i="15"/>
  <c r="AE377" i="15"/>
  <c r="AF257" i="15"/>
  <c r="AA257" i="15"/>
  <c r="AI257" i="15"/>
  <c r="C136" i="15"/>
  <c r="AH136" i="15"/>
  <c r="I136" i="15"/>
  <c r="E136" i="15"/>
  <c r="H136" i="15"/>
  <c r="Y136" i="15"/>
  <c r="F136" i="15"/>
  <c r="AF136" i="15"/>
  <c r="AB136" i="15"/>
  <c r="AG136" i="15"/>
  <c r="JM254" i="10"/>
  <c r="A248" i="15"/>
  <c r="C263" i="15"/>
  <c r="V263" i="15"/>
  <c r="X263" i="15"/>
  <c r="U263" i="15"/>
  <c r="AA263" i="15"/>
  <c r="T263" i="15"/>
  <c r="W263" i="15"/>
  <c r="O263" i="15"/>
  <c r="S263" i="15"/>
  <c r="I263" i="15"/>
  <c r="AI263" i="15"/>
  <c r="Q273" i="15"/>
  <c r="Z273" i="15"/>
  <c r="C273" i="15"/>
  <c r="X273" i="15"/>
  <c r="E273" i="15"/>
  <c r="AD273" i="15"/>
  <c r="H273" i="15"/>
  <c r="AI273" i="15"/>
  <c r="N273" i="15"/>
  <c r="AB273" i="15"/>
  <c r="Y273" i="15"/>
  <c r="P273" i="15"/>
  <c r="S273" i="15"/>
  <c r="T273" i="15"/>
  <c r="O273" i="15"/>
  <c r="J273" i="15"/>
  <c r="AG273" i="15"/>
  <c r="M316" i="15"/>
  <c r="L316" i="15"/>
  <c r="J316" i="15"/>
  <c r="V316" i="15"/>
  <c r="A105" i="15"/>
  <c r="JM111" i="10"/>
  <c r="T377" i="15"/>
  <c r="AF377" i="15"/>
  <c r="Q136" i="15"/>
  <c r="AA273" i="15"/>
  <c r="I34" i="15"/>
  <c r="U34" i="15"/>
  <c r="M34" i="15"/>
  <c r="F34" i="15"/>
  <c r="C34" i="15"/>
  <c r="W34" i="15"/>
  <c r="E314" i="15"/>
  <c r="AE314" i="15"/>
  <c r="Q314" i="15"/>
  <c r="AD314" i="15"/>
  <c r="AB314" i="15"/>
  <c r="AF314" i="15"/>
  <c r="P314" i="15"/>
  <c r="O314" i="15"/>
  <c r="AI314" i="15"/>
  <c r="Y314" i="15"/>
  <c r="D314" i="15"/>
  <c r="AG314" i="15"/>
  <c r="H314" i="15"/>
  <c r="G314" i="15"/>
  <c r="DM259" i="10"/>
  <c r="DP259" i="10"/>
  <c r="DN259" i="10" s="1"/>
  <c r="DO259" i="10" s="1"/>
  <c r="A230" i="15"/>
  <c r="JM236" i="10"/>
  <c r="BN134" i="10"/>
  <c r="GI134" i="10"/>
  <c r="AT134" i="10" s="1"/>
  <c r="AE284" i="15"/>
  <c r="Z284" i="15"/>
  <c r="H358" i="20"/>
  <c r="AD369" i="15"/>
  <c r="AF144" i="15"/>
  <c r="U144" i="15"/>
  <c r="T162" i="15"/>
  <c r="J162" i="15"/>
  <c r="AB104" i="15"/>
  <c r="T104" i="15"/>
  <c r="F377" i="15"/>
  <c r="J377" i="15"/>
  <c r="N34" i="15"/>
  <c r="H34" i="15"/>
  <c r="JM184" i="10"/>
  <c r="AC136" i="15"/>
  <c r="AD263" i="15"/>
  <c r="F263" i="15"/>
  <c r="I236" i="15"/>
  <c r="N236" i="15"/>
  <c r="L236" i="15"/>
  <c r="K236" i="15"/>
  <c r="D236" i="15"/>
  <c r="T236" i="15"/>
  <c r="C314" i="15"/>
  <c r="AC344" i="15"/>
  <c r="Z344" i="15"/>
  <c r="AI344" i="15"/>
  <c r="AG344" i="15"/>
  <c r="F344" i="15"/>
  <c r="U344" i="15"/>
  <c r="H165" i="20"/>
  <c r="X176" i="15"/>
  <c r="H176" i="15"/>
  <c r="AF176" i="15"/>
  <c r="AB176" i="15"/>
  <c r="E176" i="15"/>
  <c r="T26" i="15"/>
  <c r="I78" i="20"/>
  <c r="G190" i="15"/>
  <c r="AC190" i="15"/>
  <c r="F190" i="15"/>
  <c r="AA190" i="15"/>
  <c r="AF190" i="15"/>
  <c r="AE190" i="15"/>
  <c r="D190" i="15"/>
  <c r="C190" i="15"/>
  <c r="U190" i="15"/>
  <c r="N190" i="15"/>
  <c r="AH190" i="15"/>
  <c r="P190" i="15"/>
  <c r="Y190" i="15"/>
  <c r="AI190" i="15"/>
  <c r="Z190" i="15"/>
  <c r="X190" i="15"/>
  <c r="AB190" i="15"/>
  <c r="AD190" i="15"/>
  <c r="R190" i="15"/>
  <c r="J190" i="15"/>
  <c r="DP168" i="10"/>
  <c r="DN168" i="10" s="1"/>
  <c r="DO168" i="10" s="1"/>
  <c r="DM168" i="10"/>
  <c r="JM86" i="10"/>
  <c r="A80" i="15"/>
  <c r="A209" i="15"/>
  <c r="JM215" i="10"/>
  <c r="JM189" i="10"/>
  <c r="BN349" i="10"/>
  <c r="GI349" i="10"/>
  <c r="AT349" i="10" s="1"/>
  <c r="A200" i="15"/>
  <c r="JM206" i="10"/>
  <c r="A304" i="15"/>
  <c r="JM310" i="10"/>
  <c r="JM141" i="10"/>
  <c r="A135" i="15"/>
  <c r="BN128" i="10"/>
  <c r="GI128" i="10"/>
  <c r="AT128" i="10" s="1"/>
  <c r="GI133" i="10"/>
  <c r="AT133" i="10" s="1"/>
  <c r="BN133" i="10"/>
  <c r="JJ394" i="10"/>
  <c r="E18" i="24" s="1"/>
  <c r="Y284" i="15"/>
  <c r="L369" i="15"/>
  <c r="AI144" i="15"/>
  <c r="K162" i="15"/>
  <c r="Z104" i="15"/>
  <c r="AB377" i="15"/>
  <c r="E377" i="15"/>
  <c r="Z34" i="15"/>
  <c r="P136" i="15"/>
  <c r="P263" i="15"/>
  <c r="L314" i="15"/>
  <c r="X356" i="15"/>
  <c r="S356" i="15"/>
  <c r="U356" i="15"/>
  <c r="W356" i="15"/>
  <c r="P356" i="15"/>
  <c r="AI356" i="15"/>
  <c r="AC273" i="15"/>
  <c r="AF166" i="15"/>
  <c r="V166" i="15"/>
  <c r="M166" i="15"/>
  <c r="T166" i="15"/>
  <c r="AC166" i="15"/>
  <c r="AI166" i="15"/>
  <c r="R166" i="15"/>
  <c r="X166" i="15"/>
  <c r="Y166" i="15"/>
  <c r="H155" i="20"/>
  <c r="C166" i="15"/>
  <c r="I166" i="15"/>
  <c r="DP40" i="10"/>
  <c r="DN40" i="10" s="1"/>
  <c r="DO40" i="10" s="1"/>
  <c r="DM40" i="10"/>
  <c r="U87" i="15"/>
  <c r="H87" i="15"/>
  <c r="R87" i="15"/>
  <c r="V87" i="15"/>
  <c r="Y87" i="15"/>
  <c r="AG87" i="15"/>
  <c r="K87" i="15"/>
  <c r="AF87" i="15"/>
  <c r="S87" i="15"/>
  <c r="AA87" i="15"/>
  <c r="E87" i="15"/>
  <c r="X87" i="15"/>
  <c r="AH380" i="15"/>
  <c r="W380" i="15"/>
  <c r="J380" i="15"/>
  <c r="E380" i="15"/>
  <c r="I380" i="15"/>
  <c r="D380" i="15"/>
  <c r="V380" i="15"/>
  <c r="P380" i="15"/>
  <c r="G380" i="15"/>
  <c r="K380" i="15"/>
  <c r="Z380" i="15"/>
  <c r="AB380" i="15"/>
  <c r="H369" i="20"/>
  <c r="AI380" i="15"/>
  <c r="Y380" i="15"/>
  <c r="S380" i="15"/>
  <c r="M380" i="15"/>
  <c r="AG380" i="15"/>
  <c r="N380" i="15"/>
  <c r="T380" i="15"/>
  <c r="R380" i="15"/>
  <c r="AD380" i="15"/>
  <c r="O380" i="15"/>
  <c r="BN370" i="10"/>
  <c r="GI370" i="10"/>
  <c r="AT370" i="10" s="1"/>
  <c r="BN239" i="10"/>
  <c r="JM239" i="10" s="1"/>
  <c r="GI239" i="10"/>
  <c r="AT239" i="10" s="1"/>
  <c r="W183" i="15"/>
  <c r="H172" i="20"/>
  <c r="D183" i="15"/>
  <c r="R183" i="15"/>
  <c r="S183" i="15"/>
  <c r="K183" i="15"/>
  <c r="V183" i="15"/>
  <c r="AE183" i="15"/>
  <c r="AB183" i="15"/>
  <c r="P183" i="15"/>
  <c r="AD183" i="15"/>
  <c r="O183" i="15"/>
  <c r="M183" i="15"/>
  <c r="Q183" i="15"/>
  <c r="I183" i="15"/>
  <c r="F183" i="15"/>
  <c r="Y183" i="15"/>
  <c r="AG183" i="15"/>
  <c r="J183" i="15"/>
  <c r="X183" i="15"/>
  <c r="N183" i="15"/>
  <c r="C183" i="15"/>
  <c r="AA183" i="15"/>
  <c r="AC183" i="15"/>
  <c r="A244" i="15"/>
  <c r="JM250" i="10"/>
  <c r="W116" i="15"/>
  <c r="E116" i="15"/>
  <c r="T116" i="15"/>
  <c r="R116" i="15"/>
  <c r="X116" i="15"/>
  <c r="U116" i="15"/>
  <c r="AD116" i="15"/>
  <c r="S116" i="15"/>
  <c r="P116" i="15"/>
  <c r="Z116" i="15"/>
  <c r="O116" i="15"/>
  <c r="D116" i="15"/>
  <c r="F116" i="15"/>
  <c r="AE116" i="15"/>
  <c r="N116" i="15"/>
  <c r="Q116" i="15"/>
  <c r="H105" i="20"/>
  <c r="AF116" i="15"/>
  <c r="V116" i="15"/>
  <c r="C116" i="15"/>
  <c r="H116" i="15"/>
  <c r="AI116" i="15"/>
  <c r="I116" i="15"/>
  <c r="AH116" i="15"/>
  <c r="A172" i="15"/>
  <c r="JM178" i="10"/>
  <c r="JM284" i="10"/>
  <c r="A278" i="15"/>
  <c r="AH65" i="15"/>
  <c r="AC65" i="15"/>
  <c r="K65" i="15"/>
  <c r="Y65" i="15"/>
  <c r="X65" i="15"/>
  <c r="F65" i="15"/>
  <c r="T65" i="15"/>
  <c r="Q65" i="15"/>
  <c r="AD65" i="15"/>
  <c r="AE65" i="15"/>
  <c r="H65" i="15"/>
  <c r="V65" i="15"/>
  <c r="Z65" i="15"/>
  <c r="AF65" i="15"/>
  <c r="S65" i="15"/>
  <c r="I65" i="15"/>
  <c r="DP217" i="10"/>
  <c r="DN217" i="10" s="1"/>
  <c r="DO217" i="10" s="1"/>
  <c r="DM217" i="10"/>
  <c r="DM27" i="10"/>
  <c r="DP27" i="10"/>
  <c r="DN27" i="10" s="1"/>
  <c r="DO27" i="10" s="1"/>
  <c r="L325" i="15"/>
  <c r="AF325" i="15"/>
  <c r="AG325" i="15"/>
  <c r="M325" i="15"/>
  <c r="AC109" i="15"/>
  <c r="H109" i="15"/>
  <c r="V109" i="15"/>
  <c r="Z109" i="15"/>
  <c r="R109" i="15"/>
  <c r="T109" i="15"/>
  <c r="X109" i="15"/>
  <c r="S109" i="15"/>
  <c r="AI109" i="15"/>
  <c r="P109" i="15"/>
  <c r="K109" i="15"/>
  <c r="G109" i="15"/>
  <c r="I109" i="15"/>
  <c r="M109" i="15"/>
  <c r="AI24" i="15"/>
  <c r="W24" i="15"/>
  <c r="T24" i="15"/>
  <c r="AG24" i="15"/>
  <c r="AD24" i="15"/>
  <c r="J24" i="15"/>
  <c r="C24" i="15"/>
  <c r="R24" i="15"/>
  <c r="Q24" i="15"/>
  <c r="Z24" i="15"/>
  <c r="V24" i="15"/>
  <c r="Q35" i="15"/>
  <c r="N35" i="15"/>
  <c r="H35" i="15"/>
  <c r="T35" i="15"/>
  <c r="W35" i="15"/>
  <c r="V35" i="15"/>
  <c r="K35" i="15"/>
  <c r="AD184" i="15"/>
  <c r="Q184" i="15"/>
  <c r="R184" i="15"/>
  <c r="J184" i="15"/>
  <c r="L184" i="15"/>
  <c r="K184" i="15"/>
  <c r="O184" i="15"/>
  <c r="S184" i="15"/>
  <c r="O266" i="15"/>
  <c r="Q266" i="15"/>
  <c r="T266" i="15"/>
  <c r="AH266" i="15"/>
  <c r="U266" i="15"/>
  <c r="C266" i="15"/>
  <c r="Y266" i="15"/>
  <c r="R266" i="15"/>
  <c r="M266" i="15"/>
  <c r="P266" i="15"/>
  <c r="BN234" i="10"/>
  <c r="GI234" i="10"/>
  <c r="AT234" i="10" s="1"/>
  <c r="JM376" i="10"/>
  <c r="A370" i="15"/>
  <c r="JM268" i="10"/>
  <c r="A262" i="15"/>
  <c r="JM241" i="10"/>
  <c r="A235" i="15"/>
  <c r="AD222" i="15"/>
  <c r="U222" i="15"/>
  <c r="O222" i="15"/>
  <c r="H222" i="15"/>
  <c r="W222" i="15"/>
  <c r="V222" i="15"/>
  <c r="AC222" i="15"/>
  <c r="C222" i="15"/>
  <c r="J222" i="15"/>
  <c r="P222" i="15"/>
  <c r="AB30" i="15"/>
  <c r="AF30" i="15"/>
  <c r="AC30" i="15"/>
  <c r="JM103" i="10"/>
  <c r="A97" i="15"/>
  <c r="AB335" i="15"/>
  <c r="N335" i="15"/>
  <c r="AC27" i="15"/>
  <c r="AA27" i="15"/>
  <c r="P30" i="15"/>
  <c r="D30" i="15"/>
  <c r="AB325" i="15"/>
  <c r="AA325" i="15"/>
  <c r="AF109" i="15"/>
  <c r="AI266" i="15"/>
  <c r="F35" i="15"/>
  <c r="O24" i="15"/>
  <c r="H24" i="15"/>
  <c r="I184" i="15"/>
  <c r="AI65" i="15"/>
  <c r="U150" i="15"/>
  <c r="J150" i="15"/>
  <c r="N150" i="15"/>
  <c r="AC150" i="15"/>
  <c r="M150" i="15"/>
  <c r="Z150" i="15"/>
  <c r="AG70" i="15"/>
  <c r="AB70" i="15"/>
  <c r="H59" i="20"/>
  <c r="X70" i="15"/>
  <c r="J70" i="15"/>
  <c r="T70" i="15"/>
  <c r="U70" i="15"/>
  <c r="AH70" i="15"/>
  <c r="I70" i="15"/>
  <c r="F70" i="15"/>
  <c r="C70" i="15"/>
  <c r="AD70" i="15"/>
  <c r="Q70" i="15"/>
  <c r="AG63" i="15"/>
  <c r="Y63" i="15"/>
  <c r="D63" i="15"/>
  <c r="S63" i="15"/>
  <c r="K63" i="15"/>
  <c r="P63" i="15"/>
  <c r="L63" i="15"/>
  <c r="AI63" i="15"/>
  <c r="H63" i="15"/>
  <c r="AF63" i="15"/>
  <c r="J63" i="15"/>
  <c r="C63" i="15"/>
  <c r="GI148" i="10"/>
  <c r="AT148" i="10" s="1"/>
  <c r="J334" i="20"/>
  <c r="K334" i="20"/>
  <c r="AD213" i="15"/>
  <c r="L213" i="15"/>
  <c r="J213" i="15"/>
  <c r="AF213" i="15"/>
  <c r="AB213" i="15"/>
  <c r="C213" i="15"/>
  <c r="H213" i="15"/>
  <c r="N213" i="15"/>
  <c r="P213" i="15"/>
  <c r="O213" i="15"/>
  <c r="M213" i="15"/>
  <c r="E213" i="15"/>
  <c r="I207" i="20"/>
  <c r="J207" i="20"/>
  <c r="AH355" i="15"/>
  <c r="AG355" i="15"/>
  <c r="C355" i="15"/>
  <c r="AD355" i="15"/>
  <c r="AF355" i="15"/>
  <c r="F355" i="15"/>
  <c r="AE355" i="15"/>
  <c r="L355" i="15"/>
  <c r="AI71" i="15"/>
  <c r="D71" i="15"/>
  <c r="Q71" i="15"/>
  <c r="J71" i="15"/>
  <c r="U71" i="15"/>
  <c r="M71" i="15"/>
  <c r="W71" i="15"/>
  <c r="G71" i="15"/>
  <c r="AG71" i="15"/>
  <c r="AB71" i="15"/>
  <c r="C71" i="15"/>
  <c r="O71" i="15"/>
  <c r="AC196" i="15"/>
  <c r="U196" i="15"/>
  <c r="AE196" i="15"/>
  <c r="AH196" i="15"/>
  <c r="AG196" i="15"/>
  <c r="C196" i="15"/>
  <c r="M196" i="15"/>
  <c r="W196" i="15"/>
  <c r="L196" i="15"/>
  <c r="DM361" i="10"/>
  <c r="DP361" i="10"/>
  <c r="DN361" i="10" s="1"/>
  <c r="DO361" i="10" s="1"/>
  <c r="DM156" i="10"/>
  <c r="DP156" i="10"/>
  <c r="DN156" i="10" s="1"/>
  <c r="DO156" i="10" s="1"/>
  <c r="A320" i="15"/>
  <c r="JM326" i="10"/>
  <c r="U186" i="15"/>
  <c r="I186" i="15"/>
  <c r="O186" i="15"/>
  <c r="AG186" i="15"/>
  <c r="M186" i="15"/>
  <c r="C186" i="15"/>
  <c r="AB186" i="15"/>
  <c r="AF186" i="15"/>
  <c r="GI247" i="10"/>
  <c r="AT247" i="10" s="1"/>
  <c r="BN247" i="10"/>
  <c r="K351" i="20"/>
  <c r="AD335" i="15"/>
  <c r="K335" i="15"/>
  <c r="U27" i="15"/>
  <c r="J27" i="15"/>
  <c r="Q93" i="15"/>
  <c r="W30" i="15"/>
  <c r="AD30" i="15"/>
  <c r="O150" i="15"/>
  <c r="V325" i="15"/>
  <c r="X63" i="15"/>
  <c r="AG213" i="15"/>
  <c r="AA109" i="15"/>
  <c r="F222" i="15"/>
  <c r="AA266" i="15"/>
  <c r="Y71" i="15"/>
  <c r="AA35" i="15"/>
  <c r="H13" i="20"/>
  <c r="S24" i="15"/>
  <c r="F196" i="15"/>
  <c r="I283" i="20"/>
  <c r="J283" i="20"/>
  <c r="D65" i="15"/>
  <c r="D70" i="15"/>
  <c r="I25" i="20"/>
  <c r="W386" i="15"/>
  <c r="N386" i="15"/>
  <c r="AA386" i="15"/>
  <c r="C386" i="15"/>
  <c r="V355" i="15"/>
  <c r="JM317" i="10"/>
  <c r="A311" i="15"/>
  <c r="DM143" i="10"/>
  <c r="DP143" i="10"/>
  <c r="DN143" i="10" s="1"/>
  <c r="DO143" i="10" s="1"/>
  <c r="DP171" i="10"/>
  <c r="DN171" i="10" s="1"/>
  <c r="DO171" i="10" s="1"/>
  <c r="DM171" i="10"/>
  <c r="GI80" i="10"/>
  <c r="AT80" i="10" s="1"/>
  <c r="P335" i="15"/>
  <c r="Q27" i="15"/>
  <c r="M93" i="15"/>
  <c r="L30" i="15"/>
  <c r="J30" i="15"/>
  <c r="T150" i="15"/>
  <c r="I325" i="15"/>
  <c r="N63" i="15"/>
  <c r="R213" i="15"/>
  <c r="J109" i="15"/>
  <c r="H211" i="20"/>
  <c r="AG266" i="15"/>
  <c r="I266" i="15"/>
  <c r="K352" i="20"/>
  <c r="P71" i="15"/>
  <c r="AC35" i="15"/>
  <c r="L24" i="15"/>
  <c r="H196" i="15"/>
  <c r="H70" i="15"/>
  <c r="K25" i="20"/>
  <c r="N65" i="15"/>
  <c r="W70" i="15"/>
  <c r="E353" i="15"/>
  <c r="Y353" i="15"/>
  <c r="C65" i="15"/>
  <c r="U299" i="15"/>
  <c r="G299" i="15"/>
  <c r="C299" i="15"/>
  <c r="S299" i="15"/>
  <c r="AH299" i="15"/>
  <c r="F299" i="15"/>
  <c r="Q299" i="15"/>
  <c r="AI299" i="15"/>
  <c r="JM219" i="10"/>
  <c r="X167" i="15"/>
  <c r="AG167" i="15"/>
  <c r="W167" i="15"/>
  <c r="U167" i="15"/>
  <c r="Q167" i="15"/>
  <c r="L167" i="15"/>
  <c r="D167" i="15"/>
  <c r="N167" i="15"/>
  <c r="A125" i="15"/>
  <c r="JM131" i="10"/>
  <c r="Z180" i="15"/>
  <c r="W180" i="15"/>
  <c r="AA180" i="15"/>
  <c r="L180" i="15"/>
  <c r="E180" i="15"/>
  <c r="U180" i="15"/>
  <c r="Y60" i="15"/>
  <c r="Q60" i="15"/>
  <c r="D60" i="15"/>
  <c r="X60" i="15"/>
  <c r="C60" i="15"/>
  <c r="M60" i="15"/>
  <c r="H60" i="15"/>
  <c r="H49" i="20"/>
  <c r="DP85" i="10"/>
  <c r="DN85" i="10" s="1"/>
  <c r="DO85" i="10" s="1"/>
  <c r="DM85" i="10"/>
  <c r="GI52" i="10"/>
  <c r="AT52" i="10" s="1"/>
  <c r="BN52" i="10"/>
  <c r="BN306" i="10"/>
  <c r="GI306" i="10"/>
  <c r="AT306" i="10" s="1"/>
  <c r="BN87" i="10"/>
  <c r="GI87" i="10"/>
  <c r="AT87" i="10" s="1"/>
  <c r="A66" i="15"/>
  <c r="AI66" i="15" s="1"/>
  <c r="JM72" i="10"/>
  <c r="F173" i="15"/>
  <c r="K173" i="15"/>
  <c r="Z173" i="15"/>
  <c r="X173" i="15"/>
  <c r="E173" i="15"/>
  <c r="L173" i="15"/>
  <c r="AB173" i="15"/>
  <c r="T173" i="15"/>
  <c r="DP241" i="10"/>
  <c r="DN241" i="10" s="1"/>
  <c r="DO241" i="10" s="1"/>
  <c r="DM241" i="10"/>
  <c r="DM342" i="10"/>
  <c r="DP342" i="10"/>
  <c r="DN342" i="10" s="1"/>
  <c r="DO342" i="10" s="1"/>
  <c r="DM274" i="10"/>
  <c r="DP274" i="10"/>
  <c r="DN274" i="10" s="1"/>
  <c r="DO274" i="10" s="1"/>
  <c r="S102" i="15"/>
  <c r="V102" i="15"/>
  <c r="P102" i="15"/>
  <c r="AD102" i="15"/>
  <c r="C102" i="15"/>
  <c r="I102" i="15"/>
  <c r="J102" i="15"/>
  <c r="R102" i="15"/>
  <c r="O102" i="15"/>
  <c r="AG102" i="15"/>
  <c r="U102" i="15"/>
  <c r="Z102" i="15"/>
  <c r="A285" i="15"/>
  <c r="JM291" i="10"/>
  <c r="BN176" i="10"/>
  <c r="GI176" i="10"/>
  <c r="AT176" i="10" s="1"/>
  <c r="AD242" i="15"/>
  <c r="AG242" i="15"/>
  <c r="M242" i="15"/>
  <c r="K242" i="15"/>
  <c r="W242" i="15"/>
  <c r="AI242" i="15"/>
  <c r="R242" i="15"/>
  <c r="U242" i="15"/>
  <c r="F242" i="15"/>
  <c r="BN251" i="10"/>
  <c r="GI251" i="10"/>
  <c r="AT251" i="10" s="1"/>
  <c r="L202" i="15"/>
  <c r="O202" i="15"/>
  <c r="P202" i="15"/>
  <c r="AF202" i="15"/>
  <c r="AA202" i="15"/>
  <c r="Q202" i="15"/>
  <c r="E202" i="15"/>
  <c r="AG202" i="15"/>
  <c r="I202" i="15"/>
  <c r="W208" i="15"/>
  <c r="L208" i="15"/>
  <c r="Z208" i="15"/>
  <c r="N208" i="15"/>
  <c r="U208" i="15"/>
  <c r="Q208" i="15"/>
  <c r="AG208" i="15"/>
  <c r="G208" i="15"/>
  <c r="D208" i="15"/>
  <c r="T208" i="15"/>
  <c r="AA208" i="15"/>
  <c r="K208" i="15"/>
  <c r="AE208" i="15"/>
  <c r="H208" i="15"/>
  <c r="DM99" i="10"/>
  <c r="DP99" i="10"/>
  <c r="DN99" i="10" s="1"/>
  <c r="DO99" i="10" s="1"/>
  <c r="DP129" i="10"/>
  <c r="DN129" i="10" s="1"/>
  <c r="DO129" i="10" s="1"/>
  <c r="DM129" i="10"/>
  <c r="DP375" i="10"/>
  <c r="DN375" i="10" s="1"/>
  <c r="DO375" i="10" s="1"/>
  <c r="DM375" i="10"/>
  <c r="DP120" i="10"/>
  <c r="DN120" i="10" s="1"/>
  <c r="DO120" i="10" s="1"/>
  <c r="DM120" i="10"/>
  <c r="DM28" i="10"/>
  <c r="DP28" i="10"/>
  <c r="DN28" i="10" s="1"/>
  <c r="DO28" i="10" s="1"/>
  <c r="M303" i="15"/>
  <c r="T303" i="15"/>
  <c r="AA307" i="15"/>
  <c r="O307" i="15"/>
  <c r="E169" i="15"/>
  <c r="K169" i="15"/>
  <c r="U326" i="15"/>
  <c r="AC326" i="15"/>
  <c r="AG326" i="15"/>
  <c r="H101" i="20"/>
  <c r="C112" i="15"/>
  <c r="E112" i="15"/>
  <c r="U42" i="15"/>
  <c r="T42" i="15"/>
  <c r="H31" i="20"/>
  <c r="H136" i="20"/>
  <c r="AI147" i="15"/>
  <c r="E147" i="15"/>
  <c r="N147" i="15"/>
  <c r="I147" i="15"/>
  <c r="J147" i="15"/>
  <c r="A123" i="15"/>
  <c r="JM129" i="10"/>
  <c r="BN104" i="10"/>
  <c r="GI104" i="10"/>
  <c r="AT104" i="10" s="1"/>
  <c r="JM39" i="10"/>
  <c r="A33" i="15"/>
  <c r="AA272" i="15"/>
  <c r="Y272" i="15"/>
  <c r="L272" i="15"/>
  <c r="F272" i="15"/>
  <c r="W272" i="15"/>
  <c r="E272" i="15"/>
  <c r="Q272" i="15"/>
  <c r="P272" i="15"/>
  <c r="GI130" i="10"/>
  <c r="AT130" i="10" s="1"/>
  <c r="AE199" i="15"/>
  <c r="AH199" i="15"/>
  <c r="O199" i="15"/>
  <c r="M199" i="15"/>
  <c r="L199" i="15"/>
  <c r="AI199" i="15"/>
  <c r="W199" i="15"/>
  <c r="U199" i="15"/>
  <c r="G199" i="15"/>
  <c r="X199" i="15"/>
  <c r="Z199" i="15"/>
  <c r="V199" i="15"/>
  <c r="P199" i="15"/>
  <c r="AD199" i="15"/>
  <c r="H298" i="20"/>
  <c r="AA309" i="15"/>
  <c r="H309" i="15"/>
  <c r="S309" i="15"/>
  <c r="T309" i="15"/>
  <c r="I69" i="15"/>
  <c r="W69" i="15"/>
  <c r="M69" i="15"/>
  <c r="E69" i="15"/>
  <c r="Y69" i="15"/>
  <c r="C31" i="15"/>
  <c r="J31" i="15"/>
  <c r="M31" i="15"/>
  <c r="AE31" i="15"/>
  <c r="DM388" i="10"/>
  <c r="DP388" i="10"/>
  <c r="DN388" i="10" s="1"/>
  <c r="DO388" i="10" s="1"/>
  <c r="AE367" i="15"/>
  <c r="X367" i="15"/>
  <c r="R367" i="15"/>
  <c r="V367" i="15"/>
  <c r="H356" i="20"/>
  <c r="AI367" i="15"/>
  <c r="AA367" i="15"/>
  <c r="I367" i="15"/>
  <c r="N367" i="15"/>
  <c r="AH367" i="15"/>
  <c r="AG367" i="15"/>
  <c r="T367" i="15"/>
  <c r="AF367" i="15"/>
  <c r="K367" i="15"/>
  <c r="AA36" i="15"/>
  <c r="W36" i="15"/>
  <c r="L36" i="15"/>
  <c r="U36" i="15"/>
  <c r="M36" i="15"/>
  <c r="O36" i="15"/>
  <c r="AB36" i="15"/>
  <c r="J36" i="15"/>
  <c r="P36" i="15"/>
  <c r="Z36" i="15"/>
  <c r="E36" i="15"/>
  <c r="AE36" i="15"/>
  <c r="X36" i="15"/>
  <c r="AH36" i="15"/>
  <c r="D182" i="15"/>
  <c r="L182" i="15"/>
  <c r="AE182" i="15"/>
  <c r="O182" i="15"/>
  <c r="M182" i="15"/>
  <c r="P182" i="15"/>
  <c r="X182" i="15"/>
  <c r="R182" i="15"/>
  <c r="H171" i="20"/>
  <c r="AH182" i="15"/>
  <c r="G182" i="15"/>
  <c r="AF182" i="15"/>
  <c r="AB182" i="15"/>
  <c r="AI182" i="15"/>
  <c r="J182" i="15"/>
  <c r="DP96" i="10"/>
  <c r="DN96" i="10" s="1"/>
  <c r="DO96" i="10" s="1"/>
  <c r="DM96" i="10"/>
  <c r="DM124" i="10"/>
  <c r="DM67" i="10"/>
  <c r="DP67" i="10"/>
  <c r="DN67" i="10" s="1"/>
  <c r="DO67" i="10" s="1"/>
  <c r="DM81" i="10"/>
  <c r="DP81" i="10"/>
  <c r="DN81" i="10" s="1"/>
  <c r="DO81" i="10" s="1"/>
  <c r="DP314" i="10"/>
  <c r="DN314" i="10" s="1"/>
  <c r="DO314" i="10" s="1"/>
  <c r="DM314" i="10"/>
  <c r="GI124" i="10"/>
  <c r="AT124" i="10" s="1"/>
  <c r="BN124" i="10"/>
  <c r="A160" i="15"/>
  <c r="DP92" i="10"/>
  <c r="DN92" i="10" s="1"/>
  <c r="DO92" i="10" s="1"/>
  <c r="DM92" i="10"/>
  <c r="DP97" i="10"/>
  <c r="DN97" i="10" s="1"/>
  <c r="DO97" i="10" s="1"/>
  <c r="DM97" i="10"/>
  <c r="T41" i="15"/>
  <c r="P41" i="15"/>
  <c r="S41" i="15"/>
  <c r="Z41" i="15"/>
  <c r="C41" i="15"/>
  <c r="N41" i="15"/>
  <c r="M41" i="15"/>
  <c r="Q41" i="15"/>
  <c r="AF265" i="15"/>
  <c r="AE163" i="15"/>
  <c r="D163" i="15"/>
  <c r="Z163" i="15"/>
  <c r="Y163" i="15"/>
  <c r="AD163" i="15"/>
  <c r="R163" i="15"/>
  <c r="I163" i="15"/>
  <c r="GI119" i="10"/>
  <c r="AT119" i="10" s="1"/>
  <c r="U246" i="15"/>
  <c r="H235" i="20"/>
  <c r="DP218" i="10"/>
  <c r="DN218" i="10" s="1"/>
  <c r="DO218" i="10" s="1"/>
  <c r="DM218" i="10"/>
  <c r="DM61" i="10"/>
  <c r="DP61" i="10"/>
  <c r="DN61" i="10" s="1"/>
  <c r="DO61" i="10" s="1"/>
  <c r="GI29" i="10"/>
  <c r="AT29" i="10" s="1"/>
  <c r="BN29" i="10"/>
  <c r="GI33" i="10"/>
  <c r="AT33" i="10" s="1"/>
  <c r="H72" i="15"/>
  <c r="S72" i="15"/>
  <c r="K72" i="15"/>
  <c r="E72" i="15"/>
  <c r="T72" i="15"/>
  <c r="AI72" i="15"/>
  <c r="GI111" i="10"/>
  <c r="AT111" i="10" s="1"/>
  <c r="JM112" i="10"/>
  <c r="A106" i="15"/>
  <c r="AE89" i="15"/>
  <c r="R89" i="15"/>
  <c r="AI89" i="15"/>
  <c r="AF89" i="15"/>
  <c r="F89" i="15"/>
  <c r="GI114" i="10"/>
  <c r="AT114" i="10" s="1"/>
  <c r="AB345" i="15"/>
  <c r="N345" i="15"/>
  <c r="S345" i="15"/>
  <c r="C345" i="15"/>
  <c r="DP350" i="10"/>
  <c r="DN350" i="10" s="1"/>
  <c r="DO350" i="10" s="1"/>
  <c r="DM350" i="10"/>
  <c r="BN28" i="10"/>
  <c r="GI97" i="10"/>
  <c r="AT97" i="10" s="1"/>
  <c r="BN97" i="10"/>
  <c r="GI193" i="10"/>
  <c r="AT193" i="10" s="1"/>
  <c r="GI228" i="10"/>
  <c r="AT228" i="10" s="1"/>
  <c r="GI117" i="10"/>
  <c r="AT117" i="10" s="1"/>
  <c r="GI58" i="10"/>
  <c r="AT58" i="10" s="1"/>
  <c r="BN345" i="10"/>
  <c r="GI345" i="10"/>
  <c r="AT345" i="10" s="1"/>
  <c r="AG381" i="15"/>
  <c r="N381" i="15"/>
  <c r="H381" i="15"/>
  <c r="H370" i="20"/>
  <c r="X381" i="15"/>
  <c r="E319" i="15"/>
  <c r="M319" i="15"/>
  <c r="I319" i="15"/>
  <c r="AD319" i="15"/>
  <c r="BN90" i="10"/>
  <c r="GI90" i="10"/>
  <c r="AT90" i="10" s="1"/>
  <c r="BN106" i="10"/>
  <c r="GI82" i="10"/>
  <c r="AT82" i="10" s="1"/>
  <c r="GI99" i="10"/>
  <c r="AT99" i="10" s="1"/>
  <c r="E189" i="15"/>
  <c r="H178" i="20"/>
  <c r="O189" i="15"/>
  <c r="D189" i="15"/>
  <c r="GI32" i="10"/>
  <c r="AT32" i="10" s="1"/>
  <c r="GI64" i="10"/>
  <c r="AT64" i="10" s="1"/>
  <c r="BN64" i="10"/>
  <c r="GI77" i="10"/>
  <c r="AT77" i="10" s="1"/>
  <c r="GI342" i="10"/>
  <c r="AT342" i="10" s="1"/>
  <c r="BN342" i="10"/>
  <c r="GI120" i="10"/>
  <c r="AT120" i="10" s="1"/>
  <c r="H280" i="15"/>
  <c r="S280" i="15"/>
  <c r="GI320" i="10"/>
  <c r="AT320" i="10" s="1"/>
  <c r="GI248" i="10"/>
  <c r="AT248" i="10" s="1"/>
  <c r="GI256" i="10"/>
  <c r="AT256" i="10" s="1"/>
  <c r="DM76" i="10"/>
  <c r="DP76" i="10"/>
  <c r="DN76" i="10" s="1"/>
  <c r="DO76" i="10" s="1"/>
  <c r="DP110" i="10"/>
  <c r="DN110" i="10" s="1"/>
  <c r="DO110" i="10" s="1"/>
  <c r="DM110" i="10"/>
  <c r="DM293" i="10"/>
  <c r="DP293" i="10"/>
  <c r="DN293" i="10" s="1"/>
  <c r="DO293" i="10" s="1"/>
  <c r="GI72" i="10"/>
  <c r="AT72" i="10" s="1"/>
  <c r="GI272" i="10"/>
  <c r="AT272" i="10" s="1"/>
  <c r="Z88" i="15"/>
  <c r="AC88" i="15"/>
  <c r="I88" i="15"/>
  <c r="AD88" i="15"/>
  <c r="AB88" i="15"/>
  <c r="H77" i="20"/>
  <c r="GI76" i="10"/>
  <c r="AT76" i="10" s="1"/>
  <c r="DM386" i="10"/>
  <c r="DP386" i="10"/>
  <c r="DN386" i="10" s="1"/>
  <c r="DO386" i="10" s="1"/>
  <c r="JM83" i="10"/>
  <c r="A77" i="15"/>
  <c r="GI112" i="10"/>
  <c r="AT112" i="10" s="1"/>
  <c r="GI109" i="10"/>
  <c r="AT109" i="10" s="1"/>
  <c r="GI84" i="10"/>
  <c r="AT84" i="10" s="1"/>
  <c r="DP255" i="10"/>
  <c r="DN255" i="10" s="1"/>
  <c r="DO255" i="10" s="1"/>
  <c r="DP95" i="10"/>
  <c r="DN95" i="10" s="1"/>
  <c r="DO95" i="10" s="1"/>
  <c r="DM95" i="10"/>
  <c r="DP112" i="10"/>
  <c r="DN112" i="10" s="1"/>
  <c r="DO112" i="10" s="1"/>
  <c r="DM112" i="10"/>
  <c r="DP264" i="10"/>
  <c r="DN264" i="10" s="1"/>
  <c r="DO264" i="10" s="1"/>
  <c r="DM264" i="10"/>
  <c r="GI94" i="10"/>
  <c r="AT94" i="10" s="1"/>
  <c r="W219" i="15"/>
  <c r="DM109" i="10"/>
  <c r="DP109" i="10"/>
  <c r="DN109" i="10" s="1"/>
  <c r="DO109" i="10" s="1"/>
  <c r="DM39" i="10"/>
  <c r="DP39" i="10"/>
  <c r="DN39" i="10" s="1"/>
  <c r="DO39" i="10" s="1"/>
  <c r="GI39" i="10"/>
  <c r="AT39" i="10" s="1"/>
  <c r="GI48" i="10"/>
  <c r="AT48" i="10" s="1"/>
  <c r="GI54" i="10"/>
  <c r="AT54" i="10" s="1"/>
  <c r="GI123" i="10"/>
  <c r="AT123" i="10" s="1"/>
  <c r="GI118" i="10"/>
  <c r="AT118" i="10" s="1"/>
  <c r="GI126" i="10"/>
  <c r="AT126" i="10" s="1"/>
  <c r="GI115" i="10"/>
  <c r="AT115" i="10" s="1"/>
  <c r="GI98" i="10"/>
  <c r="AT98" i="10" s="1"/>
  <c r="GI88" i="10"/>
  <c r="AT88" i="10" s="1"/>
  <c r="F9" i="10"/>
  <c r="CB3" i="10" s="1"/>
  <c r="Z16" i="10" s="1"/>
  <c r="F8" i="10"/>
  <c r="DL209" i="10" s="1"/>
  <c r="R17" i="15"/>
  <c r="J17" i="15"/>
  <c r="AF17" i="15"/>
  <c r="X17" i="15"/>
  <c r="T17" i="15"/>
  <c r="AH17" i="15"/>
  <c r="AG17" i="15"/>
  <c r="AC17" i="15"/>
  <c r="W17" i="15"/>
  <c r="AI17" i="15"/>
  <c r="Q17" i="15"/>
  <c r="AE17" i="15"/>
  <c r="H6" i="20"/>
  <c r="Z17" i="15"/>
  <c r="L17" i="15"/>
  <c r="O17" i="15"/>
  <c r="N17" i="15"/>
  <c r="H17" i="15"/>
  <c r="F17" i="15"/>
  <c r="K17" i="15"/>
  <c r="M17" i="15"/>
  <c r="E17" i="15"/>
  <c r="U17" i="15"/>
  <c r="AB17" i="15"/>
  <c r="V17" i="15"/>
  <c r="I17" i="15"/>
  <c r="AD17" i="15"/>
  <c r="P17" i="15"/>
  <c r="AA17" i="15"/>
  <c r="D17" i="15"/>
  <c r="S17" i="15"/>
  <c r="Y17" i="15"/>
  <c r="G17" i="15"/>
  <c r="C17" i="15"/>
  <c r="P17" i="24"/>
  <c r="E19" i="24"/>
  <c r="E19" i="15"/>
  <c r="Z19" i="15"/>
  <c r="J327" i="20"/>
  <c r="J258" i="20"/>
  <c r="Y259" i="15"/>
  <c r="S259" i="15"/>
  <c r="Q211" i="15"/>
  <c r="AA317" i="15"/>
  <c r="DL187" i="10"/>
  <c r="DL190" i="10"/>
  <c r="DL230" i="10"/>
  <c r="DL355" i="10"/>
  <c r="H385" i="15"/>
  <c r="I174" i="20"/>
  <c r="K174" i="20"/>
  <c r="J174" i="20"/>
  <c r="AF174" i="15"/>
  <c r="C56" i="15"/>
  <c r="AE56" i="15"/>
  <c r="H45" i="20"/>
  <c r="T56" i="15"/>
  <c r="Q56" i="15"/>
  <c r="E56" i="15"/>
  <c r="J56" i="15"/>
  <c r="U56" i="15"/>
  <c r="AB56" i="15"/>
  <c r="P56" i="15"/>
  <c r="G56" i="15"/>
  <c r="AA56" i="15"/>
  <c r="K56" i="15"/>
  <c r="AC56" i="15"/>
  <c r="S56" i="15"/>
  <c r="X56" i="15"/>
  <c r="AI56" i="15"/>
  <c r="AF56" i="15"/>
  <c r="AG56" i="15"/>
  <c r="Y56" i="15"/>
  <c r="R56" i="15"/>
  <c r="H56" i="15"/>
  <c r="I56" i="15"/>
  <c r="M56" i="15"/>
  <c r="L56" i="15"/>
  <c r="D56" i="15"/>
  <c r="AH56" i="15"/>
  <c r="N56" i="15"/>
  <c r="AD56" i="15"/>
  <c r="W56" i="15"/>
  <c r="O56" i="15"/>
  <c r="V56" i="15"/>
  <c r="Z56" i="15"/>
  <c r="AB19" i="15"/>
  <c r="K19" i="15"/>
  <c r="K327" i="20"/>
  <c r="I361" i="20"/>
  <c r="X259" i="15"/>
  <c r="E259" i="15"/>
  <c r="Q317" i="15"/>
  <c r="AI268" i="15"/>
  <c r="DL324" i="10"/>
  <c r="DL185" i="10"/>
  <c r="DL124" i="10"/>
  <c r="DL282" i="10"/>
  <c r="AI385" i="15"/>
  <c r="U322" i="15"/>
  <c r="J322" i="15"/>
  <c r="AI322" i="15"/>
  <c r="W322" i="15"/>
  <c r="F322" i="15"/>
  <c r="Y322" i="15"/>
  <c r="G322" i="15"/>
  <c r="AE322" i="15"/>
  <c r="AC322" i="15"/>
  <c r="X322" i="15"/>
  <c r="L322" i="15"/>
  <c r="R322" i="15"/>
  <c r="AG322" i="15"/>
  <c r="AH322" i="15"/>
  <c r="I322" i="15"/>
  <c r="T322" i="15"/>
  <c r="E322" i="15"/>
  <c r="H322" i="15"/>
  <c r="Q322" i="15"/>
  <c r="C322" i="15"/>
  <c r="N322" i="15"/>
  <c r="C250" i="15"/>
  <c r="AG250" i="15"/>
  <c r="J250" i="15"/>
  <c r="Y250" i="15"/>
  <c r="F250" i="15"/>
  <c r="AE250" i="15"/>
  <c r="E250" i="15"/>
  <c r="AH250" i="15"/>
  <c r="M250" i="15"/>
  <c r="Q250" i="15"/>
  <c r="T250" i="15"/>
  <c r="W250" i="15"/>
  <c r="K250" i="15"/>
  <c r="AC250" i="15"/>
  <c r="U250" i="15"/>
  <c r="AF250" i="15"/>
  <c r="G250" i="15"/>
  <c r="AI250" i="15"/>
  <c r="AA250" i="15"/>
  <c r="Z250" i="15"/>
  <c r="AB250" i="15"/>
  <c r="D250" i="15"/>
  <c r="V250" i="15"/>
  <c r="P250" i="15"/>
  <c r="L250" i="15"/>
  <c r="X250" i="15"/>
  <c r="R250" i="15"/>
  <c r="L75" i="15"/>
  <c r="C75" i="15"/>
  <c r="E75" i="15"/>
  <c r="Q75" i="15"/>
  <c r="Y75" i="15"/>
  <c r="AE75" i="15"/>
  <c r="O75" i="15"/>
  <c r="T75" i="15"/>
  <c r="N75" i="15"/>
  <c r="H75" i="15"/>
  <c r="H64" i="20"/>
  <c r="X75" i="15"/>
  <c r="F75" i="15"/>
  <c r="G75" i="15"/>
  <c r="AD75" i="15"/>
  <c r="D75" i="15"/>
  <c r="AG75" i="15"/>
  <c r="M75" i="15"/>
  <c r="AA75" i="15"/>
  <c r="I75" i="15"/>
  <c r="AI75" i="15"/>
  <c r="R75" i="15"/>
  <c r="S75" i="15"/>
  <c r="AH75" i="15"/>
  <c r="Z75" i="15"/>
  <c r="AC75" i="15"/>
  <c r="K75" i="15"/>
  <c r="J75" i="15"/>
  <c r="W75" i="15"/>
  <c r="AB75" i="15"/>
  <c r="J19" i="15"/>
  <c r="Q19" i="15"/>
  <c r="BN22" i="10"/>
  <c r="W259" i="15"/>
  <c r="U268" i="15"/>
  <c r="DL316" i="10"/>
  <c r="DL118" i="10"/>
  <c r="DL361" i="10"/>
  <c r="DL250" i="10"/>
  <c r="V257" i="15"/>
  <c r="AG257" i="15"/>
  <c r="AD257" i="15"/>
  <c r="Y257" i="15"/>
  <c r="X257" i="15"/>
  <c r="M257" i="15"/>
  <c r="W257" i="15"/>
  <c r="U257" i="15"/>
  <c r="E257" i="15"/>
  <c r="H257" i="15"/>
  <c r="C257" i="15"/>
  <c r="K257" i="15"/>
  <c r="S257" i="15"/>
  <c r="N257" i="15"/>
  <c r="F257" i="15"/>
  <c r="G257" i="15"/>
  <c r="H246" i="20"/>
  <c r="T257" i="15"/>
  <c r="O257" i="15"/>
  <c r="I257" i="15"/>
  <c r="L257" i="15"/>
  <c r="AE257" i="15"/>
  <c r="G211" i="15"/>
  <c r="S211" i="15"/>
  <c r="J211" i="15"/>
  <c r="I211" i="15"/>
  <c r="Z211" i="15"/>
  <c r="AC211" i="15"/>
  <c r="E211" i="15"/>
  <c r="AI211" i="15"/>
  <c r="N211" i="15"/>
  <c r="AF211" i="15"/>
  <c r="AG211" i="15"/>
  <c r="AE211" i="15"/>
  <c r="AD211" i="15"/>
  <c r="X211" i="15"/>
  <c r="P211" i="15"/>
  <c r="V211" i="15"/>
  <c r="H211" i="15"/>
  <c r="AH211" i="15"/>
  <c r="F211" i="15"/>
  <c r="R211" i="15"/>
  <c r="T211" i="15"/>
  <c r="W211" i="15"/>
  <c r="CB8" i="10"/>
  <c r="F6" i="24"/>
  <c r="DL36" i="10"/>
  <c r="DL32" i="10"/>
  <c r="DL111" i="10"/>
  <c r="DL42" i="10"/>
  <c r="DL53" i="10"/>
  <c r="DL84" i="10"/>
  <c r="DL81" i="10"/>
  <c r="DL79" i="10"/>
  <c r="DL61" i="10"/>
  <c r="DL74" i="10"/>
  <c r="DL96" i="10"/>
  <c r="DL89" i="10"/>
  <c r="DL55" i="10"/>
  <c r="DL69" i="10"/>
  <c r="DL37" i="10"/>
  <c r="DL86" i="10"/>
  <c r="DL100" i="10"/>
  <c r="DL41" i="10"/>
  <c r="DL93" i="10"/>
  <c r="DL70" i="10"/>
  <c r="DL82" i="10"/>
  <c r="DL107" i="10"/>
  <c r="DL97" i="10"/>
  <c r="DL30" i="10"/>
  <c r="DL58" i="10"/>
  <c r="DL108" i="10"/>
  <c r="DL109" i="10"/>
  <c r="DL67" i="10"/>
  <c r="DL50" i="10"/>
  <c r="DL44" i="10"/>
  <c r="DL38" i="10"/>
  <c r="DL45" i="10"/>
  <c r="DL60" i="10"/>
  <c r="DL40" i="10"/>
  <c r="DL34" i="10"/>
  <c r="DL80" i="10"/>
  <c r="DL49" i="10"/>
  <c r="DL77" i="10"/>
  <c r="DL78" i="10"/>
  <c r="DL98" i="10"/>
  <c r="DL33" i="10"/>
  <c r="DL103" i="10"/>
  <c r="DL101" i="10"/>
  <c r="DL112" i="10"/>
  <c r="DL105" i="10"/>
  <c r="DL54" i="10"/>
  <c r="DL28" i="10"/>
  <c r="DL71" i="10"/>
  <c r="DL51" i="10"/>
  <c r="DL106" i="10"/>
  <c r="DL110" i="10"/>
  <c r="DL90" i="10"/>
  <c r="DL76" i="10"/>
  <c r="DL35" i="10"/>
  <c r="DL88" i="10"/>
  <c r="DL72" i="10"/>
  <c r="DL99" i="10"/>
  <c r="DL63" i="10"/>
  <c r="DL62" i="10"/>
  <c r="DL27" i="10"/>
  <c r="DL56" i="10"/>
  <c r="DL104" i="10"/>
  <c r="DL31" i="10"/>
  <c r="DL47" i="10"/>
  <c r="DL64" i="10"/>
  <c r="DL83" i="10"/>
  <c r="DL75" i="10"/>
  <c r="DL87" i="10"/>
  <c r="DL94" i="10"/>
  <c r="DL48" i="10"/>
  <c r="DL29" i="10"/>
  <c r="DL85" i="10"/>
  <c r="DL95" i="10"/>
  <c r="DL65" i="10"/>
  <c r="DL91" i="10"/>
  <c r="DL102" i="10"/>
  <c r="DL66" i="10"/>
  <c r="DL39" i="10"/>
  <c r="DL59" i="10"/>
  <c r="DL92" i="10"/>
  <c r="DL46" i="10"/>
  <c r="DL73" i="10"/>
  <c r="DL43" i="10"/>
  <c r="DL57" i="10"/>
  <c r="F3" i="2"/>
  <c r="G3" i="2" s="1"/>
  <c r="DL52" i="10"/>
  <c r="DL135" i="10"/>
  <c r="DL188" i="10"/>
  <c r="DL259" i="10"/>
  <c r="DL339" i="10"/>
  <c r="DL322" i="10"/>
  <c r="DL280" i="10"/>
  <c r="DL240" i="10"/>
  <c r="DL198" i="10"/>
  <c r="DL253" i="10"/>
  <c r="DL263" i="10"/>
  <c r="DL196" i="10"/>
  <c r="DL327" i="10"/>
  <c r="DL329" i="10"/>
  <c r="DL129" i="10"/>
  <c r="DL286" i="10"/>
  <c r="DL166" i="10"/>
  <c r="DL208" i="10"/>
  <c r="DL261" i="10"/>
  <c r="DL117" i="10"/>
  <c r="DL388" i="10"/>
  <c r="DL131" i="10"/>
  <c r="DL186" i="10"/>
  <c r="DL313" i="10"/>
  <c r="DL247" i="10"/>
  <c r="DL159" i="10"/>
  <c r="DL336" i="10"/>
  <c r="DL245" i="10"/>
  <c r="DL233" i="10"/>
  <c r="DL383" i="10"/>
  <c r="DL307" i="10"/>
  <c r="DL171" i="10"/>
  <c r="DL26" i="10"/>
  <c r="DL281" i="10"/>
  <c r="DL334" i="10"/>
  <c r="DL382" i="10"/>
  <c r="DL152" i="10"/>
  <c r="DL350" i="10"/>
  <c r="DL309" i="10"/>
  <c r="DL386" i="10"/>
  <c r="DL296" i="10"/>
  <c r="DL306" i="10"/>
  <c r="DL123" i="10"/>
  <c r="DL294" i="10"/>
  <c r="DL139" i="10"/>
  <c r="DL363" i="10"/>
  <c r="DL121" i="10"/>
  <c r="DL358" i="10"/>
  <c r="DL23" i="10"/>
  <c r="DL354" i="10"/>
  <c r="DL132" i="10"/>
  <c r="DL169" i="10"/>
  <c r="DL201" i="10"/>
  <c r="DL256" i="10"/>
  <c r="DL143" i="10"/>
  <c r="DL125" i="10"/>
  <c r="DL345" i="10"/>
  <c r="DL212" i="10"/>
  <c r="DL172" i="10"/>
  <c r="DL343" i="10"/>
  <c r="DL356" i="10"/>
  <c r="DL180" i="10"/>
  <c r="DL269" i="10"/>
  <c r="DL145" i="10"/>
  <c r="K5" i="2"/>
  <c r="DL141" i="10"/>
  <c r="DL205" i="10"/>
  <c r="DL242" i="10"/>
  <c r="DL274" i="10"/>
  <c r="DL138" i="10"/>
  <c r="DL216" i="10"/>
  <c r="DL174" i="10"/>
  <c r="DL251" i="10"/>
  <c r="DL239" i="10"/>
  <c r="DL221" i="10"/>
  <c r="DL392" i="10"/>
  <c r="DL238" i="10"/>
  <c r="DL220" i="10"/>
  <c r="DL153" i="10"/>
  <c r="DL194" i="10"/>
  <c r="DL22" i="10"/>
  <c r="DL214" i="10"/>
  <c r="DL278" i="10"/>
  <c r="DL315" i="10"/>
  <c r="DL372" i="10"/>
  <c r="DL379" i="10"/>
  <c r="DL289" i="10"/>
  <c r="DL223" i="10"/>
  <c r="DL181" i="10"/>
  <c r="DL312" i="10"/>
  <c r="DL270" i="10"/>
  <c r="DL373" i="10"/>
  <c r="DL359" i="10"/>
  <c r="DL204" i="10"/>
  <c r="DL134" i="10"/>
  <c r="DL218" i="10"/>
  <c r="DL25" i="10"/>
  <c r="DL371" i="10"/>
  <c r="DL351" i="10"/>
  <c r="DL364" i="10"/>
  <c r="DL326" i="10"/>
  <c r="DL285" i="10"/>
  <c r="DL362" i="10"/>
  <c r="DL272" i="10"/>
  <c r="DL258" i="10"/>
  <c r="DL385" i="10"/>
  <c r="DL319" i="10"/>
  <c r="DL303" i="10"/>
  <c r="DL146" i="10"/>
  <c r="DL292" i="10"/>
  <c r="DL380" i="10"/>
  <c r="DL243" i="10"/>
  <c r="DL203" i="10"/>
  <c r="DL231" i="10"/>
  <c r="DL229" i="10"/>
  <c r="DL177" i="10"/>
  <c r="DL114" i="10"/>
  <c r="DL192" i="10"/>
  <c r="DL199" i="10"/>
  <c r="DL227" i="10"/>
  <c r="DL215" i="10"/>
  <c r="DL197" i="10"/>
  <c r="DL347" i="10"/>
  <c r="DL332" i="10"/>
  <c r="DL268" i="10"/>
  <c r="DL228" i="10"/>
  <c r="DL365" i="10"/>
  <c r="DL318" i="10"/>
  <c r="DL142" i="10"/>
  <c r="DL255" i="10"/>
  <c r="DL252" i="10"/>
  <c r="DL120" i="10"/>
  <c r="DL151" i="10"/>
  <c r="DL346" i="10"/>
  <c r="DL210" i="10"/>
  <c r="DL264" i="10"/>
  <c r="DL320" i="10"/>
  <c r="DL113" i="10"/>
  <c r="DL287" i="10"/>
  <c r="DL342" i="10"/>
  <c r="DL305" i="10"/>
  <c r="DL340" i="10"/>
  <c r="DL262" i="10"/>
  <c r="DL24" i="10"/>
  <c r="DL275" i="10"/>
  <c r="DL328" i="10"/>
  <c r="DL206" i="10"/>
  <c r="DL193" i="10"/>
  <c r="DL200" i="10"/>
  <c r="DL155" i="10"/>
  <c r="DL333" i="10"/>
  <c r="DL337" i="10"/>
  <c r="DL369" i="10"/>
  <c r="DL330" i="10"/>
  <c r="DL360" i="10"/>
  <c r="DL391" i="10"/>
  <c r="DL311" i="10"/>
  <c r="DL325" i="10"/>
  <c r="DL290" i="10"/>
  <c r="DL161" i="10"/>
  <c r="DL348" i="10"/>
  <c r="DL115" i="10"/>
  <c r="DL353" i="10"/>
  <c r="DL266" i="10"/>
  <c r="DL249" i="10"/>
  <c r="DL374" i="10"/>
  <c r="DL167" i="10"/>
  <c r="DL149" i="10"/>
  <c r="DL299" i="10"/>
  <c r="DL236" i="10"/>
  <c r="DL147" i="10"/>
  <c r="DL130" i="10"/>
  <c r="DL291" i="10"/>
  <c r="DL211" i="10"/>
  <c r="DL184" i="10"/>
  <c r="DL284" i="10"/>
  <c r="DL298" i="10"/>
  <c r="DL163" i="10"/>
  <c r="DL378" i="10"/>
  <c r="DL140" i="10"/>
  <c r="DL126" i="10"/>
  <c r="DL381" i="10"/>
  <c r="DL349" i="10"/>
  <c r="AC268" i="15"/>
  <c r="W268" i="15"/>
  <c r="G268" i="15"/>
  <c r="R268" i="15"/>
  <c r="D268" i="15"/>
  <c r="AA268" i="15"/>
  <c r="Z268" i="15"/>
  <c r="AG268" i="15"/>
  <c r="M268" i="15"/>
  <c r="AF268" i="15"/>
  <c r="Y268" i="15"/>
  <c r="AE268" i="15"/>
  <c r="O268" i="15"/>
  <c r="E268" i="15"/>
  <c r="K268" i="15"/>
  <c r="T268" i="15"/>
  <c r="X268" i="15"/>
  <c r="F268" i="15"/>
  <c r="I268" i="15"/>
  <c r="Q268" i="15"/>
  <c r="J268" i="15"/>
  <c r="V268" i="15"/>
  <c r="AD268" i="15"/>
  <c r="H95" i="15"/>
  <c r="M95" i="15"/>
  <c r="V95" i="15"/>
  <c r="S95" i="15"/>
  <c r="K95" i="15"/>
  <c r="Z95" i="15"/>
  <c r="AA95" i="15"/>
  <c r="AF95" i="15"/>
  <c r="H84" i="20"/>
  <c r="R95" i="15"/>
  <c r="L95" i="15"/>
  <c r="E95" i="15"/>
  <c r="U95" i="15"/>
  <c r="X95" i="15"/>
  <c r="AI95" i="15"/>
  <c r="AB95" i="15"/>
  <c r="P95" i="15"/>
  <c r="G95" i="15"/>
  <c r="Y95" i="15"/>
  <c r="AG95" i="15"/>
  <c r="AE95" i="15"/>
  <c r="AH95" i="15"/>
  <c r="N95" i="15"/>
  <c r="I95" i="15"/>
  <c r="L385" i="15"/>
  <c r="H374" i="20"/>
  <c r="N385" i="15"/>
  <c r="S385" i="15"/>
  <c r="P385" i="15"/>
  <c r="X385" i="15"/>
  <c r="O385" i="15"/>
  <c r="G385" i="15"/>
  <c r="M385" i="15"/>
  <c r="I385" i="15"/>
  <c r="Z385" i="15"/>
  <c r="K385" i="15"/>
  <c r="AD385" i="15"/>
  <c r="C385" i="15"/>
  <c r="AC385" i="15"/>
  <c r="T385" i="15"/>
  <c r="W385" i="15"/>
  <c r="E385" i="15"/>
  <c r="Y385" i="15"/>
  <c r="AG385" i="15"/>
  <c r="AA385" i="15"/>
  <c r="J385" i="15"/>
  <c r="I171" i="20"/>
  <c r="K171" i="20"/>
  <c r="J171" i="20"/>
  <c r="JM371" i="10"/>
  <c r="A365" i="15"/>
  <c r="T332" i="15"/>
  <c r="V332" i="15"/>
  <c r="E332" i="15"/>
  <c r="J332" i="15"/>
  <c r="N332" i="15"/>
  <c r="AE332" i="15"/>
  <c r="G332" i="15"/>
  <c r="AF332" i="15"/>
  <c r="R332" i="15"/>
  <c r="H321" i="20"/>
  <c r="M332" i="15"/>
  <c r="S332" i="15"/>
  <c r="Q332" i="15"/>
  <c r="K332" i="15"/>
  <c r="O332" i="15"/>
  <c r="H332" i="15"/>
  <c r="W332" i="15"/>
  <c r="X332" i="15"/>
  <c r="F332" i="15"/>
  <c r="P332" i="15"/>
  <c r="U332" i="15"/>
  <c r="C332" i="15"/>
  <c r="AD332" i="15"/>
  <c r="AI332" i="15"/>
  <c r="AA332" i="15"/>
  <c r="Z332" i="15"/>
  <c r="I332" i="15"/>
  <c r="L332" i="15"/>
  <c r="AG332" i="15"/>
  <c r="AH332" i="15"/>
  <c r="Y332" i="15"/>
  <c r="D332" i="15"/>
  <c r="DL226" i="10"/>
  <c r="DL176" i="10"/>
  <c r="DL137" i="10"/>
  <c r="DL191" i="10"/>
  <c r="DL338" i="10"/>
  <c r="DL308" i="10"/>
  <c r="DL276" i="10"/>
  <c r="Q385" i="15"/>
  <c r="H268" i="15"/>
  <c r="O95" i="15"/>
  <c r="I210" i="20"/>
  <c r="K210" i="20"/>
  <c r="J210" i="20"/>
  <c r="P317" i="15"/>
  <c r="F317" i="15"/>
  <c r="C317" i="15"/>
  <c r="L317" i="15"/>
  <c r="AF317" i="15"/>
  <c r="G317" i="15"/>
  <c r="H306" i="20"/>
  <c r="D317" i="15"/>
  <c r="W317" i="15"/>
  <c r="AB317" i="15"/>
  <c r="O317" i="15"/>
  <c r="N317" i="15"/>
  <c r="AD317" i="15"/>
  <c r="J317" i="15"/>
  <c r="AE317" i="15"/>
  <c r="Z317" i="15"/>
  <c r="T317" i="15"/>
  <c r="Y317" i="15"/>
  <c r="H317" i="15"/>
  <c r="M317" i="15"/>
  <c r="AC332" i="15"/>
  <c r="J68" i="20"/>
  <c r="DL367" i="10"/>
  <c r="I38" i="20"/>
  <c r="J38" i="20"/>
  <c r="C19" i="15"/>
  <c r="I259" i="20"/>
  <c r="I74" i="20"/>
  <c r="AC259" i="15"/>
  <c r="V259" i="15"/>
  <c r="AC317" i="15"/>
  <c r="DL127" i="10"/>
  <c r="DL267" i="10"/>
  <c r="DL301" i="10"/>
  <c r="DL116" i="10"/>
  <c r="DL119" i="10"/>
  <c r="DL162" i="10"/>
  <c r="N268" i="15"/>
  <c r="I15" i="20"/>
  <c r="K15" i="20"/>
  <c r="J15" i="20"/>
  <c r="AC174" i="15"/>
  <c r="R174" i="15"/>
  <c r="P174" i="15"/>
  <c r="H174" i="15"/>
  <c r="T174" i="15"/>
  <c r="V174" i="15"/>
  <c r="I174" i="15"/>
  <c r="Z174" i="15"/>
  <c r="F174" i="15"/>
  <c r="L174" i="15"/>
  <c r="S174" i="15"/>
  <c r="E174" i="15"/>
  <c r="X174" i="15"/>
  <c r="AI174" i="15"/>
  <c r="AG174" i="15"/>
  <c r="AH174" i="15"/>
  <c r="D174" i="15"/>
  <c r="M174" i="15"/>
  <c r="U174" i="15"/>
  <c r="H163" i="20"/>
  <c r="C174" i="15"/>
  <c r="AD174" i="15"/>
  <c r="N174" i="15"/>
  <c r="AA174" i="15"/>
  <c r="AB174" i="15"/>
  <c r="J174" i="15"/>
  <c r="K174" i="15"/>
  <c r="U19" i="15"/>
  <c r="J273" i="20"/>
  <c r="J259" i="20"/>
  <c r="K74" i="20"/>
  <c r="Q259" i="15"/>
  <c r="AA259" i="15"/>
  <c r="Y211" i="15"/>
  <c r="AG317" i="15"/>
  <c r="DL390" i="10"/>
  <c r="DL257" i="10"/>
  <c r="DL368" i="10"/>
  <c r="DL234" i="10"/>
  <c r="DL387" i="10"/>
  <c r="DL375" i="10"/>
  <c r="L268" i="15"/>
  <c r="Q95" i="15"/>
  <c r="T95" i="15"/>
  <c r="P19" i="15"/>
  <c r="K273" i="20"/>
  <c r="K259" i="15"/>
  <c r="H259" i="15"/>
  <c r="D211" i="15"/>
  <c r="I317" i="15"/>
  <c r="DL341" i="10"/>
  <c r="DL154" i="10"/>
  <c r="DL183" i="10"/>
  <c r="DL376" i="10"/>
  <c r="DL314" i="10"/>
  <c r="DL302" i="10"/>
  <c r="AB210" i="15"/>
  <c r="DL357" i="10"/>
  <c r="AF18" i="15"/>
  <c r="T18" i="15"/>
  <c r="AC19" i="15"/>
  <c r="I134" i="20"/>
  <c r="O259" i="15"/>
  <c r="T259" i="15"/>
  <c r="O211" i="15"/>
  <c r="K38" i="20"/>
  <c r="U317" i="15"/>
  <c r="DL202" i="10"/>
  <c r="DL366" i="10"/>
  <c r="DL277" i="10"/>
  <c r="DL157" i="10"/>
  <c r="DL241" i="10"/>
  <c r="DL156" i="10"/>
  <c r="AD210" i="15"/>
  <c r="K122" i="20"/>
  <c r="I122" i="20"/>
  <c r="AD19" i="15"/>
  <c r="W19" i="15"/>
  <c r="AA18" i="15"/>
  <c r="P18" i="15"/>
  <c r="H19" i="15"/>
  <c r="K266" i="20"/>
  <c r="F259" i="15"/>
  <c r="P259" i="15"/>
  <c r="AB211" i="15"/>
  <c r="AI317" i="15"/>
  <c r="D322" i="15"/>
  <c r="DL170" i="10"/>
  <c r="DL317" i="10"/>
  <c r="DL323" i="10"/>
  <c r="DL321" i="10"/>
  <c r="DL168" i="10"/>
  <c r="DL182" i="10"/>
  <c r="S210" i="15"/>
  <c r="U25" i="15"/>
  <c r="P25" i="15"/>
  <c r="J25" i="15"/>
  <c r="AB25" i="15"/>
  <c r="V25" i="15"/>
  <c r="L25" i="15"/>
  <c r="X25" i="15"/>
  <c r="N25" i="15"/>
  <c r="W25" i="15"/>
  <c r="F25" i="15"/>
  <c r="AD25" i="15"/>
  <c r="Q25" i="15"/>
  <c r="AE25" i="15"/>
  <c r="H25" i="15"/>
  <c r="D25" i="15"/>
  <c r="E25" i="15"/>
  <c r="R25" i="15"/>
  <c r="T25" i="15"/>
  <c r="H14" i="20"/>
  <c r="AF25" i="15"/>
  <c r="K25" i="15"/>
  <c r="S25" i="15"/>
  <c r="AH25" i="15"/>
  <c r="O25" i="15"/>
  <c r="Y25" i="15"/>
  <c r="AG25" i="15"/>
  <c r="AC25" i="15"/>
  <c r="M25" i="15"/>
  <c r="Z25" i="15"/>
  <c r="AA25" i="15"/>
  <c r="DL235" i="10"/>
  <c r="AB332" i="15"/>
  <c r="X18" i="15"/>
  <c r="V18" i="15"/>
  <c r="T19" i="15"/>
  <c r="I266" i="20"/>
  <c r="I250" i="20"/>
  <c r="C259" i="15"/>
  <c r="J259" i="15"/>
  <c r="H200" i="20"/>
  <c r="S317" i="15"/>
  <c r="O322" i="15"/>
  <c r="DL279" i="10"/>
  <c r="DL219" i="10"/>
  <c r="DL344" i="10"/>
  <c r="DL352" i="10"/>
  <c r="DL213" i="10"/>
  <c r="DL310" i="10"/>
  <c r="G108" i="15"/>
  <c r="AA108" i="15"/>
  <c r="I108" i="15"/>
  <c r="O108" i="15"/>
  <c r="AI108" i="15"/>
  <c r="H97" i="20"/>
  <c r="Q108" i="15"/>
  <c r="U108" i="15"/>
  <c r="AB108" i="15"/>
  <c r="S108" i="15"/>
  <c r="S238" i="15"/>
  <c r="AA238" i="15"/>
  <c r="Q238" i="15"/>
  <c r="J238" i="15"/>
  <c r="E238" i="15"/>
  <c r="X238" i="15"/>
  <c r="N238" i="15"/>
  <c r="AF238" i="15"/>
  <c r="AG238" i="15"/>
  <c r="H227" i="20"/>
  <c r="R238" i="15"/>
  <c r="V238" i="15"/>
  <c r="I238" i="15"/>
  <c r="H238" i="15"/>
  <c r="O238" i="15"/>
  <c r="Y238" i="15"/>
  <c r="F238" i="15"/>
  <c r="AD238" i="15"/>
  <c r="C238" i="15"/>
  <c r="U238" i="15"/>
  <c r="G238" i="15"/>
  <c r="K238" i="15"/>
  <c r="X210" i="15"/>
  <c r="G220" i="15"/>
  <c r="L220" i="15"/>
  <c r="J220" i="15"/>
  <c r="AH220" i="15"/>
  <c r="Q220" i="15"/>
  <c r="AF220" i="15"/>
  <c r="AD220" i="15"/>
  <c r="Y220" i="15"/>
  <c r="E220" i="15"/>
  <c r="AE220" i="15"/>
  <c r="R220" i="15"/>
  <c r="I220" i="15"/>
  <c r="AE19" i="15"/>
  <c r="G19" i="15"/>
  <c r="X317" i="15"/>
  <c r="DL207" i="10"/>
  <c r="R19" i="15"/>
  <c r="AG18" i="15"/>
  <c r="F18" i="15"/>
  <c r="H8" i="20"/>
  <c r="I275" i="20"/>
  <c r="I260" i="20"/>
  <c r="K250" i="20"/>
  <c r="AB259" i="15"/>
  <c r="U259" i="15"/>
  <c r="L211" i="15"/>
  <c r="S322" i="15"/>
  <c r="DL178" i="10"/>
  <c r="DL293" i="10"/>
  <c r="DL295" i="10"/>
  <c r="DL133" i="10"/>
  <c r="DL331" i="10"/>
  <c r="DL237" i="10"/>
  <c r="F385" i="15"/>
  <c r="J210" i="15"/>
  <c r="O174" i="15"/>
  <c r="AA19" i="15"/>
  <c r="AI19" i="15"/>
  <c r="J272" i="20"/>
  <c r="I214" i="20"/>
  <c r="J260" i="20"/>
  <c r="M259" i="15"/>
  <c r="Z259" i="15"/>
  <c r="M211" i="15"/>
  <c r="DL389" i="10"/>
  <c r="DL244" i="10"/>
  <c r="DL246" i="10"/>
  <c r="DL179" i="10"/>
  <c r="DL232" i="10"/>
  <c r="DL164" i="10"/>
  <c r="AF385" i="15"/>
  <c r="AD95" i="15"/>
  <c r="K210" i="15"/>
  <c r="AF157" i="15"/>
  <c r="J157" i="15"/>
  <c r="G157" i="15"/>
  <c r="E157" i="15"/>
  <c r="T157" i="15"/>
  <c r="AI157" i="15"/>
  <c r="I157" i="15"/>
  <c r="H146" i="20"/>
  <c r="U157" i="15"/>
  <c r="P157" i="15"/>
  <c r="G174" i="15"/>
  <c r="O18" i="15"/>
  <c r="AI18" i="15"/>
  <c r="D19" i="15"/>
  <c r="X19" i="15"/>
  <c r="K272" i="20"/>
  <c r="K214" i="20"/>
  <c r="K129" i="20"/>
  <c r="I248" i="20"/>
  <c r="J209" i="20"/>
  <c r="AH259" i="15"/>
  <c r="AD259" i="15"/>
  <c r="J118" i="20"/>
  <c r="D257" i="15"/>
  <c r="U211" i="15"/>
  <c r="K322" i="15"/>
  <c r="DL254" i="10"/>
  <c r="DL195" i="10"/>
  <c r="DL148" i="10"/>
  <c r="DL370" i="10"/>
  <c r="DL165" i="10"/>
  <c r="DL377" i="10"/>
  <c r="R385" i="15"/>
  <c r="N250" i="15"/>
  <c r="J333" i="15"/>
  <c r="AH333" i="15"/>
  <c r="D333" i="15"/>
  <c r="AF333" i="15"/>
  <c r="V333" i="15"/>
  <c r="R333" i="15"/>
  <c r="F333" i="15"/>
  <c r="AB333" i="15"/>
  <c r="H322" i="20"/>
  <c r="C333" i="15"/>
  <c r="Y174" i="15"/>
  <c r="AB287" i="15"/>
  <c r="F287" i="15"/>
  <c r="AA287" i="15"/>
  <c r="N287" i="15"/>
  <c r="D287" i="15"/>
  <c r="M287" i="15"/>
  <c r="O287" i="15"/>
  <c r="L287" i="15"/>
  <c r="K287" i="15"/>
  <c r="I287" i="15"/>
  <c r="AD287" i="15"/>
  <c r="AF287" i="15"/>
  <c r="AC287" i="15"/>
  <c r="AG287" i="15"/>
  <c r="T287" i="15"/>
  <c r="R287" i="15"/>
  <c r="Q287" i="15"/>
  <c r="W287" i="15"/>
  <c r="J287" i="15"/>
  <c r="Y287" i="15"/>
  <c r="DL225" i="10"/>
  <c r="D385" i="15"/>
  <c r="H257" i="20"/>
  <c r="P210" i="15"/>
  <c r="Y210" i="15"/>
  <c r="D210" i="15"/>
  <c r="G210" i="15"/>
  <c r="M210" i="15"/>
  <c r="L210" i="15"/>
  <c r="Z210" i="15"/>
  <c r="AF210" i="15"/>
  <c r="AA210" i="15"/>
  <c r="H210" i="15"/>
  <c r="V210" i="15"/>
  <c r="U210" i="15"/>
  <c r="Q210" i="15"/>
  <c r="C210" i="15"/>
  <c r="AC210" i="15"/>
  <c r="E210" i="15"/>
  <c r="W210" i="15"/>
  <c r="I210" i="15"/>
  <c r="AE210" i="15"/>
  <c r="F210" i="15"/>
  <c r="N210" i="15"/>
  <c r="H199" i="20"/>
  <c r="AG210" i="15"/>
  <c r="T210" i="15"/>
  <c r="R210" i="15"/>
  <c r="AI210" i="15"/>
  <c r="AH210" i="15"/>
  <c r="JM23" i="10"/>
  <c r="H18" i="15"/>
  <c r="AH18" i="15"/>
  <c r="S19" i="15"/>
  <c r="J248" i="20"/>
  <c r="K209" i="20"/>
  <c r="K258" i="20"/>
  <c r="AF259" i="15"/>
  <c r="L259" i="15"/>
  <c r="I118" i="20"/>
  <c r="Z257" i="15"/>
  <c r="K211" i="15"/>
  <c r="AA322" i="15"/>
  <c r="C95" i="15"/>
  <c r="DL217" i="10"/>
  <c r="DL122" i="10"/>
  <c r="DL271" i="10"/>
  <c r="DL297" i="10"/>
  <c r="DL283" i="10"/>
  <c r="DL304" i="10"/>
  <c r="AE385" i="15"/>
  <c r="AD250" i="15"/>
  <c r="D95" i="15"/>
  <c r="AE174" i="15"/>
  <c r="DL265" i="10"/>
  <c r="J95" i="15"/>
  <c r="Y19" i="15"/>
  <c r="S18" i="15"/>
  <c r="R259" i="15"/>
  <c r="AB257" i="15"/>
  <c r="AA211" i="15"/>
  <c r="K317" i="15"/>
  <c r="AD322" i="15"/>
  <c r="DL384" i="10"/>
  <c r="DL335" i="10"/>
  <c r="DL222" i="10"/>
  <c r="DL248" i="10"/>
  <c r="DL160" i="10"/>
  <c r="DL158" i="10"/>
  <c r="AH385" i="15"/>
  <c r="H239" i="20"/>
  <c r="W174" i="15"/>
  <c r="G221" i="15"/>
  <c r="R221" i="15"/>
  <c r="X221" i="15"/>
  <c r="AH221" i="15"/>
  <c r="AC221" i="15"/>
  <c r="F221" i="15"/>
  <c r="Q221" i="15"/>
  <c r="U221" i="15"/>
  <c r="V221" i="15"/>
  <c r="Z221" i="15"/>
  <c r="AE221" i="15"/>
  <c r="T221" i="15"/>
  <c r="L221" i="15"/>
  <c r="E221" i="15"/>
  <c r="AA221" i="15"/>
  <c r="AD221" i="15"/>
  <c r="H221" i="15"/>
  <c r="S221" i="15"/>
  <c r="W221" i="15"/>
  <c r="Y221" i="15"/>
  <c r="K221" i="15"/>
  <c r="D221" i="15"/>
  <c r="C221" i="15"/>
  <c r="O221" i="15"/>
  <c r="AI221" i="15"/>
  <c r="AF221" i="15"/>
  <c r="M221" i="15"/>
  <c r="F117" i="15"/>
  <c r="Q117" i="15"/>
  <c r="J117" i="15"/>
  <c r="I117" i="15"/>
  <c r="K117" i="15"/>
  <c r="O117" i="15"/>
  <c r="AD117" i="15"/>
  <c r="P117" i="15"/>
  <c r="Y117" i="15"/>
  <c r="AF117" i="15"/>
  <c r="V117" i="15"/>
  <c r="X117" i="15"/>
  <c r="W117" i="15"/>
  <c r="M117" i="15"/>
  <c r="AB117" i="15"/>
  <c r="E117" i="15"/>
  <c r="L117" i="15"/>
  <c r="U117" i="15"/>
  <c r="AI117" i="15"/>
  <c r="AC117" i="15"/>
  <c r="R117" i="15"/>
  <c r="G117" i="15"/>
  <c r="AH117" i="15"/>
  <c r="C117" i="15"/>
  <c r="S117" i="15"/>
  <c r="N117" i="15"/>
  <c r="AA117" i="15"/>
  <c r="T117" i="15"/>
  <c r="H213" i="20"/>
  <c r="H103" i="20"/>
  <c r="W114" i="15"/>
  <c r="S114" i="15"/>
  <c r="G114" i="15"/>
  <c r="F114" i="15"/>
  <c r="AD114" i="15"/>
  <c r="U114" i="15"/>
  <c r="D114" i="15"/>
  <c r="T114" i="15"/>
  <c r="AC114" i="15"/>
  <c r="P114" i="15"/>
  <c r="M114" i="15"/>
  <c r="N114" i="15"/>
  <c r="I114" i="15"/>
  <c r="C137" i="15"/>
  <c r="J137" i="15"/>
  <c r="H137" i="15"/>
  <c r="R137" i="15"/>
  <c r="N137" i="15"/>
  <c r="AF137" i="15"/>
  <c r="H126" i="20"/>
  <c r="AC137" i="15"/>
  <c r="V137" i="15"/>
  <c r="X137" i="15"/>
  <c r="N347" i="15"/>
  <c r="I347" i="15"/>
  <c r="M347" i="15"/>
  <c r="Y347" i="15"/>
  <c r="Q347" i="15"/>
  <c r="W347" i="15"/>
  <c r="P347" i="15"/>
  <c r="R347" i="15"/>
  <c r="U347" i="15"/>
  <c r="AF347" i="15"/>
  <c r="I134" i="15"/>
  <c r="M134" i="15"/>
  <c r="D134" i="15"/>
  <c r="AI134" i="15"/>
  <c r="T134" i="15"/>
  <c r="AE134" i="15"/>
  <c r="C134" i="15"/>
  <c r="X134" i="15"/>
  <c r="F134" i="15"/>
  <c r="V134" i="15"/>
  <c r="H134" i="15"/>
  <c r="AG134" i="15"/>
  <c r="S134" i="15"/>
  <c r="AA134" i="15"/>
  <c r="I371" i="20"/>
  <c r="J371" i="20"/>
  <c r="J224" i="15"/>
  <c r="I77" i="15"/>
  <c r="AG77" i="15"/>
  <c r="AF77" i="15"/>
  <c r="U77" i="15"/>
  <c r="AB77" i="15"/>
  <c r="Z77" i="15"/>
  <c r="V77" i="15"/>
  <c r="AC77" i="15"/>
  <c r="T77" i="15"/>
  <c r="AE77" i="15"/>
  <c r="F77" i="15"/>
  <c r="S77" i="15"/>
  <c r="G77" i="15"/>
  <c r="R77" i="15"/>
  <c r="X77" i="15"/>
  <c r="N77" i="15"/>
  <c r="C77" i="15"/>
  <c r="AH77" i="15"/>
  <c r="D77" i="15"/>
  <c r="Y77" i="15"/>
  <c r="H77" i="15"/>
  <c r="M77" i="15"/>
  <c r="AA77" i="15"/>
  <c r="J77" i="15"/>
  <c r="E77" i="15"/>
  <c r="AI77" i="15"/>
  <c r="L77" i="15"/>
  <c r="W77" i="15"/>
  <c r="T93" i="15"/>
  <c r="W93" i="15"/>
  <c r="F93" i="15"/>
  <c r="U93" i="15"/>
  <c r="AB93" i="15"/>
  <c r="S93" i="15"/>
  <c r="C93" i="15"/>
  <c r="I93" i="15"/>
  <c r="O93" i="15"/>
  <c r="X93" i="15"/>
  <c r="K224" i="15"/>
  <c r="AB224" i="15"/>
  <c r="H224" i="15"/>
  <c r="T224" i="15"/>
  <c r="G224" i="15"/>
  <c r="S224" i="15"/>
  <c r="V224" i="15"/>
  <c r="F224" i="15"/>
  <c r="AE224" i="15"/>
  <c r="Z224" i="15"/>
  <c r="AC224" i="15"/>
  <c r="P224" i="15"/>
  <c r="Q224" i="15"/>
  <c r="E224" i="15"/>
  <c r="X224" i="15"/>
  <c r="L224" i="15"/>
  <c r="Y224" i="15"/>
  <c r="AI224" i="15"/>
  <c r="C224" i="15"/>
  <c r="AH224" i="15"/>
  <c r="D224" i="15"/>
  <c r="O224" i="15"/>
  <c r="M224" i="15"/>
  <c r="AB214" i="15"/>
  <c r="C214" i="15"/>
  <c r="H337" i="20"/>
  <c r="R348" i="15"/>
  <c r="J98" i="20"/>
  <c r="T378" i="15"/>
  <c r="AE378" i="15"/>
  <c r="F154" i="15"/>
  <c r="AG347" i="15"/>
  <c r="Z137" i="15"/>
  <c r="AG93" i="15"/>
  <c r="G93" i="15"/>
  <c r="L114" i="15"/>
  <c r="AC134" i="15"/>
  <c r="K73" i="15"/>
  <c r="G386" i="15"/>
  <c r="L386" i="15"/>
  <c r="X386" i="15"/>
  <c r="E386" i="15"/>
  <c r="D386" i="15"/>
  <c r="P386" i="15"/>
  <c r="M386" i="15"/>
  <c r="Z386" i="15"/>
  <c r="AF386" i="15"/>
  <c r="J386" i="15"/>
  <c r="I386" i="15"/>
  <c r="F386" i="15"/>
  <c r="O386" i="15"/>
  <c r="AD386" i="15"/>
  <c r="AC386" i="15"/>
  <c r="H386" i="15"/>
  <c r="AI386" i="15"/>
  <c r="H375" i="20"/>
  <c r="U386" i="15"/>
  <c r="T386" i="15"/>
  <c r="Q386" i="15"/>
  <c r="S386" i="15"/>
  <c r="AE386" i="15"/>
  <c r="R386" i="15"/>
  <c r="T306" i="15"/>
  <c r="AH306" i="15"/>
  <c r="AA306" i="15"/>
  <c r="E306" i="15"/>
  <c r="P306" i="15"/>
  <c r="O306" i="15"/>
  <c r="S306" i="15"/>
  <c r="Q306" i="15"/>
  <c r="AD306" i="15"/>
  <c r="G306" i="15"/>
  <c r="U306" i="15"/>
  <c r="Z306" i="15"/>
  <c r="C306" i="15"/>
  <c r="M306" i="15"/>
  <c r="H295" i="20"/>
  <c r="AF306" i="15"/>
  <c r="D306" i="15"/>
  <c r="R306" i="15"/>
  <c r="K346" i="20"/>
  <c r="I346" i="20"/>
  <c r="Z73" i="15"/>
  <c r="Q316" i="15"/>
  <c r="Z316" i="15"/>
  <c r="F316" i="15"/>
  <c r="T316" i="15"/>
  <c r="AB316" i="15"/>
  <c r="U316" i="15"/>
  <c r="AD316" i="15"/>
  <c r="AC316" i="15"/>
  <c r="G316" i="15"/>
  <c r="D316" i="15"/>
  <c r="AA316" i="15"/>
  <c r="S316" i="15"/>
  <c r="X316" i="15"/>
  <c r="E316" i="15"/>
  <c r="AE316" i="15"/>
  <c r="W316" i="15"/>
  <c r="AG316" i="15"/>
  <c r="P316" i="15"/>
  <c r="K316" i="15"/>
  <c r="N316" i="15"/>
  <c r="H316" i="15"/>
  <c r="AH316" i="15"/>
  <c r="Y316" i="15"/>
  <c r="C316" i="15"/>
  <c r="T214" i="15"/>
  <c r="K214" i="15"/>
  <c r="M348" i="15"/>
  <c r="AE348" i="15"/>
  <c r="K320" i="20"/>
  <c r="Z378" i="15"/>
  <c r="AG378" i="15"/>
  <c r="T154" i="15"/>
  <c r="T347" i="15"/>
  <c r="AE137" i="15"/>
  <c r="Y93" i="15"/>
  <c r="V93" i="15"/>
  <c r="AF114" i="15"/>
  <c r="Q114" i="15"/>
  <c r="K134" i="15"/>
  <c r="O73" i="15"/>
  <c r="K99" i="15"/>
  <c r="M99" i="15"/>
  <c r="G99" i="15"/>
  <c r="W99" i="15"/>
  <c r="I99" i="15"/>
  <c r="AH99" i="15"/>
  <c r="AC99" i="15"/>
  <c r="Z99" i="15"/>
  <c r="E99" i="15"/>
  <c r="D99" i="15"/>
  <c r="O99" i="15"/>
  <c r="H88" i="20"/>
  <c r="U99" i="15"/>
  <c r="S99" i="15"/>
  <c r="AF99" i="15"/>
  <c r="H99" i="15"/>
  <c r="Y99" i="15"/>
  <c r="AD99" i="15"/>
  <c r="T99" i="15"/>
  <c r="E73" i="15"/>
  <c r="H203" i="20"/>
  <c r="V214" i="15"/>
  <c r="Z348" i="15"/>
  <c r="AF348" i="15"/>
  <c r="W378" i="15"/>
  <c r="Y378" i="15"/>
  <c r="AH154" i="15"/>
  <c r="AB154" i="15"/>
  <c r="AB347" i="15"/>
  <c r="D347" i="15"/>
  <c r="U137" i="15"/>
  <c r="N93" i="15"/>
  <c r="AA93" i="15"/>
  <c r="AE114" i="15"/>
  <c r="O114" i="15"/>
  <c r="Z134" i="15"/>
  <c r="U312" i="15"/>
  <c r="V312" i="15"/>
  <c r="R224" i="15"/>
  <c r="A252" i="15"/>
  <c r="JM258" i="10"/>
  <c r="AA129" i="15"/>
  <c r="AI129" i="15"/>
  <c r="Z129" i="15"/>
  <c r="Y129" i="15"/>
  <c r="P129" i="15"/>
  <c r="AG129" i="15"/>
  <c r="AB129" i="15"/>
  <c r="Q129" i="15"/>
  <c r="K129" i="15"/>
  <c r="F129" i="15"/>
  <c r="N129" i="15"/>
  <c r="R129" i="15"/>
  <c r="AD129" i="15"/>
  <c r="A243" i="15"/>
  <c r="JM249" i="10"/>
  <c r="JM266" i="10"/>
  <c r="A260" i="15"/>
  <c r="K77" i="15"/>
  <c r="W224" i="15"/>
  <c r="JM140" i="10"/>
  <c r="J277" i="20"/>
  <c r="I277" i="20"/>
  <c r="K277" i="20"/>
  <c r="D73" i="15"/>
  <c r="T73" i="15"/>
  <c r="AA73" i="15"/>
  <c r="I73" i="15"/>
  <c r="AG73" i="15"/>
  <c r="Q73" i="15"/>
  <c r="AC73" i="15"/>
  <c r="AI73" i="15"/>
  <c r="N73" i="15"/>
  <c r="Y73" i="15"/>
  <c r="G73" i="15"/>
  <c r="V73" i="15"/>
  <c r="S73" i="15"/>
  <c r="AD73" i="15"/>
  <c r="M73" i="15"/>
  <c r="L73" i="15"/>
  <c r="F73" i="15"/>
  <c r="W73" i="15"/>
  <c r="H73" i="15"/>
  <c r="AF73" i="15"/>
  <c r="AH73" i="15"/>
  <c r="J216" i="20"/>
  <c r="Z214" i="15"/>
  <c r="L214" i="15"/>
  <c r="V348" i="15"/>
  <c r="AC348" i="15"/>
  <c r="N378" i="15"/>
  <c r="AB378" i="15"/>
  <c r="AE154" i="15"/>
  <c r="O154" i="15"/>
  <c r="AE347" i="15"/>
  <c r="G347" i="15"/>
  <c r="AD137" i="15"/>
  <c r="AI93" i="15"/>
  <c r="H93" i="15"/>
  <c r="Y114" i="15"/>
  <c r="U134" i="15"/>
  <c r="J73" i="15"/>
  <c r="AA224" i="15"/>
  <c r="V138" i="15"/>
  <c r="Y138" i="15"/>
  <c r="AC138" i="15"/>
  <c r="AH138" i="15"/>
  <c r="F138" i="15"/>
  <c r="X138" i="15"/>
  <c r="C138" i="15"/>
  <c r="M138" i="15"/>
  <c r="O138" i="15"/>
  <c r="K138" i="15"/>
  <c r="AA138" i="15"/>
  <c r="J138" i="15"/>
  <c r="G138" i="15"/>
  <c r="U138" i="15"/>
  <c r="S326" i="15"/>
  <c r="C326" i="15"/>
  <c r="F326" i="15"/>
  <c r="P326" i="15"/>
  <c r="R326" i="15"/>
  <c r="AD326" i="15"/>
  <c r="T326" i="15"/>
  <c r="AA326" i="15"/>
  <c r="M326" i="15"/>
  <c r="K326" i="15"/>
  <c r="N326" i="15"/>
  <c r="AB326" i="15"/>
  <c r="I326" i="15"/>
  <c r="E326" i="15"/>
  <c r="D326" i="15"/>
  <c r="G326" i="15"/>
  <c r="AH326" i="15"/>
  <c r="H326" i="15"/>
  <c r="X326" i="15"/>
  <c r="AF326" i="15"/>
  <c r="AE326" i="15"/>
  <c r="O326" i="15"/>
  <c r="K216" i="20"/>
  <c r="H214" i="15"/>
  <c r="Q214" i="15"/>
  <c r="K348" i="15"/>
  <c r="D348" i="15"/>
  <c r="L378" i="15"/>
  <c r="R378" i="15"/>
  <c r="X154" i="15"/>
  <c r="D154" i="15"/>
  <c r="A352" i="15"/>
  <c r="AH347" i="15"/>
  <c r="C347" i="15"/>
  <c r="E137" i="15"/>
  <c r="R93" i="15"/>
  <c r="P93" i="15"/>
  <c r="AA114" i="15"/>
  <c r="N134" i="15"/>
  <c r="O134" i="15"/>
  <c r="P73" i="15"/>
  <c r="AD224" i="15"/>
  <c r="M214" i="15"/>
  <c r="W154" i="15"/>
  <c r="X347" i="15"/>
  <c r="AC347" i="15"/>
  <c r="AA137" i="15"/>
  <c r="D93" i="15"/>
  <c r="AH114" i="15"/>
  <c r="R134" i="15"/>
  <c r="H123" i="20"/>
  <c r="C73" i="15"/>
  <c r="AF224" i="15"/>
  <c r="M376" i="15"/>
  <c r="R376" i="15"/>
  <c r="AI376" i="15"/>
  <c r="X376" i="15"/>
  <c r="D376" i="15"/>
  <c r="U376" i="15"/>
  <c r="Q376" i="15"/>
  <c r="W376" i="15"/>
  <c r="AG376" i="15"/>
  <c r="J376" i="15"/>
  <c r="AC376" i="15"/>
  <c r="I376" i="15"/>
  <c r="U353" i="15"/>
  <c r="C353" i="15"/>
  <c r="AD353" i="15"/>
  <c r="R353" i="15"/>
  <c r="M353" i="15"/>
  <c r="V353" i="15"/>
  <c r="N353" i="15"/>
  <c r="H353" i="15"/>
  <c r="T353" i="15"/>
  <c r="O353" i="15"/>
  <c r="Z353" i="15"/>
  <c r="L353" i="15"/>
  <c r="G353" i="15"/>
  <c r="K371" i="20"/>
  <c r="AB187" i="15"/>
  <c r="AI187" i="15"/>
  <c r="H187" i="15"/>
  <c r="AE187" i="15"/>
  <c r="D187" i="15"/>
  <c r="M187" i="15"/>
  <c r="V187" i="15"/>
  <c r="L187" i="15"/>
  <c r="Y187" i="15"/>
  <c r="F187" i="15"/>
  <c r="AH187" i="15"/>
  <c r="J187" i="15"/>
  <c r="O187" i="15"/>
  <c r="N187" i="15"/>
  <c r="AF187" i="15"/>
  <c r="T187" i="15"/>
  <c r="K187" i="15"/>
  <c r="Z187" i="15"/>
  <c r="H66" i="20"/>
  <c r="D305" i="15"/>
  <c r="G305" i="15"/>
  <c r="AI305" i="15"/>
  <c r="AG305" i="15"/>
  <c r="M305" i="15"/>
  <c r="L305" i="15"/>
  <c r="O305" i="15"/>
  <c r="J305" i="15"/>
  <c r="U305" i="15"/>
  <c r="C232" i="15"/>
  <c r="T232" i="15"/>
  <c r="H221" i="20"/>
  <c r="N232" i="15"/>
  <c r="F232" i="15"/>
  <c r="AE232" i="15"/>
  <c r="Z232" i="15"/>
  <c r="D232" i="15"/>
  <c r="M351" i="15"/>
  <c r="U351" i="15"/>
  <c r="H340" i="20"/>
  <c r="J351" i="15"/>
  <c r="T351" i="15"/>
  <c r="AC351" i="15"/>
  <c r="AE351" i="15"/>
  <c r="D351" i="15"/>
  <c r="Q351" i="15"/>
  <c r="P351" i="15"/>
  <c r="AG351" i="15"/>
  <c r="C351" i="15"/>
  <c r="F351" i="15"/>
  <c r="AF351" i="15"/>
  <c r="X351" i="15"/>
  <c r="Y351" i="15"/>
  <c r="N351" i="15"/>
  <c r="V351" i="15"/>
  <c r="JM246" i="10"/>
  <c r="A240" i="15"/>
  <c r="M285" i="15"/>
  <c r="AD285" i="15"/>
  <c r="AH285" i="15"/>
  <c r="H274" i="20"/>
  <c r="Y285" i="15"/>
  <c r="N285" i="15"/>
  <c r="O285" i="15"/>
  <c r="X285" i="15"/>
  <c r="D285" i="15"/>
  <c r="L285" i="15"/>
  <c r="V285" i="15"/>
  <c r="W285" i="15"/>
  <c r="S285" i="15"/>
  <c r="C49" i="15"/>
  <c r="I49" i="15"/>
  <c r="H49" i="15"/>
  <c r="AF49" i="15"/>
  <c r="AH49" i="15"/>
  <c r="AE49" i="15"/>
  <c r="Z49" i="15"/>
  <c r="T49" i="15"/>
  <c r="Q150" i="15"/>
  <c r="X150" i="15"/>
  <c r="AB150" i="15"/>
  <c r="AG150" i="15"/>
  <c r="D150" i="15"/>
  <c r="L150" i="15"/>
  <c r="P150" i="15"/>
  <c r="AD303" i="15"/>
  <c r="N303" i="15"/>
  <c r="C303" i="15"/>
  <c r="U303" i="15"/>
  <c r="Z303" i="15"/>
  <c r="K77" i="20"/>
  <c r="I77" i="20"/>
  <c r="J77" i="20"/>
  <c r="R158" i="15"/>
  <c r="AB158" i="15"/>
  <c r="I158" i="15"/>
  <c r="U158" i="15"/>
  <c r="Q158" i="15"/>
  <c r="C158" i="15"/>
  <c r="V158" i="15"/>
  <c r="K158" i="15"/>
  <c r="T158" i="15"/>
  <c r="M158" i="15"/>
  <c r="L158" i="15"/>
  <c r="AI158" i="15"/>
  <c r="J152" i="20"/>
  <c r="I152" i="20"/>
  <c r="K152" i="20"/>
  <c r="U169" i="15"/>
  <c r="AB169" i="15"/>
  <c r="AI169" i="15"/>
  <c r="AA169" i="15"/>
  <c r="D169" i="15"/>
  <c r="AG169" i="15"/>
  <c r="T169" i="15"/>
  <c r="L169" i="15"/>
  <c r="F169" i="15"/>
  <c r="AC169" i="15"/>
  <c r="N169" i="15"/>
  <c r="AE169" i="15"/>
  <c r="AG299" i="15"/>
  <c r="E299" i="15"/>
  <c r="P299" i="15"/>
  <c r="J299" i="15"/>
  <c r="H330" i="15"/>
  <c r="O330" i="15"/>
  <c r="AC330" i="15"/>
  <c r="E330" i="15"/>
  <c r="AI330" i="15"/>
  <c r="C330" i="15"/>
  <c r="Y330" i="15"/>
  <c r="Q330" i="15"/>
  <c r="H319" i="20"/>
  <c r="AA66" i="15"/>
  <c r="AD66" i="15"/>
  <c r="Q349" i="15"/>
  <c r="M349" i="15"/>
  <c r="L349" i="15"/>
  <c r="H338" i="20"/>
  <c r="G349" i="15"/>
  <c r="Y349" i="15"/>
  <c r="V349" i="15"/>
  <c r="K349" i="15"/>
  <c r="R349" i="15"/>
  <c r="C349" i="15"/>
  <c r="F349" i="15"/>
  <c r="AI349" i="15"/>
  <c r="F264" i="15"/>
  <c r="M264" i="15"/>
  <c r="H253" i="20"/>
  <c r="AD264" i="15"/>
  <c r="N314" i="15"/>
  <c r="M314" i="15"/>
  <c r="R314" i="15"/>
  <c r="D67" i="15"/>
  <c r="L67" i="15"/>
  <c r="AG67" i="15"/>
  <c r="N349" i="15"/>
  <c r="AD309" i="15"/>
  <c r="D309" i="15"/>
  <c r="V309" i="15"/>
  <c r="N309" i="15"/>
  <c r="M309" i="15"/>
  <c r="JM203" i="10"/>
  <c r="A197" i="15"/>
  <c r="P166" i="15"/>
  <c r="S123" i="15"/>
  <c r="AB123" i="15"/>
  <c r="Z63" i="15"/>
  <c r="R63" i="15"/>
  <c r="E63" i="15"/>
  <c r="T63" i="15"/>
  <c r="AC355" i="15"/>
  <c r="O355" i="15"/>
  <c r="E355" i="15"/>
  <c r="H355" i="15"/>
  <c r="K355" i="15"/>
  <c r="R355" i="15"/>
  <c r="J355" i="15"/>
  <c r="X355" i="15"/>
  <c r="U355" i="15"/>
  <c r="Z355" i="15"/>
  <c r="S355" i="15"/>
  <c r="AA355" i="15"/>
  <c r="W355" i="15"/>
  <c r="Q355" i="15"/>
  <c r="C200" i="15"/>
  <c r="Q200" i="15"/>
  <c r="AA200" i="15"/>
  <c r="AI200" i="15"/>
  <c r="D200" i="15"/>
  <c r="V200" i="15"/>
  <c r="N200" i="15"/>
  <c r="E200" i="15"/>
  <c r="T200" i="15"/>
  <c r="U166" i="15"/>
  <c r="AB166" i="15"/>
  <c r="Q166" i="15"/>
  <c r="D166" i="15"/>
  <c r="AG166" i="15"/>
  <c r="J166" i="15"/>
  <c r="O166" i="15"/>
  <c r="F166" i="15"/>
  <c r="Z166" i="15"/>
  <c r="L166" i="15"/>
  <c r="AA166" i="15"/>
  <c r="AD166" i="15"/>
  <c r="E166" i="15"/>
  <c r="N166" i="15"/>
  <c r="K166" i="15"/>
  <c r="G166" i="15"/>
  <c r="S166" i="15"/>
  <c r="W166" i="15"/>
  <c r="AE166" i="15"/>
  <c r="P349" i="15"/>
  <c r="R48" i="15"/>
  <c r="AA48" i="15"/>
  <c r="F48" i="15"/>
  <c r="F202" i="15"/>
  <c r="Z202" i="15"/>
  <c r="AB202" i="15"/>
  <c r="AH202" i="15"/>
  <c r="F324" i="15"/>
  <c r="M324" i="15"/>
  <c r="P324" i="15"/>
  <c r="AA324" i="15"/>
  <c r="G324" i="15"/>
  <c r="Q324" i="15"/>
  <c r="H324" i="15"/>
  <c r="J324" i="15"/>
  <c r="V324" i="15"/>
  <c r="Z324" i="15"/>
  <c r="U324" i="15"/>
  <c r="E324" i="15"/>
  <c r="AB324" i="15"/>
  <c r="I324" i="15"/>
  <c r="AI324" i="15"/>
  <c r="AD324" i="15"/>
  <c r="N324" i="15"/>
  <c r="S324" i="15"/>
  <c r="DP180" i="10"/>
  <c r="DN180" i="10" s="1"/>
  <c r="DO180" i="10" s="1"/>
  <c r="DM180" i="10"/>
  <c r="DP136" i="10"/>
  <c r="DN136" i="10" s="1"/>
  <c r="DO136" i="10" s="1"/>
  <c r="DM136" i="10"/>
  <c r="F330" i="15"/>
  <c r="AD330" i="15"/>
  <c r="H264" i="15"/>
  <c r="Q123" i="15"/>
  <c r="AG357" i="15"/>
  <c r="J357" i="15"/>
  <c r="R357" i="15"/>
  <c r="V357" i="15"/>
  <c r="I357" i="15"/>
  <c r="X357" i="15"/>
  <c r="M357" i="15"/>
  <c r="AA357" i="15"/>
  <c r="O357" i="15"/>
  <c r="AC357" i="15"/>
  <c r="F357" i="15"/>
  <c r="H360" i="15"/>
  <c r="T360" i="15"/>
  <c r="Q360" i="15"/>
  <c r="AG360" i="15"/>
  <c r="AD360" i="15"/>
  <c r="M360" i="15"/>
  <c r="C360" i="15"/>
  <c r="AF360" i="15"/>
  <c r="S360" i="15"/>
  <c r="AE360" i="15"/>
  <c r="F360" i="15"/>
  <c r="AB35" i="15"/>
  <c r="G35" i="15"/>
  <c r="D35" i="15"/>
  <c r="AG35" i="15"/>
  <c r="X35" i="15"/>
  <c r="Z35" i="15"/>
  <c r="M35" i="15"/>
  <c r="J35" i="15"/>
  <c r="P35" i="15"/>
  <c r="AF35" i="15"/>
  <c r="H24" i="20"/>
  <c r="DM282" i="10"/>
  <c r="DP282" i="10"/>
  <c r="DN282" i="10" s="1"/>
  <c r="DO282" i="10" s="1"/>
  <c r="JM269" i="10"/>
  <c r="I61" i="20"/>
  <c r="K61" i="20"/>
  <c r="GI35" i="10"/>
  <c r="AT35" i="10" s="1"/>
  <c r="BN35" i="10"/>
  <c r="GI137" i="10"/>
  <c r="AT137" i="10" s="1"/>
  <c r="BN137" i="10"/>
  <c r="H31" i="15"/>
  <c r="I31" i="15"/>
  <c r="AA31" i="15"/>
  <c r="O31" i="15"/>
  <c r="E31" i="15"/>
  <c r="AC31" i="15"/>
  <c r="Q31" i="15"/>
  <c r="AI31" i="15"/>
  <c r="H20" i="20"/>
  <c r="DM117" i="10"/>
  <c r="DP117" i="10"/>
  <c r="DN117" i="10" s="1"/>
  <c r="DO117" i="10" s="1"/>
  <c r="AI37" i="15"/>
  <c r="AG37" i="15"/>
  <c r="K37" i="15"/>
  <c r="AA126" i="15"/>
  <c r="K126" i="15"/>
  <c r="Q126" i="15"/>
  <c r="X126" i="15"/>
  <c r="AF126" i="15"/>
  <c r="F126" i="15"/>
  <c r="J126" i="15"/>
  <c r="D126" i="15"/>
  <c r="A205" i="15"/>
  <c r="JM211" i="10"/>
  <c r="AA69" i="15"/>
  <c r="L69" i="15"/>
  <c r="S265" i="15"/>
  <c r="D265" i="15"/>
  <c r="Q265" i="15"/>
  <c r="T265" i="15"/>
  <c r="W265" i="15"/>
  <c r="G265" i="15"/>
  <c r="D26" i="15"/>
  <c r="AI26" i="15"/>
  <c r="AD26" i="15"/>
  <c r="AA26" i="15"/>
  <c r="K26" i="15"/>
  <c r="C26" i="15"/>
  <c r="V26" i="15"/>
  <c r="Z26" i="15"/>
  <c r="U26" i="15"/>
  <c r="AB184" i="15"/>
  <c r="P184" i="15"/>
  <c r="V184" i="15"/>
  <c r="AH184" i="15"/>
  <c r="Y184" i="15"/>
  <c r="U184" i="15"/>
  <c r="DP228" i="10"/>
  <c r="DN228" i="10" s="1"/>
  <c r="DO228" i="10" s="1"/>
  <c r="DM228" i="10"/>
  <c r="K31" i="15"/>
  <c r="C185" i="15"/>
  <c r="AF69" i="15"/>
  <c r="X50" i="15"/>
  <c r="AC50" i="15"/>
  <c r="P50" i="15"/>
  <c r="O167" i="15"/>
  <c r="F167" i="15"/>
  <c r="K167" i="15"/>
  <c r="J167" i="15"/>
  <c r="Z167" i="15"/>
  <c r="AH167" i="15"/>
  <c r="C167" i="15"/>
  <c r="AI167" i="15"/>
  <c r="R31" i="15"/>
  <c r="H69" i="15"/>
  <c r="G222" i="15"/>
  <c r="AH222" i="15"/>
  <c r="N222" i="15"/>
  <c r="Y222" i="15"/>
  <c r="L222" i="15"/>
  <c r="R69" i="15"/>
  <c r="AI69" i="15"/>
  <c r="V69" i="15"/>
  <c r="C69" i="15"/>
  <c r="H58" i="20"/>
  <c r="AE69" i="15"/>
  <c r="D69" i="15"/>
  <c r="AG69" i="15"/>
  <c r="AD69" i="15"/>
  <c r="T69" i="15"/>
  <c r="F69" i="15"/>
  <c r="Z69" i="15"/>
  <c r="AB69" i="15"/>
  <c r="AC69" i="15"/>
  <c r="X42" i="15"/>
  <c r="P42" i="15"/>
  <c r="V42" i="15"/>
  <c r="I42" i="15"/>
  <c r="D42" i="15"/>
  <c r="G42" i="15"/>
  <c r="Z42" i="15"/>
  <c r="AD42" i="15"/>
  <c r="Q42" i="15"/>
  <c r="N42" i="15"/>
  <c r="AI42" i="15"/>
  <c r="DP360" i="10"/>
  <c r="DN360" i="10" s="1"/>
  <c r="DO360" i="10" s="1"/>
  <c r="DM360" i="10"/>
  <c r="AC87" i="15"/>
  <c r="T87" i="15"/>
  <c r="W87" i="15"/>
  <c r="N87" i="15"/>
  <c r="AE87" i="15"/>
  <c r="J87" i="15"/>
  <c r="AD87" i="15"/>
  <c r="Q87" i="15"/>
  <c r="AI87" i="15"/>
  <c r="A39" i="15"/>
  <c r="JM45" i="10"/>
  <c r="D280" i="15"/>
  <c r="L280" i="15"/>
  <c r="P280" i="15"/>
  <c r="AG280" i="15"/>
  <c r="R280" i="15"/>
  <c r="AC280" i="15"/>
  <c r="N280" i="15"/>
  <c r="Z280" i="15"/>
  <c r="K280" i="15"/>
  <c r="Z87" i="15"/>
  <c r="P361" i="15"/>
  <c r="G298" i="15"/>
  <c r="AD329" i="15"/>
  <c r="AG329" i="15"/>
  <c r="AF280" i="15"/>
  <c r="J280" i="15"/>
  <c r="AI112" i="15"/>
  <c r="I112" i="15"/>
  <c r="V112" i="15"/>
  <c r="H112" i="15"/>
  <c r="D273" i="15"/>
  <c r="H262" i="20"/>
  <c r="H294" i="15"/>
  <c r="D294" i="15"/>
  <c r="Q294" i="15"/>
  <c r="D235" i="15"/>
  <c r="AB235" i="15"/>
  <c r="H235" i="15"/>
  <c r="I235" i="15"/>
  <c r="AA235" i="15"/>
  <c r="I87" i="15"/>
  <c r="E345" i="15"/>
  <c r="J345" i="15"/>
  <c r="AG345" i="15"/>
  <c r="DM324" i="10"/>
  <c r="DP324" i="10"/>
  <c r="DN324" i="10" s="1"/>
  <c r="DO324" i="10" s="1"/>
  <c r="Q86" i="15"/>
  <c r="AG86" i="15"/>
  <c r="N86" i="15"/>
  <c r="P87" i="15"/>
  <c r="M147" i="15"/>
  <c r="L147" i="15"/>
  <c r="G147" i="15"/>
  <c r="AA147" i="15"/>
  <c r="AD147" i="15"/>
  <c r="P147" i="15"/>
  <c r="I298" i="15"/>
  <c r="AB147" i="15"/>
  <c r="AA86" i="15"/>
  <c r="L87" i="15"/>
  <c r="O280" i="15"/>
  <c r="DM289" i="10"/>
  <c r="DP289" i="10"/>
  <c r="DN289" i="10" s="1"/>
  <c r="DO289" i="10" s="1"/>
  <c r="DM105" i="10"/>
  <c r="DP105" i="10"/>
  <c r="DN105" i="10" s="1"/>
  <c r="DO105" i="10" s="1"/>
  <c r="AE33" i="15"/>
  <c r="AD33" i="15"/>
  <c r="U33" i="15"/>
  <c r="N33" i="15"/>
  <c r="W33" i="15"/>
  <c r="L370" i="15"/>
  <c r="S370" i="15"/>
  <c r="AD370" i="15"/>
  <c r="L28" i="15"/>
  <c r="T28" i="15"/>
  <c r="DM169" i="10"/>
  <c r="DP169" i="10"/>
  <c r="DN169" i="10" s="1"/>
  <c r="DO169" i="10" s="1"/>
  <c r="DP322" i="10"/>
  <c r="DN322" i="10" s="1"/>
  <c r="DO322" i="10" s="1"/>
  <c r="DM322" i="10"/>
  <c r="AG163" i="15"/>
  <c r="E163" i="15"/>
  <c r="BN287" i="10"/>
  <c r="GI287" i="10"/>
  <c r="AT287" i="10" s="1"/>
  <c r="E276" i="15"/>
  <c r="J276" i="15"/>
  <c r="D276" i="15"/>
  <c r="AH163" i="15"/>
  <c r="O41" i="15"/>
  <c r="AD41" i="15"/>
  <c r="AE41" i="15"/>
  <c r="W41" i="15"/>
  <c r="D41" i="15"/>
  <c r="AC41" i="15"/>
  <c r="H30" i="20"/>
  <c r="G41" i="15"/>
  <c r="AC102" i="15"/>
  <c r="W102" i="15"/>
  <c r="AF102" i="15"/>
  <c r="AH102" i="15"/>
  <c r="AA102" i="15"/>
  <c r="N102" i="15"/>
  <c r="M102" i="15"/>
  <c r="AB102" i="15"/>
  <c r="H91" i="20"/>
  <c r="DM179" i="10"/>
  <c r="DP179" i="10"/>
  <c r="DN179" i="10" s="1"/>
  <c r="DO179" i="10" s="1"/>
  <c r="A38" i="15"/>
  <c r="JM44" i="10"/>
  <c r="GI49" i="10"/>
  <c r="AT49" i="10" s="1"/>
  <c r="BN49" i="10"/>
  <c r="I165" i="15"/>
  <c r="E165" i="15"/>
  <c r="Q165" i="15"/>
  <c r="AF165" i="15"/>
  <c r="Y165" i="15"/>
  <c r="L165" i="15"/>
  <c r="P165" i="15"/>
  <c r="J165" i="15"/>
  <c r="AG165" i="15"/>
  <c r="AB199" i="15"/>
  <c r="D199" i="15"/>
  <c r="R199" i="15"/>
  <c r="Y199" i="15"/>
  <c r="AC199" i="15"/>
  <c r="H188" i="20"/>
  <c r="C199" i="15"/>
  <c r="N382" i="15"/>
  <c r="E382" i="15"/>
  <c r="W382" i="15"/>
  <c r="V382" i="15"/>
  <c r="X382" i="15"/>
  <c r="A40" i="15"/>
  <c r="JM46" i="10"/>
  <c r="BN89" i="10"/>
  <c r="GI89" i="10"/>
  <c r="AT89" i="10" s="1"/>
  <c r="BN100" i="10"/>
  <c r="JM70" i="10"/>
  <c r="A64" i="15"/>
  <c r="AB165" i="15"/>
  <c r="AF382" i="15"/>
  <c r="DP94" i="10"/>
  <c r="DN94" i="10" s="1"/>
  <c r="DO94" i="10" s="1"/>
  <c r="DM94" i="10"/>
  <c r="BN98" i="10"/>
  <c r="G165" i="15"/>
  <c r="DP212" i="10"/>
  <c r="DN212" i="10" s="1"/>
  <c r="DO212" i="10" s="1"/>
  <c r="DM212" i="10"/>
  <c r="DM188" i="10"/>
  <c r="DP104" i="10"/>
  <c r="DN104" i="10" s="1"/>
  <c r="DO104" i="10" s="1"/>
  <c r="DM104" i="10"/>
  <c r="DP69" i="10"/>
  <c r="DN69" i="10" s="1"/>
  <c r="DO69" i="10" s="1"/>
  <c r="DM69" i="10"/>
  <c r="GI46" i="10"/>
  <c r="AT46" i="10" s="1"/>
  <c r="JM82" i="10"/>
  <c r="A76" i="15"/>
  <c r="GI31" i="10"/>
  <c r="AT31" i="10" s="1"/>
  <c r="W182" i="15"/>
  <c r="AG182" i="15"/>
  <c r="DP87" i="10"/>
  <c r="DN87" i="10" s="1"/>
  <c r="DO87" i="10" s="1"/>
  <c r="DM87" i="10"/>
  <c r="GI78" i="10"/>
  <c r="AT78" i="10" s="1"/>
  <c r="GI44" i="10"/>
  <c r="AT44" i="10" s="1"/>
  <c r="DP122" i="10"/>
  <c r="DN122" i="10" s="1"/>
  <c r="DO122" i="10" s="1"/>
  <c r="C36" i="15"/>
  <c r="DP45" i="10"/>
  <c r="DN45" i="10" s="1"/>
  <c r="DO45" i="10" s="1"/>
  <c r="AG36" i="15"/>
  <c r="N36" i="15"/>
  <c r="DP288" i="10"/>
  <c r="DN288" i="10" s="1"/>
  <c r="DO288" i="10" s="1"/>
  <c r="DM58" i="10"/>
  <c r="DM93" i="10"/>
  <c r="DP93" i="10"/>
  <c r="DN93" i="10" s="1"/>
  <c r="DO93" i="10" s="1"/>
  <c r="AH90" i="15"/>
  <c r="R90" i="15"/>
  <c r="A233" i="15"/>
  <c r="GI81" i="10"/>
  <c r="AT81" i="10" s="1"/>
  <c r="A354" i="15"/>
  <c r="GI299" i="10"/>
  <c r="AT299" i="10" s="1"/>
  <c r="BN299" i="10"/>
  <c r="GI56" i="10"/>
  <c r="AT56" i="10" s="1"/>
  <c r="BN165" i="10"/>
  <c r="DM103" i="10"/>
  <c r="M367" i="15"/>
  <c r="Z367" i="15"/>
  <c r="BN80" i="10"/>
  <c r="BN126" i="10"/>
  <c r="JM327" i="10"/>
  <c r="A321" i="15"/>
  <c r="GI73" i="10"/>
  <c r="AT73" i="10" s="1"/>
  <c r="GI74" i="10"/>
  <c r="AT74" i="10" s="1"/>
  <c r="GI327" i="10"/>
  <c r="AT327" i="10" s="1"/>
  <c r="GS48" i="10"/>
  <c r="BY60" i="10"/>
  <c r="DB381" i="10"/>
  <c r="DF63" i="10"/>
  <c r="DB185" i="10"/>
  <c r="DF40" i="10"/>
  <c r="BY110" i="10"/>
  <c r="DB347" i="10"/>
  <c r="DB249" i="10"/>
  <c r="DF75" i="10"/>
  <c r="DB304" i="10"/>
  <c r="DB60" i="10"/>
  <c r="GS113" i="10"/>
  <c r="BY36" i="10"/>
  <c r="GS34" i="10"/>
  <c r="DB339" i="10"/>
  <c r="DF87" i="10"/>
  <c r="DB308" i="10"/>
  <c r="DW28" i="10"/>
  <c r="DF84" i="10"/>
  <c r="DB86" i="10"/>
  <c r="DB90" i="10"/>
  <c r="BY56" i="10"/>
  <c r="DB235" i="10"/>
  <c r="DS99" i="10"/>
  <c r="GS83" i="10"/>
  <c r="DB300" i="10"/>
  <c r="DS61" i="10"/>
  <c r="DF113" i="10"/>
  <c r="DW55" i="10"/>
  <c r="DF198" i="10"/>
  <c r="DF132" i="10"/>
  <c r="GR58" i="10"/>
  <c r="DF335" i="10"/>
  <c r="GS47" i="10"/>
  <c r="DW126" i="10"/>
  <c r="DB211" i="10"/>
  <c r="DS108" i="10"/>
  <c r="DF124" i="10"/>
  <c r="DB164" i="10"/>
  <c r="DR136" i="10"/>
  <c r="DB63" i="10"/>
  <c r="DS91" i="10"/>
  <c r="DF114" i="10"/>
  <c r="DB220" i="10"/>
  <c r="DB108" i="10"/>
  <c r="DF298" i="10"/>
  <c r="DR59" i="10"/>
  <c r="DF57" i="10"/>
  <c r="DF253" i="10"/>
  <c r="DF134" i="10"/>
  <c r="DB271" i="10"/>
  <c r="DS90" i="10"/>
  <c r="BY86" i="10"/>
  <c r="DS86" i="10"/>
  <c r="BY30" i="10"/>
  <c r="DF37" i="10"/>
  <c r="DW113" i="10"/>
  <c r="DB61" i="10"/>
  <c r="DW121" i="10"/>
  <c r="DF344" i="10"/>
  <c r="BY51" i="10"/>
  <c r="DF256" i="10"/>
  <c r="DB218" i="10"/>
  <c r="DB45" i="10"/>
  <c r="DF167" i="10"/>
  <c r="DB264" i="10"/>
  <c r="DB239" i="10"/>
  <c r="DB258" i="10"/>
  <c r="DB248" i="10"/>
  <c r="DF296" i="10"/>
  <c r="DB370" i="10"/>
  <c r="DF371" i="10"/>
  <c r="GS303" i="10"/>
  <c r="BY339" i="10"/>
  <c r="DF178" i="10"/>
  <c r="DW40" i="10"/>
  <c r="DR207" i="10"/>
  <c r="DB208" i="10"/>
  <c r="DF248" i="10"/>
  <c r="GR54" i="10"/>
  <c r="DF211" i="10"/>
  <c r="DF239" i="10"/>
  <c r="DF277" i="10"/>
  <c r="DF238" i="10"/>
  <c r="DS121" i="10"/>
  <c r="DW45" i="10"/>
  <c r="DR60" i="10"/>
  <c r="DR48" i="10"/>
  <c r="DF159" i="10"/>
  <c r="GS375" i="10"/>
  <c r="DR371" i="10"/>
  <c r="DV192" i="10"/>
  <c r="GS331" i="10"/>
  <c r="DW26" i="10"/>
  <c r="DF182" i="10"/>
  <c r="GR156" i="10"/>
  <c r="DW162" i="10"/>
  <c r="DU366" i="10"/>
  <c r="DW245" i="10"/>
  <c r="DT340" i="10"/>
  <c r="BY206" i="10"/>
  <c r="GS263" i="10"/>
  <c r="DR208" i="10"/>
  <c r="DW262" i="10"/>
  <c r="DT331" i="10"/>
  <c r="DT221" i="10"/>
  <c r="GS228" i="10"/>
  <c r="DT297" i="10"/>
  <c r="DV374" i="10"/>
  <c r="BY233" i="10"/>
  <c r="DW242" i="10"/>
  <c r="BY281" i="10"/>
  <c r="GS324" i="10"/>
  <c r="GR356" i="10"/>
  <c r="DV99" i="10"/>
  <c r="DT181" i="10"/>
  <c r="EH105" i="10"/>
  <c r="DF361" i="10"/>
  <c r="BY214" i="10"/>
  <c r="DT98" i="10"/>
  <c r="EH345" i="10"/>
  <c r="DV327" i="10"/>
  <c r="DV196" i="10"/>
  <c r="DT57" i="10"/>
  <c r="DT27" i="10"/>
  <c r="EC252" i="10"/>
  <c r="GS59" i="10"/>
  <c r="BY68" i="10"/>
  <c r="DB328" i="10"/>
  <c r="DF72" i="10"/>
  <c r="DB70" i="10"/>
  <c r="BY44" i="10"/>
  <c r="BY118" i="10"/>
  <c r="DB371" i="10"/>
  <c r="DB361" i="10"/>
  <c r="DF105" i="10"/>
  <c r="DB177" i="10"/>
  <c r="DB28" i="10"/>
  <c r="DF127" i="10"/>
  <c r="DF44" i="10"/>
  <c r="GS39" i="10"/>
  <c r="DB174" i="10"/>
  <c r="DF99" i="10"/>
  <c r="DB309" i="10"/>
  <c r="DF29" i="10"/>
  <c r="BY100" i="10"/>
  <c r="DB322" i="10"/>
  <c r="DB136" i="10"/>
  <c r="BY66" i="10"/>
  <c r="DB383" i="10"/>
  <c r="DS102" i="10"/>
  <c r="BY102" i="10"/>
  <c r="DB115" i="10"/>
  <c r="DS31" i="10"/>
  <c r="GS70" i="10"/>
  <c r="DS132" i="10"/>
  <c r="DF384" i="10"/>
  <c r="DB118" i="10"/>
  <c r="GR127" i="10"/>
  <c r="DF282" i="10"/>
  <c r="BY49" i="10"/>
  <c r="DW131" i="10"/>
  <c r="DB140" i="10"/>
  <c r="DS98" i="10"/>
  <c r="BY137" i="10"/>
  <c r="DB224" i="10"/>
  <c r="DW64" i="10"/>
  <c r="DB47" i="10"/>
  <c r="DR58" i="10"/>
  <c r="GS118" i="10"/>
  <c r="DB296" i="10"/>
  <c r="DB82" i="10"/>
  <c r="DF334" i="10"/>
  <c r="DR68" i="10"/>
  <c r="DF112" i="10"/>
  <c r="DF213" i="10"/>
  <c r="BY69" i="10"/>
  <c r="DB306" i="10"/>
  <c r="DR130" i="10"/>
  <c r="DB377" i="10"/>
  <c r="DF177" i="10"/>
  <c r="GS42" i="10"/>
  <c r="DF50" i="10"/>
  <c r="DF122" i="10"/>
  <c r="DF88" i="10"/>
  <c r="BY126" i="10"/>
  <c r="DF271" i="10"/>
  <c r="GR100" i="10"/>
  <c r="DF190" i="10"/>
  <c r="DB195" i="10"/>
  <c r="DW87" i="10"/>
  <c r="DF206" i="10"/>
  <c r="DB62" i="10"/>
  <c r="DB283" i="10"/>
  <c r="DB263" i="10"/>
  <c r="DF80" i="10"/>
  <c r="DR50" i="10"/>
  <c r="DB277" i="10"/>
  <c r="DR62" i="10"/>
  <c r="GS308" i="10"/>
  <c r="DW164" i="10"/>
  <c r="DF354" i="10"/>
  <c r="GR40" i="10"/>
  <c r="BY220" i="10"/>
  <c r="DB162" i="10"/>
  <c r="DF183" i="10"/>
  <c r="GS62" i="10"/>
  <c r="DF366" i="10"/>
  <c r="DF233" i="10"/>
  <c r="DF200" i="10"/>
  <c r="DF255" i="10"/>
  <c r="DR71" i="10"/>
  <c r="DR118" i="10"/>
  <c r="DF140" i="10"/>
  <c r="DR47" i="10"/>
  <c r="GS130" i="10"/>
  <c r="DS214" i="10"/>
  <c r="DW171" i="10"/>
  <c r="GS361" i="10"/>
  <c r="DR311" i="10"/>
  <c r="DS352" i="10"/>
  <c r="DS52" i="10"/>
  <c r="BY236" i="10"/>
  <c r="DS385" i="10"/>
  <c r="EH85" i="10"/>
  <c r="GR317" i="10"/>
  <c r="DT101" i="10"/>
  <c r="DW331" i="10"/>
  <c r="DW22" i="10"/>
  <c r="DW329" i="10"/>
  <c r="GS281" i="10"/>
  <c r="DU368" i="10"/>
  <c r="DW391" i="10"/>
  <c r="DR234" i="10"/>
  <c r="DU310" i="10"/>
  <c r="DB30" i="10"/>
  <c r="GS247" i="10"/>
  <c r="DR158" i="10"/>
  <c r="GS267" i="10"/>
  <c r="GR281" i="10"/>
  <c r="GS201" i="10"/>
  <c r="EH82" i="10"/>
  <c r="DW308" i="10"/>
  <c r="DT122" i="10"/>
  <c r="DF288" i="10"/>
  <c r="DW201" i="10"/>
  <c r="DW163" i="10"/>
  <c r="DU388" i="10"/>
  <c r="GS202" i="10"/>
  <c r="DW250" i="10"/>
  <c r="DT353" i="10"/>
  <c r="DT163" i="10"/>
  <c r="DT51" i="10"/>
  <c r="DF66" i="10"/>
  <c r="BY70" i="10"/>
  <c r="DB79" i="10"/>
  <c r="BY83" i="10"/>
  <c r="DB314" i="10"/>
  <c r="DF49" i="10"/>
  <c r="GS126" i="10"/>
  <c r="DB103" i="10"/>
  <c r="DB150" i="10"/>
  <c r="GS107" i="10"/>
  <c r="DB206" i="10"/>
  <c r="BY29" i="10"/>
  <c r="BY131" i="10"/>
  <c r="DF53" i="10"/>
  <c r="GS43" i="10"/>
  <c r="DB281" i="10"/>
  <c r="GS101" i="10"/>
  <c r="DB230" i="10"/>
  <c r="BY31" i="10"/>
  <c r="BY108" i="10"/>
  <c r="DB274" i="10"/>
  <c r="DB284" i="10"/>
  <c r="DW69" i="10"/>
  <c r="DB269" i="10"/>
  <c r="DF216" i="10"/>
  <c r="BY50" i="10"/>
  <c r="DB280" i="10"/>
  <c r="DS36" i="10"/>
  <c r="DB97" i="10"/>
  <c r="DS97" i="10"/>
  <c r="DF273" i="10"/>
  <c r="DB138" i="10"/>
  <c r="GR137" i="10"/>
  <c r="DF292" i="10"/>
  <c r="DF60" i="10"/>
  <c r="DF136" i="10"/>
  <c r="DB200" i="10"/>
  <c r="DF225" i="10"/>
  <c r="GS32" i="10"/>
  <c r="DB315" i="10"/>
  <c r="GS115" i="10"/>
  <c r="DB275" i="10"/>
  <c r="DR67" i="10"/>
  <c r="DW37" i="10"/>
  <c r="DB278" i="10"/>
  <c r="DB130" i="10"/>
  <c r="DF295" i="10"/>
  <c r="DS54" i="10"/>
  <c r="GS121" i="10"/>
  <c r="DF348" i="10"/>
  <c r="DF91" i="10"/>
  <c r="DB77" i="10"/>
  <c r="DF168" i="10"/>
  <c r="DB291" i="10"/>
  <c r="DF388" i="10"/>
  <c r="GS56" i="10"/>
  <c r="BY74" i="10"/>
  <c r="GS60" i="10"/>
  <c r="BY97" i="10"/>
  <c r="DB51" i="10"/>
  <c r="DF241" i="10"/>
  <c r="DS126" i="10"/>
  <c r="DS62" i="10"/>
  <c r="DB247" i="10"/>
  <c r="DB87" i="10"/>
  <c r="DF245" i="10"/>
  <c r="DW95" i="10"/>
  <c r="DB94" i="10"/>
  <c r="DB336" i="10"/>
  <c r="DB41" i="10"/>
  <c r="DR43" i="10"/>
  <c r="DW61" i="10"/>
  <c r="DR53" i="10"/>
  <c r="DR155" i="10"/>
  <c r="BY340" i="10"/>
  <c r="DF373" i="10"/>
  <c r="DW24" i="10"/>
  <c r="DW195" i="10"/>
  <c r="DB321" i="10"/>
  <c r="DF188" i="10"/>
  <c r="BY252" i="10"/>
  <c r="DS59" i="10"/>
  <c r="DF332" i="10"/>
  <c r="DF311" i="10"/>
  <c r="DF368" i="10"/>
  <c r="DS122" i="10"/>
  <c r="DS134" i="10"/>
  <c r="GR123" i="10"/>
  <c r="DS44" i="10"/>
  <c r="GR117" i="10"/>
  <c r="BY250" i="10"/>
  <c r="GR283" i="10"/>
  <c r="DS232" i="10"/>
  <c r="DT351" i="10"/>
  <c r="DV366" i="10"/>
  <c r="BY382" i="10"/>
  <c r="GS262" i="10"/>
  <c r="GR160" i="10"/>
  <c r="GS250" i="10"/>
  <c r="EC110" i="10"/>
  <c r="DT209" i="10"/>
  <c r="DR263" i="10"/>
  <c r="GS264" i="10"/>
  <c r="DW194" i="10"/>
  <c r="DS185" i="10"/>
  <c r="DT266" i="10"/>
  <c r="DS256" i="10"/>
  <c r="DV88" i="10"/>
  <c r="DV256" i="10"/>
  <c r="DW49" i="10"/>
  <c r="DR344" i="10"/>
  <c r="DR310" i="10"/>
  <c r="GS204" i="10"/>
  <c r="DU317" i="10"/>
  <c r="DR148" i="10"/>
  <c r="DU140" i="10"/>
  <c r="DS230" i="10"/>
  <c r="DS383" i="10"/>
  <c r="DR42" i="10"/>
  <c r="GS218" i="10"/>
  <c r="DS192" i="10"/>
  <c r="GR180" i="10"/>
  <c r="DS261" i="10"/>
  <c r="DS255" i="10"/>
  <c r="BY316" i="10"/>
  <c r="DS176" i="10"/>
  <c r="DU277" i="10"/>
  <c r="GS67" i="10"/>
  <c r="DW91" i="10"/>
  <c r="DB385" i="10"/>
  <c r="DW100" i="10"/>
  <c r="DB391" i="10"/>
  <c r="DF61" i="10"/>
  <c r="GS35" i="10"/>
  <c r="DB310" i="10"/>
  <c r="DB128" i="10"/>
  <c r="DW120" i="10"/>
  <c r="DB148" i="10"/>
  <c r="GS36" i="10"/>
  <c r="DW34" i="10"/>
  <c r="DF64" i="10"/>
  <c r="GS50" i="10"/>
  <c r="DB238" i="10"/>
  <c r="DW115" i="10"/>
  <c r="DB74" i="10"/>
  <c r="BY42" i="10"/>
  <c r="BY116" i="10"/>
  <c r="DB338" i="10"/>
  <c r="DB96" i="10"/>
  <c r="BY72" i="10"/>
  <c r="GR131" i="10"/>
  <c r="DF360" i="10"/>
  <c r="GS125" i="10"/>
  <c r="DB36" i="10"/>
  <c r="DS29" i="10"/>
  <c r="DB242" i="10"/>
  <c r="DS125" i="10"/>
  <c r="DF276" i="10"/>
  <c r="DB342" i="10"/>
  <c r="DW51" i="10"/>
  <c r="DF176" i="10"/>
  <c r="DF71" i="10"/>
  <c r="BY43" i="10"/>
  <c r="DB92" i="10"/>
  <c r="DF278" i="10"/>
  <c r="DW86" i="10"/>
  <c r="GR82" i="10"/>
  <c r="GS116" i="10"/>
  <c r="DB117" i="10"/>
  <c r="DR51" i="10"/>
  <c r="BY39" i="10"/>
  <c r="DB333" i="10"/>
  <c r="DB294" i="10"/>
  <c r="DF364" i="10"/>
  <c r="DF164" i="10"/>
  <c r="BY89" i="10"/>
  <c r="DF259" i="10"/>
  <c r="DW96" i="10"/>
  <c r="DB176" i="10"/>
  <c r="DF217" i="10"/>
  <c r="DB132" i="10"/>
  <c r="DF337" i="10"/>
  <c r="BY134" i="10"/>
  <c r="BY78" i="10"/>
  <c r="BY71" i="10"/>
  <c r="BY93" i="10"/>
  <c r="DR88" i="10"/>
  <c r="DF350" i="10"/>
  <c r="DR129" i="10"/>
  <c r="DS47" i="10"/>
  <c r="DB112" i="10"/>
  <c r="DB191" i="10"/>
  <c r="DF229" i="10"/>
  <c r="DB157" i="10"/>
  <c r="DB123" i="10"/>
  <c r="DW58" i="10"/>
  <c r="DS138" i="10"/>
  <c r="DR45" i="10"/>
  <c r="DB198" i="10"/>
  <c r="DR41" i="10"/>
  <c r="BY278" i="10"/>
  <c r="GS177" i="10"/>
  <c r="DF329" i="10"/>
  <c r="DW200" i="10"/>
  <c r="DS301" i="10"/>
  <c r="BY81" i="10"/>
  <c r="DS58" i="10"/>
  <c r="GS340" i="10"/>
  <c r="DS66" i="10"/>
  <c r="DF199" i="10"/>
  <c r="DF322" i="10"/>
  <c r="DF305" i="10"/>
  <c r="DS123" i="10"/>
  <c r="DS100" i="10"/>
  <c r="GR119" i="10"/>
  <c r="GR97" i="10"/>
  <c r="DR24" i="10"/>
  <c r="DW219" i="10"/>
  <c r="GR225" i="10"/>
  <c r="DS356" i="10"/>
  <c r="DU284" i="10"/>
  <c r="DV286" i="10"/>
  <c r="DW283" i="10"/>
  <c r="BY208" i="10"/>
  <c r="GS282" i="10"/>
  <c r="GR237" i="10"/>
  <c r="DV371" i="10"/>
  <c r="DW372" i="10"/>
  <c r="BY165" i="10"/>
  <c r="GR168" i="10"/>
  <c r="BY198" i="10"/>
  <c r="DR168" i="10"/>
  <c r="BY211" i="10"/>
  <c r="DU26" i="10"/>
  <c r="DU185" i="10"/>
  <c r="GR369" i="10"/>
  <c r="DF228" i="10"/>
  <c r="BY237" i="10"/>
  <c r="DR200" i="10"/>
  <c r="DS274" i="10"/>
  <c r="BY143" i="10"/>
  <c r="DS292" i="10"/>
  <c r="GS235" i="10"/>
  <c r="DT112" i="10"/>
  <c r="DU283" i="10"/>
  <c r="DS38" i="10"/>
  <c r="DW361" i="10"/>
  <c r="BY256" i="10"/>
  <c r="DS198" i="10"/>
  <c r="GS334" i="10"/>
  <c r="EH272" i="10"/>
  <c r="DS310" i="10"/>
  <c r="DT53" i="10"/>
  <c r="DV303" i="10"/>
  <c r="DF74" i="10"/>
  <c r="DW103" i="10"/>
  <c r="DB250" i="10"/>
  <c r="DF101" i="10"/>
  <c r="DB366" i="10"/>
  <c r="BY64" i="10"/>
  <c r="GS37" i="10"/>
  <c r="DB75" i="10"/>
  <c r="DB149" i="10"/>
  <c r="DF121" i="10"/>
  <c r="DB186" i="10"/>
  <c r="BY48" i="10"/>
  <c r="DW39" i="10"/>
  <c r="GS66" i="10"/>
  <c r="GS71" i="10"/>
  <c r="DB287" i="10"/>
  <c r="BY136" i="10"/>
  <c r="DB320" i="10"/>
  <c r="DW47" i="10"/>
  <c r="DF131" i="10"/>
  <c r="DB196" i="10"/>
  <c r="DB341" i="10"/>
  <c r="BY120" i="10"/>
  <c r="DB197" i="10"/>
  <c r="DF215" i="10"/>
  <c r="DB209" i="10"/>
  <c r="DB141" i="10"/>
  <c r="DS49" i="10"/>
  <c r="DB189" i="10"/>
  <c r="DS115" i="10"/>
  <c r="DF219" i="10"/>
  <c r="DB179" i="10"/>
  <c r="DR132" i="10"/>
  <c r="DF220" i="10"/>
  <c r="DF108" i="10"/>
  <c r="BY57" i="10"/>
  <c r="DB64" i="10"/>
  <c r="DF291" i="10"/>
  <c r="BY88" i="10"/>
  <c r="GR69" i="10"/>
  <c r="DW118" i="10"/>
  <c r="DB360" i="10"/>
  <c r="DR44" i="10"/>
  <c r="DW73" i="10"/>
  <c r="DB223" i="10"/>
  <c r="DB131" i="10"/>
  <c r="DF367" i="10"/>
  <c r="DF142" i="10"/>
  <c r="DB311" i="10"/>
  <c r="DF207" i="10"/>
  <c r="GS110" i="10"/>
  <c r="DB329" i="10"/>
  <c r="DF230" i="10"/>
  <c r="DB352" i="10"/>
  <c r="DF336" i="10"/>
  <c r="DW92" i="10"/>
  <c r="DW105" i="10"/>
  <c r="DW104" i="10"/>
  <c r="DB226" i="10"/>
  <c r="DR82" i="10"/>
  <c r="DF343" i="10"/>
  <c r="DS130" i="10"/>
  <c r="DS64" i="10"/>
  <c r="DB110" i="10"/>
  <c r="DB80" i="10"/>
  <c r="DF346" i="10"/>
  <c r="DF95" i="10"/>
  <c r="DB387" i="10"/>
  <c r="DW81" i="10"/>
  <c r="DR124" i="10"/>
  <c r="DF153" i="10"/>
  <c r="BY107" i="10"/>
  <c r="BY109" i="10"/>
  <c r="BY371" i="10"/>
  <c r="GS386" i="10"/>
  <c r="DF321" i="10"/>
  <c r="DW180" i="10"/>
  <c r="BY357" i="10"/>
  <c r="DW94" i="10"/>
  <c r="DR32" i="10"/>
  <c r="DW333" i="10"/>
  <c r="DR49" i="10"/>
  <c r="DF380" i="10"/>
  <c r="DF378" i="10"/>
  <c r="DF315" i="10"/>
  <c r="DS87" i="10"/>
  <c r="DS135" i="10"/>
  <c r="GR73" i="10"/>
  <c r="GR109" i="10"/>
  <c r="GR52" i="10"/>
  <c r="DS333" i="10"/>
  <c r="BY207" i="10"/>
  <c r="EC255" i="10"/>
  <c r="GS209" i="10"/>
  <c r="EH238" i="10"/>
  <c r="DS350" i="10"/>
  <c r="GS266" i="10"/>
  <c r="DR305" i="10"/>
  <c r="DT237" i="10"/>
  <c r="DU57" i="10"/>
  <c r="DW389" i="10"/>
  <c r="BY249" i="10"/>
  <c r="BY334" i="10"/>
  <c r="BY344" i="10"/>
  <c r="DW276" i="10"/>
  <c r="GR289" i="10"/>
  <c r="EC353" i="10"/>
  <c r="DU281" i="10"/>
  <c r="DU109" i="10"/>
  <c r="DF180" i="10"/>
  <c r="DW230" i="10"/>
  <c r="EH110" i="10"/>
  <c r="BY342" i="10"/>
  <c r="DW347" i="10"/>
  <c r="GS378" i="10"/>
  <c r="DR238" i="10"/>
  <c r="EH113" i="10"/>
  <c r="EH374" i="10"/>
  <c r="BY129" i="10"/>
  <c r="DR283" i="10"/>
  <c r="DR164" i="10"/>
  <c r="EH380" i="10"/>
  <c r="EH390" i="10"/>
  <c r="EC211" i="10"/>
  <c r="EH71" i="10"/>
  <c r="DT130" i="10"/>
  <c r="DU315" i="10"/>
  <c r="DF94" i="10"/>
  <c r="DW114" i="10"/>
  <c r="DB380" i="10"/>
  <c r="DW108" i="10"/>
  <c r="DB159" i="10"/>
  <c r="DF69" i="10"/>
  <c r="GS57" i="10"/>
  <c r="DB233" i="10"/>
  <c r="DB326" i="10"/>
  <c r="GS123" i="10"/>
  <c r="DB373" i="10"/>
  <c r="DF56" i="10"/>
  <c r="DW43" i="10"/>
  <c r="GS74" i="10"/>
  <c r="BY91" i="10"/>
  <c r="DB330" i="10"/>
  <c r="GS88" i="10"/>
  <c r="DB163" i="10"/>
  <c r="DF48" i="10"/>
  <c r="DW32" i="10"/>
  <c r="DB113" i="10"/>
  <c r="DB332" i="10"/>
  <c r="BY34" i="10"/>
  <c r="GR81" i="10"/>
  <c r="DF326" i="10"/>
  <c r="DB101" i="10"/>
  <c r="DR109" i="10"/>
  <c r="DF158" i="10"/>
  <c r="DB285" i="10"/>
  <c r="DS73" i="10"/>
  <c r="DF184" i="10"/>
  <c r="DB232" i="10"/>
  <c r="DR97" i="10"/>
  <c r="DF314" i="10"/>
  <c r="DF115" i="10"/>
  <c r="GS68" i="10"/>
  <c r="DS80" i="10"/>
  <c r="DF221" i="10"/>
  <c r="GS104" i="10"/>
  <c r="GR55" i="10"/>
  <c r="BY132" i="10"/>
  <c r="DB313" i="10"/>
  <c r="DW54" i="10"/>
  <c r="GS92" i="10"/>
  <c r="DB72" i="10"/>
  <c r="DB104" i="10"/>
  <c r="DF262" i="10"/>
  <c r="DF163" i="10"/>
  <c r="DB183" i="10"/>
  <c r="DF275" i="10"/>
  <c r="DF116" i="10"/>
  <c r="DB369" i="10"/>
  <c r="DF300" i="10"/>
  <c r="DB71" i="10"/>
  <c r="DF307" i="10"/>
  <c r="DW127" i="10"/>
  <c r="DW128" i="10"/>
  <c r="DB57" i="10"/>
  <c r="DB303" i="10"/>
  <c r="DR100" i="10"/>
  <c r="DR33" i="10"/>
  <c r="DR98" i="10"/>
  <c r="DS56" i="10"/>
  <c r="DB290" i="10"/>
  <c r="DB56" i="10"/>
  <c r="DS55" i="10"/>
  <c r="GS97" i="10"/>
  <c r="DB116" i="10"/>
  <c r="DW82" i="10"/>
  <c r="DR91" i="10"/>
  <c r="GS135" i="10"/>
  <c r="DF123" i="10"/>
  <c r="GR101" i="10"/>
  <c r="DW143" i="10"/>
  <c r="GR204" i="10"/>
  <c r="DS32" i="10"/>
  <c r="GS333" i="10"/>
  <c r="DW185" i="10"/>
  <c r="BY45" i="10"/>
  <c r="DR57" i="10"/>
  <c r="GR226" i="10"/>
  <c r="GS79" i="10"/>
  <c r="DS37" i="10"/>
  <c r="DF254" i="10"/>
  <c r="DR39" i="10"/>
  <c r="DF196" i="10"/>
  <c r="DR108" i="10"/>
  <c r="DB340" i="10"/>
  <c r="BY106" i="10"/>
  <c r="GR35" i="10"/>
  <c r="BY162" i="10"/>
  <c r="DS275" i="10"/>
  <c r="DU59" i="10"/>
  <c r="DR222" i="10"/>
  <c r="EC241" i="10"/>
  <c r="BY271" i="10"/>
  <c r="DR189" i="10"/>
  <c r="BY377" i="10"/>
  <c r="DV261" i="10"/>
  <c r="BY298" i="10"/>
  <c r="EH279" i="10"/>
  <c r="DW217" i="10"/>
  <c r="DS344" i="10"/>
  <c r="DW139" i="10"/>
  <c r="GR161" i="10"/>
  <c r="GS162" i="10"/>
  <c r="EH58" i="10"/>
  <c r="BY372" i="10"/>
  <c r="DV69" i="10"/>
  <c r="DF302" i="10"/>
  <c r="GR302" i="10"/>
  <c r="GS194" i="10"/>
  <c r="GR278" i="10"/>
  <c r="DS253" i="10"/>
  <c r="GR329" i="10"/>
  <c r="DV126" i="10"/>
  <c r="DU324" i="10"/>
  <c r="DV336" i="10"/>
  <c r="GR77" i="10"/>
  <c r="BY277" i="10"/>
  <c r="BY225" i="10"/>
  <c r="GR376" i="10"/>
  <c r="GR288" i="10"/>
  <c r="DV145" i="10"/>
  <c r="EC45" i="10"/>
  <c r="DT347" i="10"/>
  <c r="DS364" i="10"/>
  <c r="DF111" i="10"/>
  <c r="GS127" i="10"/>
  <c r="DB386" i="10"/>
  <c r="DF109" i="10"/>
  <c r="DB181" i="10"/>
  <c r="DW77" i="10"/>
  <c r="GS73" i="10"/>
  <c r="DB153" i="10"/>
  <c r="DB65" i="10"/>
  <c r="DF130" i="10"/>
  <c r="DB168" i="10"/>
  <c r="BY59" i="10"/>
  <c r="DW50" i="10"/>
  <c r="BY96" i="10"/>
  <c r="BY103" i="10"/>
  <c r="DB319" i="10"/>
  <c r="DB194" i="10"/>
  <c r="DB215" i="10"/>
  <c r="GS49" i="10"/>
  <c r="DW38" i="10"/>
  <c r="DB219" i="10"/>
  <c r="DB83" i="10"/>
  <c r="BY37" i="10"/>
  <c r="GR134" i="10"/>
  <c r="DF263" i="10"/>
  <c r="DB257" i="10"/>
  <c r="DR74" i="10"/>
  <c r="DF149" i="10"/>
  <c r="DB286" i="10"/>
  <c r="DS70" i="10"/>
  <c r="DR61" i="10"/>
  <c r="DB268" i="10"/>
  <c r="DR125" i="10"/>
  <c r="DF247" i="10"/>
  <c r="DW35" i="10"/>
  <c r="DB243" i="10"/>
  <c r="DS104" i="10"/>
  <c r="DF210" i="10"/>
  <c r="DB297" i="10"/>
  <c r="DR80" i="10"/>
  <c r="GS134" i="10"/>
  <c r="GR51" i="10"/>
  <c r="DF47" i="10"/>
  <c r="BY124" i="10"/>
  <c r="DB120" i="10"/>
  <c r="DS107" i="10"/>
  <c r="DF250" i="10"/>
  <c r="DF148" i="10"/>
  <c r="DB88" i="10"/>
  <c r="DS39" i="10"/>
  <c r="DF126" i="10"/>
  <c r="DB188" i="10"/>
  <c r="DF234" i="10"/>
  <c r="DB302" i="10"/>
  <c r="DF224" i="10"/>
  <c r="DB244" i="10"/>
  <c r="DB59" i="10"/>
  <c r="DB106" i="10"/>
  <c r="DB301" i="10"/>
  <c r="DR101" i="10"/>
  <c r="DF162" i="10"/>
  <c r="DF246" i="10"/>
  <c r="DS28" i="10"/>
  <c r="DB231" i="10"/>
  <c r="DR94" i="10"/>
  <c r="GR124" i="10"/>
  <c r="DB262" i="10"/>
  <c r="GR44" i="10"/>
  <c r="DW90" i="10"/>
  <c r="DS89" i="10"/>
  <c r="DW75" i="10"/>
  <c r="DF73" i="10"/>
  <c r="DW129" i="10"/>
  <c r="GS364" i="10"/>
  <c r="DW203" i="10"/>
  <c r="DS57" i="10"/>
  <c r="GR337" i="10"/>
  <c r="BY359" i="10"/>
  <c r="DR126" i="10"/>
  <c r="GR130" i="10"/>
  <c r="GR22" i="10"/>
  <c r="GR122" i="10"/>
  <c r="DS65" i="10"/>
  <c r="DR52" i="10"/>
  <c r="DS50" i="10"/>
  <c r="DF208" i="10"/>
  <c r="DF269" i="10"/>
  <c r="DB73" i="10"/>
  <c r="BY63" i="10"/>
  <c r="BY326" i="10"/>
  <c r="DW237" i="10"/>
  <c r="DR353" i="10"/>
  <c r="GS181" i="10"/>
  <c r="EC176" i="10"/>
  <c r="DV100" i="10"/>
  <c r="BY388" i="10"/>
  <c r="BY260" i="10"/>
  <c r="BY270" i="10"/>
  <c r="GS226" i="10"/>
  <c r="GR338" i="10"/>
  <c r="DV285" i="10"/>
  <c r="GR201" i="10"/>
  <c r="DS379" i="10"/>
  <c r="GR244" i="10"/>
  <c r="DU274" i="10"/>
  <c r="GR150" i="10"/>
  <c r="DU62" i="10"/>
  <c r="DR212" i="10"/>
  <c r="DS215" i="10"/>
  <c r="DS42" i="10"/>
  <c r="BY239" i="10"/>
  <c r="DW339" i="10"/>
  <c r="GR249" i="10"/>
  <c r="EC371" i="10"/>
  <c r="EC244" i="10"/>
  <c r="DV373" i="10"/>
  <c r="BY163" i="10"/>
  <c r="DT156" i="10"/>
  <c r="BY52" i="10"/>
  <c r="GS221" i="10"/>
  <c r="DR227" i="10"/>
  <c r="DS267" i="10"/>
  <c r="DT191" i="10"/>
  <c r="EH237" i="10"/>
  <c r="EC279" i="10"/>
  <c r="EH36" i="10"/>
  <c r="GS185" i="10"/>
  <c r="BY115" i="10"/>
  <c r="DB367" i="10"/>
  <c r="BY28" i="10"/>
  <c r="DW116" i="10"/>
  <c r="DB299" i="10"/>
  <c r="DF78" i="10"/>
  <c r="BY92" i="10"/>
  <c r="DB204" i="10"/>
  <c r="DB344" i="10"/>
  <c r="GS132" i="10"/>
  <c r="DB228" i="10"/>
  <c r="BY67" i="10"/>
  <c r="DW71" i="10"/>
  <c r="DF110" i="10"/>
  <c r="BY114" i="10"/>
  <c r="DB98" i="10"/>
  <c r="DB374" i="10"/>
  <c r="DB152" i="10"/>
  <c r="DF59" i="10"/>
  <c r="DW60" i="10"/>
  <c r="DB205" i="10"/>
  <c r="DB173" i="10"/>
  <c r="BY73" i="10"/>
  <c r="DS109" i="10"/>
  <c r="DF257" i="10"/>
  <c r="DB292" i="10"/>
  <c r="DR83" i="10"/>
  <c r="DF39" i="10"/>
  <c r="DB180" i="10"/>
  <c r="DS76" i="10"/>
  <c r="DW30" i="10"/>
  <c r="DB145" i="10"/>
  <c r="DR115" i="10"/>
  <c r="DF341" i="10"/>
  <c r="DW78" i="10"/>
  <c r="DB331" i="10"/>
  <c r="DS103" i="10"/>
  <c r="DF186" i="10"/>
  <c r="DB353" i="10"/>
  <c r="DR104" i="10"/>
  <c r="DB261" i="10"/>
  <c r="DS127" i="10"/>
  <c r="GS64" i="10"/>
  <c r="DB225" i="10"/>
  <c r="DB139" i="10"/>
  <c r="DR92" i="10"/>
  <c r="DF383" i="10"/>
  <c r="BY130" i="10"/>
  <c r="DB288" i="10"/>
  <c r="DR36" i="10"/>
  <c r="DW57" i="10"/>
  <c r="DB254" i="10"/>
  <c r="DF325" i="10"/>
  <c r="DB362" i="10"/>
  <c r="DF369" i="10"/>
  <c r="DB210" i="10"/>
  <c r="DB46" i="10"/>
  <c r="DB170" i="10"/>
  <c r="DB213" i="10"/>
  <c r="DS129" i="10"/>
  <c r="GS98" i="10"/>
  <c r="DF289" i="10"/>
  <c r="DF166" i="10"/>
  <c r="DB93" i="10"/>
  <c r="DS131" i="10"/>
  <c r="BY98" i="10"/>
  <c r="DB129" i="10"/>
  <c r="GR78" i="10"/>
  <c r="DB134" i="10"/>
  <c r="DF212" i="10"/>
  <c r="GR103" i="10"/>
  <c r="DF100" i="10"/>
  <c r="GS109" i="10"/>
  <c r="DR153" i="10"/>
  <c r="GS342" i="10"/>
  <c r="DF156" i="10"/>
  <c r="BY352" i="10"/>
  <c r="GS198" i="10"/>
  <c r="DS124" i="10"/>
  <c r="GS94" i="10"/>
  <c r="BY356" i="10"/>
  <c r="GR95" i="10"/>
  <c r="DS51" i="10"/>
  <c r="DR31" i="10"/>
  <c r="DS68" i="10"/>
  <c r="DF205" i="10"/>
  <c r="DF264" i="10"/>
  <c r="DR134" i="10"/>
  <c r="DF268" i="10"/>
  <c r="DW168" i="10"/>
  <c r="BY261" i="10"/>
  <c r="GS212" i="10"/>
  <c r="GR384" i="10"/>
  <c r="EC377" i="10"/>
  <c r="GS219" i="10"/>
  <c r="GS356" i="10"/>
  <c r="GS301" i="10"/>
  <c r="GS359" i="10"/>
  <c r="GR198" i="10"/>
  <c r="BY283" i="10"/>
  <c r="EC179" i="10"/>
  <c r="BY343" i="10"/>
  <c r="DS303" i="10"/>
  <c r="DR373" i="10"/>
  <c r="EH303" i="10"/>
  <c r="DS373" i="10"/>
  <c r="GS180" i="10"/>
  <c r="DT321" i="10"/>
  <c r="EH360" i="10"/>
  <c r="DR64" i="10"/>
  <c r="DW234" i="10"/>
  <c r="BY379" i="10"/>
  <c r="DU108" i="10"/>
  <c r="DU196" i="10"/>
  <c r="DV84" i="10"/>
  <c r="DT306" i="10"/>
  <c r="DR269" i="10"/>
  <c r="GR144" i="10"/>
  <c r="GS55" i="10"/>
  <c r="BY292" i="10"/>
  <c r="BY272" i="10"/>
  <c r="DU104" i="10"/>
  <c r="DV229" i="10"/>
  <c r="BY172" i="10"/>
  <c r="DU163" i="10"/>
  <c r="BY373" i="10"/>
  <c r="DU248" i="10"/>
  <c r="DF120" i="10"/>
  <c r="DB346" i="10"/>
  <c r="DW31" i="10"/>
  <c r="DF117" i="10"/>
  <c r="DB154" i="10"/>
  <c r="GS80" i="10"/>
  <c r="BY104" i="10"/>
  <c r="DB161" i="10"/>
  <c r="DF27" i="10"/>
  <c r="DW137" i="10"/>
  <c r="DB167" i="10"/>
  <c r="DW72" i="10"/>
  <c r="GS91" i="10"/>
  <c r="BY113" i="10"/>
  <c r="DW122" i="10"/>
  <c r="DB217" i="10"/>
  <c r="DB355" i="10"/>
  <c r="DB199" i="10"/>
  <c r="GS61" i="10"/>
  <c r="DW68" i="10"/>
  <c r="DB295" i="10"/>
  <c r="DB279" i="10"/>
  <c r="GS87" i="10"/>
  <c r="DS74" i="10"/>
  <c r="DF237" i="10"/>
  <c r="DB390" i="10"/>
  <c r="DR105" i="10"/>
  <c r="DF45" i="10"/>
  <c r="DB52" i="10"/>
  <c r="DF356" i="10"/>
  <c r="DF42" i="10"/>
  <c r="DB227" i="10"/>
  <c r="DR73" i="10"/>
  <c r="DF222" i="10"/>
  <c r="DF81" i="10"/>
  <c r="DB142" i="10"/>
  <c r="DS137" i="10"/>
  <c r="DF272" i="10"/>
  <c r="DB126" i="10"/>
  <c r="DR103" i="10"/>
  <c r="DB81" i="10"/>
  <c r="DS118" i="10"/>
  <c r="DF70" i="10"/>
  <c r="DB222" i="10"/>
  <c r="DB42" i="10"/>
  <c r="DS81" i="10"/>
  <c r="DF185" i="10"/>
  <c r="GR115" i="10"/>
  <c r="GR128" i="10"/>
  <c r="DS60" i="10"/>
  <c r="DW67" i="10"/>
  <c r="DB349" i="10"/>
  <c r="DR40" i="10"/>
  <c r="DB151" i="10"/>
  <c r="DS46" i="10"/>
  <c r="DB48" i="10"/>
  <c r="DB354" i="10"/>
  <c r="DB379" i="10"/>
  <c r="DB293" i="10"/>
  <c r="DR86" i="10"/>
  <c r="BY133" i="10"/>
  <c r="DF279" i="10"/>
  <c r="GR114" i="10"/>
  <c r="DB272" i="10"/>
  <c r="DR87" i="10"/>
  <c r="GR70" i="10"/>
  <c r="DB192" i="10"/>
  <c r="DF31" i="10"/>
  <c r="DB38" i="10"/>
  <c r="DF172" i="10"/>
  <c r="DW133" i="10"/>
  <c r="DB265" i="10"/>
  <c r="GR135" i="10"/>
  <c r="BY246" i="10"/>
  <c r="DB318" i="10"/>
  <c r="GR102" i="10"/>
  <c r="BY210" i="10"/>
  <c r="GS370" i="10"/>
  <c r="DS106" i="10"/>
  <c r="GR91" i="10"/>
  <c r="DW241" i="10"/>
  <c r="GS106" i="10"/>
  <c r="DS69" i="10"/>
  <c r="DS43" i="10"/>
  <c r="DF165" i="10"/>
  <c r="DF179" i="10"/>
  <c r="DF345" i="10"/>
  <c r="DS82" i="10"/>
  <c r="DF308" i="10"/>
  <c r="DS248" i="10"/>
  <c r="GS158" i="10"/>
  <c r="GR228" i="10"/>
  <c r="DR383" i="10"/>
  <c r="EH174" i="10"/>
  <c r="DS195" i="10"/>
  <c r="DS369" i="10"/>
  <c r="DS294" i="10"/>
  <c r="GR220" i="10"/>
  <c r="EH106" i="10"/>
  <c r="DS161" i="10"/>
  <c r="DF261" i="10"/>
  <c r="GS192" i="10"/>
  <c r="DT176" i="10"/>
  <c r="BY178" i="10"/>
  <c r="GS261" i="10"/>
  <c r="DW193" i="10"/>
  <c r="DS142" i="10"/>
  <c r="DV45" i="10"/>
  <c r="DV301" i="10"/>
  <c r="GR84" i="10"/>
  <c r="GR351" i="10"/>
  <c r="GS232" i="10"/>
  <c r="DT314" i="10"/>
  <c r="GS383" i="10"/>
  <c r="DV139" i="10"/>
  <c r="DV120" i="10"/>
  <c r="DU60" i="10"/>
  <c r="EC195" i="10"/>
  <c r="GR63" i="10"/>
  <c r="GS367" i="10"/>
  <c r="DW243" i="10"/>
  <c r="GS144" i="10"/>
  <c r="EH90" i="10"/>
  <c r="DR159" i="10"/>
  <c r="EH160" i="10"/>
  <c r="GR305" i="10"/>
  <c r="DR370" i="10"/>
  <c r="GS131" i="10"/>
  <c r="DB84" i="10"/>
  <c r="DF32" i="10"/>
  <c r="GS128" i="10"/>
  <c r="DB372" i="10"/>
  <c r="DW85" i="10"/>
  <c r="DW125" i="10"/>
  <c r="DB53" i="10"/>
  <c r="GR27" i="10"/>
  <c r="DF138" i="10"/>
  <c r="DB202" i="10"/>
  <c r="DF82" i="10"/>
  <c r="GS103" i="10"/>
  <c r="DF118" i="10"/>
  <c r="DW124" i="10"/>
  <c r="DB203" i="10"/>
  <c r="DB182" i="10"/>
  <c r="DB357" i="10"/>
  <c r="DF67" i="10"/>
  <c r="DW70" i="10"/>
  <c r="DB66" i="10"/>
  <c r="DB143" i="10"/>
  <c r="DW93" i="10"/>
  <c r="DS83" i="10"/>
  <c r="DF351" i="10"/>
  <c r="DB260" i="10"/>
  <c r="DR133" i="10"/>
  <c r="DF51" i="10"/>
  <c r="DB246" i="10"/>
  <c r="DF169" i="10"/>
  <c r="DF55" i="10"/>
  <c r="DB144" i="10"/>
  <c r="DR70" i="10"/>
  <c r="DF174" i="10"/>
  <c r="DF97" i="10"/>
  <c r="DB327" i="10"/>
  <c r="DS93" i="10"/>
  <c r="DW59" i="10"/>
  <c r="DB193" i="10"/>
  <c r="DR137" i="10"/>
  <c r="DB111" i="10"/>
  <c r="DS77" i="10"/>
  <c r="BY77" i="10"/>
  <c r="DB158" i="10"/>
  <c r="DF65" i="10"/>
  <c r="DF324" i="10"/>
  <c r="DF189" i="10"/>
  <c r="BY117" i="10"/>
  <c r="GR126" i="10"/>
  <c r="DR54" i="10"/>
  <c r="DF89" i="10"/>
  <c r="DB324" i="10"/>
  <c r="DS35" i="10"/>
  <c r="DB55" i="10"/>
  <c r="DR35" i="10"/>
  <c r="DB54" i="10"/>
  <c r="DB276" i="10"/>
  <c r="DB214" i="10"/>
  <c r="DB229" i="10"/>
  <c r="DR106" i="10"/>
  <c r="GS75" i="10"/>
  <c r="DF299" i="10"/>
  <c r="BY135" i="10"/>
  <c r="DB184" i="10"/>
  <c r="DF270" i="10"/>
  <c r="DF129" i="10"/>
  <c r="DB40" i="10"/>
  <c r="DF128" i="10"/>
  <c r="BY82" i="10"/>
  <c r="DF192" i="10"/>
  <c r="BY138" i="10"/>
  <c r="DS112" i="10"/>
  <c r="DW52" i="10"/>
  <c r="DW301" i="10"/>
  <c r="GR66" i="10"/>
  <c r="BY99" i="10"/>
  <c r="GS223" i="10"/>
  <c r="DR250" i="10"/>
  <c r="DF331" i="10"/>
  <c r="GR96" i="10"/>
  <c r="GR86" i="10"/>
  <c r="GR99" i="10"/>
  <c r="GR80" i="10"/>
  <c r="DW98" i="10"/>
  <c r="DF143" i="10"/>
  <c r="DR29" i="10"/>
  <c r="DF252" i="10"/>
  <c r="DR135" i="10"/>
  <c r="DF387" i="10"/>
  <c r="BY324" i="10"/>
  <c r="DR342" i="10"/>
  <c r="DS254" i="10"/>
  <c r="EH338" i="10"/>
  <c r="BY183" i="10"/>
  <c r="DR288" i="10"/>
  <c r="BY251" i="10"/>
  <c r="DR195" i="10"/>
  <c r="DS357" i="10"/>
  <c r="DR177" i="10"/>
  <c r="DS366" i="10"/>
  <c r="DF304" i="10"/>
  <c r="DR246" i="10"/>
  <c r="GS167" i="10"/>
  <c r="GR177" i="10"/>
  <c r="DS145" i="10"/>
  <c r="GR165" i="10"/>
  <c r="DR196" i="10"/>
  <c r="DU301" i="10"/>
  <c r="EC129" i="10"/>
  <c r="GR104" i="10"/>
  <c r="BY311" i="10"/>
  <c r="GR199" i="10"/>
  <c r="DT226" i="10"/>
  <c r="GR355" i="10"/>
  <c r="DV173" i="10"/>
  <c r="DV57" i="10"/>
  <c r="EC263" i="10"/>
  <c r="EH176" i="10"/>
  <c r="GR34" i="10"/>
  <c r="GS233" i="10"/>
  <c r="DR327" i="10"/>
  <c r="DS175" i="10"/>
  <c r="EH295" i="10"/>
  <c r="DR354" i="10"/>
  <c r="DU149" i="10"/>
  <c r="EC381" i="10"/>
  <c r="DV375" i="10"/>
  <c r="DW136" i="10"/>
  <c r="DB363" i="10"/>
  <c r="DW42" i="10"/>
  <c r="BY87" i="10"/>
  <c r="DB68" i="10"/>
  <c r="DF86" i="10"/>
  <c r="DB335" i="10"/>
  <c r="DB50" i="10"/>
  <c r="GS30" i="10"/>
  <c r="GS86" i="10"/>
  <c r="DB119" i="10"/>
  <c r="DF92" i="10"/>
  <c r="GS114" i="10"/>
  <c r="GS120" i="10"/>
  <c r="DB114" i="10"/>
  <c r="DB160" i="10"/>
  <c r="DB351" i="10"/>
  <c r="DB384" i="10"/>
  <c r="GS69" i="10"/>
  <c r="GS93" i="10"/>
  <c r="DB343" i="10"/>
  <c r="DB67" i="10"/>
  <c r="GS122" i="10"/>
  <c r="DS105" i="10"/>
  <c r="BY54" i="10"/>
  <c r="DB76" i="10"/>
  <c r="DR72" i="10"/>
  <c r="GS85" i="10"/>
  <c r="DB356" i="10"/>
  <c r="DF381" i="10"/>
  <c r="BY85" i="10"/>
  <c r="DB252" i="10"/>
  <c r="DR76" i="10"/>
  <c r="DF390" i="10"/>
  <c r="DF103" i="10"/>
  <c r="DB282" i="10"/>
  <c r="DS95" i="10"/>
  <c r="DF68" i="10"/>
  <c r="DB190" i="10"/>
  <c r="DR93" i="10"/>
  <c r="DB85" i="10"/>
  <c r="DS78" i="10"/>
  <c r="DW80" i="10"/>
  <c r="DB122" i="10"/>
  <c r="DF96" i="10"/>
  <c r="DF385" i="10"/>
  <c r="DF374" i="10"/>
  <c r="DW135" i="10"/>
  <c r="DS110" i="10"/>
  <c r="GR112" i="10"/>
  <c r="DW102" i="10"/>
  <c r="DB256" i="10"/>
  <c r="DR56" i="10"/>
  <c r="GR111" i="10"/>
  <c r="DS53" i="10"/>
  <c r="DB49" i="10"/>
  <c r="DB358" i="10"/>
  <c r="DB259" i="10"/>
  <c r="DB31" i="10"/>
  <c r="DR89" i="10"/>
  <c r="GR121" i="10"/>
  <c r="DF365" i="10"/>
  <c r="GS81" i="10"/>
  <c r="DB325" i="10"/>
  <c r="DF202" i="10"/>
  <c r="GS38" i="10"/>
  <c r="DB32" i="10"/>
  <c r="DW111" i="10"/>
  <c r="DF93" i="10"/>
  <c r="DF191" i="10"/>
  <c r="GS119" i="10"/>
  <c r="DR96" i="10"/>
  <c r="GR64" i="10"/>
  <c r="DS320" i="10"/>
  <c r="DR110" i="10"/>
  <c r="BY119" i="10"/>
  <c r="DW270" i="10"/>
  <c r="DW207" i="10"/>
  <c r="DF363" i="10"/>
  <c r="GR125" i="10"/>
  <c r="DF231" i="10"/>
  <c r="GS76" i="10"/>
  <c r="DW132" i="10"/>
  <c r="DW117" i="10"/>
  <c r="DW109" i="10"/>
  <c r="DR28" i="10"/>
  <c r="DF386" i="10"/>
  <c r="DS85" i="10"/>
  <c r="DF173" i="10"/>
  <c r="BY314" i="10"/>
  <c r="BY150" i="10"/>
  <c r="GS152" i="10"/>
  <c r="DW309" i="10"/>
  <c r="DS250" i="10"/>
  <c r="DT368" i="10"/>
  <c r="GS248" i="10"/>
  <c r="DU33" i="10"/>
  <c r="DV268" i="10"/>
  <c r="DW368" i="10"/>
  <c r="DW345" i="10"/>
  <c r="DR46" i="10"/>
  <c r="BY361" i="10"/>
  <c r="GS279" i="10"/>
  <c r="DS290" i="10"/>
  <c r="DV292" i="10"/>
  <c r="DT183" i="10"/>
  <c r="DV80" i="10"/>
  <c r="BY390" i="10"/>
  <c r="DU27" i="10"/>
  <c r="BY280" i="10"/>
  <c r="GS150" i="10"/>
  <c r="BY323" i="10"/>
  <c r="GS292" i="10"/>
  <c r="DV171" i="10"/>
  <c r="DU262" i="10"/>
  <c r="DW364" i="10"/>
  <c r="EH63" i="10"/>
  <c r="DV68" i="10"/>
  <c r="BY65" i="10"/>
  <c r="DS246" i="10"/>
  <c r="DS286" i="10"/>
  <c r="DT251" i="10"/>
  <c r="GS358" i="10"/>
  <c r="DV287" i="10"/>
  <c r="DU239" i="10"/>
  <c r="DV134" i="10"/>
  <c r="EH330" i="10"/>
  <c r="GS29" i="10"/>
  <c r="DF137" i="10"/>
  <c r="DB100" i="10"/>
  <c r="DF43" i="10"/>
  <c r="DB266" i="10"/>
  <c r="BY95" i="10"/>
  <c r="GS90" i="10"/>
  <c r="DB375" i="10"/>
  <c r="DB365" i="10"/>
  <c r="DF58" i="10"/>
  <c r="GS89" i="10"/>
  <c r="DB236" i="10"/>
  <c r="GS96" i="10"/>
  <c r="BY127" i="10"/>
  <c r="DW134" i="10"/>
  <c r="DB146" i="10"/>
  <c r="DB33" i="10"/>
  <c r="DB388" i="10"/>
  <c r="DB58" i="10"/>
  <c r="DF76" i="10"/>
  <c r="GS111" i="10"/>
  <c r="DB133" i="10"/>
  <c r="DB169" i="10"/>
  <c r="DB364" i="10"/>
  <c r="DS133" i="10"/>
  <c r="BY61" i="10"/>
  <c r="DB323" i="10"/>
  <c r="DR119" i="10"/>
  <c r="DF90" i="10"/>
  <c r="DB35" i="10"/>
  <c r="DF309" i="10"/>
  <c r="GS100" i="10"/>
  <c r="DB175" i="10"/>
  <c r="DF223" i="10"/>
  <c r="DF260" i="10"/>
  <c r="GS105" i="10"/>
  <c r="DB378" i="10"/>
  <c r="DS120" i="10"/>
  <c r="DF77" i="10"/>
  <c r="DB389" i="10"/>
  <c r="DR95" i="10"/>
  <c r="DB166" i="10"/>
  <c r="DS96" i="10"/>
  <c r="DF85" i="10"/>
  <c r="DB105" i="10"/>
  <c r="BY111" i="10"/>
  <c r="DF349" i="10"/>
  <c r="DF323" i="10"/>
  <c r="BY75" i="10"/>
  <c r="DR107" i="10"/>
  <c r="DW27" i="10"/>
  <c r="BY121" i="10"/>
  <c r="GR105" i="10"/>
  <c r="DS27" i="10"/>
  <c r="DS71" i="10"/>
  <c r="DR27" i="10"/>
  <c r="DB37" i="10"/>
  <c r="DW29" i="10"/>
  <c r="DB137" i="10"/>
  <c r="GS31" i="10"/>
  <c r="DF355" i="10"/>
  <c r="DF119" i="10"/>
  <c r="DF293" i="10"/>
  <c r="DW119" i="10"/>
  <c r="DB337" i="10"/>
  <c r="DF297" i="10"/>
  <c r="DW56" i="10"/>
  <c r="DB359" i="10"/>
  <c r="DB368" i="10"/>
  <c r="DW88" i="10"/>
  <c r="DF330" i="10"/>
  <c r="GS84" i="10"/>
  <c r="DF195" i="10"/>
  <c r="DW53" i="10"/>
  <c r="BY255" i="10"/>
  <c r="DR112" i="10"/>
  <c r="BY46" i="10"/>
  <c r="DR322" i="10"/>
  <c r="GR285" i="10"/>
  <c r="DF306" i="10"/>
  <c r="GR113" i="10"/>
  <c r="DF286" i="10"/>
  <c r="DF28" i="10"/>
  <c r="DB307" i="10"/>
  <c r="DS128" i="10"/>
  <c r="GR133" i="10"/>
  <c r="DF155" i="10"/>
  <c r="DF375" i="10"/>
  <c r="DF251" i="10"/>
  <c r="DF240" i="10"/>
  <c r="DW141" i="10"/>
  <c r="DW214" i="10"/>
  <c r="DW381" i="10"/>
  <c r="GS353" i="10"/>
  <c r="BY291" i="10"/>
  <c r="DV317" i="10"/>
  <c r="DR206" i="10"/>
  <c r="DW186" i="10"/>
  <c r="DW196" i="10"/>
  <c r="DR346" i="10"/>
  <c r="DR213" i="10"/>
  <c r="GR41" i="10"/>
  <c r="GS214" i="10"/>
  <c r="BY213" i="10"/>
  <c r="DV222" i="10"/>
  <c r="DT303" i="10"/>
  <c r="DT126" i="10"/>
  <c r="DV170" i="10"/>
  <c r="DS329" i="10"/>
  <c r="GS258" i="10"/>
  <c r="GS288" i="10"/>
  <c r="BY354" i="10"/>
  <c r="DW318" i="10"/>
  <c r="GR202" i="10"/>
  <c r="DV390" i="10"/>
  <c r="DS209" i="10"/>
  <c r="DS309" i="10"/>
  <c r="EC214" i="10"/>
  <c r="DW33" i="10"/>
  <c r="BY337" i="10"/>
  <c r="GS203" i="10"/>
  <c r="BY347" i="10"/>
  <c r="DW385" i="10"/>
  <c r="DR335" i="10"/>
  <c r="EH93" i="10"/>
  <c r="DS208" i="10"/>
  <c r="DV161" i="10"/>
  <c r="DF34" i="10"/>
  <c r="BY32" i="10"/>
  <c r="DB171" i="10"/>
  <c r="BY47" i="10"/>
  <c r="DB382" i="10"/>
  <c r="GS54" i="10"/>
  <c r="DW97" i="10"/>
  <c r="DB124" i="10"/>
  <c r="DB187" i="10"/>
  <c r="DW66" i="10"/>
  <c r="DB376" i="10"/>
  <c r="DB316" i="10"/>
  <c r="DW101" i="10"/>
  <c r="DB172" i="10"/>
  <c r="DF135" i="10"/>
  <c r="DB392" i="10"/>
  <c r="DF41" i="10"/>
  <c r="DB125" i="10"/>
  <c r="DB69" i="10"/>
  <c r="GS78" i="10"/>
  <c r="BY125" i="10"/>
  <c r="DB109" i="10"/>
  <c r="DB317" i="10"/>
  <c r="DB273" i="10"/>
  <c r="DS72" i="10"/>
  <c r="BY80" i="10"/>
  <c r="DB312" i="10"/>
  <c r="DR99" i="10"/>
  <c r="BY101" i="10"/>
  <c r="GR83" i="10"/>
  <c r="DF389" i="10"/>
  <c r="BY123" i="10"/>
  <c r="DB44" i="10"/>
  <c r="DF175" i="10"/>
  <c r="GS33" i="10"/>
  <c r="GS108" i="10"/>
  <c r="DB237" i="10"/>
  <c r="DS114" i="10"/>
  <c r="BY90" i="10"/>
  <c r="DB253" i="10"/>
  <c r="DR120" i="10"/>
  <c r="DB241" i="10"/>
  <c r="DS79" i="10"/>
  <c r="GS102" i="10"/>
  <c r="DB255" i="10"/>
  <c r="GS124" i="10"/>
  <c r="DF347" i="10"/>
  <c r="DF359" i="10"/>
  <c r="GS28" i="10"/>
  <c r="DS117" i="10"/>
  <c r="DW48" i="10"/>
  <c r="GS136" i="10"/>
  <c r="DR121" i="10"/>
  <c r="BY27" i="10"/>
  <c r="DR77" i="10"/>
  <c r="DF157" i="10"/>
  <c r="DB39" i="10"/>
  <c r="DF62" i="10"/>
  <c r="DB91" i="10"/>
  <c r="DF36" i="10"/>
  <c r="DF197" i="10"/>
  <c r="DF133" i="10"/>
  <c r="DF218" i="10"/>
  <c r="GS44" i="10"/>
  <c r="DB207" i="10"/>
  <c r="DF193" i="10"/>
  <c r="DF125" i="10"/>
  <c r="DB334" i="10"/>
  <c r="DB43" i="10"/>
  <c r="DB102" i="10"/>
  <c r="DF258" i="10"/>
  <c r="GR106" i="10"/>
  <c r="DF320" i="10"/>
  <c r="GS65" i="10"/>
  <c r="GS249" i="10"/>
  <c r="DF362" i="10"/>
  <c r="GR62" i="10"/>
  <c r="BY157" i="10"/>
  <c r="BY105" i="10"/>
  <c r="DF352" i="10"/>
  <c r="GR129" i="10"/>
  <c r="DF235" i="10"/>
  <c r="DS92" i="10"/>
  <c r="DB34" i="10"/>
  <c r="DR111" i="10"/>
  <c r="DB29" i="10"/>
  <c r="GR110" i="10"/>
  <c r="DS48" i="10"/>
  <c r="DF281" i="10"/>
  <c r="DF280" i="10"/>
  <c r="GR266" i="10"/>
  <c r="DS228" i="10"/>
  <c r="GR147" i="10"/>
  <c r="EH301" i="10"/>
  <c r="GS326" i="10"/>
  <c r="DT313" i="10"/>
  <c r="BY269" i="10"/>
  <c r="GR307" i="10"/>
  <c r="DR376" i="10"/>
  <c r="DT42" i="10"/>
  <c r="EH178" i="10"/>
  <c r="GR60" i="10"/>
  <c r="DR264" i="10"/>
  <c r="GS156" i="10"/>
  <c r="DV66" i="10"/>
  <c r="GS170" i="10"/>
  <c r="DU275" i="10"/>
  <c r="EH34" i="10"/>
  <c r="DV305" i="10"/>
  <c r="DS390" i="10"/>
  <c r="GR216" i="10"/>
  <c r="DW154" i="10"/>
  <c r="GR218" i="10"/>
  <c r="DV320" i="10"/>
  <c r="EC133" i="10"/>
  <c r="DR276" i="10"/>
  <c r="DV353" i="10"/>
  <c r="DU382" i="10"/>
  <c r="DR138" i="10"/>
  <c r="GS199" i="10"/>
  <c r="GR234" i="10"/>
  <c r="GR154" i="10"/>
  <c r="DR287" i="10"/>
  <c r="DU107" i="10"/>
  <c r="DS147" i="10"/>
  <c r="DT124" i="10"/>
  <c r="DU358" i="10"/>
  <c r="DF46" i="10"/>
  <c r="BY38" i="10"/>
  <c r="DB121" i="10"/>
  <c r="DF52" i="10"/>
  <c r="DB305" i="10"/>
  <c r="BY33" i="10"/>
  <c r="DF98" i="10"/>
  <c r="DB345" i="10"/>
  <c r="DB221" i="10"/>
  <c r="DW74" i="10"/>
  <c r="DB267" i="10"/>
  <c r="DB212" i="10"/>
  <c r="DF102" i="10"/>
  <c r="DF33" i="10"/>
  <c r="GS137" i="10"/>
  <c r="DB165" i="10"/>
  <c r="GS72" i="10"/>
  <c r="DB251" i="10"/>
  <c r="DB348" i="10"/>
  <c r="DW83" i="10"/>
  <c r="DB298" i="10"/>
  <c r="DB270" i="10"/>
  <c r="DF30" i="10"/>
  <c r="DB289" i="10"/>
  <c r="DS119" i="10"/>
  <c r="GS82" i="10"/>
  <c r="DB107" i="10"/>
  <c r="DR102" i="10"/>
  <c r="DF106" i="10"/>
  <c r="GR45" i="10"/>
  <c r="DF290" i="10"/>
  <c r="BY128" i="10"/>
  <c r="GS95" i="10"/>
  <c r="DF243" i="10"/>
  <c r="DF35" i="10"/>
  <c r="DW110" i="10"/>
  <c r="DB245" i="10"/>
  <c r="DS136" i="10"/>
  <c r="DF107" i="10"/>
  <c r="DB155" i="10"/>
  <c r="DR114" i="10"/>
  <c r="DB78" i="10"/>
  <c r="DS116" i="10"/>
  <c r="DF104" i="10"/>
  <c r="DB99" i="10"/>
  <c r="DB95" i="10"/>
  <c r="DF203" i="10"/>
  <c r="DR65" i="10"/>
  <c r="DW36" i="10"/>
  <c r="DR81" i="10"/>
  <c r="DW123" i="10"/>
  <c r="DB147" i="10"/>
  <c r="DR113" i="10"/>
  <c r="DW44" i="10"/>
  <c r="DR90" i="10"/>
  <c r="BY112" i="10"/>
  <c r="BY58" i="10"/>
  <c r="DW107" i="10"/>
  <c r="DB216" i="10"/>
  <c r="DF83" i="10"/>
  <c r="DF187" i="10"/>
  <c r="DB156" i="10"/>
  <c r="DF194" i="10"/>
  <c r="DB234" i="10"/>
  <c r="DB127" i="10"/>
  <c r="DF204" i="10"/>
  <c r="BY122" i="10"/>
  <c r="GR120" i="10"/>
  <c r="BY35" i="10"/>
  <c r="DB178" i="10"/>
  <c r="DF391" i="10"/>
  <c r="DF38" i="10"/>
  <c r="DF313" i="10"/>
  <c r="DW23" i="10"/>
  <c r="GR388" i="10"/>
  <c r="DF333" i="10"/>
  <c r="GR39" i="10"/>
  <c r="GS139" i="10"/>
  <c r="DB350" i="10"/>
  <c r="DF318" i="10"/>
  <c r="GR30" i="10"/>
  <c r="DF301" i="10"/>
  <c r="DR117" i="10"/>
  <c r="DS111" i="10"/>
  <c r="DF171" i="10"/>
  <c r="DR128" i="10"/>
  <c r="DB89" i="10"/>
  <c r="DS67" i="10"/>
  <c r="DF358" i="10"/>
  <c r="DR55" i="10"/>
  <c r="BY232" i="10"/>
  <c r="DS339" i="10"/>
  <c r="DR363" i="10"/>
  <c r="EH135" i="10"/>
  <c r="DS299" i="10"/>
  <c r="DF79" i="10"/>
  <c r="DW380" i="10"/>
  <c r="GR214" i="10"/>
  <c r="EH128" i="10"/>
  <c r="DT341" i="10"/>
  <c r="DV121" i="10"/>
  <c r="BY62" i="10"/>
  <c r="BY327" i="10"/>
  <c r="DR313" i="10"/>
  <c r="EH51" i="10"/>
  <c r="DS337" i="10"/>
  <c r="DT180" i="10"/>
  <c r="DT239" i="10"/>
  <c r="EH247" i="10"/>
  <c r="EH269" i="10"/>
  <c r="BY168" i="10"/>
  <c r="DS240" i="10"/>
  <c r="BY328" i="10"/>
  <c r="DT334" i="10"/>
  <c r="GS338" i="10"/>
  <c r="DU41" i="10"/>
  <c r="EH202" i="10"/>
  <c r="DS171" i="10"/>
  <c r="DF249" i="10"/>
  <c r="BY177" i="10"/>
  <c r="GR344" i="10"/>
  <c r="DS285" i="10"/>
  <c r="DT197" i="10"/>
  <c r="EH60" i="10"/>
  <c r="DU247" i="10"/>
  <c r="EC51" i="10"/>
  <c r="DR273" i="10"/>
  <c r="DR116" i="10"/>
  <c r="DW218" i="10"/>
  <c r="BY294" i="10"/>
  <c r="DS302" i="10"/>
  <c r="DS313" i="10"/>
  <c r="DT292" i="10"/>
  <c r="DT318" i="10"/>
  <c r="DU114" i="10"/>
  <c r="EC185" i="10"/>
  <c r="EC79" i="10"/>
  <c r="DT173" i="10"/>
  <c r="EH305" i="10"/>
  <c r="DS84" i="10"/>
  <c r="GR28" i="10"/>
  <c r="GR333" i="10"/>
  <c r="DS224" i="10"/>
  <c r="EC355" i="10"/>
  <c r="DW388" i="10"/>
  <c r="DV65" i="10"/>
  <c r="DU213" i="10"/>
  <c r="DV262" i="10"/>
  <c r="DS316" i="10"/>
  <c r="DT339" i="10"/>
  <c r="EC42" i="10"/>
  <c r="DV383" i="10"/>
  <c r="GS316" i="10"/>
  <c r="DS173" i="10"/>
  <c r="BY317" i="10"/>
  <c r="DV143" i="10"/>
  <c r="DR253" i="10"/>
  <c r="DR161" i="10"/>
  <c r="DW338" i="10"/>
  <c r="DU134" i="10"/>
  <c r="GS142" i="10"/>
  <c r="DS234" i="10"/>
  <c r="GR76" i="10"/>
  <c r="DW153" i="10"/>
  <c r="DW316" i="10"/>
  <c r="DU31" i="10"/>
  <c r="EC330" i="10"/>
  <c r="DT50" i="10"/>
  <c r="DU367" i="10"/>
  <c r="EH327" i="10"/>
  <c r="DU373" i="10"/>
  <c r="DV275" i="10"/>
  <c r="DT104" i="10"/>
  <c r="BY333" i="10"/>
  <c r="EH207" i="10"/>
  <c r="DR235" i="10"/>
  <c r="DR261" i="10"/>
  <c r="DS191" i="10"/>
  <c r="DR316" i="10"/>
  <c r="EC120" i="10"/>
  <c r="DT325" i="10"/>
  <c r="DU110" i="10"/>
  <c r="DT22" i="10"/>
  <c r="BY94" i="10"/>
  <c r="BY310" i="10"/>
  <c r="DV197" i="10"/>
  <c r="DV89" i="10"/>
  <c r="DR180" i="10"/>
  <c r="DR169" i="10"/>
  <c r="BY187" i="10"/>
  <c r="DW155" i="10"/>
  <c r="DW271" i="10"/>
  <c r="DT54" i="10"/>
  <c r="DS40" i="10"/>
  <c r="BY265" i="10"/>
  <c r="EH95" i="10"/>
  <c r="DU227" i="10"/>
  <c r="BY247" i="10"/>
  <c r="EC81" i="10"/>
  <c r="DR226" i="10"/>
  <c r="GS27" i="10"/>
  <c r="GS343" i="10"/>
  <c r="DV122" i="10"/>
  <c r="DW379" i="10"/>
  <c r="DV381" i="10"/>
  <c r="EH188" i="10"/>
  <c r="EC243" i="10"/>
  <c r="EH215" i="10"/>
  <c r="GR138" i="10"/>
  <c r="DS158" i="10"/>
  <c r="EH337" i="10"/>
  <c r="DW273" i="10"/>
  <c r="DS304" i="10"/>
  <c r="DT196" i="10"/>
  <c r="DT71" i="10"/>
  <c r="EH54" i="10"/>
  <c r="DW144" i="10"/>
  <c r="BY304" i="10"/>
  <c r="DS340" i="10"/>
  <c r="DU194" i="10"/>
  <c r="DT362" i="10"/>
  <c r="DU264" i="10"/>
  <c r="EH248" i="10"/>
  <c r="EC245" i="10"/>
  <c r="BY335" i="10"/>
  <c r="EC31" i="10"/>
  <c r="EC147" i="10"/>
  <c r="DV208" i="10"/>
  <c r="GR385" i="10"/>
  <c r="EC82" i="10"/>
  <c r="BY174" i="10"/>
  <c r="EH357" i="10"/>
  <c r="DR150" i="10"/>
  <c r="DU82" i="10"/>
  <c r="GR263" i="10"/>
  <c r="DW314" i="10"/>
  <c r="DT323" i="10"/>
  <c r="GS215" i="10"/>
  <c r="DS278" i="10"/>
  <c r="GS327" i="10"/>
  <c r="GR185" i="10"/>
  <c r="DT271" i="10"/>
  <c r="DW346" i="10"/>
  <c r="DU181" i="10"/>
  <c r="DS330" i="10"/>
  <c r="GR179" i="10"/>
  <c r="BY142" i="10"/>
  <c r="DS295" i="10"/>
  <c r="DT225" i="10"/>
  <c r="DR336" i="10"/>
  <c r="GR153" i="10"/>
  <c r="GS255" i="10"/>
  <c r="DU390" i="10"/>
  <c r="DV341" i="10"/>
  <c r="DV237" i="10"/>
  <c r="DU211" i="10"/>
  <c r="GR118" i="10"/>
  <c r="GR250" i="10"/>
  <c r="EC357" i="10"/>
  <c r="DW226" i="10"/>
  <c r="DV263" i="10"/>
  <c r="DW254" i="10"/>
  <c r="DR303" i="10"/>
  <c r="GR276" i="10"/>
  <c r="DV300" i="10"/>
  <c r="EH173" i="10"/>
  <c r="GR157" i="10"/>
  <c r="DT33" i="10"/>
  <c r="GS274" i="10"/>
  <c r="DV90" i="10"/>
  <c r="GR323" i="10"/>
  <c r="DS179" i="10"/>
  <c r="EC236" i="10"/>
  <c r="BY147" i="10"/>
  <c r="GS160" i="10"/>
  <c r="DT248" i="10"/>
  <c r="DT363" i="10"/>
  <c r="BY308" i="10"/>
  <c r="DT79" i="10"/>
  <c r="EH242" i="10"/>
  <c r="DS280" i="10"/>
  <c r="GS222" i="10"/>
  <c r="EH187" i="10"/>
  <c r="DU165" i="10"/>
  <c r="DU84" i="10"/>
  <c r="DT328" i="10"/>
  <c r="DR170" i="10"/>
  <c r="EC351" i="10"/>
  <c r="DS327" i="10"/>
  <c r="EC265" i="10"/>
  <c r="EH306" i="10"/>
  <c r="EH79" i="10"/>
  <c r="GS382" i="10"/>
  <c r="DV71" i="10"/>
  <c r="DT307" i="10"/>
  <c r="DT94" i="10"/>
  <c r="EH48" i="10"/>
  <c r="DT285" i="10"/>
  <c r="EC379" i="10"/>
  <c r="DS33" i="10"/>
  <c r="EH270" i="10"/>
  <c r="DS308" i="10"/>
  <c r="DT270" i="10"/>
  <c r="GR192" i="10"/>
  <c r="EC118" i="10"/>
  <c r="DT86" i="10"/>
  <c r="DU101" i="10"/>
  <c r="DV213" i="10"/>
  <c r="EC115" i="10"/>
  <c r="DT312" i="10"/>
  <c r="DW288" i="10"/>
  <c r="DT59" i="10"/>
  <c r="DS318" i="10"/>
  <c r="DV83" i="10"/>
  <c r="EC337" i="10"/>
  <c r="EC361" i="10"/>
  <c r="DU111" i="10"/>
  <c r="DR366" i="10"/>
  <c r="DR214" i="10"/>
  <c r="DR280" i="10"/>
  <c r="DU255" i="10"/>
  <c r="BY180" i="10"/>
  <c r="DU192" i="10"/>
  <c r="DU209" i="10"/>
  <c r="DU71" i="10"/>
  <c r="DV346" i="10"/>
  <c r="DV179" i="10"/>
  <c r="DR251" i="10"/>
  <c r="BY217" i="10"/>
  <c r="DV22" i="10"/>
  <c r="BY197" i="10"/>
  <c r="DR330" i="10"/>
  <c r="GR53" i="10"/>
  <c r="DV298" i="10"/>
  <c r="DU106" i="10"/>
  <c r="EC116" i="10"/>
  <c r="DS354" i="10"/>
  <c r="DU38" i="10"/>
  <c r="DR379" i="10"/>
  <c r="BY254" i="10"/>
  <c r="DV43" i="10"/>
  <c r="DT43" i="10"/>
  <c r="DS140" i="10"/>
  <c r="EH355" i="10"/>
  <c r="EC251" i="10"/>
  <c r="DS141" i="10"/>
  <c r="DS382" i="10"/>
  <c r="DV356" i="10"/>
  <c r="EH308" i="10"/>
  <c r="EH133" i="10"/>
  <c r="DR356" i="10"/>
  <c r="DR374" i="10"/>
  <c r="DR312" i="10"/>
  <c r="DU260" i="10"/>
  <c r="EH77" i="10"/>
  <c r="DW205" i="10"/>
  <c r="DT375" i="10"/>
  <c r="DU78" i="10"/>
  <c r="BY353" i="10"/>
  <c r="DU302" i="10"/>
  <c r="GS322" i="10"/>
  <c r="DV194" i="10"/>
  <c r="BY258" i="10"/>
  <c r="DT66" i="10"/>
  <c r="DT357" i="10"/>
  <c r="DF226" i="10"/>
  <c r="GR240" i="10"/>
  <c r="GS314" i="10"/>
  <c r="EH76" i="10"/>
  <c r="DV340" i="10"/>
  <c r="EH32" i="10"/>
  <c r="EH130" i="10"/>
  <c r="EC217" i="10"/>
  <c r="DU223" i="10"/>
  <c r="EC342" i="10"/>
  <c r="DV98" i="10"/>
  <c r="DR304" i="10"/>
  <c r="DS75" i="10"/>
  <c r="GS161" i="10"/>
  <c r="GS166" i="10"/>
  <c r="BY300" i="10"/>
  <c r="DR275" i="10"/>
  <c r="DT293" i="10"/>
  <c r="DV44" i="10"/>
  <c r="DV223" i="10"/>
  <c r="DV308" i="10"/>
  <c r="DU298" i="10"/>
  <c r="DV266" i="10"/>
  <c r="DW167" i="10"/>
  <c r="GS77" i="10"/>
  <c r="BY392" i="10"/>
  <c r="DW365" i="10"/>
  <c r="DR239" i="10"/>
  <c r="DU64" i="10"/>
  <c r="EC328" i="10"/>
  <c r="EC36" i="10"/>
  <c r="GR254" i="10"/>
  <c r="DV359" i="10"/>
  <c r="DV367" i="10"/>
  <c r="DU250" i="10"/>
  <c r="DW106" i="10"/>
  <c r="GR371" i="10"/>
  <c r="DS245" i="10"/>
  <c r="DR233" i="10"/>
  <c r="DT246" i="10"/>
  <c r="DV162" i="10"/>
  <c r="EC229" i="10"/>
  <c r="DR277" i="10"/>
  <c r="EC247" i="10"/>
  <c r="DU136" i="10"/>
  <c r="DU52" i="10"/>
  <c r="GR217" i="10"/>
  <c r="DW263" i="10"/>
  <c r="DR241" i="10"/>
  <c r="EC326" i="10"/>
  <c r="EH28" i="10"/>
  <c r="DV382" i="10"/>
  <c r="DU23" i="10"/>
  <c r="EH194" i="10"/>
  <c r="DR282" i="10"/>
  <c r="DT76" i="10"/>
  <c r="BY55" i="10"/>
  <c r="DW269" i="10"/>
  <c r="DS205" i="10"/>
  <c r="DV30" i="10"/>
  <c r="BY166" i="10"/>
  <c r="GR152" i="10"/>
  <c r="DS139" i="10"/>
  <c r="GR381" i="10"/>
  <c r="BY321" i="10"/>
  <c r="GS339" i="10"/>
  <c r="BY84" i="10"/>
  <c r="GR223" i="10"/>
  <c r="GR300" i="10"/>
  <c r="DT157" i="10"/>
  <c r="BY241" i="10"/>
  <c r="EH252" i="10"/>
  <c r="DV79" i="10"/>
  <c r="BY262" i="10"/>
  <c r="DS273" i="10"/>
  <c r="GR328" i="10"/>
  <c r="EH246" i="10"/>
  <c r="DV39" i="10"/>
  <c r="DV245" i="10"/>
  <c r="EC295" i="10"/>
  <c r="DT68" i="10"/>
  <c r="BY230" i="10"/>
  <c r="GS25" i="10"/>
  <c r="DR183" i="10"/>
  <c r="DU172" i="10"/>
  <c r="EC167" i="10"/>
  <c r="DV392" i="10"/>
  <c r="DT158" i="10"/>
  <c r="DT279" i="10"/>
  <c r="BY159" i="10"/>
  <c r="DS212" i="10"/>
  <c r="DT242" i="10"/>
  <c r="DU307" i="10"/>
  <c r="GR360" i="10"/>
  <c r="DV321" i="10"/>
  <c r="DT210" i="10"/>
  <c r="DV47" i="10"/>
  <c r="GS205" i="10"/>
  <c r="EH347" i="10"/>
  <c r="DV193" i="10"/>
  <c r="DU164" i="10"/>
  <c r="GR148" i="10"/>
  <c r="EH97" i="10"/>
  <c r="GS294" i="10"/>
  <c r="BY365" i="10"/>
  <c r="DV61" i="10"/>
  <c r="EC308" i="10"/>
  <c r="GS380" i="10"/>
  <c r="GS244" i="10"/>
  <c r="DR199" i="10"/>
  <c r="DW181" i="10"/>
  <c r="GS242" i="10"/>
  <c r="GS216" i="10"/>
  <c r="GS283" i="10"/>
  <c r="DV345" i="10"/>
  <c r="DU161" i="10"/>
  <c r="DR345" i="10"/>
  <c r="DU83" i="10"/>
  <c r="GR246" i="10"/>
  <c r="DV175" i="10"/>
  <c r="EH96" i="10"/>
  <c r="DV204" i="10"/>
  <c r="DU171" i="10"/>
  <c r="DF267" i="10"/>
  <c r="BY386" i="10"/>
  <c r="DW198" i="10"/>
  <c r="GS208" i="10"/>
  <c r="DT386" i="10"/>
  <c r="DT360" i="10"/>
  <c r="DW293" i="10"/>
  <c r="EC55" i="10"/>
  <c r="DT232" i="10"/>
  <c r="EC222" i="10"/>
  <c r="DU56" i="10"/>
  <c r="DR355" i="10"/>
  <c r="DU127" i="10"/>
  <c r="DW249" i="10"/>
  <c r="DR323" i="10"/>
  <c r="DT371" i="10"/>
  <c r="EH199" i="10"/>
  <c r="DR257" i="10"/>
  <c r="DW257" i="10"/>
  <c r="DV190" i="10"/>
  <c r="DT389" i="10"/>
  <c r="EC127" i="10"/>
  <c r="DU245" i="10"/>
  <c r="DT89" i="10"/>
  <c r="DV188" i="10"/>
  <c r="DV176" i="10"/>
  <c r="EC196" i="10"/>
  <c r="DW387" i="10"/>
  <c r="DV86" i="10"/>
  <c r="EC248" i="10"/>
  <c r="EC352" i="10"/>
  <c r="DR295" i="10"/>
  <c r="GR386" i="10"/>
  <c r="EC84" i="10"/>
  <c r="DW251" i="10"/>
  <c r="EC57" i="10"/>
  <c r="DR185" i="10"/>
  <c r="DV230" i="10"/>
  <c r="DS144" i="10"/>
  <c r="DV62" i="10"/>
  <c r="EC163" i="10"/>
  <c r="DT309" i="10"/>
  <c r="DV348" i="10"/>
  <c r="DT379" i="10"/>
  <c r="EH319" i="10"/>
  <c r="EC213" i="10"/>
  <c r="DW322" i="10"/>
  <c r="DU218" i="10"/>
  <c r="DV391" i="10"/>
  <c r="BY231" i="10"/>
  <c r="DU180" i="10"/>
  <c r="EC146" i="10"/>
  <c r="DW261" i="10"/>
  <c r="GR183" i="10"/>
  <c r="GS272" i="10"/>
  <c r="DR390" i="10"/>
  <c r="DR258" i="10"/>
  <c r="DV157" i="10"/>
  <c r="DT73" i="10"/>
  <c r="GS178" i="10"/>
  <c r="GR279" i="10"/>
  <c r="DS187" i="10"/>
  <c r="DU145" i="10"/>
  <c r="DU265" i="10"/>
  <c r="EC278" i="10"/>
  <c r="EC290" i="10"/>
  <c r="DV191" i="10"/>
  <c r="EC365" i="10"/>
  <c r="EH111" i="10"/>
  <c r="EH299" i="10"/>
  <c r="DW332" i="10"/>
  <c r="DT125" i="10"/>
  <c r="DW294" i="10"/>
  <c r="EH24" i="10"/>
  <c r="EC142" i="10"/>
  <c r="DV92" i="10"/>
  <c r="DV352" i="10"/>
  <c r="GS237" i="10"/>
  <c r="EH286" i="10"/>
  <c r="DU326" i="10"/>
  <c r="GR301" i="10"/>
  <c r="DS343" i="10"/>
  <c r="GS146" i="10"/>
  <c r="DR146" i="10"/>
  <c r="EH26" i="10"/>
  <c r="EC192" i="10"/>
  <c r="EH125" i="10"/>
  <c r="DU297" i="10"/>
  <c r="DT153" i="10"/>
  <c r="DU364" i="10"/>
  <c r="DT105" i="10"/>
  <c r="DU123" i="10"/>
  <c r="EH371" i="10"/>
  <c r="GS320" i="10"/>
  <c r="EH22" i="10"/>
  <c r="EC130" i="10"/>
  <c r="DV148" i="10"/>
  <c r="BY293" i="10"/>
  <c r="GR293" i="10"/>
  <c r="GR335" i="10"/>
  <c r="GR378" i="10"/>
  <c r="EH136" i="10"/>
  <c r="DU39" i="10"/>
  <c r="DT283" i="10"/>
  <c r="EC113" i="10"/>
  <c r="EC389" i="10"/>
  <c r="DV155" i="10"/>
  <c r="BY189" i="10"/>
  <c r="DS242" i="10"/>
  <c r="DU323" i="10"/>
  <c r="DS342" i="10"/>
  <c r="EH223" i="10"/>
  <c r="DT319" i="10"/>
  <c r="DS307" i="10"/>
  <c r="EH257" i="10"/>
  <c r="DW300" i="10"/>
  <c r="DR38" i="10"/>
  <c r="DW142" i="10"/>
  <c r="BY155" i="10"/>
  <c r="DS189" i="10"/>
  <c r="GR392" i="10"/>
  <c r="EC24" i="10"/>
  <c r="DU190" i="10"/>
  <c r="EH321" i="10"/>
  <c r="GR319" i="10"/>
  <c r="DT95" i="10"/>
  <c r="DU170" i="10"/>
  <c r="GS173" i="10"/>
  <c r="DR131" i="10"/>
  <c r="GR303" i="10"/>
  <c r="GR166" i="10"/>
  <c r="GR299" i="10"/>
  <c r="DR271" i="10"/>
  <c r="EH65" i="10"/>
  <c r="DS247" i="10"/>
  <c r="EC29" i="10"/>
  <c r="BY284" i="10"/>
  <c r="DU331" i="10"/>
  <c r="EH31" i="10"/>
  <c r="EH364" i="10"/>
  <c r="DB135" i="10"/>
  <c r="DS351" i="10"/>
  <c r="DS181" i="10"/>
  <c r="DT140" i="10"/>
  <c r="EH229" i="10"/>
  <c r="DT188" i="10"/>
  <c r="EH68" i="10"/>
  <c r="DR352" i="10"/>
  <c r="EH146" i="10"/>
  <c r="DV49" i="10"/>
  <c r="DU135" i="10"/>
  <c r="GR42" i="10"/>
  <c r="GS175" i="10"/>
  <c r="DU320" i="10"/>
  <c r="DW292" i="10"/>
  <c r="EC104" i="10"/>
  <c r="DR223" i="10"/>
  <c r="DV364" i="10"/>
  <c r="DT316" i="10"/>
  <c r="DT97" i="10"/>
  <c r="DT289" i="10"/>
  <c r="DV288" i="10"/>
  <c r="BY320" i="10"/>
  <c r="GR295" i="10"/>
  <c r="DW190" i="10"/>
  <c r="EH53" i="10"/>
  <c r="DV273" i="10"/>
  <c r="EH240" i="10"/>
  <c r="EH75" i="10"/>
  <c r="DV177" i="10"/>
  <c r="DU112" i="10"/>
  <c r="DT388" i="10"/>
  <c r="DS113" i="10"/>
  <c r="GS254" i="10"/>
  <c r="EC174" i="10"/>
  <c r="DU252" i="10"/>
  <c r="GS332" i="10"/>
  <c r="BY384" i="10"/>
  <c r="DT380" i="10"/>
  <c r="BY185" i="10"/>
  <c r="DR361" i="10"/>
  <c r="DS244" i="10"/>
  <c r="GR87" i="10"/>
  <c r="GS346" i="10"/>
  <c r="DT138" i="10"/>
  <c r="DS101" i="10"/>
  <c r="DR380" i="10"/>
  <c r="GR346" i="10"/>
  <c r="DV77" i="10"/>
  <c r="GR370" i="10"/>
  <c r="DR157" i="10"/>
  <c r="EH342" i="10"/>
  <c r="EH314" i="10"/>
  <c r="DV228" i="10"/>
  <c r="DT198" i="10"/>
  <c r="DU81" i="10"/>
  <c r="EH50" i="10"/>
  <c r="BY141" i="10"/>
  <c r="DR145" i="10"/>
  <c r="DV255" i="10"/>
  <c r="DV388" i="10"/>
  <c r="DS355" i="10"/>
  <c r="EC108" i="10"/>
  <c r="EC166" i="10"/>
  <c r="EH158" i="10"/>
  <c r="GS176" i="10"/>
  <c r="DU154" i="10"/>
  <c r="DV107" i="10"/>
  <c r="EH183" i="10"/>
  <c r="DS381" i="10"/>
  <c r="DT165" i="10"/>
  <c r="DV239" i="10"/>
  <c r="EH70" i="10"/>
  <c r="GS311" i="10"/>
  <c r="GR353" i="10"/>
  <c r="DR321" i="10"/>
  <c r="GR174" i="10"/>
  <c r="EH162" i="10"/>
  <c r="DU203" i="10"/>
  <c r="GS348" i="10"/>
  <c r="DS258" i="10"/>
  <c r="DS271" i="10"/>
  <c r="GR274" i="10"/>
  <c r="DU29" i="10"/>
  <c r="GS290" i="10"/>
  <c r="DW148" i="10"/>
  <c r="GS328" i="10"/>
  <c r="EC368" i="10"/>
  <c r="GS337" i="10"/>
  <c r="DW147" i="10"/>
  <c r="DT189" i="10"/>
  <c r="DW210" i="10"/>
  <c r="DU167" i="10"/>
  <c r="EH61" i="10"/>
  <c r="DU207" i="10"/>
  <c r="EC224" i="10"/>
  <c r="EC41" i="10"/>
  <c r="DF160" i="10"/>
  <c r="DW342" i="10"/>
  <c r="DS283" i="10"/>
  <c r="DR391" i="10"/>
  <c r="DV264" i="10"/>
  <c r="EH120" i="10"/>
  <c r="EC160" i="10"/>
  <c r="DV82" i="10"/>
  <c r="DW279" i="10"/>
  <c r="DV355" i="10"/>
  <c r="DT329" i="10"/>
  <c r="DU156" i="10"/>
  <c r="DF312" i="10"/>
  <c r="BY160" i="10"/>
  <c r="DR260" i="10"/>
  <c r="DS311" i="10"/>
  <c r="DU232" i="10"/>
  <c r="DT26" i="10"/>
  <c r="DU286" i="10"/>
  <c r="DW337" i="10"/>
  <c r="DS202" i="10"/>
  <c r="DR244" i="10"/>
  <c r="DU314" i="10"/>
  <c r="DV202" i="10"/>
  <c r="GR132" i="10"/>
  <c r="GS151" i="10"/>
  <c r="BY266" i="10"/>
  <c r="DW178" i="10"/>
  <c r="DV212" i="10"/>
  <c r="DW149" i="10"/>
  <c r="EH376" i="10"/>
  <c r="DR209" i="10"/>
  <c r="DV112" i="10"/>
  <c r="DU95" i="10"/>
  <c r="EC67" i="10"/>
  <c r="GS53" i="10"/>
  <c r="DS148" i="10"/>
  <c r="DU308" i="10"/>
  <c r="DS328" i="10"/>
  <c r="BY288" i="10"/>
  <c r="EC201" i="10"/>
  <c r="DW189" i="10"/>
  <c r="DU338" i="10"/>
  <c r="DT330" i="10"/>
  <c r="EC102" i="10"/>
  <c r="DU285" i="10"/>
  <c r="BY228" i="10"/>
  <c r="DW374" i="10"/>
  <c r="EC364" i="10"/>
  <c r="EH171" i="10"/>
  <c r="GS220" i="10"/>
  <c r="DV309" i="10"/>
  <c r="DW369" i="10"/>
  <c r="GR308" i="10"/>
  <c r="EH354" i="10"/>
  <c r="EC378" i="10"/>
  <c r="DR122" i="10"/>
  <c r="GR256" i="10"/>
  <c r="GS362" i="10"/>
  <c r="DS211" i="10"/>
  <c r="BY153" i="10"/>
  <c r="DR369" i="10"/>
  <c r="DW221" i="10"/>
  <c r="DW376" i="10"/>
  <c r="BY297" i="10"/>
  <c r="DU268" i="10"/>
  <c r="GR59" i="10"/>
  <c r="DR201" i="10"/>
  <c r="DS293" i="10"/>
  <c r="DF236" i="10"/>
  <c r="GR363" i="10"/>
  <c r="DT217" i="10"/>
  <c r="GS187" i="10"/>
  <c r="DW362" i="10"/>
  <c r="EH87" i="10"/>
  <c r="DT204" i="10"/>
  <c r="DT63" i="10"/>
  <c r="GR141" i="10"/>
  <c r="DT343" i="10"/>
  <c r="EC264" i="10"/>
  <c r="EC40" i="10"/>
  <c r="GS182" i="10"/>
  <c r="EH126" i="10"/>
  <c r="DU66" i="10"/>
  <c r="EC297" i="10"/>
  <c r="GR238" i="10"/>
  <c r="DU392" i="10"/>
  <c r="EH349" i="10"/>
  <c r="EH89" i="10"/>
  <c r="DW357" i="10"/>
  <c r="DS239" i="10"/>
  <c r="DR210" i="10"/>
  <c r="GR357" i="10"/>
  <c r="DT233" i="10"/>
  <c r="DR193" i="10"/>
  <c r="EC117" i="10"/>
  <c r="EC164" i="10"/>
  <c r="BY175" i="10"/>
  <c r="DS146" i="10"/>
  <c r="DT139" i="10"/>
  <c r="DV280" i="10"/>
  <c r="DV129" i="10"/>
  <c r="EC212" i="10"/>
  <c r="GR25" i="10"/>
  <c r="DR26" i="10"/>
  <c r="DU169" i="10"/>
  <c r="DU378" i="10"/>
  <c r="DV70" i="10"/>
  <c r="GS381" i="10"/>
  <c r="DT129" i="10"/>
  <c r="DR197" i="10"/>
  <c r="GR291" i="10"/>
  <c r="DR306" i="10"/>
  <c r="GS366" i="10"/>
  <c r="DT367" i="10"/>
  <c r="DT61" i="10"/>
  <c r="DR225" i="10"/>
  <c r="DF372" i="10"/>
  <c r="BY276" i="10"/>
  <c r="BY376" i="10"/>
  <c r="GS196" i="10"/>
  <c r="DU335" i="10"/>
  <c r="DV295" i="10"/>
  <c r="GS51" i="10"/>
  <c r="GR170" i="10"/>
  <c r="EH124" i="10"/>
  <c r="EH262" i="10"/>
  <c r="EH127" i="10"/>
  <c r="EC158" i="10"/>
  <c r="DS263" i="10"/>
  <c r="EC277" i="10"/>
  <c r="DV225" i="10"/>
  <c r="DW302" i="10"/>
  <c r="EC184" i="10"/>
  <c r="DT52" i="10"/>
  <c r="EH116" i="10"/>
  <c r="DR308" i="10"/>
  <c r="DU86" i="10"/>
  <c r="EH350" i="10"/>
  <c r="EH383" i="10"/>
  <c r="DV151" i="10"/>
  <c r="EC114" i="10"/>
  <c r="DV72" i="10"/>
  <c r="EC234" i="10"/>
  <c r="EC301" i="10"/>
  <c r="GR116" i="10"/>
  <c r="EC383" i="10"/>
  <c r="DT48" i="10"/>
  <c r="DT77" i="10"/>
  <c r="DT269" i="10"/>
  <c r="DW281" i="10"/>
  <c r="GR375" i="10"/>
  <c r="DU319" i="10"/>
  <c r="DT374" i="10"/>
  <c r="EC392" i="10"/>
  <c r="EC302" i="10"/>
  <c r="DV385" i="10"/>
  <c r="DV369" i="10"/>
  <c r="BY154" i="10"/>
  <c r="DU279" i="10"/>
  <c r="DU146" i="10"/>
  <c r="DW165" i="10"/>
  <c r="DV67" i="10"/>
  <c r="DU290" i="10"/>
  <c r="EC37" i="10"/>
  <c r="EC181" i="10"/>
  <c r="EH368" i="10"/>
  <c r="EH170" i="10"/>
  <c r="DF265" i="10"/>
  <c r="DV185" i="10"/>
  <c r="DS321" i="10"/>
  <c r="EC198" i="10"/>
  <c r="GR210" i="10"/>
  <c r="GS310" i="10"/>
  <c r="EH316" i="10"/>
  <c r="DU132" i="10"/>
  <c r="GR169" i="10"/>
  <c r="DS260" i="10"/>
  <c r="DU176" i="10"/>
  <c r="EH367" i="10"/>
  <c r="EC227" i="10"/>
  <c r="EH149" i="10"/>
  <c r="EC257" i="10"/>
  <c r="DS143" i="10"/>
  <c r="DR299" i="10"/>
  <c r="DS370" i="10"/>
  <c r="EC145" i="10"/>
  <c r="DV87" i="10"/>
  <c r="DV337" i="10"/>
  <c r="DV118" i="10"/>
  <c r="DF338" i="10"/>
  <c r="DS218" i="10"/>
  <c r="DU73" i="10"/>
  <c r="EH114" i="10"/>
  <c r="GR320" i="10"/>
  <c r="DU263" i="10"/>
  <c r="EH155" i="10"/>
  <c r="DU92" i="10"/>
  <c r="DU332" i="10"/>
  <c r="DV42" i="10"/>
  <c r="EH109" i="10"/>
  <c r="DU139" i="10"/>
  <c r="DT224" i="10"/>
  <c r="DR339" i="10"/>
  <c r="DU159" i="10"/>
  <c r="BY273" i="10"/>
  <c r="GS259" i="10"/>
  <c r="DU141" i="10"/>
  <c r="BY23" i="10"/>
  <c r="BY234" i="10"/>
  <c r="DR265" i="10"/>
  <c r="EC260" i="10"/>
  <c r="DW392" i="10"/>
  <c r="EH39" i="10"/>
  <c r="DF26" i="10"/>
  <c r="GR262" i="10"/>
  <c r="DT23" i="10"/>
  <c r="DT159" i="10"/>
  <c r="EC48" i="10"/>
  <c r="GS309" i="10"/>
  <c r="EC88" i="10"/>
  <c r="DV111" i="10"/>
  <c r="DR167" i="10"/>
  <c r="EH292" i="10"/>
  <c r="DF170" i="10"/>
  <c r="EC238" i="10"/>
  <c r="EH276" i="10"/>
  <c r="DU129" i="10"/>
  <c r="EC338" i="10"/>
  <c r="GS200" i="10"/>
  <c r="DW355" i="10"/>
  <c r="DW390" i="10"/>
  <c r="DS289" i="10"/>
  <c r="DU293" i="10"/>
  <c r="EH302" i="10"/>
  <c r="EH47" i="10"/>
  <c r="BY152" i="10"/>
  <c r="DU128" i="10"/>
  <c r="DV233" i="10"/>
  <c r="DU234" i="10"/>
  <c r="DU178" i="10"/>
  <c r="EC134" i="10"/>
  <c r="DV141" i="10"/>
  <c r="DU249" i="10"/>
  <c r="DS163" i="10"/>
  <c r="DT370" i="10"/>
  <c r="DU191" i="10"/>
  <c r="EH231" i="10"/>
  <c r="GS347" i="10"/>
  <c r="EC22" i="10"/>
  <c r="EC50" i="10"/>
  <c r="DU122" i="10"/>
  <c r="DV276" i="10"/>
  <c r="GS389" i="10"/>
  <c r="EC25" i="10"/>
  <c r="GR79" i="10"/>
  <c r="BY330" i="10"/>
  <c r="BY366" i="10"/>
  <c r="BY235" i="10"/>
  <c r="EC94" i="10"/>
  <c r="BY282" i="10"/>
  <c r="EC111" i="10"/>
  <c r="DW211" i="10"/>
  <c r="DT236" i="10"/>
  <c r="DU151" i="10"/>
  <c r="DT354" i="10"/>
  <c r="DT62" i="10"/>
  <c r="DF294" i="10"/>
  <c r="BY325" i="10"/>
  <c r="DV209" i="10"/>
  <c r="EC323" i="10"/>
  <c r="DT65" i="10"/>
  <c r="EC376" i="10"/>
  <c r="DS391" i="10"/>
  <c r="EH206" i="10"/>
  <c r="DT288" i="10"/>
  <c r="EC143" i="10"/>
  <c r="DU210" i="10"/>
  <c r="GR149" i="10"/>
  <c r="DF382" i="10"/>
  <c r="DS180" i="10"/>
  <c r="DR142" i="10"/>
  <c r="DR347" i="10"/>
  <c r="DV319" i="10"/>
  <c r="EH261" i="10"/>
  <c r="DT260" i="10"/>
  <c r="GS217" i="10"/>
  <c r="GR243" i="10"/>
  <c r="DT264" i="10"/>
  <c r="EC310" i="10"/>
  <c r="BY319" i="10"/>
  <c r="EC206" i="10"/>
  <c r="DS203" i="10"/>
  <c r="DR389" i="10"/>
  <c r="DS319" i="10"/>
  <c r="DS213" i="10"/>
  <c r="EC304" i="10"/>
  <c r="DT106" i="10"/>
  <c r="DV323" i="10"/>
  <c r="DT87" i="10"/>
  <c r="DB240" i="10"/>
  <c r="DS178" i="10"/>
  <c r="DR187" i="10"/>
  <c r="DW161" i="10"/>
  <c r="GR326" i="10"/>
  <c r="DS150" i="10"/>
  <c r="DR289" i="10"/>
  <c r="GR181" i="10"/>
  <c r="DT144" i="10"/>
  <c r="DS155" i="10"/>
  <c r="DU296" i="10"/>
  <c r="GR47" i="10"/>
  <c r="BY289" i="10"/>
  <c r="EH161" i="10"/>
  <c r="DU37" i="10"/>
  <c r="DW336" i="10"/>
  <c r="DV54" i="10"/>
  <c r="DW179" i="10"/>
  <c r="BY313" i="10"/>
  <c r="GR382" i="10"/>
  <c r="GS171" i="10"/>
  <c r="GR36" i="10"/>
  <c r="BY370" i="10"/>
  <c r="EH356" i="10"/>
  <c r="BY41" i="10"/>
  <c r="GS392" i="10"/>
  <c r="DR343" i="10"/>
  <c r="EH115" i="10"/>
  <c r="GS140" i="10"/>
  <c r="DR274" i="10"/>
  <c r="GR330" i="10"/>
  <c r="DU44" i="10"/>
  <c r="EH186" i="10"/>
  <c r="DR291" i="10"/>
  <c r="DT177" i="10"/>
  <c r="DT131" i="10"/>
  <c r="GS257" i="10"/>
  <c r="GR312" i="10"/>
  <c r="GS390" i="10"/>
  <c r="EC339" i="10"/>
  <c r="DU116" i="10"/>
  <c r="DS363" i="10"/>
  <c r="EH172" i="10"/>
  <c r="EH358" i="10"/>
  <c r="BY264" i="10"/>
  <c r="GS352" i="10"/>
  <c r="DV284" i="10"/>
  <c r="EH49" i="10"/>
  <c r="DU87" i="10"/>
  <c r="EH322" i="10"/>
  <c r="DV236" i="10"/>
  <c r="DR337" i="10"/>
  <c r="BY173" i="10"/>
  <c r="EH73" i="10"/>
  <c r="DV338" i="10"/>
  <c r="DV224" i="10"/>
  <c r="DW240" i="10"/>
  <c r="DT290" i="10"/>
  <c r="BY158" i="10"/>
  <c r="DW182" i="10"/>
  <c r="EH234" i="10"/>
  <c r="DU342" i="10"/>
  <c r="DR79" i="10"/>
  <c r="DS392" i="10"/>
  <c r="GR208" i="10"/>
  <c r="DU53" i="10"/>
  <c r="GR94" i="10"/>
  <c r="DU74" i="10"/>
  <c r="EH37" i="10"/>
  <c r="EC92" i="10"/>
  <c r="GR324" i="10"/>
  <c r="DS348" i="10"/>
  <c r="DF370" i="10"/>
  <c r="DR286" i="10"/>
  <c r="BY380" i="10"/>
  <c r="DT32" i="10"/>
  <c r="DV316" i="10"/>
  <c r="DV380" i="10"/>
  <c r="GR108" i="10"/>
  <c r="GS207" i="10"/>
  <c r="DT234" i="10"/>
  <c r="DU85" i="10"/>
  <c r="DT392" i="10"/>
  <c r="DT172" i="10"/>
  <c r="GS325" i="10"/>
  <c r="DS222" i="10"/>
  <c r="EH388" i="10"/>
  <c r="EH335" i="10"/>
  <c r="DV109" i="10"/>
  <c r="BY318" i="10"/>
  <c r="DT160" i="10"/>
  <c r="DU360" i="10"/>
  <c r="DT121" i="10"/>
  <c r="DW248" i="10"/>
  <c r="DS262" i="10"/>
  <c r="EC272" i="10"/>
  <c r="DU235" i="10"/>
  <c r="DT308" i="10"/>
  <c r="DU113" i="10"/>
  <c r="EC375" i="10"/>
  <c r="BY79" i="10"/>
  <c r="EC103" i="10"/>
  <c r="GR190" i="10"/>
  <c r="DR22" i="10"/>
  <c r="DV241" i="10"/>
  <c r="GS231" i="10"/>
  <c r="EH213" i="10"/>
  <c r="EC100" i="10"/>
  <c r="DS227" i="10"/>
  <c r="DU355" i="10"/>
  <c r="GR290" i="10"/>
  <c r="EC65" i="10"/>
  <c r="DU271" i="10"/>
  <c r="DT281" i="10"/>
  <c r="EH179" i="10"/>
  <c r="DV205" i="10"/>
  <c r="EC317" i="10"/>
  <c r="DV220" i="10"/>
  <c r="DV150" i="10"/>
  <c r="DU77" i="10"/>
  <c r="BY224" i="10"/>
  <c r="EH366" i="10"/>
  <c r="DW130" i="10"/>
  <c r="DU369" i="10"/>
  <c r="DT75" i="10"/>
  <c r="DV318" i="10"/>
  <c r="DU352" i="10"/>
  <c r="DS167" i="10"/>
  <c r="DS347" i="10"/>
  <c r="DU220" i="10"/>
  <c r="BY332" i="10"/>
  <c r="DU157" i="10"/>
  <c r="DR307" i="10"/>
  <c r="GR318" i="10"/>
  <c r="GS63" i="10"/>
  <c r="GS345" i="10"/>
  <c r="DW343" i="10"/>
  <c r="GS355" i="10"/>
  <c r="EH331" i="10"/>
  <c r="DS384" i="10"/>
  <c r="DW255" i="10"/>
  <c r="GR213" i="10"/>
  <c r="GR206" i="10"/>
  <c r="EH225" i="10"/>
  <c r="DV169" i="10"/>
  <c r="EC38" i="10"/>
  <c r="DF287" i="10"/>
  <c r="DW340" i="10"/>
  <c r="DW258" i="10"/>
  <c r="DU237" i="10"/>
  <c r="DW202" i="10"/>
  <c r="GS299" i="10"/>
  <c r="EC240" i="10"/>
  <c r="DW209" i="10"/>
  <c r="DV310" i="10"/>
  <c r="DU351" i="10"/>
  <c r="EC294" i="10"/>
  <c r="EC292" i="10"/>
  <c r="DR63" i="10"/>
  <c r="GS148" i="10"/>
  <c r="EH275" i="10"/>
  <c r="EC270" i="10"/>
  <c r="DS306" i="10"/>
  <c r="DT24" i="10"/>
  <c r="GR222" i="10"/>
  <c r="DU117" i="10"/>
  <c r="EH72" i="10"/>
  <c r="DV34" i="10"/>
  <c r="DV115" i="10"/>
  <c r="GS154" i="10"/>
  <c r="DW216" i="10"/>
  <c r="DR381" i="10"/>
  <c r="DU100" i="10"/>
  <c r="DT175" i="10"/>
  <c r="DU305" i="10"/>
  <c r="DU47" i="10"/>
  <c r="EH159" i="10"/>
  <c r="GR203" i="10"/>
  <c r="EC128" i="10"/>
  <c r="DW89" i="10"/>
  <c r="GS273" i="10"/>
  <c r="GS368" i="10"/>
  <c r="GR189" i="10"/>
  <c r="EC60" i="10"/>
  <c r="DV226" i="10"/>
  <c r="EC96" i="10"/>
  <c r="DR243" i="10"/>
  <c r="GR315" i="10"/>
  <c r="DT134" i="10"/>
  <c r="DV282" i="10"/>
  <c r="GS58" i="10"/>
  <c r="DW268" i="10"/>
  <c r="DW330" i="10"/>
  <c r="DU226" i="10"/>
  <c r="GS335" i="10"/>
  <c r="GR211" i="10"/>
  <c r="GR383" i="10"/>
  <c r="GR379" i="10"/>
  <c r="EC49" i="10"/>
  <c r="GS269" i="10"/>
  <c r="GR67" i="10"/>
  <c r="DR216" i="10"/>
  <c r="DR151" i="10"/>
  <c r="GR92" i="10"/>
  <c r="BY367" i="10"/>
  <c r="DU384" i="10"/>
  <c r="DV271" i="10"/>
  <c r="BY368" i="10"/>
  <c r="GS191" i="10"/>
  <c r="DU42" i="10"/>
  <c r="EH220" i="10"/>
  <c r="EC180" i="10"/>
  <c r="EH119" i="10"/>
  <c r="EH230" i="10"/>
  <c r="EH195" i="10"/>
  <c r="BY171" i="10"/>
  <c r="GS252" i="10"/>
  <c r="DV343" i="10"/>
  <c r="EC173" i="10"/>
  <c r="DV52" i="10"/>
  <c r="DT168" i="10"/>
  <c r="DT345" i="10"/>
  <c r="DS252" i="10"/>
  <c r="GR391" i="10"/>
  <c r="DV48" i="10"/>
  <c r="EC157" i="10"/>
  <c r="EH244" i="10"/>
  <c r="DW284" i="10"/>
  <c r="DT108" i="10"/>
  <c r="EC215" i="10"/>
  <c r="EH191" i="10"/>
  <c r="GS243" i="10"/>
  <c r="DS193" i="10"/>
  <c r="EH197" i="10"/>
  <c r="DU340" i="10"/>
  <c r="DR357" i="10"/>
  <c r="DR84" i="10"/>
  <c r="GS291" i="10"/>
  <c r="DS166" i="10"/>
  <c r="EC332" i="10"/>
  <c r="GR68" i="10"/>
  <c r="GS246" i="10"/>
  <c r="DR144" i="10"/>
  <c r="DV199" i="10"/>
  <c r="DU115" i="10"/>
  <c r="DV167" i="10"/>
  <c r="EH290" i="10"/>
  <c r="EH169" i="10"/>
  <c r="GS286" i="10"/>
  <c r="EH140" i="10"/>
  <c r="DT113" i="10"/>
  <c r="DT152" i="10"/>
  <c r="DF146" i="10"/>
  <c r="GR275" i="10"/>
  <c r="DS345" i="10"/>
  <c r="GR284" i="10"/>
  <c r="DR278" i="10"/>
  <c r="DU228" i="10"/>
  <c r="BY355" i="10"/>
  <c r="GR209" i="10"/>
  <c r="DU215" i="10"/>
  <c r="DV296" i="10"/>
  <c r="DU292" i="10"/>
  <c r="EH35" i="10"/>
  <c r="DW76" i="10"/>
  <c r="BY176" i="10"/>
  <c r="GS289" i="10"/>
  <c r="EH329" i="10"/>
  <c r="DT151" i="10"/>
  <c r="DT359" i="10"/>
  <c r="DV342" i="10"/>
  <c r="DV132" i="10"/>
  <c r="DT384" i="10"/>
  <c r="DT133" i="10"/>
  <c r="EH59" i="10"/>
  <c r="BY149" i="10"/>
  <c r="DR219" i="10"/>
  <c r="DW367" i="10"/>
  <c r="DV130" i="10"/>
  <c r="DU147" i="10"/>
  <c r="DT326" i="10"/>
  <c r="DU241" i="10"/>
  <c r="DV216" i="10"/>
  <c r="DU219" i="10"/>
  <c r="EC348" i="10"/>
  <c r="DR85" i="10"/>
  <c r="GR155" i="10"/>
  <c r="DS162" i="10"/>
  <c r="EH43" i="10"/>
  <c r="DT132" i="10"/>
  <c r="EC91" i="10"/>
  <c r="DU330" i="10"/>
  <c r="GR336" i="10"/>
  <c r="DU233" i="10"/>
  <c r="DU166" i="10"/>
  <c r="DV368" i="10"/>
  <c r="BY199" i="10"/>
  <c r="BY305" i="10"/>
  <c r="DV219" i="10"/>
  <c r="DF303" i="10"/>
  <c r="BY341" i="10"/>
  <c r="EC136" i="10"/>
  <c r="DS229" i="10"/>
  <c r="GS143" i="10"/>
  <c r="DR293" i="10"/>
  <c r="DS257" i="10"/>
  <c r="GS189" i="10"/>
  <c r="DW304" i="10"/>
  <c r="DT111" i="10"/>
  <c r="DW65" i="10"/>
  <c r="GR322" i="10"/>
  <c r="GR380" i="10"/>
  <c r="EC137" i="10"/>
  <c r="GR173" i="10"/>
  <c r="DV195" i="10"/>
  <c r="EH145" i="10"/>
  <c r="DR298" i="10"/>
  <c r="DT272" i="10"/>
  <c r="DV363" i="10"/>
  <c r="DT214" i="10"/>
  <c r="EH152" i="10"/>
  <c r="GR311" i="10"/>
  <c r="DR372" i="10"/>
  <c r="EH80" i="10"/>
  <c r="DS190" i="10"/>
  <c r="EH196" i="10"/>
  <c r="EC33" i="10"/>
  <c r="DT60" i="10"/>
  <c r="DT346" i="10"/>
  <c r="DW146" i="10"/>
  <c r="DR300" i="10"/>
  <c r="DT273" i="10"/>
  <c r="EC177" i="10"/>
  <c r="DR172" i="10"/>
  <c r="DV182" i="10"/>
  <c r="DV329" i="10"/>
  <c r="DU339" i="10"/>
  <c r="BY391" i="10"/>
  <c r="DR259" i="10"/>
  <c r="GR349" i="10"/>
  <c r="EC193" i="10"/>
  <c r="GR139" i="10"/>
  <c r="DR123" i="10"/>
  <c r="GS253" i="10"/>
  <c r="GR167" i="10"/>
  <c r="GR364" i="10"/>
  <c r="DV189" i="10"/>
  <c r="DF316" i="10"/>
  <c r="DR326" i="10"/>
  <c r="DS88" i="10"/>
  <c r="DW341" i="10"/>
  <c r="DW46" i="10"/>
  <c r="DW378" i="10"/>
  <c r="DR232" i="10"/>
  <c r="DR174" i="10"/>
  <c r="DV63" i="10"/>
  <c r="DT56" i="10"/>
  <c r="GR33" i="10"/>
  <c r="GS336" i="10"/>
  <c r="EH200" i="10"/>
  <c r="EH211" i="10"/>
  <c r="EC155" i="10"/>
  <c r="DT137" i="10"/>
  <c r="GS293" i="10"/>
  <c r="DR140" i="10"/>
  <c r="DT120" i="10"/>
  <c r="DT257" i="10"/>
  <c r="EC223" i="10"/>
  <c r="EC232" i="10"/>
  <c r="DS188" i="10"/>
  <c r="EH375" i="10"/>
  <c r="DS276" i="10"/>
  <c r="EC320" i="10"/>
  <c r="EH38" i="10"/>
  <c r="DV24" i="10"/>
  <c r="DT118" i="10"/>
  <c r="DR176" i="10"/>
  <c r="DU375" i="10"/>
  <c r="DT80" i="10"/>
  <c r="DS226" i="10"/>
  <c r="DR175" i="10"/>
  <c r="DV248" i="10"/>
  <c r="EH293" i="10"/>
  <c r="DT376" i="10"/>
  <c r="GR233" i="10"/>
  <c r="BY240" i="10"/>
  <c r="DT184" i="10"/>
  <c r="EC121" i="10"/>
  <c r="DV272" i="10"/>
  <c r="EH228" i="10"/>
  <c r="EH203" i="10"/>
  <c r="DW324" i="10"/>
  <c r="DU246" i="10"/>
  <c r="EC219" i="10"/>
  <c r="GR282" i="10"/>
  <c r="DT100" i="10"/>
  <c r="GS372" i="10"/>
  <c r="GR339" i="10"/>
  <c r="EH30" i="10"/>
  <c r="EH258" i="10"/>
  <c r="DT162" i="10"/>
  <c r="DV265" i="10"/>
  <c r="EH260" i="10"/>
  <c r="EC61" i="10"/>
  <c r="DR78" i="10"/>
  <c r="EH332" i="10"/>
  <c r="DS216" i="10"/>
  <c r="EC346" i="10"/>
  <c r="GS40" i="10"/>
  <c r="DV97" i="10"/>
  <c r="GS251" i="10"/>
  <c r="EH315" i="10"/>
  <c r="DR294" i="10"/>
  <c r="DV64" i="10"/>
  <c r="DT58" i="10"/>
  <c r="DT294" i="10"/>
  <c r="DT203" i="10"/>
  <c r="DT219" i="10"/>
  <c r="DU348" i="10"/>
  <c r="BY215" i="10"/>
  <c r="DV133" i="10"/>
  <c r="EH352" i="10"/>
  <c r="EH241" i="10"/>
  <c r="DR188" i="10"/>
  <c r="DW326" i="10"/>
  <c r="DV186" i="10"/>
  <c r="GR49" i="10"/>
  <c r="EC249" i="10"/>
  <c r="DT135" i="10"/>
  <c r="DW199" i="10"/>
  <c r="DU341" i="10"/>
  <c r="EC187" i="10"/>
  <c r="DR388" i="10"/>
  <c r="GS265" i="10"/>
  <c r="BY358" i="10"/>
  <c r="EC312" i="10"/>
  <c r="EH153" i="10"/>
  <c r="BY22" i="10"/>
  <c r="DU258" i="10"/>
  <c r="DT265" i="10"/>
  <c r="DT182" i="10"/>
  <c r="DT361" i="10"/>
  <c r="DT222" i="10"/>
  <c r="DR384" i="10"/>
  <c r="GS268" i="10"/>
  <c r="DT145" i="10"/>
  <c r="EH266" i="10"/>
  <c r="DT277" i="10"/>
  <c r="EH147" i="10"/>
  <c r="GR296" i="10"/>
  <c r="DR218" i="10"/>
  <c r="DW317" i="10"/>
  <c r="EH148" i="10"/>
  <c r="GS195" i="10"/>
  <c r="BY227" i="10"/>
  <c r="DB22" i="10"/>
  <c r="DV253" i="10"/>
  <c r="DF54" i="10"/>
  <c r="EH192" i="10"/>
  <c r="GS24" i="10"/>
  <c r="GS317" i="10"/>
  <c r="GR197" i="10"/>
  <c r="DT275" i="10"/>
  <c r="DW166" i="10"/>
  <c r="DU142" i="10"/>
  <c r="DT202" i="10"/>
  <c r="DV252" i="10"/>
  <c r="EC216" i="10"/>
  <c r="DT250" i="10"/>
  <c r="DU244" i="10"/>
  <c r="DT324" i="10"/>
  <c r="DW112" i="10"/>
  <c r="DW213" i="10"/>
  <c r="DW307" i="10"/>
  <c r="EC32" i="10"/>
  <c r="GR186" i="10"/>
  <c r="EC271" i="10"/>
  <c r="DT109" i="10"/>
  <c r="DU28" i="10"/>
  <c r="BY257" i="10"/>
  <c r="EC380" i="10"/>
  <c r="EC225" i="10"/>
  <c r="EC208" i="10"/>
  <c r="DW138" i="10"/>
  <c r="GS270" i="10"/>
  <c r="DR229" i="10"/>
  <c r="GS315" i="10"/>
  <c r="EC321" i="10"/>
  <c r="DV312" i="10"/>
  <c r="DT211" i="10"/>
  <c r="GS341" i="10"/>
  <c r="GS179" i="10"/>
  <c r="DS334" i="10"/>
  <c r="EH324" i="10"/>
  <c r="BY169" i="10"/>
  <c r="DW266" i="10"/>
  <c r="DR217" i="10"/>
  <c r="DV31" i="10"/>
  <c r="BY226" i="10"/>
  <c r="EC303" i="10"/>
  <c r="GS26" i="10"/>
  <c r="DW327" i="10"/>
  <c r="EC86" i="10"/>
  <c r="DR319" i="10"/>
  <c r="DF377" i="10"/>
  <c r="GS374" i="10"/>
  <c r="DW176" i="10"/>
  <c r="DW192" i="10"/>
  <c r="DT301" i="10"/>
  <c r="GS276" i="10"/>
  <c r="EC274" i="10"/>
  <c r="DR156" i="10"/>
  <c r="EC291" i="10"/>
  <c r="DV260" i="10"/>
  <c r="EC59" i="10"/>
  <c r="DR147" i="10"/>
  <c r="DR267" i="10"/>
  <c r="BY193" i="10"/>
  <c r="DF151" i="10"/>
  <c r="BY329" i="10"/>
  <c r="EC159" i="10"/>
  <c r="DU282" i="10"/>
  <c r="BY190" i="10"/>
  <c r="DV278" i="10"/>
  <c r="DS241" i="10"/>
  <c r="DR143" i="10"/>
  <c r="BY218" i="10"/>
  <c r="GS297" i="10"/>
  <c r="GS256" i="10"/>
  <c r="GS360" i="10"/>
  <c r="EC237" i="10"/>
  <c r="DS251" i="10"/>
  <c r="DW223" i="10"/>
  <c r="DS312" i="10"/>
  <c r="DV270" i="10"/>
  <c r="EC315" i="10"/>
  <c r="GS296" i="10"/>
  <c r="EH253" i="10"/>
  <c r="DV231" i="10"/>
  <c r="EH323" i="10"/>
  <c r="GS304" i="10"/>
  <c r="GR268" i="10"/>
  <c r="EC296" i="10"/>
  <c r="EH190" i="10"/>
  <c r="GR236" i="10"/>
  <c r="DU65" i="10"/>
  <c r="EC283" i="10"/>
  <c r="EC360" i="10"/>
  <c r="BY253" i="10"/>
  <c r="GR143" i="10"/>
  <c r="DR252" i="10"/>
  <c r="DU266" i="10"/>
  <c r="DW370" i="10"/>
  <c r="EH249" i="10"/>
  <c r="DU121" i="10"/>
  <c r="DR270" i="10"/>
  <c r="EC153" i="10"/>
  <c r="DV36" i="10"/>
  <c r="DT235" i="10"/>
  <c r="DW353" i="10"/>
  <c r="DW259" i="10"/>
  <c r="DF274" i="10"/>
  <c r="DU386" i="10"/>
  <c r="EC334" i="10"/>
  <c r="EH201" i="10"/>
  <c r="GR387" i="10"/>
  <c r="GS112" i="10"/>
  <c r="GS379" i="10"/>
  <c r="DF214" i="10"/>
  <c r="DW315" i="10"/>
  <c r="DW62" i="10"/>
  <c r="GS350" i="10"/>
  <c r="DT229" i="10"/>
  <c r="DV242" i="10"/>
  <c r="EC345" i="10"/>
  <c r="DV104" i="10"/>
  <c r="BY383" i="10"/>
  <c r="DV166" i="10"/>
  <c r="DR279" i="10"/>
  <c r="DU365" i="10"/>
  <c r="DU143" i="10"/>
  <c r="DW319" i="10"/>
  <c r="BY374" i="10"/>
  <c r="DV50" i="10"/>
  <c r="EH101" i="10"/>
  <c r="DU124" i="10"/>
  <c r="GR259" i="10"/>
  <c r="DU61" i="10"/>
  <c r="DS270" i="10"/>
  <c r="EH379" i="10"/>
  <c r="DW282" i="10"/>
  <c r="EH118" i="10"/>
  <c r="EC390" i="10"/>
  <c r="EH143" i="10"/>
  <c r="DT193" i="10"/>
  <c r="EC95" i="10"/>
  <c r="DV128" i="10"/>
  <c r="EH336" i="10"/>
  <c r="DV297" i="10"/>
  <c r="DS34" i="10"/>
  <c r="DR360" i="10"/>
  <c r="DT358" i="10"/>
  <c r="DR368" i="10"/>
  <c r="DT147" i="10"/>
  <c r="GS227" i="10"/>
  <c r="DV58" i="10"/>
  <c r="DT227" i="10"/>
  <c r="DS362" i="10"/>
  <c r="DT205" i="10"/>
  <c r="DS233" i="10"/>
  <c r="EC288" i="10"/>
  <c r="DU175" i="10"/>
  <c r="DF23" i="10"/>
  <c r="DU186" i="10"/>
  <c r="GR205" i="10"/>
  <c r="DT259" i="10"/>
  <c r="DW297" i="10"/>
  <c r="EH78" i="10"/>
  <c r="EC309" i="10"/>
  <c r="DV294" i="10"/>
  <c r="DR348" i="10"/>
  <c r="DV142" i="10"/>
  <c r="DV95" i="10"/>
  <c r="DF317" i="10"/>
  <c r="DU102" i="10"/>
  <c r="DS210" i="10"/>
  <c r="EH217" i="10"/>
  <c r="GR354" i="10"/>
  <c r="EC233" i="10"/>
  <c r="EH281" i="10"/>
  <c r="DU256" i="10"/>
  <c r="GR367" i="10"/>
  <c r="DS154" i="10"/>
  <c r="EC169" i="10"/>
  <c r="DU357" i="10"/>
  <c r="EC246" i="10"/>
  <c r="DS272" i="10"/>
  <c r="EC72" i="10"/>
  <c r="GS241" i="10"/>
  <c r="DV158" i="10"/>
  <c r="DW222" i="10"/>
  <c r="EH353" i="10"/>
  <c r="DV160" i="10"/>
  <c r="EH268" i="10"/>
  <c r="EH33" i="10"/>
  <c r="DF152" i="10"/>
  <c r="DT278" i="10"/>
  <c r="DU273" i="10"/>
  <c r="DV200" i="10"/>
  <c r="BY144" i="10"/>
  <c r="EH117" i="10"/>
  <c r="EC183" i="10"/>
  <c r="EC131" i="10"/>
  <c r="EC175" i="10"/>
  <c r="DT365" i="10"/>
  <c r="DT282" i="10"/>
  <c r="DV26" i="10"/>
  <c r="DU103" i="10"/>
  <c r="DV357" i="10"/>
  <c r="EH221" i="10"/>
  <c r="DU68" i="10"/>
  <c r="DR198" i="10"/>
  <c r="EH57" i="10"/>
  <c r="DU202" i="10"/>
  <c r="DV344" i="10"/>
  <c r="DV33" i="10"/>
  <c r="EC281" i="10"/>
  <c r="EH138" i="10"/>
  <c r="EH151" i="10"/>
  <c r="GR365" i="10"/>
  <c r="DS281" i="10"/>
  <c r="DF161" i="10"/>
  <c r="DT256" i="10"/>
  <c r="EC70" i="10"/>
  <c r="DT92" i="10"/>
  <c r="EC197" i="10"/>
  <c r="DU200" i="10"/>
  <c r="BY248" i="10"/>
  <c r="GS165" i="10"/>
  <c r="BY369" i="10"/>
  <c r="DS184" i="10"/>
  <c r="DR152" i="10"/>
  <c r="EH62" i="10"/>
  <c r="EC141" i="10"/>
  <c r="DT342" i="10"/>
  <c r="DU76" i="10"/>
  <c r="EH216" i="10"/>
  <c r="EC324" i="10"/>
  <c r="EC54" i="10"/>
  <c r="GS117" i="10"/>
  <c r="GR345" i="10"/>
  <c r="GR359" i="10"/>
  <c r="DV378" i="10"/>
  <c r="DV124" i="10"/>
  <c r="DU294" i="10"/>
  <c r="DT298" i="10"/>
  <c r="DT123" i="10"/>
  <c r="DS305" i="10"/>
  <c r="DV314" i="10"/>
  <c r="DU183" i="10"/>
  <c r="EC384" i="10"/>
  <c r="GR93" i="10"/>
  <c r="DW275" i="10"/>
  <c r="DR186" i="10"/>
  <c r="GS306" i="10"/>
  <c r="DV138" i="10"/>
  <c r="GR390" i="10"/>
  <c r="DV163" i="10"/>
  <c r="EH326" i="10"/>
  <c r="EC199" i="10"/>
  <c r="EH382" i="10"/>
  <c r="DV125" i="10"/>
  <c r="DR184" i="10"/>
  <c r="DS359" i="10"/>
  <c r="BY295" i="10"/>
  <c r="BY242" i="10"/>
  <c r="DS322" i="10"/>
  <c r="DW310" i="10"/>
  <c r="GS387" i="10"/>
  <c r="DV328" i="10"/>
  <c r="GS349" i="10"/>
  <c r="EC144" i="10"/>
  <c r="DF209" i="10"/>
  <c r="DR334" i="10"/>
  <c r="DS389" i="10"/>
  <c r="DS296" i="10"/>
  <c r="BY156" i="10"/>
  <c r="EH235" i="10"/>
  <c r="DS157" i="10"/>
  <c r="GS245" i="10"/>
  <c r="DU217" i="10"/>
  <c r="EC333" i="10"/>
  <c r="DU381" i="10"/>
  <c r="BY201" i="10"/>
  <c r="DS367" i="10"/>
  <c r="DS326" i="10"/>
  <c r="DF154" i="10"/>
  <c r="DW236" i="10"/>
  <c r="GR297" i="10"/>
  <c r="EH177" i="10"/>
  <c r="BY348" i="10"/>
  <c r="EC170" i="10"/>
  <c r="DU89" i="10"/>
  <c r="BY151" i="10"/>
  <c r="GR188" i="10"/>
  <c r="DT69" i="10"/>
  <c r="GR171" i="10"/>
  <c r="GR23" i="10"/>
  <c r="GS305" i="10"/>
  <c r="EH236" i="10"/>
  <c r="GR389" i="10"/>
  <c r="BY244" i="10"/>
  <c r="GR321" i="10"/>
  <c r="DU253" i="10"/>
  <c r="DW225" i="10"/>
  <c r="DV281" i="10"/>
  <c r="DS387" i="10"/>
  <c r="DT252" i="10"/>
  <c r="BY161" i="10"/>
  <c r="DW363" i="10"/>
  <c r="GR162" i="10"/>
  <c r="DT337" i="10"/>
  <c r="DW197" i="10"/>
  <c r="EC385" i="10"/>
  <c r="GR184" i="10"/>
  <c r="DT373" i="10"/>
  <c r="DR224" i="10"/>
  <c r="EC149" i="10"/>
  <c r="DU40" i="10"/>
  <c r="DW265" i="10"/>
  <c r="GS229" i="10"/>
  <c r="DU214" i="10"/>
  <c r="EC35" i="10"/>
  <c r="DR75" i="10"/>
  <c r="DW313" i="10"/>
  <c r="DW344" i="10"/>
  <c r="DU325" i="10"/>
  <c r="EC298" i="10"/>
  <c r="DU51" i="10"/>
  <c r="DF181" i="10"/>
  <c r="GR334" i="10"/>
  <c r="GS183" i="10"/>
  <c r="EC78" i="10"/>
  <c r="DV101" i="10"/>
  <c r="GS133" i="10"/>
  <c r="DW358" i="10"/>
  <c r="GR90" i="10"/>
  <c r="BY351" i="10"/>
  <c r="GR43" i="10"/>
  <c r="GS236" i="10"/>
  <c r="DV267" i="10"/>
  <c r="EH232" i="10"/>
  <c r="DS149" i="10"/>
  <c r="DV164" i="10"/>
  <c r="GR252" i="10"/>
  <c r="DR149" i="10"/>
  <c r="DV211" i="10"/>
  <c r="DU205" i="10"/>
  <c r="DT216" i="10"/>
  <c r="EC325" i="10"/>
  <c r="BY221" i="10"/>
  <c r="DS380" i="10"/>
  <c r="DR329" i="10"/>
  <c r="DT300" i="10"/>
  <c r="EH198" i="10"/>
  <c r="GR286" i="10"/>
  <c r="DT55" i="10"/>
  <c r="DU346" i="10"/>
  <c r="EC370" i="10"/>
  <c r="EH283" i="10"/>
  <c r="DU158" i="10"/>
  <c r="GR298" i="10"/>
  <c r="DV370" i="10"/>
  <c r="DT377" i="10"/>
  <c r="DU306" i="10"/>
  <c r="DT103" i="10"/>
  <c r="DT164" i="10"/>
  <c r="DS388" i="10"/>
  <c r="EC340" i="10"/>
  <c r="DV174" i="10"/>
  <c r="DT47" i="10"/>
  <c r="DV206" i="10"/>
  <c r="DR378" i="10"/>
  <c r="DU24" i="10"/>
  <c r="EH370" i="10"/>
  <c r="DT167" i="10"/>
  <c r="EC58" i="10"/>
  <c r="DS279" i="10"/>
  <c r="EC273" i="10"/>
  <c r="EC30" i="10"/>
  <c r="GR31" i="10"/>
  <c r="EC331" i="10"/>
  <c r="DR320" i="10"/>
  <c r="EC319" i="10"/>
  <c r="BY238" i="10"/>
  <c r="GS168" i="10"/>
  <c r="DT141" i="10"/>
  <c r="GR182" i="10"/>
  <c r="DU54" i="10"/>
  <c r="DS220" i="10"/>
  <c r="DT185" i="10"/>
  <c r="DF357" i="10"/>
  <c r="DW321" i="10"/>
  <c r="GR362" i="10"/>
  <c r="EH212" i="10"/>
  <c r="GR164" i="10"/>
  <c r="DT78" i="10"/>
  <c r="DU363" i="10"/>
  <c r="DU70" i="10"/>
  <c r="EC344" i="10"/>
  <c r="DU389" i="10"/>
  <c r="EH328" i="10"/>
  <c r="DF284" i="10"/>
  <c r="DT35" i="10"/>
  <c r="DU242" i="10"/>
  <c r="DU295" i="10"/>
  <c r="GS330" i="10"/>
  <c r="DR266" i="10"/>
  <c r="EC46" i="10"/>
  <c r="EH27" i="10"/>
  <c r="GR260" i="10"/>
  <c r="DU238" i="10"/>
  <c r="GS391" i="10"/>
  <c r="DF144" i="10"/>
  <c r="GR195" i="10"/>
  <c r="DT195" i="10"/>
  <c r="EH282" i="10"/>
  <c r="GR310" i="10"/>
  <c r="DU193" i="10"/>
  <c r="DR272" i="10"/>
  <c r="DU138" i="10"/>
  <c r="DU300" i="10"/>
  <c r="DW311" i="10"/>
  <c r="EH167" i="10"/>
  <c r="GS240" i="10"/>
  <c r="GS41" i="10"/>
  <c r="EH154" i="10"/>
  <c r="EH239" i="10"/>
  <c r="DT110" i="10"/>
  <c r="DU93" i="10"/>
  <c r="EH298" i="10"/>
  <c r="DT34" i="10"/>
  <c r="DV322" i="10"/>
  <c r="DT317" i="10"/>
  <c r="DU36" i="10"/>
  <c r="EH163" i="10"/>
  <c r="DT263" i="10"/>
  <c r="DT276" i="10"/>
  <c r="DT70" i="10"/>
  <c r="DF147" i="10"/>
  <c r="DS25" i="10"/>
  <c r="DF25" i="10"/>
  <c r="BY309" i="10"/>
  <c r="DW239" i="10"/>
  <c r="DR204" i="10"/>
  <c r="DW359" i="10"/>
  <c r="GR142" i="10"/>
  <c r="DW286" i="10"/>
  <c r="DR317" i="10"/>
  <c r="EH66" i="10"/>
  <c r="DR205" i="10"/>
  <c r="DV38" i="10"/>
  <c r="BY167" i="10"/>
  <c r="EH271" i="10"/>
  <c r="DV326" i="10"/>
  <c r="DU272" i="10"/>
  <c r="DU299" i="10"/>
  <c r="GR89" i="10"/>
  <c r="DW140" i="10"/>
  <c r="BY140" i="10"/>
  <c r="GR309" i="10"/>
  <c r="GR255" i="10"/>
  <c r="DT31" i="10"/>
  <c r="EC204" i="10"/>
  <c r="DT88" i="10"/>
  <c r="DR154" i="10"/>
  <c r="DU345" i="10"/>
  <c r="EC280" i="10"/>
  <c r="DS177" i="10"/>
  <c r="GR50" i="10"/>
  <c r="DS341" i="10"/>
  <c r="DU371" i="10"/>
  <c r="DR375" i="10"/>
  <c r="EC200" i="10"/>
  <c r="EC356" i="10"/>
  <c r="DW351" i="10"/>
  <c r="DU184" i="10"/>
  <c r="DT171" i="10"/>
  <c r="DS199" i="10"/>
  <c r="DU49" i="10"/>
  <c r="BY205" i="10"/>
  <c r="DW305" i="10"/>
  <c r="DR231" i="10"/>
  <c r="EH381" i="10"/>
  <c r="EH243" i="10"/>
  <c r="EH122" i="10"/>
  <c r="DR351" i="10"/>
  <c r="GS164" i="10"/>
  <c r="EC34" i="10"/>
  <c r="DS23" i="10"/>
  <c r="DF227" i="10"/>
  <c r="DW291" i="10"/>
  <c r="DU280" i="10"/>
  <c r="DU269" i="10"/>
  <c r="EC239" i="10"/>
  <c r="DU337" i="10"/>
  <c r="GR231" i="10"/>
  <c r="DV183" i="10"/>
  <c r="DV349" i="10"/>
  <c r="DW159" i="10"/>
  <c r="DV257" i="10"/>
  <c r="DW264" i="10"/>
  <c r="BY346" i="10"/>
  <c r="DU313" i="10"/>
  <c r="DS24" i="10"/>
  <c r="DW384" i="10"/>
  <c r="DV360" i="10"/>
  <c r="DR127" i="10"/>
  <c r="DS206" i="10"/>
  <c r="GS186" i="10"/>
  <c r="DT146" i="10"/>
  <c r="GS307" i="10"/>
  <c r="BY212" i="10"/>
  <c r="EC194" i="10"/>
  <c r="BY219" i="10"/>
  <c r="DR285" i="10"/>
  <c r="EH287" i="10"/>
  <c r="DV117" i="10"/>
  <c r="DR386" i="10"/>
  <c r="DV123" i="10"/>
  <c r="DV250" i="10"/>
  <c r="DW158" i="10"/>
  <c r="DV55" i="10"/>
  <c r="DT136" i="10"/>
  <c r="EC44" i="10"/>
  <c r="EC26" i="10"/>
  <c r="GR292" i="10"/>
  <c r="EC311" i="10"/>
  <c r="EC162" i="10"/>
  <c r="DW172" i="10"/>
  <c r="GS238" i="10"/>
  <c r="EH386" i="10"/>
  <c r="DT85" i="10"/>
  <c r="DF266" i="10"/>
  <c r="GS312" i="10"/>
  <c r="GS188" i="10"/>
  <c r="DU58" i="10"/>
  <c r="EC76" i="10"/>
  <c r="DT81" i="10"/>
  <c r="EC43" i="10"/>
  <c r="DT383" i="10"/>
  <c r="GR71" i="10"/>
  <c r="BY303" i="10"/>
  <c r="GR251" i="10"/>
  <c r="GR235" i="10"/>
  <c r="DT381" i="10"/>
  <c r="DU372" i="10"/>
  <c r="DF328" i="10"/>
  <c r="GS313" i="10"/>
  <c r="GR347" i="10"/>
  <c r="DR141" i="10"/>
  <c r="DU125" i="10"/>
  <c r="GR107" i="10"/>
  <c r="BY223" i="10"/>
  <c r="GR24" i="10"/>
  <c r="DS266" i="10"/>
  <c r="DB24" i="10"/>
  <c r="DS268" i="10"/>
  <c r="EC165" i="10"/>
  <c r="DR194" i="10"/>
  <c r="EC262" i="10"/>
  <c r="EH378" i="10"/>
  <c r="BY139" i="10"/>
  <c r="DU179" i="10"/>
  <c r="EC150" i="10"/>
  <c r="DU336" i="10"/>
  <c r="GR151" i="10"/>
  <c r="DT238" i="10"/>
  <c r="BY164" i="10"/>
  <c r="DW151" i="10"/>
  <c r="DV238" i="10"/>
  <c r="EC124" i="10"/>
  <c r="DV144" i="10"/>
  <c r="DU362" i="10"/>
  <c r="DS324" i="10"/>
  <c r="DU385" i="10"/>
  <c r="DU225" i="10"/>
  <c r="DS165" i="10"/>
  <c r="EH300" i="10"/>
  <c r="EH392" i="10"/>
  <c r="DU221" i="10"/>
  <c r="DR166" i="10"/>
  <c r="DU118" i="10"/>
  <c r="DU201" i="10"/>
  <c r="EH208" i="10"/>
  <c r="BY146" i="10"/>
  <c r="DV153" i="10"/>
  <c r="DR203" i="10"/>
  <c r="DU380" i="10"/>
  <c r="EC373" i="10"/>
  <c r="BY182" i="10"/>
  <c r="DV159" i="10"/>
  <c r="DS376" i="10"/>
  <c r="EC358" i="10"/>
  <c r="EH141" i="10"/>
  <c r="EH340" i="10"/>
  <c r="DW235" i="10"/>
  <c r="EH284" i="10"/>
  <c r="GR61" i="10"/>
  <c r="DV59" i="10"/>
  <c r="GS275" i="10"/>
  <c r="DT336" i="10"/>
  <c r="GS184" i="10"/>
  <c r="DU97" i="10"/>
  <c r="DU96" i="10"/>
  <c r="EC156" i="10"/>
  <c r="EC151" i="10"/>
  <c r="GR372" i="10"/>
  <c r="EC125" i="10"/>
  <c r="DF379" i="10"/>
  <c r="EC235" i="10"/>
  <c r="DT305" i="10"/>
  <c r="EC64" i="10"/>
  <c r="GS234" i="10"/>
  <c r="DT284" i="10"/>
  <c r="EH362" i="10"/>
  <c r="EC207" i="10"/>
  <c r="DR340" i="10"/>
  <c r="EH313" i="10"/>
  <c r="DU257" i="10"/>
  <c r="DF319" i="10"/>
  <c r="DS151" i="10"/>
  <c r="DV85" i="10"/>
  <c r="DV289" i="10"/>
  <c r="GR248" i="10"/>
  <c r="EC191" i="10"/>
  <c r="DV325" i="10"/>
  <c r="DU354" i="10"/>
  <c r="DW253" i="10"/>
  <c r="GS384" i="10"/>
  <c r="DU195" i="10"/>
  <c r="BY203" i="10"/>
  <c r="DV106" i="10"/>
  <c r="DU261" i="10"/>
  <c r="DT244" i="10"/>
  <c r="EC314" i="10"/>
  <c r="EH67" i="10"/>
  <c r="EC289" i="10"/>
  <c r="DV217" i="10"/>
  <c r="DU309" i="10"/>
  <c r="DR365" i="10"/>
  <c r="DW184" i="10"/>
  <c r="DS288" i="10"/>
  <c r="GS277" i="10"/>
  <c r="BY375" i="10"/>
  <c r="DB26" i="10"/>
  <c r="DT315" i="10"/>
  <c r="EC71" i="10"/>
  <c r="DU259" i="10"/>
  <c r="DR292" i="10"/>
  <c r="DS331" i="10"/>
  <c r="EH318" i="10"/>
  <c r="DF22" i="10"/>
  <c r="EC98" i="10"/>
  <c r="EC209" i="10"/>
  <c r="DV313" i="10"/>
  <c r="DT45" i="10"/>
  <c r="DF150" i="10"/>
  <c r="DT213" i="10"/>
  <c r="GR270" i="10"/>
  <c r="DV334" i="10"/>
  <c r="DR25" i="10"/>
  <c r="BY195" i="10"/>
  <c r="GR306" i="10"/>
  <c r="DS225" i="10"/>
  <c r="DS197" i="10"/>
  <c r="DS194" i="10"/>
  <c r="DR290" i="10"/>
  <c r="BY229" i="10"/>
  <c r="DS378" i="10"/>
  <c r="DT311" i="10"/>
  <c r="DT29" i="10"/>
  <c r="DR162" i="10"/>
  <c r="BY275" i="10"/>
  <c r="DT302" i="10"/>
  <c r="GS46" i="10"/>
  <c r="GS141" i="10"/>
  <c r="GR374" i="10"/>
  <c r="DU287" i="10"/>
  <c r="EC285" i="10"/>
  <c r="DT287" i="10"/>
  <c r="DV81" i="10"/>
  <c r="DU25" i="10"/>
  <c r="DW299" i="10"/>
  <c r="EH142" i="10"/>
  <c r="DV311" i="10"/>
  <c r="EH92" i="10"/>
  <c r="BY222" i="10"/>
  <c r="GS211" i="10"/>
  <c r="DS235" i="10"/>
  <c r="DV251" i="10"/>
  <c r="DT72" i="10"/>
  <c r="EC269" i="10"/>
  <c r="BY302" i="10"/>
  <c r="DU343" i="10"/>
  <c r="DV306" i="10"/>
  <c r="DT286" i="10"/>
  <c r="DF145" i="10"/>
  <c r="DW212" i="10"/>
  <c r="DT230" i="10"/>
  <c r="EC39" i="10"/>
  <c r="DS223" i="10"/>
  <c r="EC112" i="10"/>
  <c r="GR232" i="10"/>
  <c r="EC62" i="10"/>
  <c r="EH74" i="10"/>
  <c r="DT194" i="10"/>
  <c r="DU98" i="10"/>
  <c r="GS52" i="10"/>
  <c r="DR165" i="10"/>
  <c r="BY387" i="10"/>
  <c r="EH325" i="10"/>
  <c r="BY192" i="10"/>
  <c r="DT166" i="10"/>
  <c r="DR240" i="10"/>
  <c r="EH254" i="10"/>
  <c r="DV258" i="10"/>
  <c r="DT91" i="10"/>
  <c r="DU387" i="10"/>
  <c r="BY322" i="10"/>
  <c r="DV75" i="10"/>
  <c r="GR207" i="10"/>
  <c r="BY263" i="10"/>
  <c r="BY200" i="10"/>
  <c r="EH297" i="10"/>
  <c r="GR46" i="10"/>
  <c r="GR352" i="10"/>
  <c r="DW377" i="10"/>
  <c r="DU350" i="10"/>
  <c r="BY336" i="10"/>
  <c r="DV136" i="10"/>
  <c r="DR245" i="10"/>
  <c r="DW352" i="10"/>
  <c r="GR377" i="10"/>
  <c r="DV168" i="10"/>
  <c r="GR56" i="10"/>
  <c r="GR140" i="10"/>
  <c r="DU374" i="10"/>
  <c r="EC63" i="10"/>
  <c r="DV147" i="10"/>
  <c r="DV384" i="10"/>
  <c r="DU376" i="10"/>
  <c r="DW215" i="10"/>
  <c r="DS63" i="10"/>
  <c r="DS182" i="10"/>
  <c r="EC327" i="10"/>
  <c r="DT64" i="10"/>
  <c r="DU224" i="10"/>
  <c r="EC218" i="10"/>
  <c r="DT356" i="10"/>
  <c r="GR158" i="10"/>
  <c r="GR48" i="10"/>
  <c r="DS172" i="10"/>
  <c r="DT40" i="10"/>
  <c r="GS260" i="10"/>
  <c r="DT366" i="10"/>
  <c r="EH168" i="10"/>
  <c r="DU291" i="10"/>
  <c r="EH312" i="10"/>
  <c r="DW289" i="10"/>
  <c r="BY338" i="10"/>
  <c r="DR171" i="10"/>
  <c r="DU22" i="10"/>
  <c r="DT119" i="10"/>
  <c r="DT186" i="10"/>
  <c r="DW320" i="10"/>
  <c r="BY349" i="10"/>
  <c r="DS169" i="10"/>
  <c r="EH339" i="10"/>
  <c r="DT200" i="10"/>
  <c r="GR224" i="10"/>
  <c r="DW160" i="10"/>
  <c r="DW348" i="10"/>
  <c r="DT327" i="10"/>
  <c r="GS174" i="10"/>
  <c r="DR23" i="10"/>
  <c r="DU361" i="10"/>
  <c r="DV207" i="10"/>
  <c r="EC230" i="10"/>
  <c r="DV180" i="10"/>
  <c r="BY345" i="10"/>
  <c r="GR194" i="10"/>
  <c r="DV377" i="10"/>
  <c r="EC268" i="10"/>
  <c r="DT218" i="10"/>
  <c r="DU344" i="10"/>
  <c r="DS332" i="10"/>
  <c r="EC53" i="10"/>
  <c r="DT322" i="10"/>
  <c r="DW208" i="10"/>
  <c r="EH344" i="10"/>
  <c r="BY76" i="10"/>
  <c r="EH209" i="10"/>
  <c r="DT349" i="10"/>
  <c r="EC387" i="10"/>
  <c r="EH224" i="10"/>
  <c r="DR350" i="10"/>
  <c r="DU333" i="10"/>
  <c r="BY267" i="10"/>
  <c r="EC258" i="10"/>
  <c r="DT255" i="10"/>
  <c r="EC73" i="10"/>
  <c r="DT28" i="10"/>
  <c r="DS277" i="10"/>
  <c r="DT335" i="10"/>
  <c r="DR314" i="10"/>
  <c r="EH83" i="10"/>
  <c r="EH112" i="10"/>
  <c r="DS375" i="10"/>
  <c r="EC316" i="10"/>
  <c r="EC287" i="10"/>
  <c r="EC341" i="10"/>
  <c r="DT192" i="10"/>
  <c r="DT206" i="10"/>
  <c r="EC335" i="10"/>
  <c r="EH46" i="10"/>
  <c r="DW187" i="10"/>
  <c r="DT261" i="10"/>
  <c r="DU230" i="10"/>
  <c r="DT30" i="10"/>
  <c r="DS368" i="10"/>
  <c r="EH184" i="10"/>
  <c r="DR302" i="10"/>
  <c r="GS213" i="10"/>
  <c r="EH44" i="10"/>
  <c r="DU240" i="10"/>
  <c r="DT344" i="10"/>
  <c r="DW295" i="10"/>
  <c r="EC363" i="10"/>
  <c r="EH280" i="10"/>
  <c r="EC171" i="10"/>
  <c r="DS207" i="10"/>
  <c r="GR280" i="10"/>
  <c r="EC93" i="10"/>
  <c r="DV389" i="10"/>
  <c r="DW328" i="10"/>
  <c r="DU79" i="10"/>
  <c r="DV102" i="10"/>
  <c r="GS319" i="10"/>
  <c r="GR316" i="10"/>
  <c r="DU347" i="10"/>
  <c r="EC354" i="10"/>
  <c r="DW238" i="10"/>
  <c r="EC318" i="10"/>
  <c r="DU243" i="10"/>
  <c r="BY184" i="10"/>
  <c r="DU34" i="10"/>
  <c r="EC168" i="10"/>
  <c r="DU204" i="10"/>
  <c r="GS230" i="10"/>
  <c r="DS153" i="10"/>
  <c r="DS282" i="10"/>
  <c r="DT245" i="10"/>
  <c r="DU383" i="10"/>
  <c r="DS231" i="10"/>
  <c r="DS164" i="10"/>
  <c r="GR229" i="10"/>
  <c r="DR191" i="10"/>
  <c r="EH210" i="10"/>
  <c r="EC154" i="10"/>
  <c r="DV354" i="10"/>
  <c r="EC300" i="10"/>
  <c r="DT142" i="10"/>
  <c r="BY331" i="10"/>
  <c r="DV25" i="10"/>
  <c r="DU312" i="10"/>
  <c r="BY296" i="10"/>
  <c r="DS30" i="10"/>
  <c r="DT84" i="10"/>
  <c r="DU270" i="10"/>
  <c r="EH99" i="10"/>
  <c r="GR193" i="10"/>
  <c r="DS315" i="10"/>
  <c r="DS196" i="10"/>
  <c r="DF139" i="10"/>
  <c r="DS170" i="10"/>
  <c r="EH296" i="10"/>
  <c r="EH311" i="10"/>
  <c r="EH377" i="10"/>
  <c r="DB23" i="10"/>
  <c r="BY306" i="10"/>
  <c r="DR66" i="10"/>
  <c r="DV302" i="10"/>
  <c r="DU152" i="10"/>
  <c r="DV127" i="10"/>
  <c r="EC266" i="10"/>
  <c r="EC99" i="10"/>
  <c r="DT274" i="10"/>
  <c r="DT36" i="10"/>
  <c r="GS193" i="10"/>
  <c r="EH164" i="10"/>
  <c r="DW191" i="10"/>
  <c r="DV379" i="10"/>
  <c r="EC286" i="10"/>
  <c r="DV254" i="10"/>
  <c r="GR146" i="10"/>
  <c r="GR348" i="10"/>
  <c r="EC138" i="10"/>
  <c r="DT267" i="10"/>
  <c r="BY378" i="10"/>
  <c r="DV41" i="10"/>
  <c r="DU177" i="10"/>
  <c r="BY170" i="10"/>
  <c r="DW285" i="10"/>
  <c r="BY179" i="10"/>
  <c r="DT25" i="10"/>
  <c r="EC231" i="10"/>
  <c r="EC107" i="10"/>
  <c r="DR338" i="10"/>
  <c r="DT93" i="10"/>
  <c r="DT201" i="10"/>
  <c r="DT241" i="10"/>
  <c r="DF353" i="10"/>
  <c r="GS329" i="10"/>
  <c r="DS264" i="10"/>
  <c r="EH29" i="10"/>
  <c r="DF201" i="10"/>
  <c r="EC69" i="10"/>
  <c r="GS385" i="10"/>
  <c r="DV304" i="10"/>
  <c r="EC372" i="10"/>
  <c r="GR253" i="10"/>
  <c r="EH108" i="10"/>
  <c r="BY204" i="10"/>
  <c r="EH55" i="10"/>
  <c r="BY299" i="10"/>
  <c r="DS183" i="10"/>
  <c r="EH277" i="10"/>
  <c r="DS26" i="10"/>
  <c r="DV246" i="10"/>
  <c r="BY259" i="10"/>
  <c r="EH265" i="10"/>
  <c r="EH259" i="10"/>
  <c r="DW206" i="10"/>
  <c r="DT39" i="10"/>
  <c r="DB27" i="10"/>
  <c r="BY315" i="10"/>
  <c r="DV218" i="10"/>
  <c r="EH384" i="10"/>
  <c r="EC362" i="10"/>
  <c r="EH121" i="10"/>
  <c r="DT41" i="10"/>
  <c r="DR385" i="10"/>
  <c r="DW272" i="10"/>
  <c r="DU359" i="10"/>
  <c r="GR343" i="10"/>
  <c r="DV331" i="10"/>
  <c r="DW246" i="10"/>
  <c r="DV330" i="10"/>
  <c r="DT82" i="10"/>
  <c r="DR364" i="10"/>
  <c r="EC122" i="10"/>
  <c r="DT67" i="10"/>
  <c r="EH25" i="10"/>
  <c r="EH372" i="10"/>
  <c r="EH320" i="10"/>
  <c r="DR296" i="10"/>
  <c r="BY181" i="10"/>
  <c r="DV358" i="10"/>
  <c r="EC369" i="10"/>
  <c r="EC220" i="10"/>
  <c r="DT247" i="10"/>
  <c r="GS172" i="10"/>
  <c r="GR98" i="10"/>
  <c r="DR179" i="10"/>
  <c r="DW274" i="10"/>
  <c r="EH255" i="10"/>
  <c r="EH132" i="10"/>
  <c r="DS186" i="10"/>
  <c r="DR230" i="10"/>
  <c r="DR256" i="10"/>
  <c r="BY312" i="10"/>
  <c r="DV165" i="10"/>
  <c r="GR277" i="10"/>
  <c r="GS99" i="10"/>
  <c r="DV244" i="10"/>
  <c r="DT280" i="10"/>
  <c r="EC119" i="10"/>
  <c r="GS351" i="10"/>
  <c r="DU311" i="10"/>
  <c r="DR220" i="10"/>
  <c r="DT320" i="10"/>
  <c r="DV114" i="10"/>
  <c r="EC347" i="10"/>
  <c r="GS129" i="10"/>
  <c r="DW244" i="10"/>
  <c r="EC109" i="10"/>
  <c r="BY287" i="10"/>
  <c r="DT117" i="10"/>
  <c r="EC132" i="10"/>
  <c r="BY196" i="10"/>
  <c r="DS317" i="10"/>
  <c r="DW174" i="10"/>
  <c r="EC267" i="10"/>
  <c r="DU168" i="10"/>
  <c r="DT148" i="10"/>
  <c r="DV339" i="10"/>
  <c r="DT199" i="10"/>
  <c r="DT155" i="10"/>
  <c r="DV35" i="10"/>
  <c r="BY245" i="10"/>
  <c r="EH185" i="10"/>
  <c r="EH317" i="10"/>
  <c r="DR359" i="10"/>
  <c r="EH373" i="10"/>
  <c r="DT258" i="10"/>
  <c r="DW247" i="10"/>
  <c r="DS353" i="10"/>
  <c r="DU370" i="10"/>
  <c r="DV152" i="10"/>
  <c r="DF242" i="10"/>
  <c r="EH361" i="10"/>
  <c r="GS197" i="10"/>
  <c r="EC28" i="10"/>
  <c r="DT355" i="10"/>
  <c r="DR69" i="10"/>
  <c r="DW256" i="10"/>
  <c r="EH131" i="10"/>
  <c r="DS338" i="10"/>
  <c r="GR247" i="10"/>
  <c r="EH274" i="10"/>
  <c r="DT107" i="10"/>
  <c r="DR202" i="10"/>
  <c r="DF244" i="10"/>
  <c r="EH144" i="10"/>
  <c r="EC190" i="10"/>
  <c r="GR340" i="10"/>
  <c r="EC221" i="10"/>
  <c r="DS325" i="10"/>
  <c r="DW84" i="10"/>
  <c r="GR200" i="10"/>
  <c r="GS225" i="10"/>
  <c r="EH137" i="10"/>
  <c r="GS278" i="10"/>
  <c r="EH214" i="10"/>
  <c r="DR387" i="10"/>
  <c r="DV60" i="10"/>
  <c r="GS363" i="10"/>
  <c r="EC253" i="10"/>
  <c r="DR255" i="10"/>
  <c r="GR332" i="10"/>
  <c r="EC256" i="10"/>
  <c r="DU90" i="10"/>
  <c r="DR333" i="10"/>
  <c r="DR325" i="10"/>
  <c r="DU126" i="10"/>
  <c r="EC189" i="10"/>
  <c r="DV178" i="10"/>
  <c r="DV333" i="10"/>
  <c r="DR190" i="10"/>
  <c r="EH219" i="10"/>
  <c r="DU198" i="10"/>
  <c r="BY364" i="10"/>
  <c r="EH165" i="10"/>
  <c r="GS138" i="10"/>
  <c r="DR221" i="10"/>
  <c r="EC282" i="10"/>
  <c r="DU229" i="10"/>
  <c r="DT249" i="10"/>
  <c r="EC226" i="10"/>
  <c r="EC305" i="10"/>
  <c r="DV56" i="10"/>
  <c r="DW366" i="10"/>
  <c r="DB201" i="10"/>
  <c r="DV93" i="10"/>
  <c r="DU189" i="10"/>
  <c r="DS372" i="10"/>
  <c r="DW177" i="10"/>
  <c r="DU318" i="10"/>
  <c r="DT333" i="10"/>
  <c r="DV201" i="10"/>
  <c r="EH363" i="10"/>
  <c r="EC126" i="10"/>
  <c r="DR211" i="10"/>
  <c r="GR273" i="10"/>
  <c r="DW356" i="10"/>
  <c r="EC148" i="10"/>
  <c r="EH341" i="10"/>
  <c r="DW298" i="10"/>
  <c r="EH52" i="10"/>
  <c r="DU67" i="10"/>
  <c r="BY145" i="10"/>
  <c r="GR304" i="10"/>
  <c r="DR178" i="10"/>
  <c r="DR358" i="10"/>
  <c r="DT74" i="10"/>
  <c r="DS287" i="10"/>
  <c r="DU35" i="10"/>
  <c r="GS388" i="10"/>
  <c r="DV293" i="10"/>
  <c r="DR318" i="10"/>
  <c r="DR139" i="10"/>
  <c r="DT310" i="10"/>
  <c r="DV149" i="10"/>
  <c r="DT44" i="10"/>
  <c r="EH41" i="10"/>
  <c r="EH84" i="10"/>
  <c r="EH348" i="10"/>
  <c r="DW350" i="10"/>
  <c r="EH273" i="10"/>
  <c r="DV131" i="10"/>
  <c r="DV119" i="10"/>
  <c r="DV215" i="10"/>
  <c r="EC202" i="10"/>
  <c r="EC178" i="10"/>
  <c r="DS168" i="10"/>
  <c r="BY26" i="10"/>
  <c r="DF283" i="10"/>
  <c r="DW287" i="10"/>
  <c r="EC105" i="10"/>
  <c r="BY268" i="10"/>
  <c r="DT385" i="10"/>
  <c r="DR254" i="10"/>
  <c r="DR377" i="10"/>
  <c r="DT49" i="10"/>
  <c r="DU148" i="10"/>
  <c r="EH251" i="10"/>
  <c r="DW79" i="10"/>
  <c r="DW150" i="10"/>
  <c r="DU212" i="10"/>
  <c r="DR362" i="10"/>
  <c r="DT154" i="10"/>
  <c r="DV315" i="10"/>
  <c r="DS314" i="10"/>
  <c r="GR327" i="10"/>
  <c r="EC161" i="10"/>
  <c r="DR30" i="10"/>
  <c r="DT243" i="10"/>
  <c r="EH343" i="10"/>
  <c r="DF327" i="10"/>
  <c r="DV240" i="10"/>
  <c r="BY301" i="10"/>
  <c r="DU43" i="10"/>
  <c r="EH98" i="10"/>
  <c r="DR315" i="10"/>
  <c r="GS284" i="10"/>
  <c r="EH103" i="10"/>
  <c r="DS45" i="10"/>
  <c r="GS344" i="10"/>
  <c r="EH134" i="10"/>
  <c r="DW371" i="10"/>
  <c r="EH102" i="10"/>
  <c r="GS376" i="10"/>
  <c r="GR88" i="10"/>
  <c r="EH123" i="10"/>
  <c r="EH226" i="10"/>
  <c r="EH166" i="10"/>
  <c r="GS157" i="10"/>
  <c r="EC293" i="10"/>
  <c r="EC228" i="10"/>
  <c r="EH310" i="10"/>
  <c r="DU94" i="10"/>
  <c r="EH359" i="10"/>
  <c r="DW252" i="10"/>
  <c r="DS201" i="10"/>
  <c r="EC205" i="10"/>
  <c r="DV203" i="10"/>
  <c r="DV73" i="10"/>
  <c r="DU391" i="10"/>
  <c r="DS156" i="10"/>
  <c r="GS285" i="10"/>
  <c r="DV181" i="10"/>
  <c r="GR269" i="10"/>
  <c r="DR324" i="10"/>
  <c r="DS174" i="10"/>
  <c r="DW63" i="10"/>
  <c r="DU321" i="10"/>
  <c r="DF24" i="10"/>
  <c r="GR271" i="10"/>
  <c r="GS206" i="10"/>
  <c r="DR163" i="10"/>
  <c r="DU45" i="10"/>
  <c r="DU133" i="10"/>
  <c r="DT179" i="10"/>
  <c r="DR228" i="10"/>
  <c r="EC350" i="10"/>
  <c r="DW296" i="10"/>
  <c r="EH267" i="10"/>
  <c r="DT83" i="10"/>
  <c r="DV116" i="10"/>
  <c r="EC89" i="10"/>
  <c r="GS23" i="10"/>
  <c r="DW145" i="10"/>
  <c r="GR264" i="10"/>
  <c r="DF376" i="10"/>
  <c r="DT296" i="10"/>
  <c r="EC322" i="10"/>
  <c r="EH245" i="10"/>
  <c r="DW349" i="10"/>
  <c r="EC47" i="10"/>
  <c r="DR392" i="10"/>
  <c r="GR261" i="10"/>
  <c r="DW152" i="10"/>
  <c r="BY381" i="10"/>
  <c r="EH94" i="10"/>
  <c r="EC336" i="10"/>
  <c r="DV198" i="10"/>
  <c r="EC75" i="10"/>
  <c r="GR272" i="10"/>
  <c r="GS371" i="10"/>
  <c r="DR301" i="10"/>
  <c r="EC284" i="10"/>
  <c r="DF339" i="10"/>
  <c r="DW232" i="10"/>
  <c r="EC135" i="10"/>
  <c r="EH391" i="10"/>
  <c r="GR287" i="10"/>
  <c r="EC27" i="10"/>
  <c r="EH387" i="10"/>
  <c r="GR341" i="10"/>
  <c r="DU236" i="10"/>
  <c r="GS377" i="10"/>
  <c r="BY194" i="10"/>
  <c r="DU206" i="10"/>
  <c r="DU48" i="10"/>
  <c r="DU162" i="10"/>
  <c r="DW220" i="10"/>
  <c r="DT170" i="10"/>
  <c r="GS271" i="10"/>
  <c r="GR342" i="10"/>
  <c r="BY360" i="10"/>
  <c r="DV234" i="10"/>
  <c r="EC106" i="10"/>
  <c r="EH307" i="10"/>
  <c r="DV235" i="10"/>
  <c r="EC359" i="10"/>
  <c r="EC343" i="10"/>
  <c r="GR74" i="10"/>
  <c r="DU303" i="10"/>
  <c r="DV274" i="10"/>
  <c r="DR236" i="10"/>
  <c r="EC74" i="10"/>
  <c r="DW25" i="10"/>
  <c r="EH218" i="10"/>
  <c r="DV187" i="10"/>
  <c r="DT228" i="10"/>
  <c r="DV140" i="10"/>
  <c r="DS284" i="10"/>
  <c r="GR267" i="10"/>
  <c r="GS298" i="10"/>
  <c r="DF340" i="10"/>
  <c r="DV232" i="10"/>
  <c r="BY286" i="10"/>
  <c r="DT174" i="10"/>
  <c r="DS238" i="10"/>
  <c r="DW99" i="10"/>
  <c r="DU276" i="10"/>
  <c r="EH385" i="10"/>
  <c r="DF392" i="10"/>
  <c r="DT350" i="10"/>
  <c r="DS265" i="10"/>
  <c r="DV351" i="10"/>
  <c r="BY188" i="10"/>
  <c r="DV110" i="10"/>
  <c r="DV29" i="10"/>
  <c r="DW280" i="10"/>
  <c r="EH139" i="10"/>
  <c r="DS259" i="10"/>
  <c r="EH91" i="10"/>
  <c r="DR215" i="10"/>
  <c r="EC349" i="10"/>
  <c r="DT207" i="10"/>
  <c r="DV277" i="10"/>
  <c r="DW183" i="10"/>
  <c r="DT253" i="10"/>
  <c r="GS373" i="10"/>
  <c r="DR160" i="10"/>
  <c r="BY40" i="10"/>
  <c r="DT364" i="10"/>
  <c r="EC276" i="10"/>
  <c r="DT223" i="10"/>
  <c r="DV247" i="10"/>
  <c r="GR257" i="10"/>
  <c r="GR175" i="10"/>
  <c r="EC254" i="10"/>
  <c r="DV386" i="10"/>
  <c r="DV51" i="10"/>
  <c r="DV156" i="10"/>
  <c r="DW157" i="10"/>
  <c r="BY389" i="10"/>
  <c r="EC366" i="10"/>
  <c r="DU131" i="10"/>
  <c r="DT378" i="10"/>
  <c r="EH346" i="10"/>
  <c r="DR349" i="10"/>
  <c r="DT46" i="10"/>
  <c r="EH157" i="10"/>
  <c r="EH107" i="10"/>
  <c r="DU160" i="10"/>
  <c r="EC188" i="10"/>
  <c r="GR29" i="10"/>
  <c r="EC203" i="10"/>
  <c r="DV365" i="10"/>
  <c r="DT102" i="10"/>
  <c r="DU353" i="10"/>
  <c r="DR248" i="10"/>
  <c r="DV74" i="10"/>
  <c r="DF342" i="10"/>
  <c r="DT161" i="10"/>
  <c r="DU187" i="10"/>
  <c r="GS45" i="10"/>
  <c r="BY186" i="10"/>
  <c r="GS169" i="10"/>
  <c r="GS280" i="10"/>
  <c r="DT382" i="10"/>
  <c r="DW383" i="10"/>
  <c r="EC97" i="10"/>
  <c r="EH278" i="10"/>
  <c r="BY53" i="10"/>
  <c r="EH227" i="10"/>
  <c r="DT372" i="10"/>
  <c r="DW323" i="10"/>
  <c r="DT268" i="10"/>
  <c r="EH264" i="10"/>
  <c r="DS291" i="10"/>
  <c r="DU356" i="10"/>
  <c r="DV324" i="10"/>
  <c r="DU288" i="10"/>
  <c r="DU46" i="10"/>
  <c r="DW41" i="10"/>
  <c r="GS190" i="10"/>
  <c r="DT150" i="10"/>
  <c r="GS295" i="10"/>
  <c r="DU254" i="10"/>
  <c r="DS249" i="10"/>
  <c r="GS357" i="10"/>
  <c r="GR136" i="10"/>
  <c r="DU216" i="10"/>
  <c r="EH233" i="10"/>
  <c r="GR32" i="10"/>
  <c r="DU173" i="10"/>
  <c r="EC80" i="10"/>
  <c r="BY385" i="10"/>
  <c r="DV154" i="10"/>
  <c r="GS318" i="10"/>
  <c r="DV27" i="10"/>
  <c r="EH250" i="10"/>
  <c r="GR57" i="10"/>
  <c r="DS152" i="10"/>
  <c r="DT299" i="10"/>
  <c r="BY307" i="10"/>
  <c r="GR178" i="10"/>
  <c r="EH193" i="10"/>
  <c r="DV350" i="10"/>
  <c r="BY191" i="10"/>
  <c r="EC391" i="10"/>
  <c r="EH150" i="10"/>
  <c r="DS237" i="10"/>
  <c r="EC367" i="10"/>
  <c r="EC250" i="10"/>
  <c r="DS358" i="10"/>
  <c r="DU231" i="10"/>
  <c r="EC68" i="10"/>
  <c r="DU182" i="10"/>
  <c r="DR247" i="10"/>
  <c r="GR258" i="10"/>
  <c r="DU105" i="10"/>
  <c r="GS354" i="10"/>
  <c r="DV376" i="10"/>
  <c r="GS153" i="10"/>
  <c r="DS159" i="10"/>
  <c r="DT127" i="10"/>
  <c r="BY362" i="10"/>
  <c r="GR212" i="10"/>
  <c r="EC261" i="10"/>
  <c r="DF310" i="10"/>
  <c r="EC182" i="10"/>
  <c r="DU267" i="10"/>
  <c r="GR241" i="10"/>
  <c r="DR341" i="10"/>
  <c r="EH294" i="10"/>
  <c r="DV243" i="10"/>
  <c r="BY290" i="10"/>
  <c r="DT390" i="10"/>
  <c r="DW335" i="10"/>
  <c r="EC139" i="10"/>
  <c r="DT220" i="10"/>
  <c r="EH156" i="10"/>
  <c r="EC210" i="10"/>
  <c r="GS239" i="10"/>
  <c r="EH222" i="10"/>
  <c r="DS243" i="10"/>
  <c r="DT37" i="10"/>
  <c r="GR187" i="10"/>
  <c r="EH333" i="10"/>
  <c r="GR163" i="10"/>
  <c r="DW175" i="10"/>
  <c r="DU80" i="10"/>
  <c r="DS298" i="10"/>
  <c r="EH69" i="10"/>
  <c r="DU197" i="10"/>
  <c r="EH263" i="10"/>
  <c r="BY279" i="10"/>
  <c r="EC259" i="10"/>
  <c r="DR181" i="10"/>
  <c r="GR239" i="10"/>
  <c r="DW169" i="10"/>
  <c r="GR313" i="10"/>
  <c r="DU55" i="10"/>
  <c r="EH334" i="10"/>
  <c r="DV269" i="10"/>
  <c r="DU188" i="10"/>
  <c r="DV279" i="10"/>
  <c r="GS149" i="10"/>
  <c r="DW227" i="10"/>
  <c r="GR72" i="10"/>
  <c r="DU88" i="10"/>
  <c r="DR249" i="10"/>
  <c r="BY25" i="10"/>
  <c r="DS160" i="10"/>
  <c r="DS377" i="10"/>
  <c r="EC275" i="10"/>
  <c r="DR262" i="10"/>
  <c r="DV37" i="10"/>
  <c r="GR366" i="10"/>
  <c r="GR350" i="10"/>
  <c r="DT332" i="10"/>
  <c r="DW228" i="10"/>
  <c r="DV372" i="10"/>
  <c r="GS365" i="10"/>
  <c r="DS365" i="10"/>
  <c r="DV361" i="10"/>
  <c r="DS236" i="10"/>
  <c r="EC56" i="10"/>
  <c r="GS159" i="10"/>
  <c r="DS269" i="10"/>
  <c r="GR85" i="10"/>
  <c r="DU155" i="10"/>
  <c r="DW233" i="10"/>
  <c r="GR65" i="10"/>
  <c r="DR367" i="10"/>
  <c r="DW188" i="10"/>
  <c r="BY274" i="10"/>
  <c r="DV135" i="10"/>
  <c r="DV53" i="10"/>
  <c r="DS300" i="10"/>
  <c r="EH56" i="10"/>
  <c r="GS163" i="10"/>
  <c r="DT348" i="10"/>
  <c r="EC83" i="10"/>
  <c r="GR191" i="10"/>
  <c r="DV146" i="10"/>
  <c r="DV94" i="10"/>
  <c r="DV32" i="10"/>
  <c r="GR245" i="10"/>
  <c r="EC306" i="10"/>
  <c r="DU63" i="10"/>
  <c r="DR192" i="10"/>
  <c r="DU32" i="10"/>
  <c r="DT387" i="10"/>
  <c r="DV108" i="10"/>
  <c r="DT215" i="10"/>
  <c r="EC374" i="10"/>
  <c r="DT178" i="10"/>
  <c r="DT262" i="10"/>
  <c r="DS221" i="10"/>
  <c r="EC90" i="10"/>
  <c r="EH86" i="10"/>
  <c r="EH288" i="10"/>
  <c r="DR297" i="10"/>
  <c r="DR237" i="10"/>
  <c r="EH256" i="10"/>
  <c r="DU50" i="10"/>
  <c r="DS323" i="10"/>
  <c r="DU327" i="10"/>
  <c r="BY216" i="10"/>
  <c r="DS386" i="10"/>
  <c r="EH88" i="10"/>
  <c r="DV221" i="10"/>
  <c r="DV387" i="10"/>
  <c r="EH40" i="10"/>
  <c r="DW260" i="10"/>
  <c r="DV259" i="10"/>
  <c r="DB25" i="10"/>
  <c r="GR331" i="10"/>
  <c r="GR145" i="10"/>
  <c r="GR294" i="10"/>
  <c r="DW156" i="10"/>
  <c r="DT115" i="10"/>
  <c r="GR314" i="10"/>
  <c r="DT143" i="10"/>
  <c r="DF232" i="10"/>
  <c r="DS217" i="10"/>
  <c r="DR268" i="10"/>
  <c r="DT295" i="10"/>
  <c r="DV184" i="10"/>
  <c r="GR227" i="10"/>
  <c r="DT187" i="10"/>
  <c r="DV172" i="10"/>
  <c r="EH129" i="10"/>
  <c r="DU334" i="10"/>
  <c r="DT90" i="10"/>
  <c r="DU120" i="10"/>
  <c r="DV28" i="10"/>
  <c r="DT38" i="10"/>
  <c r="DU222" i="10"/>
  <c r="DW278" i="10"/>
  <c r="DV91" i="10"/>
  <c r="EH309" i="10"/>
  <c r="EC85" i="10"/>
  <c r="DW290" i="10"/>
  <c r="DW375" i="10"/>
  <c r="DU119" i="10"/>
  <c r="DT338" i="10"/>
  <c r="EC299" i="10"/>
  <c r="DU75" i="10"/>
  <c r="DV23" i="10"/>
  <c r="DS361" i="10"/>
  <c r="EH351" i="10"/>
  <c r="DS374" i="10"/>
  <c r="GR172" i="10"/>
  <c r="EH64" i="10"/>
  <c r="GS22" i="10"/>
  <c r="DV227" i="10"/>
  <c r="DT114" i="10"/>
  <c r="BY243" i="10"/>
  <c r="DU91" i="10"/>
  <c r="EC172" i="10"/>
  <c r="DT254" i="10"/>
  <c r="DT291" i="10"/>
  <c r="GR215" i="10"/>
  <c r="DS336" i="10"/>
  <c r="GS145" i="10"/>
  <c r="DR242" i="10"/>
  <c r="DR332" i="10"/>
  <c r="DR182" i="10"/>
  <c r="EH104" i="10"/>
  <c r="DW204" i="10"/>
  <c r="EC123" i="10"/>
  <c r="DT190" i="10"/>
  <c r="DW303" i="10"/>
  <c r="DS41" i="10"/>
  <c r="DW173" i="10"/>
  <c r="BY209" i="10"/>
  <c r="DR37" i="10"/>
  <c r="DW312" i="10"/>
  <c r="DR281" i="10"/>
  <c r="DT391" i="10"/>
  <c r="DR34" i="10"/>
  <c r="DV332" i="10"/>
  <c r="EH289" i="10"/>
  <c r="DW170" i="10"/>
  <c r="GR196" i="10"/>
  <c r="EH182" i="10"/>
  <c r="DV299" i="10"/>
  <c r="DV210" i="10"/>
  <c r="GR358" i="10"/>
  <c r="GR373" i="10"/>
  <c r="DS204" i="10"/>
  <c r="EH45" i="10"/>
  <c r="EC140" i="10"/>
  <c r="GR159" i="10"/>
  <c r="GR221" i="10"/>
  <c r="DS200" i="10"/>
  <c r="EC66" i="10"/>
  <c r="DS297" i="10"/>
  <c r="DR173" i="10"/>
  <c r="DU99" i="10"/>
  <c r="DS219" i="10"/>
  <c r="DW354" i="10"/>
  <c r="EH365" i="10"/>
  <c r="BY24" i="10"/>
  <c r="BY285" i="10"/>
  <c r="DV103" i="10"/>
  <c r="DU349" i="10"/>
  <c r="EC186" i="10"/>
  <c r="DR331" i="10"/>
  <c r="DS22" i="10"/>
  <c r="EC307" i="10"/>
  <c r="DT96" i="10"/>
  <c r="DU289" i="10"/>
  <c r="DU278" i="10"/>
  <c r="GR176" i="10"/>
  <c r="EH175" i="10"/>
  <c r="GR38" i="10"/>
  <c r="DV113" i="10"/>
  <c r="DV249" i="10"/>
  <c r="GS300" i="10"/>
  <c r="GS321" i="10"/>
  <c r="DS94" i="10"/>
  <c r="DU30" i="10"/>
  <c r="DU328" i="10"/>
  <c r="EH205" i="10"/>
  <c r="DS360" i="10"/>
  <c r="EC152" i="10"/>
  <c r="DS335" i="10"/>
  <c r="DT169" i="10"/>
  <c r="EC77" i="10"/>
  <c r="GS155" i="10"/>
  <c r="DU208" i="10"/>
  <c r="DW231" i="10"/>
  <c r="DU377" i="10"/>
  <c r="DT99" i="10"/>
  <c r="EH81" i="10"/>
  <c r="DW373" i="10"/>
  <c r="DU322" i="10"/>
  <c r="DU150" i="10"/>
  <c r="DV46" i="10"/>
  <c r="GR230" i="10"/>
  <c r="DU69" i="10"/>
  <c r="GS287" i="10"/>
  <c r="DW267" i="10"/>
  <c r="DU199" i="10"/>
  <c r="DV307" i="10"/>
  <c r="BY148" i="10"/>
  <c r="EH291" i="10"/>
  <c r="DW382" i="10"/>
  <c r="GS224" i="10"/>
  <c r="DU329" i="10"/>
  <c r="DV291" i="10"/>
  <c r="DF141" i="10"/>
  <c r="DU153" i="10"/>
  <c r="GR242" i="10"/>
  <c r="GR75" i="10"/>
  <c r="DU316" i="10"/>
  <c r="GS210" i="10"/>
  <c r="BY363" i="10"/>
  <c r="BY202" i="10"/>
  <c r="GR325" i="10"/>
  <c r="EH181" i="10"/>
  <c r="GR368" i="10"/>
  <c r="DT231" i="10"/>
  <c r="DR328" i="10"/>
  <c r="EH285" i="10"/>
  <c r="DV290" i="10"/>
  <c r="DS346" i="10"/>
  <c r="DU379" i="10"/>
  <c r="DU72" i="10"/>
  <c r="EH100" i="10"/>
  <c r="DV283" i="10"/>
  <c r="DU251" i="10"/>
  <c r="EH204" i="10"/>
  <c r="DU304" i="10"/>
  <c r="DR284" i="10"/>
  <c r="EH369" i="10"/>
  <c r="DW224" i="10"/>
  <c r="DR309" i="10"/>
  <c r="EC329" i="10"/>
  <c r="DU144" i="10"/>
  <c r="DW229" i="10"/>
  <c r="DT352" i="10"/>
  <c r="EC313" i="10"/>
  <c r="DT128" i="10"/>
  <c r="DV76" i="10"/>
  <c r="EC382" i="10"/>
  <c r="DF285" i="10"/>
  <c r="EH23" i="10"/>
  <c r="EC87" i="10"/>
  <c r="DV96" i="10"/>
  <c r="DW334" i="10"/>
  <c r="DU174" i="10"/>
  <c r="GR265" i="10"/>
  <c r="EH180" i="10"/>
  <c r="DW325" i="10"/>
  <c r="EH304" i="10"/>
  <c r="DW277" i="10"/>
  <c r="EC388" i="10"/>
  <c r="BY350" i="10"/>
  <c r="DW386" i="10"/>
  <c r="DV137" i="10"/>
  <c r="GR26" i="10"/>
  <c r="GR37" i="10"/>
  <c r="DT304" i="10"/>
  <c r="DS371" i="10"/>
  <c r="DU130" i="10"/>
  <c r="DV40" i="10"/>
  <c r="EC386" i="10"/>
  <c r="DV78" i="10"/>
  <c r="EC52" i="10"/>
  <c r="DV105" i="10"/>
  <c r="DS349" i="10"/>
  <c r="EH389" i="10"/>
  <c r="EC101" i="10"/>
  <c r="DT116" i="10"/>
  <c r="DW306" i="10"/>
  <c r="DT149" i="10"/>
  <c r="GS302" i="10"/>
  <c r="GS323" i="10"/>
  <c r="DV335" i="10"/>
  <c r="DU137" i="10"/>
  <c r="DV347" i="10"/>
  <c r="EC23" i="10"/>
  <c r="EC242" i="10"/>
  <c r="DT240" i="10"/>
  <c r="GS147" i="10"/>
  <c r="GR361" i="10"/>
  <c r="DV362" i="10"/>
  <c r="GR219" i="10"/>
  <c r="DT369" i="10"/>
  <c r="DR382" i="10"/>
  <c r="GS369" i="10"/>
  <c r="DT212" i="10"/>
  <c r="EH189" i="10"/>
  <c r="EH42" i="10"/>
  <c r="DV214" i="10"/>
  <c r="DT208" i="10"/>
  <c r="DW360" i="10"/>
  <c r="BU360" i="10" l="1"/>
  <c r="BU306" i="10"/>
  <c r="BU386" i="10"/>
  <c r="CJ350" i="10"/>
  <c r="BU277" i="10"/>
  <c r="GL277" i="10" s="1"/>
  <c r="BU325" i="10"/>
  <c r="GL325" i="10" s="1"/>
  <c r="BU334" i="10"/>
  <c r="GL334" i="10" s="1"/>
  <c r="BU229" i="10"/>
  <c r="GL229" i="10" s="1"/>
  <c r="BU224" i="10"/>
  <c r="CJ202" i="10"/>
  <c r="CJ363" i="10"/>
  <c r="BU382" i="10"/>
  <c r="CJ148" i="10"/>
  <c r="BU267" i="10"/>
  <c r="GL267" i="10" s="1"/>
  <c r="BU373" i="10"/>
  <c r="BU231" i="10"/>
  <c r="CJ285" i="10"/>
  <c r="CJ24" i="10"/>
  <c r="BU354" i="10"/>
  <c r="GL354" i="10" s="1"/>
  <c r="BU170" i="10"/>
  <c r="GL170" i="10" s="1"/>
  <c r="BU312" i="10"/>
  <c r="GL312" i="10" s="1"/>
  <c r="CJ209" i="10"/>
  <c r="BU173" i="10"/>
  <c r="BU303" i="10"/>
  <c r="GL303" i="10" s="1"/>
  <c r="BU204" i="10"/>
  <c r="GL204" i="10" s="1"/>
  <c r="CJ243" i="10"/>
  <c r="BU375" i="10"/>
  <c r="GL375" i="10" s="1"/>
  <c r="BU290" i="10"/>
  <c r="GL290" i="10" s="1"/>
  <c r="BU278" i="10"/>
  <c r="BU156" i="10"/>
  <c r="BU260" i="10"/>
  <c r="CJ216" i="10"/>
  <c r="CJ274" i="10"/>
  <c r="BU188" i="10"/>
  <c r="GL188" i="10" s="1"/>
  <c r="BU233" i="10"/>
  <c r="GL233" i="10" s="1"/>
  <c r="BU228" i="10"/>
  <c r="GL228" i="10" s="1"/>
  <c r="CJ25" i="10"/>
  <c r="BU227" i="10"/>
  <c r="BU169" i="10"/>
  <c r="GL169" i="10" s="1"/>
  <c r="CJ279" i="10"/>
  <c r="BU175" i="10"/>
  <c r="GL175" i="10" s="1"/>
  <c r="BU335" i="10"/>
  <c r="GL335" i="10" s="1"/>
  <c r="CJ290" i="10"/>
  <c r="CJ362" i="10"/>
  <c r="CJ191" i="10"/>
  <c r="CJ307" i="10"/>
  <c r="CJ385" i="10"/>
  <c r="BU41" i="10"/>
  <c r="BU323" i="10"/>
  <c r="GL323" i="10" s="1"/>
  <c r="CJ53" i="10"/>
  <c r="BU383" i="10"/>
  <c r="CJ186" i="10"/>
  <c r="CJ389" i="10"/>
  <c r="BU157" i="10"/>
  <c r="GL157" i="10" s="1"/>
  <c r="CJ40" i="10"/>
  <c r="BU183" i="10"/>
  <c r="GL183" i="10" s="1"/>
  <c r="BU280" i="10"/>
  <c r="CJ188" i="10"/>
  <c r="BU99" i="10"/>
  <c r="CJ286" i="10"/>
  <c r="BU25" i="10"/>
  <c r="GL25" i="10" s="1"/>
  <c r="CJ360" i="10"/>
  <c r="BU220" i="10"/>
  <c r="CJ194" i="10"/>
  <c r="BU232" i="10"/>
  <c r="CJ381" i="10"/>
  <c r="BU152" i="10"/>
  <c r="BU349" i="10"/>
  <c r="GL349" i="10" s="1"/>
  <c r="BU145" i="10"/>
  <c r="GL145" i="10" s="1"/>
  <c r="BU296" i="10"/>
  <c r="GL296" i="10" s="1"/>
  <c r="BU63" i="10"/>
  <c r="BU252" i="10"/>
  <c r="BU371" i="10"/>
  <c r="CJ301" i="10"/>
  <c r="BU150" i="10"/>
  <c r="BU79" i="10"/>
  <c r="GL79" i="10" s="1"/>
  <c r="CJ268" i="10"/>
  <c r="BU287" i="10"/>
  <c r="GL287" i="10" s="1"/>
  <c r="CJ26" i="10"/>
  <c r="BU350" i="10"/>
  <c r="GL350" i="10" s="1"/>
  <c r="CJ145" i="10"/>
  <c r="BU298" i="10"/>
  <c r="GL298" i="10" s="1"/>
  <c r="BU356" i="10"/>
  <c r="GL356" i="10" s="1"/>
  <c r="BU177" i="10"/>
  <c r="GL177" i="10" s="1"/>
  <c r="BU366" i="10"/>
  <c r="CJ364" i="10"/>
  <c r="BU84" i="10"/>
  <c r="BU256" i="10"/>
  <c r="BU247" i="10"/>
  <c r="GL247" i="10" s="1"/>
  <c r="CJ245" i="10"/>
  <c r="BU174" i="10"/>
  <c r="CJ196" i="10"/>
  <c r="CJ287" i="10"/>
  <c r="BU244" i="10"/>
  <c r="GL244" i="10" s="1"/>
  <c r="CJ312" i="10"/>
  <c r="BU274" i="10"/>
  <c r="GL274" i="10" s="1"/>
  <c r="CJ181" i="10"/>
  <c r="BU246" i="10"/>
  <c r="GL246" i="10" s="1"/>
  <c r="BU272" i="10"/>
  <c r="CJ315" i="10"/>
  <c r="BU206" i="10"/>
  <c r="CJ259" i="10"/>
  <c r="CJ299" i="10"/>
  <c r="CJ204" i="10"/>
  <c r="CJ179" i="10"/>
  <c r="BU285" i="10"/>
  <c r="GL285" i="10" s="1"/>
  <c r="CJ170" i="10"/>
  <c r="CJ378" i="10"/>
  <c r="BU191" i="10"/>
  <c r="GL191" i="10" s="1"/>
  <c r="CJ306" i="10"/>
  <c r="CJ296" i="10"/>
  <c r="CJ331" i="10"/>
  <c r="CJ184" i="10"/>
  <c r="BU238" i="10"/>
  <c r="BU328" i="10"/>
  <c r="BU295" i="10"/>
  <c r="BU187" i="10"/>
  <c r="GL187" i="10" s="1"/>
  <c r="CJ267" i="10"/>
  <c r="CJ76" i="10"/>
  <c r="BU208" i="10"/>
  <c r="GL208" i="10" s="1"/>
  <c r="CJ345" i="10"/>
  <c r="BU348" i="10"/>
  <c r="GL348" i="10" s="1"/>
  <c r="BU160" i="10"/>
  <c r="GL160" i="10" s="1"/>
  <c r="CJ349" i="10"/>
  <c r="BU320" i="10"/>
  <c r="GL320" i="10" s="1"/>
  <c r="CJ338" i="10"/>
  <c r="BU289" i="10"/>
  <c r="BU215" i="10"/>
  <c r="BU352" i="10"/>
  <c r="CJ336" i="10"/>
  <c r="BU377" i="10"/>
  <c r="CJ200" i="10"/>
  <c r="CJ263" i="10"/>
  <c r="CJ322" i="10"/>
  <c r="CJ192" i="10"/>
  <c r="CJ387" i="10"/>
  <c r="BU212" i="10"/>
  <c r="GL212" i="10" s="1"/>
  <c r="CJ302" i="10"/>
  <c r="CJ222" i="10"/>
  <c r="BU299" i="10"/>
  <c r="GL299" i="10" s="1"/>
  <c r="CJ275" i="10"/>
  <c r="CJ229" i="10"/>
  <c r="CJ195" i="10"/>
  <c r="CJ375" i="10"/>
  <c r="BU184" i="10"/>
  <c r="CJ203" i="10"/>
  <c r="BU253" i="10"/>
  <c r="GL253" i="10" s="1"/>
  <c r="BU235" i="10"/>
  <c r="GL235" i="10" s="1"/>
  <c r="CJ182" i="10"/>
  <c r="CJ146" i="10"/>
  <c r="BU151" i="10"/>
  <c r="GL151" i="10" s="1"/>
  <c r="CJ164" i="10"/>
  <c r="CJ139" i="10"/>
  <c r="CJ223" i="10"/>
  <c r="CJ303" i="10"/>
  <c r="BU172" i="10"/>
  <c r="BU158" i="10"/>
  <c r="CJ219" i="10"/>
  <c r="CJ212" i="10"/>
  <c r="BU384" i="10"/>
  <c r="CJ346" i="10"/>
  <c r="BU264" i="10"/>
  <c r="GL264" i="10" s="1"/>
  <c r="BU159" i="10"/>
  <c r="BU291" i="10"/>
  <c r="BU305" i="10"/>
  <c r="CJ205" i="10"/>
  <c r="BU351" i="10"/>
  <c r="GL351" i="10" s="1"/>
  <c r="CJ140" i="10"/>
  <c r="BU140" i="10"/>
  <c r="CJ167" i="10"/>
  <c r="BU286" i="10"/>
  <c r="BU359" i="10"/>
  <c r="BU239" i="10"/>
  <c r="GL239" i="10" s="1"/>
  <c r="CJ309" i="10"/>
  <c r="BU311" i="10"/>
  <c r="GL311" i="10" s="1"/>
  <c r="BU321" i="10"/>
  <c r="GL321" i="10" s="1"/>
  <c r="CJ238" i="10"/>
  <c r="CJ221" i="10"/>
  <c r="CJ351" i="10"/>
  <c r="BU358" i="10"/>
  <c r="GL358" i="10" s="1"/>
  <c r="BU344" i="10"/>
  <c r="GL344" i="10" s="1"/>
  <c r="BU313" i="10"/>
  <c r="GL313" i="10" s="1"/>
  <c r="BU265" i="10"/>
  <c r="BU197" i="10"/>
  <c r="BU363" i="10"/>
  <c r="CJ161" i="10"/>
  <c r="BU225" i="10"/>
  <c r="CJ244" i="10"/>
  <c r="CJ151" i="10"/>
  <c r="CJ348" i="10"/>
  <c r="BU236" i="10"/>
  <c r="CJ201" i="10"/>
  <c r="CJ156" i="10"/>
  <c r="BU310" i="10"/>
  <c r="GL310" i="10" s="1"/>
  <c r="CJ242" i="10"/>
  <c r="CJ295" i="10"/>
  <c r="BU275" i="10"/>
  <c r="CJ369" i="10"/>
  <c r="CJ248" i="10"/>
  <c r="CJ144" i="10"/>
  <c r="BU222" i="10"/>
  <c r="GL222" i="10" s="1"/>
  <c r="BU297" i="10"/>
  <c r="BU282" i="10"/>
  <c r="GL282" i="10" s="1"/>
  <c r="CJ374" i="10"/>
  <c r="BU319" i="10"/>
  <c r="CJ383" i="10"/>
  <c r="BU62" i="10"/>
  <c r="GL62" i="10" s="1"/>
  <c r="BU315" i="10"/>
  <c r="GL315" i="10" s="1"/>
  <c r="BU259" i="10"/>
  <c r="GL259" i="10" s="1"/>
  <c r="BU353" i="10"/>
  <c r="GL353" i="10" s="1"/>
  <c r="BU370" i="10"/>
  <c r="CJ253" i="10"/>
  <c r="BU223" i="10"/>
  <c r="CJ218" i="10"/>
  <c r="CJ190" i="10"/>
  <c r="CJ329" i="10"/>
  <c r="CJ193" i="10"/>
  <c r="BU192" i="10"/>
  <c r="BU176" i="10"/>
  <c r="BU327" i="10"/>
  <c r="GL327" i="10" s="1"/>
  <c r="CJ226" i="10"/>
  <c r="BU266" i="10"/>
  <c r="GL266" i="10" s="1"/>
  <c r="CJ169" i="10"/>
  <c r="BU138" i="10"/>
  <c r="GL138" i="10" s="1"/>
  <c r="CJ257" i="10"/>
  <c r="BU307" i="10"/>
  <c r="BU213" i="10"/>
  <c r="BU112" i="10"/>
  <c r="BU166" i="10"/>
  <c r="GL166" i="10" s="1"/>
  <c r="CJ227" i="10"/>
  <c r="BU317" i="10"/>
  <c r="GL317" i="10" s="1"/>
  <c r="CJ22" i="10"/>
  <c r="CJ358" i="10"/>
  <c r="BU199" i="10"/>
  <c r="BU326" i="10"/>
  <c r="GL326" i="10" s="1"/>
  <c r="CJ215" i="10"/>
  <c r="BU324" i="10"/>
  <c r="GL324" i="10" s="1"/>
  <c r="CJ240" i="10"/>
  <c r="BU378" i="10"/>
  <c r="BU46" i="10"/>
  <c r="BU341" i="10"/>
  <c r="CJ391" i="10"/>
  <c r="BU146" i="10"/>
  <c r="BU65" i="10"/>
  <c r="GL65" i="10" s="1"/>
  <c r="BU304" i="10"/>
  <c r="CJ341" i="10"/>
  <c r="CJ305" i="10"/>
  <c r="CJ199" i="10"/>
  <c r="BU367" i="10"/>
  <c r="CJ149" i="10"/>
  <c r="CJ176" i="10"/>
  <c r="BU76" i="10"/>
  <c r="GL76" i="10" s="1"/>
  <c r="CJ355" i="10"/>
  <c r="BU284" i="10"/>
  <c r="CJ171" i="10"/>
  <c r="CJ368" i="10"/>
  <c r="CJ367" i="10"/>
  <c r="BU330" i="10"/>
  <c r="GL330" i="10" s="1"/>
  <c r="BU268" i="10"/>
  <c r="GL268" i="10" s="1"/>
  <c r="BU89" i="10"/>
  <c r="GL89" i="10" s="1"/>
  <c r="BU216" i="10"/>
  <c r="BU209" i="10"/>
  <c r="BU202" i="10"/>
  <c r="GL202" i="10" s="1"/>
  <c r="BU258" i="10"/>
  <c r="GL258" i="10" s="1"/>
  <c r="BU340" i="10"/>
  <c r="GL340" i="10" s="1"/>
  <c r="BU255" i="10"/>
  <c r="GL255" i="10" s="1"/>
  <c r="BU343" i="10"/>
  <c r="CJ332" i="10"/>
  <c r="BU130" i="10"/>
  <c r="CJ224" i="10"/>
  <c r="CJ79" i="10"/>
  <c r="BU248" i="10"/>
  <c r="CJ318" i="10"/>
  <c r="CJ380" i="10"/>
  <c r="BU182" i="10"/>
  <c r="CJ158" i="10"/>
  <c r="BU240" i="10"/>
  <c r="GL240" i="10" s="1"/>
  <c r="CJ173" i="10"/>
  <c r="CJ264" i="10"/>
  <c r="CJ41" i="10"/>
  <c r="CJ370" i="10"/>
  <c r="CJ313" i="10"/>
  <c r="BU179" i="10"/>
  <c r="BU336" i="10"/>
  <c r="CJ289" i="10"/>
  <c r="BU161" i="10"/>
  <c r="CJ319" i="10"/>
  <c r="CJ325" i="10"/>
  <c r="BU211" i="10"/>
  <c r="CJ282" i="10"/>
  <c r="CJ235" i="10"/>
  <c r="CJ366" i="10"/>
  <c r="CJ330" i="10"/>
  <c r="CJ152" i="10"/>
  <c r="BU390" i="10"/>
  <c r="BU355" i="10"/>
  <c r="BU392" i="10"/>
  <c r="CJ234" i="10"/>
  <c r="CJ23" i="10"/>
  <c r="CJ273" i="10"/>
  <c r="BU165" i="10"/>
  <c r="GL165" i="10" s="1"/>
  <c r="CJ154" i="10"/>
  <c r="BU281" i="10"/>
  <c r="BU302" i="10"/>
  <c r="GL302" i="10" s="1"/>
  <c r="CJ376" i="10"/>
  <c r="CJ276" i="10"/>
  <c r="CJ175" i="10"/>
  <c r="BU357" i="10"/>
  <c r="GL357" i="10" s="1"/>
  <c r="BU362" i="10"/>
  <c r="CJ297" i="10"/>
  <c r="BU376" i="10"/>
  <c r="BU221" i="10"/>
  <c r="CJ153" i="10"/>
  <c r="BU369" i="10"/>
  <c r="BU374" i="10"/>
  <c r="GL374" i="10" s="1"/>
  <c r="CJ228" i="10"/>
  <c r="BU189" i="10"/>
  <c r="CJ288" i="10"/>
  <c r="BU149" i="10"/>
  <c r="BU178" i="10"/>
  <c r="GL178" i="10" s="1"/>
  <c r="CJ266" i="10"/>
  <c r="BU337" i="10"/>
  <c r="GL337" i="10" s="1"/>
  <c r="CJ160" i="10"/>
  <c r="BU279" i="10"/>
  <c r="BU342" i="10"/>
  <c r="BU210" i="10"/>
  <c r="BU147" i="10"/>
  <c r="GL147" i="10" s="1"/>
  <c r="BU148" i="10"/>
  <c r="GL148" i="10" s="1"/>
  <c r="CJ141" i="10"/>
  <c r="CJ185" i="10"/>
  <c r="CJ384" i="10"/>
  <c r="BU190" i="10"/>
  <c r="GL190" i="10" s="1"/>
  <c r="CJ320" i="10"/>
  <c r="BU292" i="10"/>
  <c r="GL292" i="10" s="1"/>
  <c r="CJ284" i="10"/>
  <c r="CJ155" i="10"/>
  <c r="BU142" i="10"/>
  <c r="BU300" i="10"/>
  <c r="CJ189" i="10"/>
  <c r="CJ293" i="10"/>
  <c r="BU294" i="10"/>
  <c r="GL294" i="10" s="1"/>
  <c r="BU332" i="10"/>
  <c r="GL332" i="10" s="1"/>
  <c r="BU261" i="10"/>
  <c r="GL261" i="10" s="1"/>
  <c r="CJ231" i="10"/>
  <c r="BU322" i="10"/>
  <c r="BU251" i="10"/>
  <c r="BU387" i="10"/>
  <c r="GL387" i="10" s="1"/>
  <c r="BU257" i="10"/>
  <c r="GL257" i="10" s="1"/>
  <c r="BU249" i="10"/>
  <c r="GL249" i="10" s="1"/>
  <c r="BU293" i="10"/>
  <c r="GL293" i="10" s="1"/>
  <c r="BU198" i="10"/>
  <c r="CJ386" i="10"/>
  <c r="BU181" i="10"/>
  <c r="CJ365" i="10"/>
  <c r="CJ159" i="10"/>
  <c r="CJ230" i="10"/>
  <c r="CJ262" i="10"/>
  <c r="CJ241" i="10"/>
  <c r="CJ84" i="10"/>
  <c r="CJ321" i="10"/>
  <c r="CJ166" i="10"/>
  <c r="BU269" i="10"/>
  <c r="GL269" i="10" s="1"/>
  <c r="CJ55" i="10"/>
  <c r="BU263" i="10"/>
  <c r="GL263" i="10" s="1"/>
  <c r="BU106" i="10"/>
  <c r="BU365" i="10"/>
  <c r="CJ392" i="10"/>
  <c r="BU167" i="10"/>
  <c r="CJ300" i="10"/>
  <c r="CJ258" i="10"/>
  <c r="CJ353" i="10"/>
  <c r="BU205" i="10"/>
  <c r="GL205" i="10" s="1"/>
  <c r="CJ254" i="10"/>
  <c r="CJ197" i="10"/>
  <c r="CJ217" i="10"/>
  <c r="CJ180" i="10"/>
  <c r="BU288" i="10"/>
  <c r="GL288" i="10" s="1"/>
  <c r="CJ308" i="10"/>
  <c r="CJ147" i="10"/>
  <c r="BU254" i="10"/>
  <c r="BU226" i="10"/>
  <c r="CJ142" i="10"/>
  <c r="BU346" i="10"/>
  <c r="BU314" i="10"/>
  <c r="GL314" i="10" s="1"/>
  <c r="CJ174" i="10"/>
  <c r="CJ335" i="10"/>
  <c r="CJ304" i="10"/>
  <c r="BU144" i="10"/>
  <c r="GL144" i="10" s="1"/>
  <c r="BU273" i="10"/>
  <c r="GL273" i="10" s="1"/>
  <c r="BU379" i="10"/>
  <c r="GL379" i="10" s="1"/>
  <c r="CJ247" i="10"/>
  <c r="CJ265" i="10"/>
  <c r="BU271" i="10"/>
  <c r="BU155" i="10"/>
  <c r="CJ187" i="10"/>
  <c r="CJ310" i="10"/>
  <c r="CJ94" i="10"/>
  <c r="CJ333" i="10"/>
  <c r="BU316" i="10"/>
  <c r="GL316" i="10" s="1"/>
  <c r="BU153" i="10"/>
  <c r="GL153" i="10" s="1"/>
  <c r="BU338" i="10"/>
  <c r="CJ317" i="10"/>
  <c r="BU388" i="10"/>
  <c r="CJ294" i="10"/>
  <c r="BU218" i="10"/>
  <c r="GL218" i="10" s="1"/>
  <c r="CJ177" i="10"/>
  <c r="CJ328" i="10"/>
  <c r="CJ168" i="10"/>
  <c r="CJ327" i="10"/>
  <c r="CJ62" i="10"/>
  <c r="BU380" i="10"/>
  <c r="CJ232" i="10"/>
  <c r="BU23" i="10"/>
  <c r="GL23" i="10" s="1"/>
  <c r="CJ35" i="10"/>
  <c r="CJ122" i="10"/>
  <c r="BU107" i="10"/>
  <c r="GL107" i="10" s="1"/>
  <c r="CJ58" i="10"/>
  <c r="CJ112" i="10"/>
  <c r="BU44" i="10"/>
  <c r="GL44" i="10" s="1"/>
  <c r="BU123" i="10"/>
  <c r="GL123" i="10" s="1"/>
  <c r="BU36" i="10"/>
  <c r="BU110" i="10"/>
  <c r="CJ128" i="10"/>
  <c r="BU83" i="10"/>
  <c r="BU74" i="10"/>
  <c r="CJ33" i="10"/>
  <c r="CJ38" i="10"/>
  <c r="BU154" i="10"/>
  <c r="GL154" i="10" s="1"/>
  <c r="CJ269" i="10"/>
  <c r="CJ105" i="10"/>
  <c r="CJ157" i="10"/>
  <c r="CJ27" i="10"/>
  <c r="BU48" i="10"/>
  <c r="GL48" i="10" s="1"/>
  <c r="CJ90" i="10"/>
  <c r="CJ123" i="10"/>
  <c r="CJ101" i="10"/>
  <c r="CJ80" i="10"/>
  <c r="CJ125" i="10"/>
  <c r="BU101" i="10"/>
  <c r="GL101" i="10" s="1"/>
  <c r="BU66" i="10"/>
  <c r="GL66" i="10" s="1"/>
  <c r="BU97" i="10"/>
  <c r="CJ47" i="10"/>
  <c r="CJ32" i="10"/>
  <c r="BU385" i="10"/>
  <c r="GL385" i="10" s="1"/>
  <c r="CJ347" i="10"/>
  <c r="CJ337" i="10"/>
  <c r="BU33" i="10"/>
  <c r="GL33" i="10" s="1"/>
  <c r="BU318" i="10"/>
  <c r="GL318" i="10" s="1"/>
  <c r="CJ354" i="10"/>
  <c r="CJ213" i="10"/>
  <c r="BU196" i="10"/>
  <c r="BU186" i="10"/>
  <c r="CJ291" i="10"/>
  <c r="BU381" i="10"/>
  <c r="GL381" i="10" s="1"/>
  <c r="BU214" i="10"/>
  <c r="BU141" i="10"/>
  <c r="GL141" i="10" s="1"/>
  <c r="CJ46" i="10"/>
  <c r="CJ255" i="10"/>
  <c r="BU53" i="10"/>
  <c r="GL53" i="10" s="1"/>
  <c r="BU88" i="10"/>
  <c r="BU56" i="10"/>
  <c r="GL56" i="10" s="1"/>
  <c r="BU119" i="10"/>
  <c r="GL119" i="10" s="1"/>
  <c r="BU29" i="10"/>
  <c r="CJ121" i="10"/>
  <c r="BU27" i="10"/>
  <c r="CJ75" i="10"/>
  <c r="CJ111" i="10"/>
  <c r="CJ61" i="10"/>
  <c r="BU134" i="10"/>
  <c r="CJ127" i="10"/>
  <c r="CJ95" i="10"/>
  <c r="CJ65" i="10"/>
  <c r="BU364" i="10"/>
  <c r="CJ323" i="10"/>
  <c r="CJ280" i="10"/>
  <c r="CJ390" i="10"/>
  <c r="CJ361" i="10"/>
  <c r="BU345" i="10"/>
  <c r="BU368" i="10"/>
  <c r="BU309" i="10"/>
  <c r="CJ150" i="10"/>
  <c r="CJ314" i="10"/>
  <c r="BU109" i="10"/>
  <c r="GL109" i="10" s="1"/>
  <c r="BU117" i="10"/>
  <c r="GL117" i="10" s="1"/>
  <c r="BU132" i="10"/>
  <c r="BU207" i="10"/>
  <c r="GL207" i="10" s="1"/>
  <c r="BU270" i="10"/>
  <c r="GL270" i="10" s="1"/>
  <c r="CJ119" i="10"/>
  <c r="BU111" i="10"/>
  <c r="GL111" i="10" s="1"/>
  <c r="BU102" i="10"/>
  <c r="GL102" i="10" s="1"/>
  <c r="BU135" i="10"/>
  <c r="BU80" i="10"/>
  <c r="CJ85" i="10"/>
  <c r="CJ54" i="10"/>
  <c r="CJ87" i="10"/>
  <c r="BU42" i="10"/>
  <c r="GL42" i="10" s="1"/>
  <c r="BU136" i="10"/>
  <c r="CJ311" i="10"/>
  <c r="CJ251" i="10"/>
  <c r="CJ183" i="10"/>
  <c r="CJ324" i="10"/>
  <c r="BU98" i="10"/>
  <c r="CJ99" i="10"/>
  <c r="BU301" i="10"/>
  <c r="GL301" i="10" s="1"/>
  <c r="BU52" i="10"/>
  <c r="CJ138" i="10"/>
  <c r="CJ82" i="10"/>
  <c r="CJ135" i="10"/>
  <c r="CJ117" i="10"/>
  <c r="CJ77" i="10"/>
  <c r="BU59" i="10"/>
  <c r="BU93" i="10"/>
  <c r="GL93" i="10" s="1"/>
  <c r="BU70" i="10"/>
  <c r="BU124" i="10"/>
  <c r="BU125" i="10"/>
  <c r="BU85" i="10"/>
  <c r="GL85" i="10" s="1"/>
  <c r="BU243" i="10"/>
  <c r="GL243" i="10" s="1"/>
  <c r="BU193" i="10"/>
  <c r="GL193" i="10" s="1"/>
  <c r="CJ178" i="10"/>
  <c r="BU241" i="10"/>
  <c r="CJ210" i="10"/>
  <c r="CJ246" i="10"/>
  <c r="BU133" i="10"/>
  <c r="GL133" i="10" s="1"/>
  <c r="CJ133" i="10"/>
  <c r="BU67" i="10"/>
  <c r="GL67" i="10" s="1"/>
  <c r="BU68" i="10"/>
  <c r="BU122" i="10"/>
  <c r="CJ113" i="10"/>
  <c r="BU72" i="10"/>
  <c r="GL72" i="10" s="1"/>
  <c r="BU137" i="10"/>
  <c r="GL137" i="10" s="1"/>
  <c r="CJ104" i="10"/>
  <c r="BU31" i="10"/>
  <c r="GL31" i="10" s="1"/>
  <c r="CJ373" i="10"/>
  <c r="CJ172" i="10"/>
  <c r="CJ272" i="10"/>
  <c r="CJ292" i="10"/>
  <c r="CJ379" i="10"/>
  <c r="BU234" i="10"/>
  <c r="GL234" i="10" s="1"/>
  <c r="CJ343" i="10"/>
  <c r="CJ283" i="10"/>
  <c r="CJ261" i="10"/>
  <c r="BU168" i="10"/>
  <c r="CJ356" i="10"/>
  <c r="CJ352" i="10"/>
  <c r="CJ98" i="10"/>
  <c r="BU57" i="10"/>
  <c r="GL57" i="10" s="1"/>
  <c r="CJ130" i="10"/>
  <c r="BU78" i="10"/>
  <c r="BU30" i="10"/>
  <c r="CJ73" i="10"/>
  <c r="BU60" i="10"/>
  <c r="CJ114" i="10"/>
  <c r="BU71" i="10"/>
  <c r="CJ67" i="10"/>
  <c r="CJ92" i="10"/>
  <c r="BU116" i="10"/>
  <c r="GL116" i="10" s="1"/>
  <c r="CJ28" i="10"/>
  <c r="CJ115" i="10"/>
  <c r="CJ52" i="10"/>
  <c r="CJ163" i="10"/>
  <c r="BU339" i="10"/>
  <c r="CJ239" i="10"/>
  <c r="CJ270" i="10"/>
  <c r="CJ260" i="10"/>
  <c r="CJ388" i="10"/>
  <c r="BU237" i="10"/>
  <c r="GL237" i="10" s="1"/>
  <c r="CJ326" i="10"/>
  <c r="CJ63" i="10"/>
  <c r="CJ359" i="10"/>
  <c r="BU203" i="10"/>
  <c r="BU129" i="10"/>
  <c r="BU75" i="10"/>
  <c r="GL75" i="10" s="1"/>
  <c r="BU90" i="10"/>
  <c r="GL90" i="10" s="1"/>
  <c r="CJ124" i="10"/>
  <c r="BU35" i="10"/>
  <c r="CJ37" i="10"/>
  <c r="BU38" i="10"/>
  <c r="CJ103" i="10"/>
  <c r="CJ96" i="10"/>
  <c r="BU50" i="10"/>
  <c r="CJ59" i="10"/>
  <c r="BU77" i="10"/>
  <c r="GL77" i="10" s="1"/>
  <c r="CJ225" i="10"/>
  <c r="CJ277" i="10"/>
  <c r="CJ372" i="10"/>
  <c r="BU139" i="10"/>
  <c r="GL139" i="10" s="1"/>
  <c r="BU217" i="10"/>
  <c r="GL217" i="10" s="1"/>
  <c r="CJ298" i="10"/>
  <c r="CJ377" i="10"/>
  <c r="CJ271" i="10"/>
  <c r="CJ162" i="10"/>
  <c r="CJ106" i="10"/>
  <c r="CJ45" i="10"/>
  <c r="BU185" i="10"/>
  <c r="GL185" i="10" s="1"/>
  <c r="BU143" i="10"/>
  <c r="GL143" i="10" s="1"/>
  <c r="BU82" i="10"/>
  <c r="GL82" i="10" s="1"/>
  <c r="BU128" i="10"/>
  <c r="BU127" i="10"/>
  <c r="BU54" i="10"/>
  <c r="CJ132" i="10"/>
  <c r="CJ34" i="10"/>
  <c r="BU32" i="10"/>
  <c r="GL32" i="10" s="1"/>
  <c r="CJ91" i="10"/>
  <c r="BU43" i="10"/>
  <c r="BU108" i="10"/>
  <c r="BU114" i="10"/>
  <c r="CJ129" i="10"/>
  <c r="BU347" i="10"/>
  <c r="CJ342" i="10"/>
  <c r="BU230" i="10"/>
  <c r="GL230" i="10" s="1"/>
  <c r="BU276" i="10"/>
  <c r="CJ344" i="10"/>
  <c r="CJ334" i="10"/>
  <c r="CJ249" i="10"/>
  <c r="BU389" i="10"/>
  <c r="CJ207" i="10"/>
  <c r="BU333" i="10"/>
  <c r="BU94" i="10"/>
  <c r="CJ357" i="10"/>
  <c r="BU180" i="10"/>
  <c r="CJ371" i="10"/>
  <c r="CJ109" i="10"/>
  <c r="CJ107" i="10"/>
  <c r="BU81" i="10"/>
  <c r="GL81" i="10" s="1"/>
  <c r="BU104" i="10"/>
  <c r="BU105" i="10"/>
  <c r="GL105" i="10" s="1"/>
  <c r="BU92" i="10"/>
  <c r="BU73" i="10"/>
  <c r="GL73" i="10" s="1"/>
  <c r="BU118" i="10"/>
  <c r="GL118" i="10" s="1"/>
  <c r="CJ88" i="10"/>
  <c r="CJ57" i="10"/>
  <c r="CJ120" i="10"/>
  <c r="BU47" i="10"/>
  <c r="CJ136" i="10"/>
  <c r="BU39" i="10"/>
  <c r="GL39" i="10" s="1"/>
  <c r="CJ48" i="10"/>
  <c r="CJ64" i="10"/>
  <c r="BU103" i="10"/>
  <c r="GL103" i="10" s="1"/>
  <c r="CJ256" i="10"/>
  <c r="BU361" i="10"/>
  <c r="GL361" i="10" s="1"/>
  <c r="CJ143" i="10"/>
  <c r="CJ237" i="10"/>
  <c r="CJ211" i="10"/>
  <c r="CJ198" i="10"/>
  <c r="CJ165" i="10"/>
  <c r="BU372" i="10"/>
  <c r="CJ208" i="10"/>
  <c r="BU283" i="10"/>
  <c r="BU219" i="10"/>
  <c r="GL219" i="10" s="1"/>
  <c r="CJ81" i="10"/>
  <c r="BU200" i="10"/>
  <c r="CJ278" i="10"/>
  <c r="BU58" i="10"/>
  <c r="CJ93" i="10"/>
  <c r="CJ71" i="10"/>
  <c r="CJ78" i="10"/>
  <c r="CJ134" i="10"/>
  <c r="BU96" i="10"/>
  <c r="GL96" i="10" s="1"/>
  <c r="CJ89" i="10"/>
  <c r="CJ39" i="10"/>
  <c r="BU86" i="10"/>
  <c r="CJ43" i="10"/>
  <c r="BU51" i="10"/>
  <c r="CJ72" i="10"/>
  <c r="CJ116" i="10"/>
  <c r="CJ42" i="10"/>
  <c r="BU115" i="10"/>
  <c r="BU34" i="10"/>
  <c r="GL34" i="10" s="1"/>
  <c r="BU120" i="10"/>
  <c r="GL120" i="10" s="1"/>
  <c r="BU100" i="10"/>
  <c r="GL100" i="10" s="1"/>
  <c r="BU91" i="10"/>
  <c r="GL91" i="10" s="1"/>
  <c r="CJ316" i="10"/>
  <c r="BU49" i="10"/>
  <c r="BU194" i="10"/>
  <c r="CJ382" i="10"/>
  <c r="CJ250" i="10"/>
  <c r="CJ252" i="10"/>
  <c r="BU195" i="10"/>
  <c r="GL195" i="10" s="1"/>
  <c r="BU24" i="10"/>
  <c r="GL24" i="10" s="1"/>
  <c r="CJ340" i="10"/>
  <c r="BU61" i="10"/>
  <c r="BU95" i="10"/>
  <c r="GL95" i="10" s="1"/>
  <c r="CJ97" i="10"/>
  <c r="CJ74" i="10"/>
  <c r="BU37" i="10"/>
  <c r="GL37" i="10" s="1"/>
  <c r="CJ50" i="10"/>
  <c r="BU69" i="10"/>
  <c r="CJ108" i="10"/>
  <c r="CJ31" i="10"/>
  <c r="CJ131" i="10"/>
  <c r="CJ29" i="10"/>
  <c r="CJ83" i="10"/>
  <c r="CJ70" i="10"/>
  <c r="BU250" i="10"/>
  <c r="BU163" i="10"/>
  <c r="BU201" i="10"/>
  <c r="GL201" i="10" s="1"/>
  <c r="BU308" i="10"/>
  <c r="GL308" i="10" s="1"/>
  <c r="BU391" i="10"/>
  <c r="GL391" i="10" s="1"/>
  <c r="BU329" i="10"/>
  <c r="GL329" i="10" s="1"/>
  <c r="BU22" i="10"/>
  <c r="GL22" i="10" s="1"/>
  <c r="BU331" i="10"/>
  <c r="CJ236" i="10"/>
  <c r="BU171" i="10"/>
  <c r="CJ220" i="10"/>
  <c r="BU164" i="10"/>
  <c r="GL164" i="10" s="1"/>
  <c r="BU87" i="10"/>
  <c r="GL87" i="10" s="1"/>
  <c r="CJ126" i="10"/>
  <c r="CJ69" i="10"/>
  <c r="BU64" i="10"/>
  <c r="CJ137" i="10"/>
  <c r="BU131" i="10"/>
  <c r="GL131" i="10" s="1"/>
  <c r="CJ49" i="10"/>
  <c r="CJ102" i="10"/>
  <c r="CJ66" i="10"/>
  <c r="CJ100" i="10"/>
  <c r="CJ118" i="10"/>
  <c r="CJ44" i="10"/>
  <c r="CJ68" i="10"/>
  <c r="CJ214" i="10"/>
  <c r="CJ281" i="10"/>
  <c r="BU242" i="10"/>
  <c r="GL242" i="10" s="1"/>
  <c r="CJ233" i="10"/>
  <c r="BU262" i="10"/>
  <c r="CJ206" i="10"/>
  <c r="BU245" i="10"/>
  <c r="GL245" i="10" s="1"/>
  <c r="BU162" i="10"/>
  <c r="GL162" i="10" s="1"/>
  <c r="BU26" i="10"/>
  <c r="GL26" i="10" s="1"/>
  <c r="BU45" i="10"/>
  <c r="GL45" i="10" s="1"/>
  <c r="BU40" i="10"/>
  <c r="CJ339" i="10"/>
  <c r="CJ51" i="10"/>
  <c r="BU121" i="10"/>
  <c r="BU113" i="10"/>
  <c r="CJ30" i="10"/>
  <c r="CJ86" i="10"/>
  <c r="BU126" i="10"/>
  <c r="GL126" i="10" s="1"/>
  <c r="BU55" i="10"/>
  <c r="CJ56" i="10"/>
  <c r="BU28" i="10"/>
  <c r="GL28" i="10" s="1"/>
  <c r="CJ36" i="10"/>
  <c r="CJ110" i="10"/>
  <c r="CJ60" i="10"/>
  <c r="K68" i="20"/>
  <c r="I13" i="20"/>
  <c r="K13" i="20"/>
  <c r="J13" i="20"/>
  <c r="JM247" i="10"/>
  <c r="A241" i="15"/>
  <c r="H86" i="20"/>
  <c r="I97" i="15"/>
  <c r="AC97" i="15"/>
  <c r="Y97" i="15"/>
  <c r="K97" i="15"/>
  <c r="V97" i="15"/>
  <c r="L97" i="15"/>
  <c r="AA97" i="15"/>
  <c r="AG97" i="15"/>
  <c r="G97" i="15"/>
  <c r="AB97" i="15"/>
  <c r="C97" i="15"/>
  <c r="X97" i="15"/>
  <c r="Q97" i="15"/>
  <c r="E97" i="15"/>
  <c r="Z97" i="15"/>
  <c r="S97" i="15"/>
  <c r="M97" i="15"/>
  <c r="T97" i="15"/>
  <c r="W97" i="15"/>
  <c r="AF97" i="15"/>
  <c r="D97" i="15"/>
  <c r="O97" i="15"/>
  <c r="N97" i="15"/>
  <c r="U97" i="15"/>
  <c r="AE97" i="15"/>
  <c r="AH97" i="15"/>
  <c r="J97" i="15"/>
  <c r="P97" i="15"/>
  <c r="AI97" i="15"/>
  <c r="F97" i="15"/>
  <c r="R97" i="15"/>
  <c r="H97" i="15"/>
  <c r="AD97" i="15"/>
  <c r="I105" i="20"/>
  <c r="J105" i="20"/>
  <c r="K105" i="20"/>
  <c r="V244" i="15"/>
  <c r="S244" i="15"/>
  <c r="X244" i="15"/>
  <c r="T244" i="15"/>
  <c r="W244" i="15"/>
  <c r="E244" i="15"/>
  <c r="AA244" i="15"/>
  <c r="H244" i="15"/>
  <c r="N244" i="15"/>
  <c r="U244" i="15"/>
  <c r="P244" i="15"/>
  <c r="AD244" i="15"/>
  <c r="AH244" i="15"/>
  <c r="AE244" i="15"/>
  <c r="I244" i="15"/>
  <c r="Y244" i="15"/>
  <c r="M244" i="15"/>
  <c r="AC244" i="15"/>
  <c r="L244" i="15"/>
  <c r="Z244" i="15"/>
  <c r="O244" i="15"/>
  <c r="J244" i="15"/>
  <c r="K244" i="15"/>
  <c r="D244" i="15"/>
  <c r="Q244" i="15"/>
  <c r="AG244" i="15"/>
  <c r="H233" i="20"/>
  <c r="F244" i="15"/>
  <c r="C244" i="15"/>
  <c r="AB244" i="15"/>
  <c r="AI244" i="15"/>
  <c r="AF244" i="15"/>
  <c r="R244" i="15"/>
  <c r="G244" i="15"/>
  <c r="JM349" i="10"/>
  <c r="A343" i="15"/>
  <c r="AI48" i="15"/>
  <c r="K48" i="15"/>
  <c r="T48" i="15"/>
  <c r="W48" i="15"/>
  <c r="AB48" i="15"/>
  <c r="J48" i="15"/>
  <c r="AD48" i="15"/>
  <c r="AF48" i="15"/>
  <c r="H37" i="20"/>
  <c r="H48" i="15"/>
  <c r="Y48" i="15"/>
  <c r="Z48" i="15"/>
  <c r="AH48" i="15"/>
  <c r="AE48" i="15"/>
  <c r="X48" i="15"/>
  <c r="AC48" i="15"/>
  <c r="D48" i="15"/>
  <c r="P48" i="15"/>
  <c r="N48" i="15"/>
  <c r="Q48" i="15"/>
  <c r="E48" i="15"/>
  <c r="C48" i="15"/>
  <c r="O48" i="15"/>
  <c r="U48" i="15"/>
  <c r="AG48" i="15"/>
  <c r="S48" i="15"/>
  <c r="G48" i="15"/>
  <c r="I48" i="15"/>
  <c r="M48" i="15"/>
  <c r="V48" i="15"/>
  <c r="L48" i="15"/>
  <c r="K177" i="20"/>
  <c r="J177" i="20"/>
  <c r="I177" i="20"/>
  <c r="I183" i="20"/>
  <c r="J183" i="20"/>
  <c r="K183" i="20"/>
  <c r="D209" i="15"/>
  <c r="V209" i="15"/>
  <c r="O209" i="15"/>
  <c r="AF209" i="15"/>
  <c r="AG209" i="15"/>
  <c r="AD209" i="15"/>
  <c r="Q209" i="15"/>
  <c r="I209" i="15"/>
  <c r="AC209" i="15"/>
  <c r="X209" i="15"/>
  <c r="AI209" i="15"/>
  <c r="W209" i="15"/>
  <c r="G209" i="15"/>
  <c r="H209" i="15"/>
  <c r="R209" i="15"/>
  <c r="C209" i="15"/>
  <c r="AH209" i="15"/>
  <c r="AE209" i="15"/>
  <c r="AB209" i="15"/>
  <c r="S209" i="15"/>
  <c r="E209" i="15"/>
  <c r="F209" i="15"/>
  <c r="P209" i="15"/>
  <c r="N209" i="15"/>
  <c r="AA209" i="15"/>
  <c r="K209" i="15"/>
  <c r="H198" i="20"/>
  <c r="L209" i="15"/>
  <c r="Z209" i="15"/>
  <c r="J209" i="15"/>
  <c r="T209" i="15"/>
  <c r="M209" i="15"/>
  <c r="Y209" i="15"/>
  <c r="A245" i="15"/>
  <c r="JM251" i="10"/>
  <c r="AH262" i="15"/>
  <c r="X262" i="15"/>
  <c r="AA262" i="15"/>
  <c r="K262" i="15"/>
  <c r="AE262" i="15"/>
  <c r="H262" i="15"/>
  <c r="S262" i="15"/>
  <c r="H251" i="20"/>
  <c r="AG262" i="15"/>
  <c r="Z262" i="15"/>
  <c r="W262" i="15"/>
  <c r="AB262" i="15"/>
  <c r="L262" i="15"/>
  <c r="O262" i="15"/>
  <c r="C262" i="15"/>
  <c r="M262" i="15"/>
  <c r="R262" i="15"/>
  <c r="D262" i="15"/>
  <c r="G262" i="15"/>
  <c r="T262" i="15"/>
  <c r="U262" i="15"/>
  <c r="Q262" i="15"/>
  <c r="V262" i="15"/>
  <c r="I262" i="15"/>
  <c r="AC262" i="15"/>
  <c r="AF262" i="15"/>
  <c r="AI262" i="15"/>
  <c r="Y262" i="15"/>
  <c r="AD262" i="15"/>
  <c r="P262" i="15"/>
  <c r="E262" i="15"/>
  <c r="N262" i="15"/>
  <c r="J262" i="15"/>
  <c r="F262" i="15"/>
  <c r="Q66" i="15"/>
  <c r="A339" i="15"/>
  <c r="JM345" i="10"/>
  <c r="J235" i="20"/>
  <c r="K235" i="20"/>
  <c r="I235" i="20"/>
  <c r="C370" i="15"/>
  <c r="AH370" i="15"/>
  <c r="O370" i="15"/>
  <c r="AB370" i="15"/>
  <c r="H359" i="20"/>
  <c r="M370" i="15"/>
  <c r="AE370" i="15"/>
  <c r="J370" i="15"/>
  <c r="D370" i="15"/>
  <c r="H370" i="15"/>
  <c r="U370" i="15"/>
  <c r="AG370" i="15"/>
  <c r="G370" i="15"/>
  <c r="Y370" i="15"/>
  <c r="I370" i="15"/>
  <c r="X370" i="15"/>
  <c r="AI370" i="15"/>
  <c r="Z370" i="15"/>
  <c r="K370" i="15"/>
  <c r="E370" i="15"/>
  <c r="F370" i="15"/>
  <c r="R370" i="15"/>
  <c r="AA370" i="15"/>
  <c r="T370" i="15"/>
  <c r="P370" i="15"/>
  <c r="AC370" i="15"/>
  <c r="W370" i="15"/>
  <c r="N370" i="15"/>
  <c r="Q370" i="15"/>
  <c r="V370" i="15"/>
  <c r="AF370" i="15"/>
  <c r="J104" i="20"/>
  <c r="I104" i="20"/>
  <c r="K104" i="20"/>
  <c r="I307" i="20"/>
  <c r="K307" i="20"/>
  <c r="J307" i="20"/>
  <c r="K62" i="20"/>
  <c r="I62" i="20"/>
  <c r="J62" i="20"/>
  <c r="U113" i="15"/>
  <c r="M113" i="15"/>
  <c r="H102" i="20"/>
  <c r="S113" i="15"/>
  <c r="J113" i="15"/>
  <c r="T113" i="15"/>
  <c r="Y113" i="15"/>
  <c r="AE113" i="15"/>
  <c r="AH113" i="15"/>
  <c r="AF113" i="15"/>
  <c r="N113" i="15"/>
  <c r="O113" i="15"/>
  <c r="F113" i="15"/>
  <c r="D113" i="15"/>
  <c r="I113" i="15"/>
  <c r="Z113" i="15"/>
  <c r="AG113" i="15"/>
  <c r="R113" i="15"/>
  <c r="AI113" i="15"/>
  <c r="W113" i="15"/>
  <c r="X113" i="15"/>
  <c r="C113" i="15"/>
  <c r="AA113" i="15"/>
  <c r="H113" i="15"/>
  <c r="AB113" i="15"/>
  <c r="AD113" i="15"/>
  <c r="V113" i="15"/>
  <c r="K113" i="15"/>
  <c r="AC113" i="15"/>
  <c r="Q113" i="15"/>
  <c r="L113" i="15"/>
  <c r="P113" i="15"/>
  <c r="G113" i="15"/>
  <c r="E113" i="15"/>
  <c r="AG107" i="15"/>
  <c r="R107" i="15"/>
  <c r="V107" i="15"/>
  <c r="W107" i="15"/>
  <c r="P107" i="15"/>
  <c r="C107" i="15"/>
  <c r="AC107" i="15"/>
  <c r="G107" i="15"/>
  <c r="Z107" i="15"/>
  <c r="T107" i="15"/>
  <c r="H107" i="15"/>
  <c r="K107" i="15"/>
  <c r="Y107" i="15"/>
  <c r="AD107" i="15"/>
  <c r="X107" i="15"/>
  <c r="M107" i="15"/>
  <c r="AE107" i="15"/>
  <c r="E107" i="15"/>
  <c r="D107" i="15"/>
  <c r="F107" i="15"/>
  <c r="AH107" i="15"/>
  <c r="AA107" i="15"/>
  <c r="L107" i="15"/>
  <c r="Q107" i="15"/>
  <c r="AF107" i="15"/>
  <c r="H96" i="20"/>
  <c r="J107" i="15"/>
  <c r="AI107" i="15"/>
  <c r="U107" i="15"/>
  <c r="I107" i="15"/>
  <c r="O107" i="15"/>
  <c r="S107" i="15"/>
  <c r="AB107" i="15"/>
  <c r="N107" i="15"/>
  <c r="J299" i="20"/>
  <c r="I299" i="20"/>
  <c r="K299" i="20"/>
  <c r="M19" i="15"/>
  <c r="AG19" i="15"/>
  <c r="L19" i="15"/>
  <c r="AF19" i="15"/>
  <c r="O19" i="15"/>
  <c r="F19" i="15"/>
  <c r="AH19" i="15"/>
  <c r="I19" i="15"/>
  <c r="V19" i="15"/>
  <c r="N19" i="15"/>
  <c r="J128" i="20"/>
  <c r="I128" i="20"/>
  <c r="K128" i="20"/>
  <c r="J178" i="20"/>
  <c r="I178" i="20"/>
  <c r="K178" i="20"/>
  <c r="K356" i="20"/>
  <c r="J356" i="20"/>
  <c r="I356" i="20"/>
  <c r="A57" i="15"/>
  <c r="JM63" i="10"/>
  <c r="I215" i="20"/>
  <c r="K215" i="20"/>
  <c r="J215" i="20"/>
  <c r="J285" i="20"/>
  <c r="K285" i="20"/>
  <c r="I285" i="20"/>
  <c r="I192" i="20"/>
  <c r="K192" i="20"/>
  <c r="J192" i="20"/>
  <c r="J132" i="20"/>
  <c r="I132" i="20"/>
  <c r="K132" i="20"/>
  <c r="AE21" i="15"/>
  <c r="AA21" i="15"/>
  <c r="P21" i="15"/>
  <c r="U21" i="15"/>
  <c r="T21" i="15"/>
  <c r="Y21" i="15"/>
  <c r="I21" i="15"/>
  <c r="O21" i="15"/>
  <c r="Z21" i="15"/>
  <c r="AC21" i="15"/>
  <c r="L21" i="15"/>
  <c r="C21" i="15"/>
  <c r="AD21" i="15"/>
  <c r="F21" i="15"/>
  <c r="AI21" i="15"/>
  <c r="G21" i="15"/>
  <c r="R21" i="15"/>
  <c r="V21" i="15"/>
  <c r="AG21" i="15"/>
  <c r="AH21" i="15"/>
  <c r="J21" i="15"/>
  <c r="AF21" i="15"/>
  <c r="K21" i="15"/>
  <c r="Q21" i="15"/>
  <c r="AB21" i="15"/>
  <c r="H21" i="15"/>
  <c r="X21" i="15"/>
  <c r="M21" i="15"/>
  <c r="W21" i="15"/>
  <c r="H10" i="20"/>
  <c r="D21" i="15"/>
  <c r="S21" i="15"/>
  <c r="E21" i="15"/>
  <c r="N21" i="15"/>
  <c r="J245" i="20"/>
  <c r="K245" i="20"/>
  <c r="I245" i="20"/>
  <c r="N168" i="15"/>
  <c r="Y168" i="15"/>
  <c r="H157" i="20"/>
  <c r="AH168" i="15"/>
  <c r="P168" i="15"/>
  <c r="X168" i="15"/>
  <c r="E168" i="15"/>
  <c r="AE168" i="15"/>
  <c r="G168" i="15"/>
  <c r="R168" i="15"/>
  <c r="F168" i="15"/>
  <c r="AF168" i="15"/>
  <c r="AG168" i="15"/>
  <c r="W168" i="15"/>
  <c r="K168" i="15"/>
  <c r="AA168" i="15"/>
  <c r="D168" i="15"/>
  <c r="AD168" i="15"/>
  <c r="Z168" i="15"/>
  <c r="AB168" i="15"/>
  <c r="AI168" i="15"/>
  <c r="V168" i="15"/>
  <c r="Q168" i="15"/>
  <c r="U168" i="15"/>
  <c r="M168" i="15"/>
  <c r="O168" i="15"/>
  <c r="I168" i="15"/>
  <c r="AC168" i="15"/>
  <c r="H168" i="15"/>
  <c r="L168" i="15"/>
  <c r="T168" i="15"/>
  <c r="C168" i="15"/>
  <c r="S168" i="15"/>
  <c r="J168" i="15"/>
  <c r="C315" i="15"/>
  <c r="AI315" i="15"/>
  <c r="F315" i="15"/>
  <c r="K315" i="15"/>
  <c r="O315" i="15"/>
  <c r="Y315" i="15"/>
  <c r="V315" i="15"/>
  <c r="AA315" i="15"/>
  <c r="AG315" i="15"/>
  <c r="S315" i="15"/>
  <c r="H315" i="15"/>
  <c r="J315" i="15"/>
  <c r="T315" i="15"/>
  <c r="N315" i="15"/>
  <c r="R315" i="15"/>
  <c r="U315" i="15"/>
  <c r="Z315" i="15"/>
  <c r="AC315" i="15"/>
  <c r="Q315" i="15"/>
  <c r="D315" i="15"/>
  <c r="X315" i="15"/>
  <c r="M315" i="15"/>
  <c r="G315" i="15"/>
  <c r="H304" i="20"/>
  <c r="AE315" i="15"/>
  <c r="I315" i="15"/>
  <c r="L315" i="15"/>
  <c r="AB315" i="15"/>
  <c r="E315" i="15"/>
  <c r="W315" i="15"/>
  <c r="AH315" i="15"/>
  <c r="P315" i="15"/>
  <c r="AF315" i="15"/>
  <c r="AD315" i="15"/>
  <c r="J141" i="20"/>
  <c r="K141" i="20"/>
  <c r="I141" i="20"/>
  <c r="K369" i="20"/>
  <c r="J369" i="20"/>
  <c r="I369" i="20"/>
  <c r="K110" i="20"/>
  <c r="I110" i="20"/>
  <c r="J110" i="20"/>
  <c r="I31" i="20"/>
  <c r="K31" i="20"/>
  <c r="J31" i="20"/>
  <c r="R80" i="15"/>
  <c r="X80" i="15"/>
  <c r="AC80" i="15"/>
  <c r="Q80" i="15"/>
  <c r="O80" i="15"/>
  <c r="E80" i="15"/>
  <c r="F80" i="15"/>
  <c r="T80" i="15"/>
  <c r="K80" i="15"/>
  <c r="H80" i="15"/>
  <c r="Z80" i="15"/>
  <c r="I80" i="15"/>
  <c r="P80" i="15"/>
  <c r="V80" i="15"/>
  <c r="D80" i="15"/>
  <c r="H69" i="20"/>
  <c r="AF80" i="15"/>
  <c r="C80" i="15"/>
  <c r="G80" i="15"/>
  <c r="L80" i="15"/>
  <c r="AI80" i="15"/>
  <c r="AD80" i="15"/>
  <c r="N80" i="15"/>
  <c r="U80" i="15"/>
  <c r="M80" i="15"/>
  <c r="Y80" i="15"/>
  <c r="AH80" i="15"/>
  <c r="AE80" i="15"/>
  <c r="AA80" i="15"/>
  <c r="W80" i="15"/>
  <c r="AB80" i="15"/>
  <c r="S80" i="15"/>
  <c r="AG80" i="15"/>
  <c r="J80" i="15"/>
  <c r="AB337" i="15"/>
  <c r="X337" i="15"/>
  <c r="W337" i="15"/>
  <c r="AI337" i="15"/>
  <c r="F337" i="15"/>
  <c r="Z337" i="15"/>
  <c r="L337" i="15"/>
  <c r="H337" i="15"/>
  <c r="AE337" i="15"/>
  <c r="AF337" i="15"/>
  <c r="M337" i="15"/>
  <c r="S337" i="15"/>
  <c r="P337" i="15"/>
  <c r="C337" i="15"/>
  <c r="U337" i="15"/>
  <c r="H326" i="20"/>
  <c r="AC337" i="15"/>
  <c r="E337" i="15"/>
  <c r="D337" i="15"/>
  <c r="K337" i="15"/>
  <c r="R337" i="15"/>
  <c r="AH337" i="15"/>
  <c r="N337" i="15"/>
  <c r="AA337" i="15"/>
  <c r="AG337" i="15"/>
  <c r="I337" i="15"/>
  <c r="O337" i="15"/>
  <c r="T337" i="15"/>
  <c r="J337" i="15"/>
  <c r="Y337" i="15"/>
  <c r="AD337" i="15"/>
  <c r="V337" i="15"/>
  <c r="T124" i="15"/>
  <c r="F124" i="15"/>
  <c r="AA124" i="15"/>
  <c r="I124" i="15"/>
  <c r="L124" i="15"/>
  <c r="J124" i="15"/>
  <c r="AG124" i="15"/>
  <c r="K124" i="15"/>
  <c r="AF124" i="15"/>
  <c r="D124" i="15"/>
  <c r="Y124" i="15"/>
  <c r="H124" i="15"/>
  <c r="AI124" i="15"/>
  <c r="X124" i="15"/>
  <c r="W124" i="15"/>
  <c r="O124" i="15"/>
  <c r="Q124" i="15"/>
  <c r="U124" i="15"/>
  <c r="S124" i="15"/>
  <c r="C124" i="15"/>
  <c r="H113" i="20"/>
  <c r="E124" i="15"/>
  <c r="AC124" i="15"/>
  <c r="M124" i="15"/>
  <c r="V124" i="15"/>
  <c r="P124" i="15"/>
  <c r="AB124" i="15"/>
  <c r="G124" i="15"/>
  <c r="R124" i="15"/>
  <c r="AE124" i="15"/>
  <c r="N124" i="15"/>
  <c r="AD124" i="15"/>
  <c r="AH124" i="15"/>
  <c r="Z124" i="15"/>
  <c r="AD77" i="15"/>
  <c r="O77" i="15"/>
  <c r="P77" i="15"/>
  <c r="Q77" i="15"/>
  <c r="I172" i="20"/>
  <c r="K172" i="20"/>
  <c r="J172" i="20"/>
  <c r="AA248" i="15"/>
  <c r="D248" i="15"/>
  <c r="C248" i="15"/>
  <c r="Z248" i="15"/>
  <c r="G248" i="15"/>
  <c r="AG248" i="15"/>
  <c r="F248" i="15"/>
  <c r="T248" i="15"/>
  <c r="E248" i="15"/>
  <c r="I248" i="15"/>
  <c r="AD248" i="15"/>
  <c r="H248" i="15"/>
  <c r="Q248" i="15"/>
  <c r="AI248" i="15"/>
  <c r="H237" i="20"/>
  <c r="X248" i="15"/>
  <c r="M248" i="15"/>
  <c r="N248" i="15"/>
  <c r="P248" i="15"/>
  <c r="AC248" i="15"/>
  <c r="K248" i="15"/>
  <c r="AB248" i="15"/>
  <c r="V248" i="15"/>
  <c r="L248" i="15"/>
  <c r="R248" i="15"/>
  <c r="S248" i="15"/>
  <c r="AF248" i="15"/>
  <c r="W248" i="15"/>
  <c r="U248" i="15"/>
  <c r="O248" i="15"/>
  <c r="J248" i="15"/>
  <c r="AH248" i="15"/>
  <c r="Y248" i="15"/>
  <c r="AE248" i="15"/>
  <c r="AI82" i="15"/>
  <c r="D82" i="15"/>
  <c r="AB82" i="15"/>
  <c r="Z82" i="15"/>
  <c r="K82" i="15"/>
  <c r="Q82" i="15"/>
  <c r="AD82" i="15"/>
  <c r="G82" i="15"/>
  <c r="C82" i="15"/>
  <c r="O82" i="15"/>
  <c r="AG82" i="15"/>
  <c r="AE82" i="15"/>
  <c r="N82" i="15"/>
  <c r="AC82" i="15"/>
  <c r="H71" i="20"/>
  <c r="F82" i="15"/>
  <c r="AH82" i="15"/>
  <c r="T82" i="15"/>
  <c r="W82" i="15"/>
  <c r="M82" i="15"/>
  <c r="P82" i="15"/>
  <c r="R82" i="15"/>
  <c r="J82" i="15"/>
  <c r="X82" i="15"/>
  <c r="H82" i="15"/>
  <c r="AF82" i="15"/>
  <c r="L82" i="15"/>
  <c r="U82" i="15"/>
  <c r="S82" i="15"/>
  <c r="V82" i="15"/>
  <c r="Y82" i="15"/>
  <c r="I82" i="15"/>
  <c r="E82" i="15"/>
  <c r="AA82" i="15"/>
  <c r="I51" i="20"/>
  <c r="K51" i="20"/>
  <c r="J51" i="20"/>
  <c r="K349" i="20"/>
  <c r="J349" i="20"/>
  <c r="I349" i="20"/>
  <c r="E126" i="15"/>
  <c r="AG126" i="15"/>
  <c r="Y126" i="15"/>
  <c r="T126" i="15"/>
  <c r="Z126" i="15"/>
  <c r="L126" i="15"/>
  <c r="AI126" i="15"/>
  <c r="AH126" i="15"/>
  <c r="P126" i="15"/>
  <c r="H115" i="20"/>
  <c r="AD126" i="15"/>
  <c r="H126" i="15"/>
  <c r="S126" i="15"/>
  <c r="U126" i="15"/>
  <c r="V126" i="15"/>
  <c r="W126" i="15"/>
  <c r="AE126" i="15"/>
  <c r="O126" i="15"/>
  <c r="I126" i="15"/>
  <c r="AB126" i="15"/>
  <c r="C126" i="15"/>
  <c r="G126" i="15"/>
  <c r="N126" i="15"/>
  <c r="AC126" i="15"/>
  <c r="R126" i="15"/>
  <c r="M126" i="15"/>
  <c r="J294" i="20"/>
  <c r="I294" i="20"/>
  <c r="K294" i="20"/>
  <c r="DL68" i="10"/>
  <c r="A100" i="15"/>
  <c r="JM106" i="10"/>
  <c r="A91" i="15"/>
  <c r="JM97" i="10"/>
  <c r="U160" i="15"/>
  <c r="D160" i="15"/>
  <c r="AI160" i="15"/>
  <c r="AA160" i="15"/>
  <c r="H160" i="15"/>
  <c r="O160" i="15"/>
  <c r="N160" i="15"/>
  <c r="G160" i="15"/>
  <c r="F160" i="15"/>
  <c r="R160" i="15"/>
  <c r="Q160" i="15"/>
  <c r="W160" i="15"/>
  <c r="L160" i="15"/>
  <c r="AB160" i="15"/>
  <c r="H149" i="20"/>
  <c r="AE160" i="15"/>
  <c r="K160" i="15"/>
  <c r="Y160" i="15"/>
  <c r="Z160" i="15"/>
  <c r="E160" i="15"/>
  <c r="M160" i="15"/>
  <c r="AC160" i="15"/>
  <c r="AG160" i="15"/>
  <c r="X160" i="15"/>
  <c r="P160" i="15"/>
  <c r="I160" i="15"/>
  <c r="AF160" i="15"/>
  <c r="C160" i="15"/>
  <c r="T160" i="15"/>
  <c r="S160" i="15"/>
  <c r="V160" i="15"/>
  <c r="J160" i="15"/>
  <c r="AH160" i="15"/>
  <c r="AD160" i="15"/>
  <c r="A81" i="15"/>
  <c r="JM87" i="10"/>
  <c r="K211" i="20"/>
  <c r="I211" i="20"/>
  <c r="J211" i="20"/>
  <c r="T383" i="15"/>
  <c r="Q383" i="15"/>
  <c r="M383" i="15"/>
  <c r="I383" i="15"/>
  <c r="K383" i="15"/>
  <c r="C383" i="15"/>
  <c r="O383" i="15"/>
  <c r="J383" i="15"/>
  <c r="H383" i="15"/>
  <c r="G383" i="15"/>
  <c r="AC383" i="15"/>
  <c r="S383" i="15"/>
  <c r="E383" i="15"/>
  <c r="X383" i="15"/>
  <c r="AG383" i="15"/>
  <c r="AI383" i="15"/>
  <c r="Z383" i="15"/>
  <c r="AH383" i="15"/>
  <c r="P383" i="15"/>
  <c r="Y383" i="15"/>
  <c r="N383" i="15"/>
  <c r="AF383" i="15"/>
  <c r="AD383" i="15"/>
  <c r="W383" i="15"/>
  <c r="H372" i="20"/>
  <c r="R383" i="15"/>
  <c r="AA383" i="15"/>
  <c r="AE383" i="15"/>
  <c r="L383" i="15"/>
  <c r="F383" i="15"/>
  <c r="U383" i="15"/>
  <c r="AB383" i="15"/>
  <c r="V383" i="15"/>
  <c r="D383" i="15"/>
  <c r="I298" i="20"/>
  <c r="J298" i="20"/>
  <c r="K298" i="20"/>
  <c r="M311" i="15"/>
  <c r="X311" i="15"/>
  <c r="H300" i="20"/>
  <c r="U311" i="15"/>
  <c r="N311" i="15"/>
  <c r="AF311" i="15"/>
  <c r="F311" i="15"/>
  <c r="AE311" i="15"/>
  <c r="AD311" i="15"/>
  <c r="AG311" i="15"/>
  <c r="AA311" i="15"/>
  <c r="I311" i="15"/>
  <c r="S311" i="15"/>
  <c r="V311" i="15"/>
  <c r="H311" i="15"/>
  <c r="L311" i="15"/>
  <c r="AH311" i="15"/>
  <c r="J311" i="15"/>
  <c r="O311" i="15"/>
  <c r="Q311" i="15"/>
  <c r="W311" i="15"/>
  <c r="T311" i="15"/>
  <c r="P311" i="15"/>
  <c r="AB311" i="15"/>
  <c r="D311" i="15"/>
  <c r="G311" i="15"/>
  <c r="AI311" i="15"/>
  <c r="AC311" i="15"/>
  <c r="Z311" i="15"/>
  <c r="R311" i="15"/>
  <c r="E311" i="15"/>
  <c r="Y311" i="15"/>
  <c r="C311" i="15"/>
  <c r="K311" i="15"/>
  <c r="A118" i="15"/>
  <c r="JM124" i="10"/>
  <c r="H267" i="20"/>
  <c r="S278" i="15"/>
  <c r="Y278" i="15"/>
  <c r="P278" i="15"/>
  <c r="L278" i="15"/>
  <c r="G278" i="15"/>
  <c r="AF278" i="15"/>
  <c r="AB278" i="15"/>
  <c r="D278" i="15"/>
  <c r="Z278" i="15"/>
  <c r="AD278" i="15"/>
  <c r="X278" i="15"/>
  <c r="W278" i="15"/>
  <c r="AH278" i="15"/>
  <c r="M278" i="15"/>
  <c r="R278" i="15"/>
  <c r="U278" i="15"/>
  <c r="AC278" i="15"/>
  <c r="O278" i="15"/>
  <c r="AG278" i="15"/>
  <c r="AA278" i="15"/>
  <c r="V278" i="15"/>
  <c r="N278" i="15"/>
  <c r="E278" i="15"/>
  <c r="H278" i="15"/>
  <c r="AE278" i="15"/>
  <c r="K278" i="15"/>
  <c r="Q278" i="15"/>
  <c r="J278" i="15"/>
  <c r="F278" i="15"/>
  <c r="I278" i="15"/>
  <c r="T278" i="15"/>
  <c r="C278" i="15"/>
  <c r="AI278" i="15"/>
  <c r="A127" i="15"/>
  <c r="JM133" i="10"/>
  <c r="A366" i="15"/>
  <c r="JM372" i="10"/>
  <c r="I56" i="20"/>
  <c r="K56" i="20"/>
  <c r="J56" i="20"/>
  <c r="I297" i="20"/>
  <c r="K297" i="20"/>
  <c r="J297" i="20"/>
  <c r="I373" i="20"/>
  <c r="J373" i="20"/>
  <c r="K373" i="20"/>
  <c r="P148" i="15"/>
  <c r="U148" i="15"/>
  <c r="S148" i="15"/>
  <c r="K148" i="15"/>
  <c r="C148" i="15"/>
  <c r="AF148" i="15"/>
  <c r="H148" i="15"/>
  <c r="AE148" i="15"/>
  <c r="E148" i="15"/>
  <c r="L148" i="15"/>
  <c r="V148" i="15"/>
  <c r="M148" i="15"/>
  <c r="AI148" i="15"/>
  <c r="N148" i="15"/>
  <c r="R148" i="15"/>
  <c r="O148" i="15"/>
  <c r="AH148" i="15"/>
  <c r="AC148" i="15"/>
  <c r="AA148" i="15"/>
  <c r="I148" i="15"/>
  <c r="AD148" i="15"/>
  <c r="G148" i="15"/>
  <c r="Z148" i="15"/>
  <c r="AB148" i="15"/>
  <c r="F148" i="15"/>
  <c r="T148" i="15"/>
  <c r="H137" i="20"/>
  <c r="Q148" i="15"/>
  <c r="AG148" i="15"/>
  <c r="J148" i="15"/>
  <c r="D148" i="15"/>
  <c r="X148" i="15"/>
  <c r="W148" i="15"/>
  <c r="Y148" i="15"/>
  <c r="N279" i="15"/>
  <c r="AI279" i="15"/>
  <c r="H279" i="15"/>
  <c r="Y279" i="15"/>
  <c r="G279" i="15"/>
  <c r="W279" i="15"/>
  <c r="O279" i="15"/>
  <c r="X279" i="15"/>
  <c r="K279" i="15"/>
  <c r="AF279" i="15"/>
  <c r="AC279" i="15"/>
  <c r="AH279" i="15"/>
  <c r="H268" i="20"/>
  <c r="R279" i="15"/>
  <c r="S279" i="15"/>
  <c r="AG279" i="15"/>
  <c r="AB279" i="15"/>
  <c r="AE279" i="15"/>
  <c r="E279" i="15"/>
  <c r="F279" i="15"/>
  <c r="P279" i="15"/>
  <c r="M279" i="15"/>
  <c r="U279" i="15"/>
  <c r="J279" i="15"/>
  <c r="AD279" i="15"/>
  <c r="V279" i="15"/>
  <c r="T279" i="15"/>
  <c r="L279" i="15"/>
  <c r="Q279" i="15"/>
  <c r="AA279" i="15"/>
  <c r="D279" i="15"/>
  <c r="I279" i="15"/>
  <c r="C279" i="15"/>
  <c r="Z279" i="15"/>
  <c r="J127" i="20"/>
  <c r="I127" i="20"/>
  <c r="K127" i="20"/>
  <c r="I348" i="20"/>
  <c r="J348" i="20"/>
  <c r="K348" i="20"/>
  <c r="S268" i="15"/>
  <c r="P268" i="15"/>
  <c r="AH268" i="15"/>
  <c r="C268" i="15"/>
  <c r="AB268" i="15"/>
  <c r="D66" i="15"/>
  <c r="I66" i="15"/>
  <c r="J66" i="15"/>
  <c r="H66" i="15"/>
  <c r="X66" i="15"/>
  <c r="R66" i="15"/>
  <c r="Z66" i="15"/>
  <c r="L66" i="15"/>
  <c r="N66" i="15"/>
  <c r="U66" i="15"/>
  <c r="E66" i="15"/>
  <c r="H55" i="20"/>
  <c r="AG66" i="15"/>
  <c r="AB66" i="15"/>
  <c r="T66" i="15"/>
  <c r="O66" i="15"/>
  <c r="K66" i="15"/>
  <c r="Y66" i="15"/>
  <c r="AF66" i="15"/>
  <c r="F66" i="15"/>
  <c r="P66" i="15"/>
  <c r="W66" i="15"/>
  <c r="V66" i="15"/>
  <c r="G66" i="15"/>
  <c r="AC66" i="15"/>
  <c r="AE66" i="15"/>
  <c r="M66" i="15"/>
  <c r="S66" i="15"/>
  <c r="C66" i="15"/>
  <c r="AH66" i="15"/>
  <c r="A228" i="15"/>
  <c r="JM234" i="10"/>
  <c r="JM90" i="10"/>
  <c r="A84" i="15"/>
  <c r="JM28" i="10"/>
  <c r="A22" i="15"/>
  <c r="JM306" i="10"/>
  <c r="A300" i="15"/>
  <c r="AH105" i="15"/>
  <c r="G105" i="15"/>
  <c r="N105" i="15"/>
  <c r="AD105" i="15"/>
  <c r="T105" i="15"/>
  <c r="C105" i="15"/>
  <c r="M105" i="15"/>
  <c r="E105" i="15"/>
  <c r="L105" i="15"/>
  <c r="AC105" i="15"/>
  <c r="AE105" i="15"/>
  <c r="X105" i="15"/>
  <c r="AG105" i="15"/>
  <c r="I105" i="15"/>
  <c r="Q105" i="15"/>
  <c r="P105" i="15"/>
  <c r="F105" i="15"/>
  <c r="D105" i="15"/>
  <c r="O105" i="15"/>
  <c r="H105" i="15"/>
  <c r="AB105" i="15"/>
  <c r="H94" i="20"/>
  <c r="Z105" i="15"/>
  <c r="R105" i="15"/>
  <c r="K105" i="15"/>
  <c r="AF105" i="15"/>
  <c r="AA105" i="15"/>
  <c r="Y105" i="15"/>
  <c r="J105" i="15"/>
  <c r="U105" i="15"/>
  <c r="S105" i="15"/>
  <c r="AI105" i="15"/>
  <c r="V105" i="15"/>
  <c r="W105" i="15"/>
  <c r="I92" i="20"/>
  <c r="K92" i="20"/>
  <c r="J92" i="20"/>
  <c r="I50" i="20"/>
  <c r="J50" i="20"/>
  <c r="K50" i="20"/>
  <c r="Q187" i="15"/>
  <c r="AC187" i="15"/>
  <c r="S187" i="15"/>
  <c r="P187" i="15"/>
  <c r="W187" i="15"/>
  <c r="U187" i="15"/>
  <c r="AD187" i="15"/>
  <c r="G187" i="15"/>
  <c r="C187" i="15"/>
  <c r="AA187" i="15"/>
  <c r="R187" i="15"/>
  <c r="I187" i="15"/>
  <c r="E187" i="15"/>
  <c r="H176" i="20"/>
  <c r="AG187" i="15"/>
  <c r="X187" i="15"/>
  <c r="K108" i="20"/>
  <c r="I108" i="20"/>
  <c r="J108" i="20"/>
  <c r="K312" i="15"/>
  <c r="AA312" i="15"/>
  <c r="N312" i="15"/>
  <c r="AI312" i="15"/>
  <c r="AB312" i="15"/>
  <c r="Y312" i="15"/>
  <c r="G312" i="15"/>
  <c r="C312" i="15"/>
  <c r="S312" i="15"/>
  <c r="AH312" i="15"/>
  <c r="I312" i="15"/>
  <c r="D312" i="15"/>
  <c r="P312" i="15"/>
  <c r="W312" i="15"/>
  <c r="AE312" i="15"/>
  <c r="E312" i="15"/>
  <c r="O312" i="15"/>
  <c r="AC312" i="15"/>
  <c r="R312" i="15"/>
  <c r="H301" i="20"/>
  <c r="J312" i="15"/>
  <c r="L312" i="15"/>
  <c r="Q312" i="15"/>
  <c r="X312" i="15"/>
  <c r="AG312" i="15"/>
  <c r="F312" i="15"/>
  <c r="Z312" i="15"/>
  <c r="T312" i="15"/>
  <c r="M312" i="15"/>
  <c r="AD312" i="15"/>
  <c r="H312" i="15"/>
  <c r="AF312" i="15"/>
  <c r="JM380" i="10"/>
  <c r="A374" i="15"/>
  <c r="Q337" i="15"/>
  <c r="I101" i="20"/>
  <c r="J101" i="20"/>
  <c r="K101" i="20"/>
  <c r="JM52" i="10"/>
  <c r="A46" i="15"/>
  <c r="I286" i="20"/>
  <c r="K286" i="20"/>
  <c r="J286" i="20"/>
  <c r="V164" i="15"/>
  <c r="U164" i="15"/>
  <c r="I164" i="15"/>
  <c r="Q164" i="15"/>
  <c r="X164" i="15"/>
  <c r="AA164" i="15"/>
  <c r="P164" i="15"/>
  <c r="K164" i="15"/>
  <c r="AB164" i="15"/>
  <c r="N164" i="15"/>
  <c r="M164" i="15"/>
  <c r="T164" i="15"/>
  <c r="O164" i="15"/>
  <c r="J164" i="15"/>
  <c r="Z164" i="15"/>
  <c r="W164" i="15"/>
  <c r="D164" i="15"/>
  <c r="H164" i="15"/>
  <c r="H153" i="20"/>
  <c r="L164" i="15"/>
  <c r="Y164" i="15"/>
  <c r="AG164" i="15"/>
  <c r="AH164" i="15"/>
  <c r="R164" i="15"/>
  <c r="AC164" i="15"/>
  <c r="AI164" i="15"/>
  <c r="AE164" i="15"/>
  <c r="AF164" i="15"/>
  <c r="E164" i="15"/>
  <c r="C164" i="15"/>
  <c r="S164" i="15"/>
  <c r="F164" i="15"/>
  <c r="G164" i="15"/>
  <c r="AD164" i="15"/>
  <c r="K100" i="20"/>
  <c r="J100" i="20"/>
  <c r="I100" i="20"/>
  <c r="J9" i="20"/>
  <c r="K9" i="20"/>
  <c r="I9" i="20"/>
  <c r="AG99" i="15"/>
  <c r="AI99" i="15"/>
  <c r="F99" i="15"/>
  <c r="R99" i="15"/>
  <c r="AE99" i="15"/>
  <c r="L99" i="15"/>
  <c r="N99" i="15"/>
  <c r="J99" i="15"/>
  <c r="AA99" i="15"/>
  <c r="AB99" i="15"/>
  <c r="X99" i="15"/>
  <c r="Q99" i="15"/>
  <c r="V99" i="15"/>
  <c r="P99" i="15"/>
  <c r="C99" i="15"/>
  <c r="F33" i="15"/>
  <c r="H33" i="15"/>
  <c r="C33" i="15"/>
  <c r="J33" i="15"/>
  <c r="I33" i="15"/>
  <c r="E33" i="15"/>
  <c r="H22" i="20"/>
  <c r="G33" i="15"/>
  <c r="Q33" i="15"/>
  <c r="Y33" i="15"/>
  <c r="M33" i="15"/>
  <c r="T33" i="15"/>
  <c r="X33" i="15"/>
  <c r="D33" i="15"/>
  <c r="K33" i="15"/>
  <c r="AH33" i="15"/>
  <c r="AI33" i="15"/>
  <c r="AC33" i="15"/>
  <c r="AG33" i="15"/>
  <c r="S33" i="15"/>
  <c r="AB33" i="15"/>
  <c r="P33" i="15"/>
  <c r="AF33" i="15"/>
  <c r="Z33" i="15"/>
  <c r="L33" i="15"/>
  <c r="V33" i="15"/>
  <c r="R33" i="15"/>
  <c r="O33" i="15"/>
  <c r="AA33" i="15"/>
  <c r="A170" i="15"/>
  <c r="JM176" i="10"/>
  <c r="AE125" i="15"/>
  <c r="Y125" i="15"/>
  <c r="C125" i="15"/>
  <c r="X125" i="15"/>
  <c r="T125" i="15"/>
  <c r="Q125" i="15"/>
  <c r="F125" i="15"/>
  <c r="L125" i="15"/>
  <c r="H125" i="15"/>
  <c r="M125" i="15"/>
  <c r="U125" i="15"/>
  <c r="R125" i="15"/>
  <c r="AD125" i="15"/>
  <c r="G125" i="15"/>
  <c r="AF125" i="15"/>
  <c r="K125" i="15"/>
  <c r="AI125" i="15"/>
  <c r="S125" i="15"/>
  <c r="W125" i="15"/>
  <c r="N125" i="15"/>
  <c r="AH125" i="15"/>
  <c r="V125" i="15"/>
  <c r="P125" i="15"/>
  <c r="O125" i="15"/>
  <c r="Z125" i="15"/>
  <c r="J125" i="15"/>
  <c r="AB125" i="15"/>
  <c r="AA125" i="15"/>
  <c r="AG125" i="15"/>
  <c r="E125" i="15"/>
  <c r="AC125" i="15"/>
  <c r="D125" i="15"/>
  <c r="I125" i="15"/>
  <c r="H114" i="20"/>
  <c r="AB172" i="15"/>
  <c r="T172" i="15"/>
  <c r="Y172" i="15"/>
  <c r="H172" i="15"/>
  <c r="R172" i="15"/>
  <c r="Q172" i="15"/>
  <c r="S172" i="15"/>
  <c r="AC172" i="15"/>
  <c r="J172" i="15"/>
  <c r="AI172" i="15"/>
  <c r="H161" i="20"/>
  <c r="V172" i="15"/>
  <c r="F172" i="15"/>
  <c r="U172" i="15"/>
  <c r="P172" i="15"/>
  <c r="C172" i="15"/>
  <c r="G172" i="15"/>
  <c r="E172" i="15"/>
  <c r="AF172" i="15"/>
  <c r="Z172" i="15"/>
  <c r="AA172" i="15"/>
  <c r="AD172" i="15"/>
  <c r="L172" i="15"/>
  <c r="D172" i="15"/>
  <c r="I172" i="15"/>
  <c r="AH172" i="15"/>
  <c r="N172" i="15"/>
  <c r="K172" i="15"/>
  <c r="AE172" i="15"/>
  <c r="M172" i="15"/>
  <c r="X172" i="15"/>
  <c r="AG172" i="15"/>
  <c r="O172" i="15"/>
  <c r="W172" i="15"/>
  <c r="A364" i="15"/>
  <c r="JM370" i="10"/>
  <c r="A122" i="15"/>
  <c r="JM128" i="10"/>
  <c r="I358" i="20"/>
  <c r="K358" i="20"/>
  <c r="J358" i="20"/>
  <c r="J339" i="20"/>
  <c r="I339" i="20"/>
  <c r="K339" i="20"/>
  <c r="A346" i="15"/>
  <c r="JM352" i="10"/>
  <c r="J17" i="20"/>
  <c r="K17" i="20"/>
  <c r="I17" i="20"/>
  <c r="I99" i="20"/>
  <c r="J99" i="20"/>
  <c r="K99" i="20"/>
  <c r="I57" i="20"/>
  <c r="J57" i="20"/>
  <c r="K57" i="20"/>
  <c r="J278" i="20"/>
  <c r="K278" i="20"/>
  <c r="I278" i="20"/>
  <c r="K48" i="20"/>
  <c r="I48" i="20"/>
  <c r="J48" i="20"/>
  <c r="J275" i="20"/>
  <c r="K275" i="20"/>
  <c r="T106" i="15"/>
  <c r="Y106" i="15"/>
  <c r="F106" i="15"/>
  <c r="AD106" i="15"/>
  <c r="X106" i="15"/>
  <c r="AF106" i="15"/>
  <c r="D106" i="15"/>
  <c r="AI106" i="15"/>
  <c r="P106" i="15"/>
  <c r="O106" i="15"/>
  <c r="AG106" i="15"/>
  <c r="W106" i="15"/>
  <c r="AH106" i="15"/>
  <c r="L106" i="15"/>
  <c r="K106" i="15"/>
  <c r="E106" i="15"/>
  <c r="AB106" i="15"/>
  <c r="Q106" i="15"/>
  <c r="H106" i="15"/>
  <c r="S106" i="15"/>
  <c r="Z106" i="15"/>
  <c r="I106" i="15"/>
  <c r="J106" i="15"/>
  <c r="R106" i="15"/>
  <c r="M106" i="15"/>
  <c r="V106" i="15"/>
  <c r="H95" i="20"/>
  <c r="C106" i="15"/>
  <c r="AE106" i="15"/>
  <c r="U106" i="15"/>
  <c r="N106" i="15"/>
  <c r="G106" i="15"/>
  <c r="AC106" i="15"/>
  <c r="AA106" i="15"/>
  <c r="DL224" i="10"/>
  <c r="H320" i="15"/>
  <c r="AD320" i="15"/>
  <c r="P320" i="15"/>
  <c r="I320" i="15"/>
  <c r="AH320" i="15"/>
  <c r="S320" i="15"/>
  <c r="Z320" i="15"/>
  <c r="Y320" i="15"/>
  <c r="L320" i="15"/>
  <c r="R320" i="15"/>
  <c r="C320" i="15"/>
  <c r="T320" i="15"/>
  <c r="Q320" i="15"/>
  <c r="N320" i="15"/>
  <c r="K320" i="15"/>
  <c r="AB320" i="15"/>
  <c r="M320" i="15"/>
  <c r="F320" i="15"/>
  <c r="X320" i="15"/>
  <c r="AI320" i="15"/>
  <c r="AE320" i="15"/>
  <c r="O320" i="15"/>
  <c r="E320" i="15"/>
  <c r="H309" i="20"/>
  <c r="AC320" i="15"/>
  <c r="V320" i="15"/>
  <c r="AF320" i="15"/>
  <c r="U320" i="15"/>
  <c r="G320" i="15"/>
  <c r="W320" i="15"/>
  <c r="J320" i="15"/>
  <c r="AA320" i="15"/>
  <c r="AG320" i="15"/>
  <c r="D320" i="15"/>
  <c r="V135" i="15"/>
  <c r="S135" i="15"/>
  <c r="H124" i="20"/>
  <c r="Y135" i="15"/>
  <c r="L135" i="15"/>
  <c r="AI135" i="15"/>
  <c r="G135" i="15"/>
  <c r="AG135" i="15"/>
  <c r="Z135" i="15"/>
  <c r="AD135" i="15"/>
  <c r="J135" i="15"/>
  <c r="AA135" i="15"/>
  <c r="I135" i="15"/>
  <c r="O135" i="15"/>
  <c r="T135" i="15"/>
  <c r="Q135" i="15"/>
  <c r="N135" i="15"/>
  <c r="P135" i="15"/>
  <c r="U135" i="15"/>
  <c r="E135" i="15"/>
  <c r="K135" i="15"/>
  <c r="X135" i="15"/>
  <c r="R135" i="15"/>
  <c r="AF135" i="15"/>
  <c r="W135" i="15"/>
  <c r="C135" i="15"/>
  <c r="F135" i="15"/>
  <c r="M135" i="15"/>
  <c r="D135" i="15"/>
  <c r="AH135" i="15"/>
  <c r="AB135" i="15"/>
  <c r="H135" i="15"/>
  <c r="AC135" i="15"/>
  <c r="AE135" i="15"/>
  <c r="JM385" i="10"/>
  <c r="A379" i="15"/>
  <c r="K179" i="15"/>
  <c r="G179" i="15"/>
  <c r="S179" i="15"/>
  <c r="H179" i="15"/>
  <c r="C179" i="15"/>
  <c r="D179" i="15"/>
  <c r="AB179" i="15"/>
  <c r="AE179" i="15"/>
  <c r="AC179" i="15"/>
  <c r="T179" i="15"/>
  <c r="E179" i="15"/>
  <c r="Q179" i="15"/>
  <c r="V179" i="15"/>
  <c r="W179" i="15"/>
  <c r="M179" i="15"/>
  <c r="R179" i="15"/>
  <c r="AG179" i="15"/>
  <c r="AH179" i="15"/>
  <c r="H168" i="20"/>
  <c r="AF179" i="15"/>
  <c r="P179" i="15"/>
  <c r="Y179" i="15"/>
  <c r="I179" i="15"/>
  <c r="F179" i="15"/>
  <c r="L179" i="15"/>
  <c r="N179" i="15"/>
  <c r="Z179" i="15"/>
  <c r="X179" i="15"/>
  <c r="J179" i="15"/>
  <c r="O179" i="15"/>
  <c r="AD179" i="15"/>
  <c r="AA179" i="15"/>
  <c r="U179" i="15"/>
  <c r="AI179" i="15"/>
  <c r="K184" i="20"/>
  <c r="I184" i="20"/>
  <c r="J184" i="20"/>
  <c r="J317" i="20"/>
  <c r="I317" i="20"/>
  <c r="K317" i="20"/>
  <c r="J136" i="20"/>
  <c r="K136" i="20"/>
  <c r="I136" i="20"/>
  <c r="G337" i="15"/>
  <c r="A336" i="15"/>
  <c r="JM342" i="10"/>
  <c r="AA285" i="15"/>
  <c r="U285" i="15"/>
  <c r="P285" i="15"/>
  <c r="E285" i="15"/>
  <c r="AB285" i="15"/>
  <c r="F285" i="15"/>
  <c r="T285" i="15"/>
  <c r="K285" i="15"/>
  <c r="AG285" i="15"/>
  <c r="Z285" i="15"/>
  <c r="H285" i="15"/>
  <c r="G285" i="15"/>
  <c r="C285" i="15"/>
  <c r="AI285" i="15"/>
  <c r="J285" i="15"/>
  <c r="AC285" i="15"/>
  <c r="I285" i="15"/>
  <c r="R285" i="15"/>
  <c r="AF285" i="15"/>
  <c r="Q285" i="15"/>
  <c r="AE285" i="15"/>
  <c r="J59" i="20"/>
  <c r="K59" i="20"/>
  <c r="I59" i="20"/>
  <c r="I121" i="20"/>
  <c r="K121" i="20"/>
  <c r="J121" i="20"/>
  <c r="A212" i="15"/>
  <c r="JM218" i="10"/>
  <c r="J204" i="20"/>
  <c r="I204" i="20"/>
  <c r="K204" i="20"/>
  <c r="Z54" i="15"/>
  <c r="AG54" i="15"/>
  <c r="P54" i="15"/>
  <c r="E54" i="15"/>
  <c r="C54" i="15"/>
  <c r="N54" i="15"/>
  <c r="V54" i="15"/>
  <c r="AB54" i="15"/>
  <c r="I54" i="15"/>
  <c r="T54" i="15"/>
  <c r="L54" i="15"/>
  <c r="F54" i="15"/>
  <c r="AI54" i="15"/>
  <c r="AH54" i="15"/>
  <c r="U54" i="15"/>
  <c r="Y54" i="15"/>
  <c r="H54" i="15"/>
  <c r="K54" i="15"/>
  <c r="AA54" i="15"/>
  <c r="H43" i="20"/>
  <c r="X54" i="15"/>
  <c r="J54" i="15"/>
  <c r="G54" i="15"/>
  <c r="AD54" i="15"/>
  <c r="Q54" i="15"/>
  <c r="AF54" i="15"/>
  <c r="AC54" i="15"/>
  <c r="D54" i="15"/>
  <c r="S54" i="15"/>
  <c r="R54" i="15"/>
  <c r="O54" i="15"/>
  <c r="AE54" i="15"/>
  <c r="M54" i="15"/>
  <c r="W54" i="15"/>
  <c r="I44" i="20"/>
  <c r="J44" i="20"/>
  <c r="K44" i="20"/>
  <c r="I138" i="20"/>
  <c r="K138" i="20"/>
  <c r="J138" i="20"/>
  <c r="J287" i="20"/>
  <c r="I287" i="20"/>
  <c r="K287" i="20"/>
  <c r="AB157" i="15"/>
  <c r="L157" i="15"/>
  <c r="D157" i="15"/>
  <c r="W157" i="15"/>
  <c r="O157" i="15"/>
  <c r="Z157" i="15"/>
  <c r="AA157" i="15"/>
  <c r="K157" i="15"/>
  <c r="F157" i="15"/>
  <c r="V157" i="15"/>
  <c r="X157" i="15"/>
  <c r="M157" i="15"/>
  <c r="Y157" i="15"/>
  <c r="AC157" i="15"/>
  <c r="AE157" i="15"/>
  <c r="H157" i="15"/>
  <c r="AD157" i="15"/>
  <c r="R157" i="15"/>
  <c r="AH157" i="15"/>
  <c r="AG157" i="15"/>
  <c r="N157" i="15"/>
  <c r="C157" i="15"/>
  <c r="Q157" i="15"/>
  <c r="S157" i="15"/>
  <c r="J220" i="20"/>
  <c r="K220" i="20"/>
  <c r="I220" i="20"/>
  <c r="I36" i="20"/>
  <c r="K36" i="20"/>
  <c r="J36" i="20"/>
  <c r="J370" i="20"/>
  <c r="K370" i="20"/>
  <c r="I370" i="20"/>
  <c r="K155" i="20"/>
  <c r="I155" i="20"/>
  <c r="J155" i="20"/>
  <c r="AC304" i="15"/>
  <c r="I304" i="15"/>
  <c r="C304" i="15"/>
  <c r="J304" i="15"/>
  <c r="U304" i="15"/>
  <c r="G304" i="15"/>
  <c r="Z304" i="15"/>
  <c r="S304" i="15"/>
  <c r="V304" i="15"/>
  <c r="AD304" i="15"/>
  <c r="Q304" i="15"/>
  <c r="H304" i="15"/>
  <c r="AA304" i="15"/>
  <c r="H293" i="20"/>
  <c r="M304" i="15"/>
  <c r="AH304" i="15"/>
  <c r="AE304" i="15"/>
  <c r="K304" i="15"/>
  <c r="F304" i="15"/>
  <c r="O304" i="15"/>
  <c r="T304" i="15"/>
  <c r="AB304" i="15"/>
  <c r="E304" i="15"/>
  <c r="N304" i="15"/>
  <c r="L304" i="15"/>
  <c r="D304" i="15"/>
  <c r="P304" i="15"/>
  <c r="AF304" i="15"/>
  <c r="X304" i="15"/>
  <c r="AI304" i="15"/>
  <c r="R304" i="15"/>
  <c r="AG304" i="15"/>
  <c r="Y304" i="15"/>
  <c r="W304" i="15"/>
  <c r="A128" i="15"/>
  <c r="JM134" i="10"/>
  <c r="I41" i="20"/>
  <c r="J41" i="20"/>
  <c r="K41" i="20"/>
  <c r="N376" i="15"/>
  <c r="AE376" i="15"/>
  <c r="S376" i="15"/>
  <c r="AA376" i="15"/>
  <c r="K376" i="15"/>
  <c r="H365" i="20"/>
  <c r="C376" i="15"/>
  <c r="E376" i="15"/>
  <c r="O376" i="15"/>
  <c r="AD376" i="15"/>
  <c r="L376" i="15"/>
  <c r="F376" i="15"/>
  <c r="Y376" i="15"/>
  <c r="AH376" i="15"/>
  <c r="G376" i="15"/>
  <c r="V376" i="15"/>
  <c r="H376" i="15"/>
  <c r="AB376" i="15"/>
  <c r="T376" i="15"/>
  <c r="Z376" i="15"/>
  <c r="P376" i="15"/>
  <c r="AF376" i="15"/>
  <c r="H106" i="20"/>
  <c r="AG117" i="15"/>
  <c r="H117" i="15"/>
  <c r="Z117" i="15"/>
  <c r="D117" i="15"/>
  <c r="AE117" i="15"/>
  <c r="J223" i="20"/>
  <c r="I223" i="20"/>
  <c r="K223" i="20"/>
  <c r="S216" i="15"/>
  <c r="AI216" i="15"/>
  <c r="U216" i="15"/>
  <c r="H205" i="20"/>
  <c r="O216" i="15"/>
  <c r="M216" i="15"/>
  <c r="AG216" i="15"/>
  <c r="E216" i="15"/>
  <c r="AB216" i="15"/>
  <c r="C216" i="15"/>
  <c r="AD216" i="15"/>
  <c r="P216" i="15"/>
  <c r="N216" i="15"/>
  <c r="AH216" i="15"/>
  <c r="J216" i="15"/>
  <c r="T216" i="15"/>
  <c r="R216" i="15"/>
  <c r="L216" i="15"/>
  <c r="D216" i="15"/>
  <c r="AE216" i="15"/>
  <c r="H216" i="15"/>
  <c r="X216" i="15"/>
  <c r="AC216" i="15"/>
  <c r="W216" i="15"/>
  <c r="F216" i="15"/>
  <c r="AF216" i="15"/>
  <c r="G216" i="15"/>
  <c r="Y216" i="15"/>
  <c r="K216" i="15"/>
  <c r="V216" i="15"/>
  <c r="Q216" i="15"/>
  <c r="AA216" i="15"/>
  <c r="Z216" i="15"/>
  <c r="I216" i="15"/>
  <c r="I193" i="20"/>
  <c r="K193" i="20"/>
  <c r="J193" i="20"/>
  <c r="A23" i="15"/>
  <c r="JM29" i="10"/>
  <c r="I49" i="20"/>
  <c r="J49" i="20"/>
  <c r="K49" i="20"/>
  <c r="H302" i="20"/>
  <c r="X313" i="15"/>
  <c r="J313" i="15"/>
  <c r="Y313" i="15"/>
  <c r="U313" i="15"/>
  <c r="W313" i="15"/>
  <c r="M313" i="15"/>
  <c r="V313" i="15"/>
  <c r="AC313" i="15"/>
  <c r="F313" i="15"/>
  <c r="AG313" i="15"/>
  <c r="G313" i="15"/>
  <c r="AF313" i="15"/>
  <c r="Z313" i="15"/>
  <c r="AA313" i="15"/>
  <c r="H313" i="15"/>
  <c r="P313" i="15"/>
  <c r="AH313" i="15"/>
  <c r="E313" i="15"/>
  <c r="O313" i="15"/>
  <c r="R313" i="15"/>
  <c r="AB313" i="15"/>
  <c r="D313" i="15"/>
  <c r="AE313" i="15"/>
  <c r="L313" i="15"/>
  <c r="T313" i="15"/>
  <c r="AI313" i="15"/>
  <c r="S313" i="15"/>
  <c r="Q313" i="15"/>
  <c r="C313" i="15"/>
  <c r="AD313" i="15"/>
  <c r="N313" i="15"/>
  <c r="I313" i="15"/>
  <c r="K313" i="15"/>
  <c r="DL300" i="10"/>
  <c r="DL150" i="10"/>
  <c r="A58" i="15"/>
  <c r="JM64" i="10"/>
  <c r="V123" i="15"/>
  <c r="M123" i="15"/>
  <c r="I123" i="15"/>
  <c r="AG123" i="15"/>
  <c r="G123" i="15"/>
  <c r="Y123" i="15"/>
  <c r="AC123" i="15"/>
  <c r="E123" i="15"/>
  <c r="AA123" i="15"/>
  <c r="J123" i="15"/>
  <c r="X123" i="15"/>
  <c r="T123" i="15"/>
  <c r="Z123" i="15"/>
  <c r="H123" i="15"/>
  <c r="W123" i="15"/>
  <c r="U123" i="15"/>
  <c r="AE123" i="15"/>
  <c r="C123" i="15"/>
  <c r="R123" i="15"/>
  <c r="P123" i="15"/>
  <c r="K123" i="15"/>
  <c r="O123" i="15"/>
  <c r="H112" i="20"/>
  <c r="AD123" i="15"/>
  <c r="L123" i="15"/>
  <c r="AI123" i="15"/>
  <c r="D123" i="15"/>
  <c r="AF123" i="15"/>
  <c r="N123" i="15"/>
  <c r="F123" i="15"/>
  <c r="AH123" i="15"/>
  <c r="L235" i="15"/>
  <c r="K235" i="15"/>
  <c r="G235" i="15"/>
  <c r="T235" i="15"/>
  <c r="Z235" i="15"/>
  <c r="E235" i="15"/>
  <c r="AI235" i="15"/>
  <c r="U235" i="15"/>
  <c r="X235" i="15"/>
  <c r="S235" i="15"/>
  <c r="V235" i="15"/>
  <c r="AE235" i="15"/>
  <c r="H224" i="20"/>
  <c r="AF235" i="15"/>
  <c r="AD235" i="15"/>
  <c r="AG235" i="15"/>
  <c r="C235" i="15"/>
  <c r="W235" i="15"/>
  <c r="N235" i="15"/>
  <c r="M235" i="15"/>
  <c r="P235" i="15"/>
  <c r="J235" i="15"/>
  <c r="Y235" i="15"/>
  <c r="AH235" i="15"/>
  <c r="R235" i="15"/>
  <c r="Q235" i="15"/>
  <c r="F235" i="15"/>
  <c r="O235" i="15"/>
  <c r="AC235" i="15"/>
  <c r="P253" i="15"/>
  <c r="F253" i="15"/>
  <c r="W253" i="15"/>
  <c r="V253" i="15"/>
  <c r="E253" i="15"/>
  <c r="N253" i="15"/>
  <c r="Y253" i="15"/>
  <c r="Q253" i="15"/>
  <c r="I253" i="15"/>
  <c r="C253" i="15"/>
  <c r="AE253" i="15"/>
  <c r="K253" i="15"/>
  <c r="J253" i="15"/>
  <c r="H253" i="15"/>
  <c r="L253" i="15"/>
  <c r="U253" i="15"/>
  <c r="AC253" i="15"/>
  <c r="Z253" i="15"/>
  <c r="D253" i="15"/>
  <c r="AG253" i="15"/>
  <c r="T253" i="15"/>
  <c r="R253" i="15"/>
  <c r="G253" i="15"/>
  <c r="O253" i="15"/>
  <c r="AB253" i="15"/>
  <c r="H242" i="20"/>
  <c r="AA253" i="15"/>
  <c r="AF253" i="15"/>
  <c r="M253" i="15"/>
  <c r="S253" i="15"/>
  <c r="AD253" i="15"/>
  <c r="AI253" i="15"/>
  <c r="X253" i="15"/>
  <c r="AH253" i="15"/>
  <c r="JM104" i="10"/>
  <c r="A98" i="15"/>
  <c r="U209" i="15"/>
  <c r="DL273" i="10"/>
  <c r="DL173" i="10"/>
  <c r="K200" i="15"/>
  <c r="H200" i="15"/>
  <c r="L200" i="15"/>
  <c r="R200" i="15"/>
  <c r="Y200" i="15"/>
  <c r="S200" i="15"/>
  <c r="M200" i="15"/>
  <c r="F200" i="15"/>
  <c r="AB200" i="15"/>
  <c r="AC200" i="15"/>
  <c r="Z200" i="15"/>
  <c r="J200" i="15"/>
  <c r="P200" i="15"/>
  <c r="W200" i="15"/>
  <c r="AH200" i="15"/>
  <c r="I200" i="15"/>
  <c r="X200" i="15"/>
  <c r="G200" i="15"/>
  <c r="H189" i="20"/>
  <c r="AE200" i="15"/>
  <c r="AD200" i="15"/>
  <c r="U200" i="15"/>
  <c r="AG200" i="15"/>
  <c r="AF200" i="15"/>
  <c r="O200" i="15"/>
  <c r="L230" i="15"/>
  <c r="O230" i="15"/>
  <c r="P230" i="15"/>
  <c r="H219" i="20"/>
  <c r="T230" i="15"/>
  <c r="AE230" i="15"/>
  <c r="I230" i="15"/>
  <c r="K230" i="15"/>
  <c r="AH230" i="15"/>
  <c r="G230" i="15"/>
  <c r="E230" i="15"/>
  <c r="M230" i="15"/>
  <c r="W230" i="15"/>
  <c r="N230" i="15"/>
  <c r="X230" i="15"/>
  <c r="AD230" i="15"/>
  <c r="Y230" i="15"/>
  <c r="V230" i="15"/>
  <c r="C230" i="15"/>
  <c r="U230" i="15"/>
  <c r="F230" i="15"/>
  <c r="S230" i="15"/>
  <c r="R230" i="15"/>
  <c r="AF230" i="15"/>
  <c r="AI230" i="15"/>
  <c r="Q230" i="15"/>
  <c r="AA230" i="15"/>
  <c r="AC230" i="15"/>
  <c r="AG230" i="15"/>
  <c r="Z230" i="15"/>
  <c r="H230" i="15"/>
  <c r="J230" i="15"/>
  <c r="D230" i="15"/>
  <c r="AB230" i="15"/>
  <c r="I143" i="20"/>
  <c r="J143" i="20"/>
  <c r="K143" i="20"/>
  <c r="K312" i="20"/>
  <c r="I312" i="20"/>
  <c r="J312" i="20"/>
  <c r="E317" i="15"/>
  <c r="R317" i="15"/>
  <c r="AH317" i="15"/>
  <c r="V317" i="15"/>
  <c r="M333" i="15"/>
  <c r="W333" i="15"/>
  <c r="L333" i="15"/>
  <c r="AI333" i="15"/>
  <c r="X333" i="15"/>
  <c r="U333" i="15"/>
  <c r="K333" i="15"/>
  <c r="N333" i="15"/>
  <c r="AG333" i="15"/>
  <c r="AC333" i="15"/>
  <c r="Y333" i="15"/>
  <c r="P333" i="15"/>
  <c r="Z333" i="15"/>
  <c r="AE333" i="15"/>
  <c r="AA333" i="15"/>
  <c r="G333" i="15"/>
  <c r="E333" i="15"/>
  <c r="T333" i="15"/>
  <c r="AD333" i="15"/>
  <c r="O333" i="15"/>
  <c r="S333" i="15"/>
  <c r="Q333" i="15"/>
  <c r="H333" i="15"/>
  <c r="I333" i="15"/>
  <c r="J165" i="20"/>
  <c r="I165" i="20"/>
  <c r="K165" i="20"/>
  <c r="J313" i="20"/>
  <c r="K313" i="20"/>
  <c r="I313" i="20"/>
  <c r="K238" i="20"/>
  <c r="I238" i="20"/>
  <c r="J238" i="20"/>
  <c r="G205" i="15"/>
  <c r="R205" i="15"/>
  <c r="Z205" i="15"/>
  <c r="AF205" i="15"/>
  <c r="N205" i="15"/>
  <c r="F205" i="15"/>
  <c r="AC205" i="15"/>
  <c r="AD205" i="15"/>
  <c r="Q205" i="15"/>
  <c r="AI205" i="15"/>
  <c r="AA205" i="15"/>
  <c r="H205" i="15"/>
  <c r="D205" i="15"/>
  <c r="AB205" i="15"/>
  <c r="W205" i="15"/>
  <c r="J205" i="15"/>
  <c r="Y205" i="15"/>
  <c r="U205" i="15"/>
  <c r="AE205" i="15"/>
  <c r="AH205" i="15"/>
  <c r="H194" i="20"/>
  <c r="K205" i="15"/>
  <c r="AG205" i="15"/>
  <c r="I205" i="15"/>
  <c r="P205" i="15"/>
  <c r="X205" i="15"/>
  <c r="L205" i="15"/>
  <c r="V205" i="15"/>
  <c r="C205" i="15"/>
  <c r="S205" i="15"/>
  <c r="T205" i="15"/>
  <c r="E205" i="15"/>
  <c r="M205" i="15"/>
  <c r="O205" i="15"/>
  <c r="I221" i="20"/>
  <c r="J221" i="20"/>
  <c r="K221" i="20"/>
  <c r="AD260" i="15"/>
  <c r="V260" i="15"/>
  <c r="L260" i="15"/>
  <c r="Y260" i="15"/>
  <c r="O260" i="15"/>
  <c r="AE260" i="15"/>
  <c r="X260" i="15"/>
  <c r="H260" i="15"/>
  <c r="AB260" i="15"/>
  <c r="I260" i="15"/>
  <c r="T260" i="15"/>
  <c r="W260" i="15"/>
  <c r="M260" i="15"/>
  <c r="AH260" i="15"/>
  <c r="S260" i="15"/>
  <c r="AF260" i="15"/>
  <c r="D260" i="15"/>
  <c r="U260" i="15"/>
  <c r="C260" i="15"/>
  <c r="H249" i="20"/>
  <c r="G260" i="15"/>
  <c r="J260" i="15"/>
  <c r="R260" i="15"/>
  <c r="N260" i="15"/>
  <c r="AC260" i="15"/>
  <c r="P260" i="15"/>
  <c r="AA260" i="15"/>
  <c r="AG260" i="15"/>
  <c r="Q260" i="15"/>
  <c r="AI260" i="15"/>
  <c r="K260" i="15"/>
  <c r="E260" i="15"/>
  <c r="Z260" i="15"/>
  <c r="F260" i="15"/>
  <c r="F64" i="15"/>
  <c r="W64" i="15"/>
  <c r="J64" i="15"/>
  <c r="E64" i="15"/>
  <c r="C64" i="15"/>
  <c r="P64" i="15"/>
  <c r="AB64" i="15"/>
  <c r="D64" i="15"/>
  <c r="N64" i="15"/>
  <c r="M64" i="15"/>
  <c r="H64" i="15"/>
  <c r="Y64" i="15"/>
  <c r="AD64" i="15"/>
  <c r="H53" i="20"/>
  <c r="AC64" i="15"/>
  <c r="L64" i="15"/>
  <c r="T64" i="15"/>
  <c r="X64" i="15"/>
  <c r="AG64" i="15"/>
  <c r="K64" i="15"/>
  <c r="S64" i="15"/>
  <c r="Q64" i="15"/>
  <c r="AF64" i="15"/>
  <c r="AE64" i="15"/>
  <c r="G64" i="15"/>
  <c r="AH64" i="15"/>
  <c r="I64" i="15"/>
  <c r="O64" i="15"/>
  <c r="R64" i="15"/>
  <c r="U64" i="15"/>
  <c r="AI64" i="15"/>
  <c r="Z64" i="15"/>
  <c r="V64" i="15"/>
  <c r="AA64" i="15"/>
  <c r="T252" i="15"/>
  <c r="AH252" i="15"/>
  <c r="D252" i="15"/>
  <c r="AE252" i="15"/>
  <c r="P252" i="15"/>
  <c r="X252" i="15"/>
  <c r="U252" i="15"/>
  <c r="AG252" i="15"/>
  <c r="O252" i="15"/>
  <c r="E252" i="15"/>
  <c r="F252" i="15"/>
  <c r="G252" i="15"/>
  <c r="J252" i="15"/>
  <c r="AC252" i="15"/>
  <c r="M252" i="15"/>
  <c r="AF252" i="15"/>
  <c r="L252" i="15"/>
  <c r="N252" i="15"/>
  <c r="AD252" i="15"/>
  <c r="AA252" i="15"/>
  <c r="Y252" i="15"/>
  <c r="Q252" i="15"/>
  <c r="C252" i="15"/>
  <c r="V252" i="15"/>
  <c r="I252" i="15"/>
  <c r="H241" i="20"/>
  <c r="S252" i="15"/>
  <c r="AI252" i="15"/>
  <c r="Z252" i="15"/>
  <c r="H252" i="15"/>
  <c r="K252" i="15"/>
  <c r="R252" i="15"/>
  <c r="AB252" i="15"/>
  <c r="W252" i="15"/>
  <c r="I126" i="20"/>
  <c r="K126" i="20"/>
  <c r="J126" i="20"/>
  <c r="F365" i="15"/>
  <c r="D365" i="15"/>
  <c r="C365" i="15"/>
  <c r="U365" i="15"/>
  <c r="K365" i="15"/>
  <c r="H354" i="20"/>
  <c r="AC365" i="15"/>
  <c r="T365" i="15"/>
  <c r="N365" i="15"/>
  <c r="AF365" i="15"/>
  <c r="G365" i="15"/>
  <c r="P365" i="15"/>
  <c r="R365" i="15"/>
  <c r="L365" i="15"/>
  <c r="AI365" i="15"/>
  <c r="J365" i="15"/>
  <c r="O365" i="15"/>
  <c r="E365" i="15"/>
  <c r="X365" i="15"/>
  <c r="Z365" i="15"/>
  <c r="AG365" i="15"/>
  <c r="W365" i="15"/>
  <c r="Y365" i="15"/>
  <c r="I365" i="15"/>
  <c r="V365" i="15"/>
  <c r="AB365" i="15"/>
  <c r="AD365" i="15"/>
  <c r="H365" i="15"/>
  <c r="Q365" i="15"/>
  <c r="S365" i="15"/>
  <c r="AH365" i="15"/>
  <c r="AE365" i="15"/>
  <c r="AA365" i="15"/>
  <c r="M365" i="15"/>
  <c r="JM22" i="10"/>
  <c r="A16" i="15"/>
  <c r="AB354" i="15"/>
  <c r="Y354" i="15"/>
  <c r="I354" i="15"/>
  <c r="Z354" i="15"/>
  <c r="AI354" i="15"/>
  <c r="S354" i="15"/>
  <c r="Q354" i="15"/>
  <c r="AG354" i="15"/>
  <c r="W354" i="15"/>
  <c r="J354" i="15"/>
  <c r="E354" i="15"/>
  <c r="C354" i="15"/>
  <c r="P354" i="15"/>
  <c r="H354" i="15"/>
  <c r="D354" i="15"/>
  <c r="H343" i="20"/>
  <c r="G354" i="15"/>
  <c r="AA354" i="15"/>
  <c r="AC354" i="15"/>
  <c r="AH354" i="15"/>
  <c r="N354" i="15"/>
  <c r="V354" i="15"/>
  <c r="R354" i="15"/>
  <c r="AE354" i="15"/>
  <c r="M354" i="15"/>
  <c r="F354" i="15"/>
  <c r="K354" i="15"/>
  <c r="T354" i="15"/>
  <c r="X354" i="15"/>
  <c r="AF354" i="15"/>
  <c r="AD354" i="15"/>
  <c r="O354" i="15"/>
  <c r="L354" i="15"/>
  <c r="U354" i="15"/>
  <c r="T233" i="15"/>
  <c r="AE233" i="15"/>
  <c r="R233" i="15"/>
  <c r="AF233" i="15"/>
  <c r="Y233" i="15"/>
  <c r="M233" i="15"/>
  <c r="AC233" i="15"/>
  <c r="N233" i="15"/>
  <c r="H222" i="20"/>
  <c r="E233" i="15"/>
  <c r="W233" i="15"/>
  <c r="D233" i="15"/>
  <c r="O233" i="15"/>
  <c r="AH233" i="15"/>
  <c r="X233" i="15"/>
  <c r="Z233" i="15"/>
  <c r="U233" i="15"/>
  <c r="AA233" i="15"/>
  <c r="AG233" i="15"/>
  <c r="Q233" i="15"/>
  <c r="AB233" i="15"/>
  <c r="S233" i="15"/>
  <c r="V233" i="15"/>
  <c r="AD233" i="15"/>
  <c r="AI233" i="15"/>
  <c r="L233" i="15"/>
  <c r="K233" i="15"/>
  <c r="I233" i="15"/>
  <c r="H233" i="15"/>
  <c r="C233" i="15"/>
  <c r="J233" i="15"/>
  <c r="F233" i="15"/>
  <c r="P233" i="15"/>
  <c r="G233" i="15"/>
  <c r="K58" i="20"/>
  <c r="I58" i="20"/>
  <c r="J58" i="20"/>
  <c r="I203" i="20"/>
  <c r="K203" i="20"/>
  <c r="J203" i="20"/>
  <c r="J375" i="20"/>
  <c r="I375" i="20"/>
  <c r="K375" i="20"/>
  <c r="I199" i="20"/>
  <c r="J199" i="20"/>
  <c r="K199" i="20"/>
  <c r="I8" i="20"/>
  <c r="J8" i="20"/>
  <c r="K8" i="20"/>
  <c r="Y76" i="15"/>
  <c r="X76" i="15"/>
  <c r="K76" i="15"/>
  <c r="AA76" i="15"/>
  <c r="AH76" i="15"/>
  <c r="U76" i="15"/>
  <c r="O76" i="15"/>
  <c r="H76" i="15"/>
  <c r="S76" i="15"/>
  <c r="C76" i="15"/>
  <c r="J76" i="15"/>
  <c r="R76" i="15"/>
  <c r="AG76" i="15"/>
  <c r="W76" i="15"/>
  <c r="L76" i="15"/>
  <c r="H65" i="20"/>
  <c r="Z76" i="15"/>
  <c r="G76" i="15"/>
  <c r="F76" i="15"/>
  <c r="E76" i="15"/>
  <c r="AF76" i="15"/>
  <c r="AB76" i="15"/>
  <c r="AD76" i="15"/>
  <c r="N76" i="15"/>
  <c r="AI76" i="15"/>
  <c r="AC76" i="15"/>
  <c r="I76" i="15"/>
  <c r="D76" i="15"/>
  <c r="V76" i="15"/>
  <c r="M76" i="15"/>
  <c r="P76" i="15"/>
  <c r="Q76" i="15"/>
  <c r="AE76" i="15"/>
  <c r="T76" i="15"/>
  <c r="JM100" i="10"/>
  <c r="A94" i="15"/>
  <c r="A281" i="15"/>
  <c r="JM287" i="10"/>
  <c r="AI243" i="15"/>
  <c r="F243" i="15"/>
  <c r="X243" i="15"/>
  <c r="Q243" i="15"/>
  <c r="M243" i="15"/>
  <c r="C243" i="15"/>
  <c r="AC243" i="15"/>
  <c r="O243" i="15"/>
  <c r="R243" i="15"/>
  <c r="AD243" i="15"/>
  <c r="AB243" i="15"/>
  <c r="L243" i="15"/>
  <c r="U243" i="15"/>
  <c r="H243" i="15"/>
  <c r="AH243" i="15"/>
  <c r="Z243" i="15"/>
  <c r="P243" i="15"/>
  <c r="N243" i="15"/>
  <c r="E243" i="15"/>
  <c r="G243" i="15"/>
  <c r="H232" i="20"/>
  <c r="AA243" i="15"/>
  <c r="T243" i="15"/>
  <c r="D243" i="15"/>
  <c r="S243" i="15"/>
  <c r="I243" i="15"/>
  <c r="J243" i="15"/>
  <c r="K243" i="15"/>
  <c r="W243" i="15"/>
  <c r="AE243" i="15"/>
  <c r="V243" i="15"/>
  <c r="AG243" i="15"/>
  <c r="Y243" i="15"/>
  <c r="AF243" i="15"/>
  <c r="K103" i="20"/>
  <c r="J103" i="20"/>
  <c r="I103" i="20"/>
  <c r="K306" i="20"/>
  <c r="J306" i="20"/>
  <c r="I306" i="20"/>
  <c r="FI50" i="10"/>
  <c r="FI47" i="10"/>
  <c r="FI61" i="10"/>
  <c r="FI114" i="10"/>
  <c r="FI43" i="10"/>
  <c r="FI123" i="10"/>
  <c r="FI72" i="10"/>
  <c r="FI62" i="10"/>
  <c r="FI57" i="10"/>
  <c r="FI59" i="10"/>
  <c r="FI83" i="10"/>
  <c r="FI33" i="10"/>
  <c r="FI24" i="10"/>
  <c r="FI110" i="10"/>
  <c r="FI40" i="10"/>
  <c r="FI69" i="10"/>
  <c r="FI71" i="10"/>
  <c r="FI108" i="10"/>
  <c r="FI27" i="10"/>
  <c r="FI136" i="10"/>
  <c r="FI127" i="10"/>
  <c r="FI74" i="10"/>
  <c r="FI30" i="10"/>
  <c r="FI111" i="10"/>
  <c r="FI137" i="10"/>
  <c r="FI60" i="10"/>
  <c r="FI106" i="10"/>
  <c r="FI95" i="10"/>
  <c r="FI76" i="10"/>
  <c r="FI37" i="10"/>
  <c r="FI135" i="10"/>
  <c r="FI54" i="10"/>
  <c r="FI55" i="10"/>
  <c r="FI56" i="10"/>
  <c r="FI94" i="10"/>
  <c r="FI97" i="10"/>
  <c r="FI38" i="10"/>
  <c r="FI36" i="10"/>
  <c r="FI39" i="10"/>
  <c r="FI41" i="10"/>
  <c r="FI105" i="10"/>
  <c r="FI66" i="10"/>
  <c r="FI67" i="10"/>
  <c r="FI68" i="10"/>
  <c r="FI118" i="10"/>
  <c r="FI80" i="10"/>
  <c r="FI77" i="10"/>
  <c r="FI35" i="10"/>
  <c r="FI53" i="10"/>
  <c r="FI117" i="10"/>
  <c r="FI48" i="10"/>
  <c r="FI75" i="10"/>
  <c r="FI32" i="10"/>
  <c r="FI90" i="10"/>
  <c r="FI79" i="10"/>
  <c r="FI92" i="10"/>
  <c r="FI130" i="10"/>
  <c r="FI31" i="10"/>
  <c r="FI28" i="10"/>
  <c r="FI122" i="10"/>
  <c r="FI52" i="10"/>
  <c r="FI65" i="10"/>
  <c r="FI129" i="10"/>
  <c r="FI82" i="10"/>
  <c r="FI126" i="10"/>
  <c r="FI115" i="10"/>
  <c r="FI128" i="10"/>
  <c r="FI73" i="10"/>
  <c r="FI100" i="10"/>
  <c r="FI113" i="10"/>
  <c r="FI120" i="10"/>
  <c r="FI104" i="10"/>
  <c r="FI133" i="10"/>
  <c r="FI81" i="10"/>
  <c r="FI29" i="10"/>
  <c r="FI42" i="10"/>
  <c r="FI70" i="10"/>
  <c r="FI131" i="10"/>
  <c r="FI93" i="10"/>
  <c r="FI64" i="10"/>
  <c r="FI125" i="10"/>
  <c r="FI45" i="10"/>
  <c r="FI58" i="10"/>
  <c r="FI88" i="10"/>
  <c r="FI86" i="10"/>
  <c r="FI134" i="10"/>
  <c r="FI124" i="10"/>
  <c r="FI103" i="10"/>
  <c r="FI84" i="10"/>
  <c r="FI96" i="10"/>
  <c r="FI78" i="10"/>
  <c r="FI101" i="10"/>
  <c r="FI34" i="10"/>
  <c r="FI51" i="10"/>
  <c r="FI132" i="10"/>
  <c r="FI99" i="10"/>
  <c r="FI89" i="10"/>
  <c r="FI119" i="10"/>
  <c r="FI91" i="10"/>
  <c r="FI87" i="10"/>
  <c r="FI116" i="10"/>
  <c r="FI46" i="10"/>
  <c r="FI49" i="10"/>
  <c r="FI138" i="10"/>
  <c r="FI109" i="10"/>
  <c r="FI112" i="10"/>
  <c r="FI63" i="10"/>
  <c r="FI85" i="10"/>
  <c r="FI121" i="10"/>
  <c r="FI44" i="10"/>
  <c r="FI102" i="10"/>
  <c r="FI98" i="10"/>
  <c r="FI107" i="10"/>
  <c r="FI26" i="10"/>
  <c r="FI230" i="10"/>
  <c r="FI331" i="10"/>
  <c r="FI160" i="10"/>
  <c r="FI318" i="10"/>
  <c r="FI297" i="10"/>
  <c r="FH181" i="10"/>
  <c r="FH71" i="10"/>
  <c r="FH191" i="10"/>
  <c r="FH95" i="10"/>
  <c r="FH267" i="10"/>
  <c r="FH163" i="10"/>
  <c r="FI371" i="10"/>
  <c r="FH355" i="10"/>
  <c r="FH131" i="10"/>
  <c r="FH235" i="10"/>
  <c r="FH126" i="10"/>
  <c r="FH206" i="10"/>
  <c r="FI222" i="10"/>
  <c r="FH321" i="10"/>
  <c r="FH38" i="10"/>
  <c r="FI289" i="10"/>
  <c r="FI317" i="10"/>
  <c r="FH255" i="10"/>
  <c r="FH42" i="10"/>
  <c r="FI211" i="10"/>
  <c r="FI376" i="10"/>
  <c r="FH337" i="10"/>
  <c r="FH270" i="10"/>
  <c r="FH65" i="10"/>
  <c r="FH147" i="10"/>
  <c r="FH320" i="10"/>
  <c r="FH313" i="10"/>
  <c r="FH317" i="10"/>
  <c r="FH229" i="10"/>
  <c r="FH372" i="10"/>
  <c r="FI157" i="10"/>
  <c r="FI253" i="10"/>
  <c r="FI147" i="10"/>
  <c r="FI391" i="10"/>
  <c r="FI189" i="10"/>
  <c r="FH243" i="10"/>
  <c r="FH48" i="10"/>
  <c r="FH260" i="10"/>
  <c r="FH72" i="10"/>
  <c r="FH224" i="10"/>
  <c r="FH23" i="10"/>
  <c r="FI277" i="10"/>
  <c r="FH271" i="10"/>
  <c r="FH108" i="10"/>
  <c r="FI285" i="10"/>
  <c r="FI169" i="10"/>
  <c r="FH376" i="10"/>
  <c r="FI329" i="10"/>
  <c r="FH274" i="10"/>
  <c r="FH162" i="10"/>
  <c r="FI185" i="10"/>
  <c r="FH130" i="10"/>
  <c r="FH293" i="10"/>
  <c r="FH152" i="10"/>
  <c r="FH139" i="10"/>
  <c r="FH390" i="10"/>
  <c r="FH292" i="10"/>
  <c r="FH367" i="10"/>
  <c r="FH230" i="10"/>
  <c r="FH226" i="10"/>
  <c r="FH277" i="10"/>
  <c r="FH349" i="10"/>
  <c r="FH73" i="10"/>
  <c r="FI315" i="10"/>
  <c r="FI269" i="10"/>
  <c r="FI25" i="10"/>
  <c r="FI336" i="10"/>
  <c r="FI233" i="10"/>
  <c r="FI194" i="10"/>
  <c r="FI245" i="10"/>
  <c r="FI366" i="10"/>
  <c r="FH311" i="10"/>
  <c r="FH121" i="10"/>
  <c r="FH248" i="10"/>
  <c r="FH145" i="10"/>
  <c r="FI248" i="10"/>
  <c r="FH332" i="10"/>
  <c r="FI312" i="10"/>
  <c r="FH301" i="10"/>
  <c r="FH75" i="10"/>
  <c r="FI162" i="10"/>
  <c r="FI266" i="10"/>
  <c r="FH386" i="10"/>
  <c r="FI357" i="10"/>
  <c r="FH175" i="10"/>
  <c r="FH104" i="10"/>
  <c r="FI150" i="10"/>
  <c r="FH254" i="10"/>
  <c r="FH273" i="10"/>
  <c r="FH188" i="10"/>
  <c r="FH392" i="10"/>
  <c r="FH129" i="10"/>
  <c r="FH245" i="10"/>
  <c r="FH194" i="10"/>
  <c r="FH380" i="10"/>
  <c r="FH77" i="10"/>
  <c r="FH262" i="10"/>
  <c r="FH67" i="10"/>
  <c r="FH323" i="10"/>
  <c r="FI249" i="10"/>
  <c r="FH53" i="10"/>
  <c r="FI381" i="10"/>
  <c r="FI197" i="10"/>
  <c r="FI191" i="10"/>
  <c r="FI271" i="10"/>
  <c r="FI382" i="10"/>
  <c r="FH324" i="10"/>
  <c r="FH170" i="10"/>
  <c r="FH233" i="10"/>
  <c r="FH33" i="10"/>
  <c r="FI201" i="10"/>
  <c r="FH213" i="10"/>
  <c r="FI355" i="10"/>
  <c r="FH281" i="10"/>
  <c r="FH124" i="10"/>
  <c r="FI298" i="10"/>
  <c r="FI352" i="10"/>
  <c r="FH295" i="10"/>
  <c r="FH82" i="10"/>
  <c r="FH252" i="10"/>
  <c r="FH44" i="10"/>
  <c r="FI227" i="10"/>
  <c r="FH28" i="10"/>
  <c r="FH299" i="10"/>
  <c r="FH352" i="10"/>
  <c r="FH93" i="10"/>
  <c r="FH190" i="10"/>
  <c r="FI311" i="10"/>
  <c r="FH288" i="10"/>
  <c r="FH279" i="10"/>
  <c r="FH205" i="10"/>
  <c r="FI258" i="10"/>
  <c r="FH116" i="10"/>
  <c r="FI237" i="10"/>
  <c r="FI325" i="10"/>
  <c r="FI234" i="10"/>
  <c r="FI349" i="10"/>
  <c r="FI206" i="10"/>
  <c r="FI177" i="10"/>
  <c r="FI226" i="10"/>
  <c r="FH24" i="10"/>
  <c r="FH304" i="10"/>
  <c r="FH34" i="10"/>
  <c r="FI153" i="10"/>
  <c r="FH88" i="10"/>
  <c r="FI310" i="10"/>
  <c r="FH193" i="10"/>
  <c r="FI296" i="10"/>
  <c r="FH331" i="10"/>
  <c r="FH173" i="10"/>
  <c r="FI294" i="10"/>
  <c r="FI361" i="10"/>
  <c r="FH316" i="10"/>
  <c r="FH167" i="10"/>
  <c r="FH240" i="10"/>
  <c r="FH81" i="10"/>
  <c r="FI199" i="10"/>
  <c r="FH49" i="10"/>
  <c r="FH286" i="10"/>
  <c r="FH308" i="10"/>
  <c r="FH234" i="10"/>
  <c r="FH348" i="10"/>
  <c r="FI295" i="10"/>
  <c r="FH347" i="10"/>
  <c r="FH183" i="10"/>
  <c r="FH377" i="10"/>
  <c r="FH166" i="10"/>
  <c r="FH197" i="10"/>
  <c r="FI275" i="10"/>
  <c r="FI368" i="10"/>
  <c r="FI363" i="10"/>
  <c r="FI158" i="10"/>
  <c r="FI213" i="10"/>
  <c r="FH210" i="10"/>
  <c r="FI196" i="10"/>
  <c r="FI319" i="10"/>
  <c r="FH103" i="10"/>
  <c r="FH83" i="10"/>
  <c r="FH242" i="10"/>
  <c r="FI351" i="10"/>
  <c r="FI264" i="10"/>
  <c r="FI141" i="10"/>
  <c r="FI255" i="10"/>
  <c r="FH59" i="10"/>
  <c r="FH354" i="10"/>
  <c r="FH64" i="10"/>
  <c r="FI388" i="10"/>
  <c r="FH137" i="10"/>
  <c r="FI246" i="10"/>
  <c r="FH375" i="10"/>
  <c r="FH119" i="10"/>
  <c r="FH310" i="10"/>
  <c r="FH114" i="10"/>
  <c r="FI256" i="10"/>
  <c r="FI204" i="10"/>
  <c r="FH296" i="10"/>
  <c r="FH144" i="10"/>
  <c r="FI262" i="10"/>
  <c r="FH238" i="10"/>
  <c r="FI167" i="10"/>
  <c r="FH98" i="10"/>
  <c r="FI257" i="10"/>
  <c r="FH265" i="10"/>
  <c r="FH322" i="10"/>
  <c r="FH223" i="10"/>
  <c r="FI324" i="10"/>
  <c r="FI379" i="10"/>
  <c r="FH378" i="10"/>
  <c r="FH333" i="10"/>
  <c r="FH284" i="10"/>
  <c r="FH365" i="10"/>
  <c r="FH142" i="10"/>
  <c r="FH40" i="10"/>
  <c r="FH250" i="10"/>
  <c r="FI241" i="10"/>
  <c r="FH346" i="10"/>
  <c r="FH102" i="10"/>
  <c r="FI188" i="10"/>
  <c r="FI252" i="10"/>
  <c r="FH298" i="10"/>
  <c r="FI190" i="10"/>
  <c r="FH330" i="10"/>
  <c r="FI145" i="10"/>
  <c r="FI326" i="10"/>
  <c r="FI307" i="10"/>
  <c r="FI322" i="10"/>
  <c r="FH336" i="10"/>
  <c r="FH269" i="10"/>
  <c r="FH113" i="10"/>
  <c r="FI173" i="10"/>
  <c r="FH78" i="10"/>
  <c r="FI362" i="10"/>
  <c r="FH364" i="10"/>
  <c r="FH96" i="10"/>
  <c r="FH219" i="10"/>
  <c r="FH56" i="10"/>
  <c r="FI333" i="10"/>
  <c r="FI330" i="10"/>
  <c r="FH290" i="10"/>
  <c r="FH30" i="10"/>
  <c r="FI216" i="10"/>
  <c r="FH189" i="10"/>
  <c r="FI154" i="10"/>
  <c r="FH159" i="10"/>
  <c r="FI159" i="10"/>
  <c r="FI155" i="10"/>
  <c r="FH275" i="10"/>
  <c r="FH334" i="10"/>
  <c r="FH29" i="10"/>
  <c r="FI267" i="10"/>
  <c r="FI309" i="10"/>
  <c r="FH195" i="10"/>
  <c r="FH146" i="10"/>
  <c r="FH231" i="10"/>
  <c r="FH35" i="10"/>
  <c r="FH208" i="10"/>
  <c r="FI175" i="10"/>
  <c r="FI358" i="10"/>
  <c r="FI347" i="10"/>
  <c r="FI265" i="10"/>
  <c r="FH92" i="10"/>
  <c r="FH140" i="10"/>
  <c r="FH244" i="10"/>
  <c r="FI320" i="10"/>
  <c r="FI389" i="10"/>
  <c r="FI184" i="10"/>
  <c r="FI284" i="10"/>
  <c r="FI182" i="10"/>
  <c r="FH27" i="10"/>
  <c r="FH249" i="10"/>
  <c r="FH232" i="10"/>
  <c r="FI244" i="10"/>
  <c r="FH151" i="10"/>
  <c r="FI260" i="10"/>
  <c r="FH344" i="10"/>
  <c r="FH169" i="10"/>
  <c r="FI305" i="10"/>
  <c r="FH384" i="10"/>
  <c r="FI341" i="10"/>
  <c r="FI338" i="10"/>
  <c r="FH253" i="10"/>
  <c r="FH50" i="10"/>
  <c r="FI367" i="10"/>
  <c r="FH339" i="10"/>
  <c r="FI293" i="10"/>
  <c r="FH36" i="10"/>
  <c r="FI240" i="10"/>
  <c r="FI242" i="10"/>
  <c r="FH256" i="10"/>
  <c r="FI286" i="10"/>
  <c r="FH165" i="10"/>
  <c r="FI202" i="10"/>
  <c r="FI342" i="10"/>
  <c r="FH302" i="10"/>
  <c r="FH247" i="10"/>
  <c r="FH382" i="10"/>
  <c r="FH268" i="10"/>
  <c r="FH221" i="10"/>
  <c r="FH359" i="10"/>
  <c r="FI392" i="10"/>
  <c r="FH101" i="10"/>
  <c r="FH84" i="10"/>
  <c r="FH31" i="10"/>
  <c r="FI300" i="10"/>
  <c r="FH26" i="10"/>
  <c r="FI273" i="10"/>
  <c r="FI231" i="10"/>
  <c r="FI229" i="10"/>
  <c r="FI308" i="10"/>
  <c r="FH109" i="10"/>
  <c r="FH220" i="10"/>
  <c r="FH54" i="10"/>
  <c r="FI139" i="10"/>
  <c r="FH309" i="10"/>
  <c r="FI149" i="10"/>
  <c r="FH371" i="10"/>
  <c r="FH63" i="10"/>
  <c r="FI365" i="10"/>
  <c r="FH217" i="10"/>
  <c r="FI350" i="10"/>
  <c r="FH70" i="10"/>
  <c r="FH241" i="10"/>
  <c r="FH111" i="10"/>
  <c r="FI183" i="10"/>
  <c r="FH327" i="10"/>
  <c r="FI152" i="10"/>
  <c r="FH37" i="10"/>
  <c r="FI168" i="10"/>
  <c r="FI274" i="10"/>
  <c r="FI165" i="10"/>
  <c r="FH192" i="10"/>
  <c r="FH385" i="10"/>
  <c r="FI148" i="10"/>
  <c r="FI356" i="10"/>
  <c r="FI140" i="10"/>
  <c r="FH41" i="10"/>
  <c r="FH225" i="10"/>
  <c r="FI384" i="10"/>
  <c r="FI360" i="10"/>
  <c r="FH343" i="10"/>
  <c r="FI22" i="10"/>
  <c r="FI163" i="10"/>
  <c r="FI172" i="10"/>
  <c r="FI174" i="10"/>
  <c r="FI390" i="10"/>
  <c r="FH158" i="10"/>
  <c r="FI359" i="10"/>
  <c r="FH127" i="10"/>
  <c r="FI372" i="10"/>
  <c r="FH246" i="10"/>
  <c r="FI142" i="10"/>
  <c r="FH215" i="10"/>
  <c r="FH112" i="10"/>
  <c r="FI261" i="10"/>
  <c r="FH266" i="10"/>
  <c r="FI348" i="10"/>
  <c r="FH155" i="10"/>
  <c r="FI283" i="10"/>
  <c r="FH160" i="10"/>
  <c r="FI339" i="10"/>
  <c r="FH340" i="10"/>
  <c r="FI143" i="10"/>
  <c r="FH207" i="10"/>
  <c r="FI205" i="10"/>
  <c r="FI386" i="10"/>
  <c r="FI166" i="10"/>
  <c r="FH141" i="10"/>
  <c r="FH328" i="10"/>
  <c r="FI239" i="10"/>
  <c r="FI304" i="10"/>
  <c r="FH118" i="10"/>
  <c r="FH68" i="10"/>
  <c r="FH261" i="10"/>
  <c r="FH154" i="10"/>
  <c r="FH200" i="10"/>
  <c r="FI268" i="10"/>
  <c r="FI270" i="10"/>
  <c r="FI334" i="10"/>
  <c r="FI306" i="10"/>
  <c r="FH52" i="10"/>
  <c r="FI303" i="10"/>
  <c r="FH350" i="10"/>
  <c r="FI327" i="10"/>
  <c r="FH196" i="10"/>
  <c r="FH107" i="10"/>
  <c r="FH276" i="10"/>
  <c r="FH161" i="10"/>
  <c r="FI181" i="10"/>
  <c r="FH388" i="10"/>
  <c r="FI259" i="10"/>
  <c r="FH132" i="10"/>
  <c r="FI228" i="10"/>
  <c r="FH150" i="10"/>
  <c r="FI316" i="10"/>
  <c r="FH312" i="10"/>
  <c r="FI151" i="10"/>
  <c r="FH55" i="10"/>
  <c r="FI377" i="10"/>
  <c r="FI346" i="10"/>
  <c r="FI373" i="10"/>
  <c r="FH182" i="10"/>
  <c r="FH289" i="10"/>
  <c r="FI345" i="10"/>
  <c r="FI236" i="10"/>
  <c r="FH218" i="10"/>
  <c r="FH282" i="10"/>
  <c r="FH122" i="10"/>
  <c r="FH272" i="10"/>
  <c r="FH278" i="10"/>
  <c r="FI161" i="10"/>
  <c r="FH383" i="10"/>
  <c r="FH360" i="10"/>
  <c r="FH211" i="10"/>
  <c r="FH303" i="10"/>
  <c r="FH125" i="10"/>
  <c r="FI299" i="10"/>
  <c r="FI254" i="10"/>
  <c r="FI178" i="10"/>
  <c r="FI209" i="10"/>
  <c r="FH209" i="10"/>
  <c r="FI279" i="10"/>
  <c r="FH214" i="10"/>
  <c r="FI287" i="10"/>
  <c r="FH373" i="10"/>
  <c r="FH157" i="10"/>
  <c r="FH318" i="10"/>
  <c r="FH43" i="10"/>
  <c r="FI263" i="10"/>
  <c r="FH258" i="10"/>
  <c r="FI335" i="10"/>
  <c r="FH99" i="10"/>
  <c r="FI144" i="10"/>
  <c r="FH69" i="10"/>
  <c r="FH94" i="10"/>
  <c r="FH374" i="10"/>
  <c r="FI171" i="10"/>
  <c r="FH117" i="10"/>
  <c r="FI290" i="10"/>
  <c r="FH164" i="10"/>
  <c r="FH105" i="10"/>
  <c r="FH199" i="10"/>
  <c r="FI221" i="10"/>
  <c r="FH168" i="10"/>
  <c r="FI301" i="10"/>
  <c r="FH133" i="10"/>
  <c r="FH307" i="10"/>
  <c r="FH128" i="10"/>
  <c r="FH79" i="10"/>
  <c r="FH47" i="10"/>
  <c r="FI276" i="10"/>
  <c r="FI192" i="10"/>
  <c r="FI251" i="10"/>
  <c r="FI272" i="10"/>
  <c r="FH39" i="10"/>
  <c r="FI340" i="10"/>
  <c r="FH177" i="10"/>
  <c r="FI212" i="10"/>
  <c r="FH345" i="10"/>
  <c r="FH32" i="10"/>
  <c r="FH216" i="10"/>
  <c r="FH361" i="10"/>
  <c r="FI193" i="10"/>
  <c r="FH263" i="10"/>
  <c r="FH58" i="10"/>
  <c r="FH148" i="10"/>
  <c r="FI321" i="10"/>
  <c r="FH314" i="10"/>
  <c r="FH291" i="10"/>
  <c r="FH257" i="10"/>
  <c r="FI200" i="10"/>
  <c r="FH204" i="10"/>
  <c r="FI224" i="10"/>
  <c r="FH45" i="10"/>
  <c r="FH186" i="10"/>
  <c r="FH326" i="10"/>
  <c r="FI353" i="10"/>
  <c r="FH85" i="10"/>
  <c r="FI364" i="10"/>
  <c r="FH110" i="10"/>
  <c r="FH338" i="10"/>
  <c r="FH356" i="10"/>
  <c r="FH358" i="10"/>
  <c r="FH363" i="10"/>
  <c r="FI23" i="10"/>
  <c r="FI282" i="10"/>
  <c r="FI232" i="10"/>
  <c r="FI203" i="10"/>
  <c r="FI187" i="10"/>
  <c r="FH115" i="10"/>
  <c r="FI146" i="10"/>
  <c r="FH351" i="10"/>
  <c r="FI195" i="10"/>
  <c r="FH306" i="10"/>
  <c r="FH51" i="10"/>
  <c r="FI235" i="10"/>
  <c r="FH212" i="10"/>
  <c r="FI383" i="10"/>
  <c r="FH300" i="10"/>
  <c r="FH143" i="10"/>
  <c r="FH138" i="10"/>
  <c r="FI207" i="10"/>
  <c r="FH198" i="10"/>
  <c r="FH156" i="10"/>
  <c r="FH283" i="10"/>
  <c r="FI314" i="10"/>
  <c r="FH176" i="10"/>
  <c r="FI328" i="10"/>
  <c r="FH185" i="10"/>
  <c r="FH319" i="10"/>
  <c r="FI214" i="10"/>
  <c r="FI281" i="10"/>
  <c r="FH74" i="10"/>
  <c r="FH106" i="10"/>
  <c r="FH171" i="10"/>
  <c r="FH228" i="10"/>
  <c r="FH134" i="10"/>
  <c r="FH236" i="10"/>
  <c r="FH178" i="10"/>
  <c r="FI225" i="10"/>
  <c r="FI156" i="10"/>
  <c r="FI313" i="10"/>
  <c r="FI186" i="10"/>
  <c r="FI375" i="10"/>
  <c r="FH203" i="10"/>
  <c r="FI210" i="10"/>
  <c r="FH357" i="10"/>
  <c r="FI278" i="10"/>
  <c r="FH239" i="10"/>
  <c r="FH100" i="10"/>
  <c r="FI223" i="10"/>
  <c r="FH184" i="10"/>
  <c r="FI370" i="10"/>
  <c r="FH280" i="10"/>
  <c r="FH120" i="10"/>
  <c r="FH80" i="10"/>
  <c r="FI218" i="10"/>
  <c r="FH391" i="10"/>
  <c r="FH62" i="10"/>
  <c r="FI337" i="10"/>
  <c r="FI380" i="10"/>
  <c r="FH381" i="10"/>
  <c r="FH180" i="10"/>
  <c r="FH227" i="10"/>
  <c r="FH297" i="10"/>
  <c r="FI344" i="10"/>
  <c r="FI292" i="10"/>
  <c r="FH135" i="10"/>
  <c r="FH179" i="10"/>
  <c r="FH89" i="10"/>
  <c r="FI170" i="10"/>
  <c r="FH287" i="10"/>
  <c r="FI220" i="10"/>
  <c r="FH294" i="10"/>
  <c r="FI291" i="10"/>
  <c r="FI180" i="10"/>
  <c r="FI387" i="10"/>
  <c r="FI374" i="10"/>
  <c r="FI176" i="10"/>
  <c r="FH187" i="10"/>
  <c r="FI369" i="10"/>
  <c r="FH329" i="10"/>
  <c r="FI323" i="10"/>
  <c r="FH285" i="10"/>
  <c r="FH149" i="10"/>
  <c r="FI215" i="10"/>
  <c r="FH389" i="10"/>
  <c r="FI343" i="10"/>
  <c r="FH366" i="10"/>
  <c r="FH87" i="10"/>
  <c r="FH57" i="10"/>
  <c r="FI208" i="10"/>
  <c r="FH335" i="10"/>
  <c r="FH123" i="10"/>
  <c r="FI385" i="10"/>
  <c r="FI288" i="10"/>
  <c r="FH353" i="10"/>
  <c r="FH174" i="10"/>
  <c r="FH305" i="10"/>
  <c r="FH379" i="10"/>
  <c r="FH153" i="10"/>
  <c r="FH25" i="10"/>
  <c r="FH76" i="10"/>
  <c r="FH97" i="10"/>
  <c r="FH201" i="10"/>
  <c r="FI378" i="10"/>
  <c r="FH325" i="10"/>
  <c r="FI280" i="10"/>
  <c r="FH66" i="10"/>
  <c r="FI217" i="10"/>
  <c r="FI250" i="10"/>
  <c r="FH22" i="10"/>
  <c r="FI238" i="10"/>
  <c r="FI198" i="10"/>
  <c r="FH222" i="10"/>
  <c r="FI354" i="10"/>
  <c r="FH259" i="10"/>
  <c r="FI332" i="10"/>
  <c r="FH264" i="10"/>
  <c r="FH90" i="10"/>
  <c r="FI243" i="10"/>
  <c r="FH369" i="10"/>
  <c r="FH46" i="10"/>
  <c r="FH237" i="10"/>
  <c r="FH136" i="10"/>
  <c r="FH362" i="10"/>
  <c r="FI302" i="10"/>
  <c r="FH341" i="10"/>
  <c r="FH172" i="10"/>
  <c r="FI247" i="10"/>
  <c r="FI164" i="10"/>
  <c r="FH370" i="10"/>
  <c r="FH91" i="10"/>
  <c r="FH342" i="10"/>
  <c r="FI219" i="10"/>
  <c r="FH202" i="10"/>
  <c r="FH61" i="10"/>
  <c r="FH315" i="10"/>
  <c r="FH86" i="10"/>
  <c r="FH368" i="10"/>
  <c r="FI179" i="10"/>
  <c r="FH387" i="10"/>
  <c r="FH60" i="10"/>
  <c r="FH251" i="10"/>
  <c r="I253" i="20"/>
  <c r="J253" i="20"/>
  <c r="K253" i="20"/>
  <c r="K257" i="20"/>
  <c r="I257" i="20"/>
  <c r="J257" i="20"/>
  <c r="D321" i="15"/>
  <c r="AG321" i="15"/>
  <c r="AA321" i="15"/>
  <c r="R321" i="15"/>
  <c r="X321" i="15"/>
  <c r="AF321" i="15"/>
  <c r="T321" i="15"/>
  <c r="J321" i="15"/>
  <c r="N321" i="15"/>
  <c r="Y321" i="15"/>
  <c r="AD321" i="15"/>
  <c r="G321" i="15"/>
  <c r="V321" i="15"/>
  <c r="M321" i="15"/>
  <c r="AI321" i="15"/>
  <c r="E321" i="15"/>
  <c r="AE321" i="15"/>
  <c r="H321" i="15"/>
  <c r="S321" i="15"/>
  <c r="AH321" i="15"/>
  <c r="K321" i="15"/>
  <c r="C321" i="15"/>
  <c r="I321" i="15"/>
  <c r="F321" i="15"/>
  <c r="AC321" i="15"/>
  <c r="U321" i="15"/>
  <c r="Z321" i="15"/>
  <c r="W321" i="15"/>
  <c r="O321" i="15"/>
  <c r="L321" i="15"/>
  <c r="AB321" i="15"/>
  <c r="H310" i="20"/>
  <c r="P321" i="15"/>
  <c r="Q321" i="15"/>
  <c r="P40" i="15"/>
  <c r="G40" i="15"/>
  <c r="AB40" i="15"/>
  <c r="AI40" i="15"/>
  <c r="AG40" i="15"/>
  <c r="D40" i="15"/>
  <c r="AH40" i="15"/>
  <c r="AF40" i="15"/>
  <c r="K40" i="15"/>
  <c r="AC40" i="15"/>
  <c r="O40" i="15"/>
  <c r="R40" i="15"/>
  <c r="W40" i="15"/>
  <c r="X40" i="15"/>
  <c r="N40" i="15"/>
  <c r="F40" i="15"/>
  <c r="M40" i="15"/>
  <c r="S40" i="15"/>
  <c r="J40" i="15"/>
  <c r="Z40" i="15"/>
  <c r="E40" i="15"/>
  <c r="T40" i="15"/>
  <c r="AA40" i="15"/>
  <c r="Y40" i="15"/>
  <c r="H29" i="20"/>
  <c r="Q40" i="15"/>
  <c r="AD40" i="15"/>
  <c r="U40" i="15"/>
  <c r="I40" i="15"/>
  <c r="AE40" i="15"/>
  <c r="V40" i="15"/>
  <c r="C40" i="15"/>
  <c r="H40" i="15"/>
  <c r="L40" i="15"/>
  <c r="J24" i="20"/>
  <c r="K24" i="20"/>
  <c r="I24" i="20"/>
  <c r="I319" i="20"/>
  <c r="K319" i="20"/>
  <c r="J319" i="20"/>
  <c r="I274" i="20"/>
  <c r="J274" i="20"/>
  <c r="K274" i="20"/>
  <c r="K84" i="20"/>
  <c r="J84" i="20"/>
  <c r="I84" i="20"/>
  <c r="I45" i="20"/>
  <c r="K45" i="20"/>
  <c r="J45" i="20"/>
  <c r="K213" i="20"/>
  <c r="I213" i="20"/>
  <c r="J213" i="20"/>
  <c r="JM89" i="10"/>
  <c r="A83" i="15"/>
  <c r="J262" i="20"/>
  <c r="K262" i="20"/>
  <c r="I262" i="20"/>
  <c r="K123" i="20"/>
  <c r="I123" i="20"/>
  <c r="J123" i="20"/>
  <c r="J64" i="20"/>
  <c r="I64" i="20"/>
  <c r="K64" i="20"/>
  <c r="JM137" i="10"/>
  <c r="A131" i="15"/>
  <c r="K239" i="20"/>
  <c r="I239" i="20"/>
  <c r="J239" i="20"/>
  <c r="K374" i="20"/>
  <c r="J374" i="20"/>
  <c r="I374" i="20"/>
  <c r="AG352" i="15"/>
  <c r="W352" i="15"/>
  <c r="Z352" i="15"/>
  <c r="AH352" i="15"/>
  <c r="AC352" i="15"/>
  <c r="V352" i="15"/>
  <c r="J352" i="15"/>
  <c r="U352" i="15"/>
  <c r="AD352" i="15"/>
  <c r="C352" i="15"/>
  <c r="S352" i="15"/>
  <c r="I352" i="15"/>
  <c r="P352" i="15"/>
  <c r="E352" i="15"/>
  <c r="F352" i="15"/>
  <c r="N352" i="15"/>
  <c r="Q352" i="15"/>
  <c r="T352" i="15"/>
  <c r="L352" i="15"/>
  <c r="AA352" i="15"/>
  <c r="O352" i="15"/>
  <c r="D352" i="15"/>
  <c r="K352" i="15"/>
  <c r="R352" i="15"/>
  <c r="G352" i="15"/>
  <c r="AE352" i="15"/>
  <c r="M352" i="15"/>
  <c r="AF352" i="15"/>
  <c r="H352" i="15"/>
  <c r="AI352" i="15"/>
  <c r="AB352" i="15"/>
  <c r="Y352" i="15"/>
  <c r="H341" i="20"/>
  <c r="X352" i="15"/>
  <c r="A120" i="15"/>
  <c r="JM126" i="10"/>
  <c r="K30" i="20"/>
  <c r="I30" i="20"/>
  <c r="J30" i="20"/>
  <c r="I200" i="20"/>
  <c r="K200" i="20"/>
  <c r="J200" i="20"/>
  <c r="I321" i="20"/>
  <c r="J321" i="20"/>
  <c r="K321" i="20"/>
  <c r="JM80" i="10"/>
  <c r="A74" i="15"/>
  <c r="JM35" i="10"/>
  <c r="A29" i="15"/>
  <c r="J340" i="20"/>
  <c r="I340" i="20"/>
  <c r="K340" i="20"/>
  <c r="F197" i="15"/>
  <c r="T197" i="15"/>
  <c r="Y197" i="15"/>
  <c r="AB197" i="15"/>
  <c r="X197" i="15"/>
  <c r="E197" i="15"/>
  <c r="AF197" i="15"/>
  <c r="H186" i="20"/>
  <c r="AE197" i="15"/>
  <c r="P197" i="15"/>
  <c r="R197" i="15"/>
  <c r="S197" i="15"/>
  <c r="J197" i="15"/>
  <c r="AA197" i="15"/>
  <c r="Z197" i="15"/>
  <c r="D197" i="15"/>
  <c r="I197" i="15"/>
  <c r="AG197" i="15"/>
  <c r="G197" i="15"/>
  <c r="AI197" i="15"/>
  <c r="W197" i="15"/>
  <c r="C197" i="15"/>
  <c r="O197" i="15"/>
  <c r="K197" i="15"/>
  <c r="Q197" i="15"/>
  <c r="AH197" i="15"/>
  <c r="U197" i="15"/>
  <c r="H197" i="15"/>
  <c r="AD197" i="15"/>
  <c r="V197" i="15"/>
  <c r="N197" i="15"/>
  <c r="AC197" i="15"/>
  <c r="L197" i="15"/>
  <c r="M197" i="15"/>
  <c r="A43" i="15"/>
  <c r="JM49" i="10"/>
  <c r="F240" i="15"/>
  <c r="AF240" i="15"/>
  <c r="H240" i="15"/>
  <c r="AG240" i="15"/>
  <c r="Q240" i="15"/>
  <c r="Y240" i="15"/>
  <c r="O240" i="15"/>
  <c r="AH240" i="15"/>
  <c r="U240" i="15"/>
  <c r="AI240" i="15"/>
  <c r="K240" i="15"/>
  <c r="V240" i="15"/>
  <c r="X240" i="15"/>
  <c r="Z240" i="15"/>
  <c r="AE240" i="15"/>
  <c r="N240" i="15"/>
  <c r="AD240" i="15"/>
  <c r="W240" i="15"/>
  <c r="AB240" i="15"/>
  <c r="M240" i="15"/>
  <c r="C240" i="15"/>
  <c r="H229" i="20"/>
  <c r="T240" i="15"/>
  <c r="S240" i="15"/>
  <c r="E240" i="15"/>
  <c r="J240" i="15"/>
  <c r="G240" i="15"/>
  <c r="AA240" i="15"/>
  <c r="P240" i="15"/>
  <c r="D240" i="15"/>
  <c r="AC240" i="15"/>
  <c r="I240" i="15"/>
  <c r="L240" i="15"/>
  <c r="R240" i="15"/>
  <c r="I88" i="20"/>
  <c r="K88" i="20"/>
  <c r="J88" i="20"/>
  <c r="J66" i="20"/>
  <c r="K66" i="20"/>
  <c r="I66" i="20"/>
  <c r="I14" i="20"/>
  <c r="K14" i="20"/>
  <c r="J14" i="20"/>
  <c r="G39" i="15"/>
  <c r="AD39" i="15"/>
  <c r="F39" i="15"/>
  <c r="Q39" i="15"/>
  <c r="AF39" i="15"/>
  <c r="T39" i="15"/>
  <c r="H39" i="15"/>
  <c r="H28" i="20"/>
  <c r="AC39" i="15"/>
  <c r="D39" i="15"/>
  <c r="W39" i="15"/>
  <c r="AG39" i="15"/>
  <c r="R39" i="15"/>
  <c r="M39" i="15"/>
  <c r="E39" i="15"/>
  <c r="AA39" i="15"/>
  <c r="L39" i="15"/>
  <c r="K39" i="15"/>
  <c r="Z39" i="15"/>
  <c r="C39" i="15"/>
  <c r="AE39" i="15"/>
  <c r="N39" i="15"/>
  <c r="J39" i="15"/>
  <c r="U39" i="15"/>
  <c r="P39" i="15"/>
  <c r="AH39" i="15"/>
  <c r="V39" i="15"/>
  <c r="Y39" i="15"/>
  <c r="AB39" i="15"/>
  <c r="I39" i="15"/>
  <c r="S39" i="15"/>
  <c r="AI39" i="15"/>
  <c r="X39" i="15"/>
  <c r="O39" i="15"/>
  <c r="K322" i="20"/>
  <c r="J322" i="20"/>
  <c r="I322" i="20"/>
  <c r="I97" i="20"/>
  <c r="J97" i="20"/>
  <c r="K97" i="20"/>
  <c r="K246" i="20"/>
  <c r="J246" i="20"/>
  <c r="I246" i="20"/>
  <c r="JM98" i="10"/>
  <c r="A92" i="15"/>
  <c r="W38" i="15"/>
  <c r="AB38" i="15"/>
  <c r="J38" i="15"/>
  <c r="D38" i="15"/>
  <c r="AI38" i="15"/>
  <c r="AA38" i="15"/>
  <c r="AC38" i="15"/>
  <c r="K38" i="15"/>
  <c r="Y38" i="15"/>
  <c r="H27" i="20"/>
  <c r="F38" i="15"/>
  <c r="V38" i="15"/>
  <c r="S38" i="15"/>
  <c r="I38" i="15"/>
  <c r="T38" i="15"/>
  <c r="O38" i="15"/>
  <c r="AD38" i="15"/>
  <c r="Q38" i="15"/>
  <c r="U38" i="15"/>
  <c r="E38" i="15"/>
  <c r="M38" i="15"/>
  <c r="X38" i="15"/>
  <c r="G38" i="15"/>
  <c r="AF38" i="15"/>
  <c r="C38" i="15"/>
  <c r="Z38" i="15"/>
  <c r="N38" i="15"/>
  <c r="AE38" i="15"/>
  <c r="AH38" i="15"/>
  <c r="AG38" i="15"/>
  <c r="H38" i="15"/>
  <c r="R38" i="15"/>
  <c r="L38" i="15"/>
  <c r="P38" i="15"/>
  <c r="J337" i="20"/>
  <c r="K337" i="20"/>
  <c r="I337" i="20"/>
  <c r="K146" i="20"/>
  <c r="J146" i="20"/>
  <c r="I146" i="20"/>
  <c r="JM165" i="10"/>
  <c r="A159" i="15"/>
  <c r="A293" i="15"/>
  <c r="JM299" i="10"/>
  <c r="I163" i="20"/>
  <c r="J163" i="20"/>
  <c r="K163" i="20"/>
  <c r="I188" i="20"/>
  <c r="K188" i="20"/>
  <c r="J188" i="20"/>
  <c r="J91" i="20"/>
  <c r="I91" i="20"/>
  <c r="K91" i="20"/>
  <c r="I20" i="20"/>
  <c r="K20" i="20"/>
  <c r="J20" i="20"/>
  <c r="I338" i="20"/>
  <c r="J338" i="20"/>
  <c r="K338" i="20"/>
  <c r="I295" i="20"/>
  <c r="J295" i="20"/>
  <c r="K295" i="20"/>
  <c r="I227" i="20"/>
  <c r="K227" i="20"/>
  <c r="J227" i="20"/>
  <c r="DL136" i="10"/>
  <c r="DL128" i="10"/>
  <c r="DL175" i="10"/>
  <c r="DL288" i="10"/>
  <c r="DL260" i="10"/>
  <c r="DL144" i="10"/>
  <c r="DL189" i="10"/>
  <c r="K6" i="20"/>
  <c r="I6" i="20"/>
  <c r="J6" i="20"/>
  <c r="GL181" i="10"/>
  <c r="GL80" i="10"/>
  <c r="GL113" i="10"/>
  <c r="GL58" i="10"/>
  <c r="GL112" i="10"/>
  <c r="GL384" i="10"/>
  <c r="GL271" i="10"/>
  <c r="GL352" i="10"/>
  <c r="GL173" i="10"/>
  <c r="GL130" i="10"/>
  <c r="GL99" i="10"/>
  <c r="GL35" i="10"/>
  <c r="GL347" i="10"/>
  <c r="GL41" i="10"/>
  <c r="GL367" i="10"/>
  <c r="GL284" i="10"/>
  <c r="GL248" i="10"/>
  <c r="GL289" i="10"/>
  <c r="GL78" i="10"/>
  <c r="GL104" i="10"/>
  <c r="GL309" i="10"/>
  <c r="GL196" i="10"/>
  <c r="GL364" i="10"/>
  <c r="GL209" i="10"/>
  <c r="GL149" i="10"/>
  <c r="GL176" i="10"/>
  <c r="GL386" i="10"/>
  <c r="GL370" i="10"/>
  <c r="GL198" i="10"/>
  <c r="GL322" i="10"/>
  <c r="GL373" i="10"/>
  <c r="GL179" i="10"/>
  <c r="GL172" i="10"/>
  <c r="GL366" i="10"/>
  <c r="GL184" i="10"/>
  <c r="GL260" i="10"/>
  <c r="GL114" i="10"/>
  <c r="GL121" i="10"/>
  <c r="GL286" i="10"/>
  <c r="GL306" i="10"/>
  <c r="GL283" i="10"/>
  <c r="GL371" i="10"/>
  <c r="GL297" i="10"/>
  <c r="GL59" i="10"/>
  <c r="GL92" i="10"/>
  <c r="GL61" i="10"/>
  <c r="GL94" i="10"/>
  <c r="GL389" i="10"/>
  <c r="GL189" i="10"/>
  <c r="GL84" i="10"/>
  <c r="GL304" i="10"/>
  <c r="GL197" i="10"/>
  <c r="GL182" i="10"/>
  <c r="GL46" i="10"/>
  <c r="GL226" i="10"/>
  <c r="GL232" i="10"/>
  <c r="GL174" i="10"/>
  <c r="GL251" i="10"/>
  <c r="GL36" i="10"/>
  <c r="GL127" i="10"/>
  <c r="GL262" i="10"/>
  <c r="GL359" i="10"/>
  <c r="GL307" i="10"/>
  <c r="GL369" i="10"/>
  <c r="GL155" i="10"/>
  <c r="GL278" i="10"/>
  <c r="GL390" i="10"/>
  <c r="GL168" i="10"/>
  <c r="GL341" i="10"/>
  <c r="GL71" i="10"/>
  <c r="GL106" i="10"/>
  <c r="GL60" i="10"/>
  <c r="GL86" i="10"/>
  <c r="GL40" i="10"/>
  <c r="GL276" i="10"/>
  <c r="GL339" i="10"/>
  <c r="GL159" i="10"/>
  <c r="GL227" i="10"/>
  <c r="GL319" i="10"/>
  <c r="GL150" i="10"/>
  <c r="GL199" i="10"/>
  <c r="GL392" i="10"/>
  <c r="GL43" i="10"/>
  <c r="GL210" i="10"/>
  <c r="GL167" i="10"/>
  <c r="GL108" i="10"/>
  <c r="GL68" i="10"/>
  <c r="GL55" i="10"/>
  <c r="GL27" i="10"/>
  <c r="GL129" i="10"/>
  <c r="GL333" i="10"/>
  <c r="GL380" i="10"/>
  <c r="GL331" i="10"/>
  <c r="GL376" i="10"/>
  <c r="GL378" i="10"/>
  <c r="GL280" i="10"/>
  <c r="GL206" i="10"/>
  <c r="GL238" i="10"/>
  <c r="GL220" i="10"/>
  <c r="GL368" i="10"/>
  <c r="GL152" i="10"/>
  <c r="GL88" i="10"/>
  <c r="GL338" i="10"/>
  <c r="GL362" i="10"/>
  <c r="GL360" i="10"/>
  <c r="GL345" i="10"/>
  <c r="GL355" i="10"/>
  <c r="GL134" i="10"/>
  <c r="GL70" i="10"/>
  <c r="GL30" i="10"/>
  <c r="GL64" i="10"/>
  <c r="GL52" i="10"/>
  <c r="GL200" i="10"/>
  <c r="GL256" i="10"/>
  <c r="GL158" i="10"/>
  <c r="GL254" i="10"/>
  <c r="GL224" i="10"/>
  <c r="GL363" i="10"/>
  <c r="GL83" i="10"/>
  <c r="GL180" i="10"/>
  <c r="GL241" i="10"/>
  <c r="GL211" i="10"/>
  <c r="GL336" i="10"/>
  <c r="GL225" i="10"/>
  <c r="GL146" i="10"/>
  <c r="GL300" i="10"/>
  <c r="GL97" i="10"/>
  <c r="GL194" i="10"/>
  <c r="GL192" i="10"/>
  <c r="GL328" i="10"/>
  <c r="GL223" i="10"/>
  <c r="GL135" i="10"/>
  <c r="GL74" i="10"/>
  <c r="GL136" i="10"/>
  <c r="GL122" i="10"/>
  <c r="GL128" i="10"/>
  <c r="GL132" i="10"/>
  <c r="GL142" i="10"/>
  <c r="GL275" i="10"/>
  <c r="GL216" i="10"/>
  <c r="GL291" i="10"/>
  <c r="GL215" i="10"/>
  <c r="GL63" i="10"/>
  <c r="GL295" i="10"/>
  <c r="GL156" i="10"/>
  <c r="GL110" i="10"/>
  <c r="GL50" i="10"/>
  <c r="GL250" i="10"/>
  <c r="GL38" i="10"/>
  <c r="GL124" i="10"/>
  <c r="GL54" i="10"/>
  <c r="GL29" i="10"/>
  <c r="GL98" i="10"/>
  <c r="GL214" i="10"/>
  <c r="GL186" i="10"/>
  <c r="GL163" i="10"/>
  <c r="GL342" i="10"/>
  <c r="GL279" i="10"/>
  <c r="GL365" i="10"/>
  <c r="GL252" i="10"/>
  <c r="GL346" i="10"/>
  <c r="GL281" i="10"/>
  <c r="GL272" i="10"/>
  <c r="GL343" i="10"/>
  <c r="GL377" i="10"/>
  <c r="GL47" i="10"/>
  <c r="GL213" i="10"/>
  <c r="GL161" i="10"/>
  <c r="GL383" i="10"/>
  <c r="GL140" i="10"/>
  <c r="GL203" i="10"/>
  <c r="GL221" i="10"/>
  <c r="GL231" i="10"/>
  <c r="GL125" i="10"/>
  <c r="GL372" i="10"/>
  <c r="GL115" i="10"/>
  <c r="GL69" i="10"/>
  <c r="GL51" i="10"/>
  <c r="GL171" i="10"/>
  <c r="GL49" i="10"/>
  <c r="GL388" i="10"/>
  <c r="GL305" i="10"/>
  <c r="GL236" i="10"/>
  <c r="GL382" i="10"/>
  <c r="GL265" i="10"/>
  <c r="AC228" i="15" l="1"/>
  <c r="Q228" i="15"/>
  <c r="AA228" i="15"/>
  <c r="O228" i="15"/>
  <c r="K228" i="15"/>
  <c r="AB228" i="15"/>
  <c r="M228" i="15"/>
  <c r="L228" i="15"/>
  <c r="S228" i="15"/>
  <c r="P228" i="15"/>
  <c r="AG228" i="15"/>
  <c r="V228" i="15"/>
  <c r="R228" i="15"/>
  <c r="Y228" i="15"/>
  <c r="W228" i="15"/>
  <c r="Z228" i="15"/>
  <c r="G228" i="15"/>
  <c r="H217" i="20"/>
  <c r="J228" i="15"/>
  <c r="C228" i="15"/>
  <c r="F228" i="15"/>
  <c r="D228" i="15"/>
  <c r="AD228" i="15"/>
  <c r="T228" i="15"/>
  <c r="N228" i="15"/>
  <c r="AI228" i="15"/>
  <c r="AE228" i="15"/>
  <c r="X228" i="15"/>
  <c r="AF228" i="15"/>
  <c r="H228" i="15"/>
  <c r="I228" i="15"/>
  <c r="U228" i="15"/>
  <c r="AH228" i="15"/>
  <c r="E228" i="15"/>
  <c r="J69" i="20"/>
  <c r="I69" i="20"/>
  <c r="K69" i="20"/>
  <c r="J55" i="20"/>
  <c r="I55" i="20"/>
  <c r="K55" i="20"/>
  <c r="K113" i="20"/>
  <c r="I113" i="20"/>
  <c r="J113" i="20"/>
  <c r="I198" i="20"/>
  <c r="J198" i="20"/>
  <c r="K198" i="20"/>
  <c r="S81" i="15"/>
  <c r="P81" i="15"/>
  <c r="AI81" i="15"/>
  <c r="E81" i="15"/>
  <c r="N81" i="15"/>
  <c r="U81" i="15"/>
  <c r="AH81" i="15"/>
  <c r="Q81" i="15"/>
  <c r="M81" i="15"/>
  <c r="AD81" i="15"/>
  <c r="H70" i="20"/>
  <c r="J81" i="15"/>
  <c r="L81" i="15"/>
  <c r="W81" i="15"/>
  <c r="AG81" i="15"/>
  <c r="V81" i="15"/>
  <c r="T81" i="15"/>
  <c r="X81" i="15"/>
  <c r="D81" i="15"/>
  <c r="H81" i="15"/>
  <c r="Z81" i="15"/>
  <c r="R81" i="15"/>
  <c r="K81" i="15"/>
  <c r="C81" i="15"/>
  <c r="AB81" i="15"/>
  <c r="F81" i="15"/>
  <c r="AF81" i="15"/>
  <c r="Y81" i="15"/>
  <c r="AC81" i="15"/>
  <c r="AA81" i="15"/>
  <c r="I81" i="15"/>
  <c r="G81" i="15"/>
  <c r="AE81" i="15"/>
  <c r="O81" i="15"/>
  <c r="D91" i="15"/>
  <c r="M91" i="15"/>
  <c r="H91" i="15"/>
  <c r="L91" i="15"/>
  <c r="T91" i="15"/>
  <c r="K91" i="15"/>
  <c r="AC91" i="15"/>
  <c r="C91" i="15"/>
  <c r="F91" i="15"/>
  <c r="U91" i="15"/>
  <c r="N91" i="15"/>
  <c r="W91" i="15"/>
  <c r="AB91" i="15"/>
  <c r="Q91" i="15"/>
  <c r="J91" i="15"/>
  <c r="O91" i="15"/>
  <c r="AG91" i="15"/>
  <c r="AH91" i="15"/>
  <c r="X91" i="15"/>
  <c r="P91" i="15"/>
  <c r="AF91" i="15"/>
  <c r="AE91" i="15"/>
  <c r="H80" i="20"/>
  <c r="E91" i="15"/>
  <c r="Y91" i="15"/>
  <c r="I91" i="15"/>
  <c r="Z91" i="15"/>
  <c r="AI91" i="15"/>
  <c r="V91" i="15"/>
  <c r="G91" i="15"/>
  <c r="AA91" i="15"/>
  <c r="AD91" i="15"/>
  <c r="S91" i="15"/>
  <c r="R91" i="15"/>
  <c r="K102" i="20"/>
  <c r="I102" i="20"/>
  <c r="J102" i="20"/>
  <c r="I242" i="20"/>
  <c r="K242" i="20"/>
  <c r="J242" i="20"/>
  <c r="K205" i="20"/>
  <c r="J205" i="20"/>
  <c r="I205" i="20"/>
  <c r="AD46" i="15"/>
  <c r="E46" i="15"/>
  <c r="F46" i="15"/>
  <c r="D46" i="15"/>
  <c r="H46" i="15"/>
  <c r="W46" i="15"/>
  <c r="Z46" i="15"/>
  <c r="AH46" i="15"/>
  <c r="N46" i="15"/>
  <c r="AB46" i="15"/>
  <c r="L46" i="15"/>
  <c r="O46" i="15"/>
  <c r="I46" i="15"/>
  <c r="U46" i="15"/>
  <c r="AA46" i="15"/>
  <c r="AC46" i="15"/>
  <c r="J46" i="15"/>
  <c r="G46" i="15"/>
  <c r="P46" i="15"/>
  <c r="V46" i="15"/>
  <c r="Q46" i="15"/>
  <c r="H35" i="20"/>
  <c r="X46" i="15"/>
  <c r="C46" i="15"/>
  <c r="AG46" i="15"/>
  <c r="AE46" i="15"/>
  <c r="R46" i="15"/>
  <c r="Y46" i="15"/>
  <c r="AF46" i="15"/>
  <c r="S46" i="15"/>
  <c r="T46" i="15"/>
  <c r="K46" i="15"/>
  <c r="M46" i="15"/>
  <c r="AI46" i="15"/>
  <c r="J149" i="20"/>
  <c r="K149" i="20"/>
  <c r="I149" i="20"/>
  <c r="Y100" i="15"/>
  <c r="AE100" i="15"/>
  <c r="C100" i="15"/>
  <c r="D100" i="15"/>
  <c r="AH100" i="15"/>
  <c r="P100" i="15"/>
  <c r="R100" i="15"/>
  <c r="N100" i="15"/>
  <c r="AD100" i="15"/>
  <c r="W100" i="15"/>
  <c r="Q100" i="15"/>
  <c r="T100" i="15"/>
  <c r="S100" i="15"/>
  <c r="K100" i="15"/>
  <c r="U100" i="15"/>
  <c r="AF100" i="15"/>
  <c r="J100" i="15"/>
  <c r="F100" i="15"/>
  <c r="I100" i="15"/>
  <c r="AA100" i="15"/>
  <c r="AB100" i="15"/>
  <c r="AI100" i="15"/>
  <c r="V100" i="15"/>
  <c r="M100" i="15"/>
  <c r="O100" i="15"/>
  <c r="Z100" i="15"/>
  <c r="H100" i="15"/>
  <c r="G100" i="15"/>
  <c r="AG100" i="15"/>
  <c r="L100" i="15"/>
  <c r="H89" i="20"/>
  <c r="AC100" i="15"/>
  <c r="X100" i="15"/>
  <c r="E100" i="15"/>
  <c r="I237" i="20"/>
  <c r="J237" i="20"/>
  <c r="K237" i="20"/>
  <c r="J326" i="20"/>
  <c r="K326" i="20"/>
  <c r="I326" i="20"/>
  <c r="K304" i="20"/>
  <c r="I304" i="20"/>
  <c r="J304" i="20"/>
  <c r="S57" i="15"/>
  <c r="E57" i="15"/>
  <c r="K57" i="15"/>
  <c r="AD57" i="15"/>
  <c r="U57" i="15"/>
  <c r="R57" i="15"/>
  <c r="F57" i="15"/>
  <c r="N57" i="15"/>
  <c r="AH57" i="15"/>
  <c r="P57" i="15"/>
  <c r="C57" i="15"/>
  <c r="X57" i="15"/>
  <c r="T57" i="15"/>
  <c r="AF57" i="15"/>
  <c r="L57" i="15"/>
  <c r="I57" i="15"/>
  <c r="O57" i="15"/>
  <c r="H46" i="20"/>
  <c r="AG57" i="15"/>
  <c r="G57" i="15"/>
  <c r="Y57" i="15"/>
  <c r="AE57" i="15"/>
  <c r="W57" i="15"/>
  <c r="AI57" i="15"/>
  <c r="D57" i="15"/>
  <c r="M57" i="15"/>
  <c r="AB57" i="15"/>
  <c r="AC57" i="15"/>
  <c r="Q57" i="15"/>
  <c r="Z57" i="15"/>
  <c r="V57" i="15"/>
  <c r="H57" i="15"/>
  <c r="AA57" i="15"/>
  <c r="J57" i="15"/>
  <c r="J359" i="20"/>
  <c r="K359" i="20"/>
  <c r="I359" i="20"/>
  <c r="I37" i="20"/>
  <c r="J37" i="20"/>
  <c r="K37" i="20"/>
  <c r="J233" i="20"/>
  <c r="K233" i="20"/>
  <c r="I233" i="20"/>
  <c r="C23" i="15"/>
  <c r="AC23" i="15"/>
  <c r="AG23" i="15"/>
  <c r="AH23" i="15"/>
  <c r="N23" i="15"/>
  <c r="T23" i="15"/>
  <c r="AA23" i="15"/>
  <c r="X23" i="15"/>
  <c r="W23" i="15"/>
  <c r="AI23" i="15"/>
  <c r="J23" i="15"/>
  <c r="V23" i="15"/>
  <c r="AF23" i="15"/>
  <c r="AE23" i="15"/>
  <c r="Y23" i="15"/>
  <c r="P23" i="15"/>
  <c r="O23" i="15"/>
  <c r="I23" i="15"/>
  <c r="S23" i="15"/>
  <c r="Z23" i="15"/>
  <c r="H23" i="15"/>
  <c r="U23" i="15"/>
  <c r="L23" i="15"/>
  <c r="M23" i="15"/>
  <c r="K23" i="15"/>
  <c r="AB23" i="15"/>
  <c r="F23" i="15"/>
  <c r="G23" i="15"/>
  <c r="Q23" i="15"/>
  <c r="E23" i="15"/>
  <c r="AD23" i="15"/>
  <c r="R23" i="15"/>
  <c r="D23" i="15"/>
  <c r="H12" i="20"/>
  <c r="H128" i="15"/>
  <c r="S128" i="15"/>
  <c r="V128" i="15"/>
  <c r="N128" i="15"/>
  <c r="L128" i="15"/>
  <c r="AD128" i="15"/>
  <c r="F128" i="15"/>
  <c r="Q128" i="15"/>
  <c r="AE128" i="15"/>
  <c r="M128" i="15"/>
  <c r="Y128" i="15"/>
  <c r="C128" i="15"/>
  <c r="O128" i="15"/>
  <c r="AA128" i="15"/>
  <c r="AF128" i="15"/>
  <c r="AC128" i="15"/>
  <c r="AG128" i="15"/>
  <c r="H117" i="20"/>
  <c r="J128" i="15"/>
  <c r="AI128" i="15"/>
  <c r="X128" i="15"/>
  <c r="D128" i="15"/>
  <c r="K128" i="15"/>
  <c r="W128" i="15"/>
  <c r="T128" i="15"/>
  <c r="AB128" i="15"/>
  <c r="G128" i="15"/>
  <c r="I128" i="15"/>
  <c r="R128" i="15"/>
  <c r="Z128" i="15"/>
  <c r="P128" i="15"/>
  <c r="E128" i="15"/>
  <c r="AH128" i="15"/>
  <c r="U128" i="15"/>
  <c r="I95" i="20"/>
  <c r="K95" i="20"/>
  <c r="J95" i="20"/>
  <c r="J114" i="20"/>
  <c r="K114" i="20"/>
  <c r="I114" i="20"/>
  <c r="J115" i="20"/>
  <c r="K115" i="20"/>
  <c r="I115" i="20"/>
  <c r="J157" i="20"/>
  <c r="K157" i="20"/>
  <c r="I157" i="20"/>
  <c r="H159" i="20"/>
  <c r="AI170" i="15"/>
  <c r="W170" i="15"/>
  <c r="G170" i="15"/>
  <c r="AB170" i="15"/>
  <c r="O170" i="15"/>
  <c r="I170" i="15"/>
  <c r="Z170" i="15"/>
  <c r="AF170" i="15"/>
  <c r="D170" i="15"/>
  <c r="F170" i="15"/>
  <c r="N170" i="15"/>
  <c r="X170" i="15"/>
  <c r="V170" i="15"/>
  <c r="AH170" i="15"/>
  <c r="C170" i="15"/>
  <c r="Q170" i="15"/>
  <c r="AG170" i="15"/>
  <c r="S170" i="15"/>
  <c r="K170" i="15"/>
  <c r="P170" i="15"/>
  <c r="M170" i="15"/>
  <c r="AA170" i="15"/>
  <c r="J170" i="15"/>
  <c r="H170" i="15"/>
  <c r="AD170" i="15"/>
  <c r="Y170" i="15"/>
  <c r="L170" i="15"/>
  <c r="AC170" i="15"/>
  <c r="E170" i="15"/>
  <c r="U170" i="15"/>
  <c r="AE170" i="15"/>
  <c r="T170" i="15"/>
  <c r="R170" i="15"/>
  <c r="J301" i="20"/>
  <c r="I301" i="20"/>
  <c r="K301" i="20"/>
  <c r="J71" i="20"/>
  <c r="I71" i="20"/>
  <c r="K71" i="20"/>
  <c r="I189" i="20"/>
  <c r="J189" i="20"/>
  <c r="K189" i="20"/>
  <c r="L364" i="15"/>
  <c r="U364" i="15"/>
  <c r="R364" i="15"/>
  <c r="G364" i="15"/>
  <c r="C364" i="15"/>
  <c r="H353" i="20"/>
  <c r="P364" i="15"/>
  <c r="AG364" i="15"/>
  <c r="K364" i="15"/>
  <c r="X364" i="15"/>
  <c r="Q364" i="15"/>
  <c r="AE364" i="15"/>
  <c r="W364" i="15"/>
  <c r="S364" i="15"/>
  <c r="N364" i="15"/>
  <c r="AI364" i="15"/>
  <c r="J364" i="15"/>
  <c r="AD364" i="15"/>
  <c r="O364" i="15"/>
  <c r="AH364" i="15"/>
  <c r="Y364" i="15"/>
  <c r="D364" i="15"/>
  <c r="Z364" i="15"/>
  <c r="T364" i="15"/>
  <c r="E364" i="15"/>
  <c r="AF364" i="15"/>
  <c r="M364" i="15"/>
  <c r="I364" i="15"/>
  <c r="AC364" i="15"/>
  <c r="AB364" i="15"/>
  <c r="F364" i="15"/>
  <c r="V364" i="15"/>
  <c r="AA364" i="15"/>
  <c r="H364" i="15"/>
  <c r="I224" i="20"/>
  <c r="K224" i="20"/>
  <c r="J224" i="20"/>
  <c r="K293" i="20"/>
  <c r="I293" i="20"/>
  <c r="J293" i="20"/>
  <c r="N336" i="15"/>
  <c r="AH336" i="15"/>
  <c r="H325" i="20"/>
  <c r="U336" i="15"/>
  <c r="M336" i="15"/>
  <c r="Q336" i="15"/>
  <c r="L336" i="15"/>
  <c r="P336" i="15"/>
  <c r="AD336" i="15"/>
  <c r="X336" i="15"/>
  <c r="O336" i="15"/>
  <c r="AI336" i="15"/>
  <c r="K336" i="15"/>
  <c r="AG336" i="15"/>
  <c r="C336" i="15"/>
  <c r="V336" i="15"/>
  <c r="AE336" i="15"/>
  <c r="H336" i="15"/>
  <c r="Y336" i="15"/>
  <c r="S336" i="15"/>
  <c r="T336" i="15"/>
  <c r="W336" i="15"/>
  <c r="R336" i="15"/>
  <c r="D336" i="15"/>
  <c r="F336" i="15"/>
  <c r="AF336" i="15"/>
  <c r="I336" i="15"/>
  <c r="AA336" i="15"/>
  <c r="G336" i="15"/>
  <c r="J336" i="15"/>
  <c r="Z336" i="15"/>
  <c r="AB336" i="15"/>
  <c r="E336" i="15"/>
  <c r="AC336" i="15"/>
  <c r="O374" i="15"/>
  <c r="H374" i="15"/>
  <c r="H363" i="20"/>
  <c r="M374" i="15"/>
  <c r="AE374" i="15"/>
  <c r="W374" i="15"/>
  <c r="L374" i="15"/>
  <c r="AF374" i="15"/>
  <c r="T374" i="15"/>
  <c r="J374" i="15"/>
  <c r="AI374" i="15"/>
  <c r="S374" i="15"/>
  <c r="R374" i="15"/>
  <c r="AD374" i="15"/>
  <c r="I374" i="15"/>
  <c r="F374" i="15"/>
  <c r="K374" i="15"/>
  <c r="X374" i="15"/>
  <c r="Y374" i="15"/>
  <c r="G374" i="15"/>
  <c r="AB374" i="15"/>
  <c r="N374" i="15"/>
  <c r="Z374" i="15"/>
  <c r="P374" i="15"/>
  <c r="E374" i="15"/>
  <c r="D374" i="15"/>
  <c r="U374" i="15"/>
  <c r="AC374" i="15"/>
  <c r="Q374" i="15"/>
  <c r="AG374" i="15"/>
  <c r="C374" i="15"/>
  <c r="AH374" i="15"/>
  <c r="V374" i="15"/>
  <c r="AA374" i="15"/>
  <c r="K43" i="20"/>
  <c r="J43" i="20"/>
  <c r="I43" i="20"/>
  <c r="I309" i="20"/>
  <c r="K309" i="20"/>
  <c r="J309" i="20"/>
  <c r="K22" i="20"/>
  <c r="I22" i="20"/>
  <c r="J22" i="20"/>
  <c r="K268" i="20"/>
  <c r="J268" i="20"/>
  <c r="I268" i="20"/>
  <c r="K98" i="15"/>
  <c r="U98" i="15"/>
  <c r="R98" i="15"/>
  <c r="AI98" i="15"/>
  <c r="M98" i="15"/>
  <c r="G98" i="15"/>
  <c r="S98" i="15"/>
  <c r="AG98" i="15"/>
  <c r="D98" i="15"/>
  <c r="AH98" i="15"/>
  <c r="AB98" i="15"/>
  <c r="C98" i="15"/>
  <c r="F98" i="15"/>
  <c r="AD98" i="15"/>
  <c r="Q98" i="15"/>
  <c r="O98" i="15"/>
  <c r="AE98" i="15"/>
  <c r="P98" i="15"/>
  <c r="H87" i="20"/>
  <c r="L98" i="15"/>
  <c r="H98" i="15"/>
  <c r="I98" i="15"/>
  <c r="T98" i="15"/>
  <c r="E98" i="15"/>
  <c r="N98" i="15"/>
  <c r="X98" i="15"/>
  <c r="AA98" i="15"/>
  <c r="Z98" i="15"/>
  <c r="AF98" i="15"/>
  <c r="V98" i="15"/>
  <c r="Y98" i="15"/>
  <c r="J98" i="15"/>
  <c r="AC98" i="15"/>
  <c r="W98" i="15"/>
  <c r="J300" i="20"/>
  <c r="I300" i="20"/>
  <c r="K300" i="20"/>
  <c r="J94" i="20"/>
  <c r="K94" i="20"/>
  <c r="I94" i="20"/>
  <c r="J112" i="20"/>
  <c r="I112" i="20"/>
  <c r="K112" i="20"/>
  <c r="I176" i="20"/>
  <c r="J176" i="20"/>
  <c r="K176" i="20"/>
  <c r="Y300" i="15"/>
  <c r="C300" i="15"/>
  <c r="Q300" i="15"/>
  <c r="T300" i="15"/>
  <c r="S300" i="15"/>
  <c r="N300" i="15"/>
  <c r="U300" i="15"/>
  <c r="X300" i="15"/>
  <c r="H300" i="15"/>
  <c r="P300" i="15"/>
  <c r="K300" i="15"/>
  <c r="G300" i="15"/>
  <c r="R300" i="15"/>
  <c r="Z300" i="15"/>
  <c r="AI300" i="15"/>
  <c r="F300" i="15"/>
  <c r="AH300" i="15"/>
  <c r="AC300" i="15"/>
  <c r="W300" i="15"/>
  <c r="H289" i="20"/>
  <c r="D300" i="15"/>
  <c r="AE300" i="15"/>
  <c r="AA300" i="15"/>
  <c r="AG300" i="15"/>
  <c r="J300" i="15"/>
  <c r="AF300" i="15"/>
  <c r="L300" i="15"/>
  <c r="M300" i="15"/>
  <c r="I300" i="15"/>
  <c r="AD300" i="15"/>
  <c r="V300" i="15"/>
  <c r="O300" i="15"/>
  <c r="E300" i="15"/>
  <c r="AB300" i="15"/>
  <c r="K137" i="20"/>
  <c r="J137" i="20"/>
  <c r="I137" i="20"/>
  <c r="L339" i="15"/>
  <c r="AD339" i="15"/>
  <c r="H339" i="15"/>
  <c r="J339" i="15"/>
  <c r="C339" i="15"/>
  <c r="AC339" i="15"/>
  <c r="H328" i="20"/>
  <c r="K339" i="15"/>
  <c r="D339" i="15"/>
  <c r="AG339" i="15"/>
  <c r="Q339" i="15"/>
  <c r="I339" i="15"/>
  <c r="E339" i="15"/>
  <c r="S339" i="15"/>
  <c r="AI339" i="15"/>
  <c r="O339" i="15"/>
  <c r="AE339" i="15"/>
  <c r="T339" i="15"/>
  <c r="N339" i="15"/>
  <c r="U339" i="15"/>
  <c r="M339" i="15"/>
  <c r="AB339" i="15"/>
  <c r="X339" i="15"/>
  <c r="AH339" i="15"/>
  <c r="V339" i="15"/>
  <c r="AF339" i="15"/>
  <c r="AA339" i="15"/>
  <c r="Y339" i="15"/>
  <c r="R339" i="15"/>
  <c r="F339" i="15"/>
  <c r="Z339" i="15"/>
  <c r="P339" i="15"/>
  <c r="G339" i="15"/>
  <c r="W339" i="15"/>
  <c r="G343" i="15"/>
  <c r="T343" i="15"/>
  <c r="F343" i="15"/>
  <c r="J343" i="15"/>
  <c r="Z343" i="15"/>
  <c r="X343" i="15"/>
  <c r="E343" i="15"/>
  <c r="Q343" i="15"/>
  <c r="I343" i="15"/>
  <c r="Y343" i="15"/>
  <c r="K343" i="15"/>
  <c r="AE343" i="15"/>
  <c r="S343" i="15"/>
  <c r="H332" i="20"/>
  <c r="AD343" i="15"/>
  <c r="H343" i="15"/>
  <c r="V343" i="15"/>
  <c r="P343" i="15"/>
  <c r="AI343" i="15"/>
  <c r="AG343" i="15"/>
  <c r="R343" i="15"/>
  <c r="AA343" i="15"/>
  <c r="M343" i="15"/>
  <c r="C343" i="15"/>
  <c r="O343" i="15"/>
  <c r="L343" i="15"/>
  <c r="AB343" i="15"/>
  <c r="AC343" i="15"/>
  <c r="N343" i="15"/>
  <c r="U343" i="15"/>
  <c r="W343" i="15"/>
  <c r="AH343" i="15"/>
  <c r="AF343" i="15"/>
  <c r="D343" i="15"/>
  <c r="J86" i="20"/>
  <c r="I86" i="20"/>
  <c r="K86" i="20"/>
  <c r="I161" i="20"/>
  <c r="K161" i="20"/>
  <c r="J161" i="20"/>
  <c r="G366" i="15"/>
  <c r="D366" i="15"/>
  <c r="Q366" i="15"/>
  <c r="AC366" i="15"/>
  <c r="F366" i="15"/>
  <c r="AG366" i="15"/>
  <c r="V366" i="15"/>
  <c r="H355" i="20"/>
  <c r="P366" i="15"/>
  <c r="T366" i="15"/>
  <c r="M366" i="15"/>
  <c r="E366" i="15"/>
  <c r="C366" i="15"/>
  <c r="R366" i="15"/>
  <c r="J366" i="15"/>
  <c r="I366" i="15"/>
  <c r="U366" i="15"/>
  <c r="S366" i="15"/>
  <c r="AI366" i="15"/>
  <c r="W366" i="15"/>
  <c r="Y366" i="15"/>
  <c r="AE366" i="15"/>
  <c r="AF366" i="15"/>
  <c r="X366" i="15"/>
  <c r="AH366" i="15"/>
  <c r="N366" i="15"/>
  <c r="AA366" i="15"/>
  <c r="Z366" i="15"/>
  <c r="K366" i="15"/>
  <c r="AD366" i="15"/>
  <c r="AB366" i="15"/>
  <c r="H366" i="15"/>
  <c r="O366" i="15"/>
  <c r="L366" i="15"/>
  <c r="J267" i="20"/>
  <c r="K267" i="20"/>
  <c r="I267" i="20"/>
  <c r="S245" i="15"/>
  <c r="K245" i="15"/>
  <c r="X245" i="15"/>
  <c r="Z245" i="15"/>
  <c r="O245" i="15"/>
  <c r="AB245" i="15"/>
  <c r="F245" i="15"/>
  <c r="AD245" i="15"/>
  <c r="AH245" i="15"/>
  <c r="V245" i="15"/>
  <c r="I245" i="15"/>
  <c r="D245" i="15"/>
  <c r="AC245" i="15"/>
  <c r="Y245" i="15"/>
  <c r="U245" i="15"/>
  <c r="R245" i="15"/>
  <c r="AI245" i="15"/>
  <c r="T245" i="15"/>
  <c r="Q245" i="15"/>
  <c r="M245" i="15"/>
  <c r="AG245" i="15"/>
  <c r="E245" i="15"/>
  <c r="P245" i="15"/>
  <c r="AF245" i="15"/>
  <c r="C245" i="15"/>
  <c r="H234" i="20"/>
  <c r="G245" i="15"/>
  <c r="L245" i="15"/>
  <c r="W245" i="15"/>
  <c r="AE245" i="15"/>
  <c r="J245" i="15"/>
  <c r="H245" i="15"/>
  <c r="N245" i="15"/>
  <c r="AA245" i="15"/>
  <c r="C241" i="15"/>
  <c r="L241" i="15"/>
  <c r="Z241" i="15"/>
  <c r="P241" i="15"/>
  <c r="Y241" i="15"/>
  <c r="AC241" i="15"/>
  <c r="K241" i="15"/>
  <c r="AB241" i="15"/>
  <c r="R241" i="15"/>
  <c r="AF241" i="15"/>
  <c r="S241" i="15"/>
  <c r="V241" i="15"/>
  <c r="T241" i="15"/>
  <c r="I241" i="15"/>
  <c r="AD241" i="15"/>
  <c r="Q241" i="15"/>
  <c r="H241" i="15"/>
  <c r="U241" i="15"/>
  <c r="M241" i="15"/>
  <c r="AH241" i="15"/>
  <c r="E241" i="15"/>
  <c r="W241" i="15"/>
  <c r="AE241" i="15"/>
  <c r="G241" i="15"/>
  <c r="F241" i="15"/>
  <c r="N241" i="15"/>
  <c r="AI241" i="15"/>
  <c r="D241" i="15"/>
  <c r="AA241" i="15"/>
  <c r="AG241" i="15"/>
  <c r="H230" i="20"/>
  <c r="J241" i="15"/>
  <c r="O241" i="15"/>
  <c r="X241" i="15"/>
  <c r="K251" i="20"/>
  <c r="I251" i="20"/>
  <c r="J251" i="20"/>
  <c r="R122" i="15"/>
  <c r="AB122" i="15"/>
  <c r="W122" i="15"/>
  <c r="C122" i="15"/>
  <c r="Y122" i="15"/>
  <c r="P122" i="15"/>
  <c r="V122" i="15"/>
  <c r="G122" i="15"/>
  <c r="K122" i="15"/>
  <c r="M122" i="15"/>
  <c r="D122" i="15"/>
  <c r="F122" i="15"/>
  <c r="I122" i="15"/>
  <c r="X122" i="15"/>
  <c r="H122" i="15"/>
  <c r="AI122" i="15"/>
  <c r="N122" i="15"/>
  <c r="AC122" i="15"/>
  <c r="AF122" i="15"/>
  <c r="AE122" i="15"/>
  <c r="AG122" i="15"/>
  <c r="AH122" i="15"/>
  <c r="O122" i="15"/>
  <c r="AA122" i="15"/>
  <c r="U122" i="15"/>
  <c r="L122" i="15"/>
  <c r="H111" i="20"/>
  <c r="Q122" i="15"/>
  <c r="E122" i="15"/>
  <c r="J122" i="15"/>
  <c r="S122" i="15"/>
  <c r="T122" i="15"/>
  <c r="AD122" i="15"/>
  <c r="Z122" i="15"/>
  <c r="I365" i="20"/>
  <c r="K365" i="20"/>
  <c r="J365" i="20"/>
  <c r="O22" i="15"/>
  <c r="I22" i="15"/>
  <c r="Q22" i="15"/>
  <c r="AD22" i="15"/>
  <c r="U22" i="15"/>
  <c r="E22" i="15"/>
  <c r="S22" i="15"/>
  <c r="W22" i="15"/>
  <c r="AA22" i="15"/>
  <c r="Z22" i="15"/>
  <c r="AE22" i="15"/>
  <c r="AG22" i="15"/>
  <c r="H11" i="20"/>
  <c r="R22" i="15"/>
  <c r="P22" i="15"/>
  <c r="M22" i="15"/>
  <c r="AC22" i="15"/>
  <c r="X22" i="15"/>
  <c r="AH22" i="15"/>
  <c r="AF22" i="15"/>
  <c r="L22" i="15"/>
  <c r="H22" i="15"/>
  <c r="AI22" i="15"/>
  <c r="F22" i="15"/>
  <c r="J22" i="15"/>
  <c r="AB22" i="15"/>
  <c r="V22" i="15"/>
  <c r="K22" i="15"/>
  <c r="N22" i="15"/>
  <c r="C22" i="15"/>
  <c r="T22" i="15"/>
  <c r="Y22" i="15"/>
  <c r="D22" i="15"/>
  <c r="G22" i="15"/>
  <c r="J10" i="20"/>
  <c r="I10" i="20"/>
  <c r="K10" i="20"/>
  <c r="K219" i="20"/>
  <c r="I219" i="20"/>
  <c r="J219" i="20"/>
  <c r="K106" i="20"/>
  <c r="I106" i="20"/>
  <c r="J106" i="20"/>
  <c r="K124" i="20"/>
  <c r="J124" i="20"/>
  <c r="I124" i="20"/>
  <c r="S346" i="15"/>
  <c r="G346" i="15"/>
  <c r="H335" i="20"/>
  <c r="K346" i="15"/>
  <c r="M346" i="15"/>
  <c r="Y346" i="15"/>
  <c r="P346" i="15"/>
  <c r="W346" i="15"/>
  <c r="H346" i="15"/>
  <c r="AG346" i="15"/>
  <c r="T346" i="15"/>
  <c r="N346" i="15"/>
  <c r="D346" i="15"/>
  <c r="Z346" i="15"/>
  <c r="U346" i="15"/>
  <c r="AD346" i="15"/>
  <c r="C346" i="15"/>
  <c r="F346" i="15"/>
  <c r="AI346" i="15"/>
  <c r="AF346" i="15"/>
  <c r="AC346" i="15"/>
  <c r="AH346" i="15"/>
  <c r="AE346" i="15"/>
  <c r="X346" i="15"/>
  <c r="I346" i="15"/>
  <c r="J346" i="15"/>
  <c r="AA346" i="15"/>
  <c r="O346" i="15"/>
  <c r="E346" i="15"/>
  <c r="V346" i="15"/>
  <c r="AB346" i="15"/>
  <c r="Q346" i="15"/>
  <c r="L346" i="15"/>
  <c r="R346" i="15"/>
  <c r="AG127" i="15"/>
  <c r="AC127" i="15"/>
  <c r="AH127" i="15"/>
  <c r="M127" i="15"/>
  <c r="Y127" i="15"/>
  <c r="P127" i="15"/>
  <c r="D127" i="15"/>
  <c r="Q127" i="15"/>
  <c r="AB127" i="15"/>
  <c r="AD127" i="15"/>
  <c r="AA127" i="15"/>
  <c r="H116" i="20"/>
  <c r="E127" i="15"/>
  <c r="C127" i="15"/>
  <c r="AI127" i="15"/>
  <c r="I127" i="15"/>
  <c r="S127" i="15"/>
  <c r="N127" i="15"/>
  <c r="T127" i="15"/>
  <c r="F127" i="15"/>
  <c r="K127" i="15"/>
  <c r="Z127" i="15"/>
  <c r="J127" i="15"/>
  <c r="H127" i="15"/>
  <c r="L127" i="15"/>
  <c r="G127" i="15"/>
  <c r="R127" i="15"/>
  <c r="V127" i="15"/>
  <c r="AF127" i="15"/>
  <c r="AE127" i="15"/>
  <c r="U127" i="15"/>
  <c r="W127" i="15"/>
  <c r="O127" i="15"/>
  <c r="X127" i="15"/>
  <c r="J118" i="15"/>
  <c r="G118" i="15"/>
  <c r="AD118" i="15"/>
  <c r="X118" i="15"/>
  <c r="I118" i="15"/>
  <c r="V118" i="15"/>
  <c r="AH118" i="15"/>
  <c r="H107" i="20"/>
  <c r="AE118" i="15"/>
  <c r="U118" i="15"/>
  <c r="Y118" i="15"/>
  <c r="AI118" i="15"/>
  <c r="R118" i="15"/>
  <c r="AB118" i="15"/>
  <c r="W118" i="15"/>
  <c r="S118" i="15"/>
  <c r="Z118" i="15"/>
  <c r="L118" i="15"/>
  <c r="H118" i="15"/>
  <c r="N118" i="15"/>
  <c r="E118" i="15"/>
  <c r="AA118" i="15"/>
  <c r="D118" i="15"/>
  <c r="T118" i="15"/>
  <c r="Q118" i="15"/>
  <c r="P118" i="15"/>
  <c r="F118" i="15"/>
  <c r="C118" i="15"/>
  <c r="AG118" i="15"/>
  <c r="K118" i="15"/>
  <c r="AF118" i="15"/>
  <c r="M118" i="15"/>
  <c r="AC118" i="15"/>
  <c r="O118" i="15"/>
  <c r="J372" i="20"/>
  <c r="I372" i="20"/>
  <c r="K372" i="20"/>
  <c r="M212" i="15"/>
  <c r="U212" i="15"/>
  <c r="AH212" i="15"/>
  <c r="R212" i="15"/>
  <c r="Z212" i="15"/>
  <c r="AA212" i="15"/>
  <c r="H201" i="20"/>
  <c r="AD212" i="15"/>
  <c r="AG212" i="15"/>
  <c r="G212" i="15"/>
  <c r="J212" i="15"/>
  <c r="AF212" i="15"/>
  <c r="C212" i="15"/>
  <c r="I212" i="15"/>
  <c r="L212" i="15"/>
  <c r="AB212" i="15"/>
  <c r="X212" i="15"/>
  <c r="AI212" i="15"/>
  <c r="D212" i="15"/>
  <c r="O212" i="15"/>
  <c r="Y212" i="15"/>
  <c r="P212" i="15"/>
  <c r="E212" i="15"/>
  <c r="W212" i="15"/>
  <c r="Q212" i="15"/>
  <c r="T212" i="15"/>
  <c r="V212" i="15"/>
  <c r="AC212" i="15"/>
  <c r="S212" i="15"/>
  <c r="F212" i="15"/>
  <c r="H212" i="15"/>
  <c r="AE212" i="15"/>
  <c r="K212" i="15"/>
  <c r="N212" i="15"/>
  <c r="V84" i="15"/>
  <c r="Y84" i="15"/>
  <c r="U84" i="15"/>
  <c r="W84" i="15"/>
  <c r="Z84" i="15"/>
  <c r="T84" i="15"/>
  <c r="K84" i="15"/>
  <c r="H84" i="15"/>
  <c r="J84" i="15"/>
  <c r="AC84" i="15"/>
  <c r="N84" i="15"/>
  <c r="AA84" i="15"/>
  <c r="F84" i="15"/>
  <c r="AG84" i="15"/>
  <c r="AE84" i="15"/>
  <c r="P84" i="15"/>
  <c r="H73" i="20"/>
  <c r="I84" i="15"/>
  <c r="Q84" i="15"/>
  <c r="AH84" i="15"/>
  <c r="AD84" i="15"/>
  <c r="D84" i="15"/>
  <c r="E84" i="15"/>
  <c r="AB84" i="15"/>
  <c r="M84" i="15"/>
  <c r="G84" i="15"/>
  <c r="L84" i="15"/>
  <c r="AI84" i="15"/>
  <c r="S84" i="15"/>
  <c r="X84" i="15"/>
  <c r="O84" i="15"/>
  <c r="C84" i="15"/>
  <c r="AF84" i="15"/>
  <c r="R84" i="15"/>
  <c r="J96" i="20"/>
  <c r="K96" i="20"/>
  <c r="I96" i="20"/>
  <c r="I168" i="20"/>
  <c r="J168" i="20"/>
  <c r="K168" i="20"/>
  <c r="I153" i="20"/>
  <c r="J153" i="20"/>
  <c r="K153" i="20"/>
  <c r="S58" i="15"/>
  <c r="X58" i="15"/>
  <c r="AC58" i="15"/>
  <c r="M58" i="15"/>
  <c r="N58" i="15"/>
  <c r="E58" i="15"/>
  <c r="L58" i="15"/>
  <c r="O58" i="15"/>
  <c r="AF58" i="15"/>
  <c r="AE58" i="15"/>
  <c r="AB58" i="15"/>
  <c r="V58" i="15"/>
  <c r="K58" i="15"/>
  <c r="G58" i="15"/>
  <c r="AG58" i="15"/>
  <c r="Q58" i="15"/>
  <c r="H47" i="20"/>
  <c r="I58" i="15"/>
  <c r="D58" i="15"/>
  <c r="T58" i="15"/>
  <c r="J58" i="15"/>
  <c r="C58" i="15"/>
  <c r="R58" i="15"/>
  <c r="AD58" i="15"/>
  <c r="AH58" i="15"/>
  <c r="Z58" i="15"/>
  <c r="H58" i="15"/>
  <c r="Y58" i="15"/>
  <c r="AI58" i="15"/>
  <c r="U58" i="15"/>
  <c r="W58" i="15"/>
  <c r="AA58" i="15"/>
  <c r="F58" i="15"/>
  <c r="P58" i="15"/>
  <c r="J302" i="20"/>
  <c r="K302" i="20"/>
  <c r="I302" i="20"/>
  <c r="J379" i="15"/>
  <c r="AE379" i="15"/>
  <c r="G379" i="15"/>
  <c r="C379" i="15"/>
  <c r="Y379" i="15"/>
  <c r="AI379" i="15"/>
  <c r="AF379" i="15"/>
  <c r="X379" i="15"/>
  <c r="AH379" i="15"/>
  <c r="U379" i="15"/>
  <c r="AC379" i="15"/>
  <c r="AB379" i="15"/>
  <c r="Z379" i="15"/>
  <c r="AD379" i="15"/>
  <c r="O379" i="15"/>
  <c r="V379" i="15"/>
  <c r="L379" i="15"/>
  <c r="N379" i="15"/>
  <c r="AA379" i="15"/>
  <c r="E379" i="15"/>
  <c r="T379" i="15"/>
  <c r="S379" i="15"/>
  <c r="K379" i="15"/>
  <c r="P379" i="15"/>
  <c r="M379" i="15"/>
  <c r="R379" i="15"/>
  <c r="AG379" i="15"/>
  <c r="W379" i="15"/>
  <c r="H368" i="20"/>
  <c r="F379" i="15"/>
  <c r="D379" i="15"/>
  <c r="H379" i="15"/>
  <c r="I379" i="15"/>
  <c r="Q379" i="15"/>
  <c r="K232" i="20"/>
  <c r="J232" i="20"/>
  <c r="I232" i="20"/>
  <c r="J27" i="20"/>
  <c r="K27" i="20"/>
  <c r="I27" i="20"/>
  <c r="I186" i="20"/>
  <c r="J186" i="20"/>
  <c r="K186" i="20"/>
  <c r="U16" i="15"/>
  <c r="AB16" i="15"/>
  <c r="V16" i="15"/>
  <c r="S16" i="15"/>
  <c r="I16" i="15"/>
  <c r="K16" i="15"/>
  <c r="X16" i="15"/>
  <c r="D16" i="15"/>
  <c r="C16" i="15"/>
  <c r="Y16" i="15"/>
  <c r="E16" i="15"/>
  <c r="R16" i="15"/>
  <c r="Q16" i="15"/>
  <c r="H16" i="15"/>
  <c r="T16" i="15"/>
  <c r="AC16" i="15"/>
  <c r="H5" i="20"/>
  <c r="P16" i="15"/>
  <c r="O16" i="15"/>
  <c r="AG16" i="15"/>
  <c r="J16" i="15"/>
  <c r="AF16" i="15"/>
  <c r="Z16" i="15"/>
  <c r="L16" i="15"/>
  <c r="AE16" i="15"/>
  <c r="AA16" i="15"/>
  <c r="AI16" i="15"/>
  <c r="F16" i="15"/>
  <c r="M16" i="15"/>
  <c r="W16" i="15"/>
  <c r="AD16" i="15"/>
  <c r="N16" i="15"/>
  <c r="G16" i="15"/>
  <c r="AH16" i="15"/>
  <c r="I65" i="20"/>
  <c r="J65" i="20"/>
  <c r="K65" i="20"/>
  <c r="J343" i="20"/>
  <c r="I343" i="20"/>
  <c r="K343" i="20"/>
  <c r="AB83" i="15"/>
  <c r="P83" i="15"/>
  <c r="N83" i="15"/>
  <c r="AI83" i="15"/>
  <c r="X83" i="15"/>
  <c r="M83" i="15"/>
  <c r="AA83" i="15"/>
  <c r="F83" i="15"/>
  <c r="AG83" i="15"/>
  <c r="AC83" i="15"/>
  <c r="R83" i="15"/>
  <c r="O83" i="15"/>
  <c r="E83" i="15"/>
  <c r="K83" i="15"/>
  <c r="V83" i="15"/>
  <c r="W83" i="15"/>
  <c r="D83" i="15"/>
  <c r="J83" i="15"/>
  <c r="S83" i="15"/>
  <c r="AD83" i="15"/>
  <c r="Z83" i="15"/>
  <c r="C83" i="15"/>
  <c r="U83" i="15"/>
  <c r="H83" i="15"/>
  <c r="AF83" i="15"/>
  <c r="I83" i="15"/>
  <c r="Q83" i="15"/>
  <c r="L83" i="15"/>
  <c r="T83" i="15"/>
  <c r="H72" i="20"/>
  <c r="AH83" i="15"/>
  <c r="G83" i="15"/>
  <c r="Y83" i="15"/>
  <c r="AE83" i="15"/>
  <c r="L120" i="15"/>
  <c r="AH120" i="15"/>
  <c r="AA120" i="15"/>
  <c r="E120" i="15"/>
  <c r="P120" i="15"/>
  <c r="X120" i="15"/>
  <c r="AG120" i="15"/>
  <c r="AE120" i="15"/>
  <c r="U120" i="15"/>
  <c r="R120" i="15"/>
  <c r="D120" i="15"/>
  <c r="W120" i="15"/>
  <c r="G120" i="15"/>
  <c r="S120" i="15"/>
  <c r="Q120" i="15"/>
  <c r="AC120" i="15"/>
  <c r="Z120" i="15"/>
  <c r="AB120" i="15"/>
  <c r="I120" i="15"/>
  <c r="O120" i="15"/>
  <c r="T120" i="15"/>
  <c r="AI120" i="15"/>
  <c r="C120" i="15"/>
  <c r="AD120" i="15"/>
  <c r="H109" i="20"/>
  <c r="F120" i="15"/>
  <c r="N120" i="15"/>
  <c r="V120" i="15"/>
  <c r="J120" i="15"/>
  <c r="H120" i="15"/>
  <c r="M120" i="15"/>
  <c r="K120" i="15"/>
  <c r="AF120" i="15"/>
  <c r="Y120" i="15"/>
  <c r="AG43" i="15"/>
  <c r="N43" i="15"/>
  <c r="J43" i="15"/>
  <c r="X43" i="15"/>
  <c r="C43" i="15"/>
  <c r="AC43" i="15"/>
  <c r="AA43" i="15"/>
  <c r="Q43" i="15"/>
  <c r="Z43" i="15"/>
  <c r="F43" i="15"/>
  <c r="I43" i="15"/>
  <c r="AH43" i="15"/>
  <c r="AE43" i="15"/>
  <c r="E43" i="15"/>
  <c r="G43" i="15"/>
  <c r="AF43" i="15"/>
  <c r="H32" i="20"/>
  <c r="L43" i="15"/>
  <c r="T43" i="15"/>
  <c r="AD43" i="15"/>
  <c r="AI43" i="15"/>
  <c r="W43" i="15"/>
  <c r="P43" i="15"/>
  <c r="R43" i="15"/>
  <c r="U43" i="15"/>
  <c r="AB43" i="15"/>
  <c r="Y43" i="15"/>
  <c r="V43" i="15"/>
  <c r="M43" i="15"/>
  <c r="H43" i="15"/>
  <c r="S43" i="15"/>
  <c r="D43" i="15"/>
  <c r="K43" i="15"/>
  <c r="O43" i="15"/>
  <c r="J341" i="20"/>
  <c r="K341" i="20"/>
  <c r="I341" i="20"/>
  <c r="K53" i="20"/>
  <c r="J53" i="20"/>
  <c r="I53" i="20"/>
  <c r="W92" i="15"/>
  <c r="H81" i="20"/>
  <c r="AE92" i="15"/>
  <c r="AB92" i="15"/>
  <c r="C92" i="15"/>
  <c r="AG92" i="15"/>
  <c r="T92" i="15"/>
  <c r="AD92" i="15"/>
  <c r="U92" i="15"/>
  <c r="X92" i="15"/>
  <c r="AF92" i="15"/>
  <c r="G92" i="15"/>
  <c r="D92" i="15"/>
  <c r="O92" i="15"/>
  <c r="J92" i="15"/>
  <c r="N92" i="15"/>
  <c r="Z92" i="15"/>
  <c r="I92" i="15"/>
  <c r="K92" i="15"/>
  <c r="R92" i="15"/>
  <c r="L92" i="15"/>
  <c r="AH92" i="15"/>
  <c r="S92" i="15"/>
  <c r="Y92" i="15"/>
  <c r="E92" i="15"/>
  <c r="F92" i="15"/>
  <c r="AC92" i="15"/>
  <c r="P92" i="15"/>
  <c r="AA92" i="15"/>
  <c r="V92" i="15"/>
  <c r="AI92" i="15"/>
  <c r="M92" i="15"/>
  <c r="Q92" i="15"/>
  <c r="H92" i="15"/>
  <c r="I310" i="20"/>
  <c r="K310" i="20"/>
  <c r="J310" i="20"/>
  <c r="J28" i="20"/>
  <c r="I28" i="20"/>
  <c r="K28" i="20"/>
  <c r="R29" i="15"/>
  <c r="Z29" i="15"/>
  <c r="AI29" i="15"/>
  <c r="K29" i="15"/>
  <c r="Q29" i="15"/>
  <c r="AD29" i="15"/>
  <c r="D29" i="15"/>
  <c r="C29" i="15"/>
  <c r="I29" i="15"/>
  <c r="S29" i="15"/>
  <c r="H18" i="20"/>
  <c r="P29" i="15"/>
  <c r="AA29" i="15"/>
  <c r="AC29" i="15"/>
  <c r="AB29" i="15"/>
  <c r="W29" i="15"/>
  <c r="E29" i="15"/>
  <c r="AE29" i="15"/>
  <c r="L29" i="15"/>
  <c r="M29" i="15"/>
  <c r="V29" i="15"/>
  <c r="Y29" i="15"/>
  <c r="AH29" i="15"/>
  <c r="X29" i="15"/>
  <c r="T29" i="15"/>
  <c r="H29" i="15"/>
  <c r="G29" i="15"/>
  <c r="AF29" i="15"/>
  <c r="O29" i="15"/>
  <c r="U29" i="15"/>
  <c r="J29" i="15"/>
  <c r="N29" i="15"/>
  <c r="AG29" i="15"/>
  <c r="F29" i="15"/>
  <c r="K241" i="20"/>
  <c r="J241" i="20"/>
  <c r="I241" i="20"/>
  <c r="AI281" i="15"/>
  <c r="M281" i="15"/>
  <c r="Y281" i="15"/>
  <c r="Q281" i="15"/>
  <c r="AF281" i="15"/>
  <c r="Z281" i="15"/>
  <c r="AC281" i="15"/>
  <c r="K281" i="15"/>
  <c r="I281" i="15"/>
  <c r="V281" i="15"/>
  <c r="F281" i="15"/>
  <c r="H281" i="15"/>
  <c r="J281" i="15"/>
  <c r="O281" i="15"/>
  <c r="L281" i="15"/>
  <c r="AH281" i="15"/>
  <c r="AG281" i="15"/>
  <c r="AD281" i="15"/>
  <c r="E281" i="15"/>
  <c r="H270" i="20"/>
  <c r="P281" i="15"/>
  <c r="U281" i="15"/>
  <c r="AA281" i="15"/>
  <c r="AE281" i="15"/>
  <c r="W281" i="15"/>
  <c r="X281" i="15"/>
  <c r="N281" i="15"/>
  <c r="S281" i="15"/>
  <c r="AB281" i="15"/>
  <c r="R281" i="15"/>
  <c r="C281" i="15"/>
  <c r="G281" i="15"/>
  <c r="T281" i="15"/>
  <c r="D281" i="15"/>
  <c r="I229" i="20"/>
  <c r="K229" i="20"/>
  <c r="J229" i="20"/>
  <c r="S293" i="15"/>
  <c r="C293" i="15"/>
  <c r="AI293" i="15"/>
  <c r="F293" i="15"/>
  <c r="AF293" i="15"/>
  <c r="Z293" i="15"/>
  <c r="H282" i="20"/>
  <c r="L293" i="15"/>
  <c r="J293" i="15"/>
  <c r="O293" i="15"/>
  <c r="AH293" i="15"/>
  <c r="E293" i="15"/>
  <c r="AB293" i="15"/>
  <c r="H293" i="15"/>
  <c r="U293" i="15"/>
  <c r="K293" i="15"/>
  <c r="P293" i="15"/>
  <c r="AC293" i="15"/>
  <c r="M293" i="15"/>
  <c r="D293" i="15"/>
  <c r="AG293" i="15"/>
  <c r="AD293" i="15"/>
  <c r="V293" i="15"/>
  <c r="W293" i="15"/>
  <c r="Y293" i="15"/>
  <c r="AE293" i="15"/>
  <c r="N293" i="15"/>
  <c r="I293" i="15"/>
  <c r="Q293" i="15"/>
  <c r="AA293" i="15"/>
  <c r="G293" i="15"/>
  <c r="T293" i="15"/>
  <c r="R293" i="15"/>
  <c r="X293" i="15"/>
  <c r="C131" i="15"/>
  <c r="M131" i="15"/>
  <c r="K131" i="15"/>
  <c r="Z131" i="15"/>
  <c r="W131" i="15"/>
  <c r="L131" i="15"/>
  <c r="Q131" i="15"/>
  <c r="I131" i="15"/>
  <c r="O131" i="15"/>
  <c r="AI131" i="15"/>
  <c r="AA131" i="15"/>
  <c r="X131" i="15"/>
  <c r="E131" i="15"/>
  <c r="AB131" i="15"/>
  <c r="D131" i="15"/>
  <c r="AF131" i="15"/>
  <c r="V131" i="15"/>
  <c r="AG131" i="15"/>
  <c r="H131" i="15"/>
  <c r="H120" i="20"/>
  <c r="G131" i="15"/>
  <c r="F131" i="15"/>
  <c r="T131" i="15"/>
  <c r="N131" i="15"/>
  <c r="AE131" i="15"/>
  <c r="AH131" i="15"/>
  <c r="S131" i="15"/>
  <c r="J131" i="15"/>
  <c r="P131" i="15"/>
  <c r="R131" i="15"/>
  <c r="U131" i="15"/>
  <c r="Y131" i="15"/>
  <c r="AC131" i="15"/>
  <c r="AD131" i="15"/>
  <c r="J354" i="20"/>
  <c r="I354" i="20"/>
  <c r="K354" i="20"/>
  <c r="G74" i="15"/>
  <c r="S74" i="15"/>
  <c r="AC74" i="15"/>
  <c r="Q74" i="15"/>
  <c r="F74" i="15"/>
  <c r="Z74" i="15"/>
  <c r="H63" i="20"/>
  <c r="T74" i="15"/>
  <c r="AG74" i="15"/>
  <c r="I74" i="15"/>
  <c r="AD74" i="15"/>
  <c r="X74" i="15"/>
  <c r="J74" i="15"/>
  <c r="W74" i="15"/>
  <c r="Y74" i="15"/>
  <c r="C74" i="15"/>
  <c r="AE74" i="15"/>
  <c r="AI74" i="15"/>
  <c r="L74" i="15"/>
  <c r="P74" i="15"/>
  <c r="O74" i="15"/>
  <c r="D74" i="15"/>
  <c r="H74" i="15"/>
  <c r="AB74" i="15"/>
  <c r="AA74" i="15"/>
  <c r="M74" i="15"/>
  <c r="V74" i="15"/>
  <c r="U74" i="15"/>
  <c r="N74" i="15"/>
  <c r="R74" i="15"/>
  <c r="E74" i="15"/>
  <c r="K74" i="15"/>
  <c r="AF74" i="15"/>
  <c r="AH74" i="15"/>
  <c r="I249" i="20"/>
  <c r="J249" i="20"/>
  <c r="K249" i="20"/>
  <c r="J194" i="20"/>
  <c r="K194" i="20"/>
  <c r="I194" i="20"/>
  <c r="P94" i="15"/>
  <c r="F94" i="15"/>
  <c r="L94" i="15"/>
  <c r="I94" i="15"/>
  <c r="AG94" i="15"/>
  <c r="AF94" i="15"/>
  <c r="AC94" i="15"/>
  <c r="S94" i="15"/>
  <c r="D94" i="15"/>
  <c r="M94" i="15"/>
  <c r="Q94" i="15"/>
  <c r="W94" i="15"/>
  <c r="V94" i="15"/>
  <c r="AH94" i="15"/>
  <c r="R94" i="15"/>
  <c r="C94" i="15"/>
  <c r="E94" i="15"/>
  <c r="AE94" i="15"/>
  <c r="AB94" i="15"/>
  <c r="Y94" i="15"/>
  <c r="N94" i="15"/>
  <c r="Z94" i="15"/>
  <c r="AD94" i="15"/>
  <c r="J94" i="15"/>
  <c r="U94" i="15"/>
  <c r="AA94" i="15"/>
  <c r="X94" i="15"/>
  <c r="K94" i="15"/>
  <c r="O94" i="15"/>
  <c r="G94" i="15"/>
  <c r="H94" i="15"/>
  <c r="AI94" i="15"/>
  <c r="H83" i="20"/>
  <c r="T94" i="15"/>
  <c r="L159" i="15"/>
  <c r="X159" i="15"/>
  <c r="H159" i="15"/>
  <c r="AG159" i="15"/>
  <c r="AA159" i="15"/>
  <c r="P159" i="15"/>
  <c r="W159" i="15"/>
  <c r="I159" i="15"/>
  <c r="Q159" i="15"/>
  <c r="D159" i="15"/>
  <c r="T159" i="15"/>
  <c r="O159" i="15"/>
  <c r="G159" i="15"/>
  <c r="AF159" i="15"/>
  <c r="J159" i="15"/>
  <c r="N159" i="15"/>
  <c r="V159" i="15"/>
  <c r="E159" i="15"/>
  <c r="AD159" i="15"/>
  <c r="AI159" i="15"/>
  <c r="K159" i="15"/>
  <c r="H148" i="20"/>
  <c r="C159" i="15"/>
  <c r="R159" i="15"/>
  <c r="M159" i="15"/>
  <c r="Z159" i="15"/>
  <c r="AB159" i="15"/>
  <c r="AE159" i="15"/>
  <c r="S159" i="15"/>
  <c r="AC159" i="15"/>
  <c r="AH159" i="15"/>
  <c r="F159" i="15"/>
  <c r="U159" i="15"/>
  <c r="Y159" i="15"/>
  <c r="I29" i="20"/>
  <c r="J29" i="20"/>
  <c r="K29" i="20"/>
  <c r="K222" i="20"/>
  <c r="I222" i="20"/>
  <c r="J222" i="20"/>
  <c r="GN125" i="10"/>
  <c r="GO125" i="10"/>
  <c r="GM125" i="10"/>
  <c r="GO338" i="10"/>
  <c r="GN338" i="10"/>
  <c r="GM338" i="10"/>
  <c r="GO40" i="10"/>
  <c r="GN40" i="10"/>
  <c r="GM40" i="10"/>
  <c r="GM119" i="10"/>
  <c r="GN119" i="10"/>
  <c r="GO119" i="10"/>
  <c r="GO344" i="10"/>
  <c r="GN344" i="10"/>
  <c r="GM344" i="10"/>
  <c r="GO113" i="10"/>
  <c r="GM113" i="10"/>
  <c r="GN113" i="10"/>
  <c r="GN140" i="10"/>
  <c r="GO140" i="10"/>
  <c r="GM140" i="10"/>
  <c r="GM280" i="10"/>
  <c r="GO280" i="10"/>
  <c r="GN280" i="10"/>
  <c r="GO159" i="10"/>
  <c r="GN159" i="10"/>
  <c r="GM159" i="10"/>
  <c r="GO176" i="10"/>
  <c r="GN176" i="10"/>
  <c r="GM176" i="10"/>
  <c r="GO45" i="10"/>
  <c r="GN45" i="10"/>
  <c r="GM45" i="10"/>
  <c r="GO58" i="10"/>
  <c r="GM58" i="10"/>
  <c r="GN58" i="10"/>
  <c r="GN314" i="10"/>
  <c r="GM314" i="10"/>
  <c r="GO314" i="10"/>
  <c r="GO303" i="10"/>
  <c r="GN303" i="10"/>
  <c r="GM303" i="10"/>
  <c r="GO249" i="10"/>
  <c r="GN249" i="10"/>
  <c r="GM249" i="10"/>
  <c r="GN236" i="10"/>
  <c r="GM236" i="10"/>
  <c r="GO236" i="10"/>
  <c r="GO162" i="10"/>
  <c r="GN162" i="10"/>
  <c r="GM162" i="10"/>
  <c r="GN51" i="10"/>
  <c r="GO51" i="10"/>
  <c r="GM51" i="10"/>
  <c r="GO372" i="10"/>
  <c r="GN372" i="10"/>
  <c r="GM372" i="10"/>
  <c r="GN326" i="10"/>
  <c r="GM326" i="10"/>
  <c r="GO326" i="10"/>
  <c r="GN91" i="10"/>
  <c r="GM91" i="10"/>
  <c r="GO91" i="10"/>
  <c r="GO349" i="10"/>
  <c r="GM349" i="10"/>
  <c r="GN349" i="10"/>
  <c r="GO202" i="10"/>
  <c r="GN202" i="10"/>
  <c r="GM202" i="10"/>
  <c r="GN98" i="10"/>
  <c r="GM98" i="10"/>
  <c r="GO98" i="10"/>
  <c r="GO391" i="10"/>
  <c r="GN391" i="10"/>
  <c r="GM391" i="10"/>
  <c r="GN250" i="10"/>
  <c r="GM250" i="10"/>
  <c r="GO250" i="10"/>
  <c r="GO295" i="10"/>
  <c r="GM295" i="10"/>
  <c r="GN295" i="10"/>
  <c r="GO291" i="10"/>
  <c r="GN291" i="10"/>
  <c r="GM291" i="10"/>
  <c r="GN23" i="10"/>
  <c r="GO23" i="10"/>
  <c r="GM23" i="10"/>
  <c r="GN74" i="10"/>
  <c r="GO74" i="10"/>
  <c r="GM74" i="10"/>
  <c r="GO194" i="10"/>
  <c r="GM194" i="10"/>
  <c r="GN194" i="10"/>
  <c r="GN97" i="10"/>
  <c r="GM97" i="10"/>
  <c r="GO97" i="10"/>
  <c r="GN358" i="10"/>
  <c r="GM358" i="10"/>
  <c r="GO358" i="10"/>
  <c r="GO211" i="10"/>
  <c r="GM211" i="10"/>
  <c r="GN211" i="10"/>
  <c r="GM170" i="10"/>
  <c r="GO170" i="10"/>
  <c r="GN170" i="10"/>
  <c r="GO244" i="10"/>
  <c r="GM244" i="10"/>
  <c r="GN244" i="10"/>
  <c r="GO256" i="10"/>
  <c r="GM256" i="10"/>
  <c r="GN256" i="10"/>
  <c r="GN56" i="10"/>
  <c r="GO56" i="10"/>
  <c r="GM56" i="10"/>
  <c r="GO134" i="10"/>
  <c r="GN134" i="10"/>
  <c r="GM134" i="10"/>
  <c r="GN362" i="10"/>
  <c r="GO362" i="10"/>
  <c r="GM362" i="10"/>
  <c r="GM368" i="10"/>
  <c r="GN368" i="10"/>
  <c r="GO368" i="10"/>
  <c r="GM25" i="10"/>
  <c r="GN25" i="10"/>
  <c r="GO25" i="10"/>
  <c r="GN24" i="10"/>
  <c r="GO24" i="10"/>
  <c r="GM24" i="10"/>
  <c r="GO108" i="10"/>
  <c r="GN108" i="10"/>
  <c r="GM108" i="10"/>
  <c r="GN26" i="10"/>
  <c r="GM26" i="10"/>
  <c r="GO26" i="10"/>
  <c r="GN392" i="10"/>
  <c r="GM392" i="10"/>
  <c r="GO392" i="10"/>
  <c r="GO311" i="10"/>
  <c r="GN311" i="10"/>
  <c r="GM311" i="10"/>
  <c r="GO168" i="10"/>
  <c r="GM168" i="10"/>
  <c r="GN168" i="10"/>
  <c r="GO302" i="10"/>
  <c r="GN302" i="10"/>
  <c r="GM302" i="10"/>
  <c r="GO369" i="10"/>
  <c r="GN369" i="10"/>
  <c r="GM369" i="10"/>
  <c r="GN185" i="10"/>
  <c r="GM185" i="10"/>
  <c r="GO185" i="10"/>
  <c r="GN46" i="10"/>
  <c r="GO46" i="10"/>
  <c r="GM46" i="10"/>
  <c r="GN189" i="10"/>
  <c r="GM189" i="10"/>
  <c r="GO189" i="10"/>
  <c r="GM94" i="10"/>
  <c r="GO94" i="10"/>
  <c r="GN94" i="10"/>
  <c r="GM371" i="10"/>
  <c r="GO371" i="10"/>
  <c r="GN371" i="10"/>
  <c r="GN121" i="10"/>
  <c r="GO121" i="10"/>
  <c r="GM121" i="10"/>
  <c r="GO260" i="10"/>
  <c r="GN260" i="10"/>
  <c r="GM260" i="10"/>
  <c r="GN172" i="10"/>
  <c r="GM172" i="10"/>
  <c r="GO172" i="10"/>
  <c r="GO139" i="10"/>
  <c r="GN139" i="10"/>
  <c r="GM139" i="10"/>
  <c r="GO322" i="10"/>
  <c r="GM322" i="10"/>
  <c r="GN322" i="10"/>
  <c r="GN309" i="10"/>
  <c r="GM309" i="10"/>
  <c r="GO309" i="10"/>
  <c r="GN34" i="10"/>
  <c r="GM34" i="10"/>
  <c r="GO34" i="10"/>
  <c r="GO248" i="10"/>
  <c r="GN248" i="10"/>
  <c r="GM248" i="10"/>
  <c r="GO178" i="10"/>
  <c r="GN178" i="10"/>
  <c r="GM178" i="10"/>
  <c r="GO77" i="10"/>
  <c r="GN77" i="10"/>
  <c r="GM77" i="10"/>
  <c r="GO151" i="10"/>
  <c r="GN151" i="10"/>
  <c r="GM151" i="10"/>
  <c r="GN384" i="10"/>
  <c r="GM384" i="10"/>
  <c r="GO384" i="10"/>
  <c r="GN179" i="10"/>
  <c r="GM179" i="10"/>
  <c r="GO179" i="10"/>
  <c r="GN117" i="10"/>
  <c r="GM117" i="10"/>
  <c r="GO117" i="10"/>
  <c r="GN201" i="10"/>
  <c r="GM201" i="10"/>
  <c r="GO201" i="10"/>
  <c r="GO312" i="10"/>
  <c r="GM312" i="10"/>
  <c r="GN312" i="10"/>
  <c r="GO174" i="10"/>
  <c r="GN174" i="10"/>
  <c r="GM174" i="10"/>
  <c r="GO258" i="10"/>
  <c r="GN258" i="10"/>
  <c r="GM258" i="10"/>
  <c r="GO169" i="10"/>
  <c r="GM169" i="10"/>
  <c r="GN169" i="10"/>
  <c r="GO209" i="10"/>
  <c r="GN209" i="10"/>
  <c r="GM209" i="10"/>
  <c r="GM301" i="10"/>
  <c r="GO301" i="10"/>
  <c r="GN301" i="10"/>
  <c r="GO284" i="10"/>
  <c r="GN284" i="10"/>
  <c r="GM284" i="10"/>
  <c r="GO102" i="10"/>
  <c r="GN102" i="10"/>
  <c r="GM102" i="10"/>
  <c r="GO259" i="10"/>
  <c r="GM259" i="10"/>
  <c r="GN259" i="10"/>
  <c r="GM316" i="10"/>
  <c r="GN316" i="10"/>
  <c r="GO316" i="10"/>
  <c r="GN67" i="10"/>
  <c r="GO67" i="10"/>
  <c r="GM67" i="10"/>
  <c r="GN81" i="10"/>
  <c r="GO81" i="10"/>
  <c r="GM81" i="10"/>
  <c r="GO205" i="10"/>
  <c r="GN205" i="10"/>
  <c r="GM205" i="10"/>
  <c r="GO350" i="10"/>
  <c r="GN350" i="10"/>
  <c r="GM350" i="10"/>
  <c r="GO41" i="10"/>
  <c r="GM41" i="10"/>
  <c r="GN41" i="10"/>
  <c r="GO272" i="10"/>
  <c r="GN272" i="10"/>
  <c r="GM272" i="10"/>
  <c r="GO275" i="10"/>
  <c r="GM275" i="10"/>
  <c r="GN275" i="10"/>
  <c r="GO167" i="10"/>
  <c r="GN167" i="10"/>
  <c r="GM167" i="10"/>
  <c r="GM197" i="10"/>
  <c r="GN197" i="10"/>
  <c r="GO197" i="10"/>
  <c r="GN245" i="10"/>
  <c r="GM245" i="10"/>
  <c r="GO245" i="10"/>
  <c r="GO339" i="10"/>
  <c r="GN339" i="10"/>
  <c r="GM339" i="10"/>
  <c r="GO112" i="10"/>
  <c r="GN112" i="10"/>
  <c r="GM112" i="10"/>
  <c r="GO171" i="10"/>
  <c r="GN171" i="10"/>
  <c r="GM171" i="10"/>
  <c r="GO355" i="10"/>
  <c r="GN355" i="10"/>
  <c r="GM355" i="10"/>
  <c r="GN149" i="10"/>
  <c r="GO149" i="10"/>
  <c r="GM149" i="10"/>
  <c r="GM277" i="10"/>
  <c r="GN277" i="10"/>
  <c r="GO277" i="10"/>
  <c r="GN146" i="10"/>
  <c r="GM146" i="10"/>
  <c r="GO146" i="10"/>
  <c r="GN92" i="10"/>
  <c r="GM92" i="10"/>
  <c r="GO92" i="10"/>
  <c r="GN62" i="10"/>
  <c r="GO62" i="10"/>
  <c r="GM62" i="10"/>
  <c r="GN69" i="10"/>
  <c r="GO69" i="10"/>
  <c r="GM69" i="10"/>
  <c r="GO279" i="10"/>
  <c r="GN279" i="10"/>
  <c r="GM279" i="10"/>
  <c r="GO216" i="10"/>
  <c r="GM216" i="10"/>
  <c r="GN216" i="10"/>
  <c r="GN93" i="10"/>
  <c r="GO93" i="10"/>
  <c r="GM93" i="10"/>
  <c r="GN48" i="10"/>
  <c r="GO48" i="10"/>
  <c r="GM48" i="10"/>
  <c r="GO100" i="10"/>
  <c r="GN100" i="10"/>
  <c r="GM100" i="10"/>
  <c r="GN89" i="10"/>
  <c r="GO89" i="10"/>
  <c r="GM89" i="10"/>
  <c r="GO247" i="10"/>
  <c r="GN247" i="10"/>
  <c r="GM247" i="10"/>
  <c r="GM138" i="10"/>
  <c r="GN138" i="10"/>
  <c r="GO138" i="10"/>
  <c r="GO184" i="10"/>
  <c r="GN184" i="10"/>
  <c r="GM184" i="10"/>
  <c r="GO27" i="10"/>
  <c r="GM27" i="10"/>
  <c r="GN27" i="10"/>
  <c r="GO115" i="10"/>
  <c r="GN115" i="10"/>
  <c r="GM115" i="10"/>
  <c r="GM342" i="10"/>
  <c r="GN342" i="10"/>
  <c r="GO342" i="10"/>
  <c r="GN329" i="10"/>
  <c r="GO329" i="10"/>
  <c r="GM329" i="10"/>
  <c r="GO363" i="10"/>
  <c r="GM363" i="10"/>
  <c r="GN363" i="10"/>
  <c r="GO33" i="10"/>
  <c r="GN33" i="10"/>
  <c r="GM33" i="10"/>
  <c r="GO296" i="10"/>
  <c r="GN296" i="10"/>
  <c r="GM296" i="10"/>
  <c r="GO36" i="10"/>
  <c r="GN36" i="10"/>
  <c r="GM36" i="10"/>
  <c r="GM142" i="10"/>
  <c r="GO142" i="10"/>
  <c r="GN142" i="10"/>
  <c r="GO148" i="10"/>
  <c r="GM148" i="10"/>
  <c r="GN148" i="10"/>
  <c r="GN147" i="10"/>
  <c r="GM147" i="10"/>
  <c r="GO147" i="10"/>
  <c r="GN190" i="10"/>
  <c r="GM190" i="10"/>
  <c r="GO190" i="10"/>
  <c r="GN111" i="10"/>
  <c r="GM111" i="10"/>
  <c r="GO111" i="10"/>
  <c r="GM361" i="10"/>
  <c r="GO361" i="10"/>
  <c r="GN361" i="10"/>
  <c r="GO340" i="10"/>
  <c r="GN340" i="10"/>
  <c r="GM340" i="10"/>
  <c r="GO327" i="10"/>
  <c r="GM327" i="10"/>
  <c r="GN327" i="10"/>
  <c r="GM283" i="10"/>
  <c r="GO283" i="10"/>
  <c r="GN283" i="10"/>
  <c r="GO85" i="10"/>
  <c r="GN85" i="10"/>
  <c r="GM85" i="10"/>
  <c r="GM246" i="10"/>
  <c r="GN246" i="10"/>
  <c r="GO246" i="10"/>
  <c r="GN269" i="10"/>
  <c r="GM269" i="10"/>
  <c r="GO269" i="10"/>
  <c r="GO357" i="10"/>
  <c r="GN357" i="10"/>
  <c r="GM357" i="10"/>
  <c r="GO351" i="10"/>
  <c r="GM351" i="10"/>
  <c r="GN351" i="10"/>
  <c r="GN198" i="10"/>
  <c r="GO198" i="10"/>
  <c r="GM198" i="10"/>
  <c r="GO141" i="10"/>
  <c r="GN141" i="10"/>
  <c r="GM141" i="10"/>
  <c r="GM83" i="10"/>
  <c r="GN83" i="10"/>
  <c r="GO83" i="10"/>
  <c r="GN129" i="10"/>
  <c r="GM129" i="10"/>
  <c r="GO129" i="10"/>
  <c r="GO383" i="10"/>
  <c r="GM383" i="10"/>
  <c r="GN383" i="10"/>
  <c r="GO204" i="10"/>
  <c r="GM204" i="10"/>
  <c r="GN204" i="10"/>
  <c r="GN95" i="10"/>
  <c r="GM95" i="10"/>
  <c r="GO95" i="10"/>
  <c r="GM218" i="10"/>
  <c r="GO218" i="10"/>
  <c r="GN218" i="10"/>
  <c r="GN287" i="10"/>
  <c r="GM287" i="10"/>
  <c r="GO287" i="10"/>
  <c r="GO199" i="10"/>
  <c r="GN199" i="10"/>
  <c r="GM199" i="10"/>
  <c r="GN273" i="10"/>
  <c r="GM273" i="10"/>
  <c r="GO273" i="10"/>
  <c r="GO182" i="10"/>
  <c r="GM182" i="10"/>
  <c r="GN182" i="10"/>
  <c r="GN114" i="10"/>
  <c r="GM114" i="10"/>
  <c r="GO114" i="10"/>
  <c r="GM263" i="10"/>
  <c r="GO263" i="10"/>
  <c r="GN263" i="10"/>
  <c r="GM63" i="10"/>
  <c r="GO63" i="10"/>
  <c r="GN63" i="10"/>
  <c r="GM133" i="10"/>
  <c r="GN133" i="10"/>
  <c r="GO133" i="10"/>
  <c r="GN99" i="10"/>
  <c r="GM99" i="10"/>
  <c r="GO99" i="10"/>
  <c r="GN241" i="10"/>
  <c r="GO241" i="10"/>
  <c r="GM241" i="10"/>
  <c r="GO160" i="10"/>
  <c r="GM160" i="10"/>
  <c r="GN160" i="10"/>
  <c r="GO161" i="10"/>
  <c r="GN161" i="10"/>
  <c r="GM161" i="10"/>
  <c r="GO29" i="10"/>
  <c r="GN29" i="10"/>
  <c r="GM29" i="10"/>
  <c r="GN38" i="10"/>
  <c r="GM38" i="10"/>
  <c r="GO38" i="10"/>
  <c r="GN128" i="10"/>
  <c r="GO128" i="10"/>
  <c r="GM128" i="10"/>
  <c r="GO298" i="10"/>
  <c r="GN298" i="10"/>
  <c r="GM298" i="10"/>
  <c r="GO345" i="10"/>
  <c r="GN345" i="10"/>
  <c r="GM345" i="10"/>
  <c r="GO220" i="10"/>
  <c r="GN220" i="10"/>
  <c r="GM220" i="10"/>
  <c r="GO150" i="10"/>
  <c r="GN150" i="10"/>
  <c r="GM150" i="10"/>
  <c r="GN86" i="10"/>
  <c r="GM86" i="10"/>
  <c r="GO86" i="10"/>
  <c r="GN307" i="10"/>
  <c r="GM307" i="10"/>
  <c r="GO307" i="10"/>
  <c r="GO310" i="10"/>
  <c r="GN310" i="10"/>
  <c r="GM310" i="10"/>
  <c r="GN43" i="10"/>
  <c r="GO43" i="10"/>
  <c r="GM43" i="10"/>
  <c r="GN82" i="10"/>
  <c r="GO82" i="10"/>
  <c r="GM82" i="10"/>
  <c r="GN240" i="10"/>
  <c r="GM240" i="10"/>
  <c r="GO240" i="10"/>
  <c r="GN72" i="10"/>
  <c r="GO72" i="10"/>
  <c r="GM72" i="10"/>
  <c r="GM221" i="10"/>
  <c r="GO221" i="10"/>
  <c r="GN221" i="10"/>
  <c r="GM281" i="10"/>
  <c r="GO281" i="10"/>
  <c r="GN281" i="10"/>
  <c r="GN163" i="10"/>
  <c r="GM163" i="10"/>
  <c r="GO163" i="10"/>
  <c r="GM315" i="10"/>
  <c r="GN315" i="10"/>
  <c r="GO315" i="10"/>
  <c r="GN328" i="10"/>
  <c r="GM328" i="10"/>
  <c r="GO328" i="10"/>
  <c r="GO180" i="10"/>
  <c r="GN180" i="10"/>
  <c r="GM180" i="10"/>
  <c r="GO31" i="10"/>
  <c r="GN31" i="10"/>
  <c r="GM31" i="10"/>
  <c r="GN238" i="10"/>
  <c r="GM238" i="10"/>
  <c r="GO238" i="10"/>
  <c r="GN294" i="10"/>
  <c r="GM294" i="10"/>
  <c r="GO294" i="10"/>
  <c r="GN60" i="10"/>
  <c r="GO60" i="10"/>
  <c r="GM60" i="10"/>
  <c r="GN313" i="10"/>
  <c r="GM313" i="10"/>
  <c r="GO313" i="10"/>
  <c r="GN232" i="10"/>
  <c r="GM232" i="10"/>
  <c r="GO232" i="10"/>
  <c r="GO66" i="10"/>
  <c r="GN66" i="10"/>
  <c r="GM66" i="10"/>
  <c r="GM76" i="10"/>
  <c r="GO76" i="10"/>
  <c r="GN76" i="10"/>
  <c r="GN103" i="10"/>
  <c r="GO103" i="10"/>
  <c r="GM103" i="10"/>
  <c r="GO80" i="10"/>
  <c r="GN80" i="10"/>
  <c r="GM80" i="10"/>
  <c r="GO390" i="10"/>
  <c r="GN390" i="10"/>
  <c r="GM390" i="10"/>
  <c r="GO175" i="10"/>
  <c r="GN175" i="10"/>
  <c r="GM175" i="10"/>
  <c r="GN346" i="10"/>
  <c r="GM346" i="10"/>
  <c r="GO346" i="10"/>
  <c r="GN191" i="10"/>
  <c r="GO191" i="10"/>
  <c r="GM191" i="10"/>
  <c r="GM44" i="10"/>
  <c r="GO44" i="10"/>
  <c r="GN44" i="10"/>
  <c r="GM120" i="10"/>
  <c r="GO120" i="10"/>
  <c r="GN120" i="10"/>
  <c r="GO251" i="10"/>
  <c r="GN251" i="10"/>
  <c r="GM251" i="10"/>
  <c r="GM373" i="10"/>
  <c r="GN373" i="10"/>
  <c r="GO373" i="10"/>
  <c r="GO321" i="10"/>
  <c r="GN321" i="10"/>
  <c r="GM321" i="10"/>
  <c r="GN265" i="10"/>
  <c r="GO265" i="10"/>
  <c r="GM265" i="10"/>
  <c r="GO388" i="10"/>
  <c r="GN388" i="10"/>
  <c r="GM388" i="10"/>
  <c r="GO107" i="10"/>
  <c r="GN107" i="10"/>
  <c r="GM107" i="10"/>
  <c r="GO318" i="10"/>
  <c r="GN318" i="10"/>
  <c r="GM318" i="10"/>
  <c r="GO228" i="10"/>
  <c r="GM228" i="10"/>
  <c r="GN228" i="10"/>
  <c r="GO164" i="10"/>
  <c r="GM164" i="10"/>
  <c r="GN164" i="10"/>
  <c r="GO377" i="10"/>
  <c r="GN377" i="10"/>
  <c r="GM377" i="10"/>
  <c r="GO186" i="10"/>
  <c r="GN186" i="10"/>
  <c r="GM186" i="10"/>
  <c r="GO54" i="10"/>
  <c r="GM54" i="10"/>
  <c r="GN54" i="10"/>
  <c r="GO75" i="10"/>
  <c r="GN75" i="10"/>
  <c r="GM75" i="10"/>
  <c r="GN156" i="10"/>
  <c r="GO156" i="10"/>
  <c r="GM156" i="10"/>
  <c r="GO215" i="10"/>
  <c r="GN215" i="10"/>
  <c r="GM215" i="10"/>
  <c r="GO217" i="10"/>
  <c r="GM217" i="10"/>
  <c r="GN217" i="10"/>
  <c r="GO136" i="10"/>
  <c r="GN136" i="10"/>
  <c r="GM136" i="10"/>
  <c r="GO192" i="10"/>
  <c r="GM192" i="10"/>
  <c r="GN192" i="10"/>
  <c r="GN335" i="10"/>
  <c r="GM335" i="10"/>
  <c r="GO335" i="10"/>
  <c r="GM336" i="10"/>
  <c r="GN336" i="10"/>
  <c r="GO336" i="10"/>
  <c r="GN53" i="10"/>
  <c r="GO53" i="10"/>
  <c r="GM53" i="10"/>
  <c r="GM183" i="10"/>
  <c r="GN183" i="10"/>
  <c r="GO183" i="10"/>
  <c r="GO212" i="10"/>
  <c r="GN212" i="10"/>
  <c r="GM212" i="10"/>
  <c r="GO200" i="10"/>
  <c r="GM200" i="10"/>
  <c r="GN200" i="10"/>
  <c r="GN70" i="10"/>
  <c r="GM70" i="10"/>
  <c r="GO70" i="10"/>
  <c r="GN165" i="10"/>
  <c r="GM165" i="10"/>
  <c r="GO165" i="10"/>
  <c r="GO376" i="10"/>
  <c r="GM376" i="10"/>
  <c r="GN376" i="10"/>
  <c r="GN380" i="10"/>
  <c r="GM380" i="10"/>
  <c r="GO380" i="10"/>
  <c r="GN68" i="10"/>
  <c r="GM68" i="10"/>
  <c r="GO68" i="10"/>
  <c r="GO299" i="10"/>
  <c r="GN299" i="10"/>
  <c r="GM299" i="10"/>
  <c r="GN308" i="10"/>
  <c r="GM308" i="10"/>
  <c r="GO308" i="10"/>
  <c r="GO227" i="10"/>
  <c r="GN227" i="10"/>
  <c r="GM227" i="10"/>
  <c r="GO276" i="10"/>
  <c r="GN276" i="10"/>
  <c r="GM276" i="10"/>
  <c r="GN71" i="10"/>
  <c r="GM71" i="10"/>
  <c r="GO71" i="10"/>
  <c r="GO144" i="10"/>
  <c r="GN144" i="10"/>
  <c r="GM144" i="10"/>
  <c r="GO242" i="10"/>
  <c r="GN242" i="10"/>
  <c r="GM242" i="10"/>
  <c r="GN154" i="10"/>
  <c r="GM154" i="10"/>
  <c r="GO154" i="10"/>
  <c r="GO306" i="10"/>
  <c r="GN306" i="10"/>
  <c r="GM306" i="10"/>
  <c r="GO356" i="10"/>
  <c r="GM356" i="10"/>
  <c r="GN356" i="10"/>
  <c r="GN282" i="10"/>
  <c r="GM282" i="10"/>
  <c r="GO282" i="10"/>
  <c r="GM157" i="10"/>
  <c r="GO157" i="10"/>
  <c r="GN157" i="10"/>
  <c r="GO370" i="10"/>
  <c r="GN370" i="10"/>
  <c r="GM370" i="10"/>
  <c r="GN364" i="10"/>
  <c r="GM364" i="10"/>
  <c r="GO364" i="10"/>
  <c r="GN374" i="10"/>
  <c r="GM374" i="10"/>
  <c r="GO374" i="10"/>
  <c r="GO22" i="10"/>
  <c r="GM22" i="10"/>
  <c r="GN22" i="10"/>
  <c r="GN35" i="10"/>
  <c r="GM35" i="10"/>
  <c r="GO35" i="10"/>
  <c r="GM352" i="10"/>
  <c r="GO352" i="10"/>
  <c r="GN352" i="10"/>
  <c r="GO101" i="10"/>
  <c r="GM101" i="10"/>
  <c r="GN101" i="10"/>
  <c r="GN135" i="10"/>
  <c r="GM135" i="10"/>
  <c r="GO135" i="10"/>
  <c r="GO127" i="10"/>
  <c r="GN127" i="10"/>
  <c r="GM127" i="10"/>
  <c r="GO337" i="10"/>
  <c r="GN337" i="10"/>
  <c r="GM337" i="10"/>
  <c r="GO123" i="10"/>
  <c r="GN123" i="10"/>
  <c r="GM123" i="10"/>
  <c r="GO378" i="10"/>
  <c r="GN378" i="10"/>
  <c r="GM378" i="10"/>
  <c r="GN187" i="10"/>
  <c r="GM187" i="10"/>
  <c r="GO187" i="10"/>
  <c r="GN158" i="10"/>
  <c r="GO158" i="10"/>
  <c r="GM158" i="10"/>
  <c r="GO385" i="10"/>
  <c r="GN385" i="10"/>
  <c r="GM385" i="10"/>
  <c r="GN230" i="10"/>
  <c r="GM230" i="10"/>
  <c r="GO230" i="10"/>
  <c r="GO292" i="10"/>
  <c r="GN292" i="10"/>
  <c r="GM292" i="10"/>
  <c r="GM65" i="10"/>
  <c r="GO65" i="10"/>
  <c r="GN65" i="10"/>
  <c r="GN106" i="10"/>
  <c r="GM106" i="10"/>
  <c r="GO106" i="10"/>
  <c r="GO305" i="10"/>
  <c r="GN305" i="10"/>
  <c r="GM305" i="10"/>
  <c r="GO213" i="10"/>
  <c r="GN213" i="10"/>
  <c r="GM213" i="10"/>
  <c r="GN96" i="10"/>
  <c r="GO96" i="10"/>
  <c r="GM96" i="10"/>
  <c r="GN122" i="10"/>
  <c r="GO122" i="10"/>
  <c r="GM122" i="10"/>
  <c r="GO225" i="10"/>
  <c r="GN225" i="10"/>
  <c r="GM225" i="10"/>
  <c r="GO237" i="10"/>
  <c r="GM237" i="10"/>
  <c r="GN237" i="10"/>
  <c r="GO379" i="10"/>
  <c r="GN379" i="10"/>
  <c r="GM379" i="10"/>
  <c r="GN73" i="10"/>
  <c r="GO73" i="10"/>
  <c r="GM73" i="10"/>
  <c r="GO334" i="10"/>
  <c r="GN334" i="10"/>
  <c r="GM334" i="10"/>
  <c r="GO261" i="10"/>
  <c r="GM261" i="10"/>
  <c r="GN261" i="10"/>
  <c r="GO320" i="10"/>
  <c r="GN320" i="10"/>
  <c r="GM320" i="10"/>
  <c r="GN173" i="10"/>
  <c r="GM173" i="10"/>
  <c r="GO173" i="10"/>
  <c r="GN341" i="10"/>
  <c r="GO341" i="10"/>
  <c r="GM341" i="10"/>
  <c r="GN264" i="10"/>
  <c r="GO264" i="10"/>
  <c r="GM264" i="10"/>
  <c r="GO195" i="10"/>
  <c r="GM195" i="10"/>
  <c r="GN195" i="10"/>
  <c r="GN289" i="10"/>
  <c r="GO289" i="10"/>
  <c r="GM289" i="10"/>
  <c r="GN231" i="10"/>
  <c r="GM231" i="10"/>
  <c r="GO231" i="10"/>
  <c r="GO193" i="10"/>
  <c r="GM193" i="10"/>
  <c r="GN193" i="10"/>
  <c r="GO268" i="10"/>
  <c r="GM268" i="10"/>
  <c r="GN268" i="10"/>
  <c r="GO274" i="10"/>
  <c r="GN274" i="10"/>
  <c r="GM274" i="10"/>
  <c r="GO47" i="10"/>
  <c r="GN47" i="10"/>
  <c r="GM47" i="10"/>
  <c r="GO110" i="10"/>
  <c r="GN110" i="10"/>
  <c r="GM110" i="10"/>
  <c r="GO30" i="10"/>
  <c r="GM30" i="10"/>
  <c r="GN30" i="10"/>
  <c r="GN55" i="10"/>
  <c r="GO55" i="10"/>
  <c r="GM55" i="10"/>
  <c r="GO359" i="10"/>
  <c r="GN359" i="10"/>
  <c r="GM359" i="10"/>
  <c r="GO207" i="10"/>
  <c r="GM207" i="10"/>
  <c r="GN207" i="10"/>
  <c r="GM332" i="10"/>
  <c r="GO332" i="10"/>
  <c r="GN332" i="10"/>
  <c r="GO84" i="10"/>
  <c r="GM84" i="10"/>
  <c r="GN84" i="10"/>
  <c r="GN104" i="10"/>
  <c r="GM104" i="10"/>
  <c r="GO104" i="10"/>
  <c r="GM131" i="10"/>
  <c r="GO131" i="10"/>
  <c r="GN131" i="10"/>
  <c r="GO188" i="10"/>
  <c r="GM188" i="10"/>
  <c r="GN188" i="10"/>
  <c r="GO285" i="10"/>
  <c r="GN285" i="10"/>
  <c r="GM285" i="10"/>
  <c r="GM137" i="10"/>
  <c r="GN137" i="10"/>
  <c r="GO137" i="10"/>
  <c r="GO286" i="10"/>
  <c r="GN286" i="10"/>
  <c r="GM286" i="10"/>
  <c r="GN317" i="10"/>
  <c r="GM317" i="10"/>
  <c r="GO317" i="10"/>
  <c r="GO239" i="10"/>
  <c r="GN239" i="10"/>
  <c r="GM239" i="10"/>
  <c r="GO229" i="10"/>
  <c r="GN229" i="10"/>
  <c r="GM229" i="10"/>
  <c r="GN50" i="10"/>
  <c r="GO50" i="10"/>
  <c r="GM50" i="10"/>
  <c r="GO177" i="10"/>
  <c r="GM177" i="10"/>
  <c r="GN177" i="10"/>
  <c r="GO255" i="10"/>
  <c r="GM255" i="10"/>
  <c r="GN255" i="10"/>
  <c r="GN87" i="10"/>
  <c r="GM87" i="10"/>
  <c r="GO87" i="10"/>
  <c r="GN61" i="10"/>
  <c r="GO61" i="10"/>
  <c r="GM61" i="10"/>
  <c r="GN145" i="10"/>
  <c r="GO145" i="10"/>
  <c r="GM145" i="10"/>
  <c r="GO223" i="10"/>
  <c r="GM223" i="10"/>
  <c r="GN223" i="10"/>
  <c r="GO366" i="10"/>
  <c r="GM366" i="10"/>
  <c r="GN366" i="10"/>
  <c r="GO64" i="10"/>
  <c r="GM64" i="10"/>
  <c r="GN64" i="10"/>
  <c r="GN224" i="10"/>
  <c r="GM224" i="10"/>
  <c r="GO224" i="10"/>
  <c r="GO270" i="10"/>
  <c r="GM270" i="10"/>
  <c r="GN270" i="10"/>
  <c r="GM267" i="10"/>
  <c r="GN267" i="10"/>
  <c r="GO267" i="10"/>
  <c r="GN353" i="10"/>
  <c r="GM353" i="10"/>
  <c r="GO353" i="10"/>
  <c r="GO300" i="10"/>
  <c r="GN300" i="10"/>
  <c r="GM300" i="10"/>
  <c r="GN88" i="10"/>
  <c r="GM88" i="10"/>
  <c r="GO88" i="10"/>
  <c r="GN331" i="10"/>
  <c r="GM331" i="10"/>
  <c r="GO331" i="10"/>
  <c r="GN319" i="10"/>
  <c r="GM319" i="10"/>
  <c r="GO319" i="10"/>
  <c r="GN293" i="10"/>
  <c r="GM293" i="10"/>
  <c r="GO293" i="10"/>
  <c r="GO304" i="10"/>
  <c r="GN304" i="10"/>
  <c r="GM304" i="10"/>
  <c r="GO126" i="10"/>
  <c r="GN126" i="10"/>
  <c r="GM126" i="10"/>
  <c r="GO348" i="10"/>
  <c r="GN348" i="10"/>
  <c r="GM348" i="10"/>
  <c r="GN243" i="10"/>
  <c r="GM243" i="10"/>
  <c r="GO243" i="10"/>
  <c r="GO375" i="10"/>
  <c r="GN375" i="10"/>
  <c r="GM375" i="10"/>
  <c r="GN347" i="10"/>
  <c r="GM347" i="10"/>
  <c r="GO347" i="10"/>
  <c r="GN37" i="10"/>
  <c r="GM37" i="10"/>
  <c r="GO37" i="10"/>
  <c r="GN109" i="10"/>
  <c r="GM109" i="10"/>
  <c r="GO109" i="10"/>
  <c r="GO266" i="10"/>
  <c r="GM266" i="10"/>
  <c r="GN266" i="10"/>
  <c r="GM234" i="10"/>
  <c r="GN234" i="10"/>
  <c r="GO234" i="10"/>
  <c r="GO59" i="10"/>
  <c r="GN59" i="10"/>
  <c r="GM59" i="10"/>
  <c r="GN288" i="10"/>
  <c r="GM288" i="10"/>
  <c r="GO288" i="10"/>
  <c r="GN130" i="10"/>
  <c r="GO130" i="10"/>
  <c r="GM130" i="10"/>
  <c r="GO203" i="10"/>
  <c r="GM203" i="10"/>
  <c r="GN203" i="10"/>
  <c r="GO324" i="10"/>
  <c r="GN324" i="10"/>
  <c r="GM324" i="10"/>
  <c r="GO382" i="10"/>
  <c r="GN382" i="10"/>
  <c r="GM382" i="10"/>
  <c r="GO49" i="10"/>
  <c r="GM49" i="10"/>
  <c r="GN49" i="10"/>
  <c r="GN57" i="10"/>
  <c r="GM57" i="10"/>
  <c r="GO57" i="10"/>
  <c r="GM118" i="10"/>
  <c r="GO118" i="10"/>
  <c r="GN118" i="10"/>
  <c r="GN343" i="10"/>
  <c r="GM343" i="10"/>
  <c r="GO343" i="10"/>
  <c r="GM252" i="10"/>
  <c r="GO252" i="10"/>
  <c r="GN252" i="10"/>
  <c r="GO365" i="10"/>
  <c r="GM365" i="10"/>
  <c r="GN365" i="10"/>
  <c r="GM214" i="10"/>
  <c r="GO214" i="10"/>
  <c r="GN214" i="10"/>
  <c r="GN124" i="10"/>
  <c r="GM124" i="10"/>
  <c r="GO124" i="10"/>
  <c r="GO257" i="10"/>
  <c r="GM257" i="10"/>
  <c r="GN257" i="10"/>
  <c r="GN222" i="10"/>
  <c r="GM222" i="10"/>
  <c r="GO222" i="10"/>
  <c r="GO132" i="10"/>
  <c r="GN132" i="10"/>
  <c r="GM132" i="10"/>
  <c r="GO105" i="10"/>
  <c r="GN105" i="10"/>
  <c r="GM105" i="10"/>
  <c r="GN325" i="10"/>
  <c r="GO325" i="10"/>
  <c r="GM325" i="10"/>
  <c r="GN387" i="10"/>
  <c r="GM387" i="10"/>
  <c r="GO387" i="10"/>
  <c r="GN153" i="10"/>
  <c r="GM153" i="10"/>
  <c r="GO153" i="10"/>
  <c r="GO42" i="10"/>
  <c r="GN42" i="10"/>
  <c r="GM42" i="10"/>
  <c r="GN254" i="10"/>
  <c r="GO254" i="10"/>
  <c r="GM254" i="10"/>
  <c r="GO290" i="10"/>
  <c r="GN290" i="10"/>
  <c r="GM290" i="10"/>
  <c r="GO52" i="10"/>
  <c r="GM52" i="10"/>
  <c r="GN52" i="10"/>
  <c r="GO116" i="10"/>
  <c r="GM116" i="10"/>
  <c r="GN116" i="10"/>
  <c r="GO360" i="10"/>
  <c r="GN360" i="10"/>
  <c r="GM360" i="10"/>
  <c r="GO152" i="10"/>
  <c r="GN152" i="10"/>
  <c r="GM152" i="10"/>
  <c r="GO206" i="10"/>
  <c r="GN206" i="10"/>
  <c r="GM206" i="10"/>
  <c r="GO233" i="10"/>
  <c r="GN233" i="10"/>
  <c r="GM233" i="10"/>
  <c r="GO333" i="10"/>
  <c r="GN333" i="10"/>
  <c r="GM333" i="10"/>
  <c r="GM210" i="10"/>
  <c r="GO210" i="10"/>
  <c r="GN210" i="10"/>
  <c r="GO90" i="10"/>
  <c r="GN90" i="10"/>
  <c r="GM90" i="10"/>
  <c r="GM354" i="10"/>
  <c r="GN354" i="10"/>
  <c r="GO354" i="10"/>
  <c r="GO219" i="10"/>
  <c r="GM219" i="10"/>
  <c r="GN219" i="10"/>
  <c r="GN32" i="10"/>
  <c r="GO32" i="10"/>
  <c r="GM32" i="10"/>
  <c r="GO278" i="10"/>
  <c r="GM278" i="10"/>
  <c r="GN278" i="10"/>
  <c r="GO155" i="10"/>
  <c r="GN155" i="10"/>
  <c r="GM155" i="10"/>
  <c r="GO262" i="10"/>
  <c r="GM262" i="10"/>
  <c r="GN262" i="10"/>
  <c r="GO208" i="10"/>
  <c r="GM208" i="10"/>
  <c r="GN208" i="10"/>
  <c r="GO226" i="10"/>
  <c r="GN226" i="10"/>
  <c r="GM226" i="10"/>
  <c r="GO330" i="10"/>
  <c r="GM330" i="10"/>
  <c r="GN330" i="10"/>
  <c r="GO389" i="10"/>
  <c r="GN389" i="10"/>
  <c r="GM389" i="10"/>
  <c r="GM297" i="10"/>
  <c r="GN297" i="10"/>
  <c r="GO297" i="10"/>
  <c r="GN39" i="10"/>
  <c r="GM39" i="10"/>
  <c r="GO39" i="10"/>
  <c r="GN79" i="10"/>
  <c r="GO79" i="10"/>
  <c r="GM79" i="10"/>
  <c r="GO166" i="10"/>
  <c r="GN166" i="10"/>
  <c r="GM166" i="10"/>
  <c r="GO253" i="10"/>
  <c r="GN253" i="10"/>
  <c r="GM253" i="10"/>
  <c r="GO386" i="10"/>
  <c r="GN386" i="10"/>
  <c r="GM386" i="10"/>
  <c r="GN196" i="10"/>
  <c r="GM196" i="10"/>
  <c r="GO196" i="10"/>
  <c r="GO78" i="10"/>
  <c r="GN78" i="10"/>
  <c r="GM78" i="10"/>
  <c r="GN323" i="10"/>
  <c r="GO323" i="10"/>
  <c r="GM323" i="10"/>
  <c r="GO367" i="10"/>
  <c r="GN367" i="10"/>
  <c r="GM367" i="10"/>
  <c r="GM381" i="10"/>
  <c r="GN381" i="10"/>
  <c r="GO381" i="10"/>
  <c r="GO28" i="10"/>
  <c r="GN28" i="10"/>
  <c r="GM28" i="10"/>
  <c r="GO235" i="10"/>
  <c r="GM235" i="10"/>
  <c r="GN235" i="10"/>
  <c r="GN271" i="10"/>
  <c r="GM271" i="10"/>
  <c r="GO271" i="10"/>
  <c r="GN143" i="10"/>
  <c r="GO143" i="10"/>
  <c r="GM143" i="10"/>
  <c r="GO181" i="10"/>
  <c r="GN181" i="10"/>
  <c r="GM181" i="10"/>
  <c r="DK358" i="10"/>
  <c r="DJ221" i="10"/>
  <c r="DJ286" i="10"/>
  <c r="DJ46" i="10"/>
  <c r="DJ266" i="10"/>
  <c r="DJ160" i="10"/>
  <c r="DJ352" i="10"/>
  <c r="DK301" i="10"/>
  <c r="DK294" i="10"/>
  <c r="DJ231" i="10"/>
  <c r="DJ85" i="10"/>
  <c r="DJ123" i="10"/>
  <c r="DJ302" i="10"/>
  <c r="DJ257" i="10"/>
  <c r="DJ58" i="10"/>
  <c r="DJ294" i="10"/>
  <c r="DJ50" i="10"/>
  <c r="DK58" i="10"/>
  <c r="DJ96" i="10"/>
  <c r="DJ250" i="10"/>
  <c r="DK328" i="10"/>
  <c r="DK188" i="10"/>
  <c r="DJ54" i="10"/>
  <c r="DK376" i="10"/>
  <c r="DK142" i="10"/>
  <c r="DK189" i="10"/>
  <c r="DJ148" i="10"/>
  <c r="DK46" i="10"/>
  <c r="DJ75" i="10"/>
  <c r="DK312" i="10"/>
  <c r="DK76" i="10"/>
  <c r="DJ205" i="10"/>
  <c r="DJ169" i="10"/>
  <c r="DJ373" i="10"/>
  <c r="DJ49" i="10"/>
  <c r="DK170" i="10"/>
  <c r="DJ163" i="10"/>
  <c r="DK359" i="10"/>
  <c r="DJ102" i="10"/>
  <c r="DJ297" i="10"/>
  <c r="DK197" i="10"/>
  <c r="DJ379" i="10"/>
  <c r="DJ182" i="10"/>
  <c r="DK300" i="10"/>
  <c r="DJ51" i="10"/>
  <c r="DJ215" i="10"/>
  <c r="DK270" i="10"/>
  <c r="DJ259" i="10"/>
  <c r="DK289" i="10"/>
  <c r="DJ325" i="10"/>
  <c r="DJ77" i="10"/>
  <c r="DK204" i="10"/>
  <c r="DK304" i="10"/>
  <c r="DJ204" i="10"/>
  <c r="DJ147" i="10"/>
  <c r="DK279" i="10"/>
  <c r="DK138" i="10"/>
  <c r="DJ311" i="10"/>
  <c r="DK232" i="10"/>
  <c r="DK109" i="10"/>
  <c r="DJ82" i="10"/>
  <c r="DJ330" i="10"/>
  <c r="DK111" i="10"/>
  <c r="DJ28" i="10"/>
  <c r="DK355" i="10"/>
  <c r="DK388" i="10"/>
  <c r="DJ188" i="10"/>
  <c r="DK299" i="10"/>
  <c r="DK177" i="10"/>
  <c r="DK31" i="10"/>
  <c r="DK174" i="10"/>
  <c r="DJ202" i="10"/>
  <c r="DJ191" i="10"/>
  <c r="DK266" i="10"/>
  <c r="DK350" i="10"/>
  <c r="DK271" i="10"/>
  <c r="DJ256" i="10"/>
  <c r="DJ80" i="10"/>
  <c r="DK64" i="10"/>
  <c r="DJ101" i="10"/>
  <c r="DK317" i="10"/>
  <c r="DJ107" i="10"/>
  <c r="DK161" i="10"/>
  <c r="DJ120" i="10"/>
  <c r="DJ41" i="10"/>
  <c r="DJ376" i="10"/>
  <c r="DK133" i="10"/>
  <c r="DJ187" i="10"/>
  <c r="DJ287" i="10"/>
  <c r="DJ67" i="10"/>
  <c r="DJ308" i="10"/>
  <c r="DJ252" i="10"/>
  <c r="DJ248" i="10"/>
  <c r="DJ390" i="10"/>
  <c r="DJ234" i="10"/>
  <c r="DJ348" i="10"/>
  <c r="DK103" i="10"/>
  <c r="DK27" i="10"/>
  <c r="DJ104" i="10"/>
  <c r="DK381" i="10"/>
  <c r="DJ171" i="10"/>
  <c r="DJ23" i="10"/>
  <c r="DJ183" i="10"/>
  <c r="DJ57" i="10"/>
  <c r="DK146" i="10"/>
  <c r="DJ30" i="10"/>
  <c r="DJ278" i="10"/>
  <c r="DJ174" i="10"/>
  <c r="DK86" i="10"/>
  <c r="DJ365" i="10"/>
  <c r="DK68" i="10"/>
  <c r="DK286" i="10"/>
  <c r="DJ272" i="10"/>
  <c r="DJ258" i="10"/>
  <c r="DK228" i="10"/>
  <c r="DK214" i="10"/>
  <c r="DJ317" i="10"/>
  <c r="DK105" i="10"/>
  <c r="DK59" i="10"/>
  <c r="DK249" i="10"/>
  <c r="DK147" i="10"/>
  <c r="DK212" i="10"/>
  <c r="DJ118" i="10"/>
  <c r="DK211" i="10"/>
  <c r="DK191" i="10"/>
  <c r="DJ137" i="10"/>
  <c r="DK278" i="10"/>
  <c r="DJ368" i="10"/>
  <c r="DJ335" i="10"/>
  <c r="DK387" i="10"/>
  <c r="DK307" i="10"/>
  <c r="DJ53" i="10"/>
  <c r="DJ92" i="10"/>
  <c r="DK217" i="10"/>
  <c r="DK132" i="10"/>
  <c r="DJ271" i="10"/>
  <c r="DK367" i="10"/>
  <c r="DK319" i="10"/>
  <c r="DJ255" i="10"/>
  <c r="DJ269" i="10"/>
  <c r="DK36" i="10"/>
  <c r="DJ145" i="10"/>
  <c r="DJ32" i="10"/>
  <c r="DK24" i="10"/>
  <c r="DK30" i="10"/>
  <c r="DK93" i="10"/>
  <c r="DJ320" i="10"/>
  <c r="DK287" i="10"/>
  <c r="DK277" i="10"/>
  <c r="DJ200" i="10"/>
  <c r="DK153" i="10"/>
  <c r="DK182" i="10"/>
  <c r="DJ314" i="10"/>
  <c r="DJ63" i="10"/>
  <c r="DJ319" i="10"/>
  <c r="DK69" i="10"/>
  <c r="DJ90" i="10"/>
  <c r="DJ111" i="10"/>
  <c r="DK352" i="10"/>
  <c r="DK323" i="10"/>
  <c r="DJ33" i="10"/>
  <c r="DJ366" i="10"/>
  <c r="DK233" i="10"/>
  <c r="DK92" i="10"/>
  <c r="DJ346" i="10"/>
  <c r="DK39" i="10"/>
  <c r="DJ301" i="10"/>
  <c r="DK215" i="10"/>
  <c r="DJ222" i="10"/>
  <c r="DJ331" i="10"/>
  <c r="DK262" i="10"/>
  <c r="DK206" i="10"/>
  <c r="DK349" i="10"/>
  <c r="DJ361" i="10"/>
  <c r="DK165" i="10"/>
  <c r="DK222" i="10"/>
  <c r="DK26" i="10"/>
  <c r="DK239" i="10"/>
  <c r="DJ260" i="10"/>
  <c r="DJ78" i="10"/>
  <c r="DJ108" i="10"/>
  <c r="DK154" i="10"/>
  <c r="DK330" i="10"/>
  <c r="DJ66" i="10"/>
  <c r="DJ198" i="10"/>
  <c r="DJ184" i="10"/>
  <c r="DK335" i="10"/>
  <c r="DJ387" i="10"/>
  <c r="DK236" i="10"/>
  <c r="DK22" i="10"/>
  <c r="DK389" i="10"/>
  <c r="DK57" i="10"/>
  <c r="DK392" i="10"/>
  <c r="DK190" i="10"/>
  <c r="DJ132" i="10"/>
  <c r="DJ40" i="10"/>
  <c r="DK369" i="10"/>
  <c r="DJ223" i="10"/>
  <c r="DJ89" i="10"/>
  <c r="DK264" i="10"/>
  <c r="DJ230" i="10"/>
  <c r="DK62" i="10"/>
  <c r="DK308" i="10"/>
  <c r="DJ206" i="10"/>
  <c r="DJ173" i="10"/>
  <c r="DK326" i="10"/>
  <c r="DK128" i="10"/>
  <c r="DK347" i="10"/>
  <c r="DK383" i="10"/>
  <c r="DJ143" i="10"/>
  <c r="DK141" i="10"/>
  <c r="DK337" i="10"/>
  <c r="DK42" i="10"/>
  <c r="DJ141" i="10"/>
  <c r="DJ88" i="10"/>
  <c r="DK119" i="10"/>
  <c r="DJ279" i="10"/>
  <c r="DJ186" i="10"/>
  <c r="DJ323" i="10"/>
  <c r="DJ316" i="10"/>
  <c r="DK183" i="10"/>
  <c r="DJ254" i="10"/>
  <c r="DK219" i="10"/>
  <c r="DJ162" i="10"/>
  <c r="DJ303" i="10"/>
  <c r="DJ358" i="10"/>
  <c r="DK85" i="10"/>
  <c r="DJ276" i="10"/>
  <c r="DK290" i="10"/>
  <c r="DK121" i="10"/>
  <c r="DJ153" i="10"/>
  <c r="DJ31" i="10"/>
  <c r="DJ91" i="10"/>
  <c r="DJ34" i="10"/>
  <c r="DK157" i="10"/>
  <c r="DJ386" i="10"/>
  <c r="DJ217" i="10"/>
  <c r="DK70" i="10"/>
  <c r="DK296" i="10"/>
  <c r="DJ299" i="10"/>
  <c r="DK333" i="10"/>
  <c r="DJ74" i="10"/>
  <c r="DJ264" i="10"/>
  <c r="DK91" i="10"/>
  <c r="DK28" i="10"/>
  <c r="DJ69" i="10"/>
  <c r="DK340" i="10"/>
  <c r="DK210" i="10"/>
  <c r="DK179" i="10"/>
  <c r="DK209" i="10"/>
  <c r="DJ338" i="10"/>
  <c r="DJ363" i="10"/>
  <c r="DJ359" i="10"/>
  <c r="DK257" i="10"/>
  <c r="DJ247" i="10"/>
  <c r="DJ144" i="10"/>
  <c r="DK166" i="10"/>
  <c r="DK348" i="10"/>
  <c r="DJ194" i="10"/>
  <c r="DK310" i="10"/>
  <c r="DJ203" i="10"/>
  <c r="DJ136" i="10"/>
  <c r="DJ209" i="10"/>
  <c r="DK99" i="10"/>
  <c r="DJ305" i="10"/>
  <c r="DJ97" i="10"/>
  <c r="DJ161" i="10"/>
  <c r="DJ304" i="10"/>
  <c r="DK280" i="10"/>
  <c r="DJ100" i="10"/>
  <c r="DJ165" i="10"/>
  <c r="DK235" i="10"/>
  <c r="DJ324" i="10"/>
  <c r="DK342" i="10"/>
  <c r="DJ219" i="10"/>
  <c r="DJ388" i="10"/>
  <c r="DK339" i="10"/>
  <c r="DJ152" i="10"/>
  <c r="DK329" i="10"/>
  <c r="DJ242" i="10"/>
  <c r="DK136" i="10"/>
  <c r="DJ190" i="10"/>
  <c r="DJ68" i="10"/>
  <c r="DJ245" i="10"/>
  <c r="DK205" i="10"/>
  <c r="DK276" i="10"/>
  <c r="DJ333" i="10"/>
  <c r="DK56" i="10"/>
  <c r="DK322" i="10"/>
  <c r="DK272" i="10"/>
  <c r="DJ362" i="10"/>
  <c r="DK357" i="10"/>
  <c r="DJ154" i="10"/>
  <c r="DJ360" i="10"/>
  <c r="DK284" i="10"/>
  <c r="DJ367" i="10"/>
  <c r="DK377" i="10"/>
  <c r="DK114" i="10"/>
  <c r="DJ284" i="10"/>
  <c r="DJ374" i="10"/>
  <c r="DJ235" i="10"/>
  <c r="DJ64" i="10"/>
  <c r="DK293" i="10"/>
  <c r="DJ340" i="10"/>
  <c r="DJ71" i="10"/>
  <c r="DK79" i="10"/>
  <c r="DK168" i="10"/>
  <c r="DK152" i="10"/>
  <c r="DJ369" i="10"/>
  <c r="DK245" i="10"/>
  <c r="DJ344" i="10"/>
  <c r="DJ241" i="10"/>
  <c r="DJ385" i="10"/>
  <c r="DK72" i="10"/>
  <c r="DK315" i="10"/>
  <c r="DJ159" i="10"/>
  <c r="DJ246" i="10"/>
  <c r="DJ177" i="10"/>
  <c r="DK338" i="10"/>
  <c r="DK363" i="10"/>
  <c r="DJ370" i="10"/>
  <c r="DK260" i="10"/>
  <c r="DJ176" i="10"/>
  <c r="DJ25" i="10"/>
  <c r="DK240" i="10"/>
  <c r="DJ105" i="10"/>
  <c r="DK73" i="10"/>
  <c r="DJ48" i="10"/>
  <c r="DJ298" i="10"/>
  <c r="DK334" i="10"/>
  <c r="DK391" i="10"/>
  <c r="DK221" i="10"/>
  <c r="DJ243" i="10"/>
  <c r="DK51" i="10"/>
  <c r="DJ138" i="10"/>
  <c r="DK282" i="10"/>
  <c r="DJ181" i="10"/>
  <c r="DK127" i="10"/>
  <c r="DJ129" i="10"/>
  <c r="DJ347" i="10"/>
  <c r="DJ36" i="10"/>
  <c r="DK135" i="10"/>
  <c r="DK220" i="10"/>
  <c r="DJ94" i="10"/>
  <c r="DJ392" i="10"/>
  <c r="DJ389" i="10"/>
  <c r="DK224" i="10"/>
  <c r="DK283" i="10"/>
  <c r="DJ150" i="10"/>
  <c r="DK173" i="10"/>
  <c r="DK265" i="10"/>
  <c r="DJ109" i="10"/>
  <c r="DJ349" i="10"/>
  <c r="DJ342" i="10"/>
  <c r="DK292" i="10"/>
  <c r="DJ208" i="10"/>
  <c r="DK368" i="10"/>
  <c r="DJ98" i="10"/>
  <c r="DK356" i="10"/>
  <c r="DK35" i="10"/>
  <c r="DJ45" i="10"/>
  <c r="DK213" i="10"/>
  <c r="DJ283" i="10"/>
  <c r="DK45" i="10"/>
  <c r="DK344" i="10"/>
  <c r="DK298" i="10"/>
  <c r="DJ334" i="10"/>
  <c r="DK25" i="10"/>
  <c r="DJ253" i="10"/>
  <c r="DK126" i="10"/>
  <c r="DJ281" i="10"/>
  <c r="DK345" i="10"/>
  <c r="DK40" i="10"/>
  <c r="DK373" i="10"/>
  <c r="DK140" i="10"/>
  <c r="DK207" i="10"/>
  <c r="DK162" i="10"/>
  <c r="DJ189" i="10"/>
  <c r="DK366" i="10"/>
  <c r="DK365" i="10"/>
  <c r="DK267" i="10"/>
  <c r="DK149" i="10"/>
  <c r="DJ270" i="10"/>
  <c r="DJ274" i="10"/>
  <c r="DJ327" i="10"/>
  <c r="DJ232" i="10"/>
  <c r="DK343" i="10"/>
  <c r="DJ61" i="10"/>
  <c r="DJ60" i="10"/>
  <c r="DJ139" i="10"/>
  <c r="DK33" i="10"/>
  <c r="DJ318" i="10"/>
  <c r="DK285" i="10"/>
  <c r="DK193" i="10"/>
  <c r="DJ391" i="10"/>
  <c r="DK275" i="10"/>
  <c r="DJ114" i="10"/>
  <c r="DK288" i="10"/>
  <c r="DJ127" i="10"/>
  <c r="DJ228" i="10"/>
  <c r="DJ343" i="10"/>
  <c r="DK251" i="10"/>
  <c r="DK167" i="10"/>
  <c r="DJ353" i="10"/>
  <c r="DK227" i="10"/>
  <c r="DK71" i="10"/>
  <c r="DJ315" i="10"/>
  <c r="DJ291" i="10"/>
  <c r="DK49" i="10"/>
  <c r="DJ142" i="10"/>
  <c r="DK309" i="10"/>
  <c r="DJ377" i="10"/>
  <c r="DK254" i="10"/>
  <c r="DK117" i="10"/>
  <c r="DJ52" i="10"/>
  <c r="DK54" i="10"/>
  <c r="DJ35" i="10"/>
  <c r="DJ214" i="10"/>
  <c r="DK164" i="10"/>
  <c r="DJ193" i="10"/>
  <c r="DJ106" i="10"/>
  <c r="DJ62" i="10"/>
  <c r="DJ124" i="10"/>
  <c r="DJ224" i="10"/>
  <c r="DK50" i="10"/>
  <c r="DJ155" i="10"/>
  <c r="DJ355" i="10"/>
  <c r="DK374" i="10"/>
  <c r="DK155" i="10"/>
  <c r="DK201" i="10"/>
  <c r="DK115" i="10"/>
  <c r="DK131" i="10"/>
  <c r="DK185" i="10"/>
  <c r="DK95" i="10"/>
  <c r="DK101" i="10"/>
  <c r="DJ354" i="10"/>
  <c r="DK112" i="10"/>
  <c r="DJ22" i="10"/>
  <c r="DK229" i="10"/>
  <c r="DJ175" i="10"/>
  <c r="DJ275" i="10"/>
  <c r="DK237" i="10"/>
  <c r="DJ350" i="10"/>
  <c r="DK382" i="10"/>
  <c r="DJ166" i="10"/>
  <c r="DJ83" i="10"/>
  <c r="DJ237" i="10"/>
  <c r="DK386" i="10"/>
  <c r="DK151" i="10"/>
  <c r="DJ135" i="10"/>
  <c r="DJ81" i="10"/>
  <c r="DJ115" i="10"/>
  <c r="DJ236" i="10"/>
  <c r="DJ220" i="10"/>
  <c r="DK104" i="10"/>
  <c r="DK230" i="10"/>
  <c r="DK98" i="10"/>
  <c r="DK113" i="10"/>
  <c r="DK390" i="10"/>
  <c r="DK23" i="10"/>
  <c r="DK384" i="10"/>
  <c r="DK318" i="10"/>
  <c r="DK41" i="10"/>
  <c r="DJ375" i="10"/>
  <c r="DK156" i="10"/>
  <c r="DK243" i="10"/>
  <c r="DJ27" i="10"/>
  <c r="DK252" i="10"/>
  <c r="DK184" i="10"/>
  <c r="DK158" i="10"/>
  <c r="DK226" i="10"/>
  <c r="DJ149" i="10"/>
  <c r="DK44" i="10"/>
  <c r="DK77" i="10"/>
  <c r="DJ371" i="10"/>
  <c r="DK199" i="10"/>
  <c r="DJ337" i="10"/>
  <c r="DK372" i="10"/>
  <c r="DK129" i="10"/>
  <c r="DK145" i="10"/>
  <c r="DK176" i="10"/>
  <c r="DJ192" i="10"/>
  <c r="DK100" i="10"/>
  <c r="DK261" i="10"/>
  <c r="DJ216" i="10"/>
  <c r="DJ290" i="10"/>
  <c r="DJ383" i="10"/>
  <c r="DJ263" i="10"/>
  <c r="DJ261" i="10"/>
  <c r="DJ125" i="10"/>
  <c r="DK67" i="10"/>
  <c r="DJ126" i="10"/>
  <c r="DJ195" i="10"/>
  <c r="DK43" i="10"/>
  <c r="DK202" i="10"/>
  <c r="DK281" i="10"/>
  <c r="DK353" i="10"/>
  <c r="DJ293" i="10"/>
  <c r="DK195" i="10"/>
  <c r="DJ211" i="10"/>
  <c r="DJ218" i="10"/>
  <c r="DK32" i="10"/>
  <c r="DK159" i="10"/>
  <c r="DK246" i="10"/>
  <c r="DK122" i="10"/>
  <c r="DK321" i="10"/>
  <c r="DK81" i="10"/>
  <c r="DJ121" i="10"/>
  <c r="DJ321" i="10"/>
  <c r="DK196" i="10"/>
  <c r="DJ24" i="10"/>
  <c r="DJ313" i="10"/>
  <c r="DJ238" i="10"/>
  <c r="DJ268" i="10"/>
  <c r="DK362" i="10"/>
  <c r="DK242" i="10"/>
  <c r="DJ59" i="10"/>
  <c r="DJ244" i="10"/>
  <c r="DJ296" i="10"/>
  <c r="DJ213" i="10"/>
  <c r="DK97" i="10"/>
  <c r="DJ86" i="10"/>
  <c r="DK181" i="10"/>
  <c r="DK255" i="10"/>
  <c r="DJ151" i="10"/>
  <c r="DJ65" i="10"/>
  <c r="DK314" i="10"/>
  <c r="DJ116" i="10"/>
  <c r="DK123" i="10"/>
  <c r="DK150" i="10"/>
  <c r="DK47" i="10"/>
  <c r="DK63" i="10"/>
  <c r="DK90" i="10"/>
  <c r="DK60" i="10"/>
  <c r="DK259" i="10"/>
  <c r="DK370" i="10"/>
  <c r="DK320" i="10"/>
  <c r="DJ384" i="10"/>
  <c r="DJ122" i="10"/>
  <c r="DJ229" i="10"/>
  <c r="DK118" i="10"/>
  <c r="DJ87" i="10"/>
  <c r="DJ332" i="10"/>
  <c r="DJ322" i="10"/>
  <c r="DJ328" i="10"/>
  <c r="DK336" i="10"/>
  <c r="DK263" i="10"/>
  <c r="DK84" i="10"/>
  <c r="DK55" i="10"/>
  <c r="DJ178" i="10"/>
  <c r="DK302" i="10"/>
  <c r="DK48" i="10"/>
  <c r="DJ38" i="10"/>
  <c r="DJ310" i="10"/>
  <c r="DK87" i="10"/>
  <c r="DJ207" i="10"/>
  <c r="DJ309" i="10"/>
  <c r="DK34" i="10"/>
  <c r="DK108" i="10"/>
  <c r="DK124" i="10"/>
  <c r="DK80" i="10"/>
  <c r="DJ47" i="10"/>
  <c r="DJ249" i="10"/>
  <c r="DK139" i="10"/>
  <c r="DK66" i="10"/>
  <c r="DJ157" i="10"/>
  <c r="DK200" i="10"/>
  <c r="DK102" i="10"/>
  <c r="DJ56" i="10"/>
  <c r="DJ93" i="10"/>
  <c r="DJ140" i="10"/>
  <c r="DK88" i="10"/>
  <c r="DK360" i="10"/>
  <c r="DK371" i="10"/>
  <c r="DJ212" i="10"/>
  <c r="DK125" i="10"/>
  <c r="DJ267" i="10"/>
  <c r="DK250" i="10"/>
  <c r="DK171" i="10"/>
  <c r="DK331" i="10"/>
  <c r="DK120" i="10"/>
  <c r="DJ110" i="10"/>
  <c r="DK144" i="10"/>
  <c r="DJ44" i="10"/>
  <c r="DJ131" i="10"/>
  <c r="DJ128" i="10"/>
  <c r="DK325" i="10"/>
  <c r="DJ43" i="10"/>
  <c r="DK385" i="10"/>
  <c r="DJ119" i="10"/>
  <c r="DJ84" i="10"/>
  <c r="DK256" i="10"/>
  <c r="DK163" i="10"/>
  <c r="DJ79" i="10"/>
  <c r="DK78" i="10"/>
  <c r="DK203" i="10"/>
  <c r="DJ197" i="10"/>
  <c r="DJ37" i="10"/>
  <c r="DK354" i="10"/>
  <c r="DJ103" i="10"/>
  <c r="DJ357" i="10"/>
  <c r="DJ292" i="10"/>
  <c r="DJ39" i="10"/>
  <c r="DJ329" i="10"/>
  <c r="DK380" i="10"/>
  <c r="DJ146" i="10"/>
  <c r="DJ172" i="10"/>
  <c r="DJ99" i="10"/>
  <c r="DJ158" i="10"/>
  <c r="DJ168" i="10"/>
  <c r="DK241" i="10"/>
  <c r="DK52" i="10"/>
  <c r="DK247" i="10"/>
  <c r="DK364" i="10"/>
  <c r="DK361" i="10"/>
  <c r="DK341" i="10"/>
  <c r="DJ345" i="10"/>
  <c r="DJ262" i="10"/>
  <c r="DJ364" i="10"/>
  <c r="DJ29" i="10"/>
  <c r="DJ341" i="10"/>
  <c r="DJ167" i="10"/>
  <c r="DK351" i="10"/>
  <c r="DJ196" i="10"/>
  <c r="DK37" i="10"/>
  <c r="DK187" i="10"/>
  <c r="DK295" i="10"/>
  <c r="DJ180" i="10"/>
  <c r="DJ130" i="10"/>
  <c r="DJ170" i="10"/>
  <c r="DK223" i="10"/>
  <c r="DJ26" i="10"/>
  <c r="DK273" i="10"/>
  <c r="DK291" i="10"/>
  <c r="DJ326" i="10"/>
  <c r="DK198" i="10"/>
  <c r="DK379" i="10"/>
  <c r="DK106" i="10"/>
  <c r="DJ72" i="10"/>
  <c r="DK178" i="10"/>
  <c r="DK75" i="10"/>
  <c r="DJ381" i="10"/>
  <c r="DK53" i="10"/>
  <c r="DJ226" i="10"/>
  <c r="DK313" i="10"/>
  <c r="DK332" i="10"/>
  <c r="DJ185" i="10"/>
  <c r="DJ282" i="10"/>
  <c r="DK324" i="10"/>
  <c r="DK311" i="10"/>
  <c r="DK148" i="10"/>
  <c r="DK225" i="10"/>
  <c r="DJ134" i="10"/>
  <c r="DJ280" i="10"/>
  <c r="DJ273" i="10"/>
  <c r="DK269" i="10"/>
  <c r="DK29" i="10"/>
  <c r="DK248" i="10"/>
  <c r="DJ240" i="10"/>
  <c r="DJ356" i="10"/>
  <c r="DJ199" i="10"/>
  <c r="DJ164" i="10"/>
  <c r="DJ307" i="10"/>
  <c r="DJ351" i="10"/>
  <c r="DK194" i="10"/>
  <c r="DJ42" i="10"/>
  <c r="DJ210" i="10"/>
  <c r="DK116" i="10"/>
  <c r="DK160" i="10"/>
  <c r="DK218" i="10"/>
  <c r="DK234" i="10"/>
  <c r="DK143" i="10"/>
  <c r="DK94" i="10"/>
  <c r="DK172" i="10"/>
  <c r="DK82" i="10"/>
  <c r="DK96" i="10"/>
  <c r="DK258" i="10"/>
  <c r="DK89" i="10"/>
  <c r="DJ73" i="10"/>
  <c r="DJ55" i="10"/>
  <c r="DJ372" i="10"/>
  <c r="DK38" i="10"/>
  <c r="DK253" i="10"/>
  <c r="DK134" i="10"/>
  <c r="DJ201" i="10"/>
  <c r="DJ295" i="10"/>
  <c r="DK110" i="10"/>
  <c r="DJ378" i="10"/>
  <c r="DK186" i="10"/>
  <c r="DJ225" i="10"/>
  <c r="DK83" i="10"/>
  <c r="DK238" i="10"/>
  <c r="DK268" i="10"/>
  <c r="DJ339" i="10"/>
  <c r="DJ336" i="10"/>
  <c r="DK208" i="10"/>
  <c r="DK61" i="10"/>
  <c r="DK74" i="10"/>
  <c r="DJ306" i="10"/>
  <c r="DK327" i="10"/>
  <c r="DJ277" i="10"/>
  <c r="DK107" i="10"/>
  <c r="DK180" i="10"/>
  <c r="DJ133" i="10"/>
  <c r="DK175" i="10"/>
  <c r="DK192" i="10"/>
  <c r="DK274" i="10"/>
  <c r="DJ117" i="10"/>
  <c r="DK346" i="10"/>
  <c r="DJ285" i="10"/>
  <c r="DK216" i="10"/>
  <c r="DK65" i="10"/>
  <c r="DJ156" i="10"/>
  <c r="DJ288" i="10"/>
  <c r="DJ251" i="10"/>
  <c r="DK130" i="10"/>
  <c r="DJ233" i="10"/>
  <c r="DJ76" i="10"/>
  <c r="DJ112" i="10"/>
  <c r="DK169" i="10"/>
  <c r="DK297" i="10"/>
  <c r="DJ113" i="10"/>
  <c r="DJ70" i="10"/>
  <c r="DK316" i="10"/>
  <c r="DJ265" i="10"/>
  <c r="DK137" i="10"/>
  <c r="DK375" i="10"/>
  <c r="DK305" i="10"/>
  <c r="DJ95" i="10"/>
  <c r="DJ382" i="10"/>
  <c r="DJ380" i="10"/>
  <c r="DK378" i="10"/>
  <c r="DK306" i="10"/>
  <c r="DJ179" i="10"/>
  <c r="DJ312" i="10"/>
  <c r="DK244" i="10"/>
  <c r="DJ289" i="10"/>
  <c r="DK231" i="10"/>
  <c r="DK303" i="10"/>
  <c r="DJ227" i="10"/>
  <c r="DJ239" i="10"/>
  <c r="DJ300" i="10"/>
  <c r="K217" i="20" l="1"/>
  <c r="J217" i="20"/>
  <c r="I217" i="20"/>
  <c r="J325" i="20"/>
  <c r="K325" i="20"/>
  <c r="I325" i="20"/>
  <c r="I89" i="20"/>
  <c r="J89" i="20"/>
  <c r="K89" i="20"/>
  <c r="J363" i="20"/>
  <c r="I363" i="20"/>
  <c r="K363" i="20"/>
  <c r="I201" i="20"/>
  <c r="K201" i="20"/>
  <c r="J201" i="20"/>
  <c r="I107" i="20"/>
  <c r="J107" i="20"/>
  <c r="K107" i="20"/>
  <c r="K80" i="20"/>
  <c r="J80" i="20"/>
  <c r="I80" i="20"/>
  <c r="K335" i="20"/>
  <c r="I335" i="20"/>
  <c r="J335" i="20"/>
  <c r="K11" i="20"/>
  <c r="J11" i="20"/>
  <c r="I11" i="20"/>
  <c r="J47" i="20"/>
  <c r="I47" i="20"/>
  <c r="K47" i="20"/>
  <c r="J230" i="20"/>
  <c r="K230" i="20"/>
  <c r="I230" i="20"/>
  <c r="J117" i="20"/>
  <c r="I117" i="20"/>
  <c r="K117" i="20"/>
  <c r="K12" i="20"/>
  <c r="I12" i="20"/>
  <c r="J12" i="20"/>
  <c r="I353" i="20"/>
  <c r="K353" i="20"/>
  <c r="J353" i="20"/>
  <c r="I111" i="20"/>
  <c r="K111" i="20"/>
  <c r="J111" i="20"/>
  <c r="K355" i="20"/>
  <c r="I355" i="20"/>
  <c r="J355" i="20"/>
  <c r="I73" i="20"/>
  <c r="J73" i="20"/>
  <c r="K73" i="20"/>
  <c r="K328" i="20"/>
  <c r="J328" i="20"/>
  <c r="I328" i="20"/>
  <c r="I159" i="20"/>
  <c r="K159" i="20"/>
  <c r="J159" i="20"/>
  <c r="I70" i="20"/>
  <c r="J70" i="20"/>
  <c r="K70" i="20"/>
  <c r="I289" i="20"/>
  <c r="J289" i="20"/>
  <c r="K289" i="20"/>
  <c r="J332" i="20"/>
  <c r="K332" i="20"/>
  <c r="I332" i="20"/>
  <c r="I368" i="20"/>
  <c r="K368" i="20"/>
  <c r="J368" i="20"/>
  <c r="K46" i="20"/>
  <c r="I46" i="20"/>
  <c r="J46" i="20"/>
  <c r="I234" i="20"/>
  <c r="J234" i="20"/>
  <c r="K234" i="20"/>
  <c r="J87" i="20"/>
  <c r="K87" i="20"/>
  <c r="I87" i="20"/>
  <c r="J116" i="20"/>
  <c r="I116" i="20"/>
  <c r="K116" i="20"/>
  <c r="K35" i="20"/>
  <c r="I35" i="20"/>
  <c r="J35" i="20"/>
  <c r="I109" i="20"/>
  <c r="J109" i="20"/>
  <c r="K109" i="20"/>
  <c r="K63" i="20"/>
  <c r="J63" i="20"/>
  <c r="I63" i="20"/>
  <c r="K72" i="20"/>
  <c r="J72" i="20"/>
  <c r="I72" i="20"/>
  <c r="I148" i="20"/>
  <c r="K148" i="20"/>
  <c r="J148" i="20"/>
  <c r="K81" i="20"/>
  <c r="J81" i="20"/>
  <c r="I81" i="20"/>
  <c r="K18" i="20"/>
  <c r="J18" i="20"/>
  <c r="I18" i="20"/>
  <c r="I5" i="20"/>
  <c r="J5" i="20"/>
  <c r="K5" i="20"/>
  <c r="K32" i="20"/>
  <c r="J32" i="20"/>
  <c r="I32" i="20"/>
  <c r="J282" i="20"/>
  <c r="K282" i="20"/>
  <c r="I282" i="20"/>
  <c r="J270" i="20"/>
  <c r="K270" i="20"/>
  <c r="I270" i="20"/>
  <c r="J83" i="20"/>
  <c r="I83" i="20"/>
  <c r="K83" i="20"/>
  <c r="K120" i="20"/>
  <c r="J120" i="20"/>
  <c r="I120" i="20"/>
  <c r="CS134" i="10"/>
  <c r="CX134" i="10"/>
  <c r="CY134" i="10" s="1"/>
  <c r="DA134" i="10" s="1"/>
  <c r="GQ25" i="10"/>
  <c r="GP25" i="10"/>
  <c r="CS253" i="10"/>
  <c r="CX253" i="10"/>
  <c r="CY253" i="10" s="1"/>
  <c r="DA253" i="10" s="1"/>
  <c r="CX226" i="10"/>
  <c r="CY226" i="10" s="1"/>
  <c r="DA226" i="10" s="1"/>
  <c r="CS226" i="10"/>
  <c r="CS233" i="10"/>
  <c r="CX233" i="10"/>
  <c r="CY233" i="10" s="1"/>
  <c r="DA233" i="10" s="1"/>
  <c r="GP360" i="10"/>
  <c r="GQ360" i="10"/>
  <c r="GQ222" i="10"/>
  <c r="GP222" i="10"/>
  <c r="CX118" i="10"/>
  <c r="CY118" i="10" s="1"/>
  <c r="DA118" i="10" s="1"/>
  <c r="CS118" i="10"/>
  <c r="CS324" i="10"/>
  <c r="CX324" i="10"/>
  <c r="CY324" i="10" s="1"/>
  <c r="DA324" i="10" s="1"/>
  <c r="CS109" i="10"/>
  <c r="CX109" i="10"/>
  <c r="CY109" i="10" s="1"/>
  <c r="DA109" i="10" s="1"/>
  <c r="CX88" i="10"/>
  <c r="CY88" i="10" s="1"/>
  <c r="DA88" i="10" s="1"/>
  <c r="CS88" i="10"/>
  <c r="GQ366" i="10"/>
  <c r="GP366" i="10"/>
  <c r="CX286" i="10"/>
  <c r="CY286" i="10" s="1"/>
  <c r="DA286" i="10" s="1"/>
  <c r="CS286" i="10"/>
  <c r="GQ188" i="10"/>
  <c r="GP188" i="10"/>
  <c r="GQ332" i="10"/>
  <c r="GP332" i="10"/>
  <c r="GP274" i="10"/>
  <c r="GQ274" i="10"/>
  <c r="CX289" i="10"/>
  <c r="CY289" i="10" s="1"/>
  <c r="DA289" i="10" s="1"/>
  <c r="CS289" i="10"/>
  <c r="CS374" i="10"/>
  <c r="CX374" i="10"/>
  <c r="CY374" i="10" s="1"/>
  <c r="DA374" i="10" s="1"/>
  <c r="CS276" i="10"/>
  <c r="CX276" i="10"/>
  <c r="CY276" i="10" s="1"/>
  <c r="DA276" i="10" s="1"/>
  <c r="GQ68" i="10"/>
  <c r="GP68" i="10"/>
  <c r="GQ183" i="10"/>
  <c r="GP183" i="10"/>
  <c r="CS228" i="10"/>
  <c r="CX228" i="10"/>
  <c r="CY228" i="10" s="1"/>
  <c r="DA228" i="10" s="1"/>
  <c r="CS265" i="10"/>
  <c r="CX265" i="10"/>
  <c r="CY265" i="10" s="1"/>
  <c r="DA265" i="10" s="1"/>
  <c r="GP251" i="10"/>
  <c r="GQ251" i="10"/>
  <c r="CS232" i="10"/>
  <c r="CX232" i="10"/>
  <c r="CY232" i="10" s="1"/>
  <c r="DA232" i="10" s="1"/>
  <c r="GQ238" i="10"/>
  <c r="GP238" i="10"/>
  <c r="GQ221" i="10"/>
  <c r="GP221" i="10"/>
  <c r="GQ29" i="10"/>
  <c r="GP29" i="10"/>
  <c r="CX99" i="10"/>
  <c r="CY99" i="10" s="1"/>
  <c r="DA99" i="10" s="1"/>
  <c r="CS99" i="10"/>
  <c r="CS357" i="10"/>
  <c r="CX357" i="10"/>
  <c r="CY357" i="10" s="1"/>
  <c r="DA357" i="10" s="1"/>
  <c r="GP361" i="10"/>
  <c r="GQ361" i="10"/>
  <c r="CX355" i="10"/>
  <c r="CY355" i="10" s="1"/>
  <c r="DA355" i="10" s="1"/>
  <c r="CS355" i="10"/>
  <c r="GQ275" i="10"/>
  <c r="GP275" i="10"/>
  <c r="CS205" i="10"/>
  <c r="CX205" i="10"/>
  <c r="CY205" i="10" s="1"/>
  <c r="DA205" i="10" s="1"/>
  <c r="GQ108" i="10"/>
  <c r="GP108" i="10"/>
  <c r="GP362" i="10"/>
  <c r="GQ362" i="10"/>
  <c r="CS358" i="10"/>
  <c r="CX358" i="10"/>
  <c r="CY358" i="10" s="1"/>
  <c r="DA358" i="10" s="1"/>
  <c r="GP23" i="10"/>
  <c r="GQ23" i="10"/>
  <c r="CS45" i="10"/>
  <c r="CX45" i="10"/>
  <c r="CY45" i="10" s="1"/>
  <c r="DA45" i="10" s="1"/>
  <c r="GQ324" i="10"/>
  <c r="GP324" i="10"/>
  <c r="GQ244" i="10"/>
  <c r="GP244" i="10"/>
  <c r="GQ134" i="10"/>
  <c r="GP134" i="10"/>
  <c r="CX181" i="10"/>
  <c r="CY181" i="10" s="1"/>
  <c r="DA181" i="10" s="1"/>
  <c r="CS181" i="10"/>
  <c r="CX28" i="10"/>
  <c r="CY28" i="10" s="1"/>
  <c r="DA28" i="10" s="1"/>
  <c r="CS28" i="10"/>
  <c r="CX354" i="10"/>
  <c r="CY354" i="10" s="1"/>
  <c r="DA354" i="10" s="1"/>
  <c r="CS354" i="10"/>
  <c r="CS254" i="10"/>
  <c r="CX254" i="10"/>
  <c r="CY254" i="10" s="1"/>
  <c r="DA254" i="10" s="1"/>
  <c r="CS222" i="10"/>
  <c r="CX222" i="10"/>
  <c r="CY222" i="10" s="1"/>
  <c r="DA222" i="10" s="1"/>
  <c r="GQ87" i="10"/>
  <c r="GP87" i="10"/>
  <c r="CX332" i="10"/>
  <c r="CY332" i="10" s="1"/>
  <c r="DA332" i="10" s="1"/>
  <c r="CS332" i="10"/>
  <c r="GP173" i="10"/>
  <c r="GQ173" i="10"/>
  <c r="GQ334" i="10"/>
  <c r="GP334" i="10"/>
  <c r="CS292" i="10"/>
  <c r="CX292" i="10"/>
  <c r="CY292" i="10" s="1"/>
  <c r="DA292" i="10" s="1"/>
  <c r="GQ187" i="10"/>
  <c r="GP187" i="10"/>
  <c r="GQ337" i="10"/>
  <c r="GP337" i="10"/>
  <c r="GQ352" i="10"/>
  <c r="GP352" i="10"/>
  <c r="CS68" i="10"/>
  <c r="CX68" i="10"/>
  <c r="CY68" i="10" s="1"/>
  <c r="DA68" i="10" s="1"/>
  <c r="GQ215" i="10"/>
  <c r="GP215" i="10"/>
  <c r="CS186" i="10"/>
  <c r="CX186" i="10"/>
  <c r="CY186" i="10" s="1"/>
  <c r="DA186" i="10" s="1"/>
  <c r="GQ228" i="10"/>
  <c r="GP228" i="10"/>
  <c r="CX346" i="10"/>
  <c r="CY346" i="10" s="1"/>
  <c r="DA346" i="10" s="1"/>
  <c r="CS346" i="10"/>
  <c r="CS103" i="10"/>
  <c r="CX103" i="10"/>
  <c r="CY103" i="10" s="1"/>
  <c r="DA103" i="10" s="1"/>
  <c r="CX238" i="10"/>
  <c r="CY238" i="10" s="1"/>
  <c r="DA238" i="10" s="1"/>
  <c r="CS238" i="10"/>
  <c r="GQ315" i="10"/>
  <c r="GP315" i="10"/>
  <c r="CX43" i="10"/>
  <c r="CY43" i="10" s="1"/>
  <c r="DA43" i="10" s="1"/>
  <c r="CS43" i="10"/>
  <c r="GQ298" i="10"/>
  <c r="GP298" i="10"/>
  <c r="GQ114" i="10"/>
  <c r="GP114" i="10"/>
  <c r="GP199" i="10"/>
  <c r="GQ199" i="10"/>
  <c r="CX204" i="10"/>
  <c r="CY204" i="10" s="1"/>
  <c r="DA204" i="10" s="1"/>
  <c r="CS204" i="10"/>
  <c r="CX361" i="10"/>
  <c r="CY361" i="10" s="1"/>
  <c r="DA361" i="10" s="1"/>
  <c r="CS361" i="10"/>
  <c r="CX148" i="10"/>
  <c r="CY148" i="10" s="1"/>
  <c r="DA148" i="10" s="1"/>
  <c r="CS148" i="10"/>
  <c r="GQ100" i="10"/>
  <c r="GP100" i="10"/>
  <c r="GQ245" i="10"/>
  <c r="GP245" i="10"/>
  <c r="GQ301" i="10"/>
  <c r="GP301" i="10"/>
  <c r="CX174" i="10"/>
  <c r="CY174" i="10" s="1"/>
  <c r="DA174" i="10" s="1"/>
  <c r="CS174" i="10"/>
  <c r="CS172" i="10"/>
  <c r="CX172" i="10"/>
  <c r="CY172" i="10" s="1"/>
  <c r="DA172" i="10" s="1"/>
  <c r="CS311" i="10"/>
  <c r="CX311" i="10"/>
  <c r="CY311" i="10" s="1"/>
  <c r="DA311" i="10" s="1"/>
  <c r="CS24" i="10"/>
  <c r="CX24" i="10"/>
  <c r="CY24" i="10" s="1"/>
  <c r="DA24" i="10" s="1"/>
  <c r="CX349" i="10"/>
  <c r="CY349" i="10" s="1"/>
  <c r="DA349" i="10" s="1"/>
  <c r="CS349" i="10"/>
  <c r="CS51" i="10"/>
  <c r="CX51" i="10"/>
  <c r="CY51" i="10" s="1"/>
  <c r="DA51" i="10" s="1"/>
  <c r="GP249" i="10"/>
  <c r="GQ249" i="10"/>
  <c r="CX140" i="10"/>
  <c r="CY140" i="10" s="1"/>
  <c r="DA140" i="10" s="1"/>
  <c r="CS140" i="10"/>
  <c r="CX293" i="10"/>
  <c r="CY293" i="10" s="1"/>
  <c r="DA293" i="10" s="1"/>
  <c r="CS293" i="10"/>
  <c r="CS97" i="10"/>
  <c r="CX97" i="10"/>
  <c r="CY97" i="10" s="1"/>
  <c r="DA97" i="10" s="1"/>
  <c r="CS364" i="10"/>
  <c r="CX364" i="10"/>
  <c r="CY364" i="10" s="1"/>
  <c r="DA364" i="10" s="1"/>
  <c r="GP253" i="10"/>
  <c r="GQ253" i="10"/>
  <c r="GP297" i="10"/>
  <c r="GQ297" i="10"/>
  <c r="GQ226" i="10"/>
  <c r="GP226" i="10"/>
  <c r="GQ233" i="10"/>
  <c r="GP233" i="10"/>
  <c r="GP254" i="10"/>
  <c r="GQ254" i="10"/>
  <c r="CX59" i="10"/>
  <c r="CY59" i="10" s="1"/>
  <c r="DA59" i="10" s="1"/>
  <c r="CS59" i="10"/>
  <c r="GQ243" i="10"/>
  <c r="GP243" i="10"/>
  <c r="GP293" i="10"/>
  <c r="GQ293" i="10"/>
  <c r="CS87" i="10"/>
  <c r="CX87" i="10"/>
  <c r="CY87" i="10" s="1"/>
  <c r="DA87" i="10" s="1"/>
  <c r="GQ131" i="10"/>
  <c r="GP131" i="10"/>
  <c r="CX30" i="10"/>
  <c r="CY30" i="10" s="1"/>
  <c r="DA30" i="10" s="1"/>
  <c r="CS30" i="10"/>
  <c r="GQ289" i="10"/>
  <c r="GP289" i="10"/>
  <c r="CX225" i="10"/>
  <c r="CY225" i="10" s="1"/>
  <c r="DA225" i="10" s="1"/>
  <c r="CS225" i="10"/>
  <c r="CS187" i="10"/>
  <c r="CX187" i="10"/>
  <c r="CY187" i="10" s="1"/>
  <c r="DA187" i="10" s="1"/>
  <c r="GQ364" i="10"/>
  <c r="GP364" i="10"/>
  <c r="CS282" i="10"/>
  <c r="CX282" i="10"/>
  <c r="CY282" i="10" s="1"/>
  <c r="DA282" i="10" s="1"/>
  <c r="CX242" i="10"/>
  <c r="CY242" i="10" s="1"/>
  <c r="DA242" i="10" s="1"/>
  <c r="CS242" i="10"/>
  <c r="GQ276" i="10"/>
  <c r="GP276" i="10"/>
  <c r="GQ265" i="10"/>
  <c r="GP265" i="10"/>
  <c r="GQ120" i="10"/>
  <c r="GP120" i="10"/>
  <c r="GQ103" i="10"/>
  <c r="GP103" i="10"/>
  <c r="CX221" i="10"/>
  <c r="CY221" i="10" s="1"/>
  <c r="DA221" i="10" s="1"/>
  <c r="CS221" i="10"/>
  <c r="GQ43" i="10"/>
  <c r="GP43" i="10"/>
  <c r="CS161" i="10"/>
  <c r="CX161" i="10"/>
  <c r="CY161" i="10" s="1"/>
  <c r="DA161" i="10" s="1"/>
  <c r="CS114" i="10"/>
  <c r="CX114" i="10"/>
  <c r="CY114" i="10" s="1"/>
  <c r="DA114" i="10" s="1"/>
  <c r="GP287" i="10"/>
  <c r="GQ287" i="10"/>
  <c r="GQ204" i="10"/>
  <c r="GP204" i="10"/>
  <c r="GQ357" i="10"/>
  <c r="GP357" i="10"/>
  <c r="GP283" i="10"/>
  <c r="GQ283" i="10"/>
  <c r="GQ148" i="10"/>
  <c r="GP148" i="10"/>
  <c r="CS33" i="10"/>
  <c r="CX33" i="10"/>
  <c r="CY33" i="10" s="1"/>
  <c r="DA33" i="10" s="1"/>
  <c r="CX342" i="10"/>
  <c r="CY342" i="10" s="1"/>
  <c r="DA342" i="10" s="1"/>
  <c r="CS342" i="10"/>
  <c r="GQ138" i="10"/>
  <c r="GP138" i="10"/>
  <c r="CX48" i="10"/>
  <c r="CY48" i="10" s="1"/>
  <c r="DA48" i="10" s="1"/>
  <c r="CS48" i="10"/>
  <c r="GQ146" i="10"/>
  <c r="GP146" i="10"/>
  <c r="GQ355" i="10"/>
  <c r="GP355" i="10"/>
  <c r="CX245" i="10"/>
  <c r="CY245" i="10" s="1"/>
  <c r="DA245" i="10" s="1"/>
  <c r="CS245" i="10"/>
  <c r="GQ205" i="10"/>
  <c r="GP205" i="10"/>
  <c r="CX301" i="10"/>
  <c r="CY301" i="10" s="1"/>
  <c r="DA301" i="10" s="1"/>
  <c r="CS301" i="10"/>
  <c r="GQ179" i="10"/>
  <c r="GP179" i="10"/>
  <c r="GQ77" i="10"/>
  <c r="GP77" i="10"/>
  <c r="GQ94" i="10"/>
  <c r="GP94" i="10"/>
  <c r="CS369" i="10"/>
  <c r="CX369" i="10"/>
  <c r="CY369" i="10" s="1"/>
  <c r="DA369" i="10" s="1"/>
  <c r="GQ24" i="10"/>
  <c r="GP24" i="10"/>
  <c r="CS244" i="10"/>
  <c r="CX244" i="10"/>
  <c r="CY244" i="10" s="1"/>
  <c r="DA244" i="10" s="1"/>
  <c r="GQ97" i="10"/>
  <c r="GP97" i="10"/>
  <c r="GQ349" i="10"/>
  <c r="GP349" i="10"/>
  <c r="GQ140" i="10"/>
  <c r="GP140" i="10"/>
  <c r="CX119" i="10"/>
  <c r="CY119" i="10" s="1"/>
  <c r="DA119" i="10" s="1"/>
  <c r="CS119" i="10"/>
  <c r="GQ181" i="10"/>
  <c r="GP181" i="10"/>
  <c r="CX227" i="10"/>
  <c r="CY227" i="10" s="1"/>
  <c r="DA227" i="10" s="1"/>
  <c r="CS227" i="10"/>
  <c r="CS260" i="10"/>
  <c r="CX260" i="10"/>
  <c r="CY260" i="10" s="1"/>
  <c r="DA260" i="10" s="1"/>
  <c r="GQ51" i="10"/>
  <c r="GP51" i="10"/>
  <c r="GQ137" i="10"/>
  <c r="GP137" i="10"/>
  <c r="GQ30" i="10"/>
  <c r="GP30" i="10"/>
  <c r="GP225" i="10"/>
  <c r="GQ225" i="10"/>
  <c r="GQ156" i="10"/>
  <c r="GP156" i="10"/>
  <c r="CS283" i="10"/>
  <c r="CX283" i="10"/>
  <c r="CY283" i="10" s="1"/>
  <c r="DA283" i="10" s="1"/>
  <c r="CS309" i="10"/>
  <c r="CX309" i="10"/>
  <c r="CY309" i="10" s="1"/>
  <c r="DA309" i="10" s="1"/>
  <c r="GQ278" i="10"/>
  <c r="GP278" i="10"/>
  <c r="GQ35" i="10"/>
  <c r="GP35" i="10"/>
  <c r="GQ142" i="10"/>
  <c r="GP142" i="10"/>
  <c r="CS69" i="10"/>
  <c r="CX69" i="10"/>
  <c r="CY69" i="10" s="1"/>
  <c r="DA69" i="10" s="1"/>
  <c r="GP197" i="10"/>
  <c r="GQ197" i="10"/>
  <c r="GQ143" i="10"/>
  <c r="GP143" i="10"/>
  <c r="CS32" i="10"/>
  <c r="CX32" i="10"/>
  <c r="CY32" i="10" s="1"/>
  <c r="DA32" i="10" s="1"/>
  <c r="CS203" i="10"/>
  <c r="CX203" i="10"/>
  <c r="CY203" i="10" s="1"/>
  <c r="DA203" i="10" s="1"/>
  <c r="CX35" i="10"/>
  <c r="CY35" i="10" s="1"/>
  <c r="DA35" i="10" s="1"/>
  <c r="CS35" i="10"/>
  <c r="GQ163" i="10"/>
  <c r="GP163" i="10"/>
  <c r="GQ189" i="10"/>
  <c r="GP189" i="10"/>
  <c r="GQ90" i="10"/>
  <c r="GP90" i="10"/>
  <c r="GQ257" i="10"/>
  <c r="GP257" i="10"/>
  <c r="CS348" i="10"/>
  <c r="CX348" i="10"/>
  <c r="CY348" i="10" s="1"/>
  <c r="DA348" i="10" s="1"/>
  <c r="GP224" i="10"/>
  <c r="GQ224" i="10"/>
  <c r="CX104" i="10"/>
  <c r="CY104" i="10" s="1"/>
  <c r="DA104" i="10" s="1"/>
  <c r="CS104" i="10"/>
  <c r="GQ127" i="10"/>
  <c r="GP127" i="10"/>
  <c r="CS198" i="10"/>
  <c r="CX198" i="10"/>
  <c r="CY198" i="10" s="1"/>
  <c r="DA198" i="10" s="1"/>
  <c r="CX93" i="10"/>
  <c r="CY93" i="10" s="1"/>
  <c r="DA93" i="10" s="1"/>
  <c r="CS93" i="10"/>
  <c r="GQ40" i="10"/>
  <c r="GP40" i="10"/>
  <c r="GQ166" i="10"/>
  <c r="GP166" i="10"/>
  <c r="GQ208" i="10"/>
  <c r="GP208" i="10"/>
  <c r="GQ32" i="10"/>
  <c r="GP32" i="10"/>
  <c r="GQ206" i="10"/>
  <c r="GP206" i="10"/>
  <c r="CS52" i="10"/>
  <c r="CX52" i="10"/>
  <c r="CY52" i="10" s="1"/>
  <c r="DA52" i="10" s="1"/>
  <c r="GQ42" i="10"/>
  <c r="GP42" i="10"/>
  <c r="GQ124" i="10"/>
  <c r="GP124" i="10"/>
  <c r="GQ252" i="10"/>
  <c r="GP252" i="10"/>
  <c r="GQ300" i="10"/>
  <c r="GP300" i="10"/>
  <c r="CS145" i="10"/>
  <c r="CX145" i="10"/>
  <c r="CY145" i="10" s="1"/>
  <c r="DA145" i="10" s="1"/>
  <c r="CX255" i="10"/>
  <c r="CY255" i="10" s="1"/>
  <c r="DA255" i="10" s="1"/>
  <c r="CS255" i="10"/>
  <c r="CS137" i="10"/>
  <c r="CX137" i="10"/>
  <c r="CY137" i="10" s="1"/>
  <c r="DA137" i="10" s="1"/>
  <c r="CS359" i="10"/>
  <c r="CX359" i="10"/>
  <c r="CY359" i="10" s="1"/>
  <c r="DA359" i="10" s="1"/>
  <c r="GQ110" i="10"/>
  <c r="GP110" i="10"/>
  <c r="GP195" i="10"/>
  <c r="GQ195" i="10"/>
  <c r="GP320" i="10"/>
  <c r="GQ320" i="10"/>
  <c r="GQ106" i="10"/>
  <c r="GP106" i="10"/>
  <c r="GQ135" i="10"/>
  <c r="GP135" i="10"/>
  <c r="CS370" i="10"/>
  <c r="CX370" i="10"/>
  <c r="CY370" i="10" s="1"/>
  <c r="DA370" i="10" s="1"/>
  <c r="GQ356" i="10"/>
  <c r="GP356" i="10"/>
  <c r="GQ144" i="10"/>
  <c r="GP144" i="10"/>
  <c r="GP308" i="10"/>
  <c r="GQ308" i="10"/>
  <c r="CX380" i="10"/>
  <c r="CY380" i="10" s="1"/>
  <c r="DA380" i="10" s="1"/>
  <c r="CS380" i="10"/>
  <c r="CX200" i="10"/>
  <c r="CY200" i="10" s="1"/>
  <c r="DA200" i="10" s="1"/>
  <c r="CS200" i="10"/>
  <c r="CS107" i="10"/>
  <c r="CX107" i="10"/>
  <c r="CY107" i="10" s="1"/>
  <c r="DA107" i="10" s="1"/>
  <c r="GQ44" i="10"/>
  <c r="GP44" i="10"/>
  <c r="GQ76" i="10"/>
  <c r="GP76" i="10"/>
  <c r="CX60" i="10"/>
  <c r="CY60" i="10" s="1"/>
  <c r="DA60" i="10" s="1"/>
  <c r="CS60" i="10"/>
  <c r="GQ31" i="10"/>
  <c r="GP31" i="10"/>
  <c r="CS163" i="10"/>
  <c r="CX163" i="10"/>
  <c r="CY163" i="10" s="1"/>
  <c r="DA163" i="10" s="1"/>
  <c r="CX220" i="10"/>
  <c r="CY220" i="10" s="1"/>
  <c r="DA220" i="10" s="1"/>
  <c r="CS220" i="10"/>
  <c r="CS160" i="10"/>
  <c r="CX160" i="10"/>
  <c r="CY160" i="10" s="1"/>
  <c r="DA160" i="10" s="1"/>
  <c r="CX182" i="10"/>
  <c r="CY182" i="10" s="1"/>
  <c r="DA182" i="10" s="1"/>
  <c r="CS182" i="10"/>
  <c r="GQ218" i="10"/>
  <c r="GP218" i="10"/>
  <c r="GQ383" i="10"/>
  <c r="GP383" i="10"/>
  <c r="GQ198" i="10"/>
  <c r="GP198" i="10"/>
  <c r="GP246" i="10"/>
  <c r="GQ246" i="10"/>
  <c r="CS327" i="10"/>
  <c r="CX327" i="10"/>
  <c r="CY327" i="10" s="1"/>
  <c r="DA327" i="10" s="1"/>
  <c r="GP363" i="10"/>
  <c r="GQ363" i="10"/>
  <c r="GQ247" i="10"/>
  <c r="GP247" i="10"/>
  <c r="CX112" i="10"/>
  <c r="CY112" i="10" s="1"/>
  <c r="DA112" i="10" s="1"/>
  <c r="CS112" i="10"/>
  <c r="CX312" i="10"/>
  <c r="CY312" i="10" s="1"/>
  <c r="DA312" i="10" s="1"/>
  <c r="CS312" i="10"/>
  <c r="CS189" i="10"/>
  <c r="CX189" i="10"/>
  <c r="CY189" i="10" s="1"/>
  <c r="DA189" i="10" s="1"/>
  <c r="CS302" i="10"/>
  <c r="CX302" i="10"/>
  <c r="CY302" i="10" s="1"/>
  <c r="DA302" i="10" s="1"/>
  <c r="CX56" i="10"/>
  <c r="CY56" i="10" s="1"/>
  <c r="DA56" i="10" s="1"/>
  <c r="CS56" i="10"/>
  <c r="CX170" i="10"/>
  <c r="CY170" i="10" s="1"/>
  <c r="DA170" i="10" s="1"/>
  <c r="CS170" i="10"/>
  <c r="GQ291" i="10"/>
  <c r="GP291" i="10"/>
  <c r="GQ176" i="10"/>
  <c r="GP176" i="10"/>
  <c r="CX113" i="10"/>
  <c r="CY113" i="10" s="1"/>
  <c r="DA113" i="10" s="1"/>
  <c r="CS113" i="10"/>
  <c r="CS338" i="10"/>
  <c r="CX338" i="10"/>
  <c r="CY338" i="10" s="1"/>
  <c r="DA338" i="10" s="1"/>
  <c r="CX278" i="10"/>
  <c r="CY278" i="10" s="1"/>
  <c r="DA278" i="10" s="1"/>
  <c r="CS278" i="10"/>
  <c r="CS305" i="10"/>
  <c r="CX305" i="10"/>
  <c r="CY305" i="10" s="1"/>
  <c r="DA305" i="10" s="1"/>
  <c r="CX156" i="10"/>
  <c r="CY156" i="10" s="1"/>
  <c r="DA156" i="10" s="1"/>
  <c r="CS156" i="10"/>
  <c r="CS141" i="10"/>
  <c r="CX141" i="10"/>
  <c r="CY141" i="10" s="1"/>
  <c r="DA141" i="10" s="1"/>
  <c r="CX272" i="10"/>
  <c r="CY272" i="10" s="1"/>
  <c r="DA272" i="10" s="1"/>
  <c r="CS272" i="10"/>
  <c r="GP309" i="10"/>
  <c r="GQ309" i="10"/>
  <c r="CX303" i="10"/>
  <c r="CY303" i="10" s="1"/>
  <c r="DA303" i="10" s="1"/>
  <c r="CS303" i="10"/>
  <c r="CX57" i="10"/>
  <c r="CY57" i="10" s="1"/>
  <c r="DA57" i="10" s="1"/>
  <c r="CS57" i="10"/>
  <c r="CS138" i="10"/>
  <c r="CX138" i="10"/>
  <c r="CY138" i="10" s="1"/>
  <c r="DA138" i="10" s="1"/>
  <c r="CX297" i="10"/>
  <c r="CY297" i="10" s="1"/>
  <c r="DA297" i="10" s="1"/>
  <c r="CS297" i="10"/>
  <c r="CX42" i="10"/>
  <c r="CY42" i="10" s="1"/>
  <c r="DA42" i="10" s="1"/>
  <c r="CS42" i="10"/>
  <c r="GQ229" i="10"/>
  <c r="GP229" i="10"/>
  <c r="GP227" i="10"/>
  <c r="GQ227" i="10"/>
  <c r="CX313" i="10"/>
  <c r="CY313" i="10" s="1"/>
  <c r="DA313" i="10" s="1"/>
  <c r="CS313" i="10"/>
  <c r="GQ33" i="10"/>
  <c r="GP33" i="10"/>
  <c r="CS91" i="10"/>
  <c r="CX91" i="10"/>
  <c r="CY91" i="10" s="1"/>
  <c r="DA91" i="10" s="1"/>
  <c r="CS122" i="10"/>
  <c r="CX122" i="10"/>
  <c r="CY122" i="10" s="1"/>
  <c r="DA122" i="10" s="1"/>
  <c r="GP321" i="10"/>
  <c r="GQ321" i="10"/>
  <c r="CX208" i="10"/>
  <c r="CY208" i="10" s="1"/>
  <c r="DA208" i="10" s="1"/>
  <c r="CS208" i="10"/>
  <c r="CS239" i="10"/>
  <c r="CX239" i="10"/>
  <c r="CY239" i="10" s="1"/>
  <c r="DA239" i="10" s="1"/>
  <c r="CX356" i="10"/>
  <c r="CY356" i="10" s="1"/>
  <c r="DA356" i="10" s="1"/>
  <c r="CS356" i="10"/>
  <c r="CS383" i="10"/>
  <c r="CX383" i="10"/>
  <c r="CY383" i="10" s="1"/>
  <c r="DA383" i="10" s="1"/>
  <c r="CX363" i="10"/>
  <c r="CY363" i="10" s="1"/>
  <c r="DA363" i="10" s="1"/>
  <c r="CS363" i="10"/>
  <c r="CS197" i="10"/>
  <c r="CX197" i="10"/>
  <c r="CY197" i="10" s="1"/>
  <c r="DA197" i="10" s="1"/>
  <c r="CX389" i="10"/>
  <c r="CY389" i="10" s="1"/>
  <c r="DA389" i="10" s="1"/>
  <c r="CS389" i="10"/>
  <c r="GP210" i="10"/>
  <c r="GQ210" i="10"/>
  <c r="GQ52" i="10"/>
  <c r="GP52" i="10"/>
  <c r="GQ105" i="10"/>
  <c r="GP105" i="10"/>
  <c r="CS252" i="10"/>
  <c r="CX252" i="10"/>
  <c r="CY252" i="10" s="1"/>
  <c r="DA252" i="10" s="1"/>
  <c r="CS130" i="10"/>
  <c r="CX130" i="10"/>
  <c r="CY130" i="10" s="1"/>
  <c r="DA130" i="10" s="1"/>
  <c r="GQ347" i="10"/>
  <c r="GP347" i="10"/>
  <c r="GP348" i="10"/>
  <c r="GQ348" i="10"/>
  <c r="GP319" i="10"/>
  <c r="GQ319" i="10"/>
  <c r="GQ353" i="10"/>
  <c r="GP353" i="10"/>
  <c r="CX224" i="10"/>
  <c r="CY224" i="10" s="1"/>
  <c r="DA224" i="10" s="1"/>
  <c r="CS224" i="10"/>
  <c r="GP145" i="10"/>
  <c r="GQ145" i="10"/>
  <c r="GQ255" i="10"/>
  <c r="GP255" i="10"/>
  <c r="CS264" i="10"/>
  <c r="CX264" i="10"/>
  <c r="CY264" i="10" s="1"/>
  <c r="DA264" i="10" s="1"/>
  <c r="CS106" i="10"/>
  <c r="CX106" i="10"/>
  <c r="CY106" i="10" s="1"/>
  <c r="DA106" i="10" s="1"/>
  <c r="CS385" i="10"/>
  <c r="CX385" i="10"/>
  <c r="CY385" i="10" s="1"/>
  <c r="DA385" i="10" s="1"/>
  <c r="CS306" i="10"/>
  <c r="CX306" i="10"/>
  <c r="CY306" i="10" s="1"/>
  <c r="DA306" i="10" s="1"/>
  <c r="GQ336" i="10"/>
  <c r="GP336" i="10"/>
  <c r="CS75" i="10"/>
  <c r="CX75" i="10"/>
  <c r="CY75" i="10" s="1"/>
  <c r="DA75" i="10" s="1"/>
  <c r="GQ377" i="10"/>
  <c r="GP377" i="10"/>
  <c r="GQ373" i="10"/>
  <c r="GP373" i="10"/>
  <c r="CS76" i="10"/>
  <c r="CX76" i="10"/>
  <c r="CY76" i="10" s="1"/>
  <c r="DA76" i="10" s="1"/>
  <c r="GQ60" i="10"/>
  <c r="GP60" i="10"/>
  <c r="GP240" i="10"/>
  <c r="GQ240" i="10"/>
  <c r="GQ38" i="10"/>
  <c r="GP38" i="10"/>
  <c r="GQ160" i="10"/>
  <c r="GP160" i="10"/>
  <c r="GP182" i="10"/>
  <c r="GQ182" i="10"/>
  <c r="GQ129" i="10"/>
  <c r="GP129" i="10"/>
  <c r="GQ327" i="10"/>
  <c r="GP327" i="10"/>
  <c r="CX190" i="10"/>
  <c r="CY190" i="10" s="1"/>
  <c r="DA190" i="10" s="1"/>
  <c r="CS190" i="10"/>
  <c r="GQ93" i="10"/>
  <c r="GP93" i="10"/>
  <c r="CX41" i="10"/>
  <c r="CY41" i="10" s="1"/>
  <c r="DA41" i="10" s="1"/>
  <c r="CS41" i="10"/>
  <c r="CS67" i="10"/>
  <c r="CX67" i="10"/>
  <c r="CY67" i="10" s="1"/>
  <c r="DA67" i="10" s="1"/>
  <c r="GQ102" i="10"/>
  <c r="GP102" i="10"/>
  <c r="GQ312" i="10"/>
  <c r="GP312" i="10"/>
  <c r="CX384" i="10"/>
  <c r="CY384" i="10" s="1"/>
  <c r="DA384" i="10" s="1"/>
  <c r="CS384" i="10"/>
  <c r="CX322" i="10"/>
  <c r="CY322" i="10" s="1"/>
  <c r="DA322" i="10" s="1"/>
  <c r="CS322" i="10"/>
  <c r="CX121" i="10"/>
  <c r="CY121" i="10" s="1"/>
  <c r="DA121" i="10" s="1"/>
  <c r="CS121" i="10"/>
  <c r="GQ26" i="10"/>
  <c r="GP26" i="10"/>
  <c r="GQ162" i="10"/>
  <c r="GP162" i="10"/>
  <c r="GQ314" i="10"/>
  <c r="GP314" i="10"/>
  <c r="GQ207" i="10"/>
  <c r="GP207" i="10"/>
  <c r="GQ98" i="10"/>
  <c r="GP98" i="10"/>
  <c r="GQ78" i="10"/>
  <c r="GP78" i="10"/>
  <c r="CX377" i="10"/>
  <c r="CY377" i="10" s="1"/>
  <c r="DA377" i="10" s="1"/>
  <c r="CS377" i="10"/>
  <c r="GQ190" i="10"/>
  <c r="GP190" i="10"/>
  <c r="CX47" i="10"/>
  <c r="CY47" i="10" s="1"/>
  <c r="DA47" i="10" s="1"/>
  <c r="CS47" i="10"/>
  <c r="CX193" i="10"/>
  <c r="CY193" i="10" s="1"/>
  <c r="DA193" i="10" s="1"/>
  <c r="CS193" i="10"/>
  <c r="CX379" i="10"/>
  <c r="CY379" i="10" s="1"/>
  <c r="DA379" i="10" s="1"/>
  <c r="CS379" i="10"/>
  <c r="GQ378" i="10"/>
  <c r="GP378" i="10"/>
  <c r="GP200" i="10"/>
  <c r="GQ200" i="10"/>
  <c r="GQ136" i="10"/>
  <c r="GP136" i="10"/>
  <c r="CS44" i="10"/>
  <c r="CX44" i="10"/>
  <c r="CY44" i="10" s="1"/>
  <c r="DA44" i="10" s="1"/>
  <c r="CX390" i="10"/>
  <c r="CY390" i="10" s="1"/>
  <c r="DA390" i="10" s="1"/>
  <c r="CS390" i="10"/>
  <c r="CS66" i="10"/>
  <c r="CX66" i="10"/>
  <c r="CY66" i="10" s="1"/>
  <c r="DA66" i="10" s="1"/>
  <c r="CX180" i="10"/>
  <c r="CY180" i="10" s="1"/>
  <c r="DA180" i="10" s="1"/>
  <c r="CS180" i="10"/>
  <c r="CS240" i="10"/>
  <c r="CX240" i="10"/>
  <c r="CY240" i="10" s="1"/>
  <c r="DA240" i="10" s="1"/>
  <c r="GQ307" i="10"/>
  <c r="GP307" i="10"/>
  <c r="GQ220" i="10"/>
  <c r="GP220" i="10"/>
  <c r="GQ63" i="10"/>
  <c r="GP63" i="10"/>
  <c r="CS340" i="10"/>
  <c r="CX340" i="10"/>
  <c r="CY340" i="10" s="1"/>
  <c r="DA340" i="10" s="1"/>
  <c r="CS36" i="10"/>
  <c r="CX36" i="10"/>
  <c r="CY36" i="10" s="1"/>
  <c r="DA36" i="10" s="1"/>
  <c r="CX27" i="10"/>
  <c r="CY27" i="10" s="1"/>
  <c r="DA27" i="10" s="1"/>
  <c r="CS27" i="10"/>
  <c r="CX277" i="10"/>
  <c r="CY277" i="10" s="1"/>
  <c r="DA277" i="10" s="1"/>
  <c r="CS277" i="10"/>
  <c r="CS167" i="10"/>
  <c r="CX167" i="10"/>
  <c r="CY167" i="10" s="1"/>
  <c r="DA167" i="10" s="1"/>
  <c r="GQ41" i="10"/>
  <c r="GP41" i="10"/>
  <c r="CX248" i="10"/>
  <c r="CY248" i="10" s="1"/>
  <c r="DA248" i="10" s="1"/>
  <c r="CS248" i="10"/>
  <c r="GQ322" i="10"/>
  <c r="GP322" i="10"/>
  <c r="GQ121" i="10"/>
  <c r="GP121" i="10"/>
  <c r="CS46" i="10"/>
  <c r="CX46" i="10"/>
  <c r="CY46" i="10" s="1"/>
  <c r="DA46" i="10" s="1"/>
  <c r="GQ302" i="10"/>
  <c r="GP302" i="10"/>
  <c r="CS25" i="10"/>
  <c r="CX25" i="10"/>
  <c r="CY25" i="10" s="1"/>
  <c r="DA25" i="10" s="1"/>
  <c r="GQ56" i="10"/>
  <c r="GP56" i="10"/>
  <c r="CX194" i="10"/>
  <c r="CY194" i="10" s="1"/>
  <c r="DA194" i="10" s="1"/>
  <c r="CS194" i="10"/>
  <c r="GQ326" i="10"/>
  <c r="GP326" i="10"/>
  <c r="GP236" i="10"/>
  <c r="GQ236" i="10"/>
  <c r="CS314" i="10"/>
  <c r="CX314" i="10"/>
  <c r="CY314" i="10" s="1"/>
  <c r="DA314" i="10" s="1"/>
  <c r="GQ113" i="10"/>
  <c r="GP113" i="10"/>
  <c r="CS325" i="10"/>
  <c r="CX325" i="10"/>
  <c r="CY325" i="10" s="1"/>
  <c r="DA325" i="10" s="1"/>
  <c r="GQ292" i="10"/>
  <c r="GP292" i="10"/>
  <c r="CS183" i="10"/>
  <c r="CX183" i="10"/>
  <c r="CY183" i="10" s="1"/>
  <c r="DA183" i="10" s="1"/>
  <c r="CS318" i="10"/>
  <c r="CX318" i="10"/>
  <c r="CY318" i="10" s="1"/>
  <c r="DA318" i="10" s="1"/>
  <c r="CS94" i="10"/>
  <c r="CX94" i="10"/>
  <c r="CY94" i="10" s="1"/>
  <c r="DA94" i="10" s="1"/>
  <c r="GQ28" i="10"/>
  <c r="GP28" i="10"/>
  <c r="CX70" i="10"/>
  <c r="CY70" i="10" s="1"/>
  <c r="DA70" i="10" s="1"/>
  <c r="CS70" i="10"/>
  <c r="CX321" i="10"/>
  <c r="CY321" i="10" s="1"/>
  <c r="DA321" i="10" s="1"/>
  <c r="CS321" i="10"/>
  <c r="CX146" i="10"/>
  <c r="CY146" i="10" s="1"/>
  <c r="DA146" i="10" s="1"/>
  <c r="CS146" i="10"/>
  <c r="CS178" i="10"/>
  <c r="CX178" i="10"/>
  <c r="CY178" i="10" s="1"/>
  <c r="DA178" i="10" s="1"/>
  <c r="CS78" i="10"/>
  <c r="CX78" i="10"/>
  <c r="CY78" i="10" s="1"/>
  <c r="DA78" i="10" s="1"/>
  <c r="CX116" i="10"/>
  <c r="CY116" i="10" s="1"/>
  <c r="DA116" i="10" s="1"/>
  <c r="CS116" i="10"/>
  <c r="GQ270" i="10"/>
  <c r="GP270" i="10"/>
  <c r="GP242" i="10"/>
  <c r="GQ242" i="10"/>
  <c r="GQ72" i="10"/>
  <c r="GP72" i="10"/>
  <c r="CS287" i="10"/>
  <c r="CX287" i="10"/>
  <c r="CY287" i="10" s="1"/>
  <c r="DA287" i="10" s="1"/>
  <c r="GP260" i="10"/>
  <c r="GQ260" i="10"/>
  <c r="GQ116" i="10"/>
  <c r="GP116" i="10"/>
  <c r="CS223" i="10"/>
  <c r="CX223" i="10"/>
  <c r="CY223" i="10" s="1"/>
  <c r="DA223" i="10" s="1"/>
  <c r="CS110" i="10"/>
  <c r="CX110" i="10"/>
  <c r="CY110" i="10" s="1"/>
  <c r="DA110" i="10" s="1"/>
  <c r="CX133" i="10"/>
  <c r="CY133" i="10" s="1"/>
  <c r="DA133" i="10" s="1"/>
  <c r="CS133" i="10"/>
  <c r="GQ115" i="10"/>
  <c r="GP115" i="10"/>
  <c r="CX136" i="10"/>
  <c r="CY136" i="10" s="1"/>
  <c r="DA136" i="10" s="1"/>
  <c r="CS136" i="10"/>
  <c r="CS79" i="10"/>
  <c r="CX79" i="10"/>
  <c r="CY79" i="10" s="1"/>
  <c r="DA79" i="10" s="1"/>
  <c r="GQ153" i="10"/>
  <c r="GP153" i="10"/>
  <c r="CX347" i="10"/>
  <c r="CY347" i="10" s="1"/>
  <c r="DA347" i="10" s="1"/>
  <c r="CS347" i="10"/>
  <c r="GP193" i="10"/>
  <c r="GQ193" i="10"/>
  <c r="CS123" i="10"/>
  <c r="CX123" i="10"/>
  <c r="CY123" i="10" s="1"/>
  <c r="DA123" i="10" s="1"/>
  <c r="CS135" i="10"/>
  <c r="CX135" i="10"/>
  <c r="CY135" i="10" s="1"/>
  <c r="DA135" i="10" s="1"/>
  <c r="GQ370" i="10"/>
  <c r="GP370" i="10"/>
  <c r="CX308" i="10"/>
  <c r="CY308" i="10" s="1"/>
  <c r="DA308" i="10" s="1"/>
  <c r="CS308" i="10"/>
  <c r="CX336" i="10"/>
  <c r="CY336" i="10" s="1"/>
  <c r="DA336" i="10" s="1"/>
  <c r="CS336" i="10"/>
  <c r="CS307" i="10"/>
  <c r="CX307" i="10"/>
  <c r="CY307" i="10" s="1"/>
  <c r="DA307" i="10" s="1"/>
  <c r="CX38" i="10"/>
  <c r="CY38" i="10" s="1"/>
  <c r="DA38" i="10" s="1"/>
  <c r="CS38" i="10"/>
  <c r="CX63" i="10"/>
  <c r="CY63" i="10" s="1"/>
  <c r="DA63" i="10" s="1"/>
  <c r="CS63" i="10"/>
  <c r="GP273" i="10"/>
  <c r="GQ273" i="10"/>
  <c r="CX218" i="10"/>
  <c r="CY218" i="10" s="1"/>
  <c r="DA218" i="10" s="1"/>
  <c r="CS218" i="10"/>
  <c r="CX129" i="10"/>
  <c r="CY129" i="10" s="1"/>
  <c r="DA129" i="10" s="1"/>
  <c r="CS129" i="10"/>
  <c r="CS89" i="10"/>
  <c r="CX89" i="10"/>
  <c r="CY89" i="10" s="1"/>
  <c r="DA89" i="10" s="1"/>
  <c r="CX62" i="10"/>
  <c r="CY62" i="10" s="1"/>
  <c r="DA62" i="10" s="1"/>
  <c r="CS62" i="10"/>
  <c r="CS149" i="10"/>
  <c r="CX149" i="10"/>
  <c r="CY149" i="10" s="1"/>
  <c r="DA149" i="10" s="1"/>
  <c r="GQ112" i="10"/>
  <c r="GP112" i="10"/>
  <c r="GQ67" i="10"/>
  <c r="GP67" i="10"/>
  <c r="CS284" i="10"/>
  <c r="CX284" i="10"/>
  <c r="CY284" i="10" s="1"/>
  <c r="DA284" i="10" s="1"/>
  <c r="CX169" i="10"/>
  <c r="CY169" i="10" s="1"/>
  <c r="DA169" i="10" s="1"/>
  <c r="CS169" i="10"/>
  <c r="GQ201" i="10"/>
  <c r="GP201" i="10"/>
  <c r="CS26" i="10"/>
  <c r="CX26" i="10"/>
  <c r="CY26" i="10" s="1"/>
  <c r="DA26" i="10" s="1"/>
  <c r="GP194" i="10"/>
  <c r="GQ194" i="10"/>
  <c r="CX326" i="10"/>
  <c r="CY326" i="10" s="1"/>
  <c r="DA326" i="10" s="1"/>
  <c r="CS326" i="10"/>
  <c r="CS159" i="10"/>
  <c r="CX159" i="10"/>
  <c r="CY159" i="10" s="1"/>
  <c r="DA159" i="10" s="1"/>
  <c r="GQ384" i="10"/>
  <c r="GP384" i="10"/>
  <c r="CS111" i="10"/>
  <c r="CX111" i="10"/>
  <c r="CY111" i="10" s="1"/>
  <c r="DA111" i="10" s="1"/>
  <c r="GQ57" i="10"/>
  <c r="GP57" i="10"/>
  <c r="CX243" i="10"/>
  <c r="CY243" i="10" s="1"/>
  <c r="DA243" i="10" s="1"/>
  <c r="CS243" i="10"/>
  <c r="GP286" i="10"/>
  <c r="GQ286" i="10"/>
  <c r="CX173" i="10"/>
  <c r="CY173" i="10" s="1"/>
  <c r="DA173" i="10" s="1"/>
  <c r="CS173" i="10"/>
  <c r="CX127" i="10"/>
  <c r="CY127" i="10" s="1"/>
  <c r="DA127" i="10" s="1"/>
  <c r="CS127" i="10"/>
  <c r="CX72" i="10"/>
  <c r="CY72" i="10" s="1"/>
  <c r="DA72" i="10" s="1"/>
  <c r="CS72" i="10"/>
  <c r="GP279" i="10"/>
  <c r="GQ279" i="10"/>
  <c r="CX171" i="10"/>
  <c r="CY171" i="10" s="1"/>
  <c r="DA171" i="10" s="1"/>
  <c r="CS171" i="10"/>
  <c r="CS259" i="10"/>
  <c r="CX259" i="10"/>
  <c r="CY259" i="10" s="1"/>
  <c r="DA259" i="10" s="1"/>
  <c r="CX179" i="10"/>
  <c r="CY179" i="10" s="1"/>
  <c r="DA179" i="10" s="1"/>
  <c r="CS179" i="10"/>
  <c r="GQ311" i="10"/>
  <c r="GP311" i="10"/>
  <c r="CS40" i="10"/>
  <c r="CX40" i="10"/>
  <c r="CY40" i="10" s="1"/>
  <c r="DA40" i="10" s="1"/>
  <c r="CX268" i="10"/>
  <c r="CY268" i="10" s="1"/>
  <c r="DA268" i="10" s="1"/>
  <c r="CS268" i="10"/>
  <c r="CS192" i="10"/>
  <c r="CX192" i="10"/>
  <c r="CY192" i="10" s="1"/>
  <c r="DA192" i="10" s="1"/>
  <c r="CX175" i="10"/>
  <c r="CY175" i="10" s="1"/>
  <c r="DA175" i="10" s="1"/>
  <c r="CS175" i="10"/>
  <c r="GP161" i="10"/>
  <c r="GQ161" i="10"/>
  <c r="GP259" i="10"/>
  <c r="GQ259" i="10"/>
  <c r="GQ268" i="10"/>
  <c r="GP268" i="10"/>
  <c r="CS81" i="10"/>
  <c r="CX81" i="10"/>
  <c r="CY81" i="10" s="1"/>
  <c r="DA81" i="10" s="1"/>
  <c r="GQ305" i="10"/>
  <c r="GP305" i="10"/>
  <c r="CS144" i="10"/>
  <c r="CX144" i="10"/>
  <c r="CY144" i="10" s="1"/>
  <c r="DA144" i="10" s="1"/>
  <c r="GQ53" i="10"/>
  <c r="GP53" i="10"/>
  <c r="GQ150" i="10"/>
  <c r="GP150" i="10"/>
  <c r="CS247" i="10"/>
  <c r="CX247" i="10"/>
  <c r="CY247" i="10" s="1"/>
  <c r="DA247" i="10" s="1"/>
  <c r="GQ178" i="10"/>
  <c r="GP178" i="10"/>
  <c r="CS230" i="10"/>
  <c r="CX230" i="10"/>
  <c r="CY230" i="10" s="1"/>
  <c r="DA230" i="10" s="1"/>
  <c r="GQ310" i="10"/>
  <c r="GP310" i="10"/>
  <c r="GQ69" i="10"/>
  <c r="GP69" i="10"/>
  <c r="CX102" i="10"/>
  <c r="CY102" i="10" s="1"/>
  <c r="DA102" i="10" s="1"/>
  <c r="CS102" i="10"/>
  <c r="CX381" i="10"/>
  <c r="CY381" i="10" s="1"/>
  <c r="DA381" i="10" s="1"/>
  <c r="CS381" i="10"/>
  <c r="CX152" i="10"/>
  <c r="CY152" i="10" s="1"/>
  <c r="DA152" i="10" s="1"/>
  <c r="CS152" i="10"/>
  <c r="CS124" i="10"/>
  <c r="CX124" i="10"/>
  <c r="CY124" i="10" s="1"/>
  <c r="DA124" i="10" s="1"/>
  <c r="CX285" i="10"/>
  <c r="CY285" i="10" s="1"/>
  <c r="DA285" i="10" s="1"/>
  <c r="CS285" i="10"/>
  <c r="CS196" i="10"/>
  <c r="CX196" i="10"/>
  <c r="CY196" i="10" s="1"/>
  <c r="DA196" i="10" s="1"/>
  <c r="GQ130" i="10"/>
  <c r="GP130" i="10"/>
  <c r="CS96" i="10"/>
  <c r="CX96" i="10"/>
  <c r="CY96" i="10" s="1"/>
  <c r="DA96" i="10" s="1"/>
  <c r="CX132" i="10"/>
  <c r="CY132" i="10" s="1"/>
  <c r="DA132" i="10" s="1"/>
  <c r="CS132" i="10"/>
  <c r="GQ331" i="10"/>
  <c r="GP331" i="10"/>
  <c r="GQ359" i="10"/>
  <c r="GP359" i="10"/>
  <c r="GQ264" i="10"/>
  <c r="GP264" i="10"/>
  <c r="CS164" i="10"/>
  <c r="CX164" i="10"/>
  <c r="CY164" i="10" s="1"/>
  <c r="DA164" i="10" s="1"/>
  <c r="CS246" i="10"/>
  <c r="CX246" i="10"/>
  <c r="CY246" i="10" s="1"/>
  <c r="DA246" i="10" s="1"/>
  <c r="GQ89" i="10"/>
  <c r="GP89" i="10"/>
  <c r="GQ62" i="10"/>
  <c r="GP62" i="10"/>
  <c r="GQ368" i="10"/>
  <c r="GP368" i="10"/>
  <c r="CX344" i="10"/>
  <c r="CY344" i="10" s="1"/>
  <c r="DA344" i="10" s="1"/>
  <c r="CS344" i="10"/>
  <c r="CS333" i="10"/>
  <c r="CX333" i="10"/>
  <c r="CY333" i="10" s="1"/>
  <c r="DA333" i="10" s="1"/>
  <c r="CX343" i="10"/>
  <c r="CY343" i="10" s="1"/>
  <c r="DA343" i="10" s="1"/>
  <c r="CS343" i="10"/>
  <c r="CS266" i="10"/>
  <c r="CX266" i="10"/>
  <c r="CY266" i="10" s="1"/>
  <c r="DA266" i="10" s="1"/>
  <c r="CX177" i="10"/>
  <c r="CY177" i="10" s="1"/>
  <c r="DA177" i="10" s="1"/>
  <c r="CS177" i="10"/>
  <c r="GP285" i="10"/>
  <c r="GQ285" i="10"/>
  <c r="GQ96" i="10"/>
  <c r="GP96" i="10"/>
  <c r="CS376" i="10"/>
  <c r="CX376" i="10"/>
  <c r="CY376" i="10" s="1"/>
  <c r="DA376" i="10" s="1"/>
  <c r="CX80" i="10"/>
  <c r="CY80" i="10" s="1"/>
  <c r="DA80" i="10" s="1"/>
  <c r="CS80" i="10"/>
  <c r="GQ36" i="10"/>
  <c r="GP36" i="10"/>
  <c r="CX330" i="10"/>
  <c r="CY330" i="10" s="1"/>
  <c r="DA330" i="10" s="1"/>
  <c r="CS330" i="10"/>
  <c r="CX155" i="10"/>
  <c r="CY155" i="10" s="1"/>
  <c r="DA155" i="10" s="1"/>
  <c r="CS155" i="10"/>
  <c r="CX219" i="10"/>
  <c r="CY219" i="10" s="1"/>
  <c r="DA219" i="10" s="1"/>
  <c r="CS219" i="10"/>
  <c r="GQ152" i="10"/>
  <c r="GP152" i="10"/>
  <c r="GQ214" i="10"/>
  <c r="GP214" i="10"/>
  <c r="GQ288" i="10"/>
  <c r="GP288" i="10"/>
  <c r="GP266" i="10"/>
  <c r="GQ266" i="10"/>
  <c r="GQ126" i="10"/>
  <c r="GP126" i="10"/>
  <c r="GQ267" i="10"/>
  <c r="GP267" i="10"/>
  <c r="GQ177" i="10"/>
  <c r="GP177" i="10"/>
  <c r="GP317" i="10"/>
  <c r="GQ317" i="10"/>
  <c r="CX84" i="10"/>
  <c r="CY84" i="10" s="1"/>
  <c r="DA84" i="10" s="1"/>
  <c r="CS84" i="10"/>
  <c r="GQ65" i="10"/>
  <c r="GP65" i="10"/>
  <c r="CX158" i="10"/>
  <c r="CY158" i="10" s="1"/>
  <c r="DA158" i="10" s="1"/>
  <c r="CS158" i="10"/>
  <c r="GP22" i="10"/>
  <c r="GQ22" i="10"/>
  <c r="GQ157" i="10"/>
  <c r="GP157" i="10"/>
  <c r="GQ154" i="10"/>
  <c r="GP154" i="10"/>
  <c r="GQ376" i="10"/>
  <c r="GP376" i="10"/>
  <c r="GP388" i="10"/>
  <c r="GQ388" i="10"/>
  <c r="CS82" i="10"/>
  <c r="CX82" i="10"/>
  <c r="CY82" i="10" s="1"/>
  <c r="DA82" i="10" s="1"/>
  <c r="CX345" i="10"/>
  <c r="CY345" i="10" s="1"/>
  <c r="DA345" i="10" s="1"/>
  <c r="CS345" i="10"/>
  <c r="GQ241" i="10"/>
  <c r="GP241" i="10"/>
  <c r="CS95" i="10"/>
  <c r="CX95" i="10"/>
  <c r="CY95" i="10" s="1"/>
  <c r="DA95" i="10" s="1"/>
  <c r="CS351" i="10"/>
  <c r="CX351" i="10"/>
  <c r="CY351" i="10" s="1"/>
  <c r="DA351" i="10" s="1"/>
  <c r="CX85" i="10"/>
  <c r="CY85" i="10" s="1"/>
  <c r="DA85" i="10" s="1"/>
  <c r="CS85" i="10"/>
  <c r="CX147" i="10"/>
  <c r="CY147" i="10" s="1"/>
  <c r="DA147" i="10" s="1"/>
  <c r="CS147" i="10"/>
  <c r="GQ329" i="10"/>
  <c r="GP329" i="10"/>
  <c r="CS216" i="10"/>
  <c r="CX216" i="10"/>
  <c r="CY216" i="10" s="1"/>
  <c r="DA216" i="10" s="1"/>
  <c r="GQ149" i="10"/>
  <c r="GP149" i="10"/>
  <c r="CX350" i="10"/>
  <c r="CY350" i="10" s="1"/>
  <c r="DA350" i="10" s="1"/>
  <c r="CS350" i="10"/>
  <c r="GP316" i="10"/>
  <c r="GQ316" i="10"/>
  <c r="GP284" i="10"/>
  <c r="GQ284" i="10"/>
  <c r="GQ34" i="10"/>
  <c r="GP34" i="10"/>
  <c r="GQ371" i="10"/>
  <c r="GP371" i="10"/>
  <c r="CS108" i="10"/>
  <c r="CX108" i="10"/>
  <c r="CY108" i="10" s="1"/>
  <c r="DA108" i="10" s="1"/>
  <c r="CX368" i="10"/>
  <c r="CY368" i="10" s="1"/>
  <c r="DA368" i="10" s="1"/>
  <c r="CS368" i="10"/>
  <c r="GQ211" i="10"/>
  <c r="GP211" i="10"/>
  <c r="GP202" i="10"/>
  <c r="GQ202" i="10"/>
  <c r="CS58" i="10"/>
  <c r="CX58" i="10"/>
  <c r="CY58" i="10" s="1"/>
  <c r="DA58" i="10" s="1"/>
  <c r="CS125" i="10"/>
  <c r="CX125" i="10"/>
  <c r="CY125" i="10" s="1"/>
  <c r="DA125" i="10" s="1"/>
  <c r="CS365" i="10"/>
  <c r="CX365" i="10"/>
  <c r="CY365" i="10" s="1"/>
  <c r="DA365" i="10" s="1"/>
  <c r="CS73" i="10"/>
  <c r="CX73" i="10"/>
  <c r="CY73" i="10" s="1"/>
  <c r="DA73" i="10" s="1"/>
  <c r="CX391" i="10"/>
  <c r="CY391" i="10" s="1"/>
  <c r="DA391" i="10" s="1"/>
  <c r="CS391" i="10"/>
  <c r="GQ365" i="10"/>
  <c r="GP365" i="10"/>
  <c r="GQ91" i="10"/>
  <c r="GP91" i="10"/>
  <c r="GQ230" i="10"/>
  <c r="GP230" i="10"/>
  <c r="CS128" i="10"/>
  <c r="CX128" i="10"/>
  <c r="CY128" i="10" s="1"/>
  <c r="DA128" i="10" s="1"/>
  <c r="GQ391" i="10"/>
  <c r="GP391" i="10"/>
  <c r="CX105" i="10"/>
  <c r="CY105" i="10" s="1"/>
  <c r="DA105" i="10" s="1"/>
  <c r="CS105" i="10"/>
  <c r="GQ104" i="10"/>
  <c r="GP104" i="10"/>
  <c r="GQ203" i="10"/>
  <c r="GP203" i="10"/>
  <c r="GQ223" i="10"/>
  <c r="GP223" i="10"/>
  <c r="GQ122" i="10"/>
  <c r="GP122" i="10"/>
  <c r="CX98" i="10"/>
  <c r="CY98" i="10" s="1"/>
  <c r="DA98" i="10" s="1"/>
  <c r="CS98" i="10"/>
  <c r="CX271" i="10"/>
  <c r="CY271" i="10" s="1"/>
  <c r="DA271" i="10" s="1"/>
  <c r="CS271" i="10"/>
  <c r="CX262" i="10"/>
  <c r="CY262" i="10" s="1"/>
  <c r="DA262" i="10" s="1"/>
  <c r="CS262" i="10"/>
  <c r="GP343" i="10"/>
  <c r="GQ343" i="10"/>
  <c r="GQ379" i="10"/>
  <c r="GP379" i="10"/>
  <c r="GQ262" i="10"/>
  <c r="GP262" i="10"/>
  <c r="CX61" i="10"/>
  <c r="CY61" i="10" s="1"/>
  <c r="DA61" i="10" s="1"/>
  <c r="CS61" i="10"/>
  <c r="GQ47" i="10"/>
  <c r="GP47" i="10"/>
  <c r="CX71" i="10"/>
  <c r="CY71" i="10" s="1"/>
  <c r="DA71" i="10" s="1"/>
  <c r="CS71" i="10"/>
  <c r="GQ95" i="10"/>
  <c r="GP95" i="10"/>
  <c r="GQ147" i="10"/>
  <c r="GP147" i="10"/>
  <c r="CX201" i="10"/>
  <c r="CY201" i="10" s="1"/>
  <c r="DA201" i="10" s="1"/>
  <c r="CS201" i="10"/>
  <c r="CS151" i="10"/>
  <c r="CX151" i="10"/>
  <c r="CY151" i="10" s="1"/>
  <c r="DA151" i="10" s="1"/>
  <c r="CX139" i="10"/>
  <c r="CY139" i="10" s="1"/>
  <c r="DA139" i="10" s="1"/>
  <c r="CS139" i="10"/>
  <c r="GP367" i="10"/>
  <c r="GQ367" i="10"/>
  <c r="GQ39" i="10"/>
  <c r="GP39" i="10"/>
  <c r="GP219" i="10"/>
  <c r="GQ219" i="10"/>
  <c r="CS360" i="10"/>
  <c r="CX360" i="10"/>
  <c r="CY360" i="10" s="1"/>
  <c r="DA360" i="10" s="1"/>
  <c r="GQ290" i="10"/>
  <c r="GP290" i="10"/>
  <c r="GQ132" i="10"/>
  <c r="GP132" i="10"/>
  <c r="GQ375" i="10"/>
  <c r="GP375" i="10"/>
  <c r="CS304" i="10"/>
  <c r="CX304" i="10"/>
  <c r="CY304" i="10" s="1"/>
  <c r="DA304" i="10" s="1"/>
  <c r="CX331" i="10"/>
  <c r="CY331" i="10" s="1"/>
  <c r="DA331" i="10" s="1"/>
  <c r="CS331" i="10"/>
  <c r="GQ64" i="10"/>
  <c r="GP64" i="10"/>
  <c r="CX317" i="10"/>
  <c r="CY317" i="10" s="1"/>
  <c r="DA317" i="10" s="1"/>
  <c r="CS317" i="10"/>
  <c r="GQ84" i="10"/>
  <c r="GP84" i="10"/>
  <c r="CX274" i="10"/>
  <c r="CY274" i="10" s="1"/>
  <c r="DA274" i="10" s="1"/>
  <c r="CS274" i="10"/>
  <c r="CX213" i="10"/>
  <c r="CY213" i="10" s="1"/>
  <c r="DA213" i="10" s="1"/>
  <c r="CS213" i="10"/>
  <c r="CX65" i="10"/>
  <c r="CY65" i="10" s="1"/>
  <c r="DA65" i="10" s="1"/>
  <c r="CS65" i="10"/>
  <c r="GQ158" i="10"/>
  <c r="GP158" i="10"/>
  <c r="GQ123" i="10"/>
  <c r="GP123" i="10"/>
  <c r="CX101" i="10"/>
  <c r="CY101" i="10" s="1"/>
  <c r="DA101" i="10" s="1"/>
  <c r="CS101" i="10"/>
  <c r="CX299" i="10"/>
  <c r="CY299" i="10" s="1"/>
  <c r="DA299" i="10" s="1"/>
  <c r="CS299" i="10"/>
  <c r="GQ165" i="10"/>
  <c r="GP165" i="10"/>
  <c r="GQ212" i="10"/>
  <c r="GP212" i="10"/>
  <c r="GQ217" i="10"/>
  <c r="GP217" i="10"/>
  <c r="CS54" i="10"/>
  <c r="CX54" i="10"/>
  <c r="CY54" i="10" s="1"/>
  <c r="DA54" i="10" s="1"/>
  <c r="GQ328" i="10"/>
  <c r="GP328" i="10"/>
  <c r="CS281" i="10"/>
  <c r="CX281" i="10"/>
  <c r="CY281" i="10" s="1"/>
  <c r="DA281" i="10" s="1"/>
  <c r="GQ82" i="10"/>
  <c r="GP82" i="10"/>
  <c r="GQ86" i="10"/>
  <c r="GP86" i="10"/>
  <c r="CS29" i="10"/>
  <c r="CX29" i="10"/>
  <c r="CY29" i="10" s="1"/>
  <c r="DA29" i="10" s="1"/>
  <c r="GQ83" i="10"/>
  <c r="GP83" i="10"/>
  <c r="GP351" i="10"/>
  <c r="GQ351" i="10"/>
  <c r="CX296" i="10"/>
  <c r="CY296" i="10" s="1"/>
  <c r="DA296" i="10" s="1"/>
  <c r="CS296" i="10"/>
  <c r="GQ216" i="10"/>
  <c r="GP216" i="10"/>
  <c r="GQ92" i="10"/>
  <c r="GP92" i="10"/>
  <c r="GP258" i="10"/>
  <c r="GQ258" i="10"/>
  <c r="GQ117" i="10"/>
  <c r="GP117" i="10"/>
  <c r="GQ151" i="10"/>
  <c r="GP151" i="10"/>
  <c r="GQ139" i="10"/>
  <c r="GP139" i="10"/>
  <c r="CS371" i="10"/>
  <c r="CX371" i="10"/>
  <c r="CY371" i="10" s="1"/>
  <c r="DA371" i="10" s="1"/>
  <c r="GP185" i="10"/>
  <c r="GQ185" i="10"/>
  <c r="CS168" i="10"/>
  <c r="CX168" i="10"/>
  <c r="CY168" i="10" s="1"/>
  <c r="DA168" i="10" s="1"/>
  <c r="GQ358" i="10"/>
  <c r="GP358" i="10"/>
  <c r="GQ74" i="10"/>
  <c r="GP74" i="10"/>
  <c r="CS372" i="10"/>
  <c r="CX372" i="10"/>
  <c r="CY372" i="10" s="1"/>
  <c r="DA372" i="10" s="1"/>
  <c r="GQ280" i="10"/>
  <c r="GP280" i="10"/>
  <c r="GQ344" i="10"/>
  <c r="GP344" i="10"/>
  <c r="GQ125" i="10"/>
  <c r="GP125" i="10"/>
  <c r="CX229" i="10"/>
  <c r="CY229" i="10" s="1"/>
  <c r="DA229" i="10" s="1"/>
  <c r="CS229" i="10"/>
  <c r="GQ111" i="10"/>
  <c r="GP111" i="10"/>
  <c r="CX115" i="10"/>
  <c r="CY115" i="10" s="1"/>
  <c r="DA115" i="10" s="1"/>
  <c r="CS115" i="10"/>
  <c r="GP174" i="10"/>
  <c r="GQ174" i="10"/>
  <c r="GQ325" i="10"/>
  <c r="GP325" i="10"/>
  <c r="GQ37" i="10"/>
  <c r="GP37" i="10"/>
  <c r="CX270" i="10"/>
  <c r="CY270" i="10" s="1"/>
  <c r="DA270" i="10" s="1"/>
  <c r="CS270" i="10"/>
  <c r="CX207" i="10"/>
  <c r="CY207" i="10" s="1"/>
  <c r="DA207" i="10" s="1"/>
  <c r="CS207" i="10"/>
  <c r="GP186" i="10"/>
  <c r="GQ186" i="10"/>
  <c r="GQ313" i="10"/>
  <c r="GP313" i="10"/>
  <c r="CS150" i="10"/>
  <c r="CX150" i="10"/>
  <c r="CY150" i="10" s="1"/>
  <c r="DA150" i="10" s="1"/>
  <c r="GQ269" i="10"/>
  <c r="GP269" i="10"/>
  <c r="GQ48" i="10"/>
  <c r="GP48" i="10"/>
  <c r="CS291" i="10"/>
  <c r="CX291" i="10"/>
  <c r="CY291" i="10" s="1"/>
  <c r="DA291" i="10" s="1"/>
  <c r="CS37" i="10"/>
  <c r="CX37" i="10"/>
  <c r="CY37" i="10" s="1"/>
  <c r="DA37" i="10" s="1"/>
  <c r="CS131" i="10"/>
  <c r="CX131" i="10"/>
  <c r="CY131" i="10" s="1"/>
  <c r="DA131" i="10" s="1"/>
  <c r="GQ192" i="10"/>
  <c r="GP192" i="10"/>
  <c r="CX315" i="10"/>
  <c r="CY315" i="10" s="1"/>
  <c r="DA315" i="10" s="1"/>
  <c r="CS315" i="10"/>
  <c r="GQ141" i="10"/>
  <c r="GP141" i="10"/>
  <c r="GQ369" i="10"/>
  <c r="GP369" i="10"/>
  <c r="GP381" i="10"/>
  <c r="GQ381" i="10"/>
  <c r="CS206" i="10"/>
  <c r="CX206" i="10"/>
  <c r="CY206" i="10" s="1"/>
  <c r="DA206" i="10" s="1"/>
  <c r="GQ234" i="10"/>
  <c r="GP234" i="10"/>
  <c r="CS320" i="10"/>
  <c r="CX320" i="10"/>
  <c r="CY320" i="10" s="1"/>
  <c r="DA320" i="10" s="1"/>
  <c r="GQ128" i="10"/>
  <c r="GP128" i="10"/>
  <c r="CS142" i="10"/>
  <c r="CX142" i="10"/>
  <c r="CY142" i="10" s="1"/>
  <c r="DA142" i="10" s="1"/>
  <c r="GP171" i="10"/>
  <c r="GQ171" i="10"/>
  <c r="GQ272" i="10"/>
  <c r="GP272" i="10"/>
  <c r="CX392" i="10"/>
  <c r="CY392" i="10" s="1"/>
  <c r="DA392" i="10" s="1"/>
  <c r="CS392" i="10"/>
  <c r="CX176" i="10"/>
  <c r="CY176" i="10" s="1"/>
  <c r="DA176" i="10" s="1"/>
  <c r="CS176" i="10"/>
  <c r="CX195" i="10"/>
  <c r="CY195" i="10" s="1"/>
  <c r="DA195" i="10" s="1"/>
  <c r="CS195" i="10"/>
  <c r="GQ209" i="10"/>
  <c r="GP209" i="10"/>
  <c r="GQ170" i="10"/>
  <c r="GP170" i="10"/>
  <c r="GP271" i="10"/>
  <c r="GQ271" i="10"/>
  <c r="GP196" i="10"/>
  <c r="GQ196" i="10"/>
  <c r="CS49" i="10"/>
  <c r="CX49" i="10"/>
  <c r="CY49" i="10" s="1"/>
  <c r="DA49" i="10" s="1"/>
  <c r="GQ389" i="10"/>
  <c r="GP389" i="10"/>
  <c r="CS353" i="10"/>
  <c r="CX353" i="10"/>
  <c r="CY353" i="10" s="1"/>
  <c r="DA353" i="10" s="1"/>
  <c r="CX153" i="10"/>
  <c r="CY153" i="10" s="1"/>
  <c r="DA153" i="10" s="1"/>
  <c r="CS153" i="10"/>
  <c r="CS261" i="10"/>
  <c r="CX261" i="10"/>
  <c r="CY261" i="10" s="1"/>
  <c r="DA261" i="10" s="1"/>
  <c r="GP306" i="10"/>
  <c r="GQ306" i="10"/>
  <c r="CX388" i="10"/>
  <c r="CY388" i="10" s="1"/>
  <c r="DA388" i="10" s="1"/>
  <c r="CS388" i="10"/>
  <c r="GQ390" i="10"/>
  <c r="GP390" i="10"/>
  <c r="GQ27" i="10"/>
  <c r="GP27" i="10"/>
  <c r="GQ169" i="10"/>
  <c r="GP169" i="10"/>
  <c r="CX295" i="10"/>
  <c r="CY295" i="10" s="1"/>
  <c r="DA295" i="10" s="1"/>
  <c r="CS295" i="10"/>
  <c r="CS202" i="10"/>
  <c r="CX202" i="10"/>
  <c r="CY202" i="10" s="1"/>
  <c r="DA202" i="10" s="1"/>
  <c r="GP338" i="10"/>
  <c r="GQ338" i="10"/>
  <c r="CX386" i="10"/>
  <c r="CY386" i="10" s="1"/>
  <c r="DA386" i="10" s="1"/>
  <c r="CS386" i="10"/>
  <c r="CX382" i="10"/>
  <c r="CY382" i="10" s="1"/>
  <c r="DA382" i="10" s="1"/>
  <c r="CS382" i="10"/>
  <c r="CS375" i="10"/>
  <c r="CX375" i="10"/>
  <c r="CY375" i="10" s="1"/>
  <c r="DA375" i="10" s="1"/>
  <c r="CS64" i="10"/>
  <c r="CX64" i="10"/>
  <c r="CY64" i="10" s="1"/>
  <c r="DA64" i="10" s="1"/>
  <c r="CX231" i="10"/>
  <c r="CY231" i="10" s="1"/>
  <c r="DA231" i="10" s="1"/>
  <c r="CS231" i="10"/>
  <c r="CS22" i="10"/>
  <c r="CX22" i="10"/>
  <c r="CY22" i="10" s="1"/>
  <c r="DA22" i="10" s="1"/>
  <c r="GQ164" i="10"/>
  <c r="GP164" i="10"/>
  <c r="GQ191" i="10"/>
  <c r="GP191" i="10"/>
  <c r="CX294" i="10"/>
  <c r="CY294" i="10" s="1"/>
  <c r="DA294" i="10" s="1"/>
  <c r="CS294" i="10"/>
  <c r="GQ180" i="10"/>
  <c r="GP180" i="10"/>
  <c r="GQ281" i="10"/>
  <c r="GP281" i="10"/>
  <c r="CX241" i="10"/>
  <c r="CY241" i="10" s="1"/>
  <c r="DA241" i="10" s="1"/>
  <c r="CS241" i="10"/>
  <c r="CS273" i="10"/>
  <c r="CX273" i="10"/>
  <c r="CY273" i="10" s="1"/>
  <c r="DA273" i="10" s="1"/>
  <c r="CX329" i="10"/>
  <c r="CY329" i="10" s="1"/>
  <c r="DA329" i="10" s="1"/>
  <c r="CS329" i="10"/>
  <c r="CS339" i="10"/>
  <c r="CX339" i="10"/>
  <c r="CY339" i="10" s="1"/>
  <c r="DA339" i="10" s="1"/>
  <c r="CX258" i="10"/>
  <c r="CY258" i="10" s="1"/>
  <c r="DA258" i="10" s="1"/>
  <c r="CS258" i="10"/>
  <c r="CS211" i="10"/>
  <c r="CX211" i="10"/>
  <c r="CY211" i="10" s="1"/>
  <c r="DA211" i="10" s="1"/>
  <c r="CS74" i="10"/>
  <c r="CX74" i="10"/>
  <c r="CY74" i="10" s="1"/>
  <c r="DA74" i="10" s="1"/>
  <c r="GQ295" i="10"/>
  <c r="GP295" i="10"/>
  <c r="CX236" i="10"/>
  <c r="CY236" i="10" s="1"/>
  <c r="DA236" i="10" s="1"/>
  <c r="CS236" i="10"/>
  <c r="GQ159" i="10"/>
  <c r="GP159" i="10"/>
  <c r="CX235" i="10"/>
  <c r="CY235" i="10" s="1"/>
  <c r="DA235" i="10" s="1"/>
  <c r="CS235" i="10"/>
  <c r="CX323" i="10"/>
  <c r="CY323" i="10" s="1"/>
  <c r="DA323" i="10" s="1"/>
  <c r="CS323" i="10"/>
  <c r="CX39" i="10"/>
  <c r="CY39" i="10" s="1"/>
  <c r="DA39" i="10" s="1"/>
  <c r="CS39" i="10"/>
  <c r="GQ330" i="10"/>
  <c r="GP330" i="10"/>
  <c r="GQ155" i="10"/>
  <c r="GP155" i="10"/>
  <c r="GQ333" i="10"/>
  <c r="GP333" i="10"/>
  <c r="GP387" i="10"/>
  <c r="GQ387" i="10"/>
  <c r="CS214" i="10"/>
  <c r="CX214" i="10"/>
  <c r="CY214" i="10" s="1"/>
  <c r="DA214" i="10" s="1"/>
  <c r="GP382" i="10"/>
  <c r="GQ382" i="10"/>
  <c r="CS288" i="10"/>
  <c r="CX288" i="10"/>
  <c r="CY288" i="10" s="1"/>
  <c r="DA288" i="10" s="1"/>
  <c r="GQ109" i="10"/>
  <c r="GP109" i="10"/>
  <c r="GQ61" i="10"/>
  <c r="GP61" i="10"/>
  <c r="CX50" i="10"/>
  <c r="CY50" i="10" s="1"/>
  <c r="DA50" i="10" s="1"/>
  <c r="CS50" i="10"/>
  <c r="GQ55" i="10"/>
  <c r="GP55" i="10"/>
  <c r="CS341" i="10"/>
  <c r="CX341" i="10"/>
  <c r="CY341" i="10" s="1"/>
  <c r="DA341" i="10" s="1"/>
  <c r="CX237" i="10"/>
  <c r="CY237" i="10" s="1"/>
  <c r="DA237" i="10" s="1"/>
  <c r="CS237" i="10"/>
  <c r="GQ374" i="10"/>
  <c r="GP374" i="10"/>
  <c r="CS157" i="10"/>
  <c r="CX157" i="10"/>
  <c r="CY157" i="10" s="1"/>
  <c r="DA157" i="10" s="1"/>
  <c r="GP335" i="10"/>
  <c r="GQ335" i="10"/>
  <c r="CX215" i="10"/>
  <c r="CY215" i="10" s="1"/>
  <c r="DA215" i="10" s="1"/>
  <c r="CS215" i="10"/>
  <c r="CX251" i="10"/>
  <c r="CY251" i="10" s="1"/>
  <c r="DA251" i="10" s="1"/>
  <c r="CS251" i="10"/>
  <c r="GP346" i="10"/>
  <c r="GQ346" i="10"/>
  <c r="GQ232" i="10"/>
  <c r="GP232" i="10"/>
  <c r="CX86" i="10"/>
  <c r="CY86" i="10" s="1"/>
  <c r="DA86" i="10" s="1"/>
  <c r="CS86" i="10"/>
  <c r="GP345" i="10"/>
  <c r="GQ345" i="10"/>
  <c r="GQ263" i="10"/>
  <c r="GP263" i="10"/>
  <c r="GP184" i="10"/>
  <c r="GQ184" i="10"/>
  <c r="CS100" i="10"/>
  <c r="CX100" i="10"/>
  <c r="CY100" i="10" s="1"/>
  <c r="DA100" i="10" s="1"/>
  <c r="CS92" i="10"/>
  <c r="CX92" i="10"/>
  <c r="CY92" i="10" s="1"/>
  <c r="DA92" i="10" s="1"/>
  <c r="GQ350" i="10"/>
  <c r="GP350" i="10"/>
  <c r="CS316" i="10"/>
  <c r="CX316" i="10"/>
  <c r="CY316" i="10" s="1"/>
  <c r="DA316" i="10" s="1"/>
  <c r="CX117" i="10"/>
  <c r="CY117" i="10" s="1"/>
  <c r="DA117" i="10" s="1"/>
  <c r="CS117" i="10"/>
  <c r="CX34" i="10"/>
  <c r="CY34" i="10" s="1"/>
  <c r="DA34" i="10" s="1"/>
  <c r="CS34" i="10"/>
  <c r="GQ168" i="10"/>
  <c r="GP168" i="10"/>
  <c r="CX256" i="10"/>
  <c r="CY256" i="10" s="1"/>
  <c r="DA256" i="10" s="1"/>
  <c r="CS256" i="10"/>
  <c r="GQ250" i="10"/>
  <c r="GP250" i="10"/>
  <c r="GQ58" i="10"/>
  <c r="GP58" i="10"/>
  <c r="CS280" i="10"/>
  <c r="CX280" i="10"/>
  <c r="CY280" i="10" s="1"/>
  <c r="DA280" i="10" s="1"/>
  <c r="CS90" i="10"/>
  <c r="CX90" i="10"/>
  <c r="CY90" i="10" s="1"/>
  <c r="DA90" i="10" s="1"/>
  <c r="GQ70" i="10"/>
  <c r="GP70" i="10"/>
  <c r="GQ45" i="10"/>
  <c r="GP45" i="10"/>
  <c r="GQ59" i="10"/>
  <c r="GP59" i="10"/>
  <c r="GQ73" i="10"/>
  <c r="GP73" i="10"/>
  <c r="CS352" i="10"/>
  <c r="CX352" i="10"/>
  <c r="CY352" i="10" s="1"/>
  <c r="DA352" i="10" s="1"/>
  <c r="CX53" i="10"/>
  <c r="CY53" i="10" s="1"/>
  <c r="DA53" i="10" s="1"/>
  <c r="CS53" i="10"/>
  <c r="CX120" i="10"/>
  <c r="CY120" i="10" s="1"/>
  <c r="DA120" i="10" s="1"/>
  <c r="CS120" i="10"/>
  <c r="CX31" i="10"/>
  <c r="CY31" i="10" s="1"/>
  <c r="DA31" i="10" s="1"/>
  <c r="CS31" i="10"/>
  <c r="GQ133" i="10"/>
  <c r="GP133" i="10"/>
  <c r="GQ392" i="10"/>
  <c r="GP392" i="10"/>
  <c r="CS143" i="10"/>
  <c r="CX143" i="10"/>
  <c r="CY143" i="10" s="1"/>
  <c r="DA143" i="10" s="1"/>
  <c r="GQ318" i="10"/>
  <c r="GP318" i="10"/>
  <c r="CS310" i="10"/>
  <c r="CX310" i="10"/>
  <c r="CY310" i="10" s="1"/>
  <c r="DA310" i="10" s="1"/>
  <c r="CS209" i="10"/>
  <c r="CX209" i="10"/>
  <c r="CY209" i="10" s="1"/>
  <c r="DA209" i="10" s="1"/>
  <c r="CX162" i="10"/>
  <c r="CY162" i="10" s="1"/>
  <c r="DA162" i="10" s="1"/>
  <c r="CS162" i="10"/>
  <c r="CX166" i="10"/>
  <c r="CY166" i="10" s="1"/>
  <c r="DA166" i="10" s="1"/>
  <c r="CS166" i="10"/>
  <c r="CS257" i="10"/>
  <c r="CX257" i="10"/>
  <c r="CY257" i="10" s="1"/>
  <c r="DA257" i="10" s="1"/>
  <c r="CX300" i="10"/>
  <c r="CY300" i="10" s="1"/>
  <c r="DA300" i="10" s="1"/>
  <c r="CS300" i="10"/>
  <c r="CS378" i="10"/>
  <c r="CX378" i="10"/>
  <c r="CY378" i="10" s="1"/>
  <c r="DA378" i="10" s="1"/>
  <c r="GP380" i="10"/>
  <c r="GQ380" i="10"/>
  <c r="GQ175" i="10"/>
  <c r="GP175" i="10"/>
  <c r="CS269" i="10"/>
  <c r="CX269" i="10"/>
  <c r="CY269" i="10" s="1"/>
  <c r="DA269" i="10" s="1"/>
  <c r="GQ277" i="10"/>
  <c r="GP277" i="10"/>
  <c r="GQ303" i="10"/>
  <c r="GP303" i="10"/>
  <c r="GQ81" i="10"/>
  <c r="GP81" i="10"/>
  <c r="CX234" i="10"/>
  <c r="CY234" i="10" s="1"/>
  <c r="DA234" i="10" s="1"/>
  <c r="CS234" i="10"/>
  <c r="CS319" i="10"/>
  <c r="CX319" i="10"/>
  <c r="CY319" i="10" s="1"/>
  <c r="DA319" i="10" s="1"/>
  <c r="GQ239" i="10"/>
  <c r="GP239" i="10"/>
  <c r="GQ79" i="10"/>
  <c r="GP79" i="10"/>
  <c r="GQ49" i="10"/>
  <c r="GP49" i="10"/>
  <c r="CS126" i="10"/>
  <c r="CX126" i="10"/>
  <c r="CY126" i="10" s="1"/>
  <c r="DA126" i="10" s="1"/>
  <c r="GQ107" i="10"/>
  <c r="GP107" i="10"/>
  <c r="CX210" i="10"/>
  <c r="CY210" i="10" s="1"/>
  <c r="DA210" i="10" s="1"/>
  <c r="CS210" i="10"/>
  <c r="GQ231" i="10"/>
  <c r="GP231" i="10"/>
  <c r="GQ385" i="10"/>
  <c r="GP385" i="10"/>
  <c r="GQ71" i="10"/>
  <c r="GP71" i="10"/>
  <c r="CX212" i="10"/>
  <c r="CY212" i="10" s="1"/>
  <c r="DA212" i="10" s="1"/>
  <c r="CS212" i="10"/>
  <c r="GQ75" i="10"/>
  <c r="GP75" i="10"/>
  <c r="CX191" i="10"/>
  <c r="CY191" i="10" s="1"/>
  <c r="DA191" i="10" s="1"/>
  <c r="CS191" i="10"/>
  <c r="GQ294" i="10"/>
  <c r="GP294" i="10"/>
  <c r="GQ167" i="10"/>
  <c r="GP167" i="10"/>
  <c r="GQ248" i="10"/>
  <c r="GP248" i="10"/>
  <c r="GQ46" i="10"/>
  <c r="GP46" i="10"/>
  <c r="CX367" i="10"/>
  <c r="CY367" i="10" s="1"/>
  <c r="DA367" i="10" s="1"/>
  <c r="CS367" i="10"/>
  <c r="CX290" i="10"/>
  <c r="CY290" i="10" s="1"/>
  <c r="DA290" i="10" s="1"/>
  <c r="CS290" i="10"/>
  <c r="CX55" i="10"/>
  <c r="CY55" i="10" s="1"/>
  <c r="DA55" i="10" s="1"/>
  <c r="CS55" i="10"/>
  <c r="GQ261" i="10"/>
  <c r="GP261" i="10"/>
  <c r="CS217" i="10"/>
  <c r="CX217" i="10"/>
  <c r="CY217" i="10" s="1"/>
  <c r="DA217" i="10" s="1"/>
  <c r="CS373" i="10"/>
  <c r="CX373" i="10"/>
  <c r="CY373" i="10" s="1"/>
  <c r="DA373" i="10" s="1"/>
  <c r="GQ66" i="10"/>
  <c r="GP66" i="10"/>
  <c r="GQ340" i="10"/>
  <c r="GP340" i="10"/>
  <c r="CX184" i="10"/>
  <c r="CY184" i="10" s="1"/>
  <c r="DA184" i="10" s="1"/>
  <c r="CS184" i="10"/>
  <c r="GQ235" i="10"/>
  <c r="GP235" i="10"/>
  <c r="GP323" i="10"/>
  <c r="GQ323" i="10"/>
  <c r="GQ386" i="10"/>
  <c r="GP386" i="10"/>
  <c r="GQ354" i="10"/>
  <c r="GP354" i="10"/>
  <c r="CS387" i="10"/>
  <c r="CX387" i="10"/>
  <c r="CY387" i="10" s="1"/>
  <c r="DA387" i="10" s="1"/>
  <c r="GQ118" i="10"/>
  <c r="GP118" i="10"/>
  <c r="GQ304" i="10"/>
  <c r="GP304" i="10"/>
  <c r="GQ88" i="10"/>
  <c r="GP88" i="10"/>
  <c r="CS267" i="10"/>
  <c r="CX267" i="10"/>
  <c r="CY267" i="10" s="1"/>
  <c r="DA267" i="10" s="1"/>
  <c r="CX366" i="10"/>
  <c r="CY366" i="10" s="1"/>
  <c r="DA366" i="10" s="1"/>
  <c r="CS366" i="10"/>
  <c r="GQ50" i="10"/>
  <c r="GP50" i="10"/>
  <c r="CX188" i="10"/>
  <c r="CY188" i="10" s="1"/>
  <c r="DA188" i="10" s="1"/>
  <c r="CS188" i="10"/>
  <c r="GQ341" i="10"/>
  <c r="GP341" i="10"/>
  <c r="CS334" i="10"/>
  <c r="CX334" i="10"/>
  <c r="CY334" i="10" s="1"/>
  <c r="DA334" i="10" s="1"/>
  <c r="GQ237" i="10"/>
  <c r="GP237" i="10"/>
  <c r="GP213" i="10"/>
  <c r="GQ213" i="10"/>
  <c r="CX337" i="10"/>
  <c r="CY337" i="10" s="1"/>
  <c r="DA337" i="10" s="1"/>
  <c r="CS337" i="10"/>
  <c r="GQ101" i="10"/>
  <c r="GP101" i="10"/>
  <c r="GQ282" i="10"/>
  <c r="GP282" i="10"/>
  <c r="CS154" i="10"/>
  <c r="CX154" i="10"/>
  <c r="CY154" i="10" s="1"/>
  <c r="DA154" i="10" s="1"/>
  <c r="GQ299" i="10"/>
  <c r="GP299" i="10"/>
  <c r="CX165" i="10"/>
  <c r="CY165" i="10" s="1"/>
  <c r="DA165" i="10" s="1"/>
  <c r="CS165" i="10"/>
  <c r="CX335" i="10"/>
  <c r="CY335" i="10" s="1"/>
  <c r="DA335" i="10" s="1"/>
  <c r="CS335" i="10"/>
  <c r="GQ54" i="10"/>
  <c r="GP54" i="10"/>
  <c r="GQ80" i="10"/>
  <c r="GP80" i="10"/>
  <c r="CS328" i="10"/>
  <c r="CX328" i="10"/>
  <c r="CY328" i="10" s="1"/>
  <c r="DA328" i="10" s="1"/>
  <c r="CS298" i="10"/>
  <c r="CX298" i="10"/>
  <c r="CY298" i="10" s="1"/>
  <c r="DA298" i="10" s="1"/>
  <c r="GQ99" i="10"/>
  <c r="GP99" i="10"/>
  <c r="CX263" i="10"/>
  <c r="CY263" i="10" s="1"/>
  <c r="DA263" i="10" s="1"/>
  <c r="CS263" i="10"/>
  <c r="CS199" i="10"/>
  <c r="CX199" i="10"/>
  <c r="CY199" i="10" s="1"/>
  <c r="DA199" i="10" s="1"/>
  <c r="CS83" i="10"/>
  <c r="CX83" i="10"/>
  <c r="CY83" i="10" s="1"/>
  <c r="DA83" i="10" s="1"/>
  <c r="GQ85" i="10"/>
  <c r="GP85" i="10"/>
  <c r="GQ296" i="10"/>
  <c r="GP296" i="10"/>
  <c r="GQ342" i="10"/>
  <c r="GP342" i="10"/>
  <c r="CS279" i="10"/>
  <c r="CX279" i="10"/>
  <c r="CY279" i="10" s="1"/>
  <c r="DA279" i="10" s="1"/>
  <c r="GP339" i="10"/>
  <c r="GQ339" i="10"/>
  <c r="CS275" i="10"/>
  <c r="CX275" i="10"/>
  <c r="CY275" i="10" s="1"/>
  <c r="DA275" i="10" s="1"/>
  <c r="CS77" i="10"/>
  <c r="CX77" i="10"/>
  <c r="CY77" i="10" s="1"/>
  <c r="DA77" i="10" s="1"/>
  <c r="GQ172" i="10"/>
  <c r="GP172" i="10"/>
  <c r="CX185" i="10"/>
  <c r="CY185" i="10" s="1"/>
  <c r="DA185" i="10" s="1"/>
  <c r="CS185" i="10"/>
  <c r="CS362" i="10"/>
  <c r="CX362" i="10"/>
  <c r="CY362" i="10" s="1"/>
  <c r="DA362" i="10" s="1"/>
  <c r="GQ256" i="10"/>
  <c r="GP256" i="10"/>
  <c r="CS23" i="10"/>
  <c r="CX23" i="10"/>
  <c r="CY23" i="10" s="1"/>
  <c r="DA23" i="10" s="1"/>
  <c r="CS250" i="10"/>
  <c r="CX250" i="10"/>
  <c r="CY250" i="10" s="1"/>
  <c r="DA250" i="10" s="1"/>
  <c r="GQ372" i="10"/>
  <c r="GP372" i="10"/>
  <c r="CS249" i="10"/>
  <c r="CX249" i="10"/>
  <c r="CY249" i="10" s="1"/>
  <c r="DA249" i="10" s="1"/>
  <c r="GQ119" i="10"/>
  <c r="GP119" i="10"/>
  <c r="BX249" i="10"/>
  <c r="CC346" i="10"/>
  <c r="CD352" i="10"/>
  <c r="BV324" i="10"/>
  <c r="BV200" i="10"/>
  <c r="BW104" i="10"/>
  <c r="CB78" i="10"/>
  <c r="BV115" i="10"/>
  <c r="BX30" i="10"/>
  <c r="BW358" i="10"/>
  <c r="CC301" i="10"/>
  <c r="BW286" i="10"/>
  <c r="CD230" i="10"/>
  <c r="CC194" i="10"/>
  <c r="CC306" i="10"/>
  <c r="BW319" i="10"/>
  <c r="BW188" i="10"/>
  <c r="BW328" i="10"/>
  <c r="BX222" i="10"/>
  <c r="CC173" i="10"/>
  <c r="BW163" i="10"/>
  <c r="CD121" i="10"/>
  <c r="CD153" i="10"/>
  <c r="BX149" i="10"/>
  <c r="CC368" i="10"/>
  <c r="CD263" i="10"/>
  <c r="BV323" i="10"/>
  <c r="CD88" i="10"/>
  <c r="BW91" i="10"/>
  <c r="BW297" i="10"/>
  <c r="BV87" i="10"/>
  <c r="BW258" i="10"/>
  <c r="BV357" i="10"/>
  <c r="BW303" i="10"/>
  <c r="BV192" i="10"/>
  <c r="CC103" i="10"/>
  <c r="BW27" i="10"/>
  <c r="CD240" i="10"/>
  <c r="CD158" i="10"/>
  <c r="CD222" i="10"/>
  <c r="BV277" i="10"/>
  <c r="CB190" i="10"/>
  <c r="BX305" i="10"/>
  <c r="CB201" i="10"/>
  <c r="CC339" i="10"/>
  <c r="CD192" i="10"/>
  <c r="BX175" i="10"/>
  <c r="BW238" i="10"/>
  <c r="CD384" i="10"/>
  <c r="BX373" i="10"/>
  <c r="BW267" i="10"/>
  <c r="BX283" i="10"/>
  <c r="BX186" i="10"/>
  <c r="CD63" i="10"/>
  <c r="BV303" i="10"/>
  <c r="BW97" i="10"/>
  <c r="CD212" i="10"/>
  <c r="CD133" i="10"/>
  <c r="BV221" i="10"/>
  <c r="CB320" i="10"/>
  <c r="CC232" i="10"/>
  <c r="CC144" i="10"/>
  <c r="CB180" i="10"/>
  <c r="CC80" i="10"/>
  <c r="BW371" i="10"/>
  <c r="CD61" i="10"/>
  <c r="BW165" i="10"/>
  <c r="BV156" i="10"/>
  <c r="BX123" i="10"/>
  <c r="CD241" i="10"/>
  <c r="BV366" i="10"/>
  <c r="BX360" i="10"/>
  <c r="CD28" i="10"/>
  <c r="BW144" i="10"/>
  <c r="BW201" i="10"/>
  <c r="BV70" i="10"/>
  <c r="CB296" i="10"/>
  <c r="CB29" i="10"/>
  <c r="CB249" i="10"/>
  <c r="BX189" i="10"/>
  <c r="CC287" i="10"/>
  <c r="BV388" i="10"/>
  <c r="CB330" i="10"/>
  <c r="CB285" i="10"/>
  <c r="CC52" i="10"/>
  <c r="BV196" i="10"/>
  <c r="CD43" i="10"/>
  <c r="BW244" i="10"/>
  <c r="BX391" i="10"/>
  <c r="BX390" i="10"/>
  <c r="CB241" i="10"/>
  <c r="BV304" i="10"/>
  <c r="BX100" i="10"/>
  <c r="CB162" i="10"/>
  <c r="BV381" i="10"/>
  <c r="BX324" i="10"/>
  <c r="CB254" i="10"/>
  <c r="BV127" i="10"/>
  <c r="CC58" i="10"/>
  <c r="CB62" i="10"/>
  <c r="BX29" i="10"/>
  <c r="BX318" i="10"/>
  <c r="BX281" i="10"/>
  <c r="BW275" i="10"/>
  <c r="CB307" i="10"/>
  <c r="BV346" i="10"/>
  <c r="BV189" i="10"/>
  <c r="BX227" i="10"/>
  <c r="CD58" i="10"/>
  <c r="CC62" i="10"/>
  <c r="BV34" i="10"/>
  <c r="CB318" i="10"/>
  <c r="BW314" i="10"/>
  <c r="CC358" i="10"/>
  <c r="BV378" i="10"/>
  <c r="BV227" i="10"/>
  <c r="CD84" i="10"/>
  <c r="CC152" i="10"/>
  <c r="BV355" i="10"/>
  <c r="BX69" i="10"/>
  <c r="CC66" i="10"/>
  <c r="CC290" i="10"/>
  <c r="BX321" i="10"/>
  <c r="CC213" i="10"/>
  <c r="BX340" i="10"/>
  <c r="BW76" i="10"/>
  <c r="BX72" i="10"/>
  <c r="BX79" i="10"/>
  <c r="BX267" i="10"/>
  <c r="BX307" i="10"/>
  <c r="BX55" i="10"/>
  <c r="CD374" i="10"/>
  <c r="CC98" i="10"/>
  <c r="BV66" i="10"/>
  <c r="BV235" i="10"/>
  <c r="CD329" i="10"/>
  <c r="BW307" i="10"/>
  <c r="BW129" i="10"/>
  <c r="BV314" i="10"/>
  <c r="CD381" i="10"/>
  <c r="CB174" i="10"/>
  <c r="BV288" i="10"/>
  <c r="BX141" i="10"/>
  <c r="CB56" i="10"/>
  <c r="CC228" i="10"/>
  <c r="CC326" i="10"/>
  <c r="CC281" i="10"/>
  <c r="CD141" i="10"/>
  <c r="BV26" i="10"/>
  <c r="CD288" i="10"/>
  <c r="CB348" i="10"/>
  <c r="BX140" i="10"/>
  <c r="BV177" i="10"/>
  <c r="CD184" i="10"/>
  <c r="CD331" i="10"/>
  <c r="BW125" i="10"/>
  <c r="CD190" i="10"/>
  <c r="CB135" i="10"/>
  <c r="BV285" i="10"/>
  <c r="CD342" i="10"/>
  <c r="BV173" i="10"/>
  <c r="CC354" i="10"/>
  <c r="BW336" i="10"/>
  <c r="BX341" i="10"/>
  <c r="BV341" i="10"/>
  <c r="BV135" i="10"/>
  <c r="CC365" i="10"/>
  <c r="BV184" i="10"/>
  <c r="BV365" i="10"/>
  <c r="BV59" i="10"/>
  <c r="BX150" i="10"/>
  <c r="CB41" i="10"/>
  <c r="BV244" i="10"/>
  <c r="BV80" i="10"/>
  <c r="CD284" i="10"/>
  <c r="CD332" i="10"/>
  <c r="BW231" i="10"/>
  <c r="CC246" i="10"/>
  <c r="CC75" i="10"/>
  <c r="CD304" i="10"/>
  <c r="BX380" i="10"/>
  <c r="BX383" i="10"/>
  <c r="CB149" i="10"/>
  <c r="CB84" i="10"/>
  <c r="CB195" i="10"/>
  <c r="CC304" i="10"/>
  <c r="CC248" i="10"/>
  <c r="BW146" i="10"/>
  <c r="BX252" i="10"/>
  <c r="BW304" i="10"/>
  <c r="CD262" i="10"/>
  <c r="BX223" i="10"/>
  <c r="CB223" i="10"/>
  <c r="CC355" i="10"/>
  <c r="BW350" i="10"/>
  <c r="CB327" i="10"/>
  <c r="CB138" i="10"/>
  <c r="BV223" i="10"/>
  <c r="BW232" i="10"/>
  <c r="BW365" i="10"/>
  <c r="BV150" i="10"/>
  <c r="CD268" i="10"/>
  <c r="CD326" i="10"/>
  <c r="CC180" i="10"/>
  <c r="CB349" i="10"/>
  <c r="BW92" i="10"/>
  <c r="BX392" i="10"/>
  <c r="CC235" i="10"/>
  <c r="BV311" i="10"/>
  <c r="CC149" i="10"/>
  <c r="BW310" i="10"/>
  <c r="BW128" i="10"/>
  <c r="CB322" i="10"/>
  <c r="BV317" i="10"/>
  <c r="CB104" i="10"/>
  <c r="CD321" i="10"/>
  <c r="BW326" i="10"/>
  <c r="BX45" i="10"/>
  <c r="CD59" i="10"/>
  <c r="CD60" i="10"/>
  <c r="BW141" i="10"/>
  <c r="CC133" i="10"/>
  <c r="CD56" i="10"/>
  <c r="BX374" i="10"/>
  <c r="BV194" i="10"/>
  <c r="BW249" i="10"/>
  <c r="BX362" i="10"/>
  <c r="BV338" i="10"/>
  <c r="BX270" i="10"/>
  <c r="BX40" i="10"/>
  <c r="BV133" i="10"/>
  <c r="BV86" i="10"/>
  <c r="BW113" i="10"/>
  <c r="CB109" i="10"/>
  <c r="CD348" i="10"/>
  <c r="BV94" i="10"/>
  <c r="BX113" i="10"/>
  <c r="CC388" i="10"/>
  <c r="BW277" i="10"/>
  <c r="CC201" i="10"/>
  <c r="BW348" i="10"/>
  <c r="BX218" i="10"/>
  <c r="CD285" i="10"/>
  <c r="BW293" i="10"/>
  <c r="CC221" i="10"/>
  <c r="CB236" i="10"/>
  <c r="CC120" i="10"/>
  <c r="BV58" i="10"/>
  <c r="BV214" i="10"/>
  <c r="BW153" i="10"/>
  <c r="BW61" i="10"/>
  <c r="BW230" i="10"/>
  <c r="BV48" i="10"/>
  <c r="CD235" i="10"/>
  <c r="CD39" i="10"/>
  <c r="BW259" i="10"/>
  <c r="CD335" i="10"/>
  <c r="CB286" i="10"/>
  <c r="CD210" i="10"/>
  <c r="CD378" i="10"/>
  <c r="CC156" i="10"/>
  <c r="BV255" i="10"/>
  <c r="CD334" i="10"/>
  <c r="CC119" i="10"/>
  <c r="CD249" i="10"/>
  <c r="CD346" i="10"/>
  <c r="BX53" i="10"/>
  <c r="BW225" i="10"/>
  <c r="BW66" i="10"/>
  <c r="CB390" i="10"/>
  <c r="BX71" i="10"/>
  <c r="BV199" i="10"/>
  <c r="CD286" i="10"/>
  <c r="BV137" i="10"/>
  <c r="BX198" i="10"/>
  <c r="BV369" i="10"/>
  <c r="CC343" i="10"/>
  <c r="BV316" i="10"/>
  <c r="CC202" i="10"/>
  <c r="BV55" i="10"/>
  <c r="BX226" i="10"/>
  <c r="CD203" i="10"/>
  <c r="CB193" i="10"/>
  <c r="BV114" i="10"/>
  <c r="BV229" i="10"/>
  <c r="CB50" i="10"/>
  <c r="BW342" i="10"/>
  <c r="CC197" i="10"/>
  <c r="BW86" i="10"/>
  <c r="CB383" i="10"/>
  <c r="BV302" i="10"/>
  <c r="CD351" i="10"/>
  <c r="BV154" i="10"/>
  <c r="BV109" i="10"/>
  <c r="CD169" i="10"/>
  <c r="BV295" i="10"/>
  <c r="CD127" i="10"/>
  <c r="CD139" i="10"/>
  <c r="BX289" i="10"/>
  <c r="CD232" i="10"/>
  <c r="CD197" i="10"/>
  <c r="CD195" i="10"/>
  <c r="BX314" i="10"/>
  <c r="CC123" i="10"/>
  <c r="BV354" i="10"/>
  <c r="BX355" i="10"/>
  <c r="BW103" i="10"/>
  <c r="BW354" i="10"/>
  <c r="BV122" i="10"/>
  <c r="BX68" i="10"/>
  <c r="BW294" i="10"/>
  <c r="CB182" i="10"/>
  <c r="CB83" i="10"/>
  <c r="CC131" i="10"/>
  <c r="BW45" i="10"/>
  <c r="BV56" i="10"/>
  <c r="CB343" i="10"/>
  <c r="BW241" i="10"/>
  <c r="CC386" i="10"/>
  <c r="CB274" i="10"/>
  <c r="CC244" i="10"/>
  <c r="BX144" i="10"/>
  <c r="BW212" i="10"/>
  <c r="CC85" i="10"/>
  <c r="BX299" i="10"/>
  <c r="BV61" i="10"/>
  <c r="CB365" i="10"/>
  <c r="BV217" i="10"/>
  <c r="BX46" i="10"/>
  <c r="CC272" i="10"/>
  <c r="BW74" i="10"/>
  <c r="CD100" i="10"/>
  <c r="BV183" i="10"/>
  <c r="CC391" i="10"/>
  <c r="BV124" i="10"/>
  <c r="BW58" i="10"/>
  <c r="BX62" i="10"/>
  <c r="BX38" i="10"/>
  <c r="BV307" i="10"/>
  <c r="BX67" i="10"/>
  <c r="BV52" i="10"/>
  <c r="CD365" i="10"/>
  <c r="BV106" i="10"/>
  <c r="BV180" i="10"/>
  <c r="CD147" i="10"/>
  <c r="CC82" i="10"/>
  <c r="BX34" i="10"/>
  <c r="BW31" i="10"/>
  <c r="CB68" i="10"/>
  <c r="CB161" i="10"/>
  <c r="CB391" i="10"/>
  <c r="BW287" i="10"/>
  <c r="CB95" i="10"/>
  <c r="BV368" i="10"/>
  <c r="BW361" i="10"/>
  <c r="CC262" i="10"/>
  <c r="BV129" i="10"/>
  <c r="CB281" i="10"/>
  <c r="CB331" i="10"/>
  <c r="BW311" i="10"/>
  <c r="CD254" i="10"/>
  <c r="BW51" i="10"/>
  <c r="CC95" i="10"/>
  <c r="BX368" i="10"/>
  <c r="CB25" i="10"/>
  <c r="BW25" i="10"/>
  <c r="CC134" i="10"/>
  <c r="CD243" i="10"/>
  <c r="CC302" i="10"/>
  <c r="BX51" i="10"/>
  <c r="CB214" i="10"/>
  <c r="BW368" i="10"/>
  <c r="CD337" i="10"/>
  <c r="BV98" i="10"/>
  <c r="CB246" i="10"/>
  <c r="BX375" i="10"/>
  <c r="CC178" i="10"/>
  <c r="BW372" i="10"/>
  <c r="BV337" i="10"/>
  <c r="BX49" i="10"/>
  <c r="CB376" i="10"/>
  <c r="CC65" i="10"/>
  <c r="BV95" i="10"/>
  <c r="CB67" i="10"/>
  <c r="CD251" i="10"/>
  <c r="CB120" i="10"/>
  <c r="BV318" i="10"/>
  <c r="BW246" i="10"/>
  <c r="BW290" i="10"/>
  <c r="BW339" i="10"/>
  <c r="CC67" i="10"/>
  <c r="CB55" i="10"/>
  <c r="BV290" i="10"/>
  <c r="CD90" i="10"/>
  <c r="BX197" i="10"/>
  <c r="BW57" i="10"/>
  <c r="CD32" i="10"/>
  <c r="CC68" i="10"/>
  <c r="CB345" i="10"/>
  <c r="BX132" i="10"/>
  <c r="CC159" i="10"/>
  <c r="CC27" i="10"/>
  <c r="CB382" i="10"/>
  <c r="BV148" i="10"/>
  <c r="CC122" i="10"/>
  <c r="BW356" i="10"/>
  <c r="BX126" i="10"/>
  <c r="BX350" i="10"/>
  <c r="BX332" i="10"/>
  <c r="CC250" i="10"/>
  <c r="BW140" i="10"/>
  <c r="CC333" i="10"/>
  <c r="CC38" i="10"/>
  <c r="BX278" i="10"/>
  <c r="BW252" i="10"/>
  <c r="BW181" i="10"/>
  <c r="CD97" i="10"/>
  <c r="CB244" i="10"/>
  <c r="CD27" i="10"/>
  <c r="BW41" i="10"/>
  <c r="BX97" i="10"/>
  <c r="BW332" i="10"/>
  <c r="BV384" i="10"/>
  <c r="BW296" i="10"/>
  <c r="BV211" i="10"/>
  <c r="CB208" i="10"/>
  <c r="BV75" i="10"/>
  <c r="CB386" i="10"/>
  <c r="CB159" i="10"/>
  <c r="BW142" i="10"/>
  <c r="BX104" i="10"/>
  <c r="CB230" i="10"/>
  <c r="CD149" i="10"/>
  <c r="CC356" i="10"/>
  <c r="BV353" i="10"/>
  <c r="BW127" i="10"/>
  <c r="BV176" i="10"/>
  <c r="BW346" i="10"/>
  <c r="CB147" i="10"/>
  <c r="CC318" i="10"/>
  <c r="CD166" i="10"/>
  <c r="CD69" i="10"/>
  <c r="CC43" i="10"/>
  <c r="CD117" i="10"/>
  <c r="CB121" i="10"/>
  <c r="BV331" i="10"/>
  <c r="CB290" i="10"/>
  <c r="CD380" i="10"/>
  <c r="CD256" i="10"/>
  <c r="BW59" i="10"/>
  <c r="BW381" i="10"/>
  <c r="CD83" i="10"/>
  <c r="CB360" i="10"/>
  <c r="BX180" i="10"/>
  <c r="CB143" i="10"/>
  <c r="CB101" i="10"/>
  <c r="BX176" i="10"/>
  <c r="CD142" i="10"/>
  <c r="CB82" i="10"/>
  <c r="CD225" i="10"/>
  <c r="BV164" i="10"/>
  <c r="CD82" i="10"/>
  <c r="CD223" i="10"/>
  <c r="BX224" i="10"/>
  <c r="CC117" i="10"/>
  <c r="BW151" i="10"/>
  <c r="CB374" i="10"/>
  <c r="CB321" i="10"/>
  <c r="CC243" i="10"/>
  <c r="BV191" i="10"/>
  <c r="CB92" i="10"/>
  <c r="CB198" i="10"/>
  <c r="CB176" i="10"/>
  <c r="BV274" i="10"/>
  <c r="BV57" i="10"/>
  <c r="CB367" i="10"/>
  <c r="CC45" i="10"/>
  <c r="CD274" i="10"/>
  <c r="CB205" i="10"/>
  <c r="CC172" i="10"/>
  <c r="BX66" i="10"/>
  <c r="CB346" i="10"/>
  <c r="CC282" i="10"/>
  <c r="BV153" i="10"/>
  <c r="BX325" i="10"/>
  <c r="BW90" i="10"/>
  <c r="BX221" i="10"/>
  <c r="CC234" i="10"/>
  <c r="BX105" i="10"/>
  <c r="BX154" i="10"/>
  <c r="CB164" i="10"/>
  <c r="BV88" i="10"/>
  <c r="BX219" i="10"/>
  <c r="CB222" i="10"/>
  <c r="BW305" i="10"/>
  <c r="BV243" i="10"/>
  <c r="CD23" i="10"/>
  <c r="BX385" i="10"/>
  <c r="BV187" i="10"/>
  <c r="CB258" i="10"/>
  <c r="BX317" i="10"/>
  <c r="CD70" i="10"/>
  <c r="CC81" i="10"/>
  <c r="CD385" i="10"/>
  <c r="CD186" i="10"/>
  <c r="BW147" i="10"/>
  <c r="CB362" i="10"/>
  <c r="BX217" i="10"/>
  <c r="CD208" i="10"/>
  <c r="CC374" i="10"/>
  <c r="CB172" i="10"/>
  <c r="CB185" i="10"/>
  <c r="BW292" i="10"/>
  <c r="CD234" i="10"/>
  <c r="BV220" i="10"/>
  <c r="BV300" i="10"/>
  <c r="CB44" i="10"/>
  <c r="BW352" i="10"/>
  <c r="CC170" i="10"/>
  <c r="BW39" i="10"/>
  <c r="BW279" i="10"/>
  <c r="BW69" i="10"/>
  <c r="BV391" i="10"/>
  <c r="BX93" i="10"/>
  <c r="BW126" i="10"/>
  <c r="CB228" i="10"/>
  <c r="CB301" i="10"/>
  <c r="BV279" i="10"/>
  <c r="CB111" i="10"/>
  <c r="BX295" i="10"/>
  <c r="CC24" i="10"/>
  <c r="CB89" i="10"/>
  <c r="BV289" i="10"/>
  <c r="BX386" i="10"/>
  <c r="CB251" i="10"/>
  <c r="BW270" i="10"/>
  <c r="CB325" i="10"/>
  <c r="BV35" i="10"/>
  <c r="BV40" i="10"/>
  <c r="BX90" i="10"/>
  <c r="BW158" i="10"/>
  <c r="BV181" i="10"/>
  <c r="CB73" i="10"/>
  <c r="CC357" i="10"/>
  <c r="BX303" i="10"/>
  <c r="CD238" i="10"/>
  <c r="BX121" i="10"/>
  <c r="CB215" i="10"/>
  <c r="BV315" i="10"/>
  <c r="BV138" i="10"/>
  <c r="BX114" i="10"/>
  <c r="BW313" i="10"/>
  <c r="CC280" i="10"/>
  <c r="BW70" i="10"/>
  <c r="CD357" i="10"/>
  <c r="BV73" i="10"/>
  <c r="CC106" i="10"/>
  <c r="CD369" i="10"/>
  <c r="CD191" i="10"/>
  <c r="BV50" i="10"/>
  <c r="BV117" i="10"/>
  <c r="CB175" i="10"/>
  <c r="CC288" i="10"/>
  <c r="CD81" i="10"/>
  <c r="CC293" i="10"/>
  <c r="CC258" i="10"/>
  <c r="BV37" i="10"/>
  <c r="CB74" i="10"/>
  <c r="BW191" i="10"/>
  <c r="BX28" i="10"/>
  <c r="CB338" i="10"/>
  <c r="BV123" i="10"/>
  <c r="CB85" i="10"/>
  <c r="CD366" i="10"/>
  <c r="BV29" i="10"/>
  <c r="CC28" i="10"/>
  <c r="CD217" i="10"/>
  <c r="BX294" i="10"/>
  <c r="BV350" i="10"/>
  <c r="BV82" i="10"/>
  <c r="BW29" i="10"/>
  <c r="CB242" i="10"/>
  <c r="CB384" i="10"/>
  <c r="BX236" i="10"/>
  <c r="CB48" i="10"/>
  <c r="BV268" i="10"/>
  <c r="CB34" i="10"/>
  <c r="CD283" i="10"/>
  <c r="CD106" i="10"/>
  <c r="BW390" i="10"/>
  <c r="CB333" i="10"/>
  <c r="CD371" i="10"/>
  <c r="CD130" i="10"/>
  <c r="CB213" i="10"/>
  <c r="BV179" i="10"/>
  <c r="BX237" i="10"/>
  <c r="CD161" i="10"/>
  <c r="BX75" i="10"/>
  <c r="CB153" i="10"/>
  <c r="CB316" i="10"/>
  <c r="BV296" i="10"/>
  <c r="BX349" i="10"/>
  <c r="BX356" i="10"/>
  <c r="BX177" i="10"/>
  <c r="CD150" i="10"/>
  <c r="BW106" i="10"/>
  <c r="CC224" i="10"/>
  <c r="CC147" i="10"/>
  <c r="BV202" i="10"/>
  <c r="CB100" i="10"/>
  <c r="BV72" i="10"/>
  <c r="CC352" i="10"/>
  <c r="CD55" i="10"/>
  <c r="BX275" i="10"/>
  <c r="BV161" i="10"/>
  <c r="BW391" i="10"/>
  <c r="CB171" i="10"/>
  <c r="BX147" i="10"/>
  <c r="BW202" i="10"/>
  <c r="CB381" i="10"/>
  <c r="CC140" i="10"/>
  <c r="BV126" i="10"/>
  <c r="BV292" i="10"/>
  <c r="BV254" i="10"/>
  <c r="CC171" i="10"/>
  <c r="CD95" i="10"/>
  <c r="CD202" i="10"/>
  <c r="BX253" i="10"/>
  <c r="BV282" i="10"/>
  <c r="CC167" i="10"/>
  <c r="CC231" i="10"/>
  <c r="BW364" i="10"/>
  <c r="CB179" i="10"/>
  <c r="CB39" i="10"/>
  <c r="BX377" i="10"/>
  <c r="CB309" i="10"/>
  <c r="BW36" i="10"/>
  <c r="BV339" i="10"/>
  <c r="CD368" i="10"/>
  <c r="BW148" i="10"/>
  <c r="BW99" i="10"/>
  <c r="BV111" i="10"/>
  <c r="CD167" i="10"/>
  <c r="CB375" i="10"/>
  <c r="BV43" i="10"/>
  <c r="BV256" i="10"/>
  <c r="BV251" i="10"/>
  <c r="BX118" i="10"/>
  <c r="BW64" i="10"/>
  <c r="CC141" i="10"/>
  <c r="CB233" i="10"/>
  <c r="CD193" i="10"/>
  <c r="CD134" i="10"/>
  <c r="BW184" i="10"/>
  <c r="BV67" i="10"/>
  <c r="CC157" i="10"/>
  <c r="CB194" i="10"/>
  <c r="CB184" i="10"/>
  <c r="BW288" i="10"/>
  <c r="BV81" i="10"/>
  <c r="CB110" i="10"/>
  <c r="CD373" i="10"/>
  <c r="BX59" i="10"/>
  <c r="BW221" i="10"/>
  <c r="CD233" i="10"/>
  <c r="BV110" i="10"/>
  <c r="BX188" i="10"/>
  <c r="CB157" i="10"/>
  <c r="CC50" i="10"/>
  <c r="CD105" i="10"/>
  <c r="BX348" i="10"/>
  <c r="BV273" i="10"/>
  <c r="BW197" i="10"/>
  <c r="BV305" i="10"/>
  <c r="BW331" i="10"/>
  <c r="CB212" i="10"/>
  <c r="BV31" i="10"/>
  <c r="CD201" i="10"/>
  <c r="BV100" i="10"/>
  <c r="CC216" i="10"/>
  <c r="BV349" i="10"/>
  <c r="CD145" i="10"/>
  <c r="BX179" i="10"/>
  <c r="CC242" i="10"/>
  <c r="CC289" i="10"/>
  <c r="BW182" i="10"/>
  <c r="CC390" i="10"/>
  <c r="BW34" i="10"/>
  <c r="BW207" i="10"/>
  <c r="CB72" i="10"/>
  <c r="BX304" i="10"/>
  <c r="CC329" i="10"/>
  <c r="CD392" i="10"/>
  <c r="BW131" i="10"/>
  <c r="CB273" i="10"/>
  <c r="BX131" i="10"/>
  <c r="BW235" i="10"/>
  <c r="CD92" i="10"/>
  <c r="CC96" i="10"/>
  <c r="CB148" i="10"/>
  <c r="CC380" i="10"/>
  <c r="CC44" i="10"/>
  <c r="BX129" i="10"/>
  <c r="CB154" i="10"/>
  <c r="BV264" i="10"/>
  <c r="CD93" i="10"/>
  <c r="CD163" i="10"/>
  <c r="BW359" i="10"/>
  <c r="BW134" i="10"/>
  <c r="BW136" i="10"/>
  <c r="CD316" i="10"/>
  <c r="BV246" i="10"/>
  <c r="BX136" i="10"/>
  <c r="CD289" i="10"/>
  <c r="CC209" i="10"/>
  <c r="CC72" i="10"/>
  <c r="CC317" i="10"/>
  <c r="BV363" i="10"/>
  <c r="BV320" i="10"/>
  <c r="BX290" i="10"/>
  <c r="CB131" i="10"/>
  <c r="CD314" i="10"/>
  <c r="CB317" i="10"/>
  <c r="BX344" i="10"/>
  <c r="CB220" i="10"/>
  <c r="BX331" i="10"/>
  <c r="BW209" i="10"/>
  <c r="CB93" i="10"/>
  <c r="BV275" i="10"/>
  <c r="BW85" i="10"/>
  <c r="CC187" i="10"/>
  <c r="CC69" i="10"/>
  <c r="CC126" i="10"/>
  <c r="BW120" i="10"/>
  <c r="CC164" i="10"/>
  <c r="BV149" i="10"/>
  <c r="CD35" i="10"/>
  <c r="CB168" i="10"/>
  <c r="CD34" i="10"/>
  <c r="BW302" i="10"/>
  <c r="BX328" i="10"/>
  <c r="CC278" i="10"/>
  <c r="CB260" i="10"/>
  <c r="BX239" i="10"/>
  <c r="CB158" i="10"/>
  <c r="BX190" i="10"/>
  <c r="CC154" i="10"/>
  <c r="CD250" i="10"/>
  <c r="CD333" i="10"/>
  <c r="BW233" i="10"/>
  <c r="CC59" i="10"/>
  <c r="CD175" i="10"/>
  <c r="BW268" i="10"/>
  <c r="CD229" i="10"/>
  <c r="CB42" i="10"/>
  <c r="BV142" i="10"/>
  <c r="BW82" i="10"/>
  <c r="BW159" i="10"/>
  <c r="CB54" i="10"/>
  <c r="BX191" i="10"/>
  <c r="BV169" i="10"/>
  <c r="CD183" i="10"/>
  <c r="BW362" i="10"/>
  <c r="BV249" i="10"/>
  <c r="BX346" i="10"/>
  <c r="BX230" i="10"/>
  <c r="CD112" i="10"/>
  <c r="BW269" i="10"/>
  <c r="CB218" i="10"/>
  <c r="BW335" i="10"/>
  <c r="CB324" i="10"/>
  <c r="BV276" i="10"/>
  <c r="CC259" i="10"/>
  <c r="CB102" i="10"/>
  <c r="CD327" i="10"/>
  <c r="CC121" i="10"/>
  <c r="CD65" i="10"/>
  <c r="CC345" i="10"/>
  <c r="CC323" i="10"/>
  <c r="CB88" i="10"/>
  <c r="BV91" i="10"/>
  <c r="BX297" i="10"/>
  <c r="BX87" i="10"/>
  <c r="BV258" i="10"/>
  <c r="BV245" i="10"/>
  <c r="CC366" i="10"/>
  <c r="BX361" i="10"/>
  <c r="CB276" i="10"/>
  <c r="BV383" i="10"/>
  <c r="CD107" i="10"/>
  <c r="BV309" i="10"/>
  <c r="BX171" i="10"/>
  <c r="BW154" i="10"/>
  <c r="BV197" i="10"/>
  <c r="BX195" i="10"/>
  <c r="BX369" i="10"/>
  <c r="BV328" i="10"/>
  <c r="CD174" i="10"/>
  <c r="BV206" i="10"/>
  <c r="CC208" i="10"/>
  <c r="BX74" i="10"/>
  <c r="BW228" i="10"/>
  <c r="CD120" i="10"/>
  <c r="CC257" i="10"/>
  <c r="BV39" i="10"/>
  <c r="BX259" i="10"/>
  <c r="CC377" i="10"/>
  <c r="CB189" i="10"/>
  <c r="CD306" i="10"/>
  <c r="CB319" i="10"/>
  <c r="BW301" i="10"/>
  <c r="BX286" i="10"/>
  <c r="BX183" i="10"/>
  <c r="BV172" i="10"/>
  <c r="BV162" i="10"/>
  <c r="CC376" i="10"/>
  <c r="CD211" i="10"/>
  <c r="CC36" i="10"/>
  <c r="CB329" i="10"/>
  <c r="BV226" i="10"/>
  <c r="BV203" i="10"/>
  <c r="BV193" i="10"/>
  <c r="CB114" i="10"/>
  <c r="BW229" i="10"/>
  <c r="BV139" i="10"/>
  <c r="CB70" i="10"/>
  <c r="CB299" i="10"/>
  <c r="CC100" i="10"/>
  <c r="BW192" i="10"/>
  <c r="CC303" i="10"/>
  <c r="CD220" i="10"/>
  <c r="BX110" i="10"/>
  <c r="BV313" i="10"/>
  <c r="CC215" i="10"/>
  <c r="BW222" i="10"/>
  <c r="BX158" i="10"/>
  <c r="CD181" i="10"/>
  <c r="CC73" i="10"/>
  <c r="CD336" i="10"/>
  <c r="CC229" i="10"/>
  <c r="BW199" i="10"/>
  <c r="CC311" i="10"/>
  <c r="CB262" i="10"/>
  <c r="CD144" i="10"/>
  <c r="BW392" i="10"/>
  <c r="CD216" i="10"/>
  <c r="BX50" i="10"/>
  <c r="BV278" i="10"/>
  <c r="BV136" i="10"/>
  <c r="BV163" i="10"/>
  <c r="BX260" i="10"/>
  <c r="BW89" i="10"/>
  <c r="BX337" i="10"/>
  <c r="BV45" i="10"/>
  <c r="BW73" i="10"/>
  <c r="CC298" i="10"/>
  <c r="BX194" i="10"/>
  <c r="CB255" i="10"/>
  <c r="CC26" i="10"/>
  <c r="BW266" i="10"/>
  <c r="CC143" i="10"/>
  <c r="CC125" i="10"/>
  <c r="BW172" i="10"/>
  <c r="BW68" i="10"/>
  <c r="CC294" i="10"/>
  <c r="CB350" i="10"/>
  <c r="BW299" i="10"/>
  <c r="BV64" i="10"/>
  <c r="CD172" i="10"/>
  <c r="BX56" i="10"/>
  <c r="BW46" i="10"/>
  <c r="CD245" i="10"/>
  <c r="CC74" i="10"/>
  <c r="CD349" i="10"/>
  <c r="BW53" i="10"/>
  <c r="CB369" i="10"/>
  <c r="CD388" i="10"/>
  <c r="CC266" i="10"/>
  <c r="CC33" i="10"/>
  <c r="BW121" i="10"/>
  <c r="CC241" i="10"/>
  <c r="BV299" i="10"/>
  <c r="CC360" i="10"/>
  <c r="BX157" i="10"/>
  <c r="CC116" i="10"/>
  <c r="BV272" i="10"/>
  <c r="BW200" i="10"/>
  <c r="CC113" i="10"/>
  <c r="BW387" i="10"/>
  <c r="BV119" i="10"/>
  <c r="CC150" i="10"/>
  <c r="BV205" i="10"/>
  <c r="BX187" i="10"/>
  <c r="CC162" i="10"/>
  <c r="BX327" i="10"/>
  <c r="BW211" i="10"/>
  <c r="BX264" i="10"/>
  <c r="BW183" i="10"/>
  <c r="BX172" i="10"/>
  <c r="BX205" i="10"/>
  <c r="BX242" i="10"/>
  <c r="BW111" i="10"/>
  <c r="CD40" i="10"/>
  <c r="CB229" i="10"/>
  <c r="BV96" i="10"/>
  <c r="CB133" i="10"/>
  <c r="CD86" i="10"/>
  <c r="CB234" i="10"/>
  <c r="CD302" i="10"/>
  <c r="CD113" i="10"/>
  <c r="BW105" i="10"/>
  <c r="BW135" i="10"/>
  <c r="CB52" i="10"/>
  <c r="BW143" i="10"/>
  <c r="CD30" i="10"/>
  <c r="CD205" i="10"/>
  <c r="CC277" i="10"/>
  <c r="BW195" i="10"/>
  <c r="BV240" i="10"/>
  <c r="CC319" i="10"/>
  <c r="CB323" i="10"/>
  <c r="CC174" i="10"/>
  <c r="BX199" i="10"/>
  <c r="CB315" i="10"/>
  <c r="CC169" i="10"/>
  <c r="CD114" i="10"/>
  <c r="CB313" i="10"/>
  <c r="CD270" i="10"/>
  <c r="CD103" i="10"/>
  <c r="BX302" i="10"/>
  <c r="CB351" i="10"/>
  <c r="CB145" i="10"/>
  <c r="BV118" i="10"/>
  <c r="CD328" i="10"/>
  <c r="BV174" i="10"/>
  <c r="BW173" i="10"/>
  <c r="BV252" i="10"/>
  <c r="BV105" i="10"/>
  <c r="CB206" i="10"/>
  <c r="CB250" i="10"/>
  <c r="BX365" i="10"/>
  <c r="BX169" i="10"/>
  <c r="BX232" i="10"/>
  <c r="BW190" i="10"/>
  <c r="BW177" i="10"/>
  <c r="CB71" i="10"/>
  <c r="CD132" i="10"/>
  <c r="BW360" i="10"/>
  <c r="CB354" i="10"/>
  <c r="BX81" i="10"/>
  <c r="CD287" i="10"/>
  <c r="CC135" i="10"/>
  <c r="BW37" i="10"/>
  <c r="BW208" i="10"/>
  <c r="CC155" i="10"/>
  <c r="CC23" i="10"/>
  <c r="BX255" i="10"/>
  <c r="BX58" i="10"/>
  <c r="BV266" i="10"/>
  <c r="CD42" i="10"/>
  <c r="CD298" i="10"/>
  <c r="BX23" i="10"/>
  <c r="CB287" i="10"/>
  <c r="BV71" i="10"/>
  <c r="BW62" i="10"/>
  <c r="BX308" i="10"/>
  <c r="CC55" i="10"/>
  <c r="BV53" i="10"/>
  <c r="BX384" i="10"/>
  <c r="CC212" i="10"/>
  <c r="BX70" i="10"/>
  <c r="BX268" i="10"/>
  <c r="CC34" i="10"/>
  <c r="BV322" i="10"/>
  <c r="CC322" i="10"/>
  <c r="CD215" i="10"/>
  <c r="CD310" i="10"/>
  <c r="CD363" i="10"/>
  <c r="CC46" i="10"/>
  <c r="CB271" i="10"/>
  <c r="BV42" i="10"/>
  <c r="BV321" i="10"/>
  <c r="BV132" i="10"/>
  <c r="CD125" i="10"/>
  <c r="BV239" i="10"/>
  <c r="CD248" i="10"/>
  <c r="CD54" i="10"/>
  <c r="BW48" i="10"/>
  <c r="CD146" i="10"/>
  <c r="CB243" i="10"/>
  <c r="CD96" i="10"/>
  <c r="CD126" i="10"/>
  <c r="CD176" i="10"/>
  <c r="BW253" i="10"/>
  <c r="BV310" i="10"/>
  <c r="BW217" i="10"/>
  <c r="BX231" i="10"/>
  <c r="BX48" i="10"/>
  <c r="BW320" i="10"/>
  <c r="BX178" i="10"/>
  <c r="CD353" i="10"/>
  <c r="CD204" i="10"/>
  <c r="BW377" i="10"/>
  <c r="BV269" i="10"/>
  <c r="CB231" i="10"/>
  <c r="CD364" i="10"/>
  <c r="CC146" i="10"/>
  <c r="CB257" i="10"/>
  <c r="CB31" i="10"/>
  <c r="BV224" i="10"/>
  <c r="CC84" i="10"/>
  <c r="CD237" i="10"/>
  <c r="BW55" i="10"/>
  <c r="CB278" i="10"/>
  <c r="CC111" i="10"/>
  <c r="BX248" i="10"/>
  <c r="BV151" i="10"/>
  <c r="CD128" i="10"/>
  <c r="CB265" i="10"/>
  <c r="BV374" i="10"/>
  <c r="CD76" i="10"/>
  <c r="BW72" i="10"/>
  <c r="CB105" i="10"/>
  <c r="CD206" i="10"/>
  <c r="BV247" i="10"/>
  <c r="CC265" i="10"/>
  <c r="BV69" i="10"/>
  <c r="CD116" i="10"/>
  <c r="CD52" i="10"/>
  <c r="BW344" i="10"/>
  <c r="CD325" i="10"/>
  <c r="CB60" i="10"/>
  <c r="CC264" i="10"/>
  <c r="BV209" i="10"/>
  <c r="CD275" i="10"/>
  <c r="CB288" i="10"/>
  <c r="BW255" i="10"/>
  <c r="CC132" i="10"/>
  <c r="CB45" i="10"/>
  <c r="CC220" i="10"/>
  <c r="CD293" i="10"/>
  <c r="CD135" i="10"/>
  <c r="CC41" i="10"/>
  <c r="CC308" i="10"/>
  <c r="BX138" i="10"/>
  <c r="BW219" i="10"/>
  <c r="CD37" i="10"/>
  <c r="BV30" i="10"/>
  <c r="BV170" i="10"/>
  <c r="BW312" i="10"/>
  <c r="CC77" i="10"/>
  <c r="BV242" i="10"/>
  <c r="BW282" i="10"/>
  <c r="CD376" i="10"/>
  <c r="BW338" i="10"/>
  <c r="BV367" i="10"/>
  <c r="BX120" i="10"/>
  <c r="CD387" i="10"/>
  <c r="CD77" i="10"/>
  <c r="BW325" i="10"/>
  <c r="BX91" i="10"/>
  <c r="BX309" i="10"/>
  <c r="BV90" i="10"/>
  <c r="BX54" i="10"/>
  <c r="BV178" i="10"/>
  <c r="BX357" i="10"/>
  <c r="BV230" i="10"/>
  <c r="CD194" i="10"/>
  <c r="BX359" i="10"/>
  <c r="CD389" i="10"/>
  <c r="CB155" i="10"/>
  <c r="BX247" i="10"/>
  <c r="BW160" i="10"/>
  <c r="CC158" i="10"/>
  <c r="BX119" i="10"/>
  <c r="CD102" i="10"/>
  <c r="BW327" i="10"/>
  <c r="BV351" i="10"/>
  <c r="CD390" i="10"/>
  <c r="CC226" i="10"/>
  <c r="CC88" i="10"/>
  <c r="CD301" i="10"/>
  <c r="CB279" i="10"/>
  <c r="CB173" i="10"/>
  <c r="BW40" i="10"/>
  <c r="CC105" i="10"/>
  <c r="BX192" i="10"/>
  <c r="BW175" i="10"/>
  <c r="CC238" i="10"/>
  <c r="BW384" i="10"/>
  <c r="CC373" i="10"/>
  <c r="BV267" i="10"/>
  <c r="CB199" i="10"/>
  <c r="CD311" i="10"/>
  <c r="BX262" i="10"/>
  <c r="CB144" i="10"/>
  <c r="BV392" i="10"/>
  <c r="CB216" i="10"/>
  <c r="CB57" i="10"/>
  <c r="BX109" i="10"/>
  <c r="CD138" i="10"/>
  <c r="CB355" i="10"/>
  <c r="CB140" i="10"/>
  <c r="BV373" i="10"/>
  <c r="BV228" i="10"/>
  <c r="BX371" i="10"/>
  <c r="CC61" i="10"/>
  <c r="CB341" i="10"/>
  <c r="CB23" i="10"/>
  <c r="CC218" i="10"/>
  <c r="BX26" i="10"/>
  <c r="BX41" i="10"/>
  <c r="CC42" i="10"/>
  <c r="CD354" i="10"/>
  <c r="CB75" i="10"/>
  <c r="BV287" i="10"/>
  <c r="BX333" i="10"/>
  <c r="BW385" i="10"/>
  <c r="CB379" i="10"/>
  <c r="CB94" i="10"/>
  <c r="CB106" i="10"/>
  <c r="CD124" i="10"/>
  <c r="BW80" i="10"/>
  <c r="CC371" i="10"/>
  <c r="BW38" i="10"/>
  <c r="CB247" i="10"/>
  <c r="CC102" i="10"/>
  <c r="BX211" i="10"/>
  <c r="BX201" i="10"/>
  <c r="BX272" i="10"/>
  <c r="BV208" i="10"/>
  <c r="BW349" i="10"/>
  <c r="BV104" i="10"/>
  <c r="CC32" i="10"/>
  <c r="BW298" i="10"/>
  <c r="BX378" i="10"/>
  <c r="BV185" i="10"/>
  <c r="CD292" i="10"/>
  <c r="BW334" i="10"/>
  <c r="BX116" i="10"/>
  <c r="CB76" i="10"/>
  <c r="BW32" i="10"/>
  <c r="CD297" i="10"/>
  <c r="CC90" i="10"/>
  <c r="CC387" i="10"/>
  <c r="BX77" i="10"/>
  <c r="BX335" i="10"/>
  <c r="CD324" i="10"/>
  <c r="BV234" i="10"/>
  <c r="BW189" i="10"/>
  <c r="CC269" i="10"/>
  <c r="BW389" i="10"/>
  <c r="BX135" i="10"/>
  <c r="CB335" i="10"/>
  <c r="BW170" i="10"/>
  <c r="BX162" i="10"/>
  <c r="BX164" i="10"/>
  <c r="BV93" i="10"/>
  <c r="CD36" i="10"/>
  <c r="BX329" i="10"/>
  <c r="CD62" i="10"/>
  <c r="BX159" i="10"/>
  <c r="BX301" i="10"/>
  <c r="CD279" i="10"/>
  <c r="CD111" i="10"/>
  <c r="CD295" i="10"/>
  <c r="CD24" i="10"/>
  <c r="CD89" i="10"/>
  <c r="BX86" i="10"/>
  <c r="CC383" i="10"/>
  <c r="CC276" i="10"/>
  <c r="CC203" i="10"/>
  <c r="BV107" i="10"/>
  <c r="CB359" i="10"/>
  <c r="CD50" i="10"/>
  <c r="CD278" i="10"/>
  <c r="CC136" i="10"/>
  <c r="CC163" i="10"/>
  <c r="BV260" i="10"/>
  <c r="BV89" i="10"/>
  <c r="CC184" i="10"/>
  <c r="BV270" i="10"/>
  <c r="BV103" i="10"/>
  <c r="CB302" i="10"/>
  <c r="BX351" i="10"/>
  <c r="BW145" i="10"/>
  <c r="CC118" i="10"/>
  <c r="CC99" i="10"/>
  <c r="CB207" i="10"/>
  <c r="BV380" i="10"/>
  <c r="CC175" i="10"/>
  <c r="BX338" i="10"/>
  <c r="CD123" i="10"/>
  <c r="CB59" i="10"/>
  <c r="CC299" i="10"/>
  <c r="BX152" i="10"/>
  <c r="CB165" i="10"/>
  <c r="BX156" i="10"/>
  <c r="BX145" i="10"/>
  <c r="CC71" i="10"/>
  <c r="BV340" i="10"/>
  <c r="BV360" i="10"/>
  <c r="BV250" i="10"/>
  <c r="BW78" i="10"/>
  <c r="BW180" i="10"/>
  <c r="BX80" i="10"/>
  <c r="BW386" i="10"/>
  <c r="BX130" i="10"/>
  <c r="BX244" i="10"/>
  <c r="CC78" i="10"/>
  <c r="BX212" i="10"/>
  <c r="BW245" i="10"/>
  <c r="BX82" i="10"/>
  <c r="BX61" i="10"/>
  <c r="CC94" i="10"/>
  <c r="BX112" i="10"/>
  <c r="BW115" i="10"/>
  <c r="BW216" i="10"/>
  <c r="BW347" i="10"/>
  <c r="BW379" i="10"/>
  <c r="BW43" i="10"/>
  <c r="CB178" i="10"/>
  <c r="BX345" i="10"/>
  <c r="CC283" i="10"/>
  <c r="BX254" i="10"/>
  <c r="BW124" i="10"/>
  <c r="CB58" i="10"/>
  <c r="BX202" i="10"/>
  <c r="BV361" i="10"/>
  <c r="CD362" i="10"/>
  <c r="BX31" i="10"/>
  <c r="CD244" i="10"/>
  <c r="CD189" i="10"/>
  <c r="BX115" i="10"/>
  <c r="CD291" i="10"/>
  <c r="BW330" i="10"/>
  <c r="BV284" i="10"/>
  <c r="BW322" i="10"/>
  <c r="BW370" i="10"/>
  <c r="BV237" i="10"/>
  <c r="CB196" i="10"/>
  <c r="CB292" i="10"/>
  <c r="BV112" i="10"/>
  <c r="CC87" i="10"/>
  <c r="CC291" i="10"/>
  <c r="BV330" i="10"/>
  <c r="CC361" i="10"/>
  <c r="BX200" i="10"/>
  <c r="BW306" i="10"/>
  <c r="CB117" i="10"/>
  <c r="CB239" i="10"/>
  <c r="CB363" i="10"/>
  <c r="BW206" i="10"/>
  <c r="CC271" i="10"/>
  <c r="BW374" i="10"/>
  <c r="BV377" i="10"/>
  <c r="CD269" i="10"/>
  <c r="BX235" i="10"/>
  <c r="CB43" i="10"/>
  <c r="CD317" i="10"/>
  <c r="BX99" i="10"/>
  <c r="BW161" i="10"/>
  <c r="CC31" i="10"/>
  <c r="CC64" i="10"/>
  <c r="CD214" i="10"/>
  <c r="BW237" i="10"/>
  <c r="CC263" i="10"/>
  <c r="CD131" i="10"/>
  <c r="CD322" i="10"/>
  <c r="BX381" i="10"/>
  <c r="BX36" i="10"/>
  <c r="BX95" i="10"/>
  <c r="CB237" i="10"/>
  <c r="BV159" i="10"/>
  <c r="BW240" i="10"/>
  <c r="CC40" i="10"/>
  <c r="BV92" i="10"/>
  <c r="CD157" i="10"/>
  <c r="CC138" i="10"/>
  <c r="CB306" i="10"/>
  <c r="CC382" i="10"/>
  <c r="CD340" i="10"/>
  <c r="BW353" i="10"/>
  <c r="BW81" i="10"/>
  <c r="BX258" i="10"/>
  <c r="BW30" i="10"/>
  <c r="BX111" i="10"/>
  <c r="BW96" i="10"/>
  <c r="CC342" i="10"/>
  <c r="BW198" i="10"/>
  <c r="CB291" i="10"/>
  <c r="CB277" i="10"/>
  <c r="CD219" i="10"/>
  <c r="CC275" i="10"/>
  <c r="CC230" i="10"/>
  <c r="CC369" i="10"/>
  <c r="BX203" i="10"/>
  <c r="CC137" i="10"/>
  <c r="CB226" i="10"/>
  <c r="CD359" i="10"/>
  <c r="BX85" i="10"/>
  <c r="BX107" i="10"/>
  <c r="BW388" i="10"/>
  <c r="CD136" i="10"/>
  <c r="CB389" i="10"/>
  <c r="BV332" i="10"/>
  <c r="BV190" i="10"/>
  <c r="CB266" i="10"/>
  <c r="CB81" i="10"/>
  <c r="CD71" i="10"/>
  <c r="CB183" i="10"/>
  <c r="BV241" i="10"/>
  <c r="CB372" i="10"/>
  <c r="CD231" i="10"/>
  <c r="BX42" i="10"/>
  <c r="BV225" i="10"/>
  <c r="CD330" i="10"/>
  <c r="BW77" i="10"/>
  <c r="CC310" i="10"/>
  <c r="CB268" i="10"/>
  <c r="BX33" i="10"/>
  <c r="BV372" i="10"/>
  <c r="CB282" i="10"/>
  <c r="CB51" i="10"/>
  <c r="BV116" i="10"/>
  <c r="CC338" i="10"/>
  <c r="BX353" i="10"/>
  <c r="BW254" i="10"/>
  <c r="BX257" i="10"/>
  <c r="CB210" i="10"/>
  <c r="CC60" i="10"/>
  <c r="CB97" i="10"/>
  <c r="BW119" i="10"/>
  <c r="CC110" i="10"/>
  <c r="CC349" i="10"/>
  <c r="CC295" i="10"/>
  <c r="BX94" i="10"/>
  <c r="CC389" i="10"/>
  <c r="CD75" i="10"/>
  <c r="BV334" i="10"/>
  <c r="BW63" i="10"/>
  <c r="CC378" i="10"/>
  <c r="CB151" i="10"/>
  <c r="BW35" i="10"/>
  <c r="BV326" i="10"/>
  <c r="BV143" i="10"/>
  <c r="CC182" i="10"/>
  <c r="CD170" i="10"/>
  <c r="BX24" i="10"/>
  <c r="BW194" i="10"/>
  <c r="CD64" i="10"/>
  <c r="CD382" i="10"/>
  <c r="CB371" i="10"/>
  <c r="BW316" i="10"/>
  <c r="BX379" i="10"/>
  <c r="CB263" i="10"/>
  <c r="CC284" i="10"/>
  <c r="CD361" i="10"/>
  <c r="BV84" i="10"/>
  <c r="CB300" i="10"/>
  <c r="CB294" i="10"/>
  <c r="BX343" i="10"/>
  <c r="BV362" i="10"/>
  <c r="BW87" i="10"/>
  <c r="BV335" i="10"/>
  <c r="BW110" i="10"/>
  <c r="CB240" i="10"/>
  <c r="CB139" i="10"/>
  <c r="CD115" i="10"/>
  <c r="CB310" i="10"/>
  <c r="BV201" i="10"/>
  <c r="CB289" i="10"/>
  <c r="CC321" i="10"/>
  <c r="BW243" i="10"/>
  <c r="CD66" i="10"/>
  <c r="CD273" i="10"/>
  <c r="BV25" i="10"/>
  <c r="CC312" i="10"/>
  <c r="CC93" i="10"/>
  <c r="CD345" i="10"/>
  <c r="BV222" i="10"/>
  <c r="CD315" i="10"/>
  <c r="CB28" i="10"/>
  <c r="CB38" i="10"/>
  <c r="CD299" i="10"/>
  <c r="BV236" i="10"/>
  <c r="BW272" i="10"/>
  <c r="CC252" i="10"/>
  <c r="CC142" i="10"/>
  <c r="BV271" i="10"/>
  <c r="CC196" i="10"/>
  <c r="BW44" i="10"/>
  <c r="CD200" i="10"/>
  <c r="CB344" i="10"/>
  <c r="CD271" i="10"/>
  <c r="BW156" i="10"/>
  <c r="CD129" i="10"/>
  <c r="CB112" i="10"/>
  <c r="BV47" i="10"/>
  <c r="BV248" i="10"/>
  <c r="BX73" i="10"/>
  <c r="CC337" i="10"/>
  <c r="BW132" i="10"/>
  <c r="BV27" i="10"/>
  <c r="BV65" i="10"/>
  <c r="CD303" i="10"/>
  <c r="BX279" i="10"/>
  <c r="BW139" i="10"/>
  <c r="BW122" i="10"/>
  <c r="BW382" i="10"/>
  <c r="CD33" i="10"/>
  <c r="CB128" i="10"/>
  <c r="CB377" i="10"/>
  <c r="CD207" i="10"/>
  <c r="CB36" i="10"/>
  <c r="CD152" i="10"/>
  <c r="BX108" i="10"/>
  <c r="CD25" i="10"/>
  <c r="BV23" i="10"/>
  <c r="CC183" i="10"/>
  <c r="CD91" i="10"/>
  <c r="BV101" i="10"/>
  <c r="BX358" i="10"/>
  <c r="CB297" i="10"/>
  <c r="BX316" i="10"/>
  <c r="BV102" i="10"/>
  <c r="BX319" i="10"/>
  <c r="CC353" i="10"/>
  <c r="CD53" i="10"/>
  <c r="BV389" i="10"/>
  <c r="CB103" i="10"/>
  <c r="BW193" i="10"/>
  <c r="BV232" i="10"/>
  <c r="BX240" i="10"/>
  <c r="CD154" i="10"/>
  <c r="CB27" i="10"/>
  <c r="CD26" i="10"/>
  <c r="CD318" i="10"/>
  <c r="BX124" i="10"/>
  <c r="CB308" i="10"/>
  <c r="BV78" i="10"/>
  <c r="CC385" i="10"/>
  <c r="CC190" i="10"/>
  <c r="BX37" i="10"/>
  <c r="BV283" i="10"/>
  <c r="BV147" i="10"/>
  <c r="BW157" i="10"/>
  <c r="BX101" i="10"/>
  <c r="CC29" i="10"/>
  <c r="CD140" i="10"/>
  <c r="CC260" i="10"/>
  <c r="BV62" i="10"/>
  <c r="BW214" i="10"/>
  <c r="CC91" i="10"/>
  <c r="CC101" i="10"/>
  <c r="BW33" i="10"/>
  <c r="BW65" i="10"/>
  <c r="CC300" i="10"/>
  <c r="BX282" i="10"/>
  <c r="CC375" i="10"/>
  <c r="BV146" i="10"/>
  <c r="BW265" i="10"/>
  <c r="CC49" i="10"/>
  <c r="CC179" i="10"/>
  <c r="BX206" i="10"/>
  <c r="BX273" i="10"/>
  <c r="BV207" i="10"/>
  <c r="BX293" i="10"/>
  <c r="BX125" i="10"/>
  <c r="BW75" i="10"/>
  <c r="CC30" i="10"/>
  <c r="BW137" i="10"/>
  <c r="BV186" i="10"/>
  <c r="CC233" i="10"/>
  <c r="CD74" i="10"/>
  <c r="BW242" i="10"/>
  <c r="BX146" i="10"/>
  <c r="BW130" i="10"/>
  <c r="BX263" i="10"/>
  <c r="BW95" i="10"/>
  <c r="CD377" i="10"/>
  <c r="BV210" i="10"/>
  <c r="BW116" i="10"/>
  <c r="CB264" i="10"/>
  <c r="BX60" i="10"/>
  <c r="BV195" i="10"/>
  <c r="CD226" i="10"/>
  <c r="CC359" i="10"/>
  <c r="CB124" i="10"/>
  <c r="BV386" i="10"/>
  <c r="BW185" i="10"/>
  <c r="CC112" i="10"/>
  <c r="BX63" i="10"/>
  <c r="BX310" i="10"/>
  <c r="BX288" i="10"/>
  <c r="BX65" i="10"/>
  <c r="BX234" i="10"/>
  <c r="CB209" i="10"/>
  <c r="CB342" i="10"/>
  <c r="BV327" i="10"/>
  <c r="CC270" i="10"/>
  <c r="CD109" i="10"/>
  <c r="CD45" i="10"/>
  <c r="BV308" i="10"/>
  <c r="BW366" i="10"/>
  <c r="BX148" i="10"/>
  <c r="BW234" i="10"/>
  <c r="BW300" i="10"/>
  <c r="CC273" i="10"/>
  <c r="CD164" i="10"/>
  <c r="BW47" i="10"/>
  <c r="CD178" i="10"/>
  <c r="BV213" i="10"/>
  <c r="BW223" i="10"/>
  <c r="BW187" i="10"/>
  <c r="CB116" i="10"/>
  <c r="CD171" i="10"/>
  <c r="BW164" i="10"/>
  <c r="CD73" i="10"/>
  <c r="BX127" i="10"/>
  <c r="CD85" i="10"/>
  <c r="BV218" i="10"/>
  <c r="BW378" i="10"/>
  <c r="CC253" i="10"/>
  <c r="CC217" i="10"/>
  <c r="BW337" i="10"/>
  <c r="BX155" i="10"/>
  <c r="CC292" i="10"/>
  <c r="CD246" i="10"/>
  <c r="CD151" i="10"/>
  <c r="BX133" i="10"/>
  <c r="CD313" i="10"/>
  <c r="BV312" i="10"/>
  <c r="CB170" i="10"/>
  <c r="CC188" i="10"/>
  <c r="BX284" i="10"/>
  <c r="BV166" i="10"/>
  <c r="CB49" i="10"/>
  <c r="CB22" i="10"/>
  <c r="CD259" i="10"/>
  <c r="BV356" i="10"/>
  <c r="CD300" i="10"/>
  <c r="CC139" i="10"/>
  <c r="BV352" i="10"/>
  <c r="BV171" i="10"/>
  <c r="CB53" i="10"/>
  <c r="BW138" i="10"/>
  <c r="BX245" i="10"/>
  <c r="BV333" i="10"/>
  <c r="CC189" i="10"/>
  <c r="BW271" i="10"/>
  <c r="BX271" i="10"/>
  <c r="BX47" i="10"/>
  <c r="CD257" i="10"/>
  <c r="CB267" i="10"/>
  <c r="CC381" i="10"/>
  <c r="BV344" i="10"/>
  <c r="CB334" i="10"/>
  <c r="BV120" i="10"/>
  <c r="BX225" i="10"/>
  <c r="CC54" i="10"/>
  <c r="CD119" i="10"/>
  <c r="BX78" i="10"/>
  <c r="CC245" i="10"/>
  <c r="CC107" i="10"/>
  <c r="BV390" i="10"/>
  <c r="BV22" i="10"/>
  <c r="CD162" i="10"/>
  <c r="BV219" i="10"/>
  <c r="BW215" i="10"/>
  <c r="BX35" i="10"/>
  <c r="CB357" i="10"/>
  <c r="CC314" i="10"/>
  <c r="BX215" i="10"/>
  <c r="CB295" i="10"/>
  <c r="BV155" i="10"/>
  <c r="BW262" i="10"/>
  <c r="CD264" i="10"/>
  <c r="CD38" i="10"/>
  <c r="CD305" i="10"/>
  <c r="CD347" i="10"/>
  <c r="CC297" i="10"/>
  <c r="BV41" i="10"/>
  <c r="CC63" i="10"/>
  <c r="CC316" i="10"/>
  <c r="BW341" i="10"/>
  <c r="BV46" i="10"/>
  <c r="BW100" i="10"/>
  <c r="CB235" i="10"/>
  <c r="CC115" i="10"/>
  <c r="BV371" i="10"/>
  <c r="BX43" i="10"/>
  <c r="CB378" i="10"/>
  <c r="BX89" i="10"/>
  <c r="BW42" i="10"/>
  <c r="BX84" i="10"/>
  <c r="BW264" i="10"/>
  <c r="CB91" i="10"/>
  <c r="BW101" i="10"/>
  <c r="CC379" i="10"/>
  <c r="CC129" i="10"/>
  <c r="BX98" i="10"/>
  <c r="CD101" i="10"/>
  <c r="CD320" i="10"/>
  <c r="CD72" i="10"/>
  <c r="BX214" i="10"/>
  <c r="BW251" i="10"/>
  <c r="BV262" i="10"/>
  <c r="BX168" i="10"/>
  <c r="CD179" i="10"/>
  <c r="BW210" i="10"/>
  <c r="BW176" i="10"/>
  <c r="CB261" i="10"/>
  <c r="CD98" i="10"/>
  <c r="CD307" i="10"/>
  <c r="BX312" i="10"/>
  <c r="CD367" i="10"/>
  <c r="CB108" i="10"/>
  <c r="CD218" i="10"/>
  <c r="CD355" i="10"/>
  <c r="CC56" i="10"/>
  <c r="BW345" i="10"/>
  <c r="BV157" i="10"/>
  <c r="CC305" i="10"/>
  <c r="BX204" i="10"/>
  <c r="BX196" i="10"/>
  <c r="CB225" i="10"/>
  <c r="BW317" i="10"/>
  <c r="CB200" i="10"/>
  <c r="CD294" i="10"/>
  <c r="CB177" i="10"/>
  <c r="CB129" i="10"/>
  <c r="BX160" i="10"/>
  <c r="CD198" i="10"/>
  <c r="BX276" i="10"/>
  <c r="CC199" i="10"/>
  <c r="CB79" i="10"/>
  <c r="CC165" i="10"/>
  <c r="CD177" i="10"/>
  <c r="BX142" i="10"/>
  <c r="CC249" i="10"/>
  <c r="BX269" i="10"/>
  <c r="BW50" i="10"/>
  <c r="BW289" i="10"/>
  <c r="CD99" i="10"/>
  <c r="BX25" i="10"/>
  <c r="CB356" i="10"/>
  <c r="CC37" i="10"/>
  <c r="BW257" i="10"/>
  <c r="CB303" i="10"/>
  <c r="BV301" i="10"/>
  <c r="CB123" i="10"/>
  <c r="CC160" i="10"/>
  <c r="CB33" i="10"/>
  <c r="CD48" i="10"/>
  <c r="CB284" i="10"/>
  <c r="CB352" i="10"/>
  <c r="CB272" i="10"/>
  <c r="BW321" i="10"/>
  <c r="BX117" i="10"/>
  <c r="CC225" i="10"/>
  <c r="BV238" i="10"/>
  <c r="CD266" i="10"/>
  <c r="BV306" i="10"/>
  <c r="CB298" i="10"/>
  <c r="BV345" i="10"/>
  <c r="CC185" i="10"/>
  <c r="CD358" i="10"/>
  <c r="BW167" i="10"/>
  <c r="BX326" i="10"/>
  <c r="CB32" i="10"/>
  <c r="CD143" i="10"/>
  <c r="BX266" i="10"/>
  <c r="CC35" i="10"/>
  <c r="CC222" i="10"/>
  <c r="BX354" i="10"/>
  <c r="CB311" i="10"/>
  <c r="CD94" i="10"/>
  <c r="BX229" i="10"/>
  <c r="CB253" i="10"/>
  <c r="CD261" i="10"/>
  <c r="BV131" i="10"/>
  <c r="CD224" i="10"/>
  <c r="BV198" i="10"/>
  <c r="BW308" i="10"/>
  <c r="BX352" i="10"/>
  <c r="CB358" i="10"/>
  <c r="CD391" i="10"/>
  <c r="BX39" i="10"/>
  <c r="BX170" i="10"/>
  <c r="CD156" i="10"/>
  <c r="BV387" i="10"/>
  <c r="BW220" i="10"/>
  <c r="BX280" i="10"/>
  <c r="BV281" i="10"/>
  <c r="BX173" i="10"/>
  <c r="BV36" i="10"/>
  <c r="CC328" i="10"/>
  <c r="CB163" i="10"/>
  <c r="BX181" i="10"/>
  <c r="BW369" i="10"/>
  <c r="BW94" i="10"/>
  <c r="BW114" i="10"/>
  <c r="BV215" i="10"/>
  <c r="BW239" i="10"/>
  <c r="CC367" i="10"/>
  <c r="CC274" i="10"/>
  <c r="CC255" i="10"/>
  <c r="CC296" i="10"/>
  <c r="CC114" i="10"/>
  <c r="BV347" i="10"/>
  <c r="BW112" i="10"/>
  <c r="CC347" i="10"/>
  <c r="BV298" i="10"/>
  <c r="BW236" i="10"/>
  <c r="BV263" i="10"/>
  <c r="BW274" i="10"/>
  <c r="CB127" i="10"/>
  <c r="BV33" i="10"/>
  <c r="BW213" i="10"/>
  <c r="CB107" i="10"/>
  <c r="CC151" i="10"/>
  <c r="CD379" i="10"/>
  <c r="BV329" i="10"/>
  <c r="CB191" i="10"/>
  <c r="CD239" i="10"/>
  <c r="BW54" i="10"/>
  <c r="CC130" i="10"/>
  <c r="CD148" i="10"/>
  <c r="CD282" i="10"/>
  <c r="BV54" i="10"/>
  <c r="BX370" i="10"/>
  <c r="BW376" i="10"/>
  <c r="CD267" i="10"/>
  <c r="CB361" i="10"/>
  <c r="CD104" i="10"/>
  <c r="BW280" i="10"/>
  <c r="CC320" i="10"/>
  <c r="BV49" i="10"/>
  <c r="BW224" i="10"/>
  <c r="BX228" i="10"/>
  <c r="CB387" i="10"/>
  <c r="BW149" i="10"/>
  <c r="CB80" i="10"/>
  <c r="CC204" i="10"/>
  <c r="BX300" i="10"/>
  <c r="CD309" i="10"/>
  <c r="BW203" i="10"/>
  <c r="CB305" i="10"/>
  <c r="CD41" i="10"/>
  <c r="CC192" i="10"/>
  <c r="CC148" i="10"/>
  <c r="CB186" i="10"/>
  <c r="CB65" i="10"/>
  <c r="CC285" i="10"/>
  <c r="BV212" i="10"/>
  <c r="BW309" i="10"/>
  <c r="CC331" i="10"/>
  <c r="BX389" i="10"/>
  <c r="BV128" i="10"/>
  <c r="BW324" i="10"/>
  <c r="BV325" i="10"/>
  <c r="CB248" i="10"/>
  <c r="CC279" i="10"/>
  <c r="BX76" i="10"/>
  <c r="CD255" i="10"/>
  <c r="BV342" i="10"/>
  <c r="CD110" i="10"/>
  <c r="CD182" i="10"/>
  <c r="CD199" i="10"/>
  <c r="BX163" i="10"/>
  <c r="CB270" i="10"/>
  <c r="CC109" i="10"/>
  <c r="BW171" i="10"/>
  <c r="CC348" i="10"/>
  <c r="CC191" i="10"/>
  <c r="BW88" i="10"/>
  <c r="CC313" i="10"/>
  <c r="CC181" i="10"/>
  <c r="CD187" i="10"/>
  <c r="BX184" i="10"/>
  <c r="BX298" i="10"/>
  <c r="CD236" i="10"/>
  <c r="CD57" i="10"/>
  <c r="CC124" i="10"/>
  <c r="BW285" i="10"/>
  <c r="CB115" i="10"/>
  <c r="BV379" i="10"/>
  <c r="CB63" i="10"/>
  <c r="CB166" i="10"/>
  <c r="BW49" i="10"/>
  <c r="CB136" i="10"/>
  <c r="BX291" i="10"/>
  <c r="CD29" i="10"/>
  <c r="BV83" i="10"/>
  <c r="CB167" i="10"/>
  <c r="BV364" i="10"/>
  <c r="BV77" i="10"/>
  <c r="BX134" i="10"/>
  <c r="CD185" i="10"/>
  <c r="CB269" i="10"/>
  <c r="BX364" i="10"/>
  <c r="BX339" i="10"/>
  <c r="CD265" i="10"/>
  <c r="CD252" i="10"/>
  <c r="CD272" i="10"/>
  <c r="BX311" i="10"/>
  <c r="CC392" i="10"/>
  <c r="BV152" i="10"/>
  <c r="BX243" i="10"/>
  <c r="BX167" i="10"/>
  <c r="BW52" i="10"/>
  <c r="BX251" i="10"/>
  <c r="CD31" i="10"/>
  <c r="BV280" i="10"/>
  <c r="CC372" i="10"/>
  <c r="CD159" i="10"/>
  <c r="CD290" i="10"/>
  <c r="CB336" i="10"/>
  <c r="BX182" i="10"/>
  <c r="CB125" i="10"/>
  <c r="BW340" i="10"/>
  <c r="BX137" i="10"/>
  <c r="BW218" i="10"/>
  <c r="CC261" i="10"/>
  <c r="CD122" i="10"/>
  <c r="CD350" i="10"/>
  <c r="CC286" i="10"/>
  <c r="CB150" i="10"/>
  <c r="BW24" i="10"/>
  <c r="CB259" i="10"/>
  <c r="CB141" i="10"/>
  <c r="CD44" i="10"/>
  <c r="BW205" i="10"/>
  <c r="BX306" i="10"/>
  <c r="BX209" i="10"/>
  <c r="BW357" i="10"/>
  <c r="CC198" i="10"/>
  <c r="BW276" i="10"/>
  <c r="BX174" i="10"/>
  <c r="CC127" i="10"/>
  <c r="BW107" i="10"/>
  <c r="BW273" i="10"/>
  <c r="BW186" i="10"/>
  <c r="CC219" i="10"/>
  <c r="BW278" i="10"/>
  <c r="CC327" i="10"/>
  <c r="CC350" i="10"/>
  <c r="BW250" i="10"/>
  <c r="BW333" i="10"/>
  <c r="CB160" i="10"/>
  <c r="BV145" i="10"/>
  <c r="CD308" i="10"/>
  <c r="CC145" i="10"/>
  <c r="BX285" i="10"/>
  <c r="CD78" i="10"/>
  <c r="BV385" i="10"/>
  <c r="CB314" i="10"/>
  <c r="BX102" i="10"/>
  <c r="BX216" i="10"/>
  <c r="CC344" i="10"/>
  <c r="CD281" i="10"/>
  <c r="CC211" i="10"/>
  <c r="BW166" i="10"/>
  <c r="BX207" i="10"/>
  <c r="BX96" i="10"/>
  <c r="BW283" i="10"/>
  <c r="BW351" i="10"/>
  <c r="CC166" i="10"/>
  <c r="BX256" i="10"/>
  <c r="CB337" i="10"/>
  <c r="CB66" i="10"/>
  <c r="CC48" i="10"/>
  <c r="BX161" i="10"/>
  <c r="BV319" i="10"/>
  <c r="CC307" i="10"/>
  <c r="BW109" i="10"/>
  <c r="CC227" i="10"/>
  <c r="CB47" i="10"/>
  <c r="BX372" i="10"/>
  <c r="BV376" i="10"/>
  <c r="BW84" i="10"/>
  <c r="BW179" i="10"/>
  <c r="BX210" i="10"/>
  <c r="CB339" i="10"/>
  <c r="BV140" i="10"/>
  <c r="CB37" i="10"/>
  <c r="BX165" i="10"/>
  <c r="CB366" i="10"/>
  <c r="BV32" i="10"/>
  <c r="CB219" i="10"/>
  <c r="CC340" i="10"/>
  <c r="CB137" i="10"/>
  <c r="BW133" i="10"/>
  <c r="CD242" i="10"/>
  <c r="CD312" i="10"/>
  <c r="CB87" i="10"/>
  <c r="CB30" i="10"/>
  <c r="CD137" i="10"/>
  <c r="BX367" i="10"/>
  <c r="CB119" i="10"/>
  <c r="CC240" i="10"/>
  <c r="CD47" i="10"/>
  <c r="BX342" i="10"/>
  <c r="BV359" i="10"/>
  <c r="CB192" i="10"/>
  <c r="BX88" i="10"/>
  <c r="CB392" i="10"/>
  <c r="BX27" i="10"/>
  <c r="BW26" i="10"/>
  <c r="CB203" i="10"/>
  <c r="CB64" i="10"/>
  <c r="CC315" i="10"/>
  <c r="BV60" i="10"/>
  <c r="CB347" i="10"/>
  <c r="BX233" i="10"/>
  <c r="BV382" i="10"/>
  <c r="CD341" i="10"/>
  <c r="BV216" i="10"/>
  <c r="BV38" i="10"/>
  <c r="CD180" i="10"/>
  <c r="CB130" i="10"/>
  <c r="CB217" i="10"/>
  <c r="CD296" i="10"/>
  <c r="BX44" i="10"/>
  <c r="BV63" i="10"/>
  <c r="BX388" i="10"/>
  <c r="CC267" i="10"/>
  <c r="BX334" i="10"/>
  <c r="BW363" i="10"/>
  <c r="CC128" i="10"/>
  <c r="CC200" i="10"/>
  <c r="CD155" i="10"/>
  <c r="BW117" i="10"/>
  <c r="BV167" i="10"/>
  <c r="BX128" i="10"/>
  <c r="BV108" i="10"/>
  <c r="BX185" i="10"/>
  <c r="BX246" i="10"/>
  <c r="BX166" i="10"/>
  <c r="BV76" i="10"/>
  <c r="BW79" i="10"/>
  <c r="CB368" i="10"/>
  <c r="BX292" i="10"/>
  <c r="CD51" i="10"/>
  <c r="CD196" i="10"/>
  <c r="CB118" i="10"/>
  <c r="BW295" i="10"/>
  <c r="CC214" i="10"/>
  <c r="BX320" i="10"/>
  <c r="CD277" i="10"/>
  <c r="BW247" i="10"/>
  <c r="CD356" i="10"/>
  <c r="CD247" i="10"/>
  <c r="BW355" i="10"/>
  <c r="CB275" i="10"/>
  <c r="CB380" i="10"/>
  <c r="BV294" i="10"/>
  <c r="CB132" i="10"/>
  <c r="BX32" i="10"/>
  <c r="BV182" i="10"/>
  <c r="CC325" i="10"/>
  <c r="BW102" i="10"/>
  <c r="CB293" i="10"/>
  <c r="CC334" i="10"/>
  <c r="CC193" i="10"/>
  <c r="BW343" i="10"/>
  <c r="BW383" i="10"/>
  <c r="BW315" i="10"/>
  <c r="CC195" i="10"/>
  <c r="BW155" i="10"/>
  <c r="CB169" i="10"/>
  <c r="CC79" i="10"/>
  <c r="BW174" i="10"/>
  <c r="CB340" i="10"/>
  <c r="CB388" i="10"/>
  <c r="BW123" i="10"/>
  <c r="BV74" i="10"/>
  <c r="BW261" i="10"/>
  <c r="CD339" i="10"/>
  <c r="CD253" i="10"/>
  <c r="CC176" i="10"/>
  <c r="BV370" i="10"/>
  <c r="BW28" i="10"/>
  <c r="BW380" i="10"/>
  <c r="BX322" i="10"/>
  <c r="BW152" i="10"/>
  <c r="CD80" i="10"/>
  <c r="CD386" i="10"/>
  <c r="CC341" i="10"/>
  <c r="CB312" i="10"/>
  <c r="BV51" i="10"/>
  <c r="CC324" i="10"/>
  <c r="BW248" i="10"/>
  <c r="CB304" i="10"/>
  <c r="BW22" i="10"/>
  <c r="BV348" i="10"/>
  <c r="CB332" i="10"/>
  <c r="BX387" i="10"/>
  <c r="BV141" i="10"/>
  <c r="CC153" i="10"/>
  <c r="CC86" i="10"/>
  <c r="BX220" i="10"/>
  <c r="CD168" i="10"/>
  <c r="CC53" i="10"/>
  <c r="BX313" i="10"/>
  <c r="BX83" i="10"/>
  <c r="BV286" i="10"/>
  <c r="BV121" i="10"/>
  <c r="CC186" i="10"/>
  <c r="BX277" i="10"/>
  <c r="BW323" i="10"/>
  <c r="CC336" i="10"/>
  <c r="BX241" i="10"/>
  <c r="CC239" i="10"/>
  <c r="CB280" i="10"/>
  <c r="CB122" i="10"/>
  <c r="BW56" i="10"/>
  <c r="BX366" i="10"/>
  <c r="BW60" i="10"/>
  <c r="CC70" i="10"/>
  <c r="BX122" i="10"/>
  <c r="CB188" i="10"/>
  <c r="BX250" i="10"/>
  <c r="CD188" i="10"/>
  <c r="CC247" i="10"/>
  <c r="CD260" i="10"/>
  <c r="CB146" i="10"/>
  <c r="CC210" i="10"/>
  <c r="CC384" i="10"/>
  <c r="BX347" i="10"/>
  <c r="BX92" i="10"/>
  <c r="CB283" i="10"/>
  <c r="BV375" i="10"/>
  <c r="BX296" i="10"/>
  <c r="BV24" i="10"/>
  <c r="BW162" i="10"/>
  <c r="BW169" i="10"/>
  <c r="CB224" i="10"/>
  <c r="CC268" i="10"/>
  <c r="CB326" i="10"/>
  <c r="CC161" i="10"/>
  <c r="CD319" i="10"/>
  <c r="BX213" i="10"/>
  <c r="CC104" i="10"/>
  <c r="BW168" i="10"/>
  <c r="CD370" i="10"/>
  <c r="BW98" i="10"/>
  <c r="BW375" i="10"/>
  <c r="CD213" i="10"/>
  <c r="BX315" i="10"/>
  <c r="CD227" i="10"/>
  <c r="BW178" i="10"/>
  <c r="CB99" i="10"/>
  <c r="CD118" i="10"/>
  <c r="CB181" i="10"/>
  <c r="CC177" i="10"/>
  <c r="CC332" i="10"/>
  <c r="CB156" i="10"/>
  <c r="CB61" i="10"/>
  <c r="BW23" i="10"/>
  <c r="CB26" i="10"/>
  <c r="BV160" i="10"/>
  <c r="BX336" i="10"/>
  <c r="CB221" i="10"/>
  <c r="CB211" i="10"/>
  <c r="BV231" i="10"/>
  <c r="BW227" i="10"/>
  <c r="BX193" i="10"/>
  <c r="CB98" i="10"/>
  <c r="BV79" i="10"/>
  <c r="CB256" i="10"/>
  <c r="BX103" i="10"/>
  <c r="CD79" i="10"/>
  <c r="CB35" i="10"/>
  <c r="CD280" i="10"/>
  <c r="CD22" i="10"/>
  <c r="CB96" i="10"/>
  <c r="CC108" i="10"/>
  <c r="BV259" i="10"/>
  <c r="CB364" i="10"/>
  <c r="CC362" i="10"/>
  <c r="BW329" i="10"/>
  <c r="CB126" i="10"/>
  <c r="CD221" i="10"/>
  <c r="BV233" i="10"/>
  <c r="BV336" i="10"/>
  <c r="BX382" i="10"/>
  <c r="BV97" i="10"/>
  <c r="CC83" i="10"/>
  <c r="CD375" i="10"/>
  <c r="BW263" i="10"/>
  <c r="BW318" i="10"/>
  <c r="CD372" i="10"/>
  <c r="BV134" i="10"/>
  <c r="BX52" i="10"/>
  <c r="CC223" i="10"/>
  <c r="BW373" i="10"/>
  <c r="BW83" i="10"/>
  <c r="BV68" i="10"/>
  <c r="BV165" i="10"/>
  <c r="CD228" i="10"/>
  <c r="BW281" i="10"/>
  <c r="CD160" i="10"/>
  <c r="BX265" i="10"/>
  <c r="BV28" i="10"/>
  <c r="BV85" i="10"/>
  <c r="CB373" i="10"/>
  <c r="CC335" i="10"/>
  <c r="CD276" i="10"/>
  <c r="BV257" i="10"/>
  <c r="BX238" i="10"/>
  <c r="BW291" i="10"/>
  <c r="BX153" i="10"/>
  <c r="CD323" i="10"/>
  <c r="CC97" i="10"/>
  <c r="BX323" i="10"/>
  <c r="BV113" i="10"/>
  <c r="CD343" i="10"/>
  <c r="CB204" i="10"/>
  <c r="CD338" i="10"/>
  <c r="CC330" i="10"/>
  <c r="BX330" i="10"/>
  <c r="BV291" i="10"/>
  <c r="CC57" i="10"/>
  <c r="BX287" i="10"/>
  <c r="CC370" i="10"/>
  <c r="CB46" i="10"/>
  <c r="CC237" i="10"/>
  <c r="BX151" i="10"/>
  <c r="BX57" i="10"/>
  <c r="CD173" i="10"/>
  <c r="CC251" i="10"/>
  <c r="CC92" i="10"/>
  <c r="CC206" i="10"/>
  <c r="CB370" i="10"/>
  <c r="BX64" i="10"/>
  <c r="BX376" i="10"/>
  <c r="BW108" i="10"/>
  <c r="BX139" i="10"/>
  <c r="BW367" i="10"/>
  <c r="CD68" i="10"/>
  <c r="BX274" i="10"/>
  <c r="CB40" i="10"/>
  <c r="CB77" i="10"/>
  <c r="CB86" i="10"/>
  <c r="CB187" i="10"/>
  <c r="BV158" i="10"/>
  <c r="BW71" i="10"/>
  <c r="BV343" i="10"/>
  <c r="CC309" i="10"/>
  <c r="BW226" i="10"/>
  <c r="BV253" i="10"/>
  <c r="CD165" i="10"/>
  <c r="BV125" i="10"/>
  <c r="BV293" i="10"/>
  <c r="BV297" i="10"/>
  <c r="BW150" i="10"/>
  <c r="CB90" i="10"/>
  <c r="CC89" i="10"/>
  <c r="BV204" i="10"/>
  <c r="CC236" i="10"/>
  <c r="BV265" i="10"/>
  <c r="CD209" i="10"/>
  <c r="CC168" i="10"/>
  <c r="CC25" i="10"/>
  <c r="BV168" i="10"/>
  <c r="CB252" i="10"/>
  <c r="CC254" i="10"/>
  <c r="BX22" i="10"/>
  <c r="CB69" i="10"/>
  <c r="CB152" i="10"/>
  <c r="CC22" i="10"/>
  <c r="CD344" i="10"/>
  <c r="CC207" i="10"/>
  <c r="BW204" i="10"/>
  <c r="BV358" i="10"/>
  <c r="CD383" i="10"/>
  <c r="CB238" i="10"/>
  <c r="CB197" i="10"/>
  <c r="BV188" i="10"/>
  <c r="BX208" i="10"/>
  <c r="CB245" i="10"/>
  <c r="BV130" i="10"/>
  <c r="BW284" i="10"/>
  <c r="CB142" i="10"/>
  <c r="BV261" i="10"/>
  <c r="CB227" i="10"/>
  <c r="BV44" i="10"/>
  <c r="CD67" i="10"/>
  <c r="CB134" i="10"/>
  <c r="CC205" i="10"/>
  <c r="CB328" i="10"/>
  <c r="CB113" i="10"/>
  <c r="CB232" i="10"/>
  <c r="CD46" i="10"/>
  <c r="BW260" i="10"/>
  <c r="BV99" i="10"/>
  <c r="BW256" i="10"/>
  <c r="CB24" i="10"/>
  <c r="BW67" i="10"/>
  <c r="CC51" i="10"/>
  <c r="CC364" i="10"/>
  <c r="CD108" i="10"/>
  <c r="CB385" i="10"/>
  <c r="CC351" i="10"/>
  <c r="BV175" i="10"/>
  <c r="BX363" i="10"/>
  <c r="CD87" i="10"/>
  <c r="CC47" i="10"/>
  <c r="CB202" i="10"/>
  <c r="BW118" i="10"/>
  <c r="BX261" i="10"/>
  <c r="CC256" i="10"/>
  <c r="CC76" i="10"/>
  <c r="CD258" i="10"/>
  <c r="BW93" i="10"/>
  <c r="BX106" i="10"/>
  <c r="BV144" i="10"/>
  <c r="CD360" i="10"/>
  <c r="CB353" i="10"/>
  <c r="CC363" i="10"/>
  <c r="CD49" i="10"/>
  <c r="CC39" i="10"/>
  <c r="BW196" i="10"/>
  <c r="BX143" i="10"/>
  <c r="CE40" i="10" l="1"/>
  <c r="CE360" i="10"/>
  <c r="CE157" i="10"/>
  <c r="BZ285" i="10"/>
  <c r="CA285" i="10" s="1"/>
  <c r="CE221" i="10"/>
  <c r="CE332" i="10"/>
  <c r="BZ182" i="10"/>
  <c r="CA182" i="10" s="1"/>
  <c r="CE135" i="10"/>
  <c r="CE344" i="10"/>
  <c r="BZ212" i="10"/>
  <c r="CA212" i="10" s="1"/>
  <c r="CE264" i="10"/>
  <c r="CE373" i="10"/>
  <c r="BZ97" i="10"/>
  <c r="CA97" i="10" s="1"/>
  <c r="BZ110" i="10"/>
  <c r="CA110" i="10" s="1"/>
  <c r="BZ23" i="10"/>
  <c r="CA23" i="10" s="1"/>
  <c r="CE137" i="10"/>
  <c r="BZ312" i="10"/>
  <c r="CA312" i="10" s="1"/>
  <c r="CE129" i="10"/>
  <c r="BZ157" i="10"/>
  <c r="CA157" i="10" s="1"/>
  <c r="BZ160" i="10"/>
  <c r="CA160" i="10" s="1"/>
  <c r="BZ275" i="10"/>
  <c r="CA275" i="10" s="1"/>
  <c r="CE132" i="10"/>
  <c r="CE209" i="10"/>
  <c r="BZ223" i="10"/>
  <c r="CA223" i="10" s="1"/>
  <c r="BZ85" i="10"/>
  <c r="CA85" i="10" s="1"/>
  <c r="CE26" i="10"/>
  <c r="BZ344" i="10"/>
  <c r="CA344" i="10" s="1"/>
  <c r="BZ294" i="10"/>
  <c r="CA294" i="10" s="1"/>
  <c r="CE367" i="10"/>
  <c r="BZ264" i="10"/>
  <c r="CA264" i="10" s="1"/>
  <c r="BZ177" i="10"/>
  <c r="CA177" i="10" s="1"/>
  <c r="CE219" i="10"/>
  <c r="CE134" i="10"/>
  <c r="CE305" i="10"/>
  <c r="CE97" i="10"/>
  <c r="CE93" i="10"/>
  <c r="CE110" i="10"/>
  <c r="BZ336" i="10"/>
  <c r="CA336" i="10" s="1"/>
  <c r="BZ27" i="10"/>
  <c r="CA27" i="10" s="1"/>
  <c r="CE380" i="10"/>
  <c r="BZ32" i="10"/>
  <c r="CA32" i="10" s="1"/>
  <c r="CE138" i="10"/>
  <c r="BZ81" i="10"/>
  <c r="CA81" i="10" s="1"/>
  <c r="CE348" i="10"/>
  <c r="BZ28" i="10"/>
  <c r="CA28" i="10" s="1"/>
  <c r="CE45" i="10"/>
  <c r="BZ165" i="10"/>
  <c r="CA165" i="10" s="1"/>
  <c r="BZ233" i="10"/>
  <c r="CA233" i="10" s="1"/>
  <c r="BZ57" i="10"/>
  <c r="CA57" i="10" s="1"/>
  <c r="CE154" i="10"/>
  <c r="BZ148" i="10"/>
  <c r="CA148" i="10" s="1"/>
  <c r="CE61" i="10"/>
  <c r="CE275" i="10"/>
  <c r="CE366" i="10"/>
  <c r="CE385" i="10"/>
  <c r="CE184" i="10"/>
  <c r="CE382" i="10"/>
  <c r="BZ26" i="10"/>
  <c r="CA26" i="10" s="1"/>
  <c r="CE294" i="10"/>
  <c r="CE177" i="10"/>
  <c r="BZ68" i="10"/>
  <c r="CA68" i="10" s="1"/>
  <c r="CE156" i="10"/>
  <c r="CE327" i="10"/>
  <c r="CE194" i="10"/>
  <c r="BZ348" i="10"/>
  <c r="CA348" i="10" s="1"/>
  <c r="CE288" i="10"/>
  <c r="CE125" i="10"/>
  <c r="BZ274" i="10"/>
  <c r="CA274" i="10" s="1"/>
  <c r="BZ143" i="10"/>
  <c r="CA143" i="10" s="1"/>
  <c r="CE108" i="10"/>
  <c r="BZ67" i="10"/>
  <c r="CA67" i="10" s="1"/>
  <c r="CE37" i="10"/>
  <c r="BZ209" i="10"/>
  <c r="CA209" i="10" s="1"/>
  <c r="CE345" i="10"/>
  <c r="CE126" i="10"/>
  <c r="CE176" i="10"/>
  <c r="CE56" i="10"/>
  <c r="CE306" i="10"/>
  <c r="BZ140" i="10"/>
  <c r="CA140" i="10" s="1"/>
  <c r="CE60" i="10"/>
  <c r="CE336" i="10"/>
  <c r="BZ238" i="10"/>
  <c r="CA238" i="10" s="1"/>
  <c r="BZ25" i="10"/>
  <c r="CA25" i="10" s="1"/>
  <c r="CE220" i="10"/>
  <c r="BZ210" i="10"/>
  <c r="CA210" i="10" s="1"/>
  <c r="CE200" i="10"/>
  <c r="BZ207" i="10"/>
  <c r="CA207" i="10" s="1"/>
  <c r="BZ116" i="10"/>
  <c r="CA116" i="10" s="1"/>
  <c r="CE181" i="10"/>
  <c r="CE233" i="10"/>
  <c r="BZ288" i="10"/>
  <c r="CA288" i="10" s="1"/>
  <c r="CE339" i="10"/>
  <c r="CE356" i="10"/>
  <c r="CE198" i="10"/>
  <c r="CE174" i="10"/>
  <c r="BZ92" i="10"/>
  <c r="CA92" i="10" s="1"/>
  <c r="CE290" i="10"/>
  <c r="BZ198" i="10"/>
  <c r="CA198" i="10" s="1"/>
  <c r="CE32" i="10"/>
  <c r="CE223" i="10"/>
  <c r="BZ290" i="10"/>
  <c r="CA290" i="10" s="1"/>
  <c r="BZ314" i="10"/>
  <c r="CA314" i="10" s="1"/>
  <c r="CE300" i="10"/>
  <c r="CE225" i="10"/>
  <c r="BZ69" i="10"/>
  <c r="CA69" i="10" s="1"/>
  <c r="CE210" i="10"/>
  <c r="CE99" i="10"/>
  <c r="CE92" i="10"/>
  <c r="CE148" i="10"/>
  <c r="BZ251" i="10"/>
  <c r="CA251" i="10" s="1"/>
  <c r="CE55" i="10"/>
  <c r="BZ159" i="10"/>
  <c r="CA159" i="10" s="1"/>
  <c r="BZ370" i="10"/>
  <c r="CA370" i="10" s="1"/>
  <c r="BZ213" i="10"/>
  <c r="CA213" i="10" s="1"/>
  <c r="CE317" i="10"/>
  <c r="BZ331" i="10"/>
  <c r="CA331" i="10" s="1"/>
  <c r="BZ256" i="10"/>
  <c r="CA256" i="10" s="1"/>
  <c r="CE237" i="10"/>
  <c r="CE152" i="10"/>
  <c r="BZ326" i="10"/>
  <c r="CA326" i="10" s="1"/>
  <c r="CE261" i="10"/>
  <c r="BZ247" i="10"/>
  <c r="CA247" i="10" s="1"/>
  <c r="CE364" i="10"/>
  <c r="BZ43" i="10"/>
  <c r="CA43" i="10" s="1"/>
  <c r="CE267" i="10"/>
  <c r="BZ280" i="10"/>
  <c r="CA280" i="10" s="1"/>
  <c r="BZ191" i="10"/>
  <c r="CA191" i="10" s="1"/>
  <c r="CE375" i="10"/>
  <c r="BZ235" i="10"/>
  <c r="CA235" i="10" s="1"/>
  <c r="CE105" i="10"/>
  <c r="BZ134" i="10"/>
  <c r="CA134" i="10" s="1"/>
  <c r="CE51" i="10"/>
  <c r="CE121" i="10"/>
  <c r="BZ66" i="10"/>
  <c r="CA66" i="10" s="1"/>
  <c r="BZ356" i="10"/>
  <c r="CA356" i="10" s="1"/>
  <c r="BZ376" i="10"/>
  <c r="CA376" i="10" s="1"/>
  <c r="CE104" i="10"/>
  <c r="BZ111" i="10"/>
  <c r="CA111" i="10" s="1"/>
  <c r="BZ318" i="10"/>
  <c r="CA318" i="10" s="1"/>
  <c r="CE69" i="10"/>
  <c r="BZ49" i="10"/>
  <c r="CA49" i="10" s="1"/>
  <c r="BZ259" i="10"/>
  <c r="CA259" i="10" s="1"/>
  <c r="CE120" i="10"/>
  <c r="CE118" i="10"/>
  <c r="BZ374" i="10"/>
  <c r="CA374" i="10" s="1"/>
  <c r="BZ44" i="10"/>
  <c r="CA44" i="10" s="1"/>
  <c r="CE131" i="10"/>
  <c r="CE370" i="10"/>
  <c r="CE265" i="10"/>
  <c r="BZ317" i="10"/>
  <c r="CA317" i="10" s="1"/>
  <c r="CE67" i="10"/>
  <c r="CE47" i="10"/>
  <c r="CE321" i="10"/>
  <c r="BZ339" i="10"/>
  <c r="CA339" i="10" s="1"/>
  <c r="BZ95" i="10"/>
  <c r="CA95" i="10" s="1"/>
  <c r="BZ84" i="10"/>
  <c r="CA84" i="10" s="1"/>
  <c r="BZ151" i="10"/>
  <c r="CA151" i="10" s="1"/>
  <c r="CE96" i="10"/>
  <c r="CE309" i="10"/>
  <c r="CE376" i="10"/>
  <c r="BZ262" i="10"/>
  <c r="CA262" i="10" s="1"/>
  <c r="CE282" i="10"/>
  <c r="CE322" i="10"/>
  <c r="CE278" i="10"/>
  <c r="CE374" i="10"/>
  <c r="CE39" i="10"/>
  <c r="BZ337" i="10"/>
  <c r="CA337" i="10" s="1"/>
  <c r="CE361" i="10"/>
  <c r="BZ320" i="10"/>
  <c r="CA320" i="10" s="1"/>
  <c r="CE179" i="10"/>
  <c r="CE304" i="10"/>
  <c r="CE202" i="10"/>
  <c r="CE368" i="10"/>
  <c r="BZ152" i="10"/>
  <c r="CA152" i="10" s="1"/>
  <c r="BZ271" i="10"/>
  <c r="CA271" i="10" s="1"/>
  <c r="CE43" i="10"/>
  <c r="CE273" i="10"/>
  <c r="CE36" i="10"/>
  <c r="CE65" i="10"/>
  <c r="BZ319" i="10"/>
  <c r="CA319" i="10" s="1"/>
  <c r="BZ224" i="10"/>
  <c r="CA224" i="10" s="1"/>
  <c r="CE227" i="10"/>
  <c r="BZ363" i="10"/>
  <c r="CA363" i="10" s="1"/>
  <c r="CE246" i="10"/>
  <c r="CE252" i="10"/>
  <c r="CE31" i="10"/>
  <c r="CE35" i="10"/>
  <c r="BZ282" i="10"/>
  <c r="CA282" i="10" s="1"/>
  <c r="BZ98" i="10"/>
  <c r="CA98" i="10" s="1"/>
  <c r="BZ377" i="10"/>
  <c r="CA377" i="10" s="1"/>
  <c r="BZ76" i="10"/>
  <c r="CA76" i="10" s="1"/>
  <c r="CE257" i="10"/>
  <c r="BZ355" i="10"/>
  <c r="CA355" i="10" s="1"/>
  <c r="BZ372" i="10"/>
  <c r="CA372" i="10" s="1"/>
  <c r="BZ128" i="10"/>
  <c r="CA128" i="10" s="1"/>
  <c r="CE147" i="10"/>
  <c r="CE214" i="10"/>
  <c r="BZ168" i="10"/>
  <c r="CA168" i="10" s="1"/>
  <c r="CE151" i="10"/>
  <c r="BZ54" i="10"/>
  <c r="CA54" i="10" s="1"/>
  <c r="CE231" i="10"/>
  <c r="BZ227" i="10"/>
  <c r="CA227" i="10" s="1"/>
  <c r="CE363" i="10"/>
  <c r="CE66" i="10"/>
  <c r="BZ269" i="10"/>
  <c r="CA269" i="10" s="1"/>
  <c r="CE195" i="10"/>
  <c r="BZ254" i="10"/>
  <c r="CA254" i="10" s="1"/>
  <c r="BZ378" i="10"/>
  <c r="CA378" i="10" s="1"/>
  <c r="CE239" i="10"/>
  <c r="BZ311" i="10"/>
  <c r="CA311" i="10" s="1"/>
  <c r="BZ292" i="10"/>
  <c r="CA292" i="10" s="1"/>
  <c r="CE117" i="10"/>
  <c r="BZ131" i="10"/>
  <c r="CA131" i="10" s="1"/>
  <c r="CE337" i="10"/>
  <c r="BZ261" i="10"/>
  <c r="CA261" i="10" s="1"/>
  <c r="BZ126" i="10"/>
  <c r="CA126" i="10" s="1"/>
  <c r="CE256" i="10"/>
  <c r="CE326" i="10"/>
  <c r="CE84" i="10"/>
  <c r="CE318" i="10"/>
  <c r="CE22" i="10"/>
  <c r="BZ108" i="10"/>
  <c r="CA108" i="10" s="1"/>
  <c r="BZ176" i="10"/>
  <c r="CA176" i="10" s="1"/>
  <c r="CE381" i="10"/>
  <c r="CE25" i="10"/>
  <c r="BZ34" i="10"/>
  <c r="CA34" i="10" s="1"/>
  <c r="BZ146" i="10"/>
  <c r="CA146" i="10" s="1"/>
  <c r="BZ330" i="10"/>
  <c r="CA330" i="10" s="1"/>
  <c r="CE272" i="10"/>
  <c r="CE149" i="10"/>
  <c r="BZ79" i="10"/>
  <c r="CA79" i="10" s="1"/>
  <c r="CE224" i="10"/>
  <c r="CE171" i="10"/>
  <c r="BZ248" i="10"/>
  <c r="CA248" i="10" s="1"/>
  <c r="BZ167" i="10"/>
  <c r="CA167" i="10" s="1"/>
  <c r="CE269" i="10"/>
  <c r="CE142" i="10"/>
  <c r="BZ164" i="10"/>
  <c r="CA164" i="10" s="1"/>
  <c r="CE72" i="10"/>
  <c r="BZ189" i="10"/>
  <c r="CA189" i="10" s="1"/>
  <c r="BZ112" i="10"/>
  <c r="CA112" i="10" s="1"/>
  <c r="CE91" i="10"/>
  <c r="BZ310" i="10"/>
  <c r="CA310" i="10" s="1"/>
  <c r="CE98" i="10"/>
  <c r="BZ161" i="10"/>
  <c r="CA161" i="10" s="1"/>
  <c r="BZ346" i="10"/>
  <c r="CA346" i="10" s="1"/>
  <c r="CE292" i="10"/>
  <c r="BZ353" i="10"/>
  <c r="CA353" i="10" s="1"/>
  <c r="CE331" i="10"/>
  <c r="CE307" i="10"/>
  <c r="CE196" i="10"/>
  <c r="CE191" i="10"/>
  <c r="CE281" i="10"/>
  <c r="BZ237" i="10"/>
  <c r="CA237" i="10" s="1"/>
  <c r="CE24" i="10"/>
  <c r="BZ129" i="10"/>
  <c r="CA129" i="10" s="1"/>
  <c r="BZ265" i="10"/>
  <c r="CA265" i="10" s="1"/>
  <c r="BZ329" i="10"/>
  <c r="CA329" i="10" s="1"/>
  <c r="BZ24" i="10"/>
  <c r="CA24" i="10" s="1"/>
  <c r="BZ246" i="10"/>
  <c r="CA246" i="10" s="1"/>
  <c r="BZ72" i="10"/>
  <c r="CA72" i="10" s="1"/>
  <c r="CE377" i="10"/>
  <c r="CE49" i="10"/>
  <c r="CE243" i="10"/>
  <c r="BZ77" i="10"/>
  <c r="CA77" i="10" s="1"/>
  <c r="CE352" i="10"/>
  <c r="CE349" i="10"/>
  <c r="CE100" i="10"/>
  <c r="BZ284" i="10"/>
  <c r="CA284" i="10" s="1"/>
  <c r="CE263" i="10"/>
  <c r="CE268" i="10"/>
  <c r="CE82" i="10"/>
  <c r="BZ202" i="10"/>
  <c r="CA202" i="10" s="1"/>
  <c r="BZ368" i="10"/>
  <c r="CA368" i="10" s="1"/>
  <c r="CE62" i="10"/>
  <c r="BZ47" i="10"/>
  <c r="CA47" i="10" s="1"/>
  <c r="BZ364" i="10"/>
  <c r="CA364" i="10" s="1"/>
  <c r="CE289" i="10"/>
  <c r="CE95" i="10"/>
  <c r="CE46" i="10"/>
  <c r="BZ231" i="10"/>
  <c r="CA231" i="10" s="1"/>
  <c r="BZ375" i="10"/>
  <c r="CA375" i="10" s="1"/>
  <c r="BZ127" i="10"/>
  <c r="CA127" i="10" s="1"/>
  <c r="BZ51" i="10"/>
  <c r="CA51" i="10" s="1"/>
  <c r="CE167" i="10"/>
  <c r="CE391" i="10"/>
  <c r="CE254" i="10"/>
  <c r="CE107" i="10"/>
  <c r="CE378" i="10"/>
  <c r="BZ239" i="10"/>
  <c r="CA239" i="10" s="1"/>
  <c r="BZ169" i="10"/>
  <c r="CA169" i="10" s="1"/>
  <c r="CE230" i="10"/>
  <c r="CE161" i="10"/>
  <c r="CE283" i="10"/>
  <c r="CE253" i="10"/>
  <c r="BZ83" i="10"/>
  <c r="CA83" i="10" s="1"/>
  <c r="CE68" i="10"/>
  <c r="BZ381" i="10"/>
  <c r="CA381" i="10" s="1"/>
  <c r="BZ204" i="10"/>
  <c r="CA204" i="10" s="1"/>
  <c r="BZ132" i="10"/>
  <c r="CA132" i="10" s="1"/>
  <c r="CE162" i="10"/>
  <c r="CE353" i="10"/>
  <c r="BZ321" i="10"/>
  <c r="CA321" i="10" s="1"/>
  <c r="BZ361" i="10"/>
  <c r="CA361" i="10" s="1"/>
  <c r="CE284" i="10"/>
  <c r="BZ130" i="10"/>
  <c r="CA130" i="10" s="1"/>
  <c r="BZ42" i="10"/>
  <c r="CA42" i="10" s="1"/>
  <c r="BZ33" i="10"/>
  <c r="CA33" i="10" s="1"/>
  <c r="BZ296" i="10"/>
  <c r="CA296" i="10" s="1"/>
  <c r="BZ304" i="10"/>
  <c r="CA304" i="10" s="1"/>
  <c r="BZ371" i="10"/>
  <c r="CA371" i="10" s="1"/>
  <c r="BZ62" i="10"/>
  <c r="CA62" i="10" s="1"/>
  <c r="CE271" i="10"/>
  <c r="CE128" i="10"/>
  <c r="BZ166" i="10"/>
  <c r="CA166" i="10" s="1"/>
  <c r="BZ48" i="10"/>
  <c r="CA48" i="10" s="1"/>
  <c r="BZ272" i="10"/>
  <c r="CA272" i="10" s="1"/>
  <c r="CE316" i="10"/>
  <c r="CE241" i="10"/>
  <c r="CE58" i="10"/>
  <c r="BZ236" i="10"/>
  <c r="CA236" i="10" s="1"/>
  <c r="BZ201" i="10"/>
  <c r="CA201" i="10" s="1"/>
  <c r="CE54" i="10"/>
  <c r="CE101" i="10"/>
  <c r="CE153" i="10"/>
  <c r="BZ180" i="10"/>
  <c r="CA180" i="10" s="1"/>
  <c r="CE127" i="10"/>
  <c r="CE211" i="10"/>
  <c r="BZ106" i="10"/>
  <c r="CA106" i="10" s="1"/>
  <c r="CE112" i="10"/>
  <c r="BZ63" i="10"/>
  <c r="CA63" i="10" s="1"/>
  <c r="CE136" i="10"/>
  <c r="BZ150" i="10"/>
  <c r="CA150" i="10" s="1"/>
  <c r="BZ334" i="10"/>
  <c r="CA334" i="10" s="1"/>
  <c r="CE143" i="10"/>
  <c r="BZ52" i="10"/>
  <c r="CA52" i="10" s="1"/>
  <c r="CE235" i="10"/>
  <c r="BZ225" i="10"/>
  <c r="CA225" i="10" s="1"/>
  <c r="CE312" i="10"/>
  <c r="CE362" i="10"/>
  <c r="CE159" i="10"/>
  <c r="BZ179" i="10"/>
  <c r="CA179" i="10" s="1"/>
  <c r="BZ196" i="10"/>
  <c r="CA196" i="10" s="1"/>
  <c r="CE178" i="10"/>
  <c r="BZ345" i="10"/>
  <c r="CA345" i="10" s="1"/>
  <c r="CE314" i="10"/>
  <c r="BZ104" i="10"/>
  <c r="CA104" i="10" s="1"/>
  <c r="BZ322" i="10"/>
  <c r="CA322" i="10" s="1"/>
  <c r="BZ99" i="10"/>
  <c r="CA99" i="10" s="1"/>
  <c r="CE213" i="10"/>
  <c r="BZ307" i="10"/>
  <c r="CA307" i="10" s="1"/>
  <c r="CE90" i="10"/>
  <c r="BZ263" i="10"/>
  <c r="CA263" i="10" s="1"/>
  <c r="CE285" i="10"/>
  <c r="CE146" i="10"/>
  <c r="BZ208" i="10"/>
  <c r="CA208" i="10" s="1"/>
  <c r="BZ74" i="10"/>
  <c r="CA74" i="10" s="1"/>
  <c r="BZ299" i="10"/>
  <c r="CA299" i="10" s="1"/>
  <c r="CE386" i="10"/>
  <c r="CE330" i="10"/>
  <c r="BZ385" i="10"/>
  <c r="CA385" i="10" s="1"/>
  <c r="CE166" i="10"/>
  <c r="CE245" i="10"/>
  <c r="BZ80" i="10"/>
  <c r="CA80" i="10" s="1"/>
  <c r="CE333" i="10"/>
  <c r="BZ388" i="10"/>
  <c r="CA388" i="10" s="1"/>
  <c r="BZ291" i="10"/>
  <c r="CA291" i="10" s="1"/>
  <c r="BZ46" i="10"/>
  <c r="CA46" i="10" s="1"/>
  <c r="BZ124" i="10"/>
  <c r="CA124" i="10" s="1"/>
  <c r="CE217" i="10"/>
  <c r="BZ142" i="10"/>
  <c r="CA142" i="10" s="1"/>
  <c r="BZ75" i="10"/>
  <c r="CA75" i="10" s="1"/>
  <c r="CE63" i="10"/>
  <c r="CE310" i="10"/>
  <c r="BZ53" i="10"/>
  <c r="CA53" i="10" s="1"/>
  <c r="BZ244" i="10"/>
  <c r="CA244" i="10" s="1"/>
  <c r="BZ183" i="10"/>
  <c r="CA183" i="10" s="1"/>
  <c r="CE249" i="10"/>
  <c r="BZ298" i="10"/>
  <c r="CA298" i="10" s="1"/>
  <c r="CE247" i="10"/>
  <c r="CE372" i="10"/>
  <c r="BZ214" i="10"/>
  <c r="CA214" i="10" s="1"/>
  <c r="BZ349" i="10"/>
  <c r="CA349" i="10" s="1"/>
  <c r="CE34" i="10"/>
  <c r="CE29" i="10"/>
  <c r="CE130" i="10"/>
  <c r="BZ379" i="10"/>
  <c r="CA379" i="10" s="1"/>
  <c r="CE42" i="10"/>
  <c r="CE208" i="10"/>
  <c r="BZ268" i="10"/>
  <c r="CA268" i="10" s="1"/>
  <c r="CE296" i="10"/>
  <c r="BZ386" i="10"/>
  <c r="CA386" i="10" s="1"/>
  <c r="CE41" i="10"/>
  <c r="CE48" i="10"/>
  <c r="BZ70" i="10"/>
  <c r="CA70" i="10" s="1"/>
  <c r="BZ147" i="10"/>
  <c r="CA147" i="10" s="1"/>
  <c r="BZ241" i="10"/>
  <c r="CA241" i="10" s="1"/>
  <c r="BZ71" i="10"/>
  <c r="CA71" i="10" s="1"/>
  <c r="BZ333" i="10"/>
  <c r="CA333" i="10" s="1"/>
  <c r="BZ58" i="10"/>
  <c r="CA58" i="10" s="1"/>
  <c r="CE287" i="10"/>
  <c r="CE115" i="10"/>
  <c r="CE369" i="10"/>
  <c r="BZ211" i="10"/>
  <c r="CA211" i="10" s="1"/>
  <c r="CE384" i="10"/>
  <c r="BZ217" i="10"/>
  <c r="CA217" i="10" s="1"/>
  <c r="BZ297" i="10"/>
  <c r="CA297" i="10" s="1"/>
  <c r="CE106" i="10"/>
  <c r="CE242" i="10"/>
  <c r="CE365" i="10"/>
  <c r="BZ283" i="10"/>
  <c r="CA283" i="10" s="1"/>
  <c r="CE183" i="10"/>
  <c r="CE94" i="10"/>
  <c r="BZ100" i="10"/>
  <c r="CA100" i="10" s="1"/>
  <c r="BZ61" i="10"/>
  <c r="CA61" i="10" s="1"/>
  <c r="BZ38" i="10"/>
  <c r="CA38" i="10" s="1"/>
  <c r="CE379" i="10"/>
  <c r="CE33" i="10"/>
  <c r="BZ82" i="10"/>
  <c r="CA82" i="10" s="1"/>
  <c r="BZ366" i="10"/>
  <c r="CA366" i="10" s="1"/>
  <c r="CE371" i="10"/>
  <c r="BZ347" i="10"/>
  <c r="CA347" i="10" s="1"/>
  <c r="BZ266" i="10"/>
  <c r="CA266" i="10" s="1"/>
  <c r="BZ41" i="10"/>
  <c r="CA41" i="10" s="1"/>
  <c r="BZ59" i="10"/>
  <c r="CA59" i="10" s="1"/>
  <c r="BZ350" i="10"/>
  <c r="CA350" i="10" s="1"/>
  <c r="CE188" i="10"/>
  <c r="CE388" i="10"/>
  <c r="BZ216" i="10"/>
  <c r="CA216" i="10" s="1"/>
  <c r="CE236" i="10"/>
  <c r="BZ145" i="10"/>
  <c r="CA145" i="10" s="1"/>
  <c r="BZ218" i="10"/>
  <c r="CA218" i="10" s="1"/>
  <c r="BZ287" i="10"/>
  <c r="CA287" i="10" s="1"/>
  <c r="BZ293" i="10"/>
  <c r="CA293" i="10" s="1"/>
  <c r="BZ384" i="10"/>
  <c r="CA384" i="10" s="1"/>
  <c r="BZ156" i="10"/>
  <c r="CA156" i="10" s="1"/>
  <c r="CE75" i="10"/>
  <c r="CE81" i="10"/>
  <c r="BZ365" i="10"/>
  <c r="CA365" i="10" s="1"/>
  <c r="BZ250" i="10"/>
  <c r="CA250" i="10" s="1"/>
  <c r="CE298" i="10"/>
  <c r="CE160" i="10"/>
  <c r="BZ64" i="10"/>
  <c r="CA64" i="10" s="1"/>
  <c r="BZ31" i="10"/>
  <c r="CA31" i="10" s="1"/>
  <c r="BZ29" i="10"/>
  <c r="CA29" i="10" s="1"/>
  <c r="CE274" i="10"/>
  <c r="BZ360" i="10"/>
  <c r="CA360" i="10" s="1"/>
  <c r="CE38" i="10"/>
  <c r="BZ308" i="10"/>
  <c r="CA308" i="10" s="1"/>
  <c r="BZ340" i="10"/>
  <c r="CA340" i="10" s="1"/>
  <c r="CE266" i="10"/>
  <c r="CE350" i="10"/>
  <c r="BZ184" i="10"/>
  <c r="CA184" i="10" s="1"/>
  <c r="CE85" i="10"/>
  <c r="BZ382" i="10"/>
  <c r="CA382" i="10" s="1"/>
  <c r="CE258" i="10"/>
  <c r="CE212" i="10"/>
  <c r="BZ123" i="10"/>
  <c r="CA123" i="10" s="1"/>
  <c r="CE343" i="10"/>
  <c r="CE180" i="10"/>
  <c r="CE124" i="10"/>
  <c r="CE338" i="10"/>
  <c r="BZ56" i="10"/>
  <c r="CA56" i="10" s="1"/>
  <c r="BZ78" i="10"/>
  <c r="CA78" i="10" s="1"/>
  <c r="BZ190" i="10"/>
  <c r="CA190" i="10" s="1"/>
  <c r="CE23" i="10"/>
  <c r="BZ175" i="10"/>
  <c r="CA175" i="10" s="1"/>
  <c r="BZ187" i="10"/>
  <c r="CA187" i="10" s="1"/>
  <c r="CE165" i="10"/>
  <c r="CE341" i="10"/>
  <c r="CE354" i="10"/>
  <c r="CE139" i="10"/>
  <c r="CE320" i="10"/>
  <c r="BZ125" i="10"/>
  <c r="CA125" i="10" s="1"/>
  <c r="CE204" i="10"/>
  <c r="CE308" i="10"/>
  <c r="CE74" i="10"/>
  <c r="CE83" i="10"/>
  <c r="BZ221" i="10"/>
  <c r="CA221" i="10" s="1"/>
  <c r="BZ332" i="10"/>
  <c r="CA332" i="10" s="1"/>
  <c r="CE340" i="10"/>
  <c r="CE347" i="10"/>
  <c r="BZ37" i="10"/>
  <c r="CA37" i="10" s="1"/>
  <c r="CE182" i="10"/>
  <c r="CE59" i="10"/>
  <c r="BZ228" i="10"/>
  <c r="CA228" i="10" s="1"/>
  <c r="CE71" i="10"/>
  <c r="BZ188" i="10"/>
  <c r="CA188" i="10" s="1"/>
  <c r="BZ135" i="10"/>
  <c r="CA135" i="10" s="1"/>
  <c r="BZ373" i="10"/>
  <c r="CA373" i="10" s="1"/>
  <c r="CE389" i="10"/>
  <c r="CE255" i="10"/>
  <c r="BZ305" i="10"/>
  <c r="CA305" i="10" s="1"/>
  <c r="BZ144" i="10"/>
  <c r="CA144" i="10" s="1"/>
  <c r="CE140" i="10"/>
  <c r="BZ60" i="10"/>
  <c r="CA60" i="10" s="1"/>
  <c r="BZ122" i="10"/>
  <c r="CA122" i="10" s="1"/>
  <c r="BZ303" i="10"/>
  <c r="CA303" i="10" s="1"/>
  <c r="CE28" i="10"/>
  <c r="CE355" i="10"/>
  <c r="BZ341" i="10"/>
  <c r="CA341" i="10" s="1"/>
  <c r="BZ380" i="10"/>
  <c r="CA380" i="10" s="1"/>
  <c r="CE122" i="10"/>
  <c r="CE175" i="10"/>
  <c r="CE207" i="10"/>
  <c r="CE311" i="10"/>
  <c r="BZ243" i="10"/>
  <c r="CA243" i="10" s="1"/>
  <c r="BZ45" i="10"/>
  <c r="CA45" i="10" s="1"/>
  <c r="CE244" i="10"/>
  <c r="BZ117" i="10"/>
  <c r="CA117" i="10" s="1"/>
  <c r="CE232" i="10"/>
  <c r="BZ253" i="10"/>
  <c r="CA253" i="10" s="1"/>
  <c r="CE57" i="10"/>
  <c r="CE250" i="10"/>
  <c r="BZ215" i="10"/>
  <c r="CA215" i="10" s="1"/>
  <c r="BZ50" i="10"/>
  <c r="CA50" i="10" s="1"/>
  <c r="BZ354" i="10"/>
  <c r="CA354" i="10" s="1"/>
  <c r="BZ155" i="10"/>
  <c r="CA155" i="10" s="1"/>
  <c r="CE216" i="10"/>
  <c r="CE206" i="10"/>
  <c r="CE280" i="10"/>
  <c r="BZ273" i="10"/>
  <c r="CA273" i="10" s="1"/>
  <c r="CE64" i="10"/>
  <c r="BZ392" i="10"/>
  <c r="CA392" i="10" s="1"/>
  <c r="BZ105" i="10"/>
  <c r="CA105" i="10" s="1"/>
  <c r="CE240" i="10"/>
  <c r="BZ113" i="10"/>
  <c r="CA113" i="10" s="1"/>
  <c r="CE144" i="10"/>
  <c r="BZ252" i="10"/>
  <c r="CA252" i="10" s="1"/>
  <c r="CE295" i="10"/>
  <c r="BZ163" i="10"/>
  <c r="CA163" i="10" s="1"/>
  <c r="CE302" i="10"/>
  <c r="CE27" i="10"/>
  <c r="CE169" i="10"/>
  <c r="BZ136" i="10"/>
  <c r="CA136" i="10" s="1"/>
  <c r="BZ73" i="10"/>
  <c r="CA73" i="10" s="1"/>
  <c r="BZ103" i="10"/>
  <c r="CA103" i="10" s="1"/>
  <c r="CE203" i="10"/>
  <c r="BZ174" i="10"/>
  <c r="CA174" i="10" s="1"/>
  <c r="CE222" i="10"/>
  <c r="BZ278" i="10"/>
  <c r="CA278" i="10" s="1"/>
  <c r="BZ270" i="10"/>
  <c r="CA270" i="10" s="1"/>
  <c r="CE199" i="10"/>
  <c r="CE158" i="10"/>
  <c r="BZ267" i="10"/>
  <c r="CA267" i="10" s="1"/>
  <c r="BZ118" i="10"/>
  <c r="CA118" i="10" s="1"/>
  <c r="BZ206" i="10"/>
  <c r="CA206" i="10" s="1"/>
  <c r="CE201" i="10"/>
  <c r="BZ89" i="10"/>
  <c r="CA89" i="10" s="1"/>
  <c r="CE123" i="10"/>
  <c r="CE145" i="10"/>
  <c r="CE79" i="10"/>
  <c r="BZ260" i="10"/>
  <c r="CA260" i="10" s="1"/>
  <c r="CE351" i="10"/>
  <c r="BZ295" i="10"/>
  <c r="CA295" i="10" s="1"/>
  <c r="CE190" i="10"/>
  <c r="CE262" i="10"/>
  <c r="BZ173" i="10"/>
  <c r="CA173" i="10" s="1"/>
  <c r="BZ138" i="10"/>
  <c r="CA138" i="10" s="1"/>
  <c r="BZ277" i="10"/>
  <c r="CA277" i="10" s="1"/>
  <c r="CE197" i="10"/>
  <c r="BZ186" i="10"/>
  <c r="CA186" i="10" s="1"/>
  <c r="BZ88" i="10"/>
  <c r="CA88" i="10" s="1"/>
  <c r="BZ315" i="10"/>
  <c r="CA315" i="10" s="1"/>
  <c r="BZ109" i="10"/>
  <c r="CA109" i="10" s="1"/>
  <c r="CE357" i="10"/>
  <c r="BZ232" i="10"/>
  <c r="CA232" i="10" s="1"/>
  <c r="CE226" i="10"/>
  <c r="BZ94" i="10"/>
  <c r="CA94" i="10" s="1"/>
  <c r="BZ328" i="10"/>
  <c r="CA328" i="10" s="1"/>
  <c r="CE215" i="10"/>
  <c r="BZ154" i="10"/>
  <c r="CA154" i="10" s="1"/>
  <c r="CE392" i="10"/>
  <c r="CE313" i="10"/>
  <c r="CE260" i="10"/>
  <c r="CE359" i="10"/>
  <c r="CE113" i="10"/>
  <c r="CE163" i="10"/>
  <c r="CE164" i="10"/>
  <c r="BZ302" i="10"/>
  <c r="CA302" i="10" s="1"/>
  <c r="BZ107" i="10"/>
  <c r="CA107" i="10" s="1"/>
  <c r="CE173" i="10"/>
  <c r="CE53" i="10"/>
  <c r="BZ197" i="10"/>
  <c r="CA197" i="10" s="1"/>
  <c r="CE383" i="10"/>
  <c r="CE186" i="10"/>
  <c r="CE279" i="10"/>
  <c r="CE315" i="10"/>
  <c r="BZ222" i="10"/>
  <c r="CA222" i="10" s="1"/>
  <c r="BZ192" i="10"/>
  <c r="CA192" i="10" s="1"/>
  <c r="CE73" i="10"/>
  <c r="CE103" i="10"/>
  <c r="CE109" i="10"/>
  <c r="BZ181" i="10"/>
  <c r="CA181" i="10" s="1"/>
  <c r="BZ357" i="10"/>
  <c r="CA357" i="10" s="1"/>
  <c r="CE192" i="10"/>
  <c r="CE270" i="10"/>
  <c r="CE323" i="10"/>
  <c r="BZ301" i="10"/>
  <c r="CA301" i="10" s="1"/>
  <c r="CE50" i="10"/>
  <c r="BZ343" i="10"/>
  <c r="CA343" i="10" s="1"/>
  <c r="BZ36" i="10"/>
  <c r="CA36" i="10" s="1"/>
  <c r="BZ219" i="10"/>
  <c r="CA219" i="10" s="1"/>
  <c r="BZ389" i="10"/>
  <c r="CA389" i="10" s="1"/>
  <c r="BZ313" i="10"/>
  <c r="CA313" i="10" s="1"/>
  <c r="BZ229" i="10"/>
  <c r="CA229" i="10" s="1"/>
  <c r="BZ87" i="10"/>
  <c r="CA87" i="10" s="1"/>
  <c r="BZ121" i="10"/>
  <c r="CA121" i="10" s="1"/>
  <c r="BZ351" i="10"/>
  <c r="CA351" i="10" s="1"/>
  <c r="BZ240" i="10"/>
  <c r="CA240" i="10" s="1"/>
  <c r="BZ306" i="10"/>
  <c r="CA306" i="10" s="1"/>
  <c r="BZ359" i="10"/>
  <c r="CA359" i="10" s="1"/>
  <c r="BZ309" i="10"/>
  <c r="CA309" i="10" s="1"/>
  <c r="BZ40" i="10"/>
  <c r="CA40" i="10" s="1"/>
  <c r="BZ114" i="10"/>
  <c r="CA114" i="10" s="1"/>
  <c r="CE238" i="10"/>
  <c r="BZ35" i="10"/>
  <c r="CA35" i="10" s="1"/>
  <c r="CE193" i="10"/>
  <c r="BZ383" i="10"/>
  <c r="CA383" i="10" s="1"/>
  <c r="CE325" i="10"/>
  <c r="BZ286" i="10"/>
  <c r="CA286" i="10" s="1"/>
  <c r="CE170" i="10"/>
  <c r="BZ86" i="10"/>
  <c r="CA86" i="10" s="1"/>
  <c r="CE276" i="10"/>
  <c r="BZ323" i="10"/>
  <c r="CA323" i="10" s="1"/>
  <c r="CE328" i="10"/>
  <c r="BZ335" i="10"/>
  <c r="CA335" i="10" s="1"/>
  <c r="CE387" i="10"/>
  <c r="CE251" i="10"/>
  <c r="BZ55" i="10"/>
  <c r="CA55" i="10" s="1"/>
  <c r="BZ281" i="10"/>
  <c r="CA281" i="10" s="1"/>
  <c r="BZ22" i="10"/>
  <c r="CA22" i="10" s="1"/>
  <c r="CE299" i="10"/>
  <c r="CE52" i="10"/>
  <c r="BZ133" i="10"/>
  <c r="CA133" i="10" s="1"/>
  <c r="CE70" i="10"/>
  <c r="BZ245" i="10"/>
  <c r="CA245" i="10" s="1"/>
  <c r="BZ289" i="10"/>
  <c r="CA289" i="10" s="1"/>
  <c r="BZ316" i="10"/>
  <c r="CA316" i="10" s="1"/>
  <c r="CE80" i="10"/>
  <c r="CE155" i="10"/>
  <c r="CE168" i="10"/>
  <c r="BZ139" i="10"/>
  <c r="CA139" i="10" s="1"/>
  <c r="BZ258" i="10"/>
  <c r="CA258" i="10" s="1"/>
  <c r="CE89" i="10"/>
  <c r="BZ390" i="10"/>
  <c r="CA390" i="10" s="1"/>
  <c r="BZ171" i="10"/>
  <c r="CA171" i="10" s="1"/>
  <c r="BZ369" i="10"/>
  <c r="CA369" i="10" s="1"/>
  <c r="BZ93" i="10"/>
  <c r="CA93" i="10" s="1"/>
  <c r="CE114" i="10"/>
  <c r="BZ327" i="10"/>
  <c r="CA327" i="10" s="1"/>
  <c r="BZ195" i="10"/>
  <c r="CA195" i="10" s="1"/>
  <c r="BZ193" i="10"/>
  <c r="CA193" i="10" s="1"/>
  <c r="BZ91" i="10"/>
  <c r="CA91" i="10" s="1"/>
  <c r="CE111" i="10"/>
  <c r="BZ137" i="10"/>
  <c r="CA137" i="10" s="1"/>
  <c r="BZ102" i="10"/>
  <c r="CA102" i="10" s="1"/>
  <c r="CE277" i="10"/>
  <c r="BZ230" i="10"/>
  <c r="CA230" i="10" s="1"/>
  <c r="CE234" i="10"/>
  <c r="BZ203" i="10"/>
  <c r="CA203" i="10" s="1"/>
  <c r="CE88" i="10"/>
  <c r="BZ279" i="10"/>
  <c r="CA279" i="10" s="1"/>
  <c r="CE119" i="10"/>
  <c r="BZ342" i="10"/>
  <c r="CA342" i="10" s="1"/>
  <c r="BZ226" i="10"/>
  <c r="CA226" i="10" s="1"/>
  <c r="CE301" i="10"/>
  <c r="BZ199" i="10"/>
  <c r="CA199" i="10" s="1"/>
  <c r="CE335" i="10"/>
  <c r="BZ158" i="10"/>
  <c r="CA158" i="10" s="1"/>
  <c r="BZ387" i="10"/>
  <c r="CA387" i="10" s="1"/>
  <c r="BZ178" i="10"/>
  <c r="CA178" i="10" s="1"/>
  <c r="CE133" i="10"/>
  <c r="BZ149" i="10"/>
  <c r="CA149" i="10" s="1"/>
  <c r="CE329" i="10"/>
  <c r="CE228" i="10"/>
  <c r="CE291" i="10"/>
  <c r="BZ96" i="10"/>
  <c r="CA96" i="10" s="1"/>
  <c r="BZ153" i="10"/>
  <c r="CA153" i="10" s="1"/>
  <c r="CE390" i="10"/>
  <c r="BZ90" i="10"/>
  <c r="CA90" i="10" s="1"/>
  <c r="CE229" i="10"/>
  <c r="BZ338" i="10"/>
  <c r="CA338" i="10" s="1"/>
  <c r="CE297" i="10"/>
  <c r="BZ391" i="10"/>
  <c r="CA391" i="10" s="1"/>
  <c r="CE141" i="10"/>
  <c r="BZ162" i="10"/>
  <c r="CA162" i="10" s="1"/>
  <c r="CE102" i="10"/>
  <c r="BZ234" i="10"/>
  <c r="CA234" i="10" s="1"/>
  <c r="CE303" i="10"/>
  <c r="CE187" i="10"/>
  <c r="BZ257" i="10"/>
  <c r="CA257" i="10" s="1"/>
  <c r="BZ172" i="10"/>
  <c r="CA172" i="10" s="1"/>
  <c r="BZ276" i="10"/>
  <c r="CA276" i="10" s="1"/>
  <c r="BZ352" i="10"/>
  <c r="CA352" i="10" s="1"/>
  <c r="CE30" i="10"/>
  <c r="CE259" i="10"/>
  <c r="CE346" i="10"/>
  <c r="CE324" i="10"/>
  <c r="CE342" i="10"/>
  <c r="CE86" i="10"/>
  <c r="BZ101" i="10"/>
  <c r="CA101" i="10" s="1"/>
  <c r="BZ367" i="10"/>
  <c r="CA367" i="10" s="1"/>
  <c r="BZ65" i="10"/>
  <c r="CA65" i="10" s="1"/>
  <c r="CE319" i="10"/>
  <c r="CE218" i="10"/>
  <c r="CE44" i="10"/>
  <c r="BZ255" i="10"/>
  <c r="CA255" i="10" s="1"/>
  <c r="BZ115" i="10"/>
  <c r="CA115" i="10" s="1"/>
  <c r="CE293" i="10"/>
  <c r="CE87" i="10"/>
  <c r="CE248" i="10"/>
  <c r="BZ300" i="10"/>
  <c r="CA300" i="10" s="1"/>
  <c r="CE78" i="10"/>
  <c r="BZ194" i="10"/>
  <c r="CA194" i="10" s="1"/>
  <c r="CE189" i="10"/>
  <c r="BZ220" i="10"/>
  <c r="CA220" i="10" s="1"/>
  <c r="BZ141" i="10"/>
  <c r="CA141" i="10" s="1"/>
  <c r="BZ200" i="10"/>
  <c r="CA200" i="10" s="1"/>
  <c r="CE76" i="10"/>
  <c r="CE150" i="10"/>
  <c r="BZ325" i="10"/>
  <c r="CA325" i="10" s="1"/>
  <c r="BZ242" i="10"/>
  <c r="CA242" i="10" s="1"/>
  <c r="BZ362" i="10"/>
  <c r="CA362" i="10" s="1"/>
  <c r="CE286" i="10"/>
  <c r="BZ324" i="10"/>
  <c r="CA324" i="10" s="1"/>
  <c r="CE358" i="10"/>
  <c r="BZ205" i="10"/>
  <c r="CA205" i="10" s="1"/>
  <c r="BZ120" i="10"/>
  <c r="CA120" i="10" s="1"/>
  <c r="BZ39" i="10"/>
  <c r="CA39" i="10" s="1"/>
  <c r="BZ249" i="10"/>
  <c r="CA249" i="10" s="1"/>
  <c r="CE185" i="10"/>
  <c r="CE172" i="10"/>
  <c r="CE116" i="10"/>
  <c r="BZ170" i="10"/>
  <c r="CA170" i="10" s="1"/>
  <c r="BZ119" i="10"/>
  <c r="CA119" i="10" s="1"/>
  <c r="BZ358" i="10"/>
  <c r="CA358" i="10" s="1"/>
  <c r="CE77" i="10"/>
  <c r="CE205" i="10"/>
  <c r="BZ185" i="10"/>
  <c r="CA185" i="10" s="1"/>
  <c r="CE334" i="10"/>
  <c r="BZ30" i="10"/>
  <c r="CA30" i="10" s="1"/>
  <c r="CI76" i="10"/>
  <c r="CI326" i="10"/>
  <c r="CI32" i="10"/>
  <c r="CI264" i="10"/>
  <c r="CI50" i="10"/>
  <c r="CO321" i="10"/>
  <c r="CI291" i="10"/>
  <c r="CN166" i="10"/>
  <c r="CH65" i="10"/>
  <c r="CH317" i="10"/>
  <c r="CG371" i="10"/>
  <c r="CO189" i="10"/>
  <c r="CN82" i="10"/>
  <c r="CG290" i="10"/>
  <c r="CO263" i="10"/>
  <c r="CI387" i="10"/>
  <c r="CO382" i="10"/>
  <c r="CN78" i="10"/>
  <c r="CN281" i="10"/>
  <c r="CH284" i="10"/>
  <c r="CM313" i="10"/>
  <c r="CO129" i="10"/>
  <c r="CG218" i="10"/>
  <c r="CM170" i="10"/>
  <c r="CM61" i="10"/>
  <c r="CG162" i="10"/>
  <c r="CM320" i="10"/>
  <c r="CH259" i="10"/>
  <c r="CG334" i="10"/>
  <c r="CO91" i="10"/>
  <c r="CO314" i="10"/>
  <c r="CI189" i="10"/>
  <c r="CH178" i="10"/>
  <c r="CO264" i="10"/>
  <c r="CO67" i="10"/>
  <c r="CG69" i="10"/>
  <c r="CG252" i="10"/>
  <c r="CI308" i="10"/>
  <c r="CM243" i="10"/>
  <c r="CO147" i="10"/>
  <c r="CN158" i="10"/>
  <c r="CG80" i="10"/>
  <c r="CM42" i="10"/>
  <c r="CN337" i="10"/>
  <c r="CI97" i="10"/>
  <c r="CM110" i="10"/>
  <c r="CN375" i="10"/>
  <c r="CI145" i="10"/>
  <c r="CH275" i="10"/>
  <c r="CH243" i="10"/>
  <c r="CN365" i="10"/>
  <c r="CH158" i="10"/>
  <c r="CI154" i="10"/>
  <c r="CN57" i="10"/>
  <c r="CO276" i="10"/>
  <c r="CH274" i="10"/>
  <c r="CM52" i="10"/>
  <c r="CM234" i="10"/>
  <c r="CM199" i="10"/>
  <c r="CM256" i="10"/>
  <c r="CO220" i="10"/>
  <c r="CM223" i="10"/>
  <c r="CM154" i="10"/>
  <c r="CH173" i="10"/>
  <c r="CO179" i="10"/>
  <c r="CN227" i="10"/>
  <c r="CN378" i="10"/>
  <c r="CN167" i="10"/>
  <c r="CM302" i="10"/>
  <c r="CO336" i="10"/>
  <c r="CO146" i="10"/>
  <c r="CG116" i="10"/>
  <c r="CG150" i="10"/>
  <c r="CM123" i="10"/>
  <c r="CN367" i="10"/>
  <c r="CI325" i="10"/>
  <c r="CN159" i="10"/>
  <c r="CG295" i="10"/>
  <c r="CO185" i="10"/>
  <c r="CO292" i="10"/>
  <c r="CI84" i="10"/>
  <c r="CO113" i="10"/>
  <c r="CI374" i="10"/>
  <c r="CO176" i="10"/>
  <c r="CM188" i="10"/>
  <c r="CH390" i="10"/>
  <c r="CG130" i="10"/>
  <c r="CN92" i="10"/>
  <c r="CO133" i="10"/>
  <c r="CH339" i="10"/>
  <c r="CH119" i="10"/>
  <c r="CO172" i="10"/>
  <c r="CI56" i="10"/>
  <c r="CH380" i="10"/>
  <c r="CG40" i="10"/>
  <c r="CH252" i="10"/>
  <c r="CI349" i="10"/>
  <c r="CH305" i="10"/>
  <c r="CG337" i="10"/>
  <c r="CG76" i="10"/>
  <c r="CN256" i="10"/>
  <c r="CN178" i="10"/>
  <c r="CN264" i="10"/>
  <c r="CM67" i="10"/>
  <c r="CG358" i="10"/>
  <c r="CH136" i="10"/>
  <c r="CN160" i="10"/>
  <c r="CH74" i="10"/>
  <c r="CN253" i="10"/>
  <c r="CO134" i="10"/>
  <c r="CH24" i="10"/>
  <c r="CI303" i="10"/>
  <c r="CO262" i="10"/>
  <c r="CN209" i="10"/>
  <c r="CG245" i="10"/>
  <c r="CM23" i="10"/>
  <c r="CM145" i="10"/>
  <c r="CI22" i="10"/>
  <c r="CH78" i="10"/>
  <c r="CI364" i="10"/>
  <c r="CO256" i="10"/>
  <c r="CN182" i="10"/>
  <c r="CM307" i="10"/>
  <c r="CO167" i="10"/>
  <c r="CN321" i="10"/>
  <c r="CH260" i="10"/>
  <c r="CN340" i="10"/>
  <c r="CO294" i="10"/>
  <c r="CH205" i="10"/>
  <c r="CH102" i="10"/>
  <c r="CG154" i="10"/>
  <c r="CM317" i="10"/>
  <c r="CI343" i="10"/>
  <c r="CO301" i="10"/>
  <c r="CH94" i="10"/>
  <c r="CO309" i="10"/>
  <c r="CO99" i="10"/>
  <c r="CG340" i="10"/>
  <c r="CG294" i="10"/>
  <c r="CM205" i="10"/>
  <c r="CM102" i="10"/>
  <c r="CO327" i="10"/>
  <c r="CH42" i="10"/>
  <c r="CO337" i="10"/>
  <c r="CG97" i="10"/>
  <c r="CG110" i="10"/>
  <c r="CG270" i="10"/>
  <c r="CH374" i="10"/>
  <c r="CN101" i="10"/>
  <c r="CI228" i="10"/>
  <c r="CM278" i="10"/>
  <c r="CI61" i="10"/>
  <c r="CO374" i="10"/>
  <c r="CO101" i="10"/>
  <c r="CM228" i="10"/>
  <c r="CN181" i="10"/>
  <c r="CM180" i="10"/>
  <c r="CH309" i="10"/>
  <c r="CI31" i="10"/>
  <c r="CG187" i="10"/>
  <c r="CI110" i="10"/>
  <c r="CN77" i="10"/>
  <c r="CH101" i="10"/>
  <c r="CH220" i="10"/>
  <c r="CO152" i="10"/>
  <c r="CH332" i="10"/>
  <c r="CI375" i="10"/>
  <c r="CM336" i="10"/>
  <c r="CN314" i="10"/>
  <c r="CI241" i="10"/>
  <c r="CH87" i="10"/>
  <c r="CG164" i="10"/>
  <c r="CN179" i="10"/>
  <c r="CG271" i="10"/>
  <c r="CI372" i="10"/>
  <c r="CM360" i="10"/>
  <c r="CO377" i="10"/>
  <c r="CG185" i="10"/>
  <c r="CN143" i="10"/>
  <c r="CM116" i="10"/>
  <c r="CG141" i="10"/>
  <c r="CO338" i="10"/>
  <c r="CI33" i="10"/>
  <c r="CN228" i="10"/>
  <c r="CH193" i="10"/>
  <c r="CO159" i="10"/>
  <c r="CN302" i="10"/>
  <c r="CO89" i="10"/>
  <c r="CN211" i="10"/>
  <c r="CH155" i="10"/>
  <c r="CO56" i="10"/>
  <c r="CG231" i="10"/>
  <c r="CN329" i="10"/>
  <c r="CH113" i="10"/>
  <c r="CI312" i="10"/>
  <c r="CO313" i="10"/>
  <c r="CI251" i="10"/>
  <c r="CO323" i="10"/>
  <c r="CI126" i="10"/>
  <c r="CM315" i="10"/>
  <c r="CO342" i="10"/>
  <c r="CN48" i="10"/>
  <c r="CO339" i="10"/>
  <c r="CH272" i="10"/>
  <c r="CI73" i="10"/>
  <c r="CO237" i="10"/>
  <c r="CN58" i="10"/>
  <c r="CM27" i="10"/>
  <c r="CI137" i="10"/>
  <c r="CI244" i="10"/>
  <c r="CG232" i="10"/>
  <c r="CI226" i="10"/>
  <c r="CI232" i="10"/>
  <c r="CO132" i="10"/>
  <c r="CN220" i="10"/>
  <c r="CN37" i="10"/>
  <c r="CI87" i="10"/>
  <c r="CG107" i="10"/>
  <c r="CN225" i="10"/>
  <c r="CH360" i="10"/>
  <c r="CI37" i="10"/>
  <c r="CM244" i="10"/>
  <c r="CI34" i="10"/>
  <c r="CH35" i="10"/>
  <c r="CO213" i="10"/>
  <c r="CO211" i="10"/>
  <c r="CH302" i="10"/>
  <c r="CH25" i="10"/>
  <c r="CI237" i="10"/>
  <c r="CM304" i="10"/>
  <c r="CN73" i="10"/>
  <c r="CO124" i="10"/>
  <c r="CN109" i="10"/>
  <c r="CG142" i="10"/>
  <c r="CN63" i="10"/>
  <c r="CH124" i="10"/>
  <c r="CN85" i="10"/>
  <c r="CM247" i="10"/>
  <c r="CH157" i="10"/>
  <c r="CH376" i="10"/>
  <c r="CM148" i="10"/>
  <c r="CI332" i="10"/>
  <c r="CO212" i="10"/>
  <c r="CN89" i="10"/>
  <c r="CH196" i="10"/>
  <c r="CM322" i="10"/>
  <c r="CM196" i="10"/>
  <c r="CO249" i="10"/>
  <c r="CG122" i="10"/>
  <c r="CG333" i="10"/>
  <c r="CI247" i="10"/>
  <c r="CH328" i="10"/>
  <c r="CO27" i="10"/>
  <c r="CO140" i="10"/>
  <c r="CI298" i="10"/>
  <c r="CO52" i="10"/>
  <c r="CH280" i="10"/>
  <c r="CN339" i="10"/>
  <c r="CN51" i="10"/>
  <c r="CI182" i="10"/>
  <c r="CG307" i="10"/>
  <c r="CO50" i="10"/>
  <c r="CM69" i="10"/>
  <c r="CN373" i="10"/>
  <c r="CH166" i="10"/>
  <c r="CH47" i="10"/>
  <c r="CN29" i="10"/>
  <c r="CO111" i="10"/>
  <c r="CN46" i="10"/>
  <c r="CH363" i="10"/>
  <c r="CN242" i="10"/>
  <c r="CO299" i="10"/>
  <c r="CI48" i="10"/>
  <c r="CG362" i="10"/>
  <c r="CN224" i="10"/>
  <c r="CG166" i="10"/>
  <c r="CH371" i="10"/>
  <c r="CG51" i="10"/>
  <c r="CG172" i="10"/>
  <c r="CG135" i="10"/>
  <c r="CM380" i="10"/>
  <c r="CI40" i="10"/>
  <c r="CM36" i="10"/>
  <c r="CN171" i="10"/>
  <c r="CO267" i="10"/>
  <c r="CH75" i="10"/>
  <c r="CH327" i="10"/>
  <c r="CM270" i="10"/>
  <c r="CG260" i="10"/>
  <c r="CO222" i="10"/>
  <c r="CG364" i="10"/>
  <c r="CH341" i="10"/>
  <c r="CH281" i="10"/>
  <c r="CI171" i="10"/>
  <c r="CI267" i="10"/>
  <c r="CG75" i="10"/>
  <c r="CH61" i="10"/>
  <c r="CO317" i="10"/>
  <c r="CH343" i="10"/>
  <c r="CM301" i="10"/>
  <c r="CI299" i="10"/>
  <c r="CI164" i="10"/>
  <c r="CN33" i="10"/>
  <c r="CM107" i="10"/>
  <c r="CI158" i="10"/>
  <c r="CO164" i="10"/>
  <c r="CO33" i="10"/>
  <c r="CO107" i="10"/>
  <c r="CI223" i="10"/>
  <c r="CN115" i="10"/>
  <c r="CO208" i="10"/>
  <c r="CN274" i="10"/>
  <c r="CG94" i="10"/>
  <c r="CM296" i="10"/>
  <c r="CM33" i="10"/>
  <c r="CI193" i="10"/>
  <c r="CM167" i="10"/>
  <c r="CO302" i="10"/>
  <c r="CG229" i="10"/>
  <c r="CH143" i="10"/>
  <c r="CM246" i="10"/>
  <c r="CM150" i="10"/>
  <c r="CN123" i="10"/>
  <c r="CO367" i="10"/>
  <c r="CH385" i="10"/>
  <c r="CN62" i="10"/>
  <c r="CH336" i="10"/>
  <c r="CI146" i="10"/>
  <c r="CI383" i="10"/>
  <c r="CO376" i="10"/>
  <c r="CO196" i="10"/>
  <c r="CH107" i="10"/>
  <c r="CM378" i="10"/>
  <c r="CG332" i="10"/>
  <c r="CO106" i="10"/>
  <c r="CN55" i="10"/>
  <c r="CG37" i="10"/>
  <c r="CG247" i="10"/>
  <c r="CM192" i="10"/>
  <c r="CG106" i="10"/>
  <c r="CG300" i="10"/>
  <c r="CN38" i="10"/>
  <c r="CI39" i="10"/>
  <c r="CG230" i="10"/>
  <c r="CM73" i="10"/>
  <c r="CI311" i="10"/>
  <c r="CN90" i="10"/>
  <c r="CO90" i="10"/>
  <c r="CN94" i="10"/>
  <c r="CM242" i="10"/>
  <c r="CH265" i="10"/>
  <c r="CO227" i="10"/>
  <c r="CI177" i="10"/>
  <c r="CH310" i="10"/>
  <c r="CH150" i="10"/>
  <c r="CH207" i="10"/>
  <c r="CN124" i="10"/>
  <c r="CH353" i="10"/>
  <c r="CO272" i="10"/>
  <c r="CH184" i="10"/>
  <c r="CH392" i="10"/>
  <c r="CG359" i="10"/>
  <c r="CG104" i="10"/>
  <c r="CH276" i="10"/>
  <c r="CN244" i="10"/>
  <c r="CM44" i="10"/>
  <c r="CH292" i="10"/>
  <c r="CH186" i="10"/>
  <c r="CN326" i="10"/>
  <c r="CG32" i="10"/>
  <c r="CO135" i="10"/>
  <c r="CO380" i="10"/>
  <c r="CG321" i="10"/>
  <c r="CO291" i="10"/>
  <c r="CN349" i="10"/>
  <c r="CN65" i="10"/>
  <c r="CG140" i="10"/>
  <c r="CG214" i="10"/>
  <c r="CM306" i="10"/>
  <c r="CG118" i="10"/>
  <c r="CO282" i="10"/>
  <c r="CG255" i="10"/>
  <c r="CI318" i="10"/>
  <c r="CG165" i="10"/>
  <c r="CO235" i="10"/>
  <c r="CH297" i="10"/>
  <c r="CN298" i="10"/>
  <c r="CN76" i="10"/>
  <c r="CH326" i="10"/>
  <c r="CN70" i="10"/>
  <c r="CN223" i="10"/>
  <c r="CM328" i="10"/>
  <c r="CN341" i="10"/>
  <c r="CG349" i="10"/>
  <c r="CO354" i="10"/>
  <c r="CI53" i="10"/>
  <c r="CG64" i="10"/>
  <c r="CH59" i="10"/>
  <c r="CG61" i="10"/>
  <c r="CH245" i="10"/>
  <c r="CH283" i="10"/>
  <c r="CM194" i="10"/>
  <c r="CM334" i="10"/>
  <c r="CO57" i="10"/>
  <c r="CM177" i="10"/>
  <c r="CI354" i="10"/>
  <c r="CM53" i="10"/>
  <c r="CH64" i="10"/>
  <c r="CI59" i="10"/>
  <c r="CO92" i="10"/>
  <c r="CO270" i="10"/>
  <c r="CG283" i="10"/>
  <c r="CH222" i="10"/>
  <c r="CM364" i="10"/>
  <c r="CH185" i="10"/>
  <c r="CN150" i="10"/>
  <c r="CN88" i="10"/>
  <c r="CO70" i="10"/>
  <c r="CM54" i="10"/>
  <c r="CM295" i="10"/>
  <c r="CI150" i="10"/>
  <c r="CG88" i="10"/>
  <c r="CN168" i="10"/>
  <c r="CO346" i="10"/>
  <c r="CN120" i="10"/>
  <c r="CI234" i="10"/>
  <c r="CG355" i="10"/>
  <c r="CN357" i="10"/>
  <c r="CN364" i="10"/>
  <c r="CI219" i="10"/>
  <c r="CM88" i="10"/>
  <c r="CG228" i="10"/>
  <c r="CH378" i="10"/>
  <c r="CI180" i="10"/>
  <c r="CN309" i="10"/>
  <c r="CG31" i="10"/>
  <c r="CN146" i="10"/>
  <c r="CH116" i="10"/>
  <c r="CN117" i="10"/>
  <c r="CO77" i="10"/>
  <c r="CG101" i="10"/>
  <c r="CM220" i="10"/>
  <c r="CH325" i="10"/>
  <c r="CI144" i="10"/>
  <c r="CG375" i="10"/>
  <c r="CH229" i="10"/>
  <c r="CN187" i="10"/>
  <c r="CM163" i="10"/>
  <c r="CO312" i="10"/>
  <c r="CI77" i="10"/>
  <c r="CH138" i="10"/>
  <c r="CM86" i="10"/>
  <c r="CG147" i="10"/>
  <c r="CI128" i="10"/>
  <c r="CN316" i="10"/>
  <c r="CH83" i="10"/>
  <c r="CI337" i="10"/>
  <c r="CH195" i="10"/>
  <c r="CG156" i="10"/>
  <c r="CI160" i="10"/>
  <c r="CN122" i="10"/>
  <c r="CH333" i="10"/>
  <c r="CH172" i="10"/>
  <c r="CM392" i="10"/>
  <c r="CN328" i="10"/>
  <c r="CM40" i="10"/>
  <c r="CM252" i="10"/>
  <c r="CO298" i="10"/>
  <c r="CG305" i="10"/>
  <c r="CM103" i="10"/>
  <c r="CI319" i="10"/>
  <c r="CO82" i="10"/>
  <c r="CI330" i="10"/>
  <c r="CN386" i="10"/>
  <c r="CO387" i="10"/>
  <c r="CH382" i="10"/>
  <c r="CG288" i="10"/>
  <c r="CI45" i="10"/>
  <c r="CG108" i="10"/>
  <c r="CG195" i="10"/>
  <c r="CG296" i="10"/>
  <c r="CO333" i="10"/>
  <c r="CM147" i="10"/>
  <c r="CI278" i="10"/>
  <c r="CI359" i="10"/>
  <c r="CH234" i="10"/>
  <c r="CG145" i="10"/>
  <c r="CN351" i="10"/>
  <c r="CH129" i="10"/>
  <c r="CM218" i="10"/>
  <c r="CN170" i="10"/>
  <c r="CO242" i="10"/>
  <c r="CG299" i="10"/>
  <c r="CG23" i="10"/>
  <c r="CN145" i="10"/>
  <c r="CH22" i="10"/>
  <c r="CG317" i="10"/>
  <c r="CI94" i="10"/>
  <c r="CI351" i="10"/>
  <c r="CH347" i="10"/>
  <c r="CN218" i="10"/>
  <c r="CG170" i="10"/>
  <c r="CH242" i="10"/>
  <c r="CM93" i="10"/>
  <c r="CN23" i="10"/>
  <c r="CO194" i="10"/>
  <c r="CM22" i="10"/>
  <c r="CG208" i="10"/>
  <c r="CN296" i="10"/>
  <c r="CI344" i="10"/>
  <c r="CM258" i="10"/>
  <c r="CN239" i="10"/>
  <c r="CN265" i="10"/>
  <c r="CM77" i="10"/>
  <c r="CG344" i="10"/>
  <c r="CI258" i="10"/>
  <c r="CG158" i="10"/>
  <c r="CH268" i="10"/>
  <c r="CG57" i="10"/>
  <c r="CI289" i="10"/>
  <c r="CG301" i="10"/>
  <c r="CM366" i="10"/>
  <c r="CN368" i="10"/>
  <c r="CN196" i="10"/>
  <c r="CN107" i="10"/>
  <c r="CO181" i="10"/>
  <c r="CH115" i="10"/>
  <c r="CI265" i="10"/>
  <c r="CI208" i="10"/>
  <c r="CI187" i="10"/>
  <c r="CN383" i="10"/>
  <c r="CG322" i="10"/>
  <c r="CM219" i="10"/>
  <c r="CH33" i="10"/>
  <c r="CG227" i="10"/>
  <c r="CM152" i="10"/>
  <c r="CH159" i="10"/>
  <c r="CI302" i="10"/>
  <c r="CH31" i="10"/>
  <c r="CM274" i="10"/>
  <c r="CO94" i="10"/>
  <c r="CM142" i="10"/>
  <c r="CG219" i="10"/>
  <c r="CO63" i="10"/>
  <c r="CH212" i="10"/>
  <c r="CM293" i="10"/>
  <c r="CO180" i="10"/>
  <c r="CI57" i="10"/>
  <c r="CI379" i="10"/>
  <c r="CI203" i="10"/>
  <c r="CN26" i="10"/>
  <c r="CG293" i="10"/>
  <c r="CH72" i="10"/>
  <c r="CH27" i="10"/>
  <c r="CM356" i="10"/>
  <c r="CH100" i="10"/>
  <c r="CM111" i="10"/>
  <c r="CN213" i="10"/>
  <c r="CG264" i="10"/>
  <c r="CH192" i="10"/>
  <c r="CH329" i="10"/>
  <c r="CO202" i="10"/>
  <c r="CI78" i="10"/>
  <c r="CO138" i="10"/>
  <c r="CN251" i="10"/>
  <c r="CM71" i="10"/>
  <c r="CI95" i="10"/>
  <c r="CH370" i="10"/>
  <c r="CH153" i="10"/>
  <c r="CM221" i="10"/>
  <c r="CO389" i="10"/>
  <c r="CM229" i="10"/>
  <c r="CI389" i="10"/>
  <c r="CG27" i="10"/>
  <c r="CI210" i="10"/>
  <c r="CO360" i="10"/>
  <c r="CN390" i="10"/>
  <c r="CG244" i="10"/>
  <c r="CO190" i="10"/>
  <c r="CM297" i="10"/>
  <c r="CI103" i="10"/>
  <c r="CM128" i="10"/>
  <c r="CO305" i="10"/>
  <c r="CI350" i="10"/>
  <c r="CH340" i="10"/>
  <c r="CO60" i="10"/>
  <c r="CN205" i="10"/>
  <c r="CO102" i="10"/>
  <c r="CN43" i="10"/>
  <c r="CG153" i="10"/>
  <c r="CN221" i="10"/>
  <c r="CM97" i="10"/>
  <c r="CN103" i="10"/>
  <c r="CN286" i="10"/>
  <c r="CG353" i="10"/>
  <c r="CM272" i="10"/>
  <c r="CH70" i="10"/>
  <c r="CN278" i="10"/>
  <c r="CO359" i="10"/>
  <c r="CI341" i="10"/>
  <c r="CM140" i="10"/>
  <c r="CO286" i="10"/>
  <c r="CG52" i="10"/>
  <c r="CN222" i="10"/>
  <c r="CG189" i="10"/>
  <c r="CG178" i="10"/>
  <c r="CH290" i="10"/>
  <c r="CG263" i="10"/>
  <c r="CM358" i="10"/>
  <c r="CH201" i="10"/>
  <c r="CG78" i="10"/>
  <c r="CI281" i="10"/>
  <c r="CM284" i="10"/>
  <c r="CM222" i="10"/>
  <c r="CM186" i="10"/>
  <c r="CH344" i="10"/>
  <c r="CG205" i="10"/>
  <c r="CM158" i="10"/>
  <c r="CO316" i="10"/>
  <c r="CO42" i="10"/>
  <c r="CN305" i="10"/>
  <c r="CH214" i="10"/>
  <c r="CN24" i="10"/>
  <c r="CH303" i="10"/>
  <c r="CH262" i="10"/>
  <c r="CH105" i="10"/>
  <c r="CM133" i="10"/>
  <c r="CO280" i="10"/>
  <c r="CM99" i="10"/>
  <c r="CN287" i="10"/>
  <c r="CG68" i="10"/>
  <c r="CM238" i="10"/>
  <c r="CM214" i="10"/>
  <c r="CN188" i="10"/>
  <c r="CG303" i="10"/>
  <c r="CG262" i="10"/>
  <c r="CI105" i="10"/>
  <c r="CO245" i="10"/>
  <c r="CG280" i="10"/>
  <c r="CH145" i="10"/>
  <c r="CI287" i="10"/>
  <c r="CM87" i="10"/>
  <c r="CI186" i="10"/>
  <c r="CG243" i="10"/>
  <c r="CO365" i="10"/>
  <c r="CH250" i="10"/>
  <c r="CI42" i="10"/>
  <c r="CH296" i="10"/>
  <c r="CH63" i="10"/>
  <c r="CH365" i="10"/>
  <c r="CN54" i="10"/>
  <c r="CN232" i="10"/>
  <c r="CG42" i="10"/>
  <c r="CN87" i="10"/>
  <c r="CM388" i="10"/>
  <c r="CG161" i="10"/>
  <c r="CM308" i="10"/>
  <c r="CG151" i="10"/>
  <c r="CI168" i="10"/>
  <c r="CG223" i="10"/>
  <c r="CI120" i="10"/>
  <c r="CH216" i="10"/>
  <c r="CO355" i="10"/>
  <c r="CG274" i="10"/>
  <c r="CM94" i="10"/>
  <c r="CG124" i="10"/>
  <c r="CI368" i="10"/>
  <c r="CI88" i="10"/>
  <c r="CH228" i="10"/>
  <c r="CN313" i="10"/>
  <c r="CO251" i="10"/>
  <c r="CN71" i="10"/>
  <c r="CM75" i="10"/>
  <c r="CH125" i="10"/>
  <c r="CI162" i="10"/>
  <c r="CI260" i="10"/>
  <c r="CH131" i="10"/>
  <c r="CH334" i="10"/>
  <c r="CH97" i="10"/>
  <c r="CM138" i="10"/>
  <c r="CO86" i="10"/>
  <c r="CH147" i="10"/>
  <c r="CG128" i="10"/>
  <c r="CG316" i="10"/>
  <c r="CN27" i="10"/>
  <c r="CN276" i="10"/>
  <c r="CI195" i="10"/>
  <c r="CI44" i="10"/>
  <c r="CN371" i="10"/>
  <c r="CG256" i="10"/>
  <c r="CG182" i="10"/>
  <c r="CM264" i="10"/>
  <c r="CN67" i="10"/>
  <c r="CN69" i="10"/>
  <c r="CG136" i="10"/>
  <c r="CO160" i="10"/>
  <c r="CI74" i="10"/>
  <c r="CI253" i="10"/>
  <c r="CN362" i="10"/>
  <c r="CH391" i="10"/>
  <c r="CI243" i="10"/>
  <c r="CM267" i="10"/>
  <c r="CG102" i="10"/>
  <c r="CO80" i="10"/>
  <c r="CH270" i="10"/>
  <c r="CN238" i="10"/>
  <c r="CN319" i="10"/>
  <c r="CI46" i="10"/>
  <c r="CM311" i="10"/>
  <c r="CG363" i="10"/>
  <c r="CN387" i="10"/>
  <c r="CN382" i="10"/>
  <c r="CG91" i="10"/>
  <c r="CM261" i="10"/>
  <c r="CO173" i="10"/>
  <c r="CH133" i="10"/>
  <c r="CN374" i="10"/>
  <c r="CM319" i="10"/>
  <c r="CM46" i="10"/>
  <c r="CG311" i="10"/>
  <c r="CN310" i="10"/>
  <c r="CG62" i="10"/>
  <c r="CH299" i="10"/>
  <c r="CI91" i="10"/>
  <c r="CN99" i="10"/>
  <c r="CI173" i="10"/>
  <c r="CM91" i="10"/>
  <c r="CG391" i="10"/>
  <c r="CI294" i="10"/>
  <c r="CG352" i="10"/>
  <c r="CI170" i="10"/>
  <c r="CN93" i="10"/>
  <c r="CO391" i="10"/>
  <c r="CN243" i="10"/>
  <c r="CH352" i="10"/>
  <c r="CH239" i="10"/>
  <c r="CH190" i="10"/>
  <c r="CN317" i="10"/>
  <c r="CN343" i="10"/>
  <c r="CI194" i="10"/>
  <c r="CH287" i="10"/>
  <c r="CM275" i="10"/>
  <c r="CI63" i="10"/>
  <c r="CN258" i="10"/>
  <c r="CH346" i="10"/>
  <c r="CG268" i="10"/>
  <c r="CH57" i="10"/>
  <c r="CO289" i="10"/>
  <c r="CI357" i="10"/>
  <c r="CO364" i="10"/>
  <c r="CO274" i="10"/>
  <c r="CG308" i="10"/>
  <c r="CI196" i="10"/>
  <c r="CI107" i="10"/>
  <c r="CI378" i="10"/>
  <c r="CN180" i="10"/>
  <c r="CO265" i="10"/>
  <c r="CI355" i="10"/>
  <c r="CI301" i="10"/>
  <c r="CH366" i="10"/>
  <c r="CH357" i="10"/>
  <c r="CN206" i="10"/>
  <c r="CO277" i="10"/>
  <c r="CO352" i="10"/>
  <c r="CH34" i="10"/>
  <c r="CO115" i="10"/>
  <c r="CO191" i="10"/>
  <c r="CN198" i="10"/>
  <c r="CG345" i="10"/>
  <c r="CI348" i="10"/>
  <c r="CG237" i="10"/>
  <c r="CM43" i="10"/>
  <c r="CO273" i="10"/>
  <c r="CN148" i="10"/>
  <c r="CM35" i="10"/>
  <c r="CI207" i="10"/>
  <c r="CH37" i="10"/>
  <c r="CN247" i="10"/>
  <c r="CI72" i="10"/>
  <c r="CN40" i="10"/>
  <c r="CO300" i="10"/>
  <c r="CO166" i="10"/>
  <c r="CG38" i="10"/>
  <c r="CN129" i="10"/>
  <c r="CH323" i="10"/>
  <c r="CM282" i="10"/>
  <c r="CH112" i="10"/>
  <c r="CG257" i="10"/>
  <c r="CI320" i="10"/>
  <c r="CG196" i="10"/>
  <c r="CN141" i="10"/>
  <c r="CI272" i="10"/>
  <c r="CO81" i="10"/>
  <c r="CO37" i="10"/>
  <c r="CI113" i="10"/>
  <c r="CI197" i="10"/>
  <c r="CO79" i="10"/>
  <c r="CN98" i="10"/>
  <c r="CN385" i="10"/>
  <c r="CH293" i="10"/>
  <c r="CO197" i="10"/>
  <c r="CN366" i="10"/>
  <c r="CM41" i="10"/>
  <c r="CG58" i="10"/>
  <c r="CO198" i="10"/>
  <c r="CG71" i="10"/>
  <c r="CO221" i="10"/>
  <c r="CM254" i="10"/>
  <c r="CM368" i="10"/>
  <c r="CO200" i="10"/>
  <c r="CN130" i="10"/>
  <c r="CH254" i="10"/>
  <c r="CI109" i="10"/>
  <c r="CH169" i="10"/>
  <c r="CO34" i="10"/>
  <c r="CH41" i="10"/>
  <c r="CH219" i="10"/>
  <c r="CM66" i="10"/>
  <c r="CM130" i="10"/>
  <c r="CG259" i="10"/>
  <c r="CO207" i="10"/>
  <c r="CH237" i="10"/>
  <c r="CH231" i="10"/>
  <c r="CG331" i="10"/>
  <c r="CI250" i="10"/>
  <c r="CM74" i="10"/>
  <c r="CO293" i="10"/>
  <c r="CN74" i="10"/>
  <c r="CN323" i="10"/>
  <c r="CH318" i="10"/>
  <c r="CG297" i="10"/>
  <c r="CO218" i="10"/>
  <c r="CI153" i="10"/>
  <c r="CO334" i="10"/>
  <c r="CM70" i="10"/>
  <c r="CG341" i="10"/>
  <c r="CI136" i="10"/>
  <c r="CI129" i="10"/>
  <c r="CN61" i="10"/>
  <c r="CM51" i="10"/>
  <c r="CO69" i="10"/>
  <c r="CH84" i="10"/>
  <c r="CO76" i="10"/>
  <c r="CM193" i="10"/>
  <c r="CI336" i="10"/>
  <c r="CI29" i="10"/>
  <c r="CH311" i="10"/>
  <c r="CH90" i="10"/>
  <c r="CM262" i="10"/>
  <c r="CH91" i="10"/>
  <c r="CN354" i="10"/>
  <c r="CO239" i="10"/>
  <c r="CG246" i="10"/>
  <c r="CN157" i="10"/>
  <c r="CI365" i="10"/>
  <c r="CG225" i="10"/>
  <c r="CO254" i="10"/>
  <c r="CO347" i="10"/>
  <c r="CO232" i="10"/>
  <c r="CH60" i="10"/>
  <c r="CG209" i="10"/>
  <c r="CI339" i="10"/>
  <c r="CN237" i="10"/>
  <c r="CH137" i="10"/>
  <c r="CO306" i="10"/>
  <c r="CI85" i="10"/>
  <c r="CO390" i="10"/>
  <c r="CO141" i="10"/>
  <c r="CN377" i="10"/>
  <c r="CM383" i="10"/>
  <c r="CH379" i="10"/>
  <c r="CI191" i="10"/>
  <c r="CG66" i="10"/>
  <c r="CH315" i="10"/>
  <c r="CG253" i="10"/>
  <c r="CM60" i="10"/>
  <c r="CN175" i="10"/>
  <c r="CN279" i="10"/>
  <c r="CG192" i="10"/>
  <c r="CH38" i="10"/>
  <c r="CH39" i="10"/>
  <c r="CN139" i="10"/>
  <c r="CM59" i="10"/>
  <c r="CI370" i="10"/>
  <c r="CM245" i="10"/>
  <c r="CO320" i="10"/>
  <c r="CM259" i="10"/>
  <c r="CG22" i="10"/>
  <c r="CM235" i="10"/>
  <c r="CI340" i="10"/>
  <c r="CM251" i="10"/>
  <c r="CI205" i="10"/>
  <c r="CI102" i="10"/>
  <c r="CM80" i="10"/>
  <c r="CM104" i="10"/>
  <c r="CH337" i="10"/>
  <c r="CN97" i="10"/>
  <c r="CM156" i="10"/>
  <c r="CM76" i="10"/>
  <c r="CO51" i="10"/>
  <c r="CO32" i="10"/>
  <c r="CN307" i="10"/>
  <c r="CI380" i="10"/>
  <c r="CH321" i="10"/>
  <c r="CM373" i="10"/>
  <c r="CI166" i="10"/>
  <c r="CI47" i="10"/>
  <c r="CO29" i="10"/>
  <c r="CM45" i="10"/>
  <c r="CI353" i="10"/>
  <c r="CM171" i="10"/>
  <c r="CO64" i="10"/>
  <c r="CO75" i="10"/>
  <c r="CN154" i="10"/>
  <c r="CH162" i="10"/>
  <c r="CG374" i="10"/>
  <c r="CM179" i="10"/>
  <c r="CM271" i="10"/>
  <c r="CG248" i="10"/>
  <c r="CG310" i="10"/>
  <c r="CH295" i="10"/>
  <c r="CG201" i="10"/>
  <c r="CN36" i="10"/>
  <c r="CN45" i="10"/>
  <c r="CG238" i="10"/>
  <c r="CN336" i="10"/>
  <c r="CH164" i="10"/>
  <c r="CG179" i="10"/>
  <c r="CO271" i="10"/>
  <c r="CM248" i="10"/>
  <c r="CM263" i="10"/>
  <c r="CI295" i="10"/>
  <c r="CG133" i="10"/>
  <c r="CO36" i="10"/>
  <c r="CH261" i="10"/>
  <c r="CI238" i="10"/>
  <c r="CN292" i="10"/>
  <c r="CO308" i="10"/>
  <c r="CG171" i="10"/>
  <c r="CN267" i="10"/>
  <c r="CI262" i="10"/>
  <c r="CI201" i="10"/>
  <c r="CH308" i="10"/>
  <c r="CH294" i="10"/>
  <c r="CG267" i="10"/>
  <c r="CM250" i="10"/>
  <c r="CG327" i="10"/>
  <c r="CN270" i="10"/>
  <c r="CN283" i="10"/>
  <c r="CO145" i="10"/>
  <c r="CM173" i="10"/>
  <c r="CN121" i="10"/>
  <c r="CO243" i="10"/>
  <c r="CM365" i="10"/>
  <c r="CO158" i="10"/>
  <c r="CM232" i="10"/>
  <c r="CO225" i="10"/>
  <c r="CO87" i="10"/>
  <c r="CN301" i="10"/>
  <c r="CI366" i="10"/>
  <c r="CN304" i="10"/>
  <c r="CN275" i="10"/>
  <c r="CO151" i="10"/>
  <c r="CM168" i="10"/>
  <c r="CM181" i="10"/>
  <c r="CI115" i="10"/>
  <c r="CO216" i="10"/>
  <c r="CG289" i="10"/>
  <c r="CI388" i="10"/>
  <c r="CO161" i="10"/>
  <c r="CN388" i="10"/>
  <c r="CI275" i="10"/>
  <c r="CI217" i="10"/>
  <c r="CO240" i="10"/>
  <c r="CI54" i="10"/>
  <c r="CO120" i="10"/>
  <c r="CM96" i="10"/>
  <c r="CG339" i="10"/>
  <c r="CN272" i="10"/>
  <c r="CH73" i="10"/>
  <c r="CI175" i="10"/>
  <c r="CO125" i="10"/>
  <c r="CM83" i="10"/>
  <c r="CI215" i="10"/>
  <c r="CN131" i="10"/>
  <c r="CN189" i="10"/>
  <c r="CN149" i="10"/>
  <c r="CN392" i="10"/>
  <c r="CO58" i="10"/>
  <c r="CO183" i="10"/>
  <c r="CG291" i="10"/>
  <c r="CO349" i="10"/>
  <c r="CI134" i="10"/>
  <c r="CO24" i="10"/>
  <c r="CM230" i="10"/>
  <c r="CH386" i="10"/>
  <c r="CO255" i="10"/>
  <c r="CI342" i="10"/>
  <c r="CO48" i="10"/>
  <c r="CH217" i="10"/>
  <c r="CO322" i="10"/>
  <c r="CN217" i="10"/>
  <c r="CO229" i="10"/>
  <c r="CG159" i="10"/>
  <c r="CO325" i="10"/>
  <c r="CG266" i="10"/>
  <c r="CG132" i="10"/>
  <c r="CI356" i="10"/>
  <c r="CH257" i="10"/>
  <c r="CM269" i="10"/>
  <c r="CO266" i="10"/>
  <c r="CH224" i="10"/>
  <c r="CO224" i="10"/>
  <c r="CG113" i="10"/>
  <c r="CH227" i="10"/>
  <c r="CO372" i="10"/>
  <c r="CI117" i="10"/>
  <c r="CG176" i="10"/>
  <c r="CH58" i="10"/>
  <c r="CM379" i="10"/>
  <c r="CM126" i="10"/>
  <c r="CI284" i="10"/>
  <c r="CM176" i="10"/>
  <c r="CH249" i="10"/>
  <c r="CO130" i="10"/>
  <c r="CG204" i="10"/>
  <c r="CG121" i="10"/>
  <c r="CI315" i="10"/>
  <c r="CI119" i="10"/>
  <c r="CG198" i="10"/>
  <c r="CN60" i="10"/>
  <c r="CH198" i="10"/>
  <c r="CI268" i="10"/>
  <c r="CO44" i="10"/>
  <c r="CI28" i="10"/>
  <c r="CM331" i="10"/>
  <c r="CO335" i="10"/>
  <c r="CN331" i="10"/>
  <c r="CI24" i="10"/>
  <c r="CM112" i="10"/>
  <c r="CH235" i="10"/>
  <c r="CI38" i="10"/>
  <c r="CO370" i="10"/>
  <c r="CI222" i="10"/>
  <c r="CI333" i="10"/>
  <c r="CM359" i="10"/>
  <c r="CH298" i="10"/>
  <c r="CN177" i="10"/>
  <c r="CM303" i="10"/>
  <c r="CM299" i="10"/>
  <c r="CO178" i="10"/>
  <c r="CI263" i="10"/>
  <c r="CG314" i="10"/>
  <c r="CM289" i="10"/>
  <c r="CH182" i="10"/>
  <c r="CI69" i="10"/>
  <c r="CG281" i="10"/>
  <c r="CG90" i="10"/>
  <c r="CN263" i="10"/>
  <c r="CI347" i="10"/>
  <c r="CG242" i="10"/>
  <c r="CI261" i="10"/>
  <c r="CG217" i="10"/>
  <c r="CM327" i="10"/>
  <c r="CG194" i="10"/>
  <c r="CM121" i="10"/>
  <c r="CG34" i="10"/>
  <c r="CO246" i="10"/>
  <c r="CN132" i="10"/>
  <c r="CO361" i="10"/>
  <c r="CO93" i="10"/>
  <c r="CI212" i="10"/>
  <c r="CI98" i="10"/>
  <c r="CM203" i="10"/>
  <c r="CN125" i="10"/>
  <c r="CH244" i="10"/>
  <c r="CI290" i="10"/>
  <c r="CM382" i="10"/>
  <c r="CO324" i="10"/>
  <c r="CG49" i="10"/>
  <c r="CH132" i="10"/>
  <c r="CI377" i="10"/>
  <c r="CG279" i="10"/>
  <c r="CN324" i="10"/>
  <c r="CO381" i="10"/>
  <c r="CO169" i="10"/>
  <c r="CG202" i="10"/>
  <c r="CH106" i="10"/>
  <c r="CH30" i="10"/>
  <c r="CI269" i="10"/>
  <c r="CH226" i="10"/>
  <c r="CM134" i="10"/>
  <c r="CG129" i="10"/>
  <c r="CI218" i="10"/>
  <c r="CO95" i="10"/>
  <c r="CI209" i="10"/>
  <c r="CG342" i="10"/>
  <c r="CO23" i="10"/>
  <c r="CM362" i="10"/>
  <c r="CM224" i="10"/>
  <c r="CO281" i="10"/>
  <c r="CG313" i="10"/>
  <c r="CH171" i="10"/>
  <c r="CM139" i="10"/>
  <c r="CN75" i="10"/>
  <c r="CO154" i="10"/>
  <c r="CI83" i="10"/>
  <c r="CO260" i="10"/>
  <c r="CI131" i="10"/>
  <c r="CO103" i="10"/>
  <c r="CM339" i="10"/>
  <c r="CM326" i="10"/>
  <c r="CI172" i="10"/>
  <c r="CM135" i="10"/>
  <c r="CG328" i="10"/>
  <c r="CH40" i="10"/>
  <c r="CM291" i="10"/>
  <c r="CM349" i="10"/>
  <c r="CO65" i="10"/>
  <c r="CG105" i="10"/>
  <c r="CG84" i="10"/>
  <c r="CI138" i="10"/>
  <c r="CH53" i="10"/>
  <c r="CH218" i="10"/>
  <c r="CG59" i="10"/>
  <c r="CG370" i="10"/>
  <c r="CI245" i="10"/>
  <c r="CM164" i="10"/>
  <c r="CI256" i="10"/>
  <c r="CI82" i="10"/>
  <c r="CN330" i="10"/>
  <c r="CI386" i="10"/>
  <c r="CH358" i="10"/>
  <c r="CG336" i="10"/>
  <c r="CM292" i="10"/>
  <c r="CM281" i="10"/>
  <c r="CH199" i="10"/>
  <c r="CM31" i="10"/>
  <c r="CO150" i="10"/>
  <c r="CH256" i="10"/>
  <c r="CM367" i="10"/>
  <c r="CO330" i="10"/>
  <c r="CI67" i="10"/>
  <c r="CH375" i="10"/>
  <c r="CN201" i="10"/>
  <c r="CG292" i="10"/>
  <c r="CO45" i="10"/>
  <c r="CG199" i="10"/>
  <c r="CI274" i="10"/>
  <c r="CO275" i="10"/>
  <c r="CN53" i="10"/>
  <c r="CN303" i="10"/>
  <c r="CM310" i="10"/>
  <c r="CM355" i="10"/>
  <c r="CG275" i="10"/>
  <c r="CO53" i="10"/>
  <c r="CI64" i="10"/>
  <c r="CO170" i="10"/>
  <c r="CG92" i="10"/>
  <c r="CH93" i="10"/>
  <c r="CM280" i="10"/>
  <c r="CG99" i="10"/>
  <c r="CO238" i="10"/>
  <c r="CI90" i="10"/>
  <c r="CN294" i="10"/>
  <c r="CI352" i="10"/>
  <c r="CO54" i="10"/>
  <c r="CN190" i="10"/>
  <c r="CG191" i="10"/>
  <c r="CM343" i="10"/>
  <c r="CO388" i="10"/>
  <c r="CH161" i="10"/>
  <c r="CH369" i="10"/>
  <c r="CH381" i="10"/>
  <c r="CM63" i="10"/>
  <c r="CH258" i="10"/>
  <c r="CN346" i="10"/>
  <c r="CH120" i="10"/>
  <c r="CM57" i="10"/>
  <c r="CG87" i="10"/>
  <c r="CH194" i="10"/>
  <c r="CH210" i="10"/>
  <c r="CI79" i="10"/>
  <c r="CM381" i="10"/>
  <c r="CH384" i="10"/>
  <c r="CI285" i="10"/>
  <c r="CG239" i="10"/>
  <c r="CN268" i="10"/>
  <c r="CM98" i="10"/>
  <c r="CI49" i="10"/>
  <c r="CN86" i="10"/>
  <c r="CO184" i="10"/>
  <c r="CN335" i="10"/>
  <c r="CI66" i="10"/>
  <c r="CN153" i="10"/>
  <c r="CI221" i="10"/>
  <c r="CM198" i="10"/>
  <c r="CO114" i="10"/>
  <c r="CG26" i="10"/>
  <c r="CO128" i="10"/>
  <c r="CG43" i="10"/>
  <c r="CI27" i="10"/>
  <c r="CN252" i="10"/>
  <c r="CI100" i="10"/>
  <c r="CG111" i="10"/>
  <c r="CI213" i="10"/>
  <c r="CM118" i="10"/>
  <c r="CG197" i="10"/>
  <c r="CM387" i="10"/>
  <c r="CG318" i="10"/>
  <c r="CN165" i="10"/>
  <c r="CN155" i="10"/>
  <c r="CM187" i="10"/>
  <c r="CG155" i="10"/>
  <c r="CO215" i="10"/>
  <c r="CG216" i="10"/>
  <c r="CG65" i="10"/>
  <c r="CM125" i="10"/>
  <c r="CO331" i="10"/>
  <c r="CG312" i="10"/>
  <c r="CN142" i="10"/>
  <c r="CI89" i="10"/>
  <c r="CG125" i="10"/>
  <c r="CN25" i="10"/>
  <c r="CI106" i="10"/>
  <c r="CI35" i="10"/>
  <c r="CN28" i="10"/>
  <c r="CN56" i="10"/>
  <c r="CN312" i="10"/>
  <c r="CI385" i="10"/>
  <c r="CH225" i="10"/>
  <c r="CN219" i="10"/>
  <c r="CG115" i="10"/>
  <c r="CN66" i="10"/>
  <c r="CN212" i="10"/>
  <c r="CG235" i="10"/>
  <c r="CN126" i="10"/>
  <c r="CG254" i="10"/>
  <c r="CG33" i="10"/>
  <c r="CM106" i="10"/>
  <c r="CG181" i="10"/>
  <c r="CI26" i="10"/>
  <c r="CH127" i="10"/>
  <c r="CG206" i="10"/>
  <c r="CN269" i="10"/>
  <c r="CN226" i="10"/>
  <c r="CH43" i="10"/>
  <c r="CG44" i="10"/>
  <c r="CH28" i="10"/>
  <c r="CH44" i="10"/>
  <c r="CH111" i="10"/>
  <c r="CM363" i="10"/>
  <c r="CG48" i="10"/>
  <c r="CO241" i="10"/>
  <c r="CO39" i="10"/>
  <c r="CN59" i="10"/>
  <c r="CG320" i="10"/>
  <c r="CG186" i="10"/>
  <c r="CG392" i="10"/>
  <c r="CI252" i="10"/>
  <c r="CM305" i="10"/>
  <c r="CM340" i="10"/>
  <c r="CH170" i="10"/>
  <c r="CI371" i="10"/>
  <c r="CO290" i="10"/>
  <c r="CG373" i="10"/>
  <c r="CG29" i="10"/>
  <c r="CM101" i="10"/>
  <c r="CI167" i="10"/>
  <c r="CM314" i="10"/>
  <c r="CN194" i="10"/>
  <c r="CN347" i="10"/>
  <c r="CI280" i="10"/>
  <c r="CI361" i="10"/>
  <c r="CH68" i="10"/>
  <c r="CN199" i="10"/>
  <c r="CN240" i="10"/>
  <c r="CN96" i="10"/>
  <c r="CO210" i="10"/>
  <c r="CO233" i="10"/>
  <c r="CO268" i="10"/>
  <c r="CI99" i="10"/>
  <c r="CO121" i="10"/>
  <c r="CG250" i="10"/>
  <c r="CM122" i="10"/>
  <c r="CN95" i="10"/>
  <c r="CH320" i="10"/>
  <c r="CN32" i="10"/>
  <c r="CH104" i="10"/>
  <c r="CN207" i="10"/>
  <c r="CO126" i="10"/>
  <c r="CN288" i="10"/>
  <c r="CN348" i="10"/>
  <c r="CH221" i="10"/>
  <c r="CG163" i="10"/>
  <c r="CM226" i="10"/>
  <c r="CM124" i="10"/>
  <c r="CM34" i="10"/>
  <c r="CM89" i="10"/>
  <c r="CM157" i="10"/>
  <c r="CM72" i="10"/>
  <c r="CM273" i="10"/>
  <c r="CM149" i="10"/>
  <c r="CN183" i="10"/>
  <c r="CO226" i="10"/>
  <c r="CM290" i="10"/>
  <c r="CM288" i="10"/>
  <c r="CM161" i="10"/>
  <c r="CI363" i="10"/>
  <c r="CO288" i="10"/>
  <c r="CG251" i="10"/>
  <c r="CN370" i="10"/>
  <c r="CN110" i="10"/>
  <c r="CG319" i="10"/>
  <c r="CG387" i="10"/>
  <c r="CO344" i="10"/>
  <c r="CM265" i="10"/>
  <c r="CI52" i="10"/>
  <c r="CH88" i="10"/>
  <c r="CH80" i="10"/>
  <c r="CM241" i="10"/>
  <c r="CH179" i="10"/>
  <c r="CH301" i="10"/>
  <c r="CO193" i="10"/>
  <c r="CI292" i="10"/>
  <c r="CI179" i="10"/>
  <c r="CH92" i="10"/>
  <c r="CN369" i="10"/>
  <c r="CO217" i="10"/>
  <c r="CM190" i="10"/>
  <c r="CG357" i="10"/>
  <c r="CI204" i="10"/>
  <c r="CI367" i="10"/>
  <c r="CG360" i="10"/>
  <c r="CI185" i="10"/>
  <c r="CM39" i="10"/>
  <c r="CH197" i="10"/>
  <c r="CM81" i="10"/>
  <c r="CO353" i="10"/>
  <c r="CN184" i="10"/>
  <c r="CO66" i="10"/>
  <c r="CO136" i="10"/>
  <c r="CH122" i="10"/>
  <c r="CH32" i="10"/>
  <c r="CN380" i="10"/>
  <c r="CM162" i="10"/>
  <c r="CN195" i="10"/>
  <c r="CH331" i="10"/>
  <c r="CO187" i="10"/>
  <c r="CH279" i="10"/>
  <c r="CI141" i="10"/>
  <c r="CH121" i="10"/>
  <c r="CG389" i="10"/>
  <c r="CO163" i="10"/>
  <c r="CO204" i="10"/>
  <c r="CM225" i="10"/>
  <c r="CO98" i="10"/>
  <c r="CN161" i="10"/>
  <c r="CG212" i="10"/>
  <c r="CO356" i="10"/>
  <c r="CI246" i="10"/>
  <c r="CH203" i="10"/>
  <c r="CM127" i="10"/>
  <c r="CH54" i="10"/>
  <c r="CG157" i="10"/>
  <c r="CI338" i="10"/>
  <c r="CI277" i="10"/>
  <c r="CM200" i="10"/>
  <c r="CH289" i="10"/>
  <c r="CN152" i="10"/>
  <c r="CN356" i="10"/>
  <c r="CH388" i="10"/>
  <c r="CH204" i="10"/>
  <c r="CI360" i="10"/>
  <c r="CM253" i="10"/>
  <c r="CH66" i="10"/>
  <c r="CN325" i="10"/>
  <c r="CN106" i="10"/>
  <c r="CH304" i="10"/>
  <c r="CM202" i="10"/>
  <c r="CN293" i="10"/>
  <c r="CI114" i="10"/>
  <c r="CH367" i="10"/>
  <c r="CN118" i="10"/>
  <c r="CO153" i="10"/>
  <c r="CO78" i="10"/>
  <c r="CH174" i="10"/>
  <c r="CM159" i="10"/>
  <c r="CO175" i="10"/>
  <c r="CM137" i="10"/>
  <c r="CN202" i="10"/>
  <c r="CO59" i="10"/>
  <c r="CN363" i="10"/>
  <c r="CN186" i="10"/>
  <c r="CG167" i="10"/>
  <c r="CI36" i="10"/>
  <c r="CH151" i="10"/>
  <c r="CH183" i="10"/>
  <c r="CN39" i="10"/>
  <c r="CO112" i="10"/>
  <c r="CH141" i="10"/>
  <c r="CO72" i="10"/>
  <c r="CO379" i="10"/>
  <c r="CI206" i="10"/>
  <c r="CG210" i="10"/>
  <c r="CN136" i="10"/>
  <c r="CI118" i="10"/>
  <c r="CM316" i="10"/>
  <c r="CM386" i="10"/>
  <c r="CG241" i="10"/>
  <c r="CM298" i="10"/>
  <c r="CO303" i="10"/>
  <c r="CO310" i="10"/>
  <c r="CI174" i="10"/>
  <c r="CM233" i="10"/>
  <c r="CN119" i="10"/>
  <c r="CO244" i="10"/>
  <c r="CO257" i="10"/>
  <c r="CH335" i="10"/>
  <c r="CG366" i="10"/>
  <c r="CH89" i="10"/>
  <c r="CI148" i="10"/>
  <c r="CO219" i="10"/>
  <c r="CI304" i="10"/>
  <c r="CN108" i="10"/>
  <c r="CH373" i="10"/>
  <c r="CH330" i="10"/>
  <c r="CN80" i="10"/>
  <c r="CH263" i="10"/>
  <c r="CH177" i="10"/>
  <c r="CG286" i="10"/>
  <c r="CO311" i="10"/>
  <c r="CG236" i="10"/>
  <c r="CH187" i="10"/>
  <c r="CM68" i="10"/>
  <c r="CI257" i="10"/>
  <c r="CN359" i="10"/>
  <c r="CO363" i="10"/>
  <c r="CM79" i="10"/>
  <c r="CI345" i="10"/>
  <c r="CG324" i="10"/>
  <c r="CN137" i="10"/>
  <c r="CI381" i="10"/>
  <c r="CO284" i="10"/>
  <c r="CN100" i="10"/>
  <c r="CO297" i="10"/>
  <c r="CH165" i="10"/>
  <c r="CI165" i="10"/>
  <c r="CH154" i="10"/>
  <c r="CI242" i="10"/>
  <c r="CI305" i="10"/>
  <c r="CM84" i="10"/>
  <c r="CO248" i="10"/>
  <c r="CN169" i="10"/>
  <c r="CH232" i="10"/>
  <c r="CH383" i="10"/>
  <c r="CG81" i="10"/>
  <c r="CH342" i="10"/>
  <c r="CI198" i="10"/>
  <c r="CI322" i="10"/>
  <c r="CM49" i="10"/>
  <c r="CN44" i="10"/>
  <c r="CI30" i="10"/>
  <c r="CN47" i="10"/>
  <c r="CG369" i="10"/>
  <c r="CM300" i="10"/>
  <c r="CN282" i="10"/>
  <c r="CM78" i="10"/>
  <c r="CN134" i="10"/>
  <c r="CG282" i="10"/>
  <c r="CO259" i="10"/>
  <c r="CO171" i="10"/>
  <c r="CO234" i="10"/>
  <c r="CI156" i="10"/>
  <c r="CM24" i="10"/>
  <c r="CO295" i="10"/>
  <c r="CO182" i="10"/>
  <c r="CO341" i="10"/>
  <c r="CM120" i="10"/>
  <c r="CN333" i="10"/>
  <c r="CM309" i="10"/>
  <c r="CO177" i="10"/>
  <c r="CO188" i="10"/>
  <c r="CN241" i="10"/>
  <c r="CI310" i="10"/>
  <c r="CH314" i="10"/>
  <c r="CN384" i="10"/>
  <c r="CO105" i="10"/>
  <c r="CG287" i="10"/>
  <c r="CM384" i="10"/>
  <c r="CI327" i="10"/>
  <c r="CO261" i="10"/>
  <c r="CI161" i="10"/>
  <c r="CG220" i="10"/>
  <c r="CO28" i="10"/>
  <c r="CG356" i="10"/>
  <c r="CO127" i="10"/>
  <c r="CH126" i="10"/>
  <c r="CO350" i="10"/>
  <c r="CN138" i="10"/>
  <c r="CI71" i="10"/>
  <c r="CH209" i="10"/>
  <c r="CO148" i="10"/>
  <c r="CM353" i="10"/>
  <c r="CH348" i="10"/>
  <c r="CN192" i="10"/>
  <c r="CH202" i="10"/>
  <c r="CO35" i="10"/>
  <c r="CN163" i="10"/>
  <c r="CI324" i="10"/>
  <c r="CN389" i="10"/>
  <c r="CH312" i="10"/>
  <c r="CN360" i="10"/>
  <c r="CI211" i="10"/>
  <c r="CG381" i="10"/>
  <c r="CM338" i="10"/>
  <c r="CG379" i="10"/>
  <c r="CN350" i="10"/>
  <c r="CO38" i="10"/>
  <c r="CM231" i="10"/>
  <c r="CG117" i="10"/>
  <c r="CN355" i="10"/>
  <c r="CI149" i="10"/>
  <c r="CM285" i="10"/>
  <c r="CH130" i="10"/>
  <c r="CI176" i="10"/>
  <c r="CO122" i="10"/>
  <c r="CM213" i="10"/>
  <c r="CI235" i="10"/>
  <c r="CN249" i="10"/>
  <c r="CI43" i="10"/>
  <c r="CO386" i="10"/>
  <c r="CH160" i="10"/>
  <c r="CN111" i="10"/>
  <c r="CG386" i="10"/>
  <c r="CG53" i="10"/>
  <c r="CN42" i="10"/>
  <c r="CH46" i="10"/>
  <c r="CN358" i="10"/>
  <c r="CG234" i="10"/>
  <c r="CN344" i="10"/>
  <c r="CN116" i="10"/>
  <c r="CH110" i="10"/>
  <c r="CM143" i="10"/>
  <c r="CN173" i="10"/>
  <c r="CI169" i="10"/>
  <c r="CI25" i="10"/>
  <c r="CM144" i="10"/>
  <c r="CH213" i="10"/>
  <c r="CI202" i="10"/>
  <c r="CH139" i="10"/>
  <c r="CG215" i="10"/>
  <c r="CM184" i="10"/>
  <c r="CM136" i="10"/>
  <c r="CG123" i="10"/>
  <c r="CI200" i="10"/>
  <c r="CH324" i="10"/>
  <c r="CI376" i="10"/>
  <c r="CO203" i="10"/>
  <c r="CN49" i="10"/>
  <c r="CM236" i="10"/>
  <c r="CO369" i="10"/>
  <c r="CN332" i="10"/>
  <c r="CI227" i="10"/>
  <c r="CH269" i="10"/>
  <c r="CM55" i="10"/>
  <c r="CN72" i="10"/>
  <c r="CG131" i="10"/>
  <c r="CG139" i="10"/>
  <c r="CN200" i="10"/>
  <c r="CM279" i="10"/>
  <c r="CG67" i="10"/>
  <c r="CO269" i="10"/>
  <c r="CO195" i="10"/>
  <c r="CN81" i="10"/>
  <c r="CO345" i="10"/>
  <c r="CG284" i="10"/>
  <c r="CO117" i="10"/>
  <c r="CO383" i="10"/>
  <c r="CI230" i="10"/>
  <c r="CM195" i="10"/>
  <c r="CM391" i="10"/>
  <c r="CH146" i="10"/>
  <c r="CN164" i="10"/>
  <c r="CO250" i="10"/>
  <c r="CM216" i="10"/>
  <c r="CI127" i="10"/>
  <c r="CM175" i="10"/>
  <c r="CN315" i="10"/>
  <c r="CO368" i="10"/>
  <c r="CN34" i="10"/>
  <c r="CG149" i="10"/>
  <c r="CI293" i="10"/>
  <c r="CN230" i="10"/>
  <c r="CH23" i="10"/>
  <c r="CO97" i="10"/>
  <c r="CG326" i="10"/>
  <c r="CN391" i="10"/>
  <c r="CH354" i="10"/>
  <c r="CN185" i="10"/>
  <c r="CH99" i="10"/>
  <c r="CM376" i="10"/>
  <c r="CI346" i="10"/>
  <c r="CN104" i="10"/>
  <c r="CG380" i="10"/>
  <c r="CG82" i="10"/>
  <c r="CI96" i="10"/>
  <c r="CM312" i="10"/>
  <c r="CG35" i="10"/>
  <c r="CM119" i="10"/>
  <c r="CG168" i="10"/>
  <c r="CN277" i="10"/>
  <c r="CI334" i="10"/>
  <c r="CO340" i="10"/>
  <c r="CM90" i="10"/>
  <c r="CH316" i="10"/>
  <c r="CI328" i="10"/>
  <c r="CM115" i="10"/>
  <c r="CN261" i="10"/>
  <c r="CN322" i="10"/>
  <c r="CG174" i="10"/>
  <c r="CI282" i="10"/>
  <c r="CM348" i="10"/>
  <c r="CI178" i="10"/>
  <c r="CH349" i="10"/>
  <c r="CH273" i="10"/>
  <c r="CG120" i="10"/>
  <c r="CG98" i="10"/>
  <c r="CG109" i="10"/>
  <c r="CM268" i="10"/>
  <c r="CH81" i="10"/>
  <c r="CM330" i="10"/>
  <c r="CG146" i="10"/>
  <c r="CM344" i="10"/>
  <c r="CI214" i="10"/>
  <c r="CI309" i="10"/>
  <c r="CI316" i="10"/>
  <c r="CI143" i="10"/>
  <c r="CN176" i="10"/>
  <c r="CM294" i="10"/>
  <c r="CI155" i="10"/>
  <c r="CG28" i="10"/>
  <c r="CG73" i="10"/>
  <c r="CG83" i="10"/>
  <c r="CI157" i="10"/>
  <c r="CI132" i="10"/>
  <c r="CO104" i="10"/>
  <c r="CM185" i="10"/>
  <c r="CI236" i="10"/>
  <c r="CO385" i="10"/>
  <c r="CM345" i="10"/>
  <c r="CG323" i="10"/>
  <c r="CM371" i="10"/>
  <c r="CO362" i="10"/>
  <c r="CH103" i="10"/>
  <c r="CM172" i="10"/>
  <c r="CN327" i="10"/>
  <c r="CG265" i="10"/>
  <c r="CG46" i="10"/>
  <c r="CH144" i="10"/>
  <c r="CM347" i="10"/>
  <c r="CM62" i="10"/>
  <c r="CG347" i="10"/>
  <c r="CI55" i="10"/>
  <c r="CM227" i="10"/>
  <c r="CH355" i="10"/>
  <c r="CM50" i="10"/>
  <c r="CM389" i="10"/>
  <c r="CN112" i="10"/>
  <c r="CI313" i="10"/>
  <c r="CH359" i="10"/>
  <c r="CM210" i="10"/>
  <c r="CG211" i="10"/>
  <c r="CI151" i="10"/>
  <c r="CN127" i="10"/>
  <c r="CM26" i="10"/>
  <c r="CO73" i="10"/>
  <c r="CI121" i="10"/>
  <c r="CO100" i="10"/>
  <c r="CG30" i="10"/>
  <c r="CO168" i="10"/>
  <c r="CI81" i="10"/>
  <c r="CO304" i="10"/>
  <c r="CG77" i="10"/>
  <c r="CH322" i="10"/>
  <c r="CO116" i="10"/>
  <c r="CI152" i="10"/>
  <c r="CG89" i="10"/>
  <c r="CH128" i="10"/>
  <c r="CG25" i="10"/>
  <c r="CH350" i="10"/>
  <c r="CM212" i="10"/>
  <c r="CG127" i="10"/>
  <c r="CH206" i="10"/>
  <c r="CN318" i="10"/>
  <c r="CH167" i="10"/>
  <c r="CO287" i="10"/>
  <c r="CM174" i="10"/>
  <c r="CM375" i="10"/>
  <c r="CO392" i="10"/>
  <c r="CO162" i="10"/>
  <c r="CM215" i="10"/>
  <c r="CI183" i="10"/>
  <c r="CI58" i="10"/>
  <c r="CM204" i="10"/>
  <c r="CG114" i="10"/>
  <c r="CI329" i="10"/>
  <c r="CO236" i="10"/>
  <c r="CO279" i="10"/>
  <c r="CG350" i="10"/>
  <c r="CN214" i="10"/>
  <c r="CN197" i="10"/>
  <c r="CG45" i="10"/>
  <c r="CO214" i="10"/>
  <c r="CO61" i="10"/>
  <c r="CN235" i="10"/>
  <c r="CN147" i="10"/>
  <c r="CI317" i="10"/>
  <c r="CG276" i="10"/>
  <c r="CN306" i="10"/>
  <c r="CO318" i="10"/>
  <c r="CG70" i="10"/>
  <c r="CN31" i="10"/>
  <c r="CM92" i="10"/>
  <c r="CO228" i="10"/>
  <c r="CM341" i="10"/>
  <c r="CM64" i="10"/>
  <c r="CN271" i="10"/>
  <c r="CM354" i="10"/>
  <c r="CI159" i="10"/>
  <c r="CG55" i="10"/>
  <c r="CG188" i="10"/>
  <c r="CI270" i="10"/>
  <c r="CH238" i="10"/>
  <c r="CM352" i="10"/>
  <c r="CG309" i="10"/>
  <c r="CI369" i="10"/>
  <c r="CN379" i="10"/>
  <c r="CH168" i="10"/>
  <c r="CO231" i="10"/>
  <c r="CN210" i="10"/>
  <c r="CO149" i="10"/>
  <c r="CI266" i="10"/>
  <c r="CN291" i="10"/>
  <c r="CH134" i="10"/>
  <c r="CO118" i="10"/>
  <c r="CH255" i="10"/>
  <c r="CG221" i="10"/>
  <c r="CM189" i="10"/>
  <c r="CI147" i="10"/>
  <c r="CG72" i="10"/>
  <c r="CI300" i="10"/>
  <c r="CH152" i="10"/>
  <c r="CO108" i="10"/>
  <c r="CN79" i="10"/>
  <c r="CI123" i="10"/>
  <c r="CN334" i="10"/>
  <c r="CG304" i="10"/>
  <c r="CG39" i="10"/>
  <c r="CI384" i="10"/>
  <c r="CH181" i="10"/>
  <c r="CN381" i="10"/>
  <c r="CO55" i="10"/>
  <c r="CG203" i="10"/>
  <c r="CI240" i="10"/>
  <c r="CN361" i="10"/>
  <c r="CG383" i="10"/>
  <c r="CH300" i="10"/>
  <c r="CO223" i="10"/>
  <c r="CO62" i="10"/>
  <c r="CM197" i="10"/>
  <c r="CI321" i="10"/>
  <c r="CG329" i="10"/>
  <c r="CG325" i="10"/>
  <c r="CM257" i="10"/>
  <c r="CN300" i="10"/>
  <c r="CM29" i="10"/>
  <c r="CI286" i="10"/>
  <c r="CI220" i="10"/>
  <c r="CM117" i="10"/>
  <c r="CH114" i="10"/>
  <c r="CH50" i="10"/>
  <c r="CO40" i="10"/>
  <c r="CI216" i="10"/>
  <c r="CI231" i="10"/>
  <c r="CO142" i="10"/>
  <c r="CG376" i="10"/>
  <c r="CG200" i="10"/>
  <c r="CN144" i="10"/>
  <c r="CH377" i="10"/>
  <c r="CM370" i="10"/>
  <c r="CG207" i="10"/>
  <c r="CG126" i="10"/>
  <c r="CM109" i="10"/>
  <c r="CM207" i="10"/>
  <c r="CM209" i="10"/>
  <c r="CH45" i="10"/>
  <c r="CO205" i="10"/>
  <c r="CM153" i="10"/>
  <c r="CG343" i="10"/>
  <c r="CH82" i="10"/>
  <c r="CG382" i="10"/>
  <c r="CO258" i="10"/>
  <c r="CN208" i="10"/>
  <c r="CH62" i="10"/>
  <c r="CN172" i="10"/>
  <c r="CN234" i="10"/>
  <c r="CI80" i="10"/>
  <c r="CG367" i="10"/>
  <c r="CH351" i="10"/>
  <c r="CO332" i="10"/>
  <c r="CO84" i="10"/>
  <c r="CH271" i="10"/>
  <c r="CI93" i="10"/>
  <c r="CO199" i="10"/>
  <c r="CM240" i="10"/>
  <c r="CH191" i="10"/>
  <c r="CM132" i="10"/>
  <c r="CG368" i="10"/>
  <c r="CG365" i="10"/>
  <c r="CN266" i="10"/>
  <c r="CN338" i="10"/>
  <c r="CM32" i="10"/>
  <c r="CM58" i="10"/>
  <c r="CG137" i="10"/>
  <c r="CH211" i="10"/>
  <c r="CG56" i="10"/>
  <c r="CG85" i="10"/>
  <c r="CN320" i="10"/>
  <c r="CM114" i="10"/>
  <c r="CO139" i="10"/>
  <c r="CO43" i="10"/>
  <c r="CH291" i="10"/>
  <c r="CG346" i="10"/>
  <c r="CH123" i="10"/>
  <c r="CI331" i="10"/>
  <c r="CM151" i="10"/>
  <c r="CM25" i="10"/>
  <c r="CH368" i="10"/>
  <c r="CG348" i="10"/>
  <c r="CO71" i="10"/>
  <c r="CH233" i="10"/>
  <c r="CN203" i="10"/>
  <c r="CO47" i="10"/>
  <c r="CO137" i="10"/>
  <c r="CG63" i="10"/>
  <c r="CO41" i="10"/>
  <c r="CO285" i="10"/>
  <c r="CG378" i="10"/>
  <c r="CM30" i="10"/>
  <c r="CG152" i="10"/>
  <c r="CG183" i="10"/>
  <c r="CM249" i="10"/>
  <c r="CI233" i="10"/>
  <c r="CN229" i="10"/>
  <c r="CH189" i="10"/>
  <c r="CN255" i="10"/>
  <c r="CG74" i="10"/>
  <c r="CM129" i="10"/>
  <c r="CI112" i="10"/>
  <c r="CO22" i="10"/>
  <c r="CH267" i="10"/>
  <c r="CI140" i="10"/>
  <c r="CO283" i="10"/>
  <c r="CN311" i="10"/>
  <c r="CM201" i="10"/>
  <c r="CH307" i="10"/>
  <c r="CH140" i="10"/>
  <c r="CO343" i="10"/>
  <c r="CI70" i="10"/>
  <c r="CO373" i="10"/>
  <c r="CM105" i="10"/>
  <c r="CN248" i="10"/>
  <c r="CN236" i="10"/>
  <c r="CN105" i="10"/>
  <c r="CH241" i="10"/>
  <c r="CG361" i="10"/>
  <c r="CI68" i="10"/>
  <c r="CI116" i="10"/>
  <c r="CH285" i="10"/>
  <c r="CO96" i="10"/>
  <c r="CO157" i="10"/>
  <c r="CN30" i="10"/>
  <c r="CM390" i="10"/>
  <c r="CI190" i="10"/>
  <c r="CM206" i="10"/>
  <c r="CH71" i="10"/>
  <c r="CG112" i="10"/>
  <c r="CI249" i="10"/>
  <c r="CO119" i="10"/>
  <c r="CH175" i="10"/>
  <c r="CG269" i="10"/>
  <c r="CG249" i="10"/>
  <c r="CI51" i="10"/>
  <c r="CH264" i="10"/>
  <c r="CI125" i="10"/>
  <c r="CO252" i="10"/>
  <c r="CI335" i="10"/>
  <c r="CI390" i="10"/>
  <c r="CH163" i="10"/>
  <c r="CM217" i="10"/>
  <c r="CH49" i="10"/>
  <c r="CO30" i="10"/>
  <c r="CH230" i="10"/>
  <c r="CG372" i="10"/>
  <c r="CI239" i="10"/>
  <c r="CH86" i="10"/>
  <c r="CN41" i="10"/>
  <c r="CI259" i="10"/>
  <c r="CG384" i="10"/>
  <c r="CH156" i="10"/>
  <c r="CM169" i="10"/>
  <c r="CO315" i="10"/>
  <c r="CG277" i="10"/>
  <c r="CN376" i="10"/>
  <c r="CO26" i="10"/>
  <c r="CM385" i="10"/>
  <c r="CG175" i="10"/>
  <c r="CO206" i="10"/>
  <c r="CG79" i="10"/>
  <c r="CN215" i="10"/>
  <c r="CN297" i="10"/>
  <c r="CM65" i="10"/>
  <c r="CM183" i="10"/>
  <c r="CI124" i="10"/>
  <c r="CO247" i="10"/>
  <c r="CM28" i="10"/>
  <c r="CN91" i="10"/>
  <c r="CI184" i="10"/>
  <c r="CH361" i="10"/>
  <c r="CO371" i="10"/>
  <c r="CN50" i="10"/>
  <c r="CH51" i="10"/>
  <c r="CH387" i="10"/>
  <c r="CG47" i="10"/>
  <c r="CG24" i="10"/>
  <c r="CM255" i="10"/>
  <c r="CG224" i="10"/>
  <c r="CN64" i="10"/>
  <c r="CM276" i="10"/>
  <c r="CI23" i="10"/>
  <c r="CI248" i="10"/>
  <c r="CI373" i="10"/>
  <c r="CN135" i="10"/>
  <c r="CI276" i="10"/>
  <c r="CM283" i="10"/>
  <c r="CG258" i="10"/>
  <c r="CO31" i="10"/>
  <c r="CH69" i="10"/>
  <c r="CG193" i="10"/>
  <c r="CH319" i="10"/>
  <c r="CI62" i="10"/>
  <c r="CG177" i="10"/>
  <c r="CG390" i="10"/>
  <c r="CN133" i="10"/>
  <c r="CI163" i="10"/>
  <c r="CM361" i="10"/>
  <c r="CG93" i="10"/>
  <c r="CH364" i="10"/>
  <c r="CH236" i="10"/>
  <c r="CH372" i="10"/>
  <c r="CG169" i="10"/>
  <c r="CH389" i="10"/>
  <c r="CI139" i="10"/>
  <c r="CI255" i="10"/>
  <c r="CM48" i="10"/>
  <c r="CN345" i="10"/>
  <c r="CM335" i="10"/>
  <c r="CM321" i="10"/>
  <c r="CO165" i="10"/>
  <c r="CG119" i="10"/>
  <c r="CH56" i="10"/>
  <c r="CO209" i="10"/>
  <c r="CH148" i="10"/>
  <c r="CO144" i="10"/>
  <c r="CM346" i="10"/>
  <c r="CM108" i="10"/>
  <c r="CO348" i="10"/>
  <c r="CM211" i="10"/>
  <c r="CG285" i="10"/>
  <c r="CO174" i="10"/>
  <c r="CM266" i="10"/>
  <c r="CM85" i="10"/>
  <c r="CO384" i="10"/>
  <c r="CN156" i="10"/>
  <c r="CH149" i="10"/>
  <c r="CG338" i="10"/>
  <c r="CN273" i="10"/>
  <c r="CN231" i="10"/>
  <c r="CM374" i="10"/>
  <c r="CM166" i="10"/>
  <c r="CI254" i="10"/>
  <c r="CH96" i="10"/>
  <c r="CG100" i="10"/>
  <c r="CG306" i="10"/>
  <c r="CH85" i="10"/>
  <c r="CI108" i="10"/>
  <c r="CO46" i="10"/>
  <c r="CN162" i="10"/>
  <c r="CI297" i="10"/>
  <c r="CG278" i="10"/>
  <c r="CM337" i="10"/>
  <c r="CO110" i="10"/>
  <c r="CG330" i="10"/>
  <c r="CH76" i="10"/>
  <c r="CH223" i="10"/>
  <c r="CG143" i="10"/>
  <c r="CG36" i="10"/>
  <c r="CI307" i="10"/>
  <c r="CH208" i="10"/>
  <c r="CG261" i="10"/>
  <c r="CO307" i="10"/>
  <c r="CH188" i="10"/>
  <c r="CN295" i="10"/>
  <c r="CN289" i="10"/>
  <c r="CM372" i="10"/>
  <c r="CI283" i="10"/>
  <c r="CG226" i="10"/>
  <c r="CN193" i="10"/>
  <c r="CO68" i="10"/>
  <c r="CG173" i="10"/>
  <c r="CH176" i="10"/>
  <c r="CG385" i="10"/>
  <c r="CI92" i="10"/>
  <c r="CM38" i="10"/>
  <c r="CI323" i="10"/>
  <c r="CG315" i="10"/>
  <c r="CM165" i="10"/>
  <c r="CG272" i="10"/>
  <c r="CH95" i="10"/>
  <c r="CI273" i="10"/>
  <c r="CH288" i="10"/>
  <c r="CH345" i="10"/>
  <c r="CH247" i="10"/>
  <c r="CI358" i="10"/>
  <c r="CH215" i="10"/>
  <c r="CO192" i="10"/>
  <c r="CG335" i="10"/>
  <c r="CM324" i="10"/>
  <c r="CN352" i="10"/>
  <c r="CN151" i="10"/>
  <c r="CH246" i="10"/>
  <c r="CO329" i="10"/>
  <c r="CG302" i="10"/>
  <c r="CN113" i="10"/>
  <c r="CM37" i="10"/>
  <c r="CI224" i="10"/>
  <c r="CG103" i="10"/>
  <c r="CH240" i="10"/>
  <c r="CN233" i="10"/>
  <c r="CO253" i="10"/>
  <c r="CH98" i="10"/>
  <c r="CI279" i="10"/>
  <c r="CI362" i="10"/>
  <c r="CN68" i="10"/>
  <c r="CM237" i="10"/>
  <c r="CM191" i="10"/>
  <c r="CH277" i="10"/>
  <c r="CH142" i="10"/>
  <c r="CM100" i="10"/>
  <c r="CM82" i="10"/>
  <c r="CO358" i="10"/>
  <c r="CN284" i="10"/>
  <c r="CH306" i="10"/>
  <c r="CN245" i="10"/>
  <c r="CH108" i="10"/>
  <c r="CN102" i="10"/>
  <c r="CM260" i="10"/>
  <c r="CN22" i="10"/>
  <c r="CN290" i="10"/>
  <c r="CO296" i="10"/>
  <c r="CH278" i="10"/>
  <c r="CM146" i="10"/>
  <c r="CM286" i="10"/>
  <c r="CH135" i="10"/>
  <c r="CN140" i="10"/>
  <c r="CN84" i="10"/>
  <c r="CI135" i="10"/>
  <c r="CI271" i="10"/>
  <c r="CO375" i="10"/>
  <c r="CO366" i="10"/>
  <c r="CH248" i="10"/>
  <c r="CN280" i="10"/>
  <c r="CN254" i="10"/>
  <c r="CG54" i="10"/>
  <c r="CM208" i="10"/>
  <c r="CO25" i="10"/>
  <c r="CO123" i="10"/>
  <c r="CM325" i="10"/>
  <c r="CM377" i="10"/>
  <c r="CG134" i="10"/>
  <c r="CO230" i="10"/>
  <c r="CO85" i="10"/>
  <c r="CI288" i="10"/>
  <c r="CG86" i="10"/>
  <c r="CH282" i="10"/>
  <c r="CN83" i="10"/>
  <c r="CM160" i="10"/>
  <c r="CI86" i="10"/>
  <c r="CI392" i="10"/>
  <c r="CM329" i="10"/>
  <c r="CN260" i="10"/>
  <c r="CG96" i="10"/>
  <c r="CG144" i="10"/>
  <c r="CO156" i="10"/>
  <c r="CN174" i="10"/>
  <c r="CM56" i="10"/>
  <c r="CI65" i="10"/>
  <c r="CN216" i="10"/>
  <c r="CH117" i="10"/>
  <c r="CM357" i="10"/>
  <c r="CM95" i="10"/>
  <c r="CM47" i="10"/>
  <c r="CG233" i="10"/>
  <c r="CN372" i="10"/>
  <c r="CN285" i="10"/>
  <c r="CG213" i="10"/>
  <c r="CH356" i="10"/>
  <c r="CH338" i="10"/>
  <c r="CH109" i="10"/>
  <c r="CO83" i="10"/>
  <c r="CN257" i="10"/>
  <c r="CM342" i="10"/>
  <c r="CO155" i="10"/>
  <c r="CH77" i="10"/>
  <c r="CH200" i="10"/>
  <c r="CM178" i="10"/>
  <c r="CI382" i="10"/>
  <c r="CH253" i="10"/>
  <c r="CM323" i="10"/>
  <c r="CN342" i="10"/>
  <c r="CI391" i="10"/>
  <c r="CI75" i="10"/>
  <c r="CH286" i="10"/>
  <c r="CM287" i="10"/>
  <c r="CN262" i="10"/>
  <c r="CO186" i="10"/>
  <c r="CH67" i="10"/>
  <c r="CG298" i="10"/>
  <c r="CI296" i="10"/>
  <c r="CO143" i="10"/>
  <c r="CN299" i="10"/>
  <c r="CN250" i="10"/>
  <c r="CM239" i="10"/>
  <c r="CM141" i="10"/>
  <c r="CI199" i="10"/>
  <c r="CI101" i="10"/>
  <c r="CI111" i="10"/>
  <c r="CG60" i="10"/>
  <c r="CI60" i="10"/>
  <c r="CI192" i="10"/>
  <c r="CO109" i="10"/>
  <c r="CO378" i="10"/>
  <c r="CI41" i="10"/>
  <c r="CH79" i="10"/>
  <c r="CM182" i="10"/>
  <c r="CN353" i="10"/>
  <c r="CH29" i="10"/>
  <c r="CO278" i="10"/>
  <c r="CI133" i="10"/>
  <c r="CG354" i="10"/>
  <c r="CI181" i="10"/>
  <c r="CI142" i="10"/>
  <c r="CN35" i="10"/>
  <c r="CG160" i="10"/>
  <c r="CG377" i="10"/>
  <c r="CH266" i="10"/>
  <c r="CG388" i="10"/>
  <c r="CG148" i="10"/>
  <c r="CN52" i="10"/>
  <c r="CG138" i="10"/>
  <c r="CH313" i="10"/>
  <c r="CO328" i="10"/>
  <c r="CG180" i="10"/>
  <c r="CH180" i="10"/>
  <c r="CG351" i="10"/>
  <c r="CM351" i="10"/>
  <c r="CI229" i="10"/>
  <c r="CI225" i="10"/>
  <c r="CN128" i="10"/>
  <c r="CI306" i="10"/>
  <c r="CO131" i="10"/>
  <c r="CN204" i="10"/>
  <c r="CO357" i="10"/>
  <c r="CG190" i="10"/>
  <c r="CG273" i="10"/>
  <c r="CH362" i="10"/>
  <c r="CN191" i="10"/>
  <c r="CH118" i="10"/>
  <c r="CH48" i="10"/>
  <c r="CG222" i="10"/>
  <c r="CO88" i="10"/>
  <c r="CN308" i="10"/>
  <c r="CO351" i="10"/>
  <c r="CO201" i="10"/>
  <c r="CM332" i="10"/>
  <c r="CI188" i="10"/>
  <c r="CH251" i="10"/>
  <c r="CO49" i="10"/>
  <c r="CM318" i="10"/>
  <c r="CI104" i="10"/>
  <c r="CM350" i="10"/>
  <c r="CM369" i="10"/>
  <c r="CG184" i="10"/>
  <c r="CG240" i="10"/>
  <c r="CN114" i="10"/>
  <c r="CM155" i="10"/>
  <c r="CG95" i="10"/>
  <c r="CH52" i="10"/>
  <c r="CM333" i="10"/>
  <c r="CO326" i="10"/>
  <c r="CO319" i="10"/>
  <c r="CH36" i="10"/>
  <c r="CH55" i="10"/>
  <c r="CI314" i="10"/>
  <c r="CI130" i="10"/>
  <c r="CM277" i="10"/>
  <c r="CI122" i="10"/>
  <c r="CH26" i="10"/>
  <c r="CO74" i="10"/>
  <c r="CG41" i="10"/>
  <c r="CM113" i="10"/>
  <c r="CN259" i="10"/>
  <c r="CG50" i="10"/>
  <c r="CN246" i="10"/>
  <c r="CM131" i="10"/>
  <c r="CK210" i="10" l="1"/>
  <c r="CL210" i="10" s="1"/>
  <c r="CR210" i="10" s="1"/>
  <c r="CT210" i="10" s="1"/>
  <c r="CV210" i="10" s="1"/>
  <c r="CP100" i="10"/>
  <c r="CK192" i="10"/>
  <c r="CL192" i="10" s="1"/>
  <c r="CR192" i="10" s="1"/>
  <c r="CT192" i="10" s="1"/>
  <c r="CV192" i="10" s="1"/>
  <c r="CK323" i="10"/>
  <c r="CL323" i="10" s="1"/>
  <c r="CR323" i="10" s="1"/>
  <c r="CT323" i="10" s="1"/>
  <c r="CV323" i="10" s="1"/>
  <c r="CP155" i="10"/>
  <c r="CP196" i="10"/>
  <c r="CK114" i="10"/>
  <c r="CL114" i="10" s="1"/>
  <c r="CR114" i="10" s="1"/>
  <c r="CT114" i="10" s="1"/>
  <c r="CV114" i="10" s="1"/>
  <c r="CP279" i="10"/>
  <c r="CK44" i="10"/>
  <c r="CL44" i="10" s="1"/>
  <c r="CR44" i="10" s="1"/>
  <c r="CT44" i="10" s="1"/>
  <c r="CV44" i="10" s="1"/>
  <c r="CP331" i="10"/>
  <c r="CP74" i="10"/>
  <c r="CK79" i="10"/>
  <c r="CL79" i="10" s="1"/>
  <c r="CR79" i="10" s="1"/>
  <c r="CT79" i="10" s="1"/>
  <c r="CV79" i="10" s="1"/>
  <c r="CK131" i="10"/>
  <c r="CL131" i="10" s="1"/>
  <c r="CR131" i="10" s="1"/>
  <c r="CT131" i="10" s="1"/>
  <c r="CV131" i="10" s="1"/>
  <c r="CP322" i="10"/>
  <c r="CP300" i="10"/>
  <c r="CK152" i="10"/>
  <c r="CL152" i="10" s="1"/>
  <c r="CR152" i="10" s="1"/>
  <c r="CT152" i="10" s="1"/>
  <c r="CV152" i="10" s="1"/>
  <c r="CK77" i="10"/>
  <c r="CL77" i="10" s="1"/>
  <c r="CR77" i="10" s="1"/>
  <c r="CT77" i="10" s="1"/>
  <c r="CV77" i="10" s="1"/>
  <c r="CP253" i="10"/>
  <c r="CK331" i="10"/>
  <c r="CL331" i="10" s="1"/>
  <c r="CR331" i="10" s="1"/>
  <c r="CT331" i="10" s="1"/>
  <c r="CV331" i="10" s="1"/>
  <c r="CP200" i="10"/>
  <c r="CP131" i="10"/>
  <c r="CP249" i="10"/>
  <c r="CK148" i="10"/>
  <c r="CL148" i="10" s="1"/>
  <c r="CR148" i="10" s="1"/>
  <c r="CT148" i="10" s="1"/>
  <c r="CV148" i="10" s="1"/>
  <c r="CP342" i="10"/>
  <c r="CP191" i="10"/>
  <c r="CP28" i="10"/>
  <c r="CK175" i="10"/>
  <c r="CL175" i="10" s="1"/>
  <c r="CR175" i="10" s="1"/>
  <c r="CT175" i="10" s="1"/>
  <c r="CV175" i="10" s="1"/>
  <c r="CP213" i="10"/>
  <c r="CP345" i="10"/>
  <c r="CK206" i="10"/>
  <c r="CL206" i="10" s="1"/>
  <c r="CR206" i="10" s="1"/>
  <c r="CT206" i="10" s="1"/>
  <c r="CV206" i="10" s="1"/>
  <c r="CK376" i="10"/>
  <c r="CL376" i="10" s="1"/>
  <c r="CR376" i="10" s="1"/>
  <c r="CT376" i="10" s="1"/>
  <c r="CV376" i="10" s="1"/>
  <c r="CP137" i="10"/>
  <c r="CP237" i="10"/>
  <c r="CP385" i="10"/>
  <c r="CK139" i="10"/>
  <c r="CL139" i="10" s="1"/>
  <c r="CR139" i="10" s="1"/>
  <c r="CT139" i="10" s="1"/>
  <c r="CV139" i="10" s="1"/>
  <c r="CP149" i="10"/>
  <c r="CK369" i="10"/>
  <c r="CL369" i="10" s="1"/>
  <c r="CR369" i="10" s="1"/>
  <c r="CT369" i="10" s="1"/>
  <c r="CV369" i="10" s="1"/>
  <c r="CP148" i="10"/>
  <c r="CP268" i="10"/>
  <c r="CK198" i="10"/>
  <c r="CL198" i="10" s="1"/>
  <c r="CR198" i="10" s="1"/>
  <c r="CT198" i="10" s="1"/>
  <c r="CV198" i="10" s="1"/>
  <c r="CK259" i="10"/>
  <c r="CL259" i="10" s="1"/>
  <c r="CR259" i="10" s="1"/>
  <c r="CT259" i="10" s="1"/>
  <c r="CV259" i="10" s="1"/>
  <c r="CK157" i="10"/>
  <c r="CL157" i="10" s="1"/>
  <c r="CR157" i="10" s="1"/>
  <c r="CT157" i="10" s="1"/>
  <c r="CV157" i="10" s="1"/>
  <c r="CK181" i="10"/>
  <c r="CL181" i="10" s="1"/>
  <c r="CR181" i="10" s="1"/>
  <c r="CT181" i="10" s="1"/>
  <c r="CV181" i="10" s="1"/>
  <c r="CP130" i="10"/>
  <c r="CP204" i="10"/>
  <c r="CP202" i="10"/>
  <c r="CP273" i="10"/>
  <c r="CP106" i="10"/>
  <c r="CP66" i="10"/>
  <c r="CP247" i="10"/>
  <c r="CK240" i="10"/>
  <c r="CL240" i="10" s="1"/>
  <c r="CR240" i="10" s="1"/>
  <c r="CT240" i="10" s="1"/>
  <c r="CV240" i="10" s="1"/>
  <c r="CK168" i="10"/>
  <c r="CL168" i="10" s="1"/>
  <c r="CR168" i="10" s="1"/>
  <c r="CT168" i="10" s="1"/>
  <c r="CV168" i="10" s="1"/>
  <c r="CK149" i="10"/>
  <c r="CL149" i="10" s="1"/>
  <c r="CR149" i="10" s="1"/>
  <c r="CT149" i="10" s="1"/>
  <c r="CV149" i="10" s="1"/>
  <c r="CK127" i="10"/>
  <c r="CL127" i="10" s="1"/>
  <c r="CR127" i="10" s="1"/>
  <c r="CT127" i="10" s="1"/>
  <c r="CV127" i="10" s="1"/>
  <c r="CP60" i="10"/>
  <c r="CK33" i="10"/>
  <c r="CL33" i="10" s="1"/>
  <c r="CR33" i="10" s="1"/>
  <c r="CT33" i="10" s="1"/>
  <c r="CV33" i="10" s="1"/>
  <c r="CK121" i="10"/>
  <c r="CL121" i="10" s="1"/>
  <c r="CR121" i="10" s="1"/>
  <c r="CT121" i="10" s="1"/>
  <c r="CV121" i="10" s="1"/>
  <c r="CP183" i="10"/>
  <c r="CK277" i="10"/>
  <c r="CL277" i="10" s="1"/>
  <c r="CR277" i="10" s="1"/>
  <c r="CT277" i="10" s="1"/>
  <c r="CV277" i="10" s="1"/>
  <c r="CK383" i="10"/>
  <c r="CL383" i="10" s="1"/>
  <c r="CR383" i="10" s="1"/>
  <c r="CT383" i="10" s="1"/>
  <c r="CV383" i="10" s="1"/>
  <c r="CP285" i="10"/>
  <c r="CP127" i="10"/>
  <c r="CK202" i="10"/>
  <c r="CL202" i="10" s="1"/>
  <c r="CR202" i="10" s="1"/>
  <c r="CT202" i="10" s="1"/>
  <c r="CV202" i="10" s="1"/>
  <c r="CK254" i="10"/>
  <c r="CL254" i="10" s="1"/>
  <c r="CR254" i="10" s="1"/>
  <c r="CT254" i="10" s="1"/>
  <c r="CV254" i="10" s="1"/>
  <c r="CK204" i="10"/>
  <c r="CL204" i="10" s="1"/>
  <c r="CR204" i="10" s="1"/>
  <c r="CT204" i="10" s="1"/>
  <c r="CV204" i="10" s="1"/>
  <c r="CK109" i="10"/>
  <c r="CL109" i="10" s="1"/>
  <c r="CR109" i="10" s="1"/>
  <c r="CT109" i="10" s="1"/>
  <c r="CV109" i="10" s="1"/>
  <c r="CK388" i="10"/>
  <c r="CL388" i="10" s="1"/>
  <c r="CR388" i="10" s="1"/>
  <c r="CT388" i="10" s="1"/>
  <c r="CV388" i="10" s="1"/>
  <c r="CP72" i="10"/>
  <c r="CK378" i="10"/>
  <c r="CL378" i="10" s="1"/>
  <c r="CR378" i="10" s="1"/>
  <c r="CT378" i="10" s="1"/>
  <c r="CV378" i="10" s="1"/>
  <c r="CK253" i="10"/>
  <c r="CL253" i="10" s="1"/>
  <c r="CR253" i="10" s="1"/>
  <c r="CT253" i="10" s="1"/>
  <c r="CV253" i="10" s="1"/>
  <c r="CK235" i="10"/>
  <c r="CL235" i="10" s="1"/>
  <c r="CR235" i="10" s="1"/>
  <c r="CT235" i="10" s="1"/>
  <c r="CV235" i="10" s="1"/>
  <c r="CK213" i="10"/>
  <c r="CL213" i="10" s="1"/>
  <c r="CR213" i="10" s="1"/>
  <c r="CT213" i="10" s="1"/>
  <c r="CV213" i="10" s="1"/>
  <c r="CP65" i="10"/>
  <c r="CK142" i="10"/>
  <c r="CL142" i="10" s="1"/>
  <c r="CR142" i="10" s="1"/>
  <c r="CT142" i="10" s="1"/>
  <c r="CV142" i="10" s="1"/>
  <c r="CP169" i="10"/>
  <c r="CK30" i="10"/>
  <c r="CL30" i="10" s="1"/>
  <c r="CR30" i="10" s="1"/>
  <c r="CT30" i="10" s="1"/>
  <c r="CV30" i="10" s="1"/>
  <c r="CP176" i="10"/>
  <c r="CK50" i="10"/>
  <c r="CL50" i="10" s="1"/>
  <c r="CR50" i="10" s="1"/>
  <c r="CT50" i="10" s="1"/>
  <c r="CV50" i="10" s="1"/>
  <c r="CK184" i="10"/>
  <c r="CL184" i="10" s="1"/>
  <c r="CR184" i="10" s="1"/>
  <c r="CT184" i="10" s="1"/>
  <c r="CV184" i="10" s="1"/>
  <c r="CP119" i="10"/>
  <c r="CP257" i="10"/>
  <c r="CK338" i="10"/>
  <c r="CL338" i="10" s="1"/>
  <c r="CR338" i="10" s="1"/>
  <c r="CT338" i="10" s="1"/>
  <c r="CV338" i="10" s="1"/>
  <c r="CP157" i="10"/>
  <c r="CP55" i="10"/>
  <c r="CK117" i="10"/>
  <c r="CL117" i="10" s="1"/>
  <c r="CR117" i="10" s="1"/>
  <c r="CT117" i="10" s="1"/>
  <c r="CV117" i="10" s="1"/>
  <c r="CP185" i="10"/>
  <c r="CK98" i="10"/>
  <c r="CL98" i="10" s="1"/>
  <c r="CR98" i="10" s="1"/>
  <c r="CT98" i="10" s="1"/>
  <c r="CV98" i="10" s="1"/>
  <c r="CK273" i="10"/>
  <c r="CL273" i="10" s="1"/>
  <c r="CR273" i="10" s="1"/>
  <c r="CT273" i="10" s="1"/>
  <c r="CV273" i="10" s="1"/>
  <c r="CK115" i="10"/>
  <c r="CL115" i="10" s="1"/>
  <c r="CR115" i="10" s="1"/>
  <c r="CT115" i="10" s="1"/>
  <c r="CV115" i="10" s="1"/>
  <c r="CP126" i="10"/>
  <c r="CK384" i="10"/>
  <c r="CL384" i="10" s="1"/>
  <c r="CR384" i="10" s="1"/>
  <c r="CT384" i="10" s="1"/>
  <c r="CV384" i="10" s="1"/>
  <c r="CK63" i="10"/>
  <c r="CL63" i="10" s="1"/>
  <c r="CR63" i="10" s="1"/>
  <c r="CT63" i="10" s="1"/>
  <c r="CV63" i="10" s="1"/>
  <c r="CK203" i="10"/>
  <c r="CL203" i="10" s="1"/>
  <c r="CR203" i="10" s="1"/>
  <c r="CT203" i="10" s="1"/>
  <c r="CV203" i="10" s="1"/>
  <c r="CP236" i="10"/>
  <c r="CP379" i="10"/>
  <c r="CP231" i="10"/>
  <c r="CK212" i="10"/>
  <c r="CL212" i="10" s="1"/>
  <c r="CR212" i="10" s="1"/>
  <c r="CT212" i="10" s="1"/>
  <c r="CV212" i="10" s="1"/>
  <c r="CP304" i="10"/>
  <c r="CP212" i="10"/>
  <c r="CK233" i="10"/>
  <c r="CL233" i="10" s="1"/>
  <c r="CR233" i="10" s="1"/>
  <c r="CT233" i="10" s="1"/>
  <c r="CV233" i="10" s="1"/>
  <c r="CK103" i="10"/>
  <c r="CL103" i="10" s="1"/>
  <c r="CR103" i="10" s="1"/>
  <c r="CT103" i="10" s="1"/>
  <c r="CV103" i="10" s="1"/>
  <c r="CP89" i="10"/>
  <c r="CP368" i="10"/>
  <c r="CP26" i="10"/>
  <c r="CK66" i="10"/>
  <c r="CL66" i="10" s="1"/>
  <c r="CR66" i="10" s="1"/>
  <c r="CT66" i="10" s="1"/>
  <c r="CV66" i="10" s="1"/>
  <c r="CK176" i="10"/>
  <c r="CL176" i="10" s="1"/>
  <c r="CR176" i="10" s="1"/>
  <c r="CT176" i="10" s="1"/>
  <c r="CV176" i="10" s="1"/>
  <c r="CP254" i="10"/>
  <c r="CK35" i="10"/>
  <c r="CL35" i="10" s="1"/>
  <c r="CR35" i="10" s="1"/>
  <c r="CT35" i="10" s="1"/>
  <c r="CV35" i="10" s="1"/>
  <c r="CK284" i="10"/>
  <c r="CL284" i="10" s="1"/>
  <c r="CR284" i="10" s="1"/>
  <c r="CT284" i="10" s="1"/>
  <c r="CV284" i="10" s="1"/>
  <c r="CP47" i="10"/>
  <c r="CK190" i="10"/>
  <c r="CL190" i="10" s="1"/>
  <c r="CR190" i="10" s="1"/>
  <c r="CT190" i="10" s="1"/>
  <c r="CV190" i="10" s="1"/>
  <c r="CP159" i="10"/>
  <c r="CP95" i="10"/>
  <c r="CP34" i="10"/>
  <c r="CK71" i="10"/>
  <c r="CL71" i="10" s="1"/>
  <c r="CR71" i="10" s="1"/>
  <c r="CT71" i="10" s="1"/>
  <c r="CV71" i="10" s="1"/>
  <c r="CP37" i="10"/>
  <c r="CK379" i="10"/>
  <c r="CL379" i="10" s="1"/>
  <c r="CR379" i="10" s="1"/>
  <c r="CT379" i="10" s="1"/>
  <c r="CV379" i="10" s="1"/>
  <c r="CP225" i="10"/>
  <c r="CP369" i="10"/>
  <c r="CK325" i="10"/>
  <c r="CL325" i="10" s="1"/>
  <c r="CR325" i="10" s="1"/>
  <c r="CT325" i="10" s="1"/>
  <c r="CV325" i="10" s="1"/>
  <c r="CP357" i="10"/>
  <c r="CP85" i="10"/>
  <c r="CK279" i="10"/>
  <c r="CL279" i="10" s="1"/>
  <c r="CR279" i="10" s="1"/>
  <c r="CT279" i="10" s="1"/>
  <c r="CV279" i="10" s="1"/>
  <c r="CK113" i="10"/>
  <c r="CL113" i="10" s="1"/>
  <c r="CR113" i="10" s="1"/>
  <c r="CT113" i="10" s="1"/>
  <c r="CV113" i="10" s="1"/>
  <c r="CK58" i="10"/>
  <c r="CL58" i="10" s="1"/>
  <c r="CR58" i="10" s="1"/>
  <c r="CT58" i="10" s="1"/>
  <c r="CV58" i="10" s="1"/>
  <c r="CP338" i="10"/>
  <c r="CP113" i="10"/>
  <c r="CK120" i="10"/>
  <c r="CL120" i="10" s="1"/>
  <c r="CR120" i="10" s="1"/>
  <c r="CT120" i="10" s="1"/>
  <c r="CV120" i="10" s="1"/>
  <c r="CP124" i="10"/>
  <c r="CP41" i="10"/>
  <c r="CK302" i="10"/>
  <c r="CL302" i="10" s="1"/>
  <c r="CR302" i="10" s="1"/>
  <c r="CT302" i="10" s="1"/>
  <c r="CV302" i="10" s="1"/>
  <c r="CP266" i="10"/>
  <c r="CK372" i="10"/>
  <c r="CL372" i="10" s="1"/>
  <c r="CR372" i="10" s="1"/>
  <c r="CT372" i="10" s="1"/>
  <c r="CV372" i="10" s="1"/>
  <c r="CK381" i="10"/>
  <c r="CL381" i="10" s="1"/>
  <c r="CR381" i="10" s="1"/>
  <c r="CT381" i="10" s="1"/>
  <c r="CV381" i="10" s="1"/>
  <c r="CK324" i="10"/>
  <c r="CL324" i="10" s="1"/>
  <c r="CR324" i="10" s="1"/>
  <c r="CT324" i="10" s="1"/>
  <c r="CV324" i="10" s="1"/>
  <c r="CP244" i="10"/>
  <c r="CP312" i="10"/>
  <c r="CK125" i="10"/>
  <c r="CL125" i="10" s="1"/>
  <c r="CR125" i="10" s="1"/>
  <c r="CT125" i="10" s="1"/>
  <c r="CV125" i="10" s="1"/>
  <c r="CP128" i="10"/>
  <c r="CK348" i="10"/>
  <c r="CL348" i="10" s="1"/>
  <c r="CR348" i="10" s="1"/>
  <c r="CT348" i="10" s="1"/>
  <c r="CV348" i="10" s="1"/>
  <c r="CK39" i="10"/>
  <c r="CL39" i="10" s="1"/>
  <c r="CR39" i="10" s="1"/>
  <c r="CT39" i="10" s="1"/>
  <c r="CV39" i="10" s="1"/>
  <c r="CK389" i="10"/>
  <c r="CL389" i="10" s="1"/>
  <c r="CR389" i="10" s="1"/>
  <c r="CT389" i="10" s="1"/>
  <c r="CV389" i="10" s="1"/>
  <c r="CP49" i="10"/>
  <c r="CP226" i="10"/>
  <c r="CP269" i="10"/>
  <c r="CK285" i="10"/>
  <c r="CL285" i="10" s="1"/>
  <c r="CR285" i="10" s="1"/>
  <c r="CT285" i="10" s="1"/>
  <c r="CV285" i="10" s="1"/>
  <c r="CP383" i="10"/>
  <c r="CP297" i="10"/>
  <c r="CK304" i="10"/>
  <c r="CL304" i="10" s="1"/>
  <c r="CR304" i="10" s="1"/>
  <c r="CT304" i="10" s="1"/>
  <c r="CV304" i="10" s="1"/>
  <c r="CK41" i="10"/>
  <c r="CL41" i="10" s="1"/>
  <c r="CR41" i="10" s="1"/>
  <c r="CT41" i="10" s="1"/>
  <c r="CV41" i="10" s="1"/>
  <c r="CK366" i="10"/>
  <c r="CL366" i="10" s="1"/>
  <c r="CR366" i="10" s="1"/>
  <c r="CT366" i="10" s="1"/>
  <c r="CV366" i="10" s="1"/>
  <c r="CK312" i="10"/>
  <c r="CL312" i="10" s="1"/>
  <c r="CR312" i="10" s="1"/>
  <c r="CT312" i="10" s="1"/>
  <c r="CV312" i="10" s="1"/>
  <c r="CK377" i="10"/>
  <c r="CL377" i="10" s="1"/>
  <c r="CR377" i="10" s="1"/>
  <c r="CT377" i="10" s="1"/>
  <c r="CV377" i="10" s="1"/>
  <c r="CP56" i="10"/>
  <c r="CK107" i="10"/>
  <c r="CL107" i="10" s="1"/>
  <c r="CR107" i="10" s="1"/>
  <c r="CT107" i="10" s="1"/>
  <c r="CV107" i="10" s="1"/>
  <c r="CP211" i="10"/>
  <c r="CP25" i="10"/>
  <c r="CK163" i="10"/>
  <c r="CL163" i="10" s="1"/>
  <c r="CR163" i="10" s="1"/>
  <c r="CT163" i="10" s="1"/>
  <c r="CV163" i="10" s="1"/>
  <c r="CK132" i="10"/>
  <c r="CL132" i="10" s="1"/>
  <c r="CR132" i="10" s="1"/>
  <c r="CT132" i="10" s="1"/>
  <c r="CV132" i="10" s="1"/>
  <c r="CK244" i="10"/>
  <c r="CL244" i="10" s="1"/>
  <c r="CR244" i="10" s="1"/>
  <c r="CT244" i="10" s="1"/>
  <c r="CV244" i="10" s="1"/>
  <c r="CP350" i="10"/>
  <c r="CK329" i="10"/>
  <c r="CL329" i="10" s="1"/>
  <c r="CR329" i="10" s="1"/>
  <c r="CT329" i="10" s="1"/>
  <c r="CV329" i="10" s="1"/>
  <c r="CP125" i="10"/>
  <c r="CK266" i="10"/>
  <c r="CL266" i="10" s="1"/>
  <c r="CR266" i="10" s="1"/>
  <c r="CT266" i="10" s="1"/>
  <c r="CV266" i="10" s="1"/>
  <c r="CP217" i="10"/>
  <c r="CP151" i="10"/>
  <c r="CK211" i="10"/>
  <c r="CL211" i="10" s="1"/>
  <c r="CR211" i="10" s="1"/>
  <c r="CT211" i="10" s="1"/>
  <c r="CV211" i="10" s="1"/>
  <c r="CK49" i="10"/>
  <c r="CL49" i="10" s="1"/>
  <c r="CR49" i="10" s="1"/>
  <c r="CT49" i="10" s="1"/>
  <c r="CV49" i="10" s="1"/>
  <c r="CK65" i="10"/>
  <c r="CL65" i="10" s="1"/>
  <c r="CR65" i="10" s="1"/>
  <c r="CT65" i="10" s="1"/>
  <c r="CV65" i="10" s="1"/>
  <c r="CK25" i="10"/>
  <c r="CL25" i="10" s="1"/>
  <c r="CR25" i="10" s="1"/>
  <c r="CT25" i="10" s="1"/>
  <c r="CV25" i="10" s="1"/>
  <c r="CP324" i="10"/>
  <c r="CK216" i="10"/>
  <c r="CL216" i="10" s="1"/>
  <c r="CR216" i="10" s="1"/>
  <c r="CT216" i="10" s="1"/>
  <c r="CV216" i="10" s="1"/>
  <c r="CK159" i="10"/>
  <c r="CL159" i="10" s="1"/>
  <c r="CR159" i="10" s="1"/>
  <c r="CT159" i="10" s="1"/>
  <c r="CV159" i="10" s="1"/>
  <c r="CP108" i="10"/>
  <c r="CK27" i="10"/>
  <c r="CL27" i="10" s="1"/>
  <c r="CR27" i="10" s="1"/>
  <c r="CT27" i="10" s="1"/>
  <c r="CV27" i="10" s="1"/>
  <c r="CK144" i="10"/>
  <c r="CL144" i="10" s="1"/>
  <c r="CR144" i="10" s="1"/>
  <c r="CT144" i="10" s="1"/>
  <c r="CV144" i="10" s="1"/>
  <c r="CK335" i="10"/>
  <c r="CL335" i="10" s="1"/>
  <c r="CR335" i="10" s="1"/>
  <c r="CT335" i="10" s="1"/>
  <c r="CV335" i="10" s="1"/>
  <c r="CP346" i="10"/>
  <c r="CK155" i="10"/>
  <c r="CL155" i="10" s="1"/>
  <c r="CR155" i="10" s="1"/>
  <c r="CT155" i="10" s="1"/>
  <c r="CV155" i="10" s="1"/>
  <c r="CP210" i="10"/>
  <c r="CP79" i="10"/>
  <c r="CK200" i="10"/>
  <c r="CL200" i="10" s="1"/>
  <c r="CR200" i="10" s="1"/>
  <c r="CT200" i="10" s="1"/>
  <c r="CV200" i="10" s="1"/>
  <c r="CP187" i="10"/>
  <c r="CP215" i="10"/>
  <c r="CP229" i="10"/>
  <c r="CK96" i="10"/>
  <c r="CL96" i="10" s="1"/>
  <c r="CR96" i="10" s="1"/>
  <c r="CT96" i="10" s="1"/>
  <c r="CV96" i="10" s="1"/>
  <c r="CK232" i="10"/>
  <c r="CL232" i="10" s="1"/>
  <c r="CR232" i="10" s="1"/>
  <c r="CT232" i="10" s="1"/>
  <c r="CV232" i="10" s="1"/>
  <c r="CK346" i="10"/>
  <c r="CL346" i="10" s="1"/>
  <c r="CR346" i="10" s="1"/>
  <c r="CT346" i="10" s="1"/>
  <c r="CV346" i="10" s="1"/>
  <c r="CK196" i="10"/>
  <c r="CL196" i="10" s="1"/>
  <c r="CR196" i="10" s="1"/>
  <c r="CT196" i="10" s="1"/>
  <c r="CV196" i="10" s="1"/>
  <c r="CK123" i="10"/>
  <c r="CL123" i="10" s="1"/>
  <c r="CR123" i="10" s="1"/>
  <c r="CT123" i="10" s="1"/>
  <c r="CV123" i="10" s="1"/>
  <c r="CK100" i="10"/>
  <c r="CL100" i="10" s="1"/>
  <c r="CR100" i="10" s="1"/>
  <c r="CT100" i="10" s="1"/>
  <c r="CV100" i="10" s="1"/>
  <c r="CP166" i="10"/>
  <c r="CK160" i="10"/>
  <c r="CL160" i="10" s="1"/>
  <c r="CR160" i="10" s="1"/>
  <c r="CT160" i="10" s="1"/>
  <c r="CV160" i="10" s="1"/>
  <c r="CP221" i="10"/>
  <c r="CP136" i="10"/>
  <c r="CP382" i="10"/>
  <c r="CK318" i="10"/>
  <c r="CL318" i="10" s="1"/>
  <c r="CR318" i="10" s="1"/>
  <c r="CT318" i="10" s="1"/>
  <c r="CV318" i="10" s="1"/>
  <c r="CK257" i="10"/>
  <c r="CL257" i="10" s="1"/>
  <c r="CR257" i="10" s="1"/>
  <c r="CT257" i="10" s="1"/>
  <c r="CV257" i="10" s="1"/>
  <c r="CP162" i="10"/>
  <c r="CK83" i="10"/>
  <c r="CL83" i="10" s="1"/>
  <c r="CR83" i="10" s="1"/>
  <c r="CT83" i="10" s="1"/>
  <c r="CV83" i="10" s="1"/>
  <c r="CP27" i="10"/>
  <c r="CK183" i="10"/>
  <c r="CL183" i="10" s="1"/>
  <c r="CR183" i="10" s="1"/>
  <c r="CT183" i="10" s="1"/>
  <c r="CV183" i="10" s="1"/>
  <c r="CP329" i="10"/>
  <c r="CP387" i="10"/>
  <c r="CK72" i="10"/>
  <c r="CL72" i="10" s="1"/>
  <c r="CR72" i="10" s="1"/>
  <c r="CT72" i="10" s="1"/>
  <c r="CV72" i="10" s="1"/>
  <c r="CK197" i="10"/>
  <c r="CL197" i="10" s="1"/>
  <c r="CR197" i="10" s="1"/>
  <c r="CT197" i="10" s="1"/>
  <c r="CV197" i="10" s="1"/>
  <c r="CP282" i="10"/>
  <c r="CP175" i="10"/>
  <c r="CP118" i="10"/>
  <c r="CP230" i="10"/>
  <c r="CP71" i="10"/>
  <c r="CP184" i="10"/>
  <c r="CK82" i="10"/>
  <c r="CL82" i="10" s="1"/>
  <c r="CR82" i="10" s="1"/>
  <c r="CT82" i="10" s="1"/>
  <c r="CV82" i="10" s="1"/>
  <c r="CK119" i="10"/>
  <c r="CL119" i="10" s="1"/>
  <c r="CR119" i="10" s="1"/>
  <c r="CT119" i="10" s="1"/>
  <c r="CV119" i="10" s="1"/>
  <c r="CP114" i="10"/>
  <c r="CP189" i="10"/>
  <c r="CK111" i="10"/>
  <c r="CL111" i="10" s="1"/>
  <c r="CR111" i="10" s="1"/>
  <c r="CT111" i="10" s="1"/>
  <c r="CV111" i="10" s="1"/>
  <c r="CK38" i="10"/>
  <c r="CL38" i="10" s="1"/>
  <c r="CR38" i="10" s="1"/>
  <c r="CT38" i="10" s="1"/>
  <c r="CV38" i="10" s="1"/>
  <c r="CP353" i="10"/>
  <c r="CP160" i="10"/>
  <c r="CK249" i="10"/>
  <c r="CL249" i="10" s="1"/>
  <c r="CR249" i="10" s="1"/>
  <c r="CT249" i="10" s="1"/>
  <c r="CV249" i="10" s="1"/>
  <c r="CK221" i="10"/>
  <c r="CL221" i="10" s="1"/>
  <c r="CR221" i="10" s="1"/>
  <c r="CT221" i="10" s="1"/>
  <c r="CV221" i="10" s="1"/>
  <c r="CK215" i="10"/>
  <c r="CL215" i="10" s="1"/>
  <c r="CR215" i="10" s="1"/>
  <c r="CT215" i="10" s="1"/>
  <c r="CV215" i="10" s="1"/>
  <c r="CK291" i="10"/>
  <c r="CL291" i="10" s="1"/>
  <c r="CR291" i="10" s="1"/>
  <c r="CT291" i="10" s="1"/>
  <c r="CV291" i="10" s="1"/>
  <c r="CK350" i="10"/>
  <c r="CL350" i="10" s="1"/>
  <c r="CR350" i="10" s="1"/>
  <c r="CT350" i="10" s="1"/>
  <c r="CV350" i="10" s="1"/>
  <c r="CP318" i="10"/>
  <c r="CP321" i="10"/>
  <c r="CK269" i="10"/>
  <c r="CL269" i="10" s="1"/>
  <c r="CR269" i="10" s="1"/>
  <c r="CT269" i="10" s="1"/>
  <c r="CV269" i="10" s="1"/>
  <c r="CK85" i="10"/>
  <c r="CL85" i="10" s="1"/>
  <c r="CR85" i="10" s="1"/>
  <c r="CT85" i="10" s="1"/>
  <c r="CV85" i="10" s="1"/>
  <c r="CP315" i="10"/>
  <c r="CP370" i="10"/>
  <c r="CK43" i="10"/>
  <c r="CL43" i="10" s="1"/>
  <c r="CR43" i="10" s="1"/>
  <c r="CT43" i="10" s="1"/>
  <c r="CV43" i="10" s="1"/>
  <c r="CK380" i="10"/>
  <c r="CL380" i="10" s="1"/>
  <c r="CR380" i="10" s="1"/>
  <c r="CT380" i="10" s="1"/>
  <c r="CV380" i="10" s="1"/>
  <c r="CP197" i="10"/>
  <c r="CP335" i="10"/>
  <c r="CK56" i="10"/>
  <c r="CL56" i="10" s="1"/>
  <c r="CR56" i="10" s="1"/>
  <c r="CT56" i="10" s="1"/>
  <c r="CV56" i="10" s="1"/>
  <c r="CK264" i="10"/>
  <c r="CL264" i="10" s="1"/>
  <c r="CR264" i="10" s="1"/>
  <c r="CT264" i="10" s="1"/>
  <c r="CV264" i="10" s="1"/>
  <c r="CK230" i="10"/>
  <c r="CL230" i="10" s="1"/>
  <c r="CR230" i="10" s="1"/>
  <c r="CT230" i="10" s="1"/>
  <c r="CV230" i="10" s="1"/>
  <c r="CK73" i="10"/>
  <c r="CL73" i="10" s="1"/>
  <c r="CR73" i="10" s="1"/>
  <c r="CT73" i="10" s="1"/>
  <c r="CV73" i="10" s="1"/>
  <c r="CP348" i="10"/>
  <c r="CK26" i="10"/>
  <c r="CL26" i="10" s="1"/>
  <c r="CR26" i="10" s="1"/>
  <c r="CT26" i="10" s="1"/>
  <c r="CV26" i="10" s="1"/>
  <c r="CK60" i="10"/>
  <c r="CL60" i="10" s="1"/>
  <c r="CR60" i="10" s="1"/>
  <c r="CT60" i="10" s="1"/>
  <c r="CV60" i="10" s="1"/>
  <c r="CK86" i="10"/>
  <c r="CL86" i="10" s="1"/>
  <c r="CR86" i="10" s="1"/>
  <c r="CT86" i="10" s="1"/>
  <c r="CV86" i="10" s="1"/>
  <c r="CK272" i="10"/>
  <c r="CL272" i="10" s="1"/>
  <c r="CR272" i="10" s="1"/>
  <c r="CT272" i="10" s="1"/>
  <c r="CV272" i="10" s="1"/>
  <c r="CP203" i="10"/>
  <c r="CP111" i="10"/>
  <c r="CP389" i="10"/>
  <c r="CP198" i="10"/>
  <c r="CP35" i="10"/>
  <c r="CK89" i="10"/>
  <c r="CL89" i="10" s="1"/>
  <c r="CR89" i="10" s="1"/>
  <c r="CT89" i="10" s="1"/>
  <c r="CV89" i="10" s="1"/>
  <c r="CP165" i="10"/>
  <c r="CP48" i="10"/>
  <c r="CK137" i="10"/>
  <c r="CL137" i="10" s="1"/>
  <c r="CR137" i="10" s="1"/>
  <c r="CT137" i="10" s="1"/>
  <c r="CV137" i="10" s="1"/>
  <c r="CP356" i="10"/>
  <c r="CK300" i="10"/>
  <c r="CL300" i="10" s="1"/>
  <c r="CR300" i="10" s="1"/>
  <c r="CT300" i="10" s="1"/>
  <c r="CV300" i="10" s="1"/>
  <c r="CP81" i="10"/>
  <c r="CP83" i="10"/>
  <c r="CK106" i="10"/>
  <c r="CL106" i="10" s="1"/>
  <c r="CR106" i="10" s="1"/>
  <c r="CT106" i="10" s="1"/>
  <c r="CV106" i="10" s="1"/>
  <c r="CK315" i="10"/>
  <c r="CL315" i="10" s="1"/>
  <c r="CR315" i="10" s="1"/>
  <c r="CT315" i="10" s="1"/>
  <c r="CV315" i="10" s="1"/>
  <c r="CK112" i="10"/>
  <c r="CL112" i="10" s="1"/>
  <c r="CR112" i="10" s="1"/>
  <c r="CT112" i="10" s="1"/>
  <c r="CV112" i="10" s="1"/>
  <c r="CK209" i="10"/>
  <c r="CL209" i="10" s="1"/>
  <c r="CR209" i="10" s="1"/>
  <c r="CT209" i="10" s="1"/>
  <c r="CV209" i="10" s="1"/>
  <c r="CP43" i="10"/>
  <c r="CP58" i="10"/>
  <c r="CP192" i="10"/>
  <c r="CK231" i="10"/>
  <c r="CL231" i="10" s="1"/>
  <c r="CR231" i="10" s="1"/>
  <c r="CT231" i="10" s="1"/>
  <c r="CV231" i="10" s="1"/>
  <c r="CP50" i="10"/>
  <c r="CK28" i="10"/>
  <c r="CL28" i="10" s="1"/>
  <c r="CR28" i="10" s="1"/>
  <c r="CT28" i="10" s="1"/>
  <c r="CV28" i="10" s="1"/>
  <c r="CK237" i="10"/>
  <c r="CL237" i="10" s="1"/>
  <c r="CR237" i="10" s="1"/>
  <c r="CT237" i="10" s="1"/>
  <c r="CV237" i="10" s="1"/>
  <c r="CK293" i="10"/>
  <c r="CL293" i="10" s="1"/>
  <c r="CR293" i="10" s="1"/>
  <c r="CT293" i="10" s="1"/>
  <c r="CV293" i="10" s="1"/>
  <c r="CK247" i="10"/>
  <c r="CL247" i="10" s="1"/>
  <c r="CR247" i="10" s="1"/>
  <c r="CT247" i="10" s="1"/>
  <c r="CV247" i="10" s="1"/>
  <c r="CP32" i="10"/>
  <c r="CK37" i="10"/>
  <c r="CL37" i="10" s="1"/>
  <c r="CR37" i="10" s="1"/>
  <c r="CT37" i="10" s="1"/>
  <c r="CV37" i="10" s="1"/>
  <c r="CP39" i="10"/>
  <c r="CP277" i="10"/>
  <c r="CK345" i="10"/>
  <c r="CL345" i="10" s="1"/>
  <c r="CR345" i="10" s="1"/>
  <c r="CT345" i="10" s="1"/>
  <c r="CV345" i="10" s="1"/>
  <c r="CK134" i="10"/>
  <c r="CL134" i="10" s="1"/>
  <c r="CR134" i="10" s="1"/>
  <c r="CT134" i="10" s="1"/>
  <c r="CV134" i="10" s="1"/>
  <c r="CP38" i="10"/>
  <c r="CP206" i="10"/>
  <c r="CP122" i="10"/>
  <c r="CK339" i="10"/>
  <c r="CL339" i="10" s="1"/>
  <c r="CR339" i="10" s="1"/>
  <c r="CT339" i="10" s="1"/>
  <c r="CV339" i="10" s="1"/>
  <c r="CK356" i="10"/>
  <c r="CL356" i="10" s="1"/>
  <c r="CR356" i="10" s="1"/>
  <c r="CT356" i="10" s="1"/>
  <c r="CV356" i="10" s="1"/>
  <c r="CK81" i="10"/>
  <c r="CL81" i="10" s="1"/>
  <c r="CR81" i="10" s="1"/>
  <c r="CT81" i="10" s="1"/>
  <c r="CV81" i="10" s="1"/>
  <c r="CP68" i="10"/>
  <c r="CP98" i="10"/>
  <c r="CP96" i="10"/>
  <c r="CP216" i="10"/>
  <c r="CP377" i="10"/>
  <c r="CK169" i="10"/>
  <c r="CL169" i="10" s="1"/>
  <c r="CR169" i="10" s="1"/>
  <c r="CT169" i="10" s="1"/>
  <c r="CV169" i="10" s="1"/>
  <c r="CK332" i="10"/>
  <c r="CL332" i="10" s="1"/>
  <c r="CR332" i="10" s="1"/>
  <c r="CT332" i="10" s="1"/>
  <c r="CV332" i="10" s="1"/>
  <c r="CP144" i="10"/>
  <c r="CK360" i="10"/>
  <c r="CL360" i="10" s="1"/>
  <c r="CR360" i="10" s="1"/>
  <c r="CT360" i="10" s="1"/>
  <c r="CV360" i="10" s="1"/>
  <c r="CK174" i="10"/>
  <c r="CL174" i="10" s="1"/>
  <c r="CR174" i="10" s="1"/>
  <c r="CT174" i="10" s="1"/>
  <c r="CV174" i="10" s="1"/>
  <c r="CK250" i="10"/>
  <c r="CL250" i="10" s="1"/>
  <c r="CR250" i="10" s="1"/>
  <c r="CT250" i="10" s="1"/>
  <c r="CV250" i="10" s="1"/>
  <c r="CK239" i="10"/>
  <c r="CL239" i="10" s="1"/>
  <c r="CR239" i="10" s="1"/>
  <c r="CT239" i="10" s="1"/>
  <c r="CV239" i="10" s="1"/>
  <c r="CP293" i="10"/>
  <c r="CP378" i="10"/>
  <c r="CP325" i="10"/>
  <c r="CK385" i="10"/>
  <c r="CL385" i="10" s="1"/>
  <c r="CR385" i="10" s="1"/>
  <c r="CT385" i="10" s="1"/>
  <c r="CV385" i="10" s="1"/>
  <c r="CP390" i="10"/>
  <c r="CK365" i="10"/>
  <c r="CL365" i="10" s="1"/>
  <c r="CR365" i="10" s="1"/>
  <c r="CT365" i="10" s="1"/>
  <c r="CV365" i="10" s="1"/>
  <c r="CP227" i="10"/>
  <c r="CK220" i="10"/>
  <c r="CL220" i="10" s="1"/>
  <c r="CR220" i="10" s="1"/>
  <c r="CT220" i="10" s="1"/>
  <c r="CV220" i="10" s="1"/>
  <c r="CP233" i="10"/>
  <c r="CP381" i="10"/>
  <c r="CK368" i="10"/>
  <c r="CL368" i="10" s="1"/>
  <c r="CR368" i="10" s="1"/>
  <c r="CT368" i="10" s="1"/>
  <c r="CV368" i="10" s="1"/>
  <c r="CK219" i="10"/>
  <c r="CL219" i="10" s="1"/>
  <c r="CR219" i="10" s="1"/>
  <c r="CT219" i="10" s="1"/>
  <c r="CV219" i="10" s="1"/>
  <c r="CP142" i="10"/>
  <c r="CK141" i="10"/>
  <c r="CL141" i="10" s="1"/>
  <c r="CR141" i="10" s="1"/>
  <c r="CT141" i="10" s="1"/>
  <c r="CV141" i="10" s="1"/>
  <c r="CP375" i="10"/>
  <c r="CK173" i="10"/>
  <c r="CL173" i="10" s="1"/>
  <c r="CR173" i="10" s="1"/>
  <c r="CT173" i="10" s="1"/>
  <c r="CV173" i="10" s="1"/>
  <c r="CP163" i="10"/>
  <c r="CP116" i="10"/>
  <c r="CP132" i="10"/>
  <c r="CK357" i="10"/>
  <c r="CL357" i="10" s="1"/>
  <c r="CR357" i="10" s="1"/>
  <c r="CT357" i="10" s="1"/>
  <c r="CV357" i="10" s="1"/>
  <c r="CP274" i="10"/>
  <c r="CP376" i="10"/>
  <c r="CP117" i="10"/>
  <c r="CP141" i="10"/>
  <c r="CK87" i="10"/>
  <c r="CL87" i="10" s="1"/>
  <c r="CR87" i="10" s="1"/>
  <c r="CT87" i="10" s="1"/>
  <c r="CV87" i="10" s="1"/>
  <c r="CK289" i="10"/>
  <c r="CL289" i="10" s="1"/>
  <c r="CR289" i="10" s="1"/>
  <c r="CT289" i="10" s="1"/>
  <c r="CV289" i="10" s="1"/>
  <c r="CP208" i="10"/>
  <c r="CK185" i="10"/>
  <c r="CL185" i="10" s="1"/>
  <c r="CR185" i="10" s="1"/>
  <c r="CT185" i="10" s="1"/>
  <c r="CV185" i="10" s="1"/>
  <c r="CK93" i="10"/>
  <c r="CL93" i="10" s="1"/>
  <c r="CR93" i="10" s="1"/>
  <c r="CT93" i="10" s="1"/>
  <c r="CV93" i="10" s="1"/>
  <c r="CK225" i="10"/>
  <c r="CL225" i="10" s="1"/>
  <c r="CR225" i="10" s="1"/>
  <c r="CT225" i="10" s="1"/>
  <c r="CV225" i="10" s="1"/>
  <c r="CP57" i="10"/>
  <c r="CK309" i="10"/>
  <c r="CL309" i="10" s="1"/>
  <c r="CR309" i="10" s="1"/>
  <c r="CT309" i="10" s="1"/>
  <c r="CV309" i="10" s="1"/>
  <c r="CK375" i="10"/>
  <c r="CL375" i="10" s="1"/>
  <c r="CR375" i="10" s="1"/>
  <c r="CT375" i="10" s="1"/>
  <c r="CV375" i="10" s="1"/>
  <c r="CP190" i="10"/>
  <c r="CP332" i="10"/>
  <c r="CP360" i="10"/>
  <c r="CK130" i="10"/>
  <c r="CL130" i="10" s="1"/>
  <c r="CR130" i="10" s="1"/>
  <c r="CT130" i="10" s="1"/>
  <c r="CV130" i="10" s="1"/>
  <c r="CP239" i="10"/>
  <c r="CK54" i="10"/>
  <c r="CL54" i="10" s="1"/>
  <c r="CR54" i="10" s="1"/>
  <c r="CT54" i="10" s="1"/>
  <c r="CV54" i="10" s="1"/>
  <c r="CK34" i="10"/>
  <c r="CL34" i="10" s="1"/>
  <c r="CR34" i="10" s="1"/>
  <c r="CT34" i="10" s="1"/>
  <c r="CV34" i="10" s="1"/>
  <c r="CP181" i="10"/>
  <c r="CP152" i="10"/>
  <c r="CP361" i="10"/>
  <c r="CP240" i="10"/>
  <c r="CP352" i="10"/>
  <c r="CP168" i="10"/>
  <c r="CK227" i="10"/>
  <c r="CL227" i="10" s="1"/>
  <c r="CR227" i="10" s="1"/>
  <c r="CT227" i="10" s="1"/>
  <c r="CV227" i="10" s="1"/>
  <c r="CP220" i="10"/>
  <c r="CK271" i="10"/>
  <c r="CL271" i="10" s="1"/>
  <c r="CR271" i="10" s="1"/>
  <c r="CT271" i="10" s="1"/>
  <c r="CV271" i="10" s="1"/>
  <c r="CP188" i="10"/>
  <c r="CK347" i="10"/>
  <c r="CL347" i="10" s="1"/>
  <c r="CR347" i="10" s="1"/>
  <c r="CT347" i="10" s="1"/>
  <c r="CV347" i="10" s="1"/>
  <c r="CP384" i="10"/>
  <c r="CP294" i="10"/>
  <c r="CP63" i="10"/>
  <c r="CK101" i="10"/>
  <c r="CL101" i="10" s="1"/>
  <c r="CR101" i="10" s="1"/>
  <c r="CT101" i="10" s="1"/>
  <c r="CV101" i="10" s="1"/>
  <c r="CK236" i="10"/>
  <c r="CL236" i="10" s="1"/>
  <c r="CR236" i="10" s="1"/>
  <c r="CT236" i="10" s="1"/>
  <c r="CV236" i="10" s="1"/>
  <c r="CP351" i="10"/>
  <c r="CK354" i="10"/>
  <c r="CL354" i="10" s="1"/>
  <c r="CR354" i="10" s="1"/>
  <c r="CT354" i="10" s="1"/>
  <c r="CV354" i="10" s="1"/>
  <c r="CP30" i="10"/>
  <c r="CP121" i="10"/>
  <c r="CK308" i="10"/>
  <c r="CL308" i="10" s="1"/>
  <c r="CR308" i="10" s="1"/>
  <c r="CT308" i="10" s="1"/>
  <c r="CV308" i="10" s="1"/>
  <c r="CP219" i="10"/>
  <c r="CP150" i="10"/>
  <c r="CK164" i="10"/>
  <c r="CL164" i="10" s="1"/>
  <c r="CR164" i="10" s="1"/>
  <c r="CT164" i="10" s="1"/>
  <c r="CV164" i="10" s="1"/>
  <c r="CK226" i="10"/>
  <c r="CL226" i="10" s="1"/>
  <c r="CR226" i="10" s="1"/>
  <c r="CT226" i="10" s="1"/>
  <c r="CV226" i="10" s="1"/>
  <c r="CK124" i="10"/>
  <c r="CL124" i="10" s="1"/>
  <c r="CR124" i="10" s="1"/>
  <c r="CT124" i="10" s="1"/>
  <c r="CV124" i="10" s="1"/>
  <c r="CK322" i="10"/>
  <c r="CL322" i="10" s="1"/>
  <c r="CR322" i="10" s="1"/>
  <c r="CT322" i="10" s="1"/>
  <c r="CV322" i="10" s="1"/>
  <c r="CP246" i="10"/>
  <c r="CK287" i="10"/>
  <c r="CL287" i="10" s="1"/>
  <c r="CR287" i="10" s="1"/>
  <c r="CT287" i="10" s="1"/>
  <c r="CV287" i="10" s="1"/>
  <c r="CP94" i="10"/>
  <c r="CK194" i="10"/>
  <c r="CL194" i="10" s="1"/>
  <c r="CR194" i="10" s="1"/>
  <c r="CT194" i="10" s="1"/>
  <c r="CV194" i="10" s="1"/>
  <c r="CK274" i="10"/>
  <c r="CL274" i="10" s="1"/>
  <c r="CR274" i="10" s="1"/>
  <c r="CT274" i="10" s="1"/>
  <c r="CV274" i="10" s="1"/>
  <c r="CK246" i="10"/>
  <c r="CL246" i="10" s="1"/>
  <c r="CR246" i="10" s="1"/>
  <c r="CT246" i="10" s="1"/>
  <c r="CV246" i="10" s="1"/>
  <c r="CP343" i="10"/>
  <c r="CK31" i="10"/>
  <c r="CL31" i="10" s="1"/>
  <c r="CR31" i="10" s="1"/>
  <c r="CT31" i="10" s="1"/>
  <c r="CV31" i="10" s="1"/>
  <c r="CK229" i="10"/>
  <c r="CL229" i="10" s="1"/>
  <c r="CR229" i="10" s="1"/>
  <c r="CT229" i="10" s="1"/>
  <c r="CV229" i="10" s="1"/>
  <c r="CP336" i="10"/>
  <c r="CK191" i="10"/>
  <c r="CL191" i="10" s="1"/>
  <c r="CR191" i="10" s="1"/>
  <c r="CT191" i="10" s="1"/>
  <c r="CV191" i="10" s="1"/>
  <c r="CK295" i="10"/>
  <c r="CL295" i="10" s="1"/>
  <c r="CR295" i="10" s="1"/>
  <c r="CT295" i="10" s="1"/>
  <c r="CV295" i="10" s="1"/>
  <c r="CP62" i="10"/>
  <c r="CP327" i="10"/>
  <c r="CP232" i="10"/>
  <c r="CK268" i="10"/>
  <c r="CL268" i="10" s="1"/>
  <c r="CR268" i="10" s="1"/>
  <c r="CT268" i="10" s="1"/>
  <c r="CV268" i="10" s="1"/>
  <c r="CP167" i="10"/>
  <c r="CP174" i="10"/>
  <c r="CK223" i="10"/>
  <c r="CL223" i="10" s="1"/>
  <c r="CR223" i="10" s="1"/>
  <c r="CT223" i="10" s="1"/>
  <c r="CV223" i="10" s="1"/>
  <c r="CP372" i="10"/>
  <c r="CK390" i="10"/>
  <c r="CL390" i="10" s="1"/>
  <c r="CR390" i="10" s="1"/>
  <c r="CT390" i="10" s="1"/>
  <c r="CV390" i="10" s="1"/>
  <c r="CK361" i="10"/>
  <c r="CL361" i="10" s="1"/>
  <c r="CR361" i="10" s="1"/>
  <c r="CT361" i="10" s="1"/>
  <c r="CV361" i="10" s="1"/>
  <c r="CP365" i="10"/>
  <c r="CK228" i="10"/>
  <c r="CL228" i="10" s="1"/>
  <c r="CR228" i="10" s="1"/>
  <c r="CT228" i="10" s="1"/>
  <c r="CV228" i="10" s="1"/>
  <c r="CK188" i="10"/>
  <c r="CL188" i="10" s="1"/>
  <c r="CR188" i="10" s="1"/>
  <c r="CT188" i="10" s="1"/>
  <c r="CV188" i="10" s="1"/>
  <c r="CP347" i="10"/>
  <c r="CK217" i="10"/>
  <c r="CL217" i="10" s="1"/>
  <c r="CR217" i="10" s="1"/>
  <c r="CT217" i="10" s="1"/>
  <c r="CV217" i="10" s="1"/>
  <c r="CK151" i="10"/>
  <c r="CL151" i="10" s="1"/>
  <c r="CR151" i="10" s="1"/>
  <c r="CT151" i="10" s="1"/>
  <c r="CV151" i="10" s="1"/>
  <c r="CP88" i="10"/>
  <c r="CP33" i="10"/>
  <c r="CP123" i="10"/>
  <c r="CK351" i="10"/>
  <c r="CL351" i="10" s="1"/>
  <c r="CR351" i="10" s="1"/>
  <c r="CT351" i="10" s="1"/>
  <c r="CV351" i="10" s="1"/>
  <c r="CP275" i="10"/>
  <c r="CP308" i="10"/>
  <c r="CP296" i="10"/>
  <c r="CK150" i="10"/>
  <c r="CL150" i="10" s="1"/>
  <c r="CR150" i="10" s="1"/>
  <c r="CT150" i="10" s="1"/>
  <c r="CV150" i="10" s="1"/>
  <c r="CP374" i="10"/>
  <c r="CP173" i="10"/>
  <c r="CK161" i="10"/>
  <c r="CL161" i="10" s="1"/>
  <c r="CR161" i="10" s="1"/>
  <c r="CT161" i="10" s="1"/>
  <c r="CV161" i="10" s="1"/>
  <c r="CP366" i="10"/>
  <c r="CK94" i="10"/>
  <c r="CL94" i="10" s="1"/>
  <c r="CR94" i="10" s="1"/>
  <c r="CT94" i="10" s="1"/>
  <c r="CV94" i="10" s="1"/>
  <c r="CK116" i="10"/>
  <c r="CL116" i="10" s="1"/>
  <c r="CR116" i="10" s="1"/>
  <c r="CT116" i="10" s="1"/>
  <c r="CV116" i="10" s="1"/>
  <c r="CK177" i="10"/>
  <c r="CL177" i="10" s="1"/>
  <c r="CR177" i="10" s="1"/>
  <c r="CT177" i="10" s="1"/>
  <c r="CV177" i="10" s="1"/>
  <c r="CK55" i="10"/>
  <c r="CL55" i="10" s="1"/>
  <c r="CR55" i="10" s="1"/>
  <c r="CT55" i="10" s="1"/>
  <c r="CV55" i="10" s="1"/>
  <c r="CK99" i="10"/>
  <c r="CL99" i="10" s="1"/>
  <c r="CR99" i="10" s="1"/>
  <c r="CT99" i="10" s="1"/>
  <c r="CV99" i="10" s="1"/>
  <c r="CP388" i="10"/>
  <c r="CK301" i="10"/>
  <c r="CL301" i="10" s="1"/>
  <c r="CR301" i="10" s="1"/>
  <c r="CT301" i="10" s="1"/>
  <c r="CV301" i="10" s="1"/>
  <c r="CK187" i="10"/>
  <c r="CL187" i="10" s="1"/>
  <c r="CR187" i="10" s="1"/>
  <c r="CT187" i="10" s="1"/>
  <c r="CV187" i="10" s="1"/>
  <c r="CP143" i="10"/>
  <c r="CP280" i="10"/>
  <c r="CK355" i="10"/>
  <c r="CL355" i="10" s="1"/>
  <c r="CR355" i="10" s="1"/>
  <c r="CT355" i="10" s="1"/>
  <c r="CV355" i="10" s="1"/>
  <c r="CK42" i="10"/>
  <c r="CL42" i="10" s="1"/>
  <c r="CR42" i="10" s="1"/>
  <c r="CT42" i="10" s="1"/>
  <c r="CV42" i="10" s="1"/>
  <c r="CK57" i="10"/>
  <c r="CL57" i="10" s="1"/>
  <c r="CR57" i="10" s="1"/>
  <c r="CT57" i="10" s="1"/>
  <c r="CV57" i="10" s="1"/>
  <c r="CP302" i="10"/>
  <c r="CK242" i="10"/>
  <c r="CL242" i="10" s="1"/>
  <c r="CR242" i="10" s="1"/>
  <c r="CT242" i="10" s="1"/>
  <c r="CV242" i="10" s="1"/>
  <c r="CK92" i="10"/>
  <c r="CL92" i="10" s="1"/>
  <c r="CR92" i="10" s="1"/>
  <c r="CT92" i="10" s="1"/>
  <c r="CV92" i="10" s="1"/>
  <c r="CK327" i="10"/>
  <c r="CL327" i="10" s="1"/>
  <c r="CR327" i="10" s="1"/>
  <c r="CT327" i="10" s="1"/>
  <c r="CV327" i="10" s="1"/>
  <c r="CP180" i="10"/>
  <c r="CP262" i="10"/>
  <c r="CP250" i="10"/>
  <c r="CK158" i="10"/>
  <c r="CL158" i="10" s="1"/>
  <c r="CR158" i="10" s="1"/>
  <c r="CT158" i="10" s="1"/>
  <c r="CV158" i="10" s="1"/>
  <c r="CK267" i="10"/>
  <c r="CL267" i="10" s="1"/>
  <c r="CR267" i="10" s="1"/>
  <c r="CT267" i="10" s="1"/>
  <c r="CV267" i="10" s="1"/>
  <c r="CP228" i="10"/>
  <c r="CK344" i="10"/>
  <c r="CL344" i="10" s="1"/>
  <c r="CR344" i="10" s="1"/>
  <c r="CT344" i="10" s="1"/>
  <c r="CV344" i="10" s="1"/>
  <c r="CK88" i="10"/>
  <c r="CL88" i="10" s="1"/>
  <c r="CR88" i="10" s="1"/>
  <c r="CT88" i="10" s="1"/>
  <c r="CV88" i="10" s="1"/>
  <c r="CP354" i="10"/>
  <c r="CK275" i="10"/>
  <c r="CL275" i="10" s="1"/>
  <c r="CR275" i="10" s="1"/>
  <c r="CT275" i="10" s="1"/>
  <c r="CV275" i="10" s="1"/>
  <c r="CP77" i="10"/>
  <c r="CP355" i="10"/>
  <c r="CP295" i="10"/>
  <c r="CP242" i="10"/>
  <c r="CP154" i="10"/>
  <c r="CP115" i="10"/>
  <c r="CK167" i="10"/>
  <c r="CL167" i="10" s="1"/>
  <c r="CR167" i="10" s="1"/>
  <c r="CT167" i="10" s="1"/>
  <c r="CV167" i="10" s="1"/>
  <c r="CK67" i="10"/>
  <c r="CL67" i="10" s="1"/>
  <c r="CR67" i="10" s="1"/>
  <c r="CT67" i="10" s="1"/>
  <c r="CV67" i="10" s="1"/>
  <c r="CP310" i="10"/>
  <c r="CP54" i="10"/>
  <c r="CP278" i="10"/>
  <c r="CP223" i="10"/>
  <c r="CK193" i="10"/>
  <c r="CL193" i="10" s="1"/>
  <c r="CR193" i="10" s="1"/>
  <c r="CT193" i="10" s="1"/>
  <c r="CV193" i="10" s="1"/>
  <c r="CK352" i="10"/>
  <c r="CL352" i="10" s="1"/>
  <c r="CR352" i="10" s="1"/>
  <c r="CT352" i="10" s="1"/>
  <c r="CV352" i="10" s="1"/>
  <c r="CP258" i="10"/>
  <c r="CP107" i="10"/>
  <c r="CK367" i="10"/>
  <c r="CL367" i="10" s="1"/>
  <c r="CR367" i="10" s="1"/>
  <c r="CT367" i="10" s="1"/>
  <c r="CV367" i="10" s="1"/>
  <c r="CK46" i="10"/>
  <c r="CL46" i="10" s="1"/>
  <c r="CR46" i="10" s="1"/>
  <c r="CT46" i="10" s="1"/>
  <c r="CV46" i="10" s="1"/>
  <c r="CK171" i="10"/>
  <c r="CL171" i="10" s="1"/>
  <c r="CR171" i="10" s="1"/>
  <c r="CT171" i="10" s="1"/>
  <c r="CV171" i="10" s="1"/>
  <c r="CK243" i="10"/>
  <c r="CL243" i="10" s="1"/>
  <c r="CR243" i="10" s="1"/>
  <c r="CT243" i="10" s="1"/>
  <c r="CV243" i="10" s="1"/>
  <c r="CP256" i="10"/>
  <c r="CK90" i="10"/>
  <c r="CL90" i="10" s="1"/>
  <c r="CR90" i="10" s="1"/>
  <c r="CT90" i="10" s="1"/>
  <c r="CV90" i="10" s="1"/>
  <c r="CK391" i="10"/>
  <c r="CL391" i="10" s="1"/>
  <c r="CR391" i="10" s="1"/>
  <c r="CT391" i="10" s="1"/>
  <c r="CV391" i="10" s="1"/>
  <c r="CP199" i="10"/>
  <c r="CK261" i="10"/>
  <c r="CL261" i="10" s="1"/>
  <c r="CR261" i="10" s="1"/>
  <c r="CT261" i="10" s="1"/>
  <c r="CV261" i="10" s="1"/>
  <c r="CP91" i="10"/>
  <c r="CP87" i="10"/>
  <c r="CK208" i="10"/>
  <c r="CL208" i="10" s="1"/>
  <c r="CR208" i="10" s="1"/>
  <c r="CT208" i="10" s="1"/>
  <c r="CV208" i="10" s="1"/>
  <c r="CK270" i="10"/>
  <c r="CL270" i="10" s="1"/>
  <c r="CR270" i="10" s="1"/>
  <c r="CT270" i="10" s="1"/>
  <c r="CV270" i="10" s="1"/>
  <c r="CP234" i="10"/>
  <c r="CP105" i="10"/>
  <c r="CP64" i="10"/>
  <c r="CK199" i="10"/>
  <c r="CL199" i="10" s="1"/>
  <c r="CR199" i="10" s="1"/>
  <c r="CT199" i="10" s="1"/>
  <c r="CV199" i="10" s="1"/>
  <c r="CP22" i="10"/>
  <c r="CP364" i="10"/>
  <c r="CK110" i="10"/>
  <c r="CL110" i="10" s="1"/>
  <c r="CR110" i="10" s="1"/>
  <c r="CT110" i="10" s="1"/>
  <c r="CV110" i="10" s="1"/>
  <c r="CP52" i="10"/>
  <c r="CP241" i="10"/>
  <c r="CP84" i="10"/>
  <c r="CK281" i="10"/>
  <c r="CL281" i="10" s="1"/>
  <c r="CR281" i="10" s="1"/>
  <c r="CT281" i="10" s="1"/>
  <c r="CV281" i="10" s="1"/>
  <c r="CP301" i="10"/>
  <c r="CK97" i="10"/>
  <c r="CL97" i="10" s="1"/>
  <c r="CR97" i="10" s="1"/>
  <c r="CT97" i="10" s="1"/>
  <c r="CV97" i="10" s="1"/>
  <c r="CK286" i="10"/>
  <c r="CL286" i="10" s="1"/>
  <c r="CR286" i="10" s="1"/>
  <c r="CT286" i="10" s="1"/>
  <c r="CV286" i="10" s="1"/>
  <c r="CP298" i="10"/>
  <c r="CP314" i="10"/>
  <c r="CK292" i="10"/>
  <c r="CL292" i="10" s="1"/>
  <c r="CR292" i="10" s="1"/>
  <c r="CT292" i="10" s="1"/>
  <c r="CV292" i="10" s="1"/>
  <c r="CK280" i="10"/>
  <c r="CL280" i="10" s="1"/>
  <c r="CR280" i="10" s="1"/>
  <c r="CT280" i="10" s="1"/>
  <c r="CV280" i="10" s="1"/>
  <c r="CK283" i="10"/>
  <c r="CL283" i="10" s="1"/>
  <c r="CR283" i="10" s="1"/>
  <c r="CT283" i="10" s="1"/>
  <c r="CV283" i="10" s="1"/>
  <c r="CK133" i="10"/>
  <c r="CL133" i="10" s="1"/>
  <c r="CR133" i="10" s="1"/>
  <c r="CT133" i="10" s="1"/>
  <c r="CV133" i="10" s="1"/>
  <c r="CP93" i="10"/>
  <c r="CP341" i="10"/>
  <c r="CK265" i="10"/>
  <c r="CL265" i="10" s="1"/>
  <c r="CR265" i="10" s="1"/>
  <c r="CT265" i="10" s="1"/>
  <c r="CV265" i="10" s="1"/>
  <c r="CP309" i="10"/>
  <c r="CK62" i="10"/>
  <c r="CL62" i="10" s="1"/>
  <c r="CR62" i="10" s="1"/>
  <c r="CT62" i="10" s="1"/>
  <c r="CV62" i="10" s="1"/>
  <c r="CK180" i="10"/>
  <c r="CL180" i="10" s="1"/>
  <c r="CR180" i="10" s="1"/>
  <c r="CT180" i="10" s="1"/>
  <c r="CV180" i="10" s="1"/>
  <c r="CP263" i="10"/>
  <c r="CK262" i="10"/>
  <c r="CL262" i="10" s="1"/>
  <c r="CR262" i="10" s="1"/>
  <c r="CT262" i="10" s="1"/>
  <c r="CV262" i="10" s="1"/>
  <c r="CK170" i="10"/>
  <c r="CL170" i="10" s="1"/>
  <c r="CR170" i="10" s="1"/>
  <c r="CT170" i="10" s="1"/>
  <c r="CV170" i="10" s="1"/>
  <c r="CK75" i="10"/>
  <c r="CL75" i="10" s="1"/>
  <c r="CR75" i="10" s="1"/>
  <c r="CT75" i="10" s="1"/>
  <c r="CV75" i="10" s="1"/>
  <c r="CP102" i="10"/>
  <c r="CP193" i="10"/>
  <c r="CP248" i="10"/>
  <c r="CK311" i="10"/>
  <c r="CL311" i="10" s="1"/>
  <c r="CR311" i="10" s="1"/>
  <c r="CT311" i="10" s="1"/>
  <c r="CV311" i="10" s="1"/>
  <c r="CK303" i="10"/>
  <c r="CL303" i="10" s="1"/>
  <c r="CR303" i="10" s="1"/>
  <c r="CT303" i="10" s="1"/>
  <c r="CV303" i="10" s="1"/>
  <c r="CP205" i="10"/>
  <c r="CK258" i="10"/>
  <c r="CL258" i="10" s="1"/>
  <c r="CR258" i="10" s="1"/>
  <c r="CT258" i="10" s="1"/>
  <c r="CV258" i="10" s="1"/>
  <c r="CP367" i="10"/>
  <c r="CP46" i="10"/>
  <c r="CP53" i="10"/>
  <c r="CK294" i="10"/>
  <c r="CL294" i="10" s="1"/>
  <c r="CR294" i="10" s="1"/>
  <c r="CT294" i="10" s="1"/>
  <c r="CV294" i="10" s="1"/>
  <c r="CP101" i="10"/>
  <c r="CK179" i="10"/>
  <c r="CL179" i="10" s="1"/>
  <c r="CR179" i="10" s="1"/>
  <c r="CT179" i="10" s="1"/>
  <c r="CV179" i="10" s="1"/>
  <c r="CP319" i="10"/>
  <c r="CP214" i="10"/>
  <c r="CK340" i="10"/>
  <c r="CL340" i="10" s="1"/>
  <c r="CR340" i="10" s="1"/>
  <c r="CT340" i="10" s="1"/>
  <c r="CV340" i="10" s="1"/>
  <c r="CP238" i="10"/>
  <c r="CP177" i="10"/>
  <c r="CP286" i="10"/>
  <c r="CK36" i="10"/>
  <c r="CL36" i="10" s="1"/>
  <c r="CR36" i="10" s="1"/>
  <c r="CT36" i="10" s="1"/>
  <c r="CV36" i="10" s="1"/>
  <c r="CP283" i="10"/>
  <c r="CP289" i="10"/>
  <c r="CP31" i="10"/>
  <c r="CK68" i="10"/>
  <c r="CL68" i="10" s="1"/>
  <c r="CR68" i="10" s="1"/>
  <c r="CT68" i="10" s="1"/>
  <c r="CV68" i="10" s="1"/>
  <c r="CK317" i="10"/>
  <c r="CL317" i="10" s="1"/>
  <c r="CR317" i="10" s="1"/>
  <c r="CT317" i="10" s="1"/>
  <c r="CV317" i="10" s="1"/>
  <c r="CP92" i="10"/>
  <c r="CP120" i="10"/>
  <c r="CK29" i="10"/>
  <c r="CL29" i="10" s="1"/>
  <c r="CR29" i="10" s="1"/>
  <c r="CT29" i="10" s="1"/>
  <c r="CV29" i="10" s="1"/>
  <c r="CK238" i="10"/>
  <c r="CL238" i="10" s="1"/>
  <c r="CR238" i="10" s="1"/>
  <c r="CT238" i="10" s="1"/>
  <c r="CV238" i="10" s="1"/>
  <c r="CP334" i="10"/>
  <c r="CK364" i="10"/>
  <c r="CL364" i="10" s="1"/>
  <c r="CR364" i="10" s="1"/>
  <c r="CT364" i="10" s="1"/>
  <c r="CV364" i="10" s="1"/>
  <c r="CP110" i="10"/>
  <c r="CK241" i="10"/>
  <c r="CL241" i="10" s="1"/>
  <c r="CR241" i="10" s="1"/>
  <c r="CT241" i="10" s="1"/>
  <c r="CV241" i="10" s="1"/>
  <c r="CP281" i="10"/>
  <c r="CP261" i="10"/>
  <c r="CP99" i="10"/>
  <c r="CP194" i="10"/>
  <c r="CK298" i="10"/>
  <c r="CL298" i="10" s="1"/>
  <c r="CR298" i="10" s="1"/>
  <c r="CT298" i="10" s="1"/>
  <c r="CV298" i="10" s="1"/>
  <c r="CP146" i="10"/>
  <c r="CK143" i="10"/>
  <c r="CL143" i="10" s="1"/>
  <c r="CR143" i="10" s="1"/>
  <c r="CT143" i="10" s="1"/>
  <c r="CV143" i="10" s="1"/>
  <c r="CK314" i="10"/>
  <c r="CL314" i="10" s="1"/>
  <c r="CR314" i="10" s="1"/>
  <c r="CT314" i="10" s="1"/>
  <c r="CV314" i="10" s="1"/>
  <c r="CP292" i="10"/>
  <c r="CK91" i="10"/>
  <c r="CL91" i="10" s="1"/>
  <c r="CR91" i="10" s="1"/>
  <c r="CT91" i="10" s="1"/>
  <c r="CV91" i="10" s="1"/>
  <c r="CK23" i="10"/>
  <c r="CL23" i="10" s="1"/>
  <c r="CR23" i="10" s="1"/>
  <c r="CT23" i="10" s="1"/>
  <c r="CV23" i="10" s="1"/>
  <c r="CK260" i="10"/>
  <c r="CL260" i="10" s="1"/>
  <c r="CR260" i="10" s="1"/>
  <c r="CT260" i="10" s="1"/>
  <c r="CV260" i="10" s="1"/>
  <c r="CK373" i="10"/>
  <c r="CL373" i="10" s="1"/>
  <c r="CR373" i="10" s="1"/>
  <c r="CT373" i="10" s="1"/>
  <c r="CV373" i="10" s="1"/>
  <c r="CK336" i="10"/>
  <c r="CL336" i="10" s="1"/>
  <c r="CR336" i="10" s="1"/>
  <c r="CT336" i="10" s="1"/>
  <c r="CV336" i="10" s="1"/>
  <c r="CK201" i="10"/>
  <c r="CL201" i="10" s="1"/>
  <c r="CR201" i="10" s="1"/>
  <c r="CT201" i="10" s="1"/>
  <c r="CV201" i="10" s="1"/>
  <c r="CP133" i="10"/>
  <c r="CK299" i="10"/>
  <c r="CL299" i="10" s="1"/>
  <c r="CR299" i="10" s="1"/>
  <c r="CT299" i="10" s="1"/>
  <c r="CV299" i="10" s="1"/>
  <c r="CP270" i="10"/>
  <c r="CP317" i="10"/>
  <c r="CP42" i="10"/>
  <c r="CK234" i="10"/>
  <c r="CL234" i="10" s="1"/>
  <c r="CR234" i="10" s="1"/>
  <c r="CT234" i="10" s="1"/>
  <c r="CV234" i="10" s="1"/>
  <c r="CP265" i="10"/>
  <c r="CK61" i="10"/>
  <c r="CL61" i="10" s="1"/>
  <c r="CR61" i="10" s="1"/>
  <c r="CT61" i="10" s="1"/>
  <c r="CV61" i="10" s="1"/>
  <c r="CK154" i="10"/>
  <c r="CL154" i="10" s="1"/>
  <c r="CR154" i="10" s="1"/>
  <c r="CT154" i="10" s="1"/>
  <c r="CV154" i="10" s="1"/>
  <c r="CK80" i="10"/>
  <c r="CL80" i="10" s="1"/>
  <c r="CR80" i="10" s="1"/>
  <c r="CT80" i="10" s="1"/>
  <c r="CV80" i="10" s="1"/>
  <c r="CK310" i="10"/>
  <c r="CL310" i="10" s="1"/>
  <c r="CR310" i="10" s="1"/>
  <c r="CT310" i="10" s="1"/>
  <c r="CV310" i="10" s="1"/>
  <c r="CK363" i="10"/>
  <c r="CL363" i="10" s="1"/>
  <c r="CR363" i="10" s="1"/>
  <c r="CT363" i="10" s="1"/>
  <c r="CV363" i="10" s="1"/>
  <c r="CK248" i="10"/>
  <c r="CL248" i="10" s="1"/>
  <c r="CR248" i="10" s="1"/>
  <c r="CT248" i="10" s="1"/>
  <c r="CV248" i="10" s="1"/>
  <c r="CP311" i="10"/>
  <c r="CP218" i="10"/>
  <c r="CK64" i="10"/>
  <c r="CL64" i="10" s="1"/>
  <c r="CR64" i="10" s="1"/>
  <c r="CT64" i="10" s="1"/>
  <c r="CV64" i="10" s="1"/>
  <c r="CK70" i="10"/>
  <c r="CL70" i="10" s="1"/>
  <c r="CR70" i="10" s="1"/>
  <c r="CT70" i="10" s="1"/>
  <c r="CV70" i="10" s="1"/>
  <c r="CP172" i="10"/>
  <c r="CP271" i="10"/>
  <c r="CP243" i="10"/>
  <c r="CP333" i="10"/>
  <c r="CK326" i="10"/>
  <c r="CL326" i="10" s="1"/>
  <c r="CR326" i="10" s="1"/>
  <c r="CT326" i="10" s="1"/>
  <c r="CV326" i="10" s="1"/>
  <c r="CP51" i="10"/>
  <c r="CP179" i="10"/>
  <c r="CP391" i="10"/>
  <c r="CP164" i="10"/>
  <c r="CK374" i="10"/>
  <c r="CL374" i="10" s="1"/>
  <c r="CR374" i="10" s="1"/>
  <c r="CT374" i="10" s="1"/>
  <c r="CV374" i="10" s="1"/>
  <c r="CK145" i="10"/>
  <c r="CL145" i="10" s="1"/>
  <c r="CR145" i="10" s="1"/>
  <c r="CT145" i="10" s="1"/>
  <c r="CV145" i="10" s="1"/>
  <c r="CK349" i="10"/>
  <c r="CL349" i="10" s="1"/>
  <c r="CR349" i="10" s="1"/>
  <c r="CT349" i="10" s="1"/>
  <c r="CV349" i="10" s="1"/>
  <c r="CP36" i="10"/>
  <c r="CK252" i="10"/>
  <c r="CL252" i="10" s="1"/>
  <c r="CR252" i="10" s="1"/>
  <c r="CT252" i="10" s="1"/>
  <c r="CV252" i="10" s="1"/>
  <c r="CP201" i="10"/>
  <c r="CK382" i="10"/>
  <c r="CL382" i="10" s="1"/>
  <c r="CR382" i="10" s="1"/>
  <c r="CT382" i="10" s="1"/>
  <c r="CV382" i="10" s="1"/>
  <c r="CP299" i="10"/>
  <c r="CK69" i="10"/>
  <c r="CL69" i="10" s="1"/>
  <c r="CR69" i="10" s="1"/>
  <c r="CT69" i="10" s="1"/>
  <c r="CV69" i="10" s="1"/>
  <c r="CK387" i="10"/>
  <c r="CL387" i="10" s="1"/>
  <c r="CR387" i="10" s="1"/>
  <c r="CT387" i="10" s="1"/>
  <c r="CV387" i="10" s="1"/>
  <c r="CK370" i="10"/>
  <c r="CL370" i="10" s="1"/>
  <c r="CR370" i="10" s="1"/>
  <c r="CT370" i="10" s="1"/>
  <c r="CV370" i="10" s="1"/>
  <c r="CP328" i="10"/>
  <c r="CP380" i="10"/>
  <c r="CP386" i="10"/>
  <c r="CK59" i="10"/>
  <c r="CL59" i="10" s="1"/>
  <c r="CR59" i="10" s="1"/>
  <c r="CT59" i="10" s="1"/>
  <c r="CV59" i="10" s="1"/>
  <c r="CK102" i="10"/>
  <c r="CL102" i="10" s="1"/>
  <c r="CR102" i="10" s="1"/>
  <c r="CT102" i="10" s="1"/>
  <c r="CV102" i="10" s="1"/>
  <c r="CP158" i="10"/>
  <c r="CK135" i="10"/>
  <c r="CL135" i="10" s="1"/>
  <c r="CR135" i="10" s="1"/>
  <c r="CT135" i="10" s="1"/>
  <c r="CV135" i="10" s="1"/>
  <c r="CP307" i="10"/>
  <c r="CK330" i="10"/>
  <c r="CL330" i="10" s="1"/>
  <c r="CR330" i="10" s="1"/>
  <c r="CT330" i="10" s="1"/>
  <c r="CV330" i="10" s="1"/>
  <c r="CP303" i="10"/>
  <c r="CP267" i="10"/>
  <c r="CK205" i="10"/>
  <c r="CL205" i="10" s="1"/>
  <c r="CR205" i="10" s="1"/>
  <c r="CT205" i="10" s="1"/>
  <c r="CV205" i="10" s="1"/>
  <c r="CP147" i="10"/>
  <c r="CK172" i="10"/>
  <c r="CL172" i="10" s="1"/>
  <c r="CR172" i="10" s="1"/>
  <c r="CT172" i="10" s="1"/>
  <c r="CV172" i="10" s="1"/>
  <c r="CP24" i="10"/>
  <c r="CP171" i="10"/>
  <c r="CK51" i="10"/>
  <c r="CL51" i="10" s="1"/>
  <c r="CR51" i="10" s="1"/>
  <c r="CT51" i="10" s="1"/>
  <c r="CV51" i="10" s="1"/>
  <c r="CK319" i="10"/>
  <c r="CL319" i="10" s="1"/>
  <c r="CR319" i="10" s="1"/>
  <c r="CT319" i="10" s="1"/>
  <c r="CV319" i="10" s="1"/>
  <c r="CP90" i="10"/>
  <c r="CP340" i="10"/>
  <c r="CP186" i="10"/>
  <c r="CK296" i="10"/>
  <c r="CL296" i="10" s="1"/>
  <c r="CR296" i="10" s="1"/>
  <c r="CT296" i="10" s="1"/>
  <c r="CV296" i="10" s="1"/>
  <c r="CP287" i="10"/>
  <c r="CK84" i="10"/>
  <c r="CL84" i="10" s="1"/>
  <c r="CR84" i="10" s="1"/>
  <c r="CT84" i="10" s="1"/>
  <c r="CV84" i="10" s="1"/>
  <c r="CP45" i="10"/>
  <c r="CP222" i="10"/>
  <c r="CK195" i="10"/>
  <c r="CL195" i="10" s="1"/>
  <c r="CR195" i="10" s="1"/>
  <c r="CT195" i="10" s="1"/>
  <c r="CV195" i="10" s="1"/>
  <c r="CK166" i="10"/>
  <c r="CL166" i="10" s="1"/>
  <c r="CR166" i="10" s="1"/>
  <c r="CT166" i="10" s="1"/>
  <c r="CV166" i="10" s="1"/>
  <c r="CK343" i="10"/>
  <c r="CL343" i="10" s="1"/>
  <c r="CR343" i="10" s="1"/>
  <c r="CT343" i="10" s="1"/>
  <c r="CV343" i="10" s="1"/>
  <c r="CK276" i="10"/>
  <c r="CL276" i="10" s="1"/>
  <c r="CR276" i="10" s="1"/>
  <c r="CT276" i="10" s="1"/>
  <c r="CV276" i="10" s="1"/>
  <c r="CK105" i="10"/>
  <c r="CL105" i="10" s="1"/>
  <c r="CR105" i="10" s="1"/>
  <c r="CT105" i="10" s="1"/>
  <c r="CV105" i="10" s="1"/>
  <c r="CP284" i="10"/>
  <c r="CK108" i="10"/>
  <c r="CL108" i="10" s="1"/>
  <c r="CR108" i="10" s="1"/>
  <c r="CT108" i="10" s="1"/>
  <c r="CV108" i="10" s="1"/>
  <c r="CK334" i="10"/>
  <c r="CL334" i="10" s="1"/>
  <c r="CR334" i="10" s="1"/>
  <c r="CT334" i="10" s="1"/>
  <c r="CV334" i="10" s="1"/>
  <c r="CP305" i="10"/>
  <c r="CK362" i="10"/>
  <c r="CL362" i="10" s="1"/>
  <c r="CR362" i="10" s="1"/>
  <c r="CT362" i="10" s="1"/>
  <c r="CV362" i="10" s="1"/>
  <c r="CP145" i="10"/>
  <c r="CK222" i="10"/>
  <c r="CL222" i="10" s="1"/>
  <c r="CR222" i="10" s="1"/>
  <c r="CT222" i="10" s="1"/>
  <c r="CV222" i="10" s="1"/>
  <c r="CP195" i="10"/>
  <c r="CP349" i="10"/>
  <c r="CK78" i="10"/>
  <c r="CL78" i="10" s="1"/>
  <c r="CR78" i="10" s="1"/>
  <c r="CT78" i="10" s="1"/>
  <c r="CV78" i="10" s="1"/>
  <c r="CK288" i="10"/>
  <c r="CL288" i="10" s="1"/>
  <c r="CR288" i="10" s="1"/>
  <c r="CT288" i="10" s="1"/>
  <c r="CV288" i="10" s="1"/>
  <c r="CK165" i="10"/>
  <c r="CL165" i="10" s="1"/>
  <c r="CR165" i="10" s="1"/>
  <c r="CT165" i="10" s="1"/>
  <c r="CV165" i="10" s="1"/>
  <c r="CP23" i="10"/>
  <c r="CP320" i="10"/>
  <c r="CP260" i="10"/>
  <c r="CP337" i="10"/>
  <c r="CP276" i="10"/>
  <c r="CP291" i="10"/>
  <c r="CP373" i="10"/>
  <c r="CK136" i="10"/>
  <c r="CL136" i="10" s="1"/>
  <c r="CR136" i="10" s="1"/>
  <c r="CT136" i="10" s="1"/>
  <c r="CV136" i="10" s="1"/>
  <c r="CK245" i="10"/>
  <c r="CL245" i="10" s="1"/>
  <c r="CR245" i="10" s="1"/>
  <c r="CT245" i="10" s="1"/>
  <c r="CV245" i="10" s="1"/>
  <c r="CK162" i="10"/>
  <c r="CL162" i="10" s="1"/>
  <c r="CR162" i="10" s="1"/>
  <c r="CT162" i="10" s="1"/>
  <c r="CV162" i="10" s="1"/>
  <c r="CP153" i="10"/>
  <c r="CK341" i="10"/>
  <c r="CL341" i="10" s="1"/>
  <c r="CR341" i="10" s="1"/>
  <c r="CT341" i="10" s="1"/>
  <c r="CV341" i="10" s="1"/>
  <c r="CP358" i="10"/>
  <c r="CK255" i="10"/>
  <c r="CL255" i="10" s="1"/>
  <c r="CR255" i="10" s="1"/>
  <c r="CT255" i="10" s="1"/>
  <c r="CV255" i="10" s="1"/>
  <c r="CP61" i="10"/>
  <c r="CP316" i="10"/>
  <c r="CP359" i="10"/>
  <c r="CK328" i="10"/>
  <c r="CL328" i="10" s="1"/>
  <c r="CR328" i="10" s="1"/>
  <c r="CT328" i="10" s="1"/>
  <c r="CV328" i="10" s="1"/>
  <c r="CK263" i="10"/>
  <c r="CL263" i="10" s="1"/>
  <c r="CR263" i="10" s="1"/>
  <c r="CT263" i="10" s="1"/>
  <c r="CV263" i="10" s="1"/>
  <c r="CP170" i="10"/>
  <c r="CK278" i="10"/>
  <c r="CL278" i="10" s="1"/>
  <c r="CR278" i="10" s="1"/>
  <c r="CT278" i="10" s="1"/>
  <c r="CV278" i="10" s="1"/>
  <c r="CK392" i="10"/>
  <c r="CL392" i="10" s="1"/>
  <c r="CR392" i="10" s="1"/>
  <c r="CT392" i="10" s="1"/>
  <c r="CV392" i="10" s="1"/>
  <c r="CP135" i="10"/>
  <c r="CP264" i="10"/>
  <c r="CK118" i="10"/>
  <c r="CL118" i="10" s="1"/>
  <c r="CR118" i="10" s="1"/>
  <c r="CT118" i="10" s="1"/>
  <c r="CV118" i="10" s="1"/>
  <c r="CK218" i="10"/>
  <c r="CL218" i="10" s="1"/>
  <c r="CR218" i="10" s="1"/>
  <c r="CT218" i="10" s="1"/>
  <c r="CV218" i="10" s="1"/>
  <c r="CP70" i="10"/>
  <c r="CK182" i="10"/>
  <c r="CL182" i="10" s="1"/>
  <c r="CR182" i="10" s="1"/>
  <c r="CT182" i="10" s="1"/>
  <c r="CV182" i="10" s="1"/>
  <c r="CK178" i="10"/>
  <c r="CL178" i="10" s="1"/>
  <c r="CR178" i="10" s="1"/>
  <c r="CT178" i="10" s="1"/>
  <c r="CV178" i="10" s="1"/>
  <c r="CP306" i="10"/>
  <c r="CK53" i="10"/>
  <c r="CL53" i="10" s="1"/>
  <c r="CR53" i="10" s="1"/>
  <c r="CT53" i="10" s="1"/>
  <c r="CV53" i="10" s="1"/>
  <c r="CK251" i="10"/>
  <c r="CL251" i="10" s="1"/>
  <c r="CR251" i="10" s="1"/>
  <c r="CT251" i="10" s="1"/>
  <c r="CV251" i="10" s="1"/>
  <c r="CP344" i="10"/>
  <c r="CP326" i="10"/>
  <c r="CK256" i="10"/>
  <c r="CL256" i="10" s="1"/>
  <c r="CR256" i="10" s="1"/>
  <c r="CT256" i="10" s="1"/>
  <c r="CV256" i="10" s="1"/>
  <c r="CK189" i="10"/>
  <c r="CL189" i="10" s="1"/>
  <c r="CR189" i="10" s="1"/>
  <c r="CT189" i="10" s="1"/>
  <c r="CV189" i="10" s="1"/>
  <c r="CK214" i="10"/>
  <c r="CL214" i="10" s="1"/>
  <c r="CR214" i="10" s="1"/>
  <c r="CT214" i="10" s="1"/>
  <c r="CV214" i="10" s="1"/>
  <c r="CP313" i="10"/>
  <c r="CK138" i="10"/>
  <c r="CL138" i="10" s="1"/>
  <c r="CR138" i="10" s="1"/>
  <c r="CT138" i="10" s="1"/>
  <c r="CV138" i="10" s="1"/>
  <c r="CK186" i="10"/>
  <c r="CL186" i="10" s="1"/>
  <c r="CR186" i="10" s="1"/>
  <c r="CT186" i="10" s="1"/>
  <c r="CV186" i="10" s="1"/>
  <c r="CP339" i="10"/>
  <c r="CP76" i="10"/>
  <c r="CP103" i="10"/>
  <c r="CK140" i="10"/>
  <c r="CL140" i="10" s="1"/>
  <c r="CR140" i="10" s="1"/>
  <c r="CT140" i="10" s="1"/>
  <c r="CV140" i="10" s="1"/>
  <c r="CK224" i="10"/>
  <c r="CL224" i="10" s="1"/>
  <c r="CR224" i="10" s="1"/>
  <c r="CT224" i="10" s="1"/>
  <c r="CV224" i="10" s="1"/>
  <c r="CP156" i="10"/>
  <c r="CK52" i="10"/>
  <c r="CL52" i="10" s="1"/>
  <c r="CR52" i="10" s="1"/>
  <c r="CT52" i="10" s="1"/>
  <c r="CV52" i="10" s="1"/>
  <c r="CK305" i="10"/>
  <c r="CL305" i="10" s="1"/>
  <c r="CR305" i="10" s="1"/>
  <c r="CT305" i="10" s="1"/>
  <c r="CV305" i="10" s="1"/>
  <c r="CK320" i="10"/>
  <c r="CL320" i="10" s="1"/>
  <c r="CR320" i="10" s="1"/>
  <c r="CT320" i="10" s="1"/>
  <c r="CV320" i="10" s="1"/>
  <c r="CP140" i="10"/>
  <c r="CP252" i="10"/>
  <c r="CP104" i="10"/>
  <c r="CP40" i="10"/>
  <c r="CK321" i="10"/>
  <c r="CL321" i="10" s="1"/>
  <c r="CR321" i="10" s="1"/>
  <c r="CT321" i="10" s="1"/>
  <c r="CV321" i="10" s="1"/>
  <c r="CP69" i="10"/>
  <c r="CK358" i="10"/>
  <c r="CL358" i="10" s="1"/>
  <c r="CR358" i="10" s="1"/>
  <c r="CT358" i="10" s="1"/>
  <c r="CV358" i="10" s="1"/>
  <c r="CP255" i="10"/>
  <c r="CP209" i="10"/>
  <c r="CP80" i="10"/>
  <c r="CK316" i="10"/>
  <c r="CL316" i="10" s="1"/>
  <c r="CR316" i="10" s="1"/>
  <c r="CT316" i="10" s="1"/>
  <c r="CV316" i="10" s="1"/>
  <c r="CP67" i="10"/>
  <c r="CK386" i="10"/>
  <c r="CL386" i="10" s="1"/>
  <c r="CR386" i="10" s="1"/>
  <c r="CT386" i="10" s="1"/>
  <c r="CV386" i="10" s="1"/>
  <c r="CK282" i="10"/>
  <c r="CL282" i="10" s="1"/>
  <c r="CR282" i="10" s="1"/>
  <c r="CT282" i="10" s="1"/>
  <c r="CV282" i="10" s="1"/>
  <c r="CK95" i="10"/>
  <c r="CL95" i="10" s="1"/>
  <c r="CR95" i="10" s="1"/>
  <c r="CT95" i="10" s="1"/>
  <c r="CV95" i="10" s="1"/>
  <c r="CK128" i="10"/>
  <c r="CL128" i="10" s="1"/>
  <c r="CR128" i="10" s="1"/>
  <c r="CT128" i="10" s="1"/>
  <c r="CV128" i="10" s="1"/>
  <c r="CP392" i="10"/>
  <c r="CK307" i="10"/>
  <c r="CL307" i="10" s="1"/>
  <c r="CR307" i="10" s="1"/>
  <c r="CT307" i="10" s="1"/>
  <c r="CV307" i="10" s="1"/>
  <c r="CK290" i="10"/>
  <c r="CL290" i="10" s="1"/>
  <c r="CR290" i="10" s="1"/>
  <c r="CT290" i="10" s="1"/>
  <c r="CV290" i="10" s="1"/>
  <c r="CP323" i="10"/>
  <c r="CP139" i="10"/>
  <c r="CK32" i="10"/>
  <c r="CL32" i="10" s="1"/>
  <c r="CR32" i="10" s="1"/>
  <c r="CT32" i="10" s="1"/>
  <c r="CV32" i="10" s="1"/>
  <c r="CK24" i="10"/>
  <c r="CL24" i="10" s="1"/>
  <c r="CR24" i="10" s="1"/>
  <c r="CT24" i="10" s="1"/>
  <c r="CV24" i="10" s="1"/>
  <c r="CP129" i="10"/>
  <c r="CP251" i="10"/>
  <c r="CP272" i="10"/>
  <c r="CP207" i="10"/>
  <c r="CK313" i="10"/>
  <c r="CL313" i="10" s="1"/>
  <c r="CR313" i="10" s="1"/>
  <c r="CT313" i="10" s="1"/>
  <c r="CV313" i="10" s="1"/>
  <c r="CP138" i="10"/>
  <c r="CK353" i="10"/>
  <c r="CL353" i="10" s="1"/>
  <c r="CR353" i="10" s="1"/>
  <c r="CT353" i="10" s="1"/>
  <c r="CV353" i="10" s="1"/>
  <c r="CK76" i="10"/>
  <c r="CL76" i="10" s="1"/>
  <c r="CR76" i="10" s="1"/>
  <c r="CT76" i="10" s="1"/>
  <c r="CV76" i="10" s="1"/>
  <c r="CK371" i="10"/>
  <c r="CL371" i="10" s="1"/>
  <c r="CR371" i="10" s="1"/>
  <c r="CT371" i="10" s="1"/>
  <c r="CV371" i="10" s="1"/>
  <c r="CP161" i="10"/>
  <c r="CK146" i="10"/>
  <c r="CL146" i="10" s="1"/>
  <c r="CR146" i="10" s="1"/>
  <c r="CT146" i="10" s="1"/>
  <c r="CV146" i="10" s="1"/>
  <c r="CP235" i="10"/>
  <c r="CK337" i="10"/>
  <c r="CL337" i="10" s="1"/>
  <c r="CR337" i="10" s="1"/>
  <c r="CT337" i="10" s="1"/>
  <c r="CV337" i="10" s="1"/>
  <c r="CP29" i="10"/>
  <c r="CK297" i="10"/>
  <c r="CL297" i="10" s="1"/>
  <c r="CR297" i="10" s="1"/>
  <c r="CT297" i="10" s="1"/>
  <c r="CV297" i="10" s="1"/>
  <c r="CP224" i="10"/>
  <c r="CK22" i="10"/>
  <c r="CL22" i="10" s="1"/>
  <c r="CR22" i="10" s="1"/>
  <c r="CT22" i="10" s="1"/>
  <c r="CV22" i="10" s="1"/>
  <c r="CK156" i="10"/>
  <c r="CL156" i="10" s="1"/>
  <c r="CR156" i="10" s="1"/>
  <c r="CT156" i="10" s="1"/>
  <c r="CV156" i="10" s="1"/>
  <c r="CP44" i="10"/>
  <c r="CK47" i="10"/>
  <c r="CL47" i="10" s="1"/>
  <c r="CR47" i="10" s="1"/>
  <c r="CT47" i="10" s="1"/>
  <c r="CV47" i="10" s="1"/>
  <c r="CK74" i="10"/>
  <c r="CL74" i="10" s="1"/>
  <c r="CR74" i="10" s="1"/>
  <c r="CT74" i="10" s="1"/>
  <c r="CV74" i="10" s="1"/>
  <c r="CP109" i="10"/>
  <c r="CK45" i="10"/>
  <c r="CL45" i="10" s="1"/>
  <c r="CR45" i="10" s="1"/>
  <c r="CT45" i="10" s="1"/>
  <c r="CV45" i="10" s="1"/>
  <c r="CP362" i="10"/>
  <c r="CP259" i="10"/>
  <c r="CP97" i="10"/>
  <c r="CP78" i="10"/>
  <c r="CP288" i="10"/>
  <c r="CK48" i="10"/>
  <c r="CL48" i="10" s="1"/>
  <c r="CR48" i="10" s="1"/>
  <c r="CT48" i="10" s="1"/>
  <c r="CV48" i="10" s="1"/>
  <c r="CK342" i="10"/>
  <c r="CL342" i="10" s="1"/>
  <c r="CR342" i="10" s="1"/>
  <c r="CT342" i="10" s="1"/>
  <c r="CV342" i="10" s="1"/>
  <c r="CP245" i="10"/>
  <c r="CK153" i="10"/>
  <c r="CL153" i="10" s="1"/>
  <c r="CR153" i="10" s="1"/>
  <c r="CT153" i="10" s="1"/>
  <c r="CV153" i="10" s="1"/>
  <c r="CK104" i="10"/>
  <c r="CL104" i="10" s="1"/>
  <c r="CR104" i="10" s="1"/>
  <c r="CT104" i="10" s="1"/>
  <c r="CV104" i="10" s="1"/>
  <c r="CK40" i="10"/>
  <c r="CL40" i="10" s="1"/>
  <c r="CR40" i="10" s="1"/>
  <c r="CT40" i="10" s="1"/>
  <c r="CV40" i="10" s="1"/>
  <c r="CP112" i="10"/>
  <c r="CK359" i="10"/>
  <c r="CL359" i="10" s="1"/>
  <c r="CR359" i="10" s="1"/>
  <c r="CT359" i="10" s="1"/>
  <c r="CV359" i="10" s="1"/>
  <c r="CK126" i="10"/>
  <c r="CL126" i="10" s="1"/>
  <c r="CR126" i="10" s="1"/>
  <c r="CT126" i="10" s="1"/>
  <c r="CV126" i="10" s="1"/>
  <c r="CP363" i="10"/>
  <c r="CP59" i="10"/>
  <c r="CP75" i="10"/>
  <c r="CP290" i="10"/>
  <c r="CP330" i="10"/>
  <c r="CK147" i="10"/>
  <c r="CL147" i="10" s="1"/>
  <c r="CR147" i="10" s="1"/>
  <c r="CT147" i="10" s="1"/>
  <c r="CV147" i="10" s="1"/>
  <c r="CP73" i="10"/>
  <c r="CP182" i="10"/>
  <c r="CP178" i="10"/>
  <c r="CP82" i="10"/>
  <c r="CK306" i="10"/>
  <c r="CL306" i="10" s="1"/>
  <c r="CR306" i="10" s="1"/>
  <c r="CT306" i="10" s="1"/>
  <c r="CV306" i="10" s="1"/>
  <c r="CK129" i="10"/>
  <c r="CL129" i="10" s="1"/>
  <c r="CR129" i="10" s="1"/>
  <c r="CT129" i="10" s="1"/>
  <c r="CV129" i="10" s="1"/>
  <c r="CP86" i="10"/>
  <c r="CK333" i="10"/>
  <c r="CL333" i="10" s="1"/>
  <c r="CR333" i="10" s="1"/>
  <c r="CT333" i="10" s="1"/>
  <c r="CV333" i="10" s="1"/>
  <c r="CK207" i="10"/>
  <c r="CL207" i="10" s="1"/>
  <c r="CR207" i="10" s="1"/>
  <c r="CT207" i="10" s="1"/>
  <c r="CV207" i="10" s="1"/>
  <c r="CP134" i="10"/>
  <c r="CK122" i="10"/>
  <c r="CL122" i="10" s="1"/>
  <c r="CR122" i="10" s="1"/>
  <c r="CT122" i="10" s="1"/>
  <c r="CV122" i="10" s="1"/>
  <c r="CP371"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J. Searle</author>
    <author>Loudermilk, Ken</author>
  </authors>
  <commentList>
    <comment ref="BS8" authorId="0" shapeId="0" xr:uid="{00000000-0006-0000-0200-000001000000}">
      <text>
        <r>
          <rPr>
            <b/>
            <sz val="9"/>
            <color indexed="81"/>
            <rFont val="Tahoma"/>
            <family val="2"/>
          </rPr>
          <t>Nicholas J. Searle:</t>
        </r>
        <r>
          <rPr>
            <sz val="9"/>
            <color indexed="81"/>
            <rFont val="Tahoma"/>
            <family val="2"/>
          </rPr>
          <t xml:space="preserve">
Water Altitude correction</t>
        </r>
      </text>
    </comment>
    <comment ref="BT8" authorId="0" shapeId="0" xr:uid="{00000000-0006-0000-0200-000002000000}">
      <text>
        <r>
          <rPr>
            <b/>
            <sz val="9"/>
            <color indexed="81"/>
            <rFont val="Tahoma"/>
            <family val="2"/>
          </rPr>
          <t>Nicholas J. Searle:</t>
        </r>
        <r>
          <rPr>
            <sz val="9"/>
            <color indexed="81"/>
            <rFont val="Tahoma"/>
            <family val="2"/>
          </rPr>
          <t xml:space="preserve">
CHW temperature correction</t>
        </r>
      </text>
    </comment>
    <comment ref="BU8" authorId="0" shapeId="0" xr:uid="{00000000-0006-0000-0200-000003000000}">
      <text>
        <r>
          <rPr>
            <b/>
            <sz val="9"/>
            <color indexed="81"/>
            <rFont val="Tahoma"/>
            <family val="2"/>
          </rPr>
          <t>Nicholas J. Searle:</t>
        </r>
        <r>
          <rPr>
            <sz val="9"/>
            <color indexed="81"/>
            <rFont val="Tahoma"/>
            <family val="2"/>
          </rPr>
          <t xml:space="preserve">
Glycol additive correction</t>
        </r>
      </text>
    </comment>
    <comment ref="E18" authorId="0" shapeId="0" xr:uid="{00000000-0006-0000-0200-000004000000}">
      <text>
        <r>
          <rPr>
            <b/>
            <i/>
            <sz val="9"/>
            <color indexed="81"/>
            <rFont val="Tahoma"/>
            <family val="2"/>
          </rPr>
          <t>Required for RapidSelect</t>
        </r>
        <r>
          <rPr>
            <b/>
            <sz val="9"/>
            <color indexed="81"/>
            <rFont val="Tahoma"/>
            <family val="2"/>
          </rPr>
          <t xml:space="preserve">
</t>
        </r>
        <r>
          <rPr>
            <sz val="8"/>
            <color indexed="81"/>
            <rFont val="Tahoma"/>
            <family val="2"/>
          </rPr>
          <t>Column A turns green when minimum data has been entered for RapidSelect</t>
        </r>
      </text>
    </comment>
    <comment ref="EX22" authorId="1" shapeId="0" xr:uid="{00000000-0006-0000-0200-000005000000}">
      <text>
        <r>
          <rPr>
            <b/>
            <sz val="9"/>
            <color indexed="81"/>
            <rFont val="Tahoma"/>
            <family val="2"/>
          </rPr>
          <t>Loudermilk, Ken:</t>
        </r>
        <r>
          <rPr>
            <sz val="9"/>
            <color indexed="81"/>
            <rFont val="Tahoma"/>
            <family val="2"/>
          </rPr>
          <t xml:space="preserve">
Added for CBAV discharge pattern option.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Loudermilk, Ken</author>
  </authors>
  <commentList>
    <comment ref="J15" authorId="0" shapeId="0" xr:uid="{00000000-0006-0000-0B00-000001000000}">
      <text>
        <r>
          <rPr>
            <b/>
            <sz val="9"/>
            <color indexed="81"/>
            <rFont val="Tahoma"/>
            <family val="2"/>
          </rPr>
          <t>Loudermilk, Ken:</t>
        </r>
        <r>
          <rPr>
            <sz val="9"/>
            <color indexed="81"/>
            <rFont val="Tahoma"/>
            <family val="2"/>
          </rPr>
          <t xml:space="preserve">
What is this? Isit a correction for pressure at altitude?</t>
        </r>
      </text>
    </comment>
  </commentList>
</comments>
</file>

<file path=xl/sharedStrings.xml><?xml version="1.0" encoding="utf-8"?>
<sst xmlns="http://schemas.openxmlformats.org/spreadsheetml/2006/main" count="8083" uniqueCount="561">
  <si>
    <t>Cooling</t>
  </si>
  <si>
    <t>Heating</t>
  </si>
  <si>
    <t>in.w.g.</t>
  </si>
  <si>
    <t>CBAL-24</t>
  </si>
  <si>
    <t>CFM</t>
  </si>
  <si>
    <t>Altitude</t>
  </si>
  <si>
    <r>
      <t>RH</t>
    </r>
    <r>
      <rPr>
        <b/>
        <vertAlign val="subscript"/>
        <sz val="11"/>
        <color theme="1"/>
        <rFont val="Calibri"/>
        <family val="2"/>
        <scheme val="minor"/>
      </rPr>
      <t>ROOM</t>
    </r>
  </si>
  <si>
    <t>Actual</t>
  </si>
  <si>
    <r>
      <t>Reference q</t>
    </r>
    <r>
      <rPr>
        <b/>
        <vertAlign val="subscript"/>
        <sz val="10"/>
        <color rgb="FF0070C0"/>
        <rFont val="Calibri"/>
        <family val="2"/>
        <scheme val="minor"/>
      </rPr>
      <t>COIL</t>
    </r>
    <r>
      <rPr>
        <b/>
        <sz val="10"/>
        <color rgb="FF0070C0"/>
        <rFont val="Calibri"/>
        <family val="2"/>
        <scheme val="minor"/>
      </rPr>
      <t xml:space="preserve"> cooling</t>
    </r>
  </si>
  <si>
    <t>Btu/h</t>
  </si>
  <si>
    <r>
      <t>Correction factor (F</t>
    </r>
    <r>
      <rPr>
        <b/>
        <vertAlign val="subscript"/>
        <sz val="10"/>
        <color rgb="FF0070C0"/>
        <rFont val="Calibri"/>
        <family val="2"/>
        <scheme val="minor"/>
      </rPr>
      <t>TOTAL</t>
    </r>
    <r>
      <rPr>
        <b/>
        <sz val="10"/>
        <color rgb="FF0070C0"/>
        <rFont val="Calibri"/>
        <family val="2"/>
        <scheme val="minor"/>
      </rPr>
      <t>)</t>
    </r>
  </si>
  <si>
    <t>Length</t>
  </si>
  <si>
    <r>
      <t>Actual q</t>
    </r>
    <r>
      <rPr>
        <b/>
        <vertAlign val="subscript"/>
        <sz val="10"/>
        <color rgb="FF0070C0"/>
        <rFont val="Calibri"/>
        <family val="2"/>
        <scheme val="minor"/>
      </rPr>
      <t>COIL</t>
    </r>
    <r>
      <rPr>
        <b/>
        <sz val="10"/>
        <color rgb="FF0070C0"/>
        <rFont val="Calibri"/>
        <family val="2"/>
        <scheme val="minor"/>
      </rPr>
      <t xml:space="preserve"> cooling</t>
    </r>
  </si>
  <si>
    <r>
      <t>Reference q</t>
    </r>
    <r>
      <rPr>
        <b/>
        <vertAlign val="subscript"/>
        <sz val="10"/>
        <color rgb="FFC00000"/>
        <rFont val="Calibri"/>
        <family val="2"/>
        <scheme val="minor"/>
      </rPr>
      <t>COIL</t>
    </r>
    <r>
      <rPr>
        <b/>
        <sz val="10"/>
        <color rgb="FFC00000"/>
        <rFont val="Calibri"/>
        <family val="2"/>
        <scheme val="minor"/>
      </rPr>
      <t xml:space="preserve"> heating</t>
    </r>
  </si>
  <si>
    <r>
      <t>Correction factor (F</t>
    </r>
    <r>
      <rPr>
        <b/>
        <vertAlign val="subscript"/>
        <sz val="10"/>
        <color rgb="FFC00000"/>
        <rFont val="Calibri"/>
        <family val="2"/>
        <scheme val="minor"/>
      </rPr>
      <t>TOTAL</t>
    </r>
    <r>
      <rPr>
        <b/>
        <sz val="10"/>
        <color rgb="FFC00000"/>
        <rFont val="Calibri"/>
        <family val="2"/>
        <scheme val="minor"/>
      </rPr>
      <t>)</t>
    </r>
  </si>
  <si>
    <r>
      <t>Actual q</t>
    </r>
    <r>
      <rPr>
        <b/>
        <vertAlign val="subscript"/>
        <sz val="10"/>
        <color rgb="FFC00000"/>
        <rFont val="Calibri"/>
        <family val="2"/>
        <scheme val="minor"/>
      </rPr>
      <t>COIL</t>
    </r>
    <r>
      <rPr>
        <b/>
        <sz val="10"/>
        <color rgb="FFC00000"/>
        <rFont val="Calibri"/>
        <family val="2"/>
        <scheme val="minor"/>
      </rPr>
      <t xml:space="preserve"> heating</t>
    </r>
  </si>
  <si>
    <t>Summer:</t>
  </si>
  <si>
    <t>Winter:</t>
  </si>
  <si>
    <t>Sea level</t>
  </si>
  <si>
    <t>Additive</t>
  </si>
  <si>
    <r>
      <t xml:space="preserve">Waterside pressure drop and </t>
    </r>
    <r>
      <rPr>
        <b/>
        <sz val="10"/>
        <color theme="1"/>
        <rFont val="Calibri"/>
        <family val="2"/>
      </rPr>
      <t>ΔT</t>
    </r>
  </si>
  <si>
    <r>
      <t>ΔP</t>
    </r>
    <r>
      <rPr>
        <vertAlign val="subscript"/>
        <sz val="11"/>
        <color theme="1"/>
        <rFont val="Calibri"/>
        <family val="2"/>
        <scheme val="minor"/>
      </rPr>
      <t>CHW</t>
    </r>
    <r>
      <rPr>
        <sz val="11"/>
        <color theme="1"/>
        <rFont val="Calibri"/>
        <family val="2"/>
        <scheme val="minor"/>
      </rPr>
      <t>:</t>
    </r>
  </si>
  <si>
    <r>
      <t>ΔT</t>
    </r>
    <r>
      <rPr>
        <vertAlign val="subscript"/>
        <sz val="11"/>
        <color theme="1"/>
        <rFont val="Calibri"/>
        <family val="2"/>
        <scheme val="minor"/>
      </rPr>
      <t>CHW</t>
    </r>
    <r>
      <rPr>
        <sz val="11"/>
        <color theme="1"/>
        <rFont val="Calibri"/>
        <family val="2"/>
        <scheme val="minor"/>
      </rPr>
      <t>:</t>
    </r>
  </si>
  <si>
    <r>
      <t>ΔP</t>
    </r>
    <r>
      <rPr>
        <vertAlign val="subscript"/>
        <sz val="11"/>
        <color theme="1"/>
        <rFont val="Calibri"/>
        <family val="2"/>
        <scheme val="minor"/>
      </rPr>
      <t>HW1</t>
    </r>
    <r>
      <rPr>
        <sz val="11"/>
        <color theme="1"/>
        <rFont val="Calibri"/>
        <family val="2"/>
        <scheme val="minor"/>
      </rPr>
      <t>:</t>
    </r>
  </si>
  <si>
    <r>
      <t>ΔT</t>
    </r>
    <r>
      <rPr>
        <vertAlign val="subscript"/>
        <sz val="11"/>
        <color theme="1"/>
        <rFont val="Calibri"/>
        <family val="2"/>
        <scheme val="minor"/>
      </rPr>
      <t>HW1</t>
    </r>
    <r>
      <rPr>
        <sz val="11"/>
        <color theme="1"/>
        <rFont val="Calibri"/>
        <family val="2"/>
        <scheme val="minor"/>
      </rPr>
      <t>:</t>
    </r>
  </si>
  <si>
    <r>
      <t>T</t>
    </r>
    <r>
      <rPr>
        <vertAlign val="subscript"/>
        <sz val="11"/>
        <color theme="1"/>
        <rFont val="Calibri"/>
        <family val="2"/>
        <scheme val="minor"/>
      </rPr>
      <t>ROOM</t>
    </r>
  </si>
  <si>
    <t>Type</t>
  </si>
  <si>
    <t>4 pipe H/C</t>
  </si>
  <si>
    <t>Area</t>
  </si>
  <si>
    <t>10*</t>
  </si>
  <si>
    <t>CBAL-12</t>
  </si>
  <si>
    <t>CBLV</t>
  </si>
  <si>
    <t>CBAM</t>
  </si>
  <si>
    <t>CBAV</t>
  </si>
  <si>
    <t>CBAB</t>
  </si>
  <si>
    <t>CBAS</t>
  </si>
  <si>
    <t>Other</t>
  </si>
  <si>
    <t>None</t>
  </si>
  <si>
    <t>Propylene Glycol</t>
  </si>
  <si>
    <t>Ethylene Glycol</t>
  </si>
  <si>
    <t>GPM</t>
  </si>
  <si>
    <t>CBAW</t>
  </si>
  <si>
    <t>CBAC</t>
  </si>
  <si>
    <r>
      <t>A</t>
    </r>
    <r>
      <rPr>
        <vertAlign val="subscript"/>
        <sz val="10"/>
        <color theme="1"/>
        <rFont val="Calibri"/>
        <family val="2"/>
        <scheme val="minor"/>
      </rPr>
      <t>NOZZLES</t>
    </r>
  </si>
  <si>
    <t>2 slots, 2 way</t>
  </si>
  <si>
    <t>1 slot, 1 way</t>
  </si>
  <si>
    <t>CBLE-24</t>
  </si>
  <si>
    <t>CBLE-12</t>
  </si>
  <si>
    <t># nozzles</t>
  </si>
  <si>
    <t>Models</t>
  </si>
  <si>
    <t>4 way</t>
  </si>
  <si>
    <t>Min. CFM</t>
  </si>
  <si>
    <r>
      <t>F</t>
    </r>
    <r>
      <rPr>
        <vertAlign val="subscript"/>
        <sz val="10"/>
        <color theme="1"/>
        <rFont val="Calibri"/>
        <family val="2"/>
        <scheme val="minor"/>
      </rPr>
      <t>VELOCITY</t>
    </r>
  </si>
  <si>
    <t>fpm</t>
  </si>
  <si>
    <t>Additive %</t>
  </si>
  <si>
    <t>RH%</t>
  </si>
  <si>
    <t>NC</t>
  </si>
  <si>
    <r>
      <t>V</t>
    </r>
    <r>
      <rPr>
        <vertAlign val="subscript"/>
        <sz val="11"/>
        <color theme="1"/>
        <rFont val="Calibri"/>
        <family val="2"/>
      </rPr>
      <t>INLET</t>
    </r>
    <r>
      <rPr>
        <sz val="11"/>
        <color theme="1"/>
        <rFont val="Calibri"/>
        <family val="2"/>
      </rPr>
      <t>:</t>
    </r>
  </si>
  <si>
    <r>
      <t>ΔP</t>
    </r>
    <r>
      <rPr>
        <vertAlign val="subscript"/>
        <sz val="11"/>
        <color theme="1"/>
        <rFont val="Calibri"/>
        <family val="2"/>
      </rPr>
      <t>INLET</t>
    </r>
  </si>
  <si>
    <r>
      <t>ΔP</t>
    </r>
    <r>
      <rPr>
        <vertAlign val="subscript"/>
        <sz val="11"/>
        <color theme="1"/>
        <rFont val="Calibri"/>
        <family val="2"/>
      </rPr>
      <t>NOZZLES</t>
    </r>
  </si>
  <si>
    <r>
      <t>ΔP</t>
    </r>
    <r>
      <rPr>
        <vertAlign val="subscript"/>
        <sz val="11"/>
        <color theme="1"/>
        <rFont val="Calibri"/>
        <family val="2"/>
      </rPr>
      <t>TOTAL</t>
    </r>
  </si>
  <si>
    <r>
      <t>V</t>
    </r>
    <r>
      <rPr>
        <vertAlign val="subscript"/>
        <sz val="10"/>
        <color theme="1"/>
        <rFont val="Calibri"/>
        <family val="2"/>
        <scheme val="minor"/>
      </rPr>
      <t>NOZZLE</t>
    </r>
  </si>
  <si>
    <t>B</t>
  </si>
  <si>
    <t>C1</t>
  </si>
  <si>
    <t>C2</t>
  </si>
  <si>
    <t>C3</t>
  </si>
  <si>
    <t>IR</t>
  </si>
  <si>
    <r>
      <t>T</t>
    </r>
    <r>
      <rPr>
        <vertAlign val="subscript"/>
        <sz val="11"/>
        <color theme="1"/>
        <rFont val="Calibri"/>
        <family val="2"/>
        <scheme val="minor"/>
      </rPr>
      <t>2</t>
    </r>
  </si>
  <si>
    <r>
      <t>T</t>
    </r>
    <r>
      <rPr>
        <vertAlign val="subscript"/>
        <sz val="11"/>
        <color theme="1"/>
        <rFont val="Calibri"/>
        <family val="2"/>
        <scheme val="minor"/>
      </rPr>
      <t>3</t>
    </r>
  </si>
  <si>
    <r>
      <t>T</t>
    </r>
    <r>
      <rPr>
        <vertAlign val="subscript"/>
        <sz val="11"/>
        <color theme="1"/>
        <rFont val="Calibri"/>
        <family val="2"/>
        <scheme val="minor"/>
      </rPr>
      <t>4</t>
    </r>
  </si>
  <si>
    <r>
      <t>T</t>
    </r>
    <r>
      <rPr>
        <vertAlign val="subscript"/>
        <sz val="11"/>
        <color theme="1"/>
        <rFont val="Calibri"/>
        <family val="2"/>
        <scheme val="minor"/>
      </rPr>
      <t>150</t>
    </r>
  </si>
  <si>
    <r>
      <t>T</t>
    </r>
    <r>
      <rPr>
        <vertAlign val="subscript"/>
        <sz val="11"/>
        <color theme="1"/>
        <rFont val="Calibri"/>
        <family val="2"/>
        <scheme val="minor"/>
      </rPr>
      <t>100</t>
    </r>
  </si>
  <si>
    <r>
      <t>T</t>
    </r>
    <r>
      <rPr>
        <vertAlign val="subscript"/>
        <sz val="11"/>
        <color theme="1"/>
        <rFont val="Calibri"/>
        <family val="2"/>
        <scheme val="minor"/>
      </rPr>
      <t>50</t>
    </r>
  </si>
  <si>
    <t>(inches)</t>
  </si>
  <si>
    <t>(qty)</t>
  </si>
  <si>
    <t>(ft)</t>
  </si>
  <si>
    <r>
      <t xml:space="preserve">Reference </t>
    </r>
    <r>
      <rPr>
        <sz val="11"/>
        <color theme="1"/>
        <rFont val="Calibri"/>
        <family val="2"/>
      </rPr>
      <t>ΔP</t>
    </r>
  </si>
  <si>
    <t>K-factor</t>
  </si>
  <si>
    <t>1 circuit</t>
  </si>
  <si>
    <t>Coil type</t>
  </si>
  <si>
    <t>2 circuits</t>
  </si>
  <si>
    <t>2 pipe heating</t>
  </si>
  <si>
    <t>(in)</t>
  </si>
  <si>
    <t>Tag</t>
  </si>
  <si>
    <t>Sensible Cooling</t>
  </si>
  <si>
    <t>Latent Cooling</t>
  </si>
  <si>
    <t>Zone Requirements</t>
  </si>
  <si>
    <t>Beam Model</t>
  </si>
  <si>
    <t>Coil</t>
  </si>
  <si>
    <t>Primary air</t>
  </si>
  <si>
    <t>Total</t>
  </si>
  <si>
    <t>Qty.</t>
  </si>
  <si>
    <t>Air Inlet Size</t>
  </si>
  <si>
    <t>ft.</t>
  </si>
  <si>
    <t>Latent</t>
  </si>
  <si>
    <t>Sensible</t>
  </si>
  <si>
    <t>Zone Cooling</t>
  </si>
  <si>
    <t>Net</t>
  </si>
  <si>
    <t>°F</t>
  </si>
  <si>
    <t>Individual Unit Performance</t>
  </si>
  <si>
    <t>Zone Performance</t>
  </si>
  <si>
    <t>Primary Airflow Rate</t>
  </si>
  <si>
    <t>Chilled Water Flow</t>
  </si>
  <si>
    <t>Hot Water Flow</t>
  </si>
  <si>
    <t>Individual Beam Inputs</t>
  </si>
  <si>
    <t>Beam ID</t>
  </si>
  <si>
    <t>2 pipe (cooling)</t>
  </si>
  <si>
    <t>2 pipe (heating)</t>
  </si>
  <si>
    <t>2 pipe (H/C)</t>
  </si>
  <si>
    <t>Net Zone Heating</t>
  </si>
  <si>
    <t>Border</t>
  </si>
  <si>
    <t>NT</t>
  </si>
  <si>
    <t>DF</t>
  </si>
  <si>
    <t>Min. Primary Airflow</t>
  </si>
  <si>
    <r>
      <t>F</t>
    </r>
    <r>
      <rPr>
        <b/>
        <i/>
        <vertAlign val="subscript"/>
        <sz val="11"/>
        <color theme="9" tint="-0.249977111117893"/>
        <rFont val="Calibri"/>
        <family val="2"/>
        <scheme val="minor"/>
      </rPr>
      <t>AIR</t>
    </r>
  </si>
  <si>
    <r>
      <t>F</t>
    </r>
    <r>
      <rPr>
        <b/>
        <i/>
        <vertAlign val="subscript"/>
        <sz val="11"/>
        <color theme="9" tint="-0.249977111117893"/>
        <rFont val="Calibri"/>
        <family val="2"/>
        <scheme val="minor"/>
      </rPr>
      <t>WTR</t>
    </r>
  </si>
  <si>
    <t>Ceiling Height</t>
  </si>
  <si>
    <r>
      <t>H</t>
    </r>
    <r>
      <rPr>
        <vertAlign val="subscript"/>
        <sz val="11"/>
        <color theme="1"/>
        <rFont val="Calibri"/>
        <family val="2"/>
        <scheme val="minor"/>
      </rPr>
      <t>OZ</t>
    </r>
  </si>
  <si>
    <t>Spacing C</t>
  </si>
  <si>
    <r>
      <t>V</t>
    </r>
    <r>
      <rPr>
        <vertAlign val="subscript"/>
        <sz val="11"/>
        <color theme="1"/>
        <rFont val="Calibri"/>
        <family val="2"/>
        <scheme val="minor"/>
      </rPr>
      <t>C/2</t>
    </r>
  </si>
  <si>
    <r>
      <t>V</t>
    </r>
    <r>
      <rPr>
        <vertAlign val="subscript"/>
        <sz val="11"/>
        <color theme="1"/>
        <rFont val="Calibri"/>
        <family val="2"/>
        <scheme val="minor"/>
      </rPr>
      <t>W</t>
    </r>
  </si>
  <si>
    <t>X + H</t>
  </si>
  <si>
    <r>
      <t>T</t>
    </r>
    <r>
      <rPr>
        <vertAlign val="subscript"/>
        <sz val="11"/>
        <color theme="1"/>
        <rFont val="Calibri"/>
        <family val="2"/>
        <scheme val="minor"/>
      </rPr>
      <t>C/2</t>
    </r>
  </si>
  <si>
    <r>
      <t>T</t>
    </r>
    <r>
      <rPr>
        <vertAlign val="subscript"/>
        <sz val="11"/>
        <color theme="1"/>
        <rFont val="Calibri"/>
        <family val="2"/>
        <scheme val="minor"/>
      </rPr>
      <t>W</t>
    </r>
  </si>
  <si>
    <r>
      <t>F</t>
    </r>
    <r>
      <rPr>
        <vertAlign val="subscript"/>
        <sz val="11"/>
        <color theme="1"/>
        <rFont val="Calibri"/>
        <family val="2"/>
        <scheme val="minor"/>
      </rPr>
      <t>OZ</t>
    </r>
  </si>
  <si>
    <t>Product</t>
  </si>
  <si>
    <t>Nom. Length</t>
  </si>
  <si>
    <t>L</t>
  </si>
  <si>
    <t>Coil Type</t>
  </si>
  <si>
    <t>Width</t>
  </si>
  <si>
    <t>NA</t>
  </si>
  <si>
    <t>Code</t>
  </si>
  <si>
    <t>CBAM-00</t>
  </si>
  <si>
    <t>CBLV-00</t>
  </si>
  <si>
    <t>CBAV-00</t>
  </si>
  <si>
    <t>CBAB-00</t>
  </si>
  <si>
    <t>CBAC-00</t>
  </si>
  <si>
    <t>CBAS-00</t>
  </si>
  <si>
    <t>CBAW-00</t>
  </si>
  <si>
    <t>1 slot, 2 pipe</t>
  </si>
  <si>
    <t>1 slot, 4 pipe</t>
  </si>
  <si>
    <t>2 slot, 2 pipe</t>
  </si>
  <si>
    <t>2 slot, 4 pipe</t>
  </si>
  <si>
    <t>4 slot, 4 pipe</t>
  </si>
  <si>
    <t>4 slot, 2 pipe</t>
  </si>
  <si>
    <t>10-2P1C</t>
  </si>
  <si>
    <t>10-2P2C</t>
  </si>
  <si>
    <t>10-4P1C</t>
  </si>
  <si>
    <t>10-4P2C</t>
  </si>
  <si>
    <t>02-2P1C</t>
  </si>
  <si>
    <t>03-2P1C</t>
  </si>
  <si>
    <t>04-2P1C</t>
  </si>
  <si>
    <t>05-2P1C</t>
  </si>
  <si>
    <t>06-2P1C</t>
  </si>
  <si>
    <t>07-2P1C</t>
  </si>
  <si>
    <t>08-2P1C</t>
  </si>
  <si>
    <t>09-2P1C</t>
  </si>
  <si>
    <t>02-2P2C</t>
  </si>
  <si>
    <t>03-2P2C</t>
  </si>
  <si>
    <t>04-2P2C</t>
  </si>
  <si>
    <t>05-2P2C</t>
  </si>
  <si>
    <t>06-2P2C</t>
  </si>
  <si>
    <t>07-2P2C</t>
  </si>
  <si>
    <t>08-2P2C</t>
  </si>
  <si>
    <t>09-2P2C</t>
  </si>
  <si>
    <t>02-4P1C</t>
  </si>
  <si>
    <t>03-4P1C</t>
  </si>
  <si>
    <t>04-4P1C</t>
  </si>
  <si>
    <t>05-4P1C</t>
  </si>
  <si>
    <t>06-4P1C</t>
  </si>
  <si>
    <t>07-4P1C</t>
  </si>
  <si>
    <t>08-4P1C</t>
  </si>
  <si>
    <t>09-4P1C</t>
  </si>
  <si>
    <t>02-4P2C</t>
  </si>
  <si>
    <t>03-4P2C</t>
  </si>
  <si>
    <t>04-4P2C</t>
  </si>
  <si>
    <t>05-4P2C</t>
  </si>
  <si>
    <t>06-4P2C</t>
  </si>
  <si>
    <t>07-4P2C</t>
  </si>
  <si>
    <t>08-4P2C</t>
  </si>
  <si>
    <t>09-4P2C</t>
  </si>
  <si>
    <t>2-Pipe, 1 Cir.</t>
  </si>
  <si>
    <t>2-Pipe, 2 Cir.</t>
  </si>
  <si>
    <t>4-Pipe, 1 Cir.</t>
  </si>
  <si>
    <t>4-Pipe, 2 Cir.</t>
  </si>
  <si>
    <t>02-4P</t>
  </si>
  <si>
    <t>03-4P</t>
  </si>
  <si>
    <t>04-4P</t>
  </si>
  <si>
    <t>05-4P</t>
  </si>
  <si>
    <t>06-4P</t>
  </si>
  <si>
    <t>07-4P</t>
  </si>
  <si>
    <t>08-4P</t>
  </si>
  <si>
    <t>09-4P</t>
  </si>
  <si>
    <t>10-4P</t>
  </si>
  <si>
    <t>03-2P</t>
  </si>
  <si>
    <t>04-2P</t>
  </si>
  <si>
    <t>05-2P</t>
  </si>
  <si>
    <t>06-2P</t>
  </si>
  <si>
    <t>07-2P</t>
  </si>
  <si>
    <t>08-2P</t>
  </si>
  <si>
    <t>09-2P</t>
  </si>
  <si>
    <t>10-2P</t>
  </si>
  <si>
    <t>02-2P</t>
  </si>
  <si>
    <t>2-Pipe</t>
  </si>
  <si>
    <t>4-Pipe</t>
  </si>
  <si>
    <t>%</t>
  </si>
  <si>
    <t>Date:</t>
  </si>
  <si>
    <t>Sq. ft.</t>
  </si>
  <si>
    <t>BTU/H</t>
  </si>
  <si>
    <t>Approx. Beam Qty.</t>
  </si>
  <si>
    <t>(GPM)</t>
  </si>
  <si>
    <t>(CFM)</t>
  </si>
  <si>
    <t>(in.)</t>
  </si>
  <si>
    <t>(FT)</t>
  </si>
  <si>
    <t>Comments</t>
  </si>
  <si>
    <t>Total (Sensible) Capacity
(per unit)</t>
  </si>
  <si>
    <t>Primary Air
Capacity
(per unit)</t>
  </si>
  <si>
    <t>Coil Capacity 
(per unit)</t>
  </si>
  <si>
    <t>Water
Pressure
Drop</t>
  </si>
  <si>
    <t>Water Supply
Temperature</t>
  </si>
  <si>
    <t>Waterflow</t>
  </si>
  <si>
    <t>Primary Air
Temperature</t>
  </si>
  <si>
    <t>Room Air
Temperature</t>
  </si>
  <si>
    <t>Air
PD</t>
  </si>
  <si>
    <t>Relative Humidity</t>
  </si>
  <si>
    <t>Primary
Airflow</t>
  </si>
  <si>
    <t>PATTERN</t>
  </si>
  <si>
    <t>Duct Conn.</t>
  </si>
  <si>
    <t>Nozzle
Size</t>
  </si>
  <si>
    <t>Piping
Config</t>
  </si>
  <si>
    <t>Room</t>
  </si>
  <si>
    <t>Model</t>
  </si>
  <si>
    <t>Qty</t>
  </si>
  <si>
    <t>Chilled Beams General Information</t>
  </si>
  <si>
    <t>Chilled Beam Detail Performance</t>
  </si>
  <si>
    <t>Customer:</t>
  </si>
  <si>
    <t>Contractor:</t>
  </si>
  <si>
    <t>ft</t>
  </si>
  <si>
    <t>Project Locaton:</t>
  </si>
  <si>
    <t>Project / Job #:</t>
  </si>
  <si>
    <t>Chilled Beam Schedule</t>
  </si>
  <si>
    <t>Spare User Cells</t>
  </si>
  <si>
    <t>AIR</t>
  </si>
  <si>
    <t>WATER</t>
  </si>
  <si>
    <t>BTUH</t>
  </si>
  <si>
    <t xml:space="preserve">Vent. Airflow </t>
  </si>
  <si>
    <t xml:space="preserve"> </t>
  </si>
  <si>
    <t xml:space="preserve">  </t>
  </si>
  <si>
    <t>Discharge Pattern</t>
  </si>
  <si>
    <t>SAT</t>
  </si>
  <si>
    <t>Sound
Pressure</t>
  </si>
  <si>
    <t>Titus Active Chilled Beam Selection Program</t>
  </si>
  <si>
    <t>User Notes</t>
  </si>
  <si>
    <t>A1</t>
  </si>
  <si>
    <t>A2</t>
  </si>
  <si>
    <t>A3</t>
  </si>
  <si>
    <t>Slots</t>
  </si>
  <si>
    <t>02-1S</t>
  </si>
  <si>
    <t>02-2S</t>
  </si>
  <si>
    <t>03-1S</t>
  </si>
  <si>
    <t>03-2S</t>
  </si>
  <si>
    <t>04-1S</t>
  </si>
  <si>
    <t>04-2S</t>
  </si>
  <si>
    <t>05-1S</t>
  </si>
  <si>
    <t>05-2S</t>
  </si>
  <si>
    <t>06-1S</t>
  </si>
  <si>
    <t>06-2S</t>
  </si>
  <si>
    <t>07-1S</t>
  </si>
  <si>
    <t>07-2S</t>
  </si>
  <si>
    <t>08-1S</t>
  </si>
  <si>
    <t>08-2S</t>
  </si>
  <si>
    <t>09-1S</t>
  </si>
  <si>
    <t>09-2S</t>
  </si>
  <si>
    <t>10-1S</t>
  </si>
  <si>
    <t>10-2S</t>
  </si>
  <si>
    <t>Room Air Distribution Model</t>
  </si>
  <si>
    <t xml:space="preserve">Beam Spacing </t>
  </si>
  <si>
    <t>C</t>
  </si>
  <si>
    <t xml:space="preserve">Occupied zone </t>
  </si>
  <si>
    <t>FPM</t>
  </si>
  <si>
    <t>Air Distribution Performance</t>
  </si>
  <si>
    <t>Room Layout Input</t>
  </si>
  <si>
    <r>
      <t>T</t>
    </r>
    <r>
      <rPr>
        <b/>
        <vertAlign val="subscript"/>
        <sz val="11"/>
        <color theme="1"/>
        <rFont val="Calibri"/>
        <family val="2"/>
        <scheme val="minor"/>
      </rPr>
      <t>DEWPOINT</t>
    </r>
  </si>
  <si>
    <r>
      <t>72</t>
    </r>
    <r>
      <rPr>
        <b/>
        <sz val="14"/>
        <color theme="1"/>
        <rFont val="Calibri"/>
        <family val="2"/>
      </rPr>
      <t>°F</t>
    </r>
  </si>
  <si>
    <r>
      <t>73</t>
    </r>
    <r>
      <rPr>
        <b/>
        <sz val="14"/>
        <color theme="1"/>
        <rFont val="Calibri"/>
        <family val="2"/>
      </rPr>
      <t>°F</t>
    </r>
  </si>
  <si>
    <r>
      <t>74</t>
    </r>
    <r>
      <rPr>
        <b/>
        <sz val="14"/>
        <color theme="1"/>
        <rFont val="Calibri"/>
        <family val="2"/>
      </rPr>
      <t>°F</t>
    </r>
  </si>
  <si>
    <r>
      <t>75</t>
    </r>
    <r>
      <rPr>
        <b/>
        <sz val="14"/>
        <color theme="1"/>
        <rFont val="Calibri"/>
        <family val="2"/>
      </rPr>
      <t>°F</t>
    </r>
  </si>
  <si>
    <r>
      <t>76</t>
    </r>
    <r>
      <rPr>
        <b/>
        <sz val="14"/>
        <color theme="1"/>
        <rFont val="Calibri"/>
        <family val="2"/>
      </rPr>
      <t>°F</t>
    </r>
  </si>
  <si>
    <r>
      <t>77</t>
    </r>
    <r>
      <rPr>
        <b/>
        <sz val="14"/>
        <color theme="1"/>
        <rFont val="Calibri"/>
        <family val="2"/>
      </rPr>
      <t>°F</t>
    </r>
  </si>
  <si>
    <r>
      <t>78</t>
    </r>
    <r>
      <rPr>
        <b/>
        <sz val="14"/>
        <color theme="1"/>
        <rFont val="Calibri"/>
        <family val="2"/>
      </rPr>
      <t>°F</t>
    </r>
  </si>
  <si>
    <t>Room Dry Bulb Temperature</t>
  </si>
  <si>
    <t>Distance to wall</t>
  </si>
  <si>
    <t>X</t>
  </si>
  <si>
    <r>
      <t>RH</t>
    </r>
    <r>
      <rPr>
        <vertAlign val="subscript"/>
        <sz val="11"/>
        <color theme="1"/>
        <rFont val="Calibri"/>
        <family val="2"/>
        <scheme val="minor"/>
      </rPr>
      <t>ROOM</t>
    </r>
  </si>
  <si>
    <t>ATM</t>
  </si>
  <si>
    <r>
      <t>W</t>
    </r>
    <r>
      <rPr>
        <vertAlign val="subscript"/>
        <sz val="11"/>
        <color theme="1"/>
        <rFont val="Calibri"/>
        <family val="2"/>
        <scheme val="minor"/>
      </rPr>
      <t>ROOM</t>
    </r>
  </si>
  <si>
    <r>
      <t>DP</t>
    </r>
    <r>
      <rPr>
        <vertAlign val="subscript"/>
        <sz val="11"/>
        <color theme="1"/>
        <rFont val="Calibri"/>
        <family val="2"/>
        <scheme val="minor"/>
      </rPr>
      <t>ROOM</t>
    </r>
  </si>
  <si>
    <t>T1</t>
  </si>
  <si>
    <t>T2</t>
  </si>
  <si>
    <t>T3</t>
  </si>
  <si>
    <t>Heating conditions</t>
  </si>
  <si>
    <t xml:space="preserve">Cooling Conditions </t>
  </si>
  <si>
    <t>Selection warnings:</t>
  </si>
  <si>
    <t>02-4S</t>
  </si>
  <si>
    <t>04-4S</t>
  </si>
  <si>
    <t>Air Distribution</t>
  </si>
  <si>
    <t>Outlet Placement</t>
  </si>
  <si>
    <r>
      <t>OZ Height (H</t>
    </r>
    <r>
      <rPr>
        <vertAlign val="subscript"/>
        <sz val="8"/>
        <rFont val="Arial"/>
        <family val="2"/>
      </rPr>
      <t>OZ</t>
    </r>
    <r>
      <rPr>
        <sz val="8"/>
        <rFont val="Arial"/>
        <family val="2"/>
      </rPr>
      <t>)</t>
    </r>
  </si>
  <si>
    <t>Distance to Wall (X)</t>
  </si>
  <si>
    <t>Centerline Spacing (C)</t>
  </si>
  <si>
    <r>
      <t xml:space="preserve"> V</t>
    </r>
    <r>
      <rPr>
        <vertAlign val="subscript"/>
        <sz val="8"/>
        <rFont val="Arial"/>
        <family val="2"/>
      </rPr>
      <t>OZ</t>
    </r>
  </si>
  <si>
    <r>
      <t>T</t>
    </r>
    <r>
      <rPr>
        <vertAlign val="subscript"/>
        <sz val="8"/>
        <rFont val="Arial"/>
        <family val="2"/>
      </rPr>
      <t>OZ</t>
    </r>
  </si>
  <si>
    <r>
      <t>V</t>
    </r>
    <r>
      <rPr>
        <vertAlign val="subscript"/>
        <sz val="8"/>
        <rFont val="Arial"/>
        <family val="2"/>
      </rPr>
      <t>W</t>
    </r>
  </si>
  <si>
    <r>
      <t>T</t>
    </r>
    <r>
      <rPr>
        <vertAlign val="subscript"/>
        <sz val="8"/>
        <rFont val="Arial"/>
        <family val="2"/>
      </rPr>
      <t>W</t>
    </r>
  </si>
  <si>
    <t>Project Altitude:</t>
  </si>
  <si>
    <t>Cooling Fluid</t>
  </si>
  <si>
    <t>Heating  Fluid</t>
  </si>
  <si>
    <t>Software Version</t>
  </si>
  <si>
    <r>
      <t>F</t>
    </r>
    <r>
      <rPr>
        <vertAlign val="subscript"/>
        <sz val="11"/>
        <rFont val="Calibri"/>
        <family val="2"/>
        <scheme val="minor"/>
      </rPr>
      <t>ALT</t>
    </r>
  </si>
  <si>
    <r>
      <t>F</t>
    </r>
    <r>
      <rPr>
        <vertAlign val="subscript"/>
        <sz val="11"/>
        <rFont val="Calibri"/>
        <family val="2"/>
        <scheme val="minor"/>
      </rPr>
      <t>CWT</t>
    </r>
  </si>
  <si>
    <r>
      <t>F</t>
    </r>
    <r>
      <rPr>
        <vertAlign val="subscript"/>
        <sz val="11"/>
        <rFont val="Calibri"/>
        <family val="2"/>
        <scheme val="minor"/>
      </rPr>
      <t>CWADD</t>
    </r>
  </si>
  <si>
    <r>
      <t>F</t>
    </r>
    <r>
      <rPr>
        <vertAlign val="subscript"/>
        <sz val="11"/>
        <rFont val="Calibri"/>
        <family val="2"/>
        <scheme val="minor"/>
      </rPr>
      <t>HWT</t>
    </r>
  </si>
  <si>
    <r>
      <t>F</t>
    </r>
    <r>
      <rPr>
        <vertAlign val="subscript"/>
        <sz val="11"/>
        <rFont val="Calibri"/>
        <family val="2"/>
        <scheme val="minor"/>
      </rPr>
      <t>HWADD</t>
    </r>
  </si>
  <si>
    <t>Nozzle</t>
  </si>
  <si>
    <t>ALL</t>
  </si>
  <si>
    <t>Lengths</t>
  </si>
  <si>
    <t>Cool</t>
  </si>
  <si>
    <t>Heat</t>
  </si>
  <si>
    <t>Noise</t>
  </si>
  <si>
    <t>Even</t>
  </si>
  <si>
    <t>Selection Row</t>
  </si>
  <si>
    <t>PD</t>
  </si>
  <si>
    <t>CFM Compromised Selection Results</t>
  </si>
  <si>
    <t>Selection Sent Back to Selection Sheet</t>
  </si>
  <si>
    <t>Air Cooling</t>
  </si>
  <si>
    <t>Water Cooling</t>
  </si>
  <si>
    <t>Air heat</t>
  </si>
  <si>
    <t>Water heat</t>
  </si>
  <si>
    <t>Yes</t>
  </si>
  <si>
    <t>No</t>
  </si>
  <si>
    <t>RapidSelect Values</t>
  </si>
  <si>
    <t>Quantity</t>
  </si>
  <si>
    <t>Matching Tags</t>
  </si>
  <si>
    <t>Prepared By:</t>
  </si>
  <si>
    <t xml:space="preserve">   Version:</t>
  </si>
  <si>
    <t>VFACE-LU</t>
  </si>
  <si>
    <t>m1</t>
  </si>
  <si>
    <t>b1</t>
  </si>
  <si>
    <t>CoilData</t>
  </si>
  <si>
    <t>GPM-LU</t>
  </si>
  <si>
    <t>Ways/Pipes-LU</t>
  </si>
  <si>
    <t>1 Coil</t>
  </si>
  <si>
    <t>2 Coil</t>
  </si>
  <si>
    <t>CBLV-00-1</t>
  </si>
  <si>
    <t>CBLV-00-2</t>
  </si>
  <si>
    <t>CLU!H5:M5</t>
  </si>
  <si>
    <t>CLU!H6:M6</t>
  </si>
  <si>
    <t>CLU!D23:I157</t>
  </si>
  <si>
    <t>CLU!J23:O157</t>
  </si>
  <si>
    <t>CLU!W23:Z37</t>
  </si>
  <si>
    <t>CLU!AA23:AD37</t>
  </si>
  <si>
    <t>CLU!AF23:AM31</t>
  </si>
  <si>
    <t>CLU!D163:I207</t>
  </si>
  <si>
    <t>CLU!J163:O207</t>
  </si>
  <si>
    <t>CLU!AF163:AM165</t>
  </si>
  <si>
    <t>CLU!AP163:AP174</t>
  </si>
  <si>
    <t>CLU!D213:I287</t>
  </si>
  <si>
    <t>CLU!J213:O287</t>
  </si>
  <si>
    <t>CLU!W213:Z227</t>
  </si>
  <si>
    <t>CLU!AA213:AD227</t>
  </si>
  <si>
    <t>CLU!AF213:AM217</t>
  </si>
  <si>
    <t>CLU!AP213:AP232</t>
  </si>
  <si>
    <t>CLU!D293:I397</t>
  </si>
  <si>
    <t>CLU!J293:O397</t>
  </si>
  <si>
    <t>CLU!W293:Z307</t>
  </si>
  <si>
    <t>CLU!AA293:AD307</t>
  </si>
  <si>
    <t>CLU!AF293:AM299</t>
  </si>
  <si>
    <t>CLU!AP293:AP320</t>
  </si>
  <si>
    <r>
      <t>q</t>
    </r>
    <r>
      <rPr>
        <vertAlign val="subscript"/>
        <sz val="20"/>
        <color theme="0"/>
        <rFont val="Calibri"/>
        <family val="2"/>
        <scheme val="minor"/>
      </rPr>
      <t>Coil</t>
    </r>
  </si>
  <si>
    <t>CLU!P23:U157</t>
  </si>
  <si>
    <t>CLU!P163:U207</t>
  </si>
  <si>
    <t>CLU!P213:U287</t>
  </si>
  <si>
    <t>CLU!P293:U397</t>
  </si>
  <si>
    <r>
      <t>K</t>
    </r>
    <r>
      <rPr>
        <vertAlign val="subscript"/>
        <sz val="11"/>
        <color theme="1"/>
        <rFont val="Calibri"/>
        <family val="2"/>
        <scheme val="minor"/>
      </rPr>
      <t>comp</t>
    </r>
  </si>
  <si>
    <r>
      <t>Cool</t>
    </r>
    <r>
      <rPr>
        <vertAlign val="subscript"/>
        <sz val="11"/>
        <color theme="1"/>
        <rFont val="Calibri"/>
        <family val="2"/>
        <scheme val="minor"/>
      </rPr>
      <t>ref</t>
    </r>
  </si>
  <si>
    <r>
      <t>Heat</t>
    </r>
    <r>
      <rPr>
        <vertAlign val="subscript"/>
        <sz val="11"/>
        <color theme="1"/>
        <rFont val="Calibri"/>
        <family val="2"/>
        <scheme val="minor"/>
      </rPr>
      <t>ref</t>
    </r>
  </si>
  <si>
    <t>CLU!D403:I507</t>
  </si>
  <si>
    <t>CLU!J403:O507</t>
  </si>
  <si>
    <t>CLU!P403:U507</t>
  </si>
  <si>
    <t>CLU!W403:Z417</t>
  </si>
  <si>
    <t>CLU!AA403:AD417</t>
  </si>
  <si>
    <t>CLU!AF403:AM409</t>
  </si>
  <si>
    <t>CLU!AP403:AP430</t>
  </si>
  <si>
    <t>CLU!D513:I617</t>
  </si>
  <si>
    <t>CLU!J513:O617</t>
  </si>
  <si>
    <t>CLU!P513:U617</t>
  </si>
  <si>
    <t>CLU!W513:Z527</t>
  </si>
  <si>
    <t>CLU!AA513:AD527</t>
  </si>
  <si>
    <t>CLU!AF513:AM519</t>
  </si>
  <si>
    <t>CLU!AP513:AP540</t>
  </si>
  <si>
    <r>
      <t>F</t>
    </r>
    <r>
      <rPr>
        <vertAlign val="subscript"/>
        <sz val="11"/>
        <color theme="1"/>
        <rFont val="Calibri"/>
        <family val="2"/>
        <scheme val="minor"/>
      </rPr>
      <t>NOZZLE</t>
    </r>
  </si>
  <si>
    <t>CLU!D623:I757</t>
  </si>
  <si>
    <t>CLU!J623:O757</t>
  </si>
  <si>
    <t>CLU!P623:U757</t>
  </si>
  <si>
    <t>CLU!W623:Z637</t>
  </si>
  <si>
    <t>CLU!AA623:AD637</t>
  </si>
  <si>
    <t>CLU!AF623:AM631</t>
  </si>
  <si>
    <t>CLU!AQ513:AQ532</t>
  </si>
  <si>
    <t>CLU!AQ163:AQ174</t>
  </si>
  <si>
    <t>CLU!AQ213:AQ232</t>
  </si>
  <si>
    <t>CLU!AQ403:AQ430</t>
  </si>
  <si>
    <t>CLU!AQ293:AQ320</t>
  </si>
  <si>
    <t>Nozzle-LU- All except CBAL-12</t>
  </si>
  <si>
    <t>Nozzle-LU - CBAL-12</t>
  </si>
  <si>
    <t>CLU!AP623:AP658</t>
  </si>
  <si>
    <t>CLU!AQ623:AQ658</t>
  </si>
  <si>
    <t>CBAM-00-4-2</t>
  </si>
  <si>
    <t>CBAM-00-4-4</t>
  </si>
  <si>
    <t>CBAB-00-1-2</t>
  </si>
  <si>
    <t>CBAB-00-1-4</t>
  </si>
  <si>
    <t>CBAC-00-1-2</t>
  </si>
  <si>
    <t>CBAC-00-1-4</t>
  </si>
  <si>
    <t>CBAS-00-1-2</t>
  </si>
  <si>
    <t>CBAS-00-1-4</t>
  </si>
  <si>
    <t>CBAV-00-1-2</t>
  </si>
  <si>
    <t>CBAV-00-1-4</t>
  </si>
  <si>
    <t>CBAW-00-1-2</t>
  </si>
  <si>
    <t>CBAW-00-1-4</t>
  </si>
  <si>
    <t>CBLV-00-2-2</t>
  </si>
  <si>
    <t>CBLV-00-2-4</t>
  </si>
  <si>
    <t>CLU!D764:I838</t>
  </si>
  <si>
    <t>CLU!J764:O838</t>
  </si>
  <si>
    <t>CLU!P764:U838</t>
  </si>
  <si>
    <t>CLU!AA764:AD778</t>
  </si>
  <si>
    <t>CLU!AF764:AM772</t>
  </si>
  <si>
    <t>CLU!AP764:AP799</t>
  </si>
  <si>
    <t>CLU!AQ764:AQ799</t>
  </si>
  <si>
    <t>CLU!W764:Z778</t>
  </si>
  <si>
    <t>CLU!AA163:AD177</t>
  </si>
  <si>
    <t>CLU!W163:Z177</t>
  </si>
  <si>
    <t>4 pipe (H/C)</t>
  </si>
  <si>
    <t>Airside Cooling</t>
  </si>
  <si>
    <t>Waterside Cooling</t>
  </si>
  <si>
    <t>Number of Zones</t>
  </si>
  <si>
    <t>Primary Air</t>
  </si>
  <si>
    <t>Chilled Water</t>
  </si>
  <si>
    <t>Hot Water</t>
  </si>
  <si>
    <t>Beam Quantity</t>
  </si>
  <si>
    <t>Total Area</t>
  </si>
  <si>
    <t>Total Beam Length</t>
  </si>
  <si>
    <t>Room Setpoints</t>
  </si>
  <si>
    <t>Cooling Temp.</t>
  </si>
  <si>
    <t>Heating Temp.</t>
  </si>
  <si>
    <t>Primary Air Conditions</t>
  </si>
  <si>
    <t>Water Conditions</t>
  </si>
  <si>
    <t>Chilled Beam System Design Summary</t>
  </si>
  <si>
    <t>Total Sensible Cooling</t>
  </si>
  <si>
    <t>Total Heating</t>
  </si>
  <si>
    <t>Ref/Room</t>
  </si>
  <si>
    <t>Ref</t>
  </si>
  <si>
    <t>As specified *</t>
  </si>
  <si>
    <t>Rapid Select</t>
  </si>
  <si>
    <t>Based On:</t>
  </si>
  <si>
    <r>
      <t>ΔP</t>
    </r>
    <r>
      <rPr>
        <b/>
        <vertAlign val="subscript"/>
        <sz val="10"/>
        <color theme="1"/>
        <rFont val="Calibri"/>
        <family val="2"/>
      </rPr>
      <t>INLET</t>
    </r>
  </si>
  <si>
    <r>
      <t>ΔP</t>
    </r>
    <r>
      <rPr>
        <b/>
        <vertAlign val="subscript"/>
        <sz val="10"/>
        <color rgb="FF0070C0"/>
        <rFont val="Calibri"/>
        <family val="2"/>
      </rPr>
      <t>CW</t>
    </r>
  </si>
  <si>
    <r>
      <t>ΔT</t>
    </r>
    <r>
      <rPr>
        <b/>
        <vertAlign val="subscript"/>
        <sz val="10"/>
        <color rgb="FF0070C0"/>
        <rFont val="Calibri"/>
        <family val="2"/>
      </rPr>
      <t>CW</t>
    </r>
  </si>
  <si>
    <r>
      <t>ΔP</t>
    </r>
    <r>
      <rPr>
        <b/>
        <vertAlign val="subscript"/>
        <sz val="10"/>
        <color rgb="FFC00000"/>
        <rFont val="Calibri"/>
        <family val="2"/>
      </rPr>
      <t>HW</t>
    </r>
  </si>
  <si>
    <r>
      <t>ΔT</t>
    </r>
    <r>
      <rPr>
        <b/>
        <vertAlign val="subscript"/>
        <sz val="10"/>
        <color rgb="FFC00000"/>
        <rFont val="Calibri"/>
        <family val="2"/>
      </rPr>
      <t>HW</t>
    </r>
  </si>
  <si>
    <r>
      <t>LWT</t>
    </r>
    <r>
      <rPr>
        <b/>
        <vertAlign val="subscript"/>
        <sz val="10"/>
        <color rgb="FF0070C0"/>
        <rFont val="Calibri"/>
        <family val="2"/>
      </rPr>
      <t>CW</t>
    </r>
  </si>
  <si>
    <r>
      <t>LWT</t>
    </r>
    <r>
      <rPr>
        <b/>
        <vertAlign val="subscript"/>
        <sz val="10"/>
        <color rgb="FFC00000"/>
        <rFont val="Calibri"/>
        <family val="2"/>
      </rPr>
      <t>HW</t>
    </r>
  </si>
  <si>
    <r>
      <t>H</t>
    </r>
    <r>
      <rPr>
        <vertAlign val="subscript"/>
        <sz val="10"/>
        <rFont val="Calibri"/>
        <family val="2"/>
      </rPr>
      <t>OZ</t>
    </r>
    <r>
      <rPr>
        <sz val="10"/>
        <rFont val="Calibri"/>
        <family val="2"/>
      </rPr>
      <t xml:space="preserve"> + H</t>
    </r>
  </si>
  <si>
    <r>
      <t>H</t>
    </r>
    <r>
      <rPr>
        <vertAlign val="subscript"/>
        <sz val="10"/>
        <rFont val="Calibri"/>
        <family val="2"/>
      </rPr>
      <t>OZ</t>
    </r>
  </si>
  <si>
    <r>
      <t>V</t>
    </r>
    <r>
      <rPr>
        <b/>
        <vertAlign val="subscript"/>
        <sz val="10"/>
        <color theme="0"/>
        <rFont val="Calibri"/>
        <family val="2"/>
      </rPr>
      <t>OZ</t>
    </r>
  </si>
  <si>
    <r>
      <t>T</t>
    </r>
    <r>
      <rPr>
        <b/>
        <vertAlign val="subscript"/>
        <sz val="10"/>
        <color theme="0"/>
        <rFont val="Calibri"/>
        <family val="2"/>
      </rPr>
      <t>OZ</t>
    </r>
  </si>
  <si>
    <r>
      <t>V</t>
    </r>
    <r>
      <rPr>
        <b/>
        <vertAlign val="subscript"/>
        <sz val="10"/>
        <color theme="0"/>
        <rFont val="Calibri"/>
        <family val="2"/>
      </rPr>
      <t>W</t>
    </r>
  </si>
  <si>
    <r>
      <t>T</t>
    </r>
    <r>
      <rPr>
        <b/>
        <vertAlign val="subscript"/>
        <sz val="10"/>
        <color theme="0"/>
        <rFont val="Calibri"/>
        <family val="2"/>
      </rPr>
      <t>W</t>
    </r>
  </si>
  <si>
    <t>T4</t>
  </si>
  <si>
    <t>2-1S</t>
  </si>
  <si>
    <t>2-2S</t>
  </si>
  <si>
    <t>2-4S</t>
  </si>
  <si>
    <t>3-1S</t>
  </si>
  <si>
    <t>3-2S</t>
  </si>
  <si>
    <t>4-1S</t>
  </si>
  <si>
    <t>4-2S</t>
  </si>
  <si>
    <t>4-4S</t>
  </si>
  <si>
    <t>5-1S</t>
  </si>
  <si>
    <t>5-2S</t>
  </si>
  <si>
    <t>6-1S</t>
  </si>
  <si>
    <t>6-2S</t>
  </si>
  <si>
    <t>7-1S</t>
  </si>
  <si>
    <t>7-2S</t>
  </si>
  <si>
    <t>8-1S</t>
  </si>
  <si>
    <t>8-2S</t>
  </si>
  <si>
    <t>9-1S</t>
  </si>
  <si>
    <t>9-2S</t>
  </si>
  <si>
    <t>Grains</t>
  </si>
  <si>
    <t>Gr</t>
  </si>
  <si>
    <t>Conv</t>
  </si>
  <si>
    <t>(in. WG)</t>
  </si>
  <si>
    <t>(°F)</t>
  </si>
  <si>
    <r>
      <t>(FT H</t>
    </r>
    <r>
      <rPr>
        <vertAlign val="subscript"/>
        <sz val="8"/>
        <rFont val="Arial"/>
        <family val="2"/>
      </rPr>
      <t>2</t>
    </r>
    <r>
      <rPr>
        <sz val="8"/>
        <rFont val="Arial"/>
        <family val="2"/>
      </rPr>
      <t>0)</t>
    </r>
  </si>
  <si>
    <t>(BTU/H)</t>
  </si>
  <si>
    <t>No Minimum</t>
  </si>
  <si>
    <t>COIL CAP. BTU/H</t>
  </si>
  <si>
    <t>Higher Qty (Best Efficiency)</t>
  </si>
  <si>
    <t>Lower Qty (Less Efficiency)</t>
  </si>
  <si>
    <t>Standard Qty (Good Efficiency)</t>
  </si>
  <si>
    <r>
      <t>1 per 250 ft</t>
    </r>
    <r>
      <rPr>
        <sz val="11"/>
        <color theme="1"/>
        <rFont val="Univers 55"/>
        <family val="2"/>
      </rPr>
      <t>²</t>
    </r>
  </si>
  <si>
    <r>
      <t>1 per 300 ft</t>
    </r>
    <r>
      <rPr>
        <sz val="11"/>
        <color theme="1"/>
        <rFont val="Univers 55"/>
        <family val="2"/>
      </rPr>
      <t>²</t>
    </r>
  </si>
  <si>
    <r>
      <t>1 per 350 ft</t>
    </r>
    <r>
      <rPr>
        <sz val="11"/>
        <color theme="1"/>
        <rFont val="Univers 55"/>
        <family val="2"/>
      </rPr>
      <t>²</t>
    </r>
  </si>
  <si>
    <r>
      <t xml:space="preserve">Note: VW conditions presented are within </t>
    </r>
    <r>
      <rPr>
        <b/>
        <i/>
        <sz val="10"/>
        <color rgb="FFFF0000"/>
        <rFont val="Calibri"/>
        <family val="2"/>
        <scheme val="minor"/>
      </rPr>
      <t>2" (heating)</t>
    </r>
    <r>
      <rPr>
        <b/>
        <i/>
        <sz val="10"/>
        <color theme="1"/>
        <rFont val="Calibri"/>
        <family val="2"/>
        <scheme val="minor"/>
      </rPr>
      <t xml:space="preserve"> &amp; </t>
    </r>
    <r>
      <rPr>
        <b/>
        <i/>
        <sz val="10"/>
        <color rgb="FF00B0F0"/>
        <rFont val="Calibri"/>
        <family val="2"/>
        <scheme val="minor"/>
      </rPr>
      <t xml:space="preserve">6" (cooling) </t>
    </r>
    <r>
      <rPr>
        <b/>
        <i/>
        <sz val="10"/>
        <color theme="1"/>
        <rFont val="Calibri"/>
        <family val="2"/>
        <scheme val="minor"/>
      </rPr>
      <t>of outside wall.</t>
    </r>
  </si>
  <si>
    <t>Air/Water Clg. Ratio</t>
  </si>
  <si>
    <t>M13</t>
  </si>
  <si>
    <t>M17</t>
  </si>
  <si>
    <t>M23</t>
  </si>
  <si>
    <t>M31</t>
  </si>
  <si>
    <r>
      <t>IR</t>
    </r>
    <r>
      <rPr>
        <vertAlign val="subscript"/>
        <sz val="10"/>
        <color theme="1"/>
        <rFont val="Calibri"/>
        <family val="2"/>
        <scheme val="minor"/>
      </rPr>
      <t>M13</t>
    </r>
  </si>
  <si>
    <r>
      <t>IR</t>
    </r>
    <r>
      <rPr>
        <vertAlign val="subscript"/>
        <sz val="10"/>
        <color theme="1"/>
        <rFont val="Calibri"/>
        <family val="2"/>
        <scheme val="minor"/>
      </rPr>
      <t>M17</t>
    </r>
  </si>
  <si>
    <r>
      <t>IR</t>
    </r>
    <r>
      <rPr>
        <vertAlign val="subscript"/>
        <sz val="10"/>
        <color theme="1"/>
        <rFont val="Calibri"/>
        <family val="2"/>
        <scheme val="minor"/>
      </rPr>
      <t>M23</t>
    </r>
  </si>
  <si>
    <r>
      <t>IR</t>
    </r>
    <r>
      <rPr>
        <vertAlign val="subscript"/>
        <sz val="10"/>
        <color theme="1"/>
        <rFont val="Calibri"/>
        <family val="2"/>
        <scheme val="minor"/>
      </rPr>
      <t>M31</t>
    </r>
  </si>
  <si>
    <t>CBAL2</t>
  </si>
  <si>
    <t>CBAL2-0</t>
  </si>
  <si>
    <t>CLU!AR513:AR532</t>
  </si>
  <si>
    <t>CLU!AR623:AR658</t>
  </si>
  <si>
    <t>CLU!AR163:AR174</t>
  </si>
  <si>
    <t>CLU!AR764:AR799</t>
  </si>
  <si>
    <t>CLU!AR213:AR232</t>
  </si>
  <si>
    <t>CLU!AR403:AR430</t>
  </si>
  <si>
    <t>CLU!AR293:AR320</t>
  </si>
  <si>
    <t>Kfactor</t>
  </si>
  <si>
    <t>CBE2-24</t>
  </si>
  <si>
    <t>CBE2-12</t>
  </si>
  <si>
    <t>CBAL2-0-2-2</t>
  </si>
  <si>
    <t>CBAL2-0-1-2</t>
  </si>
  <si>
    <t>CBE2-24-2-2</t>
  </si>
  <si>
    <t>CBE2-24-1-2</t>
  </si>
  <si>
    <t>CBAL2-0-2-4</t>
  </si>
  <si>
    <t>CBAL2-0-1-4</t>
  </si>
  <si>
    <t>CBE2-24-2-4</t>
  </si>
  <si>
    <t>CBE2-24-1-4</t>
  </si>
  <si>
    <t>Nozzle Size</t>
  </si>
  <si>
    <t>CBLV-12</t>
  </si>
  <si>
    <t>CBLV-12-1</t>
  </si>
  <si>
    <t>CBLV-12-2</t>
  </si>
  <si>
    <t>CBE2-12-1</t>
  </si>
  <si>
    <t>CBE2-12-2</t>
  </si>
  <si>
    <t>CBLV-12-2-2</t>
  </si>
  <si>
    <t>CBLV-12-1-2</t>
  </si>
  <si>
    <t>CBLV-12-2-4</t>
  </si>
  <si>
    <t>CBLV-12-1-4</t>
  </si>
  <si>
    <t>CBE2-12-2-2</t>
  </si>
  <si>
    <t>CBE2-12-1-2</t>
  </si>
  <si>
    <t>CBE2-12-2-4</t>
  </si>
  <si>
    <t>CBE2-12-1-4</t>
  </si>
  <si>
    <t>Version 5.0</t>
  </si>
  <si>
    <t>M20</t>
  </si>
  <si>
    <t>M27</t>
  </si>
  <si>
    <t>CLU!AP23:AP76</t>
  </si>
  <si>
    <t>CLU!AQ23:AQ76</t>
  </si>
  <si>
    <t>CLU!AR23:AR76</t>
  </si>
  <si>
    <t>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</si>
</sst>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
    <numFmt numFmtId="165" formatCode="#,##0.0"/>
    <numFmt numFmtId="166" formatCode="0.0000"/>
    <numFmt numFmtId="167" formatCode="0.000"/>
    <numFmt numFmtId="168" formatCode="0.00000"/>
    <numFmt numFmtId="169" formatCode="0.000000"/>
    <numFmt numFmtId="170" formatCode="[$-10409]0;\(0\)"/>
    <numFmt numFmtId="171" formatCode="[$-10409]0.0;\(0.0\)"/>
    <numFmt numFmtId="172" formatCode="[$-10409]0.00;\(0.00\)"/>
    <numFmt numFmtId="173" formatCode="#,##0.000"/>
    <numFmt numFmtId="174" formatCode="0.00_);\(0.00\)"/>
    <numFmt numFmtId="175" formatCode="0.0_);\(0.0\)"/>
    <numFmt numFmtId="176" formatCode="#\ \f\t"/>
    <numFmt numFmtId="177" formatCode="_(* #,##0_);_(* \(#,##0\);_(* &quot;-&quot;??_);_(@_)"/>
    <numFmt numFmtId="178" formatCode="#\ &quot;sq ft&quot;"/>
    <numFmt numFmtId="179" formatCode="#\ &quot;GPM&quot;"/>
    <numFmt numFmtId="180" formatCode="#,###\ &quot;CFM&quot;"/>
    <numFmt numFmtId="181" formatCode="#,###\ \f\t"/>
    <numFmt numFmtId="182" formatCode="#,###\ &quot;btu/h&quot;"/>
    <numFmt numFmtId="183" formatCode="#\ &quot;Gr&quot;"/>
    <numFmt numFmtId="184" formatCode="#\ &quot;°F&quot;"/>
  </numFmts>
  <fonts count="125">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b/>
      <sz val="11"/>
      <color rgb="FFC00000"/>
      <name val="Calibri"/>
      <family val="2"/>
      <scheme val="minor"/>
    </font>
    <font>
      <sz val="11"/>
      <color rgb="FFC00000"/>
      <name val="Calibri"/>
      <family val="2"/>
      <scheme val="minor"/>
    </font>
    <font>
      <sz val="14"/>
      <color theme="1"/>
      <name val="Calibri"/>
      <family val="2"/>
      <scheme val="minor"/>
    </font>
    <font>
      <vertAlign val="subscript"/>
      <sz val="11"/>
      <color theme="1"/>
      <name val="Calibri"/>
      <family val="2"/>
      <scheme val="minor"/>
    </font>
    <font>
      <b/>
      <sz val="10"/>
      <color theme="1"/>
      <name val="Calibri"/>
      <family val="2"/>
      <scheme val="minor"/>
    </font>
    <font>
      <b/>
      <vertAlign val="subscript"/>
      <sz val="11"/>
      <color theme="1"/>
      <name val="Calibri"/>
      <family val="2"/>
      <scheme val="minor"/>
    </font>
    <font>
      <sz val="10"/>
      <color theme="1"/>
      <name val="Calibri"/>
      <family val="2"/>
      <scheme val="minor"/>
    </font>
    <font>
      <b/>
      <sz val="10"/>
      <color rgb="FF0070C0"/>
      <name val="Calibri"/>
      <family val="2"/>
      <scheme val="minor"/>
    </font>
    <font>
      <b/>
      <vertAlign val="subscript"/>
      <sz val="10"/>
      <color rgb="FF0070C0"/>
      <name val="Calibri"/>
      <family val="2"/>
      <scheme val="minor"/>
    </font>
    <font>
      <sz val="11"/>
      <color rgb="FF0070C0"/>
      <name val="Calibri"/>
      <family val="2"/>
      <scheme val="minor"/>
    </font>
    <font>
      <b/>
      <sz val="11"/>
      <color rgb="FF0070C0"/>
      <name val="Calibri"/>
      <family val="2"/>
      <scheme val="minor"/>
    </font>
    <font>
      <b/>
      <sz val="10"/>
      <color rgb="FFC00000"/>
      <name val="Calibri"/>
      <family val="2"/>
      <scheme val="minor"/>
    </font>
    <font>
      <b/>
      <vertAlign val="subscript"/>
      <sz val="10"/>
      <color rgb="FFC00000"/>
      <name val="Calibri"/>
      <family val="2"/>
      <scheme val="minor"/>
    </font>
    <font>
      <b/>
      <sz val="10"/>
      <color theme="1"/>
      <name val="Calibri"/>
      <family val="2"/>
    </font>
    <font>
      <i/>
      <sz val="10"/>
      <color theme="1"/>
      <name val="Calibri"/>
      <family val="2"/>
      <scheme val="minor"/>
    </font>
    <font>
      <b/>
      <i/>
      <sz val="11"/>
      <color theme="9" tint="-0.249977111117893"/>
      <name val="Calibri"/>
      <family val="2"/>
      <scheme val="minor"/>
    </font>
    <font>
      <b/>
      <i/>
      <vertAlign val="subscript"/>
      <sz val="11"/>
      <color theme="9" tint="-0.249977111117893"/>
      <name val="Calibri"/>
      <family val="2"/>
      <scheme val="minor"/>
    </font>
    <font>
      <sz val="11"/>
      <name val="Calibri"/>
      <family val="2"/>
      <scheme val="minor"/>
    </font>
    <font>
      <vertAlign val="subscript"/>
      <sz val="10"/>
      <color theme="1"/>
      <name val="Calibri"/>
      <family val="2"/>
      <scheme val="minor"/>
    </font>
    <font>
      <sz val="10"/>
      <color rgb="FF0070C0"/>
      <name val="Calibri"/>
      <family val="2"/>
      <scheme val="minor"/>
    </font>
    <font>
      <sz val="10"/>
      <color rgb="FFC00000"/>
      <name val="Calibri"/>
      <family val="2"/>
      <scheme val="minor"/>
    </font>
    <font>
      <sz val="10"/>
      <color theme="1"/>
      <name val="Calibri"/>
      <family val="2"/>
    </font>
    <font>
      <sz val="9"/>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i/>
      <sz val="9"/>
      <color theme="1"/>
      <name val="Calibri"/>
      <family val="2"/>
      <scheme val="minor"/>
    </font>
    <font>
      <b/>
      <sz val="12"/>
      <color rgb="FF0070C0"/>
      <name val="Calibri"/>
      <family val="2"/>
      <scheme val="minor"/>
    </font>
    <font>
      <sz val="11"/>
      <color theme="1"/>
      <name val="Calibri"/>
      <family val="2"/>
    </font>
    <font>
      <vertAlign val="subscript"/>
      <sz val="11"/>
      <color theme="1"/>
      <name val="Calibri"/>
      <family val="2"/>
    </font>
    <font>
      <sz val="11"/>
      <color rgb="FFFF0000"/>
      <name val="Calibri"/>
      <family val="2"/>
      <scheme val="minor"/>
    </font>
    <font>
      <sz val="9"/>
      <color rgb="FFFF0000"/>
      <name val="Calibri"/>
      <family val="2"/>
      <scheme val="minor"/>
    </font>
    <font>
      <sz val="8"/>
      <color rgb="FFFF0000"/>
      <name val="Calibri"/>
      <family val="2"/>
      <scheme val="minor"/>
    </font>
    <font>
      <sz val="10"/>
      <color rgb="FFFF0000"/>
      <name val="Calibri"/>
      <family val="2"/>
      <scheme val="minor"/>
    </font>
    <font>
      <vertAlign val="subscript"/>
      <sz val="11"/>
      <name val="Calibri"/>
      <family val="2"/>
      <scheme val="minor"/>
    </font>
    <font>
      <sz val="8"/>
      <name val="Calibri"/>
      <family val="2"/>
      <scheme val="minor"/>
    </font>
    <font>
      <b/>
      <sz val="14"/>
      <color theme="1"/>
      <name val="Calibri"/>
      <family val="2"/>
      <scheme val="minor"/>
    </font>
    <font>
      <b/>
      <sz val="11"/>
      <color theme="1"/>
      <name val="Calibri"/>
      <family val="2"/>
    </font>
    <font>
      <b/>
      <sz val="12"/>
      <color rgb="FFC00000"/>
      <name val="Calibri"/>
      <family val="2"/>
    </font>
    <font>
      <i/>
      <sz val="12"/>
      <name val="Calibri"/>
      <family val="2"/>
      <scheme val="minor"/>
    </font>
    <font>
      <sz val="9"/>
      <name val="Calibri"/>
      <family val="2"/>
      <scheme val="minor"/>
    </font>
    <font>
      <i/>
      <sz val="12"/>
      <color theme="1"/>
      <name val="Calibri"/>
      <family val="2"/>
      <scheme val="minor"/>
    </font>
    <font>
      <sz val="12"/>
      <name val="Calibri"/>
      <family val="2"/>
    </font>
    <font>
      <b/>
      <sz val="14"/>
      <color theme="1"/>
      <name val="Calibri"/>
      <family val="2"/>
    </font>
    <font>
      <sz val="9"/>
      <color indexed="81"/>
      <name val="Tahoma"/>
      <family val="2"/>
    </font>
    <font>
      <b/>
      <sz val="9"/>
      <color indexed="81"/>
      <name val="Tahoma"/>
      <family val="2"/>
    </font>
    <font>
      <sz val="11"/>
      <name val="Calibri"/>
      <family val="2"/>
    </font>
    <font>
      <b/>
      <sz val="11"/>
      <name val="Calibri"/>
      <family val="2"/>
      <scheme val="minor"/>
    </font>
    <font>
      <b/>
      <sz val="12"/>
      <name val="Calibri"/>
      <family val="2"/>
    </font>
    <font>
      <i/>
      <sz val="11"/>
      <color rgb="FFFF0000"/>
      <name val="Calibri"/>
      <family val="2"/>
      <scheme val="minor"/>
    </font>
    <font>
      <sz val="12"/>
      <name val="Calibri"/>
      <family val="2"/>
      <scheme val="minor"/>
    </font>
    <font>
      <sz val="10"/>
      <name val="Arial"/>
      <family val="2"/>
    </font>
    <font>
      <sz val="8"/>
      <color indexed="8"/>
      <name val="Arial"/>
      <family val="2"/>
    </font>
    <font>
      <sz val="8"/>
      <name val="Arial"/>
      <family val="2"/>
    </font>
    <font>
      <b/>
      <sz val="8"/>
      <name val="Arial"/>
      <family val="2"/>
    </font>
    <font>
      <b/>
      <i/>
      <sz val="9"/>
      <name val="Arial"/>
      <family val="2"/>
    </font>
    <font>
      <b/>
      <i/>
      <sz val="12.45"/>
      <name val="Arial"/>
      <family val="2"/>
    </font>
    <font>
      <sz val="22"/>
      <color theme="1"/>
      <name val="Calibri"/>
      <family val="2"/>
      <scheme val="minor"/>
    </font>
    <font>
      <b/>
      <sz val="28"/>
      <color theme="1"/>
      <name val="Calibri"/>
      <family val="2"/>
      <scheme val="minor"/>
    </font>
    <font>
      <b/>
      <sz val="14"/>
      <name val="Calibri"/>
      <family val="2"/>
      <scheme val="minor"/>
    </font>
    <font>
      <sz val="16"/>
      <color theme="0"/>
      <name val="Calibri"/>
      <family val="2"/>
      <scheme val="minor"/>
    </font>
    <font>
      <b/>
      <sz val="12"/>
      <name val="Calibri"/>
      <family val="2"/>
      <scheme val="minor"/>
    </font>
    <font>
      <b/>
      <sz val="10"/>
      <name val="Arial"/>
      <family val="2"/>
    </font>
    <font>
      <vertAlign val="subscript"/>
      <sz val="8"/>
      <name val="Arial"/>
      <family val="2"/>
    </font>
    <font>
      <sz val="8"/>
      <name val="Calibri"/>
      <family val="2"/>
    </font>
    <font>
      <b/>
      <sz val="9"/>
      <color rgb="FF7030A0"/>
      <name val="Calibri"/>
      <family val="2"/>
      <scheme val="minor"/>
    </font>
    <font>
      <u/>
      <sz val="11"/>
      <color theme="10"/>
      <name val="Calibri"/>
      <family val="2"/>
      <scheme val="minor"/>
    </font>
    <font>
      <sz val="9"/>
      <name val="Calibri"/>
      <family val="2"/>
    </font>
    <font>
      <b/>
      <sz val="10"/>
      <name val="Calibri"/>
      <family val="2"/>
      <scheme val="minor"/>
    </font>
    <font>
      <sz val="11"/>
      <color theme="1"/>
      <name val="Calibri"/>
      <family val="2"/>
      <scheme val="minor"/>
    </font>
    <font>
      <b/>
      <i/>
      <sz val="11"/>
      <color theme="1"/>
      <name val="Calibri"/>
      <family val="2"/>
      <scheme val="minor"/>
    </font>
    <font>
      <i/>
      <sz val="8"/>
      <color theme="1"/>
      <name val="Calibri"/>
      <family val="2"/>
      <scheme val="minor"/>
    </font>
    <font>
      <i/>
      <sz val="11"/>
      <color theme="1"/>
      <name val="Calibri"/>
      <family val="2"/>
      <scheme val="minor"/>
    </font>
    <font>
      <sz val="36"/>
      <color theme="10"/>
      <name val="Calibri"/>
      <family val="2"/>
      <scheme val="minor"/>
    </font>
    <font>
      <i/>
      <sz val="18"/>
      <color rgb="FFFF0000"/>
      <name val="Calibri"/>
      <family val="2"/>
      <scheme val="minor"/>
    </font>
    <font>
      <i/>
      <sz val="28"/>
      <color rgb="FFFF0000"/>
      <name val="Calibri"/>
      <family val="2"/>
      <scheme val="minor"/>
    </font>
    <font>
      <u/>
      <sz val="11"/>
      <color theme="1"/>
      <name val="Calibri"/>
      <family val="2"/>
      <scheme val="minor"/>
    </font>
    <font>
      <b/>
      <sz val="10"/>
      <color theme="0"/>
      <name val="Calibri"/>
      <family val="2"/>
    </font>
    <font>
      <b/>
      <sz val="10"/>
      <name val="Calibri"/>
      <family val="2"/>
    </font>
    <font>
      <sz val="10"/>
      <name val="Calibri"/>
      <family val="2"/>
    </font>
    <font>
      <b/>
      <sz val="10"/>
      <color rgb="FF0070C0"/>
      <name val="Calibri"/>
      <family val="2"/>
    </font>
    <font>
      <b/>
      <sz val="10"/>
      <color rgb="FFC00000"/>
      <name val="Calibri"/>
      <family val="2"/>
    </font>
    <font>
      <b/>
      <i/>
      <sz val="10"/>
      <color theme="1"/>
      <name val="Calibri"/>
      <family val="2"/>
      <scheme val="minor"/>
    </font>
    <font>
      <sz val="14"/>
      <name val="Calibri"/>
      <family val="2"/>
      <scheme val="minor"/>
    </font>
    <font>
      <sz val="20"/>
      <color theme="1"/>
      <name val="Calibri"/>
      <family val="2"/>
      <scheme val="minor"/>
    </font>
    <font>
      <sz val="20"/>
      <color theme="0"/>
      <name val="Calibri"/>
      <family val="2"/>
      <scheme val="minor"/>
    </font>
    <font>
      <vertAlign val="subscript"/>
      <sz val="20"/>
      <color theme="0"/>
      <name val="Calibri"/>
      <family val="2"/>
      <scheme val="minor"/>
    </font>
    <font>
      <sz val="10"/>
      <color theme="0"/>
      <name val="Calibri"/>
      <family val="2"/>
      <scheme val="minor"/>
    </font>
    <font>
      <sz val="10"/>
      <color theme="0"/>
      <name val="Calibri"/>
      <family val="2"/>
    </font>
    <font>
      <b/>
      <sz val="10"/>
      <color rgb="FF7030A0"/>
      <name val="Calibri"/>
      <family val="2"/>
      <scheme val="minor"/>
    </font>
    <font>
      <i/>
      <sz val="16"/>
      <color theme="0"/>
      <name val="Calibri"/>
      <family val="2"/>
      <scheme val="minor"/>
    </font>
    <font>
      <i/>
      <sz val="22"/>
      <color theme="1"/>
      <name val="Calibri"/>
      <family val="2"/>
      <scheme val="minor"/>
    </font>
    <font>
      <b/>
      <sz val="16"/>
      <color theme="1"/>
      <name val="Calibri"/>
      <family val="2"/>
      <scheme val="minor"/>
    </font>
    <font>
      <sz val="11"/>
      <color theme="1" tint="4.9989318521683403E-2"/>
      <name val="Calibri"/>
      <family val="2"/>
      <scheme val="minor"/>
    </font>
    <font>
      <sz val="18"/>
      <color theme="1"/>
      <name val="Calibri"/>
      <family val="2"/>
      <scheme val="minor"/>
    </font>
    <font>
      <b/>
      <sz val="18"/>
      <color theme="1"/>
      <name val="Calibri"/>
      <family val="2"/>
      <scheme val="minor"/>
    </font>
    <font>
      <b/>
      <sz val="9"/>
      <name val="Calibri"/>
      <family val="2"/>
      <scheme val="minor"/>
    </font>
    <font>
      <b/>
      <vertAlign val="subscript"/>
      <sz val="10"/>
      <color theme="1"/>
      <name val="Calibri"/>
      <family val="2"/>
    </font>
    <font>
      <b/>
      <vertAlign val="subscript"/>
      <sz val="10"/>
      <color rgb="FF0070C0"/>
      <name val="Calibri"/>
      <family val="2"/>
    </font>
    <font>
      <b/>
      <vertAlign val="subscript"/>
      <sz val="10"/>
      <color rgb="FFC00000"/>
      <name val="Calibri"/>
      <family val="2"/>
    </font>
    <font>
      <sz val="10"/>
      <color rgb="FF0070C0"/>
      <name val="Calibri"/>
      <family val="2"/>
    </font>
    <font>
      <sz val="10"/>
      <color rgb="FFC00000"/>
      <name val="Calibri"/>
      <family val="2"/>
    </font>
    <font>
      <b/>
      <i/>
      <sz val="10"/>
      <color rgb="FF0070C0"/>
      <name val="Calibri"/>
      <family val="2"/>
      <scheme val="minor"/>
    </font>
    <font>
      <b/>
      <i/>
      <sz val="10"/>
      <color rgb="FFC00000"/>
      <name val="Calibri"/>
      <family val="2"/>
      <scheme val="minor"/>
    </font>
    <font>
      <i/>
      <sz val="10"/>
      <color rgb="FF0070C0"/>
      <name val="Calibri"/>
      <family val="2"/>
      <scheme val="minor"/>
    </font>
    <font>
      <i/>
      <sz val="10"/>
      <color rgb="FFC00000"/>
      <name val="Calibri"/>
      <family val="2"/>
      <scheme val="minor"/>
    </font>
    <font>
      <sz val="10"/>
      <color rgb="FFFF0000"/>
      <name val="Calibri"/>
      <family val="2"/>
    </font>
    <font>
      <vertAlign val="subscript"/>
      <sz val="10"/>
      <name val="Calibri"/>
      <family val="2"/>
    </font>
    <font>
      <b/>
      <vertAlign val="subscript"/>
      <sz val="10"/>
      <color theme="0"/>
      <name val="Calibri"/>
      <family val="2"/>
    </font>
    <font>
      <sz val="12"/>
      <color rgb="FF0000FF"/>
      <name val="Calibri"/>
      <family val="2"/>
      <scheme val="minor"/>
    </font>
    <font>
      <sz val="12"/>
      <color rgb="FFFF0000"/>
      <name val="Calibri"/>
      <family val="2"/>
      <scheme val="minor"/>
    </font>
    <font>
      <sz val="12"/>
      <color theme="0"/>
      <name val="Calibri"/>
      <family val="2"/>
      <scheme val="minor"/>
    </font>
    <font>
      <b/>
      <i/>
      <sz val="9"/>
      <color indexed="81"/>
      <name val="Tahoma"/>
      <family val="2"/>
    </font>
    <font>
      <sz val="8"/>
      <color indexed="81"/>
      <name val="Tahoma"/>
      <family val="2"/>
    </font>
    <font>
      <sz val="11"/>
      <color theme="1"/>
      <name val="Univers 55"/>
      <family val="2"/>
    </font>
    <font>
      <b/>
      <i/>
      <sz val="10"/>
      <color rgb="FFFF0000"/>
      <name val="Calibri"/>
      <family val="2"/>
      <scheme val="minor"/>
    </font>
    <font>
      <b/>
      <i/>
      <sz val="10"/>
      <color rgb="FF00B0F0"/>
      <name val="Calibri"/>
      <family val="2"/>
      <scheme val="minor"/>
    </font>
    <font>
      <i/>
      <sz val="16"/>
      <color theme="1"/>
      <name val="Calibri"/>
      <family val="2"/>
      <scheme val="minor"/>
    </font>
    <font>
      <sz val="8"/>
      <color theme="1"/>
      <name val="Arial"/>
      <family val="2"/>
    </font>
  </fonts>
  <fills count="29">
    <fill>
      <patternFill patternType="none"/>
    </fill>
    <fill>
      <patternFill patternType="gray125"/>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39997558519241921"/>
        <bgColor indexed="64"/>
      </patternFill>
    </fill>
    <fill>
      <patternFill patternType="solid">
        <fgColor rgb="FF0070C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0.249977111117893"/>
        <bgColor indexed="64"/>
      </patternFill>
    </fill>
    <fill>
      <patternFill patternType="solid">
        <fgColor rgb="FFC00000"/>
        <bgColor indexed="64"/>
      </patternFill>
    </fill>
    <fill>
      <patternFill patternType="solid">
        <fgColor rgb="FF7030A0"/>
        <bgColor indexed="64"/>
      </patternFill>
    </fill>
    <fill>
      <patternFill patternType="solid">
        <fgColor rgb="FF00B050"/>
        <bgColor indexed="64"/>
      </patternFill>
    </fill>
    <fill>
      <patternFill patternType="solid">
        <fgColor rgb="FFFF000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theme="0" tint="-4.9989318521683403E-2"/>
        <bgColor indexed="0"/>
      </patternFill>
    </fill>
    <fill>
      <patternFill patternType="solid">
        <fgColor rgb="FFDFE7FD"/>
        <bgColor indexed="64"/>
      </patternFill>
    </fill>
    <fill>
      <patternFill patternType="solid">
        <fgColor rgb="FF00A3E2"/>
        <bgColor indexed="64"/>
      </patternFill>
    </fill>
    <fill>
      <patternFill patternType="solid">
        <fgColor theme="3" tint="0.59999389629810485"/>
        <bgColor indexed="64"/>
      </patternFill>
    </fill>
    <fill>
      <gradientFill degree="270">
        <stop position="0">
          <color theme="0"/>
        </stop>
        <stop position="1">
          <color theme="4" tint="-0.49803155613879818"/>
        </stop>
      </gradientFill>
    </fill>
  </fills>
  <borders count="10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thin">
        <color indexed="8"/>
      </right>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theme="0" tint="-0.14996795556505021"/>
      </bottom>
      <diagonal/>
    </border>
    <border>
      <left/>
      <right/>
      <top/>
      <bottom style="thin">
        <color theme="0" tint="-0.14996795556505021"/>
      </bottom>
      <diagonal/>
    </border>
    <border>
      <left style="thin">
        <color indexed="64"/>
      </left>
      <right/>
      <top/>
      <bottom style="thin">
        <color theme="0" tint="-0.14996795556505021"/>
      </bottom>
      <diagonal/>
    </border>
    <border>
      <left/>
      <right style="thin">
        <color indexed="64"/>
      </right>
      <top/>
      <bottom style="thin">
        <color theme="0" tint="-0.14996795556505021"/>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ck">
        <color theme="4" tint="-0.499984740745262"/>
      </left>
      <right/>
      <top/>
      <bottom/>
      <diagonal/>
    </border>
    <border>
      <left/>
      <right/>
      <top style="thick">
        <color theme="4" tint="-0.24994659260841701"/>
      </top>
      <bottom/>
      <diagonal/>
    </border>
    <border>
      <left/>
      <right/>
      <top/>
      <bottom style="thick">
        <color theme="0" tint="-4.9989318521683403E-2"/>
      </bottom>
      <diagonal/>
    </border>
    <border>
      <left/>
      <right style="thick">
        <color theme="0" tint="-4.9989318521683403E-2"/>
      </right>
      <top/>
      <bottom/>
      <diagonal/>
    </border>
    <border>
      <left style="thick">
        <color theme="1" tint="0.34998626667073579"/>
      </left>
      <right style="thick">
        <color theme="0" tint="-4.9989318521683403E-2"/>
      </right>
      <top style="thick">
        <color theme="1" tint="0.34998626667073579"/>
      </top>
      <bottom style="thick">
        <color theme="0" tint="-4.9989318521683403E-2"/>
      </bottom>
      <diagonal/>
    </border>
    <border>
      <left style="thick">
        <color theme="1" tint="0.34998626667073579"/>
      </left>
      <right style="thick">
        <color theme="0" tint="-4.9989318521683403E-2"/>
      </right>
      <top style="thick">
        <color theme="1" tint="0.34998626667073579"/>
      </top>
      <bottom/>
      <diagonal/>
    </border>
    <border>
      <left style="thick">
        <color theme="1" tint="0.34998626667073579"/>
      </left>
      <right style="thick">
        <color theme="0" tint="-4.9989318521683403E-2"/>
      </right>
      <top style="thin">
        <color indexed="64"/>
      </top>
      <bottom style="thick">
        <color theme="0" tint="-4.9989318521683403E-2"/>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0" tint="-4.9989318521683403E-2"/>
      </right>
      <top style="thick">
        <color theme="1" tint="0.34998626667073579"/>
      </top>
      <bottom/>
      <diagonal/>
    </border>
    <border>
      <left style="thick">
        <color theme="1" tint="0.34998626667073579"/>
      </left>
      <right/>
      <top/>
      <bottom style="thick">
        <color theme="0" tint="-4.9989318521683403E-2"/>
      </bottom>
      <diagonal/>
    </border>
    <border>
      <left/>
      <right style="thick">
        <color theme="0" tint="-4.9989318521683403E-2"/>
      </right>
      <top/>
      <bottom style="thick">
        <color theme="0" tint="-4.9989318521683403E-2"/>
      </bottom>
      <diagonal/>
    </border>
    <border>
      <left style="thick">
        <color theme="1" tint="0.34998626667073579"/>
      </left>
      <right/>
      <top style="thin">
        <color indexed="64"/>
      </top>
      <bottom style="thick">
        <color theme="0" tint="-4.9989318521683403E-2"/>
      </bottom>
      <diagonal/>
    </border>
    <border>
      <left style="thick">
        <color theme="1" tint="0.34998626667073579"/>
      </left>
      <right/>
      <top style="thick">
        <color theme="1" tint="0.34998626667073579"/>
      </top>
      <bottom style="thin">
        <color indexed="64"/>
      </bottom>
      <diagonal/>
    </border>
    <border>
      <left/>
      <right style="thick">
        <color theme="0" tint="-4.9989318521683403E-2"/>
      </right>
      <top style="thin">
        <color indexed="64"/>
      </top>
      <bottom style="thick">
        <color theme="0" tint="-4.9989318521683403E-2"/>
      </bottom>
      <diagonal/>
    </border>
    <border>
      <left/>
      <right style="thick">
        <color theme="0" tint="-4.9989318521683403E-2"/>
      </right>
      <top style="thick">
        <color theme="1" tint="0.34998626667073579"/>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theme="0" tint="-0.14996795556505021"/>
      </top>
      <bottom style="thin">
        <color theme="0" tint="-0.149967955565050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theme="0" tint="-0.14996795556505021"/>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bottom/>
      <diagonal/>
    </border>
  </borders>
  <cellStyleXfs count="6">
    <xf numFmtId="0" fontId="0" fillId="0" borderId="0"/>
    <xf numFmtId="0" fontId="57" fillId="0" borderId="0"/>
    <xf numFmtId="9" fontId="57" fillId="0" borderId="0" applyFont="0" applyFill="0" applyBorder="0" applyAlignment="0" applyProtection="0"/>
    <xf numFmtId="0" fontId="72" fillId="0" borderId="0" applyNumberFormat="0" applyFill="0" applyBorder="0" applyAlignment="0" applyProtection="0"/>
    <xf numFmtId="43" fontId="75" fillId="0" borderId="0" applyFont="0" applyFill="0" applyBorder="0" applyAlignment="0" applyProtection="0"/>
    <xf numFmtId="9" fontId="75" fillId="0" borderId="0" applyFont="0" applyFill="0" applyBorder="0" applyAlignment="0" applyProtection="0"/>
  </cellStyleXfs>
  <cellXfs count="935">
    <xf numFmtId="0" fontId="0" fillId="0" borderId="0" xfId="0"/>
    <xf numFmtId="0" fontId="9" fillId="0" borderId="7" xfId="0" applyFont="1" applyBorder="1" applyAlignment="1">
      <alignment horizontal="center" vertical="center" wrapText="1"/>
    </xf>
    <xf numFmtId="0" fontId="2" fillId="0" borderId="7" xfId="0" applyFont="1" applyBorder="1" applyAlignment="1">
      <alignment horizontal="center" vertical="center"/>
    </xf>
    <xf numFmtId="3" fontId="6" fillId="0" borderId="0" xfId="0" applyNumberFormat="1" applyFont="1" applyAlignment="1">
      <alignment horizontal="center" vertical="center"/>
    </xf>
    <xf numFmtId="0" fontId="0" fillId="0" borderId="0" xfId="0" applyAlignment="1">
      <alignment horizontal="center" vertical="center"/>
    </xf>
    <xf numFmtId="9" fontId="11" fillId="0" borderId="0" xfId="0" applyNumberFormat="1" applyFont="1" applyAlignment="1">
      <alignment horizontal="center" vertical="center"/>
    </xf>
    <xf numFmtId="0" fontId="0" fillId="0" borderId="21" xfId="0" applyBorder="1" applyAlignment="1">
      <alignment horizontal="center" vertical="center"/>
    </xf>
    <xf numFmtId="164" fontId="0" fillId="0" borderId="0" xfId="0" applyNumberFormat="1" applyAlignment="1">
      <alignment horizontal="center" vertical="center"/>
    </xf>
    <xf numFmtId="0" fontId="0" fillId="0" borderId="22" xfId="0" applyBorder="1"/>
    <xf numFmtId="0" fontId="14" fillId="0" borderId="16" xfId="0" applyFont="1" applyBorder="1" applyAlignment="1">
      <alignment horizontal="center" vertical="center"/>
    </xf>
    <xf numFmtId="2" fontId="0" fillId="0" borderId="0" xfId="0" applyNumberFormat="1" applyAlignment="1">
      <alignment horizontal="center"/>
    </xf>
    <xf numFmtId="0" fontId="0" fillId="0" borderId="16" xfId="0" applyBorder="1" applyAlignment="1">
      <alignment horizontal="center" vertical="center"/>
    </xf>
    <xf numFmtId="3" fontId="15" fillId="0" borderId="0" xfId="0" applyNumberFormat="1" applyFont="1" applyAlignment="1">
      <alignment horizontal="center"/>
    </xf>
    <xf numFmtId="0" fontId="0" fillId="0" borderId="15" xfId="0" applyBorder="1" applyAlignment="1">
      <alignment horizontal="center" vertical="center"/>
    </xf>
    <xf numFmtId="3" fontId="0" fillId="0" borderId="0" xfId="0" applyNumberFormat="1" applyAlignment="1">
      <alignment horizontal="center" vertical="center"/>
    </xf>
    <xf numFmtId="2" fontId="0" fillId="0" borderId="16" xfId="0" applyNumberFormat="1" applyBorder="1" applyAlignment="1">
      <alignment horizontal="center" vertical="center"/>
    </xf>
    <xf numFmtId="0" fontId="6" fillId="0" borderId="16" xfId="0" applyFont="1" applyBorder="1" applyAlignment="1">
      <alignment horizontal="center" vertical="center"/>
    </xf>
    <xf numFmtId="2" fontId="6" fillId="0" borderId="0" xfId="0" applyNumberFormat="1" applyFont="1" applyAlignment="1">
      <alignment horizontal="center"/>
    </xf>
    <xf numFmtId="3" fontId="0" fillId="0" borderId="22" xfId="0" applyNumberFormat="1" applyBorder="1" applyAlignment="1">
      <alignment horizontal="center" vertical="center"/>
    </xf>
    <xf numFmtId="3" fontId="5" fillId="0" borderId="0" xfId="0" applyNumberFormat="1" applyFont="1" applyAlignment="1">
      <alignment horizontal="center"/>
    </xf>
    <xf numFmtId="3" fontId="5" fillId="0" borderId="22" xfId="0" applyNumberFormat="1" applyFont="1" applyBorder="1" applyAlignment="1">
      <alignment horizontal="center"/>
    </xf>
    <xf numFmtId="0" fontId="6" fillId="0" borderId="23" xfId="0" applyFont="1" applyBorder="1" applyAlignment="1">
      <alignment horizontal="center" vertical="center"/>
    </xf>
    <xf numFmtId="0" fontId="2" fillId="0" borderId="0" xfId="0" applyFont="1" applyAlignment="1">
      <alignment horizontal="center"/>
    </xf>
    <xf numFmtId="0" fontId="2" fillId="0" borderId="0" xfId="0" applyFont="1" applyAlignment="1">
      <alignment vertical="center"/>
    </xf>
    <xf numFmtId="0" fontId="18" fillId="0" borderId="0" xfId="0" applyFont="1" applyAlignment="1">
      <alignment vertical="center" wrapText="1"/>
    </xf>
    <xf numFmtId="0" fontId="9" fillId="0" borderId="0" xfId="0" applyFont="1" applyAlignment="1">
      <alignment vertical="center" wrapText="1"/>
    </xf>
    <xf numFmtId="0" fontId="0" fillId="0" borderId="15" xfId="0" applyBorder="1" applyAlignment="1">
      <alignment horizontal="right" vertical="center"/>
    </xf>
    <xf numFmtId="0" fontId="0" fillId="0" borderId="16" xfId="0" applyBorder="1" applyAlignment="1">
      <alignment vertical="center"/>
    </xf>
    <xf numFmtId="0" fontId="0" fillId="0" borderId="21" xfId="0" applyBorder="1" applyAlignment="1">
      <alignment horizontal="right" vertical="center"/>
    </xf>
    <xf numFmtId="0" fontId="0" fillId="0" borderId="23" xfId="0" applyBorder="1" applyAlignment="1">
      <alignment vertical="center"/>
    </xf>
    <xf numFmtId="166" fontId="0" fillId="0" borderId="0" xfId="0" applyNumberFormat="1" applyAlignment="1">
      <alignment horizontal="center" vertical="center"/>
    </xf>
    <xf numFmtId="2" fontId="0" fillId="0" borderId="0" xfId="0" applyNumberFormat="1" applyAlignment="1">
      <alignment horizontal="center" vertical="center"/>
    </xf>
    <xf numFmtId="0" fontId="0" fillId="0" borderId="15" xfId="0" applyBorder="1"/>
    <xf numFmtId="3" fontId="20" fillId="0" borderId="15" xfId="0" applyNumberFormat="1" applyFont="1" applyBorder="1" applyAlignment="1">
      <alignment horizontal="center" vertical="center"/>
    </xf>
    <xf numFmtId="166" fontId="20" fillId="0" borderId="16" xfId="0" applyNumberFormat="1" applyFont="1" applyBorder="1" applyAlignment="1">
      <alignment horizontal="center" vertical="center"/>
    </xf>
    <xf numFmtId="0" fontId="20" fillId="0" borderId="21" xfId="0" applyFont="1" applyBorder="1" applyAlignment="1">
      <alignment horizontal="center" vertical="center"/>
    </xf>
    <xf numFmtId="0" fontId="0" fillId="0" borderId="0" xfId="0" applyAlignment="1">
      <alignment horizontal="right"/>
    </xf>
    <xf numFmtId="0" fontId="11" fillId="0" borderId="0" xfId="0" applyFont="1"/>
    <xf numFmtId="0" fontId="0" fillId="8" borderId="22" xfId="0" applyFill="1" applyBorder="1" applyAlignment="1">
      <alignment horizontal="center" vertical="center"/>
    </xf>
    <xf numFmtId="0" fontId="0" fillId="8" borderId="23" xfId="0" applyFill="1" applyBorder="1" applyAlignment="1">
      <alignment horizontal="center" vertical="center"/>
    </xf>
    <xf numFmtId="0" fontId="22" fillId="0" borderId="0" xfId="0" applyFont="1" applyAlignment="1">
      <alignment horizontal="center" vertical="center" wrapText="1"/>
    </xf>
    <xf numFmtId="2" fontId="0" fillId="0" borderId="22" xfId="0" applyNumberFormat="1" applyBorder="1" applyAlignment="1">
      <alignment horizontal="center" vertical="center"/>
    </xf>
    <xf numFmtId="2" fontId="0" fillId="0" borderId="23" xfId="0" applyNumberFormat="1" applyBorder="1" applyAlignment="1">
      <alignment horizontal="center" vertical="center"/>
    </xf>
    <xf numFmtId="0" fontId="22" fillId="0" borderId="0" xfId="0" applyFont="1" applyAlignment="1">
      <alignment horizontal="center"/>
    </xf>
    <xf numFmtId="1" fontId="0" fillId="0" borderId="0" xfId="0" applyNumberFormat="1" applyAlignment="1">
      <alignment horizontal="center" vertical="center"/>
    </xf>
    <xf numFmtId="0" fontId="0" fillId="0" borderId="0" xfId="0" applyAlignment="1">
      <alignment horizontal="right" vertical="center"/>
    </xf>
    <xf numFmtId="0" fontId="0" fillId="0" borderId="22" xfId="0" applyBorder="1" applyAlignment="1">
      <alignment horizontal="right" vertical="center"/>
    </xf>
    <xf numFmtId="2" fontId="25" fillId="0" borderId="0" xfId="0" applyNumberFormat="1" applyFont="1" applyAlignment="1">
      <alignment horizontal="center" vertical="center"/>
    </xf>
    <xf numFmtId="167" fontId="25" fillId="0" borderId="0" xfId="0" applyNumberFormat="1" applyFont="1" applyAlignment="1">
      <alignment horizontal="center" vertical="center" wrapText="1"/>
    </xf>
    <xf numFmtId="2" fontId="0" fillId="0" borderId="14" xfId="0" applyNumberFormat="1" applyBorder="1" applyAlignment="1">
      <alignment horizontal="center" vertical="center"/>
    </xf>
    <xf numFmtId="0" fontId="11" fillId="0" borderId="0" xfId="0" applyFont="1" applyAlignment="1">
      <alignment horizontal="center" vertical="center"/>
    </xf>
    <xf numFmtId="1" fontId="0" fillId="0" borderId="0" xfId="0" applyNumberFormat="1" applyAlignment="1">
      <alignment horizontal="center"/>
    </xf>
    <xf numFmtId="0" fontId="11" fillId="0" borderId="0" xfId="0" applyFont="1" applyAlignment="1">
      <alignment horizontal="center"/>
    </xf>
    <xf numFmtId="9" fontId="0" fillId="0" borderId="0" xfId="0" applyNumberFormat="1" applyAlignment="1">
      <alignment horizontal="center" vertical="center"/>
    </xf>
    <xf numFmtId="2" fontId="11" fillId="0" borderId="0" xfId="0" applyNumberFormat="1" applyFont="1" applyAlignment="1">
      <alignment horizontal="center" vertical="center"/>
    </xf>
    <xf numFmtId="0" fontId="5" fillId="0" borderId="0" xfId="0" applyFont="1" applyAlignment="1">
      <alignment horizontal="center" vertical="center"/>
    </xf>
    <xf numFmtId="3" fontId="11" fillId="0" borderId="0" xfId="0" applyNumberFormat="1" applyFont="1" applyAlignment="1">
      <alignment horizontal="center" vertical="center"/>
    </xf>
    <xf numFmtId="3" fontId="11" fillId="0" borderId="22" xfId="0" applyNumberFormat="1" applyFont="1" applyBorder="1" applyAlignment="1">
      <alignment horizontal="center" vertical="center"/>
    </xf>
    <xf numFmtId="0" fontId="0" fillId="5" borderId="19" xfId="0" applyFill="1" applyBorder="1" applyAlignment="1">
      <alignment horizontal="center" vertical="center"/>
    </xf>
    <xf numFmtId="0" fontId="22" fillId="5" borderId="6" xfId="0" applyFont="1" applyFill="1" applyBorder="1" applyAlignment="1">
      <alignment horizontal="center" vertical="center"/>
    </xf>
    <xf numFmtId="0" fontId="22" fillId="5" borderId="20" xfId="0" applyFont="1" applyFill="1" applyBorder="1" applyAlignment="1">
      <alignment horizontal="center" vertical="center"/>
    </xf>
    <xf numFmtId="0" fontId="28" fillId="0" borderId="0" xfId="0" applyFont="1" applyAlignment="1">
      <alignment vertical="center"/>
    </xf>
    <xf numFmtId="2" fontId="0" fillId="0" borderId="18" xfId="0" applyNumberFormat="1" applyBorder="1" applyAlignment="1">
      <alignment horizontal="center" vertical="center"/>
    </xf>
    <xf numFmtId="4" fontId="0" fillId="0" borderId="0" xfId="0" applyNumberFormat="1" applyAlignment="1">
      <alignment horizontal="center" vertical="center"/>
    </xf>
    <xf numFmtId="0" fontId="0" fillId="0" borderId="24" xfId="0" applyBorder="1"/>
    <xf numFmtId="0" fontId="0" fillId="0" borderId="23" xfId="0" applyBorder="1"/>
    <xf numFmtId="0" fontId="0" fillId="0" borderId="25" xfId="0" applyBorder="1"/>
    <xf numFmtId="0" fontId="29" fillId="0" borderId="0" xfId="0" applyFont="1" applyAlignment="1">
      <alignment horizontal="center" vertical="center"/>
    </xf>
    <xf numFmtId="0" fontId="6" fillId="0" borderId="0" xfId="0" applyFont="1" applyAlignment="1">
      <alignment horizontal="center" vertical="center"/>
    </xf>
    <xf numFmtId="2" fontId="0" fillId="0" borderId="0" xfId="0" applyNumberFormat="1"/>
    <xf numFmtId="0" fontId="31" fillId="0" borderId="0" xfId="0" applyFont="1" applyAlignment="1">
      <alignment horizontal="center" vertical="center"/>
    </xf>
    <xf numFmtId="0" fontId="16" fillId="0" borderId="0" xfId="0" applyFont="1" applyAlignment="1">
      <alignment horizontal="left" vertical="center" wrapText="1"/>
    </xf>
    <xf numFmtId="0" fontId="0" fillId="0" borderId="7" xfId="0" applyBorder="1" applyAlignment="1">
      <alignment horizontal="center" vertical="center"/>
    </xf>
    <xf numFmtId="3" fontId="0" fillId="0" borderId="7" xfId="0" applyNumberFormat="1" applyBorder="1" applyAlignment="1">
      <alignment horizontal="center" vertical="center"/>
    </xf>
    <xf numFmtId="0" fontId="0" fillId="0" borderId="7" xfId="0" applyBorder="1"/>
    <xf numFmtId="0" fontId="11" fillId="4" borderId="7" xfId="0" applyFont="1" applyFill="1" applyBorder="1" applyAlignment="1">
      <alignment horizontal="center" vertical="center"/>
    </xf>
    <xf numFmtId="0" fontId="28" fillId="4" borderId="7" xfId="0" applyFont="1" applyFill="1" applyBorder="1" applyAlignment="1">
      <alignment horizontal="center" vertical="center"/>
    </xf>
    <xf numFmtId="0" fontId="22" fillId="0" borderId="0" xfId="0" applyFont="1" applyAlignment="1">
      <alignment vertical="center" wrapText="1"/>
    </xf>
    <xf numFmtId="0" fontId="22" fillId="0" borderId="0" xfId="0" applyFont="1" applyAlignment="1">
      <alignment vertical="center"/>
    </xf>
    <xf numFmtId="3" fontId="3" fillId="0" borderId="0" xfId="0" applyNumberFormat="1" applyFont="1" applyAlignment="1">
      <alignment horizontal="center" vertical="center"/>
    </xf>
    <xf numFmtId="2" fontId="3" fillId="0" borderId="0" xfId="0" applyNumberFormat="1" applyFont="1" applyAlignment="1">
      <alignment horizontal="center" vertical="center"/>
    </xf>
    <xf numFmtId="0" fontId="26" fillId="0" borderId="0" xfId="0" applyFont="1" applyAlignment="1">
      <alignment horizontal="center" vertical="center"/>
    </xf>
    <xf numFmtId="168" fontId="0" fillId="0" borderId="0" xfId="0" applyNumberFormat="1" applyAlignment="1">
      <alignment horizontal="center" vertical="center"/>
    </xf>
    <xf numFmtId="3" fontId="14" fillId="0" borderId="18" xfId="0" applyNumberFormat="1" applyFont="1" applyBorder="1" applyAlignment="1">
      <alignment horizontal="center" vertical="center"/>
    </xf>
    <xf numFmtId="0" fontId="14" fillId="0" borderId="14" xfId="0" applyFont="1" applyBorder="1" applyAlignment="1">
      <alignment horizontal="center" vertical="center"/>
    </xf>
    <xf numFmtId="0" fontId="27" fillId="0" borderId="7" xfId="0" applyFont="1" applyBorder="1" applyAlignment="1">
      <alignment horizontal="center" vertical="center"/>
    </xf>
    <xf numFmtId="3" fontId="25" fillId="0" borderId="0" xfId="0" applyNumberFormat="1" applyFont="1" applyAlignment="1">
      <alignment horizontal="center" vertical="center"/>
    </xf>
    <xf numFmtId="0" fontId="27" fillId="0" borderId="0" xfId="0" applyFont="1" applyAlignment="1">
      <alignment horizontal="center" vertical="center"/>
    </xf>
    <xf numFmtId="0" fontId="11" fillId="0" borderId="15" xfId="0" applyFont="1" applyBorder="1" applyAlignment="1">
      <alignment horizontal="center" vertical="center"/>
    </xf>
    <xf numFmtId="2" fontId="11" fillId="0" borderId="22" xfId="0" applyNumberFormat="1" applyFont="1" applyBorder="1" applyAlignment="1">
      <alignment horizontal="center" vertical="center"/>
    </xf>
    <xf numFmtId="0" fontId="0" fillId="11" borderId="7" xfId="0" applyFill="1" applyBorder="1"/>
    <xf numFmtId="0" fontId="3" fillId="0" borderId="0" xfId="0" applyFont="1" applyAlignment="1">
      <alignment horizontal="center" vertical="center"/>
    </xf>
    <xf numFmtId="0" fontId="11" fillId="0" borderId="21" xfId="0" applyFont="1" applyBorder="1" applyAlignment="1">
      <alignment horizontal="right" vertical="center"/>
    </xf>
    <xf numFmtId="0" fontId="11" fillId="0" borderId="22" xfId="0" applyFont="1" applyBorder="1" applyAlignment="1">
      <alignment horizontal="right" vertical="center"/>
    </xf>
    <xf numFmtId="167" fontId="19" fillId="0" borderId="0" xfId="0" applyNumberFormat="1" applyFont="1" applyAlignment="1">
      <alignment horizontal="center" vertical="center"/>
    </xf>
    <xf numFmtId="0" fontId="19" fillId="0" borderId="0" xfId="0" applyFont="1" applyAlignment="1">
      <alignment horizontal="right"/>
    </xf>
    <xf numFmtId="0" fontId="3" fillId="0" borderId="0" xfId="0" applyFont="1" applyAlignment="1">
      <alignment horizontal="right" vertical="center"/>
    </xf>
    <xf numFmtId="0" fontId="0" fillId="0" borderId="0" xfId="0" applyAlignment="1">
      <alignment horizontal="center"/>
    </xf>
    <xf numFmtId="164" fontId="11" fillId="0" borderId="0" xfId="0" applyNumberFormat="1" applyFont="1" applyAlignment="1">
      <alignment horizontal="center" vertical="center"/>
    </xf>
    <xf numFmtId="1" fontId="11" fillId="0" borderId="0" xfId="0" applyNumberFormat="1" applyFont="1" applyAlignment="1">
      <alignment horizontal="center" vertical="center"/>
    </xf>
    <xf numFmtId="3" fontId="2" fillId="0" borderId="7" xfId="0" applyNumberFormat="1" applyFont="1" applyBorder="1" applyAlignment="1">
      <alignment horizontal="center" vertical="center"/>
    </xf>
    <xf numFmtId="9" fontId="11" fillId="0" borderId="7" xfId="0" applyNumberFormat="1" applyFont="1" applyBorder="1" applyAlignment="1">
      <alignment horizontal="center" vertical="center"/>
    </xf>
    <xf numFmtId="164" fontId="11" fillId="0" borderId="7" xfId="0" applyNumberFormat="1" applyFont="1" applyBorder="1" applyAlignment="1">
      <alignment horizontal="center" vertical="center"/>
    </xf>
    <xf numFmtId="0" fontId="1" fillId="0" borderId="0" xfId="0" applyFont="1" applyAlignment="1">
      <alignment vertical="center"/>
    </xf>
    <xf numFmtId="0" fontId="11" fillId="0" borderId="0" xfId="0" applyFont="1" applyAlignment="1">
      <alignment vertical="center"/>
    </xf>
    <xf numFmtId="3" fontId="11" fillId="0" borderId="0" xfId="0" applyNumberFormat="1" applyFont="1" applyAlignment="1">
      <alignment vertical="center"/>
    </xf>
    <xf numFmtId="0" fontId="15" fillId="14" borderId="7" xfId="0" applyFont="1" applyFill="1" applyBorder="1" applyAlignment="1">
      <alignment horizontal="center" vertical="center"/>
    </xf>
    <xf numFmtId="164" fontId="12" fillId="14" borderId="7" xfId="0" applyNumberFormat="1" applyFont="1" applyFill="1" applyBorder="1" applyAlignment="1">
      <alignment horizontal="center" vertical="center"/>
    </xf>
    <xf numFmtId="0" fontId="11" fillId="0" borderId="22" xfId="0" applyFont="1" applyBorder="1" applyAlignment="1">
      <alignment horizontal="center"/>
    </xf>
    <xf numFmtId="0" fontId="34" fillId="0" borderId="15" xfId="0" applyFont="1" applyBorder="1" applyAlignment="1">
      <alignment horizontal="right" vertical="center"/>
    </xf>
    <xf numFmtId="0" fontId="37" fillId="0" borderId="0" xfId="0" applyFont="1" applyAlignment="1">
      <alignment horizontal="center" vertical="center"/>
    </xf>
    <xf numFmtId="0" fontId="38" fillId="0" borderId="0" xfId="0" applyFont="1" applyAlignment="1">
      <alignment horizontal="center" vertical="center"/>
    </xf>
    <xf numFmtId="3" fontId="39" fillId="0" borderId="0" xfId="0" applyNumberFormat="1" applyFont="1" applyAlignment="1">
      <alignment horizontal="center" vertical="center"/>
    </xf>
    <xf numFmtId="0" fontId="2" fillId="0" borderId="0" xfId="0" applyFont="1"/>
    <xf numFmtId="167" fontId="31" fillId="0" borderId="7" xfId="0" applyNumberFormat="1" applyFont="1" applyBorder="1" applyAlignment="1">
      <alignment horizontal="center" vertical="center"/>
    </xf>
    <xf numFmtId="0" fontId="1" fillId="0" borderId="0" xfId="0" applyFont="1"/>
    <xf numFmtId="168" fontId="0" fillId="0" borderId="7" xfId="0" applyNumberFormat="1" applyBorder="1" applyAlignment="1">
      <alignment horizontal="center" vertical="center"/>
    </xf>
    <xf numFmtId="167" fontId="27" fillId="0" borderId="7" xfId="0" applyNumberFormat="1" applyFont="1" applyBorder="1" applyAlignment="1">
      <alignment horizontal="center" vertical="center"/>
    </xf>
    <xf numFmtId="165" fontId="26" fillId="0" borderId="0" xfId="0" applyNumberFormat="1" applyFont="1" applyAlignment="1">
      <alignment horizontal="center" vertical="center"/>
    </xf>
    <xf numFmtId="0" fontId="0" fillId="0" borderId="0" xfId="0"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wrapText="1"/>
    </xf>
    <xf numFmtId="2" fontId="0" fillId="4" borderId="0" xfId="0" applyNumberFormat="1" applyFill="1" applyAlignment="1">
      <alignment horizontal="center" vertical="center"/>
    </xf>
    <xf numFmtId="0" fontId="27" fillId="0" borderId="0" xfId="0" applyFont="1" applyAlignment="1">
      <alignment vertical="center"/>
    </xf>
    <xf numFmtId="2" fontId="24" fillId="0" borderId="0" xfId="0" applyNumberFormat="1" applyFont="1" applyAlignment="1">
      <alignment horizontal="center" vertical="center"/>
    </xf>
    <xf numFmtId="0" fontId="29" fillId="0" borderId="0" xfId="0" applyFont="1" applyAlignment="1">
      <alignment horizontal="center" vertical="center" wrapText="1"/>
    </xf>
    <xf numFmtId="0" fontId="46" fillId="0" borderId="0" xfId="0" applyFont="1" applyAlignment="1">
      <alignment horizontal="center" vertical="center"/>
    </xf>
    <xf numFmtId="0" fontId="37" fillId="0" borderId="16" xfId="0" applyFont="1" applyBorder="1" applyAlignment="1">
      <alignment horizontal="center" vertical="center"/>
    </xf>
    <xf numFmtId="0" fontId="38" fillId="0" borderId="16" xfId="0" applyFont="1" applyBorder="1" applyAlignment="1">
      <alignment horizontal="center" vertical="center"/>
    </xf>
    <xf numFmtId="3" fontId="39" fillId="0" borderId="16" xfId="0" applyNumberFormat="1" applyFont="1" applyBorder="1" applyAlignment="1">
      <alignment horizontal="center" vertical="center"/>
    </xf>
    <xf numFmtId="0" fontId="34" fillId="0" borderId="0" xfId="0" applyFont="1" applyAlignment="1">
      <alignment horizontal="center" vertical="center"/>
    </xf>
    <xf numFmtId="0" fontId="43" fillId="0" borderId="0" xfId="0" applyFont="1" applyAlignment="1">
      <alignment horizontal="center" vertical="center"/>
    </xf>
    <xf numFmtId="3" fontId="34" fillId="0" borderId="0" xfId="0" applyNumberFormat="1" applyFont="1" applyAlignment="1">
      <alignment horizontal="center" vertical="center"/>
    </xf>
    <xf numFmtId="1" fontId="0" fillId="0" borderId="23" xfId="0" applyNumberFormat="1" applyBorder="1" applyAlignment="1">
      <alignment horizontal="center" vertical="center"/>
    </xf>
    <xf numFmtId="167" fontId="11" fillId="0" borderId="22" xfId="0" applyNumberFormat="1" applyFont="1" applyBorder="1" applyAlignment="1">
      <alignment horizontal="center" vertical="center"/>
    </xf>
    <xf numFmtId="0" fontId="20" fillId="0" borderId="15" xfId="0" applyFont="1" applyBorder="1" applyAlignment="1">
      <alignment horizontal="center" vertical="center"/>
    </xf>
    <xf numFmtId="167" fontId="20" fillId="0" borderId="16" xfId="0" applyNumberFormat="1" applyFont="1" applyBorder="1" applyAlignment="1">
      <alignment horizontal="center" vertical="center"/>
    </xf>
    <xf numFmtId="2" fontId="20" fillId="0" borderId="23" xfId="0" applyNumberFormat="1" applyFont="1" applyBorder="1" applyAlignment="1">
      <alignment horizontal="center" vertical="center"/>
    </xf>
    <xf numFmtId="0" fontId="19" fillId="0" borderId="16" xfId="0" applyFont="1" applyBorder="1" applyAlignment="1">
      <alignment horizontal="center" vertical="center"/>
    </xf>
    <xf numFmtId="0" fontId="19" fillId="0" borderId="15" xfId="0" applyFont="1" applyBorder="1" applyAlignment="1">
      <alignment horizontal="center" vertical="center"/>
    </xf>
    <xf numFmtId="167" fontId="11" fillId="0" borderId="7" xfId="0" applyNumberFormat="1" applyFont="1" applyBorder="1" applyAlignment="1">
      <alignment horizontal="center" vertical="center"/>
    </xf>
    <xf numFmtId="0" fontId="0" fillId="0" borderId="19" xfId="0" applyBorder="1"/>
    <xf numFmtId="0" fontId="0" fillId="0" borderId="20" xfId="0" applyBorder="1"/>
    <xf numFmtId="3" fontId="0" fillId="0" borderId="6" xfId="0" applyNumberFormat="1" applyBorder="1" applyAlignment="1">
      <alignment horizontal="center" vertical="center"/>
    </xf>
    <xf numFmtId="3" fontId="11" fillId="0" borderId="26" xfId="0" applyNumberFormat="1" applyFont="1" applyBorder="1" applyAlignment="1">
      <alignment horizontal="center" vertical="center"/>
    </xf>
    <xf numFmtId="0" fontId="11" fillId="16" borderId="7" xfId="0" applyFont="1" applyFill="1" applyBorder="1" applyAlignment="1">
      <alignment horizontal="center" vertical="center"/>
    </xf>
    <xf numFmtId="0" fontId="26" fillId="16" borderId="7" xfId="0" applyFont="1" applyFill="1" applyBorder="1" applyAlignment="1">
      <alignment horizontal="center" vertical="center"/>
    </xf>
    <xf numFmtId="168" fontId="11" fillId="16" borderId="7" xfId="0" applyNumberFormat="1" applyFont="1" applyFill="1" applyBorder="1" applyAlignment="1">
      <alignment horizontal="center" vertical="center"/>
    </xf>
    <xf numFmtId="3" fontId="28" fillId="0" borderId="0" xfId="0" applyNumberFormat="1" applyFont="1" applyAlignment="1">
      <alignment horizontal="center" vertical="center"/>
    </xf>
    <xf numFmtId="3" fontId="28" fillId="0" borderId="26" xfId="0" applyNumberFormat="1" applyFont="1" applyBorder="1" applyAlignment="1">
      <alignment horizontal="center" vertical="center"/>
    </xf>
    <xf numFmtId="3" fontId="28" fillId="0" borderId="16" xfId="0" applyNumberFormat="1" applyFont="1" applyBorder="1" applyAlignment="1">
      <alignment horizontal="center" vertical="center"/>
    </xf>
    <xf numFmtId="2" fontId="28" fillId="0" borderId="26" xfId="0" applyNumberFormat="1" applyFont="1" applyBorder="1" applyAlignment="1">
      <alignment horizontal="center" vertical="center"/>
    </xf>
    <xf numFmtId="3" fontId="11" fillId="0" borderId="16" xfId="0" applyNumberFormat="1" applyFont="1" applyBorder="1" applyAlignment="1">
      <alignment horizontal="center" vertical="center"/>
    </xf>
    <xf numFmtId="164" fontId="11" fillId="0" borderId="26" xfId="0" applyNumberFormat="1" applyFont="1" applyBorder="1" applyAlignment="1">
      <alignment horizontal="center" vertical="center"/>
    </xf>
    <xf numFmtId="0" fontId="28" fillId="0" borderId="0" xfId="0" applyFont="1" applyAlignment="1">
      <alignment horizontal="center" vertical="center"/>
    </xf>
    <xf numFmtId="164" fontId="11" fillId="0" borderId="22" xfId="0" applyNumberFormat="1" applyFont="1" applyBorder="1" applyAlignment="1">
      <alignment horizontal="center" vertical="center"/>
    </xf>
    <xf numFmtId="9" fontId="11" fillId="4" borderId="26" xfId="0" applyNumberFormat="1" applyFont="1" applyFill="1" applyBorder="1" applyAlignment="1">
      <alignment horizontal="center" vertical="center"/>
    </xf>
    <xf numFmtId="9" fontId="11" fillId="4" borderId="12" xfId="0" applyNumberFormat="1" applyFont="1" applyFill="1" applyBorder="1" applyAlignment="1">
      <alignment horizontal="center" vertical="center"/>
    </xf>
    <xf numFmtId="0" fontId="0" fillId="0" borderId="14" xfId="0" applyBorder="1" applyAlignment="1">
      <alignment horizontal="center" vertical="center"/>
    </xf>
    <xf numFmtId="1" fontId="0" fillId="0" borderId="16" xfId="0" applyNumberFormat="1" applyBorder="1" applyAlignment="1">
      <alignment horizontal="center" vertical="center"/>
    </xf>
    <xf numFmtId="164" fontId="31" fillId="0" borderId="7" xfId="0" applyNumberFormat="1" applyFont="1" applyBorder="1" applyAlignment="1">
      <alignment horizontal="center" vertical="center"/>
    </xf>
    <xf numFmtId="164" fontId="41" fillId="0" borderId="7" xfId="0" applyNumberFormat="1" applyFont="1" applyBorder="1" applyAlignment="1">
      <alignment horizontal="center" vertical="center"/>
    </xf>
    <xf numFmtId="164" fontId="31" fillId="0" borderId="15" xfId="0" applyNumberFormat="1" applyFont="1" applyBorder="1" applyAlignment="1">
      <alignment horizontal="center" vertical="center"/>
    </xf>
    <xf numFmtId="167" fontId="31" fillId="0" borderId="15" xfId="0" applyNumberFormat="1" applyFont="1" applyBorder="1" applyAlignment="1">
      <alignment horizontal="center" vertical="center"/>
    </xf>
    <xf numFmtId="0" fontId="22" fillId="0" borderId="0" xfId="0" applyFont="1" applyAlignment="1">
      <alignment horizontal="center" vertical="center"/>
    </xf>
    <xf numFmtId="167" fontId="31" fillId="0" borderId="0" xfId="0" applyNumberFormat="1" applyFont="1" applyAlignment="1">
      <alignment horizontal="center" vertical="center"/>
    </xf>
    <xf numFmtId="3" fontId="31" fillId="0" borderId="0" xfId="0" applyNumberFormat="1" applyFont="1" applyAlignment="1">
      <alignment horizontal="center" vertical="center"/>
    </xf>
    <xf numFmtId="0" fontId="53" fillId="0" borderId="0" xfId="0" applyFont="1" applyAlignment="1">
      <alignment horizontal="center" vertical="center"/>
    </xf>
    <xf numFmtId="165" fontId="22" fillId="0" borderId="0" xfId="0" applyNumberFormat="1" applyFont="1" applyAlignment="1">
      <alignment horizontal="center"/>
    </xf>
    <xf numFmtId="165" fontId="36" fillId="0" borderId="0" xfId="0" applyNumberFormat="1" applyFont="1" applyAlignment="1">
      <alignment horizontal="center"/>
    </xf>
    <xf numFmtId="165" fontId="0" fillId="0" borderId="0" xfId="0" applyNumberFormat="1" applyAlignment="1">
      <alignment horizontal="center" vertical="center"/>
    </xf>
    <xf numFmtId="0" fontId="0" fillId="0" borderId="0" xfId="0" applyAlignment="1">
      <alignment horizontal="center" vertical="top"/>
    </xf>
    <xf numFmtId="0" fontId="53" fillId="0" borderId="0" xfId="0" applyFont="1" applyAlignment="1">
      <alignment vertical="center"/>
    </xf>
    <xf numFmtId="0" fontId="0" fillId="0" borderId="12" xfId="0" applyBorder="1" applyAlignment="1">
      <alignment horizontal="center" vertical="center"/>
    </xf>
    <xf numFmtId="0" fontId="11" fillId="0" borderId="0" xfId="0" applyFont="1" applyAlignment="1">
      <alignment horizontal="left" vertical="center"/>
    </xf>
    <xf numFmtId="0" fontId="26" fillId="0" borderId="0" xfId="0" applyFont="1"/>
    <xf numFmtId="165" fontId="11" fillId="0" borderId="26" xfId="0" applyNumberFormat="1" applyFont="1" applyBorder="1" applyAlignment="1">
      <alignment horizontal="center" vertical="center"/>
    </xf>
    <xf numFmtId="1" fontId="11" fillId="0" borderId="26" xfId="0" applyNumberFormat="1" applyFont="1" applyBorder="1" applyAlignment="1">
      <alignment horizontal="center" vertical="center"/>
    </xf>
    <xf numFmtId="165" fontId="0" fillId="0" borderId="0" xfId="0" applyNumberFormat="1" applyAlignment="1">
      <alignment horizontal="center"/>
    </xf>
    <xf numFmtId="164" fontId="36" fillId="0" borderId="0" xfId="0" applyNumberFormat="1" applyFont="1" applyAlignment="1">
      <alignment horizontal="center" vertical="center"/>
    </xf>
    <xf numFmtId="165" fontId="0" fillId="0" borderId="0" xfId="0" applyNumberFormat="1"/>
    <xf numFmtId="1" fontId="0" fillId="0" borderId="0" xfId="0" applyNumberFormat="1" applyAlignment="1">
      <alignment vertical="center"/>
    </xf>
    <xf numFmtId="165" fontId="0" fillId="0" borderId="0" xfId="0" applyNumberFormat="1" applyAlignment="1">
      <alignment vertical="center"/>
    </xf>
    <xf numFmtId="18" fontId="0" fillId="0" borderId="0" xfId="0" applyNumberFormat="1" applyAlignment="1">
      <alignment horizontal="center" vertical="center"/>
    </xf>
    <xf numFmtId="3" fontId="36" fillId="0" borderId="0" xfId="0" applyNumberFormat="1" applyFont="1" applyAlignment="1">
      <alignment horizontal="center" vertical="center"/>
    </xf>
    <xf numFmtId="0" fontId="0" fillId="0" borderId="0" xfId="0" applyAlignment="1">
      <alignment vertical="center"/>
    </xf>
    <xf numFmtId="0" fontId="36" fillId="0" borderId="0" xfId="0" applyFont="1" applyAlignment="1">
      <alignment vertical="center"/>
    </xf>
    <xf numFmtId="0" fontId="27" fillId="0" borderId="0" xfId="0" applyFont="1"/>
    <xf numFmtId="0" fontId="11" fillId="0" borderId="0" xfId="0" applyFont="1" applyAlignment="1">
      <alignment vertical="center" wrapText="1"/>
    </xf>
    <xf numFmtId="0" fontId="32" fillId="0" borderId="0" xfId="0" applyFont="1" applyAlignment="1">
      <alignment vertical="center"/>
    </xf>
    <xf numFmtId="168" fontId="11" fillId="0" borderId="0" xfId="0" applyNumberFormat="1" applyFont="1" applyAlignment="1">
      <alignment horizontal="center" vertical="center"/>
    </xf>
    <xf numFmtId="0" fontId="11" fillId="0" borderId="12" xfId="0" applyFont="1" applyBorder="1" applyAlignment="1">
      <alignment horizontal="center" vertical="center"/>
    </xf>
    <xf numFmtId="2" fontId="11" fillId="0" borderId="12" xfId="0" applyNumberFormat="1" applyFont="1" applyBorder="1" applyAlignment="1">
      <alignment horizontal="center" vertical="center"/>
    </xf>
    <xf numFmtId="2" fontId="28" fillId="0" borderId="12" xfId="0" applyNumberFormat="1" applyFont="1" applyBorder="1" applyAlignment="1">
      <alignment horizontal="center" vertical="center"/>
    </xf>
    <xf numFmtId="0" fontId="44" fillId="0" borderId="0" xfId="0" applyFont="1" applyAlignment="1">
      <alignment horizontal="center" vertical="center"/>
    </xf>
    <xf numFmtId="165" fontId="11" fillId="0" borderId="0" xfId="0" applyNumberFormat="1" applyFont="1" applyAlignment="1">
      <alignment horizontal="center" vertical="center"/>
    </xf>
    <xf numFmtId="0" fontId="3" fillId="21" borderId="0" xfId="0" applyFont="1" applyFill="1" applyAlignment="1">
      <alignment horizontal="right"/>
    </xf>
    <xf numFmtId="0" fontId="0" fillId="4" borderId="7" xfId="0" applyFill="1" applyBorder="1"/>
    <xf numFmtId="1" fontId="0" fillId="0" borderId="7" xfId="0" applyNumberFormat="1" applyBorder="1"/>
    <xf numFmtId="2" fontId="0" fillId="0" borderId="7" xfId="0" applyNumberFormat="1" applyBorder="1"/>
    <xf numFmtId="0" fontId="36" fillId="0" borderId="0" xfId="0" applyFont="1" applyAlignment="1">
      <alignment horizontal="center" vertical="center"/>
    </xf>
    <xf numFmtId="0" fontId="9" fillId="0" borderId="0" xfId="0" applyFont="1" applyAlignment="1">
      <alignment horizontal="center" vertical="center" wrapText="1"/>
    </xf>
    <xf numFmtId="1" fontId="36" fillId="0" borderId="0" xfId="0" applyNumberFormat="1" applyFont="1" applyAlignment="1">
      <alignment horizontal="center" vertical="center"/>
    </xf>
    <xf numFmtId="2" fontId="36" fillId="0" borderId="0" xfId="0" applyNumberFormat="1" applyFont="1" applyAlignment="1">
      <alignment horizontal="center" vertical="center"/>
    </xf>
    <xf numFmtId="2" fontId="36" fillId="4" borderId="0" xfId="0" applyNumberFormat="1" applyFont="1" applyFill="1" applyAlignment="1">
      <alignment horizontal="center" vertical="center"/>
    </xf>
    <xf numFmtId="0" fontId="39" fillId="0" borderId="0" xfId="0" applyFont="1" applyAlignment="1">
      <alignment horizontal="center" vertical="center" wrapText="1"/>
    </xf>
    <xf numFmtId="0" fontId="36" fillId="0" borderId="0" xfId="0" applyFont="1"/>
    <xf numFmtId="0" fontId="36" fillId="0" borderId="0" xfId="0" applyFont="1" applyAlignment="1">
      <alignment horizontal="center" vertical="top"/>
    </xf>
    <xf numFmtId="0" fontId="9" fillId="0" borderId="0" xfId="0" applyFont="1" applyAlignment="1">
      <alignment horizontal="center" wrapText="1"/>
    </xf>
    <xf numFmtId="166" fontId="36" fillId="0" borderId="0" xfId="0" applyNumberFormat="1" applyFont="1" applyAlignment="1">
      <alignment horizontal="center" vertical="center"/>
    </xf>
    <xf numFmtId="0" fontId="36" fillId="0" borderId="0" xfId="0" applyFont="1" applyAlignment="1">
      <alignment horizontal="center"/>
    </xf>
    <xf numFmtId="0" fontId="11" fillId="4" borderId="12" xfId="0" applyFont="1" applyFill="1" applyBorder="1" applyAlignment="1">
      <alignment horizontal="center" vertical="center"/>
    </xf>
    <xf numFmtId="0" fontId="28" fillId="4" borderId="12" xfId="0" applyFont="1" applyFill="1" applyBorder="1" applyAlignment="1">
      <alignment horizontal="center" vertical="center"/>
    </xf>
    <xf numFmtId="0" fontId="0" fillId="4" borderId="12" xfId="0" applyFill="1" applyBorder="1" applyAlignment="1">
      <alignment horizontal="center" vertical="center"/>
    </xf>
    <xf numFmtId="1" fontId="0" fillId="0" borderId="7" xfId="0" applyNumberFormat="1" applyBorder="1" applyAlignment="1">
      <alignment horizontal="right"/>
    </xf>
    <xf numFmtId="1" fontId="0" fillId="0" borderId="7" xfId="0" applyNumberFormat="1" applyBorder="1" applyAlignment="1">
      <alignment horizontal="center"/>
    </xf>
    <xf numFmtId="2" fontId="0" fillId="0" borderId="7" xfId="0" applyNumberFormat="1" applyBorder="1" applyAlignment="1">
      <alignment horizontal="center" vertical="center"/>
    </xf>
    <xf numFmtId="0" fontId="0" fillId="4" borderId="12" xfId="0" applyFill="1" applyBorder="1"/>
    <xf numFmtId="0" fontId="0" fillId="0" borderId="7" xfId="0" applyBorder="1" applyAlignment="1">
      <alignment horizontal="center"/>
    </xf>
    <xf numFmtId="167" fontId="11" fillId="0" borderId="0" xfId="0" applyNumberFormat="1" applyFont="1"/>
    <xf numFmtId="0" fontId="0" fillId="5" borderId="13" xfId="0" applyFill="1" applyBorder="1"/>
    <xf numFmtId="164" fontId="0" fillId="5" borderId="14" xfId="0" applyNumberFormat="1" applyFill="1" applyBorder="1" applyAlignment="1">
      <alignment horizontal="center" vertical="center"/>
    </xf>
    <xf numFmtId="169" fontId="0" fillId="5" borderId="21" xfId="0" applyNumberFormat="1" applyFill="1" applyBorder="1"/>
    <xf numFmtId="164" fontId="0" fillId="5" borderId="23" xfId="0" applyNumberFormat="1" applyFill="1" applyBorder="1" applyAlignment="1">
      <alignment horizontal="center" vertical="center"/>
    </xf>
    <xf numFmtId="0" fontId="57" fillId="0" borderId="0" xfId="1"/>
    <xf numFmtId="170" fontId="58" fillId="0" borderId="29" xfId="1" applyNumberFormat="1" applyFont="1" applyBorder="1" applyAlignment="1" applyProtection="1">
      <alignment horizontal="center" vertical="top" wrapText="1" readingOrder="1"/>
      <protection locked="0"/>
    </xf>
    <xf numFmtId="0" fontId="59" fillId="0" borderId="27" xfId="1" applyFont="1" applyBorder="1" applyAlignment="1" applyProtection="1">
      <alignment horizontal="center" vertical="top" wrapText="1" readingOrder="1"/>
      <protection locked="0"/>
    </xf>
    <xf numFmtId="0" fontId="59" fillId="0" borderId="30" xfId="1" applyFont="1" applyBorder="1" applyAlignment="1" applyProtection="1">
      <alignment horizontal="center" vertical="top" wrapText="1" readingOrder="1"/>
      <protection locked="0"/>
    </xf>
    <xf numFmtId="0" fontId="59" fillId="0" borderId="27" xfId="1" applyFont="1" applyBorder="1" applyAlignment="1" applyProtection="1">
      <alignment horizontal="center" vertical="center" wrapText="1" readingOrder="1"/>
      <protection locked="0"/>
    </xf>
    <xf numFmtId="0" fontId="59" fillId="0" borderId="31" xfId="1" applyFont="1" applyBorder="1" applyAlignment="1" applyProtection="1">
      <alignment horizontal="center" vertical="center" wrapText="1" readingOrder="1"/>
      <protection locked="0"/>
    </xf>
    <xf numFmtId="18" fontId="0" fillId="0" borderId="0" xfId="0" applyNumberFormat="1" applyAlignment="1">
      <alignment horizontal="left" vertical="center"/>
    </xf>
    <xf numFmtId="0" fontId="42" fillId="0" borderId="0" xfId="0" applyFont="1" applyAlignment="1">
      <alignment horizontal="center" vertical="center"/>
    </xf>
    <xf numFmtId="0" fontId="11" fillId="0" borderId="26" xfId="0" applyFont="1" applyBorder="1"/>
    <xf numFmtId="3" fontId="28" fillId="0" borderId="12" xfId="0" applyNumberFormat="1" applyFont="1" applyBorder="1" applyAlignment="1">
      <alignment horizontal="center" vertical="center"/>
    </xf>
    <xf numFmtId="164" fontId="11" fillId="0" borderId="12" xfId="0" applyNumberFormat="1" applyFont="1" applyBorder="1" applyAlignment="1">
      <alignment horizontal="center" vertical="center"/>
    </xf>
    <xf numFmtId="3" fontId="28" fillId="0" borderId="22" xfId="0" applyNumberFormat="1" applyFont="1" applyBorder="1" applyAlignment="1">
      <alignment horizontal="center" vertical="center"/>
    </xf>
    <xf numFmtId="3" fontId="11" fillId="0" borderId="12" xfId="0" applyNumberFormat="1" applyFont="1" applyBorder="1" applyAlignment="1">
      <alignment horizontal="center" vertical="center"/>
    </xf>
    <xf numFmtId="165" fontId="11" fillId="0" borderId="12" xfId="0" applyNumberFormat="1" applyFont="1" applyBorder="1" applyAlignment="1">
      <alignment horizontal="center" vertical="center"/>
    </xf>
    <xf numFmtId="1" fontId="11" fillId="0" borderId="12" xfId="0" applyNumberFormat="1" applyFont="1" applyBorder="1" applyAlignment="1">
      <alignment horizontal="center" vertical="center"/>
    </xf>
    <xf numFmtId="3" fontId="11" fillId="0" borderId="23" xfId="0" applyNumberFormat="1" applyFont="1" applyBorder="1" applyAlignment="1">
      <alignment horizontal="center" vertical="center"/>
    </xf>
    <xf numFmtId="0" fontId="0" fillId="0" borderId="26" xfId="0" applyBorder="1" applyProtection="1">
      <protection locked="0"/>
    </xf>
    <xf numFmtId="0" fontId="0" fillId="0" borderId="12" xfId="0" applyBorder="1" applyProtection="1">
      <protection locked="0"/>
    </xf>
    <xf numFmtId="0" fontId="0" fillId="0" borderId="7" xfId="0" applyBorder="1" applyProtection="1">
      <protection locked="0"/>
    </xf>
    <xf numFmtId="4" fontId="28" fillId="0" borderId="26" xfId="0" applyNumberFormat="1" applyFont="1" applyBorder="1" applyAlignment="1">
      <alignment horizontal="center" vertical="center"/>
    </xf>
    <xf numFmtId="4" fontId="28" fillId="0" borderId="12" xfId="0" applyNumberFormat="1" applyFont="1" applyBorder="1" applyAlignment="1">
      <alignment horizontal="center" vertical="center"/>
    </xf>
    <xf numFmtId="0" fontId="0" fillId="0" borderId="0" xfId="0" applyProtection="1">
      <protection locked="0"/>
    </xf>
    <xf numFmtId="165" fontId="11" fillId="0" borderId="16" xfId="0" applyNumberFormat="1" applyFont="1" applyBorder="1" applyAlignment="1">
      <alignment horizontal="center" vertical="center"/>
    </xf>
    <xf numFmtId="0" fontId="46" fillId="0" borderId="0" xfId="0" applyFont="1" applyAlignment="1">
      <alignment horizontal="left" vertical="center" wrapText="1"/>
    </xf>
    <xf numFmtId="4" fontId="11" fillId="0" borderId="12" xfId="0" applyNumberFormat="1" applyFont="1" applyBorder="1" applyAlignment="1">
      <alignment horizontal="center" vertical="center"/>
    </xf>
    <xf numFmtId="165" fontId="11" fillId="0" borderId="23" xfId="0" applyNumberFormat="1" applyFont="1" applyBorder="1" applyAlignment="1">
      <alignment horizontal="center" vertical="center"/>
    </xf>
    <xf numFmtId="173" fontId="0" fillId="0" borderId="0" xfId="0" applyNumberFormat="1" applyAlignment="1">
      <alignment horizontal="center" vertical="center"/>
    </xf>
    <xf numFmtId="173" fontId="31" fillId="0" borderId="7" xfId="0" applyNumberFormat="1" applyFont="1" applyBorder="1" applyAlignment="1">
      <alignment horizontal="center" vertical="center"/>
    </xf>
    <xf numFmtId="167" fontId="0" fillId="0" borderId="0" xfId="0" applyNumberFormat="1" applyAlignment="1">
      <alignment horizontal="center" vertical="center"/>
    </xf>
    <xf numFmtId="167" fontId="0" fillId="0" borderId="7" xfId="0" applyNumberFormat="1" applyBorder="1" applyAlignment="1">
      <alignment horizontal="center" vertical="center"/>
    </xf>
    <xf numFmtId="164" fontId="0" fillId="0" borderId="0" xfId="0" applyNumberFormat="1" applyAlignment="1">
      <alignment horizontal="center"/>
    </xf>
    <xf numFmtId="0" fontId="5" fillId="0" borderId="0" xfId="0" applyFont="1"/>
    <xf numFmtId="0" fontId="0" fillId="0" borderId="0" xfId="0" applyAlignment="1">
      <alignment vertical="center" wrapText="1"/>
    </xf>
    <xf numFmtId="165" fontId="11" fillId="0" borderId="18" xfId="0" applyNumberFormat="1" applyFont="1" applyBorder="1" applyAlignment="1">
      <alignment horizontal="center" vertical="center"/>
    </xf>
    <xf numFmtId="165" fontId="11" fillId="0" borderId="8" xfId="0" applyNumberFormat="1" applyFont="1" applyBorder="1" applyAlignment="1">
      <alignment horizontal="center" vertical="center"/>
    </xf>
    <xf numFmtId="0" fontId="22" fillId="0" borderId="7" xfId="0" applyFont="1" applyBorder="1" applyAlignment="1">
      <alignment horizontal="center" vertical="center"/>
    </xf>
    <xf numFmtId="0" fontId="41" fillId="0" borderId="7" xfId="0" applyFont="1" applyBorder="1" applyAlignment="1">
      <alignment horizontal="center" vertical="center"/>
    </xf>
    <xf numFmtId="1" fontId="0" fillId="4" borderId="7" xfId="0" applyNumberFormat="1" applyFill="1" applyBorder="1" applyAlignment="1">
      <alignment horizontal="center" vertical="center"/>
    </xf>
    <xf numFmtId="0" fontId="0" fillId="4" borderId="7" xfId="0" applyFill="1" applyBorder="1" applyAlignment="1">
      <alignment horizontal="center" vertical="center"/>
    </xf>
    <xf numFmtId="2" fontId="22" fillId="0" borderId="7" xfId="0" applyNumberFormat="1" applyFont="1" applyBorder="1" applyAlignment="1">
      <alignment horizontal="center" vertical="center"/>
    </xf>
    <xf numFmtId="164" fontId="0" fillId="0" borderId="7" xfId="0" applyNumberFormat="1" applyBorder="1" applyAlignment="1">
      <alignment horizontal="center" vertical="center"/>
    </xf>
    <xf numFmtId="164" fontId="22" fillId="0" borderId="7" xfId="0" applyNumberFormat="1" applyFont="1" applyBorder="1" applyAlignment="1">
      <alignment horizontal="center" vertical="center"/>
    </xf>
    <xf numFmtId="0" fontId="59" fillId="0" borderId="31" xfId="1" applyFont="1" applyBorder="1" applyAlignment="1" applyProtection="1">
      <alignment horizontal="center" vertical="top" wrapText="1" readingOrder="1"/>
      <protection locked="0"/>
    </xf>
    <xf numFmtId="1" fontId="31" fillId="0" borderId="0" xfId="0" applyNumberFormat="1" applyFont="1" applyAlignment="1">
      <alignment horizontal="center" vertical="center"/>
    </xf>
    <xf numFmtId="1" fontId="27" fillId="0" borderId="0" xfId="0" applyNumberFormat="1" applyFont="1" applyAlignment="1">
      <alignment horizontal="center" vertical="center"/>
    </xf>
    <xf numFmtId="168" fontId="0" fillId="0" borderId="12" xfId="0" applyNumberFormat="1" applyBorder="1" applyAlignment="1">
      <alignment horizontal="center" vertical="center"/>
    </xf>
    <xf numFmtId="167" fontId="27" fillId="0" borderId="12" xfId="0" applyNumberFormat="1" applyFont="1" applyBorder="1" applyAlignment="1">
      <alignment horizontal="center" vertical="center"/>
    </xf>
    <xf numFmtId="167" fontId="0" fillId="0" borderId="12" xfId="0" applyNumberFormat="1" applyBorder="1" applyAlignment="1">
      <alignment horizontal="center" vertical="center"/>
    </xf>
    <xf numFmtId="0" fontId="22" fillId="0" borderId="12" xfId="0" applyFont="1" applyBorder="1" applyAlignment="1">
      <alignment horizontal="center" vertical="center"/>
    </xf>
    <xf numFmtId="3" fontId="38" fillId="0" borderId="0" xfId="0" applyNumberFormat="1" applyFont="1" applyAlignment="1">
      <alignment horizontal="center" vertical="center"/>
    </xf>
    <xf numFmtId="165" fontId="31" fillId="0" borderId="0" xfId="0" applyNumberFormat="1" applyFont="1" applyAlignment="1">
      <alignment horizontal="center" vertical="center"/>
    </xf>
    <xf numFmtId="0" fontId="11" fillId="0" borderId="22" xfId="0" applyFont="1" applyBorder="1" applyAlignment="1">
      <alignment horizontal="center" vertical="center"/>
    </xf>
    <xf numFmtId="3" fontId="31" fillId="0" borderId="22" xfId="0" applyNumberFormat="1" applyFont="1" applyBorder="1" applyAlignment="1">
      <alignment horizontal="center" vertical="center"/>
    </xf>
    <xf numFmtId="3" fontId="38" fillId="0" borderId="22" xfId="0" applyNumberFormat="1" applyFont="1" applyBorder="1" applyAlignment="1">
      <alignment horizontal="center" vertical="center"/>
    </xf>
    <xf numFmtId="0" fontId="22" fillId="0" borderId="21" xfId="0" applyFont="1" applyBorder="1" applyAlignment="1">
      <alignment horizontal="center" vertical="center"/>
    </xf>
    <xf numFmtId="0" fontId="22" fillId="0" borderId="19" xfId="0" applyFont="1" applyBorder="1" applyAlignment="1">
      <alignment horizontal="center" vertical="center"/>
    </xf>
    <xf numFmtId="167" fontId="27" fillId="0" borderId="15"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vertical="center"/>
    </xf>
    <xf numFmtId="0" fontId="47" fillId="0" borderId="0" xfId="0" applyFont="1" applyAlignment="1">
      <alignment vertical="center"/>
    </xf>
    <xf numFmtId="3" fontId="47" fillId="0" borderId="0" xfId="0" applyNumberFormat="1" applyFont="1" applyAlignment="1">
      <alignment vertical="center"/>
    </xf>
    <xf numFmtId="0" fontId="46" fillId="0" borderId="0" xfId="0" applyFont="1" applyAlignment="1">
      <alignment vertical="center" wrapText="1"/>
    </xf>
    <xf numFmtId="0" fontId="0" fillId="0" borderId="7" xfId="0" applyBorder="1" applyAlignment="1">
      <alignment horizontal="right"/>
    </xf>
    <xf numFmtId="0" fontId="0" fillId="0" borderId="7" xfId="0" applyBorder="1" applyAlignment="1" applyProtection="1">
      <alignment horizontal="center" vertical="center"/>
      <protection locked="0"/>
    </xf>
    <xf numFmtId="2" fontId="0" fillId="0" borderId="26" xfId="0" applyNumberFormat="1" applyBorder="1" applyProtection="1">
      <protection locked="0"/>
    </xf>
    <xf numFmtId="3" fontId="11" fillId="0" borderId="8" xfId="0" applyNumberFormat="1" applyFont="1" applyBorder="1" applyAlignment="1">
      <alignment horizontal="center" vertical="center"/>
    </xf>
    <xf numFmtId="0" fontId="29" fillId="0" borderId="0" xfId="0" applyFont="1" applyAlignment="1">
      <alignment vertical="center"/>
    </xf>
    <xf numFmtId="0" fontId="60" fillId="24" borderId="37" xfId="1" applyFont="1" applyFill="1" applyBorder="1" applyAlignment="1" applyProtection="1">
      <alignment horizontal="center" wrapText="1" readingOrder="1"/>
      <protection locked="0"/>
    </xf>
    <xf numFmtId="0" fontId="59" fillId="0" borderId="30" xfId="1" applyFont="1" applyBorder="1" applyAlignment="1" applyProtection="1">
      <alignment horizontal="center" vertical="center" wrapText="1" readingOrder="1"/>
      <protection locked="0"/>
    </xf>
    <xf numFmtId="0" fontId="59" fillId="0" borderId="7" xfId="1" applyFont="1" applyBorder="1" applyAlignment="1" applyProtection="1">
      <alignment horizontal="center" vertical="center" wrapText="1" readingOrder="1"/>
      <protection locked="0"/>
    </xf>
    <xf numFmtId="0" fontId="59" fillId="0" borderId="33" xfId="1" applyFont="1" applyBorder="1" applyAlignment="1" applyProtection="1">
      <alignment horizontal="center" vertical="center" wrapText="1" readingOrder="1"/>
      <protection locked="0"/>
    </xf>
    <xf numFmtId="0" fontId="57" fillId="0" borderId="0" xfId="1" applyAlignment="1" applyProtection="1">
      <alignment vertical="center" wrapText="1"/>
      <protection locked="0"/>
    </xf>
    <xf numFmtId="0" fontId="57" fillId="0" borderId="0" xfId="1" applyAlignment="1" applyProtection="1">
      <alignment vertical="top" wrapText="1"/>
      <protection locked="0"/>
    </xf>
    <xf numFmtId="0" fontId="57" fillId="0" borderId="0" xfId="1" applyAlignment="1" applyProtection="1">
      <alignment horizontal="center" vertical="center" wrapText="1"/>
      <protection locked="0"/>
    </xf>
    <xf numFmtId="3" fontId="57" fillId="0" borderId="0" xfId="1" applyNumberFormat="1" applyAlignment="1" applyProtection="1">
      <alignment horizontal="center" vertical="top" wrapText="1"/>
      <protection locked="0"/>
    </xf>
    <xf numFmtId="0" fontId="57" fillId="0" borderId="0" xfId="1" applyAlignment="1" applyProtection="1">
      <alignment horizontal="center" vertical="top" wrapText="1"/>
      <protection locked="0"/>
    </xf>
    <xf numFmtId="0" fontId="11" fillId="0" borderId="7" xfId="0" applyFont="1" applyBorder="1" applyAlignment="1">
      <alignment horizontal="center" vertical="center"/>
    </xf>
    <xf numFmtId="3" fontId="28" fillId="0" borderId="23" xfId="0" applyNumberFormat="1" applyFont="1" applyBorder="1" applyAlignment="1">
      <alignment horizontal="center" vertical="center"/>
    </xf>
    <xf numFmtId="0" fontId="0" fillId="0" borderId="46" xfId="0" applyBorder="1"/>
    <xf numFmtId="0" fontId="27" fillId="25" borderId="12" xfId="0" applyFont="1" applyFill="1" applyBorder="1" applyAlignment="1" applyProtection="1">
      <alignment horizontal="center" vertical="center"/>
      <protection locked="0"/>
    </xf>
    <xf numFmtId="0" fontId="27" fillId="25" borderId="22" xfId="0" applyFont="1" applyFill="1" applyBorder="1" applyAlignment="1" applyProtection="1">
      <alignment horizontal="center" vertical="center"/>
      <protection locked="0"/>
    </xf>
    <xf numFmtId="3" fontId="71" fillId="0" borderId="26" xfId="0" applyNumberFormat="1" applyFont="1" applyBorder="1" applyAlignment="1">
      <alignment horizontal="center" vertical="center"/>
    </xf>
    <xf numFmtId="3" fontId="71" fillId="0" borderId="12" xfId="0" applyNumberFormat="1" applyFont="1" applyBorder="1" applyAlignment="1">
      <alignment horizontal="center" vertical="center"/>
    </xf>
    <xf numFmtId="3" fontId="46" fillId="25" borderId="12" xfId="0" applyNumberFormat="1" applyFont="1" applyFill="1" applyBorder="1" applyAlignment="1" applyProtection="1">
      <alignment horizontal="center" vertical="center"/>
      <protection locked="0"/>
    </xf>
    <xf numFmtId="2" fontId="27" fillId="25" borderId="12" xfId="0" applyNumberFormat="1" applyFont="1" applyFill="1" applyBorder="1" applyAlignment="1" applyProtection="1">
      <alignment horizontal="center" vertical="center"/>
      <protection locked="0"/>
    </xf>
    <xf numFmtId="3" fontId="27" fillId="25" borderId="12" xfId="0" applyNumberFormat="1" applyFont="1" applyFill="1" applyBorder="1" applyAlignment="1" applyProtection="1">
      <alignment horizontal="center" vertical="center"/>
      <protection locked="0"/>
    </xf>
    <xf numFmtId="3" fontId="27" fillId="25" borderId="22" xfId="0" applyNumberFormat="1" applyFont="1" applyFill="1" applyBorder="1" applyAlignment="1" applyProtection="1">
      <alignment horizontal="center" vertical="center"/>
      <protection locked="0"/>
    </xf>
    <xf numFmtId="0" fontId="27" fillId="25" borderId="48" xfId="0" applyFont="1" applyFill="1" applyBorder="1" applyAlignment="1" applyProtection="1">
      <alignment horizontal="center" vertical="center"/>
      <protection locked="0"/>
    </xf>
    <xf numFmtId="0" fontId="27" fillId="25" borderId="49" xfId="0" applyFont="1" applyFill="1" applyBorder="1" applyAlignment="1" applyProtection="1">
      <alignment horizontal="center" vertical="center"/>
      <protection locked="0"/>
    </xf>
    <xf numFmtId="3" fontId="27" fillId="25" borderId="48" xfId="0" applyNumberFormat="1" applyFont="1" applyFill="1" applyBorder="1" applyAlignment="1" applyProtection="1">
      <alignment horizontal="center" vertical="center"/>
      <protection locked="0"/>
    </xf>
    <xf numFmtId="3" fontId="46" fillId="25" borderId="48" xfId="0" applyNumberFormat="1" applyFont="1" applyFill="1" applyBorder="1" applyAlignment="1" applyProtection="1">
      <alignment horizontal="center" vertical="center"/>
      <protection locked="0"/>
    </xf>
    <xf numFmtId="2" fontId="27" fillId="25" borderId="48" xfId="0" applyNumberFormat="1" applyFont="1" applyFill="1" applyBorder="1" applyAlignment="1" applyProtection="1">
      <alignment horizontal="center" vertical="center"/>
      <protection locked="0"/>
    </xf>
    <xf numFmtId="165" fontId="11" fillId="25" borderId="50" xfId="0" applyNumberFormat="1" applyFont="1" applyFill="1" applyBorder="1" applyAlignment="1" applyProtection="1">
      <alignment horizontal="center" vertical="center"/>
      <protection locked="0"/>
    </xf>
    <xf numFmtId="165" fontId="11" fillId="25" borderId="48" xfId="0" applyNumberFormat="1" applyFont="1" applyFill="1" applyBorder="1" applyAlignment="1" applyProtection="1">
      <alignment horizontal="center" vertical="center"/>
      <protection locked="0"/>
    </xf>
    <xf numFmtId="165" fontId="11" fillId="25" borderId="51" xfId="0" applyNumberFormat="1" applyFont="1" applyFill="1" applyBorder="1" applyAlignment="1" applyProtection="1">
      <alignment horizontal="center" vertical="center"/>
      <protection locked="0"/>
    </xf>
    <xf numFmtId="165" fontId="11" fillId="25" borderId="21" xfId="0" applyNumberFormat="1" applyFont="1" applyFill="1" applyBorder="1" applyAlignment="1" applyProtection="1">
      <alignment horizontal="center" vertical="center"/>
      <protection locked="0"/>
    </xf>
    <xf numFmtId="165" fontId="11" fillId="25" borderId="12" xfId="0" applyNumberFormat="1" applyFont="1" applyFill="1" applyBorder="1" applyAlignment="1" applyProtection="1">
      <alignment horizontal="center" vertical="center"/>
      <protection locked="0"/>
    </xf>
    <xf numFmtId="165" fontId="11" fillId="25" borderId="23" xfId="0" applyNumberFormat="1" applyFont="1" applyFill="1" applyBorder="1" applyAlignment="1" applyProtection="1">
      <alignment horizontal="center" vertical="center"/>
      <protection locked="0"/>
    </xf>
    <xf numFmtId="165" fontId="11" fillId="25" borderId="22" xfId="0" applyNumberFormat="1" applyFont="1" applyFill="1" applyBorder="1" applyAlignment="1" applyProtection="1">
      <alignment horizontal="center" vertical="center"/>
      <protection locked="0"/>
    </xf>
    <xf numFmtId="0" fontId="57" fillId="0" borderId="55" xfId="1" applyBorder="1" applyAlignment="1" applyProtection="1">
      <alignment horizontal="center" vertical="center" wrapText="1"/>
      <protection locked="0"/>
    </xf>
    <xf numFmtId="14" fontId="57" fillId="0" borderId="54" xfId="1" applyNumberFormat="1" applyBorder="1" applyAlignment="1">
      <alignment horizontal="center" vertical="center" wrapText="1"/>
    </xf>
    <xf numFmtId="0" fontId="59" fillId="0" borderId="38" xfId="1" applyFont="1" applyBorder="1" applyAlignment="1">
      <alignment horizontal="right" vertical="top" wrapText="1" readingOrder="1"/>
    </xf>
    <xf numFmtId="0" fontId="57" fillId="0" borderId="34" xfId="1" applyBorder="1" applyAlignment="1">
      <alignment vertical="top" wrapText="1"/>
    </xf>
    <xf numFmtId="0" fontId="59" fillId="0" borderId="34" xfId="1" applyFont="1" applyBorder="1" applyAlignment="1">
      <alignment horizontal="right" vertical="top" wrapText="1"/>
    </xf>
    <xf numFmtId="0" fontId="22" fillId="15" borderId="0" xfId="0" applyFont="1" applyFill="1"/>
    <xf numFmtId="0" fontId="65" fillId="15" borderId="0" xfId="0" applyFont="1" applyFill="1" applyAlignment="1">
      <alignment horizontal="center" vertical="center" wrapText="1"/>
    </xf>
    <xf numFmtId="0" fontId="22" fillId="15" borderId="0" xfId="0" applyFont="1" applyFill="1" applyProtection="1">
      <protection locked="0"/>
    </xf>
    <xf numFmtId="0" fontId="22" fillId="15" borderId="0" xfId="0" applyFont="1" applyFill="1" applyAlignment="1">
      <alignment vertical="center" wrapText="1"/>
    </xf>
    <xf numFmtId="0" fontId="22" fillId="15" borderId="0" xfId="0" applyFont="1" applyFill="1" applyAlignment="1">
      <alignment horizontal="center" vertical="center" wrapText="1"/>
    </xf>
    <xf numFmtId="0" fontId="65" fillId="15" borderId="0" xfId="0" applyFont="1" applyFill="1" applyAlignment="1">
      <alignment horizontal="center" vertical="center"/>
    </xf>
    <xf numFmtId="0" fontId="54" fillId="15" borderId="0" xfId="0" applyFont="1" applyFill="1" applyAlignment="1">
      <alignment horizontal="center" vertical="center" wrapText="1"/>
    </xf>
    <xf numFmtId="0" fontId="54" fillId="15" borderId="0" xfId="0" applyFont="1" applyFill="1" applyAlignment="1">
      <alignment horizontal="center" vertical="center"/>
    </xf>
    <xf numFmtId="0" fontId="52" fillId="15" borderId="0" xfId="0" applyFont="1" applyFill="1" applyAlignment="1">
      <alignment horizontal="center" vertical="center"/>
    </xf>
    <xf numFmtId="4" fontId="28" fillId="15" borderId="0" xfId="0" applyNumberFormat="1" applyFont="1" applyFill="1" applyAlignment="1">
      <alignment horizontal="center" vertical="center"/>
    </xf>
    <xf numFmtId="165" fontId="28" fillId="15" borderId="0" xfId="0" applyNumberFormat="1" applyFont="1" applyFill="1" applyAlignment="1">
      <alignment horizontal="center" vertical="center"/>
    </xf>
    <xf numFmtId="0" fontId="41" fillId="15" borderId="0" xfId="0" applyFont="1" applyFill="1" applyAlignment="1">
      <alignment horizontal="right" vertical="center" wrapText="1"/>
    </xf>
    <xf numFmtId="0" fontId="22" fillId="15" borderId="0" xfId="0" applyFont="1" applyFill="1" applyAlignment="1" applyProtection="1">
      <alignment horizontal="center" vertical="center" wrapText="1"/>
      <protection locked="0"/>
    </xf>
    <xf numFmtId="0" fontId="28" fillId="15" borderId="0" xfId="0" applyFont="1" applyFill="1" applyAlignment="1">
      <alignment horizontal="center" vertical="center" wrapText="1"/>
    </xf>
    <xf numFmtId="167" fontId="28" fillId="15" borderId="0" xfId="0" applyNumberFormat="1" applyFont="1" applyFill="1" applyAlignment="1">
      <alignment horizontal="center" vertical="center"/>
    </xf>
    <xf numFmtId="2" fontId="28" fillId="15" borderId="0" xfId="0" applyNumberFormat="1" applyFont="1" applyFill="1" applyAlignment="1">
      <alignment horizontal="center" vertical="center"/>
    </xf>
    <xf numFmtId="3" fontId="22" fillId="15" borderId="0" xfId="0" applyNumberFormat="1" applyFont="1" applyFill="1" applyAlignment="1">
      <alignment horizontal="center" vertical="center" wrapText="1"/>
    </xf>
    <xf numFmtId="2" fontId="22" fillId="15" borderId="0" xfId="0" applyNumberFormat="1" applyFont="1" applyFill="1" applyAlignment="1">
      <alignment horizontal="center" vertical="center" wrapText="1"/>
    </xf>
    <xf numFmtId="0" fontId="22" fillId="15" borderId="0" xfId="0" applyFont="1" applyFill="1" applyAlignment="1">
      <alignment horizontal="center"/>
    </xf>
    <xf numFmtId="0" fontId="22" fillId="15" borderId="0" xfId="0" applyFont="1" applyFill="1" applyAlignment="1">
      <alignment horizontal="center" vertical="center"/>
    </xf>
    <xf numFmtId="0" fontId="48" fillId="15" borderId="0" xfId="0" applyFont="1" applyFill="1" applyAlignment="1">
      <alignment horizontal="center" vertical="center"/>
    </xf>
    <xf numFmtId="0" fontId="53" fillId="15" borderId="0" xfId="0" applyFont="1" applyFill="1" applyAlignment="1">
      <alignment horizontal="center" vertical="center"/>
    </xf>
    <xf numFmtId="0" fontId="73" fillId="15" borderId="0" xfId="0" applyFont="1" applyFill="1" applyAlignment="1">
      <alignment horizontal="center" vertical="center"/>
    </xf>
    <xf numFmtId="0" fontId="56" fillId="15" borderId="0" xfId="0" applyFont="1" applyFill="1" applyAlignment="1">
      <alignment horizontal="center" vertical="center"/>
    </xf>
    <xf numFmtId="0" fontId="67" fillId="15" borderId="0" xfId="0" applyFont="1" applyFill="1" applyAlignment="1">
      <alignment horizontal="center" vertical="center"/>
    </xf>
    <xf numFmtId="3" fontId="28" fillId="15" borderId="0" xfId="0" applyNumberFormat="1" applyFont="1" applyFill="1" applyAlignment="1">
      <alignment horizontal="center" vertical="center"/>
    </xf>
    <xf numFmtId="2" fontId="67" fillId="15" borderId="0" xfId="0" applyNumberFormat="1" applyFont="1" applyFill="1" applyAlignment="1">
      <alignment horizontal="center" vertical="center"/>
    </xf>
    <xf numFmtId="3" fontId="22" fillId="15" borderId="0" xfId="0" applyNumberFormat="1" applyFont="1" applyFill="1" applyAlignment="1">
      <alignment horizontal="center" vertical="center"/>
    </xf>
    <xf numFmtId="164" fontId="22" fillId="15" borderId="0" xfId="0" applyNumberFormat="1" applyFont="1" applyFill="1" applyAlignment="1">
      <alignment horizontal="center" vertical="center"/>
    </xf>
    <xf numFmtId="167" fontId="22" fillId="15" borderId="0" xfId="0" applyNumberFormat="1" applyFont="1" applyFill="1" applyAlignment="1">
      <alignment horizontal="center" vertical="center"/>
    </xf>
    <xf numFmtId="3" fontId="53" fillId="15" borderId="0" xfId="0" applyNumberFormat="1" applyFont="1" applyFill="1" applyAlignment="1">
      <alignment horizontal="center" vertical="center"/>
    </xf>
    <xf numFmtId="2" fontId="46" fillId="15" borderId="0" xfId="0" applyNumberFormat="1" applyFont="1" applyFill="1" applyAlignment="1">
      <alignment horizontal="center" vertical="center"/>
    </xf>
    <xf numFmtId="1" fontId="53" fillId="15" borderId="0" xfId="0" applyNumberFormat="1" applyFont="1" applyFill="1" applyAlignment="1">
      <alignment horizontal="center" vertical="center"/>
    </xf>
    <xf numFmtId="1" fontId="22" fillId="15" borderId="0" xfId="0" applyNumberFormat="1" applyFont="1" applyFill="1" applyAlignment="1">
      <alignment horizontal="center" vertical="center"/>
    </xf>
    <xf numFmtId="2" fontId="22" fillId="15" borderId="0" xfId="0" applyNumberFormat="1" applyFont="1" applyFill="1" applyAlignment="1">
      <alignment horizontal="center" vertical="center"/>
    </xf>
    <xf numFmtId="164" fontId="46" fillId="15" borderId="0" xfId="0" applyNumberFormat="1" applyFont="1" applyFill="1" applyAlignment="1">
      <alignment horizontal="center" vertical="center"/>
    </xf>
    <xf numFmtId="165" fontId="22" fillId="15" borderId="0" xfId="0" applyNumberFormat="1" applyFont="1" applyFill="1" applyAlignment="1">
      <alignment horizontal="center" vertical="center"/>
    </xf>
    <xf numFmtId="167" fontId="22" fillId="15" borderId="0" xfId="0" applyNumberFormat="1" applyFont="1" applyFill="1" applyAlignment="1">
      <alignment horizontal="center" vertical="center" wrapText="1"/>
    </xf>
    <xf numFmtId="177" fontId="0" fillId="0" borderId="0" xfId="4" applyNumberFormat="1" applyFont="1" applyAlignment="1">
      <alignment horizontal="center"/>
    </xf>
    <xf numFmtId="177" fontId="0" fillId="0" borderId="0" xfId="0" applyNumberFormat="1" applyAlignment="1">
      <alignment horizontal="center"/>
    </xf>
    <xf numFmtId="43" fontId="0" fillId="0" borderId="0" xfId="0" applyNumberFormat="1" applyAlignment="1">
      <alignment horizontal="center"/>
    </xf>
    <xf numFmtId="0" fontId="31" fillId="0" borderId="0" xfId="0" applyFont="1"/>
    <xf numFmtId="0" fontId="3" fillId="0" borderId="0" xfId="0" applyFont="1" applyAlignment="1">
      <alignment horizontal="center" vertical="center" wrapText="1"/>
    </xf>
    <xf numFmtId="0" fontId="22" fillId="0" borderId="0" xfId="0" applyFont="1"/>
    <xf numFmtId="3" fontId="30" fillId="0" borderId="0" xfId="0" applyNumberFormat="1" applyFont="1" applyAlignment="1">
      <alignment vertical="center"/>
    </xf>
    <xf numFmtId="0" fontId="31" fillId="0" borderId="0" xfId="0" applyFont="1" applyAlignment="1">
      <alignment vertical="center" wrapText="1"/>
    </xf>
    <xf numFmtId="0" fontId="78" fillId="0" borderId="0" xfId="0" applyFont="1"/>
    <xf numFmtId="165" fontId="22" fillId="0" borderId="0" xfId="0" applyNumberFormat="1" applyFont="1" applyAlignment="1">
      <alignment horizontal="center" vertical="center" wrapText="1"/>
    </xf>
    <xf numFmtId="0" fontId="65" fillId="0" borderId="0" xfId="0" applyFont="1" applyAlignment="1">
      <alignment vertical="center"/>
    </xf>
    <xf numFmtId="1" fontId="0" fillId="0" borderId="0" xfId="0" applyNumberFormat="1"/>
    <xf numFmtId="14" fontId="0" fillId="0" borderId="0" xfId="0" applyNumberFormat="1"/>
    <xf numFmtId="0" fontId="82" fillId="0" borderId="0" xfId="0" applyFont="1"/>
    <xf numFmtId="0" fontId="0" fillId="0" borderId="22" xfId="0" applyBorder="1" applyAlignment="1">
      <alignment horizontal="center"/>
    </xf>
    <xf numFmtId="3" fontId="0" fillId="0" borderId="0" xfId="0" applyNumberFormat="1"/>
    <xf numFmtId="2" fontId="0" fillId="0" borderId="56" xfId="0" applyNumberFormat="1" applyBorder="1"/>
    <xf numFmtId="1" fontId="0" fillId="0" borderId="56" xfId="0" applyNumberFormat="1" applyBorder="1" applyAlignment="1">
      <alignment horizontal="center"/>
    </xf>
    <xf numFmtId="0" fontId="0" fillId="0" borderId="56" xfId="0" applyBorder="1"/>
    <xf numFmtId="164" fontId="0" fillId="0" borderId="56" xfId="0" applyNumberFormat="1" applyBorder="1"/>
    <xf numFmtId="0" fontId="59" fillId="0" borderId="35" xfId="1" applyFont="1" applyBorder="1" applyAlignment="1">
      <alignment horizontal="center" vertical="center" wrapText="1"/>
    </xf>
    <xf numFmtId="0" fontId="59" fillId="0" borderId="27" xfId="1" applyFont="1" applyBorder="1" applyAlignment="1">
      <alignment horizontal="center" vertical="center" wrapText="1"/>
    </xf>
    <xf numFmtId="1" fontId="59" fillId="0" borderId="45" xfId="1" applyNumberFormat="1" applyFont="1" applyBorder="1" applyAlignment="1">
      <alignment horizontal="center" vertical="center" wrapText="1"/>
    </xf>
    <xf numFmtId="0" fontId="59" fillId="0" borderId="28" xfId="1" applyFont="1" applyBorder="1" applyAlignment="1">
      <alignment horizontal="center" vertical="center" wrapText="1"/>
    </xf>
    <xf numFmtId="3" fontId="59" fillId="0" borderId="27" xfId="1" applyNumberFormat="1" applyFont="1" applyBorder="1" applyAlignment="1">
      <alignment horizontal="center" vertical="center" wrapText="1"/>
    </xf>
    <xf numFmtId="170" fontId="59" fillId="0" borderId="27" xfId="1" applyNumberFormat="1" applyFont="1" applyBorder="1" applyAlignment="1">
      <alignment horizontal="center" vertical="center" wrapText="1"/>
    </xf>
    <xf numFmtId="9" fontId="59" fillId="0" borderId="27" xfId="2" applyFont="1" applyFill="1" applyBorder="1" applyAlignment="1" applyProtection="1">
      <alignment horizontal="center" vertical="center" wrapText="1"/>
    </xf>
    <xf numFmtId="171" fontId="59" fillId="0" borderId="27" xfId="1" applyNumberFormat="1" applyFont="1" applyBorder="1" applyAlignment="1">
      <alignment horizontal="center" vertical="center" wrapText="1"/>
    </xf>
    <xf numFmtId="172" fontId="59" fillId="0" borderId="27" xfId="1" applyNumberFormat="1" applyFont="1" applyBorder="1" applyAlignment="1">
      <alignment horizontal="center" vertical="center" wrapText="1"/>
    </xf>
    <xf numFmtId="0" fontId="59" fillId="0" borderId="53" xfId="1" applyFont="1" applyBorder="1" applyAlignment="1">
      <alignment horizontal="center" vertical="center" wrapText="1"/>
    </xf>
    <xf numFmtId="1" fontId="59" fillId="0" borderId="27" xfId="1" applyNumberFormat="1" applyFont="1" applyBorder="1" applyAlignment="1">
      <alignment horizontal="center" vertical="center" wrapText="1"/>
    </xf>
    <xf numFmtId="164" fontId="59" fillId="0" borderId="27" xfId="1" applyNumberFormat="1" applyFont="1" applyBorder="1" applyAlignment="1">
      <alignment horizontal="center" vertical="center" wrapText="1"/>
    </xf>
    <xf numFmtId="164" fontId="59" fillId="0" borderId="53" xfId="1" applyNumberFormat="1" applyFont="1" applyBorder="1" applyAlignment="1">
      <alignment horizontal="center" vertical="center" wrapText="1"/>
    </xf>
    <xf numFmtId="2" fontId="59" fillId="0" borderId="27" xfId="1" applyNumberFormat="1" applyFont="1" applyBorder="1" applyAlignment="1">
      <alignment horizontal="center" vertical="center" wrapText="1"/>
    </xf>
    <xf numFmtId="0" fontId="59" fillId="0" borderId="27" xfId="1" applyFont="1" applyBorder="1" applyAlignment="1" applyProtection="1">
      <alignment horizontal="center" vertical="center" wrapText="1"/>
      <protection locked="0"/>
    </xf>
    <xf numFmtId="174" fontId="59" fillId="0" borderId="27" xfId="1" applyNumberFormat="1" applyFont="1" applyBorder="1" applyAlignment="1">
      <alignment horizontal="center" vertical="center" wrapText="1"/>
    </xf>
    <xf numFmtId="175" fontId="59" fillId="0" borderId="27" xfId="1" applyNumberFormat="1" applyFont="1" applyBorder="1" applyAlignment="1">
      <alignment horizontal="center" vertical="center" wrapText="1"/>
    </xf>
    <xf numFmtId="0" fontId="0" fillId="0" borderId="61" xfId="0" applyBorder="1"/>
    <xf numFmtId="0" fontId="79" fillId="0" borderId="61" xfId="3" applyFont="1" applyFill="1" applyBorder="1" applyAlignment="1">
      <alignment vertical="center"/>
    </xf>
    <xf numFmtId="0" fontId="81" fillId="0" borderId="61" xfId="3" applyFont="1" applyFill="1" applyBorder="1" applyAlignment="1" applyProtection="1">
      <alignment horizontal="right" vertical="center"/>
      <protection locked="0"/>
    </xf>
    <xf numFmtId="0" fontId="80" fillId="0" borderId="61" xfId="3" applyFont="1" applyFill="1" applyBorder="1" applyAlignment="1" applyProtection="1">
      <alignment vertical="center"/>
      <protection locked="0"/>
    </xf>
    <xf numFmtId="0" fontId="80" fillId="0" borderId="61" xfId="3" applyFont="1" applyFill="1" applyBorder="1" applyAlignment="1" applyProtection="1">
      <alignment horizontal="center" vertical="center"/>
      <protection locked="0"/>
    </xf>
    <xf numFmtId="0" fontId="0" fillId="0" borderId="62" xfId="0" applyBorder="1"/>
    <xf numFmtId="0" fontId="0" fillId="0" borderId="63" xfId="0" applyBorder="1"/>
    <xf numFmtId="0" fontId="0" fillId="26" borderId="0" xfId="0" applyFill="1"/>
    <xf numFmtId="0" fontId="0" fillId="26" borderId="0" xfId="0" applyFill="1" applyAlignment="1">
      <alignment horizontal="right"/>
    </xf>
    <xf numFmtId="0" fontId="56" fillId="15" borderId="65" xfId="0" applyFont="1" applyFill="1" applyBorder="1" applyAlignment="1" applyProtection="1">
      <alignment horizontal="center" vertical="center"/>
      <protection locked="0"/>
    </xf>
    <xf numFmtId="0" fontId="56" fillId="15" borderId="64" xfId="0" applyFont="1" applyFill="1" applyBorder="1" applyAlignment="1" applyProtection="1">
      <alignment horizontal="center" vertical="center"/>
      <protection locked="0"/>
    </xf>
    <xf numFmtId="164" fontId="56" fillId="15" borderId="66" xfId="0" applyNumberFormat="1" applyFont="1" applyFill="1" applyBorder="1" applyAlignment="1" applyProtection="1">
      <alignment horizontal="center" vertical="center"/>
      <protection locked="0"/>
    </xf>
    <xf numFmtId="0" fontId="3" fillId="26" borderId="0" xfId="0" applyFont="1" applyFill="1" applyAlignment="1">
      <alignment horizontal="center"/>
    </xf>
    <xf numFmtId="167" fontId="0" fillId="26" borderId="0" xfId="0" applyNumberFormat="1" applyFill="1" applyAlignment="1">
      <alignment horizontal="center"/>
    </xf>
    <xf numFmtId="164" fontId="0" fillId="26" borderId="0" xfId="0" applyNumberFormat="1" applyFill="1" applyAlignment="1">
      <alignment horizontal="center"/>
    </xf>
    <xf numFmtId="164" fontId="56" fillId="15" borderId="65" xfId="0" applyNumberFormat="1" applyFont="1" applyFill="1" applyBorder="1" applyAlignment="1" applyProtection="1">
      <alignment horizontal="center" vertical="center"/>
      <protection locked="0"/>
    </xf>
    <xf numFmtId="164" fontId="56" fillId="15" borderId="64" xfId="0" applyNumberFormat="1" applyFont="1" applyFill="1" applyBorder="1" applyAlignment="1" applyProtection="1">
      <alignment horizontal="center" vertical="center"/>
      <protection locked="0"/>
    </xf>
    <xf numFmtId="1" fontId="56" fillId="15" borderId="66" xfId="0" applyNumberFormat="1" applyFont="1" applyFill="1" applyBorder="1" applyAlignment="1" applyProtection="1">
      <alignment horizontal="center" vertical="center"/>
      <protection locked="0"/>
    </xf>
    <xf numFmtId="9" fontId="56" fillId="15" borderId="66" xfId="5" applyFont="1" applyFill="1" applyBorder="1" applyAlignment="1" applyProtection="1">
      <alignment horizontal="center" vertical="center"/>
      <protection locked="0"/>
    </xf>
    <xf numFmtId="0" fontId="77" fillId="26" borderId="0" xfId="0" applyFont="1" applyFill="1" applyAlignment="1">
      <alignment vertical="center"/>
    </xf>
    <xf numFmtId="0" fontId="77" fillId="26" borderId="0" xfId="0" applyFont="1" applyFill="1" applyAlignment="1">
      <alignment horizontal="left" vertical="center"/>
    </xf>
    <xf numFmtId="2" fontId="28" fillId="0" borderId="0" xfId="0" applyNumberFormat="1" applyFont="1" applyAlignment="1">
      <alignment horizontal="center" vertical="center"/>
    </xf>
    <xf numFmtId="2" fontId="74" fillId="0" borderId="0" xfId="0" applyNumberFormat="1" applyFont="1" applyAlignment="1">
      <alignment horizontal="center" vertical="center"/>
    </xf>
    <xf numFmtId="167" fontId="28" fillId="0" borderId="0" xfId="0" applyNumberFormat="1" applyFont="1" applyAlignment="1">
      <alignment horizontal="center" vertical="center"/>
    </xf>
    <xf numFmtId="0" fontId="22" fillId="15" borderId="0" xfId="0" applyFont="1" applyFill="1" applyAlignment="1">
      <alignment horizontal="right" vertical="center" wrapText="1" indent="1"/>
    </xf>
    <xf numFmtId="0" fontId="22" fillId="15" borderId="0" xfId="0" applyFont="1" applyFill="1" applyAlignment="1">
      <alignment horizontal="right" vertical="center" wrapText="1"/>
    </xf>
    <xf numFmtId="167" fontId="74" fillId="0" borderId="0" xfId="0" applyNumberFormat="1" applyFont="1" applyAlignment="1">
      <alignment horizontal="center" vertical="center"/>
    </xf>
    <xf numFmtId="0" fontId="89" fillId="15" borderId="0" xfId="0" applyFont="1" applyFill="1" applyAlignment="1">
      <alignment horizontal="center"/>
    </xf>
    <xf numFmtId="167" fontId="56" fillId="15" borderId="0" xfId="0" applyNumberFormat="1" applyFont="1" applyFill="1" applyAlignment="1">
      <alignment horizontal="center" vertical="center"/>
    </xf>
    <xf numFmtId="0" fontId="46" fillId="15" borderId="0" xfId="0" applyFont="1" applyFill="1" applyAlignment="1">
      <alignment horizontal="center" vertical="center" wrapText="1"/>
    </xf>
    <xf numFmtId="0" fontId="0" fillId="0" borderId="0" xfId="0" applyAlignment="1" applyProtection="1">
      <alignment horizontal="center"/>
      <protection locked="0"/>
    </xf>
    <xf numFmtId="0" fontId="27" fillId="0" borderId="1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20" xfId="0" applyFont="1" applyBorder="1" applyAlignment="1">
      <alignment horizontal="center" vertical="center"/>
    </xf>
    <xf numFmtId="0" fontId="27" fillId="0" borderId="19" xfId="0" applyFont="1" applyBorder="1" applyAlignment="1">
      <alignment horizontal="center" vertical="center"/>
    </xf>
    <xf numFmtId="3" fontId="0" fillId="0" borderId="0" xfId="0" applyNumberFormat="1" applyAlignment="1" applyProtection="1">
      <alignment horizontal="center"/>
      <protection locked="0"/>
    </xf>
    <xf numFmtId="10" fontId="0" fillId="0" borderId="0" xfId="5" applyNumberFormat="1" applyFont="1" applyAlignment="1">
      <alignment horizontal="center"/>
    </xf>
    <xf numFmtId="1" fontId="56" fillId="15" borderId="0" xfId="0" applyNumberFormat="1" applyFont="1" applyFill="1" applyAlignment="1">
      <alignment horizontal="center" vertical="center"/>
    </xf>
    <xf numFmtId="0" fontId="0" fillId="0" borderId="79" xfId="0" applyBorder="1" applyAlignment="1">
      <alignment horizontal="center"/>
    </xf>
    <xf numFmtId="0" fontId="0" fillId="0" borderId="76" xfId="0" applyBorder="1" applyAlignment="1">
      <alignment horizontal="center"/>
    </xf>
    <xf numFmtId="0" fontId="27" fillId="0" borderId="76" xfId="0" applyFont="1" applyBorder="1" applyAlignment="1">
      <alignment horizontal="center"/>
    </xf>
    <xf numFmtId="0" fontId="27" fillId="0" borderId="77" xfId="0" applyFont="1" applyBorder="1" applyAlignment="1">
      <alignment horizontal="center"/>
    </xf>
    <xf numFmtId="0" fontId="27" fillId="0" borderId="21" xfId="0" applyFont="1" applyBorder="1" applyAlignment="1">
      <alignment horizontal="center"/>
    </xf>
    <xf numFmtId="0" fontId="0" fillId="0" borderId="58" xfId="0" applyBorder="1"/>
    <xf numFmtId="164" fontId="0" fillId="0" borderId="0" xfId="0" applyNumberFormat="1"/>
    <xf numFmtId="2" fontId="56" fillId="15" borderId="0" xfId="0" applyNumberFormat="1" applyFont="1" applyFill="1" applyAlignment="1">
      <alignment horizontal="center" vertical="center"/>
    </xf>
    <xf numFmtId="167" fontId="0" fillId="0" borderId="0" xfId="0" applyNumberFormat="1" applyAlignment="1" applyProtection="1">
      <alignment horizontal="center"/>
      <protection locked="0"/>
    </xf>
    <xf numFmtId="1" fontId="27" fillId="25" borderId="80" xfId="0" applyNumberFormat="1" applyFont="1" applyFill="1" applyBorder="1" applyAlignment="1" applyProtection="1">
      <alignment horizontal="center" vertical="center"/>
      <protection locked="0"/>
    </xf>
    <xf numFmtId="0" fontId="2" fillId="0" borderId="22" xfId="0" applyFont="1" applyBorder="1"/>
    <xf numFmtId="3" fontId="0" fillId="0" borderId="0" xfId="0" applyNumberFormat="1" applyAlignment="1">
      <alignment horizontal="left" vertical="center"/>
    </xf>
    <xf numFmtId="0" fontId="3" fillId="0" borderId="0" xfId="0" applyFont="1"/>
    <xf numFmtId="0" fontId="96" fillId="28" borderId="88" xfId="0" applyFont="1" applyFill="1" applyBorder="1" applyAlignment="1">
      <alignment horizontal="center" vertical="center"/>
    </xf>
    <xf numFmtId="0" fontId="0" fillId="12" borderId="4" xfId="0" applyFill="1" applyBorder="1"/>
    <xf numFmtId="0" fontId="0" fillId="12" borderId="0" xfId="0" applyFill="1"/>
    <xf numFmtId="0" fontId="0" fillId="12" borderId="5" xfId="0" applyFill="1" applyBorder="1"/>
    <xf numFmtId="0" fontId="22" fillId="12" borderId="4" xfId="0" applyFont="1" applyFill="1" applyBorder="1"/>
    <xf numFmtId="0" fontId="22" fillId="12" borderId="0" xfId="0" applyFont="1" applyFill="1"/>
    <xf numFmtId="0" fontId="0" fillId="12" borderId="9" xfId="0" applyFill="1" applyBorder="1"/>
    <xf numFmtId="0" fontId="0" fillId="12" borderId="10" xfId="0" applyFill="1" applyBorder="1"/>
    <xf numFmtId="0" fontId="0" fillId="12" borderId="11" xfId="0" applyFill="1" applyBorder="1"/>
    <xf numFmtId="0" fontId="0" fillId="15" borderId="2" xfId="0" applyFill="1" applyBorder="1"/>
    <xf numFmtId="0" fontId="0" fillId="15" borderId="3" xfId="0" applyFill="1" applyBorder="1"/>
    <xf numFmtId="0" fontId="0" fillId="15" borderId="0" xfId="0" applyFill="1"/>
    <xf numFmtId="0" fontId="0" fillId="15" borderId="5" xfId="0" applyFill="1" applyBorder="1"/>
    <xf numFmtId="0" fontId="3" fillId="15" borderId="0" xfId="0" applyFont="1" applyFill="1"/>
    <xf numFmtId="182" fontId="3" fillId="15" borderId="0" xfId="0" applyNumberFormat="1" applyFont="1" applyFill="1"/>
    <xf numFmtId="0" fontId="11" fillId="4" borderId="76" xfId="0" applyFont="1" applyFill="1" applyBorder="1" applyAlignment="1">
      <alignment horizontal="center" vertical="center"/>
    </xf>
    <xf numFmtId="0" fontId="28" fillId="4" borderId="76" xfId="0" applyFont="1" applyFill="1" applyBorder="1" applyAlignment="1">
      <alignment horizontal="center" vertical="center"/>
    </xf>
    <xf numFmtId="1" fontId="27" fillId="25" borderId="92" xfId="0" applyNumberFormat="1" applyFont="1" applyFill="1" applyBorder="1" applyAlignment="1" applyProtection="1">
      <alignment horizontal="center" vertical="center"/>
      <protection locked="0"/>
    </xf>
    <xf numFmtId="0" fontId="99" fillId="0" borderId="0" xfId="0" applyFont="1"/>
    <xf numFmtId="0" fontId="3" fillId="15" borderId="0" xfId="0" applyFont="1" applyFill="1" applyProtection="1">
      <protection locked="0"/>
    </xf>
    <xf numFmtId="0" fontId="0" fillId="4" borderId="76" xfId="0" applyFill="1" applyBorder="1"/>
    <xf numFmtId="16" fontId="0" fillId="0" borderId="76" xfId="0" applyNumberFormat="1" applyBorder="1" applyAlignment="1">
      <alignment horizontal="right"/>
    </xf>
    <xf numFmtId="2" fontId="0" fillId="0" borderId="76" xfId="0" applyNumberFormat="1" applyBorder="1"/>
    <xf numFmtId="164" fontId="0" fillId="0" borderId="76" xfId="0" applyNumberFormat="1" applyBorder="1"/>
    <xf numFmtId="164" fontId="0" fillId="15" borderId="76" xfId="0" applyNumberFormat="1" applyFill="1" applyBorder="1"/>
    <xf numFmtId="0" fontId="63" fillId="12" borderId="9" xfId="0" applyFont="1" applyFill="1" applyBorder="1" applyAlignment="1">
      <alignment vertical="center"/>
    </xf>
    <xf numFmtId="0" fontId="63" fillId="12" borderId="11" xfId="0" applyFont="1" applyFill="1" applyBorder="1" applyAlignment="1">
      <alignment vertical="center"/>
    </xf>
    <xf numFmtId="0" fontId="11" fillId="25" borderId="50"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0" fillId="0" borderId="76" xfId="0" applyBorder="1"/>
    <xf numFmtId="0" fontId="0" fillId="0" borderId="95" xfId="0" applyBorder="1" applyAlignment="1">
      <alignment horizontal="center"/>
    </xf>
    <xf numFmtId="0" fontId="0" fillId="0" borderId="96" xfId="0" applyBorder="1" applyAlignment="1">
      <alignment horizontal="center"/>
    </xf>
    <xf numFmtId="180" fontId="0" fillId="0" borderId="96" xfId="0" applyNumberFormat="1" applyBorder="1" applyAlignment="1">
      <alignment horizontal="center"/>
    </xf>
    <xf numFmtId="1" fontId="2" fillId="25" borderId="97" xfId="0" applyNumberFormat="1" applyFont="1" applyFill="1" applyBorder="1" applyAlignment="1">
      <alignment horizontal="center"/>
    </xf>
    <xf numFmtId="1" fontId="2" fillId="25" borderId="98" xfId="0" applyNumberFormat="1" applyFont="1" applyFill="1" applyBorder="1" applyAlignment="1">
      <alignment horizontal="center"/>
    </xf>
    <xf numFmtId="0" fontId="100" fillId="0" borderId="0" xfId="0" applyFont="1"/>
    <xf numFmtId="0" fontId="101" fillId="0" borderId="0" xfId="0" applyFont="1"/>
    <xf numFmtId="0" fontId="4" fillId="0" borderId="0" xfId="0" applyFont="1" applyAlignment="1">
      <alignment horizontal="left"/>
    </xf>
    <xf numFmtId="0" fontId="0" fillId="4" borderId="0" xfId="0" applyFill="1" applyAlignment="1">
      <alignment horizontal="center"/>
    </xf>
    <xf numFmtId="0" fontId="9" fillId="25" borderId="12" xfId="0" applyFont="1" applyFill="1" applyBorder="1" applyAlignment="1">
      <alignment horizontal="center" vertical="center" wrapText="1"/>
    </xf>
    <xf numFmtId="0" fontId="24" fillId="25" borderId="12" xfId="0" applyFont="1" applyFill="1" applyBorder="1" applyAlignment="1">
      <alignment horizontal="center" vertical="center" wrapText="1"/>
    </xf>
    <xf numFmtId="0" fontId="24" fillId="25" borderId="22" xfId="0" applyFont="1" applyFill="1" applyBorder="1" applyAlignment="1">
      <alignment horizontal="center" vertical="center" wrapText="1"/>
    </xf>
    <xf numFmtId="0" fontId="25" fillId="25" borderId="12" xfId="0" applyFont="1" applyFill="1" applyBorder="1" applyAlignment="1">
      <alignment horizontal="center" vertical="center" wrapText="1"/>
    </xf>
    <xf numFmtId="0" fontId="11" fillId="25" borderId="23" xfId="0" applyFont="1" applyFill="1" applyBorder="1" applyAlignment="1">
      <alignment horizontal="center" vertical="center" wrapText="1"/>
    </xf>
    <xf numFmtId="0" fontId="95" fillId="0" borderId="21" xfId="0" applyFont="1" applyBorder="1" applyAlignment="1">
      <alignment horizontal="center" vertical="center"/>
    </xf>
    <xf numFmtId="0" fontId="11" fillId="25" borderId="12" xfId="0" applyFont="1" applyFill="1" applyBorder="1" applyAlignment="1">
      <alignment horizontal="center" vertical="center"/>
    </xf>
    <xf numFmtId="0" fontId="24" fillId="25" borderId="12" xfId="0" applyFont="1" applyFill="1" applyBorder="1" applyAlignment="1">
      <alignment horizontal="center" vertical="center"/>
    </xf>
    <xf numFmtId="0" fontId="25" fillId="25" borderId="12" xfId="0" applyFont="1" applyFill="1" applyBorder="1" applyAlignment="1">
      <alignment horizontal="center" vertical="center"/>
    </xf>
    <xf numFmtId="0" fontId="71" fillId="0" borderId="12" xfId="0" applyFont="1" applyBorder="1" applyAlignment="1">
      <alignment horizontal="center" vertical="center"/>
    </xf>
    <xf numFmtId="0" fontId="12" fillId="0" borderId="15" xfId="0" applyFont="1" applyBorder="1" applyAlignment="1">
      <alignment horizontal="center" vertical="center" wrapText="1"/>
    </xf>
    <xf numFmtId="0" fontId="12" fillId="0" borderId="8" xfId="0" applyFont="1" applyBorder="1" applyAlignment="1">
      <alignment horizontal="center" vertical="center"/>
    </xf>
    <xf numFmtId="0" fontId="24" fillId="0" borderId="21" xfId="0" applyFont="1" applyBorder="1" applyAlignment="1">
      <alignment horizontal="center" vertical="center"/>
    </xf>
    <xf numFmtId="0" fontId="24" fillId="0" borderId="12" xfId="0" applyFont="1" applyBorder="1" applyAlignment="1">
      <alignment horizontal="center" vertical="center"/>
    </xf>
    <xf numFmtId="0" fontId="106" fillId="0" borderId="12" xfId="0" applyFont="1" applyBorder="1" applyAlignment="1">
      <alignment horizontal="center" vertical="center"/>
    </xf>
    <xf numFmtId="0" fontId="25" fillId="0" borderId="21" xfId="0" applyFont="1" applyBorder="1" applyAlignment="1">
      <alignment horizontal="center" vertical="center"/>
    </xf>
    <xf numFmtId="0" fontId="25" fillId="0" borderId="12" xfId="0" applyFont="1" applyBorder="1" applyAlignment="1">
      <alignment horizontal="center" vertical="center"/>
    </xf>
    <xf numFmtId="0" fontId="107" fillId="0" borderId="12" xfId="0" applyFont="1" applyBorder="1" applyAlignment="1">
      <alignment horizontal="center" vertical="center"/>
    </xf>
    <xf numFmtId="0" fontId="25" fillId="0" borderId="23" xfId="0" applyFont="1" applyBorder="1" applyAlignment="1">
      <alignment horizontal="center" vertical="center"/>
    </xf>
    <xf numFmtId="0" fontId="24" fillId="0" borderId="23" xfId="0" applyFont="1" applyBorder="1" applyAlignment="1">
      <alignment horizontal="center" vertical="center"/>
    </xf>
    <xf numFmtId="0" fontId="110" fillId="0" borderId="21" xfId="0" applyFont="1" applyBorder="1" applyAlignment="1">
      <alignment horizontal="center" vertical="center"/>
    </xf>
    <xf numFmtId="0" fontId="111" fillId="0" borderId="12" xfId="0" applyFont="1" applyBorder="1" applyAlignment="1">
      <alignment horizontal="center" vertical="center"/>
    </xf>
    <xf numFmtId="0" fontId="112" fillId="0" borderId="12" xfId="0" applyFont="1" applyBorder="1" applyAlignment="1">
      <alignment horizontal="center" vertical="center"/>
    </xf>
    <xf numFmtId="0" fontId="85" fillId="25" borderId="15" xfId="0" applyFont="1" applyFill="1" applyBorder="1" applyAlignment="1">
      <alignment horizontal="center" vertical="center"/>
    </xf>
    <xf numFmtId="0" fontId="85" fillId="25" borderId="26" xfId="0" applyFont="1" applyFill="1" applyBorder="1" applyAlignment="1">
      <alignment horizontal="center" vertical="center"/>
    </xf>
    <xf numFmtId="0" fontId="85" fillId="25" borderId="0" xfId="0" applyFont="1" applyFill="1" applyAlignment="1">
      <alignment horizontal="center" vertical="center"/>
    </xf>
    <xf numFmtId="0" fontId="83" fillId="2" borderId="15" xfId="0" applyFont="1" applyFill="1" applyBorder="1" applyAlignment="1">
      <alignment horizontal="center" vertical="center"/>
    </xf>
    <xf numFmtId="0" fontId="83" fillId="2" borderId="0" xfId="0" applyFont="1" applyFill="1" applyAlignment="1">
      <alignment horizontal="center" vertical="center"/>
    </xf>
    <xf numFmtId="0" fontId="83" fillId="17" borderId="13" xfId="0" applyFont="1" applyFill="1" applyBorder="1" applyAlignment="1">
      <alignment horizontal="center" vertical="center"/>
    </xf>
    <xf numFmtId="0" fontId="83" fillId="17" borderId="16" xfId="0" applyFont="1" applyFill="1" applyBorder="1" applyAlignment="1">
      <alignment horizontal="center" vertical="center"/>
    </xf>
    <xf numFmtId="0" fontId="28" fillId="25" borderId="21" xfId="0" applyFont="1" applyFill="1" applyBorder="1" applyAlignment="1">
      <alignment horizontal="center" vertical="center"/>
    </xf>
    <xf numFmtId="0" fontId="28" fillId="25" borderId="12" xfId="0" applyFont="1" applyFill="1" applyBorder="1" applyAlignment="1">
      <alignment horizontal="center" vertical="center"/>
    </xf>
    <xf numFmtId="0" fontId="28" fillId="25" borderId="23" xfId="0" applyFont="1" applyFill="1" applyBorder="1" applyAlignment="1">
      <alignment horizontal="center" vertical="center"/>
    </xf>
    <xf numFmtId="0" fontId="93" fillId="2" borderId="21" xfId="0" applyFont="1" applyFill="1" applyBorder="1" applyAlignment="1">
      <alignment horizontal="center" vertical="center"/>
    </xf>
    <xf numFmtId="0" fontId="94" fillId="2" borderId="22" xfId="0" applyFont="1" applyFill="1" applyBorder="1" applyAlignment="1">
      <alignment horizontal="center" vertical="center"/>
    </xf>
    <xf numFmtId="0" fontId="93" fillId="17" borderId="21" xfId="0" applyFont="1" applyFill="1" applyBorder="1" applyAlignment="1">
      <alignment horizontal="center" vertical="center"/>
    </xf>
    <xf numFmtId="0" fontId="94" fillId="17" borderId="23" xfId="0" applyFont="1" applyFill="1" applyBorder="1" applyAlignment="1">
      <alignment horizontal="center" vertical="center"/>
    </xf>
    <xf numFmtId="0" fontId="0" fillId="0" borderId="76" xfId="0" applyBorder="1" applyAlignment="1">
      <alignment horizontal="center" vertical="center"/>
    </xf>
    <xf numFmtId="0" fontId="34" fillId="0" borderId="76" xfId="0" applyFont="1" applyBorder="1" applyAlignment="1">
      <alignment horizontal="center" vertical="center"/>
    </xf>
    <xf numFmtId="165" fontId="22" fillId="0" borderId="0" xfId="0" applyNumberFormat="1"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 fontId="0" fillId="0" borderId="0" xfId="0" applyNumberFormat="1" applyAlignment="1" applyProtection="1">
      <alignment horizontal="center" vertical="center"/>
      <protection locked="0"/>
    </xf>
    <xf numFmtId="2" fontId="0" fillId="0" borderId="0" xfId="0" applyNumberFormat="1" applyAlignment="1" applyProtection="1">
      <alignment horizontal="center" vertical="center"/>
      <protection locked="0"/>
    </xf>
    <xf numFmtId="164" fontId="0" fillId="0" borderId="0" xfId="0" applyNumberFormat="1" applyAlignment="1" applyProtection="1">
      <alignment horizontal="center" vertical="center"/>
      <protection locked="0"/>
    </xf>
    <xf numFmtId="1" fontId="0" fillId="0" borderId="76" xfId="0" applyNumberFormat="1" applyBorder="1" applyAlignment="1">
      <alignment horizontal="right"/>
    </xf>
    <xf numFmtId="1" fontId="0" fillId="0" borderId="76" xfId="0" applyNumberFormat="1" applyBorder="1" applyAlignment="1">
      <alignment horizontal="center"/>
    </xf>
    <xf numFmtId="0" fontId="0" fillId="0" borderId="76" xfId="0" applyBorder="1" applyAlignment="1">
      <alignment horizontal="right"/>
    </xf>
    <xf numFmtId="0" fontId="3" fillId="21" borderId="15" xfId="0" applyFont="1" applyFill="1" applyBorder="1" applyAlignment="1">
      <alignment horizontal="right"/>
    </xf>
    <xf numFmtId="0" fontId="3" fillId="21" borderId="21" xfId="0" applyFont="1" applyFill="1" applyBorder="1" applyAlignment="1">
      <alignment horizontal="right"/>
    </xf>
    <xf numFmtId="0" fontId="22" fillId="0" borderId="76" xfId="0" applyFont="1" applyBorder="1" applyAlignment="1">
      <alignment horizontal="right" vertical="center"/>
    </xf>
    <xf numFmtId="0" fontId="11" fillId="0" borderId="12" xfId="0" applyFont="1" applyBorder="1" applyAlignment="1">
      <alignment horizontal="right" vertical="center"/>
    </xf>
    <xf numFmtId="0" fontId="28" fillId="0" borderId="12" xfId="0" applyFont="1" applyBorder="1" applyAlignment="1">
      <alignment horizontal="center" vertical="center"/>
    </xf>
    <xf numFmtId="167" fontId="11" fillId="0" borderId="12" xfId="0" applyNumberFormat="1" applyFont="1" applyBorder="1" applyAlignment="1">
      <alignment horizontal="right" vertical="center"/>
    </xf>
    <xf numFmtId="167" fontId="11" fillId="0" borderId="76" xfId="0" applyNumberFormat="1" applyFont="1" applyBorder="1" applyAlignment="1">
      <alignment horizontal="right" vertical="center"/>
    </xf>
    <xf numFmtId="0" fontId="28" fillId="0" borderId="12" xfId="0" applyFont="1" applyBorder="1" applyAlignment="1">
      <alignment horizontal="right" vertical="center"/>
    </xf>
    <xf numFmtId="0" fontId="11" fillId="0" borderId="76" xfId="0" applyFont="1" applyBorder="1" applyAlignment="1">
      <alignment horizontal="right" vertical="center"/>
    </xf>
    <xf numFmtId="0" fontId="28" fillId="0" borderId="76" xfId="0" applyFont="1" applyBorder="1" applyAlignment="1">
      <alignment horizontal="center" vertical="center"/>
    </xf>
    <xf numFmtId="0" fontId="28" fillId="0" borderId="76" xfId="0" applyFont="1" applyBorder="1" applyAlignment="1">
      <alignment horizontal="right" vertical="center"/>
    </xf>
    <xf numFmtId="0" fontId="98" fillId="0" borderId="0" xfId="0" applyFont="1" applyAlignment="1" applyProtection="1">
      <alignment horizontal="center"/>
      <protection locked="0"/>
    </xf>
    <xf numFmtId="0" fontId="89" fillId="12" borderId="77" xfId="0" applyFont="1" applyFill="1" applyBorder="1" applyAlignment="1">
      <alignment horizontal="left" vertical="top"/>
    </xf>
    <xf numFmtId="0" fontId="7" fillId="12" borderId="79" xfId="0" applyFont="1" applyFill="1" applyBorder="1"/>
    <xf numFmtId="0" fontId="89" fillId="12" borderId="76" xfId="0" applyFont="1" applyFill="1" applyBorder="1" applyAlignment="1">
      <alignment horizontal="center"/>
    </xf>
    <xf numFmtId="178" fontId="89" fillId="12" borderId="76" xfId="0" applyNumberFormat="1" applyFont="1" applyFill="1" applyBorder="1" applyAlignment="1">
      <alignment horizontal="center"/>
    </xf>
    <xf numFmtId="0" fontId="65" fillId="12" borderId="77" xfId="0" applyFont="1" applyFill="1" applyBorder="1" applyAlignment="1">
      <alignment horizontal="left" vertical="top"/>
    </xf>
    <xf numFmtId="180" fontId="65" fillId="12" borderId="76" xfId="0" applyNumberFormat="1" applyFont="1" applyFill="1" applyBorder="1" applyAlignment="1">
      <alignment horizontal="center"/>
    </xf>
    <xf numFmtId="179" fontId="65" fillId="12" borderId="76" xfId="0" applyNumberFormat="1" applyFont="1" applyFill="1" applyBorder="1" applyAlignment="1">
      <alignment horizontal="center"/>
    </xf>
    <xf numFmtId="0" fontId="42" fillId="12" borderId="79" xfId="0" applyFont="1" applyFill="1" applyBorder="1"/>
    <xf numFmtId="0" fontId="65" fillId="12" borderId="76" xfId="0" applyFont="1" applyFill="1" applyBorder="1" applyAlignment="1">
      <alignment horizontal="center"/>
    </xf>
    <xf numFmtId="181" fontId="65" fillId="12" borderId="76" xfId="0" applyNumberFormat="1" applyFont="1" applyFill="1" applyBorder="1" applyAlignment="1">
      <alignment horizontal="center"/>
    </xf>
    <xf numFmtId="182" fontId="89" fillId="12" borderId="76" xfId="0" applyNumberFormat="1" applyFont="1" applyFill="1" applyBorder="1" applyAlignment="1">
      <alignment horizontal="center"/>
    </xf>
    <xf numFmtId="0" fontId="116" fillId="0" borderId="84" xfId="0" applyFont="1" applyBorder="1" applyAlignment="1">
      <alignment horizontal="center"/>
    </xf>
    <xf numFmtId="0" fontId="116" fillId="0" borderId="5" xfId="0" applyFont="1" applyBorder="1" applyAlignment="1">
      <alignment horizontal="center"/>
    </xf>
    <xf numFmtId="0" fontId="115" fillId="0" borderId="4" xfId="0" applyFont="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117" fillId="0" borderId="89" xfId="0" applyFont="1" applyBorder="1" applyAlignment="1">
      <alignment horizontal="center"/>
    </xf>
    <xf numFmtId="184" fontId="117" fillId="27" borderId="85" xfId="0" applyNumberFormat="1" applyFont="1" applyFill="1" applyBorder="1" applyAlignment="1">
      <alignment horizontal="center"/>
    </xf>
    <xf numFmtId="9" fontId="117" fillId="27" borderId="10" xfId="0" applyNumberFormat="1" applyFont="1" applyFill="1" applyBorder="1" applyAlignment="1">
      <alignment horizontal="center"/>
    </xf>
    <xf numFmtId="184" fontId="117" fillId="6" borderId="87" xfId="0" applyNumberFormat="1" applyFont="1" applyFill="1" applyBorder="1" applyAlignment="1">
      <alignment horizontal="center"/>
    </xf>
    <xf numFmtId="183" fontId="117" fillId="27" borderId="86" xfId="0" applyNumberFormat="1" applyFont="1" applyFill="1" applyBorder="1" applyAlignment="1">
      <alignment horizontal="center"/>
    </xf>
    <xf numFmtId="184" fontId="117" fillId="6" borderId="11" xfId="0" applyNumberFormat="1" applyFont="1" applyFill="1" applyBorder="1" applyAlignment="1">
      <alignment horizontal="center"/>
    </xf>
    <xf numFmtId="184" fontId="117" fillId="27" borderId="9" xfId="0" applyNumberFormat="1" applyFont="1" applyFill="1" applyBorder="1" applyAlignment="1">
      <alignment horizontal="center"/>
    </xf>
    <xf numFmtId="14" fontId="117" fillId="27" borderId="17" xfId="0" applyNumberFormat="1" applyFont="1" applyFill="1" applyBorder="1" applyAlignment="1">
      <alignment horizontal="center"/>
    </xf>
    <xf numFmtId="184" fontId="117" fillId="6" borderId="17" xfId="0" applyNumberFormat="1" applyFont="1" applyFill="1" applyBorder="1" applyAlignment="1">
      <alignment horizontal="center"/>
    </xf>
    <xf numFmtId="0" fontId="117" fillId="6" borderId="87" xfId="0" applyFont="1" applyFill="1" applyBorder="1" applyAlignment="1">
      <alignment horizontal="center"/>
    </xf>
    <xf numFmtId="176" fontId="56" fillId="0" borderId="90" xfId="0" applyNumberFormat="1" applyFont="1" applyBorder="1" applyAlignment="1">
      <alignment horizontal="center"/>
    </xf>
    <xf numFmtId="0" fontId="65" fillId="0" borderId="0" xfId="0" applyFont="1" applyAlignment="1">
      <alignment horizontal="center" vertical="center"/>
    </xf>
    <xf numFmtId="0" fontId="2" fillId="0" borderId="0" xfId="0" applyFont="1" applyAlignment="1">
      <alignment horizontal="right"/>
    </xf>
    <xf numFmtId="0" fontId="76" fillId="0" borderId="0" xfId="0" applyFont="1" applyAlignment="1">
      <alignment horizontal="right"/>
    </xf>
    <xf numFmtId="0" fontId="3" fillId="15" borderId="0" xfId="0" applyFont="1" applyFill="1" applyAlignment="1">
      <alignment horizontal="center" vertical="center" wrapText="1"/>
    </xf>
    <xf numFmtId="0" fontId="59" fillId="0" borderId="99" xfId="1" applyFont="1" applyBorder="1" applyAlignment="1" applyProtection="1">
      <alignment horizontal="center" vertical="top" wrapText="1" readingOrder="1"/>
      <protection locked="0"/>
    </xf>
    <xf numFmtId="0" fontId="59" fillId="0" borderId="99" xfId="1" applyFont="1" applyBorder="1" applyAlignment="1" applyProtection="1">
      <alignment horizontal="center" vertical="center" wrapText="1" readingOrder="1"/>
      <protection locked="0"/>
    </xf>
    <xf numFmtId="0" fontId="70" fillId="0" borderId="99" xfId="1" applyFont="1" applyBorder="1" applyAlignment="1" applyProtection="1">
      <alignment horizontal="center" vertical="center" wrapText="1" readingOrder="1"/>
      <protection locked="0"/>
    </xf>
    <xf numFmtId="0" fontId="2" fillId="0" borderId="76" xfId="0" applyFont="1" applyBorder="1" applyAlignment="1">
      <alignment horizontal="center"/>
    </xf>
    <xf numFmtId="0" fontId="2" fillId="0" borderId="79" xfId="0" applyFont="1" applyBorder="1" applyAlignment="1">
      <alignment horizontal="center"/>
    </xf>
    <xf numFmtId="0" fontId="89" fillId="0" borderId="0" xfId="0" applyFont="1" applyAlignment="1">
      <alignment horizontal="center"/>
    </xf>
    <xf numFmtId="0" fontId="48" fillId="0" borderId="0" xfId="0" applyFont="1" applyAlignment="1">
      <alignment horizontal="center" vertical="center"/>
    </xf>
    <xf numFmtId="0" fontId="73" fillId="0" borderId="0" xfId="0" applyFont="1" applyAlignment="1">
      <alignment horizontal="center" vertical="center"/>
    </xf>
    <xf numFmtId="167" fontId="22" fillId="0" borderId="76" xfId="0" applyNumberFormat="1" applyFont="1" applyBorder="1"/>
    <xf numFmtId="0" fontId="0" fillId="0" borderId="12" xfId="0" applyBorder="1"/>
    <xf numFmtId="0" fontId="0" fillId="0" borderId="100" xfId="0" applyBorder="1"/>
    <xf numFmtId="0" fontId="0" fillId="0" borderId="101" xfId="0" applyBorder="1"/>
    <xf numFmtId="0" fontId="0" fillId="0" borderId="103" xfId="0" applyBorder="1"/>
    <xf numFmtId="0" fontId="0" fillId="0" borderId="104" xfId="0" applyBorder="1"/>
    <xf numFmtId="0" fontId="0" fillId="0" borderId="105" xfId="0" applyBorder="1"/>
    <xf numFmtId="0" fontId="0" fillId="0" borderId="106" xfId="0" applyBorder="1"/>
    <xf numFmtId="0" fontId="0" fillId="0" borderId="107" xfId="0" applyBorder="1"/>
    <xf numFmtId="167" fontId="41" fillId="0" borderId="7" xfId="0" applyNumberFormat="1" applyFont="1" applyBorder="1" applyAlignment="1">
      <alignment horizontal="center" vertical="center"/>
    </xf>
    <xf numFmtId="3" fontId="22" fillId="0" borderId="0" xfId="0" applyNumberFormat="1" applyFont="1" applyAlignment="1">
      <alignment horizontal="center" vertical="center"/>
    </xf>
    <xf numFmtId="0" fontId="22" fillId="0" borderId="60" xfId="0" applyFont="1" applyBorder="1"/>
    <xf numFmtId="0" fontId="34" fillId="0" borderId="108" xfId="0" applyFont="1" applyBorder="1" applyAlignment="1">
      <alignment horizontal="left" vertical="center"/>
    </xf>
    <xf numFmtId="3" fontId="0" fillId="0" borderId="0" xfId="0" applyNumberFormat="1" applyAlignment="1">
      <alignment horizontal="center"/>
    </xf>
    <xf numFmtId="4" fontId="0" fillId="0" borderId="0" xfId="0" applyNumberFormat="1" applyAlignment="1">
      <alignment horizontal="center"/>
    </xf>
    <xf numFmtId="4" fontId="0" fillId="0" borderId="0" xfId="0" applyNumberFormat="1"/>
    <xf numFmtId="0" fontId="123" fillId="12" borderId="10" xfId="0" applyFont="1" applyFill="1" applyBorder="1" applyAlignment="1">
      <alignment horizontal="right" vertical="center"/>
    </xf>
    <xf numFmtId="0" fontId="123" fillId="12" borderId="10" xfId="0" applyFont="1" applyFill="1" applyBorder="1" applyAlignment="1">
      <alignment vertical="center"/>
    </xf>
    <xf numFmtId="0" fontId="25" fillId="0" borderId="16" xfId="0" applyFont="1" applyBorder="1" applyAlignment="1">
      <alignment horizontal="center" vertical="center"/>
    </xf>
    <xf numFmtId="1" fontId="46" fillId="15" borderId="0" xfId="0" applyNumberFormat="1" applyFont="1" applyFill="1" applyAlignment="1">
      <alignment horizontal="center" vertical="center"/>
    </xf>
    <xf numFmtId="0" fontId="0" fillId="0" borderId="26" xfId="0" applyBorder="1"/>
    <xf numFmtId="0" fontId="89" fillId="12" borderId="22" xfId="0" applyFont="1" applyFill="1" applyBorder="1" applyAlignment="1">
      <alignment horizontal="left" vertical="top"/>
    </xf>
    <xf numFmtId="0" fontId="7" fillId="12" borderId="22" xfId="0" applyFont="1" applyFill="1" applyBorder="1"/>
    <xf numFmtId="0" fontId="89" fillId="12" borderId="22" xfId="0" applyFont="1" applyFill="1" applyBorder="1" applyAlignment="1">
      <alignment horizontal="center"/>
    </xf>
    <xf numFmtId="0" fontId="0" fillId="6" borderId="79" xfId="0" applyFill="1" applyBorder="1" applyAlignment="1">
      <alignment horizontal="center"/>
    </xf>
    <xf numFmtId="0" fontId="0" fillId="6" borderId="76" xfId="0" applyFill="1" applyBorder="1" applyAlignment="1">
      <alignment horizontal="center"/>
    </xf>
    <xf numFmtId="0" fontId="0" fillId="6" borderId="7" xfId="0" applyFill="1" applyBorder="1"/>
    <xf numFmtId="0" fontId="0" fillId="6" borderId="46" xfId="0" applyFill="1" applyBorder="1"/>
    <xf numFmtId="0" fontId="0" fillId="6" borderId="0" xfId="0" applyFill="1"/>
    <xf numFmtId="9" fontId="11" fillId="4" borderId="57" xfId="0" applyNumberFormat="1" applyFont="1" applyFill="1" applyBorder="1" applyAlignment="1">
      <alignment horizontal="center" vertical="center"/>
    </xf>
    <xf numFmtId="164" fontId="11" fillId="0" borderId="57" xfId="0" applyNumberFormat="1" applyFont="1" applyBorder="1" applyAlignment="1">
      <alignment horizontal="center" vertical="center"/>
    </xf>
    <xf numFmtId="164" fontId="11" fillId="0" borderId="58" xfId="0" applyNumberFormat="1" applyFont="1" applyBorder="1" applyAlignment="1">
      <alignment horizontal="center" vertical="center"/>
    </xf>
    <xf numFmtId="1" fontId="22" fillId="0" borderId="0" xfId="0" applyNumberFormat="1" applyFont="1" applyAlignment="1">
      <alignment horizontal="center" vertical="center"/>
    </xf>
    <xf numFmtId="0" fontId="22" fillId="15" borderId="0" xfId="0" applyFont="1" applyFill="1" applyAlignment="1">
      <alignment horizontal="left" vertical="center"/>
    </xf>
    <xf numFmtId="166" fontId="28" fillId="0" borderId="0" xfId="0" applyNumberFormat="1" applyFont="1" applyAlignment="1">
      <alignment horizontal="center" vertical="center"/>
    </xf>
    <xf numFmtId="0" fontId="27" fillId="0" borderId="7" xfId="0" applyFont="1" applyBorder="1" applyAlignment="1">
      <alignment horizontal="center" vertical="center" wrapText="1"/>
    </xf>
    <xf numFmtId="0" fontId="22" fillId="15" borderId="0" xfId="0" applyFont="1" applyFill="1" applyAlignment="1" applyProtection="1">
      <alignment horizontal="center"/>
      <protection locked="0"/>
    </xf>
    <xf numFmtId="0" fontId="124" fillId="0" borderId="7" xfId="0" applyFont="1" applyBorder="1" applyAlignment="1">
      <alignment horizontal="center" vertical="center"/>
    </xf>
    <xf numFmtId="9" fontId="0" fillId="0" borderId="0" xfId="5" applyFont="1"/>
    <xf numFmtId="0" fontId="0" fillId="0" borderId="0" xfId="0" applyAlignment="1">
      <alignment horizontal="center"/>
    </xf>
    <xf numFmtId="0" fontId="52" fillId="15" borderId="0" xfId="0" applyFont="1" applyFill="1" applyAlignment="1">
      <alignment horizontal="center" vertical="center"/>
    </xf>
    <xf numFmtId="0" fontId="54" fillId="6" borderId="0" xfId="0" applyFont="1" applyFill="1" applyAlignment="1">
      <alignment horizontal="center" vertical="center"/>
    </xf>
    <xf numFmtId="0" fontId="3" fillId="0" borderId="0" xfId="0" applyFont="1" applyAlignment="1">
      <alignment horizontal="center" vertical="center" textRotation="90"/>
    </xf>
    <xf numFmtId="0" fontId="3" fillId="0" borderId="22" xfId="0" applyFont="1" applyBorder="1" applyAlignment="1">
      <alignment horizontal="center" vertical="center" textRotation="90"/>
    </xf>
    <xf numFmtId="0" fontId="0" fillId="0" borderId="0" xfId="0" applyAlignment="1">
      <alignment horizontal="center" vertical="center" wrapText="1"/>
    </xf>
    <xf numFmtId="0" fontId="2" fillId="0" borderId="22" xfId="0" applyFont="1" applyBorder="1" applyAlignment="1">
      <alignment horizontal="center"/>
    </xf>
    <xf numFmtId="0" fontId="0" fillId="0" borderId="19" xfId="0" applyBorder="1" applyAlignment="1">
      <alignment horizontal="center" vertical="center" wrapText="1"/>
    </xf>
    <xf numFmtId="0" fontId="0" fillId="0" borderId="6"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xf>
    <xf numFmtId="0" fontId="0" fillId="0" borderId="20" xfId="0" applyBorder="1" applyAlignment="1">
      <alignment horizontal="center"/>
    </xf>
    <xf numFmtId="0" fontId="46" fillId="15" borderId="19" xfId="0" applyFont="1" applyFill="1" applyBorder="1" applyAlignment="1">
      <alignment horizontal="center" vertical="center" wrapText="1"/>
    </xf>
    <xf numFmtId="0" fontId="46" fillId="15" borderId="6" xfId="0" applyFont="1" applyFill="1" applyBorder="1" applyAlignment="1">
      <alignment horizontal="center" vertical="center" wrapText="1"/>
    </xf>
    <xf numFmtId="0" fontId="46" fillId="15" borderId="20" xfId="0" applyFont="1" applyFill="1" applyBorder="1" applyAlignment="1">
      <alignment horizontal="center" vertical="center" wrapText="1"/>
    </xf>
    <xf numFmtId="0" fontId="46" fillId="0" borderId="0" xfId="0" applyFont="1" applyAlignment="1">
      <alignment horizontal="center" vertical="center" wrapText="1"/>
    </xf>
    <xf numFmtId="0" fontId="22" fillId="15" borderId="0" xfId="0" applyFont="1" applyFill="1" applyAlignment="1">
      <alignment horizontal="center"/>
    </xf>
    <xf numFmtId="0" fontId="52" fillId="0" borderId="0" xfId="0" applyFont="1" applyAlignment="1">
      <alignment horizontal="center" vertical="center"/>
    </xf>
    <xf numFmtId="0" fontId="48" fillId="15" borderId="0" xfId="0" applyFont="1" applyFill="1" applyAlignment="1">
      <alignment horizontal="center" vertical="center"/>
    </xf>
    <xf numFmtId="0" fontId="46" fillId="15" borderId="108" xfId="0" applyFont="1" applyFill="1" applyBorder="1" applyAlignment="1">
      <alignment horizontal="center" vertical="center" wrapText="1"/>
    </xf>
    <xf numFmtId="0" fontId="46" fillId="15" borderId="0" xfId="0" applyFont="1" applyFill="1" applyAlignment="1">
      <alignment horizontal="center" vertical="center" wrapText="1"/>
    </xf>
    <xf numFmtId="0" fontId="22" fillId="0" borderId="0" xfId="0" applyFont="1" applyAlignment="1">
      <alignment horizontal="center" vertical="center" wrapText="1"/>
    </xf>
    <xf numFmtId="0" fontId="22" fillId="15" borderId="0" xfId="0" applyFont="1" applyFill="1" applyAlignment="1">
      <alignment horizontal="center" vertical="center" wrapText="1"/>
    </xf>
    <xf numFmtId="0" fontId="22" fillId="0" borderId="0" xfId="0" applyFont="1" applyAlignment="1">
      <alignment horizontal="center" vertical="center"/>
    </xf>
    <xf numFmtId="0" fontId="67" fillId="0" borderId="0" xfId="0" applyFont="1" applyAlignment="1">
      <alignment horizontal="center" vertical="center" wrapText="1"/>
    </xf>
    <xf numFmtId="0" fontId="65" fillId="15" borderId="0" xfId="0" applyFont="1" applyFill="1" applyAlignment="1">
      <alignment horizontal="center" vertical="center"/>
    </xf>
    <xf numFmtId="0" fontId="65" fillId="0" borderId="0" xfId="0" applyFont="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53" fillId="15" borderId="0" xfId="0" applyFont="1" applyFill="1" applyAlignment="1">
      <alignment horizontal="center" vertical="center"/>
    </xf>
    <xf numFmtId="0" fontId="0" fillId="0" borderId="78" xfId="0" applyBorder="1" applyAlignment="1">
      <alignment horizontal="center"/>
    </xf>
    <xf numFmtId="0" fontId="0" fillId="0" borderId="79" xfId="0" applyBorder="1" applyAlignment="1">
      <alignment horizontal="center"/>
    </xf>
    <xf numFmtId="0" fontId="0" fillId="0" borderId="77"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90" fillId="0" borderId="13" xfId="0" applyFont="1" applyBorder="1" applyAlignment="1">
      <alignment horizontal="center" vertical="center"/>
    </xf>
    <xf numFmtId="0" fontId="90" fillId="0" borderId="12" xfId="0" applyFont="1" applyBorder="1" applyAlignment="1">
      <alignment horizontal="center" vertical="center"/>
    </xf>
    <xf numFmtId="0" fontId="65" fillId="3" borderId="19" xfId="0" applyFont="1" applyFill="1" applyBorder="1" applyAlignment="1">
      <alignment horizontal="center" vertical="center" wrapText="1"/>
    </xf>
    <xf numFmtId="0" fontId="65" fillId="3" borderId="6" xfId="0" applyFont="1" applyFill="1" applyBorder="1" applyAlignment="1">
      <alignment horizontal="center" vertical="center" wrapText="1"/>
    </xf>
    <xf numFmtId="0" fontId="65" fillId="3" borderId="20" xfId="0" applyFont="1" applyFill="1" applyBorder="1" applyAlignment="1">
      <alignment horizontal="center" vertical="center" wrapText="1"/>
    </xf>
    <xf numFmtId="14" fontId="56" fillId="15" borderId="73" xfId="0" applyNumberFormat="1" applyFont="1" applyFill="1" applyBorder="1" applyAlignment="1" applyProtection="1">
      <alignment horizontal="center" vertical="center"/>
      <protection locked="0"/>
    </xf>
    <xf numFmtId="14" fontId="56" fillId="15" borderId="75" xfId="0" applyNumberFormat="1" applyFont="1" applyFill="1" applyBorder="1" applyAlignment="1" applyProtection="1">
      <alignment horizontal="center" vertical="center"/>
      <protection locked="0"/>
    </xf>
    <xf numFmtId="164" fontId="56" fillId="15" borderId="72" xfId="0" applyNumberFormat="1" applyFont="1" applyFill="1" applyBorder="1" applyAlignment="1" applyProtection="1">
      <alignment horizontal="center" vertical="center"/>
      <protection locked="0"/>
    </xf>
    <xf numFmtId="164" fontId="56" fillId="15" borderId="74" xfId="0" applyNumberFormat="1" applyFont="1" applyFill="1" applyBorder="1" applyAlignment="1" applyProtection="1">
      <alignment horizontal="center" vertical="center"/>
      <protection locked="0"/>
    </xf>
    <xf numFmtId="0" fontId="12" fillId="0" borderId="19" xfId="0" applyFont="1" applyBorder="1" applyAlignment="1">
      <alignment horizontal="center" vertical="center"/>
    </xf>
    <xf numFmtId="0" fontId="12" fillId="0" borderId="6" xfId="0" applyFont="1" applyBorder="1" applyAlignment="1">
      <alignment horizontal="center" vertical="center"/>
    </xf>
    <xf numFmtId="0" fontId="12" fillId="0" borderId="20" xfId="0" applyFont="1" applyBorder="1" applyAlignment="1">
      <alignment horizontal="center" vertical="center"/>
    </xf>
    <xf numFmtId="0" fontId="42" fillId="12" borderId="19" xfId="0" applyFont="1" applyFill="1" applyBorder="1" applyAlignment="1">
      <alignment horizontal="center" vertical="center"/>
    </xf>
    <xf numFmtId="0" fontId="42" fillId="12" borderId="6" xfId="0" applyFont="1" applyFill="1" applyBorder="1" applyAlignment="1">
      <alignment horizontal="center" vertical="center"/>
    </xf>
    <xf numFmtId="0" fontId="42" fillId="12" borderId="20" xfId="0" applyFont="1" applyFill="1" applyBorder="1" applyAlignment="1">
      <alignment horizontal="center" vertical="center"/>
    </xf>
    <xf numFmtId="0" fontId="42" fillId="12" borderId="77" xfId="0" applyFont="1" applyFill="1" applyBorder="1" applyAlignment="1">
      <alignment horizontal="center" vertical="center"/>
    </xf>
    <xf numFmtId="0" fontId="42" fillId="12" borderId="78" xfId="0" applyFont="1" applyFill="1" applyBorder="1" applyAlignment="1">
      <alignment horizontal="center" vertical="center"/>
    </xf>
    <xf numFmtId="0" fontId="42" fillId="12" borderId="79" xfId="0" applyFont="1" applyFill="1" applyBorder="1" applyAlignment="1">
      <alignment horizontal="center" vertical="center"/>
    </xf>
    <xf numFmtId="0" fontId="74" fillId="25" borderId="76" xfId="0" applyFont="1" applyFill="1" applyBorder="1" applyAlignment="1">
      <alignment horizontal="center" vertical="center" wrapText="1"/>
    </xf>
    <xf numFmtId="0" fontId="87" fillId="0" borderId="8" xfId="0" applyFont="1" applyBorder="1" applyAlignment="1">
      <alignment horizontal="center" vertical="center"/>
    </xf>
    <xf numFmtId="0" fontId="87" fillId="0" borderId="26" xfId="0" applyFont="1" applyBorder="1" applyAlignment="1">
      <alignment horizontal="center" vertical="center"/>
    </xf>
    <xf numFmtId="0" fontId="109" fillId="0" borderId="8" xfId="0" applyFont="1" applyBorder="1" applyAlignment="1">
      <alignment horizontal="center" vertical="center"/>
    </xf>
    <xf numFmtId="0" fontId="109" fillId="0" borderId="26" xfId="0" applyFont="1" applyBorder="1" applyAlignment="1">
      <alignment horizontal="center" vertical="center"/>
    </xf>
    <xf numFmtId="0" fontId="86" fillId="0" borderId="8" xfId="0" applyFont="1" applyBorder="1" applyAlignment="1">
      <alignment horizontal="center" vertical="center"/>
    </xf>
    <xf numFmtId="0" fontId="86" fillId="0" borderId="26" xfId="0" applyFont="1" applyBorder="1" applyAlignment="1">
      <alignment horizontal="center" vertical="center"/>
    </xf>
    <xf numFmtId="0" fontId="16" fillId="0" borderId="8" xfId="0" applyFont="1" applyBorder="1" applyAlignment="1">
      <alignment horizontal="center" vertical="center" wrapText="1"/>
    </xf>
    <xf numFmtId="0" fontId="16" fillId="0" borderId="26"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83" fillId="2" borderId="13" xfId="0" applyFont="1" applyFill="1" applyBorder="1" applyAlignment="1">
      <alignment horizontal="center" vertical="center" wrapText="1"/>
    </xf>
    <xf numFmtId="0" fontId="83" fillId="2" borderId="18" xfId="0" applyFont="1" applyFill="1" applyBorder="1" applyAlignment="1">
      <alignment horizontal="center" vertical="center" wrapText="1"/>
    </xf>
    <xf numFmtId="0" fontId="83" fillId="2" borderId="21" xfId="0" applyFont="1" applyFill="1" applyBorder="1" applyAlignment="1">
      <alignment horizontal="center" vertical="center" wrapText="1"/>
    </xf>
    <xf numFmtId="0" fontId="83" fillId="2" borderId="22" xfId="0" applyFont="1" applyFill="1" applyBorder="1" applyAlignment="1">
      <alignment horizontal="center" vertical="center" wrapText="1"/>
    </xf>
    <xf numFmtId="0" fontId="12" fillId="0" borderId="8" xfId="0" applyFont="1" applyBorder="1" applyAlignment="1">
      <alignment horizontal="center" vertical="center"/>
    </xf>
    <xf numFmtId="0" fontId="12" fillId="0" borderId="26" xfId="0" applyFont="1" applyBorder="1" applyAlignment="1">
      <alignment horizontal="center" vertical="center"/>
    </xf>
    <xf numFmtId="0" fontId="56" fillId="15" borderId="67" xfId="0" applyFont="1" applyFill="1" applyBorder="1" applyAlignment="1" applyProtection="1">
      <alignment horizontal="center" vertical="center"/>
      <protection locked="0"/>
    </xf>
    <xf numFmtId="0" fontId="56" fillId="15" borderId="68" xfId="0" applyFont="1" applyFill="1" applyBorder="1" applyAlignment="1" applyProtection="1">
      <alignment horizontal="center" vertical="center"/>
      <protection locked="0"/>
    </xf>
    <xf numFmtId="0" fontId="56" fillId="15" borderId="69" xfId="0" applyFont="1" applyFill="1" applyBorder="1" applyAlignment="1" applyProtection="1">
      <alignment horizontal="center" vertical="center"/>
      <protection locked="0"/>
    </xf>
    <xf numFmtId="0" fontId="56" fillId="15" borderId="70" xfId="0" applyFont="1" applyFill="1" applyBorder="1" applyAlignment="1" applyProtection="1">
      <alignment horizontal="center" vertical="center"/>
      <protection locked="0"/>
    </xf>
    <xf numFmtId="0" fontId="56" fillId="15" borderId="62" xfId="0" applyFont="1" applyFill="1" applyBorder="1" applyAlignment="1" applyProtection="1">
      <alignment horizontal="center" vertical="center"/>
      <protection locked="0"/>
    </xf>
    <xf numFmtId="0" fontId="56" fillId="15" borderId="71" xfId="0" applyFont="1" applyFill="1" applyBorder="1" applyAlignment="1" applyProtection="1">
      <alignment horizontal="center" vertical="center"/>
      <protection locked="0"/>
    </xf>
    <xf numFmtId="0" fontId="9" fillId="25" borderId="59" xfId="0" applyFont="1" applyFill="1" applyBorder="1" applyAlignment="1">
      <alignment horizontal="center" vertical="center" wrapText="1"/>
    </xf>
    <xf numFmtId="0" fontId="9" fillId="25" borderId="16" xfId="0" applyFont="1" applyFill="1" applyBorder="1" applyAlignment="1">
      <alignment horizontal="center" vertical="center" wrapText="1"/>
    </xf>
    <xf numFmtId="0" fontId="84" fillId="25" borderId="8" xfId="0" applyFont="1" applyFill="1" applyBorder="1" applyAlignment="1">
      <alignment horizontal="center" vertical="center" wrapText="1"/>
    </xf>
    <xf numFmtId="0" fontId="84" fillId="25" borderId="26" xfId="0" applyFont="1" applyFill="1" applyBorder="1" applyAlignment="1">
      <alignment horizontal="center" vertical="center" wrapText="1"/>
    </xf>
    <xf numFmtId="0" fontId="84" fillId="25" borderId="13" xfId="0" applyFont="1" applyFill="1" applyBorder="1" applyAlignment="1">
      <alignment horizontal="center" vertical="center" wrapText="1"/>
    </xf>
    <xf numFmtId="0" fontId="84" fillId="25" borderId="15" xfId="0" applyFont="1" applyFill="1" applyBorder="1" applyAlignment="1">
      <alignment horizontal="center" vertical="center" wrapText="1"/>
    </xf>
    <xf numFmtId="0" fontId="84" fillId="25" borderId="18" xfId="0" applyFont="1" applyFill="1" applyBorder="1" applyAlignment="1">
      <alignment horizontal="center" vertical="center" wrapText="1"/>
    </xf>
    <xf numFmtId="0" fontId="84" fillId="25" borderId="0" xfId="0" applyFont="1" applyFill="1" applyAlignment="1">
      <alignment horizontal="center" vertical="center" wrapText="1"/>
    </xf>
    <xf numFmtId="0" fontId="1" fillId="0" borderId="0" xfId="0" applyFont="1" applyAlignment="1">
      <alignment horizontal="left" vertical="center" wrapText="1"/>
    </xf>
    <xf numFmtId="0" fontId="9" fillId="0" borderId="8" xfId="0" applyFont="1" applyBorder="1" applyAlignment="1">
      <alignment horizontal="center" vertical="center" wrapText="1"/>
    </xf>
    <xf numFmtId="0" fontId="9" fillId="0" borderId="26" xfId="0" applyFont="1" applyBorder="1" applyAlignment="1">
      <alignment horizontal="center" vertical="center" wrapText="1"/>
    </xf>
    <xf numFmtId="0" fontId="108" fillId="0" borderId="8" xfId="0" applyFont="1" applyBorder="1" applyAlignment="1">
      <alignment horizontal="center" vertical="center" wrapText="1"/>
    </xf>
    <xf numFmtId="0" fontId="108" fillId="0" borderId="26" xfId="0" applyFont="1" applyBorder="1" applyAlignment="1">
      <alignment horizontal="center" vertical="center" wrapText="1"/>
    </xf>
    <xf numFmtId="0" fontId="16" fillId="0" borderId="19" xfId="0" applyFont="1" applyBorder="1" applyAlignment="1">
      <alignment horizontal="center" vertical="center"/>
    </xf>
    <xf numFmtId="0" fontId="16" fillId="0" borderId="6" xfId="0" applyFont="1" applyBorder="1" applyAlignment="1">
      <alignment horizontal="center" vertical="center"/>
    </xf>
    <xf numFmtId="0" fontId="16" fillId="0" borderId="20" xfId="0" applyFont="1" applyBorder="1" applyAlignment="1">
      <alignment horizontal="center" vertical="center"/>
    </xf>
    <xf numFmtId="0" fontId="16" fillId="0" borderId="8" xfId="0" applyFont="1" applyBorder="1" applyAlignment="1">
      <alignment horizontal="center" vertical="center"/>
    </xf>
    <xf numFmtId="0" fontId="16" fillId="0" borderId="26"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xf>
    <xf numFmtId="0" fontId="9" fillId="0" borderId="12" xfId="0" applyFont="1" applyBorder="1" applyAlignment="1">
      <alignment horizontal="center" vertical="center"/>
    </xf>
    <xf numFmtId="0" fontId="74" fillId="25" borderId="36" xfId="0" applyFont="1" applyFill="1" applyBorder="1" applyAlignment="1">
      <alignment horizontal="center" vertical="center" wrapText="1"/>
    </xf>
    <xf numFmtId="0" fontId="74" fillId="25" borderId="26" xfId="0" applyFont="1" applyFill="1" applyBorder="1" applyAlignment="1">
      <alignment horizontal="center" vertical="center" wrapText="1"/>
    </xf>
    <xf numFmtId="0" fontId="74" fillId="25" borderId="12" xfId="0" applyFont="1" applyFill="1" applyBorder="1" applyAlignment="1">
      <alignment horizontal="center" vertical="center" wrapText="1"/>
    </xf>
    <xf numFmtId="0" fontId="74" fillId="25" borderId="57" xfId="0" applyFont="1" applyFill="1" applyBorder="1" applyAlignment="1">
      <alignment horizontal="center" vertical="center" wrapText="1"/>
    </xf>
    <xf numFmtId="0" fontId="45" fillId="0" borderId="0" xfId="0" applyFont="1" applyAlignment="1">
      <alignment horizontal="center" vertical="center" wrapText="1"/>
    </xf>
    <xf numFmtId="0" fontId="56" fillId="0" borderId="0" xfId="0" applyFont="1" applyAlignment="1">
      <alignment horizontal="center" vertical="center" wrapText="1"/>
    </xf>
    <xf numFmtId="0" fontId="88" fillId="0" borderId="0" xfId="0" applyFont="1" applyAlignment="1">
      <alignment horizontal="center" vertical="center" wrapText="1"/>
    </xf>
    <xf numFmtId="0" fontId="0" fillId="26" borderId="0" xfId="0" applyFill="1" applyAlignment="1">
      <alignment horizontal="left" wrapText="1"/>
    </xf>
    <xf numFmtId="0" fontId="22" fillId="15" borderId="0" xfId="0" applyFont="1" applyFill="1" applyAlignment="1">
      <alignment horizontal="center" vertical="center"/>
    </xf>
    <xf numFmtId="0" fontId="52" fillId="0" borderId="0" xfId="0" applyFont="1" applyAlignment="1">
      <alignment horizontal="center" vertical="center" wrapText="1"/>
    </xf>
    <xf numFmtId="0" fontId="48" fillId="0" borderId="0" xfId="0" applyFont="1" applyAlignment="1">
      <alignment horizontal="center" vertical="center"/>
    </xf>
    <xf numFmtId="0" fontId="54" fillId="15" borderId="0" xfId="0" applyFont="1" applyFill="1" applyAlignment="1">
      <alignment horizontal="center" vertical="center"/>
    </xf>
    <xf numFmtId="0" fontId="54" fillId="15" borderId="22" xfId="0" applyFont="1" applyFill="1" applyBorder="1" applyAlignment="1">
      <alignment horizontal="center" vertical="center"/>
    </xf>
    <xf numFmtId="0" fontId="16" fillId="25" borderId="57" xfId="0" applyFont="1" applyFill="1" applyBorder="1" applyAlignment="1">
      <alignment horizontal="center" vertical="center" wrapText="1"/>
    </xf>
    <xf numFmtId="0" fontId="16" fillId="25" borderId="26" xfId="0" applyFont="1" applyFill="1" applyBorder="1" applyAlignment="1">
      <alignment horizontal="center" vertical="center" wrapText="1"/>
    </xf>
    <xf numFmtId="0" fontId="74" fillId="25" borderId="47" xfId="0" applyFont="1" applyFill="1" applyBorder="1" applyAlignment="1">
      <alignment horizontal="center" vertical="center" wrapText="1"/>
    </xf>
    <xf numFmtId="0" fontId="108" fillId="0" borderId="8" xfId="0" applyFont="1" applyBorder="1" applyAlignment="1">
      <alignment horizontal="center" vertical="center"/>
    </xf>
    <xf numFmtId="0" fontId="108" fillId="0" borderId="26" xfId="0" applyFont="1" applyBorder="1" applyAlignment="1">
      <alignment horizontal="center" vertical="center"/>
    </xf>
    <xf numFmtId="0" fontId="11" fillId="0" borderId="16" xfId="0" applyFont="1" applyBorder="1" applyAlignment="1">
      <alignment horizontal="center" textRotation="90"/>
    </xf>
    <xf numFmtId="0" fontId="9" fillId="25" borderId="57" xfId="0" applyFont="1" applyFill="1" applyBorder="1" applyAlignment="1">
      <alignment horizontal="center" vertical="center" wrapText="1"/>
    </xf>
    <xf numFmtId="0" fontId="9" fillId="25" borderId="26" xfId="0" applyFont="1" applyFill="1" applyBorder="1" applyAlignment="1">
      <alignment horizontal="center" vertical="center" wrapText="1"/>
    </xf>
    <xf numFmtId="0" fontId="83" fillId="17" borderId="13" xfId="0" applyFont="1" applyFill="1" applyBorder="1" applyAlignment="1">
      <alignment horizontal="center" vertical="center" wrapText="1"/>
    </xf>
    <xf numFmtId="0" fontId="83" fillId="17" borderId="14" xfId="0" applyFont="1" applyFill="1" applyBorder="1" applyAlignment="1">
      <alignment horizontal="center" vertical="center" wrapText="1"/>
    </xf>
    <xf numFmtId="0" fontId="83" fillId="17" borderId="21" xfId="0" applyFont="1" applyFill="1" applyBorder="1" applyAlignment="1">
      <alignment horizontal="center" vertical="center" wrapText="1"/>
    </xf>
    <xf numFmtId="0" fontId="83" fillId="17" borderId="23" xfId="0" applyFont="1" applyFill="1" applyBorder="1" applyAlignment="1">
      <alignment horizontal="center" vertical="center" wrapText="1"/>
    </xf>
    <xf numFmtId="0" fontId="18" fillId="0" borderId="8" xfId="0" applyFont="1" applyBorder="1" applyAlignment="1">
      <alignment horizontal="center" vertical="center"/>
    </xf>
    <xf numFmtId="0" fontId="18" fillId="0" borderId="26" xfId="0" applyFont="1" applyBorder="1" applyAlignment="1">
      <alignment horizontal="center" vertical="center"/>
    </xf>
    <xf numFmtId="0" fontId="95" fillId="0" borderId="8" xfId="0" applyFont="1" applyBorder="1" applyAlignment="1">
      <alignment horizontal="center" wrapText="1"/>
    </xf>
    <xf numFmtId="0" fontId="95" fillId="0" borderId="26" xfId="0" applyFont="1" applyBorder="1" applyAlignment="1">
      <alignment horizontal="center" wrapText="1"/>
    </xf>
    <xf numFmtId="0" fontId="16" fillId="25" borderId="76"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26" xfId="0" applyFont="1" applyBorder="1" applyAlignment="1">
      <alignment horizontal="center" vertical="center" wrapText="1"/>
    </xf>
    <xf numFmtId="0" fontId="67" fillId="25" borderId="76" xfId="0" applyFont="1" applyFill="1" applyBorder="1" applyAlignment="1">
      <alignment horizontal="center" vertical="center" wrapText="1"/>
    </xf>
    <xf numFmtId="0" fontId="9" fillId="25" borderId="76" xfId="0" applyFont="1" applyFill="1" applyBorder="1" applyAlignment="1">
      <alignment horizontal="center" vertical="center" wrapText="1"/>
    </xf>
    <xf numFmtId="0" fontId="12" fillId="25" borderId="57" xfId="0" applyFont="1" applyFill="1" applyBorder="1" applyAlignment="1">
      <alignment horizontal="center" vertical="center" wrapText="1"/>
    </xf>
    <xf numFmtId="0" fontId="12" fillId="25" borderId="26" xfId="0" applyFont="1" applyFill="1" applyBorder="1" applyAlignment="1">
      <alignment horizontal="center" vertical="center" wrapText="1"/>
    </xf>
    <xf numFmtId="0" fontId="12" fillId="25" borderId="58" xfId="0" applyFont="1" applyFill="1" applyBorder="1" applyAlignment="1">
      <alignment horizontal="center" vertical="center" wrapText="1"/>
    </xf>
    <xf numFmtId="0" fontId="12" fillId="25" borderId="0" xfId="0" applyFont="1" applyFill="1" applyAlignment="1">
      <alignment horizontal="center" vertical="center" wrapText="1"/>
    </xf>
    <xf numFmtId="0" fontId="95" fillId="0" borderId="8" xfId="0" applyFont="1" applyBorder="1" applyAlignment="1">
      <alignment horizontal="center" vertical="top" wrapText="1"/>
    </xf>
    <xf numFmtId="0" fontId="95" fillId="0" borderId="26" xfId="0" applyFont="1" applyBorder="1" applyAlignment="1">
      <alignment horizontal="center" vertical="top" wrapText="1"/>
    </xf>
    <xf numFmtId="0" fontId="102" fillId="25" borderId="76" xfId="0" applyFont="1" applyFill="1" applyBorder="1" applyAlignment="1">
      <alignment horizontal="center" vertical="center"/>
    </xf>
    <xf numFmtId="0" fontId="74" fillId="0" borderId="8" xfId="0" applyFont="1" applyBorder="1" applyAlignment="1">
      <alignment horizontal="center" vertical="center" wrapText="1"/>
    </xf>
    <xf numFmtId="0" fontId="74" fillId="0" borderId="26" xfId="0" applyFont="1" applyBorder="1" applyAlignment="1">
      <alignment horizontal="center" vertical="center" wrapText="1"/>
    </xf>
    <xf numFmtId="0" fontId="74" fillId="0" borderId="12" xfId="0" applyFont="1" applyBorder="1" applyAlignment="1">
      <alignment horizontal="center" vertical="center" wrapText="1"/>
    </xf>
    <xf numFmtId="0" fontId="91" fillId="0" borderId="47" xfId="0" applyFont="1" applyBorder="1" applyAlignment="1">
      <alignment horizontal="center" vertical="center"/>
    </xf>
    <xf numFmtId="0" fontId="91" fillId="0" borderId="12" xfId="0" applyFont="1" applyBorder="1" applyAlignment="1">
      <alignment horizontal="center" vertical="center"/>
    </xf>
    <xf numFmtId="0" fontId="41" fillId="0" borderId="0" xfId="0" applyFont="1" applyAlignment="1">
      <alignment horizontal="left" vertical="center" wrapText="1"/>
    </xf>
    <xf numFmtId="0" fontId="59" fillId="0" borderId="21" xfId="1" applyFont="1" applyBorder="1" applyAlignment="1">
      <alignment horizontal="right" vertical="top" wrapText="1" readingOrder="1"/>
    </xf>
    <xf numFmtId="0" fontId="57" fillId="0" borderId="22" xfId="1" applyBorder="1" applyAlignment="1">
      <alignment vertical="top" wrapText="1"/>
    </xf>
    <xf numFmtId="0" fontId="59" fillId="0" borderId="38" xfId="1" applyFont="1" applyBorder="1" applyAlignment="1">
      <alignment horizontal="right" vertical="top" wrapText="1" readingOrder="1"/>
    </xf>
    <xf numFmtId="0" fontId="57" fillId="0" borderId="34" xfId="1" applyBorder="1" applyAlignment="1">
      <alignment vertical="top" wrapText="1"/>
    </xf>
    <xf numFmtId="0" fontId="61" fillId="0" borderId="0" xfId="1" applyFont="1" applyAlignment="1" applyProtection="1">
      <alignment horizontal="left" vertical="center" wrapText="1" readingOrder="1"/>
      <protection locked="0"/>
    </xf>
    <xf numFmtId="0" fontId="57" fillId="0" borderId="0" xfId="1"/>
    <xf numFmtId="0" fontId="57" fillId="0" borderId="32" xfId="1" applyBorder="1" applyAlignment="1" applyProtection="1">
      <alignment horizontal="center" vertical="center" wrapText="1"/>
      <protection locked="0"/>
    </xf>
    <xf numFmtId="0" fontId="57" fillId="0" borderId="37" xfId="1" applyBorder="1" applyAlignment="1" applyProtection="1">
      <alignment horizontal="center" vertical="center" wrapText="1"/>
      <protection locked="0"/>
    </xf>
    <xf numFmtId="176" fontId="57" fillId="0" borderId="32" xfId="1" applyNumberFormat="1" applyBorder="1" applyAlignment="1">
      <alignment horizontal="center" vertical="top" wrapText="1"/>
    </xf>
    <xf numFmtId="176" fontId="57" fillId="0" borderId="37" xfId="1" applyNumberFormat="1" applyBorder="1" applyAlignment="1">
      <alignment horizontal="center" vertical="top" wrapText="1"/>
    </xf>
    <xf numFmtId="0" fontId="57" fillId="0" borderId="32" xfId="1" applyBorder="1" applyAlignment="1" applyProtection="1">
      <alignment horizontal="center" vertical="top" wrapText="1"/>
      <protection locked="0"/>
    </xf>
    <xf numFmtId="0" fontId="57" fillId="0" borderId="37" xfId="1" applyBorder="1" applyAlignment="1" applyProtection="1">
      <alignment horizontal="center" vertical="top" wrapText="1"/>
      <protection locked="0"/>
    </xf>
    <xf numFmtId="0" fontId="57" fillId="0" borderId="42" xfId="1" applyBorder="1" applyAlignment="1" applyProtection="1">
      <alignment horizontal="center" vertical="top" wrapText="1"/>
      <protection locked="0"/>
    </xf>
    <xf numFmtId="0" fontId="57" fillId="0" borderId="43" xfId="1" applyBorder="1" applyAlignment="1" applyProtection="1">
      <alignment horizontal="center" vertical="top" wrapText="1"/>
      <protection locked="0"/>
    </xf>
    <xf numFmtId="0" fontId="62" fillId="0" borderId="0" xfId="1" applyFont="1" applyAlignment="1" applyProtection="1">
      <alignment horizontal="left" vertical="center" wrapText="1" readingOrder="1"/>
      <protection locked="0"/>
    </xf>
    <xf numFmtId="0" fontId="59" fillId="0" borderId="39" xfId="1" applyFont="1" applyBorder="1" applyAlignment="1">
      <alignment horizontal="right" vertical="top" wrapText="1" readingOrder="1"/>
    </xf>
    <xf numFmtId="0" fontId="57" fillId="0" borderId="40" xfId="1" applyBorder="1" applyAlignment="1">
      <alignment vertical="top" wrapText="1"/>
    </xf>
    <xf numFmtId="0" fontId="57" fillId="0" borderId="40" xfId="1" applyBorder="1" applyAlignment="1">
      <alignment horizontal="center" vertical="center" wrapText="1"/>
    </xf>
    <xf numFmtId="0" fontId="57" fillId="0" borderId="41" xfId="1" applyBorder="1" applyAlignment="1">
      <alignment horizontal="center" vertical="center" wrapText="1"/>
    </xf>
    <xf numFmtId="0" fontId="57" fillId="0" borderId="32" xfId="1" applyBorder="1" applyAlignment="1">
      <alignment horizontal="center" vertical="center" wrapText="1"/>
    </xf>
    <xf numFmtId="0" fontId="57" fillId="0" borderId="37" xfId="1" applyBorder="1" applyAlignment="1">
      <alignment horizontal="center" vertical="center" wrapText="1"/>
    </xf>
    <xf numFmtId="0" fontId="68" fillId="24" borderId="13" xfId="1" applyFont="1" applyFill="1" applyBorder="1" applyAlignment="1" applyProtection="1">
      <alignment horizontal="center" vertical="center" wrapText="1" readingOrder="1"/>
      <protection locked="0"/>
    </xf>
    <xf numFmtId="0" fontId="68" fillId="24" borderId="18" xfId="1" applyFont="1" applyFill="1" applyBorder="1" applyAlignment="1" applyProtection="1">
      <alignment horizontal="center" vertical="center" wrapText="1" readingOrder="1"/>
      <protection locked="0"/>
    </xf>
    <xf numFmtId="0" fontId="68" fillId="24" borderId="52" xfId="1" applyFont="1" applyFill="1" applyBorder="1" applyAlignment="1" applyProtection="1">
      <alignment horizontal="center" vertical="center" wrapText="1" readingOrder="1"/>
      <protection locked="0"/>
    </xf>
    <xf numFmtId="0" fontId="68" fillId="24" borderId="14" xfId="1" applyFont="1" applyFill="1" applyBorder="1" applyAlignment="1" applyProtection="1">
      <alignment horizontal="center" vertical="center" wrapText="1" readingOrder="1"/>
      <protection locked="0"/>
    </xf>
    <xf numFmtId="0" fontId="68" fillId="24" borderId="21" xfId="1" applyFont="1" applyFill="1" applyBorder="1" applyAlignment="1" applyProtection="1">
      <alignment horizontal="center" vertical="center" wrapText="1" readingOrder="1"/>
      <protection locked="0"/>
    </xf>
    <xf numFmtId="0" fontId="68" fillId="24" borderId="22" xfId="1" applyFont="1" applyFill="1" applyBorder="1" applyAlignment="1" applyProtection="1">
      <alignment horizontal="center" vertical="center" wrapText="1" readingOrder="1"/>
      <protection locked="0"/>
    </xf>
    <xf numFmtId="0" fontId="68" fillId="24" borderId="23" xfId="1" applyFont="1" applyFill="1" applyBorder="1" applyAlignment="1" applyProtection="1">
      <alignment horizontal="center" vertical="center" wrapText="1" readingOrder="1"/>
      <protection locked="0"/>
    </xf>
    <xf numFmtId="0" fontId="68" fillId="24" borderId="44" xfId="1" applyFont="1" applyFill="1" applyBorder="1" applyAlignment="1" applyProtection="1">
      <alignment horizontal="center" vertical="center" wrapText="1" readingOrder="1"/>
      <protection locked="0"/>
    </xf>
    <xf numFmtId="0" fontId="60" fillId="24" borderId="36" xfId="1" applyFont="1" applyFill="1" applyBorder="1" applyAlignment="1" applyProtection="1">
      <alignment horizontal="center" vertical="center" wrapText="1" readingOrder="1"/>
      <protection locked="0"/>
    </xf>
    <xf numFmtId="0" fontId="60" fillId="24" borderId="12" xfId="1" applyFont="1" applyFill="1" applyBorder="1" applyAlignment="1" applyProtection="1">
      <alignment horizontal="center" vertical="center" wrapText="1" readingOrder="1"/>
      <protection locked="0"/>
    </xf>
    <xf numFmtId="0" fontId="68" fillId="24" borderId="19" xfId="1" applyFont="1" applyFill="1" applyBorder="1" applyAlignment="1" applyProtection="1">
      <alignment horizontal="center" vertical="center" wrapText="1" readingOrder="1"/>
      <protection locked="0"/>
    </xf>
    <xf numFmtId="0" fontId="68" fillId="24" borderId="6" xfId="1" applyFont="1" applyFill="1" applyBorder="1" applyAlignment="1" applyProtection="1">
      <alignment horizontal="center" vertical="center" wrapText="1" readingOrder="1"/>
      <protection locked="0"/>
    </xf>
    <xf numFmtId="0" fontId="68" fillId="24" borderId="20" xfId="1" applyFont="1" applyFill="1" applyBorder="1" applyAlignment="1" applyProtection="1">
      <alignment horizontal="center" vertical="center" wrapText="1" readingOrder="1"/>
      <protection locked="0"/>
    </xf>
    <xf numFmtId="0" fontId="68" fillId="12" borderId="19" xfId="1" applyFont="1" applyFill="1" applyBorder="1" applyAlignment="1" applyProtection="1">
      <alignment horizontal="center" vertical="center" wrapText="1" readingOrder="1"/>
      <protection locked="0"/>
    </xf>
    <xf numFmtId="0" fontId="68" fillId="12" borderId="6" xfId="1" applyFont="1" applyFill="1" applyBorder="1" applyAlignment="1" applyProtection="1">
      <alignment horizontal="center" vertical="center" wrapText="1" readingOrder="1"/>
      <protection locked="0"/>
    </xf>
    <xf numFmtId="0" fontId="68" fillId="12" borderId="20" xfId="1" applyFont="1" applyFill="1" applyBorder="1" applyAlignment="1" applyProtection="1">
      <alignment horizontal="center" vertical="center" wrapText="1" readingOrder="1"/>
      <protection locked="0"/>
    </xf>
    <xf numFmtId="0" fontId="96" fillId="28" borderId="81" xfId="0" applyFont="1" applyFill="1" applyBorder="1" applyAlignment="1">
      <alignment horizontal="center" vertical="center"/>
    </xf>
    <xf numFmtId="0" fontId="96" fillId="28" borderId="82" xfId="0" applyFont="1" applyFill="1" applyBorder="1" applyAlignment="1">
      <alignment horizontal="center" vertical="center"/>
    </xf>
    <xf numFmtId="0" fontId="96" fillId="28" borderId="83" xfId="0" applyFont="1" applyFill="1" applyBorder="1" applyAlignment="1">
      <alignment horizontal="center" vertical="center"/>
    </xf>
    <xf numFmtId="0" fontId="115" fillId="0" borderId="91" xfId="0" applyFont="1" applyBorder="1" applyAlignment="1">
      <alignment horizontal="center"/>
    </xf>
    <xf numFmtId="0" fontId="115" fillId="0" borderId="58" xfId="0" applyFont="1" applyBorder="1" applyAlignment="1">
      <alignment horizontal="center"/>
    </xf>
    <xf numFmtId="0" fontId="97" fillId="12" borderId="1" xfId="0" applyFont="1" applyFill="1" applyBorder="1" applyAlignment="1">
      <alignment horizontal="center" vertical="center"/>
    </xf>
    <xf numFmtId="0" fontId="97" fillId="12" borderId="2" xfId="0" applyFont="1" applyFill="1" applyBorder="1" applyAlignment="1">
      <alignment horizontal="center" vertical="center"/>
    </xf>
    <xf numFmtId="0" fontId="97" fillId="12" borderId="3" xfId="0" applyFont="1" applyFill="1" applyBorder="1" applyAlignment="1">
      <alignment horizontal="center" vertical="center"/>
    </xf>
    <xf numFmtId="0" fontId="97" fillId="12" borderId="9" xfId="0" applyFont="1" applyFill="1" applyBorder="1" applyAlignment="1">
      <alignment horizontal="center" vertical="center"/>
    </xf>
    <xf numFmtId="0" fontId="97" fillId="12" borderId="10" xfId="0" applyFont="1" applyFill="1" applyBorder="1" applyAlignment="1">
      <alignment horizontal="center" vertical="center"/>
    </xf>
    <xf numFmtId="0" fontId="97" fillId="12" borderId="11" xfId="0" applyFont="1" applyFill="1" applyBorder="1" applyAlignment="1">
      <alignment horizontal="center" vertical="center"/>
    </xf>
    <xf numFmtId="0" fontId="115" fillId="0" borderId="4" xfId="0" applyFont="1" applyBorder="1" applyAlignment="1">
      <alignment horizontal="center"/>
    </xf>
    <xf numFmtId="0" fontId="115" fillId="0" borderId="0" xfId="0" applyFont="1" applyAlignment="1">
      <alignment horizontal="center"/>
    </xf>
    <xf numFmtId="0" fontId="63" fillId="12" borderId="1" xfId="0" applyFont="1" applyFill="1" applyBorder="1" applyAlignment="1">
      <alignment horizontal="center" vertical="center"/>
    </xf>
    <xf numFmtId="0" fontId="63" fillId="12" borderId="2" xfId="0" applyFont="1" applyFill="1" applyBorder="1" applyAlignment="1">
      <alignment horizontal="center" vertical="center"/>
    </xf>
    <xf numFmtId="0" fontId="63" fillId="12" borderId="3" xfId="0" applyFont="1" applyFill="1" applyBorder="1" applyAlignment="1">
      <alignment horizontal="center" vertical="center"/>
    </xf>
    <xf numFmtId="0" fontId="2" fillId="4" borderId="76" xfId="0" applyFont="1" applyFill="1" applyBorder="1" applyAlignment="1">
      <alignment horizontal="center" vertical="center"/>
    </xf>
    <xf numFmtId="0" fontId="2" fillId="16" borderId="76" xfId="0" applyFont="1" applyFill="1" applyBorder="1" applyAlignment="1">
      <alignment horizontal="center" vertical="center"/>
    </xf>
    <xf numFmtId="0" fontId="64" fillId="0" borderId="0" xfId="0" applyFont="1" applyAlignment="1">
      <alignment horizontal="center" vertical="center"/>
    </xf>
    <xf numFmtId="0" fontId="63" fillId="0" borderId="0" xfId="0" applyFont="1" applyAlignment="1">
      <alignment horizontal="center"/>
    </xf>
    <xf numFmtId="0" fontId="66" fillId="2" borderId="77" xfId="0" applyFont="1" applyFill="1" applyBorder="1" applyAlignment="1">
      <alignment horizontal="center" vertical="center"/>
    </xf>
    <xf numFmtId="0" fontId="66" fillId="2" borderId="78" xfId="0" applyFont="1" applyFill="1" applyBorder="1" applyAlignment="1">
      <alignment horizontal="center" vertical="center"/>
    </xf>
    <xf numFmtId="0" fontId="66" fillId="2" borderId="79" xfId="0" applyFont="1" applyFill="1" applyBorder="1" applyAlignment="1">
      <alignment horizontal="center" vertical="center"/>
    </xf>
    <xf numFmtId="0" fontId="42" fillId="12" borderId="76" xfId="0" applyFont="1" applyFill="1" applyBorder="1" applyAlignment="1">
      <alignment horizontal="center" vertical="center"/>
    </xf>
    <xf numFmtId="18" fontId="2" fillId="10" borderId="19" xfId="0" applyNumberFormat="1" applyFont="1" applyFill="1" applyBorder="1" applyAlignment="1">
      <alignment horizontal="center" vertical="center"/>
    </xf>
    <xf numFmtId="18" fontId="2" fillId="10" borderId="6" xfId="0" applyNumberFormat="1" applyFont="1" applyFill="1" applyBorder="1" applyAlignment="1">
      <alignment horizontal="center" vertical="center"/>
    </xf>
    <xf numFmtId="18" fontId="2" fillId="10" borderId="20" xfId="0" applyNumberFormat="1" applyFont="1" applyFill="1" applyBorder="1" applyAlignment="1">
      <alignment horizontal="center" vertical="center"/>
    </xf>
    <xf numFmtId="0" fontId="22" fillId="8" borderId="19" xfId="0" applyFont="1" applyFill="1" applyBorder="1" applyAlignment="1">
      <alignment horizontal="center"/>
    </xf>
    <xf numFmtId="0" fontId="22" fillId="8" borderId="6" xfId="0" applyFont="1" applyFill="1" applyBorder="1" applyAlignment="1">
      <alignment horizontal="center"/>
    </xf>
    <xf numFmtId="0" fontId="22" fillId="8" borderId="20" xfId="0" applyFont="1" applyFill="1" applyBorder="1" applyAlignment="1">
      <alignment horizontal="center"/>
    </xf>
    <xf numFmtId="0" fontId="3" fillId="22" borderId="19" xfId="0" applyFont="1" applyFill="1" applyBorder="1" applyAlignment="1">
      <alignment horizontal="center"/>
    </xf>
    <xf numFmtId="0" fontId="3" fillId="22" borderId="6" xfId="0" applyFont="1" applyFill="1" applyBorder="1" applyAlignment="1">
      <alignment horizontal="center"/>
    </xf>
    <xf numFmtId="0" fontId="3" fillId="22" borderId="20" xfId="0" applyFont="1" applyFill="1" applyBorder="1" applyAlignment="1">
      <alignment horizontal="center"/>
    </xf>
    <xf numFmtId="0" fontId="22" fillId="8" borderId="7" xfId="0" applyFont="1" applyFill="1" applyBorder="1" applyAlignment="1">
      <alignment horizontal="center"/>
    </xf>
    <xf numFmtId="0" fontId="3" fillId="23" borderId="0" xfId="0" applyFont="1" applyFill="1" applyAlignment="1">
      <alignment horizontal="center"/>
    </xf>
    <xf numFmtId="0" fontId="0" fillId="0" borderId="93" xfId="0" applyBorder="1" applyAlignment="1">
      <alignment horizontal="center"/>
    </xf>
    <xf numFmtId="0" fontId="0" fillId="0" borderId="94" xfId="0" applyBorder="1" applyAlignment="1">
      <alignment horizontal="center"/>
    </xf>
    <xf numFmtId="0" fontId="3" fillId="22" borderId="77" xfId="0" applyFont="1" applyFill="1" applyBorder="1" applyAlignment="1">
      <alignment horizontal="center"/>
    </xf>
    <xf numFmtId="0" fontId="3" fillId="22" borderId="78" xfId="0" applyFont="1" applyFill="1" applyBorder="1" applyAlignment="1">
      <alignment horizontal="center"/>
    </xf>
    <xf numFmtId="0" fontId="3" fillId="22" borderId="79" xfId="0" applyFont="1" applyFill="1" applyBorder="1" applyAlignment="1">
      <alignment horizontal="center"/>
    </xf>
    <xf numFmtId="0" fontId="0" fillId="0" borderId="101" xfId="0" applyBorder="1" applyAlignment="1">
      <alignment horizontal="center"/>
    </xf>
    <xf numFmtId="0" fontId="0" fillId="0" borderId="102" xfId="0" applyBorder="1" applyAlignment="1">
      <alignment horizontal="center"/>
    </xf>
    <xf numFmtId="0" fontId="3" fillId="19" borderId="77" xfId="0" applyFont="1" applyFill="1" applyBorder="1" applyAlignment="1">
      <alignment horizontal="center"/>
    </xf>
    <xf numFmtId="0" fontId="3" fillId="19" borderId="78" xfId="0" applyFont="1" applyFill="1" applyBorder="1" applyAlignment="1">
      <alignment horizontal="center"/>
    </xf>
    <xf numFmtId="0" fontId="3" fillId="19" borderId="79" xfId="0" applyFont="1" applyFill="1" applyBorder="1" applyAlignment="1">
      <alignment horizontal="center"/>
    </xf>
    <xf numFmtId="0" fontId="0" fillId="4" borderId="19" xfId="0" applyFill="1" applyBorder="1" applyAlignment="1">
      <alignment horizontal="center"/>
    </xf>
    <xf numFmtId="0" fontId="0" fillId="4" borderId="20" xfId="0" applyFill="1" applyBorder="1" applyAlignment="1">
      <alignment horizontal="center"/>
    </xf>
    <xf numFmtId="0" fontId="3" fillId="2" borderId="19" xfId="0" applyFont="1" applyFill="1" applyBorder="1" applyAlignment="1">
      <alignment horizontal="center"/>
    </xf>
    <xf numFmtId="0" fontId="3" fillId="2" borderId="6" xfId="0" applyFont="1" applyFill="1" applyBorder="1" applyAlignment="1">
      <alignment horizontal="center"/>
    </xf>
    <xf numFmtId="0" fontId="3" fillId="2" borderId="20" xfId="0" applyFont="1" applyFill="1" applyBorder="1" applyAlignment="1">
      <alignment horizontal="center"/>
    </xf>
    <xf numFmtId="0" fontId="3" fillId="20" borderId="19" xfId="0" applyFont="1" applyFill="1" applyBorder="1" applyAlignment="1">
      <alignment horizontal="center"/>
    </xf>
    <xf numFmtId="0" fontId="3" fillId="20" borderId="6" xfId="0" applyFont="1" applyFill="1" applyBorder="1" applyAlignment="1">
      <alignment horizontal="center"/>
    </xf>
    <xf numFmtId="0" fontId="3" fillId="20" borderId="20" xfId="0" applyFont="1" applyFill="1" applyBorder="1" applyAlignment="1">
      <alignment horizontal="center"/>
    </xf>
    <xf numFmtId="2" fontId="0" fillId="0" borderId="0" xfId="0" applyNumberFormat="1" applyAlignment="1">
      <alignment horizontal="center" vertical="center"/>
    </xf>
    <xf numFmtId="0" fontId="12" fillId="0" borderId="15" xfId="0" applyFont="1" applyBorder="1" applyAlignment="1">
      <alignment horizontal="left" vertical="center" wrapText="1"/>
    </xf>
    <xf numFmtId="0" fontId="12" fillId="0" borderId="0" xfId="0" applyFont="1" applyAlignment="1">
      <alignment horizontal="left" vertical="center" wrapText="1"/>
    </xf>
    <xf numFmtId="0" fontId="0" fillId="0" borderId="13" xfId="0" applyBorder="1" applyAlignment="1">
      <alignment horizontal="left" vertical="center"/>
    </xf>
    <xf numFmtId="0" fontId="0" fillId="0" borderId="18" xfId="0" applyBorder="1" applyAlignment="1">
      <alignment horizontal="left" vertical="center"/>
    </xf>
    <xf numFmtId="0" fontId="0" fillId="0" borderId="15" xfId="0" applyBorder="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18" fillId="0" borderId="0" xfId="0" applyFont="1" applyAlignment="1">
      <alignment horizontal="center" vertical="center" wrapText="1"/>
    </xf>
    <xf numFmtId="0" fontId="9" fillId="0" borderId="0" xfId="0" applyFont="1" applyAlignment="1">
      <alignment horizontal="center" vertical="center" wrapText="1"/>
    </xf>
    <xf numFmtId="0" fontId="0" fillId="8" borderId="21" xfId="0" applyFill="1" applyBorder="1" applyAlignment="1">
      <alignment horizontal="center" vertical="center"/>
    </xf>
    <xf numFmtId="0" fontId="0" fillId="8" borderId="22" xfId="0" applyFill="1" applyBorder="1" applyAlignment="1">
      <alignment horizontal="center" vertical="center"/>
    </xf>
    <xf numFmtId="0" fontId="2" fillId="0" borderId="0" xfId="0" applyFont="1" applyAlignment="1">
      <alignment horizontal="center" vertical="center"/>
    </xf>
    <xf numFmtId="0" fontId="0" fillId="0" borderId="15" xfId="0" applyBorder="1" applyAlignment="1">
      <alignment horizontal="center"/>
    </xf>
    <xf numFmtId="1" fontId="67" fillId="10" borderId="7" xfId="0" applyNumberFormat="1" applyFont="1" applyFill="1" applyBorder="1" applyAlignment="1">
      <alignment horizontal="center" vertical="center"/>
    </xf>
    <xf numFmtId="0" fontId="0" fillId="0" borderId="15" xfId="0" applyBorder="1" applyAlignment="1">
      <alignment horizontal="center" vertical="center"/>
    </xf>
    <xf numFmtId="0" fontId="0" fillId="0" borderId="0" xfId="0" applyAlignment="1">
      <alignment horizontal="center" vertical="center"/>
    </xf>
    <xf numFmtId="0" fontId="1" fillId="7" borderId="13" xfId="0" applyFont="1" applyFill="1" applyBorder="1" applyAlignment="1">
      <alignment horizontal="center" vertical="center"/>
    </xf>
    <xf numFmtId="0" fontId="1" fillId="7" borderId="18" xfId="0" applyFont="1" applyFill="1" applyBorder="1" applyAlignment="1">
      <alignment horizontal="center" vertical="center"/>
    </xf>
    <xf numFmtId="0" fontId="1" fillId="7" borderId="14" xfId="0" applyFont="1" applyFill="1" applyBorder="1" applyAlignment="1">
      <alignment horizontal="center" vertical="center"/>
    </xf>
    <xf numFmtId="166" fontId="2" fillId="3" borderId="19" xfId="0" applyNumberFormat="1" applyFont="1" applyFill="1" applyBorder="1" applyAlignment="1">
      <alignment horizontal="center" vertical="center"/>
    </xf>
    <xf numFmtId="166" fontId="2" fillId="3" borderId="20" xfId="0" applyNumberFormat="1" applyFont="1" applyFill="1" applyBorder="1" applyAlignment="1">
      <alignment horizontal="center" vertical="center"/>
    </xf>
    <xf numFmtId="0" fontId="33" fillId="13" borderId="19" xfId="0" applyFont="1" applyFill="1" applyBorder="1" applyAlignment="1">
      <alignment horizontal="center" vertical="center"/>
    </xf>
    <xf numFmtId="0" fontId="33" fillId="13" borderId="6" xfId="0" applyFont="1" applyFill="1" applyBorder="1" applyAlignment="1">
      <alignment horizontal="center" vertical="center"/>
    </xf>
    <xf numFmtId="0" fontId="33" fillId="13" borderId="20" xfId="0" applyFont="1" applyFill="1" applyBorder="1" applyAlignment="1">
      <alignment horizontal="center" vertical="center"/>
    </xf>
    <xf numFmtId="0" fontId="12" fillId="0" borderId="13" xfId="0" applyFont="1" applyBorder="1" applyAlignment="1">
      <alignment horizontal="left" vertical="center" wrapText="1"/>
    </xf>
    <xf numFmtId="0" fontId="12" fillId="0" borderId="18" xfId="0" applyFont="1" applyBorder="1" applyAlignment="1">
      <alignment horizontal="left" vertical="center" wrapText="1"/>
    </xf>
    <xf numFmtId="0" fontId="3" fillId="0" borderId="0" xfId="0" applyFont="1" applyAlignment="1">
      <alignment horizontal="center" vertical="center"/>
    </xf>
    <xf numFmtId="3" fontId="11" fillId="0" borderId="7" xfId="0" applyNumberFormat="1" applyFont="1" applyBorder="1" applyAlignment="1">
      <alignment horizontal="center" vertical="center" wrapText="1"/>
    </xf>
    <xf numFmtId="0" fontId="11" fillId="0" borderId="7" xfId="0" applyFont="1" applyBorder="1" applyAlignment="1">
      <alignment horizontal="center" vertical="center" wrapText="1"/>
    </xf>
    <xf numFmtId="0" fontId="24" fillId="14" borderId="7" xfId="0" applyFont="1" applyFill="1" applyBorder="1" applyAlignment="1">
      <alignment horizontal="center" vertical="center"/>
    </xf>
    <xf numFmtId="3" fontId="24" fillId="14" borderId="7" xfId="0" applyNumberFormat="1" applyFont="1" applyFill="1" applyBorder="1" applyAlignment="1">
      <alignment horizontal="center" vertical="center"/>
    </xf>
    <xf numFmtId="164" fontId="0" fillId="0" borderId="7" xfId="0" applyNumberFormat="1" applyBorder="1" applyAlignment="1">
      <alignment horizontal="center" vertical="center"/>
    </xf>
    <xf numFmtId="0" fontId="16" fillId="0" borderId="15" xfId="0" applyFont="1" applyBorder="1" applyAlignment="1">
      <alignment horizontal="left" vertical="center" wrapText="1"/>
    </xf>
    <xf numFmtId="0" fontId="16" fillId="0" borderId="0" xfId="0" applyFont="1" applyAlignment="1">
      <alignment horizontal="left" vertical="center" wrapText="1"/>
    </xf>
    <xf numFmtId="2" fontId="0" fillId="6" borderId="7" xfId="0" applyNumberFormat="1" applyFill="1" applyBorder="1" applyAlignment="1">
      <alignment horizontal="center" vertical="center"/>
    </xf>
    <xf numFmtId="2" fontId="0" fillId="10" borderId="19" xfId="0" applyNumberFormat="1" applyFill="1" applyBorder="1" applyAlignment="1">
      <alignment horizontal="center" vertical="center"/>
    </xf>
    <xf numFmtId="2" fontId="0" fillId="10" borderId="6" xfId="0" applyNumberFormat="1" applyFill="1" applyBorder="1" applyAlignment="1">
      <alignment horizontal="center" vertical="center"/>
    </xf>
    <xf numFmtId="2" fontId="0" fillId="10" borderId="20" xfId="0" applyNumberFormat="1" applyFill="1" applyBorder="1" applyAlignment="1">
      <alignment horizontal="center" vertical="center"/>
    </xf>
    <xf numFmtId="0" fontId="0" fillId="0" borderId="13" xfId="0" applyBorder="1" applyAlignment="1">
      <alignment horizontal="center"/>
    </xf>
    <xf numFmtId="0" fontId="0" fillId="0" borderId="18" xfId="0" applyBorder="1" applyAlignment="1">
      <alignment horizontal="center"/>
    </xf>
    <xf numFmtId="0" fontId="9" fillId="9" borderId="19" xfId="0" applyFont="1" applyFill="1" applyBorder="1" applyAlignment="1">
      <alignment horizontal="center" vertical="center" wrapText="1"/>
    </xf>
    <xf numFmtId="0" fontId="9" fillId="9" borderId="6" xfId="0" applyFont="1" applyFill="1" applyBorder="1" applyAlignment="1">
      <alignment horizontal="center" vertical="center" wrapText="1"/>
    </xf>
    <xf numFmtId="0" fontId="9" fillId="9" borderId="20" xfId="0" applyFont="1" applyFill="1" applyBorder="1" applyAlignment="1">
      <alignment horizontal="center" vertical="center" wrapText="1"/>
    </xf>
    <xf numFmtId="0" fontId="2" fillId="8" borderId="13"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4" xfId="0" applyFont="1" applyFill="1" applyBorder="1" applyAlignment="1">
      <alignment horizontal="center" vertical="center"/>
    </xf>
    <xf numFmtId="0" fontId="3" fillId="18" borderId="19" xfId="0" applyFont="1" applyFill="1" applyBorder="1" applyAlignment="1">
      <alignment horizontal="center"/>
    </xf>
    <xf numFmtId="0" fontId="3" fillId="18" borderId="6" xfId="0" applyFont="1" applyFill="1" applyBorder="1" applyAlignment="1">
      <alignment horizontal="center"/>
    </xf>
    <xf numFmtId="0" fontId="3" fillId="18" borderId="20" xfId="0" applyFont="1" applyFill="1" applyBorder="1" applyAlignment="1">
      <alignment horizontal="center"/>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55" fillId="0" borderId="0" xfId="0" applyFont="1" applyAlignment="1">
      <alignment horizontal="center" vertical="center"/>
    </xf>
    <xf numFmtId="0" fontId="5" fillId="0" borderId="0" xfId="0" applyFont="1" applyAlignment="1">
      <alignment horizontal="center" vertical="center"/>
    </xf>
    <xf numFmtId="0" fontId="15" fillId="0" borderId="0" xfId="0" applyFont="1" applyAlignment="1">
      <alignment horizontal="center" vertical="center"/>
    </xf>
    <xf numFmtId="0" fontId="2" fillId="0" borderId="0" xfId="0" applyFont="1" applyAlignment="1">
      <alignment horizontal="center" wrapText="1"/>
    </xf>
    <xf numFmtId="0" fontId="2" fillId="0" borderId="0" xfId="0" applyFont="1" applyAlignment="1">
      <alignment horizontal="center" vertical="center" wrapText="1"/>
    </xf>
    <xf numFmtId="0" fontId="0" fillId="0" borderId="0" xfId="0" applyAlignment="1">
      <alignment horizontal="center" wrapText="1"/>
    </xf>
    <xf numFmtId="0" fontId="2" fillId="0" borderId="0" xfId="0" applyFont="1" applyAlignment="1">
      <alignment horizontal="center"/>
    </xf>
    <xf numFmtId="0" fontId="12" fillId="0" borderId="0" xfId="0" applyFont="1" applyAlignment="1">
      <alignment horizontal="center" vertical="center"/>
    </xf>
  </cellXfs>
  <cellStyles count="6">
    <cellStyle name="Comma" xfId="4" builtinId="3"/>
    <cellStyle name="Hyperlink" xfId="3" builtinId="8"/>
    <cellStyle name="Normal" xfId="0" builtinId="0"/>
    <cellStyle name="Normal 2" xfId="1" xr:uid="{00000000-0005-0000-0000-000003000000}"/>
    <cellStyle name="Percent" xfId="5" builtinId="5"/>
    <cellStyle name="Percent 2" xfId="2" xr:uid="{00000000-0005-0000-0000-000005000000}"/>
  </cellStyles>
  <dxfs count="24">
    <dxf>
      <fill>
        <patternFill>
          <bgColor rgb="FFFFC000"/>
        </patternFill>
      </fill>
    </dxf>
    <dxf>
      <font>
        <color theme="0"/>
      </font>
      <fill>
        <patternFill>
          <bgColor rgb="FFFF0000"/>
        </patternFill>
      </fill>
    </dxf>
    <dxf>
      <fill>
        <patternFill>
          <bgColor rgb="FF92D050"/>
        </patternFill>
      </fill>
    </dxf>
    <dxf>
      <fill>
        <patternFill>
          <bgColor rgb="FFFFC000"/>
        </patternFill>
      </fill>
    </dxf>
    <dxf>
      <fill>
        <patternFill>
          <bgColor rgb="FFFF8B8B"/>
        </patternFill>
      </fill>
    </dxf>
    <dxf>
      <fill>
        <patternFill>
          <bgColor theme="0"/>
        </patternFill>
      </fill>
    </dxf>
    <dxf>
      <fill>
        <patternFill>
          <bgColor rgb="FF00B050"/>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theme="0"/>
      </font>
      <fill>
        <patternFill>
          <bgColor rgb="FFFF0000"/>
        </patternFill>
      </fill>
    </dxf>
    <dxf>
      <font>
        <color theme="0"/>
      </font>
      <fill>
        <patternFill>
          <bgColor rgb="FFFF0000"/>
        </patternFill>
      </fill>
    </dxf>
    <dxf>
      <font>
        <color theme="0"/>
      </font>
      <fill>
        <patternFill>
          <bgColor rgb="FFFF0000"/>
        </patternFill>
      </fill>
    </dxf>
    <dxf>
      <font>
        <b val="0"/>
        <i val="0"/>
      </font>
    </dxf>
    <dxf>
      <font>
        <b val="0"/>
        <i val="0"/>
      </font>
    </dxf>
    <dxf>
      <font>
        <color theme="0"/>
      </font>
      <fill>
        <patternFill>
          <bgColor rgb="FFFF0000"/>
        </patternFill>
      </fill>
    </dxf>
    <dxf>
      <font>
        <color theme="0"/>
      </font>
      <fill>
        <patternFill>
          <bgColor rgb="FFFF0000"/>
        </patternFill>
      </fill>
    </dxf>
    <dxf>
      <fill>
        <patternFill>
          <bgColor rgb="FFFFFF00"/>
        </patternFill>
      </fill>
      <border>
        <left style="thin">
          <color auto="1"/>
        </left>
        <right style="thin">
          <color auto="1"/>
        </right>
        <top style="thin">
          <color auto="1"/>
        </top>
        <bottom style="thin">
          <color auto="1"/>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00A3E2"/>
      <color rgb="FFFF8B8B"/>
      <color rgb="FFFF7C80"/>
      <color rgb="FF0000FF"/>
      <color rgb="FFFF6600"/>
      <color rgb="FFDFE7FD"/>
      <color rgb="FF2C5D98"/>
      <color rgb="FF254061"/>
      <color rgb="FF71A6DB"/>
      <color rgb="FFFEFF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microsoft.com/office/2006/relationships/vbaProject" Target="vbaProject.bin"/><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calcChain" Target="calcChain.xml"/><Relationship Id="rId2" Type="http://schemas.microsoft.com/office/2006/relationships/xlMacrosheet" Target="macrosheets/sheet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styles" Target="styles.xml"/><Relationship Id="rId10" Type="http://schemas.openxmlformats.org/officeDocument/2006/relationships/worksheet" Target="worksheets/sheet9.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baseline="0">
                <a:solidFill>
                  <a:schemeClr val="dk1">
                    <a:lumMod val="75000"/>
                    <a:lumOff val="25000"/>
                  </a:schemeClr>
                </a:solidFill>
                <a:latin typeface="+mn-lt"/>
                <a:ea typeface="+mn-ea"/>
                <a:cs typeface="+mn-cs"/>
              </a:defRPr>
            </a:pPr>
            <a:r>
              <a:rPr lang="en-US"/>
              <a:t>Airside /Waterside Cooling Ratio</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634779007127771E-2"/>
          <c:y val="0.17267689379839418"/>
          <c:w val="0.73068982697134155"/>
          <c:h val="0.81480008775973556"/>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3F6B-4056-A11C-81FFF90DD5B4}"/>
              </c:ext>
            </c:extLst>
          </c:dPt>
          <c:dPt>
            <c:idx val="1"/>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3F6B-4056-A11C-81FFF90DD5B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24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'Building Summary'!$O$16:$P$16</c:f>
              <c:strCache>
                <c:ptCount val="2"/>
                <c:pt idx="0">
                  <c:v>Airside Cooling</c:v>
                </c:pt>
                <c:pt idx="1">
                  <c:v>Waterside Cooling</c:v>
                </c:pt>
              </c:strCache>
            </c:strRef>
          </c:cat>
          <c:val>
            <c:numRef>
              <c:f>'Building Summary'!$O$17:$P$17</c:f>
              <c:numCache>
                <c:formatCode>#,###\ "btu/h"</c:formatCode>
                <c:ptCount val="2"/>
                <c:pt idx="0">
                  <c:v>0</c:v>
                </c:pt>
                <c:pt idx="1">
                  <c:v>0</c:v>
                </c:pt>
              </c:numCache>
            </c:numRef>
          </c:val>
          <c:extLst>
            <c:ext xmlns:c16="http://schemas.microsoft.com/office/drawing/2014/chart" uri="{C3380CC4-5D6E-409C-BE32-E72D297353CC}">
              <c16:uniqueId val="{00000004-3F6B-4056-A11C-81FFF90DD5B4}"/>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5432169413462071"/>
          <c:y val="0.22197874663019632"/>
          <c:w val="0.33212574112253651"/>
          <c:h val="0.65150263669625386"/>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6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24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firstButton="1" fmlaLink="$W$4" lockText="1"/>
</file>

<file path=xl/ctrlProps/ctrlProp10.xml><?xml version="1.0" encoding="utf-8"?>
<formControlPr xmlns="http://schemas.microsoft.com/office/spreadsheetml/2009/9/main" objectType="CheckBox" checked="Checked" fmlaLink="$HW$22" lockText="1" noThreeD="1"/>
</file>

<file path=xl/ctrlProps/ctrlProp100.xml><?xml version="1.0" encoding="utf-8"?>
<formControlPr xmlns="http://schemas.microsoft.com/office/spreadsheetml/2009/9/main" objectType="CheckBox" checked="Checked" fmlaLink="$HW$112" lockText="1" noThreeD="1"/>
</file>

<file path=xl/ctrlProps/ctrlProp101.xml><?xml version="1.0" encoding="utf-8"?>
<formControlPr xmlns="http://schemas.microsoft.com/office/spreadsheetml/2009/9/main" objectType="CheckBox" checked="Checked" fmlaLink="$HW$113" lockText="1" noThreeD="1"/>
</file>

<file path=xl/ctrlProps/ctrlProp102.xml><?xml version="1.0" encoding="utf-8"?>
<formControlPr xmlns="http://schemas.microsoft.com/office/spreadsheetml/2009/9/main" objectType="CheckBox" checked="Checked" fmlaLink="$HW$114" lockText="1" noThreeD="1"/>
</file>

<file path=xl/ctrlProps/ctrlProp103.xml><?xml version="1.0" encoding="utf-8"?>
<formControlPr xmlns="http://schemas.microsoft.com/office/spreadsheetml/2009/9/main" objectType="CheckBox" checked="Checked" fmlaLink="$HW$115" lockText="1" noThreeD="1"/>
</file>

<file path=xl/ctrlProps/ctrlProp104.xml><?xml version="1.0" encoding="utf-8"?>
<formControlPr xmlns="http://schemas.microsoft.com/office/spreadsheetml/2009/9/main" objectType="CheckBox" checked="Checked" fmlaLink="$HW$116" lockText="1" noThreeD="1"/>
</file>

<file path=xl/ctrlProps/ctrlProp105.xml><?xml version="1.0" encoding="utf-8"?>
<formControlPr xmlns="http://schemas.microsoft.com/office/spreadsheetml/2009/9/main" objectType="CheckBox" checked="Checked" fmlaLink="$HW$117" lockText="1" noThreeD="1"/>
</file>

<file path=xl/ctrlProps/ctrlProp106.xml><?xml version="1.0" encoding="utf-8"?>
<formControlPr xmlns="http://schemas.microsoft.com/office/spreadsheetml/2009/9/main" objectType="CheckBox" checked="Checked" fmlaLink="$HW$118" lockText="1" noThreeD="1"/>
</file>

<file path=xl/ctrlProps/ctrlProp107.xml><?xml version="1.0" encoding="utf-8"?>
<formControlPr xmlns="http://schemas.microsoft.com/office/spreadsheetml/2009/9/main" objectType="CheckBox" checked="Checked" fmlaLink="$HW$119" lockText="1" noThreeD="1"/>
</file>

<file path=xl/ctrlProps/ctrlProp108.xml><?xml version="1.0" encoding="utf-8"?>
<formControlPr xmlns="http://schemas.microsoft.com/office/spreadsheetml/2009/9/main" objectType="CheckBox" checked="Checked" fmlaLink="$HW$120" lockText="1" noThreeD="1"/>
</file>

<file path=xl/ctrlProps/ctrlProp109.xml><?xml version="1.0" encoding="utf-8"?>
<formControlPr xmlns="http://schemas.microsoft.com/office/spreadsheetml/2009/9/main" objectType="CheckBox" checked="Checked" fmlaLink="$HW$121" lockText="1" noThreeD="1"/>
</file>

<file path=xl/ctrlProps/ctrlProp11.xml><?xml version="1.0" encoding="utf-8"?>
<formControlPr xmlns="http://schemas.microsoft.com/office/spreadsheetml/2009/9/main" objectType="CheckBox" checked="Checked" fmlaLink="$HW$23" lockText="1" noThreeD="1"/>
</file>

<file path=xl/ctrlProps/ctrlProp110.xml><?xml version="1.0" encoding="utf-8"?>
<formControlPr xmlns="http://schemas.microsoft.com/office/spreadsheetml/2009/9/main" objectType="CheckBox" checked="Checked" fmlaLink="$HW$122" lockText="1" noThreeD="1"/>
</file>

<file path=xl/ctrlProps/ctrlProp111.xml><?xml version="1.0" encoding="utf-8"?>
<formControlPr xmlns="http://schemas.microsoft.com/office/spreadsheetml/2009/9/main" objectType="CheckBox" checked="Checked" fmlaLink="$HW$123" lockText="1" noThreeD="1"/>
</file>

<file path=xl/ctrlProps/ctrlProp112.xml><?xml version="1.0" encoding="utf-8"?>
<formControlPr xmlns="http://schemas.microsoft.com/office/spreadsheetml/2009/9/main" objectType="CheckBox" checked="Checked" fmlaLink="$HW$124" lockText="1" noThreeD="1"/>
</file>

<file path=xl/ctrlProps/ctrlProp113.xml><?xml version="1.0" encoding="utf-8"?>
<formControlPr xmlns="http://schemas.microsoft.com/office/spreadsheetml/2009/9/main" objectType="CheckBox" checked="Checked" fmlaLink="$HW$125" lockText="1" noThreeD="1"/>
</file>

<file path=xl/ctrlProps/ctrlProp114.xml><?xml version="1.0" encoding="utf-8"?>
<formControlPr xmlns="http://schemas.microsoft.com/office/spreadsheetml/2009/9/main" objectType="CheckBox" checked="Checked" fmlaLink="$HW$126" lockText="1" noThreeD="1"/>
</file>

<file path=xl/ctrlProps/ctrlProp115.xml><?xml version="1.0" encoding="utf-8"?>
<formControlPr xmlns="http://schemas.microsoft.com/office/spreadsheetml/2009/9/main" objectType="CheckBox" checked="Checked" fmlaLink="$HW$127" lockText="1" noThreeD="1"/>
</file>

<file path=xl/ctrlProps/ctrlProp116.xml><?xml version="1.0" encoding="utf-8"?>
<formControlPr xmlns="http://schemas.microsoft.com/office/spreadsheetml/2009/9/main" objectType="CheckBox" checked="Checked" fmlaLink="$HW$128" lockText="1" noThreeD="1"/>
</file>

<file path=xl/ctrlProps/ctrlProp117.xml><?xml version="1.0" encoding="utf-8"?>
<formControlPr xmlns="http://schemas.microsoft.com/office/spreadsheetml/2009/9/main" objectType="CheckBox" checked="Checked" fmlaLink="$HW$129" lockText="1" noThreeD="1"/>
</file>

<file path=xl/ctrlProps/ctrlProp118.xml><?xml version="1.0" encoding="utf-8"?>
<formControlPr xmlns="http://schemas.microsoft.com/office/spreadsheetml/2009/9/main" objectType="CheckBox" checked="Checked" fmlaLink="$HW$130" lockText="1" noThreeD="1"/>
</file>

<file path=xl/ctrlProps/ctrlProp119.xml><?xml version="1.0" encoding="utf-8"?>
<formControlPr xmlns="http://schemas.microsoft.com/office/spreadsheetml/2009/9/main" objectType="CheckBox" checked="Checked" fmlaLink="$HW$131" lockText="1" noThreeD="1"/>
</file>

<file path=xl/ctrlProps/ctrlProp12.xml><?xml version="1.0" encoding="utf-8"?>
<formControlPr xmlns="http://schemas.microsoft.com/office/spreadsheetml/2009/9/main" objectType="CheckBox" checked="Checked" fmlaLink="$HW$24" lockText="1" noThreeD="1"/>
</file>

<file path=xl/ctrlProps/ctrlProp120.xml><?xml version="1.0" encoding="utf-8"?>
<formControlPr xmlns="http://schemas.microsoft.com/office/spreadsheetml/2009/9/main" objectType="CheckBox" checked="Checked" fmlaLink="$HW$132" lockText="1" noThreeD="1"/>
</file>

<file path=xl/ctrlProps/ctrlProp121.xml><?xml version="1.0" encoding="utf-8"?>
<formControlPr xmlns="http://schemas.microsoft.com/office/spreadsheetml/2009/9/main" objectType="CheckBox" checked="Checked" fmlaLink="$HW$133" lockText="1" noThreeD="1"/>
</file>

<file path=xl/ctrlProps/ctrlProp122.xml><?xml version="1.0" encoding="utf-8"?>
<formControlPr xmlns="http://schemas.microsoft.com/office/spreadsheetml/2009/9/main" objectType="CheckBox" checked="Checked" fmlaLink="$HW$134" lockText="1" noThreeD="1"/>
</file>

<file path=xl/ctrlProps/ctrlProp123.xml><?xml version="1.0" encoding="utf-8"?>
<formControlPr xmlns="http://schemas.microsoft.com/office/spreadsheetml/2009/9/main" objectType="CheckBox" checked="Checked" fmlaLink="$HW$135" lockText="1" noThreeD="1"/>
</file>

<file path=xl/ctrlProps/ctrlProp124.xml><?xml version="1.0" encoding="utf-8"?>
<formControlPr xmlns="http://schemas.microsoft.com/office/spreadsheetml/2009/9/main" objectType="CheckBox" checked="Checked" fmlaLink="$HW$136" lockText="1" noThreeD="1"/>
</file>

<file path=xl/ctrlProps/ctrlProp125.xml><?xml version="1.0" encoding="utf-8"?>
<formControlPr xmlns="http://schemas.microsoft.com/office/spreadsheetml/2009/9/main" objectType="CheckBox" checked="Checked" fmlaLink="$HW$137" lockText="1" noThreeD="1"/>
</file>

<file path=xl/ctrlProps/ctrlProp126.xml><?xml version="1.0" encoding="utf-8"?>
<formControlPr xmlns="http://schemas.microsoft.com/office/spreadsheetml/2009/9/main" objectType="CheckBox" checked="Checked" fmlaLink="$HW$138" lockText="1" noThreeD="1"/>
</file>

<file path=xl/ctrlProps/ctrlProp127.xml><?xml version="1.0" encoding="utf-8"?>
<formControlPr xmlns="http://schemas.microsoft.com/office/spreadsheetml/2009/9/main" objectType="CheckBox" checked="Checked" fmlaLink="$HW$139" lockText="1" noThreeD="1"/>
</file>

<file path=xl/ctrlProps/ctrlProp128.xml><?xml version="1.0" encoding="utf-8"?>
<formControlPr xmlns="http://schemas.microsoft.com/office/spreadsheetml/2009/9/main" objectType="CheckBox" checked="Checked" fmlaLink="$HW$140" lockText="1" noThreeD="1"/>
</file>

<file path=xl/ctrlProps/ctrlProp129.xml><?xml version="1.0" encoding="utf-8"?>
<formControlPr xmlns="http://schemas.microsoft.com/office/spreadsheetml/2009/9/main" objectType="CheckBox" checked="Checked" fmlaLink="$HW$141" lockText="1" noThreeD="1"/>
</file>

<file path=xl/ctrlProps/ctrlProp13.xml><?xml version="1.0" encoding="utf-8"?>
<formControlPr xmlns="http://schemas.microsoft.com/office/spreadsheetml/2009/9/main" objectType="CheckBox" checked="Checked" fmlaLink="$HW$25" lockText="1" noThreeD="1"/>
</file>

<file path=xl/ctrlProps/ctrlProp130.xml><?xml version="1.0" encoding="utf-8"?>
<formControlPr xmlns="http://schemas.microsoft.com/office/spreadsheetml/2009/9/main" objectType="CheckBox" checked="Checked" fmlaLink="$HW$142" lockText="1" noThreeD="1"/>
</file>

<file path=xl/ctrlProps/ctrlProp131.xml><?xml version="1.0" encoding="utf-8"?>
<formControlPr xmlns="http://schemas.microsoft.com/office/spreadsheetml/2009/9/main" objectType="CheckBox" checked="Checked" fmlaLink="$HW$143" lockText="1" noThreeD="1"/>
</file>

<file path=xl/ctrlProps/ctrlProp132.xml><?xml version="1.0" encoding="utf-8"?>
<formControlPr xmlns="http://schemas.microsoft.com/office/spreadsheetml/2009/9/main" objectType="CheckBox" checked="Checked" fmlaLink="$HW$144" lockText="1" noThreeD="1"/>
</file>

<file path=xl/ctrlProps/ctrlProp133.xml><?xml version="1.0" encoding="utf-8"?>
<formControlPr xmlns="http://schemas.microsoft.com/office/spreadsheetml/2009/9/main" objectType="CheckBox" checked="Checked" fmlaLink="$HW$145" lockText="1" noThreeD="1"/>
</file>

<file path=xl/ctrlProps/ctrlProp134.xml><?xml version="1.0" encoding="utf-8"?>
<formControlPr xmlns="http://schemas.microsoft.com/office/spreadsheetml/2009/9/main" objectType="CheckBox" checked="Checked" fmlaLink="$HW$146" lockText="1" noThreeD="1"/>
</file>

<file path=xl/ctrlProps/ctrlProp135.xml><?xml version="1.0" encoding="utf-8"?>
<formControlPr xmlns="http://schemas.microsoft.com/office/spreadsheetml/2009/9/main" objectType="CheckBox" checked="Checked" fmlaLink="$HW$147" lockText="1" noThreeD="1"/>
</file>

<file path=xl/ctrlProps/ctrlProp136.xml><?xml version="1.0" encoding="utf-8"?>
<formControlPr xmlns="http://schemas.microsoft.com/office/spreadsheetml/2009/9/main" objectType="CheckBox" checked="Checked" fmlaLink="$HW$148" lockText="1" noThreeD="1"/>
</file>

<file path=xl/ctrlProps/ctrlProp137.xml><?xml version="1.0" encoding="utf-8"?>
<formControlPr xmlns="http://schemas.microsoft.com/office/spreadsheetml/2009/9/main" objectType="CheckBox" checked="Checked" fmlaLink="$HW$149" lockText="1" noThreeD="1"/>
</file>

<file path=xl/ctrlProps/ctrlProp138.xml><?xml version="1.0" encoding="utf-8"?>
<formControlPr xmlns="http://schemas.microsoft.com/office/spreadsheetml/2009/9/main" objectType="CheckBox" checked="Checked" fmlaLink="$HW$150" lockText="1" noThreeD="1"/>
</file>

<file path=xl/ctrlProps/ctrlProp139.xml><?xml version="1.0" encoding="utf-8"?>
<formControlPr xmlns="http://schemas.microsoft.com/office/spreadsheetml/2009/9/main" objectType="CheckBox" checked="Checked" fmlaLink="$HW$151" lockText="1" noThreeD="1"/>
</file>

<file path=xl/ctrlProps/ctrlProp14.xml><?xml version="1.0" encoding="utf-8"?>
<formControlPr xmlns="http://schemas.microsoft.com/office/spreadsheetml/2009/9/main" objectType="CheckBox" checked="Checked" fmlaLink="$HW$26" lockText="1" noThreeD="1"/>
</file>

<file path=xl/ctrlProps/ctrlProp140.xml><?xml version="1.0" encoding="utf-8"?>
<formControlPr xmlns="http://schemas.microsoft.com/office/spreadsheetml/2009/9/main" objectType="CheckBox" checked="Checked" fmlaLink="$HW$152" lockText="1" noThreeD="1"/>
</file>

<file path=xl/ctrlProps/ctrlProp141.xml><?xml version="1.0" encoding="utf-8"?>
<formControlPr xmlns="http://schemas.microsoft.com/office/spreadsheetml/2009/9/main" objectType="CheckBox" checked="Checked" fmlaLink="$HW$153" lockText="1" noThreeD="1"/>
</file>

<file path=xl/ctrlProps/ctrlProp142.xml><?xml version="1.0" encoding="utf-8"?>
<formControlPr xmlns="http://schemas.microsoft.com/office/spreadsheetml/2009/9/main" objectType="CheckBox" checked="Checked" fmlaLink="$HW$154" lockText="1" noThreeD="1"/>
</file>

<file path=xl/ctrlProps/ctrlProp143.xml><?xml version="1.0" encoding="utf-8"?>
<formControlPr xmlns="http://schemas.microsoft.com/office/spreadsheetml/2009/9/main" objectType="CheckBox" checked="Checked" fmlaLink="$HW$155" lockText="1" noThreeD="1"/>
</file>

<file path=xl/ctrlProps/ctrlProp144.xml><?xml version="1.0" encoding="utf-8"?>
<formControlPr xmlns="http://schemas.microsoft.com/office/spreadsheetml/2009/9/main" objectType="CheckBox" checked="Checked" fmlaLink="$HW$156" lockText="1" noThreeD="1"/>
</file>

<file path=xl/ctrlProps/ctrlProp145.xml><?xml version="1.0" encoding="utf-8"?>
<formControlPr xmlns="http://schemas.microsoft.com/office/spreadsheetml/2009/9/main" objectType="CheckBox" checked="Checked" fmlaLink="$HW$157" lockText="1" noThreeD="1"/>
</file>

<file path=xl/ctrlProps/ctrlProp146.xml><?xml version="1.0" encoding="utf-8"?>
<formControlPr xmlns="http://schemas.microsoft.com/office/spreadsheetml/2009/9/main" objectType="CheckBox" checked="Checked" fmlaLink="$HW$158" lockText="1" noThreeD="1"/>
</file>

<file path=xl/ctrlProps/ctrlProp147.xml><?xml version="1.0" encoding="utf-8"?>
<formControlPr xmlns="http://schemas.microsoft.com/office/spreadsheetml/2009/9/main" objectType="CheckBox" checked="Checked" fmlaLink="$HW$159" lockText="1" noThreeD="1"/>
</file>

<file path=xl/ctrlProps/ctrlProp148.xml><?xml version="1.0" encoding="utf-8"?>
<formControlPr xmlns="http://schemas.microsoft.com/office/spreadsheetml/2009/9/main" objectType="CheckBox" checked="Checked" fmlaLink="$HW$160" lockText="1" noThreeD="1"/>
</file>

<file path=xl/ctrlProps/ctrlProp149.xml><?xml version="1.0" encoding="utf-8"?>
<formControlPr xmlns="http://schemas.microsoft.com/office/spreadsheetml/2009/9/main" objectType="CheckBox" checked="Checked" fmlaLink="$HW$161" lockText="1" noThreeD="1"/>
</file>

<file path=xl/ctrlProps/ctrlProp15.xml><?xml version="1.0" encoding="utf-8"?>
<formControlPr xmlns="http://schemas.microsoft.com/office/spreadsheetml/2009/9/main" objectType="CheckBox" checked="Checked" fmlaLink="$HW$27" lockText="1" noThreeD="1"/>
</file>

<file path=xl/ctrlProps/ctrlProp150.xml><?xml version="1.0" encoding="utf-8"?>
<formControlPr xmlns="http://schemas.microsoft.com/office/spreadsheetml/2009/9/main" objectType="CheckBox" checked="Checked" fmlaLink="$HW$162" lockText="1" noThreeD="1"/>
</file>

<file path=xl/ctrlProps/ctrlProp151.xml><?xml version="1.0" encoding="utf-8"?>
<formControlPr xmlns="http://schemas.microsoft.com/office/spreadsheetml/2009/9/main" objectType="CheckBox" checked="Checked" fmlaLink="$HW$163" lockText="1" noThreeD="1"/>
</file>

<file path=xl/ctrlProps/ctrlProp152.xml><?xml version="1.0" encoding="utf-8"?>
<formControlPr xmlns="http://schemas.microsoft.com/office/spreadsheetml/2009/9/main" objectType="CheckBox" checked="Checked" fmlaLink="$HW$164" lockText="1" noThreeD="1"/>
</file>

<file path=xl/ctrlProps/ctrlProp153.xml><?xml version="1.0" encoding="utf-8"?>
<formControlPr xmlns="http://schemas.microsoft.com/office/spreadsheetml/2009/9/main" objectType="CheckBox" checked="Checked" fmlaLink="$HW$165" lockText="1" noThreeD="1"/>
</file>

<file path=xl/ctrlProps/ctrlProp154.xml><?xml version="1.0" encoding="utf-8"?>
<formControlPr xmlns="http://schemas.microsoft.com/office/spreadsheetml/2009/9/main" objectType="CheckBox" checked="Checked" fmlaLink="$HW$166" lockText="1" noThreeD="1"/>
</file>

<file path=xl/ctrlProps/ctrlProp155.xml><?xml version="1.0" encoding="utf-8"?>
<formControlPr xmlns="http://schemas.microsoft.com/office/spreadsheetml/2009/9/main" objectType="CheckBox" checked="Checked" fmlaLink="$HW$167" lockText="1" noThreeD="1"/>
</file>

<file path=xl/ctrlProps/ctrlProp156.xml><?xml version="1.0" encoding="utf-8"?>
<formControlPr xmlns="http://schemas.microsoft.com/office/spreadsheetml/2009/9/main" objectType="CheckBox" checked="Checked" fmlaLink="$HW$168" lockText="1" noThreeD="1"/>
</file>

<file path=xl/ctrlProps/ctrlProp157.xml><?xml version="1.0" encoding="utf-8"?>
<formControlPr xmlns="http://schemas.microsoft.com/office/spreadsheetml/2009/9/main" objectType="CheckBox" checked="Checked" fmlaLink="$HW$169" lockText="1" noThreeD="1"/>
</file>

<file path=xl/ctrlProps/ctrlProp158.xml><?xml version="1.0" encoding="utf-8"?>
<formControlPr xmlns="http://schemas.microsoft.com/office/spreadsheetml/2009/9/main" objectType="CheckBox" checked="Checked" fmlaLink="$HW$170" lockText="1" noThreeD="1"/>
</file>

<file path=xl/ctrlProps/ctrlProp159.xml><?xml version="1.0" encoding="utf-8"?>
<formControlPr xmlns="http://schemas.microsoft.com/office/spreadsheetml/2009/9/main" objectType="CheckBox" checked="Checked" fmlaLink="$HW$171" lockText="1" noThreeD="1"/>
</file>

<file path=xl/ctrlProps/ctrlProp16.xml><?xml version="1.0" encoding="utf-8"?>
<formControlPr xmlns="http://schemas.microsoft.com/office/spreadsheetml/2009/9/main" objectType="CheckBox" checked="Checked" fmlaLink="$HW$28" lockText="1" noThreeD="1"/>
</file>

<file path=xl/ctrlProps/ctrlProp160.xml><?xml version="1.0" encoding="utf-8"?>
<formControlPr xmlns="http://schemas.microsoft.com/office/spreadsheetml/2009/9/main" objectType="CheckBox" checked="Checked" fmlaLink="$HW$172" lockText="1" noThreeD="1"/>
</file>

<file path=xl/ctrlProps/ctrlProp161.xml><?xml version="1.0" encoding="utf-8"?>
<formControlPr xmlns="http://schemas.microsoft.com/office/spreadsheetml/2009/9/main" objectType="CheckBox" checked="Checked" fmlaLink="$HW$173" lockText="1" noThreeD="1"/>
</file>

<file path=xl/ctrlProps/ctrlProp162.xml><?xml version="1.0" encoding="utf-8"?>
<formControlPr xmlns="http://schemas.microsoft.com/office/spreadsheetml/2009/9/main" objectType="CheckBox" checked="Checked" fmlaLink="$HW$174" lockText="1" noThreeD="1"/>
</file>

<file path=xl/ctrlProps/ctrlProp163.xml><?xml version="1.0" encoding="utf-8"?>
<formControlPr xmlns="http://schemas.microsoft.com/office/spreadsheetml/2009/9/main" objectType="CheckBox" checked="Checked" fmlaLink="$HW$175" lockText="1" noThreeD="1"/>
</file>

<file path=xl/ctrlProps/ctrlProp164.xml><?xml version="1.0" encoding="utf-8"?>
<formControlPr xmlns="http://schemas.microsoft.com/office/spreadsheetml/2009/9/main" objectType="CheckBox" checked="Checked" fmlaLink="$HW$176" lockText="1" noThreeD="1"/>
</file>

<file path=xl/ctrlProps/ctrlProp165.xml><?xml version="1.0" encoding="utf-8"?>
<formControlPr xmlns="http://schemas.microsoft.com/office/spreadsheetml/2009/9/main" objectType="CheckBox" checked="Checked" fmlaLink="$HW$177" lockText="1" noThreeD="1"/>
</file>

<file path=xl/ctrlProps/ctrlProp166.xml><?xml version="1.0" encoding="utf-8"?>
<formControlPr xmlns="http://schemas.microsoft.com/office/spreadsheetml/2009/9/main" objectType="CheckBox" checked="Checked" fmlaLink="$HW$178" lockText="1" noThreeD="1"/>
</file>

<file path=xl/ctrlProps/ctrlProp167.xml><?xml version="1.0" encoding="utf-8"?>
<formControlPr xmlns="http://schemas.microsoft.com/office/spreadsheetml/2009/9/main" objectType="CheckBox" checked="Checked" fmlaLink="$HW$179" lockText="1" noThreeD="1"/>
</file>

<file path=xl/ctrlProps/ctrlProp168.xml><?xml version="1.0" encoding="utf-8"?>
<formControlPr xmlns="http://schemas.microsoft.com/office/spreadsheetml/2009/9/main" objectType="CheckBox" checked="Checked" fmlaLink="$HW$180" lockText="1" noThreeD="1"/>
</file>

<file path=xl/ctrlProps/ctrlProp169.xml><?xml version="1.0" encoding="utf-8"?>
<formControlPr xmlns="http://schemas.microsoft.com/office/spreadsheetml/2009/9/main" objectType="CheckBox" checked="Checked" fmlaLink="$HW$181" lockText="1" noThreeD="1"/>
</file>

<file path=xl/ctrlProps/ctrlProp17.xml><?xml version="1.0" encoding="utf-8"?>
<formControlPr xmlns="http://schemas.microsoft.com/office/spreadsheetml/2009/9/main" objectType="CheckBox" checked="Checked" fmlaLink="$HW$29" lockText="1" noThreeD="1"/>
</file>

<file path=xl/ctrlProps/ctrlProp170.xml><?xml version="1.0" encoding="utf-8"?>
<formControlPr xmlns="http://schemas.microsoft.com/office/spreadsheetml/2009/9/main" objectType="CheckBox" checked="Checked" fmlaLink="$HW$182" lockText="1" noThreeD="1"/>
</file>

<file path=xl/ctrlProps/ctrlProp171.xml><?xml version="1.0" encoding="utf-8"?>
<formControlPr xmlns="http://schemas.microsoft.com/office/spreadsheetml/2009/9/main" objectType="CheckBox" checked="Checked" fmlaLink="$HW$183" lockText="1" noThreeD="1"/>
</file>

<file path=xl/ctrlProps/ctrlProp172.xml><?xml version="1.0" encoding="utf-8"?>
<formControlPr xmlns="http://schemas.microsoft.com/office/spreadsheetml/2009/9/main" objectType="CheckBox" checked="Checked" fmlaLink="$HW$184" lockText="1" noThreeD="1"/>
</file>

<file path=xl/ctrlProps/ctrlProp173.xml><?xml version="1.0" encoding="utf-8"?>
<formControlPr xmlns="http://schemas.microsoft.com/office/spreadsheetml/2009/9/main" objectType="CheckBox" checked="Checked" fmlaLink="$HW$185" lockText="1" noThreeD="1"/>
</file>

<file path=xl/ctrlProps/ctrlProp174.xml><?xml version="1.0" encoding="utf-8"?>
<formControlPr xmlns="http://schemas.microsoft.com/office/spreadsheetml/2009/9/main" objectType="CheckBox" checked="Checked" fmlaLink="$HW$186" lockText="1" noThreeD="1"/>
</file>

<file path=xl/ctrlProps/ctrlProp175.xml><?xml version="1.0" encoding="utf-8"?>
<formControlPr xmlns="http://schemas.microsoft.com/office/spreadsheetml/2009/9/main" objectType="CheckBox" checked="Checked" fmlaLink="$HW$187" lockText="1" noThreeD="1"/>
</file>

<file path=xl/ctrlProps/ctrlProp176.xml><?xml version="1.0" encoding="utf-8"?>
<formControlPr xmlns="http://schemas.microsoft.com/office/spreadsheetml/2009/9/main" objectType="CheckBox" checked="Checked" fmlaLink="$HW$188" lockText="1" noThreeD="1"/>
</file>

<file path=xl/ctrlProps/ctrlProp177.xml><?xml version="1.0" encoding="utf-8"?>
<formControlPr xmlns="http://schemas.microsoft.com/office/spreadsheetml/2009/9/main" objectType="CheckBox" checked="Checked" fmlaLink="$HW$189" lockText="1" noThreeD="1"/>
</file>

<file path=xl/ctrlProps/ctrlProp178.xml><?xml version="1.0" encoding="utf-8"?>
<formControlPr xmlns="http://schemas.microsoft.com/office/spreadsheetml/2009/9/main" objectType="CheckBox" checked="Checked" fmlaLink="$HW$190" lockText="1" noThreeD="1"/>
</file>

<file path=xl/ctrlProps/ctrlProp179.xml><?xml version="1.0" encoding="utf-8"?>
<formControlPr xmlns="http://schemas.microsoft.com/office/spreadsheetml/2009/9/main" objectType="CheckBox" checked="Checked" fmlaLink="$HW$191" lockText="1" noThreeD="1"/>
</file>

<file path=xl/ctrlProps/ctrlProp18.xml><?xml version="1.0" encoding="utf-8"?>
<formControlPr xmlns="http://schemas.microsoft.com/office/spreadsheetml/2009/9/main" objectType="CheckBox" checked="Checked" fmlaLink="$HW$30" lockText="1" noThreeD="1"/>
</file>

<file path=xl/ctrlProps/ctrlProp180.xml><?xml version="1.0" encoding="utf-8"?>
<formControlPr xmlns="http://schemas.microsoft.com/office/spreadsheetml/2009/9/main" objectType="CheckBox" checked="Checked" fmlaLink="$HW$192" lockText="1" noThreeD="1"/>
</file>

<file path=xl/ctrlProps/ctrlProp181.xml><?xml version="1.0" encoding="utf-8"?>
<formControlPr xmlns="http://schemas.microsoft.com/office/spreadsheetml/2009/9/main" objectType="CheckBox" checked="Checked" fmlaLink="$HW$193" lockText="1" noThreeD="1"/>
</file>

<file path=xl/ctrlProps/ctrlProp182.xml><?xml version="1.0" encoding="utf-8"?>
<formControlPr xmlns="http://schemas.microsoft.com/office/spreadsheetml/2009/9/main" objectType="CheckBox" checked="Checked" fmlaLink="$HW$194" lockText="1" noThreeD="1"/>
</file>

<file path=xl/ctrlProps/ctrlProp183.xml><?xml version="1.0" encoding="utf-8"?>
<formControlPr xmlns="http://schemas.microsoft.com/office/spreadsheetml/2009/9/main" objectType="CheckBox" checked="Checked" fmlaLink="$HW$195" lockText="1" noThreeD="1"/>
</file>

<file path=xl/ctrlProps/ctrlProp184.xml><?xml version="1.0" encoding="utf-8"?>
<formControlPr xmlns="http://schemas.microsoft.com/office/spreadsheetml/2009/9/main" objectType="CheckBox" checked="Checked" fmlaLink="$HW$196" lockText="1" noThreeD="1"/>
</file>

<file path=xl/ctrlProps/ctrlProp185.xml><?xml version="1.0" encoding="utf-8"?>
<formControlPr xmlns="http://schemas.microsoft.com/office/spreadsheetml/2009/9/main" objectType="CheckBox" checked="Checked" fmlaLink="$HW$197" lockText="1" noThreeD="1"/>
</file>

<file path=xl/ctrlProps/ctrlProp186.xml><?xml version="1.0" encoding="utf-8"?>
<formControlPr xmlns="http://schemas.microsoft.com/office/spreadsheetml/2009/9/main" objectType="CheckBox" checked="Checked" fmlaLink="$HW$198" lockText="1" noThreeD="1"/>
</file>

<file path=xl/ctrlProps/ctrlProp187.xml><?xml version="1.0" encoding="utf-8"?>
<formControlPr xmlns="http://schemas.microsoft.com/office/spreadsheetml/2009/9/main" objectType="CheckBox" checked="Checked" fmlaLink="$HW$199" lockText="1" noThreeD="1"/>
</file>

<file path=xl/ctrlProps/ctrlProp188.xml><?xml version="1.0" encoding="utf-8"?>
<formControlPr xmlns="http://schemas.microsoft.com/office/spreadsheetml/2009/9/main" objectType="CheckBox" checked="Checked" fmlaLink="$HW$200" lockText="1" noThreeD="1"/>
</file>

<file path=xl/ctrlProps/ctrlProp189.xml><?xml version="1.0" encoding="utf-8"?>
<formControlPr xmlns="http://schemas.microsoft.com/office/spreadsheetml/2009/9/main" objectType="CheckBox" checked="Checked" fmlaLink="$HW$201" lockText="1" noThreeD="1"/>
</file>

<file path=xl/ctrlProps/ctrlProp19.xml><?xml version="1.0" encoding="utf-8"?>
<formControlPr xmlns="http://schemas.microsoft.com/office/spreadsheetml/2009/9/main" objectType="CheckBox" checked="Checked" fmlaLink="$HW$31" lockText="1" noThreeD="1"/>
</file>

<file path=xl/ctrlProps/ctrlProp190.xml><?xml version="1.0" encoding="utf-8"?>
<formControlPr xmlns="http://schemas.microsoft.com/office/spreadsheetml/2009/9/main" objectType="CheckBox" checked="Checked" fmlaLink="$HW$202" lockText="1" noThreeD="1"/>
</file>

<file path=xl/ctrlProps/ctrlProp191.xml><?xml version="1.0" encoding="utf-8"?>
<formControlPr xmlns="http://schemas.microsoft.com/office/spreadsheetml/2009/9/main" objectType="CheckBox" checked="Checked" fmlaLink="$HW$203" lockText="1" noThreeD="1"/>
</file>

<file path=xl/ctrlProps/ctrlProp192.xml><?xml version="1.0" encoding="utf-8"?>
<formControlPr xmlns="http://schemas.microsoft.com/office/spreadsheetml/2009/9/main" objectType="CheckBox" checked="Checked" fmlaLink="$HW$204" lockText="1" noThreeD="1"/>
</file>

<file path=xl/ctrlProps/ctrlProp193.xml><?xml version="1.0" encoding="utf-8"?>
<formControlPr xmlns="http://schemas.microsoft.com/office/spreadsheetml/2009/9/main" objectType="CheckBox" checked="Checked" fmlaLink="$HW$205" lockText="1" noThreeD="1"/>
</file>

<file path=xl/ctrlProps/ctrlProp194.xml><?xml version="1.0" encoding="utf-8"?>
<formControlPr xmlns="http://schemas.microsoft.com/office/spreadsheetml/2009/9/main" objectType="CheckBox" checked="Checked" fmlaLink="$HW$206" lockText="1" noThreeD="1"/>
</file>

<file path=xl/ctrlProps/ctrlProp195.xml><?xml version="1.0" encoding="utf-8"?>
<formControlPr xmlns="http://schemas.microsoft.com/office/spreadsheetml/2009/9/main" objectType="CheckBox" checked="Checked" fmlaLink="$HW$207" lockText="1" noThreeD="1"/>
</file>

<file path=xl/ctrlProps/ctrlProp196.xml><?xml version="1.0" encoding="utf-8"?>
<formControlPr xmlns="http://schemas.microsoft.com/office/spreadsheetml/2009/9/main" objectType="CheckBox" checked="Checked" fmlaLink="$HW$208" lockText="1" noThreeD="1"/>
</file>

<file path=xl/ctrlProps/ctrlProp197.xml><?xml version="1.0" encoding="utf-8"?>
<formControlPr xmlns="http://schemas.microsoft.com/office/spreadsheetml/2009/9/main" objectType="CheckBox" checked="Checked" fmlaLink="$HW$209" lockText="1" noThreeD="1"/>
</file>

<file path=xl/ctrlProps/ctrlProp198.xml><?xml version="1.0" encoding="utf-8"?>
<formControlPr xmlns="http://schemas.microsoft.com/office/spreadsheetml/2009/9/main" objectType="CheckBox" checked="Checked" fmlaLink="$HW$210" lockText="1" noThreeD="1"/>
</file>

<file path=xl/ctrlProps/ctrlProp199.xml><?xml version="1.0" encoding="utf-8"?>
<formControlPr xmlns="http://schemas.microsoft.com/office/spreadsheetml/2009/9/main" objectType="CheckBox" checked="Checked" fmlaLink="$HW$211"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checked="Checked" fmlaLink="$HW$32" lockText="1" noThreeD="1"/>
</file>

<file path=xl/ctrlProps/ctrlProp200.xml><?xml version="1.0" encoding="utf-8"?>
<formControlPr xmlns="http://schemas.microsoft.com/office/spreadsheetml/2009/9/main" objectType="CheckBox" checked="Checked" fmlaLink="$HW$212" lockText="1" noThreeD="1"/>
</file>

<file path=xl/ctrlProps/ctrlProp201.xml><?xml version="1.0" encoding="utf-8"?>
<formControlPr xmlns="http://schemas.microsoft.com/office/spreadsheetml/2009/9/main" objectType="CheckBox" checked="Checked" fmlaLink="$HW$213" lockText="1" noThreeD="1"/>
</file>

<file path=xl/ctrlProps/ctrlProp202.xml><?xml version="1.0" encoding="utf-8"?>
<formControlPr xmlns="http://schemas.microsoft.com/office/spreadsheetml/2009/9/main" objectType="CheckBox" checked="Checked" fmlaLink="$HW$214" lockText="1" noThreeD="1"/>
</file>

<file path=xl/ctrlProps/ctrlProp203.xml><?xml version="1.0" encoding="utf-8"?>
<formControlPr xmlns="http://schemas.microsoft.com/office/spreadsheetml/2009/9/main" objectType="CheckBox" checked="Checked" fmlaLink="$HW$215" lockText="1" noThreeD="1"/>
</file>

<file path=xl/ctrlProps/ctrlProp204.xml><?xml version="1.0" encoding="utf-8"?>
<formControlPr xmlns="http://schemas.microsoft.com/office/spreadsheetml/2009/9/main" objectType="CheckBox" checked="Checked" fmlaLink="$HW$216" lockText="1" noThreeD="1"/>
</file>

<file path=xl/ctrlProps/ctrlProp205.xml><?xml version="1.0" encoding="utf-8"?>
<formControlPr xmlns="http://schemas.microsoft.com/office/spreadsheetml/2009/9/main" objectType="CheckBox" checked="Checked" fmlaLink="$HW$217" lockText="1" noThreeD="1"/>
</file>

<file path=xl/ctrlProps/ctrlProp206.xml><?xml version="1.0" encoding="utf-8"?>
<formControlPr xmlns="http://schemas.microsoft.com/office/spreadsheetml/2009/9/main" objectType="CheckBox" checked="Checked" fmlaLink="$HW$218" lockText="1" noThreeD="1"/>
</file>

<file path=xl/ctrlProps/ctrlProp207.xml><?xml version="1.0" encoding="utf-8"?>
<formControlPr xmlns="http://schemas.microsoft.com/office/spreadsheetml/2009/9/main" objectType="CheckBox" checked="Checked" fmlaLink="$HW$219" lockText="1" noThreeD="1"/>
</file>

<file path=xl/ctrlProps/ctrlProp208.xml><?xml version="1.0" encoding="utf-8"?>
<formControlPr xmlns="http://schemas.microsoft.com/office/spreadsheetml/2009/9/main" objectType="CheckBox" checked="Checked" fmlaLink="$HW$220" lockText="1" noThreeD="1"/>
</file>

<file path=xl/ctrlProps/ctrlProp209.xml><?xml version="1.0" encoding="utf-8"?>
<formControlPr xmlns="http://schemas.microsoft.com/office/spreadsheetml/2009/9/main" objectType="CheckBox" checked="Checked" fmlaLink="$HW$221" lockText="1" noThreeD="1"/>
</file>

<file path=xl/ctrlProps/ctrlProp21.xml><?xml version="1.0" encoding="utf-8"?>
<formControlPr xmlns="http://schemas.microsoft.com/office/spreadsheetml/2009/9/main" objectType="CheckBox" checked="Checked" fmlaLink="$HW$33" lockText="1" noThreeD="1"/>
</file>

<file path=xl/ctrlProps/ctrlProp210.xml><?xml version="1.0" encoding="utf-8"?>
<formControlPr xmlns="http://schemas.microsoft.com/office/spreadsheetml/2009/9/main" objectType="CheckBox" checked="Checked" fmlaLink="$HW$222" lockText="1" noThreeD="1"/>
</file>

<file path=xl/ctrlProps/ctrlProp211.xml><?xml version="1.0" encoding="utf-8"?>
<formControlPr xmlns="http://schemas.microsoft.com/office/spreadsheetml/2009/9/main" objectType="CheckBox" checked="Checked" fmlaLink="$HW$223" lockText="1" noThreeD="1"/>
</file>

<file path=xl/ctrlProps/ctrlProp212.xml><?xml version="1.0" encoding="utf-8"?>
<formControlPr xmlns="http://schemas.microsoft.com/office/spreadsheetml/2009/9/main" objectType="CheckBox" checked="Checked" fmlaLink="$HW$224" lockText="1" noThreeD="1"/>
</file>

<file path=xl/ctrlProps/ctrlProp213.xml><?xml version="1.0" encoding="utf-8"?>
<formControlPr xmlns="http://schemas.microsoft.com/office/spreadsheetml/2009/9/main" objectType="CheckBox" checked="Checked" fmlaLink="$HW$225" lockText="1" noThreeD="1"/>
</file>

<file path=xl/ctrlProps/ctrlProp214.xml><?xml version="1.0" encoding="utf-8"?>
<formControlPr xmlns="http://schemas.microsoft.com/office/spreadsheetml/2009/9/main" objectType="CheckBox" checked="Checked" fmlaLink="$HW$226" lockText="1" noThreeD="1"/>
</file>

<file path=xl/ctrlProps/ctrlProp215.xml><?xml version="1.0" encoding="utf-8"?>
<formControlPr xmlns="http://schemas.microsoft.com/office/spreadsheetml/2009/9/main" objectType="CheckBox" checked="Checked" fmlaLink="$HW$227" lockText="1" noThreeD="1"/>
</file>

<file path=xl/ctrlProps/ctrlProp216.xml><?xml version="1.0" encoding="utf-8"?>
<formControlPr xmlns="http://schemas.microsoft.com/office/spreadsheetml/2009/9/main" objectType="CheckBox" checked="Checked" fmlaLink="$HW$228" lockText="1" noThreeD="1"/>
</file>

<file path=xl/ctrlProps/ctrlProp217.xml><?xml version="1.0" encoding="utf-8"?>
<formControlPr xmlns="http://schemas.microsoft.com/office/spreadsheetml/2009/9/main" objectType="CheckBox" checked="Checked" fmlaLink="$HW$229" lockText="1" noThreeD="1"/>
</file>

<file path=xl/ctrlProps/ctrlProp218.xml><?xml version="1.0" encoding="utf-8"?>
<formControlPr xmlns="http://schemas.microsoft.com/office/spreadsheetml/2009/9/main" objectType="CheckBox" checked="Checked" fmlaLink="$HW$230" lockText="1" noThreeD="1"/>
</file>

<file path=xl/ctrlProps/ctrlProp219.xml><?xml version="1.0" encoding="utf-8"?>
<formControlPr xmlns="http://schemas.microsoft.com/office/spreadsheetml/2009/9/main" objectType="CheckBox" checked="Checked" fmlaLink="$HW$231" lockText="1" noThreeD="1"/>
</file>

<file path=xl/ctrlProps/ctrlProp22.xml><?xml version="1.0" encoding="utf-8"?>
<formControlPr xmlns="http://schemas.microsoft.com/office/spreadsheetml/2009/9/main" objectType="CheckBox" checked="Checked" fmlaLink="$HW$34" lockText="1" noThreeD="1"/>
</file>

<file path=xl/ctrlProps/ctrlProp220.xml><?xml version="1.0" encoding="utf-8"?>
<formControlPr xmlns="http://schemas.microsoft.com/office/spreadsheetml/2009/9/main" objectType="CheckBox" checked="Checked" fmlaLink="$HW$232" lockText="1" noThreeD="1"/>
</file>

<file path=xl/ctrlProps/ctrlProp221.xml><?xml version="1.0" encoding="utf-8"?>
<formControlPr xmlns="http://schemas.microsoft.com/office/spreadsheetml/2009/9/main" objectType="CheckBox" checked="Checked" fmlaLink="$HW$233" lockText="1" noThreeD="1"/>
</file>

<file path=xl/ctrlProps/ctrlProp222.xml><?xml version="1.0" encoding="utf-8"?>
<formControlPr xmlns="http://schemas.microsoft.com/office/spreadsheetml/2009/9/main" objectType="CheckBox" checked="Checked" fmlaLink="$HW$234" lockText="1" noThreeD="1"/>
</file>

<file path=xl/ctrlProps/ctrlProp223.xml><?xml version="1.0" encoding="utf-8"?>
<formControlPr xmlns="http://schemas.microsoft.com/office/spreadsheetml/2009/9/main" objectType="CheckBox" checked="Checked" fmlaLink="$HW$235" lockText="1" noThreeD="1"/>
</file>

<file path=xl/ctrlProps/ctrlProp224.xml><?xml version="1.0" encoding="utf-8"?>
<formControlPr xmlns="http://schemas.microsoft.com/office/spreadsheetml/2009/9/main" objectType="CheckBox" checked="Checked" fmlaLink="$HW$236" lockText="1" noThreeD="1"/>
</file>

<file path=xl/ctrlProps/ctrlProp225.xml><?xml version="1.0" encoding="utf-8"?>
<formControlPr xmlns="http://schemas.microsoft.com/office/spreadsheetml/2009/9/main" objectType="CheckBox" checked="Checked" fmlaLink="$HW$237" lockText="1" noThreeD="1"/>
</file>

<file path=xl/ctrlProps/ctrlProp226.xml><?xml version="1.0" encoding="utf-8"?>
<formControlPr xmlns="http://schemas.microsoft.com/office/spreadsheetml/2009/9/main" objectType="CheckBox" checked="Checked" fmlaLink="$HW$238" lockText="1" noThreeD="1"/>
</file>

<file path=xl/ctrlProps/ctrlProp227.xml><?xml version="1.0" encoding="utf-8"?>
<formControlPr xmlns="http://schemas.microsoft.com/office/spreadsheetml/2009/9/main" objectType="CheckBox" checked="Checked" fmlaLink="$HW$239" lockText="1" noThreeD="1"/>
</file>

<file path=xl/ctrlProps/ctrlProp228.xml><?xml version="1.0" encoding="utf-8"?>
<formControlPr xmlns="http://schemas.microsoft.com/office/spreadsheetml/2009/9/main" objectType="CheckBox" checked="Checked" fmlaLink="$HW$240" lockText="1" noThreeD="1"/>
</file>

<file path=xl/ctrlProps/ctrlProp229.xml><?xml version="1.0" encoding="utf-8"?>
<formControlPr xmlns="http://schemas.microsoft.com/office/spreadsheetml/2009/9/main" objectType="CheckBox" checked="Checked" fmlaLink="$HW$241" lockText="1" noThreeD="1"/>
</file>

<file path=xl/ctrlProps/ctrlProp23.xml><?xml version="1.0" encoding="utf-8"?>
<formControlPr xmlns="http://schemas.microsoft.com/office/spreadsheetml/2009/9/main" objectType="CheckBox" checked="Checked" fmlaLink="$HW$35" lockText="1" noThreeD="1"/>
</file>

<file path=xl/ctrlProps/ctrlProp230.xml><?xml version="1.0" encoding="utf-8"?>
<formControlPr xmlns="http://schemas.microsoft.com/office/spreadsheetml/2009/9/main" objectType="CheckBox" checked="Checked" fmlaLink="$HW$242" lockText="1" noThreeD="1"/>
</file>

<file path=xl/ctrlProps/ctrlProp231.xml><?xml version="1.0" encoding="utf-8"?>
<formControlPr xmlns="http://schemas.microsoft.com/office/spreadsheetml/2009/9/main" objectType="CheckBox" checked="Checked" fmlaLink="$HW$243" lockText="1" noThreeD="1"/>
</file>

<file path=xl/ctrlProps/ctrlProp232.xml><?xml version="1.0" encoding="utf-8"?>
<formControlPr xmlns="http://schemas.microsoft.com/office/spreadsheetml/2009/9/main" objectType="CheckBox" checked="Checked" fmlaLink="$HW$244" lockText="1" noThreeD="1"/>
</file>

<file path=xl/ctrlProps/ctrlProp233.xml><?xml version="1.0" encoding="utf-8"?>
<formControlPr xmlns="http://schemas.microsoft.com/office/spreadsheetml/2009/9/main" objectType="CheckBox" checked="Checked" fmlaLink="$HW$245" lockText="1" noThreeD="1"/>
</file>

<file path=xl/ctrlProps/ctrlProp234.xml><?xml version="1.0" encoding="utf-8"?>
<formControlPr xmlns="http://schemas.microsoft.com/office/spreadsheetml/2009/9/main" objectType="CheckBox" checked="Checked" fmlaLink="$HW$246" lockText="1" noThreeD="1"/>
</file>

<file path=xl/ctrlProps/ctrlProp235.xml><?xml version="1.0" encoding="utf-8"?>
<formControlPr xmlns="http://schemas.microsoft.com/office/spreadsheetml/2009/9/main" objectType="CheckBox" checked="Checked" fmlaLink="$HW$247" lockText="1" noThreeD="1"/>
</file>

<file path=xl/ctrlProps/ctrlProp236.xml><?xml version="1.0" encoding="utf-8"?>
<formControlPr xmlns="http://schemas.microsoft.com/office/spreadsheetml/2009/9/main" objectType="CheckBox" checked="Checked" fmlaLink="$HW$248" lockText="1" noThreeD="1"/>
</file>

<file path=xl/ctrlProps/ctrlProp237.xml><?xml version="1.0" encoding="utf-8"?>
<formControlPr xmlns="http://schemas.microsoft.com/office/spreadsheetml/2009/9/main" objectType="CheckBox" checked="Checked" fmlaLink="$HW$249" lockText="1" noThreeD="1"/>
</file>

<file path=xl/ctrlProps/ctrlProp238.xml><?xml version="1.0" encoding="utf-8"?>
<formControlPr xmlns="http://schemas.microsoft.com/office/spreadsheetml/2009/9/main" objectType="CheckBox" checked="Checked" fmlaLink="$HW$250" lockText="1" noThreeD="1"/>
</file>

<file path=xl/ctrlProps/ctrlProp239.xml><?xml version="1.0" encoding="utf-8"?>
<formControlPr xmlns="http://schemas.microsoft.com/office/spreadsheetml/2009/9/main" objectType="CheckBox" checked="Checked" fmlaLink="$HW$251" lockText="1" noThreeD="1"/>
</file>

<file path=xl/ctrlProps/ctrlProp24.xml><?xml version="1.0" encoding="utf-8"?>
<formControlPr xmlns="http://schemas.microsoft.com/office/spreadsheetml/2009/9/main" objectType="CheckBox" checked="Checked" fmlaLink="$HW$36" lockText="1" noThreeD="1"/>
</file>

<file path=xl/ctrlProps/ctrlProp240.xml><?xml version="1.0" encoding="utf-8"?>
<formControlPr xmlns="http://schemas.microsoft.com/office/spreadsheetml/2009/9/main" objectType="CheckBox" checked="Checked" fmlaLink="$HW$252" lockText="1" noThreeD="1"/>
</file>

<file path=xl/ctrlProps/ctrlProp241.xml><?xml version="1.0" encoding="utf-8"?>
<formControlPr xmlns="http://schemas.microsoft.com/office/spreadsheetml/2009/9/main" objectType="CheckBox" checked="Checked" fmlaLink="$HW$253" lockText="1" noThreeD="1"/>
</file>

<file path=xl/ctrlProps/ctrlProp242.xml><?xml version="1.0" encoding="utf-8"?>
<formControlPr xmlns="http://schemas.microsoft.com/office/spreadsheetml/2009/9/main" objectType="CheckBox" checked="Checked" fmlaLink="$HW$254" lockText="1" noThreeD="1"/>
</file>

<file path=xl/ctrlProps/ctrlProp243.xml><?xml version="1.0" encoding="utf-8"?>
<formControlPr xmlns="http://schemas.microsoft.com/office/spreadsheetml/2009/9/main" objectType="CheckBox" checked="Checked" fmlaLink="$HW$255" lockText="1" noThreeD="1"/>
</file>

<file path=xl/ctrlProps/ctrlProp244.xml><?xml version="1.0" encoding="utf-8"?>
<formControlPr xmlns="http://schemas.microsoft.com/office/spreadsheetml/2009/9/main" objectType="CheckBox" checked="Checked" fmlaLink="$HW$256" lockText="1" noThreeD="1"/>
</file>

<file path=xl/ctrlProps/ctrlProp245.xml><?xml version="1.0" encoding="utf-8"?>
<formControlPr xmlns="http://schemas.microsoft.com/office/spreadsheetml/2009/9/main" objectType="CheckBox" checked="Checked" fmlaLink="$HW$257" lockText="1" noThreeD="1"/>
</file>

<file path=xl/ctrlProps/ctrlProp246.xml><?xml version="1.0" encoding="utf-8"?>
<formControlPr xmlns="http://schemas.microsoft.com/office/spreadsheetml/2009/9/main" objectType="CheckBox" checked="Checked" fmlaLink="$HW$258" lockText="1" noThreeD="1"/>
</file>

<file path=xl/ctrlProps/ctrlProp247.xml><?xml version="1.0" encoding="utf-8"?>
<formControlPr xmlns="http://schemas.microsoft.com/office/spreadsheetml/2009/9/main" objectType="CheckBox" checked="Checked" fmlaLink="$HW$259" lockText="1" noThreeD="1"/>
</file>

<file path=xl/ctrlProps/ctrlProp248.xml><?xml version="1.0" encoding="utf-8"?>
<formControlPr xmlns="http://schemas.microsoft.com/office/spreadsheetml/2009/9/main" objectType="CheckBox" checked="Checked" fmlaLink="$HW$260" lockText="1" noThreeD="1"/>
</file>

<file path=xl/ctrlProps/ctrlProp249.xml><?xml version="1.0" encoding="utf-8"?>
<formControlPr xmlns="http://schemas.microsoft.com/office/spreadsheetml/2009/9/main" objectType="CheckBox" checked="Checked" fmlaLink="$HW$261" lockText="1" noThreeD="1"/>
</file>

<file path=xl/ctrlProps/ctrlProp25.xml><?xml version="1.0" encoding="utf-8"?>
<formControlPr xmlns="http://schemas.microsoft.com/office/spreadsheetml/2009/9/main" objectType="CheckBox" checked="Checked" fmlaLink="$HW$37" lockText="1" noThreeD="1"/>
</file>

<file path=xl/ctrlProps/ctrlProp250.xml><?xml version="1.0" encoding="utf-8"?>
<formControlPr xmlns="http://schemas.microsoft.com/office/spreadsheetml/2009/9/main" objectType="CheckBox" checked="Checked" fmlaLink="$HW$262" lockText="1" noThreeD="1"/>
</file>

<file path=xl/ctrlProps/ctrlProp251.xml><?xml version="1.0" encoding="utf-8"?>
<formControlPr xmlns="http://schemas.microsoft.com/office/spreadsheetml/2009/9/main" objectType="CheckBox" checked="Checked" fmlaLink="$HW$263" lockText="1" noThreeD="1"/>
</file>

<file path=xl/ctrlProps/ctrlProp252.xml><?xml version="1.0" encoding="utf-8"?>
<formControlPr xmlns="http://schemas.microsoft.com/office/spreadsheetml/2009/9/main" objectType="CheckBox" checked="Checked" fmlaLink="$HW$264" lockText="1" noThreeD="1"/>
</file>

<file path=xl/ctrlProps/ctrlProp253.xml><?xml version="1.0" encoding="utf-8"?>
<formControlPr xmlns="http://schemas.microsoft.com/office/spreadsheetml/2009/9/main" objectType="CheckBox" checked="Checked" fmlaLink="$HW$265" lockText="1" noThreeD="1"/>
</file>

<file path=xl/ctrlProps/ctrlProp254.xml><?xml version="1.0" encoding="utf-8"?>
<formControlPr xmlns="http://schemas.microsoft.com/office/spreadsheetml/2009/9/main" objectType="CheckBox" checked="Checked" fmlaLink="$HW$266" lockText="1" noThreeD="1"/>
</file>

<file path=xl/ctrlProps/ctrlProp255.xml><?xml version="1.0" encoding="utf-8"?>
<formControlPr xmlns="http://schemas.microsoft.com/office/spreadsheetml/2009/9/main" objectType="CheckBox" checked="Checked" fmlaLink="$HW$267" lockText="1" noThreeD="1"/>
</file>

<file path=xl/ctrlProps/ctrlProp256.xml><?xml version="1.0" encoding="utf-8"?>
<formControlPr xmlns="http://schemas.microsoft.com/office/spreadsheetml/2009/9/main" objectType="CheckBox" checked="Checked" fmlaLink="$HW$268" lockText="1" noThreeD="1"/>
</file>

<file path=xl/ctrlProps/ctrlProp257.xml><?xml version="1.0" encoding="utf-8"?>
<formControlPr xmlns="http://schemas.microsoft.com/office/spreadsheetml/2009/9/main" objectType="CheckBox" checked="Checked" fmlaLink="$HW$269" lockText="1" noThreeD="1"/>
</file>

<file path=xl/ctrlProps/ctrlProp258.xml><?xml version="1.0" encoding="utf-8"?>
<formControlPr xmlns="http://schemas.microsoft.com/office/spreadsheetml/2009/9/main" objectType="CheckBox" checked="Checked" fmlaLink="$HW$270" lockText="1" noThreeD="1"/>
</file>

<file path=xl/ctrlProps/ctrlProp259.xml><?xml version="1.0" encoding="utf-8"?>
<formControlPr xmlns="http://schemas.microsoft.com/office/spreadsheetml/2009/9/main" objectType="CheckBox" checked="Checked" fmlaLink="$HW$271" lockText="1" noThreeD="1"/>
</file>

<file path=xl/ctrlProps/ctrlProp26.xml><?xml version="1.0" encoding="utf-8"?>
<formControlPr xmlns="http://schemas.microsoft.com/office/spreadsheetml/2009/9/main" objectType="CheckBox" checked="Checked" fmlaLink="$HW$38" lockText="1" noThreeD="1"/>
</file>

<file path=xl/ctrlProps/ctrlProp260.xml><?xml version="1.0" encoding="utf-8"?>
<formControlPr xmlns="http://schemas.microsoft.com/office/spreadsheetml/2009/9/main" objectType="CheckBox" checked="Checked" fmlaLink="$HW$272" lockText="1" noThreeD="1"/>
</file>

<file path=xl/ctrlProps/ctrlProp261.xml><?xml version="1.0" encoding="utf-8"?>
<formControlPr xmlns="http://schemas.microsoft.com/office/spreadsheetml/2009/9/main" objectType="CheckBox" checked="Checked" fmlaLink="$HW$273" lockText="1" noThreeD="1"/>
</file>

<file path=xl/ctrlProps/ctrlProp262.xml><?xml version="1.0" encoding="utf-8"?>
<formControlPr xmlns="http://schemas.microsoft.com/office/spreadsheetml/2009/9/main" objectType="CheckBox" checked="Checked" fmlaLink="$HW$274" lockText="1" noThreeD="1"/>
</file>

<file path=xl/ctrlProps/ctrlProp263.xml><?xml version="1.0" encoding="utf-8"?>
<formControlPr xmlns="http://schemas.microsoft.com/office/spreadsheetml/2009/9/main" objectType="CheckBox" checked="Checked" fmlaLink="$HW$275" lockText="1" noThreeD="1"/>
</file>

<file path=xl/ctrlProps/ctrlProp264.xml><?xml version="1.0" encoding="utf-8"?>
<formControlPr xmlns="http://schemas.microsoft.com/office/spreadsheetml/2009/9/main" objectType="CheckBox" checked="Checked" fmlaLink="$HW$276" lockText="1" noThreeD="1"/>
</file>

<file path=xl/ctrlProps/ctrlProp265.xml><?xml version="1.0" encoding="utf-8"?>
<formControlPr xmlns="http://schemas.microsoft.com/office/spreadsheetml/2009/9/main" objectType="CheckBox" checked="Checked" fmlaLink="$HW$277" lockText="1" noThreeD="1"/>
</file>

<file path=xl/ctrlProps/ctrlProp266.xml><?xml version="1.0" encoding="utf-8"?>
<formControlPr xmlns="http://schemas.microsoft.com/office/spreadsheetml/2009/9/main" objectType="CheckBox" checked="Checked" fmlaLink="$HW$278" lockText="1" noThreeD="1"/>
</file>

<file path=xl/ctrlProps/ctrlProp267.xml><?xml version="1.0" encoding="utf-8"?>
<formControlPr xmlns="http://schemas.microsoft.com/office/spreadsheetml/2009/9/main" objectType="CheckBox" checked="Checked" fmlaLink="$HW$279" lockText="1" noThreeD="1"/>
</file>

<file path=xl/ctrlProps/ctrlProp268.xml><?xml version="1.0" encoding="utf-8"?>
<formControlPr xmlns="http://schemas.microsoft.com/office/spreadsheetml/2009/9/main" objectType="CheckBox" checked="Checked" fmlaLink="$HW$280" lockText="1" noThreeD="1"/>
</file>

<file path=xl/ctrlProps/ctrlProp269.xml><?xml version="1.0" encoding="utf-8"?>
<formControlPr xmlns="http://schemas.microsoft.com/office/spreadsheetml/2009/9/main" objectType="CheckBox" checked="Checked" fmlaLink="$HW$281" lockText="1" noThreeD="1"/>
</file>

<file path=xl/ctrlProps/ctrlProp27.xml><?xml version="1.0" encoding="utf-8"?>
<formControlPr xmlns="http://schemas.microsoft.com/office/spreadsheetml/2009/9/main" objectType="CheckBox" checked="Checked" fmlaLink="$HW$39" lockText="1" noThreeD="1"/>
</file>

<file path=xl/ctrlProps/ctrlProp270.xml><?xml version="1.0" encoding="utf-8"?>
<formControlPr xmlns="http://schemas.microsoft.com/office/spreadsheetml/2009/9/main" objectType="CheckBox" checked="Checked" fmlaLink="$HW$282" lockText="1" noThreeD="1"/>
</file>

<file path=xl/ctrlProps/ctrlProp271.xml><?xml version="1.0" encoding="utf-8"?>
<formControlPr xmlns="http://schemas.microsoft.com/office/spreadsheetml/2009/9/main" objectType="CheckBox" checked="Checked" fmlaLink="$HW$283" lockText="1" noThreeD="1"/>
</file>

<file path=xl/ctrlProps/ctrlProp272.xml><?xml version="1.0" encoding="utf-8"?>
<formControlPr xmlns="http://schemas.microsoft.com/office/spreadsheetml/2009/9/main" objectType="CheckBox" checked="Checked" fmlaLink="$HW$284" lockText="1" noThreeD="1"/>
</file>

<file path=xl/ctrlProps/ctrlProp273.xml><?xml version="1.0" encoding="utf-8"?>
<formControlPr xmlns="http://schemas.microsoft.com/office/spreadsheetml/2009/9/main" objectType="CheckBox" checked="Checked" fmlaLink="$HW$285" lockText="1" noThreeD="1"/>
</file>

<file path=xl/ctrlProps/ctrlProp274.xml><?xml version="1.0" encoding="utf-8"?>
<formControlPr xmlns="http://schemas.microsoft.com/office/spreadsheetml/2009/9/main" objectType="CheckBox" checked="Checked" fmlaLink="$HW$286" lockText="1" noThreeD="1"/>
</file>

<file path=xl/ctrlProps/ctrlProp275.xml><?xml version="1.0" encoding="utf-8"?>
<formControlPr xmlns="http://schemas.microsoft.com/office/spreadsheetml/2009/9/main" objectType="CheckBox" checked="Checked" fmlaLink="$HW$287" lockText="1" noThreeD="1"/>
</file>

<file path=xl/ctrlProps/ctrlProp276.xml><?xml version="1.0" encoding="utf-8"?>
<formControlPr xmlns="http://schemas.microsoft.com/office/spreadsheetml/2009/9/main" objectType="CheckBox" checked="Checked" fmlaLink="$HW$288" lockText="1" noThreeD="1"/>
</file>

<file path=xl/ctrlProps/ctrlProp277.xml><?xml version="1.0" encoding="utf-8"?>
<formControlPr xmlns="http://schemas.microsoft.com/office/spreadsheetml/2009/9/main" objectType="CheckBox" checked="Checked" fmlaLink="$HW$289" lockText="1" noThreeD="1"/>
</file>

<file path=xl/ctrlProps/ctrlProp278.xml><?xml version="1.0" encoding="utf-8"?>
<formControlPr xmlns="http://schemas.microsoft.com/office/spreadsheetml/2009/9/main" objectType="CheckBox" checked="Checked" fmlaLink="$HW$290" lockText="1" noThreeD="1"/>
</file>

<file path=xl/ctrlProps/ctrlProp279.xml><?xml version="1.0" encoding="utf-8"?>
<formControlPr xmlns="http://schemas.microsoft.com/office/spreadsheetml/2009/9/main" objectType="CheckBox" checked="Checked" fmlaLink="$HW$291" lockText="1" noThreeD="1"/>
</file>

<file path=xl/ctrlProps/ctrlProp28.xml><?xml version="1.0" encoding="utf-8"?>
<formControlPr xmlns="http://schemas.microsoft.com/office/spreadsheetml/2009/9/main" objectType="CheckBox" checked="Checked" fmlaLink="$HW$40" lockText="1" noThreeD="1"/>
</file>

<file path=xl/ctrlProps/ctrlProp280.xml><?xml version="1.0" encoding="utf-8"?>
<formControlPr xmlns="http://schemas.microsoft.com/office/spreadsheetml/2009/9/main" objectType="CheckBox" checked="Checked" fmlaLink="$HW$292" lockText="1" noThreeD="1"/>
</file>

<file path=xl/ctrlProps/ctrlProp281.xml><?xml version="1.0" encoding="utf-8"?>
<formControlPr xmlns="http://schemas.microsoft.com/office/spreadsheetml/2009/9/main" objectType="CheckBox" checked="Checked" fmlaLink="$HW$293" lockText="1" noThreeD="1"/>
</file>

<file path=xl/ctrlProps/ctrlProp282.xml><?xml version="1.0" encoding="utf-8"?>
<formControlPr xmlns="http://schemas.microsoft.com/office/spreadsheetml/2009/9/main" objectType="CheckBox" checked="Checked" fmlaLink="$HW$294" lockText="1" noThreeD="1"/>
</file>

<file path=xl/ctrlProps/ctrlProp283.xml><?xml version="1.0" encoding="utf-8"?>
<formControlPr xmlns="http://schemas.microsoft.com/office/spreadsheetml/2009/9/main" objectType="CheckBox" checked="Checked" fmlaLink="$HW$295" lockText="1" noThreeD="1"/>
</file>

<file path=xl/ctrlProps/ctrlProp284.xml><?xml version="1.0" encoding="utf-8"?>
<formControlPr xmlns="http://schemas.microsoft.com/office/spreadsheetml/2009/9/main" objectType="CheckBox" checked="Checked" fmlaLink="$HW$296" lockText="1" noThreeD="1"/>
</file>

<file path=xl/ctrlProps/ctrlProp285.xml><?xml version="1.0" encoding="utf-8"?>
<formControlPr xmlns="http://schemas.microsoft.com/office/spreadsheetml/2009/9/main" objectType="CheckBox" checked="Checked" fmlaLink="$HW$297" lockText="1" noThreeD="1"/>
</file>

<file path=xl/ctrlProps/ctrlProp286.xml><?xml version="1.0" encoding="utf-8"?>
<formControlPr xmlns="http://schemas.microsoft.com/office/spreadsheetml/2009/9/main" objectType="CheckBox" checked="Checked" fmlaLink="$HW$298" lockText="1" noThreeD="1"/>
</file>

<file path=xl/ctrlProps/ctrlProp287.xml><?xml version="1.0" encoding="utf-8"?>
<formControlPr xmlns="http://schemas.microsoft.com/office/spreadsheetml/2009/9/main" objectType="CheckBox" checked="Checked" fmlaLink="$HW$299" lockText="1" noThreeD="1"/>
</file>

<file path=xl/ctrlProps/ctrlProp288.xml><?xml version="1.0" encoding="utf-8"?>
<formControlPr xmlns="http://schemas.microsoft.com/office/spreadsheetml/2009/9/main" objectType="CheckBox" checked="Checked" fmlaLink="$HW$300" lockText="1" noThreeD="1"/>
</file>

<file path=xl/ctrlProps/ctrlProp289.xml><?xml version="1.0" encoding="utf-8"?>
<formControlPr xmlns="http://schemas.microsoft.com/office/spreadsheetml/2009/9/main" objectType="CheckBox" checked="Checked" fmlaLink="$HW$301" lockText="1" noThreeD="1"/>
</file>

<file path=xl/ctrlProps/ctrlProp29.xml><?xml version="1.0" encoding="utf-8"?>
<formControlPr xmlns="http://schemas.microsoft.com/office/spreadsheetml/2009/9/main" objectType="CheckBox" checked="Checked" fmlaLink="$HW$41" lockText="1" noThreeD="1"/>
</file>

<file path=xl/ctrlProps/ctrlProp290.xml><?xml version="1.0" encoding="utf-8"?>
<formControlPr xmlns="http://schemas.microsoft.com/office/spreadsheetml/2009/9/main" objectType="CheckBox" checked="Checked" fmlaLink="$HW$302" lockText="1" noThreeD="1"/>
</file>

<file path=xl/ctrlProps/ctrlProp291.xml><?xml version="1.0" encoding="utf-8"?>
<formControlPr xmlns="http://schemas.microsoft.com/office/spreadsheetml/2009/9/main" objectType="CheckBox" checked="Checked" fmlaLink="$HW$303" lockText="1" noThreeD="1"/>
</file>

<file path=xl/ctrlProps/ctrlProp292.xml><?xml version="1.0" encoding="utf-8"?>
<formControlPr xmlns="http://schemas.microsoft.com/office/spreadsheetml/2009/9/main" objectType="CheckBox" checked="Checked" fmlaLink="$HW$304" lockText="1" noThreeD="1"/>
</file>

<file path=xl/ctrlProps/ctrlProp293.xml><?xml version="1.0" encoding="utf-8"?>
<formControlPr xmlns="http://schemas.microsoft.com/office/spreadsheetml/2009/9/main" objectType="CheckBox" checked="Checked" fmlaLink="$HW$305" lockText="1" noThreeD="1"/>
</file>

<file path=xl/ctrlProps/ctrlProp294.xml><?xml version="1.0" encoding="utf-8"?>
<formControlPr xmlns="http://schemas.microsoft.com/office/spreadsheetml/2009/9/main" objectType="CheckBox" checked="Checked" fmlaLink="$HW$306" lockText="1" noThreeD="1"/>
</file>

<file path=xl/ctrlProps/ctrlProp295.xml><?xml version="1.0" encoding="utf-8"?>
<formControlPr xmlns="http://schemas.microsoft.com/office/spreadsheetml/2009/9/main" objectType="CheckBox" checked="Checked" fmlaLink="$HW$307" lockText="1" noThreeD="1"/>
</file>

<file path=xl/ctrlProps/ctrlProp296.xml><?xml version="1.0" encoding="utf-8"?>
<formControlPr xmlns="http://schemas.microsoft.com/office/spreadsheetml/2009/9/main" objectType="CheckBox" checked="Checked" fmlaLink="$HW$308" lockText="1" noThreeD="1"/>
</file>

<file path=xl/ctrlProps/ctrlProp297.xml><?xml version="1.0" encoding="utf-8"?>
<formControlPr xmlns="http://schemas.microsoft.com/office/spreadsheetml/2009/9/main" objectType="CheckBox" checked="Checked" fmlaLink="$HW$309" lockText="1" noThreeD="1"/>
</file>

<file path=xl/ctrlProps/ctrlProp298.xml><?xml version="1.0" encoding="utf-8"?>
<formControlPr xmlns="http://schemas.microsoft.com/office/spreadsheetml/2009/9/main" objectType="CheckBox" checked="Checked" fmlaLink="$HW$310" lockText="1" noThreeD="1"/>
</file>

<file path=xl/ctrlProps/ctrlProp299.xml><?xml version="1.0" encoding="utf-8"?>
<formControlPr xmlns="http://schemas.microsoft.com/office/spreadsheetml/2009/9/main" objectType="CheckBox" checked="Checked" fmlaLink="$HW$311"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checked="Checked" fmlaLink="$HW$42" lockText="1" noThreeD="1"/>
</file>

<file path=xl/ctrlProps/ctrlProp300.xml><?xml version="1.0" encoding="utf-8"?>
<formControlPr xmlns="http://schemas.microsoft.com/office/spreadsheetml/2009/9/main" objectType="CheckBox" checked="Checked" fmlaLink="$HW$312" lockText="1" noThreeD="1"/>
</file>

<file path=xl/ctrlProps/ctrlProp301.xml><?xml version="1.0" encoding="utf-8"?>
<formControlPr xmlns="http://schemas.microsoft.com/office/spreadsheetml/2009/9/main" objectType="CheckBox" checked="Checked" fmlaLink="$HW$313" lockText="1" noThreeD="1"/>
</file>

<file path=xl/ctrlProps/ctrlProp302.xml><?xml version="1.0" encoding="utf-8"?>
<formControlPr xmlns="http://schemas.microsoft.com/office/spreadsheetml/2009/9/main" objectType="CheckBox" checked="Checked" fmlaLink="$HW$314" lockText="1" noThreeD="1"/>
</file>

<file path=xl/ctrlProps/ctrlProp303.xml><?xml version="1.0" encoding="utf-8"?>
<formControlPr xmlns="http://schemas.microsoft.com/office/spreadsheetml/2009/9/main" objectType="CheckBox" checked="Checked" fmlaLink="$HW$315" lockText="1" noThreeD="1"/>
</file>

<file path=xl/ctrlProps/ctrlProp304.xml><?xml version="1.0" encoding="utf-8"?>
<formControlPr xmlns="http://schemas.microsoft.com/office/spreadsheetml/2009/9/main" objectType="CheckBox" checked="Checked" fmlaLink="$HW$316" lockText="1" noThreeD="1"/>
</file>

<file path=xl/ctrlProps/ctrlProp305.xml><?xml version="1.0" encoding="utf-8"?>
<formControlPr xmlns="http://schemas.microsoft.com/office/spreadsheetml/2009/9/main" objectType="CheckBox" checked="Checked" fmlaLink="$HW$317" lockText="1" noThreeD="1"/>
</file>

<file path=xl/ctrlProps/ctrlProp306.xml><?xml version="1.0" encoding="utf-8"?>
<formControlPr xmlns="http://schemas.microsoft.com/office/spreadsheetml/2009/9/main" objectType="CheckBox" checked="Checked" fmlaLink="$HW$318" lockText="1" noThreeD="1"/>
</file>

<file path=xl/ctrlProps/ctrlProp307.xml><?xml version="1.0" encoding="utf-8"?>
<formControlPr xmlns="http://schemas.microsoft.com/office/spreadsheetml/2009/9/main" objectType="CheckBox" checked="Checked" fmlaLink="$HW$319" lockText="1" noThreeD="1"/>
</file>

<file path=xl/ctrlProps/ctrlProp308.xml><?xml version="1.0" encoding="utf-8"?>
<formControlPr xmlns="http://schemas.microsoft.com/office/spreadsheetml/2009/9/main" objectType="CheckBox" checked="Checked" fmlaLink="$HW$320" lockText="1" noThreeD="1"/>
</file>

<file path=xl/ctrlProps/ctrlProp309.xml><?xml version="1.0" encoding="utf-8"?>
<formControlPr xmlns="http://schemas.microsoft.com/office/spreadsheetml/2009/9/main" objectType="CheckBox" checked="Checked" fmlaLink="$HW$321" lockText="1" noThreeD="1"/>
</file>

<file path=xl/ctrlProps/ctrlProp31.xml><?xml version="1.0" encoding="utf-8"?>
<formControlPr xmlns="http://schemas.microsoft.com/office/spreadsheetml/2009/9/main" objectType="CheckBox" checked="Checked" fmlaLink="$HW$43" lockText="1" noThreeD="1"/>
</file>

<file path=xl/ctrlProps/ctrlProp310.xml><?xml version="1.0" encoding="utf-8"?>
<formControlPr xmlns="http://schemas.microsoft.com/office/spreadsheetml/2009/9/main" objectType="CheckBox" checked="Checked" fmlaLink="$HW$322" lockText="1" noThreeD="1"/>
</file>

<file path=xl/ctrlProps/ctrlProp311.xml><?xml version="1.0" encoding="utf-8"?>
<formControlPr xmlns="http://schemas.microsoft.com/office/spreadsheetml/2009/9/main" objectType="CheckBox" checked="Checked" fmlaLink="$HW$323" lockText="1" noThreeD="1"/>
</file>

<file path=xl/ctrlProps/ctrlProp312.xml><?xml version="1.0" encoding="utf-8"?>
<formControlPr xmlns="http://schemas.microsoft.com/office/spreadsheetml/2009/9/main" objectType="CheckBox" checked="Checked" fmlaLink="$HW$324" lockText="1" noThreeD="1"/>
</file>

<file path=xl/ctrlProps/ctrlProp313.xml><?xml version="1.0" encoding="utf-8"?>
<formControlPr xmlns="http://schemas.microsoft.com/office/spreadsheetml/2009/9/main" objectType="CheckBox" checked="Checked" fmlaLink="$HW$325" lockText="1" noThreeD="1"/>
</file>

<file path=xl/ctrlProps/ctrlProp314.xml><?xml version="1.0" encoding="utf-8"?>
<formControlPr xmlns="http://schemas.microsoft.com/office/spreadsheetml/2009/9/main" objectType="CheckBox" checked="Checked" fmlaLink="$HW$326" lockText="1" noThreeD="1"/>
</file>

<file path=xl/ctrlProps/ctrlProp315.xml><?xml version="1.0" encoding="utf-8"?>
<formControlPr xmlns="http://schemas.microsoft.com/office/spreadsheetml/2009/9/main" objectType="CheckBox" checked="Checked" fmlaLink="$HW$327" lockText="1" noThreeD="1"/>
</file>

<file path=xl/ctrlProps/ctrlProp316.xml><?xml version="1.0" encoding="utf-8"?>
<formControlPr xmlns="http://schemas.microsoft.com/office/spreadsheetml/2009/9/main" objectType="CheckBox" checked="Checked" fmlaLink="$HW$328" lockText="1" noThreeD="1"/>
</file>

<file path=xl/ctrlProps/ctrlProp317.xml><?xml version="1.0" encoding="utf-8"?>
<formControlPr xmlns="http://schemas.microsoft.com/office/spreadsheetml/2009/9/main" objectType="CheckBox" checked="Checked" fmlaLink="$HW$329" lockText="1" noThreeD="1"/>
</file>

<file path=xl/ctrlProps/ctrlProp318.xml><?xml version="1.0" encoding="utf-8"?>
<formControlPr xmlns="http://schemas.microsoft.com/office/spreadsheetml/2009/9/main" objectType="CheckBox" checked="Checked" fmlaLink="$HW$330" lockText="1" noThreeD="1"/>
</file>

<file path=xl/ctrlProps/ctrlProp319.xml><?xml version="1.0" encoding="utf-8"?>
<formControlPr xmlns="http://schemas.microsoft.com/office/spreadsheetml/2009/9/main" objectType="CheckBox" checked="Checked" fmlaLink="$HW$331" lockText="1" noThreeD="1"/>
</file>

<file path=xl/ctrlProps/ctrlProp32.xml><?xml version="1.0" encoding="utf-8"?>
<formControlPr xmlns="http://schemas.microsoft.com/office/spreadsheetml/2009/9/main" objectType="CheckBox" checked="Checked" fmlaLink="$HW$44" lockText="1" noThreeD="1"/>
</file>

<file path=xl/ctrlProps/ctrlProp320.xml><?xml version="1.0" encoding="utf-8"?>
<formControlPr xmlns="http://schemas.microsoft.com/office/spreadsheetml/2009/9/main" objectType="CheckBox" checked="Checked" fmlaLink="$HW$332" lockText="1" noThreeD="1"/>
</file>

<file path=xl/ctrlProps/ctrlProp321.xml><?xml version="1.0" encoding="utf-8"?>
<formControlPr xmlns="http://schemas.microsoft.com/office/spreadsheetml/2009/9/main" objectType="CheckBox" checked="Checked" fmlaLink="$HW$333" lockText="1" noThreeD="1"/>
</file>

<file path=xl/ctrlProps/ctrlProp322.xml><?xml version="1.0" encoding="utf-8"?>
<formControlPr xmlns="http://schemas.microsoft.com/office/spreadsheetml/2009/9/main" objectType="CheckBox" checked="Checked" fmlaLink="$HW$334" lockText="1" noThreeD="1"/>
</file>

<file path=xl/ctrlProps/ctrlProp323.xml><?xml version="1.0" encoding="utf-8"?>
<formControlPr xmlns="http://schemas.microsoft.com/office/spreadsheetml/2009/9/main" objectType="CheckBox" checked="Checked" fmlaLink="$HW$335" lockText="1" noThreeD="1"/>
</file>

<file path=xl/ctrlProps/ctrlProp324.xml><?xml version="1.0" encoding="utf-8"?>
<formControlPr xmlns="http://schemas.microsoft.com/office/spreadsheetml/2009/9/main" objectType="CheckBox" checked="Checked" fmlaLink="$HW$336" lockText="1" noThreeD="1"/>
</file>

<file path=xl/ctrlProps/ctrlProp325.xml><?xml version="1.0" encoding="utf-8"?>
<formControlPr xmlns="http://schemas.microsoft.com/office/spreadsheetml/2009/9/main" objectType="CheckBox" checked="Checked" fmlaLink="$HW$337" lockText="1" noThreeD="1"/>
</file>

<file path=xl/ctrlProps/ctrlProp326.xml><?xml version="1.0" encoding="utf-8"?>
<formControlPr xmlns="http://schemas.microsoft.com/office/spreadsheetml/2009/9/main" objectType="CheckBox" checked="Checked" fmlaLink="$HW$338" lockText="1" noThreeD="1"/>
</file>

<file path=xl/ctrlProps/ctrlProp327.xml><?xml version="1.0" encoding="utf-8"?>
<formControlPr xmlns="http://schemas.microsoft.com/office/spreadsheetml/2009/9/main" objectType="CheckBox" checked="Checked" fmlaLink="$HW$339" lockText="1" noThreeD="1"/>
</file>

<file path=xl/ctrlProps/ctrlProp328.xml><?xml version="1.0" encoding="utf-8"?>
<formControlPr xmlns="http://schemas.microsoft.com/office/spreadsheetml/2009/9/main" objectType="CheckBox" checked="Checked" fmlaLink="$HW$340" lockText="1" noThreeD="1"/>
</file>

<file path=xl/ctrlProps/ctrlProp329.xml><?xml version="1.0" encoding="utf-8"?>
<formControlPr xmlns="http://schemas.microsoft.com/office/spreadsheetml/2009/9/main" objectType="CheckBox" checked="Checked" fmlaLink="$HW$341" lockText="1" noThreeD="1"/>
</file>

<file path=xl/ctrlProps/ctrlProp33.xml><?xml version="1.0" encoding="utf-8"?>
<formControlPr xmlns="http://schemas.microsoft.com/office/spreadsheetml/2009/9/main" objectType="CheckBox" checked="Checked" fmlaLink="$HW$45" lockText="1" noThreeD="1"/>
</file>

<file path=xl/ctrlProps/ctrlProp330.xml><?xml version="1.0" encoding="utf-8"?>
<formControlPr xmlns="http://schemas.microsoft.com/office/spreadsheetml/2009/9/main" objectType="CheckBox" checked="Checked" fmlaLink="$HW$342" lockText="1" noThreeD="1"/>
</file>

<file path=xl/ctrlProps/ctrlProp331.xml><?xml version="1.0" encoding="utf-8"?>
<formControlPr xmlns="http://schemas.microsoft.com/office/spreadsheetml/2009/9/main" objectType="CheckBox" checked="Checked" fmlaLink="$HW$343" lockText="1" noThreeD="1"/>
</file>

<file path=xl/ctrlProps/ctrlProp332.xml><?xml version="1.0" encoding="utf-8"?>
<formControlPr xmlns="http://schemas.microsoft.com/office/spreadsheetml/2009/9/main" objectType="CheckBox" checked="Checked" fmlaLink="$HW$344" lockText="1" noThreeD="1"/>
</file>

<file path=xl/ctrlProps/ctrlProp333.xml><?xml version="1.0" encoding="utf-8"?>
<formControlPr xmlns="http://schemas.microsoft.com/office/spreadsheetml/2009/9/main" objectType="CheckBox" checked="Checked" fmlaLink="$HW$345" lockText="1" noThreeD="1"/>
</file>

<file path=xl/ctrlProps/ctrlProp334.xml><?xml version="1.0" encoding="utf-8"?>
<formControlPr xmlns="http://schemas.microsoft.com/office/spreadsheetml/2009/9/main" objectType="CheckBox" checked="Checked" fmlaLink="$HW$346" lockText="1" noThreeD="1"/>
</file>

<file path=xl/ctrlProps/ctrlProp335.xml><?xml version="1.0" encoding="utf-8"?>
<formControlPr xmlns="http://schemas.microsoft.com/office/spreadsheetml/2009/9/main" objectType="CheckBox" checked="Checked" fmlaLink="$HW$347" lockText="1" noThreeD="1"/>
</file>

<file path=xl/ctrlProps/ctrlProp336.xml><?xml version="1.0" encoding="utf-8"?>
<formControlPr xmlns="http://schemas.microsoft.com/office/spreadsheetml/2009/9/main" objectType="CheckBox" checked="Checked" fmlaLink="$HW$348" lockText="1" noThreeD="1"/>
</file>

<file path=xl/ctrlProps/ctrlProp337.xml><?xml version="1.0" encoding="utf-8"?>
<formControlPr xmlns="http://schemas.microsoft.com/office/spreadsheetml/2009/9/main" objectType="CheckBox" checked="Checked" fmlaLink="$HW$349" lockText="1" noThreeD="1"/>
</file>

<file path=xl/ctrlProps/ctrlProp338.xml><?xml version="1.0" encoding="utf-8"?>
<formControlPr xmlns="http://schemas.microsoft.com/office/spreadsheetml/2009/9/main" objectType="CheckBox" checked="Checked" fmlaLink="$HW$350" lockText="1" noThreeD="1"/>
</file>

<file path=xl/ctrlProps/ctrlProp339.xml><?xml version="1.0" encoding="utf-8"?>
<formControlPr xmlns="http://schemas.microsoft.com/office/spreadsheetml/2009/9/main" objectType="CheckBox" checked="Checked" fmlaLink="$HW$351" lockText="1" noThreeD="1"/>
</file>

<file path=xl/ctrlProps/ctrlProp34.xml><?xml version="1.0" encoding="utf-8"?>
<formControlPr xmlns="http://schemas.microsoft.com/office/spreadsheetml/2009/9/main" objectType="CheckBox" checked="Checked" fmlaLink="$HW$46" lockText="1" noThreeD="1"/>
</file>

<file path=xl/ctrlProps/ctrlProp340.xml><?xml version="1.0" encoding="utf-8"?>
<formControlPr xmlns="http://schemas.microsoft.com/office/spreadsheetml/2009/9/main" objectType="CheckBox" checked="Checked" fmlaLink="$HW$352" lockText="1" noThreeD="1"/>
</file>

<file path=xl/ctrlProps/ctrlProp341.xml><?xml version="1.0" encoding="utf-8"?>
<formControlPr xmlns="http://schemas.microsoft.com/office/spreadsheetml/2009/9/main" objectType="CheckBox" checked="Checked" fmlaLink="$HW$353" lockText="1" noThreeD="1"/>
</file>

<file path=xl/ctrlProps/ctrlProp342.xml><?xml version="1.0" encoding="utf-8"?>
<formControlPr xmlns="http://schemas.microsoft.com/office/spreadsheetml/2009/9/main" objectType="CheckBox" checked="Checked" fmlaLink="$HW$354" lockText="1" noThreeD="1"/>
</file>

<file path=xl/ctrlProps/ctrlProp343.xml><?xml version="1.0" encoding="utf-8"?>
<formControlPr xmlns="http://schemas.microsoft.com/office/spreadsheetml/2009/9/main" objectType="CheckBox" checked="Checked" fmlaLink="$HW$355" lockText="1" noThreeD="1"/>
</file>

<file path=xl/ctrlProps/ctrlProp344.xml><?xml version="1.0" encoding="utf-8"?>
<formControlPr xmlns="http://schemas.microsoft.com/office/spreadsheetml/2009/9/main" objectType="CheckBox" checked="Checked" fmlaLink="$HW$356" lockText="1" noThreeD="1"/>
</file>

<file path=xl/ctrlProps/ctrlProp345.xml><?xml version="1.0" encoding="utf-8"?>
<formControlPr xmlns="http://schemas.microsoft.com/office/spreadsheetml/2009/9/main" objectType="CheckBox" checked="Checked" fmlaLink="$HW$357" lockText="1" noThreeD="1"/>
</file>

<file path=xl/ctrlProps/ctrlProp346.xml><?xml version="1.0" encoding="utf-8"?>
<formControlPr xmlns="http://schemas.microsoft.com/office/spreadsheetml/2009/9/main" objectType="CheckBox" checked="Checked" fmlaLink="$HW$358" lockText="1" noThreeD="1"/>
</file>

<file path=xl/ctrlProps/ctrlProp347.xml><?xml version="1.0" encoding="utf-8"?>
<formControlPr xmlns="http://schemas.microsoft.com/office/spreadsheetml/2009/9/main" objectType="CheckBox" checked="Checked" fmlaLink="$HW$359" lockText="1" noThreeD="1"/>
</file>

<file path=xl/ctrlProps/ctrlProp348.xml><?xml version="1.0" encoding="utf-8"?>
<formControlPr xmlns="http://schemas.microsoft.com/office/spreadsheetml/2009/9/main" objectType="CheckBox" checked="Checked" fmlaLink="$HW$360" lockText="1" noThreeD="1"/>
</file>

<file path=xl/ctrlProps/ctrlProp349.xml><?xml version="1.0" encoding="utf-8"?>
<formControlPr xmlns="http://schemas.microsoft.com/office/spreadsheetml/2009/9/main" objectType="CheckBox" checked="Checked" fmlaLink="$HW$361" lockText="1" noThreeD="1"/>
</file>

<file path=xl/ctrlProps/ctrlProp35.xml><?xml version="1.0" encoding="utf-8"?>
<formControlPr xmlns="http://schemas.microsoft.com/office/spreadsheetml/2009/9/main" objectType="CheckBox" checked="Checked" fmlaLink="$HW$47" lockText="1" noThreeD="1"/>
</file>

<file path=xl/ctrlProps/ctrlProp350.xml><?xml version="1.0" encoding="utf-8"?>
<formControlPr xmlns="http://schemas.microsoft.com/office/spreadsheetml/2009/9/main" objectType="CheckBox" checked="Checked" fmlaLink="$HW$362" lockText="1" noThreeD="1"/>
</file>

<file path=xl/ctrlProps/ctrlProp351.xml><?xml version="1.0" encoding="utf-8"?>
<formControlPr xmlns="http://schemas.microsoft.com/office/spreadsheetml/2009/9/main" objectType="CheckBox" checked="Checked" fmlaLink="$HW$363" lockText="1" noThreeD="1"/>
</file>

<file path=xl/ctrlProps/ctrlProp352.xml><?xml version="1.0" encoding="utf-8"?>
<formControlPr xmlns="http://schemas.microsoft.com/office/spreadsheetml/2009/9/main" objectType="CheckBox" checked="Checked" fmlaLink="$HW$364" lockText="1" noThreeD="1"/>
</file>

<file path=xl/ctrlProps/ctrlProp353.xml><?xml version="1.0" encoding="utf-8"?>
<formControlPr xmlns="http://schemas.microsoft.com/office/spreadsheetml/2009/9/main" objectType="CheckBox" checked="Checked" fmlaLink="$HW$365" lockText="1" noThreeD="1"/>
</file>

<file path=xl/ctrlProps/ctrlProp354.xml><?xml version="1.0" encoding="utf-8"?>
<formControlPr xmlns="http://schemas.microsoft.com/office/spreadsheetml/2009/9/main" objectType="CheckBox" checked="Checked" fmlaLink="$HW$366" lockText="1" noThreeD="1"/>
</file>

<file path=xl/ctrlProps/ctrlProp355.xml><?xml version="1.0" encoding="utf-8"?>
<formControlPr xmlns="http://schemas.microsoft.com/office/spreadsheetml/2009/9/main" objectType="CheckBox" checked="Checked" fmlaLink="$HW$367" lockText="1" noThreeD="1"/>
</file>

<file path=xl/ctrlProps/ctrlProp356.xml><?xml version="1.0" encoding="utf-8"?>
<formControlPr xmlns="http://schemas.microsoft.com/office/spreadsheetml/2009/9/main" objectType="CheckBox" checked="Checked" fmlaLink="$HW$368" lockText="1" noThreeD="1"/>
</file>

<file path=xl/ctrlProps/ctrlProp357.xml><?xml version="1.0" encoding="utf-8"?>
<formControlPr xmlns="http://schemas.microsoft.com/office/spreadsheetml/2009/9/main" objectType="CheckBox" checked="Checked" fmlaLink="$HW$369" lockText="1" noThreeD="1"/>
</file>

<file path=xl/ctrlProps/ctrlProp358.xml><?xml version="1.0" encoding="utf-8"?>
<formControlPr xmlns="http://schemas.microsoft.com/office/spreadsheetml/2009/9/main" objectType="CheckBox" checked="Checked" fmlaLink="$HW$370" lockText="1" noThreeD="1"/>
</file>

<file path=xl/ctrlProps/ctrlProp359.xml><?xml version="1.0" encoding="utf-8"?>
<formControlPr xmlns="http://schemas.microsoft.com/office/spreadsheetml/2009/9/main" objectType="CheckBox" checked="Checked" fmlaLink="$HW$371" lockText="1" noThreeD="1"/>
</file>

<file path=xl/ctrlProps/ctrlProp36.xml><?xml version="1.0" encoding="utf-8"?>
<formControlPr xmlns="http://schemas.microsoft.com/office/spreadsheetml/2009/9/main" objectType="CheckBox" checked="Checked" fmlaLink="$HW$48" lockText="1" noThreeD="1"/>
</file>

<file path=xl/ctrlProps/ctrlProp360.xml><?xml version="1.0" encoding="utf-8"?>
<formControlPr xmlns="http://schemas.microsoft.com/office/spreadsheetml/2009/9/main" objectType="CheckBox" checked="Checked" fmlaLink="$HW$372" lockText="1" noThreeD="1"/>
</file>

<file path=xl/ctrlProps/ctrlProp361.xml><?xml version="1.0" encoding="utf-8"?>
<formControlPr xmlns="http://schemas.microsoft.com/office/spreadsheetml/2009/9/main" objectType="CheckBox" checked="Checked" fmlaLink="$HW$373" lockText="1" noThreeD="1"/>
</file>

<file path=xl/ctrlProps/ctrlProp362.xml><?xml version="1.0" encoding="utf-8"?>
<formControlPr xmlns="http://schemas.microsoft.com/office/spreadsheetml/2009/9/main" objectType="CheckBox" checked="Checked" fmlaLink="$HW$374" lockText="1" noThreeD="1"/>
</file>

<file path=xl/ctrlProps/ctrlProp363.xml><?xml version="1.0" encoding="utf-8"?>
<formControlPr xmlns="http://schemas.microsoft.com/office/spreadsheetml/2009/9/main" objectType="CheckBox" checked="Checked" fmlaLink="$HW$375" lockText="1" noThreeD="1"/>
</file>

<file path=xl/ctrlProps/ctrlProp364.xml><?xml version="1.0" encoding="utf-8"?>
<formControlPr xmlns="http://schemas.microsoft.com/office/spreadsheetml/2009/9/main" objectType="CheckBox" checked="Checked" fmlaLink="$HW$376" lockText="1" noThreeD="1"/>
</file>

<file path=xl/ctrlProps/ctrlProp365.xml><?xml version="1.0" encoding="utf-8"?>
<formControlPr xmlns="http://schemas.microsoft.com/office/spreadsheetml/2009/9/main" objectType="CheckBox" checked="Checked" fmlaLink="$HW$377" lockText="1" noThreeD="1"/>
</file>

<file path=xl/ctrlProps/ctrlProp366.xml><?xml version="1.0" encoding="utf-8"?>
<formControlPr xmlns="http://schemas.microsoft.com/office/spreadsheetml/2009/9/main" objectType="CheckBox" checked="Checked" fmlaLink="$HW$378" lockText="1" noThreeD="1"/>
</file>

<file path=xl/ctrlProps/ctrlProp367.xml><?xml version="1.0" encoding="utf-8"?>
<formControlPr xmlns="http://schemas.microsoft.com/office/spreadsheetml/2009/9/main" objectType="CheckBox" checked="Checked" fmlaLink="$HW$379" lockText="1" noThreeD="1"/>
</file>

<file path=xl/ctrlProps/ctrlProp368.xml><?xml version="1.0" encoding="utf-8"?>
<formControlPr xmlns="http://schemas.microsoft.com/office/spreadsheetml/2009/9/main" objectType="CheckBox" checked="Checked" fmlaLink="$HW$380" lockText="1" noThreeD="1"/>
</file>

<file path=xl/ctrlProps/ctrlProp369.xml><?xml version="1.0" encoding="utf-8"?>
<formControlPr xmlns="http://schemas.microsoft.com/office/spreadsheetml/2009/9/main" objectType="CheckBox" checked="Checked" fmlaLink="$HW$381" lockText="1" noThreeD="1"/>
</file>

<file path=xl/ctrlProps/ctrlProp37.xml><?xml version="1.0" encoding="utf-8"?>
<formControlPr xmlns="http://schemas.microsoft.com/office/spreadsheetml/2009/9/main" objectType="CheckBox" checked="Checked" fmlaLink="$HW$49" lockText="1" noThreeD="1"/>
</file>

<file path=xl/ctrlProps/ctrlProp370.xml><?xml version="1.0" encoding="utf-8"?>
<formControlPr xmlns="http://schemas.microsoft.com/office/spreadsheetml/2009/9/main" objectType="CheckBox" checked="Checked" fmlaLink="$HW$382" lockText="1" noThreeD="1"/>
</file>

<file path=xl/ctrlProps/ctrlProp371.xml><?xml version="1.0" encoding="utf-8"?>
<formControlPr xmlns="http://schemas.microsoft.com/office/spreadsheetml/2009/9/main" objectType="CheckBox" checked="Checked" fmlaLink="$HW$383" lockText="1" noThreeD="1"/>
</file>

<file path=xl/ctrlProps/ctrlProp372.xml><?xml version="1.0" encoding="utf-8"?>
<formControlPr xmlns="http://schemas.microsoft.com/office/spreadsheetml/2009/9/main" objectType="CheckBox" checked="Checked" fmlaLink="$HW$384" lockText="1" noThreeD="1"/>
</file>

<file path=xl/ctrlProps/ctrlProp373.xml><?xml version="1.0" encoding="utf-8"?>
<formControlPr xmlns="http://schemas.microsoft.com/office/spreadsheetml/2009/9/main" objectType="CheckBox" checked="Checked" fmlaLink="$HW$385" lockText="1" noThreeD="1"/>
</file>

<file path=xl/ctrlProps/ctrlProp374.xml><?xml version="1.0" encoding="utf-8"?>
<formControlPr xmlns="http://schemas.microsoft.com/office/spreadsheetml/2009/9/main" objectType="CheckBox" checked="Checked" fmlaLink="$HW$386" lockText="1" noThreeD="1"/>
</file>

<file path=xl/ctrlProps/ctrlProp375.xml><?xml version="1.0" encoding="utf-8"?>
<formControlPr xmlns="http://schemas.microsoft.com/office/spreadsheetml/2009/9/main" objectType="CheckBox" checked="Checked" fmlaLink="$HW$387" lockText="1" noThreeD="1"/>
</file>

<file path=xl/ctrlProps/ctrlProp376.xml><?xml version="1.0" encoding="utf-8"?>
<formControlPr xmlns="http://schemas.microsoft.com/office/spreadsheetml/2009/9/main" objectType="CheckBox" checked="Checked" fmlaLink="$HW$388" lockText="1" noThreeD="1"/>
</file>

<file path=xl/ctrlProps/ctrlProp377.xml><?xml version="1.0" encoding="utf-8"?>
<formControlPr xmlns="http://schemas.microsoft.com/office/spreadsheetml/2009/9/main" objectType="CheckBox" checked="Checked" fmlaLink="$HW$389" lockText="1" noThreeD="1"/>
</file>

<file path=xl/ctrlProps/ctrlProp378.xml><?xml version="1.0" encoding="utf-8"?>
<formControlPr xmlns="http://schemas.microsoft.com/office/spreadsheetml/2009/9/main" objectType="CheckBox" checked="Checked" fmlaLink="$HW$390" lockText="1" noThreeD="1"/>
</file>

<file path=xl/ctrlProps/ctrlProp379.xml><?xml version="1.0" encoding="utf-8"?>
<formControlPr xmlns="http://schemas.microsoft.com/office/spreadsheetml/2009/9/main" objectType="CheckBox" checked="Checked" fmlaLink="$HW$391" lockText="1" noThreeD="1"/>
</file>

<file path=xl/ctrlProps/ctrlProp38.xml><?xml version="1.0" encoding="utf-8"?>
<formControlPr xmlns="http://schemas.microsoft.com/office/spreadsheetml/2009/9/main" objectType="CheckBox" checked="Checked" fmlaLink="$HW$50" lockText="1" noThreeD="1"/>
</file>

<file path=xl/ctrlProps/ctrlProp380.xml><?xml version="1.0" encoding="utf-8"?>
<formControlPr xmlns="http://schemas.microsoft.com/office/spreadsheetml/2009/9/main" objectType="CheckBox" checked="Checked" fmlaLink="$HW$392" lockText="1" noThreeD="1"/>
</file>

<file path=xl/ctrlProps/ctrlProp381.xml><?xml version="1.0" encoding="utf-8"?>
<formControlPr xmlns="http://schemas.microsoft.com/office/spreadsheetml/2009/9/main" objectType="Drop" dropStyle="combo" dx="16" fmlaLink="$W$9" fmlaRange="RSCalc!$AT$16:$AT$19" sel="2" val="0"/>
</file>

<file path=xl/ctrlProps/ctrlProp39.xml><?xml version="1.0" encoding="utf-8"?>
<formControlPr xmlns="http://schemas.microsoft.com/office/spreadsheetml/2009/9/main" objectType="CheckBox" checked="Checked" fmlaLink="$HW$51" lockText="1" noThreeD="1"/>
</file>

<file path=xl/ctrlProps/ctrlProp4.xml><?xml version="1.0" encoding="utf-8"?>
<formControlPr xmlns="http://schemas.microsoft.com/office/spreadsheetml/2009/9/main" objectType="Drop" dropLines="9" dropStyle="combo" dx="16" fmlaLink="$W$3" fmlaRange="RSCalc!$AK$17:$AK$23" sel="5" val="0"/>
</file>

<file path=xl/ctrlProps/ctrlProp40.xml><?xml version="1.0" encoding="utf-8"?>
<formControlPr xmlns="http://schemas.microsoft.com/office/spreadsheetml/2009/9/main" objectType="CheckBox" checked="Checked" fmlaLink="$HW$52" lockText="1" noThreeD="1"/>
</file>

<file path=xl/ctrlProps/ctrlProp41.xml><?xml version="1.0" encoding="utf-8"?>
<formControlPr xmlns="http://schemas.microsoft.com/office/spreadsheetml/2009/9/main" objectType="CheckBox" checked="Checked" fmlaLink="$HW$53" lockText="1" noThreeD="1"/>
</file>

<file path=xl/ctrlProps/ctrlProp42.xml><?xml version="1.0" encoding="utf-8"?>
<formControlPr xmlns="http://schemas.microsoft.com/office/spreadsheetml/2009/9/main" objectType="CheckBox" checked="Checked" fmlaLink="$HW$54" lockText="1" noThreeD="1"/>
</file>

<file path=xl/ctrlProps/ctrlProp43.xml><?xml version="1.0" encoding="utf-8"?>
<formControlPr xmlns="http://schemas.microsoft.com/office/spreadsheetml/2009/9/main" objectType="CheckBox" checked="Checked" fmlaLink="$HW$55" lockText="1" noThreeD="1"/>
</file>

<file path=xl/ctrlProps/ctrlProp44.xml><?xml version="1.0" encoding="utf-8"?>
<formControlPr xmlns="http://schemas.microsoft.com/office/spreadsheetml/2009/9/main" objectType="CheckBox" checked="Checked" fmlaLink="$HW$56" lockText="1" noThreeD="1"/>
</file>

<file path=xl/ctrlProps/ctrlProp45.xml><?xml version="1.0" encoding="utf-8"?>
<formControlPr xmlns="http://schemas.microsoft.com/office/spreadsheetml/2009/9/main" objectType="CheckBox" checked="Checked" fmlaLink="$HW$57" lockText="1" noThreeD="1"/>
</file>

<file path=xl/ctrlProps/ctrlProp46.xml><?xml version="1.0" encoding="utf-8"?>
<formControlPr xmlns="http://schemas.microsoft.com/office/spreadsheetml/2009/9/main" objectType="CheckBox" checked="Checked" fmlaLink="$HW$58" lockText="1" noThreeD="1"/>
</file>

<file path=xl/ctrlProps/ctrlProp47.xml><?xml version="1.0" encoding="utf-8"?>
<formControlPr xmlns="http://schemas.microsoft.com/office/spreadsheetml/2009/9/main" objectType="CheckBox" checked="Checked" fmlaLink="$HW$59" lockText="1" noThreeD="1"/>
</file>

<file path=xl/ctrlProps/ctrlProp48.xml><?xml version="1.0" encoding="utf-8"?>
<formControlPr xmlns="http://schemas.microsoft.com/office/spreadsheetml/2009/9/main" objectType="CheckBox" checked="Checked" fmlaLink="$HW$60" lockText="1" noThreeD="1"/>
</file>

<file path=xl/ctrlProps/ctrlProp49.xml><?xml version="1.0" encoding="utf-8"?>
<formControlPr xmlns="http://schemas.microsoft.com/office/spreadsheetml/2009/9/main" objectType="CheckBox" checked="Checked" fmlaLink="$HW$61" lockText="1" noThreeD="1"/>
</file>

<file path=xl/ctrlProps/ctrlProp5.xml><?xml version="1.0" encoding="utf-8"?>
<formControlPr xmlns="http://schemas.microsoft.com/office/spreadsheetml/2009/9/main" objectType="Drop" dropStyle="combo" dx="16" fmlaLink="$W$6" fmlaRange="RSCalc!$AL$16:$AL$22" sel="2" val="0"/>
</file>

<file path=xl/ctrlProps/ctrlProp50.xml><?xml version="1.0" encoding="utf-8"?>
<formControlPr xmlns="http://schemas.microsoft.com/office/spreadsheetml/2009/9/main" objectType="CheckBox" checked="Checked" fmlaLink="$HW$62" lockText="1" noThreeD="1"/>
</file>

<file path=xl/ctrlProps/ctrlProp51.xml><?xml version="1.0" encoding="utf-8"?>
<formControlPr xmlns="http://schemas.microsoft.com/office/spreadsheetml/2009/9/main" objectType="CheckBox" checked="Checked" fmlaLink="$HW$63" lockText="1" noThreeD="1"/>
</file>

<file path=xl/ctrlProps/ctrlProp52.xml><?xml version="1.0" encoding="utf-8"?>
<formControlPr xmlns="http://schemas.microsoft.com/office/spreadsheetml/2009/9/main" objectType="CheckBox" checked="Checked" fmlaLink="$HW$64" lockText="1" noThreeD="1"/>
</file>

<file path=xl/ctrlProps/ctrlProp53.xml><?xml version="1.0" encoding="utf-8"?>
<formControlPr xmlns="http://schemas.microsoft.com/office/spreadsheetml/2009/9/main" objectType="CheckBox" checked="Checked" fmlaLink="$HW$65" lockText="1" noThreeD="1"/>
</file>

<file path=xl/ctrlProps/ctrlProp54.xml><?xml version="1.0" encoding="utf-8"?>
<formControlPr xmlns="http://schemas.microsoft.com/office/spreadsheetml/2009/9/main" objectType="CheckBox" checked="Checked" fmlaLink="$HW$66" lockText="1" noThreeD="1"/>
</file>

<file path=xl/ctrlProps/ctrlProp55.xml><?xml version="1.0" encoding="utf-8"?>
<formControlPr xmlns="http://schemas.microsoft.com/office/spreadsheetml/2009/9/main" objectType="CheckBox" checked="Checked" fmlaLink="$HW$67" lockText="1" noThreeD="1"/>
</file>

<file path=xl/ctrlProps/ctrlProp56.xml><?xml version="1.0" encoding="utf-8"?>
<formControlPr xmlns="http://schemas.microsoft.com/office/spreadsheetml/2009/9/main" objectType="CheckBox" checked="Checked" fmlaLink="$HW$68" lockText="1" noThreeD="1"/>
</file>

<file path=xl/ctrlProps/ctrlProp57.xml><?xml version="1.0" encoding="utf-8"?>
<formControlPr xmlns="http://schemas.microsoft.com/office/spreadsheetml/2009/9/main" objectType="CheckBox" checked="Checked" fmlaLink="$HW$69" lockText="1" noThreeD="1"/>
</file>

<file path=xl/ctrlProps/ctrlProp58.xml><?xml version="1.0" encoding="utf-8"?>
<formControlPr xmlns="http://schemas.microsoft.com/office/spreadsheetml/2009/9/main" objectType="CheckBox" checked="Checked" fmlaLink="$HW$70" lockText="1" noThreeD="1"/>
</file>

<file path=xl/ctrlProps/ctrlProp59.xml><?xml version="1.0" encoding="utf-8"?>
<formControlPr xmlns="http://schemas.microsoft.com/office/spreadsheetml/2009/9/main" objectType="CheckBox" checked="Checked" fmlaLink="$HW$71" lockText="1" noThreeD="1"/>
</file>

<file path=xl/ctrlProps/ctrlProp6.xml><?xml version="1.0" encoding="utf-8"?>
<formControlPr xmlns="http://schemas.microsoft.com/office/spreadsheetml/2009/9/main" objectType="Drop" dropStyle="combo" dx="16" fmlaLink="$W$5" fmlaRange="RSCalc!$AM$16:$AM$31" sel="1" val="0"/>
</file>

<file path=xl/ctrlProps/ctrlProp60.xml><?xml version="1.0" encoding="utf-8"?>
<formControlPr xmlns="http://schemas.microsoft.com/office/spreadsheetml/2009/9/main" objectType="CheckBox" checked="Checked" fmlaLink="$HW$72" lockText="1" noThreeD="1"/>
</file>

<file path=xl/ctrlProps/ctrlProp61.xml><?xml version="1.0" encoding="utf-8"?>
<formControlPr xmlns="http://schemas.microsoft.com/office/spreadsheetml/2009/9/main" objectType="CheckBox" checked="Checked" fmlaLink="$HW$73" lockText="1" noThreeD="1"/>
</file>

<file path=xl/ctrlProps/ctrlProp62.xml><?xml version="1.0" encoding="utf-8"?>
<formControlPr xmlns="http://schemas.microsoft.com/office/spreadsheetml/2009/9/main" objectType="CheckBox" checked="Checked" fmlaLink="$HW$74" lockText="1" noThreeD="1"/>
</file>

<file path=xl/ctrlProps/ctrlProp63.xml><?xml version="1.0" encoding="utf-8"?>
<formControlPr xmlns="http://schemas.microsoft.com/office/spreadsheetml/2009/9/main" objectType="CheckBox" checked="Checked" fmlaLink="$HW$75" lockText="1" noThreeD="1"/>
</file>

<file path=xl/ctrlProps/ctrlProp64.xml><?xml version="1.0" encoding="utf-8"?>
<formControlPr xmlns="http://schemas.microsoft.com/office/spreadsheetml/2009/9/main" objectType="CheckBox" checked="Checked" fmlaLink="$HW$76" lockText="1" noThreeD="1"/>
</file>

<file path=xl/ctrlProps/ctrlProp65.xml><?xml version="1.0" encoding="utf-8"?>
<formControlPr xmlns="http://schemas.microsoft.com/office/spreadsheetml/2009/9/main" objectType="CheckBox" checked="Checked" fmlaLink="$HW$77" lockText="1" noThreeD="1"/>
</file>

<file path=xl/ctrlProps/ctrlProp66.xml><?xml version="1.0" encoding="utf-8"?>
<formControlPr xmlns="http://schemas.microsoft.com/office/spreadsheetml/2009/9/main" objectType="CheckBox" checked="Checked" fmlaLink="$HW$78" lockText="1" noThreeD="1"/>
</file>

<file path=xl/ctrlProps/ctrlProp67.xml><?xml version="1.0" encoding="utf-8"?>
<formControlPr xmlns="http://schemas.microsoft.com/office/spreadsheetml/2009/9/main" objectType="CheckBox" checked="Checked" fmlaLink="$HW$79" lockText="1" noThreeD="1"/>
</file>

<file path=xl/ctrlProps/ctrlProp68.xml><?xml version="1.0" encoding="utf-8"?>
<formControlPr xmlns="http://schemas.microsoft.com/office/spreadsheetml/2009/9/main" objectType="CheckBox" checked="Checked" fmlaLink="$HW$80" lockText="1" noThreeD="1"/>
</file>

<file path=xl/ctrlProps/ctrlProp69.xml><?xml version="1.0" encoding="utf-8"?>
<formControlPr xmlns="http://schemas.microsoft.com/office/spreadsheetml/2009/9/main" objectType="CheckBox" checked="Checked" fmlaLink="$HW$81" lockText="1" noThreeD="1"/>
</file>

<file path=xl/ctrlProps/ctrlProp7.xml><?xml version="1.0" encoding="utf-8"?>
<formControlPr xmlns="http://schemas.microsoft.com/office/spreadsheetml/2009/9/main" objectType="Drop" dropStyle="combo" dx="16" fmlaLink="$W$7" fmlaRange="RSCalc!$AN$16:$AN$20" sel="5" val="0"/>
</file>

<file path=xl/ctrlProps/ctrlProp70.xml><?xml version="1.0" encoding="utf-8"?>
<formControlPr xmlns="http://schemas.microsoft.com/office/spreadsheetml/2009/9/main" objectType="CheckBox" checked="Checked" fmlaLink="$HW$82" lockText="1" noThreeD="1"/>
</file>

<file path=xl/ctrlProps/ctrlProp71.xml><?xml version="1.0" encoding="utf-8"?>
<formControlPr xmlns="http://schemas.microsoft.com/office/spreadsheetml/2009/9/main" objectType="CheckBox" checked="Checked" fmlaLink="$HW$83" lockText="1" noThreeD="1"/>
</file>

<file path=xl/ctrlProps/ctrlProp72.xml><?xml version="1.0" encoding="utf-8"?>
<formControlPr xmlns="http://schemas.microsoft.com/office/spreadsheetml/2009/9/main" objectType="CheckBox" checked="Checked" fmlaLink="$HW$84" lockText="1" noThreeD="1"/>
</file>

<file path=xl/ctrlProps/ctrlProp73.xml><?xml version="1.0" encoding="utf-8"?>
<formControlPr xmlns="http://schemas.microsoft.com/office/spreadsheetml/2009/9/main" objectType="CheckBox" checked="Checked" fmlaLink="$HW$85" lockText="1" noThreeD="1"/>
</file>

<file path=xl/ctrlProps/ctrlProp74.xml><?xml version="1.0" encoding="utf-8"?>
<formControlPr xmlns="http://schemas.microsoft.com/office/spreadsheetml/2009/9/main" objectType="CheckBox" checked="Checked" fmlaLink="$HW$86" lockText="1" noThreeD="1"/>
</file>

<file path=xl/ctrlProps/ctrlProp75.xml><?xml version="1.0" encoding="utf-8"?>
<formControlPr xmlns="http://schemas.microsoft.com/office/spreadsheetml/2009/9/main" objectType="CheckBox" checked="Checked" fmlaLink="$HW$87" lockText="1" noThreeD="1"/>
</file>

<file path=xl/ctrlProps/ctrlProp76.xml><?xml version="1.0" encoding="utf-8"?>
<formControlPr xmlns="http://schemas.microsoft.com/office/spreadsheetml/2009/9/main" objectType="CheckBox" checked="Checked" fmlaLink="$HW$88" lockText="1" noThreeD="1"/>
</file>

<file path=xl/ctrlProps/ctrlProp77.xml><?xml version="1.0" encoding="utf-8"?>
<formControlPr xmlns="http://schemas.microsoft.com/office/spreadsheetml/2009/9/main" objectType="CheckBox" checked="Checked" fmlaLink="$HW$89" lockText="1" noThreeD="1"/>
</file>

<file path=xl/ctrlProps/ctrlProp78.xml><?xml version="1.0" encoding="utf-8"?>
<formControlPr xmlns="http://schemas.microsoft.com/office/spreadsheetml/2009/9/main" objectType="CheckBox" checked="Checked" fmlaLink="$HW$90" lockText="1" noThreeD="1"/>
</file>

<file path=xl/ctrlProps/ctrlProp79.xml><?xml version="1.0" encoding="utf-8"?>
<formControlPr xmlns="http://schemas.microsoft.com/office/spreadsheetml/2009/9/main" objectType="CheckBox" checked="Checked" fmlaLink="$HW$91" lockText="1" noThreeD="1"/>
</file>

<file path=xl/ctrlProps/ctrlProp8.xml><?xml version="1.0" encoding="utf-8"?>
<formControlPr xmlns="http://schemas.microsoft.com/office/spreadsheetml/2009/9/main" objectType="Drop" dropStyle="combo" dx="16" fmlaLink="$W$8" fmlaRange="RSCalc!$AP$16:$AP$18" sel="3" val="0"/>
</file>

<file path=xl/ctrlProps/ctrlProp80.xml><?xml version="1.0" encoding="utf-8"?>
<formControlPr xmlns="http://schemas.microsoft.com/office/spreadsheetml/2009/9/main" objectType="CheckBox" checked="Checked" fmlaLink="$HW$92" lockText="1" noThreeD="1"/>
</file>

<file path=xl/ctrlProps/ctrlProp81.xml><?xml version="1.0" encoding="utf-8"?>
<formControlPr xmlns="http://schemas.microsoft.com/office/spreadsheetml/2009/9/main" objectType="CheckBox" checked="Checked" fmlaLink="$HW$93" lockText="1" noThreeD="1"/>
</file>

<file path=xl/ctrlProps/ctrlProp82.xml><?xml version="1.0" encoding="utf-8"?>
<formControlPr xmlns="http://schemas.microsoft.com/office/spreadsheetml/2009/9/main" objectType="CheckBox" checked="Checked" fmlaLink="$HW$94" lockText="1" noThreeD="1"/>
</file>

<file path=xl/ctrlProps/ctrlProp83.xml><?xml version="1.0" encoding="utf-8"?>
<formControlPr xmlns="http://schemas.microsoft.com/office/spreadsheetml/2009/9/main" objectType="CheckBox" checked="Checked" fmlaLink="$HW$95" lockText="1" noThreeD="1"/>
</file>

<file path=xl/ctrlProps/ctrlProp84.xml><?xml version="1.0" encoding="utf-8"?>
<formControlPr xmlns="http://schemas.microsoft.com/office/spreadsheetml/2009/9/main" objectType="CheckBox" checked="Checked" fmlaLink="$HW$96" lockText="1" noThreeD="1"/>
</file>

<file path=xl/ctrlProps/ctrlProp85.xml><?xml version="1.0" encoding="utf-8"?>
<formControlPr xmlns="http://schemas.microsoft.com/office/spreadsheetml/2009/9/main" objectType="CheckBox" checked="Checked" fmlaLink="$HW$97" lockText="1" noThreeD="1"/>
</file>

<file path=xl/ctrlProps/ctrlProp86.xml><?xml version="1.0" encoding="utf-8"?>
<formControlPr xmlns="http://schemas.microsoft.com/office/spreadsheetml/2009/9/main" objectType="CheckBox" checked="Checked" fmlaLink="$HW$98" lockText="1" noThreeD="1"/>
</file>

<file path=xl/ctrlProps/ctrlProp87.xml><?xml version="1.0" encoding="utf-8"?>
<formControlPr xmlns="http://schemas.microsoft.com/office/spreadsheetml/2009/9/main" objectType="CheckBox" checked="Checked" fmlaLink="$HW$99" lockText="1" noThreeD="1"/>
</file>

<file path=xl/ctrlProps/ctrlProp88.xml><?xml version="1.0" encoding="utf-8"?>
<formControlPr xmlns="http://schemas.microsoft.com/office/spreadsheetml/2009/9/main" objectType="CheckBox" checked="Checked" fmlaLink="$HW$100" lockText="1" noThreeD="1"/>
</file>

<file path=xl/ctrlProps/ctrlProp89.xml><?xml version="1.0" encoding="utf-8"?>
<formControlPr xmlns="http://schemas.microsoft.com/office/spreadsheetml/2009/9/main" objectType="CheckBox" checked="Checked" fmlaLink="$HW$101" lockText="1" noThreeD="1"/>
</file>

<file path=xl/ctrlProps/ctrlProp9.xml><?xml version="1.0" encoding="utf-8"?>
<formControlPr xmlns="http://schemas.microsoft.com/office/spreadsheetml/2009/9/main" objectType="Drop" dropStyle="combo" dx="16" fmlaLink="LookUps!$E$178" fmlaRange="RSCalc!$AR$16:$AR$18" sel="2" val="0"/>
</file>

<file path=xl/ctrlProps/ctrlProp90.xml><?xml version="1.0" encoding="utf-8"?>
<formControlPr xmlns="http://schemas.microsoft.com/office/spreadsheetml/2009/9/main" objectType="CheckBox" checked="Checked" fmlaLink="$HW$102" lockText="1" noThreeD="1"/>
</file>

<file path=xl/ctrlProps/ctrlProp91.xml><?xml version="1.0" encoding="utf-8"?>
<formControlPr xmlns="http://schemas.microsoft.com/office/spreadsheetml/2009/9/main" objectType="CheckBox" checked="Checked" fmlaLink="$HW$103" lockText="1" noThreeD="1"/>
</file>

<file path=xl/ctrlProps/ctrlProp92.xml><?xml version="1.0" encoding="utf-8"?>
<formControlPr xmlns="http://schemas.microsoft.com/office/spreadsheetml/2009/9/main" objectType="CheckBox" checked="Checked" fmlaLink="$HW$104" lockText="1" noThreeD="1"/>
</file>

<file path=xl/ctrlProps/ctrlProp93.xml><?xml version="1.0" encoding="utf-8"?>
<formControlPr xmlns="http://schemas.microsoft.com/office/spreadsheetml/2009/9/main" objectType="CheckBox" checked="Checked" fmlaLink="$HW$105" lockText="1" noThreeD="1"/>
</file>

<file path=xl/ctrlProps/ctrlProp94.xml><?xml version="1.0" encoding="utf-8"?>
<formControlPr xmlns="http://schemas.microsoft.com/office/spreadsheetml/2009/9/main" objectType="CheckBox" checked="Checked" fmlaLink="$HW$106" lockText="1" noThreeD="1"/>
</file>

<file path=xl/ctrlProps/ctrlProp95.xml><?xml version="1.0" encoding="utf-8"?>
<formControlPr xmlns="http://schemas.microsoft.com/office/spreadsheetml/2009/9/main" objectType="CheckBox" checked="Checked" fmlaLink="$HW$107" lockText="1" noThreeD="1"/>
</file>

<file path=xl/ctrlProps/ctrlProp96.xml><?xml version="1.0" encoding="utf-8"?>
<formControlPr xmlns="http://schemas.microsoft.com/office/spreadsheetml/2009/9/main" objectType="CheckBox" checked="Checked" fmlaLink="$HW$108" lockText="1" noThreeD="1"/>
</file>

<file path=xl/ctrlProps/ctrlProp97.xml><?xml version="1.0" encoding="utf-8"?>
<formControlPr xmlns="http://schemas.microsoft.com/office/spreadsheetml/2009/9/main" objectType="CheckBox" checked="Checked" fmlaLink="$HW$109" lockText="1" noThreeD="1"/>
</file>

<file path=xl/ctrlProps/ctrlProp98.xml><?xml version="1.0" encoding="utf-8"?>
<formControlPr xmlns="http://schemas.microsoft.com/office/spreadsheetml/2009/9/main" objectType="CheckBox" checked="Checked" fmlaLink="$HW$110" lockText="1" noThreeD="1"/>
</file>

<file path=xl/ctrlProps/ctrlProp99.xml><?xml version="1.0" encoding="utf-8"?>
<formControlPr xmlns="http://schemas.microsoft.com/office/spreadsheetml/2009/9/main" objectType="CheckBox" checked="Checked" fmlaLink="$HW$111"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youtube.com/watch?v=ya56vuzRNlo" TargetMode="External"/><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55</xdr:col>
      <xdr:colOff>24044</xdr:colOff>
      <xdr:row>2</xdr:row>
      <xdr:rowOff>63500</xdr:rowOff>
    </xdr:from>
    <xdr:to>
      <xdr:col>65</xdr:col>
      <xdr:colOff>3</xdr:colOff>
      <xdr:row>13</xdr:row>
      <xdr:rowOff>137583</xdr:rowOff>
    </xdr:to>
    <xdr:grpSp>
      <xdr:nvGrpSpPr>
        <xdr:cNvPr id="92" name="AirDistModel">
          <a:extLst>
            <a:ext uri="{FF2B5EF4-FFF2-40B4-BE49-F238E27FC236}">
              <a16:creationId xmlns:a16="http://schemas.microsoft.com/office/drawing/2014/main" id="{00000000-0008-0000-0200-00005C000000}"/>
            </a:ext>
          </a:extLst>
        </xdr:cNvPr>
        <xdr:cNvGrpSpPr/>
      </xdr:nvGrpSpPr>
      <xdr:grpSpPr>
        <a:xfrm>
          <a:off x="30192618" y="355048"/>
          <a:ext cx="4839504" cy="2360083"/>
          <a:chOff x="11791950" y="114300"/>
          <a:chExt cx="4514850" cy="3524250"/>
        </a:xfrm>
      </xdr:grpSpPr>
      <xdr:sp macro="" textlink="">
        <xdr:nvSpPr>
          <xdr:cNvPr id="94" name="Rectangle 93">
            <a:extLst>
              <a:ext uri="{FF2B5EF4-FFF2-40B4-BE49-F238E27FC236}">
                <a16:creationId xmlns:a16="http://schemas.microsoft.com/office/drawing/2014/main" id="{00000000-0008-0000-0200-00005E000000}"/>
              </a:ext>
            </a:extLst>
          </xdr:cNvPr>
          <xdr:cNvSpPr/>
        </xdr:nvSpPr>
        <xdr:spPr>
          <a:xfrm>
            <a:off x="11791950" y="114300"/>
            <a:ext cx="4514850" cy="35242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6" name="Group 95">
            <a:extLst>
              <a:ext uri="{FF2B5EF4-FFF2-40B4-BE49-F238E27FC236}">
                <a16:creationId xmlns:a16="http://schemas.microsoft.com/office/drawing/2014/main" id="{00000000-0008-0000-0200-000060000000}"/>
              </a:ext>
            </a:extLst>
          </xdr:cNvPr>
          <xdr:cNvGrpSpPr/>
        </xdr:nvGrpSpPr>
        <xdr:grpSpPr>
          <a:xfrm>
            <a:off x="11868150" y="141142"/>
            <a:ext cx="4369245" cy="3401292"/>
            <a:chOff x="12841200" y="4225148"/>
            <a:chExt cx="4369245" cy="3401292"/>
          </a:xfrm>
        </xdr:grpSpPr>
        <xdr:grpSp>
          <xdr:nvGrpSpPr>
            <xdr:cNvPr id="103" name="Group 102">
              <a:extLst>
                <a:ext uri="{FF2B5EF4-FFF2-40B4-BE49-F238E27FC236}">
                  <a16:creationId xmlns:a16="http://schemas.microsoft.com/office/drawing/2014/main" id="{00000000-0008-0000-0200-000067000000}"/>
                </a:ext>
              </a:extLst>
            </xdr:cNvPr>
            <xdr:cNvGrpSpPr/>
          </xdr:nvGrpSpPr>
          <xdr:grpSpPr>
            <a:xfrm>
              <a:off x="14001840" y="4478019"/>
              <a:ext cx="492514" cy="206194"/>
              <a:chOff x="15764680" y="2827584"/>
              <a:chExt cx="488861" cy="201367"/>
            </a:xfrm>
          </xdr:grpSpPr>
          <xdr:sp macro="" textlink="">
            <xdr:nvSpPr>
              <xdr:cNvPr id="187" name="Rectangle 186">
                <a:extLst>
                  <a:ext uri="{FF2B5EF4-FFF2-40B4-BE49-F238E27FC236}">
                    <a16:creationId xmlns:a16="http://schemas.microsoft.com/office/drawing/2014/main" id="{00000000-0008-0000-0200-0000BB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88" name="Trapezoid 187">
                <a:extLst>
                  <a:ext uri="{FF2B5EF4-FFF2-40B4-BE49-F238E27FC236}">
                    <a16:creationId xmlns:a16="http://schemas.microsoft.com/office/drawing/2014/main" id="{00000000-0008-0000-0200-0000BC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grpSp>
          <xdr:nvGrpSpPr>
            <xdr:cNvPr id="104" name="Group 103">
              <a:extLst>
                <a:ext uri="{FF2B5EF4-FFF2-40B4-BE49-F238E27FC236}">
                  <a16:creationId xmlns:a16="http://schemas.microsoft.com/office/drawing/2014/main" id="{00000000-0008-0000-0200-000068000000}"/>
                </a:ext>
              </a:extLst>
            </xdr:cNvPr>
            <xdr:cNvGrpSpPr/>
          </xdr:nvGrpSpPr>
          <xdr:grpSpPr>
            <a:xfrm>
              <a:off x="16306467" y="4474598"/>
              <a:ext cx="488861" cy="201367"/>
              <a:chOff x="15764680" y="2827584"/>
              <a:chExt cx="488861" cy="201367"/>
            </a:xfrm>
          </xdr:grpSpPr>
          <xdr:sp macro="" textlink="">
            <xdr:nvSpPr>
              <xdr:cNvPr id="185" name="Rectangle 184">
                <a:extLst>
                  <a:ext uri="{FF2B5EF4-FFF2-40B4-BE49-F238E27FC236}">
                    <a16:creationId xmlns:a16="http://schemas.microsoft.com/office/drawing/2014/main" id="{00000000-0008-0000-0200-0000B9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86" name="Trapezoid 185">
                <a:extLst>
                  <a:ext uri="{FF2B5EF4-FFF2-40B4-BE49-F238E27FC236}">
                    <a16:creationId xmlns:a16="http://schemas.microsoft.com/office/drawing/2014/main" id="{00000000-0008-0000-0200-0000BA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sp macro="" textlink="">
          <xdr:nvSpPr>
            <xdr:cNvPr id="105" name="Rectangle 104">
              <a:extLst>
                <a:ext uri="{FF2B5EF4-FFF2-40B4-BE49-F238E27FC236}">
                  <a16:creationId xmlns:a16="http://schemas.microsoft.com/office/drawing/2014/main" id="{00000000-0008-0000-0200-000069000000}"/>
                </a:ext>
              </a:extLst>
            </xdr:cNvPr>
            <xdr:cNvSpPr/>
          </xdr:nvSpPr>
          <xdr:spPr>
            <a:xfrm>
              <a:off x="13691516" y="5757600"/>
              <a:ext cx="3518929" cy="1837524"/>
            </a:xfrm>
            <a:prstGeom prst="rect">
              <a:avLst/>
            </a:prstGeom>
            <a:solidFill>
              <a:srgbClr val="00B0F0"/>
            </a:solid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13164414" y="5928393"/>
              <a:ext cx="594996" cy="9565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m from outside wall</a:t>
              </a:r>
            </a:p>
          </xdr:txBody>
        </xdr:sp>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13223784" y="6809455"/>
              <a:ext cx="553859" cy="8169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ft from interior wall</a:t>
              </a:r>
            </a:p>
          </xdr:txBody>
        </xdr:sp>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14548578" y="5779677"/>
              <a:ext cx="1739749" cy="7573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a:ea typeface="+mn-ea"/>
                  <a:cs typeface="+mn-cs"/>
                </a:rPr>
                <a:t>OCCUPIED ZONE</a:t>
              </a:r>
            </a:p>
          </xdr:txBody>
        </xdr:sp>
        <xdr:cxnSp macro="">
          <xdr:nvCxnSpPr>
            <xdr:cNvPr id="111" name="Straight Connector 110">
              <a:extLst>
                <a:ext uri="{FF2B5EF4-FFF2-40B4-BE49-F238E27FC236}">
                  <a16:creationId xmlns:a16="http://schemas.microsoft.com/office/drawing/2014/main" id="{00000000-0008-0000-0200-00006F000000}"/>
                </a:ext>
              </a:extLst>
            </xdr:cNvPr>
            <xdr:cNvCxnSpPr/>
          </xdr:nvCxnSpPr>
          <xdr:spPr>
            <a:xfrm flipH="1">
              <a:off x="16965525" y="5771955"/>
              <a:ext cx="11287" cy="1846947"/>
            </a:xfrm>
            <a:prstGeom prst="line">
              <a:avLst/>
            </a:prstGeom>
            <a:noFill/>
            <a:ln w="9525" cap="flat" cmpd="sng" algn="ctr">
              <a:solidFill>
                <a:sysClr val="window" lastClr="FFFFFF"/>
              </a:solidFill>
              <a:prstDash val="solid"/>
              <a:headEnd type="triangle" w="med" len="med"/>
              <a:tailEnd type="triangle" w="med" len="med"/>
            </a:ln>
            <a:effectLst/>
          </xdr:spPr>
        </xdr:cxnSp>
        <xdr:sp macro="" textlink="">
          <xdr:nvSpPr>
            <xdr:cNvPr id="112" name="Rectangle 111">
              <a:extLst>
                <a:ext uri="{FF2B5EF4-FFF2-40B4-BE49-F238E27FC236}">
                  <a16:creationId xmlns:a16="http://schemas.microsoft.com/office/drawing/2014/main" id="{00000000-0008-0000-0200-000070000000}"/>
                </a:ext>
              </a:extLst>
            </xdr:cNvPr>
            <xdr:cNvSpPr/>
          </xdr:nvSpPr>
          <xdr:spPr>
            <a:xfrm>
              <a:off x="16896961" y="6632468"/>
              <a:ext cx="160815" cy="266766"/>
            </a:xfrm>
            <a:prstGeom prst="rect">
              <a:avLst/>
            </a:prstGeom>
            <a:solidFill>
              <a:srgbClr val="00B0F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16748216" y="6613420"/>
              <a:ext cx="432497" cy="228073"/>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a:ea typeface="+mn-ea"/>
                  <a:cs typeface="+mn-cs"/>
                </a:rPr>
                <a:t>H</a:t>
              </a:r>
              <a:r>
                <a:rPr kumimoji="0" lang="en-US" sz="1100" b="1" i="0" u="none" strike="noStrike" kern="0" cap="none" spc="0" normalizeH="0" baseline="-25000" noProof="0">
                  <a:ln>
                    <a:noFill/>
                  </a:ln>
                  <a:solidFill>
                    <a:sysClr val="window" lastClr="FFFFFF"/>
                  </a:solidFill>
                  <a:effectLst/>
                  <a:uLnTx/>
                  <a:uFillTx/>
                  <a:latin typeface="Calibri"/>
                  <a:ea typeface="+mn-ea"/>
                  <a:cs typeface="+mn-cs"/>
                </a:rPr>
                <a:t>OZ</a:t>
              </a:r>
            </a:p>
          </xdr:txBody>
        </xdr:sp>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13850850" y="6256793"/>
              <a:ext cx="2900271" cy="1334780"/>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1" u="none" strike="noStrike" kern="0" cap="none" spc="0" normalizeH="0" baseline="0" noProof="0">
                  <a:ln>
                    <a:noFill/>
                  </a:ln>
                  <a:solidFill>
                    <a:sysClr val="window" lastClr="FFFFFF"/>
                  </a:solidFill>
                  <a:effectLst/>
                  <a:uLnTx/>
                  <a:uFillTx/>
                  <a:latin typeface="Calibri"/>
                  <a:ea typeface="+mn-ea"/>
                  <a:cs typeface="+mn-cs"/>
                </a:rPr>
                <a:t>The occupied zone defined by ASHRAE Standard 55-2013 exempts the room volume within 1 ft. of an interior wall and 1 m from an exterior wall/window. Its height is that of the head level of its predominant  occupancy.</a:t>
              </a:r>
            </a:p>
          </xdr:txBody>
        </xdr:sp>
        <xdr:cxnSp macro="">
          <xdr:nvCxnSpPr>
            <xdr:cNvPr id="115" name="Straight Connector 114">
              <a:extLst>
                <a:ext uri="{FF2B5EF4-FFF2-40B4-BE49-F238E27FC236}">
                  <a16:creationId xmlns:a16="http://schemas.microsoft.com/office/drawing/2014/main" id="{00000000-0008-0000-0200-000073000000}"/>
                </a:ext>
              </a:extLst>
            </xdr:cNvPr>
            <xdr:cNvCxnSpPr/>
          </xdr:nvCxnSpPr>
          <xdr:spPr>
            <a:xfrm flipH="1" flipV="1">
              <a:off x="16972050" y="4698500"/>
              <a:ext cx="4763" cy="1049578"/>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16" name="Rectangle 115">
              <a:extLst>
                <a:ext uri="{FF2B5EF4-FFF2-40B4-BE49-F238E27FC236}">
                  <a16:creationId xmlns:a16="http://schemas.microsoft.com/office/drawing/2014/main" id="{00000000-0008-0000-0200-000074000000}"/>
                </a:ext>
              </a:extLst>
            </xdr:cNvPr>
            <xdr:cNvSpPr/>
          </xdr:nvSpPr>
          <xdr:spPr>
            <a:xfrm>
              <a:off x="16787420" y="5012890"/>
              <a:ext cx="375128" cy="257175"/>
            </a:xfrm>
            <a:prstGeom prst="rect">
              <a:avLst/>
            </a:prstGeom>
            <a:solidFill>
              <a:sysClr val="window" lastClr="FFFFFF">
                <a:lumMod val="95000"/>
              </a:sys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16787421" y="5027177"/>
              <a:ext cx="394178" cy="2333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1050" b="1"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118" name="Diamond 117">
              <a:extLst>
                <a:ext uri="{FF2B5EF4-FFF2-40B4-BE49-F238E27FC236}">
                  <a16:creationId xmlns:a16="http://schemas.microsoft.com/office/drawing/2014/main" id="{00000000-0008-0000-0200-000076000000}"/>
                </a:ext>
              </a:extLst>
            </xdr:cNvPr>
            <xdr:cNvSpPr/>
          </xdr:nvSpPr>
          <xdr:spPr>
            <a:xfrm>
              <a:off x="15337075" y="5700452"/>
              <a:ext cx="104775" cy="109602"/>
            </a:xfrm>
            <a:prstGeom prst="diamond">
              <a:avLst/>
            </a:prstGeom>
            <a:solidFill>
              <a:srgbClr val="1F497D"/>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9" name="Arc 118">
              <a:extLst>
                <a:ext uri="{FF2B5EF4-FFF2-40B4-BE49-F238E27FC236}">
                  <a16:creationId xmlns:a16="http://schemas.microsoft.com/office/drawing/2014/main" id="{00000000-0008-0000-0200-000077000000}"/>
                </a:ext>
              </a:extLst>
            </xdr:cNvPr>
            <xdr:cNvSpPr/>
          </xdr:nvSpPr>
          <xdr:spPr>
            <a:xfrm rot="16200000">
              <a:off x="15322205" y="4803864"/>
              <a:ext cx="533465" cy="398940"/>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0" name="Arc 119">
              <a:extLst>
                <a:ext uri="{FF2B5EF4-FFF2-40B4-BE49-F238E27FC236}">
                  <a16:creationId xmlns:a16="http://schemas.microsoft.com/office/drawing/2014/main" id="{00000000-0008-0000-0200-000078000000}"/>
                </a:ext>
              </a:extLst>
            </xdr:cNvPr>
            <xdr:cNvSpPr/>
          </xdr:nvSpPr>
          <xdr:spPr>
            <a:xfrm rot="5400000" flipH="1">
              <a:off x="14923261" y="4794336"/>
              <a:ext cx="533465" cy="398941"/>
            </a:xfrm>
            <a:prstGeom prst="arc">
              <a:avLst>
                <a:gd name="adj1" fmla="val 16236964"/>
                <a:gd name="adj2" fmla="val 0"/>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1" name="Freeform 120">
              <a:extLst>
                <a:ext uri="{FF2B5EF4-FFF2-40B4-BE49-F238E27FC236}">
                  <a16:creationId xmlns:a16="http://schemas.microsoft.com/office/drawing/2014/main" id="{00000000-0008-0000-0200-000079000000}"/>
                </a:ext>
              </a:extLst>
            </xdr:cNvPr>
            <xdr:cNvSpPr/>
          </xdr:nvSpPr>
          <xdr:spPr>
            <a:xfrm>
              <a:off x="15575202" y="4688975"/>
              <a:ext cx="740732" cy="47625"/>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22" name="Freeform 121">
              <a:extLst>
                <a:ext uri="{FF2B5EF4-FFF2-40B4-BE49-F238E27FC236}">
                  <a16:creationId xmlns:a16="http://schemas.microsoft.com/office/drawing/2014/main" id="{00000000-0008-0000-0200-00007A000000}"/>
                </a:ext>
              </a:extLst>
            </xdr:cNvPr>
            <xdr:cNvSpPr/>
          </xdr:nvSpPr>
          <xdr:spPr>
            <a:xfrm flipH="1">
              <a:off x="14466648" y="4674622"/>
              <a:ext cx="737079" cy="52452"/>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3" name="Straight Arrow Connector 122">
              <a:extLst>
                <a:ext uri="{FF2B5EF4-FFF2-40B4-BE49-F238E27FC236}">
                  <a16:creationId xmlns:a16="http://schemas.microsoft.com/office/drawing/2014/main" id="{00000000-0008-0000-0200-00007B000000}"/>
                </a:ext>
              </a:extLst>
            </xdr:cNvPr>
            <xdr:cNvCxnSpPr>
              <a:stCxn id="119" idx="0"/>
            </xdr:cNvCxnSpPr>
          </xdr:nvCxnSpPr>
          <xdr:spPr>
            <a:xfrm flipH="1">
              <a:off x="15389465" y="5003622"/>
              <a:ext cx="9" cy="634917"/>
            </a:xfrm>
            <a:prstGeom prst="straightConnector1">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124" name="Arc 123">
              <a:extLst>
                <a:ext uri="{FF2B5EF4-FFF2-40B4-BE49-F238E27FC236}">
                  <a16:creationId xmlns:a16="http://schemas.microsoft.com/office/drawing/2014/main" id="{00000000-0008-0000-0200-00007C000000}"/>
                </a:ext>
              </a:extLst>
            </xdr:cNvPr>
            <xdr:cNvSpPr/>
          </xdr:nvSpPr>
          <xdr:spPr>
            <a:xfrm rot="16200000">
              <a:off x="13213914" y="4796164"/>
              <a:ext cx="533465" cy="395287"/>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5" name="Freeform 124">
              <a:extLst>
                <a:ext uri="{FF2B5EF4-FFF2-40B4-BE49-F238E27FC236}">
                  <a16:creationId xmlns:a16="http://schemas.microsoft.com/office/drawing/2014/main" id="{00000000-0008-0000-0200-00007D000000}"/>
                </a:ext>
              </a:extLst>
            </xdr:cNvPr>
            <xdr:cNvSpPr/>
          </xdr:nvSpPr>
          <xdr:spPr>
            <a:xfrm>
              <a:off x="13473504" y="4674622"/>
              <a:ext cx="551341" cy="50546"/>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6" name="Straight Connector 125">
              <a:extLst>
                <a:ext uri="{FF2B5EF4-FFF2-40B4-BE49-F238E27FC236}">
                  <a16:creationId xmlns:a16="http://schemas.microsoft.com/office/drawing/2014/main" id="{00000000-0008-0000-0200-00007E000000}"/>
                </a:ext>
              </a:extLst>
            </xdr:cNvPr>
            <xdr:cNvCxnSpPr>
              <a:endCxn id="128" idx="0"/>
            </xdr:cNvCxnSpPr>
          </xdr:nvCxnSpPr>
          <xdr:spPr>
            <a:xfrm flipH="1">
              <a:off x="13283004" y="4984315"/>
              <a:ext cx="2" cy="739950"/>
            </a:xfrm>
            <a:prstGeom prst="line">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13192624" y="5643142"/>
              <a:ext cx="527828" cy="29477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C00000"/>
                  </a:solidFill>
                  <a:effectLst/>
                  <a:uLnTx/>
                  <a:uFillTx/>
                  <a:latin typeface="Calibri"/>
                  <a:ea typeface="+mn-ea"/>
                  <a:cs typeface="+mn-cs"/>
                </a:rPr>
                <a:t>V</a:t>
              </a:r>
              <a:r>
                <a:rPr kumimoji="0" lang="en-US" sz="1100" b="1" i="0" u="none" strike="noStrike" kern="0" cap="none" spc="0" normalizeH="0" baseline="-25000" noProof="0">
                  <a:ln>
                    <a:noFill/>
                  </a:ln>
                  <a:solidFill>
                    <a:srgbClr val="C00000"/>
                  </a:solidFill>
                  <a:effectLst/>
                  <a:uLnTx/>
                  <a:uFillTx/>
                  <a:latin typeface="Calibri"/>
                  <a:ea typeface="+mn-ea"/>
                  <a:cs typeface="+mn-cs"/>
                </a:rPr>
                <a:t>W</a:t>
              </a:r>
            </a:p>
          </xdr:txBody>
        </xdr:sp>
        <xdr:sp macro="" textlink="">
          <xdr:nvSpPr>
            <xdr:cNvPr id="128" name="Diamond 127">
              <a:extLst>
                <a:ext uri="{FF2B5EF4-FFF2-40B4-BE49-F238E27FC236}">
                  <a16:creationId xmlns:a16="http://schemas.microsoft.com/office/drawing/2014/main" id="{00000000-0008-0000-0200-000080000000}"/>
                </a:ext>
              </a:extLst>
            </xdr:cNvPr>
            <xdr:cNvSpPr/>
          </xdr:nvSpPr>
          <xdr:spPr>
            <a:xfrm>
              <a:off x="13230616" y="5724265"/>
              <a:ext cx="104775" cy="109602"/>
            </a:xfrm>
            <a:prstGeom prst="diamond">
              <a:avLst/>
            </a:prstGeom>
            <a:solidFill>
              <a:srgbClr val="C0000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flipH="1" flipV="1">
              <a:off x="14253446" y="4264982"/>
              <a:ext cx="2" cy="209617"/>
            </a:xfrm>
            <a:prstGeom prst="line">
              <a:avLst/>
            </a:prstGeom>
            <a:noFill/>
            <a:ln w="9525" cap="flat" cmpd="sng" algn="ctr">
              <a:solidFill>
                <a:sysClr val="windowText" lastClr="000000"/>
              </a:solidFill>
              <a:prstDash val="solid"/>
            </a:ln>
            <a:effectLst/>
          </xdr:spPr>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flipH="1" flipV="1">
              <a:off x="16554059" y="4274507"/>
              <a:ext cx="2" cy="209617"/>
            </a:xfrm>
            <a:prstGeom prst="line">
              <a:avLst/>
            </a:prstGeom>
            <a:noFill/>
            <a:ln w="9525" cap="flat" cmpd="sng" algn="ctr">
              <a:solidFill>
                <a:sysClr val="windowText" lastClr="000000"/>
              </a:solidFill>
              <a:prstDash val="solid"/>
            </a:ln>
            <a:effectLst/>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14253445" y="4312607"/>
              <a:ext cx="2300614"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76" name="TextBox 175">
              <a:extLst>
                <a:ext uri="{FF2B5EF4-FFF2-40B4-BE49-F238E27FC236}">
                  <a16:creationId xmlns:a16="http://schemas.microsoft.com/office/drawing/2014/main" id="{00000000-0008-0000-0200-0000B0000000}"/>
                </a:ext>
              </a:extLst>
            </xdr:cNvPr>
            <xdr:cNvSpPr txBox="1"/>
          </xdr:nvSpPr>
          <xdr:spPr>
            <a:xfrm>
              <a:off x="14494171" y="4225148"/>
              <a:ext cx="1718879" cy="185735"/>
            </a:xfrm>
            <a:prstGeom prst="rect">
              <a:avLst/>
            </a:prstGeom>
            <a:solidFill>
              <a:sysClr val="window" lastClr="FFFFFF">
                <a:lumMod val="95000"/>
              </a:sysClr>
            </a:solidFill>
            <a:ln w="9525" cmpd="sng">
              <a:noFill/>
            </a:ln>
            <a:effectLst/>
          </xdr:spPr>
          <xdr:txBody>
            <a:bodyPr vertOverflow="clip" horzOverflow="clip" wrap="square" lIns="0" tIns="0" rIns="0" bIns="0"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Centerline Spacing (C)</a:t>
              </a:r>
            </a:p>
          </xdr:txBody>
        </xdr: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flipH="1" flipV="1">
              <a:off x="13230616" y="4274507"/>
              <a:ext cx="4765" cy="381068"/>
            </a:xfrm>
            <a:prstGeom prst="line">
              <a:avLst/>
            </a:prstGeom>
            <a:noFill/>
            <a:ln w="9525" cap="flat" cmpd="sng" algn="ctr">
              <a:solidFill>
                <a:sysClr val="windowText" lastClr="000000"/>
              </a:solidFill>
              <a:prstDash val="solid"/>
            </a:ln>
            <a:effectLst/>
          </xdr:spPr>
        </xdr:cxnSp>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13230616" y="4312607"/>
              <a:ext cx="1022829"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79" name="TextBox 178">
              <a:extLst>
                <a:ext uri="{FF2B5EF4-FFF2-40B4-BE49-F238E27FC236}">
                  <a16:creationId xmlns:a16="http://schemas.microsoft.com/office/drawing/2014/main" id="{00000000-0008-0000-0200-0000B3000000}"/>
                </a:ext>
              </a:extLst>
            </xdr:cNvPr>
            <xdr:cNvSpPr txBox="1"/>
          </xdr:nvSpPr>
          <xdr:spPr>
            <a:xfrm>
              <a:off x="13606853" y="4236406"/>
              <a:ext cx="375129" cy="157228"/>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X</a:t>
              </a:r>
            </a:p>
          </xdr:txBody>
        </xdr: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12893588" y="4684212"/>
              <a:ext cx="323854" cy="1"/>
            </a:xfrm>
            <a:prstGeom prst="line">
              <a:avLst/>
            </a:prstGeom>
            <a:noFill/>
            <a:ln w="9525" cap="flat" cmpd="sng" algn="ctr">
              <a:solidFill>
                <a:sysClr val="windowText" lastClr="000000"/>
              </a:solidFill>
              <a:prstDash val="solid"/>
            </a:ln>
            <a:effectLst/>
          </xdr:spPr>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12988838" y="5791004"/>
              <a:ext cx="228604" cy="1"/>
            </a:xfrm>
            <a:prstGeom prst="line">
              <a:avLst/>
            </a:prstGeom>
            <a:noFill/>
            <a:ln w="9525" cap="flat" cmpd="sng" algn="ctr">
              <a:solidFill>
                <a:sysClr val="windowText" lastClr="000000"/>
              </a:solidFill>
              <a:prstDash val="solid"/>
            </a:ln>
            <a:effectLst/>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13031701" y="4688975"/>
              <a:ext cx="0" cy="110203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83" name="TextBox 182">
              <a:extLst>
                <a:ext uri="{FF2B5EF4-FFF2-40B4-BE49-F238E27FC236}">
                  <a16:creationId xmlns:a16="http://schemas.microsoft.com/office/drawing/2014/main" id="{00000000-0008-0000-0200-0000B7000000}"/>
                </a:ext>
              </a:extLst>
            </xdr:cNvPr>
            <xdr:cNvSpPr txBox="1"/>
          </xdr:nvSpPr>
          <xdr:spPr>
            <a:xfrm>
              <a:off x="12841200" y="5112903"/>
              <a:ext cx="389416" cy="363711"/>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900" b="0"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184" name="TextBox 183">
              <a:extLst>
                <a:ext uri="{FF2B5EF4-FFF2-40B4-BE49-F238E27FC236}">
                  <a16:creationId xmlns:a16="http://schemas.microsoft.com/office/drawing/2014/main" id="{00000000-0008-0000-0200-0000B8000000}"/>
                </a:ext>
              </a:extLst>
            </xdr:cNvPr>
            <xdr:cNvSpPr txBox="1"/>
          </xdr:nvSpPr>
          <xdr:spPr>
            <a:xfrm>
              <a:off x="15358361" y="5459154"/>
              <a:ext cx="451878" cy="31857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Calibri"/>
                  <a:ea typeface="+mn-ea"/>
                  <a:cs typeface="+mn-cs"/>
                </a:rPr>
                <a:t>V</a:t>
              </a:r>
              <a:r>
                <a:rPr kumimoji="0" lang="en-US" sz="1200" b="1" i="0" u="none" strike="noStrike" kern="0" cap="none" spc="0" normalizeH="0" baseline="-25000" noProof="0">
                  <a:ln>
                    <a:noFill/>
                  </a:ln>
                  <a:solidFill>
                    <a:srgbClr val="0070C0"/>
                  </a:solidFill>
                  <a:effectLst/>
                  <a:uLnTx/>
                  <a:uFillTx/>
                  <a:latin typeface="Calibri"/>
                  <a:ea typeface="+mn-ea"/>
                  <a:cs typeface="+mn-cs"/>
                </a:rPr>
                <a:t>OZ</a:t>
              </a:r>
            </a:p>
          </xdr:txBody>
        </xdr:sp>
      </xdr:grpSp>
      <xdr:sp macro="" textlink="">
        <xdr:nvSpPr>
          <xdr:cNvPr id="98" name="Rectangle 97">
            <a:extLst>
              <a:ext uri="{FF2B5EF4-FFF2-40B4-BE49-F238E27FC236}">
                <a16:creationId xmlns:a16="http://schemas.microsoft.com/office/drawing/2014/main" id="{00000000-0008-0000-0200-000062000000}"/>
              </a:ext>
            </a:extLst>
          </xdr:cNvPr>
          <xdr:cNvSpPr/>
        </xdr:nvSpPr>
        <xdr:spPr>
          <a:xfrm>
            <a:off x="12258675" y="600075"/>
            <a:ext cx="3962400" cy="2914650"/>
          </a:xfrm>
          <a:prstGeom prst="rect">
            <a:avLst/>
          </a:prstGeom>
          <a:noFill/>
          <a:ln w="9525">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73269</xdr:colOff>
      <xdr:row>1</xdr:row>
      <xdr:rowOff>182096</xdr:rowOff>
    </xdr:from>
    <xdr:to>
      <xdr:col>19</xdr:col>
      <xdr:colOff>481503</xdr:colOff>
      <xdr:row>14</xdr:row>
      <xdr:rowOff>95251</xdr:rowOff>
    </xdr:to>
    <xdr:grpSp>
      <xdr:nvGrpSpPr>
        <xdr:cNvPr id="4" name="GlobalGraphics">
          <a:extLst>
            <a:ext uri="{FF2B5EF4-FFF2-40B4-BE49-F238E27FC236}">
              <a16:creationId xmlns:a16="http://schemas.microsoft.com/office/drawing/2014/main" id="{00000000-0008-0000-0200-000004000000}"/>
            </a:ext>
          </a:extLst>
        </xdr:cNvPr>
        <xdr:cNvGrpSpPr/>
      </xdr:nvGrpSpPr>
      <xdr:grpSpPr>
        <a:xfrm>
          <a:off x="358191" y="228479"/>
          <a:ext cx="12838773" cy="2682859"/>
          <a:chOff x="219807" y="379923"/>
          <a:chExt cx="12483004" cy="2748674"/>
        </a:xfrm>
      </xdr:grpSpPr>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4737018" y="1286376"/>
            <a:ext cx="281928" cy="20099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783594" y="1800831"/>
            <a:ext cx="1308334" cy="17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Room Humidity Ratio:</a:t>
            </a:r>
          </a:p>
        </xdr:txBody>
      </xdr:sp>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2750463" y="1963857"/>
            <a:ext cx="1308334" cy="17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Room Dew Point:</a:t>
            </a:r>
          </a:p>
        </xdr:txBody>
      </xdr:sp>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4713724" y="1967409"/>
            <a:ext cx="390292" cy="134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i="1"/>
              <a:t>°F</a:t>
            </a:r>
          </a:p>
        </xdr:txBody>
      </xdr:sp>
      <xdr:sp macro="" textlink="">
        <xdr:nvSpPr>
          <xdr:cNvPr id="164" name="TextBox 163">
            <a:extLst>
              <a:ext uri="{FF2B5EF4-FFF2-40B4-BE49-F238E27FC236}">
                <a16:creationId xmlns:a16="http://schemas.microsoft.com/office/drawing/2014/main" id="{00000000-0008-0000-0200-0000A4000000}"/>
              </a:ext>
            </a:extLst>
          </xdr:cNvPr>
          <xdr:cNvSpPr txBox="1"/>
        </xdr:nvSpPr>
        <xdr:spPr>
          <a:xfrm>
            <a:off x="4741602" y="1804787"/>
            <a:ext cx="390292" cy="164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i="1"/>
              <a:t>Grains</a:t>
            </a:r>
          </a:p>
        </xdr:txBody>
      </xdr:sp>
      <xdr:sp macro="" textlink="">
        <xdr:nvSpPr>
          <xdr:cNvPr id="166" name="TextBox 165">
            <a:extLst>
              <a:ext uri="{FF2B5EF4-FFF2-40B4-BE49-F238E27FC236}">
                <a16:creationId xmlns:a16="http://schemas.microsoft.com/office/drawing/2014/main" id="{00000000-0008-0000-0200-0000A6000000}"/>
              </a:ext>
            </a:extLst>
          </xdr:cNvPr>
          <xdr:cNvSpPr txBox="1"/>
        </xdr:nvSpPr>
        <xdr:spPr>
          <a:xfrm>
            <a:off x="10623082" y="2857818"/>
            <a:ext cx="984357" cy="233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Density Factor:</a:t>
            </a:r>
          </a:p>
        </xdr:txBody>
      </xdr:sp>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9566522" y="426188"/>
            <a:ext cx="854515" cy="371144"/>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Date:</a:t>
            </a:r>
            <a:endParaRPr lang="en-US" sz="1600" i="0">
              <a:solidFill>
                <a:sysClr val="windowText" lastClr="000000"/>
              </a:solidFill>
            </a:endParaRPr>
          </a:p>
        </xdr:txBody>
      </xdr:sp>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9043542" y="676836"/>
            <a:ext cx="1415775" cy="36805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Prepared</a:t>
            </a:r>
            <a:r>
              <a:rPr lang="en-US" sz="1400" i="1" baseline="0">
                <a:solidFill>
                  <a:schemeClr val="bg1"/>
                </a:solidFill>
              </a:rPr>
              <a:t> by</a:t>
            </a:r>
            <a:r>
              <a:rPr lang="en-US" sz="1400" i="1">
                <a:solidFill>
                  <a:schemeClr val="bg1"/>
                </a:solidFill>
              </a:rPr>
              <a:t>:</a:t>
            </a:r>
            <a:endParaRPr lang="en-US" sz="1600" i="0">
              <a:solidFill>
                <a:sysClr val="windowText" lastClr="000000"/>
              </a:solidFill>
            </a:endParaRPr>
          </a:p>
        </xdr:txBody>
      </xdr:sp>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2827545" y="1449953"/>
            <a:ext cx="1353536" cy="26230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i="1">
                <a:solidFill>
                  <a:schemeClr val="bg1"/>
                </a:solidFill>
              </a:rPr>
              <a:t>Room RH:</a:t>
            </a:r>
          </a:p>
        </xdr:txBody>
      </xdr:sp>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2160614" y="1196600"/>
            <a:ext cx="2003862" cy="35223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i="1">
                <a:solidFill>
                  <a:schemeClr val="bg1"/>
                </a:solidFill>
              </a:rPr>
              <a:t>Room Temperature:</a:t>
            </a:r>
            <a:endParaRPr lang="en-US" sz="1800" i="0">
              <a:solidFill>
                <a:sysClr val="windowText" lastClr="000000"/>
              </a:solidFill>
            </a:endParaRPr>
          </a:p>
        </xdr:txBody>
      </xdr:sp>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2146172" y="2522241"/>
            <a:ext cx="1901875" cy="1921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400" i="1">
                <a:solidFill>
                  <a:schemeClr val="bg1"/>
                </a:solidFill>
              </a:rPr>
              <a:t>Primary Air Temperature:</a:t>
            </a:r>
            <a:endParaRPr lang="en-US" sz="1600" i="0">
              <a:solidFill>
                <a:sysClr val="windowText" lastClr="000000"/>
              </a:solidFill>
            </a:endParaRPr>
          </a:p>
        </xdr:txBody>
      </xdr:sp>
      <xdr:sp macro="" textlink="">
        <xdr:nvSpPr>
          <xdr:cNvPr id="107" name="Frame 106">
            <a:extLst>
              <a:ext uri="{FF2B5EF4-FFF2-40B4-BE49-F238E27FC236}">
                <a16:creationId xmlns:a16="http://schemas.microsoft.com/office/drawing/2014/main" id="{00000000-0008-0000-0200-00006B000000}"/>
              </a:ext>
            </a:extLst>
          </xdr:cNvPr>
          <xdr:cNvSpPr/>
        </xdr:nvSpPr>
        <xdr:spPr>
          <a:xfrm>
            <a:off x="220879" y="379923"/>
            <a:ext cx="12481932" cy="616691"/>
          </a:xfrm>
          <a:prstGeom prst="frame">
            <a:avLst>
              <a:gd name="adj1" fmla="val 3156"/>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247575" y="397943"/>
            <a:ext cx="872561" cy="256529"/>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Project</a:t>
            </a:r>
            <a:r>
              <a:rPr lang="en-US" sz="1100" i="1" baseline="0">
                <a:solidFill>
                  <a:schemeClr val="bg1"/>
                </a:solidFill>
              </a:rPr>
              <a:t> Name</a:t>
            </a:r>
            <a:endParaRPr lang="en-US" sz="1100" i="1">
              <a:solidFill>
                <a:schemeClr val="bg1"/>
              </a:solidFill>
            </a:endParaRPr>
          </a:p>
        </xdr:txBody>
      </xdr:sp>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4112130" y="1067939"/>
            <a:ext cx="627289"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5271974" y="1060643"/>
            <a:ext cx="627286"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4134161" y="2314233"/>
            <a:ext cx="627289" cy="18645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5290123" y="2314235"/>
            <a:ext cx="631166" cy="18644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4757940" y="2558028"/>
            <a:ext cx="282562"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7640471" y="1244436"/>
            <a:ext cx="2332297" cy="36779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Supply Water Temperature:</a:t>
            </a:r>
            <a:endParaRPr lang="en-US" sz="1600" i="0">
              <a:solidFill>
                <a:sysClr val="windowText" lastClr="000000"/>
              </a:solidFill>
            </a:endParaRPr>
          </a:p>
        </xdr:txBody>
      </xdr:sp>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7138232" y="1688062"/>
            <a:ext cx="1883572" cy="24265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Chilled Water Additive:</a:t>
            </a:r>
            <a:endParaRPr lang="en-US" sz="1600" i="0">
              <a:solidFill>
                <a:sysClr val="windowText" lastClr="000000"/>
              </a:solidFill>
            </a:endParaRPr>
          </a:p>
        </xdr:txBody>
      </xdr:sp>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7337480" y="1886136"/>
            <a:ext cx="1684323" cy="37449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Hot Water Additive:</a:t>
            </a:r>
            <a:endParaRPr lang="en-US" sz="1600" i="0">
              <a:solidFill>
                <a:sysClr val="windowText" lastClr="000000"/>
              </a:solidFill>
            </a:endParaRPr>
          </a:p>
        </xdr:txBody>
      </xdr:sp>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10589423" y="1760711"/>
            <a:ext cx="1015884" cy="2045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200" i="1">
                <a:solidFill>
                  <a:schemeClr val="bg1"/>
                </a:solidFill>
              </a:rPr>
              <a:t>Concentration:</a:t>
            </a:r>
            <a:endParaRPr lang="en-US" sz="1400" i="0">
              <a:solidFill>
                <a:sysClr val="windowText" lastClr="000000"/>
              </a:solidFill>
            </a:endParaRPr>
          </a:p>
        </xdr:txBody>
      </xdr:sp>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10597725" y="1963093"/>
            <a:ext cx="1015884" cy="20066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200" i="1">
                <a:solidFill>
                  <a:schemeClr val="bg1"/>
                </a:solidFill>
              </a:rPr>
              <a:t>Concentration:</a:t>
            </a:r>
            <a:endParaRPr lang="en-US" sz="1400" i="0">
              <a:solidFill>
                <a:sysClr val="windowText" lastClr="000000"/>
              </a:solidFill>
            </a:endParaRPr>
          </a:p>
        </xdr:txBody>
      </xdr:sp>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9888219" y="1070203"/>
            <a:ext cx="630511" cy="20445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11628292" y="1052396"/>
            <a:ext cx="641797"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56" name="TextBox 155">
            <a:extLst>
              <a:ext uri="{FF2B5EF4-FFF2-40B4-BE49-F238E27FC236}">
                <a16:creationId xmlns:a16="http://schemas.microsoft.com/office/drawing/2014/main" id="{00000000-0008-0000-0200-00009C000000}"/>
              </a:ext>
            </a:extLst>
          </xdr:cNvPr>
          <xdr:cNvSpPr txBox="1"/>
        </xdr:nvSpPr>
        <xdr:spPr>
          <a:xfrm>
            <a:off x="6572680" y="2587754"/>
            <a:ext cx="1120972" cy="28768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400" i="1">
                <a:solidFill>
                  <a:schemeClr val="bg1"/>
                </a:solidFill>
              </a:rPr>
              <a:t>Max Water PD:</a:t>
            </a:r>
            <a:endParaRPr lang="en-US" sz="1600" i="0">
              <a:solidFill>
                <a:sysClr val="windowText" lastClr="000000"/>
              </a:solidFill>
            </a:endParaRPr>
          </a:p>
        </xdr:txBody>
      </xdr:sp>
      <xdr:sp macro="" textlink="">
        <xdr:nvSpPr>
          <xdr:cNvPr id="157" name="TextBox 156">
            <a:extLst>
              <a:ext uri="{FF2B5EF4-FFF2-40B4-BE49-F238E27FC236}">
                <a16:creationId xmlns:a16="http://schemas.microsoft.com/office/drawing/2014/main" id="{00000000-0008-0000-0200-00009D000000}"/>
              </a:ext>
            </a:extLst>
          </xdr:cNvPr>
          <xdr:cNvSpPr txBox="1"/>
        </xdr:nvSpPr>
        <xdr:spPr>
          <a:xfrm>
            <a:off x="8731397" y="2509598"/>
            <a:ext cx="1238659" cy="27045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Max Air PD:</a:t>
            </a:r>
            <a:endParaRPr lang="en-US" sz="1600" i="0">
              <a:solidFill>
                <a:sysClr val="windowText" lastClr="000000"/>
              </a:solidFill>
            </a:endParaRPr>
          </a:p>
        </xdr:txBody>
      </xdr:sp>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8698192" y="2758632"/>
            <a:ext cx="1239297" cy="28336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Max NC:</a:t>
            </a:r>
            <a:endParaRPr lang="en-US" sz="1600" i="0">
              <a:solidFill>
                <a:sysClr val="windowText" lastClr="000000"/>
              </a:solidFill>
            </a:endParaRPr>
          </a:p>
        </xdr:txBody>
      </xdr:sp>
      <xdr:sp macro="" textlink="">
        <xdr:nvSpPr>
          <xdr:cNvPr id="165" name="TextBox 164">
            <a:extLst>
              <a:ext uri="{FF2B5EF4-FFF2-40B4-BE49-F238E27FC236}">
                <a16:creationId xmlns:a16="http://schemas.microsoft.com/office/drawing/2014/main" id="{00000000-0008-0000-0200-0000A5000000}"/>
              </a:ext>
            </a:extLst>
          </xdr:cNvPr>
          <xdr:cNvSpPr txBox="1"/>
        </xdr:nvSpPr>
        <xdr:spPr>
          <a:xfrm>
            <a:off x="12311598" y="2581817"/>
            <a:ext cx="282562" cy="19474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ft</a:t>
            </a:r>
            <a:endParaRPr lang="en-US" sz="1400" i="0">
              <a:solidFill>
                <a:sysClr val="windowText" lastClr="000000"/>
              </a:solidFill>
            </a:endParaRPr>
          </a:p>
        </xdr:txBody>
      </xdr:sp>
      <xdr:sp macro="" textlink="">
        <xdr:nvSpPr>
          <xdr:cNvPr id="167" name="Frame 166">
            <a:extLst>
              <a:ext uri="{FF2B5EF4-FFF2-40B4-BE49-F238E27FC236}">
                <a16:creationId xmlns:a16="http://schemas.microsoft.com/office/drawing/2014/main" id="{00000000-0008-0000-0200-0000A7000000}"/>
              </a:ext>
            </a:extLst>
          </xdr:cNvPr>
          <xdr:cNvSpPr/>
        </xdr:nvSpPr>
        <xdr:spPr>
          <a:xfrm>
            <a:off x="219807" y="1031296"/>
            <a:ext cx="6182456" cy="1177306"/>
          </a:xfrm>
          <a:prstGeom prst="frame">
            <a:avLst>
              <a:gd name="adj1" fmla="val 176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244641" y="1056121"/>
            <a:ext cx="1075872" cy="258255"/>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Room Conditions</a:t>
            </a:r>
          </a:p>
        </xdr:txBody>
      </xdr:sp>
      <xdr:sp macro="" textlink="">
        <xdr:nvSpPr>
          <xdr:cNvPr id="168" name="Frame 167">
            <a:extLst>
              <a:ext uri="{FF2B5EF4-FFF2-40B4-BE49-F238E27FC236}">
                <a16:creationId xmlns:a16="http://schemas.microsoft.com/office/drawing/2014/main" id="{00000000-0008-0000-0200-0000A8000000}"/>
              </a:ext>
            </a:extLst>
          </xdr:cNvPr>
          <xdr:cNvSpPr/>
        </xdr:nvSpPr>
        <xdr:spPr>
          <a:xfrm>
            <a:off x="220880" y="2249643"/>
            <a:ext cx="6185055" cy="878954"/>
          </a:xfrm>
          <a:prstGeom prst="frame">
            <a:avLst>
              <a:gd name="adj1" fmla="val 2649"/>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69" name="TextBox 168">
            <a:extLst>
              <a:ext uri="{FF2B5EF4-FFF2-40B4-BE49-F238E27FC236}">
                <a16:creationId xmlns:a16="http://schemas.microsoft.com/office/drawing/2014/main" id="{00000000-0008-0000-0200-0000A9000000}"/>
              </a:ext>
            </a:extLst>
          </xdr:cNvPr>
          <xdr:cNvSpPr txBox="1"/>
        </xdr:nvSpPr>
        <xdr:spPr>
          <a:xfrm>
            <a:off x="5931745" y="2562431"/>
            <a:ext cx="290671"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70" name="TextBox 169">
            <a:extLst>
              <a:ext uri="{FF2B5EF4-FFF2-40B4-BE49-F238E27FC236}">
                <a16:creationId xmlns:a16="http://schemas.microsoft.com/office/drawing/2014/main" id="{00000000-0008-0000-0200-0000AA000000}"/>
              </a:ext>
            </a:extLst>
          </xdr:cNvPr>
          <xdr:cNvSpPr txBox="1"/>
        </xdr:nvSpPr>
        <xdr:spPr>
          <a:xfrm>
            <a:off x="5915890" y="1301966"/>
            <a:ext cx="290671"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246943" y="2276369"/>
            <a:ext cx="1441292" cy="262254"/>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Primary Air Conditions</a:t>
            </a:r>
          </a:p>
        </xdr:txBody>
      </xdr:sp>
      <xdr:sp macro="" textlink="">
        <xdr:nvSpPr>
          <xdr:cNvPr id="171" name="Frame 170">
            <a:extLst>
              <a:ext uri="{FF2B5EF4-FFF2-40B4-BE49-F238E27FC236}">
                <a16:creationId xmlns:a16="http://schemas.microsoft.com/office/drawing/2014/main" id="{00000000-0008-0000-0200-0000AB000000}"/>
              </a:ext>
            </a:extLst>
          </xdr:cNvPr>
          <xdr:cNvSpPr/>
        </xdr:nvSpPr>
        <xdr:spPr>
          <a:xfrm>
            <a:off x="6451181" y="1031296"/>
            <a:ext cx="6250253" cy="1177306"/>
          </a:xfrm>
          <a:prstGeom prst="frame">
            <a:avLst>
              <a:gd name="adj1" fmla="val 176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72" name="TextBox 171">
            <a:extLst>
              <a:ext uri="{FF2B5EF4-FFF2-40B4-BE49-F238E27FC236}">
                <a16:creationId xmlns:a16="http://schemas.microsoft.com/office/drawing/2014/main" id="{00000000-0008-0000-0200-0000AC000000}"/>
              </a:ext>
            </a:extLst>
          </xdr:cNvPr>
          <xdr:cNvSpPr txBox="1"/>
        </xdr:nvSpPr>
        <xdr:spPr>
          <a:xfrm>
            <a:off x="10501651" y="1294670"/>
            <a:ext cx="285498"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73" name="TextBox 172">
            <a:extLst>
              <a:ext uri="{FF2B5EF4-FFF2-40B4-BE49-F238E27FC236}">
                <a16:creationId xmlns:a16="http://schemas.microsoft.com/office/drawing/2014/main" id="{00000000-0008-0000-0200-0000AD000000}"/>
              </a:ext>
            </a:extLst>
          </xdr:cNvPr>
          <xdr:cNvSpPr txBox="1"/>
        </xdr:nvSpPr>
        <xdr:spPr>
          <a:xfrm>
            <a:off x="8364555" y="2582987"/>
            <a:ext cx="285498" cy="19884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ft</a:t>
            </a:r>
            <a:endParaRPr lang="en-US" sz="1400" i="0">
              <a:solidFill>
                <a:sysClr val="windowText" lastClr="000000"/>
              </a:solidFill>
            </a:endParaRPr>
          </a:p>
        </xdr:txBody>
      </xdr:sp>
      <xdr:sp macro="" textlink="">
        <xdr:nvSpPr>
          <xdr:cNvPr id="174" name="TextBox 173">
            <a:extLst>
              <a:ext uri="{FF2B5EF4-FFF2-40B4-BE49-F238E27FC236}">
                <a16:creationId xmlns:a16="http://schemas.microsoft.com/office/drawing/2014/main" id="{00000000-0008-0000-0200-0000AE000000}"/>
              </a:ext>
            </a:extLst>
          </xdr:cNvPr>
          <xdr:cNvSpPr txBox="1"/>
        </xdr:nvSpPr>
        <xdr:spPr>
          <a:xfrm>
            <a:off x="6476638" y="1053544"/>
            <a:ext cx="1139166" cy="258255"/>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Water Conditions</a:t>
            </a:r>
          </a:p>
        </xdr:txBody>
      </xdr:sp>
      <xdr:sp macro="" textlink="">
        <xdr:nvSpPr>
          <xdr:cNvPr id="189" name="Frame 188">
            <a:extLst>
              <a:ext uri="{FF2B5EF4-FFF2-40B4-BE49-F238E27FC236}">
                <a16:creationId xmlns:a16="http://schemas.microsoft.com/office/drawing/2014/main" id="{00000000-0008-0000-0200-0000BD000000}"/>
              </a:ext>
            </a:extLst>
          </xdr:cNvPr>
          <xdr:cNvSpPr/>
        </xdr:nvSpPr>
        <xdr:spPr>
          <a:xfrm>
            <a:off x="6451181" y="2247217"/>
            <a:ext cx="4098553" cy="881380"/>
          </a:xfrm>
          <a:prstGeom prst="frame">
            <a:avLst>
              <a:gd name="adj1" fmla="val 2626"/>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90" name="TextBox 189">
            <a:extLst>
              <a:ext uri="{FF2B5EF4-FFF2-40B4-BE49-F238E27FC236}">
                <a16:creationId xmlns:a16="http://schemas.microsoft.com/office/drawing/2014/main" id="{00000000-0008-0000-0200-0000BE000000}"/>
              </a:ext>
            </a:extLst>
          </xdr:cNvPr>
          <xdr:cNvSpPr txBox="1"/>
        </xdr:nvSpPr>
        <xdr:spPr>
          <a:xfrm>
            <a:off x="6478776" y="2276048"/>
            <a:ext cx="987982" cy="259126"/>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Selection Limits</a:t>
            </a:r>
          </a:p>
        </xdr:txBody>
      </xdr:sp>
      <xdr:sp macro="" textlink="">
        <xdr:nvSpPr>
          <xdr:cNvPr id="191" name="TextBox 190">
            <a:extLst>
              <a:ext uri="{FF2B5EF4-FFF2-40B4-BE49-F238E27FC236}">
                <a16:creationId xmlns:a16="http://schemas.microsoft.com/office/drawing/2014/main" id="{00000000-0008-0000-0200-0000BF000000}"/>
              </a:ext>
            </a:extLst>
          </xdr:cNvPr>
          <xdr:cNvSpPr txBox="1"/>
        </xdr:nvSpPr>
        <xdr:spPr>
          <a:xfrm>
            <a:off x="12290773" y="1312454"/>
            <a:ext cx="285498"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92" name="TextBox 191">
            <a:extLst>
              <a:ext uri="{FF2B5EF4-FFF2-40B4-BE49-F238E27FC236}">
                <a16:creationId xmlns:a16="http://schemas.microsoft.com/office/drawing/2014/main" id="{00000000-0008-0000-0200-0000C0000000}"/>
              </a:ext>
            </a:extLst>
          </xdr:cNvPr>
          <xdr:cNvSpPr txBox="1"/>
        </xdr:nvSpPr>
        <xdr:spPr>
          <a:xfrm>
            <a:off x="12278380" y="1745269"/>
            <a:ext cx="285498" cy="19491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a:t>
            </a:r>
            <a:endParaRPr lang="en-US" sz="1400" i="0">
              <a:solidFill>
                <a:sysClr val="windowText" lastClr="000000"/>
              </a:solidFill>
            </a:endParaRPr>
          </a:p>
        </xdr:txBody>
      </xdr:sp>
      <xdr:sp macro="" textlink="">
        <xdr:nvSpPr>
          <xdr:cNvPr id="193" name="TextBox 192">
            <a:extLst>
              <a:ext uri="{FF2B5EF4-FFF2-40B4-BE49-F238E27FC236}">
                <a16:creationId xmlns:a16="http://schemas.microsoft.com/office/drawing/2014/main" id="{00000000-0008-0000-0200-0000C1000000}"/>
              </a:ext>
            </a:extLst>
          </xdr:cNvPr>
          <xdr:cNvSpPr txBox="1"/>
        </xdr:nvSpPr>
        <xdr:spPr>
          <a:xfrm>
            <a:off x="12272413" y="1942052"/>
            <a:ext cx="285498" cy="1994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a:t>
            </a:r>
            <a:endParaRPr lang="en-US" sz="1400" i="0">
              <a:solidFill>
                <a:sysClr val="windowText" lastClr="000000"/>
              </a:solidFill>
            </a:endParaRPr>
          </a:p>
        </xdr:txBody>
      </xdr:sp>
      <xdr:sp macro="" textlink="">
        <xdr:nvSpPr>
          <xdr:cNvPr id="194" name="Frame 193">
            <a:extLst>
              <a:ext uri="{FF2B5EF4-FFF2-40B4-BE49-F238E27FC236}">
                <a16:creationId xmlns:a16="http://schemas.microsoft.com/office/drawing/2014/main" id="{00000000-0008-0000-0200-0000C2000000}"/>
              </a:ext>
            </a:extLst>
          </xdr:cNvPr>
          <xdr:cNvSpPr/>
        </xdr:nvSpPr>
        <xdr:spPr>
          <a:xfrm>
            <a:off x="10599036" y="2247217"/>
            <a:ext cx="2099866" cy="881380"/>
          </a:xfrm>
          <a:prstGeom prst="frame">
            <a:avLst>
              <a:gd name="adj1" fmla="val 265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95" name="TextBox 194">
            <a:extLst>
              <a:ext uri="{FF2B5EF4-FFF2-40B4-BE49-F238E27FC236}">
                <a16:creationId xmlns:a16="http://schemas.microsoft.com/office/drawing/2014/main" id="{00000000-0008-0000-0200-0000C3000000}"/>
              </a:ext>
            </a:extLst>
          </xdr:cNvPr>
          <xdr:cNvSpPr txBox="1"/>
        </xdr:nvSpPr>
        <xdr:spPr>
          <a:xfrm>
            <a:off x="10620877" y="2270970"/>
            <a:ext cx="704073" cy="259526"/>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Altitude</a:t>
            </a:r>
          </a:p>
        </xdr:txBody>
      </xdr:sp>
    </xdr:grpSp>
    <xdr:clientData/>
  </xdr:twoCellAnchor>
  <xdr:twoCellAnchor>
    <xdr:from>
      <xdr:col>10</xdr:col>
      <xdr:colOff>43787</xdr:colOff>
      <xdr:row>19</xdr:row>
      <xdr:rowOff>176723</xdr:rowOff>
    </xdr:from>
    <xdr:to>
      <xdr:col>10</xdr:col>
      <xdr:colOff>561975</xdr:colOff>
      <xdr:row>20</xdr:row>
      <xdr:rowOff>196612</xdr:rowOff>
    </xdr:to>
    <xdr:sp macro="[0]!Transfer_Qtys" textlink="">
      <xdr:nvSpPr>
        <xdr:cNvPr id="236" name="Rounded Rectangle 235">
          <a:extLst>
            <a:ext uri="{FF2B5EF4-FFF2-40B4-BE49-F238E27FC236}">
              <a16:creationId xmlns:a16="http://schemas.microsoft.com/office/drawing/2014/main" id="{00000000-0008-0000-0200-0000EC000000}"/>
            </a:ext>
          </a:extLst>
        </xdr:cNvPr>
        <xdr:cNvSpPr/>
      </xdr:nvSpPr>
      <xdr:spPr>
        <a:xfrm>
          <a:off x="6875511" y="4485964"/>
          <a:ext cx="518188" cy="210389"/>
        </a:xfrm>
        <a:prstGeom prst="roundRect">
          <a:avLst>
            <a:gd name="adj" fmla="val 15528"/>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t>Use</a:t>
          </a:r>
        </a:p>
      </xdr:txBody>
    </xdr:sp>
    <xdr:clientData/>
  </xdr:twoCellAnchor>
  <mc:AlternateContent xmlns:mc="http://schemas.openxmlformats.org/markup-compatibility/2006">
    <mc:Choice xmlns:a14="http://schemas.microsoft.com/office/drawing/2010/main" Requires="a14">
      <xdr:twoCellAnchor editAs="oneCell">
        <xdr:from>
          <xdr:col>0</xdr:col>
          <xdr:colOff>60960</xdr:colOff>
          <xdr:row>21</xdr:row>
          <xdr:rowOff>30480</xdr:rowOff>
        </xdr:from>
        <xdr:to>
          <xdr:col>0</xdr:col>
          <xdr:colOff>236220</xdr:colOff>
          <xdr:row>21</xdr:row>
          <xdr:rowOff>182880</xdr:rowOff>
        </xdr:to>
        <xdr:sp macro="" textlink="">
          <xdr:nvSpPr>
            <xdr:cNvPr id="42602" name="Check Box 3690" hidden="1">
              <a:extLst>
                <a:ext uri="{63B3BB69-23CF-44E3-9099-C40C66FF867C}">
                  <a14:compatExt spid="_x0000_s42602"/>
                </a:ext>
                <a:ext uri="{FF2B5EF4-FFF2-40B4-BE49-F238E27FC236}">
                  <a16:creationId xmlns:a16="http://schemas.microsoft.com/office/drawing/2014/main" id="{00000000-0008-0000-0200-00006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xdr:row>
          <xdr:rowOff>30480</xdr:rowOff>
        </xdr:from>
        <xdr:to>
          <xdr:col>0</xdr:col>
          <xdr:colOff>236220</xdr:colOff>
          <xdr:row>22</xdr:row>
          <xdr:rowOff>182880</xdr:rowOff>
        </xdr:to>
        <xdr:sp macro="" textlink="">
          <xdr:nvSpPr>
            <xdr:cNvPr id="42973" name="Check Box 4061" hidden="1">
              <a:extLst>
                <a:ext uri="{63B3BB69-23CF-44E3-9099-C40C66FF867C}">
                  <a14:compatExt spid="_x0000_s42973"/>
                </a:ext>
                <a:ext uri="{FF2B5EF4-FFF2-40B4-BE49-F238E27FC236}">
                  <a16:creationId xmlns:a16="http://schemas.microsoft.com/office/drawing/2014/main" id="{00000000-0008-0000-0200-0000D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xdr:row>
          <xdr:rowOff>30480</xdr:rowOff>
        </xdr:from>
        <xdr:to>
          <xdr:col>0</xdr:col>
          <xdr:colOff>236220</xdr:colOff>
          <xdr:row>23</xdr:row>
          <xdr:rowOff>182880</xdr:rowOff>
        </xdr:to>
        <xdr:sp macro="" textlink="">
          <xdr:nvSpPr>
            <xdr:cNvPr id="42974" name="Check Box 4062" hidden="1">
              <a:extLst>
                <a:ext uri="{63B3BB69-23CF-44E3-9099-C40C66FF867C}">
                  <a14:compatExt spid="_x0000_s42974"/>
                </a:ext>
                <a:ext uri="{FF2B5EF4-FFF2-40B4-BE49-F238E27FC236}">
                  <a16:creationId xmlns:a16="http://schemas.microsoft.com/office/drawing/2014/main" id="{00000000-0008-0000-0200-0000D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xdr:row>
          <xdr:rowOff>30480</xdr:rowOff>
        </xdr:from>
        <xdr:to>
          <xdr:col>0</xdr:col>
          <xdr:colOff>236220</xdr:colOff>
          <xdr:row>24</xdr:row>
          <xdr:rowOff>182880</xdr:rowOff>
        </xdr:to>
        <xdr:sp macro="" textlink="">
          <xdr:nvSpPr>
            <xdr:cNvPr id="42975" name="Check Box 4063" hidden="1">
              <a:extLst>
                <a:ext uri="{63B3BB69-23CF-44E3-9099-C40C66FF867C}">
                  <a14:compatExt spid="_x0000_s42975"/>
                </a:ext>
                <a:ext uri="{FF2B5EF4-FFF2-40B4-BE49-F238E27FC236}">
                  <a16:creationId xmlns:a16="http://schemas.microsoft.com/office/drawing/2014/main" id="{00000000-0008-0000-0200-0000D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xdr:row>
          <xdr:rowOff>30480</xdr:rowOff>
        </xdr:from>
        <xdr:to>
          <xdr:col>0</xdr:col>
          <xdr:colOff>236220</xdr:colOff>
          <xdr:row>25</xdr:row>
          <xdr:rowOff>182880</xdr:rowOff>
        </xdr:to>
        <xdr:sp macro="" textlink="">
          <xdr:nvSpPr>
            <xdr:cNvPr id="42976" name="Check Box 4064" hidden="1">
              <a:extLst>
                <a:ext uri="{63B3BB69-23CF-44E3-9099-C40C66FF867C}">
                  <a14:compatExt spid="_x0000_s42976"/>
                </a:ext>
                <a:ext uri="{FF2B5EF4-FFF2-40B4-BE49-F238E27FC236}">
                  <a16:creationId xmlns:a16="http://schemas.microsoft.com/office/drawing/2014/main" id="{00000000-0008-0000-0200-0000E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xdr:row>
          <xdr:rowOff>30480</xdr:rowOff>
        </xdr:from>
        <xdr:to>
          <xdr:col>0</xdr:col>
          <xdr:colOff>236220</xdr:colOff>
          <xdr:row>26</xdr:row>
          <xdr:rowOff>182880</xdr:rowOff>
        </xdr:to>
        <xdr:sp macro="" textlink="">
          <xdr:nvSpPr>
            <xdr:cNvPr id="42977" name="Check Box 4065" hidden="1">
              <a:extLst>
                <a:ext uri="{63B3BB69-23CF-44E3-9099-C40C66FF867C}">
                  <a14:compatExt spid="_x0000_s42977"/>
                </a:ext>
                <a:ext uri="{FF2B5EF4-FFF2-40B4-BE49-F238E27FC236}">
                  <a16:creationId xmlns:a16="http://schemas.microsoft.com/office/drawing/2014/main" id="{00000000-0008-0000-0200-0000E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xdr:row>
          <xdr:rowOff>30480</xdr:rowOff>
        </xdr:from>
        <xdr:to>
          <xdr:col>0</xdr:col>
          <xdr:colOff>236220</xdr:colOff>
          <xdr:row>27</xdr:row>
          <xdr:rowOff>182880</xdr:rowOff>
        </xdr:to>
        <xdr:sp macro="" textlink="">
          <xdr:nvSpPr>
            <xdr:cNvPr id="42978" name="Check Box 4066" hidden="1">
              <a:extLst>
                <a:ext uri="{63B3BB69-23CF-44E3-9099-C40C66FF867C}">
                  <a14:compatExt spid="_x0000_s42978"/>
                </a:ext>
                <a:ext uri="{FF2B5EF4-FFF2-40B4-BE49-F238E27FC236}">
                  <a16:creationId xmlns:a16="http://schemas.microsoft.com/office/drawing/2014/main" id="{00000000-0008-0000-0200-0000E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xdr:row>
          <xdr:rowOff>30480</xdr:rowOff>
        </xdr:from>
        <xdr:to>
          <xdr:col>0</xdr:col>
          <xdr:colOff>236220</xdr:colOff>
          <xdr:row>28</xdr:row>
          <xdr:rowOff>182880</xdr:rowOff>
        </xdr:to>
        <xdr:sp macro="" textlink="">
          <xdr:nvSpPr>
            <xdr:cNvPr id="42979" name="Check Box 4067" hidden="1">
              <a:extLst>
                <a:ext uri="{63B3BB69-23CF-44E3-9099-C40C66FF867C}">
                  <a14:compatExt spid="_x0000_s42979"/>
                </a:ext>
                <a:ext uri="{FF2B5EF4-FFF2-40B4-BE49-F238E27FC236}">
                  <a16:creationId xmlns:a16="http://schemas.microsoft.com/office/drawing/2014/main" id="{00000000-0008-0000-0200-0000E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xdr:row>
          <xdr:rowOff>30480</xdr:rowOff>
        </xdr:from>
        <xdr:to>
          <xdr:col>0</xdr:col>
          <xdr:colOff>236220</xdr:colOff>
          <xdr:row>29</xdr:row>
          <xdr:rowOff>182880</xdr:rowOff>
        </xdr:to>
        <xdr:sp macro="" textlink="">
          <xdr:nvSpPr>
            <xdr:cNvPr id="42980" name="Check Box 4068" hidden="1">
              <a:extLst>
                <a:ext uri="{63B3BB69-23CF-44E3-9099-C40C66FF867C}">
                  <a14:compatExt spid="_x0000_s42980"/>
                </a:ext>
                <a:ext uri="{FF2B5EF4-FFF2-40B4-BE49-F238E27FC236}">
                  <a16:creationId xmlns:a16="http://schemas.microsoft.com/office/drawing/2014/main" id="{00000000-0008-0000-0200-0000E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xdr:row>
          <xdr:rowOff>30480</xdr:rowOff>
        </xdr:from>
        <xdr:to>
          <xdr:col>0</xdr:col>
          <xdr:colOff>236220</xdr:colOff>
          <xdr:row>30</xdr:row>
          <xdr:rowOff>182880</xdr:rowOff>
        </xdr:to>
        <xdr:sp macro="" textlink="">
          <xdr:nvSpPr>
            <xdr:cNvPr id="42981" name="Check Box 4069" hidden="1">
              <a:extLst>
                <a:ext uri="{63B3BB69-23CF-44E3-9099-C40C66FF867C}">
                  <a14:compatExt spid="_x0000_s42981"/>
                </a:ext>
                <a:ext uri="{FF2B5EF4-FFF2-40B4-BE49-F238E27FC236}">
                  <a16:creationId xmlns:a16="http://schemas.microsoft.com/office/drawing/2014/main" id="{00000000-0008-0000-0200-0000E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xdr:row>
          <xdr:rowOff>30480</xdr:rowOff>
        </xdr:from>
        <xdr:to>
          <xdr:col>0</xdr:col>
          <xdr:colOff>236220</xdr:colOff>
          <xdr:row>31</xdr:row>
          <xdr:rowOff>182880</xdr:rowOff>
        </xdr:to>
        <xdr:sp macro="" textlink="">
          <xdr:nvSpPr>
            <xdr:cNvPr id="42982" name="Check Box 4070" hidden="1">
              <a:extLst>
                <a:ext uri="{63B3BB69-23CF-44E3-9099-C40C66FF867C}">
                  <a14:compatExt spid="_x0000_s42982"/>
                </a:ext>
                <a:ext uri="{FF2B5EF4-FFF2-40B4-BE49-F238E27FC236}">
                  <a16:creationId xmlns:a16="http://schemas.microsoft.com/office/drawing/2014/main" id="{00000000-0008-0000-0200-0000E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xdr:row>
          <xdr:rowOff>30480</xdr:rowOff>
        </xdr:from>
        <xdr:to>
          <xdr:col>0</xdr:col>
          <xdr:colOff>236220</xdr:colOff>
          <xdr:row>32</xdr:row>
          <xdr:rowOff>182880</xdr:rowOff>
        </xdr:to>
        <xdr:sp macro="" textlink="">
          <xdr:nvSpPr>
            <xdr:cNvPr id="42983" name="Check Box 4071" hidden="1">
              <a:extLst>
                <a:ext uri="{63B3BB69-23CF-44E3-9099-C40C66FF867C}">
                  <a14:compatExt spid="_x0000_s42983"/>
                </a:ext>
                <a:ext uri="{FF2B5EF4-FFF2-40B4-BE49-F238E27FC236}">
                  <a16:creationId xmlns:a16="http://schemas.microsoft.com/office/drawing/2014/main" id="{00000000-0008-0000-0200-0000E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xdr:row>
          <xdr:rowOff>30480</xdr:rowOff>
        </xdr:from>
        <xdr:to>
          <xdr:col>0</xdr:col>
          <xdr:colOff>236220</xdr:colOff>
          <xdr:row>33</xdr:row>
          <xdr:rowOff>182880</xdr:rowOff>
        </xdr:to>
        <xdr:sp macro="" textlink="">
          <xdr:nvSpPr>
            <xdr:cNvPr id="42984" name="Check Box 4072" hidden="1">
              <a:extLst>
                <a:ext uri="{63B3BB69-23CF-44E3-9099-C40C66FF867C}">
                  <a14:compatExt spid="_x0000_s42984"/>
                </a:ext>
                <a:ext uri="{FF2B5EF4-FFF2-40B4-BE49-F238E27FC236}">
                  <a16:creationId xmlns:a16="http://schemas.microsoft.com/office/drawing/2014/main" id="{00000000-0008-0000-0200-0000E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xdr:row>
          <xdr:rowOff>30480</xdr:rowOff>
        </xdr:from>
        <xdr:to>
          <xdr:col>0</xdr:col>
          <xdr:colOff>236220</xdr:colOff>
          <xdr:row>34</xdr:row>
          <xdr:rowOff>182880</xdr:rowOff>
        </xdr:to>
        <xdr:sp macro="" textlink="">
          <xdr:nvSpPr>
            <xdr:cNvPr id="42985" name="Check Box 4073" hidden="1">
              <a:extLst>
                <a:ext uri="{63B3BB69-23CF-44E3-9099-C40C66FF867C}">
                  <a14:compatExt spid="_x0000_s42985"/>
                </a:ext>
                <a:ext uri="{FF2B5EF4-FFF2-40B4-BE49-F238E27FC236}">
                  <a16:creationId xmlns:a16="http://schemas.microsoft.com/office/drawing/2014/main" id="{00000000-0008-0000-0200-0000E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xdr:row>
          <xdr:rowOff>30480</xdr:rowOff>
        </xdr:from>
        <xdr:to>
          <xdr:col>0</xdr:col>
          <xdr:colOff>236220</xdr:colOff>
          <xdr:row>35</xdr:row>
          <xdr:rowOff>182880</xdr:rowOff>
        </xdr:to>
        <xdr:sp macro="" textlink="">
          <xdr:nvSpPr>
            <xdr:cNvPr id="42986" name="Check Box 4074" hidden="1">
              <a:extLst>
                <a:ext uri="{63B3BB69-23CF-44E3-9099-C40C66FF867C}">
                  <a14:compatExt spid="_x0000_s42986"/>
                </a:ext>
                <a:ext uri="{FF2B5EF4-FFF2-40B4-BE49-F238E27FC236}">
                  <a16:creationId xmlns:a16="http://schemas.microsoft.com/office/drawing/2014/main" id="{00000000-0008-0000-0200-0000E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xdr:row>
          <xdr:rowOff>30480</xdr:rowOff>
        </xdr:from>
        <xdr:to>
          <xdr:col>0</xdr:col>
          <xdr:colOff>236220</xdr:colOff>
          <xdr:row>36</xdr:row>
          <xdr:rowOff>182880</xdr:rowOff>
        </xdr:to>
        <xdr:sp macro="" textlink="">
          <xdr:nvSpPr>
            <xdr:cNvPr id="42987" name="Check Box 4075" hidden="1">
              <a:extLst>
                <a:ext uri="{63B3BB69-23CF-44E3-9099-C40C66FF867C}">
                  <a14:compatExt spid="_x0000_s42987"/>
                </a:ext>
                <a:ext uri="{FF2B5EF4-FFF2-40B4-BE49-F238E27FC236}">
                  <a16:creationId xmlns:a16="http://schemas.microsoft.com/office/drawing/2014/main" id="{00000000-0008-0000-0200-0000E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xdr:row>
          <xdr:rowOff>30480</xdr:rowOff>
        </xdr:from>
        <xdr:to>
          <xdr:col>0</xdr:col>
          <xdr:colOff>236220</xdr:colOff>
          <xdr:row>37</xdr:row>
          <xdr:rowOff>182880</xdr:rowOff>
        </xdr:to>
        <xdr:sp macro="" textlink="">
          <xdr:nvSpPr>
            <xdr:cNvPr id="42988" name="Check Box 4076" hidden="1">
              <a:extLst>
                <a:ext uri="{63B3BB69-23CF-44E3-9099-C40C66FF867C}">
                  <a14:compatExt spid="_x0000_s42988"/>
                </a:ext>
                <a:ext uri="{FF2B5EF4-FFF2-40B4-BE49-F238E27FC236}">
                  <a16:creationId xmlns:a16="http://schemas.microsoft.com/office/drawing/2014/main" id="{00000000-0008-0000-0200-0000E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xdr:row>
          <xdr:rowOff>30480</xdr:rowOff>
        </xdr:from>
        <xdr:to>
          <xdr:col>0</xdr:col>
          <xdr:colOff>236220</xdr:colOff>
          <xdr:row>38</xdr:row>
          <xdr:rowOff>182880</xdr:rowOff>
        </xdr:to>
        <xdr:sp macro="" textlink="">
          <xdr:nvSpPr>
            <xdr:cNvPr id="42989" name="Check Box 4077" hidden="1">
              <a:extLst>
                <a:ext uri="{63B3BB69-23CF-44E3-9099-C40C66FF867C}">
                  <a14:compatExt spid="_x0000_s42989"/>
                </a:ext>
                <a:ext uri="{FF2B5EF4-FFF2-40B4-BE49-F238E27FC236}">
                  <a16:creationId xmlns:a16="http://schemas.microsoft.com/office/drawing/2014/main" id="{00000000-0008-0000-0200-0000E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xdr:row>
          <xdr:rowOff>30480</xdr:rowOff>
        </xdr:from>
        <xdr:to>
          <xdr:col>0</xdr:col>
          <xdr:colOff>236220</xdr:colOff>
          <xdr:row>39</xdr:row>
          <xdr:rowOff>182880</xdr:rowOff>
        </xdr:to>
        <xdr:sp macro="" textlink="">
          <xdr:nvSpPr>
            <xdr:cNvPr id="42990" name="Check Box 4078" hidden="1">
              <a:extLst>
                <a:ext uri="{63B3BB69-23CF-44E3-9099-C40C66FF867C}">
                  <a14:compatExt spid="_x0000_s42990"/>
                </a:ext>
                <a:ext uri="{FF2B5EF4-FFF2-40B4-BE49-F238E27FC236}">
                  <a16:creationId xmlns:a16="http://schemas.microsoft.com/office/drawing/2014/main" id="{00000000-0008-0000-0200-0000E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40</xdr:row>
          <xdr:rowOff>30480</xdr:rowOff>
        </xdr:from>
        <xdr:to>
          <xdr:col>0</xdr:col>
          <xdr:colOff>236220</xdr:colOff>
          <xdr:row>40</xdr:row>
          <xdr:rowOff>182880</xdr:rowOff>
        </xdr:to>
        <xdr:sp macro="" textlink="">
          <xdr:nvSpPr>
            <xdr:cNvPr id="42991" name="Check Box 4079" hidden="1">
              <a:extLst>
                <a:ext uri="{63B3BB69-23CF-44E3-9099-C40C66FF867C}">
                  <a14:compatExt spid="_x0000_s42991"/>
                </a:ext>
                <a:ext uri="{FF2B5EF4-FFF2-40B4-BE49-F238E27FC236}">
                  <a16:creationId xmlns:a16="http://schemas.microsoft.com/office/drawing/2014/main" id="{00000000-0008-0000-0200-0000E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41</xdr:row>
          <xdr:rowOff>30480</xdr:rowOff>
        </xdr:from>
        <xdr:to>
          <xdr:col>0</xdr:col>
          <xdr:colOff>236220</xdr:colOff>
          <xdr:row>41</xdr:row>
          <xdr:rowOff>182880</xdr:rowOff>
        </xdr:to>
        <xdr:sp macro="" textlink="">
          <xdr:nvSpPr>
            <xdr:cNvPr id="42992" name="Check Box 4080" hidden="1">
              <a:extLst>
                <a:ext uri="{63B3BB69-23CF-44E3-9099-C40C66FF867C}">
                  <a14:compatExt spid="_x0000_s42992"/>
                </a:ext>
                <a:ext uri="{FF2B5EF4-FFF2-40B4-BE49-F238E27FC236}">
                  <a16:creationId xmlns:a16="http://schemas.microsoft.com/office/drawing/2014/main" id="{00000000-0008-0000-0200-0000F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42</xdr:row>
          <xdr:rowOff>30480</xdr:rowOff>
        </xdr:from>
        <xdr:to>
          <xdr:col>0</xdr:col>
          <xdr:colOff>236220</xdr:colOff>
          <xdr:row>42</xdr:row>
          <xdr:rowOff>182880</xdr:rowOff>
        </xdr:to>
        <xdr:sp macro="" textlink="">
          <xdr:nvSpPr>
            <xdr:cNvPr id="42993" name="Check Box 4081" hidden="1">
              <a:extLst>
                <a:ext uri="{63B3BB69-23CF-44E3-9099-C40C66FF867C}">
                  <a14:compatExt spid="_x0000_s42993"/>
                </a:ext>
                <a:ext uri="{FF2B5EF4-FFF2-40B4-BE49-F238E27FC236}">
                  <a16:creationId xmlns:a16="http://schemas.microsoft.com/office/drawing/2014/main" id="{00000000-0008-0000-0200-0000F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43</xdr:row>
          <xdr:rowOff>30480</xdr:rowOff>
        </xdr:from>
        <xdr:to>
          <xdr:col>0</xdr:col>
          <xdr:colOff>236220</xdr:colOff>
          <xdr:row>43</xdr:row>
          <xdr:rowOff>182880</xdr:rowOff>
        </xdr:to>
        <xdr:sp macro="" textlink="">
          <xdr:nvSpPr>
            <xdr:cNvPr id="42994" name="Check Box 4082" hidden="1">
              <a:extLst>
                <a:ext uri="{63B3BB69-23CF-44E3-9099-C40C66FF867C}">
                  <a14:compatExt spid="_x0000_s42994"/>
                </a:ext>
                <a:ext uri="{FF2B5EF4-FFF2-40B4-BE49-F238E27FC236}">
                  <a16:creationId xmlns:a16="http://schemas.microsoft.com/office/drawing/2014/main" id="{00000000-0008-0000-0200-0000F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44</xdr:row>
          <xdr:rowOff>30480</xdr:rowOff>
        </xdr:from>
        <xdr:to>
          <xdr:col>0</xdr:col>
          <xdr:colOff>236220</xdr:colOff>
          <xdr:row>44</xdr:row>
          <xdr:rowOff>182880</xdr:rowOff>
        </xdr:to>
        <xdr:sp macro="" textlink="">
          <xdr:nvSpPr>
            <xdr:cNvPr id="42995" name="Check Box 4083" hidden="1">
              <a:extLst>
                <a:ext uri="{63B3BB69-23CF-44E3-9099-C40C66FF867C}">
                  <a14:compatExt spid="_x0000_s42995"/>
                </a:ext>
                <a:ext uri="{FF2B5EF4-FFF2-40B4-BE49-F238E27FC236}">
                  <a16:creationId xmlns:a16="http://schemas.microsoft.com/office/drawing/2014/main" id="{00000000-0008-0000-0200-0000F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45</xdr:row>
          <xdr:rowOff>30480</xdr:rowOff>
        </xdr:from>
        <xdr:to>
          <xdr:col>0</xdr:col>
          <xdr:colOff>236220</xdr:colOff>
          <xdr:row>45</xdr:row>
          <xdr:rowOff>182880</xdr:rowOff>
        </xdr:to>
        <xdr:sp macro="" textlink="">
          <xdr:nvSpPr>
            <xdr:cNvPr id="42996" name="Check Box 4084" hidden="1">
              <a:extLst>
                <a:ext uri="{63B3BB69-23CF-44E3-9099-C40C66FF867C}">
                  <a14:compatExt spid="_x0000_s42996"/>
                </a:ext>
                <a:ext uri="{FF2B5EF4-FFF2-40B4-BE49-F238E27FC236}">
                  <a16:creationId xmlns:a16="http://schemas.microsoft.com/office/drawing/2014/main" id="{00000000-0008-0000-0200-0000F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46</xdr:row>
          <xdr:rowOff>30480</xdr:rowOff>
        </xdr:from>
        <xdr:to>
          <xdr:col>0</xdr:col>
          <xdr:colOff>236220</xdr:colOff>
          <xdr:row>46</xdr:row>
          <xdr:rowOff>182880</xdr:rowOff>
        </xdr:to>
        <xdr:sp macro="" textlink="">
          <xdr:nvSpPr>
            <xdr:cNvPr id="42997" name="Check Box 4085" hidden="1">
              <a:extLst>
                <a:ext uri="{63B3BB69-23CF-44E3-9099-C40C66FF867C}">
                  <a14:compatExt spid="_x0000_s42997"/>
                </a:ext>
                <a:ext uri="{FF2B5EF4-FFF2-40B4-BE49-F238E27FC236}">
                  <a16:creationId xmlns:a16="http://schemas.microsoft.com/office/drawing/2014/main" id="{00000000-0008-0000-0200-0000F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47</xdr:row>
          <xdr:rowOff>30480</xdr:rowOff>
        </xdr:from>
        <xdr:to>
          <xdr:col>0</xdr:col>
          <xdr:colOff>236220</xdr:colOff>
          <xdr:row>47</xdr:row>
          <xdr:rowOff>182880</xdr:rowOff>
        </xdr:to>
        <xdr:sp macro="" textlink="">
          <xdr:nvSpPr>
            <xdr:cNvPr id="42998" name="Check Box 4086" hidden="1">
              <a:extLst>
                <a:ext uri="{63B3BB69-23CF-44E3-9099-C40C66FF867C}">
                  <a14:compatExt spid="_x0000_s42998"/>
                </a:ext>
                <a:ext uri="{FF2B5EF4-FFF2-40B4-BE49-F238E27FC236}">
                  <a16:creationId xmlns:a16="http://schemas.microsoft.com/office/drawing/2014/main" id="{00000000-0008-0000-0200-0000F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48</xdr:row>
          <xdr:rowOff>30480</xdr:rowOff>
        </xdr:from>
        <xdr:to>
          <xdr:col>0</xdr:col>
          <xdr:colOff>236220</xdr:colOff>
          <xdr:row>48</xdr:row>
          <xdr:rowOff>182880</xdr:rowOff>
        </xdr:to>
        <xdr:sp macro="" textlink="">
          <xdr:nvSpPr>
            <xdr:cNvPr id="42999" name="Check Box 4087" hidden="1">
              <a:extLst>
                <a:ext uri="{63B3BB69-23CF-44E3-9099-C40C66FF867C}">
                  <a14:compatExt spid="_x0000_s42999"/>
                </a:ext>
                <a:ext uri="{FF2B5EF4-FFF2-40B4-BE49-F238E27FC236}">
                  <a16:creationId xmlns:a16="http://schemas.microsoft.com/office/drawing/2014/main" id="{00000000-0008-0000-0200-0000F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49</xdr:row>
          <xdr:rowOff>30480</xdr:rowOff>
        </xdr:from>
        <xdr:to>
          <xdr:col>0</xdr:col>
          <xdr:colOff>236220</xdr:colOff>
          <xdr:row>49</xdr:row>
          <xdr:rowOff>182880</xdr:rowOff>
        </xdr:to>
        <xdr:sp macro="" textlink="">
          <xdr:nvSpPr>
            <xdr:cNvPr id="43000" name="Check Box 4088" hidden="1">
              <a:extLst>
                <a:ext uri="{63B3BB69-23CF-44E3-9099-C40C66FF867C}">
                  <a14:compatExt spid="_x0000_s43000"/>
                </a:ext>
                <a:ext uri="{FF2B5EF4-FFF2-40B4-BE49-F238E27FC236}">
                  <a16:creationId xmlns:a16="http://schemas.microsoft.com/office/drawing/2014/main" id="{00000000-0008-0000-0200-0000F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50</xdr:row>
          <xdr:rowOff>30480</xdr:rowOff>
        </xdr:from>
        <xdr:to>
          <xdr:col>0</xdr:col>
          <xdr:colOff>236220</xdr:colOff>
          <xdr:row>50</xdr:row>
          <xdr:rowOff>182880</xdr:rowOff>
        </xdr:to>
        <xdr:sp macro="" textlink="">
          <xdr:nvSpPr>
            <xdr:cNvPr id="43001" name="Check Box 4089" hidden="1">
              <a:extLst>
                <a:ext uri="{63B3BB69-23CF-44E3-9099-C40C66FF867C}">
                  <a14:compatExt spid="_x0000_s43001"/>
                </a:ext>
                <a:ext uri="{FF2B5EF4-FFF2-40B4-BE49-F238E27FC236}">
                  <a16:creationId xmlns:a16="http://schemas.microsoft.com/office/drawing/2014/main" id="{00000000-0008-0000-0200-0000F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51</xdr:row>
          <xdr:rowOff>30480</xdr:rowOff>
        </xdr:from>
        <xdr:to>
          <xdr:col>0</xdr:col>
          <xdr:colOff>236220</xdr:colOff>
          <xdr:row>51</xdr:row>
          <xdr:rowOff>182880</xdr:rowOff>
        </xdr:to>
        <xdr:sp macro="" textlink="">
          <xdr:nvSpPr>
            <xdr:cNvPr id="43002" name="Check Box 4090" hidden="1">
              <a:extLst>
                <a:ext uri="{63B3BB69-23CF-44E3-9099-C40C66FF867C}">
                  <a14:compatExt spid="_x0000_s43002"/>
                </a:ext>
                <a:ext uri="{FF2B5EF4-FFF2-40B4-BE49-F238E27FC236}">
                  <a16:creationId xmlns:a16="http://schemas.microsoft.com/office/drawing/2014/main" id="{00000000-0008-0000-0200-0000F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52</xdr:row>
          <xdr:rowOff>30480</xdr:rowOff>
        </xdr:from>
        <xdr:to>
          <xdr:col>0</xdr:col>
          <xdr:colOff>236220</xdr:colOff>
          <xdr:row>52</xdr:row>
          <xdr:rowOff>182880</xdr:rowOff>
        </xdr:to>
        <xdr:sp macro="" textlink="">
          <xdr:nvSpPr>
            <xdr:cNvPr id="43003" name="Check Box 4091" hidden="1">
              <a:extLst>
                <a:ext uri="{63B3BB69-23CF-44E3-9099-C40C66FF867C}">
                  <a14:compatExt spid="_x0000_s43003"/>
                </a:ext>
                <a:ext uri="{FF2B5EF4-FFF2-40B4-BE49-F238E27FC236}">
                  <a16:creationId xmlns:a16="http://schemas.microsoft.com/office/drawing/2014/main" id="{00000000-0008-0000-0200-0000F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53</xdr:row>
          <xdr:rowOff>30480</xdr:rowOff>
        </xdr:from>
        <xdr:to>
          <xdr:col>0</xdr:col>
          <xdr:colOff>236220</xdr:colOff>
          <xdr:row>53</xdr:row>
          <xdr:rowOff>182880</xdr:rowOff>
        </xdr:to>
        <xdr:sp macro="" textlink="">
          <xdr:nvSpPr>
            <xdr:cNvPr id="43004" name="Check Box 4092" hidden="1">
              <a:extLst>
                <a:ext uri="{63B3BB69-23CF-44E3-9099-C40C66FF867C}">
                  <a14:compatExt spid="_x0000_s43004"/>
                </a:ext>
                <a:ext uri="{FF2B5EF4-FFF2-40B4-BE49-F238E27FC236}">
                  <a16:creationId xmlns:a16="http://schemas.microsoft.com/office/drawing/2014/main" id="{00000000-0008-0000-0200-0000F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54</xdr:row>
          <xdr:rowOff>30480</xdr:rowOff>
        </xdr:from>
        <xdr:to>
          <xdr:col>0</xdr:col>
          <xdr:colOff>236220</xdr:colOff>
          <xdr:row>54</xdr:row>
          <xdr:rowOff>182880</xdr:rowOff>
        </xdr:to>
        <xdr:sp macro="" textlink="">
          <xdr:nvSpPr>
            <xdr:cNvPr id="43005" name="Check Box 4093" hidden="1">
              <a:extLst>
                <a:ext uri="{63B3BB69-23CF-44E3-9099-C40C66FF867C}">
                  <a14:compatExt spid="_x0000_s43005"/>
                </a:ext>
                <a:ext uri="{FF2B5EF4-FFF2-40B4-BE49-F238E27FC236}">
                  <a16:creationId xmlns:a16="http://schemas.microsoft.com/office/drawing/2014/main" id="{00000000-0008-0000-0200-0000F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55</xdr:row>
          <xdr:rowOff>30480</xdr:rowOff>
        </xdr:from>
        <xdr:to>
          <xdr:col>0</xdr:col>
          <xdr:colOff>236220</xdr:colOff>
          <xdr:row>55</xdr:row>
          <xdr:rowOff>182880</xdr:rowOff>
        </xdr:to>
        <xdr:sp macro="" textlink="">
          <xdr:nvSpPr>
            <xdr:cNvPr id="43006" name="Check Box 4094" hidden="1">
              <a:extLst>
                <a:ext uri="{63B3BB69-23CF-44E3-9099-C40C66FF867C}">
                  <a14:compatExt spid="_x0000_s43006"/>
                </a:ext>
                <a:ext uri="{FF2B5EF4-FFF2-40B4-BE49-F238E27FC236}">
                  <a16:creationId xmlns:a16="http://schemas.microsoft.com/office/drawing/2014/main" id="{00000000-0008-0000-0200-0000F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56</xdr:row>
          <xdr:rowOff>30480</xdr:rowOff>
        </xdr:from>
        <xdr:to>
          <xdr:col>0</xdr:col>
          <xdr:colOff>236220</xdr:colOff>
          <xdr:row>56</xdr:row>
          <xdr:rowOff>182880</xdr:rowOff>
        </xdr:to>
        <xdr:sp macro="" textlink="">
          <xdr:nvSpPr>
            <xdr:cNvPr id="43007" name="Check Box 4095" hidden="1">
              <a:extLst>
                <a:ext uri="{63B3BB69-23CF-44E3-9099-C40C66FF867C}">
                  <a14:compatExt spid="_x0000_s43007"/>
                </a:ext>
                <a:ext uri="{FF2B5EF4-FFF2-40B4-BE49-F238E27FC236}">
                  <a16:creationId xmlns:a16="http://schemas.microsoft.com/office/drawing/2014/main" id="{00000000-0008-0000-0200-0000F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57</xdr:row>
          <xdr:rowOff>30480</xdr:rowOff>
        </xdr:from>
        <xdr:to>
          <xdr:col>0</xdr:col>
          <xdr:colOff>236220</xdr:colOff>
          <xdr:row>57</xdr:row>
          <xdr:rowOff>182880</xdr:rowOff>
        </xdr:to>
        <xdr:sp macro="" textlink="">
          <xdr:nvSpPr>
            <xdr:cNvPr id="64512" name="Check Box 4096" hidden="1">
              <a:extLst>
                <a:ext uri="{63B3BB69-23CF-44E3-9099-C40C66FF867C}">
                  <a14:compatExt spid="_x0000_s64512"/>
                </a:ext>
                <a:ext uri="{FF2B5EF4-FFF2-40B4-BE49-F238E27FC236}">
                  <a16:creationId xmlns:a16="http://schemas.microsoft.com/office/drawing/2014/main" id="{00000000-0008-0000-0200-00000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58</xdr:row>
          <xdr:rowOff>30480</xdr:rowOff>
        </xdr:from>
        <xdr:to>
          <xdr:col>0</xdr:col>
          <xdr:colOff>236220</xdr:colOff>
          <xdr:row>58</xdr:row>
          <xdr:rowOff>182880</xdr:rowOff>
        </xdr:to>
        <xdr:sp macro="" textlink="">
          <xdr:nvSpPr>
            <xdr:cNvPr id="64513" name="Check Box 4097" hidden="1">
              <a:extLst>
                <a:ext uri="{63B3BB69-23CF-44E3-9099-C40C66FF867C}">
                  <a14:compatExt spid="_x0000_s64513"/>
                </a:ext>
                <a:ext uri="{FF2B5EF4-FFF2-40B4-BE49-F238E27FC236}">
                  <a16:creationId xmlns:a16="http://schemas.microsoft.com/office/drawing/2014/main" id="{00000000-0008-0000-02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59</xdr:row>
          <xdr:rowOff>30480</xdr:rowOff>
        </xdr:from>
        <xdr:to>
          <xdr:col>0</xdr:col>
          <xdr:colOff>236220</xdr:colOff>
          <xdr:row>59</xdr:row>
          <xdr:rowOff>182880</xdr:rowOff>
        </xdr:to>
        <xdr:sp macro="" textlink="">
          <xdr:nvSpPr>
            <xdr:cNvPr id="64514" name="Check Box 4098" hidden="1">
              <a:extLst>
                <a:ext uri="{63B3BB69-23CF-44E3-9099-C40C66FF867C}">
                  <a14:compatExt spid="_x0000_s64514"/>
                </a:ext>
                <a:ext uri="{FF2B5EF4-FFF2-40B4-BE49-F238E27FC236}">
                  <a16:creationId xmlns:a16="http://schemas.microsoft.com/office/drawing/2014/main" id="{00000000-0008-0000-02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60</xdr:row>
          <xdr:rowOff>30480</xdr:rowOff>
        </xdr:from>
        <xdr:to>
          <xdr:col>0</xdr:col>
          <xdr:colOff>236220</xdr:colOff>
          <xdr:row>60</xdr:row>
          <xdr:rowOff>182880</xdr:rowOff>
        </xdr:to>
        <xdr:sp macro="" textlink="">
          <xdr:nvSpPr>
            <xdr:cNvPr id="64515" name="Check Box 4099" hidden="1">
              <a:extLst>
                <a:ext uri="{63B3BB69-23CF-44E3-9099-C40C66FF867C}">
                  <a14:compatExt spid="_x0000_s64515"/>
                </a:ext>
                <a:ext uri="{FF2B5EF4-FFF2-40B4-BE49-F238E27FC236}">
                  <a16:creationId xmlns:a16="http://schemas.microsoft.com/office/drawing/2014/main" id="{00000000-0008-0000-02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61</xdr:row>
          <xdr:rowOff>30480</xdr:rowOff>
        </xdr:from>
        <xdr:to>
          <xdr:col>0</xdr:col>
          <xdr:colOff>236220</xdr:colOff>
          <xdr:row>61</xdr:row>
          <xdr:rowOff>182880</xdr:rowOff>
        </xdr:to>
        <xdr:sp macro="" textlink="">
          <xdr:nvSpPr>
            <xdr:cNvPr id="64516" name="Check Box 4100" hidden="1">
              <a:extLst>
                <a:ext uri="{63B3BB69-23CF-44E3-9099-C40C66FF867C}">
                  <a14:compatExt spid="_x0000_s64516"/>
                </a:ext>
                <a:ext uri="{FF2B5EF4-FFF2-40B4-BE49-F238E27FC236}">
                  <a16:creationId xmlns:a16="http://schemas.microsoft.com/office/drawing/2014/main" id="{00000000-0008-0000-02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62</xdr:row>
          <xdr:rowOff>30480</xdr:rowOff>
        </xdr:from>
        <xdr:to>
          <xdr:col>0</xdr:col>
          <xdr:colOff>236220</xdr:colOff>
          <xdr:row>62</xdr:row>
          <xdr:rowOff>182880</xdr:rowOff>
        </xdr:to>
        <xdr:sp macro="" textlink="">
          <xdr:nvSpPr>
            <xdr:cNvPr id="64517" name="Check Box 4101" hidden="1">
              <a:extLst>
                <a:ext uri="{63B3BB69-23CF-44E3-9099-C40C66FF867C}">
                  <a14:compatExt spid="_x0000_s64517"/>
                </a:ext>
                <a:ext uri="{FF2B5EF4-FFF2-40B4-BE49-F238E27FC236}">
                  <a16:creationId xmlns:a16="http://schemas.microsoft.com/office/drawing/2014/main" id="{00000000-0008-0000-02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63</xdr:row>
          <xdr:rowOff>30480</xdr:rowOff>
        </xdr:from>
        <xdr:to>
          <xdr:col>0</xdr:col>
          <xdr:colOff>236220</xdr:colOff>
          <xdr:row>63</xdr:row>
          <xdr:rowOff>182880</xdr:rowOff>
        </xdr:to>
        <xdr:sp macro="" textlink="">
          <xdr:nvSpPr>
            <xdr:cNvPr id="64518" name="Check Box 4102" hidden="1">
              <a:extLst>
                <a:ext uri="{63B3BB69-23CF-44E3-9099-C40C66FF867C}">
                  <a14:compatExt spid="_x0000_s64518"/>
                </a:ext>
                <a:ext uri="{FF2B5EF4-FFF2-40B4-BE49-F238E27FC236}">
                  <a16:creationId xmlns:a16="http://schemas.microsoft.com/office/drawing/2014/main" id="{00000000-0008-0000-02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64</xdr:row>
          <xdr:rowOff>30480</xdr:rowOff>
        </xdr:from>
        <xdr:to>
          <xdr:col>0</xdr:col>
          <xdr:colOff>236220</xdr:colOff>
          <xdr:row>64</xdr:row>
          <xdr:rowOff>182880</xdr:rowOff>
        </xdr:to>
        <xdr:sp macro="" textlink="">
          <xdr:nvSpPr>
            <xdr:cNvPr id="64519" name="Check Box 4103" hidden="1">
              <a:extLst>
                <a:ext uri="{63B3BB69-23CF-44E3-9099-C40C66FF867C}">
                  <a14:compatExt spid="_x0000_s64519"/>
                </a:ext>
                <a:ext uri="{FF2B5EF4-FFF2-40B4-BE49-F238E27FC236}">
                  <a16:creationId xmlns:a16="http://schemas.microsoft.com/office/drawing/2014/main" id="{00000000-0008-0000-02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65</xdr:row>
          <xdr:rowOff>30480</xdr:rowOff>
        </xdr:from>
        <xdr:to>
          <xdr:col>0</xdr:col>
          <xdr:colOff>236220</xdr:colOff>
          <xdr:row>65</xdr:row>
          <xdr:rowOff>182880</xdr:rowOff>
        </xdr:to>
        <xdr:sp macro="" textlink="">
          <xdr:nvSpPr>
            <xdr:cNvPr id="64520" name="Check Box 4104" hidden="1">
              <a:extLst>
                <a:ext uri="{63B3BB69-23CF-44E3-9099-C40C66FF867C}">
                  <a14:compatExt spid="_x0000_s64520"/>
                </a:ext>
                <a:ext uri="{FF2B5EF4-FFF2-40B4-BE49-F238E27FC236}">
                  <a16:creationId xmlns:a16="http://schemas.microsoft.com/office/drawing/2014/main" id="{00000000-0008-0000-02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66</xdr:row>
          <xdr:rowOff>30480</xdr:rowOff>
        </xdr:from>
        <xdr:to>
          <xdr:col>0</xdr:col>
          <xdr:colOff>236220</xdr:colOff>
          <xdr:row>66</xdr:row>
          <xdr:rowOff>182880</xdr:rowOff>
        </xdr:to>
        <xdr:sp macro="" textlink="">
          <xdr:nvSpPr>
            <xdr:cNvPr id="64521" name="Check Box 4105" hidden="1">
              <a:extLst>
                <a:ext uri="{63B3BB69-23CF-44E3-9099-C40C66FF867C}">
                  <a14:compatExt spid="_x0000_s64521"/>
                </a:ext>
                <a:ext uri="{FF2B5EF4-FFF2-40B4-BE49-F238E27FC236}">
                  <a16:creationId xmlns:a16="http://schemas.microsoft.com/office/drawing/2014/main" id="{00000000-0008-0000-02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67</xdr:row>
          <xdr:rowOff>30480</xdr:rowOff>
        </xdr:from>
        <xdr:to>
          <xdr:col>0</xdr:col>
          <xdr:colOff>236220</xdr:colOff>
          <xdr:row>67</xdr:row>
          <xdr:rowOff>182880</xdr:rowOff>
        </xdr:to>
        <xdr:sp macro="" textlink="">
          <xdr:nvSpPr>
            <xdr:cNvPr id="64522" name="Check Box 4106" hidden="1">
              <a:extLst>
                <a:ext uri="{63B3BB69-23CF-44E3-9099-C40C66FF867C}">
                  <a14:compatExt spid="_x0000_s64522"/>
                </a:ext>
                <a:ext uri="{FF2B5EF4-FFF2-40B4-BE49-F238E27FC236}">
                  <a16:creationId xmlns:a16="http://schemas.microsoft.com/office/drawing/2014/main" id="{00000000-0008-0000-02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68</xdr:row>
          <xdr:rowOff>30480</xdr:rowOff>
        </xdr:from>
        <xdr:to>
          <xdr:col>0</xdr:col>
          <xdr:colOff>236220</xdr:colOff>
          <xdr:row>68</xdr:row>
          <xdr:rowOff>182880</xdr:rowOff>
        </xdr:to>
        <xdr:sp macro="" textlink="">
          <xdr:nvSpPr>
            <xdr:cNvPr id="64523" name="Check Box 4107" hidden="1">
              <a:extLst>
                <a:ext uri="{63B3BB69-23CF-44E3-9099-C40C66FF867C}">
                  <a14:compatExt spid="_x0000_s64523"/>
                </a:ext>
                <a:ext uri="{FF2B5EF4-FFF2-40B4-BE49-F238E27FC236}">
                  <a16:creationId xmlns:a16="http://schemas.microsoft.com/office/drawing/2014/main" id="{00000000-0008-0000-02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69</xdr:row>
          <xdr:rowOff>30480</xdr:rowOff>
        </xdr:from>
        <xdr:to>
          <xdr:col>0</xdr:col>
          <xdr:colOff>236220</xdr:colOff>
          <xdr:row>69</xdr:row>
          <xdr:rowOff>182880</xdr:rowOff>
        </xdr:to>
        <xdr:sp macro="" textlink="">
          <xdr:nvSpPr>
            <xdr:cNvPr id="64524" name="Check Box 4108" hidden="1">
              <a:extLst>
                <a:ext uri="{63B3BB69-23CF-44E3-9099-C40C66FF867C}">
                  <a14:compatExt spid="_x0000_s64524"/>
                </a:ext>
                <a:ext uri="{FF2B5EF4-FFF2-40B4-BE49-F238E27FC236}">
                  <a16:creationId xmlns:a16="http://schemas.microsoft.com/office/drawing/2014/main" id="{00000000-0008-0000-02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70</xdr:row>
          <xdr:rowOff>30480</xdr:rowOff>
        </xdr:from>
        <xdr:to>
          <xdr:col>0</xdr:col>
          <xdr:colOff>236220</xdr:colOff>
          <xdr:row>70</xdr:row>
          <xdr:rowOff>182880</xdr:rowOff>
        </xdr:to>
        <xdr:sp macro="" textlink="">
          <xdr:nvSpPr>
            <xdr:cNvPr id="64525" name="Check Box 4109" hidden="1">
              <a:extLst>
                <a:ext uri="{63B3BB69-23CF-44E3-9099-C40C66FF867C}">
                  <a14:compatExt spid="_x0000_s64525"/>
                </a:ext>
                <a:ext uri="{FF2B5EF4-FFF2-40B4-BE49-F238E27FC236}">
                  <a16:creationId xmlns:a16="http://schemas.microsoft.com/office/drawing/2014/main" id="{00000000-0008-0000-02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71</xdr:row>
          <xdr:rowOff>30480</xdr:rowOff>
        </xdr:from>
        <xdr:to>
          <xdr:col>0</xdr:col>
          <xdr:colOff>236220</xdr:colOff>
          <xdr:row>71</xdr:row>
          <xdr:rowOff>182880</xdr:rowOff>
        </xdr:to>
        <xdr:sp macro="" textlink="">
          <xdr:nvSpPr>
            <xdr:cNvPr id="64526" name="Check Box 4110" hidden="1">
              <a:extLst>
                <a:ext uri="{63B3BB69-23CF-44E3-9099-C40C66FF867C}">
                  <a14:compatExt spid="_x0000_s64526"/>
                </a:ext>
                <a:ext uri="{FF2B5EF4-FFF2-40B4-BE49-F238E27FC236}">
                  <a16:creationId xmlns:a16="http://schemas.microsoft.com/office/drawing/2014/main" id="{00000000-0008-0000-0200-00000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72</xdr:row>
          <xdr:rowOff>30480</xdr:rowOff>
        </xdr:from>
        <xdr:to>
          <xdr:col>0</xdr:col>
          <xdr:colOff>236220</xdr:colOff>
          <xdr:row>72</xdr:row>
          <xdr:rowOff>182880</xdr:rowOff>
        </xdr:to>
        <xdr:sp macro="" textlink="">
          <xdr:nvSpPr>
            <xdr:cNvPr id="64527" name="Check Box 4111" hidden="1">
              <a:extLst>
                <a:ext uri="{63B3BB69-23CF-44E3-9099-C40C66FF867C}">
                  <a14:compatExt spid="_x0000_s64527"/>
                </a:ext>
                <a:ext uri="{FF2B5EF4-FFF2-40B4-BE49-F238E27FC236}">
                  <a16:creationId xmlns:a16="http://schemas.microsoft.com/office/drawing/2014/main" id="{00000000-0008-0000-0200-00000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73</xdr:row>
          <xdr:rowOff>30480</xdr:rowOff>
        </xdr:from>
        <xdr:to>
          <xdr:col>0</xdr:col>
          <xdr:colOff>236220</xdr:colOff>
          <xdr:row>73</xdr:row>
          <xdr:rowOff>182880</xdr:rowOff>
        </xdr:to>
        <xdr:sp macro="" textlink="">
          <xdr:nvSpPr>
            <xdr:cNvPr id="64528" name="Check Box 4112" hidden="1">
              <a:extLst>
                <a:ext uri="{63B3BB69-23CF-44E3-9099-C40C66FF867C}">
                  <a14:compatExt spid="_x0000_s64528"/>
                </a:ext>
                <a:ext uri="{FF2B5EF4-FFF2-40B4-BE49-F238E27FC236}">
                  <a16:creationId xmlns:a16="http://schemas.microsoft.com/office/drawing/2014/main" id="{00000000-0008-0000-0200-00001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74</xdr:row>
          <xdr:rowOff>30480</xdr:rowOff>
        </xdr:from>
        <xdr:to>
          <xdr:col>0</xdr:col>
          <xdr:colOff>236220</xdr:colOff>
          <xdr:row>74</xdr:row>
          <xdr:rowOff>182880</xdr:rowOff>
        </xdr:to>
        <xdr:sp macro="" textlink="">
          <xdr:nvSpPr>
            <xdr:cNvPr id="64529" name="Check Box 4113" hidden="1">
              <a:extLst>
                <a:ext uri="{63B3BB69-23CF-44E3-9099-C40C66FF867C}">
                  <a14:compatExt spid="_x0000_s64529"/>
                </a:ext>
                <a:ext uri="{FF2B5EF4-FFF2-40B4-BE49-F238E27FC236}">
                  <a16:creationId xmlns:a16="http://schemas.microsoft.com/office/drawing/2014/main" id="{00000000-0008-0000-0200-00001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75</xdr:row>
          <xdr:rowOff>30480</xdr:rowOff>
        </xdr:from>
        <xdr:to>
          <xdr:col>0</xdr:col>
          <xdr:colOff>236220</xdr:colOff>
          <xdr:row>75</xdr:row>
          <xdr:rowOff>182880</xdr:rowOff>
        </xdr:to>
        <xdr:sp macro="" textlink="">
          <xdr:nvSpPr>
            <xdr:cNvPr id="64530" name="Check Box 4114" hidden="1">
              <a:extLst>
                <a:ext uri="{63B3BB69-23CF-44E3-9099-C40C66FF867C}">
                  <a14:compatExt spid="_x0000_s64530"/>
                </a:ext>
                <a:ext uri="{FF2B5EF4-FFF2-40B4-BE49-F238E27FC236}">
                  <a16:creationId xmlns:a16="http://schemas.microsoft.com/office/drawing/2014/main" id="{00000000-0008-0000-0200-00001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76</xdr:row>
          <xdr:rowOff>30480</xdr:rowOff>
        </xdr:from>
        <xdr:to>
          <xdr:col>0</xdr:col>
          <xdr:colOff>236220</xdr:colOff>
          <xdr:row>76</xdr:row>
          <xdr:rowOff>182880</xdr:rowOff>
        </xdr:to>
        <xdr:sp macro="" textlink="">
          <xdr:nvSpPr>
            <xdr:cNvPr id="64531" name="Check Box 4115" hidden="1">
              <a:extLst>
                <a:ext uri="{63B3BB69-23CF-44E3-9099-C40C66FF867C}">
                  <a14:compatExt spid="_x0000_s64531"/>
                </a:ext>
                <a:ext uri="{FF2B5EF4-FFF2-40B4-BE49-F238E27FC236}">
                  <a16:creationId xmlns:a16="http://schemas.microsoft.com/office/drawing/2014/main" id="{00000000-0008-0000-0200-00001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77</xdr:row>
          <xdr:rowOff>30480</xdr:rowOff>
        </xdr:from>
        <xdr:to>
          <xdr:col>0</xdr:col>
          <xdr:colOff>236220</xdr:colOff>
          <xdr:row>77</xdr:row>
          <xdr:rowOff>182880</xdr:rowOff>
        </xdr:to>
        <xdr:sp macro="" textlink="">
          <xdr:nvSpPr>
            <xdr:cNvPr id="64532" name="Check Box 4116" hidden="1">
              <a:extLst>
                <a:ext uri="{63B3BB69-23CF-44E3-9099-C40C66FF867C}">
                  <a14:compatExt spid="_x0000_s64532"/>
                </a:ext>
                <a:ext uri="{FF2B5EF4-FFF2-40B4-BE49-F238E27FC236}">
                  <a16:creationId xmlns:a16="http://schemas.microsoft.com/office/drawing/2014/main" id="{00000000-0008-0000-0200-00001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78</xdr:row>
          <xdr:rowOff>30480</xdr:rowOff>
        </xdr:from>
        <xdr:to>
          <xdr:col>0</xdr:col>
          <xdr:colOff>236220</xdr:colOff>
          <xdr:row>78</xdr:row>
          <xdr:rowOff>182880</xdr:rowOff>
        </xdr:to>
        <xdr:sp macro="" textlink="">
          <xdr:nvSpPr>
            <xdr:cNvPr id="64533" name="Check Box 4117" hidden="1">
              <a:extLst>
                <a:ext uri="{63B3BB69-23CF-44E3-9099-C40C66FF867C}">
                  <a14:compatExt spid="_x0000_s64533"/>
                </a:ext>
                <a:ext uri="{FF2B5EF4-FFF2-40B4-BE49-F238E27FC236}">
                  <a16:creationId xmlns:a16="http://schemas.microsoft.com/office/drawing/2014/main" id="{00000000-0008-0000-0200-00001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79</xdr:row>
          <xdr:rowOff>30480</xdr:rowOff>
        </xdr:from>
        <xdr:to>
          <xdr:col>0</xdr:col>
          <xdr:colOff>236220</xdr:colOff>
          <xdr:row>79</xdr:row>
          <xdr:rowOff>182880</xdr:rowOff>
        </xdr:to>
        <xdr:sp macro="" textlink="">
          <xdr:nvSpPr>
            <xdr:cNvPr id="64534" name="Check Box 4118" hidden="1">
              <a:extLst>
                <a:ext uri="{63B3BB69-23CF-44E3-9099-C40C66FF867C}">
                  <a14:compatExt spid="_x0000_s64534"/>
                </a:ext>
                <a:ext uri="{FF2B5EF4-FFF2-40B4-BE49-F238E27FC236}">
                  <a16:creationId xmlns:a16="http://schemas.microsoft.com/office/drawing/2014/main" id="{00000000-0008-0000-0200-00001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80</xdr:row>
          <xdr:rowOff>30480</xdr:rowOff>
        </xdr:from>
        <xdr:to>
          <xdr:col>0</xdr:col>
          <xdr:colOff>236220</xdr:colOff>
          <xdr:row>80</xdr:row>
          <xdr:rowOff>182880</xdr:rowOff>
        </xdr:to>
        <xdr:sp macro="" textlink="">
          <xdr:nvSpPr>
            <xdr:cNvPr id="64535" name="Check Box 4119" hidden="1">
              <a:extLst>
                <a:ext uri="{63B3BB69-23CF-44E3-9099-C40C66FF867C}">
                  <a14:compatExt spid="_x0000_s64535"/>
                </a:ext>
                <a:ext uri="{FF2B5EF4-FFF2-40B4-BE49-F238E27FC236}">
                  <a16:creationId xmlns:a16="http://schemas.microsoft.com/office/drawing/2014/main" id="{00000000-0008-0000-0200-00001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81</xdr:row>
          <xdr:rowOff>30480</xdr:rowOff>
        </xdr:from>
        <xdr:to>
          <xdr:col>0</xdr:col>
          <xdr:colOff>236220</xdr:colOff>
          <xdr:row>81</xdr:row>
          <xdr:rowOff>182880</xdr:rowOff>
        </xdr:to>
        <xdr:sp macro="" textlink="">
          <xdr:nvSpPr>
            <xdr:cNvPr id="64536" name="Check Box 4120" hidden="1">
              <a:extLst>
                <a:ext uri="{63B3BB69-23CF-44E3-9099-C40C66FF867C}">
                  <a14:compatExt spid="_x0000_s64536"/>
                </a:ext>
                <a:ext uri="{FF2B5EF4-FFF2-40B4-BE49-F238E27FC236}">
                  <a16:creationId xmlns:a16="http://schemas.microsoft.com/office/drawing/2014/main" id="{00000000-0008-0000-0200-00001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82</xdr:row>
          <xdr:rowOff>30480</xdr:rowOff>
        </xdr:from>
        <xdr:to>
          <xdr:col>0</xdr:col>
          <xdr:colOff>236220</xdr:colOff>
          <xdr:row>82</xdr:row>
          <xdr:rowOff>182880</xdr:rowOff>
        </xdr:to>
        <xdr:sp macro="" textlink="">
          <xdr:nvSpPr>
            <xdr:cNvPr id="64537" name="Check Box 4121" hidden="1">
              <a:extLst>
                <a:ext uri="{63B3BB69-23CF-44E3-9099-C40C66FF867C}">
                  <a14:compatExt spid="_x0000_s64537"/>
                </a:ext>
                <a:ext uri="{FF2B5EF4-FFF2-40B4-BE49-F238E27FC236}">
                  <a16:creationId xmlns:a16="http://schemas.microsoft.com/office/drawing/2014/main" id="{00000000-0008-0000-0200-00001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83</xdr:row>
          <xdr:rowOff>30480</xdr:rowOff>
        </xdr:from>
        <xdr:to>
          <xdr:col>0</xdr:col>
          <xdr:colOff>236220</xdr:colOff>
          <xdr:row>83</xdr:row>
          <xdr:rowOff>182880</xdr:rowOff>
        </xdr:to>
        <xdr:sp macro="" textlink="">
          <xdr:nvSpPr>
            <xdr:cNvPr id="64538" name="Check Box 4122" hidden="1">
              <a:extLst>
                <a:ext uri="{63B3BB69-23CF-44E3-9099-C40C66FF867C}">
                  <a14:compatExt spid="_x0000_s64538"/>
                </a:ext>
                <a:ext uri="{FF2B5EF4-FFF2-40B4-BE49-F238E27FC236}">
                  <a16:creationId xmlns:a16="http://schemas.microsoft.com/office/drawing/2014/main" id="{00000000-0008-0000-0200-00001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84</xdr:row>
          <xdr:rowOff>30480</xdr:rowOff>
        </xdr:from>
        <xdr:to>
          <xdr:col>0</xdr:col>
          <xdr:colOff>236220</xdr:colOff>
          <xdr:row>84</xdr:row>
          <xdr:rowOff>182880</xdr:rowOff>
        </xdr:to>
        <xdr:sp macro="" textlink="">
          <xdr:nvSpPr>
            <xdr:cNvPr id="64539" name="Check Box 4123" hidden="1">
              <a:extLst>
                <a:ext uri="{63B3BB69-23CF-44E3-9099-C40C66FF867C}">
                  <a14:compatExt spid="_x0000_s64539"/>
                </a:ext>
                <a:ext uri="{FF2B5EF4-FFF2-40B4-BE49-F238E27FC236}">
                  <a16:creationId xmlns:a16="http://schemas.microsoft.com/office/drawing/2014/main" id="{00000000-0008-0000-0200-00001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85</xdr:row>
          <xdr:rowOff>30480</xdr:rowOff>
        </xdr:from>
        <xdr:to>
          <xdr:col>0</xdr:col>
          <xdr:colOff>236220</xdr:colOff>
          <xdr:row>85</xdr:row>
          <xdr:rowOff>182880</xdr:rowOff>
        </xdr:to>
        <xdr:sp macro="" textlink="">
          <xdr:nvSpPr>
            <xdr:cNvPr id="64540" name="Check Box 4124" hidden="1">
              <a:extLst>
                <a:ext uri="{63B3BB69-23CF-44E3-9099-C40C66FF867C}">
                  <a14:compatExt spid="_x0000_s64540"/>
                </a:ext>
                <a:ext uri="{FF2B5EF4-FFF2-40B4-BE49-F238E27FC236}">
                  <a16:creationId xmlns:a16="http://schemas.microsoft.com/office/drawing/2014/main" id="{00000000-0008-0000-0200-00001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86</xdr:row>
          <xdr:rowOff>30480</xdr:rowOff>
        </xdr:from>
        <xdr:to>
          <xdr:col>0</xdr:col>
          <xdr:colOff>236220</xdr:colOff>
          <xdr:row>86</xdr:row>
          <xdr:rowOff>182880</xdr:rowOff>
        </xdr:to>
        <xdr:sp macro="" textlink="">
          <xdr:nvSpPr>
            <xdr:cNvPr id="64541" name="Check Box 4125" hidden="1">
              <a:extLst>
                <a:ext uri="{63B3BB69-23CF-44E3-9099-C40C66FF867C}">
                  <a14:compatExt spid="_x0000_s64541"/>
                </a:ext>
                <a:ext uri="{FF2B5EF4-FFF2-40B4-BE49-F238E27FC236}">
                  <a16:creationId xmlns:a16="http://schemas.microsoft.com/office/drawing/2014/main" id="{00000000-0008-0000-0200-00001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87</xdr:row>
          <xdr:rowOff>30480</xdr:rowOff>
        </xdr:from>
        <xdr:to>
          <xdr:col>0</xdr:col>
          <xdr:colOff>236220</xdr:colOff>
          <xdr:row>87</xdr:row>
          <xdr:rowOff>182880</xdr:rowOff>
        </xdr:to>
        <xdr:sp macro="" textlink="">
          <xdr:nvSpPr>
            <xdr:cNvPr id="64542" name="Check Box 4126" hidden="1">
              <a:extLst>
                <a:ext uri="{63B3BB69-23CF-44E3-9099-C40C66FF867C}">
                  <a14:compatExt spid="_x0000_s64542"/>
                </a:ext>
                <a:ext uri="{FF2B5EF4-FFF2-40B4-BE49-F238E27FC236}">
                  <a16:creationId xmlns:a16="http://schemas.microsoft.com/office/drawing/2014/main" id="{00000000-0008-0000-0200-00001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88</xdr:row>
          <xdr:rowOff>30480</xdr:rowOff>
        </xdr:from>
        <xdr:to>
          <xdr:col>0</xdr:col>
          <xdr:colOff>236220</xdr:colOff>
          <xdr:row>88</xdr:row>
          <xdr:rowOff>182880</xdr:rowOff>
        </xdr:to>
        <xdr:sp macro="" textlink="">
          <xdr:nvSpPr>
            <xdr:cNvPr id="64543" name="Check Box 4127" hidden="1">
              <a:extLst>
                <a:ext uri="{63B3BB69-23CF-44E3-9099-C40C66FF867C}">
                  <a14:compatExt spid="_x0000_s64543"/>
                </a:ext>
                <a:ext uri="{FF2B5EF4-FFF2-40B4-BE49-F238E27FC236}">
                  <a16:creationId xmlns:a16="http://schemas.microsoft.com/office/drawing/2014/main" id="{00000000-0008-0000-0200-00001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89</xdr:row>
          <xdr:rowOff>30480</xdr:rowOff>
        </xdr:from>
        <xdr:to>
          <xdr:col>0</xdr:col>
          <xdr:colOff>236220</xdr:colOff>
          <xdr:row>89</xdr:row>
          <xdr:rowOff>182880</xdr:rowOff>
        </xdr:to>
        <xdr:sp macro="" textlink="">
          <xdr:nvSpPr>
            <xdr:cNvPr id="64544" name="Check Box 4128" hidden="1">
              <a:extLst>
                <a:ext uri="{63B3BB69-23CF-44E3-9099-C40C66FF867C}">
                  <a14:compatExt spid="_x0000_s64544"/>
                </a:ext>
                <a:ext uri="{FF2B5EF4-FFF2-40B4-BE49-F238E27FC236}">
                  <a16:creationId xmlns:a16="http://schemas.microsoft.com/office/drawing/2014/main" id="{00000000-0008-0000-0200-00002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90</xdr:row>
          <xdr:rowOff>30480</xdr:rowOff>
        </xdr:from>
        <xdr:to>
          <xdr:col>0</xdr:col>
          <xdr:colOff>236220</xdr:colOff>
          <xdr:row>90</xdr:row>
          <xdr:rowOff>182880</xdr:rowOff>
        </xdr:to>
        <xdr:sp macro="" textlink="">
          <xdr:nvSpPr>
            <xdr:cNvPr id="64545" name="Check Box 4129" hidden="1">
              <a:extLst>
                <a:ext uri="{63B3BB69-23CF-44E3-9099-C40C66FF867C}">
                  <a14:compatExt spid="_x0000_s64545"/>
                </a:ext>
                <a:ext uri="{FF2B5EF4-FFF2-40B4-BE49-F238E27FC236}">
                  <a16:creationId xmlns:a16="http://schemas.microsoft.com/office/drawing/2014/main" id="{00000000-0008-0000-0200-00002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91</xdr:row>
          <xdr:rowOff>30480</xdr:rowOff>
        </xdr:from>
        <xdr:to>
          <xdr:col>0</xdr:col>
          <xdr:colOff>236220</xdr:colOff>
          <xdr:row>91</xdr:row>
          <xdr:rowOff>182880</xdr:rowOff>
        </xdr:to>
        <xdr:sp macro="" textlink="">
          <xdr:nvSpPr>
            <xdr:cNvPr id="64546" name="Check Box 4130" hidden="1">
              <a:extLst>
                <a:ext uri="{63B3BB69-23CF-44E3-9099-C40C66FF867C}">
                  <a14:compatExt spid="_x0000_s64546"/>
                </a:ext>
                <a:ext uri="{FF2B5EF4-FFF2-40B4-BE49-F238E27FC236}">
                  <a16:creationId xmlns:a16="http://schemas.microsoft.com/office/drawing/2014/main" id="{00000000-0008-0000-0200-00002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92</xdr:row>
          <xdr:rowOff>30480</xdr:rowOff>
        </xdr:from>
        <xdr:to>
          <xdr:col>0</xdr:col>
          <xdr:colOff>236220</xdr:colOff>
          <xdr:row>92</xdr:row>
          <xdr:rowOff>182880</xdr:rowOff>
        </xdr:to>
        <xdr:sp macro="" textlink="">
          <xdr:nvSpPr>
            <xdr:cNvPr id="64547" name="Check Box 4131" hidden="1">
              <a:extLst>
                <a:ext uri="{63B3BB69-23CF-44E3-9099-C40C66FF867C}">
                  <a14:compatExt spid="_x0000_s64547"/>
                </a:ext>
                <a:ext uri="{FF2B5EF4-FFF2-40B4-BE49-F238E27FC236}">
                  <a16:creationId xmlns:a16="http://schemas.microsoft.com/office/drawing/2014/main" id="{00000000-0008-0000-0200-00002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93</xdr:row>
          <xdr:rowOff>30480</xdr:rowOff>
        </xdr:from>
        <xdr:to>
          <xdr:col>0</xdr:col>
          <xdr:colOff>236220</xdr:colOff>
          <xdr:row>93</xdr:row>
          <xdr:rowOff>182880</xdr:rowOff>
        </xdr:to>
        <xdr:sp macro="" textlink="">
          <xdr:nvSpPr>
            <xdr:cNvPr id="64548" name="Check Box 4132" hidden="1">
              <a:extLst>
                <a:ext uri="{63B3BB69-23CF-44E3-9099-C40C66FF867C}">
                  <a14:compatExt spid="_x0000_s64548"/>
                </a:ext>
                <a:ext uri="{FF2B5EF4-FFF2-40B4-BE49-F238E27FC236}">
                  <a16:creationId xmlns:a16="http://schemas.microsoft.com/office/drawing/2014/main" id="{00000000-0008-0000-0200-00002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94</xdr:row>
          <xdr:rowOff>30480</xdr:rowOff>
        </xdr:from>
        <xdr:to>
          <xdr:col>0</xdr:col>
          <xdr:colOff>236220</xdr:colOff>
          <xdr:row>94</xdr:row>
          <xdr:rowOff>182880</xdr:rowOff>
        </xdr:to>
        <xdr:sp macro="" textlink="">
          <xdr:nvSpPr>
            <xdr:cNvPr id="64549" name="Check Box 4133" hidden="1">
              <a:extLst>
                <a:ext uri="{63B3BB69-23CF-44E3-9099-C40C66FF867C}">
                  <a14:compatExt spid="_x0000_s64549"/>
                </a:ext>
                <a:ext uri="{FF2B5EF4-FFF2-40B4-BE49-F238E27FC236}">
                  <a16:creationId xmlns:a16="http://schemas.microsoft.com/office/drawing/2014/main" id="{00000000-0008-0000-0200-00002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95</xdr:row>
          <xdr:rowOff>30480</xdr:rowOff>
        </xdr:from>
        <xdr:to>
          <xdr:col>0</xdr:col>
          <xdr:colOff>236220</xdr:colOff>
          <xdr:row>95</xdr:row>
          <xdr:rowOff>182880</xdr:rowOff>
        </xdr:to>
        <xdr:sp macro="" textlink="">
          <xdr:nvSpPr>
            <xdr:cNvPr id="64550" name="Check Box 4134" hidden="1">
              <a:extLst>
                <a:ext uri="{63B3BB69-23CF-44E3-9099-C40C66FF867C}">
                  <a14:compatExt spid="_x0000_s64550"/>
                </a:ext>
                <a:ext uri="{FF2B5EF4-FFF2-40B4-BE49-F238E27FC236}">
                  <a16:creationId xmlns:a16="http://schemas.microsoft.com/office/drawing/2014/main" id="{00000000-0008-0000-0200-00002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96</xdr:row>
          <xdr:rowOff>30480</xdr:rowOff>
        </xdr:from>
        <xdr:to>
          <xdr:col>0</xdr:col>
          <xdr:colOff>236220</xdr:colOff>
          <xdr:row>96</xdr:row>
          <xdr:rowOff>182880</xdr:rowOff>
        </xdr:to>
        <xdr:sp macro="" textlink="">
          <xdr:nvSpPr>
            <xdr:cNvPr id="64551" name="Check Box 4135" hidden="1">
              <a:extLst>
                <a:ext uri="{63B3BB69-23CF-44E3-9099-C40C66FF867C}">
                  <a14:compatExt spid="_x0000_s64551"/>
                </a:ext>
                <a:ext uri="{FF2B5EF4-FFF2-40B4-BE49-F238E27FC236}">
                  <a16:creationId xmlns:a16="http://schemas.microsoft.com/office/drawing/2014/main" id="{00000000-0008-0000-0200-00002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97</xdr:row>
          <xdr:rowOff>30480</xdr:rowOff>
        </xdr:from>
        <xdr:to>
          <xdr:col>0</xdr:col>
          <xdr:colOff>236220</xdr:colOff>
          <xdr:row>97</xdr:row>
          <xdr:rowOff>182880</xdr:rowOff>
        </xdr:to>
        <xdr:sp macro="" textlink="">
          <xdr:nvSpPr>
            <xdr:cNvPr id="64552" name="Check Box 4136" hidden="1">
              <a:extLst>
                <a:ext uri="{63B3BB69-23CF-44E3-9099-C40C66FF867C}">
                  <a14:compatExt spid="_x0000_s64552"/>
                </a:ext>
                <a:ext uri="{FF2B5EF4-FFF2-40B4-BE49-F238E27FC236}">
                  <a16:creationId xmlns:a16="http://schemas.microsoft.com/office/drawing/2014/main" id="{00000000-0008-0000-0200-00002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98</xdr:row>
          <xdr:rowOff>30480</xdr:rowOff>
        </xdr:from>
        <xdr:to>
          <xdr:col>0</xdr:col>
          <xdr:colOff>236220</xdr:colOff>
          <xdr:row>98</xdr:row>
          <xdr:rowOff>182880</xdr:rowOff>
        </xdr:to>
        <xdr:sp macro="" textlink="">
          <xdr:nvSpPr>
            <xdr:cNvPr id="64553" name="Check Box 4137" hidden="1">
              <a:extLst>
                <a:ext uri="{63B3BB69-23CF-44E3-9099-C40C66FF867C}">
                  <a14:compatExt spid="_x0000_s64553"/>
                </a:ext>
                <a:ext uri="{FF2B5EF4-FFF2-40B4-BE49-F238E27FC236}">
                  <a16:creationId xmlns:a16="http://schemas.microsoft.com/office/drawing/2014/main" id="{00000000-0008-0000-0200-00002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99</xdr:row>
          <xdr:rowOff>30480</xdr:rowOff>
        </xdr:from>
        <xdr:to>
          <xdr:col>0</xdr:col>
          <xdr:colOff>236220</xdr:colOff>
          <xdr:row>99</xdr:row>
          <xdr:rowOff>182880</xdr:rowOff>
        </xdr:to>
        <xdr:sp macro="" textlink="">
          <xdr:nvSpPr>
            <xdr:cNvPr id="64554" name="Check Box 4138" hidden="1">
              <a:extLst>
                <a:ext uri="{63B3BB69-23CF-44E3-9099-C40C66FF867C}">
                  <a14:compatExt spid="_x0000_s64554"/>
                </a:ext>
                <a:ext uri="{FF2B5EF4-FFF2-40B4-BE49-F238E27FC236}">
                  <a16:creationId xmlns:a16="http://schemas.microsoft.com/office/drawing/2014/main" id="{00000000-0008-0000-0200-00002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100</xdr:row>
          <xdr:rowOff>30480</xdr:rowOff>
        </xdr:from>
        <xdr:to>
          <xdr:col>0</xdr:col>
          <xdr:colOff>236220</xdr:colOff>
          <xdr:row>100</xdr:row>
          <xdr:rowOff>182880</xdr:rowOff>
        </xdr:to>
        <xdr:sp macro="" textlink="">
          <xdr:nvSpPr>
            <xdr:cNvPr id="64555" name="Check Box 4139" hidden="1">
              <a:extLst>
                <a:ext uri="{63B3BB69-23CF-44E3-9099-C40C66FF867C}">
                  <a14:compatExt spid="_x0000_s64555"/>
                </a:ext>
                <a:ext uri="{FF2B5EF4-FFF2-40B4-BE49-F238E27FC236}">
                  <a16:creationId xmlns:a16="http://schemas.microsoft.com/office/drawing/2014/main" id="{00000000-0008-0000-0200-00002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101</xdr:row>
          <xdr:rowOff>30480</xdr:rowOff>
        </xdr:from>
        <xdr:to>
          <xdr:col>0</xdr:col>
          <xdr:colOff>236220</xdr:colOff>
          <xdr:row>101</xdr:row>
          <xdr:rowOff>182880</xdr:rowOff>
        </xdr:to>
        <xdr:sp macro="" textlink="">
          <xdr:nvSpPr>
            <xdr:cNvPr id="64556" name="Check Box 4140" hidden="1">
              <a:extLst>
                <a:ext uri="{63B3BB69-23CF-44E3-9099-C40C66FF867C}">
                  <a14:compatExt spid="_x0000_s64556"/>
                </a:ext>
                <a:ext uri="{FF2B5EF4-FFF2-40B4-BE49-F238E27FC236}">
                  <a16:creationId xmlns:a16="http://schemas.microsoft.com/office/drawing/2014/main" id="{00000000-0008-0000-0200-00002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102</xdr:row>
          <xdr:rowOff>30480</xdr:rowOff>
        </xdr:from>
        <xdr:to>
          <xdr:col>0</xdr:col>
          <xdr:colOff>236220</xdr:colOff>
          <xdr:row>102</xdr:row>
          <xdr:rowOff>182880</xdr:rowOff>
        </xdr:to>
        <xdr:sp macro="" textlink="">
          <xdr:nvSpPr>
            <xdr:cNvPr id="64557" name="Check Box 4141" hidden="1">
              <a:extLst>
                <a:ext uri="{63B3BB69-23CF-44E3-9099-C40C66FF867C}">
                  <a14:compatExt spid="_x0000_s64557"/>
                </a:ext>
                <a:ext uri="{FF2B5EF4-FFF2-40B4-BE49-F238E27FC236}">
                  <a16:creationId xmlns:a16="http://schemas.microsoft.com/office/drawing/2014/main" id="{00000000-0008-0000-0200-00002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103</xdr:row>
          <xdr:rowOff>30480</xdr:rowOff>
        </xdr:from>
        <xdr:to>
          <xdr:col>0</xdr:col>
          <xdr:colOff>236220</xdr:colOff>
          <xdr:row>103</xdr:row>
          <xdr:rowOff>182880</xdr:rowOff>
        </xdr:to>
        <xdr:sp macro="" textlink="">
          <xdr:nvSpPr>
            <xdr:cNvPr id="64558" name="Check Box 4142" hidden="1">
              <a:extLst>
                <a:ext uri="{63B3BB69-23CF-44E3-9099-C40C66FF867C}">
                  <a14:compatExt spid="_x0000_s64558"/>
                </a:ext>
                <a:ext uri="{FF2B5EF4-FFF2-40B4-BE49-F238E27FC236}">
                  <a16:creationId xmlns:a16="http://schemas.microsoft.com/office/drawing/2014/main" id="{00000000-0008-0000-0200-00002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104</xdr:row>
          <xdr:rowOff>30480</xdr:rowOff>
        </xdr:from>
        <xdr:to>
          <xdr:col>0</xdr:col>
          <xdr:colOff>236220</xdr:colOff>
          <xdr:row>104</xdr:row>
          <xdr:rowOff>182880</xdr:rowOff>
        </xdr:to>
        <xdr:sp macro="" textlink="">
          <xdr:nvSpPr>
            <xdr:cNvPr id="64559" name="Check Box 4143" hidden="1">
              <a:extLst>
                <a:ext uri="{63B3BB69-23CF-44E3-9099-C40C66FF867C}">
                  <a14:compatExt spid="_x0000_s64559"/>
                </a:ext>
                <a:ext uri="{FF2B5EF4-FFF2-40B4-BE49-F238E27FC236}">
                  <a16:creationId xmlns:a16="http://schemas.microsoft.com/office/drawing/2014/main" id="{00000000-0008-0000-0200-00002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105</xdr:row>
          <xdr:rowOff>30480</xdr:rowOff>
        </xdr:from>
        <xdr:to>
          <xdr:col>0</xdr:col>
          <xdr:colOff>236220</xdr:colOff>
          <xdr:row>105</xdr:row>
          <xdr:rowOff>182880</xdr:rowOff>
        </xdr:to>
        <xdr:sp macro="" textlink="">
          <xdr:nvSpPr>
            <xdr:cNvPr id="64560" name="Check Box 4144" hidden="1">
              <a:extLst>
                <a:ext uri="{63B3BB69-23CF-44E3-9099-C40C66FF867C}">
                  <a14:compatExt spid="_x0000_s64560"/>
                </a:ext>
                <a:ext uri="{FF2B5EF4-FFF2-40B4-BE49-F238E27FC236}">
                  <a16:creationId xmlns:a16="http://schemas.microsoft.com/office/drawing/2014/main" id="{00000000-0008-0000-0200-00003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106</xdr:row>
          <xdr:rowOff>30480</xdr:rowOff>
        </xdr:from>
        <xdr:to>
          <xdr:col>0</xdr:col>
          <xdr:colOff>236220</xdr:colOff>
          <xdr:row>106</xdr:row>
          <xdr:rowOff>182880</xdr:rowOff>
        </xdr:to>
        <xdr:sp macro="" textlink="">
          <xdr:nvSpPr>
            <xdr:cNvPr id="64561" name="Check Box 4145" hidden="1">
              <a:extLst>
                <a:ext uri="{63B3BB69-23CF-44E3-9099-C40C66FF867C}">
                  <a14:compatExt spid="_x0000_s64561"/>
                </a:ext>
                <a:ext uri="{FF2B5EF4-FFF2-40B4-BE49-F238E27FC236}">
                  <a16:creationId xmlns:a16="http://schemas.microsoft.com/office/drawing/2014/main" id="{00000000-0008-0000-0200-00003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107</xdr:row>
          <xdr:rowOff>30480</xdr:rowOff>
        </xdr:from>
        <xdr:to>
          <xdr:col>0</xdr:col>
          <xdr:colOff>236220</xdr:colOff>
          <xdr:row>107</xdr:row>
          <xdr:rowOff>182880</xdr:rowOff>
        </xdr:to>
        <xdr:sp macro="" textlink="">
          <xdr:nvSpPr>
            <xdr:cNvPr id="64562" name="Check Box 4146" hidden="1">
              <a:extLst>
                <a:ext uri="{63B3BB69-23CF-44E3-9099-C40C66FF867C}">
                  <a14:compatExt spid="_x0000_s64562"/>
                </a:ext>
                <a:ext uri="{FF2B5EF4-FFF2-40B4-BE49-F238E27FC236}">
                  <a16:creationId xmlns:a16="http://schemas.microsoft.com/office/drawing/2014/main" id="{00000000-0008-0000-0200-00003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108</xdr:row>
          <xdr:rowOff>30480</xdr:rowOff>
        </xdr:from>
        <xdr:to>
          <xdr:col>0</xdr:col>
          <xdr:colOff>236220</xdr:colOff>
          <xdr:row>108</xdr:row>
          <xdr:rowOff>182880</xdr:rowOff>
        </xdr:to>
        <xdr:sp macro="" textlink="">
          <xdr:nvSpPr>
            <xdr:cNvPr id="64563" name="Check Box 4147" hidden="1">
              <a:extLst>
                <a:ext uri="{63B3BB69-23CF-44E3-9099-C40C66FF867C}">
                  <a14:compatExt spid="_x0000_s64563"/>
                </a:ext>
                <a:ext uri="{FF2B5EF4-FFF2-40B4-BE49-F238E27FC236}">
                  <a16:creationId xmlns:a16="http://schemas.microsoft.com/office/drawing/2014/main" id="{00000000-0008-0000-0200-00003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109</xdr:row>
          <xdr:rowOff>30480</xdr:rowOff>
        </xdr:from>
        <xdr:to>
          <xdr:col>0</xdr:col>
          <xdr:colOff>236220</xdr:colOff>
          <xdr:row>109</xdr:row>
          <xdr:rowOff>182880</xdr:rowOff>
        </xdr:to>
        <xdr:sp macro="" textlink="">
          <xdr:nvSpPr>
            <xdr:cNvPr id="64564" name="Check Box 4148" hidden="1">
              <a:extLst>
                <a:ext uri="{63B3BB69-23CF-44E3-9099-C40C66FF867C}">
                  <a14:compatExt spid="_x0000_s64564"/>
                </a:ext>
                <a:ext uri="{FF2B5EF4-FFF2-40B4-BE49-F238E27FC236}">
                  <a16:creationId xmlns:a16="http://schemas.microsoft.com/office/drawing/2014/main" id="{00000000-0008-0000-0200-00003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110</xdr:row>
          <xdr:rowOff>30480</xdr:rowOff>
        </xdr:from>
        <xdr:to>
          <xdr:col>0</xdr:col>
          <xdr:colOff>236220</xdr:colOff>
          <xdr:row>110</xdr:row>
          <xdr:rowOff>182880</xdr:rowOff>
        </xdr:to>
        <xdr:sp macro="" textlink="">
          <xdr:nvSpPr>
            <xdr:cNvPr id="64565" name="Check Box 4149" hidden="1">
              <a:extLst>
                <a:ext uri="{63B3BB69-23CF-44E3-9099-C40C66FF867C}">
                  <a14:compatExt spid="_x0000_s64565"/>
                </a:ext>
                <a:ext uri="{FF2B5EF4-FFF2-40B4-BE49-F238E27FC236}">
                  <a16:creationId xmlns:a16="http://schemas.microsoft.com/office/drawing/2014/main" id="{00000000-0008-0000-0200-00003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111</xdr:row>
          <xdr:rowOff>30480</xdr:rowOff>
        </xdr:from>
        <xdr:to>
          <xdr:col>0</xdr:col>
          <xdr:colOff>236220</xdr:colOff>
          <xdr:row>111</xdr:row>
          <xdr:rowOff>182880</xdr:rowOff>
        </xdr:to>
        <xdr:sp macro="" textlink="">
          <xdr:nvSpPr>
            <xdr:cNvPr id="64566" name="Check Box 4150" hidden="1">
              <a:extLst>
                <a:ext uri="{63B3BB69-23CF-44E3-9099-C40C66FF867C}">
                  <a14:compatExt spid="_x0000_s64566"/>
                </a:ext>
                <a:ext uri="{FF2B5EF4-FFF2-40B4-BE49-F238E27FC236}">
                  <a16:creationId xmlns:a16="http://schemas.microsoft.com/office/drawing/2014/main" id="{00000000-0008-0000-0200-00003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112</xdr:row>
          <xdr:rowOff>30480</xdr:rowOff>
        </xdr:from>
        <xdr:to>
          <xdr:col>0</xdr:col>
          <xdr:colOff>236220</xdr:colOff>
          <xdr:row>112</xdr:row>
          <xdr:rowOff>182880</xdr:rowOff>
        </xdr:to>
        <xdr:sp macro="" textlink="">
          <xdr:nvSpPr>
            <xdr:cNvPr id="64567" name="Check Box 4151" hidden="1">
              <a:extLst>
                <a:ext uri="{63B3BB69-23CF-44E3-9099-C40C66FF867C}">
                  <a14:compatExt spid="_x0000_s64567"/>
                </a:ext>
                <a:ext uri="{FF2B5EF4-FFF2-40B4-BE49-F238E27FC236}">
                  <a16:creationId xmlns:a16="http://schemas.microsoft.com/office/drawing/2014/main" id="{00000000-0008-0000-0200-00003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113</xdr:row>
          <xdr:rowOff>30480</xdr:rowOff>
        </xdr:from>
        <xdr:to>
          <xdr:col>0</xdr:col>
          <xdr:colOff>236220</xdr:colOff>
          <xdr:row>113</xdr:row>
          <xdr:rowOff>182880</xdr:rowOff>
        </xdr:to>
        <xdr:sp macro="" textlink="">
          <xdr:nvSpPr>
            <xdr:cNvPr id="64568" name="Check Box 4152" hidden="1">
              <a:extLst>
                <a:ext uri="{63B3BB69-23CF-44E3-9099-C40C66FF867C}">
                  <a14:compatExt spid="_x0000_s64568"/>
                </a:ext>
                <a:ext uri="{FF2B5EF4-FFF2-40B4-BE49-F238E27FC236}">
                  <a16:creationId xmlns:a16="http://schemas.microsoft.com/office/drawing/2014/main" id="{00000000-0008-0000-0200-00003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114</xdr:row>
          <xdr:rowOff>30480</xdr:rowOff>
        </xdr:from>
        <xdr:to>
          <xdr:col>0</xdr:col>
          <xdr:colOff>236220</xdr:colOff>
          <xdr:row>114</xdr:row>
          <xdr:rowOff>182880</xdr:rowOff>
        </xdr:to>
        <xdr:sp macro="" textlink="">
          <xdr:nvSpPr>
            <xdr:cNvPr id="64569" name="Check Box 4153" hidden="1">
              <a:extLst>
                <a:ext uri="{63B3BB69-23CF-44E3-9099-C40C66FF867C}">
                  <a14:compatExt spid="_x0000_s64569"/>
                </a:ext>
                <a:ext uri="{FF2B5EF4-FFF2-40B4-BE49-F238E27FC236}">
                  <a16:creationId xmlns:a16="http://schemas.microsoft.com/office/drawing/2014/main" id="{00000000-0008-0000-0200-00003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115</xdr:row>
          <xdr:rowOff>30480</xdr:rowOff>
        </xdr:from>
        <xdr:to>
          <xdr:col>0</xdr:col>
          <xdr:colOff>236220</xdr:colOff>
          <xdr:row>115</xdr:row>
          <xdr:rowOff>182880</xdr:rowOff>
        </xdr:to>
        <xdr:sp macro="" textlink="">
          <xdr:nvSpPr>
            <xdr:cNvPr id="64570" name="Check Box 4154" hidden="1">
              <a:extLst>
                <a:ext uri="{63B3BB69-23CF-44E3-9099-C40C66FF867C}">
                  <a14:compatExt spid="_x0000_s64570"/>
                </a:ext>
                <a:ext uri="{FF2B5EF4-FFF2-40B4-BE49-F238E27FC236}">
                  <a16:creationId xmlns:a16="http://schemas.microsoft.com/office/drawing/2014/main" id="{00000000-0008-0000-0200-00003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116</xdr:row>
          <xdr:rowOff>30480</xdr:rowOff>
        </xdr:from>
        <xdr:to>
          <xdr:col>0</xdr:col>
          <xdr:colOff>236220</xdr:colOff>
          <xdr:row>116</xdr:row>
          <xdr:rowOff>182880</xdr:rowOff>
        </xdr:to>
        <xdr:sp macro="" textlink="">
          <xdr:nvSpPr>
            <xdr:cNvPr id="64571" name="Check Box 4155" hidden="1">
              <a:extLst>
                <a:ext uri="{63B3BB69-23CF-44E3-9099-C40C66FF867C}">
                  <a14:compatExt spid="_x0000_s64571"/>
                </a:ext>
                <a:ext uri="{FF2B5EF4-FFF2-40B4-BE49-F238E27FC236}">
                  <a16:creationId xmlns:a16="http://schemas.microsoft.com/office/drawing/2014/main" id="{00000000-0008-0000-0200-00003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117</xdr:row>
          <xdr:rowOff>30480</xdr:rowOff>
        </xdr:from>
        <xdr:to>
          <xdr:col>0</xdr:col>
          <xdr:colOff>236220</xdr:colOff>
          <xdr:row>117</xdr:row>
          <xdr:rowOff>182880</xdr:rowOff>
        </xdr:to>
        <xdr:sp macro="" textlink="">
          <xdr:nvSpPr>
            <xdr:cNvPr id="64572" name="Check Box 4156" hidden="1">
              <a:extLst>
                <a:ext uri="{63B3BB69-23CF-44E3-9099-C40C66FF867C}">
                  <a14:compatExt spid="_x0000_s64572"/>
                </a:ext>
                <a:ext uri="{FF2B5EF4-FFF2-40B4-BE49-F238E27FC236}">
                  <a16:creationId xmlns:a16="http://schemas.microsoft.com/office/drawing/2014/main" id="{00000000-0008-0000-0200-00003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118</xdr:row>
          <xdr:rowOff>30480</xdr:rowOff>
        </xdr:from>
        <xdr:to>
          <xdr:col>0</xdr:col>
          <xdr:colOff>236220</xdr:colOff>
          <xdr:row>118</xdr:row>
          <xdr:rowOff>182880</xdr:rowOff>
        </xdr:to>
        <xdr:sp macro="" textlink="">
          <xdr:nvSpPr>
            <xdr:cNvPr id="64573" name="Check Box 4157" hidden="1">
              <a:extLst>
                <a:ext uri="{63B3BB69-23CF-44E3-9099-C40C66FF867C}">
                  <a14:compatExt spid="_x0000_s64573"/>
                </a:ext>
                <a:ext uri="{FF2B5EF4-FFF2-40B4-BE49-F238E27FC236}">
                  <a16:creationId xmlns:a16="http://schemas.microsoft.com/office/drawing/2014/main" id="{00000000-0008-0000-0200-00003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119</xdr:row>
          <xdr:rowOff>30480</xdr:rowOff>
        </xdr:from>
        <xdr:to>
          <xdr:col>0</xdr:col>
          <xdr:colOff>236220</xdr:colOff>
          <xdr:row>119</xdr:row>
          <xdr:rowOff>182880</xdr:rowOff>
        </xdr:to>
        <xdr:sp macro="" textlink="">
          <xdr:nvSpPr>
            <xdr:cNvPr id="64574" name="Check Box 4158" hidden="1">
              <a:extLst>
                <a:ext uri="{63B3BB69-23CF-44E3-9099-C40C66FF867C}">
                  <a14:compatExt spid="_x0000_s64574"/>
                </a:ext>
                <a:ext uri="{FF2B5EF4-FFF2-40B4-BE49-F238E27FC236}">
                  <a16:creationId xmlns:a16="http://schemas.microsoft.com/office/drawing/2014/main" id="{00000000-0008-0000-0200-00003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120</xdr:row>
          <xdr:rowOff>30480</xdr:rowOff>
        </xdr:from>
        <xdr:to>
          <xdr:col>0</xdr:col>
          <xdr:colOff>236220</xdr:colOff>
          <xdr:row>120</xdr:row>
          <xdr:rowOff>182880</xdr:rowOff>
        </xdr:to>
        <xdr:sp macro="" textlink="">
          <xdr:nvSpPr>
            <xdr:cNvPr id="64575" name="Check Box 4159" hidden="1">
              <a:extLst>
                <a:ext uri="{63B3BB69-23CF-44E3-9099-C40C66FF867C}">
                  <a14:compatExt spid="_x0000_s64575"/>
                </a:ext>
                <a:ext uri="{FF2B5EF4-FFF2-40B4-BE49-F238E27FC236}">
                  <a16:creationId xmlns:a16="http://schemas.microsoft.com/office/drawing/2014/main" id="{00000000-0008-0000-0200-00003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121</xdr:row>
          <xdr:rowOff>30480</xdr:rowOff>
        </xdr:from>
        <xdr:to>
          <xdr:col>0</xdr:col>
          <xdr:colOff>236220</xdr:colOff>
          <xdr:row>121</xdr:row>
          <xdr:rowOff>182880</xdr:rowOff>
        </xdr:to>
        <xdr:sp macro="" textlink="">
          <xdr:nvSpPr>
            <xdr:cNvPr id="64576" name="Check Box 4160" hidden="1">
              <a:extLst>
                <a:ext uri="{63B3BB69-23CF-44E3-9099-C40C66FF867C}">
                  <a14:compatExt spid="_x0000_s64576"/>
                </a:ext>
                <a:ext uri="{FF2B5EF4-FFF2-40B4-BE49-F238E27FC236}">
                  <a16:creationId xmlns:a16="http://schemas.microsoft.com/office/drawing/2014/main" id="{00000000-0008-0000-0200-00004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122</xdr:row>
          <xdr:rowOff>30480</xdr:rowOff>
        </xdr:from>
        <xdr:to>
          <xdr:col>0</xdr:col>
          <xdr:colOff>236220</xdr:colOff>
          <xdr:row>122</xdr:row>
          <xdr:rowOff>182880</xdr:rowOff>
        </xdr:to>
        <xdr:sp macro="" textlink="">
          <xdr:nvSpPr>
            <xdr:cNvPr id="64577" name="Check Box 4161" hidden="1">
              <a:extLst>
                <a:ext uri="{63B3BB69-23CF-44E3-9099-C40C66FF867C}">
                  <a14:compatExt spid="_x0000_s64577"/>
                </a:ext>
                <a:ext uri="{FF2B5EF4-FFF2-40B4-BE49-F238E27FC236}">
                  <a16:creationId xmlns:a16="http://schemas.microsoft.com/office/drawing/2014/main" id="{00000000-0008-0000-0200-00004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123</xdr:row>
          <xdr:rowOff>30480</xdr:rowOff>
        </xdr:from>
        <xdr:to>
          <xdr:col>0</xdr:col>
          <xdr:colOff>236220</xdr:colOff>
          <xdr:row>123</xdr:row>
          <xdr:rowOff>182880</xdr:rowOff>
        </xdr:to>
        <xdr:sp macro="" textlink="">
          <xdr:nvSpPr>
            <xdr:cNvPr id="64578" name="Check Box 4162" hidden="1">
              <a:extLst>
                <a:ext uri="{63B3BB69-23CF-44E3-9099-C40C66FF867C}">
                  <a14:compatExt spid="_x0000_s64578"/>
                </a:ext>
                <a:ext uri="{FF2B5EF4-FFF2-40B4-BE49-F238E27FC236}">
                  <a16:creationId xmlns:a16="http://schemas.microsoft.com/office/drawing/2014/main" id="{00000000-0008-0000-0200-00004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124</xdr:row>
          <xdr:rowOff>30480</xdr:rowOff>
        </xdr:from>
        <xdr:to>
          <xdr:col>0</xdr:col>
          <xdr:colOff>236220</xdr:colOff>
          <xdr:row>124</xdr:row>
          <xdr:rowOff>182880</xdr:rowOff>
        </xdr:to>
        <xdr:sp macro="" textlink="">
          <xdr:nvSpPr>
            <xdr:cNvPr id="64579" name="Check Box 4163" hidden="1">
              <a:extLst>
                <a:ext uri="{63B3BB69-23CF-44E3-9099-C40C66FF867C}">
                  <a14:compatExt spid="_x0000_s64579"/>
                </a:ext>
                <a:ext uri="{FF2B5EF4-FFF2-40B4-BE49-F238E27FC236}">
                  <a16:creationId xmlns:a16="http://schemas.microsoft.com/office/drawing/2014/main" id="{00000000-0008-0000-0200-00004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125</xdr:row>
          <xdr:rowOff>30480</xdr:rowOff>
        </xdr:from>
        <xdr:to>
          <xdr:col>0</xdr:col>
          <xdr:colOff>236220</xdr:colOff>
          <xdr:row>125</xdr:row>
          <xdr:rowOff>182880</xdr:rowOff>
        </xdr:to>
        <xdr:sp macro="" textlink="">
          <xdr:nvSpPr>
            <xdr:cNvPr id="64580" name="Check Box 4164" hidden="1">
              <a:extLst>
                <a:ext uri="{63B3BB69-23CF-44E3-9099-C40C66FF867C}">
                  <a14:compatExt spid="_x0000_s64580"/>
                </a:ext>
                <a:ext uri="{FF2B5EF4-FFF2-40B4-BE49-F238E27FC236}">
                  <a16:creationId xmlns:a16="http://schemas.microsoft.com/office/drawing/2014/main" id="{00000000-0008-0000-0200-00004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126</xdr:row>
          <xdr:rowOff>30480</xdr:rowOff>
        </xdr:from>
        <xdr:to>
          <xdr:col>0</xdr:col>
          <xdr:colOff>236220</xdr:colOff>
          <xdr:row>126</xdr:row>
          <xdr:rowOff>182880</xdr:rowOff>
        </xdr:to>
        <xdr:sp macro="" textlink="">
          <xdr:nvSpPr>
            <xdr:cNvPr id="64581" name="Check Box 4165" hidden="1">
              <a:extLst>
                <a:ext uri="{63B3BB69-23CF-44E3-9099-C40C66FF867C}">
                  <a14:compatExt spid="_x0000_s64581"/>
                </a:ext>
                <a:ext uri="{FF2B5EF4-FFF2-40B4-BE49-F238E27FC236}">
                  <a16:creationId xmlns:a16="http://schemas.microsoft.com/office/drawing/2014/main" id="{00000000-0008-0000-0200-00004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127</xdr:row>
          <xdr:rowOff>30480</xdr:rowOff>
        </xdr:from>
        <xdr:to>
          <xdr:col>0</xdr:col>
          <xdr:colOff>236220</xdr:colOff>
          <xdr:row>127</xdr:row>
          <xdr:rowOff>182880</xdr:rowOff>
        </xdr:to>
        <xdr:sp macro="" textlink="">
          <xdr:nvSpPr>
            <xdr:cNvPr id="64582" name="Check Box 4166" hidden="1">
              <a:extLst>
                <a:ext uri="{63B3BB69-23CF-44E3-9099-C40C66FF867C}">
                  <a14:compatExt spid="_x0000_s64582"/>
                </a:ext>
                <a:ext uri="{FF2B5EF4-FFF2-40B4-BE49-F238E27FC236}">
                  <a16:creationId xmlns:a16="http://schemas.microsoft.com/office/drawing/2014/main" id="{00000000-0008-0000-0200-00004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128</xdr:row>
          <xdr:rowOff>30480</xdr:rowOff>
        </xdr:from>
        <xdr:to>
          <xdr:col>0</xdr:col>
          <xdr:colOff>236220</xdr:colOff>
          <xdr:row>128</xdr:row>
          <xdr:rowOff>182880</xdr:rowOff>
        </xdr:to>
        <xdr:sp macro="" textlink="">
          <xdr:nvSpPr>
            <xdr:cNvPr id="64583" name="Check Box 4167" hidden="1">
              <a:extLst>
                <a:ext uri="{63B3BB69-23CF-44E3-9099-C40C66FF867C}">
                  <a14:compatExt spid="_x0000_s64583"/>
                </a:ext>
                <a:ext uri="{FF2B5EF4-FFF2-40B4-BE49-F238E27FC236}">
                  <a16:creationId xmlns:a16="http://schemas.microsoft.com/office/drawing/2014/main" id="{00000000-0008-0000-0200-00004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129</xdr:row>
          <xdr:rowOff>30480</xdr:rowOff>
        </xdr:from>
        <xdr:to>
          <xdr:col>0</xdr:col>
          <xdr:colOff>236220</xdr:colOff>
          <xdr:row>129</xdr:row>
          <xdr:rowOff>182880</xdr:rowOff>
        </xdr:to>
        <xdr:sp macro="" textlink="">
          <xdr:nvSpPr>
            <xdr:cNvPr id="64584" name="Check Box 4168" hidden="1">
              <a:extLst>
                <a:ext uri="{63B3BB69-23CF-44E3-9099-C40C66FF867C}">
                  <a14:compatExt spid="_x0000_s64584"/>
                </a:ext>
                <a:ext uri="{FF2B5EF4-FFF2-40B4-BE49-F238E27FC236}">
                  <a16:creationId xmlns:a16="http://schemas.microsoft.com/office/drawing/2014/main" id="{00000000-0008-0000-0200-00004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130</xdr:row>
          <xdr:rowOff>30480</xdr:rowOff>
        </xdr:from>
        <xdr:to>
          <xdr:col>0</xdr:col>
          <xdr:colOff>236220</xdr:colOff>
          <xdr:row>130</xdr:row>
          <xdr:rowOff>182880</xdr:rowOff>
        </xdr:to>
        <xdr:sp macro="" textlink="">
          <xdr:nvSpPr>
            <xdr:cNvPr id="64585" name="Check Box 4169" hidden="1">
              <a:extLst>
                <a:ext uri="{63B3BB69-23CF-44E3-9099-C40C66FF867C}">
                  <a14:compatExt spid="_x0000_s64585"/>
                </a:ext>
                <a:ext uri="{FF2B5EF4-FFF2-40B4-BE49-F238E27FC236}">
                  <a16:creationId xmlns:a16="http://schemas.microsoft.com/office/drawing/2014/main" id="{00000000-0008-0000-0200-00004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131</xdr:row>
          <xdr:rowOff>30480</xdr:rowOff>
        </xdr:from>
        <xdr:to>
          <xdr:col>0</xdr:col>
          <xdr:colOff>236220</xdr:colOff>
          <xdr:row>131</xdr:row>
          <xdr:rowOff>182880</xdr:rowOff>
        </xdr:to>
        <xdr:sp macro="" textlink="">
          <xdr:nvSpPr>
            <xdr:cNvPr id="64586" name="Check Box 4170" hidden="1">
              <a:extLst>
                <a:ext uri="{63B3BB69-23CF-44E3-9099-C40C66FF867C}">
                  <a14:compatExt spid="_x0000_s64586"/>
                </a:ext>
                <a:ext uri="{FF2B5EF4-FFF2-40B4-BE49-F238E27FC236}">
                  <a16:creationId xmlns:a16="http://schemas.microsoft.com/office/drawing/2014/main" id="{00000000-0008-0000-0200-00004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132</xdr:row>
          <xdr:rowOff>30480</xdr:rowOff>
        </xdr:from>
        <xdr:to>
          <xdr:col>0</xdr:col>
          <xdr:colOff>236220</xdr:colOff>
          <xdr:row>132</xdr:row>
          <xdr:rowOff>182880</xdr:rowOff>
        </xdr:to>
        <xdr:sp macro="" textlink="">
          <xdr:nvSpPr>
            <xdr:cNvPr id="64587" name="Check Box 4171" hidden="1">
              <a:extLst>
                <a:ext uri="{63B3BB69-23CF-44E3-9099-C40C66FF867C}">
                  <a14:compatExt spid="_x0000_s64587"/>
                </a:ext>
                <a:ext uri="{FF2B5EF4-FFF2-40B4-BE49-F238E27FC236}">
                  <a16:creationId xmlns:a16="http://schemas.microsoft.com/office/drawing/2014/main" id="{00000000-0008-0000-0200-00004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133</xdr:row>
          <xdr:rowOff>30480</xdr:rowOff>
        </xdr:from>
        <xdr:to>
          <xdr:col>0</xdr:col>
          <xdr:colOff>236220</xdr:colOff>
          <xdr:row>133</xdr:row>
          <xdr:rowOff>182880</xdr:rowOff>
        </xdr:to>
        <xdr:sp macro="" textlink="">
          <xdr:nvSpPr>
            <xdr:cNvPr id="64588" name="Check Box 4172" hidden="1">
              <a:extLst>
                <a:ext uri="{63B3BB69-23CF-44E3-9099-C40C66FF867C}">
                  <a14:compatExt spid="_x0000_s64588"/>
                </a:ext>
                <a:ext uri="{FF2B5EF4-FFF2-40B4-BE49-F238E27FC236}">
                  <a16:creationId xmlns:a16="http://schemas.microsoft.com/office/drawing/2014/main" id="{00000000-0008-0000-0200-00004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134</xdr:row>
          <xdr:rowOff>30480</xdr:rowOff>
        </xdr:from>
        <xdr:to>
          <xdr:col>0</xdr:col>
          <xdr:colOff>236220</xdr:colOff>
          <xdr:row>134</xdr:row>
          <xdr:rowOff>182880</xdr:rowOff>
        </xdr:to>
        <xdr:sp macro="" textlink="">
          <xdr:nvSpPr>
            <xdr:cNvPr id="64589" name="Check Box 4173" hidden="1">
              <a:extLst>
                <a:ext uri="{63B3BB69-23CF-44E3-9099-C40C66FF867C}">
                  <a14:compatExt spid="_x0000_s64589"/>
                </a:ext>
                <a:ext uri="{FF2B5EF4-FFF2-40B4-BE49-F238E27FC236}">
                  <a16:creationId xmlns:a16="http://schemas.microsoft.com/office/drawing/2014/main" id="{00000000-0008-0000-0200-00004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135</xdr:row>
          <xdr:rowOff>30480</xdr:rowOff>
        </xdr:from>
        <xdr:to>
          <xdr:col>0</xdr:col>
          <xdr:colOff>236220</xdr:colOff>
          <xdr:row>135</xdr:row>
          <xdr:rowOff>182880</xdr:rowOff>
        </xdr:to>
        <xdr:sp macro="" textlink="">
          <xdr:nvSpPr>
            <xdr:cNvPr id="64590" name="Check Box 4174" hidden="1">
              <a:extLst>
                <a:ext uri="{63B3BB69-23CF-44E3-9099-C40C66FF867C}">
                  <a14:compatExt spid="_x0000_s64590"/>
                </a:ext>
                <a:ext uri="{FF2B5EF4-FFF2-40B4-BE49-F238E27FC236}">
                  <a16:creationId xmlns:a16="http://schemas.microsoft.com/office/drawing/2014/main" id="{00000000-0008-0000-0200-00004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136</xdr:row>
          <xdr:rowOff>30480</xdr:rowOff>
        </xdr:from>
        <xdr:to>
          <xdr:col>0</xdr:col>
          <xdr:colOff>236220</xdr:colOff>
          <xdr:row>136</xdr:row>
          <xdr:rowOff>182880</xdr:rowOff>
        </xdr:to>
        <xdr:sp macro="" textlink="">
          <xdr:nvSpPr>
            <xdr:cNvPr id="64591" name="Check Box 4175" hidden="1">
              <a:extLst>
                <a:ext uri="{63B3BB69-23CF-44E3-9099-C40C66FF867C}">
                  <a14:compatExt spid="_x0000_s64591"/>
                </a:ext>
                <a:ext uri="{FF2B5EF4-FFF2-40B4-BE49-F238E27FC236}">
                  <a16:creationId xmlns:a16="http://schemas.microsoft.com/office/drawing/2014/main" id="{00000000-0008-0000-0200-00004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137</xdr:row>
          <xdr:rowOff>30480</xdr:rowOff>
        </xdr:from>
        <xdr:to>
          <xdr:col>0</xdr:col>
          <xdr:colOff>236220</xdr:colOff>
          <xdr:row>137</xdr:row>
          <xdr:rowOff>182880</xdr:rowOff>
        </xdr:to>
        <xdr:sp macro="" textlink="">
          <xdr:nvSpPr>
            <xdr:cNvPr id="64592" name="Check Box 4176" hidden="1">
              <a:extLst>
                <a:ext uri="{63B3BB69-23CF-44E3-9099-C40C66FF867C}">
                  <a14:compatExt spid="_x0000_s64592"/>
                </a:ext>
                <a:ext uri="{FF2B5EF4-FFF2-40B4-BE49-F238E27FC236}">
                  <a16:creationId xmlns:a16="http://schemas.microsoft.com/office/drawing/2014/main" id="{00000000-0008-0000-0200-00005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138</xdr:row>
          <xdr:rowOff>30480</xdr:rowOff>
        </xdr:from>
        <xdr:to>
          <xdr:col>0</xdr:col>
          <xdr:colOff>236220</xdr:colOff>
          <xdr:row>138</xdr:row>
          <xdr:rowOff>182880</xdr:rowOff>
        </xdr:to>
        <xdr:sp macro="" textlink="">
          <xdr:nvSpPr>
            <xdr:cNvPr id="64593" name="Check Box 4177" hidden="1">
              <a:extLst>
                <a:ext uri="{63B3BB69-23CF-44E3-9099-C40C66FF867C}">
                  <a14:compatExt spid="_x0000_s64593"/>
                </a:ext>
                <a:ext uri="{FF2B5EF4-FFF2-40B4-BE49-F238E27FC236}">
                  <a16:creationId xmlns:a16="http://schemas.microsoft.com/office/drawing/2014/main" id="{00000000-0008-0000-0200-00005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139</xdr:row>
          <xdr:rowOff>30480</xdr:rowOff>
        </xdr:from>
        <xdr:to>
          <xdr:col>0</xdr:col>
          <xdr:colOff>236220</xdr:colOff>
          <xdr:row>139</xdr:row>
          <xdr:rowOff>182880</xdr:rowOff>
        </xdr:to>
        <xdr:sp macro="" textlink="">
          <xdr:nvSpPr>
            <xdr:cNvPr id="64594" name="Check Box 4178" hidden="1">
              <a:extLst>
                <a:ext uri="{63B3BB69-23CF-44E3-9099-C40C66FF867C}">
                  <a14:compatExt spid="_x0000_s64594"/>
                </a:ext>
                <a:ext uri="{FF2B5EF4-FFF2-40B4-BE49-F238E27FC236}">
                  <a16:creationId xmlns:a16="http://schemas.microsoft.com/office/drawing/2014/main" id="{00000000-0008-0000-0200-00005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140</xdr:row>
          <xdr:rowOff>30480</xdr:rowOff>
        </xdr:from>
        <xdr:to>
          <xdr:col>0</xdr:col>
          <xdr:colOff>236220</xdr:colOff>
          <xdr:row>140</xdr:row>
          <xdr:rowOff>182880</xdr:rowOff>
        </xdr:to>
        <xdr:sp macro="" textlink="">
          <xdr:nvSpPr>
            <xdr:cNvPr id="64595" name="Check Box 4179" hidden="1">
              <a:extLst>
                <a:ext uri="{63B3BB69-23CF-44E3-9099-C40C66FF867C}">
                  <a14:compatExt spid="_x0000_s64595"/>
                </a:ext>
                <a:ext uri="{FF2B5EF4-FFF2-40B4-BE49-F238E27FC236}">
                  <a16:creationId xmlns:a16="http://schemas.microsoft.com/office/drawing/2014/main" id="{00000000-0008-0000-0200-00005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141</xdr:row>
          <xdr:rowOff>30480</xdr:rowOff>
        </xdr:from>
        <xdr:to>
          <xdr:col>0</xdr:col>
          <xdr:colOff>236220</xdr:colOff>
          <xdr:row>141</xdr:row>
          <xdr:rowOff>182880</xdr:rowOff>
        </xdr:to>
        <xdr:sp macro="" textlink="">
          <xdr:nvSpPr>
            <xdr:cNvPr id="64596" name="Check Box 4180" hidden="1">
              <a:extLst>
                <a:ext uri="{63B3BB69-23CF-44E3-9099-C40C66FF867C}">
                  <a14:compatExt spid="_x0000_s64596"/>
                </a:ext>
                <a:ext uri="{FF2B5EF4-FFF2-40B4-BE49-F238E27FC236}">
                  <a16:creationId xmlns:a16="http://schemas.microsoft.com/office/drawing/2014/main" id="{00000000-0008-0000-0200-00005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142</xdr:row>
          <xdr:rowOff>30480</xdr:rowOff>
        </xdr:from>
        <xdr:to>
          <xdr:col>0</xdr:col>
          <xdr:colOff>236220</xdr:colOff>
          <xdr:row>142</xdr:row>
          <xdr:rowOff>182880</xdr:rowOff>
        </xdr:to>
        <xdr:sp macro="" textlink="">
          <xdr:nvSpPr>
            <xdr:cNvPr id="64597" name="Check Box 4181" hidden="1">
              <a:extLst>
                <a:ext uri="{63B3BB69-23CF-44E3-9099-C40C66FF867C}">
                  <a14:compatExt spid="_x0000_s64597"/>
                </a:ext>
                <a:ext uri="{FF2B5EF4-FFF2-40B4-BE49-F238E27FC236}">
                  <a16:creationId xmlns:a16="http://schemas.microsoft.com/office/drawing/2014/main" id="{00000000-0008-0000-0200-00005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143</xdr:row>
          <xdr:rowOff>30480</xdr:rowOff>
        </xdr:from>
        <xdr:to>
          <xdr:col>0</xdr:col>
          <xdr:colOff>236220</xdr:colOff>
          <xdr:row>143</xdr:row>
          <xdr:rowOff>182880</xdr:rowOff>
        </xdr:to>
        <xdr:sp macro="" textlink="">
          <xdr:nvSpPr>
            <xdr:cNvPr id="64598" name="Check Box 4182" hidden="1">
              <a:extLst>
                <a:ext uri="{63B3BB69-23CF-44E3-9099-C40C66FF867C}">
                  <a14:compatExt spid="_x0000_s64598"/>
                </a:ext>
                <a:ext uri="{FF2B5EF4-FFF2-40B4-BE49-F238E27FC236}">
                  <a16:creationId xmlns:a16="http://schemas.microsoft.com/office/drawing/2014/main" id="{00000000-0008-0000-0200-00005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144</xdr:row>
          <xdr:rowOff>30480</xdr:rowOff>
        </xdr:from>
        <xdr:to>
          <xdr:col>0</xdr:col>
          <xdr:colOff>236220</xdr:colOff>
          <xdr:row>144</xdr:row>
          <xdr:rowOff>182880</xdr:rowOff>
        </xdr:to>
        <xdr:sp macro="" textlink="">
          <xdr:nvSpPr>
            <xdr:cNvPr id="64599" name="Check Box 4183" hidden="1">
              <a:extLst>
                <a:ext uri="{63B3BB69-23CF-44E3-9099-C40C66FF867C}">
                  <a14:compatExt spid="_x0000_s64599"/>
                </a:ext>
                <a:ext uri="{FF2B5EF4-FFF2-40B4-BE49-F238E27FC236}">
                  <a16:creationId xmlns:a16="http://schemas.microsoft.com/office/drawing/2014/main" id="{00000000-0008-0000-0200-00005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145</xdr:row>
          <xdr:rowOff>30480</xdr:rowOff>
        </xdr:from>
        <xdr:to>
          <xdr:col>0</xdr:col>
          <xdr:colOff>236220</xdr:colOff>
          <xdr:row>145</xdr:row>
          <xdr:rowOff>182880</xdr:rowOff>
        </xdr:to>
        <xdr:sp macro="" textlink="">
          <xdr:nvSpPr>
            <xdr:cNvPr id="64600" name="Check Box 4184" hidden="1">
              <a:extLst>
                <a:ext uri="{63B3BB69-23CF-44E3-9099-C40C66FF867C}">
                  <a14:compatExt spid="_x0000_s64600"/>
                </a:ext>
                <a:ext uri="{FF2B5EF4-FFF2-40B4-BE49-F238E27FC236}">
                  <a16:creationId xmlns:a16="http://schemas.microsoft.com/office/drawing/2014/main" id="{00000000-0008-0000-0200-00005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146</xdr:row>
          <xdr:rowOff>30480</xdr:rowOff>
        </xdr:from>
        <xdr:to>
          <xdr:col>0</xdr:col>
          <xdr:colOff>236220</xdr:colOff>
          <xdr:row>146</xdr:row>
          <xdr:rowOff>182880</xdr:rowOff>
        </xdr:to>
        <xdr:sp macro="" textlink="">
          <xdr:nvSpPr>
            <xdr:cNvPr id="64601" name="Check Box 4185" hidden="1">
              <a:extLst>
                <a:ext uri="{63B3BB69-23CF-44E3-9099-C40C66FF867C}">
                  <a14:compatExt spid="_x0000_s64601"/>
                </a:ext>
                <a:ext uri="{FF2B5EF4-FFF2-40B4-BE49-F238E27FC236}">
                  <a16:creationId xmlns:a16="http://schemas.microsoft.com/office/drawing/2014/main" id="{00000000-0008-0000-0200-00005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147</xdr:row>
          <xdr:rowOff>30480</xdr:rowOff>
        </xdr:from>
        <xdr:to>
          <xdr:col>0</xdr:col>
          <xdr:colOff>236220</xdr:colOff>
          <xdr:row>147</xdr:row>
          <xdr:rowOff>182880</xdr:rowOff>
        </xdr:to>
        <xdr:sp macro="" textlink="">
          <xdr:nvSpPr>
            <xdr:cNvPr id="64602" name="Check Box 4186" hidden="1">
              <a:extLst>
                <a:ext uri="{63B3BB69-23CF-44E3-9099-C40C66FF867C}">
                  <a14:compatExt spid="_x0000_s64602"/>
                </a:ext>
                <a:ext uri="{FF2B5EF4-FFF2-40B4-BE49-F238E27FC236}">
                  <a16:creationId xmlns:a16="http://schemas.microsoft.com/office/drawing/2014/main" id="{00000000-0008-0000-0200-00005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148</xdr:row>
          <xdr:rowOff>30480</xdr:rowOff>
        </xdr:from>
        <xdr:to>
          <xdr:col>0</xdr:col>
          <xdr:colOff>236220</xdr:colOff>
          <xdr:row>148</xdr:row>
          <xdr:rowOff>182880</xdr:rowOff>
        </xdr:to>
        <xdr:sp macro="" textlink="">
          <xdr:nvSpPr>
            <xdr:cNvPr id="64603" name="Check Box 4187" hidden="1">
              <a:extLst>
                <a:ext uri="{63B3BB69-23CF-44E3-9099-C40C66FF867C}">
                  <a14:compatExt spid="_x0000_s64603"/>
                </a:ext>
                <a:ext uri="{FF2B5EF4-FFF2-40B4-BE49-F238E27FC236}">
                  <a16:creationId xmlns:a16="http://schemas.microsoft.com/office/drawing/2014/main" id="{00000000-0008-0000-0200-00005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149</xdr:row>
          <xdr:rowOff>30480</xdr:rowOff>
        </xdr:from>
        <xdr:to>
          <xdr:col>0</xdr:col>
          <xdr:colOff>236220</xdr:colOff>
          <xdr:row>149</xdr:row>
          <xdr:rowOff>182880</xdr:rowOff>
        </xdr:to>
        <xdr:sp macro="" textlink="">
          <xdr:nvSpPr>
            <xdr:cNvPr id="64604" name="Check Box 4188" hidden="1">
              <a:extLst>
                <a:ext uri="{63B3BB69-23CF-44E3-9099-C40C66FF867C}">
                  <a14:compatExt spid="_x0000_s64604"/>
                </a:ext>
                <a:ext uri="{FF2B5EF4-FFF2-40B4-BE49-F238E27FC236}">
                  <a16:creationId xmlns:a16="http://schemas.microsoft.com/office/drawing/2014/main" id="{00000000-0008-0000-0200-00005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150</xdr:row>
          <xdr:rowOff>30480</xdr:rowOff>
        </xdr:from>
        <xdr:to>
          <xdr:col>0</xdr:col>
          <xdr:colOff>236220</xdr:colOff>
          <xdr:row>150</xdr:row>
          <xdr:rowOff>182880</xdr:rowOff>
        </xdr:to>
        <xdr:sp macro="" textlink="">
          <xdr:nvSpPr>
            <xdr:cNvPr id="64605" name="Check Box 4189" hidden="1">
              <a:extLst>
                <a:ext uri="{63B3BB69-23CF-44E3-9099-C40C66FF867C}">
                  <a14:compatExt spid="_x0000_s64605"/>
                </a:ext>
                <a:ext uri="{FF2B5EF4-FFF2-40B4-BE49-F238E27FC236}">
                  <a16:creationId xmlns:a16="http://schemas.microsoft.com/office/drawing/2014/main" id="{00000000-0008-0000-0200-00005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151</xdr:row>
          <xdr:rowOff>30480</xdr:rowOff>
        </xdr:from>
        <xdr:to>
          <xdr:col>0</xdr:col>
          <xdr:colOff>236220</xdr:colOff>
          <xdr:row>151</xdr:row>
          <xdr:rowOff>182880</xdr:rowOff>
        </xdr:to>
        <xdr:sp macro="" textlink="">
          <xdr:nvSpPr>
            <xdr:cNvPr id="64606" name="Check Box 4190" hidden="1">
              <a:extLst>
                <a:ext uri="{63B3BB69-23CF-44E3-9099-C40C66FF867C}">
                  <a14:compatExt spid="_x0000_s64606"/>
                </a:ext>
                <a:ext uri="{FF2B5EF4-FFF2-40B4-BE49-F238E27FC236}">
                  <a16:creationId xmlns:a16="http://schemas.microsoft.com/office/drawing/2014/main" id="{00000000-0008-0000-0200-00005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152</xdr:row>
          <xdr:rowOff>30480</xdr:rowOff>
        </xdr:from>
        <xdr:to>
          <xdr:col>0</xdr:col>
          <xdr:colOff>236220</xdr:colOff>
          <xdr:row>152</xdr:row>
          <xdr:rowOff>182880</xdr:rowOff>
        </xdr:to>
        <xdr:sp macro="" textlink="">
          <xdr:nvSpPr>
            <xdr:cNvPr id="64607" name="Check Box 4191" hidden="1">
              <a:extLst>
                <a:ext uri="{63B3BB69-23CF-44E3-9099-C40C66FF867C}">
                  <a14:compatExt spid="_x0000_s64607"/>
                </a:ext>
                <a:ext uri="{FF2B5EF4-FFF2-40B4-BE49-F238E27FC236}">
                  <a16:creationId xmlns:a16="http://schemas.microsoft.com/office/drawing/2014/main" id="{00000000-0008-0000-0200-00005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153</xdr:row>
          <xdr:rowOff>30480</xdr:rowOff>
        </xdr:from>
        <xdr:to>
          <xdr:col>0</xdr:col>
          <xdr:colOff>236220</xdr:colOff>
          <xdr:row>153</xdr:row>
          <xdr:rowOff>182880</xdr:rowOff>
        </xdr:to>
        <xdr:sp macro="" textlink="">
          <xdr:nvSpPr>
            <xdr:cNvPr id="64608" name="Check Box 4192" hidden="1">
              <a:extLst>
                <a:ext uri="{63B3BB69-23CF-44E3-9099-C40C66FF867C}">
                  <a14:compatExt spid="_x0000_s64608"/>
                </a:ext>
                <a:ext uri="{FF2B5EF4-FFF2-40B4-BE49-F238E27FC236}">
                  <a16:creationId xmlns:a16="http://schemas.microsoft.com/office/drawing/2014/main" id="{00000000-0008-0000-0200-00006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154</xdr:row>
          <xdr:rowOff>30480</xdr:rowOff>
        </xdr:from>
        <xdr:to>
          <xdr:col>0</xdr:col>
          <xdr:colOff>236220</xdr:colOff>
          <xdr:row>154</xdr:row>
          <xdr:rowOff>182880</xdr:rowOff>
        </xdr:to>
        <xdr:sp macro="" textlink="">
          <xdr:nvSpPr>
            <xdr:cNvPr id="64609" name="Check Box 4193" hidden="1">
              <a:extLst>
                <a:ext uri="{63B3BB69-23CF-44E3-9099-C40C66FF867C}">
                  <a14:compatExt spid="_x0000_s64609"/>
                </a:ext>
                <a:ext uri="{FF2B5EF4-FFF2-40B4-BE49-F238E27FC236}">
                  <a16:creationId xmlns:a16="http://schemas.microsoft.com/office/drawing/2014/main" id="{00000000-0008-0000-0200-00006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155</xdr:row>
          <xdr:rowOff>30480</xdr:rowOff>
        </xdr:from>
        <xdr:to>
          <xdr:col>0</xdr:col>
          <xdr:colOff>236220</xdr:colOff>
          <xdr:row>155</xdr:row>
          <xdr:rowOff>182880</xdr:rowOff>
        </xdr:to>
        <xdr:sp macro="" textlink="">
          <xdr:nvSpPr>
            <xdr:cNvPr id="64610" name="Check Box 4194" hidden="1">
              <a:extLst>
                <a:ext uri="{63B3BB69-23CF-44E3-9099-C40C66FF867C}">
                  <a14:compatExt spid="_x0000_s64610"/>
                </a:ext>
                <a:ext uri="{FF2B5EF4-FFF2-40B4-BE49-F238E27FC236}">
                  <a16:creationId xmlns:a16="http://schemas.microsoft.com/office/drawing/2014/main" id="{00000000-0008-0000-0200-00006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156</xdr:row>
          <xdr:rowOff>30480</xdr:rowOff>
        </xdr:from>
        <xdr:to>
          <xdr:col>0</xdr:col>
          <xdr:colOff>236220</xdr:colOff>
          <xdr:row>156</xdr:row>
          <xdr:rowOff>182880</xdr:rowOff>
        </xdr:to>
        <xdr:sp macro="" textlink="">
          <xdr:nvSpPr>
            <xdr:cNvPr id="64611" name="Check Box 4195" hidden="1">
              <a:extLst>
                <a:ext uri="{63B3BB69-23CF-44E3-9099-C40C66FF867C}">
                  <a14:compatExt spid="_x0000_s64611"/>
                </a:ext>
                <a:ext uri="{FF2B5EF4-FFF2-40B4-BE49-F238E27FC236}">
                  <a16:creationId xmlns:a16="http://schemas.microsoft.com/office/drawing/2014/main" id="{00000000-0008-0000-0200-00006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157</xdr:row>
          <xdr:rowOff>30480</xdr:rowOff>
        </xdr:from>
        <xdr:to>
          <xdr:col>0</xdr:col>
          <xdr:colOff>236220</xdr:colOff>
          <xdr:row>157</xdr:row>
          <xdr:rowOff>182880</xdr:rowOff>
        </xdr:to>
        <xdr:sp macro="" textlink="">
          <xdr:nvSpPr>
            <xdr:cNvPr id="64612" name="Check Box 4196" hidden="1">
              <a:extLst>
                <a:ext uri="{63B3BB69-23CF-44E3-9099-C40C66FF867C}">
                  <a14:compatExt spid="_x0000_s64612"/>
                </a:ext>
                <a:ext uri="{FF2B5EF4-FFF2-40B4-BE49-F238E27FC236}">
                  <a16:creationId xmlns:a16="http://schemas.microsoft.com/office/drawing/2014/main" id="{00000000-0008-0000-0200-00006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158</xdr:row>
          <xdr:rowOff>30480</xdr:rowOff>
        </xdr:from>
        <xdr:to>
          <xdr:col>0</xdr:col>
          <xdr:colOff>236220</xdr:colOff>
          <xdr:row>158</xdr:row>
          <xdr:rowOff>182880</xdr:rowOff>
        </xdr:to>
        <xdr:sp macro="" textlink="">
          <xdr:nvSpPr>
            <xdr:cNvPr id="64613" name="Check Box 4197" hidden="1">
              <a:extLst>
                <a:ext uri="{63B3BB69-23CF-44E3-9099-C40C66FF867C}">
                  <a14:compatExt spid="_x0000_s64613"/>
                </a:ext>
                <a:ext uri="{FF2B5EF4-FFF2-40B4-BE49-F238E27FC236}">
                  <a16:creationId xmlns:a16="http://schemas.microsoft.com/office/drawing/2014/main" id="{00000000-0008-0000-0200-00006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159</xdr:row>
          <xdr:rowOff>30480</xdr:rowOff>
        </xdr:from>
        <xdr:to>
          <xdr:col>0</xdr:col>
          <xdr:colOff>236220</xdr:colOff>
          <xdr:row>159</xdr:row>
          <xdr:rowOff>182880</xdr:rowOff>
        </xdr:to>
        <xdr:sp macro="" textlink="">
          <xdr:nvSpPr>
            <xdr:cNvPr id="64614" name="Check Box 4198" hidden="1">
              <a:extLst>
                <a:ext uri="{63B3BB69-23CF-44E3-9099-C40C66FF867C}">
                  <a14:compatExt spid="_x0000_s64614"/>
                </a:ext>
                <a:ext uri="{FF2B5EF4-FFF2-40B4-BE49-F238E27FC236}">
                  <a16:creationId xmlns:a16="http://schemas.microsoft.com/office/drawing/2014/main" id="{00000000-0008-0000-0200-00006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160</xdr:row>
          <xdr:rowOff>30480</xdr:rowOff>
        </xdr:from>
        <xdr:to>
          <xdr:col>0</xdr:col>
          <xdr:colOff>236220</xdr:colOff>
          <xdr:row>160</xdr:row>
          <xdr:rowOff>182880</xdr:rowOff>
        </xdr:to>
        <xdr:sp macro="" textlink="">
          <xdr:nvSpPr>
            <xdr:cNvPr id="64615" name="Check Box 4199" hidden="1">
              <a:extLst>
                <a:ext uri="{63B3BB69-23CF-44E3-9099-C40C66FF867C}">
                  <a14:compatExt spid="_x0000_s64615"/>
                </a:ext>
                <a:ext uri="{FF2B5EF4-FFF2-40B4-BE49-F238E27FC236}">
                  <a16:creationId xmlns:a16="http://schemas.microsoft.com/office/drawing/2014/main" id="{00000000-0008-0000-0200-00006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161</xdr:row>
          <xdr:rowOff>30480</xdr:rowOff>
        </xdr:from>
        <xdr:to>
          <xdr:col>0</xdr:col>
          <xdr:colOff>236220</xdr:colOff>
          <xdr:row>161</xdr:row>
          <xdr:rowOff>182880</xdr:rowOff>
        </xdr:to>
        <xdr:sp macro="" textlink="">
          <xdr:nvSpPr>
            <xdr:cNvPr id="64616" name="Check Box 4200" hidden="1">
              <a:extLst>
                <a:ext uri="{63B3BB69-23CF-44E3-9099-C40C66FF867C}">
                  <a14:compatExt spid="_x0000_s64616"/>
                </a:ext>
                <a:ext uri="{FF2B5EF4-FFF2-40B4-BE49-F238E27FC236}">
                  <a16:creationId xmlns:a16="http://schemas.microsoft.com/office/drawing/2014/main" id="{00000000-0008-0000-0200-00006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162</xdr:row>
          <xdr:rowOff>30480</xdr:rowOff>
        </xdr:from>
        <xdr:to>
          <xdr:col>0</xdr:col>
          <xdr:colOff>236220</xdr:colOff>
          <xdr:row>162</xdr:row>
          <xdr:rowOff>182880</xdr:rowOff>
        </xdr:to>
        <xdr:sp macro="" textlink="">
          <xdr:nvSpPr>
            <xdr:cNvPr id="64617" name="Check Box 4201" hidden="1">
              <a:extLst>
                <a:ext uri="{63B3BB69-23CF-44E3-9099-C40C66FF867C}">
                  <a14:compatExt spid="_x0000_s64617"/>
                </a:ext>
                <a:ext uri="{FF2B5EF4-FFF2-40B4-BE49-F238E27FC236}">
                  <a16:creationId xmlns:a16="http://schemas.microsoft.com/office/drawing/2014/main" id="{00000000-0008-0000-0200-00006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163</xdr:row>
          <xdr:rowOff>30480</xdr:rowOff>
        </xdr:from>
        <xdr:to>
          <xdr:col>0</xdr:col>
          <xdr:colOff>236220</xdr:colOff>
          <xdr:row>163</xdr:row>
          <xdr:rowOff>182880</xdr:rowOff>
        </xdr:to>
        <xdr:sp macro="" textlink="">
          <xdr:nvSpPr>
            <xdr:cNvPr id="64618" name="Check Box 4202" hidden="1">
              <a:extLst>
                <a:ext uri="{63B3BB69-23CF-44E3-9099-C40C66FF867C}">
                  <a14:compatExt spid="_x0000_s64618"/>
                </a:ext>
                <a:ext uri="{FF2B5EF4-FFF2-40B4-BE49-F238E27FC236}">
                  <a16:creationId xmlns:a16="http://schemas.microsoft.com/office/drawing/2014/main" id="{00000000-0008-0000-0200-00006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164</xdr:row>
          <xdr:rowOff>30480</xdr:rowOff>
        </xdr:from>
        <xdr:to>
          <xdr:col>0</xdr:col>
          <xdr:colOff>236220</xdr:colOff>
          <xdr:row>164</xdr:row>
          <xdr:rowOff>182880</xdr:rowOff>
        </xdr:to>
        <xdr:sp macro="" textlink="">
          <xdr:nvSpPr>
            <xdr:cNvPr id="64619" name="Check Box 4203" hidden="1">
              <a:extLst>
                <a:ext uri="{63B3BB69-23CF-44E3-9099-C40C66FF867C}">
                  <a14:compatExt spid="_x0000_s64619"/>
                </a:ext>
                <a:ext uri="{FF2B5EF4-FFF2-40B4-BE49-F238E27FC236}">
                  <a16:creationId xmlns:a16="http://schemas.microsoft.com/office/drawing/2014/main" id="{00000000-0008-0000-0200-00006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165</xdr:row>
          <xdr:rowOff>30480</xdr:rowOff>
        </xdr:from>
        <xdr:to>
          <xdr:col>0</xdr:col>
          <xdr:colOff>236220</xdr:colOff>
          <xdr:row>165</xdr:row>
          <xdr:rowOff>182880</xdr:rowOff>
        </xdr:to>
        <xdr:sp macro="" textlink="">
          <xdr:nvSpPr>
            <xdr:cNvPr id="64620" name="Check Box 4204" hidden="1">
              <a:extLst>
                <a:ext uri="{63B3BB69-23CF-44E3-9099-C40C66FF867C}">
                  <a14:compatExt spid="_x0000_s64620"/>
                </a:ext>
                <a:ext uri="{FF2B5EF4-FFF2-40B4-BE49-F238E27FC236}">
                  <a16:creationId xmlns:a16="http://schemas.microsoft.com/office/drawing/2014/main" id="{00000000-0008-0000-0200-00006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166</xdr:row>
          <xdr:rowOff>30480</xdr:rowOff>
        </xdr:from>
        <xdr:to>
          <xdr:col>0</xdr:col>
          <xdr:colOff>236220</xdr:colOff>
          <xdr:row>166</xdr:row>
          <xdr:rowOff>182880</xdr:rowOff>
        </xdr:to>
        <xdr:sp macro="" textlink="">
          <xdr:nvSpPr>
            <xdr:cNvPr id="64621" name="Check Box 4205" hidden="1">
              <a:extLst>
                <a:ext uri="{63B3BB69-23CF-44E3-9099-C40C66FF867C}">
                  <a14:compatExt spid="_x0000_s64621"/>
                </a:ext>
                <a:ext uri="{FF2B5EF4-FFF2-40B4-BE49-F238E27FC236}">
                  <a16:creationId xmlns:a16="http://schemas.microsoft.com/office/drawing/2014/main" id="{00000000-0008-0000-0200-00006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167</xdr:row>
          <xdr:rowOff>30480</xdr:rowOff>
        </xdr:from>
        <xdr:to>
          <xdr:col>0</xdr:col>
          <xdr:colOff>236220</xdr:colOff>
          <xdr:row>167</xdr:row>
          <xdr:rowOff>182880</xdr:rowOff>
        </xdr:to>
        <xdr:sp macro="" textlink="">
          <xdr:nvSpPr>
            <xdr:cNvPr id="64622" name="Check Box 4206" hidden="1">
              <a:extLst>
                <a:ext uri="{63B3BB69-23CF-44E3-9099-C40C66FF867C}">
                  <a14:compatExt spid="_x0000_s64622"/>
                </a:ext>
                <a:ext uri="{FF2B5EF4-FFF2-40B4-BE49-F238E27FC236}">
                  <a16:creationId xmlns:a16="http://schemas.microsoft.com/office/drawing/2014/main" id="{00000000-0008-0000-0200-00006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168</xdr:row>
          <xdr:rowOff>30480</xdr:rowOff>
        </xdr:from>
        <xdr:to>
          <xdr:col>0</xdr:col>
          <xdr:colOff>236220</xdr:colOff>
          <xdr:row>168</xdr:row>
          <xdr:rowOff>182880</xdr:rowOff>
        </xdr:to>
        <xdr:sp macro="" textlink="">
          <xdr:nvSpPr>
            <xdr:cNvPr id="64623" name="Check Box 4207" hidden="1">
              <a:extLst>
                <a:ext uri="{63B3BB69-23CF-44E3-9099-C40C66FF867C}">
                  <a14:compatExt spid="_x0000_s64623"/>
                </a:ext>
                <a:ext uri="{FF2B5EF4-FFF2-40B4-BE49-F238E27FC236}">
                  <a16:creationId xmlns:a16="http://schemas.microsoft.com/office/drawing/2014/main" id="{00000000-0008-0000-0200-00006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169</xdr:row>
          <xdr:rowOff>30480</xdr:rowOff>
        </xdr:from>
        <xdr:to>
          <xdr:col>0</xdr:col>
          <xdr:colOff>236220</xdr:colOff>
          <xdr:row>169</xdr:row>
          <xdr:rowOff>182880</xdr:rowOff>
        </xdr:to>
        <xdr:sp macro="" textlink="">
          <xdr:nvSpPr>
            <xdr:cNvPr id="64624" name="Check Box 4208" hidden="1">
              <a:extLst>
                <a:ext uri="{63B3BB69-23CF-44E3-9099-C40C66FF867C}">
                  <a14:compatExt spid="_x0000_s64624"/>
                </a:ext>
                <a:ext uri="{FF2B5EF4-FFF2-40B4-BE49-F238E27FC236}">
                  <a16:creationId xmlns:a16="http://schemas.microsoft.com/office/drawing/2014/main" id="{00000000-0008-0000-0200-00007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170</xdr:row>
          <xdr:rowOff>30480</xdr:rowOff>
        </xdr:from>
        <xdr:to>
          <xdr:col>0</xdr:col>
          <xdr:colOff>236220</xdr:colOff>
          <xdr:row>170</xdr:row>
          <xdr:rowOff>182880</xdr:rowOff>
        </xdr:to>
        <xdr:sp macro="" textlink="">
          <xdr:nvSpPr>
            <xdr:cNvPr id="64625" name="Check Box 4209" hidden="1">
              <a:extLst>
                <a:ext uri="{63B3BB69-23CF-44E3-9099-C40C66FF867C}">
                  <a14:compatExt spid="_x0000_s64625"/>
                </a:ext>
                <a:ext uri="{FF2B5EF4-FFF2-40B4-BE49-F238E27FC236}">
                  <a16:creationId xmlns:a16="http://schemas.microsoft.com/office/drawing/2014/main" id="{00000000-0008-0000-0200-00007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171</xdr:row>
          <xdr:rowOff>30480</xdr:rowOff>
        </xdr:from>
        <xdr:to>
          <xdr:col>0</xdr:col>
          <xdr:colOff>236220</xdr:colOff>
          <xdr:row>171</xdr:row>
          <xdr:rowOff>182880</xdr:rowOff>
        </xdr:to>
        <xdr:sp macro="" textlink="">
          <xdr:nvSpPr>
            <xdr:cNvPr id="64626" name="Check Box 4210" hidden="1">
              <a:extLst>
                <a:ext uri="{63B3BB69-23CF-44E3-9099-C40C66FF867C}">
                  <a14:compatExt spid="_x0000_s64626"/>
                </a:ext>
                <a:ext uri="{FF2B5EF4-FFF2-40B4-BE49-F238E27FC236}">
                  <a16:creationId xmlns:a16="http://schemas.microsoft.com/office/drawing/2014/main" id="{00000000-0008-0000-02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172</xdr:row>
          <xdr:rowOff>30480</xdr:rowOff>
        </xdr:from>
        <xdr:to>
          <xdr:col>0</xdr:col>
          <xdr:colOff>236220</xdr:colOff>
          <xdr:row>172</xdr:row>
          <xdr:rowOff>182880</xdr:rowOff>
        </xdr:to>
        <xdr:sp macro="" textlink="">
          <xdr:nvSpPr>
            <xdr:cNvPr id="64627" name="Check Box 4211" hidden="1">
              <a:extLst>
                <a:ext uri="{63B3BB69-23CF-44E3-9099-C40C66FF867C}">
                  <a14:compatExt spid="_x0000_s64627"/>
                </a:ext>
                <a:ext uri="{FF2B5EF4-FFF2-40B4-BE49-F238E27FC236}">
                  <a16:creationId xmlns:a16="http://schemas.microsoft.com/office/drawing/2014/main" id="{00000000-0008-0000-0200-00007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173</xdr:row>
          <xdr:rowOff>30480</xdr:rowOff>
        </xdr:from>
        <xdr:to>
          <xdr:col>0</xdr:col>
          <xdr:colOff>236220</xdr:colOff>
          <xdr:row>173</xdr:row>
          <xdr:rowOff>182880</xdr:rowOff>
        </xdr:to>
        <xdr:sp macro="" textlink="">
          <xdr:nvSpPr>
            <xdr:cNvPr id="64628" name="Check Box 4212" hidden="1">
              <a:extLst>
                <a:ext uri="{63B3BB69-23CF-44E3-9099-C40C66FF867C}">
                  <a14:compatExt spid="_x0000_s64628"/>
                </a:ext>
                <a:ext uri="{FF2B5EF4-FFF2-40B4-BE49-F238E27FC236}">
                  <a16:creationId xmlns:a16="http://schemas.microsoft.com/office/drawing/2014/main" id="{00000000-0008-0000-0200-00007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174</xdr:row>
          <xdr:rowOff>30480</xdr:rowOff>
        </xdr:from>
        <xdr:to>
          <xdr:col>0</xdr:col>
          <xdr:colOff>236220</xdr:colOff>
          <xdr:row>174</xdr:row>
          <xdr:rowOff>182880</xdr:rowOff>
        </xdr:to>
        <xdr:sp macro="" textlink="">
          <xdr:nvSpPr>
            <xdr:cNvPr id="64629" name="Check Box 4213" hidden="1">
              <a:extLst>
                <a:ext uri="{63B3BB69-23CF-44E3-9099-C40C66FF867C}">
                  <a14:compatExt spid="_x0000_s64629"/>
                </a:ext>
                <a:ext uri="{FF2B5EF4-FFF2-40B4-BE49-F238E27FC236}">
                  <a16:creationId xmlns:a16="http://schemas.microsoft.com/office/drawing/2014/main" id="{00000000-0008-0000-0200-00007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175</xdr:row>
          <xdr:rowOff>30480</xdr:rowOff>
        </xdr:from>
        <xdr:to>
          <xdr:col>0</xdr:col>
          <xdr:colOff>236220</xdr:colOff>
          <xdr:row>175</xdr:row>
          <xdr:rowOff>182880</xdr:rowOff>
        </xdr:to>
        <xdr:sp macro="" textlink="">
          <xdr:nvSpPr>
            <xdr:cNvPr id="64630" name="Check Box 4214" hidden="1">
              <a:extLst>
                <a:ext uri="{63B3BB69-23CF-44E3-9099-C40C66FF867C}">
                  <a14:compatExt spid="_x0000_s64630"/>
                </a:ext>
                <a:ext uri="{FF2B5EF4-FFF2-40B4-BE49-F238E27FC236}">
                  <a16:creationId xmlns:a16="http://schemas.microsoft.com/office/drawing/2014/main" id="{00000000-0008-0000-0200-00007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176</xdr:row>
          <xdr:rowOff>30480</xdr:rowOff>
        </xdr:from>
        <xdr:to>
          <xdr:col>0</xdr:col>
          <xdr:colOff>236220</xdr:colOff>
          <xdr:row>176</xdr:row>
          <xdr:rowOff>182880</xdr:rowOff>
        </xdr:to>
        <xdr:sp macro="" textlink="">
          <xdr:nvSpPr>
            <xdr:cNvPr id="64631" name="Check Box 4215" hidden="1">
              <a:extLst>
                <a:ext uri="{63B3BB69-23CF-44E3-9099-C40C66FF867C}">
                  <a14:compatExt spid="_x0000_s64631"/>
                </a:ext>
                <a:ext uri="{FF2B5EF4-FFF2-40B4-BE49-F238E27FC236}">
                  <a16:creationId xmlns:a16="http://schemas.microsoft.com/office/drawing/2014/main" id="{00000000-0008-0000-0200-00007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177</xdr:row>
          <xdr:rowOff>30480</xdr:rowOff>
        </xdr:from>
        <xdr:to>
          <xdr:col>0</xdr:col>
          <xdr:colOff>236220</xdr:colOff>
          <xdr:row>177</xdr:row>
          <xdr:rowOff>182880</xdr:rowOff>
        </xdr:to>
        <xdr:sp macro="" textlink="">
          <xdr:nvSpPr>
            <xdr:cNvPr id="64632" name="Check Box 4216" hidden="1">
              <a:extLst>
                <a:ext uri="{63B3BB69-23CF-44E3-9099-C40C66FF867C}">
                  <a14:compatExt spid="_x0000_s64632"/>
                </a:ext>
                <a:ext uri="{FF2B5EF4-FFF2-40B4-BE49-F238E27FC236}">
                  <a16:creationId xmlns:a16="http://schemas.microsoft.com/office/drawing/2014/main" id="{00000000-0008-0000-0200-00007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178</xdr:row>
          <xdr:rowOff>30480</xdr:rowOff>
        </xdr:from>
        <xdr:to>
          <xdr:col>0</xdr:col>
          <xdr:colOff>236220</xdr:colOff>
          <xdr:row>178</xdr:row>
          <xdr:rowOff>182880</xdr:rowOff>
        </xdr:to>
        <xdr:sp macro="" textlink="">
          <xdr:nvSpPr>
            <xdr:cNvPr id="64633" name="Check Box 4217" hidden="1">
              <a:extLst>
                <a:ext uri="{63B3BB69-23CF-44E3-9099-C40C66FF867C}">
                  <a14:compatExt spid="_x0000_s64633"/>
                </a:ext>
                <a:ext uri="{FF2B5EF4-FFF2-40B4-BE49-F238E27FC236}">
                  <a16:creationId xmlns:a16="http://schemas.microsoft.com/office/drawing/2014/main" id="{00000000-0008-0000-0200-00007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179</xdr:row>
          <xdr:rowOff>30480</xdr:rowOff>
        </xdr:from>
        <xdr:to>
          <xdr:col>0</xdr:col>
          <xdr:colOff>236220</xdr:colOff>
          <xdr:row>179</xdr:row>
          <xdr:rowOff>182880</xdr:rowOff>
        </xdr:to>
        <xdr:sp macro="" textlink="">
          <xdr:nvSpPr>
            <xdr:cNvPr id="64634" name="Check Box 4218" hidden="1">
              <a:extLst>
                <a:ext uri="{63B3BB69-23CF-44E3-9099-C40C66FF867C}">
                  <a14:compatExt spid="_x0000_s64634"/>
                </a:ext>
                <a:ext uri="{FF2B5EF4-FFF2-40B4-BE49-F238E27FC236}">
                  <a16:creationId xmlns:a16="http://schemas.microsoft.com/office/drawing/2014/main" id="{00000000-0008-0000-0200-00007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180</xdr:row>
          <xdr:rowOff>30480</xdr:rowOff>
        </xdr:from>
        <xdr:to>
          <xdr:col>0</xdr:col>
          <xdr:colOff>236220</xdr:colOff>
          <xdr:row>180</xdr:row>
          <xdr:rowOff>182880</xdr:rowOff>
        </xdr:to>
        <xdr:sp macro="" textlink="">
          <xdr:nvSpPr>
            <xdr:cNvPr id="64635" name="Check Box 4219" hidden="1">
              <a:extLst>
                <a:ext uri="{63B3BB69-23CF-44E3-9099-C40C66FF867C}">
                  <a14:compatExt spid="_x0000_s64635"/>
                </a:ext>
                <a:ext uri="{FF2B5EF4-FFF2-40B4-BE49-F238E27FC236}">
                  <a16:creationId xmlns:a16="http://schemas.microsoft.com/office/drawing/2014/main" id="{00000000-0008-0000-0200-00007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181</xdr:row>
          <xdr:rowOff>30480</xdr:rowOff>
        </xdr:from>
        <xdr:to>
          <xdr:col>0</xdr:col>
          <xdr:colOff>236220</xdr:colOff>
          <xdr:row>181</xdr:row>
          <xdr:rowOff>182880</xdr:rowOff>
        </xdr:to>
        <xdr:sp macro="" textlink="">
          <xdr:nvSpPr>
            <xdr:cNvPr id="64636" name="Check Box 4220" hidden="1">
              <a:extLst>
                <a:ext uri="{63B3BB69-23CF-44E3-9099-C40C66FF867C}">
                  <a14:compatExt spid="_x0000_s64636"/>
                </a:ext>
                <a:ext uri="{FF2B5EF4-FFF2-40B4-BE49-F238E27FC236}">
                  <a16:creationId xmlns:a16="http://schemas.microsoft.com/office/drawing/2014/main" id="{00000000-0008-0000-0200-00007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182</xdr:row>
          <xdr:rowOff>30480</xdr:rowOff>
        </xdr:from>
        <xdr:to>
          <xdr:col>0</xdr:col>
          <xdr:colOff>236220</xdr:colOff>
          <xdr:row>182</xdr:row>
          <xdr:rowOff>182880</xdr:rowOff>
        </xdr:to>
        <xdr:sp macro="" textlink="">
          <xdr:nvSpPr>
            <xdr:cNvPr id="64637" name="Check Box 4221" hidden="1">
              <a:extLst>
                <a:ext uri="{63B3BB69-23CF-44E3-9099-C40C66FF867C}">
                  <a14:compatExt spid="_x0000_s64637"/>
                </a:ext>
                <a:ext uri="{FF2B5EF4-FFF2-40B4-BE49-F238E27FC236}">
                  <a16:creationId xmlns:a16="http://schemas.microsoft.com/office/drawing/2014/main" id="{00000000-0008-0000-0200-00007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183</xdr:row>
          <xdr:rowOff>30480</xdr:rowOff>
        </xdr:from>
        <xdr:to>
          <xdr:col>0</xdr:col>
          <xdr:colOff>236220</xdr:colOff>
          <xdr:row>183</xdr:row>
          <xdr:rowOff>182880</xdr:rowOff>
        </xdr:to>
        <xdr:sp macro="" textlink="">
          <xdr:nvSpPr>
            <xdr:cNvPr id="64638" name="Check Box 4222" hidden="1">
              <a:extLst>
                <a:ext uri="{63B3BB69-23CF-44E3-9099-C40C66FF867C}">
                  <a14:compatExt spid="_x0000_s64638"/>
                </a:ext>
                <a:ext uri="{FF2B5EF4-FFF2-40B4-BE49-F238E27FC236}">
                  <a16:creationId xmlns:a16="http://schemas.microsoft.com/office/drawing/2014/main" id="{00000000-0008-0000-0200-00007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184</xdr:row>
          <xdr:rowOff>30480</xdr:rowOff>
        </xdr:from>
        <xdr:to>
          <xdr:col>0</xdr:col>
          <xdr:colOff>236220</xdr:colOff>
          <xdr:row>184</xdr:row>
          <xdr:rowOff>182880</xdr:rowOff>
        </xdr:to>
        <xdr:sp macro="" textlink="">
          <xdr:nvSpPr>
            <xdr:cNvPr id="64639" name="Check Box 4223" hidden="1">
              <a:extLst>
                <a:ext uri="{63B3BB69-23CF-44E3-9099-C40C66FF867C}">
                  <a14:compatExt spid="_x0000_s64639"/>
                </a:ext>
                <a:ext uri="{FF2B5EF4-FFF2-40B4-BE49-F238E27FC236}">
                  <a16:creationId xmlns:a16="http://schemas.microsoft.com/office/drawing/2014/main" id="{00000000-0008-0000-0200-00007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185</xdr:row>
          <xdr:rowOff>30480</xdr:rowOff>
        </xdr:from>
        <xdr:to>
          <xdr:col>0</xdr:col>
          <xdr:colOff>236220</xdr:colOff>
          <xdr:row>185</xdr:row>
          <xdr:rowOff>182880</xdr:rowOff>
        </xdr:to>
        <xdr:sp macro="" textlink="">
          <xdr:nvSpPr>
            <xdr:cNvPr id="64640" name="Check Box 4224" hidden="1">
              <a:extLst>
                <a:ext uri="{63B3BB69-23CF-44E3-9099-C40C66FF867C}">
                  <a14:compatExt spid="_x0000_s64640"/>
                </a:ext>
                <a:ext uri="{FF2B5EF4-FFF2-40B4-BE49-F238E27FC236}">
                  <a16:creationId xmlns:a16="http://schemas.microsoft.com/office/drawing/2014/main" id="{00000000-0008-0000-0200-00008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186</xdr:row>
          <xdr:rowOff>30480</xdr:rowOff>
        </xdr:from>
        <xdr:to>
          <xdr:col>0</xdr:col>
          <xdr:colOff>236220</xdr:colOff>
          <xdr:row>186</xdr:row>
          <xdr:rowOff>182880</xdr:rowOff>
        </xdr:to>
        <xdr:sp macro="" textlink="">
          <xdr:nvSpPr>
            <xdr:cNvPr id="64641" name="Check Box 4225" hidden="1">
              <a:extLst>
                <a:ext uri="{63B3BB69-23CF-44E3-9099-C40C66FF867C}">
                  <a14:compatExt spid="_x0000_s64641"/>
                </a:ext>
                <a:ext uri="{FF2B5EF4-FFF2-40B4-BE49-F238E27FC236}">
                  <a16:creationId xmlns:a16="http://schemas.microsoft.com/office/drawing/2014/main" id="{00000000-0008-0000-0200-00008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187</xdr:row>
          <xdr:rowOff>30480</xdr:rowOff>
        </xdr:from>
        <xdr:to>
          <xdr:col>0</xdr:col>
          <xdr:colOff>236220</xdr:colOff>
          <xdr:row>187</xdr:row>
          <xdr:rowOff>182880</xdr:rowOff>
        </xdr:to>
        <xdr:sp macro="" textlink="">
          <xdr:nvSpPr>
            <xdr:cNvPr id="64642" name="Check Box 4226" hidden="1">
              <a:extLst>
                <a:ext uri="{63B3BB69-23CF-44E3-9099-C40C66FF867C}">
                  <a14:compatExt spid="_x0000_s64642"/>
                </a:ext>
                <a:ext uri="{FF2B5EF4-FFF2-40B4-BE49-F238E27FC236}">
                  <a16:creationId xmlns:a16="http://schemas.microsoft.com/office/drawing/2014/main" id="{00000000-0008-0000-0200-00008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188</xdr:row>
          <xdr:rowOff>30480</xdr:rowOff>
        </xdr:from>
        <xdr:to>
          <xdr:col>0</xdr:col>
          <xdr:colOff>236220</xdr:colOff>
          <xdr:row>188</xdr:row>
          <xdr:rowOff>182880</xdr:rowOff>
        </xdr:to>
        <xdr:sp macro="" textlink="">
          <xdr:nvSpPr>
            <xdr:cNvPr id="64643" name="Check Box 4227" hidden="1">
              <a:extLst>
                <a:ext uri="{63B3BB69-23CF-44E3-9099-C40C66FF867C}">
                  <a14:compatExt spid="_x0000_s64643"/>
                </a:ext>
                <a:ext uri="{FF2B5EF4-FFF2-40B4-BE49-F238E27FC236}">
                  <a16:creationId xmlns:a16="http://schemas.microsoft.com/office/drawing/2014/main" id="{00000000-0008-0000-0200-00008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189</xdr:row>
          <xdr:rowOff>30480</xdr:rowOff>
        </xdr:from>
        <xdr:to>
          <xdr:col>0</xdr:col>
          <xdr:colOff>236220</xdr:colOff>
          <xdr:row>189</xdr:row>
          <xdr:rowOff>182880</xdr:rowOff>
        </xdr:to>
        <xdr:sp macro="" textlink="">
          <xdr:nvSpPr>
            <xdr:cNvPr id="64644" name="Check Box 4228" hidden="1">
              <a:extLst>
                <a:ext uri="{63B3BB69-23CF-44E3-9099-C40C66FF867C}">
                  <a14:compatExt spid="_x0000_s64644"/>
                </a:ext>
                <a:ext uri="{FF2B5EF4-FFF2-40B4-BE49-F238E27FC236}">
                  <a16:creationId xmlns:a16="http://schemas.microsoft.com/office/drawing/2014/main" id="{00000000-0008-0000-0200-00008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190</xdr:row>
          <xdr:rowOff>30480</xdr:rowOff>
        </xdr:from>
        <xdr:to>
          <xdr:col>0</xdr:col>
          <xdr:colOff>236220</xdr:colOff>
          <xdr:row>190</xdr:row>
          <xdr:rowOff>182880</xdr:rowOff>
        </xdr:to>
        <xdr:sp macro="" textlink="">
          <xdr:nvSpPr>
            <xdr:cNvPr id="64645" name="Check Box 4229" hidden="1">
              <a:extLst>
                <a:ext uri="{63B3BB69-23CF-44E3-9099-C40C66FF867C}">
                  <a14:compatExt spid="_x0000_s64645"/>
                </a:ext>
                <a:ext uri="{FF2B5EF4-FFF2-40B4-BE49-F238E27FC236}">
                  <a16:creationId xmlns:a16="http://schemas.microsoft.com/office/drawing/2014/main" id="{00000000-0008-0000-0200-00008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191</xdr:row>
          <xdr:rowOff>30480</xdr:rowOff>
        </xdr:from>
        <xdr:to>
          <xdr:col>0</xdr:col>
          <xdr:colOff>236220</xdr:colOff>
          <xdr:row>191</xdr:row>
          <xdr:rowOff>182880</xdr:rowOff>
        </xdr:to>
        <xdr:sp macro="" textlink="">
          <xdr:nvSpPr>
            <xdr:cNvPr id="64646" name="Check Box 4230" hidden="1">
              <a:extLst>
                <a:ext uri="{63B3BB69-23CF-44E3-9099-C40C66FF867C}">
                  <a14:compatExt spid="_x0000_s64646"/>
                </a:ext>
                <a:ext uri="{FF2B5EF4-FFF2-40B4-BE49-F238E27FC236}">
                  <a16:creationId xmlns:a16="http://schemas.microsoft.com/office/drawing/2014/main" id="{00000000-0008-0000-0200-00008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192</xdr:row>
          <xdr:rowOff>30480</xdr:rowOff>
        </xdr:from>
        <xdr:to>
          <xdr:col>0</xdr:col>
          <xdr:colOff>236220</xdr:colOff>
          <xdr:row>192</xdr:row>
          <xdr:rowOff>182880</xdr:rowOff>
        </xdr:to>
        <xdr:sp macro="" textlink="">
          <xdr:nvSpPr>
            <xdr:cNvPr id="64647" name="Check Box 4231" hidden="1">
              <a:extLst>
                <a:ext uri="{63B3BB69-23CF-44E3-9099-C40C66FF867C}">
                  <a14:compatExt spid="_x0000_s64647"/>
                </a:ext>
                <a:ext uri="{FF2B5EF4-FFF2-40B4-BE49-F238E27FC236}">
                  <a16:creationId xmlns:a16="http://schemas.microsoft.com/office/drawing/2014/main" id="{00000000-0008-0000-0200-00008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193</xdr:row>
          <xdr:rowOff>30480</xdr:rowOff>
        </xdr:from>
        <xdr:to>
          <xdr:col>0</xdr:col>
          <xdr:colOff>236220</xdr:colOff>
          <xdr:row>193</xdr:row>
          <xdr:rowOff>182880</xdr:rowOff>
        </xdr:to>
        <xdr:sp macro="" textlink="">
          <xdr:nvSpPr>
            <xdr:cNvPr id="64648" name="Check Box 4232" hidden="1">
              <a:extLst>
                <a:ext uri="{63B3BB69-23CF-44E3-9099-C40C66FF867C}">
                  <a14:compatExt spid="_x0000_s64648"/>
                </a:ext>
                <a:ext uri="{FF2B5EF4-FFF2-40B4-BE49-F238E27FC236}">
                  <a16:creationId xmlns:a16="http://schemas.microsoft.com/office/drawing/2014/main" id="{00000000-0008-0000-0200-00008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194</xdr:row>
          <xdr:rowOff>30480</xdr:rowOff>
        </xdr:from>
        <xdr:to>
          <xdr:col>0</xdr:col>
          <xdr:colOff>236220</xdr:colOff>
          <xdr:row>194</xdr:row>
          <xdr:rowOff>182880</xdr:rowOff>
        </xdr:to>
        <xdr:sp macro="" textlink="">
          <xdr:nvSpPr>
            <xdr:cNvPr id="64649" name="Check Box 4233" hidden="1">
              <a:extLst>
                <a:ext uri="{63B3BB69-23CF-44E3-9099-C40C66FF867C}">
                  <a14:compatExt spid="_x0000_s64649"/>
                </a:ext>
                <a:ext uri="{FF2B5EF4-FFF2-40B4-BE49-F238E27FC236}">
                  <a16:creationId xmlns:a16="http://schemas.microsoft.com/office/drawing/2014/main" id="{00000000-0008-0000-0200-00008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195</xdr:row>
          <xdr:rowOff>30480</xdr:rowOff>
        </xdr:from>
        <xdr:to>
          <xdr:col>0</xdr:col>
          <xdr:colOff>236220</xdr:colOff>
          <xdr:row>195</xdr:row>
          <xdr:rowOff>182880</xdr:rowOff>
        </xdr:to>
        <xdr:sp macro="" textlink="">
          <xdr:nvSpPr>
            <xdr:cNvPr id="64650" name="Check Box 4234" hidden="1">
              <a:extLst>
                <a:ext uri="{63B3BB69-23CF-44E3-9099-C40C66FF867C}">
                  <a14:compatExt spid="_x0000_s64650"/>
                </a:ext>
                <a:ext uri="{FF2B5EF4-FFF2-40B4-BE49-F238E27FC236}">
                  <a16:creationId xmlns:a16="http://schemas.microsoft.com/office/drawing/2014/main" id="{00000000-0008-0000-0200-00008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196</xdr:row>
          <xdr:rowOff>30480</xdr:rowOff>
        </xdr:from>
        <xdr:to>
          <xdr:col>0</xdr:col>
          <xdr:colOff>236220</xdr:colOff>
          <xdr:row>196</xdr:row>
          <xdr:rowOff>182880</xdr:rowOff>
        </xdr:to>
        <xdr:sp macro="" textlink="">
          <xdr:nvSpPr>
            <xdr:cNvPr id="64651" name="Check Box 4235" hidden="1">
              <a:extLst>
                <a:ext uri="{63B3BB69-23CF-44E3-9099-C40C66FF867C}">
                  <a14:compatExt spid="_x0000_s64651"/>
                </a:ext>
                <a:ext uri="{FF2B5EF4-FFF2-40B4-BE49-F238E27FC236}">
                  <a16:creationId xmlns:a16="http://schemas.microsoft.com/office/drawing/2014/main" id="{00000000-0008-0000-0200-00008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197</xdr:row>
          <xdr:rowOff>30480</xdr:rowOff>
        </xdr:from>
        <xdr:to>
          <xdr:col>0</xdr:col>
          <xdr:colOff>236220</xdr:colOff>
          <xdr:row>197</xdr:row>
          <xdr:rowOff>182880</xdr:rowOff>
        </xdr:to>
        <xdr:sp macro="" textlink="">
          <xdr:nvSpPr>
            <xdr:cNvPr id="64652" name="Check Box 4236" hidden="1">
              <a:extLst>
                <a:ext uri="{63B3BB69-23CF-44E3-9099-C40C66FF867C}">
                  <a14:compatExt spid="_x0000_s64652"/>
                </a:ext>
                <a:ext uri="{FF2B5EF4-FFF2-40B4-BE49-F238E27FC236}">
                  <a16:creationId xmlns:a16="http://schemas.microsoft.com/office/drawing/2014/main" id="{00000000-0008-0000-0200-00008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198</xdr:row>
          <xdr:rowOff>30480</xdr:rowOff>
        </xdr:from>
        <xdr:to>
          <xdr:col>0</xdr:col>
          <xdr:colOff>236220</xdr:colOff>
          <xdr:row>198</xdr:row>
          <xdr:rowOff>182880</xdr:rowOff>
        </xdr:to>
        <xdr:sp macro="" textlink="">
          <xdr:nvSpPr>
            <xdr:cNvPr id="64653" name="Check Box 4237" hidden="1">
              <a:extLst>
                <a:ext uri="{63B3BB69-23CF-44E3-9099-C40C66FF867C}">
                  <a14:compatExt spid="_x0000_s64653"/>
                </a:ext>
                <a:ext uri="{FF2B5EF4-FFF2-40B4-BE49-F238E27FC236}">
                  <a16:creationId xmlns:a16="http://schemas.microsoft.com/office/drawing/2014/main" id="{00000000-0008-0000-0200-00008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199</xdr:row>
          <xdr:rowOff>30480</xdr:rowOff>
        </xdr:from>
        <xdr:to>
          <xdr:col>0</xdr:col>
          <xdr:colOff>236220</xdr:colOff>
          <xdr:row>199</xdr:row>
          <xdr:rowOff>182880</xdr:rowOff>
        </xdr:to>
        <xdr:sp macro="" textlink="">
          <xdr:nvSpPr>
            <xdr:cNvPr id="64654" name="Check Box 4238" hidden="1">
              <a:extLst>
                <a:ext uri="{63B3BB69-23CF-44E3-9099-C40C66FF867C}">
                  <a14:compatExt spid="_x0000_s64654"/>
                </a:ext>
                <a:ext uri="{FF2B5EF4-FFF2-40B4-BE49-F238E27FC236}">
                  <a16:creationId xmlns:a16="http://schemas.microsoft.com/office/drawing/2014/main" id="{00000000-0008-0000-0200-00008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200</xdr:row>
          <xdr:rowOff>30480</xdr:rowOff>
        </xdr:from>
        <xdr:to>
          <xdr:col>0</xdr:col>
          <xdr:colOff>236220</xdr:colOff>
          <xdr:row>200</xdr:row>
          <xdr:rowOff>182880</xdr:rowOff>
        </xdr:to>
        <xdr:sp macro="" textlink="">
          <xdr:nvSpPr>
            <xdr:cNvPr id="64655" name="Check Box 4239" hidden="1">
              <a:extLst>
                <a:ext uri="{63B3BB69-23CF-44E3-9099-C40C66FF867C}">
                  <a14:compatExt spid="_x0000_s64655"/>
                </a:ext>
                <a:ext uri="{FF2B5EF4-FFF2-40B4-BE49-F238E27FC236}">
                  <a16:creationId xmlns:a16="http://schemas.microsoft.com/office/drawing/2014/main" id="{00000000-0008-0000-0200-00008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201</xdr:row>
          <xdr:rowOff>30480</xdr:rowOff>
        </xdr:from>
        <xdr:to>
          <xdr:col>0</xdr:col>
          <xdr:colOff>236220</xdr:colOff>
          <xdr:row>201</xdr:row>
          <xdr:rowOff>182880</xdr:rowOff>
        </xdr:to>
        <xdr:sp macro="" textlink="">
          <xdr:nvSpPr>
            <xdr:cNvPr id="64656" name="Check Box 4240" hidden="1">
              <a:extLst>
                <a:ext uri="{63B3BB69-23CF-44E3-9099-C40C66FF867C}">
                  <a14:compatExt spid="_x0000_s64656"/>
                </a:ext>
                <a:ext uri="{FF2B5EF4-FFF2-40B4-BE49-F238E27FC236}">
                  <a16:creationId xmlns:a16="http://schemas.microsoft.com/office/drawing/2014/main" id="{00000000-0008-0000-0200-00009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202</xdr:row>
          <xdr:rowOff>30480</xdr:rowOff>
        </xdr:from>
        <xdr:to>
          <xdr:col>0</xdr:col>
          <xdr:colOff>236220</xdr:colOff>
          <xdr:row>202</xdr:row>
          <xdr:rowOff>182880</xdr:rowOff>
        </xdr:to>
        <xdr:sp macro="" textlink="">
          <xdr:nvSpPr>
            <xdr:cNvPr id="64657" name="Check Box 4241" hidden="1">
              <a:extLst>
                <a:ext uri="{63B3BB69-23CF-44E3-9099-C40C66FF867C}">
                  <a14:compatExt spid="_x0000_s64657"/>
                </a:ext>
                <a:ext uri="{FF2B5EF4-FFF2-40B4-BE49-F238E27FC236}">
                  <a16:creationId xmlns:a16="http://schemas.microsoft.com/office/drawing/2014/main" id="{00000000-0008-0000-0200-00009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203</xdr:row>
          <xdr:rowOff>30480</xdr:rowOff>
        </xdr:from>
        <xdr:to>
          <xdr:col>0</xdr:col>
          <xdr:colOff>236220</xdr:colOff>
          <xdr:row>203</xdr:row>
          <xdr:rowOff>182880</xdr:rowOff>
        </xdr:to>
        <xdr:sp macro="" textlink="">
          <xdr:nvSpPr>
            <xdr:cNvPr id="64658" name="Check Box 4242" hidden="1">
              <a:extLst>
                <a:ext uri="{63B3BB69-23CF-44E3-9099-C40C66FF867C}">
                  <a14:compatExt spid="_x0000_s64658"/>
                </a:ext>
                <a:ext uri="{FF2B5EF4-FFF2-40B4-BE49-F238E27FC236}">
                  <a16:creationId xmlns:a16="http://schemas.microsoft.com/office/drawing/2014/main" id="{00000000-0008-0000-0200-00009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204</xdr:row>
          <xdr:rowOff>30480</xdr:rowOff>
        </xdr:from>
        <xdr:to>
          <xdr:col>0</xdr:col>
          <xdr:colOff>236220</xdr:colOff>
          <xdr:row>204</xdr:row>
          <xdr:rowOff>182880</xdr:rowOff>
        </xdr:to>
        <xdr:sp macro="" textlink="">
          <xdr:nvSpPr>
            <xdr:cNvPr id="64659" name="Check Box 4243" hidden="1">
              <a:extLst>
                <a:ext uri="{63B3BB69-23CF-44E3-9099-C40C66FF867C}">
                  <a14:compatExt spid="_x0000_s64659"/>
                </a:ext>
                <a:ext uri="{FF2B5EF4-FFF2-40B4-BE49-F238E27FC236}">
                  <a16:creationId xmlns:a16="http://schemas.microsoft.com/office/drawing/2014/main" id="{00000000-0008-0000-0200-00009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205</xdr:row>
          <xdr:rowOff>30480</xdr:rowOff>
        </xdr:from>
        <xdr:to>
          <xdr:col>0</xdr:col>
          <xdr:colOff>236220</xdr:colOff>
          <xdr:row>205</xdr:row>
          <xdr:rowOff>182880</xdr:rowOff>
        </xdr:to>
        <xdr:sp macro="" textlink="">
          <xdr:nvSpPr>
            <xdr:cNvPr id="64660" name="Check Box 4244" hidden="1">
              <a:extLst>
                <a:ext uri="{63B3BB69-23CF-44E3-9099-C40C66FF867C}">
                  <a14:compatExt spid="_x0000_s64660"/>
                </a:ext>
                <a:ext uri="{FF2B5EF4-FFF2-40B4-BE49-F238E27FC236}">
                  <a16:creationId xmlns:a16="http://schemas.microsoft.com/office/drawing/2014/main" id="{00000000-0008-0000-0200-00009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206</xdr:row>
          <xdr:rowOff>30480</xdr:rowOff>
        </xdr:from>
        <xdr:to>
          <xdr:col>0</xdr:col>
          <xdr:colOff>236220</xdr:colOff>
          <xdr:row>206</xdr:row>
          <xdr:rowOff>182880</xdr:rowOff>
        </xdr:to>
        <xdr:sp macro="" textlink="">
          <xdr:nvSpPr>
            <xdr:cNvPr id="64661" name="Check Box 4245" hidden="1">
              <a:extLst>
                <a:ext uri="{63B3BB69-23CF-44E3-9099-C40C66FF867C}">
                  <a14:compatExt spid="_x0000_s64661"/>
                </a:ext>
                <a:ext uri="{FF2B5EF4-FFF2-40B4-BE49-F238E27FC236}">
                  <a16:creationId xmlns:a16="http://schemas.microsoft.com/office/drawing/2014/main" id="{00000000-0008-0000-0200-00009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207</xdr:row>
          <xdr:rowOff>30480</xdr:rowOff>
        </xdr:from>
        <xdr:to>
          <xdr:col>0</xdr:col>
          <xdr:colOff>236220</xdr:colOff>
          <xdr:row>207</xdr:row>
          <xdr:rowOff>182880</xdr:rowOff>
        </xdr:to>
        <xdr:sp macro="" textlink="">
          <xdr:nvSpPr>
            <xdr:cNvPr id="64662" name="Check Box 4246" hidden="1">
              <a:extLst>
                <a:ext uri="{63B3BB69-23CF-44E3-9099-C40C66FF867C}">
                  <a14:compatExt spid="_x0000_s64662"/>
                </a:ext>
                <a:ext uri="{FF2B5EF4-FFF2-40B4-BE49-F238E27FC236}">
                  <a16:creationId xmlns:a16="http://schemas.microsoft.com/office/drawing/2014/main" id="{00000000-0008-0000-0200-00009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208</xdr:row>
          <xdr:rowOff>30480</xdr:rowOff>
        </xdr:from>
        <xdr:to>
          <xdr:col>0</xdr:col>
          <xdr:colOff>236220</xdr:colOff>
          <xdr:row>208</xdr:row>
          <xdr:rowOff>182880</xdr:rowOff>
        </xdr:to>
        <xdr:sp macro="" textlink="">
          <xdr:nvSpPr>
            <xdr:cNvPr id="64663" name="Check Box 4247" hidden="1">
              <a:extLst>
                <a:ext uri="{63B3BB69-23CF-44E3-9099-C40C66FF867C}">
                  <a14:compatExt spid="_x0000_s64663"/>
                </a:ext>
                <a:ext uri="{FF2B5EF4-FFF2-40B4-BE49-F238E27FC236}">
                  <a16:creationId xmlns:a16="http://schemas.microsoft.com/office/drawing/2014/main" id="{00000000-0008-0000-0200-00009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209</xdr:row>
          <xdr:rowOff>30480</xdr:rowOff>
        </xdr:from>
        <xdr:to>
          <xdr:col>0</xdr:col>
          <xdr:colOff>236220</xdr:colOff>
          <xdr:row>209</xdr:row>
          <xdr:rowOff>182880</xdr:rowOff>
        </xdr:to>
        <xdr:sp macro="" textlink="">
          <xdr:nvSpPr>
            <xdr:cNvPr id="64664" name="Check Box 4248" hidden="1">
              <a:extLst>
                <a:ext uri="{63B3BB69-23CF-44E3-9099-C40C66FF867C}">
                  <a14:compatExt spid="_x0000_s64664"/>
                </a:ext>
                <a:ext uri="{FF2B5EF4-FFF2-40B4-BE49-F238E27FC236}">
                  <a16:creationId xmlns:a16="http://schemas.microsoft.com/office/drawing/2014/main" id="{00000000-0008-0000-0200-00009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210</xdr:row>
          <xdr:rowOff>30480</xdr:rowOff>
        </xdr:from>
        <xdr:to>
          <xdr:col>0</xdr:col>
          <xdr:colOff>236220</xdr:colOff>
          <xdr:row>210</xdr:row>
          <xdr:rowOff>182880</xdr:rowOff>
        </xdr:to>
        <xdr:sp macro="" textlink="">
          <xdr:nvSpPr>
            <xdr:cNvPr id="64665" name="Check Box 4249" hidden="1">
              <a:extLst>
                <a:ext uri="{63B3BB69-23CF-44E3-9099-C40C66FF867C}">
                  <a14:compatExt spid="_x0000_s64665"/>
                </a:ext>
                <a:ext uri="{FF2B5EF4-FFF2-40B4-BE49-F238E27FC236}">
                  <a16:creationId xmlns:a16="http://schemas.microsoft.com/office/drawing/2014/main" id="{00000000-0008-0000-0200-00009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211</xdr:row>
          <xdr:rowOff>30480</xdr:rowOff>
        </xdr:from>
        <xdr:to>
          <xdr:col>0</xdr:col>
          <xdr:colOff>236220</xdr:colOff>
          <xdr:row>211</xdr:row>
          <xdr:rowOff>182880</xdr:rowOff>
        </xdr:to>
        <xdr:sp macro="" textlink="">
          <xdr:nvSpPr>
            <xdr:cNvPr id="64666" name="Check Box 4250" hidden="1">
              <a:extLst>
                <a:ext uri="{63B3BB69-23CF-44E3-9099-C40C66FF867C}">
                  <a14:compatExt spid="_x0000_s64666"/>
                </a:ext>
                <a:ext uri="{FF2B5EF4-FFF2-40B4-BE49-F238E27FC236}">
                  <a16:creationId xmlns:a16="http://schemas.microsoft.com/office/drawing/2014/main" id="{00000000-0008-0000-0200-00009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212</xdr:row>
          <xdr:rowOff>30480</xdr:rowOff>
        </xdr:from>
        <xdr:to>
          <xdr:col>0</xdr:col>
          <xdr:colOff>236220</xdr:colOff>
          <xdr:row>212</xdr:row>
          <xdr:rowOff>182880</xdr:rowOff>
        </xdr:to>
        <xdr:sp macro="" textlink="">
          <xdr:nvSpPr>
            <xdr:cNvPr id="64667" name="Check Box 4251" hidden="1">
              <a:extLst>
                <a:ext uri="{63B3BB69-23CF-44E3-9099-C40C66FF867C}">
                  <a14:compatExt spid="_x0000_s64667"/>
                </a:ext>
                <a:ext uri="{FF2B5EF4-FFF2-40B4-BE49-F238E27FC236}">
                  <a16:creationId xmlns:a16="http://schemas.microsoft.com/office/drawing/2014/main" id="{00000000-0008-0000-0200-00009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213</xdr:row>
          <xdr:rowOff>30480</xdr:rowOff>
        </xdr:from>
        <xdr:to>
          <xdr:col>0</xdr:col>
          <xdr:colOff>236220</xdr:colOff>
          <xdr:row>213</xdr:row>
          <xdr:rowOff>182880</xdr:rowOff>
        </xdr:to>
        <xdr:sp macro="" textlink="">
          <xdr:nvSpPr>
            <xdr:cNvPr id="64668" name="Check Box 4252" hidden="1">
              <a:extLst>
                <a:ext uri="{63B3BB69-23CF-44E3-9099-C40C66FF867C}">
                  <a14:compatExt spid="_x0000_s64668"/>
                </a:ext>
                <a:ext uri="{FF2B5EF4-FFF2-40B4-BE49-F238E27FC236}">
                  <a16:creationId xmlns:a16="http://schemas.microsoft.com/office/drawing/2014/main" id="{00000000-0008-0000-0200-00009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214</xdr:row>
          <xdr:rowOff>30480</xdr:rowOff>
        </xdr:from>
        <xdr:to>
          <xdr:col>0</xdr:col>
          <xdr:colOff>236220</xdr:colOff>
          <xdr:row>214</xdr:row>
          <xdr:rowOff>182880</xdr:rowOff>
        </xdr:to>
        <xdr:sp macro="" textlink="">
          <xdr:nvSpPr>
            <xdr:cNvPr id="64669" name="Check Box 4253" hidden="1">
              <a:extLst>
                <a:ext uri="{63B3BB69-23CF-44E3-9099-C40C66FF867C}">
                  <a14:compatExt spid="_x0000_s64669"/>
                </a:ext>
                <a:ext uri="{FF2B5EF4-FFF2-40B4-BE49-F238E27FC236}">
                  <a16:creationId xmlns:a16="http://schemas.microsoft.com/office/drawing/2014/main" id="{00000000-0008-0000-0200-00009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215</xdr:row>
          <xdr:rowOff>30480</xdr:rowOff>
        </xdr:from>
        <xdr:to>
          <xdr:col>0</xdr:col>
          <xdr:colOff>236220</xdr:colOff>
          <xdr:row>215</xdr:row>
          <xdr:rowOff>182880</xdr:rowOff>
        </xdr:to>
        <xdr:sp macro="" textlink="">
          <xdr:nvSpPr>
            <xdr:cNvPr id="64670" name="Check Box 4254" hidden="1">
              <a:extLst>
                <a:ext uri="{63B3BB69-23CF-44E3-9099-C40C66FF867C}">
                  <a14:compatExt spid="_x0000_s64670"/>
                </a:ext>
                <a:ext uri="{FF2B5EF4-FFF2-40B4-BE49-F238E27FC236}">
                  <a16:creationId xmlns:a16="http://schemas.microsoft.com/office/drawing/2014/main" id="{00000000-0008-0000-0200-00009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216</xdr:row>
          <xdr:rowOff>30480</xdr:rowOff>
        </xdr:from>
        <xdr:to>
          <xdr:col>0</xdr:col>
          <xdr:colOff>236220</xdr:colOff>
          <xdr:row>216</xdr:row>
          <xdr:rowOff>182880</xdr:rowOff>
        </xdr:to>
        <xdr:sp macro="" textlink="">
          <xdr:nvSpPr>
            <xdr:cNvPr id="64671" name="Check Box 4255" hidden="1">
              <a:extLst>
                <a:ext uri="{63B3BB69-23CF-44E3-9099-C40C66FF867C}">
                  <a14:compatExt spid="_x0000_s64671"/>
                </a:ext>
                <a:ext uri="{FF2B5EF4-FFF2-40B4-BE49-F238E27FC236}">
                  <a16:creationId xmlns:a16="http://schemas.microsoft.com/office/drawing/2014/main" id="{00000000-0008-0000-0200-00009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217</xdr:row>
          <xdr:rowOff>30480</xdr:rowOff>
        </xdr:from>
        <xdr:to>
          <xdr:col>0</xdr:col>
          <xdr:colOff>236220</xdr:colOff>
          <xdr:row>217</xdr:row>
          <xdr:rowOff>182880</xdr:rowOff>
        </xdr:to>
        <xdr:sp macro="" textlink="">
          <xdr:nvSpPr>
            <xdr:cNvPr id="64672" name="Check Box 4256" hidden="1">
              <a:extLst>
                <a:ext uri="{63B3BB69-23CF-44E3-9099-C40C66FF867C}">
                  <a14:compatExt spid="_x0000_s64672"/>
                </a:ext>
                <a:ext uri="{FF2B5EF4-FFF2-40B4-BE49-F238E27FC236}">
                  <a16:creationId xmlns:a16="http://schemas.microsoft.com/office/drawing/2014/main" id="{00000000-0008-0000-0200-0000A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218</xdr:row>
          <xdr:rowOff>30480</xdr:rowOff>
        </xdr:from>
        <xdr:to>
          <xdr:col>0</xdr:col>
          <xdr:colOff>236220</xdr:colOff>
          <xdr:row>218</xdr:row>
          <xdr:rowOff>182880</xdr:rowOff>
        </xdr:to>
        <xdr:sp macro="" textlink="">
          <xdr:nvSpPr>
            <xdr:cNvPr id="64673" name="Check Box 4257" hidden="1">
              <a:extLst>
                <a:ext uri="{63B3BB69-23CF-44E3-9099-C40C66FF867C}">
                  <a14:compatExt spid="_x0000_s64673"/>
                </a:ext>
                <a:ext uri="{FF2B5EF4-FFF2-40B4-BE49-F238E27FC236}">
                  <a16:creationId xmlns:a16="http://schemas.microsoft.com/office/drawing/2014/main" id="{00000000-0008-0000-0200-0000A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219</xdr:row>
          <xdr:rowOff>30480</xdr:rowOff>
        </xdr:from>
        <xdr:to>
          <xdr:col>0</xdr:col>
          <xdr:colOff>236220</xdr:colOff>
          <xdr:row>219</xdr:row>
          <xdr:rowOff>182880</xdr:rowOff>
        </xdr:to>
        <xdr:sp macro="" textlink="">
          <xdr:nvSpPr>
            <xdr:cNvPr id="64674" name="Check Box 4258" hidden="1">
              <a:extLst>
                <a:ext uri="{63B3BB69-23CF-44E3-9099-C40C66FF867C}">
                  <a14:compatExt spid="_x0000_s64674"/>
                </a:ext>
                <a:ext uri="{FF2B5EF4-FFF2-40B4-BE49-F238E27FC236}">
                  <a16:creationId xmlns:a16="http://schemas.microsoft.com/office/drawing/2014/main" id="{00000000-0008-0000-0200-0000A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220</xdr:row>
          <xdr:rowOff>30480</xdr:rowOff>
        </xdr:from>
        <xdr:to>
          <xdr:col>0</xdr:col>
          <xdr:colOff>236220</xdr:colOff>
          <xdr:row>220</xdr:row>
          <xdr:rowOff>182880</xdr:rowOff>
        </xdr:to>
        <xdr:sp macro="" textlink="">
          <xdr:nvSpPr>
            <xdr:cNvPr id="64675" name="Check Box 4259" hidden="1">
              <a:extLst>
                <a:ext uri="{63B3BB69-23CF-44E3-9099-C40C66FF867C}">
                  <a14:compatExt spid="_x0000_s64675"/>
                </a:ext>
                <a:ext uri="{FF2B5EF4-FFF2-40B4-BE49-F238E27FC236}">
                  <a16:creationId xmlns:a16="http://schemas.microsoft.com/office/drawing/2014/main" id="{00000000-0008-0000-0200-0000A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221</xdr:row>
          <xdr:rowOff>30480</xdr:rowOff>
        </xdr:from>
        <xdr:to>
          <xdr:col>0</xdr:col>
          <xdr:colOff>236220</xdr:colOff>
          <xdr:row>221</xdr:row>
          <xdr:rowOff>182880</xdr:rowOff>
        </xdr:to>
        <xdr:sp macro="" textlink="">
          <xdr:nvSpPr>
            <xdr:cNvPr id="64676" name="Check Box 4260" hidden="1">
              <a:extLst>
                <a:ext uri="{63B3BB69-23CF-44E3-9099-C40C66FF867C}">
                  <a14:compatExt spid="_x0000_s64676"/>
                </a:ext>
                <a:ext uri="{FF2B5EF4-FFF2-40B4-BE49-F238E27FC236}">
                  <a16:creationId xmlns:a16="http://schemas.microsoft.com/office/drawing/2014/main" id="{00000000-0008-0000-0200-0000A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222</xdr:row>
          <xdr:rowOff>30480</xdr:rowOff>
        </xdr:from>
        <xdr:to>
          <xdr:col>0</xdr:col>
          <xdr:colOff>236220</xdr:colOff>
          <xdr:row>222</xdr:row>
          <xdr:rowOff>182880</xdr:rowOff>
        </xdr:to>
        <xdr:sp macro="" textlink="">
          <xdr:nvSpPr>
            <xdr:cNvPr id="64677" name="Check Box 4261" hidden="1">
              <a:extLst>
                <a:ext uri="{63B3BB69-23CF-44E3-9099-C40C66FF867C}">
                  <a14:compatExt spid="_x0000_s64677"/>
                </a:ext>
                <a:ext uri="{FF2B5EF4-FFF2-40B4-BE49-F238E27FC236}">
                  <a16:creationId xmlns:a16="http://schemas.microsoft.com/office/drawing/2014/main" id="{00000000-0008-0000-0200-0000A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223</xdr:row>
          <xdr:rowOff>30480</xdr:rowOff>
        </xdr:from>
        <xdr:to>
          <xdr:col>0</xdr:col>
          <xdr:colOff>236220</xdr:colOff>
          <xdr:row>223</xdr:row>
          <xdr:rowOff>182880</xdr:rowOff>
        </xdr:to>
        <xdr:sp macro="" textlink="">
          <xdr:nvSpPr>
            <xdr:cNvPr id="64678" name="Check Box 4262" hidden="1">
              <a:extLst>
                <a:ext uri="{63B3BB69-23CF-44E3-9099-C40C66FF867C}">
                  <a14:compatExt spid="_x0000_s64678"/>
                </a:ext>
                <a:ext uri="{FF2B5EF4-FFF2-40B4-BE49-F238E27FC236}">
                  <a16:creationId xmlns:a16="http://schemas.microsoft.com/office/drawing/2014/main" id="{00000000-0008-0000-0200-0000A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224</xdr:row>
          <xdr:rowOff>30480</xdr:rowOff>
        </xdr:from>
        <xdr:to>
          <xdr:col>0</xdr:col>
          <xdr:colOff>236220</xdr:colOff>
          <xdr:row>224</xdr:row>
          <xdr:rowOff>182880</xdr:rowOff>
        </xdr:to>
        <xdr:sp macro="" textlink="">
          <xdr:nvSpPr>
            <xdr:cNvPr id="64679" name="Check Box 4263" hidden="1">
              <a:extLst>
                <a:ext uri="{63B3BB69-23CF-44E3-9099-C40C66FF867C}">
                  <a14:compatExt spid="_x0000_s64679"/>
                </a:ext>
                <a:ext uri="{FF2B5EF4-FFF2-40B4-BE49-F238E27FC236}">
                  <a16:creationId xmlns:a16="http://schemas.microsoft.com/office/drawing/2014/main" id="{00000000-0008-0000-0200-0000A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225</xdr:row>
          <xdr:rowOff>30480</xdr:rowOff>
        </xdr:from>
        <xdr:to>
          <xdr:col>0</xdr:col>
          <xdr:colOff>236220</xdr:colOff>
          <xdr:row>225</xdr:row>
          <xdr:rowOff>182880</xdr:rowOff>
        </xdr:to>
        <xdr:sp macro="" textlink="">
          <xdr:nvSpPr>
            <xdr:cNvPr id="64680" name="Check Box 4264" hidden="1">
              <a:extLst>
                <a:ext uri="{63B3BB69-23CF-44E3-9099-C40C66FF867C}">
                  <a14:compatExt spid="_x0000_s64680"/>
                </a:ext>
                <a:ext uri="{FF2B5EF4-FFF2-40B4-BE49-F238E27FC236}">
                  <a16:creationId xmlns:a16="http://schemas.microsoft.com/office/drawing/2014/main" id="{00000000-0008-0000-0200-0000A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226</xdr:row>
          <xdr:rowOff>30480</xdr:rowOff>
        </xdr:from>
        <xdr:to>
          <xdr:col>0</xdr:col>
          <xdr:colOff>236220</xdr:colOff>
          <xdr:row>226</xdr:row>
          <xdr:rowOff>182880</xdr:rowOff>
        </xdr:to>
        <xdr:sp macro="" textlink="">
          <xdr:nvSpPr>
            <xdr:cNvPr id="64681" name="Check Box 4265" hidden="1">
              <a:extLst>
                <a:ext uri="{63B3BB69-23CF-44E3-9099-C40C66FF867C}">
                  <a14:compatExt spid="_x0000_s64681"/>
                </a:ext>
                <a:ext uri="{FF2B5EF4-FFF2-40B4-BE49-F238E27FC236}">
                  <a16:creationId xmlns:a16="http://schemas.microsoft.com/office/drawing/2014/main" id="{00000000-0008-0000-0200-0000A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227</xdr:row>
          <xdr:rowOff>30480</xdr:rowOff>
        </xdr:from>
        <xdr:to>
          <xdr:col>0</xdr:col>
          <xdr:colOff>236220</xdr:colOff>
          <xdr:row>227</xdr:row>
          <xdr:rowOff>182880</xdr:rowOff>
        </xdr:to>
        <xdr:sp macro="" textlink="">
          <xdr:nvSpPr>
            <xdr:cNvPr id="64682" name="Check Box 4266" hidden="1">
              <a:extLst>
                <a:ext uri="{63B3BB69-23CF-44E3-9099-C40C66FF867C}">
                  <a14:compatExt spid="_x0000_s64682"/>
                </a:ext>
                <a:ext uri="{FF2B5EF4-FFF2-40B4-BE49-F238E27FC236}">
                  <a16:creationId xmlns:a16="http://schemas.microsoft.com/office/drawing/2014/main" id="{00000000-0008-0000-0200-0000A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228</xdr:row>
          <xdr:rowOff>30480</xdr:rowOff>
        </xdr:from>
        <xdr:to>
          <xdr:col>0</xdr:col>
          <xdr:colOff>236220</xdr:colOff>
          <xdr:row>228</xdr:row>
          <xdr:rowOff>182880</xdr:rowOff>
        </xdr:to>
        <xdr:sp macro="" textlink="">
          <xdr:nvSpPr>
            <xdr:cNvPr id="64683" name="Check Box 4267" hidden="1">
              <a:extLst>
                <a:ext uri="{63B3BB69-23CF-44E3-9099-C40C66FF867C}">
                  <a14:compatExt spid="_x0000_s64683"/>
                </a:ext>
                <a:ext uri="{FF2B5EF4-FFF2-40B4-BE49-F238E27FC236}">
                  <a16:creationId xmlns:a16="http://schemas.microsoft.com/office/drawing/2014/main" id="{00000000-0008-0000-0200-0000A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229</xdr:row>
          <xdr:rowOff>30480</xdr:rowOff>
        </xdr:from>
        <xdr:to>
          <xdr:col>0</xdr:col>
          <xdr:colOff>236220</xdr:colOff>
          <xdr:row>229</xdr:row>
          <xdr:rowOff>182880</xdr:rowOff>
        </xdr:to>
        <xdr:sp macro="" textlink="">
          <xdr:nvSpPr>
            <xdr:cNvPr id="64684" name="Check Box 4268" hidden="1">
              <a:extLst>
                <a:ext uri="{63B3BB69-23CF-44E3-9099-C40C66FF867C}">
                  <a14:compatExt spid="_x0000_s64684"/>
                </a:ext>
                <a:ext uri="{FF2B5EF4-FFF2-40B4-BE49-F238E27FC236}">
                  <a16:creationId xmlns:a16="http://schemas.microsoft.com/office/drawing/2014/main" id="{00000000-0008-0000-0200-0000A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230</xdr:row>
          <xdr:rowOff>30480</xdr:rowOff>
        </xdr:from>
        <xdr:to>
          <xdr:col>0</xdr:col>
          <xdr:colOff>236220</xdr:colOff>
          <xdr:row>230</xdr:row>
          <xdr:rowOff>182880</xdr:rowOff>
        </xdr:to>
        <xdr:sp macro="" textlink="">
          <xdr:nvSpPr>
            <xdr:cNvPr id="64685" name="Check Box 4269" hidden="1">
              <a:extLst>
                <a:ext uri="{63B3BB69-23CF-44E3-9099-C40C66FF867C}">
                  <a14:compatExt spid="_x0000_s64685"/>
                </a:ext>
                <a:ext uri="{FF2B5EF4-FFF2-40B4-BE49-F238E27FC236}">
                  <a16:creationId xmlns:a16="http://schemas.microsoft.com/office/drawing/2014/main" id="{00000000-0008-0000-0200-0000A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231</xdr:row>
          <xdr:rowOff>30480</xdr:rowOff>
        </xdr:from>
        <xdr:to>
          <xdr:col>0</xdr:col>
          <xdr:colOff>236220</xdr:colOff>
          <xdr:row>231</xdr:row>
          <xdr:rowOff>182880</xdr:rowOff>
        </xdr:to>
        <xdr:sp macro="" textlink="">
          <xdr:nvSpPr>
            <xdr:cNvPr id="64686" name="Check Box 4270" hidden="1">
              <a:extLst>
                <a:ext uri="{63B3BB69-23CF-44E3-9099-C40C66FF867C}">
                  <a14:compatExt spid="_x0000_s64686"/>
                </a:ext>
                <a:ext uri="{FF2B5EF4-FFF2-40B4-BE49-F238E27FC236}">
                  <a16:creationId xmlns:a16="http://schemas.microsoft.com/office/drawing/2014/main" id="{00000000-0008-0000-0200-0000A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232</xdr:row>
          <xdr:rowOff>30480</xdr:rowOff>
        </xdr:from>
        <xdr:to>
          <xdr:col>0</xdr:col>
          <xdr:colOff>236220</xdr:colOff>
          <xdr:row>232</xdr:row>
          <xdr:rowOff>182880</xdr:rowOff>
        </xdr:to>
        <xdr:sp macro="" textlink="">
          <xdr:nvSpPr>
            <xdr:cNvPr id="64687" name="Check Box 4271" hidden="1">
              <a:extLst>
                <a:ext uri="{63B3BB69-23CF-44E3-9099-C40C66FF867C}">
                  <a14:compatExt spid="_x0000_s64687"/>
                </a:ext>
                <a:ext uri="{FF2B5EF4-FFF2-40B4-BE49-F238E27FC236}">
                  <a16:creationId xmlns:a16="http://schemas.microsoft.com/office/drawing/2014/main" id="{00000000-0008-0000-0200-0000A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233</xdr:row>
          <xdr:rowOff>30480</xdr:rowOff>
        </xdr:from>
        <xdr:to>
          <xdr:col>0</xdr:col>
          <xdr:colOff>236220</xdr:colOff>
          <xdr:row>233</xdr:row>
          <xdr:rowOff>182880</xdr:rowOff>
        </xdr:to>
        <xdr:sp macro="" textlink="">
          <xdr:nvSpPr>
            <xdr:cNvPr id="64688" name="Check Box 4272" hidden="1">
              <a:extLst>
                <a:ext uri="{63B3BB69-23CF-44E3-9099-C40C66FF867C}">
                  <a14:compatExt spid="_x0000_s64688"/>
                </a:ext>
                <a:ext uri="{FF2B5EF4-FFF2-40B4-BE49-F238E27FC236}">
                  <a16:creationId xmlns:a16="http://schemas.microsoft.com/office/drawing/2014/main" id="{00000000-0008-0000-0200-0000B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234</xdr:row>
          <xdr:rowOff>30480</xdr:rowOff>
        </xdr:from>
        <xdr:to>
          <xdr:col>0</xdr:col>
          <xdr:colOff>236220</xdr:colOff>
          <xdr:row>234</xdr:row>
          <xdr:rowOff>182880</xdr:rowOff>
        </xdr:to>
        <xdr:sp macro="" textlink="">
          <xdr:nvSpPr>
            <xdr:cNvPr id="64689" name="Check Box 4273" hidden="1">
              <a:extLst>
                <a:ext uri="{63B3BB69-23CF-44E3-9099-C40C66FF867C}">
                  <a14:compatExt spid="_x0000_s64689"/>
                </a:ext>
                <a:ext uri="{FF2B5EF4-FFF2-40B4-BE49-F238E27FC236}">
                  <a16:creationId xmlns:a16="http://schemas.microsoft.com/office/drawing/2014/main" id="{00000000-0008-0000-0200-0000B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235</xdr:row>
          <xdr:rowOff>30480</xdr:rowOff>
        </xdr:from>
        <xdr:to>
          <xdr:col>0</xdr:col>
          <xdr:colOff>236220</xdr:colOff>
          <xdr:row>235</xdr:row>
          <xdr:rowOff>182880</xdr:rowOff>
        </xdr:to>
        <xdr:sp macro="" textlink="">
          <xdr:nvSpPr>
            <xdr:cNvPr id="64690" name="Check Box 4274" hidden="1">
              <a:extLst>
                <a:ext uri="{63B3BB69-23CF-44E3-9099-C40C66FF867C}">
                  <a14:compatExt spid="_x0000_s64690"/>
                </a:ext>
                <a:ext uri="{FF2B5EF4-FFF2-40B4-BE49-F238E27FC236}">
                  <a16:creationId xmlns:a16="http://schemas.microsoft.com/office/drawing/2014/main" id="{00000000-0008-0000-0200-0000B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236</xdr:row>
          <xdr:rowOff>30480</xdr:rowOff>
        </xdr:from>
        <xdr:to>
          <xdr:col>0</xdr:col>
          <xdr:colOff>236220</xdr:colOff>
          <xdr:row>236</xdr:row>
          <xdr:rowOff>182880</xdr:rowOff>
        </xdr:to>
        <xdr:sp macro="" textlink="">
          <xdr:nvSpPr>
            <xdr:cNvPr id="64691" name="Check Box 4275" hidden="1">
              <a:extLst>
                <a:ext uri="{63B3BB69-23CF-44E3-9099-C40C66FF867C}">
                  <a14:compatExt spid="_x0000_s64691"/>
                </a:ext>
                <a:ext uri="{FF2B5EF4-FFF2-40B4-BE49-F238E27FC236}">
                  <a16:creationId xmlns:a16="http://schemas.microsoft.com/office/drawing/2014/main" id="{00000000-0008-0000-0200-0000B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237</xdr:row>
          <xdr:rowOff>30480</xdr:rowOff>
        </xdr:from>
        <xdr:to>
          <xdr:col>0</xdr:col>
          <xdr:colOff>236220</xdr:colOff>
          <xdr:row>237</xdr:row>
          <xdr:rowOff>182880</xdr:rowOff>
        </xdr:to>
        <xdr:sp macro="" textlink="">
          <xdr:nvSpPr>
            <xdr:cNvPr id="64692" name="Check Box 4276" hidden="1">
              <a:extLst>
                <a:ext uri="{63B3BB69-23CF-44E3-9099-C40C66FF867C}">
                  <a14:compatExt spid="_x0000_s64692"/>
                </a:ext>
                <a:ext uri="{FF2B5EF4-FFF2-40B4-BE49-F238E27FC236}">
                  <a16:creationId xmlns:a16="http://schemas.microsoft.com/office/drawing/2014/main" id="{00000000-0008-0000-0200-0000B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238</xdr:row>
          <xdr:rowOff>30480</xdr:rowOff>
        </xdr:from>
        <xdr:to>
          <xdr:col>0</xdr:col>
          <xdr:colOff>236220</xdr:colOff>
          <xdr:row>238</xdr:row>
          <xdr:rowOff>182880</xdr:rowOff>
        </xdr:to>
        <xdr:sp macro="" textlink="">
          <xdr:nvSpPr>
            <xdr:cNvPr id="64693" name="Check Box 4277" hidden="1">
              <a:extLst>
                <a:ext uri="{63B3BB69-23CF-44E3-9099-C40C66FF867C}">
                  <a14:compatExt spid="_x0000_s64693"/>
                </a:ext>
                <a:ext uri="{FF2B5EF4-FFF2-40B4-BE49-F238E27FC236}">
                  <a16:creationId xmlns:a16="http://schemas.microsoft.com/office/drawing/2014/main" id="{00000000-0008-0000-0200-0000B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239</xdr:row>
          <xdr:rowOff>30480</xdr:rowOff>
        </xdr:from>
        <xdr:to>
          <xdr:col>0</xdr:col>
          <xdr:colOff>236220</xdr:colOff>
          <xdr:row>239</xdr:row>
          <xdr:rowOff>182880</xdr:rowOff>
        </xdr:to>
        <xdr:sp macro="" textlink="">
          <xdr:nvSpPr>
            <xdr:cNvPr id="64694" name="Check Box 4278" hidden="1">
              <a:extLst>
                <a:ext uri="{63B3BB69-23CF-44E3-9099-C40C66FF867C}">
                  <a14:compatExt spid="_x0000_s64694"/>
                </a:ext>
                <a:ext uri="{FF2B5EF4-FFF2-40B4-BE49-F238E27FC236}">
                  <a16:creationId xmlns:a16="http://schemas.microsoft.com/office/drawing/2014/main" id="{00000000-0008-0000-0200-0000B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240</xdr:row>
          <xdr:rowOff>30480</xdr:rowOff>
        </xdr:from>
        <xdr:to>
          <xdr:col>0</xdr:col>
          <xdr:colOff>236220</xdr:colOff>
          <xdr:row>240</xdr:row>
          <xdr:rowOff>182880</xdr:rowOff>
        </xdr:to>
        <xdr:sp macro="" textlink="">
          <xdr:nvSpPr>
            <xdr:cNvPr id="64695" name="Check Box 4279" hidden="1">
              <a:extLst>
                <a:ext uri="{63B3BB69-23CF-44E3-9099-C40C66FF867C}">
                  <a14:compatExt spid="_x0000_s64695"/>
                </a:ext>
                <a:ext uri="{FF2B5EF4-FFF2-40B4-BE49-F238E27FC236}">
                  <a16:creationId xmlns:a16="http://schemas.microsoft.com/office/drawing/2014/main" id="{00000000-0008-0000-0200-0000B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241</xdr:row>
          <xdr:rowOff>30480</xdr:rowOff>
        </xdr:from>
        <xdr:to>
          <xdr:col>0</xdr:col>
          <xdr:colOff>236220</xdr:colOff>
          <xdr:row>241</xdr:row>
          <xdr:rowOff>182880</xdr:rowOff>
        </xdr:to>
        <xdr:sp macro="" textlink="">
          <xdr:nvSpPr>
            <xdr:cNvPr id="64696" name="Check Box 4280" hidden="1">
              <a:extLst>
                <a:ext uri="{63B3BB69-23CF-44E3-9099-C40C66FF867C}">
                  <a14:compatExt spid="_x0000_s64696"/>
                </a:ext>
                <a:ext uri="{FF2B5EF4-FFF2-40B4-BE49-F238E27FC236}">
                  <a16:creationId xmlns:a16="http://schemas.microsoft.com/office/drawing/2014/main" id="{00000000-0008-0000-0200-0000B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242</xdr:row>
          <xdr:rowOff>30480</xdr:rowOff>
        </xdr:from>
        <xdr:to>
          <xdr:col>0</xdr:col>
          <xdr:colOff>236220</xdr:colOff>
          <xdr:row>242</xdr:row>
          <xdr:rowOff>182880</xdr:rowOff>
        </xdr:to>
        <xdr:sp macro="" textlink="">
          <xdr:nvSpPr>
            <xdr:cNvPr id="64697" name="Check Box 4281" hidden="1">
              <a:extLst>
                <a:ext uri="{63B3BB69-23CF-44E3-9099-C40C66FF867C}">
                  <a14:compatExt spid="_x0000_s64697"/>
                </a:ext>
                <a:ext uri="{FF2B5EF4-FFF2-40B4-BE49-F238E27FC236}">
                  <a16:creationId xmlns:a16="http://schemas.microsoft.com/office/drawing/2014/main" id="{00000000-0008-0000-0200-0000B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243</xdr:row>
          <xdr:rowOff>30480</xdr:rowOff>
        </xdr:from>
        <xdr:to>
          <xdr:col>0</xdr:col>
          <xdr:colOff>236220</xdr:colOff>
          <xdr:row>243</xdr:row>
          <xdr:rowOff>182880</xdr:rowOff>
        </xdr:to>
        <xdr:sp macro="" textlink="">
          <xdr:nvSpPr>
            <xdr:cNvPr id="64698" name="Check Box 4282" hidden="1">
              <a:extLst>
                <a:ext uri="{63B3BB69-23CF-44E3-9099-C40C66FF867C}">
                  <a14:compatExt spid="_x0000_s64698"/>
                </a:ext>
                <a:ext uri="{FF2B5EF4-FFF2-40B4-BE49-F238E27FC236}">
                  <a16:creationId xmlns:a16="http://schemas.microsoft.com/office/drawing/2014/main" id="{00000000-0008-0000-0200-0000B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244</xdr:row>
          <xdr:rowOff>30480</xdr:rowOff>
        </xdr:from>
        <xdr:to>
          <xdr:col>0</xdr:col>
          <xdr:colOff>236220</xdr:colOff>
          <xdr:row>244</xdr:row>
          <xdr:rowOff>182880</xdr:rowOff>
        </xdr:to>
        <xdr:sp macro="" textlink="">
          <xdr:nvSpPr>
            <xdr:cNvPr id="64699" name="Check Box 4283" hidden="1">
              <a:extLst>
                <a:ext uri="{63B3BB69-23CF-44E3-9099-C40C66FF867C}">
                  <a14:compatExt spid="_x0000_s64699"/>
                </a:ext>
                <a:ext uri="{FF2B5EF4-FFF2-40B4-BE49-F238E27FC236}">
                  <a16:creationId xmlns:a16="http://schemas.microsoft.com/office/drawing/2014/main" id="{00000000-0008-0000-0200-0000B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245</xdr:row>
          <xdr:rowOff>30480</xdr:rowOff>
        </xdr:from>
        <xdr:to>
          <xdr:col>0</xdr:col>
          <xdr:colOff>236220</xdr:colOff>
          <xdr:row>245</xdr:row>
          <xdr:rowOff>182880</xdr:rowOff>
        </xdr:to>
        <xdr:sp macro="" textlink="">
          <xdr:nvSpPr>
            <xdr:cNvPr id="64700" name="Check Box 4284" hidden="1">
              <a:extLst>
                <a:ext uri="{63B3BB69-23CF-44E3-9099-C40C66FF867C}">
                  <a14:compatExt spid="_x0000_s64700"/>
                </a:ext>
                <a:ext uri="{FF2B5EF4-FFF2-40B4-BE49-F238E27FC236}">
                  <a16:creationId xmlns:a16="http://schemas.microsoft.com/office/drawing/2014/main" id="{00000000-0008-0000-0200-0000B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246</xdr:row>
          <xdr:rowOff>30480</xdr:rowOff>
        </xdr:from>
        <xdr:to>
          <xdr:col>0</xdr:col>
          <xdr:colOff>236220</xdr:colOff>
          <xdr:row>246</xdr:row>
          <xdr:rowOff>182880</xdr:rowOff>
        </xdr:to>
        <xdr:sp macro="" textlink="">
          <xdr:nvSpPr>
            <xdr:cNvPr id="64701" name="Check Box 4285" hidden="1">
              <a:extLst>
                <a:ext uri="{63B3BB69-23CF-44E3-9099-C40C66FF867C}">
                  <a14:compatExt spid="_x0000_s64701"/>
                </a:ext>
                <a:ext uri="{FF2B5EF4-FFF2-40B4-BE49-F238E27FC236}">
                  <a16:creationId xmlns:a16="http://schemas.microsoft.com/office/drawing/2014/main" id="{00000000-0008-0000-0200-0000B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247</xdr:row>
          <xdr:rowOff>30480</xdr:rowOff>
        </xdr:from>
        <xdr:to>
          <xdr:col>0</xdr:col>
          <xdr:colOff>236220</xdr:colOff>
          <xdr:row>247</xdr:row>
          <xdr:rowOff>182880</xdr:rowOff>
        </xdr:to>
        <xdr:sp macro="" textlink="">
          <xdr:nvSpPr>
            <xdr:cNvPr id="64702" name="Check Box 4286" hidden="1">
              <a:extLst>
                <a:ext uri="{63B3BB69-23CF-44E3-9099-C40C66FF867C}">
                  <a14:compatExt spid="_x0000_s64702"/>
                </a:ext>
                <a:ext uri="{FF2B5EF4-FFF2-40B4-BE49-F238E27FC236}">
                  <a16:creationId xmlns:a16="http://schemas.microsoft.com/office/drawing/2014/main" id="{00000000-0008-0000-0200-0000B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248</xdr:row>
          <xdr:rowOff>30480</xdr:rowOff>
        </xdr:from>
        <xdr:to>
          <xdr:col>0</xdr:col>
          <xdr:colOff>236220</xdr:colOff>
          <xdr:row>248</xdr:row>
          <xdr:rowOff>182880</xdr:rowOff>
        </xdr:to>
        <xdr:sp macro="" textlink="">
          <xdr:nvSpPr>
            <xdr:cNvPr id="64703" name="Check Box 4287" hidden="1">
              <a:extLst>
                <a:ext uri="{63B3BB69-23CF-44E3-9099-C40C66FF867C}">
                  <a14:compatExt spid="_x0000_s64703"/>
                </a:ext>
                <a:ext uri="{FF2B5EF4-FFF2-40B4-BE49-F238E27FC236}">
                  <a16:creationId xmlns:a16="http://schemas.microsoft.com/office/drawing/2014/main" id="{00000000-0008-0000-0200-0000B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249</xdr:row>
          <xdr:rowOff>30480</xdr:rowOff>
        </xdr:from>
        <xdr:to>
          <xdr:col>0</xdr:col>
          <xdr:colOff>236220</xdr:colOff>
          <xdr:row>249</xdr:row>
          <xdr:rowOff>182880</xdr:rowOff>
        </xdr:to>
        <xdr:sp macro="" textlink="">
          <xdr:nvSpPr>
            <xdr:cNvPr id="64704" name="Check Box 4288" hidden="1">
              <a:extLst>
                <a:ext uri="{63B3BB69-23CF-44E3-9099-C40C66FF867C}">
                  <a14:compatExt spid="_x0000_s64704"/>
                </a:ext>
                <a:ext uri="{FF2B5EF4-FFF2-40B4-BE49-F238E27FC236}">
                  <a16:creationId xmlns:a16="http://schemas.microsoft.com/office/drawing/2014/main" id="{00000000-0008-0000-0200-0000C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250</xdr:row>
          <xdr:rowOff>30480</xdr:rowOff>
        </xdr:from>
        <xdr:to>
          <xdr:col>0</xdr:col>
          <xdr:colOff>236220</xdr:colOff>
          <xdr:row>250</xdr:row>
          <xdr:rowOff>182880</xdr:rowOff>
        </xdr:to>
        <xdr:sp macro="" textlink="">
          <xdr:nvSpPr>
            <xdr:cNvPr id="64705" name="Check Box 4289" hidden="1">
              <a:extLst>
                <a:ext uri="{63B3BB69-23CF-44E3-9099-C40C66FF867C}">
                  <a14:compatExt spid="_x0000_s64705"/>
                </a:ext>
                <a:ext uri="{FF2B5EF4-FFF2-40B4-BE49-F238E27FC236}">
                  <a16:creationId xmlns:a16="http://schemas.microsoft.com/office/drawing/2014/main" id="{00000000-0008-0000-0200-0000C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251</xdr:row>
          <xdr:rowOff>30480</xdr:rowOff>
        </xdr:from>
        <xdr:to>
          <xdr:col>0</xdr:col>
          <xdr:colOff>236220</xdr:colOff>
          <xdr:row>251</xdr:row>
          <xdr:rowOff>182880</xdr:rowOff>
        </xdr:to>
        <xdr:sp macro="" textlink="">
          <xdr:nvSpPr>
            <xdr:cNvPr id="64706" name="Check Box 4290" hidden="1">
              <a:extLst>
                <a:ext uri="{63B3BB69-23CF-44E3-9099-C40C66FF867C}">
                  <a14:compatExt spid="_x0000_s64706"/>
                </a:ext>
                <a:ext uri="{FF2B5EF4-FFF2-40B4-BE49-F238E27FC236}">
                  <a16:creationId xmlns:a16="http://schemas.microsoft.com/office/drawing/2014/main" id="{00000000-0008-0000-0200-0000C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252</xdr:row>
          <xdr:rowOff>30480</xdr:rowOff>
        </xdr:from>
        <xdr:to>
          <xdr:col>0</xdr:col>
          <xdr:colOff>236220</xdr:colOff>
          <xdr:row>252</xdr:row>
          <xdr:rowOff>182880</xdr:rowOff>
        </xdr:to>
        <xdr:sp macro="" textlink="">
          <xdr:nvSpPr>
            <xdr:cNvPr id="64707" name="Check Box 4291" hidden="1">
              <a:extLst>
                <a:ext uri="{63B3BB69-23CF-44E3-9099-C40C66FF867C}">
                  <a14:compatExt spid="_x0000_s64707"/>
                </a:ext>
                <a:ext uri="{FF2B5EF4-FFF2-40B4-BE49-F238E27FC236}">
                  <a16:creationId xmlns:a16="http://schemas.microsoft.com/office/drawing/2014/main" id="{00000000-0008-0000-0200-0000C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253</xdr:row>
          <xdr:rowOff>30480</xdr:rowOff>
        </xdr:from>
        <xdr:to>
          <xdr:col>0</xdr:col>
          <xdr:colOff>236220</xdr:colOff>
          <xdr:row>253</xdr:row>
          <xdr:rowOff>182880</xdr:rowOff>
        </xdr:to>
        <xdr:sp macro="" textlink="">
          <xdr:nvSpPr>
            <xdr:cNvPr id="64708" name="Check Box 4292" hidden="1">
              <a:extLst>
                <a:ext uri="{63B3BB69-23CF-44E3-9099-C40C66FF867C}">
                  <a14:compatExt spid="_x0000_s64708"/>
                </a:ext>
                <a:ext uri="{FF2B5EF4-FFF2-40B4-BE49-F238E27FC236}">
                  <a16:creationId xmlns:a16="http://schemas.microsoft.com/office/drawing/2014/main" id="{00000000-0008-0000-0200-0000C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254</xdr:row>
          <xdr:rowOff>30480</xdr:rowOff>
        </xdr:from>
        <xdr:to>
          <xdr:col>0</xdr:col>
          <xdr:colOff>236220</xdr:colOff>
          <xdr:row>254</xdr:row>
          <xdr:rowOff>182880</xdr:rowOff>
        </xdr:to>
        <xdr:sp macro="" textlink="">
          <xdr:nvSpPr>
            <xdr:cNvPr id="64709" name="Check Box 4293" hidden="1">
              <a:extLst>
                <a:ext uri="{63B3BB69-23CF-44E3-9099-C40C66FF867C}">
                  <a14:compatExt spid="_x0000_s64709"/>
                </a:ext>
                <a:ext uri="{FF2B5EF4-FFF2-40B4-BE49-F238E27FC236}">
                  <a16:creationId xmlns:a16="http://schemas.microsoft.com/office/drawing/2014/main" id="{00000000-0008-0000-0200-0000C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255</xdr:row>
          <xdr:rowOff>30480</xdr:rowOff>
        </xdr:from>
        <xdr:to>
          <xdr:col>0</xdr:col>
          <xdr:colOff>236220</xdr:colOff>
          <xdr:row>255</xdr:row>
          <xdr:rowOff>182880</xdr:rowOff>
        </xdr:to>
        <xdr:sp macro="" textlink="">
          <xdr:nvSpPr>
            <xdr:cNvPr id="64710" name="Check Box 4294" hidden="1">
              <a:extLst>
                <a:ext uri="{63B3BB69-23CF-44E3-9099-C40C66FF867C}">
                  <a14:compatExt spid="_x0000_s64710"/>
                </a:ext>
                <a:ext uri="{FF2B5EF4-FFF2-40B4-BE49-F238E27FC236}">
                  <a16:creationId xmlns:a16="http://schemas.microsoft.com/office/drawing/2014/main" id="{00000000-0008-0000-0200-0000C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256</xdr:row>
          <xdr:rowOff>30480</xdr:rowOff>
        </xdr:from>
        <xdr:to>
          <xdr:col>0</xdr:col>
          <xdr:colOff>236220</xdr:colOff>
          <xdr:row>256</xdr:row>
          <xdr:rowOff>182880</xdr:rowOff>
        </xdr:to>
        <xdr:sp macro="" textlink="">
          <xdr:nvSpPr>
            <xdr:cNvPr id="64711" name="Check Box 4295" hidden="1">
              <a:extLst>
                <a:ext uri="{63B3BB69-23CF-44E3-9099-C40C66FF867C}">
                  <a14:compatExt spid="_x0000_s64711"/>
                </a:ext>
                <a:ext uri="{FF2B5EF4-FFF2-40B4-BE49-F238E27FC236}">
                  <a16:creationId xmlns:a16="http://schemas.microsoft.com/office/drawing/2014/main" id="{00000000-0008-0000-0200-0000C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257</xdr:row>
          <xdr:rowOff>30480</xdr:rowOff>
        </xdr:from>
        <xdr:to>
          <xdr:col>0</xdr:col>
          <xdr:colOff>236220</xdr:colOff>
          <xdr:row>257</xdr:row>
          <xdr:rowOff>182880</xdr:rowOff>
        </xdr:to>
        <xdr:sp macro="" textlink="">
          <xdr:nvSpPr>
            <xdr:cNvPr id="64712" name="Check Box 4296" hidden="1">
              <a:extLst>
                <a:ext uri="{63B3BB69-23CF-44E3-9099-C40C66FF867C}">
                  <a14:compatExt spid="_x0000_s64712"/>
                </a:ext>
                <a:ext uri="{FF2B5EF4-FFF2-40B4-BE49-F238E27FC236}">
                  <a16:creationId xmlns:a16="http://schemas.microsoft.com/office/drawing/2014/main" id="{00000000-0008-0000-0200-0000C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258</xdr:row>
          <xdr:rowOff>30480</xdr:rowOff>
        </xdr:from>
        <xdr:to>
          <xdr:col>0</xdr:col>
          <xdr:colOff>236220</xdr:colOff>
          <xdr:row>258</xdr:row>
          <xdr:rowOff>182880</xdr:rowOff>
        </xdr:to>
        <xdr:sp macro="" textlink="">
          <xdr:nvSpPr>
            <xdr:cNvPr id="64713" name="Check Box 4297" hidden="1">
              <a:extLst>
                <a:ext uri="{63B3BB69-23CF-44E3-9099-C40C66FF867C}">
                  <a14:compatExt spid="_x0000_s64713"/>
                </a:ext>
                <a:ext uri="{FF2B5EF4-FFF2-40B4-BE49-F238E27FC236}">
                  <a16:creationId xmlns:a16="http://schemas.microsoft.com/office/drawing/2014/main" id="{00000000-0008-0000-0200-0000C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259</xdr:row>
          <xdr:rowOff>30480</xdr:rowOff>
        </xdr:from>
        <xdr:to>
          <xdr:col>0</xdr:col>
          <xdr:colOff>236220</xdr:colOff>
          <xdr:row>259</xdr:row>
          <xdr:rowOff>182880</xdr:rowOff>
        </xdr:to>
        <xdr:sp macro="" textlink="">
          <xdr:nvSpPr>
            <xdr:cNvPr id="64714" name="Check Box 4298" hidden="1">
              <a:extLst>
                <a:ext uri="{63B3BB69-23CF-44E3-9099-C40C66FF867C}">
                  <a14:compatExt spid="_x0000_s64714"/>
                </a:ext>
                <a:ext uri="{FF2B5EF4-FFF2-40B4-BE49-F238E27FC236}">
                  <a16:creationId xmlns:a16="http://schemas.microsoft.com/office/drawing/2014/main" id="{00000000-0008-0000-0200-0000C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260</xdr:row>
          <xdr:rowOff>30480</xdr:rowOff>
        </xdr:from>
        <xdr:to>
          <xdr:col>0</xdr:col>
          <xdr:colOff>236220</xdr:colOff>
          <xdr:row>260</xdr:row>
          <xdr:rowOff>182880</xdr:rowOff>
        </xdr:to>
        <xdr:sp macro="" textlink="">
          <xdr:nvSpPr>
            <xdr:cNvPr id="64715" name="Check Box 4299" hidden="1">
              <a:extLst>
                <a:ext uri="{63B3BB69-23CF-44E3-9099-C40C66FF867C}">
                  <a14:compatExt spid="_x0000_s64715"/>
                </a:ext>
                <a:ext uri="{FF2B5EF4-FFF2-40B4-BE49-F238E27FC236}">
                  <a16:creationId xmlns:a16="http://schemas.microsoft.com/office/drawing/2014/main" id="{00000000-0008-0000-0200-0000C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261</xdr:row>
          <xdr:rowOff>30480</xdr:rowOff>
        </xdr:from>
        <xdr:to>
          <xdr:col>0</xdr:col>
          <xdr:colOff>236220</xdr:colOff>
          <xdr:row>261</xdr:row>
          <xdr:rowOff>182880</xdr:rowOff>
        </xdr:to>
        <xdr:sp macro="" textlink="">
          <xdr:nvSpPr>
            <xdr:cNvPr id="64716" name="Check Box 4300" hidden="1">
              <a:extLst>
                <a:ext uri="{63B3BB69-23CF-44E3-9099-C40C66FF867C}">
                  <a14:compatExt spid="_x0000_s64716"/>
                </a:ext>
                <a:ext uri="{FF2B5EF4-FFF2-40B4-BE49-F238E27FC236}">
                  <a16:creationId xmlns:a16="http://schemas.microsoft.com/office/drawing/2014/main" id="{00000000-0008-0000-0200-0000C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262</xdr:row>
          <xdr:rowOff>30480</xdr:rowOff>
        </xdr:from>
        <xdr:to>
          <xdr:col>0</xdr:col>
          <xdr:colOff>236220</xdr:colOff>
          <xdr:row>262</xdr:row>
          <xdr:rowOff>182880</xdr:rowOff>
        </xdr:to>
        <xdr:sp macro="" textlink="">
          <xdr:nvSpPr>
            <xdr:cNvPr id="64717" name="Check Box 4301" hidden="1">
              <a:extLst>
                <a:ext uri="{63B3BB69-23CF-44E3-9099-C40C66FF867C}">
                  <a14:compatExt spid="_x0000_s64717"/>
                </a:ext>
                <a:ext uri="{FF2B5EF4-FFF2-40B4-BE49-F238E27FC236}">
                  <a16:creationId xmlns:a16="http://schemas.microsoft.com/office/drawing/2014/main" id="{00000000-0008-0000-0200-0000C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263</xdr:row>
          <xdr:rowOff>30480</xdr:rowOff>
        </xdr:from>
        <xdr:to>
          <xdr:col>0</xdr:col>
          <xdr:colOff>236220</xdr:colOff>
          <xdr:row>263</xdr:row>
          <xdr:rowOff>182880</xdr:rowOff>
        </xdr:to>
        <xdr:sp macro="" textlink="">
          <xdr:nvSpPr>
            <xdr:cNvPr id="64718" name="Check Box 4302" hidden="1">
              <a:extLst>
                <a:ext uri="{63B3BB69-23CF-44E3-9099-C40C66FF867C}">
                  <a14:compatExt spid="_x0000_s64718"/>
                </a:ext>
                <a:ext uri="{FF2B5EF4-FFF2-40B4-BE49-F238E27FC236}">
                  <a16:creationId xmlns:a16="http://schemas.microsoft.com/office/drawing/2014/main" id="{00000000-0008-0000-0200-0000C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264</xdr:row>
          <xdr:rowOff>30480</xdr:rowOff>
        </xdr:from>
        <xdr:to>
          <xdr:col>0</xdr:col>
          <xdr:colOff>236220</xdr:colOff>
          <xdr:row>264</xdr:row>
          <xdr:rowOff>182880</xdr:rowOff>
        </xdr:to>
        <xdr:sp macro="" textlink="">
          <xdr:nvSpPr>
            <xdr:cNvPr id="64719" name="Check Box 4303" hidden="1">
              <a:extLst>
                <a:ext uri="{63B3BB69-23CF-44E3-9099-C40C66FF867C}">
                  <a14:compatExt spid="_x0000_s64719"/>
                </a:ext>
                <a:ext uri="{FF2B5EF4-FFF2-40B4-BE49-F238E27FC236}">
                  <a16:creationId xmlns:a16="http://schemas.microsoft.com/office/drawing/2014/main" id="{00000000-0008-0000-0200-0000C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265</xdr:row>
          <xdr:rowOff>30480</xdr:rowOff>
        </xdr:from>
        <xdr:to>
          <xdr:col>0</xdr:col>
          <xdr:colOff>236220</xdr:colOff>
          <xdr:row>265</xdr:row>
          <xdr:rowOff>182880</xdr:rowOff>
        </xdr:to>
        <xdr:sp macro="" textlink="">
          <xdr:nvSpPr>
            <xdr:cNvPr id="64720" name="Check Box 4304" hidden="1">
              <a:extLst>
                <a:ext uri="{63B3BB69-23CF-44E3-9099-C40C66FF867C}">
                  <a14:compatExt spid="_x0000_s64720"/>
                </a:ext>
                <a:ext uri="{FF2B5EF4-FFF2-40B4-BE49-F238E27FC236}">
                  <a16:creationId xmlns:a16="http://schemas.microsoft.com/office/drawing/2014/main" id="{00000000-0008-0000-0200-0000D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266</xdr:row>
          <xdr:rowOff>30480</xdr:rowOff>
        </xdr:from>
        <xdr:to>
          <xdr:col>0</xdr:col>
          <xdr:colOff>236220</xdr:colOff>
          <xdr:row>266</xdr:row>
          <xdr:rowOff>182880</xdr:rowOff>
        </xdr:to>
        <xdr:sp macro="" textlink="">
          <xdr:nvSpPr>
            <xdr:cNvPr id="64721" name="Check Box 4305" hidden="1">
              <a:extLst>
                <a:ext uri="{63B3BB69-23CF-44E3-9099-C40C66FF867C}">
                  <a14:compatExt spid="_x0000_s64721"/>
                </a:ext>
                <a:ext uri="{FF2B5EF4-FFF2-40B4-BE49-F238E27FC236}">
                  <a16:creationId xmlns:a16="http://schemas.microsoft.com/office/drawing/2014/main" id="{00000000-0008-0000-0200-0000D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267</xdr:row>
          <xdr:rowOff>30480</xdr:rowOff>
        </xdr:from>
        <xdr:to>
          <xdr:col>0</xdr:col>
          <xdr:colOff>236220</xdr:colOff>
          <xdr:row>267</xdr:row>
          <xdr:rowOff>182880</xdr:rowOff>
        </xdr:to>
        <xdr:sp macro="" textlink="">
          <xdr:nvSpPr>
            <xdr:cNvPr id="64722" name="Check Box 4306" hidden="1">
              <a:extLst>
                <a:ext uri="{63B3BB69-23CF-44E3-9099-C40C66FF867C}">
                  <a14:compatExt spid="_x0000_s64722"/>
                </a:ext>
                <a:ext uri="{FF2B5EF4-FFF2-40B4-BE49-F238E27FC236}">
                  <a16:creationId xmlns:a16="http://schemas.microsoft.com/office/drawing/2014/main" id="{00000000-0008-0000-0200-0000D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268</xdr:row>
          <xdr:rowOff>30480</xdr:rowOff>
        </xdr:from>
        <xdr:to>
          <xdr:col>0</xdr:col>
          <xdr:colOff>236220</xdr:colOff>
          <xdr:row>268</xdr:row>
          <xdr:rowOff>182880</xdr:rowOff>
        </xdr:to>
        <xdr:sp macro="" textlink="">
          <xdr:nvSpPr>
            <xdr:cNvPr id="64723" name="Check Box 4307" hidden="1">
              <a:extLst>
                <a:ext uri="{63B3BB69-23CF-44E3-9099-C40C66FF867C}">
                  <a14:compatExt spid="_x0000_s64723"/>
                </a:ext>
                <a:ext uri="{FF2B5EF4-FFF2-40B4-BE49-F238E27FC236}">
                  <a16:creationId xmlns:a16="http://schemas.microsoft.com/office/drawing/2014/main" id="{00000000-0008-0000-0200-0000D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269</xdr:row>
          <xdr:rowOff>30480</xdr:rowOff>
        </xdr:from>
        <xdr:to>
          <xdr:col>0</xdr:col>
          <xdr:colOff>236220</xdr:colOff>
          <xdr:row>269</xdr:row>
          <xdr:rowOff>182880</xdr:rowOff>
        </xdr:to>
        <xdr:sp macro="" textlink="">
          <xdr:nvSpPr>
            <xdr:cNvPr id="64724" name="Check Box 4308" hidden="1">
              <a:extLst>
                <a:ext uri="{63B3BB69-23CF-44E3-9099-C40C66FF867C}">
                  <a14:compatExt spid="_x0000_s64724"/>
                </a:ext>
                <a:ext uri="{FF2B5EF4-FFF2-40B4-BE49-F238E27FC236}">
                  <a16:creationId xmlns:a16="http://schemas.microsoft.com/office/drawing/2014/main" id="{00000000-0008-0000-0200-0000D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270</xdr:row>
          <xdr:rowOff>30480</xdr:rowOff>
        </xdr:from>
        <xdr:to>
          <xdr:col>0</xdr:col>
          <xdr:colOff>236220</xdr:colOff>
          <xdr:row>270</xdr:row>
          <xdr:rowOff>182880</xdr:rowOff>
        </xdr:to>
        <xdr:sp macro="" textlink="">
          <xdr:nvSpPr>
            <xdr:cNvPr id="64725" name="Check Box 4309" hidden="1">
              <a:extLst>
                <a:ext uri="{63B3BB69-23CF-44E3-9099-C40C66FF867C}">
                  <a14:compatExt spid="_x0000_s64725"/>
                </a:ext>
                <a:ext uri="{FF2B5EF4-FFF2-40B4-BE49-F238E27FC236}">
                  <a16:creationId xmlns:a16="http://schemas.microsoft.com/office/drawing/2014/main" id="{00000000-0008-0000-0200-0000D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271</xdr:row>
          <xdr:rowOff>30480</xdr:rowOff>
        </xdr:from>
        <xdr:to>
          <xdr:col>0</xdr:col>
          <xdr:colOff>236220</xdr:colOff>
          <xdr:row>271</xdr:row>
          <xdr:rowOff>182880</xdr:rowOff>
        </xdr:to>
        <xdr:sp macro="" textlink="">
          <xdr:nvSpPr>
            <xdr:cNvPr id="64726" name="Check Box 4310" hidden="1">
              <a:extLst>
                <a:ext uri="{63B3BB69-23CF-44E3-9099-C40C66FF867C}">
                  <a14:compatExt spid="_x0000_s64726"/>
                </a:ext>
                <a:ext uri="{FF2B5EF4-FFF2-40B4-BE49-F238E27FC236}">
                  <a16:creationId xmlns:a16="http://schemas.microsoft.com/office/drawing/2014/main" id="{00000000-0008-0000-0200-0000D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272</xdr:row>
          <xdr:rowOff>30480</xdr:rowOff>
        </xdr:from>
        <xdr:to>
          <xdr:col>0</xdr:col>
          <xdr:colOff>236220</xdr:colOff>
          <xdr:row>272</xdr:row>
          <xdr:rowOff>182880</xdr:rowOff>
        </xdr:to>
        <xdr:sp macro="" textlink="">
          <xdr:nvSpPr>
            <xdr:cNvPr id="64727" name="Check Box 4311" hidden="1">
              <a:extLst>
                <a:ext uri="{63B3BB69-23CF-44E3-9099-C40C66FF867C}">
                  <a14:compatExt spid="_x0000_s64727"/>
                </a:ext>
                <a:ext uri="{FF2B5EF4-FFF2-40B4-BE49-F238E27FC236}">
                  <a16:creationId xmlns:a16="http://schemas.microsoft.com/office/drawing/2014/main" id="{00000000-0008-0000-0200-0000D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273</xdr:row>
          <xdr:rowOff>30480</xdr:rowOff>
        </xdr:from>
        <xdr:to>
          <xdr:col>0</xdr:col>
          <xdr:colOff>236220</xdr:colOff>
          <xdr:row>273</xdr:row>
          <xdr:rowOff>182880</xdr:rowOff>
        </xdr:to>
        <xdr:sp macro="" textlink="">
          <xdr:nvSpPr>
            <xdr:cNvPr id="64728" name="Check Box 4312" hidden="1">
              <a:extLst>
                <a:ext uri="{63B3BB69-23CF-44E3-9099-C40C66FF867C}">
                  <a14:compatExt spid="_x0000_s64728"/>
                </a:ext>
                <a:ext uri="{FF2B5EF4-FFF2-40B4-BE49-F238E27FC236}">
                  <a16:creationId xmlns:a16="http://schemas.microsoft.com/office/drawing/2014/main" id="{00000000-0008-0000-0200-0000D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274</xdr:row>
          <xdr:rowOff>30480</xdr:rowOff>
        </xdr:from>
        <xdr:to>
          <xdr:col>0</xdr:col>
          <xdr:colOff>236220</xdr:colOff>
          <xdr:row>274</xdr:row>
          <xdr:rowOff>182880</xdr:rowOff>
        </xdr:to>
        <xdr:sp macro="" textlink="">
          <xdr:nvSpPr>
            <xdr:cNvPr id="64729" name="Check Box 4313" hidden="1">
              <a:extLst>
                <a:ext uri="{63B3BB69-23CF-44E3-9099-C40C66FF867C}">
                  <a14:compatExt spid="_x0000_s64729"/>
                </a:ext>
                <a:ext uri="{FF2B5EF4-FFF2-40B4-BE49-F238E27FC236}">
                  <a16:creationId xmlns:a16="http://schemas.microsoft.com/office/drawing/2014/main" id="{00000000-0008-0000-0200-0000D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275</xdr:row>
          <xdr:rowOff>30480</xdr:rowOff>
        </xdr:from>
        <xdr:to>
          <xdr:col>0</xdr:col>
          <xdr:colOff>236220</xdr:colOff>
          <xdr:row>275</xdr:row>
          <xdr:rowOff>182880</xdr:rowOff>
        </xdr:to>
        <xdr:sp macro="" textlink="">
          <xdr:nvSpPr>
            <xdr:cNvPr id="64730" name="Check Box 4314" hidden="1">
              <a:extLst>
                <a:ext uri="{63B3BB69-23CF-44E3-9099-C40C66FF867C}">
                  <a14:compatExt spid="_x0000_s64730"/>
                </a:ext>
                <a:ext uri="{FF2B5EF4-FFF2-40B4-BE49-F238E27FC236}">
                  <a16:creationId xmlns:a16="http://schemas.microsoft.com/office/drawing/2014/main" id="{00000000-0008-0000-0200-0000D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276</xdr:row>
          <xdr:rowOff>30480</xdr:rowOff>
        </xdr:from>
        <xdr:to>
          <xdr:col>0</xdr:col>
          <xdr:colOff>236220</xdr:colOff>
          <xdr:row>276</xdr:row>
          <xdr:rowOff>182880</xdr:rowOff>
        </xdr:to>
        <xdr:sp macro="" textlink="">
          <xdr:nvSpPr>
            <xdr:cNvPr id="64731" name="Check Box 4315" hidden="1">
              <a:extLst>
                <a:ext uri="{63B3BB69-23CF-44E3-9099-C40C66FF867C}">
                  <a14:compatExt spid="_x0000_s64731"/>
                </a:ext>
                <a:ext uri="{FF2B5EF4-FFF2-40B4-BE49-F238E27FC236}">
                  <a16:creationId xmlns:a16="http://schemas.microsoft.com/office/drawing/2014/main" id="{00000000-0008-0000-0200-0000D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277</xdr:row>
          <xdr:rowOff>30480</xdr:rowOff>
        </xdr:from>
        <xdr:to>
          <xdr:col>0</xdr:col>
          <xdr:colOff>236220</xdr:colOff>
          <xdr:row>277</xdr:row>
          <xdr:rowOff>182880</xdr:rowOff>
        </xdr:to>
        <xdr:sp macro="" textlink="">
          <xdr:nvSpPr>
            <xdr:cNvPr id="64732" name="Check Box 4316" hidden="1">
              <a:extLst>
                <a:ext uri="{63B3BB69-23CF-44E3-9099-C40C66FF867C}">
                  <a14:compatExt spid="_x0000_s64732"/>
                </a:ext>
                <a:ext uri="{FF2B5EF4-FFF2-40B4-BE49-F238E27FC236}">
                  <a16:creationId xmlns:a16="http://schemas.microsoft.com/office/drawing/2014/main" id="{00000000-0008-0000-0200-0000D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278</xdr:row>
          <xdr:rowOff>30480</xdr:rowOff>
        </xdr:from>
        <xdr:to>
          <xdr:col>0</xdr:col>
          <xdr:colOff>236220</xdr:colOff>
          <xdr:row>278</xdr:row>
          <xdr:rowOff>182880</xdr:rowOff>
        </xdr:to>
        <xdr:sp macro="" textlink="">
          <xdr:nvSpPr>
            <xdr:cNvPr id="64733" name="Check Box 4317" hidden="1">
              <a:extLst>
                <a:ext uri="{63B3BB69-23CF-44E3-9099-C40C66FF867C}">
                  <a14:compatExt spid="_x0000_s64733"/>
                </a:ext>
                <a:ext uri="{FF2B5EF4-FFF2-40B4-BE49-F238E27FC236}">
                  <a16:creationId xmlns:a16="http://schemas.microsoft.com/office/drawing/2014/main" id="{00000000-0008-0000-0200-0000D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279</xdr:row>
          <xdr:rowOff>30480</xdr:rowOff>
        </xdr:from>
        <xdr:to>
          <xdr:col>0</xdr:col>
          <xdr:colOff>236220</xdr:colOff>
          <xdr:row>279</xdr:row>
          <xdr:rowOff>182880</xdr:rowOff>
        </xdr:to>
        <xdr:sp macro="" textlink="">
          <xdr:nvSpPr>
            <xdr:cNvPr id="64734" name="Check Box 4318" hidden="1">
              <a:extLst>
                <a:ext uri="{63B3BB69-23CF-44E3-9099-C40C66FF867C}">
                  <a14:compatExt spid="_x0000_s64734"/>
                </a:ext>
                <a:ext uri="{FF2B5EF4-FFF2-40B4-BE49-F238E27FC236}">
                  <a16:creationId xmlns:a16="http://schemas.microsoft.com/office/drawing/2014/main" id="{00000000-0008-0000-0200-0000D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280</xdr:row>
          <xdr:rowOff>30480</xdr:rowOff>
        </xdr:from>
        <xdr:to>
          <xdr:col>0</xdr:col>
          <xdr:colOff>236220</xdr:colOff>
          <xdr:row>280</xdr:row>
          <xdr:rowOff>182880</xdr:rowOff>
        </xdr:to>
        <xdr:sp macro="" textlink="">
          <xdr:nvSpPr>
            <xdr:cNvPr id="64735" name="Check Box 4319" hidden="1">
              <a:extLst>
                <a:ext uri="{63B3BB69-23CF-44E3-9099-C40C66FF867C}">
                  <a14:compatExt spid="_x0000_s64735"/>
                </a:ext>
                <a:ext uri="{FF2B5EF4-FFF2-40B4-BE49-F238E27FC236}">
                  <a16:creationId xmlns:a16="http://schemas.microsoft.com/office/drawing/2014/main" id="{00000000-0008-0000-0200-0000D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281</xdr:row>
          <xdr:rowOff>30480</xdr:rowOff>
        </xdr:from>
        <xdr:to>
          <xdr:col>0</xdr:col>
          <xdr:colOff>236220</xdr:colOff>
          <xdr:row>281</xdr:row>
          <xdr:rowOff>182880</xdr:rowOff>
        </xdr:to>
        <xdr:sp macro="" textlink="">
          <xdr:nvSpPr>
            <xdr:cNvPr id="64736" name="Check Box 4320" hidden="1">
              <a:extLst>
                <a:ext uri="{63B3BB69-23CF-44E3-9099-C40C66FF867C}">
                  <a14:compatExt spid="_x0000_s64736"/>
                </a:ext>
                <a:ext uri="{FF2B5EF4-FFF2-40B4-BE49-F238E27FC236}">
                  <a16:creationId xmlns:a16="http://schemas.microsoft.com/office/drawing/2014/main" id="{00000000-0008-0000-0200-0000E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282</xdr:row>
          <xdr:rowOff>30480</xdr:rowOff>
        </xdr:from>
        <xdr:to>
          <xdr:col>0</xdr:col>
          <xdr:colOff>236220</xdr:colOff>
          <xdr:row>282</xdr:row>
          <xdr:rowOff>182880</xdr:rowOff>
        </xdr:to>
        <xdr:sp macro="" textlink="">
          <xdr:nvSpPr>
            <xdr:cNvPr id="64737" name="Check Box 4321" hidden="1">
              <a:extLst>
                <a:ext uri="{63B3BB69-23CF-44E3-9099-C40C66FF867C}">
                  <a14:compatExt spid="_x0000_s64737"/>
                </a:ext>
                <a:ext uri="{FF2B5EF4-FFF2-40B4-BE49-F238E27FC236}">
                  <a16:creationId xmlns:a16="http://schemas.microsoft.com/office/drawing/2014/main" id="{00000000-0008-0000-0200-0000E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283</xdr:row>
          <xdr:rowOff>30480</xdr:rowOff>
        </xdr:from>
        <xdr:to>
          <xdr:col>0</xdr:col>
          <xdr:colOff>236220</xdr:colOff>
          <xdr:row>283</xdr:row>
          <xdr:rowOff>182880</xdr:rowOff>
        </xdr:to>
        <xdr:sp macro="" textlink="">
          <xdr:nvSpPr>
            <xdr:cNvPr id="64738" name="Check Box 4322" hidden="1">
              <a:extLst>
                <a:ext uri="{63B3BB69-23CF-44E3-9099-C40C66FF867C}">
                  <a14:compatExt spid="_x0000_s64738"/>
                </a:ext>
                <a:ext uri="{FF2B5EF4-FFF2-40B4-BE49-F238E27FC236}">
                  <a16:creationId xmlns:a16="http://schemas.microsoft.com/office/drawing/2014/main" id="{00000000-0008-0000-0200-0000E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284</xdr:row>
          <xdr:rowOff>30480</xdr:rowOff>
        </xdr:from>
        <xdr:to>
          <xdr:col>0</xdr:col>
          <xdr:colOff>236220</xdr:colOff>
          <xdr:row>284</xdr:row>
          <xdr:rowOff>182880</xdr:rowOff>
        </xdr:to>
        <xdr:sp macro="" textlink="">
          <xdr:nvSpPr>
            <xdr:cNvPr id="64739" name="Check Box 4323" hidden="1">
              <a:extLst>
                <a:ext uri="{63B3BB69-23CF-44E3-9099-C40C66FF867C}">
                  <a14:compatExt spid="_x0000_s64739"/>
                </a:ext>
                <a:ext uri="{FF2B5EF4-FFF2-40B4-BE49-F238E27FC236}">
                  <a16:creationId xmlns:a16="http://schemas.microsoft.com/office/drawing/2014/main" id="{00000000-0008-0000-0200-0000E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285</xdr:row>
          <xdr:rowOff>30480</xdr:rowOff>
        </xdr:from>
        <xdr:to>
          <xdr:col>0</xdr:col>
          <xdr:colOff>236220</xdr:colOff>
          <xdr:row>285</xdr:row>
          <xdr:rowOff>182880</xdr:rowOff>
        </xdr:to>
        <xdr:sp macro="" textlink="">
          <xdr:nvSpPr>
            <xdr:cNvPr id="64740" name="Check Box 4324" hidden="1">
              <a:extLst>
                <a:ext uri="{63B3BB69-23CF-44E3-9099-C40C66FF867C}">
                  <a14:compatExt spid="_x0000_s64740"/>
                </a:ext>
                <a:ext uri="{FF2B5EF4-FFF2-40B4-BE49-F238E27FC236}">
                  <a16:creationId xmlns:a16="http://schemas.microsoft.com/office/drawing/2014/main" id="{00000000-0008-0000-0200-0000E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286</xdr:row>
          <xdr:rowOff>30480</xdr:rowOff>
        </xdr:from>
        <xdr:to>
          <xdr:col>0</xdr:col>
          <xdr:colOff>236220</xdr:colOff>
          <xdr:row>286</xdr:row>
          <xdr:rowOff>182880</xdr:rowOff>
        </xdr:to>
        <xdr:sp macro="" textlink="">
          <xdr:nvSpPr>
            <xdr:cNvPr id="64741" name="Check Box 4325" hidden="1">
              <a:extLst>
                <a:ext uri="{63B3BB69-23CF-44E3-9099-C40C66FF867C}">
                  <a14:compatExt spid="_x0000_s64741"/>
                </a:ext>
                <a:ext uri="{FF2B5EF4-FFF2-40B4-BE49-F238E27FC236}">
                  <a16:creationId xmlns:a16="http://schemas.microsoft.com/office/drawing/2014/main" id="{00000000-0008-0000-0200-0000E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287</xdr:row>
          <xdr:rowOff>30480</xdr:rowOff>
        </xdr:from>
        <xdr:to>
          <xdr:col>0</xdr:col>
          <xdr:colOff>236220</xdr:colOff>
          <xdr:row>287</xdr:row>
          <xdr:rowOff>182880</xdr:rowOff>
        </xdr:to>
        <xdr:sp macro="" textlink="">
          <xdr:nvSpPr>
            <xdr:cNvPr id="64742" name="Check Box 4326" hidden="1">
              <a:extLst>
                <a:ext uri="{63B3BB69-23CF-44E3-9099-C40C66FF867C}">
                  <a14:compatExt spid="_x0000_s64742"/>
                </a:ext>
                <a:ext uri="{FF2B5EF4-FFF2-40B4-BE49-F238E27FC236}">
                  <a16:creationId xmlns:a16="http://schemas.microsoft.com/office/drawing/2014/main" id="{00000000-0008-0000-0200-0000E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288</xdr:row>
          <xdr:rowOff>30480</xdr:rowOff>
        </xdr:from>
        <xdr:to>
          <xdr:col>0</xdr:col>
          <xdr:colOff>236220</xdr:colOff>
          <xdr:row>288</xdr:row>
          <xdr:rowOff>182880</xdr:rowOff>
        </xdr:to>
        <xdr:sp macro="" textlink="">
          <xdr:nvSpPr>
            <xdr:cNvPr id="64743" name="Check Box 4327" hidden="1">
              <a:extLst>
                <a:ext uri="{63B3BB69-23CF-44E3-9099-C40C66FF867C}">
                  <a14:compatExt spid="_x0000_s64743"/>
                </a:ext>
                <a:ext uri="{FF2B5EF4-FFF2-40B4-BE49-F238E27FC236}">
                  <a16:creationId xmlns:a16="http://schemas.microsoft.com/office/drawing/2014/main" id="{00000000-0008-0000-0200-0000E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289</xdr:row>
          <xdr:rowOff>30480</xdr:rowOff>
        </xdr:from>
        <xdr:to>
          <xdr:col>0</xdr:col>
          <xdr:colOff>236220</xdr:colOff>
          <xdr:row>289</xdr:row>
          <xdr:rowOff>182880</xdr:rowOff>
        </xdr:to>
        <xdr:sp macro="" textlink="">
          <xdr:nvSpPr>
            <xdr:cNvPr id="64744" name="Check Box 4328" hidden="1">
              <a:extLst>
                <a:ext uri="{63B3BB69-23CF-44E3-9099-C40C66FF867C}">
                  <a14:compatExt spid="_x0000_s64744"/>
                </a:ext>
                <a:ext uri="{FF2B5EF4-FFF2-40B4-BE49-F238E27FC236}">
                  <a16:creationId xmlns:a16="http://schemas.microsoft.com/office/drawing/2014/main" id="{00000000-0008-0000-02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290</xdr:row>
          <xdr:rowOff>30480</xdr:rowOff>
        </xdr:from>
        <xdr:to>
          <xdr:col>0</xdr:col>
          <xdr:colOff>236220</xdr:colOff>
          <xdr:row>290</xdr:row>
          <xdr:rowOff>182880</xdr:rowOff>
        </xdr:to>
        <xdr:sp macro="" textlink="">
          <xdr:nvSpPr>
            <xdr:cNvPr id="64745" name="Check Box 4329" hidden="1">
              <a:extLst>
                <a:ext uri="{63B3BB69-23CF-44E3-9099-C40C66FF867C}">
                  <a14:compatExt spid="_x0000_s64745"/>
                </a:ext>
                <a:ext uri="{FF2B5EF4-FFF2-40B4-BE49-F238E27FC236}">
                  <a16:creationId xmlns:a16="http://schemas.microsoft.com/office/drawing/2014/main" id="{00000000-0008-0000-0200-0000E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291</xdr:row>
          <xdr:rowOff>30480</xdr:rowOff>
        </xdr:from>
        <xdr:to>
          <xdr:col>0</xdr:col>
          <xdr:colOff>236220</xdr:colOff>
          <xdr:row>291</xdr:row>
          <xdr:rowOff>182880</xdr:rowOff>
        </xdr:to>
        <xdr:sp macro="" textlink="">
          <xdr:nvSpPr>
            <xdr:cNvPr id="64746" name="Check Box 4330" hidden="1">
              <a:extLst>
                <a:ext uri="{63B3BB69-23CF-44E3-9099-C40C66FF867C}">
                  <a14:compatExt spid="_x0000_s64746"/>
                </a:ext>
                <a:ext uri="{FF2B5EF4-FFF2-40B4-BE49-F238E27FC236}">
                  <a16:creationId xmlns:a16="http://schemas.microsoft.com/office/drawing/2014/main" id="{00000000-0008-0000-0200-0000E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292</xdr:row>
          <xdr:rowOff>30480</xdr:rowOff>
        </xdr:from>
        <xdr:to>
          <xdr:col>0</xdr:col>
          <xdr:colOff>236220</xdr:colOff>
          <xdr:row>292</xdr:row>
          <xdr:rowOff>182880</xdr:rowOff>
        </xdr:to>
        <xdr:sp macro="" textlink="">
          <xdr:nvSpPr>
            <xdr:cNvPr id="64747" name="Check Box 4331" hidden="1">
              <a:extLst>
                <a:ext uri="{63B3BB69-23CF-44E3-9099-C40C66FF867C}">
                  <a14:compatExt spid="_x0000_s64747"/>
                </a:ext>
                <a:ext uri="{FF2B5EF4-FFF2-40B4-BE49-F238E27FC236}">
                  <a16:creationId xmlns:a16="http://schemas.microsoft.com/office/drawing/2014/main" id="{00000000-0008-0000-0200-0000E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293</xdr:row>
          <xdr:rowOff>30480</xdr:rowOff>
        </xdr:from>
        <xdr:to>
          <xdr:col>0</xdr:col>
          <xdr:colOff>236220</xdr:colOff>
          <xdr:row>293</xdr:row>
          <xdr:rowOff>182880</xdr:rowOff>
        </xdr:to>
        <xdr:sp macro="" textlink="">
          <xdr:nvSpPr>
            <xdr:cNvPr id="64748" name="Check Box 4332" hidden="1">
              <a:extLst>
                <a:ext uri="{63B3BB69-23CF-44E3-9099-C40C66FF867C}">
                  <a14:compatExt spid="_x0000_s64748"/>
                </a:ext>
                <a:ext uri="{FF2B5EF4-FFF2-40B4-BE49-F238E27FC236}">
                  <a16:creationId xmlns:a16="http://schemas.microsoft.com/office/drawing/2014/main" id="{00000000-0008-0000-0200-0000E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294</xdr:row>
          <xdr:rowOff>30480</xdr:rowOff>
        </xdr:from>
        <xdr:to>
          <xdr:col>0</xdr:col>
          <xdr:colOff>236220</xdr:colOff>
          <xdr:row>294</xdr:row>
          <xdr:rowOff>182880</xdr:rowOff>
        </xdr:to>
        <xdr:sp macro="" textlink="">
          <xdr:nvSpPr>
            <xdr:cNvPr id="64749" name="Check Box 4333" hidden="1">
              <a:extLst>
                <a:ext uri="{63B3BB69-23CF-44E3-9099-C40C66FF867C}">
                  <a14:compatExt spid="_x0000_s64749"/>
                </a:ext>
                <a:ext uri="{FF2B5EF4-FFF2-40B4-BE49-F238E27FC236}">
                  <a16:creationId xmlns:a16="http://schemas.microsoft.com/office/drawing/2014/main" id="{00000000-0008-0000-0200-0000E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295</xdr:row>
          <xdr:rowOff>30480</xdr:rowOff>
        </xdr:from>
        <xdr:to>
          <xdr:col>0</xdr:col>
          <xdr:colOff>236220</xdr:colOff>
          <xdr:row>295</xdr:row>
          <xdr:rowOff>182880</xdr:rowOff>
        </xdr:to>
        <xdr:sp macro="" textlink="">
          <xdr:nvSpPr>
            <xdr:cNvPr id="64750" name="Check Box 4334" hidden="1">
              <a:extLst>
                <a:ext uri="{63B3BB69-23CF-44E3-9099-C40C66FF867C}">
                  <a14:compatExt spid="_x0000_s64750"/>
                </a:ext>
                <a:ext uri="{FF2B5EF4-FFF2-40B4-BE49-F238E27FC236}">
                  <a16:creationId xmlns:a16="http://schemas.microsoft.com/office/drawing/2014/main" id="{00000000-0008-0000-0200-0000E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296</xdr:row>
          <xdr:rowOff>30480</xdr:rowOff>
        </xdr:from>
        <xdr:to>
          <xdr:col>0</xdr:col>
          <xdr:colOff>236220</xdr:colOff>
          <xdr:row>296</xdr:row>
          <xdr:rowOff>182880</xdr:rowOff>
        </xdr:to>
        <xdr:sp macro="" textlink="">
          <xdr:nvSpPr>
            <xdr:cNvPr id="64751" name="Check Box 4335" hidden="1">
              <a:extLst>
                <a:ext uri="{63B3BB69-23CF-44E3-9099-C40C66FF867C}">
                  <a14:compatExt spid="_x0000_s64751"/>
                </a:ext>
                <a:ext uri="{FF2B5EF4-FFF2-40B4-BE49-F238E27FC236}">
                  <a16:creationId xmlns:a16="http://schemas.microsoft.com/office/drawing/2014/main" id="{00000000-0008-0000-0200-0000E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297</xdr:row>
          <xdr:rowOff>30480</xdr:rowOff>
        </xdr:from>
        <xdr:to>
          <xdr:col>0</xdr:col>
          <xdr:colOff>236220</xdr:colOff>
          <xdr:row>297</xdr:row>
          <xdr:rowOff>182880</xdr:rowOff>
        </xdr:to>
        <xdr:sp macro="" textlink="">
          <xdr:nvSpPr>
            <xdr:cNvPr id="64752" name="Check Box 4336" hidden="1">
              <a:extLst>
                <a:ext uri="{63B3BB69-23CF-44E3-9099-C40C66FF867C}">
                  <a14:compatExt spid="_x0000_s64752"/>
                </a:ext>
                <a:ext uri="{FF2B5EF4-FFF2-40B4-BE49-F238E27FC236}">
                  <a16:creationId xmlns:a16="http://schemas.microsoft.com/office/drawing/2014/main" id="{00000000-0008-0000-0200-0000F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298</xdr:row>
          <xdr:rowOff>30480</xdr:rowOff>
        </xdr:from>
        <xdr:to>
          <xdr:col>0</xdr:col>
          <xdr:colOff>236220</xdr:colOff>
          <xdr:row>298</xdr:row>
          <xdr:rowOff>182880</xdr:rowOff>
        </xdr:to>
        <xdr:sp macro="" textlink="">
          <xdr:nvSpPr>
            <xdr:cNvPr id="64753" name="Check Box 4337" hidden="1">
              <a:extLst>
                <a:ext uri="{63B3BB69-23CF-44E3-9099-C40C66FF867C}">
                  <a14:compatExt spid="_x0000_s64753"/>
                </a:ext>
                <a:ext uri="{FF2B5EF4-FFF2-40B4-BE49-F238E27FC236}">
                  <a16:creationId xmlns:a16="http://schemas.microsoft.com/office/drawing/2014/main" id="{00000000-0008-0000-0200-0000F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299</xdr:row>
          <xdr:rowOff>30480</xdr:rowOff>
        </xdr:from>
        <xdr:to>
          <xdr:col>0</xdr:col>
          <xdr:colOff>236220</xdr:colOff>
          <xdr:row>299</xdr:row>
          <xdr:rowOff>182880</xdr:rowOff>
        </xdr:to>
        <xdr:sp macro="" textlink="">
          <xdr:nvSpPr>
            <xdr:cNvPr id="64754" name="Check Box 4338" hidden="1">
              <a:extLst>
                <a:ext uri="{63B3BB69-23CF-44E3-9099-C40C66FF867C}">
                  <a14:compatExt spid="_x0000_s64754"/>
                </a:ext>
                <a:ext uri="{FF2B5EF4-FFF2-40B4-BE49-F238E27FC236}">
                  <a16:creationId xmlns:a16="http://schemas.microsoft.com/office/drawing/2014/main" id="{00000000-0008-0000-0200-0000F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300</xdr:row>
          <xdr:rowOff>30480</xdr:rowOff>
        </xdr:from>
        <xdr:to>
          <xdr:col>0</xdr:col>
          <xdr:colOff>236220</xdr:colOff>
          <xdr:row>300</xdr:row>
          <xdr:rowOff>182880</xdr:rowOff>
        </xdr:to>
        <xdr:sp macro="" textlink="">
          <xdr:nvSpPr>
            <xdr:cNvPr id="64755" name="Check Box 4339" hidden="1">
              <a:extLst>
                <a:ext uri="{63B3BB69-23CF-44E3-9099-C40C66FF867C}">
                  <a14:compatExt spid="_x0000_s64755"/>
                </a:ext>
                <a:ext uri="{FF2B5EF4-FFF2-40B4-BE49-F238E27FC236}">
                  <a16:creationId xmlns:a16="http://schemas.microsoft.com/office/drawing/2014/main" id="{00000000-0008-0000-0200-0000F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301</xdr:row>
          <xdr:rowOff>30480</xdr:rowOff>
        </xdr:from>
        <xdr:to>
          <xdr:col>0</xdr:col>
          <xdr:colOff>236220</xdr:colOff>
          <xdr:row>301</xdr:row>
          <xdr:rowOff>182880</xdr:rowOff>
        </xdr:to>
        <xdr:sp macro="" textlink="">
          <xdr:nvSpPr>
            <xdr:cNvPr id="64756" name="Check Box 4340" hidden="1">
              <a:extLst>
                <a:ext uri="{63B3BB69-23CF-44E3-9099-C40C66FF867C}">
                  <a14:compatExt spid="_x0000_s64756"/>
                </a:ext>
                <a:ext uri="{FF2B5EF4-FFF2-40B4-BE49-F238E27FC236}">
                  <a16:creationId xmlns:a16="http://schemas.microsoft.com/office/drawing/2014/main" id="{00000000-0008-0000-0200-0000F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302</xdr:row>
          <xdr:rowOff>30480</xdr:rowOff>
        </xdr:from>
        <xdr:to>
          <xdr:col>0</xdr:col>
          <xdr:colOff>236220</xdr:colOff>
          <xdr:row>302</xdr:row>
          <xdr:rowOff>182880</xdr:rowOff>
        </xdr:to>
        <xdr:sp macro="" textlink="">
          <xdr:nvSpPr>
            <xdr:cNvPr id="64757" name="Check Box 4341" hidden="1">
              <a:extLst>
                <a:ext uri="{63B3BB69-23CF-44E3-9099-C40C66FF867C}">
                  <a14:compatExt spid="_x0000_s64757"/>
                </a:ext>
                <a:ext uri="{FF2B5EF4-FFF2-40B4-BE49-F238E27FC236}">
                  <a16:creationId xmlns:a16="http://schemas.microsoft.com/office/drawing/2014/main" id="{00000000-0008-0000-0200-0000F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303</xdr:row>
          <xdr:rowOff>30480</xdr:rowOff>
        </xdr:from>
        <xdr:to>
          <xdr:col>0</xdr:col>
          <xdr:colOff>236220</xdr:colOff>
          <xdr:row>303</xdr:row>
          <xdr:rowOff>182880</xdr:rowOff>
        </xdr:to>
        <xdr:sp macro="" textlink="">
          <xdr:nvSpPr>
            <xdr:cNvPr id="64758" name="Check Box 4342" hidden="1">
              <a:extLst>
                <a:ext uri="{63B3BB69-23CF-44E3-9099-C40C66FF867C}">
                  <a14:compatExt spid="_x0000_s64758"/>
                </a:ext>
                <a:ext uri="{FF2B5EF4-FFF2-40B4-BE49-F238E27FC236}">
                  <a16:creationId xmlns:a16="http://schemas.microsoft.com/office/drawing/2014/main" id="{00000000-0008-0000-0200-0000F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304</xdr:row>
          <xdr:rowOff>30480</xdr:rowOff>
        </xdr:from>
        <xdr:to>
          <xdr:col>0</xdr:col>
          <xdr:colOff>236220</xdr:colOff>
          <xdr:row>304</xdr:row>
          <xdr:rowOff>182880</xdr:rowOff>
        </xdr:to>
        <xdr:sp macro="" textlink="">
          <xdr:nvSpPr>
            <xdr:cNvPr id="64759" name="Check Box 4343" hidden="1">
              <a:extLst>
                <a:ext uri="{63B3BB69-23CF-44E3-9099-C40C66FF867C}">
                  <a14:compatExt spid="_x0000_s64759"/>
                </a:ext>
                <a:ext uri="{FF2B5EF4-FFF2-40B4-BE49-F238E27FC236}">
                  <a16:creationId xmlns:a16="http://schemas.microsoft.com/office/drawing/2014/main" id="{00000000-0008-0000-0200-0000F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305</xdr:row>
          <xdr:rowOff>30480</xdr:rowOff>
        </xdr:from>
        <xdr:to>
          <xdr:col>0</xdr:col>
          <xdr:colOff>236220</xdr:colOff>
          <xdr:row>305</xdr:row>
          <xdr:rowOff>182880</xdr:rowOff>
        </xdr:to>
        <xdr:sp macro="" textlink="">
          <xdr:nvSpPr>
            <xdr:cNvPr id="64760" name="Check Box 4344" hidden="1">
              <a:extLst>
                <a:ext uri="{63B3BB69-23CF-44E3-9099-C40C66FF867C}">
                  <a14:compatExt spid="_x0000_s64760"/>
                </a:ext>
                <a:ext uri="{FF2B5EF4-FFF2-40B4-BE49-F238E27FC236}">
                  <a16:creationId xmlns:a16="http://schemas.microsoft.com/office/drawing/2014/main" id="{00000000-0008-0000-0200-0000F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306</xdr:row>
          <xdr:rowOff>30480</xdr:rowOff>
        </xdr:from>
        <xdr:to>
          <xdr:col>0</xdr:col>
          <xdr:colOff>236220</xdr:colOff>
          <xdr:row>306</xdr:row>
          <xdr:rowOff>182880</xdr:rowOff>
        </xdr:to>
        <xdr:sp macro="" textlink="">
          <xdr:nvSpPr>
            <xdr:cNvPr id="64761" name="Check Box 4345" hidden="1">
              <a:extLst>
                <a:ext uri="{63B3BB69-23CF-44E3-9099-C40C66FF867C}">
                  <a14:compatExt spid="_x0000_s64761"/>
                </a:ext>
                <a:ext uri="{FF2B5EF4-FFF2-40B4-BE49-F238E27FC236}">
                  <a16:creationId xmlns:a16="http://schemas.microsoft.com/office/drawing/2014/main" id="{00000000-0008-0000-0200-0000F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307</xdr:row>
          <xdr:rowOff>30480</xdr:rowOff>
        </xdr:from>
        <xdr:to>
          <xdr:col>0</xdr:col>
          <xdr:colOff>236220</xdr:colOff>
          <xdr:row>307</xdr:row>
          <xdr:rowOff>182880</xdr:rowOff>
        </xdr:to>
        <xdr:sp macro="" textlink="">
          <xdr:nvSpPr>
            <xdr:cNvPr id="64762" name="Check Box 4346" hidden="1">
              <a:extLst>
                <a:ext uri="{63B3BB69-23CF-44E3-9099-C40C66FF867C}">
                  <a14:compatExt spid="_x0000_s64762"/>
                </a:ext>
                <a:ext uri="{FF2B5EF4-FFF2-40B4-BE49-F238E27FC236}">
                  <a16:creationId xmlns:a16="http://schemas.microsoft.com/office/drawing/2014/main" id="{00000000-0008-0000-0200-0000F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308</xdr:row>
          <xdr:rowOff>30480</xdr:rowOff>
        </xdr:from>
        <xdr:to>
          <xdr:col>0</xdr:col>
          <xdr:colOff>236220</xdr:colOff>
          <xdr:row>308</xdr:row>
          <xdr:rowOff>182880</xdr:rowOff>
        </xdr:to>
        <xdr:sp macro="" textlink="">
          <xdr:nvSpPr>
            <xdr:cNvPr id="64763" name="Check Box 4347" hidden="1">
              <a:extLst>
                <a:ext uri="{63B3BB69-23CF-44E3-9099-C40C66FF867C}">
                  <a14:compatExt spid="_x0000_s64763"/>
                </a:ext>
                <a:ext uri="{FF2B5EF4-FFF2-40B4-BE49-F238E27FC236}">
                  <a16:creationId xmlns:a16="http://schemas.microsoft.com/office/drawing/2014/main" id="{00000000-0008-0000-0200-0000F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309</xdr:row>
          <xdr:rowOff>30480</xdr:rowOff>
        </xdr:from>
        <xdr:to>
          <xdr:col>0</xdr:col>
          <xdr:colOff>236220</xdr:colOff>
          <xdr:row>309</xdr:row>
          <xdr:rowOff>182880</xdr:rowOff>
        </xdr:to>
        <xdr:sp macro="" textlink="">
          <xdr:nvSpPr>
            <xdr:cNvPr id="64764" name="Check Box 4348" hidden="1">
              <a:extLst>
                <a:ext uri="{63B3BB69-23CF-44E3-9099-C40C66FF867C}">
                  <a14:compatExt spid="_x0000_s64764"/>
                </a:ext>
                <a:ext uri="{FF2B5EF4-FFF2-40B4-BE49-F238E27FC236}">
                  <a16:creationId xmlns:a16="http://schemas.microsoft.com/office/drawing/2014/main" id="{00000000-0008-0000-0200-0000F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310</xdr:row>
          <xdr:rowOff>30480</xdr:rowOff>
        </xdr:from>
        <xdr:to>
          <xdr:col>0</xdr:col>
          <xdr:colOff>236220</xdr:colOff>
          <xdr:row>310</xdr:row>
          <xdr:rowOff>182880</xdr:rowOff>
        </xdr:to>
        <xdr:sp macro="" textlink="">
          <xdr:nvSpPr>
            <xdr:cNvPr id="64765" name="Check Box 4349" hidden="1">
              <a:extLst>
                <a:ext uri="{63B3BB69-23CF-44E3-9099-C40C66FF867C}">
                  <a14:compatExt spid="_x0000_s64765"/>
                </a:ext>
                <a:ext uri="{FF2B5EF4-FFF2-40B4-BE49-F238E27FC236}">
                  <a16:creationId xmlns:a16="http://schemas.microsoft.com/office/drawing/2014/main" id="{00000000-0008-0000-0200-0000F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311</xdr:row>
          <xdr:rowOff>30480</xdr:rowOff>
        </xdr:from>
        <xdr:to>
          <xdr:col>0</xdr:col>
          <xdr:colOff>236220</xdr:colOff>
          <xdr:row>311</xdr:row>
          <xdr:rowOff>182880</xdr:rowOff>
        </xdr:to>
        <xdr:sp macro="" textlink="">
          <xdr:nvSpPr>
            <xdr:cNvPr id="64766" name="Check Box 4350" hidden="1">
              <a:extLst>
                <a:ext uri="{63B3BB69-23CF-44E3-9099-C40C66FF867C}">
                  <a14:compatExt spid="_x0000_s64766"/>
                </a:ext>
                <a:ext uri="{FF2B5EF4-FFF2-40B4-BE49-F238E27FC236}">
                  <a16:creationId xmlns:a16="http://schemas.microsoft.com/office/drawing/2014/main" id="{00000000-0008-0000-0200-0000F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312</xdr:row>
          <xdr:rowOff>30480</xdr:rowOff>
        </xdr:from>
        <xdr:to>
          <xdr:col>0</xdr:col>
          <xdr:colOff>236220</xdr:colOff>
          <xdr:row>312</xdr:row>
          <xdr:rowOff>182880</xdr:rowOff>
        </xdr:to>
        <xdr:sp macro="" textlink="">
          <xdr:nvSpPr>
            <xdr:cNvPr id="64767" name="Check Box 4351" hidden="1">
              <a:extLst>
                <a:ext uri="{63B3BB69-23CF-44E3-9099-C40C66FF867C}">
                  <a14:compatExt spid="_x0000_s64767"/>
                </a:ext>
                <a:ext uri="{FF2B5EF4-FFF2-40B4-BE49-F238E27FC236}">
                  <a16:creationId xmlns:a16="http://schemas.microsoft.com/office/drawing/2014/main" id="{00000000-0008-0000-0200-0000F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313</xdr:row>
          <xdr:rowOff>30480</xdr:rowOff>
        </xdr:from>
        <xdr:to>
          <xdr:col>0</xdr:col>
          <xdr:colOff>236220</xdr:colOff>
          <xdr:row>313</xdr:row>
          <xdr:rowOff>182880</xdr:rowOff>
        </xdr:to>
        <xdr:sp macro="" textlink="">
          <xdr:nvSpPr>
            <xdr:cNvPr id="64768" name="Check Box 4352" hidden="1">
              <a:extLst>
                <a:ext uri="{63B3BB69-23CF-44E3-9099-C40C66FF867C}">
                  <a14:compatExt spid="_x0000_s64768"/>
                </a:ext>
                <a:ext uri="{FF2B5EF4-FFF2-40B4-BE49-F238E27FC236}">
                  <a16:creationId xmlns:a16="http://schemas.microsoft.com/office/drawing/2014/main" id="{00000000-0008-0000-0200-00000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314</xdr:row>
          <xdr:rowOff>30480</xdr:rowOff>
        </xdr:from>
        <xdr:to>
          <xdr:col>0</xdr:col>
          <xdr:colOff>236220</xdr:colOff>
          <xdr:row>314</xdr:row>
          <xdr:rowOff>182880</xdr:rowOff>
        </xdr:to>
        <xdr:sp macro="" textlink="">
          <xdr:nvSpPr>
            <xdr:cNvPr id="64769" name="Check Box 4353" hidden="1">
              <a:extLst>
                <a:ext uri="{63B3BB69-23CF-44E3-9099-C40C66FF867C}">
                  <a14:compatExt spid="_x0000_s64769"/>
                </a:ext>
                <a:ext uri="{FF2B5EF4-FFF2-40B4-BE49-F238E27FC236}">
                  <a16:creationId xmlns:a16="http://schemas.microsoft.com/office/drawing/2014/main" id="{00000000-0008-0000-0200-00000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315</xdr:row>
          <xdr:rowOff>30480</xdr:rowOff>
        </xdr:from>
        <xdr:to>
          <xdr:col>0</xdr:col>
          <xdr:colOff>236220</xdr:colOff>
          <xdr:row>315</xdr:row>
          <xdr:rowOff>182880</xdr:rowOff>
        </xdr:to>
        <xdr:sp macro="" textlink="">
          <xdr:nvSpPr>
            <xdr:cNvPr id="64770" name="Check Box 4354" hidden="1">
              <a:extLst>
                <a:ext uri="{63B3BB69-23CF-44E3-9099-C40C66FF867C}">
                  <a14:compatExt spid="_x0000_s64770"/>
                </a:ext>
                <a:ext uri="{FF2B5EF4-FFF2-40B4-BE49-F238E27FC236}">
                  <a16:creationId xmlns:a16="http://schemas.microsoft.com/office/drawing/2014/main" id="{00000000-0008-0000-0200-00000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316</xdr:row>
          <xdr:rowOff>30480</xdr:rowOff>
        </xdr:from>
        <xdr:to>
          <xdr:col>0</xdr:col>
          <xdr:colOff>236220</xdr:colOff>
          <xdr:row>316</xdr:row>
          <xdr:rowOff>182880</xdr:rowOff>
        </xdr:to>
        <xdr:sp macro="" textlink="">
          <xdr:nvSpPr>
            <xdr:cNvPr id="64771" name="Check Box 4355" hidden="1">
              <a:extLst>
                <a:ext uri="{63B3BB69-23CF-44E3-9099-C40C66FF867C}">
                  <a14:compatExt spid="_x0000_s64771"/>
                </a:ext>
                <a:ext uri="{FF2B5EF4-FFF2-40B4-BE49-F238E27FC236}">
                  <a16:creationId xmlns:a16="http://schemas.microsoft.com/office/drawing/2014/main" id="{00000000-0008-0000-0200-00000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317</xdr:row>
          <xdr:rowOff>30480</xdr:rowOff>
        </xdr:from>
        <xdr:to>
          <xdr:col>0</xdr:col>
          <xdr:colOff>236220</xdr:colOff>
          <xdr:row>317</xdr:row>
          <xdr:rowOff>182880</xdr:rowOff>
        </xdr:to>
        <xdr:sp macro="" textlink="">
          <xdr:nvSpPr>
            <xdr:cNvPr id="64772" name="Check Box 4356" hidden="1">
              <a:extLst>
                <a:ext uri="{63B3BB69-23CF-44E3-9099-C40C66FF867C}">
                  <a14:compatExt spid="_x0000_s64772"/>
                </a:ext>
                <a:ext uri="{FF2B5EF4-FFF2-40B4-BE49-F238E27FC236}">
                  <a16:creationId xmlns:a16="http://schemas.microsoft.com/office/drawing/2014/main" id="{00000000-0008-0000-0200-00000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318</xdr:row>
          <xdr:rowOff>30480</xdr:rowOff>
        </xdr:from>
        <xdr:to>
          <xdr:col>0</xdr:col>
          <xdr:colOff>236220</xdr:colOff>
          <xdr:row>318</xdr:row>
          <xdr:rowOff>182880</xdr:rowOff>
        </xdr:to>
        <xdr:sp macro="" textlink="">
          <xdr:nvSpPr>
            <xdr:cNvPr id="64773" name="Check Box 4357" hidden="1">
              <a:extLst>
                <a:ext uri="{63B3BB69-23CF-44E3-9099-C40C66FF867C}">
                  <a14:compatExt spid="_x0000_s64773"/>
                </a:ext>
                <a:ext uri="{FF2B5EF4-FFF2-40B4-BE49-F238E27FC236}">
                  <a16:creationId xmlns:a16="http://schemas.microsoft.com/office/drawing/2014/main" id="{00000000-0008-0000-0200-00000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319</xdr:row>
          <xdr:rowOff>30480</xdr:rowOff>
        </xdr:from>
        <xdr:to>
          <xdr:col>0</xdr:col>
          <xdr:colOff>236220</xdr:colOff>
          <xdr:row>319</xdr:row>
          <xdr:rowOff>182880</xdr:rowOff>
        </xdr:to>
        <xdr:sp macro="" textlink="">
          <xdr:nvSpPr>
            <xdr:cNvPr id="64774" name="Check Box 4358" hidden="1">
              <a:extLst>
                <a:ext uri="{63B3BB69-23CF-44E3-9099-C40C66FF867C}">
                  <a14:compatExt spid="_x0000_s64774"/>
                </a:ext>
                <a:ext uri="{FF2B5EF4-FFF2-40B4-BE49-F238E27FC236}">
                  <a16:creationId xmlns:a16="http://schemas.microsoft.com/office/drawing/2014/main" id="{00000000-0008-0000-0200-00000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320</xdr:row>
          <xdr:rowOff>30480</xdr:rowOff>
        </xdr:from>
        <xdr:to>
          <xdr:col>0</xdr:col>
          <xdr:colOff>236220</xdr:colOff>
          <xdr:row>320</xdr:row>
          <xdr:rowOff>182880</xdr:rowOff>
        </xdr:to>
        <xdr:sp macro="" textlink="">
          <xdr:nvSpPr>
            <xdr:cNvPr id="64775" name="Check Box 4359" hidden="1">
              <a:extLst>
                <a:ext uri="{63B3BB69-23CF-44E3-9099-C40C66FF867C}">
                  <a14:compatExt spid="_x0000_s64775"/>
                </a:ext>
                <a:ext uri="{FF2B5EF4-FFF2-40B4-BE49-F238E27FC236}">
                  <a16:creationId xmlns:a16="http://schemas.microsoft.com/office/drawing/2014/main" id="{00000000-0008-0000-0200-00000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321</xdr:row>
          <xdr:rowOff>30480</xdr:rowOff>
        </xdr:from>
        <xdr:to>
          <xdr:col>0</xdr:col>
          <xdr:colOff>236220</xdr:colOff>
          <xdr:row>321</xdr:row>
          <xdr:rowOff>182880</xdr:rowOff>
        </xdr:to>
        <xdr:sp macro="" textlink="">
          <xdr:nvSpPr>
            <xdr:cNvPr id="64776" name="Check Box 4360" hidden="1">
              <a:extLst>
                <a:ext uri="{63B3BB69-23CF-44E3-9099-C40C66FF867C}">
                  <a14:compatExt spid="_x0000_s64776"/>
                </a:ext>
                <a:ext uri="{FF2B5EF4-FFF2-40B4-BE49-F238E27FC236}">
                  <a16:creationId xmlns:a16="http://schemas.microsoft.com/office/drawing/2014/main" id="{00000000-0008-0000-0200-00000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322</xdr:row>
          <xdr:rowOff>30480</xdr:rowOff>
        </xdr:from>
        <xdr:to>
          <xdr:col>0</xdr:col>
          <xdr:colOff>236220</xdr:colOff>
          <xdr:row>322</xdr:row>
          <xdr:rowOff>182880</xdr:rowOff>
        </xdr:to>
        <xdr:sp macro="" textlink="">
          <xdr:nvSpPr>
            <xdr:cNvPr id="64777" name="Check Box 4361" hidden="1">
              <a:extLst>
                <a:ext uri="{63B3BB69-23CF-44E3-9099-C40C66FF867C}">
                  <a14:compatExt spid="_x0000_s64777"/>
                </a:ext>
                <a:ext uri="{FF2B5EF4-FFF2-40B4-BE49-F238E27FC236}">
                  <a16:creationId xmlns:a16="http://schemas.microsoft.com/office/drawing/2014/main" id="{00000000-0008-0000-0200-00000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323</xdr:row>
          <xdr:rowOff>30480</xdr:rowOff>
        </xdr:from>
        <xdr:to>
          <xdr:col>0</xdr:col>
          <xdr:colOff>236220</xdr:colOff>
          <xdr:row>323</xdr:row>
          <xdr:rowOff>182880</xdr:rowOff>
        </xdr:to>
        <xdr:sp macro="" textlink="">
          <xdr:nvSpPr>
            <xdr:cNvPr id="64778" name="Check Box 4362" hidden="1">
              <a:extLst>
                <a:ext uri="{63B3BB69-23CF-44E3-9099-C40C66FF867C}">
                  <a14:compatExt spid="_x0000_s64778"/>
                </a:ext>
                <a:ext uri="{FF2B5EF4-FFF2-40B4-BE49-F238E27FC236}">
                  <a16:creationId xmlns:a16="http://schemas.microsoft.com/office/drawing/2014/main" id="{00000000-0008-0000-0200-00000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324</xdr:row>
          <xdr:rowOff>30480</xdr:rowOff>
        </xdr:from>
        <xdr:to>
          <xdr:col>0</xdr:col>
          <xdr:colOff>236220</xdr:colOff>
          <xdr:row>324</xdr:row>
          <xdr:rowOff>182880</xdr:rowOff>
        </xdr:to>
        <xdr:sp macro="" textlink="">
          <xdr:nvSpPr>
            <xdr:cNvPr id="64779" name="Check Box 4363" hidden="1">
              <a:extLst>
                <a:ext uri="{63B3BB69-23CF-44E3-9099-C40C66FF867C}">
                  <a14:compatExt spid="_x0000_s64779"/>
                </a:ext>
                <a:ext uri="{FF2B5EF4-FFF2-40B4-BE49-F238E27FC236}">
                  <a16:creationId xmlns:a16="http://schemas.microsoft.com/office/drawing/2014/main" id="{00000000-0008-0000-0200-00000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325</xdr:row>
          <xdr:rowOff>30480</xdr:rowOff>
        </xdr:from>
        <xdr:to>
          <xdr:col>0</xdr:col>
          <xdr:colOff>236220</xdr:colOff>
          <xdr:row>325</xdr:row>
          <xdr:rowOff>182880</xdr:rowOff>
        </xdr:to>
        <xdr:sp macro="" textlink="">
          <xdr:nvSpPr>
            <xdr:cNvPr id="64780" name="Check Box 4364" hidden="1">
              <a:extLst>
                <a:ext uri="{63B3BB69-23CF-44E3-9099-C40C66FF867C}">
                  <a14:compatExt spid="_x0000_s64780"/>
                </a:ext>
                <a:ext uri="{FF2B5EF4-FFF2-40B4-BE49-F238E27FC236}">
                  <a16:creationId xmlns:a16="http://schemas.microsoft.com/office/drawing/2014/main" id="{00000000-0008-0000-0200-00000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326</xdr:row>
          <xdr:rowOff>30480</xdr:rowOff>
        </xdr:from>
        <xdr:to>
          <xdr:col>0</xdr:col>
          <xdr:colOff>236220</xdr:colOff>
          <xdr:row>326</xdr:row>
          <xdr:rowOff>182880</xdr:rowOff>
        </xdr:to>
        <xdr:sp macro="" textlink="">
          <xdr:nvSpPr>
            <xdr:cNvPr id="64781" name="Check Box 4365" hidden="1">
              <a:extLst>
                <a:ext uri="{63B3BB69-23CF-44E3-9099-C40C66FF867C}">
                  <a14:compatExt spid="_x0000_s64781"/>
                </a:ext>
                <a:ext uri="{FF2B5EF4-FFF2-40B4-BE49-F238E27FC236}">
                  <a16:creationId xmlns:a16="http://schemas.microsoft.com/office/drawing/2014/main" id="{00000000-0008-0000-0200-00000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327</xdr:row>
          <xdr:rowOff>30480</xdr:rowOff>
        </xdr:from>
        <xdr:to>
          <xdr:col>0</xdr:col>
          <xdr:colOff>236220</xdr:colOff>
          <xdr:row>327</xdr:row>
          <xdr:rowOff>182880</xdr:rowOff>
        </xdr:to>
        <xdr:sp macro="" textlink="">
          <xdr:nvSpPr>
            <xdr:cNvPr id="64782" name="Check Box 4366" hidden="1">
              <a:extLst>
                <a:ext uri="{63B3BB69-23CF-44E3-9099-C40C66FF867C}">
                  <a14:compatExt spid="_x0000_s64782"/>
                </a:ext>
                <a:ext uri="{FF2B5EF4-FFF2-40B4-BE49-F238E27FC236}">
                  <a16:creationId xmlns:a16="http://schemas.microsoft.com/office/drawing/2014/main" id="{00000000-0008-0000-0200-00000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328</xdr:row>
          <xdr:rowOff>30480</xdr:rowOff>
        </xdr:from>
        <xdr:to>
          <xdr:col>0</xdr:col>
          <xdr:colOff>236220</xdr:colOff>
          <xdr:row>328</xdr:row>
          <xdr:rowOff>182880</xdr:rowOff>
        </xdr:to>
        <xdr:sp macro="" textlink="">
          <xdr:nvSpPr>
            <xdr:cNvPr id="64783" name="Check Box 4367" hidden="1">
              <a:extLst>
                <a:ext uri="{63B3BB69-23CF-44E3-9099-C40C66FF867C}">
                  <a14:compatExt spid="_x0000_s64783"/>
                </a:ext>
                <a:ext uri="{FF2B5EF4-FFF2-40B4-BE49-F238E27FC236}">
                  <a16:creationId xmlns:a16="http://schemas.microsoft.com/office/drawing/2014/main" id="{00000000-0008-0000-0200-00000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329</xdr:row>
          <xdr:rowOff>30480</xdr:rowOff>
        </xdr:from>
        <xdr:to>
          <xdr:col>0</xdr:col>
          <xdr:colOff>236220</xdr:colOff>
          <xdr:row>329</xdr:row>
          <xdr:rowOff>182880</xdr:rowOff>
        </xdr:to>
        <xdr:sp macro="" textlink="">
          <xdr:nvSpPr>
            <xdr:cNvPr id="64784" name="Check Box 4368" hidden="1">
              <a:extLst>
                <a:ext uri="{63B3BB69-23CF-44E3-9099-C40C66FF867C}">
                  <a14:compatExt spid="_x0000_s64784"/>
                </a:ext>
                <a:ext uri="{FF2B5EF4-FFF2-40B4-BE49-F238E27FC236}">
                  <a16:creationId xmlns:a16="http://schemas.microsoft.com/office/drawing/2014/main" id="{00000000-0008-0000-0200-00001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330</xdr:row>
          <xdr:rowOff>30480</xdr:rowOff>
        </xdr:from>
        <xdr:to>
          <xdr:col>0</xdr:col>
          <xdr:colOff>236220</xdr:colOff>
          <xdr:row>330</xdr:row>
          <xdr:rowOff>182880</xdr:rowOff>
        </xdr:to>
        <xdr:sp macro="" textlink="">
          <xdr:nvSpPr>
            <xdr:cNvPr id="64785" name="Check Box 4369" hidden="1">
              <a:extLst>
                <a:ext uri="{63B3BB69-23CF-44E3-9099-C40C66FF867C}">
                  <a14:compatExt spid="_x0000_s64785"/>
                </a:ext>
                <a:ext uri="{FF2B5EF4-FFF2-40B4-BE49-F238E27FC236}">
                  <a16:creationId xmlns:a16="http://schemas.microsoft.com/office/drawing/2014/main" id="{00000000-0008-0000-0200-00001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331</xdr:row>
          <xdr:rowOff>30480</xdr:rowOff>
        </xdr:from>
        <xdr:to>
          <xdr:col>0</xdr:col>
          <xdr:colOff>236220</xdr:colOff>
          <xdr:row>331</xdr:row>
          <xdr:rowOff>182880</xdr:rowOff>
        </xdr:to>
        <xdr:sp macro="" textlink="">
          <xdr:nvSpPr>
            <xdr:cNvPr id="64786" name="Check Box 4370" hidden="1">
              <a:extLst>
                <a:ext uri="{63B3BB69-23CF-44E3-9099-C40C66FF867C}">
                  <a14:compatExt spid="_x0000_s64786"/>
                </a:ext>
                <a:ext uri="{FF2B5EF4-FFF2-40B4-BE49-F238E27FC236}">
                  <a16:creationId xmlns:a16="http://schemas.microsoft.com/office/drawing/2014/main" id="{00000000-0008-0000-0200-00001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332</xdr:row>
          <xdr:rowOff>30480</xdr:rowOff>
        </xdr:from>
        <xdr:to>
          <xdr:col>0</xdr:col>
          <xdr:colOff>236220</xdr:colOff>
          <xdr:row>332</xdr:row>
          <xdr:rowOff>182880</xdr:rowOff>
        </xdr:to>
        <xdr:sp macro="" textlink="">
          <xdr:nvSpPr>
            <xdr:cNvPr id="64787" name="Check Box 4371" hidden="1">
              <a:extLst>
                <a:ext uri="{63B3BB69-23CF-44E3-9099-C40C66FF867C}">
                  <a14:compatExt spid="_x0000_s64787"/>
                </a:ext>
                <a:ext uri="{FF2B5EF4-FFF2-40B4-BE49-F238E27FC236}">
                  <a16:creationId xmlns:a16="http://schemas.microsoft.com/office/drawing/2014/main" id="{00000000-0008-0000-0200-00001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333</xdr:row>
          <xdr:rowOff>30480</xdr:rowOff>
        </xdr:from>
        <xdr:to>
          <xdr:col>0</xdr:col>
          <xdr:colOff>236220</xdr:colOff>
          <xdr:row>333</xdr:row>
          <xdr:rowOff>182880</xdr:rowOff>
        </xdr:to>
        <xdr:sp macro="" textlink="">
          <xdr:nvSpPr>
            <xdr:cNvPr id="64788" name="Check Box 4372" hidden="1">
              <a:extLst>
                <a:ext uri="{63B3BB69-23CF-44E3-9099-C40C66FF867C}">
                  <a14:compatExt spid="_x0000_s64788"/>
                </a:ext>
                <a:ext uri="{FF2B5EF4-FFF2-40B4-BE49-F238E27FC236}">
                  <a16:creationId xmlns:a16="http://schemas.microsoft.com/office/drawing/2014/main" id="{00000000-0008-0000-0200-00001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334</xdr:row>
          <xdr:rowOff>30480</xdr:rowOff>
        </xdr:from>
        <xdr:to>
          <xdr:col>0</xdr:col>
          <xdr:colOff>236220</xdr:colOff>
          <xdr:row>334</xdr:row>
          <xdr:rowOff>182880</xdr:rowOff>
        </xdr:to>
        <xdr:sp macro="" textlink="">
          <xdr:nvSpPr>
            <xdr:cNvPr id="64789" name="Check Box 4373" hidden="1">
              <a:extLst>
                <a:ext uri="{63B3BB69-23CF-44E3-9099-C40C66FF867C}">
                  <a14:compatExt spid="_x0000_s64789"/>
                </a:ext>
                <a:ext uri="{FF2B5EF4-FFF2-40B4-BE49-F238E27FC236}">
                  <a16:creationId xmlns:a16="http://schemas.microsoft.com/office/drawing/2014/main" id="{00000000-0008-0000-0200-00001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335</xdr:row>
          <xdr:rowOff>30480</xdr:rowOff>
        </xdr:from>
        <xdr:to>
          <xdr:col>0</xdr:col>
          <xdr:colOff>236220</xdr:colOff>
          <xdr:row>335</xdr:row>
          <xdr:rowOff>182880</xdr:rowOff>
        </xdr:to>
        <xdr:sp macro="" textlink="">
          <xdr:nvSpPr>
            <xdr:cNvPr id="64790" name="Check Box 4374" hidden="1">
              <a:extLst>
                <a:ext uri="{63B3BB69-23CF-44E3-9099-C40C66FF867C}">
                  <a14:compatExt spid="_x0000_s64790"/>
                </a:ext>
                <a:ext uri="{FF2B5EF4-FFF2-40B4-BE49-F238E27FC236}">
                  <a16:creationId xmlns:a16="http://schemas.microsoft.com/office/drawing/2014/main" id="{00000000-0008-0000-0200-00001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336</xdr:row>
          <xdr:rowOff>30480</xdr:rowOff>
        </xdr:from>
        <xdr:to>
          <xdr:col>0</xdr:col>
          <xdr:colOff>236220</xdr:colOff>
          <xdr:row>336</xdr:row>
          <xdr:rowOff>182880</xdr:rowOff>
        </xdr:to>
        <xdr:sp macro="" textlink="">
          <xdr:nvSpPr>
            <xdr:cNvPr id="64791" name="Check Box 4375" hidden="1">
              <a:extLst>
                <a:ext uri="{63B3BB69-23CF-44E3-9099-C40C66FF867C}">
                  <a14:compatExt spid="_x0000_s64791"/>
                </a:ext>
                <a:ext uri="{FF2B5EF4-FFF2-40B4-BE49-F238E27FC236}">
                  <a16:creationId xmlns:a16="http://schemas.microsoft.com/office/drawing/2014/main" id="{00000000-0008-0000-0200-00001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337</xdr:row>
          <xdr:rowOff>30480</xdr:rowOff>
        </xdr:from>
        <xdr:to>
          <xdr:col>0</xdr:col>
          <xdr:colOff>236220</xdr:colOff>
          <xdr:row>337</xdr:row>
          <xdr:rowOff>182880</xdr:rowOff>
        </xdr:to>
        <xdr:sp macro="" textlink="">
          <xdr:nvSpPr>
            <xdr:cNvPr id="64792" name="Check Box 4376" hidden="1">
              <a:extLst>
                <a:ext uri="{63B3BB69-23CF-44E3-9099-C40C66FF867C}">
                  <a14:compatExt spid="_x0000_s64792"/>
                </a:ext>
                <a:ext uri="{FF2B5EF4-FFF2-40B4-BE49-F238E27FC236}">
                  <a16:creationId xmlns:a16="http://schemas.microsoft.com/office/drawing/2014/main" id="{00000000-0008-0000-0200-00001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338</xdr:row>
          <xdr:rowOff>30480</xdr:rowOff>
        </xdr:from>
        <xdr:to>
          <xdr:col>0</xdr:col>
          <xdr:colOff>236220</xdr:colOff>
          <xdr:row>338</xdr:row>
          <xdr:rowOff>182880</xdr:rowOff>
        </xdr:to>
        <xdr:sp macro="" textlink="">
          <xdr:nvSpPr>
            <xdr:cNvPr id="64793" name="Check Box 4377" hidden="1">
              <a:extLst>
                <a:ext uri="{63B3BB69-23CF-44E3-9099-C40C66FF867C}">
                  <a14:compatExt spid="_x0000_s64793"/>
                </a:ext>
                <a:ext uri="{FF2B5EF4-FFF2-40B4-BE49-F238E27FC236}">
                  <a16:creationId xmlns:a16="http://schemas.microsoft.com/office/drawing/2014/main" id="{00000000-0008-0000-0200-00001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339</xdr:row>
          <xdr:rowOff>30480</xdr:rowOff>
        </xdr:from>
        <xdr:to>
          <xdr:col>0</xdr:col>
          <xdr:colOff>236220</xdr:colOff>
          <xdr:row>339</xdr:row>
          <xdr:rowOff>182880</xdr:rowOff>
        </xdr:to>
        <xdr:sp macro="" textlink="">
          <xdr:nvSpPr>
            <xdr:cNvPr id="64794" name="Check Box 4378" hidden="1">
              <a:extLst>
                <a:ext uri="{63B3BB69-23CF-44E3-9099-C40C66FF867C}">
                  <a14:compatExt spid="_x0000_s64794"/>
                </a:ext>
                <a:ext uri="{FF2B5EF4-FFF2-40B4-BE49-F238E27FC236}">
                  <a16:creationId xmlns:a16="http://schemas.microsoft.com/office/drawing/2014/main" id="{00000000-0008-0000-0200-00001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340</xdr:row>
          <xdr:rowOff>30480</xdr:rowOff>
        </xdr:from>
        <xdr:to>
          <xdr:col>0</xdr:col>
          <xdr:colOff>236220</xdr:colOff>
          <xdr:row>340</xdr:row>
          <xdr:rowOff>182880</xdr:rowOff>
        </xdr:to>
        <xdr:sp macro="" textlink="">
          <xdr:nvSpPr>
            <xdr:cNvPr id="64795" name="Check Box 4379" hidden="1">
              <a:extLst>
                <a:ext uri="{63B3BB69-23CF-44E3-9099-C40C66FF867C}">
                  <a14:compatExt spid="_x0000_s64795"/>
                </a:ext>
                <a:ext uri="{FF2B5EF4-FFF2-40B4-BE49-F238E27FC236}">
                  <a16:creationId xmlns:a16="http://schemas.microsoft.com/office/drawing/2014/main" id="{00000000-0008-0000-0200-00001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341</xdr:row>
          <xdr:rowOff>30480</xdr:rowOff>
        </xdr:from>
        <xdr:to>
          <xdr:col>0</xdr:col>
          <xdr:colOff>236220</xdr:colOff>
          <xdr:row>341</xdr:row>
          <xdr:rowOff>182880</xdr:rowOff>
        </xdr:to>
        <xdr:sp macro="" textlink="">
          <xdr:nvSpPr>
            <xdr:cNvPr id="64796" name="Check Box 4380" hidden="1">
              <a:extLst>
                <a:ext uri="{63B3BB69-23CF-44E3-9099-C40C66FF867C}">
                  <a14:compatExt spid="_x0000_s64796"/>
                </a:ext>
                <a:ext uri="{FF2B5EF4-FFF2-40B4-BE49-F238E27FC236}">
                  <a16:creationId xmlns:a16="http://schemas.microsoft.com/office/drawing/2014/main" id="{00000000-0008-0000-0200-00001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342</xdr:row>
          <xdr:rowOff>30480</xdr:rowOff>
        </xdr:from>
        <xdr:to>
          <xdr:col>0</xdr:col>
          <xdr:colOff>236220</xdr:colOff>
          <xdr:row>342</xdr:row>
          <xdr:rowOff>182880</xdr:rowOff>
        </xdr:to>
        <xdr:sp macro="" textlink="">
          <xdr:nvSpPr>
            <xdr:cNvPr id="64797" name="Check Box 4381" hidden="1">
              <a:extLst>
                <a:ext uri="{63B3BB69-23CF-44E3-9099-C40C66FF867C}">
                  <a14:compatExt spid="_x0000_s64797"/>
                </a:ext>
                <a:ext uri="{FF2B5EF4-FFF2-40B4-BE49-F238E27FC236}">
                  <a16:creationId xmlns:a16="http://schemas.microsoft.com/office/drawing/2014/main" id="{00000000-0008-0000-0200-00001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343</xdr:row>
          <xdr:rowOff>30480</xdr:rowOff>
        </xdr:from>
        <xdr:to>
          <xdr:col>0</xdr:col>
          <xdr:colOff>236220</xdr:colOff>
          <xdr:row>343</xdr:row>
          <xdr:rowOff>182880</xdr:rowOff>
        </xdr:to>
        <xdr:sp macro="" textlink="">
          <xdr:nvSpPr>
            <xdr:cNvPr id="64798" name="Check Box 4382" hidden="1">
              <a:extLst>
                <a:ext uri="{63B3BB69-23CF-44E3-9099-C40C66FF867C}">
                  <a14:compatExt spid="_x0000_s64798"/>
                </a:ext>
                <a:ext uri="{FF2B5EF4-FFF2-40B4-BE49-F238E27FC236}">
                  <a16:creationId xmlns:a16="http://schemas.microsoft.com/office/drawing/2014/main" id="{00000000-0008-0000-0200-00001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344</xdr:row>
          <xdr:rowOff>30480</xdr:rowOff>
        </xdr:from>
        <xdr:to>
          <xdr:col>0</xdr:col>
          <xdr:colOff>236220</xdr:colOff>
          <xdr:row>344</xdr:row>
          <xdr:rowOff>182880</xdr:rowOff>
        </xdr:to>
        <xdr:sp macro="" textlink="">
          <xdr:nvSpPr>
            <xdr:cNvPr id="64799" name="Check Box 4383" hidden="1">
              <a:extLst>
                <a:ext uri="{63B3BB69-23CF-44E3-9099-C40C66FF867C}">
                  <a14:compatExt spid="_x0000_s64799"/>
                </a:ext>
                <a:ext uri="{FF2B5EF4-FFF2-40B4-BE49-F238E27FC236}">
                  <a16:creationId xmlns:a16="http://schemas.microsoft.com/office/drawing/2014/main" id="{00000000-0008-0000-0200-00001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345</xdr:row>
          <xdr:rowOff>30480</xdr:rowOff>
        </xdr:from>
        <xdr:to>
          <xdr:col>0</xdr:col>
          <xdr:colOff>236220</xdr:colOff>
          <xdr:row>345</xdr:row>
          <xdr:rowOff>182880</xdr:rowOff>
        </xdr:to>
        <xdr:sp macro="" textlink="">
          <xdr:nvSpPr>
            <xdr:cNvPr id="64800" name="Check Box 4384" hidden="1">
              <a:extLst>
                <a:ext uri="{63B3BB69-23CF-44E3-9099-C40C66FF867C}">
                  <a14:compatExt spid="_x0000_s64800"/>
                </a:ext>
                <a:ext uri="{FF2B5EF4-FFF2-40B4-BE49-F238E27FC236}">
                  <a16:creationId xmlns:a16="http://schemas.microsoft.com/office/drawing/2014/main" id="{00000000-0008-0000-0200-00002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346</xdr:row>
          <xdr:rowOff>30480</xdr:rowOff>
        </xdr:from>
        <xdr:to>
          <xdr:col>0</xdr:col>
          <xdr:colOff>236220</xdr:colOff>
          <xdr:row>346</xdr:row>
          <xdr:rowOff>182880</xdr:rowOff>
        </xdr:to>
        <xdr:sp macro="" textlink="">
          <xdr:nvSpPr>
            <xdr:cNvPr id="64801" name="Check Box 4385" hidden="1">
              <a:extLst>
                <a:ext uri="{63B3BB69-23CF-44E3-9099-C40C66FF867C}">
                  <a14:compatExt spid="_x0000_s64801"/>
                </a:ext>
                <a:ext uri="{FF2B5EF4-FFF2-40B4-BE49-F238E27FC236}">
                  <a16:creationId xmlns:a16="http://schemas.microsoft.com/office/drawing/2014/main" id="{00000000-0008-0000-0200-00002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347</xdr:row>
          <xdr:rowOff>30480</xdr:rowOff>
        </xdr:from>
        <xdr:to>
          <xdr:col>0</xdr:col>
          <xdr:colOff>236220</xdr:colOff>
          <xdr:row>347</xdr:row>
          <xdr:rowOff>182880</xdr:rowOff>
        </xdr:to>
        <xdr:sp macro="" textlink="">
          <xdr:nvSpPr>
            <xdr:cNvPr id="64802" name="Check Box 4386" hidden="1">
              <a:extLst>
                <a:ext uri="{63B3BB69-23CF-44E3-9099-C40C66FF867C}">
                  <a14:compatExt spid="_x0000_s64802"/>
                </a:ext>
                <a:ext uri="{FF2B5EF4-FFF2-40B4-BE49-F238E27FC236}">
                  <a16:creationId xmlns:a16="http://schemas.microsoft.com/office/drawing/2014/main" id="{00000000-0008-0000-0200-00002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348</xdr:row>
          <xdr:rowOff>30480</xdr:rowOff>
        </xdr:from>
        <xdr:to>
          <xdr:col>0</xdr:col>
          <xdr:colOff>236220</xdr:colOff>
          <xdr:row>348</xdr:row>
          <xdr:rowOff>182880</xdr:rowOff>
        </xdr:to>
        <xdr:sp macro="" textlink="">
          <xdr:nvSpPr>
            <xdr:cNvPr id="64803" name="Check Box 4387" hidden="1">
              <a:extLst>
                <a:ext uri="{63B3BB69-23CF-44E3-9099-C40C66FF867C}">
                  <a14:compatExt spid="_x0000_s64803"/>
                </a:ext>
                <a:ext uri="{FF2B5EF4-FFF2-40B4-BE49-F238E27FC236}">
                  <a16:creationId xmlns:a16="http://schemas.microsoft.com/office/drawing/2014/main" id="{00000000-0008-0000-0200-00002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349</xdr:row>
          <xdr:rowOff>30480</xdr:rowOff>
        </xdr:from>
        <xdr:to>
          <xdr:col>0</xdr:col>
          <xdr:colOff>236220</xdr:colOff>
          <xdr:row>349</xdr:row>
          <xdr:rowOff>182880</xdr:rowOff>
        </xdr:to>
        <xdr:sp macro="" textlink="">
          <xdr:nvSpPr>
            <xdr:cNvPr id="64804" name="Check Box 4388" hidden="1">
              <a:extLst>
                <a:ext uri="{63B3BB69-23CF-44E3-9099-C40C66FF867C}">
                  <a14:compatExt spid="_x0000_s64804"/>
                </a:ext>
                <a:ext uri="{FF2B5EF4-FFF2-40B4-BE49-F238E27FC236}">
                  <a16:creationId xmlns:a16="http://schemas.microsoft.com/office/drawing/2014/main" id="{00000000-0008-0000-0200-00002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350</xdr:row>
          <xdr:rowOff>30480</xdr:rowOff>
        </xdr:from>
        <xdr:to>
          <xdr:col>0</xdr:col>
          <xdr:colOff>236220</xdr:colOff>
          <xdr:row>350</xdr:row>
          <xdr:rowOff>182880</xdr:rowOff>
        </xdr:to>
        <xdr:sp macro="" textlink="">
          <xdr:nvSpPr>
            <xdr:cNvPr id="64805" name="Check Box 4389" hidden="1">
              <a:extLst>
                <a:ext uri="{63B3BB69-23CF-44E3-9099-C40C66FF867C}">
                  <a14:compatExt spid="_x0000_s64805"/>
                </a:ext>
                <a:ext uri="{FF2B5EF4-FFF2-40B4-BE49-F238E27FC236}">
                  <a16:creationId xmlns:a16="http://schemas.microsoft.com/office/drawing/2014/main" id="{00000000-0008-0000-0200-00002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351</xdr:row>
          <xdr:rowOff>30480</xdr:rowOff>
        </xdr:from>
        <xdr:to>
          <xdr:col>0</xdr:col>
          <xdr:colOff>236220</xdr:colOff>
          <xdr:row>351</xdr:row>
          <xdr:rowOff>182880</xdr:rowOff>
        </xdr:to>
        <xdr:sp macro="" textlink="">
          <xdr:nvSpPr>
            <xdr:cNvPr id="64806" name="Check Box 4390" hidden="1">
              <a:extLst>
                <a:ext uri="{63B3BB69-23CF-44E3-9099-C40C66FF867C}">
                  <a14:compatExt spid="_x0000_s64806"/>
                </a:ext>
                <a:ext uri="{FF2B5EF4-FFF2-40B4-BE49-F238E27FC236}">
                  <a16:creationId xmlns:a16="http://schemas.microsoft.com/office/drawing/2014/main" id="{00000000-0008-0000-0200-00002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352</xdr:row>
          <xdr:rowOff>30480</xdr:rowOff>
        </xdr:from>
        <xdr:to>
          <xdr:col>0</xdr:col>
          <xdr:colOff>236220</xdr:colOff>
          <xdr:row>352</xdr:row>
          <xdr:rowOff>182880</xdr:rowOff>
        </xdr:to>
        <xdr:sp macro="" textlink="">
          <xdr:nvSpPr>
            <xdr:cNvPr id="64807" name="Check Box 4391" hidden="1">
              <a:extLst>
                <a:ext uri="{63B3BB69-23CF-44E3-9099-C40C66FF867C}">
                  <a14:compatExt spid="_x0000_s64807"/>
                </a:ext>
                <a:ext uri="{FF2B5EF4-FFF2-40B4-BE49-F238E27FC236}">
                  <a16:creationId xmlns:a16="http://schemas.microsoft.com/office/drawing/2014/main" id="{00000000-0008-0000-0200-00002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353</xdr:row>
          <xdr:rowOff>30480</xdr:rowOff>
        </xdr:from>
        <xdr:to>
          <xdr:col>0</xdr:col>
          <xdr:colOff>236220</xdr:colOff>
          <xdr:row>353</xdr:row>
          <xdr:rowOff>182880</xdr:rowOff>
        </xdr:to>
        <xdr:sp macro="" textlink="">
          <xdr:nvSpPr>
            <xdr:cNvPr id="64808" name="Check Box 4392" hidden="1">
              <a:extLst>
                <a:ext uri="{63B3BB69-23CF-44E3-9099-C40C66FF867C}">
                  <a14:compatExt spid="_x0000_s64808"/>
                </a:ext>
                <a:ext uri="{FF2B5EF4-FFF2-40B4-BE49-F238E27FC236}">
                  <a16:creationId xmlns:a16="http://schemas.microsoft.com/office/drawing/2014/main" id="{00000000-0008-0000-0200-00002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354</xdr:row>
          <xdr:rowOff>30480</xdr:rowOff>
        </xdr:from>
        <xdr:to>
          <xdr:col>0</xdr:col>
          <xdr:colOff>236220</xdr:colOff>
          <xdr:row>354</xdr:row>
          <xdr:rowOff>182880</xdr:rowOff>
        </xdr:to>
        <xdr:sp macro="" textlink="">
          <xdr:nvSpPr>
            <xdr:cNvPr id="64809" name="Check Box 4393" hidden="1">
              <a:extLst>
                <a:ext uri="{63B3BB69-23CF-44E3-9099-C40C66FF867C}">
                  <a14:compatExt spid="_x0000_s64809"/>
                </a:ext>
                <a:ext uri="{FF2B5EF4-FFF2-40B4-BE49-F238E27FC236}">
                  <a16:creationId xmlns:a16="http://schemas.microsoft.com/office/drawing/2014/main" id="{00000000-0008-0000-0200-00002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355</xdr:row>
          <xdr:rowOff>30480</xdr:rowOff>
        </xdr:from>
        <xdr:to>
          <xdr:col>0</xdr:col>
          <xdr:colOff>236220</xdr:colOff>
          <xdr:row>355</xdr:row>
          <xdr:rowOff>182880</xdr:rowOff>
        </xdr:to>
        <xdr:sp macro="" textlink="">
          <xdr:nvSpPr>
            <xdr:cNvPr id="64810" name="Check Box 4394" hidden="1">
              <a:extLst>
                <a:ext uri="{63B3BB69-23CF-44E3-9099-C40C66FF867C}">
                  <a14:compatExt spid="_x0000_s64810"/>
                </a:ext>
                <a:ext uri="{FF2B5EF4-FFF2-40B4-BE49-F238E27FC236}">
                  <a16:creationId xmlns:a16="http://schemas.microsoft.com/office/drawing/2014/main" id="{00000000-0008-0000-0200-00002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356</xdr:row>
          <xdr:rowOff>30480</xdr:rowOff>
        </xdr:from>
        <xdr:to>
          <xdr:col>0</xdr:col>
          <xdr:colOff>236220</xdr:colOff>
          <xdr:row>356</xdr:row>
          <xdr:rowOff>182880</xdr:rowOff>
        </xdr:to>
        <xdr:sp macro="" textlink="">
          <xdr:nvSpPr>
            <xdr:cNvPr id="64811" name="Check Box 4395" hidden="1">
              <a:extLst>
                <a:ext uri="{63B3BB69-23CF-44E3-9099-C40C66FF867C}">
                  <a14:compatExt spid="_x0000_s64811"/>
                </a:ext>
                <a:ext uri="{FF2B5EF4-FFF2-40B4-BE49-F238E27FC236}">
                  <a16:creationId xmlns:a16="http://schemas.microsoft.com/office/drawing/2014/main" id="{00000000-0008-0000-0200-00002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357</xdr:row>
          <xdr:rowOff>30480</xdr:rowOff>
        </xdr:from>
        <xdr:to>
          <xdr:col>0</xdr:col>
          <xdr:colOff>236220</xdr:colOff>
          <xdr:row>357</xdr:row>
          <xdr:rowOff>182880</xdr:rowOff>
        </xdr:to>
        <xdr:sp macro="" textlink="">
          <xdr:nvSpPr>
            <xdr:cNvPr id="64812" name="Check Box 4396" hidden="1">
              <a:extLst>
                <a:ext uri="{63B3BB69-23CF-44E3-9099-C40C66FF867C}">
                  <a14:compatExt spid="_x0000_s64812"/>
                </a:ext>
                <a:ext uri="{FF2B5EF4-FFF2-40B4-BE49-F238E27FC236}">
                  <a16:creationId xmlns:a16="http://schemas.microsoft.com/office/drawing/2014/main" id="{00000000-0008-0000-0200-00002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358</xdr:row>
          <xdr:rowOff>30480</xdr:rowOff>
        </xdr:from>
        <xdr:to>
          <xdr:col>0</xdr:col>
          <xdr:colOff>236220</xdr:colOff>
          <xdr:row>358</xdr:row>
          <xdr:rowOff>182880</xdr:rowOff>
        </xdr:to>
        <xdr:sp macro="" textlink="">
          <xdr:nvSpPr>
            <xdr:cNvPr id="64813" name="Check Box 4397" hidden="1">
              <a:extLst>
                <a:ext uri="{63B3BB69-23CF-44E3-9099-C40C66FF867C}">
                  <a14:compatExt spid="_x0000_s64813"/>
                </a:ext>
                <a:ext uri="{FF2B5EF4-FFF2-40B4-BE49-F238E27FC236}">
                  <a16:creationId xmlns:a16="http://schemas.microsoft.com/office/drawing/2014/main" id="{00000000-0008-0000-0200-00002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359</xdr:row>
          <xdr:rowOff>30480</xdr:rowOff>
        </xdr:from>
        <xdr:to>
          <xdr:col>0</xdr:col>
          <xdr:colOff>236220</xdr:colOff>
          <xdr:row>359</xdr:row>
          <xdr:rowOff>182880</xdr:rowOff>
        </xdr:to>
        <xdr:sp macro="" textlink="">
          <xdr:nvSpPr>
            <xdr:cNvPr id="64814" name="Check Box 4398" hidden="1">
              <a:extLst>
                <a:ext uri="{63B3BB69-23CF-44E3-9099-C40C66FF867C}">
                  <a14:compatExt spid="_x0000_s64814"/>
                </a:ext>
                <a:ext uri="{FF2B5EF4-FFF2-40B4-BE49-F238E27FC236}">
                  <a16:creationId xmlns:a16="http://schemas.microsoft.com/office/drawing/2014/main" id="{00000000-0008-0000-0200-00002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360</xdr:row>
          <xdr:rowOff>30480</xdr:rowOff>
        </xdr:from>
        <xdr:to>
          <xdr:col>0</xdr:col>
          <xdr:colOff>236220</xdr:colOff>
          <xdr:row>360</xdr:row>
          <xdr:rowOff>182880</xdr:rowOff>
        </xdr:to>
        <xdr:sp macro="" textlink="">
          <xdr:nvSpPr>
            <xdr:cNvPr id="64815" name="Check Box 4399" hidden="1">
              <a:extLst>
                <a:ext uri="{63B3BB69-23CF-44E3-9099-C40C66FF867C}">
                  <a14:compatExt spid="_x0000_s64815"/>
                </a:ext>
                <a:ext uri="{FF2B5EF4-FFF2-40B4-BE49-F238E27FC236}">
                  <a16:creationId xmlns:a16="http://schemas.microsoft.com/office/drawing/2014/main" id="{00000000-0008-0000-0200-00002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361</xdr:row>
          <xdr:rowOff>30480</xdr:rowOff>
        </xdr:from>
        <xdr:to>
          <xdr:col>0</xdr:col>
          <xdr:colOff>236220</xdr:colOff>
          <xdr:row>361</xdr:row>
          <xdr:rowOff>182880</xdr:rowOff>
        </xdr:to>
        <xdr:sp macro="" textlink="">
          <xdr:nvSpPr>
            <xdr:cNvPr id="64816" name="Check Box 4400" hidden="1">
              <a:extLst>
                <a:ext uri="{63B3BB69-23CF-44E3-9099-C40C66FF867C}">
                  <a14:compatExt spid="_x0000_s64816"/>
                </a:ext>
                <a:ext uri="{FF2B5EF4-FFF2-40B4-BE49-F238E27FC236}">
                  <a16:creationId xmlns:a16="http://schemas.microsoft.com/office/drawing/2014/main" id="{00000000-0008-0000-0200-00003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362</xdr:row>
          <xdr:rowOff>30480</xdr:rowOff>
        </xdr:from>
        <xdr:to>
          <xdr:col>0</xdr:col>
          <xdr:colOff>236220</xdr:colOff>
          <xdr:row>362</xdr:row>
          <xdr:rowOff>182880</xdr:rowOff>
        </xdr:to>
        <xdr:sp macro="" textlink="">
          <xdr:nvSpPr>
            <xdr:cNvPr id="64817" name="Check Box 4401" hidden="1">
              <a:extLst>
                <a:ext uri="{63B3BB69-23CF-44E3-9099-C40C66FF867C}">
                  <a14:compatExt spid="_x0000_s64817"/>
                </a:ext>
                <a:ext uri="{FF2B5EF4-FFF2-40B4-BE49-F238E27FC236}">
                  <a16:creationId xmlns:a16="http://schemas.microsoft.com/office/drawing/2014/main" id="{00000000-0008-0000-0200-00003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363</xdr:row>
          <xdr:rowOff>30480</xdr:rowOff>
        </xdr:from>
        <xdr:to>
          <xdr:col>0</xdr:col>
          <xdr:colOff>236220</xdr:colOff>
          <xdr:row>363</xdr:row>
          <xdr:rowOff>182880</xdr:rowOff>
        </xdr:to>
        <xdr:sp macro="" textlink="">
          <xdr:nvSpPr>
            <xdr:cNvPr id="64818" name="Check Box 4402" hidden="1">
              <a:extLst>
                <a:ext uri="{63B3BB69-23CF-44E3-9099-C40C66FF867C}">
                  <a14:compatExt spid="_x0000_s64818"/>
                </a:ext>
                <a:ext uri="{FF2B5EF4-FFF2-40B4-BE49-F238E27FC236}">
                  <a16:creationId xmlns:a16="http://schemas.microsoft.com/office/drawing/2014/main" id="{00000000-0008-0000-0200-00003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364</xdr:row>
          <xdr:rowOff>30480</xdr:rowOff>
        </xdr:from>
        <xdr:to>
          <xdr:col>0</xdr:col>
          <xdr:colOff>236220</xdr:colOff>
          <xdr:row>364</xdr:row>
          <xdr:rowOff>182880</xdr:rowOff>
        </xdr:to>
        <xdr:sp macro="" textlink="">
          <xdr:nvSpPr>
            <xdr:cNvPr id="64819" name="Check Box 4403" hidden="1">
              <a:extLst>
                <a:ext uri="{63B3BB69-23CF-44E3-9099-C40C66FF867C}">
                  <a14:compatExt spid="_x0000_s64819"/>
                </a:ext>
                <a:ext uri="{FF2B5EF4-FFF2-40B4-BE49-F238E27FC236}">
                  <a16:creationId xmlns:a16="http://schemas.microsoft.com/office/drawing/2014/main" id="{00000000-0008-0000-0200-00003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365</xdr:row>
          <xdr:rowOff>30480</xdr:rowOff>
        </xdr:from>
        <xdr:to>
          <xdr:col>0</xdr:col>
          <xdr:colOff>236220</xdr:colOff>
          <xdr:row>365</xdr:row>
          <xdr:rowOff>182880</xdr:rowOff>
        </xdr:to>
        <xdr:sp macro="" textlink="">
          <xdr:nvSpPr>
            <xdr:cNvPr id="64820" name="Check Box 4404" hidden="1">
              <a:extLst>
                <a:ext uri="{63B3BB69-23CF-44E3-9099-C40C66FF867C}">
                  <a14:compatExt spid="_x0000_s64820"/>
                </a:ext>
                <a:ext uri="{FF2B5EF4-FFF2-40B4-BE49-F238E27FC236}">
                  <a16:creationId xmlns:a16="http://schemas.microsoft.com/office/drawing/2014/main" id="{00000000-0008-0000-0200-00003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366</xdr:row>
          <xdr:rowOff>30480</xdr:rowOff>
        </xdr:from>
        <xdr:to>
          <xdr:col>0</xdr:col>
          <xdr:colOff>236220</xdr:colOff>
          <xdr:row>366</xdr:row>
          <xdr:rowOff>182880</xdr:rowOff>
        </xdr:to>
        <xdr:sp macro="" textlink="">
          <xdr:nvSpPr>
            <xdr:cNvPr id="64821" name="Check Box 4405" hidden="1">
              <a:extLst>
                <a:ext uri="{63B3BB69-23CF-44E3-9099-C40C66FF867C}">
                  <a14:compatExt spid="_x0000_s64821"/>
                </a:ext>
                <a:ext uri="{FF2B5EF4-FFF2-40B4-BE49-F238E27FC236}">
                  <a16:creationId xmlns:a16="http://schemas.microsoft.com/office/drawing/2014/main" id="{00000000-0008-0000-0200-00003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367</xdr:row>
          <xdr:rowOff>30480</xdr:rowOff>
        </xdr:from>
        <xdr:to>
          <xdr:col>0</xdr:col>
          <xdr:colOff>236220</xdr:colOff>
          <xdr:row>367</xdr:row>
          <xdr:rowOff>182880</xdr:rowOff>
        </xdr:to>
        <xdr:sp macro="" textlink="">
          <xdr:nvSpPr>
            <xdr:cNvPr id="64822" name="Check Box 4406" hidden="1">
              <a:extLst>
                <a:ext uri="{63B3BB69-23CF-44E3-9099-C40C66FF867C}">
                  <a14:compatExt spid="_x0000_s64822"/>
                </a:ext>
                <a:ext uri="{FF2B5EF4-FFF2-40B4-BE49-F238E27FC236}">
                  <a16:creationId xmlns:a16="http://schemas.microsoft.com/office/drawing/2014/main" id="{00000000-0008-0000-0200-00003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368</xdr:row>
          <xdr:rowOff>30480</xdr:rowOff>
        </xdr:from>
        <xdr:to>
          <xdr:col>0</xdr:col>
          <xdr:colOff>236220</xdr:colOff>
          <xdr:row>368</xdr:row>
          <xdr:rowOff>182880</xdr:rowOff>
        </xdr:to>
        <xdr:sp macro="" textlink="">
          <xdr:nvSpPr>
            <xdr:cNvPr id="64823" name="Check Box 4407" hidden="1">
              <a:extLst>
                <a:ext uri="{63B3BB69-23CF-44E3-9099-C40C66FF867C}">
                  <a14:compatExt spid="_x0000_s64823"/>
                </a:ext>
                <a:ext uri="{FF2B5EF4-FFF2-40B4-BE49-F238E27FC236}">
                  <a16:creationId xmlns:a16="http://schemas.microsoft.com/office/drawing/2014/main" id="{00000000-0008-0000-0200-00003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369</xdr:row>
          <xdr:rowOff>30480</xdr:rowOff>
        </xdr:from>
        <xdr:to>
          <xdr:col>0</xdr:col>
          <xdr:colOff>236220</xdr:colOff>
          <xdr:row>369</xdr:row>
          <xdr:rowOff>182880</xdr:rowOff>
        </xdr:to>
        <xdr:sp macro="" textlink="">
          <xdr:nvSpPr>
            <xdr:cNvPr id="64824" name="Check Box 4408" hidden="1">
              <a:extLst>
                <a:ext uri="{63B3BB69-23CF-44E3-9099-C40C66FF867C}">
                  <a14:compatExt spid="_x0000_s64824"/>
                </a:ext>
                <a:ext uri="{FF2B5EF4-FFF2-40B4-BE49-F238E27FC236}">
                  <a16:creationId xmlns:a16="http://schemas.microsoft.com/office/drawing/2014/main" id="{00000000-0008-0000-0200-00003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370</xdr:row>
          <xdr:rowOff>30480</xdr:rowOff>
        </xdr:from>
        <xdr:to>
          <xdr:col>0</xdr:col>
          <xdr:colOff>236220</xdr:colOff>
          <xdr:row>370</xdr:row>
          <xdr:rowOff>182880</xdr:rowOff>
        </xdr:to>
        <xdr:sp macro="" textlink="">
          <xdr:nvSpPr>
            <xdr:cNvPr id="64825" name="Check Box 4409" hidden="1">
              <a:extLst>
                <a:ext uri="{63B3BB69-23CF-44E3-9099-C40C66FF867C}">
                  <a14:compatExt spid="_x0000_s64825"/>
                </a:ext>
                <a:ext uri="{FF2B5EF4-FFF2-40B4-BE49-F238E27FC236}">
                  <a16:creationId xmlns:a16="http://schemas.microsoft.com/office/drawing/2014/main" id="{00000000-0008-0000-0200-00003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371</xdr:row>
          <xdr:rowOff>30480</xdr:rowOff>
        </xdr:from>
        <xdr:to>
          <xdr:col>0</xdr:col>
          <xdr:colOff>236220</xdr:colOff>
          <xdr:row>371</xdr:row>
          <xdr:rowOff>182880</xdr:rowOff>
        </xdr:to>
        <xdr:sp macro="" textlink="">
          <xdr:nvSpPr>
            <xdr:cNvPr id="64826" name="Check Box 4410" hidden="1">
              <a:extLst>
                <a:ext uri="{63B3BB69-23CF-44E3-9099-C40C66FF867C}">
                  <a14:compatExt spid="_x0000_s64826"/>
                </a:ext>
                <a:ext uri="{FF2B5EF4-FFF2-40B4-BE49-F238E27FC236}">
                  <a16:creationId xmlns:a16="http://schemas.microsoft.com/office/drawing/2014/main" id="{00000000-0008-0000-0200-00003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372</xdr:row>
          <xdr:rowOff>30480</xdr:rowOff>
        </xdr:from>
        <xdr:to>
          <xdr:col>0</xdr:col>
          <xdr:colOff>236220</xdr:colOff>
          <xdr:row>372</xdr:row>
          <xdr:rowOff>182880</xdr:rowOff>
        </xdr:to>
        <xdr:sp macro="" textlink="">
          <xdr:nvSpPr>
            <xdr:cNvPr id="64827" name="Check Box 4411" hidden="1">
              <a:extLst>
                <a:ext uri="{63B3BB69-23CF-44E3-9099-C40C66FF867C}">
                  <a14:compatExt spid="_x0000_s64827"/>
                </a:ext>
                <a:ext uri="{FF2B5EF4-FFF2-40B4-BE49-F238E27FC236}">
                  <a16:creationId xmlns:a16="http://schemas.microsoft.com/office/drawing/2014/main" id="{00000000-0008-0000-0200-00003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373</xdr:row>
          <xdr:rowOff>30480</xdr:rowOff>
        </xdr:from>
        <xdr:to>
          <xdr:col>0</xdr:col>
          <xdr:colOff>236220</xdr:colOff>
          <xdr:row>373</xdr:row>
          <xdr:rowOff>182880</xdr:rowOff>
        </xdr:to>
        <xdr:sp macro="" textlink="">
          <xdr:nvSpPr>
            <xdr:cNvPr id="64828" name="Check Box 4412" hidden="1">
              <a:extLst>
                <a:ext uri="{63B3BB69-23CF-44E3-9099-C40C66FF867C}">
                  <a14:compatExt spid="_x0000_s64828"/>
                </a:ext>
                <a:ext uri="{FF2B5EF4-FFF2-40B4-BE49-F238E27FC236}">
                  <a16:creationId xmlns:a16="http://schemas.microsoft.com/office/drawing/2014/main" id="{00000000-0008-0000-0200-00003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374</xdr:row>
          <xdr:rowOff>30480</xdr:rowOff>
        </xdr:from>
        <xdr:to>
          <xdr:col>0</xdr:col>
          <xdr:colOff>236220</xdr:colOff>
          <xdr:row>374</xdr:row>
          <xdr:rowOff>182880</xdr:rowOff>
        </xdr:to>
        <xdr:sp macro="" textlink="">
          <xdr:nvSpPr>
            <xdr:cNvPr id="64829" name="Check Box 4413" hidden="1">
              <a:extLst>
                <a:ext uri="{63B3BB69-23CF-44E3-9099-C40C66FF867C}">
                  <a14:compatExt spid="_x0000_s64829"/>
                </a:ext>
                <a:ext uri="{FF2B5EF4-FFF2-40B4-BE49-F238E27FC236}">
                  <a16:creationId xmlns:a16="http://schemas.microsoft.com/office/drawing/2014/main" id="{00000000-0008-0000-0200-00003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375</xdr:row>
          <xdr:rowOff>30480</xdr:rowOff>
        </xdr:from>
        <xdr:to>
          <xdr:col>0</xdr:col>
          <xdr:colOff>236220</xdr:colOff>
          <xdr:row>375</xdr:row>
          <xdr:rowOff>182880</xdr:rowOff>
        </xdr:to>
        <xdr:sp macro="" textlink="">
          <xdr:nvSpPr>
            <xdr:cNvPr id="64830" name="Check Box 4414" hidden="1">
              <a:extLst>
                <a:ext uri="{63B3BB69-23CF-44E3-9099-C40C66FF867C}">
                  <a14:compatExt spid="_x0000_s64830"/>
                </a:ext>
                <a:ext uri="{FF2B5EF4-FFF2-40B4-BE49-F238E27FC236}">
                  <a16:creationId xmlns:a16="http://schemas.microsoft.com/office/drawing/2014/main" id="{00000000-0008-0000-0200-00003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376</xdr:row>
          <xdr:rowOff>30480</xdr:rowOff>
        </xdr:from>
        <xdr:to>
          <xdr:col>0</xdr:col>
          <xdr:colOff>236220</xdr:colOff>
          <xdr:row>376</xdr:row>
          <xdr:rowOff>182880</xdr:rowOff>
        </xdr:to>
        <xdr:sp macro="" textlink="">
          <xdr:nvSpPr>
            <xdr:cNvPr id="64831" name="Check Box 4415" hidden="1">
              <a:extLst>
                <a:ext uri="{63B3BB69-23CF-44E3-9099-C40C66FF867C}">
                  <a14:compatExt spid="_x0000_s64831"/>
                </a:ext>
                <a:ext uri="{FF2B5EF4-FFF2-40B4-BE49-F238E27FC236}">
                  <a16:creationId xmlns:a16="http://schemas.microsoft.com/office/drawing/2014/main" id="{00000000-0008-0000-0200-00003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377</xdr:row>
          <xdr:rowOff>30480</xdr:rowOff>
        </xdr:from>
        <xdr:to>
          <xdr:col>0</xdr:col>
          <xdr:colOff>236220</xdr:colOff>
          <xdr:row>377</xdr:row>
          <xdr:rowOff>182880</xdr:rowOff>
        </xdr:to>
        <xdr:sp macro="" textlink="">
          <xdr:nvSpPr>
            <xdr:cNvPr id="64832" name="Check Box 4416" hidden="1">
              <a:extLst>
                <a:ext uri="{63B3BB69-23CF-44E3-9099-C40C66FF867C}">
                  <a14:compatExt spid="_x0000_s64832"/>
                </a:ext>
                <a:ext uri="{FF2B5EF4-FFF2-40B4-BE49-F238E27FC236}">
                  <a16:creationId xmlns:a16="http://schemas.microsoft.com/office/drawing/2014/main" id="{00000000-0008-0000-0200-00004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378</xdr:row>
          <xdr:rowOff>30480</xdr:rowOff>
        </xdr:from>
        <xdr:to>
          <xdr:col>0</xdr:col>
          <xdr:colOff>236220</xdr:colOff>
          <xdr:row>378</xdr:row>
          <xdr:rowOff>182880</xdr:rowOff>
        </xdr:to>
        <xdr:sp macro="" textlink="">
          <xdr:nvSpPr>
            <xdr:cNvPr id="64833" name="Check Box 4417" hidden="1">
              <a:extLst>
                <a:ext uri="{63B3BB69-23CF-44E3-9099-C40C66FF867C}">
                  <a14:compatExt spid="_x0000_s64833"/>
                </a:ext>
                <a:ext uri="{FF2B5EF4-FFF2-40B4-BE49-F238E27FC236}">
                  <a16:creationId xmlns:a16="http://schemas.microsoft.com/office/drawing/2014/main" id="{00000000-0008-0000-0200-00004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379</xdr:row>
          <xdr:rowOff>30480</xdr:rowOff>
        </xdr:from>
        <xdr:to>
          <xdr:col>0</xdr:col>
          <xdr:colOff>236220</xdr:colOff>
          <xdr:row>379</xdr:row>
          <xdr:rowOff>182880</xdr:rowOff>
        </xdr:to>
        <xdr:sp macro="" textlink="">
          <xdr:nvSpPr>
            <xdr:cNvPr id="64834" name="Check Box 4418" hidden="1">
              <a:extLst>
                <a:ext uri="{63B3BB69-23CF-44E3-9099-C40C66FF867C}">
                  <a14:compatExt spid="_x0000_s64834"/>
                </a:ext>
                <a:ext uri="{FF2B5EF4-FFF2-40B4-BE49-F238E27FC236}">
                  <a16:creationId xmlns:a16="http://schemas.microsoft.com/office/drawing/2014/main" id="{00000000-0008-0000-0200-00004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380</xdr:row>
          <xdr:rowOff>30480</xdr:rowOff>
        </xdr:from>
        <xdr:to>
          <xdr:col>0</xdr:col>
          <xdr:colOff>236220</xdr:colOff>
          <xdr:row>380</xdr:row>
          <xdr:rowOff>182880</xdr:rowOff>
        </xdr:to>
        <xdr:sp macro="" textlink="">
          <xdr:nvSpPr>
            <xdr:cNvPr id="64835" name="Check Box 4419" hidden="1">
              <a:extLst>
                <a:ext uri="{63B3BB69-23CF-44E3-9099-C40C66FF867C}">
                  <a14:compatExt spid="_x0000_s64835"/>
                </a:ext>
                <a:ext uri="{FF2B5EF4-FFF2-40B4-BE49-F238E27FC236}">
                  <a16:creationId xmlns:a16="http://schemas.microsoft.com/office/drawing/2014/main" id="{00000000-0008-0000-0200-00004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381</xdr:row>
          <xdr:rowOff>30480</xdr:rowOff>
        </xdr:from>
        <xdr:to>
          <xdr:col>0</xdr:col>
          <xdr:colOff>236220</xdr:colOff>
          <xdr:row>381</xdr:row>
          <xdr:rowOff>182880</xdr:rowOff>
        </xdr:to>
        <xdr:sp macro="" textlink="">
          <xdr:nvSpPr>
            <xdr:cNvPr id="64836" name="Check Box 4420" hidden="1">
              <a:extLst>
                <a:ext uri="{63B3BB69-23CF-44E3-9099-C40C66FF867C}">
                  <a14:compatExt spid="_x0000_s64836"/>
                </a:ext>
                <a:ext uri="{FF2B5EF4-FFF2-40B4-BE49-F238E27FC236}">
                  <a16:creationId xmlns:a16="http://schemas.microsoft.com/office/drawing/2014/main" id="{00000000-0008-0000-0200-00004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382</xdr:row>
          <xdr:rowOff>30480</xdr:rowOff>
        </xdr:from>
        <xdr:to>
          <xdr:col>0</xdr:col>
          <xdr:colOff>236220</xdr:colOff>
          <xdr:row>382</xdr:row>
          <xdr:rowOff>182880</xdr:rowOff>
        </xdr:to>
        <xdr:sp macro="" textlink="">
          <xdr:nvSpPr>
            <xdr:cNvPr id="64837" name="Check Box 4421" hidden="1">
              <a:extLst>
                <a:ext uri="{63B3BB69-23CF-44E3-9099-C40C66FF867C}">
                  <a14:compatExt spid="_x0000_s64837"/>
                </a:ext>
                <a:ext uri="{FF2B5EF4-FFF2-40B4-BE49-F238E27FC236}">
                  <a16:creationId xmlns:a16="http://schemas.microsoft.com/office/drawing/2014/main" id="{00000000-0008-0000-0200-00004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383</xdr:row>
          <xdr:rowOff>30480</xdr:rowOff>
        </xdr:from>
        <xdr:to>
          <xdr:col>0</xdr:col>
          <xdr:colOff>236220</xdr:colOff>
          <xdr:row>383</xdr:row>
          <xdr:rowOff>182880</xdr:rowOff>
        </xdr:to>
        <xdr:sp macro="" textlink="">
          <xdr:nvSpPr>
            <xdr:cNvPr id="64838" name="Check Box 4422" hidden="1">
              <a:extLst>
                <a:ext uri="{63B3BB69-23CF-44E3-9099-C40C66FF867C}">
                  <a14:compatExt spid="_x0000_s64838"/>
                </a:ext>
                <a:ext uri="{FF2B5EF4-FFF2-40B4-BE49-F238E27FC236}">
                  <a16:creationId xmlns:a16="http://schemas.microsoft.com/office/drawing/2014/main" id="{00000000-0008-0000-0200-00004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384</xdr:row>
          <xdr:rowOff>30480</xdr:rowOff>
        </xdr:from>
        <xdr:to>
          <xdr:col>0</xdr:col>
          <xdr:colOff>236220</xdr:colOff>
          <xdr:row>384</xdr:row>
          <xdr:rowOff>182880</xdr:rowOff>
        </xdr:to>
        <xdr:sp macro="" textlink="">
          <xdr:nvSpPr>
            <xdr:cNvPr id="64839" name="Check Box 4423" hidden="1">
              <a:extLst>
                <a:ext uri="{63B3BB69-23CF-44E3-9099-C40C66FF867C}">
                  <a14:compatExt spid="_x0000_s64839"/>
                </a:ext>
                <a:ext uri="{FF2B5EF4-FFF2-40B4-BE49-F238E27FC236}">
                  <a16:creationId xmlns:a16="http://schemas.microsoft.com/office/drawing/2014/main" id="{00000000-0008-0000-0200-00004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385</xdr:row>
          <xdr:rowOff>30480</xdr:rowOff>
        </xdr:from>
        <xdr:to>
          <xdr:col>0</xdr:col>
          <xdr:colOff>236220</xdr:colOff>
          <xdr:row>385</xdr:row>
          <xdr:rowOff>182880</xdr:rowOff>
        </xdr:to>
        <xdr:sp macro="" textlink="">
          <xdr:nvSpPr>
            <xdr:cNvPr id="64840" name="Check Box 4424" hidden="1">
              <a:extLst>
                <a:ext uri="{63B3BB69-23CF-44E3-9099-C40C66FF867C}">
                  <a14:compatExt spid="_x0000_s64840"/>
                </a:ext>
                <a:ext uri="{FF2B5EF4-FFF2-40B4-BE49-F238E27FC236}">
                  <a16:creationId xmlns:a16="http://schemas.microsoft.com/office/drawing/2014/main" id="{00000000-0008-0000-0200-00004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386</xdr:row>
          <xdr:rowOff>30480</xdr:rowOff>
        </xdr:from>
        <xdr:to>
          <xdr:col>0</xdr:col>
          <xdr:colOff>236220</xdr:colOff>
          <xdr:row>386</xdr:row>
          <xdr:rowOff>182880</xdr:rowOff>
        </xdr:to>
        <xdr:sp macro="" textlink="">
          <xdr:nvSpPr>
            <xdr:cNvPr id="64841" name="Check Box 4425" hidden="1">
              <a:extLst>
                <a:ext uri="{63B3BB69-23CF-44E3-9099-C40C66FF867C}">
                  <a14:compatExt spid="_x0000_s64841"/>
                </a:ext>
                <a:ext uri="{FF2B5EF4-FFF2-40B4-BE49-F238E27FC236}">
                  <a16:creationId xmlns:a16="http://schemas.microsoft.com/office/drawing/2014/main" id="{00000000-0008-0000-0200-00004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387</xdr:row>
          <xdr:rowOff>30480</xdr:rowOff>
        </xdr:from>
        <xdr:to>
          <xdr:col>0</xdr:col>
          <xdr:colOff>236220</xdr:colOff>
          <xdr:row>387</xdr:row>
          <xdr:rowOff>182880</xdr:rowOff>
        </xdr:to>
        <xdr:sp macro="" textlink="">
          <xdr:nvSpPr>
            <xdr:cNvPr id="64842" name="Check Box 4426" hidden="1">
              <a:extLst>
                <a:ext uri="{63B3BB69-23CF-44E3-9099-C40C66FF867C}">
                  <a14:compatExt spid="_x0000_s64842"/>
                </a:ext>
                <a:ext uri="{FF2B5EF4-FFF2-40B4-BE49-F238E27FC236}">
                  <a16:creationId xmlns:a16="http://schemas.microsoft.com/office/drawing/2014/main" id="{00000000-0008-0000-0200-00004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388</xdr:row>
          <xdr:rowOff>30480</xdr:rowOff>
        </xdr:from>
        <xdr:to>
          <xdr:col>0</xdr:col>
          <xdr:colOff>236220</xdr:colOff>
          <xdr:row>388</xdr:row>
          <xdr:rowOff>182880</xdr:rowOff>
        </xdr:to>
        <xdr:sp macro="" textlink="">
          <xdr:nvSpPr>
            <xdr:cNvPr id="64843" name="Check Box 4427" hidden="1">
              <a:extLst>
                <a:ext uri="{63B3BB69-23CF-44E3-9099-C40C66FF867C}">
                  <a14:compatExt spid="_x0000_s64843"/>
                </a:ext>
                <a:ext uri="{FF2B5EF4-FFF2-40B4-BE49-F238E27FC236}">
                  <a16:creationId xmlns:a16="http://schemas.microsoft.com/office/drawing/2014/main" id="{00000000-0008-0000-0200-00004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389</xdr:row>
          <xdr:rowOff>30480</xdr:rowOff>
        </xdr:from>
        <xdr:to>
          <xdr:col>0</xdr:col>
          <xdr:colOff>236220</xdr:colOff>
          <xdr:row>389</xdr:row>
          <xdr:rowOff>182880</xdr:rowOff>
        </xdr:to>
        <xdr:sp macro="" textlink="">
          <xdr:nvSpPr>
            <xdr:cNvPr id="64844" name="Check Box 4428" hidden="1">
              <a:extLst>
                <a:ext uri="{63B3BB69-23CF-44E3-9099-C40C66FF867C}">
                  <a14:compatExt spid="_x0000_s64844"/>
                </a:ext>
                <a:ext uri="{FF2B5EF4-FFF2-40B4-BE49-F238E27FC236}">
                  <a16:creationId xmlns:a16="http://schemas.microsoft.com/office/drawing/2014/main" id="{00000000-0008-0000-0200-00004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390</xdr:row>
          <xdr:rowOff>30480</xdr:rowOff>
        </xdr:from>
        <xdr:to>
          <xdr:col>0</xdr:col>
          <xdr:colOff>236220</xdr:colOff>
          <xdr:row>390</xdr:row>
          <xdr:rowOff>182880</xdr:rowOff>
        </xdr:to>
        <xdr:sp macro="" textlink="">
          <xdr:nvSpPr>
            <xdr:cNvPr id="64845" name="Check Box 4429" hidden="1">
              <a:extLst>
                <a:ext uri="{63B3BB69-23CF-44E3-9099-C40C66FF867C}">
                  <a14:compatExt spid="_x0000_s64845"/>
                </a:ext>
                <a:ext uri="{FF2B5EF4-FFF2-40B4-BE49-F238E27FC236}">
                  <a16:creationId xmlns:a16="http://schemas.microsoft.com/office/drawing/2014/main" id="{00000000-0008-0000-0200-00004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391</xdr:row>
          <xdr:rowOff>30480</xdr:rowOff>
        </xdr:from>
        <xdr:to>
          <xdr:col>0</xdr:col>
          <xdr:colOff>236220</xdr:colOff>
          <xdr:row>391</xdr:row>
          <xdr:rowOff>182880</xdr:rowOff>
        </xdr:to>
        <xdr:sp macro="" textlink="">
          <xdr:nvSpPr>
            <xdr:cNvPr id="64846" name="Check Box 4430" hidden="1">
              <a:extLst>
                <a:ext uri="{63B3BB69-23CF-44E3-9099-C40C66FF867C}">
                  <a14:compatExt spid="_x0000_s64846"/>
                </a:ext>
                <a:ext uri="{FF2B5EF4-FFF2-40B4-BE49-F238E27FC236}">
                  <a16:creationId xmlns:a16="http://schemas.microsoft.com/office/drawing/2014/main" id="{00000000-0008-0000-0200-00004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49847</xdr:colOff>
      <xdr:row>0</xdr:row>
      <xdr:rowOff>42332</xdr:rowOff>
    </xdr:from>
    <xdr:to>
      <xdr:col>27</xdr:col>
      <xdr:colOff>161245</xdr:colOff>
      <xdr:row>15</xdr:row>
      <xdr:rowOff>1931</xdr:rowOff>
    </xdr:to>
    <xdr:grpSp>
      <xdr:nvGrpSpPr>
        <xdr:cNvPr id="6" name="RapidSelectBox">
          <a:extLst>
            <a:ext uri="{FF2B5EF4-FFF2-40B4-BE49-F238E27FC236}">
              <a16:creationId xmlns:a16="http://schemas.microsoft.com/office/drawing/2014/main" id="{00000000-0008-0000-0200-000006000000}"/>
            </a:ext>
          </a:extLst>
        </xdr:cNvPr>
        <xdr:cNvGrpSpPr/>
      </xdr:nvGrpSpPr>
      <xdr:grpSpPr>
        <a:xfrm>
          <a:off x="13355030" y="42332"/>
          <a:ext cx="3669606" cy="3020851"/>
          <a:chOff x="10776566" y="5859517"/>
          <a:chExt cx="3571926" cy="3067555"/>
        </a:xfrm>
      </xdr:grpSpPr>
      <xdr:sp macro="" textlink="">
        <xdr:nvSpPr>
          <xdr:cNvPr id="11" name="Rounded Rectangle 10">
            <a:extLst>
              <a:ext uri="{FF2B5EF4-FFF2-40B4-BE49-F238E27FC236}">
                <a16:creationId xmlns:a16="http://schemas.microsoft.com/office/drawing/2014/main" id="{00000000-0008-0000-0200-00000B000000}"/>
              </a:ext>
            </a:extLst>
          </xdr:cNvPr>
          <xdr:cNvSpPr/>
        </xdr:nvSpPr>
        <xdr:spPr>
          <a:xfrm>
            <a:off x="10776566" y="5859517"/>
            <a:ext cx="3571926" cy="3067555"/>
          </a:xfrm>
          <a:prstGeom prst="roundRect">
            <a:avLst>
              <a:gd name="adj" fmla="val 2336"/>
            </a:avLst>
          </a:prstGeom>
          <a:solidFill>
            <a:srgbClr val="00A3E2"/>
          </a:soli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2779724" y="7259080"/>
            <a:ext cx="907054" cy="16236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CFM Tolerance:</a:t>
            </a:r>
          </a:p>
        </xdr:txBody>
      </xdr:sp>
      <mc:AlternateContent xmlns:mc="http://schemas.openxmlformats.org/markup-compatibility/2006">
        <mc:Choice xmlns:a14="http://schemas.microsoft.com/office/drawing/2010/main" Requires="a14">
          <xdr:sp macro="" textlink="">
            <xdr:nvSpPr>
              <xdr:cNvPr id="42531" name="Drop Down 3619" hidden="1">
                <a:extLst>
                  <a:ext uri="{63B3BB69-23CF-44E3-9099-C40C66FF867C}">
                    <a14:compatExt spid="_x0000_s42531"/>
                  </a:ext>
                  <a:ext uri="{FF2B5EF4-FFF2-40B4-BE49-F238E27FC236}">
                    <a16:creationId xmlns:a16="http://schemas.microsoft.com/office/drawing/2014/main" id="{00000000-0008-0000-0200-000023A60000}"/>
                  </a:ext>
                </a:extLst>
              </xdr:cNvPr>
              <xdr:cNvSpPr/>
            </xdr:nvSpPr>
            <xdr:spPr bwMode="auto">
              <a:xfrm>
                <a:off x="13685566" y="7225801"/>
                <a:ext cx="415480" cy="210397"/>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10954949" y="7259168"/>
            <a:ext cx="959069" cy="1622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Load Tolerance:</a:t>
            </a:r>
          </a:p>
        </xdr:txBody>
      </xdr:sp>
      <mc:AlternateContent xmlns:mc="http://schemas.openxmlformats.org/markup-compatibility/2006">
        <mc:Choice xmlns:a14="http://schemas.microsoft.com/office/drawing/2010/main" Requires="a14">
          <xdr:sp macro="" textlink="">
            <xdr:nvSpPr>
              <xdr:cNvPr id="42534" name="Drop Down 3622" hidden="1">
                <a:extLst>
                  <a:ext uri="{63B3BB69-23CF-44E3-9099-C40C66FF867C}">
                    <a14:compatExt spid="_x0000_s42534"/>
                  </a:ext>
                  <a:ext uri="{FF2B5EF4-FFF2-40B4-BE49-F238E27FC236}">
                    <a16:creationId xmlns:a16="http://schemas.microsoft.com/office/drawing/2014/main" id="{00000000-0008-0000-0200-000026A60000}"/>
                  </a:ext>
                </a:extLst>
              </xdr:cNvPr>
              <xdr:cNvSpPr/>
            </xdr:nvSpPr>
            <xdr:spPr bwMode="auto">
              <a:xfrm>
                <a:off x="11900512" y="7238853"/>
                <a:ext cx="546430" cy="203639"/>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21" name="Option Button 3609" hidden="1">
                <a:extLst>
                  <a:ext uri="{63B3BB69-23CF-44E3-9099-C40C66FF867C}">
                    <a14:compatExt spid="_x0000_s42521"/>
                  </a:ext>
                  <a:ext uri="{FF2B5EF4-FFF2-40B4-BE49-F238E27FC236}">
                    <a16:creationId xmlns:a16="http://schemas.microsoft.com/office/drawing/2014/main" id="{00000000-0008-0000-0200-000019A60000}"/>
                  </a:ext>
                </a:extLst>
              </xdr:cNvPr>
              <xdr:cNvSpPr/>
            </xdr:nvSpPr>
            <xdr:spPr bwMode="auto">
              <a:xfrm>
                <a:off x="10896738" y="6917252"/>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24" name="Option Button 3612" hidden="1">
                <a:extLst>
                  <a:ext uri="{63B3BB69-23CF-44E3-9099-C40C66FF867C}">
                    <a14:compatExt spid="_x0000_s42524"/>
                  </a:ext>
                  <a:ext uri="{FF2B5EF4-FFF2-40B4-BE49-F238E27FC236}">
                    <a16:creationId xmlns:a16="http://schemas.microsoft.com/office/drawing/2014/main" id="{00000000-0008-0000-0200-00001CA60000}"/>
                  </a:ext>
                </a:extLst>
              </xdr:cNvPr>
              <xdr:cNvSpPr/>
            </xdr:nvSpPr>
            <xdr:spPr bwMode="auto">
              <a:xfrm>
                <a:off x="10896738" y="6441516"/>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1115543" y="6966013"/>
            <a:ext cx="1406910" cy="17335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Use Scheduled Lengths</a:t>
            </a:r>
          </a:p>
        </xdr:txBody>
      </xdr:sp>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11115543" y="6471308"/>
            <a:ext cx="2118481" cy="186316"/>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Select Any Length Within Max Limit</a:t>
            </a:r>
          </a:p>
        </xdr:txBody>
      </xdr:sp>
      <mc:AlternateContent xmlns:mc="http://schemas.openxmlformats.org/markup-compatibility/2006">
        <mc:Choice xmlns:a14="http://schemas.microsoft.com/office/drawing/2010/main" Requires="a14">
          <xdr:sp macro="" textlink="">
            <xdr:nvSpPr>
              <xdr:cNvPr id="42525" name="Drop Down 3613" descr="8" hidden="1">
                <a:extLst>
                  <a:ext uri="{63B3BB69-23CF-44E3-9099-C40C66FF867C}">
                    <a14:compatExt spid="_x0000_s42525"/>
                  </a:ext>
                  <a:ext uri="{FF2B5EF4-FFF2-40B4-BE49-F238E27FC236}">
                    <a16:creationId xmlns:a16="http://schemas.microsoft.com/office/drawing/2014/main" id="{00000000-0008-0000-0200-00001DA60000}"/>
                  </a:ext>
                </a:extLst>
              </xdr:cNvPr>
              <xdr:cNvSpPr/>
            </xdr:nvSpPr>
            <xdr:spPr bwMode="auto">
              <a:xfrm>
                <a:off x="13689023" y="6754484"/>
                <a:ext cx="392524" cy="184824"/>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12897512" y="6756324"/>
            <a:ext cx="736501" cy="1757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r"/>
            <a:r>
              <a:rPr lang="en-US" sz="1050" i="1">
                <a:solidFill>
                  <a:schemeClr val="bg1"/>
                </a:solidFill>
                <a:effectLst>
                  <a:outerShdw blurRad="50800" dist="38100" dir="2700000" algn="tl" rotWithShape="0">
                    <a:prstClr val="black">
                      <a:alpha val="40000"/>
                    </a:prstClr>
                  </a:outerShdw>
                </a:effectLst>
              </a:rPr>
              <a:t>Length Limit:</a:t>
            </a:r>
          </a:p>
        </xdr:txBody>
      </xdr:sp>
      <mc:AlternateContent xmlns:mc="http://schemas.openxmlformats.org/markup-compatibility/2006">
        <mc:Choice xmlns:a14="http://schemas.microsoft.com/office/drawing/2010/main" Requires="a14">
          <xdr:sp macro="" textlink="">
            <xdr:nvSpPr>
              <xdr:cNvPr id="42523" name="Option Button 3611" descr="Limit Selections to Even Lengths Only" hidden="1">
                <a:extLst>
                  <a:ext uri="{63B3BB69-23CF-44E3-9099-C40C66FF867C}">
                    <a14:compatExt spid="_x0000_s42523"/>
                  </a:ext>
                  <a:ext uri="{FF2B5EF4-FFF2-40B4-BE49-F238E27FC236}">
                    <a16:creationId xmlns:a16="http://schemas.microsoft.com/office/drawing/2014/main" id="{00000000-0008-0000-0200-00001BA60000}"/>
                  </a:ext>
                </a:extLst>
              </xdr:cNvPr>
              <xdr:cNvSpPr/>
            </xdr:nvSpPr>
            <xdr:spPr bwMode="auto">
              <a:xfrm>
                <a:off x="10896738" y="6689388"/>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11115543" y="6734397"/>
            <a:ext cx="1610457" cy="1715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Select Even</a:t>
            </a:r>
            <a:r>
              <a:rPr lang="en-US" sz="1100" i="1" baseline="0">
                <a:solidFill>
                  <a:schemeClr val="bg1"/>
                </a:solidFill>
                <a:effectLst>
                  <a:outerShdw blurRad="50800" dist="38100" dir="2700000" algn="tl" rotWithShape="0">
                    <a:prstClr val="black">
                      <a:alpha val="40000"/>
                    </a:prstClr>
                  </a:outerShdw>
                </a:effectLst>
              </a:rPr>
              <a:t> Lengths Only</a:t>
            </a:r>
            <a:endParaRPr lang="en-US" sz="1100" i="1">
              <a:solidFill>
                <a:schemeClr val="bg1"/>
              </a:solidFill>
              <a:effectLst>
                <a:outerShdw blurRad="50800" dist="38100" dir="2700000" algn="tl" rotWithShape="0">
                  <a:prstClr val="black">
                    <a:alpha val="40000"/>
                  </a:prstClr>
                </a:outerShdw>
              </a:effectLst>
            </a:endParaRPr>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a:xfrm>
            <a:off x="10870438" y="6349842"/>
            <a:ext cx="3367028" cy="85490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0923374" y="6255280"/>
            <a:ext cx="998866" cy="197937"/>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lIns="0" tIns="91440" rIns="0" bIns="91440" rtlCol="0" anchor="ctr" anchorCtr="0"/>
          <a:lstStyle/>
          <a:p>
            <a:pPr algn="ctr"/>
            <a:r>
              <a:rPr lang="en-US" sz="1000" i="1">
                <a:solidFill>
                  <a:schemeClr val="bg1"/>
                </a:solidFill>
              </a:rPr>
              <a:t>Length Settings</a:t>
            </a:r>
          </a:p>
        </xdr:txBody>
      </xdr:sp>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10876559" y="5924191"/>
            <a:ext cx="3354924" cy="262569"/>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pPr algn="ctr"/>
            <a:r>
              <a:rPr lang="en-US" sz="1100" i="1">
                <a:solidFill>
                  <a:schemeClr val="bg1"/>
                </a:solidFill>
              </a:rPr>
              <a:t>RapidSelect Options</a:t>
            </a:r>
          </a:p>
        </xdr:txBody>
      </xdr:sp>
      <xdr:sp macro="[0]!RSHelpButton_Click" textlink="">
        <xdr:nvSpPr>
          <xdr:cNvPr id="29" name="RSHelpButton">
            <a:extLst>
              <a:ext uri="{FF2B5EF4-FFF2-40B4-BE49-F238E27FC236}">
                <a16:creationId xmlns:a16="http://schemas.microsoft.com/office/drawing/2014/main" id="{00000000-0008-0000-0200-00001D000000}"/>
              </a:ext>
            </a:extLst>
          </xdr:cNvPr>
          <xdr:cNvSpPr/>
        </xdr:nvSpPr>
        <xdr:spPr>
          <a:xfrm>
            <a:off x="13164537" y="5992431"/>
            <a:ext cx="144782" cy="148874"/>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nchorCtr="0"/>
          <a:lstStyle/>
          <a:p>
            <a:pPr algn="ctr"/>
            <a:r>
              <a:rPr lang="en-US" sz="900"/>
              <a:t>?</a:t>
            </a:r>
          </a:p>
        </xdr:txBody>
      </xdr:sp>
      <xdr:sp macro="" textlink="">
        <xdr:nvSpPr>
          <xdr:cNvPr id="197" name="TextBox 196">
            <a:extLst>
              <a:ext uri="{FF2B5EF4-FFF2-40B4-BE49-F238E27FC236}">
                <a16:creationId xmlns:a16="http://schemas.microsoft.com/office/drawing/2014/main" id="{00000000-0008-0000-0200-0000C5000000}"/>
              </a:ext>
            </a:extLst>
          </xdr:cNvPr>
          <xdr:cNvSpPr txBox="1"/>
        </xdr:nvSpPr>
        <xdr:spPr>
          <a:xfrm>
            <a:off x="11918298" y="7800071"/>
            <a:ext cx="1417265" cy="20500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Round</a:t>
            </a:r>
            <a:r>
              <a:rPr lang="en-US" sz="1100" i="1" baseline="0">
                <a:solidFill>
                  <a:schemeClr val="bg1"/>
                </a:solidFill>
                <a:effectLst>
                  <a:outerShdw blurRad="50800" dist="38100" dir="2700000" algn="tl" rotWithShape="0">
                    <a:prstClr val="black">
                      <a:alpha val="40000"/>
                    </a:prstClr>
                  </a:outerShdw>
                </a:effectLst>
              </a:rPr>
              <a:t> Water Flows To </a:t>
            </a:r>
            <a:r>
              <a:rPr lang="en-US" sz="1100" i="1">
                <a:solidFill>
                  <a:schemeClr val="bg1"/>
                </a:solidFill>
                <a:effectLst>
                  <a:outerShdw blurRad="50800" dist="38100" dir="2700000" algn="tl" rotWithShape="0">
                    <a:prstClr val="black">
                      <a:alpha val="40000"/>
                    </a:prstClr>
                  </a:outerShdw>
                </a:effectLst>
              </a:rPr>
              <a:t>:</a:t>
            </a:r>
          </a:p>
        </xdr:txBody>
      </xdr:sp>
      <mc:AlternateContent xmlns:mc="http://schemas.openxmlformats.org/markup-compatibility/2006">
        <mc:Choice xmlns:a14="http://schemas.microsoft.com/office/drawing/2010/main" Requires="a14">
          <xdr:sp macro="" textlink="">
            <xdr:nvSpPr>
              <xdr:cNvPr id="42541" name="Drop Down 3629" hidden="1">
                <a:extLst>
                  <a:ext uri="{63B3BB69-23CF-44E3-9099-C40C66FF867C}">
                    <a14:compatExt spid="_x0000_s42541"/>
                  </a:ext>
                  <a:ext uri="{FF2B5EF4-FFF2-40B4-BE49-F238E27FC236}">
                    <a16:creationId xmlns:a16="http://schemas.microsoft.com/office/drawing/2014/main" id="{00000000-0008-0000-0200-00002DA60000}"/>
                  </a:ext>
                </a:extLst>
              </xdr:cNvPr>
              <xdr:cNvSpPr/>
            </xdr:nvSpPr>
            <xdr:spPr bwMode="auto">
              <a:xfrm>
                <a:off x="13318638" y="7814715"/>
                <a:ext cx="455298" cy="202713"/>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19" name="TextBox 218">
            <a:extLst>
              <a:ext uri="{FF2B5EF4-FFF2-40B4-BE49-F238E27FC236}">
                <a16:creationId xmlns:a16="http://schemas.microsoft.com/office/drawing/2014/main" id="{00000000-0008-0000-0200-0000DB000000}"/>
              </a:ext>
            </a:extLst>
          </xdr:cNvPr>
          <xdr:cNvSpPr txBox="1"/>
        </xdr:nvSpPr>
        <xdr:spPr>
          <a:xfrm>
            <a:off x="13835985" y="7775215"/>
            <a:ext cx="386373" cy="22959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GPM</a:t>
            </a:r>
          </a:p>
        </xdr:txBody>
      </xdr:sp>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11914426" y="7550558"/>
            <a:ext cx="1033334" cy="16316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Coil</a:t>
            </a:r>
            <a:r>
              <a:rPr lang="en-US" sz="1100" i="1" baseline="0">
                <a:solidFill>
                  <a:schemeClr val="bg1"/>
                </a:solidFill>
                <a:effectLst>
                  <a:outerShdw blurRad="50800" dist="38100" dir="2700000" algn="tl" rotWithShape="0">
                    <a:prstClr val="black">
                      <a:alpha val="40000"/>
                    </a:prstClr>
                  </a:outerShdw>
                </a:effectLst>
              </a:rPr>
              <a:t> Type Default</a:t>
            </a:r>
            <a:r>
              <a:rPr lang="en-US" sz="1100" i="1">
                <a:solidFill>
                  <a:schemeClr val="bg1"/>
                </a:solidFill>
                <a:effectLst>
                  <a:outerShdw blurRad="50800" dist="38100" dir="2700000" algn="tl" rotWithShape="0">
                    <a:prstClr val="black">
                      <a:alpha val="40000"/>
                    </a:prstClr>
                  </a:outerShdw>
                </a:effectLst>
              </a:rPr>
              <a:t>:</a:t>
            </a:r>
          </a:p>
        </xdr:txBody>
      </xdr:sp>
      <mc:AlternateContent xmlns:mc="http://schemas.openxmlformats.org/markup-compatibility/2006">
        <mc:Choice xmlns:a14="http://schemas.microsoft.com/office/drawing/2010/main" Requires="a14">
          <xdr:sp macro="" textlink="">
            <xdr:nvSpPr>
              <xdr:cNvPr id="42569" name="Drop Down 3657" hidden="1">
                <a:extLst>
                  <a:ext uri="{63B3BB69-23CF-44E3-9099-C40C66FF867C}">
                    <a14:compatExt spid="_x0000_s42569"/>
                  </a:ext>
                  <a:ext uri="{FF2B5EF4-FFF2-40B4-BE49-F238E27FC236}">
                    <a16:creationId xmlns:a16="http://schemas.microsoft.com/office/drawing/2014/main" id="{00000000-0008-0000-0200-000049A60000}"/>
                  </a:ext>
                </a:extLst>
              </xdr:cNvPr>
              <xdr:cNvSpPr/>
            </xdr:nvSpPr>
            <xdr:spPr bwMode="auto">
              <a:xfrm>
                <a:off x="12986908" y="7512842"/>
                <a:ext cx="1116651" cy="225133"/>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82" name="Drop Down 3670" hidden="1">
                <a:extLst>
                  <a:ext uri="{63B3BB69-23CF-44E3-9099-C40C66FF867C}">
                    <a14:compatExt spid="_x0000_s42582"/>
                  </a:ext>
                  <a:ext uri="{FF2B5EF4-FFF2-40B4-BE49-F238E27FC236}">
                    <a16:creationId xmlns:a16="http://schemas.microsoft.com/office/drawing/2014/main" id="{00000000-0008-0000-0200-000056A60000}"/>
                  </a:ext>
                </a:extLst>
              </xdr:cNvPr>
              <xdr:cNvSpPr/>
            </xdr:nvSpPr>
            <xdr:spPr bwMode="auto">
              <a:xfrm>
                <a:off x="12408775" y="8566154"/>
                <a:ext cx="1761947" cy="22043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10838794" y="8579069"/>
            <a:ext cx="1522748" cy="18845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pPr algn="r"/>
            <a:r>
              <a:rPr lang="en-US" sz="1100" i="1">
                <a:solidFill>
                  <a:schemeClr val="bg1"/>
                </a:solidFill>
                <a:effectLst>
                  <a:outerShdw blurRad="50800" dist="38100" dir="2700000" algn="tl" rotWithShape="0">
                    <a:prstClr val="black">
                      <a:alpha val="40000"/>
                    </a:prstClr>
                  </a:outerShdw>
                </a:effectLst>
              </a:rPr>
              <a:t>Beam Quantity Based On:</a:t>
            </a:r>
          </a:p>
        </xdr:txBody>
      </xdr:sp>
      <mc:AlternateContent xmlns:mc="http://schemas.openxmlformats.org/markup-compatibility/2006">
        <mc:Choice xmlns:a14="http://schemas.microsoft.com/office/drawing/2010/main" Requires="a14">
          <xdr:sp macro="" textlink="">
            <xdr:nvSpPr>
              <xdr:cNvPr id="64865" name="Drop Down 4449" hidden="1">
                <a:extLst>
                  <a:ext uri="{63B3BB69-23CF-44E3-9099-C40C66FF867C}">
                    <a14:compatExt spid="_x0000_s64865"/>
                  </a:ext>
                  <a:ext uri="{FF2B5EF4-FFF2-40B4-BE49-F238E27FC236}">
                    <a16:creationId xmlns:a16="http://schemas.microsoft.com/office/drawing/2014/main" id="{00000000-0008-0000-0200-000061FD0000}"/>
                  </a:ext>
                </a:extLst>
              </xdr:cNvPr>
              <xdr:cNvSpPr/>
            </xdr:nvSpPr>
            <xdr:spPr bwMode="auto">
              <a:xfrm>
                <a:off x="13245784" y="8285443"/>
                <a:ext cx="913557" cy="200025"/>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11753426" y="8262045"/>
            <a:ext cx="1417265" cy="20500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Minimum Beam Density:</a:t>
            </a:r>
          </a:p>
        </xdr:txBody>
      </xdr:sp>
      <xdr:sp macro="" textlink="">
        <xdr:nvSpPr>
          <xdr:cNvPr id="554" name="Rectangle 553">
            <a:extLst>
              <a:ext uri="{FF2B5EF4-FFF2-40B4-BE49-F238E27FC236}">
                <a16:creationId xmlns:a16="http://schemas.microsoft.com/office/drawing/2014/main" id="{00000000-0008-0000-0200-00002A020000}"/>
              </a:ext>
            </a:extLst>
          </xdr:cNvPr>
          <xdr:cNvSpPr/>
        </xdr:nvSpPr>
        <xdr:spPr>
          <a:xfrm>
            <a:off x="10861964" y="8147322"/>
            <a:ext cx="3367028" cy="71118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10914901" y="8043957"/>
            <a:ext cx="998866" cy="197937"/>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lIns="0" tIns="91440" rIns="0" bIns="91440" rtlCol="0" anchor="ctr" anchorCtr="0"/>
          <a:lstStyle/>
          <a:p>
            <a:pPr algn="ctr"/>
            <a:r>
              <a:rPr lang="en-US" sz="1000" i="1">
                <a:solidFill>
                  <a:schemeClr val="bg1"/>
                </a:solidFill>
              </a:rPr>
              <a:t>Quantity Settings</a:t>
            </a:r>
          </a:p>
        </xdr:txBody>
      </xdr:sp>
    </xdr:grpSp>
    <xdr:clientData/>
  </xdr:twoCellAnchor>
  <xdr:twoCellAnchor>
    <xdr:from>
      <xdr:col>13</xdr:col>
      <xdr:colOff>527576</xdr:colOff>
      <xdr:row>15</xdr:row>
      <xdr:rowOff>113997</xdr:rowOff>
    </xdr:from>
    <xdr:to>
      <xdr:col>15</xdr:col>
      <xdr:colOff>507294</xdr:colOff>
      <xdr:row>15</xdr:row>
      <xdr:rowOff>371475</xdr:rowOff>
    </xdr:to>
    <xdr:sp macro="[0]!Rapid_Select_All" textlink="">
      <xdr:nvSpPr>
        <xdr:cNvPr id="8" name="Rounded Rectangle 7">
          <a:extLst>
            <a:ext uri="{FF2B5EF4-FFF2-40B4-BE49-F238E27FC236}">
              <a16:creationId xmlns:a16="http://schemas.microsoft.com/office/drawing/2014/main" id="{00000000-0008-0000-0200-000008000000}"/>
            </a:ext>
          </a:extLst>
        </xdr:cNvPr>
        <xdr:cNvSpPr/>
      </xdr:nvSpPr>
      <xdr:spPr>
        <a:xfrm>
          <a:off x="9163576" y="3178930"/>
          <a:ext cx="1706918" cy="257478"/>
        </a:xfrm>
        <a:prstGeom prst="roundRect">
          <a:avLst>
            <a:gd name="adj" fmla="val 11580"/>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latin typeface="Arial" panose="020B0604020202020204" pitchFamily="34" charset="0"/>
              <a:cs typeface="Arial" panose="020B0604020202020204" pitchFamily="34" charset="0"/>
            </a:rPr>
            <a:t>RapidSelect - </a:t>
          </a:r>
          <a:r>
            <a:rPr lang="en-US" sz="900">
              <a:latin typeface="Arial" panose="020B0604020202020204" pitchFamily="34" charset="0"/>
              <a:cs typeface="Arial" panose="020B0604020202020204" pitchFamily="34" charset="0"/>
            </a:rPr>
            <a:t>All Zones</a:t>
          </a:r>
        </a:p>
      </xdr:txBody>
    </xdr:sp>
    <xdr:clientData/>
  </xdr:twoCellAnchor>
  <xdr:twoCellAnchor>
    <xdr:from>
      <xdr:col>8</xdr:col>
      <xdr:colOff>116769</xdr:colOff>
      <xdr:row>15</xdr:row>
      <xdr:rowOff>113347</xdr:rowOff>
    </xdr:from>
    <xdr:to>
      <xdr:col>11</xdr:col>
      <xdr:colOff>381106</xdr:colOff>
      <xdr:row>15</xdr:row>
      <xdr:rowOff>371475</xdr:rowOff>
    </xdr:to>
    <xdr:sp macro="[0]!RapidSelect" textlink="">
      <xdr:nvSpPr>
        <xdr:cNvPr id="62" name="Rounded Rectangle 61">
          <a:extLst>
            <a:ext uri="{FF2B5EF4-FFF2-40B4-BE49-F238E27FC236}">
              <a16:creationId xmlns:a16="http://schemas.microsoft.com/office/drawing/2014/main" id="{00000000-0008-0000-0200-00003E000000}"/>
            </a:ext>
          </a:extLst>
        </xdr:cNvPr>
        <xdr:cNvSpPr/>
      </xdr:nvSpPr>
      <xdr:spPr>
        <a:xfrm>
          <a:off x="6280502" y="3178280"/>
          <a:ext cx="1754471" cy="258128"/>
        </a:xfrm>
        <a:prstGeom prst="roundRect">
          <a:avLst>
            <a:gd name="adj" fmla="val 10104"/>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latin typeface="Arial" panose="020B0604020202020204" pitchFamily="34" charset="0"/>
              <a:cs typeface="Arial" panose="020B0604020202020204" pitchFamily="34" charset="0"/>
            </a:rPr>
            <a:t>RapidSelect - </a:t>
          </a:r>
          <a:r>
            <a:rPr lang="en-US" sz="900">
              <a:latin typeface="Arial" panose="020B0604020202020204" pitchFamily="34" charset="0"/>
              <a:cs typeface="Arial" panose="020B0604020202020204" pitchFamily="34" charset="0"/>
            </a:rPr>
            <a:t>Single Zone</a:t>
          </a:r>
        </a:p>
      </xdr:txBody>
    </xdr:sp>
    <xdr:clientData/>
  </xdr:twoCellAnchor>
  <xdr:twoCellAnchor>
    <xdr:from>
      <xdr:col>19</xdr:col>
      <xdr:colOff>83115</xdr:colOff>
      <xdr:row>15</xdr:row>
      <xdr:rowOff>115443</xdr:rowOff>
    </xdr:from>
    <xdr:to>
      <xdr:col>20</xdr:col>
      <xdr:colOff>467838</xdr:colOff>
      <xdr:row>15</xdr:row>
      <xdr:rowOff>371475</xdr:rowOff>
    </xdr:to>
    <xdr:sp macro="[0]!Water_Trim" textlink="">
      <xdr:nvSpPr>
        <xdr:cNvPr id="63" name="Rounded Rectangle 62">
          <a:extLst>
            <a:ext uri="{FF2B5EF4-FFF2-40B4-BE49-F238E27FC236}">
              <a16:creationId xmlns:a16="http://schemas.microsoft.com/office/drawing/2014/main" id="{00000000-0008-0000-0200-00003F000000}"/>
            </a:ext>
          </a:extLst>
        </xdr:cNvPr>
        <xdr:cNvSpPr/>
      </xdr:nvSpPr>
      <xdr:spPr>
        <a:xfrm>
          <a:off x="12791582" y="3180376"/>
          <a:ext cx="968923" cy="256032"/>
        </a:xfrm>
        <a:prstGeom prst="roundRect">
          <a:avLst>
            <a:gd name="adj" fmla="val 16007"/>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050" i="1">
              <a:latin typeface="Arial" panose="020B0604020202020204" pitchFamily="34" charset="0"/>
              <a:cs typeface="Arial" panose="020B0604020202020204" pitchFamily="34" charset="0"/>
            </a:rPr>
            <a:t>Water Trim</a:t>
          </a:r>
        </a:p>
      </xdr:txBody>
    </xdr:sp>
    <xdr:clientData/>
  </xdr:twoCellAnchor>
  <xdr:twoCellAnchor>
    <xdr:from>
      <xdr:col>2</xdr:col>
      <xdr:colOff>1173652</xdr:colOff>
      <xdr:row>15</xdr:row>
      <xdr:rowOff>113997</xdr:rowOff>
    </xdr:from>
    <xdr:to>
      <xdr:col>4</xdr:col>
      <xdr:colOff>474095</xdr:colOff>
      <xdr:row>15</xdr:row>
      <xdr:rowOff>371475</xdr:rowOff>
    </xdr:to>
    <xdr:sp macro="[0]!HideGlobal_Click" textlink="">
      <xdr:nvSpPr>
        <xdr:cNvPr id="66" name="HideGlobalButton">
          <a:extLst>
            <a:ext uri="{FF2B5EF4-FFF2-40B4-BE49-F238E27FC236}">
              <a16:creationId xmlns:a16="http://schemas.microsoft.com/office/drawing/2014/main" id="{00000000-0008-0000-0200-000042000000}"/>
            </a:ext>
          </a:extLst>
        </xdr:cNvPr>
        <xdr:cNvSpPr/>
      </xdr:nvSpPr>
      <xdr:spPr>
        <a:xfrm>
          <a:off x="2147319" y="3178930"/>
          <a:ext cx="2119843" cy="257478"/>
        </a:xfrm>
        <a:prstGeom prst="roundRect">
          <a:avLst>
            <a:gd name="adj" fmla="val 15528"/>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000" i="1">
              <a:latin typeface="Arial" panose="020B0604020202020204" pitchFamily="34" charset="0"/>
              <a:cs typeface="Arial" panose="020B0604020202020204" pitchFamily="34" charset="0"/>
            </a:rPr>
            <a:t>Hide/Unhide</a:t>
          </a:r>
          <a:r>
            <a:rPr lang="en-US" sz="1000" i="1" baseline="0">
              <a:latin typeface="Arial" panose="020B0604020202020204" pitchFamily="34" charset="0"/>
              <a:cs typeface="Arial" panose="020B0604020202020204" pitchFamily="34" charset="0"/>
            </a:rPr>
            <a:t> Global Parameters</a:t>
          </a:r>
          <a:endParaRPr lang="en-US" sz="1000" i="1">
            <a:latin typeface="Arial" panose="020B0604020202020204" pitchFamily="34" charset="0"/>
            <a:cs typeface="Arial" panose="020B0604020202020204" pitchFamily="34" charset="0"/>
          </a:endParaRPr>
        </a:p>
      </xdr:txBody>
    </xdr:sp>
    <xdr:clientData/>
  </xdr:twoCellAnchor>
  <xdr:twoCellAnchor>
    <xdr:from>
      <xdr:col>5</xdr:col>
      <xdr:colOff>370126</xdr:colOff>
      <xdr:row>15</xdr:row>
      <xdr:rowOff>115443</xdr:rowOff>
    </xdr:from>
    <xdr:to>
      <xdr:col>7</xdr:col>
      <xdr:colOff>570861</xdr:colOff>
      <xdr:row>15</xdr:row>
      <xdr:rowOff>371475</xdr:rowOff>
    </xdr:to>
    <xdr:sp macro="[0]!Fix_Formatting_Click" textlink="">
      <xdr:nvSpPr>
        <xdr:cNvPr id="2" name="Fix_Formatting">
          <a:extLst>
            <a:ext uri="{FF2B5EF4-FFF2-40B4-BE49-F238E27FC236}">
              <a16:creationId xmlns:a16="http://schemas.microsoft.com/office/drawing/2014/main" id="{00000000-0008-0000-0200-000002000000}"/>
            </a:ext>
          </a:extLst>
        </xdr:cNvPr>
        <xdr:cNvSpPr/>
      </xdr:nvSpPr>
      <xdr:spPr>
        <a:xfrm>
          <a:off x="4755859" y="3180376"/>
          <a:ext cx="1386069" cy="256032"/>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00" i="1">
              <a:latin typeface="Arial" panose="020B0604020202020204" pitchFamily="34" charset="0"/>
              <a:cs typeface="Arial" panose="020B0604020202020204" pitchFamily="34" charset="0"/>
            </a:rPr>
            <a:t>Fix Formatting</a:t>
          </a:r>
        </a:p>
      </xdr:txBody>
    </xdr:sp>
    <xdr:clientData/>
  </xdr:twoCellAnchor>
  <xdr:twoCellAnchor>
    <xdr:from>
      <xdr:col>1</xdr:col>
      <xdr:colOff>2072</xdr:colOff>
      <xdr:row>15</xdr:row>
      <xdr:rowOff>115443</xdr:rowOff>
    </xdr:from>
    <xdr:to>
      <xdr:col>2</xdr:col>
      <xdr:colOff>711698</xdr:colOff>
      <xdr:row>15</xdr:row>
      <xdr:rowOff>371475</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281472" y="3180376"/>
          <a:ext cx="1403893" cy="256032"/>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00" i="1">
              <a:latin typeface="Arial" panose="020B0604020202020204" pitchFamily="34" charset="0"/>
              <a:cs typeface="Arial" panose="020B0604020202020204" pitchFamily="34" charset="0"/>
            </a:rPr>
            <a:t>Video</a:t>
          </a:r>
          <a:r>
            <a:rPr lang="en-US" sz="1000" i="1" baseline="0">
              <a:latin typeface="Arial" panose="020B0604020202020204" pitchFamily="34" charset="0"/>
              <a:cs typeface="Arial" panose="020B0604020202020204" pitchFamily="34" charset="0"/>
            </a:rPr>
            <a:t> Tutorial</a:t>
          </a:r>
          <a:endParaRPr lang="en-US" sz="1000" i="1">
            <a:latin typeface="Arial" panose="020B0604020202020204" pitchFamily="34" charset="0"/>
            <a:cs typeface="Arial" panose="020B0604020202020204" pitchFamily="34" charset="0"/>
          </a:endParaRPr>
        </a:p>
      </xdr:txBody>
    </xdr:sp>
    <xdr:clientData/>
  </xdr:twoCellAnchor>
  <xdr:twoCellAnchor>
    <xdr:from>
      <xdr:col>27</xdr:col>
      <xdr:colOff>207474</xdr:colOff>
      <xdr:row>1</xdr:row>
      <xdr:rowOff>1061</xdr:rowOff>
    </xdr:from>
    <xdr:to>
      <xdr:col>54</xdr:col>
      <xdr:colOff>165099</xdr:colOff>
      <xdr:row>14</xdr:row>
      <xdr:rowOff>230162</xdr:rowOff>
    </xdr:to>
    <xdr:grpSp>
      <xdr:nvGrpSpPr>
        <xdr:cNvPr id="31" name="Group 30">
          <a:extLst>
            <a:ext uri="{FF2B5EF4-FFF2-40B4-BE49-F238E27FC236}">
              <a16:creationId xmlns:a16="http://schemas.microsoft.com/office/drawing/2014/main" id="{3D226138-FC5D-F756-ECE3-0130614944FC}"/>
            </a:ext>
          </a:extLst>
        </xdr:cNvPr>
        <xdr:cNvGrpSpPr/>
      </xdr:nvGrpSpPr>
      <xdr:grpSpPr>
        <a:xfrm>
          <a:off x="17070865" y="47444"/>
          <a:ext cx="12997764" cy="2998805"/>
          <a:chOff x="16631887" y="50757"/>
          <a:chExt cx="12696277" cy="3045188"/>
        </a:xfrm>
      </xdr:grpSpPr>
      <xdr:sp macro="" textlink="">
        <xdr:nvSpPr>
          <xdr:cNvPr id="150" name="Rounded Rectangle 149">
            <a:extLst>
              <a:ext uri="{FF2B5EF4-FFF2-40B4-BE49-F238E27FC236}">
                <a16:creationId xmlns:a16="http://schemas.microsoft.com/office/drawing/2014/main" id="{00000000-0008-0000-0200-000096000000}"/>
              </a:ext>
            </a:extLst>
          </xdr:cNvPr>
          <xdr:cNvSpPr/>
        </xdr:nvSpPr>
        <xdr:spPr>
          <a:xfrm>
            <a:off x="16631887" y="50757"/>
            <a:ext cx="12688791" cy="3045188"/>
          </a:xfrm>
          <a:prstGeom prst="roundRect">
            <a:avLst>
              <a:gd name="adj" fmla="val 2336"/>
            </a:avLst>
          </a:prstGeom>
          <a:solidFill>
            <a:srgbClr val="00A3E2"/>
          </a:soli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grpSp>
        <xdr:nvGrpSpPr>
          <xdr:cNvPr id="55" name="Group 54">
            <a:extLst>
              <a:ext uri="{FF2B5EF4-FFF2-40B4-BE49-F238E27FC236}">
                <a16:creationId xmlns:a16="http://schemas.microsoft.com/office/drawing/2014/main" id="{00000000-0008-0000-0200-000037000000}"/>
              </a:ext>
            </a:extLst>
          </xdr:cNvPr>
          <xdr:cNvGrpSpPr/>
        </xdr:nvGrpSpPr>
        <xdr:grpSpPr>
          <a:xfrm>
            <a:off x="26741789" y="351296"/>
            <a:ext cx="1245906" cy="2552619"/>
            <a:chOff x="26350892" y="516706"/>
            <a:chExt cx="1258495" cy="2545098"/>
          </a:xfrm>
        </xdr:grpSpPr>
        <xdr:grpSp>
          <xdr:nvGrpSpPr>
            <xdr:cNvPr id="44" name="Group 43">
              <a:extLst>
                <a:ext uri="{FF2B5EF4-FFF2-40B4-BE49-F238E27FC236}">
                  <a16:creationId xmlns:a16="http://schemas.microsoft.com/office/drawing/2014/main" id="{00000000-0008-0000-0200-00002C000000}"/>
                </a:ext>
              </a:extLst>
            </xdr:cNvPr>
            <xdr:cNvGrpSpPr/>
          </xdr:nvGrpSpPr>
          <xdr:grpSpPr>
            <a:xfrm>
              <a:off x="26350892" y="516706"/>
              <a:ext cx="1062564" cy="1260984"/>
              <a:chOff x="25903864" y="670573"/>
              <a:chExt cx="1062564" cy="1260984"/>
            </a:xfrm>
          </xdr:grpSpPr>
          <xdr:pic>
            <xdr:nvPicPr>
              <xdr:cNvPr id="215" name="Picture 214" descr="T:\PhotoView\CBAW\CBAW Top Iso.png">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903864" y="670573"/>
                <a:ext cx="1062564" cy="10056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6" name="TextBox 215">
                <a:extLst>
                  <a:ext uri="{FF2B5EF4-FFF2-40B4-BE49-F238E27FC236}">
                    <a16:creationId xmlns:a16="http://schemas.microsoft.com/office/drawing/2014/main" id="{00000000-0008-0000-0200-0000D8000000}"/>
                  </a:ext>
                </a:extLst>
              </xdr:cNvPr>
              <xdr:cNvSpPr txBox="1"/>
            </xdr:nvSpPr>
            <xdr:spPr>
              <a:xfrm>
                <a:off x="26131902" y="1675877"/>
                <a:ext cx="607863" cy="2556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CBAW</a:t>
                </a:r>
              </a:p>
            </xdr:txBody>
          </xdr:sp>
        </xdr:grpSp>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26547784" y="1912427"/>
              <a:ext cx="1061603" cy="114937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8'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1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Sidewall mount</a:t>
              </a:r>
            </a:p>
          </xdr:txBody>
        </xdr:sp>
      </xdr:grpSp>
      <xdr:grpSp>
        <xdr:nvGrpSpPr>
          <xdr:cNvPr id="5" name="Group 4">
            <a:extLst>
              <a:ext uri="{FF2B5EF4-FFF2-40B4-BE49-F238E27FC236}">
                <a16:creationId xmlns:a16="http://schemas.microsoft.com/office/drawing/2014/main" id="{5125A5BE-D214-D7C7-4568-B13D5FBF1606}"/>
              </a:ext>
            </a:extLst>
          </xdr:cNvPr>
          <xdr:cNvGrpSpPr/>
        </xdr:nvGrpSpPr>
        <xdr:grpSpPr>
          <a:xfrm>
            <a:off x="16852233" y="443106"/>
            <a:ext cx="12475931" cy="2460810"/>
            <a:chOff x="17268676" y="433462"/>
            <a:chExt cx="12766823" cy="2430888"/>
          </a:xfrm>
        </xdr:grpSpPr>
        <xdr:grpSp>
          <xdr:nvGrpSpPr>
            <xdr:cNvPr id="12" name="Group 11">
              <a:extLst>
                <a:ext uri="{FF2B5EF4-FFF2-40B4-BE49-F238E27FC236}">
                  <a16:creationId xmlns:a16="http://schemas.microsoft.com/office/drawing/2014/main" id="{0ABC6109-C66D-5AB0-4188-FCB12FA1C60A}"/>
                </a:ext>
              </a:extLst>
            </xdr:cNvPr>
            <xdr:cNvGrpSpPr/>
          </xdr:nvGrpSpPr>
          <xdr:grpSpPr>
            <a:xfrm>
              <a:off x="18878539" y="1332777"/>
              <a:ext cx="1042406" cy="1437505"/>
              <a:chOff x="18727145" y="1327693"/>
              <a:chExt cx="1045282" cy="1433925"/>
            </a:xfrm>
          </xdr:grpSpPr>
          <xdr:sp macro="" textlink="">
            <xdr:nvSpPr>
              <xdr:cNvPr id="201" name="TextBox 200">
                <a:extLst>
                  <a:ext uri="{FF2B5EF4-FFF2-40B4-BE49-F238E27FC236}">
                    <a16:creationId xmlns:a16="http://schemas.microsoft.com/office/drawing/2014/main" id="{00000000-0008-0000-0200-0000C9000000}"/>
                  </a:ext>
                </a:extLst>
              </xdr:cNvPr>
              <xdr:cNvSpPr txBox="1"/>
            </xdr:nvSpPr>
            <xdr:spPr>
              <a:xfrm>
                <a:off x="18727145" y="1327693"/>
                <a:ext cx="923065" cy="259904"/>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CBLV-12</a:t>
                </a:r>
              </a:p>
            </xdr:txBody>
          </xdr:sp>
          <xdr:sp macro="" textlink="">
            <xdr:nvSpPr>
              <xdr:cNvPr id="222" name="TextBox 221">
                <a:extLst>
                  <a:ext uri="{FF2B5EF4-FFF2-40B4-BE49-F238E27FC236}">
                    <a16:creationId xmlns:a16="http://schemas.microsoft.com/office/drawing/2014/main" id="{00000000-0008-0000-0200-0000DE000000}"/>
                  </a:ext>
                </a:extLst>
              </xdr:cNvPr>
              <xdr:cNvSpPr txBox="1"/>
            </xdr:nvSpPr>
            <xdr:spPr>
              <a:xfrm>
                <a:off x="18796911" y="1720743"/>
                <a:ext cx="975516" cy="104087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12"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Vertical coils</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grpSp>
        <xdr:grpSp>
          <xdr:nvGrpSpPr>
            <xdr:cNvPr id="16" name="Group 15">
              <a:extLst>
                <a:ext uri="{FF2B5EF4-FFF2-40B4-BE49-F238E27FC236}">
                  <a16:creationId xmlns:a16="http://schemas.microsoft.com/office/drawing/2014/main" id="{2BC32563-83DA-E130-7FA5-E2B208CA3A7E}"/>
                </a:ext>
              </a:extLst>
            </xdr:cNvPr>
            <xdr:cNvGrpSpPr/>
          </xdr:nvGrpSpPr>
          <xdr:grpSpPr>
            <a:xfrm>
              <a:off x="21662832" y="1338164"/>
              <a:ext cx="1053784" cy="1398415"/>
              <a:chOff x="22151594" y="1333071"/>
              <a:chExt cx="1056651" cy="1394946"/>
            </a:xfrm>
          </xdr:grpSpPr>
          <xdr:sp macro="" textlink="">
            <xdr:nvSpPr>
              <xdr:cNvPr id="209" name="TextBox 208">
                <a:extLst>
                  <a:ext uri="{FF2B5EF4-FFF2-40B4-BE49-F238E27FC236}">
                    <a16:creationId xmlns:a16="http://schemas.microsoft.com/office/drawing/2014/main" id="{00000000-0008-0000-0200-0000D1000000}"/>
                  </a:ext>
                </a:extLst>
              </xdr:cNvPr>
              <xdr:cNvSpPr txBox="1"/>
            </xdr:nvSpPr>
            <xdr:spPr>
              <a:xfrm>
                <a:off x="22151594" y="1333071"/>
                <a:ext cx="931276" cy="25443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CBE2-12</a:t>
                </a:r>
              </a:p>
            </xdr:txBody>
          </xdr:sp>
          <xdr:sp macro="" textlink="">
            <xdr:nvSpPr>
              <xdr:cNvPr id="225" name="TextBox 224">
                <a:extLst>
                  <a:ext uri="{FF2B5EF4-FFF2-40B4-BE49-F238E27FC236}">
                    <a16:creationId xmlns:a16="http://schemas.microsoft.com/office/drawing/2014/main" id="{00000000-0008-0000-0200-0000E1000000}"/>
                  </a:ext>
                </a:extLst>
              </xdr:cNvPr>
              <xdr:cNvSpPr txBox="1"/>
            </xdr:nvSpPr>
            <xdr:spPr>
              <a:xfrm>
                <a:off x="22232851" y="1720634"/>
                <a:ext cx="975394" cy="100738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22"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Vertical coils</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Exposed mount</a:t>
                </a:r>
              </a:p>
            </xdr:txBody>
          </xdr:sp>
        </xdr:grpSp>
        <xdr:grpSp>
          <xdr:nvGrpSpPr>
            <xdr:cNvPr id="17" name="Group 16">
              <a:extLst>
                <a:ext uri="{FF2B5EF4-FFF2-40B4-BE49-F238E27FC236}">
                  <a16:creationId xmlns:a16="http://schemas.microsoft.com/office/drawing/2014/main" id="{9457F03B-F217-3D80-2996-7AFCE7E7BB76}"/>
                </a:ext>
              </a:extLst>
            </xdr:cNvPr>
            <xdr:cNvGrpSpPr/>
          </xdr:nvGrpSpPr>
          <xdr:grpSpPr>
            <a:xfrm>
              <a:off x="23002052" y="541711"/>
              <a:ext cx="1223227" cy="2322639"/>
              <a:chOff x="23271243" y="539976"/>
              <a:chExt cx="1229611" cy="2320458"/>
            </a:xfrm>
          </xdr:grpSpPr>
          <xdr:grpSp>
            <xdr:nvGrpSpPr>
              <xdr:cNvPr id="40" name="Group 39">
                <a:extLst>
                  <a:ext uri="{FF2B5EF4-FFF2-40B4-BE49-F238E27FC236}">
                    <a16:creationId xmlns:a16="http://schemas.microsoft.com/office/drawing/2014/main" id="{00000000-0008-0000-0200-000028000000}"/>
                  </a:ext>
                </a:extLst>
              </xdr:cNvPr>
              <xdr:cNvGrpSpPr/>
            </xdr:nvGrpSpPr>
            <xdr:grpSpPr>
              <a:xfrm>
                <a:off x="23271243" y="539976"/>
                <a:ext cx="1031517" cy="1050668"/>
                <a:chOff x="21289696" y="869037"/>
                <a:chExt cx="1025886" cy="1062520"/>
              </a:xfrm>
            </xdr:grpSpPr>
            <xdr:pic>
              <xdr:nvPicPr>
                <xdr:cNvPr id="207" name="Picture 206" descr="T:\PhotoView\CBAV\CBAV Bottom Iso.png">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21289696" y="869037"/>
                  <a:ext cx="1025886" cy="817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0" name="TextBox 209">
                  <a:extLst>
                    <a:ext uri="{FF2B5EF4-FFF2-40B4-BE49-F238E27FC236}">
                      <a16:creationId xmlns:a16="http://schemas.microsoft.com/office/drawing/2014/main" id="{00000000-0008-0000-0200-0000D2000000}"/>
                    </a:ext>
                  </a:extLst>
                </xdr:cNvPr>
                <xdr:cNvSpPr txBox="1"/>
              </xdr:nvSpPr>
              <xdr:spPr>
                <a:xfrm>
                  <a:off x="21490421" y="1673130"/>
                  <a:ext cx="651541" cy="2584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CBAV</a:t>
                  </a:r>
                </a:p>
              </xdr:txBody>
            </xdr:sp>
          </xdr:grpSp>
          <xdr:sp macro="" textlink="">
            <xdr:nvSpPr>
              <xdr:cNvPr id="226" name="TextBox 225">
                <a:extLst>
                  <a:ext uri="{FF2B5EF4-FFF2-40B4-BE49-F238E27FC236}">
                    <a16:creationId xmlns:a16="http://schemas.microsoft.com/office/drawing/2014/main" id="{00000000-0008-0000-0200-0000E2000000}"/>
                  </a:ext>
                </a:extLst>
              </xdr:cNvPr>
              <xdr:cNvSpPr txBox="1"/>
            </xdr:nvSpPr>
            <xdr:spPr>
              <a:xfrm>
                <a:off x="23430709" y="1723878"/>
                <a:ext cx="1070145" cy="1136556"/>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7" Wide</a:t>
                </a:r>
              </a:p>
              <a:p>
                <a:pPr marL="171450" indent="-171450">
                  <a:buFont typeface="Arial" panose="020B0604020202020204" pitchFamily="34" charset="0"/>
                  <a:buChar char="•"/>
                </a:pPr>
                <a:r>
                  <a:rPr lang="en-US" sz="800" baseline="0">
                    <a:solidFill>
                      <a:schemeClr val="bg1"/>
                    </a:solidFill>
                  </a:rPr>
                  <a:t>2 to 6'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Concealed mount</a:t>
                </a:r>
              </a:p>
              <a:p>
                <a:pPr marL="171450" indent="-171450">
                  <a:buFont typeface="Arial" panose="020B0604020202020204" pitchFamily="34" charset="0"/>
                  <a:buChar char="•"/>
                </a:pPr>
                <a:r>
                  <a:rPr lang="en-US" sz="800" baseline="0">
                    <a:solidFill>
                      <a:schemeClr val="bg1"/>
                    </a:solidFill>
                  </a:rPr>
                  <a:t>Requires seperate diffuser</a:t>
                </a:r>
              </a:p>
            </xdr:txBody>
          </xdr:sp>
        </xdr:grpSp>
        <xdr:grpSp>
          <xdr:nvGrpSpPr>
            <xdr:cNvPr id="20" name="Group 19">
              <a:extLst>
                <a:ext uri="{FF2B5EF4-FFF2-40B4-BE49-F238E27FC236}">
                  <a16:creationId xmlns:a16="http://schemas.microsoft.com/office/drawing/2014/main" id="{D11F1A08-2958-C78C-CDC9-7A4927D4B1E2}"/>
                </a:ext>
              </a:extLst>
            </xdr:cNvPr>
            <xdr:cNvGrpSpPr/>
          </xdr:nvGrpSpPr>
          <xdr:grpSpPr>
            <a:xfrm>
              <a:off x="24490338" y="433463"/>
              <a:ext cx="1224482" cy="2430887"/>
              <a:chOff x="24490903" y="430654"/>
              <a:chExt cx="1218547" cy="2429780"/>
            </a:xfrm>
          </xdr:grpSpPr>
          <xdr:grpSp>
            <xdr:nvGrpSpPr>
              <xdr:cNvPr id="41" name="Group 40">
                <a:extLst>
                  <a:ext uri="{FF2B5EF4-FFF2-40B4-BE49-F238E27FC236}">
                    <a16:creationId xmlns:a16="http://schemas.microsoft.com/office/drawing/2014/main" id="{00000000-0008-0000-0200-000029000000}"/>
                  </a:ext>
                </a:extLst>
              </xdr:cNvPr>
              <xdr:cNvGrpSpPr/>
            </xdr:nvGrpSpPr>
            <xdr:grpSpPr>
              <a:xfrm>
                <a:off x="24490903" y="430654"/>
                <a:ext cx="1110543" cy="1158499"/>
                <a:chOff x="22413975" y="761363"/>
                <a:chExt cx="1096799" cy="1170194"/>
              </a:xfrm>
            </xdr:grpSpPr>
            <xdr:pic>
              <xdr:nvPicPr>
                <xdr:cNvPr id="203" name="Picture 202" descr="T:\PhotoView\CBAM\CBAM Bottom iso.png">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413975" y="761363"/>
                  <a:ext cx="1096799" cy="8849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4" name="TextBox 203">
                  <a:extLst>
                    <a:ext uri="{FF2B5EF4-FFF2-40B4-BE49-F238E27FC236}">
                      <a16:creationId xmlns:a16="http://schemas.microsoft.com/office/drawing/2014/main" id="{00000000-0008-0000-0200-0000CC000000}"/>
                    </a:ext>
                  </a:extLst>
                </xdr:cNvPr>
                <xdr:cNvSpPr txBox="1"/>
              </xdr:nvSpPr>
              <xdr:spPr>
                <a:xfrm>
                  <a:off x="22572056" y="1668550"/>
                  <a:ext cx="778848" cy="26300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CBAM</a:t>
                  </a:r>
                </a:p>
              </xdr:txBody>
            </xdr:sp>
          </xdr:grpSp>
          <xdr:sp macro="" textlink="">
            <xdr:nvSpPr>
              <xdr:cNvPr id="227" name="TextBox 226">
                <a:extLst>
                  <a:ext uri="{FF2B5EF4-FFF2-40B4-BE49-F238E27FC236}">
                    <a16:creationId xmlns:a16="http://schemas.microsoft.com/office/drawing/2014/main" id="{00000000-0008-0000-0200-0000E3000000}"/>
                  </a:ext>
                </a:extLst>
              </xdr:cNvPr>
              <xdr:cNvSpPr txBox="1"/>
            </xdr:nvSpPr>
            <xdr:spPr>
              <a:xfrm>
                <a:off x="24636104" y="1722544"/>
                <a:ext cx="1073346" cy="113789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24" Wide</a:t>
                </a:r>
              </a:p>
              <a:p>
                <a:pPr marL="171450" indent="-171450">
                  <a:buFont typeface="Arial" panose="020B0604020202020204" pitchFamily="34" charset="0"/>
                  <a:buChar char="•"/>
                </a:pPr>
                <a:r>
                  <a:rPr lang="en-US" sz="800" baseline="0">
                    <a:solidFill>
                      <a:schemeClr val="bg1"/>
                    </a:solidFill>
                  </a:rPr>
                  <a:t>2 or 4'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4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grpSp>
        <xdr:grpSp>
          <xdr:nvGrpSpPr>
            <xdr:cNvPr id="21" name="Group 20">
              <a:extLst>
                <a:ext uri="{FF2B5EF4-FFF2-40B4-BE49-F238E27FC236}">
                  <a16:creationId xmlns:a16="http://schemas.microsoft.com/office/drawing/2014/main" id="{319A6849-E20E-2E00-F897-462EF1930BE0}"/>
                </a:ext>
              </a:extLst>
            </xdr:cNvPr>
            <xdr:cNvGrpSpPr/>
          </xdr:nvGrpSpPr>
          <xdr:grpSpPr>
            <a:xfrm>
              <a:off x="25991784" y="491366"/>
              <a:ext cx="1153964" cy="2372984"/>
              <a:chOff x="25789876" y="488384"/>
              <a:chExt cx="1153960" cy="2372050"/>
            </a:xfrm>
          </xdr:grpSpPr>
          <xdr:grpSp>
            <xdr:nvGrpSpPr>
              <xdr:cNvPr id="42" name="Group 41">
                <a:extLst>
                  <a:ext uri="{FF2B5EF4-FFF2-40B4-BE49-F238E27FC236}">
                    <a16:creationId xmlns:a16="http://schemas.microsoft.com/office/drawing/2014/main" id="{00000000-0008-0000-0200-00002A000000}"/>
                  </a:ext>
                </a:extLst>
              </xdr:cNvPr>
              <xdr:cNvGrpSpPr/>
            </xdr:nvGrpSpPr>
            <xdr:grpSpPr>
              <a:xfrm>
                <a:off x="25789876" y="488384"/>
                <a:ext cx="919889" cy="1100954"/>
                <a:chOff x="23809390" y="819328"/>
                <a:chExt cx="916228" cy="1112229"/>
              </a:xfrm>
            </xdr:grpSpPr>
            <xdr:pic>
              <xdr:nvPicPr>
                <xdr:cNvPr id="211" name="Picture 210" descr="T:\PhotoView\CBAB\CBAB Bottom iso, With Grilles, Hi Res.png">
                  <a:extLst>
                    <a:ext uri="{FF2B5EF4-FFF2-40B4-BE49-F238E27FC236}">
                      <a16:creationId xmlns:a16="http://schemas.microsoft.com/office/drawing/2014/main" id="{00000000-0008-0000-0200-0000D3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10609" b="22150"/>
                <a:stretch/>
              </xdr:blipFill>
              <xdr:spPr bwMode="auto">
                <a:xfrm>
                  <a:off x="23844357" y="819328"/>
                  <a:ext cx="858667" cy="7846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2" name="TextBox 211">
                  <a:extLst>
                    <a:ext uri="{FF2B5EF4-FFF2-40B4-BE49-F238E27FC236}">
                      <a16:creationId xmlns:a16="http://schemas.microsoft.com/office/drawing/2014/main" id="{00000000-0008-0000-0200-0000D4000000}"/>
                    </a:ext>
                  </a:extLst>
                </xdr:cNvPr>
                <xdr:cNvSpPr txBox="1"/>
              </xdr:nvSpPr>
              <xdr:spPr>
                <a:xfrm>
                  <a:off x="23809390" y="1679540"/>
                  <a:ext cx="916228" cy="25201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CBAB</a:t>
                  </a:r>
                </a:p>
              </xdr:txBody>
            </xdr:sp>
          </xdr:grpSp>
          <xdr:sp macro="" textlink="">
            <xdr:nvSpPr>
              <xdr:cNvPr id="228" name="TextBox 227">
                <a:extLst>
                  <a:ext uri="{FF2B5EF4-FFF2-40B4-BE49-F238E27FC236}">
                    <a16:creationId xmlns:a16="http://schemas.microsoft.com/office/drawing/2014/main" id="{00000000-0008-0000-0200-0000E4000000}"/>
                  </a:ext>
                </a:extLst>
              </xdr:cNvPr>
              <xdr:cNvSpPr txBox="1"/>
            </xdr:nvSpPr>
            <xdr:spPr>
              <a:xfrm>
                <a:off x="25871022" y="1722709"/>
                <a:ext cx="1072814" cy="113772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6'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Bulkhead mount</a:t>
                </a:r>
              </a:p>
            </xdr:txBody>
          </xdr:sp>
        </xdr:grpSp>
        <xdr:grpSp>
          <xdr:nvGrpSpPr>
            <xdr:cNvPr id="56" name="Group 55">
              <a:extLst>
                <a:ext uri="{FF2B5EF4-FFF2-40B4-BE49-F238E27FC236}">
                  <a16:creationId xmlns:a16="http://schemas.microsoft.com/office/drawing/2014/main" id="{00000000-0008-0000-0200-000038000000}"/>
                </a:ext>
              </a:extLst>
            </xdr:cNvPr>
            <xdr:cNvGrpSpPr/>
          </xdr:nvGrpSpPr>
          <xdr:grpSpPr>
            <a:xfrm>
              <a:off x="28957683" y="433462"/>
              <a:ext cx="1077816" cy="2430888"/>
              <a:chOff x="27600161" y="607495"/>
              <a:chExt cx="1068544" cy="2454309"/>
            </a:xfrm>
          </xdr:grpSpPr>
          <xdr:grpSp>
            <xdr:nvGrpSpPr>
              <xdr:cNvPr id="45" name="Group 44">
                <a:extLst>
                  <a:ext uri="{FF2B5EF4-FFF2-40B4-BE49-F238E27FC236}">
                    <a16:creationId xmlns:a16="http://schemas.microsoft.com/office/drawing/2014/main" id="{00000000-0008-0000-0200-00002D000000}"/>
                  </a:ext>
                </a:extLst>
              </xdr:cNvPr>
              <xdr:cNvGrpSpPr/>
            </xdr:nvGrpSpPr>
            <xdr:grpSpPr>
              <a:xfrm>
                <a:off x="27600522" y="607495"/>
                <a:ext cx="785892" cy="1170195"/>
                <a:chOff x="27424674" y="761362"/>
                <a:chExt cx="785892" cy="1170195"/>
              </a:xfrm>
            </xdr:grpSpPr>
            <xdr:pic>
              <xdr:nvPicPr>
                <xdr:cNvPr id="217" name="Picture 216" descr="T:\PhotoView\CBAS\CBAS Iso.png">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27424674" y="761362"/>
                  <a:ext cx="785892" cy="95024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8" name="TextBox 217">
                  <a:extLst>
                    <a:ext uri="{FF2B5EF4-FFF2-40B4-BE49-F238E27FC236}">
                      <a16:creationId xmlns:a16="http://schemas.microsoft.com/office/drawing/2014/main" id="{00000000-0008-0000-0200-0000DA000000}"/>
                    </a:ext>
                  </a:extLst>
                </xdr:cNvPr>
                <xdr:cNvSpPr txBox="1"/>
              </xdr:nvSpPr>
              <xdr:spPr>
                <a:xfrm>
                  <a:off x="27524654" y="1675877"/>
                  <a:ext cx="608499" cy="2556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CBAS</a:t>
                  </a:r>
                </a:p>
              </xdr:txBody>
            </xdr:sp>
          </xdr:grpSp>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27600161" y="1912427"/>
                <a:ext cx="1068544" cy="114937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6'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Vertical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Sill mount</a:t>
                </a:r>
              </a:p>
            </xdr:txBody>
          </xdr:sp>
        </xdr:grpSp>
        <xdr:grpSp>
          <xdr:nvGrpSpPr>
            <xdr:cNvPr id="15" name="Group 14">
              <a:extLst>
                <a:ext uri="{FF2B5EF4-FFF2-40B4-BE49-F238E27FC236}">
                  <a16:creationId xmlns:a16="http://schemas.microsoft.com/office/drawing/2014/main" id="{5A2C1420-CB68-B0DF-3A6E-480244BF2DC9}"/>
                </a:ext>
              </a:extLst>
            </xdr:cNvPr>
            <xdr:cNvGrpSpPr/>
          </xdr:nvGrpSpPr>
          <xdr:grpSpPr>
            <a:xfrm>
              <a:off x="20271794" y="1336894"/>
              <a:ext cx="1088654" cy="1399686"/>
              <a:chOff x="21036499" y="1331829"/>
              <a:chExt cx="1087046" cy="1396188"/>
            </a:xfrm>
          </xdr:grpSpPr>
          <xdr:sp macro="" textlink="">
            <xdr:nvSpPr>
              <xdr:cNvPr id="208" name="TextBox 207">
                <a:extLst>
                  <a:ext uri="{FF2B5EF4-FFF2-40B4-BE49-F238E27FC236}">
                    <a16:creationId xmlns:a16="http://schemas.microsoft.com/office/drawing/2014/main" id="{00000000-0008-0000-0200-0000D0000000}"/>
                  </a:ext>
                </a:extLst>
              </xdr:cNvPr>
              <xdr:cNvSpPr txBox="1"/>
            </xdr:nvSpPr>
            <xdr:spPr>
              <a:xfrm>
                <a:off x="21036499" y="1331829"/>
                <a:ext cx="916424" cy="25540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CBE2-24</a:t>
                </a:r>
              </a:p>
            </xdr:txBody>
          </xdr:sp>
          <xdr:sp macro="" textlink="">
            <xdr:nvSpPr>
              <xdr:cNvPr id="224" name="TextBox 223">
                <a:extLst>
                  <a:ext uri="{FF2B5EF4-FFF2-40B4-BE49-F238E27FC236}">
                    <a16:creationId xmlns:a16="http://schemas.microsoft.com/office/drawing/2014/main" id="{00000000-0008-0000-0200-0000E0000000}"/>
                  </a:ext>
                </a:extLst>
              </xdr:cNvPr>
              <xdr:cNvSpPr txBox="1"/>
            </xdr:nvSpPr>
            <xdr:spPr>
              <a:xfrm>
                <a:off x="21151886" y="1720390"/>
                <a:ext cx="971659" cy="10076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32"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Exposed mount</a:t>
                </a:r>
              </a:p>
            </xdr:txBody>
          </xdr:sp>
        </xdr:grpSp>
        <xdr:grpSp>
          <xdr:nvGrpSpPr>
            <xdr:cNvPr id="7" name="Group 6">
              <a:extLst>
                <a:ext uri="{FF2B5EF4-FFF2-40B4-BE49-F238E27FC236}">
                  <a16:creationId xmlns:a16="http://schemas.microsoft.com/office/drawing/2014/main" id="{AEA57035-2391-921B-5EB6-6A593BB4C340}"/>
                </a:ext>
              </a:extLst>
            </xdr:cNvPr>
            <xdr:cNvGrpSpPr/>
          </xdr:nvGrpSpPr>
          <xdr:grpSpPr>
            <a:xfrm>
              <a:off x="17268676" y="537883"/>
              <a:ext cx="1295978" cy="2055749"/>
              <a:chOff x="17273158" y="545124"/>
              <a:chExt cx="1293564" cy="2042646"/>
            </a:xfrm>
          </xdr:grpSpPr>
          <xdr:sp macro="" textlink="">
            <xdr:nvSpPr>
              <xdr:cNvPr id="198" name="TextBox 197">
                <a:extLst>
                  <a:ext uri="{FF2B5EF4-FFF2-40B4-BE49-F238E27FC236}">
                    <a16:creationId xmlns:a16="http://schemas.microsoft.com/office/drawing/2014/main" id="{00000000-0008-0000-0200-0000C6000000}"/>
                  </a:ext>
                </a:extLst>
              </xdr:cNvPr>
              <xdr:cNvSpPr txBox="1"/>
            </xdr:nvSpPr>
            <xdr:spPr>
              <a:xfrm>
                <a:off x="17273158" y="1350639"/>
                <a:ext cx="1164886" cy="24987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CBAL2</a:t>
                </a:r>
              </a:p>
            </xdr:txBody>
          </xdr:sp>
          <xdr:sp macro="" textlink="">
            <xdr:nvSpPr>
              <xdr:cNvPr id="221" name="TextBox 220">
                <a:extLst>
                  <a:ext uri="{FF2B5EF4-FFF2-40B4-BE49-F238E27FC236}">
                    <a16:creationId xmlns:a16="http://schemas.microsoft.com/office/drawing/2014/main" id="{00000000-0008-0000-0200-0000DD000000}"/>
                  </a:ext>
                </a:extLst>
              </xdr:cNvPr>
              <xdr:cNvSpPr txBox="1"/>
            </xdr:nvSpPr>
            <xdr:spPr>
              <a:xfrm>
                <a:off x="17332814" y="1732709"/>
                <a:ext cx="1233908" cy="85506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24"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pic>
            <xdr:nvPicPr>
              <xdr:cNvPr id="3" name="Picture 2">
                <a:extLst>
                  <a:ext uri="{FF2B5EF4-FFF2-40B4-BE49-F238E27FC236}">
                    <a16:creationId xmlns:a16="http://schemas.microsoft.com/office/drawing/2014/main" id="{BB18B380-DB39-497B-87EB-AB5BB4A008E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630" t="7176" r="11849" b="2084"/>
              <a:stretch/>
            </xdr:blipFill>
            <xdr:spPr>
              <a:xfrm>
                <a:off x="17282013" y="545124"/>
                <a:ext cx="1089880" cy="733074"/>
              </a:xfrm>
              <a:prstGeom prst="rect">
                <a:avLst/>
              </a:prstGeom>
            </xdr:spPr>
          </xdr:pic>
        </xdr:grpSp>
      </xdr:grpSp>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16673338" y="93180"/>
            <a:ext cx="12554080" cy="299861"/>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pPr algn="ctr"/>
            <a:r>
              <a:rPr lang="en-US" sz="1100" i="1">
                <a:solidFill>
                  <a:schemeClr val="bg1"/>
                </a:solidFill>
              </a:rPr>
              <a:t>Models</a:t>
            </a:r>
          </a:p>
        </xdr:txBody>
      </xdr:sp>
      <xdr:pic>
        <xdr:nvPicPr>
          <xdr:cNvPr id="27" name="Picture 26">
            <a:extLst>
              <a:ext uri="{FF2B5EF4-FFF2-40B4-BE49-F238E27FC236}">
                <a16:creationId xmlns:a16="http://schemas.microsoft.com/office/drawing/2014/main" id="{85659D03-BFC9-49F7-8FD6-73437EAF749B}"/>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0743" t="11574" r="12598" b="13194"/>
          <a:stretch>
            <a:fillRect/>
          </a:stretch>
        </xdr:blipFill>
        <xdr:spPr>
          <a:xfrm rot="1556143" flipH="1">
            <a:off x="18354261" y="646044"/>
            <a:ext cx="930642" cy="516276"/>
          </a:xfrm>
          <a:prstGeom prst="rect">
            <a:avLst/>
          </a:prstGeom>
        </xdr:spPr>
      </xdr:pic>
      <xdr:pic>
        <xdr:nvPicPr>
          <xdr:cNvPr id="28" name="Picture 27">
            <a:extLst>
              <a:ext uri="{FF2B5EF4-FFF2-40B4-BE49-F238E27FC236}">
                <a16:creationId xmlns:a16="http://schemas.microsoft.com/office/drawing/2014/main" id="{271056F6-767A-42BF-AB4B-FDA458756A7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687" r="7589" b="3620"/>
          <a:stretch>
            <a:fillRect/>
          </a:stretch>
        </xdr:blipFill>
        <xdr:spPr>
          <a:xfrm rot="763579">
            <a:off x="19580086" y="513522"/>
            <a:ext cx="1112218" cy="713432"/>
          </a:xfrm>
          <a:prstGeom prst="rect">
            <a:avLst/>
          </a:prstGeom>
        </xdr:spPr>
      </xdr:pic>
      <xdr:pic>
        <xdr:nvPicPr>
          <xdr:cNvPr id="30" name="Picture 29">
            <a:extLst>
              <a:ext uri="{FF2B5EF4-FFF2-40B4-BE49-F238E27FC236}">
                <a16:creationId xmlns:a16="http://schemas.microsoft.com/office/drawing/2014/main" id="{C005A21B-D50D-4F42-933A-5CD50DD3EFB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2363" r="11933" b="3711"/>
          <a:stretch>
            <a:fillRect/>
          </a:stretch>
        </xdr:blipFill>
        <xdr:spPr>
          <a:xfrm rot="870582">
            <a:off x="21046107" y="563217"/>
            <a:ext cx="950062" cy="6812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59531</xdr:colOff>
      <xdr:row>1</xdr:row>
      <xdr:rowOff>59531</xdr:rowOff>
    </xdr:from>
    <xdr:to>
      <xdr:col>45</xdr:col>
      <xdr:colOff>0</xdr:colOff>
      <xdr:row>10</xdr:row>
      <xdr:rowOff>190501</xdr:rowOff>
    </xdr:to>
    <xdr:grpSp>
      <xdr:nvGrpSpPr>
        <xdr:cNvPr id="47" name="Group 46">
          <a:extLst>
            <a:ext uri="{FF2B5EF4-FFF2-40B4-BE49-F238E27FC236}">
              <a16:creationId xmlns:a16="http://schemas.microsoft.com/office/drawing/2014/main" id="{00000000-0008-0000-0300-00002F000000}"/>
            </a:ext>
          </a:extLst>
        </xdr:cNvPr>
        <xdr:cNvGrpSpPr/>
      </xdr:nvGrpSpPr>
      <xdr:grpSpPr>
        <a:xfrm>
          <a:off x="25160707" y="292613"/>
          <a:ext cx="4593152" cy="2300429"/>
          <a:chOff x="11791950" y="-36125"/>
          <a:chExt cx="4514850" cy="3674677"/>
        </a:xfrm>
      </xdr:grpSpPr>
      <xdr:sp macro="" textlink="">
        <xdr:nvSpPr>
          <xdr:cNvPr id="48" name="Rectangle 47">
            <a:extLst>
              <a:ext uri="{FF2B5EF4-FFF2-40B4-BE49-F238E27FC236}">
                <a16:creationId xmlns:a16="http://schemas.microsoft.com/office/drawing/2014/main" id="{00000000-0008-0000-0300-000030000000}"/>
              </a:ext>
            </a:extLst>
          </xdr:cNvPr>
          <xdr:cNvSpPr/>
        </xdr:nvSpPr>
        <xdr:spPr>
          <a:xfrm>
            <a:off x="11791950" y="-36125"/>
            <a:ext cx="4514850" cy="3674677"/>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9" name="Group 48">
            <a:extLst>
              <a:ext uri="{FF2B5EF4-FFF2-40B4-BE49-F238E27FC236}">
                <a16:creationId xmlns:a16="http://schemas.microsoft.com/office/drawing/2014/main" id="{00000000-0008-0000-0300-000031000000}"/>
              </a:ext>
            </a:extLst>
          </xdr:cNvPr>
          <xdr:cNvGrpSpPr/>
        </xdr:nvGrpSpPr>
        <xdr:grpSpPr>
          <a:xfrm>
            <a:off x="11868150" y="28342"/>
            <a:ext cx="4369245" cy="3524252"/>
            <a:chOff x="12841200" y="4112348"/>
            <a:chExt cx="4369245" cy="3524252"/>
          </a:xfrm>
        </xdr:grpSpPr>
        <xdr:grpSp>
          <xdr:nvGrpSpPr>
            <xdr:cNvPr id="51" name="Group 50">
              <a:extLst>
                <a:ext uri="{FF2B5EF4-FFF2-40B4-BE49-F238E27FC236}">
                  <a16:creationId xmlns:a16="http://schemas.microsoft.com/office/drawing/2014/main" id="{00000000-0008-0000-0300-000033000000}"/>
                </a:ext>
              </a:extLst>
            </xdr:cNvPr>
            <xdr:cNvGrpSpPr/>
          </xdr:nvGrpSpPr>
          <xdr:grpSpPr>
            <a:xfrm>
              <a:off x="14001840" y="4478019"/>
              <a:ext cx="492514" cy="206194"/>
              <a:chOff x="15764680" y="2827584"/>
              <a:chExt cx="488861" cy="201367"/>
            </a:xfrm>
          </xdr:grpSpPr>
          <xdr:sp macro="" textlink="">
            <xdr:nvSpPr>
              <xdr:cNvPr id="89" name="Rectangle 88">
                <a:extLst>
                  <a:ext uri="{FF2B5EF4-FFF2-40B4-BE49-F238E27FC236}">
                    <a16:creationId xmlns:a16="http://schemas.microsoft.com/office/drawing/2014/main" id="{00000000-0008-0000-0300-000059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0" name="Trapezoid 89">
                <a:extLst>
                  <a:ext uri="{FF2B5EF4-FFF2-40B4-BE49-F238E27FC236}">
                    <a16:creationId xmlns:a16="http://schemas.microsoft.com/office/drawing/2014/main" id="{00000000-0008-0000-0300-00005A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grpSp>
          <xdr:nvGrpSpPr>
            <xdr:cNvPr id="52" name="Group 51">
              <a:extLst>
                <a:ext uri="{FF2B5EF4-FFF2-40B4-BE49-F238E27FC236}">
                  <a16:creationId xmlns:a16="http://schemas.microsoft.com/office/drawing/2014/main" id="{00000000-0008-0000-0300-000034000000}"/>
                </a:ext>
              </a:extLst>
            </xdr:cNvPr>
            <xdr:cNvGrpSpPr/>
          </xdr:nvGrpSpPr>
          <xdr:grpSpPr>
            <a:xfrm>
              <a:off x="16306467" y="4474598"/>
              <a:ext cx="488861" cy="201367"/>
              <a:chOff x="15764680" y="2827584"/>
              <a:chExt cx="488861" cy="201367"/>
            </a:xfrm>
          </xdr:grpSpPr>
          <xdr:sp macro="" textlink="">
            <xdr:nvSpPr>
              <xdr:cNvPr id="87" name="Rectangle 86">
                <a:extLst>
                  <a:ext uri="{FF2B5EF4-FFF2-40B4-BE49-F238E27FC236}">
                    <a16:creationId xmlns:a16="http://schemas.microsoft.com/office/drawing/2014/main" id="{00000000-0008-0000-0300-000057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8" name="Trapezoid 87">
                <a:extLst>
                  <a:ext uri="{FF2B5EF4-FFF2-40B4-BE49-F238E27FC236}">
                    <a16:creationId xmlns:a16="http://schemas.microsoft.com/office/drawing/2014/main" id="{00000000-0008-0000-0300-000058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sp macro="" textlink="">
          <xdr:nvSpPr>
            <xdr:cNvPr id="53" name="Rectangle 52">
              <a:extLst>
                <a:ext uri="{FF2B5EF4-FFF2-40B4-BE49-F238E27FC236}">
                  <a16:creationId xmlns:a16="http://schemas.microsoft.com/office/drawing/2014/main" id="{00000000-0008-0000-0300-000035000000}"/>
                </a:ext>
              </a:extLst>
            </xdr:cNvPr>
            <xdr:cNvSpPr/>
          </xdr:nvSpPr>
          <xdr:spPr>
            <a:xfrm>
              <a:off x="13691516" y="5757599"/>
              <a:ext cx="3518929" cy="1879001"/>
            </a:xfrm>
            <a:prstGeom prst="rect">
              <a:avLst/>
            </a:prstGeom>
            <a:solidFill>
              <a:srgbClr val="00B0F0"/>
            </a:solid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13164414" y="5928393"/>
              <a:ext cx="594996" cy="9565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m from outside wall</a:t>
              </a:r>
            </a:p>
          </xdr:txBody>
        </xdr:sp>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13223784" y="6809455"/>
              <a:ext cx="553859" cy="8169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ft from interior wall</a:t>
              </a:r>
            </a:p>
          </xdr:txBody>
        </xdr:sp>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14548578" y="5779677"/>
              <a:ext cx="1739749" cy="7573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a:ea typeface="+mn-ea"/>
                  <a:cs typeface="+mn-cs"/>
                </a:rPr>
                <a:t>OCCUPIED ZONE</a:t>
              </a:r>
            </a:p>
          </xdr:txBody>
        </xdr: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16965525" y="5771955"/>
              <a:ext cx="11287" cy="1846947"/>
            </a:xfrm>
            <a:prstGeom prst="line">
              <a:avLst/>
            </a:prstGeom>
            <a:noFill/>
            <a:ln w="9525" cap="flat" cmpd="sng" algn="ctr">
              <a:solidFill>
                <a:sysClr val="window" lastClr="FFFFFF"/>
              </a:solidFill>
              <a:prstDash val="solid"/>
              <a:headEnd type="triangle" w="med" len="med"/>
              <a:tailEnd type="triangle" w="med" len="med"/>
            </a:ln>
            <a:effectLst/>
          </xdr:spPr>
        </xdr:cxnSp>
        <xdr:sp macro="" textlink="">
          <xdr:nvSpPr>
            <xdr:cNvPr id="58" name="Rectangle 57">
              <a:extLst>
                <a:ext uri="{FF2B5EF4-FFF2-40B4-BE49-F238E27FC236}">
                  <a16:creationId xmlns:a16="http://schemas.microsoft.com/office/drawing/2014/main" id="{00000000-0008-0000-0300-00003A000000}"/>
                </a:ext>
              </a:extLst>
            </xdr:cNvPr>
            <xdr:cNvSpPr/>
          </xdr:nvSpPr>
          <xdr:spPr>
            <a:xfrm>
              <a:off x="16896961" y="6632468"/>
              <a:ext cx="160815" cy="266766"/>
            </a:xfrm>
            <a:prstGeom prst="rect">
              <a:avLst/>
            </a:prstGeom>
            <a:solidFill>
              <a:srgbClr val="00B0F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9" name="TextBox 58">
              <a:extLst>
                <a:ext uri="{FF2B5EF4-FFF2-40B4-BE49-F238E27FC236}">
                  <a16:creationId xmlns:a16="http://schemas.microsoft.com/office/drawing/2014/main" id="{00000000-0008-0000-0300-00003B000000}"/>
                </a:ext>
              </a:extLst>
            </xdr:cNvPr>
            <xdr:cNvSpPr txBox="1"/>
          </xdr:nvSpPr>
          <xdr:spPr>
            <a:xfrm>
              <a:off x="16748216" y="6613420"/>
              <a:ext cx="432497" cy="314033"/>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a:ea typeface="+mn-ea"/>
                  <a:cs typeface="+mn-cs"/>
                </a:rPr>
                <a:t>H</a:t>
              </a:r>
              <a:r>
                <a:rPr kumimoji="0" lang="en-US" sz="1100" b="1" i="0" u="none" strike="noStrike" kern="0" cap="none" spc="0" normalizeH="0" baseline="-25000" noProof="0">
                  <a:ln>
                    <a:noFill/>
                  </a:ln>
                  <a:solidFill>
                    <a:sysClr val="window" lastClr="FFFFFF"/>
                  </a:solidFill>
                  <a:effectLst/>
                  <a:uLnTx/>
                  <a:uFillTx/>
                  <a:latin typeface="Calibri"/>
                  <a:ea typeface="+mn-ea"/>
                  <a:cs typeface="+mn-cs"/>
                </a:rPr>
                <a:t>OZ</a:t>
              </a:r>
            </a:p>
          </xdr:txBody>
        </xdr:sp>
        <xdr:cxnSp macro="">
          <xdr:nvCxnSpPr>
            <xdr:cNvPr id="61" name="Straight Connector 60">
              <a:extLst>
                <a:ext uri="{FF2B5EF4-FFF2-40B4-BE49-F238E27FC236}">
                  <a16:creationId xmlns:a16="http://schemas.microsoft.com/office/drawing/2014/main" id="{00000000-0008-0000-0300-00003D000000}"/>
                </a:ext>
              </a:extLst>
            </xdr:cNvPr>
            <xdr:cNvCxnSpPr/>
          </xdr:nvCxnSpPr>
          <xdr:spPr>
            <a:xfrm flipH="1" flipV="1">
              <a:off x="16972050" y="4698500"/>
              <a:ext cx="4763" cy="1049578"/>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62" name="Rectangle 61">
              <a:extLst>
                <a:ext uri="{FF2B5EF4-FFF2-40B4-BE49-F238E27FC236}">
                  <a16:creationId xmlns:a16="http://schemas.microsoft.com/office/drawing/2014/main" id="{00000000-0008-0000-0300-00003E000000}"/>
                </a:ext>
              </a:extLst>
            </xdr:cNvPr>
            <xdr:cNvSpPr/>
          </xdr:nvSpPr>
          <xdr:spPr>
            <a:xfrm>
              <a:off x="16787420" y="5012890"/>
              <a:ext cx="375128" cy="257175"/>
            </a:xfrm>
            <a:prstGeom prst="rect">
              <a:avLst/>
            </a:prstGeom>
            <a:solidFill>
              <a:sysClr val="window" lastClr="FFFFFF">
                <a:lumMod val="95000"/>
              </a:sys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3" name="TextBox 62">
              <a:extLst>
                <a:ext uri="{FF2B5EF4-FFF2-40B4-BE49-F238E27FC236}">
                  <a16:creationId xmlns:a16="http://schemas.microsoft.com/office/drawing/2014/main" id="{00000000-0008-0000-0300-00003F000000}"/>
                </a:ext>
              </a:extLst>
            </xdr:cNvPr>
            <xdr:cNvSpPr txBox="1"/>
          </xdr:nvSpPr>
          <xdr:spPr>
            <a:xfrm>
              <a:off x="16787421" y="5027177"/>
              <a:ext cx="394178" cy="2333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1050" b="1"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64" name="Diamond 63">
              <a:extLst>
                <a:ext uri="{FF2B5EF4-FFF2-40B4-BE49-F238E27FC236}">
                  <a16:creationId xmlns:a16="http://schemas.microsoft.com/office/drawing/2014/main" id="{00000000-0008-0000-0300-000040000000}"/>
                </a:ext>
              </a:extLst>
            </xdr:cNvPr>
            <xdr:cNvSpPr/>
          </xdr:nvSpPr>
          <xdr:spPr>
            <a:xfrm>
              <a:off x="15337075" y="5700452"/>
              <a:ext cx="104775" cy="109602"/>
            </a:xfrm>
            <a:prstGeom prst="diamond">
              <a:avLst/>
            </a:prstGeom>
            <a:solidFill>
              <a:srgbClr val="1F497D"/>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5" name="Arc 64">
              <a:extLst>
                <a:ext uri="{FF2B5EF4-FFF2-40B4-BE49-F238E27FC236}">
                  <a16:creationId xmlns:a16="http://schemas.microsoft.com/office/drawing/2014/main" id="{00000000-0008-0000-0300-000041000000}"/>
                </a:ext>
              </a:extLst>
            </xdr:cNvPr>
            <xdr:cNvSpPr/>
          </xdr:nvSpPr>
          <xdr:spPr>
            <a:xfrm rot="16200000">
              <a:off x="15322205" y="4803864"/>
              <a:ext cx="533465" cy="398940"/>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6" name="Arc 65">
              <a:extLst>
                <a:ext uri="{FF2B5EF4-FFF2-40B4-BE49-F238E27FC236}">
                  <a16:creationId xmlns:a16="http://schemas.microsoft.com/office/drawing/2014/main" id="{00000000-0008-0000-0300-000042000000}"/>
                </a:ext>
              </a:extLst>
            </xdr:cNvPr>
            <xdr:cNvSpPr/>
          </xdr:nvSpPr>
          <xdr:spPr>
            <a:xfrm rot="5400000" flipH="1">
              <a:off x="14923261" y="4794336"/>
              <a:ext cx="533465" cy="398941"/>
            </a:xfrm>
            <a:prstGeom prst="arc">
              <a:avLst>
                <a:gd name="adj1" fmla="val 16236964"/>
                <a:gd name="adj2" fmla="val 0"/>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7" name="Freeform 66">
              <a:extLst>
                <a:ext uri="{FF2B5EF4-FFF2-40B4-BE49-F238E27FC236}">
                  <a16:creationId xmlns:a16="http://schemas.microsoft.com/office/drawing/2014/main" id="{00000000-0008-0000-0300-000043000000}"/>
                </a:ext>
              </a:extLst>
            </xdr:cNvPr>
            <xdr:cNvSpPr/>
          </xdr:nvSpPr>
          <xdr:spPr>
            <a:xfrm>
              <a:off x="15575202" y="4688975"/>
              <a:ext cx="740732" cy="47625"/>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8" name="Freeform 67">
              <a:extLst>
                <a:ext uri="{FF2B5EF4-FFF2-40B4-BE49-F238E27FC236}">
                  <a16:creationId xmlns:a16="http://schemas.microsoft.com/office/drawing/2014/main" id="{00000000-0008-0000-0300-000044000000}"/>
                </a:ext>
              </a:extLst>
            </xdr:cNvPr>
            <xdr:cNvSpPr/>
          </xdr:nvSpPr>
          <xdr:spPr>
            <a:xfrm flipH="1">
              <a:off x="14466648" y="4674622"/>
              <a:ext cx="737079" cy="52452"/>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69" name="Straight Arrow Connector 68">
              <a:extLst>
                <a:ext uri="{FF2B5EF4-FFF2-40B4-BE49-F238E27FC236}">
                  <a16:creationId xmlns:a16="http://schemas.microsoft.com/office/drawing/2014/main" id="{00000000-0008-0000-0300-000045000000}"/>
                </a:ext>
              </a:extLst>
            </xdr:cNvPr>
            <xdr:cNvCxnSpPr>
              <a:stCxn id="65" idx="0"/>
            </xdr:cNvCxnSpPr>
          </xdr:nvCxnSpPr>
          <xdr:spPr>
            <a:xfrm flipH="1">
              <a:off x="15389465" y="5003622"/>
              <a:ext cx="9" cy="634917"/>
            </a:xfrm>
            <a:prstGeom prst="straightConnector1">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70" name="Arc 69">
              <a:extLst>
                <a:ext uri="{FF2B5EF4-FFF2-40B4-BE49-F238E27FC236}">
                  <a16:creationId xmlns:a16="http://schemas.microsoft.com/office/drawing/2014/main" id="{00000000-0008-0000-0300-000046000000}"/>
                </a:ext>
              </a:extLst>
            </xdr:cNvPr>
            <xdr:cNvSpPr/>
          </xdr:nvSpPr>
          <xdr:spPr>
            <a:xfrm rot="16200000">
              <a:off x="13213914" y="4796164"/>
              <a:ext cx="533465" cy="395287"/>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1" name="Freeform 70">
              <a:extLst>
                <a:ext uri="{FF2B5EF4-FFF2-40B4-BE49-F238E27FC236}">
                  <a16:creationId xmlns:a16="http://schemas.microsoft.com/office/drawing/2014/main" id="{00000000-0008-0000-0300-000047000000}"/>
                </a:ext>
              </a:extLst>
            </xdr:cNvPr>
            <xdr:cNvSpPr/>
          </xdr:nvSpPr>
          <xdr:spPr>
            <a:xfrm>
              <a:off x="13473504" y="4674622"/>
              <a:ext cx="551341" cy="50546"/>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72" name="Straight Connector 71">
              <a:extLst>
                <a:ext uri="{FF2B5EF4-FFF2-40B4-BE49-F238E27FC236}">
                  <a16:creationId xmlns:a16="http://schemas.microsoft.com/office/drawing/2014/main" id="{00000000-0008-0000-0300-000048000000}"/>
                </a:ext>
              </a:extLst>
            </xdr:cNvPr>
            <xdr:cNvCxnSpPr>
              <a:endCxn id="74" idx="0"/>
            </xdr:cNvCxnSpPr>
          </xdr:nvCxnSpPr>
          <xdr:spPr>
            <a:xfrm flipH="1">
              <a:off x="13283004" y="4984315"/>
              <a:ext cx="2" cy="739950"/>
            </a:xfrm>
            <a:prstGeom prst="line">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73" name="TextBox 72">
              <a:extLst>
                <a:ext uri="{FF2B5EF4-FFF2-40B4-BE49-F238E27FC236}">
                  <a16:creationId xmlns:a16="http://schemas.microsoft.com/office/drawing/2014/main" id="{00000000-0008-0000-0300-000049000000}"/>
                </a:ext>
              </a:extLst>
            </xdr:cNvPr>
            <xdr:cNvSpPr txBox="1"/>
          </xdr:nvSpPr>
          <xdr:spPr>
            <a:xfrm>
              <a:off x="13192624" y="5643142"/>
              <a:ext cx="527828" cy="29477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C00000"/>
                  </a:solidFill>
                  <a:effectLst/>
                  <a:uLnTx/>
                  <a:uFillTx/>
                  <a:latin typeface="Calibri"/>
                  <a:ea typeface="+mn-ea"/>
                  <a:cs typeface="+mn-cs"/>
                </a:rPr>
                <a:t>V</a:t>
              </a:r>
              <a:r>
                <a:rPr kumimoji="0" lang="en-US" sz="1100" b="1" i="0" u="none" strike="noStrike" kern="0" cap="none" spc="0" normalizeH="0" baseline="-25000" noProof="0">
                  <a:ln>
                    <a:noFill/>
                  </a:ln>
                  <a:solidFill>
                    <a:srgbClr val="C00000"/>
                  </a:solidFill>
                  <a:effectLst/>
                  <a:uLnTx/>
                  <a:uFillTx/>
                  <a:latin typeface="Calibri"/>
                  <a:ea typeface="+mn-ea"/>
                  <a:cs typeface="+mn-cs"/>
                </a:rPr>
                <a:t>W</a:t>
              </a:r>
            </a:p>
          </xdr:txBody>
        </xdr:sp>
        <xdr:sp macro="" textlink="">
          <xdr:nvSpPr>
            <xdr:cNvPr id="74" name="Diamond 73">
              <a:extLst>
                <a:ext uri="{FF2B5EF4-FFF2-40B4-BE49-F238E27FC236}">
                  <a16:creationId xmlns:a16="http://schemas.microsoft.com/office/drawing/2014/main" id="{00000000-0008-0000-0300-00004A000000}"/>
                </a:ext>
              </a:extLst>
            </xdr:cNvPr>
            <xdr:cNvSpPr/>
          </xdr:nvSpPr>
          <xdr:spPr>
            <a:xfrm>
              <a:off x="13230616" y="5724265"/>
              <a:ext cx="104775" cy="109602"/>
            </a:xfrm>
            <a:prstGeom prst="diamond">
              <a:avLst/>
            </a:prstGeom>
            <a:solidFill>
              <a:srgbClr val="C0000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75" name="Straight Connector 74">
              <a:extLst>
                <a:ext uri="{FF2B5EF4-FFF2-40B4-BE49-F238E27FC236}">
                  <a16:creationId xmlns:a16="http://schemas.microsoft.com/office/drawing/2014/main" id="{00000000-0008-0000-0300-00004B000000}"/>
                </a:ext>
              </a:extLst>
            </xdr:cNvPr>
            <xdr:cNvCxnSpPr/>
          </xdr:nvCxnSpPr>
          <xdr:spPr>
            <a:xfrm flipH="1" flipV="1">
              <a:off x="14253446" y="4264982"/>
              <a:ext cx="2" cy="209617"/>
            </a:xfrm>
            <a:prstGeom prst="line">
              <a:avLst/>
            </a:prstGeom>
            <a:noFill/>
            <a:ln w="9525" cap="flat" cmpd="sng" algn="ctr">
              <a:solidFill>
                <a:sysClr val="windowText" lastClr="000000"/>
              </a:solidFill>
              <a:prstDash val="solid"/>
            </a:ln>
            <a:effectLst/>
          </xdr:spPr>
        </xdr:cxnSp>
        <xdr:cxnSp macro="">
          <xdr:nvCxnSpPr>
            <xdr:cNvPr id="76" name="Straight Connector 75">
              <a:extLst>
                <a:ext uri="{FF2B5EF4-FFF2-40B4-BE49-F238E27FC236}">
                  <a16:creationId xmlns:a16="http://schemas.microsoft.com/office/drawing/2014/main" id="{00000000-0008-0000-0300-00004C000000}"/>
                </a:ext>
              </a:extLst>
            </xdr:cNvPr>
            <xdr:cNvCxnSpPr/>
          </xdr:nvCxnSpPr>
          <xdr:spPr>
            <a:xfrm flipH="1" flipV="1">
              <a:off x="16554059" y="4274507"/>
              <a:ext cx="2" cy="209617"/>
            </a:xfrm>
            <a:prstGeom prst="line">
              <a:avLst/>
            </a:prstGeom>
            <a:noFill/>
            <a:ln w="9525" cap="flat" cmpd="sng" algn="ctr">
              <a:solidFill>
                <a:sysClr val="windowText" lastClr="000000"/>
              </a:solidFill>
              <a:prstDash val="solid"/>
            </a:ln>
            <a:effectLst/>
          </xdr:spPr>
        </xdr:cxnSp>
        <xdr:cxnSp macro="">
          <xdr:nvCxnSpPr>
            <xdr:cNvPr id="77" name="Straight Connector 76">
              <a:extLst>
                <a:ext uri="{FF2B5EF4-FFF2-40B4-BE49-F238E27FC236}">
                  <a16:creationId xmlns:a16="http://schemas.microsoft.com/office/drawing/2014/main" id="{00000000-0008-0000-0300-00004D000000}"/>
                </a:ext>
              </a:extLst>
            </xdr:cNvPr>
            <xdr:cNvCxnSpPr/>
          </xdr:nvCxnSpPr>
          <xdr:spPr>
            <a:xfrm>
              <a:off x="14253445" y="4312607"/>
              <a:ext cx="2300614"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78" name="TextBox 77">
              <a:extLst>
                <a:ext uri="{FF2B5EF4-FFF2-40B4-BE49-F238E27FC236}">
                  <a16:creationId xmlns:a16="http://schemas.microsoft.com/office/drawing/2014/main" id="{00000000-0008-0000-0300-00004E000000}"/>
                </a:ext>
              </a:extLst>
            </xdr:cNvPr>
            <xdr:cNvSpPr txBox="1"/>
          </xdr:nvSpPr>
          <xdr:spPr>
            <a:xfrm>
              <a:off x="14494171" y="4112348"/>
              <a:ext cx="1718879" cy="406735"/>
            </a:xfrm>
            <a:prstGeom prst="rect">
              <a:avLst/>
            </a:prstGeom>
            <a:solidFill>
              <a:sysClr val="window" lastClr="FFFFFF">
                <a:lumMod val="95000"/>
              </a:sysClr>
            </a:solidFill>
            <a:ln w="9525" cmpd="sng">
              <a:noFill/>
            </a:ln>
            <a:effectLst/>
          </xdr:spPr>
          <xdr:txBody>
            <a:bodyPr vertOverflow="clip" horzOverflow="clip"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Centerline Spacing (C)</a:t>
              </a:r>
            </a:p>
          </xdr:txBody>
        </xdr:sp>
        <xdr:cxnSp macro="">
          <xdr:nvCxnSpPr>
            <xdr:cNvPr id="79" name="Straight Connector 78">
              <a:extLst>
                <a:ext uri="{FF2B5EF4-FFF2-40B4-BE49-F238E27FC236}">
                  <a16:creationId xmlns:a16="http://schemas.microsoft.com/office/drawing/2014/main" id="{00000000-0008-0000-0300-00004F000000}"/>
                </a:ext>
              </a:extLst>
            </xdr:cNvPr>
            <xdr:cNvCxnSpPr/>
          </xdr:nvCxnSpPr>
          <xdr:spPr>
            <a:xfrm flipH="1" flipV="1">
              <a:off x="13230616" y="4274507"/>
              <a:ext cx="4765" cy="381068"/>
            </a:xfrm>
            <a:prstGeom prst="line">
              <a:avLst/>
            </a:prstGeom>
            <a:noFill/>
            <a:ln w="9525" cap="flat" cmpd="sng" algn="ctr">
              <a:solidFill>
                <a:sysClr val="windowText" lastClr="000000"/>
              </a:solidFill>
              <a:prstDash val="solid"/>
            </a:ln>
            <a:effectLst/>
          </xdr:spPr>
        </xdr:cxnSp>
        <xdr:cxnSp macro="">
          <xdr:nvCxnSpPr>
            <xdr:cNvPr id="80" name="Straight Connector 79">
              <a:extLst>
                <a:ext uri="{FF2B5EF4-FFF2-40B4-BE49-F238E27FC236}">
                  <a16:creationId xmlns:a16="http://schemas.microsoft.com/office/drawing/2014/main" id="{00000000-0008-0000-0300-000050000000}"/>
                </a:ext>
              </a:extLst>
            </xdr:cNvPr>
            <xdr:cNvCxnSpPr/>
          </xdr:nvCxnSpPr>
          <xdr:spPr>
            <a:xfrm>
              <a:off x="13230616" y="4312607"/>
              <a:ext cx="1022829"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81" name="TextBox 80">
              <a:extLst>
                <a:ext uri="{FF2B5EF4-FFF2-40B4-BE49-F238E27FC236}">
                  <a16:creationId xmlns:a16="http://schemas.microsoft.com/office/drawing/2014/main" id="{00000000-0008-0000-0300-000051000000}"/>
                </a:ext>
              </a:extLst>
            </xdr:cNvPr>
            <xdr:cNvSpPr txBox="1"/>
          </xdr:nvSpPr>
          <xdr:spPr>
            <a:xfrm>
              <a:off x="13606853" y="4236406"/>
              <a:ext cx="375129" cy="157228"/>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X</a:t>
              </a:r>
            </a:p>
          </xdr:txBody>
        </xdr:sp>
        <xdr:cxnSp macro="">
          <xdr:nvCxnSpPr>
            <xdr:cNvPr id="82" name="Straight Connector 81">
              <a:extLst>
                <a:ext uri="{FF2B5EF4-FFF2-40B4-BE49-F238E27FC236}">
                  <a16:creationId xmlns:a16="http://schemas.microsoft.com/office/drawing/2014/main" id="{00000000-0008-0000-0300-000052000000}"/>
                </a:ext>
              </a:extLst>
            </xdr:cNvPr>
            <xdr:cNvCxnSpPr/>
          </xdr:nvCxnSpPr>
          <xdr:spPr>
            <a:xfrm>
              <a:off x="12893588" y="4684212"/>
              <a:ext cx="323854" cy="1"/>
            </a:xfrm>
            <a:prstGeom prst="line">
              <a:avLst/>
            </a:prstGeom>
            <a:noFill/>
            <a:ln w="9525" cap="flat" cmpd="sng" algn="ctr">
              <a:solidFill>
                <a:sysClr val="windowText" lastClr="000000"/>
              </a:solidFill>
              <a:prstDash val="solid"/>
            </a:ln>
            <a:effectLst/>
          </xdr:spPr>
        </xdr:cxn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12988838" y="5791004"/>
              <a:ext cx="228604" cy="1"/>
            </a:xfrm>
            <a:prstGeom prst="line">
              <a:avLst/>
            </a:prstGeom>
            <a:noFill/>
            <a:ln w="9525" cap="flat" cmpd="sng" algn="ctr">
              <a:solidFill>
                <a:sysClr val="windowText" lastClr="000000"/>
              </a:solidFill>
              <a:prstDash val="solid"/>
            </a:ln>
            <a:effectLst/>
          </xdr:spPr>
        </xdr:cxnSp>
        <xdr:cxnSp macro="">
          <xdr:nvCxnSpPr>
            <xdr:cNvPr id="84" name="Straight Connector 83">
              <a:extLst>
                <a:ext uri="{FF2B5EF4-FFF2-40B4-BE49-F238E27FC236}">
                  <a16:creationId xmlns:a16="http://schemas.microsoft.com/office/drawing/2014/main" id="{00000000-0008-0000-0300-000054000000}"/>
                </a:ext>
              </a:extLst>
            </xdr:cNvPr>
            <xdr:cNvCxnSpPr/>
          </xdr:nvCxnSpPr>
          <xdr:spPr>
            <a:xfrm>
              <a:off x="13031701" y="4688975"/>
              <a:ext cx="0" cy="110203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85" name="TextBox 84">
              <a:extLst>
                <a:ext uri="{FF2B5EF4-FFF2-40B4-BE49-F238E27FC236}">
                  <a16:creationId xmlns:a16="http://schemas.microsoft.com/office/drawing/2014/main" id="{00000000-0008-0000-0300-000055000000}"/>
                </a:ext>
              </a:extLst>
            </xdr:cNvPr>
            <xdr:cNvSpPr txBox="1"/>
          </xdr:nvSpPr>
          <xdr:spPr>
            <a:xfrm>
              <a:off x="12841200" y="5112903"/>
              <a:ext cx="389416" cy="363711"/>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900" b="0"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86" name="TextBox 85">
              <a:extLst>
                <a:ext uri="{FF2B5EF4-FFF2-40B4-BE49-F238E27FC236}">
                  <a16:creationId xmlns:a16="http://schemas.microsoft.com/office/drawing/2014/main" id="{00000000-0008-0000-0300-000056000000}"/>
                </a:ext>
              </a:extLst>
            </xdr:cNvPr>
            <xdr:cNvSpPr txBox="1"/>
          </xdr:nvSpPr>
          <xdr:spPr>
            <a:xfrm>
              <a:off x="15358361" y="5459154"/>
              <a:ext cx="451878" cy="31857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Calibri"/>
                  <a:ea typeface="+mn-ea"/>
                  <a:cs typeface="+mn-cs"/>
                </a:rPr>
                <a:t>V</a:t>
              </a:r>
              <a:r>
                <a:rPr kumimoji="0" lang="en-US" sz="1200" b="1" i="0" u="none" strike="noStrike" kern="0" cap="none" spc="0" normalizeH="0" baseline="-25000" noProof="0">
                  <a:ln>
                    <a:noFill/>
                  </a:ln>
                  <a:solidFill>
                    <a:srgbClr val="0070C0"/>
                  </a:solidFill>
                  <a:effectLst/>
                  <a:uLnTx/>
                  <a:uFillTx/>
                  <a:latin typeface="Calibri"/>
                  <a:ea typeface="+mn-ea"/>
                  <a:cs typeface="+mn-cs"/>
                </a:rPr>
                <a:t>OZ</a:t>
              </a:r>
            </a:p>
          </xdr:txBody>
        </xdr:sp>
      </xdr:grpSp>
      <xdr:sp macro="" textlink="">
        <xdr:nvSpPr>
          <xdr:cNvPr id="50" name="Rectangle 49">
            <a:extLst>
              <a:ext uri="{FF2B5EF4-FFF2-40B4-BE49-F238E27FC236}">
                <a16:creationId xmlns:a16="http://schemas.microsoft.com/office/drawing/2014/main" id="{00000000-0008-0000-0300-000032000000}"/>
              </a:ext>
            </a:extLst>
          </xdr:cNvPr>
          <xdr:cNvSpPr/>
        </xdr:nvSpPr>
        <xdr:spPr>
          <a:xfrm>
            <a:off x="12258675" y="600075"/>
            <a:ext cx="3962400" cy="2914650"/>
          </a:xfrm>
          <a:prstGeom prst="rect">
            <a:avLst/>
          </a:prstGeom>
          <a:noFill/>
          <a:ln w="9525">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257175</xdr:colOff>
      <xdr:row>1</xdr:row>
      <xdr:rowOff>95250</xdr:rowOff>
    </xdr:from>
    <xdr:to>
      <xdr:col>12</xdr:col>
      <xdr:colOff>9525</xdr:colOff>
      <xdr:row>3</xdr:row>
      <xdr:rowOff>9525</xdr:rowOff>
    </xdr:to>
    <xdr:sp macro="[0]!RoundedRectangle1_Click" textlink="">
      <xdr:nvSpPr>
        <xdr:cNvPr id="2" name="Rounded Rectangle 1">
          <a:extLst>
            <a:ext uri="{FF2B5EF4-FFF2-40B4-BE49-F238E27FC236}">
              <a16:creationId xmlns:a16="http://schemas.microsoft.com/office/drawing/2014/main" id="{00000000-0008-0000-0300-000002000000}"/>
            </a:ext>
          </a:extLst>
        </xdr:cNvPr>
        <xdr:cNvSpPr/>
      </xdr:nvSpPr>
      <xdr:spPr>
        <a:xfrm>
          <a:off x="6000750" y="323850"/>
          <a:ext cx="2343150" cy="40957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n-US" sz="1100"/>
            <a:t>Paste Schedule To New Blank Sheet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975473</xdr:colOff>
      <xdr:row>1</xdr:row>
      <xdr:rowOff>81243</xdr:rowOff>
    </xdr:from>
    <xdr:to>
      <xdr:col>11</xdr:col>
      <xdr:colOff>570672</xdr:colOff>
      <xdr:row>2</xdr:row>
      <xdr:rowOff>411150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1329708" y="282949"/>
          <a:ext cx="2161346" cy="856583"/>
        </a:xfrm>
        <a:prstGeom prst="rect">
          <a:avLst/>
        </a:prstGeom>
      </xdr:spPr>
    </xdr:pic>
    <xdr:clientData/>
  </xdr:twoCellAnchor>
  <xdr:twoCellAnchor>
    <xdr:from>
      <xdr:col>5</xdr:col>
      <xdr:colOff>593912</xdr:colOff>
      <xdr:row>7</xdr:row>
      <xdr:rowOff>56029</xdr:rowOff>
    </xdr:from>
    <xdr:to>
      <xdr:col>11</xdr:col>
      <xdr:colOff>22413</xdr:colOff>
      <xdr:row>22</xdr:row>
      <xdr:rowOff>89647</xdr:rowOff>
    </xdr:to>
    <xdr:graphicFrame macro="">
      <xdr:nvGraphicFramePr>
        <xdr:cNvPr id="11" name="Chart 10">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342900</xdr:rowOff>
    </xdr:from>
    <xdr:to>
      <xdr:col>17</xdr:col>
      <xdr:colOff>561975</xdr:colOff>
      <xdr:row>34</xdr:row>
      <xdr:rowOff>9528</xdr:rowOff>
    </xdr:to>
    <xdr:sp macro="" textlink="">
      <xdr:nvSpPr>
        <xdr:cNvPr id="2" name="TextBox 1">
          <a:extLst>
            <a:ext uri="{FF2B5EF4-FFF2-40B4-BE49-F238E27FC236}">
              <a16:creationId xmlns:a16="http://schemas.microsoft.com/office/drawing/2014/main" id="{08D060E3-FE92-46D1-A5C6-197B3DBAB559}"/>
            </a:ext>
          </a:extLst>
        </xdr:cNvPr>
        <xdr:cNvSpPr txBox="1"/>
      </xdr:nvSpPr>
      <xdr:spPr>
        <a:xfrm>
          <a:off x="0" y="1303020"/>
          <a:ext cx="10925175" cy="5701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u="sng"/>
            <a:t>Compatibility.</a:t>
          </a:r>
        </a:p>
        <a:p>
          <a:endParaRPr lang="en-US" sz="1100"/>
        </a:p>
        <a:p>
          <a:r>
            <a:rPr lang="en-US" sz="1100">
              <a:solidFill>
                <a:schemeClr val="dk1"/>
              </a:solidFill>
              <a:effectLst/>
              <a:latin typeface="+mn-lt"/>
              <a:ea typeface="+mn-ea"/>
              <a:cs typeface="+mn-cs"/>
            </a:rPr>
            <a:t>The Titus Active Chilled Beam Select Software is designed for use with Microsoft Excel version 2010 and later. </a:t>
          </a:r>
          <a:r>
            <a:rPr lang="en-US" sz="1100" b="1" i="1">
              <a:solidFill>
                <a:schemeClr val="dk1"/>
              </a:solidFill>
              <a:effectLst/>
              <a:latin typeface="+mn-lt"/>
              <a:ea typeface="+mn-ea"/>
              <a:cs typeface="+mn-cs"/>
            </a:rPr>
            <a:t>Excel macros must be enabled for the program to function correctly</a:t>
          </a:r>
          <a:r>
            <a:rPr lang="en-US" sz="1100">
              <a:solidFill>
                <a:schemeClr val="dk1"/>
              </a:solidFill>
              <a:effectLst/>
              <a:latin typeface="+mn-lt"/>
              <a:ea typeface="+mn-ea"/>
              <a:cs typeface="+mn-cs"/>
            </a:rPr>
            <a:t>.</a:t>
          </a: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Purpose.</a:t>
          </a:r>
        </a:p>
        <a:p>
          <a:r>
            <a:rPr lang="en-US" sz="1100">
              <a:solidFill>
                <a:schemeClr val="dk1"/>
              </a:solidFill>
              <a:effectLst/>
              <a:latin typeface="+mn-lt"/>
              <a:ea typeface="+mn-ea"/>
              <a:cs typeface="+mn-cs"/>
            </a:rPr>
            <a:t>This software is designed to assist engineers with the selection and layout of an active chilled beam system. The program is laid out in five sections: Global Inputs, Zone Requirements, Individual Inputs, Zone Performance and Individual Unit Performance.</a:t>
          </a:r>
        </a:p>
        <a:p>
          <a:endParaRPr lang="en-US" sz="1100" b="1" u="sng">
            <a:solidFill>
              <a:schemeClr val="dk1"/>
            </a:solidFill>
            <a:effectLst/>
            <a:latin typeface="+mn-lt"/>
            <a:ea typeface="+mn-ea"/>
            <a:cs typeface="+mn-cs"/>
          </a:endParaRPr>
        </a:p>
        <a:p>
          <a:r>
            <a:rPr lang="en-US" sz="1600" b="1" u="sng">
              <a:solidFill>
                <a:schemeClr val="dk1"/>
              </a:solidFill>
              <a:effectLst/>
              <a:latin typeface="+mn-lt"/>
              <a:ea typeface="+mn-ea"/>
              <a:cs typeface="+mn-cs"/>
            </a:rPr>
            <a:t>Understanding the Sheet Sections.</a:t>
          </a:r>
        </a:p>
        <a:p>
          <a:endParaRPr lang="en-US" sz="1100">
            <a:solidFill>
              <a:schemeClr val="dk1"/>
            </a:solidFill>
            <a:effectLst/>
            <a:latin typeface="+mn-lt"/>
            <a:ea typeface="+mn-ea"/>
            <a:cs typeface="+mn-cs"/>
          </a:endParaRPr>
        </a:p>
        <a:p>
          <a:r>
            <a:rPr lang="en-US" sz="1400" b="1" i="1">
              <a:solidFill>
                <a:schemeClr val="dk1"/>
              </a:solidFill>
              <a:effectLst/>
              <a:latin typeface="+mn-lt"/>
              <a:ea typeface="+mn-ea"/>
              <a:cs typeface="+mn-cs"/>
            </a:rPr>
            <a:t>Global Inputs</a:t>
          </a:r>
        </a:p>
        <a:p>
          <a:r>
            <a:rPr lang="en-US" sz="1100">
              <a:solidFill>
                <a:sysClr val="windowText" lastClr="000000"/>
              </a:solidFill>
              <a:effectLst/>
              <a:latin typeface="+mn-lt"/>
              <a:ea typeface="+mn-ea"/>
              <a:cs typeface="+mn-cs"/>
            </a:rPr>
            <a:t>In this section the user inserts the design parameters for the project. This data includes project name, </a:t>
          </a:r>
          <a:r>
            <a:rPr lang="en-US" sz="1100" b="0" strike="noStrike" baseline="0">
              <a:solidFill>
                <a:sysClr val="windowText" lastClr="000000"/>
              </a:solidFill>
              <a:effectLst/>
              <a:latin typeface="+mn-lt"/>
              <a:ea typeface="+mn-ea"/>
              <a:cs typeface="+mn-cs"/>
            </a:rPr>
            <a:t>s</a:t>
          </a:r>
          <a:r>
            <a:rPr lang="en-US" sz="1100">
              <a:solidFill>
                <a:sysClr val="windowText" lastClr="000000"/>
              </a:solidFill>
              <a:effectLst/>
              <a:latin typeface="+mn-lt"/>
              <a:ea typeface="+mn-ea"/>
              <a:cs typeface="+mn-cs"/>
            </a:rPr>
            <a:t>pace temperature and humidity set points, primary air and water conditions and altitude. </a:t>
          </a:r>
        </a:p>
        <a:p>
          <a:endParaRPr lang="en-US" sz="1100">
            <a:solidFill>
              <a:schemeClr val="dk1"/>
            </a:solidFill>
            <a:effectLst/>
            <a:latin typeface="+mn-lt"/>
            <a:ea typeface="+mn-ea"/>
            <a:cs typeface="+mn-cs"/>
          </a:endParaRPr>
        </a:p>
        <a:p>
          <a:r>
            <a:rPr lang="en-US" sz="1100" b="1" i="1">
              <a:solidFill>
                <a:srgbClr val="FF0000"/>
              </a:solidFill>
              <a:effectLst/>
              <a:latin typeface="+mn-lt"/>
              <a:ea typeface="+mn-ea"/>
              <a:cs typeface="+mn-cs"/>
            </a:rPr>
            <a:t>	Note: </a:t>
          </a:r>
          <a:r>
            <a:rPr lang="en-US" sz="1100" b="0" i="1">
              <a:solidFill>
                <a:srgbClr val="FF0000"/>
              </a:solidFill>
              <a:effectLst/>
              <a:latin typeface="+mn-lt"/>
              <a:ea typeface="+mn-ea"/>
              <a:cs typeface="+mn-cs"/>
            </a:rPr>
            <a:t>Changes</a:t>
          </a:r>
          <a:r>
            <a:rPr lang="en-US" sz="1100" b="0" i="1" baseline="0">
              <a:solidFill>
                <a:srgbClr val="FF0000"/>
              </a:solidFill>
              <a:effectLst/>
              <a:latin typeface="+mn-lt"/>
              <a:ea typeface="+mn-ea"/>
              <a:cs typeface="+mn-cs"/>
            </a:rPr>
            <a:t> in the Global Inputs will affect the performance of all of the beams previously selected. Those beams should be revisited to make sure the Global Input 	change did not affect their ability to provide the required zone performance.</a:t>
          </a:r>
          <a:endParaRPr lang="en-US" sz="1100" b="0" i="1">
            <a:solidFill>
              <a:srgbClr val="FF0000"/>
            </a:solidFill>
            <a:effectLst/>
            <a:latin typeface="+mn-lt"/>
            <a:ea typeface="+mn-ea"/>
            <a:cs typeface="+mn-cs"/>
          </a:endParaRP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Space Design Temperature</a:t>
          </a:r>
          <a:r>
            <a:rPr lang="en-US" sz="1100" b="1" i="1" baseline="0">
              <a:solidFill>
                <a:schemeClr val="dk1"/>
              </a:solidFill>
              <a:effectLst/>
              <a:latin typeface="+mn-lt"/>
              <a:ea typeface="+mn-ea"/>
              <a:cs typeface="+mn-cs"/>
            </a:rPr>
            <a:t> and Humidity Conditions</a:t>
          </a:r>
          <a:endParaRPr lang="en-US">
            <a:effectLst/>
          </a:endParaRPr>
        </a:p>
        <a:p>
          <a:r>
            <a:rPr lang="en-US" sz="1100">
              <a:solidFill>
                <a:schemeClr val="dk1"/>
              </a:solidFill>
              <a:effectLst/>
              <a:latin typeface="+mn-lt"/>
              <a:ea typeface="+mn-ea"/>
              <a:cs typeface="+mn-cs"/>
            </a:rPr>
            <a:t>Select the room design conditions (dry bulb temperature &amp; RH%) within the valid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entry ranges</a:t>
          </a:r>
          <a:r>
            <a:rPr lang="en-US" sz="1100" baseline="0">
              <a:solidFill>
                <a:schemeClr val="dk1"/>
              </a:solidFill>
              <a:effectLst/>
              <a:latin typeface="+mn-lt"/>
              <a:ea typeface="+mn-ea"/>
              <a:cs typeface="+mn-cs"/>
            </a:rPr>
            <a:t>.</a:t>
          </a:r>
          <a:r>
            <a:rPr lang="en-US" sz="1100">
              <a:solidFill>
                <a:schemeClr val="dk1"/>
              </a:solidFill>
              <a:effectLst/>
              <a:latin typeface="+mn-lt"/>
              <a:ea typeface="+mn-ea"/>
              <a:cs typeface="+mn-cs"/>
            </a:rPr>
            <a:t> While VAV systems are often designed for a room humidity of 50% RH, it is common design practice to design a chilled beam system to a slightly higher value. This is due to the fact that chilled beam systems are typically designed for a constant volume primary air supply which ensures that the design dehumidification is assured at all times, even during part load sensible cooling conditions. </a:t>
          </a:r>
        </a:p>
        <a:p>
          <a:endParaRPr lang="en-US">
            <a:effectLst/>
          </a:endParaRPr>
        </a:p>
        <a:p>
          <a:r>
            <a:rPr lang="en-US" sz="1100" b="1" i="1">
              <a:solidFill>
                <a:schemeClr val="dk1"/>
              </a:solidFill>
              <a:effectLst/>
              <a:latin typeface="+mn-lt"/>
              <a:ea typeface="+mn-ea"/>
              <a:cs typeface="+mn-cs"/>
            </a:rPr>
            <a:t>	Note:</a:t>
          </a:r>
          <a:r>
            <a:rPr lang="en-US" sz="1100" i="1">
              <a:solidFill>
                <a:schemeClr val="dk1"/>
              </a:solidFill>
              <a:effectLst/>
              <a:latin typeface="+mn-lt"/>
              <a:ea typeface="+mn-ea"/>
              <a:cs typeface="+mn-cs"/>
            </a:rPr>
            <a:t> </a:t>
          </a:r>
          <a:r>
            <a:rPr lang="en-US" sz="1100" i="1" baseline="0">
              <a:solidFill>
                <a:schemeClr val="dk1"/>
              </a:solidFill>
              <a:effectLst/>
              <a:latin typeface="+mn-lt"/>
              <a:ea typeface="+mn-ea"/>
              <a:cs typeface="+mn-cs"/>
            </a:rPr>
            <a:t>Proper maintenance of space humidity conditions usually determine the design </a:t>
          </a:r>
          <a:r>
            <a:rPr lang="en-US" sz="1100" i="1">
              <a:solidFill>
                <a:schemeClr val="dk1"/>
              </a:solidFill>
              <a:effectLst/>
              <a:latin typeface="+mn-lt"/>
              <a:ea typeface="+mn-ea"/>
              <a:cs typeface="+mn-cs"/>
            </a:rPr>
            <a:t>primary airflow rates in chilled beam systems. Designing to a slightly higher room RH% 	can significantly reduce the amount of primary air required. Since the</a:t>
          </a:r>
          <a:r>
            <a:rPr lang="en-US" sz="1100" i="1" baseline="0">
              <a:solidFill>
                <a:schemeClr val="dk1"/>
              </a:solidFill>
              <a:effectLst/>
              <a:latin typeface="+mn-lt"/>
              <a:ea typeface="+mn-ea"/>
              <a:cs typeface="+mn-cs"/>
            </a:rPr>
            <a:t> space </a:t>
          </a:r>
          <a:r>
            <a:rPr lang="en-US" sz="1100" i="1">
              <a:solidFill>
                <a:schemeClr val="dk1"/>
              </a:solidFill>
              <a:effectLst/>
              <a:latin typeface="+mn-lt"/>
              <a:ea typeface="+mn-ea"/>
              <a:cs typeface="+mn-cs"/>
            </a:rPr>
            <a:t>latent cooling demand is inversely proportional to the differential (</a:t>
          </a:r>
          <a:r>
            <a:rPr lang="el-GR" sz="1100" i="1">
              <a:solidFill>
                <a:schemeClr val="dk1"/>
              </a:solidFill>
              <a:effectLst/>
              <a:latin typeface="+mn-lt"/>
              <a:ea typeface="+mn-ea"/>
              <a:cs typeface="+mn-cs"/>
            </a:rPr>
            <a:t>Δ</a:t>
          </a:r>
          <a:r>
            <a:rPr lang="en-US" sz="1100" i="1">
              <a:solidFill>
                <a:schemeClr val="dk1"/>
              </a:solidFill>
              <a:effectLst/>
              <a:latin typeface="+mn-lt"/>
              <a:ea typeface="+mn-ea"/>
              <a:cs typeface="+mn-cs"/>
            </a:rPr>
            <a:t>W) between the humidity 	ratio of the room air and</a:t>
          </a:r>
          <a:r>
            <a:rPr lang="en-US" sz="1100" i="1" baseline="0">
              <a:solidFill>
                <a:schemeClr val="dk1"/>
              </a:solidFill>
              <a:effectLst/>
              <a:latin typeface="+mn-lt"/>
              <a:ea typeface="+mn-ea"/>
              <a:cs typeface="+mn-cs"/>
            </a:rPr>
            <a:t> that of the </a:t>
          </a:r>
          <a:r>
            <a:rPr lang="en-US" sz="1100" i="1">
              <a:solidFill>
                <a:schemeClr val="dk1"/>
              </a:solidFill>
              <a:effectLst/>
              <a:latin typeface="+mn-lt"/>
              <a:ea typeface="+mn-ea"/>
              <a:cs typeface="+mn-cs"/>
            </a:rPr>
            <a:t>primary air,</a:t>
          </a:r>
          <a:r>
            <a:rPr lang="en-US" sz="1100" i="1" baseline="0">
              <a:solidFill>
                <a:schemeClr val="dk1"/>
              </a:solidFill>
              <a:effectLst/>
              <a:latin typeface="+mn-lt"/>
              <a:ea typeface="+mn-ea"/>
              <a:cs typeface="+mn-cs"/>
            </a:rPr>
            <a:t> either raisng the room humidity ratio and/or reducing the primary air humidity ratio will increase this differential (</a:t>
          </a:r>
          <a:r>
            <a:rPr lang="el-GR" sz="1100" i="1" baseline="0">
              <a:solidFill>
                <a:schemeClr val="dk1"/>
              </a:solidFill>
              <a:effectLst/>
              <a:latin typeface="+mn-lt"/>
              <a:ea typeface="+mn-ea"/>
              <a:cs typeface="+mn-cs"/>
            </a:rPr>
            <a:t>Δ</a:t>
          </a:r>
          <a:r>
            <a:rPr lang="en-US" sz="1100" i="1" baseline="0">
              <a:solidFill>
                <a:schemeClr val="dk1"/>
              </a:solidFill>
              <a:effectLst/>
              <a:latin typeface="+mn-lt"/>
              <a:ea typeface="+mn-ea"/>
              <a:cs typeface="+mn-cs"/>
            </a:rPr>
            <a:t>W). </a:t>
          </a:r>
          <a:r>
            <a:rPr lang="en-US" sz="1100" i="1">
              <a:solidFill>
                <a:schemeClr val="dk1"/>
              </a:solidFill>
              <a:effectLst/>
              <a:latin typeface="+mn-lt"/>
              <a:ea typeface="+mn-ea"/>
              <a:cs typeface="+mn-cs"/>
            </a:rPr>
            <a:t>For 	example, when </a:t>
          </a:r>
          <a:r>
            <a:rPr lang="en-US" sz="1100" i="1" baseline="0">
              <a:solidFill>
                <a:schemeClr val="dk1"/>
              </a:solidFill>
              <a:effectLst/>
              <a:latin typeface="+mn-lt"/>
              <a:ea typeface="+mn-ea"/>
              <a:cs typeface="+mn-cs"/>
            </a:rPr>
            <a:t> primary air with at a conventional  humidity ratio (54 grains) is delivered to a room designed for </a:t>
          </a:r>
          <a:r>
            <a:rPr lang="en-US" sz="1100" i="1">
              <a:solidFill>
                <a:schemeClr val="dk1"/>
              </a:solidFill>
              <a:effectLst/>
              <a:latin typeface="+mn-lt"/>
              <a:ea typeface="+mn-ea"/>
              <a:cs typeface="+mn-cs"/>
            </a:rPr>
            <a:t>75°F DB, increasing the design RH% from 50%</a:t>
          </a:r>
          <a:r>
            <a:rPr lang="en-US" sz="1100" i="1" baseline="0">
              <a:solidFill>
                <a:schemeClr val="dk1"/>
              </a:solidFill>
              <a:effectLst/>
              <a:latin typeface="+mn-lt"/>
              <a:ea typeface="+mn-ea"/>
              <a:cs typeface="+mn-cs"/>
            </a:rPr>
            <a:t> (W = 65 	grains) </a:t>
          </a:r>
          <a:r>
            <a:rPr lang="en-US" sz="1100" i="1">
              <a:solidFill>
                <a:schemeClr val="dk1"/>
              </a:solidFill>
              <a:effectLst/>
              <a:latin typeface="+mn-lt"/>
              <a:ea typeface="+mn-ea"/>
              <a:cs typeface="+mn-cs"/>
            </a:rPr>
            <a:t>to 55% (72 grains) increases the </a:t>
          </a:r>
          <a:r>
            <a:rPr lang="el-GR" sz="1100" i="1">
              <a:solidFill>
                <a:schemeClr val="dk1"/>
              </a:solidFill>
              <a:effectLst/>
              <a:latin typeface="+mn-lt"/>
              <a:ea typeface="+mn-ea"/>
              <a:cs typeface="+mn-cs"/>
            </a:rPr>
            <a:t>Δ</a:t>
          </a:r>
          <a:r>
            <a:rPr lang="en-US" sz="1100" i="1">
              <a:solidFill>
                <a:schemeClr val="dk1"/>
              </a:solidFill>
              <a:effectLst/>
              <a:latin typeface="+mn-lt"/>
              <a:ea typeface="+mn-ea"/>
              <a:cs typeface="+mn-cs"/>
            </a:rPr>
            <a:t>W from 11 to 18 grains which reduces the space latent</a:t>
          </a:r>
          <a:r>
            <a:rPr lang="en-US" sz="1100" i="1" baseline="0">
              <a:solidFill>
                <a:schemeClr val="dk1"/>
              </a:solidFill>
              <a:effectLst/>
              <a:latin typeface="+mn-lt"/>
              <a:ea typeface="+mn-ea"/>
              <a:cs typeface="+mn-cs"/>
            </a:rPr>
            <a:t> cooling demand (and the primary airflow rate requirement to satisfy it) by 	about 40%. </a:t>
          </a:r>
          <a:r>
            <a:rPr lang="en-US" sz="1100" i="1">
              <a:solidFill>
                <a:schemeClr val="dk1"/>
              </a:solidFill>
              <a:effectLst/>
              <a:latin typeface="+mn-lt"/>
              <a:ea typeface="+mn-ea"/>
              <a:cs typeface="+mn-cs"/>
            </a:rPr>
            <a:t> Design for unnecesarily high primary airflow rates can result in space overcooling and necessitate excessive reheat so it is recommended</a:t>
          </a:r>
          <a:r>
            <a:rPr lang="en-US" sz="1100" i="1" baseline="0">
              <a:solidFill>
                <a:schemeClr val="dk1"/>
              </a:solidFill>
              <a:effectLst/>
              <a:latin typeface="+mn-lt"/>
              <a:ea typeface="+mn-ea"/>
              <a:cs typeface="+mn-cs"/>
            </a:rPr>
            <a:t> that the design primary 	airflow rate be maintained as low as possible. </a:t>
          </a:r>
        </a:p>
        <a:p>
          <a:endParaRPr lang="en-US">
            <a:effectLst/>
          </a:endParaRPr>
        </a:p>
        <a:p>
          <a:r>
            <a:rPr lang="en-US" sz="1100" b="1" i="1" baseline="0">
              <a:solidFill>
                <a:srgbClr val="0070C0"/>
              </a:solidFill>
              <a:effectLst/>
              <a:latin typeface="+mn-lt"/>
              <a:ea typeface="+mn-ea"/>
              <a:cs typeface="+mn-cs"/>
            </a:rPr>
            <a:t>The table below details recommendations for room temperature/RH% design conditions for chilled beam systems. All of the combinations in the table produce room conditions that comply with ASHRAE Standard 55-2013 thermal comfort recommendations and assume the use of a chilled beam water supply temperature above the space dewpoint temperature. </a:t>
          </a:r>
          <a:endParaRPr lang="en-US">
            <a:solidFill>
              <a:srgbClr val="0070C0"/>
            </a:solidFill>
            <a:effectLst/>
          </a:endParaRPr>
        </a:p>
        <a:p>
          <a:endParaRPr lang="en-US" sz="1100">
            <a:solidFill>
              <a:schemeClr val="dk1"/>
            </a:solidFill>
            <a:effectLst/>
            <a:latin typeface="+mn-lt"/>
            <a:ea typeface="+mn-ea"/>
            <a:cs typeface="+mn-cs"/>
          </a:endParaRPr>
        </a:p>
      </xdr:txBody>
    </xdr:sp>
    <xdr:clientData/>
  </xdr:twoCellAnchor>
  <xdr:twoCellAnchor>
    <xdr:from>
      <xdr:col>0</xdr:col>
      <xdr:colOff>0</xdr:colOff>
      <xdr:row>43</xdr:row>
      <xdr:rowOff>68035</xdr:rowOff>
    </xdr:from>
    <xdr:to>
      <xdr:col>17</xdr:col>
      <xdr:colOff>523875</xdr:colOff>
      <xdr:row>241</xdr:row>
      <xdr:rowOff>106137</xdr:rowOff>
    </xdr:to>
    <xdr:sp macro="" textlink="">
      <xdr:nvSpPr>
        <xdr:cNvPr id="3" name="TextBox 2">
          <a:extLst>
            <a:ext uri="{FF2B5EF4-FFF2-40B4-BE49-F238E27FC236}">
              <a16:creationId xmlns:a16="http://schemas.microsoft.com/office/drawing/2014/main" id="{624D0DA4-EC71-4422-8C58-79FF4481ECE8}"/>
            </a:ext>
          </a:extLst>
        </xdr:cNvPr>
        <xdr:cNvSpPr txBox="1"/>
      </xdr:nvSpPr>
      <xdr:spPr>
        <a:xfrm>
          <a:off x="0" y="8792935"/>
          <a:ext cx="10887075" cy="362483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FF0000"/>
              </a:solidFill>
              <a:effectLst/>
              <a:uLnTx/>
              <a:uFillTx/>
              <a:latin typeface="+mn-lt"/>
              <a:ea typeface="+mn-ea"/>
              <a:cs typeface="+mn-cs"/>
            </a:rPr>
            <a:t>	</a:t>
          </a: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Water Temperatures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chilled beam chilled water temperature (CHW) should be set above the room dew point temperature to prevent condensation occurring on the coils. The room dew point temperature is shown under the room conditions (DB temperature and RH%) entered by the user. If the user enters a CHW supply temperature below the room dew point a warning dialog is shown, if this occurs, raise the CHW temperature to at or above the dew point. Typical temperatures range from 56 to 62 degrees, with lower temperatures being suited to applications with high sensible loads.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a:t>
          </a:r>
          <a:r>
            <a:rPr kumimoji="0" lang="en-US" sz="1100" b="1" i="1" u="none" strike="noStrike" kern="0" cap="none" spc="0" normalizeH="0" baseline="0" noProof="0">
              <a:ln>
                <a:noFill/>
              </a:ln>
              <a:solidFill>
                <a:prstClr val="black"/>
              </a:solidFill>
              <a:effectLst/>
              <a:uLnTx/>
              <a:uFillTx/>
              <a:latin typeface="+mn-lt"/>
              <a:ea typeface="+mn-ea"/>
              <a:cs typeface="+mn-cs"/>
            </a:rPr>
            <a:t>Note:</a:t>
          </a:r>
          <a:r>
            <a:rPr kumimoji="0" lang="en-US" sz="1100" b="0" i="1" u="none" strike="noStrike" kern="0" cap="none" spc="0" normalizeH="0" baseline="0" noProof="0">
              <a:ln>
                <a:noFill/>
              </a:ln>
              <a:solidFill>
                <a:prstClr val="black"/>
              </a:solidFill>
              <a:effectLst/>
              <a:uLnTx/>
              <a:uFillTx/>
              <a:latin typeface="+mn-lt"/>
              <a:ea typeface="+mn-ea"/>
              <a:cs typeface="+mn-cs"/>
            </a:rPr>
            <a:t> In the event a chilled water supply temperature that is below the calculated room dew point is entered, the entry cell will be highlighted. Upon seeing this, the user can 	either increase the chilled water supply temperature or accept the fact that the chilled water supply temperature is below the space dew point temperture (not generally 	recommended) and accept any condensation risks associated. In the event Global Inputs that might affect the space dew point temperature calculation are made, the chilled 	water supply temperature should be compared with the revised room dew point temperature and revised accordingly. </a:t>
          </a:r>
          <a:r>
            <a:rPr kumimoji="0" lang="en-US" sz="1100" b="1" i="1" u="none" strike="noStrike" kern="0" cap="none" spc="0" normalizeH="0" baseline="0" noProof="0">
              <a:ln>
                <a:noFill/>
              </a:ln>
              <a:solidFill>
                <a:srgbClr val="FF0000"/>
              </a:solidFill>
              <a:effectLst/>
              <a:uLnTx/>
              <a:uFillTx/>
              <a:latin typeface="+mn-lt"/>
              <a:ea typeface="+mn-ea"/>
              <a:cs typeface="+mn-cs"/>
            </a:rPr>
            <a:t>Any Global Input change will affect all of the 	selections previously performed.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Heating water temperatures of between 100 – 130 degrees are recommended for 2-pipe chilled beams, while up to around 140 degrees can be used for 4-pipe beams. High heating water temperatures (&gt;140) are not recommended and may cause space stratification and poor mixing and will trigger a warning dialog.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Primary Air Conditions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primary air conditions (Dry Bulb and Humidity ratio)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are entered for summer conditions while only the dry bulb temperature is required for winter conditions (the same Humidity Ratio and space latent heat gain is assumed equal for both conditions). The primary air serving a chilled beam system is often designed with a lower moisture content than a VAV system, typical values are between 45 and 51 grains. Dry bulb temperatures bettwen 55 and 65 degrees are typically used with the warmer temperatures being used for high ventilation rate applications (hospital patient rooms, laboratories) to reduce the reheat. Temperatures below 51 degrees are not recommended as this may cause condensation to form inside the chilled beam unit, a warning dialog is triggered below 51 degrees.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Altitude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entry in this cell indicates the altitude at which the system is operating.  This  entry affects the calculation of room and primary air density, dew point temperature and humidity ratios performed by the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Water Additives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These entries define any anti-freeze additives that are to be used in the application. The user should identify their types and concentration for the water circuit(s) in which they are used.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Pressure loss and NC limitations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These entries define any maximum air or waterside pressure drops  or NC limitatiions of the design. It is recommnded that water coil  head losses not exceed  ten (10)  feet in order to assure water velocities that do not create audible noise.  If the water flow rate entered by the user results in a head loss that exceeds  the user's input value, the selection program will automatically revert to a multi-circuit coil which will reduce the head loss considerably.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FF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NC or airside performance that exceeds the limitations specified by the user will result in the repective zone performance  result cell being shaded red to alert the 	user of its non-conformance. In this event, the user should consider the remediation procedures  suggested in the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rgbClr val="FF0000"/>
              </a:solidFill>
              <a:effectLst/>
              <a:uLnTx/>
              <a:uFillTx/>
              <a:latin typeface="+mn-lt"/>
              <a:ea typeface="+mn-ea"/>
              <a:cs typeface="+mn-cs"/>
            </a:rPr>
            <a:t>	</a:t>
          </a: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Zone </a:t>
          </a:r>
          <a:r>
            <a:rPr kumimoji="0" lang="en-US" sz="1400" b="1" i="1" u="none" strike="noStrike" kern="0" cap="none" spc="0" normalizeH="0" baseline="0" noProof="0">
              <a:ln>
                <a:noFill/>
              </a:ln>
              <a:solidFill>
                <a:sysClr val="windowText" lastClr="000000"/>
              </a:solidFill>
              <a:effectLst/>
              <a:uLnTx/>
              <a:uFillTx/>
              <a:latin typeface="+mn-lt"/>
              <a:ea typeface="+mn-ea"/>
              <a:cs typeface="+mn-cs"/>
            </a:rPr>
            <a:t>Requirements (Columns B through 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In this section the user can manually enter or paste (using the “paste values” function) the zone data which includes: Tag, Zone Name, Area, Cooling &amp; Heating loads and minimum ventilation rate.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Individual Beam </a:t>
          </a:r>
          <a:r>
            <a:rPr kumimoji="0" lang="en-US" sz="1400" b="1" i="1" u="none" strike="noStrike" kern="0" cap="none" spc="0" normalizeH="0" baseline="0" noProof="0">
              <a:ln>
                <a:noFill/>
              </a:ln>
              <a:solidFill>
                <a:sysClr val="windowText" lastClr="000000"/>
              </a:solidFill>
              <a:effectLst/>
              <a:uLnTx/>
              <a:uFillTx/>
              <a:latin typeface="+mn-lt"/>
              <a:ea typeface="+mn-ea"/>
              <a:cs typeface="+mn-cs"/>
            </a:rPr>
            <a:t>Inputs  (Columns J through U)</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In this section the user enters the data for each chilled beam unit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serving t</a:t>
          </a:r>
          <a:r>
            <a:rPr kumimoji="0" lang="en-US" sz="1100" b="0" i="0" u="none" strike="noStrike" kern="0" cap="none" spc="0" normalizeH="0" baseline="0" noProof="0">
              <a:ln>
                <a:noFill/>
              </a:ln>
              <a:solidFill>
                <a:prstClr val="black"/>
              </a:solidFill>
              <a:effectLst/>
              <a:uLnTx/>
              <a:uFillTx/>
              <a:latin typeface="+mn-lt"/>
              <a:ea typeface="+mn-ea"/>
              <a:cs typeface="+mn-cs"/>
            </a:rPr>
            <a:t>he zone.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Qty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is the quantity of beams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of a given type </a:t>
          </a:r>
          <a:r>
            <a:rPr kumimoji="0" lang="en-US" sz="1100" b="0" i="0" u="none" strike="noStrike" kern="0" cap="none" spc="0" normalizeH="0" baseline="0" noProof="0">
              <a:ln>
                <a:noFill/>
              </a:ln>
              <a:solidFill>
                <a:prstClr val="black"/>
              </a:solidFill>
              <a:effectLst/>
              <a:uLnTx/>
              <a:uFillTx/>
              <a:latin typeface="+mn-lt"/>
              <a:ea typeface="+mn-ea"/>
              <a:cs typeface="+mn-cs"/>
            </a:rPr>
            <a:t>serving a single zone. The approximate quantity is an estimate based on the air/water conditions, room set points, ventilation airflow and model. The use can enter the actual desired quantity in the column to the right.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If more than one beam type serves the zone, the beams should be aptly labeled and entered on separate lines.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Beam Model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Using the diagrams and description at the top of the sheet, the user selects the style of chilled beam unit to be employed.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Length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length is chosen from the drop down box that appears once the beam model has been entered. The  available lengths for the beam model chosen are presented in the drop down menu.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Discharge pattern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Discahrge patterns available for the beam model  chosen are presented in the cell's pull down menu.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Coil  Type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user can select the coil according to the types available in the drop down menu.  Four pipe coils (designated "4 pipe H/C") should be selected when the coil within the beam is supplied by a four (4) pipe distribution system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and</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is intended to provide cooling and heating to the zone it serves.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Two pipe coils designated "2 pipe  H/C" are intended for two pipe distribution applications where the temperature of the supply water delivered to the zone  is varied according to season. These coils are also employed when the zone is supplied by six (6) port zone valves. These valves are designed to receive both chilled and hot water from the separate distribution systems and decide which water source  is required to supply to the beams within the zone. They also modulated the chosen water flow according to the space thermostat's indicated demand.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Two pipe coils designated "2 pipe cooling" or "2 pipe heating" are intended for use where a two pipe dsistribution system delivers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only</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chilled or hot water to a zone. Coils designated as "2 pipe cooling" are appropriate for interior zone cooling where heating is not required.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prstClr val="black"/>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a:t>
          </a:r>
          <a:r>
            <a:rPr kumimoji="0" lang="en-US" sz="1100" b="0" i="1" u="none" strike="noStrike" kern="0" cap="none" spc="0" normalizeH="0" baseline="0" noProof="0">
              <a:ln>
                <a:noFill/>
              </a:ln>
              <a:solidFill>
                <a:srgbClr val="FF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Two pipe coils designated "2 pipe cooling" are also used for applications  where the heating source is de-coupled from the beam's coil itself. Examples include fin tube 	or radiant panel heating  and the employment of a zone heating coil that heats the primary air before its delivery to the beam. </a:t>
          </a:r>
          <a:r>
            <a:rPr kumimoji="0" lang="en-US" sz="1100" b="0" i="1" u="none" strike="noStrike" kern="0" cap="none" spc="0" normalizeH="0" baseline="0" noProof="0">
              <a:ln>
                <a:noFill/>
              </a:ln>
              <a:solidFill>
                <a:srgbClr val="FF0000"/>
              </a:solidFill>
              <a:effectLst/>
              <a:uLnTx/>
              <a:uFillTx/>
              <a:latin typeface="+mn-lt"/>
              <a:ea typeface="+mn-ea"/>
              <a:cs typeface="+mn-cs"/>
            </a:rPr>
            <a:t>In the event a zone heating requirement 	value is entered in column "G" yet a "2 pipe (cooling) coil is specified in column "O", the program assumes that zone heating is being provided by a zone heating coil mounted 	in the primary air duct and calculates the supply (discharge) air temperature under the assumption the design zone heating is being provided by the primary air. If this is not 	the case, no value should be specified in column "G" as the heat provided by the de-coupled heating source will not affect the beams' discharge temperature.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Nozzle Type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All TITUS active beams are available  with at least three (3) differeing nozzle types. The nozzle types for the chosen model apeear in a drop down menu for the user's selection.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nozzle types appear in order of their diameter. M13 nozzles are the smallest while M31 nozzles are the largest available for the model selected. In general, small nozzles create higher room air induction rates  (per CFM of primary air) but also have considerably lower primary air capacities. Larger nozzles have high primary air capacities but lower induction rates.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The most common nozzle is the M17 and M23 nozzles and they should probably the starting point for most selections.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Minimum Design Primary Airflow Rate (Column Q)</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program calculates a minimum primary airflow rate for the  beams' design purposes based on three defining criteria: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The minimum flow rate (through each beam) required to provide the user specified zone ventilation rate.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The minimum flow rate (through each beam) required to provide the user specified zone latent cooling.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A minimum nozzle velocity of 1,250 FPM through the beam model, size and nozzle type previously selected by the user. This velocity is the minimum at which the beams' 	induction performance can be assured. The beams' primary airflow rate can be reduced  below this threshold (for example where demand control ventilation is employed) 	but design should not be performed at velocities lower then 1,250 FPM.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In actual operation, the primary airflow rate to the beams may be reduced below the minimum value used for design purposes which is designated here.  In most  	cases the primary airflow rate should only be reduced after the zone water flow has been discontinued (examples would include further primary airflow reduction to reduce 	or eliminate reheating or unoccupied set back of the zone primary airflow).  In cases where demand control ventilation (DCV) is employed, the space sensible and latent 	cooling demand should reduce in proportion to its occupancy level or provision for sensible and/or latent override of the primary airflow rate should be considered.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rgbClr val="FF0000"/>
              </a:solidFill>
              <a:effectLst/>
              <a:uLnTx/>
              <a:uFillTx/>
              <a:latin typeface="+mn-lt"/>
              <a:ea typeface="+mn-ea"/>
              <a:cs typeface="+mn-cs"/>
            </a:rPr>
            <a:t>In all cases the primary airflow rate reduction should be limited to the airflow rate required to assure space ventilation and latent cooling requirements are met.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Individual Beam Primary Airflow Rate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is the user defined primary airflow rate for the beam(s). It must be at or above the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Minimum Design Primary Airflow Rate</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presented in Column Q of the selection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Air Inlet Size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entry is performed from a drop down menu that lists the available inlet sizes  for the model, length, nozzle type and primary airflow rate specified. The available inlet sizes are limited to those which provide the best acoustical performance for the appliication.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It is suggested that the smallest inlet size be selected, provided it results in an acceptable NC and inlet pressure requirement. If it does not, enter a larger inlet size 	and/or refer to the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Chilled  and Hot Water Design Flow Rate Entries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allowable entries are limited to ranges between 0.25 and  2.0 GPM on most models (those with a single coil) and 0.5 to 4.0 GPM on those  (CBLV-12, CBE2-12) which feature twin vertical coils. </a:t>
          </a:r>
          <a:r>
            <a:rPr kumimoji="0" lang="en-US" sz="1100" b="0" i="0" u="none" strike="noStrike" kern="0" cap="none" spc="0" normalizeH="0" baseline="0" noProof="0">
              <a:ln>
                <a:noFill/>
              </a:ln>
              <a:solidFill>
                <a:prstClr val="black"/>
              </a:solidFill>
              <a:effectLst/>
              <a:uLnTx/>
              <a:uFillTx/>
              <a:latin typeface="+mn-lt"/>
              <a:ea typeface="+mn-ea"/>
              <a:cs typeface="+mn-cs"/>
            </a:rPr>
            <a:t>The maximum limit is established at a flow rate which produces a water tube velocity (less than 6 FPS) to avoid audible noise as the fluid passes through the coil.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rgbClr val="FF0000"/>
              </a:solidFill>
              <a:effectLst/>
              <a:uLnTx/>
              <a:uFillTx/>
              <a:latin typeface="+mn-lt"/>
              <a:ea typeface="+mn-ea"/>
              <a:cs typeface="+mn-cs"/>
            </a:rPr>
            <a:t>Note: </a:t>
          </a:r>
          <a:r>
            <a:rPr kumimoji="0" lang="en-US" sz="1100" b="0" i="1" u="none" strike="noStrike" kern="0" cap="none" spc="0" normalizeH="0" baseline="0" noProof="0">
              <a:ln>
                <a:noFill/>
              </a:ln>
              <a:solidFill>
                <a:srgbClr val="FF0000"/>
              </a:solidFill>
              <a:effectLst/>
              <a:uLnTx/>
              <a:uFillTx/>
              <a:latin typeface="+mn-lt"/>
              <a:ea typeface="+mn-ea"/>
              <a:cs typeface="+mn-cs"/>
            </a:rPr>
            <a:t>Although the program allows their selection, flow rates below 0.5 GPM (or 1.0 GPM for dual coil models) will cause laminar flow conditions in the coil that may result 	in unpredictable heat transfer performance. In the event the required flow rate is less than this, it is suggested that the beams' water flow rate be selected for the flow rate 	required to assure  non-laminar flow .  In actual operation, the zone water valve will automatically modulate the coil's water flow rate over time to provide time averaged 	water flow rates that meet the instantaneous zone cooling and/or heating demand.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mn-lt"/>
              <a:ea typeface="+mn-ea"/>
              <a:cs typeface="+mn-cs"/>
            </a:rPr>
            <a:t>Resultant Performance Outputs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Individual Beam Performance (Columns  AK through BB)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section calculates the performance of the individual beams at the conditions enterd by the user in the previous sections. It includes air and water side  cooling/heating perfomance, pressure losses, leaving coil water temperatures and the beam discharge air temperature. Individual beam NC levels are also presented.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FF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The Net Heating performance (column AY) represents the coil's heating performance less any sensible cooling effect that is provided by primary air delivery at a 	temperature below that of the room.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Zone Performance (Columns  W through AI)</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section sums the individual beams' performance to calculate the zone performance. This performance is then compared to the  Zone Requirements entered by the user.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In the event the resultant zone sensible cooling, latent cooling or net heating perfomance is less than the user specified values in columns  E, F and G respectively the 	cells related to the perfomance  deficit will be highlighted. The user should refer to the following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 for suggestions in correcting such deficits.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eaLnBrk="1" fontAlgn="auto" latinLnBrk="0" hangingPunct="1"/>
          <a:r>
            <a:rPr lang="en-US" sz="1400" b="1" i="1" baseline="0">
              <a:solidFill>
                <a:schemeClr val="dk1"/>
              </a:solidFill>
              <a:effectLst/>
              <a:latin typeface="+mn-lt"/>
              <a:ea typeface="+mn-ea"/>
              <a:cs typeface="+mn-cs"/>
            </a:rPr>
            <a:t>Air Distribution Performance</a:t>
          </a:r>
          <a:endParaRPr lang="en-US" sz="1100" b="1" i="1" baseline="0">
            <a:solidFill>
              <a:schemeClr val="dk1"/>
            </a:solidFill>
            <a:effectLst/>
            <a:latin typeface="+mn-lt"/>
            <a:ea typeface="+mn-ea"/>
            <a:cs typeface="+mn-cs"/>
          </a:endParaRPr>
        </a:p>
        <a:p>
          <a:pPr eaLnBrk="1" fontAlgn="auto" latinLnBrk="0" hangingPunct="1"/>
          <a:endParaRPr lang="en-US" sz="1000">
            <a:effectLst/>
          </a:endParaRPr>
        </a:p>
        <a:p>
          <a:pPr eaLnBrk="1" fontAlgn="auto" latinLnBrk="0" hangingPunct="1"/>
          <a:r>
            <a:rPr lang="en-US" sz="1100" b="0" i="0" baseline="0">
              <a:solidFill>
                <a:schemeClr val="dk1"/>
              </a:solidFill>
              <a:effectLst/>
              <a:latin typeface="+mn-lt"/>
              <a:ea typeface="+mn-ea"/>
              <a:cs typeface="+mn-cs"/>
            </a:rPr>
            <a:t>In order to estimate local velocities and temperatures at key thermal comfort locations within the room, the user can provide  dimensional input (columns BD through DG) that establishes the location of the beams within the room and in proximity of one another. A graphic that shows all of the input variables as well as the locations (V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V</a:t>
          </a:r>
          <a:r>
            <a:rPr lang="en-US" sz="1100" b="0" i="0" baseline="-25000">
              <a:solidFill>
                <a:schemeClr val="dk1"/>
              </a:solidFill>
              <a:effectLst/>
              <a:latin typeface="+mn-lt"/>
              <a:ea typeface="+mn-ea"/>
              <a:cs typeface="+mn-cs"/>
            </a:rPr>
            <a:t>OZ</a:t>
          </a:r>
          <a:r>
            <a:rPr lang="en-US" sz="1100" b="0" i="0" baseline="0">
              <a:solidFill>
                <a:schemeClr val="dk1"/>
              </a:solidFill>
              <a:effectLst/>
              <a:latin typeface="+mn-lt"/>
              <a:ea typeface="+mn-ea"/>
              <a:cs typeface="+mn-cs"/>
            </a:rPr>
            <a:t>) for which the output data applies is provided dirctly above the section header. </a:t>
          </a:r>
        </a:p>
        <a:p>
          <a:pPr eaLnBrk="1" fontAlgn="auto" latinLnBrk="0" hangingPunct="1"/>
          <a:endParaRPr lang="en-US" sz="1600">
            <a:effectLst/>
          </a:endParaRPr>
        </a:p>
        <a:p>
          <a:pPr eaLnBrk="1" fontAlgn="auto" latinLnBrk="0" hangingPunct="1"/>
          <a:r>
            <a:rPr lang="en-US" sz="1100" b="0" i="0" baseline="0">
              <a:solidFill>
                <a:schemeClr val="dk1"/>
              </a:solidFill>
              <a:effectLst/>
              <a:latin typeface="+mn-lt"/>
              <a:ea typeface="+mn-ea"/>
              <a:cs typeface="+mn-cs"/>
            </a:rPr>
            <a:t>The two chosen points (V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V</a:t>
          </a:r>
          <a:r>
            <a:rPr lang="en-US" sz="1100" b="0" i="0" baseline="-25000">
              <a:solidFill>
                <a:schemeClr val="dk1"/>
              </a:solidFill>
              <a:effectLst/>
              <a:latin typeface="+mn-lt"/>
              <a:ea typeface="+mn-ea"/>
              <a:cs typeface="+mn-cs"/>
            </a:rPr>
            <a:t>OZ</a:t>
          </a:r>
          <a:r>
            <a:rPr lang="en-US" sz="1100" b="0" i="0" baseline="0">
              <a:solidFill>
                <a:schemeClr val="dk1"/>
              </a:solidFill>
              <a:effectLst/>
              <a:latin typeface="+mn-lt"/>
              <a:ea typeface="+mn-ea"/>
              <a:cs typeface="+mn-cs"/>
            </a:rPr>
            <a:t>) of interest are deemed most important for the maintenance of acceptable thermal comfort within the space. V</a:t>
          </a:r>
          <a:r>
            <a:rPr lang="en-US" sz="1100" b="0" i="0" baseline="-25000">
              <a:solidFill>
                <a:schemeClr val="dk1"/>
              </a:solidFill>
              <a:effectLst/>
              <a:latin typeface="+mn-lt"/>
              <a:ea typeface="+mn-ea"/>
              <a:cs typeface="+mn-cs"/>
            </a:rPr>
            <a:t>OZ </a:t>
          </a:r>
          <a:r>
            <a:rPr lang="en-US" sz="1100" b="0" i="0" baseline="0">
              <a:solidFill>
                <a:schemeClr val="dk1"/>
              </a:solidFill>
              <a:effectLst/>
              <a:latin typeface="+mn-lt"/>
              <a:ea typeface="+mn-ea"/>
              <a:cs typeface="+mn-cs"/>
            </a:rPr>
            <a:t>represents  the location directly below the collision point of two opposing airstreams where the supply air jet enters the user defined occupied zone. It is generally only important for cooling applications, and the velocity at that point should not generally exceed 50 to 60 FPM. </a:t>
          </a:r>
          <a:r>
            <a:rPr lang="en-US" sz="1100" b="0" i="1" baseline="0">
              <a:solidFill>
                <a:schemeClr val="dk1"/>
              </a:solidFill>
              <a:effectLst/>
              <a:latin typeface="+mn-lt"/>
              <a:ea typeface="+mn-ea"/>
              <a:cs typeface="+mn-cs"/>
            </a:rPr>
            <a:t>If the stationary occupants of the space are predominantly seated, it is recommended that the height of the occupied zone be considered 3.5 feet while the height for areas with predominantly standing (stationary) occupants should be considered 5.5 to 6 feet.</a:t>
          </a:r>
        </a:p>
        <a:p>
          <a:pPr eaLnBrk="1" fontAlgn="auto" latinLnBrk="0" hangingPunct="1"/>
          <a:endParaRPr lang="en-US" sz="1600">
            <a:effectLst/>
          </a:endParaRPr>
        </a:p>
        <a:p>
          <a:pPr eaLnBrk="1" fontAlgn="auto" latinLnBrk="0" hangingPunct="1"/>
          <a:r>
            <a:rPr lang="en-US" sz="1100" b="0" i="0" baseline="0">
              <a:solidFill>
                <a:schemeClr val="dk1"/>
              </a:solidFill>
              <a:effectLst/>
              <a:latin typeface="+mn-lt"/>
              <a:ea typeface="+mn-ea"/>
              <a:cs typeface="+mn-cs"/>
            </a:rPr>
            <a:t>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is a point at the top of the defined occupied zone and within six (6) inches of an interior or exterior wall. A warm (heating) airstream should maintain some velocity to this point to avoid stratification that could cause excessive temperature gradients in the occupied zone.</a:t>
          </a:r>
        </a:p>
        <a:p>
          <a:pPr eaLnBrk="1" fontAlgn="auto" latinLnBrk="0" hangingPunct="1"/>
          <a:endParaRPr lang="en-US"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srgbClr val="0070C0"/>
              </a:solidFill>
              <a:effectLst/>
              <a:uLnTx/>
              <a:uFillTx/>
              <a:latin typeface="+mn-lt"/>
              <a:ea typeface="+mn-ea"/>
              <a:cs typeface="+mn-cs"/>
            </a:rPr>
            <a:t>Remedies for Zone Performance Shortcomings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The following procedures are recommended to be performed in order of presentation in the event the user's selection input does not conform to the project requirements.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Insufficient Zone Sensible Cooling and/or Heating Performance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user's individual beam entry does not satisfy the zone cooling and/or heating requirements, the following steps are recommended to remedy the shortcoming:</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Increase the water flow rate...if the maximum water flow rate entry does not achieve the desired results proceed to step 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Change the nozzle type (to a smaller nozzle)... but make sure the resultant airside presssure loss and NC are acceptable. Smaller nozzles are more efficient than large 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Increase the individual beam primary airflow rate, again making sure the resultant airside presssure loss and NC are acceptable.</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4) Increase the beam length or change its discharge pattern. CBAL2, CBE2-24, CBLV-12 and CBE2-12 beams with two way discharge have considerably higher primary 	air and heat transfer capacities than their one way discharge variants.</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5) Increase the number of beams in the zone. The individual beam air and water flow rates should also be verified and modified if this remedy is chosen.</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6) Modify the primary air and/or water supply temperature in the Global Inputs. Doing so will affect all previously selected beams so readdress the water flow rate of those 	beams with the new Global Input setting.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Insufficient Zone Latent Cooling Performance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user individual bem entry does not satisfy the zone latent cooling requirement, make sure the Primary Airflow Rate entry (column R) is equal to or greater than the minimum specified (column Q). After modifying the entry, review the  resultant perfomance  outputs and modify the other entries (columns J through T) as necessary to achieve the desired zone performance.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	Note: The primary airflow requirement for zone latent cooling can be significantly reduced by increasing the room relative humidity  (RH%) and/or reducing the primary 	air humidity ratio in the Global Inputs section. In the event either of these values are changed, it will be reflected in the performance outputs of the beams already 	selected as well as any subsequent selections. The chilled water supply temperature  entry in the Global Input section should also be reviewed to assure that the value is 	still viable for the system's proper and safe operation.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Unacceptable Airside Pressure Losses or Zone NC levels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beam airside pressure loss (column X) or zone NC level (column Y) exceed the maximum values specified in the Global Inputs section, they will be displayed with a red background.  The user can either accept the selection or modify it to meet the project requirements. If the latter step is chosen, the following order of modification is recommended: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Increase the beam nozzle size...but make sure the modification does not  compromise the beams' ability to meet the required zone cooling and/or heating requirements.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Increase the length or discharge pattrern of the beams. CBAL-24, CBLE-24, CBAL-12 and CBLE-12 beams with two way discharge have considerably higher primary 	air and heat transfer capacities than their one way discharge variants.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Increase the number of beams in the zone and reducing the individual beam primary airflow rates.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7030A0"/>
              </a:solidFill>
              <a:effectLst/>
              <a:uLnTx/>
              <a:uFillTx/>
              <a:latin typeface="+mn-lt"/>
              <a:ea typeface="+mn-ea"/>
              <a:cs typeface="+mn-cs"/>
            </a:rPr>
            <a:t>RapidSelect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New in this version of the selection program is an automated selection tool. RapidSelect automatically selects the active chilled beam length, nozzle, air and water flow rates. The function is designed to eliminate the need to perform manual selections for almost all situations. A detailed helpfile can be accessed </a:t>
          </a:r>
          <a:r>
            <a:rPr lang="en-US" sz="1100" b="0" i="1" baseline="0">
              <a:solidFill>
                <a:schemeClr val="dk1"/>
              </a:solidFill>
              <a:effectLst/>
              <a:latin typeface="+mn-lt"/>
              <a:ea typeface="+mn-ea"/>
              <a:cs typeface="+mn-cs"/>
            </a:rPr>
            <a:t>by clicking the ? </a:t>
          </a:r>
          <a:r>
            <a:rPr lang="en-US" sz="1100" b="0" i="0" baseline="0">
              <a:solidFill>
                <a:schemeClr val="dk1"/>
              </a:solidFill>
              <a:effectLst/>
              <a:latin typeface="+mn-lt"/>
              <a:ea typeface="+mn-ea"/>
              <a:cs typeface="+mn-cs"/>
            </a:rPr>
            <a:t>in the RapidSelect setup box on the "Calculation" sheet.</a:t>
          </a:r>
          <a:endParaRPr kumimoji="0" lang="en-US" sz="1400" b="1" i="0" u="none" strike="noStrike" kern="0" cap="none" spc="0" normalizeH="0" baseline="0" noProof="0">
            <a:ln>
              <a:noFill/>
            </a:ln>
            <a:solidFill>
              <a:srgbClr val="7030A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7030A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7030A0"/>
              </a:solidFill>
              <a:effectLst/>
              <a:uLnTx/>
              <a:uFillTx/>
              <a:latin typeface="+mn-lt"/>
              <a:ea typeface="+mn-ea"/>
              <a:cs typeface="+mn-cs"/>
            </a:rPr>
            <a:t>Chilled Beam Schedule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selection program contains a seprate tab entitled "Chilled Beam Schedule". The schedule shown in the tab reflects the entries made by the user in the previous sections, but allows the user to hide columns that are not intended to be transferred to the project's mechnical drawings schedule. After deciding which columns to include, the user can then export the Schedule to the project mechanical drawings.</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7030A0"/>
            </a:solidFill>
            <a:effectLst/>
            <a:uLnTx/>
            <a:uFillTx/>
            <a:latin typeface="+mn-lt"/>
            <a:ea typeface="+mn-ea"/>
            <a:cs typeface="+mn-cs"/>
          </a:endParaRPr>
        </a:p>
      </xdr:txBody>
    </xdr:sp>
    <xdr:clientData/>
  </xdr:twoCellAnchor>
</xdr:wsDr>
</file>

<file path=xl/macro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macrosheets/sheet1.xml><?xml version="1.0" encoding="utf-8"?>
<xm:macrosheet xmlns="http://schemas.openxmlformats.org/spreadsheetml/2006/main" xmlns:xm="http://schemas.microsoft.com/office/exce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r6="http://schemas.microsoft.com/office/spreadsheetml/2016/revision6" mc:Ignorable="x14ac xr xr2 xr3 xr6" xr6:uid="{00000000-0001-0000-0100-000000000000}">
  <dimension ref="A1"/>
  <sheetViews>
    <sheetView showFormulas="1" workbookViewId="0"/>
  </sheetViews>
  <sheetFormatPr defaultRowHeight="14.4"/>
  <sheetData/>
  <pageMargins left="0.7" right="0.7" top="0.75" bottom="0.75" header="0.3" footer="0.3"/>
  <pageSetup orientation="portrait" r:id="rId1"/>
</xm:macro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FF0000"/>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1" Type="http://schemas.openxmlformats.org/officeDocument/2006/relationships/printerSettings" Target="../printerSettings/printerSettings3.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omments" Target="../comments1.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D2:M400"/>
  <sheetViews>
    <sheetView workbookViewId="0">
      <selection activeCell="H2" sqref="H2"/>
    </sheetView>
  </sheetViews>
  <sheetFormatPr defaultRowHeight="14.4"/>
  <cols>
    <col min="3" max="3" width="18.33203125" customWidth="1"/>
    <col min="8" max="8" width="29.5546875" customWidth="1"/>
    <col min="9" max="9" width="10.44140625" customWidth="1"/>
    <col min="10" max="10" width="10.88671875" customWidth="1"/>
    <col min="11" max="11" width="10.33203125" customWidth="1"/>
    <col min="13" max="13" width="3" customWidth="1"/>
    <col min="14" max="14" width="11" customWidth="1"/>
    <col min="264" max="264" width="18.109375" customWidth="1"/>
    <col min="265" max="265" width="10.44140625" customWidth="1"/>
    <col min="266" max="266" width="10.88671875" customWidth="1"/>
    <col min="267" max="267" width="10.33203125" customWidth="1"/>
    <col min="269" max="269" width="3" customWidth="1"/>
    <col min="270" max="270" width="11" customWidth="1"/>
    <col min="520" max="520" width="18.109375" customWidth="1"/>
    <col min="521" max="521" width="10.44140625" customWidth="1"/>
    <col min="522" max="522" width="10.88671875" customWidth="1"/>
    <col min="523" max="523" width="10.33203125" customWidth="1"/>
    <col min="525" max="525" width="3" customWidth="1"/>
    <col min="526" max="526" width="11" customWidth="1"/>
    <col min="776" max="776" width="18.109375" customWidth="1"/>
    <col min="777" max="777" width="10.44140625" customWidth="1"/>
    <col min="778" max="778" width="10.88671875" customWidth="1"/>
    <col min="779" max="779" width="10.33203125" customWidth="1"/>
    <col min="781" max="781" width="3" customWidth="1"/>
    <col min="782" max="782" width="11" customWidth="1"/>
    <col min="1032" max="1032" width="18.109375" customWidth="1"/>
    <col min="1033" max="1033" width="10.44140625" customWidth="1"/>
    <col min="1034" max="1034" width="10.88671875" customWidth="1"/>
    <col min="1035" max="1035" width="10.33203125" customWidth="1"/>
    <col min="1037" max="1037" width="3" customWidth="1"/>
    <col min="1038" max="1038" width="11" customWidth="1"/>
    <col min="1288" max="1288" width="18.109375" customWidth="1"/>
    <col min="1289" max="1289" width="10.44140625" customWidth="1"/>
    <col min="1290" max="1290" width="10.88671875" customWidth="1"/>
    <col min="1291" max="1291" width="10.33203125" customWidth="1"/>
    <col min="1293" max="1293" width="3" customWidth="1"/>
    <col min="1294" max="1294" width="11" customWidth="1"/>
    <col min="1544" max="1544" width="18.109375" customWidth="1"/>
    <col min="1545" max="1545" width="10.44140625" customWidth="1"/>
    <col min="1546" max="1546" width="10.88671875" customWidth="1"/>
    <col min="1547" max="1547" width="10.33203125" customWidth="1"/>
    <col min="1549" max="1549" width="3" customWidth="1"/>
    <col min="1550" max="1550" width="11" customWidth="1"/>
    <col min="1800" max="1800" width="18.109375" customWidth="1"/>
    <col min="1801" max="1801" width="10.44140625" customWidth="1"/>
    <col min="1802" max="1802" width="10.88671875" customWidth="1"/>
    <col min="1803" max="1803" width="10.33203125" customWidth="1"/>
    <col min="1805" max="1805" width="3" customWidth="1"/>
    <col min="1806" max="1806" width="11" customWidth="1"/>
    <col min="2056" max="2056" width="18.109375" customWidth="1"/>
    <col min="2057" max="2057" width="10.44140625" customWidth="1"/>
    <col min="2058" max="2058" width="10.88671875" customWidth="1"/>
    <col min="2059" max="2059" width="10.33203125" customWidth="1"/>
    <col min="2061" max="2061" width="3" customWidth="1"/>
    <col min="2062" max="2062" width="11" customWidth="1"/>
    <col min="2312" max="2312" width="18.109375" customWidth="1"/>
    <col min="2313" max="2313" width="10.44140625" customWidth="1"/>
    <col min="2314" max="2314" width="10.88671875" customWidth="1"/>
    <col min="2315" max="2315" width="10.33203125" customWidth="1"/>
    <col min="2317" max="2317" width="3" customWidth="1"/>
    <col min="2318" max="2318" width="11" customWidth="1"/>
    <col min="2568" max="2568" width="18.109375" customWidth="1"/>
    <col min="2569" max="2569" width="10.44140625" customWidth="1"/>
    <col min="2570" max="2570" width="10.88671875" customWidth="1"/>
    <col min="2571" max="2571" width="10.33203125" customWidth="1"/>
    <col min="2573" max="2573" width="3" customWidth="1"/>
    <col min="2574" max="2574" width="11" customWidth="1"/>
    <col min="2824" max="2824" width="18.109375" customWidth="1"/>
    <col min="2825" max="2825" width="10.44140625" customWidth="1"/>
    <col min="2826" max="2826" width="10.88671875" customWidth="1"/>
    <col min="2827" max="2827" width="10.33203125" customWidth="1"/>
    <col min="2829" max="2829" width="3" customWidth="1"/>
    <col min="2830" max="2830" width="11" customWidth="1"/>
    <col min="3080" max="3080" width="18.109375" customWidth="1"/>
    <col min="3081" max="3081" width="10.44140625" customWidth="1"/>
    <col min="3082" max="3082" width="10.88671875" customWidth="1"/>
    <col min="3083" max="3083" width="10.33203125" customWidth="1"/>
    <col min="3085" max="3085" width="3" customWidth="1"/>
    <col min="3086" max="3086" width="11" customWidth="1"/>
    <col min="3336" max="3336" width="18.109375" customWidth="1"/>
    <col min="3337" max="3337" width="10.44140625" customWidth="1"/>
    <col min="3338" max="3338" width="10.88671875" customWidth="1"/>
    <col min="3339" max="3339" width="10.33203125" customWidth="1"/>
    <col min="3341" max="3341" width="3" customWidth="1"/>
    <col min="3342" max="3342" width="11" customWidth="1"/>
    <col min="3592" max="3592" width="18.109375" customWidth="1"/>
    <col min="3593" max="3593" width="10.44140625" customWidth="1"/>
    <col min="3594" max="3594" width="10.88671875" customWidth="1"/>
    <col min="3595" max="3595" width="10.33203125" customWidth="1"/>
    <col min="3597" max="3597" width="3" customWidth="1"/>
    <col min="3598" max="3598" width="11" customWidth="1"/>
    <col min="3848" max="3848" width="18.109375" customWidth="1"/>
    <col min="3849" max="3849" width="10.44140625" customWidth="1"/>
    <col min="3850" max="3850" width="10.88671875" customWidth="1"/>
    <col min="3851" max="3851" width="10.33203125" customWidth="1"/>
    <col min="3853" max="3853" width="3" customWidth="1"/>
    <col min="3854" max="3854" width="11" customWidth="1"/>
    <col min="4104" max="4104" width="18.109375" customWidth="1"/>
    <col min="4105" max="4105" width="10.44140625" customWidth="1"/>
    <col min="4106" max="4106" width="10.88671875" customWidth="1"/>
    <col min="4107" max="4107" width="10.33203125" customWidth="1"/>
    <col min="4109" max="4109" width="3" customWidth="1"/>
    <col min="4110" max="4110" width="11" customWidth="1"/>
    <col min="4360" max="4360" width="18.109375" customWidth="1"/>
    <col min="4361" max="4361" width="10.44140625" customWidth="1"/>
    <col min="4362" max="4362" width="10.88671875" customWidth="1"/>
    <col min="4363" max="4363" width="10.33203125" customWidth="1"/>
    <col min="4365" max="4365" width="3" customWidth="1"/>
    <col min="4366" max="4366" width="11" customWidth="1"/>
    <col min="4616" max="4616" width="18.109375" customWidth="1"/>
    <col min="4617" max="4617" width="10.44140625" customWidth="1"/>
    <col min="4618" max="4618" width="10.88671875" customWidth="1"/>
    <col min="4619" max="4619" width="10.33203125" customWidth="1"/>
    <col min="4621" max="4621" width="3" customWidth="1"/>
    <col min="4622" max="4622" width="11" customWidth="1"/>
    <col min="4872" max="4872" width="18.109375" customWidth="1"/>
    <col min="4873" max="4873" width="10.44140625" customWidth="1"/>
    <col min="4874" max="4874" width="10.88671875" customWidth="1"/>
    <col min="4875" max="4875" width="10.33203125" customWidth="1"/>
    <col min="4877" max="4877" width="3" customWidth="1"/>
    <col min="4878" max="4878" width="11" customWidth="1"/>
    <col min="5128" max="5128" width="18.109375" customWidth="1"/>
    <col min="5129" max="5129" width="10.44140625" customWidth="1"/>
    <col min="5130" max="5130" width="10.88671875" customWidth="1"/>
    <col min="5131" max="5131" width="10.33203125" customWidth="1"/>
    <col min="5133" max="5133" width="3" customWidth="1"/>
    <col min="5134" max="5134" width="11" customWidth="1"/>
    <col min="5384" max="5384" width="18.109375" customWidth="1"/>
    <col min="5385" max="5385" width="10.44140625" customWidth="1"/>
    <col min="5386" max="5386" width="10.88671875" customWidth="1"/>
    <col min="5387" max="5387" width="10.33203125" customWidth="1"/>
    <col min="5389" max="5389" width="3" customWidth="1"/>
    <col min="5390" max="5390" width="11" customWidth="1"/>
    <col min="5640" max="5640" width="18.109375" customWidth="1"/>
    <col min="5641" max="5641" width="10.44140625" customWidth="1"/>
    <col min="5642" max="5642" width="10.88671875" customWidth="1"/>
    <col min="5643" max="5643" width="10.33203125" customWidth="1"/>
    <col min="5645" max="5645" width="3" customWidth="1"/>
    <col min="5646" max="5646" width="11" customWidth="1"/>
    <col min="5896" max="5896" width="18.109375" customWidth="1"/>
    <col min="5897" max="5897" width="10.44140625" customWidth="1"/>
    <col min="5898" max="5898" width="10.88671875" customWidth="1"/>
    <col min="5899" max="5899" width="10.33203125" customWidth="1"/>
    <col min="5901" max="5901" width="3" customWidth="1"/>
    <col min="5902" max="5902" width="11" customWidth="1"/>
    <col min="6152" max="6152" width="18.109375" customWidth="1"/>
    <col min="6153" max="6153" width="10.44140625" customWidth="1"/>
    <col min="6154" max="6154" width="10.88671875" customWidth="1"/>
    <col min="6155" max="6155" width="10.33203125" customWidth="1"/>
    <col min="6157" max="6157" width="3" customWidth="1"/>
    <col min="6158" max="6158" width="11" customWidth="1"/>
    <col min="6408" max="6408" width="18.109375" customWidth="1"/>
    <col min="6409" max="6409" width="10.44140625" customWidth="1"/>
    <col min="6410" max="6410" width="10.88671875" customWidth="1"/>
    <col min="6411" max="6411" width="10.33203125" customWidth="1"/>
    <col min="6413" max="6413" width="3" customWidth="1"/>
    <col min="6414" max="6414" width="11" customWidth="1"/>
    <col min="6664" max="6664" width="18.109375" customWidth="1"/>
    <col min="6665" max="6665" width="10.44140625" customWidth="1"/>
    <col min="6666" max="6666" width="10.88671875" customWidth="1"/>
    <col min="6667" max="6667" width="10.33203125" customWidth="1"/>
    <col min="6669" max="6669" width="3" customWidth="1"/>
    <col min="6670" max="6670" width="11" customWidth="1"/>
    <col min="6920" max="6920" width="18.109375" customWidth="1"/>
    <col min="6921" max="6921" width="10.44140625" customWidth="1"/>
    <col min="6922" max="6922" width="10.88671875" customWidth="1"/>
    <col min="6923" max="6923" width="10.33203125" customWidth="1"/>
    <col min="6925" max="6925" width="3" customWidth="1"/>
    <col min="6926" max="6926" width="11" customWidth="1"/>
    <col min="7176" max="7176" width="18.109375" customWidth="1"/>
    <col min="7177" max="7177" width="10.44140625" customWidth="1"/>
    <col min="7178" max="7178" width="10.88671875" customWidth="1"/>
    <col min="7179" max="7179" width="10.33203125" customWidth="1"/>
    <col min="7181" max="7181" width="3" customWidth="1"/>
    <col min="7182" max="7182" width="11" customWidth="1"/>
    <col min="7432" max="7432" width="18.109375" customWidth="1"/>
    <col min="7433" max="7433" width="10.44140625" customWidth="1"/>
    <col min="7434" max="7434" width="10.88671875" customWidth="1"/>
    <col min="7435" max="7435" width="10.33203125" customWidth="1"/>
    <col min="7437" max="7437" width="3" customWidth="1"/>
    <col min="7438" max="7438" width="11" customWidth="1"/>
    <col min="7688" max="7688" width="18.109375" customWidth="1"/>
    <col min="7689" max="7689" width="10.44140625" customWidth="1"/>
    <col min="7690" max="7690" width="10.88671875" customWidth="1"/>
    <col min="7691" max="7691" width="10.33203125" customWidth="1"/>
    <col min="7693" max="7693" width="3" customWidth="1"/>
    <col min="7694" max="7694" width="11" customWidth="1"/>
    <col min="7944" max="7944" width="18.109375" customWidth="1"/>
    <col min="7945" max="7945" width="10.44140625" customWidth="1"/>
    <col min="7946" max="7946" width="10.88671875" customWidth="1"/>
    <col min="7947" max="7947" width="10.33203125" customWidth="1"/>
    <col min="7949" max="7949" width="3" customWidth="1"/>
    <col min="7950" max="7950" width="11" customWidth="1"/>
    <col min="8200" max="8200" width="18.109375" customWidth="1"/>
    <col min="8201" max="8201" width="10.44140625" customWidth="1"/>
    <col min="8202" max="8202" width="10.88671875" customWidth="1"/>
    <col min="8203" max="8203" width="10.33203125" customWidth="1"/>
    <col min="8205" max="8205" width="3" customWidth="1"/>
    <col min="8206" max="8206" width="11" customWidth="1"/>
    <col min="8456" max="8456" width="18.109375" customWidth="1"/>
    <col min="8457" max="8457" width="10.44140625" customWidth="1"/>
    <col min="8458" max="8458" width="10.88671875" customWidth="1"/>
    <col min="8459" max="8459" width="10.33203125" customWidth="1"/>
    <col min="8461" max="8461" width="3" customWidth="1"/>
    <col min="8462" max="8462" width="11" customWidth="1"/>
    <col min="8712" max="8712" width="18.109375" customWidth="1"/>
    <col min="8713" max="8713" width="10.44140625" customWidth="1"/>
    <col min="8714" max="8714" width="10.88671875" customWidth="1"/>
    <col min="8715" max="8715" width="10.33203125" customWidth="1"/>
    <col min="8717" max="8717" width="3" customWidth="1"/>
    <col min="8718" max="8718" width="11" customWidth="1"/>
    <col min="8968" max="8968" width="18.109375" customWidth="1"/>
    <col min="8969" max="8969" width="10.44140625" customWidth="1"/>
    <col min="8970" max="8970" width="10.88671875" customWidth="1"/>
    <col min="8971" max="8971" width="10.33203125" customWidth="1"/>
    <col min="8973" max="8973" width="3" customWidth="1"/>
    <col min="8974" max="8974" width="11" customWidth="1"/>
    <col min="9224" max="9224" width="18.109375" customWidth="1"/>
    <col min="9225" max="9225" width="10.44140625" customWidth="1"/>
    <col min="9226" max="9226" width="10.88671875" customWidth="1"/>
    <col min="9227" max="9227" width="10.33203125" customWidth="1"/>
    <col min="9229" max="9229" width="3" customWidth="1"/>
    <col min="9230" max="9230" width="11" customWidth="1"/>
    <col min="9480" max="9480" width="18.109375" customWidth="1"/>
    <col min="9481" max="9481" width="10.44140625" customWidth="1"/>
    <col min="9482" max="9482" width="10.88671875" customWidth="1"/>
    <col min="9483" max="9483" width="10.33203125" customWidth="1"/>
    <col min="9485" max="9485" width="3" customWidth="1"/>
    <col min="9486" max="9486" width="11" customWidth="1"/>
    <col min="9736" max="9736" width="18.109375" customWidth="1"/>
    <col min="9737" max="9737" width="10.44140625" customWidth="1"/>
    <col min="9738" max="9738" width="10.88671875" customWidth="1"/>
    <col min="9739" max="9739" width="10.33203125" customWidth="1"/>
    <col min="9741" max="9741" width="3" customWidth="1"/>
    <col min="9742" max="9742" width="11" customWidth="1"/>
    <col min="9992" max="9992" width="18.109375" customWidth="1"/>
    <col min="9993" max="9993" width="10.44140625" customWidth="1"/>
    <col min="9994" max="9994" width="10.88671875" customWidth="1"/>
    <col min="9995" max="9995" width="10.33203125" customWidth="1"/>
    <col min="9997" max="9997" width="3" customWidth="1"/>
    <col min="9998" max="9998" width="11" customWidth="1"/>
    <col min="10248" max="10248" width="18.109375" customWidth="1"/>
    <col min="10249" max="10249" width="10.44140625" customWidth="1"/>
    <col min="10250" max="10250" width="10.88671875" customWidth="1"/>
    <col min="10251" max="10251" width="10.33203125" customWidth="1"/>
    <col min="10253" max="10253" width="3" customWidth="1"/>
    <col min="10254" max="10254" width="11" customWidth="1"/>
    <col min="10504" max="10504" width="18.109375" customWidth="1"/>
    <col min="10505" max="10505" width="10.44140625" customWidth="1"/>
    <col min="10506" max="10506" width="10.88671875" customWidth="1"/>
    <col min="10507" max="10507" width="10.33203125" customWidth="1"/>
    <col min="10509" max="10509" width="3" customWidth="1"/>
    <col min="10510" max="10510" width="11" customWidth="1"/>
    <col min="10760" max="10760" width="18.109375" customWidth="1"/>
    <col min="10761" max="10761" width="10.44140625" customWidth="1"/>
    <col min="10762" max="10762" width="10.88671875" customWidth="1"/>
    <col min="10763" max="10763" width="10.33203125" customWidth="1"/>
    <col min="10765" max="10765" width="3" customWidth="1"/>
    <col min="10766" max="10766" width="11" customWidth="1"/>
    <col min="11016" max="11016" width="18.109375" customWidth="1"/>
    <col min="11017" max="11017" width="10.44140625" customWidth="1"/>
    <col min="11018" max="11018" width="10.88671875" customWidth="1"/>
    <col min="11019" max="11019" width="10.33203125" customWidth="1"/>
    <col min="11021" max="11021" width="3" customWidth="1"/>
    <col min="11022" max="11022" width="11" customWidth="1"/>
    <col min="11272" max="11272" width="18.109375" customWidth="1"/>
    <col min="11273" max="11273" width="10.44140625" customWidth="1"/>
    <col min="11274" max="11274" width="10.88671875" customWidth="1"/>
    <col min="11275" max="11275" width="10.33203125" customWidth="1"/>
    <col min="11277" max="11277" width="3" customWidth="1"/>
    <col min="11278" max="11278" width="11" customWidth="1"/>
    <col min="11528" max="11528" width="18.109375" customWidth="1"/>
    <col min="11529" max="11529" width="10.44140625" customWidth="1"/>
    <col min="11530" max="11530" width="10.88671875" customWidth="1"/>
    <col min="11531" max="11531" width="10.33203125" customWidth="1"/>
    <col min="11533" max="11533" width="3" customWidth="1"/>
    <col min="11534" max="11534" width="11" customWidth="1"/>
    <col min="11784" max="11784" width="18.109375" customWidth="1"/>
    <col min="11785" max="11785" width="10.44140625" customWidth="1"/>
    <col min="11786" max="11786" width="10.88671875" customWidth="1"/>
    <col min="11787" max="11787" width="10.33203125" customWidth="1"/>
    <col min="11789" max="11789" width="3" customWidth="1"/>
    <col min="11790" max="11790" width="11" customWidth="1"/>
    <col min="12040" max="12040" width="18.109375" customWidth="1"/>
    <col min="12041" max="12041" width="10.44140625" customWidth="1"/>
    <col min="12042" max="12042" width="10.88671875" customWidth="1"/>
    <col min="12043" max="12043" width="10.33203125" customWidth="1"/>
    <col min="12045" max="12045" width="3" customWidth="1"/>
    <col min="12046" max="12046" width="11" customWidth="1"/>
    <col min="12296" max="12296" width="18.109375" customWidth="1"/>
    <col min="12297" max="12297" width="10.44140625" customWidth="1"/>
    <col min="12298" max="12298" width="10.88671875" customWidth="1"/>
    <col min="12299" max="12299" width="10.33203125" customWidth="1"/>
    <col min="12301" max="12301" width="3" customWidth="1"/>
    <col min="12302" max="12302" width="11" customWidth="1"/>
    <col min="12552" max="12552" width="18.109375" customWidth="1"/>
    <col min="12553" max="12553" width="10.44140625" customWidth="1"/>
    <col min="12554" max="12554" width="10.88671875" customWidth="1"/>
    <col min="12555" max="12555" width="10.33203125" customWidth="1"/>
    <col min="12557" max="12557" width="3" customWidth="1"/>
    <col min="12558" max="12558" width="11" customWidth="1"/>
    <col min="12808" max="12808" width="18.109375" customWidth="1"/>
    <col min="12809" max="12809" width="10.44140625" customWidth="1"/>
    <col min="12810" max="12810" width="10.88671875" customWidth="1"/>
    <col min="12811" max="12811" width="10.33203125" customWidth="1"/>
    <col min="12813" max="12813" width="3" customWidth="1"/>
    <col min="12814" max="12814" width="11" customWidth="1"/>
    <col min="13064" max="13064" width="18.109375" customWidth="1"/>
    <col min="13065" max="13065" width="10.44140625" customWidth="1"/>
    <col min="13066" max="13066" width="10.88671875" customWidth="1"/>
    <col min="13067" max="13067" width="10.33203125" customWidth="1"/>
    <col min="13069" max="13069" width="3" customWidth="1"/>
    <col min="13070" max="13070" width="11" customWidth="1"/>
    <col min="13320" max="13320" width="18.109375" customWidth="1"/>
    <col min="13321" max="13321" width="10.44140625" customWidth="1"/>
    <col min="13322" max="13322" width="10.88671875" customWidth="1"/>
    <col min="13323" max="13323" width="10.33203125" customWidth="1"/>
    <col min="13325" max="13325" width="3" customWidth="1"/>
    <col min="13326" max="13326" width="11" customWidth="1"/>
    <col min="13576" max="13576" width="18.109375" customWidth="1"/>
    <col min="13577" max="13577" width="10.44140625" customWidth="1"/>
    <col min="13578" max="13578" width="10.88671875" customWidth="1"/>
    <col min="13579" max="13579" width="10.33203125" customWidth="1"/>
    <col min="13581" max="13581" width="3" customWidth="1"/>
    <col min="13582" max="13582" width="11" customWidth="1"/>
    <col min="13832" max="13832" width="18.109375" customWidth="1"/>
    <col min="13833" max="13833" width="10.44140625" customWidth="1"/>
    <col min="13834" max="13834" width="10.88671875" customWidth="1"/>
    <col min="13835" max="13835" width="10.33203125" customWidth="1"/>
    <col min="13837" max="13837" width="3" customWidth="1"/>
    <col min="13838" max="13838" width="11" customWidth="1"/>
    <col min="14088" max="14088" width="18.109375" customWidth="1"/>
    <col min="14089" max="14089" width="10.44140625" customWidth="1"/>
    <col min="14090" max="14090" width="10.88671875" customWidth="1"/>
    <col min="14091" max="14091" width="10.33203125" customWidth="1"/>
    <col min="14093" max="14093" width="3" customWidth="1"/>
    <col min="14094" max="14094" width="11" customWidth="1"/>
    <col min="14344" max="14344" width="18.109375" customWidth="1"/>
    <col min="14345" max="14345" width="10.44140625" customWidth="1"/>
    <col min="14346" max="14346" width="10.88671875" customWidth="1"/>
    <col min="14347" max="14347" width="10.33203125" customWidth="1"/>
    <col min="14349" max="14349" width="3" customWidth="1"/>
    <col min="14350" max="14350" width="11" customWidth="1"/>
    <col min="14600" max="14600" width="18.109375" customWidth="1"/>
    <col min="14601" max="14601" width="10.44140625" customWidth="1"/>
    <col min="14602" max="14602" width="10.88671875" customWidth="1"/>
    <col min="14603" max="14603" width="10.33203125" customWidth="1"/>
    <col min="14605" max="14605" width="3" customWidth="1"/>
    <col min="14606" max="14606" width="11" customWidth="1"/>
    <col min="14856" max="14856" width="18.109375" customWidth="1"/>
    <col min="14857" max="14857" width="10.44140625" customWidth="1"/>
    <col min="14858" max="14858" width="10.88671875" customWidth="1"/>
    <col min="14859" max="14859" width="10.33203125" customWidth="1"/>
    <col min="14861" max="14861" width="3" customWidth="1"/>
    <col min="14862" max="14862" width="11" customWidth="1"/>
    <col min="15112" max="15112" width="18.109375" customWidth="1"/>
    <col min="15113" max="15113" width="10.44140625" customWidth="1"/>
    <col min="15114" max="15114" width="10.88671875" customWidth="1"/>
    <col min="15115" max="15115" width="10.33203125" customWidth="1"/>
    <col min="15117" max="15117" width="3" customWidth="1"/>
    <col min="15118" max="15118" width="11" customWidth="1"/>
    <col min="15368" max="15368" width="18.109375" customWidth="1"/>
    <col min="15369" max="15369" width="10.44140625" customWidth="1"/>
    <col min="15370" max="15370" width="10.88671875" customWidth="1"/>
    <col min="15371" max="15371" width="10.33203125" customWidth="1"/>
    <col min="15373" max="15373" width="3" customWidth="1"/>
    <col min="15374" max="15374" width="11" customWidth="1"/>
    <col min="15624" max="15624" width="18.109375" customWidth="1"/>
    <col min="15625" max="15625" width="10.44140625" customWidth="1"/>
    <col min="15626" max="15626" width="10.88671875" customWidth="1"/>
    <col min="15627" max="15627" width="10.33203125" customWidth="1"/>
    <col min="15629" max="15629" width="3" customWidth="1"/>
    <col min="15630" max="15630" width="11" customWidth="1"/>
    <col min="15880" max="15880" width="18.109375" customWidth="1"/>
    <col min="15881" max="15881" width="10.44140625" customWidth="1"/>
    <col min="15882" max="15882" width="10.88671875" customWidth="1"/>
    <col min="15883" max="15883" width="10.33203125" customWidth="1"/>
    <col min="15885" max="15885" width="3" customWidth="1"/>
    <col min="15886" max="15886" width="11" customWidth="1"/>
    <col min="16136" max="16136" width="18.109375" customWidth="1"/>
    <col min="16137" max="16137" width="10.44140625" customWidth="1"/>
    <col min="16138" max="16138" width="10.88671875" customWidth="1"/>
    <col min="16139" max="16139" width="10.33203125" customWidth="1"/>
    <col min="16141" max="16141" width="3" customWidth="1"/>
    <col min="16142" max="16142" width="11" customWidth="1"/>
  </cols>
  <sheetData>
    <row r="2" spans="4:13">
      <c r="I2" s="378"/>
    </row>
    <row r="3" spans="4:13">
      <c r="M3" s="379"/>
    </row>
    <row r="4" spans="4:13">
      <c r="H4" s="380" t="s">
        <v>87</v>
      </c>
      <c r="I4" s="380" t="s">
        <v>11</v>
      </c>
      <c r="J4" s="380" t="s">
        <v>341</v>
      </c>
      <c r="K4" s="380" t="s">
        <v>83</v>
      </c>
    </row>
    <row r="5" spans="4:13">
      <c r="D5" s="377"/>
      <c r="E5" s="381"/>
      <c r="H5" t="str">
        <f>'Chilled Beam Schedule'!A16</f>
        <v/>
      </c>
      <c r="I5" t="str">
        <f>IF(H5="","",'Chilled Beam Schedule'!K16)</f>
        <v/>
      </c>
      <c r="J5" t="str">
        <f>IF(H5="","",'Chilled Beam Schedule'!D16)</f>
        <v/>
      </c>
      <c r="K5" t="str">
        <f>IF(H5="","",'Chilled Beam Schedule'!F16)</f>
        <v/>
      </c>
    </row>
    <row r="6" spans="4:13">
      <c r="H6" t="str">
        <f>'Chilled Beam Schedule'!A17</f>
        <v/>
      </c>
      <c r="I6" t="str">
        <f>IF(H6="","",'Chilled Beam Schedule'!K17)</f>
        <v/>
      </c>
      <c r="J6" t="str">
        <f>IF(H6="","",'Chilled Beam Schedule'!D17)</f>
        <v/>
      </c>
      <c r="K6" t="str">
        <f>IF(H6="","",'Chilled Beam Schedule'!F17)</f>
        <v/>
      </c>
    </row>
    <row r="7" spans="4:13">
      <c r="H7" t="str">
        <f>'Chilled Beam Schedule'!A18</f>
        <v/>
      </c>
      <c r="I7" t="str">
        <f>IF(H7="","",'Chilled Beam Schedule'!K18)</f>
        <v/>
      </c>
      <c r="J7" t="str">
        <f>IF(H7="","",'Chilled Beam Schedule'!D18)</f>
        <v/>
      </c>
      <c r="K7" t="str">
        <f>IF(H7="","",'Chilled Beam Schedule'!F18)</f>
        <v/>
      </c>
    </row>
    <row r="8" spans="4:13">
      <c r="H8" t="str">
        <f>'Chilled Beam Schedule'!A19</f>
        <v/>
      </c>
      <c r="I8" t="str">
        <f>IF(H8="","",'Chilled Beam Schedule'!K19)</f>
        <v/>
      </c>
      <c r="J8" t="str">
        <f>IF(H8="","",'Chilled Beam Schedule'!D19)</f>
        <v/>
      </c>
      <c r="K8" t="str">
        <f>IF(H8="","",'Chilled Beam Schedule'!F19)</f>
        <v/>
      </c>
    </row>
    <row r="9" spans="4:13">
      <c r="H9" t="str">
        <f>'Chilled Beam Schedule'!A20</f>
        <v/>
      </c>
      <c r="I9" t="str">
        <f>IF(H9="","",'Chilled Beam Schedule'!K20)</f>
        <v/>
      </c>
      <c r="J9" t="str">
        <f>IF(H9="","",'Chilled Beam Schedule'!D20)</f>
        <v/>
      </c>
      <c r="K9" t="str">
        <f>IF(H9="","",'Chilled Beam Schedule'!F20)</f>
        <v/>
      </c>
    </row>
    <row r="10" spans="4:13">
      <c r="H10" t="str">
        <f>'Chilled Beam Schedule'!A21</f>
        <v/>
      </c>
      <c r="I10" t="str">
        <f>IF(H10="","",'Chilled Beam Schedule'!K21)</f>
        <v/>
      </c>
      <c r="J10" t="str">
        <f>IF(H10="","",'Chilled Beam Schedule'!D21)</f>
        <v/>
      </c>
      <c r="K10" t="str">
        <f>IF(H10="","",'Chilled Beam Schedule'!F21)</f>
        <v/>
      </c>
    </row>
    <row r="11" spans="4:13">
      <c r="H11" t="str">
        <f>'Chilled Beam Schedule'!A22</f>
        <v/>
      </c>
      <c r="I11" t="str">
        <f>IF(H11="","",'Chilled Beam Schedule'!K22)</f>
        <v/>
      </c>
      <c r="J11" t="str">
        <f>IF(H11="","",'Chilled Beam Schedule'!D22)</f>
        <v/>
      </c>
      <c r="K11" t="str">
        <f>IF(H11="","",'Chilled Beam Schedule'!F22)</f>
        <v/>
      </c>
    </row>
    <row r="12" spans="4:13">
      <c r="H12" t="str">
        <f>'Chilled Beam Schedule'!A23</f>
        <v/>
      </c>
      <c r="I12" t="str">
        <f>IF(H12="","",'Chilled Beam Schedule'!K23)</f>
        <v/>
      </c>
      <c r="J12" t="str">
        <f>IF(H12="","",'Chilled Beam Schedule'!D23)</f>
        <v/>
      </c>
      <c r="K12" t="str">
        <f>IF(H12="","",'Chilled Beam Schedule'!F23)</f>
        <v/>
      </c>
    </row>
    <row r="13" spans="4:13">
      <c r="H13" t="str">
        <f>'Chilled Beam Schedule'!A24</f>
        <v/>
      </c>
      <c r="I13" t="str">
        <f>IF(H13="","",'Chilled Beam Schedule'!K24)</f>
        <v/>
      </c>
      <c r="J13" t="str">
        <f>IF(H13="","",'Chilled Beam Schedule'!D24)</f>
        <v/>
      </c>
      <c r="K13" t="str">
        <f>IF(H13="","",'Chilled Beam Schedule'!F24)</f>
        <v/>
      </c>
    </row>
    <row r="14" spans="4:13">
      <c r="H14" t="str">
        <f>'Chilled Beam Schedule'!A25</f>
        <v/>
      </c>
      <c r="I14" t="str">
        <f>IF(H14="","",'Chilled Beam Schedule'!K25)</f>
        <v/>
      </c>
      <c r="J14" t="str">
        <f>IF(H14="","",'Chilled Beam Schedule'!D25)</f>
        <v/>
      </c>
      <c r="K14" t="str">
        <f>IF(H14="","",'Chilled Beam Schedule'!F25)</f>
        <v/>
      </c>
    </row>
    <row r="15" spans="4:13">
      <c r="H15" t="str">
        <f>'Chilled Beam Schedule'!A26</f>
        <v/>
      </c>
      <c r="I15" t="str">
        <f>IF(H15="","",'Chilled Beam Schedule'!K26)</f>
        <v/>
      </c>
      <c r="J15" t="str">
        <f>IF(H15="","",'Chilled Beam Schedule'!D26)</f>
        <v/>
      </c>
      <c r="K15" t="str">
        <f>IF(H15="","",'Chilled Beam Schedule'!F26)</f>
        <v/>
      </c>
    </row>
    <row r="16" spans="4:13">
      <c r="H16" t="str">
        <f>'Chilled Beam Schedule'!A27</f>
        <v/>
      </c>
      <c r="I16" t="str">
        <f>IF(H16="","",'Chilled Beam Schedule'!K27)</f>
        <v/>
      </c>
      <c r="J16" t="str">
        <f>IF(H16="","",'Chilled Beam Schedule'!D27)</f>
        <v/>
      </c>
      <c r="K16" t="str">
        <f>IF(H16="","",'Chilled Beam Schedule'!F27)</f>
        <v/>
      </c>
    </row>
    <row r="17" spans="8:11">
      <c r="H17" t="str">
        <f>'Chilled Beam Schedule'!A28</f>
        <v/>
      </c>
      <c r="I17" t="str">
        <f>IF(H17="","",'Chilled Beam Schedule'!K28)</f>
        <v/>
      </c>
      <c r="J17" t="str">
        <f>IF(H17="","",'Chilled Beam Schedule'!D28)</f>
        <v/>
      </c>
      <c r="K17" t="str">
        <f>IF(H17="","",'Chilled Beam Schedule'!F28)</f>
        <v/>
      </c>
    </row>
    <row r="18" spans="8:11">
      <c r="H18" t="str">
        <f>'Chilled Beam Schedule'!A29</f>
        <v/>
      </c>
      <c r="I18" t="str">
        <f>IF(H18="","",'Chilled Beam Schedule'!K29)</f>
        <v/>
      </c>
      <c r="J18" t="str">
        <f>IF(H18="","",'Chilled Beam Schedule'!D29)</f>
        <v/>
      </c>
      <c r="K18" t="str">
        <f>IF(H18="","",'Chilled Beam Schedule'!F29)</f>
        <v/>
      </c>
    </row>
    <row r="19" spans="8:11">
      <c r="H19" t="str">
        <f>'Chilled Beam Schedule'!A30</f>
        <v/>
      </c>
      <c r="I19" t="str">
        <f>IF(H19="","",'Chilled Beam Schedule'!K30)</f>
        <v/>
      </c>
      <c r="J19" t="str">
        <f>IF(H19="","",'Chilled Beam Schedule'!D30)</f>
        <v/>
      </c>
      <c r="K19" t="str">
        <f>IF(H19="","",'Chilled Beam Schedule'!F30)</f>
        <v/>
      </c>
    </row>
    <row r="20" spans="8:11">
      <c r="H20" t="str">
        <f>'Chilled Beam Schedule'!A31</f>
        <v/>
      </c>
      <c r="I20" t="str">
        <f>IF(H20="","",'Chilled Beam Schedule'!K31)</f>
        <v/>
      </c>
      <c r="J20" t="str">
        <f>IF(H20="","",'Chilled Beam Schedule'!D31)</f>
        <v/>
      </c>
      <c r="K20" t="str">
        <f>IF(H20="","",'Chilled Beam Schedule'!F31)</f>
        <v/>
      </c>
    </row>
    <row r="21" spans="8:11">
      <c r="H21" t="str">
        <f>'Chilled Beam Schedule'!A32</f>
        <v/>
      </c>
      <c r="I21" t="str">
        <f>IF(H21="","",'Chilled Beam Schedule'!K32)</f>
        <v/>
      </c>
      <c r="J21" t="str">
        <f>IF(H21="","",'Chilled Beam Schedule'!D32)</f>
        <v/>
      </c>
      <c r="K21" t="str">
        <f>IF(H21="","",'Chilled Beam Schedule'!F32)</f>
        <v/>
      </c>
    </row>
    <row r="22" spans="8:11">
      <c r="H22" t="str">
        <f>'Chilled Beam Schedule'!A33</f>
        <v/>
      </c>
      <c r="I22" t="str">
        <f>IF(H22="","",'Chilled Beam Schedule'!K33)</f>
        <v/>
      </c>
      <c r="J22" t="str">
        <f>IF(H22="","",'Chilled Beam Schedule'!D33)</f>
        <v/>
      </c>
      <c r="K22" t="str">
        <f>IF(H22="","",'Chilled Beam Schedule'!F33)</f>
        <v/>
      </c>
    </row>
    <row r="23" spans="8:11">
      <c r="H23" t="str">
        <f>'Chilled Beam Schedule'!A34</f>
        <v/>
      </c>
      <c r="I23" t="str">
        <f>IF(H23="","",'Chilled Beam Schedule'!K34)</f>
        <v/>
      </c>
      <c r="J23" t="str">
        <f>IF(H23="","",'Chilled Beam Schedule'!D34)</f>
        <v/>
      </c>
      <c r="K23" t="str">
        <f>IF(H23="","",'Chilled Beam Schedule'!F34)</f>
        <v/>
      </c>
    </row>
    <row r="24" spans="8:11">
      <c r="H24" t="str">
        <f>'Chilled Beam Schedule'!A35</f>
        <v/>
      </c>
      <c r="I24" t="str">
        <f>IF(H24="","",'Chilled Beam Schedule'!K35)</f>
        <v/>
      </c>
      <c r="J24" t="str">
        <f>IF(H24="","",'Chilled Beam Schedule'!D35)</f>
        <v/>
      </c>
      <c r="K24" t="str">
        <f>IF(H24="","",'Chilled Beam Schedule'!F35)</f>
        <v/>
      </c>
    </row>
    <row r="25" spans="8:11">
      <c r="H25" t="str">
        <f>'Chilled Beam Schedule'!A36</f>
        <v/>
      </c>
      <c r="I25" t="str">
        <f>IF(H25="","",'Chilled Beam Schedule'!K36)</f>
        <v/>
      </c>
      <c r="J25" t="str">
        <f>IF(H25="","",'Chilled Beam Schedule'!D36)</f>
        <v/>
      </c>
      <c r="K25" t="str">
        <f>IF(H25="","",'Chilled Beam Schedule'!F36)</f>
        <v/>
      </c>
    </row>
    <row r="26" spans="8:11">
      <c r="H26" t="str">
        <f>'Chilled Beam Schedule'!A37</f>
        <v/>
      </c>
      <c r="I26" t="str">
        <f>IF(H26="","",'Chilled Beam Schedule'!K37)</f>
        <v/>
      </c>
      <c r="J26" t="str">
        <f>IF(H26="","",'Chilled Beam Schedule'!D37)</f>
        <v/>
      </c>
      <c r="K26" t="str">
        <f>IF(H26="","",'Chilled Beam Schedule'!F37)</f>
        <v/>
      </c>
    </row>
    <row r="27" spans="8:11">
      <c r="H27" t="str">
        <f>'Chilled Beam Schedule'!A38</f>
        <v/>
      </c>
      <c r="I27" t="str">
        <f>IF(H27="","",'Chilled Beam Schedule'!K38)</f>
        <v/>
      </c>
      <c r="J27" t="str">
        <f>IF(H27="","",'Chilled Beam Schedule'!D38)</f>
        <v/>
      </c>
      <c r="K27" t="str">
        <f>IF(H27="","",'Chilled Beam Schedule'!F38)</f>
        <v/>
      </c>
    </row>
    <row r="28" spans="8:11">
      <c r="H28" t="str">
        <f>'Chilled Beam Schedule'!A39</f>
        <v/>
      </c>
      <c r="I28" t="str">
        <f>IF(H28="","",'Chilled Beam Schedule'!K39)</f>
        <v/>
      </c>
      <c r="J28" t="str">
        <f>IF(H28="","",'Chilled Beam Schedule'!D39)</f>
        <v/>
      </c>
      <c r="K28" t="str">
        <f>IF(H28="","",'Chilled Beam Schedule'!F39)</f>
        <v/>
      </c>
    </row>
    <row r="29" spans="8:11">
      <c r="H29" t="str">
        <f>'Chilled Beam Schedule'!A40</f>
        <v/>
      </c>
      <c r="I29" t="str">
        <f>IF(H29="","",'Chilled Beam Schedule'!K40)</f>
        <v/>
      </c>
      <c r="J29" t="str">
        <f>IF(H29="","",'Chilled Beam Schedule'!D40)</f>
        <v/>
      </c>
      <c r="K29" t="str">
        <f>IF(H29="","",'Chilled Beam Schedule'!F40)</f>
        <v/>
      </c>
    </row>
    <row r="30" spans="8:11">
      <c r="H30" t="str">
        <f>'Chilled Beam Schedule'!A41</f>
        <v/>
      </c>
      <c r="I30" t="str">
        <f>IF(H30="","",'Chilled Beam Schedule'!K41)</f>
        <v/>
      </c>
      <c r="J30" t="str">
        <f>IF(H30="","",'Chilled Beam Schedule'!D41)</f>
        <v/>
      </c>
      <c r="K30" t="str">
        <f>IF(H30="","",'Chilled Beam Schedule'!F41)</f>
        <v/>
      </c>
    </row>
    <row r="31" spans="8:11">
      <c r="H31" t="str">
        <f>'Chilled Beam Schedule'!A42</f>
        <v/>
      </c>
      <c r="I31" t="str">
        <f>IF(H31="","",'Chilled Beam Schedule'!K42)</f>
        <v/>
      </c>
      <c r="J31" t="str">
        <f>IF(H31="","",'Chilled Beam Schedule'!D42)</f>
        <v/>
      </c>
      <c r="K31" t="str">
        <f>IF(H31="","",'Chilled Beam Schedule'!F42)</f>
        <v/>
      </c>
    </row>
    <row r="32" spans="8:11">
      <c r="H32" t="str">
        <f>'Chilled Beam Schedule'!A43</f>
        <v/>
      </c>
      <c r="I32" t="str">
        <f>IF(H32="","",'Chilled Beam Schedule'!K43)</f>
        <v/>
      </c>
      <c r="J32" t="str">
        <f>IF(H32="","",'Chilled Beam Schedule'!D43)</f>
        <v/>
      </c>
      <c r="K32" t="str">
        <f>IF(H32="","",'Chilled Beam Schedule'!F43)</f>
        <v/>
      </c>
    </row>
    <row r="33" spans="8:11">
      <c r="H33" t="str">
        <f>'Chilled Beam Schedule'!A44</f>
        <v/>
      </c>
      <c r="I33" t="str">
        <f>IF(H33="","",'Chilled Beam Schedule'!K44)</f>
        <v/>
      </c>
      <c r="J33" t="str">
        <f>IF(H33="","",'Chilled Beam Schedule'!D44)</f>
        <v/>
      </c>
      <c r="K33" t="str">
        <f>IF(H33="","",'Chilled Beam Schedule'!F44)</f>
        <v/>
      </c>
    </row>
    <row r="34" spans="8:11">
      <c r="H34" t="str">
        <f>'Chilled Beam Schedule'!A45</f>
        <v/>
      </c>
      <c r="I34" t="str">
        <f>IF(H34="","",'Chilled Beam Schedule'!K45)</f>
        <v/>
      </c>
      <c r="J34" t="str">
        <f>IF(H34="","",'Chilled Beam Schedule'!D45)</f>
        <v/>
      </c>
      <c r="K34" t="str">
        <f>IF(H34="","",'Chilled Beam Schedule'!F45)</f>
        <v/>
      </c>
    </row>
    <row r="35" spans="8:11">
      <c r="H35" t="str">
        <f>'Chilled Beam Schedule'!A46</f>
        <v/>
      </c>
      <c r="I35" t="str">
        <f>IF(H35="","",'Chilled Beam Schedule'!K46)</f>
        <v/>
      </c>
      <c r="J35" t="str">
        <f>IF(H35="","",'Chilled Beam Schedule'!D46)</f>
        <v/>
      </c>
      <c r="K35" t="str">
        <f>IF(H35="","",'Chilled Beam Schedule'!F46)</f>
        <v/>
      </c>
    </row>
    <row r="36" spans="8:11">
      <c r="H36" t="str">
        <f>'Chilled Beam Schedule'!A47</f>
        <v/>
      </c>
      <c r="I36" t="str">
        <f>IF(H36="","",'Chilled Beam Schedule'!K47)</f>
        <v/>
      </c>
      <c r="J36" t="str">
        <f>IF(H36="","",'Chilled Beam Schedule'!D47)</f>
        <v/>
      </c>
      <c r="K36" t="str">
        <f>IF(H36="","",'Chilled Beam Schedule'!F47)</f>
        <v/>
      </c>
    </row>
    <row r="37" spans="8:11">
      <c r="H37" t="str">
        <f>'Chilled Beam Schedule'!A48</f>
        <v/>
      </c>
      <c r="I37" t="str">
        <f>IF(H37="","",'Chilled Beam Schedule'!K48)</f>
        <v/>
      </c>
      <c r="J37" t="str">
        <f>IF(H37="","",'Chilled Beam Schedule'!D48)</f>
        <v/>
      </c>
      <c r="K37" t="str">
        <f>IF(H37="","",'Chilled Beam Schedule'!F48)</f>
        <v/>
      </c>
    </row>
    <row r="38" spans="8:11">
      <c r="H38" t="str">
        <f>'Chilled Beam Schedule'!A49</f>
        <v/>
      </c>
      <c r="I38" t="str">
        <f>IF(H38="","",'Chilled Beam Schedule'!K49)</f>
        <v/>
      </c>
      <c r="J38" t="str">
        <f>IF(H38="","",'Chilled Beam Schedule'!D49)</f>
        <v/>
      </c>
      <c r="K38" t="str">
        <f>IF(H38="","",'Chilled Beam Schedule'!F49)</f>
        <v/>
      </c>
    </row>
    <row r="39" spans="8:11">
      <c r="H39" t="str">
        <f>'Chilled Beam Schedule'!A50</f>
        <v/>
      </c>
      <c r="I39" t="str">
        <f>IF(H39="","",'Chilled Beam Schedule'!K50)</f>
        <v/>
      </c>
      <c r="J39" t="str">
        <f>IF(H39="","",'Chilled Beam Schedule'!D50)</f>
        <v/>
      </c>
      <c r="K39" t="str">
        <f>IF(H39="","",'Chilled Beam Schedule'!F50)</f>
        <v/>
      </c>
    </row>
    <row r="40" spans="8:11">
      <c r="H40" t="str">
        <f>'Chilled Beam Schedule'!A51</f>
        <v/>
      </c>
      <c r="I40" t="str">
        <f>IF(H40="","",'Chilled Beam Schedule'!K51)</f>
        <v/>
      </c>
      <c r="J40" t="str">
        <f>IF(H40="","",'Chilled Beam Schedule'!D51)</f>
        <v/>
      </c>
      <c r="K40" t="str">
        <f>IF(H40="","",'Chilled Beam Schedule'!F51)</f>
        <v/>
      </c>
    </row>
    <row r="41" spans="8:11">
      <c r="H41" t="str">
        <f>'Chilled Beam Schedule'!A52</f>
        <v/>
      </c>
      <c r="I41" t="str">
        <f>IF(H41="","",'Chilled Beam Schedule'!K52)</f>
        <v/>
      </c>
      <c r="J41" t="str">
        <f>IF(H41="","",'Chilled Beam Schedule'!D52)</f>
        <v/>
      </c>
      <c r="K41" t="str">
        <f>IF(H41="","",'Chilled Beam Schedule'!F52)</f>
        <v/>
      </c>
    </row>
    <row r="42" spans="8:11">
      <c r="H42" t="str">
        <f>'Chilled Beam Schedule'!A53</f>
        <v/>
      </c>
      <c r="I42" t="str">
        <f>IF(H42="","",'Chilled Beam Schedule'!K53)</f>
        <v/>
      </c>
      <c r="J42" t="str">
        <f>IF(H42="","",'Chilled Beam Schedule'!D53)</f>
        <v/>
      </c>
      <c r="K42" t="str">
        <f>IF(H42="","",'Chilled Beam Schedule'!F53)</f>
        <v/>
      </c>
    </row>
    <row r="43" spans="8:11">
      <c r="H43" t="str">
        <f>'Chilled Beam Schedule'!A54</f>
        <v/>
      </c>
      <c r="I43" t="str">
        <f>IF(H43="","",'Chilled Beam Schedule'!K54)</f>
        <v/>
      </c>
      <c r="J43" t="str">
        <f>IF(H43="","",'Chilled Beam Schedule'!D54)</f>
        <v/>
      </c>
      <c r="K43" t="str">
        <f>IF(H43="","",'Chilled Beam Schedule'!F54)</f>
        <v/>
      </c>
    </row>
    <row r="44" spans="8:11">
      <c r="H44" t="str">
        <f>'Chilled Beam Schedule'!A55</f>
        <v/>
      </c>
      <c r="I44" t="str">
        <f>IF(H44="","",'Chilled Beam Schedule'!K55)</f>
        <v/>
      </c>
      <c r="J44" t="str">
        <f>IF(H44="","",'Chilled Beam Schedule'!D55)</f>
        <v/>
      </c>
      <c r="K44" t="str">
        <f>IF(H44="","",'Chilled Beam Schedule'!F55)</f>
        <v/>
      </c>
    </row>
    <row r="45" spans="8:11">
      <c r="H45" t="str">
        <f>'Chilled Beam Schedule'!A56</f>
        <v/>
      </c>
      <c r="I45" t="str">
        <f>IF(H45="","",'Chilled Beam Schedule'!K56)</f>
        <v/>
      </c>
      <c r="J45" t="str">
        <f>IF(H45="","",'Chilled Beam Schedule'!D56)</f>
        <v/>
      </c>
      <c r="K45" t="str">
        <f>IF(H45="","",'Chilled Beam Schedule'!F56)</f>
        <v/>
      </c>
    </row>
    <row r="46" spans="8:11">
      <c r="H46" t="str">
        <f>'Chilled Beam Schedule'!A57</f>
        <v/>
      </c>
      <c r="I46" t="str">
        <f>IF(H46="","",'Chilled Beam Schedule'!K57)</f>
        <v/>
      </c>
      <c r="J46" t="str">
        <f>IF(H46="","",'Chilled Beam Schedule'!D57)</f>
        <v/>
      </c>
      <c r="K46" t="str">
        <f>IF(H46="","",'Chilled Beam Schedule'!F57)</f>
        <v/>
      </c>
    </row>
    <row r="47" spans="8:11">
      <c r="H47" t="str">
        <f>'Chilled Beam Schedule'!A58</f>
        <v/>
      </c>
      <c r="I47" t="str">
        <f>IF(H47="","",'Chilled Beam Schedule'!K58)</f>
        <v/>
      </c>
      <c r="J47" t="str">
        <f>IF(H47="","",'Chilled Beam Schedule'!D58)</f>
        <v/>
      </c>
      <c r="K47" t="str">
        <f>IF(H47="","",'Chilled Beam Schedule'!F58)</f>
        <v/>
      </c>
    </row>
    <row r="48" spans="8:11">
      <c r="H48" t="str">
        <f>'Chilled Beam Schedule'!A59</f>
        <v/>
      </c>
      <c r="I48" t="str">
        <f>IF(H48="","",'Chilled Beam Schedule'!K59)</f>
        <v/>
      </c>
      <c r="J48" t="str">
        <f>IF(H48="","",'Chilled Beam Schedule'!D59)</f>
        <v/>
      </c>
      <c r="K48" t="str">
        <f>IF(H48="","",'Chilled Beam Schedule'!F59)</f>
        <v/>
      </c>
    </row>
    <row r="49" spans="8:11">
      <c r="H49" t="str">
        <f>'Chilled Beam Schedule'!A60</f>
        <v/>
      </c>
      <c r="I49" t="str">
        <f>IF(H49="","",'Chilled Beam Schedule'!K60)</f>
        <v/>
      </c>
      <c r="J49" t="str">
        <f>IF(H49="","",'Chilled Beam Schedule'!D60)</f>
        <v/>
      </c>
      <c r="K49" t="str">
        <f>IF(H49="","",'Chilled Beam Schedule'!F60)</f>
        <v/>
      </c>
    </row>
    <row r="50" spans="8:11">
      <c r="H50" t="str">
        <f>'Chilled Beam Schedule'!A61</f>
        <v/>
      </c>
      <c r="I50" t="str">
        <f>IF(H50="","",'Chilled Beam Schedule'!K61)</f>
        <v/>
      </c>
      <c r="J50" t="str">
        <f>IF(H50="","",'Chilled Beam Schedule'!D61)</f>
        <v/>
      </c>
      <c r="K50" t="str">
        <f>IF(H50="","",'Chilled Beam Schedule'!F61)</f>
        <v/>
      </c>
    </row>
    <row r="51" spans="8:11">
      <c r="H51" t="str">
        <f>'Chilled Beam Schedule'!A62</f>
        <v/>
      </c>
      <c r="I51" t="str">
        <f>IF(H51="","",'Chilled Beam Schedule'!K62)</f>
        <v/>
      </c>
      <c r="J51" t="str">
        <f>IF(H51="","",'Chilled Beam Schedule'!D62)</f>
        <v/>
      </c>
      <c r="K51" t="str">
        <f>IF(H51="","",'Chilled Beam Schedule'!F62)</f>
        <v/>
      </c>
    </row>
    <row r="52" spans="8:11">
      <c r="H52" t="str">
        <f>'Chilled Beam Schedule'!A63</f>
        <v/>
      </c>
      <c r="I52" t="str">
        <f>IF(H52="","",'Chilled Beam Schedule'!K63)</f>
        <v/>
      </c>
      <c r="J52" t="str">
        <f>IF(H52="","",'Chilled Beam Schedule'!D63)</f>
        <v/>
      </c>
      <c r="K52" t="str">
        <f>IF(H52="","",'Chilled Beam Schedule'!F63)</f>
        <v/>
      </c>
    </row>
    <row r="53" spans="8:11">
      <c r="H53" t="str">
        <f>'Chilled Beam Schedule'!A64</f>
        <v/>
      </c>
      <c r="I53" t="str">
        <f>IF(H53="","",'Chilled Beam Schedule'!K64)</f>
        <v/>
      </c>
      <c r="J53" t="str">
        <f>IF(H53="","",'Chilled Beam Schedule'!D64)</f>
        <v/>
      </c>
      <c r="K53" t="str">
        <f>IF(H53="","",'Chilled Beam Schedule'!F64)</f>
        <v/>
      </c>
    </row>
    <row r="54" spans="8:11">
      <c r="H54" t="str">
        <f>'Chilled Beam Schedule'!A65</f>
        <v/>
      </c>
      <c r="I54" t="str">
        <f>IF(H54="","",'Chilled Beam Schedule'!K65)</f>
        <v/>
      </c>
      <c r="J54" t="str">
        <f>IF(H54="","",'Chilled Beam Schedule'!D65)</f>
        <v/>
      </c>
      <c r="K54" t="str">
        <f>IF(H54="","",'Chilled Beam Schedule'!F65)</f>
        <v/>
      </c>
    </row>
    <row r="55" spans="8:11">
      <c r="H55" t="str">
        <f>'Chilled Beam Schedule'!A66</f>
        <v/>
      </c>
      <c r="I55" t="str">
        <f>IF(H55="","",'Chilled Beam Schedule'!K66)</f>
        <v/>
      </c>
      <c r="J55" t="str">
        <f>IF(H55="","",'Chilled Beam Schedule'!D66)</f>
        <v/>
      </c>
      <c r="K55" t="str">
        <f>IF(H55="","",'Chilled Beam Schedule'!F66)</f>
        <v/>
      </c>
    </row>
    <row r="56" spans="8:11">
      <c r="H56" t="str">
        <f>'Chilled Beam Schedule'!A67</f>
        <v/>
      </c>
      <c r="I56" t="str">
        <f>IF(H56="","",'Chilled Beam Schedule'!K67)</f>
        <v/>
      </c>
      <c r="J56" t="str">
        <f>IF(H56="","",'Chilled Beam Schedule'!D67)</f>
        <v/>
      </c>
      <c r="K56" t="str">
        <f>IF(H56="","",'Chilled Beam Schedule'!F67)</f>
        <v/>
      </c>
    </row>
    <row r="57" spans="8:11">
      <c r="H57" t="str">
        <f>'Chilled Beam Schedule'!A68</f>
        <v/>
      </c>
      <c r="I57" t="str">
        <f>IF(H57="","",'Chilled Beam Schedule'!K68)</f>
        <v/>
      </c>
      <c r="J57" t="str">
        <f>IF(H57="","",'Chilled Beam Schedule'!D68)</f>
        <v/>
      </c>
      <c r="K57" t="str">
        <f>IF(H57="","",'Chilled Beam Schedule'!F68)</f>
        <v/>
      </c>
    </row>
    <row r="58" spans="8:11">
      <c r="H58" t="str">
        <f>'Chilled Beam Schedule'!A69</f>
        <v/>
      </c>
      <c r="I58" t="str">
        <f>IF(H58="","",'Chilled Beam Schedule'!K69)</f>
        <v/>
      </c>
      <c r="J58" t="str">
        <f>IF(H58="","",'Chilled Beam Schedule'!D69)</f>
        <v/>
      </c>
      <c r="K58" t="str">
        <f>IF(H58="","",'Chilled Beam Schedule'!F69)</f>
        <v/>
      </c>
    </row>
    <row r="59" spans="8:11">
      <c r="H59" t="str">
        <f>'Chilled Beam Schedule'!A70</f>
        <v/>
      </c>
      <c r="I59" t="str">
        <f>IF(H59="","",'Chilled Beam Schedule'!K70)</f>
        <v/>
      </c>
      <c r="J59" t="str">
        <f>IF(H59="","",'Chilled Beam Schedule'!D70)</f>
        <v/>
      </c>
      <c r="K59" t="str">
        <f>IF(H59="","",'Chilled Beam Schedule'!F70)</f>
        <v/>
      </c>
    </row>
    <row r="60" spans="8:11">
      <c r="H60" t="str">
        <f>'Chilled Beam Schedule'!A71</f>
        <v/>
      </c>
      <c r="I60" t="str">
        <f>IF(H60="","",'Chilled Beam Schedule'!K71)</f>
        <v/>
      </c>
      <c r="J60" t="str">
        <f>IF(H60="","",'Chilled Beam Schedule'!D71)</f>
        <v/>
      </c>
      <c r="K60" t="str">
        <f>IF(H60="","",'Chilled Beam Schedule'!F71)</f>
        <v/>
      </c>
    </row>
    <row r="61" spans="8:11">
      <c r="H61" t="str">
        <f>'Chilled Beam Schedule'!A72</f>
        <v/>
      </c>
      <c r="I61" t="str">
        <f>IF(H61="","",'Chilled Beam Schedule'!K72)</f>
        <v/>
      </c>
      <c r="J61" t="str">
        <f>IF(H61="","",'Chilled Beam Schedule'!D72)</f>
        <v/>
      </c>
      <c r="K61" t="str">
        <f>IF(H61="","",'Chilled Beam Schedule'!F72)</f>
        <v/>
      </c>
    </row>
    <row r="62" spans="8:11">
      <c r="H62" t="str">
        <f>'Chilled Beam Schedule'!A73</f>
        <v/>
      </c>
      <c r="I62" t="str">
        <f>IF(H62="","",'Chilled Beam Schedule'!K73)</f>
        <v/>
      </c>
      <c r="J62" t="str">
        <f>IF(H62="","",'Chilled Beam Schedule'!D73)</f>
        <v/>
      </c>
      <c r="K62" t="str">
        <f>IF(H62="","",'Chilled Beam Schedule'!F73)</f>
        <v/>
      </c>
    </row>
    <row r="63" spans="8:11">
      <c r="H63" t="str">
        <f>'Chilled Beam Schedule'!A74</f>
        <v/>
      </c>
      <c r="I63" t="str">
        <f>IF(H63="","",'Chilled Beam Schedule'!K74)</f>
        <v/>
      </c>
      <c r="J63" t="str">
        <f>IF(H63="","",'Chilled Beam Schedule'!D74)</f>
        <v/>
      </c>
      <c r="K63" t="str">
        <f>IF(H63="","",'Chilled Beam Schedule'!F74)</f>
        <v/>
      </c>
    </row>
    <row r="64" spans="8:11">
      <c r="H64" t="str">
        <f>'Chilled Beam Schedule'!A75</f>
        <v/>
      </c>
      <c r="I64" t="str">
        <f>IF(H64="","",'Chilled Beam Schedule'!K75)</f>
        <v/>
      </c>
      <c r="J64" t="str">
        <f>IF(H64="","",'Chilled Beam Schedule'!D75)</f>
        <v/>
      </c>
      <c r="K64" t="str">
        <f>IF(H64="","",'Chilled Beam Schedule'!F75)</f>
        <v/>
      </c>
    </row>
    <row r="65" spans="8:11">
      <c r="H65" t="str">
        <f>'Chilled Beam Schedule'!A76</f>
        <v/>
      </c>
      <c r="I65" t="str">
        <f>IF(H65="","",'Chilled Beam Schedule'!K76)</f>
        <v/>
      </c>
      <c r="J65" t="str">
        <f>IF(H65="","",'Chilled Beam Schedule'!D76)</f>
        <v/>
      </c>
      <c r="K65" t="str">
        <f>IF(H65="","",'Chilled Beam Schedule'!F76)</f>
        <v/>
      </c>
    </row>
    <row r="66" spans="8:11">
      <c r="H66" t="str">
        <f>'Chilled Beam Schedule'!A77</f>
        <v/>
      </c>
      <c r="I66" t="str">
        <f>IF(H66="","",'Chilled Beam Schedule'!K77)</f>
        <v/>
      </c>
      <c r="J66" t="str">
        <f>IF(H66="","",'Chilled Beam Schedule'!D77)</f>
        <v/>
      </c>
      <c r="K66" t="str">
        <f>IF(H66="","",'Chilled Beam Schedule'!F77)</f>
        <v/>
      </c>
    </row>
    <row r="67" spans="8:11">
      <c r="H67" t="str">
        <f>'Chilled Beam Schedule'!A78</f>
        <v/>
      </c>
      <c r="I67" t="str">
        <f>IF(H67="","",'Chilled Beam Schedule'!K78)</f>
        <v/>
      </c>
      <c r="J67" t="str">
        <f>IF(H67="","",'Chilled Beam Schedule'!D78)</f>
        <v/>
      </c>
      <c r="K67" t="str">
        <f>IF(H67="","",'Chilled Beam Schedule'!F78)</f>
        <v/>
      </c>
    </row>
    <row r="68" spans="8:11">
      <c r="H68" t="str">
        <f>'Chilled Beam Schedule'!A79</f>
        <v/>
      </c>
      <c r="I68" t="str">
        <f>IF(H68="","",'Chilled Beam Schedule'!K79)</f>
        <v/>
      </c>
      <c r="J68" t="str">
        <f>IF(H68="","",'Chilled Beam Schedule'!D79)</f>
        <v/>
      </c>
      <c r="K68" t="str">
        <f>IF(H68="","",'Chilled Beam Schedule'!F79)</f>
        <v/>
      </c>
    </row>
    <row r="69" spans="8:11">
      <c r="H69" t="str">
        <f>'Chilled Beam Schedule'!A80</f>
        <v/>
      </c>
      <c r="I69" t="str">
        <f>IF(H69="","",'Chilled Beam Schedule'!K80)</f>
        <v/>
      </c>
      <c r="J69" t="str">
        <f>IF(H69="","",'Chilled Beam Schedule'!D80)</f>
        <v/>
      </c>
      <c r="K69" t="str">
        <f>IF(H69="","",'Chilled Beam Schedule'!F80)</f>
        <v/>
      </c>
    </row>
    <row r="70" spans="8:11">
      <c r="H70" t="str">
        <f>'Chilled Beam Schedule'!A81</f>
        <v/>
      </c>
      <c r="I70" t="str">
        <f>IF(H70="","",'Chilled Beam Schedule'!K81)</f>
        <v/>
      </c>
      <c r="J70" t="str">
        <f>IF(H70="","",'Chilled Beam Schedule'!D81)</f>
        <v/>
      </c>
      <c r="K70" t="str">
        <f>IF(H70="","",'Chilled Beam Schedule'!F81)</f>
        <v/>
      </c>
    </row>
    <row r="71" spans="8:11">
      <c r="H71" t="str">
        <f>'Chilled Beam Schedule'!A82</f>
        <v/>
      </c>
      <c r="I71" t="str">
        <f>IF(H71="","",'Chilled Beam Schedule'!K82)</f>
        <v/>
      </c>
      <c r="J71" t="str">
        <f>IF(H71="","",'Chilled Beam Schedule'!D82)</f>
        <v/>
      </c>
      <c r="K71" t="str">
        <f>IF(H71="","",'Chilled Beam Schedule'!F82)</f>
        <v/>
      </c>
    </row>
    <row r="72" spans="8:11">
      <c r="H72" t="str">
        <f>'Chilled Beam Schedule'!A83</f>
        <v/>
      </c>
      <c r="I72" t="str">
        <f>IF(H72="","",'Chilled Beam Schedule'!K83)</f>
        <v/>
      </c>
      <c r="J72" t="str">
        <f>IF(H72="","",'Chilled Beam Schedule'!D83)</f>
        <v/>
      </c>
      <c r="K72" t="str">
        <f>IF(H72="","",'Chilled Beam Schedule'!F83)</f>
        <v/>
      </c>
    </row>
    <row r="73" spans="8:11">
      <c r="H73" t="str">
        <f>'Chilled Beam Schedule'!A84</f>
        <v/>
      </c>
      <c r="I73" t="str">
        <f>IF(H73="","",'Chilled Beam Schedule'!K84)</f>
        <v/>
      </c>
      <c r="J73" t="str">
        <f>IF(H73="","",'Chilled Beam Schedule'!D84)</f>
        <v/>
      </c>
      <c r="K73" t="str">
        <f>IF(H73="","",'Chilled Beam Schedule'!F84)</f>
        <v/>
      </c>
    </row>
    <row r="74" spans="8:11">
      <c r="H74" t="str">
        <f>'Chilled Beam Schedule'!A85</f>
        <v/>
      </c>
      <c r="I74" t="str">
        <f>IF(H74="","",'Chilled Beam Schedule'!K85)</f>
        <v/>
      </c>
      <c r="J74" t="str">
        <f>IF(H74="","",'Chilled Beam Schedule'!D85)</f>
        <v/>
      </c>
      <c r="K74" t="str">
        <f>IF(H74="","",'Chilled Beam Schedule'!F85)</f>
        <v/>
      </c>
    </row>
    <row r="75" spans="8:11">
      <c r="H75" t="str">
        <f>'Chilled Beam Schedule'!A86</f>
        <v/>
      </c>
      <c r="I75" t="str">
        <f>IF(H75="","",'Chilled Beam Schedule'!K86)</f>
        <v/>
      </c>
      <c r="J75" t="str">
        <f>IF(H75="","",'Chilled Beam Schedule'!D86)</f>
        <v/>
      </c>
      <c r="K75" t="str">
        <f>IF(H75="","",'Chilled Beam Schedule'!F86)</f>
        <v/>
      </c>
    </row>
    <row r="76" spans="8:11">
      <c r="H76" t="str">
        <f>'Chilled Beam Schedule'!A87</f>
        <v/>
      </c>
      <c r="I76" t="str">
        <f>IF(H76="","",'Chilled Beam Schedule'!K87)</f>
        <v/>
      </c>
      <c r="J76" t="str">
        <f>IF(H76="","",'Chilled Beam Schedule'!D87)</f>
        <v/>
      </c>
      <c r="K76" t="str">
        <f>IF(H76="","",'Chilled Beam Schedule'!F87)</f>
        <v/>
      </c>
    </row>
    <row r="77" spans="8:11">
      <c r="H77" t="str">
        <f>'Chilled Beam Schedule'!A88</f>
        <v/>
      </c>
      <c r="I77" t="str">
        <f>IF(H77="","",'Chilled Beam Schedule'!K88)</f>
        <v/>
      </c>
      <c r="J77" t="str">
        <f>IF(H77="","",'Chilled Beam Schedule'!D88)</f>
        <v/>
      </c>
      <c r="K77" t="str">
        <f>IF(H77="","",'Chilled Beam Schedule'!F88)</f>
        <v/>
      </c>
    </row>
    <row r="78" spans="8:11">
      <c r="H78" t="str">
        <f>'Chilled Beam Schedule'!A89</f>
        <v/>
      </c>
      <c r="I78" t="str">
        <f>IF(H78="","",'Chilled Beam Schedule'!K89)</f>
        <v/>
      </c>
      <c r="J78" t="str">
        <f>IF(H78="","",'Chilled Beam Schedule'!D89)</f>
        <v/>
      </c>
      <c r="K78" t="str">
        <f>IF(H78="","",'Chilled Beam Schedule'!F89)</f>
        <v/>
      </c>
    </row>
    <row r="79" spans="8:11">
      <c r="H79" t="str">
        <f>'Chilled Beam Schedule'!A90</f>
        <v/>
      </c>
      <c r="I79" t="str">
        <f>IF(H79="","",'Chilled Beam Schedule'!K90)</f>
        <v/>
      </c>
      <c r="J79" t="str">
        <f>IF(H79="","",'Chilled Beam Schedule'!D90)</f>
        <v/>
      </c>
      <c r="K79" t="str">
        <f>IF(H79="","",'Chilled Beam Schedule'!F90)</f>
        <v/>
      </c>
    </row>
    <row r="80" spans="8:11">
      <c r="H80" t="str">
        <f>'Chilled Beam Schedule'!A91</f>
        <v/>
      </c>
      <c r="I80" t="str">
        <f>IF(H80="","",'Chilled Beam Schedule'!K91)</f>
        <v/>
      </c>
      <c r="J80" t="str">
        <f>IF(H80="","",'Chilled Beam Schedule'!D91)</f>
        <v/>
      </c>
      <c r="K80" t="str">
        <f>IF(H80="","",'Chilled Beam Schedule'!F91)</f>
        <v/>
      </c>
    </row>
    <row r="81" spans="8:11">
      <c r="H81" t="str">
        <f>'Chilled Beam Schedule'!A92</f>
        <v/>
      </c>
      <c r="I81" t="str">
        <f>IF(H81="","",'Chilled Beam Schedule'!K92)</f>
        <v/>
      </c>
      <c r="J81" t="str">
        <f>IF(H81="","",'Chilled Beam Schedule'!D92)</f>
        <v/>
      </c>
      <c r="K81" t="str">
        <f>IF(H81="","",'Chilled Beam Schedule'!F92)</f>
        <v/>
      </c>
    </row>
    <row r="82" spans="8:11">
      <c r="H82" t="str">
        <f>'Chilled Beam Schedule'!A93</f>
        <v/>
      </c>
      <c r="I82" t="str">
        <f>IF(H82="","",'Chilled Beam Schedule'!K93)</f>
        <v/>
      </c>
      <c r="J82" t="str">
        <f>IF(H82="","",'Chilled Beam Schedule'!D93)</f>
        <v/>
      </c>
      <c r="K82" t="str">
        <f>IF(H82="","",'Chilled Beam Schedule'!F93)</f>
        <v/>
      </c>
    </row>
    <row r="83" spans="8:11">
      <c r="H83" t="str">
        <f>'Chilled Beam Schedule'!A94</f>
        <v/>
      </c>
      <c r="I83" t="str">
        <f>IF(H83="","",'Chilled Beam Schedule'!K94)</f>
        <v/>
      </c>
      <c r="J83" t="str">
        <f>IF(H83="","",'Chilled Beam Schedule'!D94)</f>
        <v/>
      </c>
      <c r="K83" t="str">
        <f>IF(H83="","",'Chilled Beam Schedule'!F94)</f>
        <v/>
      </c>
    </row>
    <row r="84" spans="8:11">
      <c r="H84" t="str">
        <f>'Chilled Beam Schedule'!A95</f>
        <v/>
      </c>
      <c r="I84" t="str">
        <f>IF(H84="","",'Chilled Beam Schedule'!K95)</f>
        <v/>
      </c>
      <c r="J84" t="str">
        <f>IF(H84="","",'Chilled Beam Schedule'!D95)</f>
        <v/>
      </c>
      <c r="K84" t="str">
        <f>IF(H84="","",'Chilled Beam Schedule'!F95)</f>
        <v/>
      </c>
    </row>
    <row r="85" spans="8:11">
      <c r="H85" t="str">
        <f>'Chilled Beam Schedule'!A96</f>
        <v/>
      </c>
      <c r="I85" t="str">
        <f>IF(H85="","",'Chilled Beam Schedule'!K96)</f>
        <v/>
      </c>
      <c r="J85" t="str">
        <f>IF(H85="","",'Chilled Beam Schedule'!D96)</f>
        <v/>
      </c>
      <c r="K85" t="str">
        <f>IF(H85="","",'Chilled Beam Schedule'!F96)</f>
        <v/>
      </c>
    </row>
    <row r="86" spans="8:11">
      <c r="H86" t="str">
        <f>'Chilled Beam Schedule'!A97</f>
        <v/>
      </c>
      <c r="I86" t="str">
        <f>IF(H86="","",'Chilled Beam Schedule'!K97)</f>
        <v/>
      </c>
      <c r="J86" t="str">
        <f>IF(H86="","",'Chilled Beam Schedule'!D97)</f>
        <v/>
      </c>
      <c r="K86" t="str">
        <f>IF(H86="","",'Chilled Beam Schedule'!F97)</f>
        <v/>
      </c>
    </row>
    <row r="87" spans="8:11">
      <c r="H87" t="str">
        <f>'Chilled Beam Schedule'!A98</f>
        <v/>
      </c>
      <c r="I87" t="str">
        <f>IF(H87="","",'Chilled Beam Schedule'!K98)</f>
        <v/>
      </c>
      <c r="J87" t="str">
        <f>IF(H87="","",'Chilled Beam Schedule'!D98)</f>
        <v/>
      </c>
      <c r="K87" t="str">
        <f>IF(H87="","",'Chilled Beam Schedule'!F98)</f>
        <v/>
      </c>
    </row>
    <row r="88" spans="8:11">
      <c r="H88" t="str">
        <f>'Chilled Beam Schedule'!A99</f>
        <v/>
      </c>
      <c r="I88" t="str">
        <f>IF(H88="","",'Chilled Beam Schedule'!K99)</f>
        <v/>
      </c>
      <c r="J88" t="str">
        <f>IF(H88="","",'Chilled Beam Schedule'!D99)</f>
        <v/>
      </c>
      <c r="K88" t="str">
        <f>IF(H88="","",'Chilled Beam Schedule'!F99)</f>
        <v/>
      </c>
    </row>
    <row r="89" spans="8:11">
      <c r="H89" t="str">
        <f>'Chilled Beam Schedule'!A100</f>
        <v/>
      </c>
      <c r="I89" t="str">
        <f>IF(H89="","",'Chilled Beam Schedule'!K100)</f>
        <v/>
      </c>
      <c r="J89" t="str">
        <f>IF(H89="","",'Chilled Beam Schedule'!D100)</f>
        <v/>
      </c>
      <c r="K89" t="str">
        <f>IF(H89="","",'Chilled Beam Schedule'!F100)</f>
        <v/>
      </c>
    </row>
    <row r="90" spans="8:11">
      <c r="H90" t="str">
        <f>'Chilled Beam Schedule'!A101</f>
        <v/>
      </c>
      <c r="I90" t="str">
        <f>IF(H90="","",'Chilled Beam Schedule'!K101)</f>
        <v/>
      </c>
      <c r="J90" t="str">
        <f>IF(H90="","",'Chilled Beam Schedule'!D101)</f>
        <v/>
      </c>
      <c r="K90" t="str">
        <f>IF(H90="","",'Chilled Beam Schedule'!F101)</f>
        <v/>
      </c>
    </row>
    <row r="91" spans="8:11">
      <c r="H91" t="str">
        <f>'Chilled Beam Schedule'!A102</f>
        <v/>
      </c>
      <c r="I91" t="str">
        <f>IF(H91="","",'Chilled Beam Schedule'!K102)</f>
        <v/>
      </c>
      <c r="J91" t="str">
        <f>IF(H91="","",'Chilled Beam Schedule'!D102)</f>
        <v/>
      </c>
      <c r="K91" t="str">
        <f>IF(H91="","",'Chilled Beam Schedule'!F102)</f>
        <v/>
      </c>
    </row>
    <row r="92" spans="8:11">
      <c r="H92" t="str">
        <f>'Chilled Beam Schedule'!A103</f>
        <v/>
      </c>
      <c r="I92" t="str">
        <f>IF(H92="","",'Chilled Beam Schedule'!K103)</f>
        <v/>
      </c>
      <c r="J92" t="str">
        <f>IF(H92="","",'Chilled Beam Schedule'!D103)</f>
        <v/>
      </c>
      <c r="K92" t="str">
        <f>IF(H92="","",'Chilled Beam Schedule'!F103)</f>
        <v/>
      </c>
    </row>
    <row r="93" spans="8:11">
      <c r="H93" t="str">
        <f>'Chilled Beam Schedule'!A104</f>
        <v/>
      </c>
      <c r="I93" t="str">
        <f>IF(H93="","",'Chilled Beam Schedule'!K104)</f>
        <v/>
      </c>
      <c r="J93" t="str">
        <f>IF(H93="","",'Chilled Beam Schedule'!D104)</f>
        <v/>
      </c>
      <c r="K93" t="str">
        <f>IF(H93="","",'Chilled Beam Schedule'!F104)</f>
        <v/>
      </c>
    </row>
    <row r="94" spans="8:11">
      <c r="H94" t="str">
        <f>'Chilled Beam Schedule'!A105</f>
        <v/>
      </c>
      <c r="I94" t="str">
        <f>IF(H94="","",'Chilled Beam Schedule'!K105)</f>
        <v/>
      </c>
      <c r="J94" t="str">
        <f>IF(H94="","",'Chilled Beam Schedule'!D105)</f>
        <v/>
      </c>
      <c r="K94" t="str">
        <f>IF(H94="","",'Chilled Beam Schedule'!F105)</f>
        <v/>
      </c>
    </row>
    <row r="95" spans="8:11">
      <c r="H95" t="str">
        <f>'Chilled Beam Schedule'!A106</f>
        <v/>
      </c>
      <c r="I95" t="str">
        <f>IF(H95="","",'Chilled Beam Schedule'!K106)</f>
        <v/>
      </c>
      <c r="J95" t="str">
        <f>IF(H95="","",'Chilled Beam Schedule'!D106)</f>
        <v/>
      </c>
      <c r="K95" t="str">
        <f>IF(H95="","",'Chilled Beam Schedule'!F106)</f>
        <v/>
      </c>
    </row>
    <row r="96" spans="8:11">
      <c r="H96" t="str">
        <f>'Chilled Beam Schedule'!A107</f>
        <v/>
      </c>
      <c r="I96" t="str">
        <f>IF(H96="","",'Chilled Beam Schedule'!K107)</f>
        <v/>
      </c>
      <c r="J96" t="str">
        <f>IF(H96="","",'Chilled Beam Schedule'!D107)</f>
        <v/>
      </c>
      <c r="K96" t="str">
        <f>IF(H96="","",'Chilled Beam Schedule'!F107)</f>
        <v/>
      </c>
    </row>
    <row r="97" spans="8:11">
      <c r="H97" t="str">
        <f>'Chilled Beam Schedule'!A108</f>
        <v/>
      </c>
      <c r="I97" t="str">
        <f>IF(H97="","",'Chilled Beam Schedule'!K108)</f>
        <v/>
      </c>
      <c r="J97" t="str">
        <f>IF(H97="","",'Chilled Beam Schedule'!D108)</f>
        <v/>
      </c>
      <c r="K97" t="str">
        <f>IF(H97="","",'Chilled Beam Schedule'!F108)</f>
        <v/>
      </c>
    </row>
    <row r="98" spans="8:11">
      <c r="H98" t="str">
        <f>'Chilled Beam Schedule'!A109</f>
        <v/>
      </c>
      <c r="I98" t="str">
        <f>IF(H98="","",'Chilled Beam Schedule'!K109)</f>
        <v/>
      </c>
      <c r="J98" t="str">
        <f>IF(H98="","",'Chilled Beam Schedule'!D109)</f>
        <v/>
      </c>
      <c r="K98" t="str">
        <f>IF(H98="","",'Chilled Beam Schedule'!F109)</f>
        <v/>
      </c>
    </row>
    <row r="99" spans="8:11">
      <c r="H99" t="str">
        <f>'Chilled Beam Schedule'!A110</f>
        <v/>
      </c>
      <c r="I99" t="str">
        <f>IF(H99="","",'Chilled Beam Schedule'!K110)</f>
        <v/>
      </c>
      <c r="J99" t="str">
        <f>IF(H99="","",'Chilled Beam Schedule'!D110)</f>
        <v/>
      </c>
      <c r="K99" t="str">
        <f>IF(H99="","",'Chilled Beam Schedule'!F110)</f>
        <v/>
      </c>
    </row>
    <row r="100" spans="8:11">
      <c r="H100" t="str">
        <f>'Chilled Beam Schedule'!A111</f>
        <v/>
      </c>
      <c r="I100" t="str">
        <f>IF(H100="","",'Chilled Beam Schedule'!K111)</f>
        <v/>
      </c>
      <c r="J100" t="str">
        <f>IF(H100="","",'Chilled Beam Schedule'!D111)</f>
        <v/>
      </c>
      <c r="K100" t="str">
        <f>IF(H100="","",'Chilled Beam Schedule'!F111)</f>
        <v/>
      </c>
    </row>
    <row r="101" spans="8:11">
      <c r="H101" t="str">
        <f>'Chilled Beam Schedule'!A112</f>
        <v/>
      </c>
      <c r="I101" t="str">
        <f>IF(H101="","",'Chilled Beam Schedule'!K112)</f>
        <v/>
      </c>
      <c r="J101" t="str">
        <f>IF(H101="","",'Chilled Beam Schedule'!D112)</f>
        <v/>
      </c>
      <c r="K101" t="str">
        <f>IF(H101="","",'Chilled Beam Schedule'!F112)</f>
        <v/>
      </c>
    </row>
    <row r="102" spans="8:11">
      <c r="H102" t="str">
        <f>'Chilled Beam Schedule'!A113</f>
        <v/>
      </c>
      <c r="I102" t="str">
        <f>IF(H102="","",'Chilled Beam Schedule'!K113)</f>
        <v/>
      </c>
      <c r="J102" t="str">
        <f>IF(H102="","",'Chilled Beam Schedule'!D113)</f>
        <v/>
      </c>
      <c r="K102" t="str">
        <f>IF(H102="","",'Chilled Beam Schedule'!F113)</f>
        <v/>
      </c>
    </row>
    <row r="103" spans="8:11">
      <c r="H103" t="str">
        <f>'Chilled Beam Schedule'!A114</f>
        <v/>
      </c>
      <c r="I103" t="str">
        <f>IF(H103="","",'Chilled Beam Schedule'!K114)</f>
        <v/>
      </c>
      <c r="J103" t="str">
        <f>IF(H103="","",'Chilled Beam Schedule'!D114)</f>
        <v/>
      </c>
      <c r="K103" t="str">
        <f>IF(H103="","",'Chilled Beam Schedule'!F114)</f>
        <v/>
      </c>
    </row>
    <row r="104" spans="8:11">
      <c r="H104" t="str">
        <f>'Chilled Beam Schedule'!A115</f>
        <v/>
      </c>
      <c r="I104" t="str">
        <f>IF(H104="","",'Chilled Beam Schedule'!K115)</f>
        <v/>
      </c>
      <c r="J104" t="str">
        <f>IF(H104="","",'Chilled Beam Schedule'!D115)</f>
        <v/>
      </c>
      <c r="K104" t="str">
        <f>IF(H104="","",'Chilled Beam Schedule'!F115)</f>
        <v/>
      </c>
    </row>
    <row r="105" spans="8:11">
      <c r="H105" t="str">
        <f>'Chilled Beam Schedule'!A116</f>
        <v/>
      </c>
      <c r="I105" t="str">
        <f>IF(H105="","",'Chilled Beam Schedule'!K116)</f>
        <v/>
      </c>
      <c r="J105" t="str">
        <f>IF(H105="","",'Chilled Beam Schedule'!D116)</f>
        <v/>
      </c>
      <c r="K105" t="str">
        <f>IF(H105="","",'Chilled Beam Schedule'!F116)</f>
        <v/>
      </c>
    </row>
    <row r="106" spans="8:11">
      <c r="H106" t="str">
        <f>'Chilled Beam Schedule'!A117</f>
        <v/>
      </c>
      <c r="I106" t="str">
        <f>IF(H106="","",'Chilled Beam Schedule'!K117)</f>
        <v/>
      </c>
      <c r="J106" t="str">
        <f>IF(H106="","",'Chilled Beam Schedule'!D117)</f>
        <v/>
      </c>
      <c r="K106" t="str">
        <f>IF(H106="","",'Chilled Beam Schedule'!F117)</f>
        <v/>
      </c>
    </row>
    <row r="107" spans="8:11">
      <c r="H107" t="str">
        <f>'Chilled Beam Schedule'!A118</f>
        <v/>
      </c>
      <c r="I107" t="str">
        <f>IF(H107="","",'Chilled Beam Schedule'!K118)</f>
        <v/>
      </c>
      <c r="J107" t="str">
        <f>IF(H107="","",'Chilled Beam Schedule'!D118)</f>
        <v/>
      </c>
      <c r="K107" t="str">
        <f>IF(H107="","",'Chilled Beam Schedule'!F118)</f>
        <v/>
      </c>
    </row>
    <row r="108" spans="8:11">
      <c r="H108" t="str">
        <f>'Chilled Beam Schedule'!A119</f>
        <v/>
      </c>
      <c r="I108" t="str">
        <f>IF(H108="","",'Chilled Beam Schedule'!K119)</f>
        <v/>
      </c>
      <c r="J108" t="str">
        <f>IF(H108="","",'Chilled Beam Schedule'!D119)</f>
        <v/>
      </c>
      <c r="K108" t="str">
        <f>IF(H108="","",'Chilled Beam Schedule'!F119)</f>
        <v/>
      </c>
    </row>
    <row r="109" spans="8:11">
      <c r="H109" t="str">
        <f>'Chilled Beam Schedule'!A120</f>
        <v/>
      </c>
      <c r="I109" t="str">
        <f>IF(H109="","",'Chilled Beam Schedule'!K120)</f>
        <v/>
      </c>
      <c r="J109" t="str">
        <f>IF(H109="","",'Chilled Beam Schedule'!D120)</f>
        <v/>
      </c>
      <c r="K109" t="str">
        <f>IF(H109="","",'Chilled Beam Schedule'!F120)</f>
        <v/>
      </c>
    </row>
    <row r="110" spans="8:11">
      <c r="H110" t="str">
        <f>'Chilled Beam Schedule'!A121</f>
        <v/>
      </c>
      <c r="I110" t="str">
        <f>IF(H110="","",'Chilled Beam Schedule'!K121)</f>
        <v/>
      </c>
      <c r="J110" t="str">
        <f>IF(H110="","",'Chilled Beam Schedule'!D121)</f>
        <v/>
      </c>
      <c r="K110" t="str">
        <f>IF(H110="","",'Chilled Beam Schedule'!F121)</f>
        <v/>
      </c>
    </row>
    <row r="111" spans="8:11">
      <c r="H111" t="str">
        <f>'Chilled Beam Schedule'!A122</f>
        <v/>
      </c>
      <c r="I111" t="str">
        <f>IF(H111="","",'Chilled Beam Schedule'!K122)</f>
        <v/>
      </c>
      <c r="J111" t="str">
        <f>IF(H111="","",'Chilled Beam Schedule'!D122)</f>
        <v/>
      </c>
      <c r="K111" t="str">
        <f>IF(H111="","",'Chilled Beam Schedule'!F122)</f>
        <v/>
      </c>
    </row>
    <row r="112" spans="8:11">
      <c r="H112" t="str">
        <f>'Chilled Beam Schedule'!A123</f>
        <v/>
      </c>
      <c r="I112" t="str">
        <f>IF(H112="","",'Chilled Beam Schedule'!K123)</f>
        <v/>
      </c>
      <c r="J112" t="str">
        <f>IF(H112="","",'Chilled Beam Schedule'!D123)</f>
        <v/>
      </c>
      <c r="K112" t="str">
        <f>IF(H112="","",'Chilled Beam Schedule'!F123)</f>
        <v/>
      </c>
    </row>
    <row r="113" spans="8:11">
      <c r="H113" t="str">
        <f>'Chilled Beam Schedule'!A124</f>
        <v/>
      </c>
      <c r="I113" t="str">
        <f>IF(H113="","",'Chilled Beam Schedule'!K124)</f>
        <v/>
      </c>
      <c r="J113" t="str">
        <f>IF(H113="","",'Chilled Beam Schedule'!D124)</f>
        <v/>
      </c>
      <c r="K113" t="str">
        <f>IF(H113="","",'Chilled Beam Schedule'!F124)</f>
        <v/>
      </c>
    </row>
    <row r="114" spans="8:11">
      <c r="H114" t="str">
        <f>'Chilled Beam Schedule'!A125</f>
        <v/>
      </c>
      <c r="I114" t="str">
        <f>IF(H114="","",'Chilled Beam Schedule'!K125)</f>
        <v/>
      </c>
      <c r="J114" t="str">
        <f>IF(H114="","",'Chilled Beam Schedule'!D125)</f>
        <v/>
      </c>
      <c r="K114" t="str">
        <f>IF(H114="","",'Chilled Beam Schedule'!F125)</f>
        <v/>
      </c>
    </row>
    <row r="115" spans="8:11">
      <c r="H115" t="str">
        <f>'Chilled Beam Schedule'!A126</f>
        <v/>
      </c>
      <c r="I115" t="str">
        <f>IF(H115="","",'Chilled Beam Schedule'!K126)</f>
        <v/>
      </c>
      <c r="J115" t="str">
        <f>IF(H115="","",'Chilled Beam Schedule'!D126)</f>
        <v/>
      </c>
      <c r="K115" t="str">
        <f>IF(H115="","",'Chilled Beam Schedule'!F126)</f>
        <v/>
      </c>
    </row>
    <row r="116" spans="8:11">
      <c r="H116" t="str">
        <f>'Chilled Beam Schedule'!A127</f>
        <v/>
      </c>
      <c r="I116" t="str">
        <f>IF(H116="","",'Chilled Beam Schedule'!K127)</f>
        <v/>
      </c>
      <c r="J116" t="str">
        <f>IF(H116="","",'Chilled Beam Schedule'!D127)</f>
        <v/>
      </c>
      <c r="K116" t="str">
        <f>IF(H116="","",'Chilled Beam Schedule'!F127)</f>
        <v/>
      </c>
    </row>
    <row r="117" spans="8:11">
      <c r="H117" t="str">
        <f>'Chilled Beam Schedule'!A128</f>
        <v/>
      </c>
      <c r="I117" t="str">
        <f>IF(H117="","",'Chilled Beam Schedule'!K128)</f>
        <v/>
      </c>
      <c r="J117" t="str">
        <f>IF(H117="","",'Chilled Beam Schedule'!D128)</f>
        <v/>
      </c>
      <c r="K117" t="str">
        <f>IF(H117="","",'Chilled Beam Schedule'!F128)</f>
        <v/>
      </c>
    </row>
    <row r="118" spans="8:11">
      <c r="H118" t="str">
        <f>'Chilled Beam Schedule'!A129</f>
        <v/>
      </c>
      <c r="I118" t="str">
        <f>IF(H118="","",'Chilled Beam Schedule'!K129)</f>
        <v/>
      </c>
      <c r="J118" t="str">
        <f>IF(H118="","",'Chilled Beam Schedule'!D129)</f>
        <v/>
      </c>
      <c r="K118" t="str">
        <f>IF(H118="","",'Chilled Beam Schedule'!F129)</f>
        <v/>
      </c>
    </row>
    <row r="119" spans="8:11">
      <c r="H119" t="str">
        <f>'Chilled Beam Schedule'!A130</f>
        <v/>
      </c>
      <c r="I119" t="str">
        <f>IF(H119="","",'Chilled Beam Schedule'!K130)</f>
        <v/>
      </c>
      <c r="J119" t="str">
        <f>IF(H119="","",'Chilled Beam Schedule'!D130)</f>
        <v/>
      </c>
      <c r="K119" t="str">
        <f>IF(H119="","",'Chilled Beam Schedule'!F130)</f>
        <v/>
      </c>
    </row>
    <row r="120" spans="8:11">
      <c r="H120" t="str">
        <f>'Chilled Beam Schedule'!A131</f>
        <v/>
      </c>
      <c r="I120" t="str">
        <f>IF(H120="","",'Chilled Beam Schedule'!K131)</f>
        <v/>
      </c>
      <c r="J120" t="str">
        <f>IF(H120="","",'Chilled Beam Schedule'!D131)</f>
        <v/>
      </c>
      <c r="K120" t="str">
        <f>IF(H120="","",'Chilled Beam Schedule'!F131)</f>
        <v/>
      </c>
    </row>
    <row r="121" spans="8:11">
      <c r="H121" t="str">
        <f>'Chilled Beam Schedule'!A132</f>
        <v/>
      </c>
      <c r="I121" t="str">
        <f>IF(H121="","",'Chilled Beam Schedule'!K132)</f>
        <v/>
      </c>
      <c r="J121" t="str">
        <f>IF(H121="","",'Chilled Beam Schedule'!D132)</f>
        <v/>
      </c>
      <c r="K121" t="str">
        <f>IF(H121="","",'Chilled Beam Schedule'!F132)</f>
        <v/>
      </c>
    </row>
    <row r="122" spans="8:11">
      <c r="H122" t="str">
        <f>'Chilled Beam Schedule'!A133</f>
        <v/>
      </c>
      <c r="I122" t="str">
        <f>IF(H122="","",'Chilled Beam Schedule'!K133)</f>
        <v/>
      </c>
      <c r="J122" t="str">
        <f>IF(H122="","",'Chilled Beam Schedule'!D133)</f>
        <v/>
      </c>
      <c r="K122" t="str">
        <f>IF(H122="","",'Chilled Beam Schedule'!F133)</f>
        <v/>
      </c>
    </row>
    <row r="123" spans="8:11">
      <c r="H123" t="str">
        <f>'Chilled Beam Schedule'!A134</f>
        <v/>
      </c>
      <c r="I123" t="str">
        <f>IF(H123="","",'Chilled Beam Schedule'!K134)</f>
        <v/>
      </c>
      <c r="J123" t="str">
        <f>IF(H123="","",'Chilled Beam Schedule'!D134)</f>
        <v/>
      </c>
      <c r="K123" t="str">
        <f>IF(H123="","",'Chilled Beam Schedule'!F134)</f>
        <v/>
      </c>
    </row>
    <row r="124" spans="8:11">
      <c r="H124" t="str">
        <f>'Chilled Beam Schedule'!A135</f>
        <v/>
      </c>
      <c r="I124" t="str">
        <f>IF(H124="","",'Chilled Beam Schedule'!K135)</f>
        <v/>
      </c>
      <c r="J124" t="str">
        <f>IF(H124="","",'Chilled Beam Schedule'!D135)</f>
        <v/>
      </c>
      <c r="K124" t="str">
        <f>IF(H124="","",'Chilled Beam Schedule'!F135)</f>
        <v/>
      </c>
    </row>
    <row r="125" spans="8:11">
      <c r="H125" t="str">
        <f>'Chilled Beam Schedule'!A136</f>
        <v/>
      </c>
      <c r="I125" t="str">
        <f>IF(H125="","",'Chilled Beam Schedule'!K136)</f>
        <v/>
      </c>
      <c r="J125" t="str">
        <f>IF(H125="","",'Chilled Beam Schedule'!D136)</f>
        <v/>
      </c>
      <c r="K125" t="str">
        <f>IF(H125="","",'Chilled Beam Schedule'!F136)</f>
        <v/>
      </c>
    </row>
    <row r="126" spans="8:11">
      <c r="H126" t="str">
        <f>'Chilled Beam Schedule'!A137</f>
        <v/>
      </c>
      <c r="I126" t="str">
        <f>IF(H126="","",'Chilled Beam Schedule'!K137)</f>
        <v/>
      </c>
      <c r="J126" t="str">
        <f>IF(H126="","",'Chilled Beam Schedule'!D137)</f>
        <v/>
      </c>
      <c r="K126" t="str">
        <f>IF(H126="","",'Chilled Beam Schedule'!F137)</f>
        <v/>
      </c>
    </row>
    <row r="127" spans="8:11">
      <c r="H127" t="str">
        <f>'Chilled Beam Schedule'!A138</f>
        <v/>
      </c>
      <c r="I127" t="str">
        <f>IF(H127="","",'Chilled Beam Schedule'!K138)</f>
        <v/>
      </c>
      <c r="J127" t="str">
        <f>IF(H127="","",'Chilled Beam Schedule'!D138)</f>
        <v/>
      </c>
      <c r="K127" t="str">
        <f>IF(H127="","",'Chilled Beam Schedule'!F138)</f>
        <v/>
      </c>
    </row>
    <row r="128" spans="8:11">
      <c r="H128" t="str">
        <f>'Chilled Beam Schedule'!A139</f>
        <v/>
      </c>
      <c r="I128" t="str">
        <f>IF(H128="","",'Chilled Beam Schedule'!K139)</f>
        <v/>
      </c>
      <c r="J128" t="str">
        <f>IF(H128="","",'Chilled Beam Schedule'!D139)</f>
        <v/>
      </c>
      <c r="K128" t="str">
        <f>IF(H128="","",'Chilled Beam Schedule'!F139)</f>
        <v/>
      </c>
    </row>
    <row r="129" spans="8:11">
      <c r="H129" t="str">
        <f>'Chilled Beam Schedule'!A140</f>
        <v/>
      </c>
      <c r="I129" t="str">
        <f>IF(H129="","",'Chilled Beam Schedule'!K140)</f>
        <v/>
      </c>
      <c r="J129" t="str">
        <f>IF(H129="","",'Chilled Beam Schedule'!D140)</f>
        <v/>
      </c>
      <c r="K129" t="str">
        <f>IF(H129="","",'Chilled Beam Schedule'!F140)</f>
        <v/>
      </c>
    </row>
    <row r="130" spans="8:11">
      <c r="H130" t="str">
        <f>'Chilled Beam Schedule'!A141</f>
        <v/>
      </c>
      <c r="I130" t="str">
        <f>IF(H130="","",'Chilled Beam Schedule'!K141)</f>
        <v/>
      </c>
      <c r="J130" t="str">
        <f>IF(H130="","",'Chilled Beam Schedule'!D141)</f>
        <v/>
      </c>
      <c r="K130" t="str">
        <f>IF(H130="","",'Chilled Beam Schedule'!F141)</f>
        <v/>
      </c>
    </row>
    <row r="131" spans="8:11">
      <c r="H131" t="str">
        <f>'Chilled Beam Schedule'!A142</f>
        <v/>
      </c>
      <c r="I131" t="str">
        <f>IF(H131="","",'Chilled Beam Schedule'!K142)</f>
        <v/>
      </c>
      <c r="J131" t="str">
        <f>IF(H131="","",'Chilled Beam Schedule'!D142)</f>
        <v/>
      </c>
      <c r="K131" t="str">
        <f>IF(H131="","",'Chilled Beam Schedule'!F142)</f>
        <v/>
      </c>
    </row>
    <row r="132" spans="8:11">
      <c r="H132" t="str">
        <f>'Chilled Beam Schedule'!A143</f>
        <v/>
      </c>
      <c r="I132" t="str">
        <f>IF(H132="","",'Chilled Beam Schedule'!K143)</f>
        <v/>
      </c>
      <c r="J132" t="str">
        <f>IF(H132="","",'Chilled Beam Schedule'!D143)</f>
        <v/>
      </c>
      <c r="K132" t="str">
        <f>IF(H132="","",'Chilled Beam Schedule'!F143)</f>
        <v/>
      </c>
    </row>
    <row r="133" spans="8:11">
      <c r="H133" t="str">
        <f>'Chilled Beam Schedule'!A144</f>
        <v/>
      </c>
      <c r="I133" t="str">
        <f>IF(H133="","",'Chilled Beam Schedule'!K144)</f>
        <v/>
      </c>
      <c r="J133" t="str">
        <f>IF(H133="","",'Chilled Beam Schedule'!D144)</f>
        <v/>
      </c>
      <c r="K133" t="str">
        <f>IF(H133="","",'Chilled Beam Schedule'!F144)</f>
        <v/>
      </c>
    </row>
    <row r="134" spans="8:11">
      <c r="H134" t="str">
        <f>'Chilled Beam Schedule'!A145</f>
        <v/>
      </c>
      <c r="I134" t="str">
        <f>IF(H134="","",'Chilled Beam Schedule'!K145)</f>
        <v/>
      </c>
      <c r="J134" t="str">
        <f>IF(H134="","",'Chilled Beam Schedule'!D145)</f>
        <v/>
      </c>
      <c r="K134" t="str">
        <f>IF(H134="","",'Chilled Beam Schedule'!F145)</f>
        <v/>
      </c>
    </row>
    <row r="135" spans="8:11">
      <c r="H135" t="str">
        <f>'Chilled Beam Schedule'!A146</f>
        <v/>
      </c>
      <c r="I135" t="str">
        <f>IF(H135="","",'Chilled Beam Schedule'!K146)</f>
        <v/>
      </c>
      <c r="J135" t="str">
        <f>IF(H135="","",'Chilled Beam Schedule'!D146)</f>
        <v/>
      </c>
      <c r="K135" t="str">
        <f>IF(H135="","",'Chilled Beam Schedule'!F146)</f>
        <v/>
      </c>
    </row>
    <row r="136" spans="8:11">
      <c r="H136" t="str">
        <f>'Chilled Beam Schedule'!A147</f>
        <v/>
      </c>
      <c r="I136" t="str">
        <f>IF(H136="","",'Chilled Beam Schedule'!K147)</f>
        <v/>
      </c>
      <c r="J136" t="str">
        <f>IF(H136="","",'Chilled Beam Schedule'!D147)</f>
        <v/>
      </c>
      <c r="K136" t="str">
        <f>IF(H136="","",'Chilled Beam Schedule'!F147)</f>
        <v/>
      </c>
    </row>
    <row r="137" spans="8:11">
      <c r="H137" t="str">
        <f>'Chilled Beam Schedule'!A148</f>
        <v/>
      </c>
      <c r="I137" t="str">
        <f>IF(H137="","",'Chilled Beam Schedule'!K148)</f>
        <v/>
      </c>
      <c r="J137" t="str">
        <f>IF(H137="","",'Chilled Beam Schedule'!D148)</f>
        <v/>
      </c>
      <c r="K137" t="str">
        <f>IF(H137="","",'Chilled Beam Schedule'!F148)</f>
        <v/>
      </c>
    </row>
    <row r="138" spans="8:11">
      <c r="H138" t="str">
        <f>'Chilled Beam Schedule'!A149</f>
        <v/>
      </c>
      <c r="I138" t="str">
        <f>IF(H138="","",'Chilled Beam Schedule'!K149)</f>
        <v/>
      </c>
      <c r="J138" t="str">
        <f>IF(H138="","",'Chilled Beam Schedule'!D149)</f>
        <v/>
      </c>
      <c r="K138" t="str">
        <f>IF(H138="","",'Chilled Beam Schedule'!F149)</f>
        <v/>
      </c>
    </row>
    <row r="139" spans="8:11">
      <c r="H139" t="str">
        <f>'Chilled Beam Schedule'!A150</f>
        <v/>
      </c>
      <c r="I139" t="str">
        <f>IF(H139="","",'Chilled Beam Schedule'!K150)</f>
        <v/>
      </c>
      <c r="J139" t="str">
        <f>IF(H139="","",'Chilled Beam Schedule'!D150)</f>
        <v/>
      </c>
      <c r="K139" t="str">
        <f>IF(H139="","",'Chilled Beam Schedule'!F150)</f>
        <v/>
      </c>
    </row>
    <row r="140" spans="8:11">
      <c r="H140" t="str">
        <f>'Chilled Beam Schedule'!A151</f>
        <v/>
      </c>
      <c r="I140" t="str">
        <f>IF(H140="","",'Chilled Beam Schedule'!K151)</f>
        <v/>
      </c>
      <c r="J140" t="str">
        <f>IF(H140="","",'Chilled Beam Schedule'!D151)</f>
        <v/>
      </c>
      <c r="K140" t="str">
        <f>IF(H140="","",'Chilled Beam Schedule'!F151)</f>
        <v/>
      </c>
    </row>
    <row r="141" spans="8:11">
      <c r="H141" t="str">
        <f>'Chilled Beam Schedule'!A152</f>
        <v/>
      </c>
      <c r="I141" t="str">
        <f>IF(H141="","",'Chilled Beam Schedule'!K152)</f>
        <v/>
      </c>
      <c r="J141" t="str">
        <f>IF(H141="","",'Chilled Beam Schedule'!D152)</f>
        <v/>
      </c>
      <c r="K141" t="str">
        <f>IF(H141="","",'Chilled Beam Schedule'!F152)</f>
        <v/>
      </c>
    </row>
    <row r="142" spans="8:11">
      <c r="H142" t="str">
        <f>'Chilled Beam Schedule'!A153</f>
        <v/>
      </c>
      <c r="I142" t="str">
        <f>IF(H142="","",'Chilled Beam Schedule'!K153)</f>
        <v/>
      </c>
      <c r="J142" t="str">
        <f>IF(H142="","",'Chilled Beam Schedule'!D153)</f>
        <v/>
      </c>
      <c r="K142" t="str">
        <f>IF(H142="","",'Chilled Beam Schedule'!F153)</f>
        <v/>
      </c>
    </row>
    <row r="143" spans="8:11">
      <c r="H143" t="str">
        <f>'Chilled Beam Schedule'!A154</f>
        <v/>
      </c>
      <c r="I143" t="str">
        <f>IF(H143="","",'Chilled Beam Schedule'!K154)</f>
        <v/>
      </c>
      <c r="J143" t="str">
        <f>IF(H143="","",'Chilled Beam Schedule'!D154)</f>
        <v/>
      </c>
      <c r="K143" t="str">
        <f>IF(H143="","",'Chilled Beam Schedule'!F154)</f>
        <v/>
      </c>
    </row>
    <row r="144" spans="8:11">
      <c r="H144" t="str">
        <f>'Chilled Beam Schedule'!A155</f>
        <v/>
      </c>
      <c r="I144" t="str">
        <f>IF(H144="","",'Chilled Beam Schedule'!K155)</f>
        <v/>
      </c>
      <c r="J144" t="str">
        <f>IF(H144="","",'Chilled Beam Schedule'!D155)</f>
        <v/>
      </c>
      <c r="K144" t="str">
        <f>IF(H144="","",'Chilled Beam Schedule'!F155)</f>
        <v/>
      </c>
    </row>
    <row r="145" spans="8:11">
      <c r="H145" t="str">
        <f>'Chilled Beam Schedule'!A156</f>
        <v/>
      </c>
      <c r="I145" t="str">
        <f>IF(H145="","",'Chilled Beam Schedule'!K156)</f>
        <v/>
      </c>
      <c r="J145" t="str">
        <f>IF(H145="","",'Chilled Beam Schedule'!D156)</f>
        <v/>
      </c>
      <c r="K145" t="str">
        <f>IF(H145="","",'Chilled Beam Schedule'!F156)</f>
        <v/>
      </c>
    </row>
    <row r="146" spans="8:11">
      <c r="H146" t="str">
        <f>'Chilled Beam Schedule'!A157</f>
        <v/>
      </c>
      <c r="I146" t="str">
        <f>IF(H146="","",'Chilled Beam Schedule'!K157)</f>
        <v/>
      </c>
      <c r="J146" t="str">
        <f>IF(H146="","",'Chilled Beam Schedule'!D157)</f>
        <v/>
      </c>
      <c r="K146" t="str">
        <f>IF(H146="","",'Chilled Beam Schedule'!F157)</f>
        <v/>
      </c>
    </row>
    <row r="147" spans="8:11">
      <c r="H147" t="str">
        <f>'Chilled Beam Schedule'!A158</f>
        <v/>
      </c>
      <c r="I147" t="str">
        <f>IF(H147="","",'Chilled Beam Schedule'!K158)</f>
        <v/>
      </c>
      <c r="J147" t="str">
        <f>IF(H147="","",'Chilled Beam Schedule'!D158)</f>
        <v/>
      </c>
      <c r="K147" t="str">
        <f>IF(H147="","",'Chilled Beam Schedule'!F158)</f>
        <v/>
      </c>
    </row>
    <row r="148" spans="8:11">
      <c r="H148" t="str">
        <f>'Chilled Beam Schedule'!A159</f>
        <v/>
      </c>
      <c r="I148" t="str">
        <f>IF(H148="","",'Chilled Beam Schedule'!K159)</f>
        <v/>
      </c>
      <c r="J148" t="str">
        <f>IF(H148="","",'Chilled Beam Schedule'!D159)</f>
        <v/>
      </c>
      <c r="K148" t="str">
        <f>IF(H148="","",'Chilled Beam Schedule'!F159)</f>
        <v/>
      </c>
    </row>
    <row r="149" spans="8:11">
      <c r="H149" t="str">
        <f>'Chilled Beam Schedule'!A160</f>
        <v/>
      </c>
      <c r="I149" t="str">
        <f>IF(H149="","",'Chilled Beam Schedule'!K160)</f>
        <v/>
      </c>
      <c r="J149" t="str">
        <f>IF(H149="","",'Chilled Beam Schedule'!D160)</f>
        <v/>
      </c>
      <c r="K149" t="str">
        <f>IF(H149="","",'Chilled Beam Schedule'!F160)</f>
        <v/>
      </c>
    </row>
    <row r="150" spans="8:11">
      <c r="H150" t="str">
        <f>'Chilled Beam Schedule'!A161</f>
        <v/>
      </c>
      <c r="I150" t="str">
        <f>IF(H150="","",'Chilled Beam Schedule'!K161)</f>
        <v/>
      </c>
      <c r="J150" t="str">
        <f>IF(H150="","",'Chilled Beam Schedule'!D161)</f>
        <v/>
      </c>
      <c r="K150" t="str">
        <f>IF(H150="","",'Chilled Beam Schedule'!F161)</f>
        <v/>
      </c>
    </row>
    <row r="151" spans="8:11">
      <c r="H151" t="str">
        <f>'Chilled Beam Schedule'!A162</f>
        <v/>
      </c>
      <c r="I151" t="str">
        <f>IF(H151="","",'Chilled Beam Schedule'!K162)</f>
        <v/>
      </c>
      <c r="J151" t="str">
        <f>IF(H151="","",'Chilled Beam Schedule'!D162)</f>
        <v/>
      </c>
      <c r="K151" t="str">
        <f>IF(H151="","",'Chilled Beam Schedule'!F162)</f>
        <v/>
      </c>
    </row>
    <row r="152" spans="8:11">
      <c r="H152" t="str">
        <f>'Chilled Beam Schedule'!A163</f>
        <v/>
      </c>
      <c r="I152" t="str">
        <f>IF(H152="","",'Chilled Beam Schedule'!K163)</f>
        <v/>
      </c>
      <c r="J152" t="str">
        <f>IF(H152="","",'Chilled Beam Schedule'!D163)</f>
        <v/>
      </c>
      <c r="K152" t="str">
        <f>IF(H152="","",'Chilled Beam Schedule'!F163)</f>
        <v/>
      </c>
    </row>
    <row r="153" spans="8:11">
      <c r="H153" t="str">
        <f>'Chilled Beam Schedule'!A164</f>
        <v/>
      </c>
      <c r="I153" t="str">
        <f>IF(H153="","",'Chilled Beam Schedule'!K164)</f>
        <v/>
      </c>
      <c r="J153" t="str">
        <f>IF(H153="","",'Chilled Beam Schedule'!D164)</f>
        <v/>
      </c>
      <c r="K153" t="str">
        <f>IF(H153="","",'Chilled Beam Schedule'!F164)</f>
        <v/>
      </c>
    </row>
    <row r="154" spans="8:11">
      <c r="H154" t="str">
        <f>'Chilled Beam Schedule'!A165</f>
        <v/>
      </c>
      <c r="I154" t="str">
        <f>IF(H154="","",'Chilled Beam Schedule'!K165)</f>
        <v/>
      </c>
      <c r="J154" t="str">
        <f>IF(H154="","",'Chilled Beam Schedule'!D165)</f>
        <v/>
      </c>
      <c r="K154" t="str">
        <f>IF(H154="","",'Chilled Beam Schedule'!F165)</f>
        <v/>
      </c>
    </row>
    <row r="155" spans="8:11">
      <c r="H155" t="str">
        <f>'Chilled Beam Schedule'!A166</f>
        <v/>
      </c>
      <c r="I155" t="str">
        <f>IF(H155="","",'Chilled Beam Schedule'!K166)</f>
        <v/>
      </c>
      <c r="J155" t="str">
        <f>IF(H155="","",'Chilled Beam Schedule'!D166)</f>
        <v/>
      </c>
      <c r="K155" t="str">
        <f>IF(H155="","",'Chilled Beam Schedule'!F166)</f>
        <v/>
      </c>
    </row>
    <row r="156" spans="8:11">
      <c r="H156" t="str">
        <f>'Chilled Beam Schedule'!A167</f>
        <v/>
      </c>
      <c r="I156" t="str">
        <f>IF(H156="","",'Chilled Beam Schedule'!K167)</f>
        <v/>
      </c>
      <c r="J156" t="str">
        <f>IF(H156="","",'Chilled Beam Schedule'!D167)</f>
        <v/>
      </c>
      <c r="K156" t="str">
        <f>IF(H156="","",'Chilled Beam Schedule'!F167)</f>
        <v/>
      </c>
    </row>
    <row r="157" spans="8:11">
      <c r="H157" t="str">
        <f>'Chilled Beam Schedule'!A168</f>
        <v/>
      </c>
      <c r="I157" t="str">
        <f>IF(H157="","",'Chilled Beam Schedule'!K168)</f>
        <v/>
      </c>
      <c r="J157" t="str">
        <f>IF(H157="","",'Chilled Beam Schedule'!D168)</f>
        <v/>
      </c>
      <c r="K157" t="str">
        <f>IF(H157="","",'Chilled Beam Schedule'!F168)</f>
        <v/>
      </c>
    </row>
    <row r="158" spans="8:11">
      <c r="H158" t="str">
        <f>'Chilled Beam Schedule'!A169</f>
        <v/>
      </c>
      <c r="I158" t="str">
        <f>IF(H158="","",'Chilled Beam Schedule'!K169)</f>
        <v/>
      </c>
      <c r="J158" t="str">
        <f>IF(H158="","",'Chilled Beam Schedule'!D169)</f>
        <v/>
      </c>
      <c r="K158" t="str">
        <f>IF(H158="","",'Chilled Beam Schedule'!F169)</f>
        <v/>
      </c>
    </row>
    <row r="159" spans="8:11">
      <c r="H159" t="str">
        <f>'Chilled Beam Schedule'!A170</f>
        <v/>
      </c>
      <c r="I159" t="str">
        <f>IF(H159="","",'Chilled Beam Schedule'!K170)</f>
        <v/>
      </c>
      <c r="J159" t="str">
        <f>IF(H159="","",'Chilled Beam Schedule'!D170)</f>
        <v/>
      </c>
      <c r="K159" t="str">
        <f>IF(H159="","",'Chilled Beam Schedule'!F170)</f>
        <v/>
      </c>
    </row>
    <row r="160" spans="8:11">
      <c r="H160" t="str">
        <f>'Chilled Beam Schedule'!A171</f>
        <v/>
      </c>
      <c r="I160" t="str">
        <f>IF(H160="","",'Chilled Beam Schedule'!K171)</f>
        <v/>
      </c>
      <c r="J160" t="str">
        <f>IF(H160="","",'Chilled Beam Schedule'!D171)</f>
        <v/>
      </c>
      <c r="K160" t="str">
        <f>IF(H160="","",'Chilled Beam Schedule'!F171)</f>
        <v/>
      </c>
    </row>
    <row r="161" spans="8:11">
      <c r="H161" t="str">
        <f>'Chilled Beam Schedule'!A172</f>
        <v/>
      </c>
      <c r="I161" t="str">
        <f>IF(H161="","",'Chilled Beam Schedule'!K172)</f>
        <v/>
      </c>
      <c r="J161" t="str">
        <f>IF(H161="","",'Chilled Beam Schedule'!D172)</f>
        <v/>
      </c>
      <c r="K161" t="str">
        <f>IF(H161="","",'Chilled Beam Schedule'!F172)</f>
        <v/>
      </c>
    </row>
    <row r="162" spans="8:11">
      <c r="H162" t="str">
        <f>'Chilled Beam Schedule'!A173</f>
        <v/>
      </c>
      <c r="I162" t="str">
        <f>IF(H162="","",'Chilled Beam Schedule'!K173)</f>
        <v/>
      </c>
      <c r="J162" t="str">
        <f>IF(H162="","",'Chilled Beam Schedule'!D173)</f>
        <v/>
      </c>
      <c r="K162" t="str">
        <f>IF(H162="","",'Chilled Beam Schedule'!F173)</f>
        <v/>
      </c>
    </row>
    <row r="163" spans="8:11">
      <c r="H163" t="str">
        <f>'Chilled Beam Schedule'!A174</f>
        <v/>
      </c>
      <c r="I163" t="str">
        <f>IF(H163="","",'Chilled Beam Schedule'!K174)</f>
        <v/>
      </c>
      <c r="J163" t="str">
        <f>IF(H163="","",'Chilled Beam Schedule'!D174)</f>
        <v/>
      </c>
      <c r="K163" t="str">
        <f>IF(H163="","",'Chilled Beam Schedule'!F174)</f>
        <v/>
      </c>
    </row>
    <row r="164" spans="8:11">
      <c r="H164" t="str">
        <f>'Chilled Beam Schedule'!A175</f>
        <v/>
      </c>
      <c r="I164" t="str">
        <f>IF(H164="","",'Chilled Beam Schedule'!K175)</f>
        <v/>
      </c>
      <c r="J164" t="str">
        <f>IF(H164="","",'Chilled Beam Schedule'!D175)</f>
        <v/>
      </c>
      <c r="K164" t="str">
        <f>IF(H164="","",'Chilled Beam Schedule'!F175)</f>
        <v/>
      </c>
    </row>
    <row r="165" spans="8:11">
      <c r="H165" t="str">
        <f>'Chilled Beam Schedule'!A176</f>
        <v/>
      </c>
      <c r="I165" t="str">
        <f>IF(H165="","",'Chilled Beam Schedule'!K176)</f>
        <v/>
      </c>
      <c r="J165" t="str">
        <f>IF(H165="","",'Chilled Beam Schedule'!D176)</f>
        <v/>
      </c>
      <c r="K165" t="str">
        <f>IF(H165="","",'Chilled Beam Schedule'!F176)</f>
        <v/>
      </c>
    </row>
    <row r="166" spans="8:11">
      <c r="H166" t="str">
        <f>'Chilled Beam Schedule'!A177</f>
        <v/>
      </c>
      <c r="I166" t="str">
        <f>IF(H166="","",'Chilled Beam Schedule'!K177)</f>
        <v/>
      </c>
      <c r="J166" t="str">
        <f>IF(H166="","",'Chilled Beam Schedule'!D177)</f>
        <v/>
      </c>
      <c r="K166" t="str">
        <f>IF(H166="","",'Chilled Beam Schedule'!F177)</f>
        <v/>
      </c>
    </row>
    <row r="167" spans="8:11">
      <c r="H167" t="str">
        <f>'Chilled Beam Schedule'!A178</f>
        <v/>
      </c>
      <c r="I167" t="str">
        <f>IF(H167="","",'Chilled Beam Schedule'!K178)</f>
        <v/>
      </c>
      <c r="J167" t="str">
        <f>IF(H167="","",'Chilled Beam Schedule'!D178)</f>
        <v/>
      </c>
      <c r="K167" t="str">
        <f>IF(H167="","",'Chilled Beam Schedule'!F178)</f>
        <v/>
      </c>
    </row>
    <row r="168" spans="8:11">
      <c r="H168" t="str">
        <f>'Chilled Beam Schedule'!A179</f>
        <v/>
      </c>
      <c r="I168" t="str">
        <f>IF(H168="","",'Chilled Beam Schedule'!K179)</f>
        <v/>
      </c>
      <c r="J168" t="str">
        <f>IF(H168="","",'Chilled Beam Schedule'!D179)</f>
        <v/>
      </c>
      <c r="K168" t="str">
        <f>IF(H168="","",'Chilled Beam Schedule'!F179)</f>
        <v/>
      </c>
    </row>
    <row r="169" spans="8:11">
      <c r="H169" t="str">
        <f>'Chilled Beam Schedule'!A180</f>
        <v/>
      </c>
      <c r="I169" t="str">
        <f>IF(H169="","",'Chilled Beam Schedule'!K180)</f>
        <v/>
      </c>
      <c r="J169" t="str">
        <f>IF(H169="","",'Chilled Beam Schedule'!D180)</f>
        <v/>
      </c>
      <c r="K169" t="str">
        <f>IF(H169="","",'Chilled Beam Schedule'!F180)</f>
        <v/>
      </c>
    </row>
    <row r="170" spans="8:11">
      <c r="H170" t="str">
        <f>'Chilled Beam Schedule'!A181</f>
        <v/>
      </c>
      <c r="I170" t="str">
        <f>IF(H170="","",'Chilled Beam Schedule'!K181)</f>
        <v/>
      </c>
      <c r="J170" t="str">
        <f>IF(H170="","",'Chilled Beam Schedule'!D181)</f>
        <v/>
      </c>
      <c r="K170" t="str">
        <f>IF(H170="","",'Chilled Beam Schedule'!F181)</f>
        <v/>
      </c>
    </row>
    <row r="171" spans="8:11">
      <c r="H171" t="str">
        <f>'Chilled Beam Schedule'!A182</f>
        <v/>
      </c>
      <c r="I171" t="str">
        <f>IF(H171="","",'Chilled Beam Schedule'!K182)</f>
        <v/>
      </c>
      <c r="J171" t="str">
        <f>IF(H171="","",'Chilled Beam Schedule'!D182)</f>
        <v/>
      </c>
      <c r="K171" t="str">
        <f>IF(H171="","",'Chilled Beam Schedule'!F182)</f>
        <v/>
      </c>
    </row>
    <row r="172" spans="8:11">
      <c r="H172" t="str">
        <f>'Chilled Beam Schedule'!A183</f>
        <v/>
      </c>
      <c r="I172" t="str">
        <f>IF(H172="","",'Chilled Beam Schedule'!K183)</f>
        <v/>
      </c>
      <c r="J172" t="str">
        <f>IF(H172="","",'Chilled Beam Schedule'!D183)</f>
        <v/>
      </c>
      <c r="K172" t="str">
        <f>IF(H172="","",'Chilled Beam Schedule'!F183)</f>
        <v/>
      </c>
    </row>
    <row r="173" spans="8:11">
      <c r="H173" t="str">
        <f>'Chilled Beam Schedule'!A184</f>
        <v/>
      </c>
      <c r="I173" t="str">
        <f>IF(H173="","",'Chilled Beam Schedule'!K184)</f>
        <v/>
      </c>
      <c r="J173" t="str">
        <f>IF(H173="","",'Chilled Beam Schedule'!D184)</f>
        <v/>
      </c>
      <c r="K173" t="str">
        <f>IF(H173="","",'Chilled Beam Schedule'!F184)</f>
        <v/>
      </c>
    </row>
    <row r="174" spans="8:11">
      <c r="H174" t="str">
        <f>'Chilled Beam Schedule'!A185</f>
        <v/>
      </c>
      <c r="I174" t="str">
        <f>IF(H174="","",'Chilled Beam Schedule'!K185)</f>
        <v/>
      </c>
      <c r="J174" t="str">
        <f>IF(H174="","",'Chilled Beam Schedule'!D185)</f>
        <v/>
      </c>
      <c r="K174" t="str">
        <f>IF(H174="","",'Chilled Beam Schedule'!F185)</f>
        <v/>
      </c>
    </row>
    <row r="175" spans="8:11">
      <c r="H175" t="str">
        <f>'Chilled Beam Schedule'!A186</f>
        <v/>
      </c>
      <c r="I175" t="str">
        <f>IF(H175="","",'Chilled Beam Schedule'!K186)</f>
        <v/>
      </c>
      <c r="J175" t="str">
        <f>IF(H175="","",'Chilled Beam Schedule'!D186)</f>
        <v/>
      </c>
      <c r="K175" t="str">
        <f>IF(H175="","",'Chilled Beam Schedule'!F186)</f>
        <v/>
      </c>
    </row>
    <row r="176" spans="8:11">
      <c r="H176" t="str">
        <f>'Chilled Beam Schedule'!A187</f>
        <v/>
      </c>
      <c r="I176" t="str">
        <f>IF(H176="","",'Chilled Beam Schedule'!K187)</f>
        <v/>
      </c>
      <c r="J176" t="str">
        <f>IF(H176="","",'Chilled Beam Schedule'!D187)</f>
        <v/>
      </c>
      <c r="K176" t="str">
        <f>IF(H176="","",'Chilled Beam Schedule'!F187)</f>
        <v/>
      </c>
    </row>
    <row r="177" spans="8:11">
      <c r="H177" t="str">
        <f>'Chilled Beam Schedule'!A188</f>
        <v/>
      </c>
      <c r="I177" t="str">
        <f>IF(H177="","",'Chilled Beam Schedule'!K188)</f>
        <v/>
      </c>
      <c r="J177" t="str">
        <f>IF(H177="","",'Chilled Beam Schedule'!D188)</f>
        <v/>
      </c>
      <c r="K177" t="str">
        <f>IF(H177="","",'Chilled Beam Schedule'!F188)</f>
        <v/>
      </c>
    </row>
    <row r="178" spans="8:11">
      <c r="H178" t="str">
        <f>'Chilled Beam Schedule'!A189</f>
        <v/>
      </c>
      <c r="I178" t="str">
        <f>IF(H178="","",'Chilled Beam Schedule'!K189)</f>
        <v/>
      </c>
      <c r="J178" t="str">
        <f>IF(H178="","",'Chilled Beam Schedule'!D189)</f>
        <v/>
      </c>
      <c r="K178" t="str">
        <f>IF(H178="","",'Chilled Beam Schedule'!F189)</f>
        <v/>
      </c>
    </row>
    <row r="179" spans="8:11">
      <c r="H179" t="str">
        <f>'Chilled Beam Schedule'!A190</f>
        <v/>
      </c>
      <c r="I179" t="str">
        <f>IF(H179="","",'Chilled Beam Schedule'!K190)</f>
        <v/>
      </c>
      <c r="J179" t="str">
        <f>IF(H179="","",'Chilled Beam Schedule'!D190)</f>
        <v/>
      </c>
      <c r="K179" t="str">
        <f>IF(H179="","",'Chilled Beam Schedule'!F190)</f>
        <v/>
      </c>
    </row>
    <row r="180" spans="8:11">
      <c r="H180" t="str">
        <f>'Chilled Beam Schedule'!A191</f>
        <v/>
      </c>
      <c r="I180" t="str">
        <f>IF(H180="","",'Chilled Beam Schedule'!K191)</f>
        <v/>
      </c>
      <c r="J180" t="str">
        <f>IF(H180="","",'Chilled Beam Schedule'!D191)</f>
        <v/>
      </c>
      <c r="K180" t="str">
        <f>IF(H180="","",'Chilled Beam Schedule'!F191)</f>
        <v/>
      </c>
    </row>
    <row r="181" spans="8:11">
      <c r="H181" t="str">
        <f>'Chilled Beam Schedule'!A192</f>
        <v/>
      </c>
      <c r="I181" t="str">
        <f>IF(H181="","",'Chilled Beam Schedule'!K192)</f>
        <v/>
      </c>
      <c r="J181" t="str">
        <f>IF(H181="","",'Chilled Beam Schedule'!D192)</f>
        <v/>
      </c>
      <c r="K181" t="str">
        <f>IF(H181="","",'Chilled Beam Schedule'!F192)</f>
        <v/>
      </c>
    </row>
    <row r="182" spans="8:11">
      <c r="H182" t="str">
        <f>'Chilled Beam Schedule'!A193</f>
        <v/>
      </c>
      <c r="I182" t="str">
        <f>IF(H182="","",'Chilled Beam Schedule'!K193)</f>
        <v/>
      </c>
      <c r="J182" t="str">
        <f>IF(H182="","",'Chilled Beam Schedule'!D193)</f>
        <v/>
      </c>
      <c r="K182" t="str">
        <f>IF(H182="","",'Chilled Beam Schedule'!F193)</f>
        <v/>
      </c>
    </row>
    <row r="183" spans="8:11">
      <c r="H183" t="str">
        <f>'Chilled Beam Schedule'!A194</f>
        <v/>
      </c>
      <c r="I183" t="str">
        <f>IF(H183="","",'Chilled Beam Schedule'!K194)</f>
        <v/>
      </c>
      <c r="J183" t="str">
        <f>IF(H183="","",'Chilled Beam Schedule'!D194)</f>
        <v/>
      </c>
      <c r="K183" t="str">
        <f>IF(H183="","",'Chilled Beam Schedule'!F194)</f>
        <v/>
      </c>
    </row>
    <row r="184" spans="8:11">
      <c r="H184" t="str">
        <f>'Chilled Beam Schedule'!A195</f>
        <v/>
      </c>
      <c r="I184" t="str">
        <f>IF(H184="","",'Chilled Beam Schedule'!K195)</f>
        <v/>
      </c>
      <c r="J184" t="str">
        <f>IF(H184="","",'Chilled Beam Schedule'!D195)</f>
        <v/>
      </c>
      <c r="K184" t="str">
        <f>IF(H184="","",'Chilled Beam Schedule'!F195)</f>
        <v/>
      </c>
    </row>
    <row r="185" spans="8:11">
      <c r="H185" t="str">
        <f>'Chilled Beam Schedule'!A196</f>
        <v/>
      </c>
      <c r="I185" t="str">
        <f>IF(H185="","",'Chilled Beam Schedule'!K196)</f>
        <v/>
      </c>
      <c r="J185" t="str">
        <f>IF(H185="","",'Chilled Beam Schedule'!D196)</f>
        <v/>
      </c>
      <c r="K185" t="str">
        <f>IF(H185="","",'Chilled Beam Schedule'!F196)</f>
        <v/>
      </c>
    </row>
    <row r="186" spans="8:11">
      <c r="H186" t="str">
        <f>'Chilled Beam Schedule'!A197</f>
        <v/>
      </c>
      <c r="I186" t="str">
        <f>IF(H186="","",'Chilled Beam Schedule'!K197)</f>
        <v/>
      </c>
      <c r="J186" t="str">
        <f>IF(H186="","",'Chilled Beam Schedule'!D197)</f>
        <v/>
      </c>
      <c r="K186" t="str">
        <f>IF(H186="","",'Chilled Beam Schedule'!F197)</f>
        <v/>
      </c>
    </row>
    <row r="187" spans="8:11">
      <c r="H187" t="str">
        <f>'Chilled Beam Schedule'!A198</f>
        <v/>
      </c>
      <c r="I187" t="str">
        <f>IF(H187="","",'Chilled Beam Schedule'!K198)</f>
        <v/>
      </c>
      <c r="J187" t="str">
        <f>IF(H187="","",'Chilled Beam Schedule'!D198)</f>
        <v/>
      </c>
      <c r="K187" t="str">
        <f>IF(H187="","",'Chilled Beam Schedule'!F198)</f>
        <v/>
      </c>
    </row>
    <row r="188" spans="8:11">
      <c r="H188" t="str">
        <f>'Chilled Beam Schedule'!A199</f>
        <v/>
      </c>
      <c r="I188" t="str">
        <f>IF(H188="","",'Chilled Beam Schedule'!K199)</f>
        <v/>
      </c>
      <c r="J188" t="str">
        <f>IF(H188="","",'Chilled Beam Schedule'!D199)</f>
        <v/>
      </c>
      <c r="K188" t="str">
        <f>IF(H188="","",'Chilled Beam Schedule'!F199)</f>
        <v/>
      </c>
    </row>
    <row r="189" spans="8:11">
      <c r="H189" t="str">
        <f>'Chilled Beam Schedule'!A200</f>
        <v/>
      </c>
      <c r="I189" t="str">
        <f>IF(H189="","",'Chilled Beam Schedule'!K200)</f>
        <v/>
      </c>
      <c r="J189" t="str">
        <f>IF(H189="","",'Chilled Beam Schedule'!D200)</f>
        <v/>
      </c>
      <c r="K189" t="str">
        <f>IF(H189="","",'Chilled Beam Schedule'!F200)</f>
        <v/>
      </c>
    </row>
    <row r="190" spans="8:11">
      <c r="H190" t="str">
        <f>'Chilled Beam Schedule'!A201</f>
        <v/>
      </c>
      <c r="I190" t="str">
        <f>IF(H190="","",'Chilled Beam Schedule'!K201)</f>
        <v/>
      </c>
      <c r="J190" t="str">
        <f>IF(H190="","",'Chilled Beam Schedule'!D201)</f>
        <v/>
      </c>
      <c r="K190" t="str">
        <f>IF(H190="","",'Chilled Beam Schedule'!F201)</f>
        <v/>
      </c>
    </row>
    <row r="191" spans="8:11">
      <c r="H191" t="str">
        <f>'Chilled Beam Schedule'!A202</f>
        <v/>
      </c>
      <c r="I191" t="str">
        <f>IF(H191="","",'Chilled Beam Schedule'!K202)</f>
        <v/>
      </c>
      <c r="J191" t="str">
        <f>IF(H191="","",'Chilled Beam Schedule'!D202)</f>
        <v/>
      </c>
      <c r="K191" t="str">
        <f>IF(H191="","",'Chilled Beam Schedule'!F202)</f>
        <v/>
      </c>
    </row>
    <row r="192" spans="8:11">
      <c r="H192" t="str">
        <f>'Chilled Beam Schedule'!A203</f>
        <v/>
      </c>
      <c r="I192" t="str">
        <f>IF(H192="","",'Chilled Beam Schedule'!K203)</f>
        <v/>
      </c>
      <c r="J192" t="str">
        <f>IF(H192="","",'Chilled Beam Schedule'!D203)</f>
        <v/>
      </c>
      <c r="K192" t="str">
        <f>IF(H192="","",'Chilled Beam Schedule'!F203)</f>
        <v/>
      </c>
    </row>
    <row r="193" spans="8:11">
      <c r="H193" t="str">
        <f>'Chilled Beam Schedule'!A204</f>
        <v/>
      </c>
      <c r="I193" t="str">
        <f>IF(H193="","",'Chilled Beam Schedule'!K204)</f>
        <v/>
      </c>
      <c r="J193" t="str">
        <f>IF(H193="","",'Chilled Beam Schedule'!D204)</f>
        <v/>
      </c>
      <c r="K193" t="str">
        <f>IF(H193="","",'Chilled Beam Schedule'!F204)</f>
        <v/>
      </c>
    </row>
    <row r="194" spans="8:11">
      <c r="H194" t="str">
        <f>'Chilled Beam Schedule'!A205</f>
        <v/>
      </c>
      <c r="I194" t="str">
        <f>IF(H194="","",'Chilled Beam Schedule'!K205)</f>
        <v/>
      </c>
      <c r="J194" t="str">
        <f>IF(H194="","",'Chilled Beam Schedule'!D205)</f>
        <v/>
      </c>
      <c r="K194" t="str">
        <f>IF(H194="","",'Chilled Beam Schedule'!F205)</f>
        <v/>
      </c>
    </row>
    <row r="195" spans="8:11">
      <c r="H195" t="str">
        <f>'Chilled Beam Schedule'!A206</f>
        <v/>
      </c>
      <c r="I195" t="str">
        <f>IF(H195="","",'Chilled Beam Schedule'!K206)</f>
        <v/>
      </c>
      <c r="J195" t="str">
        <f>IF(H195="","",'Chilled Beam Schedule'!D206)</f>
        <v/>
      </c>
      <c r="K195" t="str">
        <f>IF(H195="","",'Chilled Beam Schedule'!F206)</f>
        <v/>
      </c>
    </row>
    <row r="196" spans="8:11">
      <c r="H196" t="str">
        <f>'Chilled Beam Schedule'!A207</f>
        <v/>
      </c>
      <c r="I196" t="str">
        <f>IF(H196="","",'Chilled Beam Schedule'!K207)</f>
        <v/>
      </c>
      <c r="J196" t="str">
        <f>IF(H196="","",'Chilled Beam Schedule'!D207)</f>
        <v/>
      </c>
      <c r="K196" t="str">
        <f>IF(H196="","",'Chilled Beam Schedule'!F207)</f>
        <v/>
      </c>
    </row>
    <row r="197" spans="8:11">
      <c r="H197" t="str">
        <f>'Chilled Beam Schedule'!A208</f>
        <v/>
      </c>
      <c r="I197" t="str">
        <f>IF(H197="","",'Chilled Beam Schedule'!K208)</f>
        <v/>
      </c>
      <c r="J197" t="str">
        <f>IF(H197="","",'Chilled Beam Schedule'!D208)</f>
        <v/>
      </c>
      <c r="K197" t="str">
        <f>IF(H197="","",'Chilled Beam Schedule'!F208)</f>
        <v/>
      </c>
    </row>
    <row r="198" spans="8:11">
      <c r="H198" t="str">
        <f>'Chilled Beam Schedule'!A209</f>
        <v/>
      </c>
      <c r="I198" t="str">
        <f>IF(H198="","",'Chilled Beam Schedule'!K209)</f>
        <v/>
      </c>
      <c r="J198" t="str">
        <f>IF(H198="","",'Chilled Beam Schedule'!D209)</f>
        <v/>
      </c>
      <c r="K198" t="str">
        <f>IF(H198="","",'Chilled Beam Schedule'!F209)</f>
        <v/>
      </c>
    </row>
    <row r="199" spans="8:11">
      <c r="H199" t="str">
        <f>'Chilled Beam Schedule'!A210</f>
        <v/>
      </c>
      <c r="I199" t="str">
        <f>IF(H199="","",'Chilled Beam Schedule'!K210)</f>
        <v/>
      </c>
      <c r="J199" t="str">
        <f>IF(H199="","",'Chilled Beam Schedule'!D210)</f>
        <v/>
      </c>
      <c r="K199" t="str">
        <f>IF(H199="","",'Chilled Beam Schedule'!F210)</f>
        <v/>
      </c>
    </row>
    <row r="200" spans="8:11">
      <c r="H200" t="str">
        <f>'Chilled Beam Schedule'!A211</f>
        <v/>
      </c>
      <c r="I200" t="str">
        <f>IF(H200="","",'Chilled Beam Schedule'!K211)</f>
        <v/>
      </c>
      <c r="J200" t="str">
        <f>IF(H200="","",'Chilled Beam Schedule'!D211)</f>
        <v/>
      </c>
      <c r="K200" t="str">
        <f>IF(H200="","",'Chilled Beam Schedule'!F211)</f>
        <v/>
      </c>
    </row>
    <row r="201" spans="8:11">
      <c r="H201" t="str">
        <f>'Chilled Beam Schedule'!A212</f>
        <v/>
      </c>
      <c r="I201" t="str">
        <f>IF(H201="","",'Chilled Beam Schedule'!K212)</f>
        <v/>
      </c>
      <c r="J201" t="str">
        <f>IF(H201="","",'Chilled Beam Schedule'!D212)</f>
        <v/>
      </c>
      <c r="K201" t="str">
        <f>IF(H201="","",'Chilled Beam Schedule'!F212)</f>
        <v/>
      </c>
    </row>
    <row r="202" spans="8:11">
      <c r="H202" t="str">
        <f>'Chilled Beam Schedule'!A213</f>
        <v/>
      </c>
      <c r="I202" t="str">
        <f>IF(H202="","",'Chilled Beam Schedule'!K213)</f>
        <v/>
      </c>
      <c r="J202" t="str">
        <f>IF(H202="","",'Chilled Beam Schedule'!D213)</f>
        <v/>
      </c>
      <c r="K202" t="str">
        <f>IF(H202="","",'Chilled Beam Schedule'!F213)</f>
        <v/>
      </c>
    </row>
    <row r="203" spans="8:11">
      <c r="H203" t="str">
        <f>'Chilled Beam Schedule'!A214</f>
        <v/>
      </c>
      <c r="I203" t="str">
        <f>IF(H203="","",'Chilled Beam Schedule'!K214)</f>
        <v/>
      </c>
      <c r="J203" t="str">
        <f>IF(H203="","",'Chilled Beam Schedule'!D214)</f>
        <v/>
      </c>
      <c r="K203" t="str">
        <f>IF(H203="","",'Chilled Beam Schedule'!F214)</f>
        <v/>
      </c>
    </row>
    <row r="204" spans="8:11">
      <c r="H204" t="str">
        <f>'Chilled Beam Schedule'!A215</f>
        <v/>
      </c>
      <c r="I204" t="str">
        <f>IF(H204="","",'Chilled Beam Schedule'!K215)</f>
        <v/>
      </c>
      <c r="J204" t="str">
        <f>IF(H204="","",'Chilled Beam Schedule'!D215)</f>
        <v/>
      </c>
      <c r="K204" t="str">
        <f>IF(H204="","",'Chilled Beam Schedule'!F215)</f>
        <v/>
      </c>
    </row>
    <row r="205" spans="8:11">
      <c r="H205" t="str">
        <f>'Chilled Beam Schedule'!A216</f>
        <v/>
      </c>
      <c r="I205" t="str">
        <f>IF(H205="","",'Chilled Beam Schedule'!K216)</f>
        <v/>
      </c>
      <c r="J205" t="str">
        <f>IF(H205="","",'Chilled Beam Schedule'!D216)</f>
        <v/>
      </c>
      <c r="K205" t="str">
        <f>IF(H205="","",'Chilled Beam Schedule'!F216)</f>
        <v/>
      </c>
    </row>
    <row r="206" spans="8:11">
      <c r="H206" t="str">
        <f>'Chilled Beam Schedule'!A217</f>
        <v/>
      </c>
      <c r="I206" t="str">
        <f>IF(H206="","",'Chilled Beam Schedule'!K217)</f>
        <v/>
      </c>
      <c r="J206" t="str">
        <f>IF(H206="","",'Chilled Beam Schedule'!D217)</f>
        <v/>
      </c>
      <c r="K206" t="str">
        <f>IF(H206="","",'Chilled Beam Schedule'!F217)</f>
        <v/>
      </c>
    </row>
    <row r="207" spans="8:11">
      <c r="H207" t="str">
        <f>'Chilled Beam Schedule'!A218</f>
        <v/>
      </c>
      <c r="I207" t="str">
        <f>IF(H207="","",'Chilled Beam Schedule'!K218)</f>
        <v/>
      </c>
      <c r="J207" t="str">
        <f>IF(H207="","",'Chilled Beam Schedule'!D218)</f>
        <v/>
      </c>
      <c r="K207" t="str">
        <f>IF(H207="","",'Chilled Beam Schedule'!F218)</f>
        <v/>
      </c>
    </row>
    <row r="208" spans="8:11">
      <c r="H208" t="str">
        <f>'Chilled Beam Schedule'!A219</f>
        <v/>
      </c>
      <c r="I208" t="str">
        <f>IF(H208="","",'Chilled Beam Schedule'!K219)</f>
        <v/>
      </c>
      <c r="J208" t="str">
        <f>IF(H208="","",'Chilled Beam Schedule'!D219)</f>
        <v/>
      </c>
      <c r="K208" t="str">
        <f>IF(H208="","",'Chilled Beam Schedule'!F219)</f>
        <v/>
      </c>
    </row>
    <row r="209" spans="8:11">
      <c r="H209" t="str">
        <f>'Chilled Beam Schedule'!A220</f>
        <v/>
      </c>
      <c r="I209" t="str">
        <f>IF(H209="","",'Chilled Beam Schedule'!K220)</f>
        <v/>
      </c>
      <c r="J209" t="str">
        <f>IF(H209="","",'Chilled Beam Schedule'!D220)</f>
        <v/>
      </c>
      <c r="K209" t="str">
        <f>IF(H209="","",'Chilled Beam Schedule'!F220)</f>
        <v/>
      </c>
    </row>
    <row r="210" spans="8:11">
      <c r="H210" t="str">
        <f>'Chilled Beam Schedule'!A221</f>
        <v/>
      </c>
      <c r="I210" t="str">
        <f>IF(H210="","",'Chilled Beam Schedule'!K221)</f>
        <v/>
      </c>
      <c r="J210" t="str">
        <f>IF(H210="","",'Chilled Beam Schedule'!D221)</f>
        <v/>
      </c>
      <c r="K210" t="str">
        <f>IF(H210="","",'Chilled Beam Schedule'!F221)</f>
        <v/>
      </c>
    </row>
    <row r="211" spans="8:11">
      <c r="H211" t="str">
        <f>'Chilled Beam Schedule'!A222</f>
        <v/>
      </c>
      <c r="I211" t="str">
        <f>IF(H211="","",'Chilled Beam Schedule'!K222)</f>
        <v/>
      </c>
      <c r="J211" t="str">
        <f>IF(H211="","",'Chilled Beam Schedule'!D222)</f>
        <v/>
      </c>
      <c r="K211" t="str">
        <f>IF(H211="","",'Chilled Beam Schedule'!F222)</f>
        <v/>
      </c>
    </row>
    <row r="212" spans="8:11">
      <c r="H212" t="str">
        <f>'Chilled Beam Schedule'!A223</f>
        <v/>
      </c>
      <c r="I212" t="str">
        <f>IF(H212="","",'Chilled Beam Schedule'!K223)</f>
        <v/>
      </c>
      <c r="J212" t="str">
        <f>IF(H212="","",'Chilled Beam Schedule'!D223)</f>
        <v/>
      </c>
      <c r="K212" t="str">
        <f>IF(H212="","",'Chilled Beam Schedule'!F223)</f>
        <v/>
      </c>
    </row>
    <row r="213" spans="8:11">
      <c r="H213" t="str">
        <f>'Chilled Beam Schedule'!A224</f>
        <v/>
      </c>
      <c r="I213" t="str">
        <f>IF(H213="","",'Chilled Beam Schedule'!K224)</f>
        <v/>
      </c>
      <c r="J213" t="str">
        <f>IF(H213="","",'Chilled Beam Schedule'!D224)</f>
        <v/>
      </c>
      <c r="K213" t="str">
        <f>IF(H213="","",'Chilled Beam Schedule'!F224)</f>
        <v/>
      </c>
    </row>
    <row r="214" spans="8:11">
      <c r="H214" t="str">
        <f>'Chilled Beam Schedule'!A225</f>
        <v/>
      </c>
      <c r="I214" t="str">
        <f>IF(H214="","",'Chilled Beam Schedule'!K225)</f>
        <v/>
      </c>
      <c r="J214" t="str">
        <f>IF(H214="","",'Chilled Beam Schedule'!D225)</f>
        <v/>
      </c>
      <c r="K214" t="str">
        <f>IF(H214="","",'Chilled Beam Schedule'!F225)</f>
        <v/>
      </c>
    </row>
    <row r="215" spans="8:11">
      <c r="H215" t="str">
        <f>'Chilled Beam Schedule'!A226</f>
        <v/>
      </c>
      <c r="I215" t="str">
        <f>IF(H215="","",'Chilled Beam Schedule'!K226)</f>
        <v/>
      </c>
      <c r="J215" t="str">
        <f>IF(H215="","",'Chilled Beam Schedule'!D226)</f>
        <v/>
      </c>
      <c r="K215" t="str">
        <f>IF(H215="","",'Chilled Beam Schedule'!F226)</f>
        <v/>
      </c>
    </row>
    <row r="216" spans="8:11">
      <c r="H216" t="str">
        <f>'Chilled Beam Schedule'!A227</f>
        <v/>
      </c>
      <c r="I216" t="str">
        <f>IF(H216="","",'Chilled Beam Schedule'!K227)</f>
        <v/>
      </c>
      <c r="J216" t="str">
        <f>IF(H216="","",'Chilled Beam Schedule'!D227)</f>
        <v/>
      </c>
      <c r="K216" t="str">
        <f>IF(H216="","",'Chilled Beam Schedule'!F227)</f>
        <v/>
      </c>
    </row>
    <row r="217" spans="8:11">
      <c r="H217" t="str">
        <f>'Chilled Beam Schedule'!A228</f>
        <v/>
      </c>
      <c r="I217" t="str">
        <f>IF(H217="","",'Chilled Beam Schedule'!K228)</f>
        <v/>
      </c>
      <c r="J217" t="str">
        <f>IF(H217="","",'Chilled Beam Schedule'!D228)</f>
        <v/>
      </c>
      <c r="K217" t="str">
        <f>IF(H217="","",'Chilled Beam Schedule'!F228)</f>
        <v/>
      </c>
    </row>
    <row r="218" spans="8:11">
      <c r="H218" t="str">
        <f>'Chilled Beam Schedule'!A229</f>
        <v/>
      </c>
      <c r="I218" t="str">
        <f>IF(H218="","",'Chilled Beam Schedule'!K229)</f>
        <v/>
      </c>
      <c r="J218" t="str">
        <f>IF(H218="","",'Chilled Beam Schedule'!D229)</f>
        <v/>
      </c>
      <c r="K218" t="str">
        <f>IF(H218="","",'Chilled Beam Schedule'!F229)</f>
        <v/>
      </c>
    </row>
    <row r="219" spans="8:11">
      <c r="H219" t="str">
        <f>'Chilled Beam Schedule'!A230</f>
        <v/>
      </c>
      <c r="I219" t="str">
        <f>IF(H219="","",'Chilled Beam Schedule'!K230)</f>
        <v/>
      </c>
      <c r="J219" t="str">
        <f>IF(H219="","",'Chilled Beam Schedule'!D230)</f>
        <v/>
      </c>
      <c r="K219" t="str">
        <f>IF(H219="","",'Chilled Beam Schedule'!F230)</f>
        <v/>
      </c>
    </row>
    <row r="220" spans="8:11">
      <c r="H220" t="str">
        <f>'Chilled Beam Schedule'!A231</f>
        <v/>
      </c>
      <c r="I220" t="str">
        <f>IF(H220="","",'Chilled Beam Schedule'!K231)</f>
        <v/>
      </c>
      <c r="J220" t="str">
        <f>IF(H220="","",'Chilled Beam Schedule'!D231)</f>
        <v/>
      </c>
      <c r="K220" t="str">
        <f>IF(H220="","",'Chilled Beam Schedule'!F231)</f>
        <v/>
      </c>
    </row>
    <row r="221" spans="8:11">
      <c r="H221" t="str">
        <f>'Chilled Beam Schedule'!A232</f>
        <v/>
      </c>
      <c r="I221" t="str">
        <f>IF(H221="","",'Chilled Beam Schedule'!K232)</f>
        <v/>
      </c>
      <c r="J221" t="str">
        <f>IF(H221="","",'Chilled Beam Schedule'!D232)</f>
        <v/>
      </c>
      <c r="K221" t="str">
        <f>IF(H221="","",'Chilled Beam Schedule'!F232)</f>
        <v/>
      </c>
    </row>
    <row r="222" spans="8:11">
      <c r="H222" t="str">
        <f>'Chilled Beam Schedule'!A233</f>
        <v/>
      </c>
      <c r="I222" t="str">
        <f>IF(H222="","",'Chilled Beam Schedule'!K233)</f>
        <v/>
      </c>
      <c r="J222" t="str">
        <f>IF(H222="","",'Chilled Beam Schedule'!D233)</f>
        <v/>
      </c>
      <c r="K222" t="str">
        <f>IF(H222="","",'Chilled Beam Schedule'!F233)</f>
        <v/>
      </c>
    </row>
    <row r="223" spans="8:11">
      <c r="H223" t="str">
        <f>'Chilled Beam Schedule'!A234</f>
        <v/>
      </c>
      <c r="I223" t="str">
        <f>IF(H223="","",'Chilled Beam Schedule'!K234)</f>
        <v/>
      </c>
      <c r="J223" t="str">
        <f>IF(H223="","",'Chilled Beam Schedule'!D234)</f>
        <v/>
      </c>
      <c r="K223" t="str">
        <f>IF(H223="","",'Chilled Beam Schedule'!F234)</f>
        <v/>
      </c>
    </row>
    <row r="224" spans="8:11">
      <c r="H224" t="str">
        <f>'Chilled Beam Schedule'!A235</f>
        <v/>
      </c>
      <c r="I224" t="str">
        <f>IF(H224="","",'Chilled Beam Schedule'!K235)</f>
        <v/>
      </c>
      <c r="J224" t="str">
        <f>IF(H224="","",'Chilled Beam Schedule'!D235)</f>
        <v/>
      </c>
      <c r="K224" t="str">
        <f>IF(H224="","",'Chilled Beam Schedule'!F235)</f>
        <v/>
      </c>
    </row>
    <row r="225" spans="8:11">
      <c r="H225" t="str">
        <f>'Chilled Beam Schedule'!A236</f>
        <v/>
      </c>
      <c r="I225" t="str">
        <f>IF(H225="","",'Chilled Beam Schedule'!K236)</f>
        <v/>
      </c>
      <c r="J225" t="str">
        <f>IF(H225="","",'Chilled Beam Schedule'!D236)</f>
        <v/>
      </c>
      <c r="K225" t="str">
        <f>IF(H225="","",'Chilled Beam Schedule'!F236)</f>
        <v/>
      </c>
    </row>
    <row r="226" spans="8:11">
      <c r="H226" t="str">
        <f>'Chilled Beam Schedule'!A237</f>
        <v/>
      </c>
      <c r="I226" t="str">
        <f>IF(H226="","",'Chilled Beam Schedule'!K237)</f>
        <v/>
      </c>
      <c r="J226" t="str">
        <f>IF(H226="","",'Chilled Beam Schedule'!D237)</f>
        <v/>
      </c>
      <c r="K226" t="str">
        <f>IF(H226="","",'Chilled Beam Schedule'!F237)</f>
        <v/>
      </c>
    </row>
    <row r="227" spans="8:11">
      <c r="H227" t="str">
        <f>'Chilled Beam Schedule'!A238</f>
        <v/>
      </c>
      <c r="I227" t="str">
        <f>IF(H227="","",'Chilled Beam Schedule'!K238)</f>
        <v/>
      </c>
      <c r="J227" t="str">
        <f>IF(H227="","",'Chilled Beam Schedule'!D238)</f>
        <v/>
      </c>
      <c r="K227" t="str">
        <f>IF(H227="","",'Chilled Beam Schedule'!F238)</f>
        <v/>
      </c>
    </row>
    <row r="228" spans="8:11">
      <c r="H228" t="str">
        <f>'Chilled Beam Schedule'!A239</f>
        <v/>
      </c>
      <c r="I228" t="str">
        <f>IF(H228="","",'Chilled Beam Schedule'!K239)</f>
        <v/>
      </c>
      <c r="J228" t="str">
        <f>IF(H228="","",'Chilled Beam Schedule'!D239)</f>
        <v/>
      </c>
      <c r="K228" t="str">
        <f>IF(H228="","",'Chilled Beam Schedule'!F239)</f>
        <v/>
      </c>
    </row>
    <row r="229" spans="8:11">
      <c r="H229" t="str">
        <f>'Chilled Beam Schedule'!A240</f>
        <v/>
      </c>
      <c r="I229" t="str">
        <f>IF(H229="","",'Chilled Beam Schedule'!K240)</f>
        <v/>
      </c>
      <c r="J229" t="str">
        <f>IF(H229="","",'Chilled Beam Schedule'!D240)</f>
        <v/>
      </c>
      <c r="K229" t="str">
        <f>IF(H229="","",'Chilled Beam Schedule'!F240)</f>
        <v/>
      </c>
    </row>
    <row r="230" spans="8:11">
      <c r="H230" t="str">
        <f>'Chilled Beam Schedule'!A241</f>
        <v/>
      </c>
      <c r="I230" t="str">
        <f>IF(H230="","",'Chilled Beam Schedule'!K241)</f>
        <v/>
      </c>
      <c r="J230" t="str">
        <f>IF(H230="","",'Chilled Beam Schedule'!D241)</f>
        <v/>
      </c>
      <c r="K230" t="str">
        <f>IF(H230="","",'Chilled Beam Schedule'!F241)</f>
        <v/>
      </c>
    </row>
    <row r="231" spans="8:11">
      <c r="H231" t="str">
        <f>'Chilled Beam Schedule'!A242</f>
        <v/>
      </c>
      <c r="I231" t="str">
        <f>IF(H231="","",'Chilled Beam Schedule'!K242)</f>
        <v/>
      </c>
      <c r="J231" t="str">
        <f>IF(H231="","",'Chilled Beam Schedule'!D242)</f>
        <v/>
      </c>
      <c r="K231" t="str">
        <f>IF(H231="","",'Chilled Beam Schedule'!F242)</f>
        <v/>
      </c>
    </row>
    <row r="232" spans="8:11">
      <c r="H232" t="str">
        <f>'Chilled Beam Schedule'!A243</f>
        <v/>
      </c>
      <c r="I232" t="str">
        <f>IF(H232="","",'Chilled Beam Schedule'!K243)</f>
        <v/>
      </c>
      <c r="J232" t="str">
        <f>IF(H232="","",'Chilled Beam Schedule'!D243)</f>
        <v/>
      </c>
      <c r="K232" t="str">
        <f>IF(H232="","",'Chilled Beam Schedule'!F243)</f>
        <v/>
      </c>
    </row>
    <row r="233" spans="8:11">
      <c r="H233" t="str">
        <f>'Chilled Beam Schedule'!A244</f>
        <v/>
      </c>
      <c r="I233" t="str">
        <f>IF(H233="","",'Chilled Beam Schedule'!K244)</f>
        <v/>
      </c>
      <c r="J233" t="str">
        <f>IF(H233="","",'Chilled Beam Schedule'!D244)</f>
        <v/>
      </c>
      <c r="K233" t="str">
        <f>IF(H233="","",'Chilled Beam Schedule'!F244)</f>
        <v/>
      </c>
    </row>
    <row r="234" spans="8:11">
      <c r="H234" t="str">
        <f>'Chilled Beam Schedule'!A245</f>
        <v/>
      </c>
      <c r="I234" t="str">
        <f>IF(H234="","",'Chilled Beam Schedule'!K245)</f>
        <v/>
      </c>
      <c r="J234" t="str">
        <f>IF(H234="","",'Chilled Beam Schedule'!D245)</f>
        <v/>
      </c>
      <c r="K234" t="str">
        <f>IF(H234="","",'Chilled Beam Schedule'!F245)</f>
        <v/>
      </c>
    </row>
    <row r="235" spans="8:11">
      <c r="H235" t="str">
        <f>'Chilled Beam Schedule'!A246</f>
        <v/>
      </c>
      <c r="I235" t="str">
        <f>IF(H235="","",'Chilled Beam Schedule'!K246)</f>
        <v/>
      </c>
      <c r="J235" t="str">
        <f>IF(H235="","",'Chilled Beam Schedule'!D246)</f>
        <v/>
      </c>
      <c r="K235" t="str">
        <f>IF(H235="","",'Chilled Beam Schedule'!F246)</f>
        <v/>
      </c>
    </row>
    <row r="236" spans="8:11">
      <c r="H236" t="str">
        <f>'Chilled Beam Schedule'!A247</f>
        <v/>
      </c>
      <c r="I236" t="str">
        <f>IF(H236="","",'Chilled Beam Schedule'!K247)</f>
        <v/>
      </c>
      <c r="J236" t="str">
        <f>IF(H236="","",'Chilled Beam Schedule'!D247)</f>
        <v/>
      </c>
      <c r="K236" t="str">
        <f>IF(H236="","",'Chilled Beam Schedule'!F247)</f>
        <v/>
      </c>
    </row>
    <row r="237" spans="8:11">
      <c r="H237" t="str">
        <f>'Chilled Beam Schedule'!A248</f>
        <v/>
      </c>
      <c r="I237" t="str">
        <f>IF(H237="","",'Chilled Beam Schedule'!K248)</f>
        <v/>
      </c>
      <c r="J237" t="str">
        <f>IF(H237="","",'Chilled Beam Schedule'!D248)</f>
        <v/>
      </c>
      <c r="K237" t="str">
        <f>IF(H237="","",'Chilled Beam Schedule'!F248)</f>
        <v/>
      </c>
    </row>
    <row r="238" spans="8:11">
      <c r="H238" t="str">
        <f>'Chilled Beam Schedule'!A249</f>
        <v/>
      </c>
      <c r="I238" t="str">
        <f>IF(H238="","",'Chilled Beam Schedule'!K249)</f>
        <v/>
      </c>
      <c r="J238" t="str">
        <f>IF(H238="","",'Chilled Beam Schedule'!D249)</f>
        <v/>
      </c>
      <c r="K238" t="str">
        <f>IF(H238="","",'Chilled Beam Schedule'!F249)</f>
        <v/>
      </c>
    </row>
    <row r="239" spans="8:11">
      <c r="H239" t="str">
        <f>'Chilled Beam Schedule'!A250</f>
        <v/>
      </c>
      <c r="I239" t="str">
        <f>IF(H239="","",'Chilled Beam Schedule'!K250)</f>
        <v/>
      </c>
      <c r="J239" t="str">
        <f>IF(H239="","",'Chilled Beam Schedule'!D250)</f>
        <v/>
      </c>
      <c r="K239" t="str">
        <f>IF(H239="","",'Chilled Beam Schedule'!F250)</f>
        <v/>
      </c>
    </row>
    <row r="240" spans="8:11">
      <c r="H240" t="str">
        <f>'Chilled Beam Schedule'!A251</f>
        <v/>
      </c>
      <c r="I240" t="str">
        <f>IF(H240="","",'Chilled Beam Schedule'!K251)</f>
        <v/>
      </c>
      <c r="J240" t="str">
        <f>IF(H240="","",'Chilled Beam Schedule'!D251)</f>
        <v/>
      </c>
      <c r="K240" t="str">
        <f>IF(H240="","",'Chilled Beam Schedule'!F251)</f>
        <v/>
      </c>
    </row>
    <row r="241" spans="8:11">
      <c r="H241" t="str">
        <f>'Chilled Beam Schedule'!A252</f>
        <v/>
      </c>
      <c r="I241" t="str">
        <f>IF(H241="","",'Chilled Beam Schedule'!K252)</f>
        <v/>
      </c>
      <c r="J241" t="str">
        <f>IF(H241="","",'Chilled Beam Schedule'!D252)</f>
        <v/>
      </c>
      <c r="K241" t="str">
        <f>IF(H241="","",'Chilled Beam Schedule'!F252)</f>
        <v/>
      </c>
    </row>
    <row r="242" spans="8:11">
      <c r="H242" t="str">
        <f>'Chilled Beam Schedule'!A253</f>
        <v/>
      </c>
      <c r="I242" t="str">
        <f>IF(H242="","",'Chilled Beam Schedule'!K253)</f>
        <v/>
      </c>
      <c r="J242" t="str">
        <f>IF(H242="","",'Chilled Beam Schedule'!D253)</f>
        <v/>
      </c>
      <c r="K242" t="str">
        <f>IF(H242="","",'Chilled Beam Schedule'!F253)</f>
        <v/>
      </c>
    </row>
    <row r="243" spans="8:11">
      <c r="H243" t="str">
        <f>'Chilled Beam Schedule'!A254</f>
        <v/>
      </c>
      <c r="I243" t="str">
        <f>IF(H243="","",'Chilled Beam Schedule'!K254)</f>
        <v/>
      </c>
      <c r="J243" t="str">
        <f>IF(H243="","",'Chilled Beam Schedule'!D254)</f>
        <v/>
      </c>
      <c r="K243" t="str">
        <f>IF(H243="","",'Chilled Beam Schedule'!F254)</f>
        <v/>
      </c>
    </row>
    <row r="244" spans="8:11">
      <c r="H244" t="str">
        <f>'Chilled Beam Schedule'!A255</f>
        <v/>
      </c>
      <c r="I244" t="str">
        <f>IF(H244="","",'Chilled Beam Schedule'!K255)</f>
        <v/>
      </c>
      <c r="J244" t="str">
        <f>IF(H244="","",'Chilled Beam Schedule'!D255)</f>
        <v/>
      </c>
      <c r="K244" t="str">
        <f>IF(H244="","",'Chilled Beam Schedule'!F255)</f>
        <v/>
      </c>
    </row>
    <row r="245" spans="8:11">
      <c r="H245" t="str">
        <f>'Chilled Beam Schedule'!A256</f>
        <v/>
      </c>
      <c r="I245" t="str">
        <f>IF(H245="","",'Chilled Beam Schedule'!K256)</f>
        <v/>
      </c>
      <c r="J245" t="str">
        <f>IF(H245="","",'Chilled Beam Schedule'!D256)</f>
        <v/>
      </c>
      <c r="K245" t="str">
        <f>IF(H245="","",'Chilled Beam Schedule'!F256)</f>
        <v/>
      </c>
    </row>
    <row r="246" spans="8:11">
      <c r="H246" t="str">
        <f>'Chilled Beam Schedule'!A257</f>
        <v/>
      </c>
      <c r="I246" t="str">
        <f>IF(H246="","",'Chilled Beam Schedule'!K257)</f>
        <v/>
      </c>
      <c r="J246" t="str">
        <f>IF(H246="","",'Chilled Beam Schedule'!D257)</f>
        <v/>
      </c>
      <c r="K246" t="str">
        <f>IF(H246="","",'Chilled Beam Schedule'!F257)</f>
        <v/>
      </c>
    </row>
    <row r="247" spans="8:11">
      <c r="H247" t="str">
        <f>'Chilled Beam Schedule'!A258</f>
        <v/>
      </c>
      <c r="I247" t="str">
        <f>IF(H247="","",'Chilled Beam Schedule'!K258)</f>
        <v/>
      </c>
      <c r="J247" t="str">
        <f>IF(H247="","",'Chilled Beam Schedule'!D258)</f>
        <v/>
      </c>
      <c r="K247" t="str">
        <f>IF(H247="","",'Chilled Beam Schedule'!F258)</f>
        <v/>
      </c>
    </row>
    <row r="248" spans="8:11">
      <c r="H248" t="str">
        <f>'Chilled Beam Schedule'!A259</f>
        <v/>
      </c>
      <c r="I248" t="str">
        <f>IF(H248="","",'Chilled Beam Schedule'!K259)</f>
        <v/>
      </c>
      <c r="J248" t="str">
        <f>IF(H248="","",'Chilled Beam Schedule'!D259)</f>
        <v/>
      </c>
      <c r="K248" t="str">
        <f>IF(H248="","",'Chilled Beam Schedule'!F259)</f>
        <v/>
      </c>
    </row>
    <row r="249" spans="8:11">
      <c r="H249" t="str">
        <f>'Chilled Beam Schedule'!A260</f>
        <v/>
      </c>
      <c r="I249" t="str">
        <f>IF(H249="","",'Chilled Beam Schedule'!K260)</f>
        <v/>
      </c>
      <c r="J249" t="str">
        <f>IF(H249="","",'Chilled Beam Schedule'!D260)</f>
        <v/>
      </c>
      <c r="K249" t="str">
        <f>IF(H249="","",'Chilled Beam Schedule'!F260)</f>
        <v/>
      </c>
    </row>
    <row r="250" spans="8:11">
      <c r="H250" t="str">
        <f>'Chilled Beam Schedule'!A261</f>
        <v/>
      </c>
      <c r="I250" t="str">
        <f>IF(H250="","",'Chilled Beam Schedule'!K261)</f>
        <v/>
      </c>
      <c r="J250" t="str">
        <f>IF(H250="","",'Chilled Beam Schedule'!D261)</f>
        <v/>
      </c>
      <c r="K250" t="str">
        <f>IF(H250="","",'Chilled Beam Schedule'!F261)</f>
        <v/>
      </c>
    </row>
    <row r="251" spans="8:11">
      <c r="H251" t="str">
        <f>'Chilled Beam Schedule'!A262</f>
        <v/>
      </c>
      <c r="I251" t="str">
        <f>IF(H251="","",'Chilled Beam Schedule'!K262)</f>
        <v/>
      </c>
      <c r="J251" t="str">
        <f>IF(H251="","",'Chilled Beam Schedule'!D262)</f>
        <v/>
      </c>
      <c r="K251" t="str">
        <f>IF(H251="","",'Chilled Beam Schedule'!F262)</f>
        <v/>
      </c>
    </row>
    <row r="252" spans="8:11">
      <c r="H252" t="str">
        <f>'Chilled Beam Schedule'!A263</f>
        <v/>
      </c>
      <c r="I252" t="str">
        <f>IF(H252="","",'Chilled Beam Schedule'!K263)</f>
        <v/>
      </c>
      <c r="J252" t="str">
        <f>IF(H252="","",'Chilled Beam Schedule'!D263)</f>
        <v/>
      </c>
      <c r="K252" t="str">
        <f>IF(H252="","",'Chilled Beam Schedule'!F263)</f>
        <v/>
      </c>
    </row>
    <row r="253" spans="8:11">
      <c r="H253" t="str">
        <f>'Chilled Beam Schedule'!A264</f>
        <v/>
      </c>
      <c r="I253" t="str">
        <f>IF(H253="","",'Chilled Beam Schedule'!K264)</f>
        <v/>
      </c>
      <c r="J253" t="str">
        <f>IF(H253="","",'Chilled Beam Schedule'!D264)</f>
        <v/>
      </c>
      <c r="K253" t="str">
        <f>IF(H253="","",'Chilled Beam Schedule'!F264)</f>
        <v/>
      </c>
    </row>
    <row r="254" spans="8:11">
      <c r="H254" t="str">
        <f>'Chilled Beam Schedule'!A265</f>
        <v/>
      </c>
      <c r="I254" t="str">
        <f>IF(H254="","",'Chilled Beam Schedule'!K265)</f>
        <v/>
      </c>
      <c r="J254" t="str">
        <f>IF(H254="","",'Chilled Beam Schedule'!D265)</f>
        <v/>
      </c>
      <c r="K254" t="str">
        <f>IF(H254="","",'Chilled Beam Schedule'!F265)</f>
        <v/>
      </c>
    </row>
    <row r="255" spans="8:11">
      <c r="H255" t="str">
        <f>'Chilled Beam Schedule'!A266</f>
        <v/>
      </c>
      <c r="I255" t="str">
        <f>IF(H255="","",'Chilled Beam Schedule'!K266)</f>
        <v/>
      </c>
      <c r="J255" t="str">
        <f>IF(H255="","",'Chilled Beam Schedule'!D266)</f>
        <v/>
      </c>
      <c r="K255" t="str">
        <f>IF(H255="","",'Chilled Beam Schedule'!F266)</f>
        <v/>
      </c>
    </row>
    <row r="256" spans="8:11">
      <c r="H256" t="str">
        <f>'Chilled Beam Schedule'!A267</f>
        <v/>
      </c>
      <c r="I256" t="str">
        <f>IF(H256="","",'Chilled Beam Schedule'!K267)</f>
        <v/>
      </c>
      <c r="J256" t="str">
        <f>IF(H256="","",'Chilled Beam Schedule'!D267)</f>
        <v/>
      </c>
      <c r="K256" t="str">
        <f>IF(H256="","",'Chilled Beam Schedule'!F267)</f>
        <v/>
      </c>
    </row>
    <row r="257" spans="8:11">
      <c r="H257" t="str">
        <f>'Chilled Beam Schedule'!A268</f>
        <v/>
      </c>
      <c r="I257" t="str">
        <f>IF(H257="","",'Chilled Beam Schedule'!K268)</f>
        <v/>
      </c>
      <c r="J257" t="str">
        <f>IF(H257="","",'Chilled Beam Schedule'!D268)</f>
        <v/>
      </c>
      <c r="K257" t="str">
        <f>IF(H257="","",'Chilled Beam Schedule'!F268)</f>
        <v/>
      </c>
    </row>
    <row r="258" spans="8:11">
      <c r="H258" t="str">
        <f>'Chilled Beam Schedule'!A269</f>
        <v/>
      </c>
      <c r="I258" t="str">
        <f>IF(H258="","",'Chilled Beam Schedule'!K269)</f>
        <v/>
      </c>
      <c r="J258" t="str">
        <f>IF(H258="","",'Chilled Beam Schedule'!D269)</f>
        <v/>
      </c>
      <c r="K258" t="str">
        <f>IF(H258="","",'Chilled Beam Schedule'!F269)</f>
        <v/>
      </c>
    </row>
    <row r="259" spans="8:11">
      <c r="H259" t="str">
        <f>'Chilled Beam Schedule'!A270</f>
        <v/>
      </c>
      <c r="I259" t="str">
        <f>IF(H259="","",'Chilled Beam Schedule'!K270)</f>
        <v/>
      </c>
      <c r="J259" t="str">
        <f>IF(H259="","",'Chilled Beam Schedule'!D270)</f>
        <v/>
      </c>
      <c r="K259" t="str">
        <f>IF(H259="","",'Chilled Beam Schedule'!F270)</f>
        <v/>
      </c>
    </row>
    <row r="260" spans="8:11">
      <c r="H260" t="str">
        <f>'Chilled Beam Schedule'!A271</f>
        <v/>
      </c>
      <c r="I260" t="str">
        <f>IF(H260="","",'Chilled Beam Schedule'!K271)</f>
        <v/>
      </c>
      <c r="J260" t="str">
        <f>IF(H260="","",'Chilled Beam Schedule'!D271)</f>
        <v/>
      </c>
      <c r="K260" t="str">
        <f>IF(H260="","",'Chilled Beam Schedule'!F271)</f>
        <v/>
      </c>
    </row>
    <row r="261" spans="8:11">
      <c r="H261" t="str">
        <f>'Chilled Beam Schedule'!A272</f>
        <v/>
      </c>
      <c r="I261" t="str">
        <f>IF(H261="","",'Chilled Beam Schedule'!K272)</f>
        <v/>
      </c>
      <c r="J261" t="str">
        <f>IF(H261="","",'Chilled Beam Schedule'!D272)</f>
        <v/>
      </c>
      <c r="K261" t="str">
        <f>IF(H261="","",'Chilled Beam Schedule'!F272)</f>
        <v/>
      </c>
    </row>
    <row r="262" spans="8:11">
      <c r="H262" t="str">
        <f>'Chilled Beam Schedule'!A273</f>
        <v/>
      </c>
      <c r="I262" t="str">
        <f>IF(H262="","",'Chilled Beam Schedule'!K273)</f>
        <v/>
      </c>
      <c r="J262" t="str">
        <f>IF(H262="","",'Chilled Beam Schedule'!D273)</f>
        <v/>
      </c>
      <c r="K262" t="str">
        <f>IF(H262="","",'Chilled Beam Schedule'!F273)</f>
        <v/>
      </c>
    </row>
    <row r="263" spans="8:11">
      <c r="H263" t="str">
        <f>'Chilled Beam Schedule'!A274</f>
        <v/>
      </c>
      <c r="I263" t="str">
        <f>IF(H263="","",'Chilled Beam Schedule'!K274)</f>
        <v/>
      </c>
      <c r="J263" t="str">
        <f>IF(H263="","",'Chilled Beam Schedule'!D274)</f>
        <v/>
      </c>
      <c r="K263" t="str">
        <f>IF(H263="","",'Chilled Beam Schedule'!F274)</f>
        <v/>
      </c>
    </row>
    <row r="264" spans="8:11">
      <c r="H264" t="str">
        <f>'Chilled Beam Schedule'!A275</f>
        <v/>
      </c>
      <c r="I264" t="str">
        <f>IF(H264="","",'Chilled Beam Schedule'!K275)</f>
        <v/>
      </c>
      <c r="J264" t="str">
        <f>IF(H264="","",'Chilled Beam Schedule'!D275)</f>
        <v/>
      </c>
      <c r="K264" t="str">
        <f>IF(H264="","",'Chilled Beam Schedule'!F275)</f>
        <v/>
      </c>
    </row>
    <row r="265" spans="8:11">
      <c r="H265" t="str">
        <f>'Chilled Beam Schedule'!A276</f>
        <v/>
      </c>
      <c r="I265" t="str">
        <f>IF(H265="","",'Chilled Beam Schedule'!K276)</f>
        <v/>
      </c>
      <c r="J265" t="str">
        <f>IF(H265="","",'Chilled Beam Schedule'!D276)</f>
        <v/>
      </c>
      <c r="K265" t="str">
        <f>IF(H265="","",'Chilled Beam Schedule'!F276)</f>
        <v/>
      </c>
    </row>
    <row r="266" spans="8:11">
      <c r="H266" t="str">
        <f>'Chilled Beam Schedule'!A277</f>
        <v/>
      </c>
      <c r="I266" t="str">
        <f>IF(H266="","",'Chilled Beam Schedule'!K277)</f>
        <v/>
      </c>
      <c r="J266" t="str">
        <f>IF(H266="","",'Chilled Beam Schedule'!D277)</f>
        <v/>
      </c>
      <c r="K266" t="str">
        <f>IF(H266="","",'Chilled Beam Schedule'!F277)</f>
        <v/>
      </c>
    </row>
    <row r="267" spans="8:11">
      <c r="H267" t="str">
        <f>'Chilled Beam Schedule'!A278</f>
        <v/>
      </c>
      <c r="I267" t="str">
        <f>IF(H267="","",'Chilled Beam Schedule'!K278)</f>
        <v/>
      </c>
      <c r="J267" t="str">
        <f>IF(H267="","",'Chilled Beam Schedule'!D278)</f>
        <v/>
      </c>
      <c r="K267" t="str">
        <f>IF(H267="","",'Chilled Beam Schedule'!F278)</f>
        <v/>
      </c>
    </row>
    <row r="268" spans="8:11">
      <c r="H268" t="str">
        <f>'Chilled Beam Schedule'!A279</f>
        <v/>
      </c>
      <c r="I268" t="str">
        <f>IF(H268="","",'Chilled Beam Schedule'!K279)</f>
        <v/>
      </c>
      <c r="J268" t="str">
        <f>IF(H268="","",'Chilled Beam Schedule'!D279)</f>
        <v/>
      </c>
      <c r="K268" t="str">
        <f>IF(H268="","",'Chilled Beam Schedule'!F279)</f>
        <v/>
      </c>
    </row>
    <row r="269" spans="8:11">
      <c r="H269" t="str">
        <f>'Chilled Beam Schedule'!A280</f>
        <v/>
      </c>
      <c r="I269" t="str">
        <f>IF(H269="","",'Chilled Beam Schedule'!K280)</f>
        <v/>
      </c>
      <c r="J269" t="str">
        <f>IF(H269="","",'Chilled Beam Schedule'!D280)</f>
        <v/>
      </c>
      <c r="K269" t="str">
        <f>IF(H269="","",'Chilled Beam Schedule'!F280)</f>
        <v/>
      </c>
    </row>
    <row r="270" spans="8:11">
      <c r="H270" t="str">
        <f>'Chilled Beam Schedule'!A281</f>
        <v/>
      </c>
      <c r="I270" t="str">
        <f>IF(H270="","",'Chilled Beam Schedule'!K281)</f>
        <v/>
      </c>
      <c r="J270" t="str">
        <f>IF(H270="","",'Chilled Beam Schedule'!D281)</f>
        <v/>
      </c>
      <c r="K270" t="str">
        <f>IF(H270="","",'Chilled Beam Schedule'!F281)</f>
        <v/>
      </c>
    </row>
    <row r="271" spans="8:11">
      <c r="H271" t="str">
        <f>'Chilled Beam Schedule'!A282</f>
        <v/>
      </c>
      <c r="I271" t="str">
        <f>IF(H271="","",'Chilled Beam Schedule'!K282)</f>
        <v/>
      </c>
      <c r="J271" t="str">
        <f>IF(H271="","",'Chilled Beam Schedule'!D282)</f>
        <v/>
      </c>
      <c r="K271" t="str">
        <f>IF(H271="","",'Chilled Beam Schedule'!F282)</f>
        <v/>
      </c>
    </row>
    <row r="272" spans="8:11">
      <c r="H272" t="str">
        <f>'Chilled Beam Schedule'!A283</f>
        <v/>
      </c>
      <c r="I272" t="str">
        <f>IF(H272="","",'Chilled Beam Schedule'!K283)</f>
        <v/>
      </c>
      <c r="J272" t="str">
        <f>IF(H272="","",'Chilled Beam Schedule'!D283)</f>
        <v/>
      </c>
      <c r="K272" t="str">
        <f>IF(H272="","",'Chilled Beam Schedule'!F283)</f>
        <v/>
      </c>
    </row>
    <row r="273" spans="8:11">
      <c r="H273" t="str">
        <f>'Chilled Beam Schedule'!A284</f>
        <v/>
      </c>
      <c r="I273" t="str">
        <f>IF(H273="","",'Chilled Beam Schedule'!K284)</f>
        <v/>
      </c>
      <c r="J273" t="str">
        <f>IF(H273="","",'Chilled Beam Schedule'!D284)</f>
        <v/>
      </c>
      <c r="K273" t="str">
        <f>IF(H273="","",'Chilled Beam Schedule'!F284)</f>
        <v/>
      </c>
    </row>
    <row r="274" spans="8:11">
      <c r="H274" t="str">
        <f>'Chilled Beam Schedule'!A285</f>
        <v/>
      </c>
      <c r="I274" t="str">
        <f>IF(H274="","",'Chilled Beam Schedule'!K285)</f>
        <v/>
      </c>
      <c r="J274" t="str">
        <f>IF(H274="","",'Chilled Beam Schedule'!D285)</f>
        <v/>
      </c>
      <c r="K274" t="str">
        <f>IF(H274="","",'Chilled Beam Schedule'!F285)</f>
        <v/>
      </c>
    </row>
    <row r="275" spans="8:11">
      <c r="H275" t="str">
        <f>'Chilled Beam Schedule'!A286</f>
        <v/>
      </c>
      <c r="I275" t="str">
        <f>IF(H275="","",'Chilled Beam Schedule'!K286)</f>
        <v/>
      </c>
      <c r="J275" t="str">
        <f>IF(H275="","",'Chilled Beam Schedule'!D286)</f>
        <v/>
      </c>
      <c r="K275" t="str">
        <f>IF(H275="","",'Chilled Beam Schedule'!F286)</f>
        <v/>
      </c>
    </row>
    <row r="276" spans="8:11">
      <c r="H276" t="str">
        <f>'Chilled Beam Schedule'!A287</f>
        <v/>
      </c>
      <c r="I276" t="str">
        <f>IF(H276="","",'Chilled Beam Schedule'!K287)</f>
        <v/>
      </c>
      <c r="J276" t="str">
        <f>IF(H276="","",'Chilled Beam Schedule'!D287)</f>
        <v/>
      </c>
      <c r="K276" t="str">
        <f>IF(H276="","",'Chilled Beam Schedule'!F287)</f>
        <v/>
      </c>
    </row>
    <row r="277" spans="8:11">
      <c r="H277" t="str">
        <f>'Chilled Beam Schedule'!A288</f>
        <v/>
      </c>
      <c r="I277" t="str">
        <f>IF(H277="","",'Chilled Beam Schedule'!K288)</f>
        <v/>
      </c>
      <c r="J277" t="str">
        <f>IF(H277="","",'Chilled Beam Schedule'!D288)</f>
        <v/>
      </c>
      <c r="K277" t="str">
        <f>IF(H277="","",'Chilled Beam Schedule'!F288)</f>
        <v/>
      </c>
    </row>
    <row r="278" spans="8:11">
      <c r="H278" t="str">
        <f>'Chilled Beam Schedule'!A289</f>
        <v/>
      </c>
      <c r="I278" t="str">
        <f>IF(H278="","",'Chilled Beam Schedule'!K289)</f>
        <v/>
      </c>
      <c r="J278" t="str">
        <f>IF(H278="","",'Chilled Beam Schedule'!D289)</f>
        <v/>
      </c>
      <c r="K278" t="str">
        <f>IF(H278="","",'Chilled Beam Schedule'!F289)</f>
        <v/>
      </c>
    </row>
    <row r="279" spans="8:11">
      <c r="H279" t="str">
        <f>'Chilled Beam Schedule'!A290</f>
        <v/>
      </c>
      <c r="I279" t="str">
        <f>IF(H279="","",'Chilled Beam Schedule'!K290)</f>
        <v/>
      </c>
      <c r="J279" t="str">
        <f>IF(H279="","",'Chilled Beam Schedule'!D290)</f>
        <v/>
      </c>
      <c r="K279" t="str">
        <f>IF(H279="","",'Chilled Beam Schedule'!F290)</f>
        <v/>
      </c>
    </row>
    <row r="280" spans="8:11">
      <c r="H280" t="str">
        <f>'Chilled Beam Schedule'!A291</f>
        <v/>
      </c>
      <c r="I280" t="str">
        <f>IF(H280="","",'Chilled Beam Schedule'!K291)</f>
        <v/>
      </c>
      <c r="J280" t="str">
        <f>IF(H280="","",'Chilled Beam Schedule'!D291)</f>
        <v/>
      </c>
      <c r="K280" t="str">
        <f>IF(H280="","",'Chilled Beam Schedule'!F291)</f>
        <v/>
      </c>
    </row>
    <row r="281" spans="8:11">
      <c r="H281" t="str">
        <f>'Chilled Beam Schedule'!A292</f>
        <v/>
      </c>
      <c r="I281" t="str">
        <f>IF(H281="","",'Chilled Beam Schedule'!K292)</f>
        <v/>
      </c>
      <c r="J281" t="str">
        <f>IF(H281="","",'Chilled Beam Schedule'!D292)</f>
        <v/>
      </c>
      <c r="K281" t="str">
        <f>IF(H281="","",'Chilled Beam Schedule'!F292)</f>
        <v/>
      </c>
    </row>
    <row r="282" spans="8:11">
      <c r="H282" t="str">
        <f>'Chilled Beam Schedule'!A293</f>
        <v/>
      </c>
      <c r="I282" t="str">
        <f>IF(H282="","",'Chilled Beam Schedule'!K293)</f>
        <v/>
      </c>
      <c r="J282" t="str">
        <f>IF(H282="","",'Chilled Beam Schedule'!D293)</f>
        <v/>
      </c>
      <c r="K282" t="str">
        <f>IF(H282="","",'Chilled Beam Schedule'!F293)</f>
        <v/>
      </c>
    </row>
    <row r="283" spans="8:11">
      <c r="H283" t="str">
        <f>'Chilled Beam Schedule'!A294</f>
        <v/>
      </c>
      <c r="I283" t="str">
        <f>IF(H283="","",'Chilled Beam Schedule'!K294)</f>
        <v/>
      </c>
      <c r="J283" t="str">
        <f>IF(H283="","",'Chilled Beam Schedule'!D294)</f>
        <v/>
      </c>
      <c r="K283" t="str">
        <f>IF(H283="","",'Chilled Beam Schedule'!F294)</f>
        <v/>
      </c>
    </row>
    <row r="284" spans="8:11">
      <c r="H284" t="str">
        <f>'Chilled Beam Schedule'!A295</f>
        <v/>
      </c>
      <c r="I284" t="str">
        <f>IF(H284="","",'Chilled Beam Schedule'!K295)</f>
        <v/>
      </c>
      <c r="J284" t="str">
        <f>IF(H284="","",'Chilled Beam Schedule'!D295)</f>
        <v/>
      </c>
      <c r="K284" t="str">
        <f>IF(H284="","",'Chilled Beam Schedule'!F295)</f>
        <v/>
      </c>
    </row>
    <row r="285" spans="8:11">
      <c r="H285" t="str">
        <f>'Chilled Beam Schedule'!A296</f>
        <v/>
      </c>
      <c r="I285" t="str">
        <f>IF(H285="","",'Chilled Beam Schedule'!K296)</f>
        <v/>
      </c>
      <c r="J285" t="str">
        <f>IF(H285="","",'Chilled Beam Schedule'!D296)</f>
        <v/>
      </c>
      <c r="K285" t="str">
        <f>IF(H285="","",'Chilled Beam Schedule'!F296)</f>
        <v/>
      </c>
    </row>
    <row r="286" spans="8:11">
      <c r="H286" t="str">
        <f>'Chilled Beam Schedule'!A297</f>
        <v/>
      </c>
      <c r="I286" t="str">
        <f>IF(H286="","",'Chilled Beam Schedule'!K297)</f>
        <v/>
      </c>
      <c r="J286" t="str">
        <f>IF(H286="","",'Chilled Beam Schedule'!D297)</f>
        <v/>
      </c>
      <c r="K286" t="str">
        <f>IF(H286="","",'Chilled Beam Schedule'!F297)</f>
        <v/>
      </c>
    </row>
    <row r="287" spans="8:11">
      <c r="H287" t="str">
        <f>'Chilled Beam Schedule'!A298</f>
        <v/>
      </c>
      <c r="I287" t="str">
        <f>IF(H287="","",'Chilled Beam Schedule'!K298)</f>
        <v/>
      </c>
      <c r="J287" t="str">
        <f>IF(H287="","",'Chilled Beam Schedule'!D298)</f>
        <v/>
      </c>
      <c r="K287" t="str">
        <f>IF(H287="","",'Chilled Beam Schedule'!F298)</f>
        <v/>
      </c>
    </row>
    <row r="288" spans="8:11">
      <c r="H288" t="str">
        <f>'Chilled Beam Schedule'!A299</f>
        <v/>
      </c>
      <c r="I288" t="str">
        <f>IF(H288="","",'Chilled Beam Schedule'!K299)</f>
        <v/>
      </c>
      <c r="J288" t="str">
        <f>IF(H288="","",'Chilled Beam Schedule'!D299)</f>
        <v/>
      </c>
      <c r="K288" t="str">
        <f>IF(H288="","",'Chilled Beam Schedule'!F299)</f>
        <v/>
      </c>
    </row>
    <row r="289" spans="8:11">
      <c r="H289" t="str">
        <f>'Chilled Beam Schedule'!A300</f>
        <v/>
      </c>
      <c r="I289" t="str">
        <f>IF(H289="","",'Chilled Beam Schedule'!K300)</f>
        <v/>
      </c>
      <c r="J289" t="str">
        <f>IF(H289="","",'Chilled Beam Schedule'!D300)</f>
        <v/>
      </c>
      <c r="K289" t="str">
        <f>IF(H289="","",'Chilled Beam Schedule'!F300)</f>
        <v/>
      </c>
    </row>
    <row r="290" spans="8:11">
      <c r="H290" t="str">
        <f>'Chilled Beam Schedule'!A301</f>
        <v/>
      </c>
      <c r="I290" t="str">
        <f>IF(H290="","",'Chilled Beam Schedule'!K301)</f>
        <v/>
      </c>
      <c r="J290" t="str">
        <f>IF(H290="","",'Chilled Beam Schedule'!D301)</f>
        <v/>
      </c>
      <c r="K290" t="str">
        <f>IF(H290="","",'Chilled Beam Schedule'!F301)</f>
        <v/>
      </c>
    </row>
    <row r="291" spans="8:11">
      <c r="H291" t="str">
        <f>'Chilled Beam Schedule'!A302</f>
        <v/>
      </c>
      <c r="I291" t="str">
        <f>IF(H291="","",'Chilled Beam Schedule'!K302)</f>
        <v/>
      </c>
      <c r="J291" t="str">
        <f>IF(H291="","",'Chilled Beam Schedule'!D302)</f>
        <v/>
      </c>
      <c r="K291" t="str">
        <f>IF(H291="","",'Chilled Beam Schedule'!F302)</f>
        <v/>
      </c>
    </row>
    <row r="292" spans="8:11">
      <c r="H292" t="str">
        <f>'Chilled Beam Schedule'!A303</f>
        <v/>
      </c>
      <c r="I292" t="str">
        <f>IF(H292="","",'Chilled Beam Schedule'!K303)</f>
        <v/>
      </c>
      <c r="J292" t="str">
        <f>IF(H292="","",'Chilled Beam Schedule'!D303)</f>
        <v/>
      </c>
      <c r="K292" t="str">
        <f>IF(H292="","",'Chilled Beam Schedule'!F303)</f>
        <v/>
      </c>
    </row>
    <row r="293" spans="8:11">
      <c r="H293" t="str">
        <f>'Chilled Beam Schedule'!A304</f>
        <v/>
      </c>
      <c r="I293" t="str">
        <f>IF(H293="","",'Chilled Beam Schedule'!K304)</f>
        <v/>
      </c>
      <c r="J293" t="str">
        <f>IF(H293="","",'Chilled Beam Schedule'!D304)</f>
        <v/>
      </c>
      <c r="K293" t="str">
        <f>IF(H293="","",'Chilled Beam Schedule'!F304)</f>
        <v/>
      </c>
    </row>
    <row r="294" spans="8:11">
      <c r="H294" t="str">
        <f>'Chilled Beam Schedule'!A305</f>
        <v/>
      </c>
      <c r="I294" t="str">
        <f>IF(H294="","",'Chilled Beam Schedule'!K305)</f>
        <v/>
      </c>
      <c r="J294" t="str">
        <f>IF(H294="","",'Chilled Beam Schedule'!D305)</f>
        <v/>
      </c>
      <c r="K294" t="str">
        <f>IF(H294="","",'Chilled Beam Schedule'!F305)</f>
        <v/>
      </c>
    </row>
    <row r="295" spans="8:11">
      <c r="H295" t="str">
        <f>'Chilled Beam Schedule'!A306</f>
        <v/>
      </c>
      <c r="I295" t="str">
        <f>IF(H295="","",'Chilled Beam Schedule'!K306)</f>
        <v/>
      </c>
      <c r="J295" t="str">
        <f>IF(H295="","",'Chilled Beam Schedule'!D306)</f>
        <v/>
      </c>
      <c r="K295" t="str">
        <f>IF(H295="","",'Chilled Beam Schedule'!F306)</f>
        <v/>
      </c>
    </row>
    <row r="296" spans="8:11">
      <c r="H296" t="str">
        <f>'Chilled Beam Schedule'!A307</f>
        <v/>
      </c>
      <c r="I296" t="str">
        <f>IF(H296="","",'Chilled Beam Schedule'!K307)</f>
        <v/>
      </c>
      <c r="J296" t="str">
        <f>IF(H296="","",'Chilled Beam Schedule'!D307)</f>
        <v/>
      </c>
      <c r="K296" t="str">
        <f>IF(H296="","",'Chilled Beam Schedule'!F307)</f>
        <v/>
      </c>
    </row>
    <row r="297" spans="8:11">
      <c r="H297" t="str">
        <f>'Chilled Beam Schedule'!A308</f>
        <v/>
      </c>
      <c r="I297" t="str">
        <f>IF(H297="","",'Chilled Beam Schedule'!K308)</f>
        <v/>
      </c>
      <c r="J297" t="str">
        <f>IF(H297="","",'Chilled Beam Schedule'!D308)</f>
        <v/>
      </c>
      <c r="K297" t="str">
        <f>IF(H297="","",'Chilled Beam Schedule'!F308)</f>
        <v/>
      </c>
    </row>
    <row r="298" spans="8:11">
      <c r="H298" t="str">
        <f>'Chilled Beam Schedule'!A309</f>
        <v/>
      </c>
      <c r="I298" t="str">
        <f>IF(H298="","",'Chilled Beam Schedule'!K309)</f>
        <v/>
      </c>
      <c r="J298" t="str">
        <f>IF(H298="","",'Chilled Beam Schedule'!D309)</f>
        <v/>
      </c>
      <c r="K298" t="str">
        <f>IF(H298="","",'Chilled Beam Schedule'!F309)</f>
        <v/>
      </c>
    </row>
    <row r="299" spans="8:11">
      <c r="H299" t="str">
        <f>'Chilled Beam Schedule'!A310</f>
        <v/>
      </c>
      <c r="I299" t="str">
        <f>IF(H299="","",'Chilled Beam Schedule'!K310)</f>
        <v/>
      </c>
      <c r="J299" t="str">
        <f>IF(H299="","",'Chilled Beam Schedule'!D310)</f>
        <v/>
      </c>
      <c r="K299" t="str">
        <f>IF(H299="","",'Chilled Beam Schedule'!F310)</f>
        <v/>
      </c>
    </row>
    <row r="300" spans="8:11">
      <c r="H300" t="str">
        <f>'Chilled Beam Schedule'!A311</f>
        <v/>
      </c>
      <c r="I300" t="str">
        <f>IF(H300="","",'Chilled Beam Schedule'!K311)</f>
        <v/>
      </c>
      <c r="J300" t="str">
        <f>IF(H300="","",'Chilled Beam Schedule'!D311)</f>
        <v/>
      </c>
      <c r="K300" t="str">
        <f>IF(H300="","",'Chilled Beam Schedule'!F311)</f>
        <v/>
      </c>
    </row>
    <row r="301" spans="8:11">
      <c r="H301" t="str">
        <f>'Chilled Beam Schedule'!A312</f>
        <v/>
      </c>
      <c r="I301" t="str">
        <f>IF(H301="","",'Chilled Beam Schedule'!K312)</f>
        <v/>
      </c>
      <c r="J301" t="str">
        <f>IF(H301="","",'Chilled Beam Schedule'!D312)</f>
        <v/>
      </c>
      <c r="K301" t="str">
        <f>IF(H301="","",'Chilled Beam Schedule'!F312)</f>
        <v/>
      </c>
    </row>
    <row r="302" spans="8:11">
      <c r="H302" t="str">
        <f>'Chilled Beam Schedule'!A313</f>
        <v/>
      </c>
      <c r="I302" t="str">
        <f>IF(H302="","",'Chilled Beam Schedule'!K313)</f>
        <v/>
      </c>
      <c r="J302" t="str">
        <f>IF(H302="","",'Chilled Beam Schedule'!D313)</f>
        <v/>
      </c>
      <c r="K302" t="str">
        <f>IF(H302="","",'Chilled Beam Schedule'!F313)</f>
        <v/>
      </c>
    </row>
    <row r="303" spans="8:11">
      <c r="H303" t="str">
        <f>'Chilled Beam Schedule'!A314</f>
        <v/>
      </c>
      <c r="I303" t="str">
        <f>IF(H303="","",'Chilled Beam Schedule'!K314)</f>
        <v/>
      </c>
      <c r="J303" t="str">
        <f>IF(H303="","",'Chilled Beam Schedule'!D314)</f>
        <v/>
      </c>
      <c r="K303" t="str">
        <f>IF(H303="","",'Chilled Beam Schedule'!F314)</f>
        <v/>
      </c>
    </row>
    <row r="304" spans="8:11">
      <c r="H304" t="str">
        <f>'Chilled Beam Schedule'!A315</f>
        <v/>
      </c>
      <c r="I304" t="str">
        <f>IF(H304="","",'Chilled Beam Schedule'!K315)</f>
        <v/>
      </c>
      <c r="J304" t="str">
        <f>IF(H304="","",'Chilled Beam Schedule'!D315)</f>
        <v/>
      </c>
      <c r="K304" t="str">
        <f>IF(H304="","",'Chilled Beam Schedule'!F315)</f>
        <v/>
      </c>
    </row>
    <row r="305" spans="8:11">
      <c r="H305" t="str">
        <f>'Chilled Beam Schedule'!A316</f>
        <v/>
      </c>
      <c r="I305" t="str">
        <f>IF(H305="","",'Chilled Beam Schedule'!K316)</f>
        <v/>
      </c>
      <c r="J305" t="str">
        <f>IF(H305="","",'Chilled Beam Schedule'!D316)</f>
        <v/>
      </c>
      <c r="K305" t="str">
        <f>IF(H305="","",'Chilled Beam Schedule'!F316)</f>
        <v/>
      </c>
    </row>
    <row r="306" spans="8:11">
      <c r="H306" t="str">
        <f>'Chilled Beam Schedule'!A317</f>
        <v/>
      </c>
      <c r="I306" t="str">
        <f>IF(H306="","",'Chilled Beam Schedule'!K317)</f>
        <v/>
      </c>
      <c r="J306" t="str">
        <f>IF(H306="","",'Chilled Beam Schedule'!D317)</f>
        <v/>
      </c>
      <c r="K306" t="str">
        <f>IF(H306="","",'Chilled Beam Schedule'!F317)</f>
        <v/>
      </c>
    </row>
    <row r="307" spans="8:11">
      <c r="H307" t="str">
        <f>'Chilled Beam Schedule'!A318</f>
        <v/>
      </c>
      <c r="I307" t="str">
        <f>IF(H307="","",'Chilled Beam Schedule'!K318)</f>
        <v/>
      </c>
      <c r="J307" t="str">
        <f>IF(H307="","",'Chilled Beam Schedule'!D318)</f>
        <v/>
      </c>
      <c r="K307" t="str">
        <f>IF(H307="","",'Chilled Beam Schedule'!F318)</f>
        <v/>
      </c>
    </row>
    <row r="308" spans="8:11">
      <c r="H308" t="str">
        <f>'Chilled Beam Schedule'!A319</f>
        <v/>
      </c>
      <c r="I308" t="str">
        <f>IF(H308="","",'Chilled Beam Schedule'!K319)</f>
        <v/>
      </c>
      <c r="J308" t="str">
        <f>IF(H308="","",'Chilled Beam Schedule'!D319)</f>
        <v/>
      </c>
      <c r="K308" t="str">
        <f>IF(H308="","",'Chilled Beam Schedule'!F319)</f>
        <v/>
      </c>
    </row>
    <row r="309" spans="8:11">
      <c r="H309" t="str">
        <f>'Chilled Beam Schedule'!A320</f>
        <v/>
      </c>
      <c r="I309" t="str">
        <f>IF(H309="","",'Chilled Beam Schedule'!K320)</f>
        <v/>
      </c>
      <c r="J309" t="str">
        <f>IF(H309="","",'Chilled Beam Schedule'!D320)</f>
        <v/>
      </c>
      <c r="K309" t="str">
        <f>IF(H309="","",'Chilled Beam Schedule'!F320)</f>
        <v/>
      </c>
    </row>
    <row r="310" spans="8:11">
      <c r="H310" t="str">
        <f>'Chilled Beam Schedule'!A321</f>
        <v/>
      </c>
      <c r="I310" t="str">
        <f>IF(H310="","",'Chilled Beam Schedule'!K321)</f>
        <v/>
      </c>
      <c r="J310" t="str">
        <f>IF(H310="","",'Chilled Beam Schedule'!D321)</f>
        <v/>
      </c>
      <c r="K310" t="str">
        <f>IF(H310="","",'Chilled Beam Schedule'!F321)</f>
        <v/>
      </c>
    </row>
    <row r="311" spans="8:11">
      <c r="H311" t="str">
        <f>'Chilled Beam Schedule'!A322</f>
        <v/>
      </c>
      <c r="I311" t="str">
        <f>IF(H311="","",'Chilled Beam Schedule'!K322)</f>
        <v/>
      </c>
      <c r="J311" t="str">
        <f>IF(H311="","",'Chilled Beam Schedule'!D322)</f>
        <v/>
      </c>
      <c r="K311" t="str">
        <f>IF(H311="","",'Chilled Beam Schedule'!F322)</f>
        <v/>
      </c>
    </row>
    <row r="312" spans="8:11">
      <c r="H312" t="str">
        <f>'Chilled Beam Schedule'!A323</f>
        <v/>
      </c>
      <c r="I312" t="str">
        <f>IF(H312="","",'Chilled Beam Schedule'!K323)</f>
        <v/>
      </c>
      <c r="J312" t="str">
        <f>IF(H312="","",'Chilled Beam Schedule'!D323)</f>
        <v/>
      </c>
      <c r="K312" t="str">
        <f>IF(H312="","",'Chilled Beam Schedule'!F323)</f>
        <v/>
      </c>
    </row>
    <row r="313" spans="8:11">
      <c r="H313" t="str">
        <f>'Chilled Beam Schedule'!A324</f>
        <v/>
      </c>
      <c r="I313" t="str">
        <f>IF(H313="","",'Chilled Beam Schedule'!K324)</f>
        <v/>
      </c>
      <c r="J313" t="str">
        <f>IF(H313="","",'Chilled Beam Schedule'!D324)</f>
        <v/>
      </c>
      <c r="K313" t="str">
        <f>IF(H313="","",'Chilled Beam Schedule'!F324)</f>
        <v/>
      </c>
    </row>
    <row r="314" spans="8:11">
      <c r="H314" t="str">
        <f>'Chilled Beam Schedule'!A325</f>
        <v/>
      </c>
      <c r="I314" t="str">
        <f>IF(H314="","",'Chilled Beam Schedule'!K325)</f>
        <v/>
      </c>
      <c r="J314" t="str">
        <f>IF(H314="","",'Chilled Beam Schedule'!D325)</f>
        <v/>
      </c>
      <c r="K314" t="str">
        <f>IF(H314="","",'Chilled Beam Schedule'!F325)</f>
        <v/>
      </c>
    </row>
    <row r="315" spans="8:11">
      <c r="H315" t="str">
        <f>'Chilled Beam Schedule'!A326</f>
        <v/>
      </c>
      <c r="I315" t="str">
        <f>IF(H315="","",'Chilled Beam Schedule'!K326)</f>
        <v/>
      </c>
      <c r="J315" t="str">
        <f>IF(H315="","",'Chilled Beam Schedule'!D326)</f>
        <v/>
      </c>
      <c r="K315" t="str">
        <f>IF(H315="","",'Chilled Beam Schedule'!F326)</f>
        <v/>
      </c>
    </row>
    <row r="316" spans="8:11">
      <c r="H316" t="str">
        <f>'Chilled Beam Schedule'!A327</f>
        <v/>
      </c>
      <c r="I316" t="str">
        <f>IF(H316="","",'Chilled Beam Schedule'!K327)</f>
        <v/>
      </c>
      <c r="J316" t="str">
        <f>IF(H316="","",'Chilled Beam Schedule'!D327)</f>
        <v/>
      </c>
      <c r="K316" t="str">
        <f>IF(H316="","",'Chilled Beam Schedule'!F327)</f>
        <v/>
      </c>
    </row>
    <row r="317" spans="8:11">
      <c r="H317" t="str">
        <f>'Chilled Beam Schedule'!A328</f>
        <v/>
      </c>
      <c r="I317" t="str">
        <f>IF(H317="","",'Chilled Beam Schedule'!K328)</f>
        <v/>
      </c>
      <c r="J317" t="str">
        <f>IF(H317="","",'Chilled Beam Schedule'!D328)</f>
        <v/>
      </c>
      <c r="K317" t="str">
        <f>IF(H317="","",'Chilled Beam Schedule'!F328)</f>
        <v/>
      </c>
    </row>
    <row r="318" spans="8:11">
      <c r="H318" t="str">
        <f>'Chilled Beam Schedule'!A329</f>
        <v/>
      </c>
      <c r="I318" t="str">
        <f>IF(H318="","",'Chilled Beam Schedule'!K329)</f>
        <v/>
      </c>
      <c r="J318" t="str">
        <f>IF(H318="","",'Chilled Beam Schedule'!D329)</f>
        <v/>
      </c>
      <c r="K318" t="str">
        <f>IF(H318="","",'Chilled Beam Schedule'!F329)</f>
        <v/>
      </c>
    </row>
    <row r="319" spans="8:11">
      <c r="H319" t="str">
        <f>'Chilled Beam Schedule'!A330</f>
        <v/>
      </c>
      <c r="I319" t="str">
        <f>IF(H319="","",'Chilled Beam Schedule'!K330)</f>
        <v/>
      </c>
      <c r="J319" t="str">
        <f>IF(H319="","",'Chilled Beam Schedule'!D330)</f>
        <v/>
      </c>
      <c r="K319" t="str">
        <f>IF(H319="","",'Chilled Beam Schedule'!F330)</f>
        <v/>
      </c>
    </row>
    <row r="320" spans="8:11">
      <c r="H320" t="str">
        <f>'Chilled Beam Schedule'!A331</f>
        <v/>
      </c>
      <c r="I320" t="str">
        <f>IF(H320="","",'Chilled Beam Schedule'!K331)</f>
        <v/>
      </c>
      <c r="J320" t="str">
        <f>IF(H320="","",'Chilled Beam Schedule'!D331)</f>
        <v/>
      </c>
      <c r="K320" t="str">
        <f>IF(H320="","",'Chilled Beam Schedule'!F331)</f>
        <v/>
      </c>
    </row>
    <row r="321" spans="8:11">
      <c r="H321" t="str">
        <f>'Chilled Beam Schedule'!A332</f>
        <v/>
      </c>
      <c r="I321" t="str">
        <f>IF(H321="","",'Chilled Beam Schedule'!K332)</f>
        <v/>
      </c>
      <c r="J321" t="str">
        <f>IF(H321="","",'Chilled Beam Schedule'!D332)</f>
        <v/>
      </c>
      <c r="K321" t="str">
        <f>IF(H321="","",'Chilled Beam Schedule'!F332)</f>
        <v/>
      </c>
    </row>
    <row r="322" spans="8:11">
      <c r="H322" t="str">
        <f>'Chilled Beam Schedule'!A333</f>
        <v/>
      </c>
      <c r="I322" t="str">
        <f>IF(H322="","",'Chilled Beam Schedule'!K333)</f>
        <v/>
      </c>
      <c r="J322" t="str">
        <f>IF(H322="","",'Chilled Beam Schedule'!D333)</f>
        <v/>
      </c>
      <c r="K322" t="str">
        <f>IF(H322="","",'Chilled Beam Schedule'!F333)</f>
        <v/>
      </c>
    </row>
    <row r="323" spans="8:11">
      <c r="H323" t="str">
        <f>'Chilled Beam Schedule'!A334</f>
        <v/>
      </c>
      <c r="I323" t="str">
        <f>IF(H323="","",'Chilled Beam Schedule'!K334)</f>
        <v/>
      </c>
      <c r="J323" t="str">
        <f>IF(H323="","",'Chilled Beam Schedule'!D334)</f>
        <v/>
      </c>
      <c r="K323" t="str">
        <f>IF(H323="","",'Chilled Beam Schedule'!F334)</f>
        <v/>
      </c>
    </row>
    <row r="324" spans="8:11">
      <c r="H324" t="str">
        <f>'Chilled Beam Schedule'!A335</f>
        <v/>
      </c>
      <c r="I324" t="str">
        <f>IF(H324="","",'Chilled Beam Schedule'!K335)</f>
        <v/>
      </c>
      <c r="J324" t="str">
        <f>IF(H324="","",'Chilled Beam Schedule'!D335)</f>
        <v/>
      </c>
      <c r="K324" t="str">
        <f>IF(H324="","",'Chilled Beam Schedule'!F335)</f>
        <v/>
      </c>
    </row>
    <row r="325" spans="8:11">
      <c r="H325" t="str">
        <f>'Chilled Beam Schedule'!A336</f>
        <v/>
      </c>
      <c r="I325" t="str">
        <f>IF(H325="","",'Chilled Beam Schedule'!K336)</f>
        <v/>
      </c>
      <c r="J325" t="str">
        <f>IF(H325="","",'Chilled Beam Schedule'!D336)</f>
        <v/>
      </c>
      <c r="K325" t="str">
        <f>IF(H325="","",'Chilled Beam Schedule'!F336)</f>
        <v/>
      </c>
    </row>
    <row r="326" spans="8:11">
      <c r="H326" t="str">
        <f>'Chilled Beam Schedule'!A337</f>
        <v/>
      </c>
      <c r="I326" t="str">
        <f>IF(H326="","",'Chilled Beam Schedule'!K337)</f>
        <v/>
      </c>
      <c r="J326" t="str">
        <f>IF(H326="","",'Chilled Beam Schedule'!D337)</f>
        <v/>
      </c>
      <c r="K326" t="str">
        <f>IF(H326="","",'Chilled Beam Schedule'!F337)</f>
        <v/>
      </c>
    </row>
    <row r="327" spans="8:11">
      <c r="H327" t="str">
        <f>'Chilled Beam Schedule'!A338</f>
        <v/>
      </c>
      <c r="I327" t="str">
        <f>IF(H327="","",'Chilled Beam Schedule'!K338)</f>
        <v/>
      </c>
      <c r="J327" t="str">
        <f>IF(H327="","",'Chilled Beam Schedule'!D338)</f>
        <v/>
      </c>
      <c r="K327" t="str">
        <f>IF(H327="","",'Chilled Beam Schedule'!F338)</f>
        <v/>
      </c>
    </row>
    <row r="328" spans="8:11">
      <c r="H328" t="str">
        <f>'Chilled Beam Schedule'!A339</f>
        <v/>
      </c>
      <c r="I328" t="str">
        <f>IF(H328="","",'Chilled Beam Schedule'!K339)</f>
        <v/>
      </c>
      <c r="J328" t="str">
        <f>IF(H328="","",'Chilled Beam Schedule'!D339)</f>
        <v/>
      </c>
      <c r="K328" t="str">
        <f>IF(H328="","",'Chilled Beam Schedule'!F339)</f>
        <v/>
      </c>
    </row>
    <row r="329" spans="8:11">
      <c r="H329" t="str">
        <f>'Chilled Beam Schedule'!A340</f>
        <v/>
      </c>
      <c r="I329" t="str">
        <f>IF(H329="","",'Chilled Beam Schedule'!K340)</f>
        <v/>
      </c>
      <c r="J329" t="str">
        <f>IF(H329="","",'Chilled Beam Schedule'!D340)</f>
        <v/>
      </c>
      <c r="K329" t="str">
        <f>IF(H329="","",'Chilled Beam Schedule'!F340)</f>
        <v/>
      </c>
    </row>
    <row r="330" spans="8:11">
      <c r="H330" t="str">
        <f>'Chilled Beam Schedule'!A341</f>
        <v/>
      </c>
      <c r="I330" t="str">
        <f>IF(H330="","",'Chilled Beam Schedule'!K341)</f>
        <v/>
      </c>
      <c r="J330" t="str">
        <f>IF(H330="","",'Chilled Beam Schedule'!D341)</f>
        <v/>
      </c>
      <c r="K330" t="str">
        <f>IF(H330="","",'Chilled Beam Schedule'!F341)</f>
        <v/>
      </c>
    </row>
    <row r="331" spans="8:11">
      <c r="H331" t="str">
        <f>'Chilled Beam Schedule'!A342</f>
        <v/>
      </c>
      <c r="I331" t="str">
        <f>IF(H331="","",'Chilled Beam Schedule'!K342)</f>
        <v/>
      </c>
      <c r="J331" t="str">
        <f>IF(H331="","",'Chilled Beam Schedule'!D342)</f>
        <v/>
      </c>
      <c r="K331" t="str">
        <f>IF(H331="","",'Chilled Beam Schedule'!F342)</f>
        <v/>
      </c>
    </row>
    <row r="332" spans="8:11">
      <c r="H332" t="str">
        <f>'Chilled Beam Schedule'!A343</f>
        <v/>
      </c>
      <c r="I332" t="str">
        <f>IF(H332="","",'Chilled Beam Schedule'!K343)</f>
        <v/>
      </c>
      <c r="J332" t="str">
        <f>IF(H332="","",'Chilled Beam Schedule'!D343)</f>
        <v/>
      </c>
      <c r="K332" t="str">
        <f>IF(H332="","",'Chilled Beam Schedule'!F343)</f>
        <v/>
      </c>
    </row>
    <row r="333" spans="8:11">
      <c r="H333" t="str">
        <f>'Chilled Beam Schedule'!A344</f>
        <v/>
      </c>
      <c r="I333" t="str">
        <f>IF(H333="","",'Chilled Beam Schedule'!K344)</f>
        <v/>
      </c>
      <c r="J333" t="str">
        <f>IF(H333="","",'Chilled Beam Schedule'!D344)</f>
        <v/>
      </c>
      <c r="K333" t="str">
        <f>IF(H333="","",'Chilled Beam Schedule'!F344)</f>
        <v/>
      </c>
    </row>
    <row r="334" spans="8:11">
      <c r="H334" t="str">
        <f>'Chilled Beam Schedule'!A345</f>
        <v/>
      </c>
      <c r="I334" t="str">
        <f>IF(H334="","",'Chilled Beam Schedule'!K345)</f>
        <v/>
      </c>
      <c r="J334" t="str">
        <f>IF(H334="","",'Chilled Beam Schedule'!D345)</f>
        <v/>
      </c>
      <c r="K334" t="str">
        <f>IF(H334="","",'Chilled Beam Schedule'!F345)</f>
        <v/>
      </c>
    </row>
    <row r="335" spans="8:11">
      <c r="H335" t="str">
        <f>'Chilled Beam Schedule'!A346</f>
        <v/>
      </c>
      <c r="I335" t="str">
        <f>IF(H335="","",'Chilled Beam Schedule'!K346)</f>
        <v/>
      </c>
      <c r="J335" t="str">
        <f>IF(H335="","",'Chilled Beam Schedule'!D346)</f>
        <v/>
      </c>
      <c r="K335" t="str">
        <f>IF(H335="","",'Chilled Beam Schedule'!F346)</f>
        <v/>
      </c>
    </row>
    <row r="336" spans="8:11">
      <c r="H336" t="str">
        <f>'Chilled Beam Schedule'!A347</f>
        <v/>
      </c>
      <c r="I336" t="str">
        <f>IF(H336="","",'Chilled Beam Schedule'!K347)</f>
        <v/>
      </c>
      <c r="J336" t="str">
        <f>IF(H336="","",'Chilled Beam Schedule'!D347)</f>
        <v/>
      </c>
      <c r="K336" t="str">
        <f>IF(H336="","",'Chilled Beam Schedule'!F347)</f>
        <v/>
      </c>
    </row>
    <row r="337" spans="8:11">
      <c r="H337" t="str">
        <f>'Chilled Beam Schedule'!A348</f>
        <v/>
      </c>
      <c r="I337" t="str">
        <f>IF(H337="","",'Chilled Beam Schedule'!K348)</f>
        <v/>
      </c>
      <c r="J337" t="str">
        <f>IF(H337="","",'Chilled Beam Schedule'!D348)</f>
        <v/>
      </c>
      <c r="K337" t="str">
        <f>IF(H337="","",'Chilled Beam Schedule'!F348)</f>
        <v/>
      </c>
    </row>
    <row r="338" spans="8:11">
      <c r="H338" t="str">
        <f>'Chilled Beam Schedule'!A349</f>
        <v/>
      </c>
      <c r="I338" t="str">
        <f>IF(H338="","",'Chilled Beam Schedule'!K349)</f>
        <v/>
      </c>
      <c r="J338" t="str">
        <f>IF(H338="","",'Chilled Beam Schedule'!D349)</f>
        <v/>
      </c>
      <c r="K338" t="str">
        <f>IF(H338="","",'Chilled Beam Schedule'!F349)</f>
        <v/>
      </c>
    </row>
    <row r="339" spans="8:11">
      <c r="H339" t="str">
        <f>'Chilled Beam Schedule'!A350</f>
        <v/>
      </c>
      <c r="I339" t="str">
        <f>IF(H339="","",'Chilled Beam Schedule'!K350)</f>
        <v/>
      </c>
      <c r="J339" t="str">
        <f>IF(H339="","",'Chilled Beam Schedule'!D350)</f>
        <v/>
      </c>
      <c r="K339" t="str">
        <f>IF(H339="","",'Chilled Beam Schedule'!F350)</f>
        <v/>
      </c>
    </row>
    <row r="340" spans="8:11">
      <c r="H340" t="str">
        <f>'Chilled Beam Schedule'!A351</f>
        <v/>
      </c>
      <c r="I340" t="str">
        <f>IF(H340="","",'Chilled Beam Schedule'!K351)</f>
        <v/>
      </c>
      <c r="J340" t="str">
        <f>IF(H340="","",'Chilled Beam Schedule'!D351)</f>
        <v/>
      </c>
      <c r="K340" t="str">
        <f>IF(H340="","",'Chilled Beam Schedule'!F351)</f>
        <v/>
      </c>
    </row>
    <row r="341" spans="8:11">
      <c r="H341" t="str">
        <f>'Chilled Beam Schedule'!A352</f>
        <v/>
      </c>
      <c r="I341" t="str">
        <f>IF(H341="","",'Chilled Beam Schedule'!K352)</f>
        <v/>
      </c>
      <c r="J341" t="str">
        <f>IF(H341="","",'Chilled Beam Schedule'!D352)</f>
        <v/>
      </c>
      <c r="K341" t="str">
        <f>IF(H341="","",'Chilled Beam Schedule'!F352)</f>
        <v/>
      </c>
    </row>
    <row r="342" spans="8:11">
      <c r="H342" t="str">
        <f>'Chilled Beam Schedule'!A353</f>
        <v/>
      </c>
      <c r="I342" t="str">
        <f>IF(H342="","",'Chilled Beam Schedule'!K353)</f>
        <v/>
      </c>
      <c r="J342" t="str">
        <f>IF(H342="","",'Chilled Beam Schedule'!D353)</f>
        <v/>
      </c>
      <c r="K342" t="str">
        <f>IF(H342="","",'Chilled Beam Schedule'!F353)</f>
        <v/>
      </c>
    </row>
    <row r="343" spans="8:11">
      <c r="H343" t="str">
        <f>'Chilled Beam Schedule'!A354</f>
        <v/>
      </c>
      <c r="I343" t="str">
        <f>IF(H343="","",'Chilled Beam Schedule'!K354)</f>
        <v/>
      </c>
      <c r="J343" t="str">
        <f>IF(H343="","",'Chilled Beam Schedule'!D354)</f>
        <v/>
      </c>
      <c r="K343" t="str">
        <f>IF(H343="","",'Chilled Beam Schedule'!F354)</f>
        <v/>
      </c>
    </row>
    <row r="344" spans="8:11">
      <c r="H344" t="str">
        <f>'Chilled Beam Schedule'!A355</f>
        <v/>
      </c>
      <c r="I344" t="str">
        <f>IF(H344="","",'Chilled Beam Schedule'!K355)</f>
        <v/>
      </c>
      <c r="J344" t="str">
        <f>IF(H344="","",'Chilled Beam Schedule'!D355)</f>
        <v/>
      </c>
      <c r="K344" t="str">
        <f>IF(H344="","",'Chilled Beam Schedule'!F355)</f>
        <v/>
      </c>
    </row>
    <row r="345" spans="8:11">
      <c r="H345" t="str">
        <f>'Chilled Beam Schedule'!A356</f>
        <v/>
      </c>
      <c r="I345" t="str">
        <f>IF(H345="","",'Chilled Beam Schedule'!K356)</f>
        <v/>
      </c>
      <c r="J345" t="str">
        <f>IF(H345="","",'Chilled Beam Schedule'!D356)</f>
        <v/>
      </c>
      <c r="K345" t="str">
        <f>IF(H345="","",'Chilled Beam Schedule'!F356)</f>
        <v/>
      </c>
    </row>
    <row r="346" spans="8:11">
      <c r="H346" t="str">
        <f>'Chilled Beam Schedule'!A357</f>
        <v/>
      </c>
      <c r="I346" t="str">
        <f>IF(H346="","",'Chilled Beam Schedule'!K357)</f>
        <v/>
      </c>
      <c r="J346" t="str">
        <f>IF(H346="","",'Chilled Beam Schedule'!D357)</f>
        <v/>
      </c>
      <c r="K346" t="str">
        <f>IF(H346="","",'Chilled Beam Schedule'!F357)</f>
        <v/>
      </c>
    </row>
    <row r="347" spans="8:11">
      <c r="H347" t="str">
        <f>'Chilled Beam Schedule'!A358</f>
        <v/>
      </c>
      <c r="I347" t="str">
        <f>IF(H347="","",'Chilled Beam Schedule'!K358)</f>
        <v/>
      </c>
      <c r="J347" t="str">
        <f>IF(H347="","",'Chilled Beam Schedule'!D358)</f>
        <v/>
      </c>
      <c r="K347" t="str">
        <f>IF(H347="","",'Chilled Beam Schedule'!F358)</f>
        <v/>
      </c>
    </row>
    <row r="348" spans="8:11">
      <c r="H348" t="str">
        <f>'Chilled Beam Schedule'!A359</f>
        <v/>
      </c>
      <c r="I348" t="str">
        <f>IF(H348="","",'Chilled Beam Schedule'!K359)</f>
        <v/>
      </c>
      <c r="J348" t="str">
        <f>IF(H348="","",'Chilled Beam Schedule'!D359)</f>
        <v/>
      </c>
      <c r="K348" t="str">
        <f>IF(H348="","",'Chilled Beam Schedule'!F359)</f>
        <v/>
      </c>
    </row>
    <row r="349" spans="8:11">
      <c r="H349" t="str">
        <f>'Chilled Beam Schedule'!A360</f>
        <v/>
      </c>
      <c r="I349" t="str">
        <f>IF(H349="","",'Chilled Beam Schedule'!K360)</f>
        <v/>
      </c>
      <c r="J349" t="str">
        <f>IF(H349="","",'Chilled Beam Schedule'!D360)</f>
        <v/>
      </c>
      <c r="K349" t="str">
        <f>IF(H349="","",'Chilled Beam Schedule'!F360)</f>
        <v/>
      </c>
    </row>
    <row r="350" spans="8:11">
      <c r="H350" t="str">
        <f>'Chilled Beam Schedule'!A361</f>
        <v/>
      </c>
      <c r="I350" t="str">
        <f>IF(H350="","",'Chilled Beam Schedule'!K361)</f>
        <v/>
      </c>
      <c r="J350" t="str">
        <f>IF(H350="","",'Chilled Beam Schedule'!D361)</f>
        <v/>
      </c>
      <c r="K350" t="str">
        <f>IF(H350="","",'Chilled Beam Schedule'!F361)</f>
        <v/>
      </c>
    </row>
    <row r="351" spans="8:11">
      <c r="H351" t="str">
        <f>'Chilled Beam Schedule'!A362</f>
        <v/>
      </c>
      <c r="I351" t="str">
        <f>IF(H351="","",'Chilled Beam Schedule'!K362)</f>
        <v/>
      </c>
      <c r="J351" t="str">
        <f>IF(H351="","",'Chilled Beam Schedule'!D362)</f>
        <v/>
      </c>
      <c r="K351" t="str">
        <f>IF(H351="","",'Chilled Beam Schedule'!F362)</f>
        <v/>
      </c>
    </row>
    <row r="352" spans="8:11">
      <c r="H352" t="str">
        <f>'Chilled Beam Schedule'!A363</f>
        <v/>
      </c>
      <c r="I352" t="str">
        <f>IF(H352="","",'Chilled Beam Schedule'!K363)</f>
        <v/>
      </c>
      <c r="J352" t="str">
        <f>IF(H352="","",'Chilled Beam Schedule'!D363)</f>
        <v/>
      </c>
      <c r="K352" t="str">
        <f>IF(H352="","",'Chilled Beam Schedule'!F363)</f>
        <v/>
      </c>
    </row>
    <row r="353" spans="8:11">
      <c r="H353" t="str">
        <f>'Chilled Beam Schedule'!A364</f>
        <v/>
      </c>
      <c r="I353" t="str">
        <f>IF(H353="","",'Chilled Beam Schedule'!K364)</f>
        <v/>
      </c>
      <c r="J353" t="str">
        <f>IF(H353="","",'Chilled Beam Schedule'!D364)</f>
        <v/>
      </c>
      <c r="K353" t="str">
        <f>IF(H353="","",'Chilled Beam Schedule'!F364)</f>
        <v/>
      </c>
    </row>
    <row r="354" spans="8:11">
      <c r="H354" t="str">
        <f>'Chilled Beam Schedule'!A365</f>
        <v/>
      </c>
      <c r="I354" t="str">
        <f>IF(H354="","",'Chilled Beam Schedule'!K365)</f>
        <v/>
      </c>
      <c r="J354" t="str">
        <f>IF(H354="","",'Chilled Beam Schedule'!D365)</f>
        <v/>
      </c>
      <c r="K354" t="str">
        <f>IF(H354="","",'Chilled Beam Schedule'!F365)</f>
        <v/>
      </c>
    </row>
    <row r="355" spans="8:11">
      <c r="H355" t="str">
        <f>'Chilled Beam Schedule'!A366</f>
        <v/>
      </c>
      <c r="I355" t="str">
        <f>IF(H355="","",'Chilled Beam Schedule'!K366)</f>
        <v/>
      </c>
      <c r="J355" t="str">
        <f>IF(H355="","",'Chilled Beam Schedule'!D366)</f>
        <v/>
      </c>
      <c r="K355" t="str">
        <f>IF(H355="","",'Chilled Beam Schedule'!F366)</f>
        <v/>
      </c>
    </row>
    <row r="356" spans="8:11">
      <c r="H356" t="str">
        <f>'Chilled Beam Schedule'!A367</f>
        <v/>
      </c>
      <c r="I356" t="str">
        <f>IF(H356="","",'Chilled Beam Schedule'!K367)</f>
        <v/>
      </c>
      <c r="J356" t="str">
        <f>IF(H356="","",'Chilled Beam Schedule'!D367)</f>
        <v/>
      </c>
      <c r="K356" t="str">
        <f>IF(H356="","",'Chilled Beam Schedule'!F367)</f>
        <v/>
      </c>
    </row>
    <row r="357" spans="8:11">
      <c r="H357" t="str">
        <f>'Chilled Beam Schedule'!A368</f>
        <v/>
      </c>
      <c r="I357" t="str">
        <f>IF(H357="","",'Chilled Beam Schedule'!K368)</f>
        <v/>
      </c>
      <c r="J357" t="str">
        <f>IF(H357="","",'Chilled Beam Schedule'!D368)</f>
        <v/>
      </c>
      <c r="K357" t="str">
        <f>IF(H357="","",'Chilled Beam Schedule'!F368)</f>
        <v/>
      </c>
    </row>
    <row r="358" spans="8:11">
      <c r="H358" t="str">
        <f>'Chilled Beam Schedule'!A369</f>
        <v/>
      </c>
      <c r="I358" t="str">
        <f>IF(H358="","",'Chilled Beam Schedule'!K369)</f>
        <v/>
      </c>
      <c r="J358" t="str">
        <f>IF(H358="","",'Chilled Beam Schedule'!D369)</f>
        <v/>
      </c>
      <c r="K358" t="str">
        <f>IF(H358="","",'Chilled Beam Schedule'!F369)</f>
        <v/>
      </c>
    </row>
    <row r="359" spans="8:11">
      <c r="H359" t="str">
        <f>'Chilled Beam Schedule'!A370</f>
        <v/>
      </c>
      <c r="I359" t="str">
        <f>IF(H359="","",'Chilled Beam Schedule'!K370)</f>
        <v/>
      </c>
      <c r="J359" t="str">
        <f>IF(H359="","",'Chilled Beam Schedule'!D370)</f>
        <v/>
      </c>
      <c r="K359" t="str">
        <f>IF(H359="","",'Chilled Beam Schedule'!F370)</f>
        <v/>
      </c>
    </row>
    <row r="360" spans="8:11">
      <c r="H360" t="str">
        <f>'Chilled Beam Schedule'!A371</f>
        <v/>
      </c>
      <c r="I360" t="str">
        <f>IF(H360="","",'Chilled Beam Schedule'!K371)</f>
        <v/>
      </c>
      <c r="J360" t="str">
        <f>IF(H360="","",'Chilled Beam Schedule'!D371)</f>
        <v/>
      </c>
      <c r="K360" t="str">
        <f>IF(H360="","",'Chilled Beam Schedule'!F371)</f>
        <v/>
      </c>
    </row>
    <row r="361" spans="8:11">
      <c r="H361" t="str">
        <f>'Chilled Beam Schedule'!A372</f>
        <v/>
      </c>
      <c r="I361" t="str">
        <f>IF(H361="","",'Chilled Beam Schedule'!K372)</f>
        <v/>
      </c>
      <c r="J361" t="str">
        <f>IF(H361="","",'Chilled Beam Schedule'!D372)</f>
        <v/>
      </c>
      <c r="K361" t="str">
        <f>IF(H361="","",'Chilled Beam Schedule'!F372)</f>
        <v/>
      </c>
    </row>
    <row r="362" spans="8:11">
      <c r="H362" t="str">
        <f>'Chilled Beam Schedule'!A373</f>
        <v/>
      </c>
      <c r="I362" t="str">
        <f>IF(H362="","",'Chilled Beam Schedule'!K373)</f>
        <v/>
      </c>
      <c r="J362" t="str">
        <f>IF(H362="","",'Chilled Beam Schedule'!D373)</f>
        <v/>
      </c>
      <c r="K362" t="str">
        <f>IF(H362="","",'Chilled Beam Schedule'!F373)</f>
        <v/>
      </c>
    </row>
    <row r="363" spans="8:11">
      <c r="H363" t="str">
        <f>'Chilled Beam Schedule'!A374</f>
        <v/>
      </c>
      <c r="I363" t="str">
        <f>IF(H363="","",'Chilled Beam Schedule'!K374)</f>
        <v/>
      </c>
      <c r="J363" t="str">
        <f>IF(H363="","",'Chilled Beam Schedule'!D374)</f>
        <v/>
      </c>
      <c r="K363" t="str">
        <f>IF(H363="","",'Chilled Beam Schedule'!F374)</f>
        <v/>
      </c>
    </row>
    <row r="364" spans="8:11">
      <c r="H364" t="str">
        <f>'Chilled Beam Schedule'!A375</f>
        <v/>
      </c>
      <c r="I364" t="str">
        <f>IF(H364="","",'Chilled Beam Schedule'!K375)</f>
        <v/>
      </c>
      <c r="J364" t="str">
        <f>IF(H364="","",'Chilled Beam Schedule'!D375)</f>
        <v/>
      </c>
      <c r="K364" t="str">
        <f>IF(H364="","",'Chilled Beam Schedule'!F375)</f>
        <v/>
      </c>
    </row>
    <row r="365" spans="8:11">
      <c r="H365" t="str">
        <f>'Chilled Beam Schedule'!A376</f>
        <v/>
      </c>
      <c r="I365" t="str">
        <f>IF(H365="","",'Chilled Beam Schedule'!K376)</f>
        <v/>
      </c>
      <c r="J365" t="str">
        <f>IF(H365="","",'Chilled Beam Schedule'!D376)</f>
        <v/>
      </c>
      <c r="K365" t="str">
        <f>IF(H365="","",'Chilled Beam Schedule'!F376)</f>
        <v/>
      </c>
    </row>
    <row r="366" spans="8:11">
      <c r="H366" t="str">
        <f>'Chilled Beam Schedule'!A377</f>
        <v/>
      </c>
      <c r="I366" t="str">
        <f>IF(H366="","",'Chilled Beam Schedule'!K377)</f>
        <v/>
      </c>
      <c r="J366" t="str">
        <f>IF(H366="","",'Chilled Beam Schedule'!D377)</f>
        <v/>
      </c>
      <c r="K366" t="str">
        <f>IF(H366="","",'Chilled Beam Schedule'!F377)</f>
        <v/>
      </c>
    </row>
    <row r="367" spans="8:11">
      <c r="H367" t="str">
        <f>'Chilled Beam Schedule'!A378</f>
        <v/>
      </c>
      <c r="I367" t="str">
        <f>IF(H367="","",'Chilled Beam Schedule'!K378)</f>
        <v/>
      </c>
      <c r="J367" t="str">
        <f>IF(H367="","",'Chilled Beam Schedule'!D378)</f>
        <v/>
      </c>
      <c r="K367" t="str">
        <f>IF(H367="","",'Chilled Beam Schedule'!F378)</f>
        <v/>
      </c>
    </row>
    <row r="368" spans="8:11">
      <c r="H368" t="str">
        <f>'Chilled Beam Schedule'!A379</f>
        <v/>
      </c>
      <c r="I368" t="str">
        <f>IF(H368="","",'Chilled Beam Schedule'!K379)</f>
        <v/>
      </c>
      <c r="J368" t="str">
        <f>IF(H368="","",'Chilled Beam Schedule'!D379)</f>
        <v/>
      </c>
      <c r="K368" t="str">
        <f>IF(H368="","",'Chilled Beam Schedule'!F379)</f>
        <v/>
      </c>
    </row>
    <row r="369" spans="8:11">
      <c r="H369" t="str">
        <f>'Chilled Beam Schedule'!A380</f>
        <v/>
      </c>
      <c r="I369" t="str">
        <f>IF(H369="","",'Chilled Beam Schedule'!K380)</f>
        <v/>
      </c>
      <c r="J369" t="str">
        <f>IF(H369="","",'Chilled Beam Schedule'!D380)</f>
        <v/>
      </c>
      <c r="K369" t="str">
        <f>IF(H369="","",'Chilled Beam Schedule'!F380)</f>
        <v/>
      </c>
    </row>
    <row r="370" spans="8:11">
      <c r="H370" t="str">
        <f>'Chilled Beam Schedule'!A381</f>
        <v/>
      </c>
      <c r="I370" t="str">
        <f>IF(H370="","",'Chilled Beam Schedule'!K381)</f>
        <v/>
      </c>
      <c r="J370" t="str">
        <f>IF(H370="","",'Chilled Beam Schedule'!D381)</f>
        <v/>
      </c>
      <c r="K370" t="str">
        <f>IF(H370="","",'Chilled Beam Schedule'!F381)</f>
        <v/>
      </c>
    </row>
    <row r="371" spans="8:11">
      <c r="H371" t="str">
        <f>'Chilled Beam Schedule'!A382</f>
        <v/>
      </c>
      <c r="I371" t="str">
        <f>IF(H371="","",'Chilled Beam Schedule'!K382)</f>
        <v/>
      </c>
      <c r="J371" t="str">
        <f>IF(H371="","",'Chilled Beam Schedule'!D382)</f>
        <v/>
      </c>
      <c r="K371" t="str">
        <f>IF(H371="","",'Chilled Beam Schedule'!F382)</f>
        <v/>
      </c>
    </row>
    <row r="372" spans="8:11">
      <c r="H372" t="str">
        <f>'Chilled Beam Schedule'!A383</f>
        <v/>
      </c>
      <c r="I372" t="str">
        <f>IF(H372="","",'Chilled Beam Schedule'!K383)</f>
        <v/>
      </c>
      <c r="J372" t="str">
        <f>IF(H372="","",'Chilled Beam Schedule'!D383)</f>
        <v/>
      </c>
      <c r="K372" t="str">
        <f>IF(H372="","",'Chilled Beam Schedule'!F383)</f>
        <v/>
      </c>
    </row>
    <row r="373" spans="8:11">
      <c r="H373" t="str">
        <f>'Chilled Beam Schedule'!A384</f>
        <v/>
      </c>
      <c r="I373" t="str">
        <f>IF(H373="","",'Chilled Beam Schedule'!K384)</f>
        <v/>
      </c>
      <c r="J373" t="str">
        <f>IF(H373="","",'Chilled Beam Schedule'!D384)</f>
        <v/>
      </c>
      <c r="K373" t="str">
        <f>IF(H373="","",'Chilled Beam Schedule'!F384)</f>
        <v/>
      </c>
    </row>
    <row r="374" spans="8:11">
      <c r="H374" t="str">
        <f>'Chilled Beam Schedule'!A385</f>
        <v/>
      </c>
      <c r="I374" t="str">
        <f>IF(H374="","",'Chilled Beam Schedule'!K385)</f>
        <v/>
      </c>
      <c r="J374" t="str">
        <f>IF(H374="","",'Chilled Beam Schedule'!D385)</f>
        <v/>
      </c>
      <c r="K374" t="str">
        <f>IF(H374="","",'Chilled Beam Schedule'!F385)</f>
        <v/>
      </c>
    </row>
    <row r="375" spans="8:11">
      <c r="H375" t="str">
        <f>'Chilled Beam Schedule'!A386</f>
        <v/>
      </c>
      <c r="I375" t="str">
        <f>IF(H375="","",'Chilled Beam Schedule'!K386)</f>
        <v/>
      </c>
      <c r="J375" t="str">
        <f>IF(H375="","",'Chilled Beam Schedule'!D386)</f>
        <v/>
      </c>
      <c r="K375" t="str">
        <f>IF(H375="","",'Chilled Beam Schedule'!F386)</f>
        <v/>
      </c>
    </row>
    <row r="376" spans="8:11">
      <c r="H376">
        <f>'Chilled Beam Schedule'!A387</f>
        <v>0</v>
      </c>
      <c r="I376">
        <f>IF(H376="","",'Chilled Beam Schedule'!K387)</f>
        <v>0</v>
      </c>
      <c r="J376">
        <f>IF(H376="","",'Chilled Beam Schedule'!D387)</f>
        <v>0</v>
      </c>
      <c r="K376">
        <f>IF(H376="","",'Chilled Beam Schedule'!F387)</f>
        <v>0</v>
      </c>
    </row>
    <row r="377" spans="8:11">
      <c r="H377">
        <f>'Chilled Beam Schedule'!A388</f>
        <v>0</v>
      </c>
      <c r="I377">
        <f>IF(H377="","",'Chilled Beam Schedule'!K388)</f>
        <v>0</v>
      </c>
      <c r="J377">
        <f>IF(H377="","",'Chilled Beam Schedule'!D388)</f>
        <v>0</v>
      </c>
      <c r="K377">
        <f>IF(H377="","",'Chilled Beam Schedule'!F388)</f>
        <v>0</v>
      </c>
    </row>
    <row r="378" spans="8:11">
      <c r="H378">
        <f>'Chilled Beam Schedule'!A389</f>
        <v>0</v>
      </c>
      <c r="I378">
        <f>IF(H378="","",'Chilled Beam Schedule'!K389)</f>
        <v>0</v>
      </c>
      <c r="J378">
        <f>IF(H378="","",'Chilled Beam Schedule'!D389)</f>
        <v>0</v>
      </c>
      <c r="K378">
        <f>IF(H378="","",'Chilled Beam Schedule'!F389)</f>
        <v>0</v>
      </c>
    </row>
    <row r="379" spans="8:11">
      <c r="H379">
        <f>'Chilled Beam Schedule'!A390</f>
        <v>0</v>
      </c>
      <c r="I379">
        <f>IF(H379="","",'Chilled Beam Schedule'!K390)</f>
        <v>0</v>
      </c>
      <c r="J379">
        <f>IF(H379="","",'Chilled Beam Schedule'!D390)</f>
        <v>0</v>
      </c>
      <c r="K379">
        <f>IF(H379="","",'Chilled Beam Schedule'!F390)</f>
        <v>0</v>
      </c>
    </row>
    <row r="380" spans="8:11">
      <c r="H380">
        <f>'Chilled Beam Schedule'!A391</f>
        <v>0</v>
      </c>
      <c r="I380">
        <f>IF(H380="","",'Chilled Beam Schedule'!K391)</f>
        <v>0</v>
      </c>
      <c r="J380">
        <f>IF(H380="","",'Chilled Beam Schedule'!D391)</f>
        <v>0</v>
      </c>
      <c r="K380">
        <f>IF(H380="","",'Chilled Beam Schedule'!F391)</f>
        <v>0</v>
      </c>
    </row>
    <row r="381" spans="8:11">
      <c r="H381">
        <f>'Chilled Beam Schedule'!A392</f>
        <v>0</v>
      </c>
      <c r="I381">
        <f>IF(H381="","",'Chilled Beam Schedule'!K392)</f>
        <v>0</v>
      </c>
      <c r="J381">
        <f>IF(H381="","",'Chilled Beam Schedule'!D392)</f>
        <v>0</v>
      </c>
      <c r="K381">
        <f>IF(H381="","",'Chilled Beam Schedule'!F392)</f>
        <v>0</v>
      </c>
    </row>
    <row r="382" spans="8:11">
      <c r="H382">
        <f>'Chilled Beam Schedule'!A393</f>
        <v>0</v>
      </c>
      <c r="I382">
        <f>IF(H382="","",'Chilled Beam Schedule'!K393)</f>
        <v>0</v>
      </c>
      <c r="J382">
        <f>IF(H382="","",'Chilled Beam Schedule'!D393)</f>
        <v>0</v>
      </c>
      <c r="K382">
        <f>IF(H382="","",'Chilled Beam Schedule'!F393)</f>
        <v>0</v>
      </c>
    </row>
    <row r="383" spans="8:11">
      <c r="H383">
        <f>'Chilled Beam Schedule'!A394</f>
        <v>0</v>
      </c>
      <c r="I383">
        <f>IF(H383="","",'Chilled Beam Schedule'!K394)</f>
        <v>0</v>
      </c>
      <c r="J383">
        <f>IF(H383="","",'Chilled Beam Schedule'!D394)</f>
        <v>0</v>
      </c>
      <c r="K383">
        <f>IF(H383="","",'Chilled Beam Schedule'!F394)</f>
        <v>0</v>
      </c>
    </row>
    <row r="384" spans="8:11">
      <c r="H384">
        <f>'Chilled Beam Schedule'!A395</f>
        <v>0</v>
      </c>
      <c r="I384">
        <f>IF(H384="","",'Chilled Beam Schedule'!K395)</f>
        <v>0</v>
      </c>
      <c r="J384">
        <f>IF(H384="","",'Chilled Beam Schedule'!D395)</f>
        <v>0</v>
      </c>
      <c r="K384">
        <f>IF(H384="","",'Chilled Beam Schedule'!F395)</f>
        <v>0</v>
      </c>
    </row>
    <row r="385" spans="8:11">
      <c r="H385">
        <f>'Chilled Beam Schedule'!A396</f>
        <v>0</v>
      </c>
      <c r="I385">
        <f>IF(H385="","",'Chilled Beam Schedule'!K396)</f>
        <v>0</v>
      </c>
      <c r="J385">
        <f>IF(H385="","",'Chilled Beam Schedule'!D396)</f>
        <v>0</v>
      </c>
      <c r="K385">
        <f>IF(H385="","",'Chilled Beam Schedule'!F396)</f>
        <v>0</v>
      </c>
    </row>
    <row r="386" spans="8:11">
      <c r="H386">
        <f>'Chilled Beam Schedule'!A397</f>
        <v>0</v>
      </c>
      <c r="I386">
        <f>IF(H386="","",'Chilled Beam Schedule'!K397)</f>
        <v>0</v>
      </c>
      <c r="J386">
        <f>IF(H386="","",'Chilled Beam Schedule'!D397)</f>
        <v>0</v>
      </c>
      <c r="K386">
        <f>IF(H386="","",'Chilled Beam Schedule'!F397)</f>
        <v>0</v>
      </c>
    </row>
    <row r="387" spans="8:11">
      <c r="H387">
        <f>'Chilled Beam Schedule'!A398</f>
        <v>0</v>
      </c>
      <c r="I387">
        <f>IF(H387="","",'Chilled Beam Schedule'!K398)</f>
        <v>0</v>
      </c>
      <c r="J387">
        <f>IF(H387="","",'Chilled Beam Schedule'!D398)</f>
        <v>0</v>
      </c>
      <c r="K387">
        <f>IF(H387="","",'Chilled Beam Schedule'!F398)</f>
        <v>0</v>
      </c>
    </row>
    <row r="388" spans="8:11">
      <c r="H388">
        <f>'Chilled Beam Schedule'!A399</f>
        <v>0</v>
      </c>
      <c r="I388">
        <f>IF(H388="","",'Chilled Beam Schedule'!K399)</f>
        <v>0</v>
      </c>
      <c r="J388">
        <f>IF(H388="","",'Chilled Beam Schedule'!D399)</f>
        <v>0</v>
      </c>
      <c r="K388">
        <f>IF(H388="","",'Chilled Beam Schedule'!F399)</f>
        <v>0</v>
      </c>
    </row>
    <row r="389" spans="8:11">
      <c r="H389">
        <f>'Chilled Beam Schedule'!A400</f>
        <v>0</v>
      </c>
      <c r="I389">
        <f>IF(H389="","",'Chilled Beam Schedule'!K400)</f>
        <v>0</v>
      </c>
      <c r="J389">
        <f>IF(H389="","",'Chilled Beam Schedule'!D400)</f>
        <v>0</v>
      </c>
      <c r="K389">
        <f>IF(H389="","",'Chilled Beam Schedule'!F400)</f>
        <v>0</v>
      </c>
    </row>
    <row r="390" spans="8:11">
      <c r="H390">
        <f>'Chilled Beam Schedule'!A401</f>
        <v>0</v>
      </c>
      <c r="I390">
        <f>IF(H390="","",'Chilled Beam Schedule'!K401)</f>
        <v>0</v>
      </c>
      <c r="J390">
        <f>IF(H390="","",'Chilled Beam Schedule'!D401)</f>
        <v>0</v>
      </c>
      <c r="K390">
        <f>IF(H390="","",'Chilled Beam Schedule'!F401)</f>
        <v>0</v>
      </c>
    </row>
    <row r="391" spans="8:11">
      <c r="H391">
        <f>'Chilled Beam Schedule'!A402</f>
        <v>0</v>
      </c>
      <c r="I391">
        <f>IF(H391="","",'Chilled Beam Schedule'!K402)</f>
        <v>0</v>
      </c>
      <c r="J391">
        <f>IF(H391="","",'Chilled Beam Schedule'!D402)</f>
        <v>0</v>
      </c>
      <c r="K391">
        <f>IF(H391="","",'Chilled Beam Schedule'!F402)</f>
        <v>0</v>
      </c>
    </row>
    <row r="392" spans="8:11">
      <c r="H392">
        <f>'Chilled Beam Schedule'!A403</f>
        <v>0</v>
      </c>
      <c r="I392">
        <f>IF(H392="","",'Chilled Beam Schedule'!K403)</f>
        <v>0</v>
      </c>
      <c r="J392">
        <f>IF(H392="","",'Chilled Beam Schedule'!D403)</f>
        <v>0</v>
      </c>
      <c r="K392">
        <f>IF(H392="","",'Chilled Beam Schedule'!F403)</f>
        <v>0</v>
      </c>
    </row>
    <row r="393" spans="8:11">
      <c r="H393">
        <f>'Chilled Beam Schedule'!A404</f>
        <v>0</v>
      </c>
      <c r="I393">
        <f>IF(H393="","",'Chilled Beam Schedule'!K404)</f>
        <v>0</v>
      </c>
      <c r="J393">
        <f>IF(H393="","",'Chilled Beam Schedule'!D404)</f>
        <v>0</v>
      </c>
      <c r="K393">
        <f>IF(H393="","",'Chilled Beam Schedule'!F404)</f>
        <v>0</v>
      </c>
    </row>
    <row r="394" spans="8:11">
      <c r="H394">
        <f>'Chilled Beam Schedule'!A405</f>
        <v>0</v>
      </c>
      <c r="I394">
        <f>IF(H394="","",'Chilled Beam Schedule'!K405)</f>
        <v>0</v>
      </c>
      <c r="J394">
        <f>IF(H394="","",'Chilled Beam Schedule'!D405)</f>
        <v>0</v>
      </c>
      <c r="K394">
        <f>IF(H394="","",'Chilled Beam Schedule'!F405)</f>
        <v>0</v>
      </c>
    </row>
    <row r="395" spans="8:11">
      <c r="H395">
        <f>'Chilled Beam Schedule'!A406</f>
        <v>0</v>
      </c>
      <c r="I395">
        <f>IF(H395="","",'Chilled Beam Schedule'!K406)</f>
        <v>0</v>
      </c>
      <c r="J395">
        <f>IF(H395="","",'Chilled Beam Schedule'!D406)</f>
        <v>0</v>
      </c>
      <c r="K395">
        <f>IF(H395="","",'Chilled Beam Schedule'!F406)</f>
        <v>0</v>
      </c>
    </row>
    <row r="396" spans="8:11">
      <c r="H396">
        <f>'Chilled Beam Schedule'!A407</f>
        <v>0</v>
      </c>
      <c r="I396">
        <f>IF(H396="","",'Chilled Beam Schedule'!K407)</f>
        <v>0</v>
      </c>
      <c r="J396">
        <f>IF(H396="","",'Chilled Beam Schedule'!D407)</f>
        <v>0</v>
      </c>
      <c r="K396">
        <f>IF(H396="","",'Chilled Beam Schedule'!F407)</f>
        <v>0</v>
      </c>
    </row>
    <row r="397" spans="8:11">
      <c r="H397">
        <f>'Chilled Beam Schedule'!A408</f>
        <v>0</v>
      </c>
      <c r="I397">
        <f>IF(H397="","",'Chilled Beam Schedule'!K408)</f>
        <v>0</v>
      </c>
      <c r="J397">
        <f>IF(H397="","",'Chilled Beam Schedule'!D408)</f>
        <v>0</v>
      </c>
      <c r="K397">
        <f>IF(H397="","",'Chilled Beam Schedule'!F408)</f>
        <v>0</v>
      </c>
    </row>
    <row r="398" spans="8:11">
      <c r="H398">
        <f>'Chilled Beam Schedule'!A409</f>
        <v>0</v>
      </c>
      <c r="I398">
        <f>IF(H398="","",'Chilled Beam Schedule'!K409)</f>
        <v>0</v>
      </c>
      <c r="J398">
        <f>IF(H398="","",'Chilled Beam Schedule'!D409)</f>
        <v>0</v>
      </c>
      <c r="K398">
        <f>IF(H398="","",'Chilled Beam Schedule'!F409)</f>
        <v>0</v>
      </c>
    </row>
    <row r="399" spans="8:11">
      <c r="H399">
        <f>'Chilled Beam Schedule'!A410</f>
        <v>0</v>
      </c>
      <c r="I399">
        <f>IF(H399="","",'Chilled Beam Schedule'!K410)</f>
        <v>0</v>
      </c>
      <c r="J399">
        <f>IF(H399="","",'Chilled Beam Schedule'!D410)</f>
        <v>0</v>
      </c>
      <c r="K399">
        <f>IF(H399="","",'Chilled Beam Schedule'!F410)</f>
        <v>0</v>
      </c>
    </row>
    <row r="400" spans="8:11">
      <c r="H400">
        <f>'Chilled Beam Schedule'!A411</f>
        <v>0</v>
      </c>
      <c r="I400">
        <f>IF(H400="","",'Chilled Beam Schedule'!K411)</f>
        <v>0</v>
      </c>
      <c r="J400">
        <f>IF(H400="","",'Chilled Beam Schedule'!D411)</f>
        <v>0</v>
      </c>
      <c r="K400">
        <f>IF(H400="","",'Chilled Beam Schedule'!F411)</f>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BI122"/>
  <sheetViews>
    <sheetView topLeftCell="A48" zoomScale="85" zoomScaleNormal="85" workbookViewId="0">
      <selection activeCell="Q89" sqref="Q89:S89"/>
    </sheetView>
  </sheetViews>
  <sheetFormatPr defaultRowHeight="14.4"/>
  <cols>
    <col min="1" max="1" width="12.6640625" customWidth="1"/>
    <col min="3" max="3" width="12.6640625" customWidth="1"/>
    <col min="8" max="8" width="10" bestFit="1" customWidth="1"/>
    <col min="10" max="10" width="12.6640625" customWidth="1"/>
    <col min="12" max="12" width="8.6640625" customWidth="1"/>
    <col min="13" max="13" width="10.33203125" bestFit="1" customWidth="1"/>
    <col min="14" max="14" width="12.6640625" customWidth="1"/>
    <col min="17" max="17" width="7.109375" customWidth="1"/>
    <col min="18" max="18" width="8.5546875" customWidth="1"/>
    <col min="19" max="27" width="6.6640625" customWidth="1"/>
    <col min="28" max="28" width="12.6640625" customWidth="1"/>
    <col min="31" max="33" width="8.6640625" customWidth="1"/>
    <col min="34" max="39" width="6.6640625" customWidth="1"/>
    <col min="40" max="40" width="8.6640625" customWidth="1"/>
    <col min="42" max="42" width="10.6640625" customWidth="1"/>
    <col min="43" max="43" width="8.6640625" customWidth="1"/>
    <col min="48" max="53" width="9.109375" customWidth="1"/>
    <col min="54" max="57" width="10.6640625" customWidth="1"/>
    <col min="58" max="60" width="8.6640625" customWidth="1"/>
  </cols>
  <sheetData>
    <row r="1" spans="1:61" ht="15.6">
      <c r="A1" s="897"/>
      <c r="B1" s="898"/>
      <c r="C1" s="898"/>
      <c r="D1" s="898"/>
      <c r="E1" s="898"/>
      <c r="F1" s="898"/>
      <c r="G1" s="899"/>
      <c r="J1" s="892"/>
      <c r="K1" s="893"/>
      <c r="L1" s="894"/>
      <c r="N1" s="78"/>
      <c r="O1" s="78"/>
      <c r="P1" s="78"/>
      <c r="Q1" s="78"/>
      <c r="R1" s="78"/>
      <c r="S1" s="78"/>
      <c r="T1" s="78"/>
      <c r="U1" s="78"/>
      <c r="V1" s="78"/>
      <c r="W1" s="78"/>
      <c r="X1" s="78"/>
      <c r="Y1" s="78"/>
      <c r="Z1" s="78"/>
      <c r="AP1" s="172"/>
      <c r="AQ1" s="172"/>
      <c r="AR1" s="172"/>
      <c r="AS1" s="172"/>
      <c r="AT1" s="172"/>
      <c r="AU1" s="172"/>
      <c r="AV1" s="172"/>
      <c r="AW1" s="172"/>
      <c r="AX1" s="172"/>
      <c r="AY1" s="172"/>
      <c r="AZ1" s="172"/>
      <c r="BA1" s="172"/>
      <c r="BB1" s="172"/>
      <c r="BC1" s="167"/>
      <c r="BD1" s="172"/>
      <c r="BE1" s="172"/>
      <c r="BF1" s="172"/>
      <c r="BG1" s="172"/>
      <c r="BH1" s="172"/>
      <c r="BI1" s="172"/>
    </row>
    <row r="2" spans="1:61">
      <c r="A2" s="1"/>
      <c r="B2" s="2"/>
      <c r="C2" s="2"/>
      <c r="D2" s="2"/>
      <c r="E2" s="2"/>
      <c r="F2" s="100"/>
      <c r="G2" s="2"/>
      <c r="J2" s="26" t="s">
        <v>16</v>
      </c>
      <c r="K2" s="14">
        <f>Calculation!R22*(60*0.24*H11)*(Calculation!F6-Calculation!F13)</f>
        <v>0</v>
      </c>
      <c r="L2" s="27" t="s">
        <v>9</v>
      </c>
      <c r="P2" s="50"/>
      <c r="Q2" s="50"/>
      <c r="R2" s="50"/>
      <c r="S2" s="50"/>
      <c r="T2" s="50"/>
      <c r="U2" s="50"/>
      <c r="V2" s="50"/>
      <c r="W2" s="154"/>
      <c r="X2" s="50"/>
      <c r="Y2" s="50"/>
      <c r="Z2" s="50"/>
      <c r="AD2" s="469" t="s">
        <v>520</v>
      </c>
      <c r="AE2" s="469" t="s">
        <v>530</v>
      </c>
      <c r="AF2" s="469" t="s">
        <v>32</v>
      </c>
      <c r="AG2" s="469" t="s">
        <v>33</v>
      </c>
      <c r="AH2" s="469" t="s">
        <v>34</v>
      </c>
      <c r="AI2" s="469" t="s">
        <v>35</v>
      </c>
      <c r="AJ2" s="469" t="s">
        <v>41</v>
      </c>
      <c r="AK2" s="470" t="s">
        <v>541</v>
      </c>
      <c r="AL2" s="469" t="s">
        <v>531</v>
      </c>
      <c r="AM2" s="469"/>
      <c r="AN2" s="469"/>
      <c r="AP2" s="4"/>
      <c r="AQ2" s="4"/>
      <c r="AR2" s="87"/>
      <c r="AS2" s="87"/>
      <c r="AT2" s="87"/>
      <c r="AU2" s="87"/>
      <c r="AV2" s="87"/>
      <c r="AW2" s="87"/>
      <c r="AX2" s="87"/>
      <c r="AY2" s="87"/>
      <c r="AZ2" s="87"/>
      <c r="BA2" s="126"/>
      <c r="BB2" s="87"/>
      <c r="BC2" s="87"/>
      <c r="BD2" s="4"/>
      <c r="BE2" s="4"/>
      <c r="BF2" s="87"/>
      <c r="BG2" s="87"/>
      <c r="BH2" s="87"/>
      <c r="BI2" s="87"/>
    </row>
    <row r="3" spans="1:61">
      <c r="A3" s="903">
        <f>Calculation!S13</f>
        <v>0</v>
      </c>
      <c r="B3" s="907">
        <f>Calculation!F6</f>
        <v>75</v>
      </c>
      <c r="C3" s="101">
        <f>B68</f>
        <v>0</v>
      </c>
      <c r="D3" s="102">
        <f>IF(Calculation!$F$7=Worksheet!C3,IF(Calculation!$F$6=72,Worksheet!C90,IF(Calculation!$F$6=73,Worksheet!C93,IF(Calculation!$F$6=74,Worksheet!C96,IF(Calculation!$F$6=75,Worksheet!C99,IF(Calculation!$F$6=76,Worksheet!C102,IF(Calculation!$F$6=77,Worksheet!C105,Worksheet!C108)))))),0)</f>
        <v>0</v>
      </c>
      <c r="E3" s="102">
        <f>IF(Calculation!$F$7=Worksheet!C3,IF(Calculation!$F$6=72,Worksheet!O90,IF(Calculation!$F$6=73,Worksheet!O93,IF(Calculation!$F$6=74,Worksheet!O96,IF(Calculation!$F$6=75,Worksheet!O99,IF(Calculation!$F$6=76,Worksheet!O102,IF(Calculation!$F$6=77,Worksheet!O105,Worksheet!O108)))))),0)</f>
        <v>0</v>
      </c>
      <c r="F3" s="905">
        <f>Calculation!BQ8</f>
        <v>48</v>
      </c>
      <c r="G3" s="906" t="e">
        <f>0.7*Calculation!W22*(Worksheet!E6-Worksheet!F3)</f>
        <v>#VALUE!</v>
      </c>
      <c r="J3" s="28" t="s">
        <v>17</v>
      </c>
      <c r="K3" s="18">
        <f>Calculation!R22*(60*0.24*H12)*(Calculation!H6-Calculation!H13)</f>
        <v>0</v>
      </c>
      <c r="L3" s="29" t="s">
        <v>9</v>
      </c>
      <c r="N3" s="104"/>
      <c r="O3" s="230"/>
      <c r="P3" s="14"/>
      <c r="Q3" s="14"/>
      <c r="R3" s="14"/>
      <c r="S3" s="14"/>
      <c r="T3" s="14"/>
      <c r="U3" s="184"/>
      <c r="V3" s="184"/>
      <c r="W3" s="184"/>
      <c r="X3" s="184"/>
      <c r="Y3" s="184"/>
      <c r="Z3" s="184"/>
      <c r="AP3" s="181"/>
      <c r="AQ3" s="99"/>
      <c r="AR3" s="170"/>
      <c r="AS3" s="170"/>
      <c r="AT3" s="170"/>
      <c r="AU3" s="170"/>
      <c r="AV3" s="178"/>
      <c r="AW3" s="170"/>
      <c r="AX3" s="178"/>
      <c r="AY3" s="168"/>
      <c r="AZ3" s="168"/>
      <c r="BA3" s="169"/>
      <c r="BB3" s="168"/>
      <c r="BC3" s="168"/>
      <c r="BD3" s="181"/>
      <c r="BE3" s="168"/>
      <c r="BF3" s="170"/>
      <c r="BG3" s="170"/>
      <c r="BH3" s="170"/>
      <c r="BI3" s="170"/>
    </row>
    <row r="4" spans="1:61">
      <c r="A4" s="904"/>
      <c r="B4" s="907"/>
      <c r="C4" s="101">
        <f>B69</f>
        <v>0</v>
      </c>
      <c r="D4" s="102">
        <f>IF(Calculation!$F$7=Worksheet!C4,IF(Calculation!$F$6=72,Worksheet!C91,IF(Calculation!$F$6=73,Worksheet!C94,IF(Calculation!$F$6=74,Worksheet!C97,IF(Calculation!$F$6=75,Worksheet!C100,IF(Calculation!$F$6=76,Worksheet!C103,IF(Calculation!$F$6=77,Worksheet!C106,Worksheet!C109)))))),0)</f>
        <v>0</v>
      </c>
      <c r="E4" s="102">
        <f>IF(Calculation!$F$7=Worksheet!C4,IF(Calculation!$F$6=72,Worksheet!O91,IF(Calculation!$F$6=73,Worksheet!O94,IF(Calculation!$F$6=74,Worksheet!O97,IF(Calculation!$F$6=75,Worksheet!O100,IF(Calculation!$F$6=76,Worksheet!O103,IF(Calculation!$F$6=77,Worksheet!O106,Worksheet!O109)))))),0)</f>
        <v>0</v>
      </c>
      <c r="F4" s="905"/>
      <c r="G4" s="906"/>
      <c r="J4" s="892"/>
      <c r="K4" s="893"/>
      <c r="L4" s="894"/>
      <c r="N4" s="104"/>
      <c r="O4" s="4"/>
      <c r="P4" s="14"/>
      <c r="Q4" s="14"/>
      <c r="R4" s="14" t="s">
        <v>34</v>
      </c>
      <c r="S4" s="452" t="s">
        <v>45</v>
      </c>
      <c r="T4" s="14"/>
      <c r="U4" s="184"/>
      <c r="V4" s="184"/>
      <c r="W4" s="184"/>
      <c r="X4" s="184"/>
      <c r="Y4" s="184"/>
      <c r="Z4" s="184"/>
      <c r="AD4" s="469" t="s">
        <v>512</v>
      </c>
      <c r="AE4" s="469" t="s">
        <v>513</v>
      </c>
      <c r="AF4" s="469" t="s">
        <v>555</v>
      </c>
      <c r="AG4" s="469" t="s">
        <v>514</v>
      </c>
      <c r="AH4" s="469" t="s">
        <v>556</v>
      </c>
      <c r="AI4" s="469" t="s">
        <v>515</v>
      </c>
      <c r="AP4" s="181"/>
      <c r="AQ4" s="99"/>
      <c r="AR4" s="170"/>
      <c r="AS4" s="170"/>
      <c r="AT4" s="170"/>
      <c r="AU4" s="170"/>
      <c r="AV4" s="178"/>
      <c r="AW4" s="170"/>
      <c r="AX4" s="178"/>
      <c r="AY4" s="168"/>
      <c r="AZ4" s="168"/>
      <c r="BA4" s="179"/>
      <c r="BB4" s="168"/>
      <c r="BC4" s="168"/>
      <c r="BD4" s="181"/>
      <c r="BE4" s="168"/>
      <c r="BF4" s="170"/>
      <c r="BG4" s="170"/>
      <c r="BH4" s="170"/>
      <c r="BI4" s="170"/>
    </row>
    <row r="5" spans="1:61">
      <c r="A5" s="904"/>
      <c r="B5" s="907"/>
      <c r="C5" s="101">
        <f>B70</f>
        <v>0</v>
      </c>
      <c r="D5" s="102">
        <f>IF(Calculation!$F$7=Worksheet!C5,IF(Calculation!$F$6=72,Worksheet!C92,IF(Calculation!$F$6=73,Worksheet!C95,IF(Calculation!$F$6=74,Worksheet!C98,IF(Calculation!$F$6=75,Worksheet!C101,IF(Calculation!$F$6=76,Worksheet!C104,IF(Calculation!$F$6=77,Worksheet!C107,Worksheet!C110)))))),0)</f>
        <v>0</v>
      </c>
      <c r="E5" s="102">
        <f>IF(Calculation!$F$7=Worksheet!C5,IF(Calculation!$F$6=72,Worksheet!O92,IF(Calculation!$F$6=73,Worksheet!O95,IF(Calculation!$F$6=74,Worksheet!O98,IF(Calculation!$F$6=75,Worksheet!O101,IF(Calculation!$F$6=76,Worksheet!O104,IF(Calculation!$F$6=77,Worksheet!O107,Worksheet!O110)))))),0)</f>
        <v>0</v>
      </c>
      <c r="F5" s="905"/>
      <c r="G5" s="906"/>
      <c r="J5" s="141"/>
      <c r="K5" s="143">
        <f>Calculation!R22*0.7*(Calculation!BQ8-Calculation!F8)</f>
        <v>0</v>
      </c>
      <c r="L5" s="142" t="s">
        <v>9</v>
      </c>
      <c r="N5" s="104"/>
      <c r="O5" s="183"/>
      <c r="P5" s="14"/>
      <c r="Q5" s="14"/>
      <c r="R5" s="14" t="s">
        <v>42</v>
      </c>
      <c r="S5" s="452" t="s">
        <v>45</v>
      </c>
      <c r="T5" s="14"/>
      <c r="U5" s="184"/>
      <c r="V5" s="184"/>
      <c r="W5" s="184"/>
      <c r="X5" s="184"/>
      <c r="Y5" s="184"/>
      <c r="Z5" s="184"/>
      <c r="AP5" s="181"/>
      <c r="AQ5" s="99"/>
      <c r="AR5" s="170"/>
      <c r="AS5" s="170"/>
      <c r="AT5" s="170"/>
      <c r="AU5" s="170"/>
      <c r="AV5" s="178"/>
      <c r="AW5" s="170"/>
      <c r="AX5" s="178"/>
      <c r="AY5" s="168"/>
      <c r="AZ5" s="168"/>
      <c r="BA5" s="179"/>
      <c r="BB5" s="168"/>
      <c r="BC5" s="168"/>
      <c r="BD5" s="181"/>
      <c r="BE5" s="168"/>
      <c r="BF5" s="170"/>
      <c r="BG5" s="170"/>
      <c r="BH5" s="170"/>
      <c r="BI5" s="170"/>
    </row>
    <row r="6" spans="1:61">
      <c r="C6" s="106" t="s">
        <v>7</v>
      </c>
      <c r="D6" s="107">
        <f>MAX(D3:D5)</f>
        <v>0</v>
      </c>
      <c r="E6" s="107">
        <f>SUM(E3:E5)</f>
        <v>0</v>
      </c>
      <c r="F6" s="104"/>
      <c r="G6" s="105"/>
      <c r="J6" s="892"/>
      <c r="K6" s="893"/>
      <c r="L6" s="894"/>
      <c r="N6" s="104"/>
      <c r="O6" s="4"/>
      <c r="P6" s="14"/>
      <c r="Q6" s="14"/>
      <c r="R6" s="14" t="s">
        <v>30</v>
      </c>
      <c r="S6" s="452" t="s">
        <v>44</v>
      </c>
      <c r="T6" s="14"/>
      <c r="U6" s="184"/>
      <c r="V6" s="184"/>
      <c r="W6" s="184"/>
      <c r="X6" s="184"/>
      <c r="Y6" s="184"/>
      <c r="Z6" s="184"/>
      <c r="AP6" s="181"/>
      <c r="AQ6" s="99"/>
      <c r="AR6" s="170"/>
      <c r="AS6" s="170"/>
      <c r="AT6" s="170"/>
      <c r="AU6" s="170"/>
      <c r="AV6" s="178"/>
      <c r="AW6" s="170"/>
      <c r="AX6" s="178"/>
      <c r="AY6" s="168"/>
      <c r="AZ6" s="168"/>
      <c r="BA6" s="179"/>
      <c r="BB6" s="168"/>
      <c r="BC6" s="168"/>
      <c r="BD6" s="181"/>
      <c r="BE6" s="182"/>
      <c r="BF6" s="182"/>
      <c r="BG6" s="182"/>
      <c r="BH6" s="182"/>
      <c r="BI6" s="182"/>
    </row>
    <row r="7" spans="1:61" ht="15" customHeight="1">
      <c r="C7" s="130"/>
      <c r="F7" s="4"/>
      <c r="G7" s="7"/>
      <c r="H7" s="7"/>
      <c r="I7" s="7"/>
      <c r="J7" s="109" t="s">
        <v>59</v>
      </c>
      <c r="K7" s="63">
        <f>(Calculation!R22/MAX(Worksheet!O38:Y45))^2</f>
        <v>0</v>
      </c>
      <c r="L7" s="27" t="s">
        <v>2</v>
      </c>
      <c r="N7" s="188"/>
      <c r="O7" s="183"/>
      <c r="P7" s="14"/>
      <c r="Q7" s="14"/>
      <c r="R7" s="14" t="s">
        <v>3</v>
      </c>
      <c r="S7" s="452" t="s">
        <v>44</v>
      </c>
      <c r="T7" s="14"/>
      <c r="U7" s="184"/>
      <c r="V7" s="184"/>
      <c r="W7" s="184"/>
      <c r="X7" s="184"/>
      <c r="Y7" s="184"/>
      <c r="Z7" s="184"/>
      <c r="AP7" s="181"/>
      <c r="AQ7" s="99"/>
      <c r="AR7" s="170"/>
      <c r="AS7" s="170"/>
      <c r="AT7" s="170"/>
      <c r="AU7" s="170"/>
      <c r="AV7" s="180"/>
      <c r="AW7" s="170"/>
      <c r="AX7" s="178"/>
      <c r="AY7" s="168"/>
      <c r="AZ7" s="168"/>
      <c r="BA7" s="179"/>
      <c r="BB7" s="168"/>
      <c r="BC7" s="168"/>
      <c r="BD7" s="181"/>
      <c r="BE7" s="168"/>
      <c r="BF7" s="170"/>
      <c r="BG7" s="170"/>
      <c r="BH7" s="170"/>
      <c r="BI7" s="170"/>
    </row>
    <row r="8" spans="1:61" ht="15" customHeight="1">
      <c r="F8" s="4"/>
      <c r="G8" s="902"/>
      <c r="H8" s="902"/>
      <c r="I8" s="902"/>
      <c r="J8" s="109" t="s">
        <v>57</v>
      </c>
      <c r="K8" s="14">
        <f>IF(Calculation!$S$22=4,Calculation!$R$22/0.0873,IF(Calculation!$S$22=5,Calculation!$R$22/0.136,IF(Calculation!$S$22=6,Calculation!$R$22/0.197,IF(Calculation!$S$22=8,Calculation!$R$22/0.35,Calculation!$R$22/0.4147))))</f>
        <v>0</v>
      </c>
      <c r="L8" s="27" t="s">
        <v>53</v>
      </c>
      <c r="N8" s="188"/>
      <c r="O8" s="4"/>
      <c r="P8" s="14"/>
      <c r="Q8" s="14"/>
      <c r="R8" s="14" t="s">
        <v>32</v>
      </c>
      <c r="S8" s="452" t="s">
        <v>50</v>
      </c>
      <c r="T8" s="14"/>
      <c r="U8" s="184"/>
      <c r="V8" s="184"/>
      <c r="W8" s="184"/>
      <c r="X8" s="184"/>
      <c r="Y8" s="184"/>
      <c r="Z8" s="184"/>
      <c r="AP8" s="181"/>
      <c r="AQ8" s="99"/>
      <c r="AR8" s="170"/>
      <c r="AS8" s="170"/>
      <c r="AT8" s="170"/>
      <c r="BG8" s="170"/>
      <c r="BH8" s="170"/>
      <c r="BI8" s="170"/>
    </row>
    <row r="9" spans="1:61" ht="15" customHeight="1">
      <c r="A9" s="910"/>
      <c r="B9" s="910"/>
      <c r="C9" s="910"/>
      <c r="D9" s="910"/>
      <c r="E9" s="910"/>
      <c r="G9" s="895"/>
      <c r="H9" s="896"/>
      <c r="J9" s="109" t="s">
        <v>58</v>
      </c>
      <c r="K9" s="63">
        <f>(K8/11000)^2</f>
        <v>0</v>
      </c>
      <c r="L9" s="27" t="s">
        <v>2</v>
      </c>
      <c r="N9" s="188"/>
      <c r="O9" s="4"/>
      <c r="P9" s="14"/>
      <c r="Q9" s="14"/>
      <c r="R9" s="14" t="s">
        <v>35</v>
      </c>
      <c r="S9" s="452" t="s">
        <v>45</v>
      </c>
      <c r="T9" s="14"/>
      <c r="U9" s="184"/>
      <c r="V9" s="184"/>
      <c r="W9" s="184"/>
      <c r="X9" s="184"/>
      <c r="Y9" s="184"/>
      <c r="Z9" s="184"/>
      <c r="AP9" s="181"/>
      <c r="AQ9" s="99"/>
      <c r="AR9" s="170"/>
      <c r="AS9" s="170"/>
      <c r="AT9" s="170"/>
      <c r="BG9" s="170"/>
      <c r="BH9" s="170"/>
      <c r="BI9" s="170"/>
    </row>
    <row r="10" spans="1:61" ht="15" customHeight="1">
      <c r="A10" s="900" t="s">
        <v>8</v>
      </c>
      <c r="B10" s="901"/>
      <c r="C10" s="901"/>
      <c r="D10" s="83">
        <f>MAX(P3:Z8)</f>
        <v>0</v>
      </c>
      <c r="E10" s="84" t="s">
        <v>9</v>
      </c>
      <c r="G10" s="139" t="s">
        <v>18</v>
      </c>
      <c r="H10" s="138">
        <v>7.4999999999999997E-2</v>
      </c>
      <c r="J10" s="109" t="s">
        <v>60</v>
      </c>
      <c r="K10" s="63">
        <f>K7+K9</f>
        <v>0</v>
      </c>
      <c r="L10" s="27" t="s">
        <v>2</v>
      </c>
      <c r="N10" s="188"/>
      <c r="O10" s="4"/>
      <c r="P10" s="14"/>
      <c r="Q10" s="14"/>
      <c r="R10" s="14" t="s">
        <v>33</v>
      </c>
      <c r="S10" s="452" t="s">
        <v>460</v>
      </c>
      <c r="T10" s="14"/>
      <c r="U10" s="184"/>
      <c r="V10" s="184"/>
      <c r="W10" s="184"/>
      <c r="X10" s="184"/>
      <c r="Y10" s="184"/>
      <c r="Z10" s="184"/>
      <c r="AP10" s="181"/>
      <c r="AQ10" s="99"/>
      <c r="AR10" s="170"/>
      <c r="AS10" s="170"/>
      <c r="AT10" s="170"/>
      <c r="BG10" s="182"/>
      <c r="BH10" s="182"/>
      <c r="BI10" s="182"/>
    </row>
    <row r="11" spans="1:61" ht="15" customHeight="1">
      <c r="A11" s="875" t="s">
        <v>10</v>
      </c>
      <c r="B11" s="876"/>
      <c r="C11" s="876"/>
      <c r="D11" s="10">
        <f>I51</f>
        <v>0</v>
      </c>
      <c r="E11" s="11"/>
      <c r="G11" s="33">
        <f>Calculation!S13</f>
        <v>0</v>
      </c>
      <c r="H11" s="34">
        <f>H10/(1.0379^(G11/1000))</f>
        <v>7.4999999999999997E-2</v>
      </c>
      <c r="J11" s="28" t="s">
        <v>56</v>
      </c>
      <c r="K11" s="18" t="e">
        <f>IF(ROUND(#REF!*LOG(K8)+#REF!*LOG(MAX(O33:X33)+#REF!*LOG(Calculation!$R$22)+#REF!), 0)&lt;15,"&lt;15",(ROUND(#REF!*LOG(K8)+#REF!*LOG(MAX(O33:X33))+#REF!*LOG(Calculation!$R$22)+#REF!, 0)))</f>
        <v>#REF!</v>
      </c>
      <c r="L11" s="29"/>
      <c r="N11" s="104"/>
      <c r="O11" s="4"/>
      <c r="P11" s="14"/>
      <c r="Q11" s="14"/>
      <c r="R11" s="14" t="s">
        <v>41</v>
      </c>
      <c r="S11" s="452" t="s">
        <v>45</v>
      </c>
      <c r="T11" s="14"/>
      <c r="U11" s="184"/>
      <c r="V11" s="184"/>
      <c r="W11" s="184"/>
      <c r="X11" s="184"/>
      <c r="Y11" s="184"/>
      <c r="Z11" s="184"/>
      <c r="AP11" s="181"/>
      <c r="AQ11" s="99"/>
      <c r="AR11" s="170"/>
      <c r="AS11" s="170"/>
      <c r="AT11" s="170"/>
      <c r="BG11" s="170"/>
      <c r="BH11" s="170"/>
      <c r="BI11" s="170"/>
    </row>
    <row r="12" spans="1:61" ht="15" customHeight="1">
      <c r="A12" s="875" t="s">
        <v>12</v>
      </c>
      <c r="B12" s="876"/>
      <c r="C12" s="876"/>
      <c r="D12" s="12">
        <f>D10*D11</f>
        <v>0</v>
      </c>
      <c r="E12" s="9" t="s">
        <v>9</v>
      </c>
      <c r="G12" s="135" t="s">
        <v>114</v>
      </c>
      <c r="H12" s="136">
        <f>H11/H10</f>
        <v>1</v>
      </c>
      <c r="K12" s="4"/>
      <c r="N12" s="104"/>
      <c r="O12" s="183"/>
      <c r="P12" s="14"/>
      <c r="Q12" s="14"/>
      <c r="R12" s="185" t="s">
        <v>531</v>
      </c>
      <c r="S12" s="452" t="s">
        <v>44</v>
      </c>
      <c r="T12" s="14"/>
      <c r="U12" s="184"/>
      <c r="V12" s="184"/>
      <c r="W12" s="184"/>
      <c r="X12" s="184"/>
      <c r="Y12" s="184"/>
      <c r="Z12" s="184"/>
      <c r="AP12" s="181"/>
      <c r="AQ12" s="99"/>
      <c r="AR12" s="170"/>
      <c r="AS12" s="170"/>
      <c r="AT12" s="7"/>
      <c r="BG12" s="170"/>
      <c r="BH12" s="170"/>
      <c r="BI12" s="170"/>
    </row>
    <row r="13" spans="1:61" ht="15" customHeight="1">
      <c r="A13" s="908" t="s">
        <v>13</v>
      </c>
      <c r="B13" s="909"/>
      <c r="C13" s="909"/>
      <c r="D13" s="3">
        <f>MAX(P9:Z14)</f>
        <v>0</v>
      </c>
      <c r="E13" s="16" t="s">
        <v>9</v>
      </c>
      <c r="F13" s="86"/>
      <c r="G13" s="35" t="s">
        <v>115</v>
      </c>
      <c r="H13" s="137">
        <f>H12^0.68</f>
        <v>1</v>
      </c>
      <c r="K13" s="48"/>
      <c r="L13" s="47"/>
      <c r="N13" s="104"/>
      <c r="O13" s="4"/>
      <c r="P13" s="14"/>
      <c r="Q13" s="14"/>
      <c r="R13" s="14" t="s">
        <v>530</v>
      </c>
      <c r="S13" s="452" t="s">
        <v>44</v>
      </c>
      <c r="T13" s="14"/>
      <c r="U13" s="184"/>
      <c r="V13" s="184"/>
      <c r="W13" s="184"/>
      <c r="X13" s="184"/>
      <c r="Y13" s="184"/>
      <c r="Z13" s="184"/>
      <c r="AP13" s="181"/>
      <c r="AQ13" s="99"/>
      <c r="AR13" s="170"/>
      <c r="AS13" s="170"/>
      <c r="AT13" s="7"/>
      <c r="BG13" s="170"/>
      <c r="BH13" s="170"/>
      <c r="BI13" s="170"/>
    </row>
    <row r="14" spans="1:61" ht="15" customHeight="1">
      <c r="A14" s="908" t="s">
        <v>14</v>
      </c>
      <c r="B14" s="909"/>
      <c r="C14" s="909"/>
      <c r="D14" s="17">
        <f>I52</f>
        <v>0</v>
      </c>
      <c r="E14" s="16"/>
      <c r="F14" s="91"/>
      <c r="I14" s="220"/>
      <c r="J14" s="221"/>
      <c r="K14" s="103"/>
      <c r="L14" s="103"/>
      <c r="N14" s="104"/>
      <c r="O14" s="183"/>
      <c r="P14" s="14"/>
      <c r="Q14" s="14"/>
      <c r="R14" s="14" t="s">
        <v>31</v>
      </c>
      <c r="S14" s="452" t="s">
        <v>44</v>
      </c>
      <c r="T14" s="14"/>
      <c r="U14" s="186"/>
      <c r="V14" s="186"/>
      <c r="W14" s="186"/>
      <c r="X14" s="186"/>
      <c r="Y14" s="184"/>
      <c r="Z14" s="184"/>
      <c r="AP14" s="181"/>
      <c r="AQ14" s="99"/>
      <c r="AR14" s="170"/>
      <c r="AS14" s="170"/>
      <c r="AT14" s="7"/>
      <c r="BG14" s="182"/>
      <c r="BH14" s="182"/>
      <c r="BI14" s="182"/>
    </row>
    <row r="15" spans="1:61" ht="15" customHeight="1">
      <c r="A15" s="925" t="s">
        <v>15</v>
      </c>
      <c r="B15" s="926"/>
      <c r="C15" s="926"/>
      <c r="D15" s="20">
        <f>D13*D14</f>
        <v>0</v>
      </c>
      <c r="E15" s="21" t="s">
        <v>9</v>
      </c>
      <c r="F15" s="31"/>
      <c r="I15" s="222">
        <f>SQRT(H10/H11)</f>
        <v>1</v>
      </c>
      <c r="J15" s="223"/>
      <c r="K15" s="36"/>
      <c r="L15" s="44"/>
      <c r="N15" s="189"/>
      <c r="O15" s="189"/>
      <c r="P15" s="189"/>
      <c r="Q15" s="189"/>
      <c r="R15" s="189"/>
      <c r="S15" s="189"/>
      <c r="T15" s="189"/>
      <c r="U15" s="189"/>
      <c r="V15" s="189"/>
      <c r="W15" s="189"/>
      <c r="X15" s="189"/>
      <c r="Y15" s="189"/>
      <c r="Z15" s="189"/>
      <c r="AP15" s="181"/>
      <c r="AQ15" s="99"/>
      <c r="AR15" s="7"/>
      <c r="AS15" s="7"/>
      <c r="AT15" s="7"/>
      <c r="BG15" s="170"/>
      <c r="BH15" s="170"/>
      <c r="BI15" s="170"/>
    </row>
    <row r="16" spans="1:61" ht="15" customHeight="1">
      <c r="A16" s="71"/>
      <c r="B16" s="71"/>
      <c r="C16" s="71"/>
      <c r="D16" s="19"/>
      <c r="E16" s="68"/>
      <c r="F16" s="7"/>
      <c r="G16" s="7"/>
      <c r="H16" s="7"/>
      <c r="I16" s="7"/>
      <c r="J16" s="7"/>
      <c r="K16" s="36"/>
      <c r="L16" s="44"/>
      <c r="N16" s="189"/>
      <c r="O16" s="189"/>
      <c r="P16" s="189"/>
      <c r="Q16" s="189"/>
      <c r="R16" s="189"/>
      <c r="S16" s="189"/>
      <c r="T16" s="189"/>
      <c r="U16" s="189"/>
      <c r="V16" s="189"/>
      <c r="W16" s="189"/>
      <c r="X16" s="189"/>
      <c r="Y16" s="189"/>
      <c r="Z16" s="189"/>
      <c r="AP16" s="181"/>
      <c r="AQ16" s="99"/>
      <c r="AR16" s="7"/>
      <c r="AS16" s="7"/>
      <c r="AT16" s="7"/>
      <c r="BG16" s="170"/>
      <c r="BH16" s="170"/>
      <c r="BI16" s="170"/>
    </row>
    <row r="17" spans="1:61">
      <c r="A17" s="919"/>
      <c r="B17" s="920"/>
      <c r="C17" s="920"/>
      <c r="D17" s="921"/>
      <c r="E17" s="68"/>
      <c r="F17" s="916" t="s">
        <v>20</v>
      </c>
      <c r="G17" s="917"/>
      <c r="H17" s="917"/>
      <c r="I17" s="918"/>
      <c r="J17" s="7"/>
      <c r="K17" s="36"/>
      <c r="L17" s="14"/>
      <c r="AP17" s="181"/>
      <c r="AQ17" s="99"/>
      <c r="AR17" s="7"/>
      <c r="AS17" s="7"/>
      <c r="AT17" s="7"/>
      <c r="BG17" s="170"/>
      <c r="BH17" s="170"/>
      <c r="BI17" s="170"/>
    </row>
    <row r="18" spans="1:61" ht="15.6">
      <c r="A18" s="885"/>
      <c r="B18" s="886"/>
      <c r="C18" s="38"/>
      <c r="D18" s="39"/>
      <c r="E18" s="7"/>
      <c r="F18" s="26" t="s">
        <v>21</v>
      </c>
      <c r="G18" s="31">
        <f>Z82</f>
        <v>0</v>
      </c>
      <c r="H18" s="45" t="s">
        <v>22</v>
      </c>
      <c r="I18" s="15" t="e">
        <f>D12/(500*Calculation!T22)</f>
        <v>#DIV/0!</v>
      </c>
      <c r="J18" s="7"/>
      <c r="N18" s="50"/>
      <c r="O18" s="50"/>
      <c r="P18" s="50"/>
      <c r="Q18" s="50"/>
      <c r="R18" s="50"/>
      <c r="S18" s="50"/>
      <c r="T18" s="154"/>
      <c r="U18" s="50"/>
      <c r="V18" s="50"/>
      <c r="W18" s="50"/>
      <c r="X18" s="50"/>
      <c r="AP18" s="181"/>
      <c r="AQ18" s="99"/>
      <c r="AR18" s="7"/>
      <c r="AS18" s="7"/>
      <c r="AT18" s="7"/>
      <c r="BG18" s="182"/>
      <c r="BH18" s="182"/>
      <c r="BI18" s="182"/>
    </row>
    <row r="19" spans="1:61" ht="15.6">
      <c r="A19" s="877" t="s">
        <v>37</v>
      </c>
      <c r="B19" s="878"/>
      <c r="C19" s="62">
        <v>0</v>
      </c>
      <c r="D19" s="49">
        <f>IF(Calculation!O8="None",1,0)</f>
        <v>1</v>
      </c>
      <c r="E19" s="7"/>
      <c r="F19" s="28" t="s">
        <v>23</v>
      </c>
      <c r="G19" s="41">
        <f>Z83</f>
        <v>0</v>
      </c>
      <c r="H19" s="46" t="s">
        <v>24</v>
      </c>
      <c r="I19" s="42" t="e">
        <f>D15/(500*Calculation!U22)</f>
        <v>#DIV/0!</v>
      </c>
      <c r="J19" s="7"/>
      <c r="N19" s="87"/>
      <c r="O19" s="87"/>
      <c r="P19" s="87"/>
      <c r="Q19" s="87"/>
      <c r="R19" s="87"/>
      <c r="S19" s="87"/>
      <c r="T19" s="87"/>
      <c r="U19" s="87"/>
      <c r="V19" s="87"/>
      <c r="W19" s="87"/>
      <c r="X19" s="31"/>
      <c r="AP19" s="181"/>
      <c r="AQ19" s="99"/>
      <c r="AR19" s="4"/>
      <c r="AS19" s="4"/>
      <c r="AT19" s="7"/>
      <c r="BG19" s="170"/>
      <c r="BH19" s="170"/>
      <c r="BI19" s="170"/>
    </row>
    <row r="20" spans="1:61">
      <c r="A20" s="879" t="s">
        <v>39</v>
      </c>
      <c r="B20" s="880"/>
      <c r="C20" s="31">
        <f>IF(Calculation!O8=A20,Calculation!S8/100,0)</f>
        <v>0</v>
      </c>
      <c r="D20" s="15">
        <f>IF(Calculation!O8=Worksheet!A20,(1-(C20/0.5)*0.1054),0)</f>
        <v>0</v>
      </c>
      <c r="F20" s="45"/>
      <c r="G20" s="31"/>
      <c r="H20" s="45"/>
      <c r="I20" s="31"/>
      <c r="J20" s="22"/>
      <c r="N20" s="87"/>
      <c r="O20" s="87"/>
      <c r="P20" s="87"/>
      <c r="Q20" s="87"/>
      <c r="R20" s="87"/>
      <c r="S20" s="87"/>
      <c r="T20" s="87"/>
      <c r="U20" s="87"/>
      <c r="V20" s="50"/>
      <c r="W20" s="50"/>
      <c r="X20" s="31"/>
      <c r="AP20" s="181"/>
      <c r="AQ20" s="99"/>
      <c r="AR20" s="4"/>
      <c r="AS20" s="4"/>
      <c r="AT20" s="7"/>
      <c r="BG20" s="170"/>
      <c r="BH20" s="170"/>
      <c r="BI20" s="170"/>
    </row>
    <row r="21" spans="1:61">
      <c r="A21" s="881" t="s">
        <v>38</v>
      </c>
      <c r="B21" s="882"/>
      <c r="C21" s="41">
        <f>IF(Calculation!O8=Worksheet!A21,Calculation!S8/100,0)</f>
        <v>0</v>
      </c>
      <c r="D21" s="42">
        <f>IF(Calculation!O8=Worksheet!A21,(1-(C21/0.5)*0.1596),0)</f>
        <v>0</v>
      </c>
      <c r="I21" s="23"/>
      <c r="J21" s="24"/>
      <c r="N21" s="87"/>
      <c r="O21" s="87"/>
      <c r="P21" s="87"/>
      <c r="Q21" s="87"/>
      <c r="R21" s="87"/>
      <c r="S21" s="87"/>
      <c r="T21" s="87"/>
      <c r="U21" s="87"/>
      <c r="V21" s="50"/>
      <c r="W21" s="50"/>
      <c r="X21" s="31"/>
      <c r="AP21" s="181"/>
      <c r="AQ21" s="99"/>
      <c r="AR21" s="4"/>
      <c r="AS21" s="4"/>
      <c r="AT21" s="7"/>
      <c r="BG21" s="170"/>
      <c r="BH21" s="170"/>
      <c r="BI21" s="170"/>
    </row>
    <row r="22" spans="1:61">
      <c r="I22" s="23"/>
      <c r="J22" s="25"/>
      <c r="N22" s="87"/>
      <c r="O22" s="187"/>
      <c r="P22" s="87"/>
      <c r="Q22" s="87"/>
      <c r="R22" s="87"/>
      <c r="S22" s="87"/>
      <c r="T22" s="87"/>
      <c r="U22" s="87"/>
      <c r="V22" s="50"/>
      <c r="W22" s="50"/>
      <c r="X22" s="31"/>
      <c r="AP22" s="181"/>
      <c r="AQ22" s="99"/>
      <c r="AR22" s="4"/>
      <c r="AS22" s="4"/>
      <c r="AT22" s="7"/>
      <c r="BG22" s="182"/>
      <c r="BH22" s="182"/>
      <c r="BI22" s="182"/>
    </row>
    <row r="23" spans="1:61">
      <c r="A23" s="23"/>
      <c r="B23" s="23"/>
      <c r="C23" s="23"/>
      <c r="D23" s="23"/>
      <c r="F23" s="97"/>
      <c r="G23" s="4"/>
      <c r="H23" s="97"/>
      <c r="I23" s="4"/>
      <c r="J23" s="97"/>
      <c r="N23" s="87"/>
      <c r="O23" s="187"/>
      <c r="P23" s="187"/>
      <c r="Q23" s="87"/>
      <c r="R23" s="87"/>
      <c r="S23" s="87"/>
      <c r="U23" s="87"/>
      <c r="V23" s="50"/>
      <c r="W23" s="50"/>
      <c r="X23" s="31"/>
      <c r="AP23" s="181"/>
      <c r="AQ23" s="99"/>
      <c r="AR23" s="7"/>
      <c r="AS23" s="7"/>
      <c r="AT23" s="7"/>
      <c r="BG23" s="170"/>
      <c r="BH23" s="170"/>
      <c r="BI23" s="170"/>
    </row>
    <row r="24" spans="1:61">
      <c r="A24" s="36"/>
      <c r="B24" s="30"/>
      <c r="E24" s="4"/>
      <c r="F24" s="44"/>
      <c r="G24" s="7"/>
      <c r="H24" s="44"/>
      <c r="I24" s="7"/>
      <c r="J24" s="44"/>
      <c r="N24" s="87"/>
      <c r="V24" s="50"/>
      <c r="W24" s="50"/>
      <c r="X24" s="31"/>
      <c r="AP24" s="181"/>
      <c r="AQ24" s="99"/>
      <c r="AR24" s="7"/>
      <c r="AS24" s="7"/>
      <c r="AT24" s="7"/>
      <c r="BG24" s="170"/>
      <c r="BH24" s="170"/>
      <c r="BI24" s="170"/>
    </row>
    <row r="25" spans="1:61">
      <c r="A25" s="95"/>
      <c r="B25" s="94"/>
      <c r="E25" s="4"/>
      <c r="F25" s="44"/>
      <c r="G25" s="7"/>
      <c r="H25" s="44"/>
      <c r="I25" s="7"/>
      <c r="J25" s="44"/>
      <c r="K25" s="7"/>
      <c r="L25" s="30"/>
      <c r="N25" s="87"/>
      <c r="V25" s="50"/>
      <c r="W25" s="50"/>
      <c r="X25" s="31"/>
      <c r="AP25" s="181"/>
      <c r="AQ25" s="99"/>
      <c r="AR25" s="7"/>
      <c r="AS25" s="7"/>
      <c r="AT25" s="7"/>
      <c r="BG25" s="170"/>
      <c r="BH25" s="170"/>
      <c r="BI25" s="170"/>
    </row>
    <row r="26" spans="1:61">
      <c r="A26" s="95"/>
      <c r="B26" s="94"/>
      <c r="E26" s="4"/>
      <c r="F26" s="44"/>
      <c r="G26" s="98"/>
      <c r="H26" s="44"/>
      <c r="I26" s="7"/>
      <c r="J26" s="44"/>
      <c r="K26" s="7"/>
      <c r="L26" s="30"/>
      <c r="M26" s="31"/>
      <c r="N26" s="87"/>
      <c r="V26" s="50"/>
      <c r="W26" s="50"/>
      <c r="X26" s="31"/>
      <c r="AP26" s="181"/>
      <c r="AQ26" s="99"/>
      <c r="AR26" s="7"/>
      <c r="AS26" s="7"/>
      <c r="AT26" s="7"/>
      <c r="BG26" s="182"/>
      <c r="BH26" s="182"/>
      <c r="BI26" s="182"/>
    </row>
    <row r="27" spans="1:61">
      <c r="A27" s="36"/>
      <c r="B27" s="31"/>
      <c r="K27" s="30"/>
      <c r="N27" s="87"/>
      <c r="V27" s="50"/>
      <c r="W27" s="50"/>
      <c r="X27" s="31"/>
      <c r="AP27" s="181"/>
      <c r="AQ27" s="99"/>
      <c r="AR27" s="7"/>
      <c r="AS27" s="7"/>
      <c r="AT27" s="7"/>
      <c r="BG27" s="170"/>
      <c r="BH27" s="170"/>
      <c r="BI27" s="170"/>
    </row>
    <row r="28" spans="1:61">
      <c r="A28" s="96"/>
      <c r="B28" s="80"/>
      <c r="E28" s="58"/>
      <c r="F28" s="59"/>
      <c r="G28" s="59"/>
      <c r="H28" s="60"/>
      <c r="J28" s="4"/>
      <c r="K28" s="4"/>
      <c r="L28" s="4"/>
      <c r="AP28" s="181"/>
      <c r="AQ28" s="99"/>
      <c r="AR28" s="7"/>
      <c r="AS28" s="7"/>
      <c r="AT28" s="7"/>
      <c r="BG28" s="170"/>
      <c r="BH28" s="170"/>
      <c r="BI28" s="170"/>
    </row>
    <row r="29" spans="1:61">
      <c r="A29" s="36"/>
      <c r="B29" s="31"/>
      <c r="E29" s="13">
        <f>4</f>
        <v>4</v>
      </c>
      <c r="F29" s="50">
        <v>8.6999999999999994E-2</v>
      </c>
      <c r="G29" s="56">
        <f>H29/F29</f>
        <v>689.65517241379314</v>
      </c>
      <c r="H29" s="11">
        <v>60</v>
      </c>
      <c r="J29" s="4"/>
      <c r="K29" s="4"/>
      <c r="L29" s="4"/>
      <c r="N29" s="911"/>
      <c r="O29" s="912"/>
      <c r="P29" s="912"/>
      <c r="Q29" s="912"/>
      <c r="R29" s="912"/>
      <c r="S29" s="912"/>
      <c r="T29" s="912"/>
      <c r="U29" s="912"/>
      <c r="V29" s="912"/>
      <c r="W29" s="912"/>
      <c r="X29" s="913"/>
      <c r="AS29" s="7"/>
      <c r="AT29" s="7"/>
      <c r="BG29" s="170"/>
      <c r="BH29" s="170"/>
      <c r="BI29" s="170"/>
    </row>
    <row r="30" spans="1:61">
      <c r="A30" s="36"/>
      <c r="B30" s="31"/>
      <c r="E30" s="13">
        <v>5</v>
      </c>
      <c r="F30" s="50">
        <v>0.13600000000000001</v>
      </c>
      <c r="G30" s="56">
        <f>H30/F30</f>
        <v>661.76470588235293</v>
      </c>
      <c r="H30" s="11">
        <v>90</v>
      </c>
      <c r="J30" s="4"/>
      <c r="K30" s="4"/>
      <c r="L30" s="4"/>
      <c r="N30" s="90"/>
      <c r="O30" s="75" t="s">
        <v>36</v>
      </c>
      <c r="P30" s="75" t="s">
        <v>32</v>
      </c>
      <c r="Q30" s="75" t="s">
        <v>31</v>
      </c>
      <c r="R30" s="75" t="s">
        <v>33</v>
      </c>
      <c r="S30" s="75" t="s">
        <v>34</v>
      </c>
      <c r="T30" s="75" t="s">
        <v>42</v>
      </c>
      <c r="U30" s="76" t="s">
        <v>35</v>
      </c>
      <c r="V30" s="75" t="s">
        <v>41</v>
      </c>
      <c r="W30" s="75" t="s">
        <v>30</v>
      </c>
      <c r="X30" s="75" t="s">
        <v>47</v>
      </c>
      <c r="AS30" s="7"/>
      <c r="AT30" s="7"/>
      <c r="BG30" s="182"/>
      <c r="BH30" s="182"/>
      <c r="BI30" s="182"/>
    </row>
    <row r="31" spans="1:61">
      <c r="A31" s="36"/>
      <c r="B31" s="31"/>
      <c r="C31" s="37"/>
      <c r="E31" s="13">
        <v>6</v>
      </c>
      <c r="F31" s="50">
        <v>0.19700000000000001</v>
      </c>
      <c r="G31" s="56">
        <f>H31/F31</f>
        <v>659.89847715736039</v>
      </c>
      <c r="H31" s="11">
        <v>130</v>
      </c>
      <c r="J31" s="4"/>
      <c r="K31" s="4"/>
      <c r="L31" s="4"/>
      <c r="N31" s="88" t="s">
        <v>48</v>
      </c>
      <c r="O31" s="87">
        <f>IF(SUM(P31:X31)&gt;0,0,IF(Calculation!$N$22=Worksheet!C69,IF(Calculation!$M$22=2,42,IF(Calculation!$M$22=3,66,IF(Calculation!$M$22=4,90,IF(Calculation!$M$22=5,114,IF(Calculation!$M$22=6,138,IF(Calculation!$M$22=7,162,IF(Calculation!$M$22=8,186,IF(Calculation!$M$22=9,210,234)))))))),IF(Calculation!$M$22=2,21,IF(Calculation!$M$22=3,33,IF(Calculation!$M$22=4,45,IF(Calculation!$M$22=5,57,IF(Calculation!$M$22=6,69,IF(Calculation!$M$22=7,81,IF(Calculation!$M$22=8,93,IF(Calculation!$M$22=9,105,117))))))))))</f>
        <v>117</v>
      </c>
      <c r="P31" s="87">
        <f>IF(Calculation!$J$22=Worksheet!P30,IF(Calculation!M22=2,72,120),0)</f>
        <v>0</v>
      </c>
      <c r="Q31" s="87">
        <f>IF(Calculation!$J$22=Worksheet!Q30,IF(Calculation!$M$22=2,34,IF(Calculation!$M$22=4,82,IF(Calculation!$M$22=6,130,178))),0)</f>
        <v>0</v>
      </c>
      <c r="R31" s="87">
        <f>IF(Calculation!$J$22=Worksheet!R30,IF(Calculation!$M$22=2,21,IF(Calculation!$M$22=3,33,IF(Calculation!$M$22=4,43,69))),0)</f>
        <v>0</v>
      </c>
      <c r="S31" s="126">
        <f>IF(Calculation!$J$22=Worksheet!S30,IF(Calculation!$M$22=2,24,IF(Calculation!$M$22=3,36,IF(Calculation!$M$22=4,48,IF(Calculation!$M$22=5,60,72)))),0)</f>
        <v>0</v>
      </c>
      <c r="T31" s="126">
        <f>IF(Calculation!$J$22=Worksheet!T30,IF(Calculation!$M$22=2,24,IF(Calculation!$M$22=3,36,IF(Calculation!$M$22=4,48,IF(Calculation!$M$22=5,60,72)))),0)</f>
        <v>0</v>
      </c>
      <c r="U31" s="110">
        <f>IF(Calculation!$J$22=Worksheet!U30,IF(Calculation!$M$22=3,31,IF(Calculation!$M$22=4,43,IF(Calculation!$M$22=5,55,67))),0)</f>
        <v>0</v>
      </c>
      <c r="V31" s="110">
        <f>IF(Calculation!$J$22=Worksheet!V30,IF(Calculation!$M$22=2,19,IF(Calculation!$M$22=3,31,IF(Calculation!$M$22=4,43,IF(Calculation!$M$22=5,55,67)))),0)</f>
        <v>0</v>
      </c>
      <c r="W31" s="110">
        <f>IF(Calculation!$J$22=Worksheet!W30,IF(Calculation!$N$22=Worksheet!C69,IF(Calculation!$M$22=2,20,IF(Calculation!$M$22=3,34,IF(Calculation!$M$22=4,44,IF(Calculation!$M$22=5,54,IF(Calculation!$M$22=6,66,IF(Calculation!$M$22=7,76,IF(Calculation!$M$22=8,88,IF(Calculation!$M$22=9,100,112)))))))),IF(Calculation!$M$22=2,10,IF(Calculation!$M$22=3,17,IF(Calculation!$M$22=4,22,IF(Calculation!$M$22=5,27,IF(Calculation!$M$22=6,33,IF(Calculation!$M$22=7,38,IF(Calculation!$M$22=8,44,IF(Calculation!$M$22=9,50,56))))))))),0)</f>
        <v>0</v>
      </c>
      <c r="X31" s="127">
        <f>IF(Calculation!$J$22=Worksheet!X30,IF(Calculation!$N$22=Worksheet!C69,IF(Calculation!$M$22=2,20,IF(Calculation!$M$22=3,34,IF(Calculation!$M$22=4,44,IF(Calculation!$M$22=5,54,IF(Calculation!$M$22=6,66,IF(Calculation!$M$22=7,76,IF(Calculation!$M$22=8,88,IF(Calculation!$M$22=9,100,112)))))))),IF(Calculation!$M$22=2,10,IF(Calculation!$M$22=3,17,IF(Calculation!$M$22=4,22,IF(Calculation!$M$22=5,27,IF(Calculation!$M$22=6,33,IF(Calculation!$M$22=7,38,IF(Calculation!$M$22=8,44,IF(Calculation!$M$22=9,50,56))))))))),0)</f>
        <v>0</v>
      </c>
      <c r="AS31" s="7"/>
      <c r="AT31" s="7"/>
      <c r="BG31" s="170"/>
      <c r="BH31" s="170"/>
      <c r="BI31" s="170"/>
    </row>
    <row r="32" spans="1:61" ht="15">
      <c r="A32" s="36"/>
      <c r="B32" s="31"/>
      <c r="C32" s="37"/>
      <c r="E32" s="13">
        <v>8</v>
      </c>
      <c r="F32" s="50">
        <v>0.34499999999999997</v>
      </c>
      <c r="G32" s="56">
        <f>H32/F32</f>
        <v>666.66666666666674</v>
      </c>
      <c r="H32" s="11">
        <v>230</v>
      </c>
      <c r="I32" s="4"/>
      <c r="J32" s="30"/>
      <c r="K32" s="30"/>
      <c r="N32" s="88" t="s">
        <v>43</v>
      </c>
      <c r="O32" s="70">
        <f>IF(O31&gt;0,IF(Calculation!$P$22="M13",O31*3.1416*(0.134^2)/(4*144),IF(Calculation!$P$22="M17",O31*3.1416*(0.165^2)/(4*144),IF(Calculation!$P$22="M23",O31*3.1416*(0.228^2)/(4*144),O31*3.1416*(0.307^2)/(4*144)))),0)</f>
        <v>6.0143821237499999E-2</v>
      </c>
      <c r="P32" s="70">
        <f>IF(Calculation!$J$22=P30,IF(Calculation!$P$22="M13",P31*(0.134^2)/(4*144),IF(Calculation!$P$22="M17",P31*3.1416*(0.165^2)/(4*144),IF(Calculation!$P$22="M23",P31*3.1416*(0.228^2)/(4*144),P31*3.1416*(0.307^2)/(4*144)))),0)</f>
        <v>0</v>
      </c>
      <c r="Q32" s="70">
        <f>IF(Calculation!$J$22=Q30,IF(Calculation!$P$22="M13",Q31*(0.134^2)/(4*144),IF(Calculation!$P$22="M17",Q31*3.1416*(0.165^2)/(4*144),IF(Calculation!$P$22="M23",Q31*3.1416*(0.228^2)/(4*144),Q31*3.1416*(0.307^2)/(4*144)))),0)</f>
        <v>0</v>
      </c>
      <c r="R32" s="70">
        <f>IF(Calculation!$J$22=R30,IF(Calculation!$P$22="M13",R31*(0.134^2)/(4*144),IF(Calculation!$P$22="M17",R31*3.1416*(0.165^2)/(4*144),IF(Calculation!$P$22="M23",R31*3.1416*(0.228^2)/(4*144),R31*3.1416*(0.307^2)/(4*144)))),0)</f>
        <v>0</v>
      </c>
      <c r="S32" s="70">
        <f>IF(Calculation!$J$22=S30,IF(Calculation!$P$22="M13",S31*(0.134^2)/(4*144),IF(Calculation!$P$22="M17",S31*3.1416*(0.165^2)/(4*144),IF(Calculation!$P$22="M23",S31*3.1416*(0.228^2)/(4*144),S31*3.1416*(0.307^2)/(4*144)))),0)</f>
        <v>0</v>
      </c>
      <c r="T32" s="70">
        <f>IF(Calculation!$J$22=T30,IF(Calculation!$P$22="M13",T31*(0.134^2)/(4*144),IF(Calculation!$P$22="M17",T31*3.1416*(0.165^2)/(4*144),IF(Calculation!$P$22="M23",T31*3.1416*(0.228^2)/(4*144),T31*3.1416*(0.307^2)/(4*144)))),0)</f>
        <v>0</v>
      </c>
      <c r="U32" s="111">
        <f>IF(Calculation!$J$22=U30,IF(Calculation!$P$22="M13",U31*(0.134^2)/(4*144),IF(Calculation!$P$22="M17",U31*3.1416*(0.165^2)/(4*144),IF(Calculation!$P$22="M23",U31*3.1416*(0.228^2)/(4*144),U31*3.1416*(0.307^2)/(4*144)))),0)</f>
        <v>0</v>
      </c>
      <c r="V32" s="111">
        <f>IF(Calculation!$J$22=V30,IF(Calculation!$P$22="M13",V31*(0.134^2)/(4*144),IF(Calculation!$P$22="M17",V31*3.1416*(0.165^2)/(4*144),IF(Calculation!$P$22="M23",V31*3.1416*(0.228^2)/(4*144),V31*3.1416*(0.307^2)/(4*144)))),0)</f>
        <v>0</v>
      </c>
      <c r="W32" s="111">
        <f>IF(Calculation!$J$22=W30,IF(Calculation!$P$22="M13",W31*(0.134^2)/(4*144),IF(Calculation!$P$22="M17",W31*3.1416*(0.165^2)/(4*144),IF(Calculation!$P$22="M23",W31*3.1416*(0.228^2)/(4*144),W31*3.1416*(0.307^2)/(4*144)))),0)</f>
        <v>0</v>
      </c>
      <c r="X32" s="128">
        <f>IF(Calculation!$J$22=X30,IF(Calculation!$P$22="M13",X31*(0.134^2)/(4*144),IF(Calculation!$P$22="M17",X31*3.1416*(0.165^2)/(4*144),IF(Calculation!$P$22="M23",X31*3.1416*(0.228^2)/(4*144),X31*3.1416*(0.307^2)/(4*144)))),0)</f>
        <v>0</v>
      </c>
      <c r="AS32" s="7"/>
      <c r="AT32" s="7"/>
      <c r="BG32" s="170"/>
      <c r="BH32" s="170"/>
      <c r="BI32" s="170"/>
    </row>
    <row r="33" spans="1:61" ht="15">
      <c r="E33" s="6" t="s">
        <v>29</v>
      </c>
      <c r="F33" s="134">
        <v>0.41470000000000001</v>
      </c>
      <c r="G33" s="57">
        <f>H33/F33</f>
        <v>700</v>
      </c>
      <c r="H33" s="133">
        <f>F33*700</f>
        <v>290.29000000000002</v>
      </c>
      <c r="N33" s="88" t="s">
        <v>61</v>
      </c>
      <c r="O33" s="56">
        <f>IF(O31&gt;0,Calculation!$R$22/O32,0)</f>
        <v>0</v>
      </c>
      <c r="P33" s="56">
        <f>IF(P31&gt;0,Calculation!$R$22/P32,0)</f>
        <v>0</v>
      </c>
      <c r="Q33" s="56">
        <f>IF(Q31&gt;0,Calculation!$R$22/Q32,0)</f>
        <v>0</v>
      </c>
      <c r="R33" s="56">
        <f>IF(R31&gt;0,Calculation!#REF!/R32,0)</f>
        <v>0</v>
      </c>
      <c r="S33" s="56">
        <f>IF(S31&gt;0,Calculation!#REF!/S32,0)</f>
        <v>0</v>
      </c>
      <c r="T33" s="56">
        <f>IF(T31&gt;0,Calculation!#REF!/T32,0)</f>
        <v>0</v>
      </c>
      <c r="U33" s="112">
        <f>IF(U31&gt;0,Calculation!#REF!/U32,0)</f>
        <v>0</v>
      </c>
      <c r="V33" s="112">
        <f>IF(V31&gt;0,Calculation!#REF!/V32,0)</f>
        <v>0</v>
      </c>
      <c r="W33" s="112">
        <f>IF(W31&gt;0,Calculation!#REF!/W32,0)</f>
        <v>0</v>
      </c>
      <c r="X33" s="129">
        <f>IF(X31&gt;0,Calculation!#REF!/X32,0)</f>
        <v>0</v>
      </c>
      <c r="AS33" s="7"/>
      <c r="AT33" s="7"/>
      <c r="BG33" s="170"/>
      <c r="BH33" s="170"/>
      <c r="BI33" s="170"/>
    </row>
    <row r="34" spans="1:61" ht="15" customHeight="1">
      <c r="A34" s="887"/>
      <c r="B34" s="883"/>
      <c r="C34" s="887"/>
      <c r="N34" s="92" t="s">
        <v>52</v>
      </c>
      <c r="O34" s="93"/>
      <c r="P34" s="89" t="e">
        <f>IF(MAX(O33:X33)&lt;=1875,MAX(O33:X33)*#REF!+#REF!,IF(MAX(O33:X33)&lt;=2750,MAX(O33:X33)*#REF!+#REF!,MAX(O33:X33)*#REF!+#REF!))</f>
        <v>#REF!</v>
      </c>
      <c r="Q34" s="8"/>
      <c r="R34" s="8"/>
      <c r="S34" s="108" t="s">
        <v>51</v>
      </c>
      <c r="T34" s="108"/>
      <c r="U34" s="57">
        <f>1250*MAX(O32:X32)</f>
        <v>75.179776546875004</v>
      </c>
      <c r="V34" s="8"/>
      <c r="W34" s="8"/>
      <c r="X34" s="65"/>
      <c r="AS34" s="7"/>
      <c r="AT34" s="7"/>
      <c r="BG34" s="182"/>
      <c r="BH34" s="182"/>
      <c r="BI34" s="182"/>
    </row>
    <row r="35" spans="1:61">
      <c r="A35" s="887"/>
      <c r="B35" s="884"/>
      <c r="C35" s="887"/>
      <c r="AS35" s="7"/>
      <c r="AT35" s="7"/>
      <c r="BG35" s="170"/>
      <c r="BH35" s="170"/>
      <c r="BI35" s="170"/>
    </row>
    <row r="36" spans="1:61">
      <c r="A36" s="14"/>
      <c r="B36" s="30"/>
      <c r="C36" s="30"/>
      <c r="N36" s="78"/>
      <c r="O36" s="78"/>
      <c r="P36" s="78"/>
      <c r="Q36" s="78"/>
      <c r="R36" s="78"/>
      <c r="S36" s="78"/>
      <c r="T36" s="78"/>
      <c r="U36" s="78"/>
      <c r="V36" s="78"/>
      <c r="W36" s="78"/>
      <c r="X36" s="78"/>
      <c r="Y36" s="78"/>
      <c r="AS36" s="7"/>
      <c r="AT36" s="7"/>
      <c r="BG36" s="170"/>
      <c r="BH36" s="170"/>
      <c r="BI36" s="170"/>
    </row>
    <row r="37" spans="1:61">
      <c r="A37" s="14"/>
      <c r="B37" s="30"/>
      <c r="C37" s="30"/>
      <c r="N37" s="4"/>
      <c r="O37" s="50"/>
      <c r="P37" s="50"/>
      <c r="Q37" s="50"/>
      <c r="R37" s="50"/>
      <c r="S37" s="50"/>
      <c r="T37" s="50"/>
      <c r="U37" s="50"/>
      <c r="V37" s="154"/>
      <c r="W37" s="50"/>
      <c r="X37" s="50"/>
      <c r="Y37" s="50"/>
      <c r="AS37" s="7"/>
      <c r="AT37" s="7"/>
      <c r="BG37" s="170"/>
      <c r="BH37" s="170"/>
      <c r="BI37" s="170"/>
    </row>
    <row r="38" spans="1:61">
      <c r="A38" s="14"/>
      <c r="B38" s="30"/>
      <c r="C38" s="30"/>
      <c r="N38" s="44"/>
      <c r="O38" s="170"/>
      <c r="P38" s="170"/>
      <c r="Q38" s="178"/>
      <c r="R38" s="170"/>
      <c r="S38" s="178"/>
      <c r="T38" s="168"/>
      <c r="U38" s="168"/>
      <c r="V38" s="169"/>
      <c r="W38" s="169"/>
      <c r="X38" s="170"/>
      <c r="Y38" s="170"/>
      <c r="Z38" s="78"/>
      <c r="AS38" s="7"/>
      <c r="AT38" s="7"/>
      <c r="BG38" s="182"/>
      <c r="BH38" s="182"/>
      <c r="BI38" s="182"/>
    </row>
    <row r="39" spans="1:61">
      <c r="A39" s="14"/>
      <c r="B39" s="30"/>
      <c r="C39" s="30"/>
      <c r="N39" s="44"/>
      <c r="O39" s="170"/>
      <c r="P39" s="170"/>
      <c r="Q39" s="178"/>
      <c r="R39" s="170"/>
      <c r="S39" s="178"/>
      <c r="T39" s="168"/>
      <c r="U39" s="168"/>
      <c r="V39" s="169"/>
      <c r="W39" s="169"/>
      <c r="X39" s="170"/>
      <c r="Y39" s="170"/>
    </row>
    <row r="40" spans="1:61">
      <c r="A40" s="14"/>
      <c r="B40" s="30"/>
      <c r="C40" s="30"/>
      <c r="N40" s="44"/>
      <c r="O40" s="170"/>
      <c r="P40" s="170"/>
      <c r="Q40" s="178"/>
      <c r="R40" s="170"/>
      <c r="S40" s="178"/>
      <c r="T40" s="168"/>
      <c r="U40" s="168"/>
      <c r="V40" s="169"/>
      <c r="W40" s="169"/>
      <c r="X40" s="170"/>
      <c r="Y40" s="170"/>
    </row>
    <row r="41" spans="1:61">
      <c r="A41" s="14"/>
      <c r="B41" s="30"/>
      <c r="C41" s="30"/>
      <c r="N41" s="44"/>
      <c r="O41" s="250">
        <v>28.914934866097582</v>
      </c>
      <c r="P41" s="170"/>
      <c r="Q41" s="178"/>
      <c r="R41" s="170"/>
      <c r="S41" s="178"/>
      <c r="T41" s="168"/>
      <c r="U41" s="168"/>
      <c r="V41" s="169"/>
      <c r="W41" s="169"/>
      <c r="X41" s="170"/>
      <c r="Y41" s="170"/>
    </row>
    <row r="42" spans="1:61">
      <c r="A42" s="14"/>
      <c r="B42" s="30"/>
      <c r="C42" s="30"/>
      <c r="D42" s="77"/>
      <c r="E42" s="77"/>
      <c r="F42" s="77"/>
      <c r="G42" s="40"/>
      <c r="N42" s="44"/>
      <c r="O42" s="250">
        <v>37.011591542531221</v>
      </c>
      <c r="P42" s="170"/>
      <c r="Q42" s="178"/>
      <c r="R42" s="170"/>
      <c r="S42" s="178"/>
      <c r="T42" s="168"/>
      <c r="U42" s="168"/>
      <c r="V42" s="169"/>
      <c r="W42" s="169"/>
      <c r="X42" s="170"/>
      <c r="Y42" s="170"/>
    </row>
    <row r="43" spans="1:61" ht="15" customHeight="1">
      <c r="A43" s="14"/>
      <c r="B43" s="30"/>
      <c r="C43" s="30"/>
      <c r="D43" s="43"/>
      <c r="E43" s="40"/>
      <c r="F43" s="43"/>
      <c r="G43" s="43"/>
      <c r="I43" s="31"/>
      <c r="J43" s="31"/>
      <c r="K43" s="31"/>
      <c r="L43" s="31"/>
      <c r="N43" s="44"/>
      <c r="O43" s="250">
        <v>-11.796457400389135</v>
      </c>
      <c r="P43" s="170"/>
      <c r="Q43" s="178"/>
      <c r="R43" s="170"/>
      <c r="S43" s="178"/>
      <c r="T43" s="168"/>
      <c r="U43" s="168"/>
      <c r="V43" s="169"/>
      <c r="W43" s="169"/>
      <c r="X43" s="170"/>
      <c r="Y43" s="170"/>
    </row>
    <row r="44" spans="1:61">
      <c r="A44" s="14"/>
      <c r="B44" s="30"/>
      <c r="C44" s="30"/>
      <c r="D44" s="14"/>
      <c r="E44" s="44"/>
      <c r="F44" s="44"/>
      <c r="G44" s="44"/>
      <c r="N44" s="44"/>
      <c r="O44" s="170"/>
      <c r="P44" s="170"/>
      <c r="Q44" s="178"/>
      <c r="R44" s="170"/>
      <c r="S44" s="178"/>
      <c r="T44" s="168"/>
      <c r="U44" s="168"/>
      <c r="V44" s="169"/>
      <c r="W44" s="169"/>
      <c r="X44" s="170"/>
      <c r="Y44" s="170"/>
    </row>
    <row r="45" spans="1:61">
      <c r="A45" s="14"/>
      <c r="B45" s="30"/>
      <c r="C45" s="30"/>
      <c r="D45" s="14"/>
      <c r="E45" s="44"/>
      <c r="F45" s="44"/>
      <c r="G45" s="44"/>
      <c r="N45" s="44"/>
      <c r="O45" s="170"/>
      <c r="P45" s="170"/>
      <c r="Q45" s="178"/>
      <c r="R45" s="170"/>
      <c r="S45" s="178"/>
      <c r="T45" s="169"/>
      <c r="U45" s="169"/>
      <c r="V45" s="169"/>
      <c r="W45" s="169"/>
      <c r="X45" s="170"/>
      <c r="Y45" s="170"/>
    </row>
    <row r="46" spans="1:61">
      <c r="A46" s="14"/>
      <c r="B46" s="30"/>
      <c r="C46" s="30"/>
      <c r="D46" s="14"/>
      <c r="E46" s="44"/>
      <c r="F46" s="44"/>
      <c r="G46" s="44"/>
      <c r="N46" s="44"/>
      <c r="O46" s="183"/>
      <c r="Q46" s="14"/>
    </row>
    <row r="47" spans="1:61">
      <c r="A47" s="14"/>
      <c r="B47" s="30"/>
      <c r="C47" s="30"/>
      <c r="D47" s="14"/>
      <c r="E47" s="44"/>
      <c r="F47" s="44"/>
      <c r="G47" s="44"/>
      <c r="N47" s="44"/>
      <c r="O47" s="183"/>
    </row>
    <row r="48" spans="1:61">
      <c r="A48" s="14"/>
      <c r="B48" s="31"/>
      <c r="C48" s="14"/>
      <c r="D48" s="14"/>
      <c r="E48" s="4"/>
      <c r="F48" s="4"/>
      <c r="G48" s="4"/>
      <c r="I48" s="31"/>
      <c r="L48" s="31"/>
      <c r="N48" s="44"/>
      <c r="O48" s="183"/>
      <c r="Q48" s="14"/>
    </row>
    <row r="49" spans="1:27">
      <c r="O49" s="183"/>
      <c r="Q49" s="14"/>
    </row>
    <row r="50" spans="1:27">
      <c r="A50" s="50"/>
      <c r="J50" s="44"/>
      <c r="N50" s="172"/>
      <c r="AA50" s="78"/>
    </row>
    <row r="51" spans="1:27">
      <c r="A51" s="124"/>
      <c r="J51" s="4"/>
      <c r="N51" s="4"/>
      <c r="AA51" s="88"/>
    </row>
    <row r="52" spans="1:27">
      <c r="A52" s="47"/>
      <c r="J52" s="22"/>
      <c r="L52" s="113"/>
      <c r="M52" s="113"/>
      <c r="N52" s="50"/>
      <c r="AA52" s="163"/>
    </row>
    <row r="53" spans="1:27">
      <c r="A53" s="14"/>
      <c r="B53" s="31"/>
      <c r="C53" s="14"/>
      <c r="D53" s="14"/>
      <c r="E53" s="4"/>
      <c r="F53" s="44"/>
      <c r="G53" s="4"/>
      <c r="H53" s="4"/>
      <c r="I53" s="81"/>
      <c r="J53" s="118"/>
      <c r="L53" s="4"/>
      <c r="M53" s="81"/>
      <c r="N53" s="81"/>
      <c r="AA53" s="163"/>
    </row>
    <row r="54" spans="1:27">
      <c r="A54" s="14"/>
      <c r="B54" s="31"/>
      <c r="C54" s="14"/>
      <c r="D54" s="14"/>
      <c r="E54" s="44"/>
      <c r="F54" s="44"/>
      <c r="H54" s="4"/>
      <c r="J54" s="4"/>
      <c r="L54" s="4"/>
      <c r="N54" s="50"/>
      <c r="AA54" s="163"/>
    </row>
    <row r="55" spans="1:27">
      <c r="A55" s="14"/>
      <c r="B55" s="31"/>
      <c r="C55" s="14"/>
      <c r="D55" s="14"/>
      <c r="E55" s="44"/>
      <c r="F55" s="44"/>
      <c r="H55" s="4"/>
      <c r="I55" s="4"/>
      <c r="J55" s="82"/>
      <c r="L55" s="4"/>
      <c r="M55" s="4"/>
      <c r="N55" s="190"/>
      <c r="AA55" s="163"/>
    </row>
    <row r="56" spans="1:27" ht="15.6">
      <c r="A56" s="14"/>
      <c r="B56" s="889"/>
      <c r="C56" s="889"/>
      <c r="D56" s="889"/>
      <c r="E56" s="889"/>
      <c r="F56" s="889"/>
      <c r="G56" s="889"/>
      <c r="J56" s="4"/>
      <c r="N56" s="50"/>
      <c r="AA56" s="162"/>
    </row>
    <row r="57" spans="1:27" ht="15.6">
      <c r="A57" s="14"/>
      <c r="B57" s="261" t="s">
        <v>25</v>
      </c>
      <c r="C57" s="261" t="s">
        <v>293</v>
      </c>
      <c r="D57" s="262" t="s">
        <v>5</v>
      </c>
      <c r="E57" s="262" t="s">
        <v>294</v>
      </c>
      <c r="F57" s="262" t="s">
        <v>295</v>
      </c>
      <c r="G57" s="262" t="s">
        <v>296</v>
      </c>
      <c r="H57" s="115"/>
      <c r="I57" s="115"/>
      <c r="J57" s="115"/>
      <c r="L57" s="115"/>
      <c r="M57" s="115"/>
      <c r="N57" s="50"/>
    </row>
    <row r="58" spans="1:27">
      <c r="A58" s="14"/>
      <c r="B58" s="72">
        <f>Calculation!F6</f>
        <v>75</v>
      </c>
      <c r="C58" s="216">
        <f>Calculation!F7</f>
        <v>0.53</v>
      </c>
      <c r="D58" s="73">
        <f>Calculation!S13</f>
        <v>0</v>
      </c>
      <c r="E58" s="263">
        <f>EXP(-D58/22960)*14.696</f>
        <v>14.696</v>
      </c>
      <c r="F58" s="264">
        <f>RHtoGR1(B58,C58,D58)</f>
        <v>68.875828302584978</v>
      </c>
      <c r="G58" s="265">
        <f>Dewpoint1(F58,D58)</f>
        <v>56.731929779052734</v>
      </c>
      <c r="H58" s="44"/>
      <c r="I58" s="81"/>
      <c r="J58" s="252"/>
      <c r="K58" s="252"/>
      <c r="L58" s="252"/>
      <c r="M58" s="81"/>
      <c r="N58" s="164"/>
    </row>
    <row r="59" spans="1:27">
      <c r="A59" s="14"/>
      <c r="B59" s="31"/>
      <c r="C59" s="14"/>
      <c r="D59" s="14"/>
      <c r="E59" s="44"/>
      <c r="F59" s="44"/>
      <c r="H59" s="4"/>
      <c r="I59" s="4"/>
      <c r="J59" s="4"/>
      <c r="L59" s="4"/>
      <c r="N59" s="50"/>
    </row>
    <row r="60" spans="1:27">
      <c r="A60" s="14"/>
      <c r="B60" s="31"/>
      <c r="C60" s="14"/>
      <c r="D60" s="14"/>
      <c r="E60" s="44"/>
      <c r="H60" s="44"/>
      <c r="I60" s="4"/>
      <c r="J60" s="4"/>
      <c r="L60" s="4"/>
      <c r="N60" s="50"/>
      <c r="O60" s="164"/>
      <c r="P60" s="165"/>
      <c r="Q60" s="165"/>
      <c r="R60" s="165"/>
      <c r="S60" s="165"/>
      <c r="T60" s="165"/>
      <c r="U60" s="165"/>
      <c r="V60" s="165"/>
      <c r="W60" s="165"/>
      <c r="X60" s="165"/>
      <c r="Y60" s="165"/>
      <c r="Z60" s="165"/>
      <c r="AA60" s="165"/>
    </row>
    <row r="61" spans="1:27">
      <c r="A61" s="14"/>
      <c r="B61" s="31"/>
      <c r="C61" s="14"/>
      <c r="D61" s="14"/>
      <c r="E61" s="44"/>
      <c r="F61" s="44"/>
      <c r="H61" s="4"/>
      <c r="I61" s="4"/>
      <c r="J61" s="4"/>
      <c r="L61" s="4"/>
      <c r="N61" s="50"/>
    </row>
    <row r="62" spans="1:27">
      <c r="A62" s="14"/>
      <c r="B62" s="31"/>
      <c r="C62" s="14"/>
      <c r="D62" s="14"/>
      <c r="E62" s="44"/>
      <c r="F62" s="44"/>
      <c r="H62" s="4"/>
      <c r="I62" s="4"/>
      <c r="J62" s="4"/>
      <c r="L62" s="4"/>
      <c r="N62" s="50"/>
      <c r="O62" s="50"/>
      <c r="P62" s="166"/>
      <c r="Q62" s="166"/>
      <c r="R62" s="166"/>
      <c r="S62" s="166"/>
      <c r="T62" s="166"/>
      <c r="U62" s="166"/>
      <c r="V62" s="166"/>
      <c r="W62" s="166"/>
      <c r="X62" s="166"/>
      <c r="Y62" s="166"/>
      <c r="Z62" s="166"/>
      <c r="AA62" s="166"/>
    </row>
    <row r="63" spans="1:27">
      <c r="A63" s="14"/>
      <c r="B63" s="31"/>
      <c r="C63" s="14"/>
      <c r="D63" s="14"/>
      <c r="E63" s="44"/>
      <c r="F63" s="44"/>
      <c r="H63" s="4"/>
      <c r="I63" s="4"/>
      <c r="J63" s="4"/>
      <c r="L63" s="4"/>
      <c r="N63" s="50"/>
      <c r="O63" s="50"/>
      <c r="P63" s="166"/>
      <c r="Q63" s="166"/>
      <c r="R63" s="166"/>
      <c r="S63" s="166"/>
      <c r="T63" s="166"/>
      <c r="U63" s="166"/>
      <c r="V63" s="166"/>
      <c r="W63" s="166"/>
      <c r="X63" s="166"/>
      <c r="Y63" s="273"/>
      <c r="Z63" s="273"/>
      <c r="AA63" s="274"/>
    </row>
    <row r="64" spans="1:27">
      <c r="A64" s="14"/>
      <c r="B64" s="31"/>
      <c r="C64" s="14"/>
      <c r="D64" s="14"/>
      <c r="E64" s="44"/>
      <c r="F64" s="44"/>
      <c r="H64" s="4"/>
      <c r="I64" s="4"/>
      <c r="J64" s="82"/>
      <c r="L64" s="4"/>
      <c r="N64" s="82"/>
      <c r="O64" s="50"/>
      <c r="P64" s="166"/>
      <c r="Q64" s="166"/>
      <c r="R64" s="166"/>
      <c r="S64" s="166"/>
      <c r="T64" s="166"/>
      <c r="U64" s="166"/>
      <c r="V64" s="166"/>
      <c r="W64" s="166"/>
      <c r="X64" s="166"/>
      <c r="Y64" s="273"/>
      <c r="Z64" s="273"/>
      <c r="AA64" s="274"/>
    </row>
    <row r="65" spans="1:27">
      <c r="A65" s="79"/>
      <c r="B65" s="80"/>
      <c r="C65" s="14"/>
      <c r="D65" s="14"/>
      <c r="E65" s="44"/>
      <c r="F65" s="44"/>
      <c r="J65" s="4"/>
      <c r="N65" s="82"/>
      <c r="O65" s="50"/>
      <c r="P65" s="166"/>
      <c r="Q65" s="166"/>
      <c r="R65" s="166"/>
      <c r="S65" s="166"/>
      <c r="T65" s="166"/>
      <c r="U65" s="166"/>
      <c r="V65" s="166"/>
      <c r="W65" s="166"/>
      <c r="X65" s="166"/>
      <c r="Y65" s="273"/>
      <c r="Z65" s="273"/>
      <c r="AA65" s="274"/>
    </row>
    <row r="66" spans="1:27">
      <c r="N66" s="82"/>
      <c r="O66" s="275"/>
      <c r="P66" s="166" t="s">
        <v>3</v>
      </c>
      <c r="Q66" s="166" t="s">
        <v>46</v>
      </c>
      <c r="R66" s="276" t="s">
        <v>32</v>
      </c>
      <c r="S66" s="276" t="s">
        <v>31</v>
      </c>
      <c r="T66" s="276" t="s">
        <v>33</v>
      </c>
      <c r="U66" s="276" t="s">
        <v>34</v>
      </c>
      <c r="V66" s="276" t="s">
        <v>42</v>
      </c>
      <c r="W66" s="276" t="s">
        <v>35</v>
      </c>
      <c r="X66" s="276" t="s">
        <v>41</v>
      </c>
      <c r="Y66" s="277" t="s">
        <v>30</v>
      </c>
      <c r="Z66" s="277" t="s">
        <v>47</v>
      </c>
      <c r="AA66" s="274"/>
    </row>
    <row r="67" spans="1:27" ht="15.6">
      <c r="A67" s="4" t="s">
        <v>54</v>
      </c>
      <c r="B67" s="4" t="s">
        <v>55</v>
      </c>
      <c r="C67" s="4" t="s">
        <v>26</v>
      </c>
      <c r="D67" s="50" t="s">
        <v>11</v>
      </c>
      <c r="E67" s="4" t="s">
        <v>25</v>
      </c>
      <c r="F67" s="4"/>
      <c r="G67" s="4"/>
      <c r="H67" s="4" t="s">
        <v>49</v>
      </c>
      <c r="I67" s="4"/>
      <c r="J67" s="4"/>
      <c r="K67" s="4"/>
      <c r="L67" s="4" t="s">
        <v>110</v>
      </c>
      <c r="N67" s="82"/>
      <c r="O67" s="269" t="s">
        <v>67</v>
      </c>
      <c r="P67" s="117">
        <f>0.693</f>
        <v>0.69299999999999995</v>
      </c>
      <c r="Q67" s="117">
        <f>0.693</f>
        <v>0.69299999999999995</v>
      </c>
      <c r="R67" s="270">
        <f>1.19688834287265</f>
        <v>1.19688834287265</v>
      </c>
      <c r="S67" s="270">
        <f>0.834</f>
        <v>0.83399999999999996</v>
      </c>
      <c r="T67" s="173" t="s">
        <v>130</v>
      </c>
      <c r="U67" s="173">
        <v>1.401</v>
      </c>
      <c r="V67" s="173">
        <v>1.401</v>
      </c>
      <c r="W67" s="173" t="s">
        <v>130</v>
      </c>
      <c r="X67" s="271">
        <v>1.0658543658201582</v>
      </c>
      <c r="Y67" s="272">
        <v>0.83399999999999996</v>
      </c>
      <c r="Z67" s="278">
        <v>0.83399999999999996</v>
      </c>
      <c r="AA67" s="280"/>
    </row>
    <row r="68" spans="1:27" ht="15.6">
      <c r="A68" s="99">
        <v>0</v>
      </c>
      <c r="B68" s="5">
        <f>IF(Calculation!$F$6=Worksheet!$A$90,Worksheet!B90,IF(Calculation!$F$6=Worksheet!$A$93,Worksheet!B93,IF(Calculation!$F$6=Worksheet!$A$96,Worksheet!B96,IF(Calculation!$F$6=Worksheet!$A$99,B99,IF(Calculation!$F$6=Worksheet!$A$102,Worksheet!B102,IF(Calculation!$F$6=Worksheet!$A$105,Worksheet!B105,Worksheet!B108))))))</f>
        <v>0</v>
      </c>
      <c r="C68" s="70" t="str">
        <f>IF(Calculation!$J$22=Worksheet!H70,"4 way",IF(Calculation!J22=Worksheet!H72,"2 slots, 2 way","1 slot, 1 way"))</f>
        <v>1 slot, 1 way</v>
      </c>
      <c r="D68" s="4">
        <f>SUM(N19:W19)</f>
        <v>0</v>
      </c>
      <c r="E68" s="50">
        <f>68</f>
        <v>68</v>
      </c>
      <c r="F68" s="50"/>
      <c r="G68" s="55"/>
      <c r="H68" s="50" t="s">
        <v>3</v>
      </c>
      <c r="I68" s="4"/>
      <c r="J68" s="54"/>
      <c r="K68" s="31"/>
      <c r="L68" s="50">
        <v>3</v>
      </c>
      <c r="N68" s="82"/>
      <c r="O68" s="116" t="s">
        <v>68</v>
      </c>
      <c r="P68" s="117">
        <f>3.349</f>
        <v>3.3490000000000002</v>
      </c>
      <c r="Q68" s="117">
        <f>3.349</f>
        <v>3.3490000000000002</v>
      </c>
      <c r="R68" s="140">
        <f>4.63799085631641</f>
        <v>4.6379908563164101</v>
      </c>
      <c r="S68" s="117">
        <f>3.96</f>
        <v>3.96</v>
      </c>
      <c r="T68" s="72" t="s">
        <v>130</v>
      </c>
      <c r="U68" s="72">
        <v>4.8470000000000004</v>
      </c>
      <c r="V68" s="72">
        <v>4.8470000000000004</v>
      </c>
      <c r="W68" s="72" t="s">
        <v>130</v>
      </c>
      <c r="X68" s="253">
        <v>3.5601029119842913</v>
      </c>
      <c r="Y68" s="259">
        <v>3.96</v>
      </c>
      <c r="Z68" s="279">
        <v>3.96</v>
      </c>
      <c r="AA68" s="280"/>
    </row>
    <row r="69" spans="1:27" ht="15.6">
      <c r="A69" s="99">
        <f>A68+5</f>
        <v>5</v>
      </c>
      <c r="B69" s="5">
        <f>IF(Calculation!$F$6=Worksheet!$A$90,Worksheet!B91,IF(Calculation!$F$6=Worksheet!$A$93,Worksheet!B94,IF(Calculation!$F$6=Worksheet!$A$96,Worksheet!B97,IF(Calculation!$F$6=Worksheet!$A$99,B100,IF(Calculation!$F$6=Worksheet!$A$102,Worksheet!B103,IF(Calculation!$F$6=Worksheet!$A$105,Worksheet!B106,Worksheet!B109))))))</f>
        <v>0</v>
      </c>
      <c r="C69" s="70" t="str">
        <f>IF(Calculation!$J$22=Worksheet!H70," ",IF(Calculation!$J$22=Worksheet!H72," ",IF(Calculation!$J$22=Worksheet!H73," ",IF(Calculation!$J$22=Worksheet!H74," ",IF(Calculation!$J$22=Worksheet!H75," ",IF(Calculation!$J$22=Worksheet!H76," ","2 slots, 2 way"))))))</f>
        <v xml:space="preserve"> </v>
      </c>
      <c r="D69" s="4" t="str">
        <f t="shared" ref="D69:D76" si="0">IF(SUM(N20:W20)&gt;0,SUM(N20:W20)," ")</f>
        <v xml:space="preserve"> </v>
      </c>
      <c r="E69" s="50">
        <f>E68+1</f>
        <v>69</v>
      </c>
      <c r="F69" s="50"/>
      <c r="G69" s="4"/>
      <c r="H69" s="50" t="s">
        <v>46</v>
      </c>
      <c r="I69" s="4"/>
      <c r="J69" s="31"/>
      <c r="K69" s="31"/>
      <c r="L69" s="50" t="s">
        <v>111</v>
      </c>
      <c r="N69" s="82"/>
      <c r="O69" s="116" t="s">
        <v>69</v>
      </c>
      <c r="P69" s="117">
        <f>10.49</f>
        <v>10.49</v>
      </c>
      <c r="Q69" s="117">
        <f>10.49</f>
        <v>10.49</v>
      </c>
      <c r="R69" s="140">
        <f>12.3674047235849</f>
        <v>12.367404723584899</v>
      </c>
      <c r="S69" s="117">
        <f>10.033</f>
        <v>10.032999999999999</v>
      </c>
      <c r="T69" s="72" t="s">
        <v>130</v>
      </c>
      <c r="U69" s="72">
        <v>11.555999999999999</v>
      </c>
      <c r="V69" s="72">
        <v>11.555999999999999</v>
      </c>
      <c r="W69" s="72" t="s">
        <v>130</v>
      </c>
      <c r="X69" s="253">
        <v>8.7484713952405375</v>
      </c>
      <c r="Y69" s="259">
        <v>10.33</v>
      </c>
      <c r="Z69" s="279">
        <v>10.33</v>
      </c>
      <c r="AA69" s="280"/>
    </row>
    <row r="70" spans="1:27">
      <c r="A70" s="99">
        <f t="shared" ref="A70:A78" si="1">A69+5</f>
        <v>10</v>
      </c>
      <c r="B70" s="5">
        <f>IF(Calculation!$F$6=Worksheet!$A$90,Worksheet!B92,IF(Calculation!$F$6=Worksheet!$A$93,Worksheet!B95,IF(Calculation!$F$6=Worksheet!$A$96,Worksheet!B98,IF(Calculation!$F$6=Worksheet!$A$99,B101,IF(Calculation!$F$6=Worksheet!$A$102,Worksheet!B104,IF(Calculation!$F$6=Worksheet!$A$105,Worksheet!B107,Worksheet!B110))))))</f>
        <v>0</v>
      </c>
      <c r="C70" s="70"/>
      <c r="D70" s="4" t="str">
        <f t="shared" si="0"/>
        <v xml:space="preserve"> </v>
      </c>
      <c r="E70" s="50">
        <f>E69+1</f>
        <v>70</v>
      </c>
      <c r="F70" s="50"/>
      <c r="G70" s="4"/>
      <c r="H70" s="50" t="s">
        <v>32</v>
      </c>
      <c r="I70" s="4"/>
      <c r="J70" s="31"/>
      <c r="K70" s="31"/>
      <c r="L70" s="50" t="s">
        <v>112</v>
      </c>
      <c r="N70" s="82"/>
      <c r="O70" s="82"/>
      <c r="P70" s="268"/>
      <c r="Q70" s="268"/>
      <c r="R70" s="268"/>
      <c r="S70" s="268"/>
      <c r="T70" s="268"/>
      <c r="U70" s="268"/>
      <c r="V70" s="268"/>
      <c r="W70" s="268"/>
      <c r="X70" s="268"/>
      <c r="Y70" s="268"/>
      <c r="Z70" s="268"/>
      <c r="AA70" s="267"/>
    </row>
    <row r="71" spans="1:27">
      <c r="A71" s="99">
        <f t="shared" si="1"/>
        <v>15</v>
      </c>
      <c r="B71" s="53"/>
      <c r="C71" s="4"/>
      <c r="D71" s="4" t="str">
        <f t="shared" si="0"/>
        <v xml:space="preserve"> </v>
      </c>
      <c r="E71" s="50">
        <f>E70+1</f>
        <v>71</v>
      </c>
      <c r="F71" s="50"/>
      <c r="G71" s="4"/>
      <c r="H71" s="50" t="s">
        <v>33</v>
      </c>
      <c r="I71" s="4"/>
      <c r="J71" s="31"/>
      <c r="K71" s="31"/>
      <c r="N71" s="82"/>
      <c r="O71" s="82"/>
      <c r="P71" s="268"/>
      <c r="Q71" s="268"/>
      <c r="R71" s="268"/>
      <c r="S71" s="268"/>
      <c r="T71" s="268"/>
      <c r="U71" s="268"/>
      <c r="V71" s="268"/>
      <c r="W71" s="268"/>
      <c r="X71" s="268"/>
      <c r="Y71" s="268"/>
      <c r="Z71" s="268"/>
      <c r="AA71" s="267"/>
    </row>
    <row r="72" spans="1:27">
      <c r="A72" s="99">
        <f t="shared" si="1"/>
        <v>20</v>
      </c>
      <c r="B72" s="53"/>
      <c r="C72" s="50" t="s">
        <v>106</v>
      </c>
      <c r="D72" s="4" t="str">
        <f t="shared" si="0"/>
        <v xml:space="preserve"> </v>
      </c>
      <c r="E72" s="50">
        <f>E71+1</f>
        <v>72</v>
      </c>
      <c r="F72" s="50"/>
      <c r="G72" s="4"/>
      <c r="H72" s="50" t="s">
        <v>31</v>
      </c>
      <c r="I72" s="4"/>
      <c r="J72" s="4"/>
      <c r="K72" s="4"/>
      <c r="N72" s="82"/>
      <c r="O72" s="82"/>
      <c r="P72" s="268" t="str">
        <f>IF(Calculation!L22&gt;0,IF(Calculation!J22="CBAL-24",P67,IF(Calculation!J22="CBLE-24",Q67,IF(Calculation!J22="CBAM-24",R67,IF(Calculation!J22="CBLV",S67,IF(Calculation!J22="CBAB",T67,IF(Calculation!J22="CBAC",V67,IF(Calculation!J22="CBAW",X67,IF(Calculation!J22="CBLE-12",Y67,IF(Calculation!J22="CBAL-24",Z67,"N/A")))))))))," ")</f>
        <v xml:space="preserve"> </v>
      </c>
      <c r="Q72" s="268" t="str">
        <f>IF(Calculation!L22&gt;0,IF(Calculation!J22="CBAL-24",P68,IF(Calculation!J22="CBLE-24",Q68,IF(Calculation!J22="CBAM-24",R67,IF(Calculation!J22="CBLV",S68,IF(Calculation!J22="CBAB",T68,IF(Calculation!J22="CBAC",V68,IF(Calculation!J22="CBAW",X68,IF(Calculation!J22="CBLE-12",Y68,IF(Calculation!J22="CBAL-24",Z68,"N/A")))))))))," ")</f>
        <v xml:space="preserve"> </v>
      </c>
      <c r="R72" s="268" t="str">
        <f>IF(Calculation!L22&gt;0,IF(Calculation!J22="CBAL-24",P69,IF(Calculation!J22="CBLE-24",Q69,IF(Calculation!J22="CBAM-24",R69,IF(Calculation!J22="CBLV",S69,IF(Calculation!J22="CBAB",T69,IF(Calculation!J22="CBAC",V69,IF(Calculation!J22="CBAW",X69,IF(Calculation!J22="CBLE-12",Y69,IF(Calculation!J22="CBAL-24",Z69,"N/A")))))))))," ")</f>
        <v xml:space="preserve"> </v>
      </c>
      <c r="S72" s="268"/>
      <c r="T72" s="268"/>
      <c r="U72" s="268"/>
      <c r="V72" s="268"/>
      <c r="W72" s="268"/>
      <c r="X72" s="268"/>
      <c r="Y72" s="268"/>
      <c r="Z72" s="268"/>
      <c r="AA72" s="267"/>
    </row>
    <row r="73" spans="1:27">
      <c r="A73" s="99">
        <f t="shared" si="1"/>
        <v>25</v>
      </c>
      <c r="B73" s="53"/>
      <c r="C73" s="50" t="s">
        <v>107</v>
      </c>
      <c r="D73" s="4" t="str">
        <f t="shared" si="0"/>
        <v xml:space="preserve"> </v>
      </c>
      <c r="E73" s="50">
        <f t="shared" ref="E73:E78" si="2">E72+1</f>
        <v>73</v>
      </c>
      <c r="F73" s="50"/>
      <c r="G73" s="4"/>
      <c r="H73" s="50" t="s">
        <v>34</v>
      </c>
      <c r="J73" s="54"/>
      <c r="K73" s="31"/>
      <c r="N73" s="82"/>
      <c r="O73" s="82"/>
      <c r="Y73" s="206"/>
      <c r="Z73" s="206"/>
      <c r="AA73" s="166"/>
    </row>
    <row r="74" spans="1:27">
      <c r="A74" s="99">
        <f t="shared" si="1"/>
        <v>30</v>
      </c>
      <c r="B74" s="53"/>
      <c r="C74" s="50" t="s">
        <v>108</v>
      </c>
      <c r="D74" s="4" t="str">
        <f t="shared" si="0"/>
        <v xml:space="preserve"> </v>
      </c>
      <c r="E74" s="50">
        <f t="shared" si="2"/>
        <v>74</v>
      </c>
      <c r="F74" s="50"/>
      <c r="H74" s="50" t="s">
        <v>42</v>
      </c>
      <c r="I74" s="4"/>
      <c r="J74" s="31"/>
      <c r="K74" s="31"/>
      <c r="L74" s="51"/>
      <c r="M74" s="7"/>
      <c r="N74" s="44"/>
      <c r="O74" s="82"/>
      <c r="Y74" s="206"/>
      <c r="Z74" s="206"/>
      <c r="AA74" s="166"/>
    </row>
    <row r="75" spans="1:27">
      <c r="A75" s="99">
        <f t="shared" si="1"/>
        <v>35</v>
      </c>
      <c r="B75" s="53"/>
      <c r="C75" s="50" t="s">
        <v>27</v>
      </c>
      <c r="D75" s="4" t="str">
        <f t="shared" si="0"/>
        <v xml:space="preserve"> </v>
      </c>
      <c r="E75" s="50">
        <f t="shared" si="2"/>
        <v>75</v>
      </c>
      <c r="F75" s="50"/>
      <c r="H75" s="50"/>
      <c r="J75" s="31"/>
      <c r="K75" s="31"/>
      <c r="L75" s="52"/>
      <c r="M75" s="37"/>
      <c r="N75" s="78"/>
      <c r="O75" s="82"/>
      <c r="Y75" s="206"/>
      <c r="Z75" s="206"/>
      <c r="AA75" s="267"/>
    </row>
    <row r="76" spans="1:27">
      <c r="A76" s="99">
        <f t="shared" si="1"/>
        <v>40</v>
      </c>
      <c r="B76" s="53"/>
      <c r="D76" s="4" t="str">
        <f t="shared" si="0"/>
        <v xml:space="preserve"> </v>
      </c>
      <c r="E76" s="50">
        <f t="shared" si="2"/>
        <v>76</v>
      </c>
      <c r="H76" s="50"/>
      <c r="J76" s="31"/>
      <c r="K76" s="31"/>
      <c r="M76" s="37"/>
      <c r="N76" s="4"/>
      <c r="O76" s="82"/>
      <c r="Y76" s="206"/>
      <c r="Z76" s="206"/>
      <c r="AA76" s="267"/>
    </row>
    <row r="77" spans="1:27">
      <c r="A77" s="99">
        <f t="shared" si="1"/>
        <v>45</v>
      </c>
      <c r="B77" s="53"/>
      <c r="D77" s="4"/>
      <c r="E77" s="50">
        <f t="shared" si="2"/>
        <v>77</v>
      </c>
      <c r="N77" s="50"/>
      <c r="O77" s="50"/>
      <c r="P77" s="50"/>
      <c r="Q77" s="50"/>
      <c r="R77" s="50"/>
      <c r="S77" s="50"/>
      <c r="T77" s="50"/>
      <c r="U77" s="50"/>
      <c r="V77" s="50"/>
      <c r="W77" s="50"/>
      <c r="X77" s="50"/>
      <c r="Y77" s="50"/>
      <c r="Z77" s="50"/>
    </row>
    <row r="78" spans="1:27">
      <c r="A78" s="99">
        <f t="shared" si="1"/>
        <v>50</v>
      </c>
      <c r="B78" s="53"/>
      <c r="D78" s="4"/>
      <c r="E78" s="50">
        <f t="shared" si="2"/>
        <v>78</v>
      </c>
      <c r="N78" s="174"/>
      <c r="O78" s="50"/>
      <c r="P78" s="50"/>
      <c r="Q78" s="50"/>
      <c r="R78" s="50"/>
      <c r="S78" s="50"/>
      <c r="T78" s="50"/>
      <c r="U78" s="50"/>
      <c r="V78" s="50"/>
      <c r="W78" s="50"/>
      <c r="X78" s="50"/>
      <c r="Y78" s="50"/>
      <c r="Z78" s="50"/>
    </row>
    <row r="79" spans="1:27">
      <c r="B79" s="53"/>
      <c r="E79" s="50"/>
      <c r="N79" s="174"/>
      <c r="Z79" s="70"/>
    </row>
    <row r="80" spans="1:27">
      <c r="A80" s="53"/>
      <c r="B80" s="53"/>
      <c r="E80" s="50"/>
      <c r="N80" s="174"/>
      <c r="O80" s="50"/>
      <c r="P80" s="50"/>
      <c r="Q80" s="50"/>
      <c r="R80" s="50"/>
      <c r="S80" s="50"/>
      <c r="T80" s="50"/>
      <c r="U80" s="50"/>
      <c r="V80" s="50"/>
      <c r="W80" s="50"/>
      <c r="X80" s="50"/>
      <c r="Y80" s="50"/>
      <c r="Z80" s="50"/>
    </row>
    <row r="81" spans="1:26">
      <c r="A81" s="53"/>
      <c r="B81" s="53"/>
      <c r="E81" s="50"/>
      <c r="N81" s="174"/>
      <c r="O81" s="50"/>
      <c r="P81" s="50"/>
      <c r="Q81" s="50"/>
      <c r="R81" s="50"/>
      <c r="S81" s="50"/>
      <c r="T81" s="50"/>
      <c r="U81" s="50"/>
      <c r="V81" s="50"/>
      <c r="W81" s="50"/>
      <c r="X81" s="50"/>
      <c r="Y81" s="50"/>
      <c r="Z81" s="50"/>
    </row>
    <row r="82" spans="1:26">
      <c r="C82" s="53"/>
      <c r="D82" s="53"/>
      <c r="N82" s="175"/>
      <c r="Z82" s="98"/>
    </row>
    <row r="83" spans="1:26">
      <c r="C83" s="53"/>
      <c r="D83" s="53"/>
      <c r="N83" s="175"/>
      <c r="Z83" s="98"/>
    </row>
    <row r="84" spans="1:26">
      <c r="C84" s="53"/>
      <c r="D84" s="53"/>
      <c r="N84" s="174"/>
      <c r="Z84" s="99"/>
    </row>
    <row r="85" spans="1:26">
      <c r="C85" s="53"/>
      <c r="D85" s="53"/>
      <c r="N85" s="174"/>
      <c r="Z85" s="99"/>
    </row>
    <row r="86" spans="1:26">
      <c r="C86" s="53"/>
      <c r="D86" s="53"/>
      <c r="N86" s="175"/>
      <c r="Z86" s="50"/>
    </row>
    <row r="87" spans="1:26">
      <c r="Z87" s="50"/>
    </row>
    <row r="88" spans="1:26">
      <c r="P88" s="131"/>
    </row>
    <row r="89" spans="1:26">
      <c r="P89" s="132"/>
      <c r="Q89" s="922"/>
      <c r="R89" s="923"/>
      <c r="S89" s="924"/>
    </row>
    <row r="90" spans="1:26">
      <c r="Q90" s="914" t="s">
        <v>116</v>
      </c>
      <c r="R90" s="915"/>
      <c r="S90" s="158">
        <v>10</v>
      </c>
    </row>
    <row r="91" spans="1:26" ht="15.6">
      <c r="Q91" s="888" t="s">
        <v>117</v>
      </c>
      <c r="R91" s="631"/>
      <c r="S91" s="11">
        <f>Calculation!Z8</f>
        <v>0</v>
      </c>
    </row>
    <row r="92" spans="1:26">
      <c r="Q92" s="888" t="s">
        <v>121</v>
      </c>
      <c r="R92" s="631"/>
      <c r="S92" s="11">
        <f>Calculation!Z10+S90-S91</f>
        <v>10</v>
      </c>
    </row>
    <row r="93" spans="1:26">
      <c r="Q93" s="888" t="s">
        <v>118</v>
      </c>
      <c r="R93" s="631"/>
      <c r="S93" s="11">
        <f>Calculation!Z13</f>
        <v>0</v>
      </c>
    </row>
    <row r="94" spans="1:26" ht="15.6">
      <c r="Q94" s="888" t="s">
        <v>70</v>
      </c>
      <c r="R94" s="631"/>
      <c r="S94" s="159" t="e">
        <f>#REF!</f>
        <v>#REF!</v>
      </c>
    </row>
    <row r="95" spans="1:26" ht="15.6">
      <c r="Q95" s="888" t="s">
        <v>71</v>
      </c>
      <c r="R95" s="631"/>
      <c r="S95" s="159" t="e">
        <f>#REF!</f>
        <v>#REF!</v>
      </c>
    </row>
    <row r="96" spans="1:26" ht="15.6">
      <c r="Q96" s="888" t="s">
        <v>72</v>
      </c>
      <c r="R96" s="631"/>
      <c r="S96" s="159" t="e">
        <f>#REF!</f>
        <v>#REF!</v>
      </c>
    </row>
    <row r="97" spans="17:23" ht="15.6">
      <c r="Q97" s="888" t="s">
        <v>124</v>
      </c>
      <c r="R97" s="631"/>
      <c r="S97" s="15">
        <f>IF(S90-S91&lt;4,0.43*4/(S90-S91)^0.5,0.43*4/(S90-S91))</f>
        <v>0.17199999999999999</v>
      </c>
    </row>
    <row r="98" spans="17:23" ht="15.6">
      <c r="Q98" s="890" t="s">
        <v>122</v>
      </c>
      <c r="R98" s="891"/>
      <c r="S98" s="159" t="e">
        <f>100/((S95-S94)/S95)</f>
        <v>#REF!</v>
      </c>
    </row>
    <row r="99" spans="17:23" ht="15.6">
      <c r="Q99" s="890" t="s">
        <v>123</v>
      </c>
      <c r="R99" s="891"/>
      <c r="S99" s="159" t="e">
        <f>(S95/S92)*100</f>
        <v>#REF!</v>
      </c>
    </row>
    <row r="100" spans="17:23" ht="15.6">
      <c r="Q100" s="890" t="s">
        <v>119</v>
      </c>
      <c r="R100" s="891"/>
      <c r="S100" s="159" t="e">
        <f>S98*S97</f>
        <v>#REF!</v>
      </c>
    </row>
    <row r="101" spans="17:23" ht="15.6">
      <c r="Q101" s="670" t="s">
        <v>120</v>
      </c>
      <c r="R101" s="671"/>
      <c r="S101" s="65"/>
    </row>
    <row r="104" spans="17:23">
      <c r="T104" s="254"/>
    </row>
    <row r="105" spans="17:23">
      <c r="Q105" s="123"/>
      <c r="R105" s="123"/>
      <c r="S105" s="123"/>
      <c r="T105" s="123"/>
      <c r="U105" s="123"/>
      <c r="V105" s="123"/>
      <c r="W105" s="123"/>
    </row>
    <row r="106" spans="17:23">
      <c r="Q106" s="50"/>
      <c r="R106" s="50"/>
      <c r="S106" s="50"/>
      <c r="T106" s="50"/>
      <c r="U106" s="50"/>
      <c r="V106" s="50"/>
      <c r="W106" s="61"/>
    </row>
    <row r="116" spans="41:53">
      <c r="AP116" s="4"/>
    </row>
    <row r="117" spans="41:53">
      <c r="AP117" s="44"/>
      <c r="AQ117" s="44"/>
      <c r="AR117" s="31"/>
      <c r="AS117" s="44"/>
      <c r="AT117" s="44"/>
      <c r="AU117" s="4"/>
      <c r="AV117" s="44"/>
      <c r="AW117" s="874"/>
      <c r="AX117" s="874"/>
      <c r="AY117" s="31"/>
      <c r="AZ117" s="31"/>
      <c r="BA117" s="4"/>
    </row>
    <row r="118" spans="41:53">
      <c r="AO118" s="4"/>
      <c r="AP118" s="31"/>
    </row>
    <row r="119" spans="41:53">
      <c r="AO119" s="4"/>
    </row>
    <row r="122" spans="41:53">
      <c r="AR122" s="4"/>
    </row>
  </sheetData>
  <sortState xmlns:xlrd2="http://schemas.microsoft.com/office/spreadsheetml/2017/richdata2" ref="R4:T14">
    <sortCondition ref="R4:R14"/>
  </sortState>
  <mergeCells count="42">
    <mergeCell ref="Q99:R99"/>
    <mergeCell ref="A17:D17"/>
    <mergeCell ref="Q100:R100"/>
    <mergeCell ref="Q89:S89"/>
    <mergeCell ref="A15:C15"/>
    <mergeCell ref="A13:C13"/>
    <mergeCell ref="A14:C14"/>
    <mergeCell ref="A9:E9"/>
    <mergeCell ref="Q97:R97"/>
    <mergeCell ref="N29:X29"/>
    <mergeCell ref="Q90:R90"/>
    <mergeCell ref="Q91:R91"/>
    <mergeCell ref="Q93:R93"/>
    <mergeCell ref="Q94:R94"/>
    <mergeCell ref="F17:I17"/>
    <mergeCell ref="J1:L1"/>
    <mergeCell ref="G9:H9"/>
    <mergeCell ref="J6:L6"/>
    <mergeCell ref="A1:G1"/>
    <mergeCell ref="A10:C10"/>
    <mergeCell ref="G8:I8"/>
    <mergeCell ref="A3:A5"/>
    <mergeCell ref="F3:F5"/>
    <mergeCell ref="G3:G5"/>
    <mergeCell ref="J4:L4"/>
    <mergeCell ref="B3:B5"/>
    <mergeCell ref="AW117:AX117"/>
    <mergeCell ref="A11:C11"/>
    <mergeCell ref="A19:B19"/>
    <mergeCell ref="A20:B20"/>
    <mergeCell ref="A21:B21"/>
    <mergeCell ref="B34:B35"/>
    <mergeCell ref="A18:B18"/>
    <mergeCell ref="A34:A35"/>
    <mergeCell ref="C34:C35"/>
    <mergeCell ref="Q96:R96"/>
    <mergeCell ref="Q95:R95"/>
    <mergeCell ref="Q92:R92"/>
    <mergeCell ref="Q101:R101"/>
    <mergeCell ref="B56:G56"/>
    <mergeCell ref="Q98:R98"/>
    <mergeCell ref="A12:C12"/>
  </mergeCell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2:AE60"/>
  <sheetViews>
    <sheetView workbookViewId="0">
      <selection activeCell="A29" sqref="A29:D29"/>
    </sheetView>
  </sheetViews>
  <sheetFormatPr defaultRowHeight="14.4"/>
  <cols>
    <col min="6" max="6" width="10.6640625" customWidth="1"/>
    <col min="7" max="9" width="14.6640625" customWidth="1"/>
    <col min="10" max="10" width="10.6640625" customWidth="1"/>
    <col min="11" max="16" width="10.6640625" hidden="1" customWidth="1"/>
    <col min="17" max="22" width="10.6640625" customWidth="1"/>
    <col min="25" max="26" width="10.6640625" customWidth="1"/>
    <col min="28" max="29" width="10.6640625" customWidth="1"/>
  </cols>
  <sheetData>
    <row r="2" spans="1:31">
      <c r="A2" s="887"/>
      <c r="B2" s="887"/>
      <c r="C2" s="887"/>
      <c r="D2" s="887"/>
      <c r="E2" s="887"/>
      <c r="F2" s="933"/>
      <c r="G2" s="933"/>
      <c r="H2" s="933"/>
      <c r="I2" s="933"/>
      <c r="J2" s="933"/>
      <c r="K2" s="933" t="s">
        <v>81</v>
      </c>
      <c r="L2" s="933"/>
      <c r="M2" s="933"/>
      <c r="N2" s="933"/>
      <c r="O2" s="933"/>
      <c r="P2" s="22"/>
      <c r="Q2" s="22"/>
      <c r="R2" s="22"/>
      <c r="S2" s="22"/>
      <c r="T2" s="933"/>
      <c r="U2" s="933"/>
      <c r="V2" s="933"/>
      <c r="W2" s="933"/>
      <c r="X2" s="933"/>
      <c r="Y2" s="933"/>
      <c r="Z2" s="933"/>
      <c r="AA2" s="933"/>
      <c r="AB2" s="933"/>
      <c r="AC2" s="933"/>
    </row>
    <row r="3" spans="1:31">
      <c r="A3" s="887"/>
      <c r="B3" s="887"/>
      <c r="C3" s="887"/>
      <c r="D3" s="887"/>
      <c r="E3" s="887"/>
      <c r="F3" s="929"/>
      <c r="G3" s="929"/>
      <c r="H3" s="929"/>
      <c r="I3" s="929"/>
      <c r="J3" s="929"/>
      <c r="K3" s="928" t="s">
        <v>78</v>
      </c>
      <c r="L3" s="928"/>
      <c r="M3" s="55"/>
      <c r="N3" s="928" t="s">
        <v>80</v>
      </c>
      <c r="O3" s="928"/>
      <c r="P3" s="55"/>
      <c r="Q3" s="636"/>
      <c r="R3" s="55"/>
      <c r="S3" s="55"/>
      <c r="T3" s="929"/>
      <c r="U3" s="929"/>
      <c r="V3" s="929"/>
      <c r="W3" s="929"/>
      <c r="X3" s="929"/>
      <c r="Y3" s="929"/>
      <c r="Z3" s="929"/>
      <c r="AA3" s="928"/>
      <c r="AB3" s="928"/>
      <c r="AC3" s="928"/>
    </row>
    <row r="4" spans="1:31" ht="15" customHeight="1">
      <c r="A4" s="887"/>
      <c r="B4" s="887"/>
      <c r="C4" s="931"/>
      <c r="D4" s="931"/>
      <c r="E4" s="930"/>
      <c r="F4" s="930"/>
      <c r="G4" s="931"/>
      <c r="H4" s="931"/>
      <c r="I4" s="930"/>
      <c r="J4" s="931"/>
      <c r="K4" s="932" t="s">
        <v>76</v>
      </c>
      <c r="L4" s="636" t="s">
        <v>77</v>
      </c>
      <c r="M4" s="119"/>
      <c r="N4" s="932" t="s">
        <v>76</v>
      </c>
      <c r="O4" s="636" t="s">
        <v>77</v>
      </c>
      <c r="P4" s="119"/>
      <c r="Q4" s="636"/>
      <c r="R4" s="636"/>
      <c r="S4" s="636"/>
      <c r="T4" s="636"/>
      <c r="U4" s="932"/>
      <c r="V4" s="932"/>
      <c r="W4" s="636"/>
      <c r="X4" s="636"/>
      <c r="Y4" s="932"/>
      <c r="Z4" s="636"/>
      <c r="AA4" s="636"/>
      <c r="AB4" s="932"/>
      <c r="AC4" s="636"/>
    </row>
    <row r="5" spans="1:31">
      <c r="A5" s="887"/>
      <c r="B5" s="887"/>
      <c r="C5" s="931"/>
      <c r="D5" s="931"/>
      <c r="E5" s="930"/>
      <c r="F5" s="930"/>
      <c r="G5" s="931"/>
      <c r="H5" s="931"/>
      <c r="I5" s="930"/>
      <c r="J5" s="931"/>
      <c r="K5" s="932"/>
      <c r="L5" s="636"/>
      <c r="M5" s="119"/>
      <c r="N5" s="932"/>
      <c r="O5" s="636"/>
      <c r="P5" s="119"/>
      <c r="Q5" s="636"/>
      <c r="R5" s="636"/>
      <c r="S5" s="636"/>
      <c r="T5" s="636"/>
      <c r="U5" s="932"/>
      <c r="V5" s="932"/>
      <c r="W5" s="636"/>
      <c r="X5" s="636"/>
      <c r="Y5" s="932"/>
      <c r="Z5" s="636"/>
      <c r="AA5" s="636"/>
      <c r="AB5" s="932"/>
      <c r="AC5" s="636"/>
    </row>
    <row r="6" spans="1:31">
      <c r="A6" s="887"/>
      <c r="B6" s="887"/>
      <c r="C6" s="201" t="s">
        <v>73</v>
      </c>
      <c r="D6" s="201" t="s">
        <v>74</v>
      </c>
      <c r="E6" s="208" t="s">
        <v>82</v>
      </c>
      <c r="F6" s="201" t="s">
        <v>75</v>
      </c>
      <c r="G6" s="931"/>
      <c r="H6" s="931"/>
      <c r="I6" s="201"/>
      <c r="J6" s="201"/>
      <c r="K6" s="120" t="s">
        <v>75</v>
      </c>
      <c r="L6" s="120"/>
      <c r="M6" s="120"/>
      <c r="N6" s="120" t="s">
        <v>75</v>
      </c>
      <c r="O6" s="120"/>
      <c r="P6" s="120"/>
      <c r="Q6" s="120"/>
      <c r="R6" s="636"/>
      <c r="S6" s="636"/>
      <c r="T6" s="120" t="s">
        <v>74</v>
      </c>
      <c r="V6" s="120" t="s">
        <v>75</v>
      </c>
      <c r="W6" s="636"/>
      <c r="X6" s="636"/>
      <c r="Y6" s="120" t="s">
        <v>75</v>
      </c>
      <c r="Z6" s="636"/>
      <c r="AA6" s="120" t="s">
        <v>74</v>
      </c>
      <c r="AB6" s="120" t="s">
        <v>75</v>
      </c>
      <c r="AC6" s="636"/>
    </row>
    <row r="7" spans="1:31">
      <c r="A7" s="30" t="s">
        <v>3</v>
      </c>
      <c r="B7" s="44">
        <v>2</v>
      </c>
      <c r="C7" s="4">
        <v>10</v>
      </c>
      <c r="D7" s="97">
        <v>16</v>
      </c>
      <c r="E7" s="44">
        <v>18</v>
      </c>
      <c r="F7" s="31">
        <v>2.17</v>
      </c>
      <c r="G7" s="122">
        <f t="shared" ref="G7:G15" si="0">1/(F7^0.5)</f>
        <v>0.67884423330213062</v>
      </c>
      <c r="H7" s="31">
        <f>(Calculation!$P$7^0.5)*G7</f>
        <v>0</v>
      </c>
      <c r="I7" s="31">
        <v>0.28000000000000003</v>
      </c>
      <c r="J7" s="122">
        <f t="shared" ref="J7:J24" si="1">1/(I7^0.5)</f>
        <v>1.8898223650461359</v>
      </c>
      <c r="K7" s="31"/>
      <c r="L7" s="31"/>
      <c r="M7" s="31"/>
      <c r="N7" s="31"/>
      <c r="O7" s="31"/>
      <c r="P7" s="31"/>
      <c r="Q7" s="120"/>
      <c r="R7" s="44">
        <v>10</v>
      </c>
      <c r="S7" s="44">
        <v>16</v>
      </c>
      <c r="T7" s="4">
        <v>12</v>
      </c>
      <c r="U7" s="44">
        <v>18</v>
      </c>
      <c r="V7" s="31">
        <v>1.62</v>
      </c>
      <c r="W7" s="122">
        <f t="shared" ref="W7:W27" si="2">1/(V7^0.5)</f>
        <v>0.78567420131838617</v>
      </c>
      <c r="X7" s="31">
        <f>(Calculation!$P$7^0.5)*W7</f>
        <v>0</v>
      </c>
      <c r="Y7" s="31">
        <v>0.21</v>
      </c>
      <c r="Z7" s="122">
        <f t="shared" ref="Z7:Z27" si="3">1/(Y7^0.5)</f>
        <v>2.1821789023599236</v>
      </c>
      <c r="AA7" s="4">
        <v>4</v>
      </c>
      <c r="AB7" s="31">
        <v>0.51</v>
      </c>
      <c r="AC7" s="122">
        <f t="shared" ref="AC7:AC15" si="4">1/(AB7^0.5)*1.1</f>
        <v>1.540308092430811</v>
      </c>
      <c r="AE7" s="31"/>
    </row>
    <row r="8" spans="1:31">
      <c r="A8" s="30" t="s">
        <v>46</v>
      </c>
      <c r="B8" s="30"/>
      <c r="E8" s="44">
        <f>E7+12</f>
        <v>30</v>
      </c>
      <c r="F8" s="31">
        <v>3.06</v>
      </c>
      <c r="G8" s="122">
        <f t="shared" si="0"/>
        <v>0.57166195047502943</v>
      </c>
      <c r="H8" s="31">
        <f>(Calculation!$P$7^0.5)*G8</f>
        <v>0</v>
      </c>
      <c r="I8" s="31">
        <v>0.39</v>
      </c>
      <c r="J8" s="122">
        <f t="shared" si="1"/>
        <v>1.6012815380508714</v>
      </c>
      <c r="K8" s="31"/>
      <c r="L8" s="31"/>
      <c r="M8" s="31"/>
      <c r="N8" s="31"/>
      <c r="O8" s="31"/>
      <c r="P8" s="31"/>
      <c r="Q8" s="120"/>
      <c r="R8" s="31"/>
      <c r="S8" s="31"/>
      <c r="U8" s="44">
        <f>U7+12</f>
        <v>30</v>
      </c>
      <c r="V8" s="31">
        <v>2.2799999999999998</v>
      </c>
      <c r="W8" s="122">
        <f t="shared" si="2"/>
        <v>0.6622661785325219</v>
      </c>
      <c r="X8" s="31">
        <f>(Calculation!$P$7^0.5)*W8</f>
        <v>0</v>
      </c>
      <c r="Y8" s="31">
        <v>0.28999999999999998</v>
      </c>
      <c r="Z8" s="122">
        <f t="shared" si="3"/>
        <v>1.8569533817705188</v>
      </c>
      <c r="AB8" s="31">
        <v>0.73</v>
      </c>
      <c r="AC8" s="122">
        <f t="shared" si="4"/>
        <v>1.2874526191574363</v>
      </c>
      <c r="AE8" s="31"/>
    </row>
    <row r="9" spans="1:31">
      <c r="A9" s="30" t="s">
        <v>33</v>
      </c>
      <c r="B9" s="30"/>
      <c r="E9" s="44">
        <f t="shared" ref="E9:E15" si="5">E8+12</f>
        <v>42</v>
      </c>
      <c r="F9" s="31">
        <v>3.94</v>
      </c>
      <c r="G9" s="122">
        <f t="shared" si="0"/>
        <v>0.50379272185987833</v>
      </c>
      <c r="H9" s="31">
        <f>(Calculation!$P$7^0.5)*G9</f>
        <v>0</v>
      </c>
      <c r="I9" s="31">
        <v>0.51</v>
      </c>
      <c r="J9" s="122">
        <f t="shared" si="1"/>
        <v>1.4002800840280099</v>
      </c>
      <c r="K9" s="31"/>
      <c r="L9" s="31"/>
      <c r="M9" s="31"/>
      <c r="N9" s="31"/>
      <c r="O9" s="31"/>
      <c r="P9" s="31"/>
      <c r="Q9" s="120"/>
      <c r="R9" s="31"/>
      <c r="S9" s="31"/>
      <c r="U9" s="44">
        <f t="shared" ref="U9:U15" si="6">U8+12</f>
        <v>42</v>
      </c>
      <c r="V9" s="31">
        <v>2.94</v>
      </c>
      <c r="W9" s="122">
        <f t="shared" si="2"/>
        <v>0.58321184351980426</v>
      </c>
      <c r="X9" s="31">
        <f>(Calculation!$P$7^0.5)*W9</f>
        <v>0</v>
      </c>
      <c r="Y9" s="31">
        <v>0.38</v>
      </c>
      <c r="Z9" s="122">
        <f t="shared" si="3"/>
        <v>1.6222142113076254</v>
      </c>
      <c r="AB9" s="31">
        <v>0.95</v>
      </c>
      <c r="AC9" s="122">
        <f t="shared" si="4"/>
        <v>1.1285761872936697</v>
      </c>
      <c r="AE9" s="31"/>
    </row>
    <row r="10" spans="1:31">
      <c r="A10" s="30" t="s">
        <v>35</v>
      </c>
      <c r="B10" s="30"/>
      <c r="E10" s="44">
        <f t="shared" si="5"/>
        <v>54</v>
      </c>
      <c r="F10" s="31">
        <v>4.82</v>
      </c>
      <c r="G10" s="122">
        <f t="shared" si="0"/>
        <v>0.45548751867427695</v>
      </c>
      <c r="H10" s="31">
        <f>(Calculation!$P$7^0.5)*G10</f>
        <v>0</v>
      </c>
      <c r="I10" s="31">
        <v>0.62</v>
      </c>
      <c r="J10" s="122">
        <f t="shared" si="1"/>
        <v>1.270001270001905</v>
      </c>
      <c r="K10" s="31"/>
      <c r="L10" s="31"/>
      <c r="M10" s="31"/>
      <c r="N10" s="31"/>
      <c r="O10" s="31"/>
      <c r="P10" s="31"/>
      <c r="Q10" s="120"/>
      <c r="R10" s="31"/>
      <c r="S10" s="31"/>
      <c r="U10" s="44">
        <f t="shared" si="6"/>
        <v>54</v>
      </c>
      <c r="V10" s="31">
        <v>3.61</v>
      </c>
      <c r="W10" s="122">
        <f t="shared" si="2"/>
        <v>0.52631578947368418</v>
      </c>
      <c r="X10" s="31">
        <f>(Calculation!$P$7^0.5)*W10</f>
        <v>0</v>
      </c>
      <c r="Y10" s="31">
        <v>0.47</v>
      </c>
      <c r="Z10" s="122">
        <f t="shared" si="3"/>
        <v>1.4586499149789456</v>
      </c>
      <c r="AB10" s="31">
        <v>1.17</v>
      </c>
      <c r="AC10" s="122">
        <f t="shared" si="4"/>
        <v>1.0169503597462537</v>
      </c>
      <c r="AE10" s="31"/>
    </row>
    <row r="11" spans="1:31">
      <c r="A11" s="30"/>
      <c r="B11" s="30"/>
      <c r="E11" s="44">
        <f t="shared" si="5"/>
        <v>66</v>
      </c>
      <c r="F11" s="31">
        <v>5.7</v>
      </c>
      <c r="G11" s="122">
        <f t="shared" si="0"/>
        <v>0.4188539082916955</v>
      </c>
      <c r="H11" s="31">
        <f>(Calculation!$P$7^0.5)*G11</f>
        <v>0</v>
      </c>
      <c r="I11" s="31">
        <v>0.74</v>
      </c>
      <c r="J11" s="122">
        <f t="shared" si="1"/>
        <v>1.1624763874381929</v>
      </c>
      <c r="K11" s="31"/>
      <c r="L11" s="31"/>
      <c r="M11" s="31"/>
      <c r="N11" s="31"/>
      <c r="O11" s="31"/>
      <c r="P11" s="31"/>
      <c r="Q11" s="120"/>
      <c r="R11" s="31"/>
      <c r="S11" s="31"/>
      <c r="U11" s="44">
        <f t="shared" si="6"/>
        <v>66</v>
      </c>
      <c r="V11" s="31">
        <v>4.2699999999999996</v>
      </c>
      <c r="W11" s="122">
        <f t="shared" si="2"/>
        <v>0.48393391849582729</v>
      </c>
      <c r="X11" s="31">
        <f>(Calculation!$P$7^0.5)*W11</f>
        <v>0</v>
      </c>
      <c r="Y11" s="31">
        <v>0.55000000000000004</v>
      </c>
      <c r="Z11" s="122">
        <f t="shared" si="3"/>
        <v>1.3483997249264841</v>
      </c>
      <c r="AB11" s="31">
        <v>1.39</v>
      </c>
      <c r="AC11" s="122">
        <f t="shared" si="4"/>
        <v>0.933007822647968</v>
      </c>
      <c r="AE11" s="31"/>
    </row>
    <row r="12" spans="1:31">
      <c r="A12" s="30"/>
      <c r="B12" s="30"/>
      <c r="E12" s="44">
        <f t="shared" si="5"/>
        <v>78</v>
      </c>
      <c r="F12" s="31">
        <v>6.58</v>
      </c>
      <c r="G12" s="122">
        <f t="shared" si="0"/>
        <v>0.38984058779272523</v>
      </c>
      <c r="H12" s="31">
        <f>(Calculation!$P$7^0.5)*G12</f>
        <v>0</v>
      </c>
      <c r="I12" s="31">
        <v>0.85</v>
      </c>
      <c r="J12" s="122">
        <f t="shared" si="1"/>
        <v>1.0846522890932808</v>
      </c>
      <c r="K12" s="31"/>
      <c r="L12" s="31"/>
      <c r="M12" s="31"/>
      <c r="N12" s="31"/>
      <c r="O12" s="31"/>
      <c r="P12" s="31"/>
      <c r="Q12" s="120"/>
      <c r="R12" s="31"/>
      <c r="S12" s="31"/>
      <c r="U12" s="44">
        <f t="shared" si="6"/>
        <v>78</v>
      </c>
      <c r="V12" s="31">
        <v>4.93</v>
      </c>
      <c r="W12" s="122">
        <f t="shared" si="2"/>
        <v>0.45037734911104504</v>
      </c>
      <c r="X12" s="31">
        <f>(Calculation!$P$7^0.5)*W12</f>
        <v>0</v>
      </c>
      <c r="Y12" s="31">
        <v>0.64</v>
      </c>
      <c r="Z12" s="122">
        <f t="shared" si="3"/>
        <v>1.25</v>
      </c>
      <c r="AB12" s="31">
        <v>1.7</v>
      </c>
      <c r="AC12" s="122">
        <f t="shared" si="4"/>
        <v>0.84366148773210747</v>
      </c>
      <c r="AE12" s="31"/>
    </row>
    <row r="13" spans="1:31">
      <c r="A13" s="30"/>
      <c r="B13" s="30"/>
      <c r="E13" s="44">
        <f t="shared" si="5"/>
        <v>90</v>
      </c>
      <c r="F13" s="31">
        <v>7.46</v>
      </c>
      <c r="G13" s="122">
        <f t="shared" si="0"/>
        <v>0.36612601296910624</v>
      </c>
      <c r="H13" s="31">
        <f>(Calculation!$P$7^0.5)*G13</f>
        <v>0</v>
      </c>
      <c r="I13" s="31">
        <v>0.97</v>
      </c>
      <c r="J13" s="122">
        <f t="shared" si="1"/>
        <v>1.0153461651336191</v>
      </c>
      <c r="K13" s="31"/>
      <c r="L13" s="31"/>
      <c r="M13" s="31"/>
      <c r="N13" s="31"/>
      <c r="O13" s="31"/>
      <c r="P13" s="31"/>
      <c r="Q13" s="120"/>
      <c r="R13" s="31"/>
      <c r="S13" s="31"/>
      <c r="U13" s="44">
        <f t="shared" si="6"/>
        <v>90</v>
      </c>
      <c r="V13" s="31">
        <v>5.59</v>
      </c>
      <c r="W13" s="122">
        <f t="shared" si="2"/>
        <v>0.42295493443781357</v>
      </c>
      <c r="X13" s="31">
        <f>(Calculation!$P$7^0.5)*W13</f>
        <v>0</v>
      </c>
      <c r="Y13" s="31">
        <v>0.73</v>
      </c>
      <c r="Z13" s="122">
        <f t="shared" si="3"/>
        <v>1.1704114719613057</v>
      </c>
      <c r="AB13" s="31">
        <v>1.84</v>
      </c>
      <c r="AC13" s="122">
        <f t="shared" si="4"/>
        <v>0.81093075885193422</v>
      </c>
      <c r="AE13" s="31"/>
    </row>
    <row r="14" spans="1:31">
      <c r="A14" s="30"/>
      <c r="B14" s="30"/>
      <c r="E14" s="44">
        <f t="shared" si="5"/>
        <v>102</v>
      </c>
      <c r="F14" s="31">
        <v>8.34</v>
      </c>
      <c r="G14" s="122">
        <f t="shared" si="0"/>
        <v>0.34627168053222185</v>
      </c>
      <c r="H14" s="31">
        <f>(Calculation!$P$7^0.5)*G14</f>
        <v>0</v>
      </c>
      <c r="I14" s="31">
        <v>1.0900000000000001</v>
      </c>
      <c r="J14" s="122">
        <v>1.0900000000000001</v>
      </c>
      <c r="K14" s="31"/>
      <c r="L14" s="31"/>
      <c r="M14" s="31"/>
      <c r="N14" s="31"/>
      <c r="O14" s="31"/>
      <c r="P14" s="31"/>
      <c r="Q14" s="120"/>
      <c r="R14" s="31"/>
      <c r="S14" s="31"/>
      <c r="U14" s="44">
        <f t="shared" si="6"/>
        <v>102</v>
      </c>
      <c r="V14" s="31">
        <v>6.25</v>
      </c>
      <c r="W14" s="122">
        <f t="shared" si="2"/>
        <v>0.4</v>
      </c>
      <c r="X14" s="31">
        <f>(Calculation!$P$7^0.5)*W14</f>
        <v>0</v>
      </c>
      <c r="Y14" s="31">
        <v>0.81</v>
      </c>
      <c r="Z14" s="122">
        <f t="shared" si="3"/>
        <v>1.1111111111111112</v>
      </c>
      <c r="AB14" s="31">
        <v>2.06</v>
      </c>
      <c r="AC14" s="122">
        <f t="shared" si="4"/>
        <v>0.76640631572077944</v>
      </c>
      <c r="AE14" s="31"/>
    </row>
    <row r="15" spans="1:31">
      <c r="A15" s="30"/>
      <c r="B15" s="30"/>
      <c r="E15" s="44">
        <f t="shared" si="5"/>
        <v>114</v>
      </c>
      <c r="F15" s="31">
        <v>9.2200000000000006</v>
      </c>
      <c r="G15" s="122">
        <f t="shared" si="0"/>
        <v>0.32933246096939206</v>
      </c>
      <c r="H15" s="31">
        <f>(Calculation!$P$7^0.5)*G15</f>
        <v>0</v>
      </c>
      <c r="I15" s="31">
        <v>1.2</v>
      </c>
      <c r="J15" s="122">
        <v>1.2</v>
      </c>
      <c r="K15" s="31"/>
      <c r="L15" s="31"/>
      <c r="M15" s="31"/>
      <c r="N15" s="31"/>
      <c r="O15" s="31"/>
      <c r="P15" s="31"/>
      <c r="Q15" s="120"/>
      <c r="R15" s="31"/>
      <c r="S15" s="31"/>
      <c r="U15" s="44">
        <f t="shared" si="6"/>
        <v>114</v>
      </c>
      <c r="V15" s="31">
        <v>6.91</v>
      </c>
      <c r="W15" s="122">
        <f t="shared" si="2"/>
        <v>0.3804179284542667</v>
      </c>
      <c r="X15" s="31">
        <f>(Calculation!$P$7^0.5)*W15</f>
        <v>0</v>
      </c>
      <c r="Y15" s="31">
        <v>0.9</v>
      </c>
      <c r="Z15" s="122">
        <f t="shared" si="3"/>
        <v>1.0540925533894598</v>
      </c>
      <c r="AB15" s="31">
        <v>2.2799999999999998</v>
      </c>
      <c r="AC15" s="122">
        <f t="shared" si="4"/>
        <v>0.72849279638577413</v>
      </c>
      <c r="AE15" s="31"/>
    </row>
    <row r="16" spans="1:31">
      <c r="A16" s="30" t="s">
        <v>34</v>
      </c>
      <c r="B16" s="44">
        <v>2</v>
      </c>
      <c r="C16" s="4">
        <v>12.5</v>
      </c>
      <c r="D16" s="97">
        <v>20</v>
      </c>
      <c r="E16" s="44">
        <v>18</v>
      </c>
      <c r="F16" s="31">
        <v>2.62</v>
      </c>
      <c r="G16" s="122">
        <f t="shared" ref="G16:G27" si="7">1/(F16^0.5)</f>
        <v>0.61780206321521547</v>
      </c>
      <c r="H16" s="31">
        <f>(Calculation!$P$7^0.5)*G16</f>
        <v>0</v>
      </c>
      <c r="I16" s="31">
        <v>0.34</v>
      </c>
      <c r="J16" s="122">
        <f t="shared" si="1"/>
        <v>1.7149858514250882</v>
      </c>
      <c r="Q16" s="120"/>
      <c r="R16" s="4">
        <v>12.5</v>
      </c>
      <c r="S16" s="4">
        <v>20</v>
      </c>
      <c r="T16" s="4">
        <v>16</v>
      </c>
      <c r="U16" s="44">
        <v>18</v>
      </c>
      <c r="V16" s="31">
        <v>2.17</v>
      </c>
      <c r="W16" s="122">
        <f t="shared" si="2"/>
        <v>0.67884423330213062</v>
      </c>
      <c r="X16" s="31">
        <f>(Calculation!$P$7^0.5)*W16</f>
        <v>0</v>
      </c>
      <c r="Y16" s="31">
        <v>0.28000000000000003</v>
      </c>
      <c r="Z16" s="122">
        <f t="shared" si="3"/>
        <v>1.8898223650461359</v>
      </c>
      <c r="AA16" s="4">
        <v>4</v>
      </c>
      <c r="AB16" s="31">
        <v>0.51</v>
      </c>
      <c r="AC16" s="122">
        <f t="shared" ref="AC16:AC24" si="8">1/(AB16^0.5)*1.1</f>
        <v>1.540308092430811</v>
      </c>
      <c r="AE16" s="31"/>
    </row>
    <row r="17" spans="1:31">
      <c r="A17" s="30" t="s">
        <v>42</v>
      </c>
      <c r="B17" s="30"/>
      <c r="C17" s="4"/>
      <c r="D17" s="97"/>
      <c r="E17" s="44">
        <f>E16+12</f>
        <v>30</v>
      </c>
      <c r="F17" s="31">
        <v>3.69</v>
      </c>
      <c r="G17" s="122">
        <f t="shared" si="7"/>
        <v>0.52057920629535348</v>
      </c>
      <c r="H17" s="31">
        <f>(Calculation!$P$7^0.5)*G17</f>
        <v>0</v>
      </c>
      <c r="I17" s="31">
        <v>0.48</v>
      </c>
      <c r="J17" s="122">
        <f t="shared" si="1"/>
        <v>1.4433756729740643</v>
      </c>
      <c r="Q17" s="120"/>
      <c r="U17" s="44">
        <f>U16+12</f>
        <v>30</v>
      </c>
      <c r="V17" s="31">
        <v>3.06</v>
      </c>
      <c r="W17" s="122">
        <f t="shared" si="2"/>
        <v>0.57166195047502943</v>
      </c>
      <c r="X17" s="31">
        <f>(Calculation!$P$7^0.5)*W17</f>
        <v>0</v>
      </c>
      <c r="Y17" s="31">
        <v>0.31</v>
      </c>
      <c r="Z17" s="122">
        <f t="shared" si="3"/>
        <v>1.7960530202677489</v>
      </c>
      <c r="AB17" s="31">
        <v>0.73</v>
      </c>
      <c r="AC17" s="122">
        <f t="shared" si="8"/>
        <v>1.2874526191574363</v>
      </c>
      <c r="AE17" s="31"/>
    </row>
    <row r="18" spans="1:31">
      <c r="A18" s="30"/>
      <c r="B18" s="30"/>
      <c r="E18" s="44">
        <f t="shared" ref="E18:E24" si="9">E17+12</f>
        <v>42</v>
      </c>
      <c r="F18" s="31">
        <v>4.76</v>
      </c>
      <c r="G18" s="122">
        <f t="shared" si="7"/>
        <v>0.45834924851410563</v>
      </c>
      <c r="H18" s="31">
        <f>(Calculation!$P$7^0.5)*G18</f>
        <v>0</v>
      </c>
      <c r="I18" s="31">
        <v>0.62</v>
      </c>
      <c r="J18" s="122">
        <f t="shared" si="1"/>
        <v>1.270001270001905</v>
      </c>
      <c r="Q18" s="120"/>
      <c r="U18" s="44">
        <f t="shared" ref="U18:U24" si="10">U17+12</f>
        <v>42</v>
      </c>
      <c r="V18" s="31">
        <v>3.94</v>
      </c>
      <c r="W18" s="122">
        <f t="shared" si="2"/>
        <v>0.50379272185987833</v>
      </c>
      <c r="X18" s="31">
        <f>(Calculation!$P$7^0.5)*W18</f>
        <v>0</v>
      </c>
      <c r="Y18" s="31">
        <v>0.53</v>
      </c>
      <c r="Z18" s="122">
        <f t="shared" si="3"/>
        <v>1.3736056394868903</v>
      </c>
      <c r="AB18" s="31">
        <v>0.95</v>
      </c>
      <c r="AC18" s="122">
        <f t="shared" si="8"/>
        <v>1.1285761872936697</v>
      </c>
      <c r="AE18" s="31"/>
    </row>
    <row r="19" spans="1:31">
      <c r="A19" s="30"/>
      <c r="B19" s="30"/>
      <c r="E19" s="44">
        <f t="shared" si="9"/>
        <v>54</v>
      </c>
      <c r="F19" s="31">
        <v>5.83</v>
      </c>
      <c r="G19" s="122">
        <f t="shared" si="7"/>
        <v>0.41415768328129116</v>
      </c>
      <c r="H19" s="31">
        <f>(Calculation!$P$7^0.5)*G19</f>
        <v>0</v>
      </c>
      <c r="I19" s="31">
        <v>0.76</v>
      </c>
      <c r="J19" s="122">
        <f t="shared" si="1"/>
        <v>1.147078669352809</v>
      </c>
      <c r="Q19" s="120"/>
      <c r="U19" s="44">
        <f t="shared" si="10"/>
        <v>54</v>
      </c>
      <c r="V19" s="31">
        <v>4.82</v>
      </c>
      <c r="W19" s="122">
        <f t="shared" si="2"/>
        <v>0.45548751867427695</v>
      </c>
      <c r="X19" s="31">
        <f>(Calculation!$P$7^0.5)*W19</f>
        <v>0</v>
      </c>
      <c r="Y19" s="31">
        <v>0.62</v>
      </c>
      <c r="Z19" s="122">
        <f t="shared" si="3"/>
        <v>1.270001270001905</v>
      </c>
      <c r="AB19" s="31">
        <v>1.17</v>
      </c>
      <c r="AC19" s="122">
        <f t="shared" si="8"/>
        <v>1.0169503597462537</v>
      </c>
      <c r="AE19" s="31"/>
    </row>
    <row r="20" spans="1:31">
      <c r="A20" s="30"/>
      <c r="B20" s="30"/>
      <c r="E20" s="44">
        <f t="shared" si="9"/>
        <v>66</v>
      </c>
      <c r="F20" s="31">
        <v>6.89</v>
      </c>
      <c r="G20" s="122">
        <f t="shared" si="7"/>
        <v>0.38096965887972972</v>
      </c>
      <c r="H20" s="31">
        <f>(Calculation!$P$7^0.5)*G20</f>
        <v>0</v>
      </c>
      <c r="I20" s="31">
        <v>0.9</v>
      </c>
      <c r="J20" s="122">
        <f t="shared" si="1"/>
        <v>1.0540925533894598</v>
      </c>
      <c r="Q20" s="120"/>
      <c r="U20" s="44">
        <f t="shared" si="10"/>
        <v>66</v>
      </c>
      <c r="V20" s="31">
        <v>5.7</v>
      </c>
      <c r="W20" s="122">
        <f t="shared" si="2"/>
        <v>0.4188539082916955</v>
      </c>
      <c r="X20" s="31">
        <f>(Calculation!$P$7^0.5)*W20</f>
        <v>0</v>
      </c>
      <c r="Y20" s="31">
        <v>0.74</v>
      </c>
      <c r="Z20" s="122">
        <f t="shared" si="3"/>
        <v>1.1624763874381929</v>
      </c>
      <c r="AB20" s="31">
        <v>1.39</v>
      </c>
      <c r="AC20" s="122">
        <f t="shared" si="8"/>
        <v>0.933007822647968</v>
      </c>
      <c r="AE20" s="31"/>
    </row>
    <row r="21" spans="1:31">
      <c r="A21" s="30"/>
      <c r="B21" s="30"/>
      <c r="E21" s="44">
        <f t="shared" si="9"/>
        <v>78</v>
      </c>
      <c r="F21" s="31">
        <v>7.96</v>
      </c>
      <c r="G21" s="122">
        <f t="shared" si="7"/>
        <v>0.35444060250416792</v>
      </c>
      <c r="H21" s="31">
        <f>(Calculation!$P$7^0.5)*G21</f>
        <v>0</v>
      </c>
      <c r="I21" s="31">
        <v>1.04</v>
      </c>
      <c r="J21" s="122">
        <f t="shared" si="1"/>
        <v>0.98058067569092011</v>
      </c>
      <c r="Q21" s="120"/>
      <c r="U21" s="44">
        <f t="shared" si="10"/>
        <v>78</v>
      </c>
      <c r="V21" s="31">
        <v>6.58</v>
      </c>
      <c r="W21" s="122">
        <f t="shared" si="2"/>
        <v>0.38984058779272523</v>
      </c>
      <c r="X21" s="31">
        <f>(Calculation!$P$7^0.5)*W21</f>
        <v>0</v>
      </c>
      <c r="Y21" s="31">
        <v>0.85</v>
      </c>
      <c r="Z21" s="122">
        <f t="shared" si="3"/>
        <v>1.0846522890932808</v>
      </c>
      <c r="AB21" s="31">
        <v>1.7</v>
      </c>
      <c r="AC21" s="122">
        <f t="shared" si="8"/>
        <v>0.84366148773210747</v>
      </c>
      <c r="AE21" s="31"/>
    </row>
    <row r="22" spans="1:31">
      <c r="A22" s="30"/>
      <c r="B22" s="30"/>
      <c r="E22" s="44">
        <f t="shared" si="9"/>
        <v>90</v>
      </c>
      <c r="F22" s="31">
        <v>9.0299999999999994</v>
      </c>
      <c r="G22" s="122">
        <f t="shared" si="7"/>
        <v>0.33277916281986086</v>
      </c>
      <c r="H22" s="31">
        <f>(Calculation!$P$7^0.5)*G22</f>
        <v>0</v>
      </c>
      <c r="I22" s="31">
        <v>1.17</v>
      </c>
      <c r="J22" s="122">
        <f t="shared" si="1"/>
        <v>0.92450032704204865</v>
      </c>
      <c r="Q22" s="120"/>
      <c r="U22" s="44">
        <f t="shared" si="10"/>
        <v>90</v>
      </c>
      <c r="V22" s="31">
        <v>7.46</v>
      </c>
      <c r="W22" s="122">
        <f t="shared" si="2"/>
        <v>0.36612601296910624</v>
      </c>
      <c r="X22" s="31">
        <f>(Calculation!$P$7^0.5)*W22</f>
        <v>0</v>
      </c>
      <c r="Y22" s="31">
        <v>0.97</v>
      </c>
      <c r="Z22" s="122">
        <f t="shared" si="3"/>
        <v>1.0153461651336191</v>
      </c>
      <c r="AB22" s="31">
        <v>1.84</v>
      </c>
      <c r="AC22" s="122">
        <f t="shared" si="8"/>
        <v>0.81093075885193422</v>
      </c>
      <c r="AE22" s="31"/>
    </row>
    <row r="23" spans="1:31">
      <c r="A23" s="30"/>
      <c r="B23" s="30"/>
      <c r="E23" s="44">
        <f t="shared" si="9"/>
        <v>102</v>
      </c>
      <c r="F23" s="31">
        <v>10.1</v>
      </c>
      <c r="G23" s="122">
        <f t="shared" si="7"/>
        <v>0.3146583877637763</v>
      </c>
      <c r="H23" s="31">
        <f>(Calculation!$P$7^0.5)*G23</f>
        <v>0</v>
      </c>
      <c r="I23" s="31">
        <v>1.31</v>
      </c>
      <c r="J23" s="122">
        <f t="shared" si="1"/>
        <v>0.8737040566610379</v>
      </c>
      <c r="Q23" s="120"/>
      <c r="U23" s="44">
        <f t="shared" si="10"/>
        <v>102</v>
      </c>
      <c r="V23" s="31">
        <v>8.34</v>
      </c>
      <c r="W23" s="122">
        <f t="shared" si="2"/>
        <v>0.34627168053222185</v>
      </c>
      <c r="X23" s="31">
        <f>(Calculation!$P$7^0.5)*W23</f>
        <v>0</v>
      </c>
      <c r="Y23" s="31">
        <v>1.0900000000000001</v>
      </c>
      <c r="Z23" s="122">
        <f t="shared" si="3"/>
        <v>0.95782628522115132</v>
      </c>
      <c r="AB23" s="31">
        <v>2.06</v>
      </c>
      <c r="AC23" s="122">
        <f t="shared" si="8"/>
        <v>0.76640631572077944</v>
      </c>
      <c r="AE23" s="31"/>
    </row>
    <row r="24" spans="1:31">
      <c r="A24" s="30"/>
      <c r="B24" s="30"/>
      <c r="E24" s="44">
        <f t="shared" si="9"/>
        <v>114</v>
      </c>
      <c r="F24" s="31">
        <v>11.16</v>
      </c>
      <c r="G24" s="122">
        <f t="shared" si="7"/>
        <v>0.29934217004462482</v>
      </c>
      <c r="H24" s="31">
        <f>(Calculation!$P$7^0.5)*G24</f>
        <v>0</v>
      </c>
      <c r="I24" s="31">
        <v>1.45</v>
      </c>
      <c r="J24" s="122">
        <f t="shared" si="1"/>
        <v>0.83045479853739967</v>
      </c>
      <c r="Q24" s="120"/>
      <c r="U24" s="44">
        <f t="shared" si="10"/>
        <v>114</v>
      </c>
      <c r="V24" s="31">
        <v>9.2200000000000006</v>
      </c>
      <c r="W24" s="122">
        <f t="shared" si="2"/>
        <v>0.32933246096939206</v>
      </c>
      <c r="X24" s="31">
        <f>(Calculation!$P$7^0.5)*W24</f>
        <v>0</v>
      </c>
      <c r="Y24" s="31">
        <v>1.2</v>
      </c>
      <c r="Z24" s="122">
        <f t="shared" si="3"/>
        <v>0.9128709291752769</v>
      </c>
      <c r="AB24" s="31">
        <v>2.2799999999999998</v>
      </c>
      <c r="AC24" s="122">
        <f t="shared" si="8"/>
        <v>0.72849279638577413</v>
      </c>
      <c r="AE24" s="31"/>
    </row>
    <row r="25" spans="1:31">
      <c r="A25" s="4" t="s">
        <v>32</v>
      </c>
      <c r="B25" s="44">
        <v>2</v>
      </c>
      <c r="C25" s="4">
        <v>13.75</v>
      </c>
      <c r="D25" s="4">
        <v>22</v>
      </c>
      <c r="E25" s="44">
        <v>13</v>
      </c>
      <c r="F25" s="31">
        <v>2.4</v>
      </c>
      <c r="G25" s="122">
        <f t="shared" si="7"/>
        <v>0.6454972243679028</v>
      </c>
      <c r="H25" s="31">
        <f>(Calculation!$P$7^0.5)*G25</f>
        <v>0</v>
      </c>
      <c r="I25" s="31">
        <v>0.31</v>
      </c>
      <c r="J25" s="122">
        <f t="shared" ref="J25:J36" si="11">1/(I25^0.5)</f>
        <v>1.7960530202677489</v>
      </c>
      <c r="Q25" s="120"/>
      <c r="R25" s="4">
        <v>13.75</v>
      </c>
      <c r="S25" s="4">
        <v>22</v>
      </c>
      <c r="T25" s="4">
        <v>18</v>
      </c>
      <c r="U25" s="44">
        <v>13</v>
      </c>
      <c r="V25" s="31">
        <v>1.96</v>
      </c>
      <c r="W25" s="122">
        <f t="shared" si="2"/>
        <v>0.7142857142857143</v>
      </c>
      <c r="X25" s="31">
        <f>(Calculation!$P$7^0.5)*W25</f>
        <v>0</v>
      </c>
      <c r="Y25" s="31">
        <v>0.25</v>
      </c>
      <c r="Z25" s="122">
        <f t="shared" si="3"/>
        <v>2</v>
      </c>
      <c r="AA25" s="4">
        <v>4</v>
      </c>
      <c r="AB25" s="31">
        <v>0.4</v>
      </c>
      <c r="AC25" s="122">
        <f>1/(AB25^0.5)*1.1</f>
        <v>1.7392527130926085</v>
      </c>
    </row>
    <row r="26" spans="1:31">
      <c r="D26" s="4"/>
      <c r="E26" s="44">
        <v>37</v>
      </c>
      <c r="F26" s="31">
        <v>4.75</v>
      </c>
      <c r="G26" s="122">
        <f t="shared" si="7"/>
        <v>0.45883146774112349</v>
      </c>
      <c r="H26" s="31">
        <f>(Calculation!$P$7^0.5)*G26</f>
        <v>0</v>
      </c>
      <c r="I26" s="31">
        <v>0.62</v>
      </c>
      <c r="J26" s="122">
        <f t="shared" si="11"/>
        <v>1.270001270001905</v>
      </c>
      <c r="Q26" s="120"/>
      <c r="T26" s="4"/>
      <c r="U26" s="44">
        <v>37</v>
      </c>
      <c r="V26" s="31">
        <v>3.88</v>
      </c>
      <c r="W26" s="122">
        <f t="shared" si="2"/>
        <v>0.50767308256680954</v>
      </c>
      <c r="X26" s="31">
        <f>(Calculation!$P$7^0.5)*W26</f>
        <v>0</v>
      </c>
      <c r="Y26" s="31">
        <v>0.5</v>
      </c>
      <c r="Z26" s="122">
        <f t="shared" si="3"/>
        <v>1.4142135623730949</v>
      </c>
      <c r="AB26" s="31">
        <v>0.82</v>
      </c>
      <c r="AC26" s="122">
        <f>1/(AB26^0.5)*1.1</f>
        <v>1.2147467868233122</v>
      </c>
    </row>
    <row r="27" spans="1:31">
      <c r="E27" s="44">
        <v>61</v>
      </c>
      <c r="F27" s="31">
        <v>7.1</v>
      </c>
      <c r="G27" s="122">
        <f t="shared" si="7"/>
        <v>0.37529331252040077</v>
      </c>
      <c r="H27" s="31">
        <f>(Calculation!$P$7^0.5)*G27</f>
        <v>0</v>
      </c>
      <c r="I27" s="31">
        <v>0.92</v>
      </c>
      <c r="J27" s="122">
        <f t="shared" si="11"/>
        <v>1.0425720702853738</v>
      </c>
      <c r="Q27" s="120"/>
      <c r="U27" s="4">
        <v>61</v>
      </c>
      <c r="V27" s="31">
        <v>5.8</v>
      </c>
      <c r="W27" s="122">
        <f t="shared" si="2"/>
        <v>0.41522739926869984</v>
      </c>
      <c r="X27" s="4">
        <v>0.75</v>
      </c>
      <c r="Y27" s="31">
        <v>0.75</v>
      </c>
      <c r="Z27" s="122">
        <f t="shared" si="3"/>
        <v>1.1547005383792517</v>
      </c>
      <c r="AB27" s="31">
        <v>1.25</v>
      </c>
      <c r="AC27" s="122">
        <f>1/(AB27^0.5)*1.1</f>
        <v>0.98386991009990754</v>
      </c>
    </row>
    <row r="28" spans="1:31">
      <c r="A28" s="209" t="s">
        <v>31</v>
      </c>
      <c r="B28" s="202">
        <v>2</v>
      </c>
      <c r="C28" s="200">
        <v>5</v>
      </c>
      <c r="D28" s="210">
        <v>20</v>
      </c>
      <c r="E28" s="202">
        <v>36</v>
      </c>
      <c r="F28" s="203">
        <v>1.73</v>
      </c>
      <c r="G28" s="204">
        <f t="shared" ref="G28:G36" si="12">1/(F28^0.5)</f>
        <v>0.76028592126970562</v>
      </c>
      <c r="H28" s="203">
        <f>(Calculation!$P$7^0.5)*G28</f>
        <v>0</v>
      </c>
      <c r="I28" s="203">
        <v>0.22</v>
      </c>
      <c r="J28" s="204">
        <f t="shared" si="11"/>
        <v>2.1320071635561044</v>
      </c>
      <c r="K28" s="206"/>
      <c r="L28" s="206"/>
      <c r="M28" s="206"/>
      <c r="N28" s="206"/>
      <c r="O28" s="206"/>
      <c r="P28" s="206"/>
      <c r="Q28" s="205"/>
      <c r="R28" s="207">
        <v>5</v>
      </c>
      <c r="S28" s="207">
        <v>16</v>
      </c>
      <c r="T28" s="200">
        <v>12</v>
      </c>
      <c r="U28" s="202">
        <v>36</v>
      </c>
      <c r="V28" s="203">
        <v>1.28</v>
      </c>
      <c r="W28" s="204">
        <f t="shared" ref="W28:W36" si="13">1/(V28^0.5)</f>
        <v>0.88388347648318444</v>
      </c>
      <c r="X28" s="203">
        <f>(Calculation!$P$7^0.5)*W28</f>
        <v>0</v>
      </c>
      <c r="Y28" s="203">
        <v>0.16</v>
      </c>
      <c r="Z28" s="204">
        <f t="shared" ref="Z28:Z36" si="14">1/(Y28^0.5)</f>
        <v>2.5</v>
      </c>
      <c r="AA28" s="200">
        <v>2</v>
      </c>
      <c r="AB28" s="203">
        <v>0.84</v>
      </c>
      <c r="AC28" s="204">
        <f t="shared" ref="AC28:AC36" si="15">1/(AB28^0.5)</f>
        <v>1.0910894511799618</v>
      </c>
    </row>
    <row r="29" spans="1:31">
      <c r="A29" s="927"/>
      <c r="B29" s="927"/>
      <c r="C29" s="927"/>
      <c r="D29" s="927"/>
      <c r="E29" s="202">
        <v>60</v>
      </c>
      <c r="F29" s="203">
        <v>2.61</v>
      </c>
      <c r="G29" s="204">
        <f t="shared" si="12"/>
        <v>0.61898446059017287</v>
      </c>
      <c r="H29" s="203">
        <f>(Calculation!$P$7^0.5)*G29</f>
        <v>0</v>
      </c>
      <c r="I29" s="203">
        <v>0.34</v>
      </c>
      <c r="J29" s="204">
        <f t="shared" si="11"/>
        <v>1.7149858514250882</v>
      </c>
      <c r="Q29" s="120"/>
      <c r="R29" s="206"/>
      <c r="S29" s="206"/>
      <c r="T29" s="206"/>
      <c r="U29" s="202">
        <v>60</v>
      </c>
      <c r="V29" s="203">
        <v>1.95</v>
      </c>
      <c r="W29" s="204">
        <f t="shared" si="13"/>
        <v>0.71611487403943286</v>
      </c>
      <c r="X29" s="203">
        <f>(Calculation!$P$7^0.5)*W29</f>
        <v>0</v>
      </c>
      <c r="Y29" s="203">
        <v>0.25</v>
      </c>
      <c r="Z29" s="204">
        <f t="shared" si="14"/>
        <v>2</v>
      </c>
      <c r="AA29" s="206"/>
      <c r="AB29" s="203">
        <v>1.28</v>
      </c>
      <c r="AC29" s="204">
        <f t="shared" si="15"/>
        <v>0.88388347648318444</v>
      </c>
    </row>
    <row r="30" spans="1:31">
      <c r="E30" s="202">
        <v>84</v>
      </c>
      <c r="F30" s="203">
        <v>3.49</v>
      </c>
      <c r="G30" s="204">
        <f t="shared" si="12"/>
        <v>0.53528772757218923</v>
      </c>
      <c r="H30" s="203">
        <f>(Calculation!$P$7^0.5)*G30</f>
        <v>0</v>
      </c>
      <c r="I30" s="203">
        <v>0.45</v>
      </c>
      <c r="J30" s="204">
        <f t="shared" si="11"/>
        <v>1.4907119849998598</v>
      </c>
      <c r="Q30" s="120"/>
      <c r="R30" s="206"/>
      <c r="S30" s="206"/>
      <c r="T30" s="206"/>
      <c r="U30" s="202">
        <v>84</v>
      </c>
      <c r="V30" s="203">
        <v>2.61</v>
      </c>
      <c r="W30" s="204">
        <f t="shared" si="13"/>
        <v>0.61898446059017287</v>
      </c>
      <c r="X30" s="203">
        <f>(Calculation!$P$7^0.5)*W30</f>
        <v>0</v>
      </c>
      <c r="Y30" s="203">
        <v>0.34</v>
      </c>
      <c r="Z30" s="204">
        <f t="shared" si="14"/>
        <v>1.7149858514250882</v>
      </c>
      <c r="AA30" s="206"/>
      <c r="AB30" s="203">
        <v>1.73</v>
      </c>
      <c r="AC30" s="204">
        <f t="shared" si="15"/>
        <v>0.76028592126970562</v>
      </c>
    </row>
    <row r="31" spans="1:31">
      <c r="E31" s="202">
        <v>108</v>
      </c>
      <c r="F31" s="203">
        <v>4.38</v>
      </c>
      <c r="G31" s="204">
        <f t="shared" si="12"/>
        <v>0.47781848256749659</v>
      </c>
      <c r="H31" s="203">
        <f>(Calculation!$P$7^0.5)*G31</f>
        <v>0</v>
      </c>
      <c r="I31" s="203">
        <v>0.56999999999999995</v>
      </c>
      <c r="J31" s="204">
        <f t="shared" si="11"/>
        <v>1.3245323570650438</v>
      </c>
      <c r="Q31" s="120"/>
      <c r="R31" s="206"/>
      <c r="S31" s="206"/>
      <c r="T31" s="206"/>
      <c r="U31" s="202">
        <v>108</v>
      </c>
      <c r="V31" s="203">
        <v>3.27</v>
      </c>
      <c r="W31" s="204">
        <f t="shared" si="13"/>
        <v>0.553001263609331</v>
      </c>
      <c r="X31" s="203">
        <f>(Calculation!$P$7^0.5)*W31</f>
        <v>0</v>
      </c>
      <c r="Y31" s="203">
        <v>0.42</v>
      </c>
      <c r="Z31" s="204">
        <f t="shared" si="14"/>
        <v>1.5430334996209192</v>
      </c>
      <c r="AA31" s="206"/>
      <c r="AB31" s="203">
        <v>2.17</v>
      </c>
      <c r="AC31" s="204">
        <f t="shared" si="15"/>
        <v>0.67884423330213062</v>
      </c>
    </row>
    <row r="32" spans="1:31">
      <c r="E32" s="202">
        <v>132</v>
      </c>
      <c r="F32" s="203">
        <v>5.26</v>
      </c>
      <c r="G32" s="204">
        <f t="shared" si="12"/>
        <v>0.43602072019694732</v>
      </c>
      <c r="H32" s="203">
        <f>(Calculation!$P$7^0.5)*G32</f>
        <v>0</v>
      </c>
      <c r="I32" s="203">
        <v>0.68</v>
      </c>
      <c r="J32" s="204">
        <f t="shared" si="11"/>
        <v>1.2126781251816647</v>
      </c>
      <c r="Q32" s="120"/>
      <c r="R32" s="206"/>
      <c r="S32" s="206"/>
      <c r="T32" s="206"/>
      <c r="U32" s="202">
        <v>132</v>
      </c>
      <c r="V32" s="203">
        <v>3.94</v>
      </c>
      <c r="W32" s="204">
        <f t="shared" si="13"/>
        <v>0.50379272185987833</v>
      </c>
      <c r="X32" s="203">
        <f>(Calculation!$P$7^0.5)*W32</f>
        <v>0</v>
      </c>
      <c r="Y32" s="203">
        <v>0.51</v>
      </c>
      <c r="Z32" s="204">
        <f t="shared" si="14"/>
        <v>1.4002800840280099</v>
      </c>
      <c r="AA32" s="206"/>
      <c r="AB32" s="203">
        <v>2.61</v>
      </c>
      <c r="AC32" s="204">
        <f t="shared" si="15"/>
        <v>0.61898446059017287</v>
      </c>
    </row>
    <row r="33" spans="1:29">
      <c r="E33" s="202">
        <v>156</v>
      </c>
      <c r="F33" s="203">
        <v>6.14</v>
      </c>
      <c r="G33" s="204">
        <f t="shared" si="12"/>
        <v>0.40356715613563088</v>
      </c>
      <c r="H33" s="203">
        <f>(Calculation!$P$7^0.5)*G33</f>
        <v>0</v>
      </c>
      <c r="I33" s="203">
        <v>0.8</v>
      </c>
      <c r="J33" s="204">
        <f t="shared" si="11"/>
        <v>1.1180339887498949</v>
      </c>
      <c r="Q33" s="120"/>
      <c r="R33" s="206"/>
      <c r="S33" s="206"/>
      <c r="T33" s="206"/>
      <c r="U33" s="202">
        <v>156</v>
      </c>
      <c r="V33" s="203">
        <v>4.5999999999999996</v>
      </c>
      <c r="W33" s="204">
        <f t="shared" si="13"/>
        <v>0.46625240412015689</v>
      </c>
      <c r="X33" s="203">
        <f>(Calculation!$P$7^0.5)*W33</f>
        <v>0</v>
      </c>
      <c r="Y33" s="203">
        <v>0.6</v>
      </c>
      <c r="Z33" s="204">
        <f t="shared" si="14"/>
        <v>1.2909944487358056</v>
      </c>
      <c r="AA33" s="206"/>
      <c r="AB33" s="203">
        <v>3.05</v>
      </c>
      <c r="AC33" s="204">
        <f t="shared" si="15"/>
        <v>0.5725983343138682</v>
      </c>
    </row>
    <row r="34" spans="1:29">
      <c r="E34" s="202">
        <v>180</v>
      </c>
      <c r="F34" s="203">
        <v>7.02</v>
      </c>
      <c r="G34" s="204">
        <f t="shared" si="12"/>
        <v>0.3774256780481986</v>
      </c>
      <c r="H34" s="203">
        <f>(Calculation!$P$7^0.5)*G34</f>
        <v>0</v>
      </c>
      <c r="I34" s="203">
        <v>0.91</v>
      </c>
      <c r="J34" s="204">
        <f t="shared" si="11"/>
        <v>1.0482848367219182</v>
      </c>
      <c r="Q34" s="120"/>
      <c r="R34" s="206"/>
      <c r="S34" s="206"/>
      <c r="T34" s="206"/>
      <c r="U34" s="202">
        <v>180</v>
      </c>
      <c r="V34" s="203">
        <v>5.26</v>
      </c>
      <c r="W34" s="204">
        <f t="shared" si="13"/>
        <v>0.43602072019694732</v>
      </c>
      <c r="X34" s="203">
        <f>(Calculation!$P$7^0.5)*W34</f>
        <v>0</v>
      </c>
      <c r="Y34" s="203">
        <v>0.68</v>
      </c>
      <c r="Z34" s="204">
        <f t="shared" si="14"/>
        <v>1.2126781251816647</v>
      </c>
      <c r="AA34" s="206"/>
      <c r="AB34" s="203">
        <v>3.49</v>
      </c>
      <c r="AC34" s="204">
        <f t="shared" si="15"/>
        <v>0.53528772757218923</v>
      </c>
    </row>
    <row r="35" spans="1:29">
      <c r="E35" s="202">
        <v>204</v>
      </c>
      <c r="F35" s="203">
        <v>7.9</v>
      </c>
      <c r="G35" s="204">
        <f t="shared" si="12"/>
        <v>0.35578403348241</v>
      </c>
      <c r="H35" s="203">
        <f>(Calculation!$P$7^0.5)*G35</f>
        <v>0</v>
      </c>
      <c r="I35" s="203">
        <v>1.03</v>
      </c>
      <c r="J35" s="204">
        <f t="shared" si="11"/>
        <v>0.98532927816429317</v>
      </c>
      <c r="Q35" s="120"/>
      <c r="R35" s="206"/>
      <c r="S35" s="206"/>
      <c r="T35" s="206"/>
      <c r="U35" s="202">
        <v>204</v>
      </c>
      <c r="V35" s="203">
        <v>5.92</v>
      </c>
      <c r="W35" s="204">
        <f t="shared" si="13"/>
        <v>0.41099746826339328</v>
      </c>
      <c r="X35" s="203">
        <f>(Calculation!$P$7^0.5)*W35</f>
        <v>0</v>
      </c>
      <c r="Y35" s="203">
        <v>0.77</v>
      </c>
      <c r="Z35" s="204">
        <f t="shared" si="14"/>
        <v>1.1396057645963795</v>
      </c>
      <c r="AA35" s="206"/>
      <c r="AB35" s="203">
        <v>3.93</v>
      </c>
      <c r="AC35" s="204">
        <f t="shared" si="15"/>
        <v>0.50443327230531831</v>
      </c>
    </row>
    <row r="36" spans="1:29">
      <c r="E36" s="202">
        <v>228</v>
      </c>
      <c r="F36" s="203">
        <v>8.7799999999999994</v>
      </c>
      <c r="G36" s="204">
        <f t="shared" si="12"/>
        <v>0.33748365353141352</v>
      </c>
      <c r="H36" s="203">
        <f>(Calculation!$P$7^0.5)*G36</f>
        <v>0</v>
      </c>
      <c r="I36" s="203">
        <v>1.1399999999999999</v>
      </c>
      <c r="J36" s="204">
        <f t="shared" si="11"/>
        <v>0.93658581158169396</v>
      </c>
      <c r="Q36" s="120"/>
      <c r="R36" s="206"/>
      <c r="S36" s="206"/>
      <c r="T36" s="206"/>
      <c r="U36" s="202">
        <v>228</v>
      </c>
      <c r="V36" s="203">
        <v>6.58</v>
      </c>
      <c r="W36" s="204">
        <f t="shared" si="13"/>
        <v>0.38984058779272523</v>
      </c>
      <c r="X36" s="203">
        <f>(Calculation!$P$7^0.5)*W36</f>
        <v>0</v>
      </c>
      <c r="Y36" s="203">
        <v>0.85</v>
      </c>
      <c r="Z36" s="204">
        <f t="shared" si="14"/>
        <v>1.0846522890932808</v>
      </c>
      <c r="AA36" s="206"/>
      <c r="AB36" s="203">
        <v>4.38</v>
      </c>
      <c r="AC36" s="204">
        <f t="shared" si="15"/>
        <v>0.47781848256749659</v>
      </c>
    </row>
    <row r="37" spans="1:29">
      <c r="E37" s="44"/>
    </row>
    <row r="38" spans="1:29">
      <c r="E38" s="44"/>
    </row>
    <row r="39" spans="1:29">
      <c r="E39" s="44"/>
    </row>
    <row r="40" spans="1:29">
      <c r="E40" s="44"/>
    </row>
    <row r="46" spans="1:29">
      <c r="A46" s="887"/>
      <c r="B46" s="887"/>
      <c r="C46" s="887"/>
      <c r="D46" s="887"/>
      <c r="E46" s="887"/>
      <c r="F46" s="933"/>
      <c r="G46" s="933"/>
      <c r="H46" s="933"/>
      <c r="I46" s="933"/>
      <c r="J46" s="933"/>
      <c r="K46" s="933" t="s">
        <v>81</v>
      </c>
      <c r="L46" s="933"/>
      <c r="M46" s="933"/>
      <c r="N46" s="933"/>
      <c r="O46" s="933"/>
      <c r="P46" s="22"/>
      <c r="Q46" s="22"/>
      <c r="R46" s="22"/>
      <c r="S46" s="22"/>
      <c r="T46" s="933"/>
      <c r="U46" s="933"/>
      <c r="V46" s="933"/>
      <c r="W46" s="933"/>
      <c r="X46" s="933"/>
      <c r="Y46" s="933"/>
      <c r="Z46" s="933"/>
      <c r="AA46" s="933"/>
      <c r="AB46" s="933"/>
      <c r="AC46" s="933"/>
    </row>
    <row r="47" spans="1:29">
      <c r="A47" s="887"/>
      <c r="B47" s="887"/>
      <c r="C47" s="887"/>
      <c r="D47" s="887"/>
      <c r="E47" s="887"/>
      <c r="F47" s="929"/>
      <c r="G47" s="929"/>
      <c r="H47" s="929"/>
      <c r="I47" s="929"/>
      <c r="J47" s="929"/>
      <c r="K47" s="928"/>
      <c r="L47" s="928"/>
      <c r="M47" s="55"/>
      <c r="N47" s="928"/>
      <c r="O47" s="928"/>
      <c r="P47" s="55"/>
      <c r="Q47" s="636"/>
      <c r="R47" s="55"/>
      <c r="S47" s="55"/>
      <c r="T47" s="929"/>
      <c r="U47" s="929"/>
      <c r="V47" s="929"/>
      <c r="W47" s="929"/>
      <c r="X47" s="929"/>
      <c r="Y47" s="934"/>
      <c r="Z47" s="934"/>
      <c r="AA47" s="928"/>
      <c r="AB47" s="928"/>
      <c r="AC47" s="928"/>
    </row>
    <row r="48" spans="1:29">
      <c r="C48" s="636"/>
      <c r="D48" s="636"/>
      <c r="E48" s="932"/>
      <c r="F48" s="932"/>
      <c r="G48" s="636"/>
      <c r="H48" s="636"/>
      <c r="I48" s="932"/>
      <c r="J48" s="636"/>
      <c r="K48" s="932"/>
      <c r="L48" s="636"/>
      <c r="M48" s="119"/>
      <c r="N48" s="932"/>
      <c r="O48" s="636"/>
      <c r="P48" s="119"/>
      <c r="Q48" s="636"/>
      <c r="R48" s="636"/>
      <c r="S48" s="119"/>
      <c r="T48" s="636"/>
      <c r="U48" s="932"/>
      <c r="V48" s="932"/>
      <c r="W48" s="636"/>
      <c r="X48" s="636"/>
      <c r="Y48" s="932"/>
      <c r="Z48" s="636"/>
      <c r="AA48" s="636"/>
      <c r="AB48" s="932"/>
      <c r="AC48" s="636"/>
    </row>
    <row r="49" spans="3:29">
      <c r="C49" s="636"/>
      <c r="D49" s="636"/>
      <c r="E49" s="932"/>
      <c r="F49" s="932"/>
      <c r="G49" s="636"/>
      <c r="H49" s="636"/>
      <c r="I49" s="932"/>
      <c r="J49" s="636"/>
      <c r="K49" s="932"/>
      <c r="L49" s="636"/>
      <c r="M49" s="119"/>
      <c r="N49" s="932"/>
      <c r="O49" s="636"/>
      <c r="P49" s="119"/>
      <c r="Q49" s="636"/>
      <c r="R49" s="636"/>
      <c r="S49" s="119"/>
      <c r="T49" s="636"/>
      <c r="U49" s="932"/>
      <c r="V49" s="932"/>
      <c r="W49" s="636"/>
      <c r="X49" s="636"/>
      <c r="Y49" s="932"/>
      <c r="Z49" s="636"/>
      <c r="AA49" s="636"/>
      <c r="AB49" s="932"/>
      <c r="AC49" s="636"/>
    </row>
    <row r="50" spans="3:29">
      <c r="C50" s="120"/>
      <c r="D50" s="120"/>
      <c r="E50" s="121"/>
      <c r="F50" s="120"/>
      <c r="G50" s="636"/>
      <c r="H50" s="636"/>
      <c r="I50" s="120"/>
      <c r="J50" s="636"/>
      <c r="K50" s="120"/>
      <c r="L50" s="120"/>
      <c r="M50" s="120"/>
      <c r="N50" s="120"/>
      <c r="O50" s="120"/>
      <c r="P50" s="120"/>
      <c r="Q50" s="636"/>
      <c r="R50" s="636"/>
      <c r="S50" s="119"/>
      <c r="T50" s="120"/>
      <c r="U50" s="50"/>
      <c r="V50" s="120"/>
      <c r="W50" s="636"/>
      <c r="X50" s="636"/>
      <c r="Y50" s="120"/>
      <c r="Z50" s="636"/>
      <c r="AA50" s="120"/>
      <c r="AB50" s="120"/>
      <c r="AC50" s="636"/>
    </row>
    <row r="51" spans="3:29">
      <c r="C51" s="171">
        <v>5</v>
      </c>
      <c r="D51" s="4">
        <v>8</v>
      </c>
      <c r="E51" s="44">
        <v>18</v>
      </c>
      <c r="F51" s="31">
        <v>0.81</v>
      </c>
      <c r="G51" s="122">
        <f t="shared" ref="G51:G59" si="16">1/(F51^0.5)</f>
        <v>1.1111111111111112</v>
      </c>
      <c r="H51" s="31">
        <f>(Calculation!$P$7^0.5)*G51</f>
        <v>0</v>
      </c>
      <c r="I51" s="31">
        <v>0.1</v>
      </c>
      <c r="J51" s="122">
        <f t="shared" ref="J51:J59" si="17">1/(I51^0.5)</f>
        <v>3.1622776601683791</v>
      </c>
      <c r="Q51" s="120">
        <f t="shared" ref="Q51:Q59" si="18">J51/G51</f>
        <v>2.8460498941515411</v>
      </c>
      <c r="R51" s="207">
        <v>5</v>
      </c>
      <c r="S51" s="207">
        <v>16</v>
      </c>
      <c r="T51" s="200">
        <v>12</v>
      </c>
      <c r="U51" s="202">
        <v>18</v>
      </c>
      <c r="V51" s="203">
        <v>0.59</v>
      </c>
      <c r="W51" s="204">
        <f t="shared" ref="W51:W59" si="19">1/(V51^0.5)</f>
        <v>1.3018891098082386</v>
      </c>
      <c r="X51" s="203">
        <f>(Calculation!$P$7^0.5)*W51</f>
        <v>0</v>
      </c>
      <c r="Y51" s="203">
        <v>7.0000000000000007E-2</v>
      </c>
      <c r="Z51" s="204">
        <f t="shared" ref="Z51:Z59" si="20">1/(Y51^0.5)</f>
        <v>3.7796447300922718</v>
      </c>
      <c r="AA51" s="200">
        <v>2</v>
      </c>
      <c r="AB51" s="203">
        <v>0.22</v>
      </c>
      <c r="AC51" s="204">
        <f t="shared" ref="AC51:AC59" si="21">1/(AB51^0.5)</f>
        <v>2.1320071635561044</v>
      </c>
    </row>
    <row r="52" spans="3:29">
      <c r="E52" s="44">
        <f>E51+12</f>
        <v>30</v>
      </c>
      <c r="F52" s="31">
        <v>1.24</v>
      </c>
      <c r="G52" s="122">
        <f t="shared" si="16"/>
        <v>0.89802651013387447</v>
      </c>
      <c r="H52" s="31">
        <f>(Calculation!$P$7^0.5)*G52</f>
        <v>0</v>
      </c>
      <c r="I52" s="31">
        <v>0.16</v>
      </c>
      <c r="J52" s="122">
        <f t="shared" si="17"/>
        <v>2.5</v>
      </c>
      <c r="Q52" s="120">
        <f t="shared" si="18"/>
        <v>2.7838821814150112</v>
      </c>
      <c r="R52" s="206"/>
      <c r="S52" s="206"/>
      <c r="T52" s="206"/>
      <c r="U52" s="202">
        <f>U51+12</f>
        <v>30</v>
      </c>
      <c r="V52" s="203">
        <v>0.91</v>
      </c>
      <c r="W52" s="204">
        <f t="shared" si="19"/>
        <v>1.0482848367219182</v>
      </c>
      <c r="X52" s="203">
        <f>(Calculation!$P$7^0.5)*W52</f>
        <v>0</v>
      </c>
      <c r="Y52" s="203">
        <v>0.11</v>
      </c>
      <c r="Z52" s="204">
        <f t="shared" si="20"/>
        <v>3.0151134457776365</v>
      </c>
      <c r="AA52" s="206"/>
      <c r="AB52" s="203">
        <v>0.32</v>
      </c>
      <c r="AC52" s="204">
        <f t="shared" si="21"/>
        <v>1.7677669529663689</v>
      </c>
    </row>
    <row r="53" spans="3:29">
      <c r="E53" s="44">
        <f t="shared" ref="E53:E59" si="22">E52+12</f>
        <v>42</v>
      </c>
      <c r="F53" s="31">
        <v>1.66</v>
      </c>
      <c r="G53" s="122">
        <f t="shared" si="16"/>
        <v>0.77615052570633281</v>
      </c>
      <c r="H53" s="31">
        <f>(Calculation!$P$7^0.5)*G53</f>
        <v>0</v>
      </c>
      <c r="I53" s="31">
        <v>0.21</v>
      </c>
      <c r="J53" s="122">
        <f t="shared" si="17"/>
        <v>2.1821789023599236</v>
      </c>
      <c r="Q53" s="120">
        <f t="shared" si="18"/>
        <v>2.8115408417381924</v>
      </c>
      <c r="R53" s="206"/>
      <c r="S53" s="206"/>
      <c r="T53" s="206"/>
      <c r="U53" s="202">
        <f t="shared" ref="U53:U59" si="23">U52+12</f>
        <v>42</v>
      </c>
      <c r="V53" s="203">
        <v>1.24</v>
      </c>
      <c r="W53" s="204">
        <f t="shared" si="19"/>
        <v>0.89802651013387447</v>
      </c>
      <c r="X53" s="203">
        <f>(Calculation!$P$7^0.5)*W53</f>
        <v>0</v>
      </c>
      <c r="Y53" s="203">
        <v>0.16</v>
      </c>
      <c r="Z53" s="204">
        <f t="shared" si="20"/>
        <v>2.5</v>
      </c>
      <c r="AA53" s="206"/>
      <c r="AB53" s="203">
        <v>0.43</v>
      </c>
      <c r="AC53" s="204">
        <f t="shared" si="21"/>
        <v>1.5249857033260468</v>
      </c>
    </row>
    <row r="54" spans="3:29">
      <c r="E54" s="44">
        <f t="shared" si="22"/>
        <v>54</v>
      </c>
      <c r="F54" s="31">
        <v>2.09</v>
      </c>
      <c r="G54" s="122">
        <f t="shared" si="16"/>
        <v>0.6917144638660746</v>
      </c>
      <c r="H54" s="31">
        <f>(Calculation!$P$7^0.5)*G54</f>
        <v>0</v>
      </c>
      <c r="I54" s="31">
        <v>0.27</v>
      </c>
      <c r="J54" s="122">
        <f t="shared" si="17"/>
        <v>1.9245008972987523</v>
      </c>
      <c r="Q54" s="120">
        <f t="shared" si="18"/>
        <v>2.7822186723442028</v>
      </c>
      <c r="R54" s="206"/>
      <c r="S54" s="206"/>
      <c r="T54" s="206"/>
      <c r="U54" s="202">
        <f t="shared" si="23"/>
        <v>54</v>
      </c>
      <c r="V54" s="203">
        <v>1.56</v>
      </c>
      <c r="W54" s="204">
        <f t="shared" si="19"/>
        <v>0.80064076902543568</v>
      </c>
      <c r="X54" s="203">
        <f>(Calculation!$P$7^0.5)*W54</f>
        <v>0</v>
      </c>
      <c r="Y54" s="203">
        <v>0.2</v>
      </c>
      <c r="Z54" s="204">
        <f t="shared" si="20"/>
        <v>2.2360679774997898</v>
      </c>
      <c r="AA54" s="206"/>
      <c r="AB54" s="203">
        <v>0.54</v>
      </c>
      <c r="AC54" s="204">
        <f t="shared" si="21"/>
        <v>1.3608276348795434</v>
      </c>
    </row>
    <row r="55" spans="3:29">
      <c r="E55" s="44">
        <f t="shared" si="22"/>
        <v>66</v>
      </c>
      <c r="F55" s="31">
        <v>2.52</v>
      </c>
      <c r="G55" s="122">
        <f t="shared" si="16"/>
        <v>0.62994078834871203</v>
      </c>
      <c r="H55" s="31">
        <f>(Calculation!$P$7^0.5)*G55</f>
        <v>0</v>
      </c>
      <c r="I55" s="31">
        <v>0.32</v>
      </c>
      <c r="J55" s="122">
        <f t="shared" si="17"/>
        <v>1.7677669529663689</v>
      </c>
      <c r="Q55" s="120">
        <f t="shared" si="18"/>
        <v>2.8062430400804561</v>
      </c>
      <c r="R55" s="206"/>
      <c r="S55" s="206"/>
      <c r="T55" s="206"/>
      <c r="U55" s="202">
        <f t="shared" si="23"/>
        <v>66</v>
      </c>
      <c r="V55" s="203">
        <v>1.88</v>
      </c>
      <c r="W55" s="204">
        <f t="shared" si="19"/>
        <v>0.72932495748947279</v>
      </c>
      <c r="X55" s="203">
        <f>(Calculation!$P$7^0.5)*W55</f>
        <v>0</v>
      </c>
      <c r="Y55" s="203">
        <v>0.24</v>
      </c>
      <c r="Z55" s="204">
        <f t="shared" si="20"/>
        <v>2.0412414523193152</v>
      </c>
      <c r="AA55" s="206"/>
      <c r="AB55" s="203">
        <v>0.65</v>
      </c>
      <c r="AC55" s="204">
        <f t="shared" si="21"/>
        <v>1.2403473458920844</v>
      </c>
    </row>
    <row r="56" spans="3:29">
      <c r="E56" s="44">
        <f t="shared" si="22"/>
        <v>78</v>
      </c>
      <c r="F56" s="31">
        <v>2.95</v>
      </c>
      <c r="G56" s="122">
        <f t="shared" si="16"/>
        <v>0.58222250973958201</v>
      </c>
      <c r="H56" s="31">
        <f>(Calculation!$P$7^0.5)*G56</f>
        <v>0</v>
      </c>
      <c r="I56" s="31">
        <v>0.38</v>
      </c>
      <c r="J56" s="122">
        <f t="shared" si="17"/>
        <v>1.6222142113076254</v>
      </c>
      <c r="Q56" s="120">
        <f t="shared" si="18"/>
        <v>2.7862444068560897</v>
      </c>
      <c r="R56" s="206"/>
      <c r="S56" s="206"/>
      <c r="T56" s="206"/>
      <c r="U56" s="202">
        <f t="shared" si="23"/>
        <v>78</v>
      </c>
      <c r="V56" s="203">
        <v>2.2000000000000002</v>
      </c>
      <c r="W56" s="204">
        <f t="shared" si="19"/>
        <v>0.67419986246324204</v>
      </c>
      <c r="X56" s="203">
        <f>(Calculation!$P$7^0.5)*W56</f>
        <v>0</v>
      </c>
      <c r="Y56" s="203">
        <v>0.28000000000000003</v>
      </c>
      <c r="Z56" s="204">
        <f t="shared" si="20"/>
        <v>1.8898223650461359</v>
      </c>
      <c r="AA56" s="206"/>
      <c r="AB56" s="203">
        <v>0.75</v>
      </c>
      <c r="AC56" s="204">
        <f t="shared" si="21"/>
        <v>1.1547005383792517</v>
      </c>
    </row>
    <row r="57" spans="3:29">
      <c r="E57" s="44">
        <f t="shared" si="22"/>
        <v>90</v>
      </c>
      <c r="F57" s="31">
        <v>3.37</v>
      </c>
      <c r="G57" s="122">
        <f t="shared" si="16"/>
        <v>0.54473471070284329</v>
      </c>
      <c r="H57" s="31">
        <f>(Calculation!$P$7^0.5)*G57</f>
        <v>0</v>
      </c>
      <c r="I57" s="31">
        <v>0.44</v>
      </c>
      <c r="J57" s="122">
        <f t="shared" si="17"/>
        <v>1.5075567228888183</v>
      </c>
      <c r="Q57" s="120">
        <f t="shared" si="18"/>
        <v>2.7675062617979584</v>
      </c>
      <c r="R57" s="206"/>
      <c r="S57" s="206"/>
      <c r="T57" s="206"/>
      <c r="U57" s="202">
        <f t="shared" si="23"/>
        <v>90</v>
      </c>
      <c r="V57" s="203">
        <v>2.52</v>
      </c>
      <c r="W57" s="204">
        <f t="shared" si="19"/>
        <v>0.62994078834871203</v>
      </c>
      <c r="X57" s="203">
        <f>(Calculation!$P$7^0.5)*W57</f>
        <v>0</v>
      </c>
      <c r="Y57" s="203">
        <v>0.32</v>
      </c>
      <c r="Z57" s="204">
        <f t="shared" si="20"/>
        <v>1.7677669529663689</v>
      </c>
      <c r="AA57" s="206"/>
      <c r="AB57" s="203">
        <v>0.86</v>
      </c>
      <c r="AC57" s="204">
        <f t="shared" si="21"/>
        <v>1.0783277320343843</v>
      </c>
    </row>
    <row r="58" spans="3:29">
      <c r="E58" s="44">
        <f t="shared" si="22"/>
        <v>102</v>
      </c>
      <c r="F58" s="31">
        <v>3.8</v>
      </c>
      <c r="G58" s="122">
        <f t="shared" si="16"/>
        <v>0.5129891760425771</v>
      </c>
      <c r="H58" s="31">
        <f>(Calculation!$P$7^0.5)*G58</f>
        <v>0</v>
      </c>
      <c r="I58" s="31">
        <v>0.49</v>
      </c>
      <c r="J58" s="122">
        <f t="shared" si="17"/>
        <v>1.4285714285714286</v>
      </c>
      <c r="Q58" s="120">
        <f t="shared" si="18"/>
        <v>2.7847983842311321</v>
      </c>
      <c r="R58" s="206"/>
      <c r="S58" s="206"/>
      <c r="T58" s="206"/>
      <c r="U58" s="202">
        <f t="shared" si="23"/>
        <v>102</v>
      </c>
      <c r="V58" s="203">
        <v>2.84</v>
      </c>
      <c r="W58" s="204">
        <f t="shared" si="19"/>
        <v>0.59339082909692675</v>
      </c>
      <c r="X58" s="203">
        <f>(Calculation!$P$7^0.5)*W58</f>
        <v>0</v>
      </c>
      <c r="Y58" s="203">
        <v>0.37</v>
      </c>
      <c r="Z58" s="204">
        <f t="shared" si="20"/>
        <v>1.6439898730535731</v>
      </c>
      <c r="AA58" s="206"/>
      <c r="AB58" s="203">
        <v>0.97</v>
      </c>
      <c r="AC58" s="204">
        <f t="shared" si="21"/>
        <v>1.0153461651336191</v>
      </c>
    </row>
    <row r="59" spans="3:29">
      <c r="E59" s="44">
        <f t="shared" si="22"/>
        <v>114</v>
      </c>
      <c r="F59" s="31">
        <v>4.2300000000000004</v>
      </c>
      <c r="G59" s="122">
        <f t="shared" si="16"/>
        <v>0.48621663832631512</v>
      </c>
      <c r="H59" s="31">
        <f>(Calculation!$P$7^0.5)*G59</f>
        <v>0</v>
      </c>
      <c r="I59" s="31">
        <v>0.55000000000000004</v>
      </c>
      <c r="J59" s="122">
        <f t="shared" si="17"/>
        <v>1.3483997249264841</v>
      </c>
      <c r="Q59" s="120">
        <f t="shared" si="18"/>
        <v>2.7732488332115262</v>
      </c>
      <c r="R59" s="206"/>
      <c r="S59" s="206"/>
      <c r="T59" s="206"/>
      <c r="U59" s="202">
        <f t="shared" si="23"/>
        <v>114</v>
      </c>
      <c r="V59" s="203">
        <v>3.16</v>
      </c>
      <c r="W59" s="204">
        <f t="shared" si="19"/>
        <v>0.56254395046301198</v>
      </c>
      <c r="X59" s="203">
        <f>(Calculation!$P$7^0.5)*W59</f>
        <v>0</v>
      </c>
      <c r="Y59" s="203">
        <v>0.41</v>
      </c>
      <c r="Z59" s="204">
        <f t="shared" si="20"/>
        <v>1.5617376188860606</v>
      </c>
      <c r="AA59" s="206"/>
      <c r="AB59" s="203">
        <v>1.07</v>
      </c>
      <c r="AC59" s="204">
        <f t="shared" si="21"/>
        <v>0.96673648904566356</v>
      </c>
    </row>
    <row r="60" spans="3:29">
      <c r="Q60" s="120"/>
    </row>
  </sheetData>
  <mergeCells count="74">
    <mergeCell ref="AC48:AC50"/>
    <mergeCell ref="J48:J50"/>
    <mergeCell ref="Q47:Q50"/>
    <mergeCell ref="X48:X50"/>
    <mergeCell ref="Y48:Y49"/>
    <mergeCell ref="Z48:Z50"/>
    <mergeCell ref="AA48:AA49"/>
    <mergeCell ref="AB48:AB49"/>
    <mergeCell ref="R48:R50"/>
    <mergeCell ref="T48:T49"/>
    <mergeCell ref="U48:U49"/>
    <mergeCell ref="V48:V49"/>
    <mergeCell ref="W48:W50"/>
    <mergeCell ref="K48:K49"/>
    <mergeCell ref="L48:L49"/>
    <mergeCell ref="N48:N49"/>
    <mergeCell ref="O48:O49"/>
    <mergeCell ref="E48:E49"/>
    <mergeCell ref="F48:F49"/>
    <mergeCell ref="G48:G50"/>
    <mergeCell ref="H48:H50"/>
    <mergeCell ref="I48:I49"/>
    <mergeCell ref="AA47:AC47"/>
    <mergeCell ref="X4:X6"/>
    <mergeCell ref="Z4:Z6"/>
    <mergeCell ref="C4:C5"/>
    <mergeCell ref="T2:AC2"/>
    <mergeCell ref="I47:J47"/>
    <mergeCell ref="K47:L47"/>
    <mergeCell ref="N47:O47"/>
    <mergeCell ref="T47:X47"/>
    <mergeCell ref="Y47:Z47"/>
    <mergeCell ref="K2:O2"/>
    <mergeCell ref="Q3:Q5"/>
    <mergeCell ref="AA3:AC3"/>
    <mergeCell ref="F2:J2"/>
    <mergeCell ref="C48:C49"/>
    <mergeCell ref="D48:D49"/>
    <mergeCell ref="W4:W6"/>
    <mergeCell ref="I3:J3"/>
    <mergeCell ref="I4:I5"/>
    <mergeCell ref="J4:J5"/>
    <mergeCell ref="V4:V5"/>
    <mergeCell ref="U4:U5"/>
    <mergeCell ref="K3:L3"/>
    <mergeCell ref="R4:R6"/>
    <mergeCell ref="A2:E3"/>
    <mergeCell ref="A46:E47"/>
    <mergeCell ref="F46:J46"/>
    <mergeCell ref="K46:O46"/>
    <mergeCell ref="T46:AC46"/>
    <mergeCell ref="F47:H47"/>
    <mergeCell ref="B4:B6"/>
    <mergeCell ref="AC4:AC6"/>
    <mergeCell ref="AB4:AB5"/>
    <mergeCell ref="AA4:AA5"/>
    <mergeCell ref="Y4:Y5"/>
    <mergeCell ref="T4:T5"/>
    <mergeCell ref="A4:A6"/>
    <mergeCell ref="A29:D29"/>
    <mergeCell ref="N3:O3"/>
    <mergeCell ref="Y3:Z3"/>
    <mergeCell ref="T3:X3"/>
    <mergeCell ref="E4:E5"/>
    <mergeCell ref="D4:D5"/>
    <mergeCell ref="K4:K5"/>
    <mergeCell ref="L4:L5"/>
    <mergeCell ref="N4:N5"/>
    <mergeCell ref="O4:O5"/>
    <mergeCell ref="F4:F5"/>
    <mergeCell ref="F3:H3"/>
    <mergeCell ref="G4:G6"/>
    <mergeCell ref="H4:H6"/>
    <mergeCell ref="S4:S6"/>
  </mergeCells>
  <pageMargins left="0.7" right="0.7" top="0.75" bottom="0.75" header="0.3" footer="0.3"/>
  <pageSetup orientation="portrait"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CI5870"/>
  <sheetViews>
    <sheetView topLeftCell="R1" zoomScaleNormal="100" workbookViewId="0">
      <pane ySplit="9" topLeftCell="A10" activePane="bottomLeft" state="frozen"/>
      <selection pane="bottomLeft" activeCell="AM16" sqref="AM16:AM31"/>
    </sheetView>
  </sheetViews>
  <sheetFormatPr defaultRowHeight="14.4"/>
  <cols>
    <col min="1" max="1" width="14.88671875" customWidth="1"/>
    <col min="5" max="5" width="8.109375" customWidth="1"/>
    <col min="6" max="6" width="12.6640625" style="97" customWidth="1"/>
    <col min="7" max="7" width="16.44140625" style="97" customWidth="1"/>
    <col min="8" max="9" width="12" customWidth="1"/>
    <col min="10" max="10" width="13.5546875" customWidth="1"/>
    <col min="11" max="11" width="11.44140625" customWidth="1"/>
    <col min="17" max="17" width="11.33203125" customWidth="1"/>
    <col min="18" max="18" width="14.44140625" customWidth="1"/>
    <col min="19" max="19" width="13.44140625" customWidth="1"/>
    <col min="23" max="23" width="10.88671875" customWidth="1"/>
    <col min="24" max="24" width="10.33203125" customWidth="1"/>
    <col min="40" max="40" width="13.6640625" customWidth="1"/>
    <col min="42" max="42" width="16.88671875" customWidth="1"/>
    <col min="44" max="44" width="28.33203125" customWidth="1"/>
    <col min="78" max="78" width="15.109375" customWidth="1"/>
  </cols>
  <sheetData>
    <row r="1" spans="1:87" s="374" customForma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row>
    <row r="2" spans="1:87">
      <c r="A2">
        <f>Calculation!F6</f>
        <v>75</v>
      </c>
      <c r="B2">
        <f>Calculation!F13</f>
        <v>55</v>
      </c>
      <c r="C2">
        <f>Calculation!H6</f>
        <v>70</v>
      </c>
      <c r="D2">
        <f>Calculation!H13</f>
        <v>70</v>
      </c>
      <c r="F2"/>
      <c r="G2"/>
      <c r="AE2" t="s">
        <v>324</v>
      </c>
      <c r="AF2" t="s">
        <v>325</v>
      </c>
    </row>
    <row r="3" spans="1:87">
      <c r="F3"/>
      <c r="G3"/>
      <c r="S3">
        <f>IFERROR(VLOOKUP(MATCH(H4,AD95:AD124,0),S95:Y124,2),0)</f>
        <v>56</v>
      </c>
      <c r="T3">
        <f>IF(S3=0,"",VLOOKUP(MATCH(H4,AD95:AD124,0),S95:Y124,3))</f>
        <v>35</v>
      </c>
      <c r="U3">
        <f>IF(S3=0,"",VLOOKUP(MATCH(H4,AD95:AD124,0),S95:Y124,6))</f>
        <v>4</v>
      </c>
      <c r="V3" t="str">
        <f>IF(S3=0,"",VLOOKUP(MATCH(H4,AD95:AD124,0),S95:Y124,7))</f>
        <v>M17</v>
      </c>
      <c r="AE3" t="s">
        <v>329</v>
      </c>
      <c r="AF3">
        <v>2</v>
      </c>
      <c r="AG3">
        <v>3</v>
      </c>
      <c r="AH3">
        <v>4</v>
      </c>
      <c r="AI3">
        <v>5</v>
      </c>
      <c r="AJ3">
        <v>6</v>
      </c>
      <c r="AK3">
        <v>7</v>
      </c>
      <c r="AL3">
        <v>8</v>
      </c>
      <c r="AM3">
        <v>9</v>
      </c>
      <c r="AN3">
        <v>10</v>
      </c>
    </row>
    <row r="4" spans="1:87">
      <c r="A4">
        <v>0</v>
      </c>
      <c r="B4">
        <v>3000</v>
      </c>
      <c r="C4">
        <v>1</v>
      </c>
      <c r="E4">
        <f>ROUNDUP(C4*B4,0)</f>
        <v>3000</v>
      </c>
      <c r="F4">
        <f>ROUNDUP(C4*A4,0)+1</f>
        <v>1</v>
      </c>
      <c r="G4"/>
      <c r="H4" t="s">
        <v>536</v>
      </c>
      <c r="I4">
        <v>1</v>
      </c>
      <c r="J4">
        <v>0</v>
      </c>
      <c r="K4">
        <f>IF(I4&gt;1,(Calculation!P14)-3,Calculation!P14)</f>
        <v>35</v>
      </c>
      <c r="L4">
        <f>Calculation!P13*(Worksheet!I15^2)</f>
        <v>0.71</v>
      </c>
      <c r="M4">
        <f>Calculation!M13</f>
        <v>10</v>
      </c>
      <c r="N4" t="str">
        <f>Calculation!X4</f>
        <v>Even</v>
      </c>
      <c r="P4">
        <f>IF(O4&gt;0,O4,Calculation!X3)</f>
        <v>8</v>
      </c>
      <c r="Q4">
        <f>Calculation!X6</f>
        <v>5</v>
      </c>
    </row>
    <row r="5" spans="1:87">
      <c r="F5"/>
      <c r="G5"/>
      <c r="AE5">
        <v>0</v>
      </c>
      <c r="AF5">
        <v>5</v>
      </c>
      <c r="AG5">
        <v>10</v>
      </c>
      <c r="AH5">
        <v>15</v>
      </c>
      <c r="AI5">
        <v>20</v>
      </c>
      <c r="AJ5">
        <v>25</v>
      </c>
      <c r="AK5">
        <v>30</v>
      </c>
    </row>
    <row r="6" spans="1:87">
      <c r="F6"/>
      <c r="G6"/>
      <c r="K6">
        <f>MAX(K28:K587)</f>
        <v>24725</v>
      </c>
      <c r="L6">
        <f>MATCH(K6,K10:K587,0)</f>
        <v>559</v>
      </c>
      <c r="AE6" t="s">
        <v>339</v>
      </c>
      <c r="AF6" t="s">
        <v>338</v>
      </c>
    </row>
    <row r="7" spans="1:87">
      <c r="F7"/>
      <c r="G7"/>
      <c r="T7">
        <f>Calculation!BQ15</f>
        <v>1</v>
      </c>
      <c r="U7">
        <f>Calculation!BR15</f>
        <v>1</v>
      </c>
      <c r="V7">
        <f>Calculation!BS15</f>
        <v>0.7142857142857143</v>
      </c>
    </row>
    <row r="8" spans="1:87">
      <c r="F8"/>
      <c r="G8"/>
    </row>
    <row r="9" spans="1:87">
      <c r="E9" t="s">
        <v>4</v>
      </c>
      <c r="F9"/>
      <c r="G9"/>
    </row>
    <row r="10" spans="1:87">
      <c r="C10" t="str">
        <f t="shared" ref="C10:C74" si="0">IF(OR($O$4=0,O10-$O$4=0),IF(AND(ISEVEN(O10)=FALSE,$N$4="Even"),"NL",""),"NL")</f>
        <v/>
      </c>
      <c r="D10">
        <v>1</v>
      </c>
      <c r="E10">
        <v>10</v>
      </c>
      <c r="F10">
        <f t="shared" ref="F10:F73" si="1">1.085*($A$2-$B$2)*E10*$T$7</f>
        <v>217</v>
      </c>
      <c r="G10">
        <v>750</v>
      </c>
      <c r="H10">
        <f t="shared" ref="H10:H73" si="2">(G10*$U$7)+F10</f>
        <v>967</v>
      </c>
      <c r="I10">
        <f>1.085*($C$2-$D$2)*E10*$T$7</f>
        <v>0</v>
      </c>
      <c r="J10">
        <v>2831</v>
      </c>
      <c r="K10">
        <f>(J10*$V$7)-I10</f>
        <v>2022.1428571428571</v>
      </c>
      <c r="L10">
        <v>0.19</v>
      </c>
      <c r="M10">
        <v>1.7000000000000002</v>
      </c>
      <c r="N10">
        <v>15</v>
      </c>
      <c r="O10">
        <v>2</v>
      </c>
      <c r="P10" t="s">
        <v>513</v>
      </c>
      <c r="Q10" t="str">
        <f t="shared" ref="Q10:Q73" si="3">IF(AND(H10+1&gt;$E$4,L10&lt;$L$4+0.01,M10&lt;$M$4+0.01,K10+1&gt;$F$4,E10+1&gt;$J$4,N10&lt;$K$4+1,O10&lt;$P$4+1,C10=""),D10,"")</f>
        <v/>
      </c>
      <c r="R10" t="str">
        <f t="shared" ref="R10:R73" si="4">IF(Q10="","",IF(AND(O10&lt;$X$14,E10&gt;$U$14,E10&lt;$Q$4+$U$14+1),D10,""))</f>
        <v/>
      </c>
      <c r="BZ10" s="51"/>
      <c r="CB10" s="10"/>
      <c r="CI10" s="69"/>
    </row>
    <row r="11" spans="1:87">
      <c r="C11" t="str">
        <f t="shared" si="0"/>
        <v/>
      </c>
      <c r="D11">
        <v>2</v>
      </c>
      <c r="E11">
        <v>10</v>
      </c>
      <c r="F11">
        <f t="shared" si="1"/>
        <v>217</v>
      </c>
      <c r="G11">
        <v>912</v>
      </c>
      <c r="H11">
        <f t="shared" si="2"/>
        <v>1129</v>
      </c>
      <c r="I11">
        <f t="shared" ref="I11:I74" si="5">1.085*($C$2-$D$2)*E11*$T$7</f>
        <v>0</v>
      </c>
      <c r="J11">
        <v>3440</v>
      </c>
      <c r="K11">
        <f t="shared" ref="K11:K74" si="6">(J11*$V$7)-I11</f>
        <v>2457.1428571428573</v>
      </c>
      <c r="L11">
        <v>0.38</v>
      </c>
      <c r="M11">
        <v>1.7000000000000002</v>
      </c>
      <c r="N11">
        <v>15</v>
      </c>
      <c r="O11">
        <v>2</v>
      </c>
      <c r="P11" t="s">
        <v>512</v>
      </c>
      <c r="Q11" t="str">
        <f t="shared" si="3"/>
        <v/>
      </c>
      <c r="R11" t="str">
        <f t="shared" si="4"/>
        <v/>
      </c>
      <c r="BZ11" s="51"/>
      <c r="CB11" s="10"/>
      <c r="CI11" s="69"/>
    </row>
    <row r="12" spans="1:87">
      <c r="C12" t="str">
        <f t="shared" si="0"/>
        <v>NL</v>
      </c>
      <c r="D12">
        <v>3</v>
      </c>
      <c r="E12">
        <v>10</v>
      </c>
      <c r="F12">
        <f t="shared" si="1"/>
        <v>217</v>
      </c>
      <c r="G12">
        <v>996</v>
      </c>
      <c r="H12">
        <f t="shared" si="2"/>
        <v>1213</v>
      </c>
      <c r="I12">
        <f t="shared" si="5"/>
        <v>0</v>
      </c>
      <c r="J12">
        <v>3760</v>
      </c>
      <c r="K12">
        <f t="shared" si="6"/>
        <v>2685.7142857142858</v>
      </c>
      <c r="L12">
        <v>0.16</v>
      </c>
      <c r="M12">
        <v>2.4</v>
      </c>
      <c r="N12">
        <v>15</v>
      </c>
      <c r="O12">
        <v>3</v>
      </c>
      <c r="P12" t="s">
        <v>512</v>
      </c>
      <c r="Q12" t="str">
        <f t="shared" si="3"/>
        <v/>
      </c>
      <c r="R12" t="str">
        <f t="shared" si="4"/>
        <v/>
      </c>
      <c r="BZ12" s="51"/>
      <c r="CB12" s="10"/>
      <c r="CI12" s="69"/>
    </row>
    <row r="13" spans="1:87">
      <c r="C13" t="str">
        <f t="shared" si="0"/>
        <v/>
      </c>
      <c r="D13">
        <v>4</v>
      </c>
      <c r="E13">
        <v>15</v>
      </c>
      <c r="F13">
        <f t="shared" si="1"/>
        <v>325.5</v>
      </c>
      <c r="G13">
        <v>847</v>
      </c>
      <c r="H13">
        <f t="shared" si="2"/>
        <v>1172.5</v>
      </c>
      <c r="I13">
        <f t="shared" si="5"/>
        <v>0</v>
      </c>
      <c r="J13">
        <v>3198</v>
      </c>
      <c r="K13">
        <f t="shared" si="6"/>
        <v>2284.2857142857142</v>
      </c>
      <c r="L13">
        <v>0.19</v>
      </c>
      <c r="M13">
        <v>1.7000000000000002</v>
      </c>
      <c r="N13">
        <v>15</v>
      </c>
      <c r="O13">
        <v>2</v>
      </c>
      <c r="P13" t="s">
        <v>555</v>
      </c>
      <c r="Q13" t="str">
        <f t="shared" si="3"/>
        <v/>
      </c>
      <c r="R13" t="str">
        <f t="shared" si="4"/>
        <v/>
      </c>
      <c r="BZ13" s="51"/>
      <c r="CB13" s="10"/>
      <c r="CI13" s="69"/>
    </row>
    <row r="14" spans="1:87">
      <c r="C14" t="str">
        <f t="shared" si="0"/>
        <v/>
      </c>
      <c r="D14">
        <v>5</v>
      </c>
      <c r="E14">
        <v>15</v>
      </c>
      <c r="F14">
        <f t="shared" si="1"/>
        <v>325.5</v>
      </c>
      <c r="G14">
        <v>1026</v>
      </c>
      <c r="H14">
        <f t="shared" si="2"/>
        <v>1351.5</v>
      </c>
      <c r="I14">
        <f t="shared" si="5"/>
        <v>0</v>
      </c>
      <c r="J14">
        <v>3871</v>
      </c>
      <c r="K14">
        <f t="shared" si="6"/>
        <v>2765</v>
      </c>
      <c r="L14">
        <v>0.43</v>
      </c>
      <c r="M14">
        <v>1.7000000000000002</v>
      </c>
      <c r="N14">
        <v>19</v>
      </c>
      <c r="O14">
        <v>2</v>
      </c>
      <c r="P14" t="s">
        <v>513</v>
      </c>
      <c r="Q14" t="str">
        <f t="shared" si="3"/>
        <v/>
      </c>
      <c r="R14" t="str">
        <f t="shared" si="4"/>
        <v/>
      </c>
      <c r="S14" t="s">
        <v>532</v>
      </c>
      <c r="T14">
        <f>MIN($Q$10:$Q$778)</f>
        <v>29</v>
      </c>
      <c r="U14">
        <f>VLOOKUP($T$14,$D$10:$P$778,2)</f>
        <v>25</v>
      </c>
      <c r="V14">
        <f>VLOOKUP($T$14,$D$10:$P$778,9)</f>
        <v>0.24000000000000002</v>
      </c>
      <c r="W14">
        <f>VLOOKUP($T$14,$D$10:$P$778,11)</f>
        <v>15</v>
      </c>
      <c r="X14">
        <f>VLOOKUP($T$14,$D$10:$P$778,12)</f>
        <v>6</v>
      </c>
      <c r="Y14" t="str">
        <f>VLOOKUP($T$14,$D$10:$P$778,13)</f>
        <v>M13</v>
      </c>
      <c r="Z14">
        <f>VLOOKUP($T$14,$D$10:$P$778,3)</f>
        <v>542.5</v>
      </c>
      <c r="AA14">
        <f>VLOOKUP($T$14,$D$10:$P$778,4)</f>
        <v>2549</v>
      </c>
      <c r="AB14">
        <f>VLOOKUP($T$14,$D$10:$P$778,6)</f>
        <v>0</v>
      </c>
      <c r="AC14">
        <f>VLOOKUP($T$14,$D$10:$P$778,7)</f>
        <v>9619</v>
      </c>
      <c r="BZ14" s="51"/>
      <c r="CB14" s="10"/>
      <c r="CI14" s="69"/>
    </row>
    <row r="15" spans="1:87">
      <c r="C15" t="str">
        <f t="shared" si="0"/>
        <v/>
      </c>
      <c r="D15">
        <v>6</v>
      </c>
      <c r="E15">
        <v>15</v>
      </c>
      <c r="F15">
        <f t="shared" si="1"/>
        <v>325.5</v>
      </c>
      <c r="G15">
        <v>1351</v>
      </c>
      <c r="H15">
        <f t="shared" si="2"/>
        <v>1676.5</v>
      </c>
      <c r="I15">
        <f t="shared" si="5"/>
        <v>0</v>
      </c>
      <c r="J15">
        <v>5100</v>
      </c>
      <c r="K15">
        <f t="shared" si="6"/>
        <v>3642.8571428571431</v>
      </c>
      <c r="L15">
        <v>0.86</v>
      </c>
      <c r="M15">
        <v>1.7000000000000002</v>
      </c>
      <c r="N15">
        <v>20</v>
      </c>
      <c r="O15">
        <v>2</v>
      </c>
      <c r="P15" t="s">
        <v>512</v>
      </c>
      <c r="Q15" t="str">
        <f t="shared" si="3"/>
        <v/>
      </c>
      <c r="R15" t="str">
        <f t="shared" si="4"/>
        <v/>
      </c>
      <c r="S15" t="s">
        <v>533</v>
      </c>
      <c r="T15">
        <f>MIN($Q$780:$Q$1259)</f>
        <v>70</v>
      </c>
      <c r="U15">
        <f>VLOOKUP($T$15,$D$780:$P$1259,2)</f>
        <v>25</v>
      </c>
      <c r="V15">
        <f>VLOOKUP($T$15,$D$780:$P$1259,9)</f>
        <v>0.49</v>
      </c>
      <c r="W15">
        <f>VLOOKUP($T$15,$D$780:$P$1259,11)</f>
        <v>18</v>
      </c>
      <c r="X15">
        <f>VLOOKUP($T$15,$D$780:$P$1259,12)</f>
        <v>8</v>
      </c>
      <c r="Y15" t="str">
        <f>VLOOKUP($T$15,$D$780:$P$1259,13)</f>
        <v>M13</v>
      </c>
      <c r="Z15">
        <f>VLOOKUP($T$15,$D$780:$P$1259,3)</f>
        <v>542.5</v>
      </c>
      <c r="AA15">
        <f>VLOOKUP($T$15,$D$780:$P$1259,4)</f>
        <v>3037</v>
      </c>
      <c r="AB15">
        <f>VLOOKUP($T$15,$D$780:$P$1259,6)</f>
        <v>0</v>
      </c>
      <c r="AC15">
        <f>VLOOKUP($T$15,$D$780:$P$1259,7)</f>
        <v>11456</v>
      </c>
      <c r="BZ15" s="51"/>
      <c r="CB15" s="10"/>
      <c r="CI15" s="69"/>
    </row>
    <row r="16" spans="1:87">
      <c r="C16" t="str">
        <f t="shared" si="0"/>
        <v>NL</v>
      </c>
      <c r="D16">
        <v>7</v>
      </c>
      <c r="E16">
        <v>15</v>
      </c>
      <c r="F16">
        <f t="shared" si="1"/>
        <v>325.5</v>
      </c>
      <c r="G16">
        <v>1208</v>
      </c>
      <c r="H16">
        <f t="shared" si="2"/>
        <v>1533.5</v>
      </c>
      <c r="I16">
        <f t="shared" si="5"/>
        <v>0</v>
      </c>
      <c r="J16">
        <v>4559</v>
      </c>
      <c r="K16">
        <f t="shared" si="6"/>
        <v>3256.4285714285716</v>
      </c>
      <c r="L16">
        <v>0.18000000000000002</v>
      </c>
      <c r="M16">
        <v>2.4</v>
      </c>
      <c r="N16">
        <v>15</v>
      </c>
      <c r="O16">
        <v>3</v>
      </c>
      <c r="P16" t="s">
        <v>513</v>
      </c>
      <c r="Q16" t="str">
        <f t="shared" si="3"/>
        <v/>
      </c>
      <c r="R16" t="str">
        <f t="shared" si="4"/>
        <v/>
      </c>
      <c r="S16" t="s">
        <v>536</v>
      </c>
      <c r="T16">
        <f>MIN($Q$1261:$Q$2029)</f>
        <v>44</v>
      </c>
      <c r="U16">
        <f>VLOOKUP($T16,$D$1261:$P$2029,2)</f>
        <v>30</v>
      </c>
      <c r="V16">
        <f>VLOOKUP($T16,$D$1261:$P$2029,9)</f>
        <v>0.34</v>
      </c>
      <c r="W16">
        <f>VLOOKUP($T16,$D$1261:$P$2029,11)</f>
        <v>18</v>
      </c>
      <c r="X16">
        <f>VLOOKUP($T16,$D$1261:$P$2029,12)</f>
        <v>6</v>
      </c>
      <c r="Y16" t="str">
        <f>VLOOKUP($T16,$D$1261:$P$2029,13)</f>
        <v>M13</v>
      </c>
      <c r="Z16">
        <f>VLOOKUP($T16,$D$1261:$P$2029,3)</f>
        <v>651</v>
      </c>
      <c r="AA16">
        <f>VLOOKUP($T16,$D$1261:$P$2029,4)</f>
        <v>2747</v>
      </c>
      <c r="AB16">
        <f>VLOOKUP($T16,$D$1261:$P$2029,6)</f>
        <v>0</v>
      </c>
      <c r="AC16">
        <f>VLOOKUP($T16,$D$1261:$P$2029,7)</f>
        <v>7043</v>
      </c>
      <c r="AL16">
        <v>0</v>
      </c>
      <c r="AM16" s="630">
        <v>1</v>
      </c>
      <c r="AN16">
        <v>0.1</v>
      </c>
      <c r="AO16">
        <v>1</v>
      </c>
      <c r="AP16" t="s">
        <v>106</v>
      </c>
      <c r="AQ16">
        <v>1</v>
      </c>
      <c r="AR16" t="s">
        <v>504</v>
      </c>
      <c r="AS16">
        <v>1</v>
      </c>
      <c r="AT16" t="s">
        <v>507</v>
      </c>
      <c r="AU16">
        <v>250</v>
      </c>
      <c r="BZ16" s="51"/>
      <c r="CB16" s="10"/>
      <c r="CI16" s="69"/>
    </row>
    <row r="17" spans="3:87">
      <c r="C17" t="str">
        <f t="shared" si="0"/>
        <v>NL</v>
      </c>
      <c r="D17">
        <v>8</v>
      </c>
      <c r="E17">
        <v>15</v>
      </c>
      <c r="F17">
        <f t="shared" si="1"/>
        <v>325.5</v>
      </c>
      <c r="G17">
        <v>1472</v>
      </c>
      <c r="H17">
        <f t="shared" si="2"/>
        <v>1797.5</v>
      </c>
      <c r="I17">
        <f t="shared" si="5"/>
        <v>0</v>
      </c>
      <c r="J17">
        <v>5554</v>
      </c>
      <c r="K17">
        <f t="shared" si="6"/>
        <v>3967.1428571428573</v>
      </c>
      <c r="L17">
        <v>0.36</v>
      </c>
      <c r="M17">
        <v>2.4</v>
      </c>
      <c r="N17">
        <v>16</v>
      </c>
      <c r="O17">
        <v>3</v>
      </c>
      <c r="P17" t="s">
        <v>512</v>
      </c>
      <c r="Q17" t="str">
        <f t="shared" si="3"/>
        <v/>
      </c>
      <c r="R17" t="str">
        <f t="shared" si="4"/>
        <v/>
      </c>
      <c r="S17" t="s">
        <v>537</v>
      </c>
      <c r="T17">
        <f>MIN($Q$2031:$Q$2510)</f>
        <v>70</v>
      </c>
      <c r="U17">
        <f>VLOOKUP($T17,$D$2031:$P$2510,2)</f>
        <v>25</v>
      </c>
      <c r="V17">
        <f>VLOOKUP($T17,$D$2031:$P$2510,9)</f>
        <v>0.49</v>
      </c>
      <c r="W17">
        <f>VLOOKUP($T17,$D$2031:$P$2510,11)</f>
        <v>18</v>
      </c>
      <c r="X17">
        <f>VLOOKUP($T17,$D$2031:$P$2510,12)</f>
        <v>8</v>
      </c>
      <c r="Y17" t="str">
        <f>VLOOKUP($T17,$D$2031:$P$2510,13)</f>
        <v>M13</v>
      </c>
      <c r="Z17">
        <f>VLOOKUP($T17,$D$2031:$P$2510,3)</f>
        <v>542.5</v>
      </c>
      <c r="AA17">
        <f>VLOOKUP($T17,$D$2031:$P$2510,4)</f>
        <v>2847</v>
      </c>
      <c r="AB17">
        <f>VLOOKUP($T17,$D$2031:$P$2510,6)</f>
        <v>0</v>
      </c>
      <c r="AC17">
        <f>VLOOKUP($T17,$D$2031:$P$2510,7)</f>
        <v>7298</v>
      </c>
      <c r="AK17">
        <v>4</v>
      </c>
      <c r="AL17">
        <v>5</v>
      </c>
      <c r="AM17" s="630">
        <v>0.99</v>
      </c>
      <c r="AN17">
        <v>0.2</v>
      </c>
      <c r="AO17">
        <v>2</v>
      </c>
      <c r="AP17" t="s">
        <v>108</v>
      </c>
      <c r="AQ17">
        <v>2</v>
      </c>
      <c r="AR17" t="s">
        <v>506</v>
      </c>
      <c r="AS17">
        <v>2</v>
      </c>
      <c r="AT17" t="s">
        <v>508</v>
      </c>
      <c r="AU17">
        <v>300</v>
      </c>
      <c r="BZ17" s="51"/>
      <c r="CB17" s="10"/>
      <c r="CI17" s="69"/>
    </row>
    <row r="18" spans="3:87">
      <c r="C18" t="str">
        <f t="shared" si="0"/>
        <v/>
      </c>
      <c r="D18">
        <v>9</v>
      </c>
      <c r="E18">
        <v>15</v>
      </c>
      <c r="F18">
        <f t="shared" si="1"/>
        <v>325.5</v>
      </c>
      <c r="G18">
        <v>1569</v>
      </c>
      <c r="H18">
        <f t="shared" si="2"/>
        <v>1894.5</v>
      </c>
      <c r="I18">
        <f t="shared" si="5"/>
        <v>0</v>
      </c>
      <c r="J18">
        <v>5920</v>
      </c>
      <c r="K18">
        <f t="shared" si="6"/>
        <v>4228.5714285714284</v>
      </c>
      <c r="L18">
        <v>0.2</v>
      </c>
      <c r="M18">
        <v>3.1</v>
      </c>
      <c r="N18">
        <v>15</v>
      </c>
      <c r="O18">
        <v>4</v>
      </c>
      <c r="P18" t="s">
        <v>512</v>
      </c>
      <c r="Q18" t="str">
        <f t="shared" si="3"/>
        <v/>
      </c>
      <c r="R18" t="str">
        <f t="shared" si="4"/>
        <v/>
      </c>
      <c r="S18" t="s">
        <v>416</v>
      </c>
      <c r="T18">
        <f>MIN(Q2512:Q2608)</f>
        <v>30</v>
      </c>
      <c r="U18">
        <f>VLOOKUP($T18,$D$2512:$P$2608,2)</f>
        <v>50</v>
      </c>
      <c r="V18">
        <f>VLOOKUP($T18,$D$2512:$P$2608,9)</f>
        <v>0.56000000000000005</v>
      </c>
      <c r="W18">
        <f>VLOOKUP($T18,$D$2512:$P$2608,11)</f>
        <v>22</v>
      </c>
      <c r="X18">
        <f>VLOOKUP($T18,$D$2512:$P$2608,12)</f>
        <v>4</v>
      </c>
      <c r="Y18" t="str">
        <f>VLOOKUP($T18,$D$2512:$P$2608,13)</f>
        <v>M17</v>
      </c>
      <c r="Z18">
        <f>VLOOKUP($T18,$D$2512:$P$2608,3)</f>
        <v>1085</v>
      </c>
      <c r="AA18">
        <f>VLOOKUP($T18,$D$2512:$P$2608,4)</f>
        <v>2048</v>
      </c>
      <c r="AB18">
        <f>VLOOKUP($T18,$D$2512:$P$2608,6)</f>
        <v>0</v>
      </c>
      <c r="AC18">
        <f>VLOOKUP($T18,$D$2512:$P$2608,7)</f>
        <v>7683</v>
      </c>
      <c r="AK18">
        <v>5</v>
      </c>
      <c r="AL18">
        <v>10</v>
      </c>
      <c r="AM18" s="630">
        <v>0.98</v>
      </c>
      <c r="AN18">
        <v>0.3</v>
      </c>
      <c r="AO18">
        <v>3</v>
      </c>
      <c r="AP18" t="s">
        <v>440</v>
      </c>
      <c r="AQ18">
        <v>3</v>
      </c>
      <c r="AR18" t="s">
        <v>505</v>
      </c>
      <c r="AS18">
        <v>3</v>
      </c>
      <c r="AT18" t="s">
        <v>509</v>
      </c>
      <c r="AU18">
        <v>350</v>
      </c>
      <c r="BZ18" s="51"/>
      <c r="CB18" s="10"/>
      <c r="CI18" s="69"/>
    </row>
    <row r="19" spans="3:87">
      <c r="C19" t="str">
        <f t="shared" si="0"/>
        <v/>
      </c>
      <c r="D19">
        <v>10</v>
      </c>
      <c r="E19">
        <v>20</v>
      </c>
      <c r="F19">
        <f t="shared" si="1"/>
        <v>434</v>
      </c>
      <c r="G19">
        <v>1057</v>
      </c>
      <c r="H19">
        <f t="shared" si="2"/>
        <v>1491</v>
      </c>
      <c r="I19">
        <f t="shared" si="5"/>
        <v>0</v>
      </c>
      <c r="J19">
        <v>3989</v>
      </c>
      <c r="K19">
        <f t="shared" si="6"/>
        <v>2849.2857142857142</v>
      </c>
      <c r="L19">
        <v>0.23</v>
      </c>
      <c r="M19">
        <v>1.7000000000000002</v>
      </c>
      <c r="N19">
        <v>18</v>
      </c>
      <c r="O19">
        <v>2</v>
      </c>
      <c r="P19" t="s">
        <v>514</v>
      </c>
      <c r="Q19" t="str">
        <f t="shared" si="3"/>
        <v/>
      </c>
      <c r="R19" t="str">
        <f t="shared" si="4"/>
        <v/>
      </c>
      <c r="S19" t="s">
        <v>417</v>
      </c>
      <c r="T19">
        <f>MIN(Q2610:Q2706)</f>
        <v>30</v>
      </c>
      <c r="U19">
        <f>VLOOKUP($T19,$D$2610:$P$2706,2)</f>
        <v>50</v>
      </c>
      <c r="V19">
        <f>VLOOKUP($T19,$D$2610:$P$2706,9)</f>
        <v>0.56000000000000005</v>
      </c>
      <c r="W19">
        <f>VLOOKUP($T19,$D$2610:$P$2706,11)</f>
        <v>22</v>
      </c>
      <c r="X19">
        <f>VLOOKUP($T19,$D$2610:$P$2706,12)</f>
        <v>4</v>
      </c>
      <c r="Y19" t="str">
        <f>VLOOKUP($T19,$D$2610:$P$2706,13)</f>
        <v>M17</v>
      </c>
      <c r="Z19">
        <f>VLOOKUP($T19,$D$2610:$P$2706,3)</f>
        <v>1085</v>
      </c>
      <c r="AA19">
        <f>VLOOKUP($T19,$D$2610:$P$2706,4)</f>
        <v>1964</v>
      </c>
      <c r="AB19">
        <f>VLOOKUP($T19,$D$2610:$P$2706,6)</f>
        <v>0</v>
      </c>
      <c r="AC19">
        <f>VLOOKUP($T19,$D$2610:$P$2706,7)</f>
        <v>4530</v>
      </c>
      <c r="AK19">
        <v>6</v>
      </c>
      <c r="AL19">
        <v>15</v>
      </c>
      <c r="AM19" s="630">
        <v>0.97</v>
      </c>
      <c r="AN19">
        <v>0.4</v>
      </c>
      <c r="AS19">
        <v>4</v>
      </c>
      <c r="AT19" t="s">
        <v>502</v>
      </c>
      <c r="AU19">
        <v>10000</v>
      </c>
      <c r="BZ19" s="51"/>
      <c r="CB19" s="10"/>
      <c r="CI19" s="69"/>
    </row>
    <row r="20" spans="3:87">
      <c r="C20" t="str">
        <f t="shared" si="0"/>
        <v/>
      </c>
      <c r="D20">
        <v>11</v>
      </c>
      <c r="E20">
        <v>20</v>
      </c>
      <c r="F20">
        <f t="shared" si="1"/>
        <v>434</v>
      </c>
      <c r="G20">
        <v>1139</v>
      </c>
      <c r="H20">
        <f t="shared" si="2"/>
        <v>1573</v>
      </c>
      <c r="I20">
        <f t="shared" si="5"/>
        <v>0</v>
      </c>
      <c r="J20">
        <v>4299</v>
      </c>
      <c r="K20">
        <f t="shared" si="6"/>
        <v>3070.7142857142858</v>
      </c>
      <c r="L20">
        <v>0.34</v>
      </c>
      <c r="M20">
        <v>1.7000000000000002</v>
      </c>
      <c r="N20">
        <v>17</v>
      </c>
      <c r="O20">
        <v>2</v>
      </c>
      <c r="P20" t="s">
        <v>555</v>
      </c>
      <c r="Q20" t="str">
        <f t="shared" si="3"/>
        <v/>
      </c>
      <c r="R20" t="str">
        <f t="shared" si="4"/>
        <v/>
      </c>
      <c r="S20" t="s">
        <v>418</v>
      </c>
      <c r="T20">
        <f>MIN(Q2708:Q2813)</f>
        <v>32</v>
      </c>
      <c r="U20">
        <f>VLOOKUP($T20,$D$2706:$P$2813,2)</f>
        <v>30</v>
      </c>
      <c r="V20">
        <f>VLOOKUP($T20,$D$2706:$P$2813,9)</f>
        <v>0.43</v>
      </c>
      <c r="W20">
        <f>VLOOKUP($T20,$D$2706:$P$2813,11)</f>
        <v>23</v>
      </c>
      <c r="X20">
        <f>VLOOKUP($T20,$D$2706:$P$2813,12)</f>
        <v>4</v>
      </c>
      <c r="Y20" t="str">
        <f>VLOOKUP($T20,$D$2706:$P$2813,13)</f>
        <v>M23</v>
      </c>
      <c r="Z20">
        <f>VLOOKUP($T20,$D$2706:$P$2813,3)</f>
        <v>651</v>
      </c>
      <c r="AA20">
        <f>VLOOKUP($T20,$D$2706:$P$2813,4)</f>
        <v>2368</v>
      </c>
      <c r="AB20">
        <f>VLOOKUP($T20,$D$2706:$P$2813,6)</f>
        <v>0</v>
      </c>
      <c r="AC20">
        <f>VLOOKUP($T20,$D$2706:$P$2813,7)</f>
        <v>9209</v>
      </c>
      <c r="AK20">
        <v>7</v>
      </c>
      <c r="AL20">
        <v>20</v>
      </c>
      <c r="AM20" s="630">
        <v>0.96</v>
      </c>
      <c r="AN20">
        <v>0.5</v>
      </c>
      <c r="BZ20" s="51"/>
      <c r="CB20" s="10"/>
      <c r="CI20" s="69"/>
    </row>
    <row r="21" spans="3:87">
      <c r="C21" t="str">
        <f t="shared" si="0"/>
        <v/>
      </c>
      <c r="D21">
        <v>12</v>
      </c>
      <c r="E21">
        <v>20</v>
      </c>
      <c r="F21">
        <f t="shared" si="1"/>
        <v>434</v>
      </c>
      <c r="G21">
        <v>1416</v>
      </c>
      <c r="H21">
        <f t="shared" si="2"/>
        <v>1850</v>
      </c>
      <c r="I21">
        <f t="shared" si="5"/>
        <v>0</v>
      </c>
      <c r="J21">
        <v>5343</v>
      </c>
      <c r="K21">
        <f t="shared" si="6"/>
        <v>3816.4285714285716</v>
      </c>
      <c r="L21">
        <v>0.76</v>
      </c>
      <c r="M21">
        <v>1.7000000000000002</v>
      </c>
      <c r="N21">
        <v>23</v>
      </c>
      <c r="O21">
        <v>2</v>
      </c>
      <c r="P21" t="s">
        <v>513</v>
      </c>
      <c r="Q21" t="str">
        <f t="shared" si="3"/>
        <v/>
      </c>
      <c r="R21" t="str">
        <f t="shared" si="4"/>
        <v/>
      </c>
      <c r="S21" t="s">
        <v>419</v>
      </c>
      <c r="T21">
        <f>MIN(CBAB_4P_1_FO)</f>
        <v>39</v>
      </c>
      <c r="U21">
        <f>VLOOKUP($T21,CBAB_4P_1,2)</f>
        <v>35</v>
      </c>
      <c r="V21">
        <f>VLOOKUP($T21,CBAB_4P_1,9)</f>
        <v>0.59</v>
      </c>
      <c r="W21">
        <f>VLOOKUP($T21,CBAB_4P_1,11)</f>
        <v>25</v>
      </c>
      <c r="X21">
        <f>VLOOKUP($T21,CBAB_4P_1,12)</f>
        <v>4</v>
      </c>
      <c r="Y21" t="str">
        <f>VLOOKUP($T21,CBAB_4P_1,13)</f>
        <v>M23</v>
      </c>
      <c r="Z21">
        <f>VLOOKUP($T21,CBAB_4P_1,3)</f>
        <v>759.5</v>
      </c>
      <c r="AA21">
        <f>VLOOKUP($T21,CBAB_4P_1,4)</f>
        <v>2652</v>
      </c>
      <c r="AB21">
        <f>VLOOKUP($T21,CBAB_4P_1,6)</f>
        <v>0</v>
      </c>
      <c r="AC21">
        <f>VLOOKUP($T21,CBAB_4P_1,7)</f>
        <v>8251</v>
      </c>
      <c r="AK21">
        <v>8</v>
      </c>
      <c r="AL21">
        <v>25</v>
      </c>
      <c r="AM21" s="630">
        <v>0.95</v>
      </c>
      <c r="BZ21" s="51"/>
      <c r="CB21" s="10"/>
      <c r="CI21" s="69"/>
    </row>
    <row r="22" spans="3:87">
      <c r="C22" t="str">
        <f t="shared" si="0"/>
        <v>NL</v>
      </c>
      <c r="D22">
        <v>13</v>
      </c>
      <c r="E22">
        <v>20</v>
      </c>
      <c r="F22">
        <f t="shared" si="1"/>
        <v>434</v>
      </c>
      <c r="G22">
        <v>1499</v>
      </c>
      <c r="H22">
        <f t="shared" si="2"/>
        <v>1933</v>
      </c>
      <c r="I22">
        <f t="shared" si="5"/>
        <v>0</v>
      </c>
      <c r="J22">
        <v>5657</v>
      </c>
      <c r="K22">
        <f t="shared" si="6"/>
        <v>4040.7142857142858</v>
      </c>
      <c r="L22">
        <v>0.32</v>
      </c>
      <c r="M22">
        <v>2.4</v>
      </c>
      <c r="N22">
        <v>18</v>
      </c>
      <c r="O22">
        <v>3</v>
      </c>
      <c r="P22" t="s">
        <v>513</v>
      </c>
      <c r="Q22" t="str">
        <f t="shared" si="3"/>
        <v/>
      </c>
      <c r="R22" t="str">
        <f t="shared" si="4"/>
        <v/>
      </c>
      <c r="S22" t="s">
        <v>420</v>
      </c>
      <c r="T22">
        <f>MIN(Q2710:Q2815)</f>
        <v>32</v>
      </c>
      <c r="U22">
        <f>VLOOKUP($T22,$D$2706:$P$2813,2)</f>
        <v>30</v>
      </c>
      <c r="V22">
        <f>VLOOKUP($T22,$D$2706:$P$2813,9)</f>
        <v>0.43</v>
      </c>
      <c r="W22">
        <f>VLOOKUP($T22,$D$2706:$P$2813,11)</f>
        <v>23</v>
      </c>
      <c r="X22">
        <f>VLOOKUP($T22,$D$2706:$P$2813,12)</f>
        <v>4</v>
      </c>
      <c r="Y22" t="str">
        <f>VLOOKUP($T22,$D$2706:$P$2813,13)</f>
        <v>M23</v>
      </c>
      <c r="Z22">
        <f>VLOOKUP($T22,$D$2706:$P$2813,3)</f>
        <v>651</v>
      </c>
      <c r="AA22">
        <f>VLOOKUP($T22,$D$2706:$P$2813,4)</f>
        <v>2368</v>
      </c>
      <c r="AB22">
        <f>VLOOKUP($T22,$D$2706:$P$2813,6)</f>
        <v>0</v>
      </c>
      <c r="AC22">
        <f>VLOOKUP($T22,$D$2706:$P$2813,7)</f>
        <v>9209</v>
      </c>
      <c r="AK22">
        <v>9</v>
      </c>
      <c r="AL22">
        <v>30</v>
      </c>
      <c r="AM22" s="630">
        <v>0.94</v>
      </c>
      <c r="BZ22" s="51"/>
      <c r="CB22" s="10"/>
      <c r="CI22" s="69"/>
    </row>
    <row r="23" spans="3:87">
      <c r="C23" t="str">
        <f t="shared" si="0"/>
        <v>NL</v>
      </c>
      <c r="D23">
        <v>14</v>
      </c>
      <c r="E23">
        <v>20</v>
      </c>
      <c r="F23">
        <f t="shared" si="1"/>
        <v>434</v>
      </c>
      <c r="G23">
        <v>1819</v>
      </c>
      <c r="H23">
        <f t="shared" si="2"/>
        <v>2253</v>
      </c>
      <c r="I23">
        <f t="shared" si="5"/>
        <v>0</v>
      </c>
      <c r="J23">
        <v>6864</v>
      </c>
      <c r="K23">
        <f t="shared" si="6"/>
        <v>4902.8571428571431</v>
      </c>
      <c r="L23">
        <v>0.63</v>
      </c>
      <c r="M23">
        <v>2.4</v>
      </c>
      <c r="N23">
        <v>19</v>
      </c>
      <c r="O23">
        <v>3</v>
      </c>
      <c r="P23" t="s">
        <v>512</v>
      </c>
      <c r="Q23" t="str">
        <f t="shared" si="3"/>
        <v/>
      </c>
      <c r="R23" t="str">
        <f t="shared" si="4"/>
        <v/>
      </c>
      <c r="S23" t="s">
        <v>421</v>
      </c>
      <c r="T23">
        <f>MIN(CBAB_4P_1_FO)</f>
        <v>39</v>
      </c>
      <c r="U23">
        <f>VLOOKUP($T23,CBAB_4P_1,2)</f>
        <v>35</v>
      </c>
      <c r="V23">
        <f>VLOOKUP($T23,CBAB_4P_1,9)</f>
        <v>0.59</v>
      </c>
      <c r="W23">
        <f>VLOOKUP($T23,CBAB_4P_1,11)</f>
        <v>25</v>
      </c>
      <c r="X23">
        <f>VLOOKUP($T23,CBAB_4P_1,12)</f>
        <v>4</v>
      </c>
      <c r="Y23" t="str">
        <f>VLOOKUP($T23,CBAB_4P_1,13)</f>
        <v>M23</v>
      </c>
      <c r="Z23">
        <f>VLOOKUP($T23,CBAB_4P_1,3)</f>
        <v>759.5</v>
      </c>
      <c r="AA23">
        <f>VLOOKUP($T23,CBAB_4P_1,4)</f>
        <v>2652</v>
      </c>
      <c r="AB23">
        <f>VLOOKUP($T23,CBAB_4P_1,6)</f>
        <v>0</v>
      </c>
      <c r="AC23">
        <f>VLOOKUP($T23,CBAB_4P_1,7)</f>
        <v>8251</v>
      </c>
      <c r="AK23">
        <v>10</v>
      </c>
      <c r="AM23" s="630">
        <v>0.93</v>
      </c>
      <c r="BZ23" s="51"/>
      <c r="CB23" s="10"/>
      <c r="CI23" s="69"/>
    </row>
    <row r="24" spans="3:87">
      <c r="C24" t="str">
        <f t="shared" si="0"/>
        <v/>
      </c>
      <c r="D24">
        <v>15</v>
      </c>
      <c r="E24">
        <v>20</v>
      </c>
      <c r="F24">
        <f t="shared" si="1"/>
        <v>434</v>
      </c>
      <c r="G24">
        <v>1659</v>
      </c>
      <c r="H24">
        <f t="shared" si="2"/>
        <v>2093</v>
      </c>
      <c r="I24">
        <f t="shared" si="5"/>
        <v>0</v>
      </c>
      <c r="J24">
        <v>6260</v>
      </c>
      <c r="K24">
        <f t="shared" si="6"/>
        <v>4471.4285714285716</v>
      </c>
      <c r="L24">
        <v>0.18000000000000002</v>
      </c>
      <c r="M24">
        <v>3.1</v>
      </c>
      <c r="N24">
        <v>16</v>
      </c>
      <c r="O24">
        <v>4</v>
      </c>
      <c r="P24" t="s">
        <v>513</v>
      </c>
      <c r="Q24" t="str">
        <f t="shared" si="3"/>
        <v/>
      </c>
      <c r="R24" t="str">
        <f t="shared" si="4"/>
        <v/>
      </c>
      <c r="S24" t="s">
        <v>422</v>
      </c>
      <c r="T24">
        <f>MIN(CBAS_2P_1_FO)</f>
        <v>42</v>
      </c>
      <c r="U24">
        <f>VLOOKUP($T24,CBAS_2P_1,2)</f>
        <v>35</v>
      </c>
      <c r="V24">
        <f>VLOOKUP($T24,CBAS_2P_1,9)</f>
        <v>0.51</v>
      </c>
      <c r="W24">
        <f>VLOOKUP($T24,CBAS_2P_1,11)</f>
        <v>18</v>
      </c>
      <c r="X24">
        <f>VLOOKUP($T24,CBAS_2P_1,12)</f>
        <v>4</v>
      </c>
      <c r="Y24" t="str">
        <f>VLOOKUP($T24,CBAS_2P_1,13)</f>
        <v>M23</v>
      </c>
      <c r="Z24">
        <f>VLOOKUP($T24,CBAS_2P_1,3)</f>
        <v>759.5</v>
      </c>
      <c r="AA24">
        <f>VLOOKUP($T24,CBAS_2P_1,4)</f>
        <v>2462</v>
      </c>
      <c r="AB24">
        <f>VLOOKUP($T24,CBAS_2P_1,6)</f>
        <v>0</v>
      </c>
      <c r="AC24">
        <f>VLOOKUP($T24,CBAS_2P_1,7)</f>
        <v>10304</v>
      </c>
      <c r="AM24" s="630">
        <v>0.92</v>
      </c>
      <c r="BZ24" s="51"/>
      <c r="CB24" s="10"/>
      <c r="CI24" s="69"/>
    </row>
    <row r="25" spans="3:87">
      <c r="C25" t="str">
        <f t="shared" si="0"/>
        <v/>
      </c>
      <c r="D25">
        <v>16</v>
      </c>
      <c r="E25">
        <v>20</v>
      </c>
      <c r="F25">
        <f t="shared" si="1"/>
        <v>434</v>
      </c>
      <c r="G25">
        <v>2053</v>
      </c>
      <c r="H25">
        <f t="shared" si="2"/>
        <v>2487</v>
      </c>
      <c r="I25">
        <f t="shared" si="5"/>
        <v>0</v>
      </c>
      <c r="J25">
        <v>7746</v>
      </c>
      <c r="K25">
        <f t="shared" si="6"/>
        <v>5532.8571428571431</v>
      </c>
      <c r="L25">
        <v>0.36</v>
      </c>
      <c r="M25">
        <v>3.1</v>
      </c>
      <c r="N25">
        <v>17</v>
      </c>
      <c r="O25">
        <v>4</v>
      </c>
      <c r="P25" t="s">
        <v>512</v>
      </c>
      <c r="Q25" t="str">
        <f t="shared" si="3"/>
        <v/>
      </c>
      <c r="R25" t="str">
        <f t="shared" si="4"/>
        <v/>
      </c>
      <c r="S25" t="s">
        <v>423</v>
      </c>
      <c r="T25">
        <f>MIN(CBAS_4P_1_FO)</f>
        <v>42</v>
      </c>
      <c r="U25">
        <f>VLOOKUP($T25,CBAS_4P_1,2)</f>
        <v>35</v>
      </c>
      <c r="V25">
        <f>VLOOKUP($T25,CBAS_4P_1,9)</f>
        <v>0.51</v>
      </c>
      <c r="W25">
        <f>VLOOKUP($T25,CBAS_4P_1,11)</f>
        <v>18</v>
      </c>
      <c r="X25">
        <f>VLOOKUP($T25,CBAS_4P_1,12)</f>
        <v>4</v>
      </c>
      <c r="Y25" t="str">
        <f>VLOOKUP($T25,CBAS_4P_1,13)</f>
        <v>M23</v>
      </c>
      <c r="Z25">
        <f>VLOOKUP($T25,CBAS_4P_1,3)</f>
        <v>759.5</v>
      </c>
      <c r="AA25">
        <f>VLOOKUP($T25,CBAS_4P_1,4)</f>
        <v>2369</v>
      </c>
      <c r="AB25">
        <f>VLOOKUP($T25,CBAS_4P_1,6)</f>
        <v>0</v>
      </c>
      <c r="AC25">
        <f>VLOOKUP($T25,CBAS_4P_1,7)</f>
        <v>7181</v>
      </c>
      <c r="AM25" s="630">
        <v>0.91</v>
      </c>
      <c r="BZ25" s="51"/>
      <c r="CB25" s="10"/>
      <c r="CI25" s="69"/>
    </row>
    <row r="26" spans="3:87">
      <c r="C26" t="str">
        <f t="shared" si="0"/>
        <v>NL</v>
      </c>
      <c r="D26">
        <v>17</v>
      </c>
      <c r="E26">
        <v>20</v>
      </c>
      <c r="F26">
        <f t="shared" si="1"/>
        <v>434</v>
      </c>
      <c r="G26">
        <v>2078</v>
      </c>
      <c r="H26">
        <f t="shared" si="2"/>
        <v>2512</v>
      </c>
      <c r="I26">
        <f t="shared" si="5"/>
        <v>0</v>
      </c>
      <c r="J26">
        <v>7842</v>
      </c>
      <c r="K26">
        <f t="shared" si="6"/>
        <v>5601.4285714285716</v>
      </c>
      <c r="L26">
        <v>0.22</v>
      </c>
      <c r="M26">
        <v>3.8000000000000003</v>
      </c>
      <c r="N26">
        <v>15</v>
      </c>
      <c r="O26">
        <v>5</v>
      </c>
      <c r="P26" t="s">
        <v>512</v>
      </c>
      <c r="Q26" t="str">
        <f t="shared" si="3"/>
        <v/>
      </c>
      <c r="R26" t="str">
        <f t="shared" si="4"/>
        <v/>
      </c>
      <c r="S26" t="s">
        <v>424</v>
      </c>
      <c r="T26">
        <f>MIN(CBAV_2P_1_FO)</f>
        <v>40</v>
      </c>
      <c r="U26">
        <f>VLOOKUP($T26,CBAV_2P,2)</f>
        <v>35</v>
      </c>
      <c r="V26">
        <f>VLOOKUP($T26,CBAV_2P,9)</f>
        <v>0.51</v>
      </c>
      <c r="W26">
        <f>VLOOKUP($T26,CBAV_2P,11)</f>
        <v>18</v>
      </c>
      <c r="X26">
        <f>VLOOKUP($T26,CBAV_2P,12)</f>
        <v>4</v>
      </c>
      <c r="Y26" t="str">
        <f>VLOOKUP($T26,CBAV_2P,13)</f>
        <v>M23</v>
      </c>
      <c r="Z26">
        <f>VLOOKUP($T26,CBAV_2P,3)</f>
        <v>759.5</v>
      </c>
      <c r="AA26">
        <f>VLOOKUP($T26,CBAV_2P,4)</f>
        <v>2462</v>
      </c>
      <c r="AB26">
        <f>VLOOKUP($T26,CBAV_2P,6)</f>
        <v>0</v>
      </c>
      <c r="AC26">
        <f>VLOOKUP($T26,CBAV_2P,7)</f>
        <v>10304</v>
      </c>
      <c r="AM26" s="630">
        <v>0.9</v>
      </c>
      <c r="BZ26" s="51"/>
      <c r="CB26" s="10"/>
      <c r="CI26" s="69"/>
    </row>
    <row r="27" spans="3:87">
      <c r="C27" t="str">
        <f t="shared" si="0"/>
        <v/>
      </c>
      <c r="D27">
        <v>18</v>
      </c>
      <c r="E27">
        <v>20</v>
      </c>
      <c r="F27">
        <f t="shared" si="1"/>
        <v>434</v>
      </c>
      <c r="G27">
        <v>2218</v>
      </c>
      <c r="H27">
        <f t="shared" si="2"/>
        <v>2652</v>
      </c>
      <c r="I27">
        <f t="shared" si="5"/>
        <v>0</v>
      </c>
      <c r="J27">
        <v>8370</v>
      </c>
      <c r="K27">
        <f t="shared" si="6"/>
        <v>5978.5714285714284</v>
      </c>
      <c r="L27">
        <v>0.15000000000000002</v>
      </c>
      <c r="M27">
        <v>4.3999999999999995</v>
      </c>
      <c r="N27">
        <v>15</v>
      </c>
      <c r="O27">
        <v>6</v>
      </c>
      <c r="P27" t="s">
        <v>512</v>
      </c>
      <c r="Q27" t="str">
        <f t="shared" si="3"/>
        <v/>
      </c>
      <c r="R27" t="str">
        <f t="shared" si="4"/>
        <v/>
      </c>
      <c r="S27" t="s">
        <v>425</v>
      </c>
      <c r="T27">
        <f>MIN(CBAV_4P_1_FO)</f>
        <v>40</v>
      </c>
      <c r="U27">
        <f>VLOOKUP($T27,CBAV_4P_1,2)</f>
        <v>35</v>
      </c>
      <c r="V27">
        <f>VLOOKUP($T27,CBAV_4P_1,9)</f>
        <v>0.51</v>
      </c>
      <c r="W27">
        <f>VLOOKUP($T27,CBAV_4P_1,11)</f>
        <v>18</v>
      </c>
      <c r="X27">
        <f>VLOOKUP($T27,CBAV_4P_1,12)</f>
        <v>4</v>
      </c>
      <c r="Y27" t="str">
        <f>VLOOKUP($T27,CBAV_4P_1,13)</f>
        <v>M23</v>
      </c>
      <c r="Z27">
        <f>VLOOKUP($T27,CBAV_4P_1,3)</f>
        <v>759.5</v>
      </c>
      <c r="AA27">
        <f>VLOOKUP($T27,CBAV_4P_1,4)</f>
        <v>2369</v>
      </c>
      <c r="AB27">
        <f>VLOOKUP($T27,CBAV_4P_1,6)</f>
        <v>0</v>
      </c>
      <c r="AC27">
        <f>VLOOKUP($T27,CBAV_4P_1,7)</f>
        <v>7181</v>
      </c>
      <c r="AM27" s="630">
        <v>0.89</v>
      </c>
      <c r="BZ27" s="51"/>
      <c r="CB27" s="10"/>
      <c r="CI27" s="69"/>
    </row>
    <row r="28" spans="3:87">
      <c r="C28" t="str">
        <f t="shared" si="0"/>
        <v/>
      </c>
      <c r="D28">
        <v>19</v>
      </c>
      <c r="E28">
        <v>25</v>
      </c>
      <c r="F28">
        <f t="shared" si="1"/>
        <v>542.5</v>
      </c>
      <c r="G28">
        <v>1032</v>
      </c>
      <c r="H28">
        <f t="shared" si="2"/>
        <v>1574.5</v>
      </c>
      <c r="I28">
        <f t="shared" si="5"/>
        <v>0</v>
      </c>
      <c r="J28">
        <v>3894</v>
      </c>
      <c r="K28">
        <f t="shared" si="6"/>
        <v>2781.4285714285716</v>
      </c>
      <c r="L28">
        <v>0.17</v>
      </c>
      <c r="M28">
        <v>1.7000000000000002</v>
      </c>
      <c r="N28">
        <v>15</v>
      </c>
      <c r="O28">
        <v>2</v>
      </c>
      <c r="P28" t="s">
        <v>556</v>
      </c>
      <c r="Q28" t="str">
        <f t="shared" si="3"/>
        <v/>
      </c>
      <c r="R28" t="str">
        <f t="shared" si="4"/>
        <v/>
      </c>
      <c r="S28" t="s">
        <v>426</v>
      </c>
      <c r="T28">
        <f>MIN(CBAW_2P_1_FO)</f>
        <v>87</v>
      </c>
      <c r="U28">
        <f>VLOOKUP($T28,CBAW_2P_1,2)</f>
        <v>50</v>
      </c>
      <c r="V28">
        <f>VLOOKUP($T28,CBAW_2P_1,9)</f>
        <v>0.57000000000000006</v>
      </c>
      <c r="W28">
        <f>VLOOKUP($T28,CBAW_2P_1,11)</f>
        <v>24</v>
      </c>
      <c r="X28">
        <f>VLOOKUP($T28,CBAW_2P_1,12)</f>
        <v>6</v>
      </c>
      <c r="Y28" t="str">
        <f>VLOOKUP($T28,CBAW_2P_1,13)</f>
        <v>M23</v>
      </c>
      <c r="Z28">
        <f>VLOOKUP($T28,CBAW_2P_1,3)</f>
        <v>1085</v>
      </c>
      <c r="AA28">
        <f>VLOOKUP($T28,CBAW_2P_1,4)</f>
        <v>2028</v>
      </c>
      <c r="AB28">
        <f>VLOOKUP($T28,CBAW_2P_1,6)</f>
        <v>0</v>
      </c>
      <c r="AC28">
        <f>VLOOKUP($T28,CBAW_2P_1,7)</f>
        <v>7889</v>
      </c>
      <c r="AM28" s="630">
        <v>0.88</v>
      </c>
      <c r="BZ28" s="51"/>
      <c r="CB28" s="10"/>
      <c r="CI28" s="69"/>
    </row>
    <row r="29" spans="3:87">
      <c r="C29" t="str">
        <f t="shared" si="0"/>
        <v/>
      </c>
      <c r="D29">
        <v>20</v>
      </c>
      <c r="E29">
        <v>25</v>
      </c>
      <c r="F29">
        <f t="shared" si="1"/>
        <v>542.5</v>
      </c>
      <c r="G29">
        <v>1355</v>
      </c>
      <c r="H29">
        <f t="shared" si="2"/>
        <v>1897.5</v>
      </c>
      <c r="I29">
        <f t="shared" si="5"/>
        <v>0</v>
      </c>
      <c r="J29">
        <v>5112</v>
      </c>
      <c r="K29">
        <f t="shared" si="6"/>
        <v>3651.4285714285716</v>
      </c>
      <c r="L29">
        <v>0.36</v>
      </c>
      <c r="M29">
        <v>1.7000000000000002</v>
      </c>
      <c r="N29">
        <v>20</v>
      </c>
      <c r="O29">
        <v>2</v>
      </c>
      <c r="P29" t="s">
        <v>514</v>
      </c>
      <c r="Q29" t="str">
        <f t="shared" si="3"/>
        <v/>
      </c>
      <c r="R29" t="str">
        <f t="shared" si="4"/>
        <v/>
      </c>
      <c r="S29" t="s">
        <v>427</v>
      </c>
      <c r="T29">
        <f>MIN(CBAW_4P_1_FO)</f>
        <v>87</v>
      </c>
      <c r="U29">
        <f>VLOOKUP($T29,CBAW_4P_1,2)</f>
        <v>50</v>
      </c>
      <c r="V29">
        <f>VLOOKUP($T29,CBAW_4P_1,9)</f>
        <v>0.57000000000000006</v>
      </c>
      <c r="W29">
        <f>VLOOKUP($T29,CBAW_4P_1,11)</f>
        <v>24</v>
      </c>
      <c r="X29">
        <f>VLOOKUP($T29,CBAW_4P_1,12)</f>
        <v>6</v>
      </c>
      <c r="Y29" t="str">
        <f>VLOOKUP($T29,CBAW_4P_1,13)</f>
        <v>M23</v>
      </c>
      <c r="Z29">
        <f>VLOOKUP($T29,CBAW_4P_1,3)</f>
        <v>1085</v>
      </c>
      <c r="AA29">
        <f>VLOOKUP($T29,CBAW_4P_1,4)</f>
        <v>1948</v>
      </c>
      <c r="AB29">
        <f>VLOOKUP($T29,CBAW_4P_1,6)</f>
        <v>0</v>
      </c>
      <c r="AC29">
        <f>VLOOKUP($T29,CBAW_4P_1,7)</f>
        <v>6474</v>
      </c>
      <c r="AM29" s="630">
        <v>0.87</v>
      </c>
      <c r="BZ29" s="51"/>
      <c r="CB29" s="10"/>
      <c r="CI29" s="69"/>
    </row>
    <row r="30" spans="3:87">
      <c r="C30" t="str">
        <f t="shared" si="0"/>
        <v/>
      </c>
      <c r="D30">
        <v>21</v>
      </c>
      <c r="E30">
        <v>25</v>
      </c>
      <c r="F30">
        <f t="shared" si="1"/>
        <v>542.5</v>
      </c>
      <c r="G30">
        <v>1445</v>
      </c>
      <c r="H30">
        <f t="shared" si="2"/>
        <v>1987.5</v>
      </c>
      <c r="I30">
        <f t="shared" si="5"/>
        <v>0</v>
      </c>
      <c r="J30">
        <v>5453</v>
      </c>
      <c r="K30">
        <f t="shared" si="6"/>
        <v>3895</v>
      </c>
      <c r="L30">
        <v>0.53</v>
      </c>
      <c r="M30">
        <v>1.7000000000000002</v>
      </c>
      <c r="N30">
        <v>19</v>
      </c>
      <c r="O30">
        <v>2</v>
      </c>
      <c r="P30" t="s">
        <v>555</v>
      </c>
      <c r="Q30" t="str">
        <f t="shared" si="3"/>
        <v/>
      </c>
      <c r="R30" t="str">
        <f t="shared" si="4"/>
        <v/>
      </c>
      <c r="S30" t="s">
        <v>428</v>
      </c>
      <c r="T30">
        <f>MIN(CBLV_2P_2_FO)</f>
        <v>27</v>
      </c>
      <c r="U30">
        <f>VLOOKUP($T30,CBLV_2P_2,2)</f>
        <v>35</v>
      </c>
      <c r="V30">
        <f>VLOOKUP($T30,CBLV_2P_2,9)</f>
        <v>0.61</v>
      </c>
      <c r="W30">
        <f>VLOOKUP($T30,CBLV_2P_2,11)</f>
        <v>23</v>
      </c>
      <c r="X30">
        <f>VLOOKUP($T30,CBLV_2P_2,12)</f>
        <v>4</v>
      </c>
      <c r="Y30" t="str">
        <f>VLOOKUP($T30,CBLV_2P_2,13)</f>
        <v>M17</v>
      </c>
      <c r="Z30">
        <f>VLOOKUP($T30,CBLV_2P_2,3)</f>
        <v>759.5</v>
      </c>
      <c r="AA30">
        <f>VLOOKUP($T30,CBLV_2P_2,4)</f>
        <v>2264</v>
      </c>
      <c r="AB30">
        <f>VLOOKUP($T30,CBLV_2P_2,6)</f>
        <v>0</v>
      </c>
      <c r="AC30">
        <f>VLOOKUP($T30,CBLV_2P_2,7)</f>
        <v>8804</v>
      </c>
      <c r="AM30" s="630">
        <v>0.86</v>
      </c>
      <c r="BZ30" s="51"/>
      <c r="CB30" s="10"/>
      <c r="CI30" s="69"/>
    </row>
    <row r="31" spans="3:87">
      <c r="C31" t="str">
        <f t="shared" si="0"/>
        <v>NL</v>
      </c>
      <c r="D31">
        <v>22</v>
      </c>
      <c r="E31">
        <v>25</v>
      </c>
      <c r="F31">
        <f t="shared" si="1"/>
        <v>542.5</v>
      </c>
      <c r="G31">
        <v>1414</v>
      </c>
      <c r="H31">
        <f t="shared" si="2"/>
        <v>1956.5</v>
      </c>
      <c r="I31">
        <f t="shared" si="5"/>
        <v>0</v>
      </c>
      <c r="J31">
        <v>5336</v>
      </c>
      <c r="K31">
        <f t="shared" si="6"/>
        <v>3811.4285714285716</v>
      </c>
      <c r="L31">
        <v>0.22</v>
      </c>
      <c r="M31">
        <v>2.4</v>
      </c>
      <c r="N31">
        <v>15</v>
      </c>
      <c r="O31">
        <v>3</v>
      </c>
      <c r="P31" t="s">
        <v>555</v>
      </c>
      <c r="Q31" t="str">
        <f t="shared" si="3"/>
        <v/>
      </c>
      <c r="R31" t="str">
        <f t="shared" si="4"/>
        <v/>
      </c>
      <c r="S31" t="s">
        <v>429</v>
      </c>
      <c r="T31">
        <f>MIN(CBLV_4P_2_FO)</f>
        <v>31</v>
      </c>
      <c r="U31">
        <f>VLOOKUP($T31,CBLV_4P_2,2)</f>
        <v>35</v>
      </c>
      <c r="V31">
        <f>VLOOKUP($T31,CBLV_4P_2,9)</f>
        <v>0.14000000000000001</v>
      </c>
      <c r="W31">
        <f>VLOOKUP($T31,CBLV_4P_2,11)</f>
        <v>15</v>
      </c>
      <c r="X31">
        <f>VLOOKUP($T31,CBLV_4P_2,12)</f>
        <v>8</v>
      </c>
      <c r="Y31" t="str">
        <f>VLOOKUP($T31,CBLV_4P_2,13)</f>
        <v>M17</v>
      </c>
      <c r="Z31">
        <f>VLOOKUP($T31,CBLV_4P_2,3)</f>
        <v>759.5</v>
      </c>
      <c r="AA31">
        <f>VLOOKUP($T31,CBLV_4P_2,4)</f>
        <v>2297</v>
      </c>
      <c r="AB31">
        <f>VLOOKUP($T31,CBLV_4P_2,6)</f>
        <v>0</v>
      </c>
      <c r="AC31">
        <f>VLOOKUP($T31,CBLV_4P_2,7)</f>
        <v>7148</v>
      </c>
      <c r="AM31" s="630">
        <v>0.85</v>
      </c>
      <c r="BZ31" s="51"/>
      <c r="CB31" s="10"/>
      <c r="CI31" s="69"/>
    </row>
    <row r="32" spans="3:87">
      <c r="C32" t="str">
        <f t="shared" si="0"/>
        <v>NL</v>
      </c>
      <c r="D32">
        <v>23</v>
      </c>
      <c r="E32">
        <v>25</v>
      </c>
      <c r="F32">
        <f t="shared" si="1"/>
        <v>542.5</v>
      </c>
      <c r="G32">
        <v>1778</v>
      </c>
      <c r="H32">
        <f t="shared" si="2"/>
        <v>2320.5</v>
      </c>
      <c r="I32">
        <f t="shared" si="5"/>
        <v>0</v>
      </c>
      <c r="J32">
        <v>6710</v>
      </c>
      <c r="K32">
        <f t="shared" si="6"/>
        <v>4792.8571428571431</v>
      </c>
      <c r="L32">
        <v>0.49</v>
      </c>
      <c r="M32">
        <v>2.4</v>
      </c>
      <c r="N32">
        <v>21</v>
      </c>
      <c r="O32">
        <v>3</v>
      </c>
      <c r="P32" t="s">
        <v>513</v>
      </c>
      <c r="Q32" t="str">
        <f t="shared" si="3"/>
        <v/>
      </c>
      <c r="R32" t="str">
        <f t="shared" si="4"/>
        <v/>
      </c>
      <c r="S32" t="s">
        <v>534</v>
      </c>
      <c r="T32">
        <f>MIN($Q$10:$Q$778)</f>
        <v>29</v>
      </c>
      <c r="U32">
        <f>VLOOKUP($T$32,$D$10:$P$778,2)</f>
        <v>25</v>
      </c>
      <c r="V32">
        <f>VLOOKUP($T$14,$D$10:$P$778,9)</f>
        <v>0.24000000000000002</v>
      </c>
      <c r="W32">
        <f>VLOOKUP($T$14,$D$10:$P$778,11)</f>
        <v>15</v>
      </c>
      <c r="X32">
        <f>VLOOKUP($T$14,$D$10:$P$778,12)</f>
        <v>6</v>
      </c>
      <c r="Y32" t="str">
        <f>VLOOKUP($T$14,$D$10:$P$778,13)</f>
        <v>M13</v>
      </c>
      <c r="Z32">
        <f>VLOOKUP($T$14,$D$10:$P$778,3)</f>
        <v>542.5</v>
      </c>
      <c r="AA32">
        <f>VLOOKUP($T$14,$D$10:$P$778,4)</f>
        <v>2549</v>
      </c>
      <c r="AB32">
        <f>VLOOKUP($T$14,$D$10:$P$778,6)</f>
        <v>0</v>
      </c>
      <c r="AC32">
        <f>VLOOKUP($T$14,$D$10:$P$778,7)</f>
        <v>9619</v>
      </c>
      <c r="BZ32" s="51"/>
      <c r="CB32" s="10"/>
      <c r="CI32" s="69"/>
    </row>
    <row r="33" spans="3:87">
      <c r="C33" t="str">
        <f t="shared" si="0"/>
        <v>NL</v>
      </c>
      <c r="D33">
        <v>24</v>
      </c>
      <c r="E33">
        <v>25</v>
      </c>
      <c r="F33">
        <f t="shared" si="1"/>
        <v>542.5</v>
      </c>
      <c r="G33">
        <v>2326</v>
      </c>
      <c r="H33">
        <f t="shared" si="2"/>
        <v>2868.5</v>
      </c>
      <c r="I33">
        <f t="shared" si="5"/>
        <v>0</v>
      </c>
      <c r="J33">
        <v>8774</v>
      </c>
      <c r="K33">
        <f t="shared" si="6"/>
        <v>6267.1428571428569</v>
      </c>
      <c r="L33">
        <v>0.99</v>
      </c>
      <c r="M33">
        <v>2.4</v>
      </c>
      <c r="N33">
        <v>22</v>
      </c>
      <c r="O33">
        <v>3</v>
      </c>
      <c r="P33" t="s">
        <v>512</v>
      </c>
      <c r="Q33" t="str">
        <f t="shared" si="3"/>
        <v/>
      </c>
      <c r="R33" t="str">
        <f t="shared" si="4"/>
        <v/>
      </c>
      <c r="S33" t="s">
        <v>535</v>
      </c>
      <c r="T33">
        <f>MIN($Q$780:$Q$1259)</f>
        <v>70</v>
      </c>
      <c r="U33">
        <f>VLOOKUP($T33,$D$780:$P$1259,2)</f>
        <v>25</v>
      </c>
      <c r="V33">
        <f>VLOOKUP($T$15,$D$780:$P$1259,9)</f>
        <v>0.49</v>
      </c>
      <c r="W33">
        <f>VLOOKUP($T$15,$D$780:$P$1259,11)</f>
        <v>18</v>
      </c>
      <c r="X33">
        <f>VLOOKUP($T$15,$D$780:$P$1259,12)</f>
        <v>8</v>
      </c>
      <c r="Y33" t="str">
        <f>VLOOKUP($T$15,$D$780:$P$1259,13)</f>
        <v>M13</v>
      </c>
      <c r="Z33">
        <f>VLOOKUP($T$15,$D$780:$P$1259,3)</f>
        <v>542.5</v>
      </c>
      <c r="AA33">
        <f>VLOOKUP($T$15,$D$780:$P$1259,4)</f>
        <v>3037</v>
      </c>
      <c r="AB33">
        <f>VLOOKUP($T$15,$D$780:$P$1259,6)</f>
        <v>0</v>
      </c>
      <c r="AC33">
        <f>VLOOKUP($T$15,$D$780:$P$1259,7)</f>
        <v>11456</v>
      </c>
      <c r="BZ33" s="51"/>
      <c r="CB33" s="10"/>
      <c r="CI33" s="69"/>
    </row>
    <row r="34" spans="3:87">
      <c r="C34" t="str">
        <f t="shared" si="0"/>
        <v/>
      </c>
      <c r="D34">
        <v>25</v>
      </c>
      <c r="E34">
        <v>25</v>
      </c>
      <c r="F34">
        <f t="shared" si="1"/>
        <v>542.5</v>
      </c>
      <c r="G34">
        <v>2000</v>
      </c>
      <c r="H34">
        <f t="shared" si="2"/>
        <v>2542.5</v>
      </c>
      <c r="I34">
        <f t="shared" si="5"/>
        <v>0</v>
      </c>
      <c r="J34">
        <v>7547</v>
      </c>
      <c r="K34">
        <f t="shared" si="6"/>
        <v>5390.7142857142862</v>
      </c>
      <c r="L34">
        <v>0.28000000000000003</v>
      </c>
      <c r="M34">
        <v>3.1</v>
      </c>
      <c r="N34">
        <v>19</v>
      </c>
      <c r="O34">
        <v>4</v>
      </c>
      <c r="P34" t="s">
        <v>513</v>
      </c>
      <c r="Q34" t="str">
        <f t="shared" si="3"/>
        <v/>
      </c>
      <c r="R34" t="str">
        <f t="shared" si="4"/>
        <v/>
      </c>
      <c r="S34" t="s">
        <v>538</v>
      </c>
      <c r="T34">
        <f>MIN($Q$1261:$Q$2029)</f>
        <v>44</v>
      </c>
      <c r="U34">
        <f>VLOOKUP($T34,$D$1261:$P$2029,2)</f>
        <v>30</v>
      </c>
      <c r="V34">
        <f>VLOOKUP($T34,$D$1261:$P$2029,9)</f>
        <v>0.34</v>
      </c>
      <c r="W34">
        <f>VLOOKUP($T34,$D$1261:$P$2029,11)</f>
        <v>18</v>
      </c>
      <c r="X34">
        <f>VLOOKUP($T34,$D$1261:$P$2029,12)</f>
        <v>6</v>
      </c>
      <c r="Y34" t="str">
        <f>VLOOKUP($T34,$D$1261:$P$2029,13)</f>
        <v>M13</v>
      </c>
      <c r="Z34">
        <f>VLOOKUP($T34,$D$1261:$P$2029,3)</f>
        <v>651</v>
      </c>
      <c r="AA34">
        <f>VLOOKUP($T34,$D$1261:$P$2029,4)</f>
        <v>2747</v>
      </c>
      <c r="AB34">
        <f>VLOOKUP($T34,$D$1261:$P$2029,6)</f>
        <v>0</v>
      </c>
      <c r="AC34">
        <f>VLOOKUP($T34,$D$1261:$P$2029,7)</f>
        <v>7043</v>
      </c>
      <c r="BZ34" s="51"/>
      <c r="CB34" s="10"/>
      <c r="CI34" s="69"/>
    </row>
    <row r="35" spans="3:87">
      <c r="C35" t="str">
        <f t="shared" si="0"/>
        <v/>
      </c>
      <c r="D35">
        <v>26</v>
      </c>
      <c r="E35">
        <v>25</v>
      </c>
      <c r="F35">
        <f t="shared" si="1"/>
        <v>542.5</v>
      </c>
      <c r="G35">
        <v>2397</v>
      </c>
      <c r="H35">
        <f t="shared" si="2"/>
        <v>2939.5</v>
      </c>
      <c r="I35">
        <f t="shared" si="5"/>
        <v>0</v>
      </c>
      <c r="J35">
        <v>9045</v>
      </c>
      <c r="K35">
        <f t="shared" si="6"/>
        <v>6460.7142857142862</v>
      </c>
      <c r="L35">
        <v>0.55000000000000004</v>
      </c>
      <c r="M35">
        <v>3.1</v>
      </c>
      <c r="N35">
        <v>20</v>
      </c>
      <c r="O35">
        <v>4</v>
      </c>
      <c r="P35" t="s">
        <v>512</v>
      </c>
      <c r="Q35" t="str">
        <f t="shared" si="3"/>
        <v/>
      </c>
      <c r="R35" t="str">
        <f t="shared" si="4"/>
        <v/>
      </c>
      <c r="S35" t="s">
        <v>539</v>
      </c>
      <c r="T35">
        <f>MIN($Q$2031:$Q$2510)</f>
        <v>70</v>
      </c>
      <c r="U35">
        <f>VLOOKUP($T35,$D$2031:$P$2510,2)</f>
        <v>25</v>
      </c>
      <c r="V35">
        <f>VLOOKUP($T35,$D$2031:$P$2510,9)</f>
        <v>0.49</v>
      </c>
      <c r="W35">
        <f>VLOOKUP($T35,$D$2031:$P$2510,11)</f>
        <v>18</v>
      </c>
      <c r="X35">
        <f>VLOOKUP($T35,$D$2031:$P$2510,12)</f>
        <v>8</v>
      </c>
      <c r="Y35" t="str">
        <f>VLOOKUP($T35,$D$2031:$P$2510,13)</f>
        <v>M13</v>
      </c>
      <c r="Z35">
        <f>VLOOKUP($T35,$D$2031:$P$2510,3)</f>
        <v>542.5</v>
      </c>
      <c r="AA35">
        <f>VLOOKUP($T35,$D$2031:$P$2510,4)</f>
        <v>2847</v>
      </c>
      <c r="AB35">
        <f>VLOOKUP($T35,$D$2031:$P$2510,6)</f>
        <v>0</v>
      </c>
      <c r="AC35">
        <f>VLOOKUP($T35,$D$2031:$P$2510,7)</f>
        <v>7298</v>
      </c>
      <c r="BZ35" s="51"/>
      <c r="CB35" s="10"/>
      <c r="CI35" s="69"/>
    </row>
    <row r="36" spans="3:87">
      <c r="C36" t="str">
        <f t="shared" si="0"/>
        <v>NL</v>
      </c>
      <c r="D36">
        <v>27</v>
      </c>
      <c r="E36">
        <v>25</v>
      </c>
      <c r="F36">
        <f t="shared" si="1"/>
        <v>542.5</v>
      </c>
      <c r="G36">
        <v>2031</v>
      </c>
      <c r="H36">
        <f t="shared" si="2"/>
        <v>2573.5</v>
      </c>
      <c r="I36">
        <f t="shared" si="5"/>
        <v>0</v>
      </c>
      <c r="J36">
        <v>7664</v>
      </c>
      <c r="K36">
        <f t="shared" si="6"/>
        <v>5474.2857142857147</v>
      </c>
      <c r="L36">
        <v>0.18000000000000002</v>
      </c>
      <c r="M36">
        <v>3.8000000000000003</v>
      </c>
      <c r="N36">
        <v>16</v>
      </c>
      <c r="O36">
        <v>5</v>
      </c>
      <c r="P36" t="s">
        <v>513</v>
      </c>
      <c r="Q36" t="str">
        <f t="shared" si="3"/>
        <v/>
      </c>
      <c r="R36" t="str">
        <f t="shared" si="4"/>
        <v/>
      </c>
      <c r="S36" t="s">
        <v>546</v>
      </c>
      <c r="T36">
        <f>MIN($Q$3910:$Q$4487)</f>
        <v>57</v>
      </c>
      <c r="U36">
        <f>VLOOKUP($T36,$D$3910:$P$4487,2)</f>
        <v>35</v>
      </c>
      <c r="V36">
        <f>VLOOKUP($T36,$D$3910:$P$4487,9)</f>
        <v>0.33</v>
      </c>
      <c r="W36">
        <f>VLOOKUP($T36,$D$3910:$P$4487,11)</f>
        <v>21</v>
      </c>
      <c r="X36">
        <f>VLOOKUP($T36,$D$3910:$P$4487,12)</f>
        <v>8</v>
      </c>
      <c r="Y36" t="str">
        <f>VLOOKUP($T36,$D$3910:$P$4487,13)</f>
        <v>M13</v>
      </c>
      <c r="Z36">
        <f>VLOOKUP($T36,$D$3910:$P$4487,3)</f>
        <v>759.5</v>
      </c>
      <c r="AA36">
        <f>VLOOKUP($T36,$D$3910:$P$4487,4)</f>
        <v>2244</v>
      </c>
      <c r="AB36">
        <f>VLOOKUP($T36,$D$3910:$P$4487,6)</f>
        <v>0</v>
      </c>
      <c r="AC36">
        <f>VLOOKUP($T36,$D$3910:$P$4487,7)</f>
        <v>8880</v>
      </c>
      <c r="BZ36" s="51"/>
      <c r="CB36" s="10"/>
      <c r="CI36" s="69"/>
    </row>
    <row r="37" spans="3:87">
      <c r="C37" t="str">
        <f t="shared" si="0"/>
        <v>NL</v>
      </c>
      <c r="D37">
        <v>28</v>
      </c>
      <c r="E37">
        <v>25</v>
      </c>
      <c r="F37">
        <f t="shared" si="1"/>
        <v>542.5</v>
      </c>
      <c r="G37">
        <v>2515</v>
      </c>
      <c r="H37">
        <f t="shared" si="2"/>
        <v>3057.5</v>
      </c>
      <c r="I37">
        <f t="shared" si="5"/>
        <v>0</v>
      </c>
      <c r="J37">
        <v>9487</v>
      </c>
      <c r="K37">
        <f t="shared" si="6"/>
        <v>6776.4285714285716</v>
      </c>
      <c r="L37">
        <v>0.35000000000000003</v>
      </c>
      <c r="M37">
        <v>3.8000000000000003</v>
      </c>
      <c r="N37">
        <v>17</v>
      </c>
      <c r="O37">
        <v>5</v>
      </c>
      <c r="P37" t="s">
        <v>512</v>
      </c>
      <c r="Q37" t="str">
        <f t="shared" si="3"/>
        <v/>
      </c>
      <c r="R37" t="str">
        <f t="shared" si="4"/>
        <v/>
      </c>
      <c r="S37" t="s">
        <v>547</v>
      </c>
      <c r="T37">
        <f>MIN(Q$5068:Q$5350)</f>
        <v>130</v>
      </c>
      <c r="U37">
        <f>VLOOKUP($T37,D$5068:P$5350,2)</f>
        <v>55</v>
      </c>
      <c r="V37">
        <f>VLOOKUP($T37,D$5068:P$5350,9)</f>
        <v>0.38</v>
      </c>
      <c r="W37">
        <f>VLOOKUP($T37,D$5068:P$5350,11)</f>
        <v>22</v>
      </c>
      <c r="X37">
        <f>VLOOKUP($T37,D$5068:P$5350,12)</f>
        <v>8</v>
      </c>
      <c r="Y37" t="str">
        <f>VLOOKUP($T37,D$5068:P$5350,13)</f>
        <v>M23</v>
      </c>
      <c r="Z37">
        <f>VLOOKUP($T37,D$5068:P$5350,3)</f>
        <v>1193.5</v>
      </c>
      <c r="AA37">
        <f>VLOOKUP($T37,D$5068:P$5350,4)</f>
        <v>1859</v>
      </c>
      <c r="AB37">
        <f>VLOOKUP($T37,D$5068:P$5350,6)</f>
        <v>0</v>
      </c>
      <c r="AC37">
        <f>VLOOKUP($T37,D$5068:P$5350,7)</f>
        <v>6454</v>
      </c>
      <c r="BZ37" s="51"/>
      <c r="CB37" s="10"/>
      <c r="CI37" s="69"/>
    </row>
    <row r="38" spans="3:87">
      <c r="C38" t="str">
        <f t="shared" si="0"/>
        <v/>
      </c>
      <c r="D38">
        <v>29</v>
      </c>
      <c r="E38">
        <v>25</v>
      </c>
      <c r="F38">
        <f t="shared" si="1"/>
        <v>542.5</v>
      </c>
      <c r="G38">
        <v>2549</v>
      </c>
      <c r="H38">
        <f t="shared" si="2"/>
        <v>3091.5</v>
      </c>
      <c r="I38">
        <f t="shared" si="5"/>
        <v>0</v>
      </c>
      <c r="J38">
        <v>9619</v>
      </c>
      <c r="K38">
        <f t="shared" si="6"/>
        <v>6870.7142857142862</v>
      </c>
      <c r="L38">
        <v>0.24000000000000002</v>
      </c>
      <c r="M38">
        <v>4.3999999999999995</v>
      </c>
      <c r="N38">
        <v>15</v>
      </c>
      <c r="O38">
        <v>6</v>
      </c>
      <c r="P38" t="s">
        <v>512</v>
      </c>
      <c r="Q38">
        <f t="shared" si="3"/>
        <v>29</v>
      </c>
      <c r="R38" t="str">
        <f t="shared" si="4"/>
        <v/>
      </c>
      <c r="S38" t="s">
        <v>548</v>
      </c>
      <c r="T38">
        <f>MIN(Q$4489:Q$5066)</f>
        <v>71</v>
      </c>
      <c r="U38">
        <f>VLOOKUP($T38,D$4489:P$5066,2)</f>
        <v>40</v>
      </c>
      <c r="V38">
        <f>VLOOKUP($T38,D$4489:P$5066,9)</f>
        <v>0.19</v>
      </c>
      <c r="W38">
        <f>VLOOKUP($T38,D$4489:P$5066,11)</f>
        <v>18</v>
      </c>
      <c r="X38">
        <f>VLOOKUP($T38,D$4489:P$5066,12)</f>
        <v>8</v>
      </c>
      <c r="Y38" t="str">
        <f>VLOOKUP($T38,D$4489:P$5066,13)</f>
        <v>M17</v>
      </c>
      <c r="Z38">
        <f>VLOOKUP($T38,D$4489:P$5066,3)</f>
        <v>868</v>
      </c>
      <c r="AA38">
        <f>VLOOKUP($T38,D$4489:P$5066,4)</f>
        <v>2196</v>
      </c>
      <c r="AB38">
        <f>VLOOKUP($T38,D$4489:P$5066,6)</f>
        <v>0</v>
      </c>
      <c r="AC38">
        <f>VLOOKUP($T38,D$4489:P$5066,7)</f>
        <v>5543</v>
      </c>
      <c r="BZ38" s="51"/>
      <c r="CB38" s="10"/>
      <c r="CI38" s="69"/>
    </row>
    <row r="39" spans="3:87">
      <c r="C39" t="str">
        <f t="shared" si="0"/>
        <v>NL</v>
      </c>
      <c r="D39">
        <v>30</v>
      </c>
      <c r="E39">
        <v>25</v>
      </c>
      <c r="F39">
        <f t="shared" si="1"/>
        <v>542.5</v>
      </c>
      <c r="G39">
        <v>2923</v>
      </c>
      <c r="H39">
        <f t="shared" si="2"/>
        <v>3465.5</v>
      </c>
      <c r="I39">
        <f t="shared" si="5"/>
        <v>0</v>
      </c>
      <c r="J39">
        <v>11026</v>
      </c>
      <c r="K39">
        <f t="shared" si="6"/>
        <v>7875.7142857142862</v>
      </c>
      <c r="L39">
        <v>0.18000000000000002</v>
      </c>
      <c r="M39">
        <v>5.0999999999999996</v>
      </c>
      <c r="N39">
        <v>15</v>
      </c>
      <c r="O39">
        <v>7</v>
      </c>
      <c r="P39" t="s">
        <v>512</v>
      </c>
      <c r="Q39" t="str">
        <f t="shared" si="3"/>
        <v/>
      </c>
      <c r="R39" t="str">
        <f t="shared" si="4"/>
        <v/>
      </c>
      <c r="S39" t="s">
        <v>549</v>
      </c>
      <c r="T39">
        <f>MIN(Q$5352:Q$5634)</f>
        <v>154</v>
      </c>
      <c r="U39">
        <f>VLOOKUP($T39,D$5352:P$5634,2)</f>
        <v>65</v>
      </c>
      <c r="V39">
        <f>VLOOKUP($T39,D$5352:P$5634,9)</f>
        <v>0.53</v>
      </c>
      <c r="W39">
        <f>VLOOKUP($T39,D$5352:P$5634,11)</f>
        <v>25</v>
      </c>
      <c r="X39">
        <f>VLOOKUP($T39,D$5352:P$5634,12)</f>
        <v>8</v>
      </c>
      <c r="Y39" t="str">
        <f>VLOOKUP($T39,D$5352:P$5634,13)</f>
        <v>M23</v>
      </c>
      <c r="Z39">
        <f>VLOOKUP($T39,D$5352:P$5634,3)</f>
        <v>1410.5</v>
      </c>
      <c r="AA39">
        <f>VLOOKUP($T39,D$5352:P$5634,4)</f>
        <v>1753</v>
      </c>
      <c r="AB39">
        <f>VLOOKUP($T39,D$5352:P$5634,6)</f>
        <v>0</v>
      </c>
      <c r="AC39">
        <f>VLOOKUP($T39,D$5352:P$5634,7)</f>
        <v>5822</v>
      </c>
      <c r="BZ39" s="51"/>
      <c r="CB39" s="10"/>
      <c r="CI39" s="69"/>
    </row>
    <row r="40" spans="3:87">
      <c r="C40" t="str">
        <f t="shared" si="0"/>
        <v/>
      </c>
      <c r="D40">
        <v>31</v>
      </c>
      <c r="E40">
        <v>30</v>
      </c>
      <c r="F40">
        <f t="shared" si="1"/>
        <v>651</v>
      </c>
      <c r="G40">
        <v>1270</v>
      </c>
      <c r="H40">
        <f t="shared" si="2"/>
        <v>1921</v>
      </c>
      <c r="I40">
        <f t="shared" si="5"/>
        <v>0</v>
      </c>
      <c r="J40">
        <v>4791</v>
      </c>
      <c r="K40">
        <f t="shared" si="6"/>
        <v>3422.1428571428573</v>
      </c>
      <c r="L40">
        <v>0.24000000000000002</v>
      </c>
      <c r="M40">
        <v>1.7000000000000002</v>
      </c>
      <c r="N40">
        <v>17</v>
      </c>
      <c r="O40">
        <v>2</v>
      </c>
      <c r="P40" t="s">
        <v>556</v>
      </c>
      <c r="Q40" t="str">
        <f t="shared" si="3"/>
        <v/>
      </c>
      <c r="R40" t="str">
        <f t="shared" si="4"/>
        <v/>
      </c>
      <c r="S40" t="s">
        <v>550</v>
      </c>
      <c r="T40">
        <f>MIN($Q$3910:$Q$4487)</f>
        <v>57</v>
      </c>
      <c r="U40">
        <f>VLOOKUP($T40,$D$3910:$P$4487,2)</f>
        <v>35</v>
      </c>
      <c r="V40">
        <f>VLOOKUP($T40,$D$3910:$P$4487,9)</f>
        <v>0.33</v>
      </c>
      <c r="W40">
        <f>VLOOKUP($T40,$D$3910:$P$4487,11)</f>
        <v>21</v>
      </c>
      <c r="X40">
        <f>VLOOKUP($T40,$D$3910:$P$4487,12)</f>
        <v>8</v>
      </c>
      <c r="Y40" t="str">
        <f>VLOOKUP($T40,$D$3910:$P$4487,13)</f>
        <v>M13</v>
      </c>
      <c r="Z40">
        <f>VLOOKUP($T40,$D$3910:$P$4487,3)</f>
        <v>759.5</v>
      </c>
      <c r="AA40">
        <f>VLOOKUP($T40,$D$3910:$P$4487,4)</f>
        <v>2244</v>
      </c>
      <c r="AB40">
        <f>VLOOKUP($T40,$D$3910:$P$4487,6)</f>
        <v>0</v>
      </c>
      <c r="AC40">
        <f>VLOOKUP($T40,$D$3910:$P$4487,7)</f>
        <v>8880</v>
      </c>
      <c r="BZ40" s="51"/>
      <c r="CB40" s="10"/>
      <c r="CI40" s="69"/>
    </row>
    <row r="41" spans="3:87">
      <c r="C41" t="str">
        <f t="shared" si="0"/>
        <v/>
      </c>
      <c r="D41">
        <v>32</v>
      </c>
      <c r="E41">
        <v>30</v>
      </c>
      <c r="F41">
        <f t="shared" si="1"/>
        <v>651</v>
      </c>
      <c r="G41">
        <v>1635</v>
      </c>
      <c r="H41">
        <f t="shared" si="2"/>
        <v>2286</v>
      </c>
      <c r="I41">
        <f t="shared" si="5"/>
        <v>0</v>
      </c>
      <c r="J41">
        <v>6170</v>
      </c>
      <c r="K41">
        <f t="shared" si="6"/>
        <v>4407.1428571428569</v>
      </c>
      <c r="L41">
        <v>0.51</v>
      </c>
      <c r="M41">
        <v>1.7000000000000002</v>
      </c>
      <c r="N41">
        <v>23</v>
      </c>
      <c r="O41">
        <v>2</v>
      </c>
      <c r="P41" t="s">
        <v>514</v>
      </c>
      <c r="Q41" t="str">
        <f t="shared" si="3"/>
        <v/>
      </c>
      <c r="R41" t="str">
        <f t="shared" si="4"/>
        <v/>
      </c>
      <c r="S41" t="s">
        <v>551</v>
      </c>
      <c r="T41">
        <f>MIN(Q$5068:Q$5350)</f>
        <v>130</v>
      </c>
      <c r="U41">
        <f>VLOOKUP($T41,D$5068:P$5350,2)</f>
        <v>55</v>
      </c>
      <c r="V41">
        <f>VLOOKUP($T41,D$5068:P$5350,9)</f>
        <v>0.38</v>
      </c>
      <c r="W41">
        <f>VLOOKUP($T41,D$5068:P$5350,11)</f>
        <v>22</v>
      </c>
      <c r="X41">
        <f>VLOOKUP($T41,D$5068:P$5350,12)</f>
        <v>8</v>
      </c>
      <c r="Y41" t="str">
        <f>VLOOKUP($T41,D$5068:P$5350,13)</f>
        <v>M23</v>
      </c>
      <c r="Z41">
        <f>VLOOKUP($T41,D$5068:P$5350,3)</f>
        <v>1193.5</v>
      </c>
      <c r="AA41">
        <f>VLOOKUP($T41,D$5068:P$5350,4)</f>
        <v>1859</v>
      </c>
      <c r="AB41">
        <f>VLOOKUP($T41,D$5068:P$5350,6)</f>
        <v>0</v>
      </c>
      <c r="AC41">
        <f>VLOOKUP($T41,D$5068:P$5350,7)</f>
        <v>6454</v>
      </c>
      <c r="BZ41" s="51"/>
      <c r="CB41" s="10"/>
      <c r="CI41" s="69"/>
    </row>
    <row r="42" spans="3:87">
      <c r="C42" t="str">
        <f t="shared" si="0"/>
        <v/>
      </c>
      <c r="D42">
        <v>33</v>
      </c>
      <c r="E42">
        <v>30</v>
      </c>
      <c r="F42">
        <f t="shared" si="1"/>
        <v>651</v>
      </c>
      <c r="G42">
        <v>1715</v>
      </c>
      <c r="H42">
        <f t="shared" si="2"/>
        <v>2366</v>
      </c>
      <c r="I42">
        <f t="shared" si="5"/>
        <v>0</v>
      </c>
      <c r="J42">
        <v>6472</v>
      </c>
      <c r="K42">
        <f t="shared" si="6"/>
        <v>4622.8571428571431</v>
      </c>
      <c r="L42">
        <v>0.76</v>
      </c>
      <c r="M42">
        <v>1.7000000000000002</v>
      </c>
      <c r="N42">
        <v>22</v>
      </c>
      <c r="O42">
        <v>2</v>
      </c>
      <c r="P42" t="s">
        <v>555</v>
      </c>
      <c r="Q42" t="str">
        <f t="shared" si="3"/>
        <v/>
      </c>
      <c r="R42" t="str">
        <f t="shared" si="4"/>
        <v/>
      </c>
      <c r="S42" t="s">
        <v>552</v>
      </c>
      <c r="T42">
        <f>MIN(Q$4489:Q$5066)</f>
        <v>71</v>
      </c>
      <c r="U42">
        <f>VLOOKUP($T42,D$4489:P$5066,2)</f>
        <v>40</v>
      </c>
      <c r="V42">
        <f>VLOOKUP($T42,D$4489:P$5066,9)</f>
        <v>0.19</v>
      </c>
      <c r="W42">
        <f>VLOOKUP($T42,D$4489:P$5066,11)</f>
        <v>18</v>
      </c>
      <c r="X42">
        <f>VLOOKUP($T42,D$4489:P$5066,12)</f>
        <v>8</v>
      </c>
      <c r="Y42" t="str">
        <f>VLOOKUP($T42,D$4489:P$5066,13)</f>
        <v>M17</v>
      </c>
      <c r="Z42">
        <f>VLOOKUP($T42,D$4489:P$5066,3)</f>
        <v>868</v>
      </c>
      <c r="AA42">
        <f>VLOOKUP($T42,D$4489:P$5066,4)</f>
        <v>2196</v>
      </c>
      <c r="AB42">
        <f>VLOOKUP($T42,D$4489:P$5066,6)</f>
        <v>0</v>
      </c>
      <c r="AC42">
        <f>VLOOKUP($T42,D$4489:P$5066,7)</f>
        <v>5543</v>
      </c>
      <c r="BZ42" s="51"/>
      <c r="CB42" s="10"/>
      <c r="CI42" s="69"/>
    </row>
    <row r="43" spans="3:87">
      <c r="C43" t="str">
        <f t="shared" si="0"/>
        <v>NL</v>
      </c>
      <c r="D43">
        <v>34</v>
      </c>
      <c r="E43">
        <v>30</v>
      </c>
      <c r="F43">
        <f t="shared" si="1"/>
        <v>651</v>
      </c>
      <c r="G43">
        <v>1546</v>
      </c>
      <c r="H43">
        <f t="shared" si="2"/>
        <v>2197</v>
      </c>
      <c r="I43">
        <f t="shared" si="5"/>
        <v>0</v>
      </c>
      <c r="J43">
        <v>5832</v>
      </c>
      <c r="K43">
        <f t="shared" si="6"/>
        <v>4165.7142857142862</v>
      </c>
      <c r="L43">
        <v>0.21000000000000002</v>
      </c>
      <c r="M43">
        <v>2.4</v>
      </c>
      <c r="N43">
        <v>19</v>
      </c>
      <c r="O43">
        <v>3</v>
      </c>
      <c r="P43" t="s">
        <v>514</v>
      </c>
      <c r="Q43" t="str">
        <f t="shared" si="3"/>
        <v/>
      </c>
      <c r="R43" t="str">
        <f t="shared" si="4"/>
        <v/>
      </c>
      <c r="S43" t="s">
        <v>553</v>
      </c>
      <c r="T43">
        <f>MIN(Q$5352:Q$5634)</f>
        <v>154</v>
      </c>
      <c r="U43">
        <f>VLOOKUP($T43,D$5352:P$5634,2)</f>
        <v>65</v>
      </c>
      <c r="V43">
        <f>VLOOKUP($T43,D$5352:P$5634,9)</f>
        <v>0.53</v>
      </c>
      <c r="W43">
        <f>VLOOKUP($T43,D$5352:P$5634,11)</f>
        <v>25</v>
      </c>
      <c r="X43">
        <f>VLOOKUP($T43,D$5352:P$5634,12)</f>
        <v>8</v>
      </c>
      <c r="Y43" t="str">
        <f>VLOOKUP($T43,D$5352:P$5634,13)</f>
        <v>M23</v>
      </c>
      <c r="Z43">
        <f>VLOOKUP($T43,D$5352:P$5634,3)</f>
        <v>1410.5</v>
      </c>
      <c r="AA43">
        <f>VLOOKUP($T43,D$5352:P$5634,4)</f>
        <v>1753</v>
      </c>
      <c r="AB43">
        <f>VLOOKUP($T43,D$5352:P$5634,6)</f>
        <v>0</v>
      </c>
      <c r="AC43">
        <f>VLOOKUP($T43,D$5352:P$5634,7)</f>
        <v>5822</v>
      </c>
      <c r="BZ43" s="51"/>
      <c r="CB43" s="10"/>
      <c r="CI43" s="69"/>
    </row>
    <row r="44" spans="3:87">
      <c r="C44" t="str">
        <f t="shared" si="0"/>
        <v>NL</v>
      </c>
      <c r="D44">
        <v>35</v>
      </c>
      <c r="E44">
        <v>30</v>
      </c>
      <c r="F44">
        <f t="shared" si="1"/>
        <v>651</v>
      </c>
      <c r="G44">
        <v>1681</v>
      </c>
      <c r="H44">
        <f t="shared" si="2"/>
        <v>2332</v>
      </c>
      <c r="I44">
        <f t="shared" si="5"/>
        <v>0</v>
      </c>
      <c r="J44">
        <v>6341</v>
      </c>
      <c r="K44">
        <f t="shared" si="6"/>
        <v>4529.2857142857147</v>
      </c>
      <c r="L44">
        <v>0.32</v>
      </c>
      <c r="M44">
        <v>2.4</v>
      </c>
      <c r="N44">
        <v>17</v>
      </c>
      <c r="O44">
        <v>3</v>
      </c>
      <c r="P44" t="s">
        <v>555</v>
      </c>
      <c r="Q44" t="str">
        <f t="shared" si="3"/>
        <v/>
      </c>
      <c r="R44" t="str">
        <f t="shared" si="4"/>
        <v/>
      </c>
      <c r="BZ44" s="51"/>
      <c r="CB44" s="10"/>
      <c r="CI44" s="69"/>
    </row>
    <row r="45" spans="3:87">
      <c r="C45" t="str">
        <f t="shared" si="0"/>
        <v>NL</v>
      </c>
      <c r="D45">
        <v>36</v>
      </c>
      <c r="E45">
        <v>30</v>
      </c>
      <c r="F45">
        <f t="shared" si="1"/>
        <v>651</v>
      </c>
      <c r="G45">
        <v>2173</v>
      </c>
      <c r="H45">
        <f t="shared" si="2"/>
        <v>2824</v>
      </c>
      <c r="I45">
        <f t="shared" si="5"/>
        <v>0</v>
      </c>
      <c r="J45">
        <v>8197</v>
      </c>
      <c r="K45">
        <f t="shared" si="6"/>
        <v>5855</v>
      </c>
      <c r="L45">
        <v>0.71</v>
      </c>
      <c r="M45">
        <v>2.4</v>
      </c>
      <c r="N45">
        <v>23</v>
      </c>
      <c r="O45">
        <v>3</v>
      </c>
      <c r="P45" t="s">
        <v>513</v>
      </c>
      <c r="Q45" t="str">
        <f t="shared" si="3"/>
        <v/>
      </c>
      <c r="R45" t="str">
        <f t="shared" si="4"/>
        <v/>
      </c>
      <c r="BZ45" s="51"/>
      <c r="CB45" s="10"/>
      <c r="CI45" s="69"/>
    </row>
    <row r="46" spans="3:87">
      <c r="C46" t="str">
        <f t="shared" si="0"/>
        <v>NL</v>
      </c>
      <c r="D46">
        <v>37</v>
      </c>
      <c r="E46">
        <v>30</v>
      </c>
      <c r="F46">
        <f t="shared" si="1"/>
        <v>651</v>
      </c>
      <c r="G46">
        <v>2173</v>
      </c>
      <c r="H46">
        <f t="shared" si="2"/>
        <v>2824</v>
      </c>
      <c r="I46">
        <f t="shared" si="5"/>
        <v>0</v>
      </c>
      <c r="J46">
        <v>8197</v>
      </c>
      <c r="K46">
        <f t="shared" si="6"/>
        <v>5855</v>
      </c>
      <c r="L46">
        <v>0.71</v>
      </c>
      <c r="M46">
        <v>2.4</v>
      </c>
      <c r="N46">
        <v>23</v>
      </c>
      <c r="O46">
        <v>3</v>
      </c>
      <c r="P46" t="s">
        <v>513</v>
      </c>
      <c r="Q46" t="str">
        <f t="shared" si="3"/>
        <v/>
      </c>
      <c r="R46" t="str">
        <f t="shared" si="4"/>
        <v/>
      </c>
      <c r="BZ46" s="51"/>
      <c r="CB46" s="10"/>
      <c r="CI46" s="69"/>
    </row>
    <row r="47" spans="3:87">
      <c r="C47" t="str">
        <f t="shared" si="0"/>
        <v/>
      </c>
      <c r="D47">
        <v>38</v>
      </c>
      <c r="E47">
        <v>30</v>
      </c>
      <c r="F47">
        <f t="shared" si="1"/>
        <v>651</v>
      </c>
      <c r="G47">
        <v>1742</v>
      </c>
      <c r="H47">
        <f t="shared" si="2"/>
        <v>2393</v>
      </c>
      <c r="I47">
        <f t="shared" si="5"/>
        <v>0</v>
      </c>
      <c r="J47">
        <v>6571</v>
      </c>
      <c r="K47">
        <f t="shared" si="6"/>
        <v>4693.5714285714284</v>
      </c>
      <c r="L47">
        <v>0.18000000000000002</v>
      </c>
      <c r="M47">
        <v>3.1</v>
      </c>
      <c r="N47">
        <v>15</v>
      </c>
      <c r="O47">
        <v>4</v>
      </c>
      <c r="P47" t="s">
        <v>555</v>
      </c>
      <c r="Q47" t="str">
        <f t="shared" si="3"/>
        <v/>
      </c>
      <c r="R47" t="str">
        <f t="shared" si="4"/>
        <v/>
      </c>
      <c r="T47" t="s">
        <v>332</v>
      </c>
      <c r="Z47" t="s">
        <v>326</v>
      </c>
      <c r="AB47" t="s">
        <v>327</v>
      </c>
      <c r="BZ47" s="51"/>
      <c r="CB47" s="10"/>
      <c r="CI47" s="69"/>
    </row>
    <row r="48" spans="3:87">
      <c r="C48" t="str">
        <f t="shared" si="0"/>
        <v/>
      </c>
      <c r="D48">
        <v>39</v>
      </c>
      <c r="E48">
        <v>30</v>
      </c>
      <c r="F48">
        <f t="shared" si="1"/>
        <v>651</v>
      </c>
      <c r="G48">
        <v>2271</v>
      </c>
      <c r="H48">
        <f t="shared" si="2"/>
        <v>2922</v>
      </c>
      <c r="I48">
        <f t="shared" si="5"/>
        <v>0</v>
      </c>
      <c r="J48">
        <v>8568</v>
      </c>
      <c r="K48">
        <f t="shared" si="6"/>
        <v>6120</v>
      </c>
      <c r="L48">
        <v>0.4</v>
      </c>
      <c r="M48">
        <v>3.1</v>
      </c>
      <c r="N48">
        <v>21</v>
      </c>
      <c r="O48">
        <v>4</v>
      </c>
      <c r="P48" t="s">
        <v>513</v>
      </c>
      <c r="Q48" t="str">
        <f t="shared" si="3"/>
        <v/>
      </c>
      <c r="R48" t="str">
        <f t="shared" si="4"/>
        <v/>
      </c>
      <c r="T48" t="s">
        <v>330</v>
      </c>
      <c r="U48" t="s">
        <v>4</v>
      </c>
      <c r="V48" t="s">
        <v>331</v>
      </c>
      <c r="W48" t="s">
        <v>328</v>
      </c>
      <c r="X48" t="s">
        <v>127</v>
      </c>
      <c r="Y48" t="s">
        <v>323</v>
      </c>
      <c r="Z48" t="s">
        <v>334</v>
      </c>
      <c r="AA48" t="s">
        <v>335</v>
      </c>
      <c r="AB48" t="s">
        <v>336</v>
      </c>
      <c r="AC48" t="s">
        <v>337</v>
      </c>
      <c r="BZ48" s="51"/>
      <c r="CB48" s="10"/>
      <c r="CI48" s="69"/>
    </row>
    <row r="49" spans="3:87">
      <c r="C49" t="str">
        <f t="shared" si="0"/>
        <v/>
      </c>
      <c r="D49">
        <v>40</v>
      </c>
      <c r="E49">
        <v>30</v>
      </c>
      <c r="F49">
        <f t="shared" si="1"/>
        <v>651</v>
      </c>
      <c r="G49">
        <v>2824</v>
      </c>
      <c r="H49">
        <f t="shared" si="2"/>
        <v>3475</v>
      </c>
      <c r="I49">
        <f t="shared" si="5"/>
        <v>0</v>
      </c>
      <c r="J49">
        <v>10655</v>
      </c>
      <c r="K49">
        <f t="shared" si="6"/>
        <v>7610.7142857142862</v>
      </c>
      <c r="L49">
        <v>0.8</v>
      </c>
      <c r="M49">
        <v>3.1</v>
      </c>
      <c r="N49">
        <v>22</v>
      </c>
      <c r="O49">
        <v>4</v>
      </c>
      <c r="P49" t="s">
        <v>512</v>
      </c>
      <c r="Q49" t="str">
        <f t="shared" si="3"/>
        <v/>
      </c>
      <c r="R49" t="str">
        <f t="shared" si="4"/>
        <v/>
      </c>
      <c r="S49" t="s">
        <v>532</v>
      </c>
      <c r="T49">
        <f>MIN($R$10:$R$778)</f>
        <v>0</v>
      </c>
      <c r="U49" t="e">
        <f>VLOOKUP($T$49,$D$10:$P$778,2)</f>
        <v>#N/A</v>
      </c>
      <c r="V49" t="e">
        <f>VLOOKUP($T49,$D$10:$P$778,9)</f>
        <v>#N/A</v>
      </c>
      <c r="W49" t="e">
        <f>VLOOKUP($T49,$D$10:$P$778,11)</f>
        <v>#N/A</v>
      </c>
      <c r="X49" t="e">
        <f>VLOOKUP($T49,$D$10:$P$778,12)</f>
        <v>#N/A</v>
      </c>
      <c r="Y49" t="e">
        <f>VLOOKUP($T49,$D$10:$P$778,13)</f>
        <v>#N/A</v>
      </c>
      <c r="Z49" t="e">
        <f>VLOOKUP($T49,$D$10:$P$778,3)</f>
        <v>#N/A</v>
      </c>
      <c r="AA49" t="e">
        <f>VLOOKUP($T49,$D$10:$P$778,4)</f>
        <v>#N/A</v>
      </c>
      <c r="AB49" t="e">
        <f>VLOOKUP($T49,$D$10:$P$778,6)</f>
        <v>#N/A</v>
      </c>
      <c r="AC49" t="e">
        <f>VLOOKUP($T49,$D$10:$P$778,7)</f>
        <v>#N/A</v>
      </c>
      <c r="BZ49" s="51"/>
      <c r="CB49" s="10"/>
      <c r="CI49" s="69"/>
    </row>
    <row r="50" spans="3:87">
      <c r="C50" t="str">
        <f t="shared" si="0"/>
        <v>NL</v>
      </c>
      <c r="D50">
        <v>41</v>
      </c>
      <c r="E50">
        <v>30</v>
      </c>
      <c r="F50">
        <f t="shared" si="1"/>
        <v>651</v>
      </c>
      <c r="G50">
        <v>2374</v>
      </c>
      <c r="H50">
        <f t="shared" si="2"/>
        <v>3025</v>
      </c>
      <c r="I50">
        <f t="shared" si="5"/>
        <v>0</v>
      </c>
      <c r="J50">
        <v>8956</v>
      </c>
      <c r="K50">
        <f t="shared" si="6"/>
        <v>6397.1428571428569</v>
      </c>
      <c r="L50">
        <v>0.25</v>
      </c>
      <c r="M50">
        <v>3.8000000000000003</v>
      </c>
      <c r="N50">
        <v>19</v>
      </c>
      <c r="O50">
        <v>5</v>
      </c>
      <c r="P50" t="s">
        <v>513</v>
      </c>
      <c r="Q50" t="str">
        <f t="shared" si="3"/>
        <v/>
      </c>
      <c r="R50" t="str">
        <f t="shared" si="4"/>
        <v/>
      </c>
      <c r="S50" t="s">
        <v>533</v>
      </c>
      <c r="T50">
        <f>MIN($R$780:$R$1259)</f>
        <v>88</v>
      </c>
      <c r="U50">
        <f>VLOOKUP($T$50,$D$780:$P$1259,2)</f>
        <v>30</v>
      </c>
      <c r="V50">
        <f>VLOOKUP($T50,$D$780:$P$1259,9)</f>
        <v>0.62</v>
      </c>
      <c r="W50">
        <f>VLOOKUP($T50,$D$780:$P$1259,11)</f>
        <v>22</v>
      </c>
      <c r="X50">
        <f>VLOOKUP($T50,$D$780:$P$1259,12)</f>
        <v>6</v>
      </c>
      <c r="Y50" t="str">
        <f>VLOOKUP($T50,$D$780:$P$1259,13)</f>
        <v>M17</v>
      </c>
      <c r="Z50">
        <f>VLOOKUP($T50,$D$780:$P$1259,3)</f>
        <v>651</v>
      </c>
      <c r="AA50">
        <f>VLOOKUP($T50,$D$780:$P$1259,4)</f>
        <v>2416</v>
      </c>
      <c r="AB50">
        <f>VLOOKUP($T50,$D$780:$P$1259,6)</f>
        <v>0</v>
      </c>
      <c r="AC50">
        <f>VLOOKUP($T50,$D$780:$P$1259,7)</f>
        <v>9115</v>
      </c>
      <c r="BZ50" s="51"/>
      <c r="CB50" s="10"/>
      <c r="CI50" s="69"/>
    </row>
    <row r="51" spans="3:87">
      <c r="C51" t="str">
        <f t="shared" si="0"/>
        <v>NL</v>
      </c>
      <c r="D51">
        <v>42</v>
      </c>
      <c r="E51">
        <v>30</v>
      </c>
      <c r="F51">
        <f t="shared" si="1"/>
        <v>651</v>
      </c>
      <c r="G51">
        <v>2903</v>
      </c>
      <c r="H51">
        <f t="shared" si="2"/>
        <v>3554</v>
      </c>
      <c r="I51">
        <f t="shared" si="5"/>
        <v>0</v>
      </c>
      <c r="J51">
        <v>10954</v>
      </c>
      <c r="K51">
        <f t="shared" si="6"/>
        <v>7824.2857142857147</v>
      </c>
      <c r="L51">
        <v>0.5</v>
      </c>
      <c r="M51">
        <v>3.8000000000000003</v>
      </c>
      <c r="N51">
        <v>20</v>
      </c>
      <c r="O51">
        <v>5</v>
      </c>
      <c r="P51" t="s">
        <v>512</v>
      </c>
      <c r="Q51" t="str">
        <f t="shared" si="3"/>
        <v/>
      </c>
      <c r="R51" t="str">
        <f t="shared" si="4"/>
        <v/>
      </c>
      <c r="S51" t="s">
        <v>536</v>
      </c>
      <c r="T51">
        <f>MIN($R$1261:$R$2029)</f>
        <v>56</v>
      </c>
      <c r="U51">
        <f>VLOOKUP($T51,$D$1261:$P$2029,2)</f>
        <v>35</v>
      </c>
      <c r="V51">
        <f>VLOOKUP($T51,$D$1261:$P$2029,9)</f>
        <v>0.54</v>
      </c>
      <c r="W51">
        <f>VLOOKUP($T51,$D$1261:$P$2029,11)</f>
        <v>23</v>
      </c>
      <c r="X51">
        <f>VLOOKUP($T51,$D$1261:$P$2029,12)</f>
        <v>4</v>
      </c>
      <c r="Y51" t="str">
        <f>VLOOKUP($T51,$D$1261:$P$2029,13)</f>
        <v>M17</v>
      </c>
      <c r="Z51">
        <f>VLOOKUP($T51,$D$1261:$P$2029,3)</f>
        <v>759.5</v>
      </c>
      <c r="AA51">
        <f>VLOOKUP($T51,$D$1261:$P$2029,4)</f>
        <v>2407</v>
      </c>
      <c r="AB51">
        <f>VLOOKUP($T51,$D$1261:$P$2029,6)</f>
        <v>0</v>
      </c>
      <c r="AC51">
        <f>VLOOKUP($T51,$D$1261:$P$2029,7)</f>
        <v>6171</v>
      </c>
      <c r="BZ51" s="51"/>
      <c r="CB51" s="10"/>
      <c r="CI51" s="69"/>
    </row>
    <row r="52" spans="3:87">
      <c r="C52" t="str">
        <f t="shared" si="0"/>
        <v/>
      </c>
      <c r="D52">
        <v>43</v>
      </c>
      <c r="E52">
        <v>30</v>
      </c>
      <c r="F52">
        <f t="shared" si="1"/>
        <v>651</v>
      </c>
      <c r="G52">
        <v>2416</v>
      </c>
      <c r="H52">
        <f t="shared" si="2"/>
        <v>3067</v>
      </c>
      <c r="I52">
        <f t="shared" si="5"/>
        <v>0</v>
      </c>
      <c r="J52">
        <v>9115</v>
      </c>
      <c r="K52">
        <f t="shared" si="6"/>
        <v>6510.7142857142862</v>
      </c>
      <c r="L52">
        <v>0.18000000000000002</v>
      </c>
      <c r="M52">
        <v>4.3999999999999995</v>
      </c>
      <c r="N52">
        <v>17</v>
      </c>
      <c r="O52">
        <v>6</v>
      </c>
      <c r="P52" t="s">
        <v>513</v>
      </c>
      <c r="Q52">
        <f t="shared" si="3"/>
        <v>43</v>
      </c>
      <c r="R52" t="str">
        <f t="shared" si="4"/>
        <v/>
      </c>
      <c r="S52" t="s">
        <v>537</v>
      </c>
      <c r="T52">
        <f>MIN($R$2031:$R$2510)</f>
        <v>0</v>
      </c>
      <c r="U52" t="e">
        <f>VLOOKUP($T52,$D$2031:$P$2510,2)</f>
        <v>#N/A</v>
      </c>
      <c r="V52" t="e">
        <f>VLOOKUP($T52,$D$2031:$P$2510,9)</f>
        <v>#N/A</v>
      </c>
      <c r="W52" t="e">
        <f>VLOOKUP($T52,$D$2031:$P$2510,11)</f>
        <v>#N/A</v>
      </c>
      <c r="X52" t="e">
        <f>VLOOKUP($T52,$D$2031:$P$2510,12)</f>
        <v>#N/A</v>
      </c>
      <c r="Y52" t="e">
        <f>VLOOKUP($T52,$D$2031:$P$2510,13)</f>
        <v>#N/A</v>
      </c>
      <c r="Z52" t="e">
        <f>VLOOKUP($T52,$D$2031:$P$2510,3)</f>
        <v>#N/A</v>
      </c>
      <c r="AA52" t="e">
        <f>VLOOKUP($T52,$D$2031:$P$2510,4)</f>
        <v>#N/A</v>
      </c>
      <c r="AB52" t="e">
        <f>VLOOKUP($T52,$D$2031:$P$2510,6)</f>
        <v>#N/A</v>
      </c>
      <c r="AC52" t="e">
        <f>VLOOKUP($T52,$D$2031:$P$2510,7)</f>
        <v>#N/A</v>
      </c>
      <c r="BZ52" s="51"/>
      <c r="CB52" s="10"/>
      <c r="CI52" s="69"/>
    </row>
    <row r="53" spans="3:87">
      <c r="C53" t="str">
        <f t="shared" si="0"/>
        <v/>
      </c>
      <c r="D53">
        <v>44</v>
      </c>
      <c r="E53">
        <v>30</v>
      </c>
      <c r="F53">
        <f t="shared" si="1"/>
        <v>651</v>
      </c>
      <c r="G53">
        <v>2930</v>
      </c>
      <c r="H53">
        <f t="shared" si="2"/>
        <v>3581</v>
      </c>
      <c r="I53">
        <f t="shared" si="5"/>
        <v>0</v>
      </c>
      <c r="J53">
        <v>11056</v>
      </c>
      <c r="K53">
        <f t="shared" si="6"/>
        <v>7897.1428571428569</v>
      </c>
      <c r="L53">
        <v>0.34</v>
      </c>
      <c r="M53">
        <v>4.3999999999999995</v>
      </c>
      <c r="N53">
        <v>18</v>
      </c>
      <c r="O53">
        <v>6</v>
      </c>
      <c r="P53" t="s">
        <v>512</v>
      </c>
      <c r="Q53">
        <f t="shared" si="3"/>
        <v>44</v>
      </c>
      <c r="R53" t="str">
        <f t="shared" si="4"/>
        <v/>
      </c>
      <c r="S53" t="s">
        <v>416</v>
      </c>
      <c r="T53">
        <f>MIN(R2547:R2643)</f>
        <v>0</v>
      </c>
      <c r="U53" t="e">
        <f>VLOOKUP($T53,$D$2512:$P$2608,2)</f>
        <v>#N/A</v>
      </c>
      <c r="V53" t="e">
        <f>VLOOKUP($T53,$D$2512:$P$2608,9)</f>
        <v>#N/A</v>
      </c>
      <c r="W53" t="e">
        <f>VLOOKUP($T53,$D$2512:$P$2608,11)</f>
        <v>#N/A</v>
      </c>
      <c r="X53" t="e">
        <f>VLOOKUP($T53,$D$2512:$P$2608,12)</f>
        <v>#N/A</v>
      </c>
      <c r="Y53" t="e">
        <f>VLOOKUP($T53,$D$2512:$P$2608,13)</f>
        <v>#N/A</v>
      </c>
      <c r="Z53" t="e">
        <f>VLOOKUP($T53,$D$2512:$P$2608,3)</f>
        <v>#N/A</v>
      </c>
      <c r="AA53" t="e">
        <f>VLOOKUP($T53,$D$2512:$P$2608,4)</f>
        <v>#N/A</v>
      </c>
      <c r="AB53" t="e">
        <f>VLOOKUP($T53,$D$2512:$P$2608,6)</f>
        <v>#N/A</v>
      </c>
      <c r="AC53" t="e">
        <f>VLOOKUP($T53,$D$2512:$P$2608,7)</f>
        <v>#N/A</v>
      </c>
      <c r="BZ53" s="51"/>
      <c r="CB53" s="10"/>
      <c r="CI53" s="69"/>
    </row>
    <row r="54" spans="3:87">
      <c r="C54" t="str">
        <f t="shared" si="0"/>
        <v>NL</v>
      </c>
      <c r="D54">
        <v>45</v>
      </c>
      <c r="E54">
        <v>30</v>
      </c>
      <c r="F54">
        <f t="shared" si="1"/>
        <v>651</v>
      </c>
      <c r="G54">
        <v>3304</v>
      </c>
      <c r="H54">
        <f t="shared" si="2"/>
        <v>3955</v>
      </c>
      <c r="I54">
        <f t="shared" si="5"/>
        <v>0</v>
      </c>
      <c r="J54">
        <v>12465</v>
      </c>
      <c r="K54">
        <f t="shared" si="6"/>
        <v>8903.5714285714294</v>
      </c>
      <c r="L54">
        <v>0.25</v>
      </c>
      <c r="M54">
        <v>5.0999999999999996</v>
      </c>
      <c r="N54">
        <v>17</v>
      </c>
      <c r="O54">
        <v>7</v>
      </c>
      <c r="P54" t="s">
        <v>512</v>
      </c>
      <c r="Q54" t="str">
        <f t="shared" si="3"/>
        <v/>
      </c>
      <c r="R54" t="str">
        <f t="shared" si="4"/>
        <v/>
      </c>
      <c r="S54" t="s">
        <v>417</v>
      </c>
      <c r="T54">
        <f>MIN(R2645:R2741)</f>
        <v>0</v>
      </c>
      <c r="U54" t="e">
        <f>VLOOKUP($T54,$D$2610:$P$2706,2)</f>
        <v>#N/A</v>
      </c>
      <c r="V54" t="e">
        <f>VLOOKUP($T54,$D$2610:$P$2706,9)</f>
        <v>#N/A</v>
      </c>
      <c r="W54" t="e">
        <f>VLOOKUP($T54,$D$2610:$P$2706,11)</f>
        <v>#N/A</v>
      </c>
      <c r="X54" t="e">
        <f>VLOOKUP($T54,$D$2610:$P$2706,12)</f>
        <v>#N/A</v>
      </c>
      <c r="Y54" t="e">
        <f>VLOOKUP($T54,$D$2610:$P$2706,13)</f>
        <v>#N/A</v>
      </c>
      <c r="Z54" t="e">
        <f>VLOOKUP($T54,$D$2610:$P$2706,3)</f>
        <v>#N/A</v>
      </c>
      <c r="AA54" t="e">
        <f>VLOOKUP($T54,$D$2610:$P$2706,4)</f>
        <v>#N/A</v>
      </c>
      <c r="AB54" t="e">
        <f>VLOOKUP($T54,$D$2610:$P$2706,6)</f>
        <v>#N/A</v>
      </c>
      <c r="AC54" t="e">
        <f>VLOOKUP($T54,$D$2610:$P$2706,7)</f>
        <v>#N/A</v>
      </c>
      <c r="BZ54" s="51"/>
      <c r="CB54" s="10"/>
      <c r="CI54" s="69"/>
    </row>
    <row r="55" spans="3:87">
      <c r="C55" t="str">
        <f t="shared" si="0"/>
        <v/>
      </c>
      <c r="D55">
        <v>46</v>
      </c>
      <c r="E55">
        <v>30</v>
      </c>
      <c r="F55">
        <f t="shared" si="1"/>
        <v>651</v>
      </c>
      <c r="G55">
        <v>3487</v>
      </c>
      <c r="H55">
        <f t="shared" si="2"/>
        <v>4138</v>
      </c>
      <c r="I55">
        <f t="shared" si="5"/>
        <v>0</v>
      </c>
      <c r="J55">
        <v>13156</v>
      </c>
      <c r="K55">
        <f t="shared" si="6"/>
        <v>9397.1428571428569</v>
      </c>
      <c r="L55">
        <v>0.2</v>
      </c>
      <c r="M55">
        <v>5.8</v>
      </c>
      <c r="N55">
        <v>16</v>
      </c>
      <c r="O55">
        <v>8</v>
      </c>
      <c r="P55" t="s">
        <v>512</v>
      </c>
      <c r="Q55">
        <f t="shared" si="3"/>
        <v>46</v>
      </c>
      <c r="R55" t="str">
        <f t="shared" si="4"/>
        <v/>
      </c>
      <c r="S55" t="s">
        <v>418</v>
      </c>
      <c r="T55">
        <f>MIN(R2743:R2848)</f>
        <v>0</v>
      </c>
      <c r="U55" t="e">
        <f>VLOOKUP($T55,$D$2706:$P$2813,2)</f>
        <v>#N/A</v>
      </c>
      <c r="V55" t="e">
        <f>VLOOKUP($T55,$D$2706:$P$2813,9)</f>
        <v>#N/A</v>
      </c>
      <c r="W55" t="e">
        <f>VLOOKUP($T55,$D$2706:$P$2813,11)</f>
        <v>#N/A</v>
      </c>
      <c r="X55" t="e">
        <f>VLOOKUP($T55,$D$2706:$P$2813,12)</f>
        <v>#N/A</v>
      </c>
      <c r="Y55" t="e">
        <f>VLOOKUP($T55,$D$2706:$P$2813,13)</f>
        <v>#N/A</v>
      </c>
      <c r="Z55" t="e">
        <f>VLOOKUP($T55,$D$2706:$P$2813,3)</f>
        <v>#N/A</v>
      </c>
      <c r="AA55" t="e">
        <f>VLOOKUP($T55,$D$2706:$P$2813,4)</f>
        <v>#N/A</v>
      </c>
      <c r="AB55" t="e">
        <f>VLOOKUP($T55,$D$2706:$P$2813,6)</f>
        <v>#N/A</v>
      </c>
      <c r="AC55" t="e">
        <f>VLOOKUP($T55,$D$2706:$P$2813,7)</f>
        <v>#N/A</v>
      </c>
      <c r="BZ55" s="51"/>
      <c r="CB55" s="10"/>
      <c r="CI55" s="69"/>
    </row>
    <row r="56" spans="3:87">
      <c r="C56" t="str">
        <f t="shared" si="0"/>
        <v/>
      </c>
      <c r="D56">
        <v>47</v>
      </c>
      <c r="E56">
        <v>35</v>
      </c>
      <c r="F56">
        <f t="shared" si="1"/>
        <v>759.5</v>
      </c>
      <c r="G56">
        <v>1216</v>
      </c>
      <c r="H56">
        <f t="shared" si="2"/>
        <v>1975.5</v>
      </c>
      <c r="I56">
        <f t="shared" si="5"/>
        <v>0</v>
      </c>
      <c r="J56">
        <v>4587</v>
      </c>
      <c r="K56">
        <f t="shared" si="6"/>
        <v>3276.4285714285716</v>
      </c>
      <c r="L56">
        <v>0.2</v>
      </c>
      <c r="M56">
        <v>1.7000000000000002</v>
      </c>
      <c r="N56">
        <v>17</v>
      </c>
      <c r="O56">
        <v>2</v>
      </c>
      <c r="P56" t="s">
        <v>515</v>
      </c>
      <c r="Q56" t="str">
        <f t="shared" si="3"/>
        <v/>
      </c>
      <c r="R56" t="str">
        <f t="shared" si="4"/>
        <v/>
      </c>
      <c r="S56" t="s">
        <v>419</v>
      </c>
      <c r="T56">
        <f>MIN(CBAB_4P_1_FO)</f>
        <v>39</v>
      </c>
      <c r="U56">
        <f>VLOOKUP($T56,CBAB_4P_1,2)</f>
        <v>35</v>
      </c>
      <c r="V56">
        <f>VLOOKUP($T56,CBAB_4P_1,9)</f>
        <v>0.59</v>
      </c>
      <c r="W56">
        <f>VLOOKUP($T56,CBAB_4P_1,11)</f>
        <v>25</v>
      </c>
      <c r="X56">
        <f>VLOOKUP($T56,CBAB_4P_1,12)</f>
        <v>4</v>
      </c>
      <c r="Y56" t="str">
        <f>VLOOKUP($T56,CBAB_4P_1,13)</f>
        <v>M23</v>
      </c>
      <c r="Z56">
        <f>VLOOKUP($T56,CBAB_4P_1,3)</f>
        <v>759.5</v>
      </c>
      <c r="AA56">
        <f>VLOOKUP($T56,CBAB_4P_1,4)</f>
        <v>2652</v>
      </c>
      <c r="AB56">
        <f>VLOOKUP($T56,CBAB_4P_1,6)</f>
        <v>0</v>
      </c>
      <c r="AC56">
        <f>VLOOKUP($T56,CBAB_4P_1,7)</f>
        <v>8251</v>
      </c>
      <c r="BZ56" s="51"/>
      <c r="CB56" s="10"/>
      <c r="CI56" s="69"/>
    </row>
    <row r="57" spans="3:87">
      <c r="C57" t="str">
        <f t="shared" si="0"/>
        <v/>
      </c>
      <c r="D57">
        <v>48</v>
      </c>
      <c r="E57">
        <v>35</v>
      </c>
      <c r="F57">
        <f t="shared" si="1"/>
        <v>759.5</v>
      </c>
      <c r="G57">
        <v>1487</v>
      </c>
      <c r="H57">
        <f t="shared" si="2"/>
        <v>2246.5</v>
      </c>
      <c r="I57">
        <f t="shared" si="5"/>
        <v>0</v>
      </c>
      <c r="J57">
        <v>5612</v>
      </c>
      <c r="K57">
        <f t="shared" si="6"/>
        <v>4008.5714285714284</v>
      </c>
      <c r="L57">
        <v>0.33</v>
      </c>
      <c r="M57">
        <v>1.7000000000000002</v>
      </c>
      <c r="N57">
        <v>19</v>
      </c>
      <c r="O57">
        <v>2</v>
      </c>
      <c r="P57" t="s">
        <v>556</v>
      </c>
      <c r="Q57" t="str">
        <f t="shared" si="3"/>
        <v/>
      </c>
      <c r="R57" t="str">
        <f t="shared" si="4"/>
        <v/>
      </c>
      <c r="S57" t="s">
        <v>420</v>
      </c>
      <c r="T57">
        <f>MIN(R2745:R2850)</f>
        <v>0</v>
      </c>
      <c r="U57" t="e">
        <f>VLOOKUP($T57,$D$2706:$P$2813,2)</f>
        <v>#N/A</v>
      </c>
      <c r="V57" t="e">
        <f>VLOOKUP($T57,$D$2706:$P$2813,9)</f>
        <v>#N/A</v>
      </c>
      <c r="W57" t="e">
        <f>VLOOKUP($T57,$D$2706:$P$2813,11)</f>
        <v>#N/A</v>
      </c>
      <c r="X57" t="e">
        <f>VLOOKUP($T57,$D$2706:$P$2813,12)</f>
        <v>#N/A</v>
      </c>
      <c r="Y57" t="e">
        <f>VLOOKUP($T57,$D$2706:$P$2813,13)</f>
        <v>#N/A</v>
      </c>
      <c r="Z57" t="e">
        <f>VLOOKUP($T57,$D$2706:$P$2813,3)</f>
        <v>#N/A</v>
      </c>
      <c r="AA57" t="e">
        <f>VLOOKUP($T57,$D$2706:$P$2813,4)</f>
        <v>#N/A</v>
      </c>
      <c r="AB57" t="e">
        <f>VLOOKUP($T57,$D$2706:$P$2813,6)</f>
        <v>#N/A</v>
      </c>
      <c r="AC57" t="e">
        <f>VLOOKUP($T57,$D$2706:$P$2813,7)</f>
        <v>#N/A</v>
      </c>
      <c r="BZ57" s="51"/>
      <c r="CB57" s="10"/>
      <c r="CI57" s="69"/>
    </row>
    <row r="58" spans="3:87">
      <c r="C58" t="str">
        <f t="shared" si="0"/>
        <v/>
      </c>
      <c r="D58">
        <v>49</v>
      </c>
      <c r="E58">
        <v>35</v>
      </c>
      <c r="F58">
        <f t="shared" si="1"/>
        <v>759.5</v>
      </c>
      <c r="G58">
        <v>1851</v>
      </c>
      <c r="H58">
        <f t="shared" si="2"/>
        <v>2610.5</v>
      </c>
      <c r="I58">
        <f t="shared" si="5"/>
        <v>0</v>
      </c>
      <c r="J58">
        <v>6984</v>
      </c>
      <c r="K58">
        <f t="shared" si="6"/>
        <v>4988.5714285714284</v>
      </c>
      <c r="L58">
        <v>0.69000000000000006</v>
      </c>
      <c r="M58">
        <v>1.7000000000000002</v>
      </c>
      <c r="N58">
        <v>25</v>
      </c>
      <c r="O58">
        <v>2</v>
      </c>
      <c r="P58" t="s">
        <v>514</v>
      </c>
      <c r="Q58" t="str">
        <f t="shared" si="3"/>
        <v/>
      </c>
      <c r="R58" t="str">
        <f t="shared" si="4"/>
        <v/>
      </c>
      <c r="S58" t="s">
        <v>421</v>
      </c>
      <c r="T58">
        <f>MIN(CBAB_4P_1_FO)</f>
        <v>39</v>
      </c>
      <c r="U58">
        <f>VLOOKUP($T58,CBAB_4P_1,2)</f>
        <v>35</v>
      </c>
      <c r="V58">
        <f>VLOOKUP($T58,CBAB_4P_1,9)</f>
        <v>0.59</v>
      </c>
      <c r="W58">
        <f>VLOOKUP($T58,CBAB_4P_1,11)</f>
        <v>25</v>
      </c>
      <c r="X58">
        <f>VLOOKUP($T58,CBAB_4P_1,12)</f>
        <v>4</v>
      </c>
      <c r="Y58" t="str">
        <f>VLOOKUP($T58,CBAB_4P_1,13)</f>
        <v>M23</v>
      </c>
      <c r="Z58">
        <f>VLOOKUP($T58,CBAB_4P_1,3)</f>
        <v>759.5</v>
      </c>
      <c r="AA58">
        <f>VLOOKUP($T58,CBAB_4P_1,4)</f>
        <v>2652</v>
      </c>
      <c r="AB58">
        <f>VLOOKUP($T58,CBAB_4P_1,6)</f>
        <v>0</v>
      </c>
      <c r="AC58">
        <f>VLOOKUP($T58,CBAB_4P_1,7)</f>
        <v>8251</v>
      </c>
      <c r="BZ58" s="51"/>
      <c r="CB58" s="10"/>
      <c r="CI58" s="69"/>
    </row>
    <row r="59" spans="3:87">
      <c r="C59" t="str">
        <f t="shared" si="0"/>
        <v/>
      </c>
      <c r="D59">
        <v>50</v>
      </c>
      <c r="E59">
        <v>35</v>
      </c>
      <c r="F59">
        <f t="shared" si="1"/>
        <v>759.5</v>
      </c>
      <c r="G59">
        <v>1929</v>
      </c>
      <c r="H59">
        <f t="shared" si="2"/>
        <v>2688.5</v>
      </c>
      <c r="I59">
        <f t="shared" si="5"/>
        <v>0</v>
      </c>
      <c r="J59">
        <v>7278</v>
      </c>
      <c r="K59">
        <f t="shared" si="6"/>
        <v>5198.5714285714284</v>
      </c>
      <c r="L59">
        <v>1.03</v>
      </c>
      <c r="M59">
        <v>1.7000000000000002</v>
      </c>
      <c r="N59">
        <v>24</v>
      </c>
      <c r="O59">
        <v>2</v>
      </c>
      <c r="P59" t="s">
        <v>555</v>
      </c>
      <c r="Q59" t="str">
        <f t="shared" si="3"/>
        <v/>
      </c>
      <c r="R59" t="str">
        <f t="shared" si="4"/>
        <v/>
      </c>
      <c r="S59" t="s">
        <v>422</v>
      </c>
      <c r="T59">
        <f>MIN(CBAS_2P_1_FO)</f>
        <v>42</v>
      </c>
      <c r="U59">
        <f>VLOOKUP($T59,CBAS_2P_1,2)</f>
        <v>35</v>
      </c>
      <c r="V59">
        <f>VLOOKUP($T59,CBAS_2P_1,9)</f>
        <v>0.51</v>
      </c>
      <c r="W59">
        <f>VLOOKUP($T59,CBAS_2P_1,11)</f>
        <v>18</v>
      </c>
      <c r="X59">
        <f>VLOOKUP($T59,CBAS_2P_1,12)</f>
        <v>4</v>
      </c>
      <c r="Y59" t="str">
        <f>VLOOKUP($T59,CBAS_2P_1,13)</f>
        <v>M23</v>
      </c>
      <c r="Z59">
        <f>VLOOKUP($T59,CBAS_2P_1,3)</f>
        <v>759.5</v>
      </c>
      <c r="AA59">
        <f>VLOOKUP($T59,CBAS_2P_1,4)</f>
        <v>2462</v>
      </c>
      <c r="AB59">
        <f>VLOOKUP($T59,CBAS_2P_1,6)</f>
        <v>0</v>
      </c>
      <c r="AC59">
        <f>VLOOKUP($T59,CBAS_2P_1,7)</f>
        <v>10304</v>
      </c>
      <c r="BZ59" s="51"/>
      <c r="CB59" s="10"/>
      <c r="CI59" s="69"/>
    </row>
    <row r="60" spans="3:87">
      <c r="C60" t="str">
        <f t="shared" si="0"/>
        <v>NL</v>
      </c>
      <c r="D60">
        <v>51</v>
      </c>
      <c r="E60">
        <v>35</v>
      </c>
      <c r="F60">
        <f t="shared" si="1"/>
        <v>759.5</v>
      </c>
      <c r="G60">
        <v>1829</v>
      </c>
      <c r="H60">
        <f t="shared" si="2"/>
        <v>2588.5</v>
      </c>
      <c r="I60">
        <f t="shared" si="5"/>
        <v>0</v>
      </c>
      <c r="J60">
        <v>6900</v>
      </c>
      <c r="K60">
        <f t="shared" si="6"/>
        <v>4928.5714285714284</v>
      </c>
      <c r="L60">
        <v>0.29000000000000004</v>
      </c>
      <c r="M60">
        <v>2.4</v>
      </c>
      <c r="N60">
        <v>21</v>
      </c>
      <c r="O60">
        <v>3</v>
      </c>
      <c r="P60" t="s">
        <v>514</v>
      </c>
      <c r="Q60" t="str">
        <f t="shared" si="3"/>
        <v/>
      </c>
      <c r="R60" t="str">
        <f t="shared" si="4"/>
        <v/>
      </c>
      <c r="S60" t="s">
        <v>423</v>
      </c>
      <c r="T60">
        <f>MIN(CBAS_4P_1_FO)</f>
        <v>42</v>
      </c>
      <c r="U60">
        <f>VLOOKUP($T60,CBAS_4P_1,2)</f>
        <v>35</v>
      </c>
      <c r="V60">
        <f>VLOOKUP($T60,CBAS_4P_1,9)</f>
        <v>0.51</v>
      </c>
      <c r="W60">
        <f>VLOOKUP($T60,CBAS_4P_1,11)</f>
        <v>18</v>
      </c>
      <c r="X60">
        <f>VLOOKUP($T60,CBAS_4P_1,12)</f>
        <v>4</v>
      </c>
      <c r="Y60" t="str">
        <f>VLOOKUP($T60,CBAS_4P_1,13)</f>
        <v>M23</v>
      </c>
      <c r="Z60">
        <f>VLOOKUP($T60,CBAS_4P_1,3)</f>
        <v>759.5</v>
      </c>
      <c r="AA60">
        <f>VLOOKUP($T60,CBAS_4P_1,4)</f>
        <v>2369</v>
      </c>
      <c r="AB60">
        <f>VLOOKUP($T60,CBAS_4P_1,6)</f>
        <v>0</v>
      </c>
      <c r="AC60">
        <f>VLOOKUP($T60,CBAS_4P_1,7)</f>
        <v>7181</v>
      </c>
      <c r="BZ60" s="51"/>
      <c r="CB60" s="10"/>
      <c r="CI60" s="69"/>
    </row>
    <row r="61" spans="3:87">
      <c r="C61" t="str">
        <f t="shared" si="0"/>
        <v>NL</v>
      </c>
      <c r="D61">
        <v>52</v>
      </c>
      <c r="E61">
        <v>35</v>
      </c>
      <c r="F61">
        <f t="shared" si="1"/>
        <v>759.5</v>
      </c>
      <c r="G61">
        <v>1996</v>
      </c>
      <c r="H61">
        <f t="shared" si="2"/>
        <v>2755.5</v>
      </c>
      <c r="I61">
        <f t="shared" si="5"/>
        <v>0</v>
      </c>
      <c r="J61">
        <v>7533</v>
      </c>
      <c r="K61">
        <f t="shared" si="6"/>
        <v>5380.7142857142862</v>
      </c>
      <c r="L61">
        <v>0.43</v>
      </c>
      <c r="M61">
        <v>2.4</v>
      </c>
      <c r="N61">
        <v>19</v>
      </c>
      <c r="O61">
        <v>3</v>
      </c>
      <c r="P61" t="s">
        <v>555</v>
      </c>
      <c r="Q61" t="str">
        <f t="shared" si="3"/>
        <v/>
      </c>
      <c r="R61" t="str">
        <f t="shared" si="4"/>
        <v/>
      </c>
      <c r="S61" t="s">
        <v>424</v>
      </c>
      <c r="T61">
        <f>MIN(CBAV_2P_1_FO)</f>
        <v>40</v>
      </c>
      <c r="U61">
        <f>VLOOKUP($T61,CBAV_2P,2)</f>
        <v>35</v>
      </c>
      <c r="V61">
        <f>VLOOKUP($T61,CBAV_2P,9)</f>
        <v>0.51</v>
      </c>
      <c r="W61">
        <f>VLOOKUP($T61,CBAV_2P,11)</f>
        <v>18</v>
      </c>
      <c r="X61">
        <f>VLOOKUP($T61,CBAV_2P,12)</f>
        <v>4</v>
      </c>
      <c r="Y61" t="str">
        <f>VLOOKUP($T61,CBAV_2P,13)</f>
        <v>M23</v>
      </c>
      <c r="Z61">
        <f>VLOOKUP($T61,CBAV_2P,3)</f>
        <v>759.5</v>
      </c>
      <c r="AA61">
        <f>VLOOKUP($T61,CBAV_2P,4)</f>
        <v>2462</v>
      </c>
      <c r="AB61">
        <f>VLOOKUP($T61,CBAV_2P,6)</f>
        <v>0</v>
      </c>
      <c r="AC61">
        <f>VLOOKUP($T61,CBAV_2P,7)</f>
        <v>10304</v>
      </c>
      <c r="BZ61" s="51"/>
      <c r="CB61" s="10"/>
      <c r="CI61" s="69"/>
    </row>
    <row r="62" spans="3:87">
      <c r="C62" t="str">
        <f t="shared" si="0"/>
        <v>NL</v>
      </c>
      <c r="D62">
        <v>53</v>
      </c>
      <c r="E62">
        <v>35</v>
      </c>
      <c r="F62">
        <f t="shared" si="1"/>
        <v>759.5</v>
      </c>
      <c r="G62">
        <v>2564</v>
      </c>
      <c r="H62">
        <f t="shared" si="2"/>
        <v>3323.5</v>
      </c>
      <c r="I62">
        <f t="shared" si="5"/>
        <v>0</v>
      </c>
      <c r="J62">
        <v>9673</v>
      </c>
      <c r="K62">
        <f t="shared" si="6"/>
        <v>6909.2857142857147</v>
      </c>
      <c r="L62">
        <v>0.96</v>
      </c>
      <c r="M62">
        <v>2.4</v>
      </c>
      <c r="N62">
        <v>25</v>
      </c>
      <c r="O62">
        <v>3</v>
      </c>
      <c r="P62" t="s">
        <v>513</v>
      </c>
      <c r="Q62" t="str">
        <f t="shared" si="3"/>
        <v/>
      </c>
      <c r="R62" t="str">
        <f t="shared" si="4"/>
        <v/>
      </c>
      <c r="S62" t="s">
        <v>425</v>
      </c>
      <c r="T62">
        <f>MIN(CBAV_4P_1_FO)</f>
        <v>40</v>
      </c>
      <c r="U62">
        <f>VLOOKUP($T62,CBAV_4P_1,2)</f>
        <v>35</v>
      </c>
      <c r="V62">
        <f>VLOOKUP($T62,CBAV_4P_1,9)</f>
        <v>0.51</v>
      </c>
      <c r="W62">
        <f>VLOOKUP($T62,CBAV_4P_1,11)</f>
        <v>18</v>
      </c>
      <c r="X62">
        <f>VLOOKUP($T62,CBAV_4P_1,12)</f>
        <v>4</v>
      </c>
      <c r="Y62" t="str">
        <f>VLOOKUP($T62,CBAV_4P_1,13)</f>
        <v>M23</v>
      </c>
      <c r="Z62">
        <f>VLOOKUP($T62,CBAV_4P_1,3)</f>
        <v>759.5</v>
      </c>
      <c r="AA62">
        <f>VLOOKUP($T62,CBAV_4P_1,4)</f>
        <v>2369</v>
      </c>
      <c r="AB62">
        <f>VLOOKUP($T62,CBAV_4P_1,6)</f>
        <v>0</v>
      </c>
      <c r="AC62">
        <f>VLOOKUP($T62,CBAV_4P_1,7)</f>
        <v>7181</v>
      </c>
      <c r="BZ62" s="51"/>
      <c r="CB62" s="10"/>
      <c r="CI62" s="69"/>
    </row>
    <row r="63" spans="3:87">
      <c r="C63" t="str">
        <f t="shared" si="0"/>
        <v>NL</v>
      </c>
      <c r="D63">
        <v>54</v>
      </c>
      <c r="E63">
        <v>35</v>
      </c>
      <c r="F63">
        <f t="shared" si="1"/>
        <v>759.5</v>
      </c>
      <c r="G63">
        <v>2564</v>
      </c>
      <c r="H63">
        <f t="shared" si="2"/>
        <v>3323.5</v>
      </c>
      <c r="I63">
        <f t="shared" si="5"/>
        <v>0</v>
      </c>
      <c r="J63">
        <v>9673</v>
      </c>
      <c r="K63">
        <f t="shared" si="6"/>
        <v>6909.2857142857147</v>
      </c>
      <c r="L63">
        <v>0.96</v>
      </c>
      <c r="M63">
        <v>2.4</v>
      </c>
      <c r="N63">
        <v>25</v>
      </c>
      <c r="O63">
        <v>3</v>
      </c>
      <c r="P63" t="s">
        <v>513</v>
      </c>
      <c r="Q63" t="str">
        <f t="shared" si="3"/>
        <v/>
      </c>
      <c r="R63" t="str">
        <f t="shared" si="4"/>
        <v/>
      </c>
      <c r="S63" t="s">
        <v>426</v>
      </c>
      <c r="T63">
        <f>MIN(CBAW_2P_1_FO)</f>
        <v>87</v>
      </c>
      <c r="U63">
        <f>VLOOKUP($T63,CBAW_2P_1,2)</f>
        <v>50</v>
      </c>
      <c r="V63">
        <f>VLOOKUP($T63,CBAW_2P_1,9)</f>
        <v>0.57000000000000006</v>
      </c>
      <c r="W63">
        <f>VLOOKUP($T63,CBAW_2P_1,11)</f>
        <v>24</v>
      </c>
      <c r="X63">
        <f>VLOOKUP($T63,CBAW_2P_1,12)</f>
        <v>6</v>
      </c>
      <c r="Y63" t="str">
        <f>VLOOKUP($T63,CBAW_2P_1,13)</f>
        <v>M23</v>
      </c>
      <c r="Z63">
        <f>VLOOKUP($T63,CBAW_2P_1,3)</f>
        <v>1085</v>
      </c>
      <c r="AA63">
        <f>VLOOKUP($T63,CBAW_2P_1,4)</f>
        <v>2028</v>
      </c>
      <c r="AB63">
        <f>VLOOKUP($T63,CBAW_2P_1,6)</f>
        <v>0</v>
      </c>
      <c r="AC63">
        <f>VLOOKUP($T63,CBAW_2P_1,7)</f>
        <v>7889</v>
      </c>
      <c r="BZ63" s="51"/>
      <c r="CB63" s="10"/>
      <c r="CI63" s="69"/>
    </row>
    <row r="64" spans="3:87">
      <c r="C64" t="str">
        <f t="shared" si="0"/>
        <v/>
      </c>
      <c r="D64">
        <v>55</v>
      </c>
      <c r="E64">
        <v>35</v>
      </c>
      <c r="F64">
        <f t="shared" si="1"/>
        <v>759.5</v>
      </c>
      <c r="G64">
        <v>1930</v>
      </c>
      <c r="H64">
        <f t="shared" si="2"/>
        <v>2689.5</v>
      </c>
      <c r="I64">
        <f t="shared" si="5"/>
        <v>0</v>
      </c>
      <c r="J64">
        <v>7281</v>
      </c>
      <c r="K64">
        <f t="shared" si="6"/>
        <v>5200.7142857142862</v>
      </c>
      <c r="L64">
        <v>0.24000000000000002</v>
      </c>
      <c r="M64">
        <v>3.1</v>
      </c>
      <c r="N64">
        <v>17</v>
      </c>
      <c r="O64">
        <v>4</v>
      </c>
      <c r="P64" t="s">
        <v>555</v>
      </c>
      <c r="Q64" t="str">
        <f t="shared" si="3"/>
        <v/>
      </c>
      <c r="R64" t="str">
        <f t="shared" si="4"/>
        <v/>
      </c>
      <c r="S64" t="s">
        <v>427</v>
      </c>
      <c r="T64">
        <f>MIN(CBAW_4P_1_FO)</f>
        <v>87</v>
      </c>
      <c r="U64">
        <f>VLOOKUP($T64,CBAW_4P_1,2)</f>
        <v>50</v>
      </c>
      <c r="V64">
        <f>VLOOKUP($T64,CBAW_4P_1,9)</f>
        <v>0.57000000000000006</v>
      </c>
      <c r="W64">
        <f>VLOOKUP($T64,CBAW_4P_1,11)</f>
        <v>24</v>
      </c>
      <c r="X64">
        <f>VLOOKUP($T64,CBAW_4P_1,12)</f>
        <v>6</v>
      </c>
      <c r="Y64" t="str">
        <f>VLOOKUP($T64,CBAW_4P_1,13)</f>
        <v>M23</v>
      </c>
      <c r="Z64">
        <f>VLOOKUP($T64,CBAW_4P_1,3)</f>
        <v>1085</v>
      </c>
      <c r="AA64">
        <f>VLOOKUP($T64,CBAW_4P_1,4)</f>
        <v>1948</v>
      </c>
      <c r="AB64">
        <f>VLOOKUP($T64,CBAW_4P_1,6)</f>
        <v>0</v>
      </c>
      <c r="AC64">
        <f>VLOOKUP($T64,CBAW_4P_1,7)</f>
        <v>6474</v>
      </c>
      <c r="BZ64" s="51"/>
      <c r="CB64" s="10"/>
      <c r="CI64" s="69"/>
    </row>
    <row r="65" spans="3:87">
      <c r="C65" t="str">
        <f t="shared" si="0"/>
        <v/>
      </c>
      <c r="D65">
        <v>56</v>
      </c>
      <c r="E65">
        <v>35</v>
      </c>
      <c r="F65">
        <f t="shared" si="1"/>
        <v>759.5</v>
      </c>
      <c r="G65">
        <v>2568</v>
      </c>
      <c r="H65">
        <f t="shared" si="2"/>
        <v>3327.5</v>
      </c>
      <c r="I65">
        <f t="shared" si="5"/>
        <v>0</v>
      </c>
      <c r="J65">
        <v>9687</v>
      </c>
      <c r="K65">
        <f t="shared" si="6"/>
        <v>6919.2857142857147</v>
      </c>
      <c r="L65">
        <v>0.54</v>
      </c>
      <c r="M65">
        <v>3.1</v>
      </c>
      <c r="N65">
        <v>23</v>
      </c>
      <c r="O65">
        <v>4</v>
      </c>
      <c r="P65" t="s">
        <v>513</v>
      </c>
      <c r="Q65">
        <f t="shared" si="3"/>
        <v>56</v>
      </c>
      <c r="R65" t="str">
        <f t="shared" si="4"/>
        <v/>
      </c>
      <c r="S65" t="s">
        <v>428</v>
      </c>
      <c r="T65">
        <f>MIN(CBLV_2P_2_FO)</f>
        <v>27</v>
      </c>
      <c r="U65">
        <f>VLOOKUP($T65,CBLV_2P_2,2)</f>
        <v>35</v>
      </c>
      <c r="V65">
        <f>VLOOKUP($T65,CBLV_2P_2,9)</f>
        <v>0.61</v>
      </c>
      <c r="W65">
        <f>VLOOKUP($T65,CBLV_2P_2,11)</f>
        <v>23</v>
      </c>
      <c r="X65">
        <f>VLOOKUP($T65,CBLV_2P_2,12)</f>
        <v>4</v>
      </c>
      <c r="Y65" t="str">
        <f>VLOOKUP($T65,CBLV_2P_2,13)</f>
        <v>M17</v>
      </c>
      <c r="Z65">
        <f>VLOOKUP($T65,CBLV_2P_2,3)</f>
        <v>759.5</v>
      </c>
      <c r="AA65">
        <f>VLOOKUP($T65,CBLV_2P_2,4)</f>
        <v>2264</v>
      </c>
      <c r="AB65">
        <f>VLOOKUP($T65,CBLV_2P_2,6)</f>
        <v>0</v>
      </c>
      <c r="AC65">
        <f>VLOOKUP($T65,CBLV_2P_2,7)</f>
        <v>8804</v>
      </c>
      <c r="BZ65" s="51"/>
      <c r="CB65" s="10"/>
      <c r="CI65" s="69"/>
    </row>
    <row r="66" spans="3:87">
      <c r="C66" t="str">
        <f t="shared" si="0"/>
        <v>NL</v>
      </c>
      <c r="D66">
        <v>57</v>
      </c>
      <c r="E66">
        <v>35</v>
      </c>
      <c r="F66">
        <f t="shared" si="1"/>
        <v>759.5</v>
      </c>
      <c r="G66">
        <v>2692</v>
      </c>
      <c r="H66">
        <f t="shared" si="2"/>
        <v>3451.5</v>
      </c>
      <c r="I66">
        <f t="shared" si="5"/>
        <v>0</v>
      </c>
      <c r="J66">
        <v>10158</v>
      </c>
      <c r="K66">
        <f t="shared" si="6"/>
        <v>7255.7142857142862</v>
      </c>
      <c r="L66">
        <v>0.34</v>
      </c>
      <c r="M66">
        <v>3.8000000000000003</v>
      </c>
      <c r="N66">
        <v>21</v>
      </c>
      <c r="O66">
        <v>5</v>
      </c>
      <c r="P66" t="s">
        <v>513</v>
      </c>
      <c r="Q66" t="str">
        <f t="shared" si="3"/>
        <v/>
      </c>
      <c r="R66" t="str">
        <f t="shared" si="4"/>
        <v/>
      </c>
      <c r="S66" t="s">
        <v>429</v>
      </c>
      <c r="T66">
        <f>MIN(CBLV_4P_2_FO)</f>
        <v>31</v>
      </c>
      <c r="U66">
        <f>VLOOKUP($T66,CBLV_4P_2,2)</f>
        <v>35</v>
      </c>
      <c r="V66">
        <f>VLOOKUP($T66,CBLV_4P_2,9)</f>
        <v>0.14000000000000001</v>
      </c>
      <c r="W66">
        <f>VLOOKUP($T66,CBLV_4P_2,11)</f>
        <v>15</v>
      </c>
      <c r="X66">
        <f>VLOOKUP($T66,CBLV_4P_2,12)</f>
        <v>8</v>
      </c>
      <c r="Y66" t="str">
        <f>VLOOKUP($T66,CBLV_4P_2,13)</f>
        <v>M17</v>
      </c>
      <c r="Z66">
        <f>VLOOKUP($T66,CBLV_4P_2,3)</f>
        <v>759.5</v>
      </c>
      <c r="AA66">
        <f>VLOOKUP($T66,CBLV_4P_2,4)</f>
        <v>2297</v>
      </c>
      <c r="AB66">
        <f>VLOOKUP($T66,CBLV_4P_2,6)</f>
        <v>0</v>
      </c>
      <c r="AC66">
        <f>VLOOKUP($T66,CBLV_4P_2,7)</f>
        <v>7148</v>
      </c>
      <c r="BZ66" s="51"/>
      <c r="CB66" s="10"/>
      <c r="CI66" s="69"/>
    </row>
    <row r="67" spans="3:87">
      <c r="C67" t="str">
        <f t="shared" si="0"/>
        <v>NL</v>
      </c>
      <c r="D67">
        <v>58</v>
      </c>
      <c r="E67">
        <v>35</v>
      </c>
      <c r="F67">
        <f t="shared" si="1"/>
        <v>759.5</v>
      </c>
      <c r="G67">
        <v>3248</v>
      </c>
      <c r="H67">
        <f t="shared" si="2"/>
        <v>4007.5</v>
      </c>
      <c r="I67">
        <f t="shared" si="5"/>
        <v>0</v>
      </c>
      <c r="J67">
        <v>12252</v>
      </c>
      <c r="K67">
        <f t="shared" si="6"/>
        <v>8751.4285714285725</v>
      </c>
      <c r="L67">
        <v>0.68</v>
      </c>
      <c r="M67">
        <v>3.8000000000000003</v>
      </c>
      <c r="N67">
        <v>22</v>
      </c>
      <c r="O67">
        <v>5</v>
      </c>
      <c r="P67" t="s">
        <v>512</v>
      </c>
      <c r="Q67" t="str">
        <f t="shared" si="3"/>
        <v/>
      </c>
      <c r="R67" t="str">
        <f t="shared" si="4"/>
        <v/>
      </c>
      <c r="S67" t="s">
        <v>534</v>
      </c>
      <c r="T67">
        <f>MIN($R$10:$R$778)</f>
        <v>0</v>
      </c>
      <c r="U67" t="e">
        <f>VLOOKUP($T67,$D$10:$P$778,2)</f>
        <v>#N/A</v>
      </c>
      <c r="V67" t="e">
        <f>VLOOKUP($T67,$D$10:$P$778,9)</f>
        <v>#N/A</v>
      </c>
      <c r="W67" t="e">
        <f>VLOOKUP($T67,$D$10:$P$778,11)</f>
        <v>#N/A</v>
      </c>
      <c r="X67" t="e">
        <f>VLOOKUP($T67,$D$10:$P$778,12)</f>
        <v>#N/A</v>
      </c>
      <c r="Y67" t="e">
        <f>VLOOKUP($T67,$D$10:$P$778,13)</f>
        <v>#N/A</v>
      </c>
      <c r="Z67" t="e">
        <f>VLOOKUP($T67,$D$10:$P$778,3)</f>
        <v>#N/A</v>
      </c>
      <c r="AA67" t="e">
        <f>VLOOKUP($T67,$D$10:$P$778,4)</f>
        <v>#N/A</v>
      </c>
      <c r="AB67" t="e">
        <f>VLOOKUP($T67,$D$10:$P$778,6)</f>
        <v>#N/A</v>
      </c>
      <c r="AC67" t="e">
        <f>VLOOKUP($T67,$D$10:$P$778,7)</f>
        <v>#N/A</v>
      </c>
      <c r="BZ67" s="51"/>
      <c r="CB67" s="10"/>
      <c r="CI67" s="69"/>
    </row>
    <row r="68" spans="3:87">
      <c r="C68" t="str">
        <f t="shared" si="0"/>
        <v/>
      </c>
      <c r="D68">
        <v>59</v>
      </c>
      <c r="E68">
        <v>35</v>
      </c>
      <c r="F68">
        <f t="shared" si="1"/>
        <v>759.5</v>
      </c>
      <c r="G68">
        <v>2697</v>
      </c>
      <c r="H68">
        <f t="shared" si="2"/>
        <v>3456.5</v>
      </c>
      <c r="I68">
        <f t="shared" si="5"/>
        <v>0</v>
      </c>
      <c r="J68">
        <v>10177</v>
      </c>
      <c r="K68">
        <f t="shared" si="6"/>
        <v>7269.2857142857147</v>
      </c>
      <c r="L68">
        <v>0.24000000000000002</v>
      </c>
      <c r="M68">
        <v>4.3999999999999995</v>
      </c>
      <c r="N68">
        <v>19</v>
      </c>
      <c r="O68">
        <v>6</v>
      </c>
      <c r="P68" t="s">
        <v>513</v>
      </c>
      <c r="Q68">
        <f t="shared" si="3"/>
        <v>59</v>
      </c>
      <c r="R68" t="str">
        <f t="shared" si="4"/>
        <v/>
      </c>
      <c r="S68" t="s">
        <v>535</v>
      </c>
      <c r="T68">
        <f>MIN($R$780:$R$1259)</f>
        <v>88</v>
      </c>
      <c r="U68">
        <f>VLOOKUP($T68,$D$780:$P$1259,2)</f>
        <v>30</v>
      </c>
      <c r="V68">
        <f>VLOOKUP($T68,$D$780:$P$1259,9)</f>
        <v>0.62</v>
      </c>
      <c r="W68">
        <f>VLOOKUP($T68,$D$780:$P$1259,11)</f>
        <v>22</v>
      </c>
      <c r="X68">
        <f>VLOOKUP($T68,$D$780:$P$1259,12)</f>
        <v>6</v>
      </c>
      <c r="Y68" t="str">
        <f>VLOOKUP($T68,$D$780:$P$1259,13)</f>
        <v>M17</v>
      </c>
      <c r="Z68">
        <f>VLOOKUP($T68,$D$780:$P$1259,3)</f>
        <v>651</v>
      </c>
      <c r="AA68">
        <f>VLOOKUP($T68,$D$780:$P$1259,4)</f>
        <v>2416</v>
      </c>
      <c r="AB68">
        <f>VLOOKUP($T68,$D$780:$P$1259,6)</f>
        <v>0</v>
      </c>
      <c r="AC68">
        <f>VLOOKUP($T68,$D$780:$P$1259,7)</f>
        <v>9115</v>
      </c>
      <c r="BZ68" s="51"/>
      <c r="CB68" s="10"/>
      <c r="CI68" s="69"/>
    </row>
    <row r="69" spans="3:87">
      <c r="C69" t="str">
        <f t="shared" si="0"/>
        <v/>
      </c>
      <c r="D69">
        <v>60</v>
      </c>
      <c r="E69">
        <v>35</v>
      </c>
      <c r="F69">
        <f t="shared" si="1"/>
        <v>759.5</v>
      </c>
      <c r="G69">
        <v>3349</v>
      </c>
      <c r="H69">
        <f t="shared" si="2"/>
        <v>4108.5</v>
      </c>
      <c r="I69">
        <f t="shared" si="5"/>
        <v>0</v>
      </c>
      <c r="J69">
        <v>12636</v>
      </c>
      <c r="K69">
        <f t="shared" si="6"/>
        <v>9025.7142857142862</v>
      </c>
      <c r="L69">
        <v>0.46</v>
      </c>
      <c r="M69">
        <v>4.3999999999999995</v>
      </c>
      <c r="N69">
        <v>20</v>
      </c>
      <c r="O69">
        <v>6</v>
      </c>
      <c r="P69" t="s">
        <v>512</v>
      </c>
      <c r="Q69">
        <f t="shared" si="3"/>
        <v>60</v>
      </c>
      <c r="R69" t="str">
        <f t="shared" si="4"/>
        <v/>
      </c>
      <c r="S69" t="s">
        <v>538</v>
      </c>
      <c r="T69">
        <f>MIN($R$1261:$R$2029)</f>
        <v>56</v>
      </c>
      <c r="U69">
        <f>VLOOKUP($T69,$D$1261:$P$2029,2)</f>
        <v>35</v>
      </c>
      <c r="V69">
        <f>VLOOKUP($T69,$D$1261:$P$2029,9)</f>
        <v>0.54</v>
      </c>
      <c r="W69">
        <f>VLOOKUP($T69,$D$1261:$P$2029,11)</f>
        <v>23</v>
      </c>
      <c r="X69">
        <f>VLOOKUP($T69,$D$1261:$P$2029,12)</f>
        <v>4</v>
      </c>
      <c r="Y69" t="str">
        <f>VLOOKUP($T69,$D$1261:$P$2029,13)</f>
        <v>M17</v>
      </c>
      <c r="Z69">
        <f>VLOOKUP($T69,$D$1261:$P$2029,3)</f>
        <v>759.5</v>
      </c>
      <c r="AA69">
        <f>VLOOKUP($T69,$D$1261:$P$2029,4)</f>
        <v>2407</v>
      </c>
      <c r="AB69">
        <f>VLOOKUP($T69,$D$1261:$P$2029,6)</f>
        <v>0</v>
      </c>
      <c r="AC69">
        <f>VLOOKUP($T69,$D$1261:$P$2029,7)</f>
        <v>6171</v>
      </c>
      <c r="BZ69" s="51"/>
      <c r="CB69" s="10"/>
      <c r="CI69" s="69"/>
    </row>
    <row r="70" spans="3:87">
      <c r="C70" t="str">
        <f t="shared" si="0"/>
        <v>NL</v>
      </c>
      <c r="D70">
        <v>61</v>
      </c>
      <c r="E70">
        <v>35</v>
      </c>
      <c r="F70">
        <f t="shared" si="1"/>
        <v>759.5</v>
      </c>
      <c r="G70">
        <v>3064</v>
      </c>
      <c r="H70">
        <f t="shared" si="2"/>
        <v>3823.5</v>
      </c>
      <c r="I70">
        <f t="shared" si="5"/>
        <v>0</v>
      </c>
      <c r="J70">
        <v>11558</v>
      </c>
      <c r="K70">
        <f t="shared" si="6"/>
        <v>8255.7142857142862</v>
      </c>
      <c r="L70">
        <v>0.18000000000000002</v>
      </c>
      <c r="M70">
        <v>5.0999999999999996</v>
      </c>
      <c r="N70">
        <v>18</v>
      </c>
      <c r="O70">
        <v>7</v>
      </c>
      <c r="P70" t="s">
        <v>513</v>
      </c>
      <c r="Q70" t="str">
        <f t="shared" si="3"/>
        <v/>
      </c>
      <c r="R70" t="str">
        <f t="shared" si="4"/>
        <v/>
      </c>
      <c r="S70" t="s">
        <v>539</v>
      </c>
      <c r="T70">
        <f>MIN($R$2031:$R$2510)</f>
        <v>0</v>
      </c>
      <c r="U70" t="e">
        <f>VLOOKUP($T70,$D$2031:$P$2510,2)</f>
        <v>#N/A</v>
      </c>
      <c r="V70" t="e">
        <f>VLOOKUP($T70,$D$2031:$P$2510,9)</f>
        <v>#N/A</v>
      </c>
      <c r="W70" t="e">
        <f>VLOOKUP($T70,$D$2031:$P$2510,11)</f>
        <v>#N/A</v>
      </c>
      <c r="X70" t="e">
        <f>VLOOKUP($T70,$D$2031:$P$2510,12)</f>
        <v>#N/A</v>
      </c>
      <c r="Y70" t="e">
        <f>VLOOKUP($T70,$D$2031:$P$2510,13)</f>
        <v>#N/A</v>
      </c>
      <c r="Z70" t="e">
        <f>VLOOKUP($T70,$D$2031:$P$2510,3)</f>
        <v>#N/A</v>
      </c>
      <c r="AA70" t="e">
        <f>VLOOKUP($T70,$D$2031:$P$2510,4)</f>
        <v>#N/A</v>
      </c>
      <c r="AB70" t="e">
        <f>VLOOKUP($T70,$D$2031:$P$2510,6)</f>
        <v>#N/A</v>
      </c>
      <c r="AC70" t="e">
        <f>VLOOKUP($T70,$D$2031:$P$2510,7)</f>
        <v>#N/A</v>
      </c>
      <c r="BZ70" s="51"/>
      <c r="CB70" s="10"/>
      <c r="CI70" s="69"/>
    </row>
    <row r="71" spans="3:87">
      <c r="C71" t="str">
        <f t="shared" si="0"/>
        <v>NL</v>
      </c>
      <c r="D71">
        <v>62</v>
      </c>
      <c r="E71">
        <v>35</v>
      </c>
      <c r="F71">
        <f t="shared" si="1"/>
        <v>759.5</v>
      </c>
      <c r="G71">
        <v>3660</v>
      </c>
      <c r="H71">
        <f t="shared" si="2"/>
        <v>4419.5</v>
      </c>
      <c r="I71">
        <f t="shared" si="5"/>
        <v>0</v>
      </c>
      <c r="J71">
        <v>13808</v>
      </c>
      <c r="K71">
        <f t="shared" si="6"/>
        <v>9862.8571428571431</v>
      </c>
      <c r="L71">
        <v>0.35000000000000003</v>
      </c>
      <c r="M71">
        <v>5.0999999999999996</v>
      </c>
      <c r="N71">
        <v>19</v>
      </c>
      <c r="O71">
        <v>7</v>
      </c>
      <c r="P71" t="s">
        <v>512</v>
      </c>
      <c r="Q71" t="str">
        <f t="shared" si="3"/>
        <v/>
      </c>
      <c r="R71" t="str">
        <f t="shared" si="4"/>
        <v/>
      </c>
      <c r="S71" t="s">
        <v>546</v>
      </c>
      <c r="T71">
        <f>MIN($R$3910:$R$4487)</f>
        <v>0</v>
      </c>
      <c r="U71" t="e">
        <f>VLOOKUP($T71,$D$3910:$P$4487,2)</f>
        <v>#N/A</v>
      </c>
      <c r="V71" t="e">
        <f>VLOOKUP($T71,$D$3910:$P$4487,9)</f>
        <v>#N/A</v>
      </c>
      <c r="W71" t="e">
        <f>VLOOKUP($T71,$D$3910:$P$4487,11)</f>
        <v>#N/A</v>
      </c>
      <c r="X71" t="e">
        <f>VLOOKUP($T71,$D$3910:$P$4487,12)</f>
        <v>#N/A</v>
      </c>
      <c r="Y71" t="e">
        <f>VLOOKUP($T71,$D$3910:$P$4487,13)</f>
        <v>#N/A</v>
      </c>
      <c r="Z71" t="e">
        <f>VLOOKUP($T71,$D$3910:$P$4487,3)</f>
        <v>#N/A</v>
      </c>
      <c r="AA71" t="e">
        <f>VLOOKUP($T71,$D$3910:$P$4487,4)</f>
        <v>#N/A</v>
      </c>
      <c r="AB71" t="e">
        <f>VLOOKUP($T71,$D$3910:$P$4487,6)</f>
        <v>#N/A</v>
      </c>
      <c r="AC71" t="e">
        <f>VLOOKUP($T71,$D$3910:$P$4487,7)</f>
        <v>#N/A</v>
      </c>
      <c r="BZ71" s="51"/>
      <c r="CB71" s="10"/>
      <c r="CI71" s="69"/>
    </row>
    <row r="72" spans="3:87">
      <c r="C72" t="str">
        <f t="shared" si="0"/>
        <v/>
      </c>
      <c r="D72">
        <v>63</v>
      </c>
      <c r="E72">
        <v>35</v>
      </c>
      <c r="F72">
        <f t="shared" si="1"/>
        <v>759.5</v>
      </c>
      <c r="G72">
        <v>3892</v>
      </c>
      <c r="H72">
        <f t="shared" si="2"/>
        <v>4651.5</v>
      </c>
      <c r="I72">
        <f t="shared" si="5"/>
        <v>0</v>
      </c>
      <c r="J72">
        <v>14683</v>
      </c>
      <c r="K72">
        <f t="shared" si="6"/>
        <v>10487.857142857143</v>
      </c>
      <c r="L72">
        <v>0.27</v>
      </c>
      <c r="M72">
        <v>5.8</v>
      </c>
      <c r="N72">
        <v>18</v>
      </c>
      <c r="O72">
        <v>8</v>
      </c>
      <c r="P72" t="s">
        <v>512</v>
      </c>
      <c r="Q72">
        <f t="shared" si="3"/>
        <v>63</v>
      </c>
      <c r="R72" t="str">
        <f t="shared" si="4"/>
        <v/>
      </c>
      <c r="S72" t="s">
        <v>547</v>
      </c>
      <c r="T72">
        <f>MIN(R$5068:R$5350)</f>
        <v>0</v>
      </c>
      <c r="U72" t="e">
        <f>VLOOKUP($T72,D$5068:P$5350,2)</f>
        <v>#N/A</v>
      </c>
      <c r="V72" t="e">
        <f>VLOOKUP($T72,D$5068:P$5350,9)</f>
        <v>#N/A</v>
      </c>
      <c r="W72" t="e">
        <f>VLOOKUP($T72,D$5068:P$5350,11)</f>
        <v>#N/A</v>
      </c>
      <c r="X72" t="e">
        <f>VLOOKUP($T72,D$5068:P$5350,12)</f>
        <v>#N/A</v>
      </c>
      <c r="Y72" t="e">
        <f>VLOOKUP($T72,D$5068:P$5350,13)</f>
        <v>#N/A</v>
      </c>
      <c r="Z72" t="e">
        <f>VLOOKUP($T72,D$5068:P$5350,3)</f>
        <v>#N/A</v>
      </c>
      <c r="AA72" t="e">
        <f>VLOOKUP($T72,D$5068:P$5350,4)</f>
        <v>#N/A</v>
      </c>
      <c r="AB72" t="e">
        <f>VLOOKUP($T72,D$5068:P$5350,6)</f>
        <v>#N/A</v>
      </c>
      <c r="AC72" t="e">
        <f>VLOOKUP($T72,D$5068:P$5350,7)</f>
        <v>#N/A</v>
      </c>
      <c r="BZ72" s="51"/>
      <c r="CB72" s="10"/>
      <c r="CI72" s="69"/>
    </row>
    <row r="73" spans="3:87">
      <c r="C73" t="str">
        <f t="shared" si="0"/>
        <v/>
      </c>
      <c r="D73">
        <v>64</v>
      </c>
      <c r="E73">
        <v>35</v>
      </c>
      <c r="F73">
        <f t="shared" si="1"/>
        <v>759.5</v>
      </c>
      <c r="G73">
        <v>4173</v>
      </c>
      <c r="H73">
        <f t="shared" si="2"/>
        <v>4932.5</v>
      </c>
      <c r="I73">
        <f t="shared" si="5"/>
        <v>0</v>
      </c>
      <c r="J73">
        <v>15743</v>
      </c>
      <c r="K73">
        <f t="shared" si="6"/>
        <v>11245</v>
      </c>
      <c r="L73">
        <v>0.18000000000000002</v>
      </c>
      <c r="M73">
        <v>7.1999999999999993</v>
      </c>
      <c r="N73">
        <v>16</v>
      </c>
      <c r="O73">
        <v>10</v>
      </c>
      <c r="P73" t="s">
        <v>512</v>
      </c>
      <c r="Q73" t="str">
        <f t="shared" si="3"/>
        <v/>
      </c>
      <c r="R73" t="str">
        <f t="shared" si="4"/>
        <v/>
      </c>
      <c r="S73" t="s">
        <v>548</v>
      </c>
      <c r="T73">
        <f>MIN(R$4489:R$5066)</f>
        <v>84</v>
      </c>
      <c r="U73">
        <f>VLOOKUP($T73,D$4489:P$5066,2)</f>
        <v>45</v>
      </c>
      <c r="V73">
        <f>VLOOKUP($T73,D$4489:P$5066,9)</f>
        <v>0.4</v>
      </c>
      <c r="W73">
        <f>VLOOKUP($T73,D$4489:P$5066,11)</f>
        <v>21</v>
      </c>
      <c r="X73">
        <f>VLOOKUP($T73,D$4489:P$5066,12)</f>
        <v>6</v>
      </c>
      <c r="Y73" t="str">
        <f>VLOOKUP($T73,D$4489:P$5066,13)</f>
        <v>M17</v>
      </c>
      <c r="Z73">
        <f>VLOOKUP($T73,D$4489:P$5066,3)</f>
        <v>976.5</v>
      </c>
      <c r="AA73">
        <f>VLOOKUP($T73,D$4489:P$5066,4)</f>
        <v>2061</v>
      </c>
      <c r="AB73">
        <f>VLOOKUP($T73,D$4489:P$5066,6)</f>
        <v>0</v>
      </c>
      <c r="AC73">
        <f>VLOOKUP($T73,D$4489:P$5066,7)</f>
        <v>5203</v>
      </c>
      <c r="BZ73" s="51"/>
      <c r="CB73" s="10"/>
      <c r="CI73" s="69"/>
    </row>
    <row r="74" spans="3:87">
      <c r="C74" t="str">
        <f t="shared" si="0"/>
        <v/>
      </c>
      <c r="D74">
        <v>65</v>
      </c>
      <c r="E74">
        <v>40</v>
      </c>
      <c r="F74">
        <f t="shared" ref="F74:F137" si="7">1.085*($A$2-$B$2)*E74*$T$7</f>
        <v>868</v>
      </c>
      <c r="G74">
        <v>1405</v>
      </c>
      <c r="H74">
        <f t="shared" ref="H74:H137" si="8">(G74*$U$7)+F74</f>
        <v>2273</v>
      </c>
      <c r="I74">
        <f t="shared" si="5"/>
        <v>0</v>
      </c>
      <c r="J74">
        <v>5300</v>
      </c>
      <c r="K74">
        <f t="shared" si="6"/>
        <v>3785.7142857142858</v>
      </c>
      <c r="L74">
        <v>0.26</v>
      </c>
      <c r="M74">
        <v>1.7000000000000002</v>
      </c>
      <c r="N74">
        <v>18</v>
      </c>
      <c r="O74">
        <v>2</v>
      </c>
      <c r="P74" t="s">
        <v>515</v>
      </c>
      <c r="Q74" t="str">
        <f t="shared" ref="Q74:Q137" si="9">IF(AND(H74+1&gt;$E$4,L74&lt;$L$4+0.01,M74&lt;$M$4+0.01,K74+1&gt;$F$4,E74+1&gt;$J$4,N74&lt;$K$4+1,O74&lt;$P$4+1,C74=""),D74,"")</f>
        <v/>
      </c>
      <c r="R74" t="str">
        <f t="shared" ref="R74:R137" si="10">IF(Q74="","",IF(AND(O74&lt;$X$14,E74&gt;$U$14,E74&lt;$Q$4+$U$14+1),D74,""))</f>
        <v/>
      </c>
      <c r="S74" t="s">
        <v>549</v>
      </c>
      <c r="T74">
        <f>MIN(R$5352:R$5634)</f>
        <v>0</v>
      </c>
      <c r="U74" t="e">
        <f>VLOOKUP($T74,D$5352:P$5634,2)</f>
        <v>#N/A</v>
      </c>
      <c r="V74" t="e">
        <f>VLOOKUP($T74,D$5352:P$5634,9)</f>
        <v>#N/A</v>
      </c>
      <c r="W74" t="e">
        <f>VLOOKUP($T74,D$5352:P$5634,11)</f>
        <v>#N/A</v>
      </c>
      <c r="X74" t="e">
        <f>VLOOKUP($T74,D$5352:P$5634,12)</f>
        <v>#N/A</v>
      </c>
      <c r="Y74" t="e">
        <f>VLOOKUP($T74,D$5352:P$5634,13)</f>
        <v>#N/A</v>
      </c>
      <c r="Z74" t="e">
        <f>VLOOKUP($T74,D$5352:P$5634,3)</f>
        <v>#N/A</v>
      </c>
      <c r="AA74" t="e">
        <f>VLOOKUP($T74,D$5352:P$5634,4)</f>
        <v>#N/A</v>
      </c>
      <c r="AB74" t="e">
        <f>VLOOKUP($T74,D$5352:P$5634,6)</f>
        <v>#N/A</v>
      </c>
      <c r="AC74" t="e">
        <f>VLOOKUP($T74,D$5352:P$5634,7)</f>
        <v>#N/A</v>
      </c>
      <c r="BZ74" s="51"/>
      <c r="CB74" s="10"/>
      <c r="CI74" s="69"/>
    </row>
    <row r="75" spans="3:87">
      <c r="C75" t="str">
        <f t="shared" ref="C75:C138" si="11">IF(OR($O$4=0,O75-$O$4=0),IF(AND(ISEVEN(O75)=FALSE,$N$4="Even"),"NL",""),"NL")</f>
        <v/>
      </c>
      <c r="D75">
        <v>66</v>
      </c>
      <c r="E75">
        <v>40</v>
      </c>
      <c r="F75">
        <f t="shared" si="7"/>
        <v>868</v>
      </c>
      <c r="G75">
        <v>1679</v>
      </c>
      <c r="H75">
        <f t="shared" si="8"/>
        <v>2547</v>
      </c>
      <c r="I75">
        <f t="shared" ref="I75:I138" si="12">1.085*($C$2-$D$2)*E75*$T$7</f>
        <v>0</v>
      </c>
      <c r="J75">
        <v>6334</v>
      </c>
      <c r="K75">
        <f t="shared" ref="K75:K138" si="13">(J75*$V$7)-I75</f>
        <v>4524.2857142857147</v>
      </c>
      <c r="L75">
        <v>0.43</v>
      </c>
      <c r="M75">
        <v>1.7000000000000002</v>
      </c>
      <c r="N75">
        <v>21</v>
      </c>
      <c r="O75">
        <v>2</v>
      </c>
      <c r="P75" t="s">
        <v>556</v>
      </c>
      <c r="Q75" t="str">
        <f t="shared" si="9"/>
        <v/>
      </c>
      <c r="R75" t="str">
        <f t="shared" si="10"/>
        <v/>
      </c>
      <c r="S75" t="s">
        <v>550</v>
      </c>
      <c r="T75">
        <f>MIN($R$3910:$R$4487)</f>
        <v>0</v>
      </c>
      <c r="U75" t="e">
        <f>VLOOKUP($T75,$D$3910:$P$4487,2)</f>
        <v>#N/A</v>
      </c>
      <c r="V75" t="e">
        <f>VLOOKUP($T75,$D$3910:$P$4487,9)</f>
        <v>#N/A</v>
      </c>
      <c r="W75" t="e">
        <f>VLOOKUP($T75,$D$3910:$P$4487,11)</f>
        <v>#N/A</v>
      </c>
      <c r="X75" t="e">
        <f>VLOOKUP($T75,$D$3910:$P$4487,12)</f>
        <v>#N/A</v>
      </c>
      <c r="Y75" t="e">
        <f>VLOOKUP($T75,$D$3910:$P$4487,13)</f>
        <v>#N/A</v>
      </c>
      <c r="Z75" t="e">
        <f>VLOOKUP($T75,$D$3910:$P$4487,3)</f>
        <v>#N/A</v>
      </c>
      <c r="AA75" t="e">
        <f>VLOOKUP($T75,$D$3910:$P$4487,4)</f>
        <v>#N/A</v>
      </c>
      <c r="AB75" t="e">
        <f>VLOOKUP($T75,$D$3910:$P$4487,6)</f>
        <v>#N/A</v>
      </c>
      <c r="AC75" t="e">
        <f>VLOOKUP($T75,$D$3910:$P$4487,7)</f>
        <v>#N/A</v>
      </c>
      <c r="BZ75" s="51"/>
      <c r="CB75" s="10"/>
      <c r="CI75" s="69"/>
    </row>
    <row r="76" spans="3:87">
      <c r="C76" t="str">
        <f t="shared" si="11"/>
        <v/>
      </c>
      <c r="D76">
        <v>67</v>
      </c>
      <c r="E76">
        <v>40</v>
      </c>
      <c r="F76">
        <f t="shared" si="7"/>
        <v>868</v>
      </c>
      <c r="G76">
        <v>2020</v>
      </c>
      <c r="H76">
        <f t="shared" si="8"/>
        <v>2888</v>
      </c>
      <c r="I76">
        <f t="shared" si="12"/>
        <v>0</v>
      </c>
      <c r="J76">
        <v>7620</v>
      </c>
      <c r="K76">
        <f t="shared" si="13"/>
        <v>5442.8571428571431</v>
      </c>
      <c r="L76">
        <v>0.9</v>
      </c>
      <c r="M76">
        <v>1.7000000000000002</v>
      </c>
      <c r="N76">
        <v>27</v>
      </c>
      <c r="O76">
        <v>2</v>
      </c>
      <c r="P76" t="s">
        <v>514</v>
      </c>
      <c r="Q76" t="str">
        <f t="shared" si="9"/>
        <v/>
      </c>
      <c r="R76" t="str">
        <f t="shared" si="10"/>
        <v/>
      </c>
      <c r="S76" t="s">
        <v>551</v>
      </c>
      <c r="T76">
        <f>MIN(R$5068:R$5350)</f>
        <v>0</v>
      </c>
      <c r="U76" t="e">
        <f>VLOOKUP($T76,D$5068:P$5350,2)</f>
        <v>#N/A</v>
      </c>
      <c r="V76" t="e">
        <f>VLOOKUP($T76,D$5068:P$5350,9)</f>
        <v>#N/A</v>
      </c>
      <c r="W76" t="e">
        <f>VLOOKUP($T76,D$5068:P$5350,11)</f>
        <v>#N/A</v>
      </c>
      <c r="X76" t="e">
        <f>VLOOKUP($T76,D$5068:P$5350,12)</f>
        <v>#N/A</v>
      </c>
      <c r="Y76" t="e">
        <f>VLOOKUP($T76,D$5068:P$5350,13)</f>
        <v>#N/A</v>
      </c>
      <c r="Z76" t="e">
        <f>VLOOKUP($T76,D$5068:P$5350,3)</f>
        <v>#N/A</v>
      </c>
      <c r="AA76" t="e">
        <f>VLOOKUP($T76,D$5068:P$5350,4)</f>
        <v>#N/A</v>
      </c>
      <c r="AB76" t="e">
        <f>VLOOKUP($T76,D$5068:P$5350,6)</f>
        <v>#N/A</v>
      </c>
      <c r="AC76" t="e">
        <f>VLOOKUP($T76,D$5068:P$5350,7)</f>
        <v>#N/A</v>
      </c>
      <c r="BZ76" s="51"/>
      <c r="CB76" s="10"/>
      <c r="CI76" s="69"/>
    </row>
    <row r="77" spans="3:87">
      <c r="C77" t="str">
        <f t="shared" si="11"/>
        <v>NL</v>
      </c>
      <c r="D77">
        <v>68</v>
      </c>
      <c r="E77">
        <v>40</v>
      </c>
      <c r="F77">
        <f t="shared" si="7"/>
        <v>868</v>
      </c>
      <c r="G77">
        <v>1639</v>
      </c>
      <c r="H77">
        <f t="shared" si="8"/>
        <v>2507</v>
      </c>
      <c r="I77">
        <f t="shared" si="12"/>
        <v>0</v>
      </c>
      <c r="J77">
        <v>6186</v>
      </c>
      <c r="K77">
        <f t="shared" si="13"/>
        <v>4418.5714285714284</v>
      </c>
      <c r="L77">
        <v>0.18000000000000002</v>
      </c>
      <c r="M77">
        <v>2.4</v>
      </c>
      <c r="N77">
        <v>17</v>
      </c>
      <c r="O77">
        <v>3</v>
      </c>
      <c r="P77" t="s">
        <v>556</v>
      </c>
      <c r="Q77" t="str">
        <f t="shared" si="9"/>
        <v/>
      </c>
      <c r="R77" t="str">
        <f t="shared" si="10"/>
        <v/>
      </c>
      <c r="S77" t="s">
        <v>552</v>
      </c>
      <c r="T77">
        <f>MIN(R$4489:R$5066)</f>
        <v>84</v>
      </c>
      <c r="U77">
        <f>VLOOKUP($T77,D$4489:P$5066,2)</f>
        <v>45</v>
      </c>
      <c r="V77">
        <f>VLOOKUP($T77,D$4489:P$5066,9)</f>
        <v>0.4</v>
      </c>
      <c r="W77">
        <f>VLOOKUP($T77,D$4489:P$5066,11)</f>
        <v>21</v>
      </c>
      <c r="X77">
        <f>VLOOKUP($T77,D$4489:P$5066,12)</f>
        <v>6</v>
      </c>
      <c r="Y77" t="str">
        <f>VLOOKUP($T77,D$4489:P$5066,13)</f>
        <v>M17</v>
      </c>
      <c r="Z77">
        <f>VLOOKUP($T77,D$4489:P$5066,3)</f>
        <v>976.5</v>
      </c>
      <c r="AA77">
        <f>VLOOKUP($T77,D$4489:P$5066,4)</f>
        <v>2061</v>
      </c>
      <c r="AB77">
        <f>VLOOKUP($T77,D$4489:P$5066,6)</f>
        <v>0</v>
      </c>
      <c r="AC77">
        <f>VLOOKUP($T77,D$4489:P$5066,7)</f>
        <v>5203</v>
      </c>
      <c r="BZ77" s="51"/>
      <c r="CB77" s="10"/>
      <c r="CI77" s="69"/>
    </row>
    <row r="78" spans="3:87">
      <c r="C78" t="str">
        <f t="shared" si="11"/>
        <v>NL</v>
      </c>
      <c r="D78">
        <v>69</v>
      </c>
      <c r="E78">
        <v>40</v>
      </c>
      <c r="F78">
        <f t="shared" si="7"/>
        <v>868</v>
      </c>
      <c r="G78">
        <v>2121</v>
      </c>
      <c r="H78">
        <f t="shared" si="8"/>
        <v>2989</v>
      </c>
      <c r="I78">
        <f t="shared" si="12"/>
        <v>0</v>
      </c>
      <c r="J78">
        <v>8002</v>
      </c>
      <c r="K78">
        <f t="shared" si="13"/>
        <v>5715.7142857142862</v>
      </c>
      <c r="L78">
        <v>0.38</v>
      </c>
      <c r="M78">
        <v>2.4</v>
      </c>
      <c r="N78">
        <v>22</v>
      </c>
      <c r="O78">
        <v>3</v>
      </c>
      <c r="P78" t="s">
        <v>514</v>
      </c>
      <c r="Q78" t="str">
        <f t="shared" si="9"/>
        <v/>
      </c>
      <c r="R78" t="str">
        <f t="shared" si="10"/>
        <v/>
      </c>
      <c r="S78" t="s">
        <v>553</v>
      </c>
      <c r="T78">
        <f>MIN(R$5352:R$5634)</f>
        <v>0</v>
      </c>
      <c r="U78" t="e">
        <f>VLOOKUP($T78,D$5352:P$5634,2)</f>
        <v>#N/A</v>
      </c>
      <c r="V78" t="e">
        <f>VLOOKUP($T78,D$5352:P$5634,9)</f>
        <v>#N/A</v>
      </c>
      <c r="W78" t="e">
        <f>VLOOKUP($T78,D$5352:P$5634,11)</f>
        <v>#N/A</v>
      </c>
      <c r="X78" t="e">
        <f>VLOOKUP($T78,D$5352:P$5634,12)</f>
        <v>#N/A</v>
      </c>
      <c r="Y78" t="e">
        <f>VLOOKUP($T78,D$5352:P$5634,13)</f>
        <v>#N/A</v>
      </c>
      <c r="Z78" t="e">
        <f>VLOOKUP($T78,D$5352:P$5634,3)</f>
        <v>#N/A</v>
      </c>
      <c r="AA78" t="e">
        <f>VLOOKUP($T78,D$5352:P$5634,4)</f>
        <v>#N/A</v>
      </c>
      <c r="AB78" t="e">
        <f>VLOOKUP($T78,D$5352:P$5634,6)</f>
        <v>#N/A</v>
      </c>
      <c r="AC78" t="e">
        <f>VLOOKUP($T78,D$5352:P$5634,7)</f>
        <v>#N/A</v>
      </c>
      <c r="BZ78" s="51"/>
      <c r="CB78" s="10"/>
      <c r="CI78" s="69"/>
    </row>
    <row r="79" spans="3:87">
      <c r="C79" t="str">
        <f t="shared" si="11"/>
        <v>NL</v>
      </c>
      <c r="D79">
        <v>70</v>
      </c>
      <c r="E79">
        <v>40</v>
      </c>
      <c r="F79">
        <f t="shared" si="7"/>
        <v>868</v>
      </c>
      <c r="G79">
        <v>2295</v>
      </c>
      <c r="H79">
        <f t="shared" si="8"/>
        <v>3163</v>
      </c>
      <c r="I79">
        <f t="shared" si="12"/>
        <v>0</v>
      </c>
      <c r="J79">
        <v>8660</v>
      </c>
      <c r="K79">
        <f t="shared" si="13"/>
        <v>6185.7142857142862</v>
      </c>
      <c r="L79">
        <v>0.56000000000000005</v>
      </c>
      <c r="M79">
        <v>2.4</v>
      </c>
      <c r="N79">
        <v>21</v>
      </c>
      <c r="O79">
        <v>3</v>
      </c>
      <c r="P79" t="s">
        <v>555</v>
      </c>
      <c r="Q79" t="str">
        <f t="shared" si="9"/>
        <v/>
      </c>
      <c r="R79" t="str">
        <f t="shared" si="10"/>
        <v/>
      </c>
      <c r="BZ79" s="51"/>
      <c r="CB79" s="10"/>
      <c r="CI79" s="69"/>
    </row>
    <row r="80" spans="3:87">
      <c r="C80" t="str">
        <f t="shared" si="11"/>
        <v/>
      </c>
      <c r="D80">
        <v>71</v>
      </c>
      <c r="E80">
        <v>40</v>
      </c>
      <c r="F80">
        <f t="shared" si="7"/>
        <v>868</v>
      </c>
      <c r="G80">
        <v>2011</v>
      </c>
      <c r="H80">
        <f t="shared" si="8"/>
        <v>2879</v>
      </c>
      <c r="I80">
        <f t="shared" si="12"/>
        <v>0</v>
      </c>
      <c r="J80">
        <v>7586</v>
      </c>
      <c r="K80">
        <f t="shared" si="13"/>
        <v>5418.5714285714284</v>
      </c>
      <c r="L80">
        <v>0.21000000000000002</v>
      </c>
      <c r="M80">
        <v>3.1</v>
      </c>
      <c r="N80">
        <v>20</v>
      </c>
      <c r="O80">
        <v>4</v>
      </c>
      <c r="P80" t="s">
        <v>514</v>
      </c>
      <c r="Q80" t="str">
        <f t="shared" si="9"/>
        <v/>
      </c>
      <c r="R80" t="str">
        <f t="shared" si="10"/>
        <v/>
      </c>
      <c r="BZ80" s="51"/>
      <c r="CB80" s="10"/>
      <c r="CI80" s="69"/>
    </row>
    <row r="81" spans="3:87">
      <c r="C81" t="str">
        <f t="shared" si="11"/>
        <v/>
      </c>
      <c r="D81">
        <v>72</v>
      </c>
      <c r="E81">
        <v>40</v>
      </c>
      <c r="F81">
        <f t="shared" si="7"/>
        <v>868</v>
      </c>
      <c r="G81">
        <v>2174</v>
      </c>
      <c r="H81">
        <f t="shared" si="8"/>
        <v>3042</v>
      </c>
      <c r="I81">
        <f t="shared" si="12"/>
        <v>0</v>
      </c>
      <c r="J81">
        <v>8202</v>
      </c>
      <c r="K81">
        <f t="shared" si="13"/>
        <v>5858.5714285714284</v>
      </c>
      <c r="L81">
        <v>0.32</v>
      </c>
      <c r="M81">
        <v>3.1</v>
      </c>
      <c r="N81">
        <v>19</v>
      </c>
      <c r="O81">
        <v>4</v>
      </c>
      <c r="P81" t="s">
        <v>555</v>
      </c>
      <c r="Q81">
        <f t="shared" si="9"/>
        <v>72</v>
      </c>
      <c r="R81" t="str">
        <f t="shared" si="10"/>
        <v/>
      </c>
      <c r="BZ81" s="51"/>
      <c r="CB81" s="10"/>
      <c r="CI81" s="69"/>
    </row>
    <row r="82" spans="3:87">
      <c r="C82" t="str">
        <f t="shared" si="11"/>
        <v/>
      </c>
      <c r="D82">
        <v>73</v>
      </c>
      <c r="E82">
        <v>40</v>
      </c>
      <c r="F82">
        <f t="shared" si="7"/>
        <v>868</v>
      </c>
      <c r="G82">
        <v>2970</v>
      </c>
      <c r="H82">
        <f t="shared" si="8"/>
        <v>3838</v>
      </c>
      <c r="I82">
        <f t="shared" si="12"/>
        <v>0</v>
      </c>
      <c r="J82">
        <v>11206</v>
      </c>
      <c r="K82">
        <f t="shared" si="13"/>
        <v>8004.2857142857147</v>
      </c>
      <c r="L82">
        <v>0.7</v>
      </c>
      <c r="M82">
        <v>3.1</v>
      </c>
      <c r="N82">
        <v>25</v>
      </c>
      <c r="O82">
        <v>4</v>
      </c>
      <c r="P82" t="s">
        <v>513</v>
      </c>
      <c r="Q82">
        <f t="shared" si="9"/>
        <v>73</v>
      </c>
      <c r="R82" t="str">
        <f t="shared" si="10"/>
        <v/>
      </c>
      <c r="BZ82" s="51"/>
      <c r="CB82" s="10"/>
      <c r="CI82" s="69"/>
    </row>
    <row r="83" spans="3:87">
      <c r="C83" t="str">
        <f t="shared" si="11"/>
        <v>NL</v>
      </c>
      <c r="D83">
        <v>74</v>
      </c>
      <c r="E83">
        <v>40</v>
      </c>
      <c r="F83">
        <f t="shared" si="7"/>
        <v>868</v>
      </c>
      <c r="G83">
        <v>2298</v>
      </c>
      <c r="H83">
        <f t="shared" si="8"/>
        <v>3166</v>
      </c>
      <c r="I83">
        <f t="shared" si="12"/>
        <v>0</v>
      </c>
      <c r="J83">
        <v>8668</v>
      </c>
      <c r="K83">
        <f t="shared" si="13"/>
        <v>6191.4285714285716</v>
      </c>
      <c r="L83">
        <v>0.2</v>
      </c>
      <c r="M83">
        <v>3.8000000000000003</v>
      </c>
      <c r="N83">
        <v>17</v>
      </c>
      <c r="O83">
        <v>5</v>
      </c>
      <c r="P83" t="s">
        <v>555</v>
      </c>
      <c r="Q83" t="str">
        <f t="shared" si="9"/>
        <v/>
      </c>
      <c r="R83" t="str">
        <f t="shared" si="10"/>
        <v/>
      </c>
      <c r="BZ83" s="51"/>
      <c r="CB83" s="10"/>
      <c r="CI83" s="69"/>
    </row>
    <row r="84" spans="3:87">
      <c r="C84" t="str">
        <f t="shared" si="11"/>
        <v>NL</v>
      </c>
      <c r="D84">
        <v>75</v>
      </c>
      <c r="E84">
        <v>40</v>
      </c>
      <c r="F84">
        <f t="shared" si="7"/>
        <v>868</v>
      </c>
      <c r="G84">
        <v>2962</v>
      </c>
      <c r="H84">
        <f t="shared" si="8"/>
        <v>3830</v>
      </c>
      <c r="I84">
        <f t="shared" si="12"/>
        <v>0</v>
      </c>
      <c r="J84">
        <v>11175</v>
      </c>
      <c r="K84">
        <f t="shared" si="13"/>
        <v>7982.1428571428569</v>
      </c>
      <c r="L84">
        <v>0.44</v>
      </c>
      <c r="M84">
        <v>3.8000000000000003</v>
      </c>
      <c r="N84">
        <v>22</v>
      </c>
      <c r="O84">
        <v>5</v>
      </c>
      <c r="P84" t="s">
        <v>513</v>
      </c>
      <c r="Q84" t="str">
        <f t="shared" si="9"/>
        <v/>
      </c>
      <c r="R84" t="str">
        <f t="shared" si="10"/>
        <v/>
      </c>
      <c r="BZ84" s="51"/>
      <c r="CB84" s="10"/>
      <c r="CI84" s="69"/>
    </row>
    <row r="85" spans="3:87">
      <c r="C85" t="str">
        <f t="shared" si="11"/>
        <v>NL</v>
      </c>
      <c r="D85">
        <v>76</v>
      </c>
      <c r="E85">
        <v>40</v>
      </c>
      <c r="F85">
        <f t="shared" si="7"/>
        <v>868</v>
      </c>
      <c r="G85">
        <v>3810</v>
      </c>
      <c r="H85">
        <f t="shared" si="8"/>
        <v>4678</v>
      </c>
      <c r="I85">
        <f t="shared" si="12"/>
        <v>0</v>
      </c>
      <c r="J85">
        <v>14375</v>
      </c>
      <c r="K85">
        <f t="shared" si="13"/>
        <v>10267.857142857143</v>
      </c>
      <c r="L85">
        <v>0.88</v>
      </c>
      <c r="M85">
        <v>3.8000000000000003</v>
      </c>
      <c r="N85">
        <v>24</v>
      </c>
      <c r="O85">
        <v>5</v>
      </c>
      <c r="P85" t="s">
        <v>512</v>
      </c>
      <c r="Q85" t="str">
        <f t="shared" si="9"/>
        <v/>
      </c>
      <c r="R85" t="str">
        <f t="shared" si="10"/>
        <v/>
      </c>
      <c r="BZ85" s="51"/>
      <c r="CB85" s="10"/>
      <c r="CI85" s="69"/>
    </row>
    <row r="86" spans="3:87">
      <c r="C86" t="str">
        <f t="shared" si="11"/>
        <v/>
      </c>
      <c r="D86">
        <v>77</v>
      </c>
      <c r="E86">
        <v>40</v>
      </c>
      <c r="F86">
        <f t="shared" si="7"/>
        <v>868</v>
      </c>
      <c r="G86">
        <v>3026</v>
      </c>
      <c r="H86">
        <f t="shared" si="8"/>
        <v>3894</v>
      </c>
      <c r="I86">
        <f t="shared" si="12"/>
        <v>0</v>
      </c>
      <c r="J86">
        <v>11416</v>
      </c>
      <c r="K86">
        <f t="shared" si="13"/>
        <v>8154.2857142857147</v>
      </c>
      <c r="L86">
        <v>0.31</v>
      </c>
      <c r="M86">
        <v>4.3999999999999995</v>
      </c>
      <c r="N86">
        <v>21</v>
      </c>
      <c r="O86">
        <v>6</v>
      </c>
      <c r="P86" t="s">
        <v>513</v>
      </c>
      <c r="Q86">
        <f t="shared" si="9"/>
        <v>77</v>
      </c>
      <c r="R86" t="str">
        <f t="shared" si="10"/>
        <v/>
      </c>
      <c r="BZ86" s="51"/>
      <c r="CB86" s="10"/>
      <c r="CI86" s="69"/>
    </row>
    <row r="87" spans="3:87">
      <c r="C87" t="str">
        <f t="shared" si="11"/>
        <v/>
      </c>
      <c r="D87">
        <v>78</v>
      </c>
      <c r="E87">
        <v>40</v>
      </c>
      <c r="F87">
        <f t="shared" si="7"/>
        <v>868</v>
      </c>
      <c r="G87">
        <v>3727</v>
      </c>
      <c r="H87">
        <f t="shared" si="8"/>
        <v>4595</v>
      </c>
      <c r="I87">
        <f t="shared" si="12"/>
        <v>0</v>
      </c>
      <c r="J87">
        <v>14062</v>
      </c>
      <c r="K87">
        <f t="shared" si="13"/>
        <v>10044.285714285714</v>
      </c>
      <c r="L87">
        <v>0.6</v>
      </c>
      <c r="M87">
        <v>4.3999999999999995</v>
      </c>
      <c r="N87">
        <v>22</v>
      </c>
      <c r="O87">
        <v>6</v>
      </c>
      <c r="P87" t="s">
        <v>512</v>
      </c>
      <c r="Q87">
        <f t="shared" si="9"/>
        <v>78</v>
      </c>
      <c r="R87" t="str">
        <f t="shared" si="10"/>
        <v/>
      </c>
      <c r="BZ87" s="51"/>
      <c r="CB87" s="10"/>
      <c r="CI87" s="69"/>
    </row>
    <row r="88" spans="3:87">
      <c r="C88" t="str">
        <f t="shared" si="11"/>
        <v>NL</v>
      </c>
      <c r="D88">
        <v>79</v>
      </c>
      <c r="E88">
        <v>40</v>
      </c>
      <c r="F88">
        <f t="shared" si="7"/>
        <v>868</v>
      </c>
      <c r="G88">
        <v>3359</v>
      </c>
      <c r="H88">
        <f t="shared" si="8"/>
        <v>4227</v>
      </c>
      <c r="I88">
        <f t="shared" si="12"/>
        <v>0</v>
      </c>
      <c r="J88">
        <v>12671</v>
      </c>
      <c r="K88">
        <f t="shared" si="13"/>
        <v>9050.7142857142862</v>
      </c>
      <c r="L88">
        <v>0.23</v>
      </c>
      <c r="M88">
        <v>5.0999999999999996</v>
      </c>
      <c r="N88">
        <v>20</v>
      </c>
      <c r="O88">
        <v>7</v>
      </c>
      <c r="P88" t="s">
        <v>513</v>
      </c>
      <c r="Q88" t="str">
        <f t="shared" si="9"/>
        <v/>
      </c>
      <c r="R88" t="str">
        <f t="shared" si="10"/>
        <v/>
      </c>
      <c r="BZ88" s="51"/>
      <c r="CB88" s="10"/>
      <c r="CI88" s="69"/>
    </row>
    <row r="89" spans="3:87">
      <c r="C89" t="str">
        <f t="shared" si="11"/>
        <v>NL</v>
      </c>
      <c r="D89">
        <v>80</v>
      </c>
      <c r="E89">
        <v>40</v>
      </c>
      <c r="F89">
        <f t="shared" si="7"/>
        <v>868</v>
      </c>
      <c r="G89">
        <v>3997</v>
      </c>
      <c r="H89">
        <f t="shared" si="8"/>
        <v>4865</v>
      </c>
      <c r="I89">
        <f t="shared" si="12"/>
        <v>0</v>
      </c>
      <c r="J89">
        <v>15079</v>
      </c>
      <c r="K89">
        <f t="shared" si="13"/>
        <v>10770.714285714286</v>
      </c>
      <c r="L89">
        <v>0.45</v>
      </c>
      <c r="M89">
        <v>5.0999999999999996</v>
      </c>
      <c r="N89">
        <v>20</v>
      </c>
      <c r="O89">
        <v>7</v>
      </c>
      <c r="P89" t="s">
        <v>512</v>
      </c>
      <c r="Q89" t="str">
        <f t="shared" si="9"/>
        <v/>
      </c>
      <c r="R89" t="str">
        <f t="shared" si="10"/>
        <v/>
      </c>
      <c r="BZ89" s="51"/>
      <c r="CB89" s="10"/>
      <c r="CI89" s="69"/>
    </row>
    <row r="90" spans="3:87">
      <c r="C90" t="str">
        <f t="shared" si="11"/>
        <v/>
      </c>
      <c r="D90">
        <v>81</v>
      </c>
      <c r="E90">
        <v>40</v>
      </c>
      <c r="F90">
        <f t="shared" si="7"/>
        <v>868</v>
      </c>
      <c r="G90">
        <v>3633</v>
      </c>
      <c r="H90">
        <f t="shared" si="8"/>
        <v>4501</v>
      </c>
      <c r="I90">
        <f t="shared" si="12"/>
        <v>0</v>
      </c>
      <c r="J90">
        <v>13705</v>
      </c>
      <c r="K90">
        <f t="shared" si="13"/>
        <v>9789.2857142857138</v>
      </c>
      <c r="L90">
        <v>0.18000000000000002</v>
      </c>
      <c r="M90">
        <v>5.8</v>
      </c>
      <c r="N90">
        <v>18</v>
      </c>
      <c r="O90">
        <v>8</v>
      </c>
      <c r="P90" t="s">
        <v>513</v>
      </c>
      <c r="Q90">
        <f t="shared" si="9"/>
        <v>81</v>
      </c>
      <c r="R90" t="str">
        <f t="shared" si="10"/>
        <v/>
      </c>
      <c r="BZ90" s="51"/>
      <c r="CB90" s="10"/>
      <c r="CI90" s="69"/>
    </row>
    <row r="91" spans="3:87">
      <c r="C91" t="str">
        <f t="shared" si="11"/>
        <v/>
      </c>
      <c r="D91">
        <v>82</v>
      </c>
      <c r="E91">
        <v>40</v>
      </c>
      <c r="F91">
        <f t="shared" si="7"/>
        <v>868</v>
      </c>
      <c r="G91">
        <v>4199</v>
      </c>
      <c r="H91">
        <f t="shared" si="8"/>
        <v>5067</v>
      </c>
      <c r="I91">
        <f t="shared" si="12"/>
        <v>0</v>
      </c>
      <c r="J91">
        <v>15842</v>
      </c>
      <c r="K91">
        <f t="shared" si="13"/>
        <v>11315.714285714286</v>
      </c>
      <c r="L91">
        <v>0.35000000000000003</v>
      </c>
      <c r="M91">
        <v>5.8</v>
      </c>
      <c r="N91">
        <v>19</v>
      </c>
      <c r="O91">
        <v>8</v>
      </c>
      <c r="P91" t="s">
        <v>512</v>
      </c>
      <c r="Q91">
        <f t="shared" si="9"/>
        <v>82</v>
      </c>
      <c r="R91" t="str">
        <f t="shared" si="10"/>
        <v/>
      </c>
      <c r="BZ91" s="51"/>
      <c r="CB91" s="10"/>
      <c r="CI91" s="69"/>
    </row>
    <row r="92" spans="3:87">
      <c r="C92" t="str">
        <f t="shared" si="11"/>
        <v/>
      </c>
      <c r="D92">
        <v>83</v>
      </c>
      <c r="E92">
        <v>40</v>
      </c>
      <c r="F92">
        <f t="shared" si="7"/>
        <v>868</v>
      </c>
      <c r="G92">
        <v>4565</v>
      </c>
      <c r="H92">
        <f t="shared" si="8"/>
        <v>5433</v>
      </c>
      <c r="I92">
        <f t="shared" si="12"/>
        <v>0</v>
      </c>
      <c r="J92">
        <v>17220</v>
      </c>
      <c r="K92">
        <f t="shared" si="13"/>
        <v>12300</v>
      </c>
      <c r="L92">
        <v>0.23</v>
      </c>
      <c r="M92">
        <v>7.1999999999999993</v>
      </c>
      <c r="N92">
        <v>18</v>
      </c>
      <c r="O92">
        <v>10</v>
      </c>
      <c r="P92" t="s">
        <v>512</v>
      </c>
      <c r="Q92" t="str">
        <f t="shared" si="9"/>
        <v/>
      </c>
      <c r="R92" t="str">
        <f t="shared" si="10"/>
        <v/>
      </c>
      <c r="BZ92" s="51"/>
      <c r="CB92" s="10"/>
      <c r="CI92" s="69"/>
    </row>
    <row r="93" spans="3:87">
      <c r="C93" t="str">
        <f t="shared" si="11"/>
        <v/>
      </c>
      <c r="D93">
        <v>84</v>
      </c>
      <c r="E93">
        <v>45</v>
      </c>
      <c r="F93">
        <f t="shared" si="7"/>
        <v>976.5</v>
      </c>
      <c r="G93">
        <v>1587</v>
      </c>
      <c r="H93">
        <f t="shared" si="8"/>
        <v>2563.5</v>
      </c>
      <c r="I93">
        <f t="shared" si="12"/>
        <v>0</v>
      </c>
      <c r="J93">
        <v>5988</v>
      </c>
      <c r="K93">
        <f t="shared" si="13"/>
        <v>4277.1428571428569</v>
      </c>
      <c r="L93">
        <v>0.32</v>
      </c>
      <c r="M93">
        <v>1.7000000000000002</v>
      </c>
      <c r="N93">
        <v>20</v>
      </c>
      <c r="O93">
        <v>2</v>
      </c>
      <c r="P93" t="s">
        <v>515</v>
      </c>
      <c r="Q93" t="str">
        <f t="shared" si="9"/>
        <v/>
      </c>
      <c r="R93" t="str">
        <f t="shared" si="10"/>
        <v/>
      </c>
      <c r="T93" t="s">
        <v>333</v>
      </c>
      <c r="BZ93" s="51"/>
      <c r="CB93" s="10"/>
      <c r="CI93" s="69"/>
    </row>
    <row r="94" spans="3:87">
      <c r="C94" t="str">
        <f t="shared" si="11"/>
        <v/>
      </c>
      <c r="D94">
        <v>85</v>
      </c>
      <c r="E94">
        <v>45</v>
      </c>
      <c r="F94">
        <f t="shared" si="7"/>
        <v>976.5</v>
      </c>
      <c r="G94">
        <v>1849</v>
      </c>
      <c r="H94">
        <f t="shared" si="8"/>
        <v>2825.5</v>
      </c>
      <c r="I94">
        <f t="shared" si="12"/>
        <v>0</v>
      </c>
      <c r="J94">
        <v>6978</v>
      </c>
      <c r="K94">
        <f t="shared" si="13"/>
        <v>4984.2857142857147</v>
      </c>
      <c r="L94">
        <v>0.54</v>
      </c>
      <c r="M94">
        <v>1.7000000000000002</v>
      </c>
      <c r="N94">
        <v>22</v>
      </c>
      <c r="O94">
        <v>2</v>
      </c>
      <c r="P94" t="s">
        <v>556</v>
      </c>
      <c r="Q94" t="str">
        <f t="shared" si="9"/>
        <v/>
      </c>
      <c r="R94" t="str">
        <f t="shared" si="10"/>
        <v/>
      </c>
      <c r="T94" t="s">
        <v>330</v>
      </c>
      <c r="U94" t="s">
        <v>4</v>
      </c>
      <c r="V94" t="s">
        <v>331</v>
      </c>
      <c r="W94" t="s">
        <v>328</v>
      </c>
      <c r="X94" t="s">
        <v>127</v>
      </c>
      <c r="Y94" t="s">
        <v>323</v>
      </c>
      <c r="BZ94" s="51"/>
      <c r="CB94" s="10"/>
      <c r="CI94" s="69"/>
    </row>
    <row r="95" spans="3:87">
      <c r="C95" t="str">
        <f t="shared" si="11"/>
        <v>NL</v>
      </c>
      <c r="D95">
        <v>86</v>
      </c>
      <c r="E95">
        <v>45</v>
      </c>
      <c r="F95">
        <f t="shared" si="7"/>
        <v>976.5</v>
      </c>
      <c r="G95">
        <v>1868</v>
      </c>
      <c r="H95">
        <f t="shared" si="8"/>
        <v>2844.5</v>
      </c>
      <c r="I95">
        <f t="shared" si="12"/>
        <v>0</v>
      </c>
      <c r="J95">
        <v>7049</v>
      </c>
      <c r="K95">
        <f t="shared" si="13"/>
        <v>5035</v>
      </c>
      <c r="L95">
        <v>0.23</v>
      </c>
      <c r="M95">
        <v>2.4</v>
      </c>
      <c r="N95">
        <v>18</v>
      </c>
      <c r="O95">
        <v>3</v>
      </c>
      <c r="P95" t="s">
        <v>556</v>
      </c>
      <c r="Q95" t="str">
        <f t="shared" si="9"/>
        <v/>
      </c>
      <c r="R95" t="str">
        <f t="shared" si="10"/>
        <v/>
      </c>
      <c r="S95">
        <v>1</v>
      </c>
      <c r="T95">
        <f t="shared" ref="T95:AC95" si="14">IF($T$49=0,T14,T49)</f>
        <v>29</v>
      </c>
      <c r="U95">
        <f t="shared" si="14"/>
        <v>25</v>
      </c>
      <c r="V95">
        <f t="shared" si="14"/>
        <v>0.24000000000000002</v>
      </c>
      <c r="W95">
        <f t="shared" si="14"/>
        <v>15</v>
      </c>
      <c r="X95">
        <f t="shared" si="14"/>
        <v>6</v>
      </c>
      <c r="Y95" t="str">
        <f t="shared" si="14"/>
        <v>M13</v>
      </c>
      <c r="Z95">
        <f t="shared" si="14"/>
        <v>542.5</v>
      </c>
      <c r="AA95">
        <f t="shared" si="14"/>
        <v>2549</v>
      </c>
      <c r="AB95">
        <f t="shared" si="14"/>
        <v>0</v>
      </c>
      <c r="AC95">
        <f t="shared" si="14"/>
        <v>9619</v>
      </c>
      <c r="AD95" t="s">
        <v>532</v>
      </c>
      <c r="BZ95" s="51"/>
      <c r="CB95" s="10"/>
      <c r="CI95" s="69"/>
    </row>
    <row r="96" spans="3:87">
      <c r="C96" t="str">
        <f t="shared" si="11"/>
        <v>NL</v>
      </c>
      <c r="D96">
        <v>87</v>
      </c>
      <c r="E96">
        <v>45</v>
      </c>
      <c r="F96">
        <f t="shared" si="7"/>
        <v>976.5</v>
      </c>
      <c r="G96">
        <v>2390</v>
      </c>
      <c r="H96">
        <f t="shared" si="8"/>
        <v>3366.5</v>
      </c>
      <c r="I96">
        <f t="shared" si="12"/>
        <v>0</v>
      </c>
      <c r="J96">
        <v>9018</v>
      </c>
      <c r="K96">
        <f t="shared" si="13"/>
        <v>6441.4285714285716</v>
      </c>
      <c r="L96">
        <v>0.48</v>
      </c>
      <c r="M96">
        <v>2.4</v>
      </c>
      <c r="N96">
        <v>24</v>
      </c>
      <c r="O96">
        <v>3</v>
      </c>
      <c r="P96" t="s">
        <v>514</v>
      </c>
      <c r="Q96" t="str">
        <f t="shared" si="9"/>
        <v/>
      </c>
      <c r="R96" t="str">
        <f t="shared" si="10"/>
        <v/>
      </c>
      <c r="S96">
        <v>2</v>
      </c>
      <c r="T96">
        <f t="shared" ref="T96:Y102" si="15">IF($T50=0,T15,T50)</f>
        <v>88</v>
      </c>
      <c r="U96">
        <f t="shared" si="15"/>
        <v>30</v>
      </c>
      <c r="V96">
        <f t="shared" si="15"/>
        <v>0.62</v>
      </c>
      <c r="W96">
        <f t="shared" si="15"/>
        <v>22</v>
      </c>
      <c r="X96">
        <f t="shared" si="15"/>
        <v>6</v>
      </c>
      <c r="Y96" t="str">
        <f t="shared" si="15"/>
        <v>M17</v>
      </c>
      <c r="Z96">
        <f>IF($T$50=0,Z15,Z50)</f>
        <v>651</v>
      </c>
      <c r="AA96">
        <f>IF($T$50=0,AA15,AA50)</f>
        <v>2416</v>
      </c>
      <c r="AB96">
        <f>IF($T$50=0,AB15,AB50)</f>
        <v>0</v>
      </c>
      <c r="AC96">
        <f>IF($T$50=0,AC15,AC50)</f>
        <v>9115</v>
      </c>
      <c r="AD96" t="s">
        <v>533</v>
      </c>
      <c r="BZ96" s="51"/>
      <c r="CB96" s="10"/>
      <c r="CI96" s="69"/>
    </row>
    <row r="97" spans="3:87">
      <c r="C97" t="str">
        <f t="shared" si="11"/>
        <v>NL</v>
      </c>
      <c r="D97">
        <v>88</v>
      </c>
      <c r="E97">
        <v>45</v>
      </c>
      <c r="F97">
        <f t="shared" si="7"/>
        <v>976.5</v>
      </c>
      <c r="G97">
        <v>2589</v>
      </c>
      <c r="H97">
        <f t="shared" si="8"/>
        <v>3565.5</v>
      </c>
      <c r="I97">
        <f t="shared" si="12"/>
        <v>0</v>
      </c>
      <c r="J97">
        <v>9768</v>
      </c>
      <c r="K97">
        <f t="shared" si="13"/>
        <v>6977.1428571428569</v>
      </c>
      <c r="L97">
        <v>0.7</v>
      </c>
      <c r="M97">
        <v>2.4</v>
      </c>
      <c r="N97">
        <v>23</v>
      </c>
      <c r="O97">
        <v>3</v>
      </c>
      <c r="P97" t="s">
        <v>555</v>
      </c>
      <c r="Q97" t="str">
        <f t="shared" si="9"/>
        <v/>
      </c>
      <c r="R97" t="str">
        <f t="shared" si="10"/>
        <v/>
      </c>
      <c r="S97">
        <v>3</v>
      </c>
      <c r="T97">
        <f t="shared" si="15"/>
        <v>56</v>
      </c>
      <c r="U97">
        <f t="shared" si="15"/>
        <v>35</v>
      </c>
      <c r="V97">
        <f t="shared" si="15"/>
        <v>0.54</v>
      </c>
      <c r="W97">
        <f t="shared" si="15"/>
        <v>23</v>
      </c>
      <c r="X97">
        <f t="shared" si="15"/>
        <v>4</v>
      </c>
      <c r="Y97" t="str">
        <f t="shared" si="15"/>
        <v>M17</v>
      </c>
      <c r="Z97">
        <f>IF($T$51=0,Z16,Z51)</f>
        <v>759.5</v>
      </c>
      <c r="AA97">
        <f>IF($T$51=0,AA16,AA51)</f>
        <v>2407</v>
      </c>
      <c r="AB97">
        <f>IF($T$51=0,AB16,AB51)</f>
        <v>0</v>
      </c>
      <c r="AC97">
        <f>IF($T$51=0,AC16,AC51)</f>
        <v>6171</v>
      </c>
      <c r="AD97" t="s">
        <v>536</v>
      </c>
      <c r="BZ97" s="51"/>
      <c r="CB97" s="10"/>
      <c r="CI97" s="69"/>
    </row>
    <row r="98" spans="3:87">
      <c r="C98" t="str">
        <f t="shared" si="11"/>
        <v/>
      </c>
      <c r="D98">
        <v>89</v>
      </c>
      <c r="E98">
        <v>45</v>
      </c>
      <c r="F98">
        <f t="shared" si="7"/>
        <v>976.5</v>
      </c>
      <c r="G98">
        <v>2284</v>
      </c>
      <c r="H98">
        <f t="shared" si="8"/>
        <v>3260.5</v>
      </c>
      <c r="I98">
        <f t="shared" si="12"/>
        <v>0</v>
      </c>
      <c r="J98">
        <v>8616</v>
      </c>
      <c r="K98">
        <f t="shared" si="13"/>
        <v>6154.2857142857147</v>
      </c>
      <c r="L98">
        <v>0.27</v>
      </c>
      <c r="M98">
        <v>3.1</v>
      </c>
      <c r="N98">
        <v>22</v>
      </c>
      <c r="O98">
        <v>4</v>
      </c>
      <c r="P98" t="s">
        <v>514</v>
      </c>
      <c r="Q98">
        <f t="shared" si="9"/>
        <v>89</v>
      </c>
      <c r="R98" t="str">
        <f t="shared" si="10"/>
        <v/>
      </c>
      <c r="S98">
        <v>4</v>
      </c>
      <c r="T98">
        <f t="shared" si="15"/>
        <v>70</v>
      </c>
      <c r="U98">
        <f t="shared" si="15"/>
        <v>25</v>
      </c>
      <c r="V98">
        <f t="shared" si="15"/>
        <v>0.49</v>
      </c>
      <c r="W98">
        <f t="shared" si="15"/>
        <v>18</v>
      </c>
      <c r="X98">
        <f t="shared" si="15"/>
        <v>8</v>
      </c>
      <c r="Y98" t="str">
        <f t="shared" si="15"/>
        <v>M13</v>
      </c>
      <c r="Z98">
        <f t="shared" ref="Z98:AC102" si="16">IF($T$52=0,Z17,Z52)</f>
        <v>542.5</v>
      </c>
      <c r="AA98">
        <f t="shared" si="16"/>
        <v>2847</v>
      </c>
      <c r="AB98">
        <f t="shared" si="16"/>
        <v>0</v>
      </c>
      <c r="AC98">
        <f t="shared" si="16"/>
        <v>7298</v>
      </c>
      <c r="AD98" t="s">
        <v>537</v>
      </c>
      <c r="BZ98" s="51"/>
      <c r="CB98" s="10"/>
      <c r="CI98" s="69"/>
    </row>
    <row r="99" spans="3:87">
      <c r="C99" t="str">
        <f t="shared" si="11"/>
        <v/>
      </c>
      <c r="D99">
        <v>90</v>
      </c>
      <c r="E99">
        <v>45</v>
      </c>
      <c r="F99">
        <f t="shared" si="7"/>
        <v>976.5</v>
      </c>
      <c r="G99">
        <v>2472</v>
      </c>
      <c r="H99">
        <f t="shared" si="8"/>
        <v>3448.5</v>
      </c>
      <c r="I99">
        <f t="shared" si="12"/>
        <v>0</v>
      </c>
      <c r="J99">
        <v>9328</v>
      </c>
      <c r="K99">
        <f t="shared" si="13"/>
        <v>6662.8571428571431</v>
      </c>
      <c r="L99">
        <v>0.4</v>
      </c>
      <c r="M99">
        <v>3.1</v>
      </c>
      <c r="N99">
        <v>20</v>
      </c>
      <c r="O99">
        <v>4</v>
      </c>
      <c r="P99" t="s">
        <v>555</v>
      </c>
      <c r="Q99">
        <f t="shared" si="9"/>
        <v>90</v>
      </c>
      <c r="R99" t="str">
        <f t="shared" si="10"/>
        <v/>
      </c>
      <c r="S99">
        <v>5</v>
      </c>
      <c r="T99">
        <f t="shared" si="15"/>
        <v>30</v>
      </c>
      <c r="U99">
        <f t="shared" si="15"/>
        <v>50</v>
      </c>
      <c r="V99">
        <f t="shared" si="15"/>
        <v>0.56000000000000005</v>
      </c>
      <c r="W99">
        <f t="shared" si="15"/>
        <v>22</v>
      </c>
      <c r="X99">
        <f t="shared" si="15"/>
        <v>4</v>
      </c>
      <c r="Y99" t="str">
        <f t="shared" si="15"/>
        <v>M17</v>
      </c>
      <c r="Z99">
        <f t="shared" si="16"/>
        <v>1085</v>
      </c>
      <c r="AA99">
        <f t="shared" si="16"/>
        <v>2048</v>
      </c>
      <c r="AB99">
        <f t="shared" si="16"/>
        <v>0</v>
      </c>
      <c r="AC99">
        <f t="shared" si="16"/>
        <v>7683</v>
      </c>
      <c r="AD99" t="s">
        <v>416</v>
      </c>
      <c r="BZ99" s="51"/>
      <c r="CB99" s="10"/>
      <c r="CI99" s="69"/>
    </row>
    <row r="100" spans="3:87">
      <c r="C100" t="str">
        <f t="shared" si="11"/>
        <v/>
      </c>
      <c r="D100">
        <v>91</v>
      </c>
      <c r="E100">
        <v>45</v>
      </c>
      <c r="F100">
        <f t="shared" si="7"/>
        <v>976.5</v>
      </c>
      <c r="G100">
        <v>3382</v>
      </c>
      <c r="H100">
        <f t="shared" si="8"/>
        <v>4358.5</v>
      </c>
      <c r="I100">
        <f t="shared" si="12"/>
        <v>0</v>
      </c>
      <c r="J100">
        <v>12759</v>
      </c>
      <c r="K100">
        <f t="shared" si="13"/>
        <v>9113.5714285714294</v>
      </c>
      <c r="L100">
        <v>0.89</v>
      </c>
      <c r="M100">
        <v>3.1</v>
      </c>
      <c r="N100">
        <v>26</v>
      </c>
      <c r="O100">
        <v>4</v>
      </c>
      <c r="P100" t="s">
        <v>513</v>
      </c>
      <c r="Q100" t="str">
        <f t="shared" si="9"/>
        <v/>
      </c>
      <c r="R100" t="str">
        <f t="shared" si="10"/>
        <v/>
      </c>
      <c r="S100">
        <v>6</v>
      </c>
      <c r="T100">
        <f t="shared" si="15"/>
        <v>30</v>
      </c>
      <c r="U100">
        <f t="shared" si="15"/>
        <v>50</v>
      </c>
      <c r="V100">
        <f t="shared" si="15"/>
        <v>0.56000000000000005</v>
      </c>
      <c r="W100">
        <f t="shared" si="15"/>
        <v>22</v>
      </c>
      <c r="X100">
        <f t="shared" si="15"/>
        <v>4</v>
      </c>
      <c r="Y100" t="str">
        <f t="shared" si="15"/>
        <v>M17</v>
      </c>
      <c r="Z100">
        <f t="shared" si="16"/>
        <v>1085</v>
      </c>
      <c r="AA100">
        <f t="shared" si="16"/>
        <v>1964</v>
      </c>
      <c r="AB100">
        <f t="shared" si="16"/>
        <v>0</v>
      </c>
      <c r="AC100">
        <f t="shared" si="16"/>
        <v>4530</v>
      </c>
      <c r="AD100" t="s">
        <v>417</v>
      </c>
      <c r="BZ100" s="51"/>
      <c r="CB100" s="10"/>
      <c r="CI100" s="69"/>
    </row>
    <row r="101" spans="3:87">
      <c r="C101" t="str">
        <f t="shared" si="11"/>
        <v>NL</v>
      </c>
      <c r="D101">
        <v>92</v>
      </c>
      <c r="E101">
        <v>45</v>
      </c>
      <c r="F101">
        <f t="shared" si="7"/>
        <v>976.5</v>
      </c>
      <c r="G101">
        <v>2333</v>
      </c>
      <c r="H101">
        <f t="shared" si="8"/>
        <v>3309.5</v>
      </c>
      <c r="I101">
        <f t="shared" si="12"/>
        <v>0</v>
      </c>
      <c r="J101">
        <v>8801</v>
      </c>
      <c r="K101">
        <f t="shared" si="13"/>
        <v>6286.4285714285716</v>
      </c>
      <c r="L101">
        <v>0.17</v>
      </c>
      <c r="M101">
        <v>3.8000000000000003</v>
      </c>
      <c r="N101">
        <v>20</v>
      </c>
      <c r="O101">
        <v>5</v>
      </c>
      <c r="P101" t="s">
        <v>514</v>
      </c>
      <c r="Q101" t="str">
        <f t="shared" si="9"/>
        <v/>
      </c>
      <c r="R101" t="str">
        <f t="shared" si="10"/>
        <v/>
      </c>
      <c r="S101">
        <v>7</v>
      </c>
      <c r="T101">
        <f t="shared" si="15"/>
        <v>32</v>
      </c>
      <c r="U101">
        <f t="shared" si="15"/>
        <v>30</v>
      </c>
      <c r="V101">
        <f t="shared" si="15"/>
        <v>0.43</v>
      </c>
      <c r="W101">
        <f t="shared" si="15"/>
        <v>23</v>
      </c>
      <c r="X101">
        <f t="shared" si="15"/>
        <v>4</v>
      </c>
      <c r="Y101" t="str">
        <f t="shared" si="15"/>
        <v>M23</v>
      </c>
      <c r="Z101">
        <f t="shared" si="16"/>
        <v>651</v>
      </c>
      <c r="AA101">
        <f t="shared" si="16"/>
        <v>2368</v>
      </c>
      <c r="AB101">
        <f t="shared" si="16"/>
        <v>0</v>
      </c>
      <c r="AC101">
        <f t="shared" si="16"/>
        <v>9209</v>
      </c>
      <c r="AD101" t="s">
        <v>418</v>
      </c>
      <c r="BZ101" s="51"/>
      <c r="CB101" s="10"/>
      <c r="CI101" s="69"/>
    </row>
    <row r="102" spans="3:87">
      <c r="C102" t="str">
        <f t="shared" si="11"/>
        <v>NL</v>
      </c>
      <c r="D102">
        <v>93</v>
      </c>
      <c r="E102">
        <v>45</v>
      </c>
      <c r="F102">
        <f t="shared" si="7"/>
        <v>976.5</v>
      </c>
      <c r="G102">
        <v>2499</v>
      </c>
      <c r="H102">
        <f t="shared" si="8"/>
        <v>3475.5</v>
      </c>
      <c r="I102">
        <f t="shared" si="12"/>
        <v>0</v>
      </c>
      <c r="J102">
        <v>9429</v>
      </c>
      <c r="K102">
        <f t="shared" si="13"/>
        <v>6735</v>
      </c>
      <c r="L102">
        <v>0.25</v>
      </c>
      <c r="M102">
        <v>3.8000000000000003</v>
      </c>
      <c r="N102">
        <v>18</v>
      </c>
      <c r="O102">
        <v>5</v>
      </c>
      <c r="P102" t="s">
        <v>555</v>
      </c>
      <c r="Q102" t="str">
        <f t="shared" si="9"/>
        <v/>
      </c>
      <c r="R102" t="str">
        <f t="shared" si="10"/>
        <v/>
      </c>
      <c r="S102">
        <v>8</v>
      </c>
      <c r="T102">
        <f t="shared" si="15"/>
        <v>39</v>
      </c>
      <c r="U102">
        <f t="shared" si="15"/>
        <v>35</v>
      </c>
      <c r="V102">
        <f t="shared" si="15"/>
        <v>0.59</v>
      </c>
      <c r="W102">
        <f t="shared" si="15"/>
        <v>25</v>
      </c>
      <c r="X102">
        <f t="shared" si="15"/>
        <v>4</v>
      </c>
      <c r="Y102" t="str">
        <f t="shared" si="15"/>
        <v>M23</v>
      </c>
      <c r="Z102">
        <f t="shared" si="16"/>
        <v>759.5</v>
      </c>
      <c r="AA102">
        <f t="shared" si="16"/>
        <v>2652</v>
      </c>
      <c r="AB102">
        <f t="shared" si="16"/>
        <v>0</v>
      </c>
      <c r="AC102">
        <f t="shared" si="16"/>
        <v>8251</v>
      </c>
      <c r="AD102" t="s">
        <v>419</v>
      </c>
      <c r="BZ102" s="51"/>
      <c r="CB102" s="10"/>
      <c r="CI102" s="69"/>
    </row>
    <row r="103" spans="3:87">
      <c r="C103" t="str">
        <f t="shared" si="11"/>
        <v>NL</v>
      </c>
      <c r="D103">
        <v>94</v>
      </c>
      <c r="E103">
        <v>45</v>
      </c>
      <c r="F103">
        <f t="shared" si="7"/>
        <v>976.5</v>
      </c>
      <c r="G103">
        <v>3300</v>
      </c>
      <c r="H103">
        <f t="shared" si="8"/>
        <v>4276.5</v>
      </c>
      <c r="I103">
        <f t="shared" si="12"/>
        <v>0</v>
      </c>
      <c r="J103">
        <v>12450</v>
      </c>
      <c r="K103">
        <f t="shared" si="13"/>
        <v>8892.8571428571431</v>
      </c>
      <c r="L103">
        <v>0.56000000000000005</v>
      </c>
      <c r="M103">
        <v>3.8000000000000003</v>
      </c>
      <c r="N103">
        <v>24</v>
      </c>
      <c r="O103">
        <v>5</v>
      </c>
      <c r="P103" t="s">
        <v>513</v>
      </c>
      <c r="Q103" t="str">
        <f t="shared" si="9"/>
        <v/>
      </c>
      <c r="R103" t="str">
        <f t="shared" si="10"/>
        <v/>
      </c>
      <c r="S103">
        <v>9</v>
      </c>
      <c r="T103">
        <f t="shared" ref="T103:Y103" si="17">IF($T57=0,T22,T57)</f>
        <v>32</v>
      </c>
      <c r="U103">
        <f t="shared" si="17"/>
        <v>30</v>
      </c>
      <c r="V103">
        <f t="shared" si="17"/>
        <v>0.43</v>
      </c>
      <c r="W103">
        <f t="shared" si="17"/>
        <v>23</v>
      </c>
      <c r="X103">
        <f t="shared" si="17"/>
        <v>4</v>
      </c>
      <c r="Y103" t="str">
        <f t="shared" si="17"/>
        <v>M23</v>
      </c>
      <c r="Z103">
        <f t="shared" ref="Z103:AC103" si="18">IF($T$52=0,Z22,Z57)</f>
        <v>651</v>
      </c>
      <c r="AA103">
        <f t="shared" si="18"/>
        <v>2368</v>
      </c>
      <c r="AB103">
        <f t="shared" si="18"/>
        <v>0</v>
      </c>
      <c r="AC103">
        <f t="shared" si="18"/>
        <v>9209</v>
      </c>
      <c r="AD103" t="s">
        <v>420</v>
      </c>
      <c r="BZ103" s="51"/>
      <c r="CB103" s="10"/>
      <c r="CI103" s="69"/>
    </row>
    <row r="104" spans="3:87">
      <c r="C104" t="str">
        <f t="shared" si="11"/>
        <v/>
      </c>
      <c r="D104">
        <v>95</v>
      </c>
      <c r="E104">
        <v>45</v>
      </c>
      <c r="F104">
        <f t="shared" si="7"/>
        <v>976.5</v>
      </c>
      <c r="G104">
        <v>2598</v>
      </c>
      <c r="H104">
        <f t="shared" si="8"/>
        <v>3574.5</v>
      </c>
      <c r="I104">
        <f t="shared" si="12"/>
        <v>0</v>
      </c>
      <c r="J104">
        <v>9800</v>
      </c>
      <c r="K104">
        <f t="shared" si="13"/>
        <v>7000</v>
      </c>
      <c r="L104">
        <v>0.18000000000000002</v>
      </c>
      <c r="M104">
        <v>4.3999999999999995</v>
      </c>
      <c r="N104">
        <v>17</v>
      </c>
      <c r="O104">
        <v>6</v>
      </c>
      <c r="P104" t="s">
        <v>555</v>
      </c>
      <c r="Q104">
        <f t="shared" si="9"/>
        <v>95</v>
      </c>
      <c r="R104" t="str">
        <f t="shared" si="10"/>
        <v/>
      </c>
      <c r="S104">
        <v>10</v>
      </c>
      <c r="T104">
        <f t="shared" ref="T104:Y104" si="19">IF($T58=0,T23,T58)</f>
        <v>39</v>
      </c>
      <c r="U104">
        <f t="shared" si="19"/>
        <v>35</v>
      </c>
      <c r="V104">
        <f t="shared" si="19"/>
        <v>0.59</v>
      </c>
      <c r="W104">
        <f t="shared" si="19"/>
        <v>25</v>
      </c>
      <c r="X104">
        <f t="shared" si="19"/>
        <v>4</v>
      </c>
      <c r="Y104" t="str">
        <f t="shared" si="19"/>
        <v>M23</v>
      </c>
      <c r="Z104">
        <f t="shared" ref="Z104:AC104" si="20">IF($T$52=0,Z23,Z58)</f>
        <v>759.5</v>
      </c>
      <c r="AA104">
        <f t="shared" si="20"/>
        <v>2652</v>
      </c>
      <c r="AB104">
        <f t="shared" si="20"/>
        <v>0</v>
      </c>
      <c r="AC104">
        <f t="shared" si="20"/>
        <v>8251</v>
      </c>
      <c r="AD104" t="s">
        <v>421</v>
      </c>
      <c r="BZ104" s="51"/>
      <c r="CB104" s="10"/>
      <c r="CI104" s="69"/>
    </row>
    <row r="105" spans="3:87">
      <c r="C105" t="str">
        <f t="shared" si="11"/>
        <v/>
      </c>
      <c r="D105">
        <v>96</v>
      </c>
      <c r="E105">
        <v>45</v>
      </c>
      <c r="F105">
        <f t="shared" si="7"/>
        <v>976.5</v>
      </c>
      <c r="G105">
        <v>3341</v>
      </c>
      <c r="H105">
        <f t="shared" si="8"/>
        <v>4317.5</v>
      </c>
      <c r="I105">
        <f t="shared" si="12"/>
        <v>0</v>
      </c>
      <c r="J105">
        <v>12604</v>
      </c>
      <c r="K105">
        <f t="shared" si="13"/>
        <v>9002.8571428571431</v>
      </c>
      <c r="L105">
        <v>0.39</v>
      </c>
      <c r="M105">
        <v>4.3999999999999995</v>
      </c>
      <c r="N105">
        <v>22</v>
      </c>
      <c r="O105">
        <v>6</v>
      </c>
      <c r="P105" t="s">
        <v>513</v>
      </c>
      <c r="Q105">
        <f t="shared" si="9"/>
        <v>96</v>
      </c>
      <c r="R105" t="str">
        <f t="shared" si="10"/>
        <v/>
      </c>
      <c r="S105">
        <v>11</v>
      </c>
      <c r="T105">
        <f t="shared" ref="T105:Y105" si="21">IF($T59=0,T24,T59)</f>
        <v>42</v>
      </c>
      <c r="U105">
        <f t="shared" si="21"/>
        <v>35</v>
      </c>
      <c r="V105">
        <f t="shared" si="21"/>
        <v>0.51</v>
      </c>
      <c r="W105">
        <f t="shared" si="21"/>
        <v>18</v>
      </c>
      <c r="X105">
        <f t="shared" si="21"/>
        <v>4</v>
      </c>
      <c r="Y105" t="str">
        <f t="shared" si="21"/>
        <v>M23</v>
      </c>
      <c r="Z105">
        <f t="shared" ref="Z105:AC105" si="22">IF($T$52=0,Z24,Z59)</f>
        <v>759.5</v>
      </c>
      <c r="AA105">
        <f t="shared" si="22"/>
        <v>2462</v>
      </c>
      <c r="AB105">
        <f t="shared" si="22"/>
        <v>0</v>
      </c>
      <c r="AC105">
        <f t="shared" si="22"/>
        <v>10304</v>
      </c>
      <c r="AD105" t="s">
        <v>422</v>
      </c>
      <c r="BZ105" s="51"/>
      <c r="CB105" s="10"/>
      <c r="CI105" s="69"/>
    </row>
    <row r="106" spans="3:87">
      <c r="C106" t="str">
        <f t="shared" si="11"/>
        <v/>
      </c>
      <c r="D106">
        <v>97</v>
      </c>
      <c r="E106">
        <v>45</v>
      </c>
      <c r="F106">
        <f t="shared" si="7"/>
        <v>976.5</v>
      </c>
      <c r="G106">
        <v>4212</v>
      </c>
      <c r="H106">
        <f t="shared" si="8"/>
        <v>5188.5</v>
      </c>
      <c r="I106">
        <f t="shared" si="12"/>
        <v>0</v>
      </c>
      <c r="J106">
        <v>15891</v>
      </c>
      <c r="K106">
        <f t="shared" si="13"/>
        <v>11350.714285714286</v>
      </c>
      <c r="L106">
        <v>0.76</v>
      </c>
      <c r="M106">
        <v>4.3999999999999995</v>
      </c>
      <c r="N106">
        <v>23</v>
      </c>
      <c r="O106">
        <v>6</v>
      </c>
      <c r="P106" t="s">
        <v>512</v>
      </c>
      <c r="Q106" t="str">
        <f t="shared" si="9"/>
        <v/>
      </c>
      <c r="R106" t="str">
        <f t="shared" si="10"/>
        <v/>
      </c>
      <c r="S106">
        <v>12</v>
      </c>
      <c r="T106">
        <f t="shared" ref="T106:Y106" si="23">IF($T60=0,T25,T60)</f>
        <v>42</v>
      </c>
      <c r="U106">
        <f t="shared" si="23"/>
        <v>35</v>
      </c>
      <c r="V106">
        <f t="shared" si="23"/>
        <v>0.51</v>
      </c>
      <c r="W106">
        <f t="shared" si="23"/>
        <v>18</v>
      </c>
      <c r="X106">
        <f t="shared" si="23"/>
        <v>4</v>
      </c>
      <c r="Y106" t="str">
        <f t="shared" si="23"/>
        <v>M23</v>
      </c>
      <c r="Z106">
        <f t="shared" ref="Z106:AC106" si="24">IF($T$52=0,Z25,Z60)</f>
        <v>759.5</v>
      </c>
      <c r="AA106">
        <f t="shared" si="24"/>
        <v>2369</v>
      </c>
      <c r="AB106">
        <f t="shared" si="24"/>
        <v>0</v>
      </c>
      <c r="AC106">
        <f t="shared" si="24"/>
        <v>7181</v>
      </c>
      <c r="AD106" t="s">
        <v>423</v>
      </c>
      <c r="BZ106" s="51"/>
      <c r="CB106" s="10"/>
      <c r="CI106" s="69"/>
    </row>
    <row r="107" spans="3:87">
      <c r="C107" t="str">
        <f t="shared" si="11"/>
        <v>NL</v>
      </c>
      <c r="D107">
        <v>98</v>
      </c>
      <c r="E107">
        <v>45</v>
      </c>
      <c r="F107">
        <f t="shared" si="7"/>
        <v>976.5</v>
      </c>
      <c r="G107">
        <v>3622</v>
      </c>
      <c r="H107">
        <f t="shared" si="8"/>
        <v>4598.5</v>
      </c>
      <c r="I107">
        <f t="shared" si="12"/>
        <v>0</v>
      </c>
      <c r="J107">
        <v>13664</v>
      </c>
      <c r="K107">
        <f t="shared" si="13"/>
        <v>9760</v>
      </c>
      <c r="L107">
        <v>0.29000000000000004</v>
      </c>
      <c r="M107">
        <v>5.0999999999999996</v>
      </c>
      <c r="N107">
        <v>21</v>
      </c>
      <c r="O107">
        <v>7</v>
      </c>
      <c r="P107" t="s">
        <v>513</v>
      </c>
      <c r="Q107" t="str">
        <f t="shared" si="9"/>
        <v/>
      </c>
      <c r="R107" t="str">
        <f t="shared" si="10"/>
        <v/>
      </c>
      <c r="S107">
        <v>13</v>
      </c>
      <c r="T107">
        <f t="shared" ref="T107:Y107" si="25">IF($T61=0,T26,T61)</f>
        <v>40</v>
      </c>
      <c r="U107">
        <f t="shared" si="25"/>
        <v>35</v>
      </c>
      <c r="V107">
        <f t="shared" si="25"/>
        <v>0.51</v>
      </c>
      <c r="W107">
        <f t="shared" si="25"/>
        <v>18</v>
      </c>
      <c r="X107">
        <f t="shared" si="25"/>
        <v>4</v>
      </c>
      <c r="Y107" t="str">
        <f t="shared" si="25"/>
        <v>M23</v>
      </c>
      <c r="Z107">
        <f t="shared" ref="Z107:AC107" si="26">IF($T$52=0,Z26,Z61)</f>
        <v>759.5</v>
      </c>
      <c r="AA107">
        <f t="shared" si="26"/>
        <v>2462</v>
      </c>
      <c r="AB107">
        <f t="shared" si="26"/>
        <v>0</v>
      </c>
      <c r="AC107">
        <f t="shared" si="26"/>
        <v>10304</v>
      </c>
      <c r="AD107" t="s">
        <v>424</v>
      </c>
      <c r="BZ107" s="51"/>
      <c r="CB107" s="10"/>
      <c r="CI107" s="69"/>
    </row>
    <row r="108" spans="3:87">
      <c r="C108" t="str">
        <f t="shared" si="11"/>
        <v>NL</v>
      </c>
      <c r="D108">
        <v>99</v>
      </c>
      <c r="E108">
        <v>45</v>
      </c>
      <c r="F108">
        <f t="shared" si="7"/>
        <v>976.5</v>
      </c>
      <c r="G108">
        <v>4360</v>
      </c>
      <c r="H108">
        <f t="shared" si="8"/>
        <v>5336.5</v>
      </c>
      <c r="I108">
        <f t="shared" si="12"/>
        <v>0</v>
      </c>
      <c r="J108">
        <v>16448</v>
      </c>
      <c r="K108">
        <f t="shared" si="13"/>
        <v>11748.571428571429</v>
      </c>
      <c r="L108">
        <v>0.57000000000000006</v>
      </c>
      <c r="M108">
        <v>5.0999999999999996</v>
      </c>
      <c r="N108">
        <v>22</v>
      </c>
      <c r="O108">
        <v>7</v>
      </c>
      <c r="P108" t="s">
        <v>512</v>
      </c>
      <c r="Q108" t="str">
        <f t="shared" si="9"/>
        <v/>
      </c>
      <c r="R108" t="str">
        <f t="shared" si="10"/>
        <v/>
      </c>
      <c r="S108">
        <v>14</v>
      </c>
      <c r="T108">
        <f t="shared" ref="T108:Y108" si="27">IF($T62=0,T27,T62)</f>
        <v>40</v>
      </c>
      <c r="U108">
        <f t="shared" si="27"/>
        <v>35</v>
      </c>
      <c r="V108">
        <f t="shared" si="27"/>
        <v>0.51</v>
      </c>
      <c r="W108">
        <f t="shared" si="27"/>
        <v>18</v>
      </c>
      <c r="X108">
        <f t="shared" si="27"/>
        <v>4</v>
      </c>
      <c r="Y108" t="str">
        <f t="shared" si="27"/>
        <v>M23</v>
      </c>
      <c r="Z108">
        <f t="shared" ref="Z108:AC108" si="28">IF($T$52=0,Z27,Z62)</f>
        <v>759.5</v>
      </c>
      <c r="AA108">
        <f t="shared" si="28"/>
        <v>2369</v>
      </c>
      <c r="AB108">
        <f t="shared" si="28"/>
        <v>0</v>
      </c>
      <c r="AC108">
        <f t="shared" si="28"/>
        <v>7181</v>
      </c>
      <c r="AD108" t="s">
        <v>425</v>
      </c>
      <c r="BZ108" s="51"/>
      <c r="CB108" s="10"/>
      <c r="CI108" s="69"/>
    </row>
    <row r="109" spans="3:87">
      <c r="C109" t="str">
        <f t="shared" si="11"/>
        <v/>
      </c>
      <c r="D109">
        <v>100</v>
      </c>
      <c r="E109">
        <v>45</v>
      </c>
      <c r="F109">
        <f t="shared" si="7"/>
        <v>976.5</v>
      </c>
      <c r="G109">
        <v>3957</v>
      </c>
      <c r="H109">
        <f t="shared" si="8"/>
        <v>4933.5</v>
      </c>
      <c r="I109">
        <f t="shared" si="12"/>
        <v>0</v>
      </c>
      <c r="J109">
        <v>14927</v>
      </c>
      <c r="K109">
        <f t="shared" si="13"/>
        <v>10662.142857142857</v>
      </c>
      <c r="L109">
        <v>0.22</v>
      </c>
      <c r="M109">
        <v>5.8</v>
      </c>
      <c r="N109">
        <v>20</v>
      </c>
      <c r="O109">
        <v>8</v>
      </c>
      <c r="P109" t="s">
        <v>513</v>
      </c>
      <c r="Q109">
        <f t="shared" si="9"/>
        <v>100</v>
      </c>
      <c r="R109" t="str">
        <f t="shared" si="10"/>
        <v/>
      </c>
      <c r="S109">
        <v>15</v>
      </c>
      <c r="T109">
        <f t="shared" ref="T109:Y109" si="29">IF($T63=0,T28,T63)</f>
        <v>87</v>
      </c>
      <c r="U109">
        <f t="shared" si="29"/>
        <v>50</v>
      </c>
      <c r="V109">
        <f t="shared" si="29"/>
        <v>0.57000000000000006</v>
      </c>
      <c r="W109">
        <f t="shared" si="29"/>
        <v>24</v>
      </c>
      <c r="X109">
        <f t="shared" si="29"/>
        <v>6</v>
      </c>
      <c r="Y109" t="str">
        <f t="shared" si="29"/>
        <v>M23</v>
      </c>
      <c r="Z109">
        <f t="shared" ref="Z109:AC109" si="30">IF($T$52=0,Z28,Z63)</f>
        <v>1085</v>
      </c>
      <c r="AA109">
        <f t="shared" si="30"/>
        <v>2028</v>
      </c>
      <c r="AB109">
        <f t="shared" si="30"/>
        <v>0</v>
      </c>
      <c r="AC109">
        <f t="shared" si="30"/>
        <v>7889</v>
      </c>
      <c r="AD109" t="s">
        <v>426</v>
      </c>
      <c r="BZ109" s="51"/>
      <c r="CB109" s="10"/>
      <c r="CI109" s="69"/>
    </row>
    <row r="110" spans="3:87">
      <c r="C110" t="str">
        <f t="shared" si="11"/>
        <v/>
      </c>
      <c r="D110">
        <v>101</v>
      </c>
      <c r="E110">
        <v>45</v>
      </c>
      <c r="F110">
        <f t="shared" si="7"/>
        <v>976.5</v>
      </c>
      <c r="G110">
        <v>4437</v>
      </c>
      <c r="H110">
        <f t="shared" si="8"/>
        <v>5413.5</v>
      </c>
      <c r="I110">
        <f t="shared" si="12"/>
        <v>0</v>
      </c>
      <c r="J110">
        <v>16740</v>
      </c>
      <c r="K110">
        <f t="shared" si="13"/>
        <v>11957.142857142857</v>
      </c>
      <c r="L110">
        <v>0.44</v>
      </c>
      <c r="M110">
        <v>5.8</v>
      </c>
      <c r="N110">
        <v>21</v>
      </c>
      <c r="O110">
        <v>8</v>
      </c>
      <c r="P110" t="s">
        <v>512</v>
      </c>
      <c r="Q110">
        <f t="shared" si="9"/>
        <v>101</v>
      </c>
      <c r="R110" t="str">
        <f t="shared" si="10"/>
        <v/>
      </c>
      <c r="S110">
        <v>16</v>
      </c>
      <c r="T110">
        <f t="shared" ref="T110:Y110" si="31">IF($T64=0,T29,T64)</f>
        <v>87</v>
      </c>
      <c r="U110">
        <f t="shared" si="31"/>
        <v>50</v>
      </c>
      <c r="V110">
        <f t="shared" si="31"/>
        <v>0.57000000000000006</v>
      </c>
      <c r="W110">
        <f t="shared" si="31"/>
        <v>24</v>
      </c>
      <c r="X110">
        <f t="shared" si="31"/>
        <v>6</v>
      </c>
      <c r="Y110" t="str">
        <f t="shared" si="31"/>
        <v>M23</v>
      </c>
      <c r="Z110">
        <f t="shared" ref="Z110:AC110" si="32">IF($T$52=0,Z29,Z64)</f>
        <v>1085</v>
      </c>
      <c r="AA110">
        <f t="shared" si="32"/>
        <v>1948</v>
      </c>
      <c r="AB110">
        <f t="shared" si="32"/>
        <v>0</v>
      </c>
      <c r="AC110">
        <f t="shared" si="32"/>
        <v>6474</v>
      </c>
      <c r="AD110" t="s">
        <v>427</v>
      </c>
      <c r="BZ110" s="51"/>
      <c r="CB110" s="10"/>
      <c r="CI110" s="69"/>
    </row>
    <row r="111" spans="3:87">
      <c r="C111" t="str">
        <f t="shared" si="11"/>
        <v/>
      </c>
      <c r="D111">
        <v>102</v>
      </c>
      <c r="E111">
        <v>45</v>
      </c>
      <c r="F111">
        <f t="shared" si="7"/>
        <v>976.5</v>
      </c>
      <c r="G111">
        <v>4956</v>
      </c>
      <c r="H111">
        <f t="shared" si="8"/>
        <v>5932.5</v>
      </c>
      <c r="I111">
        <f t="shared" si="12"/>
        <v>0</v>
      </c>
      <c r="J111">
        <v>18698</v>
      </c>
      <c r="K111">
        <f t="shared" si="13"/>
        <v>13355.714285714286</v>
      </c>
      <c r="L111">
        <v>0.29000000000000004</v>
      </c>
      <c r="M111">
        <v>7.1999999999999993</v>
      </c>
      <c r="N111">
        <v>19</v>
      </c>
      <c r="O111">
        <v>10</v>
      </c>
      <c r="P111" t="s">
        <v>512</v>
      </c>
      <c r="Q111" t="str">
        <f t="shared" si="9"/>
        <v/>
      </c>
      <c r="R111" t="str">
        <f t="shared" si="10"/>
        <v/>
      </c>
      <c r="S111">
        <v>17</v>
      </c>
      <c r="T111">
        <f t="shared" ref="T111:Y111" si="33">IF($T65=0,T30,T65)</f>
        <v>27</v>
      </c>
      <c r="U111">
        <f t="shared" si="33"/>
        <v>35</v>
      </c>
      <c r="V111">
        <f t="shared" si="33"/>
        <v>0.61</v>
      </c>
      <c r="W111">
        <f t="shared" si="33"/>
        <v>23</v>
      </c>
      <c r="X111">
        <f t="shared" si="33"/>
        <v>4</v>
      </c>
      <c r="Y111" t="str">
        <f t="shared" si="33"/>
        <v>M17</v>
      </c>
      <c r="Z111">
        <f t="shared" ref="Z111:AC111" si="34">IF($T$52=0,Z30,Z65)</f>
        <v>759.5</v>
      </c>
      <c r="AA111">
        <f t="shared" si="34"/>
        <v>2264</v>
      </c>
      <c r="AB111">
        <f t="shared" si="34"/>
        <v>0</v>
      </c>
      <c r="AC111">
        <f t="shared" si="34"/>
        <v>8804</v>
      </c>
      <c r="AD111" t="s">
        <v>428</v>
      </c>
      <c r="BZ111" s="51"/>
      <c r="CB111" s="10"/>
      <c r="CI111" s="69"/>
    </row>
    <row r="112" spans="3:87">
      <c r="C112" t="str">
        <f t="shared" si="11"/>
        <v/>
      </c>
      <c r="D112">
        <v>103</v>
      </c>
      <c r="E112">
        <v>50</v>
      </c>
      <c r="F112">
        <f t="shared" si="7"/>
        <v>1085</v>
      </c>
      <c r="G112">
        <v>1750</v>
      </c>
      <c r="H112">
        <f t="shared" si="8"/>
        <v>2835</v>
      </c>
      <c r="I112">
        <f t="shared" si="12"/>
        <v>0</v>
      </c>
      <c r="J112">
        <v>6602</v>
      </c>
      <c r="K112">
        <f t="shared" si="13"/>
        <v>4715.7142857142862</v>
      </c>
      <c r="L112">
        <v>0.4</v>
      </c>
      <c r="M112">
        <v>1.7000000000000002</v>
      </c>
      <c r="N112">
        <v>21</v>
      </c>
      <c r="O112">
        <v>2</v>
      </c>
      <c r="P112" t="s">
        <v>515</v>
      </c>
      <c r="Q112" t="str">
        <f t="shared" si="9"/>
        <v/>
      </c>
      <c r="R112" t="str">
        <f t="shared" si="10"/>
        <v/>
      </c>
      <c r="S112">
        <v>18</v>
      </c>
      <c r="T112">
        <f t="shared" ref="T112:Y112" si="35">IF($T66=0,T31,T66)</f>
        <v>31</v>
      </c>
      <c r="U112">
        <f t="shared" si="35"/>
        <v>35</v>
      </c>
      <c r="V112">
        <f t="shared" si="35"/>
        <v>0.14000000000000001</v>
      </c>
      <c r="W112">
        <f t="shared" si="35"/>
        <v>15</v>
      </c>
      <c r="X112">
        <f t="shared" si="35"/>
        <v>8</v>
      </c>
      <c r="Y112" t="str">
        <f t="shared" si="35"/>
        <v>M17</v>
      </c>
      <c r="Z112">
        <f t="shared" ref="Z112:AC112" si="36">IF($T$52=0,Z31,Z66)</f>
        <v>759.5</v>
      </c>
      <c r="AA112">
        <f t="shared" si="36"/>
        <v>2297</v>
      </c>
      <c r="AB112">
        <f t="shared" si="36"/>
        <v>0</v>
      </c>
      <c r="AC112">
        <f t="shared" si="36"/>
        <v>7148</v>
      </c>
      <c r="AD112" t="s">
        <v>429</v>
      </c>
      <c r="BZ112" s="51"/>
      <c r="CB112" s="10"/>
      <c r="CI112" s="69"/>
    </row>
    <row r="113" spans="3:87">
      <c r="C113" t="str">
        <f t="shared" si="11"/>
        <v/>
      </c>
      <c r="D113">
        <v>104</v>
      </c>
      <c r="E113">
        <v>50</v>
      </c>
      <c r="F113">
        <f t="shared" si="7"/>
        <v>1085</v>
      </c>
      <c r="G113">
        <v>1972</v>
      </c>
      <c r="H113">
        <f t="shared" si="8"/>
        <v>3057</v>
      </c>
      <c r="I113">
        <f t="shared" si="12"/>
        <v>0</v>
      </c>
      <c r="J113">
        <v>7438</v>
      </c>
      <c r="K113">
        <f t="shared" si="13"/>
        <v>5312.8571428571431</v>
      </c>
      <c r="L113">
        <v>0.67</v>
      </c>
      <c r="M113">
        <v>1.7000000000000002</v>
      </c>
      <c r="N113">
        <v>24</v>
      </c>
      <c r="O113">
        <v>2</v>
      </c>
      <c r="P113" t="s">
        <v>556</v>
      </c>
      <c r="Q113">
        <f t="shared" si="9"/>
        <v>104</v>
      </c>
      <c r="R113" t="str">
        <f t="shared" si="10"/>
        <v/>
      </c>
      <c r="S113">
        <v>19</v>
      </c>
      <c r="T113">
        <f t="shared" ref="T113:Y113" si="37">IF($T67=0,T32,T67)</f>
        <v>29</v>
      </c>
      <c r="U113">
        <f t="shared" si="37"/>
        <v>25</v>
      </c>
      <c r="V113">
        <f t="shared" si="37"/>
        <v>0.24000000000000002</v>
      </c>
      <c r="W113">
        <f t="shared" si="37"/>
        <v>15</v>
      </c>
      <c r="X113">
        <f t="shared" si="37"/>
        <v>6</v>
      </c>
      <c r="Y113" t="str">
        <f t="shared" si="37"/>
        <v>M13</v>
      </c>
      <c r="Z113">
        <f t="shared" ref="Z113:AC113" si="38">IF($T$52=0,Z32,Z67)</f>
        <v>542.5</v>
      </c>
      <c r="AA113">
        <f t="shared" si="38"/>
        <v>2549</v>
      </c>
      <c r="AB113">
        <f t="shared" si="38"/>
        <v>0</v>
      </c>
      <c r="AC113">
        <f t="shared" si="38"/>
        <v>9619</v>
      </c>
      <c r="AD113" t="s">
        <v>534</v>
      </c>
      <c r="BZ113" s="51"/>
      <c r="CB113" s="10"/>
      <c r="CI113" s="69"/>
    </row>
    <row r="114" spans="3:87">
      <c r="C114" t="str">
        <f t="shared" si="11"/>
        <v>NL</v>
      </c>
      <c r="D114">
        <v>105</v>
      </c>
      <c r="E114">
        <v>50</v>
      </c>
      <c r="F114">
        <f t="shared" si="7"/>
        <v>1085</v>
      </c>
      <c r="G114">
        <v>2098</v>
      </c>
      <c r="H114">
        <f t="shared" si="8"/>
        <v>3183</v>
      </c>
      <c r="I114">
        <f t="shared" si="12"/>
        <v>0</v>
      </c>
      <c r="J114">
        <v>7917</v>
      </c>
      <c r="K114">
        <f t="shared" si="13"/>
        <v>5655</v>
      </c>
      <c r="L114">
        <v>0.28000000000000003</v>
      </c>
      <c r="M114">
        <v>2.4</v>
      </c>
      <c r="N114">
        <v>20</v>
      </c>
      <c r="O114">
        <v>3</v>
      </c>
      <c r="P114" t="s">
        <v>556</v>
      </c>
      <c r="Q114" t="str">
        <f t="shared" si="9"/>
        <v/>
      </c>
      <c r="R114" t="str">
        <f t="shared" si="10"/>
        <v/>
      </c>
      <c r="S114">
        <v>20</v>
      </c>
      <c r="T114">
        <f t="shared" ref="T114:Y114" si="39">IF($T68=0,T33,T68)</f>
        <v>88</v>
      </c>
      <c r="U114">
        <f t="shared" si="39"/>
        <v>30</v>
      </c>
      <c r="V114">
        <f t="shared" si="39"/>
        <v>0.62</v>
      </c>
      <c r="W114">
        <f t="shared" si="39"/>
        <v>22</v>
      </c>
      <c r="X114">
        <f t="shared" si="39"/>
        <v>6</v>
      </c>
      <c r="Y114" t="str">
        <f t="shared" si="39"/>
        <v>M17</v>
      </c>
      <c r="Z114">
        <f t="shared" ref="Z114:AC114" si="40">IF($T$52=0,Z33,Z68)</f>
        <v>542.5</v>
      </c>
      <c r="AA114">
        <f t="shared" si="40"/>
        <v>3037</v>
      </c>
      <c r="AB114">
        <f t="shared" si="40"/>
        <v>0</v>
      </c>
      <c r="AC114">
        <f t="shared" si="40"/>
        <v>11456</v>
      </c>
      <c r="AD114" t="s">
        <v>535</v>
      </c>
      <c r="BZ114" s="51"/>
      <c r="CB114" s="10"/>
      <c r="CI114" s="69"/>
    </row>
    <row r="115" spans="3:87">
      <c r="C115" t="str">
        <f t="shared" si="11"/>
        <v>NL</v>
      </c>
      <c r="D115">
        <v>106</v>
      </c>
      <c r="E115">
        <v>50</v>
      </c>
      <c r="F115">
        <f t="shared" si="7"/>
        <v>1085</v>
      </c>
      <c r="G115">
        <v>2655</v>
      </c>
      <c r="H115">
        <f t="shared" si="8"/>
        <v>3740</v>
      </c>
      <c r="I115">
        <f t="shared" si="12"/>
        <v>0</v>
      </c>
      <c r="J115">
        <v>10017</v>
      </c>
      <c r="K115">
        <f t="shared" si="13"/>
        <v>7155</v>
      </c>
      <c r="L115">
        <v>0.59</v>
      </c>
      <c r="M115">
        <v>2.4</v>
      </c>
      <c r="N115">
        <v>25</v>
      </c>
      <c r="O115">
        <v>3</v>
      </c>
      <c r="P115" t="s">
        <v>514</v>
      </c>
      <c r="Q115" t="str">
        <f t="shared" si="9"/>
        <v/>
      </c>
      <c r="R115" t="str">
        <f t="shared" si="10"/>
        <v/>
      </c>
      <c r="S115">
        <v>21</v>
      </c>
      <c r="T115">
        <f t="shared" ref="T115:Y115" si="41">IF($T69=0,T34,T69)</f>
        <v>56</v>
      </c>
      <c r="U115">
        <f t="shared" si="41"/>
        <v>35</v>
      </c>
      <c r="V115">
        <f t="shared" si="41"/>
        <v>0.54</v>
      </c>
      <c r="W115">
        <f t="shared" si="41"/>
        <v>23</v>
      </c>
      <c r="X115">
        <f t="shared" si="41"/>
        <v>4</v>
      </c>
      <c r="Y115" t="str">
        <f t="shared" si="41"/>
        <v>M17</v>
      </c>
      <c r="Z115">
        <f t="shared" ref="Z115:AC115" si="42">IF($T$52=0,Z34,Z69)</f>
        <v>651</v>
      </c>
      <c r="AA115">
        <f t="shared" si="42"/>
        <v>2747</v>
      </c>
      <c r="AB115">
        <f t="shared" si="42"/>
        <v>0</v>
      </c>
      <c r="AC115">
        <f t="shared" si="42"/>
        <v>7043</v>
      </c>
      <c r="AD115" t="s">
        <v>538</v>
      </c>
      <c r="BZ115" s="51"/>
      <c r="CB115" s="10"/>
      <c r="CI115" s="69"/>
    </row>
    <row r="116" spans="3:87">
      <c r="C116" t="str">
        <f t="shared" si="11"/>
        <v>NL</v>
      </c>
      <c r="D116">
        <v>107</v>
      </c>
      <c r="E116">
        <v>50</v>
      </c>
      <c r="F116">
        <f t="shared" si="7"/>
        <v>1085</v>
      </c>
      <c r="G116">
        <v>2828</v>
      </c>
      <c r="H116">
        <f t="shared" si="8"/>
        <v>3913</v>
      </c>
      <c r="I116">
        <f t="shared" si="12"/>
        <v>0</v>
      </c>
      <c r="J116">
        <v>10670</v>
      </c>
      <c r="K116">
        <f t="shared" si="13"/>
        <v>7621.4285714285716</v>
      </c>
      <c r="L116">
        <v>0.87</v>
      </c>
      <c r="M116">
        <v>2.4</v>
      </c>
      <c r="N116">
        <v>24</v>
      </c>
      <c r="O116">
        <v>3</v>
      </c>
      <c r="P116" t="s">
        <v>555</v>
      </c>
      <c r="Q116" t="str">
        <f t="shared" si="9"/>
        <v/>
      </c>
      <c r="R116" t="str">
        <f t="shared" si="10"/>
        <v/>
      </c>
      <c r="S116">
        <v>22</v>
      </c>
      <c r="T116">
        <f t="shared" ref="T116:Y116" si="43">IF($T70=0,T35,T70)</f>
        <v>70</v>
      </c>
      <c r="U116">
        <f t="shared" si="43"/>
        <v>25</v>
      </c>
      <c r="V116">
        <f t="shared" si="43"/>
        <v>0.49</v>
      </c>
      <c r="W116">
        <f t="shared" si="43"/>
        <v>18</v>
      </c>
      <c r="X116">
        <f t="shared" si="43"/>
        <v>8</v>
      </c>
      <c r="Y116" t="str">
        <f t="shared" si="43"/>
        <v>M13</v>
      </c>
      <c r="Z116">
        <f t="shared" ref="Z116:AC116" si="44">IF($T$52=0,Z35,Z70)</f>
        <v>542.5</v>
      </c>
      <c r="AA116">
        <f t="shared" si="44"/>
        <v>2847</v>
      </c>
      <c r="AB116">
        <f t="shared" si="44"/>
        <v>0</v>
      </c>
      <c r="AC116">
        <f t="shared" si="44"/>
        <v>7298</v>
      </c>
      <c r="AD116" t="s">
        <v>539</v>
      </c>
      <c r="BZ116" s="51"/>
      <c r="CB116" s="10"/>
      <c r="CI116" s="69"/>
    </row>
    <row r="117" spans="3:87">
      <c r="C117" t="str">
        <f t="shared" si="11"/>
        <v/>
      </c>
      <c r="D117">
        <v>108</v>
      </c>
      <c r="E117">
        <v>50</v>
      </c>
      <c r="F117">
        <f t="shared" si="7"/>
        <v>1085</v>
      </c>
      <c r="G117">
        <v>2563</v>
      </c>
      <c r="H117">
        <f t="shared" si="8"/>
        <v>3648</v>
      </c>
      <c r="I117">
        <f t="shared" si="12"/>
        <v>0</v>
      </c>
      <c r="J117">
        <v>9670</v>
      </c>
      <c r="K117">
        <f t="shared" si="13"/>
        <v>6907.1428571428569</v>
      </c>
      <c r="L117">
        <v>0.33</v>
      </c>
      <c r="M117">
        <v>3.1</v>
      </c>
      <c r="N117">
        <v>23</v>
      </c>
      <c r="O117">
        <v>4</v>
      </c>
      <c r="P117" t="s">
        <v>514</v>
      </c>
      <c r="Q117">
        <f t="shared" si="9"/>
        <v>108</v>
      </c>
      <c r="R117" t="str">
        <f t="shared" si="10"/>
        <v/>
      </c>
      <c r="S117">
        <v>23</v>
      </c>
      <c r="T117">
        <f t="shared" ref="T117:Y117" si="45">IF($T71=0,T36,T71)</f>
        <v>57</v>
      </c>
      <c r="U117">
        <f t="shared" si="45"/>
        <v>35</v>
      </c>
      <c r="V117">
        <f t="shared" si="45"/>
        <v>0.33</v>
      </c>
      <c r="W117">
        <f t="shared" si="45"/>
        <v>21</v>
      </c>
      <c r="X117">
        <f t="shared" si="45"/>
        <v>8</v>
      </c>
      <c r="Y117" t="str">
        <f t="shared" si="45"/>
        <v>M13</v>
      </c>
      <c r="Z117">
        <f t="shared" ref="Z117:AC117" si="46">IF($T$52=0,Z36,Z71)</f>
        <v>759.5</v>
      </c>
      <c r="AA117">
        <f t="shared" si="46"/>
        <v>2244</v>
      </c>
      <c r="AB117">
        <f t="shared" si="46"/>
        <v>0</v>
      </c>
      <c r="AC117">
        <f t="shared" si="46"/>
        <v>8880</v>
      </c>
      <c r="AD117" t="s">
        <v>546</v>
      </c>
      <c r="BZ117" s="51"/>
      <c r="CB117" s="10"/>
      <c r="CI117" s="69"/>
    </row>
    <row r="118" spans="3:87">
      <c r="C118" t="str">
        <f t="shared" si="11"/>
        <v/>
      </c>
      <c r="D118">
        <v>109</v>
      </c>
      <c r="E118">
        <v>50</v>
      </c>
      <c r="F118">
        <f t="shared" si="7"/>
        <v>1085</v>
      </c>
      <c r="G118">
        <v>2777</v>
      </c>
      <c r="H118">
        <f t="shared" si="8"/>
        <v>3862</v>
      </c>
      <c r="I118">
        <f t="shared" si="12"/>
        <v>0</v>
      </c>
      <c r="J118">
        <v>10475</v>
      </c>
      <c r="K118">
        <f t="shared" si="13"/>
        <v>7482.1428571428569</v>
      </c>
      <c r="L118">
        <v>0.49</v>
      </c>
      <c r="M118">
        <v>3.1</v>
      </c>
      <c r="N118">
        <v>22</v>
      </c>
      <c r="O118">
        <v>4</v>
      </c>
      <c r="P118" t="s">
        <v>555</v>
      </c>
      <c r="Q118">
        <f t="shared" si="9"/>
        <v>109</v>
      </c>
      <c r="R118" t="str">
        <f t="shared" si="10"/>
        <v/>
      </c>
      <c r="S118">
        <v>24</v>
      </c>
      <c r="T118">
        <f t="shared" ref="T118:Y118" si="47">IF($T72=0,T37,T72)</f>
        <v>130</v>
      </c>
      <c r="U118">
        <f t="shared" si="47"/>
        <v>55</v>
      </c>
      <c r="V118">
        <f t="shared" si="47"/>
        <v>0.38</v>
      </c>
      <c r="W118">
        <f t="shared" si="47"/>
        <v>22</v>
      </c>
      <c r="X118">
        <f t="shared" si="47"/>
        <v>8</v>
      </c>
      <c r="Y118" t="str">
        <f t="shared" si="47"/>
        <v>M23</v>
      </c>
      <c r="Z118">
        <f t="shared" ref="Z118:AC118" si="48">IF($T$52=0,Z37,Z72)</f>
        <v>1193.5</v>
      </c>
      <c r="AA118">
        <f t="shared" si="48"/>
        <v>1859</v>
      </c>
      <c r="AB118">
        <f t="shared" si="48"/>
        <v>0</v>
      </c>
      <c r="AC118">
        <f t="shared" si="48"/>
        <v>6454</v>
      </c>
      <c r="AD118" t="s">
        <v>547</v>
      </c>
      <c r="BZ118" s="51"/>
      <c r="CB118" s="10"/>
      <c r="CI118" s="69"/>
    </row>
    <row r="119" spans="3:87">
      <c r="C119" t="str">
        <f t="shared" si="11"/>
        <v>NL</v>
      </c>
      <c r="D119">
        <v>110</v>
      </c>
      <c r="E119">
        <v>50</v>
      </c>
      <c r="F119">
        <f t="shared" si="7"/>
        <v>1085</v>
      </c>
      <c r="G119">
        <v>2517</v>
      </c>
      <c r="H119">
        <f t="shared" si="8"/>
        <v>3602</v>
      </c>
      <c r="I119">
        <f t="shared" si="12"/>
        <v>0</v>
      </c>
      <c r="J119">
        <v>9496</v>
      </c>
      <c r="K119">
        <f t="shared" si="13"/>
        <v>6782.8571428571431</v>
      </c>
      <c r="L119">
        <v>0.21000000000000002</v>
      </c>
      <c r="M119">
        <v>3.8000000000000003</v>
      </c>
      <c r="N119">
        <v>21</v>
      </c>
      <c r="O119">
        <v>5</v>
      </c>
      <c r="P119" t="s">
        <v>514</v>
      </c>
      <c r="Q119" t="str">
        <f t="shared" si="9"/>
        <v/>
      </c>
      <c r="R119" t="str">
        <f t="shared" si="10"/>
        <v/>
      </c>
      <c r="S119">
        <v>25</v>
      </c>
      <c r="T119">
        <f t="shared" ref="T119:Y119" si="49">IF($T73=0,T38,T73)</f>
        <v>84</v>
      </c>
      <c r="U119">
        <f t="shared" si="49"/>
        <v>45</v>
      </c>
      <c r="V119">
        <f t="shared" si="49"/>
        <v>0.4</v>
      </c>
      <c r="W119">
        <f t="shared" si="49"/>
        <v>21</v>
      </c>
      <c r="X119">
        <f t="shared" si="49"/>
        <v>6</v>
      </c>
      <c r="Y119" t="str">
        <f t="shared" si="49"/>
        <v>M17</v>
      </c>
      <c r="Z119">
        <f t="shared" ref="Z119:AC119" si="50">IF($T$52=0,Z38,Z73)</f>
        <v>868</v>
      </c>
      <c r="AA119">
        <f t="shared" si="50"/>
        <v>2196</v>
      </c>
      <c r="AB119">
        <f t="shared" si="50"/>
        <v>0</v>
      </c>
      <c r="AC119">
        <f t="shared" si="50"/>
        <v>5543</v>
      </c>
      <c r="AD119" t="s">
        <v>548</v>
      </c>
      <c r="BZ119" s="51"/>
      <c r="CB119" s="10"/>
      <c r="CI119" s="69"/>
    </row>
    <row r="120" spans="3:87">
      <c r="C120" t="str">
        <f t="shared" si="11"/>
        <v>NL</v>
      </c>
      <c r="D120">
        <v>111</v>
      </c>
      <c r="E120">
        <v>50</v>
      </c>
      <c r="F120">
        <f t="shared" si="7"/>
        <v>1085</v>
      </c>
      <c r="G120">
        <v>2753</v>
      </c>
      <c r="H120">
        <f t="shared" si="8"/>
        <v>3838</v>
      </c>
      <c r="I120">
        <f t="shared" si="12"/>
        <v>0</v>
      </c>
      <c r="J120">
        <v>10388</v>
      </c>
      <c r="K120">
        <f t="shared" si="13"/>
        <v>7420</v>
      </c>
      <c r="L120">
        <v>0.31</v>
      </c>
      <c r="M120">
        <v>3.8000000000000003</v>
      </c>
      <c r="N120">
        <v>19</v>
      </c>
      <c r="O120">
        <v>5</v>
      </c>
      <c r="P120" t="s">
        <v>555</v>
      </c>
      <c r="Q120" t="str">
        <f t="shared" si="9"/>
        <v/>
      </c>
      <c r="R120" t="str">
        <f t="shared" si="10"/>
        <v/>
      </c>
      <c r="S120">
        <v>26</v>
      </c>
      <c r="T120">
        <f t="shared" ref="T120:Y120" si="51">IF($T74=0,T39,T74)</f>
        <v>154</v>
      </c>
      <c r="U120">
        <f t="shared" si="51"/>
        <v>65</v>
      </c>
      <c r="V120">
        <f t="shared" si="51"/>
        <v>0.53</v>
      </c>
      <c r="W120">
        <f t="shared" si="51"/>
        <v>25</v>
      </c>
      <c r="X120">
        <f t="shared" si="51"/>
        <v>8</v>
      </c>
      <c r="Y120" t="str">
        <f t="shared" si="51"/>
        <v>M23</v>
      </c>
      <c r="Z120">
        <f t="shared" ref="Z120:AC120" si="52">IF($T$52=0,Z39,Z74)</f>
        <v>1410.5</v>
      </c>
      <c r="AA120">
        <f t="shared" si="52"/>
        <v>1753</v>
      </c>
      <c r="AB120">
        <f t="shared" si="52"/>
        <v>0</v>
      </c>
      <c r="AC120">
        <f t="shared" si="52"/>
        <v>5822</v>
      </c>
      <c r="AD120" t="s">
        <v>549</v>
      </c>
      <c r="BZ120" s="51"/>
      <c r="CB120" s="10"/>
      <c r="CI120" s="69"/>
    </row>
    <row r="121" spans="3:87">
      <c r="C121" t="str">
        <f t="shared" si="11"/>
        <v>NL</v>
      </c>
      <c r="D121">
        <v>112</v>
      </c>
      <c r="E121">
        <v>50</v>
      </c>
      <c r="F121">
        <f t="shared" si="7"/>
        <v>1085</v>
      </c>
      <c r="G121">
        <v>3741</v>
      </c>
      <c r="H121">
        <f t="shared" si="8"/>
        <v>4826</v>
      </c>
      <c r="I121">
        <f t="shared" si="12"/>
        <v>0</v>
      </c>
      <c r="J121">
        <v>14112</v>
      </c>
      <c r="K121">
        <f t="shared" si="13"/>
        <v>10080</v>
      </c>
      <c r="L121">
        <v>0.69000000000000006</v>
      </c>
      <c r="M121">
        <v>3.8000000000000003</v>
      </c>
      <c r="N121">
        <v>25</v>
      </c>
      <c r="O121">
        <v>5</v>
      </c>
      <c r="P121" t="s">
        <v>513</v>
      </c>
      <c r="Q121" t="str">
        <f t="shared" si="9"/>
        <v/>
      </c>
      <c r="R121" t="str">
        <f t="shared" si="10"/>
        <v/>
      </c>
      <c r="S121">
        <v>27</v>
      </c>
      <c r="T121">
        <f t="shared" ref="T121:Y121" si="53">IF($T75=0,T40,T75)</f>
        <v>57</v>
      </c>
      <c r="U121">
        <f t="shared" si="53"/>
        <v>35</v>
      </c>
      <c r="V121">
        <f t="shared" si="53"/>
        <v>0.33</v>
      </c>
      <c r="W121">
        <f t="shared" si="53"/>
        <v>21</v>
      </c>
      <c r="X121">
        <f t="shared" si="53"/>
        <v>8</v>
      </c>
      <c r="Y121" t="str">
        <f t="shared" si="53"/>
        <v>M13</v>
      </c>
      <c r="Z121">
        <f t="shared" ref="Z121:AC121" si="54">IF($T$52=0,Z40,Z75)</f>
        <v>759.5</v>
      </c>
      <c r="AA121">
        <f t="shared" si="54"/>
        <v>2244</v>
      </c>
      <c r="AB121">
        <f t="shared" si="54"/>
        <v>0</v>
      </c>
      <c r="AC121">
        <f t="shared" si="54"/>
        <v>8880</v>
      </c>
      <c r="AD121" t="s">
        <v>550</v>
      </c>
      <c r="BZ121" s="51"/>
      <c r="CB121" s="10"/>
      <c r="CI121" s="69"/>
    </row>
    <row r="122" spans="3:87">
      <c r="C122" t="str">
        <f t="shared" si="11"/>
        <v/>
      </c>
      <c r="D122">
        <v>113</v>
      </c>
      <c r="E122">
        <v>50</v>
      </c>
      <c r="F122">
        <f t="shared" si="7"/>
        <v>1085</v>
      </c>
      <c r="G122">
        <v>2838</v>
      </c>
      <c r="H122">
        <f t="shared" si="8"/>
        <v>3923</v>
      </c>
      <c r="I122">
        <f t="shared" si="12"/>
        <v>0</v>
      </c>
      <c r="J122">
        <v>10708</v>
      </c>
      <c r="K122">
        <f t="shared" si="13"/>
        <v>7648.5714285714284</v>
      </c>
      <c r="L122">
        <v>0.22</v>
      </c>
      <c r="M122">
        <v>4.3999999999999995</v>
      </c>
      <c r="N122">
        <v>18</v>
      </c>
      <c r="O122">
        <v>6</v>
      </c>
      <c r="P122" t="s">
        <v>555</v>
      </c>
      <c r="Q122">
        <f t="shared" si="9"/>
        <v>113</v>
      </c>
      <c r="R122" t="str">
        <f t="shared" si="10"/>
        <v/>
      </c>
      <c r="S122">
        <v>28</v>
      </c>
      <c r="T122">
        <f t="shared" ref="T122:Y122" si="55">IF($T76=0,T41,T76)</f>
        <v>130</v>
      </c>
      <c r="U122">
        <f t="shared" si="55"/>
        <v>55</v>
      </c>
      <c r="V122">
        <f t="shared" si="55"/>
        <v>0.38</v>
      </c>
      <c r="W122">
        <f t="shared" si="55"/>
        <v>22</v>
      </c>
      <c r="X122">
        <f t="shared" si="55"/>
        <v>8</v>
      </c>
      <c r="Y122" t="str">
        <f t="shared" si="55"/>
        <v>M23</v>
      </c>
      <c r="Z122">
        <f t="shared" ref="Z122:AC122" si="56">IF($T$52=0,Z41,Z76)</f>
        <v>1193.5</v>
      </c>
      <c r="AA122">
        <f t="shared" si="56"/>
        <v>1859</v>
      </c>
      <c r="AB122">
        <f t="shared" si="56"/>
        <v>0</v>
      </c>
      <c r="AC122">
        <f t="shared" si="56"/>
        <v>6454</v>
      </c>
      <c r="AD122" t="s">
        <v>551</v>
      </c>
      <c r="BZ122" s="51"/>
      <c r="CB122" s="10"/>
      <c r="CI122" s="69"/>
    </row>
    <row r="123" spans="3:87">
      <c r="C123" t="str">
        <f t="shared" si="11"/>
        <v/>
      </c>
      <c r="D123">
        <v>114</v>
      </c>
      <c r="E123">
        <v>50</v>
      </c>
      <c r="F123">
        <f t="shared" si="7"/>
        <v>1085</v>
      </c>
      <c r="G123">
        <v>3637</v>
      </c>
      <c r="H123">
        <f t="shared" si="8"/>
        <v>4722</v>
      </c>
      <c r="I123">
        <f t="shared" si="12"/>
        <v>0</v>
      </c>
      <c r="J123">
        <v>13721</v>
      </c>
      <c r="K123">
        <f t="shared" si="13"/>
        <v>9800.7142857142862</v>
      </c>
      <c r="L123">
        <v>0.48</v>
      </c>
      <c r="M123">
        <v>4.3999999999999995</v>
      </c>
      <c r="N123">
        <v>24</v>
      </c>
      <c r="O123">
        <v>6</v>
      </c>
      <c r="P123" t="s">
        <v>513</v>
      </c>
      <c r="Q123">
        <f t="shared" si="9"/>
        <v>114</v>
      </c>
      <c r="R123" t="str">
        <f t="shared" si="10"/>
        <v/>
      </c>
      <c r="S123">
        <v>29</v>
      </c>
      <c r="T123">
        <f t="shared" ref="T123:Y123" si="57">IF($T77=0,T42,T77)</f>
        <v>84</v>
      </c>
      <c r="U123">
        <f t="shared" si="57"/>
        <v>45</v>
      </c>
      <c r="V123">
        <f t="shared" si="57"/>
        <v>0.4</v>
      </c>
      <c r="W123">
        <f t="shared" si="57"/>
        <v>21</v>
      </c>
      <c r="X123">
        <f t="shared" si="57"/>
        <v>6</v>
      </c>
      <c r="Y123" t="str">
        <f t="shared" si="57"/>
        <v>M17</v>
      </c>
      <c r="Z123">
        <f t="shared" ref="Z123:AC123" si="58">IF($T$52=0,Z42,Z77)</f>
        <v>868</v>
      </c>
      <c r="AA123">
        <f t="shared" si="58"/>
        <v>2196</v>
      </c>
      <c r="AB123">
        <f t="shared" si="58"/>
        <v>0</v>
      </c>
      <c r="AC123">
        <f t="shared" si="58"/>
        <v>5543</v>
      </c>
      <c r="AD123" t="s">
        <v>552</v>
      </c>
      <c r="BZ123" s="51"/>
      <c r="CB123" s="10"/>
      <c r="CI123" s="69"/>
    </row>
    <row r="124" spans="3:87">
      <c r="C124" t="str">
        <f t="shared" si="11"/>
        <v/>
      </c>
      <c r="D124">
        <v>115</v>
      </c>
      <c r="E124">
        <v>50</v>
      </c>
      <c r="F124">
        <f t="shared" si="7"/>
        <v>1085</v>
      </c>
      <c r="G124">
        <v>4821</v>
      </c>
      <c r="H124">
        <f t="shared" si="8"/>
        <v>5906</v>
      </c>
      <c r="I124">
        <f t="shared" si="12"/>
        <v>0</v>
      </c>
      <c r="J124">
        <v>18189</v>
      </c>
      <c r="K124">
        <f t="shared" si="13"/>
        <v>12992.142857142857</v>
      </c>
      <c r="L124">
        <v>0.94000000000000006</v>
      </c>
      <c r="M124">
        <v>4.3999999999999995</v>
      </c>
      <c r="N124">
        <v>24</v>
      </c>
      <c r="O124">
        <v>6</v>
      </c>
      <c r="P124" t="s">
        <v>512</v>
      </c>
      <c r="Q124" t="str">
        <f t="shared" si="9"/>
        <v/>
      </c>
      <c r="R124" t="str">
        <f t="shared" si="10"/>
        <v/>
      </c>
      <c r="S124">
        <v>30</v>
      </c>
      <c r="T124">
        <f t="shared" ref="T124:Y124" si="59">IF($T78=0,T43,T78)</f>
        <v>154</v>
      </c>
      <c r="U124">
        <f t="shared" si="59"/>
        <v>65</v>
      </c>
      <c r="V124">
        <f t="shared" si="59"/>
        <v>0.53</v>
      </c>
      <c r="W124">
        <f t="shared" si="59"/>
        <v>25</v>
      </c>
      <c r="X124">
        <f t="shared" si="59"/>
        <v>8</v>
      </c>
      <c r="Y124" t="str">
        <f t="shared" si="59"/>
        <v>M23</v>
      </c>
      <c r="Z124">
        <f t="shared" ref="Z124:AC124" si="60">IF($T$52=0,Z43,Z78)</f>
        <v>1410.5</v>
      </c>
      <c r="AA124">
        <f t="shared" si="60"/>
        <v>1753</v>
      </c>
      <c r="AB124">
        <f t="shared" si="60"/>
        <v>0</v>
      </c>
      <c r="AC124">
        <f t="shared" si="60"/>
        <v>5822</v>
      </c>
      <c r="AD124" t="s">
        <v>553</v>
      </c>
      <c r="BZ124" s="51"/>
      <c r="CB124" s="10"/>
      <c r="CI124" s="69"/>
    </row>
    <row r="125" spans="3:87">
      <c r="C125" t="str">
        <f t="shared" si="11"/>
        <v>NL</v>
      </c>
      <c r="D125">
        <v>116</v>
      </c>
      <c r="E125">
        <v>50</v>
      </c>
      <c r="F125">
        <f t="shared" si="7"/>
        <v>1085</v>
      </c>
      <c r="G125">
        <v>2996</v>
      </c>
      <c r="H125">
        <f t="shared" si="8"/>
        <v>4081</v>
      </c>
      <c r="I125">
        <f t="shared" si="12"/>
        <v>0</v>
      </c>
      <c r="J125">
        <v>11303</v>
      </c>
      <c r="K125">
        <f t="shared" si="13"/>
        <v>8073.5714285714284</v>
      </c>
      <c r="L125">
        <v>0.17</v>
      </c>
      <c r="M125">
        <v>5.0999999999999996</v>
      </c>
      <c r="N125">
        <v>17</v>
      </c>
      <c r="O125">
        <v>7</v>
      </c>
      <c r="P125" t="s">
        <v>555</v>
      </c>
      <c r="Q125" t="str">
        <f t="shared" si="9"/>
        <v/>
      </c>
      <c r="R125" t="str">
        <f t="shared" si="10"/>
        <v/>
      </c>
      <c r="BZ125" s="51"/>
      <c r="CB125" s="10"/>
      <c r="CI125" s="69"/>
    </row>
    <row r="126" spans="3:87">
      <c r="C126" t="str">
        <f t="shared" si="11"/>
        <v>NL</v>
      </c>
      <c r="D126">
        <v>117</v>
      </c>
      <c r="E126">
        <v>50</v>
      </c>
      <c r="F126">
        <f t="shared" si="7"/>
        <v>1085</v>
      </c>
      <c r="G126">
        <v>3885</v>
      </c>
      <c r="H126">
        <f t="shared" si="8"/>
        <v>4970</v>
      </c>
      <c r="I126">
        <f t="shared" si="12"/>
        <v>0</v>
      </c>
      <c r="J126">
        <v>14658</v>
      </c>
      <c r="K126">
        <f t="shared" si="13"/>
        <v>10470</v>
      </c>
      <c r="L126">
        <v>0.36</v>
      </c>
      <c r="M126">
        <v>5.0999999999999996</v>
      </c>
      <c r="N126">
        <v>23</v>
      </c>
      <c r="O126">
        <v>7</v>
      </c>
      <c r="P126" t="s">
        <v>513</v>
      </c>
      <c r="Q126" t="str">
        <f t="shared" si="9"/>
        <v/>
      </c>
      <c r="R126" t="str">
        <f t="shared" si="10"/>
        <v/>
      </c>
      <c r="BZ126" s="51"/>
      <c r="CB126" s="10"/>
      <c r="CI126" s="69"/>
    </row>
    <row r="127" spans="3:87">
      <c r="C127" t="str">
        <f t="shared" si="11"/>
        <v>NL</v>
      </c>
      <c r="D127">
        <v>118</v>
      </c>
      <c r="E127">
        <v>50</v>
      </c>
      <c r="F127">
        <f t="shared" si="7"/>
        <v>1085</v>
      </c>
      <c r="G127">
        <v>4732</v>
      </c>
      <c r="H127">
        <f t="shared" si="8"/>
        <v>5817</v>
      </c>
      <c r="I127">
        <f t="shared" si="12"/>
        <v>0</v>
      </c>
      <c r="J127">
        <v>17853</v>
      </c>
      <c r="K127">
        <f t="shared" si="13"/>
        <v>12752.142857142857</v>
      </c>
      <c r="L127">
        <v>0.7</v>
      </c>
      <c r="M127">
        <v>5.0999999999999996</v>
      </c>
      <c r="N127">
        <v>23</v>
      </c>
      <c r="O127">
        <v>7</v>
      </c>
      <c r="P127" t="s">
        <v>512</v>
      </c>
      <c r="Q127" t="str">
        <f t="shared" si="9"/>
        <v/>
      </c>
      <c r="R127" t="str">
        <f t="shared" si="10"/>
        <v/>
      </c>
      <c r="BZ127" s="51"/>
      <c r="CB127" s="10"/>
      <c r="CI127" s="69"/>
    </row>
    <row r="128" spans="3:87">
      <c r="C128" t="str">
        <f t="shared" si="11"/>
        <v/>
      </c>
      <c r="D128">
        <v>119</v>
      </c>
      <c r="E128">
        <v>50</v>
      </c>
      <c r="F128">
        <f t="shared" si="7"/>
        <v>1085</v>
      </c>
      <c r="G128">
        <v>4162</v>
      </c>
      <c r="H128">
        <f t="shared" si="8"/>
        <v>5247</v>
      </c>
      <c r="I128">
        <f t="shared" si="12"/>
        <v>0</v>
      </c>
      <c r="J128">
        <v>15703</v>
      </c>
      <c r="K128">
        <f t="shared" si="13"/>
        <v>11216.428571428572</v>
      </c>
      <c r="L128">
        <v>0.28000000000000003</v>
      </c>
      <c r="M128">
        <v>5.8</v>
      </c>
      <c r="N128">
        <v>21</v>
      </c>
      <c r="O128">
        <v>8</v>
      </c>
      <c r="P128" t="s">
        <v>513</v>
      </c>
      <c r="Q128">
        <f t="shared" si="9"/>
        <v>119</v>
      </c>
      <c r="R128" t="str">
        <f t="shared" si="10"/>
        <v/>
      </c>
      <c r="BZ128" s="51"/>
      <c r="CB128" s="10"/>
      <c r="CI128" s="69"/>
    </row>
    <row r="129" spans="3:87">
      <c r="C129" t="str">
        <f t="shared" si="11"/>
        <v/>
      </c>
      <c r="D129">
        <v>120</v>
      </c>
      <c r="E129">
        <v>50</v>
      </c>
      <c r="F129">
        <f t="shared" si="7"/>
        <v>1085</v>
      </c>
      <c r="G129">
        <v>4721</v>
      </c>
      <c r="H129">
        <f t="shared" si="8"/>
        <v>5806</v>
      </c>
      <c r="I129">
        <f t="shared" si="12"/>
        <v>0</v>
      </c>
      <c r="J129">
        <v>17810</v>
      </c>
      <c r="K129">
        <f t="shared" si="13"/>
        <v>12721.428571428572</v>
      </c>
      <c r="L129">
        <v>0.54</v>
      </c>
      <c r="M129">
        <v>5.8</v>
      </c>
      <c r="N129">
        <v>22</v>
      </c>
      <c r="O129">
        <v>8</v>
      </c>
      <c r="P129" t="s">
        <v>512</v>
      </c>
      <c r="Q129">
        <f t="shared" si="9"/>
        <v>120</v>
      </c>
      <c r="R129" t="str">
        <f t="shared" si="10"/>
        <v/>
      </c>
      <c r="BZ129" s="51"/>
      <c r="CB129" s="10"/>
      <c r="CI129" s="69"/>
    </row>
    <row r="130" spans="3:87">
      <c r="C130" t="str">
        <f t="shared" si="11"/>
        <v/>
      </c>
      <c r="D130">
        <v>121</v>
      </c>
      <c r="E130">
        <v>50</v>
      </c>
      <c r="F130">
        <f t="shared" si="7"/>
        <v>1085</v>
      </c>
      <c r="G130">
        <v>4448</v>
      </c>
      <c r="H130">
        <f t="shared" si="8"/>
        <v>5533</v>
      </c>
      <c r="I130">
        <f t="shared" si="12"/>
        <v>0</v>
      </c>
      <c r="J130">
        <v>16779</v>
      </c>
      <c r="K130">
        <f t="shared" si="13"/>
        <v>11985</v>
      </c>
      <c r="L130">
        <v>0.19</v>
      </c>
      <c r="M130">
        <v>7.1999999999999993</v>
      </c>
      <c r="N130">
        <v>21</v>
      </c>
      <c r="O130">
        <v>10</v>
      </c>
      <c r="P130" t="s">
        <v>513</v>
      </c>
      <c r="Q130" t="str">
        <f t="shared" si="9"/>
        <v/>
      </c>
      <c r="R130" t="str">
        <f t="shared" si="10"/>
        <v/>
      </c>
      <c r="BZ130" s="51"/>
      <c r="CB130" s="10"/>
      <c r="CI130" s="69"/>
    </row>
    <row r="131" spans="3:87">
      <c r="C131" t="str">
        <f t="shared" si="11"/>
        <v/>
      </c>
      <c r="D131">
        <v>122</v>
      </c>
      <c r="E131">
        <v>50</v>
      </c>
      <c r="F131">
        <f t="shared" si="7"/>
        <v>1085</v>
      </c>
      <c r="G131">
        <v>5222</v>
      </c>
      <c r="H131">
        <f t="shared" si="8"/>
        <v>6307</v>
      </c>
      <c r="I131">
        <f t="shared" si="12"/>
        <v>0</v>
      </c>
      <c r="J131">
        <v>19702</v>
      </c>
      <c r="K131">
        <f t="shared" si="13"/>
        <v>14072.857142857143</v>
      </c>
      <c r="L131">
        <v>0.36</v>
      </c>
      <c r="M131">
        <v>7.1999999999999993</v>
      </c>
      <c r="N131">
        <v>21</v>
      </c>
      <c r="O131">
        <v>10</v>
      </c>
      <c r="P131" t="s">
        <v>512</v>
      </c>
      <c r="Q131" t="str">
        <f t="shared" si="9"/>
        <v/>
      </c>
      <c r="R131" t="str">
        <f t="shared" si="10"/>
        <v/>
      </c>
      <c r="BZ131" s="51"/>
      <c r="CB131" s="10"/>
      <c r="CI131" s="69"/>
    </row>
    <row r="132" spans="3:87">
      <c r="C132" t="str">
        <f t="shared" si="11"/>
        <v/>
      </c>
      <c r="D132">
        <v>123</v>
      </c>
      <c r="E132">
        <v>55</v>
      </c>
      <c r="F132">
        <f t="shared" si="7"/>
        <v>1193.5</v>
      </c>
      <c r="G132">
        <v>1890</v>
      </c>
      <c r="H132">
        <f t="shared" si="8"/>
        <v>3083.5</v>
      </c>
      <c r="I132">
        <f t="shared" si="12"/>
        <v>0</v>
      </c>
      <c r="J132">
        <v>7131</v>
      </c>
      <c r="K132">
        <f t="shared" si="13"/>
        <v>5093.5714285714284</v>
      </c>
      <c r="L132">
        <v>0.48</v>
      </c>
      <c r="M132">
        <v>1.7000000000000002</v>
      </c>
      <c r="N132">
        <v>22</v>
      </c>
      <c r="O132">
        <v>2</v>
      </c>
      <c r="P132" t="s">
        <v>515</v>
      </c>
      <c r="Q132">
        <f t="shared" si="9"/>
        <v>123</v>
      </c>
      <c r="R132" t="str">
        <f t="shared" si="10"/>
        <v/>
      </c>
      <c r="BZ132" s="51"/>
      <c r="CB132" s="10"/>
      <c r="CI132" s="69"/>
    </row>
    <row r="133" spans="3:87">
      <c r="C133" t="str">
        <f t="shared" si="11"/>
        <v/>
      </c>
      <c r="D133">
        <v>124</v>
      </c>
      <c r="E133">
        <v>55</v>
      </c>
      <c r="F133">
        <f t="shared" si="7"/>
        <v>1193.5</v>
      </c>
      <c r="G133">
        <v>2093</v>
      </c>
      <c r="H133">
        <f t="shared" si="8"/>
        <v>3286.5</v>
      </c>
      <c r="I133">
        <f t="shared" si="12"/>
        <v>0</v>
      </c>
      <c r="J133">
        <v>7896</v>
      </c>
      <c r="K133">
        <f t="shared" si="13"/>
        <v>5640</v>
      </c>
      <c r="L133">
        <v>0.81</v>
      </c>
      <c r="M133">
        <v>1.7000000000000002</v>
      </c>
      <c r="N133">
        <v>25</v>
      </c>
      <c r="O133">
        <v>2</v>
      </c>
      <c r="P133" t="s">
        <v>556</v>
      </c>
      <c r="Q133" t="str">
        <f t="shared" si="9"/>
        <v/>
      </c>
      <c r="R133" t="str">
        <f t="shared" si="10"/>
        <v/>
      </c>
      <c r="BZ133" s="51"/>
      <c r="CB133" s="10"/>
      <c r="CI133" s="69"/>
    </row>
    <row r="134" spans="3:87">
      <c r="C134" t="str">
        <f t="shared" si="11"/>
        <v>NL</v>
      </c>
      <c r="D134">
        <v>125</v>
      </c>
      <c r="E134">
        <v>55</v>
      </c>
      <c r="F134">
        <f t="shared" si="7"/>
        <v>1193.5</v>
      </c>
      <c r="G134">
        <v>1857</v>
      </c>
      <c r="H134">
        <f t="shared" si="8"/>
        <v>3050.5</v>
      </c>
      <c r="I134">
        <f t="shared" si="12"/>
        <v>0</v>
      </c>
      <c r="J134">
        <v>7007</v>
      </c>
      <c r="K134">
        <f t="shared" si="13"/>
        <v>5005</v>
      </c>
      <c r="L134">
        <v>0.2</v>
      </c>
      <c r="M134">
        <v>2.4</v>
      </c>
      <c r="N134">
        <v>18</v>
      </c>
      <c r="O134">
        <v>3</v>
      </c>
      <c r="P134" t="s">
        <v>515</v>
      </c>
      <c r="Q134" t="str">
        <f t="shared" si="9"/>
        <v/>
      </c>
      <c r="R134" t="str">
        <f t="shared" si="10"/>
        <v/>
      </c>
      <c r="BZ134" s="51"/>
      <c r="CB134" s="10"/>
      <c r="CI134" s="69"/>
    </row>
    <row r="135" spans="3:87">
      <c r="C135" t="str">
        <f t="shared" si="11"/>
        <v>NL</v>
      </c>
      <c r="D135">
        <v>126</v>
      </c>
      <c r="E135">
        <v>55</v>
      </c>
      <c r="F135">
        <f t="shared" si="7"/>
        <v>1193.5</v>
      </c>
      <c r="G135">
        <v>2311</v>
      </c>
      <c r="H135">
        <f t="shared" si="8"/>
        <v>3504.5</v>
      </c>
      <c r="I135">
        <f t="shared" si="12"/>
        <v>0</v>
      </c>
      <c r="J135">
        <v>8720</v>
      </c>
      <c r="K135">
        <f t="shared" si="13"/>
        <v>6228.5714285714284</v>
      </c>
      <c r="L135">
        <v>0.34</v>
      </c>
      <c r="M135">
        <v>2.4</v>
      </c>
      <c r="N135">
        <v>21</v>
      </c>
      <c r="O135">
        <v>3</v>
      </c>
      <c r="P135" t="s">
        <v>556</v>
      </c>
      <c r="Q135" t="str">
        <f t="shared" si="9"/>
        <v/>
      </c>
      <c r="R135" t="str">
        <f t="shared" si="10"/>
        <v/>
      </c>
      <c r="BZ135" s="51"/>
      <c r="CB135" s="10"/>
      <c r="CI135" s="69"/>
    </row>
    <row r="136" spans="3:87">
      <c r="C136" t="str">
        <f t="shared" si="11"/>
        <v>NL</v>
      </c>
      <c r="D136">
        <v>127</v>
      </c>
      <c r="E136">
        <v>55</v>
      </c>
      <c r="F136">
        <f t="shared" si="7"/>
        <v>1193.5</v>
      </c>
      <c r="G136">
        <v>2864</v>
      </c>
      <c r="H136">
        <f t="shared" si="8"/>
        <v>4057.5</v>
      </c>
      <c r="I136">
        <f t="shared" si="12"/>
        <v>0</v>
      </c>
      <c r="J136">
        <v>10805</v>
      </c>
      <c r="K136">
        <f t="shared" si="13"/>
        <v>7717.8571428571431</v>
      </c>
      <c r="L136">
        <v>0.71</v>
      </c>
      <c r="M136">
        <v>2.4</v>
      </c>
      <c r="N136">
        <v>26</v>
      </c>
      <c r="O136">
        <v>3</v>
      </c>
      <c r="P136" t="s">
        <v>514</v>
      </c>
      <c r="Q136" t="str">
        <f t="shared" si="9"/>
        <v/>
      </c>
      <c r="R136" t="str">
        <f t="shared" si="10"/>
        <v/>
      </c>
      <c r="BZ136" s="51"/>
      <c r="CB136" s="10"/>
      <c r="CI136" s="69"/>
    </row>
    <row r="137" spans="3:87">
      <c r="C137" t="str">
        <f t="shared" si="11"/>
        <v>NL</v>
      </c>
      <c r="D137">
        <v>128</v>
      </c>
      <c r="E137">
        <v>55</v>
      </c>
      <c r="F137">
        <f t="shared" si="7"/>
        <v>1193.5</v>
      </c>
      <c r="G137">
        <v>3049</v>
      </c>
      <c r="H137">
        <f t="shared" si="8"/>
        <v>4242.5</v>
      </c>
      <c r="I137">
        <f t="shared" si="12"/>
        <v>0</v>
      </c>
      <c r="J137">
        <v>11503</v>
      </c>
      <c r="K137">
        <f t="shared" si="13"/>
        <v>8216.4285714285725</v>
      </c>
      <c r="L137">
        <v>1.05</v>
      </c>
      <c r="M137">
        <v>2.4</v>
      </c>
      <c r="N137">
        <v>25</v>
      </c>
      <c r="O137">
        <v>3</v>
      </c>
      <c r="P137" t="s">
        <v>555</v>
      </c>
      <c r="Q137" t="str">
        <f t="shared" si="9"/>
        <v/>
      </c>
      <c r="R137" t="str">
        <f t="shared" si="10"/>
        <v/>
      </c>
      <c r="BZ137" s="51"/>
      <c r="CB137" s="10"/>
      <c r="CI137" s="69"/>
    </row>
    <row r="138" spans="3:87">
      <c r="C138" t="str">
        <f t="shared" si="11"/>
        <v/>
      </c>
      <c r="D138">
        <v>129</v>
      </c>
      <c r="E138">
        <v>55</v>
      </c>
      <c r="F138">
        <f t="shared" ref="F138:F201" si="61">1.085*($A$2-$B$2)*E138*$T$7</f>
        <v>1193.5</v>
      </c>
      <c r="G138">
        <v>2168</v>
      </c>
      <c r="H138">
        <f t="shared" ref="H138:H201" si="62">(G138*$U$7)+F138</f>
        <v>3361.5</v>
      </c>
      <c r="I138">
        <f t="shared" si="12"/>
        <v>0</v>
      </c>
      <c r="J138">
        <v>8179</v>
      </c>
      <c r="K138">
        <f t="shared" si="13"/>
        <v>5842.1428571428569</v>
      </c>
      <c r="L138">
        <v>0.19</v>
      </c>
      <c r="M138">
        <v>3.1</v>
      </c>
      <c r="N138">
        <v>19</v>
      </c>
      <c r="O138">
        <v>4</v>
      </c>
      <c r="P138" t="s">
        <v>556</v>
      </c>
      <c r="Q138">
        <f t="shared" ref="Q138:Q201" si="63">IF(AND(H138+1&gt;$E$4,L138&lt;$L$4+0.01,M138&lt;$M$4+0.01,K138+1&gt;$F$4,E138+1&gt;$J$4,N138&lt;$K$4+1,O138&lt;$P$4+1,C138=""),D138,"")</f>
        <v>129</v>
      </c>
      <c r="R138" t="str">
        <f t="shared" ref="R138:R201" si="64">IF(Q138="","",IF(AND(O138&lt;$X$14,E138&gt;$U$14,E138&lt;$Q$4+$U$14+1),D138,""))</f>
        <v/>
      </c>
      <c r="BZ138" s="51"/>
      <c r="CB138" s="10"/>
      <c r="CI138" s="69"/>
    </row>
    <row r="139" spans="3:87">
      <c r="C139" t="str">
        <f t="shared" ref="C139:C202" si="65">IF(OR($O$4=0,O139-$O$4=0),IF(AND(ISEVEN(O139)=FALSE,$N$4="Even"),"NL",""),"NL")</f>
        <v/>
      </c>
      <c r="D139">
        <v>130</v>
      </c>
      <c r="E139">
        <v>55</v>
      </c>
      <c r="F139">
        <f t="shared" si="61"/>
        <v>1193.5</v>
      </c>
      <c r="G139">
        <v>2845</v>
      </c>
      <c r="H139">
        <f t="shared" si="62"/>
        <v>4038.5</v>
      </c>
      <c r="I139">
        <f t="shared" ref="I139:I202" si="66">1.085*($C$2-$D$2)*E139*$T$7</f>
        <v>0</v>
      </c>
      <c r="J139">
        <v>10733</v>
      </c>
      <c r="K139">
        <f t="shared" ref="K139:K202" si="67">(J139*$V$7)-I139</f>
        <v>7666.4285714285716</v>
      </c>
      <c r="L139">
        <v>0.4</v>
      </c>
      <c r="M139">
        <v>3.1</v>
      </c>
      <c r="N139">
        <v>24</v>
      </c>
      <c r="O139">
        <v>4</v>
      </c>
      <c r="P139" t="s">
        <v>514</v>
      </c>
      <c r="Q139">
        <f t="shared" si="63"/>
        <v>130</v>
      </c>
      <c r="R139" t="str">
        <f t="shared" si="64"/>
        <v/>
      </c>
      <c r="BZ139" s="51"/>
      <c r="CB139" s="10"/>
      <c r="CI139" s="69"/>
    </row>
    <row r="140" spans="3:87">
      <c r="C140" t="str">
        <f t="shared" si="65"/>
        <v/>
      </c>
      <c r="D140">
        <v>131</v>
      </c>
      <c r="E140">
        <v>55</v>
      </c>
      <c r="F140">
        <f t="shared" si="61"/>
        <v>1193.5</v>
      </c>
      <c r="G140">
        <v>3060</v>
      </c>
      <c r="H140">
        <f t="shared" si="62"/>
        <v>4253.5</v>
      </c>
      <c r="I140">
        <f t="shared" si="66"/>
        <v>0</v>
      </c>
      <c r="J140">
        <v>11543</v>
      </c>
      <c r="K140">
        <f t="shared" si="67"/>
        <v>8245</v>
      </c>
      <c r="L140">
        <v>0.59</v>
      </c>
      <c r="M140">
        <v>3.1</v>
      </c>
      <c r="N140">
        <v>23</v>
      </c>
      <c r="O140">
        <v>4</v>
      </c>
      <c r="P140" t="s">
        <v>555</v>
      </c>
      <c r="Q140">
        <f t="shared" si="63"/>
        <v>131</v>
      </c>
      <c r="R140" t="str">
        <f t="shared" si="64"/>
        <v/>
      </c>
      <c r="BZ140" s="51"/>
      <c r="CB140" s="10"/>
      <c r="CI140" s="69"/>
    </row>
    <row r="141" spans="3:87">
      <c r="C141" t="str">
        <f t="shared" si="65"/>
        <v>NL</v>
      </c>
      <c r="D141">
        <v>132</v>
      </c>
      <c r="E141">
        <v>55</v>
      </c>
      <c r="F141">
        <f t="shared" si="61"/>
        <v>1193.5</v>
      </c>
      <c r="G141">
        <v>2783</v>
      </c>
      <c r="H141">
        <f t="shared" si="62"/>
        <v>3976.5</v>
      </c>
      <c r="I141">
        <f t="shared" si="66"/>
        <v>0</v>
      </c>
      <c r="J141">
        <v>10498</v>
      </c>
      <c r="K141">
        <f t="shared" si="67"/>
        <v>7498.5714285714284</v>
      </c>
      <c r="L141">
        <v>0.26</v>
      </c>
      <c r="M141">
        <v>3.8000000000000003</v>
      </c>
      <c r="N141">
        <v>22</v>
      </c>
      <c r="O141">
        <v>5</v>
      </c>
      <c r="P141" t="s">
        <v>514</v>
      </c>
      <c r="Q141" t="str">
        <f t="shared" si="63"/>
        <v/>
      </c>
      <c r="R141" t="str">
        <f t="shared" si="64"/>
        <v/>
      </c>
      <c r="BZ141" s="51"/>
      <c r="CB141" s="10"/>
      <c r="CI141" s="69"/>
    </row>
    <row r="142" spans="3:87">
      <c r="C142" t="str">
        <f t="shared" si="65"/>
        <v>NL</v>
      </c>
      <c r="D142">
        <v>133</v>
      </c>
      <c r="E142">
        <v>55</v>
      </c>
      <c r="F142">
        <f t="shared" si="61"/>
        <v>1193.5</v>
      </c>
      <c r="G142">
        <v>3084</v>
      </c>
      <c r="H142">
        <f t="shared" si="62"/>
        <v>4277.5</v>
      </c>
      <c r="I142">
        <f t="shared" si="66"/>
        <v>0</v>
      </c>
      <c r="J142">
        <v>11637</v>
      </c>
      <c r="K142">
        <f t="shared" si="67"/>
        <v>8312.1428571428569</v>
      </c>
      <c r="L142">
        <v>0.37</v>
      </c>
      <c r="M142">
        <v>3.8000000000000003</v>
      </c>
      <c r="N142">
        <v>21</v>
      </c>
      <c r="O142">
        <v>5</v>
      </c>
      <c r="P142" t="s">
        <v>555</v>
      </c>
      <c r="Q142" t="str">
        <f t="shared" si="63"/>
        <v/>
      </c>
      <c r="R142" t="str">
        <f t="shared" si="64"/>
        <v/>
      </c>
      <c r="BZ142" s="51"/>
      <c r="CB142" s="10"/>
      <c r="CI142" s="69"/>
    </row>
    <row r="143" spans="3:87">
      <c r="C143" t="str">
        <f t="shared" si="65"/>
        <v>NL</v>
      </c>
      <c r="D143">
        <v>134</v>
      </c>
      <c r="E143">
        <v>55</v>
      </c>
      <c r="F143">
        <f t="shared" si="61"/>
        <v>1193.5</v>
      </c>
      <c r="G143">
        <v>4196</v>
      </c>
      <c r="H143">
        <f t="shared" si="62"/>
        <v>5389.5</v>
      </c>
      <c r="I143">
        <f t="shared" si="66"/>
        <v>0</v>
      </c>
      <c r="J143">
        <v>15831</v>
      </c>
      <c r="K143">
        <f t="shared" si="67"/>
        <v>11307.857142857143</v>
      </c>
      <c r="L143">
        <v>0.83</v>
      </c>
      <c r="M143">
        <v>3.8000000000000003</v>
      </c>
      <c r="N143">
        <v>26</v>
      </c>
      <c r="O143">
        <v>5</v>
      </c>
      <c r="P143" t="s">
        <v>513</v>
      </c>
      <c r="Q143" t="str">
        <f t="shared" si="63"/>
        <v/>
      </c>
      <c r="R143" t="str">
        <f t="shared" si="64"/>
        <v/>
      </c>
      <c r="BZ143" s="51"/>
      <c r="CB143" s="10"/>
      <c r="CI143" s="69"/>
    </row>
    <row r="144" spans="3:87">
      <c r="C144" t="str">
        <f t="shared" si="65"/>
        <v/>
      </c>
      <c r="D144">
        <v>135</v>
      </c>
      <c r="E144">
        <v>55</v>
      </c>
      <c r="F144">
        <f t="shared" si="61"/>
        <v>1193.5</v>
      </c>
      <c r="G144">
        <v>2796</v>
      </c>
      <c r="H144">
        <f t="shared" si="62"/>
        <v>3989.5</v>
      </c>
      <c r="I144">
        <f t="shared" si="66"/>
        <v>0</v>
      </c>
      <c r="J144">
        <v>10550</v>
      </c>
      <c r="K144">
        <f t="shared" si="67"/>
        <v>7535.7142857142862</v>
      </c>
      <c r="L144">
        <v>0.18000000000000002</v>
      </c>
      <c r="M144">
        <v>4.3999999999999995</v>
      </c>
      <c r="N144">
        <v>21</v>
      </c>
      <c r="O144">
        <v>6</v>
      </c>
      <c r="P144" t="s">
        <v>514</v>
      </c>
      <c r="Q144">
        <f t="shared" si="63"/>
        <v>135</v>
      </c>
      <c r="R144" t="str">
        <f t="shared" si="64"/>
        <v/>
      </c>
      <c r="BZ144" s="51"/>
      <c r="CB144" s="10"/>
      <c r="CI144" s="69"/>
    </row>
    <row r="145" spans="3:87">
      <c r="C145" t="str">
        <f t="shared" si="65"/>
        <v/>
      </c>
      <c r="D145">
        <v>136</v>
      </c>
      <c r="E145">
        <v>55</v>
      </c>
      <c r="F145">
        <f t="shared" si="61"/>
        <v>1193.5</v>
      </c>
      <c r="G145">
        <v>3064</v>
      </c>
      <c r="H145">
        <f t="shared" si="62"/>
        <v>4257.5</v>
      </c>
      <c r="I145">
        <f t="shared" si="66"/>
        <v>0</v>
      </c>
      <c r="J145">
        <v>11561</v>
      </c>
      <c r="K145">
        <f t="shared" si="67"/>
        <v>8257.8571428571431</v>
      </c>
      <c r="L145">
        <v>0.27</v>
      </c>
      <c r="M145">
        <v>4.3999999999999995</v>
      </c>
      <c r="N145">
        <v>20</v>
      </c>
      <c r="O145">
        <v>6</v>
      </c>
      <c r="P145" t="s">
        <v>555</v>
      </c>
      <c r="Q145">
        <f t="shared" si="63"/>
        <v>136</v>
      </c>
      <c r="R145" t="str">
        <f t="shared" si="64"/>
        <v/>
      </c>
      <c r="BZ145" s="51"/>
      <c r="CB145" s="10"/>
      <c r="CI145" s="69"/>
    </row>
    <row r="146" spans="3:87">
      <c r="C146" t="str">
        <f t="shared" si="65"/>
        <v/>
      </c>
      <c r="D146">
        <v>137</v>
      </c>
      <c r="E146">
        <v>55</v>
      </c>
      <c r="F146">
        <f t="shared" si="61"/>
        <v>1193.5</v>
      </c>
      <c r="G146">
        <v>4024</v>
      </c>
      <c r="H146">
        <f t="shared" si="62"/>
        <v>5217.5</v>
      </c>
      <c r="I146">
        <f t="shared" si="66"/>
        <v>0</v>
      </c>
      <c r="J146">
        <v>15182</v>
      </c>
      <c r="K146">
        <f t="shared" si="67"/>
        <v>10844.285714285714</v>
      </c>
      <c r="L146">
        <v>0.57999999999999996</v>
      </c>
      <c r="M146">
        <v>4.3999999999999995</v>
      </c>
      <c r="N146">
        <v>25</v>
      </c>
      <c r="O146">
        <v>6</v>
      </c>
      <c r="P146" t="s">
        <v>513</v>
      </c>
      <c r="Q146">
        <f t="shared" si="63"/>
        <v>137</v>
      </c>
      <c r="R146" t="str">
        <f t="shared" si="64"/>
        <v/>
      </c>
      <c r="BZ146" s="51"/>
      <c r="CB146" s="10"/>
      <c r="CI146" s="69"/>
    </row>
    <row r="147" spans="3:87">
      <c r="C147" t="str">
        <f t="shared" si="65"/>
        <v>NL</v>
      </c>
      <c r="D147">
        <v>138</v>
      </c>
      <c r="E147">
        <v>55</v>
      </c>
      <c r="F147">
        <f t="shared" si="61"/>
        <v>1193.5</v>
      </c>
      <c r="G147">
        <v>3192</v>
      </c>
      <c r="H147">
        <f t="shared" si="62"/>
        <v>4385.5</v>
      </c>
      <c r="I147">
        <f t="shared" si="66"/>
        <v>0</v>
      </c>
      <c r="J147">
        <v>12042</v>
      </c>
      <c r="K147">
        <f t="shared" si="67"/>
        <v>8601.4285714285725</v>
      </c>
      <c r="L147">
        <v>0.2</v>
      </c>
      <c r="M147">
        <v>5.0999999999999996</v>
      </c>
      <c r="N147">
        <v>19</v>
      </c>
      <c r="O147">
        <v>7</v>
      </c>
      <c r="P147" t="s">
        <v>555</v>
      </c>
      <c r="Q147" t="str">
        <f t="shared" si="63"/>
        <v/>
      </c>
      <c r="R147" t="str">
        <f t="shared" si="64"/>
        <v/>
      </c>
      <c r="BZ147" s="51"/>
      <c r="CB147" s="10"/>
      <c r="CI147" s="69"/>
    </row>
    <row r="148" spans="3:87">
      <c r="C148" t="str">
        <f t="shared" si="65"/>
        <v>NL</v>
      </c>
      <c r="D148">
        <v>139</v>
      </c>
      <c r="E148">
        <v>55</v>
      </c>
      <c r="F148">
        <f t="shared" si="61"/>
        <v>1193.5</v>
      </c>
      <c r="G148">
        <v>4172</v>
      </c>
      <c r="H148">
        <f t="shared" si="62"/>
        <v>5365.5</v>
      </c>
      <c r="I148">
        <f t="shared" si="66"/>
        <v>0</v>
      </c>
      <c r="J148">
        <v>15739</v>
      </c>
      <c r="K148">
        <f t="shared" si="67"/>
        <v>11242.142857142857</v>
      </c>
      <c r="L148">
        <v>0.43</v>
      </c>
      <c r="M148">
        <v>5.0999999999999996</v>
      </c>
      <c r="N148">
        <v>24</v>
      </c>
      <c r="O148">
        <v>7</v>
      </c>
      <c r="P148" t="s">
        <v>513</v>
      </c>
      <c r="Q148" t="str">
        <f t="shared" si="63"/>
        <v/>
      </c>
      <c r="R148" t="str">
        <f t="shared" si="64"/>
        <v/>
      </c>
      <c r="BZ148" s="51"/>
      <c r="CB148" s="10"/>
      <c r="CI148" s="69"/>
    </row>
    <row r="149" spans="3:87">
      <c r="C149" t="str">
        <f t="shared" si="65"/>
        <v>NL</v>
      </c>
      <c r="D149">
        <v>140</v>
      </c>
      <c r="E149">
        <v>55</v>
      </c>
      <c r="F149">
        <f t="shared" si="61"/>
        <v>1193.5</v>
      </c>
      <c r="G149">
        <v>5313</v>
      </c>
      <c r="H149">
        <f t="shared" si="62"/>
        <v>6506.5</v>
      </c>
      <c r="I149">
        <f t="shared" si="66"/>
        <v>0</v>
      </c>
      <c r="J149">
        <v>20044</v>
      </c>
      <c r="K149">
        <f t="shared" si="67"/>
        <v>14317.142857142857</v>
      </c>
      <c r="L149">
        <v>0.84</v>
      </c>
      <c r="M149">
        <v>5.0999999999999996</v>
      </c>
      <c r="N149">
        <v>24</v>
      </c>
      <c r="O149">
        <v>7</v>
      </c>
      <c r="P149" t="s">
        <v>512</v>
      </c>
      <c r="Q149" t="str">
        <f t="shared" si="63"/>
        <v/>
      </c>
      <c r="R149" t="str">
        <f t="shared" si="64"/>
        <v/>
      </c>
      <c r="BZ149" s="51"/>
      <c r="CB149" s="10"/>
      <c r="CI149" s="69"/>
    </row>
    <row r="150" spans="3:87">
      <c r="C150" t="str">
        <f t="shared" si="65"/>
        <v/>
      </c>
      <c r="D150">
        <v>141</v>
      </c>
      <c r="E150">
        <v>55</v>
      </c>
      <c r="F150">
        <f t="shared" si="61"/>
        <v>1193.5</v>
      </c>
      <c r="G150">
        <v>4353</v>
      </c>
      <c r="H150">
        <f t="shared" si="62"/>
        <v>5546.5</v>
      </c>
      <c r="I150">
        <f t="shared" si="66"/>
        <v>0</v>
      </c>
      <c r="J150">
        <v>16422</v>
      </c>
      <c r="K150">
        <f t="shared" si="67"/>
        <v>11730</v>
      </c>
      <c r="L150">
        <v>0.33</v>
      </c>
      <c r="M150">
        <v>5.8</v>
      </c>
      <c r="N150">
        <v>23</v>
      </c>
      <c r="O150">
        <v>8</v>
      </c>
      <c r="P150" t="s">
        <v>513</v>
      </c>
      <c r="Q150">
        <f t="shared" si="63"/>
        <v>141</v>
      </c>
      <c r="R150" t="str">
        <f t="shared" si="64"/>
        <v/>
      </c>
      <c r="BZ150" s="51"/>
      <c r="CB150" s="10"/>
      <c r="CI150" s="69"/>
    </row>
    <row r="151" spans="3:87">
      <c r="C151" t="str">
        <f t="shared" si="65"/>
        <v/>
      </c>
      <c r="D151">
        <v>142</v>
      </c>
      <c r="E151">
        <v>55</v>
      </c>
      <c r="F151">
        <f t="shared" si="61"/>
        <v>1193.5</v>
      </c>
      <c r="G151">
        <v>5057</v>
      </c>
      <c r="H151">
        <f t="shared" si="62"/>
        <v>6250.5</v>
      </c>
      <c r="I151">
        <f t="shared" si="66"/>
        <v>0</v>
      </c>
      <c r="J151">
        <v>19077</v>
      </c>
      <c r="K151">
        <f t="shared" si="67"/>
        <v>13626.428571428572</v>
      </c>
      <c r="L151">
        <v>0.66</v>
      </c>
      <c r="M151">
        <v>5.8</v>
      </c>
      <c r="N151">
        <v>23</v>
      </c>
      <c r="O151">
        <v>8</v>
      </c>
      <c r="P151" t="s">
        <v>512</v>
      </c>
      <c r="Q151">
        <f t="shared" si="63"/>
        <v>142</v>
      </c>
      <c r="R151" t="str">
        <f t="shared" si="64"/>
        <v/>
      </c>
      <c r="BZ151" s="51"/>
      <c r="CB151" s="10"/>
      <c r="CI151" s="69"/>
    </row>
    <row r="152" spans="3:87">
      <c r="C152" t="str">
        <f t="shared" si="65"/>
        <v/>
      </c>
      <c r="D152">
        <v>143</v>
      </c>
      <c r="E152">
        <v>55</v>
      </c>
      <c r="F152">
        <f t="shared" si="61"/>
        <v>1193.5</v>
      </c>
      <c r="G152">
        <v>4755</v>
      </c>
      <c r="H152">
        <f t="shared" si="62"/>
        <v>5948.5</v>
      </c>
      <c r="I152">
        <f t="shared" si="66"/>
        <v>0</v>
      </c>
      <c r="J152">
        <v>17937</v>
      </c>
      <c r="K152">
        <f t="shared" si="67"/>
        <v>12812.142857142857</v>
      </c>
      <c r="L152">
        <v>0.23</v>
      </c>
      <c r="M152">
        <v>7.1999999999999993</v>
      </c>
      <c r="N152">
        <v>22</v>
      </c>
      <c r="O152">
        <v>10</v>
      </c>
      <c r="P152" t="s">
        <v>513</v>
      </c>
      <c r="Q152" t="str">
        <f t="shared" si="63"/>
        <v/>
      </c>
      <c r="R152" t="str">
        <f t="shared" si="64"/>
        <v/>
      </c>
      <c r="BZ152" s="51"/>
      <c r="CB152" s="10"/>
      <c r="CI152" s="69"/>
    </row>
    <row r="153" spans="3:87">
      <c r="C153" t="str">
        <f t="shared" si="65"/>
        <v/>
      </c>
      <c r="D153">
        <v>144</v>
      </c>
      <c r="E153">
        <v>55</v>
      </c>
      <c r="F153">
        <f t="shared" si="61"/>
        <v>1193.5</v>
      </c>
      <c r="G153">
        <v>5406</v>
      </c>
      <c r="H153">
        <f t="shared" si="62"/>
        <v>6599.5</v>
      </c>
      <c r="I153">
        <f t="shared" si="66"/>
        <v>0</v>
      </c>
      <c r="J153">
        <v>20396</v>
      </c>
      <c r="K153">
        <f t="shared" si="67"/>
        <v>14568.571428571429</v>
      </c>
      <c r="L153">
        <v>0.43</v>
      </c>
      <c r="M153">
        <v>7.1999999999999993</v>
      </c>
      <c r="N153">
        <v>22</v>
      </c>
      <c r="O153">
        <v>10</v>
      </c>
      <c r="P153" t="s">
        <v>512</v>
      </c>
      <c r="Q153" t="str">
        <f t="shared" si="63"/>
        <v/>
      </c>
      <c r="R153" t="str">
        <f t="shared" si="64"/>
        <v/>
      </c>
      <c r="BZ153" s="51"/>
      <c r="CB153" s="10"/>
      <c r="CI153" s="69"/>
    </row>
    <row r="154" spans="3:87">
      <c r="C154" t="str">
        <f t="shared" si="65"/>
        <v/>
      </c>
      <c r="D154">
        <v>145</v>
      </c>
      <c r="E154">
        <v>60</v>
      </c>
      <c r="F154">
        <f t="shared" si="61"/>
        <v>1302</v>
      </c>
      <c r="G154">
        <v>2013</v>
      </c>
      <c r="H154">
        <f t="shared" si="62"/>
        <v>3315</v>
      </c>
      <c r="I154">
        <f t="shared" si="66"/>
        <v>0</v>
      </c>
      <c r="J154">
        <v>7595</v>
      </c>
      <c r="K154">
        <f t="shared" si="67"/>
        <v>5425</v>
      </c>
      <c r="L154">
        <v>0.57000000000000006</v>
      </c>
      <c r="M154">
        <v>1.7000000000000002</v>
      </c>
      <c r="N154">
        <v>23</v>
      </c>
      <c r="O154">
        <v>2</v>
      </c>
      <c r="P154" t="s">
        <v>515</v>
      </c>
      <c r="Q154">
        <f t="shared" si="63"/>
        <v>145</v>
      </c>
      <c r="R154" t="str">
        <f t="shared" si="64"/>
        <v/>
      </c>
      <c r="BZ154" s="51"/>
      <c r="CB154" s="10"/>
      <c r="CI154" s="69"/>
    </row>
    <row r="155" spans="3:87">
      <c r="C155" t="str">
        <f t="shared" si="65"/>
        <v/>
      </c>
      <c r="D155">
        <v>146</v>
      </c>
      <c r="E155">
        <v>60</v>
      </c>
      <c r="F155">
        <f t="shared" si="61"/>
        <v>1302</v>
      </c>
      <c r="G155">
        <v>2212</v>
      </c>
      <c r="H155">
        <f t="shared" si="62"/>
        <v>3514</v>
      </c>
      <c r="I155">
        <f t="shared" si="66"/>
        <v>0</v>
      </c>
      <c r="J155">
        <v>8346</v>
      </c>
      <c r="K155">
        <f t="shared" si="67"/>
        <v>5961.4285714285716</v>
      </c>
      <c r="L155">
        <v>0.96</v>
      </c>
      <c r="M155">
        <v>1.7000000000000002</v>
      </c>
      <c r="N155">
        <v>26</v>
      </c>
      <c r="O155">
        <v>2</v>
      </c>
      <c r="P155" t="s">
        <v>556</v>
      </c>
      <c r="Q155" t="str">
        <f t="shared" si="63"/>
        <v/>
      </c>
      <c r="R155" t="str">
        <f t="shared" si="64"/>
        <v/>
      </c>
      <c r="BZ155" s="51"/>
      <c r="CB155" s="10"/>
      <c r="CI155" s="69"/>
    </row>
    <row r="156" spans="3:87">
      <c r="C156" t="str">
        <f t="shared" si="65"/>
        <v>NL</v>
      </c>
      <c r="D156">
        <v>147</v>
      </c>
      <c r="E156">
        <v>60</v>
      </c>
      <c r="F156">
        <f t="shared" si="61"/>
        <v>1302</v>
      </c>
      <c r="G156">
        <v>2050</v>
      </c>
      <c r="H156">
        <f t="shared" si="62"/>
        <v>3352</v>
      </c>
      <c r="I156">
        <f t="shared" si="66"/>
        <v>0</v>
      </c>
      <c r="J156">
        <v>7736</v>
      </c>
      <c r="K156">
        <f t="shared" si="67"/>
        <v>5525.7142857142862</v>
      </c>
      <c r="L156">
        <v>0.24000000000000002</v>
      </c>
      <c r="M156">
        <v>2.4</v>
      </c>
      <c r="N156">
        <v>19</v>
      </c>
      <c r="O156">
        <v>3</v>
      </c>
      <c r="P156" t="s">
        <v>515</v>
      </c>
      <c r="Q156" t="str">
        <f t="shared" si="63"/>
        <v/>
      </c>
      <c r="R156" t="str">
        <f t="shared" si="64"/>
        <v/>
      </c>
      <c r="BZ156" s="51"/>
      <c r="CB156" s="10"/>
      <c r="CI156" s="69"/>
    </row>
    <row r="157" spans="3:87">
      <c r="C157" t="str">
        <f t="shared" si="65"/>
        <v>NL</v>
      </c>
      <c r="D157">
        <v>148</v>
      </c>
      <c r="E157">
        <v>60</v>
      </c>
      <c r="F157">
        <f t="shared" si="61"/>
        <v>1302</v>
      </c>
      <c r="G157">
        <v>2527</v>
      </c>
      <c r="H157">
        <f t="shared" si="62"/>
        <v>3829</v>
      </c>
      <c r="I157">
        <f t="shared" si="66"/>
        <v>0</v>
      </c>
      <c r="J157">
        <v>9533</v>
      </c>
      <c r="K157">
        <f t="shared" si="67"/>
        <v>6809.2857142857147</v>
      </c>
      <c r="L157">
        <v>0.4</v>
      </c>
      <c r="M157">
        <v>2.4</v>
      </c>
      <c r="N157">
        <v>22</v>
      </c>
      <c r="O157">
        <v>3</v>
      </c>
      <c r="P157" t="s">
        <v>556</v>
      </c>
      <c r="Q157" t="str">
        <f t="shared" si="63"/>
        <v/>
      </c>
      <c r="R157" t="str">
        <f t="shared" si="64"/>
        <v/>
      </c>
      <c r="BZ157" s="51"/>
      <c r="CB157" s="10"/>
      <c r="CI157" s="69"/>
    </row>
    <row r="158" spans="3:87">
      <c r="C158" t="str">
        <f t="shared" si="65"/>
        <v>NL</v>
      </c>
      <c r="D158">
        <v>149</v>
      </c>
      <c r="E158">
        <v>60</v>
      </c>
      <c r="F158">
        <f t="shared" si="61"/>
        <v>1302</v>
      </c>
      <c r="G158">
        <v>3065</v>
      </c>
      <c r="H158">
        <f t="shared" si="62"/>
        <v>4367</v>
      </c>
      <c r="I158">
        <f t="shared" si="66"/>
        <v>0</v>
      </c>
      <c r="J158">
        <v>11563</v>
      </c>
      <c r="K158">
        <f t="shared" si="67"/>
        <v>8259.2857142857138</v>
      </c>
      <c r="L158">
        <v>0.84</v>
      </c>
      <c r="M158">
        <v>2.4</v>
      </c>
      <c r="N158">
        <v>28</v>
      </c>
      <c r="O158">
        <v>3</v>
      </c>
      <c r="P158" t="s">
        <v>514</v>
      </c>
      <c r="Q158" t="str">
        <f t="shared" si="63"/>
        <v/>
      </c>
      <c r="R158" t="str">
        <f t="shared" si="64"/>
        <v/>
      </c>
      <c r="BZ158" s="51"/>
      <c r="CB158" s="10"/>
      <c r="CI158" s="69"/>
    </row>
    <row r="159" spans="3:87">
      <c r="C159" t="str">
        <f t="shared" si="65"/>
        <v/>
      </c>
      <c r="D159">
        <v>150</v>
      </c>
      <c r="E159">
        <v>60</v>
      </c>
      <c r="F159">
        <f t="shared" si="61"/>
        <v>1302</v>
      </c>
      <c r="G159">
        <v>2384</v>
      </c>
      <c r="H159">
        <f t="shared" si="62"/>
        <v>3686</v>
      </c>
      <c r="I159">
        <f t="shared" si="66"/>
        <v>0</v>
      </c>
      <c r="J159">
        <v>8993</v>
      </c>
      <c r="K159">
        <f t="shared" si="67"/>
        <v>6423.5714285714284</v>
      </c>
      <c r="L159">
        <v>0.23</v>
      </c>
      <c r="M159">
        <v>3.1</v>
      </c>
      <c r="N159">
        <v>20</v>
      </c>
      <c r="O159">
        <v>4</v>
      </c>
      <c r="P159" t="s">
        <v>556</v>
      </c>
      <c r="Q159">
        <f t="shared" si="63"/>
        <v>150</v>
      </c>
      <c r="R159" t="str">
        <f t="shared" si="64"/>
        <v/>
      </c>
      <c r="BZ159" s="51"/>
      <c r="CB159" s="10"/>
      <c r="CI159" s="69"/>
    </row>
    <row r="160" spans="3:87">
      <c r="C160" t="str">
        <f t="shared" si="65"/>
        <v/>
      </c>
      <c r="D160">
        <v>151</v>
      </c>
      <c r="E160">
        <v>60</v>
      </c>
      <c r="F160">
        <f t="shared" si="61"/>
        <v>1302</v>
      </c>
      <c r="G160">
        <v>3103</v>
      </c>
      <c r="H160">
        <f t="shared" si="62"/>
        <v>4405</v>
      </c>
      <c r="I160">
        <f t="shared" si="66"/>
        <v>0</v>
      </c>
      <c r="J160">
        <v>11709</v>
      </c>
      <c r="K160">
        <f t="shared" si="67"/>
        <v>8363.5714285714294</v>
      </c>
      <c r="L160">
        <v>0.48</v>
      </c>
      <c r="M160">
        <v>3.1</v>
      </c>
      <c r="N160">
        <v>25</v>
      </c>
      <c r="O160">
        <v>4</v>
      </c>
      <c r="P160" t="s">
        <v>514</v>
      </c>
      <c r="Q160">
        <f t="shared" si="63"/>
        <v>151</v>
      </c>
      <c r="R160" t="str">
        <f t="shared" si="64"/>
        <v/>
      </c>
      <c r="BZ160" s="51"/>
      <c r="CB160" s="10"/>
      <c r="CI160" s="69"/>
    </row>
    <row r="161" spans="3:87">
      <c r="C161" t="str">
        <f t="shared" si="65"/>
        <v/>
      </c>
      <c r="D161">
        <v>152</v>
      </c>
      <c r="E161">
        <v>60</v>
      </c>
      <c r="F161">
        <f t="shared" si="61"/>
        <v>1302</v>
      </c>
      <c r="G161">
        <v>3337</v>
      </c>
      <c r="H161">
        <f t="shared" si="62"/>
        <v>4639</v>
      </c>
      <c r="I161">
        <f t="shared" si="66"/>
        <v>0</v>
      </c>
      <c r="J161">
        <v>12589</v>
      </c>
      <c r="K161">
        <f t="shared" si="67"/>
        <v>8992.1428571428569</v>
      </c>
      <c r="L161">
        <v>0.7</v>
      </c>
      <c r="M161">
        <v>3.1</v>
      </c>
      <c r="N161">
        <v>24</v>
      </c>
      <c r="O161">
        <v>4</v>
      </c>
      <c r="P161" t="s">
        <v>555</v>
      </c>
      <c r="Q161">
        <f t="shared" si="63"/>
        <v>152</v>
      </c>
      <c r="R161" t="str">
        <f t="shared" si="64"/>
        <v/>
      </c>
      <c r="BZ161" s="51"/>
      <c r="CB161" s="10"/>
      <c r="CI161" s="69"/>
    </row>
    <row r="162" spans="3:87">
      <c r="C162" t="str">
        <f t="shared" si="65"/>
        <v>NL</v>
      </c>
      <c r="D162">
        <v>153</v>
      </c>
      <c r="E162">
        <v>60</v>
      </c>
      <c r="F162">
        <f t="shared" si="61"/>
        <v>1302</v>
      </c>
      <c r="G162">
        <v>3085</v>
      </c>
      <c r="H162">
        <f t="shared" si="62"/>
        <v>4387</v>
      </c>
      <c r="I162">
        <f t="shared" si="66"/>
        <v>0</v>
      </c>
      <c r="J162">
        <v>11641</v>
      </c>
      <c r="K162">
        <f t="shared" si="67"/>
        <v>8315</v>
      </c>
      <c r="L162">
        <v>0.31</v>
      </c>
      <c r="M162">
        <v>3.8000000000000003</v>
      </c>
      <c r="N162">
        <v>23</v>
      </c>
      <c r="O162">
        <v>5</v>
      </c>
      <c r="P162" t="s">
        <v>514</v>
      </c>
      <c r="Q162" t="str">
        <f t="shared" si="63"/>
        <v/>
      </c>
      <c r="R162" t="str">
        <f t="shared" si="64"/>
        <v/>
      </c>
      <c r="BZ162" s="51"/>
      <c r="CB162" s="10"/>
      <c r="CI162" s="69"/>
    </row>
    <row r="163" spans="3:87">
      <c r="C163" t="str">
        <f t="shared" si="65"/>
        <v>NL</v>
      </c>
      <c r="D163">
        <v>154</v>
      </c>
      <c r="E163">
        <v>60</v>
      </c>
      <c r="F163">
        <f t="shared" si="61"/>
        <v>1302</v>
      </c>
      <c r="G163">
        <v>3424</v>
      </c>
      <c r="H163">
        <f t="shared" si="62"/>
        <v>4726</v>
      </c>
      <c r="I163">
        <f t="shared" si="66"/>
        <v>0</v>
      </c>
      <c r="J163">
        <v>12919</v>
      </c>
      <c r="K163">
        <f t="shared" si="67"/>
        <v>9227.8571428571431</v>
      </c>
      <c r="L163">
        <v>0.44</v>
      </c>
      <c r="M163">
        <v>3.8000000000000003</v>
      </c>
      <c r="N163">
        <v>22</v>
      </c>
      <c r="O163">
        <v>5</v>
      </c>
      <c r="P163" t="s">
        <v>555</v>
      </c>
      <c r="Q163" t="str">
        <f t="shared" si="63"/>
        <v/>
      </c>
      <c r="R163" t="str">
        <f t="shared" si="64"/>
        <v/>
      </c>
      <c r="BZ163" s="51"/>
      <c r="CB163" s="10"/>
      <c r="CI163" s="69"/>
    </row>
    <row r="164" spans="3:87">
      <c r="C164" t="str">
        <f t="shared" si="65"/>
        <v>NL</v>
      </c>
      <c r="D164">
        <v>155</v>
      </c>
      <c r="E164">
        <v>60</v>
      </c>
      <c r="F164">
        <f t="shared" si="61"/>
        <v>1302</v>
      </c>
      <c r="G164">
        <v>4612</v>
      </c>
      <c r="H164">
        <f t="shared" si="62"/>
        <v>5914</v>
      </c>
      <c r="I164">
        <f t="shared" si="66"/>
        <v>0</v>
      </c>
      <c r="J164">
        <v>17401</v>
      </c>
      <c r="K164">
        <f t="shared" si="67"/>
        <v>12429.285714285714</v>
      </c>
      <c r="L164">
        <v>0.99</v>
      </c>
      <c r="M164">
        <v>3.8000000000000003</v>
      </c>
      <c r="N164">
        <v>28</v>
      </c>
      <c r="O164">
        <v>5</v>
      </c>
      <c r="P164" t="s">
        <v>513</v>
      </c>
      <c r="Q164" t="str">
        <f t="shared" si="63"/>
        <v/>
      </c>
      <c r="R164" t="str">
        <f t="shared" si="64"/>
        <v/>
      </c>
      <c r="BZ164" s="51"/>
      <c r="CB164" s="10"/>
      <c r="CI164" s="69"/>
    </row>
    <row r="165" spans="3:87">
      <c r="C165" t="str">
        <f t="shared" si="65"/>
        <v/>
      </c>
      <c r="D165">
        <v>156</v>
      </c>
      <c r="E165">
        <v>60</v>
      </c>
      <c r="F165">
        <f t="shared" si="61"/>
        <v>1302</v>
      </c>
      <c r="G165">
        <v>3000</v>
      </c>
      <c r="H165">
        <f t="shared" si="62"/>
        <v>4302</v>
      </c>
      <c r="I165">
        <f t="shared" si="66"/>
        <v>0</v>
      </c>
      <c r="J165">
        <v>11318</v>
      </c>
      <c r="K165">
        <f t="shared" si="67"/>
        <v>8084.2857142857147</v>
      </c>
      <c r="L165">
        <v>0.22</v>
      </c>
      <c r="M165">
        <v>4.3999999999999995</v>
      </c>
      <c r="N165">
        <v>22</v>
      </c>
      <c r="O165">
        <v>6</v>
      </c>
      <c r="P165" t="s">
        <v>514</v>
      </c>
      <c r="Q165">
        <f t="shared" si="63"/>
        <v>156</v>
      </c>
      <c r="R165" t="str">
        <f t="shared" si="64"/>
        <v/>
      </c>
      <c r="BZ165" s="51"/>
      <c r="CB165" s="10"/>
      <c r="CI165" s="69"/>
    </row>
    <row r="166" spans="3:87">
      <c r="C166" t="str">
        <f t="shared" si="65"/>
        <v/>
      </c>
      <c r="D166">
        <v>157</v>
      </c>
      <c r="E166">
        <v>60</v>
      </c>
      <c r="F166">
        <f t="shared" si="61"/>
        <v>1302</v>
      </c>
      <c r="G166">
        <v>3330</v>
      </c>
      <c r="H166">
        <f t="shared" si="62"/>
        <v>4632</v>
      </c>
      <c r="I166">
        <f t="shared" si="66"/>
        <v>0</v>
      </c>
      <c r="J166">
        <v>12563</v>
      </c>
      <c r="K166">
        <f t="shared" si="67"/>
        <v>8973.5714285714294</v>
      </c>
      <c r="L166">
        <v>0.32</v>
      </c>
      <c r="M166">
        <v>4.3999999999999995</v>
      </c>
      <c r="N166">
        <v>21</v>
      </c>
      <c r="O166">
        <v>6</v>
      </c>
      <c r="P166" t="s">
        <v>555</v>
      </c>
      <c r="Q166">
        <f t="shared" si="63"/>
        <v>157</v>
      </c>
      <c r="R166" t="str">
        <f t="shared" si="64"/>
        <v/>
      </c>
      <c r="BZ166" s="51"/>
      <c r="CB166" s="10"/>
      <c r="CI166" s="69"/>
    </row>
    <row r="167" spans="3:87">
      <c r="C167" t="str">
        <f t="shared" si="65"/>
        <v/>
      </c>
      <c r="D167">
        <v>158</v>
      </c>
      <c r="E167">
        <v>60</v>
      </c>
      <c r="F167">
        <f t="shared" si="61"/>
        <v>1302</v>
      </c>
      <c r="G167">
        <v>4501</v>
      </c>
      <c r="H167">
        <f t="shared" si="62"/>
        <v>5803</v>
      </c>
      <c r="I167">
        <f t="shared" si="66"/>
        <v>0</v>
      </c>
      <c r="J167">
        <v>16982</v>
      </c>
      <c r="K167">
        <f t="shared" si="67"/>
        <v>12130</v>
      </c>
      <c r="L167">
        <v>0.69000000000000006</v>
      </c>
      <c r="M167">
        <v>4.3999999999999995</v>
      </c>
      <c r="N167">
        <v>26</v>
      </c>
      <c r="O167">
        <v>6</v>
      </c>
      <c r="P167" t="s">
        <v>513</v>
      </c>
      <c r="Q167">
        <f t="shared" si="63"/>
        <v>158</v>
      </c>
      <c r="R167" t="str">
        <f t="shared" si="64"/>
        <v/>
      </c>
      <c r="BZ167" s="51"/>
      <c r="CB167" s="10"/>
      <c r="CI167" s="69"/>
    </row>
    <row r="168" spans="3:87">
      <c r="C168" t="str">
        <f t="shared" si="65"/>
        <v>NL</v>
      </c>
      <c r="D168">
        <v>159</v>
      </c>
      <c r="E168">
        <v>60</v>
      </c>
      <c r="F168">
        <f t="shared" si="61"/>
        <v>1302</v>
      </c>
      <c r="G168">
        <v>3401</v>
      </c>
      <c r="H168">
        <f t="shared" si="62"/>
        <v>4703</v>
      </c>
      <c r="I168">
        <f t="shared" si="66"/>
        <v>0</v>
      </c>
      <c r="J168">
        <v>12831</v>
      </c>
      <c r="K168">
        <f t="shared" si="67"/>
        <v>9165</v>
      </c>
      <c r="L168">
        <v>0.24000000000000002</v>
      </c>
      <c r="M168">
        <v>5.0999999999999996</v>
      </c>
      <c r="N168">
        <v>20</v>
      </c>
      <c r="O168">
        <v>7</v>
      </c>
      <c r="P168" t="s">
        <v>555</v>
      </c>
      <c r="Q168" t="str">
        <f t="shared" si="63"/>
        <v/>
      </c>
      <c r="R168" t="str">
        <f t="shared" si="64"/>
        <v/>
      </c>
      <c r="BZ168" s="51"/>
      <c r="CB168" s="10"/>
      <c r="CI168" s="69"/>
    </row>
    <row r="169" spans="3:87">
      <c r="C169" t="str">
        <f t="shared" si="65"/>
        <v>NL</v>
      </c>
      <c r="D169">
        <v>160</v>
      </c>
      <c r="E169">
        <v>60</v>
      </c>
      <c r="F169">
        <f t="shared" si="61"/>
        <v>1302</v>
      </c>
      <c r="G169">
        <v>4463</v>
      </c>
      <c r="H169">
        <f t="shared" si="62"/>
        <v>5765</v>
      </c>
      <c r="I169">
        <f t="shared" si="66"/>
        <v>0</v>
      </c>
      <c r="J169">
        <v>16838</v>
      </c>
      <c r="K169">
        <f t="shared" si="67"/>
        <v>12027.142857142857</v>
      </c>
      <c r="L169">
        <v>0.51</v>
      </c>
      <c r="M169">
        <v>5.0999999999999996</v>
      </c>
      <c r="N169">
        <v>25</v>
      </c>
      <c r="O169">
        <v>7</v>
      </c>
      <c r="P169" t="s">
        <v>513</v>
      </c>
      <c r="Q169" t="str">
        <f t="shared" si="63"/>
        <v/>
      </c>
      <c r="R169" t="str">
        <f t="shared" si="64"/>
        <v/>
      </c>
      <c r="BZ169" s="51"/>
      <c r="CB169" s="10"/>
      <c r="CI169" s="69"/>
    </row>
    <row r="170" spans="3:87">
      <c r="C170" t="str">
        <f t="shared" si="65"/>
        <v>NL</v>
      </c>
      <c r="D170">
        <v>161</v>
      </c>
      <c r="E170">
        <v>60</v>
      </c>
      <c r="F170">
        <f t="shared" si="61"/>
        <v>1302</v>
      </c>
      <c r="G170">
        <v>5920</v>
      </c>
      <c r="H170">
        <f t="shared" si="62"/>
        <v>7222</v>
      </c>
      <c r="I170">
        <f t="shared" si="66"/>
        <v>0</v>
      </c>
      <c r="J170">
        <v>22334</v>
      </c>
      <c r="K170">
        <f t="shared" si="67"/>
        <v>15952.857142857143</v>
      </c>
      <c r="L170">
        <v>1</v>
      </c>
      <c r="M170">
        <v>5.0999999999999996</v>
      </c>
      <c r="N170">
        <v>26</v>
      </c>
      <c r="O170">
        <v>7</v>
      </c>
      <c r="P170" t="s">
        <v>512</v>
      </c>
      <c r="Q170" t="str">
        <f t="shared" si="63"/>
        <v/>
      </c>
      <c r="R170" t="str">
        <f t="shared" si="64"/>
        <v/>
      </c>
      <c r="BZ170" s="51"/>
      <c r="CB170" s="10"/>
      <c r="CI170" s="69"/>
    </row>
    <row r="171" spans="3:87">
      <c r="C171" t="str">
        <f t="shared" si="65"/>
        <v/>
      </c>
      <c r="D171">
        <v>162</v>
      </c>
      <c r="E171">
        <v>60</v>
      </c>
      <c r="F171">
        <f t="shared" si="61"/>
        <v>1302</v>
      </c>
      <c r="G171">
        <v>3629</v>
      </c>
      <c r="H171">
        <f t="shared" si="62"/>
        <v>4931</v>
      </c>
      <c r="I171">
        <f t="shared" si="66"/>
        <v>0</v>
      </c>
      <c r="J171">
        <v>13690</v>
      </c>
      <c r="K171">
        <f t="shared" si="67"/>
        <v>9778.5714285714294</v>
      </c>
      <c r="L171">
        <v>0.19</v>
      </c>
      <c r="M171">
        <v>5.8</v>
      </c>
      <c r="N171">
        <v>19</v>
      </c>
      <c r="O171">
        <v>8</v>
      </c>
      <c r="P171" t="s">
        <v>555</v>
      </c>
      <c r="Q171">
        <f t="shared" si="63"/>
        <v>162</v>
      </c>
      <c r="R171" t="str">
        <f t="shared" si="64"/>
        <v/>
      </c>
      <c r="BZ171" s="51"/>
      <c r="CB171" s="10"/>
      <c r="CI171" s="69"/>
    </row>
    <row r="172" spans="3:87">
      <c r="C172" t="str">
        <f t="shared" si="65"/>
        <v/>
      </c>
      <c r="D172">
        <v>163</v>
      </c>
      <c r="E172">
        <v>60</v>
      </c>
      <c r="F172">
        <f t="shared" si="61"/>
        <v>1302</v>
      </c>
      <c r="G172">
        <v>4565</v>
      </c>
      <c r="H172">
        <f t="shared" si="62"/>
        <v>5867</v>
      </c>
      <c r="I172">
        <f t="shared" si="66"/>
        <v>0</v>
      </c>
      <c r="J172">
        <v>17223</v>
      </c>
      <c r="K172">
        <f t="shared" si="67"/>
        <v>12302.142857142857</v>
      </c>
      <c r="L172">
        <v>0.39</v>
      </c>
      <c r="M172">
        <v>5.8</v>
      </c>
      <c r="N172">
        <v>24</v>
      </c>
      <c r="O172">
        <v>8</v>
      </c>
      <c r="P172" t="s">
        <v>513</v>
      </c>
      <c r="Q172">
        <f t="shared" si="63"/>
        <v>163</v>
      </c>
      <c r="R172" t="str">
        <f t="shared" si="64"/>
        <v/>
      </c>
      <c r="BZ172" s="51"/>
      <c r="CB172" s="10"/>
      <c r="CI172" s="69"/>
    </row>
    <row r="173" spans="3:87">
      <c r="C173" t="str">
        <f t="shared" si="65"/>
        <v/>
      </c>
      <c r="D173">
        <v>164</v>
      </c>
      <c r="E173">
        <v>60</v>
      </c>
      <c r="F173">
        <f t="shared" si="61"/>
        <v>1302</v>
      </c>
      <c r="G173">
        <v>5471</v>
      </c>
      <c r="H173">
        <f t="shared" si="62"/>
        <v>6773</v>
      </c>
      <c r="I173">
        <f t="shared" si="66"/>
        <v>0</v>
      </c>
      <c r="J173">
        <v>20638</v>
      </c>
      <c r="K173">
        <f t="shared" si="67"/>
        <v>14741.428571428572</v>
      </c>
      <c r="L173">
        <v>0.78</v>
      </c>
      <c r="M173">
        <v>5.8</v>
      </c>
      <c r="N173">
        <v>25</v>
      </c>
      <c r="O173">
        <v>8</v>
      </c>
      <c r="P173" t="s">
        <v>512</v>
      </c>
      <c r="Q173" t="str">
        <f t="shared" si="63"/>
        <v/>
      </c>
      <c r="R173" t="str">
        <f t="shared" si="64"/>
        <v/>
      </c>
      <c r="BZ173" s="51"/>
      <c r="CB173" s="10"/>
      <c r="CI173" s="69"/>
    </row>
    <row r="174" spans="3:87">
      <c r="C174" t="str">
        <f t="shared" si="65"/>
        <v/>
      </c>
      <c r="D174">
        <v>165</v>
      </c>
      <c r="E174">
        <v>60</v>
      </c>
      <c r="F174">
        <f t="shared" si="61"/>
        <v>1302</v>
      </c>
      <c r="G174">
        <v>4988</v>
      </c>
      <c r="H174">
        <f t="shared" si="62"/>
        <v>6290</v>
      </c>
      <c r="I174">
        <f t="shared" si="66"/>
        <v>0</v>
      </c>
      <c r="J174">
        <v>18818</v>
      </c>
      <c r="K174">
        <f t="shared" si="67"/>
        <v>13441.428571428572</v>
      </c>
      <c r="L174">
        <v>0.27</v>
      </c>
      <c r="M174">
        <v>7.1999999999999993</v>
      </c>
      <c r="N174">
        <v>23</v>
      </c>
      <c r="O174">
        <v>10</v>
      </c>
      <c r="P174" t="s">
        <v>513</v>
      </c>
      <c r="Q174" t="str">
        <f t="shared" si="63"/>
        <v/>
      </c>
      <c r="R174" t="str">
        <f t="shared" si="64"/>
        <v/>
      </c>
      <c r="BZ174" s="51"/>
      <c r="CB174" s="10"/>
      <c r="CI174" s="69"/>
    </row>
    <row r="175" spans="3:87">
      <c r="C175" t="str">
        <f t="shared" si="65"/>
        <v/>
      </c>
      <c r="D175">
        <v>166</v>
      </c>
      <c r="E175">
        <v>60</v>
      </c>
      <c r="F175">
        <f t="shared" si="61"/>
        <v>1302</v>
      </c>
      <c r="G175">
        <v>5590</v>
      </c>
      <c r="H175">
        <f t="shared" si="62"/>
        <v>6892</v>
      </c>
      <c r="I175">
        <f t="shared" si="66"/>
        <v>0</v>
      </c>
      <c r="J175">
        <v>21089</v>
      </c>
      <c r="K175">
        <f t="shared" si="67"/>
        <v>15063.571428571429</v>
      </c>
      <c r="L175">
        <v>0.51</v>
      </c>
      <c r="M175">
        <v>7.1999999999999993</v>
      </c>
      <c r="N175">
        <v>23</v>
      </c>
      <c r="O175">
        <v>10</v>
      </c>
      <c r="P175" t="s">
        <v>512</v>
      </c>
      <c r="Q175" t="str">
        <f t="shared" si="63"/>
        <v/>
      </c>
      <c r="R175" t="str">
        <f t="shared" si="64"/>
        <v/>
      </c>
      <c r="BZ175" s="51"/>
      <c r="CB175" s="10"/>
      <c r="CI175" s="69"/>
    </row>
    <row r="176" spans="3:87">
      <c r="C176" t="str">
        <f t="shared" si="65"/>
        <v/>
      </c>
      <c r="D176">
        <v>167</v>
      </c>
      <c r="E176">
        <v>65</v>
      </c>
      <c r="F176">
        <f t="shared" si="61"/>
        <v>1410.5</v>
      </c>
      <c r="G176">
        <v>2113</v>
      </c>
      <c r="H176">
        <f t="shared" si="62"/>
        <v>3523.5</v>
      </c>
      <c r="I176">
        <f t="shared" si="66"/>
        <v>0</v>
      </c>
      <c r="J176">
        <v>7974</v>
      </c>
      <c r="K176">
        <f t="shared" si="67"/>
        <v>5695.7142857142862</v>
      </c>
      <c r="L176">
        <v>0.67</v>
      </c>
      <c r="M176">
        <v>1.7000000000000002</v>
      </c>
      <c r="N176">
        <v>24</v>
      </c>
      <c r="O176">
        <v>2</v>
      </c>
      <c r="P176" t="s">
        <v>515</v>
      </c>
      <c r="Q176">
        <f t="shared" si="63"/>
        <v>167</v>
      </c>
      <c r="R176" t="str">
        <f t="shared" si="64"/>
        <v/>
      </c>
      <c r="BZ176" s="51"/>
      <c r="CB176" s="10"/>
      <c r="CI176" s="69"/>
    </row>
    <row r="177" spans="3:87">
      <c r="C177" t="str">
        <f t="shared" si="65"/>
        <v>NL</v>
      </c>
      <c r="D177">
        <v>168</v>
      </c>
      <c r="E177">
        <v>65</v>
      </c>
      <c r="F177">
        <f t="shared" si="61"/>
        <v>1410.5</v>
      </c>
      <c r="G177">
        <v>2234</v>
      </c>
      <c r="H177">
        <f t="shared" si="62"/>
        <v>3644.5</v>
      </c>
      <c r="I177">
        <f t="shared" si="66"/>
        <v>0</v>
      </c>
      <c r="J177">
        <v>8427</v>
      </c>
      <c r="K177">
        <f t="shared" si="67"/>
        <v>6019.2857142857147</v>
      </c>
      <c r="L177">
        <v>0.28000000000000003</v>
      </c>
      <c r="M177">
        <v>2.4</v>
      </c>
      <c r="N177">
        <v>20</v>
      </c>
      <c r="O177">
        <v>3</v>
      </c>
      <c r="P177" t="s">
        <v>515</v>
      </c>
      <c r="Q177" t="str">
        <f t="shared" si="63"/>
        <v/>
      </c>
      <c r="R177" t="str">
        <f t="shared" si="64"/>
        <v/>
      </c>
      <c r="BZ177" s="51"/>
      <c r="CB177" s="10"/>
      <c r="CI177" s="69"/>
    </row>
    <row r="178" spans="3:87">
      <c r="C178" t="str">
        <f t="shared" si="65"/>
        <v>NL</v>
      </c>
      <c r="D178">
        <v>169</v>
      </c>
      <c r="E178">
        <v>65</v>
      </c>
      <c r="F178">
        <f t="shared" si="61"/>
        <v>1410.5</v>
      </c>
      <c r="G178">
        <v>2710</v>
      </c>
      <c r="H178">
        <f t="shared" si="62"/>
        <v>4120.5</v>
      </c>
      <c r="I178">
        <f t="shared" si="66"/>
        <v>0</v>
      </c>
      <c r="J178">
        <v>10223</v>
      </c>
      <c r="K178">
        <f t="shared" si="67"/>
        <v>7302.1428571428569</v>
      </c>
      <c r="L178">
        <v>0.47000000000000003</v>
      </c>
      <c r="M178">
        <v>2.4</v>
      </c>
      <c r="N178">
        <v>23</v>
      </c>
      <c r="O178">
        <v>3</v>
      </c>
      <c r="P178" t="s">
        <v>556</v>
      </c>
      <c r="Q178" t="str">
        <f t="shared" si="63"/>
        <v/>
      </c>
      <c r="R178" t="str">
        <f t="shared" si="64"/>
        <v/>
      </c>
      <c r="BZ178" s="51"/>
      <c r="CB178" s="10"/>
      <c r="CI178" s="69"/>
    </row>
    <row r="179" spans="3:87">
      <c r="C179" t="str">
        <f t="shared" si="65"/>
        <v>NL</v>
      </c>
      <c r="D179">
        <v>170</v>
      </c>
      <c r="E179">
        <v>65</v>
      </c>
      <c r="F179">
        <f t="shared" si="61"/>
        <v>1410.5</v>
      </c>
      <c r="G179">
        <v>3212</v>
      </c>
      <c r="H179">
        <f t="shared" si="62"/>
        <v>4622.5</v>
      </c>
      <c r="I179">
        <f t="shared" si="66"/>
        <v>0</v>
      </c>
      <c r="J179">
        <v>12119</v>
      </c>
      <c r="K179">
        <f t="shared" si="67"/>
        <v>8656.4285714285725</v>
      </c>
      <c r="L179">
        <v>0.99</v>
      </c>
      <c r="M179">
        <v>2.4</v>
      </c>
      <c r="N179">
        <v>29</v>
      </c>
      <c r="O179">
        <v>3</v>
      </c>
      <c r="P179" t="s">
        <v>514</v>
      </c>
      <c r="Q179" t="str">
        <f t="shared" si="63"/>
        <v/>
      </c>
      <c r="R179" t="str">
        <f t="shared" si="64"/>
        <v/>
      </c>
      <c r="BZ179" s="51"/>
      <c r="CB179" s="10"/>
      <c r="CI179" s="69"/>
    </row>
    <row r="180" spans="3:87">
      <c r="C180" t="str">
        <f t="shared" si="65"/>
        <v/>
      </c>
      <c r="D180">
        <v>171</v>
      </c>
      <c r="E180">
        <v>65</v>
      </c>
      <c r="F180">
        <f t="shared" si="61"/>
        <v>1410.5</v>
      </c>
      <c r="G180">
        <v>2604</v>
      </c>
      <c r="H180">
        <f t="shared" si="62"/>
        <v>4014.5</v>
      </c>
      <c r="I180">
        <f t="shared" si="66"/>
        <v>0</v>
      </c>
      <c r="J180">
        <v>9824</v>
      </c>
      <c r="K180">
        <f t="shared" si="67"/>
        <v>7017.1428571428569</v>
      </c>
      <c r="L180">
        <v>0.27</v>
      </c>
      <c r="M180">
        <v>3.1</v>
      </c>
      <c r="N180">
        <v>21</v>
      </c>
      <c r="O180">
        <v>4</v>
      </c>
      <c r="P180" t="s">
        <v>556</v>
      </c>
      <c r="Q180">
        <f t="shared" si="63"/>
        <v>171</v>
      </c>
      <c r="R180" t="str">
        <f t="shared" si="64"/>
        <v/>
      </c>
      <c r="BZ180" s="51"/>
      <c r="CB180" s="10"/>
      <c r="CI180" s="69"/>
    </row>
    <row r="181" spans="3:87">
      <c r="C181" t="str">
        <f t="shared" si="65"/>
        <v/>
      </c>
      <c r="D181">
        <v>172</v>
      </c>
      <c r="E181">
        <v>65</v>
      </c>
      <c r="F181">
        <f t="shared" si="61"/>
        <v>1410.5</v>
      </c>
      <c r="G181">
        <v>3361</v>
      </c>
      <c r="H181">
        <f t="shared" si="62"/>
        <v>4771.5</v>
      </c>
      <c r="I181">
        <f t="shared" si="66"/>
        <v>0</v>
      </c>
      <c r="J181">
        <v>12681</v>
      </c>
      <c r="K181">
        <f t="shared" si="67"/>
        <v>9057.8571428571431</v>
      </c>
      <c r="L181">
        <v>0.56000000000000005</v>
      </c>
      <c r="M181">
        <v>3.1</v>
      </c>
      <c r="N181">
        <v>26</v>
      </c>
      <c r="O181">
        <v>4</v>
      </c>
      <c r="P181" t="s">
        <v>514</v>
      </c>
      <c r="Q181">
        <f t="shared" si="63"/>
        <v>172</v>
      </c>
      <c r="R181" t="str">
        <f t="shared" si="64"/>
        <v/>
      </c>
      <c r="BZ181" s="51"/>
      <c r="CB181" s="10"/>
      <c r="CI181" s="69"/>
    </row>
    <row r="182" spans="3:87">
      <c r="C182" t="str">
        <f t="shared" si="65"/>
        <v/>
      </c>
      <c r="D182">
        <v>173</v>
      </c>
      <c r="E182">
        <v>65</v>
      </c>
      <c r="F182">
        <f t="shared" si="61"/>
        <v>1410.5</v>
      </c>
      <c r="G182">
        <v>3607</v>
      </c>
      <c r="H182">
        <f t="shared" si="62"/>
        <v>5017.5</v>
      </c>
      <c r="I182">
        <f t="shared" si="66"/>
        <v>0</v>
      </c>
      <c r="J182">
        <v>13609</v>
      </c>
      <c r="K182">
        <f t="shared" si="67"/>
        <v>9720.7142857142862</v>
      </c>
      <c r="L182">
        <v>0.82000000000000006</v>
      </c>
      <c r="M182">
        <v>3.1</v>
      </c>
      <c r="N182">
        <v>25</v>
      </c>
      <c r="O182">
        <v>4</v>
      </c>
      <c r="P182" t="s">
        <v>555</v>
      </c>
      <c r="Q182" t="str">
        <f t="shared" si="63"/>
        <v/>
      </c>
      <c r="R182" t="str">
        <f t="shared" si="64"/>
        <v/>
      </c>
      <c r="BZ182" s="51"/>
      <c r="CB182" s="10"/>
      <c r="CI182" s="69"/>
    </row>
    <row r="183" spans="3:87">
      <c r="C183" t="str">
        <f t="shared" si="65"/>
        <v>NL</v>
      </c>
      <c r="D183">
        <v>174</v>
      </c>
      <c r="E183">
        <v>65</v>
      </c>
      <c r="F183">
        <f t="shared" si="61"/>
        <v>1410.5</v>
      </c>
      <c r="G183">
        <v>2577</v>
      </c>
      <c r="H183">
        <f t="shared" si="62"/>
        <v>3987.5</v>
      </c>
      <c r="I183">
        <f t="shared" si="66"/>
        <v>0</v>
      </c>
      <c r="J183">
        <v>9723</v>
      </c>
      <c r="K183">
        <f t="shared" si="67"/>
        <v>6945</v>
      </c>
      <c r="L183">
        <v>0.18000000000000002</v>
      </c>
      <c r="M183">
        <v>3.8000000000000003</v>
      </c>
      <c r="N183">
        <v>20</v>
      </c>
      <c r="O183">
        <v>5</v>
      </c>
      <c r="P183" t="s">
        <v>556</v>
      </c>
      <c r="Q183" t="str">
        <f t="shared" si="63"/>
        <v/>
      </c>
      <c r="R183" t="str">
        <f t="shared" si="64"/>
        <v/>
      </c>
      <c r="BZ183" s="51"/>
      <c r="CB183" s="10"/>
      <c r="CI183" s="69"/>
    </row>
    <row r="184" spans="3:87">
      <c r="C184" t="str">
        <f t="shared" si="65"/>
        <v>NL</v>
      </c>
      <c r="D184">
        <v>175</v>
      </c>
      <c r="E184">
        <v>65</v>
      </c>
      <c r="F184">
        <f t="shared" si="61"/>
        <v>1410.5</v>
      </c>
      <c r="G184">
        <v>3398</v>
      </c>
      <c r="H184">
        <f t="shared" si="62"/>
        <v>4808.5</v>
      </c>
      <c r="I184">
        <f t="shared" si="66"/>
        <v>0</v>
      </c>
      <c r="J184">
        <v>12821</v>
      </c>
      <c r="K184">
        <f t="shared" si="67"/>
        <v>9157.8571428571431</v>
      </c>
      <c r="L184">
        <v>0.36</v>
      </c>
      <c r="M184">
        <v>3.8000000000000003</v>
      </c>
      <c r="N184">
        <v>24</v>
      </c>
      <c r="O184">
        <v>5</v>
      </c>
      <c r="P184" t="s">
        <v>514</v>
      </c>
      <c r="Q184" t="str">
        <f t="shared" si="63"/>
        <v/>
      </c>
      <c r="R184" t="str">
        <f t="shared" si="64"/>
        <v/>
      </c>
      <c r="BZ184" s="51"/>
      <c r="CB184" s="10"/>
      <c r="CI184" s="69"/>
    </row>
    <row r="185" spans="3:87">
      <c r="C185" t="str">
        <f t="shared" si="65"/>
        <v>NL</v>
      </c>
      <c r="D185">
        <v>176</v>
      </c>
      <c r="E185">
        <v>65</v>
      </c>
      <c r="F185">
        <f t="shared" si="61"/>
        <v>1410.5</v>
      </c>
      <c r="G185">
        <v>3769</v>
      </c>
      <c r="H185">
        <f t="shared" si="62"/>
        <v>5179.5</v>
      </c>
      <c r="I185">
        <f t="shared" si="66"/>
        <v>0</v>
      </c>
      <c r="J185">
        <v>14219</v>
      </c>
      <c r="K185">
        <f t="shared" si="67"/>
        <v>10156.428571428572</v>
      </c>
      <c r="L185">
        <v>0.52</v>
      </c>
      <c r="M185">
        <v>3.8000000000000003</v>
      </c>
      <c r="N185">
        <v>23</v>
      </c>
      <c r="O185">
        <v>5</v>
      </c>
      <c r="P185" t="s">
        <v>555</v>
      </c>
      <c r="Q185" t="str">
        <f t="shared" si="63"/>
        <v/>
      </c>
      <c r="R185" t="str">
        <f t="shared" si="64"/>
        <v/>
      </c>
      <c r="BZ185" s="51"/>
      <c r="CB185" s="10"/>
      <c r="CI185" s="69"/>
    </row>
    <row r="186" spans="3:87">
      <c r="C186" t="str">
        <f t="shared" si="65"/>
        <v/>
      </c>
      <c r="D186">
        <v>177</v>
      </c>
      <c r="E186">
        <v>65</v>
      </c>
      <c r="F186">
        <f t="shared" si="61"/>
        <v>1410.5</v>
      </c>
      <c r="G186">
        <v>3254</v>
      </c>
      <c r="H186">
        <f t="shared" si="62"/>
        <v>4664.5</v>
      </c>
      <c r="I186">
        <f t="shared" si="66"/>
        <v>0</v>
      </c>
      <c r="J186">
        <v>12276</v>
      </c>
      <c r="K186">
        <f t="shared" si="67"/>
        <v>8768.5714285714294</v>
      </c>
      <c r="L186">
        <v>0.25</v>
      </c>
      <c r="M186">
        <v>4.3999999999999995</v>
      </c>
      <c r="N186">
        <v>23</v>
      </c>
      <c r="O186">
        <v>6</v>
      </c>
      <c r="P186" t="s">
        <v>514</v>
      </c>
      <c r="Q186">
        <f t="shared" si="63"/>
        <v>177</v>
      </c>
      <c r="R186" t="str">
        <f t="shared" si="64"/>
        <v/>
      </c>
      <c r="BZ186" s="51"/>
      <c r="CB186" s="10"/>
      <c r="CI186" s="69"/>
    </row>
    <row r="187" spans="3:87">
      <c r="C187" t="str">
        <f t="shared" si="65"/>
        <v/>
      </c>
      <c r="D187">
        <v>178</v>
      </c>
      <c r="E187">
        <v>65</v>
      </c>
      <c r="F187">
        <f t="shared" si="61"/>
        <v>1410.5</v>
      </c>
      <c r="G187">
        <v>3694</v>
      </c>
      <c r="H187">
        <f t="shared" si="62"/>
        <v>5104.5</v>
      </c>
      <c r="I187">
        <f t="shared" si="66"/>
        <v>0</v>
      </c>
      <c r="J187">
        <v>13938</v>
      </c>
      <c r="K187">
        <f t="shared" si="67"/>
        <v>9955.7142857142862</v>
      </c>
      <c r="L187">
        <v>0.37</v>
      </c>
      <c r="M187">
        <v>4.3999999999999995</v>
      </c>
      <c r="N187">
        <v>22</v>
      </c>
      <c r="O187">
        <v>6</v>
      </c>
      <c r="P187" t="s">
        <v>555</v>
      </c>
      <c r="Q187">
        <f t="shared" si="63"/>
        <v>178</v>
      </c>
      <c r="R187" t="str">
        <f t="shared" si="64"/>
        <v/>
      </c>
      <c r="BZ187" s="51"/>
      <c r="CB187" s="10"/>
      <c r="CI187" s="69"/>
    </row>
    <row r="188" spans="3:87">
      <c r="C188" t="str">
        <f t="shared" si="65"/>
        <v/>
      </c>
      <c r="D188">
        <v>179</v>
      </c>
      <c r="E188">
        <v>65</v>
      </c>
      <c r="F188">
        <f t="shared" si="61"/>
        <v>1410.5</v>
      </c>
      <c r="G188">
        <v>4991</v>
      </c>
      <c r="H188">
        <f t="shared" si="62"/>
        <v>6401.5</v>
      </c>
      <c r="I188">
        <f t="shared" si="66"/>
        <v>0</v>
      </c>
      <c r="J188">
        <v>18827</v>
      </c>
      <c r="K188">
        <f t="shared" si="67"/>
        <v>13447.857142857143</v>
      </c>
      <c r="L188">
        <v>0.81</v>
      </c>
      <c r="M188">
        <v>4.3999999999999995</v>
      </c>
      <c r="N188">
        <v>27</v>
      </c>
      <c r="O188">
        <v>6</v>
      </c>
      <c r="P188" t="s">
        <v>513</v>
      </c>
      <c r="Q188" t="str">
        <f t="shared" si="63"/>
        <v/>
      </c>
      <c r="R188" t="str">
        <f t="shared" si="64"/>
        <v/>
      </c>
      <c r="BZ188" s="51"/>
      <c r="CB188" s="10"/>
      <c r="CI188" s="69"/>
    </row>
    <row r="189" spans="3:87">
      <c r="C189" t="str">
        <f t="shared" si="65"/>
        <v>NL</v>
      </c>
      <c r="D189">
        <v>180</v>
      </c>
      <c r="E189">
        <v>65</v>
      </c>
      <c r="F189">
        <f t="shared" si="61"/>
        <v>1410.5</v>
      </c>
      <c r="G189">
        <v>3257</v>
      </c>
      <c r="H189">
        <f t="shared" si="62"/>
        <v>4667.5</v>
      </c>
      <c r="I189">
        <f t="shared" si="66"/>
        <v>0</v>
      </c>
      <c r="J189">
        <v>12287</v>
      </c>
      <c r="K189">
        <f t="shared" si="67"/>
        <v>8776.4285714285725</v>
      </c>
      <c r="L189">
        <v>0.19</v>
      </c>
      <c r="M189">
        <v>5.0999999999999996</v>
      </c>
      <c r="N189">
        <v>22</v>
      </c>
      <c r="O189">
        <v>7</v>
      </c>
      <c r="P189" t="s">
        <v>514</v>
      </c>
      <c r="Q189" t="str">
        <f t="shared" si="63"/>
        <v/>
      </c>
      <c r="R189" t="str">
        <f t="shared" si="64"/>
        <v/>
      </c>
      <c r="BZ189" s="51"/>
      <c r="CB189" s="10"/>
      <c r="CI189" s="69"/>
    </row>
    <row r="190" spans="3:87">
      <c r="C190" t="str">
        <f t="shared" si="65"/>
        <v>NL</v>
      </c>
      <c r="D190">
        <v>181</v>
      </c>
      <c r="E190">
        <v>65</v>
      </c>
      <c r="F190">
        <f t="shared" si="61"/>
        <v>1410.5</v>
      </c>
      <c r="G190">
        <v>3617</v>
      </c>
      <c r="H190">
        <f t="shared" si="62"/>
        <v>5027.5</v>
      </c>
      <c r="I190">
        <f t="shared" si="66"/>
        <v>0</v>
      </c>
      <c r="J190">
        <v>13647</v>
      </c>
      <c r="K190">
        <f t="shared" si="67"/>
        <v>9747.8571428571431</v>
      </c>
      <c r="L190">
        <v>0.28000000000000003</v>
      </c>
      <c r="M190">
        <v>5.0999999999999996</v>
      </c>
      <c r="N190">
        <v>21</v>
      </c>
      <c r="O190">
        <v>7</v>
      </c>
      <c r="P190" t="s">
        <v>555</v>
      </c>
      <c r="Q190" t="str">
        <f t="shared" si="63"/>
        <v/>
      </c>
      <c r="R190" t="str">
        <f t="shared" si="64"/>
        <v/>
      </c>
      <c r="BZ190" s="51"/>
      <c r="CB190" s="10"/>
      <c r="CI190" s="69"/>
    </row>
    <row r="191" spans="3:87">
      <c r="C191" t="str">
        <f t="shared" si="65"/>
        <v>NL</v>
      </c>
      <c r="D191">
        <v>182</v>
      </c>
      <c r="E191">
        <v>65</v>
      </c>
      <c r="F191">
        <f t="shared" si="61"/>
        <v>1410.5</v>
      </c>
      <c r="G191">
        <v>4860</v>
      </c>
      <c r="H191">
        <f t="shared" si="62"/>
        <v>6270.5</v>
      </c>
      <c r="I191">
        <f t="shared" si="66"/>
        <v>0</v>
      </c>
      <c r="J191">
        <v>18334</v>
      </c>
      <c r="K191">
        <f t="shared" si="67"/>
        <v>13095.714285714286</v>
      </c>
      <c r="L191">
        <v>0.6</v>
      </c>
      <c r="M191">
        <v>5.0999999999999996</v>
      </c>
      <c r="N191">
        <v>26</v>
      </c>
      <c r="O191">
        <v>7</v>
      </c>
      <c r="P191" t="s">
        <v>513</v>
      </c>
      <c r="Q191" t="str">
        <f t="shared" si="63"/>
        <v/>
      </c>
      <c r="R191" t="str">
        <f t="shared" si="64"/>
        <v/>
      </c>
      <c r="BZ191" s="51"/>
      <c r="CB191" s="10"/>
      <c r="CI191" s="69"/>
    </row>
    <row r="192" spans="3:87">
      <c r="C192" t="str">
        <f t="shared" si="65"/>
        <v/>
      </c>
      <c r="D192">
        <v>183</v>
      </c>
      <c r="E192">
        <v>65</v>
      </c>
      <c r="F192">
        <f t="shared" si="61"/>
        <v>1410.5</v>
      </c>
      <c r="G192">
        <v>3773</v>
      </c>
      <c r="H192">
        <f t="shared" si="62"/>
        <v>5183.5</v>
      </c>
      <c r="I192">
        <f t="shared" si="66"/>
        <v>0</v>
      </c>
      <c r="J192">
        <v>14233</v>
      </c>
      <c r="K192">
        <f t="shared" si="67"/>
        <v>10166.428571428572</v>
      </c>
      <c r="L192">
        <v>0.22</v>
      </c>
      <c r="M192">
        <v>5.8</v>
      </c>
      <c r="N192">
        <v>20</v>
      </c>
      <c r="O192">
        <v>8</v>
      </c>
      <c r="P192" t="s">
        <v>555</v>
      </c>
      <c r="Q192">
        <f t="shared" si="63"/>
        <v>183</v>
      </c>
      <c r="R192" t="str">
        <f t="shared" si="64"/>
        <v/>
      </c>
      <c r="BZ192" s="51"/>
      <c r="CB192" s="10"/>
      <c r="CI192" s="69"/>
    </row>
    <row r="193" spans="3:87">
      <c r="C193" t="str">
        <f t="shared" si="65"/>
        <v/>
      </c>
      <c r="D193">
        <v>184</v>
      </c>
      <c r="E193">
        <v>65</v>
      </c>
      <c r="F193">
        <f t="shared" si="61"/>
        <v>1410.5</v>
      </c>
      <c r="G193">
        <v>4834</v>
      </c>
      <c r="H193">
        <f t="shared" si="62"/>
        <v>6244.5</v>
      </c>
      <c r="I193">
        <f t="shared" si="66"/>
        <v>0</v>
      </c>
      <c r="J193">
        <v>18237</v>
      </c>
      <c r="K193">
        <f t="shared" si="67"/>
        <v>13026.428571428572</v>
      </c>
      <c r="L193">
        <v>0.46</v>
      </c>
      <c r="M193">
        <v>5.8</v>
      </c>
      <c r="N193">
        <v>25</v>
      </c>
      <c r="O193">
        <v>8</v>
      </c>
      <c r="P193" t="s">
        <v>513</v>
      </c>
      <c r="Q193">
        <f t="shared" si="63"/>
        <v>184</v>
      </c>
      <c r="R193" t="str">
        <f t="shared" si="64"/>
        <v/>
      </c>
      <c r="BZ193" s="51"/>
      <c r="CB193" s="10"/>
      <c r="CI193" s="69"/>
    </row>
    <row r="194" spans="3:87">
      <c r="C194" t="str">
        <f t="shared" si="65"/>
        <v/>
      </c>
      <c r="D194">
        <v>185</v>
      </c>
      <c r="E194">
        <v>65</v>
      </c>
      <c r="F194">
        <f t="shared" si="61"/>
        <v>1410.5</v>
      </c>
      <c r="G194">
        <v>6031</v>
      </c>
      <c r="H194">
        <f t="shared" si="62"/>
        <v>7441.5</v>
      </c>
      <c r="I194">
        <f t="shared" si="66"/>
        <v>0</v>
      </c>
      <c r="J194">
        <v>22754</v>
      </c>
      <c r="K194">
        <f t="shared" si="67"/>
        <v>16252.857142857143</v>
      </c>
      <c r="L194">
        <v>0.91</v>
      </c>
      <c r="M194">
        <v>5.8</v>
      </c>
      <c r="N194">
        <v>26</v>
      </c>
      <c r="O194">
        <v>8</v>
      </c>
      <c r="P194" t="s">
        <v>512</v>
      </c>
      <c r="Q194" t="str">
        <f t="shared" si="63"/>
        <v/>
      </c>
      <c r="R194" t="str">
        <f t="shared" si="64"/>
        <v/>
      </c>
      <c r="BZ194" s="51"/>
      <c r="CB194" s="10"/>
      <c r="CI194" s="69"/>
    </row>
    <row r="195" spans="3:87">
      <c r="C195" t="str">
        <f t="shared" si="65"/>
        <v/>
      </c>
      <c r="D195">
        <v>186</v>
      </c>
      <c r="E195">
        <v>65</v>
      </c>
      <c r="F195">
        <f t="shared" si="61"/>
        <v>1410.5</v>
      </c>
      <c r="G195">
        <v>5132</v>
      </c>
      <c r="H195">
        <f t="shared" si="62"/>
        <v>6542.5</v>
      </c>
      <c r="I195">
        <f t="shared" si="66"/>
        <v>0</v>
      </c>
      <c r="J195">
        <v>19362</v>
      </c>
      <c r="K195">
        <f t="shared" si="67"/>
        <v>13830</v>
      </c>
      <c r="L195">
        <v>0.31</v>
      </c>
      <c r="M195">
        <v>7.1999999999999993</v>
      </c>
      <c r="N195">
        <v>24</v>
      </c>
      <c r="O195">
        <v>10</v>
      </c>
      <c r="P195" t="s">
        <v>513</v>
      </c>
      <c r="Q195" t="str">
        <f t="shared" si="63"/>
        <v/>
      </c>
      <c r="R195" t="str">
        <f t="shared" si="64"/>
        <v/>
      </c>
      <c r="BZ195" s="51"/>
      <c r="CB195" s="10"/>
      <c r="CI195" s="69"/>
    </row>
    <row r="196" spans="3:87">
      <c r="C196" t="str">
        <f t="shared" si="65"/>
        <v/>
      </c>
      <c r="D196">
        <v>187</v>
      </c>
      <c r="E196">
        <v>65</v>
      </c>
      <c r="F196">
        <f t="shared" si="61"/>
        <v>1410.5</v>
      </c>
      <c r="G196">
        <v>5940</v>
      </c>
      <c r="H196">
        <f t="shared" si="62"/>
        <v>7350.5</v>
      </c>
      <c r="I196">
        <f t="shared" si="66"/>
        <v>0</v>
      </c>
      <c r="J196">
        <v>22408</v>
      </c>
      <c r="K196">
        <f t="shared" si="67"/>
        <v>16005.714285714286</v>
      </c>
      <c r="L196">
        <v>0.6</v>
      </c>
      <c r="M196">
        <v>7.1999999999999993</v>
      </c>
      <c r="N196">
        <v>24</v>
      </c>
      <c r="O196">
        <v>10</v>
      </c>
      <c r="P196" t="s">
        <v>512</v>
      </c>
      <c r="Q196" t="str">
        <f t="shared" si="63"/>
        <v/>
      </c>
      <c r="R196" t="str">
        <f t="shared" si="64"/>
        <v/>
      </c>
      <c r="BZ196" s="51"/>
      <c r="CB196" s="10"/>
      <c r="CI196" s="69"/>
    </row>
    <row r="197" spans="3:87">
      <c r="C197" t="str">
        <f t="shared" si="65"/>
        <v/>
      </c>
      <c r="D197">
        <v>188</v>
      </c>
      <c r="E197">
        <v>70</v>
      </c>
      <c r="F197">
        <f t="shared" si="61"/>
        <v>1519</v>
      </c>
      <c r="G197">
        <v>2214</v>
      </c>
      <c r="H197">
        <f t="shared" si="62"/>
        <v>3733</v>
      </c>
      <c r="I197">
        <f t="shared" si="66"/>
        <v>0</v>
      </c>
      <c r="J197">
        <v>8354</v>
      </c>
      <c r="K197">
        <f t="shared" si="67"/>
        <v>5967.1428571428569</v>
      </c>
      <c r="L197">
        <v>0.78</v>
      </c>
      <c r="M197">
        <v>1.7000000000000002</v>
      </c>
      <c r="N197">
        <v>25</v>
      </c>
      <c r="O197">
        <v>2</v>
      </c>
      <c r="P197" t="s">
        <v>515</v>
      </c>
      <c r="Q197" t="str">
        <f t="shared" si="63"/>
        <v/>
      </c>
      <c r="R197" t="str">
        <f t="shared" si="64"/>
        <v/>
      </c>
      <c r="BZ197" s="51"/>
      <c r="CB197" s="10"/>
      <c r="CI197" s="69"/>
    </row>
    <row r="198" spans="3:87">
      <c r="C198" t="str">
        <f t="shared" si="65"/>
        <v>NL</v>
      </c>
      <c r="D198">
        <v>189</v>
      </c>
      <c r="E198">
        <v>70</v>
      </c>
      <c r="F198">
        <f t="shared" si="61"/>
        <v>1519</v>
      </c>
      <c r="G198">
        <v>2408</v>
      </c>
      <c r="H198">
        <f t="shared" si="62"/>
        <v>3927</v>
      </c>
      <c r="I198">
        <f t="shared" si="66"/>
        <v>0</v>
      </c>
      <c r="J198">
        <v>9084</v>
      </c>
      <c r="K198">
        <f t="shared" si="67"/>
        <v>6488.5714285714284</v>
      </c>
      <c r="L198">
        <v>0.33</v>
      </c>
      <c r="M198">
        <v>2.4</v>
      </c>
      <c r="N198">
        <v>21</v>
      </c>
      <c r="O198">
        <v>3</v>
      </c>
      <c r="P198" t="s">
        <v>515</v>
      </c>
      <c r="Q198" t="str">
        <f t="shared" si="63"/>
        <v/>
      </c>
      <c r="R198" t="str">
        <f t="shared" si="64"/>
        <v/>
      </c>
      <c r="BZ198" s="51"/>
      <c r="CB198" s="10"/>
      <c r="CI198" s="69"/>
    </row>
    <row r="199" spans="3:87">
      <c r="C199" t="str">
        <f t="shared" si="65"/>
        <v>NL</v>
      </c>
      <c r="D199">
        <v>190</v>
      </c>
      <c r="E199">
        <v>70</v>
      </c>
      <c r="F199">
        <f t="shared" si="61"/>
        <v>1519</v>
      </c>
      <c r="G199">
        <v>2874</v>
      </c>
      <c r="H199">
        <f t="shared" si="62"/>
        <v>4393</v>
      </c>
      <c r="I199">
        <f t="shared" si="66"/>
        <v>0</v>
      </c>
      <c r="J199">
        <v>10842</v>
      </c>
      <c r="K199">
        <f t="shared" si="67"/>
        <v>7744.2857142857147</v>
      </c>
      <c r="L199">
        <v>0.55000000000000004</v>
      </c>
      <c r="M199">
        <v>2.4</v>
      </c>
      <c r="N199">
        <v>24</v>
      </c>
      <c r="O199">
        <v>3</v>
      </c>
      <c r="P199" t="s">
        <v>556</v>
      </c>
      <c r="Q199" t="str">
        <f t="shared" si="63"/>
        <v/>
      </c>
      <c r="R199" t="str">
        <f t="shared" si="64"/>
        <v/>
      </c>
      <c r="BZ199" s="51"/>
      <c r="CB199" s="10"/>
      <c r="CI199" s="69"/>
    </row>
    <row r="200" spans="3:87">
      <c r="C200" t="str">
        <f t="shared" si="65"/>
        <v/>
      </c>
      <c r="D200">
        <v>191</v>
      </c>
      <c r="E200">
        <v>70</v>
      </c>
      <c r="F200">
        <f t="shared" si="61"/>
        <v>1519</v>
      </c>
      <c r="G200">
        <v>2296</v>
      </c>
      <c r="H200">
        <f t="shared" si="62"/>
        <v>3815</v>
      </c>
      <c r="I200">
        <f t="shared" si="66"/>
        <v>0</v>
      </c>
      <c r="J200">
        <v>8662</v>
      </c>
      <c r="K200">
        <f t="shared" si="67"/>
        <v>6187.1428571428569</v>
      </c>
      <c r="L200">
        <v>0.19</v>
      </c>
      <c r="M200">
        <v>3.1</v>
      </c>
      <c r="N200">
        <v>20</v>
      </c>
      <c r="O200">
        <v>4</v>
      </c>
      <c r="P200" t="s">
        <v>515</v>
      </c>
      <c r="Q200">
        <f t="shared" si="63"/>
        <v>191</v>
      </c>
      <c r="R200" t="str">
        <f t="shared" si="64"/>
        <v/>
      </c>
      <c r="BZ200" s="51"/>
      <c r="CB200" s="10"/>
      <c r="CI200" s="69"/>
    </row>
    <row r="201" spans="3:87">
      <c r="C201" t="str">
        <f t="shared" si="65"/>
        <v/>
      </c>
      <c r="D201">
        <v>192</v>
      </c>
      <c r="E201">
        <v>70</v>
      </c>
      <c r="F201">
        <f t="shared" si="61"/>
        <v>1519</v>
      </c>
      <c r="G201">
        <v>2818</v>
      </c>
      <c r="H201">
        <f t="shared" si="62"/>
        <v>4337</v>
      </c>
      <c r="I201">
        <f t="shared" si="66"/>
        <v>0</v>
      </c>
      <c r="J201">
        <v>10632</v>
      </c>
      <c r="K201">
        <f t="shared" si="67"/>
        <v>7594.2857142857147</v>
      </c>
      <c r="L201">
        <v>0.31</v>
      </c>
      <c r="M201">
        <v>3.1</v>
      </c>
      <c r="N201">
        <v>22</v>
      </c>
      <c r="O201">
        <v>4</v>
      </c>
      <c r="P201" t="s">
        <v>556</v>
      </c>
      <c r="Q201">
        <f t="shared" si="63"/>
        <v>192</v>
      </c>
      <c r="R201" t="str">
        <f t="shared" si="64"/>
        <v/>
      </c>
      <c r="BZ201" s="51"/>
      <c r="CB201" s="10"/>
      <c r="CI201" s="69"/>
    </row>
    <row r="202" spans="3:87">
      <c r="C202" t="str">
        <f t="shared" si="65"/>
        <v/>
      </c>
      <c r="D202">
        <v>193</v>
      </c>
      <c r="E202">
        <v>70</v>
      </c>
      <c r="F202">
        <f t="shared" ref="F202:F265" si="68">1.085*($A$2-$B$2)*E202*$T$7</f>
        <v>1519</v>
      </c>
      <c r="G202">
        <v>3611</v>
      </c>
      <c r="H202">
        <f t="shared" ref="H202:H265" si="69">(G202*$U$7)+F202</f>
        <v>5130</v>
      </c>
      <c r="I202">
        <f t="shared" si="66"/>
        <v>0</v>
      </c>
      <c r="J202">
        <v>13622</v>
      </c>
      <c r="K202">
        <f t="shared" si="67"/>
        <v>9730</v>
      </c>
      <c r="L202">
        <v>0.65</v>
      </c>
      <c r="M202">
        <v>3.1</v>
      </c>
      <c r="N202">
        <v>27</v>
      </c>
      <c r="O202">
        <v>4</v>
      </c>
      <c r="P202" t="s">
        <v>514</v>
      </c>
      <c r="Q202">
        <f t="shared" ref="Q202:Q265" si="70">IF(AND(H202+1&gt;$E$4,L202&lt;$L$4+0.01,M202&lt;$M$4+0.01,K202+1&gt;$F$4,E202+1&gt;$J$4,N202&lt;$K$4+1,O202&lt;$P$4+1,C202=""),D202,"")</f>
        <v>193</v>
      </c>
      <c r="R202" t="str">
        <f t="shared" ref="R202:R265" si="71">IF(Q202="","",IF(AND(O202&lt;$X$14,E202&gt;$U$14,E202&lt;$Q$4+$U$14+1),D202,""))</f>
        <v/>
      </c>
      <c r="BZ202" s="51"/>
      <c r="CB202" s="10"/>
      <c r="CI202" s="69"/>
    </row>
    <row r="203" spans="3:87">
      <c r="C203" t="str">
        <f t="shared" ref="C203:C266" si="72">IF(OR($O$4=0,O203-$O$4=0),IF(AND(ISEVEN(O203)=FALSE,$N$4="Even"),"NL",""),"NL")</f>
        <v/>
      </c>
      <c r="D203">
        <v>194</v>
      </c>
      <c r="E203">
        <v>70</v>
      </c>
      <c r="F203">
        <f t="shared" si="68"/>
        <v>1519</v>
      </c>
      <c r="G203">
        <v>3819</v>
      </c>
      <c r="H203">
        <f t="shared" si="69"/>
        <v>5338</v>
      </c>
      <c r="I203">
        <f t="shared" ref="I203:I266" si="73">1.085*($C$2-$D$2)*E203*$T$7</f>
        <v>0</v>
      </c>
      <c r="J203">
        <v>14408</v>
      </c>
      <c r="K203">
        <f t="shared" ref="K203:K266" si="74">(J203*$V$7)-I203</f>
        <v>10291.428571428572</v>
      </c>
      <c r="L203">
        <v>0.96</v>
      </c>
      <c r="M203">
        <v>3.1</v>
      </c>
      <c r="N203">
        <v>26</v>
      </c>
      <c r="O203">
        <v>4</v>
      </c>
      <c r="P203" t="s">
        <v>555</v>
      </c>
      <c r="Q203" t="str">
        <f t="shared" si="70"/>
        <v/>
      </c>
      <c r="R203" t="str">
        <f t="shared" si="71"/>
        <v/>
      </c>
      <c r="BZ203" s="51"/>
      <c r="CB203" s="10"/>
      <c r="CI203" s="69"/>
    </row>
    <row r="204" spans="3:87">
      <c r="C204" t="str">
        <f t="shared" si="72"/>
        <v>NL</v>
      </c>
      <c r="D204">
        <v>195</v>
      </c>
      <c r="E204">
        <v>70</v>
      </c>
      <c r="F204">
        <f t="shared" si="68"/>
        <v>1519</v>
      </c>
      <c r="G204">
        <v>2817</v>
      </c>
      <c r="H204">
        <f t="shared" si="69"/>
        <v>4336</v>
      </c>
      <c r="I204">
        <f t="shared" si="73"/>
        <v>0</v>
      </c>
      <c r="J204">
        <v>10628</v>
      </c>
      <c r="K204">
        <f t="shared" si="74"/>
        <v>7591.4285714285716</v>
      </c>
      <c r="L204">
        <v>0.21000000000000002</v>
      </c>
      <c r="M204">
        <v>3.8000000000000003</v>
      </c>
      <c r="N204">
        <v>21</v>
      </c>
      <c r="O204">
        <v>5</v>
      </c>
      <c r="P204" t="s">
        <v>556</v>
      </c>
      <c r="Q204" t="str">
        <f t="shared" si="70"/>
        <v/>
      </c>
      <c r="R204" t="str">
        <f t="shared" si="71"/>
        <v/>
      </c>
      <c r="BZ204" s="51"/>
      <c r="CB204" s="10"/>
      <c r="CI204" s="69"/>
    </row>
    <row r="205" spans="3:87">
      <c r="C205" t="str">
        <f t="shared" si="72"/>
        <v>NL</v>
      </c>
      <c r="D205">
        <v>196</v>
      </c>
      <c r="E205">
        <v>70</v>
      </c>
      <c r="F205">
        <f t="shared" si="68"/>
        <v>1519</v>
      </c>
      <c r="G205">
        <v>3714</v>
      </c>
      <c r="H205">
        <f t="shared" si="69"/>
        <v>5233</v>
      </c>
      <c r="I205">
        <f t="shared" si="73"/>
        <v>0</v>
      </c>
      <c r="J205">
        <v>14010</v>
      </c>
      <c r="K205">
        <f t="shared" si="74"/>
        <v>10007.142857142857</v>
      </c>
      <c r="L205">
        <v>0.42</v>
      </c>
      <c r="M205">
        <v>3.8000000000000003</v>
      </c>
      <c r="N205">
        <v>25</v>
      </c>
      <c r="O205">
        <v>5</v>
      </c>
      <c r="P205" t="s">
        <v>514</v>
      </c>
      <c r="Q205" t="str">
        <f t="shared" si="70"/>
        <v/>
      </c>
      <c r="R205" t="str">
        <f t="shared" si="71"/>
        <v/>
      </c>
      <c r="BZ205" s="51"/>
      <c r="CB205" s="10"/>
      <c r="CI205" s="69"/>
    </row>
    <row r="206" spans="3:87">
      <c r="C206" t="str">
        <f t="shared" si="72"/>
        <v>NL</v>
      </c>
      <c r="D206">
        <v>197</v>
      </c>
      <c r="E206">
        <v>70</v>
      </c>
      <c r="F206">
        <f t="shared" si="68"/>
        <v>1519</v>
      </c>
      <c r="G206">
        <v>4009</v>
      </c>
      <c r="H206">
        <f t="shared" si="69"/>
        <v>5528</v>
      </c>
      <c r="I206">
        <f t="shared" si="73"/>
        <v>0</v>
      </c>
      <c r="J206">
        <v>15125</v>
      </c>
      <c r="K206">
        <f t="shared" si="74"/>
        <v>10803.571428571429</v>
      </c>
      <c r="L206">
        <v>0.6</v>
      </c>
      <c r="M206">
        <v>3.8000000000000003</v>
      </c>
      <c r="N206">
        <v>24</v>
      </c>
      <c r="O206">
        <v>5</v>
      </c>
      <c r="P206" t="s">
        <v>555</v>
      </c>
      <c r="Q206" t="str">
        <f t="shared" si="70"/>
        <v/>
      </c>
      <c r="R206" t="str">
        <f t="shared" si="71"/>
        <v/>
      </c>
      <c r="BZ206" s="51"/>
      <c r="CB206" s="10"/>
      <c r="CI206" s="69"/>
    </row>
    <row r="207" spans="3:87">
      <c r="C207" t="str">
        <f t="shared" si="72"/>
        <v/>
      </c>
      <c r="D207">
        <v>198</v>
      </c>
      <c r="E207">
        <v>70</v>
      </c>
      <c r="F207">
        <f t="shared" si="68"/>
        <v>1519</v>
      </c>
      <c r="G207">
        <v>3582</v>
      </c>
      <c r="H207">
        <f t="shared" si="69"/>
        <v>5101</v>
      </c>
      <c r="I207">
        <f t="shared" si="73"/>
        <v>0</v>
      </c>
      <c r="J207">
        <v>13513</v>
      </c>
      <c r="K207">
        <f t="shared" si="74"/>
        <v>9652.1428571428569</v>
      </c>
      <c r="L207">
        <v>0.29000000000000004</v>
      </c>
      <c r="M207">
        <v>4.3999999999999995</v>
      </c>
      <c r="N207">
        <v>24</v>
      </c>
      <c r="O207">
        <v>6</v>
      </c>
      <c r="P207" t="s">
        <v>514</v>
      </c>
      <c r="Q207">
        <f t="shared" si="70"/>
        <v>198</v>
      </c>
      <c r="R207" t="str">
        <f t="shared" si="71"/>
        <v/>
      </c>
      <c r="BZ207" s="51"/>
      <c r="CB207" s="10"/>
      <c r="CI207" s="69"/>
    </row>
    <row r="208" spans="3:87">
      <c r="C208" t="str">
        <f t="shared" si="72"/>
        <v/>
      </c>
      <c r="D208">
        <v>199</v>
      </c>
      <c r="E208">
        <v>70</v>
      </c>
      <c r="F208">
        <f t="shared" si="68"/>
        <v>1519</v>
      </c>
      <c r="G208">
        <v>4061</v>
      </c>
      <c r="H208">
        <f t="shared" si="69"/>
        <v>5580</v>
      </c>
      <c r="I208">
        <f t="shared" si="73"/>
        <v>0</v>
      </c>
      <c r="J208">
        <v>15321</v>
      </c>
      <c r="K208">
        <f t="shared" si="74"/>
        <v>10943.571428571429</v>
      </c>
      <c r="L208">
        <v>0.43</v>
      </c>
      <c r="M208">
        <v>4.3999999999999995</v>
      </c>
      <c r="N208">
        <v>23</v>
      </c>
      <c r="O208">
        <v>6</v>
      </c>
      <c r="P208" t="s">
        <v>555</v>
      </c>
      <c r="Q208">
        <f t="shared" si="70"/>
        <v>199</v>
      </c>
      <c r="R208" t="str">
        <f t="shared" si="71"/>
        <v/>
      </c>
      <c r="BZ208" s="51"/>
      <c r="CB208" s="10"/>
      <c r="CI208" s="69"/>
    </row>
    <row r="209" spans="3:87">
      <c r="C209" t="str">
        <f t="shared" si="72"/>
        <v/>
      </c>
      <c r="D209">
        <v>200</v>
      </c>
      <c r="E209">
        <v>70</v>
      </c>
      <c r="F209">
        <f t="shared" si="68"/>
        <v>1519</v>
      </c>
      <c r="G209">
        <v>5488</v>
      </c>
      <c r="H209">
        <f t="shared" si="69"/>
        <v>7007</v>
      </c>
      <c r="I209">
        <f t="shared" si="73"/>
        <v>0</v>
      </c>
      <c r="J209">
        <v>20703</v>
      </c>
      <c r="K209">
        <f t="shared" si="74"/>
        <v>14787.857142857143</v>
      </c>
      <c r="L209">
        <v>0.94000000000000006</v>
      </c>
      <c r="M209">
        <v>4.3999999999999995</v>
      </c>
      <c r="N209">
        <v>28</v>
      </c>
      <c r="O209">
        <v>6</v>
      </c>
      <c r="P209" t="s">
        <v>513</v>
      </c>
      <c r="Q209" t="str">
        <f t="shared" si="70"/>
        <v/>
      </c>
      <c r="R209" t="str">
        <f t="shared" si="71"/>
        <v/>
      </c>
      <c r="BZ209" s="51"/>
      <c r="CB209" s="10"/>
      <c r="CI209" s="69"/>
    </row>
    <row r="210" spans="3:87">
      <c r="C210" t="str">
        <f t="shared" si="72"/>
        <v>NL</v>
      </c>
      <c r="D210">
        <v>201</v>
      </c>
      <c r="E210">
        <v>70</v>
      </c>
      <c r="F210">
        <f t="shared" si="68"/>
        <v>1519</v>
      </c>
      <c r="G210">
        <v>3448</v>
      </c>
      <c r="H210">
        <f t="shared" si="69"/>
        <v>4967</v>
      </c>
      <c r="I210">
        <f t="shared" si="73"/>
        <v>0</v>
      </c>
      <c r="J210">
        <v>13010</v>
      </c>
      <c r="K210">
        <f t="shared" si="74"/>
        <v>9292.8571428571431</v>
      </c>
      <c r="L210">
        <v>0.22</v>
      </c>
      <c r="M210">
        <v>5.0999999999999996</v>
      </c>
      <c r="N210">
        <v>23</v>
      </c>
      <c r="O210">
        <v>7</v>
      </c>
      <c r="P210" t="s">
        <v>514</v>
      </c>
      <c r="Q210" t="str">
        <f t="shared" si="70"/>
        <v/>
      </c>
      <c r="R210" t="str">
        <f t="shared" si="71"/>
        <v/>
      </c>
      <c r="BZ210" s="51"/>
      <c r="CB210" s="10"/>
      <c r="CI210" s="69"/>
    </row>
    <row r="211" spans="3:87">
      <c r="C211" t="str">
        <f t="shared" si="72"/>
        <v>NL</v>
      </c>
      <c r="D211">
        <v>202</v>
      </c>
      <c r="E211">
        <v>70</v>
      </c>
      <c r="F211">
        <f t="shared" si="68"/>
        <v>1519</v>
      </c>
      <c r="G211">
        <v>3852</v>
      </c>
      <c r="H211">
        <f t="shared" si="69"/>
        <v>5371</v>
      </c>
      <c r="I211">
        <f t="shared" si="73"/>
        <v>0</v>
      </c>
      <c r="J211">
        <v>14533</v>
      </c>
      <c r="K211">
        <f t="shared" si="74"/>
        <v>10380.714285714286</v>
      </c>
      <c r="L211">
        <v>0.32</v>
      </c>
      <c r="M211">
        <v>5.0999999999999996</v>
      </c>
      <c r="N211">
        <v>22</v>
      </c>
      <c r="O211">
        <v>7</v>
      </c>
      <c r="P211" t="s">
        <v>555</v>
      </c>
      <c r="Q211" t="str">
        <f t="shared" si="70"/>
        <v/>
      </c>
      <c r="R211" t="str">
        <f t="shared" si="71"/>
        <v/>
      </c>
      <c r="BZ211" s="51"/>
      <c r="CB211" s="10"/>
      <c r="CI211" s="69"/>
    </row>
    <row r="212" spans="3:87">
      <c r="C212" t="str">
        <f t="shared" si="72"/>
        <v>NL</v>
      </c>
      <c r="D212">
        <v>203</v>
      </c>
      <c r="E212">
        <v>70</v>
      </c>
      <c r="F212">
        <f t="shared" si="68"/>
        <v>1519</v>
      </c>
      <c r="G212">
        <v>5333</v>
      </c>
      <c r="H212">
        <f t="shared" si="69"/>
        <v>6852</v>
      </c>
      <c r="I212">
        <f t="shared" si="73"/>
        <v>0</v>
      </c>
      <c r="J212">
        <v>20119</v>
      </c>
      <c r="K212">
        <f t="shared" si="74"/>
        <v>14370.714285714286</v>
      </c>
      <c r="L212">
        <v>0.7</v>
      </c>
      <c r="M212">
        <v>5.0999999999999996</v>
      </c>
      <c r="N212">
        <v>27</v>
      </c>
      <c r="O212">
        <v>7</v>
      </c>
      <c r="P212" t="s">
        <v>513</v>
      </c>
      <c r="Q212" t="str">
        <f t="shared" si="70"/>
        <v/>
      </c>
      <c r="R212" t="str">
        <f t="shared" si="71"/>
        <v/>
      </c>
      <c r="BZ212" s="51"/>
      <c r="CB212" s="10"/>
      <c r="CI212" s="69"/>
    </row>
    <row r="213" spans="3:87">
      <c r="C213" t="str">
        <f t="shared" si="72"/>
        <v/>
      </c>
      <c r="D213">
        <v>204</v>
      </c>
      <c r="E213">
        <v>70</v>
      </c>
      <c r="F213">
        <f t="shared" si="68"/>
        <v>1519</v>
      </c>
      <c r="G213">
        <v>3538</v>
      </c>
      <c r="H213">
        <f t="shared" si="69"/>
        <v>5057</v>
      </c>
      <c r="I213">
        <f t="shared" si="73"/>
        <v>0</v>
      </c>
      <c r="J213">
        <v>13349</v>
      </c>
      <c r="K213">
        <f t="shared" si="74"/>
        <v>9535</v>
      </c>
      <c r="L213">
        <v>0.18000000000000002</v>
      </c>
      <c r="M213">
        <v>5.8</v>
      </c>
      <c r="N213">
        <v>23</v>
      </c>
      <c r="O213">
        <v>8</v>
      </c>
      <c r="P213" t="s">
        <v>514</v>
      </c>
      <c r="Q213">
        <f t="shared" si="70"/>
        <v>204</v>
      </c>
      <c r="R213" t="str">
        <f t="shared" si="71"/>
        <v/>
      </c>
      <c r="BZ213" s="51"/>
      <c r="CB213" s="10"/>
      <c r="CI213" s="69"/>
    </row>
    <row r="214" spans="3:87">
      <c r="C214" t="str">
        <f t="shared" si="72"/>
        <v/>
      </c>
      <c r="D214">
        <v>205</v>
      </c>
      <c r="E214">
        <v>70</v>
      </c>
      <c r="F214">
        <f t="shared" si="68"/>
        <v>1519</v>
      </c>
      <c r="G214">
        <v>3971</v>
      </c>
      <c r="H214">
        <f t="shared" si="69"/>
        <v>5490</v>
      </c>
      <c r="I214">
        <f t="shared" si="73"/>
        <v>0</v>
      </c>
      <c r="J214">
        <v>14980</v>
      </c>
      <c r="K214">
        <f t="shared" si="74"/>
        <v>10700</v>
      </c>
      <c r="L214">
        <v>0.26</v>
      </c>
      <c r="M214">
        <v>5.8</v>
      </c>
      <c r="N214">
        <v>21</v>
      </c>
      <c r="O214">
        <v>8</v>
      </c>
      <c r="P214" t="s">
        <v>555</v>
      </c>
      <c r="Q214">
        <f t="shared" si="70"/>
        <v>205</v>
      </c>
      <c r="R214" t="str">
        <f t="shared" si="71"/>
        <v/>
      </c>
      <c r="BZ214" s="51"/>
      <c r="CB214" s="10"/>
      <c r="CI214" s="69"/>
    </row>
    <row r="215" spans="3:87">
      <c r="C215" t="str">
        <f t="shared" si="72"/>
        <v/>
      </c>
      <c r="D215">
        <v>206</v>
      </c>
      <c r="E215">
        <v>70</v>
      </c>
      <c r="F215">
        <f t="shared" si="68"/>
        <v>1519</v>
      </c>
      <c r="G215">
        <v>5103</v>
      </c>
      <c r="H215">
        <f t="shared" si="69"/>
        <v>6622</v>
      </c>
      <c r="I215">
        <f t="shared" si="73"/>
        <v>0</v>
      </c>
      <c r="J215">
        <v>19250</v>
      </c>
      <c r="K215">
        <f t="shared" si="74"/>
        <v>13750</v>
      </c>
      <c r="L215">
        <v>0.54</v>
      </c>
      <c r="M215">
        <v>5.8</v>
      </c>
      <c r="N215">
        <v>26</v>
      </c>
      <c r="O215">
        <v>8</v>
      </c>
      <c r="P215" t="s">
        <v>513</v>
      </c>
      <c r="Q215">
        <f t="shared" si="70"/>
        <v>206</v>
      </c>
      <c r="R215" t="str">
        <f t="shared" si="71"/>
        <v/>
      </c>
      <c r="BZ215" s="51"/>
      <c r="CB215" s="10"/>
      <c r="CI215" s="69"/>
    </row>
    <row r="216" spans="3:87">
      <c r="C216" t="str">
        <f t="shared" si="72"/>
        <v/>
      </c>
      <c r="D216">
        <v>207</v>
      </c>
      <c r="E216">
        <v>70</v>
      </c>
      <c r="F216">
        <f t="shared" si="68"/>
        <v>1519</v>
      </c>
      <c r="G216">
        <v>5276</v>
      </c>
      <c r="H216">
        <f t="shared" si="69"/>
        <v>6795</v>
      </c>
      <c r="I216">
        <f t="shared" si="73"/>
        <v>0</v>
      </c>
      <c r="J216">
        <v>19905</v>
      </c>
      <c r="K216">
        <f t="shared" si="74"/>
        <v>14217.857142857143</v>
      </c>
      <c r="L216">
        <v>0.36</v>
      </c>
      <c r="M216">
        <v>7.1999999999999993</v>
      </c>
      <c r="N216">
        <v>25</v>
      </c>
      <c r="O216">
        <v>10</v>
      </c>
      <c r="P216" t="s">
        <v>513</v>
      </c>
      <c r="Q216" t="str">
        <f t="shared" si="70"/>
        <v/>
      </c>
      <c r="R216" t="str">
        <f t="shared" si="71"/>
        <v/>
      </c>
      <c r="BZ216" s="51"/>
      <c r="CB216" s="10"/>
      <c r="CI216" s="69"/>
    </row>
    <row r="217" spans="3:87">
      <c r="C217" t="str">
        <f t="shared" si="72"/>
        <v/>
      </c>
      <c r="D217">
        <v>208</v>
      </c>
      <c r="E217">
        <v>70</v>
      </c>
      <c r="F217">
        <f t="shared" si="68"/>
        <v>1519</v>
      </c>
      <c r="G217">
        <v>6304</v>
      </c>
      <c r="H217">
        <f t="shared" si="69"/>
        <v>7823</v>
      </c>
      <c r="I217">
        <f t="shared" si="73"/>
        <v>0</v>
      </c>
      <c r="J217">
        <v>23782</v>
      </c>
      <c r="K217">
        <f t="shared" si="74"/>
        <v>16987.142857142859</v>
      </c>
      <c r="L217">
        <v>0.7</v>
      </c>
      <c r="M217">
        <v>7.1999999999999993</v>
      </c>
      <c r="N217">
        <v>25</v>
      </c>
      <c r="O217">
        <v>10</v>
      </c>
      <c r="P217" t="s">
        <v>512</v>
      </c>
      <c r="Q217" t="str">
        <f t="shared" si="70"/>
        <v/>
      </c>
      <c r="R217" t="str">
        <f t="shared" si="71"/>
        <v/>
      </c>
      <c r="BZ217" s="51"/>
      <c r="CB217" s="10"/>
      <c r="CI217" s="69"/>
    </row>
    <row r="218" spans="3:87">
      <c r="C218" t="str">
        <f t="shared" si="72"/>
        <v/>
      </c>
      <c r="D218">
        <v>209</v>
      </c>
      <c r="E218">
        <v>75</v>
      </c>
      <c r="F218">
        <f t="shared" si="68"/>
        <v>1627.5</v>
      </c>
      <c r="G218">
        <v>2314</v>
      </c>
      <c r="H218">
        <f t="shared" si="69"/>
        <v>3941.5</v>
      </c>
      <c r="I218">
        <f t="shared" si="73"/>
        <v>0</v>
      </c>
      <c r="J218">
        <v>8731</v>
      </c>
      <c r="K218">
        <f t="shared" si="74"/>
        <v>6236.4285714285716</v>
      </c>
      <c r="L218">
        <v>0.88</v>
      </c>
      <c r="M218">
        <v>1.7000000000000002</v>
      </c>
      <c r="N218">
        <v>26</v>
      </c>
      <c r="O218">
        <v>2</v>
      </c>
      <c r="P218" t="s">
        <v>515</v>
      </c>
      <c r="Q218" t="str">
        <f t="shared" si="70"/>
        <v/>
      </c>
      <c r="R218" t="str">
        <f t="shared" si="71"/>
        <v/>
      </c>
      <c r="BZ218" s="51"/>
      <c r="CB218" s="10"/>
      <c r="CI218" s="69"/>
    </row>
    <row r="219" spans="3:87">
      <c r="C219" t="str">
        <f t="shared" si="72"/>
        <v>NL</v>
      </c>
      <c r="D219">
        <v>210</v>
      </c>
      <c r="E219">
        <v>75</v>
      </c>
      <c r="F219">
        <f t="shared" si="68"/>
        <v>1627.5</v>
      </c>
      <c r="G219">
        <v>2584</v>
      </c>
      <c r="H219">
        <f t="shared" si="69"/>
        <v>4211.5</v>
      </c>
      <c r="I219">
        <f t="shared" si="73"/>
        <v>0</v>
      </c>
      <c r="J219">
        <v>9749</v>
      </c>
      <c r="K219">
        <f t="shared" si="74"/>
        <v>6963.5714285714284</v>
      </c>
      <c r="L219">
        <v>0.37</v>
      </c>
      <c r="M219">
        <v>2.4</v>
      </c>
      <c r="N219">
        <v>22</v>
      </c>
      <c r="O219">
        <v>3</v>
      </c>
      <c r="P219" t="s">
        <v>515</v>
      </c>
      <c r="Q219" t="str">
        <f t="shared" si="70"/>
        <v/>
      </c>
      <c r="R219" t="str">
        <f t="shared" si="71"/>
        <v/>
      </c>
      <c r="BZ219" s="51"/>
      <c r="CB219" s="10"/>
      <c r="CI219" s="69"/>
    </row>
    <row r="220" spans="3:87">
      <c r="C220" t="str">
        <f t="shared" si="72"/>
        <v>NL</v>
      </c>
      <c r="D220">
        <v>211</v>
      </c>
      <c r="E220">
        <v>75</v>
      </c>
      <c r="F220">
        <f t="shared" si="68"/>
        <v>1627.5</v>
      </c>
      <c r="G220">
        <v>3032</v>
      </c>
      <c r="H220">
        <f t="shared" si="69"/>
        <v>4659.5</v>
      </c>
      <c r="I220">
        <f t="shared" si="73"/>
        <v>0</v>
      </c>
      <c r="J220">
        <v>11440</v>
      </c>
      <c r="K220">
        <f t="shared" si="74"/>
        <v>8171.4285714285716</v>
      </c>
      <c r="L220">
        <v>0.62</v>
      </c>
      <c r="M220">
        <v>2.4</v>
      </c>
      <c r="N220">
        <v>25</v>
      </c>
      <c r="O220">
        <v>3</v>
      </c>
      <c r="P220" t="s">
        <v>556</v>
      </c>
      <c r="Q220" t="str">
        <f t="shared" si="70"/>
        <v/>
      </c>
      <c r="R220" t="str">
        <f t="shared" si="71"/>
        <v/>
      </c>
      <c r="BZ220" s="51"/>
      <c r="CB220" s="10"/>
      <c r="CI220" s="69"/>
    </row>
    <row r="221" spans="3:87">
      <c r="C221" t="str">
        <f t="shared" si="72"/>
        <v/>
      </c>
      <c r="D221">
        <v>212</v>
      </c>
      <c r="E221">
        <v>75</v>
      </c>
      <c r="F221">
        <f t="shared" si="68"/>
        <v>1627.5</v>
      </c>
      <c r="G221">
        <v>2475</v>
      </c>
      <c r="H221">
        <f t="shared" si="69"/>
        <v>4102.5</v>
      </c>
      <c r="I221">
        <f t="shared" si="73"/>
        <v>0</v>
      </c>
      <c r="J221">
        <v>9337</v>
      </c>
      <c r="K221">
        <f t="shared" si="74"/>
        <v>6669.2857142857147</v>
      </c>
      <c r="L221">
        <v>0.21000000000000002</v>
      </c>
      <c r="M221">
        <v>3.1</v>
      </c>
      <c r="N221">
        <v>20</v>
      </c>
      <c r="O221">
        <v>4</v>
      </c>
      <c r="P221" t="s">
        <v>515</v>
      </c>
      <c r="Q221">
        <f t="shared" si="70"/>
        <v>212</v>
      </c>
      <c r="R221" t="str">
        <f t="shared" si="71"/>
        <v/>
      </c>
      <c r="BZ221" s="51"/>
      <c r="CB221" s="10"/>
      <c r="CI221" s="69"/>
    </row>
    <row r="222" spans="3:87">
      <c r="C222" t="str">
        <f t="shared" si="72"/>
        <v/>
      </c>
      <c r="D222">
        <v>213</v>
      </c>
      <c r="E222">
        <v>75</v>
      </c>
      <c r="F222">
        <f t="shared" si="68"/>
        <v>1627.5</v>
      </c>
      <c r="G222">
        <v>3019</v>
      </c>
      <c r="H222">
        <f t="shared" si="69"/>
        <v>4646.5</v>
      </c>
      <c r="I222">
        <f t="shared" si="73"/>
        <v>0</v>
      </c>
      <c r="J222">
        <v>11391</v>
      </c>
      <c r="K222">
        <f t="shared" si="74"/>
        <v>8136.4285714285716</v>
      </c>
      <c r="L222">
        <v>0.35000000000000003</v>
      </c>
      <c r="M222">
        <v>3.1</v>
      </c>
      <c r="N222">
        <v>22</v>
      </c>
      <c r="O222">
        <v>4</v>
      </c>
      <c r="P222" t="s">
        <v>556</v>
      </c>
      <c r="Q222">
        <f t="shared" si="70"/>
        <v>213</v>
      </c>
      <c r="R222" t="str">
        <f t="shared" si="71"/>
        <v/>
      </c>
      <c r="BZ222" s="51"/>
      <c r="CB222" s="10"/>
      <c r="CI222" s="69"/>
    </row>
    <row r="223" spans="3:87">
      <c r="C223" t="str">
        <f t="shared" si="72"/>
        <v/>
      </c>
      <c r="D223">
        <v>214</v>
      </c>
      <c r="E223">
        <v>75</v>
      </c>
      <c r="F223">
        <f t="shared" si="68"/>
        <v>1627.5</v>
      </c>
      <c r="G223">
        <v>3808</v>
      </c>
      <c r="H223">
        <f t="shared" si="69"/>
        <v>5435.5</v>
      </c>
      <c r="I223">
        <f t="shared" si="73"/>
        <v>0</v>
      </c>
      <c r="J223">
        <v>14365</v>
      </c>
      <c r="K223">
        <f t="shared" si="74"/>
        <v>10260.714285714286</v>
      </c>
      <c r="L223">
        <v>0.74</v>
      </c>
      <c r="M223">
        <v>3.1</v>
      </c>
      <c r="N223">
        <v>28</v>
      </c>
      <c r="O223">
        <v>4</v>
      </c>
      <c r="P223" t="s">
        <v>514</v>
      </c>
      <c r="Q223" t="str">
        <f t="shared" si="70"/>
        <v/>
      </c>
      <c r="R223" t="str">
        <f t="shared" si="71"/>
        <v/>
      </c>
      <c r="BZ223" s="51"/>
      <c r="CB223" s="10"/>
      <c r="CI223" s="69"/>
    </row>
    <row r="224" spans="3:87">
      <c r="C224" t="str">
        <f t="shared" si="72"/>
        <v>NL</v>
      </c>
      <c r="D224">
        <v>215</v>
      </c>
      <c r="E224">
        <v>75</v>
      </c>
      <c r="F224">
        <f t="shared" si="68"/>
        <v>1627.5</v>
      </c>
      <c r="G224">
        <v>3057</v>
      </c>
      <c r="H224">
        <f t="shared" si="69"/>
        <v>4684.5</v>
      </c>
      <c r="I224">
        <f t="shared" si="73"/>
        <v>0</v>
      </c>
      <c r="J224">
        <v>11534</v>
      </c>
      <c r="K224">
        <f t="shared" si="74"/>
        <v>8238.5714285714294</v>
      </c>
      <c r="L224">
        <v>0.23</v>
      </c>
      <c r="M224">
        <v>3.8000000000000003</v>
      </c>
      <c r="N224">
        <v>21</v>
      </c>
      <c r="O224">
        <v>5</v>
      </c>
      <c r="P224" t="s">
        <v>556</v>
      </c>
      <c r="Q224" t="str">
        <f t="shared" si="70"/>
        <v/>
      </c>
      <c r="R224" t="str">
        <f t="shared" si="71"/>
        <v/>
      </c>
      <c r="BZ224" s="51"/>
      <c r="CB224" s="10"/>
      <c r="CI224" s="69"/>
    </row>
    <row r="225" spans="3:87">
      <c r="C225" t="str">
        <f t="shared" si="72"/>
        <v>NL</v>
      </c>
      <c r="D225">
        <v>216</v>
      </c>
      <c r="E225">
        <v>75</v>
      </c>
      <c r="F225">
        <f t="shared" si="68"/>
        <v>1627.5</v>
      </c>
      <c r="G225">
        <v>3931</v>
      </c>
      <c r="H225">
        <f t="shared" si="69"/>
        <v>5558.5</v>
      </c>
      <c r="I225">
        <f t="shared" si="73"/>
        <v>0</v>
      </c>
      <c r="J225">
        <v>14831</v>
      </c>
      <c r="K225">
        <f t="shared" si="74"/>
        <v>10593.571428571429</v>
      </c>
      <c r="L225">
        <v>0.47000000000000003</v>
      </c>
      <c r="M225">
        <v>3.8000000000000003</v>
      </c>
      <c r="N225">
        <v>26</v>
      </c>
      <c r="O225">
        <v>5</v>
      </c>
      <c r="P225" t="s">
        <v>514</v>
      </c>
      <c r="Q225" t="str">
        <f t="shared" si="70"/>
        <v/>
      </c>
      <c r="R225" t="str">
        <f t="shared" si="71"/>
        <v/>
      </c>
      <c r="BZ225" s="51"/>
      <c r="CB225" s="10"/>
      <c r="CI225" s="69"/>
    </row>
    <row r="226" spans="3:87">
      <c r="C226" t="str">
        <f t="shared" si="72"/>
        <v>NL</v>
      </c>
      <c r="D226">
        <v>217</v>
      </c>
      <c r="E226">
        <v>75</v>
      </c>
      <c r="F226">
        <f t="shared" si="68"/>
        <v>1627.5</v>
      </c>
      <c r="G226">
        <v>4239</v>
      </c>
      <c r="H226">
        <f t="shared" si="69"/>
        <v>5866.5</v>
      </c>
      <c r="I226">
        <f t="shared" si="73"/>
        <v>0</v>
      </c>
      <c r="J226">
        <v>15991</v>
      </c>
      <c r="K226">
        <f t="shared" si="74"/>
        <v>11422.142857142857</v>
      </c>
      <c r="L226">
        <v>0.68</v>
      </c>
      <c r="M226">
        <v>3.8000000000000003</v>
      </c>
      <c r="N226">
        <v>24</v>
      </c>
      <c r="O226">
        <v>5</v>
      </c>
      <c r="P226" t="s">
        <v>555</v>
      </c>
      <c r="Q226" t="str">
        <f t="shared" si="70"/>
        <v/>
      </c>
      <c r="R226" t="str">
        <f t="shared" si="71"/>
        <v/>
      </c>
      <c r="BZ226" s="51"/>
      <c r="CB226" s="10"/>
      <c r="CI226" s="69"/>
    </row>
    <row r="227" spans="3:87">
      <c r="C227" t="str">
        <f t="shared" si="72"/>
        <v/>
      </c>
      <c r="D227">
        <v>218</v>
      </c>
      <c r="E227">
        <v>75</v>
      </c>
      <c r="F227">
        <f t="shared" si="68"/>
        <v>1627.5</v>
      </c>
      <c r="G227">
        <v>3911</v>
      </c>
      <c r="H227">
        <f t="shared" si="69"/>
        <v>5538.5</v>
      </c>
      <c r="I227">
        <f t="shared" si="73"/>
        <v>0</v>
      </c>
      <c r="J227">
        <v>14756</v>
      </c>
      <c r="K227">
        <f t="shared" si="74"/>
        <v>10540</v>
      </c>
      <c r="L227">
        <v>0.33</v>
      </c>
      <c r="M227">
        <v>4.3999999999999995</v>
      </c>
      <c r="N227">
        <v>25</v>
      </c>
      <c r="O227">
        <v>6</v>
      </c>
      <c r="P227" t="s">
        <v>514</v>
      </c>
      <c r="Q227">
        <f t="shared" si="70"/>
        <v>218</v>
      </c>
      <c r="R227" t="str">
        <f t="shared" si="71"/>
        <v/>
      </c>
      <c r="BZ227" s="51"/>
      <c r="CB227" s="10"/>
      <c r="CI227" s="69"/>
    </row>
    <row r="228" spans="3:87">
      <c r="C228" t="str">
        <f t="shared" si="72"/>
        <v/>
      </c>
      <c r="D228">
        <v>219</v>
      </c>
      <c r="E228">
        <v>75</v>
      </c>
      <c r="F228">
        <f t="shared" si="68"/>
        <v>1627.5</v>
      </c>
      <c r="G228">
        <v>4441</v>
      </c>
      <c r="H228">
        <f t="shared" si="69"/>
        <v>6068.5</v>
      </c>
      <c r="I228">
        <f t="shared" si="73"/>
        <v>0</v>
      </c>
      <c r="J228">
        <v>16754</v>
      </c>
      <c r="K228">
        <f t="shared" si="74"/>
        <v>11967.142857142857</v>
      </c>
      <c r="L228">
        <v>0.49</v>
      </c>
      <c r="M228">
        <v>4.3999999999999995</v>
      </c>
      <c r="N228">
        <v>23</v>
      </c>
      <c r="O228">
        <v>6</v>
      </c>
      <c r="P228" t="s">
        <v>555</v>
      </c>
      <c r="Q228">
        <f t="shared" si="70"/>
        <v>219</v>
      </c>
      <c r="R228" t="str">
        <f t="shared" si="71"/>
        <v/>
      </c>
      <c r="BZ228" s="51"/>
      <c r="CB228" s="10"/>
      <c r="CI228" s="69"/>
    </row>
    <row r="229" spans="3:87">
      <c r="C229" t="str">
        <f t="shared" si="72"/>
        <v>NL</v>
      </c>
      <c r="D229">
        <v>220</v>
      </c>
      <c r="E229">
        <v>75</v>
      </c>
      <c r="F229">
        <f t="shared" si="68"/>
        <v>1627.5</v>
      </c>
      <c r="G229">
        <v>3651</v>
      </c>
      <c r="H229">
        <f t="shared" si="69"/>
        <v>5278.5</v>
      </c>
      <c r="I229">
        <f t="shared" si="73"/>
        <v>0</v>
      </c>
      <c r="J229">
        <v>13776</v>
      </c>
      <c r="K229">
        <f t="shared" si="74"/>
        <v>9840</v>
      </c>
      <c r="L229">
        <v>0.25</v>
      </c>
      <c r="M229">
        <v>5.0999999999999996</v>
      </c>
      <c r="N229">
        <v>23</v>
      </c>
      <c r="O229">
        <v>7</v>
      </c>
      <c r="P229" t="s">
        <v>514</v>
      </c>
      <c r="Q229" t="str">
        <f t="shared" si="70"/>
        <v/>
      </c>
      <c r="R229" t="str">
        <f t="shared" si="71"/>
        <v/>
      </c>
      <c r="BZ229" s="51"/>
      <c r="CB229" s="10"/>
      <c r="CI229" s="69"/>
    </row>
    <row r="230" spans="3:87">
      <c r="C230" t="str">
        <f t="shared" si="72"/>
        <v>NL</v>
      </c>
      <c r="D230">
        <v>221</v>
      </c>
      <c r="E230">
        <v>75</v>
      </c>
      <c r="F230">
        <f t="shared" si="68"/>
        <v>1627.5</v>
      </c>
      <c r="G230">
        <v>4204</v>
      </c>
      <c r="H230">
        <f t="shared" si="69"/>
        <v>5831.5</v>
      </c>
      <c r="I230">
        <f t="shared" si="73"/>
        <v>0</v>
      </c>
      <c r="J230">
        <v>15860</v>
      </c>
      <c r="K230">
        <f t="shared" si="74"/>
        <v>11328.571428571429</v>
      </c>
      <c r="L230">
        <v>0.36</v>
      </c>
      <c r="M230">
        <v>5.0999999999999996</v>
      </c>
      <c r="N230">
        <v>22</v>
      </c>
      <c r="O230">
        <v>7</v>
      </c>
      <c r="P230" t="s">
        <v>555</v>
      </c>
      <c r="Q230" t="str">
        <f t="shared" si="70"/>
        <v/>
      </c>
      <c r="R230" t="str">
        <f t="shared" si="71"/>
        <v/>
      </c>
      <c r="BZ230" s="51"/>
      <c r="CB230" s="10"/>
      <c r="CI230" s="69"/>
    </row>
    <row r="231" spans="3:87">
      <c r="C231" t="str">
        <f t="shared" si="72"/>
        <v>NL</v>
      </c>
      <c r="D231">
        <v>222</v>
      </c>
      <c r="E231">
        <v>75</v>
      </c>
      <c r="F231">
        <f t="shared" si="68"/>
        <v>1627.5</v>
      </c>
      <c r="G231">
        <v>5814</v>
      </c>
      <c r="H231">
        <f t="shared" si="69"/>
        <v>7441.5</v>
      </c>
      <c r="I231">
        <f t="shared" si="73"/>
        <v>0</v>
      </c>
      <c r="J231">
        <v>21935</v>
      </c>
      <c r="K231">
        <f t="shared" si="74"/>
        <v>15667.857142857143</v>
      </c>
      <c r="L231">
        <v>0.79</v>
      </c>
      <c r="M231">
        <v>5.0999999999999996</v>
      </c>
      <c r="N231">
        <v>28</v>
      </c>
      <c r="O231">
        <v>7</v>
      </c>
      <c r="P231" t="s">
        <v>513</v>
      </c>
      <c r="Q231" t="str">
        <f t="shared" si="70"/>
        <v/>
      </c>
      <c r="R231" t="str">
        <f t="shared" si="71"/>
        <v/>
      </c>
      <c r="BZ231" s="51"/>
      <c r="CB231" s="10"/>
      <c r="CI231" s="69"/>
    </row>
    <row r="232" spans="3:87">
      <c r="C232" t="str">
        <f t="shared" si="72"/>
        <v/>
      </c>
      <c r="D232">
        <v>223</v>
      </c>
      <c r="E232">
        <v>75</v>
      </c>
      <c r="F232">
        <f t="shared" si="68"/>
        <v>1627.5</v>
      </c>
      <c r="G232">
        <v>3712</v>
      </c>
      <c r="H232">
        <f t="shared" si="69"/>
        <v>5339.5</v>
      </c>
      <c r="I232">
        <f t="shared" si="73"/>
        <v>0</v>
      </c>
      <c r="J232">
        <v>14004</v>
      </c>
      <c r="K232">
        <f t="shared" si="74"/>
        <v>10002.857142857143</v>
      </c>
      <c r="L232">
        <v>0.2</v>
      </c>
      <c r="M232">
        <v>5.8</v>
      </c>
      <c r="N232">
        <v>23</v>
      </c>
      <c r="O232">
        <v>8</v>
      </c>
      <c r="P232" t="s">
        <v>514</v>
      </c>
      <c r="Q232">
        <f t="shared" si="70"/>
        <v>223</v>
      </c>
      <c r="R232" t="str">
        <f t="shared" si="71"/>
        <v/>
      </c>
      <c r="BZ232" s="51"/>
      <c r="CB232" s="10"/>
      <c r="CI232" s="69"/>
    </row>
    <row r="233" spans="3:87">
      <c r="C233" t="str">
        <f t="shared" si="72"/>
        <v/>
      </c>
      <c r="D233">
        <v>224</v>
      </c>
      <c r="E233">
        <v>75</v>
      </c>
      <c r="F233">
        <f t="shared" si="68"/>
        <v>1627.5</v>
      </c>
      <c r="G233">
        <v>4173</v>
      </c>
      <c r="H233">
        <f t="shared" si="69"/>
        <v>5800.5</v>
      </c>
      <c r="I233">
        <f t="shared" si="73"/>
        <v>0</v>
      </c>
      <c r="J233">
        <v>15745</v>
      </c>
      <c r="K233">
        <f t="shared" si="74"/>
        <v>11246.428571428572</v>
      </c>
      <c r="L233">
        <v>0.29000000000000004</v>
      </c>
      <c r="M233">
        <v>5.8</v>
      </c>
      <c r="N233">
        <v>22</v>
      </c>
      <c r="O233">
        <v>8</v>
      </c>
      <c r="P233" t="s">
        <v>555</v>
      </c>
      <c r="Q233">
        <f t="shared" si="70"/>
        <v>224</v>
      </c>
      <c r="R233" t="str">
        <f t="shared" si="71"/>
        <v/>
      </c>
      <c r="BZ233" s="51"/>
      <c r="CB233" s="10"/>
      <c r="CI233" s="69"/>
    </row>
    <row r="234" spans="3:87">
      <c r="C234" t="str">
        <f t="shared" si="72"/>
        <v/>
      </c>
      <c r="D234">
        <v>225</v>
      </c>
      <c r="E234">
        <v>75</v>
      </c>
      <c r="F234">
        <f t="shared" si="68"/>
        <v>1627.5</v>
      </c>
      <c r="G234">
        <v>5493</v>
      </c>
      <c r="H234">
        <f t="shared" si="69"/>
        <v>7120.5</v>
      </c>
      <c r="I234">
        <f t="shared" si="73"/>
        <v>0</v>
      </c>
      <c r="J234">
        <v>20724</v>
      </c>
      <c r="K234">
        <f t="shared" si="74"/>
        <v>14802.857142857143</v>
      </c>
      <c r="L234">
        <v>0.61</v>
      </c>
      <c r="M234">
        <v>5.8</v>
      </c>
      <c r="N234">
        <v>26</v>
      </c>
      <c r="O234">
        <v>8</v>
      </c>
      <c r="P234" t="s">
        <v>513</v>
      </c>
      <c r="Q234">
        <f t="shared" si="70"/>
        <v>225</v>
      </c>
      <c r="R234" t="str">
        <f t="shared" si="71"/>
        <v/>
      </c>
      <c r="BZ234" s="51"/>
      <c r="CB234" s="10"/>
      <c r="CI234" s="69"/>
    </row>
    <row r="235" spans="3:87">
      <c r="C235" t="str">
        <f t="shared" si="72"/>
        <v/>
      </c>
      <c r="D235">
        <v>226</v>
      </c>
      <c r="E235">
        <v>75</v>
      </c>
      <c r="F235">
        <f t="shared" si="68"/>
        <v>1627.5</v>
      </c>
      <c r="G235">
        <v>4379</v>
      </c>
      <c r="H235">
        <f t="shared" si="69"/>
        <v>6006.5</v>
      </c>
      <c r="I235">
        <f t="shared" si="73"/>
        <v>0</v>
      </c>
      <c r="J235">
        <v>16520</v>
      </c>
      <c r="K235">
        <f t="shared" si="74"/>
        <v>11800</v>
      </c>
      <c r="L235">
        <v>0.2</v>
      </c>
      <c r="M235">
        <v>7.1999999999999993</v>
      </c>
      <c r="N235">
        <v>21</v>
      </c>
      <c r="O235">
        <v>10</v>
      </c>
      <c r="P235" t="s">
        <v>555</v>
      </c>
      <c r="Q235" t="str">
        <f t="shared" si="70"/>
        <v/>
      </c>
      <c r="R235" t="str">
        <f t="shared" si="71"/>
        <v/>
      </c>
      <c r="BZ235" s="51"/>
      <c r="CB235" s="10"/>
      <c r="CI235" s="69"/>
    </row>
    <row r="236" spans="3:87">
      <c r="C236" t="str">
        <f t="shared" si="72"/>
        <v/>
      </c>
      <c r="D236">
        <v>227</v>
      </c>
      <c r="E236">
        <v>75</v>
      </c>
      <c r="F236">
        <f t="shared" si="68"/>
        <v>1627.5</v>
      </c>
      <c r="G236">
        <v>5442</v>
      </c>
      <c r="H236">
        <f t="shared" si="69"/>
        <v>7069.5</v>
      </c>
      <c r="I236">
        <f t="shared" si="73"/>
        <v>0</v>
      </c>
      <c r="J236">
        <v>20529</v>
      </c>
      <c r="K236">
        <f t="shared" si="74"/>
        <v>14663.571428571429</v>
      </c>
      <c r="L236">
        <v>0.41000000000000003</v>
      </c>
      <c r="M236">
        <v>7.1999999999999993</v>
      </c>
      <c r="N236">
        <v>25</v>
      </c>
      <c r="O236">
        <v>10</v>
      </c>
      <c r="P236" t="s">
        <v>513</v>
      </c>
      <c r="Q236" t="str">
        <f t="shared" si="70"/>
        <v/>
      </c>
      <c r="R236" t="str">
        <f t="shared" si="71"/>
        <v/>
      </c>
      <c r="BZ236" s="51"/>
      <c r="CB236" s="10"/>
      <c r="CI236" s="69"/>
    </row>
    <row r="237" spans="3:87">
      <c r="C237" t="str">
        <f t="shared" si="72"/>
        <v/>
      </c>
      <c r="D237">
        <v>228</v>
      </c>
      <c r="E237">
        <v>75</v>
      </c>
      <c r="F237">
        <f t="shared" si="68"/>
        <v>1627.5</v>
      </c>
      <c r="G237">
        <v>6712</v>
      </c>
      <c r="H237">
        <f t="shared" si="69"/>
        <v>8339.5</v>
      </c>
      <c r="I237">
        <f t="shared" si="73"/>
        <v>0</v>
      </c>
      <c r="J237">
        <v>25323</v>
      </c>
      <c r="K237">
        <f t="shared" si="74"/>
        <v>18087.857142857145</v>
      </c>
      <c r="L237">
        <v>0.79</v>
      </c>
      <c r="M237">
        <v>7.1999999999999993</v>
      </c>
      <c r="N237">
        <v>26</v>
      </c>
      <c r="O237">
        <v>10</v>
      </c>
      <c r="P237" t="s">
        <v>512</v>
      </c>
      <c r="Q237" t="str">
        <f t="shared" si="70"/>
        <v/>
      </c>
      <c r="R237" t="str">
        <f t="shared" si="71"/>
        <v/>
      </c>
      <c r="BZ237" s="51"/>
      <c r="CB237" s="10"/>
      <c r="CI237" s="69"/>
    </row>
    <row r="238" spans="3:87">
      <c r="C238" t="str">
        <f t="shared" si="72"/>
        <v/>
      </c>
      <c r="D238">
        <v>229</v>
      </c>
      <c r="E238">
        <v>80</v>
      </c>
      <c r="F238">
        <f t="shared" si="68"/>
        <v>1736</v>
      </c>
      <c r="G238">
        <v>2363</v>
      </c>
      <c r="H238">
        <f t="shared" si="69"/>
        <v>4099</v>
      </c>
      <c r="I238">
        <f t="shared" si="73"/>
        <v>0</v>
      </c>
      <c r="J238">
        <v>8914</v>
      </c>
      <c r="K238">
        <f t="shared" si="74"/>
        <v>6367.1428571428569</v>
      </c>
      <c r="L238">
        <v>1.01</v>
      </c>
      <c r="M238">
        <v>1.7000000000000002</v>
      </c>
      <c r="N238">
        <v>27</v>
      </c>
      <c r="O238">
        <v>2</v>
      </c>
      <c r="P238" t="s">
        <v>515</v>
      </c>
      <c r="Q238" t="str">
        <f t="shared" si="70"/>
        <v/>
      </c>
      <c r="R238" t="str">
        <f t="shared" si="71"/>
        <v/>
      </c>
      <c r="BZ238" s="51"/>
      <c r="CB238" s="10"/>
      <c r="CI238" s="69"/>
    </row>
    <row r="239" spans="3:87">
      <c r="C239" t="str">
        <f t="shared" si="72"/>
        <v>NL</v>
      </c>
      <c r="D239">
        <v>230</v>
      </c>
      <c r="E239">
        <v>80</v>
      </c>
      <c r="F239">
        <f t="shared" si="68"/>
        <v>1736</v>
      </c>
      <c r="G239">
        <v>2753</v>
      </c>
      <c r="H239">
        <f t="shared" si="69"/>
        <v>4489</v>
      </c>
      <c r="I239">
        <f t="shared" si="73"/>
        <v>0</v>
      </c>
      <c r="J239">
        <v>10385</v>
      </c>
      <c r="K239">
        <f t="shared" si="74"/>
        <v>7417.8571428571431</v>
      </c>
      <c r="L239">
        <v>0.42</v>
      </c>
      <c r="M239">
        <v>2.4</v>
      </c>
      <c r="N239">
        <v>23</v>
      </c>
      <c r="O239">
        <v>3</v>
      </c>
      <c r="P239" t="s">
        <v>515</v>
      </c>
      <c r="Q239" t="str">
        <f t="shared" si="70"/>
        <v/>
      </c>
      <c r="R239" t="str">
        <f t="shared" si="71"/>
        <v/>
      </c>
      <c r="BZ239" s="51"/>
      <c r="CB239" s="10"/>
      <c r="CI239" s="69"/>
    </row>
    <row r="240" spans="3:87">
      <c r="C240" t="str">
        <f t="shared" si="72"/>
        <v>NL</v>
      </c>
      <c r="D240">
        <v>231</v>
      </c>
      <c r="E240">
        <v>80</v>
      </c>
      <c r="F240">
        <f t="shared" si="68"/>
        <v>1736</v>
      </c>
      <c r="G240">
        <v>3149</v>
      </c>
      <c r="H240">
        <f t="shared" si="69"/>
        <v>4885</v>
      </c>
      <c r="I240">
        <f t="shared" si="73"/>
        <v>0</v>
      </c>
      <c r="J240">
        <v>11881</v>
      </c>
      <c r="K240">
        <f t="shared" si="74"/>
        <v>8486.4285714285725</v>
      </c>
      <c r="L240">
        <v>0.7</v>
      </c>
      <c r="M240">
        <v>2.4</v>
      </c>
      <c r="N240">
        <v>25</v>
      </c>
      <c r="O240">
        <v>3</v>
      </c>
      <c r="P240" t="s">
        <v>556</v>
      </c>
      <c r="Q240" t="str">
        <f t="shared" si="70"/>
        <v/>
      </c>
      <c r="R240" t="str">
        <f t="shared" si="71"/>
        <v/>
      </c>
      <c r="BZ240" s="51"/>
      <c r="CB240" s="10"/>
      <c r="CI240" s="69"/>
    </row>
    <row r="241" spans="3:87">
      <c r="C241" t="str">
        <f t="shared" si="72"/>
        <v/>
      </c>
      <c r="D241">
        <v>232</v>
      </c>
      <c r="E241">
        <v>80</v>
      </c>
      <c r="F241">
        <f t="shared" si="68"/>
        <v>1736</v>
      </c>
      <c r="G241">
        <v>2657</v>
      </c>
      <c r="H241">
        <f t="shared" si="69"/>
        <v>4393</v>
      </c>
      <c r="I241">
        <f t="shared" si="73"/>
        <v>0</v>
      </c>
      <c r="J241">
        <v>10025</v>
      </c>
      <c r="K241">
        <f t="shared" si="74"/>
        <v>7160.7142857142862</v>
      </c>
      <c r="L241">
        <v>0.24000000000000002</v>
      </c>
      <c r="M241">
        <v>3.1</v>
      </c>
      <c r="N241">
        <v>21</v>
      </c>
      <c r="O241">
        <v>4</v>
      </c>
      <c r="P241" t="s">
        <v>515</v>
      </c>
      <c r="Q241">
        <f t="shared" si="70"/>
        <v>232</v>
      </c>
      <c r="R241" t="str">
        <f t="shared" si="71"/>
        <v/>
      </c>
      <c r="BZ241" s="51"/>
      <c r="CB241" s="10"/>
      <c r="CI241" s="69"/>
    </row>
    <row r="242" spans="3:87">
      <c r="C242" t="str">
        <f t="shared" si="72"/>
        <v/>
      </c>
      <c r="D242">
        <v>233</v>
      </c>
      <c r="E242">
        <v>80</v>
      </c>
      <c r="F242">
        <f t="shared" si="68"/>
        <v>1736</v>
      </c>
      <c r="G242">
        <v>3220</v>
      </c>
      <c r="H242">
        <f t="shared" si="69"/>
        <v>4956</v>
      </c>
      <c r="I242">
        <f t="shared" si="73"/>
        <v>0</v>
      </c>
      <c r="J242">
        <v>12148</v>
      </c>
      <c r="K242">
        <f t="shared" si="74"/>
        <v>8677.1428571428569</v>
      </c>
      <c r="L242">
        <v>0.4</v>
      </c>
      <c r="M242">
        <v>3.1</v>
      </c>
      <c r="N242">
        <v>23</v>
      </c>
      <c r="O242">
        <v>4</v>
      </c>
      <c r="P242" t="s">
        <v>556</v>
      </c>
      <c r="Q242">
        <f t="shared" si="70"/>
        <v>233</v>
      </c>
      <c r="R242" t="str">
        <f t="shared" si="71"/>
        <v/>
      </c>
      <c r="BZ242" s="51"/>
      <c r="CB242" s="10"/>
      <c r="CI242" s="69"/>
    </row>
    <row r="243" spans="3:87">
      <c r="C243" t="str">
        <f t="shared" si="72"/>
        <v/>
      </c>
      <c r="D243">
        <v>234</v>
      </c>
      <c r="E243">
        <v>80</v>
      </c>
      <c r="F243">
        <f t="shared" si="68"/>
        <v>1736</v>
      </c>
      <c r="G243">
        <v>4000</v>
      </c>
      <c r="H243">
        <f t="shared" si="69"/>
        <v>5736</v>
      </c>
      <c r="I243">
        <f t="shared" si="73"/>
        <v>0</v>
      </c>
      <c r="J243">
        <v>15090</v>
      </c>
      <c r="K243">
        <f t="shared" si="74"/>
        <v>10778.571428571429</v>
      </c>
      <c r="L243">
        <v>0.84</v>
      </c>
      <c r="M243">
        <v>3.1</v>
      </c>
      <c r="N243">
        <v>29</v>
      </c>
      <c r="O243">
        <v>4</v>
      </c>
      <c r="P243" t="s">
        <v>514</v>
      </c>
      <c r="Q243" t="str">
        <f t="shared" si="70"/>
        <v/>
      </c>
      <c r="R243" t="str">
        <f t="shared" si="71"/>
        <v/>
      </c>
      <c r="BZ243" s="51"/>
      <c r="CB243" s="10"/>
      <c r="CI243" s="69"/>
    </row>
    <row r="244" spans="3:87">
      <c r="C244" t="str">
        <f t="shared" si="72"/>
        <v>NL</v>
      </c>
      <c r="D244">
        <v>235</v>
      </c>
      <c r="E244">
        <v>80</v>
      </c>
      <c r="F244">
        <f t="shared" si="68"/>
        <v>1736</v>
      </c>
      <c r="G244">
        <v>3305</v>
      </c>
      <c r="H244">
        <f t="shared" si="69"/>
        <v>5041</v>
      </c>
      <c r="I244">
        <f t="shared" si="73"/>
        <v>0</v>
      </c>
      <c r="J244">
        <v>12467</v>
      </c>
      <c r="K244">
        <f t="shared" si="74"/>
        <v>8905</v>
      </c>
      <c r="L244">
        <v>0.26</v>
      </c>
      <c r="M244">
        <v>3.8000000000000003</v>
      </c>
      <c r="N244">
        <v>22</v>
      </c>
      <c r="O244">
        <v>5</v>
      </c>
      <c r="P244" t="s">
        <v>556</v>
      </c>
      <c r="Q244" t="str">
        <f t="shared" si="70"/>
        <v/>
      </c>
      <c r="R244" t="str">
        <f t="shared" si="71"/>
        <v/>
      </c>
      <c r="BZ244" s="51"/>
      <c r="CB244" s="10"/>
      <c r="CI244" s="69"/>
    </row>
    <row r="245" spans="3:87">
      <c r="C245" t="str">
        <f t="shared" si="72"/>
        <v>NL</v>
      </c>
      <c r="D245">
        <v>236</v>
      </c>
      <c r="E245">
        <v>80</v>
      </c>
      <c r="F245">
        <f t="shared" si="68"/>
        <v>1736</v>
      </c>
      <c r="G245">
        <v>4142</v>
      </c>
      <c r="H245">
        <f t="shared" si="69"/>
        <v>5878</v>
      </c>
      <c r="I245">
        <f t="shared" si="73"/>
        <v>0</v>
      </c>
      <c r="J245">
        <v>15626</v>
      </c>
      <c r="K245">
        <f t="shared" si="74"/>
        <v>11161.428571428572</v>
      </c>
      <c r="L245">
        <v>0.53</v>
      </c>
      <c r="M245">
        <v>3.8000000000000003</v>
      </c>
      <c r="N245">
        <v>27</v>
      </c>
      <c r="O245">
        <v>5</v>
      </c>
      <c r="P245" t="s">
        <v>514</v>
      </c>
      <c r="Q245" t="str">
        <f t="shared" si="70"/>
        <v/>
      </c>
      <c r="R245" t="str">
        <f t="shared" si="71"/>
        <v/>
      </c>
      <c r="BZ245" s="51"/>
      <c r="CB245" s="10"/>
      <c r="CI245" s="69"/>
    </row>
    <row r="246" spans="3:87">
      <c r="C246" t="str">
        <f t="shared" si="72"/>
        <v>NL</v>
      </c>
      <c r="D246">
        <v>237</v>
      </c>
      <c r="E246">
        <v>80</v>
      </c>
      <c r="F246">
        <f t="shared" si="68"/>
        <v>1736</v>
      </c>
      <c r="G246">
        <v>4462</v>
      </c>
      <c r="H246">
        <f t="shared" si="69"/>
        <v>6198</v>
      </c>
      <c r="I246">
        <f t="shared" si="73"/>
        <v>0</v>
      </c>
      <c r="J246">
        <v>16833</v>
      </c>
      <c r="K246">
        <f t="shared" si="74"/>
        <v>12023.571428571429</v>
      </c>
      <c r="L246">
        <v>0.78</v>
      </c>
      <c r="M246">
        <v>3.8000000000000003</v>
      </c>
      <c r="N246">
        <v>25</v>
      </c>
      <c r="O246">
        <v>5</v>
      </c>
      <c r="P246" t="s">
        <v>555</v>
      </c>
      <c r="Q246" t="str">
        <f t="shared" si="70"/>
        <v/>
      </c>
      <c r="R246" t="str">
        <f t="shared" si="71"/>
        <v/>
      </c>
      <c r="BZ246" s="51"/>
      <c r="CB246" s="10"/>
      <c r="CI246" s="69"/>
    </row>
    <row r="247" spans="3:87">
      <c r="C247" t="str">
        <f t="shared" si="72"/>
        <v/>
      </c>
      <c r="D247">
        <v>238</v>
      </c>
      <c r="E247">
        <v>80</v>
      </c>
      <c r="F247">
        <f t="shared" si="68"/>
        <v>1736</v>
      </c>
      <c r="G247">
        <v>3171</v>
      </c>
      <c r="H247">
        <f t="shared" si="69"/>
        <v>4907</v>
      </c>
      <c r="I247">
        <f t="shared" si="73"/>
        <v>0</v>
      </c>
      <c r="J247">
        <v>11964</v>
      </c>
      <c r="K247">
        <f t="shared" si="74"/>
        <v>8545.7142857142862</v>
      </c>
      <c r="L247">
        <v>0.18000000000000002</v>
      </c>
      <c r="M247">
        <v>4.3999999999999995</v>
      </c>
      <c r="N247">
        <v>20</v>
      </c>
      <c r="O247">
        <v>6</v>
      </c>
      <c r="P247" t="s">
        <v>556</v>
      </c>
      <c r="Q247">
        <f t="shared" si="70"/>
        <v>238</v>
      </c>
      <c r="R247" t="str">
        <f t="shared" si="71"/>
        <v/>
      </c>
      <c r="BZ247" s="51"/>
      <c r="CB247" s="10"/>
      <c r="CI247" s="69"/>
    </row>
    <row r="248" spans="3:87">
      <c r="C248" t="str">
        <f t="shared" si="72"/>
        <v/>
      </c>
      <c r="D248">
        <v>239</v>
      </c>
      <c r="E248">
        <v>80</v>
      </c>
      <c r="F248">
        <f t="shared" si="68"/>
        <v>1736</v>
      </c>
      <c r="G248">
        <v>4253</v>
      </c>
      <c r="H248">
        <f t="shared" si="69"/>
        <v>5989</v>
      </c>
      <c r="I248">
        <f t="shared" si="73"/>
        <v>0</v>
      </c>
      <c r="J248">
        <v>16046</v>
      </c>
      <c r="K248">
        <f t="shared" si="74"/>
        <v>11461.428571428572</v>
      </c>
      <c r="L248">
        <v>0.37</v>
      </c>
      <c r="M248">
        <v>4.3999999999999995</v>
      </c>
      <c r="N248">
        <v>25</v>
      </c>
      <c r="O248">
        <v>6</v>
      </c>
      <c r="P248" t="s">
        <v>514</v>
      </c>
      <c r="Q248">
        <f t="shared" si="70"/>
        <v>239</v>
      </c>
      <c r="R248" t="str">
        <f t="shared" si="71"/>
        <v/>
      </c>
      <c r="BZ248" s="51"/>
      <c r="CB248" s="10"/>
      <c r="CI248" s="69"/>
    </row>
    <row r="249" spans="3:87">
      <c r="C249" t="str">
        <f t="shared" si="72"/>
        <v/>
      </c>
      <c r="D249">
        <v>240</v>
      </c>
      <c r="E249" s="366">
        <v>80</v>
      </c>
      <c r="F249" s="366">
        <f t="shared" si="68"/>
        <v>1736</v>
      </c>
      <c r="G249" s="366">
        <v>4816</v>
      </c>
      <c r="H249" s="367">
        <f t="shared" si="69"/>
        <v>6552</v>
      </c>
      <c r="I249" s="368">
        <f t="shared" si="73"/>
        <v>0</v>
      </c>
      <c r="J249" s="367">
        <v>18170</v>
      </c>
      <c r="K249" s="367">
        <f t="shared" si="74"/>
        <v>12978.571428571429</v>
      </c>
      <c r="L249" s="10">
        <v>0.55000000000000004</v>
      </c>
      <c r="M249" s="10">
        <v>4.3999999999999995</v>
      </c>
      <c r="N249" s="605">
        <v>24</v>
      </c>
      <c r="O249" s="97">
        <v>6</v>
      </c>
      <c r="P249" s="97" t="s">
        <v>555</v>
      </c>
      <c r="Q249" s="97">
        <f t="shared" si="70"/>
        <v>240</v>
      </c>
      <c r="R249" t="str">
        <f t="shared" si="71"/>
        <v/>
      </c>
      <c r="BZ249" s="51"/>
      <c r="CB249" s="10"/>
      <c r="CI249" s="69"/>
    </row>
    <row r="250" spans="3:87">
      <c r="C250" t="str">
        <f t="shared" si="72"/>
        <v>NL</v>
      </c>
      <c r="D250">
        <v>241</v>
      </c>
      <c r="E250" s="366">
        <v>80</v>
      </c>
      <c r="F250" s="366">
        <f t="shared" si="68"/>
        <v>1736</v>
      </c>
      <c r="G250" s="366">
        <v>3963</v>
      </c>
      <c r="H250" s="367">
        <f t="shared" si="69"/>
        <v>5699</v>
      </c>
      <c r="I250" s="368">
        <f t="shared" si="73"/>
        <v>0</v>
      </c>
      <c r="J250" s="367">
        <v>14951</v>
      </c>
      <c r="K250" s="367">
        <f t="shared" si="74"/>
        <v>10679.285714285714</v>
      </c>
      <c r="L250" s="10">
        <v>0.28000000000000003</v>
      </c>
      <c r="M250" s="10">
        <v>5.0999999999999996</v>
      </c>
      <c r="N250" s="605">
        <v>24</v>
      </c>
      <c r="O250" s="97">
        <v>7</v>
      </c>
      <c r="P250" s="97" t="s">
        <v>514</v>
      </c>
      <c r="Q250" s="97" t="str">
        <f t="shared" si="70"/>
        <v/>
      </c>
      <c r="R250" t="str">
        <f t="shared" si="71"/>
        <v/>
      </c>
      <c r="BZ250" s="51"/>
      <c r="CB250" s="10"/>
      <c r="CI250" s="69"/>
    </row>
    <row r="251" spans="3:87">
      <c r="C251" t="str">
        <f t="shared" si="72"/>
        <v>NL</v>
      </c>
      <c r="D251">
        <v>242</v>
      </c>
      <c r="E251" s="366">
        <v>80</v>
      </c>
      <c r="F251" s="366">
        <f t="shared" si="68"/>
        <v>1736</v>
      </c>
      <c r="G251" s="366">
        <v>4556</v>
      </c>
      <c r="H251" s="367">
        <f t="shared" si="69"/>
        <v>6292</v>
      </c>
      <c r="I251" s="368">
        <f t="shared" si="73"/>
        <v>0</v>
      </c>
      <c r="J251" s="367">
        <v>17187</v>
      </c>
      <c r="K251" s="367">
        <f t="shared" si="74"/>
        <v>12276.428571428572</v>
      </c>
      <c r="L251" s="10">
        <v>0.41000000000000003</v>
      </c>
      <c r="M251" s="10">
        <v>5.0999999999999996</v>
      </c>
      <c r="N251" s="605">
        <v>23</v>
      </c>
      <c r="O251" s="97">
        <v>7</v>
      </c>
      <c r="P251" s="97" t="s">
        <v>555</v>
      </c>
      <c r="Q251" s="97" t="str">
        <f t="shared" si="70"/>
        <v/>
      </c>
      <c r="R251" t="str">
        <f t="shared" si="71"/>
        <v/>
      </c>
      <c r="BZ251" s="51"/>
      <c r="CB251" s="10"/>
      <c r="CI251" s="69"/>
    </row>
    <row r="252" spans="3:87">
      <c r="C252" t="str">
        <f t="shared" si="72"/>
        <v>NL</v>
      </c>
      <c r="D252">
        <v>243</v>
      </c>
      <c r="E252" s="366">
        <v>80</v>
      </c>
      <c r="F252" s="366">
        <f t="shared" si="68"/>
        <v>1736</v>
      </c>
      <c r="G252" s="366">
        <v>6313</v>
      </c>
      <c r="H252" s="367">
        <f t="shared" si="69"/>
        <v>8049</v>
      </c>
      <c r="I252" s="368">
        <f t="shared" si="73"/>
        <v>0</v>
      </c>
      <c r="J252" s="367">
        <v>23814</v>
      </c>
      <c r="K252" s="367">
        <f t="shared" si="74"/>
        <v>17010</v>
      </c>
      <c r="L252" s="10">
        <v>0.9</v>
      </c>
      <c r="M252" s="10">
        <v>5.0999999999999996</v>
      </c>
      <c r="N252" s="605">
        <v>28</v>
      </c>
      <c r="O252" s="97">
        <v>7</v>
      </c>
      <c r="P252" s="97" t="s">
        <v>513</v>
      </c>
      <c r="Q252" s="97" t="str">
        <f t="shared" si="70"/>
        <v/>
      </c>
      <c r="R252" t="str">
        <f t="shared" si="71"/>
        <v/>
      </c>
      <c r="BZ252" s="51"/>
      <c r="CB252" s="10"/>
      <c r="CI252" s="69"/>
    </row>
    <row r="253" spans="3:87">
      <c r="C253" t="str">
        <f t="shared" si="72"/>
        <v/>
      </c>
      <c r="D253">
        <v>244</v>
      </c>
      <c r="E253" s="366">
        <v>80</v>
      </c>
      <c r="F253" s="366">
        <f t="shared" si="68"/>
        <v>1736</v>
      </c>
      <c r="G253" s="366">
        <v>3889</v>
      </c>
      <c r="H253" s="367">
        <f t="shared" si="69"/>
        <v>5625</v>
      </c>
      <c r="I253" s="368">
        <f t="shared" si="73"/>
        <v>0</v>
      </c>
      <c r="J253" s="367">
        <v>14671</v>
      </c>
      <c r="K253" s="367">
        <f t="shared" si="74"/>
        <v>10479.285714285714</v>
      </c>
      <c r="L253" s="10">
        <v>0.22</v>
      </c>
      <c r="M253" s="10">
        <v>5.8</v>
      </c>
      <c r="N253" s="605">
        <v>24</v>
      </c>
      <c r="O253" s="97">
        <v>8</v>
      </c>
      <c r="P253" s="97" t="s">
        <v>514</v>
      </c>
      <c r="Q253" s="97">
        <f t="shared" si="70"/>
        <v>244</v>
      </c>
      <c r="R253" t="str">
        <f t="shared" si="71"/>
        <v/>
      </c>
      <c r="BZ253" s="51"/>
      <c r="CB253" s="10"/>
      <c r="CI253" s="69"/>
    </row>
    <row r="254" spans="3:87">
      <c r="C254" t="str">
        <f t="shared" si="72"/>
        <v/>
      </c>
      <c r="D254">
        <v>245</v>
      </c>
      <c r="E254" s="366">
        <v>80</v>
      </c>
      <c r="F254" s="366">
        <f t="shared" si="68"/>
        <v>1736</v>
      </c>
      <c r="G254" s="366">
        <v>4378</v>
      </c>
      <c r="H254" s="367">
        <f t="shared" si="69"/>
        <v>6114</v>
      </c>
      <c r="I254" s="368">
        <f t="shared" si="73"/>
        <v>0</v>
      </c>
      <c r="J254" s="367">
        <v>16516</v>
      </c>
      <c r="K254" s="367">
        <f t="shared" si="74"/>
        <v>11797.142857142857</v>
      </c>
      <c r="L254" s="10">
        <v>0.33</v>
      </c>
      <c r="M254" s="10">
        <v>5.8</v>
      </c>
      <c r="N254" s="605">
        <v>23</v>
      </c>
      <c r="O254" s="97">
        <v>8</v>
      </c>
      <c r="P254" s="97" t="s">
        <v>555</v>
      </c>
      <c r="Q254" s="97">
        <f t="shared" si="70"/>
        <v>245</v>
      </c>
      <c r="R254" t="str">
        <f t="shared" si="71"/>
        <v/>
      </c>
      <c r="BZ254" s="51"/>
      <c r="CB254" s="10"/>
      <c r="CI254" s="69"/>
    </row>
    <row r="255" spans="3:87">
      <c r="C255" t="str">
        <f t="shared" si="72"/>
        <v/>
      </c>
      <c r="D255">
        <v>246</v>
      </c>
      <c r="E255" s="366">
        <v>80</v>
      </c>
      <c r="F255" s="366">
        <f t="shared" si="68"/>
        <v>1736</v>
      </c>
      <c r="G255" s="366">
        <v>5942</v>
      </c>
      <c r="H255" s="367">
        <f t="shared" si="69"/>
        <v>7678</v>
      </c>
      <c r="I255" s="368">
        <f t="shared" si="73"/>
        <v>0</v>
      </c>
      <c r="J255" s="367">
        <v>22417</v>
      </c>
      <c r="K255" s="367">
        <f t="shared" si="74"/>
        <v>16012.142857142857</v>
      </c>
      <c r="L255" s="10">
        <v>0.69000000000000006</v>
      </c>
      <c r="M255" s="10">
        <v>5.8</v>
      </c>
      <c r="N255" s="605">
        <v>27</v>
      </c>
      <c r="O255" s="97">
        <v>8</v>
      </c>
      <c r="P255" s="97" t="s">
        <v>513</v>
      </c>
      <c r="Q255" s="97">
        <f t="shared" si="70"/>
        <v>246</v>
      </c>
      <c r="R255" t="str">
        <f t="shared" si="71"/>
        <v/>
      </c>
      <c r="BZ255" s="51"/>
      <c r="CB255" s="10"/>
      <c r="CI255" s="69"/>
    </row>
    <row r="256" spans="3:87">
      <c r="C256" t="str">
        <f t="shared" si="72"/>
        <v/>
      </c>
      <c r="D256">
        <v>247</v>
      </c>
      <c r="E256" s="366">
        <v>80</v>
      </c>
      <c r="F256" s="366">
        <f t="shared" si="68"/>
        <v>1736</v>
      </c>
      <c r="G256" s="366">
        <v>4488</v>
      </c>
      <c r="H256" s="367">
        <f t="shared" si="69"/>
        <v>6224</v>
      </c>
      <c r="I256" s="368">
        <f t="shared" si="73"/>
        <v>0</v>
      </c>
      <c r="J256" s="367">
        <v>16930</v>
      </c>
      <c r="K256" s="367">
        <f t="shared" si="74"/>
        <v>12092.857142857143</v>
      </c>
      <c r="L256" s="10">
        <v>0.22</v>
      </c>
      <c r="M256" s="10">
        <v>7.1999999999999993</v>
      </c>
      <c r="N256" s="605">
        <v>22</v>
      </c>
      <c r="O256" s="97">
        <v>10</v>
      </c>
      <c r="P256" s="97" t="s">
        <v>555</v>
      </c>
      <c r="Q256" s="97" t="str">
        <f t="shared" si="70"/>
        <v/>
      </c>
      <c r="R256" t="str">
        <f t="shared" si="71"/>
        <v/>
      </c>
      <c r="BZ256" s="51"/>
      <c r="CB256" s="10"/>
      <c r="CI256" s="69"/>
    </row>
    <row r="257" spans="3:87">
      <c r="C257" t="str">
        <f t="shared" si="72"/>
        <v/>
      </c>
      <c r="D257">
        <v>248</v>
      </c>
      <c r="E257" s="366">
        <v>80</v>
      </c>
      <c r="F257" s="366">
        <f t="shared" si="68"/>
        <v>1736</v>
      </c>
      <c r="G257" s="366">
        <v>5727</v>
      </c>
      <c r="H257" s="367">
        <f t="shared" si="69"/>
        <v>7463</v>
      </c>
      <c r="I257" s="368">
        <f t="shared" si="73"/>
        <v>0</v>
      </c>
      <c r="J257" s="367">
        <v>21605</v>
      </c>
      <c r="K257" s="367">
        <f t="shared" si="74"/>
        <v>15432.142857142857</v>
      </c>
      <c r="L257" s="10">
        <v>0.46</v>
      </c>
      <c r="M257" s="10">
        <v>7.1999999999999993</v>
      </c>
      <c r="N257" s="605">
        <v>26</v>
      </c>
      <c r="O257" s="97">
        <v>10</v>
      </c>
      <c r="P257" s="97" t="s">
        <v>513</v>
      </c>
      <c r="Q257" s="97" t="str">
        <f t="shared" si="70"/>
        <v/>
      </c>
      <c r="R257" t="str">
        <f t="shared" si="71"/>
        <v/>
      </c>
      <c r="BZ257" s="51"/>
      <c r="CB257" s="10"/>
      <c r="CI257" s="69"/>
    </row>
    <row r="258" spans="3:87">
      <c r="C258" t="str">
        <f t="shared" si="72"/>
        <v/>
      </c>
      <c r="D258">
        <v>249</v>
      </c>
      <c r="E258" s="366">
        <v>80</v>
      </c>
      <c r="F258" s="366">
        <f t="shared" si="68"/>
        <v>1736</v>
      </c>
      <c r="G258" s="366">
        <v>7265</v>
      </c>
      <c r="H258" s="367">
        <f t="shared" si="69"/>
        <v>9001</v>
      </c>
      <c r="I258" s="368">
        <f t="shared" si="73"/>
        <v>0</v>
      </c>
      <c r="J258" s="367">
        <v>27408</v>
      </c>
      <c r="K258" s="367">
        <f t="shared" si="74"/>
        <v>19577.142857142859</v>
      </c>
      <c r="L258" s="10">
        <v>0.9</v>
      </c>
      <c r="M258" s="10">
        <v>7.1999999999999993</v>
      </c>
      <c r="N258" s="605">
        <v>26</v>
      </c>
      <c r="O258" s="97">
        <v>10</v>
      </c>
      <c r="P258" s="97" t="s">
        <v>512</v>
      </c>
      <c r="Q258" s="97" t="str">
        <f t="shared" si="70"/>
        <v/>
      </c>
      <c r="R258" t="str">
        <f t="shared" si="71"/>
        <v/>
      </c>
      <c r="BZ258" s="51"/>
      <c r="CB258" s="10"/>
      <c r="CI258" s="69"/>
    </row>
    <row r="259" spans="3:87">
      <c r="C259" t="str">
        <f t="shared" si="72"/>
        <v>NL</v>
      </c>
      <c r="D259">
        <v>250</v>
      </c>
      <c r="E259" s="366">
        <v>85</v>
      </c>
      <c r="F259" s="366">
        <f t="shared" si="68"/>
        <v>1844.5</v>
      </c>
      <c r="G259" s="366">
        <v>2888</v>
      </c>
      <c r="H259" s="367">
        <f t="shared" si="69"/>
        <v>4732.5</v>
      </c>
      <c r="I259" s="368">
        <f t="shared" si="73"/>
        <v>0</v>
      </c>
      <c r="J259" s="367">
        <v>10897</v>
      </c>
      <c r="K259" s="367">
        <f t="shared" si="74"/>
        <v>7783.5714285714284</v>
      </c>
      <c r="L259" s="10">
        <v>0.47000000000000003</v>
      </c>
      <c r="M259" s="10">
        <v>2.4</v>
      </c>
      <c r="N259" s="605">
        <v>24</v>
      </c>
      <c r="O259" s="97">
        <v>3</v>
      </c>
      <c r="P259" s="97" t="s">
        <v>515</v>
      </c>
      <c r="Q259" s="97" t="str">
        <f t="shared" si="70"/>
        <v/>
      </c>
      <c r="R259" t="str">
        <f t="shared" si="71"/>
        <v/>
      </c>
      <c r="BZ259" s="51"/>
      <c r="CB259" s="10"/>
      <c r="CI259" s="69"/>
    </row>
    <row r="260" spans="3:87">
      <c r="C260" t="str">
        <f t="shared" si="72"/>
        <v>NL</v>
      </c>
      <c r="D260">
        <v>251</v>
      </c>
      <c r="E260" s="366">
        <v>85</v>
      </c>
      <c r="F260" s="366">
        <f t="shared" si="68"/>
        <v>1844.5</v>
      </c>
      <c r="G260" s="366">
        <v>3262</v>
      </c>
      <c r="H260" s="367">
        <f t="shared" si="69"/>
        <v>5106.5</v>
      </c>
      <c r="I260" s="368">
        <f t="shared" si="73"/>
        <v>0</v>
      </c>
      <c r="J260" s="367">
        <v>12305</v>
      </c>
      <c r="K260" s="367">
        <f t="shared" si="74"/>
        <v>8789.2857142857138</v>
      </c>
      <c r="L260" s="10">
        <v>0.79</v>
      </c>
      <c r="M260" s="10">
        <v>2.4</v>
      </c>
      <c r="N260" s="605">
        <v>26</v>
      </c>
      <c r="O260" s="97">
        <v>3</v>
      </c>
      <c r="P260" s="97" t="s">
        <v>556</v>
      </c>
      <c r="Q260" s="97" t="str">
        <f t="shared" si="70"/>
        <v/>
      </c>
      <c r="R260" t="str">
        <f t="shared" si="71"/>
        <v/>
      </c>
      <c r="BZ260" s="51"/>
      <c r="CB260" s="10"/>
      <c r="CI260" s="69"/>
    </row>
    <row r="261" spans="3:87">
      <c r="C261" t="str">
        <f t="shared" si="72"/>
        <v/>
      </c>
      <c r="D261">
        <v>252</v>
      </c>
      <c r="E261" s="366">
        <v>85</v>
      </c>
      <c r="F261" s="366">
        <f t="shared" si="68"/>
        <v>1844.5</v>
      </c>
      <c r="G261" s="366">
        <v>2841</v>
      </c>
      <c r="H261" s="367">
        <f t="shared" si="69"/>
        <v>4685.5</v>
      </c>
      <c r="I261" s="368">
        <f t="shared" si="73"/>
        <v>0</v>
      </c>
      <c r="J261" s="367">
        <v>10717</v>
      </c>
      <c r="K261" s="367">
        <f t="shared" si="74"/>
        <v>7655</v>
      </c>
      <c r="L261" s="10">
        <v>0.27</v>
      </c>
      <c r="M261" s="10">
        <v>3.1</v>
      </c>
      <c r="N261" s="605">
        <v>21</v>
      </c>
      <c r="O261" s="97">
        <v>4</v>
      </c>
      <c r="P261" s="97" t="s">
        <v>515</v>
      </c>
      <c r="Q261" s="97">
        <f t="shared" si="70"/>
        <v>252</v>
      </c>
      <c r="R261" t="str">
        <f t="shared" si="71"/>
        <v/>
      </c>
      <c r="BZ261" s="51"/>
      <c r="CB261" s="10"/>
      <c r="CI261" s="69"/>
    </row>
    <row r="262" spans="3:87">
      <c r="C262" t="str">
        <f t="shared" si="72"/>
        <v/>
      </c>
      <c r="D262">
        <v>253</v>
      </c>
      <c r="E262" s="366">
        <v>85</v>
      </c>
      <c r="F262" s="366">
        <f t="shared" si="68"/>
        <v>1844.5</v>
      </c>
      <c r="G262" s="366">
        <v>3420</v>
      </c>
      <c r="H262" s="367">
        <f t="shared" si="69"/>
        <v>5264.5</v>
      </c>
      <c r="I262" s="368">
        <f t="shared" si="73"/>
        <v>0</v>
      </c>
      <c r="J262" s="367">
        <v>12904</v>
      </c>
      <c r="K262" s="367">
        <f t="shared" si="74"/>
        <v>9217.1428571428569</v>
      </c>
      <c r="L262" s="10">
        <v>0.45</v>
      </c>
      <c r="M262" s="10">
        <v>3.1</v>
      </c>
      <c r="N262" s="605">
        <v>24</v>
      </c>
      <c r="O262" s="97">
        <v>4</v>
      </c>
      <c r="P262" s="97" t="s">
        <v>556</v>
      </c>
      <c r="Q262" s="97">
        <f t="shared" si="70"/>
        <v>253</v>
      </c>
      <c r="R262" t="str">
        <f t="shared" si="71"/>
        <v/>
      </c>
      <c r="BZ262" s="51"/>
      <c r="CB262" s="10"/>
      <c r="CI262" s="69"/>
    </row>
    <row r="263" spans="3:87">
      <c r="C263" t="str">
        <f t="shared" si="72"/>
        <v/>
      </c>
      <c r="D263">
        <v>254</v>
      </c>
      <c r="E263" s="366">
        <v>85</v>
      </c>
      <c r="F263" s="366">
        <f t="shared" si="68"/>
        <v>1844.5</v>
      </c>
      <c r="G263" s="366">
        <v>4179</v>
      </c>
      <c r="H263" s="367">
        <f t="shared" si="69"/>
        <v>6023.5</v>
      </c>
      <c r="I263" s="368">
        <f t="shared" si="73"/>
        <v>0</v>
      </c>
      <c r="J263" s="367">
        <v>15767</v>
      </c>
      <c r="K263" s="367">
        <f t="shared" si="74"/>
        <v>11262.142857142857</v>
      </c>
      <c r="L263" s="10">
        <v>0.94000000000000006</v>
      </c>
      <c r="M263" s="10">
        <v>3.1</v>
      </c>
      <c r="N263" s="605">
        <v>30</v>
      </c>
      <c r="O263" s="97">
        <v>4</v>
      </c>
      <c r="P263" s="97" t="s">
        <v>514</v>
      </c>
      <c r="Q263" s="97" t="str">
        <f t="shared" si="70"/>
        <v/>
      </c>
      <c r="R263" t="str">
        <f t="shared" si="71"/>
        <v/>
      </c>
      <c r="BZ263" s="51"/>
      <c r="CB263" s="10"/>
      <c r="CI263" s="69"/>
    </row>
    <row r="264" spans="3:87">
      <c r="C264" t="str">
        <f t="shared" si="72"/>
        <v>NL</v>
      </c>
      <c r="D264">
        <v>255</v>
      </c>
      <c r="E264" s="366">
        <v>85</v>
      </c>
      <c r="F264" s="366">
        <f t="shared" si="68"/>
        <v>1844.5</v>
      </c>
      <c r="G264" s="366">
        <v>2767</v>
      </c>
      <c r="H264" s="367">
        <f t="shared" si="69"/>
        <v>4611.5</v>
      </c>
      <c r="I264" s="368">
        <f t="shared" si="73"/>
        <v>0</v>
      </c>
      <c r="J264" s="367">
        <v>10440</v>
      </c>
      <c r="K264" s="367">
        <f t="shared" si="74"/>
        <v>7457.1428571428569</v>
      </c>
      <c r="L264" s="10">
        <v>0.18000000000000002</v>
      </c>
      <c r="M264" s="10">
        <v>3.8000000000000003</v>
      </c>
      <c r="N264" s="605">
        <v>20</v>
      </c>
      <c r="O264" s="97">
        <v>5</v>
      </c>
      <c r="P264" s="97" t="s">
        <v>515</v>
      </c>
      <c r="Q264" s="97" t="str">
        <f t="shared" si="70"/>
        <v/>
      </c>
      <c r="R264" t="str">
        <f t="shared" si="71"/>
        <v/>
      </c>
      <c r="BZ264" s="51"/>
      <c r="CB264" s="10"/>
      <c r="CI264" s="69"/>
    </row>
    <row r="265" spans="3:87">
      <c r="C265" t="str">
        <f t="shared" si="72"/>
        <v>NL</v>
      </c>
      <c r="D265">
        <v>256</v>
      </c>
      <c r="E265" s="366">
        <v>85</v>
      </c>
      <c r="F265" s="366">
        <f t="shared" si="68"/>
        <v>1844.5</v>
      </c>
      <c r="G265" s="366">
        <v>3554</v>
      </c>
      <c r="H265" s="367">
        <f t="shared" si="69"/>
        <v>5398.5</v>
      </c>
      <c r="I265" s="368">
        <f t="shared" si="73"/>
        <v>0</v>
      </c>
      <c r="J265" s="367">
        <v>13410</v>
      </c>
      <c r="K265" s="367">
        <f t="shared" si="74"/>
        <v>9578.5714285714294</v>
      </c>
      <c r="L265" s="10">
        <v>0.29000000000000004</v>
      </c>
      <c r="M265" s="10">
        <v>3.8000000000000003</v>
      </c>
      <c r="N265" s="605">
        <v>22</v>
      </c>
      <c r="O265" s="97">
        <v>5</v>
      </c>
      <c r="P265" s="97" t="s">
        <v>556</v>
      </c>
      <c r="Q265" s="97" t="str">
        <f t="shared" si="70"/>
        <v/>
      </c>
      <c r="R265" t="str">
        <f t="shared" si="71"/>
        <v/>
      </c>
      <c r="BZ265" s="51"/>
      <c r="CB265" s="10"/>
      <c r="CI265" s="69"/>
    </row>
    <row r="266" spans="3:87">
      <c r="C266" t="str">
        <f t="shared" si="72"/>
        <v>NL</v>
      </c>
      <c r="D266">
        <v>257</v>
      </c>
      <c r="E266" s="366">
        <v>85</v>
      </c>
      <c r="F266" s="366">
        <f t="shared" ref="F266:F329" si="75">1.085*($A$2-$B$2)*E266*$T$7</f>
        <v>1844.5</v>
      </c>
      <c r="G266" s="366">
        <v>4346</v>
      </c>
      <c r="H266" s="367">
        <f t="shared" ref="H266:H329" si="76">(G266*$U$7)+F266</f>
        <v>6190.5</v>
      </c>
      <c r="I266" s="368">
        <f t="shared" si="73"/>
        <v>0</v>
      </c>
      <c r="J266" s="367">
        <v>16396</v>
      </c>
      <c r="K266" s="367">
        <f t="shared" si="74"/>
        <v>11711.428571428572</v>
      </c>
      <c r="L266" s="10">
        <v>0.6</v>
      </c>
      <c r="M266" s="10">
        <v>3.8000000000000003</v>
      </c>
      <c r="N266" s="605">
        <v>28</v>
      </c>
      <c r="O266" s="97">
        <v>5</v>
      </c>
      <c r="P266" s="97" t="s">
        <v>514</v>
      </c>
      <c r="Q266" s="97" t="str">
        <f t="shared" ref="Q266:Q329" si="77">IF(AND(H266+1&gt;$E$4,L266&lt;$L$4+0.01,M266&lt;$M$4+0.01,K266+1&gt;$F$4,E266+1&gt;$J$4,N266&lt;$K$4+1,O266&lt;$P$4+1,C266=""),D266,"")</f>
        <v/>
      </c>
      <c r="R266" t="str">
        <f t="shared" ref="R266:R329" si="78">IF(Q266="","",IF(AND(O266&lt;$X$14,E266&gt;$U$14,E266&lt;$Q$4+$U$14+1),D266,""))</f>
        <v/>
      </c>
      <c r="BZ266" s="51"/>
      <c r="CB266" s="10"/>
      <c r="CI266" s="69"/>
    </row>
    <row r="267" spans="3:87">
      <c r="C267" t="str">
        <f t="shared" ref="C267:C330" si="79">IF(OR($O$4=0,O267-$O$4=0),IF(AND(ISEVEN(O267)=FALSE,$N$4="Even"),"NL",""),"NL")</f>
        <v>NL</v>
      </c>
      <c r="D267">
        <v>258</v>
      </c>
      <c r="E267" s="366">
        <v>85</v>
      </c>
      <c r="F267" s="366">
        <f t="shared" si="75"/>
        <v>1844.5</v>
      </c>
      <c r="G267" s="366">
        <v>4675</v>
      </c>
      <c r="H267" s="367">
        <f t="shared" si="76"/>
        <v>6519.5</v>
      </c>
      <c r="I267" s="368">
        <f t="shared" ref="I267:I330" si="80">1.085*($C$2-$D$2)*E267*$T$7</f>
        <v>0</v>
      </c>
      <c r="J267" s="367">
        <v>17638</v>
      </c>
      <c r="K267" s="367">
        <f t="shared" ref="K267:K330" si="81">(J267*$V$7)-I267</f>
        <v>12598.571428571429</v>
      </c>
      <c r="L267" s="10">
        <v>0.87</v>
      </c>
      <c r="M267" s="10">
        <v>3.8000000000000003</v>
      </c>
      <c r="N267" s="605">
        <v>26</v>
      </c>
      <c r="O267" s="97">
        <v>5</v>
      </c>
      <c r="P267" s="97" t="s">
        <v>555</v>
      </c>
      <c r="Q267" s="97" t="str">
        <f t="shared" si="77"/>
        <v/>
      </c>
      <c r="R267" t="str">
        <f t="shared" si="78"/>
        <v/>
      </c>
      <c r="BZ267" s="51"/>
      <c r="CB267" s="10"/>
      <c r="CI267" s="69"/>
    </row>
    <row r="268" spans="3:87">
      <c r="C268" t="str">
        <f t="shared" si="79"/>
        <v/>
      </c>
      <c r="D268">
        <v>259</v>
      </c>
      <c r="E268" s="366">
        <v>85</v>
      </c>
      <c r="F268" s="366">
        <f t="shared" si="75"/>
        <v>1844.5</v>
      </c>
      <c r="G268" s="366">
        <v>3432</v>
      </c>
      <c r="H268" s="367">
        <f t="shared" si="76"/>
        <v>5276.5</v>
      </c>
      <c r="I268" s="368">
        <f t="shared" si="80"/>
        <v>0</v>
      </c>
      <c r="J268" s="367">
        <v>12949</v>
      </c>
      <c r="K268" s="367">
        <f t="shared" si="81"/>
        <v>9249.2857142857138</v>
      </c>
      <c r="L268" s="10">
        <v>0.21000000000000002</v>
      </c>
      <c r="M268" s="10">
        <v>4.3999999999999995</v>
      </c>
      <c r="N268" s="605">
        <v>21</v>
      </c>
      <c r="O268" s="97">
        <v>6</v>
      </c>
      <c r="P268" s="97" t="s">
        <v>556</v>
      </c>
      <c r="Q268" s="97">
        <f t="shared" si="77"/>
        <v>259</v>
      </c>
      <c r="R268" t="str">
        <f t="shared" si="78"/>
        <v/>
      </c>
      <c r="BZ268" s="51"/>
      <c r="CB268" s="10"/>
      <c r="CI268" s="69"/>
    </row>
    <row r="269" spans="3:87">
      <c r="C269" t="str">
        <f t="shared" si="79"/>
        <v/>
      </c>
      <c r="D269">
        <v>260</v>
      </c>
      <c r="E269" s="366">
        <v>85</v>
      </c>
      <c r="F269" s="366">
        <f t="shared" si="75"/>
        <v>1844.5</v>
      </c>
      <c r="G269" s="366">
        <v>4595</v>
      </c>
      <c r="H269" s="367">
        <f t="shared" si="76"/>
        <v>6439.5</v>
      </c>
      <c r="I269" s="368">
        <f t="shared" si="80"/>
        <v>0</v>
      </c>
      <c r="J269" s="367">
        <v>17335</v>
      </c>
      <c r="K269" s="367">
        <f t="shared" si="81"/>
        <v>12382.142857142857</v>
      </c>
      <c r="L269" s="10">
        <v>0.42</v>
      </c>
      <c r="M269" s="10">
        <v>4.3999999999999995</v>
      </c>
      <c r="N269" s="605">
        <v>26</v>
      </c>
      <c r="O269" s="97">
        <v>6</v>
      </c>
      <c r="P269" s="97" t="s">
        <v>514</v>
      </c>
      <c r="Q269" s="97">
        <f t="shared" si="77"/>
        <v>260</v>
      </c>
      <c r="R269" t="str">
        <f t="shared" si="78"/>
        <v/>
      </c>
      <c r="BZ269" s="51"/>
      <c r="CB269" s="10"/>
      <c r="CI269" s="69"/>
    </row>
    <row r="270" spans="3:87">
      <c r="C270" t="str">
        <f t="shared" si="79"/>
        <v/>
      </c>
      <c r="D270">
        <v>261</v>
      </c>
      <c r="E270" s="366">
        <v>85</v>
      </c>
      <c r="F270" s="366">
        <f t="shared" si="75"/>
        <v>1844.5</v>
      </c>
      <c r="G270" s="366">
        <v>5007</v>
      </c>
      <c r="H270" s="367">
        <f t="shared" si="76"/>
        <v>6851.5</v>
      </c>
      <c r="I270" s="368">
        <f t="shared" si="80"/>
        <v>0</v>
      </c>
      <c r="J270" s="367">
        <v>18891</v>
      </c>
      <c r="K270" s="367">
        <f t="shared" si="81"/>
        <v>13493.571428571429</v>
      </c>
      <c r="L270" s="10">
        <v>0.62</v>
      </c>
      <c r="M270" s="10">
        <v>4.3999999999999995</v>
      </c>
      <c r="N270" s="605">
        <v>25</v>
      </c>
      <c r="O270" s="97">
        <v>6</v>
      </c>
      <c r="P270" s="97" t="s">
        <v>555</v>
      </c>
      <c r="Q270" s="97">
        <f t="shared" si="77"/>
        <v>261</v>
      </c>
      <c r="R270" t="str">
        <f t="shared" si="78"/>
        <v/>
      </c>
      <c r="BZ270" s="51"/>
      <c r="CB270" s="10"/>
      <c r="CI270" s="69"/>
    </row>
    <row r="271" spans="3:87">
      <c r="C271" t="str">
        <f t="shared" si="79"/>
        <v>NL</v>
      </c>
      <c r="D271">
        <v>262</v>
      </c>
      <c r="E271" s="366">
        <v>85</v>
      </c>
      <c r="F271" s="366">
        <f t="shared" si="75"/>
        <v>1844.5</v>
      </c>
      <c r="G271" s="366">
        <v>4275</v>
      </c>
      <c r="H271" s="367">
        <f t="shared" si="76"/>
        <v>6119.5</v>
      </c>
      <c r="I271" s="368">
        <f t="shared" si="80"/>
        <v>0</v>
      </c>
      <c r="J271" s="367">
        <v>16126</v>
      </c>
      <c r="K271" s="367">
        <f t="shared" si="81"/>
        <v>11518.571428571429</v>
      </c>
      <c r="L271" s="10">
        <v>0.32</v>
      </c>
      <c r="M271" s="10">
        <v>5.0999999999999996</v>
      </c>
      <c r="N271" s="605">
        <v>25</v>
      </c>
      <c r="O271" s="97">
        <v>7</v>
      </c>
      <c r="P271" s="97" t="s">
        <v>514</v>
      </c>
      <c r="Q271" s="97" t="str">
        <f t="shared" si="77"/>
        <v/>
      </c>
      <c r="R271" t="str">
        <f t="shared" si="78"/>
        <v/>
      </c>
      <c r="BZ271" s="51"/>
      <c r="CB271" s="10"/>
      <c r="CI271" s="69"/>
    </row>
    <row r="272" spans="3:87">
      <c r="C272" t="str">
        <f t="shared" si="79"/>
        <v>NL</v>
      </c>
      <c r="D272">
        <v>263</v>
      </c>
      <c r="E272" s="366">
        <v>85</v>
      </c>
      <c r="F272" s="366">
        <f t="shared" si="75"/>
        <v>1844.5</v>
      </c>
      <c r="G272" s="366">
        <v>4919</v>
      </c>
      <c r="H272" s="367">
        <f t="shared" si="76"/>
        <v>6763.5</v>
      </c>
      <c r="I272" s="368">
        <f t="shared" si="80"/>
        <v>0</v>
      </c>
      <c r="J272" s="367">
        <v>18557</v>
      </c>
      <c r="K272" s="367">
        <f t="shared" si="81"/>
        <v>13255</v>
      </c>
      <c r="L272" s="10">
        <v>0.46</v>
      </c>
      <c r="M272" s="10">
        <v>5.0999999999999996</v>
      </c>
      <c r="N272" s="605">
        <v>24</v>
      </c>
      <c r="O272" s="97">
        <v>7</v>
      </c>
      <c r="P272" s="97" t="s">
        <v>555</v>
      </c>
      <c r="Q272" s="97" t="str">
        <f t="shared" si="77"/>
        <v/>
      </c>
      <c r="R272" t="str">
        <f t="shared" si="78"/>
        <v/>
      </c>
      <c r="BZ272" s="51"/>
      <c r="CB272" s="10"/>
      <c r="CI272" s="69"/>
    </row>
    <row r="273" spans="3:87">
      <c r="C273" t="str">
        <f t="shared" si="79"/>
        <v>NL</v>
      </c>
      <c r="D273">
        <v>264</v>
      </c>
      <c r="E273" s="366">
        <v>85</v>
      </c>
      <c r="F273" s="366">
        <f t="shared" si="75"/>
        <v>1844.5</v>
      </c>
      <c r="G273" s="366">
        <v>6796</v>
      </c>
      <c r="H273" s="367">
        <f t="shared" si="76"/>
        <v>8640.5</v>
      </c>
      <c r="I273" s="368">
        <f t="shared" si="80"/>
        <v>0</v>
      </c>
      <c r="J273" s="367">
        <v>25640</v>
      </c>
      <c r="K273" s="367">
        <f t="shared" si="81"/>
        <v>18314.285714285714</v>
      </c>
      <c r="L273" s="10">
        <v>1.02</v>
      </c>
      <c r="M273" s="10">
        <v>5.0999999999999996</v>
      </c>
      <c r="N273" s="605">
        <v>29</v>
      </c>
      <c r="O273" s="97">
        <v>7</v>
      </c>
      <c r="P273" s="97" t="s">
        <v>513</v>
      </c>
      <c r="Q273" s="97" t="str">
        <f t="shared" si="77"/>
        <v/>
      </c>
      <c r="R273" t="str">
        <f t="shared" si="78"/>
        <v/>
      </c>
      <c r="BZ273" s="51"/>
      <c r="CB273" s="10"/>
      <c r="CI273" s="69"/>
    </row>
    <row r="274" spans="3:87">
      <c r="C274" t="str">
        <f t="shared" si="79"/>
        <v/>
      </c>
      <c r="D274">
        <v>265</v>
      </c>
      <c r="E274" s="366">
        <v>85</v>
      </c>
      <c r="F274" s="366">
        <f t="shared" si="75"/>
        <v>1844.5</v>
      </c>
      <c r="G274" s="366">
        <v>4066</v>
      </c>
      <c r="H274" s="367">
        <f t="shared" si="76"/>
        <v>5910.5</v>
      </c>
      <c r="I274" s="368">
        <f t="shared" si="80"/>
        <v>0</v>
      </c>
      <c r="J274" s="367">
        <v>15338</v>
      </c>
      <c r="K274" s="367">
        <f t="shared" si="81"/>
        <v>10955.714285714286</v>
      </c>
      <c r="L274" s="10">
        <v>0.25</v>
      </c>
      <c r="M274" s="10">
        <v>5.8</v>
      </c>
      <c r="N274" s="605">
        <v>25</v>
      </c>
      <c r="O274" s="97">
        <v>8</v>
      </c>
      <c r="P274" s="97" t="s">
        <v>514</v>
      </c>
      <c r="Q274" s="97">
        <f t="shared" si="77"/>
        <v>265</v>
      </c>
      <c r="R274" t="str">
        <f t="shared" si="78"/>
        <v/>
      </c>
      <c r="BZ274" s="51"/>
      <c r="CB274" s="10"/>
      <c r="CI274" s="69"/>
    </row>
    <row r="275" spans="3:87">
      <c r="C275" t="str">
        <f t="shared" si="79"/>
        <v/>
      </c>
      <c r="D275">
        <v>266</v>
      </c>
      <c r="E275" s="366">
        <v>85</v>
      </c>
      <c r="F275" s="366">
        <f t="shared" si="75"/>
        <v>1844.5</v>
      </c>
      <c r="G275" s="366">
        <v>4717</v>
      </c>
      <c r="H275" s="367">
        <f t="shared" si="76"/>
        <v>6561.5</v>
      </c>
      <c r="I275" s="368">
        <f t="shared" si="80"/>
        <v>0</v>
      </c>
      <c r="J275" s="367">
        <v>17795</v>
      </c>
      <c r="K275" s="367">
        <f t="shared" si="81"/>
        <v>12710.714285714286</v>
      </c>
      <c r="L275" s="10">
        <v>0.37</v>
      </c>
      <c r="M275" s="10">
        <v>5.8</v>
      </c>
      <c r="N275" s="605">
        <v>23</v>
      </c>
      <c r="O275" s="97">
        <v>8</v>
      </c>
      <c r="P275" s="97" t="s">
        <v>555</v>
      </c>
      <c r="Q275" s="97">
        <f t="shared" si="77"/>
        <v>266</v>
      </c>
      <c r="R275" t="str">
        <f t="shared" si="78"/>
        <v/>
      </c>
      <c r="BZ275" s="51"/>
      <c r="CB275" s="10"/>
      <c r="CI275" s="69"/>
    </row>
    <row r="276" spans="3:87">
      <c r="C276" t="str">
        <f t="shared" si="79"/>
        <v/>
      </c>
      <c r="D276">
        <v>267</v>
      </c>
      <c r="E276" s="366">
        <v>85</v>
      </c>
      <c r="F276" s="366">
        <f t="shared" si="75"/>
        <v>1844.5</v>
      </c>
      <c r="G276" s="366">
        <v>6394</v>
      </c>
      <c r="H276" s="367">
        <f t="shared" si="76"/>
        <v>8238.5</v>
      </c>
      <c r="I276" s="368">
        <f t="shared" si="80"/>
        <v>0</v>
      </c>
      <c r="J276" s="367">
        <v>24121</v>
      </c>
      <c r="K276" s="367">
        <f t="shared" si="81"/>
        <v>17229.285714285714</v>
      </c>
      <c r="L276" s="10">
        <v>0.78</v>
      </c>
      <c r="M276" s="10">
        <v>5.8</v>
      </c>
      <c r="N276" s="605">
        <v>28</v>
      </c>
      <c r="O276" s="97">
        <v>8</v>
      </c>
      <c r="P276" s="97" t="s">
        <v>513</v>
      </c>
      <c r="Q276" s="97" t="str">
        <f t="shared" si="77"/>
        <v/>
      </c>
      <c r="R276" t="str">
        <f t="shared" si="78"/>
        <v/>
      </c>
      <c r="BZ276" s="51"/>
      <c r="CB276" s="10"/>
      <c r="CI276" s="69"/>
    </row>
    <row r="277" spans="3:87">
      <c r="C277" t="str">
        <f t="shared" si="79"/>
        <v/>
      </c>
      <c r="D277">
        <v>268</v>
      </c>
      <c r="E277" s="366">
        <v>85</v>
      </c>
      <c r="F277" s="366">
        <f t="shared" si="75"/>
        <v>1844.5</v>
      </c>
      <c r="G277" s="366">
        <v>4642</v>
      </c>
      <c r="H277" s="367">
        <f t="shared" si="76"/>
        <v>6486.5</v>
      </c>
      <c r="I277" s="368">
        <f t="shared" si="80"/>
        <v>0</v>
      </c>
      <c r="J277" s="367">
        <v>17511</v>
      </c>
      <c r="K277" s="367">
        <f t="shared" si="81"/>
        <v>12507.857142857143</v>
      </c>
      <c r="L277" s="10">
        <v>0.25</v>
      </c>
      <c r="M277" s="10">
        <v>7.1999999999999993</v>
      </c>
      <c r="N277" s="605">
        <v>22</v>
      </c>
      <c r="O277" s="97">
        <v>10</v>
      </c>
      <c r="P277" s="97" t="s">
        <v>555</v>
      </c>
      <c r="Q277" s="97" t="str">
        <f t="shared" si="77"/>
        <v/>
      </c>
      <c r="R277" t="str">
        <f t="shared" si="78"/>
        <v/>
      </c>
      <c r="BZ277" s="51"/>
      <c r="CB277" s="10"/>
      <c r="CI277" s="69"/>
    </row>
    <row r="278" spans="3:87">
      <c r="C278" t="str">
        <f t="shared" si="79"/>
        <v/>
      </c>
      <c r="D278">
        <v>269</v>
      </c>
      <c r="E278" s="366">
        <v>85</v>
      </c>
      <c r="F278" s="366">
        <f t="shared" si="75"/>
        <v>1844.5</v>
      </c>
      <c r="G278" s="366">
        <v>6012</v>
      </c>
      <c r="H278" s="367">
        <f t="shared" si="76"/>
        <v>7856.5</v>
      </c>
      <c r="I278" s="368">
        <f t="shared" si="80"/>
        <v>0</v>
      </c>
      <c r="J278" s="367">
        <v>22682</v>
      </c>
      <c r="K278" s="367">
        <f t="shared" si="81"/>
        <v>16201.428571428572</v>
      </c>
      <c r="L278" s="10">
        <v>0.52</v>
      </c>
      <c r="M278" s="10">
        <v>7.1999999999999993</v>
      </c>
      <c r="N278" s="605">
        <v>27</v>
      </c>
      <c r="O278" s="97">
        <v>10</v>
      </c>
      <c r="P278" s="97" t="s">
        <v>513</v>
      </c>
      <c r="Q278" s="97" t="str">
        <f t="shared" si="77"/>
        <v/>
      </c>
      <c r="R278" t="str">
        <f t="shared" si="78"/>
        <v/>
      </c>
      <c r="BZ278" s="51"/>
      <c r="CB278" s="10"/>
      <c r="CI278" s="69"/>
    </row>
    <row r="279" spans="3:87">
      <c r="C279" t="str">
        <f t="shared" si="79"/>
        <v/>
      </c>
      <c r="D279">
        <v>270</v>
      </c>
      <c r="E279" s="366">
        <v>85</v>
      </c>
      <c r="F279" s="366">
        <f t="shared" si="75"/>
        <v>1844.5</v>
      </c>
      <c r="G279" s="366">
        <v>7818</v>
      </c>
      <c r="H279" s="367">
        <f t="shared" si="76"/>
        <v>9662.5</v>
      </c>
      <c r="I279" s="368">
        <f t="shared" si="80"/>
        <v>0</v>
      </c>
      <c r="J279" s="367">
        <v>29494</v>
      </c>
      <c r="K279" s="367">
        <f t="shared" si="81"/>
        <v>21067.142857142859</v>
      </c>
      <c r="L279" s="10">
        <v>1.01</v>
      </c>
      <c r="M279" s="10">
        <v>7.1999999999999993</v>
      </c>
      <c r="N279" s="605">
        <v>27</v>
      </c>
      <c r="O279" s="97">
        <v>10</v>
      </c>
      <c r="P279" s="97" t="s">
        <v>512</v>
      </c>
      <c r="Q279" s="97" t="str">
        <f t="shared" si="77"/>
        <v/>
      </c>
      <c r="R279" t="str">
        <f t="shared" si="78"/>
        <v/>
      </c>
      <c r="BZ279" s="51"/>
      <c r="CB279" s="10"/>
      <c r="CI279" s="69"/>
    </row>
    <row r="280" spans="3:87">
      <c r="C280" t="str">
        <f t="shared" si="79"/>
        <v>NL</v>
      </c>
      <c r="D280">
        <v>271</v>
      </c>
      <c r="E280" s="366">
        <v>90</v>
      </c>
      <c r="F280" s="366">
        <f t="shared" si="75"/>
        <v>1953</v>
      </c>
      <c r="G280" s="366">
        <v>3022</v>
      </c>
      <c r="H280" s="367">
        <f t="shared" si="76"/>
        <v>4975</v>
      </c>
      <c r="I280" s="368">
        <f t="shared" si="80"/>
        <v>0</v>
      </c>
      <c r="J280" s="367">
        <v>11400</v>
      </c>
      <c r="K280" s="367">
        <f t="shared" si="81"/>
        <v>8142.8571428571431</v>
      </c>
      <c r="L280" s="10">
        <v>0.53</v>
      </c>
      <c r="M280" s="10">
        <v>2.4</v>
      </c>
      <c r="N280" s="605">
        <v>24</v>
      </c>
      <c r="O280" s="97">
        <v>3</v>
      </c>
      <c r="P280" s="97" t="s">
        <v>515</v>
      </c>
      <c r="Q280" s="97" t="str">
        <f t="shared" si="77"/>
        <v/>
      </c>
      <c r="R280" t="str">
        <f t="shared" si="78"/>
        <v/>
      </c>
      <c r="BZ280" s="51"/>
      <c r="CB280" s="10"/>
      <c r="CI280" s="69"/>
    </row>
    <row r="281" spans="3:87">
      <c r="C281" t="str">
        <f t="shared" si="79"/>
        <v>NL</v>
      </c>
      <c r="D281">
        <v>272</v>
      </c>
      <c r="E281" s="366">
        <v>90</v>
      </c>
      <c r="F281" s="366">
        <f t="shared" si="75"/>
        <v>1953</v>
      </c>
      <c r="G281" s="366">
        <v>3375</v>
      </c>
      <c r="H281" s="367">
        <f t="shared" si="76"/>
        <v>5328</v>
      </c>
      <c r="I281" s="368">
        <f t="shared" si="80"/>
        <v>0</v>
      </c>
      <c r="J281" s="367">
        <v>12735</v>
      </c>
      <c r="K281" s="367">
        <f t="shared" si="81"/>
        <v>9096.4285714285725</v>
      </c>
      <c r="L281" s="10">
        <v>0.89</v>
      </c>
      <c r="M281" s="10">
        <v>2.4</v>
      </c>
      <c r="N281" s="605">
        <v>27</v>
      </c>
      <c r="O281" s="97">
        <v>3</v>
      </c>
      <c r="P281" s="97" t="s">
        <v>556</v>
      </c>
      <c r="Q281" s="97" t="str">
        <f t="shared" si="77"/>
        <v/>
      </c>
      <c r="R281" t="str">
        <f t="shared" si="78"/>
        <v/>
      </c>
      <c r="BZ281" s="51"/>
      <c r="CB281" s="10"/>
      <c r="CI281" s="69"/>
    </row>
    <row r="282" spans="3:87">
      <c r="C282" t="str">
        <f t="shared" si="79"/>
        <v/>
      </c>
      <c r="D282">
        <v>273</v>
      </c>
      <c r="E282" s="366">
        <v>90</v>
      </c>
      <c r="F282" s="366">
        <f t="shared" si="75"/>
        <v>1953</v>
      </c>
      <c r="G282" s="366">
        <v>3016</v>
      </c>
      <c r="H282" s="367">
        <f t="shared" si="76"/>
        <v>4969</v>
      </c>
      <c r="I282" s="368">
        <f t="shared" si="80"/>
        <v>0</v>
      </c>
      <c r="J282" s="367">
        <v>11380</v>
      </c>
      <c r="K282" s="367">
        <f t="shared" si="81"/>
        <v>8128.5714285714284</v>
      </c>
      <c r="L282" s="10">
        <v>0.3</v>
      </c>
      <c r="M282" s="10">
        <v>3.1</v>
      </c>
      <c r="N282" s="605">
        <v>22</v>
      </c>
      <c r="O282" s="97">
        <v>4</v>
      </c>
      <c r="P282" s="97" t="s">
        <v>515</v>
      </c>
      <c r="Q282" s="97">
        <f t="shared" si="77"/>
        <v>273</v>
      </c>
      <c r="R282" t="str">
        <f t="shared" si="78"/>
        <v/>
      </c>
      <c r="BZ282" s="51"/>
      <c r="CB282" s="10"/>
      <c r="CI282" s="69"/>
    </row>
    <row r="283" spans="3:87">
      <c r="C283" t="str">
        <f t="shared" si="79"/>
        <v/>
      </c>
      <c r="D283">
        <v>274</v>
      </c>
      <c r="E283" s="366">
        <v>90</v>
      </c>
      <c r="F283" s="366">
        <f t="shared" si="75"/>
        <v>1953</v>
      </c>
      <c r="G283" s="366">
        <v>3589</v>
      </c>
      <c r="H283" s="367">
        <f t="shared" si="76"/>
        <v>5542</v>
      </c>
      <c r="I283" s="368">
        <f t="shared" si="80"/>
        <v>0</v>
      </c>
      <c r="J283" s="367">
        <v>13541</v>
      </c>
      <c r="K283" s="367">
        <f t="shared" si="81"/>
        <v>9672.1428571428569</v>
      </c>
      <c r="L283" s="10">
        <v>0.5</v>
      </c>
      <c r="M283" s="10">
        <v>3.1</v>
      </c>
      <c r="N283" s="605">
        <v>25</v>
      </c>
      <c r="O283" s="97">
        <v>4</v>
      </c>
      <c r="P283" s="97" t="s">
        <v>556</v>
      </c>
      <c r="Q283" s="97">
        <f t="shared" si="77"/>
        <v>274</v>
      </c>
      <c r="R283" t="str">
        <f t="shared" si="78"/>
        <v/>
      </c>
      <c r="BZ283" s="51"/>
      <c r="CB283" s="10"/>
      <c r="CI283" s="69"/>
    </row>
    <row r="284" spans="3:87">
      <c r="C284" t="str">
        <f t="shared" si="79"/>
        <v>NL</v>
      </c>
      <c r="D284">
        <v>275</v>
      </c>
      <c r="E284" s="366">
        <v>90</v>
      </c>
      <c r="F284" s="366">
        <f t="shared" si="75"/>
        <v>1953</v>
      </c>
      <c r="G284" s="366">
        <v>2963</v>
      </c>
      <c r="H284" s="367">
        <f t="shared" si="76"/>
        <v>4916</v>
      </c>
      <c r="I284" s="368">
        <f t="shared" si="80"/>
        <v>0</v>
      </c>
      <c r="J284" s="367">
        <v>11180</v>
      </c>
      <c r="K284" s="367">
        <f t="shared" si="81"/>
        <v>7985.7142857142862</v>
      </c>
      <c r="L284" s="10">
        <v>0.2</v>
      </c>
      <c r="M284" s="10">
        <v>3.8000000000000003</v>
      </c>
      <c r="N284" s="605">
        <v>21</v>
      </c>
      <c r="O284" s="97">
        <v>5</v>
      </c>
      <c r="P284" s="97" t="s">
        <v>515</v>
      </c>
      <c r="Q284" s="97" t="str">
        <f t="shared" si="77"/>
        <v/>
      </c>
      <c r="R284" t="str">
        <f t="shared" si="78"/>
        <v/>
      </c>
      <c r="BZ284" s="51"/>
      <c r="CB284" s="10"/>
      <c r="CI284" s="69"/>
    </row>
    <row r="285" spans="3:87">
      <c r="C285" t="str">
        <f t="shared" si="79"/>
        <v>NL</v>
      </c>
      <c r="D285">
        <v>276</v>
      </c>
      <c r="E285" s="366">
        <v>90</v>
      </c>
      <c r="F285" s="366">
        <f t="shared" si="75"/>
        <v>1953</v>
      </c>
      <c r="G285" s="366">
        <v>3769</v>
      </c>
      <c r="H285" s="367">
        <f t="shared" si="76"/>
        <v>5722</v>
      </c>
      <c r="I285" s="368">
        <f t="shared" si="80"/>
        <v>0</v>
      </c>
      <c r="J285" s="367">
        <v>14221</v>
      </c>
      <c r="K285" s="367">
        <f t="shared" si="81"/>
        <v>10157.857142857143</v>
      </c>
      <c r="L285" s="10">
        <v>0.33</v>
      </c>
      <c r="M285" s="10">
        <v>3.8000000000000003</v>
      </c>
      <c r="N285" s="605">
        <v>23</v>
      </c>
      <c r="O285" s="97">
        <v>5</v>
      </c>
      <c r="P285" s="97" t="s">
        <v>556</v>
      </c>
      <c r="Q285" s="97" t="str">
        <f t="shared" si="77"/>
        <v/>
      </c>
      <c r="R285" t="str">
        <f t="shared" si="78"/>
        <v/>
      </c>
      <c r="BZ285" s="51"/>
      <c r="CB285" s="10"/>
      <c r="CI285" s="69"/>
    </row>
    <row r="286" spans="3:87">
      <c r="C286" t="str">
        <f t="shared" si="79"/>
        <v>NL</v>
      </c>
      <c r="D286">
        <v>277</v>
      </c>
      <c r="E286" s="366">
        <v>90</v>
      </c>
      <c r="F286" s="366">
        <f t="shared" si="75"/>
        <v>1953</v>
      </c>
      <c r="G286" s="366">
        <v>4546</v>
      </c>
      <c r="H286" s="367">
        <f t="shared" si="76"/>
        <v>6499</v>
      </c>
      <c r="I286" s="368">
        <f t="shared" si="80"/>
        <v>0</v>
      </c>
      <c r="J286" s="367">
        <v>17151</v>
      </c>
      <c r="K286" s="367">
        <f t="shared" si="81"/>
        <v>12250.714285714286</v>
      </c>
      <c r="L286" s="10">
        <v>0.68</v>
      </c>
      <c r="M286" s="10">
        <v>3.8000000000000003</v>
      </c>
      <c r="N286" s="605">
        <v>28</v>
      </c>
      <c r="O286" s="97">
        <v>5</v>
      </c>
      <c r="P286" s="97" t="s">
        <v>514</v>
      </c>
      <c r="Q286" s="97" t="str">
        <f t="shared" si="77"/>
        <v/>
      </c>
      <c r="R286" t="str">
        <f t="shared" si="78"/>
        <v/>
      </c>
      <c r="BZ286" s="51"/>
      <c r="CB286" s="10"/>
      <c r="CI286" s="69"/>
    </row>
    <row r="287" spans="3:87">
      <c r="C287" t="str">
        <f t="shared" si="79"/>
        <v>NL</v>
      </c>
      <c r="D287">
        <v>278</v>
      </c>
      <c r="E287" s="366">
        <v>90</v>
      </c>
      <c r="F287" s="366">
        <f t="shared" si="75"/>
        <v>1953</v>
      </c>
      <c r="G287" s="366">
        <v>4876</v>
      </c>
      <c r="H287" s="367">
        <f t="shared" si="76"/>
        <v>6829</v>
      </c>
      <c r="I287" s="368">
        <f t="shared" si="80"/>
        <v>0</v>
      </c>
      <c r="J287" s="367">
        <v>18394</v>
      </c>
      <c r="K287" s="367">
        <f t="shared" si="81"/>
        <v>13138.571428571429</v>
      </c>
      <c r="L287" s="10">
        <v>0.98</v>
      </c>
      <c r="M287" s="10">
        <v>3.8000000000000003</v>
      </c>
      <c r="N287" s="605">
        <v>27</v>
      </c>
      <c r="O287" s="97">
        <v>5</v>
      </c>
      <c r="P287" s="97" t="s">
        <v>555</v>
      </c>
      <c r="Q287" s="97" t="str">
        <f t="shared" si="77"/>
        <v/>
      </c>
      <c r="R287" t="str">
        <f t="shared" si="78"/>
        <v/>
      </c>
      <c r="BZ287" s="51"/>
      <c r="CB287" s="10"/>
      <c r="CI287" s="69"/>
    </row>
    <row r="288" spans="3:87">
      <c r="C288" t="str">
        <f t="shared" si="79"/>
        <v/>
      </c>
      <c r="D288">
        <v>279</v>
      </c>
      <c r="E288" s="366">
        <v>90</v>
      </c>
      <c r="F288" s="366">
        <f t="shared" si="75"/>
        <v>1953</v>
      </c>
      <c r="G288" s="366">
        <v>3693</v>
      </c>
      <c r="H288" s="367">
        <f t="shared" si="76"/>
        <v>5646</v>
      </c>
      <c r="I288" s="368">
        <f t="shared" si="80"/>
        <v>0</v>
      </c>
      <c r="J288" s="367">
        <v>13933</v>
      </c>
      <c r="K288" s="367">
        <f t="shared" si="81"/>
        <v>9952.1428571428569</v>
      </c>
      <c r="L288" s="10">
        <v>0.23</v>
      </c>
      <c r="M288" s="10">
        <v>4.3999999999999995</v>
      </c>
      <c r="N288" s="605">
        <v>22</v>
      </c>
      <c r="O288" s="97">
        <v>6</v>
      </c>
      <c r="P288" s="97" t="s">
        <v>556</v>
      </c>
      <c r="Q288" s="97">
        <f t="shared" si="77"/>
        <v>279</v>
      </c>
      <c r="R288" t="str">
        <f t="shared" si="78"/>
        <v/>
      </c>
      <c r="BZ288" s="51"/>
      <c r="CB288" s="10"/>
      <c r="CI288" s="69"/>
    </row>
    <row r="289" spans="3:87">
      <c r="C289" t="str">
        <f t="shared" si="79"/>
        <v/>
      </c>
      <c r="D289">
        <v>280</v>
      </c>
      <c r="E289" s="366">
        <v>90</v>
      </c>
      <c r="F289" s="366">
        <f t="shared" si="75"/>
        <v>1953</v>
      </c>
      <c r="G289" s="366">
        <v>4796</v>
      </c>
      <c r="H289" s="367">
        <f t="shared" si="76"/>
        <v>6749</v>
      </c>
      <c r="I289" s="368">
        <f t="shared" si="80"/>
        <v>0</v>
      </c>
      <c r="J289" s="367">
        <v>18095</v>
      </c>
      <c r="K289" s="367">
        <f t="shared" si="81"/>
        <v>12925</v>
      </c>
      <c r="L289" s="10">
        <v>0.47000000000000003</v>
      </c>
      <c r="M289" s="10">
        <v>4.3999999999999995</v>
      </c>
      <c r="N289" s="605">
        <v>27</v>
      </c>
      <c r="O289" s="97">
        <v>6</v>
      </c>
      <c r="P289" s="97" t="s">
        <v>514</v>
      </c>
      <c r="Q289" s="97">
        <f t="shared" si="77"/>
        <v>280</v>
      </c>
      <c r="R289" t="str">
        <f t="shared" si="78"/>
        <v/>
      </c>
      <c r="BZ289" s="51"/>
      <c r="CB289" s="10"/>
      <c r="CI289" s="69"/>
    </row>
    <row r="290" spans="3:87">
      <c r="C290" t="str">
        <f t="shared" si="79"/>
        <v/>
      </c>
      <c r="D290">
        <v>281</v>
      </c>
      <c r="E290" s="366">
        <v>90</v>
      </c>
      <c r="F290" s="366">
        <f t="shared" si="75"/>
        <v>1953</v>
      </c>
      <c r="G290" s="366">
        <v>5198</v>
      </c>
      <c r="H290" s="367">
        <f t="shared" si="76"/>
        <v>7151</v>
      </c>
      <c r="I290" s="368">
        <f t="shared" si="80"/>
        <v>0</v>
      </c>
      <c r="J290" s="367">
        <v>19611</v>
      </c>
      <c r="K290" s="367">
        <f t="shared" si="81"/>
        <v>14007.857142857143</v>
      </c>
      <c r="L290" s="10">
        <v>0.7</v>
      </c>
      <c r="M290" s="10">
        <v>4.3999999999999995</v>
      </c>
      <c r="N290" s="605">
        <v>26</v>
      </c>
      <c r="O290" s="97">
        <v>6</v>
      </c>
      <c r="P290" s="97" t="s">
        <v>555</v>
      </c>
      <c r="Q290" s="97">
        <f t="shared" si="77"/>
        <v>281</v>
      </c>
      <c r="R290" t="str">
        <f t="shared" si="78"/>
        <v/>
      </c>
      <c r="BZ290" s="51"/>
      <c r="CB290" s="10"/>
      <c r="CI290" s="69"/>
    </row>
    <row r="291" spans="3:87">
      <c r="C291" t="str">
        <f t="shared" si="79"/>
        <v>NL</v>
      </c>
      <c r="D291">
        <v>282</v>
      </c>
      <c r="E291" s="366">
        <v>90</v>
      </c>
      <c r="F291" s="366">
        <f t="shared" si="75"/>
        <v>1953</v>
      </c>
      <c r="G291" s="366">
        <v>3601</v>
      </c>
      <c r="H291" s="367">
        <f t="shared" si="76"/>
        <v>5554</v>
      </c>
      <c r="I291" s="368">
        <f t="shared" si="80"/>
        <v>0</v>
      </c>
      <c r="J291" s="367">
        <v>13584</v>
      </c>
      <c r="K291" s="367">
        <f t="shared" si="81"/>
        <v>9702.8571428571431</v>
      </c>
      <c r="L291" s="10">
        <v>0.17</v>
      </c>
      <c r="M291" s="10">
        <v>5.0999999999999996</v>
      </c>
      <c r="N291" s="605">
        <v>21</v>
      </c>
      <c r="O291" s="97">
        <v>7</v>
      </c>
      <c r="P291" s="97" t="s">
        <v>556</v>
      </c>
      <c r="Q291" s="97" t="str">
        <f t="shared" si="77"/>
        <v/>
      </c>
      <c r="R291" t="str">
        <f t="shared" si="78"/>
        <v/>
      </c>
      <c r="BZ291" s="51"/>
      <c r="CB291" s="10"/>
      <c r="CI291" s="69"/>
    </row>
    <row r="292" spans="3:87">
      <c r="C292" t="str">
        <f t="shared" si="79"/>
        <v>NL</v>
      </c>
      <c r="D292">
        <v>283</v>
      </c>
      <c r="E292" s="366">
        <v>90</v>
      </c>
      <c r="F292" s="366">
        <f t="shared" si="75"/>
        <v>1953</v>
      </c>
      <c r="G292" s="366">
        <v>4592</v>
      </c>
      <c r="H292" s="367">
        <f t="shared" si="76"/>
        <v>6545</v>
      </c>
      <c r="I292" s="368">
        <f t="shared" si="80"/>
        <v>0</v>
      </c>
      <c r="J292" s="367">
        <v>17325</v>
      </c>
      <c r="K292" s="367">
        <f t="shared" si="81"/>
        <v>12375</v>
      </c>
      <c r="L292" s="10">
        <v>0.35000000000000003</v>
      </c>
      <c r="M292" s="10">
        <v>5.0999999999999996</v>
      </c>
      <c r="N292" s="605">
        <v>26</v>
      </c>
      <c r="O292" s="97">
        <v>7</v>
      </c>
      <c r="P292" s="97" t="s">
        <v>514</v>
      </c>
      <c r="Q292" s="97" t="str">
        <f t="shared" si="77"/>
        <v/>
      </c>
      <c r="R292" t="str">
        <f t="shared" si="78"/>
        <v/>
      </c>
      <c r="BZ292" s="51"/>
      <c r="CB292" s="10"/>
      <c r="CI292" s="69"/>
    </row>
    <row r="293" spans="3:87">
      <c r="C293" t="str">
        <f t="shared" si="79"/>
        <v>NL</v>
      </c>
      <c r="D293">
        <v>284</v>
      </c>
      <c r="E293" s="366">
        <v>90</v>
      </c>
      <c r="F293" s="366">
        <f t="shared" si="75"/>
        <v>1953</v>
      </c>
      <c r="G293" s="366">
        <v>5289</v>
      </c>
      <c r="H293" s="367">
        <f t="shared" si="76"/>
        <v>7242</v>
      </c>
      <c r="I293" s="368">
        <f t="shared" si="80"/>
        <v>0</v>
      </c>
      <c r="J293" s="367">
        <v>19954</v>
      </c>
      <c r="K293" s="367">
        <f t="shared" si="81"/>
        <v>14252.857142857143</v>
      </c>
      <c r="L293" s="10">
        <v>0.52</v>
      </c>
      <c r="M293" s="10">
        <v>5.0999999999999996</v>
      </c>
      <c r="N293" s="605">
        <v>25</v>
      </c>
      <c r="O293" s="97">
        <v>7</v>
      </c>
      <c r="P293" s="97" t="s">
        <v>555</v>
      </c>
      <c r="Q293" s="97" t="str">
        <f t="shared" si="77"/>
        <v/>
      </c>
      <c r="R293" t="str">
        <f t="shared" si="78"/>
        <v/>
      </c>
      <c r="BZ293" s="51"/>
      <c r="CB293" s="10"/>
      <c r="CI293" s="69"/>
    </row>
    <row r="294" spans="3:87">
      <c r="C294" t="str">
        <f t="shared" si="79"/>
        <v/>
      </c>
      <c r="D294">
        <v>285</v>
      </c>
      <c r="E294" s="366">
        <v>90</v>
      </c>
      <c r="F294" s="366">
        <f t="shared" si="75"/>
        <v>1953</v>
      </c>
      <c r="G294" s="366">
        <v>4339</v>
      </c>
      <c r="H294" s="367">
        <f t="shared" si="76"/>
        <v>6292</v>
      </c>
      <c r="I294" s="368">
        <f t="shared" si="80"/>
        <v>0</v>
      </c>
      <c r="J294" s="367">
        <v>16369</v>
      </c>
      <c r="K294" s="367">
        <f t="shared" si="81"/>
        <v>11692.142857142857</v>
      </c>
      <c r="L294" s="10">
        <v>0.28000000000000003</v>
      </c>
      <c r="M294" s="10">
        <v>5.8</v>
      </c>
      <c r="N294" s="605">
        <v>25</v>
      </c>
      <c r="O294" s="97">
        <v>8</v>
      </c>
      <c r="P294" s="97" t="s">
        <v>514</v>
      </c>
      <c r="Q294" s="97">
        <f t="shared" si="77"/>
        <v>285</v>
      </c>
      <c r="R294" t="str">
        <f t="shared" si="78"/>
        <v/>
      </c>
      <c r="BZ294" s="51"/>
      <c r="CB294" s="10"/>
      <c r="CI294" s="69"/>
    </row>
    <row r="295" spans="3:87">
      <c r="C295" t="str">
        <f t="shared" si="79"/>
        <v/>
      </c>
      <c r="D295">
        <v>286</v>
      </c>
      <c r="E295" s="366">
        <v>90</v>
      </c>
      <c r="F295" s="366">
        <f t="shared" si="75"/>
        <v>1953</v>
      </c>
      <c r="G295" s="366">
        <v>5056</v>
      </c>
      <c r="H295" s="367">
        <f t="shared" si="76"/>
        <v>7009</v>
      </c>
      <c r="I295" s="368">
        <f t="shared" si="80"/>
        <v>0</v>
      </c>
      <c r="J295" s="367">
        <v>19073</v>
      </c>
      <c r="K295" s="367">
        <f t="shared" si="81"/>
        <v>13623.571428571429</v>
      </c>
      <c r="L295" s="10">
        <v>0.41000000000000003</v>
      </c>
      <c r="M295" s="10">
        <v>5.8</v>
      </c>
      <c r="N295" s="605">
        <v>24</v>
      </c>
      <c r="O295" s="97">
        <v>8</v>
      </c>
      <c r="P295" s="97" t="s">
        <v>555</v>
      </c>
      <c r="Q295" s="97">
        <f t="shared" si="77"/>
        <v>286</v>
      </c>
      <c r="R295" t="str">
        <f t="shared" si="78"/>
        <v/>
      </c>
      <c r="BZ295" s="51"/>
      <c r="CB295" s="10"/>
      <c r="CI295" s="69"/>
    </row>
    <row r="296" spans="3:87">
      <c r="C296" t="str">
        <f t="shared" si="79"/>
        <v/>
      </c>
      <c r="D296">
        <v>287</v>
      </c>
      <c r="E296" s="366">
        <v>90</v>
      </c>
      <c r="F296" s="366">
        <f t="shared" si="75"/>
        <v>1953</v>
      </c>
      <c r="G296" s="366">
        <v>6882</v>
      </c>
      <c r="H296" s="367">
        <f t="shared" si="76"/>
        <v>8835</v>
      </c>
      <c r="I296" s="368">
        <f t="shared" si="80"/>
        <v>0</v>
      </c>
      <c r="J296" s="367">
        <v>25964</v>
      </c>
      <c r="K296" s="367">
        <f t="shared" si="81"/>
        <v>18545.714285714286</v>
      </c>
      <c r="L296" s="10">
        <v>0.87</v>
      </c>
      <c r="M296" s="10">
        <v>5.8</v>
      </c>
      <c r="N296" s="605">
        <v>29</v>
      </c>
      <c r="O296" s="97">
        <v>8</v>
      </c>
      <c r="P296" s="97" t="s">
        <v>513</v>
      </c>
      <c r="Q296" s="97" t="str">
        <f t="shared" si="77"/>
        <v/>
      </c>
      <c r="R296" t="str">
        <f t="shared" si="78"/>
        <v/>
      </c>
      <c r="BZ296" s="51"/>
      <c r="CB296" s="10"/>
      <c r="CI296" s="69"/>
    </row>
    <row r="297" spans="3:87">
      <c r="C297" t="str">
        <f t="shared" si="79"/>
        <v/>
      </c>
      <c r="D297">
        <v>288</v>
      </c>
      <c r="E297" s="366">
        <v>90</v>
      </c>
      <c r="F297" s="366">
        <f t="shared" si="75"/>
        <v>1953</v>
      </c>
      <c r="G297" s="366">
        <v>4298</v>
      </c>
      <c r="H297" s="367">
        <f t="shared" si="76"/>
        <v>6251</v>
      </c>
      <c r="I297" s="368">
        <f t="shared" si="80"/>
        <v>0</v>
      </c>
      <c r="J297" s="367">
        <v>16214</v>
      </c>
      <c r="K297" s="367">
        <f t="shared" si="81"/>
        <v>11581.428571428572</v>
      </c>
      <c r="L297" s="10">
        <v>0.2</v>
      </c>
      <c r="M297" s="10">
        <v>7.1999999999999993</v>
      </c>
      <c r="N297" s="605">
        <v>25</v>
      </c>
      <c r="O297" s="97">
        <v>10</v>
      </c>
      <c r="P297" s="97" t="s">
        <v>514</v>
      </c>
      <c r="Q297" s="97" t="str">
        <f t="shared" si="77"/>
        <v/>
      </c>
      <c r="R297" t="str">
        <f t="shared" si="78"/>
        <v/>
      </c>
      <c r="BZ297" s="51"/>
      <c r="CB297" s="10"/>
      <c r="CI297" s="69"/>
    </row>
    <row r="298" spans="3:87">
      <c r="C298" t="str">
        <f t="shared" si="79"/>
        <v/>
      </c>
      <c r="D298">
        <v>289</v>
      </c>
      <c r="E298" s="366">
        <v>90</v>
      </c>
      <c r="F298" s="366">
        <f t="shared" si="75"/>
        <v>1953</v>
      </c>
      <c r="G298" s="366">
        <v>4857</v>
      </c>
      <c r="H298" s="367">
        <f t="shared" si="76"/>
        <v>6810</v>
      </c>
      <c r="I298" s="368">
        <f t="shared" si="80"/>
        <v>0</v>
      </c>
      <c r="J298" s="367">
        <v>18324</v>
      </c>
      <c r="K298" s="367">
        <f t="shared" si="81"/>
        <v>13088.571428571429</v>
      </c>
      <c r="L298" s="10">
        <v>0.28000000000000003</v>
      </c>
      <c r="M298" s="10">
        <v>7.1999999999999993</v>
      </c>
      <c r="N298" s="605">
        <v>23</v>
      </c>
      <c r="O298" s="97">
        <v>10</v>
      </c>
      <c r="P298" s="97" t="s">
        <v>555</v>
      </c>
      <c r="Q298" s="97" t="str">
        <f t="shared" si="77"/>
        <v/>
      </c>
      <c r="R298" t="str">
        <f t="shared" si="78"/>
        <v/>
      </c>
      <c r="BZ298" s="51"/>
      <c r="CB298" s="10"/>
      <c r="CI298" s="69"/>
    </row>
    <row r="299" spans="3:87">
      <c r="C299" t="str">
        <f t="shared" si="79"/>
        <v/>
      </c>
      <c r="D299">
        <v>290</v>
      </c>
      <c r="E299" s="366">
        <v>90</v>
      </c>
      <c r="F299" s="366">
        <f t="shared" si="75"/>
        <v>1953</v>
      </c>
      <c r="G299" s="366">
        <v>6298</v>
      </c>
      <c r="H299" s="367">
        <f t="shared" si="76"/>
        <v>8251</v>
      </c>
      <c r="I299" s="368">
        <f t="shared" si="80"/>
        <v>0</v>
      </c>
      <c r="J299" s="367">
        <v>23759</v>
      </c>
      <c r="K299" s="367">
        <f t="shared" si="81"/>
        <v>16970.714285714286</v>
      </c>
      <c r="L299" s="10">
        <v>0.57999999999999996</v>
      </c>
      <c r="M299" s="10">
        <v>7.1999999999999993</v>
      </c>
      <c r="N299" s="605">
        <v>28</v>
      </c>
      <c r="O299" s="97">
        <v>10</v>
      </c>
      <c r="P299" s="97" t="s">
        <v>513</v>
      </c>
      <c r="Q299" s="97" t="str">
        <f t="shared" si="77"/>
        <v/>
      </c>
      <c r="R299" t="str">
        <f t="shared" si="78"/>
        <v/>
      </c>
      <c r="BZ299" s="51"/>
      <c r="CB299" s="10"/>
      <c r="CI299" s="69"/>
    </row>
    <row r="300" spans="3:87">
      <c r="C300" t="str">
        <f t="shared" si="79"/>
        <v>NL</v>
      </c>
      <c r="D300">
        <v>291</v>
      </c>
      <c r="E300" s="366">
        <v>95</v>
      </c>
      <c r="F300" s="366">
        <f t="shared" si="75"/>
        <v>2061.5</v>
      </c>
      <c r="G300" s="366">
        <v>3153</v>
      </c>
      <c r="H300" s="367">
        <f t="shared" si="76"/>
        <v>5214.5</v>
      </c>
      <c r="I300" s="368">
        <f t="shared" si="80"/>
        <v>0</v>
      </c>
      <c r="J300" s="367">
        <v>11897</v>
      </c>
      <c r="K300" s="367">
        <f t="shared" si="81"/>
        <v>8497.8571428571431</v>
      </c>
      <c r="L300" s="10">
        <v>0.59</v>
      </c>
      <c r="M300" s="10">
        <v>2.4</v>
      </c>
      <c r="N300" s="605">
        <v>25</v>
      </c>
      <c r="O300" s="97">
        <v>3</v>
      </c>
      <c r="P300" s="97" t="s">
        <v>515</v>
      </c>
      <c r="Q300" s="97" t="str">
        <f t="shared" si="77"/>
        <v/>
      </c>
      <c r="R300" t="str">
        <f t="shared" si="78"/>
        <v/>
      </c>
      <c r="BZ300" s="51"/>
      <c r="CB300" s="10"/>
      <c r="CI300" s="69"/>
    </row>
    <row r="301" spans="3:87">
      <c r="C301" t="str">
        <f t="shared" si="79"/>
        <v>NL</v>
      </c>
      <c r="D301">
        <v>292</v>
      </c>
      <c r="E301" s="366">
        <v>95</v>
      </c>
      <c r="F301" s="366">
        <f t="shared" si="75"/>
        <v>2061.5</v>
      </c>
      <c r="G301" s="366">
        <v>3491</v>
      </c>
      <c r="H301" s="367">
        <f t="shared" si="76"/>
        <v>5552.5</v>
      </c>
      <c r="I301" s="368">
        <f t="shared" si="80"/>
        <v>0</v>
      </c>
      <c r="J301" s="367">
        <v>13172</v>
      </c>
      <c r="K301" s="367">
        <f t="shared" si="81"/>
        <v>9408.5714285714294</v>
      </c>
      <c r="L301" s="10">
        <v>0.99</v>
      </c>
      <c r="M301" s="10">
        <v>2.4</v>
      </c>
      <c r="N301" s="605">
        <v>28</v>
      </c>
      <c r="O301" s="97">
        <v>3</v>
      </c>
      <c r="P301" s="97" t="s">
        <v>556</v>
      </c>
      <c r="Q301" s="97" t="str">
        <f t="shared" si="77"/>
        <v/>
      </c>
      <c r="R301" t="str">
        <f t="shared" si="78"/>
        <v/>
      </c>
      <c r="BZ301" s="51"/>
      <c r="CB301" s="10"/>
      <c r="CI301" s="69"/>
    </row>
    <row r="302" spans="3:87">
      <c r="C302" t="str">
        <f t="shared" si="79"/>
        <v/>
      </c>
      <c r="D302">
        <v>293</v>
      </c>
      <c r="E302" s="366">
        <v>95</v>
      </c>
      <c r="F302" s="366">
        <f t="shared" si="75"/>
        <v>2061.5</v>
      </c>
      <c r="G302" s="366">
        <v>3184</v>
      </c>
      <c r="H302" s="367">
        <f t="shared" si="76"/>
        <v>5245.5</v>
      </c>
      <c r="I302" s="368">
        <f t="shared" si="80"/>
        <v>0</v>
      </c>
      <c r="J302" s="367">
        <v>12012</v>
      </c>
      <c r="K302" s="367">
        <f t="shared" si="81"/>
        <v>8580</v>
      </c>
      <c r="L302" s="10">
        <v>0.33</v>
      </c>
      <c r="M302" s="10">
        <v>3.1</v>
      </c>
      <c r="N302" s="605">
        <v>23</v>
      </c>
      <c r="O302" s="97">
        <v>4</v>
      </c>
      <c r="P302" s="97" t="s">
        <v>515</v>
      </c>
      <c r="Q302" s="97">
        <f t="shared" si="77"/>
        <v>293</v>
      </c>
      <c r="R302" t="str">
        <f t="shared" si="78"/>
        <v/>
      </c>
      <c r="BZ302" s="51"/>
      <c r="CB302" s="10"/>
      <c r="CI302" s="69"/>
    </row>
    <row r="303" spans="3:87">
      <c r="C303" t="str">
        <f t="shared" si="79"/>
        <v/>
      </c>
      <c r="D303">
        <v>294</v>
      </c>
      <c r="E303" s="366">
        <v>95</v>
      </c>
      <c r="F303" s="366">
        <f t="shared" si="75"/>
        <v>2061.5</v>
      </c>
      <c r="G303" s="366">
        <v>3743</v>
      </c>
      <c r="H303" s="367">
        <f t="shared" si="76"/>
        <v>5804.5</v>
      </c>
      <c r="I303" s="368">
        <f t="shared" si="80"/>
        <v>0</v>
      </c>
      <c r="J303" s="367">
        <v>14120</v>
      </c>
      <c r="K303" s="367">
        <f t="shared" si="81"/>
        <v>10085.714285714286</v>
      </c>
      <c r="L303" s="10">
        <v>0.56000000000000005</v>
      </c>
      <c r="M303" s="10">
        <v>3.1</v>
      </c>
      <c r="N303" s="605">
        <v>25</v>
      </c>
      <c r="O303" s="97">
        <v>4</v>
      </c>
      <c r="P303" s="97" t="s">
        <v>556</v>
      </c>
      <c r="Q303" s="97">
        <f t="shared" si="77"/>
        <v>294</v>
      </c>
      <c r="R303" t="str">
        <f t="shared" si="78"/>
        <v/>
      </c>
      <c r="BZ303" s="51"/>
      <c r="CB303" s="10"/>
      <c r="CI303" s="69"/>
    </row>
    <row r="304" spans="3:87">
      <c r="C304" t="str">
        <f t="shared" si="79"/>
        <v>NL</v>
      </c>
      <c r="D304">
        <v>295</v>
      </c>
      <c r="E304" s="366">
        <v>95</v>
      </c>
      <c r="F304" s="366">
        <f t="shared" si="75"/>
        <v>2061.5</v>
      </c>
      <c r="G304" s="366">
        <v>3159</v>
      </c>
      <c r="H304" s="367">
        <f t="shared" si="76"/>
        <v>5220.5</v>
      </c>
      <c r="I304" s="368">
        <f t="shared" si="80"/>
        <v>0</v>
      </c>
      <c r="J304" s="367">
        <v>11920</v>
      </c>
      <c r="K304" s="367">
        <f t="shared" si="81"/>
        <v>8514.2857142857138</v>
      </c>
      <c r="L304" s="10">
        <v>0.22</v>
      </c>
      <c r="M304" s="10">
        <v>3.8000000000000003</v>
      </c>
      <c r="N304" s="605">
        <v>22</v>
      </c>
      <c r="O304" s="97">
        <v>5</v>
      </c>
      <c r="P304" s="97" t="s">
        <v>515</v>
      </c>
      <c r="Q304" s="97" t="str">
        <f t="shared" si="77"/>
        <v/>
      </c>
      <c r="R304" t="str">
        <f t="shared" si="78"/>
        <v/>
      </c>
      <c r="BZ304" s="51"/>
      <c r="CB304" s="10"/>
      <c r="CI304" s="69"/>
    </row>
    <row r="305" spans="3:87">
      <c r="C305" t="str">
        <f t="shared" si="79"/>
        <v>NL</v>
      </c>
      <c r="D305">
        <v>296</v>
      </c>
      <c r="E305" s="366">
        <v>95</v>
      </c>
      <c r="F305" s="366">
        <f t="shared" si="75"/>
        <v>2061.5</v>
      </c>
      <c r="G305" s="366">
        <v>3937</v>
      </c>
      <c r="H305" s="367">
        <f t="shared" si="76"/>
        <v>5998.5</v>
      </c>
      <c r="I305" s="368">
        <f t="shared" si="80"/>
        <v>0</v>
      </c>
      <c r="J305" s="367">
        <v>14852</v>
      </c>
      <c r="K305" s="367">
        <f t="shared" si="81"/>
        <v>10608.571428571429</v>
      </c>
      <c r="L305" s="10">
        <v>0.37</v>
      </c>
      <c r="M305" s="10">
        <v>3.8000000000000003</v>
      </c>
      <c r="N305" s="605">
        <v>24</v>
      </c>
      <c r="O305" s="97">
        <v>5</v>
      </c>
      <c r="P305" s="97" t="s">
        <v>556</v>
      </c>
      <c r="Q305" s="97" t="str">
        <f t="shared" si="77"/>
        <v/>
      </c>
      <c r="R305" t="str">
        <f t="shared" si="78"/>
        <v/>
      </c>
      <c r="BZ305" s="51"/>
      <c r="CB305" s="10"/>
      <c r="CI305" s="69"/>
    </row>
    <row r="306" spans="3:87">
      <c r="C306" t="str">
        <f t="shared" si="79"/>
        <v>NL</v>
      </c>
      <c r="D306">
        <v>297</v>
      </c>
      <c r="E306" s="366">
        <v>95</v>
      </c>
      <c r="F306" s="366">
        <f t="shared" si="75"/>
        <v>2061.5</v>
      </c>
      <c r="G306" s="366">
        <v>4730</v>
      </c>
      <c r="H306" s="367">
        <f t="shared" si="76"/>
        <v>6791.5</v>
      </c>
      <c r="I306" s="368">
        <f t="shared" si="80"/>
        <v>0</v>
      </c>
      <c r="J306" s="367">
        <v>17843</v>
      </c>
      <c r="K306" s="367">
        <f t="shared" si="81"/>
        <v>12745</v>
      </c>
      <c r="L306" s="10">
        <v>0.75</v>
      </c>
      <c r="M306" s="10">
        <v>3.8000000000000003</v>
      </c>
      <c r="N306" s="605">
        <v>29</v>
      </c>
      <c r="O306" s="97">
        <v>5</v>
      </c>
      <c r="P306" s="97" t="s">
        <v>514</v>
      </c>
      <c r="Q306" s="97" t="str">
        <f t="shared" si="77"/>
        <v/>
      </c>
      <c r="R306" t="str">
        <f t="shared" si="78"/>
        <v/>
      </c>
      <c r="BZ306" s="51"/>
      <c r="CB306" s="10"/>
      <c r="CI306" s="69"/>
    </row>
    <row r="307" spans="3:87">
      <c r="C307" t="str">
        <f t="shared" si="79"/>
        <v/>
      </c>
      <c r="D307">
        <v>298</v>
      </c>
      <c r="E307" s="366">
        <v>95</v>
      </c>
      <c r="F307" s="366">
        <f t="shared" si="75"/>
        <v>2061.5</v>
      </c>
      <c r="G307" s="366">
        <v>3959</v>
      </c>
      <c r="H307" s="367">
        <f t="shared" si="76"/>
        <v>6020.5</v>
      </c>
      <c r="I307" s="368">
        <f t="shared" si="80"/>
        <v>0</v>
      </c>
      <c r="J307" s="367">
        <v>14934</v>
      </c>
      <c r="K307" s="367">
        <f t="shared" si="81"/>
        <v>10667.142857142857</v>
      </c>
      <c r="L307" s="10">
        <v>0.26</v>
      </c>
      <c r="M307" s="10">
        <v>4.3999999999999995</v>
      </c>
      <c r="N307" s="605">
        <v>23</v>
      </c>
      <c r="O307" s="97">
        <v>6</v>
      </c>
      <c r="P307" s="97" t="s">
        <v>556</v>
      </c>
      <c r="Q307" s="97">
        <f t="shared" si="77"/>
        <v>298</v>
      </c>
      <c r="R307" t="str">
        <f t="shared" si="78"/>
        <v/>
      </c>
      <c r="BZ307" s="51"/>
      <c r="CB307" s="10"/>
      <c r="CI307" s="69"/>
    </row>
    <row r="308" spans="3:87">
      <c r="C308" t="str">
        <f t="shared" si="79"/>
        <v/>
      </c>
      <c r="D308">
        <v>299</v>
      </c>
      <c r="E308" s="366">
        <v>95</v>
      </c>
      <c r="F308" s="366">
        <f t="shared" si="75"/>
        <v>2061.5</v>
      </c>
      <c r="G308" s="366">
        <v>4968</v>
      </c>
      <c r="H308" s="367">
        <f t="shared" si="76"/>
        <v>7029.5</v>
      </c>
      <c r="I308" s="368">
        <f t="shared" si="80"/>
        <v>0</v>
      </c>
      <c r="J308" s="367">
        <v>18743</v>
      </c>
      <c r="K308" s="367">
        <f t="shared" si="81"/>
        <v>13387.857142857143</v>
      </c>
      <c r="L308" s="10">
        <v>0.53</v>
      </c>
      <c r="M308" s="10">
        <v>4.3999999999999995</v>
      </c>
      <c r="N308" s="605">
        <v>28</v>
      </c>
      <c r="O308" s="97">
        <v>6</v>
      </c>
      <c r="P308" s="97" t="s">
        <v>514</v>
      </c>
      <c r="Q308" s="97">
        <f t="shared" si="77"/>
        <v>299</v>
      </c>
      <c r="R308" t="str">
        <f t="shared" si="78"/>
        <v/>
      </c>
      <c r="BZ308" s="51"/>
      <c r="CB308" s="10"/>
      <c r="CI308" s="69"/>
    </row>
    <row r="309" spans="3:87">
      <c r="C309" t="str">
        <f t="shared" si="79"/>
        <v/>
      </c>
      <c r="D309">
        <v>300</v>
      </c>
      <c r="E309" s="366">
        <v>95</v>
      </c>
      <c r="F309" s="366">
        <f t="shared" si="75"/>
        <v>2061.5</v>
      </c>
      <c r="G309" s="366">
        <v>5375</v>
      </c>
      <c r="H309" s="367">
        <f t="shared" si="76"/>
        <v>7436.5</v>
      </c>
      <c r="I309" s="368">
        <f t="shared" si="80"/>
        <v>0</v>
      </c>
      <c r="J309" s="367">
        <v>20276</v>
      </c>
      <c r="K309" s="367">
        <f t="shared" si="81"/>
        <v>14482.857142857143</v>
      </c>
      <c r="L309" s="10">
        <v>0.78</v>
      </c>
      <c r="M309" s="10">
        <v>4.3999999999999995</v>
      </c>
      <c r="N309" s="605">
        <v>26</v>
      </c>
      <c r="O309" s="97">
        <v>6</v>
      </c>
      <c r="P309" s="97" t="s">
        <v>555</v>
      </c>
      <c r="Q309" s="97" t="str">
        <f t="shared" si="77"/>
        <v/>
      </c>
      <c r="R309" t="str">
        <f t="shared" si="78"/>
        <v/>
      </c>
      <c r="BZ309" s="51"/>
      <c r="CB309" s="10"/>
      <c r="CI309" s="69"/>
    </row>
    <row r="310" spans="3:87">
      <c r="C310" t="str">
        <f t="shared" si="79"/>
        <v>NL</v>
      </c>
      <c r="D310">
        <v>301</v>
      </c>
      <c r="E310" s="366">
        <v>95</v>
      </c>
      <c r="F310" s="366">
        <f t="shared" si="75"/>
        <v>2061.5</v>
      </c>
      <c r="G310" s="366">
        <v>3793</v>
      </c>
      <c r="H310" s="367">
        <f t="shared" si="76"/>
        <v>5854.5</v>
      </c>
      <c r="I310" s="368">
        <f t="shared" si="80"/>
        <v>0</v>
      </c>
      <c r="J310" s="367">
        <v>14311</v>
      </c>
      <c r="K310" s="367">
        <f t="shared" si="81"/>
        <v>10222.142857142857</v>
      </c>
      <c r="L310" s="10">
        <v>0.19</v>
      </c>
      <c r="M310" s="10">
        <v>5.0999999999999996</v>
      </c>
      <c r="N310" s="605">
        <v>21</v>
      </c>
      <c r="O310" s="97">
        <v>7</v>
      </c>
      <c r="P310" s="97" t="s">
        <v>556</v>
      </c>
      <c r="Q310" s="97" t="str">
        <f t="shared" si="77"/>
        <v/>
      </c>
      <c r="R310" t="str">
        <f t="shared" si="78"/>
        <v/>
      </c>
      <c r="BZ310" s="51"/>
      <c r="CB310" s="10"/>
      <c r="CI310" s="69"/>
    </row>
    <row r="311" spans="3:87">
      <c r="C311" t="str">
        <f t="shared" si="79"/>
        <v>NL</v>
      </c>
      <c r="D311">
        <v>302</v>
      </c>
      <c r="E311" s="366">
        <v>95</v>
      </c>
      <c r="F311" s="366">
        <f t="shared" si="75"/>
        <v>2061.5</v>
      </c>
      <c r="G311" s="366">
        <v>4920</v>
      </c>
      <c r="H311" s="367">
        <f t="shared" si="76"/>
        <v>6981.5</v>
      </c>
      <c r="I311" s="368">
        <f t="shared" si="80"/>
        <v>0</v>
      </c>
      <c r="J311" s="367">
        <v>18562</v>
      </c>
      <c r="K311" s="367">
        <f t="shared" si="81"/>
        <v>13258.571428571429</v>
      </c>
      <c r="L311" s="10">
        <v>0.39</v>
      </c>
      <c r="M311" s="10">
        <v>5.0999999999999996</v>
      </c>
      <c r="N311" s="605">
        <v>26</v>
      </c>
      <c r="O311" s="97">
        <v>7</v>
      </c>
      <c r="P311" s="97" t="s">
        <v>514</v>
      </c>
      <c r="Q311" s="97" t="str">
        <f t="shared" si="77"/>
        <v/>
      </c>
      <c r="R311" t="str">
        <f t="shared" si="78"/>
        <v/>
      </c>
      <c r="BZ311" s="51"/>
      <c r="CB311" s="10"/>
      <c r="CI311" s="69"/>
    </row>
    <row r="312" spans="3:87">
      <c r="C312" t="str">
        <f t="shared" si="79"/>
        <v>NL</v>
      </c>
      <c r="D312">
        <v>303</v>
      </c>
      <c r="E312" s="366">
        <v>95</v>
      </c>
      <c r="F312" s="366">
        <f t="shared" si="75"/>
        <v>2061.5</v>
      </c>
      <c r="G312" s="366">
        <v>5644</v>
      </c>
      <c r="H312" s="367">
        <f t="shared" si="76"/>
        <v>7705.5</v>
      </c>
      <c r="I312" s="368">
        <f t="shared" si="80"/>
        <v>0</v>
      </c>
      <c r="J312" s="367">
        <v>21291</v>
      </c>
      <c r="K312" s="367">
        <f t="shared" si="81"/>
        <v>15207.857142857143</v>
      </c>
      <c r="L312" s="10">
        <v>0.57999999999999996</v>
      </c>
      <c r="M312" s="10">
        <v>5.0999999999999996</v>
      </c>
      <c r="N312" s="605">
        <v>25</v>
      </c>
      <c r="O312" s="97">
        <v>7</v>
      </c>
      <c r="P312" s="97" t="s">
        <v>555</v>
      </c>
      <c r="Q312" s="97" t="str">
        <f t="shared" si="77"/>
        <v/>
      </c>
      <c r="R312" t="str">
        <f t="shared" si="78"/>
        <v/>
      </c>
      <c r="BZ312" s="51"/>
      <c r="CB312" s="10"/>
      <c r="CI312" s="69"/>
    </row>
    <row r="313" spans="3:87">
      <c r="C313" t="str">
        <f t="shared" si="79"/>
        <v/>
      </c>
      <c r="D313">
        <v>304</v>
      </c>
      <c r="E313" s="366">
        <v>95</v>
      </c>
      <c r="F313" s="366">
        <f t="shared" si="75"/>
        <v>2061.5</v>
      </c>
      <c r="G313" s="366">
        <v>4634</v>
      </c>
      <c r="H313" s="367">
        <f t="shared" si="76"/>
        <v>6695.5</v>
      </c>
      <c r="I313" s="368">
        <f t="shared" si="80"/>
        <v>0</v>
      </c>
      <c r="J313" s="367">
        <v>17483</v>
      </c>
      <c r="K313" s="367">
        <f t="shared" si="81"/>
        <v>12487.857142857143</v>
      </c>
      <c r="L313" s="10">
        <v>0.31</v>
      </c>
      <c r="M313" s="10">
        <v>5.8</v>
      </c>
      <c r="N313" s="605">
        <v>26</v>
      </c>
      <c r="O313" s="97">
        <v>8</v>
      </c>
      <c r="P313" s="97" t="s">
        <v>514</v>
      </c>
      <c r="Q313" s="97">
        <f t="shared" si="77"/>
        <v>304</v>
      </c>
      <c r="R313" t="str">
        <f t="shared" si="78"/>
        <v/>
      </c>
      <c r="BZ313" s="51"/>
      <c r="CB313" s="10"/>
      <c r="CI313" s="69"/>
    </row>
    <row r="314" spans="3:87">
      <c r="C314" t="str">
        <f t="shared" si="79"/>
        <v/>
      </c>
      <c r="D314">
        <v>305</v>
      </c>
      <c r="E314" s="366">
        <v>95</v>
      </c>
      <c r="F314" s="366">
        <f t="shared" si="75"/>
        <v>2061.5</v>
      </c>
      <c r="G314" s="366">
        <v>5398</v>
      </c>
      <c r="H314" s="367">
        <f t="shared" si="76"/>
        <v>7459.5</v>
      </c>
      <c r="I314" s="368">
        <f t="shared" si="80"/>
        <v>0</v>
      </c>
      <c r="J314" s="367">
        <v>20363</v>
      </c>
      <c r="K314" s="367">
        <f t="shared" si="81"/>
        <v>14545</v>
      </c>
      <c r="L314" s="10">
        <v>0.46</v>
      </c>
      <c r="M314" s="10">
        <v>5.8</v>
      </c>
      <c r="N314" s="605">
        <v>25</v>
      </c>
      <c r="O314" s="97">
        <v>8</v>
      </c>
      <c r="P314" s="97" t="s">
        <v>555</v>
      </c>
      <c r="Q314" s="97">
        <f t="shared" si="77"/>
        <v>305</v>
      </c>
      <c r="R314" t="str">
        <f t="shared" si="78"/>
        <v/>
      </c>
      <c r="BZ314" s="51"/>
      <c r="CB314" s="10"/>
      <c r="CI314" s="69"/>
    </row>
    <row r="315" spans="3:87">
      <c r="C315" t="str">
        <f t="shared" si="79"/>
        <v/>
      </c>
      <c r="D315">
        <v>306</v>
      </c>
      <c r="E315" s="366">
        <v>95</v>
      </c>
      <c r="F315" s="366">
        <f t="shared" si="75"/>
        <v>2061.5</v>
      </c>
      <c r="G315" s="366">
        <v>7371</v>
      </c>
      <c r="H315" s="367">
        <f t="shared" si="76"/>
        <v>9432.5</v>
      </c>
      <c r="I315" s="368">
        <f t="shared" si="80"/>
        <v>0</v>
      </c>
      <c r="J315" s="367">
        <v>27807</v>
      </c>
      <c r="K315" s="367">
        <f t="shared" si="81"/>
        <v>19862.142857142859</v>
      </c>
      <c r="L315" s="10">
        <v>0.97</v>
      </c>
      <c r="M315" s="10">
        <v>5.8</v>
      </c>
      <c r="N315" s="605">
        <v>29</v>
      </c>
      <c r="O315" s="97">
        <v>8</v>
      </c>
      <c r="P315" s="97" t="s">
        <v>513</v>
      </c>
      <c r="Q315" s="97" t="str">
        <f t="shared" si="77"/>
        <v/>
      </c>
      <c r="R315" t="str">
        <f t="shared" si="78"/>
        <v/>
      </c>
      <c r="BZ315" s="51"/>
      <c r="CB315" s="10"/>
      <c r="CI315" s="69"/>
    </row>
    <row r="316" spans="3:87">
      <c r="C316" t="str">
        <f t="shared" si="79"/>
        <v/>
      </c>
      <c r="D316">
        <v>307</v>
      </c>
      <c r="E316" s="366">
        <v>95</v>
      </c>
      <c r="F316" s="366">
        <f t="shared" si="75"/>
        <v>2061.5</v>
      </c>
      <c r="G316" s="366">
        <v>4486</v>
      </c>
      <c r="H316" s="367">
        <f t="shared" si="76"/>
        <v>6547.5</v>
      </c>
      <c r="I316" s="368">
        <f t="shared" si="80"/>
        <v>0</v>
      </c>
      <c r="J316" s="367">
        <v>16923</v>
      </c>
      <c r="K316" s="367">
        <f t="shared" si="81"/>
        <v>12087.857142857143</v>
      </c>
      <c r="L316" s="10">
        <v>0.22</v>
      </c>
      <c r="M316" s="10">
        <v>7.1999999999999993</v>
      </c>
      <c r="N316" s="605">
        <v>26</v>
      </c>
      <c r="O316" s="97">
        <v>10</v>
      </c>
      <c r="P316" s="97" t="s">
        <v>514</v>
      </c>
      <c r="Q316" s="97" t="str">
        <f t="shared" si="77"/>
        <v/>
      </c>
      <c r="R316" t="str">
        <f t="shared" si="78"/>
        <v/>
      </c>
      <c r="BZ316" s="51"/>
      <c r="CB316" s="10"/>
      <c r="CI316" s="69"/>
    </row>
    <row r="317" spans="3:87">
      <c r="C317" t="str">
        <f t="shared" si="79"/>
        <v/>
      </c>
      <c r="D317">
        <v>308</v>
      </c>
      <c r="E317" s="366">
        <v>95</v>
      </c>
      <c r="F317" s="366">
        <f t="shared" si="75"/>
        <v>2061.5</v>
      </c>
      <c r="G317" s="366">
        <v>5073</v>
      </c>
      <c r="H317" s="367">
        <f t="shared" si="76"/>
        <v>7134.5</v>
      </c>
      <c r="I317" s="368">
        <f t="shared" si="80"/>
        <v>0</v>
      </c>
      <c r="J317" s="367">
        <v>19137</v>
      </c>
      <c r="K317" s="367">
        <f t="shared" si="81"/>
        <v>13669.285714285714</v>
      </c>
      <c r="L317" s="10">
        <v>0.31</v>
      </c>
      <c r="M317" s="10">
        <v>7.1999999999999993</v>
      </c>
      <c r="N317" s="605">
        <v>24</v>
      </c>
      <c r="O317" s="97">
        <v>10</v>
      </c>
      <c r="P317" s="97" t="s">
        <v>555</v>
      </c>
      <c r="Q317" s="97" t="str">
        <f t="shared" si="77"/>
        <v/>
      </c>
      <c r="R317" t="str">
        <f t="shared" si="78"/>
        <v/>
      </c>
      <c r="BZ317" s="51"/>
      <c r="CB317" s="10"/>
      <c r="CI317" s="69"/>
    </row>
    <row r="318" spans="3:87">
      <c r="C318" t="str">
        <f t="shared" si="79"/>
        <v/>
      </c>
      <c r="D318">
        <v>309</v>
      </c>
      <c r="E318" s="366">
        <v>95</v>
      </c>
      <c r="F318" s="366">
        <f t="shared" si="75"/>
        <v>2061.5</v>
      </c>
      <c r="G318" s="366">
        <v>6709</v>
      </c>
      <c r="H318" s="367">
        <f t="shared" si="76"/>
        <v>8770.5</v>
      </c>
      <c r="I318" s="368">
        <f t="shared" si="80"/>
        <v>0</v>
      </c>
      <c r="J318" s="367">
        <v>25310</v>
      </c>
      <c r="K318" s="367">
        <f t="shared" si="81"/>
        <v>18078.571428571428</v>
      </c>
      <c r="L318" s="10">
        <v>0.65</v>
      </c>
      <c r="M318" s="10">
        <v>7.1999999999999993</v>
      </c>
      <c r="N318" s="605">
        <v>28</v>
      </c>
      <c r="O318" s="97">
        <v>10</v>
      </c>
      <c r="P318" s="97" t="s">
        <v>513</v>
      </c>
      <c r="Q318" s="97" t="str">
        <f t="shared" si="77"/>
        <v/>
      </c>
      <c r="R318" t="str">
        <f t="shared" si="78"/>
        <v/>
      </c>
      <c r="BZ318" s="51"/>
      <c r="CB318" s="10"/>
      <c r="CI318" s="69"/>
    </row>
    <row r="319" spans="3:87">
      <c r="C319" t="str">
        <f t="shared" si="79"/>
        <v>NL</v>
      </c>
      <c r="D319">
        <v>310</v>
      </c>
      <c r="E319" s="366">
        <v>100</v>
      </c>
      <c r="F319" s="366">
        <f t="shared" si="75"/>
        <v>2170</v>
      </c>
      <c r="G319" s="366">
        <v>3254</v>
      </c>
      <c r="H319" s="367">
        <f t="shared" si="76"/>
        <v>5424</v>
      </c>
      <c r="I319" s="368">
        <f t="shared" si="80"/>
        <v>0</v>
      </c>
      <c r="J319" s="367">
        <v>12276</v>
      </c>
      <c r="K319" s="367">
        <f t="shared" si="81"/>
        <v>8768.5714285714294</v>
      </c>
      <c r="L319" s="10">
        <v>0.65</v>
      </c>
      <c r="M319" s="10">
        <v>2.4</v>
      </c>
      <c r="N319" s="605">
        <v>26</v>
      </c>
      <c r="O319" s="97">
        <v>3</v>
      </c>
      <c r="P319" s="97" t="s">
        <v>515</v>
      </c>
      <c r="Q319" s="97" t="str">
        <f t="shared" si="77"/>
        <v/>
      </c>
      <c r="R319" t="str">
        <f t="shared" si="78"/>
        <v/>
      </c>
      <c r="BZ319" s="51"/>
      <c r="CB319" s="10"/>
      <c r="CI319" s="69"/>
    </row>
    <row r="320" spans="3:87">
      <c r="C320" t="str">
        <f t="shared" si="79"/>
        <v/>
      </c>
      <c r="D320">
        <v>311</v>
      </c>
      <c r="E320" s="366">
        <v>100</v>
      </c>
      <c r="F320" s="366">
        <f t="shared" si="75"/>
        <v>2170</v>
      </c>
      <c r="G320" s="366">
        <v>3351</v>
      </c>
      <c r="H320" s="367">
        <f t="shared" si="76"/>
        <v>5521</v>
      </c>
      <c r="I320" s="368">
        <f t="shared" si="80"/>
        <v>0</v>
      </c>
      <c r="J320" s="367">
        <v>12643</v>
      </c>
      <c r="K320" s="367">
        <f t="shared" si="81"/>
        <v>9030.7142857142862</v>
      </c>
      <c r="L320" s="10">
        <v>0.37</v>
      </c>
      <c r="M320" s="10">
        <v>3.1</v>
      </c>
      <c r="N320" s="605">
        <v>23</v>
      </c>
      <c r="O320" s="97">
        <v>4</v>
      </c>
      <c r="P320" s="97" t="s">
        <v>515</v>
      </c>
      <c r="Q320" s="97">
        <f t="shared" si="77"/>
        <v>311</v>
      </c>
      <c r="R320" t="str">
        <f t="shared" si="78"/>
        <v/>
      </c>
      <c r="BZ320" s="51"/>
      <c r="CB320" s="10"/>
      <c r="CI320" s="69"/>
    </row>
    <row r="321" spans="3:87">
      <c r="C321" t="str">
        <f t="shared" si="79"/>
        <v/>
      </c>
      <c r="D321">
        <v>312</v>
      </c>
      <c r="E321" s="366">
        <v>100</v>
      </c>
      <c r="F321" s="366">
        <f t="shared" si="75"/>
        <v>2170</v>
      </c>
      <c r="G321" s="366">
        <v>3891</v>
      </c>
      <c r="H321" s="367">
        <f t="shared" si="76"/>
        <v>6061</v>
      </c>
      <c r="I321" s="368">
        <f t="shared" si="80"/>
        <v>0</v>
      </c>
      <c r="J321" s="367">
        <v>14680</v>
      </c>
      <c r="K321" s="367">
        <f t="shared" si="81"/>
        <v>10485.714285714286</v>
      </c>
      <c r="L321" s="10">
        <v>0.62</v>
      </c>
      <c r="M321" s="10">
        <v>3.1</v>
      </c>
      <c r="N321" s="605">
        <v>26</v>
      </c>
      <c r="O321" s="97">
        <v>4</v>
      </c>
      <c r="P321" s="97" t="s">
        <v>556</v>
      </c>
      <c r="Q321" s="97">
        <f t="shared" si="77"/>
        <v>312</v>
      </c>
      <c r="R321" t="str">
        <f t="shared" si="78"/>
        <v/>
      </c>
      <c r="BZ321" s="51"/>
      <c r="CB321" s="10"/>
      <c r="CI321" s="69"/>
    </row>
    <row r="322" spans="3:87">
      <c r="C322" t="str">
        <f t="shared" si="79"/>
        <v>NL</v>
      </c>
      <c r="D322">
        <v>313</v>
      </c>
      <c r="E322" s="366">
        <v>100</v>
      </c>
      <c r="F322" s="366">
        <f t="shared" si="75"/>
        <v>2170</v>
      </c>
      <c r="G322" s="366">
        <v>3360</v>
      </c>
      <c r="H322" s="367">
        <f t="shared" si="76"/>
        <v>5530</v>
      </c>
      <c r="I322" s="368">
        <f t="shared" si="80"/>
        <v>0</v>
      </c>
      <c r="J322" s="367">
        <v>12675</v>
      </c>
      <c r="K322" s="367">
        <f t="shared" si="81"/>
        <v>9053.5714285714294</v>
      </c>
      <c r="L322" s="10">
        <v>0.25</v>
      </c>
      <c r="M322" s="10">
        <v>3.8000000000000003</v>
      </c>
      <c r="N322" s="605">
        <v>23</v>
      </c>
      <c r="O322" s="97">
        <v>5</v>
      </c>
      <c r="P322" s="97" t="s">
        <v>515</v>
      </c>
      <c r="Q322" s="97" t="str">
        <f t="shared" si="77"/>
        <v/>
      </c>
      <c r="R322" t="str">
        <f t="shared" si="78"/>
        <v/>
      </c>
      <c r="BZ322" s="51"/>
      <c r="CB322" s="10"/>
      <c r="CI322" s="69"/>
    </row>
    <row r="323" spans="3:87">
      <c r="C323" t="str">
        <f t="shared" si="79"/>
        <v>NL</v>
      </c>
      <c r="D323">
        <v>314</v>
      </c>
      <c r="E323" s="366">
        <v>100</v>
      </c>
      <c r="F323" s="366">
        <f t="shared" si="75"/>
        <v>2170</v>
      </c>
      <c r="G323" s="366">
        <v>4104</v>
      </c>
      <c r="H323" s="367">
        <f t="shared" si="76"/>
        <v>6274</v>
      </c>
      <c r="I323" s="368">
        <f t="shared" si="80"/>
        <v>0</v>
      </c>
      <c r="J323" s="367">
        <v>15482</v>
      </c>
      <c r="K323" s="367">
        <f t="shared" si="81"/>
        <v>11058.571428571429</v>
      </c>
      <c r="L323" s="10">
        <v>0.4</v>
      </c>
      <c r="M323" s="10">
        <v>3.8000000000000003</v>
      </c>
      <c r="N323" s="605">
        <v>25</v>
      </c>
      <c r="O323" s="97">
        <v>5</v>
      </c>
      <c r="P323" s="97" t="s">
        <v>556</v>
      </c>
      <c r="Q323" s="97" t="str">
        <f t="shared" si="77"/>
        <v/>
      </c>
      <c r="R323" t="str">
        <f t="shared" si="78"/>
        <v/>
      </c>
      <c r="BZ323" s="51"/>
      <c r="CB323" s="10"/>
      <c r="CI323" s="69"/>
    </row>
    <row r="324" spans="3:87">
      <c r="C324" t="str">
        <f t="shared" si="79"/>
        <v>NL</v>
      </c>
      <c r="D324">
        <v>315</v>
      </c>
      <c r="E324" s="366">
        <v>100</v>
      </c>
      <c r="F324" s="366">
        <f t="shared" si="75"/>
        <v>2170</v>
      </c>
      <c r="G324" s="366">
        <v>4909</v>
      </c>
      <c r="H324" s="367">
        <f t="shared" si="76"/>
        <v>7079</v>
      </c>
      <c r="I324" s="368">
        <f t="shared" si="80"/>
        <v>0</v>
      </c>
      <c r="J324" s="367">
        <v>18519</v>
      </c>
      <c r="K324" s="367">
        <f t="shared" si="81"/>
        <v>13227.857142857143</v>
      </c>
      <c r="L324" s="10">
        <v>0.83</v>
      </c>
      <c r="M324" s="10">
        <v>3.8000000000000003</v>
      </c>
      <c r="N324" s="605">
        <v>30</v>
      </c>
      <c r="O324" s="97">
        <v>5</v>
      </c>
      <c r="P324" s="97" t="s">
        <v>514</v>
      </c>
      <c r="Q324" s="97" t="str">
        <f t="shared" si="77"/>
        <v/>
      </c>
      <c r="R324" t="str">
        <f t="shared" si="78"/>
        <v/>
      </c>
      <c r="BZ324" s="51"/>
      <c r="CB324" s="10"/>
      <c r="CI324" s="69"/>
    </row>
    <row r="325" spans="3:87">
      <c r="C325" t="str">
        <f t="shared" si="79"/>
        <v/>
      </c>
      <c r="D325">
        <v>316</v>
      </c>
      <c r="E325" s="366">
        <v>100</v>
      </c>
      <c r="F325" s="366">
        <f t="shared" si="75"/>
        <v>2170</v>
      </c>
      <c r="G325" s="366">
        <v>3216</v>
      </c>
      <c r="H325" s="367">
        <f t="shared" si="76"/>
        <v>5386</v>
      </c>
      <c r="I325" s="368">
        <f t="shared" si="80"/>
        <v>0</v>
      </c>
      <c r="J325" s="367">
        <v>12131</v>
      </c>
      <c r="K325" s="367">
        <f t="shared" si="81"/>
        <v>8665</v>
      </c>
      <c r="L325" s="10">
        <v>0.17</v>
      </c>
      <c r="M325" s="10">
        <v>4.3999999999999995</v>
      </c>
      <c r="N325" s="605">
        <v>21</v>
      </c>
      <c r="O325" s="97">
        <v>6</v>
      </c>
      <c r="P325" s="97" t="s">
        <v>515</v>
      </c>
      <c r="Q325" s="97">
        <f t="shared" si="77"/>
        <v>316</v>
      </c>
      <c r="R325" t="str">
        <f t="shared" si="78"/>
        <v/>
      </c>
      <c r="BZ325" s="51"/>
      <c r="CB325" s="10"/>
      <c r="CI325" s="69"/>
    </row>
    <row r="326" spans="3:87">
      <c r="C326" t="str">
        <f t="shared" si="79"/>
        <v/>
      </c>
      <c r="D326">
        <v>317</v>
      </c>
      <c r="E326" s="366">
        <v>100</v>
      </c>
      <c r="F326" s="366">
        <f t="shared" si="75"/>
        <v>2170</v>
      </c>
      <c r="G326" s="366">
        <v>4231</v>
      </c>
      <c r="H326" s="367">
        <f t="shared" si="76"/>
        <v>6401</v>
      </c>
      <c r="I326" s="368">
        <f t="shared" si="80"/>
        <v>0</v>
      </c>
      <c r="J326" s="367">
        <v>15960</v>
      </c>
      <c r="K326" s="367">
        <f t="shared" si="81"/>
        <v>11400</v>
      </c>
      <c r="L326" s="10">
        <v>0.29000000000000004</v>
      </c>
      <c r="M326" s="10">
        <v>4.3999999999999995</v>
      </c>
      <c r="N326" s="605">
        <v>23</v>
      </c>
      <c r="O326" s="97">
        <v>6</v>
      </c>
      <c r="P326" s="97" t="s">
        <v>556</v>
      </c>
      <c r="Q326" s="97">
        <f t="shared" si="77"/>
        <v>317</v>
      </c>
      <c r="R326" t="str">
        <f t="shared" si="78"/>
        <v/>
      </c>
      <c r="BZ326" s="51"/>
      <c r="CB326" s="10"/>
      <c r="CI326" s="69"/>
    </row>
    <row r="327" spans="3:87">
      <c r="C327" t="str">
        <f t="shared" si="79"/>
        <v/>
      </c>
      <c r="D327">
        <v>318</v>
      </c>
      <c r="E327" s="366">
        <v>100</v>
      </c>
      <c r="F327" s="366">
        <f t="shared" si="75"/>
        <v>2170</v>
      </c>
      <c r="G327" s="366">
        <v>5132</v>
      </c>
      <c r="H327" s="367">
        <f t="shared" si="76"/>
        <v>7302</v>
      </c>
      <c r="I327" s="368">
        <f t="shared" si="80"/>
        <v>0</v>
      </c>
      <c r="J327" s="367">
        <v>19361</v>
      </c>
      <c r="K327" s="367">
        <f t="shared" si="81"/>
        <v>13829.285714285714</v>
      </c>
      <c r="L327" s="10">
        <v>0.57999999999999996</v>
      </c>
      <c r="M327" s="10">
        <v>4.3999999999999995</v>
      </c>
      <c r="N327" s="605">
        <v>28</v>
      </c>
      <c r="O327" s="97">
        <v>6</v>
      </c>
      <c r="P327" s="97" t="s">
        <v>514</v>
      </c>
      <c r="Q327" s="97">
        <f t="shared" si="77"/>
        <v>318</v>
      </c>
      <c r="R327" t="str">
        <f t="shared" si="78"/>
        <v/>
      </c>
      <c r="BZ327" s="51"/>
      <c r="CB327" s="10"/>
      <c r="CI327" s="69"/>
    </row>
    <row r="328" spans="3:87">
      <c r="C328" t="str">
        <f t="shared" si="79"/>
        <v/>
      </c>
      <c r="D328">
        <v>319</v>
      </c>
      <c r="E328" s="366">
        <v>100</v>
      </c>
      <c r="F328" s="366">
        <f t="shared" si="75"/>
        <v>2170</v>
      </c>
      <c r="G328" s="366">
        <v>5549</v>
      </c>
      <c r="H328" s="367">
        <f t="shared" si="76"/>
        <v>7719</v>
      </c>
      <c r="I328" s="368">
        <f t="shared" si="80"/>
        <v>0</v>
      </c>
      <c r="J328" s="367">
        <v>20934</v>
      </c>
      <c r="K328" s="367">
        <f t="shared" si="81"/>
        <v>14952.857142857143</v>
      </c>
      <c r="L328" s="10">
        <v>0.86</v>
      </c>
      <c r="M328" s="10">
        <v>4.3999999999999995</v>
      </c>
      <c r="N328" s="605">
        <v>27</v>
      </c>
      <c r="O328" s="97">
        <v>6</v>
      </c>
      <c r="P328" s="97" t="s">
        <v>555</v>
      </c>
      <c r="Q328" s="97" t="str">
        <f t="shared" si="77"/>
        <v/>
      </c>
      <c r="R328" t="str">
        <f t="shared" si="78"/>
        <v/>
      </c>
      <c r="BZ328" s="51"/>
      <c r="CB328" s="10"/>
      <c r="CI328" s="69"/>
    </row>
    <row r="329" spans="3:87">
      <c r="C329" t="str">
        <f t="shared" si="79"/>
        <v>NL</v>
      </c>
      <c r="D329">
        <v>320</v>
      </c>
      <c r="E329" s="366">
        <v>100</v>
      </c>
      <c r="F329" s="366">
        <f t="shared" si="75"/>
        <v>2170</v>
      </c>
      <c r="G329" s="366">
        <v>4048</v>
      </c>
      <c r="H329" s="367">
        <f t="shared" si="76"/>
        <v>6218</v>
      </c>
      <c r="I329" s="368">
        <f t="shared" si="80"/>
        <v>0</v>
      </c>
      <c r="J329" s="367">
        <v>15271</v>
      </c>
      <c r="K329" s="367">
        <f t="shared" si="81"/>
        <v>10907.857142857143</v>
      </c>
      <c r="L329" s="10">
        <v>0.21000000000000002</v>
      </c>
      <c r="M329" s="10">
        <v>5.0999999999999996</v>
      </c>
      <c r="N329" s="605">
        <v>22</v>
      </c>
      <c r="O329" s="97">
        <v>7</v>
      </c>
      <c r="P329" s="97" t="s">
        <v>556</v>
      </c>
      <c r="Q329" s="97" t="str">
        <f t="shared" si="77"/>
        <v/>
      </c>
      <c r="R329" t="str">
        <f t="shared" si="78"/>
        <v/>
      </c>
      <c r="BZ329" s="51"/>
      <c r="CB329" s="10"/>
      <c r="CI329" s="69"/>
    </row>
    <row r="330" spans="3:87">
      <c r="C330" t="str">
        <f t="shared" si="79"/>
        <v>NL</v>
      </c>
      <c r="D330">
        <v>321</v>
      </c>
      <c r="E330" s="366">
        <v>100</v>
      </c>
      <c r="F330" s="366">
        <f t="shared" ref="F330:F393" si="82">1.085*($A$2-$B$2)*E330*$T$7</f>
        <v>2170</v>
      </c>
      <c r="G330" s="366">
        <v>5248</v>
      </c>
      <c r="H330" s="367">
        <f t="shared" ref="H330:H393" si="83">(G330*$U$7)+F330</f>
        <v>7418</v>
      </c>
      <c r="I330" s="368">
        <f t="shared" si="80"/>
        <v>0</v>
      </c>
      <c r="J330" s="367">
        <v>19799</v>
      </c>
      <c r="K330" s="367">
        <f t="shared" si="81"/>
        <v>14142.142857142857</v>
      </c>
      <c r="L330" s="10">
        <v>0.43</v>
      </c>
      <c r="M330" s="10">
        <v>5.0999999999999996</v>
      </c>
      <c r="N330" s="605">
        <v>27</v>
      </c>
      <c r="O330" s="97">
        <v>7</v>
      </c>
      <c r="P330" s="97" t="s">
        <v>514</v>
      </c>
      <c r="Q330" s="97" t="str">
        <f t="shared" ref="Q330:Q393" si="84">IF(AND(H330+1&gt;$E$4,L330&lt;$L$4+0.01,M330&lt;$M$4+0.01,K330+1&gt;$F$4,E330+1&gt;$J$4,N330&lt;$K$4+1,O330&lt;$P$4+1,C330=""),D330,"")</f>
        <v/>
      </c>
      <c r="R330" t="str">
        <f t="shared" ref="R330:R393" si="85">IF(Q330="","",IF(AND(O330&lt;$X$14,E330&gt;$U$14,E330&lt;$Q$4+$U$14+1),D330,""))</f>
        <v/>
      </c>
      <c r="BZ330" s="51"/>
      <c r="CB330" s="10"/>
      <c r="CI330" s="69"/>
    </row>
    <row r="331" spans="3:87">
      <c r="C331" t="str">
        <f t="shared" ref="C331:C394" si="86">IF(OR($O$4=0,O331-$O$4=0),IF(AND(ISEVEN(O331)=FALSE,$N$4="Even"),"NL",""),"NL")</f>
        <v>NL</v>
      </c>
      <c r="D331">
        <v>322</v>
      </c>
      <c r="E331" s="366">
        <v>100</v>
      </c>
      <c r="F331" s="366">
        <f t="shared" si="82"/>
        <v>2170</v>
      </c>
      <c r="G331" s="366">
        <v>5843</v>
      </c>
      <c r="H331" s="367">
        <f t="shared" si="83"/>
        <v>8013</v>
      </c>
      <c r="I331" s="368">
        <f t="shared" ref="I331:I394" si="87">1.085*($C$2-$D$2)*E331*$T$7</f>
        <v>0</v>
      </c>
      <c r="J331" s="367">
        <v>22043</v>
      </c>
      <c r="K331" s="367">
        <f t="shared" ref="K331:K394" si="88">(J331*$V$7)-I331</f>
        <v>15745</v>
      </c>
      <c r="L331" s="10">
        <v>0.64</v>
      </c>
      <c r="M331" s="10">
        <v>5.0999999999999996</v>
      </c>
      <c r="N331" s="605">
        <v>26</v>
      </c>
      <c r="O331" s="97">
        <v>7</v>
      </c>
      <c r="P331" s="97" t="s">
        <v>555</v>
      </c>
      <c r="Q331" s="97" t="str">
        <f t="shared" si="84"/>
        <v/>
      </c>
      <c r="R331" t="str">
        <f t="shared" si="85"/>
        <v/>
      </c>
      <c r="BZ331" s="51"/>
      <c r="CB331" s="10"/>
      <c r="CI331" s="69"/>
    </row>
    <row r="332" spans="3:87">
      <c r="C332" t="str">
        <f t="shared" si="86"/>
        <v/>
      </c>
      <c r="D332">
        <v>323</v>
      </c>
      <c r="E332" s="366">
        <v>100</v>
      </c>
      <c r="F332" s="366">
        <f t="shared" si="82"/>
        <v>2170</v>
      </c>
      <c r="G332" s="366">
        <v>4930</v>
      </c>
      <c r="H332" s="367">
        <f t="shared" si="83"/>
        <v>7100</v>
      </c>
      <c r="I332" s="368">
        <f t="shared" si="87"/>
        <v>0</v>
      </c>
      <c r="J332" s="367">
        <v>18598</v>
      </c>
      <c r="K332" s="367">
        <f t="shared" si="88"/>
        <v>13284.285714285714</v>
      </c>
      <c r="L332" s="10">
        <v>0.35000000000000003</v>
      </c>
      <c r="M332" s="10">
        <v>5.8</v>
      </c>
      <c r="N332" s="605">
        <v>27</v>
      </c>
      <c r="O332" s="97">
        <v>8</v>
      </c>
      <c r="P332" s="97" t="s">
        <v>514</v>
      </c>
      <c r="Q332" s="97">
        <f t="shared" si="84"/>
        <v>323</v>
      </c>
      <c r="R332" t="str">
        <f t="shared" si="85"/>
        <v/>
      </c>
      <c r="BZ332" s="51"/>
      <c r="CB332" s="10"/>
      <c r="CI332" s="69"/>
    </row>
    <row r="333" spans="3:87">
      <c r="C333" t="str">
        <f t="shared" si="86"/>
        <v/>
      </c>
      <c r="D333">
        <v>324</v>
      </c>
      <c r="E333" s="366">
        <v>100</v>
      </c>
      <c r="F333" s="366">
        <f t="shared" si="82"/>
        <v>2170</v>
      </c>
      <c r="G333" s="366">
        <v>5767</v>
      </c>
      <c r="H333" s="367">
        <f t="shared" si="83"/>
        <v>7937</v>
      </c>
      <c r="I333" s="368">
        <f t="shared" si="87"/>
        <v>0</v>
      </c>
      <c r="J333" s="367">
        <v>21755</v>
      </c>
      <c r="K333" s="367">
        <f t="shared" si="88"/>
        <v>15539.285714285714</v>
      </c>
      <c r="L333" s="10">
        <v>0.51</v>
      </c>
      <c r="M333" s="10">
        <v>5.8</v>
      </c>
      <c r="N333" s="605">
        <v>25</v>
      </c>
      <c r="O333" s="97">
        <v>8</v>
      </c>
      <c r="P333" s="97" t="s">
        <v>555</v>
      </c>
      <c r="Q333" s="97">
        <f t="shared" si="84"/>
        <v>324</v>
      </c>
      <c r="R333" t="str">
        <f t="shared" si="85"/>
        <v/>
      </c>
      <c r="BZ333" s="51"/>
      <c r="CB333" s="10"/>
      <c r="CI333" s="69"/>
    </row>
    <row r="334" spans="3:87">
      <c r="C334" t="str">
        <f t="shared" si="86"/>
        <v/>
      </c>
      <c r="D334">
        <v>325</v>
      </c>
      <c r="E334" s="366">
        <v>100</v>
      </c>
      <c r="F334" s="366">
        <f t="shared" si="82"/>
        <v>2170</v>
      </c>
      <c r="G334" s="366">
        <v>4674</v>
      </c>
      <c r="H334" s="367">
        <f t="shared" si="83"/>
        <v>6844</v>
      </c>
      <c r="I334" s="368">
        <f t="shared" si="87"/>
        <v>0</v>
      </c>
      <c r="J334" s="367">
        <v>17632</v>
      </c>
      <c r="K334" s="367">
        <f t="shared" si="88"/>
        <v>12594.285714285714</v>
      </c>
      <c r="L334" s="10">
        <v>0.24000000000000002</v>
      </c>
      <c r="M334" s="10">
        <v>7.1999999999999993</v>
      </c>
      <c r="N334" s="605">
        <v>27</v>
      </c>
      <c r="O334" s="97">
        <v>10</v>
      </c>
      <c r="P334" s="97" t="s">
        <v>514</v>
      </c>
      <c r="Q334" s="97" t="str">
        <f t="shared" si="84"/>
        <v/>
      </c>
      <c r="R334" t="str">
        <f t="shared" si="85"/>
        <v/>
      </c>
      <c r="BZ334" s="51"/>
      <c r="CB334" s="10"/>
      <c r="CI334" s="69"/>
    </row>
    <row r="335" spans="3:87">
      <c r="C335" t="str">
        <f t="shared" si="86"/>
        <v/>
      </c>
      <c r="D335">
        <v>326</v>
      </c>
      <c r="E335" s="366">
        <v>100</v>
      </c>
      <c r="F335" s="366">
        <f t="shared" si="82"/>
        <v>2170</v>
      </c>
      <c r="G335" s="366">
        <v>5288</v>
      </c>
      <c r="H335" s="367">
        <f t="shared" si="83"/>
        <v>7458</v>
      </c>
      <c r="I335" s="368">
        <f t="shared" si="87"/>
        <v>0</v>
      </c>
      <c r="J335" s="367">
        <v>19950</v>
      </c>
      <c r="K335" s="367">
        <f t="shared" si="88"/>
        <v>14250</v>
      </c>
      <c r="L335" s="10">
        <v>0.34</v>
      </c>
      <c r="M335" s="10">
        <v>7.1999999999999993</v>
      </c>
      <c r="N335" s="605">
        <v>25</v>
      </c>
      <c r="O335" s="97">
        <v>10</v>
      </c>
      <c r="P335" s="97" t="s">
        <v>555</v>
      </c>
      <c r="Q335" s="97" t="str">
        <f t="shared" si="84"/>
        <v/>
      </c>
      <c r="R335" t="str">
        <f t="shared" si="85"/>
        <v/>
      </c>
      <c r="BZ335" s="51"/>
      <c r="CB335" s="10"/>
      <c r="CI335" s="69"/>
    </row>
    <row r="336" spans="3:87">
      <c r="C336" t="str">
        <f t="shared" si="86"/>
        <v/>
      </c>
      <c r="D336">
        <v>327</v>
      </c>
      <c r="E336" s="366">
        <v>100</v>
      </c>
      <c r="F336" s="366">
        <f t="shared" si="82"/>
        <v>2170</v>
      </c>
      <c r="G336" s="366">
        <v>7142</v>
      </c>
      <c r="H336" s="367">
        <f t="shared" si="83"/>
        <v>9312</v>
      </c>
      <c r="I336" s="368">
        <f t="shared" si="87"/>
        <v>0</v>
      </c>
      <c r="J336" s="367">
        <v>26944</v>
      </c>
      <c r="K336" s="367">
        <f t="shared" si="88"/>
        <v>19245.714285714286</v>
      </c>
      <c r="L336" s="10">
        <v>0.72</v>
      </c>
      <c r="M336" s="10">
        <v>7.1999999999999993</v>
      </c>
      <c r="N336" s="605">
        <v>29</v>
      </c>
      <c r="O336" s="97">
        <v>10</v>
      </c>
      <c r="P336" s="97" t="s">
        <v>513</v>
      </c>
      <c r="Q336" s="97" t="str">
        <f t="shared" si="84"/>
        <v/>
      </c>
      <c r="R336" t="str">
        <f t="shared" si="85"/>
        <v/>
      </c>
      <c r="BZ336" s="51"/>
      <c r="CB336" s="10"/>
      <c r="CI336" s="69"/>
    </row>
    <row r="337" spans="3:87">
      <c r="C337" t="str">
        <f t="shared" si="86"/>
        <v>NL</v>
      </c>
      <c r="D337">
        <v>328</v>
      </c>
      <c r="E337" s="366">
        <v>105</v>
      </c>
      <c r="F337" s="366">
        <f t="shared" si="82"/>
        <v>2278.5</v>
      </c>
      <c r="G337" s="366">
        <v>3348</v>
      </c>
      <c r="H337" s="367">
        <f t="shared" si="83"/>
        <v>5626.5</v>
      </c>
      <c r="I337" s="368">
        <f t="shared" si="87"/>
        <v>0</v>
      </c>
      <c r="J337" s="367">
        <v>12633</v>
      </c>
      <c r="K337" s="367">
        <f t="shared" si="88"/>
        <v>9023.5714285714294</v>
      </c>
      <c r="L337" s="10">
        <v>0.72</v>
      </c>
      <c r="M337" s="10">
        <v>2.4</v>
      </c>
      <c r="N337" s="605">
        <v>26</v>
      </c>
      <c r="O337" s="97">
        <v>3</v>
      </c>
      <c r="P337" s="97" t="s">
        <v>515</v>
      </c>
      <c r="Q337" s="97" t="str">
        <f t="shared" si="84"/>
        <v/>
      </c>
      <c r="R337" t="str">
        <f t="shared" si="85"/>
        <v/>
      </c>
      <c r="BZ337" s="51"/>
      <c r="CB337" s="10"/>
      <c r="CI337" s="69"/>
    </row>
    <row r="338" spans="3:87">
      <c r="C338" t="str">
        <f t="shared" si="86"/>
        <v/>
      </c>
      <c r="D338">
        <v>329</v>
      </c>
      <c r="E338" s="366">
        <v>105</v>
      </c>
      <c r="F338" s="366">
        <f t="shared" si="82"/>
        <v>2278.5</v>
      </c>
      <c r="G338" s="366">
        <v>3518</v>
      </c>
      <c r="H338" s="367">
        <f t="shared" si="83"/>
        <v>5796.5</v>
      </c>
      <c r="I338" s="368">
        <f t="shared" si="87"/>
        <v>0</v>
      </c>
      <c r="J338" s="367">
        <v>13272</v>
      </c>
      <c r="K338" s="367">
        <f t="shared" si="88"/>
        <v>9480</v>
      </c>
      <c r="L338" s="10">
        <v>0.41000000000000003</v>
      </c>
      <c r="M338" s="10">
        <v>3.1</v>
      </c>
      <c r="N338" s="605">
        <v>24</v>
      </c>
      <c r="O338" s="97">
        <v>4</v>
      </c>
      <c r="P338" s="97" t="s">
        <v>515</v>
      </c>
      <c r="Q338" s="97">
        <f t="shared" si="84"/>
        <v>329</v>
      </c>
      <c r="R338" t="str">
        <f t="shared" si="85"/>
        <v/>
      </c>
      <c r="BZ338" s="51"/>
      <c r="CB338" s="10"/>
      <c r="CI338" s="69"/>
    </row>
    <row r="339" spans="3:87">
      <c r="C339" t="str">
        <f t="shared" si="86"/>
        <v/>
      </c>
      <c r="D339">
        <v>330</v>
      </c>
      <c r="E339" s="366">
        <v>105</v>
      </c>
      <c r="F339" s="366">
        <f t="shared" si="82"/>
        <v>2278.5</v>
      </c>
      <c r="G339" s="366">
        <v>4039</v>
      </c>
      <c r="H339" s="367">
        <f t="shared" si="83"/>
        <v>6317.5</v>
      </c>
      <c r="I339" s="368">
        <f t="shared" si="87"/>
        <v>0</v>
      </c>
      <c r="J339" s="367">
        <v>15236</v>
      </c>
      <c r="K339" s="367">
        <f t="shared" si="88"/>
        <v>10882.857142857143</v>
      </c>
      <c r="L339" s="10">
        <v>0.68</v>
      </c>
      <c r="M339" s="10">
        <v>3.1</v>
      </c>
      <c r="N339" s="605">
        <v>27</v>
      </c>
      <c r="O339" s="97">
        <v>4</v>
      </c>
      <c r="P339" s="97" t="s">
        <v>556</v>
      </c>
      <c r="Q339" s="97">
        <f t="shared" si="84"/>
        <v>330</v>
      </c>
      <c r="R339" t="str">
        <f t="shared" si="85"/>
        <v/>
      </c>
      <c r="BZ339" s="51"/>
      <c r="CB339" s="10"/>
      <c r="CI339" s="69"/>
    </row>
    <row r="340" spans="3:87">
      <c r="C340" t="str">
        <f t="shared" si="86"/>
        <v>NL</v>
      </c>
      <c r="D340">
        <v>331</v>
      </c>
      <c r="E340" s="366">
        <v>105</v>
      </c>
      <c r="F340" s="366">
        <f t="shared" si="82"/>
        <v>2278.5</v>
      </c>
      <c r="G340" s="366">
        <v>3564</v>
      </c>
      <c r="H340" s="367">
        <f t="shared" si="83"/>
        <v>5842.5</v>
      </c>
      <c r="I340" s="368">
        <f t="shared" si="87"/>
        <v>0</v>
      </c>
      <c r="J340" s="367">
        <v>13446</v>
      </c>
      <c r="K340" s="367">
        <f t="shared" si="88"/>
        <v>9604.2857142857138</v>
      </c>
      <c r="L340" s="10">
        <v>0.27</v>
      </c>
      <c r="M340" s="10">
        <v>3.8000000000000003</v>
      </c>
      <c r="N340" s="605">
        <v>23</v>
      </c>
      <c r="O340" s="97">
        <v>5</v>
      </c>
      <c r="P340" s="97" t="s">
        <v>515</v>
      </c>
      <c r="Q340" s="97" t="str">
        <f t="shared" si="84"/>
        <v/>
      </c>
      <c r="R340" t="str">
        <f t="shared" si="85"/>
        <v/>
      </c>
      <c r="BZ340" s="51"/>
      <c r="CB340" s="10"/>
      <c r="CI340" s="69"/>
    </row>
    <row r="341" spans="3:87">
      <c r="C341" t="str">
        <f t="shared" si="86"/>
        <v>NL</v>
      </c>
      <c r="D341">
        <v>332</v>
      </c>
      <c r="E341" s="366">
        <v>105</v>
      </c>
      <c r="F341" s="366">
        <f t="shared" si="82"/>
        <v>2278.5</v>
      </c>
      <c r="G341" s="366">
        <v>4266</v>
      </c>
      <c r="H341" s="367">
        <f t="shared" si="83"/>
        <v>6544.5</v>
      </c>
      <c r="I341" s="368">
        <f t="shared" si="87"/>
        <v>0</v>
      </c>
      <c r="J341" s="367">
        <v>16093</v>
      </c>
      <c r="K341" s="367">
        <f t="shared" si="88"/>
        <v>11495</v>
      </c>
      <c r="L341" s="10">
        <v>0.45</v>
      </c>
      <c r="M341" s="10">
        <v>3.8000000000000003</v>
      </c>
      <c r="N341" s="605">
        <v>25</v>
      </c>
      <c r="O341" s="97">
        <v>5</v>
      </c>
      <c r="P341" s="97" t="s">
        <v>556</v>
      </c>
      <c r="Q341" s="97" t="str">
        <f t="shared" si="84"/>
        <v/>
      </c>
      <c r="R341" t="str">
        <f t="shared" si="85"/>
        <v/>
      </c>
      <c r="BZ341" s="51"/>
      <c r="CB341" s="10"/>
      <c r="CI341" s="69"/>
    </row>
    <row r="342" spans="3:87">
      <c r="C342" t="str">
        <f t="shared" si="86"/>
        <v>NL</v>
      </c>
      <c r="D342">
        <v>333</v>
      </c>
      <c r="E342" s="366">
        <v>105</v>
      </c>
      <c r="F342" s="366">
        <f t="shared" si="82"/>
        <v>2278.5</v>
      </c>
      <c r="G342" s="366">
        <v>5080</v>
      </c>
      <c r="H342" s="367">
        <f t="shared" si="83"/>
        <v>7358.5</v>
      </c>
      <c r="I342" s="368">
        <f t="shared" si="87"/>
        <v>0</v>
      </c>
      <c r="J342" s="367">
        <v>19163</v>
      </c>
      <c r="K342" s="367">
        <f t="shared" si="88"/>
        <v>13687.857142857143</v>
      </c>
      <c r="L342" s="10">
        <v>0.92</v>
      </c>
      <c r="M342" s="10">
        <v>3.8000000000000003</v>
      </c>
      <c r="N342" s="605">
        <v>30</v>
      </c>
      <c r="O342" s="97">
        <v>5</v>
      </c>
      <c r="P342" s="97" t="s">
        <v>514</v>
      </c>
      <c r="Q342" s="97" t="str">
        <f t="shared" si="84"/>
        <v/>
      </c>
      <c r="R342" t="str">
        <f t="shared" si="85"/>
        <v/>
      </c>
      <c r="BZ342" s="51"/>
      <c r="CB342" s="10"/>
      <c r="CI342" s="69"/>
    </row>
    <row r="343" spans="3:87">
      <c r="C343" t="str">
        <f t="shared" si="86"/>
        <v/>
      </c>
      <c r="D343">
        <v>334</v>
      </c>
      <c r="E343" s="366">
        <v>105</v>
      </c>
      <c r="F343" s="366">
        <f t="shared" si="82"/>
        <v>2278.5</v>
      </c>
      <c r="G343" s="366">
        <v>3416</v>
      </c>
      <c r="H343" s="367">
        <f t="shared" si="83"/>
        <v>5694.5</v>
      </c>
      <c r="I343" s="368">
        <f t="shared" si="87"/>
        <v>0</v>
      </c>
      <c r="J343" s="367">
        <v>12887</v>
      </c>
      <c r="K343" s="367">
        <f t="shared" si="88"/>
        <v>9205</v>
      </c>
      <c r="L343" s="10">
        <v>0.19</v>
      </c>
      <c r="M343" s="10">
        <v>4.3999999999999995</v>
      </c>
      <c r="N343" s="605">
        <v>21</v>
      </c>
      <c r="O343" s="97">
        <v>6</v>
      </c>
      <c r="P343" s="97" t="s">
        <v>515</v>
      </c>
      <c r="Q343" s="97">
        <f t="shared" si="84"/>
        <v>334</v>
      </c>
      <c r="R343" t="str">
        <f t="shared" si="85"/>
        <v/>
      </c>
      <c r="BZ343" s="51"/>
      <c r="CB343" s="10"/>
      <c r="CI343" s="69"/>
    </row>
    <row r="344" spans="3:87">
      <c r="C344" t="str">
        <f t="shared" si="86"/>
        <v/>
      </c>
      <c r="D344">
        <v>335</v>
      </c>
      <c r="E344" s="366">
        <v>105</v>
      </c>
      <c r="F344" s="366">
        <f t="shared" si="82"/>
        <v>2278.5</v>
      </c>
      <c r="G344" s="366">
        <v>4502</v>
      </c>
      <c r="H344" s="367">
        <f t="shared" si="83"/>
        <v>6780.5</v>
      </c>
      <c r="I344" s="368">
        <f t="shared" si="87"/>
        <v>0</v>
      </c>
      <c r="J344" s="367">
        <v>16986</v>
      </c>
      <c r="K344" s="367">
        <f t="shared" si="88"/>
        <v>12132.857142857143</v>
      </c>
      <c r="L344" s="10">
        <v>0.31</v>
      </c>
      <c r="M344" s="10">
        <v>4.3999999999999995</v>
      </c>
      <c r="N344" s="605">
        <v>24</v>
      </c>
      <c r="O344" s="97">
        <v>6</v>
      </c>
      <c r="P344" s="97" t="s">
        <v>556</v>
      </c>
      <c r="Q344" s="97">
        <f t="shared" si="84"/>
        <v>335</v>
      </c>
      <c r="R344" t="str">
        <f t="shared" si="85"/>
        <v/>
      </c>
      <c r="BZ344" s="51"/>
      <c r="CB344" s="10"/>
      <c r="CI344" s="69"/>
    </row>
    <row r="345" spans="3:87">
      <c r="C345" t="str">
        <f t="shared" si="86"/>
        <v/>
      </c>
      <c r="D345">
        <v>336</v>
      </c>
      <c r="E345" s="366">
        <v>105</v>
      </c>
      <c r="F345" s="366">
        <f t="shared" si="82"/>
        <v>2278.5</v>
      </c>
      <c r="G345" s="366">
        <v>5289</v>
      </c>
      <c r="H345" s="367">
        <f t="shared" si="83"/>
        <v>7567.5</v>
      </c>
      <c r="I345" s="368">
        <f t="shared" si="87"/>
        <v>0</v>
      </c>
      <c r="J345" s="367">
        <v>19954</v>
      </c>
      <c r="K345" s="367">
        <f t="shared" si="88"/>
        <v>14252.857142857143</v>
      </c>
      <c r="L345" s="10">
        <v>0.64</v>
      </c>
      <c r="M345" s="10">
        <v>4.3999999999999995</v>
      </c>
      <c r="N345" s="605">
        <v>29</v>
      </c>
      <c r="O345" s="97">
        <v>6</v>
      </c>
      <c r="P345" s="97" t="s">
        <v>514</v>
      </c>
      <c r="Q345" s="97">
        <f t="shared" si="84"/>
        <v>336</v>
      </c>
      <c r="R345" t="str">
        <f t="shared" si="85"/>
        <v/>
      </c>
      <c r="BZ345" s="51"/>
      <c r="CB345" s="10"/>
      <c r="CI345" s="69"/>
    </row>
    <row r="346" spans="3:87">
      <c r="C346" t="str">
        <f t="shared" si="86"/>
        <v/>
      </c>
      <c r="D346">
        <v>337</v>
      </c>
      <c r="E346" s="366">
        <v>105</v>
      </c>
      <c r="F346" s="366">
        <f t="shared" si="82"/>
        <v>2278.5</v>
      </c>
      <c r="G346" s="366">
        <v>5729</v>
      </c>
      <c r="H346" s="367">
        <f t="shared" si="83"/>
        <v>8007.5</v>
      </c>
      <c r="I346" s="368">
        <f t="shared" si="87"/>
        <v>0</v>
      </c>
      <c r="J346" s="367">
        <v>21613</v>
      </c>
      <c r="K346" s="367">
        <f t="shared" si="88"/>
        <v>15437.857142857143</v>
      </c>
      <c r="L346" s="10">
        <v>0.95</v>
      </c>
      <c r="M346" s="10">
        <v>4.3999999999999995</v>
      </c>
      <c r="N346" s="605">
        <v>28</v>
      </c>
      <c r="O346" s="97">
        <v>6</v>
      </c>
      <c r="P346" s="97" t="s">
        <v>555</v>
      </c>
      <c r="Q346" s="97" t="str">
        <f t="shared" si="84"/>
        <v/>
      </c>
      <c r="R346" t="str">
        <f t="shared" si="85"/>
        <v/>
      </c>
      <c r="BZ346" s="51"/>
      <c r="CB346" s="10"/>
      <c r="CI346" s="69"/>
    </row>
    <row r="347" spans="3:87">
      <c r="C347" t="str">
        <f t="shared" si="86"/>
        <v>NL</v>
      </c>
      <c r="D347">
        <v>338</v>
      </c>
      <c r="E347" s="366">
        <v>105</v>
      </c>
      <c r="F347" s="366">
        <f t="shared" si="82"/>
        <v>2278.5</v>
      </c>
      <c r="G347" s="366">
        <v>4302</v>
      </c>
      <c r="H347" s="367">
        <f t="shared" si="83"/>
        <v>6580.5</v>
      </c>
      <c r="I347" s="368">
        <f t="shared" si="87"/>
        <v>0</v>
      </c>
      <c r="J347" s="367">
        <v>16232</v>
      </c>
      <c r="K347" s="367">
        <f t="shared" si="88"/>
        <v>11594.285714285714</v>
      </c>
      <c r="L347" s="10">
        <v>0.23</v>
      </c>
      <c r="M347" s="10">
        <v>5.0999999999999996</v>
      </c>
      <c r="N347" s="605">
        <v>23</v>
      </c>
      <c r="O347" s="97">
        <v>7</v>
      </c>
      <c r="P347" s="97" t="s">
        <v>556</v>
      </c>
      <c r="Q347" s="97" t="str">
        <f t="shared" si="84"/>
        <v/>
      </c>
      <c r="R347" t="str">
        <f t="shared" si="85"/>
        <v/>
      </c>
      <c r="BZ347" s="51"/>
      <c r="CB347" s="10"/>
      <c r="CI347" s="69"/>
    </row>
    <row r="348" spans="3:87">
      <c r="C348" t="str">
        <f t="shared" si="86"/>
        <v>NL</v>
      </c>
      <c r="D348">
        <v>339</v>
      </c>
      <c r="E348" s="366">
        <v>105</v>
      </c>
      <c r="F348" s="366">
        <f t="shared" si="82"/>
        <v>2278.5</v>
      </c>
      <c r="G348" s="366">
        <v>5474</v>
      </c>
      <c r="H348" s="367">
        <f t="shared" si="83"/>
        <v>7752.5</v>
      </c>
      <c r="I348" s="368">
        <f t="shared" si="87"/>
        <v>0</v>
      </c>
      <c r="J348" s="367">
        <v>20651</v>
      </c>
      <c r="K348" s="367">
        <f t="shared" si="88"/>
        <v>14750.714285714286</v>
      </c>
      <c r="L348" s="10">
        <v>0.48</v>
      </c>
      <c r="M348" s="10">
        <v>5.0999999999999996</v>
      </c>
      <c r="N348" s="605">
        <v>28</v>
      </c>
      <c r="O348" s="97">
        <v>7</v>
      </c>
      <c r="P348" s="97" t="s">
        <v>514</v>
      </c>
      <c r="Q348" s="97" t="str">
        <f t="shared" si="84"/>
        <v/>
      </c>
      <c r="R348" t="str">
        <f t="shared" si="85"/>
        <v/>
      </c>
      <c r="BZ348" s="51"/>
      <c r="CB348" s="10"/>
      <c r="CI348" s="69"/>
    </row>
    <row r="349" spans="3:87">
      <c r="C349" t="str">
        <f t="shared" si="86"/>
        <v>NL</v>
      </c>
      <c r="D349">
        <v>340</v>
      </c>
      <c r="E349" s="366">
        <v>105</v>
      </c>
      <c r="F349" s="366">
        <f t="shared" si="82"/>
        <v>2278.5</v>
      </c>
      <c r="G349" s="366">
        <v>6042</v>
      </c>
      <c r="H349" s="367">
        <f t="shared" si="83"/>
        <v>8320.5</v>
      </c>
      <c r="I349" s="368">
        <f t="shared" si="87"/>
        <v>0</v>
      </c>
      <c r="J349" s="367">
        <v>22795</v>
      </c>
      <c r="K349" s="367">
        <f t="shared" si="88"/>
        <v>16282.142857142857</v>
      </c>
      <c r="L349" s="10">
        <v>0.71</v>
      </c>
      <c r="M349" s="10">
        <v>5.0999999999999996</v>
      </c>
      <c r="N349" s="605">
        <v>27</v>
      </c>
      <c r="O349" s="97">
        <v>7</v>
      </c>
      <c r="P349" s="97" t="s">
        <v>555</v>
      </c>
      <c r="Q349" s="97" t="str">
        <f t="shared" si="84"/>
        <v/>
      </c>
      <c r="R349" t="str">
        <f t="shared" si="85"/>
        <v/>
      </c>
      <c r="BZ349" s="51"/>
      <c r="CB349" s="10"/>
      <c r="CI349" s="69"/>
    </row>
    <row r="350" spans="3:87">
      <c r="C350" t="str">
        <f t="shared" si="86"/>
        <v/>
      </c>
      <c r="D350">
        <v>341</v>
      </c>
      <c r="E350" s="366">
        <v>105</v>
      </c>
      <c r="F350" s="366">
        <f t="shared" si="82"/>
        <v>2278.5</v>
      </c>
      <c r="G350" s="366">
        <v>4067</v>
      </c>
      <c r="H350" s="367">
        <f t="shared" si="83"/>
        <v>6345.5</v>
      </c>
      <c r="I350" s="368">
        <f t="shared" si="87"/>
        <v>0</v>
      </c>
      <c r="J350" s="367">
        <v>15344</v>
      </c>
      <c r="K350" s="367">
        <f t="shared" si="88"/>
        <v>10960</v>
      </c>
      <c r="L350" s="10">
        <v>0.18000000000000002</v>
      </c>
      <c r="M350" s="10">
        <v>5.8</v>
      </c>
      <c r="N350" s="605">
        <v>22</v>
      </c>
      <c r="O350" s="97">
        <v>8</v>
      </c>
      <c r="P350" s="97" t="s">
        <v>556</v>
      </c>
      <c r="Q350" s="97">
        <f t="shared" si="84"/>
        <v>341</v>
      </c>
      <c r="R350" t="str">
        <f t="shared" si="85"/>
        <v/>
      </c>
      <c r="BZ350" s="51"/>
      <c r="CB350" s="10"/>
      <c r="CI350" s="69"/>
    </row>
    <row r="351" spans="3:87">
      <c r="C351" t="str">
        <f t="shared" si="86"/>
        <v/>
      </c>
      <c r="D351">
        <v>342</v>
      </c>
      <c r="E351" s="366">
        <v>105</v>
      </c>
      <c r="F351" s="366">
        <f t="shared" si="82"/>
        <v>2278.5</v>
      </c>
      <c r="G351" s="366">
        <v>5243</v>
      </c>
      <c r="H351" s="367">
        <f t="shared" si="83"/>
        <v>7521.5</v>
      </c>
      <c r="I351" s="368">
        <f t="shared" si="87"/>
        <v>0</v>
      </c>
      <c r="J351" s="367">
        <v>19780</v>
      </c>
      <c r="K351" s="367">
        <f t="shared" si="88"/>
        <v>14128.571428571429</v>
      </c>
      <c r="L351" s="10">
        <v>0.38</v>
      </c>
      <c r="M351" s="10">
        <v>5.8</v>
      </c>
      <c r="N351" s="605">
        <v>27</v>
      </c>
      <c r="O351" s="97">
        <v>8</v>
      </c>
      <c r="P351" s="97" t="s">
        <v>514</v>
      </c>
      <c r="Q351" s="97">
        <f t="shared" si="84"/>
        <v>342</v>
      </c>
      <c r="R351" t="str">
        <f t="shared" si="85"/>
        <v/>
      </c>
      <c r="BZ351" s="51"/>
      <c r="CB351" s="10"/>
      <c r="CI351" s="69"/>
    </row>
    <row r="352" spans="3:87">
      <c r="C352" t="str">
        <f t="shared" si="86"/>
        <v/>
      </c>
      <c r="D352">
        <v>343</v>
      </c>
      <c r="E352" s="366">
        <v>105</v>
      </c>
      <c r="F352" s="366">
        <f t="shared" si="82"/>
        <v>2278.5</v>
      </c>
      <c r="G352" s="366">
        <v>6136</v>
      </c>
      <c r="H352" s="367">
        <f t="shared" si="83"/>
        <v>8414.5</v>
      </c>
      <c r="I352" s="368">
        <f t="shared" si="87"/>
        <v>0</v>
      </c>
      <c r="J352" s="367">
        <v>23146</v>
      </c>
      <c r="K352" s="367">
        <f t="shared" si="88"/>
        <v>16532.857142857145</v>
      </c>
      <c r="L352" s="10">
        <v>0.56000000000000005</v>
      </c>
      <c r="M352" s="10">
        <v>5.8</v>
      </c>
      <c r="N352" s="605">
        <v>26</v>
      </c>
      <c r="O352" s="97">
        <v>8</v>
      </c>
      <c r="P352" s="97" t="s">
        <v>555</v>
      </c>
      <c r="Q352" s="97">
        <f t="shared" si="84"/>
        <v>343</v>
      </c>
      <c r="R352" t="str">
        <f t="shared" si="85"/>
        <v/>
      </c>
      <c r="BZ352" s="51"/>
      <c r="CB352" s="10"/>
      <c r="CI352" s="69"/>
    </row>
    <row r="353" spans="3:87">
      <c r="C353" t="str">
        <f t="shared" si="86"/>
        <v/>
      </c>
      <c r="D353">
        <v>344</v>
      </c>
      <c r="E353" s="366">
        <v>105</v>
      </c>
      <c r="F353" s="366">
        <f t="shared" si="82"/>
        <v>2278.5</v>
      </c>
      <c r="G353" s="366">
        <v>4862</v>
      </c>
      <c r="H353" s="367">
        <f t="shared" si="83"/>
        <v>7140.5</v>
      </c>
      <c r="I353" s="368">
        <f t="shared" si="87"/>
        <v>0</v>
      </c>
      <c r="J353" s="367">
        <v>18341</v>
      </c>
      <c r="K353" s="367">
        <f t="shared" si="88"/>
        <v>13100.714285714286</v>
      </c>
      <c r="L353" s="10">
        <v>0.27</v>
      </c>
      <c r="M353" s="10">
        <v>7.1999999999999993</v>
      </c>
      <c r="N353" s="605">
        <v>27</v>
      </c>
      <c r="O353" s="97">
        <v>10</v>
      </c>
      <c r="P353" s="97" t="s">
        <v>514</v>
      </c>
      <c r="Q353" s="97" t="str">
        <f t="shared" si="84"/>
        <v/>
      </c>
      <c r="R353" t="str">
        <f t="shared" si="85"/>
        <v/>
      </c>
      <c r="BZ353" s="51"/>
      <c r="CB353" s="10"/>
      <c r="CI353" s="69"/>
    </row>
    <row r="354" spans="3:87">
      <c r="C354" t="str">
        <f t="shared" si="86"/>
        <v/>
      </c>
      <c r="D354">
        <v>345</v>
      </c>
      <c r="E354" s="366">
        <v>105</v>
      </c>
      <c r="F354" s="366">
        <f t="shared" si="82"/>
        <v>2278.5</v>
      </c>
      <c r="G354" s="366">
        <v>5586</v>
      </c>
      <c r="H354" s="367">
        <f t="shared" si="83"/>
        <v>7864.5</v>
      </c>
      <c r="I354" s="368">
        <f t="shared" si="87"/>
        <v>0</v>
      </c>
      <c r="J354" s="367">
        <v>21075</v>
      </c>
      <c r="K354" s="367">
        <f t="shared" si="88"/>
        <v>15053.571428571429</v>
      </c>
      <c r="L354" s="10">
        <v>0.38</v>
      </c>
      <c r="M354" s="10">
        <v>7.1999999999999993</v>
      </c>
      <c r="N354" s="605">
        <v>25</v>
      </c>
      <c r="O354" s="97">
        <v>10</v>
      </c>
      <c r="P354" s="97" t="s">
        <v>555</v>
      </c>
      <c r="Q354" s="97" t="str">
        <f t="shared" si="84"/>
        <v/>
      </c>
      <c r="R354" t="str">
        <f t="shared" si="85"/>
        <v/>
      </c>
      <c r="BZ354" s="51"/>
      <c r="CB354" s="10"/>
      <c r="CI354" s="69"/>
    </row>
    <row r="355" spans="3:87">
      <c r="C355" t="str">
        <f t="shared" si="86"/>
        <v/>
      </c>
      <c r="D355">
        <v>346</v>
      </c>
      <c r="E355" s="366">
        <v>105</v>
      </c>
      <c r="F355" s="366">
        <f t="shared" si="82"/>
        <v>2278.5</v>
      </c>
      <c r="G355" s="366">
        <v>7575</v>
      </c>
      <c r="H355" s="367">
        <f t="shared" si="83"/>
        <v>9853.5</v>
      </c>
      <c r="I355" s="368">
        <f t="shared" si="87"/>
        <v>0</v>
      </c>
      <c r="J355" s="367">
        <v>28578</v>
      </c>
      <c r="K355" s="367">
        <f t="shared" si="88"/>
        <v>20412.857142857145</v>
      </c>
      <c r="L355" s="10">
        <v>0.79</v>
      </c>
      <c r="M355" s="10">
        <v>7.1999999999999993</v>
      </c>
      <c r="N355" s="605">
        <v>30</v>
      </c>
      <c r="O355" s="97">
        <v>10</v>
      </c>
      <c r="P355" s="97" t="s">
        <v>513</v>
      </c>
      <c r="Q355" s="97" t="str">
        <f t="shared" si="84"/>
        <v/>
      </c>
      <c r="R355" t="str">
        <f t="shared" si="85"/>
        <v/>
      </c>
      <c r="BZ355" s="51"/>
      <c r="CB355" s="10"/>
      <c r="CI355" s="69"/>
    </row>
    <row r="356" spans="3:87">
      <c r="C356" t="str">
        <f t="shared" si="86"/>
        <v>NL</v>
      </c>
      <c r="D356">
        <v>347</v>
      </c>
      <c r="E356" s="366">
        <v>110</v>
      </c>
      <c r="F356" s="366">
        <f t="shared" si="82"/>
        <v>2387</v>
      </c>
      <c r="G356" s="366">
        <v>3440</v>
      </c>
      <c r="H356" s="367">
        <f t="shared" si="83"/>
        <v>5827</v>
      </c>
      <c r="I356" s="368">
        <f t="shared" si="87"/>
        <v>0</v>
      </c>
      <c r="J356" s="367">
        <v>12977</v>
      </c>
      <c r="K356" s="367">
        <f t="shared" si="88"/>
        <v>9269.2857142857138</v>
      </c>
      <c r="L356" s="10">
        <v>0.79</v>
      </c>
      <c r="M356" s="10">
        <v>2.4</v>
      </c>
      <c r="N356" s="605">
        <v>27</v>
      </c>
      <c r="O356" s="97">
        <v>3</v>
      </c>
      <c r="P356" s="97" t="s">
        <v>515</v>
      </c>
      <c r="Q356" s="97" t="str">
        <f t="shared" si="84"/>
        <v/>
      </c>
      <c r="R356" t="str">
        <f t="shared" si="85"/>
        <v/>
      </c>
      <c r="BZ356" s="51"/>
      <c r="CB356" s="10"/>
      <c r="CI356" s="69"/>
    </row>
    <row r="357" spans="3:87">
      <c r="C357" t="str">
        <f t="shared" si="86"/>
        <v/>
      </c>
      <c r="D357">
        <v>348</v>
      </c>
      <c r="E357" s="366">
        <v>110</v>
      </c>
      <c r="F357" s="366">
        <f t="shared" si="82"/>
        <v>2387</v>
      </c>
      <c r="G357" s="366">
        <v>3685</v>
      </c>
      <c r="H357" s="367">
        <f t="shared" si="83"/>
        <v>6072</v>
      </c>
      <c r="I357" s="368">
        <f t="shared" si="87"/>
        <v>0</v>
      </c>
      <c r="J357" s="367">
        <v>13901</v>
      </c>
      <c r="K357" s="367">
        <f t="shared" si="88"/>
        <v>9929.2857142857138</v>
      </c>
      <c r="L357" s="10">
        <v>0.45</v>
      </c>
      <c r="M357" s="10">
        <v>3.1</v>
      </c>
      <c r="N357" s="605">
        <v>25</v>
      </c>
      <c r="O357" s="97">
        <v>4</v>
      </c>
      <c r="P357" s="97" t="s">
        <v>515</v>
      </c>
      <c r="Q357" s="97">
        <f t="shared" si="84"/>
        <v>348</v>
      </c>
      <c r="R357" t="str">
        <f t="shared" si="85"/>
        <v/>
      </c>
      <c r="BZ357" s="51"/>
      <c r="CB357" s="10"/>
      <c r="CI357" s="69"/>
    </row>
    <row r="358" spans="3:87">
      <c r="C358" t="str">
        <f t="shared" si="86"/>
        <v/>
      </c>
      <c r="D358">
        <v>349</v>
      </c>
      <c r="E358" s="366">
        <v>110</v>
      </c>
      <c r="F358" s="366">
        <f t="shared" si="82"/>
        <v>2387</v>
      </c>
      <c r="G358" s="366">
        <v>4148</v>
      </c>
      <c r="H358" s="367">
        <f t="shared" si="83"/>
        <v>6535</v>
      </c>
      <c r="I358" s="368">
        <f t="shared" si="87"/>
        <v>0</v>
      </c>
      <c r="J358" s="367">
        <v>15649</v>
      </c>
      <c r="K358" s="367">
        <f t="shared" si="88"/>
        <v>11177.857142857143</v>
      </c>
      <c r="L358" s="10">
        <v>0.75</v>
      </c>
      <c r="M358" s="10">
        <v>3.1</v>
      </c>
      <c r="N358" s="605">
        <v>27</v>
      </c>
      <c r="O358" s="97">
        <v>4</v>
      </c>
      <c r="P358" s="97" t="s">
        <v>556</v>
      </c>
      <c r="Q358" s="97" t="str">
        <f t="shared" si="84"/>
        <v/>
      </c>
      <c r="R358" t="str">
        <f t="shared" si="85"/>
        <v/>
      </c>
      <c r="BZ358" s="51"/>
      <c r="CB358" s="10"/>
      <c r="CI358" s="69"/>
    </row>
    <row r="359" spans="3:87">
      <c r="C359" t="str">
        <f t="shared" si="86"/>
        <v>NL</v>
      </c>
      <c r="D359">
        <v>350</v>
      </c>
      <c r="E359" s="366">
        <v>110</v>
      </c>
      <c r="F359" s="366">
        <f t="shared" si="82"/>
        <v>2387</v>
      </c>
      <c r="G359" s="366">
        <v>3768</v>
      </c>
      <c r="H359" s="367">
        <f t="shared" si="83"/>
        <v>6155</v>
      </c>
      <c r="I359" s="368">
        <f t="shared" si="87"/>
        <v>0</v>
      </c>
      <c r="J359" s="367">
        <v>14216</v>
      </c>
      <c r="K359" s="367">
        <f t="shared" si="88"/>
        <v>10154.285714285714</v>
      </c>
      <c r="L359" s="10">
        <v>0.3</v>
      </c>
      <c r="M359" s="10">
        <v>3.8000000000000003</v>
      </c>
      <c r="N359" s="605">
        <v>24</v>
      </c>
      <c r="O359" s="97">
        <v>5</v>
      </c>
      <c r="P359" s="97" t="s">
        <v>515</v>
      </c>
      <c r="Q359" s="97" t="str">
        <f t="shared" si="84"/>
        <v/>
      </c>
      <c r="R359" t="str">
        <f t="shared" si="85"/>
        <v/>
      </c>
      <c r="BZ359" s="51"/>
      <c r="CB359" s="10"/>
      <c r="CI359" s="69"/>
    </row>
    <row r="360" spans="3:87">
      <c r="C360" t="str">
        <f t="shared" si="86"/>
        <v>NL</v>
      </c>
      <c r="D360">
        <v>351</v>
      </c>
      <c r="E360" s="366">
        <v>110</v>
      </c>
      <c r="F360" s="366">
        <f t="shared" si="82"/>
        <v>2387</v>
      </c>
      <c r="G360" s="366">
        <v>4427</v>
      </c>
      <c r="H360" s="367">
        <f t="shared" si="83"/>
        <v>6814</v>
      </c>
      <c r="I360" s="368">
        <f t="shared" si="87"/>
        <v>0</v>
      </c>
      <c r="J360" s="367">
        <v>16703</v>
      </c>
      <c r="K360" s="367">
        <f t="shared" si="88"/>
        <v>11930.714285714286</v>
      </c>
      <c r="L360" s="10">
        <v>0.49</v>
      </c>
      <c r="M360" s="10">
        <v>3.8000000000000003</v>
      </c>
      <c r="N360" s="605">
        <v>26</v>
      </c>
      <c r="O360" s="97">
        <v>5</v>
      </c>
      <c r="P360" s="97" t="s">
        <v>556</v>
      </c>
      <c r="Q360" s="97" t="str">
        <f t="shared" si="84"/>
        <v/>
      </c>
      <c r="R360" t="str">
        <f t="shared" si="85"/>
        <v/>
      </c>
      <c r="BZ360" s="51"/>
      <c r="CB360" s="10"/>
      <c r="CI360" s="69"/>
    </row>
    <row r="361" spans="3:87">
      <c r="C361" t="str">
        <f t="shared" si="86"/>
        <v>NL</v>
      </c>
      <c r="D361">
        <v>352</v>
      </c>
      <c r="E361" s="366">
        <v>110</v>
      </c>
      <c r="F361" s="366">
        <f t="shared" si="82"/>
        <v>2387</v>
      </c>
      <c r="G361" s="366">
        <v>5243</v>
      </c>
      <c r="H361" s="367">
        <f t="shared" si="83"/>
        <v>7630</v>
      </c>
      <c r="I361" s="368">
        <f t="shared" si="87"/>
        <v>0</v>
      </c>
      <c r="J361" s="367">
        <v>19778</v>
      </c>
      <c r="K361" s="367">
        <f t="shared" si="88"/>
        <v>14127.142857142857</v>
      </c>
      <c r="L361" s="10">
        <v>1.01</v>
      </c>
      <c r="M361" s="10">
        <v>3.8000000000000003</v>
      </c>
      <c r="N361" s="605">
        <v>31</v>
      </c>
      <c r="O361" s="97">
        <v>5</v>
      </c>
      <c r="P361" s="97" t="s">
        <v>514</v>
      </c>
      <c r="Q361" s="97" t="str">
        <f t="shared" si="84"/>
        <v/>
      </c>
      <c r="R361" t="str">
        <f t="shared" si="85"/>
        <v/>
      </c>
      <c r="BZ361" s="51"/>
      <c r="CB361" s="10"/>
      <c r="CI361" s="69"/>
    </row>
    <row r="362" spans="3:87">
      <c r="C362" t="str">
        <f t="shared" si="86"/>
        <v/>
      </c>
      <c r="D362">
        <v>353</v>
      </c>
      <c r="E362" s="97">
        <v>110</v>
      </c>
      <c r="F362" s="366">
        <f t="shared" si="82"/>
        <v>2387</v>
      </c>
      <c r="G362" s="97">
        <v>3628</v>
      </c>
      <c r="H362" s="367">
        <f t="shared" si="83"/>
        <v>6015</v>
      </c>
      <c r="I362" s="368">
        <f t="shared" si="87"/>
        <v>0</v>
      </c>
      <c r="J362" s="97">
        <v>13688</v>
      </c>
      <c r="K362" s="367">
        <f t="shared" si="88"/>
        <v>9777.1428571428569</v>
      </c>
      <c r="L362" s="10">
        <v>0.21000000000000002</v>
      </c>
      <c r="M362" s="97">
        <v>4.3999999999999995</v>
      </c>
      <c r="N362" s="605">
        <v>22</v>
      </c>
      <c r="O362" s="97">
        <v>6</v>
      </c>
      <c r="P362" s="97" t="s">
        <v>515</v>
      </c>
      <c r="Q362" s="97">
        <f t="shared" si="84"/>
        <v>353</v>
      </c>
      <c r="R362" t="str">
        <f t="shared" si="85"/>
        <v/>
      </c>
      <c r="BZ362" s="51"/>
      <c r="CB362" s="10"/>
      <c r="CI362" s="69"/>
    </row>
    <row r="363" spans="3:87">
      <c r="C363" t="str">
        <f t="shared" si="86"/>
        <v/>
      </c>
      <c r="D363">
        <v>354</v>
      </c>
      <c r="E363" s="97">
        <v>110</v>
      </c>
      <c r="F363" s="366">
        <f t="shared" si="82"/>
        <v>2387</v>
      </c>
      <c r="G363" s="97">
        <v>4703</v>
      </c>
      <c r="H363" s="367">
        <f t="shared" si="83"/>
        <v>7090</v>
      </c>
      <c r="I363" s="368">
        <f t="shared" si="87"/>
        <v>0</v>
      </c>
      <c r="J363" s="97">
        <v>17741</v>
      </c>
      <c r="K363" s="367">
        <f t="shared" si="88"/>
        <v>12672.142857142857</v>
      </c>
      <c r="L363" s="10">
        <v>0.34</v>
      </c>
      <c r="M363" s="97">
        <v>4.3999999999999995</v>
      </c>
      <c r="N363" s="605">
        <v>24</v>
      </c>
      <c r="O363" s="97">
        <v>6</v>
      </c>
      <c r="P363" s="97" t="s">
        <v>556</v>
      </c>
      <c r="Q363" s="97">
        <f t="shared" si="84"/>
        <v>354</v>
      </c>
      <c r="R363" t="str">
        <f t="shared" si="85"/>
        <v/>
      </c>
      <c r="BZ363" s="51"/>
      <c r="CB363" s="10"/>
      <c r="CI363" s="69"/>
    </row>
    <row r="364" spans="3:87">
      <c r="C364" t="str">
        <f t="shared" si="86"/>
        <v/>
      </c>
      <c r="D364">
        <v>355</v>
      </c>
      <c r="E364" s="97">
        <v>110</v>
      </c>
      <c r="F364" s="366">
        <f t="shared" si="82"/>
        <v>2387</v>
      </c>
      <c r="G364" s="97">
        <v>5448</v>
      </c>
      <c r="H364" s="367">
        <f t="shared" si="83"/>
        <v>7835</v>
      </c>
      <c r="I364" s="368">
        <f t="shared" si="87"/>
        <v>0</v>
      </c>
      <c r="J364" s="97">
        <v>20552</v>
      </c>
      <c r="K364" s="367">
        <f t="shared" si="88"/>
        <v>14680</v>
      </c>
      <c r="L364" s="10">
        <v>0.7</v>
      </c>
      <c r="M364" s="97">
        <v>4.3999999999999995</v>
      </c>
      <c r="N364" s="605">
        <v>29</v>
      </c>
      <c r="O364" s="97">
        <v>6</v>
      </c>
      <c r="P364" s="97" t="s">
        <v>514</v>
      </c>
      <c r="Q364" s="97">
        <f t="shared" si="84"/>
        <v>355</v>
      </c>
      <c r="R364" t="str">
        <f t="shared" si="85"/>
        <v/>
      </c>
      <c r="BZ364" s="51"/>
      <c r="CB364" s="10"/>
      <c r="CI364" s="69"/>
    </row>
    <row r="365" spans="3:87">
      <c r="C365" t="str">
        <f t="shared" si="86"/>
        <v>NL</v>
      </c>
      <c r="D365">
        <v>356</v>
      </c>
      <c r="E365" s="97">
        <v>110</v>
      </c>
      <c r="F365" s="366">
        <f t="shared" si="82"/>
        <v>2387</v>
      </c>
      <c r="G365" s="97">
        <v>4557</v>
      </c>
      <c r="H365" s="367">
        <f t="shared" si="83"/>
        <v>6944</v>
      </c>
      <c r="I365" s="368">
        <f t="shared" si="87"/>
        <v>0</v>
      </c>
      <c r="J365" s="97">
        <v>17192</v>
      </c>
      <c r="K365" s="367">
        <f t="shared" si="88"/>
        <v>12280</v>
      </c>
      <c r="L365" s="10">
        <v>0.26</v>
      </c>
      <c r="M365" s="97">
        <v>5.0999999999999996</v>
      </c>
      <c r="N365" s="605">
        <v>23</v>
      </c>
      <c r="O365" s="97">
        <v>7</v>
      </c>
      <c r="P365" s="97" t="s">
        <v>556</v>
      </c>
      <c r="Q365" s="97" t="str">
        <f t="shared" si="84"/>
        <v/>
      </c>
      <c r="R365" t="str">
        <f t="shared" si="85"/>
        <v/>
      </c>
      <c r="BZ365" s="51"/>
      <c r="CB365" s="10"/>
      <c r="CI365" s="69"/>
    </row>
    <row r="366" spans="3:87">
      <c r="C366" t="str">
        <f t="shared" si="86"/>
        <v>NL</v>
      </c>
      <c r="D366">
        <v>357</v>
      </c>
      <c r="E366" s="97">
        <v>110</v>
      </c>
      <c r="F366" s="366">
        <f t="shared" si="82"/>
        <v>2387</v>
      </c>
      <c r="G366" s="97">
        <v>5651</v>
      </c>
      <c r="H366" s="367">
        <f t="shared" si="83"/>
        <v>8038</v>
      </c>
      <c r="I366" s="368">
        <f t="shared" si="87"/>
        <v>0</v>
      </c>
      <c r="J366" s="97">
        <v>21317</v>
      </c>
      <c r="K366" s="367">
        <f t="shared" si="88"/>
        <v>15226.428571428572</v>
      </c>
      <c r="L366" s="10">
        <v>0.52</v>
      </c>
      <c r="M366" s="97">
        <v>5.0999999999999996</v>
      </c>
      <c r="N366" s="605">
        <v>28</v>
      </c>
      <c r="O366" s="97">
        <v>7</v>
      </c>
      <c r="P366" s="97" t="s">
        <v>514</v>
      </c>
      <c r="Q366" s="97" t="str">
        <f t="shared" si="84"/>
        <v/>
      </c>
      <c r="R366" t="str">
        <f t="shared" si="85"/>
        <v/>
      </c>
      <c r="BZ366" s="51"/>
      <c r="CB366" s="10"/>
      <c r="CI366" s="69"/>
    </row>
    <row r="367" spans="3:87">
      <c r="C367" t="str">
        <f t="shared" si="86"/>
        <v>NL</v>
      </c>
      <c r="D367">
        <v>358</v>
      </c>
      <c r="E367" s="97">
        <v>110</v>
      </c>
      <c r="F367" s="366">
        <f t="shared" si="82"/>
        <v>2387</v>
      </c>
      <c r="G367" s="97">
        <v>6234</v>
      </c>
      <c r="H367" s="367">
        <f t="shared" si="83"/>
        <v>8621</v>
      </c>
      <c r="I367" s="368">
        <f t="shared" si="87"/>
        <v>0</v>
      </c>
      <c r="J367" s="97">
        <v>23517</v>
      </c>
      <c r="K367" s="367">
        <f t="shared" si="88"/>
        <v>16797.857142857145</v>
      </c>
      <c r="L367" s="10">
        <v>0.77</v>
      </c>
      <c r="M367" s="97">
        <v>5.0999999999999996</v>
      </c>
      <c r="N367" s="605">
        <v>27</v>
      </c>
      <c r="O367" s="97">
        <v>7</v>
      </c>
      <c r="P367" s="97" t="s">
        <v>555</v>
      </c>
      <c r="Q367" s="97" t="str">
        <f t="shared" si="84"/>
        <v/>
      </c>
      <c r="R367" t="str">
        <f t="shared" si="85"/>
        <v/>
      </c>
      <c r="BZ367" s="51"/>
      <c r="CB367" s="10"/>
      <c r="CI367" s="69"/>
    </row>
    <row r="368" spans="3:87">
      <c r="C368" t="str">
        <f t="shared" si="86"/>
        <v/>
      </c>
      <c r="D368">
        <v>359</v>
      </c>
      <c r="E368" s="97">
        <v>110</v>
      </c>
      <c r="F368" s="366">
        <f t="shared" si="82"/>
        <v>2387</v>
      </c>
      <c r="G368" s="97">
        <v>4259</v>
      </c>
      <c r="H368" s="367">
        <f t="shared" si="83"/>
        <v>6646</v>
      </c>
      <c r="I368" s="368">
        <f t="shared" si="87"/>
        <v>0</v>
      </c>
      <c r="J368" s="97">
        <v>16069</v>
      </c>
      <c r="K368" s="367">
        <f t="shared" si="88"/>
        <v>11477.857142857143</v>
      </c>
      <c r="L368" s="10">
        <v>0.2</v>
      </c>
      <c r="M368" s="97">
        <v>5.8</v>
      </c>
      <c r="N368" s="605">
        <v>22</v>
      </c>
      <c r="O368" s="97">
        <v>8</v>
      </c>
      <c r="P368" s="97" t="s">
        <v>556</v>
      </c>
      <c r="Q368" s="97">
        <f t="shared" si="84"/>
        <v>359</v>
      </c>
      <c r="R368" t="str">
        <f t="shared" si="85"/>
        <v/>
      </c>
      <c r="BZ368" s="51"/>
      <c r="CB368" s="10"/>
      <c r="CI368" s="69"/>
    </row>
    <row r="369" spans="3:87">
      <c r="C369" t="str">
        <f t="shared" si="86"/>
        <v/>
      </c>
      <c r="D369">
        <v>360</v>
      </c>
      <c r="E369" s="97">
        <v>110</v>
      </c>
      <c r="F369" s="366">
        <f t="shared" si="82"/>
        <v>2387</v>
      </c>
      <c r="G369" s="97">
        <v>5565</v>
      </c>
      <c r="H369" s="367">
        <f t="shared" si="83"/>
        <v>7952</v>
      </c>
      <c r="I369" s="368">
        <f t="shared" si="87"/>
        <v>0</v>
      </c>
      <c r="J369" s="97">
        <v>20993</v>
      </c>
      <c r="K369" s="367">
        <f t="shared" si="88"/>
        <v>14995</v>
      </c>
      <c r="L369" s="10">
        <v>0.42</v>
      </c>
      <c r="M369" s="97">
        <v>5.8</v>
      </c>
      <c r="N369" s="605">
        <v>28</v>
      </c>
      <c r="O369" s="97">
        <v>8</v>
      </c>
      <c r="P369" s="97" t="s">
        <v>514</v>
      </c>
      <c r="Q369" s="97">
        <f t="shared" si="84"/>
        <v>360</v>
      </c>
      <c r="R369" t="str">
        <f t="shared" si="85"/>
        <v/>
      </c>
      <c r="BZ369" s="51"/>
      <c r="CB369" s="10"/>
      <c r="CI369" s="69"/>
    </row>
    <row r="370" spans="3:87">
      <c r="C370" t="str">
        <f t="shared" si="86"/>
        <v/>
      </c>
      <c r="D370">
        <v>361</v>
      </c>
      <c r="E370" s="97">
        <v>110</v>
      </c>
      <c r="F370" s="366">
        <f t="shared" si="82"/>
        <v>2387</v>
      </c>
      <c r="G370" s="97">
        <v>6473</v>
      </c>
      <c r="H370" s="367">
        <f t="shared" si="83"/>
        <v>8860</v>
      </c>
      <c r="I370" s="368">
        <f t="shared" si="87"/>
        <v>0</v>
      </c>
      <c r="J370" s="97">
        <v>24418</v>
      </c>
      <c r="K370" s="367">
        <f t="shared" si="88"/>
        <v>17441.428571428572</v>
      </c>
      <c r="L370" s="10">
        <v>0.61</v>
      </c>
      <c r="M370" s="97">
        <v>5.8</v>
      </c>
      <c r="N370" s="605">
        <v>27</v>
      </c>
      <c r="O370" s="97">
        <v>8</v>
      </c>
      <c r="P370" s="97" t="s">
        <v>555</v>
      </c>
      <c r="Q370" s="97">
        <f t="shared" si="84"/>
        <v>361</v>
      </c>
      <c r="R370" t="str">
        <f t="shared" si="85"/>
        <v/>
      </c>
      <c r="BZ370" s="51"/>
      <c r="CB370" s="10"/>
      <c r="CI370" s="69"/>
    </row>
    <row r="371" spans="3:87">
      <c r="C371" t="str">
        <f t="shared" si="86"/>
        <v/>
      </c>
      <c r="D371">
        <v>362</v>
      </c>
      <c r="E371" s="97">
        <v>110</v>
      </c>
      <c r="F371" s="366">
        <f t="shared" si="82"/>
        <v>2387</v>
      </c>
      <c r="G371" s="97">
        <v>5071</v>
      </c>
      <c r="H371" s="367">
        <f t="shared" si="83"/>
        <v>7458</v>
      </c>
      <c r="I371" s="368">
        <f t="shared" si="87"/>
        <v>0</v>
      </c>
      <c r="J371" s="97">
        <v>19130</v>
      </c>
      <c r="K371" s="367">
        <f t="shared" si="88"/>
        <v>13664.285714285714</v>
      </c>
      <c r="L371" s="10">
        <v>0.29000000000000004</v>
      </c>
      <c r="M371" s="97">
        <v>7.1999999999999993</v>
      </c>
      <c r="N371" s="605">
        <v>28</v>
      </c>
      <c r="O371" s="97">
        <v>10</v>
      </c>
      <c r="P371" s="97" t="s">
        <v>514</v>
      </c>
      <c r="Q371" s="97" t="str">
        <f t="shared" si="84"/>
        <v/>
      </c>
      <c r="R371" t="str">
        <f t="shared" si="85"/>
        <v/>
      </c>
      <c r="BZ371" s="51"/>
      <c r="CB371" s="10"/>
      <c r="CI371" s="69"/>
    </row>
    <row r="372" spans="3:87">
      <c r="C372" t="str">
        <f t="shared" si="86"/>
        <v/>
      </c>
      <c r="D372">
        <v>363</v>
      </c>
      <c r="E372" s="97">
        <v>110</v>
      </c>
      <c r="F372" s="366">
        <f t="shared" si="82"/>
        <v>2387</v>
      </c>
      <c r="G372" s="97">
        <v>5913</v>
      </c>
      <c r="H372" s="367">
        <f t="shared" si="83"/>
        <v>8300</v>
      </c>
      <c r="I372" s="368">
        <f t="shared" si="87"/>
        <v>0</v>
      </c>
      <c r="J372" s="97">
        <v>22309</v>
      </c>
      <c r="K372" s="367">
        <f t="shared" si="88"/>
        <v>15935</v>
      </c>
      <c r="L372" s="10">
        <v>0.41000000000000003</v>
      </c>
      <c r="M372" s="97">
        <v>7.1999999999999993</v>
      </c>
      <c r="N372" s="605">
        <v>26</v>
      </c>
      <c r="O372" s="97">
        <v>10</v>
      </c>
      <c r="P372" s="97" t="s">
        <v>555</v>
      </c>
      <c r="Q372" s="97" t="str">
        <f t="shared" si="84"/>
        <v/>
      </c>
      <c r="R372" t="str">
        <f t="shared" si="85"/>
        <v/>
      </c>
      <c r="BZ372" s="51"/>
      <c r="CB372" s="10"/>
      <c r="CI372" s="69"/>
    </row>
    <row r="373" spans="3:87">
      <c r="C373" t="str">
        <f t="shared" si="86"/>
        <v/>
      </c>
      <c r="D373">
        <v>364</v>
      </c>
      <c r="E373" s="97">
        <v>110</v>
      </c>
      <c r="F373" s="366">
        <f t="shared" si="82"/>
        <v>2387</v>
      </c>
      <c r="G373" s="97">
        <v>8020</v>
      </c>
      <c r="H373" s="367">
        <f t="shared" si="83"/>
        <v>10407</v>
      </c>
      <c r="I373" s="368">
        <f t="shared" si="87"/>
        <v>0</v>
      </c>
      <c r="J373" s="97">
        <v>30257</v>
      </c>
      <c r="K373" s="367">
        <f t="shared" si="88"/>
        <v>21612.142857142859</v>
      </c>
      <c r="L373" s="10">
        <v>0.87</v>
      </c>
      <c r="M373" s="97">
        <v>7.1999999999999993</v>
      </c>
      <c r="N373" s="605">
        <v>30</v>
      </c>
      <c r="O373" s="97">
        <v>10</v>
      </c>
      <c r="P373" s="97" t="s">
        <v>513</v>
      </c>
      <c r="Q373" s="97" t="str">
        <f t="shared" si="84"/>
        <v/>
      </c>
      <c r="R373" t="str">
        <f t="shared" si="85"/>
        <v/>
      </c>
      <c r="BZ373" s="51"/>
      <c r="CB373" s="10"/>
      <c r="CI373" s="69"/>
    </row>
    <row r="374" spans="3:87">
      <c r="C374" t="str">
        <f t="shared" si="86"/>
        <v>NL</v>
      </c>
      <c r="D374">
        <v>365</v>
      </c>
      <c r="E374" s="97">
        <v>115</v>
      </c>
      <c r="F374" s="366">
        <f t="shared" si="82"/>
        <v>2495.5</v>
      </c>
      <c r="G374" s="97">
        <v>3533</v>
      </c>
      <c r="H374" s="367">
        <f t="shared" si="83"/>
        <v>6028.5</v>
      </c>
      <c r="I374" s="368">
        <f t="shared" si="87"/>
        <v>0</v>
      </c>
      <c r="J374" s="97">
        <v>13329</v>
      </c>
      <c r="K374" s="367">
        <f t="shared" si="88"/>
        <v>9520.7142857142862</v>
      </c>
      <c r="L374" s="10">
        <v>0.86</v>
      </c>
      <c r="M374" s="97">
        <v>2.4</v>
      </c>
      <c r="N374" s="605">
        <v>27</v>
      </c>
      <c r="O374" s="97">
        <v>3</v>
      </c>
      <c r="P374" s="97" t="s">
        <v>515</v>
      </c>
      <c r="Q374" s="97" t="str">
        <f t="shared" si="84"/>
        <v/>
      </c>
      <c r="R374" t="str">
        <f t="shared" si="85"/>
        <v/>
      </c>
      <c r="BZ374" s="51"/>
      <c r="CB374" s="10"/>
      <c r="CI374" s="69"/>
    </row>
    <row r="375" spans="3:87">
      <c r="C375" t="str">
        <f t="shared" si="86"/>
        <v/>
      </c>
      <c r="D375">
        <v>366</v>
      </c>
      <c r="E375" s="97">
        <v>115</v>
      </c>
      <c r="F375" s="366">
        <f t="shared" si="82"/>
        <v>2495.5</v>
      </c>
      <c r="G375" s="97">
        <v>3820</v>
      </c>
      <c r="H375" s="367">
        <f t="shared" si="83"/>
        <v>6315.5</v>
      </c>
      <c r="I375" s="368">
        <f t="shared" si="87"/>
        <v>0</v>
      </c>
      <c r="J375" s="97">
        <v>14410</v>
      </c>
      <c r="K375" s="367">
        <f t="shared" si="88"/>
        <v>10292.857142857143</v>
      </c>
      <c r="L375" s="10">
        <v>0.49</v>
      </c>
      <c r="M375" s="97">
        <v>3.1</v>
      </c>
      <c r="N375" s="605">
        <v>25</v>
      </c>
      <c r="O375" s="97">
        <v>4</v>
      </c>
      <c r="P375" s="97" t="s">
        <v>515</v>
      </c>
      <c r="Q375" s="97">
        <f t="shared" si="84"/>
        <v>366</v>
      </c>
      <c r="R375" t="str">
        <f t="shared" si="85"/>
        <v/>
      </c>
      <c r="BZ375" s="51"/>
      <c r="CB375" s="10"/>
      <c r="CI375" s="69"/>
    </row>
    <row r="376" spans="3:87">
      <c r="C376" t="str">
        <f t="shared" si="86"/>
        <v/>
      </c>
      <c r="D376">
        <v>367</v>
      </c>
      <c r="E376" s="97">
        <v>115</v>
      </c>
      <c r="F376" s="366">
        <f t="shared" si="82"/>
        <v>2495.5</v>
      </c>
      <c r="G376" s="97">
        <v>4256</v>
      </c>
      <c r="H376" s="367">
        <f t="shared" si="83"/>
        <v>6751.5</v>
      </c>
      <c r="I376" s="368">
        <f t="shared" si="87"/>
        <v>0</v>
      </c>
      <c r="J376" s="97">
        <v>16056</v>
      </c>
      <c r="K376" s="367">
        <f t="shared" si="88"/>
        <v>11468.571428571429</v>
      </c>
      <c r="L376" s="10">
        <v>0.81</v>
      </c>
      <c r="M376" s="97">
        <v>3.1</v>
      </c>
      <c r="N376" s="605">
        <v>28</v>
      </c>
      <c r="O376" s="97">
        <v>4</v>
      </c>
      <c r="P376" s="97" t="s">
        <v>556</v>
      </c>
      <c r="Q376" s="97" t="str">
        <f t="shared" si="84"/>
        <v/>
      </c>
      <c r="R376" t="str">
        <f t="shared" si="85"/>
        <v/>
      </c>
      <c r="BZ376" s="51"/>
      <c r="CB376" s="10"/>
      <c r="CI376" s="69"/>
    </row>
    <row r="377" spans="3:87">
      <c r="C377" t="str">
        <f t="shared" si="86"/>
        <v>NL</v>
      </c>
      <c r="D377">
        <v>368</v>
      </c>
      <c r="E377" s="97">
        <v>115</v>
      </c>
      <c r="F377" s="366">
        <f t="shared" si="82"/>
        <v>2495.5</v>
      </c>
      <c r="G377" s="97">
        <v>3939</v>
      </c>
      <c r="H377" s="367">
        <f t="shared" si="83"/>
        <v>6434.5</v>
      </c>
      <c r="I377" s="368">
        <f t="shared" si="87"/>
        <v>0</v>
      </c>
      <c r="J377" s="97">
        <v>14859</v>
      </c>
      <c r="K377" s="367">
        <f t="shared" si="88"/>
        <v>10613.571428571429</v>
      </c>
      <c r="L377" s="10">
        <v>0.33</v>
      </c>
      <c r="M377" s="97">
        <v>3.8000000000000003</v>
      </c>
      <c r="N377" s="605">
        <v>24</v>
      </c>
      <c r="O377" s="97">
        <v>5</v>
      </c>
      <c r="P377" s="97" t="s">
        <v>515</v>
      </c>
      <c r="Q377" s="97" t="str">
        <f t="shared" si="84"/>
        <v/>
      </c>
      <c r="R377" t="str">
        <f t="shared" si="85"/>
        <v/>
      </c>
      <c r="BZ377" s="51"/>
      <c r="CB377" s="10"/>
      <c r="CI377" s="69"/>
    </row>
    <row r="378" spans="3:87">
      <c r="C378" t="str">
        <f t="shared" si="86"/>
        <v>NL</v>
      </c>
      <c r="D378">
        <v>369</v>
      </c>
      <c r="E378" s="97">
        <v>115</v>
      </c>
      <c r="F378" s="366">
        <f t="shared" si="82"/>
        <v>2495.5</v>
      </c>
      <c r="G378" s="97">
        <v>4577</v>
      </c>
      <c r="H378" s="367">
        <f t="shared" si="83"/>
        <v>7072.5</v>
      </c>
      <c r="I378" s="368">
        <f t="shared" si="87"/>
        <v>0</v>
      </c>
      <c r="J378" s="97">
        <v>17267</v>
      </c>
      <c r="K378" s="367">
        <f t="shared" si="88"/>
        <v>12333.571428571429</v>
      </c>
      <c r="L378" s="10">
        <v>0.53</v>
      </c>
      <c r="M378" s="97">
        <v>3.8000000000000003</v>
      </c>
      <c r="N378" s="605">
        <v>26</v>
      </c>
      <c r="O378" s="97">
        <v>5</v>
      </c>
      <c r="P378" s="97" t="s">
        <v>556</v>
      </c>
      <c r="Q378" s="97" t="str">
        <f t="shared" si="84"/>
        <v/>
      </c>
      <c r="R378" t="str">
        <f t="shared" si="85"/>
        <v/>
      </c>
      <c r="BZ378" s="51"/>
      <c r="CB378" s="10"/>
      <c r="CI378" s="69"/>
    </row>
    <row r="379" spans="3:87">
      <c r="C379" t="str">
        <f t="shared" si="86"/>
        <v/>
      </c>
      <c r="D379">
        <v>370</v>
      </c>
      <c r="E379" s="97">
        <v>115</v>
      </c>
      <c r="F379" s="366">
        <f t="shared" si="82"/>
        <v>2495.5</v>
      </c>
      <c r="G379" s="97">
        <v>3841</v>
      </c>
      <c r="H379" s="367">
        <f t="shared" si="83"/>
        <v>6336.5</v>
      </c>
      <c r="I379" s="368">
        <f t="shared" si="87"/>
        <v>0</v>
      </c>
      <c r="J379" s="97">
        <v>14490</v>
      </c>
      <c r="K379" s="367">
        <f t="shared" si="88"/>
        <v>10350</v>
      </c>
      <c r="L379" s="10">
        <v>0.23</v>
      </c>
      <c r="M379" s="97">
        <v>4.3999999999999995</v>
      </c>
      <c r="N379" s="605">
        <v>22</v>
      </c>
      <c r="O379" s="97">
        <v>6</v>
      </c>
      <c r="P379" s="97" t="s">
        <v>515</v>
      </c>
      <c r="Q379" s="97">
        <f t="shared" si="84"/>
        <v>370</v>
      </c>
      <c r="R379" t="str">
        <f t="shared" si="85"/>
        <v/>
      </c>
      <c r="BZ379" s="51"/>
      <c r="CB379" s="10"/>
      <c r="CI379" s="69"/>
    </row>
    <row r="380" spans="3:87">
      <c r="C380" t="str">
        <f t="shared" si="86"/>
        <v/>
      </c>
      <c r="D380">
        <v>371</v>
      </c>
      <c r="E380" s="97">
        <v>115</v>
      </c>
      <c r="F380" s="366">
        <f t="shared" si="82"/>
        <v>2495.5</v>
      </c>
      <c r="G380" s="97">
        <v>4839</v>
      </c>
      <c r="H380" s="367">
        <f t="shared" si="83"/>
        <v>7334.5</v>
      </c>
      <c r="I380" s="368">
        <f t="shared" si="87"/>
        <v>0</v>
      </c>
      <c r="J380" s="97">
        <v>18257</v>
      </c>
      <c r="K380" s="367">
        <f t="shared" si="88"/>
        <v>13040.714285714286</v>
      </c>
      <c r="L380" s="10">
        <v>0.37</v>
      </c>
      <c r="M380" s="97">
        <v>4.3999999999999995</v>
      </c>
      <c r="N380" s="605">
        <v>25</v>
      </c>
      <c r="O380" s="97">
        <v>6</v>
      </c>
      <c r="P380" s="97" t="s">
        <v>556</v>
      </c>
      <c r="Q380" s="97">
        <f t="shared" si="84"/>
        <v>371</v>
      </c>
      <c r="R380" t="str">
        <f t="shared" si="85"/>
        <v/>
      </c>
      <c r="BZ380" s="51"/>
      <c r="CB380" s="10"/>
      <c r="CI380" s="69"/>
    </row>
    <row r="381" spans="3:87">
      <c r="C381" t="str">
        <f t="shared" si="86"/>
        <v/>
      </c>
      <c r="D381">
        <v>372</v>
      </c>
      <c r="E381" s="97">
        <v>115</v>
      </c>
      <c r="F381" s="366">
        <f t="shared" si="82"/>
        <v>2495.5</v>
      </c>
      <c r="G381" s="97">
        <v>5611</v>
      </c>
      <c r="H381" s="367">
        <f t="shared" si="83"/>
        <v>8106.5</v>
      </c>
      <c r="I381" s="368">
        <f t="shared" si="87"/>
        <v>0</v>
      </c>
      <c r="J381" s="97">
        <v>21169</v>
      </c>
      <c r="K381" s="367">
        <f t="shared" si="88"/>
        <v>15120.714285714286</v>
      </c>
      <c r="L381" s="10">
        <v>0.77</v>
      </c>
      <c r="M381" s="97">
        <v>4.3999999999999995</v>
      </c>
      <c r="N381" s="605">
        <v>30</v>
      </c>
      <c r="O381" s="97">
        <v>6</v>
      </c>
      <c r="P381" s="97" t="s">
        <v>514</v>
      </c>
      <c r="Q381" s="97" t="str">
        <f t="shared" si="84"/>
        <v/>
      </c>
      <c r="R381" t="str">
        <f t="shared" si="85"/>
        <v/>
      </c>
      <c r="CB381" s="10"/>
      <c r="CI381" s="69"/>
    </row>
    <row r="382" spans="3:87">
      <c r="C382" t="str">
        <f t="shared" si="86"/>
        <v>NL</v>
      </c>
      <c r="D382">
        <v>373</v>
      </c>
      <c r="E382" s="97">
        <v>115</v>
      </c>
      <c r="F382" s="366">
        <f t="shared" si="82"/>
        <v>2495.5</v>
      </c>
      <c r="G382" s="97">
        <v>4825</v>
      </c>
      <c r="H382" s="367">
        <f t="shared" si="83"/>
        <v>7320.5</v>
      </c>
      <c r="I382" s="368">
        <f t="shared" si="87"/>
        <v>0</v>
      </c>
      <c r="J382" s="97">
        <v>18202</v>
      </c>
      <c r="K382" s="367">
        <f t="shared" si="88"/>
        <v>13001.428571428572</v>
      </c>
      <c r="L382" s="10">
        <v>0.28000000000000003</v>
      </c>
      <c r="M382" s="97">
        <v>5.0999999999999996</v>
      </c>
      <c r="N382" s="605">
        <v>24</v>
      </c>
      <c r="O382" s="97">
        <v>7</v>
      </c>
      <c r="P382" s="97" t="s">
        <v>556</v>
      </c>
      <c r="Q382" s="97" t="str">
        <f t="shared" si="84"/>
        <v/>
      </c>
      <c r="R382" t="str">
        <f t="shared" si="85"/>
        <v/>
      </c>
      <c r="CB382" s="10"/>
      <c r="CI382" s="69"/>
    </row>
    <row r="383" spans="3:87">
      <c r="C383" t="str">
        <f t="shared" si="86"/>
        <v>NL</v>
      </c>
      <c r="D383">
        <v>374</v>
      </c>
      <c r="E383" s="97">
        <v>115</v>
      </c>
      <c r="F383" s="366">
        <f t="shared" si="82"/>
        <v>2495.5</v>
      </c>
      <c r="G383" s="97">
        <v>5827</v>
      </c>
      <c r="H383" s="367">
        <f t="shared" si="83"/>
        <v>8322.5</v>
      </c>
      <c r="I383" s="368">
        <f t="shared" si="87"/>
        <v>0</v>
      </c>
      <c r="J383" s="97">
        <v>21983</v>
      </c>
      <c r="K383" s="367">
        <f t="shared" si="88"/>
        <v>15702.142857142857</v>
      </c>
      <c r="L383" s="10">
        <v>0.57000000000000006</v>
      </c>
      <c r="M383" s="97">
        <v>5.0999999999999996</v>
      </c>
      <c r="N383" s="605">
        <v>29</v>
      </c>
      <c r="O383" s="97">
        <v>7</v>
      </c>
      <c r="P383" s="97" t="s">
        <v>514</v>
      </c>
      <c r="Q383" s="97" t="str">
        <f t="shared" si="84"/>
        <v/>
      </c>
      <c r="R383" t="str">
        <f t="shared" si="85"/>
        <v/>
      </c>
      <c r="CB383" s="10"/>
      <c r="CI383" s="69"/>
    </row>
    <row r="384" spans="3:87">
      <c r="C384" t="str">
        <f t="shared" si="86"/>
        <v>NL</v>
      </c>
      <c r="D384">
        <v>375</v>
      </c>
      <c r="E384" s="97">
        <v>115</v>
      </c>
      <c r="F384" s="366">
        <f t="shared" si="82"/>
        <v>2495.5</v>
      </c>
      <c r="G384" s="97">
        <v>6419</v>
      </c>
      <c r="H384" s="367">
        <f t="shared" si="83"/>
        <v>8914.5</v>
      </c>
      <c r="I384" s="368">
        <f t="shared" si="87"/>
        <v>0</v>
      </c>
      <c r="J384" s="97">
        <v>24215</v>
      </c>
      <c r="K384" s="367">
        <f t="shared" si="88"/>
        <v>17296.428571428572</v>
      </c>
      <c r="L384" s="10">
        <v>0.84</v>
      </c>
      <c r="M384" s="97">
        <v>5.0999999999999996</v>
      </c>
      <c r="N384" s="605">
        <v>28</v>
      </c>
      <c r="O384" s="97">
        <v>7</v>
      </c>
      <c r="P384" s="97" t="s">
        <v>555</v>
      </c>
      <c r="Q384" s="97" t="str">
        <f t="shared" si="84"/>
        <v/>
      </c>
      <c r="R384" t="str">
        <f t="shared" si="85"/>
        <v/>
      </c>
      <c r="CB384" s="10"/>
      <c r="CI384" s="69"/>
    </row>
    <row r="385" spans="3:87">
      <c r="C385" t="str">
        <f t="shared" si="86"/>
        <v/>
      </c>
      <c r="D385">
        <v>376</v>
      </c>
      <c r="E385" s="97">
        <v>115</v>
      </c>
      <c r="F385" s="366">
        <f t="shared" si="82"/>
        <v>2495.5</v>
      </c>
      <c r="G385" s="97">
        <v>4498</v>
      </c>
      <c r="H385" s="367">
        <f t="shared" si="83"/>
        <v>6993.5</v>
      </c>
      <c r="I385" s="368">
        <f t="shared" si="87"/>
        <v>0</v>
      </c>
      <c r="J385" s="97">
        <v>16969</v>
      </c>
      <c r="K385" s="367">
        <f t="shared" si="88"/>
        <v>12120.714285714286</v>
      </c>
      <c r="L385" s="10">
        <v>0.22</v>
      </c>
      <c r="M385" s="97">
        <v>5.8</v>
      </c>
      <c r="N385" s="605">
        <v>23</v>
      </c>
      <c r="O385" s="97">
        <v>8</v>
      </c>
      <c r="P385" s="97" t="s">
        <v>556</v>
      </c>
      <c r="Q385" s="97">
        <f t="shared" si="84"/>
        <v>376</v>
      </c>
      <c r="R385" t="str">
        <f t="shared" si="85"/>
        <v/>
      </c>
      <c r="CB385" s="10"/>
      <c r="CI385" s="69"/>
    </row>
    <row r="386" spans="3:87">
      <c r="C386" t="str">
        <f t="shared" si="86"/>
        <v/>
      </c>
      <c r="D386">
        <v>377</v>
      </c>
      <c r="E386" s="97">
        <v>115</v>
      </c>
      <c r="F386" s="366">
        <f t="shared" si="82"/>
        <v>2495.5</v>
      </c>
      <c r="G386" s="97">
        <v>5886</v>
      </c>
      <c r="H386" s="367">
        <f t="shared" si="83"/>
        <v>8381.5</v>
      </c>
      <c r="I386" s="368">
        <f t="shared" si="87"/>
        <v>0</v>
      </c>
      <c r="J386" s="97">
        <v>22206</v>
      </c>
      <c r="K386" s="367">
        <f t="shared" si="88"/>
        <v>15861.428571428572</v>
      </c>
      <c r="L386" s="10">
        <v>0.45</v>
      </c>
      <c r="M386" s="97">
        <v>5.8</v>
      </c>
      <c r="N386" s="605">
        <v>28</v>
      </c>
      <c r="O386" s="97">
        <v>8</v>
      </c>
      <c r="P386" s="97" t="s">
        <v>514</v>
      </c>
      <c r="Q386" s="97">
        <f t="shared" si="84"/>
        <v>377</v>
      </c>
      <c r="R386" t="str">
        <f t="shared" si="85"/>
        <v/>
      </c>
      <c r="CB386" s="10"/>
      <c r="CI386" s="69"/>
    </row>
    <row r="387" spans="3:87">
      <c r="C387" t="str">
        <f t="shared" si="86"/>
        <v/>
      </c>
      <c r="D387">
        <v>378</v>
      </c>
      <c r="E387" s="97">
        <v>115</v>
      </c>
      <c r="F387" s="366">
        <f t="shared" si="82"/>
        <v>2495.5</v>
      </c>
      <c r="G387" s="97">
        <v>6681</v>
      </c>
      <c r="H387" s="367">
        <f t="shared" si="83"/>
        <v>9176.5</v>
      </c>
      <c r="I387" s="368">
        <f t="shared" si="87"/>
        <v>0</v>
      </c>
      <c r="J387" s="97">
        <v>25204</v>
      </c>
      <c r="K387" s="367">
        <f t="shared" si="88"/>
        <v>18002.857142857145</v>
      </c>
      <c r="L387" s="10">
        <v>0.67</v>
      </c>
      <c r="M387" s="97">
        <v>5.8</v>
      </c>
      <c r="N387" s="605">
        <v>27</v>
      </c>
      <c r="O387" s="97">
        <v>8</v>
      </c>
      <c r="P387" s="97" t="s">
        <v>555</v>
      </c>
      <c r="Q387" s="97">
        <f t="shared" si="84"/>
        <v>378</v>
      </c>
      <c r="R387" t="str">
        <f t="shared" si="85"/>
        <v/>
      </c>
      <c r="CB387" s="10"/>
      <c r="CI387" s="69"/>
    </row>
    <row r="388" spans="3:87">
      <c r="C388" t="str">
        <f t="shared" si="86"/>
        <v/>
      </c>
      <c r="D388">
        <v>379</v>
      </c>
      <c r="E388" s="97">
        <v>115</v>
      </c>
      <c r="F388" s="366">
        <f t="shared" si="82"/>
        <v>2495.5</v>
      </c>
      <c r="G388" s="97">
        <v>5356</v>
      </c>
      <c r="H388" s="367">
        <f t="shared" si="83"/>
        <v>7851.5</v>
      </c>
      <c r="I388" s="368">
        <f t="shared" si="87"/>
        <v>0</v>
      </c>
      <c r="J388" s="97">
        <v>20206</v>
      </c>
      <c r="K388" s="367">
        <f t="shared" si="88"/>
        <v>14432.857142857143</v>
      </c>
      <c r="L388" s="10">
        <v>0.3</v>
      </c>
      <c r="M388" s="97">
        <v>7.1999999999999993</v>
      </c>
      <c r="N388" s="605">
        <v>27</v>
      </c>
      <c r="O388" s="97">
        <v>10</v>
      </c>
      <c r="P388" s="97" t="s">
        <v>514</v>
      </c>
      <c r="Q388" s="97" t="str">
        <f t="shared" si="84"/>
        <v/>
      </c>
      <c r="R388" t="str">
        <f t="shared" si="85"/>
        <v/>
      </c>
      <c r="CB388" s="10"/>
      <c r="CI388" s="69"/>
    </row>
    <row r="389" spans="3:87">
      <c r="C389" t="str">
        <f t="shared" si="86"/>
        <v/>
      </c>
      <c r="D389">
        <v>380</v>
      </c>
      <c r="E389" s="97">
        <v>115</v>
      </c>
      <c r="F389" s="366">
        <f t="shared" si="82"/>
        <v>2495.5</v>
      </c>
      <c r="G389" s="97">
        <v>6241</v>
      </c>
      <c r="H389" s="367">
        <f t="shared" si="83"/>
        <v>8736.5</v>
      </c>
      <c r="I389" s="368">
        <f t="shared" si="87"/>
        <v>0</v>
      </c>
      <c r="J389" s="97">
        <v>23543</v>
      </c>
      <c r="K389" s="367">
        <f t="shared" si="88"/>
        <v>16816.428571428572</v>
      </c>
      <c r="L389" s="10">
        <v>0.44</v>
      </c>
      <c r="M389" s="97">
        <v>7.1999999999999993</v>
      </c>
      <c r="N389" s="605">
        <v>26</v>
      </c>
      <c r="O389" s="97">
        <v>10</v>
      </c>
      <c r="P389" s="97" t="s">
        <v>555</v>
      </c>
      <c r="Q389" s="97" t="str">
        <f t="shared" si="84"/>
        <v/>
      </c>
      <c r="R389" t="str">
        <f t="shared" si="85"/>
        <v/>
      </c>
      <c r="CB389" s="10"/>
      <c r="CI389" s="69"/>
    </row>
    <row r="390" spans="3:87">
      <c r="C390" t="str">
        <f t="shared" si="86"/>
        <v/>
      </c>
      <c r="D390">
        <v>381</v>
      </c>
      <c r="E390" s="97">
        <v>115</v>
      </c>
      <c r="F390" s="366">
        <f t="shared" si="82"/>
        <v>2495.5</v>
      </c>
      <c r="G390" s="97">
        <v>8475</v>
      </c>
      <c r="H390" s="367">
        <f t="shared" si="83"/>
        <v>10970.5</v>
      </c>
      <c r="I390" s="368">
        <f t="shared" si="87"/>
        <v>0</v>
      </c>
      <c r="J390" s="97">
        <v>31971</v>
      </c>
      <c r="K390" s="367">
        <f t="shared" si="88"/>
        <v>22836.428571428572</v>
      </c>
      <c r="L390" s="10">
        <v>0.94000000000000006</v>
      </c>
      <c r="M390" s="97">
        <v>7.1999999999999993</v>
      </c>
      <c r="N390" s="605">
        <v>30</v>
      </c>
      <c r="O390" s="97">
        <v>10</v>
      </c>
      <c r="P390" s="97" t="s">
        <v>513</v>
      </c>
      <c r="Q390" s="97" t="str">
        <f t="shared" si="84"/>
        <v/>
      </c>
      <c r="R390" t="str">
        <f t="shared" si="85"/>
        <v/>
      </c>
      <c r="CB390" s="10"/>
      <c r="CI390" s="69"/>
    </row>
    <row r="391" spans="3:87">
      <c r="C391" t="str">
        <f t="shared" si="86"/>
        <v>NL</v>
      </c>
      <c r="D391">
        <v>382</v>
      </c>
      <c r="E391" s="97">
        <v>120</v>
      </c>
      <c r="F391" s="366">
        <f t="shared" si="82"/>
        <v>2604</v>
      </c>
      <c r="G391" s="97">
        <v>3629</v>
      </c>
      <c r="H391" s="367">
        <f t="shared" si="83"/>
        <v>6233</v>
      </c>
      <c r="I391" s="368">
        <f t="shared" si="87"/>
        <v>0</v>
      </c>
      <c r="J391" s="97">
        <v>13690</v>
      </c>
      <c r="K391" s="367">
        <f t="shared" si="88"/>
        <v>9778.5714285714294</v>
      </c>
      <c r="L391" s="10">
        <v>0.94000000000000006</v>
      </c>
      <c r="M391" s="97">
        <v>2.4</v>
      </c>
      <c r="N391" s="605">
        <v>28</v>
      </c>
      <c r="O391" s="97">
        <v>3</v>
      </c>
      <c r="P391" s="97" t="s">
        <v>515</v>
      </c>
      <c r="Q391" s="97" t="str">
        <f t="shared" si="84"/>
        <v/>
      </c>
      <c r="R391" t="str">
        <f t="shared" si="85"/>
        <v/>
      </c>
      <c r="CB391" s="10"/>
      <c r="CI391" s="69"/>
    </row>
    <row r="392" spans="3:87">
      <c r="C392" t="str">
        <f t="shared" si="86"/>
        <v/>
      </c>
      <c r="D392">
        <v>383</v>
      </c>
      <c r="E392" s="97">
        <v>120</v>
      </c>
      <c r="F392" s="366">
        <f t="shared" si="82"/>
        <v>2604</v>
      </c>
      <c r="G392" s="97">
        <v>3947</v>
      </c>
      <c r="H392" s="367">
        <f t="shared" si="83"/>
        <v>6551</v>
      </c>
      <c r="I392" s="368">
        <f t="shared" si="87"/>
        <v>0</v>
      </c>
      <c r="J392" s="97">
        <v>14892</v>
      </c>
      <c r="K392" s="367">
        <f t="shared" si="88"/>
        <v>10637.142857142857</v>
      </c>
      <c r="L392" s="10">
        <v>0.53</v>
      </c>
      <c r="M392" s="97">
        <v>3.1</v>
      </c>
      <c r="N392" s="605">
        <v>26</v>
      </c>
      <c r="O392" s="97">
        <v>4</v>
      </c>
      <c r="P392" s="97" t="s">
        <v>515</v>
      </c>
      <c r="Q392" s="97">
        <f t="shared" si="84"/>
        <v>383</v>
      </c>
      <c r="R392" t="str">
        <f t="shared" si="85"/>
        <v/>
      </c>
      <c r="CB392" s="10"/>
      <c r="CI392" s="69"/>
    </row>
    <row r="393" spans="3:87">
      <c r="C393" t="str">
        <f t="shared" si="86"/>
        <v/>
      </c>
      <c r="D393">
        <v>384</v>
      </c>
      <c r="E393" s="97">
        <v>120</v>
      </c>
      <c r="F393" s="366">
        <f t="shared" si="82"/>
        <v>2604</v>
      </c>
      <c r="G393" s="97">
        <v>4357</v>
      </c>
      <c r="H393" s="367">
        <f t="shared" si="83"/>
        <v>6961</v>
      </c>
      <c r="I393" s="368">
        <f t="shared" si="87"/>
        <v>0</v>
      </c>
      <c r="J393" s="97">
        <v>16438</v>
      </c>
      <c r="K393" s="367">
        <f t="shared" si="88"/>
        <v>11741.428571428572</v>
      </c>
      <c r="L393" s="10">
        <v>0.89</v>
      </c>
      <c r="M393" s="97">
        <v>3.1</v>
      </c>
      <c r="N393" s="605">
        <v>28</v>
      </c>
      <c r="O393" s="97">
        <v>4</v>
      </c>
      <c r="P393" s="97" t="s">
        <v>556</v>
      </c>
      <c r="Q393" s="97" t="str">
        <f t="shared" si="84"/>
        <v/>
      </c>
      <c r="R393" t="str">
        <f t="shared" si="85"/>
        <v/>
      </c>
      <c r="CB393" s="10"/>
      <c r="CI393" s="69"/>
    </row>
    <row r="394" spans="3:87">
      <c r="C394" t="str">
        <f t="shared" si="86"/>
        <v>NL</v>
      </c>
      <c r="D394">
        <v>385</v>
      </c>
      <c r="E394" s="97">
        <v>120</v>
      </c>
      <c r="F394" s="366">
        <f t="shared" ref="F394:F457" si="89">1.085*($A$2-$B$2)*E394*$T$7</f>
        <v>2604</v>
      </c>
      <c r="G394" s="97">
        <v>4076</v>
      </c>
      <c r="H394" s="367">
        <f t="shared" ref="H394:H457" si="90">(G394*$U$7)+F394</f>
        <v>6680</v>
      </c>
      <c r="I394" s="368">
        <f t="shared" si="87"/>
        <v>0</v>
      </c>
      <c r="J394" s="97">
        <v>15375</v>
      </c>
      <c r="K394" s="367">
        <f t="shared" si="88"/>
        <v>10982.142857142857</v>
      </c>
      <c r="L394" s="10">
        <v>0.35000000000000003</v>
      </c>
      <c r="M394" s="97">
        <v>3.8000000000000003</v>
      </c>
      <c r="N394" s="605">
        <v>25</v>
      </c>
      <c r="O394" s="97">
        <v>5</v>
      </c>
      <c r="P394" s="97" t="s">
        <v>515</v>
      </c>
      <c r="Q394" s="97" t="str">
        <f t="shared" ref="Q394:Q457" si="91">IF(AND(H394+1&gt;$E$4,L394&lt;$L$4+0.01,M394&lt;$M$4+0.01,K394+1&gt;$F$4,E394+1&gt;$J$4,N394&lt;$K$4+1,O394&lt;$P$4+1,C394=""),D394,"")</f>
        <v/>
      </c>
      <c r="R394" t="str">
        <f t="shared" ref="R394:R457" si="92">IF(Q394="","",IF(AND(O394&lt;$X$14,E394&gt;$U$14,E394&lt;$Q$4+$U$14+1),D394,""))</f>
        <v/>
      </c>
      <c r="CB394" s="10"/>
      <c r="CI394" s="69"/>
    </row>
    <row r="395" spans="3:87">
      <c r="C395" t="str">
        <f t="shared" ref="C395:C458" si="93">IF(OR($O$4=0,O395-$O$4=0),IF(AND(ISEVEN(O395)=FALSE,$N$4="Even"),"NL",""),"NL")</f>
        <v>NL</v>
      </c>
      <c r="D395">
        <v>386</v>
      </c>
      <c r="E395" s="97">
        <v>120</v>
      </c>
      <c r="F395" s="366">
        <f t="shared" si="89"/>
        <v>2604</v>
      </c>
      <c r="G395" s="97">
        <v>4722</v>
      </c>
      <c r="H395" s="367">
        <f t="shared" si="90"/>
        <v>7326</v>
      </c>
      <c r="I395" s="368">
        <f t="shared" ref="I395:I458" si="94">1.085*($C$2-$D$2)*E395*$T$7</f>
        <v>0</v>
      </c>
      <c r="J395" s="97">
        <v>17815</v>
      </c>
      <c r="K395" s="367">
        <f t="shared" ref="K395:K458" si="95">(J395*$V$7)-I395</f>
        <v>12725</v>
      </c>
      <c r="L395" s="10">
        <v>0.57999999999999996</v>
      </c>
      <c r="M395" s="97">
        <v>3.8000000000000003</v>
      </c>
      <c r="N395" s="605">
        <v>27</v>
      </c>
      <c r="O395" s="97">
        <v>5</v>
      </c>
      <c r="P395" s="97" t="s">
        <v>556</v>
      </c>
      <c r="Q395" s="97" t="str">
        <f t="shared" si="91"/>
        <v/>
      </c>
      <c r="R395" t="str">
        <f t="shared" si="92"/>
        <v/>
      </c>
      <c r="CB395" s="10"/>
      <c r="CI395" s="69"/>
    </row>
    <row r="396" spans="3:87">
      <c r="C396" t="str">
        <f t="shared" si="93"/>
        <v/>
      </c>
      <c r="D396">
        <v>387</v>
      </c>
      <c r="E396" s="97">
        <v>120</v>
      </c>
      <c r="F396" s="366">
        <f t="shared" si="89"/>
        <v>2604</v>
      </c>
      <c r="G396" s="97">
        <v>4055</v>
      </c>
      <c r="H396" s="367">
        <f t="shared" si="90"/>
        <v>6659</v>
      </c>
      <c r="I396" s="368">
        <f t="shared" si="94"/>
        <v>0</v>
      </c>
      <c r="J396" s="97">
        <v>15298</v>
      </c>
      <c r="K396" s="367">
        <f t="shared" si="95"/>
        <v>10927.142857142857</v>
      </c>
      <c r="L396" s="10">
        <v>0.24000000000000002</v>
      </c>
      <c r="M396" s="97">
        <v>4.3999999999999995</v>
      </c>
      <c r="N396" s="605">
        <v>23</v>
      </c>
      <c r="O396" s="97">
        <v>6</v>
      </c>
      <c r="P396" s="97" t="s">
        <v>515</v>
      </c>
      <c r="Q396" s="97">
        <f t="shared" si="91"/>
        <v>387</v>
      </c>
      <c r="R396" t="str">
        <f t="shared" si="92"/>
        <v/>
      </c>
      <c r="CB396" s="10"/>
      <c r="CI396" s="69"/>
    </row>
    <row r="397" spans="3:87">
      <c r="C397" t="str">
        <f t="shared" si="93"/>
        <v/>
      </c>
      <c r="D397">
        <v>388</v>
      </c>
      <c r="E397" s="97">
        <v>120</v>
      </c>
      <c r="F397" s="366">
        <f t="shared" si="89"/>
        <v>2604</v>
      </c>
      <c r="G397" s="97">
        <v>4976</v>
      </c>
      <c r="H397" s="367">
        <f t="shared" si="90"/>
        <v>7580</v>
      </c>
      <c r="I397" s="368">
        <f t="shared" si="94"/>
        <v>0</v>
      </c>
      <c r="J397" s="97">
        <v>18772</v>
      </c>
      <c r="K397" s="367">
        <f t="shared" si="95"/>
        <v>13408.571428571429</v>
      </c>
      <c r="L397" s="10">
        <v>0.41000000000000003</v>
      </c>
      <c r="M397" s="97">
        <v>4.3999999999999995</v>
      </c>
      <c r="N397" s="605">
        <v>25</v>
      </c>
      <c r="O397" s="97">
        <v>6</v>
      </c>
      <c r="P397" s="97" t="s">
        <v>556</v>
      </c>
      <c r="Q397" s="97">
        <f t="shared" si="91"/>
        <v>388</v>
      </c>
      <c r="R397" t="str">
        <f t="shared" si="92"/>
        <v/>
      </c>
      <c r="CB397" s="10"/>
      <c r="CI397" s="69"/>
    </row>
    <row r="398" spans="3:87">
      <c r="C398" t="str">
        <f t="shared" si="93"/>
        <v/>
      </c>
      <c r="D398">
        <v>389</v>
      </c>
      <c r="E398" s="97">
        <v>120</v>
      </c>
      <c r="F398" s="366">
        <f t="shared" si="89"/>
        <v>2604</v>
      </c>
      <c r="G398" s="97">
        <v>5775</v>
      </c>
      <c r="H398" s="367">
        <f t="shared" si="90"/>
        <v>8379</v>
      </c>
      <c r="I398" s="368">
        <f t="shared" si="94"/>
        <v>0</v>
      </c>
      <c r="J398" s="97">
        <v>21785</v>
      </c>
      <c r="K398" s="367">
        <f t="shared" si="95"/>
        <v>15560.714285714286</v>
      </c>
      <c r="L398" s="10">
        <v>0.84</v>
      </c>
      <c r="M398" s="97">
        <v>4.3999999999999995</v>
      </c>
      <c r="N398" s="605">
        <v>31</v>
      </c>
      <c r="O398" s="97">
        <v>6</v>
      </c>
      <c r="P398" s="97" t="s">
        <v>514</v>
      </c>
      <c r="Q398" s="97" t="str">
        <f t="shared" si="91"/>
        <v/>
      </c>
      <c r="R398" t="str">
        <f t="shared" si="92"/>
        <v/>
      </c>
      <c r="CB398" s="10"/>
      <c r="CI398" s="69"/>
    </row>
    <row r="399" spans="3:87">
      <c r="C399" t="str">
        <f t="shared" si="93"/>
        <v>NL</v>
      </c>
      <c r="D399">
        <v>390</v>
      </c>
      <c r="E399" s="97">
        <v>120</v>
      </c>
      <c r="F399" s="366">
        <f t="shared" si="89"/>
        <v>2604</v>
      </c>
      <c r="G399" s="97">
        <v>3785</v>
      </c>
      <c r="H399" s="367">
        <f t="shared" si="90"/>
        <v>6389</v>
      </c>
      <c r="I399" s="368">
        <f t="shared" si="94"/>
        <v>0</v>
      </c>
      <c r="J399" s="97">
        <v>14281</v>
      </c>
      <c r="K399" s="367">
        <f t="shared" si="95"/>
        <v>10200.714285714286</v>
      </c>
      <c r="L399" s="10">
        <v>0.18000000000000002</v>
      </c>
      <c r="M399" s="97">
        <v>5.0999999999999996</v>
      </c>
      <c r="N399" s="605">
        <v>22</v>
      </c>
      <c r="O399" s="97">
        <v>7</v>
      </c>
      <c r="P399" s="97" t="s">
        <v>515</v>
      </c>
      <c r="Q399" s="97" t="str">
        <f t="shared" si="91"/>
        <v/>
      </c>
      <c r="R399" t="str">
        <f t="shared" si="92"/>
        <v/>
      </c>
      <c r="CB399" s="10"/>
      <c r="CI399" s="69"/>
    </row>
    <row r="400" spans="3:87">
      <c r="C400" t="str">
        <f t="shared" si="93"/>
        <v>NL</v>
      </c>
      <c r="D400">
        <v>391</v>
      </c>
      <c r="E400" s="97">
        <v>120</v>
      </c>
      <c r="F400" s="366">
        <f t="shared" si="89"/>
        <v>2604</v>
      </c>
      <c r="G400" s="97">
        <v>5093</v>
      </c>
      <c r="H400" s="367">
        <f t="shared" si="90"/>
        <v>7697</v>
      </c>
      <c r="I400" s="368">
        <f t="shared" si="94"/>
        <v>0</v>
      </c>
      <c r="J400" s="97">
        <v>19213</v>
      </c>
      <c r="K400" s="367">
        <f t="shared" si="95"/>
        <v>13723.571428571429</v>
      </c>
      <c r="L400" s="10">
        <v>0.3</v>
      </c>
      <c r="M400" s="97">
        <v>5.0999999999999996</v>
      </c>
      <c r="N400" s="605">
        <v>24</v>
      </c>
      <c r="O400" s="97">
        <v>7</v>
      </c>
      <c r="P400" s="97" t="s">
        <v>556</v>
      </c>
      <c r="Q400" s="97" t="str">
        <f t="shared" si="91"/>
        <v/>
      </c>
      <c r="R400" t="str">
        <f t="shared" si="92"/>
        <v/>
      </c>
      <c r="CB400" s="10"/>
      <c r="CI400" s="69"/>
    </row>
    <row r="401" spans="3:87">
      <c r="C401" t="str">
        <f t="shared" si="93"/>
        <v>NL</v>
      </c>
      <c r="D401">
        <v>392</v>
      </c>
      <c r="E401" s="97">
        <v>120</v>
      </c>
      <c r="F401" s="366">
        <f t="shared" si="89"/>
        <v>2604</v>
      </c>
      <c r="G401" s="97">
        <v>5992</v>
      </c>
      <c r="H401" s="367">
        <f t="shared" si="90"/>
        <v>8596</v>
      </c>
      <c r="I401" s="368">
        <f t="shared" si="94"/>
        <v>0</v>
      </c>
      <c r="J401" s="97">
        <v>22604</v>
      </c>
      <c r="K401" s="367">
        <f t="shared" si="95"/>
        <v>16145.714285714286</v>
      </c>
      <c r="L401" s="10">
        <v>0.62</v>
      </c>
      <c r="M401" s="97">
        <v>5.0999999999999996</v>
      </c>
      <c r="N401" s="605">
        <v>29</v>
      </c>
      <c r="O401" s="97">
        <v>7</v>
      </c>
      <c r="P401" s="97" t="s">
        <v>514</v>
      </c>
      <c r="Q401" s="97" t="str">
        <f t="shared" si="91"/>
        <v/>
      </c>
      <c r="R401" t="str">
        <f t="shared" si="92"/>
        <v/>
      </c>
      <c r="CB401" s="10"/>
      <c r="CI401" s="69"/>
    </row>
    <row r="402" spans="3:87">
      <c r="C402" t="str">
        <f t="shared" si="93"/>
        <v>NL</v>
      </c>
      <c r="D402">
        <v>393</v>
      </c>
      <c r="E402" s="97">
        <v>120</v>
      </c>
      <c r="F402" s="366">
        <f t="shared" si="89"/>
        <v>2604</v>
      </c>
      <c r="G402" s="97">
        <v>6604</v>
      </c>
      <c r="H402" s="367">
        <f t="shared" si="90"/>
        <v>9208</v>
      </c>
      <c r="I402" s="368">
        <f t="shared" si="94"/>
        <v>0</v>
      </c>
      <c r="J402" s="97">
        <v>24914</v>
      </c>
      <c r="K402" s="367">
        <f t="shared" si="95"/>
        <v>17795.714285714286</v>
      </c>
      <c r="L402" s="10">
        <v>0.92</v>
      </c>
      <c r="M402" s="97">
        <v>5.0999999999999996</v>
      </c>
      <c r="N402" s="605">
        <v>28</v>
      </c>
      <c r="O402" s="97">
        <v>7</v>
      </c>
      <c r="P402" s="97" t="s">
        <v>555</v>
      </c>
      <c r="Q402" s="97" t="str">
        <f t="shared" si="91"/>
        <v/>
      </c>
      <c r="R402" t="str">
        <f t="shared" si="92"/>
        <v/>
      </c>
      <c r="CB402" s="10"/>
      <c r="CI402" s="69"/>
    </row>
    <row r="403" spans="3:87">
      <c r="C403" t="str">
        <f t="shared" si="93"/>
        <v/>
      </c>
      <c r="D403">
        <v>394</v>
      </c>
      <c r="E403" s="97">
        <v>120</v>
      </c>
      <c r="F403" s="366">
        <f t="shared" si="89"/>
        <v>2604</v>
      </c>
      <c r="G403" s="97">
        <v>4736</v>
      </c>
      <c r="H403" s="367">
        <f t="shared" si="90"/>
        <v>7340</v>
      </c>
      <c r="I403" s="368">
        <f t="shared" si="94"/>
        <v>0</v>
      </c>
      <c r="J403" s="97">
        <v>17869</v>
      </c>
      <c r="K403" s="367">
        <f t="shared" si="95"/>
        <v>12763.571428571429</v>
      </c>
      <c r="L403" s="10">
        <v>0.23</v>
      </c>
      <c r="M403" s="97">
        <v>5.8</v>
      </c>
      <c r="N403" s="605">
        <v>23</v>
      </c>
      <c r="O403" s="97">
        <v>8</v>
      </c>
      <c r="P403" s="97" t="s">
        <v>556</v>
      </c>
      <c r="Q403" s="97">
        <f t="shared" si="91"/>
        <v>394</v>
      </c>
      <c r="R403" t="str">
        <f t="shared" si="92"/>
        <v/>
      </c>
      <c r="CB403" s="10"/>
      <c r="CI403" s="69"/>
    </row>
    <row r="404" spans="3:87">
      <c r="C404" t="str">
        <f t="shared" si="93"/>
        <v/>
      </c>
      <c r="D404">
        <v>395</v>
      </c>
      <c r="E404" s="97">
        <v>120</v>
      </c>
      <c r="F404" s="366">
        <f t="shared" si="89"/>
        <v>2604</v>
      </c>
      <c r="G404" s="97">
        <v>6129</v>
      </c>
      <c r="H404" s="367">
        <f t="shared" si="90"/>
        <v>8733</v>
      </c>
      <c r="I404" s="368">
        <f t="shared" si="94"/>
        <v>0</v>
      </c>
      <c r="J404" s="97">
        <v>23122</v>
      </c>
      <c r="K404" s="367">
        <f t="shared" si="95"/>
        <v>16515.714285714286</v>
      </c>
      <c r="L404" s="10">
        <v>0.49</v>
      </c>
      <c r="M404" s="97">
        <v>5.8</v>
      </c>
      <c r="N404" s="605">
        <v>29</v>
      </c>
      <c r="O404" s="97">
        <v>8</v>
      </c>
      <c r="P404" s="97" t="s">
        <v>514</v>
      </c>
      <c r="Q404" s="97">
        <f t="shared" si="91"/>
        <v>395</v>
      </c>
      <c r="R404" t="str">
        <f t="shared" si="92"/>
        <v/>
      </c>
      <c r="CB404" s="10"/>
      <c r="CI404" s="69"/>
    </row>
    <row r="405" spans="3:87">
      <c r="C405" t="str">
        <f t="shared" si="93"/>
        <v/>
      </c>
      <c r="D405">
        <v>396</v>
      </c>
      <c r="E405" s="97">
        <v>120</v>
      </c>
      <c r="F405" s="366">
        <f t="shared" si="89"/>
        <v>2604</v>
      </c>
      <c r="G405" s="97">
        <v>6889</v>
      </c>
      <c r="H405" s="367">
        <f t="shared" si="90"/>
        <v>9493</v>
      </c>
      <c r="I405" s="368">
        <f t="shared" si="94"/>
        <v>0</v>
      </c>
      <c r="J405" s="97">
        <v>25989</v>
      </c>
      <c r="K405" s="367">
        <f t="shared" si="95"/>
        <v>18563.571428571428</v>
      </c>
      <c r="L405" s="10">
        <v>0.72</v>
      </c>
      <c r="M405" s="97">
        <v>5.8</v>
      </c>
      <c r="N405" s="605">
        <v>28</v>
      </c>
      <c r="O405" s="97">
        <v>8</v>
      </c>
      <c r="P405" s="97" t="s">
        <v>555</v>
      </c>
      <c r="Q405" s="97" t="str">
        <f t="shared" si="91"/>
        <v/>
      </c>
      <c r="R405" t="str">
        <f t="shared" si="92"/>
        <v/>
      </c>
      <c r="CB405" s="10"/>
      <c r="CI405" s="69"/>
    </row>
    <row r="406" spans="3:87">
      <c r="C406" t="str">
        <f t="shared" si="93"/>
        <v/>
      </c>
      <c r="D406">
        <v>397</v>
      </c>
      <c r="E406" s="97">
        <v>120</v>
      </c>
      <c r="F406" s="366">
        <f t="shared" si="89"/>
        <v>2604</v>
      </c>
      <c r="G406" s="97">
        <v>5641</v>
      </c>
      <c r="H406" s="367">
        <f t="shared" si="90"/>
        <v>8245</v>
      </c>
      <c r="I406" s="368">
        <f t="shared" si="94"/>
        <v>0</v>
      </c>
      <c r="J406" s="97">
        <v>21282</v>
      </c>
      <c r="K406" s="367">
        <f t="shared" si="95"/>
        <v>15201.428571428572</v>
      </c>
      <c r="L406" s="10">
        <v>0.33</v>
      </c>
      <c r="M406" s="97">
        <v>7.1999999999999993</v>
      </c>
      <c r="N406" s="605">
        <v>28</v>
      </c>
      <c r="O406" s="97">
        <v>10</v>
      </c>
      <c r="P406" s="97" t="s">
        <v>514</v>
      </c>
      <c r="Q406" s="97" t="str">
        <f t="shared" si="91"/>
        <v/>
      </c>
      <c r="R406" t="str">
        <f t="shared" si="92"/>
        <v/>
      </c>
      <c r="CB406" s="10"/>
      <c r="CI406" s="69"/>
    </row>
    <row r="407" spans="3:87">
      <c r="C407" t="str">
        <f t="shared" si="93"/>
        <v/>
      </c>
      <c r="D407">
        <v>398</v>
      </c>
      <c r="E407" s="97">
        <v>120</v>
      </c>
      <c r="F407" s="366">
        <f t="shared" si="89"/>
        <v>2604</v>
      </c>
      <c r="G407" s="97">
        <v>6569</v>
      </c>
      <c r="H407" s="367">
        <f t="shared" si="90"/>
        <v>9173</v>
      </c>
      <c r="I407" s="368">
        <f t="shared" si="94"/>
        <v>0</v>
      </c>
      <c r="J407" s="97">
        <v>24780</v>
      </c>
      <c r="K407" s="367">
        <f t="shared" si="95"/>
        <v>17700</v>
      </c>
      <c r="L407" s="10">
        <v>0.48</v>
      </c>
      <c r="M407" s="97">
        <v>7.1999999999999993</v>
      </c>
      <c r="N407" s="605">
        <v>26</v>
      </c>
      <c r="O407" s="97">
        <v>10</v>
      </c>
      <c r="P407" s="97" t="s">
        <v>555</v>
      </c>
      <c r="Q407" s="97" t="str">
        <f t="shared" si="91"/>
        <v/>
      </c>
      <c r="R407" t="str">
        <f t="shared" si="92"/>
        <v/>
      </c>
      <c r="CB407" s="10"/>
      <c r="CI407" s="69"/>
    </row>
    <row r="408" spans="3:87">
      <c r="C408" t="str">
        <f t="shared" si="93"/>
        <v/>
      </c>
      <c r="D408">
        <v>399</v>
      </c>
      <c r="E408" s="97">
        <v>120</v>
      </c>
      <c r="F408" s="366">
        <f t="shared" si="89"/>
        <v>2604</v>
      </c>
      <c r="G408" s="97">
        <v>8929</v>
      </c>
      <c r="H408" s="367">
        <f t="shared" si="90"/>
        <v>11533</v>
      </c>
      <c r="I408" s="368">
        <f t="shared" si="94"/>
        <v>0</v>
      </c>
      <c r="J408" s="97">
        <v>33686</v>
      </c>
      <c r="K408" s="367">
        <f t="shared" si="95"/>
        <v>24061.428571428572</v>
      </c>
      <c r="L408" s="10">
        <v>1.02</v>
      </c>
      <c r="M408" s="97">
        <v>7.1999999999999993</v>
      </c>
      <c r="N408" s="605">
        <v>31</v>
      </c>
      <c r="O408" s="97">
        <v>10</v>
      </c>
      <c r="P408" s="97" t="s">
        <v>513</v>
      </c>
      <c r="Q408" s="97" t="str">
        <f t="shared" si="91"/>
        <v/>
      </c>
      <c r="R408" t="str">
        <f t="shared" si="92"/>
        <v/>
      </c>
      <c r="CB408" s="10"/>
      <c r="CI408" s="69"/>
    </row>
    <row r="409" spans="3:87">
      <c r="C409" t="str">
        <f t="shared" si="93"/>
        <v>NL</v>
      </c>
      <c r="D409">
        <v>400</v>
      </c>
      <c r="E409" s="97">
        <v>125</v>
      </c>
      <c r="F409" s="366">
        <f t="shared" si="89"/>
        <v>2712.5</v>
      </c>
      <c r="G409" s="97">
        <v>3720</v>
      </c>
      <c r="H409" s="367">
        <f t="shared" si="90"/>
        <v>6432.5</v>
      </c>
      <c r="I409" s="368">
        <f t="shared" si="94"/>
        <v>0</v>
      </c>
      <c r="J409" s="97">
        <v>14033</v>
      </c>
      <c r="K409" s="367">
        <f t="shared" si="95"/>
        <v>10023.571428571429</v>
      </c>
      <c r="L409" s="10">
        <v>1.02</v>
      </c>
      <c r="M409" s="97">
        <v>2.4</v>
      </c>
      <c r="N409" s="605">
        <v>28</v>
      </c>
      <c r="O409" s="97">
        <v>3</v>
      </c>
      <c r="P409" s="97" t="s">
        <v>515</v>
      </c>
      <c r="Q409" s="97" t="str">
        <f t="shared" si="91"/>
        <v/>
      </c>
      <c r="R409" t="str">
        <f t="shared" si="92"/>
        <v/>
      </c>
      <c r="CB409" s="10"/>
      <c r="CI409" s="69"/>
    </row>
    <row r="410" spans="3:87">
      <c r="C410" t="str">
        <f t="shared" si="93"/>
        <v/>
      </c>
      <c r="D410">
        <v>401</v>
      </c>
      <c r="E410" s="97">
        <v>125</v>
      </c>
      <c r="F410" s="366">
        <f t="shared" si="89"/>
        <v>2712.5</v>
      </c>
      <c r="G410" s="97">
        <v>4073</v>
      </c>
      <c r="H410" s="367">
        <f t="shared" si="90"/>
        <v>6785.5</v>
      </c>
      <c r="I410" s="368">
        <f t="shared" si="94"/>
        <v>0</v>
      </c>
      <c r="J410" s="97">
        <v>15365</v>
      </c>
      <c r="K410" s="367">
        <f t="shared" si="95"/>
        <v>10975</v>
      </c>
      <c r="L410" s="10">
        <v>0.57000000000000006</v>
      </c>
      <c r="M410" s="97">
        <v>3.1</v>
      </c>
      <c r="N410" s="605">
        <v>26</v>
      </c>
      <c r="O410" s="97">
        <v>4</v>
      </c>
      <c r="P410" s="97" t="s">
        <v>515</v>
      </c>
      <c r="Q410" s="97">
        <f t="shared" si="91"/>
        <v>401</v>
      </c>
      <c r="R410" t="str">
        <f t="shared" si="92"/>
        <v/>
      </c>
      <c r="CB410" s="10"/>
      <c r="CI410" s="69"/>
    </row>
    <row r="411" spans="3:87">
      <c r="C411" t="str">
        <f t="shared" si="93"/>
        <v/>
      </c>
      <c r="D411">
        <v>402</v>
      </c>
      <c r="E411" s="97">
        <v>125</v>
      </c>
      <c r="F411" s="366">
        <f t="shared" si="89"/>
        <v>2712.5</v>
      </c>
      <c r="G411" s="97">
        <v>4460</v>
      </c>
      <c r="H411" s="367">
        <f t="shared" si="90"/>
        <v>7172.5</v>
      </c>
      <c r="I411" s="368">
        <f t="shared" si="94"/>
        <v>0</v>
      </c>
      <c r="J411" s="97">
        <v>16825</v>
      </c>
      <c r="K411" s="367">
        <f t="shared" si="95"/>
        <v>12017.857142857143</v>
      </c>
      <c r="L411" s="10">
        <v>0.96</v>
      </c>
      <c r="M411" s="97">
        <v>3.1</v>
      </c>
      <c r="N411" s="605">
        <v>29</v>
      </c>
      <c r="O411" s="97">
        <v>4</v>
      </c>
      <c r="P411" s="97" t="s">
        <v>556</v>
      </c>
      <c r="Q411" s="97" t="str">
        <f t="shared" si="91"/>
        <v/>
      </c>
      <c r="R411" t="str">
        <f t="shared" si="92"/>
        <v/>
      </c>
      <c r="CB411" s="10"/>
      <c r="CI411" s="69"/>
    </row>
    <row r="412" spans="3:87">
      <c r="C412" t="str">
        <f t="shared" si="93"/>
        <v>NL</v>
      </c>
      <c r="D412">
        <v>403</v>
      </c>
      <c r="E412" s="97">
        <v>125</v>
      </c>
      <c r="F412" s="366">
        <f t="shared" si="89"/>
        <v>2712.5</v>
      </c>
      <c r="G412" s="97">
        <v>4212</v>
      </c>
      <c r="H412" s="367">
        <f t="shared" si="90"/>
        <v>6924.5</v>
      </c>
      <c r="I412" s="368">
        <f t="shared" si="94"/>
        <v>0</v>
      </c>
      <c r="J412" s="97">
        <v>15892</v>
      </c>
      <c r="K412" s="367">
        <f t="shared" si="95"/>
        <v>11351.428571428572</v>
      </c>
      <c r="L412" s="10">
        <v>0.38</v>
      </c>
      <c r="M412" s="97">
        <v>3.8000000000000003</v>
      </c>
      <c r="N412" s="605">
        <v>25</v>
      </c>
      <c r="O412" s="97">
        <v>5</v>
      </c>
      <c r="P412" s="97" t="s">
        <v>515</v>
      </c>
      <c r="Q412" s="97" t="str">
        <f t="shared" si="91"/>
        <v/>
      </c>
      <c r="R412" t="str">
        <f t="shared" si="92"/>
        <v/>
      </c>
      <c r="CB412" s="10"/>
      <c r="CI412" s="69"/>
    </row>
    <row r="413" spans="3:87">
      <c r="C413" t="str">
        <f t="shared" si="93"/>
        <v>NL</v>
      </c>
      <c r="D413">
        <v>404</v>
      </c>
      <c r="E413" s="97">
        <v>125</v>
      </c>
      <c r="F413" s="366">
        <f t="shared" si="89"/>
        <v>2712.5</v>
      </c>
      <c r="G413" s="97">
        <v>4864</v>
      </c>
      <c r="H413" s="367">
        <f t="shared" si="90"/>
        <v>7576.5</v>
      </c>
      <c r="I413" s="368">
        <f t="shared" si="94"/>
        <v>0</v>
      </c>
      <c r="J413" s="97">
        <v>18349</v>
      </c>
      <c r="K413" s="367">
        <f t="shared" si="95"/>
        <v>13106.428571428572</v>
      </c>
      <c r="L413" s="10">
        <v>0.63</v>
      </c>
      <c r="M413" s="97">
        <v>3.8000000000000003</v>
      </c>
      <c r="N413" s="605">
        <v>27</v>
      </c>
      <c r="O413" s="97">
        <v>5</v>
      </c>
      <c r="P413" s="97" t="s">
        <v>556</v>
      </c>
      <c r="Q413" s="97" t="str">
        <f t="shared" si="91"/>
        <v/>
      </c>
      <c r="R413" t="str">
        <f t="shared" si="92"/>
        <v/>
      </c>
      <c r="CB413" s="10"/>
      <c r="CI413" s="69"/>
    </row>
    <row r="414" spans="3:87">
      <c r="C414" t="str">
        <f t="shared" si="93"/>
        <v/>
      </c>
      <c r="D414">
        <v>405</v>
      </c>
      <c r="E414" s="97">
        <v>125</v>
      </c>
      <c r="F414" s="366">
        <f t="shared" si="89"/>
        <v>2712.5</v>
      </c>
      <c r="G414" s="97">
        <v>4276</v>
      </c>
      <c r="H414" s="367">
        <f t="shared" si="90"/>
        <v>6988.5</v>
      </c>
      <c r="I414" s="368">
        <f t="shared" si="94"/>
        <v>0</v>
      </c>
      <c r="J414" s="97">
        <v>16133</v>
      </c>
      <c r="K414" s="367">
        <f t="shared" si="95"/>
        <v>11523.571428571429</v>
      </c>
      <c r="L414" s="10">
        <v>0.26</v>
      </c>
      <c r="M414" s="97">
        <v>4.3999999999999995</v>
      </c>
      <c r="N414" s="605">
        <v>23</v>
      </c>
      <c r="O414" s="97">
        <v>6</v>
      </c>
      <c r="P414" s="97" t="s">
        <v>515</v>
      </c>
      <c r="Q414" s="97">
        <f t="shared" si="91"/>
        <v>405</v>
      </c>
      <c r="R414" t="str">
        <f t="shared" si="92"/>
        <v/>
      </c>
      <c r="CB414" s="10"/>
      <c r="CI414" s="69"/>
    </row>
    <row r="415" spans="3:87">
      <c r="C415" t="str">
        <f t="shared" si="93"/>
        <v/>
      </c>
      <c r="D415">
        <v>406</v>
      </c>
      <c r="E415" s="97">
        <v>125</v>
      </c>
      <c r="F415" s="366">
        <f t="shared" si="89"/>
        <v>2712.5</v>
      </c>
      <c r="G415" s="97">
        <v>5105</v>
      </c>
      <c r="H415" s="367">
        <f t="shared" si="90"/>
        <v>7817.5</v>
      </c>
      <c r="I415" s="368">
        <f t="shared" si="94"/>
        <v>0</v>
      </c>
      <c r="J415" s="97">
        <v>19258</v>
      </c>
      <c r="K415" s="367">
        <f t="shared" si="95"/>
        <v>13755.714285714286</v>
      </c>
      <c r="L415" s="10">
        <v>0.44</v>
      </c>
      <c r="M415" s="97">
        <v>4.3999999999999995</v>
      </c>
      <c r="N415" s="605">
        <v>26</v>
      </c>
      <c r="O415" s="97">
        <v>6</v>
      </c>
      <c r="P415" s="97" t="s">
        <v>556</v>
      </c>
      <c r="Q415" s="97">
        <f t="shared" si="91"/>
        <v>406</v>
      </c>
      <c r="R415" t="str">
        <f t="shared" si="92"/>
        <v/>
      </c>
      <c r="CB415" s="10"/>
      <c r="CI415" s="69"/>
    </row>
    <row r="416" spans="3:87">
      <c r="C416" t="str">
        <f t="shared" si="93"/>
        <v/>
      </c>
      <c r="D416">
        <v>407</v>
      </c>
      <c r="E416" s="97">
        <v>125</v>
      </c>
      <c r="F416" s="366">
        <f t="shared" si="89"/>
        <v>2712.5</v>
      </c>
      <c r="G416" s="97">
        <v>5933</v>
      </c>
      <c r="H416" s="367">
        <f t="shared" si="90"/>
        <v>8645.5</v>
      </c>
      <c r="I416" s="368">
        <f t="shared" si="94"/>
        <v>0</v>
      </c>
      <c r="J416" s="97">
        <v>22382</v>
      </c>
      <c r="K416" s="367">
        <f t="shared" si="95"/>
        <v>15987.142857142857</v>
      </c>
      <c r="L416" s="10">
        <v>0.91</v>
      </c>
      <c r="M416" s="97">
        <v>4.3999999999999995</v>
      </c>
      <c r="N416" s="605">
        <v>31</v>
      </c>
      <c r="O416" s="97">
        <v>6</v>
      </c>
      <c r="P416" s="97" t="s">
        <v>514</v>
      </c>
      <c r="Q416" s="97" t="str">
        <f t="shared" si="91"/>
        <v/>
      </c>
      <c r="R416" t="str">
        <f t="shared" si="92"/>
        <v/>
      </c>
      <c r="CB416" s="10"/>
      <c r="CI416" s="69"/>
    </row>
    <row r="417" spans="3:87">
      <c r="C417" t="str">
        <f t="shared" si="93"/>
        <v>NL</v>
      </c>
      <c r="D417">
        <v>408</v>
      </c>
      <c r="E417" s="97">
        <v>125</v>
      </c>
      <c r="F417" s="366">
        <f t="shared" si="89"/>
        <v>2712.5</v>
      </c>
      <c r="G417" s="97">
        <v>3987</v>
      </c>
      <c r="H417" s="367">
        <f t="shared" si="90"/>
        <v>6699.5</v>
      </c>
      <c r="I417" s="368">
        <f t="shared" si="94"/>
        <v>0</v>
      </c>
      <c r="J417" s="97">
        <v>15043</v>
      </c>
      <c r="K417" s="367">
        <f t="shared" si="95"/>
        <v>10745</v>
      </c>
      <c r="L417" s="10">
        <v>0.2</v>
      </c>
      <c r="M417" s="97">
        <v>5.0999999999999996</v>
      </c>
      <c r="N417" s="605">
        <v>22</v>
      </c>
      <c r="O417" s="97">
        <v>7</v>
      </c>
      <c r="P417" s="97" t="s">
        <v>515</v>
      </c>
      <c r="Q417" s="97" t="str">
        <f t="shared" si="91"/>
        <v/>
      </c>
      <c r="R417" t="str">
        <f t="shared" si="92"/>
        <v/>
      </c>
      <c r="CB417" s="10"/>
      <c r="CI417" s="69"/>
    </row>
    <row r="418" spans="3:87">
      <c r="C418" t="str">
        <f t="shared" si="93"/>
        <v>NL</v>
      </c>
      <c r="D418">
        <v>409</v>
      </c>
      <c r="E418" s="97">
        <v>125</v>
      </c>
      <c r="F418" s="366">
        <f t="shared" si="89"/>
        <v>2712.5</v>
      </c>
      <c r="G418" s="97">
        <v>5361</v>
      </c>
      <c r="H418" s="367">
        <f t="shared" si="90"/>
        <v>8073.5</v>
      </c>
      <c r="I418" s="368">
        <f t="shared" si="94"/>
        <v>0</v>
      </c>
      <c r="J418" s="97">
        <v>20224</v>
      </c>
      <c r="K418" s="367">
        <f t="shared" si="95"/>
        <v>14445.714285714286</v>
      </c>
      <c r="L418" s="10">
        <v>0.33</v>
      </c>
      <c r="M418" s="97">
        <v>5.0999999999999996</v>
      </c>
      <c r="N418" s="605">
        <v>25</v>
      </c>
      <c r="O418" s="97">
        <v>7</v>
      </c>
      <c r="P418" s="97" t="s">
        <v>556</v>
      </c>
      <c r="Q418" s="97" t="str">
        <f t="shared" si="91"/>
        <v/>
      </c>
      <c r="R418" t="str">
        <f t="shared" si="92"/>
        <v/>
      </c>
      <c r="CB418" s="10"/>
      <c r="CI418" s="69"/>
    </row>
    <row r="419" spans="3:87">
      <c r="C419" t="str">
        <f t="shared" si="93"/>
        <v>NL</v>
      </c>
      <c r="D419">
        <v>410</v>
      </c>
      <c r="E419" s="97">
        <v>125</v>
      </c>
      <c r="F419" s="366">
        <f t="shared" si="89"/>
        <v>2712.5</v>
      </c>
      <c r="G419" s="97">
        <v>6156</v>
      </c>
      <c r="H419" s="367">
        <f t="shared" si="90"/>
        <v>8868.5</v>
      </c>
      <c r="I419" s="368">
        <f t="shared" si="94"/>
        <v>0</v>
      </c>
      <c r="J419" s="97">
        <v>23223</v>
      </c>
      <c r="K419" s="367">
        <f t="shared" si="95"/>
        <v>16587.857142857145</v>
      </c>
      <c r="L419" s="10">
        <v>0.67</v>
      </c>
      <c r="M419" s="97">
        <v>5.0999999999999996</v>
      </c>
      <c r="N419" s="605">
        <v>30</v>
      </c>
      <c r="O419" s="97">
        <v>7</v>
      </c>
      <c r="P419" s="97" t="s">
        <v>514</v>
      </c>
      <c r="Q419" s="97" t="str">
        <f t="shared" si="91"/>
        <v/>
      </c>
      <c r="R419" t="str">
        <f t="shared" si="92"/>
        <v/>
      </c>
      <c r="CB419" s="10"/>
      <c r="CI419" s="69"/>
    </row>
    <row r="420" spans="3:87">
      <c r="C420" t="str">
        <f t="shared" si="93"/>
        <v>NL</v>
      </c>
      <c r="D420">
        <v>411</v>
      </c>
      <c r="E420" s="97">
        <v>125</v>
      </c>
      <c r="F420" s="366">
        <f t="shared" si="89"/>
        <v>2712.5</v>
      </c>
      <c r="G420" s="97">
        <v>6790</v>
      </c>
      <c r="H420" s="367">
        <f t="shared" si="90"/>
        <v>9502.5</v>
      </c>
      <c r="I420" s="368">
        <f t="shared" si="94"/>
        <v>0</v>
      </c>
      <c r="J420" s="97">
        <v>25614</v>
      </c>
      <c r="K420" s="367">
        <f t="shared" si="95"/>
        <v>18295.714285714286</v>
      </c>
      <c r="L420" s="10">
        <v>1</v>
      </c>
      <c r="M420" s="97">
        <v>5.0999999999999996</v>
      </c>
      <c r="N420" s="605">
        <v>29</v>
      </c>
      <c r="O420" s="97">
        <v>7</v>
      </c>
      <c r="P420" s="97" t="s">
        <v>555</v>
      </c>
      <c r="Q420" s="97" t="str">
        <f t="shared" si="91"/>
        <v/>
      </c>
      <c r="R420" t="str">
        <f t="shared" si="92"/>
        <v/>
      </c>
      <c r="CB420" s="10"/>
      <c r="CI420" s="69"/>
    </row>
    <row r="421" spans="3:87">
      <c r="C421" t="str">
        <f t="shared" si="93"/>
        <v/>
      </c>
      <c r="D421">
        <v>412</v>
      </c>
      <c r="E421" s="97">
        <v>125</v>
      </c>
      <c r="F421" s="366">
        <f t="shared" si="89"/>
        <v>2712.5</v>
      </c>
      <c r="G421" s="97">
        <v>4975</v>
      </c>
      <c r="H421" s="367">
        <f t="shared" si="90"/>
        <v>7687.5</v>
      </c>
      <c r="I421" s="368">
        <f t="shared" si="94"/>
        <v>0</v>
      </c>
      <c r="J421" s="97">
        <v>18768</v>
      </c>
      <c r="K421" s="367">
        <f t="shared" si="95"/>
        <v>13405.714285714286</v>
      </c>
      <c r="L421" s="10">
        <v>0.25</v>
      </c>
      <c r="M421" s="97">
        <v>5.8</v>
      </c>
      <c r="N421" s="605">
        <v>24</v>
      </c>
      <c r="O421" s="97">
        <v>8</v>
      </c>
      <c r="P421" s="97" t="s">
        <v>556</v>
      </c>
      <c r="Q421" s="97">
        <f t="shared" si="91"/>
        <v>412</v>
      </c>
      <c r="R421" t="str">
        <f t="shared" si="92"/>
        <v/>
      </c>
      <c r="CB421" s="10"/>
      <c r="CI421" s="69"/>
    </row>
    <row r="422" spans="3:87">
      <c r="C422" t="str">
        <f t="shared" si="93"/>
        <v/>
      </c>
      <c r="D422">
        <v>413</v>
      </c>
      <c r="E422" s="97">
        <v>125</v>
      </c>
      <c r="F422" s="366">
        <f t="shared" si="89"/>
        <v>2712.5</v>
      </c>
      <c r="G422" s="97">
        <v>6311</v>
      </c>
      <c r="H422" s="367">
        <f t="shared" si="90"/>
        <v>9023.5</v>
      </c>
      <c r="I422" s="368">
        <f t="shared" si="94"/>
        <v>0</v>
      </c>
      <c r="J422" s="97">
        <v>23807</v>
      </c>
      <c r="K422" s="367">
        <f t="shared" si="95"/>
        <v>17005</v>
      </c>
      <c r="L422" s="10">
        <v>0.53</v>
      </c>
      <c r="M422" s="97">
        <v>5.8</v>
      </c>
      <c r="N422" s="605">
        <v>29</v>
      </c>
      <c r="O422" s="97">
        <v>8</v>
      </c>
      <c r="P422" s="97" t="s">
        <v>514</v>
      </c>
      <c r="Q422" s="97">
        <f t="shared" si="91"/>
        <v>413</v>
      </c>
      <c r="R422" t="str">
        <f t="shared" si="92"/>
        <v/>
      </c>
      <c r="CB422" s="10"/>
      <c r="CI422" s="69"/>
    </row>
    <row r="423" spans="3:87">
      <c r="C423" t="str">
        <f t="shared" si="93"/>
        <v/>
      </c>
      <c r="D423">
        <v>414</v>
      </c>
      <c r="E423" s="97">
        <v>125</v>
      </c>
      <c r="F423" s="366">
        <f t="shared" si="89"/>
        <v>2712.5</v>
      </c>
      <c r="G423" s="97">
        <v>7095</v>
      </c>
      <c r="H423" s="367">
        <f t="shared" si="90"/>
        <v>9807.5</v>
      </c>
      <c r="I423" s="368">
        <f t="shared" si="94"/>
        <v>0</v>
      </c>
      <c r="J423" s="97">
        <v>26765</v>
      </c>
      <c r="K423" s="367">
        <f t="shared" si="95"/>
        <v>19117.857142857145</v>
      </c>
      <c r="L423" s="10">
        <v>0.79</v>
      </c>
      <c r="M423" s="97">
        <v>5.8</v>
      </c>
      <c r="N423" s="605">
        <v>28</v>
      </c>
      <c r="O423" s="97">
        <v>8</v>
      </c>
      <c r="P423" s="97" t="s">
        <v>555</v>
      </c>
      <c r="Q423" s="97" t="str">
        <f t="shared" si="91"/>
        <v/>
      </c>
      <c r="R423" t="str">
        <f t="shared" si="92"/>
        <v/>
      </c>
      <c r="CB423" s="10"/>
      <c r="CI423" s="69"/>
    </row>
    <row r="424" spans="3:87">
      <c r="C424" t="str">
        <f t="shared" si="93"/>
        <v/>
      </c>
      <c r="D424">
        <v>415</v>
      </c>
      <c r="E424" s="97">
        <v>125</v>
      </c>
      <c r="F424" s="366">
        <f t="shared" si="89"/>
        <v>2712.5</v>
      </c>
      <c r="G424" s="97">
        <v>5926</v>
      </c>
      <c r="H424" s="367">
        <f t="shared" si="90"/>
        <v>8638.5</v>
      </c>
      <c r="I424" s="368">
        <f t="shared" si="94"/>
        <v>0</v>
      </c>
      <c r="J424" s="97">
        <v>22358</v>
      </c>
      <c r="K424" s="367">
        <f t="shared" si="95"/>
        <v>15970</v>
      </c>
      <c r="L424" s="10">
        <v>0.36</v>
      </c>
      <c r="M424" s="97">
        <v>7.1999999999999993</v>
      </c>
      <c r="N424" s="605">
        <v>28</v>
      </c>
      <c r="O424" s="97">
        <v>10</v>
      </c>
      <c r="P424" s="97" t="s">
        <v>514</v>
      </c>
      <c r="Q424" s="97" t="str">
        <f t="shared" si="91"/>
        <v/>
      </c>
      <c r="R424" t="str">
        <f t="shared" si="92"/>
        <v/>
      </c>
      <c r="CB424" s="10"/>
      <c r="CI424" s="69"/>
    </row>
    <row r="425" spans="3:87">
      <c r="C425" t="str">
        <f t="shared" si="93"/>
        <v/>
      </c>
      <c r="D425">
        <v>416</v>
      </c>
      <c r="E425" s="97">
        <v>125</v>
      </c>
      <c r="F425" s="366">
        <f t="shared" si="89"/>
        <v>2712.5</v>
      </c>
      <c r="G425" s="97">
        <v>6912</v>
      </c>
      <c r="H425" s="367">
        <f t="shared" si="90"/>
        <v>9624.5</v>
      </c>
      <c r="I425" s="368">
        <f t="shared" si="94"/>
        <v>0</v>
      </c>
      <c r="J425" s="97">
        <v>26074</v>
      </c>
      <c r="K425" s="367">
        <f t="shared" si="95"/>
        <v>18624.285714285714</v>
      </c>
      <c r="L425" s="10">
        <v>0.52</v>
      </c>
      <c r="M425" s="97">
        <v>7.1999999999999993</v>
      </c>
      <c r="N425" s="605">
        <v>27</v>
      </c>
      <c r="O425" s="97">
        <v>10</v>
      </c>
      <c r="P425" s="97" t="s">
        <v>555</v>
      </c>
      <c r="Q425" s="97" t="str">
        <f t="shared" si="91"/>
        <v/>
      </c>
      <c r="R425" t="str">
        <f t="shared" si="92"/>
        <v/>
      </c>
      <c r="CB425" s="10"/>
      <c r="CI425" s="69"/>
    </row>
    <row r="426" spans="3:87">
      <c r="C426" t="str">
        <f t="shared" si="93"/>
        <v/>
      </c>
      <c r="D426">
        <v>417</v>
      </c>
      <c r="E426" s="97">
        <v>130</v>
      </c>
      <c r="F426" s="366">
        <f t="shared" si="89"/>
        <v>2821</v>
      </c>
      <c r="G426" s="97">
        <v>4196</v>
      </c>
      <c r="H426" s="367">
        <f t="shared" si="90"/>
        <v>7017</v>
      </c>
      <c r="I426" s="368">
        <f t="shared" si="94"/>
        <v>0</v>
      </c>
      <c r="J426" s="97">
        <v>15829</v>
      </c>
      <c r="K426" s="367">
        <f t="shared" si="95"/>
        <v>11306.428571428572</v>
      </c>
      <c r="L426" s="10">
        <v>0.62</v>
      </c>
      <c r="M426" s="97">
        <v>3.1</v>
      </c>
      <c r="N426" s="605">
        <v>27</v>
      </c>
      <c r="O426" s="97">
        <v>4</v>
      </c>
      <c r="P426" s="97" t="s">
        <v>515</v>
      </c>
      <c r="Q426" s="97">
        <f t="shared" si="91"/>
        <v>417</v>
      </c>
      <c r="R426" t="str">
        <f t="shared" si="92"/>
        <v/>
      </c>
      <c r="CB426" s="10"/>
      <c r="CI426" s="69"/>
    </row>
    <row r="427" spans="3:87">
      <c r="C427" t="str">
        <f t="shared" si="93"/>
        <v/>
      </c>
      <c r="D427">
        <v>418</v>
      </c>
      <c r="E427" s="97">
        <v>130</v>
      </c>
      <c r="F427" s="366">
        <f t="shared" si="89"/>
        <v>2821</v>
      </c>
      <c r="G427" s="97">
        <v>4566</v>
      </c>
      <c r="H427" s="367">
        <f t="shared" si="90"/>
        <v>7387</v>
      </c>
      <c r="I427" s="368">
        <f t="shared" si="94"/>
        <v>0</v>
      </c>
      <c r="J427" s="97">
        <v>17224</v>
      </c>
      <c r="K427" s="367">
        <f t="shared" si="95"/>
        <v>12302.857142857143</v>
      </c>
      <c r="L427" s="10">
        <v>1.04</v>
      </c>
      <c r="M427" s="97">
        <v>3.1</v>
      </c>
      <c r="N427" s="605">
        <v>29</v>
      </c>
      <c r="O427" s="97">
        <v>4</v>
      </c>
      <c r="P427" s="97" t="s">
        <v>556</v>
      </c>
      <c r="Q427" s="97" t="str">
        <f t="shared" si="91"/>
        <v/>
      </c>
      <c r="R427" t="str">
        <f t="shared" si="92"/>
        <v/>
      </c>
      <c r="CB427" s="10"/>
      <c r="CI427" s="69"/>
    </row>
    <row r="428" spans="3:87">
      <c r="C428" t="str">
        <f t="shared" si="93"/>
        <v>NL</v>
      </c>
      <c r="D428">
        <v>419</v>
      </c>
      <c r="E428" s="97">
        <v>130</v>
      </c>
      <c r="F428" s="366">
        <f t="shared" si="89"/>
        <v>2821</v>
      </c>
      <c r="G428" s="97">
        <v>4347</v>
      </c>
      <c r="H428" s="367">
        <f t="shared" si="90"/>
        <v>7168</v>
      </c>
      <c r="I428" s="368">
        <f t="shared" si="94"/>
        <v>0</v>
      </c>
      <c r="J428" s="97">
        <v>16399</v>
      </c>
      <c r="K428" s="367">
        <f t="shared" si="95"/>
        <v>11713.571428571429</v>
      </c>
      <c r="L428" s="10">
        <v>0.41000000000000003</v>
      </c>
      <c r="M428" s="97">
        <v>3.8000000000000003</v>
      </c>
      <c r="N428" s="605">
        <v>26</v>
      </c>
      <c r="O428" s="97">
        <v>5</v>
      </c>
      <c r="P428" s="97" t="s">
        <v>515</v>
      </c>
      <c r="Q428" s="97" t="str">
        <f t="shared" si="91"/>
        <v/>
      </c>
      <c r="R428" t="str">
        <f t="shared" si="92"/>
        <v/>
      </c>
      <c r="CB428" s="10"/>
      <c r="CI428" s="69"/>
    </row>
    <row r="429" spans="3:87">
      <c r="C429" t="str">
        <f t="shared" si="93"/>
        <v>NL</v>
      </c>
      <c r="D429">
        <v>420</v>
      </c>
      <c r="E429" s="97">
        <v>130</v>
      </c>
      <c r="F429" s="366">
        <f t="shared" si="89"/>
        <v>2821</v>
      </c>
      <c r="G429" s="97">
        <v>4999</v>
      </c>
      <c r="H429" s="367">
        <f t="shared" si="90"/>
        <v>7820</v>
      </c>
      <c r="I429" s="368">
        <f t="shared" si="94"/>
        <v>0</v>
      </c>
      <c r="J429" s="97">
        <v>18859</v>
      </c>
      <c r="K429" s="367">
        <f t="shared" si="95"/>
        <v>13470.714285714286</v>
      </c>
      <c r="L429" s="10">
        <v>0.68</v>
      </c>
      <c r="M429" s="97">
        <v>3.8000000000000003</v>
      </c>
      <c r="N429" s="605">
        <v>28</v>
      </c>
      <c r="O429" s="97">
        <v>5</v>
      </c>
      <c r="P429" s="97" t="s">
        <v>556</v>
      </c>
      <c r="Q429" s="97" t="str">
        <f t="shared" si="91"/>
        <v/>
      </c>
      <c r="R429" t="str">
        <f t="shared" si="92"/>
        <v/>
      </c>
      <c r="CB429" s="10"/>
      <c r="CI429" s="69"/>
    </row>
    <row r="430" spans="3:87">
      <c r="C430" t="str">
        <f t="shared" si="93"/>
        <v/>
      </c>
      <c r="D430">
        <v>421</v>
      </c>
      <c r="E430" s="97">
        <v>130</v>
      </c>
      <c r="F430" s="366">
        <f t="shared" si="89"/>
        <v>2821</v>
      </c>
      <c r="G430" s="97">
        <v>4498</v>
      </c>
      <c r="H430" s="367">
        <f t="shared" si="90"/>
        <v>7319</v>
      </c>
      <c r="I430" s="368">
        <f t="shared" si="94"/>
        <v>0</v>
      </c>
      <c r="J430" s="97">
        <v>16969</v>
      </c>
      <c r="K430" s="367">
        <f t="shared" si="95"/>
        <v>12120.714285714286</v>
      </c>
      <c r="L430" s="10">
        <v>0.29000000000000004</v>
      </c>
      <c r="M430" s="97">
        <v>4.3999999999999995</v>
      </c>
      <c r="N430" s="605">
        <v>24</v>
      </c>
      <c r="O430" s="97">
        <v>6</v>
      </c>
      <c r="P430" s="97" t="s">
        <v>515</v>
      </c>
      <c r="Q430" s="97">
        <f t="shared" si="91"/>
        <v>421</v>
      </c>
      <c r="R430" t="str">
        <f t="shared" si="92"/>
        <v/>
      </c>
      <c r="CB430" s="10"/>
      <c r="CI430" s="69"/>
    </row>
    <row r="431" spans="3:87">
      <c r="C431" t="str">
        <f t="shared" si="93"/>
        <v/>
      </c>
      <c r="D431">
        <v>422</v>
      </c>
      <c r="E431" s="97">
        <v>130</v>
      </c>
      <c r="F431" s="366">
        <f t="shared" si="89"/>
        <v>2821</v>
      </c>
      <c r="G431" s="97">
        <v>5230</v>
      </c>
      <c r="H431" s="367">
        <f t="shared" si="90"/>
        <v>8051</v>
      </c>
      <c r="I431" s="368">
        <f t="shared" si="94"/>
        <v>0</v>
      </c>
      <c r="J431" s="97">
        <v>19730</v>
      </c>
      <c r="K431" s="367">
        <f t="shared" si="95"/>
        <v>14092.857142857143</v>
      </c>
      <c r="L431" s="10">
        <v>0.48</v>
      </c>
      <c r="M431" s="97">
        <v>4.3999999999999995</v>
      </c>
      <c r="N431" s="605">
        <v>26</v>
      </c>
      <c r="O431" s="97">
        <v>6</v>
      </c>
      <c r="P431" s="97" t="s">
        <v>556</v>
      </c>
      <c r="Q431" s="97">
        <f t="shared" si="91"/>
        <v>422</v>
      </c>
      <c r="R431" t="str">
        <f t="shared" si="92"/>
        <v/>
      </c>
      <c r="CB431" s="10"/>
      <c r="CI431" s="69"/>
    </row>
    <row r="432" spans="3:87">
      <c r="C432" t="str">
        <f t="shared" si="93"/>
        <v/>
      </c>
      <c r="D432">
        <v>423</v>
      </c>
      <c r="E432" s="97">
        <v>130</v>
      </c>
      <c r="F432" s="366">
        <f t="shared" si="89"/>
        <v>2821</v>
      </c>
      <c r="G432" s="97">
        <v>6091</v>
      </c>
      <c r="H432" s="367">
        <f t="shared" si="90"/>
        <v>8912</v>
      </c>
      <c r="I432" s="368">
        <f t="shared" si="94"/>
        <v>0</v>
      </c>
      <c r="J432" s="97">
        <v>22977</v>
      </c>
      <c r="K432" s="367">
        <f t="shared" si="95"/>
        <v>16412.142857142859</v>
      </c>
      <c r="L432" s="10">
        <v>0.98</v>
      </c>
      <c r="M432" s="97">
        <v>4.3999999999999995</v>
      </c>
      <c r="N432" s="605">
        <v>32</v>
      </c>
      <c r="O432" s="97">
        <v>6</v>
      </c>
      <c r="P432" s="97" t="s">
        <v>514</v>
      </c>
      <c r="Q432" s="97" t="str">
        <f t="shared" si="91"/>
        <v/>
      </c>
      <c r="R432" t="str">
        <f t="shared" si="92"/>
        <v/>
      </c>
      <c r="CB432" s="10"/>
      <c r="CI432" s="69"/>
    </row>
    <row r="433" spans="3:87">
      <c r="C433" t="str">
        <f t="shared" si="93"/>
        <v>NL</v>
      </c>
      <c r="D433">
        <v>424</v>
      </c>
      <c r="E433" s="97">
        <v>130</v>
      </c>
      <c r="F433" s="366">
        <f t="shared" si="89"/>
        <v>2821</v>
      </c>
      <c r="G433" s="97">
        <v>4189</v>
      </c>
      <c r="H433" s="367">
        <f t="shared" si="90"/>
        <v>7010</v>
      </c>
      <c r="I433" s="368">
        <f t="shared" si="94"/>
        <v>0</v>
      </c>
      <c r="J433" s="97">
        <v>15804</v>
      </c>
      <c r="K433" s="367">
        <f t="shared" si="95"/>
        <v>11288.571428571429</v>
      </c>
      <c r="L433" s="10">
        <v>0.21000000000000002</v>
      </c>
      <c r="M433" s="97">
        <v>5.0999999999999996</v>
      </c>
      <c r="N433" s="605">
        <v>23</v>
      </c>
      <c r="O433" s="97">
        <v>7</v>
      </c>
      <c r="P433" s="97" t="s">
        <v>515</v>
      </c>
      <c r="Q433" s="97" t="str">
        <f t="shared" si="91"/>
        <v/>
      </c>
      <c r="R433" t="str">
        <f t="shared" si="92"/>
        <v/>
      </c>
      <c r="CB433" s="10"/>
      <c r="CI433" s="69"/>
    </row>
    <row r="434" spans="3:87">
      <c r="C434" t="str">
        <f t="shared" si="93"/>
        <v>NL</v>
      </c>
      <c r="D434">
        <v>425</v>
      </c>
      <c r="E434" s="97">
        <v>130</v>
      </c>
      <c r="F434" s="366">
        <f t="shared" si="89"/>
        <v>2821</v>
      </c>
      <c r="G434" s="97">
        <v>5555</v>
      </c>
      <c r="H434" s="367">
        <f t="shared" si="90"/>
        <v>8376</v>
      </c>
      <c r="I434" s="368">
        <f t="shared" si="94"/>
        <v>0</v>
      </c>
      <c r="J434" s="97">
        <v>20958</v>
      </c>
      <c r="K434" s="367">
        <f t="shared" si="95"/>
        <v>14970</v>
      </c>
      <c r="L434" s="10">
        <v>0.35000000000000003</v>
      </c>
      <c r="M434" s="97">
        <v>5.0999999999999996</v>
      </c>
      <c r="N434" s="605">
        <v>25</v>
      </c>
      <c r="O434" s="97">
        <v>7</v>
      </c>
      <c r="P434" s="97" t="s">
        <v>556</v>
      </c>
      <c r="Q434" s="97" t="str">
        <f t="shared" si="91"/>
        <v/>
      </c>
      <c r="R434" t="str">
        <f t="shared" si="92"/>
        <v/>
      </c>
      <c r="CB434" s="10"/>
      <c r="CI434" s="69"/>
    </row>
    <row r="435" spans="3:87">
      <c r="C435" t="str">
        <f t="shared" si="93"/>
        <v>NL</v>
      </c>
      <c r="D435">
        <v>426</v>
      </c>
      <c r="E435" s="97">
        <v>130</v>
      </c>
      <c r="F435" s="366">
        <f t="shared" si="89"/>
        <v>2821</v>
      </c>
      <c r="G435" s="97">
        <v>6320</v>
      </c>
      <c r="H435" s="367">
        <f t="shared" si="90"/>
        <v>9141</v>
      </c>
      <c r="I435" s="368">
        <f t="shared" si="94"/>
        <v>0</v>
      </c>
      <c r="J435" s="97">
        <v>23842</v>
      </c>
      <c r="K435" s="367">
        <f t="shared" si="95"/>
        <v>17030</v>
      </c>
      <c r="L435" s="10">
        <v>0.73</v>
      </c>
      <c r="M435" s="97">
        <v>5.0999999999999996</v>
      </c>
      <c r="N435" s="605">
        <v>30</v>
      </c>
      <c r="O435" s="97">
        <v>7</v>
      </c>
      <c r="P435" s="97" t="s">
        <v>514</v>
      </c>
      <c r="Q435" s="97" t="str">
        <f t="shared" si="91"/>
        <v/>
      </c>
      <c r="R435" t="str">
        <f t="shared" si="92"/>
        <v/>
      </c>
      <c r="CB435" s="10"/>
      <c r="CI435" s="69"/>
    </row>
    <row r="436" spans="3:87">
      <c r="C436" t="str">
        <f t="shared" si="93"/>
        <v/>
      </c>
      <c r="D436">
        <v>427</v>
      </c>
      <c r="E436" s="97">
        <v>130</v>
      </c>
      <c r="F436" s="366">
        <f t="shared" si="89"/>
        <v>2821</v>
      </c>
      <c r="G436" s="97">
        <v>5226</v>
      </c>
      <c r="H436" s="367">
        <f t="shared" si="90"/>
        <v>8047</v>
      </c>
      <c r="I436" s="368">
        <f t="shared" si="94"/>
        <v>0</v>
      </c>
      <c r="J436" s="97">
        <v>19717</v>
      </c>
      <c r="K436" s="367">
        <f t="shared" si="95"/>
        <v>14083.571428571429</v>
      </c>
      <c r="L436" s="10">
        <v>0.27</v>
      </c>
      <c r="M436" s="97">
        <v>5.8</v>
      </c>
      <c r="N436" s="605">
        <v>24</v>
      </c>
      <c r="O436" s="97">
        <v>8</v>
      </c>
      <c r="P436" s="97" t="s">
        <v>556</v>
      </c>
      <c r="Q436" s="97">
        <f t="shared" si="91"/>
        <v>427</v>
      </c>
      <c r="R436" t="str">
        <f t="shared" si="92"/>
        <v/>
      </c>
      <c r="CB436" s="10"/>
      <c r="CI436" s="69"/>
    </row>
    <row r="437" spans="3:87">
      <c r="C437" t="str">
        <f t="shared" si="93"/>
        <v/>
      </c>
      <c r="D437">
        <v>428</v>
      </c>
      <c r="E437" s="97">
        <v>130</v>
      </c>
      <c r="F437" s="366">
        <f t="shared" si="89"/>
        <v>2821</v>
      </c>
      <c r="G437" s="97">
        <v>6492</v>
      </c>
      <c r="H437" s="367">
        <f t="shared" si="90"/>
        <v>9313</v>
      </c>
      <c r="I437" s="368">
        <f t="shared" si="94"/>
        <v>0</v>
      </c>
      <c r="J437" s="97">
        <v>24491</v>
      </c>
      <c r="K437" s="367">
        <f t="shared" si="95"/>
        <v>17493.571428571428</v>
      </c>
      <c r="L437" s="10">
        <v>0.57999999999999996</v>
      </c>
      <c r="M437" s="97">
        <v>5.8</v>
      </c>
      <c r="N437" s="605">
        <v>30</v>
      </c>
      <c r="O437" s="97">
        <v>8</v>
      </c>
      <c r="P437" s="97" t="s">
        <v>514</v>
      </c>
      <c r="Q437" s="97">
        <f t="shared" si="91"/>
        <v>428</v>
      </c>
      <c r="R437" t="str">
        <f t="shared" si="92"/>
        <v/>
      </c>
      <c r="CB437" s="10"/>
      <c r="CI437" s="69"/>
    </row>
    <row r="438" spans="3:87">
      <c r="C438" t="str">
        <f t="shared" si="93"/>
        <v/>
      </c>
      <c r="D438">
        <v>429</v>
      </c>
      <c r="E438" s="97">
        <v>130</v>
      </c>
      <c r="F438" s="366">
        <f t="shared" si="89"/>
        <v>2821</v>
      </c>
      <c r="G438" s="97">
        <v>7294</v>
      </c>
      <c r="H438" s="367">
        <f t="shared" si="90"/>
        <v>10115</v>
      </c>
      <c r="I438" s="368">
        <f t="shared" si="94"/>
        <v>0</v>
      </c>
      <c r="J438" s="97">
        <v>27517</v>
      </c>
      <c r="K438" s="367">
        <f t="shared" si="95"/>
        <v>19655</v>
      </c>
      <c r="L438" s="10">
        <v>0.85</v>
      </c>
      <c r="M438" s="97">
        <v>5.8</v>
      </c>
      <c r="N438" s="605">
        <v>29</v>
      </c>
      <c r="O438" s="97">
        <v>8</v>
      </c>
      <c r="P438" s="97" t="s">
        <v>555</v>
      </c>
      <c r="Q438" s="97" t="str">
        <f t="shared" si="91"/>
        <v/>
      </c>
      <c r="R438" t="str">
        <f t="shared" si="92"/>
        <v/>
      </c>
      <c r="CB438" s="10"/>
      <c r="CI438" s="69"/>
    </row>
    <row r="439" spans="3:87">
      <c r="C439" t="str">
        <f t="shared" si="93"/>
        <v/>
      </c>
      <c r="D439">
        <v>430</v>
      </c>
      <c r="E439" s="97">
        <v>130</v>
      </c>
      <c r="F439" s="366">
        <f t="shared" si="89"/>
        <v>2821</v>
      </c>
      <c r="G439" s="97">
        <v>4800</v>
      </c>
      <c r="H439" s="367">
        <f t="shared" si="90"/>
        <v>7621</v>
      </c>
      <c r="I439" s="368">
        <f t="shared" si="94"/>
        <v>0</v>
      </c>
      <c r="J439" s="97">
        <v>18108</v>
      </c>
      <c r="K439" s="367">
        <f t="shared" si="95"/>
        <v>12934.285714285714</v>
      </c>
      <c r="L439" s="10">
        <v>0.19</v>
      </c>
      <c r="M439" s="97">
        <v>7.1999999999999993</v>
      </c>
      <c r="N439" s="605">
        <v>24</v>
      </c>
      <c r="O439" s="97">
        <v>10</v>
      </c>
      <c r="P439" s="97" t="s">
        <v>556</v>
      </c>
      <c r="Q439" s="97" t="str">
        <f t="shared" si="91"/>
        <v/>
      </c>
      <c r="R439" t="str">
        <f t="shared" si="92"/>
        <v/>
      </c>
      <c r="CB439" s="10"/>
      <c r="CI439" s="69"/>
    </row>
    <row r="440" spans="3:87">
      <c r="C440" t="str">
        <f t="shared" si="93"/>
        <v/>
      </c>
      <c r="D440">
        <v>431</v>
      </c>
      <c r="E440" s="97">
        <v>130</v>
      </c>
      <c r="F440" s="366">
        <f t="shared" si="89"/>
        <v>2821</v>
      </c>
      <c r="G440" s="97">
        <v>6215</v>
      </c>
      <c r="H440" s="367">
        <f t="shared" si="90"/>
        <v>9036</v>
      </c>
      <c r="I440" s="368">
        <f t="shared" si="94"/>
        <v>0</v>
      </c>
      <c r="J440" s="97">
        <v>23447</v>
      </c>
      <c r="K440" s="367">
        <f t="shared" si="95"/>
        <v>16747.857142857145</v>
      </c>
      <c r="L440" s="10">
        <v>0.39</v>
      </c>
      <c r="M440" s="97">
        <v>7.1999999999999993</v>
      </c>
      <c r="N440" s="605">
        <v>29</v>
      </c>
      <c r="O440" s="97">
        <v>10</v>
      </c>
      <c r="P440" s="97" t="s">
        <v>514</v>
      </c>
      <c r="Q440" s="97" t="str">
        <f t="shared" si="91"/>
        <v/>
      </c>
      <c r="R440" t="str">
        <f t="shared" si="92"/>
        <v/>
      </c>
      <c r="CB440" s="10"/>
      <c r="CI440" s="69"/>
    </row>
    <row r="441" spans="3:87">
      <c r="C441" t="str">
        <f t="shared" si="93"/>
        <v/>
      </c>
      <c r="D441">
        <v>432</v>
      </c>
      <c r="E441" s="97">
        <v>130</v>
      </c>
      <c r="F441" s="366">
        <f t="shared" si="89"/>
        <v>2821</v>
      </c>
      <c r="G441" s="97">
        <v>7255</v>
      </c>
      <c r="H441" s="367">
        <f t="shared" si="90"/>
        <v>10076</v>
      </c>
      <c r="I441" s="368">
        <f t="shared" si="94"/>
        <v>0</v>
      </c>
      <c r="J441" s="97">
        <v>27369</v>
      </c>
      <c r="K441" s="367">
        <f t="shared" si="95"/>
        <v>19549.285714285714</v>
      </c>
      <c r="L441" s="10">
        <v>0.56000000000000005</v>
      </c>
      <c r="M441" s="97">
        <v>7.1999999999999993</v>
      </c>
      <c r="N441" s="605">
        <v>27</v>
      </c>
      <c r="O441" s="97">
        <v>10</v>
      </c>
      <c r="P441" s="97" t="s">
        <v>555</v>
      </c>
      <c r="Q441" s="97" t="str">
        <f t="shared" si="91"/>
        <v/>
      </c>
      <c r="R441" t="str">
        <f t="shared" si="92"/>
        <v/>
      </c>
      <c r="CB441" s="10"/>
      <c r="CI441" s="69"/>
    </row>
    <row r="442" spans="3:87">
      <c r="C442" t="str">
        <f t="shared" si="93"/>
        <v/>
      </c>
      <c r="D442">
        <v>433</v>
      </c>
      <c r="E442" s="97">
        <v>135</v>
      </c>
      <c r="F442" s="366">
        <f t="shared" si="89"/>
        <v>2929.5</v>
      </c>
      <c r="G442" s="97">
        <v>4314</v>
      </c>
      <c r="H442" s="367">
        <f t="shared" si="90"/>
        <v>7243.5</v>
      </c>
      <c r="I442" s="368">
        <f t="shared" si="94"/>
        <v>0</v>
      </c>
      <c r="J442" s="97">
        <v>16277</v>
      </c>
      <c r="K442" s="367">
        <f t="shared" si="95"/>
        <v>11626.428571428572</v>
      </c>
      <c r="L442" s="10">
        <v>0.67</v>
      </c>
      <c r="M442" s="97">
        <v>3.1</v>
      </c>
      <c r="N442" s="605">
        <v>27</v>
      </c>
      <c r="O442" s="97">
        <v>4</v>
      </c>
      <c r="P442" s="97" t="s">
        <v>515</v>
      </c>
      <c r="Q442" s="97">
        <f t="shared" si="91"/>
        <v>433</v>
      </c>
      <c r="R442" t="str">
        <f t="shared" si="92"/>
        <v/>
      </c>
      <c r="CB442" s="10"/>
      <c r="CI442" s="69"/>
    </row>
    <row r="443" spans="3:87">
      <c r="C443" t="str">
        <f t="shared" si="93"/>
        <v>NL</v>
      </c>
      <c r="D443">
        <v>434</v>
      </c>
      <c r="E443" s="97">
        <v>135</v>
      </c>
      <c r="F443" s="366">
        <f t="shared" si="89"/>
        <v>2929.5</v>
      </c>
      <c r="G443" s="97">
        <v>4479</v>
      </c>
      <c r="H443" s="367">
        <f t="shared" si="90"/>
        <v>7408.5</v>
      </c>
      <c r="I443" s="368">
        <f t="shared" si="94"/>
        <v>0</v>
      </c>
      <c r="J443" s="97">
        <v>16898</v>
      </c>
      <c r="K443" s="367">
        <f t="shared" si="95"/>
        <v>12070</v>
      </c>
      <c r="L443" s="10">
        <v>0.45</v>
      </c>
      <c r="M443" s="97">
        <v>3.8000000000000003</v>
      </c>
      <c r="N443" s="605">
        <v>26</v>
      </c>
      <c r="O443" s="97">
        <v>5</v>
      </c>
      <c r="P443" s="97" t="s">
        <v>515</v>
      </c>
      <c r="Q443" s="97" t="str">
        <f t="shared" si="91"/>
        <v/>
      </c>
      <c r="R443" t="str">
        <f t="shared" si="92"/>
        <v/>
      </c>
      <c r="CB443" s="10"/>
      <c r="CI443" s="69"/>
    </row>
    <row r="444" spans="3:87">
      <c r="C444" t="str">
        <f t="shared" si="93"/>
        <v>NL</v>
      </c>
      <c r="D444">
        <v>435</v>
      </c>
      <c r="E444" s="97">
        <v>135</v>
      </c>
      <c r="F444" s="366">
        <f t="shared" si="89"/>
        <v>2929.5</v>
      </c>
      <c r="G444" s="97">
        <v>5134</v>
      </c>
      <c r="H444" s="367">
        <f t="shared" si="90"/>
        <v>8063.5</v>
      </c>
      <c r="I444" s="368">
        <f t="shared" si="94"/>
        <v>0</v>
      </c>
      <c r="J444" s="97">
        <v>19367</v>
      </c>
      <c r="K444" s="367">
        <f t="shared" si="95"/>
        <v>13833.571428571429</v>
      </c>
      <c r="L444" s="10">
        <v>0.73</v>
      </c>
      <c r="M444" s="97">
        <v>3.8000000000000003</v>
      </c>
      <c r="N444" s="605">
        <v>28</v>
      </c>
      <c r="O444" s="97">
        <v>5</v>
      </c>
      <c r="P444" s="97" t="s">
        <v>556</v>
      </c>
      <c r="Q444" s="97" t="str">
        <f t="shared" si="91"/>
        <v/>
      </c>
      <c r="R444" t="str">
        <f t="shared" si="92"/>
        <v/>
      </c>
      <c r="CB444" s="10"/>
      <c r="CI444" s="69"/>
    </row>
    <row r="445" spans="3:87">
      <c r="C445" t="str">
        <f t="shared" si="93"/>
        <v/>
      </c>
      <c r="D445">
        <v>436</v>
      </c>
      <c r="E445" s="97">
        <v>135</v>
      </c>
      <c r="F445" s="366">
        <f t="shared" si="89"/>
        <v>2929.5</v>
      </c>
      <c r="G445" s="97">
        <v>4719</v>
      </c>
      <c r="H445" s="367">
        <f t="shared" si="90"/>
        <v>7648.5</v>
      </c>
      <c r="I445" s="368">
        <f t="shared" si="94"/>
        <v>0</v>
      </c>
      <c r="J445" s="97">
        <v>17804</v>
      </c>
      <c r="K445" s="367">
        <f t="shared" si="95"/>
        <v>12717.142857142857</v>
      </c>
      <c r="L445" s="10">
        <v>0.31</v>
      </c>
      <c r="M445" s="97">
        <v>4.3999999999999995</v>
      </c>
      <c r="N445" s="605">
        <v>24</v>
      </c>
      <c r="O445" s="97">
        <v>6</v>
      </c>
      <c r="P445" s="97" t="s">
        <v>515</v>
      </c>
      <c r="Q445" s="97">
        <f t="shared" si="91"/>
        <v>436</v>
      </c>
      <c r="R445" t="str">
        <f t="shared" si="92"/>
        <v/>
      </c>
      <c r="CB445" s="10"/>
      <c r="CI445" s="69"/>
    </row>
    <row r="446" spans="3:87">
      <c r="C446" t="str">
        <f t="shared" si="93"/>
        <v/>
      </c>
      <c r="D446">
        <v>437</v>
      </c>
      <c r="E446" s="97">
        <v>135</v>
      </c>
      <c r="F446" s="366">
        <f t="shared" si="89"/>
        <v>2929.5</v>
      </c>
      <c r="G446" s="97">
        <v>5355</v>
      </c>
      <c r="H446" s="367">
        <f t="shared" si="90"/>
        <v>8284.5</v>
      </c>
      <c r="I446" s="368">
        <f t="shared" si="94"/>
        <v>0</v>
      </c>
      <c r="J446" s="97">
        <v>20201</v>
      </c>
      <c r="K446" s="367">
        <f t="shared" si="95"/>
        <v>14429.285714285714</v>
      </c>
      <c r="L446" s="10">
        <v>0.51</v>
      </c>
      <c r="M446" s="97">
        <v>4.3999999999999995</v>
      </c>
      <c r="N446" s="605">
        <v>27</v>
      </c>
      <c r="O446" s="97">
        <v>6</v>
      </c>
      <c r="P446" s="97" t="s">
        <v>556</v>
      </c>
      <c r="Q446" s="97">
        <f t="shared" si="91"/>
        <v>437</v>
      </c>
      <c r="R446" t="str">
        <f t="shared" si="92"/>
        <v/>
      </c>
      <c r="CB446" s="10"/>
      <c r="CI446" s="69"/>
    </row>
    <row r="447" spans="3:87">
      <c r="C447" t="str">
        <f t="shared" si="93"/>
        <v>NL</v>
      </c>
      <c r="D447">
        <v>438</v>
      </c>
      <c r="E447" s="97">
        <v>135</v>
      </c>
      <c r="F447" s="366">
        <f t="shared" si="89"/>
        <v>2929.5</v>
      </c>
      <c r="G447" s="97">
        <v>4391</v>
      </c>
      <c r="H447" s="367">
        <f t="shared" si="90"/>
        <v>7320.5</v>
      </c>
      <c r="I447" s="368">
        <f t="shared" si="94"/>
        <v>0</v>
      </c>
      <c r="J447" s="97">
        <v>16566</v>
      </c>
      <c r="K447" s="367">
        <f t="shared" si="95"/>
        <v>11832.857142857143</v>
      </c>
      <c r="L447" s="10">
        <v>0.23</v>
      </c>
      <c r="M447" s="97">
        <v>5.0999999999999996</v>
      </c>
      <c r="N447" s="605">
        <v>23</v>
      </c>
      <c r="O447" s="97">
        <v>7</v>
      </c>
      <c r="P447" s="97" t="s">
        <v>515</v>
      </c>
      <c r="Q447" s="97" t="str">
        <f t="shared" si="91"/>
        <v/>
      </c>
      <c r="R447" t="str">
        <f t="shared" si="92"/>
        <v/>
      </c>
      <c r="CB447" s="10"/>
      <c r="CI447" s="69"/>
    </row>
    <row r="448" spans="3:87">
      <c r="C448" t="str">
        <f t="shared" si="93"/>
        <v>NL</v>
      </c>
      <c r="D448">
        <v>439</v>
      </c>
      <c r="E448" s="97">
        <v>135</v>
      </c>
      <c r="F448" s="366">
        <f t="shared" si="89"/>
        <v>2929.5</v>
      </c>
      <c r="G448" s="97">
        <v>5700</v>
      </c>
      <c r="H448" s="367">
        <f t="shared" si="90"/>
        <v>8629.5</v>
      </c>
      <c r="I448" s="368">
        <f t="shared" si="94"/>
        <v>0</v>
      </c>
      <c r="J448" s="97">
        <v>21502</v>
      </c>
      <c r="K448" s="367">
        <f t="shared" si="95"/>
        <v>15358.571428571429</v>
      </c>
      <c r="L448" s="10">
        <v>0.38</v>
      </c>
      <c r="M448" s="97">
        <v>5.0999999999999996</v>
      </c>
      <c r="N448" s="605">
        <v>26</v>
      </c>
      <c r="O448" s="97">
        <v>7</v>
      </c>
      <c r="P448" s="97" t="s">
        <v>556</v>
      </c>
      <c r="Q448" s="97" t="str">
        <f t="shared" si="91"/>
        <v/>
      </c>
      <c r="R448" t="str">
        <f t="shared" si="92"/>
        <v/>
      </c>
      <c r="CB448" s="10"/>
      <c r="CI448" s="69"/>
    </row>
    <row r="449" spans="3:87">
      <c r="C449" t="str">
        <f t="shared" si="93"/>
        <v>NL</v>
      </c>
      <c r="D449">
        <v>440</v>
      </c>
      <c r="E449" s="97">
        <v>135</v>
      </c>
      <c r="F449" s="366">
        <f t="shared" si="89"/>
        <v>2929.5</v>
      </c>
      <c r="G449" s="97">
        <v>6484</v>
      </c>
      <c r="H449" s="367">
        <f t="shared" si="90"/>
        <v>9413.5</v>
      </c>
      <c r="I449" s="368">
        <f t="shared" si="94"/>
        <v>0</v>
      </c>
      <c r="J449" s="97">
        <v>24461</v>
      </c>
      <c r="K449" s="367">
        <f t="shared" si="95"/>
        <v>17472.142857142859</v>
      </c>
      <c r="L449" s="10">
        <v>0.78</v>
      </c>
      <c r="M449" s="97">
        <v>5.0999999999999996</v>
      </c>
      <c r="N449" s="605">
        <v>31</v>
      </c>
      <c r="O449" s="97">
        <v>7</v>
      </c>
      <c r="P449" s="97" t="s">
        <v>514</v>
      </c>
      <c r="Q449" s="97" t="str">
        <f t="shared" si="91"/>
        <v/>
      </c>
      <c r="R449" t="str">
        <f t="shared" si="92"/>
        <v/>
      </c>
      <c r="CB449" s="10"/>
      <c r="CI449" s="69"/>
    </row>
    <row r="450" spans="3:87">
      <c r="C450" t="str">
        <f t="shared" si="93"/>
        <v/>
      </c>
      <c r="D450">
        <v>441</v>
      </c>
      <c r="E450" s="97">
        <v>135</v>
      </c>
      <c r="F450" s="366">
        <f t="shared" si="89"/>
        <v>2929.5</v>
      </c>
      <c r="G450" s="97">
        <v>4192</v>
      </c>
      <c r="H450" s="367">
        <f t="shared" si="90"/>
        <v>7121.5</v>
      </c>
      <c r="I450" s="368">
        <f t="shared" si="94"/>
        <v>0</v>
      </c>
      <c r="J450" s="97">
        <v>15815</v>
      </c>
      <c r="K450" s="367">
        <f t="shared" si="95"/>
        <v>11296.428571428572</v>
      </c>
      <c r="L450" s="10">
        <v>0.18000000000000002</v>
      </c>
      <c r="M450" s="97">
        <v>5.8</v>
      </c>
      <c r="N450" s="605">
        <v>23</v>
      </c>
      <c r="O450" s="97">
        <v>8</v>
      </c>
      <c r="P450" s="97" t="s">
        <v>515</v>
      </c>
      <c r="Q450" s="97">
        <f t="shared" si="91"/>
        <v>441</v>
      </c>
      <c r="R450" t="str">
        <f t="shared" si="92"/>
        <v/>
      </c>
      <c r="CB450" s="10"/>
      <c r="CI450" s="69"/>
    </row>
    <row r="451" spans="3:87">
      <c r="C451" t="str">
        <f t="shared" si="93"/>
        <v/>
      </c>
      <c r="D451">
        <v>442</v>
      </c>
      <c r="E451" s="97">
        <v>135</v>
      </c>
      <c r="F451" s="366">
        <f t="shared" si="89"/>
        <v>2929.5</v>
      </c>
      <c r="G451" s="97">
        <v>5486</v>
      </c>
      <c r="H451" s="367">
        <f t="shared" si="90"/>
        <v>8415.5</v>
      </c>
      <c r="I451" s="368">
        <f t="shared" si="94"/>
        <v>0</v>
      </c>
      <c r="J451" s="97">
        <v>20696</v>
      </c>
      <c r="K451" s="367">
        <f t="shared" si="95"/>
        <v>14782.857142857143</v>
      </c>
      <c r="L451" s="10">
        <v>0.3</v>
      </c>
      <c r="M451" s="97">
        <v>5.8</v>
      </c>
      <c r="N451" s="605">
        <v>25</v>
      </c>
      <c r="O451" s="97">
        <v>8</v>
      </c>
      <c r="P451" s="97" t="s">
        <v>556</v>
      </c>
      <c r="Q451" s="97">
        <f t="shared" si="91"/>
        <v>442</v>
      </c>
      <c r="R451" t="str">
        <f t="shared" si="92"/>
        <v/>
      </c>
      <c r="CB451" s="10"/>
      <c r="CI451" s="69"/>
    </row>
    <row r="452" spans="3:87">
      <c r="C452" t="str">
        <f t="shared" si="93"/>
        <v/>
      </c>
      <c r="D452">
        <v>443</v>
      </c>
      <c r="E452" s="97">
        <v>135</v>
      </c>
      <c r="F452" s="366">
        <f t="shared" si="89"/>
        <v>2929.5</v>
      </c>
      <c r="G452" s="97">
        <v>6670</v>
      </c>
      <c r="H452" s="367">
        <f t="shared" si="90"/>
        <v>9599.5</v>
      </c>
      <c r="I452" s="368">
        <f t="shared" si="94"/>
        <v>0</v>
      </c>
      <c r="J452" s="97">
        <v>25163</v>
      </c>
      <c r="K452" s="367">
        <f t="shared" si="95"/>
        <v>17973.571428571428</v>
      </c>
      <c r="L452" s="10">
        <v>0.62</v>
      </c>
      <c r="M452" s="97">
        <v>5.8</v>
      </c>
      <c r="N452" s="605">
        <v>30</v>
      </c>
      <c r="O452" s="97">
        <v>8</v>
      </c>
      <c r="P452" s="97" t="s">
        <v>514</v>
      </c>
      <c r="Q452" s="97">
        <f t="shared" si="91"/>
        <v>443</v>
      </c>
      <c r="R452" t="str">
        <f t="shared" si="92"/>
        <v/>
      </c>
      <c r="CB452" s="10"/>
      <c r="CI452" s="69"/>
    </row>
    <row r="453" spans="3:87">
      <c r="C453" t="str">
        <f t="shared" si="93"/>
        <v/>
      </c>
      <c r="D453">
        <v>444</v>
      </c>
      <c r="E453" s="97">
        <v>135</v>
      </c>
      <c r="F453" s="366">
        <f t="shared" si="89"/>
        <v>2929.5</v>
      </c>
      <c r="G453" s="97">
        <v>7493</v>
      </c>
      <c r="H453" s="367">
        <f t="shared" si="90"/>
        <v>10422.5</v>
      </c>
      <c r="I453" s="368">
        <f t="shared" si="94"/>
        <v>0</v>
      </c>
      <c r="J453" s="97">
        <v>28268</v>
      </c>
      <c r="K453" s="367">
        <f t="shared" si="95"/>
        <v>20191.428571428572</v>
      </c>
      <c r="L453" s="10">
        <v>0.92</v>
      </c>
      <c r="M453" s="97">
        <v>5.8</v>
      </c>
      <c r="N453" s="605">
        <v>29</v>
      </c>
      <c r="O453" s="97">
        <v>8</v>
      </c>
      <c r="P453" s="97" t="s">
        <v>555</v>
      </c>
      <c r="Q453" s="97" t="str">
        <f t="shared" si="91"/>
        <v/>
      </c>
      <c r="R453" t="str">
        <f t="shared" si="92"/>
        <v/>
      </c>
      <c r="CB453" s="10"/>
      <c r="CI453" s="69"/>
    </row>
    <row r="454" spans="3:87">
      <c r="C454" t="str">
        <f t="shared" si="93"/>
        <v/>
      </c>
      <c r="D454">
        <v>445</v>
      </c>
      <c r="E454" s="97">
        <v>135</v>
      </c>
      <c r="F454" s="366">
        <f t="shared" si="89"/>
        <v>2929.5</v>
      </c>
      <c r="G454" s="97">
        <v>4949</v>
      </c>
      <c r="H454" s="367">
        <f t="shared" si="90"/>
        <v>7878.5</v>
      </c>
      <c r="I454" s="368">
        <f t="shared" si="94"/>
        <v>0</v>
      </c>
      <c r="J454" s="97">
        <v>18672</v>
      </c>
      <c r="K454" s="367">
        <f t="shared" si="95"/>
        <v>13337.142857142857</v>
      </c>
      <c r="L454" s="10">
        <v>0.21000000000000002</v>
      </c>
      <c r="M454" s="97">
        <v>7.1999999999999993</v>
      </c>
      <c r="N454" s="605">
        <v>24</v>
      </c>
      <c r="O454" s="97">
        <v>10</v>
      </c>
      <c r="P454" s="97" t="s">
        <v>556</v>
      </c>
      <c r="Q454" s="97" t="str">
        <f t="shared" si="91"/>
        <v/>
      </c>
      <c r="R454" t="str">
        <f t="shared" si="92"/>
        <v/>
      </c>
      <c r="CB454" s="10"/>
      <c r="CI454" s="69"/>
    </row>
    <row r="455" spans="3:87">
      <c r="C455" t="str">
        <f t="shared" si="93"/>
        <v/>
      </c>
      <c r="D455">
        <v>446</v>
      </c>
      <c r="E455" s="97">
        <v>135</v>
      </c>
      <c r="F455" s="366">
        <f t="shared" si="89"/>
        <v>2929.5</v>
      </c>
      <c r="G455" s="97">
        <v>6514</v>
      </c>
      <c r="H455" s="367">
        <f t="shared" si="90"/>
        <v>9443.5</v>
      </c>
      <c r="I455" s="368">
        <f t="shared" si="94"/>
        <v>0</v>
      </c>
      <c r="J455" s="97">
        <v>24575</v>
      </c>
      <c r="K455" s="367">
        <f t="shared" si="95"/>
        <v>17553.571428571428</v>
      </c>
      <c r="L455" s="10">
        <v>0.42</v>
      </c>
      <c r="M455" s="97">
        <v>7.1999999999999993</v>
      </c>
      <c r="N455" s="605">
        <v>29</v>
      </c>
      <c r="O455" s="97">
        <v>10</v>
      </c>
      <c r="P455" s="97" t="s">
        <v>514</v>
      </c>
      <c r="Q455" s="97" t="str">
        <f t="shared" si="91"/>
        <v/>
      </c>
      <c r="R455" t="str">
        <f t="shared" si="92"/>
        <v/>
      </c>
      <c r="CB455" s="10"/>
      <c r="CI455" s="69"/>
    </row>
    <row r="456" spans="3:87">
      <c r="C456" t="str">
        <f t="shared" si="93"/>
        <v/>
      </c>
      <c r="D456">
        <v>447</v>
      </c>
      <c r="E456" s="97">
        <v>135</v>
      </c>
      <c r="F456" s="366">
        <f t="shared" si="89"/>
        <v>2929.5</v>
      </c>
      <c r="G456" s="97">
        <v>7598</v>
      </c>
      <c r="H456" s="367">
        <f t="shared" si="90"/>
        <v>10527.5</v>
      </c>
      <c r="I456" s="368">
        <f t="shared" si="94"/>
        <v>0</v>
      </c>
      <c r="J456" s="97">
        <v>28663</v>
      </c>
      <c r="K456" s="367">
        <f t="shared" si="95"/>
        <v>20473.571428571428</v>
      </c>
      <c r="L456" s="10">
        <v>0.6</v>
      </c>
      <c r="M456" s="97">
        <v>7.1999999999999993</v>
      </c>
      <c r="N456" s="605">
        <v>28</v>
      </c>
      <c r="O456" s="97">
        <v>10</v>
      </c>
      <c r="P456" s="97" t="s">
        <v>555</v>
      </c>
      <c r="Q456" s="97" t="str">
        <f t="shared" si="91"/>
        <v/>
      </c>
      <c r="R456" t="str">
        <f t="shared" si="92"/>
        <v/>
      </c>
      <c r="CB456" s="10"/>
      <c r="CI456" s="69"/>
    </row>
    <row r="457" spans="3:87">
      <c r="C457" t="str">
        <f t="shared" si="93"/>
        <v/>
      </c>
      <c r="D457">
        <v>448</v>
      </c>
      <c r="E457" s="97">
        <v>140</v>
      </c>
      <c r="F457" s="366">
        <f t="shared" si="89"/>
        <v>3038</v>
      </c>
      <c r="G457" s="97">
        <v>4406</v>
      </c>
      <c r="H457" s="367">
        <f t="shared" si="90"/>
        <v>7444</v>
      </c>
      <c r="I457" s="368">
        <f t="shared" si="94"/>
        <v>0</v>
      </c>
      <c r="J457" s="97">
        <v>16620</v>
      </c>
      <c r="K457" s="367">
        <f t="shared" si="95"/>
        <v>11871.428571428572</v>
      </c>
      <c r="L457" s="10">
        <v>0.72</v>
      </c>
      <c r="M457" s="97">
        <v>3.1</v>
      </c>
      <c r="N457" s="605">
        <v>28</v>
      </c>
      <c r="O457" s="97">
        <v>4</v>
      </c>
      <c r="P457" s="97" t="s">
        <v>515</v>
      </c>
      <c r="Q457" s="97" t="str">
        <f t="shared" si="91"/>
        <v/>
      </c>
      <c r="R457" t="str">
        <f t="shared" si="92"/>
        <v/>
      </c>
      <c r="CB457" s="10"/>
      <c r="CI457" s="69"/>
    </row>
    <row r="458" spans="3:87">
      <c r="C458" t="str">
        <f t="shared" si="93"/>
        <v>NL</v>
      </c>
      <c r="D458">
        <v>449</v>
      </c>
      <c r="E458" s="97">
        <v>140</v>
      </c>
      <c r="F458" s="366">
        <f t="shared" ref="F458:F521" si="96">1.085*($A$2-$B$2)*E458*$T$7</f>
        <v>3038</v>
      </c>
      <c r="G458" s="97">
        <v>4611</v>
      </c>
      <c r="H458" s="367">
        <f t="shared" ref="H458:H521" si="97">(G458*$U$7)+F458</f>
        <v>7649</v>
      </c>
      <c r="I458" s="368">
        <f t="shared" si="94"/>
        <v>0</v>
      </c>
      <c r="J458" s="97">
        <v>17397</v>
      </c>
      <c r="K458" s="367">
        <f t="shared" si="95"/>
        <v>12426.428571428572</v>
      </c>
      <c r="L458" s="10">
        <v>0.48</v>
      </c>
      <c r="M458" s="97">
        <v>3.8000000000000003</v>
      </c>
      <c r="N458" s="605">
        <v>27</v>
      </c>
      <c r="O458" s="97">
        <v>5</v>
      </c>
      <c r="P458" s="97" t="s">
        <v>515</v>
      </c>
      <c r="Q458" s="97" t="str">
        <f t="shared" ref="Q458:Q521" si="98">IF(AND(H458+1&gt;$E$4,L458&lt;$L$4+0.01,M458&lt;$M$4+0.01,K458+1&gt;$F$4,E458+1&gt;$J$4,N458&lt;$K$4+1,O458&lt;$P$4+1,C458=""),D458,"")</f>
        <v/>
      </c>
      <c r="R458" t="str">
        <f t="shared" ref="R458:R521" si="99">IF(Q458="","",IF(AND(O458&lt;$X$14,E458&gt;$U$14,E458&lt;$Q$4+$U$14+1),D458,""))</f>
        <v/>
      </c>
      <c r="CB458" s="10"/>
      <c r="CI458" s="69"/>
    </row>
    <row r="459" spans="3:87">
      <c r="C459" t="str">
        <f t="shared" ref="C459:C522" si="100">IF(OR($O$4=0,O459-$O$4=0),IF(AND(ISEVEN(O459)=FALSE,$N$4="Even"),"NL",""),"NL")</f>
        <v>NL</v>
      </c>
      <c r="D459">
        <v>450</v>
      </c>
      <c r="E459" s="97">
        <v>140</v>
      </c>
      <c r="F459" s="366">
        <f t="shared" si="96"/>
        <v>3038</v>
      </c>
      <c r="G459" s="97">
        <v>5255</v>
      </c>
      <c r="H459" s="367">
        <f t="shared" si="97"/>
        <v>8293</v>
      </c>
      <c r="I459" s="368">
        <f t="shared" ref="I459:I522" si="101">1.085*($C$2-$D$2)*E459*$T$7</f>
        <v>0</v>
      </c>
      <c r="J459" s="97">
        <v>19824</v>
      </c>
      <c r="K459" s="367">
        <f t="shared" ref="K459:K522" si="102">(J459*$V$7)-I459</f>
        <v>14160</v>
      </c>
      <c r="L459" s="10">
        <v>0.79</v>
      </c>
      <c r="M459" s="97">
        <v>3.8000000000000003</v>
      </c>
      <c r="N459" s="605">
        <v>29</v>
      </c>
      <c r="O459" s="97">
        <v>5</v>
      </c>
      <c r="P459" s="97" t="s">
        <v>556</v>
      </c>
      <c r="Q459" s="97" t="str">
        <f t="shared" si="98"/>
        <v/>
      </c>
      <c r="R459" t="str">
        <f t="shared" si="99"/>
        <v/>
      </c>
      <c r="CB459" s="10"/>
      <c r="CI459" s="69"/>
    </row>
    <row r="460" spans="3:87">
      <c r="C460" t="str">
        <f t="shared" si="100"/>
        <v/>
      </c>
      <c r="D460">
        <v>451</v>
      </c>
      <c r="E460" s="97">
        <v>140</v>
      </c>
      <c r="F460" s="366">
        <f t="shared" si="96"/>
        <v>3038</v>
      </c>
      <c r="G460" s="97">
        <v>4883</v>
      </c>
      <c r="H460" s="367">
        <f t="shared" si="97"/>
        <v>7921</v>
      </c>
      <c r="I460" s="368">
        <f t="shared" si="101"/>
        <v>0</v>
      </c>
      <c r="J460" s="97">
        <v>18423</v>
      </c>
      <c r="K460" s="367">
        <f t="shared" si="102"/>
        <v>13159.285714285714</v>
      </c>
      <c r="L460" s="10">
        <v>0.33</v>
      </c>
      <c r="M460" s="97">
        <v>4.3999999999999995</v>
      </c>
      <c r="N460" s="605">
        <v>25</v>
      </c>
      <c r="O460" s="97">
        <v>6</v>
      </c>
      <c r="P460" s="97" t="s">
        <v>515</v>
      </c>
      <c r="Q460" s="97">
        <f t="shared" si="98"/>
        <v>451</v>
      </c>
      <c r="R460" t="str">
        <f t="shared" si="99"/>
        <v/>
      </c>
      <c r="CB460" s="10"/>
      <c r="CI460" s="69"/>
    </row>
    <row r="461" spans="3:87">
      <c r="C461" t="str">
        <f t="shared" si="100"/>
        <v/>
      </c>
      <c r="D461">
        <v>452</v>
      </c>
      <c r="E461" s="97">
        <v>140</v>
      </c>
      <c r="F461" s="366">
        <f t="shared" si="96"/>
        <v>3038</v>
      </c>
      <c r="G461" s="97">
        <v>5484</v>
      </c>
      <c r="H461" s="367">
        <f t="shared" si="97"/>
        <v>8522</v>
      </c>
      <c r="I461" s="368">
        <f t="shared" si="101"/>
        <v>0</v>
      </c>
      <c r="J461" s="97">
        <v>20688</v>
      </c>
      <c r="K461" s="367">
        <f t="shared" si="102"/>
        <v>14777.142857142857</v>
      </c>
      <c r="L461" s="10">
        <v>0.55000000000000004</v>
      </c>
      <c r="M461" s="97">
        <v>4.3999999999999995</v>
      </c>
      <c r="N461" s="605">
        <v>27</v>
      </c>
      <c r="O461" s="97">
        <v>6</v>
      </c>
      <c r="P461" s="97" t="s">
        <v>556</v>
      </c>
      <c r="Q461" s="97">
        <f t="shared" si="98"/>
        <v>452</v>
      </c>
      <c r="R461" t="str">
        <f t="shared" si="99"/>
        <v/>
      </c>
      <c r="CB461" s="10"/>
      <c r="CI461" s="69"/>
    </row>
    <row r="462" spans="3:87">
      <c r="C462" t="str">
        <f t="shared" si="100"/>
        <v>NL</v>
      </c>
      <c r="D462">
        <v>453</v>
      </c>
      <c r="E462" s="97">
        <v>140</v>
      </c>
      <c r="F462" s="366">
        <f t="shared" si="96"/>
        <v>3038</v>
      </c>
      <c r="G462" s="97">
        <v>4593</v>
      </c>
      <c r="H462" s="367">
        <f t="shared" si="97"/>
        <v>7631</v>
      </c>
      <c r="I462" s="368">
        <f t="shared" si="101"/>
        <v>0</v>
      </c>
      <c r="J462" s="97">
        <v>17327</v>
      </c>
      <c r="K462" s="367">
        <f t="shared" si="102"/>
        <v>12376.428571428572</v>
      </c>
      <c r="L462" s="10">
        <v>0.25</v>
      </c>
      <c r="M462" s="97">
        <v>5.0999999999999996</v>
      </c>
      <c r="N462" s="605">
        <v>24</v>
      </c>
      <c r="O462" s="97">
        <v>7</v>
      </c>
      <c r="P462" s="97" t="s">
        <v>515</v>
      </c>
      <c r="Q462" s="97" t="str">
        <f t="shared" si="98"/>
        <v/>
      </c>
      <c r="R462" t="str">
        <f t="shared" si="99"/>
        <v/>
      </c>
      <c r="CB462" s="10"/>
      <c r="CI462" s="69"/>
    </row>
    <row r="463" spans="3:87">
      <c r="C463" t="str">
        <f t="shared" si="100"/>
        <v>NL</v>
      </c>
      <c r="D463">
        <v>454</v>
      </c>
      <c r="E463" s="97">
        <v>140</v>
      </c>
      <c r="F463" s="366">
        <f t="shared" si="96"/>
        <v>3038</v>
      </c>
      <c r="G463" s="97">
        <v>5844</v>
      </c>
      <c r="H463" s="367">
        <f t="shared" si="97"/>
        <v>8882</v>
      </c>
      <c r="I463" s="368">
        <f t="shared" si="101"/>
        <v>0</v>
      </c>
      <c r="J463" s="97">
        <v>22046</v>
      </c>
      <c r="K463" s="367">
        <f t="shared" si="102"/>
        <v>15747.142857142857</v>
      </c>
      <c r="L463" s="10">
        <v>0.41000000000000003</v>
      </c>
      <c r="M463" s="97">
        <v>5.0999999999999996</v>
      </c>
      <c r="N463" s="605">
        <v>26</v>
      </c>
      <c r="O463" s="97">
        <v>7</v>
      </c>
      <c r="P463" s="97" t="s">
        <v>556</v>
      </c>
      <c r="Q463" s="97" t="str">
        <f t="shared" si="98"/>
        <v/>
      </c>
      <c r="R463" t="str">
        <f t="shared" si="99"/>
        <v/>
      </c>
      <c r="CB463" s="10"/>
      <c r="CI463" s="69"/>
    </row>
    <row r="464" spans="3:87">
      <c r="C464" t="str">
        <f t="shared" si="100"/>
        <v>NL</v>
      </c>
      <c r="D464">
        <v>455</v>
      </c>
      <c r="E464" s="97">
        <v>140</v>
      </c>
      <c r="F464" s="366">
        <f t="shared" si="96"/>
        <v>3038</v>
      </c>
      <c r="G464" s="97">
        <v>6648</v>
      </c>
      <c r="H464" s="367">
        <f t="shared" si="97"/>
        <v>9686</v>
      </c>
      <c r="I464" s="368">
        <f t="shared" si="101"/>
        <v>0</v>
      </c>
      <c r="J464" s="97">
        <v>25080</v>
      </c>
      <c r="K464" s="367">
        <f t="shared" si="102"/>
        <v>17914.285714285714</v>
      </c>
      <c r="L464" s="10">
        <v>0.84</v>
      </c>
      <c r="M464" s="97">
        <v>5.0999999999999996</v>
      </c>
      <c r="N464" s="605">
        <v>31</v>
      </c>
      <c r="O464" s="97">
        <v>7</v>
      </c>
      <c r="P464" s="97" t="s">
        <v>514</v>
      </c>
      <c r="Q464" s="97" t="str">
        <f t="shared" si="98"/>
        <v/>
      </c>
      <c r="R464" t="str">
        <f t="shared" si="99"/>
        <v/>
      </c>
      <c r="CB464" s="10"/>
      <c r="CI464" s="69"/>
    </row>
    <row r="465" spans="3:87">
      <c r="C465" t="str">
        <f t="shared" si="100"/>
        <v/>
      </c>
      <c r="D465">
        <v>456</v>
      </c>
      <c r="E465" s="97">
        <v>140</v>
      </c>
      <c r="F465" s="366">
        <f t="shared" si="96"/>
        <v>3038</v>
      </c>
      <c r="G465" s="97">
        <v>4345</v>
      </c>
      <c r="H465" s="367">
        <f t="shared" si="97"/>
        <v>7383</v>
      </c>
      <c r="I465" s="368">
        <f t="shared" si="101"/>
        <v>0</v>
      </c>
      <c r="J465" s="97">
        <v>16392</v>
      </c>
      <c r="K465" s="367">
        <f t="shared" si="102"/>
        <v>11708.571428571429</v>
      </c>
      <c r="L465" s="10">
        <v>0.2</v>
      </c>
      <c r="M465" s="97">
        <v>5.8</v>
      </c>
      <c r="N465" s="605">
        <v>23</v>
      </c>
      <c r="O465" s="97">
        <v>8</v>
      </c>
      <c r="P465" s="97" t="s">
        <v>515</v>
      </c>
      <c r="Q465" s="97">
        <f t="shared" si="98"/>
        <v>456</v>
      </c>
      <c r="R465" t="str">
        <f t="shared" si="99"/>
        <v/>
      </c>
      <c r="CB465" s="10"/>
      <c r="CI465" s="69"/>
    </row>
    <row r="466" spans="3:87">
      <c r="C466" t="str">
        <f t="shared" si="100"/>
        <v/>
      </c>
      <c r="D466">
        <v>457</v>
      </c>
      <c r="E466" s="97">
        <v>140</v>
      </c>
      <c r="F466" s="366">
        <f t="shared" si="96"/>
        <v>3038</v>
      </c>
      <c r="G466" s="97">
        <v>5746</v>
      </c>
      <c r="H466" s="367">
        <f t="shared" si="97"/>
        <v>8784</v>
      </c>
      <c r="I466" s="368">
        <f t="shared" si="101"/>
        <v>0</v>
      </c>
      <c r="J466" s="97">
        <v>21675</v>
      </c>
      <c r="K466" s="367">
        <f t="shared" si="102"/>
        <v>15482.142857142857</v>
      </c>
      <c r="L466" s="10">
        <v>0.32</v>
      </c>
      <c r="M466" s="97">
        <v>5.8</v>
      </c>
      <c r="N466" s="605">
        <v>25</v>
      </c>
      <c r="O466" s="97">
        <v>8</v>
      </c>
      <c r="P466" s="97" t="s">
        <v>556</v>
      </c>
      <c r="Q466" s="97">
        <f t="shared" si="98"/>
        <v>457</v>
      </c>
      <c r="R466" t="str">
        <f t="shared" si="99"/>
        <v/>
      </c>
      <c r="CB466" s="10"/>
      <c r="CI466" s="69"/>
    </row>
    <row r="467" spans="3:87">
      <c r="C467" t="str">
        <f t="shared" si="100"/>
        <v/>
      </c>
      <c r="D467">
        <v>458</v>
      </c>
      <c r="E467" s="97">
        <v>140</v>
      </c>
      <c r="F467" s="366">
        <f t="shared" si="96"/>
        <v>3038</v>
      </c>
      <c r="G467" s="97">
        <v>6844</v>
      </c>
      <c r="H467" s="367">
        <f t="shared" si="97"/>
        <v>9882</v>
      </c>
      <c r="I467" s="368">
        <f t="shared" si="101"/>
        <v>0</v>
      </c>
      <c r="J467" s="97">
        <v>25819</v>
      </c>
      <c r="K467" s="367">
        <f t="shared" si="102"/>
        <v>18442.142857142859</v>
      </c>
      <c r="L467" s="10">
        <v>0.67</v>
      </c>
      <c r="M467" s="97">
        <v>5.8</v>
      </c>
      <c r="N467" s="605">
        <v>31</v>
      </c>
      <c r="O467" s="97">
        <v>8</v>
      </c>
      <c r="P467" s="97" t="s">
        <v>514</v>
      </c>
      <c r="Q467" s="97">
        <f t="shared" si="98"/>
        <v>458</v>
      </c>
      <c r="R467" t="str">
        <f t="shared" si="99"/>
        <v/>
      </c>
      <c r="CB467" s="10"/>
      <c r="CI467" s="69"/>
    </row>
    <row r="468" spans="3:87">
      <c r="C468" t="str">
        <f t="shared" si="100"/>
        <v/>
      </c>
      <c r="D468">
        <v>459</v>
      </c>
      <c r="E468" s="97">
        <v>140</v>
      </c>
      <c r="F468" s="366">
        <f t="shared" si="96"/>
        <v>3038</v>
      </c>
      <c r="G468" s="97">
        <v>7687</v>
      </c>
      <c r="H468" s="367">
        <f t="shared" si="97"/>
        <v>10725</v>
      </c>
      <c r="I468" s="368">
        <f t="shared" si="101"/>
        <v>0</v>
      </c>
      <c r="J468" s="97">
        <v>29000</v>
      </c>
      <c r="K468" s="367">
        <f t="shared" si="102"/>
        <v>20714.285714285714</v>
      </c>
      <c r="L468" s="10">
        <v>0.98</v>
      </c>
      <c r="M468" s="97">
        <v>5.8</v>
      </c>
      <c r="N468" s="605">
        <v>30</v>
      </c>
      <c r="O468" s="97">
        <v>8</v>
      </c>
      <c r="P468" s="97" t="s">
        <v>555</v>
      </c>
      <c r="Q468" s="97" t="str">
        <f t="shared" si="98"/>
        <v/>
      </c>
      <c r="R468" t="str">
        <f t="shared" si="99"/>
        <v/>
      </c>
      <c r="CB468" s="10"/>
      <c r="CI468" s="69"/>
    </row>
    <row r="469" spans="3:87">
      <c r="C469" t="str">
        <f t="shared" si="100"/>
        <v/>
      </c>
      <c r="D469">
        <v>460</v>
      </c>
      <c r="E469" s="97">
        <v>140</v>
      </c>
      <c r="F469" s="366">
        <f t="shared" si="96"/>
        <v>3038</v>
      </c>
      <c r="G469" s="97">
        <v>5159</v>
      </c>
      <c r="H469" s="367">
        <f t="shared" si="97"/>
        <v>8197</v>
      </c>
      <c r="I469" s="368">
        <f t="shared" si="101"/>
        <v>0</v>
      </c>
      <c r="J469" s="97">
        <v>19463</v>
      </c>
      <c r="K469" s="367">
        <f t="shared" si="102"/>
        <v>13902.142857142857</v>
      </c>
      <c r="L469" s="10">
        <v>0.22</v>
      </c>
      <c r="M469" s="97">
        <v>7.1999999999999993</v>
      </c>
      <c r="N469" s="605">
        <v>25</v>
      </c>
      <c r="O469" s="97">
        <v>10</v>
      </c>
      <c r="P469" s="97" t="s">
        <v>556</v>
      </c>
      <c r="Q469" s="97" t="str">
        <f t="shared" si="98"/>
        <v/>
      </c>
      <c r="R469" t="str">
        <f t="shared" si="99"/>
        <v/>
      </c>
      <c r="CB469" s="10"/>
      <c r="CI469" s="69"/>
    </row>
    <row r="470" spans="3:87">
      <c r="C470" t="str">
        <f t="shared" si="100"/>
        <v/>
      </c>
      <c r="D470">
        <v>461</v>
      </c>
      <c r="E470" s="97">
        <v>140</v>
      </c>
      <c r="F470" s="366">
        <f t="shared" si="96"/>
        <v>3038</v>
      </c>
      <c r="G470" s="97">
        <v>6813</v>
      </c>
      <c r="H470" s="367">
        <f t="shared" si="97"/>
        <v>9851</v>
      </c>
      <c r="I470" s="368">
        <f t="shared" si="101"/>
        <v>0</v>
      </c>
      <c r="J470" s="97">
        <v>25704</v>
      </c>
      <c r="K470" s="367">
        <f t="shared" si="102"/>
        <v>18360</v>
      </c>
      <c r="L470" s="10">
        <v>0.45</v>
      </c>
      <c r="M470" s="97">
        <v>7.1999999999999993</v>
      </c>
      <c r="N470" s="605">
        <v>30</v>
      </c>
      <c r="O470" s="97">
        <v>10</v>
      </c>
      <c r="P470" s="97" t="s">
        <v>514</v>
      </c>
      <c r="Q470" s="97" t="str">
        <f t="shared" si="98"/>
        <v/>
      </c>
      <c r="R470" t="str">
        <f t="shared" si="99"/>
        <v/>
      </c>
      <c r="CB470" s="10"/>
      <c r="CI470" s="69"/>
    </row>
    <row r="471" spans="3:87">
      <c r="C471" t="str">
        <f t="shared" si="100"/>
        <v/>
      </c>
      <c r="D471">
        <v>462</v>
      </c>
      <c r="E471" s="97">
        <v>140</v>
      </c>
      <c r="F471" s="366">
        <f t="shared" si="96"/>
        <v>3038</v>
      </c>
      <c r="G471" s="97">
        <v>7885</v>
      </c>
      <c r="H471" s="367">
        <f t="shared" si="97"/>
        <v>10923</v>
      </c>
      <c r="I471" s="368">
        <f t="shared" si="101"/>
        <v>0</v>
      </c>
      <c r="J471" s="97">
        <v>29744</v>
      </c>
      <c r="K471" s="367">
        <f t="shared" si="102"/>
        <v>21245.714285714286</v>
      </c>
      <c r="L471" s="10">
        <v>0.65</v>
      </c>
      <c r="M471" s="97">
        <v>7.1999999999999993</v>
      </c>
      <c r="N471" s="605">
        <v>28</v>
      </c>
      <c r="O471" s="97">
        <v>10</v>
      </c>
      <c r="P471" s="97" t="s">
        <v>555</v>
      </c>
      <c r="Q471" s="97" t="str">
        <f t="shared" si="98"/>
        <v/>
      </c>
      <c r="R471" t="str">
        <f t="shared" si="99"/>
        <v/>
      </c>
      <c r="CB471" s="10"/>
      <c r="CI471" s="69"/>
    </row>
    <row r="472" spans="3:87">
      <c r="C472" t="str">
        <f t="shared" si="100"/>
        <v/>
      </c>
      <c r="D472">
        <v>463</v>
      </c>
      <c r="E472" s="97">
        <v>145</v>
      </c>
      <c r="F472" s="366">
        <f t="shared" si="96"/>
        <v>3146.5</v>
      </c>
      <c r="G472" s="97">
        <v>4497</v>
      </c>
      <c r="H472" s="367">
        <f t="shared" si="97"/>
        <v>7643.5</v>
      </c>
      <c r="I472" s="368">
        <f t="shared" si="101"/>
        <v>0</v>
      </c>
      <c r="J472" s="97">
        <v>16964</v>
      </c>
      <c r="K472" s="367">
        <f t="shared" si="102"/>
        <v>12117.142857142857</v>
      </c>
      <c r="L472" s="10">
        <v>0.77</v>
      </c>
      <c r="M472" s="97">
        <v>3.1</v>
      </c>
      <c r="N472" s="605">
        <v>28</v>
      </c>
      <c r="O472" s="97">
        <v>4</v>
      </c>
      <c r="P472" s="97" t="s">
        <v>515</v>
      </c>
      <c r="Q472" s="97" t="str">
        <f t="shared" si="98"/>
        <v/>
      </c>
      <c r="R472" t="str">
        <f t="shared" si="99"/>
        <v/>
      </c>
      <c r="CB472" s="10"/>
      <c r="CI472" s="69"/>
    </row>
    <row r="473" spans="3:87">
      <c r="C473" t="str">
        <f t="shared" si="100"/>
        <v>NL</v>
      </c>
      <c r="D473">
        <v>464</v>
      </c>
      <c r="E473" s="97">
        <v>145</v>
      </c>
      <c r="F473" s="366">
        <f t="shared" si="96"/>
        <v>3146.5</v>
      </c>
      <c r="G473" s="97">
        <v>4737</v>
      </c>
      <c r="H473" s="367">
        <f t="shared" si="97"/>
        <v>7883.5</v>
      </c>
      <c r="I473" s="368">
        <f t="shared" si="101"/>
        <v>0</v>
      </c>
      <c r="J473" s="97">
        <v>17870</v>
      </c>
      <c r="K473" s="367">
        <f t="shared" si="102"/>
        <v>12764.285714285714</v>
      </c>
      <c r="L473" s="10">
        <v>0.51</v>
      </c>
      <c r="M473" s="97">
        <v>3.8000000000000003</v>
      </c>
      <c r="N473" s="605">
        <v>27</v>
      </c>
      <c r="O473" s="97">
        <v>5</v>
      </c>
      <c r="P473" s="97" t="s">
        <v>515</v>
      </c>
      <c r="Q473" s="97" t="str">
        <f t="shared" si="98"/>
        <v/>
      </c>
      <c r="R473" t="str">
        <f t="shared" si="99"/>
        <v/>
      </c>
      <c r="CB473" s="10"/>
      <c r="CI473" s="69"/>
    </row>
    <row r="474" spans="3:87">
      <c r="C474" t="str">
        <f t="shared" si="100"/>
        <v>NL</v>
      </c>
      <c r="D474">
        <v>465</v>
      </c>
      <c r="E474" s="97">
        <v>145</v>
      </c>
      <c r="F474" s="366">
        <f t="shared" si="96"/>
        <v>3146.5</v>
      </c>
      <c r="G474" s="97">
        <v>5376</v>
      </c>
      <c r="H474" s="367">
        <f t="shared" si="97"/>
        <v>8522.5</v>
      </c>
      <c r="I474" s="368">
        <f t="shared" si="101"/>
        <v>0</v>
      </c>
      <c r="J474" s="97">
        <v>20281</v>
      </c>
      <c r="K474" s="367">
        <f t="shared" si="102"/>
        <v>14486.428571428572</v>
      </c>
      <c r="L474" s="10">
        <v>0.84</v>
      </c>
      <c r="M474" s="97">
        <v>3.8000000000000003</v>
      </c>
      <c r="N474" s="605">
        <v>29</v>
      </c>
      <c r="O474" s="97">
        <v>5</v>
      </c>
      <c r="P474" s="97" t="s">
        <v>556</v>
      </c>
      <c r="Q474" s="97" t="str">
        <f t="shared" si="98"/>
        <v/>
      </c>
      <c r="R474" t="str">
        <f t="shared" si="99"/>
        <v/>
      </c>
      <c r="CB474" s="10"/>
      <c r="CI474" s="69"/>
    </row>
    <row r="475" spans="3:87">
      <c r="C475" t="str">
        <f t="shared" si="100"/>
        <v/>
      </c>
      <c r="D475">
        <v>466</v>
      </c>
      <c r="E475" s="97">
        <v>145</v>
      </c>
      <c r="F475" s="366">
        <f t="shared" si="96"/>
        <v>3146.5</v>
      </c>
      <c r="G475" s="97">
        <v>4995</v>
      </c>
      <c r="H475" s="367">
        <f t="shared" si="97"/>
        <v>8141.5</v>
      </c>
      <c r="I475" s="368">
        <f t="shared" si="101"/>
        <v>0</v>
      </c>
      <c r="J475" s="97">
        <v>18843</v>
      </c>
      <c r="K475" s="367">
        <f t="shared" si="102"/>
        <v>13459.285714285714</v>
      </c>
      <c r="L475" s="10">
        <v>0.35000000000000003</v>
      </c>
      <c r="M475" s="97">
        <v>4.3999999999999995</v>
      </c>
      <c r="N475" s="605">
        <v>25</v>
      </c>
      <c r="O475" s="97">
        <v>6</v>
      </c>
      <c r="P475" s="97" t="s">
        <v>515</v>
      </c>
      <c r="Q475" s="97">
        <f t="shared" si="98"/>
        <v>466</v>
      </c>
      <c r="R475" t="str">
        <f t="shared" si="99"/>
        <v/>
      </c>
      <c r="CB475" s="10"/>
      <c r="CI475" s="69"/>
    </row>
    <row r="476" spans="3:87">
      <c r="C476" t="str">
        <f t="shared" si="100"/>
        <v/>
      </c>
      <c r="D476">
        <v>467</v>
      </c>
      <c r="E476" s="97">
        <v>145</v>
      </c>
      <c r="F476" s="366">
        <f t="shared" si="96"/>
        <v>3146.5</v>
      </c>
      <c r="G476" s="97">
        <v>5614</v>
      </c>
      <c r="H476" s="367">
        <f t="shared" si="97"/>
        <v>8760.5</v>
      </c>
      <c r="I476" s="368">
        <f t="shared" si="101"/>
        <v>0</v>
      </c>
      <c r="J476" s="97">
        <v>21179</v>
      </c>
      <c r="K476" s="367">
        <f t="shared" si="102"/>
        <v>15127.857142857143</v>
      </c>
      <c r="L476" s="10">
        <v>0.59</v>
      </c>
      <c r="M476" s="97">
        <v>4.3999999999999995</v>
      </c>
      <c r="N476" s="605">
        <v>28</v>
      </c>
      <c r="O476" s="97">
        <v>6</v>
      </c>
      <c r="P476" s="97" t="s">
        <v>556</v>
      </c>
      <c r="Q476" s="97">
        <f t="shared" si="98"/>
        <v>467</v>
      </c>
      <c r="R476" t="str">
        <f t="shared" si="99"/>
        <v/>
      </c>
      <c r="CB476" s="10"/>
      <c r="CI476" s="69"/>
    </row>
    <row r="477" spans="3:87">
      <c r="C477" t="str">
        <f t="shared" si="100"/>
        <v>NL</v>
      </c>
      <c r="D477">
        <v>468</v>
      </c>
      <c r="E477" s="97">
        <v>145</v>
      </c>
      <c r="F477" s="366">
        <f t="shared" si="96"/>
        <v>3146.5</v>
      </c>
      <c r="G477" s="97">
        <v>4803</v>
      </c>
      <c r="H477" s="367">
        <f t="shared" si="97"/>
        <v>7949.5</v>
      </c>
      <c r="I477" s="368">
        <f t="shared" si="101"/>
        <v>0</v>
      </c>
      <c r="J477" s="97">
        <v>18121</v>
      </c>
      <c r="K477" s="367">
        <f t="shared" si="102"/>
        <v>12943.571428571429</v>
      </c>
      <c r="L477" s="10">
        <v>0.26</v>
      </c>
      <c r="M477" s="97">
        <v>5.0999999999999996</v>
      </c>
      <c r="N477" s="605">
        <v>24</v>
      </c>
      <c r="O477" s="97">
        <v>7</v>
      </c>
      <c r="P477" s="97" t="s">
        <v>515</v>
      </c>
      <c r="Q477" s="97" t="str">
        <f t="shared" si="98"/>
        <v/>
      </c>
      <c r="R477" t="str">
        <f t="shared" si="99"/>
        <v/>
      </c>
      <c r="CB477" s="10"/>
      <c r="CI477" s="69"/>
    </row>
    <row r="478" spans="3:87">
      <c r="C478" t="str">
        <f t="shared" si="100"/>
        <v>NL</v>
      </c>
      <c r="D478">
        <v>469</v>
      </c>
      <c r="E478" s="97">
        <v>145</v>
      </c>
      <c r="F478" s="366">
        <f t="shared" si="96"/>
        <v>3146.5</v>
      </c>
      <c r="G478" s="97">
        <v>5986</v>
      </c>
      <c r="H478" s="367">
        <f t="shared" si="97"/>
        <v>9132.5</v>
      </c>
      <c r="I478" s="368">
        <f t="shared" si="101"/>
        <v>0</v>
      </c>
      <c r="J478" s="97">
        <v>22582</v>
      </c>
      <c r="K478" s="367">
        <f t="shared" si="102"/>
        <v>16130</v>
      </c>
      <c r="L478" s="10">
        <v>0.44</v>
      </c>
      <c r="M478" s="97">
        <v>5.0999999999999996</v>
      </c>
      <c r="N478" s="605">
        <v>27</v>
      </c>
      <c r="O478" s="97">
        <v>7</v>
      </c>
      <c r="P478" s="97" t="s">
        <v>556</v>
      </c>
      <c r="Q478" s="97" t="str">
        <f t="shared" si="98"/>
        <v/>
      </c>
      <c r="R478" t="str">
        <f t="shared" si="99"/>
        <v/>
      </c>
      <c r="CB478" s="10"/>
      <c r="CI478" s="69"/>
    </row>
    <row r="479" spans="3:87">
      <c r="C479" t="str">
        <f t="shared" si="100"/>
        <v>NL</v>
      </c>
      <c r="D479">
        <v>470</v>
      </c>
      <c r="E479" s="97">
        <v>145</v>
      </c>
      <c r="F479" s="366">
        <f t="shared" si="96"/>
        <v>3146.5</v>
      </c>
      <c r="G479" s="97">
        <v>6807</v>
      </c>
      <c r="H479" s="367">
        <f t="shared" si="97"/>
        <v>9953.5</v>
      </c>
      <c r="I479" s="368">
        <f t="shared" si="101"/>
        <v>0</v>
      </c>
      <c r="J479" s="97">
        <v>25681</v>
      </c>
      <c r="K479" s="367">
        <f t="shared" si="102"/>
        <v>18343.571428571428</v>
      </c>
      <c r="L479" s="10">
        <v>0.9</v>
      </c>
      <c r="M479" s="97">
        <v>5.0999999999999996</v>
      </c>
      <c r="N479" s="605">
        <v>32</v>
      </c>
      <c r="O479" s="97">
        <v>7</v>
      </c>
      <c r="P479" s="97" t="s">
        <v>514</v>
      </c>
      <c r="Q479" s="97" t="str">
        <f t="shared" si="98"/>
        <v/>
      </c>
      <c r="R479" t="str">
        <f t="shared" si="99"/>
        <v/>
      </c>
      <c r="CB479" s="10"/>
      <c r="CI479" s="69"/>
    </row>
    <row r="480" spans="3:87">
      <c r="C480" t="str">
        <f t="shared" si="100"/>
        <v/>
      </c>
      <c r="D480">
        <v>471</v>
      </c>
      <c r="E480" s="97">
        <v>145</v>
      </c>
      <c r="F480" s="366">
        <f t="shared" si="96"/>
        <v>3146.5</v>
      </c>
      <c r="G480" s="97">
        <v>4536</v>
      </c>
      <c r="H480" s="367">
        <f t="shared" si="97"/>
        <v>7682.5</v>
      </c>
      <c r="I480" s="368">
        <f t="shared" si="101"/>
        <v>0</v>
      </c>
      <c r="J480" s="97">
        <v>17114</v>
      </c>
      <c r="K480" s="367">
        <f t="shared" si="102"/>
        <v>12224.285714285714</v>
      </c>
      <c r="L480" s="10">
        <v>0.21000000000000002</v>
      </c>
      <c r="M480" s="97">
        <v>5.8</v>
      </c>
      <c r="N480" s="605">
        <v>24</v>
      </c>
      <c r="O480" s="97">
        <v>8</v>
      </c>
      <c r="P480" s="97" t="s">
        <v>515</v>
      </c>
      <c r="Q480" s="97">
        <f t="shared" si="98"/>
        <v>471</v>
      </c>
      <c r="R480" t="str">
        <f t="shared" si="99"/>
        <v/>
      </c>
      <c r="CB480" s="10"/>
      <c r="CI480" s="69"/>
    </row>
    <row r="481" spans="3:87">
      <c r="C481" t="str">
        <f t="shared" si="100"/>
        <v/>
      </c>
      <c r="D481">
        <v>472</v>
      </c>
      <c r="E481" s="97">
        <v>145</v>
      </c>
      <c r="F481" s="366">
        <f t="shared" si="96"/>
        <v>3146.5</v>
      </c>
      <c r="G481" s="97">
        <v>6005</v>
      </c>
      <c r="H481" s="367">
        <f t="shared" si="97"/>
        <v>9151.5</v>
      </c>
      <c r="I481" s="368">
        <f t="shared" si="101"/>
        <v>0</v>
      </c>
      <c r="J481" s="97">
        <v>22655</v>
      </c>
      <c r="K481" s="367">
        <f t="shared" si="102"/>
        <v>16182.142857142857</v>
      </c>
      <c r="L481" s="10">
        <v>0.34</v>
      </c>
      <c r="M481" s="97">
        <v>5.8</v>
      </c>
      <c r="N481" s="605">
        <v>26</v>
      </c>
      <c r="O481" s="97">
        <v>8</v>
      </c>
      <c r="P481" s="97" t="s">
        <v>556</v>
      </c>
      <c r="Q481" s="97">
        <f t="shared" si="98"/>
        <v>472</v>
      </c>
      <c r="R481" t="str">
        <f t="shared" si="99"/>
        <v/>
      </c>
      <c r="CB481" s="10"/>
      <c r="CI481" s="69"/>
    </row>
    <row r="482" spans="3:87">
      <c r="C482" t="str">
        <f t="shared" si="100"/>
        <v/>
      </c>
      <c r="D482">
        <v>473</v>
      </c>
      <c r="E482" s="97">
        <v>145</v>
      </c>
      <c r="F482" s="366">
        <f t="shared" si="96"/>
        <v>3146.5</v>
      </c>
      <c r="G482" s="97">
        <v>7018</v>
      </c>
      <c r="H482" s="367">
        <f t="shared" si="97"/>
        <v>10164.5</v>
      </c>
      <c r="I482" s="368">
        <f t="shared" si="101"/>
        <v>0</v>
      </c>
      <c r="J482" s="97">
        <v>26474</v>
      </c>
      <c r="K482" s="367">
        <f t="shared" si="102"/>
        <v>18910</v>
      </c>
      <c r="L482" s="10">
        <v>0.72</v>
      </c>
      <c r="M482" s="97">
        <v>5.8</v>
      </c>
      <c r="N482" s="605">
        <v>31</v>
      </c>
      <c r="O482" s="97">
        <v>8</v>
      </c>
      <c r="P482" s="97" t="s">
        <v>514</v>
      </c>
      <c r="Q482" s="97" t="str">
        <f t="shared" si="98"/>
        <v/>
      </c>
      <c r="R482" t="str">
        <f t="shared" si="99"/>
        <v/>
      </c>
      <c r="CB482" s="10"/>
      <c r="CI482" s="69"/>
    </row>
    <row r="483" spans="3:87">
      <c r="C483" t="str">
        <f t="shared" si="100"/>
        <v/>
      </c>
      <c r="D483">
        <v>474</v>
      </c>
      <c r="E483" s="97">
        <v>145</v>
      </c>
      <c r="F483" s="366">
        <f t="shared" si="96"/>
        <v>3146.5</v>
      </c>
      <c r="G483" s="97">
        <v>5386</v>
      </c>
      <c r="H483" s="367">
        <f t="shared" si="97"/>
        <v>8532.5</v>
      </c>
      <c r="I483" s="368">
        <f t="shared" si="101"/>
        <v>0</v>
      </c>
      <c r="J483" s="97">
        <v>20319</v>
      </c>
      <c r="K483" s="367">
        <f t="shared" si="102"/>
        <v>14513.571428571429</v>
      </c>
      <c r="L483" s="10">
        <v>0.24000000000000002</v>
      </c>
      <c r="M483" s="97">
        <v>7.1999999999999993</v>
      </c>
      <c r="N483" s="605">
        <v>25</v>
      </c>
      <c r="O483" s="97">
        <v>10</v>
      </c>
      <c r="P483" s="97" t="s">
        <v>556</v>
      </c>
      <c r="Q483" s="97" t="str">
        <f t="shared" si="98"/>
        <v/>
      </c>
      <c r="R483" t="str">
        <f t="shared" si="99"/>
        <v/>
      </c>
      <c r="CB483" s="10"/>
      <c r="CI483" s="69"/>
    </row>
    <row r="484" spans="3:87">
      <c r="C484" t="str">
        <f t="shared" si="100"/>
        <v/>
      </c>
      <c r="D484">
        <v>475</v>
      </c>
      <c r="E484" s="97">
        <v>145</v>
      </c>
      <c r="F484" s="366">
        <f t="shared" si="96"/>
        <v>3146.5</v>
      </c>
      <c r="G484" s="97">
        <v>7113</v>
      </c>
      <c r="H484" s="367">
        <f t="shared" si="97"/>
        <v>10259.5</v>
      </c>
      <c r="I484" s="368">
        <f t="shared" si="101"/>
        <v>0</v>
      </c>
      <c r="J484" s="97">
        <v>26832</v>
      </c>
      <c r="K484" s="367">
        <f t="shared" si="102"/>
        <v>19165.714285714286</v>
      </c>
      <c r="L484" s="10">
        <v>0.48</v>
      </c>
      <c r="M484" s="97">
        <v>7.1999999999999993</v>
      </c>
      <c r="N484" s="605">
        <v>30</v>
      </c>
      <c r="O484" s="97">
        <v>10</v>
      </c>
      <c r="P484" s="97" t="s">
        <v>514</v>
      </c>
      <c r="Q484" s="97" t="str">
        <f t="shared" si="98"/>
        <v/>
      </c>
      <c r="R484" t="str">
        <f t="shared" si="99"/>
        <v/>
      </c>
      <c r="CB484" s="10"/>
      <c r="CI484" s="69"/>
    </row>
    <row r="485" spans="3:87">
      <c r="C485" t="str">
        <f t="shared" si="100"/>
        <v/>
      </c>
      <c r="D485">
        <v>476</v>
      </c>
      <c r="E485" s="97">
        <v>145</v>
      </c>
      <c r="F485" s="366">
        <f t="shared" si="96"/>
        <v>3146.5</v>
      </c>
      <c r="G485" s="97">
        <v>8076</v>
      </c>
      <c r="H485" s="367">
        <f t="shared" si="97"/>
        <v>11222.5</v>
      </c>
      <c r="I485" s="368">
        <f t="shared" si="101"/>
        <v>0</v>
      </c>
      <c r="J485" s="97">
        <v>30465</v>
      </c>
      <c r="K485" s="367">
        <f t="shared" si="102"/>
        <v>21760.714285714286</v>
      </c>
      <c r="L485" s="10">
        <v>0.69000000000000006</v>
      </c>
      <c r="M485" s="97">
        <v>7.1999999999999993</v>
      </c>
      <c r="N485" s="605">
        <v>29</v>
      </c>
      <c r="O485" s="97">
        <v>10</v>
      </c>
      <c r="P485" s="97" t="s">
        <v>555</v>
      </c>
      <c r="Q485" s="97" t="str">
        <f t="shared" si="98"/>
        <v/>
      </c>
      <c r="R485" t="str">
        <f t="shared" si="99"/>
        <v/>
      </c>
      <c r="CB485" s="10"/>
      <c r="CI485" s="69"/>
    </row>
    <row r="486" spans="3:87">
      <c r="C486" t="str">
        <f t="shared" si="100"/>
        <v/>
      </c>
      <c r="D486">
        <v>477</v>
      </c>
      <c r="E486" s="97">
        <v>150</v>
      </c>
      <c r="F486" s="366">
        <f t="shared" si="96"/>
        <v>3255</v>
      </c>
      <c r="G486" s="97">
        <v>4582</v>
      </c>
      <c r="H486" s="367">
        <f t="shared" si="97"/>
        <v>7837</v>
      </c>
      <c r="I486" s="368">
        <f t="shared" si="101"/>
        <v>0</v>
      </c>
      <c r="J486" s="97">
        <v>17287</v>
      </c>
      <c r="K486" s="367">
        <f t="shared" si="102"/>
        <v>12347.857142857143</v>
      </c>
      <c r="L486" s="10">
        <v>0.82000000000000006</v>
      </c>
      <c r="M486" s="97">
        <v>3.1</v>
      </c>
      <c r="N486" s="605">
        <v>29</v>
      </c>
      <c r="O486" s="97">
        <v>4</v>
      </c>
      <c r="P486" s="97" t="s">
        <v>515</v>
      </c>
      <c r="Q486" s="97" t="str">
        <f t="shared" si="98"/>
        <v/>
      </c>
      <c r="R486" t="str">
        <f t="shared" si="99"/>
        <v/>
      </c>
      <c r="CB486" s="10"/>
      <c r="CI486" s="69"/>
    </row>
    <row r="487" spans="3:87">
      <c r="C487" t="str">
        <f t="shared" si="100"/>
        <v>NL</v>
      </c>
      <c r="D487">
        <v>478</v>
      </c>
      <c r="E487" s="97">
        <v>150</v>
      </c>
      <c r="F487" s="366">
        <f t="shared" si="96"/>
        <v>3255</v>
      </c>
      <c r="G487" s="97">
        <v>4856</v>
      </c>
      <c r="H487" s="367">
        <f t="shared" si="97"/>
        <v>8111</v>
      </c>
      <c r="I487" s="368">
        <f t="shared" si="101"/>
        <v>0</v>
      </c>
      <c r="J487" s="97">
        <v>18318</v>
      </c>
      <c r="K487" s="367">
        <f t="shared" si="102"/>
        <v>13084.285714285714</v>
      </c>
      <c r="L487" s="10">
        <v>0.55000000000000004</v>
      </c>
      <c r="M487" s="97">
        <v>3.8000000000000003</v>
      </c>
      <c r="N487" s="605">
        <v>28</v>
      </c>
      <c r="O487" s="97">
        <v>5</v>
      </c>
      <c r="P487" s="97" t="s">
        <v>515</v>
      </c>
      <c r="Q487" s="97" t="str">
        <f t="shared" si="98"/>
        <v/>
      </c>
      <c r="R487" t="str">
        <f t="shared" si="99"/>
        <v/>
      </c>
      <c r="CB487" s="10"/>
      <c r="CI487" s="69"/>
    </row>
    <row r="488" spans="3:87">
      <c r="C488" t="str">
        <f t="shared" si="100"/>
        <v>NL</v>
      </c>
      <c r="D488">
        <v>479</v>
      </c>
      <c r="E488" s="97">
        <v>150</v>
      </c>
      <c r="F488" s="366">
        <f t="shared" si="96"/>
        <v>3255</v>
      </c>
      <c r="G488" s="97">
        <v>5492</v>
      </c>
      <c r="H488" s="367">
        <f t="shared" si="97"/>
        <v>8747</v>
      </c>
      <c r="I488" s="368">
        <f t="shared" si="101"/>
        <v>0</v>
      </c>
      <c r="J488" s="97">
        <v>20718</v>
      </c>
      <c r="K488" s="367">
        <f t="shared" si="102"/>
        <v>14798.571428571429</v>
      </c>
      <c r="L488" s="10">
        <v>0.9</v>
      </c>
      <c r="M488" s="97">
        <v>3.8000000000000003</v>
      </c>
      <c r="N488" s="605">
        <v>30</v>
      </c>
      <c r="O488" s="97">
        <v>5</v>
      </c>
      <c r="P488" s="97" t="s">
        <v>556</v>
      </c>
      <c r="Q488" s="97" t="str">
        <f t="shared" si="98"/>
        <v/>
      </c>
      <c r="R488" t="str">
        <f t="shared" si="99"/>
        <v/>
      </c>
      <c r="CB488" s="10"/>
      <c r="CI488" s="69"/>
    </row>
    <row r="489" spans="3:87">
      <c r="C489" t="str">
        <f t="shared" si="100"/>
        <v/>
      </c>
      <c r="D489">
        <v>480</v>
      </c>
      <c r="E489" s="97">
        <v>150</v>
      </c>
      <c r="F489" s="366">
        <f t="shared" si="96"/>
        <v>3255</v>
      </c>
      <c r="G489" s="97">
        <v>5106</v>
      </c>
      <c r="H489" s="367">
        <f t="shared" si="97"/>
        <v>8361</v>
      </c>
      <c r="I489" s="368">
        <f t="shared" si="101"/>
        <v>0</v>
      </c>
      <c r="J489" s="97">
        <v>19263</v>
      </c>
      <c r="K489" s="367">
        <f t="shared" si="102"/>
        <v>13759.285714285714</v>
      </c>
      <c r="L489" s="10">
        <v>0.38</v>
      </c>
      <c r="M489" s="97">
        <v>4.3999999999999995</v>
      </c>
      <c r="N489" s="605">
        <v>26</v>
      </c>
      <c r="O489" s="97">
        <v>6</v>
      </c>
      <c r="P489" s="97" t="s">
        <v>515</v>
      </c>
      <c r="Q489" s="97">
        <f t="shared" si="98"/>
        <v>480</v>
      </c>
      <c r="R489" t="str">
        <f t="shared" si="99"/>
        <v/>
      </c>
      <c r="CB489" s="10"/>
      <c r="CI489" s="69"/>
    </row>
    <row r="490" spans="3:87">
      <c r="C490" t="str">
        <f t="shared" si="100"/>
        <v/>
      </c>
      <c r="D490">
        <v>481</v>
      </c>
      <c r="E490" s="97">
        <v>150</v>
      </c>
      <c r="F490" s="366">
        <f t="shared" si="96"/>
        <v>3255</v>
      </c>
      <c r="G490" s="97">
        <v>5744</v>
      </c>
      <c r="H490" s="367">
        <f t="shared" si="97"/>
        <v>8999</v>
      </c>
      <c r="I490" s="368">
        <f t="shared" si="101"/>
        <v>0</v>
      </c>
      <c r="J490" s="97">
        <v>21669</v>
      </c>
      <c r="K490" s="367">
        <f t="shared" si="102"/>
        <v>15477.857142857143</v>
      </c>
      <c r="L490" s="10">
        <v>0.63</v>
      </c>
      <c r="M490" s="97">
        <v>4.3999999999999995</v>
      </c>
      <c r="N490" s="605">
        <v>28</v>
      </c>
      <c r="O490" s="97">
        <v>6</v>
      </c>
      <c r="P490" s="97" t="s">
        <v>556</v>
      </c>
      <c r="Q490" s="97">
        <f t="shared" si="98"/>
        <v>481</v>
      </c>
      <c r="R490" t="str">
        <f t="shared" si="99"/>
        <v/>
      </c>
      <c r="CB490" s="10"/>
      <c r="CI490" s="69"/>
    </row>
    <row r="491" spans="3:87">
      <c r="C491" t="str">
        <f t="shared" si="100"/>
        <v>NL</v>
      </c>
      <c r="D491">
        <v>482</v>
      </c>
      <c r="E491" s="97">
        <v>150</v>
      </c>
      <c r="F491" s="366">
        <f t="shared" si="96"/>
        <v>3255</v>
      </c>
      <c r="G491" s="97">
        <v>5016</v>
      </c>
      <c r="H491" s="367">
        <f t="shared" si="97"/>
        <v>8271</v>
      </c>
      <c r="I491" s="368">
        <f t="shared" si="101"/>
        <v>0</v>
      </c>
      <c r="J491" s="97">
        <v>18923</v>
      </c>
      <c r="K491" s="367">
        <f t="shared" si="102"/>
        <v>13516.428571428572</v>
      </c>
      <c r="L491" s="10">
        <v>0.28000000000000003</v>
      </c>
      <c r="M491" s="97">
        <v>5.0999999999999996</v>
      </c>
      <c r="N491" s="605">
        <v>25</v>
      </c>
      <c r="O491" s="97">
        <v>7</v>
      </c>
      <c r="P491" s="97" t="s">
        <v>515</v>
      </c>
      <c r="Q491" s="97" t="str">
        <f t="shared" si="98"/>
        <v/>
      </c>
      <c r="R491" t="str">
        <f t="shared" si="99"/>
        <v/>
      </c>
      <c r="CB491" s="10"/>
      <c r="CI491" s="69"/>
    </row>
    <row r="492" spans="3:87">
      <c r="C492" t="str">
        <f t="shared" si="100"/>
        <v>NL</v>
      </c>
      <c r="D492">
        <v>483</v>
      </c>
      <c r="E492" s="97">
        <v>150</v>
      </c>
      <c r="F492" s="366">
        <f t="shared" si="96"/>
        <v>3255</v>
      </c>
      <c r="G492" s="97">
        <v>6120</v>
      </c>
      <c r="H492" s="367">
        <f t="shared" si="97"/>
        <v>9375</v>
      </c>
      <c r="I492" s="368">
        <f t="shared" si="101"/>
        <v>0</v>
      </c>
      <c r="J492" s="97">
        <v>23088</v>
      </c>
      <c r="K492" s="367">
        <f t="shared" si="102"/>
        <v>16491.428571428572</v>
      </c>
      <c r="L492" s="10">
        <v>0.47000000000000003</v>
      </c>
      <c r="M492" s="97">
        <v>5.0999999999999996</v>
      </c>
      <c r="N492" s="605">
        <v>27</v>
      </c>
      <c r="O492" s="97">
        <v>7</v>
      </c>
      <c r="P492" s="97" t="s">
        <v>556</v>
      </c>
      <c r="Q492" s="97" t="str">
        <f t="shared" si="98"/>
        <v/>
      </c>
      <c r="R492" t="str">
        <f t="shared" si="99"/>
        <v/>
      </c>
      <c r="CB492" s="10"/>
      <c r="CI492" s="69"/>
    </row>
    <row r="493" spans="3:87">
      <c r="C493" t="str">
        <f t="shared" si="100"/>
        <v>NL</v>
      </c>
      <c r="D493">
        <v>484</v>
      </c>
      <c r="E493" s="97">
        <v>150</v>
      </c>
      <c r="F493" s="366">
        <f t="shared" si="96"/>
        <v>3255</v>
      </c>
      <c r="G493" s="97">
        <v>6963</v>
      </c>
      <c r="H493" s="367">
        <f t="shared" si="97"/>
        <v>10218</v>
      </c>
      <c r="I493" s="368">
        <f t="shared" si="101"/>
        <v>0</v>
      </c>
      <c r="J493" s="97">
        <v>26266</v>
      </c>
      <c r="K493" s="367">
        <f t="shared" si="102"/>
        <v>18761.428571428572</v>
      </c>
      <c r="L493" s="10">
        <v>0.97</v>
      </c>
      <c r="M493" s="97">
        <v>5.0999999999999996</v>
      </c>
      <c r="N493" s="605">
        <v>32</v>
      </c>
      <c r="O493" s="97">
        <v>7</v>
      </c>
      <c r="P493" s="97" t="s">
        <v>514</v>
      </c>
      <c r="Q493" s="97" t="str">
        <f t="shared" si="98"/>
        <v/>
      </c>
      <c r="R493" t="str">
        <f t="shared" si="99"/>
        <v/>
      </c>
      <c r="CB493" s="10"/>
      <c r="CI493" s="69"/>
    </row>
    <row r="494" spans="3:87">
      <c r="C494" t="str">
        <f t="shared" si="100"/>
        <v/>
      </c>
      <c r="D494">
        <v>485</v>
      </c>
      <c r="E494" s="97">
        <v>150</v>
      </c>
      <c r="F494" s="366">
        <f t="shared" si="96"/>
        <v>3255</v>
      </c>
      <c r="G494" s="97">
        <v>4728</v>
      </c>
      <c r="H494" s="367">
        <f t="shared" si="97"/>
        <v>7983</v>
      </c>
      <c r="I494" s="368">
        <f t="shared" si="101"/>
        <v>0</v>
      </c>
      <c r="J494" s="97">
        <v>17836</v>
      </c>
      <c r="K494" s="367">
        <f t="shared" si="102"/>
        <v>12740</v>
      </c>
      <c r="L494" s="10">
        <v>0.22</v>
      </c>
      <c r="M494" s="97">
        <v>5.8</v>
      </c>
      <c r="N494" s="605">
        <v>24</v>
      </c>
      <c r="O494" s="97">
        <v>8</v>
      </c>
      <c r="P494" s="97" t="s">
        <v>515</v>
      </c>
      <c r="Q494" s="97">
        <f t="shared" si="98"/>
        <v>485</v>
      </c>
      <c r="R494" t="str">
        <f t="shared" si="99"/>
        <v/>
      </c>
      <c r="CB494" s="10"/>
      <c r="CI494" s="69"/>
    </row>
    <row r="495" spans="3:87">
      <c r="C495" t="str">
        <f t="shared" si="100"/>
        <v/>
      </c>
      <c r="D495">
        <v>486</v>
      </c>
      <c r="E495" s="97">
        <v>150</v>
      </c>
      <c r="F495" s="366">
        <f t="shared" si="96"/>
        <v>3255</v>
      </c>
      <c r="G495" s="97">
        <v>6185</v>
      </c>
      <c r="H495" s="367">
        <f t="shared" si="97"/>
        <v>9440</v>
      </c>
      <c r="I495" s="368">
        <f t="shared" si="101"/>
        <v>0</v>
      </c>
      <c r="J495" s="97">
        <v>23334</v>
      </c>
      <c r="K495" s="367">
        <f t="shared" si="102"/>
        <v>16667.142857142859</v>
      </c>
      <c r="L495" s="10">
        <v>0.36</v>
      </c>
      <c r="M495" s="97">
        <v>5.8</v>
      </c>
      <c r="N495" s="605">
        <v>26</v>
      </c>
      <c r="O495" s="97">
        <v>8</v>
      </c>
      <c r="P495" s="97" t="s">
        <v>556</v>
      </c>
      <c r="Q495" s="97">
        <f t="shared" si="98"/>
        <v>486</v>
      </c>
      <c r="R495" t="str">
        <f t="shared" si="99"/>
        <v/>
      </c>
      <c r="CB495" s="10"/>
      <c r="CI495" s="69"/>
    </row>
    <row r="496" spans="3:87">
      <c r="C496" t="str">
        <f t="shared" si="100"/>
        <v/>
      </c>
      <c r="D496">
        <v>487</v>
      </c>
      <c r="E496" s="97">
        <v>150</v>
      </c>
      <c r="F496" s="366">
        <f t="shared" si="96"/>
        <v>3255</v>
      </c>
      <c r="G496" s="97">
        <v>7188</v>
      </c>
      <c r="H496" s="367">
        <f t="shared" si="97"/>
        <v>10443</v>
      </c>
      <c r="I496" s="368">
        <f t="shared" si="101"/>
        <v>0</v>
      </c>
      <c r="J496" s="97">
        <v>27115</v>
      </c>
      <c r="K496" s="367">
        <f t="shared" si="102"/>
        <v>19367.857142857145</v>
      </c>
      <c r="L496" s="10">
        <v>0.77</v>
      </c>
      <c r="M496" s="97">
        <v>5.8</v>
      </c>
      <c r="N496" s="605">
        <v>32</v>
      </c>
      <c r="O496" s="97">
        <v>8</v>
      </c>
      <c r="P496" s="97" t="s">
        <v>514</v>
      </c>
      <c r="Q496" s="97" t="str">
        <f t="shared" si="98"/>
        <v/>
      </c>
      <c r="R496" t="str">
        <f t="shared" si="99"/>
        <v/>
      </c>
      <c r="CB496" s="10"/>
      <c r="CI496" s="69"/>
    </row>
    <row r="497" spans="3:87">
      <c r="C497" t="str">
        <f t="shared" si="100"/>
        <v>NL</v>
      </c>
      <c r="D497">
        <v>488</v>
      </c>
      <c r="E497" s="97">
        <v>150</v>
      </c>
      <c r="F497" s="366">
        <f t="shared" si="96"/>
        <v>3255</v>
      </c>
      <c r="G497" s="97">
        <v>4592</v>
      </c>
      <c r="H497" s="367">
        <f t="shared" si="97"/>
        <v>7847</v>
      </c>
      <c r="I497" s="368">
        <f t="shared" si="101"/>
        <v>0</v>
      </c>
      <c r="J497" s="97">
        <v>17322</v>
      </c>
      <c r="K497" s="367">
        <f t="shared" si="102"/>
        <v>12372.857142857143</v>
      </c>
      <c r="L497" s="10">
        <v>0.19</v>
      </c>
      <c r="M497" s="97">
        <v>6.5</v>
      </c>
      <c r="N497" s="605">
        <v>24</v>
      </c>
      <c r="O497" s="97">
        <v>9</v>
      </c>
      <c r="P497" s="97" t="s">
        <v>515</v>
      </c>
      <c r="Q497" s="97" t="str">
        <f t="shared" si="98"/>
        <v/>
      </c>
      <c r="R497" t="str">
        <f t="shared" si="99"/>
        <v/>
      </c>
      <c r="CB497" s="10"/>
      <c r="CI497" s="69"/>
    </row>
    <row r="498" spans="3:87">
      <c r="C498" t="str">
        <f t="shared" si="100"/>
        <v/>
      </c>
      <c r="D498">
        <v>489</v>
      </c>
      <c r="E498" s="97">
        <v>150</v>
      </c>
      <c r="F498" s="366">
        <f t="shared" si="96"/>
        <v>3255</v>
      </c>
      <c r="G498" s="97">
        <v>5613</v>
      </c>
      <c r="H498" s="367">
        <f t="shared" si="97"/>
        <v>8868</v>
      </c>
      <c r="I498" s="368">
        <f t="shared" si="101"/>
        <v>0</v>
      </c>
      <c r="J498" s="97">
        <v>21175</v>
      </c>
      <c r="K498" s="367">
        <f t="shared" si="102"/>
        <v>15125</v>
      </c>
      <c r="L498" s="10">
        <v>0.25</v>
      </c>
      <c r="M498" s="97">
        <v>7.1999999999999993</v>
      </c>
      <c r="N498" s="605">
        <v>26</v>
      </c>
      <c r="O498" s="97">
        <v>10</v>
      </c>
      <c r="P498" s="97" t="s">
        <v>556</v>
      </c>
      <c r="Q498" s="97" t="str">
        <f t="shared" si="98"/>
        <v/>
      </c>
      <c r="R498" t="str">
        <f t="shared" si="99"/>
        <v/>
      </c>
      <c r="CB498" s="10"/>
      <c r="CI498" s="69"/>
    </row>
    <row r="499" spans="3:87">
      <c r="C499" t="str">
        <f t="shared" si="100"/>
        <v/>
      </c>
      <c r="D499">
        <v>490</v>
      </c>
      <c r="E499" s="97">
        <v>150</v>
      </c>
      <c r="F499" s="366">
        <f t="shared" si="96"/>
        <v>3255</v>
      </c>
      <c r="G499" s="97">
        <v>7372</v>
      </c>
      <c r="H499" s="367">
        <f t="shared" si="97"/>
        <v>10627</v>
      </c>
      <c r="I499" s="368">
        <f t="shared" si="101"/>
        <v>0</v>
      </c>
      <c r="J499" s="97">
        <v>27811</v>
      </c>
      <c r="K499" s="367">
        <f t="shared" si="102"/>
        <v>19865</v>
      </c>
      <c r="L499" s="10">
        <v>0.51</v>
      </c>
      <c r="M499" s="97">
        <v>7.1999999999999993</v>
      </c>
      <c r="N499" s="605">
        <v>31</v>
      </c>
      <c r="O499" s="97">
        <v>10</v>
      </c>
      <c r="P499" s="97" t="s">
        <v>514</v>
      </c>
      <c r="Q499" s="97" t="str">
        <f t="shared" si="98"/>
        <v/>
      </c>
      <c r="R499" t="str">
        <f t="shared" si="99"/>
        <v/>
      </c>
      <c r="CB499" s="10"/>
      <c r="CI499" s="69"/>
    </row>
    <row r="500" spans="3:87">
      <c r="C500" t="str">
        <f t="shared" si="100"/>
        <v/>
      </c>
      <c r="D500">
        <v>491</v>
      </c>
      <c r="E500" s="97">
        <v>150</v>
      </c>
      <c r="F500" s="366">
        <f t="shared" si="96"/>
        <v>3255</v>
      </c>
      <c r="G500" s="97">
        <v>8267</v>
      </c>
      <c r="H500" s="367">
        <f t="shared" si="97"/>
        <v>11522</v>
      </c>
      <c r="I500" s="368">
        <f t="shared" si="101"/>
        <v>0</v>
      </c>
      <c r="J500" s="97">
        <v>31186</v>
      </c>
      <c r="K500" s="367">
        <f t="shared" si="102"/>
        <v>22275.714285714286</v>
      </c>
      <c r="L500" s="10">
        <v>0.74</v>
      </c>
      <c r="M500" s="97">
        <v>7.1999999999999993</v>
      </c>
      <c r="N500" s="605">
        <v>29</v>
      </c>
      <c r="O500" s="97">
        <v>10</v>
      </c>
      <c r="P500" s="97" t="s">
        <v>555</v>
      </c>
      <c r="Q500" s="97" t="str">
        <f t="shared" si="98"/>
        <v/>
      </c>
      <c r="R500" t="str">
        <f t="shared" si="99"/>
        <v/>
      </c>
      <c r="CB500" s="10"/>
      <c r="CI500" s="69"/>
    </row>
    <row r="501" spans="3:87">
      <c r="C501" t="str">
        <f t="shared" si="100"/>
        <v/>
      </c>
      <c r="D501">
        <v>492</v>
      </c>
      <c r="E501" s="97">
        <v>155</v>
      </c>
      <c r="F501" s="366">
        <f t="shared" si="96"/>
        <v>3363.5</v>
      </c>
      <c r="G501" s="97">
        <v>4666</v>
      </c>
      <c r="H501" s="367">
        <f t="shared" si="97"/>
        <v>8029.5</v>
      </c>
      <c r="I501" s="368">
        <f t="shared" si="101"/>
        <v>0</v>
      </c>
      <c r="J501" s="97">
        <v>17605</v>
      </c>
      <c r="K501" s="367">
        <f t="shared" si="102"/>
        <v>12575</v>
      </c>
      <c r="L501" s="10">
        <v>0.88</v>
      </c>
      <c r="M501" s="97">
        <v>3.1</v>
      </c>
      <c r="N501" s="605">
        <v>29</v>
      </c>
      <c r="O501" s="97">
        <v>4</v>
      </c>
      <c r="P501" s="97" t="s">
        <v>515</v>
      </c>
      <c r="Q501" s="97" t="str">
        <f t="shared" si="98"/>
        <v/>
      </c>
      <c r="R501" t="str">
        <f t="shared" si="99"/>
        <v/>
      </c>
      <c r="CB501" s="10"/>
      <c r="CI501" s="69"/>
    </row>
    <row r="502" spans="3:87">
      <c r="C502" t="str">
        <f t="shared" si="100"/>
        <v>NL</v>
      </c>
      <c r="D502">
        <v>493</v>
      </c>
      <c r="E502" s="97">
        <v>155</v>
      </c>
      <c r="F502" s="366">
        <f t="shared" si="96"/>
        <v>3363.5</v>
      </c>
      <c r="G502" s="97">
        <v>4974</v>
      </c>
      <c r="H502" s="367">
        <f t="shared" si="97"/>
        <v>8337.5</v>
      </c>
      <c r="I502" s="368">
        <f t="shared" si="101"/>
        <v>0</v>
      </c>
      <c r="J502" s="97">
        <v>18766</v>
      </c>
      <c r="K502" s="367">
        <f t="shared" si="102"/>
        <v>13404.285714285714</v>
      </c>
      <c r="L502" s="10">
        <v>0.59</v>
      </c>
      <c r="M502" s="97">
        <v>3.8000000000000003</v>
      </c>
      <c r="N502" s="605">
        <v>28</v>
      </c>
      <c r="O502" s="97">
        <v>5</v>
      </c>
      <c r="P502" s="97" t="s">
        <v>515</v>
      </c>
      <c r="Q502" s="97" t="str">
        <f t="shared" si="98"/>
        <v/>
      </c>
      <c r="R502" t="str">
        <f t="shared" si="99"/>
        <v/>
      </c>
      <c r="CB502" s="10"/>
      <c r="CI502" s="69"/>
    </row>
    <row r="503" spans="3:87">
      <c r="C503" t="str">
        <f t="shared" si="100"/>
        <v>NL</v>
      </c>
      <c r="D503">
        <v>494</v>
      </c>
      <c r="E503" s="97">
        <v>155</v>
      </c>
      <c r="F503" s="366">
        <f t="shared" si="96"/>
        <v>3363.5</v>
      </c>
      <c r="G503" s="97">
        <v>5605</v>
      </c>
      <c r="H503" s="367">
        <f t="shared" si="97"/>
        <v>8968.5</v>
      </c>
      <c r="I503" s="368">
        <f t="shared" si="101"/>
        <v>0</v>
      </c>
      <c r="J503" s="97">
        <v>21146</v>
      </c>
      <c r="K503" s="367">
        <f t="shared" si="102"/>
        <v>15104.285714285714</v>
      </c>
      <c r="L503" s="10">
        <v>0.96</v>
      </c>
      <c r="M503" s="97">
        <v>3.8000000000000003</v>
      </c>
      <c r="N503" s="605">
        <v>30</v>
      </c>
      <c r="O503" s="97">
        <v>5</v>
      </c>
      <c r="P503" s="97" t="s">
        <v>556</v>
      </c>
      <c r="Q503" s="97" t="str">
        <f t="shared" si="98"/>
        <v/>
      </c>
      <c r="R503" t="str">
        <f t="shared" si="99"/>
        <v/>
      </c>
      <c r="CB503" s="10"/>
      <c r="CI503" s="69"/>
    </row>
    <row r="504" spans="3:87">
      <c r="C504" t="str">
        <f t="shared" si="100"/>
        <v/>
      </c>
      <c r="D504">
        <v>495</v>
      </c>
      <c r="E504" s="97">
        <v>155</v>
      </c>
      <c r="F504" s="366">
        <f t="shared" si="96"/>
        <v>3363.5</v>
      </c>
      <c r="G504" s="97">
        <v>5217</v>
      </c>
      <c r="H504" s="367">
        <f t="shared" si="97"/>
        <v>8580.5</v>
      </c>
      <c r="I504" s="368">
        <f t="shared" si="101"/>
        <v>0</v>
      </c>
      <c r="J504" s="97">
        <v>19683</v>
      </c>
      <c r="K504" s="367">
        <f t="shared" si="102"/>
        <v>14059.285714285714</v>
      </c>
      <c r="L504" s="10">
        <v>0.4</v>
      </c>
      <c r="M504" s="97">
        <v>4.3999999999999995</v>
      </c>
      <c r="N504" s="605">
        <v>26</v>
      </c>
      <c r="O504" s="97">
        <v>6</v>
      </c>
      <c r="P504" s="97" t="s">
        <v>515</v>
      </c>
      <c r="Q504" s="97">
        <f t="shared" si="98"/>
        <v>495</v>
      </c>
      <c r="R504" t="str">
        <f t="shared" si="99"/>
        <v/>
      </c>
      <c r="CB504" s="10"/>
      <c r="CI504" s="69"/>
    </row>
    <row r="505" spans="3:87">
      <c r="C505" t="str">
        <f t="shared" si="100"/>
        <v/>
      </c>
      <c r="D505">
        <v>496</v>
      </c>
      <c r="E505" s="97">
        <v>155</v>
      </c>
      <c r="F505" s="366">
        <f t="shared" si="96"/>
        <v>3363.5</v>
      </c>
      <c r="G505" s="97">
        <v>5870</v>
      </c>
      <c r="H505" s="367">
        <f t="shared" si="97"/>
        <v>9233.5</v>
      </c>
      <c r="I505" s="368">
        <f t="shared" si="101"/>
        <v>0</v>
      </c>
      <c r="J505" s="97">
        <v>22144</v>
      </c>
      <c r="K505" s="367">
        <f t="shared" si="102"/>
        <v>15817.142857142857</v>
      </c>
      <c r="L505" s="10">
        <v>0.67</v>
      </c>
      <c r="M505" s="97">
        <v>4.3999999999999995</v>
      </c>
      <c r="N505" s="605">
        <v>29</v>
      </c>
      <c r="O505" s="97">
        <v>6</v>
      </c>
      <c r="P505" s="97" t="s">
        <v>556</v>
      </c>
      <c r="Q505" s="97">
        <f t="shared" si="98"/>
        <v>496</v>
      </c>
      <c r="R505" t="str">
        <f t="shared" si="99"/>
        <v/>
      </c>
      <c r="CB505" s="10"/>
      <c r="CI505" s="69"/>
    </row>
    <row r="506" spans="3:87">
      <c r="C506" t="str">
        <f t="shared" si="100"/>
        <v>NL</v>
      </c>
      <c r="D506">
        <v>497</v>
      </c>
      <c r="E506" s="97">
        <v>155</v>
      </c>
      <c r="F506" s="366">
        <f t="shared" si="96"/>
        <v>3363.5</v>
      </c>
      <c r="G506" s="97">
        <v>5228</v>
      </c>
      <c r="H506" s="367">
        <f t="shared" si="97"/>
        <v>8591.5</v>
      </c>
      <c r="I506" s="368">
        <f t="shared" si="101"/>
        <v>0</v>
      </c>
      <c r="J506" s="97">
        <v>19724</v>
      </c>
      <c r="K506" s="367">
        <f t="shared" si="102"/>
        <v>14088.571428571429</v>
      </c>
      <c r="L506" s="10">
        <v>0.3</v>
      </c>
      <c r="M506" s="97">
        <v>5.0999999999999996</v>
      </c>
      <c r="N506" s="605">
        <v>25</v>
      </c>
      <c r="O506" s="97">
        <v>7</v>
      </c>
      <c r="P506" s="97" t="s">
        <v>515</v>
      </c>
      <c r="Q506" s="97" t="str">
        <f t="shared" si="98"/>
        <v/>
      </c>
      <c r="R506" t="str">
        <f t="shared" si="99"/>
        <v/>
      </c>
      <c r="CB506" s="10"/>
      <c r="CI506" s="69"/>
    </row>
    <row r="507" spans="3:87">
      <c r="C507" t="str">
        <f t="shared" si="100"/>
        <v>NL</v>
      </c>
      <c r="D507">
        <v>498</v>
      </c>
      <c r="E507" s="97">
        <v>155</v>
      </c>
      <c r="F507" s="366">
        <f t="shared" si="96"/>
        <v>3363.5</v>
      </c>
      <c r="G507" s="97">
        <v>6254</v>
      </c>
      <c r="H507" s="367">
        <f t="shared" si="97"/>
        <v>9617.5</v>
      </c>
      <c r="I507" s="368">
        <f t="shared" si="101"/>
        <v>0</v>
      </c>
      <c r="J507" s="97">
        <v>23594</v>
      </c>
      <c r="K507" s="367">
        <f t="shared" si="102"/>
        <v>16852.857142857145</v>
      </c>
      <c r="L507" s="10">
        <v>0.5</v>
      </c>
      <c r="M507" s="97">
        <v>5.0999999999999996</v>
      </c>
      <c r="N507" s="605">
        <v>27</v>
      </c>
      <c r="O507" s="97">
        <v>7</v>
      </c>
      <c r="P507" s="97" t="s">
        <v>556</v>
      </c>
      <c r="Q507" s="97" t="str">
        <f t="shared" si="98"/>
        <v/>
      </c>
      <c r="R507" t="str">
        <f t="shared" si="99"/>
        <v/>
      </c>
      <c r="CB507" s="10"/>
      <c r="CI507" s="69"/>
    </row>
    <row r="508" spans="3:87">
      <c r="C508" t="str">
        <f t="shared" si="100"/>
        <v>NL</v>
      </c>
      <c r="D508">
        <v>499</v>
      </c>
      <c r="E508" s="97">
        <v>155</v>
      </c>
      <c r="F508" s="366">
        <f t="shared" si="96"/>
        <v>3363.5</v>
      </c>
      <c r="G508" s="97">
        <v>7118</v>
      </c>
      <c r="H508" s="367">
        <f t="shared" si="97"/>
        <v>10481.5</v>
      </c>
      <c r="I508" s="368">
        <f t="shared" si="101"/>
        <v>0</v>
      </c>
      <c r="J508" s="97">
        <v>26852</v>
      </c>
      <c r="K508" s="367">
        <f t="shared" si="102"/>
        <v>19180</v>
      </c>
      <c r="L508" s="10">
        <v>1.03</v>
      </c>
      <c r="M508" s="97">
        <v>5.0999999999999996</v>
      </c>
      <c r="N508" s="605">
        <v>33</v>
      </c>
      <c r="O508" s="97">
        <v>7</v>
      </c>
      <c r="P508" s="97" t="s">
        <v>514</v>
      </c>
      <c r="Q508" s="97" t="str">
        <f t="shared" si="98"/>
        <v/>
      </c>
      <c r="R508" t="str">
        <f t="shared" si="99"/>
        <v/>
      </c>
      <c r="CB508" s="10"/>
      <c r="CI508" s="69"/>
    </row>
    <row r="509" spans="3:87">
      <c r="C509" t="str">
        <f t="shared" si="100"/>
        <v/>
      </c>
      <c r="D509">
        <v>500</v>
      </c>
      <c r="E509" s="97">
        <v>155</v>
      </c>
      <c r="F509" s="366">
        <f t="shared" si="96"/>
        <v>3363.5</v>
      </c>
      <c r="G509" s="97">
        <v>4919</v>
      </c>
      <c r="H509" s="367">
        <f t="shared" si="97"/>
        <v>8282.5</v>
      </c>
      <c r="I509" s="368">
        <f t="shared" si="101"/>
        <v>0</v>
      </c>
      <c r="J509" s="97">
        <v>18558</v>
      </c>
      <c r="K509" s="367">
        <f t="shared" si="102"/>
        <v>13255.714285714286</v>
      </c>
      <c r="L509" s="10">
        <v>0.24000000000000002</v>
      </c>
      <c r="M509" s="97">
        <v>5.8</v>
      </c>
      <c r="N509" s="605">
        <v>24</v>
      </c>
      <c r="O509" s="97">
        <v>8</v>
      </c>
      <c r="P509" s="97" t="s">
        <v>515</v>
      </c>
      <c r="Q509" s="97">
        <f t="shared" si="98"/>
        <v>500</v>
      </c>
      <c r="R509" t="str">
        <f t="shared" si="99"/>
        <v/>
      </c>
      <c r="CB509" s="10"/>
      <c r="CI509" s="69"/>
    </row>
    <row r="510" spans="3:87">
      <c r="C510" t="str">
        <f t="shared" si="100"/>
        <v/>
      </c>
      <c r="D510">
        <v>501</v>
      </c>
      <c r="E510" s="97">
        <v>155</v>
      </c>
      <c r="F510" s="366">
        <f t="shared" si="96"/>
        <v>3363.5</v>
      </c>
      <c r="G510" s="97">
        <v>6332</v>
      </c>
      <c r="H510" s="367">
        <f t="shared" si="97"/>
        <v>9695.5</v>
      </c>
      <c r="I510" s="368">
        <f t="shared" si="101"/>
        <v>0</v>
      </c>
      <c r="J510" s="97">
        <v>23887</v>
      </c>
      <c r="K510" s="367">
        <f t="shared" si="102"/>
        <v>17062.142857142859</v>
      </c>
      <c r="L510" s="10">
        <v>0.39</v>
      </c>
      <c r="M510" s="97">
        <v>5.8</v>
      </c>
      <c r="N510" s="605">
        <v>26</v>
      </c>
      <c r="O510" s="97">
        <v>8</v>
      </c>
      <c r="P510" s="97" t="s">
        <v>556</v>
      </c>
      <c r="Q510" s="97">
        <f t="shared" si="98"/>
        <v>501</v>
      </c>
      <c r="R510" t="str">
        <f t="shared" si="99"/>
        <v/>
      </c>
      <c r="CB510" s="10"/>
      <c r="CI510" s="69"/>
    </row>
    <row r="511" spans="3:87">
      <c r="C511" t="str">
        <f t="shared" si="100"/>
        <v/>
      </c>
      <c r="D511">
        <v>502</v>
      </c>
      <c r="E511" s="97">
        <v>155</v>
      </c>
      <c r="F511" s="366">
        <f t="shared" si="96"/>
        <v>3363.5</v>
      </c>
      <c r="G511" s="97">
        <v>7349</v>
      </c>
      <c r="H511" s="367">
        <f t="shared" si="97"/>
        <v>10712.5</v>
      </c>
      <c r="I511" s="368">
        <f t="shared" si="101"/>
        <v>0</v>
      </c>
      <c r="J511" s="97">
        <v>27725</v>
      </c>
      <c r="K511" s="367">
        <f t="shared" si="102"/>
        <v>19803.571428571428</v>
      </c>
      <c r="L511" s="10">
        <v>0.82000000000000006</v>
      </c>
      <c r="M511" s="97">
        <v>5.8</v>
      </c>
      <c r="N511" s="605">
        <v>32</v>
      </c>
      <c r="O511" s="97">
        <v>8</v>
      </c>
      <c r="P511" s="97" t="s">
        <v>514</v>
      </c>
      <c r="Q511" s="97" t="str">
        <f t="shared" si="98"/>
        <v/>
      </c>
      <c r="R511" t="str">
        <f t="shared" si="99"/>
        <v/>
      </c>
      <c r="CB511" s="10"/>
      <c r="CI511" s="69"/>
    </row>
    <row r="512" spans="3:87">
      <c r="C512" t="str">
        <f t="shared" si="100"/>
        <v>NL</v>
      </c>
      <c r="D512">
        <v>503</v>
      </c>
      <c r="E512" s="97">
        <v>155</v>
      </c>
      <c r="F512" s="366">
        <f t="shared" si="96"/>
        <v>3363.5</v>
      </c>
      <c r="G512" s="97">
        <v>4711</v>
      </c>
      <c r="H512" s="367">
        <f t="shared" si="97"/>
        <v>8074.5</v>
      </c>
      <c r="I512" s="368">
        <f t="shared" si="101"/>
        <v>0</v>
      </c>
      <c r="J512" s="97">
        <v>17772</v>
      </c>
      <c r="K512" s="367">
        <f t="shared" si="102"/>
        <v>12694.285714285714</v>
      </c>
      <c r="L512" s="10">
        <v>0.2</v>
      </c>
      <c r="M512" s="97">
        <v>6.5</v>
      </c>
      <c r="N512" s="605">
        <v>25</v>
      </c>
      <c r="O512" s="97">
        <v>9</v>
      </c>
      <c r="P512" s="97" t="s">
        <v>515</v>
      </c>
      <c r="Q512" s="97" t="str">
        <f t="shared" si="98"/>
        <v/>
      </c>
      <c r="R512" t="str">
        <f t="shared" si="99"/>
        <v/>
      </c>
      <c r="CB512" s="10"/>
      <c r="CI512" s="69"/>
    </row>
    <row r="513" spans="3:87">
      <c r="C513" t="str">
        <f t="shared" si="100"/>
        <v/>
      </c>
      <c r="D513">
        <v>504</v>
      </c>
      <c r="E513" s="97">
        <v>155</v>
      </c>
      <c r="F513" s="366">
        <f t="shared" si="96"/>
        <v>3363.5</v>
      </c>
      <c r="G513" s="97">
        <v>5840</v>
      </c>
      <c r="H513" s="367">
        <f t="shared" si="97"/>
        <v>9203.5</v>
      </c>
      <c r="I513" s="368">
        <f t="shared" si="101"/>
        <v>0</v>
      </c>
      <c r="J513" s="97">
        <v>22031</v>
      </c>
      <c r="K513" s="367">
        <f t="shared" si="102"/>
        <v>15736.428571428572</v>
      </c>
      <c r="L513" s="10">
        <v>0.27</v>
      </c>
      <c r="M513" s="97">
        <v>7.1999999999999993</v>
      </c>
      <c r="N513" s="605">
        <v>26</v>
      </c>
      <c r="O513" s="97">
        <v>10</v>
      </c>
      <c r="P513" s="97" t="s">
        <v>556</v>
      </c>
      <c r="Q513" s="97" t="str">
        <f t="shared" si="98"/>
        <v/>
      </c>
      <c r="R513" t="str">
        <f t="shared" si="99"/>
        <v/>
      </c>
      <c r="CB513" s="10"/>
      <c r="CI513" s="69"/>
    </row>
    <row r="514" spans="3:87">
      <c r="C514" t="str">
        <f t="shared" si="100"/>
        <v/>
      </c>
      <c r="D514">
        <v>505</v>
      </c>
      <c r="E514" s="97">
        <v>155</v>
      </c>
      <c r="F514" s="366">
        <f t="shared" si="96"/>
        <v>3363.5</v>
      </c>
      <c r="G514" s="97">
        <v>7538</v>
      </c>
      <c r="H514" s="367">
        <f t="shared" si="97"/>
        <v>10901.5</v>
      </c>
      <c r="I514" s="368">
        <f t="shared" si="101"/>
        <v>0</v>
      </c>
      <c r="J514" s="97">
        <v>28439</v>
      </c>
      <c r="K514" s="367">
        <f t="shared" si="102"/>
        <v>20313.571428571428</v>
      </c>
      <c r="L514" s="10">
        <v>0.55000000000000004</v>
      </c>
      <c r="M514" s="97">
        <v>7.1999999999999993</v>
      </c>
      <c r="N514" s="605">
        <v>31</v>
      </c>
      <c r="O514" s="97">
        <v>10</v>
      </c>
      <c r="P514" s="97" t="s">
        <v>514</v>
      </c>
      <c r="Q514" s="97" t="str">
        <f t="shared" si="98"/>
        <v/>
      </c>
      <c r="R514" t="str">
        <f t="shared" si="99"/>
        <v/>
      </c>
      <c r="CB514" s="10"/>
      <c r="CI514" s="69"/>
    </row>
    <row r="515" spans="3:87">
      <c r="C515" t="str">
        <f t="shared" si="100"/>
        <v/>
      </c>
      <c r="D515">
        <v>506</v>
      </c>
      <c r="E515" s="97">
        <v>155</v>
      </c>
      <c r="F515" s="366">
        <f t="shared" si="96"/>
        <v>3363.5</v>
      </c>
      <c r="G515" s="97">
        <v>8458</v>
      </c>
      <c r="H515" s="367">
        <f t="shared" si="97"/>
        <v>11821.5</v>
      </c>
      <c r="I515" s="368">
        <f t="shared" si="101"/>
        <v>0</v>
      </c>
      <c r="J515" s="97">
        <v>31906</v>
      </c>
      <c r="K515" s="367">
        <f t="shared" si="102"/>
        <v>22790</v>
      </c>
      <c r="L515" s="10">
        <v>0.79</v>
      </c>
      <c r="M515" s="97">
        <v>7.1999999999999993</v>
      </c>
      <c r="N515" s="605">
        <v>29</v>
      </c>
      <c r="O515" s="97">
        <v>10</v>
      </c>
      <c r="P515" s="97" t="s">
        <v>555</v>
      </c>
      <c r="Q515" s="97" t="str">
        <f t="shared" si="98"/>
        <v/>
      </c>
      <c r="R515" t="str">
        <f t="shared" si="99"/>
        <v/>
      </c>
      <c r="CB515" s="10"/>
      <c r="CI515" s="69"/>
    </row>
    <row r="516" spans="3:87">
      <c r="C516" t="str">
        <f t="shared" si="100"/>
        <v/>
      </c>
      <c r="D516">
        <v>507</v>
      </c>
      <c r="E516" s="97">
        <v>160</v>
      </c>
      <c r="F516" s="366">
        <f t="shared" si="96"/>
        <v>3472</v>
      </c>
      <c r="G516" s="97">
        <v>4752</v>
      </c>
      <c r="H516" s="367">
        <f t="shared" si="97"/>
        <v>8224</v>
      </c>
      <c r="I516" s="368">
        <f t="shared" si="101"/>
        <v>0</v>
      </c>
      <c r="J516" s="97">
        <v>17929</v>
      </c>
      <c r="K516" s="367">
        <f t="shared" si="102"/>
        <v>12806.428571428572</v>
      </c>
      <c r="L516" s="10">
        <v>0.94000000000000006</v>
      </c>
      <c r="M516" s="97">
        <v>3.1</v>
      </c>
      <c r="N516" s="605">
        <v>29</v>
      </c>
      <c r="O516" s="97">
        <v>4</v>
      </c>
      <c r="P516" s="97" t="s">
        <v>515</v>
      </c>
      <c r="Q516" s="97" t="str">
        <f t="shared" si="98"/>
        <v/>
      </c>
      <c r="R516" t="str">
        <f t="shared" si="99"/>
        <v/>
      </c>
      <c r="CB516" s="10"/>
      <c r="CI516" s="69"/>
    </row>
    <row r="517" spans="3:87">
      <c r="C517" t="str">
        <f t="shared" si="100"/>
        <v>NL</v>
      </c>
      <c r="D517">
        <v>508</v>
      </c>
      <c r="E517" s="97">
        <v>160</v>
      </c>
      <c r="F517" s="366">
        <f t="shared" si="96"/>
        <v>3472</v>
      </c>
      <c r="G517" s="97">
        <v>5089</v>
      </c>
      <c r="H517" s="367">
        <f t="shared" si="97"/>
        <v>8561</v>
      </c>
      <c r="I517" s="368">
        <f t="shared" si="101"/>
        <v>0</v>
      </c>
      <c r="J517" s="97">
        <v>19199</v>
      </c>
      <c r="K517" s="367">
        <f t="shared" si="102"/>
        <v>13713.571428571429</v>
      </c>
      <c r="L517" s="10">
        <v>0.62</v>
      </c>
      <c r="M517" s="97">
        <v>3.8000000000000003</v>
      </c>
      <c r="N517" s="605">
        <v>28</v>
      </c>
      <c r="O517" s="97">
        <v>5</v>
      </c>
      <c r="P517" s="97" t="s">
        <v>515</v>
      </c>
      <c r="Q517" s="97" t="str">
        <f t="shared" si="98"/>
        <v/>
      </c>
      <c r="R517" t="str">
        <f t="shared" si="99"/>
        <v/>
      </c>
      <c r="CB517" s="10"/>
      <c r="CI517" s="69"/>
    </row>
    <row r="518" spans="3:87">
      <c r="C518" t="str">
        <f t="shared" si="100"/>
        <v/>
      </c>
      <c r="D518">
        <v>509</v>
      </c>
      <c r="E518" s="97">
        <v>160</v>
      </c>
      <c r="F518" s="366">
        <f t="shared" si="96"/>
        <v>3472</v>
      </c>
      <c r="G518" s="97">
        <v>5321</v>
      </c>
      <c r="H518" s="367">
        <f t="shared" si="97"/>
        <v>8793</v>
      </c>
      <c r="I518" s="368">
        <f t="shared" si="101"/>
        <v>0</v>
      </c>
      <c r="J518" s="97">
        <v>20072</v>
      </c>
      <c r="K518" s="367">
        <f t="shared" si="102"/>
        <v>14337.142857142857</v>
      </c>
      <c r="L518" s="10">
        <v>0.43</v>
      </c>
      <c r="M518" s="97">
        <v>4.3999999999999995</v>
      </c>
      <c r="N518" s="605">
        <v>27</v>
      </c>
      <c r="O518" s="97">
        <v>6</v>
      </c>
      <c r="P518" s="97" t="s">
        <v>515</v>
      </c>
      <c r="Q518" s="97">
        <f t="shared" si="98"/>
        <v>509</v>
      </c>
      <c r="R518" t="str">
        <f t="shared" si="99"/>
        <v/>
      </c>
      <c r="CB518" s="10"/>
      <c r="CI518" s="69"/>
    </row>
    <row r="519" spans="3:87">
      <c r="C519" t="str">
        <f t="shared" si="100"/>
        <v/>
      </c>
      <c r="D519">
        <v>510</v>
      </c>
      <c r="E519" s="97">
        <v>160</v>
      </c>
      <c r="F519" s="366">
        <f t="shared" si="96"/>
        <v>3472</v>
      </c>
      <c r="G519" s="97">
        <v>5995</v>
      </c>
      <c r="H519" s="367">
        <f t="shared" si="97"/>
        <v>9467</v>
      </c>
      <c r="I519" s="368">
        <f t="shared" si="101"/>
        <v>0</v>
      </c>
      <c r="J519" s="97">
        <v>22618</v>
      </c>
      <c r="K519" s="367">
        <f t="shared" si="102"/>
        <v>16155.714285714286</v>
      </c>
      <c r="L519" s="10">
        <v>0.72</v>
      </c>
      <c r="M519" s="97">
        <v>4.3999999999999995</v>
      </c>
      <c r="N519" s="605">
        <v>29</v>
      </c>
      <c r="O519" s="97">
        <v>6</v>
      </c>
      <c r="P519" s="97" t="s">
        <v>556</v>
      </c>
      <c r="Q519" s="97" t="str">
        <f t="shared" si="98"/>
        <v/>
      </c>
      <c r="R519" t="str">
        <f t="shared" si="99"/>
        <v/>
      </c>
      <c r="CB519" s="10"/>
      <c r="CI519" s="69"/>
    </row>
    <row r="520" spans="3:87">
      <c r="C520" t="str">
        <f t="shared" si="100"/>
        <v>NL</v>
      </c>
      <c r="D520">
        <v>511</v>
      </c>
      <c r="E520" s="97">
        <v>160</v>
      </c>
      <c r="F520" s="366">
        <f t="shared" si="96"/>
        <v>3472</v>
      </c>
      <c r="G520" s="97">
        <v>5441</v>
      </c>
      <c r="H520" s="367">
        <f t="shared" si="97"/>
        <v>8913</v>
      </c>
      <c r="I520" s="368">
        <f t="shared" si="101"/>
        <v>0</v>
      </c>
      <c r="J520" s="97">
        <v>20526</v>
      </c>
      <c r="K520" s="367">
        <f t="shared" si="102"/>
        <v>14661.428571428572</v>
      </c>
      <c r="L520" s="10">
        <v>0.32</v>
      </c>
      <c r="M520" s="97">
        <v>5.0999999999999996</v>
      </c>
      <c r="N520" s="605">
        <v>25</v>
      </c>
      <c r="O520" s="97">
        <v>7</v>
      </c>
      <c r="P520" s="97" t="s">
        <v>515</v>
      </c>
      <c r="Q520" s="97" t="str">
        <f t="shared" si="98"/>
        <v/>
      </c>
      <c r="R520" t="str">
        <f t="shared" si="99"/>
        <v/>
      </c>
      <c r="CB520" s="10"/>
      <c r="CI520" s="69"/>
    </row>
    <row r="521" spans="3:87">
      <c r="C521" t="str">
        <f t="shared" si="100"/>
        <v>NL</v>
      </c>
      <c r="D521">
        <v>512</v>
      </c>
      <c r="E521" s="97">
        <v>160</v>
      </c>
      <c r="F521" s="366">
        <f t="shared" si="96"/>
        <v>3472</v>
      </c>
      <c r="G521" s="97">
        <v>6388</v>
      </c>
      <c r="H521" s="367">
        <f t="shared" si="97"/>
        <v>9860</v>
      </c>
      <c r="I521" s="368">
        <f t="shared" si="101"/>
        <v>0</v>
      </c>
      <c r="J521" s="97">
        <v>24099</v>
      </c>
      <c r="K521" s="367">
        <f t="shared" si="102"/>
        <v>17213.571428571428</v>
      </c>
      <c r="L521" s="10">
        <v>0.53</v>
      </c>
      <c r="M521" s="97">
        <v>5.0999999999999996</v>
      </c>
      <c r="N521" s="605">
        <v>28</v>
      </c>
      <c r="O521" s="97">
        <v>7</v>
      </c>
      <c r="P521" s="97" t="s">
        <v>556</v>
      </c>
      <c r="Q521" s="97" t="str">
        <f t="shared" si="98"/>
        <v/>
      </c>
      <c r="R521" t="str">
        <f t="shared" si="99"/>
        <v/>
      </c>
      <c r="CB521" s="10"/>
      <c r="CI521" s="69"/>
    </row>
    <row r="522" spans="3:87">
      <c r="C522" t="str">
        <f t="shared" si="100"/>
        <v/>
      </c>
      <c r="D522">
        <v>513</v>
      </c>
      <c r="E522" s="97">
        <v>160</v>
      </c>
      <c r="F522" s="366">
        <f t="shared" ref="F522:F585" si="103">1.085*($A$2-$B$2)*E522*$T$7</f>
        <v>3472</v>
      </c>
      <c r="G522" s="97">
        <v>5111</v>
      </c>
      <c r="H522" s="367">
        <f t="shared" ref="H522:H585" si="104">(G522*$U$7)+F522</f>
        <v>8583</v>
      </c>
      <c r="I522" s="368">
        <f t="shared" si="101"/>
        <v>0</v>
      </c>
      <c r="J522" s="97">
        <v>19280</v>
      </c>
      <c r="K522" s="367">
        <f t="shared" si="102"/>
        <v>13771.428571428572</v>
      </c>
      <c r="L522" s="10">
        <v>0.25</v>
      </c>
      <c r="M522" s="97">
        <v>5.8</v>
      </c>
      <c r="N522" s="605">
        <v>25</v>
      </c>
      <c r="O522" s="97">
        <v>8</v>
      </c>
      <c r="P522" s="97" t="s">
        <v>515</v>
      </c>
      <c r="Q522" s="97">
        <f t="shared" ref="Q522:Q587" si="105">IF(AND(H522+1&gt;$E$4,L522&lt;$L$4+0.01,M522&lt;$M$4+0.01,K522+1&gt;$F$4,E522+1&gt;$J$4,N522&lt;$K$4+1,O522&lt;$P$4+1,C522=""),D522,"")</f>
        <v>513</v>
      </c>
      <c r="R522" t="str">
        <f t="shared" ref="R522:R585" si="106">IF(Q522="","",IF(AND(O522&lt;$X$14,E522&gt;$U$14,E522&lt;$Q$4+$U$14+1),D522,""))</f>
        <v/>
      </c>
      <c r="CB522" s="10"/>
      <c r="CI522" s="69"/>
    </row>
    <row r="523" spans="3:87">
      <c r="C523" t="str">
        <f t="shared" ref="C523:C586" si="107">IF(OR($O$4=0,O523-$O$4=0),IF(AND(ISEVEN(O523)=FALSE,$N$4="Even"),"NL",""),"NL")</f>
        <v/>
      </c>
      <c r="D523">
        <v>514</v>
      </c>
      <c r="E523" s="97">
        <v>160</v>
      </c>
      <c r="F523" s="366">
        <f t="shared" si="103"/>
        <v>3472</v>
      </c>
      <c r="G523" s="97">
        <v>6478</v>
      </c>
      <c r="H523" s="367">
        <f t="shared" si="104"/>
        <v>9950</v>
      </c>
      <c r="I523" s="368">
        <f t="shared" ref="I523:I586" si="108">1.085*($C$2-$D$2)*E523*$T$7</f>
        <v>0</v>
      </c>
      <c r="J523" s="97">
        <v>24440</v>
      </c>
      <c r="K523" s="367">
        <f t="shared" ref="K523:K586" si="109">(J523*$V$7)-I523</f>
        <v>17457.142857142859</v>
      </c>
      <c r="L523" s="10">
        <v>0.41000000000000003</v>
      </c>
      <c r="M523" s="97">
        <v>5.8</v>
      </c>
      <c r="N523" s="605">
        <v>27</v>
      </c>
      <c r="O523" s="97">
        <v>8</v>
      </c>
      <c r="P523" s="97" t="s">
        <v>556</v>
      </c>
      <c r="Q523" s="97">
        <f t="shared" si="105"/>
        <v>514</v>
      </c>
      <c r="R523" t="str">
        <f t="shared" si="106"/>
        <v/>
      </c>
      <c r="CB523" s="10"/>
      <c r="CI523" s="69"/>
    </row>
    <row r="524" spans="3:87">
      <c r="C524" t="str">
        <f t="shared" si="107"/>
        <v/>
      </c>
      <c r="D524">
        <v>515</v>
      </c>
      <c r="E524" s="97">
        <v>160</v>
      </c>
      <c r="F524" s="366">
        <f t="shared" si="103"/>
        <v>3472</v>
      </c>
      <c r="G524" s="97">
        <v>7511</v>
      </c>
      <c r="H524" s="367">
        <f t="shared" si="104"/>
        <v>10983</v>
      </c>
      <c r="I524" s="368">
        <f t="shared" si="108"/>
        <v>0</v>
      </c>
      <c r="J524" s="97">
        <v>28335</v>
      </c>
      <c r="K524" s="367">
        <f t="shared" si="109"/>
        <v>20239.285714285714</v>
      </c>
      <c r="L524" s="10">
        <v>0.87</v>
      </c>
      <c r="M524" s="97">
        <v>5.8</v>
      </c>
      <c r="N524" s="605">
        <v>33</v>
      </c>
      <c r="O524" s="97">
        <v>8</v>
      </c>
      <c r="P524" s="97" t="s">
        <v>514</v>
      </c>
      <c r="Q524" s="97" t="str">
        <f t="shared" si="105"/>
        <v/>
      </c>
      <c r="R524" t="str">
        <f t="shared" si="106"/>
        <v/>
      </c>
      <c r="CB524" s="10"/>
      <c r="CI524" s="69"/>
    </row>
    <row r="525" spans="3:87">
      <c r="C525" t="str">
        <f t="shared" si="107"/>
        <v>NL</v>
      </c>
      <c r="D525">
        <v>516</v>
      </c>
      <c r="E525" s="97">
        <v>160</v>
      </c>
      <c r="F525" s="366">
        <f t="shared" si="103"/>
        <v>3472</v>
      </c>
      <c r="G525" s="97">
        <v>4889</v>
      </c>
      <c r="H525" s="367">
        <f t="shared" si="104"/>
        <v>8361</v>
      </c>
      <c r="I525" s="368">
        <f t="shared" si="108"/>
        <v>0</v>
      </c>
      <c r="J525" s="97">
        <v>18445</v>
      </c>
      <c r="K525" s="367">
        <f t="shared" si="109"/>
        <v>13175</v>
      </c>
      <c r="L525" s="10">
        <v>0.21000000000000002</v>
      </c>
      <c r="M525" s="97">
        <v>6.5</v>
      </c>
      <c r="N525" s="605">
        <v>25</v>
      </c>
      <c r="O525" s="97">
        <v>9</v>
      </c>
      <c r="P525" s="97" t="s">
        <v>515</v>
      </c>
      <c r="Q525" s="97" t="str">
        <f t="shared" si="105"/>
        <v/>
      </c>
      <c r="R525" t="str">
        <f t="shared" si="106"/>
        <v/>
      </c>
      <c r="CB525" s="10"/>
      <c r="CI525" s="69"/>
    </row>
    <row r="526" spans="3:87">
      <c r="C526" t="str">
        <f t="shared" si="107"/>
        <v/>
      </c>
      <c r="D526">
        <v>517</v>
      </c>
      <c r="E526" s="97">
        <v>160</v>
      </c>
      <c r="F526" s="366">
        <f t="shared" si="103"/>
        <v>3472</v>
      </c>
      <c r="G526" s="97">
        <v>6067</v>
      </c>
      <c r="H526" s="367">
        <f t="shared" si="104"/>
        <v>9539</v>
      </c>
      <c r="I526" s="368">
        <f t="shared" si="108"/>
        <v>0</v>
      </c>
      <c r="J526" s="97">
        <v>22888</v>
      </c>
      <c r="K526" s="367">
        <f t="shared" si="109"/>
        <v>16348.571428571429</v>
      </c>
      <c r="L526" s="10">
        <v>0.29000000000000004</v>
      </c>
      <c r="M526" s="97">
        <v>7.1999999999999993</v>
      </c>
      <c r="N526" s="605">
        <v>27</v>
      </c>
      <c r="O526" s="97">
        <v>10</v>
      </c>
      <c r="P526" s="97" t="s">
        <v>556</v>
      </c>
      <c r="Q526" s="97" t="str">
        <f t="shared" si="105"/>
        <v/>
      </c>
      <c r="R526" t="str">
        <f t="shared" si="106"/>
        <v/>
      </c>
      <c r="CB526" s="10"/>
      <c r="CI526" s="69"/>
    </row>
    <row r="527" spans="3:87">
      <c r="C527" t="str">
        <f t="shared" si="107"/>
        <v/>
      </c>
      <c r="D527">
        <v>518</v>
      </c>
      <c r="E527" s="97">
        <v>160</v>
      </c>
      <c r="F527" s="366">
        <f t="shared" si="103"/>
        <v>3472</v>
      </c>
      <c r="G527" s="97">
        <v>7705</v>
      </c>
      <c r="H527" s="367">
        <f t="shared" si="104"/>
        <v>11177</v>
      </c>
      <c r="I527" s="368">
        <f t="shared" si="108"/>
        <v>0</v>
      </c>
      <c r="J527" s="97">
        <v>29067</v>
      </c>
      <c r="K527" s="367">
        <f t="shared" si="109"/>
        <v>20762.142857142859</v>
      </c>
      <c r="L527" s="10">
        <v>0.57999999999999996</v>
      </c>
      <c r="M527" s="97">
        <v>7.1999999999999993</v>
      </c>
      <c r="N527" s="605">
        <v>32</v>
      </c>
      <c r="O527" s="97">
        <v>10</v>
      </c>
      <c r="P527" s="97" t="s">
        <v>514</v>
      </c>
      <c r="Q527" s="97" t="str">
        <f t="shared" si="105"/>
        <v/>
      </c>
      <c r="R527" t="str">
        <f t="shared" si="106"/>
        <v/>
      </c>
      <c r="CB527" s="10"/>
      <c r="CI527" s="69"/>
    </row>
    <row r="528" spans="3:87">
      <c r="C528" t="str">
        <f t="shared" si="107"/>
        <v/>
      </c>
      <c r="D528">
        <v>519</v>
      </c>
      <c r="E528" s="97">
        <v>160</v>
      </c>
      <c r="F528" s="366">
        <f t="shared" si="103"/>
        <v>3472</v>
      </c>
      <c r="G528" s="97">
        <v>8640</v>
      </c>
      <c r="H528" s="367">
        <f t="shared" si="104"/>
        <v>12112</v>
      </c>
      <c r="I528" s="368">
        <f t="shared" si="108"/>
        <v>0</v>
      </c>
      <c r="J528" s="97">
        <v>32594</v>
      </c>
      <c r="K528" s="367">
        <f t="shared" si="109"/>
        <v>23281.428571428572</v>
      </c>
      <c r="L528" s="10">
        <v>0.84</v>
      </c>
      <c r="M528" s="97">
        <v>7.1999999999999993</v>
      </c>
      <c r="N528" s="605">
        <v>30</v>
      </c>
      <c r="O528" s="97">
        <v>10</v>
      </c>
      <c r="P528" s="97" t="s">
        <v>555</v>
      </c>
      <c r="Q528" s="97" t="str">
        <f t="shared" si="105"/>
        <v/>
      </c>
      <c r="R528" t="str">
        <f t="shared" si="106"/>
        <v/>
      </c>
      <c r="CB528" s="10"/>
      <c r="CI528" s="69"/>
    </row>
    <row r="529" spans="3:87">
      <c r="C529" t="str">
        <f t="shared" si="107"/>
        <v/>
      </c>
      <c r="D529">
        <v>520</v>
      </c>
      <c r="E529" s="97">
        <v>165</v>
      </c>
      <c r="F529" s="366">
        <f t="shared" si="103"/>
        <v>3580.5</v>
      </c>
      <c r="G529" s="97">
        <v>4840</v>
      </c>
      <c r="H529" s="367">
        <f t="shared" si="104"/>
        <v>8420.5</v>
      </c>
      <c r="I529" s="368">
        <f t="shared" si="108"/>
        <v>0</v>
      </c>
      <c r="J529" s="97">
        <v>18261</v>
      </c>
      <c r="K529" s="367">
        <f t="shared" si="109"/>
        <v>13043.571428571429</v>
      </c>
      <c r="L529" s="10">
        <v>1</v>
      </c>
      <c r="M529" s="97">
        <v>3.1</v>
      </c>
      <c r="N529" s="605">
        <v>30</v>
      </c>
      <c r="O529" s="97">
        <v>4</v>
      </c>
      <c r="P529" s="97" t="s">
        <v>515</v>
      </c>
      <c r="Q529" s="97" t="str">
        <f t="shared" si="105"/>
        <v/>
      </c>
      <c r="R529" t="str">
        <f t="shared" si="106"/>
        <v/>
      </c>
      <c r="CB529" s="10"/>
      <c r="CI529" s="69"/>
    </row>
    <row r="530" spans="3:87">
      <c r="C530" t="str">
        <f t="shared" si="107"/>
        <v>NL</v>
      </c>
      <c r="D530">
        <v>521</v>
      </c>
      <c r="E530" s="97">
        <v>165</v>
      </c>
      <c r="F530" s="366">
        <f t="shared" si="103"/>
        <v>3580.5</v>
      </c>
      <c r="G530" s="97">
        <v>5200</v>
      </c>
      <c r="H530" s="367">
        <f t="shared" si="104"/>
        <v>8780.5</v>
      </c>
      <c r="I530" s="368">
        <f t="shared" si="108"/>
        <v>0</v>
      </c>
      <c r="J530" s="97">
        <v>19616</v>
      </c>
      <c r="K530" s="367">
        <f t="shared" si="109"/>
        <v>14011.428571428572</v>
      </c>
      <c r="L530" s="10">
        <v>0.66</v>
      </c>
      <c r="M530" s="97">
        <v>3.8000000000000003</v>
      </c>
      <c r="N530" s="605">
        <v>29</v>
      </c>
      <c r="O530" s="97">
        <v>5</v>
      </c>
      <c r="P530" s="97" t="s">
        <v>515</v>
      </c>
      <c r="Q530" s="97" t="str">
        <f t="shared" si="105"/>
        <v/>
      </c>
      <c r="R530" t="str">
        <f t="shared" si="106"/>
        <v/>
      </c>
      <c r="CB530" s="10"/>
      <c r="CI530" s="69"/>
    </row>
    <row r="531" spans="3:87">
      <c r="C531" t="str">
        <f t="shared" si="107"/>
        <v/>
      </c>
      <c r="D531">
        <v>522</v>
      </c>
      <c r="E531" s="97">
        <v>165</v>
      </c>
      <c r="F531" s="366">
        <f t="shared" si="103"/>
        <v>3580.5</v>
      </c>
      <c r="G531" s="97">
        <v>5422</v>
      </c>
      <c r="H531" s="367">
        <f t="shared" si="104"/>
        <v>9002.5</v>
      </c>
      <c r="I531" s="368">
        <f t="shared" si="108"/>
        <v>0</v>
      </c>
      <c r="J531" s="97">
        <v>20456</v>
      </c>
      <c r="K531" s="367">
        <f t="shared" si="109"/>
        <v>14611.428571428572</v>
      </c>
      <c r="L531" s="10">
        <v>0.46</v>
      </c>
      <c r="M531" s="97">
        <v>4.3999999999999995</v>
      </c>
      <c r="N531" s="605">
        <v>27</v>
      </c>
      <c r="O531" s="97">
        <v>6</v>
      </c>
      <c r="P531" s="97" t="s">
        <v>515</v>
      </c>
      <c r="Q531" s="97">
        <f t="shared" si="105"/>
        <v>522</v>
      </c>
      <c r="R531" t="str">
        <f t="shared" si="106"/>
        <v/>
      </c>
      <c r="CB531" s="10"/>
      <c r="CI531" s="69"/>
    </row>
    <row r="532" spans="3:87">
      <c r="C532" t="str">
        <f t="shared" si="107"/>
        <v/>
      </c>
      <c r="D532">
        <v>523</v>
      </c>
      <c r="E532" s="97">
        <v>165</v>
      </c>
      <c r="F532" s="366">
        <f t="shared" si="103"/>
        <v>3580.5</v>
      </c>
      <c r="G532" s="97">
        <v>6121</v>
      </c>
      <c r="H532" s="367">
        <f t="shared" si="104"/>
        <v>9701.5</v>
      </c>
      <c r="I532" s="368">
        <f t="shared" si="108"/>
        <v>0</v>
      </c>
      <c r="J532" s="97">
        <v>23093</v>
      </c>
      <c r="K532" s="367">
        <f t="shared" si="109"/>
        <v>16495</v>
      </c>
      <c r="L532" s="10">
        <v>0.76</v>
      </c>
      <c r="M532" s="97">
        <v>4.3999999999999995</v>
      </c>
      <c r="N532" s="605">
        <v>30</v>
      </c>
      <c r="O532" s="97">
        <v>6</v>
      </c>
      <c r="P532" s="97" t="s">
        <v>556</v>
      </c>
      <c r="Q532" s="97" t="str">
        <f t="shared" si="105"/>
        <v/>
      </c>
      <c r="R532" t="str">
        <f t="shared" si="106"/>
        <v/>
      </c>
      <c r="CB532" s="10"/>
      <c r="CI532" s="69"/>
    </row>
    <row r="533" spans="3:87">
      <c r="C533" t="str">
        <f t="shared" si="107"/>
        <v>NL</v>
      </c>
      <c r="D533">
        <v>524</v>
      </c>
      <c r="E533" s="97">
        <v>165</v>
      </c>
      <c r="F533" s="366">
        <f t="shared" si="103"/>
        <v>3580.5</v>
      </c>
      <c r="G533" s="97">
        <v>5606</v>
      </c>
      <c r="H533" s="367">
        <f t="shared" si="104"/>
        <v>9186.5</v>
      </c>
      <c r="I533" s="368">
        <f t="shared" si="108"/>
        <v>0</v>
      </c>
      <c r="J533" s="97">
        <v>21150</v>
      </c>
      <c r="K533" s="367">
        <f t="shared" si="109"/>
        <v>15107.142857142857</v>
      </c>
      <c r="L533" s="10">
        <v>0.34</v>
      </c>
      <c r="M533" s="97">
        <v>5.0999999999999996</v>
      </c>
      <c r="N533" s="605">
        <v>26</v>
      </c>
      <c r="O533" s="97">
        <v>7</v>
      </c>
      <c r="P533" s="97" t="s">
        <v>515</v>
      </c>
      <c r="Q533" s="97" t="str">
        <f t="shared" si="105"/>
        <v/>
      </c>
      <c r="R533" t="str">
        <f t="shared" si="106"/>
        <v/>
      </c>
      <c r="CB533" s="10"/>
      <c r="CI533" s="69"/>
    </row>
    <row r="534" spans="3:87">
      <c r="C534" t="str">
        <f t="shared" si="107"/>
        <v>NL</v>
      </c>
      <c r="D534">
        <v>525</v>
      </c>
      <c r="E534" s="97">
        <v>165</v>
      </c>
      <c r="F534" s="366">
        <f t="shared" si="103"/>
        <v>3580.5</v>
      </c>
      <c r="G534" s="97">
        <v>6522</v>
      </c>
      <c r="H534" s="367">
        <f t="shared" si="104"/>
        <v>10102.5</v>
      </c>
      <c r="I534" s="368">
        <f t="shared" si="108"/>
        <v>0</v>
      </c>
      <c r="J534" s="97">
        <v>24605</v>
      </c>
      <c r="K534" s="367">
        <f t="shared" si="109"/>
        <v>17575</v>
      </c>
      <c r="L534" s="10">
        <v>0.57000000000000006</v>
      </c>
      <c r="M534" s="97">
        <v>5.0999999999999996</v>
      </c>
      <c r="N534" s="605">
        <v>28</v>
      </c>
      <c r="O534" s="97">
        <v>7</v>
      </c>
      <c r="P534" s="97" t="s">
        <v>556</v>
      </c>
      <c r="Q534" s="97" t="str">
        <f t="shared" si="105"/>
        <v/>
      </c>
      <c r="R534" t="str">
        <f t="shared" si="106"/>
        <v/>
      </c>
      <c r="CB534" s="10"/>
      <c r="CI534" s="69"/>
    </row>
    <row r="535" spans="3:87">
      <c r="C535" t="str">
        <f t="shared" si="107"/>
        <v/>
      </c>
      <c r="D535">
        <v>526</v>
      </c>
      <c r="E535" s="97">
        <v>165</v>
      </c>
      <c r="F535" s="366">
        <f t="shared" si="103"/>
        <v>3580.5</v>
      </c>
      <c r="G535" s="97">
        <v>5311</v>
      </c>
      <c r="H535" s="367">
        <f t="shared" si="104"/>
        <v>8891.5</v>
      </c>
      <c r="I535" s="368">
        <f t="shared" si="108"/>
        <v>0</v>
      </c>
      <c r="J535" s="97">
        <v>20034</v>
      </c>
      <c r="K535" s="367">
        <f t="shared" si="109"/>
        <v>14310</v>
      </c>
      <c r="L535" s="10">
        <v>0.27</v>
      </c>
      <c r="M535" s="97">
        <v>5.8</v>
      </c>
      <c r="N535" s="605">
        <v>25</v>
      </c>
      <c r="O535" s="97">
        <v>8</v>
      </c>
      <c r="P535" s="97" t="s">
        <v>515</v>
      </c>
      <c r="Q535" s="97">
        <f t="shared" si="105"/>
        <v>526</v>
      </c>
      <c r="R535" t="str">
        <f t="shared" si="106"/>
        <v/>
      </c>
      <c r="CB535" s="10"/>
      <c r="CI535" s="69"/>
    </row>
    <row r="536" spans="3:87">
      <c r="C536" t="str">
        <f t="shared" si="107"/>
        <v/>
      </c>
      <c r="D536">
        <v>527</v>
      </c>
      <c r="E536" s="97">
        <v>165</v>
      </c>
      <c r="F536" s="366">
        <f t="shared" si="103"/>
        <v>3580.5</v>
      </c>
      <c r="G536" s="97">
        <v>6625</v>
      </c>
      <c r="H536" s="367">
        <f t="shared" si="104"/>
        <v>10205.5</v>
      </c>
      <c r="I536" s="368">
        <f t="shared" si="108"/>
        <v>0</v>
      </c>
      <c r="J536" s="97">
        <v>24992</v>
      </c>
      <c r="K536" s="367">
        <f t="shared" si="109"/>
        <v>17851.428571428572</v>
      </c>
      <c r="L536" s="10">
        <v>0.44</v>
      </c>
      <c r="M536" s="97">
        <v>5.8</v>
      </c>
      <c r="N536" s="605">
        <v>27</v>
      </c>
      <c r="O536" s="97">
        <v>8</v>
      </c>
      <c r="P536" s="97" t="s">
        <v>556</v>
      </c>
      <c r="Q536" s="97">
        <f t="shared" si="105"/>
        <v>527</v>
      </c>
      <c r="R536" t="str">
        <f t="shared" si="106"/>
        <v/>
      </c>
      <c r="CB536" s="10"/>
      <c r="CI536" s="69"/>
    </row>
    <row r="537" spans="3:87">
      <c r="C537" t="str">
        <f t="shared" si="107"/>
        <v/>
      </c>
      <c r="D537">
        <v>528</v>
      </c>
      <c r="E537" s="97">
        <v>165</v>
      </c>
      <c r="F537" s="366">
        <f t="shared" si="103"/>
        <v>3580.5</v>
      </c>
      <c r="G537" s="97">
        <v>7671</v>
      </c>
      <c r="H537" s="367">
        <f t="shared" si="104"/>
        <v>11251.5</v>
      </c>
      <c r="I537" s="368">
        <f t="shared" si="108"/>
        <v>0</v>
      </c>
      <c r="J537" s="97">
        <v>28940</v>
      </c>
      <c r="K537" s="367">
        <f t="shared" si="109"/>
        <v>20671.428571428572</v>
      </c>
      <c r="L537" s="10">
        <v>0.93</v>
      </c>
      <c r="M537" s="97">
        <v>5.8</v>
      </c>
      <c r="N537" s="605">
        <v>33</v>
      </c>
      <c r="O537" s="97">
        <v>8</v>
      </c>
      <c r="P537" s="97" t="s">
        <v>514</v>
      </c>
      <c r="Q537" s="97" t="str">
        <f t="shared" si="105"/>
        <v/>
      </c>
      <c r="R537" t="str">
        <f t="shared" si="106"/>
        <v/>
      </c>
      <c r="CB537" s="10"/>
      <c r="CI537" s="69"/>
    </row>
    <row r="538" spans="3:87">
      <c r="C538" t="str">
        <f t="shared" si="107"/>
        <v>NL</v>
      </c>
      <c r="D538">
        <v>529</v>
      </c>
      <c r="E538" s="97">
        <v>165</v>
      </c>
      <c r="F538" s="366">
        <f t="shared" si="103"/>
        <v>3580.5</v>
      </c>
      <c r="G538" s="97">
        <v>5079</v>
      </c>
      <c r="H538" s="367">
        <f t="shared" si="104"/>
        <v>8659.5</v>
      </c>
      <c r="I538" s="368">
        <f t="shared" si="108"/>
        <v>0</v>
      </c>
      <c r="J538" s="97">
        <v>19159</v>
      </c>
      <c r="K538" s="367">
        <f t="shared" si="109"/>
        <v>13685</v>
      </c>
      <c r="L538" s="10">
        <v>0.23</v>
      </c>
      <c r="M538" s="97">
        <v>6.5</v>
      </c>
      <c r="N538" s="605">
        <v>26</v>
      </c>
      <c r="O538" s="97">
        <v>9</v>
      </c>
      <c r="P538" s="97" t="s">
        <v>515</v>
      </c>
      <c r="Q538" s="97" t="str">
        <f t="shared" si="105"/>
        <v/>
      </c>
      <c r="R538" t="str">
        <f t="shared" si="106"/>
        <v/>
      </c>
      <c r="CB538" s="10"/>
      <c r="CI538" s="69"/>
    </row>
    <row r="539" spans="3:87">
      <c r="C539" t="str">
        <f t="shared" si="107"/>
        <v/>
      </c>
      <c r="D539">
        <v>530</v>
      </c>
      <c r="E539" s="97">
        <v>165</v>
      </c>
      <c r="F539" s="366">
        <f t="shared" si="103"/>
        <v>3580.5</v>
      </c>
      <c r="G539" s="97">
        <v>4967</v>
      </c>
      <c r="H539" s="367">
        <f t="shared" si="104"/>
        <v>8547.5</v>
      </c>
      <c r="I539" s="368">
        <f t="shared" si="108"/>
        <v>0</v>
      </c>
      <c r="J539" s="97">
        <v>18738</v>
      </c>
      <c r="K539" s="367">
        <f t="shared" si="109"/>
        <v>13384.285714285714</v>
      </c>
      <c r="L539" s="10">
        <v>0.19</v>
      </c>
      <c r="M539" s="97">
        <v>7.1999999999999993</v>
      </c>
      <c r="N539" s="605">
        <v>25</v>
      </c>
      <c r="O539" s="97">
        <v>10</v>
      </c>
      <c r="P539" s="97" t="s">
        <v>515</v>
      </c>
      <c r="Q539" s="97" t="str">
        <f t="shared" si="105"/>
        <v/>
      </c>
      <c r="R539" t="str">
        <f t="shared" si="106"/>
        <v/>
      </c>
      <c r="CB539" s="10"/>
      <c r="CI539" s="69"/>
    </row>
    <row r="540" spans="3:87">
      <c r="C540" t="str">
        <f t="shared" si="107"/>
        <v/>
      </c>
      <c r="D540">
        <v>531</v>
      </c>
      <c r="E540" s="97">
        <v>165</v>
      </c>
      <c r="F540" s="366">
        <f t="shared" si="103"/>
        <v>3580.5</v>
      </c>
      <c r="G540" s="97">
        <v>6303</v>
      </c>
      <c r="H540" s="367">
        <f t="shared" si="104"/>
        <v>9883.5</v>
      </c>
      <c r="I540" s="368">
        <f t="shared" si="108"/>
        <v>0</v>
      </c>
      <c r="J540" s="97">
        <v>23779</v>
      </c>
      <c r="K540" s="367">
        <f t="shared" si="109"/>
        <v>16985</v>
      </c>
      <c r="L540" s="10">
        <v>0.3</v>
      </c>
      <c r="M540" s="97">
        <v>7.1999999999999993</v>
      </c>
      <c r="N540" s="605">
        <v>27</v>
      </c>
      <c r="O540" s="97">
        <v>10</v>
      </c>
      <c r="P540" s="97" t="s">
        <v>556</v>
      </c>
      <c r="Q540" s="97" t="str">
        <f t="shared" si="105"/>
        <v/>
      </c>
      <c r="R540" t="str">
        <f t="shared" si="106"/>
        <v/>
      </c>
      <c r="CB540" s="10"/>
      <c r="CI540" s="69"/>
    </row>
    <row r="541" spans="3:87">
      <c r="C541" t="str">
        <f t="shared" si="107"/>
        <v/>
      </c>
      <c r="D541">
        <v>532</v>
      </c>
      <c r="E541" s="97">
        <v>165</v>
      </c>
      <c r="F541" s="366">
        <f t="shared" si="103"/>
        <v>3580.5</v>
      </c>
      <c r="G541" s="97">
        <v>7872</v>
      </c>
      <c r="H541" s="367">
        <f t="shared" si="104"/>
        <v>11452.5</v>
      </c>
      <c r="I541" s="368">
        <f t="shared" si="108"/>
        <v>0</v>
      </c>
      <c r="J541" s="97">
        <v>29695</v>
      </c>
      <c r="K541" s="367">
        <f t="shared" si="109"/>
        <v>21210.714285714286</v>
      </c>
      <c r="L541" s="10">
        <v>0.62</v>
      </c>
      <c r="M541" s="97">
        <v>7.1999999999999993</v>
      </c>
      <c r="N541" s="605">
        <v>32</v>
      </c>
      <c r="O541" s="97">
        <v>10</v>
      </c>
      <c r="P541" s="97" t="s">
        <v>514</v>
      </c>
      <c r="Q541" s="97" t="str">
        <f t="shared" si="105"/>
        <v/>
      </c>
      <c r="R541" t="str">
        <f t="shared" si="106"/>
        <v/>
      </c>
      <c r="CB541" s="10"/>
      <c r="CI541" s="69"/>
    </row>
    <row r="542" spans="3:87">
      <c r="C542" t="str">
        <f t="shared" si="107"/>
        <v/>
      </c>
      <c r="D542">
        <v>533</v>
      </c>
      <c r="E542" s="97">
        <v>165</v>
      </c>
      <c r="F542" s="366">
        <f t="shared" si="103"/>
        <v>3580.5</v>
      </c>
      <c r="G542" s="97">
        <v>8819</v>
      </c>
      <c r="H542" s="367">
        <f t="shared" si="104"/>
        <v>12399.5</v>
      </c>
      <c r="I542" s="368">
        <f t="shared" si="108"/>
        <v>0</v>
      </c>
      <c r="J542" s="97">
        <v>33268</v>
      </c>
      <c r="K542" s="367">
        <f t="shared" si="109"/>
        <v>23762.857142857145</v>
      </c>
      <c r="L542" s="10">
        <v>0.9</v>
      </c>
      <c r="M542" s="97">
        <v>7.1999999999999993</v>
      </c>
      <c r="N542" s="605">
        <v>30</v>
      </c>
      <c r="O542" s="97">
        <v>10</v>
      </c>
      <c r="P542" s="97" t="s">
        <v>555</v>
      </c>
      <c r="Q542" s="97" t="str">
        <f t="shared" si="105"/>
        <v/>
      </c>
      <c r="R542" t="str">
        <f t="shared" si="106"/>
        <v/>
      </c>
      <c r="CB542" s="10"/>
      <c r="CI542" s="69"/>
    </row>
    <row r="543" spans="3:87">
      <c r="C543" t="str">
        <f t="shared" si="107"/>
        <v>NL</v>
      </c>
      <c r="D543">
        <v>534</v>
      </c>
      <c r="E543" s="97">
        <v>170</v>
      </c>
      <c r="F543" s="366">
        <f t="shared" si="103"/>
        <v>3689</v>
      </c>
      <c r="G543" s="97">
        <v>5310</v>
      </c>
      <c r="H543" s="367">
        <f t="shared" si="104"/>
        <v>8999</v>
      </c>
      <c r="I543" s="368">
        <f t="shared" si="108"/>
        <v>0</v>
      </c>
      <c r="J543" s="97">
        <v>20033</v>
      </c>
      <c r="K543" s="367">
        <f t="shared" si="109"/>
        <v>14309.285714285714</v>
      </c>
      <c r="L543" s="10">
        <v>0.7</v>
      </c>
      <c r="M543" s="97">
        <v>3.8000000000000003</v>
      </c>
      <c r="N543" s="605">
        <v>29</v>
      </c>
      <c r="O543" s="97">
        <v>5</v>
      </c>
      <c r="P543" s="97" t="s">
        <v>515</v>
      </c>
      <c r="Q543" s="97" t="str">
        <f t="shared" si="105"/>
        <v/>
      </c>
      <c r="R543" t="str">
        <f t="shared" si="106"/>
        <v/>
      </c>
      <c r="CB543" s="10"/>
      <c r="CI543" s="69"/>
    </row>
    <row r="544" spans="3:87">
      <c r="C544" t="str">
        <f t="shared" si="107"/>
        <v/>
      </c>
      <c r="D544">
        <v>535</v>
      </c>
      <c r="E544" s="97">
        <v>170</v>
      </c>
      <c r="F544" s="366">
        <f t="shared" si="103"/>
        <v>3689</v>
      </c>
      <c r="G544" s="97">
        <v>5524</v>
      </c>
      <c r="H544" s="367">
        <f t="shared" si="104"/>
        <v>9213</v>
      </c>
      <c r="I544" s="368">
        <f t="shared" si="108"/>
        <v>0</v>
      </c>
      <c r="J544" s="97">
        <v>20839</v>
      </c>
      <c r="K544" s="367">
        <f t="shared" si="109"/>
        <v>14885</v>
      </c>
      <c r="L544" s="10">
        <v>0.49</v>
      </c>
      <c r="M544" s="97">
        <v>4.3999999999999995</v>
      </c>
      <c r="N544" s="605">
        <v>27</v>
      </c>
      <c r="O544" s="97">
        <v>6</v>
      </c>
      <c r="P544" s="97" t="s">
        <v>515</v>
      </c>
      <c r="Q544" s="97">
        <f t="shared" si="105"/>
        <v>535</v>
      </c>
      <c r="R544" t="str">
        <f t="shared" si="106"/>
        <v/>
      </c>
      <c r="CB544" s="10"/>
      <c r="CI544" s="69"/>
    </row>
    <row r="545" spans="3:87">
      <c r="C545" t="str">
        <f t="shared" si="107"/>
        <v/>
      </c>
      <c r="D545">
        <v>536</v>
      </c>
      <c r="E545" s="97">
        <v>170</v>
      </c>
      <c r="F545" s="366">
        <f t="shared" si="103"/>
        <v>3689</v>
      </c>
      <c r="G545" s="97">
        <v>6250</v>
      </c>
      <c r="H545" s="367">
        <f t="shared" si="104"/>
        <v>9939</v>
      </c>
      <c r="I545" s="368">
        <f t="shared" si="108"/>
        <v>0</v>
      </c>
      <c r="J545" s="97">
        <v>23578</v>
      </c>
      <c r="K545" s="367">
        <f t="shared" si="109"/>
        <v>16841.428571428572</v>
      </c>
      <c r="L545" s="10">
        <v>0.81</v>
      </c>
      <c r="M545" s="97">
        <v>4.3999999999999995</v>
      </c>
      <c r="N545" s="605">
        <v>30</v>
      </c>
      <c r="O545" s="97">
        <v>6</v>
      </c>
      <c r="P545" s="97" t="s">
        <v>556</v>
      </c>
      <c r="Q545" s="97" t="str">
        <f t="shared" si="105"/>
        <v/>
      </c>
      <c r="R545" t="str">
        <f t="shared" si="106"/>
        <v/>
      </c>
      <c r="CB545" s="10"/>
      <c r="CI545" s="69"/>
    </row>
    <row r="546" spans="3:87">
      <c r="C546" t="str">
        <f t="shared" si="107"/>
        <v>NL</v>
      </c>
      <c r="D546">
        <v>537</v>
      </c>
      <c r="E546" s="97">
        <v>170</v>
      </c>
      <c r="F546" s="366">
        <f t="shared" si="103"/>
        <v>3689</v>
      </c>
      <c r="G546" s="97">
        <v>5721</v>
      </c>
      <c r="H546" s="367">
        <f t="shared" si="104"/>
        <v>9410</v>
      </c>
      <c r="I546" s="368">
        <f t="shared" si="108"/>
        <v>0</v>
      </c>
      <c r="J546" s="97">
        <v>21582</v>
      </c>
      <c r="K546" s="367">
        <f t="shared" si="109"/>
        <v>15415.714285714286</v>
      </c>
      <c r="L546" s="10">
        <v>0.36</v>
      </c>
      <c r="M546" s="97">
        <v>5.0999999999999996</v>
      </c>
      <c r="N546" s="605">
        <v>26</v>
      </c>
      <c r="O546" s="97">
        <v>7</v>
      </c>
      <c r="P546" s="97" t="s">
        <v>515</v>
      </c>
      <c r="Q546" s="97" t="str">
        <f t="shared" si="105"/>
        <v/>
      </c>
      <c r="R546" t="str">
        <f t="shared" si="106"/>
        <v/>
      </c>
      <c r="CB546" s="10"/>
      <c r="CI546" s="69"/>
    </row>
    <row r="547" spans="3:87">
      <c r="C547" t="str">
        <f t="shared" si="107"/>
        <v>NL</v>
      </c>
      <c r="D547">
        <v>538</v>
      </c>
      <c r="E547" s="97">
        <v>170</v>
      </c>
      <c r="F547" s="366">
        <f t="shared" si="103"/>
        <v>3689</v>
      </c>
      <c r="G547" s="97">
        <v>6656</v>
      </c>
      <c r="H547" s="367">
        <f t="shared" si="104"/>
        <v>10345</v>
      </c>
      <c r="I547" s="368">
        <f t="shared" si="108"/>
        <v>0</v>
      </c>
      <c r="J547" s="97">
        <v>25111</v>
      </c>
      <c r="K547" s="367">
        <f t="shared" si="109"/>
        <v>17936.428571428572</v>
      </c>
      <c r="L547" s="10">
        <v>0.6</v>
      </c>
      <c r="M547" s="97">
        <v>5.0999999999999996</v>
      </c>
      <c r="N547" s="605">
        <v>29</v>
      </c>
      <c r="O547" s="97">
        <v>7</v>
      </c>
      <c r="P547" s="97" t="s">
        <v>556</v>
      </c>
      <c r="Q547" s="97" t="str">
        <f t="shared" si="105"/>
        <v/>
      </c>
      <c r="R547" t="str">
        <f t="shared" si="106"/>
        <v/>
      </c>
      <c r="CB547" s="10"/>
      <c r="CI547" s="69"/>
    </row>
    <row r="548" spans="3:87">
      <c r="C548" t="str">
        <f t="shared" si="107"/>
        <v/>
      </c>
      <c r="D548">
        <v>539</v>
      </c>
      <c r="E548" s="97">
        <v>170</v>
      </c>
      <c r="F548" s="366">
        <f t="shared" si="103"/>
        <v>3689</v>
      </c>
      <c r="G548" s="97">
        <v>5519</v>
      </c>
      <c r="H548" s="367">
        <f t="shared" si="104"/>
        <v>9208</v>
      </c>
      <c r="I548" s="368">
        <f t="shared" si="108"/>
        <v>0</v>
      </c>
      <c r="J548" s="97">
        <v>20820</v>
      </c>
      <c r="K548" s="367">
        <f t="shared" si="109"/>
        <v>14871.428571428572</v>
      </c>
      <c r="L548" s="10">
        <v>0.29000000000000004</v>
      </c>
      <c r="M548" s="97">
        <v>5.8</v>
      </c>
      <c r="N548" s="605">
        <v>26</v>
      </c>
      <c r="O548" s="97">
        <v>8</v>
      </c>
      <c r="P548" s="97" t="s">
        <v>515</v>
      </c>
      <c r="Q548" s="97">
        <f t="shared" si="105"/>
        <v>539</v>
      </c>
      <c r="R548" t="str">
        <f t="shared" si="106"/>
        <v/>
      </c>
      <c r="CB548" s="10"/>
      <c r="CI548" s="69"/>
    </row>
    <row r="549" spans="3:87">
      <c r="C549" t="str">
        <f t="shared" si="107"/>
        <v/>
      </c>
      <c r="D549">
        <v>540</v>
      </c>
      <c r="E549" s="97">
        <v>170</v>
      </c>
      <c r="F549" s="366">
        <f t="shared" si="103"/>
        <v>3689</v>
      </c>
      <c r="G549" s="97">
        <v>6766</v>
      </c>
      <c r="H549" s="367">
        <f t="shared" si="104"/>
        <v>10455</v>
      </c>
      <c r="I549" s="368">
        <f t="shared" si="108"/>
        <v>0</v>
      </c>
      <c r="J549" s="97">
        <v>25526</v>
      </c>
      <c r="K549" s="367">
        <f t="shared" si="109"/>
        <v>18232.857142857145</v>
      </c>
      <c r="L549" s="10">
        <v>0.47000000000000003</v>
      </c>
      <c r="M549" s="97">
        <v>5.8</v>
      </c>
      <c r="N549" s="605">
        <v>28</v>
      </c>
      <c r="O549" s="97">
        <v>8</v>
      </c>
      <c r="P549" s="97" t="s">
        <v>556</v>
      </c>
      <c r="Q549" s="97">
        <f t="shared" si="105"/>
        <v>540</v>
      </c>
      <c r="R549" t="str">
        <f t="shared" si="106"/>
        <v/>
      </c>
      <c r="CB549" s="10"/>
      <c r="CI549" s="69"/>
    </row>
    <row r="550" spans="3:87">
      <c r="C550" t="str">
        <f t="shared" si="107"/>
        <v/>
      </c>
      <c r="D550">
        <v>541</v>
      </c>
      <c r="E550" s="97">
        <v>170</v>
      </c>
      <c r="F550" s="366">
        <f t="shared" si="103"/>
        <v>3689</v>
      </c>
      <c r="G550" s="97">
        <v>7826</v>
      </c>
      <c r="H550" s="367">
        <f t="shared" si="104"/>
        <v>11515</v>
      </c>
      <c r="I550" s="368">
        <f t="shared" si="108"/>
        <v>0</v>
      </c>
      <c r="J550" s="97">
        <v>29524</v>
      </c>
      <c r="K550" s="367">
        <f t="shared" si="109"/>
        <v>21088.571428571428</v>
      </c>
      <c r="L550" s="10">
        <v>0.99</v>
      </c>
      <c r="M550" s="97">
        <v>5.8</v>
      </c>
      <c r="N550" s="605">
        <v>33</v>
      </c>
      <c r="O550" s="97">
        <v>8</v>
      </c>
      <c r="P550" s="97" t="s">
        <v>514</v>
      </c>
      <c r="Q550" s="97" t="str">
        <f t="shared" si="105"/>
        <v/>
      </c>
      <c r="R550" t="str">
        <f t="shared" si="106"/>
        <v/>
      </c>
      <c r="CB550" s="10"/>
      <c r="CI550" s="69"/>
    </row>
    <row r="551" spans="3:87">
      <c r="C551" t="str">
        <f t="shared" si="107"/>
        <v>NL</v>
      </c>
      <c r="D551">
        <v>542</v>
      </c>
      <c r="E551" s="97">
        <v>170</v>
      </c>
      <c r="F551" s="366">
        <f t="shared" si="103"/>
        <v>3689</v>
      </c>
      <c r="G551" s="97">
        <v>5268</v>
      </c>
      <c r="H551" s="367">
        <f t="shared" si="104"/>
        <v>8957</v>
      </c>
      <c r="I551" s="368">
        <f t="shared" si="108"/>
        <v>0</v>
      </c>
      <c r="J551" s="97">
        <v>19873</v>
      </c>
      <c r="K551" s="367">
        <f t="shared" si="109"/>
        <v>14195</v>
      </c>
      <c r="L551" s="10">
        <v>0.24000000000000002</v>
      </c>
      <c r="M551" s="97">
        <v>6.5</v>
      </c>
      <c r="N551" s="605">
        <v>26</v>
      </c>
      <c r="O551" s="97">
        <v>9</v>
      </c>
      <c r="P551" s="97" t="s">
        <v>515</v>
      </c>
      <c r="Q551" s="97" t="str">
        <f t="shared" si="105"/>
        <v/>
      </c>
      <c r="R551" t="str">
        <f t="shared" si="106"/>
        <v/>
      </c>
      <c r="CB551" s="10"/>
      <c r="CI551" s="69"/>
    </row>
    <row r="552" spans="3:87">
      <c r="C552" t="str">
        <f t="shared" si="107"/>
        <v/>
      </c>
      <c r="D552">
        <v>543</v>
      </c>
      <c r="E552" s="97">
        <v>170</v>
      </c>
      <c r="F552" s="366">
        <f t="shared" si="103"/>
        <v>3689</v>
      </c>
      <c r="G552" s="97">
        <v>5089</v>
      </c>
      <c r="H552" s="367">
        <f t="shared" si="104"/>
        <v>8778</v>
      </c>
      <c r="I552" s="368">
        <f t="shared" si="108"/>
        <v>0</v>
      </c>
      <c r="J552" s="97">
        <v>19198</v>
      </c>
      <c r="K552" s="367">
        <f t="shared" si="109"/>
        <v>13712.857142857143</v>
      </c>
      <c r="L552" s="10">
        <v>0.2</v>
      </c>
      <c r="M552" s="97">
        <v>7.1999999999999993</v>
      </c>
      <c r="N552" s="605">
        <v>26</v>
      </c>
      <c r="O552" s="97">
        <v>10</v>
      </c>
      <c r="P552" s="97" t="s">
        <v>515</v>
      </c>
      <c r="Q552" s="97" t="str">
        <f t="shared" si="105"/>
        <v/>
      </c>
      <c r="R552" t="str">
        <f t="shared" si="106"/>
        <v/>
      </c>
      <c r="CB552" s="10"/>
      <c r="CI552" s="69"/>
    </row>
    <row r="553" spans="3:87">
      <c r="C553" t="str">
        <f t="shared" si="107"/>
        <v/>
      </c>
      <c r="D553">
        <v>544</v>
      </c>
      <c r="E553" s="97">
        <v>170</v>
      </c>
      <c r="F553" s="366">
        <f t="shared" si="103"/>
        <v>3689</v>
      </c>
      <c r="G553" s="97">
        <v>6541</v>
      </c>
      <c r="H553" s="367">
        <f t="shared" si="104"/>
        <v>10230</v>
      </c>
      <c r="I553" s="368">
        <f t="shared" si="108"/>
        <v>0</v>
      </c>
      <c r="J553" s="97">
        <v>24677</v>
      </c>
      <c r="K553" s="367">
        <f t="shared" si="109"/>
        <v>17626.428571428572</v>
      </c>
      <c r="L553" s="10">
        <v>0.32</v>
      </c>
      <c r="M553" s="97">
        <v>7.1999999999999993</v>
      </c>
      <c r="N553" s="605">
        <v>27</v>
      </c>
      <c r="O553" s="97">
        <v>10</v>
      </c>
      <c r="P553" s="97" t="s">
        <v>556</v>
      </c>
      <c r="Q553" s="97" t="str">
        <f t="shared" si="105"/>
        <v/>
      </c>
      <c r="R553" t="str">
        <f t="shared" si="106"/>
        <v/>
      </c>
      <c r="CB553" s="10"/>
      <c r="CI553" s="69"/>
    </row>
    <row r="554" spans="3:87">
      <c r="C554" t="str">
        <f t="shared" si="107"/>
        <v/>
      </c>
      <c r="D554">
        <v>545</v>
      </c>
      <c r="E554" s="97">
        <v>170</v>
      </c>
      <c r="F554" s="366">
        <f t="shared" si="103"/>
        <v>3689</v>
      </c>
      <c r="G554" s="97">
        <v>8034</v>
      </c>
      <c r="H554" s="367">
        <f t="shared" si="104"/>
        <v>11723</v>
      </c>
      <c r="I554" s="368">
        <f t="shared" si="108"/>
        <v>0</v>
      </c>
      <c r="J554" s="97">
        <v>30309</v>
      </c>
      <c r="K554" s="367">
        <f t="shared" si="109"/>
        <v>21649.285714285714</v>
      </c>
      <c r="L554" s="10">
        <v>0.66</v>
      </c>
      <c r="M554" s="97">
        <v>7.1999999999999993</v>
      </c>
      <c r="N554" s="605">
        <v>32</v>
      </c>
      <c r="O554" s="97">
        <v>10</v>
      </c>
      <c r="P554" s="97" t="s">
        <v>514</v>
      </c>
      <c r="Q554" s="97" t="str">
        <f t="shared" si="105"/>
        <v/>
      </c>
      <c r="R554" t="str">
        <f t="shared" si="106"/>
        <v/>
      </c>
      <c r="CB554" s="10"/>
      <c r="CI554" s="69"/>
    </row>
    <row r="555" spans="3:87">
      <c r="C555" t="str">
        <f t="shared" si="107"/>
        <v/>
      </c>
      <c r="D555">
        <v>546</v>
      </c>
      <c r="E555" s="97">
        <v>170</v>
      </c>
      <c r="F555" s="366">
        <f t="shared" si="103"/>
        <v>3689</v>
      </c>
      <c r="G555" s="97">
        <v>8997</v>
      </c>
      <c r="H555" s="367">
        <f t="shared" si="104"/>
        <v>12686</v>
      </c>
      <c r="I555" s="368">
        <f t="shared" si="108"/>
        <v>0</v>
      </c>
      <c r="J555" s="97">
        <v>33941</v>
      </c>
      <c r="K555" s="367">
        <f t="shared" si="109"/>
        <v>24243.571428571428</v>
      </c>
      <c r="L555" s="10">
        <v>0.95</v>
      </c>
      <c r="M555" s="97">
        <v>7.1999999999999993</v>
      </c>
      <c r="N555" s="605">
        <v>31</v>
      </c>
      <c r="O555" s="97">
        <v>10</v>
      </c>
      <c r="P555" s="97" t="s">
        <v>555</v>
      </c>
      <c r="Q555" s="97" t="str">
        <f t="shared" si="105"/>
        <v/>
      </c>
      <c r="R555" t="str">
        <f t="shared" si="106"/>
        <v/>
      </c>
      <c r="CB555" s="10"/>
      <c r="CI555" s="69"/>
    </row>
    <row r="556" spans="3:87">
      <c r="C556" t="str">
        <f t="shared" si="107"/>
        <v>NL</v>
      </c>
      <c r="D556">
        <v>547</v>
      </c>
      <c r="E556" s="97">
        <v>175</v>
      </c>
      <c r="F556" s="366">
        <f t="shared" si="103"/>
        <v>3797.5</v>
      </c>
      <c r="G556" s="97">
        <v>5415</v>
      </c>
      <c r="H556" s="367">
        <f t="shared" si="104"/>
        <v>9212.5</v>
      </c>
      <c r="I556" s="368">
        <f t="shared" si="108"/>
        <v>0</v>
      </c>
      <c r="J556" s="97">
        <v>20429</v>
      </c>
      <c r="K556" s="367">
        <f t="shared" si="109"/>
        <v>14592.142857142857</v>
      </c>
      <c r="L556" s="10">
        <v>0.75</v>
      </c>
      <c r="M556" s="97">
        <v>3.8000000000000003</v>
      </c>
      <c r="N556" s="605">
        <v>30</v>
      </c>
      <c r="O556" s="97">
        <v>5</v>
      </c>
      <c r="P556" s="97" t="s">
        <v>515</v>
      </c>
      <c r="Q556" s="97" t="str">
        <f t="shared" si="105"/>
        <v/>
      </c>
      <c r="R556" t="str">
        <f t="shared" si="106"/>
        <v/>
      </c>
      <c r="CB556" s="10"/>
      <c r="CI556" s="69"/>
    </row>
    <row r="557" spans="3:87">
      <c r="C557" t="str">
        <f t="shared" si="107"/>
        <v/>
      </c>
      <c r="D557">
        <v>548</v>
      </c>
      <c r="E557" s="97">
        <v>175</v>
      </c>
      <c r="F557" s="366">
        <f t="shared" si="103"/>
        <v>3797.5</v>
      </c>
      <c r="G557" s="97">
        <v>5626</v>
      </c>
      <c r="H557" s="367">
        <f t="shared" si="104"/>
        <v>9423.5</v>
      </c>
      <c r="I557" s="368">
        <f t="shared" si="108"/>
        <v>0</v>
      </c>
      <c r="J557" s="97">
        <v>21226</v>
      </c>
      <c r="K557" s="367">
        <f t="shared" si="109"/>
        <v>15161.428571428572</v>
      </c>
      <c r="L557" s="10">
        <v>0.51</v>
      </c>
      <c r="M557" s="97">
        <v>4.3999999999999995</v>
      </c>
      <c r="N557" s="605">
        <v>28</v>
      </c>
      <c r="O557" s="97">
        <v>6</v>
      </c>
      <c r="P557" s="97" t="s">
        <v>515</v>
      </c>
      <c r="Q557" s="97">
        <f t="shared" si="105"/>
        <v>548</v>
      </c>
      <c r="R557" t="str">
        <f t="shared" si="106"/>
        <v/>
      </c>
      <c r="CB557" s="10"/>
      <c r="CI557" s="69"/>
    </row>
    <row r="558" spans="3:87">
      <c r="C558" t="str">
        <f t="shared" si="107"/>
        <v/>
      </c>
      <c r="D558">
        <v>549</v>
      </c>
      <c r="E558" s="97">
        <v>175</v>
      </c>
      <c r="F558" s="366">
        <f t="shared" si="103"/>
        <v>3797.5</v>
      </c>
      <c r="G558" s="97">
        <v>6379</v>
      </c>
      <c r="H558" s="367">
        <f t="shared" si="104"/>
        <v>10176.5</v>
      </c>
      <c r="I558" s="368">
        <f t="shared" si="108"/>
        <v>0</v>
      </c>
      <c r="J558" s="97">
        <v>24064</v>
      </c>
      <c r="K558" s="367">
        <f t="shared" si="109"/>
        <v>17188.571428571428</v>
      </c>
      <c r="L558" s="10">
        <v>0.86</v>
      </c>
      <c r="M558" s="97">
        <v>4.3999999999999995</v>
      </c>
      <c r="N558" s="605">
        <v>30</v>
      </c>
      <c r="O558" s="97">
        <v>6</v>
      </c>
      <c r="P558" s="97" t="s">
        <v>556</v>
      </c>
      <c r="Q558" s="97" t="str">
        <f t="shared" si="105"/>
        <v/>
      </c>
      <c r="R558" t="str">
        <f t="shared" si="106"/>
        <v/>
      </c>
      <c r="CB558" s="10"/>
      <c r="CI558" s="69"/>
    </row>
    <row r="559" spans="3:87">
      <c r="C559" t="str">
        <f t="shared" si="107"/>
        <v>NL</v>
      </c>
      <c r="D559">
        <v>550</v>
      </c>
      <c r="E559" s="97">
        <v>175</v>
      </c>
      <c r="F559" s="366">
        <f t="shared" si="103"/>
        <v>3797.5</v>
      </c>
      <c r="G559" s="97">
        <v>5835</v>
      </c>
      <c r="H559" s="367">
        <f t="shared" si="104"/>
        <v>9632.5</v>
      </c>
      <c r="I559" s="368">
        <f t="shared" si="108"/>
        <v>0</v>
      </c>
      <c r="J559" s="97">
        <v>22013</v>
      </c>
      <c r="K559" s="367">
        <f t="shared" si="109"/>
        <v>15723.571428571429</v>
      </c>
      <c r="L559" s="10">
        <v>0.38</v>
      </c>
      <c r="M559" s="97">
        <v>5.0999999999999996</v>
      </c>
      <c r="N559" s="605">
        <v>27</v>
      </c>
      <c r="O559" s="97">
        <v>7</v>
      </c>
      <c r="P559" s="97" t="s">
        <v>515</v>
      </c>
      <c r="Q559" s="97" t="str">
        <f t="shared" si="105"/>
        <v/>
      </c>
      <c r="R559" t="str">
        <f t="shared" si="106"/>
        <v/>
      </c>
      <c r="CB559" s="10"/>
      <c r="CI559" s="69"/>
    </row>
    <row r="560" spans="3:87">
      <c r="C560" t="str">
        <f t="shared" si="107"/>
        <v>NL</v>
      </c>
      <c r="D560">
        <v>551</v>
      </c>
      <c r="E560" s="97">
        <v>175</v>
      </c>
      <c r="F560" s="366">
        <f t="shared" si="103"/>
        <v>3797.5</v>
      </c>
      <c r="G560" s="97">
        <v>6791</v>
      </c>
      <c r="H560" s="367">
        <f t="shared" si="104"/>
        <v>10588.5</v>
      </c>
      <c r="I560" s="368">
        <f t="shared" si="108"/>
        <v>0</v>
      </c>
      <c r="J560" s="97">
        <v>25617</v>
      </c>
      <c r="K560" s="367">
        <f t="shared" si="109"/>
        <v>18297.857142857145</v>
      </c>
      <c r="L560" s="10">
        <v>0.64</v>
      </c>
      <c r="M560" s="97">
        <v>5.0999999999999996</v>
      </c>
      <c r="N560" s="605">
        <v>29</v>
      </c>
      <c r="O560" s="97">
        <v>7</v>
      </c>
      <c r="P560" s="97" t="s">
        <v>556</v>
      </c>
      <c r="Q560" s="97" t="str">
        <f t="shared" si="105"/>
        <v/>
      </c>
      <c r="R560" t="str">
        <f t="shared" si="106"/>
        <v/>
      </c>
      <c r="CB560" s="10"/>
      <c r="CI560" s="69"/>
    </row>
    <row r="561" spans="3:87">
      <c r="C561" t="str">
        <f t="shared" si="107"/>
        <v/>
      </c>
      <c r="D561">
        <v>552</v>
      </c>
      <c r="E561" s="97">
        <v>175</v>
      </c>
      <c r="F561" s="366">
        <f t="shared" si="103"/>
        <v>3797.5</v>
      </c>
      <c r="G561" s="97">
        <v>5727</v>
      </c>
      <c r="H561" s="367">
        <f t="shared" si="104"/>
        <v>9524.5</v>
      </c>
      <c r="I561" s="368">
        <f t="shared" si="108"/>
        <v>0</v>
      </c>
      <c r="J561" s="97">
        <v>21606</v>
      </c>
      <c r="K561" s="367">
        <f t="shared" si="109"/>
        <v>15432.857142857143</v>
      </c>
      <c r="L561" s="10">
        <v>0.3</v>
      </c>
      <c r="M561" s="97">
        <v>5.8</v>
      </c>
      <c r="N561" s="605">
        <v>26</v>
      </c>
      <c r="O561" s="97">
        <v>8</v>
      </c>
      <c r="P561" s="97" t="s">
        <v>515</v>
      </c>
      <c r="Q561" s="97">
        <f t="shared" si="105"/>
        <v>552</v>
      </c>
      <c r="R561" t="str">
        <f t="shared" si="106"/>
        <v/>
      </c>
      <c r="CB561" s="10"/>
      <c r="CI561" s="69"/>
    </row>
    <row r="562" spans="3:87">
      <c r="C562" t="str">
        <f t="shared" si="107"/>
        <v/>
      </c>
      <c r="D562">
        <v>553</v>
      </c>
      <c r="E562" s="97">
        <v>175</v>
      </c>
      <c r="F562" s="366">
        <f t="shared" si="103"/>
        <v>3797.5</v>
      </c>
      <c r="G562" s="97">
        <v>6907</v>
      </c>
      <c r="H562" s="367">
        <f t="shared" si="104"/>
        <v>10704.5</v>
      </c>
      <c r="I562" s="368">
        <f t="shared" si="108"/>
        <v>0</v>
      </c>
      <c r="J562" s="97">
        <v>26055</v>
      </c>
      <c r="K562" s="367">
        <f t="shared" si="109"/>
        <v>18610.714285714286</v>
      </c>
      <c r="L562" s="10">
        <v>0.49</v>
      </c>
      <c r="M562" s="97">
        <v>5.8</v>
      </c>
      <c r="N562" s="605">
        <v>28</v>
      </c>
      <c r="O562" s="97">
        <v>8</v>
      </c>
      <c r="P562" s="97" t="s">
        <v>556</v>
      </c>
      <c r="Q562" s="97">
        <f t="shared" si="105"/>
        <v>553</v>
      </c>
      <c r="R562" t="str">
        <f t="shared" si="106"/>
        <v/>
      </c>
      <c r="CB562" s="10"/>
      <c r="CI562" s="69"/>
    </row>
    <row r="563" spans="3:87">
      <c r="C563" t="str">
        <f t="shared" si="107"/>
        <v/>
      </c>
      <c r="D563">
        <v>554</v>
      </c>
      <c r="E563" s="97">
        <v>175</v>
      </c>
      <c r="F563" s="366">
        <f t="shared" si="103"/>
        <v>3797.5</v>
      </c>
      <c r="G563" s="97">
        <v>7981</v>
      </c>
      <c r="H563" s="367">
        <f t="shared" si="104"/>
        <v>11778.5</v>
      </c>
      <c r="I563" s="368">
        <f t="shared" si="108"/>
        <v>0</v>
      </c>
      <c r="J563" s="97">
        <v>30108</v>
      </c>
      <c r="K563" s="367">
        <f t="shared" si="109"/>
        <v>21505.714285714286</v>
      </c>
      <c r="L563" s="10">
        <v>1.04</v>
      </c>
      <c r="M563" s="97">
        <v>5.8</v>
      </c>
      <c r="N563" s="605">
        <v>34</v>
      </c>
      <c r="O563" s="97">
        <v>8</v>
      </c>
      <c r="P563" s="97" t="s">
        <v>514</v>
      </c>
      <c r="Q563" s="97" t="str">
        <f t="shared" si="105"/>
        <v/>
      </c>
      <c r="R563" t="str">
        <f t="shared" si="106"/>
        <v/>
      </c>
      <c r="CB563" s="10"/>
      <c r="CI563" s="69"/>
    </row>
    <row r="564" spans="3:87">
      <c r="C564" t="str">
        <f t="shared" si="107"/>
        <v>NL</v>
      </c>
      <c r="D564">
        <v>555</v>
      </c>
      <c r="E564" s="97">
        <v>175</v>
      </c>
      <c r="F564" s="366">
        <f t="shared" si="103"/>
        <v>3797.5</v>
      </c>
      <c r="G564" s="97">
        <v>5457</v>
      </c>
      <c r="H564" s="367">
        <f t="shared" si="104"/>
        <v>9254.5</v>
      </c>
      <c r="I564" s="368">
        <f t="shared" si="108"/>
        <v>0</v>
      </c>
      <c r="J564" s="97">
        <v>20587</v>
      </c>
      <c r="K564" s="367">
        <f t="shared" si="109"/>
        <v>14705</v>
      </c>
      <c r="L564" s="10">
        <v>0.26</v>
      </c>
      <c r="M564" s="97">
        <v>6.5</v>
      </c>
      <c r="N564" s="605">
        <v>26</v>
      </c>
      <c r="O564" s="97">
        <v>9</v>
      </c>
      <c r="P564" s="97" t="s">
        <v>515</v>
      </c>
      <c r="Q564" s="97" t="str">
        <f t="shared" si="105"/>
        <v/>
      </c>
      <c r="R564" t="str">
        <f t="shared" si="106"/>
        <v/>
      </c>
      <c r="CB564" s="10"/>
      <c r="CI564" s="69"/>
    </row>
    <row r="565" spans="3:87">
      <c r="C565" t="str">
        <f t="shared" si="107"/>
        <v/>
      </c>
      <c r="D565">
        <v>556</v>
      </c>
      <c r="E565" s="97">
        <v>175</v>
      </c>
      <c r="F565" s="366">
        <f t="shared" si="103"/>
        <v>3797.5</v>
      </c>
      <c r="G565" s="97">
        <v>5220</v>
      </c>
      <c r="H565" s="367">
        <f t="shared" si="104"/>
        <v>9017.5</v>
      </c>
      <c r="I565" s="368">
        <f t="shared" si="108"/>
        <v>0</v>
      </c>
      <c r="J565" s="97">
        <v>19693</v>
      </c>
      <c r="K565" s="367">
        <f t="shared" si="109"/>
        <v>14066.428571428572</v>
      </c>
      <c r="L565" s="10">
        <v>0.21000000000000002</v>
      </c>
      <c r="M565" s="97">
        <v>7.1999999999999993</v>
      </c>
      <c r="N565" s="605">
        <v>26</v>
      </c>
      <c r="O565" s="97">
        <v>10</v>
      </c>
      <c r="P565" s="97" t="s">
        <v>515</v>
      </c>
      <c r="Q565" s="97" t="str">
        <f t="shared" si="105"/>
        <v/>
      </c>
      <c r="R565" t="str">
        <f t="shared" si="106"/>
        <v/>
      </c>
      <c r="CB565" s="10"/>
      <c r="CI565" s="69"/>
    </row>
    <row r="566" spans="3:87">
      <c r="C566" t="str">
        <f t="shared" si="107"/>
        <v/>
      </c>
      <c r="D566">
        <v>557</v>
      </c>
      <c r="E566" s="97">
        <v>175</v>
      </c>
      <c r="F566" s="366">
        <f t="shared" si="103"/>
        <v>3797.5</v>
      </c>
      <c r="G566" s="97">
        <v>6779</v>
      </c>
      <c r="H566" s="367">
        <f t="shared" si="104"/>
        <v>10576.5</v>
      </c>
      <c r="I566" s="368">
        <f t="shared" si="108"/>
        <v>0</v>
      </c>
      <c r="J566" s="97">
        <v>25575</v>
      </c>
      <c r="K566" s="367">
        <f t="shared" si="109"/>
        <v>18267.857142857145</v>
      </c>
      <c r="L566" s="10">
        <v>0.34</v>
      </c>
      <c r="M566" s="97">
        <v>7.1999999999999993</v>
      </c>
      <c r="N566" s="605">
        <v>28</v>
      </c>
      <c r="O566" s="97">
        <v>10</v>
      </c>
      <c r="P566" s="97" t="s">
        <v>556</v>
      </c>
      <c r="Q566" s="97" t="str">
        <f t="shared" si="105"/>
        <v/>
      </c>
      <c r="R566" t="str">
        <f t="shared" si="106"/>
        <v/>
      </c>
      <c r="CB566" s="10"/>
      <c r="CI566" s="69"/>
    </row>
    <row r="567" spans="3:87">
      <c r="C567" t="str">
        <f t="shared" si="107"/>
        <v/>
      </c>
      <c r="D567">
        <v>558</v>
      </c>
      <c r="E567" s="97">
        <v>175</v>
      </c>
      <c r="F567" s="366">
        <f t="shared" si="103"/>
        <v>3797.5</v>
      </c>
      <c r="G567" s="97">
        <v>8190</v>
      </c>
      <c r="H567" s="367">
        <f t="shared" si="104"/>
        <v>11987.5</v>
      </c>
      <c r="I567" s="368">
        <f t="shared" si="108"/>
        <v>0</v>
      </c>
      <c r="J567" s="97">
        <v>30897</v>
      </c>
      <c r="K567" s="367">
        <f t="shared" si="109"/>
        <v>22069.285714285714</v>
      </c>
      <c r="L567" s="10">
        <v>0.7</v>
      </c>
      <c r="M567" s="97">
        <v>7.1999999999999993</v>
      </c>
      <c r="N567" s="605">
        <v>33</v>
      </c>
      <c r="O567" s="97">
        <v>10</v>
      </c>
      <c r="P567" s="97" t="s">
        <v>514</v>
      </c>
      <c r="Q567" s="97" t="str">
        <f t="shared" si="105"/>
        <v/>
      </c>
      <c r="R567" t="str">
        <f t="shared" si="106"/>
        <v/>
      </c>
      <c r="CB567" s="10"/>
      <c r="CI567" s="69"/>
    </row>
    <row r="568" spans="3:87">
      <c r="C568" t="str">
        <f t="shared" si="107"/>
        <v/>
      </c>
      <c r="D568">
        <v>559</v>
      </c>
      <c r="E568" s="97">
        <v>175</v>
      </c>
      <c r="F568" s="366">
        <f t="shared" si="103"/>
        <v>3797.5</v>
      </c>
      <c r="G568" s="97">
        <v>9176</v>
      </c>
      <c r="H568" s="367">
        <f t="shared" si="104"/>
        <v>12973.5</v>
      </c>
      <c r="I568" s="368">
        <f t="shared" si="108"/>
        <v>0</v>
      </c>
      <c r="J568" s="97">
        <v>34615</v>
      </c>
      <c r="K568" s="367">
        <f t="shared" si="109"/>
        <v>24725</v>
      </c>
      <c r="L568" s="10">
        <v>1.01</v>
      </c>
      <c r="M568" s="97">
        <v>7.1999999999999993</v>
      </c>
      <c r="N568" s="605">
        <v>31</v>
      </c>
      <c r="O568" s="97">
        <v>10</v>
      </c>
      <c r="P568" s="97" t="s">
        <v>555</v>
      </c>
      <c r="Q568" s="97" t="str">
        <f t="shared" si="105"/>
        <v/>
      </c>
      <c r="R568" t="str">
        <f t="shared" si="106"/>
        <v/>
      </c>
      <c r="CB568" s="10"/>
      <c r="CI568" s="69"/>
    </row>
    <row r="569" spans="3:87">
      <c r="C569" t="str">
        <f t="shared" si="107"/>
        <v>NL</v>
      </c>
      <c r="D569">
        <v>560</v>
      </c>
      <c r="E569" s="97">
        <v>180</v>
      </c>
      <c r="F569" s="366">
        <f t="shared" si="103"/>
        <v>3906</v>
      </c>
      <c r="G569" s="97">
        <v>5514</v>
      </c>
      <c r="H569" s="367">
        <f t="shared" si="104"/>
        <v>9420</v>
      </c>
      <c r="I569" s="368">
        <f t="shared" si="108"/>
        <v>0</v>
      </c>
      <c r="J569" s="97">
        <v>20803</v>
      </c>
      <c r="K569" s="367">
        <f t="shared" si="109"/>
        <v>14859.285714285714</v>
      </c>
      <c r="L569" s="10">
        <v>0.79</v>
      </c>
      <c r="M569" s="97">
        <v>3.8000000000000003</v>
      </c>
      <c r="N569" s="605">
        <v>30</v>
      </c>
      <c r="O569" s="97">
        <v>5</v>
      </c>
      <c r="P569" s="97" t="s">
        <v>515</v>
      </c>
      <c r="Q569" s="97" t="str">
        <f t="shared" si="105"/>
        <v/>
      </c>
      <c r="R569" t="str">
        <f t="shared" si="106"/>
        <v/>
      </c>
      <c r="CB569" s="10"/>
      <c r="CI569" s="69"/>
    </row>
    <row r="570" spans="3:87">
      <c r="C570" t="str">
        <f t="shared" si="107"/>
        <v/>
      </c>
      <c r="D570">
        <v>561</v>
      </c>
      <c r="E570" s="97">
        <v>180</v>
      </c>
      <c r="F570" s="366">
        <f t="shared" si="103"/>
        <v>3906</v>
      </c>
      <c r="G570" s="97">
        <v>5732</v>
      </c>
      <c r="H570" s="367">
        <f t="shared" si="104"/>
        <v>9638</v>
      </c>
      <c r="I570" s="368">
        <f t="shared" si="108"/>
        <v>0</v>
      </c>
      <c r="J570" s="97">
        <v>21626</v>
      </c>
      <c r="K570" s="367">
        <f t="shared" si="109"/>
        <v>15447.142857142857</v>
      </c>
      <c r="L570" s="10">
        <v>0.54</v>
      </c>
      <c r="M570" s="97">
        <v>4.3999999999999995</v>
      </c>
      <c r="N570" s="605">
        <v>28</v>
      </c>
      <c r="O570" s="97">
        <v>6</v>
      </c>
      <c r="P570" s="97" t="s">
        <v>515</v>
      </c>
      <c r="Q570" s="97">
        <f t="shared" si="105"/>
        <v>561</v>
      </c>
      <c r="R570" t="str">
        <f t="shared" si="106"/>
        <v/>
      </c>
      <c r="CB570" s="10"/>
      <c r="CI570" s="69"/>
    </row>
    <row r="571" spans="3:87">
      <c r="C571" t="str">
        <f t="shared" si="107"/>
        <v/>
      </c>
      <c r="D571">
        <v>562</v>
      </c>
      <c r="E571" s="97">
        <v>180</v>
      </c>
      <c r="F571" s="366">
        <f t="shared" si="103"/>
        <v>3906</v>
      </c>
      <c r="G571" s="97">
        <v>6506</v>
      </c>
      <c r="H571" s="367">
        <f t="shared" si="104"/>
        <v>10412</v>
      </c>
      <c r="I571" s="368">
        <f t="shared" si="108"/>
        <v>0</v>
      </c>
      <c r="J571" s="97">
        <v>24544</v>
      </c>
      <c r="K571" s="367">
        <f t="shared" si="109"/>
        <v>17531.428571428572</v>
      </c>
      <c r="L571" s="10">
        <v>0.91</v>
      </c>
      <c r="M571" s="97">
        <v>4.3999999999999995</v>
      </c>
      <c r="N571" s="605">
        <v>31</v>
      </c>
      <c r="O571" s="97">
        <v>6</v>
      </c>
      <c r="P571" s="97" t="s">
        <v>556</v>
      </c>
      <c r="Q571" s="97" t="str">
        <f t="shared" si="105"/>
        <v/>
      </c>
      <c r="R571" t="str">
        <f t="shared" si="106"/>
        <v/>
      </c>
      <c r="CB571" s="10"/>
      <c r="CI571" s="69"/>
    </row>
    <row r="572" spans="3:87">
      <c r="C572" t="str">
        <f t="shared" si="107"/>
        <v>NL</v>
      </c>
      <c r="D572">
        <v>563</v>
      </c>
      <c r="E572" s="97">
        <v>180</v>
      </c>
      <c r="F572" s="366">
        <f t="shared" si="103"/>
        <v>3906</v>
      </c>
      <c r="G572" s="97">
        <v>5950</v>
      </c>
      <c r="H572" s="367">
        <f t="shared" si="104"/>
        <v>9856</v>
      </c>
      <c r="I572" s="368">
        <f t="shared" si="108"/>
        <v>0</v>
      </c>
      <c r="J572" s="97">
        <v>22445</v>
      </c>
      <c r="K572" s="367">
        <f t="shared" si="109"/>
        <v>16032.142857142857</v>
      </c>
      <c r="L572" s="10">
        <v>0.41000000000000003</v>
      </c>
      <c r="M572" s="97">
        <v>5.0999999999999996</v>
      </c>
      <c r="N572" s="605">
        <v>27</v>
      </c>
      <c r="O572" s="97">
        <v>7</v>
      </c>
      <c r="P572" s="97" t="s">
        <v>515</v>
      </c>
      <c r="Q572" s="97" t="str">
        <f t="shared" si="105"/>
        <v/>
      </c>
      <c r="R572" t="str">
        <f t="shared" si="106"/>
        <v/>
      </c>
      <c r="CB572" s="10"/>
      <c r="CI572" s="69"/>
    </row>
    <row r="573" spans="3:87">
      <c r="C573" t="str">
        <f t="shared" si="107"/>
        <v>NL</v>
      </c>
      <c r="D573">
        <v>564</v>
      </c>
      <c r="E573" s="97">
        <v>180</v>
      </c>
      <c r="F573" s="366">
        <f t="shared" si="103"/>
        <v>3906</v>
      </c>
      <c r="G573" s="97">
        <v>6922</v>
      </c>
      <c r="H573" s="367">
        <f t="shared" si="104"/>
        <v>10828</v>
      </c>
      <c r="I573" s="368">
        <f t="shared" si="108"/>
        <v>0</v>
      </c>
      <c r="J573" s="97">
        <v>26111</v>
      </c>
      <c r="K573" s="367">
        <f t="shared" si="109"/>
        <v>18650.714285714286</v>
      </c>
      <c r="L573" s="10">
        <v>0.67</v>
      </c>
      <c r="M573" s="97">
        <v>5.0999999999999996</v>
      </c>
      <c r="N573" s="605">
        <v>29</v>
      </c>
      <c r="O573" s="97">
        <v>7</v>
      </c>
      <c r="P573" s="97" t="s">
        <v>556</v>
      </c>
      <c r="Q573" s="97" t="str">
        <f t="shared" si="105"/>
        <v/>
      </c>
      <c r="R573" t="str">
        <f t="shared" si="106"/>
        <v/>
      </c>
      <c r="CB573" s="10"/>
      <c r="CI573" s="69"/>
    </row>
    <row r="574" spans="3:87">
      <c r="C574" t="str">
        <f t="shared" si="107"/>
        <v/>
      </c>
      <c r="D574">
        <v>565</v>
      </c>
      <c r="E574" s="97">
        <v>180</v>
      </c>
      <c r="F574" s="366">
        <f t="shared" si="103"/>
        <v>3906</v>
      </c>
      <c r="G574" s="97">
        <v>5936</v>
      </c>
      <c r="H574" s="367">
        <f t="shared" si="104"/>
        <v>9842</v>
      </c>
      <c r="I574" s="368">
        <f t="shared" si="108"/>
        <v>0</v>
      </c>
      <c r="J574" s="97">
        <v>22392</v>
      </c>
      <c r="K574" s="367">
        <f t="shared" si="109"/>
        <v>15994.285714285714</v>
      </c>
      <c r="L574" s="10">
        <v>0.32</v>
      </c>
      <c r="M574" s="97">
        <v>5.8</v>
      </c>
      <c r="N574" s="605">
        <v>26</v>
      </c>
      <c r="O574" s="97">
        <v>8</v>
      </c>
      <c r="P574" s="97" t="s">
        <v>515</v>
      </c>
      <c r="Q574" s="97">
        <f t="shared" si="105"/>
        <v>565</v>
      </c>
      <c r="R574" t="str">
        <f t="shared" si="106"/>
        <v/>
      </c>
      <c r="CB574" s="10"/>
      <c r="CI574" s="69"/>
    </row>
    <row r="575" spans="3:87">
      <c r="C575" t="str">
        <f t="shared" si="107"/>
        <v/>
      </c>
      <c r="D575">
        <v>566</v>
      </c>
      <c r="E575" s="97">
        <v>180</v>
      </c>
      <c r="F575" s="366">
        <f t="shared" si="103"/>
        <v>3906</v>
      </c>
      <c r="G575" s="97">
        <v>7047</v>
      </c>
      <c r="H575" s="367">
        <f t="shared" si="104"/>
        <v>10953</v>
      </c>
      <c r="I575" s="368">
        <f t="shared" si="108"/>
        <v>0</v>
      </c>
      <c r="J575" s="97">
        <v>26585</v>
      </c>
      <c r="K575" s="367">
        <f t="shared" si="109"/>
        <v>18989.285714285714</v>
      </c>
      <c r="L575" s="10">
        <v>0.52</v>
      </c>
      <c r="M575" s="97">
        <v>5.8</v>
      </c>
      <c r="N575" s="605">
        <v>28</v>
      </c>
      <c r="O575" s="97">
        <v>8</v>
      </c>
      <c r="P575" s="97" t="s">
        <v>556</v>
      </c>
      <c r="Q575" s="97">
        <f t="shared" si="105"/>
        <v>566</v>
      </c>
      <c r="R575" t="str">
        <f t="shared" si="106"/>
        <v/>
      </c>
      <c r="CB575" s="10"/>
      <c r="CI575" s="69"/>
    </row>
    <row r="576" spans="3:87">
      <c r="C576" t="str">
        <f t="shared" si="107"/>
        <v>NL</v>
      </c>
      <c r="D576">
        <v>567</v>
      </c>
      <c r="E576" s="97">
        <v>180</v>
      </c>
      <c r="F576" s="366">
        <f t="shared" si="103"/>
        <v>3906</v>
      </c>
      <c r="G576" s="97">
        <v>5646</v>
      </c>
      <c r="H576" s="367">
        <f t="shared" si="104"/>
        <v>9552</v>
      </c>
      <c r="I576" s="368">
        <f t="shared" si="108"/>
        <v>0</v>
      </c>
      <c r="J576" s="97">
        <v>21301</v>
      </c>
      <c r="K576" s="367">
        <f t="shared" si="109"/>
        <v>15215</v>
      </c>
      <c r="L576" s="10">
        <v>0.27</v>
      </c>
      <c r="M576" s="97">
        <v>6.5</v>
      </c>
      <c r="N576" s="605">
        <v>27</v>
      </c>
      <c r="O576" s="97">
        <v>9</v>
      </c>
      <c r="P576" s="97" t="s">
        <v>515</v>
      </c>
      <c r="Q576" s="97" t="str">
        <f t="shared" si="105"/>
        <v/>
      </c>
      <c r="R576" t="str">
        <f t="shared" si="106"/>
        <v/>
      </c>
      <c r="CB576" s="10"/>
      <c r="CI576" s="69"/>
    </row>
    <row r="577" spans="3:87">
      <c r="C577" t="str">
        <f t="shared" si="107"/>
        <v/>
      </c>
      <c r="D577">
        <v>568</v>
      </c>
      <c r="E577" s="97">
        <v>180</v>
      </c>
      <c r="F577" s="366">
        <f t="shared" si="103"/>
        <v>3906</v>
      </c>
      <c r="G577" s="97">
        <v>5405</v>
      </c>
      <c r="H577" s="367">
        <f t="shared" si="104"/>
        <v>9311</v>
      </c>
      <c r="I577" s="368">
        <f t="shared" si="108"/>
        <v>0</v>
      </c>
      <c r="J577" s="97">
        <v>20390</v>
      </c>
      <c r="K577" s="367">
        <f t="shared" si="109"/>
        <v>14564.285714285714</v>
      </c>
      <c r="L577" s="10">
        <v>0.23</v>
      </c>
      <c r="M577" s="97">
        <v>7.1999999999999993</v>
      </c>
      <c r="N577" s="605">
        <v>26</v>
      </c>
      <c r="O577" s="97">
        <v>10</v>
      </c>
      <c r="P577" s="97" t="s">
        <v>515</v>
      </c>
      <c r="Q577" s="97" t="str">
        <f t="shared" si="105"/>
        <v/>
      </c>
      <c r="R577" t="str">
        <f t="shared" si="106"/>
        <v/>
      </c>
      <c r="CB577" s="10"/>
      <c r="CI577" s="69"/>
    </row>
    <row r="578" spans="3:87">
      <c r="C578" t="str">
        <f t="shared" si="107"/>
        <v/>
      </c>
      <c r="D578">
        <v>569</v>
      </c>
      <c r="E578" s="97">
        <v>180</v>
      </c>
      <c r="F578" s="366">
        <f t="shared" si="103"/>
        <v>3906</v>
      </c>
      <c r="G578" s="97">
        <v>7017</v>
      </c>
      <c r="H578" s="367">
        <f t="shared" si="104"/>
        <v>10923</v>
      </c>
      <c r="I578" s="368">
        <f t="shared" si="108"/>
        <v>0</v>
      </c>
      <c r="J578" s="97">
        <v>26473</v>
      </c>
      <c r="K578" s="367">
        <f t="shared" si="109"/>
        <v>18909.285714285714</v>
      </c>
      <c r="L578" s="10">
        <v>0.36</v>
      </c>
      <c r="M578" s="97">
        <v>7.1999999999999993</v>
      </c>
      <c r="N578" s="605">
        <v>28</v>
      </c>
      <c r="O578" s="97">
        <v>10</v>
      </c>
      <c r="P578" s="97" t="s">
        <v>556</v>
      </c>
      <c r="Q578" s="97" t="str">
        <f t="shared" si="105"/>
        <v/>
      </c>
      <c r="R578" t="str">
        <f t="shared" si="106"/>
        <v/>
      </c>
      <c r="CB578" s="10"/>
      <c r="CI578" s="69"/>
    </row>
    <row r="579" spans="3:87">
      <c r="C579" t="str">
        <f t="shared" si="107"/>
        <v/>
      </c>
      <c r="D579">
        <v>570</v>
      </c>
      <c r="E579" s="97">
        <v>180</v>
      </c>
      <c r="F579" s="366">
        <f t="shared" si="103"/>
        <v>3906</v>
      </c>
      <c r="G579" s="97">
        <v>8346</v>
      </c>
      <c r="H579" s="367">
        <f t="shared" si="104"/>
        <v>12252</v>
      </c>
      <c r="I579" s="368">
        <f t="shared" si="108"/>
        <v>0</v>
      </c>
      <c r="J579" s="97">
        <v>31484</v>
      </c>
      <c r="K579" s="367">
        <f t="shared" si="109"/>
        <v>22488.571428571428</v>
      </c>
      <c r="L579" s="10">
        <v>0.74</v>
      </c>
      <c r="M579" s="97">
        <v>7.1999999999999993</v>
      </c>
      <c r="N579" s="605">
        <v>33</v>
      </c>
      <c r="O579" s="97">
        <v>10</v>
      </c>
      <c r="P579" s="97" t="s">
        <v>514</v>
      </c>
      <c r="Q579" s="97" t="str">
        <f t="shared" si="105"/>
        <v/>
      </c>
      <c r="R579" t="str">
        <f t="shared" si="106"/>
        <v/>
      </c>
      <c r="CB579" s="10"/>
      <c r="CI579" s="69"/>
    </row>
    <row r="580" spans="3:87">
      <c r="C580" t="str">
        <f t="shared" si="107"/>
        <v>NL</v>
      </c>
      <c r="D580">
        <v>571</v>
      </c>
      <c r="E580" s="97">
        <v>185</v>
      </c>
      <c r="F580" s="366">
        <f t="shared" si="103"/>
        <v>4014.5</v>
      </c>
      <c r="G580" s="97">
        <v>5613</v>
      </c>
      <c r="H580" s="367">
        <f t="shared" si="104"/>
        <v>9627.5</v>
      </c>
      <c r="I580" s="368">
        <f t="shared" si="108"/>
        <v>0</v>
      </c>
      <c r="J580" s="97">
        <v>21176</v>
      </c>
      <c r="K580" s="367">
        <f t="shared" si="109"/>
        <v>15125.714285714286</v>
      </c>
      <c r="L580" s="10">
        <v>0.83</v>
      </c>
      <c r="M580" s="97">
        <v>3.8000000000000003</v>
      </c>
      <c r="N580" s="605">
        <v>30</v>
      </c>
      <c r="O580" s="97">
        <v>5</v>
      </c>
      <c r="P580" s="97" t="s">
        <v>515</v>
      </c>
      <c r="Q580" s="97" t="str">
        <f t="shared" si="105"/>
        <v/>
      </c>
      <c r="R580" t="str">
        <f t="shared" si="106"/>
        <v/>
      </c>
      <c r="CB580" s="10"/>
      <c r="CI580" s="69"/>
    </row>
    <row r="581" spans="3:87">
      <c r="C581" t="str">
        <f t="shared" si="107"/>
        <v/>
      </c>
      <c r="D581">
        <v>572</v>
      </c>
      <c r="E581" s="97">
        <v>185</v>
      </c>
      <c r="F581" s="366">
        <f t="shared" si="103"/>
        <v>4014.5</v>
      </c>
      <c r="G581" s="97">
        <v>5838</v>
      </c>
      <c r="H581" s="367">
        <f t="shared" si="104"/>
        <v>9852.5</v>
      </c>
      <c r="I581" s="368">
        <f t="shared" si="108"/>
        <v>0</v>
      </c>
      <c r="J581" s="97">
        <v>22025</v>
      </c>
      <c r="K581" s="367">
        <f t="shared" si="109"/>
        <v>15732.142857142857</v>
      </c>
      <c r="L581" s="10">
        <v>0.57000000000000006</v>
      </c>
      <c r="M581" s="97">
        <v>4.3999999999999995</v>
      </c>
      <c r="N581" s="605">
        <v>28</v>
      </c>
      <c r="O581" s="97">
        <v>6</v>
      </c>
      <c r="P581" s="97" t="s">
        <v>515</v>
      </c>
      <c r="Q581" s="97">
        <f t="shared" si="105"/>
        <v>572</v>
      </c>
      <c r="R581" t="str">
        <f t="shared" si="106"/>
        <v/>
      </c>
      <c r="CB581" s="10"/>
      <c r="CI581" s="69"/>
    </row>
    <row r="582" spans="3:87">
      <c r="C582" t="str">
        <f t="shared" si="107"/>
        <v/>
      </c>
      <c r="D582">
        <v>573</v>
      </c>
      <c r="E582" s="97">
        <v>185</v>
      </c>
      <c r="F582" s="366">
        <f t="shared" si="103"/>
        <v>4014.5</v>
      </c>
      <c r="G582" s="97">
        <v>6627</v>
      </c>
      <c r="H582" s="367">
        <f t="shared" si="104"/>
        <v>10641.5</v>
      </c>
      <c r="I582" s="368">
        <f t="shared" si="108"/>
        <v>0</v>
      </c>
      <c r="J582" s="97">
        <v>25001</v>
      </c>
      <c r="K582" s="367">
        <f t="shared" si="109"/>
        <v>17857.857142857145</v>
      </c>
      <c r="L582" s="10">
        <v>0.96</v>
      </c>
      <c r="M582" s="97">
        <v>4.3999999999999995</v>
      </c>
      <c r="N582" s="605">
        <v>31</v>
      </c>
      <c r="O582" s="97">
        <v>6</v>
      </c>
      <c r="P582" s="97" t="s">
        <v>556</v>
      </c>
      <c r="Q582" s="97" t="str">
        <f t="shared" si="105"/>
        <v/>
      </c>
      <c r="R582" t="str">
        <f t="shared" si="106"/>
        <v/>
      </c>
      <c r="CB582" s="10"/>
      <c r="CI582" s="69"/>
    </row>
    <row r="583" spans="3:87">
      <c r="C583" t="str">
        <f t="shared" si="107"/>
        <v>NL</v>
      </c>
      <c r="D583">
        <v>574</v>
      </c>
      <c r="E583" s="97">
        <v>185</v>
      </c>
      <c r="F583" s="366">
        <f t="shared" si="103"/>
        <v>4014.5</v>
      </c>
      <c r="G583" s="97">
        <v>6063</v>
      </c>
      <c r="H583" s="367">
        <f t="shared" si="104"/>
        <v>10077.5</v>
      </c>
      <c r="I583" s="368">
        <f t="shared" si="108"/>
        <v>0</v>
      </c>
      <c r="J583" s="97">
        <v>22872</v>
      </c>
      <c r="K583" s="367">
        <f t="shared" si="109"/>
        <v>16337.142857142857</v>
      </c>
      <c r="L583" s="10">
        <v>0.43</v>
      </c>
      <c r="M583" s="97">
        <v>5.0999999999999996</v>
      </c>
      <c r="N583" s="605">
        <v>27</v>
      </c>
      <c r="O583" s="97">
        <v>7</v>
      </c>
      <c r="P583" s="97" t="s">
        <v>515</v>
      </c>
      <c r="Q583" s="97" t="str">
        <f t="shared" si="105"/>
        <v/>
      </c>
      <c r="R583" t="str">
        <f t="shared" si="106"/>
        <v/>
      </c>
      <c r="CB583" s="10"/>
      <c r="CI583" s="69"/>
    </row>
    <row r="584" spans="3:87">
      <c r="C584" t="str">
        <f t="shared" si="107"/>
        <v>NL</v>
      </c>
      <c r="D584">
        <v>575</v>
      </c>
      <c r="E584" s="97">
        <v>185</v>
      </c>
      <c r="F584" s="366">
        <f t="shared" si="103"/>
        <v>4014.5</v>
      </c>
      <c r="G584" s="97">
        <v>7048</v>
      </c>
      <c r="H584" s="367">
        <f t="shared" si="104"/>
        <v>11062.5</v>
      </c>
      <c r="I584" s="368">
        <f t="shared" si="108"/>
        <v>0</v>
      </c>
      <c r="J584" s="97">
        <v>26590</v>
      </c>
      <c r="K584" s="367">
        <f t="shared" si="109"/>
        <v>18992.857142857145</v>
      </c>
      <c r="L584" s="10">
        <v>0.71</v>
      </c>
      <c r="M584" s="97">
        <v>5.0999999999999996</v>
      </c>
      <c r="N584" s="605">
        <v>30</v>
      </c>
      <c r="O584" s="97">
        <v>7</v>
      </c>
      <c r="P584" s="97" t="s">
        <v>556</v>
      </c>
      <c r="Q584" s="97" t="str">
        <f t="shared" si="105"/>
        <v/>
      </c>
      <c r="R584" t="str">
        <f t="shared" si="106"/>
        <v/>
      </c>
      <c r="CB584" s="10"/>
      <c r="CI584" s="69"/>
    </row>
    <row r="585" spans="3:87">
      <c r="C585" t="str">
        <f t="shared" si="107"/>
        <v/>
      </c>
      <c r="D585">
        <v>576</v>
      </c>
      <c r="E585" s="97">
        <v>185</v>
      </c>
      <c r="F585" s="366">
        <f t="shared" si="103"/>
        <v>4014.5</v>
      </c>
      <c r="G585" s="97">
        <v>6144</v>
      </c>
      <c r="H585" s="367">
        <f t="shared" si="104"/>
        <v>10158.5</v>
      </c>
      <c r="I585" s="368">
        <f t="shared" si="108"/>
        <v>0</v>
      </c>
      <c r="J585" s="97">
        <v>23178</v>
      </c>
      <c r="K585" s="367">
        <f t="shared" si="109"/>
        <v>16555.714285714286</v>
      </c>
      <c r="L585" s="10">
        <v>0.34</v>
      </c>
      <c r="M585" s="97">
        <v>5.8</v>
      </c>
      <c r="N585" s="605">
        <v>27</v>
      </c>
      <c r="O585" s="97">
        <v>8</v>
      </c>
      <c r="P585" s="97" t="s">
        <v>515</v>
      </c>
      <c r="Q585" s="97">
        <f t="shared" si="105"/>
        <v>576</v>
      </c>
      <c r="R585" t="str">
        <f t="shared" si="106"/>
        <v/>
      </c>
      <c r="CB585" s="10"/>
      <c r="CI585" s="69"/>
    </row>
    <row r="586" spans="3:87">
      <c r="C586" t="str">
        <f t="shared" si="107"/>
        <v/>
      </c>
      <c r="D586">
        <v>577</v>
      </c>
      <c r="E586" s="97">
        <v>185</v>
      </c>
      <c r="F586" s="366">
        <f>1.085*($A$2-$B$2)*E586*$T$7</f>
        <v>4014.5</v>
      </c>
      <c r="G586" s="97">
        <v>7187</v>
      </c>
      <c r="H586" s="367">
        <f>(G586*$U$7)+F586</f>
        <v>11201.5</v>
      </c>
      <c r="I586" s="368">
        <f t="shared" si="108"/>
        <v>0</v>
      </c>
      <c r="J586" s="97">
        <v>27114</v>
      </c>
      <c r="K586" s="367">
        <f t="shared" si="109"/>
        <v>19367.142857142859</v>
      </c>
      <c r="L586" s="10">
        <v>0.55000000000000004</v>
      </c>
      <c r="M586" s="97">
        <v>5.8</v>
      </c>
      <c r="N586" s="605">
        <v>29</v>
      </c>
      <c r="O586" s="97">
        <v>8</v>
      </c>
      <c r="P586" s="97" t="s">
        <v>556</v>
      </c>
      <c r="Q586" s="97">
        <f t="shared" si="105"/>
        <v>577</v>
      </c>
      <c r="R586" t="str">
        <f>IF(Q586="","",IF(AND(O586&lt;$X$14,E586&gt;$U$14,E586&lt;$Q$4+$U$14+1),D586,""))</f>
        <v/>
      </c>
      <c r="CB586" s="10"/>
      <c r="CI586" s="69"/>
    </row>
    <row r="587" spans="3:87">
      <c r="C587" t="str">
        <f t="shared" ref="C587:C650" si="110">IF(OR($O$4=0,O587-$O$4=0),IF(AND(ISEVEN(O587)=FALSE,$N$4="Even"),"NL",""),"NL")</f>
        <v>NL</v>
      </c>
      <c r="D587">
        <v>578</v>
      </c>
      <c r="E587" s="97">
        <v>185</v>
      </c>
      <c r="F587" s="366">
        <f>1.085*($A$2-$B$2)*E587*$T$7</f>
        <v>4014.5</v>
      </c>
      <c r="G587" s="97">
        <v>5837</v>
      </c>
      <c r="H587" s="367">
        <f>(G587*$U$7)+F587</f>
        <v>9851.5</v>
      </c>
      <c r="I587" s="368">
        <f t="shared" ref="I587:I841" si="111">1.085*($C$2-$D$2)*E587*$T$7</f>
        <v>0</v>
      </c>
      <c r="J587" s="97">
        <v>22022</v>
      </c>
      <c r="K587" s="367">
        <f t="shared" ref="K587:K841" si="112">(J587*$V$7)-I587</f>
        <v>15730</v>
      </c>
      <c r="L587" s="10">
        <v>0.28000000000000003</v>
      </c>
      <c r="M587" s="97">
        <v>6.5</v>
      </c>
      <c r="N587" s="605">
        <v>27</v>
      </c>
      <c r="O587" s="97">
        <v>9</v>
      </c>
      <c r="P587" s="97" t="s">
        <v>515</v>
      </c>
      <c r="Q587" s="97" t="str">
        <f t="shared" si="105"/>
        <v/>
      </c>
      <c r="R587" t="str">
        <f>IF(Q587="","",IF(AND(O587&lt;$X$14,E587&gt;$U$14,E587&lt;$Q$4+$U$14+1),D587,""))</f>
        <v/>
      </c>
      <c r="CB587" s="10"/>
      <c r="CI587" s="69"/>
    </row>
    <row r="588" spans="3:87">
      <c r="C588" t="str">
        <f t="shared" si="110"/>
        <v/>
      </c>
      <c r="D588">
        <v>579</v>
      </c>
      <c r="E588" s="97">
        <v>185</v>
      </c>
      <c r="F588" s="366">
        <f t="shared" ref="F588:F651" si="113">1.085*($A$2-$B$2)*E588*$T$7</f>
        <v>4014.5</v>
      </c>
      <c r="G588" s="97">
        <v>5590</v>
      </c>
      <c r="H588" s="367">
        <f t="shared" ref="H588:H651" si="114">(G588*$U$7)+F588</f>
        <v>9604.5</v>
      </c>
      <c r="I588" s="368">
        <f t="shared" ref="I588:I651" si="115">1.085*($C$2-$D$2)*E588*$T$7</f>
        <v>0</v>
      </c>
      <c r="J588" s="97">
        <v>21087</v>
      </c>
      <c r="K588" s="367">
        <f t="shared" ref="K588:K651" si="116">(J588*$V$7)-I588</f>
        <v>15062.142857142857</v>
      </c>
      <c r="L588" s="10">
        <v>0.24000000000000002</v>
      </c>
      <c r="M588" s="97">
        <v>7.1999999999999993</v>
      </c>
      <c r="N588" s="605">
        <v>27</v>
      </c>
      <c r="O588" s="97">
        <v>10</v>
      </c>
      <c r="P588" s="97" t="s">
        <v>515</v>
      </c>
      <c r="Q588" s="97" t="str">
        <f t="shared" ref="Q588:Q651" si="117">IF(AND(H588+1&gt;$E$4,L588&lt;$L$4+0.01,M588&lt;$M$4+0.01,K588+1&gt;$F$4,E588+1&gt;$J$4,N588&lt;$K$4+1,O588&lt;$P$4+1,C588=""),D588,"")</f>
        <v/>
      </c>
      <c r="R588" t="str">
        <f t="shared" ref="R588:R651" si="118">IF(Q588="","",IF(AND(O588&lt;$X$14,E588&gt;$U$14,E588&lt;$Q$4+$U$14+1),D588,""))</f>
        <v/>
      </c>
      <c r="CB588" s="10"/>
      <c r="CI588" s="69"/>
    </row>
    <row r="589" spans="3:87">
      <c r="C589" t="str">
        <f t="shared" si="110"/>
        <v/>
      </c>
      <c r="D589">
        <v>580</v>
      </c>
      <c r="E589" s="97">
        <v>185</v>
      </c>
      <c r="F589" s="366">
        <f t="shared" si="113"/>
        <v>4014.5</v>
      </c>
      <c r="G589" s="97">
        <v>7256</v>
      </c>
      <c r="H589" s="367">
        <f t="shared" si="114"/>
        <v>11270.5</v>
      </c>
      <c r="I589" s="368">
        <f t="shared" si="115"/>
        <v>0</v>
      </c>
      <c r="J589" s="97">
        <v>27371</v>
      </c>
      <c r="K589" s="367">
        <f t="shared" si="116"/>
        <v>19550.714285714286</v>
      </c>
      <c r="L589" s="10">
        <v>0.38</v>
      </c>
      <c r="M589" s="97">
        <v>7.1999999999999993</v>
      </c>
      <c r="N589" s="605">
        <v>28</v>
      </c>
      <c r="O589" s="97">
        <v>10</v>
      </c>
      <c r="P589" s="97" t="s">
        <v>556</v>
      </c>
      <c r="Q589" s="97" t="str">
        <f t="shared" si="117"/>
        <v/>
      </c>
      <c r="R589" t="str">
        <f t="shared" si="118"/>
        <v/>
      </c>
      <c r="CB589" s="10"/>
      <c r="CI589" s="69"/>
    </row>
    <row r="590" spans="3:87">
      <c r="C590" t="str">
        <f t="shared" si="110"/>
        <v/>
      </c>
      <c r="D590">
        <v>581</v>
      </c>
      <c r="E590" s="97">
        <v>185</v>
      </c>
      <c r="F590" s="366">
        <f t="shared" si="113"/>
        <v>4014.5</v>
      </c>
      <c r="G590" s="97">
        <v>8501</v>
      </c>
      <c r="H590" s="367">
        <f t="shared" si="114"/>
        <v>12515.5</v>
      </c>
      <c r="I590" s="368">
        <f t="shared" si="115"/>
        <v>0</v>
      </c>
      <c r="J590" s="97">
        <v>32071</v>
      </c>
      <c r="K590" s="367">
        <f t="shared" si="116"/>
        <v>22907.857142857145</v>
      </c>
      <c r="L590" s="10">
        <v>0.78</v>
      </c>
      <c r="M590" s="97">
        <v>7.1999999999999993</v>
      </c>
      <c r="N590" s="605">
        <v>33</v>
      </c>
      <c r="O590" s="97">
        <v>10</v>
      </c>
      <c r="P590" s="97" t="s">
        <v>514</v>
      </c>
      <c r="Q590" s="97" t="str">
        <f t="shared" si="117"/>
        <v/>
      </c>
      <c r="R590" t="str">
        <f t="shared" si="118"/>
        <v/>
      </c>
      <c r="CB590" s="10"/>
      <c r="CI590" s="69"/>
    </row>
    <row r="591" spans="3:87">
      <c r="C591" t="str">
        <f t="shared" si="110"/>
        <v>NL</v>
      </c>
      <c r="D591">
        <v>582</v>
      </c>
      <c r="E591" s="97">
        <v>190</v>
      </c>
      <c r="F591" s="366">
        <f t="shared" si="113"/>
        <v>4123</v>
      </c>
      <c r="G591" s="97">
        <v>5709</v>
      </c>
      <c r="H591" s="367">
        <f t="shared" si="114"/>
        <v>9832</v>
      </c>
      <c r="I591" s="368">
        <f t="shared" si="115"/>
        <v>0</v>
      </c>
      <c r="J591" s="97">
        <v>21538</v>
      </c>
      <c r="K591" s="367">
        <f t="shared" si="116"/>
        <v>15384.285714285714</v>
      </c>
      <c r="L591" s="10">
        <v>0.88</v>
      </c>
      <c r="M591" s="97">
        <v>3.8000000000000003</v>
      </c>
      <c r="N591" s="605">
        <v>31</v>
      </c>
      <c r="O591" s="97">
        <v>5</v>
      </c>
      <c r="P591" s="97" t="s">
        <v>515</v>
      </c>
      <c r="Q591" s="97" t="str">
        <f t="shared" si="117"/>
        <v/>
      </c>
      <c r="R591" t="str">
        <f t="shared" si="118"/>
        <v/>
      </c>
      <c r="CB591" s="10"/>
      <c r="CI591" s="69"/>
    </row>
    <row r="592" spans="3:87">
      <c r="C592" t="str">
        <f t="shared" si="110"/>
        <v/>
      </c>
      <c r="D592">
        <v>583</v>
      </c>
      <c r="E592" s="97">
        <v>190</v>
      </c>
      <c r="F592" s="366">
        <f t="shared" si="113"/>
        <v>4123</v>
      </c>
      <c r="G592" s="97">
        <v>5944</v>
      </c>
      <c r="H592" s="367">
        <f t="shared" si="114"/>
        <v>10067</v>
      </c>
      <c r="I592" s="368">
        <f t="shared" si="115"/>
        <v>0</v>
      </c>
      <c r="J592" s="97">
        <v>22425</v>
      </c>
      <c r="K592" s="367">
        <f t="shared" si="116"/>
        <v>16017.857142857143</v>
      </c>
      <c r="L592" s="10">
        <v>0.61</v>
      </c>
      <c r="M592" s="97">
        <v>4.3999999999999995</v>
      </c>
      <c r="N592" s="605">
        <v>29</v>
      </c>
      <c r="O592" s="97">
        <v>6</v>
      </c>
      <c r="P592" s="97" t="s">
        <v>515</v>
      </c>
      <c r="Q592" s="97">
        <f t="shared" si="117"/>
        <v>583</v>
      </c>
      <c r="R592" t="str">
        <f t="shared" si="118"/>
        <v/>
      </c>
      <c r="CB592" s="10"/>
      <c r="CI592" s="69"/>
    </row>
    <row r="593" spans="3:87">
      <c r="C593" t="str">
        <f t="shared" si="110"/>
        <v/>
      </c>
      <c r="D593">
        <v>584</v>
      </c>
      <c r="E593" s="97">
        <v>190</v>
      </c>
      <c r="F593" s="366">
        <f t="shared" si="113"/>
        <v>4123</v>
      </c>
      <c r="G593" s="97">
        <v>6748</v>
      </c>
      <c r="H593" s="367">
        <f t="shared" si="114"/>
        <v>10871</v>
      </c>
      <c r="I593" s="368">
        <f t="shared" si="115"/>
        <v>0</v>
      </c>
      <c r="J593" s="97">
        <v>25458</v>
      </c>
      <c r="K593" s="367">
        <f t="shared" si="116"/>
        <v>18184.285714285714</v>
      </c>
      <c r="L593" s="10">
        <v>1.01</v>
      </c>
      <c r="M593" s="97">
        <v>4.3999999999999995</v>
      </c>
      <c r="N593" s="605">
        <v>31</v>
      </c>
      <c r="O593" s="97">
        <v>6</v>
      </c>
      <c r="P593" s="97" t="s">
        <v>556</v>
      </c>
      <c r="Q593" s="97" t="str">
        <f t="shared" si="117"/>
        <v/>
      </c>
      <c r="R593" t="str">
        <f t="shared" si="118"/>
        <v/>
      </c>
      <c r="CB593" s="10"/>
      <c r="CI593" s="69"/>
    </row>
    <row r="594" spans="3:87">
      <c r="C594" t="str">
        <f t="shared" si="110"/>
        <v>NL</v>
      </c>
      <c r="D594">
        <v>585</v>
      </c>
      <c r="E594" s="97">
        <v>190</v>
      </c>
      <c r="F594" s="366">
        <f t="shared" si="113"/>
        <v>4123</v>
      </c>
      <c r="G594" s="97">
        <v>6169</v>
      </c>
      <c r="H594" s="367">
        <f t="shared" si="114"/>
        <v>10292</v>
      </c>
      <c r="I594" s="368">
        <f t="shared" si="115"/>
        <v>0</v>
      </c>
      <c r="J594" s="97">
        <v>23273</v>
      </c>
      <c r="K594" s="367">
        <f t="shared" si="116"/>
        <v>16623.571428571428</v>
      </c>
      <c r="L594" s="10">
        <v>0.45</v>
      </c>
      <c r="M594" s="97">
        <v>5.0999999999999996</v>
      </c>
      <c r="N594" s="605">
        <v>28</v>
      </c>
      <c r="O594" s="97">
        <v>7</v>
      </c>
      <c r="P594" s="97" t="s">
        <v>515</v>
      </c>
      <c r="Q594" s="97" t="str">
        <f t="shared" si="117"/>
        <v/>
      </c>
      <c r="R594" t="str">
        <f t="shared" si="118"/>
        <v/>
      </c>
      <c r="CB594" s="10"/>
      <c r="CI594" s="69"/>
    </row>
    <row r="595" spans="3:87">
      <c r="C595" t="str">
        <f t="shared" si="110"/>
        <v>NL</v>
      </c>
      <c r="D595">
        <v>586</v>
      </c>
      <c r="E595" s="97">
        <v>190</v>
      </c>
      <c r="F595" s="366">
        <f t="shared" si="113"/>
        <v>4123</v>
      </c>
      <c r="G595" s="97">
        <v>7175</v>
      </c>
      <c r="H595" s="367">
        <f t="shared" si="114"/>
        <v>11298</v>
      </c>
      <c r="I595" s="368">
        <f t="shared" si="115"/>
        <v>0</v>
      </c>
      <c r="J595" s="97">
        <v>27068</v>
      </c>
      <c r="K595" s="367">
        <f t="shared" si="116"/>
        <v>19334.285714285714</v>
      </c>
      <c r="L595" s="10">
        <v>0.75</v>
      </c>
      <c r="M595" s="97">
        <v>5.0999999999999996</v>
      </c>
      <c r="N595" s="605">
        <v>30</v>
      </c>
      <c r="O595" s="97">
        <v>7</v>
      </c>
      <c r="P595" s="97" t="s">
        <v>556</v>
      </c>
      <c r="Q595" s="97" t="str">
        <f t="shared" si="117"/>
        <v/>
      </c>
      <c r="R595" t="str">
        <f t="shared" si="118"/>
        <v/>
      </c>
      <c r="CB595" s="10"/>
      <c r="CI595" s="69"/>
    </row>
    <row r="596" spans="3:87">
      <c r="C596" t="str">
        <f t="shared" si="110"/>
        <v/>
      </c>
      <c r="D596">
        <v>587</v>
      </c>
      <c r="E596" s="97">
        <v>190</v>
      </c>
      <c r="F596" s="366">
        <f t="shared" si="113"/>
        <v>4123</v>
      </c>
      <c r="G596" s="97">
        <v>6307</v>
      </c>
      <c r="H596" s="367">
        <f t="shared" si="114"/>
        <v>10430</v>
      </c>
      <c r="I596" s="368">
        <f t="shared" si="115"/>
        <v>0</v>
      </c>
      <c r="J596" s="97">
        <v>23793</v>
      </c>
      <c r="K596" s="367">
        <f t="shared" si="116"/>
        <v>16995</v>
      </c>
      <c r="L596" s="10">
        <v>0.36</v>
      </c>
      <c r="M596" s="97">
        <v>5.8</v>
      </c>
      <c r="N596" s="605">
        <v>27</v>
      </c>
      <c r="O596" s="97">
        <v>8</v>
      </c>
      <c r="P596" s="97" t="s">
        <v>515</v>
      </c>
      <c r="Q596" s="97">
        <f t="shared" si="117"/>
        <v>587</v>
      </c>
      <c r="R596" t="str">
        <f t="shared" si="118"/>
        <v/>
      </c>
      <c r="CB596" s="10"/>
      <c r="CI596" s="69"/>
    </row>
    <row r="597" spans="3:87">
      <c r="C597" t="str">
        <f t="shared" si="110"/>
        <v/>
      </c>
      <c r="D597">
        <v>588</v>
      </c>
      <c r="E597" s="97">
        <v>190</v>
      </c>
      <c r="F597" s="366">
        <f t="shared" si="113"/>
        <v>4123</v>
      </c>
      <c r="G597" s="97">
        <v>7319</v>
      </c>
      <c r="H597" s="367">
        <f t="shared" si="114"/>
        <v>11442</v>
      </c>
      <c r="I597" s="368">
        <f t="shared" si="115"/>
        <v>0</v>
      </c>
      <c r="J597" s="97">
        <v>27610</v>
      </c>
      <c r="K597" s="367">
        <f t="shared" si="116"/>
        <v>19721.428571428572</v>
      </c>
      <c r="L597" s="10">
        <v>0.57999999999999996</v>
      </c>
      <c r="M597" s="97">
        <v>5.8</v>
      </c>
      <c r="N597" s="605">
        <v>29</v>
      </c>
      <c r="O597" s="97">
        <v>8</v>
      </c>
      <c r="P597" s="97" t="s">
        <v>556</v>
      </c>
      <c r="Q597" s="97">
        <f t="shared" si="117"/>
        <v>588</v>
      </c>
      <c r="R597" t="str">
        <f t="shared" si="118"/>
        <v/>
      </c>
      <c r="CB597" s="10"/>
      <c r="CI597" s="69"/>
    </row>
    <row r="598" spans="3:87">
      <c r="C598" t="str">
        <f t="shared" si="110"/>
        <v>NL</v>
      </c>
      <c r="D598">
        <v>589</v>
      </c>
      <c r="E598" s="97">
        <v>190</v>
      </c>
      <c r="F598" s="366">
        <f t="shared" si="113"/>
        <v>4123</v>
      </c>
      <c r="G598" s="97">
        <v>6037</v>
      </c>
      <c r="H598" s="367">
        <f t="shared" si="114"/>
        <v>10160</v>
      </c>
      <c r="I598" s="368">
        <f t="shared" si="115"/>
        <v>0</v>
      </c>
      <c r="J598" s="97">
        <v>22774</v>
      </c>
      <c r="K598" s="367">
        <f t="shared" si="116"/>
        <v>16267.142857142857</v>
      </c>
      <c r="L598" s="10">
        <v>0.3</v>
      </c>
      <c r="M598" s="97">
        <v>6.5</v>
      </c>
      <c r="N598" s="605">
        <v>27</v>
      </c>
      <c r="O598" s="97">
        <v>9</v>
      </c>
      <c r="P598" s="97" t="s">
        <v>515</v>
      </c>
      <c r="Q598" s="97" t="str">
        <f t="shared" si="117"/>
        <v/>
      </c>
      <c r="R598" t="str">
        <f t="shared" si="118"/>
        <v/>
      </c>
      <c r="CB598" s="10"/>
      <c r="CI598" s="69"/>
    </row>
    <row r="599" spans="3:87">
      <c r="C599" t="str">
        <f t="shared" si="110"/>
        <v/>
      </c>
      <c r="D599">
        <v>590</v>
      </c>
      <c r="E599" s="97">
        <v>190</v>
      </c>
      <c r="F599" s="366">
        <f t="shared" si="113"/>
        <v>4123</v>
      </c>
      <c r="G599" s="97">
        <v>5774</v>
      </c>
      <c r="H599" s="367">
        <f t="shared" si="114"/>
        <v>9897</v>
      </c>
      <c r="I599" s="368">
        <f t="shared" si="115"/>
        <v>0</v>
      </c>
      <c r="J599" s="97">
        <v>21784</v>
      </c>
      <c r="K599" s="367">
        <f t="shared" si="116"/>
        <v>15560</v>
      </c>
      <c r="L599" s="10">
        <v>0.25</v>
      </c>
      <c r="M599" s="97">
        <v>7.1999999999999993</v>
      </c>
      <c r="N599" s="605">
        <v>27</v>
      </c>
      <c r="O599" s="97">
        <v>10</v>
      </c>
      <c r="P599" s="97" t="s">
        <v>515</v>
      </c>
      <c r="Q599" s="97" t="str">
        <f t="shared" si="117"/>
        <v/>
      </c>
      <c r="R599" t="str">
        <f t="shared" si="118"/>
        <v/>
      </c>
      <c r="CB599" s="10"/>
      <c r="CI599" s="69"/>
    </row>
    <row r="600" spans="3:87">
      <c r="C600" t="str">
        <f t="shared" si="110"/>
        <v/>
      </c>
      <c r="D600">
        <v>591</v>
      </c>
      <c r="E600" s="97">
        <v>190</v>
      </c>
      <c r="F600" s="366">
        <f t="shared" si="113"/>
        <v>4123</v>
      </c>
      <c r="G600" s="97">
        <v>7401</v>
      </c>
      <c r="H600" s="367">
        <f t="shared" si="114"/>
        <v>11524</v>
      </c>
      <c r="I600" s="368">
        <f t="shared" si="115"/>
        <v>0</v>
      </c>
      <c r="J600" s="97">
        <v>27921</v>
      </c>
      <c r="K600" s="367">
        <f t="shared" si="116"/>
        <v>19943.571428571428</v>
      </c>
      <c r="L600" s="10">
        <v>0.4</v>
      </c>
      <c r="M600" s="97">
        <v>7.1999999999999993</v>
      </c>
      <c r="N600" s="605">
        <v>29</v>
      </c>
      <c r="O600" s="97">
        <v>10</v>
      </c>
      <c r="P600" s="97" t="s">
        <v>556</v>
      </c>
      <c r="Q600" s="97" t="str">
        <f t="shared" si="117"/>
        <v/>
      </c>
      <c r="R600" t="str">
        <f t="shared" si="118"/>
        <v/>
      </c>
      <c r="CB600" s="10"/>
      <c r="CI600" s="69"/>
    </row>
    <row r="601" spans="3:87">
      <c r="C601" t="str">
        <f t="shared" si="110"/>
        <v/>
      </c>
      <c r="D601">
        <v>592</v>
      </c>
      <c r="E601" s="97">
        <v>190</v>
      </c>
      <c r="F601" s="366">
        <f t="shared" si="113"/>
        <v>4123</v>
      </c>
      <c r="G601" s="97">
        <v>8653</v>
      </c>
      <c r="H601" s="367">
        <f t="shared" si="114"/>
        <v>12776</v>
      </c>
      <c r="I601" s="368">
        <f t="shared" si="115"/>
        <v>0</v>
      </c>
      <c r="J601" s="97">
        <v>32642</v>
      </c>
      <c r="K601" s="367">
        <f t="shared" si="116"/>
        <v>23315.714285714286</v>
      </c>
      <c r="L601" s="10">
        <v>0.82000000000000006</v>
      </c>
      <c r="M601" s="97">
        <v>7.1999999999999993</v>
      </c>
      <c r="N601" s="605">
        <v>34</v>
      </c>
      <c r="O601" s="97">
        <v>10</v>
      </c>
      <c r="P601" s="97" t="s">
        <v>514</v>
      </c>
      <c r="Q601" s="97" t="str">
        <f t="shared" si="117"/>
        <v/>
      </c>
      <c r="R601" t="str">
        <f t="shared" si="118"/>
        <v/>
      </c>
      <c r="CB601" s="10"/>
      <c r="CI601" s="69"/>
    </row>
    <row r="602" spans="3:87">
      <c r="C602" t="str">
        <f t="shared" si="110"/>
        <v>NL</v>
      </c>
      <c r="D602">
        <v>593</v>
      </c>
      <c r="E602" s="97">
        <v>195</v>
      </c>
      <c r="F602" s="366">
        <f t="shared" si="113"/>
        <v>4231.5</v>
      </c>
      <c r="G602" s="97">
        <v>5802</v>
      </c>
      <c r="H602" s="367">
        <f t="shared" si="114"/>
        <v>10033.5</v>
      </c>
      <c r="I602" s="368">
        <f t="shared" si="115"/>
        <v>0</v>
      </c>
      <c r="J602" s="97">
        <v>21888</v>
      </c>
      <c r="K602" s="367">
        <f t="shared" si="116"/>
        <v>15634.285714285714</v>
      </c>
      <c r="L602" s="10">
        <v>0.93</v>
      </c>
      <c r="M602" s="97">
        <v>3.8000000000000003</v>
      </c>
      <c r="N602" s="605">
        <v>31</v>
      </c>
      <c r="O602" s="97">
        <v>5</v>
      </c>
      <c r="P602" s="97" t="s">
        <v>515</v>
      </c>
      <c r="Q602" s="97" t="str">
        <f t="shared" si="117"/>
        <v/>
      </c>
      <c r="R602" t="str">
        <f t="shared" si="118"/>
        <v/>
      </c>
      <c r="CB602" s="10"/>
      <c r="CI602" s="69"/>
    </row>
    <row r="603" spans="3:87">
      <c r="C603" t="str">
        <f t="shared" si="110"/>
        <v/>
      </c>
      <c r="D603">
        <v>594</v>
      </c>
      <c r="E603" s="97">
        <v>195</v>
      </c>
      <c r="F603" s="366">
        <f t="shared" si="113"/>
        <v>4231.5</v>
      </c>
      <c r="G603" s="97">
        <v>6048</v>
      </c>
      <c r="H603" s="367">
        <f t="shared" si="114"/>
        <v>10279.5</v>
      </c>
      <c r="I603" s="368">
        <f t="shared" si="115"/>
        <v>0</v>
      </c>
      <c r="J603" s="97">
        <v>22817</v>
      </c>
      <c r="K603" s="367">
        <f t="shared" si="116"/>
        <v>16297.857142857143</v>
      </c>
      <c r="L603" s="10">
        <v>0.64</v>
      </c>
      <c r="M603" s="97">
        <v>4.3999999999999995</v>
      </c>
      <c r="N603" s="605">
        <v>29</v>
      </c>
      <c r="O603" s="97">
        <v>6</v>
      </c>
      <c r="P603" s="97" t="s">
        <v>515</v>
      </c>
      <c r="Q603" s="97">
        <f t="shared" si="117"/>
        <v>594</v>
      </c>
      <c r="R603" t="str">
        <f t="shared" si="118"/>
        <v/>
      </c>
      <c r="CB603" s="10"/>
      <c r="CI603" s="69"/>
    </row>
    <row r="604" spans="3:87">
      <c r="C604" t="str">
        <f t="shared" si="110"/>
        <v>NL</v>
      </c>
      <c r="D604">
        <v>595</v>
      </c>
      <c r="E604" s="97">
        <v>195</v>
      </c>
      <c r="F604" s="366">
        <f t="shared" si="113"/>
        <v>4231.5</v>
      </c>
      <c r="G604" s="97">
        <v>6275</v>
      </c>
      <c r="H604" s="367">
        <f t="shared" si="114"/>
        <v>10506.5</v>
      </c>
      <c r="I604" s="368">
        <f t="shared" si="115"/>
        <v>0</v>
      </c>
      <c r="J604" s="97">
        <v>23674</v>
      </c>
      <c r="K604" s="367">
        <f t="shared" si="116"/>
        <v>16910</v>
      </c>
      <c r="L604" s="10">
        <v>0.47000000000000003</v>
      </c>
      <c r="M604" s="97">
        <v>5.0999999999999996</v>
      </c>
      <c r="N604" s="605">
        <v>28</v>
      </c>
      <c r="O604" s="97">
        <v>7</v>
      </c>
      <c r="P604" s="97" t="s">
        <v>515</v>
      </c>
      <c r="Q604" s="97" t="str">
        <f t="shared" si="117"/>
        <v/>
      </c>
      <c r="R604" t="str">
        <f t="shared" si="118"/>
        <v/>
      </c>
      <c r="CB604" s="10"/>
      <c r="CI604" s="69"/>
    </row>
    <row r="605" spans="3:87">
      <c r="C605" t="str">
        <f t="shared" si="110"/>
        <v>NL</v>
      </c>
      <c r="D605">
        <v>596</v>
      </c>
      <c r="E605" s="97">
        <v>195</v>
      </c>
      <c r="F605" s="366">
        <f t="shared" si="113"/>
        <v>4231.5</v>
      </c>
      <c r="G605" s="97">
        <v>7302</v>
      </c>
      <c r="H605" s="367">
        <f t="shared" si="114"/>
        <v>11533.5</v>
      </c>
      <c r="I605" s="368">
        <f t="shared" si="115"/>
        <v>0</v>
      </c>
      <c r="J605" s="97">
        <v>27545</v>
      </c>
      <c r="K605" s="367">
        <f t="shared" si="116"/>
        <v>19675</v>
      </c>
      <c r="L605" s="10">
        <v>0.79</v>
      </c>
      <c r="M605" s="97">
        <v>5.0999999999999996</v>
      </c>
      <c r="N605" s="605">
        <v>30</v>
      </c>
      <c r="O605" s="97">
        <v>7</v>
      </c>
      <c r="P605" s="97" t="s">
        <v>556</v>
      </c>
      <c r="Q605" s="97" t="str">
        <f t="shared" si="117"/>
        <v/>
      </c>
      <c r="R605" t="str">
        <f t="shared" si="118"/>
        <v/>
      </c>
      <c r="CB605" s="10"/>
      <c r="CI605" s="69"/>
    </row>
    <row r="606" spans="3:87">
      <c r="C606" t="str">
        <f t="shared" si="110"/>
        <v/>
      </c>
      <c r="D606">
        <v>597</v>
      </c>
      <c r="E606" s="97">
        <v>195</v>
      </c>
      <c r="F606" s="366">
        <f t="shared" si="113"/>
        <v>4231.5</v>
      </c>
      <c r="G606" s="97">
        <v>6425</v>
      </c>
      <c r="H606" s="367">
        <f t="shared" si="114"/>
        <v>10656.5</v>
      </c>
      <c r="I606" s="368">
        <f t="shared" si="115"/>
        <v>0</v>
      </c>
      <c r="J606" s="97">
        <v>24237</v>
      </c>
      <c r="K606" s="367">
        <f t="shared" si="116"/>
        <v>17312.142857142859</v>
      </c>
      <c r="L606" s="10">
        <v>0.37</v>
      </c>
      <c r="M606" s="97">
        <v>5.8</v>
      </c>
      <c r="N606" s="605">
        <v>27</v>
      </c>
      <c r="O606" s="97">
        <v>8</v>
      </c>
      <c r="P606" s="97" t="s">
        <v>515</v>
      </c>
      <c r="Q606" s="97">
        <f t="shared" si="117"/>
        <v>597</v>
      </c>
      <c r="R606" t="str">
        <f t="shared" si="118"/>
        <v/>
      </c>
      <c r="CB606" s="10"/>
      <c r="CI606" s="69"/>
    </row>
    <row r="607" spans="3:87">
      <c r="C607" t="str">
        <f t="shared" si="110"/>
        <v/>
      </c>
      <c r="D607">
        <v>598</v>
      </c>
      <c r="E607" s="97">
        <v>195</v>
      </c>
      <c r="F607" s="366">
        <f t="shared" si="113"/>
        <v>4231.5</v>
      </c>
      <c r="G607" s="97">
        <v>7449</v>
      </c>
      <c r="H607" s="367">
        <f t="shared" si="114"/>
        <v>11680.5</v>
      </c>
      <c r="I607" s="368">
        <f t="shared" si="115"/>
        <v>0</v>
      </c>
      <c r="J607" s="97">
        <v>28102</v>
      </c>
      <c r="K607" s="367">
        <f t="shared" si="116"/>
        <v>20072.857142857145</v>
      </c>
      <c r="L607" s="10">
        <v>0.61</v>
      </c>
      <c r="M607" s="97">
        <v>5.8</v>
      </c>
      <c r="N607" s="605">
        <v>29</v>
      </c>
      <c r="O607" s="97">
        <v>8</v>
      </c>
      <c r="P607" s="97" t="s">
        <v>556</v>
      </c>
      <c r="Q607" s="97">
        <f t="shared" si="117"/>
        <v>598</v>
      </c>
      <c r="R607" t="str">
        <f t="shared" si="118"/>
        <v/>
      </c>
      <c r="CB607" s="10"/>
      <c r="CI607" s="69"/>
    </row>
    <row r="608" spans="3:87">
      <c r="C608" t="str">
        <f t="shared" si="110"/>
        <v>NL</v>
      </c>
      <c r="D608">
        <v>599</v>
      </c>
      <c r="E608" s="97">
        <v>195</v>
      </c>
      <c r="F608" s="366">
        <f t="shared" si="113"/>
        <v>4231.5</v>
      </c>
      <c r="G608" s="97">
        <v>6236</v>
      </c>
      <c r="H608" s="367">
        <f t="shared" si="114"/>
        <v>10467.5</v>
      </c>
      <c r="I608" s="368">
        <f t="shared" si="115"/>
        <v>0</v>
      </c>
      <c r="J608" s="97">
        <v>23526</v>
      </c>
      <c r="K608" s="367">
        <f t="shared" si="116"/>
        <v>16804.285714285714</v>
      </c>
      <c r="L608" s="10">
        <v>0.32</v>
      </c>
      <c r="M608" s="97">
        <v>6.5</v>
      </c>
      <c r="N608" s="605">
        <v>28</v>
      </c>
      <c r="O608" s="97">
        <v>9</v>
      </c>
      <c r="P608" s="97" t="s">
        <v>515</v>
      </c>
      <c r="Q608" s="97" t="str">
        <f t="shared" si="117"/>
        <v/>
      </c>
      <c r="R608" t="str">
        <f t="shared" si="118"/>
        <v/>
      </c>
      <c r="CB608" s="10"/>
      <c r="CI608" s="69"/>
    </row>
    <row r="609" spans="3:87">
      <c r="C609" t="str">
        <f t="shared" si="110"/>
        <v/>
      </c>
      <c r="D609">
        <v>600</v>
      </c>
      <c r="E609" s="97">
        <v>195</v>
      </c>
      <c r="F609" s="366">
        <f t="shared" si="113"/>
        <v>4231.5</v>
      </c>
      <c r="G609" s="97">
        <v>5959</v>
      </c>
      <c r="H609" s="367">
        <f t="shared" si="114"/>
        <v>10190.5</v>
      </c>
      <c r="I609" s="368">
        <f t="shared" si="115"/>
        <v>0</v>
      </c>
      <c r="J609" s="97">
        <v>22481</v>
      </c>
      <c r="K609" s="367">
        <f t="shared" si="116"/>
        <v>16057.857142857143</v>
      </c>
      <c r="L609" s="10">
        <v>0.26</v>
      </c>
      <c r="M609" s="97">
        <v>7.1999999999999993</v>
      </c>
      <c r="N609" s="605">
        <v>27</v>
      </c>
      <c r="O609" s="97">
        <v>10</v>
      </c>
      <c r="P609" s="97" t="s">
        <v>515</v>
      </c>
      <c r="Q609" s="97" t="str">
        <f t="shared" si="117"/>
        <v/>
      </c>
      <c r="R609" t="str">
        <f t="shared" si="118"/>
        <v/>
      </c>
      <c r="CB609" s="10"/>
      <c r="CI609" s="69"/>
    </row>
    <row r="610" spans="3:87">
      <c r="C610" t="str">
        <f t="shared" si="110"/>
        <v/>
      </c>
      <c r="D610">
        <v>601</v>
      </c>
      <c r="E610" s="97">
        <v>195</v>
      </c>
      <c r="F610" s="366">
        <f t="shared" si="113"/>
        <v>4231.5</v>
      </c>
      <c r="G610" s="97">
        <v>7534</v>
      </c>
      <c r="H610" s="367">
        <f t="shared" si="114"/>
        <v>11765.5</v>
      </c>
      <c r="I610" s="368">
        <f t="shared" si="115"/>
        <v>0</v>
      </c>
      <c r="J610" s="97">
        <v>28421</v>
      </c>
      <c r="K610" s="367">
        <f t="shared" si="116"/>
        <v>20300.714285714286</v>
      </c>
      <c r="L610" s="10">
        <v>0.42</v>
      </c>
      <c r="M610" s="97">
        <v>7.1999999999999993</v>
      </c>
      <c r="N610" s="605">
        <v>29</v>
      </c>
      <c r="O610" s="97">
        <v>10</v>
      </c>
      <c r="P610" s="97" t="s">
        <v>556</v>
      </c>
      <c r="Q610" s="97" t="str">
        <f t="shared" si="117"/>
        <v/>
      </c>
      <c r="R610" t="str">
        <f t="shared" si="118"/>
        <v/>
      </c>
      <c r="CB610" s="10"/>
      <c r="CI610" s="69"/>
    </row>
    <row r="611" spans="3:87">
      <c r="C611" t="str">
        <f t="shared" si="110"/>
        <v/>
      </c>
      <c r="D611">
        <v>602</v>
      </c>
      <c r="E611" s="97">
        <v>195</v>
      </c>
      <c r="F611" s="366">
        <f t="shared" si="113"/>
        <v>4231.5</v>
      </c>
      <c r="G611" s="97">
        <v>8797</v>
      </c>
      <c r="H611" s="367">
        <f t="shared" si="114"/>
        <v>13028.5</v>
      </c>
      <c r="I611" s="368">
        <f t="shared" si="115"/>
        <v>0</v>
      </c>
      <c r="J611" s="97">
        <v>33186</v>
      </c>
      <c r="K611" s="367">
        <f t="shared" si="116"/>
        <v>23704.285714285714</v>
      </c>
      <c r="L611" s="10">
        <v>0.87</v>
      </c>
      <c r="M611" s="97">
        <v>7.1999999999999993</v>
      </c>
      <c r="N611" s="605">
        <v>34</v>
      </c>
      <c r="O611" s="97">
        <v>10</v>
      </c>
      <c r="P611" s="97" t="s">
        <v>514</v>
      </c>
      <c r="Q611" s="97" t="str">
        <f t="shared" si="117"/>
        <v/>
      </c>
      <c r="R611" t="str">
        <f t="shared" si="118"/>
        <v/>
      </c>
      <c r="CB611" s="10"/>
      <c r="CI611" s="69"/>
    </row>
    <row r="612" spans="3:87">
      <c r="C612" t="str">
        <f t="shared" si="110"/>
        <v>NL</v>
      </c>
      <c r="D612">
        <v>603</v>
      </c>
      <c r="E612" s="97">
        <v>200</v>
      </c>
      <c r="F612" s="366">
        <f t="shared" si="113"/>
        <v>4340</v>
      </c>
      <c r="G612" s="97">
        <v>5895</v>
      </c>
      <c r="H612" s="367">
        <f t="shared" si="114"/>
        <v>10235</v>
      </c>
      <c r="I612" s="368">
        <f t="shared" si="115"/>
        <v>0</v>
      </c>
      <c r="J612" s="97">
        <v>22238</v>
      </c>
      <c r="K612" s="367">
        <f t="shared" si="116"/>
        <v>15884.285714285714</v>
      </c>
      <c r="L612" s="10">
        <v>0.97</v>
      </c>
      <c r="M612" s="97">
        <v>3.8000000000000003</v>
      </c>
      <c r="N612" s="605">
        <v>31</v>
      </c>
      <c r="O612" s="97">
        <v>5</v>
      </c>
      <c r="P612" s="97" t="s">
        <v>515</v>
      </c>
      <c r="Q612" s="97" t="str">
        <f t="shared" si="117"/>
        <v/>
      </c>
      <c r="R612" t="str">
        <f t="shared" si="118"/>
        <v/>
      </c>
      <c r="CB612" s="10"/>
      <c r="CI612" s="69"/>
    </row>
    <row r="613" spans="3:87">
      <c r="C613" t="str">
        <f t="shared" si="110"/>
        <v/>
      </c>
      <c r="D613">
        <v>604</v>
      </c>
      <c r="E613" s="97">
        <v>200</v>
      </c>
      <c r="F613" s="366">
        <f t="shared" si="113"/>
        <v>4340</v>
      </c>
      <c r="G613" s="97">
        <v>6150</v>
      </c>
      <c r="H613" s="367">
        <f t="shared" si="114"/>
        <v>10490</v>
      </c>
      <c r="I613" s="368">
        <f t="shared" si="115"/>
        <v>0</v>
      </c>
      <c r="J613" s="97">
        <v>23203</v>
      </c>
      <c r="K613" s="367">
        <f t="shared" si="116"/>
        <v>16573.571428571428</v>
      </c>
      <c r="L613" s="10">
        <v>0.67</v>
      </c>
      <c r="M613" s="97">
        <v>4.3999999999999995</v>
      </c>
      <c r="N613" s="605">
        <v>29</v>
      </c>
      <c r="O613" s="97">
        <v>6</v>
      </c>
      <c r="P613" s="97" t="s">
        <v>515</v>
      </c>
      <c r="Q613" s="97">
        <f t="shared" si="117"/>
        <v>604</v>
      </c>
      <c r="R613" t="str">
        <f t="shared" si="118"/>
        <v/>
      </c>
      <c r="CB613" s="10"/>
      <c r="CI613" s="69"/>
    </row>
    <row r="614" spans="3:87">
      <c r="C614" t="str">
        <f t="shared" si="110"/>
        <v>NL</v>
      </c>
      <c r="D614">
        <v>605</v>
      </c>
      <c r="E614" s="97">
        <v>200</v>
      </c>
      <c r="F614" s="366">
        <f t="shared" si="113"/>
        <v>4340</v>
      </c>
      <c r="G614" s="97">
        <v>6382</v>
      </c>
      <c r="H614" s="367">
        <f t="shared" si="114"/>
        <v>10722</v>
      </c>
      <c r="I614" s="368">
        <f t="shared" si="115"/>
        <v>0</v>
      </c>
      <c r="J614" s="97">
        <v>24075</v>
      </c>
      <c r="K614" s="367">
        <f t="shared" si="116"/>
        <v>17196.428571428572</v>
      </c>
      <c r="L614" s="10">
        <v>0.5</v>
      </c>
      <c r="M614" s="97">
        <v>5.0999999999999996</v>
      </c>
      <c r="N614" s="605">
        <v>28</v>
      </c>
      <c r="O614" s="97">
        <v>7</v>
      </c>
      <c r="P614" s="97" t="s">
        <v>515</v>
      </c>
      <c r="Q614" s="97" t="str">
        <f t="shared" si="117"/>
        <v/>
      </c>
      <c r="R614" t="str">
        <f t="shared" si="118"/>
        <v/>
      </c>
      <c r="CB614" s="10"/>
      <c r="CI614" s="69"/>
    </row>
    <row r="615" spans="3:87">
      <c r="C615" t="str">
        <f t="shared" si="110"/>
        <v>NL</v>
      </c>
      <c r="D615">
        <v>606</v>
      </c>
      <c r="E615" s="97">
        <v>200</v>
      </c>
      <c r="F615" s="366">
        <f t="shared" si="113"/>
        <v>4340</v>
      </c>
      <c r="G615" s="97">
        <v>7420</v>
      </c>
      <c r="H615" s="367">
        <f t="shared" si="114"/>
        <v>11760</v>
      </c>
      <c r="I615" s="368">
        <f t="shared" si="115"/>
        <v>0</v>
      </c>
      <c r="J615" s="97">
        <v>27991</v>
      </c>
      <c r="K615" s="367">
        <f t="shared" si="116"/>
        <v>19993.571428571428</v>
      </c>
      <c r="L615" s="10">
        <v>0.83</v>
      </c>
      <c r="M615" s="97">
        <v>5.0999999999999996</v>
      </c>
      <c r="N615" s="605">
        <v>31</v>
      </c>
      <c r="O615" s="97">
        <v>7</v>
      </c>
      <c r="P615" s="97" t="s">
        <v>556</v>
      </c>
      <c r="Q615" s="97" t="str">
        <f t="shared" si="117"/>
        <v/>
      </c>
      <c r="R615" t="str">
        <f t="shared" si="118"/>
        <v/>
      </c>
      <c r="CB615" s="10"/>
      <c r="CI615" s="69"/>
    </row>
    <row r="616" spans="3:87">
      <c r="C616" t="str">
        <f t="shared" si="110"/>
        <v/>
      </c>
      <c r="D616">
        <v>607</v>
      </c>
      <c r="E616" s="97">
        <v>200</v>
      </c>
      <c r="F616" s="366">
        <f t="shared" si="113"/>
        <v>4340</v>
      </c>
      <c r="G616" s="97">
        <v>6542</v>
      </c>
      <c r="H616" s="367">
        <f t="shared" si="114"/>
        <v>10882</v>
      </c>
      <c r="I616" s="368">
        <f t="shared" si="115"/>
        <v>0</v>
      </c>
      <c r="J616" s="97">
        <v>24680</v>
      </c>
      <c r="K616" s="367">
        <f t="shared" si="116"/>
        <v>17628.571428571428</v>
      </c>
      <c r="L616" s="10">
        <v>0.39</v>
      </c>
      <c r="M616" s="97">
        <v>5.8</v>
      </c>
      <c r="N616" s="605">
        <v>28</v>
      </c>
      <c r="O616" s="97">
        <v>8</v>
      </c>
      <c r="P616" s="97" t="s">
        <v>515</v>
      </c>
      <c r="Q616" s="97">
        <f t="shared" si="117"/>
        <v>607</v>
      </c>
      <c r="R616" t="str">
        <f t="shared" si="118"/>
        <v/>
      </c>
      <c r="CB616" s="10"/>
      <c r="CI616" s="69"/>
    </row>
    <row r="617" spans="3:87">
      <c r="C617" t="str">
        <f t="shared" si="110"/>
        <v/>
      </c>
      <c r="D617">
        <v>608</v>
      </c>
      <c r="E617" s="97">
        <v>200</v>
      </c>
      <c r="F617" s="366">
        <f t="shared" si="113"/>
        <v>4340</v>
      </c>
      <c r="G617" s="97">
        <v>7580</v>
      </c>
      <c r="H617" s="367">
        <f t="shared" si="114"/>
        <v>11920</v>
      </c>
      <c r="I617" s="368">
        <f t="shared" si="115"/>
        <v>0</v>
      </c>
      <c r="J617" s="97">
        <v>28595</v>
      </c>
      <c r="K617" s="367">
        <f t="shared" si="116"/>
        <v>20425</v>
      </c>
      <c r="L617" s="10">
        <v>0.64</v>
      </c>
      <c r="M617" s="97">
        <v>5.8</v>
      </c>
      <c r="N617" s="605">
        <v>30</v>
      </c>
      <c r="O617" s="97">
        <v>8</v>
      </c>
      <c r="P617" s="97" t="s">
        <v>556</v>
      </c>
      <c r="Q617" s="97">
        <f t="shared" si="117"/>
        <v>608</v>
      </c>
      <c r="R617" t="str">
        <f t="shared" si="118"/>
        <v/>
      </c>
      <c r="CB617" s="10"/>
      <c r="CI617" s="69"/>
    </row>
    <row r="618" spans="3:87">
      <c r="C618" t="str">
        <f t="shared" si="110"/>
        <v>NL</v>
      </c>
      <c r="D618">
        <v>609</v>
      </c>
      <c r="E618" s="97">
        <v>200</v>
      </c>
      <c r="F618" s="366">
        <f t="shared" si="113"/>
        <v>4340</v>
      </c>
      <c r="G618" s="97">
        <v>6436</v>
      </c>
      <c r="H618" s="367">
        <f t="shared" si="114"/>
        <v>10776</v>
      </c>
      <c r="I618" s="368">
        <f t="shared" si="115"/>
        <v>0</v>
      </c>
      <c r="J618" s="97">
        <v>24278</v>
      </c>
      <c r="K618" s="367">
        <f t="shared" si="116"/>
        <v>17341.428571428572</v>
      </c>
      <c r="L618" s="10">
        <v>0.33</v>
      </c>
      <c r="M618" s="97">
        <v>6.5</v>
      </c>
      <c r="N618" s="605">
        <v>28</v>
      </c>
      <c r="O618" s="97">
        <v>9</v>
      </c>
      <c r="P618" s="97" t="s">
        <v>515</v>
      </c>
      <c r="Q618" s="97" t="str">
        <f t="shared" si="117"/>
        <v/>
      </c>
      <c r="R618" t="str">
        <f t="shared" si="118"/>
        <v/>
      </c>
      <c r="CB618" s="10"/>
      <c r="CI618" s="69"/>
    </row>
    <row r="619" spans="3:87">
      <c r="C619" t="str">
        <f t="shared" si="110"/>
        <v/>
      </c>
      <c r="D619">
        <v>610</v>
      </c>
      <c r="E619" s="97">
        <v>200</v>
      </c>
      <c r="F619" s="366">
        <f t="shared" si="113"/>
        <v>4340</v>
      </c>
      <c r="G619" s="97">
        <v>6144</v>
      </c>
      <c r="H619" s="367">
        <f t="shared" si="114"/>
        <v>10484</v>
      </c>
      <c r="I619" s="368">
        <f t="shared" si="115"/>
        <v>0</v>
      </c>
      <c r="J619" s="97">
        <v>23178</v>
      </c>
      <c r="K619" s="367">
        <f t="shared" si="116"/>
        <v>16555.714285714286</v>
      </c>
      <c r="L619" s="10">
        <v>0.28000000000000003</v>
      </c>
      <c r="M619" s="97">
        <v>7.1999999999999993</v>
      </c>
      <c r="N619" s="605">
        <v>28</v>
      </c>
      <c r="O619" s="97">
        <v>10</v>
      </c>
      <c r="P619" s="97" t="s">
        <v>515</v>
      </c>
      <c r="Q619" s="97" t="str">
        <f t="shared" si="117"/>
        <v/>
      </c>
      <c r="R619" t="str">
        <f t="shared" si="118"/>
        <v/>
      </c>
      <c r="CB619" s="10"/>
      <c r="CI619" s="69"/>
    </row>
    <row r="620" spans="3:87">
      <c r="C620" t="str">
        <f t="shared" si="110"/>
        <v/>
      </c>
      <c r="D620">
        <v>611</v>
      </c>
      <c r="E620" s="97">
        <v>200</v>
      </c>
      <c r="F620" s="366">
        <f t="shared" si="113"/>
        <v>4340</v>
      </c>
      <c r="G620" s="97">
        <v>7666</v>
      </c>
      <c r="H620" s="367">
        <f t="shared" si="114"/>
        <v>12006</v>
      </c>
      <c r="I620" s="368">
        <f t="shared" si="115"/>
        <v>0</v>
      </c>
      <c r="J620" s="97">
        <v>28921</v>
      </c>
      <c r="K620" s="367">
        <f t="shared" si="116"/>
        <v>20657.857142857145</v>
      </c>
      <c r="L620" s="10">
        <v>0.44</v>
      </c>
      <c r="M620" s="97">
        <v>7.1999999999999993</v>
      </c>
      <c r="N620" s="605">
        <v>29</v>
      </c>
      <c r="O620" s="97">
        <v>10</v>
      </c>
      <c r="P620" s="97" t="s">
        <v>556</v>
      </c>
      <c r="Q620" s="97" t="str">
        <f t="shared" si="117"/>
        <v/>
      </c>
      <c r="R620" t="str">
        <f t="shared" si="118"/>
        <v/>
      </c>
      <c r="CB620" s="10"/>
      <c r="CI620" s="69"/>
    </row>
    <row r="621" spans="3:87">
      <c r="C621" t="str">
        <f t="shared" si="110"/>
        <v/>
      </c>
      <c r="D621">
        <v>612</v>
      </c>
      <c r="E621" s="97">
        <v>200</v>
      </c>
      <c r="F621" s="366">
        <f t="shared" si="113"/>
        <v>4340</v>
      </c>
      <c r="G621" s="97">
        <v>8941</v>
      </c>
      <c r="H621" s="367">
        <f t="shared" si="114"/>
        <v>13281</v>
      </c>
      <c r="I621" s="368">
        <f t="shared" si="115"/>
        <v>0</v>
      </c>
      <c r="J621" s="97">
        <v>33731</v>
      </c>
      <c r="K621" s="367">
        <f t="shared" si="116"/>
        <v>24093.571428571428</v>
      </c>
      <c r="L621" s="10">
        <v>0.91</v>
      </c>
      <c r="M621" s="97">
        <v>7.1999999999999993</v>
      </c>
      <c r="N621" s="605">
        <v>34</v>
      </c>
      <c r="O621" s="97">
        <v>10</v>
      </c>
      <c r="P621" s="97" t="s">
        <v>514</v>
      </c>
      <c r="Q621" s="97" t="str">
        <f t="shared" si="117"/>
        <v/>
      </c>
      <c r="R621" t="str">
        <f t="shared" si="118"/>
        <v/>
      </c>
      <c r="CB621" s="10"/>
      <c r="CI621" s="69"/>
    </row>
    <row r="622" spans="3:87">
      <c r="C622" t="str">
        <f t="shared" si="110"/>
        <v/>
      </c>
      <c r="D622">
        <v>613</v>
      </c>
      <c r="E622" s="97">
        <v>205</v>
      </c>
      <c r="F622" s="366">
        <f t="shared" si="113"/>
        <v>4448.5</v>
      </c>
      <c r="G622" s="97">
        <v>6253</v>
      </c>
      <c r="H622" s="367">
        <f t="shared" si="114"/>
        <v>10701.5</v>
      </c>
      <c r="I622" s="368">
        <f t="shared" si="115"/>
        <v>0</v>
      </c>
      <c r="J622" s="97">
        <v>23589</v>
      </c>
      <c r="K622" s="367">
        <f t="shared" si="116"/>
        <v>16849.285714285714</v>
      </c>
      <c r="L622" s="10">
        <v>0.7</v>
      </c>
      <c r="M622" s="97">
        <v>4.3999999999999995</v>
      </c>
      <c r="N622" s="605">
        <v>30</v>
      </c>
      <c r="O622" s="97">
        <v>6</v>
      </c>
      <c r="P622" s="97" t="s">
        <v>515</v>
      </c>
      <c r="Q622" s="97">
        <f t="shared" si="117"/>
        <v>613</v>
      </c>
      <c r="R622" t="str">
        <f t="shared" si="118"/>
        <v/>
      </c>
      <c r="CB622" s="10"/>
      <c r="CI622" s="69"/>
    </row>
    <row r="623" spans="3:87">
      <c r="C623" t="str">
        <f t="shared" si="110"/>
        <v>NL</v>
      </c>
      <c r="D623">
        <v>614</v>
      </c>
      <c r="E623" s="97">
        <v>205</v>
      </c>
      <c r="F623" s="366">
        <f t="shared" si="113"/>
        <v>4448.5</v>
      </c>
      <c r="G623" s="97">
        <v>6488</v>
      </c>
      <c r="H623" s="367">
        <f t="shared" si="114"/>
        <v>10936.5</v>
      </c>
      <c r="I623" s="368">
        <f t="shared" si="115"/>
        <v>0</v>
      </c>
      <c r="J623" s="97">
        <v>24476</v>
      </c>
      <c r="K623" s="367">
        <f t="shared" si="116"/>
        <v>17482.857142857145</v>
      </c>
      <c r="L623" s="10">
        <v>0.52</v>
      </c>
      <c r="M623" s="97">
        <v>5.0999999999999996</v>
      </c>
      <c r="N623" s="605">
        <v>29</v>
      </c>
      <c r="O623" s="97">
        <v>7</v>
      </c>
      <c r="P623" s="97" t="s">
        <v>515</v>
      </c>
      <c r="Q623" s="97" t="str">
        <f t="shared" si="117"/>
        <v/>
      </c>
      <c r="R623" t="str">
        <f t="shared" si="118"/>
        <v/>
      </c>
      <c r="CB623" s="10"/>
      <c r="CI623" s="69"/>
    </row>
    <row r="624" spans="3:87">
      <c r="C624" t="str">
        <f t="shared" si="110"/>
        <v>NL</v>
      </c>
      <c r="D624">
        <v>615</v>
      </c>
      <c r="E624" s="97">
        <v>205</v>
      </c>
      <c r="F624" s="366">
        <f t="shared" si="113"/>
        <v>4448.5</v>
      </c>
      <c r="G624" s="97">
        <v>7538</v>
      </c>
      <c r="H624" s="367">
        <f t="shared" si="114"/>
        <v>11986.5</v>
      </c>
      <c r="I624" s="368">
        <f t="shared" si="115"/>
        <v>0</v>
      </c>
      <c r="J624" s="97">
        <v>28436</v>
      </c>
      <c r="K624" s="367">
        <f t="shared" si="116"/>
        <v>20311.428571428572</v>
      </c>
      <c r="L624" s="10">
        <v>0.87</v>
      </c>
      <c r="M624" s="97">
        <v>5.0999999999999996</v>
      </c>
      <c r="N624" s="605">
        <v>31</v>
      </c>
      <c r="O624" s="97">
        <v>7</v>
      </c>
      <c r="P624" s="97" t="s">
        <v>556</v>
      </c>
      <c r="Q624" s="97" t="str">
        <f t="shared" si="117"/>
        <v/>
      </c>
      <c r="R624" t="str">
        <f t="shared" si="118"/>
        <v/>
      </c>
      <c r="CB624" s="10"/>
      <c r="CI624" s="69"/>
    </row>
    <row r="625" spans="3:87">
      <c r="C625" t="str">
        <f t="shared" si="110"/>
        <v/>
      </c>
      <c r="D625">
        <v>616</v>
      </c>
      <c r="E625" s="97">
        <v>205</v>
      </c>
      <c r="F625" s="366">
        <f t="shared" si="113"/>
        <v>4448.5</v>
      </c>
      <c r="G625" s="97">
        <v>6660</v>
      </c>
      <c r="H625" s="367">
        <f t="shared" si="114"/>
        <v>11108.5</v>
      </c>
      <c r="I625" s="368">
        <f t="shared" si="115"/>
        <v>0</v>
      </c>
      <c r="J625" s="97">
        <v>25124</v>
      </c>
      <c r="K625" s="367">
        <f t="shared" si="116"/>
        <v>17945.714285714286</v>
      </c>
      <c r="L625" s="10">
        <v>0.41000000000000003</v>
      </c>
      <c r="M625" s="97">
        <v>5.8</v>
      </c>
      <c r="N625" s="605">
        <v>28</v>
      </c>
      <c r="O625" s="97">
        <v>8</v>
      </c>
      <c r="P625" s="97" t="s">
        <v>515</v>
      </c>
      <c r="Q625" s="97">
        <f t="shared" si="117"/>
        <v>616</v>
      </c>
      <c r="R625" t="str">
        <f t="shared" si="118"/>
        <v/>
      </c>
      <c r="CB625" s="10"/>
      <c r="CI625" s="69"/>
    </row>
    <row r="626" spans="3:87">
      <c r="C626" t="str">
        <f t="shared" si="110"/>
        <v/>
      </c>
      <c r="D626">
        <v>617</v>
      </c>
      <c r="E626" s="97">
        <v>205</v>
      </c>
      <c r="F626" s="366">
        <f t="shared" si="113"/>
        <v>4448.5</v>
      </c>
      <c r="G626" s="97">
        <v>7710</v>
      </c>
      <c r="H626" s="367">
        <f t="shared" si="114"/>
        <v>12158.5</v>
      </c>
      <c r="I626" s="368">
        <f t="shared" si="115"/>
        <v>0</v>
      </c>
      <c r="J626" s="97">
        <v>29087</v>
      </c>
      <c r="K626" s="367">
        <f t="shared" si="116"/>
        <v>20776.428571428572</v>
      </c>
      <c r="L626" s="10">
        <v>0.68</v>
      </c>
      <c r="M626" s="97">
        <v>5.8</v>
      </c>
      <c r="N626" s="605">
        <v>30</v>
      </c>
      <c r="O626" s="97">
        <v>8</v>
      </c>
      <c r="P626" s="97" t="s">
        <v>556</v>
      </c>
      <c r="Q626" s="97">
        <f t="shared" si="117"/>
        <v>617</v>
      </c>
      <c r="R626" t="str">
        <f t="shared" si="118"/>
        <v/>
      </c>
      <c r="CB626" s="10"/>
      <c r="CI626" s="69"/>
    </row>
    <row r="627" spans="3:87">
      <c r="C627" t="str">
        <f t="shared" si="110"/>
        <v>NL</v>
      </c>
      <c r="D627">
        <v>618</v>
      </c>
      <c r="E627" s="97">
        <v>205</v>
      </c>
      <c r="F627" s="366">
        <f t="shared" si="113"/>
        <v>4448.5</v>
      </c>
      <c r="G627" s="97">
        <v>6635</v>
      </c>
      <c r="H627" s="367">
        <f t="shared" si="114"/>
        <v>11083.5</v>
      </c>
      <c r="I627" s="368">
        <f t="shared" si="115"/>
        <v>0</v>
      </c>
      <c r="J627" s="97">
        <v>25030</v>
      </c>
      <c r="K627" s="367">
        <f t="shared" si="116"/>
        <v>17878.571428571428</v>
      </c>
      <c r="L627" s="10">
        <v>0.35000000000000003</v>
      </c>
      <c r="M627" s="97">
        <v>6.5</v>
      </c>
      <c r="N627" s="605">
        <v>28</v>
      </c>
      <c r="O627" s="97">
        <v>9</v>
      </c>
      <c r="P627" s="97" t="s">
        <v>515</v>
      </c>
      <c r="Q627" s="97" t="str">
        <f t="shared" si="117"/>
        <v/>
      </c>
      <c r="R627" t="str">
        <f t="shared" si="118"/>
        <v/>
      </c>
      <c r="CB627" s="10"/>
      <c r="CI627" s="69"/>
    </row>
    <row r="628" spans="3:87">
      <c r="C628" t="str">
        <f t="shared" si="110"/>
        <v/>
      </c>
      <c r="D628">
        <v>619</v>
      </c>
      <c r="E628" s="97">
        <v>205</v>
      </c>
      <c r="F628" s="366">
        <f t="shared" si="113"/>
        <v>4448.5</v>
      </c>
      <c r="G628" s="97">
        <v>6329</v>
      </c>
      <c r="H628" s="367">
        <f t="shared" si="114"/>
        <v>10777.5</v>
      </c>
      <c r="I628" s="368">
        <f t="shared" si="115"/>
        <v>0</v>
      </c>
      <c r="J628" s="97">
        <v>23875</v>
      </c>
      <c r="K628" s="367">
        <f t="shared" si="116"/>
        <v>17053.571428571428</v>
      </c>
      <c r="L628" s="10">
        <v>0.29000000000000004</v>
      </c>
      <c r="M628" s="97">
        <v>7.1999999999999993</v>
      </c>
      <c r="N628" s="605">
        <v>28</v>
      </c>
      <c r="O628" s="97">
        <v>10</v>
      </c>
      <c r="P628" s="97" t="s">
        <v>515</v>
      </c>
      <c r="Q628" s="97" t="str">
        <f t="shared" si="117"/>
        <v/>
      </c>
      <c r="R628" t="str">
        <f t="shared" si="118"/>
        <v/>
      </c>
      <c r="CB628" s="10"/>
      <c r="CI628" s="69"/>
    </row>
    <row r="629" spans="3:87">
      <c r="C629" t="str">
        <f t="shared" si="110"/>
        <v/>
      </c>
      <c r="D629">
        <v>620</v>
      </c>
      <c r="E629" s="97">
        <v>205</v>
      </c>
      <c r="F629" s="366">
        <f t="shared" si="113"/>
        <v>4448.5</v>
      </c>
      <c r="G629" s="97">
        <v>7799</v>
      </c>
      <c r="H629" s="367">
        <f t="shared" si="114"/>
        <v>12247.5</v>
      </c>
      <c r="I629" s="368">
        <f t="shared" si="115"/>
        <v>0</v>
      </c>
      <c r="J629" s="97">
        <v>29421</v>
      </c>
      <c r="K629" s="367">
        <f t="shared" si="116"/>
        <v>21015</v>
      </c>
      <c r="L629" s="10">
        <v>0.47000000000000003</v>
      </c>
      <c r="M629" s="97">
        <v>7.1999999999999993</v>
      </c>
      <c r="N629" s="605">
        <v>30</v>
      </c>
      <c r="O629" s="97">
        <v>10</v>
      </c>
      <c r="P629" s="97" t="s">
        <v>556</v>
      </c>
      <c r="Q629" s="97" t="str">
        <f t="shared" si="117"/>
        <v/>
      </c>
      <c r="R629" t="str">
        <f t="shared" si="118"/>
        <v/>
      </c>
      <c r="CB629" s="10"/>
      <c r="CI629" s="69"/>
    </row>
    <row r="630" spans="3:87">
      <c r="C630" t="str">
        <f t="shared" si="110"/>
        <v/>
      </c>
      <c r="D630">
        <v>621</v>
      </c>
      <c r="E630" s="97">
        <v>205</v>
      </c>
      <c r="F630" s="366">
        <f t="shared" si="113"/>
        <v>4448.5</v>
      </c>
      <c r="G630" s="97">
        <v>9086</v>
      </c>
      <c r="H630" s="367">
        <f t="shared" si="114"/>
        <v>13534.5</v>
      </c>
      <c r="I630" s="368">
        <f t="shared" si="115"/>
        <v>0</v>
      </c>
      <c r="J630" s="97">
        <v>34275</v>
      </c>
      <c r="K630" s="367">
        <f t="shared" si="116"/>
        <v>24482.142857142859</v>
      </c>
      <c r="L630" s="10">
        <v>0.96</v>
      </c>
      <c r="M630" s="97">
        <v>7.1999999999999993</v>
      </c>
      <c r="N630" s="605">
        <v>35</v>
      </c>
      <c r="O630" s="97">
        <v>10</v>
      </c>
      <c r="P630" s="97" t="s">
        <v>514</v>
      </c>
      <c r="Q630" s="97" t="str">
        <f t="shared" si="117"/>
        <v/>
      </c>
      <c r="R630" t="str">
        <f t="shared" si="118"/>
        <v/>
      </c>
      <c r="CB630" s="10"/>
      <c r="CI630" s="69"/>
    </row>
    <row r="631" spans="3:87">
      <c r="C631" t="str">
        <f t="shared" si="110"/>
        <v/>
      </c>
      <c r="D631">
        <v>622</v>
      </c>
      <c r="E631" s="97">
        <v>210</v>
      </c>
      <c r="F631" s="366">
        <f t="shared" si="113"/>
        <v>4557</v>
      </c>
      <c r="G631" s="97">
        <v>6355</v>
      </c>
      <c r="H631" s="367">
        <f t="shared" si="114"/>
        <v>10912</v>
      </c>
      <c r="I631" s="368">
        <f t="shared" si="115"/>
        <v>0</v>
      </c>
      <c r="J631" s="97">
        <v>23974</v>
      </c>
      <c r="K631" s="367">
        <f t="shared" si="116"/>
        <v>17124.285714285714</v>
      </c>
      <c r="L631" s="10">
        <v>0.74</v>
      </c>
      <c r="M631" s="97">
        <v>4.3999999999999995</v>
      </c>
      <c r="N631" s="605">
        <v>30</v>
      </c>
      <c r="O631" s="97">
        <v>6</v>
      </c>
      <c r="P631" s="97" t="s">
        <v>515</v>
      </c>
      <c r="Q631" s="97" t="str">
        <f t="shared" si="117"/>
        <v/>
      </c>
      <c r="R631" t="str">
        <f t="shared" si="118"/>
        <v/>
      </c>
      <c r="CB631" s="10"/>
      <c r="CI631" s="69"/>
    </row>
    <row r="632" spans="3:87">
      <c r="C632" t="str">
        <f t="shared" si="110"/>
        <v>NL</v>
      </c>
      <c r="D632">
        <v>623</v>
      </c>
      <c r="E632" s="97">
        <v>210</v>
      </c>
      <c r="F632" s="366">
        <f t="shared" si="113"/>
        <v>4557</v>
      </c>
      <c r="G632" s="97">
        <v>6594</v>
      </c>
      <c r="H632" s="367">
        <f t="shared" si="114"/>
        <v>11151</v>
      </c>
      <c r="I632" s="368">
        <f t="shared" si="115"/>
        <v>0</v>
      </c>
      <c r="J632" s="97">
        <v>24877</v>
      </c>
      <c r="K632" s="367">
        <f t="shared" si="116"/>
        <v>17769.285714285714</v>
      </c>
      <c r="L632" s="10">
        <v>0.55000000000000004</v>
      </c>
      <c r="M632" s="97">
        <v>5.0999999999999996</v>
      </c>
      <c r="N632" s="605">
        <v>29</v>
      </c>
      <c r="O632" s="97">
        <v>7</v>
      </c>
      <c r="P632" s="97" t="s">
        <v>515</v>
      </c>
      <c r="Q632" s="97" t="str">
        <f t="shared" si="117"/>
        <v/>
      </c>
      <c r="R632" t="str">
        <f t="shared" si="118"/>
        <v/>
      </c>
      <c r="CB632" s="10"/>
      <c r="CI632" s="69"/>
    </row>
    <row r="633" spans="3:87">
      <c r="C633" t="str">
        <f t="shared" si="110"/>
        <v>NL</v>
      </c>
      <c r="D633">
        <v>624</v>
      </c>
      <c r="E633" s="97">
        <v>210</v>
      </c>
      <c r="F633" s="366">
        <f t="shared" si="113"/>
        <v>4557</v>
      </c>
      <c r="G633" s="97">
        <v>7656</v>
      </c>
      <c r="H633" s="367">
        <f t="shared" si="114"/>
        <v>12213</v>
      </c>
      <c r="I633" s="368">
        <f t="shared" si="115"/>
        <v>0</v>
      </c>
      <c r="J633" s="97">
        <v>28882</v>
      </c>
      <c r="K633" s="367">
        <f t="shared" si="116"/>
        <v>20630</v>
      </c>
      <c r="L633" s="10">
        <v>0.91</v>
      </c>
      <c r="M633" s="97">
        <v>5.0999999999999996</v>
      </c>
      <c r="N633" s="605">
        <v>31</v>
      </c>
      <c r="O633" s="97">
        <v>7</v>
      </c>
      <c r="P633" s="97" t="s">
        <v>556</v>
      </c>
      <c r="Q633" s="97" t="str">
        <f t="shared" si="117"/>
        <v/>
      </c>
      <c r="R633" t="str">
        <f t="shared" si="118"/>
        <v/>
      </c>
      <c r="CB633" s="10"/>
      <c r="CI633" s="69"/>
    </row>
    <row r="634" spans="3:87">
      <c r="C634" t="str">
        <f t="shared" si="110"/>
        <v/>
      </c>
      <c r="D634">
        <v>625</v>
      </c>
      <c r="E634" s="97">
        <v>210</v>
      </c>
      <c r="F634" s="366">
        <f t="shared" si="113"/>
        <v>4557</v>
      </c>
      <c r="G634" s="97">
        <v>6777</v>
      </c>
      <c r="H634" s="367">
        <f t="shared" si="114"/>
        <v>11334</v>
      </c>
      <c r="I634" s="368">
        <f t="shared" si="115"/>
        <v>0</v>
      </c>
      <c r="J634" s="97">
        <v>25567</v>
      </c>
      <c r="K634" s="367">
        <f t="shared" si="116"/>
        <v>18262.142857142859</v>
      </c>
      <c r="L634" s="10">
        <v>0.43</v>
      </c>
      <c r="M634" s="97">
        <v>5.8</v>
      </c>
      <c r="N634" s="605">
        <v>28</v>
      </c>
      <c r="O634" s="97">
        <v>8</v>
      </c>
      <c r="P634" s="97" t="s">
        <v>515</v>
      </c>
      <c r="Q634" s="97">
        <f t="shared" si="117"/>
        <v>625</v>
      </c>
      <c r="R634" t="str">
        <f t="shared" si="118"/>
        <v/>
      </c>
      <c r="CB634" s="10"/>
      <c r="CI634" s="69"/>
    </row>
    <row r="635" spans="3:87">
      <c r="C635" t="str">
        <f t="shared" si="110"/>
        <v/>
      </c>
      <c r="D635">
        <v>626</v>
      </c>
      <c r="E635" s="97">
        <v>210</v>
      </c>
      <c r="F635" s="366">
        <f t="shared" si="113"/>
        <v>4557</v>
      </c>
      <c r="G635" s="97">
        <v>7835</v>
      </c>
      <c r="H635" s="367">
        <f t="shared" si="114"/>
        <v>12392</v>
      </c>
      <c r="I635" s="368">
        <f t="shared" si="115"/>
        <v>0</v>
      </c>
      <c r="J635" s="97">
        <v>29559</v>
      </c>
      <c r="K635" s="367">
        <f t="shared" si="116"/>
        <v>21113.571428571428</v>
      </c>
      <c r="L635" s="10">
        <v>0.71</v>
      </c>
      <c r="M635" s="97">
        <v>5.8</v>
      </c>
      <c r="N635" s="605">
        <v>30</v>
      </c>
      <c r="O635" s="97">
        <v>8</v>
      </c>
      <c r="P635" s="97" t="s">
        <v>556</v>
      </c>
      <c r="Q635" s="97">
        <f t="shared" si="117"/>
        <v>626</v>
      </c>
      <c r="R635" t="str">
        <f t="shared" si="118"/>
        <v/>
      </c>
      <c r="CB635" s="10"/>
      <c r="CI635" s="69"/>
    </row>
    <row r="636" spans="3:87">
      <c r="C636" t="str">
        <f t="shared" si="110"/>
        <v>NL</v>
      </c>
      <c r="D636">
        <v>627</v>
      </c>
      <c r="E636" s="97">
        <v>210</v>
      </c>
      <c r="F636" s="366">
        <f t="shared" si="113"/>
        <v>4557</v>
      </c>
      <c r="G636" s="97">
        <v>6834</v>
      </c>
      <c r="H636" s="367">
        <f t="shared" si="114"/>
        <v>11391</v>
      </c>
      <c r="I636" s="368">
        <f t="shared" si="115"/>
        <v>0</v>
      </c>
      <c r="J636" s="97">
        <v>25783</v>
      </c>
      <c r="K636" s="367">
        <f t="shared" si="116"/>
        <v>18416.428571428572</v>
      </c>
      <c r="L636" s="10">
        <v>0.37</v>
      </c>
      <c r="M636" s="97">
        <v>6.5</v>
      </c>
      <c r="N636" s="605">
        <v>29</v>
      </c>
      <c r="O636" s="97">
        <v>9</v>
      </c>
      <c r="P636" s="97" t="s">
        <v>515</v>
      </c>
      <c r="Q636" s="97" t="str">
        <f t="shared" si="117"/>
        <v/>
      </c>
      <c r="R636" t="str">
        <f t="shared" si="118"/>
        <v/>
      </c>
      <c r="CB636" s="10"/>
      <c r="CI636" s="69"/>
    </row>
    <row r="637" spans="3:87">
      <c r="C637" t="str">
        <f t="shared" si="110"/>
        <v/>
      </c>
      <c r="D637">
        <v>628</v>
      </c>
      <c r="E637" s="97">
        <v>210</v>
      </c>
      <c r="F637" s="366">
        <f t="shared" si="113"/>
        <v>4557</v>
      </c>
      <c r="G637" s="97">
        <v>6521</v>
      </c>
      <c r="H637" s="367">
        <f t="shared" si="114"/>
        <v>11078</v>
      </c>
      <c r="I637" s="368">
        <f t="shared" si="115"/>
        <v>0</v>
      </c>
      <c r="J637" s="97">
        <v>24600</v>
      </c>
      <c r="K637" s="367">
        <f t="shared" si="116"/>
        <v>17571.428571428572</v>
      </c>
      <c r="L637" s="10">
        <v>0.3</v>
      </c>
      <c r="M637" s="97">
        <v>7.1999999999999993</v>
      </c>
      <c r="N637" s="605">
        <v>28</v>
      </c>
      <c r="O637" s="97">
        <v>10</v>
      </c>
      <c r="P637" s="97" t="s">
        <v>515</v>
      </c>
      <c r="Q637" s="97" t="str">
        <f t="shared" si="117"/>
        <v/>
      </c>
      <c r="R637" t="str">
        <f t="shared" si="118"/>
        <v/>
      </c>
      <c r="CB637" s="10"/>
      <c r="CI637" s="69"/>
    </row>
    <row r="638" spans="3:87">
      <c r="C638" t="str">
        <f t="shared" si="110"/>
        <v/>
      </c>
      <c r="D638">
        <v>629</v>
      </c>
      <c r="E638" s="97">
        <v>210</v>
      </c>
      <c r="F638" s="366">
        <f t="shared" si="113"/>
        <v>4557</v>
      </c>
      <c r="G638" s="97">
        <v>7932</v>
      </c>
      <c r="H638" s="367">
        <f t="shared" si="114"/>
        <v>12489</v>
      </c>
      <c r="I638" s="368">
        <f t="shared" si="115"/>
        <v>0</v>
      </c>
      <c r="J638" s="97">
        <v>29921</v>
      </c>
      <c r="K638" s="367">
        <f t="shared" si="116"/>
        <v>21372.142857142859</v>
      </c>
      <c r="L638" s="10">
        <v>0.49</v>
      </c>
      <c r="M638" s="97">
        <v>7.1999999999999993</v>
      </c>
      <c r="N638" s="605">
        <v>30</v>
      </c>
      <c r="O638" s="97">
        <v>10</v>
      </c>
      <c r="P638" s="97" t="s">
        <v>556</v>
      </c>
      <c r="Q638" s="97" t="str">
        <f t="shared" si="117"/>
        <v/>
      </c>
      <c r="R638" t="str">
        <f t="shared" si="118"/>
        <v/>
      </c>
      <c r="CB638" s="10"/>
      <c r="CI638" s="69"/>
    </row>
    <row r="639" spans="3:87">
      <c r="C639" t="str">
        <f t="shared" si="110"/>
        <v/>
      </c>
      <c r="D639">
        <v>630</v>
      </c>
      <c r="E639" s="97">
        <v>210</v>
      </c>
      <c r="F639" s="366">
        <f t="shared" si="113"/>
        <v>4557</v>
      </c>
      <c r="G639" s="97">
        <v>9227</v>
      </c>
      <c r="H639" s="367">
        <f t="shared" si="114"/>
        <v>13784</v>
      </c>
      <c r="I639" s="368">
        <f t="shared" si="115"/>
        <v>0</v>
      </c>
      <c r="J639" s="97">
        <v>34808</v>
      </c>
      <c r="K639" s="367">
        <f t="shared" si="116"/>
        <v>24862.857142857145</v>
      </c>
      <c r="L639" s="10">
        <v>1</v>
      </c>
      <c r="M639" s="97">
        <v>7.1999999999999993</v>
      </c>
      <c r="N639" s="605">
        <v>35</v>
      </c>
      <c r="O639" s="97">
        <v>10</v>
      </c>
      <c r="P639" s="97" t="s">
        <v>514</v>
      </c>
      <c r="Q639" s="97" t="str">
        <f t="shared" si="117"/>
        <v/>
      </c>
      <c r="R639" t="str">
        <f t="shared" si="118"/>
        <v/>
      </c>
      <c r="CB639" s="10"/>
      <c r="CI639" s="69"/>
    </row>
    <row r="640" spans="3:87">
      <c r="C640" t="str">
        <f t="shared" si="110"/>
        <v/>
      </c>
      <c r="D640">
        <v>631</v>
      </c>
      <c r="E640" s="97">
        <v>215</v>
      </c>
      <c r="F640" s="366">
        <f t="shared" si="113"/>
        <v>4665.5</v>
      </c>
      <c r="G640" s="97">
        <v>6460</v>
      </c>
      <c r="H640" s="367">
        <f t="shared" si="114"/>
        <v>11125.5</v>
      </c>
      <c r="I640" s="368">
        <f t="shared" si="115"/>
        <v>0</v>
      </c>
      <c r="J640" s="97">
        <v>24369</v>
      </c>
      <c r="K640" s="367">
        <f t="shared" si="116"/>
        <v>17406.428571428572</v>
      </c>
      <c r="L640" s="10">
        <v>0.77</v>
      </c>
      <c r="M640" s="97">
        <v>4.3999999999999995</v>
      </c>
      <c r="N640" s="605">
        <v>31</v>
      </c>
      <c r="O640" s="97">
        <v>6</v>
      </c>
      <c r="P640" s="97" t="s">
        <v>515</v>
      </c>
      <c r="Q640" s="97" t="str">
        <f t="shared" si="117"/>
        <v/>
      </c>
      <c r="R640" t="str">
        <f t="shared" si="118"/>
        <v/>
      </c>
      <c r="CB640" s="10"/>
      <c r="CI640" s="69"/>
    </row>
    <row r="641" spans="3:87">
      <c r="C641" t="str">
        <f t="shared" si="110"/>
        <v>NL</v>
      </c>
      <c r="D641">
        <v>632</v>
      </c>
      <c r="E641" s="97">
        <v>215</v>
      </c>
      <c r="F641" s="366">
        <f t="shared" si="113"/>
        <v>4665.5</v>
      </c>
      <c r="G641" s="97">
        <v>6701</v>
      </c>
      <c r="H641" s="367">
        <f t="shared" si="114"/>
        <v>11366.5</v>
      </c>
      <c r="I641" s="368">
        <f t="shared" si="115"/>
        <v>0</v>
      </c>
      <c r="J641" s="97">
        <v>25278</v>
      </c>
      <c r="K641" s="367">
        <f t="shared" si="116"/>
        <v>18055.714285714286</v>
      </c>
      <c r="L641" s="10">
        <v>0.57999999999999996</v>
      </c>
      <c r="M641" s="97">
        <v>5.0999999999999996</v>
      </c>
      <c r="N641" s="605">
        <v>29</v>
      </c>
      <c r="O641" s="97">
        <v>7</v>
      </c>
      <c r="P641" s="97" t="s">
        <v>515</v>
      </c>
      <c r="Q641" s="97" t="str">
        <f t="shared" si="117"/>
        <v/>
      </c>
      <c r="R641" t="str">
        <f t="shared" si="118"/>
        <v/>
      </c>
      <c r="CB641" s="10"/>
      <c r="CI641" s="69"/>
    </row>
    <row r="642" spans="3:87">
      <c r="C642" t="str">
        <f t="shared" si="110"/>
        <v>NL</v>
      </c>
      <c r="D642">
        <v>633</v>
      </c>
      <c r="E642" s="97">
        <v>215</v>
      </c>
      <c r="F642" s="366">
        <f t="shared" si="113"/>
        <v>4665.5</v>
      </c>
      <c r="G642" s="97">
        <v>7768</v>
      </c>
      <c r="H642" s="367">
        <f t="shared" si="114"/>
        <v>12433.5</v>
      </c>
      <c r="I642" s="368">
        <f t="shared" si="115"/>
        <v>0</v>
      </c>
      <c r="J642" s="97">
        <v>29303</v>
      </c>
      <c r="K642" s="367">
        <f t="shared" si="116"/>
        <v>20930.714285714286</v>
      </c>
      <c r="L642" s="10">
        <v>0.96</v>
      </c>
      <c r="M642" s="97">
        <v>5.0999999999999996</v>
      </c>
      <c r="N642" s="605">
        <v>32</v>
      </c>
      <c r="O642" s="97">
        <v>7</v>
      </c>
      <c r="P642" s="97" t="s">
        <v>556</v>
      </c>
      <c r="Q642" s="97" t="str">
        <f t="shared" si="117"/>
        <v/>
      </c>
      <c r="R642" t="str">
        <f t="shared" si="118"/>
        <v/>
      </c>
      <c r="CB642" s="10"/>
      <c r="CI642" s="69"/>
    </row>
    <row r="643" spans="3:87">
      <c r="C643" t="str">
        <f t="shared" si="110"/>
        <v/>
      </c>
      <c r="D643">
        <v>634</v>
      </c>
      <c r="E643" s="97">
        <v>215</v>
      </c>
      <c r="F643" s="366">
        <f t="shared" si="113"/>
        <v>4665.5</v>
      </c>
      <c r="G643" s="97">
        <v>6892</v>
      </c>
      <c r="H643" s="367">
        <f t="shared" si="114"/>
        <v>11557.5</v>
      </c>
      <c r="I643" s="368">
        <f t="shared" si="115"/>
        <v>0</v>
      </c>
      <c r="J643" s="97">
        <v>26002</v>
      </c>
      <c r="K643" s="367">
        <f t="shared" si="116"/>
        <v>18572.857142857145</v>
      </c>
      <c r="L643" s="10">
        <v>0.45</v>
      </c>
      <c r="M643" s="97">
        <v>5.8</v>
      </c>
      <c r="N643" s="605">
        <v>29</v>
      </c>
      <c r="O643" s="97">
        <v>8</v>
      </c>
      <c r="P643" s="97" t="s">
        <v>515</v>
      </c>
      <c r="Q643" s="97">
        <f t="shared" si="117"/>
        <v>634</v>
      </c>
      <c r="R643" t="str">
        <f t="shared" si="118"/>
        <v/>
      </c>
      <c r="CB643" s="10"/>
      <c r="CI643" s="69"/>
    </row>
    <row r="644" spans="3:87">
      <c r="C644" t="str">
        <f t="shared" si="110"/>
        <v/>
      </c>
      <c r="D644">
        <v>635</v>
      </c>
      <c r="E644" s="97">
        <v>215</v>
      </c>
      <c r="F644" s="366">
        <f t="shared" si="113"/>
        <v>4665.5</v>
      </c>
      <c r="G644" s="97">
        <v>7960</v>
      </c>
      <c r="H644" s="367">
        <f t="shared" si="114"/>
        <v>12625.5</v>
      </c>
      <c r="I644" s="368">
        <f t="shared" si="115"/>
        <v>0</v>
      </c>
      <c r="J644" s="97">
        <v>30030</v>
      </c>
      <c r="K644" s="367">
        <f t="shared" si="116"/>
        <v>21450</v>
      </c>
      <c r="L644" s="10">
        <v>0.74</v>
      </c>
      <c r="M644" s="97">
        <v>5.8</v>
      </c>
      <c r="N644" s="605">
        <v>31</v>
      </c>
      <c r="O644" s="97">
        <v>8</v>
      </c>
      <c r="P644" s="97" t="s">
        <v>556</v>
      </c>
      <c r="Q644" s="97" t="str">
        <f t="shared" si="117"/>
        <v/>
      </c>
      <c r="R644" t="str">
        <f t="shared" si="118"/>
        <v/>
      </c>
      <c r="CB644" s="10"/>
      <c r="CI644" s="69"/>
    </row>
    <row r="645" spans="3:87">
      <c r="C645" t="str">
        <f t="shared" si="110"/>
        <v>NL</v>
      </c>
      <c r="D645">
        <v>636</v>
      </c>
      <c r="E645" s="97">
        <v>215</v>
      </c>
      <c r="F645" s="366">
        <f t="shared" si="113"/>
        <v>4665.5</v>
      </c>
      <c r="G645" s="97">
        <v>6989</v>
      </c>
      <c r="H645" s="367">
        <f t="shared" si="114"/>
        <v>11654.5</v>
      </c>
      <c r="I645" s="368">
        <f t="shared" si="115"/>
        <v>0</v>
      </c>
      <c r="J645" s="97">
        <v>26367</v>
      </c>
      <c r="K645" s="367">
        <f t="shared" si="116"/>
        <v>18833.571428571428</v>
      </c>
      <c r="L645" s="10">
        <v>0.38</v>
      </c>
      <c r="M645" s="97">
        <v>6.5</v>
      </c>
      <c r="N645" s="605">
        <v>29</v>
      </c>
      <c r="O645" s="97">
        <v>9</v>
      </c>
      <c r="P645" s="97" t="s">
        <v>515</v>
      </c>
      <c r="Q645" s="97" t="str">
        <f t="shared" si="117"/>
        <v/>
      </c>
      <c r="R645" t="str">
        <f t="shared" si="118"/>
        <v/>
      </c>
      <c r="CB645" s="10"/>
      <c r="CI645" s="69"/>
    </row>
    <row r="646" spans="3:87">
      <c r="C646" t="str">
        <f t="shared" si="110"/>
        <v/>
      </c>
      <c r="D646">
        <v>637</v>
      </c>
      <c r="E646" s="97">
        <v>215</v>
      </c>
      <c r="F646" s="366">
        <f t="shared" si="113"/>
        <v>4665.5</v>
      </c>
      <c r="G646" s="97">
        <v>6715</v>
      </c>
      <c r="H646" s="367">
        <f t="shared" si="114"/>
        <v>11380.5</v>
      </c>
      <c r="I646" s="368">
        <f t="shared" si="115"/>
        <v>0</v>
      </c>
      <c r="J646" s="97">
        <v>25331</v>
      </c>
      <c r="K646" s="367">
        <f t="shared" si="116"/>
        <v>18093.571428571428</v>
      </c>
      <c r="L646" s="10">
        <v>0.32</v>
      </c>
      <c r="M646" s="97">
        <v>7.1999999999999993</v>
      </c>
      <c r="N646" s="605">
        <v>29</v>
      </c>
      <c r="O646" s="97">
        <v>10</v>
      </c>
      <c r="P646" s="97" t="s">
        <v>515</v>
      </c>
      <c r="Q646" s="97" t="str">
        <f t="shared" si="117"/>
        <v/>
      </c>
      <c r="R646" t="str">
        <f t="shared" si="118"/>
        <v/>
      </c>
      <c r="CB646" s="10"/>
      <c r="CI646" s="69"/>
    </row>
    <row r="647" spans="3:87">
      <c r="C647" t="str">
        <f t="shared" si="110"/>
        <v/>
      </c>
      <c r="D647">
        <v>638</v>
      </c>
      <c r="E647" s="97">
        <v>215</v>
      </c>
      <c r="F647" s="366">
        <f t="shared" si="113"/>
        <v>4665.5</v>
      </c>
      <c r="G647" s="97">
        <v>8056</v>
      </c>
      <c r="H647" s="367">
        <f t="shared" si="114"/>
        <v>12721.5</v>
      </c>
      <c r="I647" s="368">
        <f t="shared" si="115"/>
        <v>0</v>
      </c>
      <c r="J647" s="97">
        <v>30391</v>
      </c>
      <c r="K647" s="367">
        <f t="shared" si="116"/>
        <v>21707.857142857145</v>
      </c>
      <c r="L647" s="10">
        <v>0.51</v>
      </c>
      <c r="M647" s="97">
        <v>7.1999999999999993</v>
      </c>
      <c r="N647" s="605">
        <v>30</v>
      </c>
      <c r="O647" s="97">
        <v>10</v>
      </c>
      <c r="P647" s="97" t="s">
        <v>556</v>
      </c>
      <c r="Q647" s="97" t="str">
        <f t="shared" si="117"/>
        <v/>
      </c>
      <c r="R647" t="str">
        <f t="shared" si="118"/>
        <v/>
      </c>
      <c r="CB647" s="10"/>
      <c r="CI647" s="69"/>
    </row>
    <row r="648" spans="3:87">
      <c r="C648" t="str">
        <f t="shared" si="110"/>
        <v/>
      </c>
      <c r="D648">
        <v>639</v>
      </c>
      <c r="E648" s="97">
        <v>215</v>
      </c>
      <c r="F648" s="366">
        <f t="shared" si="113"/>
        <v>4665.5</v>
      </c>
      <c r="G648" s="97">
        <v>9364</v>
      </c>
      <c r="H648" s="367">
        <f t="shared" si="114"/>
        <v>14029.5</v>
      </c>
      <c r="I648" s="368">
        <f t="shared" si="115"/>
        <v>0</v>
      </c>
      <c r="J648" s="97">
        <v>35325</v>
      </c>
      <c r="K648" s="367">
        <f t="shared" si="116"/>
        <v>25232.142857142859</v>
      </c>
      <c r="L648" s="10">
        <v>1.05</v>
      </c>
      <c r="M648" s="97">
        <v>7.1999999999999993</v>
      </c>
      <c r="N648" s="605">
        <v>36</v>
      </c>
      <c r="O648" s="97">
        <v>10</v>
      </c>
      <c r="P648" s="97" t="s">
        <v>514</v>
      </c>
      <c r="Q648" s="97" t="str">
        <f t="shared" si="117"/>
        <v/>
      </c>
      <c r="R648" t="str">
        <f t="shared" si="118"/>
        <v/>
      </c>
      <c r="CB648" s="10"/>
      <c r="CI648" s="69"/>
    </row>
    <row r="649" spans="3:87">
      <c r="C649" t="str">
        <f t="shared" si="110"/>
        <v/>
      </c>
      <c r="D649">
        <v>640</v>
      </c>
      <c r="E649" s="97">
        <v>220</v>
      </c>
      <c r="F649" s="366">
        <f t="shared" si="113"/>
        <v>4774</v>
      </c>
      <c r="G649" s="97">
        <v>6564</v>
      </c>
      <c r="H649" s="367">
        <f t="shared" si="114"/>
        <v>11338</v>
      </c>
      <c r="I649" s="368">
        <f t="shared" si="115"/>
        <v>0</v>
      </c>
      <c r="J649" s="97">
        <v>24764</v>
      </c>
      <c r="K649" s="367">
        <f t="shared" si="116"/>
        <v>17688.571428571428</v>
      </c>
      <c r="L649" s="10">
        <v>0.81</v>
      </c>
      <c r="M649" s="97">
        <v>4.3999999999999995</v>
      </c>
      <c r="N649" s="605">
        <v>31</v>
      </c>
      <c r="O649" s="97">
        <v>6</v>
      </c>
      <c r="P649" s="97" t="s">
        <v>515</v>
      </c>
      <c r="Q649" s="97" t="str">
        <f t="shared" si="117"/>
        <v/>
      </c>
      <c r="R649" t="str">
        <f t="shared" si="118"/>
        <v/>
      </c>
      <c r="CB649" s="10"/>
      <c r="CI649" s="69"/>
    </row>
    <row r="650" spans="3:87">
      <c r="C650" t="str">
        <f t="shared" si="110"/>
        <v>NL</v>
      </c>
      <c r="D650">
        <v>641</v>
      </c>
      <c r="E650" s="97">
        <v>220</v>
      </c>
      <c r="F650" s="366">
        <f t="shared" si="113"/>
        <v>4774</v>
      </c>
      <c r="G650" s="97">
        <v>6807</v>
      </c>
      <c r="H650" s="367">
        <f t="shared" si="114"/>
        <v>11581</v>
      </c>
      <c r="I650" s="368">
        <f t="shared" si="115"/>
        <v>0</v>
      </c>
      <c r="J650" s="97">
        <v>25679</v>
      </c>
      <c r="K650" s="367">
        <f t="shared" si="116"/>
        <v>18342.142857142859</v>
      </c>
      <c r="L650" s="10">
        <v>0.6</v>
      </c>
      <c r="M650" s="97">
        <v>5.0999999999999996</v>
      </c>
      <c r="N650" s="605">
        <v>30</v>
      </c>
      <c r="O650" s="97">
        <v>7</v>
      </c>
      <c r="P650" s="97" t="s">
        <v>515</v>
      </c>
      <c r="Q650" s="97" t="str">
        <f t="shared" si="117"/>
        <v/>
      </c>
      <c r="R650" t="str">
        <f t="shared" si="118"/>
        <v/>
      </c>
      <c r="CB650" s="10"/>
      <c r="CI650" s="69"/>
    </row>
    <row r="651" spans="3:87">
      <c r="C651" t="str">
        <f t="shared" ref="C651:C714" si="119">IF(OR($O$4=0,O651-$O$4=0),IF(AND(ISEVEN(O651)=FALSE,$N$4="Even"),"NL",""),"NL")</f>
        <v>NL</v>
      </c>
      <c r="D651">
        <v>642</v>
      </c>
      <c r="E651" s="97">
        <v>220</v>
      </c>
      <c r="F651" s="366">
        <f t="shared" si="113"/>
        <v>4774</v>
      </c>
      <c r="G651" s="97">
        <v>7876</v>
      </c>
      <c r="H651" s="367">
        <f t="shared" si="114"/>
        <v>12650</v>
      </c>
      <c r="I651" s="368">
        <f t="shared" si="115"/>
        <v>0</v>
      </c>
      <c r="J651" s="97">
        <v>29712</v>
      </c>
      <c r="K651" s="367">
        <f t="shared" si="116"/>
        <v>21222.857142857145</v>
      </c>
      <c r="L651" s="10">
        <v>1</v>
      </c>
      <c r="M651" s="97">
        <v>5.0999999999999996</v>
      </c>
      <c r="N651" s="605">
        <v>32</v>
      </c>
      <c r="O651" s="97">
        <v>7</v>
      </c>
      <c r="P651" s="97" t="s">
        <v>556</v>
      </c>
      <c r="Q651" s="97" t="str">
        <f t="shared" si="117"/>
        <v/>
      </c>
      <c r="R651" t="str">
        <f t="shared" si="118"/>
        <v/>
      </c>
      <c r="CB651" s="10"/>
      <c r="CI651" s="69"/>
    </row>
    <row r="652" spans="3:87">
      <c r="C652" t="str">
        <f t="shared" si="119"/>
        <v/>
      </c>
      <c r="D652">
        <v>643</v>
      </c>
      <c r="E652" s="97">
        <v>220</v>
      </c>
      <c r="F652" s="366">
        <f t="shared" ref="F652:F715" si="120">1.085*($A$2-$B$2)*E652*$T$7</f>
        <v>4774</v>
      </c>
      <c r="G652" s="97">
        <v>7005</v>
      </c>
      <c r="H652" s="367">
        <f t="shared" ref="H652:H715" si="121">(G652*$U$7)+F652</f>
        <v>11779</v>
      </c>
      <c r="I652" s="368">
        <f t="shared" ref="I652:I715" si="122">1.085*($C$2-$D$2)*E652*$T$7</f>
        <v>0</v>
      </c>
      <c r="J652" s="97">
        <v>26426</v>
      </c>
      <c r="K652" s="367">
        <f t="shared" ref="K652:K715" si="123">(J652*$V$7)-I652</f>
        <v>18875.714285714286</v>
      </c>
      <c r="L652" s="10">
        <v>0.47000000000000003</v>
      </c>
      <c r="M652" s="97">
        <v>5.8</v>
      </c>
      <c r="N652" s="605">
        <v>29</v>
      </c>
      <c r="O652" s="97">
        <v>8</v>
      </c>
      <c r="P652" s="97" t="s">
        <v>515</v>
      </c>
      <c r="Q652" s="97">
        <f t="shared" ref="Q652:Q715" si="124">IF(AND(H652+1&gt;$E$4,L652&lt;$L$4+0.01,M652&lt;$M$4+0.01,K652+1&gt;$F$4,E652+1&gt;$J$4,N652&lt;$K$4+1,O652&lt;$P$4+1,C652=""),D652,"")</f>
        <v>643</v>
      </c>
      <c r="R652" t="str">
        <f t="shared" ref="R652:R715" si="125">IF(Q652="","",IF(AND(O652&lt;$X$14,E652&gt;$U$14,E652&lt;$Q$4+$U$14+1),D652,""))</f>
        <v/>
      </c>
      <c r="CB652" s="10"/>
      <c r="CI652" s="69"/>
    </row>
    <row r="653" spans="3:87">
      <c r="C653" t="str">
        <f t="shared" si="119"/>
        <v/>
      </c>
      <c r="D653">
        <v>644</v>
      </c>
      <c r="E653" s="97">
        <v>220</v>
      </c>
      <c r="F653" s="366">
        <f t="shared" si="120"/>
        <v>4774</v>
      </c>
      <c r="G653" s="97">
        <v>8085</v>
      </c>
      <c r="H653" s="367">
        <f t="shared" si="121"/>
        <v>12859</v>
      </c>
      <c r="I653" s="368">
        <f t="shared" si="122"/>
        <v>0</v>
      </c>
      <c r="J653" s="97">
        <v>30502</v>
      </c>
      <c r="K653" s="367">
        <f t="shared" si="123"/>
        <v>21787.142857142859</v>
      </c>
      <c r="L653" s="10">
        <v>0.78</v>
      </c>
      <c r="M653" s="97">
        <v>5.8</v>
      </c>
      <c r="N653" s="605">
        <v>31</v>
      </c>
      <c r="O653" s="97">
        <v>8</v>
      </c>
      <c r="P653" s="97" t="s">
        <v>556</v>
      </c>
      <c r="Q653" s="97" t="str">
        <f t="shared" si="124"/>
        <v/>
      </c>
      <c r="R653" t="str">
        <f t="shared" si="125"/>
        <v/>
      </c>
      <c r="CB653" s="10"/>
      <c r="CI653" s="69"/>
    </row>
    <row r="654" spans="3:87">
      <c r="C654" t="str">
        <f t="shared" si="119"/>
        <v>NL</v>
      </c>
      <c r="D654">
        <v>645</v>
      </c>
      <c r="E654" s="97">
        <v>220</v>
      </c>
      <c r="F654" s="366">
        <f t="shared" si="120"/>
        <v>4774</v>
      </c>
      <c r="G654" s="97">
        <v>7103</v>
      </c>
      <c r="H654" s="367">
        <f t="shared" si="121"/>
        <v>11877</v>
      </c>
      <c r="I654" s="368">
        <f t="shared" si="122"/>
        <v>0</v>
      </c>
      <c r="J654" s="97">
        <v>26795</v>
      </c>
      <c r="K654" s="367">
        <f t="shared" si="123"/>
        <v>19139.285714285714</v>
      </c>
      <c r="L654" s="10">
        <v>0.4</v>
      </c>
      <c r="M654" s="97">
        <v>6.5</v>
      </c>
      <c r="N654" s="605">
        <v>30</v>
      </c>
      <c r="O654" s="97">
        <v>9</v>
      </c>
      <c r="P654" s="97" t="s">
        <v>515</v>
      </c>
      <c r="Q654" s="97" t="str">
        <f t="shared" si="124"/>
        <v/>
      </c>
      <c r="R654" t="str">
        <f t="shared" si="125"/>
        <v/>
      </c>
      <c r="CB654" s="10"/>
      <c r="CI654" s="69"/>
    </row>
    <row r="655" spans="3:87">
      <c r="C655" t="str">
        <f t="shared" si="119"/>
        <v/>
      </c>
      <c r="D655">
        <v>646</v>
      </c>
      <c r="E655" s="97">
        <v>220</v>
      </c>
      <c r="F655" s="366">
        <f t="shared" si="120"/>
        <v>4774</v>
      </c>
      <c r="G655" s="97">
        <v>6908</v>
      </c>
      <c r="H655" s="367">
        <f t="shared" si="121"/>
        <v>11682</v>
      </c>
      <c r="I655" s="368">
        <f t="shared" si="122"/>
        <v>0</v>
      </c>
      <c r="J655" s="97">
        <v>26062</v>
      </c>
      <c r="K655" s="367">
        <f t="shared" si="123"/>
        <v>18615.714285714286</v>
      </c>
      <c r="L655" s="10">
        <v>0.33</v>
      </c>
      <c r="M655" s="97">
        <v>7.1999999999999993</v>
      </c>
      <c r="N655" s="605">
        <v>29</v>
      </c>
      <c r="O655" s="97">
        <v>10</v>
      </c>
      <c r="P655" s="97" t="s">
        <v>515</v>
      </c>
      <c r="Q655" s="97" t="str">
        <f t="shared" si="124"/>
        <v/>
      </c>
      <c r="R655" t="str">
        <f t="shared" si="125"/>
        <v/>
      </c>
      <c r="CB655" s="10"/>
      <c r="CI655" s="69"/>
    </row>
    <row r="656" spans="3:87">
      <c r="C656" t="str">
        <f t="shared" si="119"/>
        <v/>
      </c>
      <c r="D656">
        <v>647</v>
      </c>
      <c r="E656" s="97">
        <v>220</v>
      </c>
      <c r="F656" s="366">
        <f t="shared" si="120"/>
        <v>4774</v>
      </c>
      <c r="G656" s="97">
        <v>8180</v>
      </c>
      <c r="H656" s="367">
        <f t="shared" si="121"/>
        <v>12954</v>
      </c>
      <c r="I656" s="368">
        <f t="shared" si="122"/>
        <v>0</v>
      </c>
      <c r="J656" s="97">
        <v>30858</v>
      </c>
      <c r="K656" s="367">
        <f t="shared" si="123"/>
        <v>22041.428571428572</v>
      </c>
      <c r="L656" s="10">
        <v>0.54</v>
      </c>
      <c r="M656" s="97">
        <v>7.1999999999999993</v>
      </c>
      <c r="N656" s="605">
        <v>31</v>
      </c>
      <c r="O656" s="97">
        <v>10</v>
      </c>
      <c r="P656" s="97" t="s">
        <v>556</v>
      </c>
      <c r="Q656" s="97" t="str">
        <f t="shared" si="124"/>
        <v/>
      </c>
      <c r="R656" t="str">
        <f t="shared" si="125"/>
        <v/>
      </c>
      <c r="CB656" s="10"/>
      <c r="CI656" s="69"/>
    </row>
    <row r="657" spans="3:87">
      <c r="C657" t="str">
        <f t="shared" si="119"/>
        <v/>
      </c>
      <c r="D657">
        <v>648</v>
      </c>
      <c r="E657" s="97">
        <v>225</v>
      </c>
      <c r="F657" s="366">
        <f t="shared" si="120"/>
        <v>4882.5</v>
      </c>
      <c r="G657" s="97">
        <v>6669</v>
      </c>
      <c r="H657" s="367">
        <f t="shared" si="121"/>
        <v>11551.5</v>
      </c>
      <c r="I657" s="368">
        <f t="shared" si="122"/>
        <v>0</v>
      </c>
      <c r="J657" s="97">
        <v>25160</v>
      </c>
      <c r="K657" s="367">
        <f t="shared" si="123"/>
        <v>17971.428571428572</v>
      </c>
      <c r="L657" s="10">
        <v>0.85</v>
      </c>
      <c r="M657" s="97">
        <v>4.3999999999999995</v>
      </c>
      <c r="N657" s="605">
        <v>32</v>
      </c>
      <c r="O657" s="97">
        <v>6</v>
      </c>
      <c r="P657" s="97" t="s">
        <v>515</v>
      </c>
      <c r="Q657" s="97" t="str">
        <f t="shared" si="124"/>
        <v/>
      </c>
      <c r="R657" t="str">
        <f t="shared" si="125"/>
        <v/>
      </c>
      <c r="CB657" s="10"/>
      <c r="CI657" s="69"/>
    </row>
    <row r="658" spans="3:87">
      <c r="C658" t="str">
        <f t="shared" si="119"/>
        <v>NL</v>
      </c>
      <c r="D658">
        <v>649</v>
      </c>
      <c r="E658" s="97">
        <v>225</v>
      </c>
      <c r="F658" s="366">
        <f t="shared" si="120"/>
        <v>4882.5</v>
      </c>
      <c r="G658" s="97">
        <v>6913</v>
      </c>
      <c r="H658" s="367">
        <f t="shared" si="121"/>
        <v>11795.5</v>
      </c>
      <c r="I658" s="368">
        <f t="shared" si="122"/>
        <v>0</v>
      </c>
      <c r="J658" s="97">
        <v>26081</v>
      </c>
      <c r="K658" s="367">
        <f t="shared" si="123"/>
        <v>18629.285714285714</v>
      </c>
      <c r="L658" s="10">
        <v>0.63</v>
      </c>
      <c r="M658" s="97">
        <v>5.0999999999999996</v>
      </c>
      <c r="N658" s="605">
        <v>30</v>
      </c>
      <c r="O658" s="97">
        <v>7</v>
      </c>
      <c r="P658" s="97" t="s">
        <v>515</v>
      </c>
      <c r="Q658" s="97" t="str">
        <f t="shared" si="124"/>
        <v/>
      </c>
      <c r="R658" t="str">
        <f t="shared" si="125"/>
        <v/>
      </c>
      <c r="CB658" s="10"/>
      <c r="CI658" s="69"/>
    </row>
    <row r="659" spans="3:87">
      <c r="C659" t="str">
        <f t="shared" si="119"/>
        <v/>
      </c>
      <c r="D659">
        <v>650</v>
      </c>
      <c r="E659" s="97">
        <v>225</v>
      </c>
      <c r="F659" s="366">
        <f t="shared" si="120"/>
        <v>4882.5</v>
      </c>
      <c r="G659" s="97">
        <v>7118</v>
      </c>
      <c r="H659" s="367">
        <f t="shared" si="121"/>
        <v>12000.5</v>
      </c>
      <c r="I659" s="368">
        <f t="shared" si="122"/>
        <v>0</v>
      </c>
      <c r="J659" s="97">
        <v>26851</v>
      </c>
      <c r="K659" s="367">
        <f t="shared" si="123"/>
        <v>19179.285714285714</v>
      </c>
      <c r="L659" s="10">
        <v>0.5</v>
      </c>
      <c r="M659" s="97">
        <v>5.8</v>
      </c>
      <c r="N659" s="605">
        <v>30</v>
      </c>
      <c r="O659" s="97">
        <v>8</v>
      </c>
      <c r="P659" s="97" t="s">
        <v>515</v>
      </c>
      <c r="Q659" s="97">
        <f t="shared" si="124"/>
        <v>650</v>
      </c>
      <c r="R659" t="str">
        <f t="shared" si="125"/>
        <v/>
      </c>
      <c r="CB659" s="10"/>
      <c r="CI659" s="69"/>
    </row>
    <row r="660" spans="3:87">
      <c r="C660" t="str">
        <f t="shared" si="119"/>
        <v/>
      </c>
      <c r="D660">
        <v>651</v>
      </c>
      <c r="E660" s="97">
        <v>225</v>
      </c>
      <c r="F660" s="366">
        <f t="shared" si="120"/>
        <v>4882.5</v>
      </c>
      <c r="G660" s="97">
        <v>8208</v>
      </c>
      <c r="H660" s="367">
        <f t="shared" si="121"/>
        <v>13090.5</v>
      </c>
      <c r="I660" s="368">
        <f t="shared" si="122"/>
        <v>0</v>
      </c>
      <c r="J660" s="97">
        <v>30966</v>
      </c>
      <c r="K660" s="367">
        <f t="shared" si="123"/>
        <v>22118.571428571428</v>
      </c>
      <c r="L660" s="10">
        <v>0.81</v>
      </c>
      <c r="M660" s="97">
        <v>5.8</v>
      </c>
      <c r="N660" s="605">
        <v>31</v>
      </c>
      <c r="O660" s="97">
        <v>8</v>
      </c>
      <c r="P660" s="97" t="s">
        <v>556</v>
      </c>
      <c r="Q660" s="97" t="str">
        <f t="shared" si="124"/>
        <v/>
      </c>
      <c r="R660" t="str">
        <f t="shared" si="125"/>
        <v/>
      </c>
      <c r="CB660" s="10"/>
      <c r="CI660" s="69"/>
    </row>
    <row r="661" spans="3:87">
      <c r="C661" t="str">
        <f t="shared" si="119"/>
        <v>NL</v>
      </c>
      <c r="D661">
        <v>652</v>
      </c>
      <c r="E661" s="97">
        <v>225</v>
      </c>
      <c r="F661" s="366">
        <f t="shared" si="120"/>
        <v>4882.5</v>
      </c>
      <c r="G661" s="97">
        <v>7216</v>
      </c>
      <c r="H661" s="367">
        <f t="shared" si="121"/>
        <v>12098.5</v>
      </c>
      <c r="I661" s="368">
        <f t="shared" si="122"/>
        <v>0</v>
      </c>
      <c r="J661" s="97">
        <v>27224</v>
      </c>
      <c r="K661" s="367">
        <f t="shared" si="123"/>
        <v>19445.714285714286</v>
      </c>
      <c r="L661" s="10">
        <v>0.42</v>
      </c>
      <c r="M661" s="97">
        <v>6.5</v>
      </c>
      <c r="N661" s="605">
        <v>30</v>
      </c>
      <c r="O661" s="97">
        <v>9</v>
      </c>
      <c r="P661" s="97" t="s">
        <v>515</v>
      </c>
      <c r="Q661" s="97" t="str">
        <f t="shared" si="124"/>
        <v/>
      </c>
      <c r="R661" t="str">
        <f t="shared" si="125"/>
        <v/>
      </c>
      <c r="CB661" s="10"/>
      <c r="CI661" s="69"/>
    </row>
    <row r="662" spans="3:87">
      <c r="C662" t="str">
        <f t="shared" si="119"/>
        <v/>
      </c>
      <c r="D662">
        <v>653</v>
      </c>
      <c r="E662" s="97">
        <v>225</v>
      </c>
      <c r="F662" s="366">
        <f t="shared" si="120"/>
        <v>4882.5</v>
      </c>
      <c r="G662" s="97">
        <v>7102</v>
      </c>
      <c r="H662" s="367">
        <f t="shared" si="121"/>
        <v>11984.5</v>
      </c>
      <c r="I662" s="368">
        <f t="shared" si="122"/>
        <v>0</v>
      </c>
      <c r="J662" s="97">
        <v>26793</v>
      </c>
      <c r="K662" s="367">
        <f t="shared" si="123"/>
        <v>19137.857142857145</v>
      </c>
      <c r="L662" s="10">
        <v>0.35000000000000003</v>
      </c>
      <c r="M662" s="97">
        <v>7.1999999999999993</v>
      </c>
      <c r="N662" s="605">
        <v>30</v>
      </c>
      <c r="O662" s="97">
        <v>10</v>
      </c>
      <c r="P662" s="97" t="s">
        <v>515</v>
      </c>
      <c r="Q662" s="97" t="str">
        <f t="shared" si="124"/>
        <v/>
      </c>
      <c r="R662" t="str">
        <f t="shared" si="125"/>
        <v/>
      </c>
      <c r="CB662" s="10"/>
      <c r="CI662" s="69"/>
    </row>
    <row r="663" spans="3:87">
      <c r="C663" t="str">
        <f t="shared" si="119"/>
        <v/>
      </c>
      <c r="D663">
        <v>654</v>
      </c>
      <c r="E663" s="97">
        <v>225</v>
      </c>
      <c r="F663" s="366">
        <f t="shared" si="120"/>
        <v>4882.5</v>
      </c>
      <c r="G663" s="97">
        <v>8304</v>
      </c>
      <c r="H663" s="367">
        <f t="shared" si="121"/>
        <v>13186.5</v>
      </c>
      <c r="I663" s="368">
        <f t="shared" si="122"/>
        <v>0</v>
      </c>
      <c r="J663" s="97">
        <v>31326</v>
      </c>
      <c r="K663" s="367">
        <f t="shared" si="123"/>
        <v>22375.714285714286</v>
      </c>
      <c r="L663" s="10">
        <v>0.56000000000000005</v>
      </c>
      <c r="M663" s="97">
        <v>7.1999999999999993</v>
      </c>
      <c r="N663" s="605">
        <v>31</v>
      </c>
      <c r="O663" s="97">
        <v>10</v>
      </c>
      <c r="P663" s="97" t="s">
        <v>556</v>
      </c>
      <c r="Q663" s="97" t="str">
        <f t="shared" si="124"/>
        <v/>
      </c>
      <c r="R663" t="str">
        <f t="shared" si="125"/>
        <v/>
      </c>
      <c r="CB663" s="10"/>
      <c r="CI663" s="69"/>
    </row>
    <row r="664" spans="3:87">
      <c r="C664" t="str">
        <f t="shared" si="119"/>
        <v/>
      </c>
      <c r="D664">
        <v>655</v>
      </c>
      <c r="E664" s="97">
        <v>230</v>
      </c>
      <c r="F664" s="366">
        <f t="shared" si="120"/>
        <v>4991</v>
      </c>
      <c r="G664" s="97">
        <v>6773</v>
      </c>
      <c r="H664" s="367">
        <f t="shared" si="121"/>
        <v>11764</v>
      </c>
      <c r="I664" s="368">
        <f t="shared" si="122"/>
        <v>0</v>
      </c>
      <c r="J664" s="97">
        <v>25551</v>
      </c>
      <c r="K664" s="367">
        <f t="shared" si="123"/>
        <v>18250.714285714286</v>
      </c>
      <c r="L664" s="10">
        <v>0.89</v>
      </c>
      <c r="M664" s="97">
        <v>4.3999999999999995</v>
      </c>
      <c r="N664" s="605">
        <v>32</v>
      </c>
      <c r="O664" s="97">
        <v>6</v>
      </c>
      <c r="P664" s="97" t="s">
        <v>515</v>
      </c>
      <c r="Q664" s="97" t="str">
        <f t="shared" si="124"/>
        <v/>
      </c>
      <c r="R664" t="str">
        <f t="shared" si="125"/>
        <v/>
      </c>
      <c r="CB664" s="10"/>
      <c r="CI664" s="69"/>
    </row>
    <row r="665" spans="3:87">
      <c r="C665" t="str">
        <f t="shared" si="119"/>
        <v>NL</v>
      </c>
      <c r="D665">
        <v>656</v>
      </c>
      <c r="E665" s="97">
        <v>230</v>
      </c>
      <c r="F665" s="366">
        <f t="shared" si="120"/>
        <v>4991</v>
      </c>
      <c r="G665" s="97">
        <v>7017</v>
      </c>
      <c r="H665" s="367">
        <f t="shared" si="121"/>
        <v>12008</v>
      </c>
      <c r="I665" s="368">
        <f t="shared" si="122"/>
        <v>0</v>
      </c>
      <c r="J665" s="97">
        <v>26472</v>
      </c>
      <c r="K665" s="367">
        <f t="shared" si="123"/>
        <v>18908.571428571428</v>
      </c>
      <c r="L665" s="10">
        <v>0.66</v>
      </c>
      <c r="M665" s="97">
        <v>5.0999999999999996</v>
      </c>
      <c r="N665" s="605">
        <v>31</v>
      </c>
      <c r="O665" s="97">
        <v>7</v>
      </c>
      <c r="P665" s="97" t="s">
        <v>515</v>
      </c>
      <c r="Q665" s="97" t="str">
        <f t="shared" si="124"/>
        <v/>
      </c>
      <c r="R665" t="str">
        <f t="shared" si="125"/>
        <v/>
      </c>
      <c r="CB665" s="10"/>
      <c r="CI665" s="69"/>
    </row>
    <row r="666" spans="3:87">
      <c r="C666" t="str">
        <f t="shared" si="119"/>
        <v/>
      </c>
      <c r="D666">
        <v>657</v>
      </c>
      <c r="E666" s="97">
        <v>230</v>
      </c>
      <c r="F666" s="366">
        <f t="shared" si="120"/>
        <v>4991</v>
      </c>
      <c r="G666" s="97">
        <v>7230</v>
      </c>
      <c r="H666" s="367">
        <f t="shared" si="121"/>
        <v>12221</v>
      </c>
      <c r="I666" s="368">
        <f t="shared" si="122"/>
        <v>0</v>
      </c>
      <c r="J666" s="97">
        <v>27276</v>
      </c>
      <c r="K666" s="367">
        <f t="shared" si="123"/>
        <v>19482.857142857145</v>
      </c>
      <c r="L666" s="10">
        <v>0.52</v>
      </c>
      <c r="M666" s="97">
        <v>5.8</v>
      </c>
      <c r="N666" s="605">
        <v>30</v>
      </c>
      <c r="O666" s="97">
        <v>8</v>
      </c>
      <c r="P666" s="97" t="s">
        <v>515</v>
      </c>
      <c r="Q666" s="97">
        <f t="shared" si="124"/>
        <v>657</v>
      </c>
      <c r="R666" t="str">
        <f t="shared" si="125"/>
        <v/>
      </c>
      <c r="CB666" s="10"/>
      <c r="CI666" s="69"/>
    </row>
    <row r="667" spans="3:87">
      <c r="C667" t="str">
        <f t="shared" si="119"/>
        <v/>
      </c>
      <c r="D667">
        <v>658</v>
      </c>
      <c r="E667" s="97">
        <v>230</v>
      </c>
      <c r="F667" s="366">
        <f t="shared" si="120"/>
        <v>4991</v>
      </c>
      <c r="G667" s="97">
        <v>8306</v>
      </c>
      <c r="H667" s="367">
        <f t="shared" si="121"/>
        <v>13297</v>
      </c>
      <c r="I667" s="368">
        <f t="shared" si="122"/>
        <v>0</v>
      </c>
      <c r="J667" s="97">
        <v>31336</v>
      </c>
      <c r="K667" s="367">
        <f t="shared" si="123"/>
        <v>22382.857142857145</v>
      </c>
      <c r="L667" s="10">
        <v>0.85</v>
      </c>
      <c r="M667" s="97">
        <v>5.8</v>
      </c>
      <c r="N667" s="605">
        <v>32</v>
      </c>
      <c r="O667" s="97">
        <v>8</v>
      </c>
      <c r="P667" s="97" t="s">
        <v>556</v>
      </c>
      <c r="Q667" s="97" t="str">
        <f t="shared" si="124"/>
        <v/>
      </c>
      <c r="R667" t="str">
        <f t="shared" si="125"/>
        <v/>
      </c>
      <c r="CB667" s="10"/>
      <c r="CI667" s="69"/>
    </row>
    <row r="668" spans="3:87">
      <c r="C668" t="str">
        <f t="shared" si="119"/>
        <v>NL</v>
      </c>
      <c r="D668">
        <v>659</v>
      </c>
      <c r="E668" s="97">
        <v>230</v>
      </c>
      <c r="F668" s="366">
        <f t="shared" si="120"/>
        <v>4991</v>
      </c>
      <c r="G668" s="97">
        <v>7330</v>
      </c>
      <c r="H668" s="367">
        <f t="shared" si="121"/>
        <v>12321</v>
      </c>
      <c r="I668" s="368">
        <f t="shared" si="122"/>
        <v>0</v>
      </c>
      <c r="J668" s="97">
        <v>27653</v>
      </c>
      <c r="K668" s="367">
        <f t="shared" si="123"/>
        <v>19752.142857142859</v>
      </c>
      <c r="L668" s="10">
        <v>0.44</v>
      </c>
      <c r="M668" s="97">
        <v>6.5</v>
      </c>
      <c r="N668" s="605">
        <v>31</v>
      </c>
      <c r="O668" s="97">
        <v>9</v>
      </c>
      <c r="P668" s="97" t="s">
        <v>515</v>
      </c>
      <c r="Q668" s="97" t="str">
        <f t="shared" si="124"/>
        <v/>
      </c>
      <c r="R668" t="str">
        <f t="shared" si="125"/>
        <v/>
      </c>
      <c r="CB668" s="10"/>
      <c r="CI668" s="69"/>
    </row>
    <row r="669" spans="3:87">
      <c r="C669" t="str">
        <f t="shared" si="119"/>
        <v/>
      </c>
      <c r="D669">
        <v>660</v>
      </c>
      <c r="E669" s="97">
        <v>230</v>
      </c>
      <c r="F669" s="366">
        <f t="shared" si="120"/>
        <v>4991</v>
      </c>
      <c r="G669" s="97">
        <v>7296</v>
      </c>
      <c r="H669" s="367">
        <f t="shared" si="121"/>
        <v>12287</v>
      </c>
      <c r="I669" s="368">
        <f t="shared" si="122"/>
        <v>0</v>
      </c>
      <c r="J669" s="97">
        <v>27524</v>
      </c>
      <c r="K669" s="367">
        <f t="shared" si="123"/>
        <v>19660</v>
      </c>
      <c r="L669" s="10">
        <v>0.36</v>
      </c>
      <c r="M669" s="97">
        <v>7.1999999999999993</v>
      </c>
      <c r="N669" s="605">
        <v>30</v>
      </c>
      <c r="O669" s="97">
        <v>10</v>
      </c>
      <c r="P669" s="97" t="s">
        <v>515</v>
      </c>
      <c r="Q669" s="97" t="str">
        <f t="shared" si="124"/>
        <v/>
      </c>
      <c r="R669" t="str">
        <f t="shared" si="125"/>
        <v/>
      </c>
      <c r="CB669" s="10"/>
      <c r="CI669" s="69"/>
    </row>
    <row r="670" spans="3:87">
      <c r="C670" t="str">
        <f t="shared" si="119"/>
        <v/>
      </c>
      <c r="D670">
        <v>661</v>
      </c>
      <c r="E670" s="97">
        <v>230</v>
      </c>
      <c r="F670" s="366">
        <f t="shared" si="120"/>
        <v>4991</v>
      </c>
      <c r="G670" s="97">
        <v>8428</v>
      </c>
      <c r="H670" s="367">
        <f t="shared" si="121"/>
        <v>13419</v>
      </c>
      <c r="I670" s="368">
        <f t="shared" si="122"/>
        <v>0</v>
      </c>
      <c r="J670" s="97">
        <v>31793</v>
      </c>
      <c r="K670" s="367">
        <f t="shared" si="123"/>
        <v>22709.285714285714</v>
      </c>
      <c r="L670" s="10">
        <v>0.59</v>
      </c>
      <c r="M670" s="97">
        <v>7.1999999999999993</v>
      </c>
      <c r="N670" s="605">
        <v>31</v>
      </c>
      <c r="O670" s="97">
        <v>10</v>
      </c>
      <c r="P670" s="97" t="s">
        <v>556</v>
      </c>
      <c r="Q670" s="97" t="str">
        <f t="shared" si="124"/>
        <v/>
      </c>
      <c r="R670" t="str">
        <f t="shared" si="125"/>
        <v/>
      </c>
      <c r="CB670" s="10"/>
      <c r="CI670" s="69"/>
    </row>
    <row r="671" spans="3:87">
      <c r="C671" t="str">
        <f t="shared" si="119"/>
        <v/>
      </c>
      <c r="D671">
        <v>662</v>
      </c>
      <c r="E671" s="97">
        <v>235</v>
      </c>
      <c r="F671" s="366">
        <f t="shared" si="120"/>
        <v>5099.5</v>
      </c>
      <c r="G671" s="97">
        <v>6872</v>
      </c>
      <c r="H671" s="367">
        <f t="shared" si="121"/>
        <v>11971.5</v>
      </c>
      <c r="I671" s="368">
        <f t="shared" si="122"/>
        <v>0</v>
      </c>
      <c r="J671" s="97">
        <v>25923</v>
      </c>
      <c r="K671" s="367">
        <f t="shared" si="123"/>
        <v>18516.428571428572</v>
      </c>
      <c r="L671" s="10">
        <v>0.92</v>
      </c>
      <c r="M671" s="97">
        <v>4.3999999999999995</v>
      </c>
      <c r="N671" s="605">
        <v>33</v>
      </c>
      <c r="O671" s="97">
        <v>6</v>
      </c>
      <c r="P671" s="97" t="s">
        <v>515</v>
      </c>
      <c r="Q671" s="97" t="str">
        <f t="shared" si="124"/>
        <v/>
      </c>
      <c r="R671" t="str">
        <f t="shared" si="125"/>
        <v/>
      </c>
      <c r="CB671" s="10"/>
      <c r="CI671" s="69"/>
    </row>
    <row r="672" spans="3:87">
      <c r="C672" t="str">
        <f t="shared" si="119"/>
        <v>NL</v>
      </c>
      <c r="D672">
        <v>663</v>
      </c>
      <c r="E672" s="97">
        <v>235</v>
      </c>
      <c r="F672" s="366">
        <f t="shared" si="120"/>
        <v>5099.5</v>
      </c>
      <c r="G672" s="97">
        <v>7118</v>
      </c>
      <c r="H672" s="367">
        <f t="shared" si="121"/>
        <v>12217.5</v>
      </c>
      <c r="I672" s="368">
        <f t="shared" si="122"/>
        <v>0</v>
      </c>
      <c r="J672" s="97">
        <v>26851</v>
      </c>
      <c r="K672" s="367">
        <f t="shared" si="123"/>
        <v>19179.285714285714</v>
      </c>
      <c r="L672" s="10">
        <v>0.69000000000000006</v>
      </c>
      <c r="M672" s="97">
        <v>5.0999999999999996</v>
      </c>
      <c r="N672" s="605">
        <v>31</v>
      </c>
      <c r="O672" s="97">
        <v>7</v>
      </c>
      <c r="P672" s="97" t="s">
        <v>515</v>
      </c>
      <c r="Q672" s="97" t="str">
        <f t="shared" si="124"/>
        <v/>
      </c>
      <c r="R672" t="str">
        <f t="shared" si="125"/>
        <v/>
      </c>
      <c r="CB672" s="10"/>
      <c r="CI672" s="69"/>
    </row>
    <row r="673" spans="3:87">
      <c r="C673" t="str">
        <f t="shared" si="119"/>
        <v/>
      </c>
      <c r="D673">
        <v>664</v>
      </c>
      <c r="E673" s="97">
        <v>235</v>
      </c>
      <c r="F673" s="366">
        <f t="shared" si="120"/>
        <v>5099.5</v>
      </c>
      <c r="G673" s="97">
        <v>7343</v>
      </c>
      <c r="H673" s="367">
        <f t="shared" si="121"/>
        <v>12442.5</v>
      </c>
      <c r="I673" s="368">
        <f t="shared" si="122"/>
        <v>0</v>
      </c>
      <c r="J673" s="97">
        <v>27700</v>
      </c>
      <c r="K673" s="367">
        <f t="shared" si="123"/>
        <v>19785.714285714286</v>
      </c>
      <c r="L673" s="10">
        <v>0.54</v>
      </c>
      <c r="M673" s="97">
        <v>5.8</v>
      </c>
      <c r="N673" s="605">
        <v>31</v>
      </c>
      <c r="O673" s="97">
        <v>8</v>
      </c>
      <c r="P673" s="97" t="s">
        <v>515</v>
      </c>
      <c r="Q673" s="97">
        <f t="shared" si="124"/>
        <v>664</v>
      </c>
      <c r="R673" t="str">
        <f t="shared" si="125"/>
        <v/>
      </c>
      <c r="CB673" s="10"/>
      <c r="CI673" s="69"/>
    </row>
    <row r="674" spans="3:87">
      <c r="C674" t="str">
        <f t="shared" si="119"/>
        <v/>
      </c>
      <c r="D674">
        <v>665</v>
      </c>
      <c r="E674" s="97">
        <v>235</v>
      </c>
      <c r="F674" s="366">
        <f t="shared" si="120"/>
        <v>5099.5</v>
      </c>
      <c r="G674" s="97">
        <v>8405</v>
      </c>
      <c r="H674" s="367">
        <f t="shared" si="121"/>
        <v>13504.5</v>
      </c>
      <c r="I674" s="368">
        <f t="shared" si="122"/>
        <v>0</v>
      </c>
      <c r="J674" s="97">
        <v>31706</v>
      </c>
      <c r="K674" s="367">
        <f t="shared" si="123"/>
        <v>22647.142857142859</v>
      </c>
      <c r="L674" s="10">
        <v>0.89</v>
      </c>
      <c r="M674" s="97">
        <v>5.8</v>
      </c>
      <c r="N674" s="605">
        <v>32</v>
      </c>
      <c r="O674" s="97">
        <v>8</v>
      </c>
      <c r="P674" s="97" t="s">
        <v>556</v>
      </c>
      <c r="Q674" s="97" t="str">
        <f t="shared" si="124"/>
        <v/>
      </c>
      <c r="R674" t="str">
        <f t="shared" si="125"/>
        <v/>
      </c>
      <c r="CB674" s="10"/>
      <c r="CI674" s="69"/>
    </row>
    <row r="675" spans="3:87">
      <c r="C675" t="str">
        <f t="shared" si="119"/>
        <v>NL</v>
      </c>
      <c r="D675">
        <v>666</v>
      </c>
      <c r="E675" s="97">
        <v>235</v>
      </c>
      <c r="F675" s="366">
        <f t="shared" si="120"/>
        <v>5099.5</v>
      </c>
      <c r="G675" s="97">
        <v>7444</v>
      </c>
      <c r="H675" s="367">
        <f t="shared" si="121"/>
        <v>12543.5</v>
      </c>
      <c r="I675" s="368">
        <f t="shared" si="122"/>
        <v>0</v>
      </c>
      <c r="J675" s="97">
        <v>28081</v>
      </c>
      <c r="K675" s="367">
        <f t="shared" si="123"/>
        <v>20057.857142857145</v>
      </c>
      <c r="L675" s="10">
        <v>0.46</v>
      </c>
      <c r="M675" s="97">
        <v>6.5</v>
      </c>
      <c r="N675" s="605">
        <v>31</v>
      </c>
      <c r="O675" s="97">
        <v>9</v>
      </c>
      <c r="P675" s="97" t="s">
        <v>515</v>
      </c>
      <c r="Q675" s="97" t="str">
        <f t="shared" si="124"/>
        <v/>
      </c>
      <c r="R675" t="str">
        <f t="shared" si="125"/>
        <v/>
      </c>
      <c r="CB675" s="10"/>
      <c r="CI675" s="69"/>
    </row>
    <row r="676" spans="3:87">
      <c r="C676" t="str">
        <f t="shared" si="119"/>
        <v/>
      </c>
      <c r="D676">
        <v>667</v>
      </c>
      <c r="E676" s="97">
        <v>235</v>
      </c>
      <c r="F676" s="366">
        <f t="shared" si="120"/>
        <v>5099.5</v>
      </c>
      <c r="G676" s="97">
        <v>7490</v>
      </c>
      <c r="H676" s="367">
        <f t="shared" si="121"/>
        <v>12589.5</v>
      </c>
      <c r="I676" s="368">
        <f t="shared" si="122"/>
        <v>0</v>
      </c>
      <c r="J676" s="97">
        <v>28256</v>
      </c>
      <c r="K676" s="367">
        <f t="shared" si="123"/>
        <v>20182.857142857145</v>
      </c>
      <c r="L676" s="10">
        <v>0.38</v>
      </c>
      <c r="M676" s="97">
        <v>7.1999999999999993</v>
      </c>
      <c r="N676" s="605">
        <v>31</v>
      </c>
      <c r="O676" s="97">
        <v>10</v>
      </c>
      <c r="P676" s="97" t="s">
        <v>515</v>
      </c>
      <c r="Q676" s="97" t="str">
        <f t="shared" si="124"/>
        <v/>
      </c>
      <c r="R676" t="str">
        <f t="shared" si="125"/>
        <v/>
      </c>
      <c r="CB676" s="10"/>
      <c r="CI676" s="69"/>
    </row>
    <row r="677" spans="3:87">
      <c r="C677" t="str">
        <f t="shared" si="119"/>
        <v/>
      </c>
      <c r="D677">
        <v>668</v>
      </c>
      <c r="E677" s="97">
        <v>235</v>
      </c>
      <c r="F677" s="366">
        <f t="shared" si="120"/>
        <v>5099.5</v>
      </c>
      <c r="G677" s="97">
        <v>8552</v>
      </c>
      <c r="H677" s="367">
        <f t="shared" si="121"/>
        <v>13651.5</v>
      </c>
      <c r="I677" s="368">
        <f t="shared" si="122"/>
        <v>0</v>
      </c>
      <c r="J677" s="97">
        <v>32260</v>
      </c>
      <c r="K677" s="367">
        <f t="shared" si="123"/>
        <v>23042.857142857145</v>
      </c>
      <c r="L677" s="10">
        <v>0.61</v>
      </c>
      <c r="M677" s="97">
        <v>7.1999999999999993</v>
      </c>
      <c r="N677" s="605">
        <v>32</v>
      </c>
      <c r="O677" s="97">
        <v>10</v>
      </c>
      <c r="P677" s="97" t="s">
        <v>556</v>
      </c>
      <c r="Q677" s="97" t="str">
        <f t="shared" si="124"/>
        <v/>
      </c>
      <c r="R677" t="str">
        <f t="shared" si="125"/>
        <v/>
      </c>
      <c r="CB677" s="10"/>
      <c r="CI677" s="69"/>
    </row>
    <row r="678" spans="3:87">
      <c r="C678" t="str">
        <f t="shared" si="119"/>
        <v/>
      </c>
      <c r="D678">
        <v>669</v>
      </c>
      <c r="E678" s="97">
        <v>240</v>
      </c>
      <c r="F678" s="366">
        <f t="shared" si="120"/>
        <v>5208</v>
      </c>
      <c r="G678" s="97">
        <v>6970</v>
      </c>
      <c r="H678" s="367">
        <f t="shared" si="121"/>
        <v>12178</v>
      </c>
      <c r="I678" s="368">
        <f t="shared" si="122"/>
        <v>0</v>
      </c>
      <c r="J678" s="97">
        <v>26296</v>
      </c>
      <c r="K678" s="367">
        <f t="shared" si="123"/>
        <v>18782.857142857145</v>
      </c>
      <c r="L678" s="10">
        <v>0.96</v>
      </c>
      <c r="M678" s="97">
        <v>4.3999999999999995</v>
      </c>
      <c r="N678" s="605">
        <v>33</v>
      </c>
      <c r="O678" s="97">
        <v>6</v>
      </c>
      <c r="P678" s="97" t="s">
        <v>515</v>
      </c>
      <c r="Q678" s="97" t="str">
        <f t="shared" si="124"/>
        <v/>
      </c>
      <c r="R678" t="str">
        <f t="shared" si="125"/>
        <v/>
      </c>
      <c r="CB678" s="10"/>
      <c r="CI678" s="69"/>
    </row>
    <row r="679" spans="3:87">
      <c r="C679" t="str">
        <f t="shared" si="119"/>
        <v>NL</v>
      </c>
      <c r="D679">
        <v>670</v>
      </c>
      <c r="E679" s="97">
        <v>240</v>
      </c>
      <c r="F679" s="366">
        <f t="shared" si="120"/>
        <v>5208</v>
      </c>
      <c r="G679" s="97">
        <v>7218</v>
      </c>
      <c r="H679" s="367">
        <f t="shared" si="121"/>
        <v>12426</v>
      </c>
      <c r="I679" s="368">
        <f t="shared" si="122"/>
        <v>0</v>
      </c>
      <c r="J679" s="97">
        <v>27230</v>
      </c>
      <c r="K679" s="367">
        <f t="shared" si="123"/>
        <v>19450</v>
      </c>
      <c r="L679" s="10">
        <v>0.72</v>
      </c>
      <c r="M679" s="97">
        <v>5.0999999999999996</v>
      </c>
      <c r="N679" s="605">
        <v>32</v>
      </c>
      <c r="O679" s="97">
        <v>7</v>
      </c>
      <c r="P679" s="97" t="s">
        <v>515</v>
      </c>
      <c r="Q679" s="97" t="str">
        <f t="shared" si="124"/>
        <v/>
      </c>
      <c r="R679" t="str">
        <f t="shared" si="125"/>
        <v/>
      </c>
      <c r="CB679" s="10"/>
      <c r="CI679" s="69"/>
    </row>
    <row r="680" spans="3:87">
      <c r="C680" t="str">
        <f t="shared" si="119"/>
        <v/>
      </c>
      <c r="D680">
        <v>671</v>
      </c>
      <c r="E680" s="97">
        <v>240</v>
      </c>
      <c r="F680" s="366">
        <f t="shared" si="120"/>
        <v>5208</v>
      </c>
      <c r="G680" s="97">
        <v>7451</v>
      </c>
      <c r="H680" s="367">
        <f t="shared" si="121"/>
        <v>12659</v>
      </c>
      <c r="I680" s="368">
        <f t="shared" si="122"/>
        <v>0</v>
      </c>
      <c r="J680" s="97">
        <v>28110</v>
      </c>
      <c r="K680" s="367">
        <f t="shared" si="123"/>
        <v>20078.571428571428</v>
      </c>
      <c r="L680" s="10">
        <v>0.56000000000000005</v>
      </c>
      <c r="M680" s="97">
        <v>5.8</v>
      </c>
      <c r="N680" s="605">
        <v>31</v>
      </c>
      <c r="O680" s="97">
        <v>8</v>
      </c>
      <c r="P680" s="97" t="s">
        <v>515</v>
      </c>
      <c r="Q680" s="97">
        <f t="shared" si="124"/>
        <v>671</v>
      </c>
      <c r="R680" t="str">
        <f t="shared" si="125"/>
        <v/>
      </c>
      <c r="CB680" s="10"/>
      <c r="CI680" s="69"/>
    </row>
    <row r="681" spans="3:87">
      <c r="C681" t="str">
        <f t="shared" si="119"/>
        <v/>
      </c>
      <c r="D681">
        <v>672</v>
      </c>
      <c r="E681" s="97">
        <v>240</v>
      </c>
      <c r="F681" s="366">
        <f t="shared" si="120"/>
        <v>5208</v>
      </c>
      <c r="G681" s="97">
        <v>8503</v>
      </c>
      <c r="H681" s="367">
        <f t="shared" si="121"/>
        <v>13711</v>
      </c>
      <c r="I681" s="368">
        <f t="shared" si="122"/>
        <v>0</v>
      </c>
      <c r="J681" s="97">
        <v>32077</v>
      </c>
      <c r="K681" s="367">
        <f t="shared" si="123"/>
        <v>22912.142857142859</v>
      </c>
      <c r="L681" s="10">
        <v>0.92</v>
      </c>
      <c r="M681" s="97">
        <v>5.8</v>
      </c>
      <c r="N681" s="605">
        <v>32</v>
      </c>
      <c r="O681" s="97">
        <v>8</v>
      </c>
      <c r="P681" s="97" t="s">
        <v>556</v>
      </c>
      <c r="Q681" s="97" t="str">
        <f t="shared" si="124"/>
        <v/>
      </c>
      <c r="R681" t="str">
        <f t="shared" si="125"/>
        <v/>
      </c>
      <c r="CB681" s="10"/>
      <c r="CI681" s="69"/>
    </row>
    <row r="682" spans="3:87">
      <c r="C682" t="str">
        <f t="shared" si="119"/>
        <v>NL</v>
      </c>
      <c r="D682">
        <v>673</v>
      </c>
      <c r="E682" s="97">
        <v>240</v>
      </c>
      <c r="F682" s="366">
        <f t="shared" si="120"/>
        <v>5208</v>
      </c>
      <c r="G682" s="97">
        <v>7557</v>
      </c>
      <c r="H682" s="367">
        <f t="shared" si="121"/>
        <v>12765</v>
      </c>
      <c r="I682" s="368">
        <f t="shared" si="122"/>
        <v>0</v>
      </c>
      <c r="J682" s="97">
        <v>28510</v>
      </c>
      <c r="K682" s="367">
        <f t="shared" si="123"/>
        <v>20364.285714285714</v>
      </c>
      <c r="L682" s="10">
        <v>0.48</v>
      </c>
      <c r="M682" s="97">
        <v>6.5</v>
      </c>
      <c r="N682" s="605">
        <v>32</v>
      </c>
      <c r="O682" s="97">
        <v>9</v>
      </c>
      <c r="P682" s="97" t="s">
        <v>515</v>
      </c>
      <c r="Q682" s="97" t="str">
        <f t="shared" si="124"/>
        <v/>
      </c>
      <c r="R682" t="str">
        <f t="shared" si="125"/>
        <v/>
      </c>
      <c r="CB682" s="10"/>
      <c r="CI682" s="69"/>
    </row>
    <row r="683" spans="3:87">
      <c r="C683" t="str">
        <f t="shared" si="119"/>
        <v/>
      </c>
      <c r="D683">
        <v>674</v>
      </c>
      <c r="E683" s="97">
        <v>240</v>
      </c>
      <c r="F683" s="366">
        <f t="shared" si="120"/>
        <v>5208</v>
      </c>
      <c r="G683" s="97">
        <v>7643</v>
      </c>
      <c r="H683" s="367">
        <f t="shared" si="121"/>
        <v>12851</v>
      </c>
      <c r="I683" s="368">
        <f t="shared" si="122"/>
        <v>0</v>
      </c>
      <c r="J683" s="97">
        <v>28831</v>
      </c>
      <c r="K683" s="367">
        <f t="shared" si="123"/>
        <v>20593.571428571428</v>
      </c>
      <c r="L683" s="10">
        <v>0.4</v>
      </c>
      <c r="M683" s="97">
        <v>7.1999999999999993</v>
      </c>
      <c r="N683" s="605">
        <v>31</v>
      </c>
      <c r="O683" s="97">
        <v>10</v>
      </c>
      <c r="P683" s="97" t="s">
        <v>515</v>
      </c>
      <c r="Q683" s="97" t="str">
        <f t="shared" si="124"/>
        <v/>
      </c>
      <c r="R683" t="str">
        <f t="shared" si="125"/>
        <v/>
      </c>
      <c r="CB683" s="10"/>
      <c r="CI683" s="69"/>
    </row>
    <row r="684" spans="3:87">
      <c r="C684" t="str">
        <f t="shared" si="119"/>
        <v/>
      </c>
      <c r="D684">
        <v>675</v>
      </c>
      <c r="E684" s="97">
        <v>240</v>
      </c>
      <c r="F684" s="366">
        <f t="shared" si="120"/>
        <v>5208</v>
      </c>
      <c r="G684" s="97">
        <v>8667</v>
      </c>
      <c r="H684" s="367">
        <f t="shared" si="121"/>
        <v>13875</v>
      </c>
      <c r="I684" s="368">
        <f t="shared" si="122"/>
        <v>0</v>
      </c>
      <c r="J684" s="97">
        <v>32695</v>
      </c>
      <c r="K684" s="367">
        <f t="shared" si="123"/>
        <v>23353.571428571428</v>
      </c>
      <c r="L684" s="10">
        <v>0.64</v>
      </c>
      <c r="M684" s="97">
        <v>7.1999999999999993</v>
      </c>
      <c r="N684" s="605">
        <v>32</v>
      </c>
      <c r="O684" s="97">
        <v>10</v>
      </c>
      <c r="P684" s="97" t="s">
        <v>556</v>
      </c>
      <c r="Q684" s="97" t="str">
        <f t="shared" si="124"/>
        <v/>
      </c>
      <c r="R684" t="str">
        <f t="shared" si="125"/>
        <v/>
      </c>
      <c r="CB684" s="10"/>
      <c r="CI684" s="69"/>
    </row>
    <row r="685" spans="3:87">
      <c r="C685" t="str">
        <f t="shared" si="119"/>
        <v/>
      </c>
      <c r="D685">
        <v>676</v>
      </c>
      <c r="E685" s="97">
        <v>245</v>
      </c>
      <c r="F685" s="366">
        <f t="shared" si="120"/>
        <v>5316.5</v>
      </c>
      <c r="G685" s="97">
        <v>7069</v>
      </c>
      <c r="H685" s="367">
        <f t="shared" si="121"/>
        <v>12385.5</v>
      </c>
      <c r="I685" s="368">
        <f t="shared" si="122"/>
        <v>0</v>
      </c>
      <c r="J685" s="97">
        <v>26668</v>
      </c>
      <c r="K685" s="367">
        <f t="shared" si="123"/>
        <v>19048.571428571428</v>
      </c>
      <c r="L685" s="10">
        <v>1</v>
      </c>
      <c r="M685" s="97">
        <v>4.3999999999999995</v>
      </c>
      <c r="N685" s="605">
        <v>33</v>
      </c>
      <c r="O685" s="97">
        <v>6</v>
      </c>
      <c r="P685" s="97" t="s">
        <v>515</v>
      </c>
      <c r="Q685" s="97" t="str">
        <f t="shared" si="124"/>
        <v/>
      </c>
      <c r="R685" t="str">
        <f t="shared" si="125"/>
        <v/>
      </c>
      <c r="CB685" s="10"/>
      <c r="CI685" s="69"/>
    </row>
    <row r="686" spans="3:87">
      <c r="C686" t="str">
        <f t="shared" si="119"/>
        <v>NL</v>
      </c>
      <c r="D686">
        <v>677</v>
      </c>
      <c r="E686" s="97">
        <v>245</v>
      </c>
      <c r="F686" s="366">
        <f t="shared" si="120"/>
        <v>5316.5</v>
      </c>
      <c r="G686" s="97">
        <v>7319</v>
      </c>
      <c r="H686" s="367">
        <f t="shared" si="121"/>
        <v>12635.5</v>
      </c>
      <c r="I686" s="368">
        <f t="shared" si="122"/>
        <v>0</v>
      </c>
      <c r="J686" s="97">
        <v>27610</v>
      </c>
      <c r="K686" s="367">
        <f t="shared" si="123"/>
        <v>19721.428571428572</v>
      </c>
      <c r="L686" s="10">
        <v>0.75</v>
      </c>
      <c r="M686" s="97">
        <v>5.0999999999999996</v>
      </c>
      <c r="N686" s="605">
        <v>32</v>
      </c>
      <c r="O686" s="97">
        <v>7</v>
      </c>
      <c r="P686" s="97" t="s">
        <v>515</v>
      </c>
      <c r="Q686" s="97" t="str">
        <f t="shared" si="124"/>
        <v/>
      </c>
      <c r="R686" t="str">
        <f t="shared" si="125"/>
        <v/>
      </c>
      <c r="CB686" s="10"/>
      <c r="CI686" s="69"/>
    </row>
    <row r="687" spans="3:87">
      <c r="C687" t="str">
        <f t="shared" si="119"/>
        <v/>
      </c>
      <c r="D687">
        <v>678</v>
      </c>
      <c r="E687" s="97">
        <v>245</v>
      </c>
      <c r="F687" s="366">
        <f t="shared" si="120"/>
        <v>5316.5</v>
      </c>
      <c r="G687" s="97">
        <v>7556</v>
      </c>
      <c r="H687" s="367">
        <f t="shared" si="121"/>
        <v>12872.5</v>
      </c>
      <c r="I687" s="368">
        <f t="shared" si="122"/>
        <v>0</v>
      </c>
      <c r="J687" s="97">
        <v>28505</v>
      </c>
      <c r="K687" s="367">
        <f t="shared" si="123"/>
        <v>20360.714285714286</v>
      </c>
      <c r="L687" s="10">
        <v>0.59</v>
      </c>
      <c r="M687" s="97">
        <v>5.8</v>
      </c>
      <c r="N687" s="605">
        <v>32</v>
      </c>
      <c r="O687" s="97">
        <v>8</v>
      </c>
      <c r="P687" s="97" t="s">
        <v>515</v>
      </c>
      <c r="Q687" s="97">
        <f t="shared" si="124"/>
        <v>678</v>
      </c>
      <c r="R687" t="str">
        <f t="shared" si="125"/>
        <v/>
      </c>
      <c r="CB687" s="10"/>
      <c r="CI687" s="69"/>
    </row>
    <row r="688" spans="3:87">
      <c r="C688" t="str">
        <f t="shared" si="119"/>
        <v/>
      </c>
      <c r="D688">
        <v>679</v>
      </c>
      <c r="E688" s="97">
        <v>245</v>
      </c>
      <c r="F688" s="366">
        <f t="shared" si="120"/>
        <v>5316.5</v>
      </c>
      <c r="G688" s="97">
        <v>8600</v>
      </c>
      <c r="H688" s="367">
        <f t="shared" si="121"/>
        <v>13916.5</v>
      </c>
      <c r="I688" s="368">
        <f t="shared" si="122"/>
        <v>0</v>
      </c>
      <c r="J688" s="97">
        <v>32442</v>
      </c>
      <c r="K688" s="367">
        <f t="shared" si="123"/>
        <v>23172.857142857145</v>
      </c>
      <c r="L688" s="10">
        <v>0.96</v>
      </c>
      <c r="M688" s="97">
        <v>5.8</v>
      </c>
      <c r="N688" s="605">
        <v>32</v>
      </c>
      <c r="O688" s="97">
        <v>8</v>
      </c>
      <c r="P688" s="97" t="s">
        <v>556</v>
      </c>
      <c r="Q688" s="97" t="str">
        <f t="shared" si="124"/>
        <v/>
      </c>
      <c r="R688" t="str">
        <f t="shared" si="125"/>
        <v/>
      </c>
      <c r="CB688" s="10"/>
      <c r="CI688" s="69"/>
    </row>
    <row r="689" spans="3:87">
      <c r="C689" t="str">
        <f t="shared" si="119"/>
        <v>NL</v>
      </c>
      <c r="D689">
        <v>680</v>
      </c>
      <c r="E689" s="97">
        <v>245</v>
      </c>
      <c r="F689" s="366">
        <f t="shared" si="120"/>
        <v>5316.5</v>
      </c>
      <c r="G689" s="97">
        <v>7665</v>
      </c>
      <c r="H689" s="367">
        <f t="shared" si="121"/>
        <v>12981.5</v>
      </c>
      <c r="I689" s="368">
        <f t="shared" si="122"/>
        <v>0</v>
      </c>
      <c r="J689" s="97">
        <v>28915</v>
      </c>
      <c r="K689" s="367">
        <f t="shared" si="123"/>
        <v>20653.571428571428</v>
      </c>
      <c r="L689" s="10">
        <v>0.5</v>
      </c>
      <c r="M689" s="97">
        <v>6.5</v>
      </c>
      <c r="N689" s="605">
        <v>32</v>
      </c>
      <c r="O689" s="97">
        <v>9</v>
      </c>
      <c r="P689" s="97" t="s">
        <v>515</v>
      </c>
      <c r="Q689" s="97" t="str">
        <f t="shared" si="124"/>
        <v/>
      </c>
      <c r="R689" t="str">
        <f t="shared" si="125"/>
        <v/>
      </c>
      <c r="CB689" s="10"/>
      <c r="CI689" s="69"/>
    </row>
    <row r="690" spans="3:87">
      <c r="C690" t="str">
        <f t="shared" si="119"/>
        <v/>
      </c>
      <c r="D690">
        <v>681</v>
      </c>
      <c r="E690" s="97">
        <v>245</v>
      </c>
      <c r="F690" s="366">
        <f t="shared" si="120"/>
        <v>5316.5</v>
      </c>
      <c r="G690" s="97">
        <v>7750</v>
      </c>
      <c r="H690" s="367">
        <f t="shared" si="121"/>
        <v>13066.5</v>
      </c>
      <c r="I690" s="368">
        <f t="shared" si="122"/>
        <v>0</v>
      </c>
      <c r="J690" s="97">
        <v>29238</v>
      </c>
      <c r="K690" s="367">
        <f t="shared" si="123"/>
        <v>20884.285714285714</v>
      </c>
      <c r="L690" s="10">
        <v>0.41000000000000003</v>
      </c>
      <c r="M690" s="97">
        <v>7.1999999999999993</v>
      </c>
      <c r="N690" s="605">
        <v>32</v>
      </c>
      <c r="O690" s="97">
        <v>10</v>
      </c>
      <c r="P690" s="97" t="s">
        <v>515</v>
      </c>
      <c r="Q690" s="97" t="str">
        <f t="shared" si="124"/>
        <v/>
      </c>
      <c r="R690" t="str">
        <f t="shared" si="125"/>
        <v/>
      </c>
      <c r="CB690" s="10"/>
      <c r="CI690" s="69"/>
    </row>
    <row r="691" spans="3:87">
      <c r="C691" t="str">
        <f t="shared" si="119"/>
        <v/>
      </c>
      <c r="D691">
        <v>682</v>
      </c>
      <c r="E691" s="97">
        <v>245</v>
      </c>
      <c r="F691" s="366">
        <f t="shared" si="120"/>
        <v>5316.5</v>
      </c>
      <c r="G691" s="97">
        <v>8782</v>
      </c>
      <c r="H691" s="367">
        <f t="shared" si="121"/>
        <v>14098.5</v>
      </c>
      <c r="I691" s="368">
        <f t="shared" si="122"/>
        <v>0</v>
      </c>
      <c r="J691" s="97">
        <v>33128</v>
      </c>
      <c r="K691" s="367">
        <f t="shared" si="123"/>
        <v>23662.857142857145</v>
      </c>
      <c r="L691" s="10">
        <v>0.66</v>
      </c>
      <c r="M691" s="97">
        <v>7.1999999999999993</v>
      </c>
      <c r="N691" s="605">
        <v>32</v>
      </c>
      <c r="O691" s="97">
        <v>10</v>
      </c>
      <c r="P691" s="97" t="s">
        <v>556</v>
      </c>
      <c r="Q691" s="97" t="str">
        <f t="shared" si="124"/>
        <v/>
      </c>
      <c r="R691" t="str">
        <f t="shared" si="125"/>
        <v/>
      </c>
      <c r="CB691" s="10"/>
      <c r="CI691" s="69"/>
    </row>
    <row r="692" spans="3:87">
      <c r="C692" t="str">
        <f t="shared" si="119"/>
        <v>NL</v>
      </c>
      <c r="D692">
        <v>683</v>
      </c>
      <c r="E692" s="97">
        <v>250</v>
      </c>
      <c r="F692" s="366">
        <f t="shared" si="120"/>
        <v>5425</v>
      </c>
      <c r="G692" s="97">
        <v>7418</v>
      </c>
      <c r="H692" s="367">
        <f t="shared" si="121"/>
        <v>12843</v>
      </c>
      <c r="I692" s="368">
        <f t="shared" si="122"/>
        <v>0</v>
      </c>
      <c r="J692" s="97">
        <v>27986</v>
      </c>
      <c r="K692" s="367">
        <f t="shared" si="123"/>
        <v>19990</v>
      </c>
      <c r="L692" s="10">
        <v>0.78</v>
      </c>
      <c r="M692" s="97">
        <v>5.0999999999999996</v>
      </c>
      <c r="N692" s="605">
        <v>33</v>
      </c>
      <c r="O692" s="97">
        <v>7</v>
      </c>
      <c r="P692" s="97" t="s">
        <v>515</v>
      </c>
      <c r="Q692" s="97" t="str">
        <f t="shared" si="124"/>
        <v/>
      </c>
      <c r="R692" t="str">
        <f t="shared" si="125"/>
        <v/>
      </c>
      <c r="CB692" s="10"/>
      <c r="CI692" s="69"/>
    </row>
    <row r="693" spans="3:87">
      <c r="C693" t="str">
        <f t="shared" si="119"/>
        <v/>
      </c>
      <c r="D693">
        <v>684</v>
      </c>
      <c r="E693" s="97">
        <v>250</v>
      </c>
      <c r="F693" s="366">
        <f t="shared" si="120"/>
        <v>5425</v>
      </c>
      <c r="G693" s="97">
        <v>7661</v>
      </c>
      <c r="H693" s="367">
        <f t="shared" si="121"/>
        <v>13086</v>
      </c>
      <c r="I693" s="368">
        <f t="shared" si="122"/>
        <v>0</v>
      </c>
      <c r="J693" s="97">
        <v>28901</v>
      </c>
      <c r="K693" s="367">
        <f t="shared" si="123"/>
        <v>20643.571428571428</v>
      </c>
      <c r="L693" s="10">
        <v>0.61</v>
      </c>
      <c r="M693" s="97">
        <v>5.8</v>
      </c>
      <c r="N693" s="605">
        <v>32</v>
      </c>
      <c r="O693" s="97">
        <v>8</v>
      </c>
      <c r="P693" s="97" t="s">
        <v>515</v>
      </c>
      <c r="Q693" s="97">
        <f t="shared" si="124"/>
        <v>684</v>
      </c>
      <c r="R693" t="str">
        <f t="shared" si="125"/>
        <v/>
      </c>
      <c r="CB693" s="10"/>
      <c r="CI693" s="69"/>
    </row>
    <row r="694" spans="3:87">
      <c r="C694" t="str">
        <f t="shared" si="119"/>
        <v/>
      </c>
      <c r="D694">
        <v>685</v>
      </c>
      <c r="E694" s="97">
        <v>250</v>
      </c>
      <c r="F694" s="366">
        <f t="shared" si="120"/>
        <v>5425</v>
      </c>
      <c r="G694" s="97">
        <v>8691</v>
      </c>
      <c r="H694" s="367">
        <f t="shared" si="121"/>
        <v>14116</v>
      </c>
      <c r="I694" s="368">
        <f t="shared" si="122"/>
        <v>0</v>
      </c>
      <c r="J694" s="97">
        <v>32785</v>
      </c>
      <c r="K694" s="367">
        <f t="shared" si="123"/>
        <v>23417.857142857145</v>
      </c>
      <c r="L694" s="10">
        <v>1</v>
      </c>
      <c r="M694" s="97">
        <v>5.8</v>
      </c>
      <c r="N694" s="605">
        <v>33</v>
      </c>
      <c r="O694" s="97">
        <v>8</v>
      </c>
      <c r="P694" s="97" t="s">
        <v>556</v>
      </c>
      <c r="Q694" s="97" t="str">
        <f t="shared" si="124"/>
        <v/>
      </c>
      <c r="R694" t="str">
        <f t="shared" si="125"/>
        <v/>
      </c>
      <c r="CB694" s="10"/>
      <c r="CI694" s="69"/>
    </row>
    <row r="695" spans="3:87">
      <c r="C695" t="str">
        <f t="shared" si="119"/>
        <v>NL</v>
      </c>
      <c r="D695">
        <v>686</v>
      </c>
      <c r="E695" s="97">
        <v>250</v>
      </c>
      <c r="F695" s="366">
        <f t="shared" si="120"/>
        <v>5425</v>
      </c>
      <c r="G695" s="97">
        <v>7771</v>
      </c>
      <c r="H695" s="367">
        <f t="shared" si="121"/>
        <v>13196</v>
      </c>
      <c r="I695" s="368">
        <f t="shared" si="122"/>
        <v>0</v>
      </c>
      <c r="J695" s="97">
        <v>29316</v>
      </c>
      <c r="K695" s="367">
        <f t="shared" si="123"/>
        <v>20940</v>
      </c>
      <c r="L695" s="10">
        <v>0.52</v>
      </c>
      <c r="M695" s="97">
        <v>6.5</v>
      </c>
      <c r="N695" s="605">
        <v>33</v>
      </c>
      <c r="O695" s="97">
        <v>9</v>
      </c>
      <c r="P695" s="97" t="s">
        <v>515</v>
      </c>
      <c r="Q695" s="97" t="str">
        <f t="shared" si="124"/>
        <v/>
      </c>
      <c r="R695" t="str">
        <f t="shared" si="125"/>
        <v/>
      </c>
      <c r="CB695" s="10"/>
      <c r="CI695" s="69"/>
    </row>
    <row r="696" spans="3:87">
      <c r="C696" t="str">
        <f t="shared" si="119"/>
        <v/>
      </c>
      <c r="D696">
        <v>687</v>
      </c>
      <c r="E696" s="97">
        <v>250</v>
      </c>
      <c r="F696" s="366">
        <f t="shared" si="120"/>
        <v>5425</v>
      </c>
      <c r="G696" s="97">
        <v>7858</v>
      </c>
      <c r="H696" s="367">
        <f t="shared" si="121"/>
        <v>13283</v>
      </c>
      <c r="I696" s="368">
        <f t="shared" si="122"/>
        <v>0</v>
      </c>
      <c r="J696" s="97">
        <v>29645</v>
      </c>
      <c r="K696" s="367">
        <f t="shared" si="123"/>
        <v>21175</v>
      </c>
      <c r="L696" s="10">
        <v>0.43</v>
      </c>
      <c r="M696" s="97">
        <v>7.1999999999999993</v>
      </c>
      <c r="N696" s="605">
        <v>32</v>
      </c>
      <c r="O696" s="97">
        <v>10</v>
      </c>
      <c r="P696" s="97" t="s">
        <v>515</v>
      </c>
      <c r="Q696" s="97" t="str">
        <f t="shared" si="124"/>
        <v/>
      </c>
      <c r="R696" t="str">
        <f t="shared" si="125"/>
        <v/>
      </c>
      <c r="CB696" s="10"/>
      <c r="CI696" s="69"/>
    </row>
    <row r="697" spans="3:87">
      <c r="C697" t="str">
        <f t="shared" si="119"/>
        <v/>
      </c>
      <c r="D697">
        <v>688</v>
      </c>
      <c r="E697" s="97">
        <v>250</v>
      </c>
      <c r="F697" s="366">
        <f t="shared" si="120"/>
        <v>5425</v>
      </c>
      <c r="G697" s="97">
        <v>8896</v>
      </c>
      <c r="H697" s="367">
        <f t="shared" si="121"/>
        <v>14321</v>
      </c>
      <c r="I697" s="368">
        <f t="shared" si="122"/>
        <v>0</v>
      </c>
      <c r="J697" s="97">
        <v>33561</v>
      </c>
      <c r="K697" s="367">
        <f t="shared" si="123"/>
        <v>23972.142857142859</v>
      </c>
      <c r="L697" s="10">
        <v>0.69000000000000006</v>
      </c>
      <c r="M697" s="97">
        <v>7.1999999999999993</v>
      </c>
      <c r="N697" s="605">
        <v>33</v>
      </c>
      <c r="O697" s="97">
        <v>10</v>
      </c>
      <c r="P697" s="97" t="s">
        <v>556</v>
      </c>
      <c r="Q697" s="97" t="str">
        <f t="shared" si="124"/>
        <v/>
      </c>
      <c r="R697" t="str">
        <f t="shared" si="125"/>
        <v/>
      </c>
      <c r="CB697" s="10"/>
      <c r="CI697" s="69"/>
    </row>
    <row r="698" spans="3:87">
      <c r="C698" t="str">
        <f t="shared" si="119"/>
        <v>NL</v>
      </c>
      <c r="D698">
        <v>689</v>
      </c>
      <c r="E698" s="97">
        <v>255</v>
      </c>
      <c r="F698" s="366">
        <f t="shared" si="120"/>
        <v>5533.5</v>
      </c>
      <c r="G698" s="97">
        <v>7512</v>
      </c>
      <c r="H698" s="367">
        <f t="shared" si="121"/>
        <v>13045.5</v>
      </c>
      <c r="I698" s="368">
        <f t="shared" si="122"/>
        <v>0</v>
      </c>
      <c r="J698" s="97">
        <v>28339</v>
      </c>
      <c r="K698" s="367">
        <f t="shared" si="123"/>
        <v>20242.142857142859</v>
      </c>
      <c r="L698" s="10">
        <v>0.81</v>
      </c>
      <c r="M698" s="97">
        <v>5.0999999999999996</v>
      </c>
      <c r="N698" s="605">
        <v>34</v>
      </c>
      <c r="O698" s="97">
        <v>7</v>
      </c>
      <c r="P698" s="97" t="s">
        <v>515</v>
      </c>
      <c r="Q698" s="97" t="str">
        <f t="shared" si="124"/>
        <v/>
      </c>
      <c r="R698" t="str">
        <f t="shared" si="125"/>
        <v/>
      </c>
      <c r="CB698" s="10"/>
      <c r="CI698" s="69"/>
    </row>
    <row r="699" spans="3:87">
      <c r="C699" t="str">
        <f t="shared" si="119"/>
        <v/>
      </c>
      <c r="D699">
        <v>690</v>
      </c>
      <c r="E699" s="97">
        <v>255</v>
      </c>
      <c r="F699" s="366">
        <f t="shared" si="120"/>
        <v>5533.5</v>
      </c>
      <c r="G699" s="97">
        <v>7766</v>
      </c>
      <c r="H699" s="367">
        <f t="shared" si="121"/>
        <v>13299.5</v>
      </c>
      <c r="I699" s="368">
        <f t="shared" si="122"/>
        <v>0</v>
      </c>
      <c r="J699" s="97">
        <v>29296</v>
      </c>
      <c r="K699" s="367">
        <f t="shared" si="123"/>
        <v>20925.714285714286</v>
      </c>
      <c r="L699" s="10">
        <v>0.64</v>
      </c>
      <c r="M699" s="97">
        <v>5.8</v>
      </c>
      <c r="N699" s="605">
        <v>33</v>
      </c>
      <c r="O699" s="97">
        <v>8</v>
      </c>
      <c r="P699" s="97" t="s">
        <v>515</v>
      </c>
      <c r="Q699" s="97">
        <f t="shared" si="124"/>
        <v>690</v>
      </c>
      <c r="R699" t="str">
        <f t="shared" si="125"/>
        <v/>
      </c>
      <c r="CB699" s="10"/>
      <c r="CI699" s="69"/>
    </row>
    <row r="700" spans="3:87">
      <c r="C700" t="str">
        <f t="shared" si="119"/>
        <v/>
      </c>
      <c r="D700">
        <v>691</v>
      </c>
      <c r="E700" s="97">
        <v>255</v>
      </c>
      <c r="F700" s="366">
        <f t="shared" si="120"/>
        <v>5533.5</v>
      </c>
      <c r="G700" s="97">
        <v>8781</v>
      </c>
      <c r="H700" s="367">
        <f t="shared" si="121"/>
        <v>14314.5</v>
      </c>
      <c r="I700" s="368">
        <f t="shared" si="122"/>
        <v>0</v>
      </c>
      <c r="J700" s="97">
        <v>33127</v>
      </c>
      <c r="K700" s="367">
        <f t="shared" si="123"/>
        <v>23662.142857142859</v>
      </c>
      <c r="L700" s="10">
        <v>1.04</v>
      </c>
      <c r="M700" s="97">
        <v>5.8</v>
      </c>
      <c r="N700" s="605">
        <v>34</v>
      </c>
      <c r="O700" s="97">
        <v>8</v>
      </c>
      <c r="P700" s="97" t="s">
        <v>556</v>
      </c>
      <c r="Q700" s="97" t="str">
        <f t="shared" si="124"/>
        <v/>
      </c>
      <c r="R700" t="str">
        <f t="shared" si="125"/>
        <v/>
      </c>
      <c r="CB700" s="10"/>
      <c r="CI700" s="69"/>
    </row>
    <row r="701" spans="3:87">
      <c r="C701" t="str">
        <f t="shared" si="119"/>
        <v>NL</v>
      </c>
      <c r="D701">
        <v>692</v>
      </c>
      <c r="E701" s="97">
        <v>255</v>
      </c>
      <c r="F701" s="366">
        <f t="shared" si="120"/>
        <v>5533.5</v>
      </c>
      <c r="G701" s="97">
        <v>7877</v>
      </c>
      <c r="H701" s="367">
        <f t="shared" si="121"/>
        <v>13410.5</v>
      </c>
      <c r="I701" s="368">
        <f t="shared" si="122"/>
        <v>0</v>
      </c>
      <c r="J701" s="97">
        <v>29718</v>
      </c>
      <c r="K701" s="367">
        <f t="shared" si="123"/>
        <v>21227.142857142859</v>
      </c>
      <c r="L701" s="10">
        <v>0.54</v>
      </c>
      <c r="M701" s="97">
        <v>6.5</v>
      </c>
      <c r="N701" s="605">
        <v>34</v>
      </c>
      <c r="O701" s="97">
        <v>9</v>
      </c>
      <c r="P701" s="97" t="s">
        <v>515</v>
      </c>
      <c r="Q701" s="97" t="str">
        <f t="shared" si="124"/>
        <v/>
      </c>
      <c r="R701" t="str">
        <f t="shared" si="125"/>
        <v/>
      </c>
      <c r="CB701" s="10"/>
      <c r="CI701" s="69"/>
    </row>
    <row r="702" spans="3:87">
      <c r="C702" t="str">
        <f t="shared" si="119"/>
        <v/>
      </c>
      <c r="D702">
        <v>693</v>
      </c>
      <c r="E702" s="97">
        <v>255</v>
      </c>
      <c r="F702" s="366">
        <f t="shared" si="120"/>
        <v>5533.5</v>
      </c>
      <c r="G702" s="97">
        <v>7966</v>
      </c>
      <c r="H702" s="367">
        <f t="shared" si="121"/>
        <v>13499.5</v>
      </c>
      <c r="I702" s="368">
        <f t="shared" si="122"/>
        <v>0</v>
      </c>
      <c r="J702" s="97">
        <v>30052</v>
      </c>
      <c r="K702" s="367">
        <f t="shared" si="123"/>
        <v>21465.714285714286</v>
      </c>
      <c r="L702" s="10">
        <v>0.45</v>
      </c>
      <c r="M702" s="97">
        <v>7.1999999999999993</v>
      </c>
      <c r="N702" s="605">
        <v>33</v>
      </c>
      <c r="O702" s="97">
        <v>10</v>
      </c>
      <c r="P702" s="97" t="s">
        <v>515</v>
      </c>
      <c r="Q702" s="97" t="str">
        <f t="shared" si="124"/>
        <v/>
      </c>
      <c r="R702" t="str">
        <f t="shared" si="125"/>
        <v/>
      </c>
      <c r="CB702" s="10"/>
      <c r="CI702" s="69"/>
    </row>
    <row r="703" spans="3:87">
      <c r="C703" t="str">
        <f t="shared" si="119"/>
        <v/>
      </c>
      <c r="D703">
        <v>694</v>
      </c>
      <c r="E703" s="97">
        <v>255</v>
      </c>
      <c r="F703" s="366">
        <f t="shared" si="120"/>
        <v>5533.5</v>
      </c>
      <c r="G703" s="97">
        <v>9011</v>
      </c>
      <c r="H703" s="367">
        <f t="shared" si="121"/>
        <v>14544.5</v>
      </c>
      <c r="I703" s="368">
        <f t="shared" si="122"/>
        <v>0</v>
      </c>
      <c r="J703" s="97">
        <v>33995</v>
      </c>
      <c r="K703" s="367">
        <f t="shared" si="123"/>
        <v>24282.142857142859</v>
      </c>
      <c r="L703" s="10">
        <v>0.72</v>
      </c>
      <c r="M703" s="97">
        <v>7.1999999999999993</v>
      </c>
      <c r="N703" s="605">
        <v>33</v>
      </c>
      <c r="O703" s="97">
        <v>10</v>
      </c>
      <c r="P703" s="97" t="s">
        <v>556</v>
      </c>
      <c r="Q703" s="97" t="str">
        <f t="shared" si="124"/>
        <v/>
      </c>
      <c r="R703" t="str">
        <f t="shared" si="125"/>
        <v/>
      </c>
      <c r="CB703" s="10"/>
      <c r="CI703" s="69"/>
    </row>
    <row r="704" spans="3:87">
      <c r="C704" t="str">
        <f t="shared" si="119"/>
        <v>NL</v>
      </c>
      <c r="D704">
        <v>695</v>
      </c>
      <c r="E704" s="97">
        <v>260</v>
      </c>
      <c r="F704" s="366">
        <f t="shared" si="120"/>
        <v>5642</v>
      </c>
      <c r="G704" s="97">
        <v>7606</v>
      </c>
      <c r="H704" s="367">
        <f t="shared" si="121"/>
        <v>13248</v>
      </c>
      <c r="I704" s="368">
        <f t="shared" si="122"/>
        <v>0</v>
      </c>
      <c r="J704" s="97">
        <v>28692</v>
      </c>
      <c r="K704" s="367">
        <f t="shared" si="123"/>
        <v>20494.285714285714</v>
      </c>
      <c r="L704" s="10">
        <v>0.84</v>
      </c>
      <c r="M704" s="97">
        <v>5.0999999999999996</v>
      </c>
      <c r="N704" s="605">
        <v>35</v>
      </c>
      <c r="O704" s="97">
        <v>7</v>
      </c>
      <c r="P704" s="97" t="s">
        <v>515</v>
      </c>
      <c r="Q704" s="97" t="str">
        <f t="shared" si="124"/>
        <v/>
      </c>
      <c r="R704" t="str">
        <f t="shared" si="125"/>
        <v/>
      </c>
      <c r="CB704" s="10"/>
      <c r="CI704" s="69"/>
    </row>
    <row r="705" spans="3:87">
      <c r="C705" t="str">
        <f t="shared" si="119"/>
        <v/>
      </c>
      <c r="D705">
        <v>696</v>
      </c>
      <c r="E705" s="97">
        <v>260</v>
      </c>
      <c r="F705" s="366">
        <f t="shared" si="120"/>
        <v>5642</v>
      </c>
      <c r="G705" s="97">
        <v>7870</v>
      </c>
      <c r="H705" s="367">
        <f t="shared" si="121"/>
        <v>13512</v>
      </c>
      <c r="I705" s="368">
        <f t="shared" si="122"/>
        <v>0</v>
      </c>
      <c r="J705" s="97">
        <v>29691</v>
      </c>
      <c r="K705" s="367">
        <f t="shared" si="123"/>
        <v>21207.857142857145</v>
      </c>
      <c r="L705" s="10">
        <v>0.66</v>
      </c>
      <c r="M705" s="97">
        <v>5.8</v>
      </c>
      <c r="N705" s="605">
        <v>34</v>
      </c>
      <c r="O705" s="97">
        <v>8</v>
      </c>
      <c r="P705" s="97" t="s">
        <v>515</v>
      </c>
      <c r="Q705" s="97">
        <f t="shared" si="124"/>
        <v>696</v>
      </c>
      <c r="R705" t="str">
        <f t="shared" si="125"/>
        <v/>
      </c>
      <c r="CB705" s="10"/>
      <c r="CI705" s="69"/>
    </row>
    <row r="706" spans="3:87">
      <c r="C706" t="str">
        <f t="shared" si="119"/>
        <v>NL</v>
      </c>
      <c r="D706">
        <v>697</v>
      </c>
      <c r="E706" s="97">
        <v>260</v>
      </c>
      <c r="F706" s="366">
        <f t="shared" si="120"/>
        <v>5642</v>
      </c>
      <c r="G706" s="97">
        <v>7984</v>
      </c>
      <c r="H706" s="367">
        <f t="shared" si="121"/>
        <v>13626</v>
      </c>
      <c r="I706" s="368">
        <f t="shared" si="122"/>
        <v>0</v>
      </c>
      <c r="J706" s="97">
        <v>30119</v>
      </c>
      <c r="K706" s="367">
        <f t="shared" si="123"/>
        <v>21513.571428571428</v>
      </c>
      <c r="L706" s="10">
        <v>0.56000000000000005</v>
      </c>
      <c r="M706" s="97">
        <v>6.5</v>
      </c>
      <c r="N706" s="605">
        <v>34</v>
      </c>
      <c r="O706" s="97">
        <v>9</v>
      </c>
      <c r="P706" s="97" t="s">
        <v>515</v>
      </c>
      <c r="Q706" s="97" t="str">
        <f t="shared" si="124"/>
        <v/>
      </c>
      <c r="R706" t="str">
        <f t="shared" si="125"/>
        <v/>
      </c>
      <c r="CB706" s="10"/>
      <c r="CI706" s="69"/>
    </row>
    <row r="707" spans="3:87">
      <c r="C707" t="str">
        <f t="shared" si="119"/>
        <v/>
      </c>
      <c r="D707">
        <v>698</v>
      </c>
      <c r="E707" s="97">
        <v>260</v>
      </c>
      <c r="F707" s="366">
        <f t="shared" si="120"/>
        <v>5642</v>
      </c>
      <c r="G707" s="97">
        <v>8074</v>
      </c>
      <c r="H707" s="367">
        <f t="shared" si="121"/>
        <v>13716</v>
      </c>
      <c r="I707" s="368">
        <f t="shared" si="122"/>
        <v>0</v>
      </c>
      <c r="J707" s="97">
        <v>30459</v>
      </c>
      <c r="K707" s="367">
        <f t="shared" si="123"/>
        <v>21756.428571428572</v>
      </c>
      <c r="L707" s="10">
        <v>0.46</v>
      </c>
      <c r="M707" s="97">
        <v>7.1999999999999993</v>
      </c>
      <c r="N707" s="605">
        <v>34</v>
      </c>
      <c r="O707" s="97">
        <v>10</v>
      </c>
      <c r="P707" s="97" t="s">
        <v>515</v>
      </c>
      <c r="Q707" s="97" t="str">
        <f t="shared" si="124"/>
        <v/>
      </c>
      <c r="R707" t="str">
        <f t="shared" si="125"/>
        <v/>
      </c>
      <c r="CB707" s="10"/>
      <c r="CI707" s="69"/>
    </row>
    <row r="708" spans="3:87">
      <c r="C708" t="str">
        <f t="shared" si="119"/>
        <v/>
      </c>
      <c r="D708">
        <v>699</v>
      </c>
      <c r="E708" s="97">
        <v>260</v>
      </c>
      <c r="F708" s="366">
        <f t="shared" si="120"/>
        <v>5642</v>
      </c>
      <c r="G708" s="97">
        <v>9126</v>
      </c>
      <c r="H708" s="367">
        <f t="shared" si="121"/>
        <v>14768</v>
      </c>
      <c r="I708" s="368">
        <f t="shared" si="122"/>
        <v>0</v>
      </c>
      <c r="J708" s="97">
        <v>34428</v>
      </c>
      <c r="K708" s="367">
        <f t="shared" si="123"/>
        <v>24591.428571428572</v>
      </c>
      <c r="L708" s="10">
        <v>0.75</v>
      </c>
      <c r="M708" s="97">
        <v>7.1999999999999993</v>
      </c>
      <c r="N708" s="605">
        <v>34</v>
      </c>
      <c r="O708" s="97">
        <v>10</v>
      </c>
      <c r="P708" s="97" t="s">
        <v>556</v>
      </c>
      <c r="Q708" s="97" t="str">
        <f t="shared" si="124"/>
        <v/>
      </c>
      <c r="R708" t="str">
        <f t="shared" si="125"/>
        <v/>
      </c>
      <c r="CB708" s="10"/>
      <c r="CI708" s="69"/>
    </row>
    <row r="709" spans="3:87">
      <c r="C709" t="str">
        <f t="shared" si="119"/>
        <v>NL</v>
      </c>
      <c r="D709">
        <v>700</v>
      </c>
      <c r="E709" s="97">
        <v>265</v>
      </c>
      <c r="F709" s="366">
        <f t="shared" si="120"/>
        <v>5750.5</v>
      </c>
      <c r="G709" s="97">
        <v>7699</v>
      </c>
      <c r="H709" s="367">
        <f t="shared" si="121"/>
        <v>13449.5</v>
      </c>
      <c r="I709" s="368">
        <f t="shared" si="122"/>
        <v>0</v>
      </c>
      <c r="J709" s="97">
        <v>29045</v>
      </c>
      <c r="K709" s="367">
        <f t="shared" si="123"/>
        <v>20746.428571428572</v>
      </c>
      <c r="L709" s="10">
        <v>0.87</v>
      </c>
      <c r="M709" s="97">
        <v>5.0999999999999996</v>
      </c>
      <c r="N709" s="605">
        <v>35</v>
      </c>
      <c r="O709" s="97">
        <v>7</v>
      </c>
      <c r="P709" s="97" t="s">
        <v>515</v>
      </c>
      <c r="Q709" s="97" t="str">
        <f t="shared" si="124"/>
        <v/>
      </c>
      <c r="R709" t="str">
        <f t="shared" si="125"/>
        <v/>
      </c>
      <c r="CB709" s="10"/>
      <c r="CI709" s="69"/>
    </row>
    <row r="710" spans="3:87">
      <c r="C710" t="str">
        <f t="shared" si="119"/>
        <v/>
      </c>
      <c r="D710">
        <v>701</v>
      </c>
      <c r="E710" s="97">
        <v>265</v>
      </c>
      <c r="F710" s="366">
        <f t="shared" si="120"/>
        <v>5750.5</v>
      </c>
      <c r="G710" s="97">
        <v>7973</v>
      </c>
      <c r="H710" s="367">
        <f t="shared" si="121"/>
        <v>13723.5</v>
      </c>
      <c r="I710" s="368">
        <f t="shared" si="122"/>
        <v>0</v>
      </c>
      <c r="J710" s="97">
        <v>30078</v>
      </c>
      <c r="K710" s="367">
        <f t="shared" si="123"/>
        <v>21484.285714285714</v>
      </c>
      <c r="L710" s="10">
        <v>0.69000000000000006</v>
      </c>
      <c r="M710" s="97">
        <v>5.8</v>
      </c>
      <c r="N710" s="605">
        <v>35</v>
      </c>
      <c r="O710" s="97">
        <v>8</v>
      </c>
      <c r="P710" s="97" t="s">
        <v>515</v>
      </c>
      <c r="Q710" s="97">
        <f t="shared" si="124"/>
        <v>701</v>
      </c>
      <c r="R710" t="str">
        <f t="shared" si="125"/>
        <v/>
      </c>
      <c r="CB710" s="10"/>
      <c r="CI710" s="69"/>
    </row>
    <row r="711" spans="3:87">
      <c r="C711" t="str">
        <f t="shared" si="119"/>
        <v>NL</v>
      </c>
      <c r="D711">
        <v>702</v>
      </c>
      <c r="E711" s="97">
        <v>265</v>
      </c>
      <c r="F711" s="366">
        <f t="shared" si="120"/>
        <v>5750.5</v>
      </c>
      <c r="G711" s="97">
        <v>8090</v>
      </c>
      <c r="H711" s="367">
        <f t="shared" si="121"/>
        <v>13840.5</v>
      </c>
      <c r="I711" s="368">
        <f t="shared" si="122"/>
        <v>0</v>
      </c>
      <c r="J711" s="97">
        <v>30520</v>
      </c>
      <c r="K711" s="367">
        <f t="shared" si="123"/>
        <v>21800</v>
      </c>
      <c r="L711" s="10">
        <v>0.57999999999999996</v>
      </c>
      <c r="M711" s="97">
        <v>6.5</v>
      </c>
      <c r="N711" s="605">
        <v>35</v>
      </c>
      <c r="O711" s="97">
        <v>9</v>
      </c>
      <c r="P711" s="97" t="s">
        <v>515</v>
      </c>
      <c r="Q711" s="97" t="str">
        <f t="shared" si="124"/>
        <v/>
      </c>
      <c r="R711" t="str">
        <f t="shared" si="125"/>
        <v/>
      </c>
      <c r="CB711" s="10"/>
      <c r="CI711" s="69"/>
    </row>
    <row r="712" spans="3:87">
      <c r="C712" t="str">
        <f t="shared" si="119"/>
        <v/>
      </c>
      <c r="D712">
        <v>703</v>
      </c>
      <c r="E712" s="97">
        <v>265</v>
      </c>
      <c r="F712" s="366">
        <f t="shared" si="120"/>
        <v>5750.5</v>
      </c>
      <c r="G712" s="97">
        <v>8182</v>
      </c>
      <c r="H712" s="367">
        <f t="shared" si="121"/>
        <v>13932.5</v>
      </c>
      <c r="I712" s="368">
        <f t="shared" si="122"/>
        <v>0</v>
      </c>
      <c r="J712" s="97">
        <v>30866</v>
      </c>
      <c r="K712" s="367">
        <f t="shared" si="123"/>
        <v>22047.142857142859</v>
      </c>
      <c r="L712" s="10">
        <v>0.48</v>
      </c>
      <c r="M712" s="97">
        <v>7.1999999999999993</v>
      </c>
      <c r="N712" s="605">
        <v>35</v>
      </c>
      <c r="O712" s="97">
        <v>10</v>
      </c>
      <c r="P712" s="97" t="s">
        <v>515</v>
      </c>
      <c r="Q712" s="97" t="str">
        <f t="shared" si="124"/>
        <v/>
      </c>
      <c r="R712" t="str">
        <f t="shared" si="125"/>
        <v/>
      </c>
      <c r="CB712" s="10"/>
      <c r="CI712" s="69"/>
    </row>
    <row r="713" spans="3:87">
      <c r="C713" t="str">
        <f t="shared" si="119"/>
        <v/>
      </c>
      <c r="D713">
        <v>704</v>
      </c>
      <c r="E713" s="97">
        <v>265</v>
      </c>
      <c r="F713" s="366">
        <f t="shared" si="120"/>
        <v>5750.5</v>
      </c>
      <c r="G713" s="97">
        <v>9235</v>
      </c>
      <c r="H713" s="367">
        <f t="shared" si="121"/>
        <v>14985.5</v>
      </c>
      <c r="I713" s="368">
        <f t="shared" si="122"/>
        <v>0</v>
      </c>
      <c r="J713" s="97">
        <v>34839</v>
      </c>
      <c r="K713" s="367">
        <f t="shared" si="123"/>
        <v>24885</v>
      </c>
      <c r="L713" s="10">
        <v>0.78</v>
      </c>
      <c r="M713" s="97">
        <v>7.1999999999999993</v>
      </c>
      <c r="N713" s="605">
        <v>34</v>
      </c>
      <c r="O713" s="97">
        <v>10</v>
      </c>
      <c r="P713" s="97" t="s">
        <v>556</v>
      </c>
      <c r="Q713" s="97" t="str">
        <f t="shared" si="124"/>
        <v/>
      </c>
      <c r="R713" t="str">
        <f t="shared" si="125"/>
        <v/>
      </c>
      <c r="CB713" s="10"/>
      <c r="CI713" s="69"/>
    </row>
    <row r="714" spans="3:87">
      <c r="C714" t="str">
        <f t="shared" si="119"/>
        <v>NL</v>
      </c>
      <c r="D714">
        <v>705</v>
      </c>
      <c r="E714" s="97">
        <v>270</v>
      </c>
      <c r="F714" s="366">
        <f t="shared" si="120"/>
        <v>5859</v>
      </c>
      <c r="G714" s="97">
        <v>7793</v>
      </c>
      <c r="H714" s="367">
        <f t="shared" si="121"/>
        <v>13652</v>
      </c>
      <c r="I714" s="368">
        <f t="shared" si="122"/>
        <v>0</v>
      </c>
      <c r="J714" s="97">
        <v>29398</v>
      </c>
      <c r="K714" s="367">
        <f t="shared" si="123"/>
        <v>20998.571428571428</v>
      </c>
      <c r="L714" s="10">
        <v>0.91</v>
      </c>
      <c r="M714" s="97">
        <v>5.0999999999999996</v>
      </c>
      <c r="N714" s="605">
        <v>36</v>
      </c>
      <c r="O714" s="97">
        <v>7</v>
      </c>
      <c r="P714" s="97" t="s">
        <v>515</v>
      </c>
      <c r="Q714" s="97" t="str">
        <f t="shared" si="124"/>
        <v/>
      </c>
      <c r="R714" t="str">
        <f t="shared" si="125"/>
        <v/>
      </c>
      <c r="CB714" s="10"/>
      <c r="CI714" s="69"/>
    </row>
    <row r="715" spans="3:87">
      <c r="C715" t="str">
        <f t="shared" ref="C715:C778" si="126">IF(OR($O$4=0,O715-$O$4=0),IF(AND(ISEVEN(O715)=FALSE,$N$4="Even"),"NL",""),"NL")</f>
        <v/>
      </c>
      <c r="D715">
        <v>706</v>
      </c>
      <c r="E715" s="97">
        <v>270</v>
      </c>
      <c r="F715" s="366">
        <f t="shared" si="120"/>
        <v>5859</v>
      </c>
      <c r="G715" s="97">
        <v>8073</v>
      </c>
      <c r="H715" s="367">
        <f t="shared" si="121"/>
        <v>13932</v>
      </c>
      <c r="I715" s="368">
        <f t="shared" si="122"/>
        <v>0</v>
      </c>
      <c r="J715" s="97">
        <v>30456</v>
      </c>
      <c r="K715" s="367">
        <f t="shared" si="123"/>
        <v>21754.285714285714</v>
      </c>
      <c r="L715" s="10">
        <v>0.71</v>
      </c>
      <c r="M715" s="97">
        <v>5.8</v>
      </c>
      <c r="N715" s="605">
        <v>35</v>
      </c>
      <c r="O715" s="97">
        <v>8</v>
      </c>
      <c r="P715" s="97" t="s">
        <v>515</v>
      </c>
      <c r="Q715" s="97">
        <f t="shared" si="124"/>
        <v>706</v>
      </c>
      <c r="R715" t="str">
        <f t="shared" si="125"/>
        <v/>
      </c>
      <c r="CB715" s="10"/>
      <c r="CI715" s="69"/>
    </row>
    <row r="716" spans="3:87">
      <c r="C716" t="str">
        <f t="shared" si="126"/>
        <v>NL</v>
      </c>
      <c r="D716">
        <v>707</v>
      </c>
      <c r="E716" s="97">
        <v>270</v>
      </c>
      <c r="F716" s="366">
        <f t="shared" ref="F716:F778" si="127">1.085*($A$2-$B$2)*E716*$T$7</f>
        <v>5859</v>
      </c>
      <c r="G716" s="97">
        <v>8195</v>
      </c>
      <c r="H716" s="367">
        <f t="shared" ref="H716:H778" si="128">(G716*$U$7)+F716</f>
        <v>14054</v>
      </c>
      <c r="I716" s="368">
        <f t="shared" ref="I716:I778" si="129">1.085*($C$2-$D$2)*E716*$T$7</f>
        <v>0</v>
      </c>
      <c r="J716" s="97">
        <v>30917</v>
      </c>
      <c r="K716" s="367">
        <f t="shared" ref="K716:K778" si="130">(J716*$V$7)-I716</f>
        <v>22083.571428571428</v>
      </c>
      <c r="L716" s="10">
        <v>0.6</v>
      </c>
      <c r="M716" s="97">
        <v>6.5</v>
      </c>
      <c r="N716" s="605">
        <v>36</v>
      </c>
      <c r="O716" s="97">
        <v>9</v>
      </c>
      <c r="P716" s="97" t="s">
        <v>515</v>
      </c>
      <c r="Q716" s="97" t="str">
        <f t="shared" ref="Q716:Q778" si="131">IF(AND(H716+1&gt;$E$4,L716&lt;$L$4+0.01,M716&lt;$M$4+0.01,K716+1&gt;$F$4,E716+1&gt;$J$4,N716&lt;$K$4+1,O716&lt;$P$4+1,C716=""),D716,"")</f>
        <v/>
      </c>
      <c r="R716" t="str">
        <f t="shared" ref="R716:R778" si="132">IF(Q716="","",IF(AND(O716&lt;$X$14,E716&gt;$U$14,E716&lt;$Q$4+$U$14+1),D716,""))</f>
        <v/>
      </c>
      <c r="CB716" s="10"/>
      <c r="CI716" s="69"/>
    </row>
    <row r="717" spans="3:87">
      <c r="C717" t="str">
        <f t="shared" si="126"/>
        <v/>
      </c>
      <c r="D717">
        <v>708</v>
      </c>
      <c r="E717" s="97">
        <v>270</v>
      </c>
      <c r="F717" s="366">
        <f t="shared" si="127"/>
        <v>5859</v>
      </c>
      <c r="G717" s="97">
        <v>8289</v>
      </c>
      <c r="H717" s="367">
        <f t="shared" si="128"/>
        <v>14148</v>
      </c>
      <c r="I717" s="368">
        <f t="shared" si="129"/>
        <v>0</v>
      </c>
      <c r="J717" s="97">
        <v>31270</v>
      </c>
      <c r="K717" s="367">
        <f t="shared" si="130"/>
        <v>22335.714285714286</v>
      </c>
      <c r="L717" s="10">
        <v>0.5</v>
      </c>
      <c r="M717" s="97">
        <v>7.1999999999999993</v>
      </c>
      <c r="N717" s="605">
        <v>35</v>
      </c>
      <c r="O717" s="97">
        <v>10</v>
      </c>
      <c r="P717" s="97" t="s">
        <v>515</v>
      </c>
      <c r="Q717" s="97" t="str">
        <f t="shared" si="131"/>
        <v/>
      </c>
      <c r="R717" t="str">
        <f t="shared" si="132"/>
        <v/>
      </c>
      <c r="CB717" s="10"/>
      <c r="CI717" s="69"/>
    </row>
    <row r="718" spans="3:87">
      <c r="C718" t="str">
        <f t="shared" si="126"/>
        <v/>
      </c>
      <c r="D718">
        <v>709</v>
      </c>
      <c r="E718" s="97">
        <v>270</v>
      </c>
      <c r="F718" s="366">
        <f t="shared" si="127"/>
        <v>5859</v>
      </c>
      <c r="G718" s="97">
        <v>9344</v>
      </c>
      <c r="H718" s="367">
        <f t="shared" si="128"/>
        <v>15203</v>
      </c>
      <c r="I718" s="368">
        <f t="shared" si="129"/>
        <v>0</v>
      </c>
      <c r="J718" s="97">
        <v>35251</v>
      </c>
      <c r="K718" s="367">
        <f t="shared" si="130"/>
        <v>25179.285714285714</v>
      </c>
      <c r="L718" s="10">
        <v>0.81</v>
      </c>
      <c r="M718" s="97">
        <v>7.1999999999999993</v>
      </c>
      <c r="N718" s="605">
        <v>35</v>
      </c>
      <c r="O718" s="97">
        <v>10</v>
      </c>
      <c r="P718" s="97" t="s">
        <v>556</v>
      </c>
      <c r="Q718" s="97" t="str">
        <f t="shared" si="131"/>
        <v/>
      </c>
      <c r="R718" t="str">
        <f t="shared" si="132"/>
        <v/>
      </c>
      <c r="CB718" s="10"/>
      <c r="CI718" s="69"/>
    </row>
    <row r="719" spans="3:87">
      <c r="C719" t="str">
        <f t="shared" si="126"/>
        <v>NL</v>
      </c>
      <c r="D719">
        <v>710</v>
      </c>
      <c r="E719" s="97">
        <v>275</v>
      </c>
      <c r="F719" s="366">
        <f t="shared" si="127"/>
        <v>5967.5</v>
      </c>
      <c r="G719" s="97">
        <v>7880</v>
      </c>
      <c r="H719" s="367">
        <f t="shared" si="128"/>
        <v>13847.5</v>
      </c>
      <c r="I719" s="368">
        <f t="shared" si="129"/>
        <v>0</v>
      </c>
      <c r="J719" s="97">
        <v>29728</v>
      </c>
      <c r="K719" s="367">
        <f t="shared" si="130"/>
        <v>21234.285714285714</v>
      </c>
      <c r="L719" s="10">
        <v>0.94000000000000006</v>
      </c>
      <c r="M719" s="97">
        <v>5.0999999999999996</v>
      </c>
      <c r="N719" s="605">
        <v>37</v>
      </c>
      <c r="O719" s="97">
        <v>7</v>
      </c>
      <c r="P719" s="97" t="s">
        <v>515</v>
      </c>
      <c r="Q719" s="97" t="str">
        <f t="shared" si="131"/>
        <v/>
      </c>
      <c r="R719" t="str">
        <f t="shared" si="132"/>
        <v/>
      </c>
      <c r="CB719" s="10"/>
      <c r="CI719" s="69"/>
    </row>
    <row r="720" spans="3:87">
      <c r="C720" t="str">
        <f t="shared" si="126"/>
        <v/>
      </c>
      <c r="D720">
        <v>711</v>
      </c>
      <c r="E720" s="97">
        <v>275</v>
      </c>
      <c r="F720" s="366">
        <f t="shared" si="127"/>
        <v>5967.5</v>
      </c>
      <c r="G720" s="97">
        <v>8174</v>
      </c>
      <c r="H720" s="367">
        <f t="shared" si="128"/>
        <v>14141.5</v>
      </c>
      <c r="I720" s="368">
        <f t="shared" si="129"/>
        <v>0</v>
      </c>
      <c r="J720" s="97">
        <v>30834</v>
      </c>
      <c r="K720" s="367">
        <f t="shared" si="130"/>
        <v>22024.285714285714</v>
      </c>
      <c r="L720" s="10">
        <v>0.74</v>
      </c>
      <c r="M720" s="97">
        <v>5.8</v>
      </c>
      <c r="N720" s="605">
        <v>36</v>
      </c>
      <c r="O720" s="97">
        <v>8</v>
      </c>
      <c r="P720" s="97" t="s">
        <v>515</v>
      </c>
      <c r="Q720" s="97" t="str">
        <f t="shared" si="131"/>
        <v/>
      </c>
      <c r="R720" t="str">
        <f t="shared" si="132"/>
        <v/>
      </c>
      <c r="CB720" s="10"/>
      <c r="CI720" s="69"/>
    </row>
    <row r="721" spans="3:87">
      <c r="C721" t="str">
        <f t="shared" si="126"/>
        <v>NL</v>
      </c>
      <c r="D721">
        <v>712</v>
      </c>
      <c r="E721" s="97">
        <v>275</v>
      </c>
      <c r="F721" s="366">
        <f t="shared" si="127"/>
        <v>5967.5</v>
      </c>
      <c r="G721" s="97">
        <v>8296</v>
      </c>
      <c r="H721" s="367">
        <f t="shared" si="128"/>
        <v>14263.5</v>
      </c>
      <c r="I721" s="368">
        <f t="shared" si="129"/>
        <v>0</v>
      </c>
      <c r="J721" s="97">
        <v>31295</v>
      </c>
      <c r="K721" s="367">
        <f t="shared" si="130"/>
        <v>22353.571428571428</v>
      </c>
      <c r="L721" s="10">
        <v>0.62</v>
      </c>
      <c r="M721" s="97">
        <v>6.5</v>
      </c>
      <c r="N721" s="605">
        <v>37</v>
      </c>
      <c r="O721" s="97">
        <v>9</v>
      </c>
      <c r="P721" s="97" t="s">
        <v>515</v>
      </c>
      <c r="Q721" s="97" t="str">
        <f t="shared" si="131"/>
        <v/>
      </c>
      <c r="R721" t="str">
        <f t="shared" si="132"/>
        <v/>
      </c>
      <c r="CB721" s="10"/>
      <c r="CI721" s="69"/>
    </row>
    <row r="722" spans="3:87">
      <c r="C722" t="str">
        <f t="shared" si="126"/>
        <v/>
      </c>
      <c r="D722">
        <v>713</v>
      </c>
      <c r="E722" s="97">
        <v>275</v>
      </c>
      <c r="F722" s="366">
        <f t="shared" si="127"/>
        <v>5967.5</v>
      </c>
      <c r="G722" s="97">
        <v>8390</v>
      </c>
      <c r="H722" s="367">
        <f t="shared" si="128"/>
        <v>14357.5</v>
      </c>
      <c r="I722" s="368">
        <f t="shared" si="129"/>
        <v>0</v>
      </c>
      <c r="J722" s="97">
        <v>31650</v>
      </c>
      <c r="K722" s="367">
        <f t="shared" si="130"/>
        <v>22607.142857142859</v>
      </c>
      <c r="L722" s="10">
        <v>0.52</v>
      </c>
      <c r="M722" s="97">
        <v>7.1999999999999993</v>
      </c>
      <c r="N722" s="605">
        <v>36</v>
      </c>
      <c r="O722" s="97">
        <v>10</v>
      </c>
      <c r="P722" s="97" t="s">
        <v>515</v>
      </c>
      <c r="Q722" s="97" t="str">
        <f t="shared" si="131"/>
        <v/>
      </c>
      <c r="R722" t="str">
        <f t="shared" si="132"/>
        <v/>
      </c>
      <c r="CB722" s="10"/>
      <c r="CI722" s="69"/>
    </row>
    <row r="723" spans="3:87">
      <c r="C723" t="str">
        <f t="shared" si="126"/>
        <v/>
      </c>
      <c r="D723">
        <v>714</v>
      </c>
      <c r="E723" s="97">
        <v>275</v>
      </c>
      <c r="F723" s="366">
        <f t="shared" si="127"/>
        <v>5967.5</v>
      </c>
      <c r="G723" s="97">
        <v>9454</v>
      </c>
      <c r="H723" s="367">
        <f t="shared" si="128"/>
        <v>15421.5</v>
      </c>
      <c r="I723" s="368">
        <f t="shared" si="129"/>
        <v>0</v>
      </c>
      <c r="J723" s="97">
        <v>35663</v>
      </c>
      <c r="K723" s="367">
        <f t="shared" si="130"/>
        <v>25473.571428571428</v>
      </c>
      <c r="L723" s="10">
        <v>0.84</v>
      </c>
      <c r="M723" s="97">
        <v>7.1999999999999993</v>
      </c>
      <c r="N723" s="605">
        <v>35</v>
      </c>
      <c r="O723" s="97">
        <v>10</v>
      </c>
      <c r="P723" s="97" t="s">
        <v>556</v>
      </c>
      <c r="Q723" s="97" t="str">
        <f t="shared" si="131"/>
        <v/>
      </c>
      <c r="R723" t="str">
        <f t="shared" si="132"/>
        <v/>
      </c>
      <c r="CB723" s="10"/>
      <c r="CI723" s="69"/>
    </row>
    <row r="724" spans="3:87">
      <c r="C724" t="str">
        <f t="shared" si="126"/>
        <v>NL</v>
      </c>
      <c r="D724">
        <v>715</v>
      </c>
      <c r="E724" s="97">
        <v>280</v>
      </c>
      <c r="F724" s="366">
        <f t="shared" si="127"/>
        <v>6076</v>
      </c>
      <c r="G724" s="97">
        <v>7966</v>
      </c>
      <c r="H724" s="367">
        <f t="shared" si="128"/>
        <v>14042</v>
      </c>
      <c r="I724" s="368">
        <f t="shared" si="129"/>
        <v>0</v>
      </c>
      <c r="J724" s="97">
        <v>30052</v>
      </c>
      <c r="K724" s="367">
        <f t="shared" si="130"/>
        <v>21465.714285714286</v>
      </c>
      <c r="L724" s="10">
        <v>0.97</v>
      </c>
      <c r="M724" s="97">
        <v>5.0999999999999996</v>
      </c>
      <c r="N724" s="605">
        <v>38</v>
      </c>
      <c r="O724" s="97">
        <v>7</v>
      </c>
      <c r="P724" s="97" t="s">
        <v>515</v>
      </c>
      <c r="Q724" s="97" t="str">
        <f t="shared" si="131"/>
        <v/>
      </c>
      <c r="R724" t="str">
        <f t="shared" si="132"/>
        <v/>
      </c>
      <c r="CB724" s="10"/>
      <c r="CI724" s="69"/>
    </row>
    <row r="725" spans="3:87">
      <c r="C725" t="str">
        <f t="shared" si="126"/>
        <v/>
      </c>
      <c r="D725">
        <v>716</v>
      </c>
      <c r="E725" s="97">
        <v>280</v>
      </c>
      <c r="F725" s="366">
        <f t="shared" si="127"/>
        <v>6076</v>
      </c>
      <c r="G725" s="97">
        <v>8274</v>
      </c>
      <c r="H725" s="367">
        <f t="shared" si="128"/>
        <v>14350</v>
      </c>
      <c r="I725" s="368">
        <f t="shared" si="129"/>
        <v>0</v>
      </c>
      <c r="J725" s="97">
        <v>31213</v>
      </c>
      <c r="K725" s="367">
        <f t="shared" si="130"/>
        <v>22295</v>
      </c>
      <c r="L725" s="10">
        <v>0.77</v>
      </c>
      <c r="M725" s="97">
        <v>5.8</v>
      </c>
      <c r="N725" s="605">
        <v>37</v>
      </c>
      <c r="O725" s="97">
        <v>8</v>
      </c>
      <c r="P725" s="97" t="s">
        <v>515</v>
      </c>
      <c r="Q725" s="97" t="str">
        <f t="shared" si="131"/>
        <v/>
      </c>
      <c r="R725" t="str">
        <f t="shared" si="132"/>
        <v/>
      </c>
      <c r="CB725" s="10"/>
      <c r="CI725" s="69"/>
    </row>
    <row r="726" spans="3:87">
      <c r="C726" t="str">
        <f t="shared" si="126"/>
        <v>NL</v>
      </c>
      <c r="D726">
        <v>717</v>
      </c>
      <c r="E726" s="97">
        <v>280</v>
      </c>
      <c r="F726" s="366">
        <f t="shared" si="127"/>
        <v>6076</v>
      </c>
      <c r="G726" s="97">
        <v>8396</v>
      </c>
      <c r="H726" s="367">
        <f t="shared" si="128"/>
        <v>14472</v>
      </c>
      <c r="I726" s="368">
        <f t="shared" si="129"/>
        <v>0</v>
      </c>
      <c r="J726" s="97">
        <v>31673</v>
      </c>
      <c r="K726" s="367">
        <f t="shared" si="130"/>
        <v>22623.571428571428</v>
      </c>
      <c r="L726" s="10">
        <v>0.65</v>
      </c>
      <c r="M726" s="97">
        <v>6.5</v>
      </c>
      <c r="N726" s="605">
        <v>37</v>
      </c>
      <c r="O726" s="97">
        <v>9</v>
      </c>
      <c r="P726" s="97" t="s">
        <v>515</v>
      </c>
      <c r="Q726" s="97" t="str">
        <f t="shared" si="131"/>
        <v/>
      </c>
      <c r="R726" t="str">
        <f t="shared" si="132"/>
        <v/>
      </c>
      <c r="CB726" s="10"/>
      <c r="CI726" s="69"/>
    </row>
    <row r="727" spans="3:87">
      <c r="C727" t="str">
        <f t="shared" si="126"/>
        <v/>
      </c>
      <c r="D727">
        <v>718</v>
      </c>
      <c r="E727" s="97">
        <v>280</v>
      </c>
      <c r="F727" s="366">
        <f t="shared" si="127"/>
        <v>6076</v>
      </c>
      <c r="G727" s="97">
        <v>8491</v>
      </c>
      <c r="H727" s="367">
        <f t="shared" si="128"/>
        <v>14567</v>
      </c>
      <c r="I727" s="368">
        <f t="shared" si="129"/>
        <v>0</v>
      </c>
      <c r="J727" s="97">
        <v>32030</v>
      </c>
      <c r="K727" s="367">
        <f t="shared" si="130"/>
        <v>22878.571428571428</v>
      </c>
      <c r="L727" s="10">
        <v>0.54</v>
      </c>
      <c r="M727" s="97">
        <v>7.1999999999999993</v>
      </c>
      <c r="N727" s="605">
        <v>37</v>
      </c>
      <c r="O727" s="97">
        <v>10</v>
      </c>
      <c r="P727" s="97" t="s">
        <v>515</v>
      </c>
      <c r="Q727" s="97" t="str">
        <f t="shared" si="131"/>
        <v/>
      </c>
      <c r="R727" t="str">
        <f t="shared" si="132"/>
        <v/>
      </c>
      <c r="CB727" s="10"/>
      <c r="CI727" s="69"/>
    </row>
    <row r="728" spans="3:87">
      <c r="C728" t="str">
        <f t="shared" si="126"/>
        <v/>
      </c>
      <c r="D728">
        <v>719</v>
      </c>
      <c r="E728" s="97">
        <v>280</v>
      </c>
      <c r="F728" s="366">
        <f t="shared" si="127"/>
        <v>6076</v>
      </c>
      <c r="G728" s="97">
        <v>9563</v>
      </c>
      <c r="H728" s="367">
        <f t="shared" si="128"/>
        <v>15639</v>
      </c>
      <c r="I728" s="368">
        <f t="shared" si="129"/>
        <v>0</v>
      </c>
      <c r="J728" s="97">
        <v>36075</v>
      </c>
      <c r="K728" s="367">
        <f t="shared" si="130"/>
        <v>25767.857142857145</v>
      </c>
      <c r="L728" s="10">
        <v>0.87</v>
      </c>
      <c r="M728" s="97">
        <v>7.1999999999999993</v>
      </c>
      <c r="N728" s="605">
        <v>36</v>
      </c>
      <c r="O728" s="97">
        <v>10</v>
      </c>
      <c r="P728" s="97" t="s">
        <v>556</v>
      </c>
      <c r="Q728" s="97" t="str">
        <f t="shared" si="131"/>
        <v/>
      </c>
      <c r="R728" t="str">
        <f t="shared" si="132"/>
        <v/>
      </c>
      <c r="CB728" s="10"/>
      <c r="CI728" s="69"/>
    </row>
    <row r="729" spans="3:87">
      <c r="C729" t="str">
        <f t="shared" si="126"/>
        <v>NL</v>
      </c>
      <c r="D729">
        <v>720</v>
      </c>
      <c r="E729" s="97">
        <v>285</v>
      </c>
      <c r="F729" s="366">
        <f t="shared" si="127"/>
        <v>6184.5</v>
      </c>
      <c r="G729" s="97">
        <v>8052</v>
      </c>
      <c r="H729" s="367">
        <f t="shared" si="128"/>
        <v>14236.5</v>
      </c>
      <c r="I729" s="368">
        <f t="shared" si="129"/>
        <v>0</v>
      </c>
      <c r="J729" s="97">
        <v>30376</v>
      </c>
      <c r="K729" s="367">
        <f t="shared" si="130"/>
        <v>21697.142857142859</v>
      </c>
      <c r="L729" s="10">
        <v>1.01</v>
      </c>
      <c r="M729" s="97">
        <v>5.0999999999999996</v>
      </c>
      <c r="N729" s="605">
        <v>38</v>
      </c>
      <c r="O729" s="97">
        <v>7</v>
      </c>
      <c r="P729" s="97" t="s">
        <v>515</v>
      </c>
      <c r="Q729" s="97" t="str">
        <f t="shared" si="131"/>
        <v/>
      </c>
      <c r="R729" t="str">
        <f t="shared" si="132"/>
        <v/>
      </c>
      <c r="CB729" s="10"/>
      <c r="CI729" s="69"/>
    </row>
    <row r="730" spans="3:87">
      <c r="C730" t="str">
        <f t="shared" si="126"/>
        <v/>
      </c>
      <c r="D730">
        <v>721</v>
      </c>
      <c r="E730" s="97">
        <v>285</v>
      </c>
      <c r="F730" s="366">
        <f t="shared" si="127"/>
        <v>6184.5</v>
      </c>
      <c r="G730" s="97">
        <v>8374</v>
      </c>
      <c r="H730" s="367">
        <f t="shared" si="128"/>
        <v>14558.5</v>
      </c>
      <c r="I730" s="368">
        <f t="shared" si="129"/>
        <v>0</v>
      </c>
      <c r="J730" s="97">
        <v>31591</v>
      </c>
      <c r="K730" s="367">
        <f t="shared" si="130"/>
        <v>22565</v>
      </c>
      <c r="L730" s="10">
        <v>0.79</v>
      </c>
      <c r="M730" s="97">
        <v>5.8</v>
      </c>
      <c r="N730" s="605">
        <v>38</v>
      </c>
      <c r="O730" s="97">
        <v>8</v>
      </c>
      <c r="P730" s="97" t="s">
        <v>515</v>
      </c>
      <c r="Q730" s="97" t="str">
        <f t="shared" si="131"/>
        <v/>
      </c>
      <c r="R730" t="str">
        <f t="shared" si="132"/>
        <v/>
      </c>
      <c r="CB730" s="10"/>
      <c r="CI730" s="69"/>
    </row>
    <row r="731" spans="3:87">
      <c r="C731" t="str">
        <f t="shared" si="126"/>
        <v>NL</v>
      </c>
      <c r="D731">
        <v>722</v>
      </c>
      <c r="E731" s="97">
        <v>285</v>
      </c>
      <c r="F731" s="366">
        <f t="shared" si="127"/>
        <v>6184.5</v>
      </c>
      <c r="G731" s="97">
        <v>8496</v>
      </c>
      <c r="H731" s="367">
        <f t="shared" si="128"/>
        <v>14680.5</v>
      </c>
      <c r="I731" s="368">
        <f t="shared" si="129"/>
        <v>0</v>
      </c>
      <c r="J731" s="97">
        <v>32051</v>
      </c>
      <c r="K731" s="367">
        <f t="shared" si="130"/>
        <v>22893.571428571428</v>
      </c>
      <c r="L731" s="10">
        <v>0.67</v>
      </c>
      <c r="M731" s="97">
        <v>6.5</v>
      </c>
      <c r="N731" s="605">
        <v>38</v>
      </c>
      <c r="O731" s="97">
        <v>9</v>
      </c>
      <c r="P731" s="97" t="s">
        <v>515</v>
      </c>
      <c r="Q731" s="97" t="str">
        <f t="shared" si="131"/>
        <v/>
      </c>
      <c r="R731" t="str">
        <f t="shared" si="132"/>
        <v/>
      </c>
      <c r="CB731" s="10"/>
      <c r="CI731" s="69"/>
    </row>
    <row r="732" spans="3:87">
      <c r="C732" t="str">
        <f t="shared" si="126"/>
        <v/>
      </c>
      <c r="D732">
        <v>723</v>
      </c>
      <c r="E732" s="97">
        <v>285</v>
      </c>
      <c r="F732" s="366">
        <f t="shared" si="127"/>
        <v>6184.5</v>
      </c>
      <c r="G732" s="97">
        <v>8591</v>
      </c>
      <c r="H732" s="367">
        <f t="shared" si="128"/>
        <v>14775.5</v>
      </c>
      <c r="I732" s="368">
        <f t="shared" si="129"/>
        <v>0</v>
      </c>
      <c r="J732" s="97">
        <v>32411</v>
      </c>
      <c r="K732" s="367">
        <f t="shared" si="130"/>
        <v>23150.714285714286</v>
      </c>
      <c r="L732" s="10">
        <v>0.56000000000000005</v>
      </c>
      <c r="M732" s="97">
        <v>7.1999999999999993</v>
      </c>
      <c r="N732" s="605">
        <v>38</v>
      </c>
      <c r="O732" s="97">
        <v>10</v>
      </c>
      <c r="P732" s="97" t="s">
        <v>515</v>
      </c>
      <c r="Q732" s="97" t="str">
        <f t="shared" si="131"/>
        <v/>
      </c>
      <c r="R732" t="str">
        <f t="shared" si="132"/>
        <v/>
      </c>
      <c r="CB732" s="10"/>
      <c r="CI732" s="69"/>
    </row>
    <row r="733" spans="3:87">
      <c r="C733" t="str">
        <f t="shared" si="126"/>
        <v/>
      </c>
      <c r="D733">
        <v>724</v>
      </c>
      <c r="E733" s="97">
        <v>285</v>
      </c>
      <c r="F733" s="366">
        <f t="shared" si="127"/>
        <v>6184.5</v>
      </c>
      <c r="G733" s="97">
        <v>9670</v>
      </c>
      <c r="H733" s="367">
        <f t="shared" si="128"/>
        <v>15854.5</v>
      </c>
      <c r="I733" s="368">
        <f t="shared" si="129"/>
        <v>0</v>
      </c>
      <c r="J733" s="97">
        <v>36480</v>
      </c>
      <c r="K733" s="367">
        <f t="shared" si="130"/>
        <v>26057.142857142859</v>
      </c>
      <c r="L733" s="10">
        <v>0.9</v>
      </c>
      <c r="M733" s="97">
        <v>7.1999999999999993</v>
      </c>
      <c r="N733" s="605">
        <v>36</v>
      </c>
      <c r="O733" s="97">
        <v>10</v>
      </c>
      <c r="P733" s="97" t="s">
        <v>556</v>
      </c>
      <c r="Q733" s="97" t="str">
        <f t="shared" si="131"/>
        <v/>
      </c>
      <c r="R733" t="str">
        <f t="shared" si="132"/>
        <v/>
      </c>
      <c r="CB733" s="10"/>
      <c r="CI733" s="69"/>
    </row>
    <row r="734" spans="3:87">
      <c r="C734" t="str">
        <f t="shared" si="126"/>
        <v/>
      </c>
      <c r="D734">
        <v>725</v>
      </c>
      <c r="E734" s="97">
        <v>290</v>
      </c>
      <c r="F734" s="366">
        <f t="shared" si="127"/>
        <v>6293</v>
      </c>
      <c r="G734" s="97">
        <v>8464</v>
      </c>
      <c r="H734" s="367">
        <f t="shared" si="128"/>
        <v>14757</v>
      </c>
      <c r="I734" s="368">
        <f t="shared" si="129"/>
        <v>0</v>
      </c>
      <c r="J734" s="97">
        <v>31929</v>
      </c>
      <c r="K734" s="367">
        <f t="shared" si="130"/>
        <v>22806.428571428572</v>
      </c>
      <c r="L734" s="10">
        <v>0.82000000000000006</v>
      </c>
      <c r="M734" s="97">
        <v>5.8</v>
      </c>
      <c r="N734" s="605">
        <v>38</v>
      </c>
      <c r="O734" s="97">
        <v>8</v>
      </c>
      <c r="P734" s="97" t="s">
        <v>515</v>
      </c>
      <c r="Q734" s="97" t="str">
        <f t="shared" si="131"/>
        <v/>
      </c>
      <c r="R734" t="str">
        <f t="shared" si="132"/>
        <v/>
      </c>
      <c r="CB734" s="10"/>
      <c r="CI734" s="69"/>
    </row>
    <row r="735" spans="3:87">
      <c r="C735" t="str">
        <f t="shared" si="126"/>
        <v>NL</v>
      </c>
      <c r="D735">
        <v>726</v>
      </c>
      <c r="E735" s="97">
        <v>290</v>
      </c>
      <c r="F735" s="366">
        <f t="shared" si="127"/>
        <v>6293</v>
      </c>
      <c r="G735" s="97">
        <v>8596</v>
      </c>
      <c r="H735" s="367">
        <f t="shared" si="128"/>
        <v>14889</v>
      </c>
      <c r="I735" s="368">
        <f t="shared" si="129"/>
        <v>0</v>
      </c>
      <c r="J735" s="97">
        <v>32429</v>
      </c>
      <c r="K735" s="367">
        <f t="shared" si="130"/>
        <v>23163.571428571428</v>
      </c>
      <c r="L735" s="10">
        <v>0.69000000000000006</v>
      </c>
      <c r="M735" s="97">
        <v>6.5</v>
      </c>
      <c r="N735" s="605">
        <v>39</v>
      </c>
      <c r="O735" s="97">
        <v>9</v>
      </c>
      <c r="P735" s="97" t="s">
        <v>515</v>
      </c>
      <c r="Q735" s="97" t="str">
        <f t="shared" si="131"/>
        <v/>
      </c>
      <c r="R735" t="str">
        <f t="shared" si="132"/>
        <v/>
      </c>
      <c r="CB735" s="10"/>
      <c r="CI735" s="69"/>
    </row>
    <row r="736" spans="3:87">
      <c r="C736" t="str">
        <f t="shared" si="126"/>
        <v/>
      </c>
      <c r="D736">
        <v>727</v>
      </c>
      <c r="E736" s="97">
        <v>290</v>
      </c>
      <c r="F736" s="366">
        <f t="shared" si="127"/>
        <v>6293</v>
      </c>
      <c r="G736" s="97">
        <v>8692</v>
      </c>
      <c r="H736" s="367">
        <f t="shared" si="128"/>
        <v>14985</v>
      </c>
      <c r="I736" s="368">
        <f t="shared" si="129"/>
        <v>0</v>
      </c>
      <c r="J736" s="97">
        <v>32791</v>
      </c>
      <c r="K736" s="367">
        <f t="shared" si="130"/>
        <v>23422.142857142859</v>
      </c>
      <c r="L736" s="10">
        <v>0.57999999999999996</v>
      </c>
      <c r="M736" s="97">
        <v>7.1999999999999993</v>
      </c>
      <c r="N736" s="605">
        <v>38</v>
      </c>
      <c r="O736" s="97">
        <v>10</v>
      </c>
      <c r="P736" s="97" t="s">
        <v>515</v>
      </c>
      <c r="Q736" s="97" t="str">
        <f t="shared" si="131"/>
        <v/>
      </c>
      <c r="R736" t="str">
        <f t="shared" si="132"/>
        <v/>
      </c>
      <c r="CB736" s="10"/>
      <c r="CI736" s="69"/>
    </row>
    <row r="737" spans="3:87">
      <c r="C737" t="str">
        <f t="shared" si="126"/>
        <v/>
      </c>
      <c r="D737">
        <v>728</v>
      </c>
      <c r="E737" s="97">
        <v>290</v>
      </c>
      <c r="F737" s="366">
        <f t="shared" si="127"/>
        <v>6293</v>
      </c>
      <c r="G737" s="97">
        <v>9756</v>
      </c>
      <c r="H737" s="367">
        <f t="shared" si="128"/>
        <v>16049</v>
      </c>
      <c r="I737" s="368">
        <f t="shared" si="129"/>
        <v>0</v>
      </c>
      <c r="J737" s="97">
        <v>36805</v>
      </c>
      <c r="K737" s="367">
        <f t="shared" si="130"/>
        <v>26289.285714285714</v>
      </c>
      <c r="L737" s="10">
        <v>0.93</v>
      </c>
      <c r="M737" s="97">
        <v>7.1999999999999993</v>
      </c>
      <c r="N737" s="605">
        <v>37</v>
      </c>
      <c r="O737" s="97">
        <v>10</v>
      </c>
      <c r="P737" s="97" t="s">
        <v>556</v>
      </c>
      <c r="Q737" s="97" t="str">
        <f t="shared" si="131"/>
        <v/>
      </c>
      <c r="R737" t="str">
        <f t="shared" si="132"/>
        <v/>
      </c>
      <c r="CB737" s="10"/>
      <c r="CI737" s="69"/>
    </row>
    <row r="738" spans="3:87">
      <c r="C738" t="str">
        <f t="shared" si="126"/>
        <v/>
      </c>
      <c r="D738">
        <v>729</v>
      </c>
      <c r="E738" s="97">
        <v>295</v>
      </c>
      <c r="F738" s="366">
        <f t="shared" si="127"/>
        <v>6401.5</v>
      </c>
      <c r="G738" s="97">
        <v>8542</v>
      </c>
      <c r="H738" s="367">
        <f t="shared" si="128"/>
        <v>14943.5</v>
      </c>
      <c r="I738" s="368">
        <f t="shared" si="129"/>
        <v>0</v>
      </c>
      <c r="J738" s="97">
        <v>32226</v>
      </c>
      <c r="K738" s="367">
        <f t="shared" si="130"/>
        <v>23018.571428571428</v>
      </c>
      <c r="L738" s="10">
        <v>0.85</v>
      </c>
      <c r="M738" s="97">
        <v>5.8</v>
      </c>
      <c r="N738" s="605">
        <v>39</v>
      </c>
      <c r="O738" s="97">
        <v>8</v>
      </c>
      <c r="P738" s="97" t="s">
        <v>515</v>
      </c>
      <c r="Q738" s="97" t="str">
        <f t="shared" si="131"/>
        <v/>
      </c>
      <c r="R738" t="str">
        <f t="shared" si="132"/>
        <v/>
      </c>
      <c r="CB738" s="10"/>
      <c r="CI738" s="69"/>
    </row>
    <row r="739" spans="3:87">
      <c r="C739" t="str">
        <f t="shared" si="126"/>
        <v>NL</v>
      </c>
      <c r="D739">
        <v>730</v>
      </c>
      <c r="E739" s="97">
        <v>295</v>
      </c>
      <c r="F739" s="366">
        <f t="shared" si="127"/>
        <v>6401.5</v>
      </c>
      <c r="G739" s="97">
        <v>8696</v>
      </c>
      <c r="H739" s="367">
        <f t="shared" si="128"/>
        <v>15097.5</v>
      </c>
      <c r="I739" s="368">
        <f t="shared" si="129"/>
        <v>0</v>
      </c>
      <c r="J739" s="97">
        <v>32807</v>
      </c>
      <c r="K739" s="367">
        <f t="shared" si="130"/>
        <v>23433.571428571428</v>
      </c>
      <c r="L739" s="10">
        <v>0.72</v>
      </c>
      <c r="M739" s="97">
        <v>6.5</v>
      </c>
      <c r="N739" s="605">
        <v>39</v>
      </c>
      <c r="O739" s="97">
        <v>9</v>
      </c>
      <c r="P739" s="97" t="s">
        <v>515</v>
      </c>
      <c r="Q739" s="97" t="str">
        <f t="shared" si="131"/>
        <v/>
      </c>
      <c r="R739" t="str">
        <f t="shared" si="132"/>
        <v/>
      </c>
      <c r="CB739" s="10"/>
      <c r="CI739" s="69"/>
    </row>
    <row r="740" spans="3:87">
      <c r="C740" t="str">
        <f t="shared" si="126"/>
        <v/>
      </c>
      <c r="D740">
        <v>731</v>
      </c>
      <c r="E740" s="97">
        <v>295</v>
      </c>
      <c r="F740" s="366">
        <f t="shared" si="127"/>
        <v>6401.5</v>
      </c>
      <c r="G740" s="97">
        <v>8793</v>
      </c>
      <c r="H740" s="367">
        <f t="shared" si="128"/>
        <v>15194.5</v>
      </c>
      <c r="I740" s="368">
        <f t="shared" si="129"/>
        <v>0</v>
      </c>
      <c r="J740" s="97">
        <v>33172</v>
      </c>
      <c r="K740" s="367">
        <f t="shared" si="130"/>
        <v>23694.285714285714</v>
      </c>
      <c r="L740" s="10">
        <v>0.6</v>
      </c>
      <c r="M740" s="97">
        <v>7.1999999999999993</v>
      </c>
      <c r="N740" s="605">
        <v>39</v>
      </c>
      <c r="O740" s="97">
        <v>10</v>
      </c>
      <c r="P740" s="97" t="s">
        <v>515</v>
      </c>
      <c r="Q740" s="97" t="str">
        <f t="shared" si="131"/>
        <v/>
      </c>
      <c r="R740" t="str">
        <f t="shared" si="132"/>
        <v/>
      </c>
      <c r="CB740" s="10"/>
      <c r="CI740" s="69"/>
    </row>
    <row r="741" spans="3:87">
      <c r="C741" t="str">
        <f t="shared" si="126"/>
        <v/>
      </c>
      <c r="D741">
        <v>732</v>
      </c>
      <c r="E741" s="97">
        <v>295</v>
      </c>
      <c r="F741" s="366">
        <f t="shared" si="127"/>
        <v>6401.5</v>
      </c>
      <c r="G741" s="97">
        <v>9842</v>
      </c>
      <c r="H741" s="367">
        <f t="shared" si="128"/>
        <v>16243.5</v>
      </c>
      <c r="I741" s="368">
        <f t="shared" si="129"/>
        <v>0</v>
      </c>
      <c r="J741" s="97">
        <v>37130</v>
      </c>
      <c r="K741" s="367">
        <f t="shared" si="130"/>
        <v>26521.428571428572</v>
      </c>
      <c r="L741" s="10">
        <v>0.96</v>
      </c>
      <c r="M741" s="97">
        <v>7.1999999999999993</v>
      </c>
      <c r="N741" s="605">
        <v>37</v>
      </c>
      <c r="O741" s="97">
        <v>10</v>
      </c>
      <c r="P741" s="97" t="s">
        <v>556</v>
      </c>
      <c r="Q741" s="97" t="str">
        <f t="shared" si="131"/>
        <v/>
      </c>
      <c r="R741" t="str">
        <f t="shared" si="132"/>
        <v/>
      </c>
      <c r="CB741" s="10"/>
      <c r="CI741" s="69"/>
    </row>
    <row r="742" spans="3:87">
      <c r="C742" t="str">
        <f t="shared" si="126"/>
        <v/>
      </c>
      <c r="D742">
        <v>733</v>
      </c>
      <c r="E742" s="97">
        <v>300</v>
      </c>
      <c r="F742" s="366">
        <f t="shared" si="127"/>
        <v>6510</v>
      </c>
      <c r="G742" s="97">
        <v>8621</v>
      </c>
      <c r="H742" s="367">
        <f t="shared" si="128"/>
        <v>15131</v>
      </c>
      <c r="I742" s="368">
        <f t="shared" si="129"/>
        <v>0</v>
      </c>
      <c r="J742" s="97">
        <v>32523</v>
      </c>
      <c r="K742" s="367">
        <f t="shared" si="130"/>
        <v>23230.714285714286</v>
      </c>
      <c r="L742" s="10">
        <v>0.88</v>
      </c>
      <c r="M742" s="97">
        <v>5.8</v>
      </c>
      <c r="N742" s="605">
        <v>40</v>
      </c>
      <c r="O742" s="97">
        <v>8</v>
      </c>
      <c r="P742" s="97" t="s">
        <v>515</v>
      </c>
      <c r="Q742" s="97" t="str">
        <f t="shared" si="131"/>
        <v/>
      </c>
      <c r="R742" t="str">
        <f t="shared" si="132"/>
        <v/>
      </c>
      <c r="CB742" s="10"/>
      <c r="CI742" s="69"/>
    </row>
    <row r="743" spans="3:87">
      <c r="C743" t="str">
        <f t="shared" si="126"/>
        <v>NL</v>
      </c>
      <c r="D743">
        <v>734</v>
      </c>
      <c r="E743" s="97">
        <v>300</v>
      </c>
      <c r="F743" s="366">
        <f t="shared" si="127"/>
        <v>6510</v>
      </c>
      <c r="G743" s="97">
        <v>8793</v>
      </c>
      <c r="H743" s="367">
        <f t="shared" si="128"/>
        <v>15303</v>
      </c>
      <c r="I743" s="368">
        <f t="shared" si="129"/>
        <v>0</v>
      </c>
      <c r="J743" s="97">
        <v>33172</v>
      </c>
      <c r="K743" s="367">
        <f t="shared" si="130"/>
        <v>23694.285714285714</v>
      </c>
      <c r="L743" s="10">
        <v>0.74</v>
      </c>
      <c r="M743" s="97">
        <v>6.5</v>
      </c>
      <c r="N743" s="605">
        <v>40</v>
      </c>
      <c r="O743" s="97">
        <v>9</v>
      </c>
      <c r="P743" s="97" t="s">
        <v>515</v>
      </c>
      <c r="Q743" s="97" t="str">
        <f t="shared" si="131"/>
        <v/>
      </c>
      <c r="R743" t="str">
        <f t="shared" si="132"/>
        <v/>
      </c>
      <c r="CB743" s="10"/>
      <c r="CI743" s="69"/>
    </row>
    <row r="744" spans="3:87">
      <c r="C744" t="str">
        <f t="shared" si="126"/>
        <v/>
      </c>
      <c r="D744">
        <v>735</v>
      </c>
      <c r="E744" s="97">
        <v>300</v>
      </c>
      <c r="F744" s="366">
        <f t="shared" si="127"/>
        <v>6510</v>
      </c>
      <c r="G744" s="97">
        <v>8894</v>
      </c>
      <c r="H744" s="367">
        <f t="shared" si="128"/>
        <v>15404</v>
      </c>
      <c r="I744" s="368">
        <f t="shared" si="129"/>
        <v>0</v>
      </c>
      <c r="J744" s="97">
        <v>33552</v>
      </c>
      <c r="K744" s="367">
        <f t="shared" si="130"/>
        <v>23965.714285714286</v>
      </c>
      <c r="L744" s="10">
        <v>0.62</v>
      </c>
      <c r="M744" s="97">
        <v>7.1999999999999993</v>
      </c>
      <c r="N744" s="605">
        <v>40</v>
      </c>
      <c r="O744" s="97">
        <v>10</v>
      </c>
      <c r="P744" s="97" t="s">
        <v>515</v>
      </c>
      <c r="Q744" s="97" t="str">
        <f t="shared" si="131"/>
        <v/>
      </c>
      <c r="R744" t="str">
        <f t="shared" si="132"/>
        <v/>
      </c>
      <c r="CB744" s="10"/>
      <c r="CI744" s="69"/>
    </row>
    <row r="745" spans="3:87">
      <c r="C745" t="str">
        <f t="shared" si="126"/>
        <v/>
      </c>
      <c r="D745">
        <v>736</v>
      </c>
      <c r="E745" s="97">
        <v>300</v>
      </c>
      <c r="F745" s="366">
        <f t="shared" si="127"/>
        <v>6510</v>
      </c>
      <c r="G745" s="97">
        <v>9929</v>
      </c>
      <c r="H745" s="367">
        <f t="shared" si="128"/>
        <v>16439</v>
      </c>
      <c r="I745" s="368">
        <f t="shared" si="129"/>
        <v>0</v>
      </c>
      <c r="J745" s="97">
        <v>37455</v>
      </c>
      <c r="K745" s="367">
        <f t="shared" si="130"/>
        <v>26753.571428571428</v>
      </c>
      <c r="L745" s="10">
        <v>0.99</v>
      </c>
      <c r="M745" s="97">
        <v>7.1999999999999993</v>
      </c>
      <c r="N745" s="605">
        <v>38</v>
      </c>
      <c r="O745" s="97">
        <v>10</v>
      </c>
      <c r="P745" s="97" t="s">
        <v>556</v>
      </c>
      <c r="Q745" s="97" t="str">
        <f t="shared" si="131"/>
        <v/>
      </c>
      <c r="R745" t="str">
        <f t="shared" si="132"/>
        <v/>
      </c>
      <c r="CB745" s="10"/>
      <c r="CI745" s="69"/>
    </row>
    <row r="746" spans="3:87">
      <c r="C746" t="str">
        <f t="shared" si="126"/>
        <v/>
      </c>
      <c r="D746">
        <v>737</v>
      </c>
      <c r="E746" s="97">
        <v>305</v>
      </c>
      <c r="F746" s="366">
        <f t="shared" si="127"/>
        <v>6618.5</v>
      </c>
      <c r="G746" s="97">
        <v>8700</v>
      </c>
      <c r="H746" s="367">
        <f t="shared" si="128"/>
        <v>15318.5</v>
      </c>
      <c r="I746" s="368">
        <f t="shared" si="129"/>
        <v>0</v>
      </c>
      <c r="J746" s="97">
        <v>32821</v>
      </c>
      <c r="K746" s="367">
        <f t="shared" si="130"/>
        <v>23443.571428571428</v>
      </c>
      <c r="L746" s="10">
        <v>0.91</v>
      </c>
      <c r="M746" s="97">
        <v>5.8</v>
      </c>
      <c r="N746" s="605">
        <v>40</v>
      </c>
      <c r="O746" s="97">
        <v>8</v>
      </c>
      <c r="P746" s="97" t="s">
        <v>515</v>
      </c>
      <c r="Q746" s="97" t="str">
        <f t="shared" si="131"/>
        <v/>
      </c>
      <c r="R746" t="str">
        <f t="shared" si="132"/>
        <v/>
      </c>
      <c r="CB746" s="10"/>
      <c r="CI746" s="69"/>
    </row>
    <row r="747" spans="3:87">
      <c r="C747" t="str">
        <f t="shared" si="126"/>
        <v>NL</v>
      </c>
      <c r="D747">
        <v>738</v>
      </c>
      <c r="E747" s="97">
        <v>305</v>
      </c>
      <c r="F747" s="366">
        <f t="shared" si="127"/>
        <v>6618.5</v>
      </c>
      <c r="G747" s="97">
        <v>8887</v>
      </c>
      <c r="H747" s="367">
        <f t="shared" si="128"/>
        <v>15505.5</v>
      </c>
      <c r="I747" s="368">
        <f t="shared" si="129"/>
        <v>0</v>
      </c>
      <c r="J747" s="97">
        <v>33525</v>
      </c>
      <c r="K747" s="367">
        <f t="shared" si="130"/>
        <v>23946.428571428572</v>
      </c>
      <c r="L747" s="10">
        <v>0.77</v>
      </c>
      <c r="M747" s="97">
        <v>6.5</v>
      </c>
      <c r="N747" s="605">
        <v>41</v>
      </c>
      <c r="O747" s="97">
        <v>9</v>
      </c>
      <c r="P747" s="97" t="s">
        <v>515</v>
      </c>
      <c r="Q747" s="97" t="str">
        <f t="shared" si="131"/>
        <v/>
      </c>
      <c r="R747" t="str">
        <f t="shared" si="132"/>
        <v/>
      </c>
      <c r="CB747" s="10"/>
      <c r="CI747" s="69"/>
    </row>
    <row r="748" spans="3:87">
      <c r="C748" t="str">
        <f t="shared" si="126"/>
        <v/>
      </c>
      <c r="D748">
        <v>739</v>
      </c>
      <c r="E748" s="97">
        <v>305</v>
      </c>
      <c r="F748" s="366">
        <f t="shared" si="127"/>
        <v>6618.5</v>
      </c>
      <c r="G748" s="97">
        <v>8989</v>
      </c>
      <c r="H748" s="367">
        <f t="shared" si="128"/>
        <v>15607.5</v>
      </c>
      <c r="I748" s="368">
        <f t="shared" si="129"/>
        <v>0</v>
      </c>
      <c r="J748" s="97">
        <v>33910</v>
      </c>
      <c r="K748" s="367">
        <f t="shared" si="130"/>
        <v>24221.428571428572</v>
      </c>
      <c r="L748" s="10">
        <v>0.64</v>
      </c>
      <c r="M748" s="97">
        <v>7.1999999999999993</v>
      </c>
      <c r="N748" s="605">
        <v>40</v>
      </c>
      <c r="O748" s="97">
        <v>10</v>
      </c>
      <c r="P748" s="97" t="s">
        <v>515</v>
      </c>
      <c r="Q748" s="97" t="str">
        <f t="shared" si="131"/>
        <v/>
      </c>
      <c r="R748" t="str">
        <f t="shared" si="132"/>
        <v/>
      </c>
      <c r="CB748" s="10"/>
      <c r="CI748" s="69"/>
    </row>
    <row r="749" spans="3:87">
      <c r="C749" t="str">
        <f t="shared" si="126"/>
        <v/>
      </c>
      <c r="D749">
        <v>740</v>
      </c>
      <c r="E749" s="97">
        <v>305</v>
      </c>
      <c r="F749" s="366">
        <f t="shared" si="127"/>
        <v>6618.5</v>
      </c>
      <c r="G749" s="97">
        <v>10015</v>
      </c>
      <c r="H749" s="367">
        <f t="shared" si="128"/>
        <v>16633.5</v>
      </c>
      <c r="I749" s="368">
        <f t="shared" si="129"/>
        <v>0</v>
      </c>
      <c r="J749" s="97">
        <v>37780</v>
      </c>
      <c r="K749" s="367">
        <f t="shared" si="130"/>
        <v>26985.714285714286</v>
      </c>
      <c r="L749" s="10">
        <v>1.03</v>
      </c>
      <c r="M749" s="97">
        <v>7.1999999999999993</v>
      </c>
      <c r="N749" s="605">
        <v>38</v>
      </c>
      <c r="O749" s="97">
        <v>10</v>
      </c>
      <c r="P749" s="97" t="s">
        <v>556</v>
      </c>
      <c r="Q749" s="97" t="str">
        <f t="shared" si="131"/>
        <v/>
      </c>
      <c r="R749" t="str">
        <f t="shared" si="132"/>
        <v/>
      </c>
      <c r="CB749" s="10"/>
      <c r="CI749" s="69"/>
    </row>
    <row r="750" spans="3:87">
      <c r="C750" t="str">
        <f t="shared" si="126"/>
        <v/>
      </c>
      <c r="D750">
        <v>741</v>
      </c>
      <c r="E750" s="97">
        <v>310</v>
      </c>
      <c r="F750" s="366">
        <f t="shared" si="127"/>
        <v>6727</v>
      </c>
      <c r="G750" s="97">
        <v>8779</v>
      </c>
      <c r="H750" s="367">
        <f t="shared" si="128"/>
        <v>15506</v>
      </c>
      <c r="I750" s="368">
        <f t="shared" si="129"/>
        <v>0</v>
      </c>
      <c r="J750" s="97">
        <v>33118</v>
      </c>
      <c r="K750" s="367">
        <f t="shared" si="130"/>
        <v>23655.714285714286</v>
      </c>
      <c r="L750" s="10">
        <v>0.94000000000000006</v>
      </c>
      <c r="M750" s="97">
        <v>5.8</v>
      </c>
      <c r="N750" s="605">
        <v>41</v>
      </c>
      <c r="O750" s="97">
        <v>8</v>
      </c>
      <c r="P750" s="97" t="s">
        <v>515</v>
      </c>
      <c r="Q750" s="97" t="str">
        <f t="shared" si="131"/>
        <v/>
      </c>
      <c r="R750" t="str">
        <f t="shared" si="132"/>
        <v/>
      </c>
      <c r="CB750" s="10"/>
      <c r="CI750" s="69"/>
    </row>
    <row r="751" spans="3:87">
      <c r="C751" t="str">
        <f t="shared" si="126"/>
        <v>NL</v>
      </c>
      <c r="D751">
        <v>742</v>
      </c>
      <c r="E751" s="97">
        <v>310</v>
      </c>
      <c r="F751" s="366">
        <f t="shared" si="127"/>
        <v>6727</v>
      </c>
      <c r="G751" s="97">
        <v>8980</v>
      </c>
      <c r="H751" s="367">
        <f t="shared" si="128"/>
        <v>15707</v>
      </c>
      <c r="I751" s="368">
        <f t="shared" si="129"/>
        <v>0</v>
      </c>
      <c r="J751" s="97">
        <v>33878</v>
      </c>
      <c r="K751" s="367">
        <f t="shared" si="130"/>
        <v>24198.571428571428</v>
      </c>
      <c r="L751" s="10">
        <v>0.79</v>
      </c>
      <c r="M751" s="97">
        <v>6.5</v>
      </c>
      <c r="N751" s="605">
        <v>41</v>
      </c>
      <c r="O751" s="97">
        <v>9</v>
      </c>
      <c r="P751" s="97" t="s">
        <v>515</v>
      </c>
      <c r="Q751" s="97" t="str">
        <f t="shared" si="131"/>
        <v/>
      </c>
      <c r="R751" t="str">
        <f t="shared" si="132"/>
        <v/>
      </c>
      <c r="CB751" s="10"/>
      <c r="CI751" s="69"/>
    </row>
    <row r="752" spans="3:87">
      <c r="C752" t="str">
        <f t="shared" si="126"/>
        <v/>
      </c>
      <c r="D752">
        <v>743</v>
      </c>
      <c r="E752" s="97">
        <v>310</v>
      </c>
      <c r="F752" s="366">
        <f t="shared" si="127"/>
        <v>6727</v>
      </c>
      <c r="G752" s="97">
        <v>9082</v>
      </c>
      <c r="H752" s="367">
        <f t="shared" si="128"/>
        <v>15809</v>
      </c>
      <c r="I752" s="368">
        <f t="shared" si="129"/>
        <v>0</v>
      </c>
      <c r="J752" s="97">
        <v>34263</v>
      </c>
      <c r="K752" s="367">
        <f t="shared" si="130"/>
        <v>24473.571428571428</v>
      </c>
      <c r="L752" s="10">
        <v>0.66</v>
      </c>
      <c r="M752" s="97">
        <v>7.1999999999999993</v>
      </c>
      <c r="N752" s="605">
        <v>41</v>
      </c>
      <c r="O752" s="97">
        <v>10</v>
      </c>
      <c r="P752" s="97" t="s">
        <v>515</v>
      </c>
      <c r="Q752" s="97" t="str">
        <f t="shared" si="131"/>
        <v/>
      </c>
      <c r="R752" t="str">
        <f t="shared" si="132"/>
        <v/>
      </c>
      <c r="CB752" s="10"/>
      <c r="CI752" s="69"/>
    </row>
    <row r="753" spans="3:87">
      <c r="C753" t="str">
        <f t="shared" si="126"/>
        <v/>
      </c>
      <c r="D753">
        <v>744</v>
      </c>
      <c r="E753" s="97">
        <v>315</v>
      </c>
      <c r="F753" s="366">
        <f t="shared" si="127"/>
        <v>6835.5</v>
      </c>
      <c r="G753" s="97">
        <v>8855</v>
      </c>
      <c r="H753" s="367">
        <f t="shared" si="128"/>
        <v>15690.5</v>
      </c>
      <c r="I753" s="368">
        <f t="shared" si="129"/>
        <v>0</v>
      </c>
      <c r="J753" s="97">
        <v>33404</v>
      </c>
      <c r="K753" s="367">
        <f t="shared" si="130"/>
        <v>23860</v>
      </c>
      <c r="L753" s="10">
        <v>0.97</v>
      </c>
      <c r="M753" s="97">
        <v>5.8</v>
      </c>
      <c r="N753" s="605">
        <v>42</v>
      </c>
      <c r="O753" s="97">
        <v>8</v>
      </c>
      <c r="P753" s="97" t="s">
        <v>515</v>
      </c>
      <c r="Q753" s="97" t="str">
        <f t="shared" si="131"/>
        <v/>
      </c>
      <c r="R753" t="str">
        <f t="shared" si="132"/>
        <v/>
      </c>
      <c r="CB753" s="10"/>
      <c r="CI753" s="69"/>
    </row>
    <row r="754" spans="3:87">
      <c r="C754" t="str">
        <f t="shared" si="126"/>
        <v>NL</v>
      </c>
      <c r="D754">
        <v>745</v>
      </c>
      <c r="E754" s="97">
        <v>315</v>
      </c>
      <c r="F754" s="366">
        <f t="shared" si="127"/>
        <v>6835.5</v>
      </c>
      <c r="G754" s="97">
        <v>9074</v>
      </c>
      <c r="H754" s="367">
        <f t="shared" si="128"/>
        <v>15909.5</v>
      </c>
      <c r="I754" s="368">
        <f t="shared" si="129"/>
        <v>0</v>
      </c>
      <c r="J754" s="97">
        <v>34231</v>
      </c>
      <c r="K754" s="367">
        <f t="shared" si="130"/>
        <v>24450.714285714286</v>
      </c>
      <c r="L754" s="10">
        <v>0.82000000000000006</v>
      </c>
      <c r="M754" s="97">
        <v>6.5</v>
      </c>
      <c r="N754" s="605">
        <v>42</v>
      </c>
      <c r="O754" s="97">
        <v>9</v>
      </c>
      <c r="P754" s="97" t="s">
        <v>515</v>
      </c>
      <c r="Q754" s="97" t="str">
        <f t="shared" si="131"/>
        <v/>
      </c>
      <c r="R754" t="str">
        <f t="shared" si="132"/>
        <v/>
      </c>
      <c r="CB754" s="10"/>
      <c r="CI754" s="69"/>
    </row>
    <row r="755" spans="3:87">
      <c r="C755" t="str">
        <f t="shared" si="126"/>
        <v/>
      </c>
      <c r="D755">
        <v>746</v>
      </c>
      <c r="E755" s="97">
        <v>315</v>
      </c>
      <c r="F755" s="366">
        <f t="shared" si="127"/>
        <v>6835.5</v>
      </c>
      <c r="G755" s="97">
        <v>9176</v>
      </c>
      <c r="H755" s="367">
        <f t="shared" si="128"/>
        <v>16011.5</v>
      </c>
      <c r="I755" s="368">
        <f t="shared" si="129"/>
        <v>0</v>
      </c>
      <c r="J755" s="97">
        <v>34616</v>
      </c>
      <c r="K755" s="367">
        <f t="shared" si="130"/>
        <v>24725.714285714286</v>
      </c>
      <c r="L755" s="10">
        <v>0.68</v>
      </c>
      <c r="M755" s="97">
        <v>7.1999999999999993</v>
      </c>
      <c r="N755" s="605">
        <v>42</v>
      </c>
      <c r="O755" s="97">
        <v>10</v>
      </c>
      <c r="P755" s="97" t="s">
        <v>515</v>
      </c>
      <c r="Q755" s="97" t="str">
        <f t="shared" si="131"/>
        <v/>
      </c>
      <c r="R755" t="str">
        <f t="shared" si="132"/>
        <v/>
      </c>
      <c r="CB755" s="10"/>
      <c r="CI755" s="69"/>
    </row>
    <row r="756" spans="3:87">
      <c r="C756" t="str">
        <f t="shared" si="126"/>
        <v/>
      </c>
      <c r="D756">
        <v>747</v>
      </c>
      <c r="E756" s="97">
        <v>320</v>
      </c>
      <c r="F756" s="366">
        <f t="shared" si="127"/>
        <v>6944</v>
      </c>
      <c r="G756" s="97">
        <v>8928</v>
      </c>
      <c r="H756" s="367">
        <f t="shared" si="128"/>
        <v>15872</v>
      </c>
      <c r="I756" s="368">
        <f t="shared" si="129"/>
        <v>0</v>
      </c>
      <c r="J756" s="97">
        <v>33679</v>
      </c>
      <c r="K756" s="367">
        <f t="shared" si="130"/>
        <v>24056.428571428572</v>
      </c>
      <c r="L756" s="10">
        <v>1</v>
      </c>
      <c r="M756" s="97">
        <v>5.8</v>
      </c>
      <c r="N756" s="605">
        <v>42</v>
      </c>
      <c r="O756" s="97">
        <v>8</v>
      </c>
      <c r="P756" s="97" t="s">
        <v>515</v>
      </c>
      <c r="Q756" s="97" t="str">
        <f t="shared" si="131"/>
        <v/>
      </c>
      <c r="R756" t="str">
        <f t="shared" si="132"/>
        <v/>
      </c>
      <c r="CB756" s="10"/>
      <c r="CI756" s="69"/>
    </row>
    <row r="757" spans="3:87">
      <c r="C757" t="str">
        <f t="shared" si="126"/>
        <v>NL</v>
      </c>
      <c r="D757">
        <v>748</v>
      </c>
      <c r="E757" s="97">
        <v>320</v>
      </c>
      <c r="F757" s="366">
        <f t="shared" si="127"/>
        <v>6944</v>
      </c>
      <c r="G757" s="97">
        <v>9167</v>
      </c>
      <c r="H757" s="367">
        <f t="shared" si="128"/>
        <v>16111</v>
      </c>
      <c r="I757" s="368">
        <f t="shared" si="129"/>
        <v>0</v>
      </c>
      <c r="J757" s="97">
        <v>34584</v>
      </c>
      <c r="K757" s="367">
        <f t="shared" si="130"/>
        <v>24702.857142857145</v>
      </c>
      <c r="L757" s="10">
        <v>0.84</v>
      </c>
      <c r="M757" s="97">
        <v>6.5</v>
      </c>
      <c r="N757" s="605">
        <v>43</v>
      </c>
      <c r="O757" s="97">
        <v>9</v>
      </c>
      <c r="P757" s="97" t="s">
        <v>515</v>
      </c>
      <c r="Q757" s="97" t="str">
        <f t="shared" si="131"/>
        <v/>
      </c>
      <c r="R757" t="str">
        <f t="shared" si="132"/>
        <v/>
      </c>
      <c r="CB757" s="10"/>
      <c r="CI757" s="69"/>
    </row>
    <row r="758" spans="3:87">
      <c r="C758" t="str">
        <f t="shared" si="126"/>
        <v/>
      </c>
      <c r="D758">
        <v>749</v>
      </c>
      <c r="E758" s="97">
        <v>320</v>
      </c>
      <c r="F758" s="366">
        <f t="shared" si="127"/>
        <v>6944</v>
      </c>
      <c r="G758" s="97">
        <v>9269</v>
      </c>
      <c r="H758" s="367">
        <f t="shared" si="128"/>
        <v>16213</v>
      </c>
      <c r="I758" s="368">
        <f t="shared" si="129"/>
        <v>0</v>
      </c>
      <c r="J758" s="97">
        <v>34968</v>
      </c>
      <c r="K758" s="367">
        <f t="shared" si="130"/>
        <v>24977.142857142859</v>
      </c>
      <c r="L758" s="10">
        <v>0.7</v>
      </c>
      <c r="M758" s="97">
        <v>7.1999999999999993</v>
      </c>
      <c r="N758" s="605">
        <v>42</v>
      </c>
      <c r="O758" s="97">
        <v>10</v>
      </c>
      <c r="P758" s="97" t="s">
        <v>515</v>
      </c>
      <c r="Q758" s="97" t="str">
        <f t="shared" si="131"/>
        <v/>
      </c>
      <c r="R758" t="str">
        <f t="shared" si="132"/>
        <v/>
      </c>
      <c r="CB758" s="10"/>
      <c r="CI758" s="69"/>
    </row>
    <row r="759" spans="3:87">
      <c r="C759" t="str">
        <f t="shared" si="126"/>
        <v/>
      </c>
      <c r="D759">
        <v>750</v>
      </c>
      <c r="E759" s="97">
        <v>325</v>
      </c>
      <c r="F759" s="366">
        <f t="shared" si="127"/>
        <v>7052.5</v>
      </c>
      <c r="G759" s="97">
        <v>9000</v>
      </c>
      <c r="H759" s="367">
        <f t="shared" si="128"/>
        <v>16052.5</v>
      </c>
      <c r="I759" s="368">
        <f t="shared" si="129"/>
        <v>0</v>
      </c>
      <c r="J759" s="97">
        <v>33954</v>
      </c>
      <c r="K759" s="367">
        <f t="shared" si="130"/>
        <v>24252.857142857145</v>
      </c>
      <c r="L759" s="10">
        <v>1.03</v>
      </c>
      <c r="M759" s="97">
        <v>5.8</v>
      </c>
      <c r="N759" s="605">
        <v>43</v>
      </c>
      <c r="O759" s="97">
        <v>8</v>
      </c>
      <c r="P759" s="97" t="s">
        <v>515</v>
      </c>
      <c r="Q759" s="97" t="str">
        <f t="shared" si="131"/>
        <v/>
      </c>
      <c r="R759" t="str">
        <f t="shared" si="132"/>
        <v/>
      </c>
      <c r="CB759" s="10"/>
      <c r="CI759" s="69"/>
    </row>
    <row r="760" spans="3:87">
      <c r="C760" t="str">
        <f t="shared" si="126"/>
        <v>NL</v>
      </c>
      <c r="D760">
        <v>751</v>
      </c>
      <c r="E760" s="97">
        <v>325</v>
      </c>
      <c r="F760" s="366">
        <f t="shared" si="127"/>
        <v>7052.5</v>
      </c>
      <c r="G760" s="97">
        <v>9261</v>
      </c>
      <c r="H760" s="367">
        <f t="shared" si="128"/>
        <v>16313.5</v>
      </c>
      <c r="I760" s="368">
        <f t="shared" si="129"/>
        <v>0</v>
      </c>
      <c r="J760" s="97">
        <v>34937</v>
      </c>
      <c r="K760" s="367">
        <f t="shared" si="130"/>
        <v>24955</v>
      </c>
      <c r="L760" s="10">
        <v>0.87</v>
      </c>
      <c r="M760" s="97">
        <v>6.5</v>
      </c>
      <c r="N760" s="605">
        <v>43</v>
      </c>
      <c r="O760" s="97">
        <v>9</v>
      </c>
      <c r="P760" s="97" t="s">
        <v>515</v>
      </c>
      <c r="Q760" s="97" t="str">
        <f t="shared" si="131"/>
        <v/>
      </c>
      <c r="R760" t="str">
        <f t="shared" si="132"/>
        <v/>
      </c>
      <c r="CB760" s="10"/>
      <c r="CI760" s="69"/>
    </row>
    <row r="761" spans="3:87">
      <c r="C761" t="str">
        <f t="shared" si="126"/>
        <v/>
      </c>
      <c r="D761">
        <v>752</v>
      </c>
      <c r="E761" s="97">
        <v>325</v>
      </c>
      <c r="F761" s="366">
        <f t="shared" si="127"/>
        <v>7052.5</v>
      </c>
      <c r="G761" s="97">
        <v>9363</v>
      </c>
      <c r="H761" s="367">
        <f t="shared" si="128"/>
        <v>16415.5</v>
      </c>
      <c r="I761" s="368">
        <f t="shared" si="129"/>
        <v>0</v>
      </c>
      <c r="J761" s="97">
        <v>35321</v>
      </c>
      <c r="K761" s="367">
        <f t="shared" si="130"/>
        <v>25229.285714285714</v>
      </c>
      <c r="L761" s="10">
        <v>0.72</v>
      </c>
      <c r="M761" s="97">
        <v>7.1999999999999993</v>
      </c>
      <c r="N761" s="605">
        <v>43</v>
      </c>
      <c r="O761" s="97">
        <v>10</v>
      </c>
      <c r="P761" s="97" t="s">
        <v>515</v>
      </c>
      <c r="Q761" s="97" t="str">
        <f t="shared" si="131"/>
        <v/>
      </c>
      <c r="R761" t="str">
        <f t="shared" si="132"/>
        <v/>
      </c>
      <c r="CB761" s="10"/>
      <c r="CI761" s="69"/>
    </row>
    <row r="762" spans="3:87">
      <c r="C762" t="str">
        <f t="shared" si="126"/>
        <v>NL</v>
      </c>
      <c r="D762">
        <v>753</v>
      </c>
      <c r="E762" s="97">
        <v>330</v>
      </c>
      <c r="F762" s="366">
        <f t="shared" si="127"/>
        <v>7161</v>
      </c>
      <c r="G762" s="97">
        <v>9338</v>
      </c>
      <c r="H762" s="367">
        <f t="shared" si="128"/>
        <v>16499</v>
      </c>
      <c r="I762" s="368">
        <f t="shared" si="129"/>
        <v>0</v>
      </c>
      <c r="J762" s="97">
        <v>35227</v>
      </c>
      <c r="K762" s="367">
        <f t="shared" si="130"/>
        <v>25162.142857142859</v>
      </c>
      <c r="L762" s="10">
        <v>0.9</v>
      </c>
      <c r="M762" s="97">
        <v>6.5</v>
      </c>
      <c r="N762" s="605">
        <v>44</v>
      </c>
      <c r="O762" s="97">
        <v>9</v>
      </c>
      <c r="P762" s="97" t="s">
        <v>515</v>
      </c>
      <c r="Q762" s="97" t="str">
        <f t="shared" si="131"/>
        <v/>
      </c>
      <c r="R762" t="str">
        <f t="shared" si="132"/>
        <v/>
      </c>
      <c r="CB762" s="10"/>
      <c r="CI762" s="69"/>
    </row>
    <row r="763" spans="3:87">
      <c r="C763" t="str">
        <f t="shared" si="126"/>
        <v/>
      </c>
      <c r="D763">
        <v>754</v>
      </c>
      <c r="E763" s="97">
        <v>330</v>
      </c>
      <c r="F763" s="366">
        <f t="shared" si="127"/>
        <v>7161</v>
      </c>
      <c r="G763" s="97">
        <v>9456</v>
      </c>
      <c r="H763" s="367">
        <f t="shared" si="128"/>
        <v>16617</v>
      </c>
      <c r="I763" s="368">
        <f t="shared" si="129"/>
        <v>0</v>
      </c>
      <c r="J763" s="97">
        <v>35674</v>
      </c>
      <c r="K763" s="367">
        <f t="shared" si="130"/>
        <v>25481.428571428572</v>
      </c>
      <c r="L763" s="10">
        <v>0.74</v>
      </c>
      <c r="M763" s="97">
        <v>7.1999999999999993</v>
      </c>
      <c r="N763" s="605">
        <v>44</v>
      </c>
      <c r="O763" s="97">
        <v>10</v>
      </c>
      <c r="P763" s="97" t="s">
        <v>515</v>
      </c>
      <c r="Q763" s="97" t="str">
        <f t="shared" si="131"/>
        <v/>
      </c>
      <c r="R763" t="str">
        <f t="shared" si="132"/>
        <v/>
      </c>
      <c r="CB763" s="10"/>
      <c r="CI763" s="69"/>
    </row>
    <row r="764" spans="3:87">
      <c r="C764" t="str">
        <f t="shared" si="126"/>
        <v>NL</v>
      </c>
      <c r="D764">
        <v>755</v>
      </c>
      <c r="E764" s="97">
        <v>335</v>
      </c>
      <c r="F764" s="366">
        <f t="shared" si="127"/>
        <v>7269.5</v>
      </c>
      <c r="G764" s="97">
        <v>9412</v>
      </c>
      <c r="H764" s="367">
        <f t="shared" si="128"/>
        <v>16681.5</v>
      </c>
      <c r="I764" s="368">
        <f t="shared" si="129"/>
        <v>0</v>
      </c>
      <c r="J764" s="97">
        <v>35507</v>
      </c>
      <c r="K764" s="367">
        <f t="shared" si="130"/>
        <v>25362.142857142859</v>
      </c>
      <c r="L764" s="10">
        <v>0.92</v>
      </c>
      <c r="M764" s="97">
        <v>6.5</v>
      </c>
      <c r="N764" s="605">
        <v>45</v>
      </c>
      <c r="O764" s="97">
        <v>9</v>
      </c>
      <c r="P764" s="97" t="s">
        <v>515</v>
      </c>
      <c r="Q764" s="97" t="str">
        <f t="shared" si="131"/>
        <v/>
      </c>
      <c r="R764" t="str">
        <f t="shared" si="132"/>
        <v/>
      </c>
      <c r="CB764" s="10"/>
      <c r="CI764" s="69"/>
    </row>
    <row r="765" spans="3:87">
      <c r="C765" t="str">
        <f t="shared" si="126"/>
        <v/>
      </c>
      <c r="D765">
        <v>756</v>
      </c>
      <c r="E765" s="97">
        <v>335</v>
      </c>
      <c r="F765" s="366">
        <f t="shared" si="127"/>
        <v>7269.5</v>
      </c>
      <c r="G765" s="97">
        <v>9548</v>
      </c>
      <c r="H765" s="367">
        <f t="shared" si="128"/>
        <v>16817.5</v>
      </c>
      <c r="I765" s="368">
        <f t="shared" si="129"/>
        <v>0</v>
      </c>
      <c r="J765" s="97">
        <v>36018</v>
      </c>
      <c r="K765" s="367">
        <f t="shared" si="130"/>
        <v>25727.142857142859</v>
      </c>
      <c r="L765" s="10">
        <v>0.77</v>
      </c>
      <c r="M765" s="97">
        <v>7.1999999999999993</v>
      </c>
      <c r="N765" s="605">
        <v>44</v>
      </c>
      <c r="O765" s="97">
        <v>10</v>
      </c>
      <c r="P765" s="97" t="s">
        <v>515</v>
      </c>
      <c r="Q765" s="97" t="str">
        <f t="shared" si="131"/>
        <v/>
      </c>
      <c r="R765" t="str">
        <f t="shared" si="132"/>
        <v/>
      </c>
      <c r="CB765" s="10"/>
      <c r="CI765" s="69"/>
    </row>
    <row r="766" spans="3:87">
      <c r="C766" t="str">
        <f t="shared" si="126"/>
        <v>NL</v>
      </c>
      <c r="D766">
        <v>757</v>
      </c>
      <c r="E766" s="97">
        <v>340</v>
      </c>
      <c r="F766" s="366">
        <f t="shared" si="127"/>
        <v>7378</v>
      </c>
      <c r="G766" s="97">
        <v>9486</v>
      </c>
      <c r="H766" s="367">
        <f t="shared" si="128"/>
        <v>16864</v>
      </c>
      <c r="I766" s="368">
        <f t="shared" si="129"/>
        <v>0</v>
      </c>
      <c r="J766" s="97">
        <v>35787</v>
      </c>
      <c r="K766" s="367">
        <f t="shared" si="130"/>
        <v>25562.142857142859</v>
      </c>
      <c r="L766" s="10">
        <v>0.95</v>
      </c>
      <c r="M766" s="97">
        <v>6.5</v>
      </c>
      <c r="N766" s="605">
        <v>45</v>
      </c>
      <c r="O766" s="97">
        <v>9</v>
      </c>
      <c r="P766" s="97" t="s">
        <v>515</v>
      </c>
      <c r="Q766" s="97" t="str">
        <f t="shared" si="131"/>
        <v/>
      </c>
      <c r="R766" t="str">
        <f t="shared" si="132"/>
        <v/>
      </c>
      <c r="CB766" s="10"/>
      <c r="CI766" s="69"/>
    </row>
    <row r="767" spans="3:87">
      <c r="C767" t="str">
        <f t="shared" si="126"/>
        <v/>
      </c>
      <c r="D767">
        <v>758</v>
      </c>
      <c r="E767" s="97">
        <v>340</v>
      </c>
      <c r="F767" s="366">
        <f t="shared" si="127"/>
        <v>7378</v>
      </c>
      <c r="G767" s="97">
        <v>9637</v>
      </c>
      <c r="H767" s="367">
        <f t="shared" si="128"/>
        <v>17015</v>
      </c>
      <c r="I767" s="368">
        <f t="shared" si="129"/>
        <v>0</v>
      </c>
      <c r="J767" s="97">
        <v>36354</v>
      </c>
      <c r="K767" s="367">
        <f t="shared" si="130"/>
        <v>25967.142857142859</v>
      </c>
      <c r="L767" s="10">
        <v>0.79</v>
      </c>
      <c r="M767" s="97">
        <v>7.1999999999999993</v>
      </c>
      <c r="N767" s="605">
        <v>45</v>
      </c>
      <c r="O767" s="97">
        <v>10</v>
      </c>
      <c r="P767" s="97" t="s">
        <v>515</v>
      </c>
      <c r="Q767" s="97" t="str">
        <f t="shared" si="131"/>
        <v/>
      </c>
      <c r="R767" t="str">
        <f t="shared" si="132"/>
        <v/>
      </c>
      <c r="CB767" s="10"/>
      <c r="CI767" s="69"/>
    </row>
    <row r="768" spans="3:87">
      <c r="C768" t="str">
        <f t="shared" si="126"/>
        <v>NL</v>
      </c>
      <c r="D768">
        <v>759</v>
      </c>
      <c r="E768" s="97">
        <v>345</v>
      </c>
      <c r="F768" s="366">
        <f t="shared" si="127"/>
        <v>7486.5</v>
      </c>
      <c r="G768" s="97">
        <v>9561</v>
      </c>
      <c r="H768" s="367">
        <f t="shared" si="128"/>
        <v>17047.5</v>
      </c>
      <c r="I768" s="368">
        <f t="shared" si="129"/>
        <v>0</v>
      </c>
      <c r="J768" s="97">
        <v>36067</v>
      </c>
      <c r="K768" s="367">
        <f t="shared" si="130"/>
        <v>25762.142857142859</v>
      </c>
      <c r="L768" s="10">
        <v>0.98</v>
      </c>
      <c r="M768" s="97">
        <v>6.5</v>
      </c>
      <c r="N768" s="605">
        <v>46</v>
      </c>
      <c r="O768" s="97">
        <v>9</v>
      </c>
      <c r="P768" s="97" t="s">
        <v>515</v>
      </c>
      <c r="Q768" s="97" t="str">
        <f t="shared" si="131"/>
        <v/>
      </c>
      <c r="R768" t="str">
        <f t="shared" si="132"/>
        <v/>
      </c>
      <c r="CB768" s="10"/>
      <c r="CI768" s="69"/>
    </row>
    <row r="769" spans="2:87">
      <c r="C769" t="str">
        <f t="shared" si="126"/>
        <v/>
      </c>
      <c r="D769">
        <v>760</v>
      </c>
      <c r="E769" s="97">
        <v>345</v>
      </c>
      <c r="F769" s="366">
        <f t="shared" si="127"/>
        <v>7486.5</v>
      </c>
      <c r="G769" s="97">
        <v>9725</v>
      </c>
      <c r="H769" s="367">
        <f t="shared" si="128"/>
        <v>17211.5</v>
      </c>
      <c r="I769" s="368">
        <f t="shared" si="129"/>
        <v>0</v>
      </c>
      <c r="J769" s="97">
        <v>36689</v>
      </c>
      <c r="K769" s="367">
        <f t="shared" si="130"/>
        <v>26206.428571428572</v>
      </c>
      <c r="L769" s="10">
        <v>0.81</v>
      </c>
      <c r="M769" s="97">
        <v>7.1999999999999993</v>
      </c>
      <c r="N769" s="605">
        <v>45</v>
      </c>
      <c r="O769" s="97">
        <v>10</v>
      </c>
      <c r="P769" s="97" t="s">
        <v>515</v>
      </c>
      <c r="Q769" s="97" t="str">
        <f t="shared" si="131"/>
        <v/>
      </c>
      <c r="R769" t="str">
        <f t="shared" si="132"/>
        <v/>
      </c>
      <c r="CB769" s="10"/>
      <c r="CI769" s="69"/>
    </row>
    <row r="770" spans="2:87">
      <c r="C770" t="str">
        <f t="shared" si="126"/>
        <v>NL</v>
      </c>
      <c r="D770">
        <v>761</v>
      </c>
      <c r="E770" s="97">
        <v>350</v>
      </c>
      <c r="F770" s="366">
        <f t="shared" si="127"/>
        <v>7595</v>
      </c>
      <c r="G770" s="97">
        <v>9635</v>
      </c>
      <c r="H770" s="367">
        <f t="shared" si="128"/>
        <v>17230</v>
      </c>
      <c r="I770" s="368">
        <f t="shared" si="129"/>
        <v>0</v>
      </c>
      <c r="J770" s="97">
        <v>36347</v>
      </c>
      <c r="K770" s="367">
        <f t="shared" si="130"/>
        <v>25962.142857142859</v>
      </c>
      <c r="L770" s="10">
        <v>1.01</v>
      </c>
      <c r="M770" s="97">
        <v>6.5</v>
      </c>
      <c r="N770" s="605">
        <v>46</v>
      </c>
      <c r="O770" s="97">
        <v>9</v>
      </c>
      <c r="P770" s="97" t="s">
        <v>515</v>
      </c>
      <c r="Q770" s="97" t="str">
        <f t="shared" si="131"/>
        <v/>
      </c>
      <c r="R770" t="str">
        <f t="shared" si="132"/>
        <v/>
      </c>
      <c r="CB770" s="10"/>
      <c r="CI770" s="69"/>
    </row>
    <row r="771" spans="2:87">
      <c r="C771" t="str">
        <f t="shared" si="126"/>
        <v/>
      </c>
      <c r="D771">
        <v>762</v>
      </c>
      <c r="E771" s="97">
        <v>350</v>
      </c>
      <c r="F771" s="366">
        <f t="shared" si="127"/>
        <v>7595</v>
      </c>
      <c r="G771" s="97">
        <v>9814</v>
      </c>
      <c r="H771" s="367">
        <f t="shared" si="128"/>
        <v>17409</v>
      </c>
      <c r="I771" s="368">
        <f t="shared" si="129"/>
        <v>0</v>
      </c>
      <c r="J771" s="97">
        <v>37024</v>
      </c>
      <c r="K771" s="367">
        <f t="shared" si="130"/>
        <v>26445.714285714286</v>
      </c>
      <c r="L771" s="10">
        <v>0.84</v>
      </c>
      <c r="M771" s="97">
        <v>7.1999999999999993</v>
      </c>
      <c r="N771" s="605">
        <v>46</v>
      </c>
      <c r="O771" s="97">
        <v>10</v>
      </c>
      <c r="P771" s="97" t="s">
        <v>515</v>
      </c>
      <c r="Q771" s="97" t="str">
        <f t="shared" si="131"/>
        <v/>
      </c>
      <c r="R771" t="str">
        <f t="shared" si="132"/>
        <v/>
      </c>
      <c r="CB771" s="10"/>
      <c r="CI771" s="69"/>
    </row>
    <row r="772" spans="2:87">
      <c r="C772" t="str">
        <f t="shared" si="126"/>
        <v/>
      </c>
      <c r="D772">
        <v>763</v>
      </c>
      <c r="E772" s="97">
        <v>355</v>
      </c>
      <c r="F772" s="366">
        <f t="shared" si="127"/>
        <v>7703.5</v>
      </c>
      <c r="G772" s="97">
        <v>9903</v>
      </c>
      <c r="H772" s="367">
        <f t="shared" si="128"/>
        <v>17606.5</v>
      </c>
      <c r="I772" s="368">
        <f t="shared" si="129"/>
        <v>0</v>
      </c>
      <c r="J772" s="97">
        <v>37359</v>
      </c>
      <c r="K772" s="367">
        <f t="shared" si="130"/>
        <v>26685</v>
      </c>
      <c r="L772" s="10">
        <v>0.86</v>
      </c>
      <c r="M772" s="97">
        <v>7.1999999999999993</v>
      </c>
      <c r="N772" s="605">
        <v>47</v>
      </c>
      <c r="O772" s="97">
        <v>10</v>
      </c>
      <c r="P772" s="97" t="s">
        <v>515</v>
      </c>
      <c r="Q772" s="97" t="str">
        <f t="shared" si="131"/>
        <v/>
      </c>
      <c r="R772" t="str">
        <f t="shared" si="132"/>
        <v/>
      </c>
      <c r="CB772" s="10"/>
      <c r="CI772" s="69"/>
    </row>
    <row r="773" spans="2:87">
      <c r="C773" t="str">
        <f t="shared" si="126"/>
        <v/>
      </c>
      <c r="D773">
        <v>764</v>
      </c>
      <c r="E773" s="97">
        <v>360</v>
      </c>
      <c r="F773" s="366">
        <f t="shared" si="127"/>
        <v>7812</v>
      </c>
      <c r="G773" s="97">
        <v>9992</v>
      </c>
      <c r="H773" s="367">
        <f t="shared" si="128"/>
        <v>17804</v>
      </c>
      <c r="I773" s="368">
        <f t="shared" si="129"/>
        <v>0</v>
      </c>
      <c r="J773" s="97">
        <v>37695</v>
      </c>
      <c r="K773" s="367">
        <f t="shared" si="130"/>
        <v>26925</v>
      </c>
      <c r="L773" s="10">
        <v>0.89</v>
      </c>
      <c r="M773" s="97">
        <v>7.1999999999999993</v>
      </c>
      <c r="N773" s="605">
        <v>47</v>
      </c>
      <c r="O773" s="97">
        <v>10</v>
      </c>
      <c r="P773" s="97" t="s">
        <v>515</v>
      </c>
      <c r="Q773" s="97" t="str">
        <f t="shared" si="131"/>
        <v/>
      </c>
      <c r="R773" t="str">
        <f t="shared" si="132"/>
        <v/>
      </c>
      <c r="CB773" s="10"/>
      <c r="CI773" s="69"/>
    </row>
    <row r="774" spans="2:87">
      <c r="C774" t="str">
        <f t="shared" si="126"/>
        <v/>
      </c>
      <c r="D774">
        <v>765</v>
      </c>
      <c r="E774" s="97">
        <v>365</v>
      </c>
      <c r="F774" s="366">
        <f t="shared" si="127"/>
        <v>7920.5</v>
      </c>
      <c r="G774" s="97">
        <v>10078</v>
      </c>
      <c r="H774" s="367">
        <f t="shared" si="128"/>
        <v>17998.5</v>
      </c>
      <c r="I774" s="368">
        <f t="shared" si="129"/>
        <v>0</v>
      </c>
      <c r="J774" s="97">
        <v>38020</v>
      </c>
      <c r="K774" s="367">
        <f t="shared" si="130"/>
        <v>27157.142857142859</v>
      </c>
      <c r="L774" s="10">
        <v>0.91</v>
      </c>
      <c r="M774" s="97">
        <v>7.1999999999999993</v>
      </c>
      <c r="N774" s="605">
        <v>48</v>
      </c>
      <c r="O774" s="97">
        <v>10</v>
      </c>
      <c r="P774" s="97" t="s">
        <v>515</v>
      </c>
      <c r="Q774" s="97" t="str">
        <f t="shared" si="131"/>
        <v/>
      </c>
      <c r="R774" t="str">
        <f t="shared" si="132"/>
        <v/>
      </c>
      <c r="CB774" s="10"/>
      <c r="CI774" s="69"/>
    </row>
    <row r="775" spans="2:87">
      <c r="C775" t="str">
        <f t="shared" si="126"/>
        <v/>
      </c>
      <c r="D775">
        <v>766</v>
      </c>
      <c r="E775" s="97">
        <v>370</v>
      </c>
      <c r="F775" s="366">
        <f t="shared" si="127"/>
        <v>8029</v>
      </c>
      <c r="G775" s="97">
        <v>10149</v>
      </c>
      <c r="H775" s="367">
        <f t="shared" si="128"/>
        <v>18178</v>
      </c>
      <c r="I775" s="368">
        <f t="shared" si="129"/>
        <v>0</v>
      </c>
      <c r="J775" s="97">
        <v>38285</v>
      </c>
      <c r="K775" s="367">
        <f t="shared" si="130"/>
        <v>27346.428571428572</v>
      </c>
      <c r="L775" s="10">
        <v>0.94000000000000006</v>
      </c>
      <c r="M775" s="97">
        <v>7.1999999999999993</v>
      </c>
      <c r="N775" s="605">
        <v>48</v>
      </c>
      <c r="O775" s="97">
        <v>10</v>
      </c>
      <c r="P775" s="97" t="s">
        <v>515</v>
      </c>
      <c r="Q775" s="97" t="str">
        <f t="shared" si="131"/>
        <v/>
      </c>
      <c r="R775" t="str">
        <f t="shared" si="132"/>
        <v/>
      </c>
      <c r="CB775" s="10"/>
      <c r="CI775" s="69"/>
    </row>
    <row r="776" spans="2:87">
      <c r="C776" t="str">
        <f t="shared" si="126"/>
        <v/>
      </c>
      <c r="D776">
        <v>767</v>
      </c>
      <c r="E776" s="97">
        <v>375</v>
      </c>
      <c r="F776" s="366">
        <f t="shared" si="127"/>
        <v>8137.5</v>
      </c>
      <c r="G776" s="97">
        <v>10219</v>
      </c>
      <c r="H776" s="367">
        <f t="shared" si="128"/>
        <v>18356.5</v>
      </c>
      <c r="I776" s="368">
        <f t="shared" si="129"/>
        <v>0</v>
      </c>
      <c r="J776" s="97">
        <v>38549</v>
      </c>
      <c r="K776" s="367">
        <f t="shared" si="130"/>
        <v>27535</v>
      </c>
      <c r="L776" s="10">
        <v>0.96</v>
      </c>
      <c r="M776" s="97">
        <v>7.1999999999999993</v>
      </c>
      <c r="N776" s="605">
        <v>49</v>
      </c>
      <c r="O776" s="97">
        <v>10</v>
      </c>
      <c r="P776" s="97" t="s">
        <v>515</v>
      </c>
      <c r="Q776" s="97" t="str">
        <f t="shared" si="131"/>
        <v/>
      </c>
      <c r="R776" t="str">
        <f t="shared" si="132"/>
        <v/>
      </c>
      <c r="CB776" s="10"/>
      <c r="CI776" s="69"/>
    </row>
    <row r="777" spans="2:87">
      <c r="C777" t="str">
        <f t="shared" si="126"/>
        <v/>
      </c>
      <c r="D777">
        <v>768</v>
      </c>
      <c r="E777" s="97">
        <v>380</v>
      </c>
      <c r="F777" s="366">
        <f t="shared" si="127"/>
        <v>8246</v>
      </c>
      <c r="G777" s="97">
        <v>10289</v>
      </c>
      <c r="H777" s="367">
        <f t="shared" si="128"/>
        <v>18535</v>
      </c>
      <c r="I777" s="368">
        <f t="shared" si="129"/>
        <v>0</v>
      </c>
      <c r="J777" s="97">
        <v>38814</v>
      </c>
      <c r="K777" s="367">
        <f t="shared" si="130"/>
        <v>27724.285714285714</v>
      </c>
      <c r="L777" s="10">
        <v>0.99</v>
      </c>
      <c r="M777" s="97">
        <v>7.1999999999999993</v>
      </c>
      <c r="N777" s="605">
        <v>50</v>
      </c>
      <c r="O777" s="97">
        <v>10</v>
      </c>
      <c r="P777" s="97" t="s">
        <v>515</v>
      </c>
      <c r="Q777" s="97" t="str">
        <f t="shared" si="131"/>
        <v/>
      </c>
      <c r="R777" t="str">
        <f t="shared" si="132"/>
        <v/>
      </c>
      <c r="CB777" s="10"/>
      <c r="CI777" s="69"/>
    </row>
    <row r="778" spans="2:87">
      <c r="C778" t="str">
        <f t="shared" si="126"/>
        <v/>
      </c>
      <c r="D778">
        <v>769</v>
      </c>
      <c r="E778" s="97">
        <v>385</v>
      </c>
      <c r="F778" s="366">
        <f t="shared" si="127"/>
        <v>8354.5</v>
      </c>
      <c r="G778" s="97">
        <v>10359</v>
      </c>
      <c r="H778" s="367">
        <f t="shared" si="128"/>
        <v>18713.5</v>
      </c>
      <c r="I778" s="368">
        <f t="shared" si="129"/>
        <v>0</v>
      </c>
      <c r="J778" s="97">
        <v>39078</v>
      </c>
      <c r="K778" s="367">
        <f t="shared" si="130"/>
        <v>27912.857142857145</v>
      </c>
      <c r="L778" s="10">
        <v>1.01</v>
      </c>
      <c r="M778" s="97">
        <v>7.1999999999999993</v>
      </c>
      <c r="N778" s="605">
        <v>50</v>
      </c>
      <c r="O778" s="97">
        <v>10</v>
      </c>
      <c r="P778" s="97" t="s">
        <v>515</v>
      </c>
      <c r="Q778" s="97" t="str">
        <f t="shared" si="131"/>
        <v/>
      </c>
      <c r="R778" t="str">
        <f t="shared" si="132"/>
        <v/>
      </c>
      <c r="CB778" s="10"/>
      <c r="CI778" s="69"/>
    </row>
    <row r="779" spans="2:87">
      <c r="E779" s="97"/>
      <c r="H779" s="97"/>
      <c r="I779" s="97"/>
      <c r="J779" s="97"/>
      <c r="K779" s="97"/>
      <c r="L779" s="97"/>
      <c r="M779" s="97"/>
      <c r="N779" s="97"/>
      <c r="O779" s="97"/>
      <c r="P779" s="97"/>
    </row>
    <row r="780" spans="2:87">
      <c r="B780" s="581"/>
      <c r="C780" t="str">
        <f t="shared" ref="C780:C841" si="133">IF(OR($O$4=0,O780-$O$4=0),IF(AND(ISEVEN(O780)=FALSE,$N$4="Even"),"NL",""),"NL")</f>
        <v/>
      </c>
      <c r="D780" s="36">
        <v>1</v>
      </c>
      <c r="E780" s="97">
        <v>5</v>
      </c>
      <c r="F780" s="366">
        <f t="shared" ref="F780:F843" si="134">1.085*($A$2-$B$2)*E780*$T$7</f>
        <v>108.5</v>
      </c>
      <c r="G780" s="97">
        <v>462</v>
      </c>
      <c r="H780" s="367">
        <f t="shared" ref="H780:H843" si="135">(G780*$U$7)+F780</f>
        <v>570.5</v>
      </c>
      <c r="I780" s="368">
        <f t="shared" si="111"/>
        <v>0</v>
      </c>
      <c r="J780" s="97">
        <v>1742</v>
      </c>
      <c r="K780" s="367">
        <f t="shared" si="112"/>
        <v>1244.2857142857142</v>
      </c>
      <c r="L780" s="606">
        <v>0.35000000000000003</v>
      </c>
      <c r="M780" s="97">
        <v>1.7000000000000002</v>
      </c>
      <c r="N780" s="605">
        <v>15</v>
      </c>
      <c r="O780" s="97">
        <v>2</v>
      </c>
      <c r="P780" s="97" t="s">
        <v>512</v>
      </c>
      <c r="Q780" s="97" t="str">
        <f t="shared" ref="Q780:Q843" si="136">IF(AND(H780+1&gt;$E$4,L780&lt;$L$4+0.01,M780&lt;$M$4+0.01,K780+1&gt;$F$4,E780+1&gt;$J$4,N780&lt;$K$4+1,O780&lt;$P$4+1,C780=""),D780,"")</f>
        <v/>
      </c>
      <c r="R780" t="str">
        <f t="shared" ref="R780:R843" si="137">IF(Q780="","",IF(AND(O780&lt;$X$15,E780&gt;$U$15,E780&lt;$Q$4+$U$15+1),D780,""))</f>
        <v/>
      </c>
    </row>
    <row r="781" spans="2:87">
      <c r="B781" s="582"/>
      <c r="C781" t="str">
        <f t="shared" si="133"/>
        <v/>
      </c>
      <c r="D781" s="36">
        <v>2</v>
      </c>
      <c r="E781" s="97">
        <v>5</v>
      </c>
      <c r="F781" s="366">
        <f t="shared" si="134"/>
        <v>108.5</v>
      </c>
      <c r="G781" s="97">
        <v>365</v>
      </c>
      <c r="H781" s="367">
        <f t="shared" si="135"/>
        <v>473.5</v>
      </c>
      <c r="I781" s="368">
        <f t="shared" si="111"/>
        <v>0</v>
      </c>
      <c r="J781" s="97">
        <v>1379</v>
      </c>
      <c r="K781" s="367">
        <f t="shared" si="112"/>
        <v>985</v>
      </c>
      <c r="L781" s="606">
        <v>0.18000000000000002</v>
      </c>
      <c r="M781" s="97">
        <v>1.7000000000000002</v>
      </c>
      <c r="N781" s="605">
        <v>15</v>
      </c>
      <c r="O781" s="97">
        <v>2</v>
      </c>
      <c r="P781" s="97" t="s">
        <v>513</v>
      </c>
      <c r="Q781" s="97" t="str">
        <f t="shared" si="136"/>
        <v/>
      </c>
      <c r="R781" t="str">
        <f t="shared" si="137"/>
        <v/>
      </c>
    </row>
    <row r="782" spans="2:87">
      <c r="C782" t="str">
        <f t="shared" si="133"/>
        <v>NL</v>
      </c>
      <c r="D782" s="36">
        <v>3</v>
      </c>
      <c r="E782" s="97">
        <v>5</v>
      </c>
      <c r="F782" s="366">
        <f t="shared" si="134"/>
        <v>108.5</v>
      </c>
      <c r="G782" s="97">
        <v>506</v>
      </c>
      <c r="H782" s="367">
        <f t="shared" si="135"/>
        <v>614.5</v>
      </c>
      <c r="I782" s="368">
        <f t="shared" si="111"/>
        <v>0</v>
      </c>
      <c r="J782" s="97">
        <v>1910</v>
      </c>
      <c r="K782" s="367">
        <f t="shared" si="112"/>
        <v>1364.2857142857142</v>
      </c>
      <c r="L782" s="606">
        <v>0.15000000000000002</v>
      </c>
      <c r="M782" s="97">
        <v>2.4</v>
      </c>
      <c r="N782" s="605">
        <v>15</v>
      </c>
      <c r="O782" s="97">
        <v>3</v>
      </c>
      <c r="P782" s="97" t="s">
        <v>512</v>
      </c>
      <c r="Q782" s="97" t="str">
        <f t="shared" si="136"/>
        <v/>
      </c>
      <c r="R782" t="str">
        <f t="shared" si="137"/>
        <v/>
      </c>
    </row>
    <row r="783" spans="2:87">
      <c r="C783" t="str">
        <f t="shared" si="133"/>
        <v/>
      </c>
      <c r="D783" s="36">
        <v>4</v>
      </c>
      <c r="E783" s="97">
        <v>10</v>
      </c>
      <c r="F783" s="366">
        <f t="shared" si="134"/>
        <v>217</v>
      </c>
      <c r="G783" s="97">
        <v>750</v>
      </c>
      <c r="H783" s="367">
        <f t="shared" si="135"/>
        <v>967</v>
      </c>
      <c r="I783" s="368">
        <f t="shared" si="111"/>
        <v>0</v>
      </c>
      <c r="J783" s="97">
        <v>2831</v>
      </c>
      <c r="K783" s="367">
        <f t="shared" si="112"/>
        <v>2022.1428571428571</v>
      </c>
      <c r="L783" s="606">
        <v>0.69000000000000006</v>
      </c>
      <c r="M783" s="97">
        <v>1.7000000000000002</v>
      </c>
      <c r="N783" s="605">
        <v>19</v>
      </c>
      <c r="O783" s="97">
        <v>2</v>
      </c>
      <c r="P783" s="97" t="s">
        <v>513</v>
      </c>
      <c r="Q783" s="97" t="str">
        <f t="shared" si="136"/>
        <v/>
      </c>
      <c r="R783" t="str">
        <f t="shared" si="137"/>
        <v/>
      </c>
    </row>
    <row r="784" spans="2:87">
      <c r="C784" t="str">
        <f t="shared" si="133"/>
        <v/>
      </c>
      <c r="D784" s="36">
        <v>5</v>
      </c>
      <c r="E784" s="97">
        <v>10</v>
      </c>
      <c r="F784" s="366">
        <f t="shared" si="134"/>
        <v>217</v>
      </c>
      <c r="G784" s="97">
        <v>626</v>
      </c>
      <c r="H784" s="367">
        <f t="shared" si="135"/>
        <v>843</v>
      </c>
      <c r="I784" s="368">
        <f t="shared" si="111"/>
        <v>0</v>
      </c>
      <c r="J784" s="97">
        <v>2365</v>
      </c>
      <c r="K784" s="367">
        <f t="shared" si="112"/>
        <v>1689.2857142857142</v>
      </c>
      <c r="L784" s="606">
        <v>0.31</v>
      </c>
      <c r="M784" s="97">
        <v>1.7000000000000002</v>
      </c>
      <c r="N784" s="605">
        <v>15</v>
      </c>
      <c r="O784" s="97">
        <v>2</v>
      </c>
      <c r="P784" s="97" t="s">
        <v>555</v>
      </c>
      <c r="Q784" s="97" t="str">
        <f t="shared" si="136"/>
        <v/>
      </c>
      <c r="R784" t="str">
        <f t="shared" si="137"/>
        <v/>
      </c>
    </row>
    <row r="785" spans="3:18">
      <c r="C785" t="str">
        <f t="shared" si="133"/>
        <v/>
      </c>
      <c r="D785" s="36">
        <v>6</v>
      </c>
      <c r="E785" s="97">
        <v>10</v>
      </c>
      <c r="F785" s="366">
        <f t="shared" si="134"/>
        <v>217</v>
      </c>
      <c r="G785" s="97">
        <v>580</v>
      </c>
      <c r="H785" s="367">
        <f t="shared" si="135"/>
        <v>797</v>
      </c>
      <c r="I785" s="368">
        <f t="shared" si="111"/>
        <v>0</v>
      </c>
      <c r="J785" s="97">
        <v>2189</v>
      </c>
      <c r="K785" s="367">
        <f t="shared" si="112"/>
        <v>1563.5714285714287</v>
      </c>
      <c r="L785" s="606">
        <v>0.21000000000000002</v>
      </c>
      <c r="M785" s="97">
        <v>1.7000000000000002</v>
      </c>
      <c r="N785" s="605">
        <v>15</v>
      </c>
      <c r="O785" s="97">
        <v>2</v>
      </c>
      <c r="P785" s="97" t="s">
        <v>514</v>
      </c>
      <c r="Q785" s="97" t="str">
        <f t="shared" si="136"/>
        <v/>
      </c>
      <c r="R785" t="str">
        <f t="shared" si="137"/>
        <v/>
      </c>
    </row>
    <row r="786" spans="3:18">
      <c r="C786" t="str">
        <f t="shared" si="133"/>
        <v>NL</v>
      </c>
      <c r="D786" s="36">
        <v>7</v>
      </c>
      <c r="E786" s="97">
        <v>10</v>
      </c>
      <c r="F786" s="366">
        <f t="shared" si="134"/>
        <v>217</v>
      </c>
      <c r="G786" s="97">
        <v>996</v>
      </c>
      <c r="H786" s="367">
        <f t="shared" si="135"/>
        <v>1213</v>
      </c>
      <c r="I786" s="368">
        <f t="shared" si="111"/>
        <v>0</v>
      </c>
      <c r="J786" s="97">
        <v>3760</v>
      </c>
      <c r="K786" s="367">
        <f t="shared" si="112"/>
        <v>2685.7142857142858</v>
      </c>
      <c r="L786" s="606">
        <v>0.57000000000000006</v>
      </c>
      <c r="M786" s="97">
        <v>2.4</v>
      </c>
      <c r="N786" s="605">
        <v>15</v>
      </c>
      <c r="O786" s="97">
        <v>3</v>
      </c>
      <c r="P786" s="97" t="s">
        <v>512</v>
      </c>
      <c r="Q786" s="97" t="str">
        <f t="shared" si="136"/>
        <v/>
      </c>
      <c r="R786" t="str">
        <f t="shared" si="137"/>
        <v/>
      </c>
    </row>
    <row r="787" spans="3:18">
      <c r="C787" t="str">
        <f t="shared" si="133"/>
        <v>NL</v>
      </c>
      <c r="D787" s="36">
        <v>8</v>
      </c>
      <c r="E787" s="97">
        <v>10</v>
      </c>
      <c r="F787" s="366">
        <f t="shared" si="134"/>
        <v>217</v>
      </c>
      <c r="G787" s="97">
        <v>761</v>
      </c>
      <c r="H787" s="367">
        <f t="shared" si="135"/>
        <v>978</v>
      </c>
      <c r="I787" s="368">
        <f t="shared" si="111"/>
        <v>0</v>
      </c>
      <c r="J787" s="97">
        <v>2873</v>
      </c>
      <c r="K787" s="367">
        <f t="shared" si="112"/>
        <v>2052.1428571428573</v>
      </c>
      <c r="L787" s="606">
        <v>0.29000000000000004</v>
      </c>
      <c r="M787" s="97">
        <v>2.4</v>
      </c>
      <c r="N787" s="605">
        <v>15</v>
      </c>
      <c r="O787" s="97">
        <v>3</v>
      </c>
      <c r="P787" s="97" t="s">
        <v>513</v>
      </c>
      <c r="Q787" s="97" t="str">
        <f t="shared" si="136"/>
        <v/>
      </c>
      <c r="R787" t="str">
        <f t="shared" si="137"/>
        <v/>
      </c>
    </row>
    <row r="788" spans="3:18">
      <c r="C788" t="str">
        <f t="shared" si="133"/>
        <v>NL</v>
      </c>
      <c r="D788" s="36">
        <v>9</v>
      </c>
      <c r="E788" s="97">
        <v>10</v>
      </c>
      <c r="F788" s="366">
        <f t="shared" si="134"/>
        <v>217</v>
      </c>
      <c r="G788" s="97">
        <v>600</v>
      </c>
      <c r="H788" s="367">
        <f t="shared" si="135"/>
        <v>817</v>
      </c>
      <c r="I788" s="368">
        <f t="shared" si="111"/>
        <v>0</v>
      </c>
      <c r="J788" s="97">
        <v>2266</v>
      </c>
      <c r="K788" s="367">
        <f t="shared" si="112"/>
        <v>1618.5714285714287</v>
      </c>
      <c r="L788" s="606">
        <v>0.13</v>
      </c>
      <c r="M788" s="97">
        <v>2.4</v>
      </c>
      <c r="N788" s="605">
        <v>15</v>
      </c>
      <c r="O788" s="97">
        <v>3</v>
      </c>
      <c r="P788" s="97" t="s">
        <v>555</v>
      </c>
      <c r="Q788" s="97" t="str">
        <f t="shared" si="136"/>
        <v/>
      </c>
      <c r="R788" t="str">
        <f t="shared" si="137"/>
        <v/>
      </c>
    </row>
    <row r="789" spans="3:18">
      <c r="C789" t="str">
        <f t="shared" si="133"/>
        <v/>
      </c>
      <c r="D789" s="36">
        <v>10</v>
      </c>
      <c r="E789" s="97">
        <v>10</v>
      </c>
      <c r="F789" s="366">
        <f t="shared" si="134"/>
        <v>217</v>
      </c>
      <c r="G789" s="97">
        <v>1023</v>
      </c>
      <c r="H789" s="367">
        <f t="shared" si="135"/>
        <v>1240</v>
      </c>
      <c r="I789" s="368">
        <f t="shared" si="111"/>
        <v>0</v>
      </c>
      <c r="J789" s="97">
        <v>3862</v>
      </c>
      <c r="K789" s="367">
        <f t="shared" si="112"/>
        <v>2758.5714285714284</v>
      </c>
      <c r="L789" s="606">
        <v>0.32</v>
      </c>
      <c r="M789" s="97">
        <v>3.1</v>
      </c>
      <c r="N789" s="605">
        <v>15</v>
      </c>
      <c r="O789" s="97">
        <v>4</v>
      </c>
      <c r="P789" s="97" t="s">
        <v>512</v>
      </c>
      <c r="Q789" s="97" t="str">
        <f t="shared" si="136"/>
        <v/>
      </c>
      <c r="R789" t="str">
        <f t="shared" si="137"/>
        <v/>
      </c>
    </row>
    <row r="790" spans="3:18">
      <c r="C790" t="str">
        <f t="shared" si="133"/>
        <v/>
      </c>
      <c r="D790" s="36">
        <v>11</v>
      </c>
      <c r="E790" s="97">
        <v>10</v>
      </c>
      <c r="F790" s="366">
        <f t="shared" si="134"/>
        <v>217</v>
      </c>
      <c r="G790" s="97">
        <v>815</v>
      </c>
      <c r="H790" s="367">
        <f t="shared" si="135"/>
        <v>1032</v>
      </c>
      <c r="I790" s="368">
        <f t="shared" si="111"/>
        <v>0</v>
      </c>
      <c r="J790" s="97">
        <v>3076</v>
      </c>
      <c r="K790" s="367">
        <f t="shared" si="112"/>
        <v>2197.1428571428573</v>
      </c>
      <c r="L790" s="606">
        <v>0.16</v>
      </c>
      <c r="M790" s="97">
        <v>3.1</v>
      </c>
      <c r="N790" s="605">
        <v>15</v>
      </c>
      <c r="O790" s="97">
        <v>4</v>
      </c>
      <c r="P790" s="97" t="s">
        <v>513</v>
      </c>
      <c r="Q790" s="97" t="str">
        <f t="shared" si="136"/>
        <v/>
      </c>
      <c r="R790" t="str">
        <f t="shared" si="137"/>
        <v/>
      </c>
    </row>
    <row r="791" spans="3:18">
      <c r="C791" t="str">
        <f t="shared" si="133"/>
        <v>NL</v>
      </c>
      <c r="D791" s="36">
        <v>12</v>
      </c>
      <c r="E791" s="97">
        <v>10</v>
      </c>
      <c r="F791" s="366">
        <f t="shared" si="134"/>
        <v>217</v>
      </c>
      <c r="G791" s="97">
        <v>1080</v>
      </c>
      <c r="H791" s="367">
        <f t="shared" si="135"/>
        <v>1297</v>
      </c>
      <c r="I791" s="368">
        <f t="shared" si="111"/>
        <v>0</v>
      </c>
      <c r="J791" s="97">
        <v>4075</v>
      </c>
      <c r="K791" s="367">
        <f t="shared" si="112"/>
        <v>2910.7142857142858</v>
      </c>
      <c r="L791" s="606">
        <v>0.2</v>
      </c>
      <c r="M791" s="97">
        <v>3.8000000000000003</v>
      </c>
      <c r="N791" s="605">
        <v>15</v>
      </c>
      <c r="O791" s="97">
        <v>5</v>
      </c>
      <c r="P791" s="97" t="s">
        <v>512</v>
      </c>
      <c r="Q791" s="97" t="str">
        <f t="shared" si="136"/>
        <v/>
      </c>
      <c r="R791" t="str">
        <f t="shared" si="137"/>
        <v/>
      </c>
    </row>
    <row r="792" spans="3:18">
      <c r="C792" t="str">
        <f t="shared" si="133"/>
        <v/>
      </c>
      <c r="D792" s="36">
        <v>13</v>
      </c>
      <c r="E792" s="97">
        <v>10</v>
      </c>
      <c r="F792" s="366">
        <f t="shared" si="134"/>
        <v>217</v>
      </c>
      <c r="G792" s="97">
        <v>1109</v>
      </c>
      <c r="H792" s="367">
        <f t="shared" si="135"/>
        <v>1326</v>
      </c>
      <c r="I792" s="368">
        <f t="shared" si="111"/>
        <v>0</v>
      </c>
      <c r="J792" s="97">
        <v>4183</v>
      </c>
      <c r="K792" s="367">
        <f t="shared" si="112"/>
        <v>2987.8571428571431</v>
      </c>
      <c r="L792" s="606">
        <v>0.14000000000000001</v>
      </c>
      <c r="M792" s="97">
        <v>4.3999999999999995</v>
      </c>
      <c r="N792" s="605">
        <v>15</v>
      </c>
      <c r="O792" s="97">
        <v>6</v>
      </c>
      <c r="P792" s="97" t="s">
        <v>512</v>
      </c>
      <c r="Q792" s="97" t="str">
        <f t="shared" si="136"/>
        <v/>
      </c>
      <c r="R792" t="str">
        <f t="shared" si="137"/>
        <v/>
      </c>
    </row>
    <row r="793" spans="3:18">
      <c r="C793" t="str">
        <f t="shared" si="133"/>
        <v/>
      </c>
      <c r="D793" s="36">
        <v>14</v>
      </c>
      <c r="E793" s="97">
        <v>15</v>
      </c>
      <c r="F793" s="366">
        <f t="shared" si="134"/>
        <v>325.5</v>
      </c>
      <c r="G793" s="97">
        <v>847</v>
      </c>
      <c r="H793" s="367">
        <f t="shared" si="135"/>
        <v>1172.5</v>
      </c>
      <c r="I793" s="368">
        <f t="shared" si="111"/>
        <v>0</v>
      </c>
      <c r="J793" s="97">
        <v>3198</v>
      </c>
      <c r="K793" s="367">
        <f t="shared" si="112"/>
        <v>2284.2857142857142</v>
      </c>
      <c r="L793" s="606">
        <v>0.68</v>
      </c>
      <c r="M793" s="97">
        <v>1.7000000000000002</v>
      </c>
      <c r="N793" s="605">
        <v>18</v>
      </c>
      <c r="O793" s="97">
        <v>2</v>
      </c>
      <c r="P793" s="97" t="s">
        <v>555</v>
      </c>
      <c r="Q793" s="97" t="str">
        <f t="shared" si="136"/>
        <v/>
      </c>
      <c r="R793" t="str">
        <f t="shared" si="137"/>
        <v/>
      </c>
    </row>
    <row r="794" spans="3:18">
      <c r="C794" t="str">
        <f t="shared" si="133"/>
        <v/>
      </c>
      <c r="D794" s="36">
        <v>15</v>
      </c>
      <c r="E794" s="97">
        <v>15</v>
      </c>
      <c r="F794" s="366">
        <f t="shared" si="134"/>
        <v>325.5</v>
      </c>
      <c r="G794" s="97">
        <v>811</v>
      </c>
      <c r="H794" s="367">
        <f t="shared" si="135"/>
        <v>1136.5</v>
      </c>
      <c r="I794" s="368">
        <f t="shared" si="111"/>
        <v>0</v>
      </c>
      <c r="J794" s="97">
        <v>3061</v>
      </c>
      <c r="K794" s="367">
        <f t="shared" si="112"/>
        <v>2186.4285714285716</v>
      </c>
      <c r="L794" s="606">
        <v>0.46</v>
      </c>
      <c r="M794" s="97">
        <v>1.7000000000000002</v>
      </c>
      <c r="N794" s="605">
        <v>19</v>
      </c>
      <c r="O794" s="97">
        <v>2</v>
      </c>
      <c r="P794" s="97" t="s">
        <v>514</v>
      </c>
      <c r="Q794" s="97" t="str">
        <f t="shared" si="136"/>
        <v/>
      </c>
      <c r="R794" t="str">
        <f t="shared" si="137"/>
        <v/>
      </c>
    </row>
    <row r="795" spans="3:18">
      <c r="C795" t="str">
        <f t="shared" si="133"/>
        <v/>
      </c>
      <c r="D795" s="36">
        <v>16</v>
      </c>
      <c r="E795" s="97">
        <v>15</v>
      </c>
      <c r="F795" s="366">
        <f t="shared" si="134"/>
        <v>325.5</v>
      </c>
      <c r="G795" s="97">
        <v>673</v>
      </c>
      <c r="H795" s="367">
        <f t="shared" si="135"/>
        <v>998.5</v>
      </c>
      <c r="I795" s="368">
        <f t="shared" si="111"/>
        <v>0</v>
      </c>
      <c r="J795" s="97">
        <v>2539</v>
      </c>
      <c r="K795" s="367">
        <f t="shared" si="112"/>
        <v>1813.5714285714287</v>
      </c>
      <c r="L795" s="606">
        <v>0.22</v>
      </c>
      <c r="M795" s="97">
        <v>1.7000000000000002</v>
      </c>
      <c r="N795" s="605">
        <v>15</v>
      </c>
      <c r="O795" s="97">
        <v>2</v>
      </c>
      <c r="P795" s="97" t="s">
        <v>556</v>
      </c>
      <c r="Q795" s="97" t="str">
        <f t="shared" si="136"/>
        <v/>
      </c>
      <c r="R795" t="str">
        <f t="shared" si="137"/>
        <v/>
      </c>
    </row>
    <row r="796" spans="3:18">
      <c r="C796" t="str">
        <f t="shared" si="133"/>
        <v>NL</v>
      </c>
      <c r="D796" s="36">
        <v>17</v>
      </c>
      <c r="E796" s="97">
        <v>15</v>
      </c>
      <c r="F796" s="366">
        <f t="shared" si="134"/>
        <v>325.5</v>
      </c>
      <c r="G796" s="97">
        <v>1208</v>
      </c>
      <c r="H796" s="367">
        <f t="shared" si="135"/>
        <v>1533.5</v>
      </c>
      <c r="I796" s="368">
        <f t="shared" si="111"/>
        <v>0</v>
      </c>
      <c r="J796" s="97">
        <v>4559</v>
      </c>
      <c r="K796" s="367">
        <f t="shared" si="112"/>
        <v>3256.4285714285716</v>
      </c>
      <c r="L796" s="606">
        <v>0.64</v>
      </c>
      <c r="M796" s="97">
        <v>2.4</v>
      </c>
      <c r="N796" s="605">
        <v>19</v>
      </c>
      <c r="O796" s="97">
        <v>3</v>
      </c>
      <c r="P796" s="97" t="s">
        <v>513</v>
      </c>
      <c r="Q796" s="97" t="str">
        <f t="shared" si="136"/>
        <v/>
      </c>
      <c r="R796" t="str">
        <f t="shared" si="137"/>
        <v/>
      </c>
    </row>
    <row r="797" spans="3:18">
      <c r="C797" t="str">
        <f t="shared" si="133"/>
        <v>NL</v>
      </c>
      <c r="D797" s="36">
        <v>18</v>
      </c>
      <c r="E797" s="97">
        <v>15</v>
      </c>
      <c r="F797" s="366">
        <f t="shared" si="134"/>
        <v>325.5</v>
      </c>
      <c r="G797" s="97">
        <v>929</v>
      </c>
      <c r="H797" s="367">
        <f t="shared" si="135"/>
        <v>1254.5</v>
      </c>
      <c r="I797" s="368">
        <f t="shared" si="111"/>
        <v>0</v>
      </c>
      <c r="J797" s="97">
        <v>3506</v>
      </c>
      <c r="K797" s="367">
        <f t="shared" si="112"/>
        <v>2504.2857142857142</v>
      </c>
      <c r="L797" s="606">
        <v>0.29000000000000004</v>
      </c>
      <c r="M797" s="97">
        <v>2.4</v>
      </c>
      <c r="N797" s="605">
        <v>15</v>
      </c>
      <c r="O797" s="97">
        <v>3</v>
      </c>
      <c r="P797" s="97" t="s">
        <v>555</v>
      </c>
      <c r="Q797" s="97" t="str">
        <f t="shared" si="136"/>
        <v/>
      </c>
      <c r="R797" t="str">
        <f t="shared" si="137"/>
        <v/>
      </c>
    </row>
    <row r="798" spans="3:18">
      <c r="C798" t="str">
        <f t="shared" si="133"/>
        <v>NL</v>
      </c>
      <c r="D798" s="36">
        <v>19</v>
      </c>
      <c r="E798" s="97">
        <v>15</v>
      </c>
      <c r="F798" s="366">
        <f t="shared" si="134"/>
        <v>325.5</v>
      </c>
      <c r="G798" s="97">
        <v>848</v>
      </c>
      <c r="H798" s="367">
        <f t="shared" si="135"/>
        <v>1173.5</v>
      </c>
      <c r="I798" s="368">
        <f t="shared" si="111"/>
        <v>0</v>
      </c>
      <c r="J798" s="97">
        <v>3200</v>
      </c>
      <c r="K798" s="367">
        <f t="shared" si="112"/>
        <v>2285.7142857142858</v>
      </c>
      <c r="L798" s="606">
        <v>0.19</v>
      </c>
      <c r="M798" s="97">
        <v>2.4</v>
      </c>
      <c r="N798" s="605">
        <v>15</v>
      </c>
      <c r="O798" s="97">
        <v>3</v>
      </c>
      <c r="P798" s="97" t="s">
        <v>514</v>
      </c>
      <c r="Q798" s="97" t="str">
        <f t="shared" si="136"/>
        <v/>
      </c>
      <c r="R798" t="str">
        <f t="shared" si="137"/>
        <v/>
      </c>
    </row>
    <row r="799" spans="3:18">
      <c r="C799" t="str">
        <f t="shared" si="133"/>
        <v/>
      </c>
      <c r="D799" s="36">
        <v>20</v>
      </c>
      <c r="E799" s="97">
        <v>15</v>
      </c>
      <c r="F799" s="366">
        <f t="shared" si="134"/>
        <v>325.5</v>
      </c>
      <c r="G799" s="97">
        <v>1569</v>
      </c>
      <c r="H799" s="367">
        <f t="shared" si="135"/>
        <v>1894.5</v>
      </c>
      <c r="I799" s="368">
        <f t="shared" si="111"/>
        <v>0</v>
      </c>
      <c r="J799" s="97">
        <v>5920</v>
      </c>
      <c r="K799" s="367">
        <f t="shared" si="112"/>
        <v>4228.5714285714284</v>
      </c>
      <c r="L799" s="606">
        <v>0.72</v>
      </c>
      <c r="M799" s="97">
        <v>3.1</v>
      </c>
      <c r="N799" s="605">
        <v>18</v>
      </c>
      <c r="O799" s="97">
        <v>4</v>
      </c>
      <c r="P799" s="97" t="s">
        <v>512</v>
      </c>
      <c r="Q799" s="97" t="str">
        <f t="shared" si="136"/>
        <v/>
      </c>
      <c r="R799" t="str">
        <f t="shared" si="137"/>
        <v/>
      </c>
    </row>
    <row r="800" spans="3:18">
      <c r="C800" t="str">
        <f t="shared" si="133"/>
        <v/>
      </c>
      <c r="D800" s="36">
        <v>21</v>
      </c>
      <c r="E800" s="97">
        <v>15</v>
      </c>
      <c r="F800" s="366">
        <f t="shared" si="134"/>
        <v>325.5</v>
      </c>
      <c r="G800" s="97">
        <v>1186</v>
      </c>
      <c r="H800" s="367">
        <f t="shared" si="135"/>
        <v>1511.5</v>
      </c>
      <c r="I800" s="368">
        <f t="shared" si="111"/>
        <v>0</v>
      </c>
      <c r="J800" s="97">
        <v>4476</v>
      </c>
      <c r="K800" s="367">
        <f t="shared" si="112"/>
        <v>3197.1428571428573</v>
      </c>
      <c r="L800" s="606">
        <v>0.36</v>
      </c>
      <c r="M800" s="97">
        <v>3.1</v>
      </c>
      <c r="N800" s="605">
        <v>17</v>
      </c>
      <c r="O800" s="97">
        <v>4</v>
      </c>
      <c r="P800" s="97" t="s">
        <v>513</v>
      </c>
      <c r="Q800" s="97" t="str">
        <f t="shared" si="136"/>
        <v/>
      </c>
      <c r="R800" t="str">
        <f t="shared" si="137"/>
        <v/>
      </c>
    </row>
    <row r="801" spans="3:18">
      <c r="C801" t="str">
        <f t="shared" si="133"/>
        <v/>
      </c>
      <c r="D801" s="36">
        <v>22</v>
      </c>
      <c r="E801" s="97">
        <v>15</v>
      </c>
      <c r="F801" s="366">
        <f t="shared" si="134"/>
        <v>325.5</v>
      </c>
      <c r="G801" s="97">
        <v>883</v>
      </c>
      <c r="H801" s="367">
        <f t="shared" si="135"/>
        <v>1208.5</v>
      </c>
      <c r="I801" s="368">
        <f t="shared" si="111"/>
        <v>0</v>
      </c>
      <c r="J801" s="97">
        <v>3332</v>
      </c>
      <c r="K801" s="367">
        <f t="shared" si="112"/>
        <v>2380</v>
      </c>
      <c r="L801" s="606">
        <v>0.16</v>
      </c>
      <c r="M801" s="97">
        <v>3.1</v>
      </c>
      <c r="N801" s="605">
        <v>15</v>
      </c>
      <c r="O801" s="97">
        <v>4</v>
      </c>
      <c r="P801" s="97" t="s">
        <v>555</v>
      </c>
      <c r="Q801" s="97" t="str">
        <f t="shared" si="136"/>
        <v/>
      </c>
      <c r="R801" t="str">
        <f t="shared" si="137"/>
        <v/>
      </c>
    </row>
    <row r="802" spans="3:18">
      <c r="C802" t="str">
        <f t="shared" si="133"/>
        <v>NL</v>
      </c>
      <c r="D802" s="36">
        <v>23</v>
      </c>
      <c r="E802" s="97">
        <v>15</v>
      </c>
      <c r="F802" s="366">
        <f t="shared" si="134"/>
        <v>325.5</v>
      </c>
      <c r="G802" s="97">
        <v>1598</v>
      </c>
      <c r="H802" s="367">
        <f t="shared" si="135"/>
        <v>1923.5</v>
      </c>
      <c r="I802" s="368">
        <f t="shared" si="111"/>
        <v>0</v>
      </c>
      <c r="J802" s="97">
        <v>6029</v>
      </c>
      <c r="K802" s="367">
        <f t="shared" si="112"/>
        <v>4306.4285714285716</v>
      </c>
      <c r="L802" s="606">
        <v>0.45</v>
      </c>
      <c r="M802" s="97">
        <v>3.8000000000000003</v>
      </c>
      <c r="N802" s="605">
        <v>16</v>
      </c>
      <c r="O802" s="97">
        <v>5</v>
      </c>
      <c r="P802" s="97" t="s">
        <v>512</v>
      </c>
      <c r="Q802" s="97" t="str">
        <f t="shared" si="136"/>
        <v/>
      </c>
      <c r="R802" t="str">
        <f t="shared" si="137"/>
        <v/>
      </c>
    </row>
    <row r="803" spans="3:18">
      <c r="C803" t="str">
        <f t="shared" si="133"/>
        <v>NL</v>
      </c>
      <c r="D803" s="36">
        <v>24</v>
      </c>
      <c r="E803" s="97">
        <v>15</v>
      </c>
      <c r="F803" s="366">
        <f t="shared" si="134"/>
        <v>325.5</v>
      </c>
      <c r="G803" s="97">
        <v>1259</v>
      </c>
      <c r="H803" s="367">
        <f t="shared" si="135"/>
        <v>1584.5</v>
      </c>
      <c r="I803" s="368">
        <f t="shared" si="111"/>
        <v>0</v>
      </c>
      <c r="J803" s="97">
        <v>4751</v>
      </c>
      <c r="K803" s="367">
        <f t="shared" si="112"/>
        <v>3393.5714285714284</v>
      </c>
      <c r="L803" s="606">
        <v>0.23</v>
      </c>
      <c r="M803" s="97">
        <v>3.8000000000000003</v>
      </c>
      <c r="N803" s="605">
        <v>15</v>
      </c>
      <c r="O803" s="97">
        <v>5</v>
      </c>
      <c r="P803" s="97" t="s">
        <v>513</v>
      </c>
      <c r="Q803" s="97" t="str">
        <f t="shared" si="136"/>
        <v/>
      </c>
      <c r="R803" t="str">
        <f t="shared" si="137"/>
        <v/>
      </c>
    </row>
    <row r="804" spans="3:18">
      <c r="C804" t="str">
        <f t="shared" si="133"/>
        <v/>
      </c>
      <c r="D804" s="36">
        <v>25</v>
      </c>
      <c r="E804" s="97">
        <v>15</v>
      </c>
      <c r="F804" s="366">
        <f t="shared" si="134"/>
        <v>325.5</v>
      </c>
      <c r="G804" s="97">
        <v>1678</v>
      </c>
      <c r="H804" s="367">
        <f t="shared" si="135"/>
        <v>2003.5</v>
      </c>
      <c r="I804" s="368">
        <f t="shared" si="111"/>
        <v>0</v>
      </c>
      <c r="J804" s="97">
        <v>6330</v>
      </c>
      <c r="K804" s="367">
        <f t="shared" si="112"/>
        <v>4521.4285714285716</v>
      </c>
      <c r="L804" s="606">
        <v>0.31</v>
      </c>
      <c r="M804" s="97">
        <v>4.3999999999999995</v>
      </c>
      <c r="N804" s="605">
        <v>15</v>
      </c>
      <c r="O804" s="97">
        <v>6</v>
      </c>
      <c r="P804" s="97" t="s">
        <v>512</v>
      </c>
      <c r="Q804" s="97" t="str">
        <f t="shared" si="136"/>
        <v/>
      </c>
      <c r="R804" t="str">
        <f t="shared" si="137"/>
        <v/>
      </c>
    </row>
    <row r="805" spans="3:18">
      <c r="C805" t="str">
        <f t="shared" si="133"/>
        <v/>
      </c>
      <c r="D805" s="36">
        <v>26</v>
      </c>
      <c r="E805" s="97">
        <v>15</v>
      </c>
      <c r="F805" s="366">
        <f t="shared" si="134"/>
        <v>325.5</v>
      </c>
      <c r="G805" s="97">
        <v>1308</v>
      </c>
      <c r="H805" s="367">
        <f t="shared" si="135"/>
        <v>1633.5</v>
      </c>
      <c r="I805" s="368">
        <f t="shared" si="111"/>
        <v>0</v>
      </c>
      <c r="J805" s="97">
        <v>4937</v>
      </c>
      <c r="K805" s="367">
        <f t="shared" si="112"/>
        <v>3526.4285714285716</v>
      </c>
      <c r="L805" s="606">
        <v>0.16</v>
      </c>
      <c r="M805" s="97">
        <v>4.3999999999999995</v>
      </c>
      <c r="N805" s="605">
        <v>15</v>
      </c>
      <c r="O805" s="97">
        <v>6</v>
      </c>
      <c r="P805" s="97" t="s">
        <v>513</v>
      </c>
      <c r="Q805" s="97" t="str">
        <f t="shared" si="136"/>
        <v/>
      </c>
      <c r="R805" t="str">
        <f t="shared" si="137"/>
        <v/>
      </c>
    </row>
    <row r="806" spans="3:18">
      <c r="C806" t="str">
        <f t="shared" si="133"/>
        <v>NL</v>
      </c>
      <c r="D806" s="36">
        <v>27</v>
      </c>
      <c r="E806" s="97">
        <v>15</v>
      </c>
      <c r="F806" s="366">
        <f t="shared" si="134"/>
        <v>325.5</v>
      </c>
      <c r="G806" s="97">
        <v>1839</v>
      </c>
      <c r="H806" s="367">
        <f t="shared" si="135"/>
        <v>2164.5</v>
      </c>
      <c r="I806" s="368">
        <f t="shared" si="111"/>
        <v>0</v>
      </c>
      <c r="J806" s="97">
        <v>6937</v>
      </c>
      <c r="K806" s="367">
        <f t="shared" si="112"/>
        <v>4955</v>
      </c>
      <c r="L806" s="606">
        <v>0.23</v>
      </c>
      <c r="M806" s="97">
        <v>5.0999999999999996</v>
      </c>
      <c r="N806" s="605">
        <v>15</v>
      </c>
      <c r="O806" s="97">
        <v>7</v>
      </c>
      <c r="P806" s="97" t="s">
        <v>512</v>
      </c>
      <c r="Q806" s="97" t="str">
        <f t="shared" si="136"/>
        <v/>
      </c>
      <c r="R806" t="str">
        <f t="shared" si="137"/>
        <v/>
      </c>
    </row>
    <row r="807" spans="3:18">
      <c r="C807" t="str">
        <f t="shared" si="133"/>
        <v/>
      </c>
      <c r="D807" s="36">
        <v>28</v>
      </c>
      <c r="E807" s="97">
        <v>15</v>
      </c>
      <c r="F807" s="366">
        <f t="shared" si="134"/>
        <v>325.5</v>
      </c>
      <c r="G807" s="97">
        <v>1917</v>
      </c>
      <c r="H807" s="367">
        <f t="shared" si="135"/>
        <v>2242.5</v>
      </c>
      <c r="I807" s="368">
        <f t="shared" si="111"/>
        <v>0</v>
      </c>
      <c r="J807" s="97">
        <v>7235</v>
      </c>
      <c r="K807" s="367">
        <f t="shared" si="112"/>
        <v>5167.8571428571431</v>
      </c>
      <c r="L807" s="606">
        <v>0.18000000000000002</v>
      </c>
      <c r="M807" s="97">
        <v>5.8</v>
      </c>
      <c r="N807" s="605">
        <v>15</v>
      </c>
      <c r="O807" s="97">
        <v>8</v>
      </c>
      <c r="P807" s="97" t="s">
        <v>512</v>
      </c>
      <c r="Q807" s="97" t="str">
        <f t="shared" si="136"/>
        <v/>
      </c>
      <c r="R807" t="str">
        <f t="shared" si="137"/>
        <v/>
      </c>
    </row>
    <row r="808" spans="3:18">
      <c r="C808" t="str">
        <f t="shared" si="133"/>
        <v/>
      </c>
      <c r="D808" s="36">
        <v>29</v>
      </c>
      <c r="E808" s="97">
        <v>15</v>
      </c>
      <c r="F808" s="366">
        <f t="shared" si="134"/>
        <v>325.5</v>
      </c>
      <c r="G808" s="97">
        <v>1917</v>
      </c>
      <c r="H808" s="367">
        <f t="shared" si="135"/>
        <v>2242.5</v>
      </c>
      <c r="I808" s="368">
        <f t="shared" si="111"/>
        <v>0</v>
      </c>
      <c r="J808" s="97">
        <v>7235</v>
      </c>
      <c r="K808" s="367">
        <f t="shared" si="112"/>
        <v>5167.8571428571431</v>
      </c>
      <c r="L808" s="606">
        <v>0.18000000000000002</v>
      </c>
      <c r="M808" s="97">
        <v>5.8</v>
      </c>
      <c r="N808" s="605">
        <v>15</v>
      </c>
      <c r="O808" s="97">
        <v>8</v>
      </c>
      <c r="P808" s="97" t="s">
        <v>512</v>
      </c>
      <c r="Q808" s="97" t="str">
        <f t="shared" si="136"/>
        <v/>
      </c>
      <c r="R808" t="str">
        <f t="shared" si="137"/>
        <v/>
      </c>
    </row>
    <row r="809" spans="3:18">
      <c r="C809" t="str">
        <f t="shared" si="133"/>
        <v>NL</v>
      </c>
      <c r="D809" s="36">
        <v>30</v>
      </c>
      <c r="E809" s="97">
        <v>15</v>
      </c>
      <c r="F809" s="366">
        <f t="shared" si="134"/>
        <v>325.5</v>
      </c>
      <c r="G809" s="97">
        <v>1973</v>
      </c>
      <c r="H809" s="367">
        <f t="shared" si="135"/>
        <v>2298.5</v>
      </c>
      <c r="I809" s="368">
        <f t="shared" si="111"/>
        <v>0</v>
      </c>
      <c r="J809" s="97">
        <v>7444</v>
      </c>
      <c r="K809" s="367">
        <f t="shared" si="112"/>
        <v>5317.1428571428569</v>
      </c>
      <c r="L809" s="606">
        <v>0.14000000000000001</v>
      </c>
      <c r="M809" s="97">
        <v>1.6</v>
      </c>
      <c r="N809" s="605">
        <v>15</v>
      </c>
      <c r="O809" s="97">
        <v>9</v>
      </c>
      <c r="P809" s="97" t="s">
        <v>512</v>
      </c>
      <c r="Q809" s="97" t="str">
        <f t="shared" si="136"/>
        <v/>
      </c>
      <c r="R809" t="str">
        <f t="shared" si="137"/>
        <v/>
      </c>
    </row>
    <row r="810" spans="3:18">
      <c r="C810" t="str">
        <f t="shared" si="133"/>
        <v/>
      </c>
      <c r="D810" s="36">
        <v>31</v>
      </c>
      <c r="E810" s="97">
        <v>20</v>
      </c>
      <c r="F810" s="366">
        <f t="shared" si="134"/>
        <v>434</v>
      </c>
      <c r="G810" s="97">
        <v>1057</v>
      </c>
      <c r="H810" s="367">
        <f t="shared" si="135"/>
        <v>1491</v>
      </c>
      <c r="I810" s="368">
        <f t="shared" si="111"/>
        <v>0</v>
      </c>
      <c r="J810" s="97">
        <v>3989</v>
      </c>
      <c r="K810" s="367">
        <f t="shared" si="112"/>
        <v>2849.2857142857142</v>
      </c>
      <c r="L810" s="606">
        <v>0.82000000000000006</v>
      </c>
      <c r="M810" s="97">
        <v>1.7000000000000002</v>
      </c>
      <c r="N810" s="605">
        <v>23</v>
      </c>
      <c r="O810" s="97">
        <v>2</v>
      </c>
      <c r="P810" s="97" t="s">
        <v>514</v>
      </c>
      <c r="Q810" s="97" t="str">
        <f t="shared" si="136"/>
        <v/>
      </c>
      <c r="R810" t="str">
        <f t="shared" si="137"/>
        <v/>
      </c>
    </row>
    <row r="811" spans="3:18">
      <c r="C811" t="str">
        <f t="shared" si="133"/>
        <v/>
      </c>
      <c r="D811" s="36">
        <v>32</v>
      </c>
      <c r="E811" s="97">
        <v>20</v>
      </c>
      <c r="F811" s="366">
        <f t="shared" si="134"/>
        <v>434</v>
      </c>
      <c r="G811" s="97">
        <v>830</v>
      </c>
      <c r="H811" s="367">
        <f t="shared" si="135"/>
        <v>1264</v>
      </c>
      <c r="I811" s="368">
        <f t="shared" si="111"/>
        <v>0</v>
      </c>
      <c r="J811" s="97">
        <v>3131</v>
      </c>
      <c r="K811" s="367">
        <f t="shared" si="112"/>
        <v>2236.4285714285716</v>
      </c>
      <c r="L811" s="606">
        <v>0.39</v>
      </c>
      <c r="M811" s="97">
        <v>1.7000000000000002</v>
      </c>
      <c r="N811" s="605">
        <v>17</v>
      </c>
      <c r="O811" s="97">
        <v>2</v>
      </c>
      <c r="P811" s="97" t="s">
        <v>556</v>
      </c>
      <c r="Q811" s="97" t="str">
        <f t="shared" si="136"/>
        <v/>
      </c>
      <c r="R811" t="str">
        <f t="shared" si="137"/>
        <v/>
      </c>
    </row>
    <row r="812" spans="3:18">
      <c r="C812" t="str">
        <f t="shared" si="133"/>
        <v/>
      </c>
      <c r="D812" s="36">
        <v>33</v>
      </c>
      <c r="E812" s="97">
        <v>20</v>
      </c>
      <c r="F812" s="366">
        <f t="shared" si="134"/>
        <v>434</v>
      </c>
      <c r="G812" s="97">
        <v>736</v>
      </c>
      <c r="H812" s="367">
        <f t="shared" si="135"/>
        <v>1170</v>
      </c>
      <c r="I812" s="368">
        <f t="shared" si="111"/>
        <v>0</v>
      </c>
      <c r="J812" s="97">
        <v>2777</v>
      </c>
      <c r="K812" s="367">
        <f t="shared" si="112"/>
        <v>1983.5714285714287</v>
      </c>
      <c r="L812" s="606">
        <v>0.23</v>
      </c>
      <c r="M812" s="97">
        <v>1.7000000000000002</v>
      </c>
      <c r="N812" s="605">
        <v>15</v>
      </c>
      <c r="O812" s="97">
        <v>2</v>
      </c>
      <c r="P812" s="97" t="s">
        <v>515</v>
      </c>
      <c r="Q812" s="97" t="str">
        <f t="shared" si="136"/>
        <v/>
      </c>
      <c r="R812" t="str">
        <f t="shared" si="137"/>
        <v/>
      </c>
    </row>
    <row r="813" spans="3:18">
      <c r="C813" t="str">
        <f t="shared" si="133"/>
        <v>NL</v>
      </c>
      <c r="D813" s="36">
        <v>34</v>
      </c>
      <c r="E813" s="97">
        <v>20</v>
      </c>
      <c r="F813" s="366">
        <f t="shared" si="134"/>
        <v>434</v>
      </c>
      <c r="G813" s="97">
        <v>1209</v>
      </c>
      <c r="H813" s="367">
        <f t="shared" si="135"/>
        <v>1643</v>
      </c>
      <c r="I813" s="368">
        <f t="shared" si="111"/>
        <v>0</v>
      </c>
      <c r="J813" s="97">
        <v>4561</v>
      </c>
      <c r="K813" s="367">
        <f t="shared" si="112"/>
        <v>3257.8571428571431</v>
      </c>
      <c r="L813" s="606">
        <v>0.5</v>
      </c>
      <c r="M813" s="97">
        <v>2.4</v>
      </c>
      <c r="N813" s="605">
        <v>17</v>
      </c>
      <c r="O813" s="97">
        <v>3</v>
      </c>
      <c r="P813" s="97" t="s">
        <v>555</v>
      </c>
      <c r="Q813" s="97" t="str">
        <f t="shared" si="136"/>
        <v/>
      </c>
      <c r="R813" t="str">
        <f t="shared" si="137"/>
        <v/>
      </c>
    </row>
    <row r="814" spans="3:18">
      <c r="C814" t="str">
        <f t="shared" si="133"/>
        <v>NL</v>
      </c>
      <c r="D814" s="36">
        <v>35</v>
      </c>
      <c r="E814" s="97">
        <v>20</v>
      </c>
      <c r="F814" s="366">
        <f t="shared" si="134"/>
        <v>434</v>
      </c>
      <c r="G814" s="97">
        <v>1139</v>
      </c>
      <c r="H814" s="367">
        <f t="shared" si="135"/>
        <v>1573</v>
      </c>
      <c r="I814" s="368">
        <f t="shared" si="111"/>
        <v>0</v>
      </c>
      <c r="J814" s="97">
        <v>4298</v>
      </c>
      <c r="K814" s="367">
        <f t="shared" si="112"/>
        <v>3070</v>
      </c>
      <c r="L814" s="606">
        <v>0.34</v>
      </c>
      <c r="M814" s="97">
        <v>2.4</v>
      </c>
      <c r="N814" s="605">
        <v>18</v>
      </c>
      <c r="O814" s="97">
        <v>3</v>
      </c>
      <c r="P814" s="97" t="s">
        <v>514</v>
      </c>
      <c r="Q814" s="97" t="str">
        <f t="shared" si="136"/>
        <v/>
      </c>
      <c r="R814" t="str">
        <f t="shared" si="137"/>
        <v/>
      </c>
    </row>
    <row r="815" spans="3:18">
      <c r="C815" t="str">
        <f t="shared" si="133"/>
        <v>NL</v>
      </c>
      <c r="D815" s="36">
        <v>36</v>
      </c>
      <c r="E815" s="97">
        <v>20</v>
      </c>
      <c r="F815" s="366">
        <f t="shared" si="134"/>
        <v>434</v>
      </c>
      <c r="G815" s="97">
        <v>906</v>
      </c>
      <c r="H815" s="367">
        <f t="shared" si="135"/>
        <v>1340</v>
      </c>
      <c r="I815" s="368">
        <f t="shared" si="111"/>
        <v>0</v>
      </c>
      <c r="J815" s="97">
        <v>3418</v>
      </c>
      <c r="K815" s="367">
        <f t="shared" si="112"/>
        <v>2441.4285714285716</v>
      </c>
      <c r="L815" s="606">
        <v>0.16</v>
      </c>
      <c r="M815" s="97">
        <v>2.4</v>
      </c>
      <c r="N815" s="605">
        <v>15</v>
      </c>
      <c r="O815" s="97">
        <v>3</v>
      </c>
      <c r="P815" s="97" t="s">
        <v>556</v>
      </c>
      <c r="Q815" s="97" t="str">
        <f t="shared" si="136"/>
        <v/>
      </c>
      <c r="R815" t="str">
        <f t="shared" si="137"/>
        <v/>
      </c>
    </row>
    <row r="816" spans="3:18">
      <c r="C816" t="str">
        <f t="shared" si="133"/>
        <v/>
      </c>
      <c r="D816" s="36">
        <v>37</v>
      </c>
      <c r="E816" s="97">
        <v>20</v>
      </c>
      <c r="F816" s="366">
        <f t="shared" si="134"/>
        <v>434</v>
      </c>
      <c r="G816" s="97">
        <v>1659</v>
      </c>
      <c r="H816" s="367">
        <f t="shared" si="135"/>
        <v>2093</v>
      </c>
      <c r="I816" s="368">
        <f t="shared" si="111"/>
        <v>0</v>
      </c>
      <c r="J816" s="97">
        <v>6260</v>
      </c>
      <c r="K816" s="367">
        <f t="shared" si="112"/>
        <v>4471.4285714285716</v>
      </c>
      <c r="L816" s="606">
        <v>0.64</v>
      </c>
      <c r="M816" s="97">
        <v>3.1</v>
      </c>
      <c r="N816" s="605">
        <v>21</v>
      </c>
      <c r="O816" s="97">
        <v>4</v>
      </c>
      <c r="P816" s="97" t="s">
        <v>513</v>
      </c>
      <c r="Q816" s="97" t="str">
        <f t="shared" si="136"/>
        <v/>
      </c>
      <c r="R816" t="str">
        <f t="shared" si="137"/>
        <v/>
      </c>
    </row>
    <row r="817" spans="3:18">
      <c r="C817" t="str">
        <f t="shared" si="133"/>
        <v/>
      </c>
      <c r="D817" s="36">
        <v>38</v>
      </c>
      <c r="E817" s="97">
        <v>20</v>
      </c>
      <c r="F817" s="366">
        <f t="shared" si="134"/>
        <v>434</v>
      </c>
      <c r="G817" s="97">
        <v>1205</v>
      </c>
      <c r="H817" s="367">
        <f t="shared" si="135"/>
        <v>1639</v>
      </c>
      <c r="I817" s="368">
        <f t="shared" si="111"/>
        <v>0</v>
      </c>
      <c r="J817" s="97">
        <v>4547</v>
      </c>
      <c r="K817" s="367">
        <f t="shared" si="112"/>
        <v>3247.8571428571431</v>
      </c>
      <c r="L817" s="606">
        <v>0.28000000000000003</v>
      </c>
      <c r="M817" s="97">
        <v>3.1</v>
      </c>
      <c r="N817" s="605">
        <v>15</v>
      </c>
      <c r="O817" s="97">
        <v>4</v>
      </c>
      <c r="P817" s="97" t="s">
        <v>555</v>
      </c>
      <c r="Q817" s="97" t="str">
        <f t="shared" si="136"/>
        <v/>
      </c>
      <c r="R817" t="str">
        <f t="shared" si="137"/>
        <v/>
      </c>
    </row>
    <row r="818" spans="3:18">
      <c r="C818" t="str">
        <f t="shared" si="133"/>
        <v/>
      </c>
      <c r="D818" s="36">
        <v>39</v>
      </c>
      <c r="E818" s="97">
        <v>20</v>
      </c>
      <c r="F818" s="366">
        <f t="shared" si="134"/>
        <v>434</v>
      </c>
      <c r="G818" s="97">
        <v>1106</v>
      </c>
      <c r="H818" s="367">
        <f t="shared" si="135"/>
        <v>1540</v>
      </c>
      <c r="I818" s="368">
        <f t="shared" si="111"/>
        <v>0</v>
      </c>
      <c r="J818" s="97">
        <v>4173</v>
      </c>
      <c r="K818" s="367">
        <f t="shared" si="112"/>
        <v>2980.7142857142858</v>
      </c>
      <c r="L818" s="606">
        <v>0.19</v>
      </c>
      <c r="M818" s="97">
        <v>3.1</v>
      </c>
      <c r="N818" s="605">
        <v>16</v>
      </c>
      <c r="O818" s="97">
        <v>4</v>
      </c>
      <c r="P818" s="97" t="s">
        <v>514</v>
      </c>
      <c r="Q818" s="97" t="str">
        <f t="shared" si="136"/>
        <v/>
      </c>
      <c r="R818" t="str">
        <f t="shared" si="137"/>
        <v/>
      </c>
    </row>
    <row r="819" spans="3:18">
      <c r="C819" t="str">
        <f t="shared" si="133"/>
        <v>NL</v>
      </c>
      <c r="D819" s="36">
        <v>40</v>
      </c>
      <c r="E819" s="97">
        <v>20</v>
      </c>
      <c r="F819" s="366">
        <f t="shared" si="134"/>
        <v>434</v>
      </c>
      <c r="G819" s="97">
        <v>2078</v>
      </c>
      <c r="H819" s="367">
        <f t="shared" si="135"/>
        <v>2512</v>
      </c>
      <c r="I819" s="368">
        <f t="shared" si="111"/>
        <v>0</v>
      </c>
      <c r="J819" s="97">
        <v>7842</v>
      </c>
      <c r="K819" s="367">
        <f t="shared" si="112"/>
        <v>5601.4285714285716</v>
      </c>
      <c r="L819" s="606">
        <v>0.8</v>
      </c>
      <c r="M819" s="97">
        <v>3.8000000000000003</v>
      </c>
      <c r="N819" s="605">
        <v>20</v>
      </c>
      <c r="O819" s="97">
        <v>5</v>
      </c>
      <c r="P819" s="97" t="s">
        <v>512</v>
      </c>
      <c r="Q819" s="97" t="str">
        <f t="shared" si="136"/>
        <v/>
      </c>
      <c r="R819" t="str">
        <f t="shared" si="137"/>
        <v/>
      </c>
    </row>
    <row r="820" spans="3:18">
      <c r="C820" t="str">
        <f t="shared" si="133"/>
        <v>NL</v>
      </c>
      <c r="D820" s="36">
        <v>41</v>
      </c>
      <c r="E820" s="97">
        <v>20</v>
      </c>
      <c r="F820" s="366">
        <f t="shared" si="134"/>
        <v>434</v>
      </c>
      <c r="G820" s="97">
        <v>1661</v>
      </c>
      <c r="H820" s="367">
        <f t="shared" si="135"/>
        <v>2095</v>
      </c>
      <c r="I820" s="368">
        <f t="shared" si="111"/>
        <v>0</v>
      </c>
      <c r="J820" s="97">
        <v>6268</v>
      </c>
      <c r="K820" s="367">
        <f t="shared" si="112"/>
        <v>4477.1428571428569</v>
      </c>
      <c r="L820" s="606">
        <v>0.4</v>
      </c>
      <c r="M820" s="97">
        <v>3.8000000000000003</v>
      </c>
      <c r="N820" s="605">
        <v>18</v>
      </c>
      <c r="O820" s="97">
        <v>5</v>
      </c>
      <c r="P820" s="97" t="s">
        <v>513</v>
      </c>
      <c r="Q820" s="97" t="str">
        <f t="shared" si="136"/>
        <v/>
      </c>
      <c r="R820" t="str">
        <f t="shared" si="137"/>
        <v/>
      </c>
    </row>
    <row r="821" spans="3:18">
      <c r="C821" t="str">
        <f t="shared" si="133"/>
        <v>NL</v>
      </c>
      <c r="D821" s="36">
        <v>42</v>
      </c>
      <c r="E821" s="97">
        <v>20</v>
      </c>
      <c r="F821" s="366">
        <f t="shared" si="134"/>
        <v>434</v>
      </c>
      <c r="G821" s="97">
        <v>1255</v>
      </c>
      <c r="H821" s="367">
        <f t="shared" si="135"/>
        <v>1689</v>
      </c>
      <c r="I821" s="368">
        <f t="shared" si="111"/>
        <v>0</v>
      </c>
      <c r="J821" s="97">
        <v>4735</v>
      </c>
      <c r="K821" s="367">
        <f t="shared" si="112"/>
        <v>3382.1428571428573</v>
      </c>
      <c r="L821" s="606">
        <v>0.18000000000000002</v>
      </c>
      <c r="M821" s="97">
        <v>3.8000000000000003</v>
      </c>
      <c r="N821" s="605">
        <v>15</v>
      </c>
      <c r="O821" s="97">
        <v>5</v>
      </c>
      <c r="P821" s="97" t="s">
        <v>555</v>
      </c>
      <c r="Q821" s="97" t="str">
        <f t="shared" si="136"/>
        <v/>
      </c>
      <c r="R821" t="str">
        <f t="shared" si="137"/>
        <v/>
      </c>
    </row>
    <row r="822" spans="3:18">
      <c r="C822" t="str">
        <f t="shared" si="133"/>
        <v/>
      </c>
      <c r="D822" s="36">
        <v>43</v>
      </c>
      <c r="E822" s="97">
        <v>20</v>
      </c>
      <c r="F822" s="366">
        <f t="shared" si="134"/>
        <v>434</v>
      </c>
      <c r="G822" s="97">
        <v>2218</v>
      </c>
      <c r="H822" s="367">
        <f t="shared" si="135"/>
        <v>2652</v>
      </c>
      <c r="I822" s="368">
        <f t="shared" si="111"/>
        <v>0</v>
      </c>
      <c r="J822" s="97">
        <v>8370</v>
      </c>
      <c r="K822" s="367">
        <f t="shared" si="112"/>
        <v>5978.5714285714284</v>
      </c>
      <c r="L822" s="606">
        <v>0.55000000000000004</v>
      </c>
      <c r="M822" s="97">
        <v>4.3999999999999995</v>
      </c>
      <c r="N822" s="605">
        <v>18</v>
      </c>
      <c r="O822" s="97">
        <v>6</v>
      </c>
      <c r="P822" s="97" t="s">
        <v>512</v>
      </c>
      <c r="Q822" s="97" t="str">
        <f t="shared" si="136"/>
        <v/>
      </c>
      <c r="R822" t="str">
        <f t="shared" si="137"/>
        <v/>
      </c>
    </row>
    <row r="823" spans="3:18">
      <c r="C823" t="str">
        <f t="shared" si="133"/>
        <v/>
      </c>
      <c r="D823" s="36">
        <v>44</v>
      </c>
      <c r="E823" s="97">
        <v>20</v>
      </c>
      <c r="F823" s="366">
        <f t="shared" si="134"/>
        <v>434</v>
      </c>
      <c r="G823" s="97">
        <v>1754</v>
      </c>
      <c r="H823" s="367">
        <f t="shared" si="135"/>
        <v>2188</v>
      </c>
      <c r="I823" s="368">
        <f t="shared" si="111"/>
        <v>0</v>
      </c>
      <c r="J823" s="97">
        <v>6618</v>
      </c>
      <c r="K823" s="367">
        <f t="shared" si="112"/>
        <v>4727.1428571428569</v>
      </c>
      <c r="L823" s="606">
        <v>0.28000000000000003</v>
      </c>
      <c r="M823" s="97">
        <v>4.3999999999999995</v>
      </c>
      <c r="N823" s="605">
        <v>17</v>
      </c>
      <c r="O823" s="97">
        <v>6</v>
      </c>
      <c r="P823" s="97" t="s">
        <v>513</v>
      </c>
      <c r="Q823" s="97" t="str">
        <f t="shared" si="136"/>
        <v/>
      </c>
      <c r="R823" t="str">
        <f t="shared" si="137"/>
        <v/>
      </c>
    </row>
    <row r="824" spans="3:18">
      <c r="C824" t="str">
        <f t="shared" si="133"/>
        <v>NL</v>
      </c>
      <c r="D824" s="36">
        <v>45</v>
      </c>
      <c r="E824" s="97">
        <v>20</v>
      </c>
      <c r="F824" s="366">
        <f t="shared" si="134"/>
        <v>434</v>
      </c>
      <c r="G824" s="97">
        <v>2422</v>
      </c>
      <c r="H824" s="367">
        <f t="shared" si="135"/>
        <v>2856</v>
      </c>
      <c r="I824" s="368">
        <f t="shared" si="111"/>
        <v>0</v>
      </c>
      <c r="J824" s="97">
        <v>9136</v>
      </c>
      <c r="K824" s="367">
        <f t="shared" si="112"/>
        <v>6525.7142857142862</v>
      </c>
      <c r="L824" s="606">
        <v>0.41000000000000003</v>
      </c>
      <c r="M824" s="97">
        <v>5.0999999999999996</v>
      </c>
      <c r="N824" s="605">
        <v>16</v>
      </c>
      <c r="O824" s="97">
        <v>7</v>
      </c>
      <c r="P824" s="97" t="s">
        <v>512</v>
      </c>
      <c r="Q824" s="97" t="str">
        <f t="shared" si="136"/>
        <v/>
      </c>
      <c r="R824" t="str">
        <f t="shared" si="137"/>
        <v/>
      </c>
    </row>
    <row r="825" spans="3:18">
      <c r="C825" t="str">
        <f t="shared" si="133"/>
        <v>NL</v>
      </c>
      <c r="D825" s="36">
        <v>46</v>
      </c>
      <c r="E825" s="97">
        <v>20</v>
      </c>
      <c r="F825" s="366">
        <f t="shared" si="134"/>
        <v>434</v>
      </c>
      <c r="G825" s="97">
        <v>1909</v>
      </c>
      <c r="H825" s="367">
        <f t="shared" si="135"/>
        <v>2343</v>
      </c>
      <c r="I825" s="368">
        <f t="shared" si="111"/>
        <v>0</v>
      </c>
      <c r="J825" s="97">
        <v>7204</v>
      </c>
      <c r="K825" s="367">
        <f t="shared" si="112"/>
        <v>5145.7142857142862</v>
      </c>
      <c r="L825" s="606">
        <v>0.21000000000000002</v>
      </c>
      <c r="M825" s="97">
        <v>5.0999999999999996</v>
      </c>
      <c r="N825" s="605">
        <v>16</v>
      </c>
      <c r="O825" s="97">
        <v>7</v>
      </c>
      <c r="P825" s="97" t="s">
        <v>513</v>
      </c>
      <c r="Q825" s="97" t="str">
        <f t="shared" si="136"/>
        <v/>
      </c>
      <c r="R825" t="str">
        <f t="shared" si="137"/>
        <v/>
      </c>
    </row>
    <row r="826" spans="3:18">
      <c r="C826" t="str">
        <f t="shared" si="133"/>
        <v/>
      </c>
      <c r="D826" s="36">
        <v>47</v>
      </c>
      <c r="E826" s="97">
        <v>20</v>
      </c>
      <c r="F826" s="366">
        <f t="shared" si="134"/>
        <v>434</v>
      </c>
      <c r="G826" s="97">
        <v>2477</v>
      </c>
      <c r="H826" s="367">
        <f t="shared" si="135"/>
        <v>2911</v>
      </c>
      <c r="I826" s="368">
        <f t="shared" si="111"/>
        <v>0</v>
      </c>
      <c r="J826" s="97">
        <v>9345</v>
      </c>
      <c r="K826" s="367">
        <f t="shared" si="112"/>
        <v>6675</v>
      </c>
      <c r="L826" s="606">
        <v>0.32</v>
      </c>
      <c r="M826" s="97">
        <v>5.8</v>
      </c>
      <c r="N826" s="605">
        <v>15</v>
      </c>
      <c r="O826" s="97">
        <v>8</v>
      </c>
      <c r="P826" s="97" t="s">
        <v>512</v>
      </c>
      <c r="Q826" s="97" t="str">
        <f t="shared" si="136"/>
        <v/>
      </c>
      <c r="R826" t="str">
        <f t="shared" si="137"/>
        <v/>
      </c>
    </row>
    <row r="827" spans="3:18">
      <c r="C827" t="str">
        <f t="shared" si="133"/>
        <v/>
      </c>
      <c r="D827" s="36">
        <v>48</v>
      </c>
      <c r="E827" s="97">
        <v>20</v>
      </c>
      <c r="F827" s="366">
        <f t="shared" si="134"/>
        <v>434</v>
      </c>
      <c r="G827" s="97">
        <v>2477</v>
      </c>
      <c r="H827" s="367">
        <f t="shared" si="135"/>
        <v>2911</v>
      </c>
      <c r="I827" s="368">
        <f t="shared" si="111"/>
        <v>0</v>
      </c>
      <c r="J827" s="97">
        <v>9345</v>
      </c>
      <c r="K827" s="367">
        <f t="shared" si="112"/>
        <v>6675</v>
      </c>
      <c r="L827" s="606">
        <v>0.32</v>
      </c>
      <c r="M827" s="97">
        <v>5.8</v>
      </c>
      <c r="N827" s="605">
        <v>15</v>
      </c>
      <c r="O827" s="97">
        <v>8</v>
      </c>
      <c r="P827" s="97" t="s">
        <v>512</v>
      </c>
      <c r="Q827" s="97" t="str">
        <f t="shared" si="136"/>
        <v/>
      </c>
      <c r="R827" t="str">
        <f t="shared" si="137"/>
        <v/>
      </c>
    </row>
    <row r="828" spans="3:18">
      <c r="C828" t="str">
        <f t="shared" si="133"/>
        <v/>
      </c>
      <c r="D828" s="36">
        <v>49</v>
      </c>
      <c r="E828" s="97">
        <v>20</v>
      </c>
      <c r="F828" s="366">
        <f t="shared" si="134"/>
        <v>434</v>
      </c>
      <c r="G828" s="97">
        <v>2026</v>
      </c>
      <c r="H828" s="367">
        <f t="shared" si="135"/>
        <v>2460</v>
      </c>
      <c r="I828" s="368">
        <f t="shared" si="111"/>
        <v>0</v>
      </c>
      <c r="J828" s="97">
        <v>7644</v>
      </c>
      <c r="K828" s="367">
        <f t="shared" si="112"/>
        <v>5460</v>
      </c>
      <c r="L828" s="606">
        <v>0.16</v>
      </c>
      <c r="M828" s="97">
        <v>5.8</v>
      </c>
      <c r="N828" s="605">
        <v>15</v>
      </c>
      <c r="O828" s="97">
        <v>8</v>
      </c>
      <c r="P828" s="97" t="s">
        <v>513</v>
      </c>
      <c r="Q828" s="97" t="str">
        <f t="shared" si="136"/>
        <v/>
      </c>
      <c r="R828" t="str">
        <f t="shared" si="137"/>
        <v/>
      </c>
    </row>
    <row r="829" spans="3:18">
      <c r="C829" t="str">
        <f t="shared" si="133"/>
        <v>NL</v>
      </c>
      <c r="D829" s="36">
        <v>50</v>
      </c>
      <c r="E829" s="97">
        <v>20</v>
      </c>
      <c r="F829" s="366">
        <f t="shared" si="134"/>
        <v>434</v>
      </c>
      <c r="G829" s="97">
        <v>2525</v>
      </c>
      <c r="H829" s="367">
        <f t="shared" si="135"/>
        <v>2959</v>
      </c>
      <c r="I829" s="368">
        <f t="shared" si="111"/>
        <v>0</v>
      </c>
      <c r="J829" s="97">
        <v>9526</v>
      </c>
      <c r="K829" s="367">
        <f t="shared" si="112"/>
        <v>6804.2857142857147</v>
      </c>
      <c r="L829" s="606">
        <v>0.25</v>
      </c>
      <c r="M829" s="97">
        <v>2.1</v>
      </c>
      <c r="N829" s="605">
        <v>15</v>
      </c>
      <c r="O829" s="97">
        <v>9</v>
      </c>
      <c r="P829" s="97" t="s">
        <v>512</v>
      </c>
      <c r="Q829" s="97" t="str">
        <f t="shared" si="136"/>
        <v/>
      </c>
      <c r="R829" t="str">
        <f t="shared" si="137"/>
        <v/>
      </c>
    </row>
    <row r="830" spans="3:18">
      <c r="C830" t="str">
        <f t="shared" si="133"/>
        <v/>
      </c>
      <c r="D830" s="36">
        <v>51</v>
      </c>
      <c r="E830" s="97">
        <v>20</v>
      </c>
      <c r="F830" s="366">
        <f t="shared" si="134"/>
        <v>434</v>
      </c>
      <c r="G830" s="97">
        <v>2569</v>
      </c>
      <c r="H830" s="367">
        <f t="shared" si="135"/>
        <v>3003</v>
      </c>
      <c r="I830" s="368">
        <f t="shared" si="111"/>
        <v>0</v>
      </c>
      <c r="J830" s="97">
        <v>9691</v>
      </c>
      <c r="K830" s="367">
        <f t="shared" si="112"/>
        <v>6922.1428571428569</v>
      </c>
      <c r="L830" s="606">
        <v>0.21000000000000002</v>
      </c>
      <c r="M830" s="97">
        <v>2.1</v>
      </c>
      <c r="N830" s="605">
        <v>15</v>
      </c>
      <c r="O830" s="97">
        <v>10</v>
      </c>
      <c r="P830" s="97" t="s">
        <v>512</v>
      </c>
      <c r="Q830" s="97" t="str">
        <f t="shared" si="136"/>
        <v/>
      </c>
      <c r="R830" t="str">
        <f t="shared" si="137"/>
        <v/>
      </c>
    </row>
    <row r="831" spans="3:18">
      <c r="C831" t="str">
        <f t="shared" si="133"/>
        <v/>
      </c>
      <c r="D831" s="36">
        <v>52</v>
      </c>
      <c r="E831" s="97">
        <v>25</v>
      </c>
      <c r="F831" s="366">
        <f t="shared" si="134"/>
        <v>542.5</v>
      </c>
      <c r="G831" s="97">
        <v>1032</v>
      </c>
      <c r="H831" s="367">
        <f t="shared" si="135"/>
        <v>1574.5</v>
      </c>
      <c r="I831" s="368">
        <f t="shared" si="111"/>
        <v>0</v>
      </c>
      <c r="J831" s="97">
        <v>3894</v>
      </c>
      <c r="K831" s="367">
        <f t="shared" si="112"/>
        <v>2781.4285714285716</v>
      </c>
      <c r="L831" s="606">
        <v>0.6</v>
      </c>
      <c r="M831" s="97">
        <v>1.7000000000000002</v>
      </c>
      <c r="N831" s="605">
        <v>20</v>
      </c>
      <c r="O831" s="97">
        <v>2</v>
      </c>
      <c r="P831" s="97" t="s">
        <v>556</v>
      </c>
      <c r="Q831" s="97" t="str">
        <f t="shared" si="136"/>
        <v/>
      </c>
      <c r="R831" t="str">
        <f t="shared" si="137"/>
        <v/>
      </c>
    </row>
    <row r="832" spans="3:18">
      <c r="C832" t="str">
        <f t="shared" si="133"/>
        <v/>
      </c>
      <c r="D832" s="36">
        <v>53</v>
      </c>
      <c r="E832" s="97">
        <v>25</v>
      </c>
      <c r="F832" s="366">
        <f t="shared" si="134"/>
        <v>542.5</v>
      </c>
      <c r="G832" s="97">
        <v>866</v>
      </c>
      <c r="H832" s="367">
        <f t="shared" si="135"/>
        <v>1408.5</v>
      </c>
      <c r="I832" s="368">
        <f t="shared" si="111"/>
        <v>0</v>
      </c>
      <c r="J832" s="97">
        <v>3268</v>
      </c>
      <c r="K832" s="367">
        <f t="shared" si="112"/>
        <v>2334.2857142857142</v>
      </c>
      <c r="L832" s="606">
        <v>0.36</v>
      </c>
      <c r="M832" s="97">
        <v>1.7000000000000002</v>
      </c>
      <c r="N832" s="605">
        <v>17</v>
      </c>
      <c r="O832" s="97">
        <v>2</v>
      </c>
      <c r="P832" s="97" t="s">
        <v>515</v>
      </c>
      <c r="Q832" s="97" t="str">
        <f t="shared" si="136"/>
        <v/>
      </c>
      <c r="R832" t="str">
        <f t="shared" si="137"/>
        <v/>
      </c>
    </row>
    <row r="833" spans="3:18">
      <c r="C833" t="str">
        <f t="shared" si="133"/>
        <v>NL</v>
      </c>
      <c r="D833" s="36">
        <v>54</v>
      </c>
      <c r="E833" s="97">
        <v>25</v>
      </c>
      <c r="F833" s="366">
        <f t="shared" si="134"/>
        <v>542.5</v>
      </c>
      <c r="G833" s="97">
        <v>1414</v>
      </c>
      <c r="H833" s="367">
        <f t="shared" si="135"/>
        <v>1956.5</v>
      </c>
      <c r="I833" s="368">
        <f t="shared" si="111"/>
        <v>0</v>
      </c>
      <c r="J833" s="97">
        <v>5336</v>
      </c>
      <c r="K833" s="367">
        <f t="shared" si="112"/>
        <v>3811.4285714285716</v>
      </c>
      <c r="L833" s="606">
        <v>0.79</v>
      </c>
      <c r="M833" s="97">
        <v>2.4</v>
      </c>
      <c r="N833" s="605">
        <v>20</v>
      </c>
      <c r="O833" s="97">
        <v>3</v>
      </c>
      <c r="P833" s="97" t="s">
        <v>555</v>
      </c>
      <c r="Q833" s="97" t="str">
        <f t="shared" si="136"/>
        <v/>
      </c>
      <c r="R833" t="str">
        <f t="shared" si="137"/>
        <v/>
      </c>
    </row>
    <row r="834" spans="3:18">
      <c r="C834" t="str">
        <f t="shared" si="133"/>
        <v>NL</v>
      </c>
      <c r="D834" s="36">
        <v>55</v>
      </c>
      <c r="E834" s="97">
        <v>25</v>
      </c>
      <c r="F834" s="366">
        <f t="shared" si="134"/>
        <v>542.5</v>
      </c>
      <c r="G834" s="97">
        <v>1339</v>
      </c>
      <c r="H834" s="367">
        <f t="shared" si="135"/>
        <v>1881.5</v>
      </c>
      <c r="I834" s="368">
        <f t="shared" si="111"/>
        <v>0</v>
      </c>
      <c r="J834" s="97">
        <v>5052</v>
      </c>
      <c r="K834" s="367">
        <f t="shared" si="112"/>
        <v>3608.5714285714284</v>
      </c>
      <c r="L834" s="606">
        <v>0.53</v>
      </c>
      <c r="M834" s="97">
        <v>2.4</v>
      </c>
      <c r="N834" s="605">
        <v>21</v>
      </c>
      <c r="O834" s="97">
        <v>3</v>
      </c>
      <c r="P834" s="97" t="s">
        <v>514</v>
      </c>
      <c r="Q834" s="97" t="str">
        <f t="shared" si="136"/>
        <v/>
      </c>
      <c r="R834" t="str">
        <f t="shared" si="137"/>
        <v/>
      </c>
    </row>
    <row r="835" spans="3:18">
      <c r="C835" t="str">
        <f t="shared" si="133"/>
        <v>NL</v>
      </c>
      <c r="D835" s="36">
        <v>56</v>
      </c>
      <c r="E835" s="97">
        <v>25</v>
      </c>
      <c r="F835" s="366">
        <f t="shared" si="134"/>
        <v>542.5</v>
      </c>
      <c r="G835" s="97">
        <v>1127</v>
      </c>
      <c r="H835" s="367">
        <f t="shared" si="135"/>
        <v>1669.5</v>
      </c>
      <c r="I835" s="368">
        <f t="shared" si="111"/>
        <v>0</v>
      </c>
      <c r="J835" s="97">
        <v>4252</v>
      </c>
      <c r="K835" s="367">
        <f t="shared" si="112"/>
        <v>3037.1428571428573</v>
      </c>
      <c r="L835" s="606">
        <v>0.25</v>
      </c>
      <c r="M835" s="97">
        <v>2.4</v>
      </c>
      <c r="N835" s="605">
        <v>15</v>
      </c>
      <c r="O835" s="97">
        <v>3</v>
      </c>
      <c r="P835" s="97" t="s">
        <v>556</v>
      </c>
      <c r="Q835" s="97" t="str">
        <f t="shared" si="136"/>
        <v/>
      </c>
      <c r="R835" t="str">
        <f t="shared" si="137"/>
        <v/>
      </c>
    </row>
    <row r="836" spans="3:18">
      <c r="C836" t="str">
        <f t="shared" si="133"/>
        <v>NL</v>
      </c>
      <c r="D836" s="36">
        <v>57</v>
      </c>
      <c r="E836" s="97">
        <v>25</v>
      </c>
      <c r="F836" s="366">
        <f t="shared" si="134"/>
        <v>542.5</v>
      </c>
      <c r="G836" s="97">
        <v>923</v>
      </c>
      <c r="H836" s="367">
        <f t="shared" si="135"/>
        <v>1465.5</v>
      </c>
      <c r="I836" s="368">
        <f t="shared" si="111"/>
        <v>0</v>
      </c>
      <c r="J836" s="97">
        <v>3482</v>
      </c>
      <c r="K836" s="367">
        <f t="shared" si="112"/>
        <v>2487.1428571428573</v>
      </c>
      <c r="L836" s="606">
        <v>0.15000000000000002</v>
      </c>
      <c r="M836" s="97">
        <v>2.4</v>
      </c>
      <c r="N836" s="605">
        <v>15</v>
      </c>
      <c r="O836" s="97">
        <v>3</v>
      </c>
      <c r="P836" s="97" t="s">
        <v>515</v>
      </c>
      <c r="Q836" s="97" t="str">
        <f t="shared" si="136"/>
        <v/>
      </c>
      <c r="R836" t="str">
        <f t="shared" si="137"/>
        <v/>
      </c>
    </row>
    <row r="837" spans="3:18">
      <c r="C837" t="str">
        <f t="shared" si="133"/>
        <v/>
      </c>
      <c r="D837" s="36">
        <v>58</v>
      </c>
      <c r="E837" s="97">
        <v>25</v>
      </c>
      <c r="F837" s="366">
        <f t="shared" si="134"/>
        <v>542.5</v>
      </c>
      <c r="G837" s="97">
        <v>2000</v>
      </c>
      <c r="H837" s="367">
        <f t="shared" si="135"/>
        <v>2542.5</v>
      </c>
      <c r="I837" s="368">
        <f t="shared" si="111"/>
        <v>0</v>
      </c>
      <c r="J837" s="97">
        <v>7547</v>
      </c>
      <c r="K837" s="367">
        <f t="shared" si="112"/>
        <v>5390.7142857142862</v>
      </c>
      <c r="L837" s="606">
        <v>0.99</v>
      </c>
      <c r="M837" s="97">
        <v>3.1</v>
      </c>
      <c r="N837" s="605">
        <v>24</v>
      </c>
      <c r="O837" s="97">
        <v>4</v>
      </c>
      <c r="P837" s="97" t="s">
        <v>513</v>
      </c>
      <c r="Q837" s="97" t="str">
        <f t="shared" si="136"/>
        <v/>
      </c>
      <c r="R837" t="str">
        <f t="shared" si="137"/>
        <v/>
      </c>
    </row>
    <row r="838" spans="3:18">
      <c r="C838" t="str">
        <f t="shared" si="133"/>
        <v/>
      </c>
      <c r="D838" s="36">
        <v>59</v>
      </c>
      <c r="E838" s="97">
        <v>25</v>
      </c>
      <c r="F838" s="366">
        <f t="shared" si="134"/>
        <v>542.5</v>
      </c>
      <c r="G838" s="97">
        <v>1524</v>
      </c>
      <c r="H838" s="367">
        <f t="shared" si="135"/>
        <v>2066.5</v>
      </c>
      <c r="I838" s="368">
        <f t="shared" si="111"/>
        <v>0</v>
      </c>
      <c r="J838" s="97">
        <v>5752</v>
      </c>
      <c r="K838" s="367">
        <f t="shared" si="112"/>
        <v>4108.5714285714284</v>
      </c>
      <c r="L838" s="606">
        <v>0.44</v>
      </c>
      <c r="M838" s="97">
        <v>3.1</v>
      </c>
      <c r="N838" s="605">
        <v>18</v>
      </c>
      <c r="O838" s="97">
        <v>4</v>
      </c>
      <c r="P838" s="97" t="s">
        <v>555</v>
      </c>
      <c r="Q838" s="97" t="str">
        <f t="shared" si="136"/>
        <v/>
      </c>
      <c r="R838" t="str">
        <f t="shared" si="137"/>
        <v/>
      </c>
    </row>
    <row r="839" spans="3:18">
      <c r="C839" t="str">
        <f t="shared" si="133"/>
        <v/>
      </c>
      <c r="D839" s="36">
        <v>60</v>
      </c>
      <c r="E839" s="97">
        <v>25</v>
      </c>
      <c r="F839" s="366">
        <f t="shared" si="134"/>
        <v>542.5</v>
      </c>
      <c r="G839" s="97">
        <v>1434</v>
      </c>
      <c r="H839" s="367">
        <f t="shared" si="135"/>
        <v>1976.5</v>
      </c>
      <c r="I839" s="368">
        <f t="shared" si="111"/>
        <v>0</v>
      </c>
      <c r="J839" s="97">
        <v>5412</v>
      </c>
      <c r="K839" s="367">
        <f t="shared" si="112"/>
        <v>3865.7142857142858</v>
      </c>
      <c r="L839" s="606">
        <v>0.3</v>
      </c>
      <c r="M839" s="97">
        <v>3.1</v>
      </c>
      <c r="N839" s="605">
        <v>19</v>
      </c>
      <c r="O839" s="97">
        <v>4</v>
      </c>
      <c r="P839" s="97" t="s">
        <v>514</v>
      </c>
      <c r="Q839" s="97" t="str">
        <f t="shared" si="136"/>
        <v/>
      </c>
      <c r="R839" t="str">
        <f t="shared" si="137"/>
        <v/>
      </c>
    </row>
    <row r="840" spans="3:18">
      <c r="C840" t="str">
        <f t="shared" si="133"/>
        <v>NL</v>
      </c>
      <c r="D840" s="36">
        <v>61</v>
      </c>
      <c r="E840" s="97">
        <v>25</v>
      </c>
      <c r="F840" s="366">
        <f t="shared" si="134"/>
        <v>542.5</v>
      </c>
      <c r="G840" s="97">
        <v>2031</v>
      </c>
      <c r="H840" s="367">
        <f t="shared" si="135"/>
        <v>2573.5</v>
      </c>
      <c r="I840" s="368">
        <f t="shared" si="111"/>
        <v>0</v>
      </c>
      <c r="J840" s="97">
        <v>7664</v>
      </c>
      <c r="K840" s="367">
        <f t="shared" si="112"/>
        <v>5474.2857142857147</v>
      </c>
      <c r="L840" s="606">
        <v>0.62</v>
      </c>
      <c r="M840" s="97">
        <v>3.8000000000000003</v>
      </c>
      <c r="N840" s="605">
        <v>21</v>
      </c>
      <c r="O840" s="97">
        <v>5</v>
      </c>
      <c r="P840" s="97" t="s">
        <v>513</v>
      </c>
      <c r="Q840" s="97" t="str">
        <f t="shared" si="136"/>
        <v/>
      </c>
      <c r="R840" t="str">
        <f t="shared" si="137"/>
        <v/>
      </c>
    </row>
    <row r="841" spans="3:18">
      <c r="C841" t="str">
        <f t="shared" si="133"/>
        <v>NL</v>
      </c>
      <c r="D841" s="36">
        <v>62</v>
      </c>
      <c r="E841" s="97">
        <v>25</v>
      </c>
      <c r="F841" s="366">
        <f t="shared" si="134"/>
        <v>542.5</v>
      </c>
      <c r="G841" s="97">
        <v>1542</v>
      </c>
      <c r="H841" s="367">
        <f t="shared" si="135"/>
        <v>2084.5</v>
      </c>
      <c r="I841" s="368">
        <f t="shared" si="111"/>
        <v>0</v>
      </c>
      <c r="J841" s="97">
        <v>5820</v>
      </c>
      <c r="K841" s="367">
        <f t="shared" si="112"/>
        <v>4157.1428571428569</v>
      </c>
      <c r="L841" s="606">
        <v>0.28000000000000003</v>
      </c>
      <c r="M841" s="97">
        <v>3.8000000000000003</v>
      </c>
      <c r="N841" s="605">
        <v>15</v>
      </c>
      <c r="O841" s="97">
        <v>5</v>
      </c>
      <c r="P841" s="97" t="s">
        <v>555</v>
      </c>
      <c r="Q841" s="97" t="str">
        <f t="shared" si="136"/>
        <v/>
      </c>
      <c r="R841" t="str">
        <f t="shared" si="137"/>
        <v/>
      </c>
    </row>
    <row r="842" spans="3:18">
      <c r="C842" t="str">
        <f t="shared" ref="C842:C905" si="138">IF(OR($O$4=0,O842-$O$4=0),IF(AND(ISEVEN(O842)=FALSE,$N$4="Even"),"NL",""),"NL")</f>
        <v>NL</v>
      </c>
      <c r="D842" s="36">
        <v>63</v>
      </c>
      <c r="E842" s="97">
        <v>25</v>
      </c>
      <c r="F842" s="366">
        <f t="shared" si="134"/>
        <v>542.5</v>
      </c>
      <c r="G842" s="97">
        <v>1421</v>
      </c>
      <c r="H842" s="367">
        <f t="shared" si="135"/>
        <v>1963.5</v>
      </c>
      <c r="I842" s="368">
        <f t="shared" ref="I842:I905" si="139">1.085*($C$2-$D$2)*E842*$T$7</f>
        <v>0</v>
      </c>
      <c r="J842" s="97">
        <v>5362</v>
      </c>
      <c r="K842" s="367">
        <f t="shared" ref="K842:K905" si="140">(J842*$V$7)-I842</f>
        <v>3830</v>
      </c>
      <c r="L842" s="606">
        <v>0.19</v>
      </c>
      <c r="M842" s="97">
        <v>3.8000000000000003</v>
      </c>
      <c r="N842" s="605">
        <v>17</v>
      </c>
      <c r="O842" s="97">
        <v>5</v>
      </c>
      <c r="P842" s="97" t="s">
        <v>514</v>
      </c>
      <c r="Q842" s="97" t="str">
        <f t="shared" si="136"/>
        <v/>
      </c>
      <c r="R842" t="str">
        <f t="shared" si="137"/>
        <v/>
      </c>
    </row>
    <row r="843" spans="3:18">
      <c r="C843" t="str">
        <f t="shared" si="138"/>
        <v/>
      </c>
      <c r="D843" s="36">
        <v>64</v>
      </c>
      <c r="E843" s="97">
        <v>25</v>
      </c>
      <c r="F843" s="366">
        <f t="shared" si="134"/>
        <v>542.5</v>
      </c>
      <c r="G843" s="97">
        <v>2549</v>
      </c>
      <c r="H843" s="367">
        <f t="shared" si="135"/>
        <v>3091.5</v>
      </c>
      <c r="I843" s="368">
        <f t="shared" si="139"/>
        <v>0</v>
      </c>
      <c r="J843" s="97">
        <v>9619</v>
      </c>
      <c r="K843" s="367">
        <f t="shared" si="140"/>
        <v>6870.7142857142862</v>
      </c>
      <c r="L843" s="606">
        <v>0.85</v>
      </c>
      <c r="M843" s="97">
        <v>4.3999999999999995</v>
      </c>
      <c r="N843" s="605">
        <v>20</v>
      </c>
      <c r="O843" s="97">
        <v>6</v>
      </c>
      <c r="P843" s="97" t="s">
        <v>512</v>
      </c>
      <c r="Q843" s="97" t="str">
        <f t="shared" si="136"/>
        <v/>
      </c>
      <c r="R843" t="str">
        <f t="shared" si="137"/>
        <v/>
      </c>
    </row>
    <row r="844" spans="3:18">
      <c r="C844" t="str">
        <f t="shared" si="138"/>
        <v/>
      </c>
      <c r="D844" s="36">
        <v>65</v>
      </c>
      <c r="E844" s="97">
        <v>25</v>
      </c>
      <c r="F844" s="366">
        <f t="shared" ref="F844:F907" si="141">1.085*($A$2-$B$2)*E844*$T$7</f>
        <v>542.5</v>
      </c>
      <c r="G844" s="97">
        <v>2157</v>
      </c>
      <c r="H844" s="367">
        <f t="shared" ref="H844:H907" si="142">(G844*$U$7)+F844</f>
        <v>2699.5</v>
      </c>
      <c r="I844" s="368">
        <f t="shared" si="139"/>
        <v>0</v>
      </c>
      <c r="J844" s="97">
        <v>8137</v>
      </c>
      <c r="K844" s="367">
        <f t="shared" si="140"/>
        <v>5812.1428571428569</v>
      </c>
      <c r="L844" s="606">
        <v>0.43</v>
      </c>
      <c r="M844" s="97">
        <v>4.3999999999999995</v>
      </c>
      <c r="N844" s="605">
        <v>20</v>
      </c>
      <c r="O844" s="97">
        <v>6</v>
      </c>
      <c r="P844" s="97" t="s">
        <v>513</v>
      </c>
      <c r="Q844" s="97" t="str">
        <f t="shared" ref="Q844:Q907" si="143">IF(AND(H844+1&gt;$E$4,L844&lt;$L$4+0.01,M844&lt;$M$4+0.01,K844+1&gt;$F$4,E844+1&gt;$J$4,N844&lt;$K$4+1,O844&lt;$P$4+1,C844=""),D844,"")</f>
        <v/>
      </c>
      <c r="R844" t="str">
        <f t="shared" ref="R844:R907" si="144">IF(Q844="","",IF(AND(O844&lt;$X$15,E844&gt;$U$15,E844&lt;$Q$4+$U$15+1),D844,""))</f>
        <v/>
      </c>
    </row>
    <row r="845" spans="3:18">
      <c r="C845" t="str">
        <f t="shared" si="138"/>
        <v/>
      </c>
      <c r="D845" s="36">
        <v>66</v>
      </c>
      <c r="E845" s="97">
        <v>25</v>
      </c>
      <c r="F845" s="366">
        <f t="shared" si="141"/>
        <v>542.5</v>
      </c>
      <c r="G845" s="97">
        <v>1678</v>
      </c>
      <c r="H845" s="367">
        <f t="shared" si="142"/>
        <v>2220.5</v>
      </c>
      <c r="I845" s="368">
        <f t="shared" si="139"/>
        <v>0</v>
      </c>
      <c r="J845" s="97">
        <v>6330</v>
      </c>
      <c r="K845" s="367">
        <f t="shared" si="140"/>
        <v>4521.4285714285716</v>
      </c>
      <c r="L845" s="606">
        <v>0.2</v>
      </c>
      <c r="M845" s="97">
        <v>4.3999999999999995</v>
      </c>
      <c r="N845" s="605">
        <v>15</v>
      </c>
      <c r="O845" s="97">
        <v>6</v>
      </c>
      <c r="P845" s="97" t="s">
        <v>555</v>
      </c>
      <c r="Q845" s="97" t="str">
        <f t="shared" si="143"/>
        <v/>
      </c>
      <c r="R845" t="str">
        <f t="shared" si="144"/>
        <v/>
      </c>
    </row>
    <row r="846" spans="3:18">
      <c r="C846" t="str">
        <f t="shared" si="138"/>
        <v>NL</v>
      </c>
      <c r="D846" s="36">
        <v>67</v>
      </c>
      <c r="E846" s="97">
        <v>25</v>
      </c>
      <c r="F846" s="366">
        <f t="shared" si="141"/>
        <v>542.5</v>
      </c>
      <c r="G846" s="97">
        <v>2923</v>
      </c>
      <c r="H846" s="367">
        <f t="shared" si="142"/>
        <v>3465.5</v>
      </c>
      <c r="I846" s="368">
        <f t="shared" si="139"/>
        <v>0</v>
      </c>
      <c r="J846" s="97">
        <v>11026</v>
      </c>
      <c r="K846" s="367">
        <f t="shared" si="140"/>
        <v>7875.7142857142862</v>
      </c>
      <c r="L846" s="606">
        <v>0.63</v>
      </c>
      <c r="M846" s="97">
        <v>5.0999999999999996</v>
      </c>
      <c r="N846" s="605">
        <v>19</v>
      </c>
      <c r="O846" s="97">
        <v>7</v>
      </c>
      <c r="P846" s="97" t="s">
        <v>512</v>
      </c>
      <c r="Q846" s="97" t="str">
        <f t="shared" si="143"/>
        <v/>
      </c>
      <c r="R846" t="str">
        <f t="shared" si="144"/>
        <v/>
      </c>
    </row>
    <row r="847" spans="3:18">
      <c r="C847" t="str">
        <f t="shared" si="138"/>
        <v>NL</v>
      </c>
      <c r="D847" s="36">
        <v>68</v>
      </c>
      <c r="E847" s="97">
        <v>25</v>
      </c>
      <c r="F847" s="366">
        <f t="shared" si="141"/>
        <v>542.5</v>
      </c>
      <c r="G847" s="97">
        <v>2365</v>
      </c>
      <c r="H847" s="367">
        <f t="shared" si="142"/>
        <v>2907.5</v>
      </c>
      <c r="I847" s="368">
        <f t="shared" si="139"/>
        <v>0</v>
      </c>
      <c r="J847" s="97">
        <v>8924</v>
      </c>
      <c r="K847" s="367">
        <f t="shared" si="140"/>
        <v>6374.2857142857147</v>
      </c>
      <c r="L847" s="606">
        <v>0.32</v>
      </c>
      <c r="M847" s="97">
        <v>5.0999999999999996</v>
      </c>
      <c r="N847" s="605">
        <v>18</v>
      </c>
      <c r="O847" s="97">
        <v>7</v>
      </c>
      <c r="P847" s="97" t="s">
        <v>513</v>
      </c>
      <c r="Q847" s="97" t="str">
        <f t="shared" si="143"/>
        <v/>
      </c>
      <c r="R847" t="str">
        <f t="shared" si="144"/>
        <v/>
      </c>
    </row>
    <row r="848" spans="3:18">
      <c r="C848" t="str">
        <f t="shared" si="138"/>
        <v>NL</v>
      </c>
      <c r="D848" s="36">
        <v>69</v>
      </c>
      <c r="E848" s="97">
        <v>25</v>
      </c>
      <c r="F848" s="366">
        <f t="shared" si="141"/>
        <v>542.5</v>
      </c>
      <c r="G848" s="97">
        <v>1765</v>
      </c>
      <c r="H848" s="367">
        <f t="shared" si="142"/>
        <v>2307.5</v>
      </c>
      <c r="I848" s="368">
        <f t="shared" si="139"/>
        <v>0</v>
      </c>
      <c r="J848" s="97">
        <v>6661</v>
      </c>
      <c r="K848" s="367">
        <f t="shared" si="140"/>
        <v>4757.8571428571431</v>
      </c>
      <c r="L848" s="606">
        <v>0.15000000000000002</v>
      </c>
      <c r="M848" s="97">
        <v>5.0999999999999996</v>
      </c>
      <c r="N848" s="605">
        <v>15</v>
      </c>
      <c r="O848" s="97">
        <v>7</v>
      </c>
      <c r="P848" s="97" t="s">
        <v>555</v>
      </c>
      <c r="Q848" s="97" t="str">
        <f t="shared" si="143"/>
        <v/>
      </c>
      <c r="R848" t="str">
        <f t="shared" si="144"/>
        <v/>
      </c>
    </row>
    <row r="849" spans="3:18">
      <c r="C849" t="str">
        <f t="shared" si="138"/>
        <v/>
      </c>
      <c r="D849" s="36">
        <v>70</v>
      </c>
      <c r="E849" s="97">
        <v>25</v>
      </c>
      <c r="F849" s="366">
        <f t="shared" si="141"/>
        <v>542.5</v>
      </c>
      <c r="G849" s="97">
        <v>3037</v>
      </c>
      <c r="H849" s="367">
        <f t="shared" si="142"/>
        <v>3579.5</v>
      </c>
      <c r="I849" s="368">
        <f t="shared" si="139"/>
        <v>0</v>
      </c>
      <c r="J849" s="97">
        <v>11456</v>
      </c>
      <c r="K849" s="367">
        <f t="shared" si="140"/>
        <v>8182.8571428571431</v>
      </c>
      <c r="L849" s="606">
        <v>0.49</v>
      </c>
      <c r="M849" s="97">
        <v>5.8</v>
      </c>
      <c r="N849" s="605">
        <v>18</v>
      </c>
      <c r="O849" s="97">
        <v>8</v>
      </c>
      <c r="P849" s="97" t="s">
        <v>512</v>
      </c>
      <c r="Q849" s="97">
        <f t="shared" si="143"/>
        <v>70</v>
      </c>
      <c r="R849" t="str">
        <f t="shared" si="144"/>
        <v/>
      </c>
    </row>
    <row r="850" spans="3:18">
      <c r="C850" t="str">
        <f t="shared" si="138"/>
        <v/>
      </c>
      <c r="D850" s="36">
        <v>71</v>
      </c>
      <c r="E850" s="97">
        <v>25</v>
      </c>
      <c r="F850" s="366">
        <f t="shared" si="141"/>
        <v>542.5</v>
      </c>
      <c r="G850" s="97">
        <v>3037</v>
      </c>
      <c r="H850" s="367">
        <f t="shared" si="142"/>
        <v>3579.5</v>
      </c>
      <c r="I850" s="368">
        <f t="shared" si="139"/>
        <v>0</v>
      </c>
      <c r="J850" s="97">
        <v>11456</v>
      </c>
      <c r="K850" s="367">
        <f t="shared" si="140"/>
        <v>8182.8571428571431</v>
      </c>
      <c r="L850" s="606">
        <v>0.49</v>
      </c>
      <c r="M850" s="97">
        <v>5.8</v>
      </c>
      <c r="N850" s="605">
        <v>18</v>
      </c>
      <c r="O850" s="97">
        <v>8</v>
      </c>
      <c r="P850" s="97" t="s">
        <v>512</v>
      </c>
      <c r="Q850" s="97">
        <f t="shared" si="143"/>
        <v>71</v>
      </c>
      <c r="R850" t="str">
        <f t="shared" si="144"/>
        <v/>
      </c>
    </row>
    <row r="851" spans="3:18">
      <c r="C851" t="str">
        <f t="shared" si="138"/>
        <v/>
      </c>
      <c r="D851" s="36">
        <v>72</v>
      </c>
      <c r="E851" s="97">
        <v>25</v>
      </c>
      <c r="F851" s="366">
        <f t="shared" si="141"/>
        <v>542.5</v>
      </c>
      <c r="G851" s="97">
        <v>2474</v>
      </c>
      <c r="H851" s="367">
        <f t="shared" si="142"/>
        <v>3016.5</v>
      </c>
      <c r="I851" s="368">
        <f t="shared" si="139"/>
        <v>0</v>
      </c>
      <c r="J851" s="97">
        <v>9333</v>
      </c>
      <c r="K851" s="367">
        <f t="shared" si="140"/>
        <v>6666.4285714285716</v>
      </c>
      <c r="L851" s="606">
        <v>0.25</v>
      </c>
      <c r="M851" s="97">
        <v>5.8</v>
      </c>
      <c r="N851" s="605">
        <v>17</v>
      </c>
      <c r="O851" s="97">
        <v>8</v>
      </c>
      <c r="P851" s="97" t="s">
        <v>513</v>
      </c>
      <c r="Q851" s="97">
        <f t="shared" si="143"/>
        <v>72</v>
      </c>
      <c r="R851" t="str">
        <f t="shared" si="144"/>
        <v/>
      </c>
    </row>
    <row r="852" spans="3:18">
      <c r="C852" t="str">
        <f t="shared" si="138"/>
        <v>NL</v>
      </c>
      <c r="D852" s="36">
        <v>73</v>
      </c>
      <c r="E852" s="97">
        <v>25</v>
      </c>
      <c r="F852" s="366">
        <f t="shared" si="141"/>
        <v>542.5</v>
      </c>
      <c r="G852" s="97">
        <v>3077</v>
      </c>
      <c r="H852" s="367">
        <f t="shared" si="142"/>
        <v>3619.5</v>
      </c>
      <c r="I852" s="368">
        <f t="shared" si="139"/>
        <v>0</v>
      </c>
      <c r="J852" s="97">
        <v>11608</v>
      </c>
      <c r="K852" s="367">
        <f t="shared" si="140"/>
        <v>8291.4285714285725</v>
      </c>
      <c r="L852" s="606">
        <v>0.39</v>
      </c>
      <c r="M852" s="97">
        <v>2.5</v>
      </c>
      <c r="N852" s="605">
        <v>17</v>
      </c>
      <c r="O852" s="97">
        <v>9</v>
      </c>
      <c r="P852" s="97" t="s">
        <v>512</v>
      </c>
      <c r="Q852" s="97" t="str">
        <f t="shared" si="143"/>
        <v/>
      </c>
      <c r="R852" t="str">
        <f t="shared" si="144"/>
        <v/>
      </c>
    </row>
    <row r="853" spans="3:18">
      <c r="C853" t="str">
        <f t="shared" si="138"/>
        <v>NL</v>
      </c>
      <c r="D853" s="36">
        <v>74</v>
      </c>
      <c r="E853" s="97">
        <v>25</v>
      </c>
      <c r="F853" s="366">
        <f t="shared" si="141"/>
        <v>542.5</v>
      </c>
      <c r="G853" s="97">
        <v>2489</v>
      </c>
      <c r="H853" s="367">
        <f t="shared" si="142"/>
        <v>3031.5</v>
      </c>
      <c r="I853" s="368">
        <f t="shared" si="139"/>
        <v>0</v>
      </c>
      <c r="J853" s="97">
        <v>9390</v>
      </c>
      <c r="K853" s="367">
        <f t="shared" si="140"/>
        <v>6707.1428571428569</v>
      </c>
      <c r="L853" s="606">
        <v>0.2</v>
      </c>
      <c r="M853" s="97">
        <v>2</v>
      </c>
      <c r="N853" s="605">
        <v>16</v>
      </c>
      <c r="O853" s="97">
        <v>9</v>
      </c>
      <c r="P853" s="97" t="s">
        <v>513</v>
      </c>
      <c r="Q853" s="97" t="str">
        <f t="shared" si="143"/>
        <v/>
      </c>
      <c r="R853" t="str">
        <f t="shared" si="144"/>
        <v/>
      </c>
    </row>
    <row r="854" spans="3:18">
      <c r="C854" t="str">
        <f t="shared" si="138"/>
        <v/>
      </c>
      <c r="D854" s="36">
        <v>75</v>
      </c>
      <c r="E854" s="97">
        <v>25</v>
      </c>
      <c r="F854" s="366">
        <f t="shared" si="141"/>
        <v>542.5</v>
      </c>
      <c r="G854" s="97">
        <v>3119</v>
      </c>
      <c r="H854" s="367">
        <f t="shared" si="142"/>
        <v>3661.5</v>
      </c>
      <c r="I854" s="368">
        <f t="shared" si="139"/>
        <v>0</v>
      </c>
      <c r="J854" s="97">
        <v>11765</v>
      </c>
      <c r="K854" s="367">
        <f t="shared" si="140"/>
        <v>8403.5714285714294</v>
      </c>
      <c r="L854" s="606">
        <v>0.32</v>
      </c>
      <c r="M854" s="97">
        <v>2.5</v>
      </c>
      <c r="N854" s="605">
        <v>16</v>
      </c>
      <c r="O854" s="97">
        <v>10</v>
      </c>
      <c r="P854" s="97" t="s">
        <v>512</v>
      </c>
      <c r="Q854" s="97" t="str">
        <f t="shared" si="143"/>
        <v/>
      </c>
      <c r="R854" t="str">
        <f t="shared" si="144"/>
        <v/>
      </c>
    </row>
    <row r="855" spans="3:18">
      <c r="C855" t="str">
        <f t="shared" si="138"/>
        <v/>
      </c>
      <c r="D855" s="36">
        <v>76</v>
      </c>
      <c r="E855" s="97">
        <v>25</v>
      </c>
      <c r="F855" s="366">
        <f t="shared" si="141"/>
        <v>542.5</v>
      </c>
      <c r="G855" s="97">
        <v>2510</v>
      </c>
      <c r="H855" s="367">
        <f t="shared" si="142"/>
        <v>3052.5</v>
      </c>
      <c r="I855" s="368">
        <f t="shared" si="139"/>
        <v>0</v>
      </c>
      <c r="J855" s="97">
        <v>9469</v>
      </c>
      <c r="K855" s="367">
        <f t="shared" si="140"/>
        <v>6763.5714285714284</v>
      </c>
      <c r="L855" s="606">
        <v>0.16</v>
      </c>
      <c r="M855" s="97">
        <v>2.1</v>
      </c>
      <c r="N855" s="605">
        <v>16</v>
      </c>
      <c r="O855" s="97">
        <v>10</v>
      </c>
      <c r="P855" s="97" t="s">
        <v>513</v>
      </c>
      <c r="Q855" s="97" t="str">
        <f t="shared" si="143"/>
        <v/>
      </c>
      <c r="R855" t="str">
        <f t="shared" si="144"/>
        <v/>
      </c>
    </row>
    <row r="856" spans="3:18">
      <c r="C856" t="str">
        <f t="shared" si="138"/>
        <v/>
      </c>
      <c r="D856" s="36">
        <v>77</v>
      </c>
      <c r="E856" s="97">
        <v>30</v>
      </c>
      <c r="F856" s="366">
        <f t="shared" si="141"/>
        <v>651</v>
      </c>
      <c r="G856" s="97">
        <v>1270</v>
      </c>
      <c r="H856" s="367">
        <f t="shared" si="142"/>
        <v>1921</v>
      </c>
      <c r="I856" s="368">
        <f t="shared" si="139"/>
        <v>0</v>
      </c>
      <c r="J856" s="97">
        <v>4791</v>
      </c>
      <c r="K856" s="367">
        <f t="shared" si="140"/>
        <v>3422.1428571428573</v>
      </c>
      <c r="L856" s="606">
        <v>0.87</v>
      </c>
      <c r="M856" s="97">
        <v>1.7000000000000002</v>
      </c>
      <c r="N856" s="605">
        <v>22</v>
      </c>
      <c r="O856" s="97">
        <v>2</v>
      </c>
      <c r="P856" s="97" t="s">
        <v>556</v>
      </c>
      <c r="Q856" s="97" t="str">
        <f t="shared" si="143"/>
        <v/>
      </c>
      <c r="R856" t="str">
        <f t="shared" si="144"/>
        <v/>
      </c>
    </row>
    <row r="857" spans="3:18">
      <c r="C857" t="str">
        <f t="shared" si="138"/>
        <v/>
      </c>
      <c r="D857" s="36">
        <v>78</v>
      </c>
      <c r="E857" s="97">
        <v>30</v>
      </c>
      <c r="F857" s="366">
        <f t="shared" si="141"/>
        <v>651</v>
      </c>
      <c r="G857" s="97">
        <v>1021</v>
      </c>
      <c r="H857" s="367">
        <f t="shared" si="142"/>
        <v>1672</v>
      </c>
      <c r="I857" s="368">
        <f t="shared" si="139"/>
        <v>0</v>
      </c>
      <c r="J857" s="97">
        <v>3855</v>
      </c>
      <c r="K857" s="367">
        <f t="shared" si="140"/>
        <v>2753.5714285714284</v>
      </c>
      <c r="L857" s="606">
        <v>0.52</v>
      </c>
      <c r="M857" s="97">
        <v>1.7000000000000002</v>
      </c>
      <c r="N857" s="605">
        <v>19</v>
      </c>
      <c r="O857" s="97">
        <v>2</v>
      </c>
      <c r="P857" s="97" t="s">
        <v>515</v>
      </c>
      <c r="Q857" s="97" t="str">
        <f t="shared" si="143"/>
        <v/>
      </c>
      <c r="R857" t="str">
        <f t="shared" si="144"/>
        <v/>
      </c>
    </row>
    <row r="858" spans="3:18">
      <c r="C858" t="str">
        <f t="shared" si="138"/>
        <v>NL</v>
      </c>
      <c r="D858" s="36">
        <v>79</v>
      </c>
      <c r="E858" s="97">
        <v>30</v>
      </c>
      <c r="F858" s="366">
        <f t="shared" si="141"/>
        <v>651</v>
      </c>
      <c r="G858" s="97">
        <v>1546</v>
      </c>
      <c r="H858" s="367">
        <f t="shared" si="142"/>
        <v>2197</v>
      </c>
      <c r="I858" s="368">
        <f t="shared" si="139"/>
        <v>0</v>
      </c>
      <c r="J858" s="97">
        <v>5832</v>
      </c>
      <c r="K858" s="367">
        <f t="shared" si="140"/>
        <v>4165.7142857142862</v>
      </c>
      <c r="L858" s="606">
        <v>0.76</v>
      </c>
      <c r="M858" s="97">
        <v>2.4</v>
      </c>
      <c r="N858" s="605">
        <v>23</v>
      </c>
      <c r="O858" s="97">
        <v>3</v>
      </c>
      <c r="P858" s="97" t="s">
        <v>514</v>
      </c>
      <c r="Q858" s="97" t="str">
        <f t="shared" si="143"/>
        <v/>
      </c>
      <c r="R858" t="str">
        <f t="shared" si="144"/>
        <v/>
      </c>
    </row>
    <row r="859" spans="3:18">
      <c r="C859" t="str">
        <f t="shared" si="138"/>
        <v>NL</v>
      </c>
      <c r="D859" s="36">
        <v>80</v>
      </c>
      <c r="E859" s="97">
        <v>30</v>
      </c>
      <c r="F859" s="366">
        <f t="shared" si="141"/>
        <v>651</v>
      </c>
      <c r="G859" s="97">
        <v>1289</v>
      </c>
      <c r="H859" s="367">
        <f t="shared" si="142"/>
        <v>1940</v>
      </c>
      <c r="I859" s="368">
        <f t="shared" si="139"/>
        <v>0</v>
      </c>
      <c r="J859" s="97">
        <v>4865</v>
      </c>
      <c r="K859" s="367">
        <f t="shared" si="140"/>
        <v>3475</v>
      </c>
      <c r="L859" s="606">
        <v>0.36</v>
      </c>
      <c r="M859" s="97">
        <v>2.4</v>
      </c>
      <c r="N859" s="605">
        <v>18</v>
      </c>
      <c r="O859" s="97">
        <v>3</v>
      </c>
      <c r="P859" s="97" t="s">
        <v>556</v>
      </c>
      <c r="Q859" s="97" t="str">
        <f t="shared" si="143"/>
        <v/>
      </c>
      <c r="R859" t="str">
        <f t="shared" si="144"/>
        <v/>
      </c>
    </row>
    <row r="860" spans="3:18">
      <c r="C860" t="str">
        <f t="shared" si="138"/>
        <v>NL</v>
      </c>
      <c r="D860" s="36">
        <v>81</v>
      </c>
      <c r="E860" s="97">
        <v>30</v>
      </c>
      <c r="F860" s="366">
        <f t="shared" si="141"/>
        <v>651</v>
      </c>
      <c r="G860" s="97">
        <v>1126</v>
      </c>
      <c r="H860" s="367">
        <f t="shared" si="142"/>
        <v>1777</v>
      </c>
      <c r="I860" s="368">
        <f t="shared" si="139"/>
        <v>0</v>
      </c>
      <c r="J860" s="97">
        <v>4251</v>
      </c>
      <c r="K860" s="367">
        <f t="shared" si="140"/>
        <v>3036.4285714285716</v>
      </c>
      <c r="L860" s="606">
        <v>0.22</v>
      </c>
      <c r="M860" s="97">
        <v>2.4</v>
      </c>
      <c r="N860" s="605">
        <v>15</v>
      </c>
      <c r="O860" s="97">
        <v>3</v>
      </c>
      <c r="P860" s="97" t="s">
        <v>515</v>
      </c>
      <c r="Q860" s="97" t="str">
        <f t="shared" si="143"/>
        <v/>
      </c>
      <c r="R860" t="str">
        <f t="shared" si="144"/>
        <v/>
      </c>
    </row>
    <row r="861" spans="3:18">
      <c r="C861" t="str">
        <f t="shared" si="138"/>
        <v/>
      </c>
      <c r="D861" s="36">
        <v>82</v>
      </c>
      <c r="E861" s="97">
        <v>30</v>
      </c>
      <c r="F861" s="366">
        <f t="shared" si="141"/>
        <v>651</v>
      </c>
      <c r="G861" s="97">
        <v>1742</v>
      </c>
      <c r="H861" s="367">
        <f t="shared" si="142"/>
        <v>2393</v>
      </c>
      <c r="I861" s="368">
        <f t="shared" si="139"/>
        <v>0</v>
      </c>
      <c r="J861" s="97">
        <v>6571</v>
      </c>
      <c r="K861" s="367">
        <f t="shared" si="140"/>
        <v>4693.5714285714284</v>
      </c>
      <c r="L861" s="606">
        <v>0.63</v>
      </c>
      <c r="M861" s="97">
        <v>3.1</v>
      </c>
      <c r="N861" s="605">
        <v>20</v>
      </c>
      <c r="O861" s="97">
        <v>4</v>
      </c>
      <c r="P861" s="97" t="s">
        <v>555</v>
      </c>
      <c r="Q861" s="97" t="str">
        <f t="shared" si="143"/>
        <v/>
      </c>
      <c r="R861" t="str">
        <f t="shared" si="144"/>
        <v/>
      </c>
    </row>
    <row r="862" spans="3:18">
      <c r="C862" t="str">
        <f t="shared" si="138"/>
        <v/>
      </c>
      <c r="D862" s="36">
        <v>83</v>
      </c>
      <c r="E862" s="97">
        <v>30</v>
      </c>
      <c r="F862" s="366">
        <f t="shared" si="141"/>
        <v>651</v>
      </c>
      <c r="G862" s="97">
        <v>1650</v>
      </c>
      <c r="H862" s="367">
        <f t="shared" si="142"/>
        <v>2301</v>
      </c>
      <c r="I862" s="368">
        <f t="shared" si="139"/>
        <v>0</v>
      </c>
      <c r="J862" s="97">
        <v>6225</v>
      </c>
      <c r="K862" s="367">
        <f t="shared" si="140"/>
        <v>4446.4285714285716</v>
      </c>
      <c r="L862" s="606">
        <v>0.43</v>
      </c>
      <c r="M862" s="97">
        <v>3.1</v>
      </c>
      <c r="N862" s="605">
        <v>21</v>
      </c>
      <c r="O862" s="97">
        <v>4</v>
      </c>
      <c r="P862" s="97" t="s">
        <v>514</v>
      </c>
      <c r="Q862" s="97" t="str">
        <f t="shared" si="143"/>
        <v/>
      </c>
      <c r="R862" t="str">
        <f t="shared" si="144"/>
        <v/>
      </c>
    </row>
    <row r="863" spans="3:18">
      <c r="C863" t="str">
        <f t="shared" si="138"/>
        <v/>
      </c>
      <c r="D863" s="36">
        <v>84</v>
      </c>
      <c r="E863" s="97">
        <v>30</v>
      </c>
      <c r="F863" s="366">
        <f t="shared" si="141"/>
        <v>651</v>
      </c>
      <c r="G863" s="97">
        <v>1331</v>
      </c>
      <c r="H863" s="367">
        <f t="shared" si="142"/>
        <v>1982</v>
      </c>
      <c r="I863" s="368">
        <f t="shared" si="139"/>
        <v>0</v>
      </c>
      <c r="J863" s="97">
        <v>5024</v>
      </c>
      <c r="K863" s="367">
        <f t="shared" si="140"/>
        <v>3588.5714285714284</v>
      </c>
      <c r="L863" s="606">
        <v>0.21000000000000002</v>
      </c>
      <c r="M863" s="97">
        <v>3.1</v>
      </c>
      <c r="N863" s="605">
        <v>15</v>
      </c>
      <c r="O863" s="97">
        <v>4</v>
      </c>
      <c r="P863" s="97" t="s">
        <v>556</v>
      </c>
      <c r="Q863" s="97" t="str">
        <f t="shared" si="143"/>
        <v/>
      </c>
      <c r="R863" t="str">
        <f t="shared" si="144"/>
        <v/>
      </c>
    </row>
    <row r="864" spans="3:18">
      <c r="C864" t="str">
        <f t="shared" si="138"/>
        <v>NL</v>
      </c>
      <c r="D864" s="36">
        <v>85</v>
      </c>
      <c r="E864" s="97">
        <v>30</v>
      </c>
      <c r="F864" s="366">
        <f t="shared" si="141"/>
        <v>651</v>
      </c>
      <c r="G864" s="97">
        <v>2374</v>
      </c>
      <c r="H864" s="367">
        <f t="shared" si="142"/>
        <v>3025</v>
      </c>
      <c r="I864" s="368">
        <f t="shared" si="139"/>
        <v>0</v>
      </c>
      <c r="J864" s="97">
        <v>8956</v>
      </c>
      <c r="K864" s="367">
        <f t="shared" si="140"/>
        <v>6397.1428571428569</v>
      </c>
      <c r="L864" s="606">
        <v>0.89</v>
      </c>
      <c r="M864" s="97">
        <v>3.8000000000000003</v>
      </c>
      <c r="N864" s="605">
        <v>24</v>
      </c>
      <c r="O864" s="97">
        <v>5</v>
      </c>
      <c r="P864" s="97" t="s">
        <v>513</v>
      </c>
      <c r="Q864" s="97" t="str">
        <f t="shared" si="143"/>
        <v/>
      </c>
      <c r="R864" t="str">
        <f t="shared" si="144"/>
        <v/>
      </c>
    </row>
    <row r="865" spans="3:18">
      <c r="C865" t="str">
        <f t="shared" si="138"/>
        <v>NL</v>
      </c>
      <c r="D865" s="36">
        <v>86</v>
      </c>
      <c r="E865" s="97">
        <v>30</v>
      </c>
      <c r="F865" s="366">
        <f t="shared" si="141"/>
        <v>651</v>
      </c>
      <c r="G865" s="97">
        <v>1821</v>
      </c>
      <c r="H865" s="367">
        <f t="shared" si="142"/>
        <v>2472</v>
      </c>
      <c r="I865" s="368">
        <f t="shared" si="139"/>
        <v>0</v>
      </c>
      <c r="J865" s="97">
        <v>6869</v>
      </c>
      <c r="K865" s="367">
        <f t="shared" si="140"/>
        <v>4906.4285714285716</v>
      </c>
      <c r="L865" s="606">
        <v>0.4</v>
      </c>
      <c r="M865" s="97">
        <v>3.8000000000000003</v>
      </c>
      <c r="N865" s="605">
        <v>18</v>
      </c>
      <c r="O865" s="97">
        <v>5</v>
      </c>
      <c r="P865" s="97" t="s">
        <v>555</v>
      </c>
      <c r="Q865" s="97" t="str">
        <f t="shared" si="143"/>
        <v/>
      </c>
      <c r="R865" t="str">
        <f t="shared" si="144"/>
        <v/>
      </c>
    </row>
    <row r="866" spans="3:18">
      <c r="C866" t="str">
        <f t="shared" si="138"/>
        <v>NL</v>
      </c>
      <c r="D866" s="36">
        <v>87</v>
      </c>
      <c r="E866" s="97">
        <v>30</v>
      </c>
      <c r="F866" s="366">
        <f t="shared" si="141"/>
        <v>651</v>
      </c>
      <c r="G866" s="97">
        <v>1675</v>
      </c>
      <c r="H866" s="367">
        <f t="shared" si="142"/>
        <v>2326</v>
      </c>
      <c r="I866" s="368">
        <f t="shared" si="139"/>
        <v>0</v>
      </c>
      <c r="J866" s="97">
        <v>6322</v>
      </c>
      <c r="K866" s="367">
        <f t="shared" si="140"/>
        <v>4515.7142857142862</v>
      </c>
      <c r="L866" s="606">
        <v>0.28000000000000003</v>
      </c>
      <c r="M866" s="97">
        <v>3.8000000000000003</v>
      </c>
      <c r="N866" s="605">
        <v>19</v>
      </c>
      <c r="O866" s="97">
        <v>5</v>
      </c>
      <c r="P866" s="97" t="s">
        <v>514</v>
      </c>
      <c r="Q866" s="97" t="str">
        <f t="shared" si="143"/>
        <v/>
      </c>
      <c r="R866" t="str">
        <f t="shared" si="144"/>
        <v/>
      </c>
    </row>
    <row r="867" spans="3:18">
      <c r="C867" t="str">
        <f t="shared" si="138"/>
        <v/>
      </c>
      <c r="D867" s="36">
        <v>88</v>
      </c>
      <c r="E867" s="97">
        <v>30</v>
      </c>
      <c r="F867" s="366">
        <f t="shared" si="141"/>
        <v>651</v>
      </c>
      <c r="G867" s="97">
        <v>2416</v>
      </c>
      <c r="H867" s="367">
        <f t="shared" si="142"/>
        <v>3067</v>
      </c>
      <c r="I867" s="368">
        <f t="shared" si="139"/>
        <v>0</v>
      </c>
      <c r="J867" s="97">
        <v>9115</v>
      </c>
      <c r="K867" s="367">
        <f t="shared" si="140"/>
        <v>6510.7142857142862</v>
      </c>
      <c r="L867" s="606">
        <v>0.62</v>
      </c>
      <c r="M867" s="97">
        <v>4.3999999999999995</v>
      </c>
      <c r="N867" s="605">
        <v>22</v>
      </c>
      <c r="O867" s="97">
        <v>6</v>
      </c>
      <c r="P867" s="97" t="s">
        <v>513</v>
      </c>
      <c r="Q867" s="97">
        <f t="shared" si="143"/>
        <v>88</v>
      </c>
      <c r="R867">
        <f t="shared" si="144"/>
        <v>88</v>
      </c>
    </row>
    <row r="868" spans="3:18">
      <c r="C868" t="str">
        <f t="shared" si="138"/>
        <v/>
      </c>
      <c r="D868" s="36">
        <v>89</v>
      </c>
      <c r="E868" s="97">
        <v>30</v>
      </c>
      <c r="F868" s="366">
        <f t="shared" si="141"/>
        <v>651</v>
      </c>
      <c r="G868" s="97">
        <v>1922</v>
      </c>
      <c r="H868" s="367">
        <f t="shared" si="142"/>
        <v>2573</v>
      </c>
      <c r="I868" s="368">
        <f t="shared" si="139"/>
        <v>0</v>
      </c>
      <c r="J868" s="97">
        <v>7252</v>
      </c>
      <c r="K868" s="367">
        <f t="shared" si="140"/>
        <v>5180</v>
      </c>
      <c r="L868" s="606">
        <v>0.28000000000000003</v>
      </c>
      <c r="M868" s="97">
        <v>4.3999999999999995</v>
      </c>
      <c r="N868" s="605">
        <v>17</v>
      </c>
      <c r="O868" s="97">
        <v>6</v>
      </c>
      <c r="P868" s="97" t="s">
        <v>555</v>
      </c>
      <c r="Q868" s="97" t="str">
        <f t="shared" si="143"/>
        <v/>
      </c>
      <c r="R868" t="str">
        <f t="shared" si="144"/>
        <v/>
      </c>
    </row>
    <row r="869" spans="3:18">
      <c r="C869" t="str">
        <f t="shared" si="138"/>
        <v/>
      </c>
      <c r="D869" s="36">
        <v>90</v>
      </c>
      <c r="E869" s="97">
        <v>30</v>
      </c>
      <c r="F869" s="366">
        <f t="shared" si="141"/>
        <v>651</v>
      </c>
      <c r="G869" s="97">
        <v>1779</v>
      </c>
      <c r="H869" s="367">
        <f t="shared" si="142"/>
        <v>2430</v>
      </c>
      <c r="I869" s="368">
        <f t="shared" si="139"/>
        <v>0</v>
      </c>
      <c r="J869" s="97">
        <v>6712</v>
      </c>
      <c r="K869" s="367">
        <f t="shared" si="140"/>
        <v>4794.2857142857147</v>
      </c>
      <c r="L869" s="606">
        <v>0.19</v>
      </c>
      <c r="M869" s="97">
        <v>4.3999999999999995</v>
      </c>
      <c r="N869" s="605">
        <v>18</v>
      </c>
      <c r="O869" s="97">
        <v>6</v>
      </c>
      <c r="P869" s="97" t="s">
        <v>514</v>
      </c>
      <c r="Q869" s="97" t="str">
        <f t="shared" si="143"/>
        <v/>
      </c>
      <c r="R869" t="str">
        <f t="shared" si="144"/>
        <v/>
      </c>
    </row>
    <row r="870" spans="3:18">
      <c r="C870" t="str">
        <f t="shared" si="138"/>
        <v>NL</v>
      </c>
      <c r="D870" s="36">
        <v>91</v>
      </c>
      <c r="E870" s="97">
        <v>30</v>
      </c>
      <c r="F870" s="366">
        <f t="shared" si="141"/>
        <v>651</v>
      </c>
      <c r="G870" s="97">
        <v>3304</v>
      </c>
      <c r="H870" s="367">
        <f t="shared" si="142"/>
        <v>3955</v>
      </c>
      <c r="I870" s="368">
        <f t="shared" si="139"/>
        <v>0</v>
      </c>
      <c r="J870" s="97">
        <v>12465</v>
      </c>
      <c r="K870" s="367">
        <f t="shared" si="140"/>
        <v>8903.5714285714294</v>
      </c>
      <c r="L870" s="606">
        <v>0.91</v>
      </c>
      <c r="M870" s="97">
        <v>5.0999999999999996</v>
      </c>
      <c r="N870" s="605">
        <v>22</v>
      </c>
      <c r="O870" s="97">
        <v>7</v>
      </c>
      <c r="P870" s="97" t="s">
        <v>512</v>
      </c>
      <c r="Q870" s="97" t="str">
        <f t="shared" si="143"/>
        <v/>
      </c>
      <c r="R870" t="str">
        <f t="shared" si="144"/>
        <v/>
      </c>
    </row>
    <row r="871" spans="3:18">
      <c r="C871" t="str">
        <f t="shared" si="138"/>
        <v>NL</v>
      </c>
      <c r="D871" s="36">
        <v>92</v>
      </c>
      <c r="E871" s="97">
        <v>30</v>
      </c>
      <c r="F871" s="366">
        <f t="shared" si="141"/>
        <v>651</v>
      </c>
      <c r="G871" s="97">
        <v>2765</v>
      </c>
      <c r="H871" s="367">
        <f t="shared" si="142"/>
        <v>3416</v>
      </c>
      <c r="I871" s="368">
        <f t="shared" si="139"/>
        <v>0</v>
      </c>
      <c r="J871" s="97">
        <v>10433</v>
      </c>
      <c r="K871" s="367">
        <f t="shared" si="140"/>
        <v>7452.1428571428569</v>
      </c>
      <c r="L871" s="606">
        <v>0.46</v>
      </c>
      <c r="M871" s="97">
        <v>5.0999999999999996</v>
      </c>
      <c r="N871" s="605">
        <v>21</v>
      </c>
      <c r="O871" s="97">
        <v>7</v>
      </c>
      <c r="P871" s="97" t="s">
        <v>513</v>
      </c>
      <c r="Q871" s="97" t="str">
        <f t="shared" si="143"/>
        <v/>
      </c>
      <c r="R871" t="str">
        <f t="shared" si="144"/>
        <v/>
      </c>
    </row>
    <row r="872" spans="3:18">
      <c r="C872" t="str">
        <f t="shared" si="138"/>
        <v>NL</v>
      </c>
      <c r="D872" s="36">
        <v>93</v>
      </c>
      <c r="E872" s="97">
        <v>30</v>
      </c>
      <c r="F872" s="366">
        <f t="shared" si="141"/>
        <v>651</v>
      </c>
      <c r="G872" s="97">
        <v>2104</v>
      </c>
      <c r="H872" s="367">
        <f t="shared" si="142"/>
        <v>2755</v>
      </c>
      <c r="I872" s="368">
        <f t="shared" si="139"/>
        <v>0</v>
      </c>
      <c r="J872" s="97">
        <v>7939</v>
      </c>
      <c r="K872" s="367">
        <f t="shared" si="140"/>
        <v>5670.7142857142862</v>
      </c>
      <c r="L872" s="606">
        <v>0.21000000000000002</v>
      </c>
      <c r="M872" s="97">
        <v>5.0999999999999996</v>
      </c>
      <c r="N872" s="605">
        <v>15</v>
      </c>
      <c r="O872" s="97">
        <v>7</v>
      </c>
      <c r="P872" s="97" t="s">
        <v>555</v>
      </c>
      <c r="Q872" s="97" t="str">
        <f t="shared" si="143"/>
        <v/>
      </c>
      <c r="R872" t="str">
        <f t="shared" si="144"/>
        <v/>
      </c>
    </row>
    <row r="873" spans="3:18">
      <c r="C873" t="str">
        <f t="shared" si="138"/>
        <v/>
      </c>
      <c r="D873" s="36">
        <v>94</v>
      </c>
      <c r="E873" s="97">
        <v>30</v>
      </c>
      <c r="F873" s="366">
        <f t="shared" si="141"/>
        <v>651</v>
      </c>
      <c r="G873" s="97">
        <v>3487</v>
      </c>
      <c r="H873" s="367">
        <f t="shared" si="142"/>
        <v>4138</v>
      </c>
      <c r="I873" s="368">
        <f t="shared" si="139"/>
        <v>0</v>
      </c>
      <c r="J873" s="97">
        <v>13156</v>
      </c>
      <c r="K873" s="367">
        <f t="shared" si="140"/>
        <v>9397.1428571428569</v>
      </c>
      <c r="L873" s="606">
        <v>0.7</v>
      </c>
      <c r="M873" s="97">
        <v>5.8</v>
      </c>
      <c r="N873" s="605">
        <v>21</v>
      </c>
      <c r="O873" s="97">
        <v>8</v>
      </c>
      <c r="P873" s="97" t="s">
        <v>512</v>
      </c>
      <c r="Q873" s="97">
        <f t="shared" si="143"/>
        <v>94</v>
      </c>
      <c r="R873" t="str">
        <f t="shared" si="144"/>
        <v/>
      </c>
    </row>
    <row r="874" spans="3:18">
      <c r="C874" t="str">
        <f t="shared" si="138"/>
        <v/>
      </c>
      <c r="D874" s="36">
        <v>95</v>
      </c>
      <c r="E874" s="97">
        <v>30</v>
      </c>
      <c r="F874" s="366">
        <f t="shared" si="141"/>
        <v>651</v>
      </c>
      <c r="G874" s="97">
        <v>3487</v>
      </c>
      <c r="H874" s="367">
        <f t="shared" si="142"/>
        <v>4138</v>
      </c>
      <c r="I874" s="368">
        <f t="shared" si="139"/>
        <v>0</v>
      </c>
      <c r="J874" s="97">
        <v>13156</v>
      </c>
      <c r="K874" s="367">
        <f t="shared" si="140"/>
        <v>9397.1428571428569</v>
      </c>
      <c r="L874" s="606">
        <v>0.7</v>
      </c>
      <c r="M874" s="97">
        <v>5.8</v>
      </c>
      <c r="N874" s="605">
        <v>21</v>
      </c>
      <c r="O874" s="97">
        <v>8</v>
      </c>
      <c r="P874" s="97" t="s">
        <v>512</v>
      </c>
      <c r="Q874" s="97">
        <f t="shared" si="143"/>
        <v>95</v>
      </c>
      <c r="R874" t="str">
        <f t="shared" si="144"/>
        <v/>
      </c>
    </row>
    <row r="875" spans="3:18">
      <c r="C875" t="str">
        <f t="shared" si="138"/>
        <v/>
      </c>
      <c r="D875" s="36">
        <v>96</v>
      </c>
      <c r="E875" s="97">
        <v>30</v>
      </c>
      <c r="F875" s="366">
        <f t="shared" si="141"/>
        <v>651</v>
      </c>
      <c r="G875" s="97">
        <v>2922</v>
      </c>
      <c r="H875" s="367">
        <f t="shared" si="142"/>
        <v>3573</v>
      </c>
      <c r="I875" s="368">
        <f t="shared" si="139"/>
        <v>0</v>
      </c>
      <c r="J875" s="97">
        <v>11023</v>
      </c>
      <c r="K875" s="367">
        <f t="shared" si="140"/>
        <v>7873.5714285714284</v>
      </c>
      <c r="L875" s="606">
        <v>0.35000000000000003</v>
      </c>
      <c r="M875" s="97">
        <v>5.8</v>
      </c>
      <c r="N875" s="605">
        <v>20</v>
      </c>
      <c r="O875" s="97">
        <v>8</v>
      </c>
      <c r="P875" s="97" t="s">
        <v>513</v>
      </c>
      <c r="Q875" s="97">
        <f t="shared" si="143"/>
        <v>96</v>
      </c>
      <c r="R875" t="str">
        <f t="shared" si="144"/>
        <v/>
      </c>
    </row>
    <row r="876" spans="3:18">
      <c r="C876" t="str">
        <f t="shared" si="138"/>
        <v/>
      </c>
      <c r="D876" s="36">
        <v>97</v>
      </c>
      <c r="E876" s="97">
        <v>30</v>
      </c>
      <c r="F876" s="366">
        <f t="shared" si="141"/>
        <v>651</v>
      </c>
      <c r="G876" s="97">
        <v>2227</v>
      </c>
      <c r="H876" s="367">
        <f t="shared" si="142"/>
        <v>2878</v>
      </c>
      <c r="I876" s="368">
        <f t="shared" si="139"/>
        <v>0</v>
      </c>
      <c r="J876" s="97">
        <v>8401</v>
      </c>
      <c r="K876" s="367">
        <f t="shared" si="140"/>
        <v>6000.7142857142862</v>
      </c>
      <c r="L876" s="606">
        <v>0.17</v>
      </c>
      <c r="M876" s="97">
        <v>5.8</v>
      </c>
      <c r="N876" s="605">
        <v>15</v>
      </c>
      <c r="O876" s="97">
        <v>8</v>
      </c>
      <c r="P876" s="97" t="s">
        <v>555</v>
      </c>
      <c r="Q876" s="97" t="str">
        <f t="shared" si="143"/>
        <v/>
      </c>
      <c r="R876" t="str">
        <f t="shared" si="144"/>
        <v/>
      </c>
    </row>
    <row r="877" spans="3:18">
      <c r="C877" t="str">
        <f t="shared" si="138"/>
        <v>NL</v>
      </c>
      <c r="D877" s="36">
        <v>98</v>
      </c>
      <c r="E877" s="97">
        <v>30</v>
      </c>
      <c r="F877" s="366">
        <f t="shared" si="141"/>
        <v>651</v>
      </c>
      <c r="G877" s="97">
        <v>3629</v>
      </c>
      <c r="H877" s="367">
        <f t="shared" si="142"/>
        <v>4280</v>
      </c>
      <c r="I877" s="368">
        <f t="shared" si="139"/>
        <v>0</v>
      </c>
      <c r="J877" s="97">
        <v>13690</v>
      </c>
      <c r="K877" s="367">
        <f t="shared" si="140"/>
        <v>9778.5714285714294</v>
      </c>
      <c r="L877" s="606">
        <v>0.55000000000000004</v>
      </c>
      <c r="M877" s="97">
        <v>3</v>
      </c>
      <c r="N877" s="605">
        <v>19</v>
      </c>
      <c r="O877" s="97">
        <v>9</v>
      </c>
      <c r="P877" s="97" t="s">
        <v>512</v>
      </c>
      <c r="Q877" s="97" t="str">
        <f t="shared" si="143"/>
        <v/>
      </c>
      <c r="R877" t="str">
        <f t="shared" si="144"/>
        <v/>
      </c>
    </row>
    <row r="878" spans="3:18">
      <c r="C878" t="str">
        <f t="shared" si="138"/>
        <v>NL</v>
      </c>
      <c r="D878" s="36">
        <v>99</v>
      </c>
      <c r="E878" s="97">
        <v>30</v>
      </c>
      <c r="F878" s="366">
        <f t="shared" si="141"/>
        <v>651</v>
      </c>
      <c r="G878" s="97">
        <v>2925</v>
      </c>
      <c r="H878" s="367">
        <f t="shared" si="142"/>
        <v>3576</v>
      </c>
      <c r="I878" s="368">
        <f t="shared" si="139"/>
        <v>0</v>
      </c>
      <c r="J878" s="97">
        <v>11035</v>
      </c>
      <c r="K878" s="367">
        <f t="shared" si="140"/>
        <v>7882.1428571428569</v>
      </c>
      <c r="L878" s="606">
        <v>0.28000000000000003</v>
      </c>
      <c r="M878" s="97">
        <v>2.4</v>
      </c>
      <c r="N878" s="605">
        <v>19</v>
      </c>
      <c r="O878" s="97">
        <v>9</v>
      </c>
      <c r="P878" s="97" t="s">
        <v>513</v>
      </c>
      <c r="Q878" s="97" t="str">
        <f t="shared" si="143"/>
        <v/>
      </c>
      <c r="R878" t="str">
        <f t="shared" si="144"/>
        <v/>
      </c>
    </row>
    <row r="879" spans="3:18">
      <c r="C879" t="str">
        <f t="shared" si="138"/>
        <v/>
      </c>
      <c r="D879" s="36">
        <v>100</v>
      </c>
      <c r="E879" s="97">
        <v>30</v>
      </c>
      <c r="F879" s="366">
        <f t="shared" si="141"/>
        <v>651</v>
      </c>
      <c r="G879" s="97">
        <v>3669</v>
      </c>
      <c r="H879" s="367">
        <f t="shared" si="142"/>
        <v>4320</v>
      </c>
      <c r="I879" s="368">
        <f t="shared" si="139"/>
        <v>0</v>
      </c>
      <c r="J879" s="97">
        <v>13840</v>
      </c>
      <c r="K879" s="367">
        <f t="shared" si="140"/>
        <v>9885.7142857142862</v>
      </c>
      <c r="L879" s="606">
        <v>0.46</v>
      </c>
      <c r="M879" s="97">
        <v>3</v>
      </c>
      <c r="N879" s="605">
        <v>19</v>
      </c>
      <c r="O879" s="97">
        <v>10</v>
      </c>
      <c r="P879" s="97" t="s">
        <v>512</v>
      </c>
      <c r="Q879" s="97" t="str">
        <f t="shared" si="143"/>
        <v/>
      </c>
      <c r="R879" t="str">
        <f t="shared" si="144"/>
        <v/>
      </c>
    </row>
    <row r="880" spans="3:18">
      <c r="C880" t="str">
        <f t="shared" si="138"/>
        <v/>
      </c>
      <c r="D880" s="36">
        <v>101</v>
      </c>
      <c r="E880" s="97">
        <v>30</v>
      </c>
      <c r="F880" s="366">
        <f t="shared" si="141"/>
        <v>651</v>
      </c>
      <c r="G880" s="97">
        <v>2941</v>
      </c>
      <c r="H880" s="367">
        <f t="shared" si="142"/>
        <v>3592</v>
      </c>
      <c r="I880" s="368">
        <f t="shared" si="139"/>
        <v>0</v>
      </c>
      <c r="J880" s="97">
        <v>11095</v>
      </c>
      <c r="K880" s="367">
        <f t="shared" si="140"/>
        <v>7925</v>
      </c>
      <c r="L880" s="606">
        <v>0.23</v>
      </c>
      <c r="M880" s="97">
        <v>2.4</v>
      </c>
      <c r="N880" s="605">
        <v>18</v>
      </c>
      <c r="O880" s="97">
        <v>10</v>
      </c>
      <c r="P880" s="97" t="s">
        <v>513</v>
      </c>
      <c r="Q880" s="97" t="str">
        <f t="shared" si="143"/>
        <v/>
      </c>
      <c r="R880" t="str">
        <f t="shared" si="144"/>
        <v/>
      </c>
    </row>
    <row r="881" spans="3:18">
      <c r="C881" t="str">
        <f t="shared" si="138"/>
        <v/>
      </c>
      <c r="D881" s="36">
        <v>102</v>
      </c>
      <c r="E881" s="97">
        <v>35</v>
      </c>
      <c r="F881" s="366">
        <f t="shared" si="141"/>
        <v>759.5</v>
      </c>
      <c r="G881" s="97">
        <v>1216</v>
      </c>
      <c r="H881" s="367">
        <f t="shared" si="142"/>
        <v>1975.5</v>
      </c>
      <c r="I881" s="368">
        <f t="shared" si="139"/>
        <v>0</v>
      </c>
      <c r="J881" s="97">
        <v>4587</v>
      </c>
      <c r="K881" s="367">
        <f t="shared" si="140"/>
        <v>3276.4285714285716</v>
      </c>
      <c r="L881" s="606">
        <v>0.7</v>
      </c>
      <c r="M881" s="97">
        <v>1.7000000000000002</v>
      </c>
      <c r="N881" s="605">
        <v>21</v>
      </c>
      <c r="O881" s="97">
        <v>2</v>
      </c>
      <c r="P881" s="97" t="s">
        <v>515</v>
      </c>
      <c r="Q881" s="97" t="str">
        <f t="shared" si="143"/>
        <v/>
      </c>
      <c r="R881" t="str">
        <f t="shared" si="144"/>
        <v/>
      </c>
    </row>
    <row r="882" spans="3:18">
      <c r="C882" t="str">
        <f t="shared" si="138"/>
        <v>NL</v>
      </c>
      <c r="D882" s="36">
        <v>103</v>
      </c>
      <c r="E882" s="97">
        <v>35</v>
      </c>
      <c r="F882" s="366">
        <f t="shared" si="141"/>
        <v>759.5</v>
      </c>
      <c r="G882" s="97">
        <v>1829</v>
      </c>
      <c r="H882" s="367">
        <f t="shared" si="142"/>
        <v>2588.5</v>
      </c>
      <c r="I882" s="368">
        <f t="shared" si="139"/>
        <v>0</v>
      </c>
      <c r="J882" s="97">
        <v>6900</v>
      </c>
      <c r="K882" s="367">
        <f t="shared" si="140"/>
        <v>4928.5714285714284</v>
      </c>
      <c r="L882" s="606">
        <v>1.03</v>
      </c>
      <c r="M882" s="97">
        <v>2.4</v>
      </c>
      <c r="N882" s="605">
        <v>25</v>
      </c>
      <c r="O882" s="97">
        <v>3</v>
      </c>
      <c r="P882" s="97" t="s">
        <v>514</v>
      </c>
      <c r="Q882" s="97" t="str">
        <f t="shared" si="143"/>
        <v/>
      </c>
      <c r="R882" t="str">
        <f t="shared" si="144"/>
        <v/>
      </c>
    </row>
    <row r="883" spans="3:18">
      <c r="C883" t="str">
        <f t="shared" si="138"/>
        <v>NL</v>
      </c>
      <c r="D883" s="36">
        <v>104</v>
      </c>
      <c r="E883" s="97">
        <v>35</v>
      </c>
      <c r="F883" s="366">
        <f t="shared" si="141"/>
        <v>759.5</v>
      </c>
      <c r="G883" s="97">
        <v>1431</v>
      </c>
      <c r="H883" s="367">
        <f t="shared" si="142"/>
        <v>2190.5</v>
      </c>
      <c r="I883" s="368">
        <f t="shared" si="139"/>
        <v>0</v>
      </c>
      <c r="J883" s="97">
        <v>5400</v>
      </c>
      <c r="K883" s="367">
        <f t="shared" si="140"/>
        <v>3857.1428571428573</v>
      </c>
      <c r="L883" s="606">
        <v>0.49</v>
      </c>
      <c r="M883" s="97">
        <v>2.4</v>
      </c>
      <c r="N883" s="605">
        <v>20</v>
      </c>
      <c r="O883" s="97">
        <v>3</v>
      </c>
      <c r="P883" s="97" t="s">
        <v>556</v>
      </c>
      <c r="Q883" s="97" t="str">
        <f t="shared" si="143"/>
        <v/>
      </c>
      <c r="R883" t="str">
        <f t="shared" si="144"/>
        <v/>
      </c>
    </row>
    <row r="884" spans="3:18">
      <c r="C884" t="str">
        <f t="shared" si="138"/>
        <v>NL</v>
      </c>
      <c r="D884" s="36">
        <v>105</v>
      </c>
      <c r="E884" s="97">
        <v>35</v>
      </c>
      <c r="F884" s="366">
        <f t="shared" si="141"/>
        <v>759.5</v>
      </c>
      <c r="G884" s="97">
        <v>1262</v>
      </c>
      <c r="H884" s="367">
        <f t="shared" si="142"/>
        <v>2021.5</v>
      </c>
      <c r="I884" s="368">
        <f t="shared" si="139"/>
        <v>0</v>
      </c>
      <c r="J884" s="97">
        <v>4763</v>
      </c>
      <c r="K884" s="367">
        <f t="shared" si="140"/>
        <v>3402.1428571428573</v>
      </c>
      <c r="L884" s="606">
        <v>0.29000000000000004</v>
      </c>
      <c r="M884" s="97">
        <v>2.4</v>
      </c>
      <c r="N884" s="605">
        <v>17</v>
      </c>
      <c r="O884" s="97">
        <v>3</v>
      </c>
      <c r="P884" s="97" t="s">
        <v>515</v>
      </c>
      <c r="Q884" s="97" t="str">
        <f t="shared" si="143"/>
        <v/>
      </c>
      <c r="R884" t="str">
        <f t="shared" si="144"/>
        <v/>
      </c>
    </row>
    <row r="885" spans="3:18">
      <c r="C885" t="str">
        <f t="shared" si="138"/>
        <v/>
      </c>
      <c r="D885" s="36">
        <v>106</v>
      </c>
      <c r="E885" s="97">
        <v>35</v>
      </c>
      <c r="F885" s="366">
        <f t="shared" si="141"/>
        <v>759.5</v>
      </c>
      <c r="G885" s="97">
        <v>1930</v>
      </c>
      <c r="H885" s="367">
        <f t="shared" si="142"/>
        <v>2689.5</v>
      </c>
      <c r="I885" s="368">
        <f t="shared" si="139"/>
        <v>0</v>
      </c>
      <c r="J885" s="97">
        <v>7281</v>
      </c>
      <c r="K885" s="367">
        <f t="shared" si="140"/>
        <v>5200.7142857142862</v>
      </c>
      <c r="L885" s="606">
        <v>0.86</v>
      </c>
      <c r="M885" s="97">
        <v>3.1</v>
      </c>
      <c r="N885" s="605">
        <v>22</v>
      </c>
      <c r="O885" s="97">
        <v>4</v>
      </c>
      <c r="P885" s="97" t="s">
        <v>555</v>
      </c>
      <c r="Q885" s="97" t="str">
        <f t="shared" si="143"/>
        <v/>
      </c>
      <c r="R885" t="str">
        <f t="shared" si="144"/>
        <v/>
      </c>
    </row>
    <row r="886" spans="3:18">
      <c r="C886" t="str">
        <f t="shared" si="138"/>
        <v/>
      </c>
      <c r="D886" s="36">
        <v>107</v>
      </c>
      <c r="E886" s="97">
        <v>35</v>
      </c>
      <c r="F886" s="366">
        <f t="shared" si="141"/>
        <v>759.5</v>
      </c>
      <c r="G886" s="97">
        <v>1839</v>
      </c>
      <c r="H886" s="367">
        <f t="shared" si="142"/>
        <v>2598.5</v>
      </c>
      <c r="I886" s="368">
        <f t="shared" si="139"/>
        <v>0</v>
      </c>
      <c r="J886" s="97">
        <v>6938</v>
      </c>
      <c r="K886" s="367">
        <f t="shared" si="140"/>
        <v>4955.7142857142862</v>
      </c>
      <c r="L886" s="606">
        <v>0.57999999999999996</v>
      </c>
      <c r="M886" s="97">
        <v>3.1</v>
      </c>
      <c r="N886" s="605">
        <v>23</v>
      </c>
      <c r="O886" s="97">
        <v>4</v>
      </c>
      <c r="P886" s="97" t="s">
        <v>514</v>
      </c>
      <c r="Q886" s="97" t="str">
        <f t="shared" si="143"/>
        <v/>
      </c>
      <c r="R886" t="str">
        <f t="shared" si="144"/>
        <v/>
      </c>
    </row>
    <row r="887" spans="3:18">
      <c r="C887" t="str">
        <f t="shared" si="138"/>
        <v/>
      </c>
      <c r="D887" s="36">
        <v>108</v>
      </c>
      <c r="E887" s="97">
        <v>35</v>
      </c>
      <c r="F887" s="366">
        <f t="shared" si="141"/>
        <v>759.5</v>
      </c>
      <c r="G887" s="97">
        <v>1527</v>
      </c>
      <c r="H887" s="367">
        <f t="shared" si="142"/>
        <v>2286.5</v>
      </c>
      <c r="I887" s="368">
        <f t="shared" si="139"/>
        <v>0</v>
      </c>
      <c r="J887" s="97">
        <v>5760</v>
      </c>
      <c r="K887" s="367">
        <f t="shared" si="140"/>
        <v>4114.2857142857147</v>
      </c>
      <c r="L887" s="606">
        <v>0.28000000000000003</v>
      </c>
      <c r="M887" s="97">
        <v>3.1</v>
      </c>
      <c r="N887" s="605">
        <v>17</v>
      </c>
      <c r="O887" s="97">
        <v>4</v>
      </c>
      <c r="P887" s="97" t="s">
        <v>556</v>
      </c>
      <c r="Q887" s="97" t="str">
        <f t="shared" si="143"/>
        <v/>
      </c>
      <c r="R887" t="str">
        <f t="shared" si="144"/>
        <v/>
      </c>
    </row>
    <row r="888" spans="3:18">
      <c r="C888" t="str">
        <f t="shared" si="138"/>
        <v/>
      </c>
      <c r="D888" s="36">
        <v>109</v>
      </c>
      <c r="E888" s="97">
        <v>35</v>
      </c>
      <c r="F888" s="366">
        <f t="shared" si="141"/>
        <v>759.5</v>
      </c>
      <c r="G888" s="97">
        <v>1274</v>
      </c>
      <c r="H888" s="367">
        <f t="shared" si="142"/>
        <v>2033.5</v>
      </c>
      <c r="I888" s="368">
        <f t="shared" si="139"/>
        <v>0</v>
      </c>
      <c r="J888" s="97">
        <v>4808</v>
      </c>
      <c r="K888" s="367">
        <f t="shared" si="140"/>
        <v>3434.2857142857142</v>
      </c>
      <c r="L888" s="606">
        <v>0.17</v>
      </c>
      <c r="M888" s="97">
        <v>3.1</v>
      </c>
      <c r="N888" s="605">
        <v>15</v>
      </c>
      <c r="O888" s="97">
        <v>4</v>
      </c>
      <c r="P888" s="97" t="s">
        <v>515</v>
      </c>
      <c r="Q888" s="97" t="str">
        <f t="shared" si="143"/>
        <v/>
      </c>
      <c r="R888" t="str">
        <f t="shared" si="144"/>
        <v/>
      </c>
    </row>
    <row r="889" spans="3:18">
      <c r="C889" t="str">
        <f t="shared" si="138"/>
        <v>NL</v>
      </c>
      <c r="D889" s="36">
        <v>110</v>
      </c>
      <c r="E889" s="97">
        <v>35</v>
      </c>
      <c r="F889" s="366">
        <f t="shared" si="141"/>
        <v>759.5</v>
      </c>
      <c r="G889" s="97">
        <v>2064</v>
      </c>
      <c r="H889" s="367">
        <f t="shared" si="142"/>
        <v>2823.5</v>
      </c>
      <c r="I889" s="368">
        <f t="shared" si="139"/>
        <v>0</v>
      </c>
      <c r="J889" s="97">
        <v>7787</v>
      </c>
      <c r="K889" s="367">
        <f t="shared" si="140"/>
        <v>5562.1428571428569</v>
      </c>
      <c r="L889" s="606">
        <v>0.54</v>
      </c>
      <c r="M889" s="97">
        <v>3.8000000000000003</v>
      </c>
      <c r="N889" s="605">
        <v>20</v>
      </c>
      <c r="O889" s="97">
        <v>5</v>
      </c>
      <c r="P889" s="97" t="s">
        <v>555</v>
      </c>
      <c r="Q889" s="97" t="str">
        <f t="shared" si="143"/>
        <v/>
      </c>
      <c r="R889" t="str">
        <f t="shared" si="144"/>
        <v/>
      </c>
    </row>
    <row r="890" spans="3:18">
      <c r="C890" t="str">
        <f t="shared" si="138"/>
        <v>NL</v>
      </c>
      <c r="D890" s="36">
        <v>111</v>
      </c>
      <c r="E890" s="97">
        <v>35</v>
      </c>
      <c r="F890" s="366">
        <f t="shared" si="141"/>
        <v>759.5</v>
      </c>
      <c r="G890" s="97">
        <v>1914</v>
      </c>
      <c r="H890" s="367">
        <f t="shared" si="142"/>
        <v>2673.5</v>
      </c>
      <c r="I890" s="368">
        <f t="shared" si="139"/>
        <v>0</v>
      </c>
      <c r="J890" s="97">
        <v>7223</v>
      </c>
      <c r="K890" s="367">
        <f t="shared" si="140"/>
        <v>5159.2857142857147</v>
      </c>
      <c r="L890" s="606">
        <v>0.37</v>
      </c>
      <c r="M890" s="97">
        <v>3.8000000000000003</v>
      </c>
      <c r="N890" s="605">
        <v>21</v>
      </c>
      <c r="O890" s="97">
        <v>5</v>
      </c>
      <c r="P890" s="97" t="s">
        <v>514</v>
      </c>
      <c r="Q890" s="97" t="str">
        <f t="shared" si="143"/>
        <v/>
      </c>
      <c r="R890" t="str">
        <f t="shared" si="144"/>
        <v/>
      </c>
    </row>
    <row r="891" spans="3:18">
      <c r="C891" t="str">
        <f t="shared" si="138"/>
        <v>NL</v>
      </c>
      <c r="D891" s="36">
        <v>112</v>
      </c>
      <c r="E891" s="97">
        <v>35</v>
      </c>
      <c r="F891" s="366">
        <f t="shared" si="141"/>
        <v>759.5</v>
      </c>
      <c r="G891" s="97">
        <v>1559</v>
      </c>
      <c r="H891" s="367">
        <f t="shared" si="142"/>
        <v>2318.5</v>
      </c>
      <c r="I891" s="368">
        <f t="shared" si="139"/>
        <v>0</v>
      </c>
      <c r="J891" s="97">
        <v>5883</v>
      </c>
      <c r="K891" s="367">
        <f t="shared" si="140"/>
        <v>4202.1428571428569</v>
      </c>
      <c r="L891" s="606">
        <v>0.18000000000000002</v>
      </c>
      <c r="M891" s="97">
        <v>3.8000000000000003</v>
      </c>
      <c r="N891" s="605">
        <v>16</v>
      </c>
      <c r="O891" s="97">
        <v>5</v>
      </c>
      <c r="P891" s="97" t="s">
        <v>556</v>
      </c>
      <c r="Q891" s="97" t="str">
        <f t="shared" si="143"/>
        <v/>
      </c>
      <c r="R891" t="str">
        <f t="shared" si="144"/>
        <v/>
      </c>
    </row>
    <row r="892" spans="3:18">
      <c r="C892" t="str">
        <f t="shared" si="138"/>
        <v/>
      </c>
      <c r="D892" s="36">
        <v>113</v>
      </c>
      <c r="E892" s="97">
        <v>35</v>
      </c>
      <c r="F892" s="366">
        <f t="shared" si="141"/>
        <v>759.5</v>
      </c>
      <c r="G892" s="97">
        <v>2697</v>
      </c>
      <c r="H892" s="367">
        <f t="shared" si="142"/>
        <v>3456.5</v>
      </c>
      <c r="I892" s="368">
        <f t="shared" si="139"/>
        <v>0</v>
      </c>
      <c r="J892" s="97">
        <v>10177</v>
      </c>
      <c r="K892" s="367">
        <f t="shared" si="140"/>
        <v>7269.2857142857147</v>
      </c>
      <c r="L892" s="606">
        <v>0.85</v>
      </c>
      <c r="M892" s="97">
        <v>4.3999999999999995</v>
      </c>
      <c r="N892" s="605">
        <v>24</v>
      </c>
      <c r="O892" s="97">
        <v>6</v>
      </c>
      <c r="P892" s="97" t="s">
        <v>513</v>
      </c>
      <c r="Q892" s="97" t="str">
        <f t="shared" si="143"/>
        <v/>
      </c>
      <c r="R892" t="str">
        <f t="shared" si="144"/>
        <v/>
      </c>
    </row>
    <row r="893" spans="3:18">
      <c r="C893" t="str">
        <f t="shared" si="138"/>
        <v/>
      </c>
      <c r="D893" s="36">
        <v>114</v>
      </c>
      <c r="E893" s="97">
        <v>35</v>
      </c>
      <c r="F893" s="366">
        <f t="shared" si="141"/>
        <v>759.5</v>
      </c>
      <c r="G893" s="97">
        <v>2120</v>
      </c>
      <c r="H893" s="367">
        <f t="shared" si="142"/>
        <v>2879.5</v>
      </c>
      <c r="I893" s="368">
        <f t="shared" si="139"/>
        <v>0</v>
      </c>
      <c r="J893" s="97">
        <v>7999</v>
      </c>
      <c r="K893" s="367">
        <f t="shared" si="140"/>
        <v>5713.5714285714284</v>
      </c>
      <c r="L893" s="606">
        <v>0.39</v>
      </c>
      <c r="M893" s="97">
        <v>4.3999999999999995</v>
      </c>
      <c r="N893" s="605">
        <v>19</v>
      </c>
      <c r="O893" s="97">
        <v>6</v>
      </c>
      <c r="P893" s="97" t="s">
        <v>555</v>
      </c>
      <c r="Q893" s="97" t="str">
        <f t="shared" si="143"/>
        <v/>
      </c>
      <c r="R893" t="str">
        <f t="shared" si="144"/>
        <v/>
      </c>
    </row>
    <row r="894" spans="3:18">
      <c r="C894" t="str">
        <f t="shared" si="138"/>
        <v/>
      </c>
      <c r="D894" s="36">
        <v>115</v>
      </c>
      <c r="E894" s="97">
        <v>35</v>
      </c>
      <c r="F894" s="366">
        <f t="shared" si="141"/>
        <v>759.5</v>
      </c>
      <c r="G894" s="97">
        <v>1957</v>
      </c>
      <c r="H894" s="367">
        <f t="shared" si="142"/>
        <v>2716.5</v>
      </c>
      <c r="I894" s="368">
        <f t="shared" si="139"/>
        <v>0</v>
      </c>
      <c r="J894" s="97">
        <v>7384</v>
      </c>
      <c r="K894" s="367">
        <f t="shared" si="140"/>
        <v>5274.2857142857147</v>
      </c>
      <c r="L894" s="606">
        <v>0.26</v>
      </c>
      <c r="M894" s="97">
        <v>4.3999999999999995</v>
      </c>
      <c r="N894" s="605">
        <v>20</v>
      </c>
      <c r="O894" s="97">
        <v>6</v>
      </c>
      <c r="P894" s="97" t="s">
        <v>514</v>
      </c>
      <c r="Q894" s="97" t="str">
        <f t="shared" si="143"/>
        <v/>
      </c>
      <c r="R894" t="str">
        <f t="shared" si="144"/>
        <v/>
      </c>
    </row>
    <row r="895" spans="3:18">
      <c r="C895" t="str">
        <f t="shared" si="138"/>
        <v>NL</v>
      </c>
      <c r="D895" s="36">
        <v>116</v>
      </c>
      <c r="E895" s="97">
        <v>35</v>
      </c>
      <c r="F895" s="366">
        <f t="shared" si="141"/>
        <v>759.5</v>
      </c>
      <c r="G895" s="97">
        <v>3064</v>
      </c>
      <c r="H895" s="367">
        <f t="shared" si="142"/>
        <v>3823.5</v>
      </c>
      <c r="I895" s="368">
        <f t="shared" si="139"/>
        <v>0</v>
      </c>
      <c r="J895" s="97">
        <v>11558</v>
      </c>
      <c r="K895" s="367">
        <f t="shared" si="140"/>
        <v>8255.7142857142862</v>
      </c>
      <c r="L895" s="606">
        <v>0.63</v>
      </c>
      <c r="M895" s="97">
        <v>5.0999999999999996</v>
      </c>
      <c r="N895" s="605">
        <v>23</v>
      </c>
      <c r="O895" s="97">
        <v>7</v>
      </c>
      <c r="P895" s="97" t="s">
        <v>513</v>
      </c>
      <c r="Q895" s="97" t="str">
        <f t="shared" si="143"/>
        <v/>
      </c>
      <c r="R895" t="str">
        <f t="shared" si="144"/>
        <v/>
      </c>
    </row>
    <row r="896" spans="3:18">
      <c r="C896" t="str">
        <f t="shared" si="138"/>
        <v>NL</v>
      </c>
      <c r="D896" s="36">
        <v>117</v>
      </c>
      <c r="E896" s="97">
        <v>35</v>
      </c>
      <c r="F896" s="366">
        <f t="shared" si="141"/>
        <v>759.5</v>
      </c>
      <c r="G896" s="97">
        <v>2361</v>
      </c>
      <c r="H896" s="367">
        <f t="shared" si="142"/>
        <v>3120.5</v>
      </c>
      <c r="I896" s="368">
        <f t="shared" si="139"/>
        <v>0</v>
      </c>
      <c r="J896" s="97">
        <v>8909</v>
      </c>
      <c r="K896" s="367">
        <f t="shared" si="140"/>
        <v>6363.5714285714284</v>
      </c>
      <c r="L896" s="606">
        <v>0.29000000000000004</v>
      </c>
      <c r="M896" s="97">
        <v>5.0999999999999996</v>
      </c>
      <c r="N896" s="605">
        <v>17</v>
      </c>
      <c r="O896" s="97">
        <v>7</v>
      </c>
      <c r="P896" s="97" t="s">
        <v>555</v>
      </c>
      <c r="Q896" s="97" t="str">
        <f t="shared" si="143"/>
        <v/>
      </c>
      <c r="R896" t="str">
        <f t="shared" si="144"/>
        <v/>
      </c>
    </row>
    <row r="897" spans="3:18">
      <c r="C897" t="str">
        <f t="shared" si="138"/>
        <v>NL</v>
      </c>
      <c r="D897" s="36">
        <v>118</v>
      </c>
      <c r="E897" s="97">
        <v>35</v>
      </c>
      <c r="F897" s="366">
        <f t="shared" si="141"/>
        <v>759.5</v>
      </c>
      <c r="G897" s="97">
        <v>2145</v>
      </c>
      <c r="H897" s="367">
        <f t="shared" si="142"/>
        <v>2904.5</v>
      </c>
      <c r="I897" s="368">
        <f t="shared" si="139"/>
        <v>0</v>
      </c>
      <c r="J897" s="97">
        <v>8092</v>
      </c>
      <c r="K897" s="367">
        <f t="shared" si="140"/>
        <v>5780</v>
      </c>
      <c r="L897" s="606">
        <v>0.2</v>
      </c>
      <c r="M897" s="97">
        <v>5.0999999999999996</v>
      </c>
      <c r="N897" s="605">
        <v>19</v>
      </c>
      <c r="O897" s="97">
        <v>7</v>
      </c>
      <c r="P897" s="97" t="s">
        <v>514</v>
      </c>
      <c r="Q897" s="97" t="str">
        <f t="shared" si="143"/>
        <v/>
      </c>
      <c r="R897" t="str">
        <f t="shared" si="144"/>
        <v/>
      </c>
    </row>
    <row r="898" spans="3:18">
      <c r="C898" t="str">
        <f t="shared" si="138"/>
        <v/>
      </c>
      <c r="D898" s="36">
        <v>119</v>
      </c>
      <c r="E898" s="97">
        <v>35</v>
      </c>
      <c r="F898" s="366">
        <f t="shared" si="141"/>
        <v>759.5</v>
      </c>
      <c r="G898" s="97">
        <v>3892</v>
      </c>
      <c r="H898" s="367">
        <f t="shared" si="142"/>
        <v>4651.5</v>
      </c>
      <c r="I898" s="368">
        <f t="shared" si="139"/>
        <v>0</v>
      </c>
      <c r="J898" s="97">
        <v>14683</v>
      </c>
      <c r="K898" s="367">
        <f t="shared" si="140"/>
        <v>10487.857142857143</v>
      </c>
      <c r="L898" s="606">
        <v>0.96</v>
      </c>
      <c r="M898" s="97">
        <v>5.8</v>
      </c>
      <c r="N898" s="605">
        <v>23</v>
      </c>
      <c r="O898" s="97">
        <v>8</v>
      </c>
      <c r="P898" s="97" t="s">
        <v>512</v>
      </c>
      <c r="Q898" s="97" t="str">
        <f t="shared" si="143"/>
        <v/>
      </c>
      <c r="R898" t="str">
        <f t="shared" si="144"/>
        <v/>
      </c>
    </row>
    <row r="899" spans="3:18">
      <c r="C899" t="str">
        <f t="shared" si="138"/>
        <v/>
      </c>
      <c r="D899" s="36">
        <v>120</v>
      </c>
      <c r="E899" s="97">
        <v>35</v>
      </c>
      <c r="F899" s="366">
        <f t="shared" si="141"/>
        <v>759.5</v>
      </c>
      <c r="G899" s="97">
        <v>3892</v>
      </c>
      <c r="H899" s="367">
        <f t="shared" si="142"/>
        <v>4651.5</v>
      </c>
      <c r="I899" s="368">
        <f t="shared" si="139"/>
        <v>0</v>
      </c>
      <c r="J899" s="97">
        <v>14683</v>
      </c>
      <c r="K899" s="367">
        <f t="shared" si="140"/>
        <v>10487.857142857143</v>
      </c>
      <c r="L899" s="606">
        <v>0.96</v>
      </c>
      <c r="M899" s="97">
        <v>5.8</v>
      </c>
      <c r="N899" s="605">
        <v>23</v>
      </c>
      <c r="O899" s="97">
        <v>8</v>
      </c>
      <c r="P899" s="97" t="s">
        <v>512</v>
      </c>
      <c r="Q899" s="97" t="str">
        <f t="shared" si="143"/>
        <v/>
      </c>
      <c r="R899" t="str">
        <f t="shared" si="144"/>
        <v/>
      </c>
    </row>
    <row r="900" spans="3:18">
      <c r="C900" t="str">
        <f t="shared" si="138"/>
        <v/>
      </c>
      <c r="D900" s="36">
        <v>121</v>
      </c>
      <c r="E900" s="97">
        <v>35</v>
      </c>
      <c r="F900" s="366">
        <f t="shared" si="141"/>
        <v>759.5</v>
      </c>
      <c r="G900" s="97">
        <v>3309</v>
      </c>
      <c r="H900" s="367">
        <f t="shared" si="142"/>
        <v>4068.5</v>
      </c>
      <c r="I900" s="368">
        <f t="shared" si="139"/>
        <v>0</v>
      </c>
      <c r="J900" s="97">
        <v>12483</v>
      </c>
      <c r="K900" s="367">
        <f t="shared" si="140"/>
        <v>8916.4285714285725</v>
      </c>
      <c r="L900" s="606">
        <v>0.48</v>
      </c>
      <c r="M900" s="97">
        <v>5.8</v>
      </c>
      <c r="N900" s="605">
        <v>22</v>
      </c>
      <c r="O900" s="97">
        <v>8</v>
      </c>
      <c r="P900" s="97" t="s">
        <v>513</v>
      </c>
      <c r="Q900" s="97">
        <f t="shared" si="143"/>
        <v>121</v>
      </c>
      <c r="R900" t="str">
        <f t="shared" si="144"/>
        <v/>
      </c>
    </row>
    <row r="901" spans="3:18">
      <c r="C901" t="str">
        <f t="shared" si="138"/>
        <v/>
      </c>
      <c r="D901" s="36">
        <v>122</v>
      </c>
      <c r="E901" s="97">
        <v>35</v>
      </c>
      <c r="F901" s="366">
        <f t="shared" si="141"/>
        <v>759.5</v>
      </c>
      <c r="G901" s="97">
        <v>2565</v>
      </c>
      <c r="H901" s="367">
        <f t="shared" si="142"/>
        <v>3324.5</v>
      </c>
      <c r="I901" s="368">
        <f t="shared" si="139"/>
        <v>0</v>
      </c>
      <c r="J901" s="97">
        <v>9676</v>
      </c>
      <c r="K901" s="367">
        <f t="shared" si="140"/>
        <v>6911.4285714285716</v>
      </c>
      <c r="L901" s="606">
        <v>0.23</v>
      </c>
      <c r="M901" s="97">
        <v>5.8</v>
      </c>
      <c r="N901" s="605">
        <v>17</v>
      </c>
      <c r="O901" s="97">
        <v>8</v>
      </c>
      <c r="P901" s="97" t="s">
        <v>555</v>
      </c>
      <c r="Q901" s="97">
        <f t="shared" si="143"/>
        <v>122</v>
      </c>
      <c r="R901" t="str">
        <f t="shared" si="144"/>
        <v/>
      </c>
    </row>
    <row r="902" spans="3:18">
      <c r="C902" t="str">
        <f t="shared" si="138"/>
        <v>NL</v>
      </c>
      <c r="D902" s="36">
        <v>123</v>
      </c>
      <c r="E902" s="97">
        <v>35</v>
      </c>
      <c r="F902" s="366">
        <f t="shared" si="141"/>
        <v>759.5</v>
      </c>
      <c r="G902" s="97">
        <v>4028</v>
      </c>
      <c r="H902" s="367">
        <f t="shared" si="142"/>
        <v>4787.5</v>
      </c>
      <c r="I902" s="368">
        <f t="shared" si="139"/>
        <v>0</v>
      </c>
      <c r="J902" s="97">
        <v>15198</v>
      </c>
      <c r="K902" s="367">
        <f t="shared" si="140"/>
        <v>10855.714285714286</v>
      </c>
      <c r="L902" s="606">
        <v>0.75</v>
      </c>
      <c r="M902" s="97">
        <v>3.3000000000000003</v>
      </c>
      <c r="N902" s="605">
        <v>21</v>
      </c>
      <c r="O902" s="97">
        <v>9</v>
      </c>
      <c r="P902" s="97" t="s">
        <v>512</v>
      </c>
      <c r="Q902" s="97" t="str">
        <f t="shared" si="143"/>
        <v/>
      </c>
      <c r="R902" t="str">
        <f t="shared" si="144"/>
        <v/>
      </c>
    </row>
    <row r="903" spans="3:18">
      <c r="C903" t="str">
        <f t="shared" si="138"/>
        <v>NL</v>
      </c>
      <c r="D903" s="36">
        <v>124</v>
      </c>
      <c r="E903" s="97">
        <v>35</v>
      </c>
      <c r="F903" s="366">
        <f t="shared" si="141"/>
        <v>759.5</v>
      </c>
      <c r="G903" s="97">
        <v>3361</v>
      </c>
      <c r="H903" s="367">
        <f t="shared" si="142"/>
        <v>4120.5</v>
      </c>
      <c r="I903" s="368">
        <f t="shared" si="139"/>
        <v>0</v>
      </c>
      <c r="J903" s="97">
        <v>12680</v>
      </c>
      <c r="K903" s="367">
        <f t="shared" si="140"/>
        <v>9057.1428571428569</v>
      </c>
      <c r="L903" s="606">
        <v>0.38</v>
      </c>
      <c r="M903" s="97">
        <v>2.7</v>
      </c>
      <c r="N903" s="605">
        <v>21</v>
      </c>
      <c r="O903" s="97">
        <v>9</v>
      </c>
      <c r="P903" s="97" t="s">
        <v>513</v>
      </c>
      <c r="Q903" s="97" t="str">
        <f t="shared" si="143"/>
        <v/>
      </c>
      <c r="R903" t="str">
        <f t="shared" si="144"/>
        <v/>
      </c>
    </row>
    <row r="904" spans="3:18">
      <c r="C904" t="str">
        <f t="shared" si="138"/>
        <v>NL</v>
      </c>
      <c r="D904" s="36">
        <v>125</v>
      </c>
      <c r="E904" s="97">
        <v>35</v>
      </c>
      <c r="F904" s="366">
        <f t="shared" si="141"/>
        <v>759.5</v>
      </c>
      <c r="G904" s="97">
        <v>2565</v>
      </c>
      <c r="H904" s="367">
        <f t="shared" si="142"/>
        <v>3324.5</v>
      </c>
      <c r="I904" s="368">
        <f t="shared" si="139"/>
        <v>0</v>
      </c>
      <c r="J904" s="97">
        <v>9677</v>
      </c>
      <c r="K904" s="367">
        <f t="shared" si="140"/>
        <v>6912.1428571428569</v>
      </c>
      <c r="L904" s="606">
        <v>0.18000000000000002</v>
      </c>
      <c r="M904" s="97">
        <v>2.1</v>
      </c>
      <c r="N904" s="605">
        <v>16</v>
      </c>
      <c r="O904" s="97">
        <v>9</v>
      </c>
      <c r="P904" s="97" t="s">
        <v>555</v>
      </c>
      <c r="Q904" s="97" t="str">
        <f t="shared" si="143"/>
        <v/>
      </c>
      <c r="R904" t="str">
        <f t="shared" si="144"/>
        <v/>
      </c>
    </row>
    <row r="905" spans="3:18">
      <c r="C905" t="str">
        <f t="shared" si="138"/>
        <v/>
      </c>
      <c r="D905" s="36">
        <v>126</v>
      </c>
      <c r="E905" s="97">
        <v>35</v>
      </c>
      <c r="F905" s="366">
        <f t="shared" si="141"/>
        <v>759.5</v>
      </c>
      <c r="G905" s="97">
        <v>4173</v>
      </c>
      <c r="H905" s="367">
        <f t="shared" si="142"/>
        <v>4932.5</v>
      </c>
      <c r="I905" s="368">
        <f t="shared" si="139"/>
        <v>0</v>
      </c>
      <c r="J905" s="97">
        <v>15743</v>
      </c>
      <c r="K905" s="367">
        <f t="shared" si="140"/>
        <v>11245</v>
      </c>
      <c r="L905" s="606">
        <v>0.62</v>
      </c>
      <c r="M905" s="97">
        <v>3.4</v>
      </c>
      <c r="N905" s="605">
        <v>21</v>
      </c>
      <c r="O905" s="97">
        <v>10</v>
      </c>
      <c r="P905" s="97" t="s">
        <v>512</v>
      </c>
      <c r="Q905" s="97" t="str">
        <f t="shared" si="143"/>
        <v/>
      </c>
      <c r="R905" t="str">
        <f t="shared" si="144"/>
        <v/>
      </c>
    </row>
    <row r="906" spans="3:18">
      <c r="C906" t="str">
        <f t="shared" ref="C906:C969" si="145">IF(OR($O$4=0,O906-$O$4=0),IF(AND(ISEVEN(O906)=FALSE,$N$4="Even"),"NL",""),"NL")</f>
        <v/>
      </c>
      <c r="D906" s="36">
        <v>127</v>
      </c>
      <c r="E906" s="97">
        <v>35</v>
      </c>
      <c r="F906" s="366">
        <f t="shared" si="141"/>
        <v>759.5</v>
      </c>
      <c r="G906" s="97">
        <v>3372</v>
      </c>
      <c r="H906" s="367">
        <f t="shared" si="142"/>
        <v>4131.5</v>
      </c>
      <c r="I906" s="368">
        <f t="shared" ref="I906:I969" si="146">1.085*($C$2-$D$2)*E906*$T$7</f>
        <v>0</v>
      </c>
      <c r="J906" s="97">
        <v>12721</v>
      </c>
      <c r="K906" s="367">
        <f t="shared" ref="K906:K969" si="147">(J906*$V$7)-I906</f>
        <v>9086.4285714285725</v>
      </c>
      <c r="L906" s="606">
        <v>0.32</v>
      </c>
      <c r="M906" s="97">
        <v>2.7</v>
      </c>
      <c r="N906" s="605">
        <v>20</v>
      </c>
      <c r="O906" s="97">
        <v>10</v>
      </c>
      <c r="P906" s="97" t="s">
        <v>513</v>
      </c>
      <c r="Q906" s="97" t="str">
        <f t="shared" si="143"/>
        <v/>
      </c>
      <c r="R906" t="str">
        <f t="shared" si="144"/>
        <v/>
      </c>
    </row>
    <row r="907" spans="3:18">
      <c r="C907" t="str">
        <f t="shared" si="145"/>
        <v/>
      </c>
      <c r="D907" s="36">
        <v>128</v>
      </c>
      <c r="E907" s="97">
        <v>40</v>
      </c>
      <c r="F907" s="366">
        <f t="shared" si="141"/>
        <v>868</v>
      </c>
      <c r="G907" s="97">
        <v>1405</v>
      </c>
      <c r="H907" s="367">
        <f t="shared" si="142"/>
        <v>2273</v>
      </c>
      <c r="I907" s="368">
        <f t="shared" si="146"/>
        <v>0</v>
      </c>
      <c r="J907" s="97">
        <v>5300</v>
      </c>
      <c r="K907" s="367">
        <f t="shared" si="147"/>
        <v>3785.7142857142858</v>
      </c>
      <c r="L907" s="606">
        <v>0.91</v>
      </c>
      <c r="M907" s="97">
        <v>1.7000000000000002</v>
      </c>
      <c r="N907" s="605">
        <v>23</v>
      </c>
      <c r="O907" s="97">
        <v>2</v>
      </c>
      <c r="P907" s="97" t="s">
        <v>515</v>
      </c>
      <c r="Q907" s="97" t="str">
        <f t="shared" si="143"/>
        <v/>
      </c>
      <c r="R907" t="str">
        <f t="shared" si="144"/>
        <v/>
      </c>
    </row>
    <row r="908" spans="3:18">
      <c r="C908" t="str">
        <f t="shared" si="145"/>
        <v>NL</v>
      </c>
      <c r="D908" s="36">
        <v>129</v>
      </c>
      <c r="E908" s="97">
        <v>40</v>
      </c>
      <c r="F908" s="366">
        <f t="shared" ref="F908:F971" si="148">1.085*($A$2-$B$2)*E908*$T$7</f>
        <v>868</v>
      </c>
      <c r="G908" s="97">
        <v>1639</v>
      </c>
      <c r="H908" s="367">
        <f t="shared" ref="H908:H971" si="149">(G908*$U$7)+F908</f>
        <v>2507</v>
      </c>
      <c r="I908" s="368">
        <f t="shared" si="146"/>
        <v>0</v>
      </c>
      <c r="J908" s="97">
        <v>6186</v>
      </c>
      <c r="K908" s="367">
        <f t="shared" si="147"/>
        <v>4418.5714285714284</v>
      </c>
      <c r="L908" s="606">
        <v>0.64</v>
      </c>
      <c r="M908" s="97">
        <v>2.4</v>
      </c>
      <c r="N908" s="605">
        <v>21</v>
      </c>
      <c r="O908" s="97">
        <v>3</v>
      </c>
      <c r="P908" s="97" t="s">
        <v>556</v>
      </c>
      <c r="Q908" s="97" t="str">
        <f t="shared" ref="Q908:Q971" si="150">IF(AND(H908+1&gt;$E$4,L908&lt;$L$4+0.01,M908&lt;$M$4+0.01,K908+1&gt;$F$4,E908+1&gt;$J$4,N908&lt;$K$4+1,O908&lt;$P$4+1,C908=""),D908,"")</f>
        <v/>
      </c>
      <c r="R908" t="str">
        <f t="shared" ref="R908:R971" si="151">IF(Q908="","",IF(AND(O908&lt;$X$15,E908&gt;$U$15,E908&lt;$Q$4+$U$15+1),D908,""))</f>
        <v/>
      </c>
    </row>
    <row r="909" spans="3:18">
      <c r="C909" t="str">
        <f t="shared" si="145"/>
        <v>NL</v>
      </c>
      <c r="D909" s="36">
        <v>130</v>
      </c>
      <c r="E909" s="97">
        <v>40</v>
      </c>
      <c r="F909" s="366">
        <f t="shared" si="148"/>
        <v>868</v>
      </c>
      <c r="G909" s="97">
        <v>1388</v>
      </c>
      <c r="H909" s="367">
        <f t="shared" si="149"/>
        <v>2256</v>
      </c>
      <c r="I909" s="368">
        <f t="shared" si="146"/>
        <v>0</v>
      </c>
      <c r="J909" s="97">
        <v>5238</v>
      </c>
      <c r="K909" s="367">
        <f t="shared" si="147"/>
        <v>3741.4285714285716</v>
      </c>
      <c r="L909" s="606">
        <v>0.38</v>
      </c>
      <c r="M909" s="97">
        <v>2.4</v>
      </c>
      <c r="N909" s="605">
        <v>19</v>
      </c>
      <c r="O909" s="97">
        <v>3</v>
      </c>
      <c r="P909" s="97" t="s">
        <v>515</v>
      </c>
      <c r="Q909" s="97" t="str">
        <f t="shared" si="150"/>
        <v/>
      </c>
      <c r="R909" t="str">
        <f t="shared" si="151"/>
        <v/>
      </c>
    </row>
    <row r="910" spans="3:18">
      <c r="C910" t="str">
        <f t="shared" si="145"/>
        <v/>
      </c>
      <c r="D910" s="36">
        <v>131</v>
      </c>
      <c r="E910" s="97">
        <v>40</v>
      </c>
      <c r="F910" s="366">
        <f t="shared" si="148"/>
        <v>868</v>
      </c>
      <c r="G910" s="97">
        <v>2011</v>
      </c>
      <c r="H910" s="367">
        <f t="shared" si="149"/>
        <v>2879</v>
      </c>
      <c r="I910" s="368">
        <f t="shared" si="146"/>
        <v>0</v>
      </c>
      <c r="J910" s="97">
        <v>7586</v>
      </c>
      <c r="K910" s="367">
        <f t="shared" si="147"/>
        <v>5418.5714285714284</v>
      </c>
      <c r="L910" s="606">
        <v>0.76</v>
      </c>
      <c r="M910" s="97">
        <v>3.1</v>
      </c>
      <c r="N910" s="605">
        <v>25</v>
      </c>
      <c r="O910" s="97">
        <v>4</v>
      </c>
      <c r="P910" s="97" t="s">
        <v>514</v>
      </c>
      <c r="Q910" s="97" t="str">
        <f t="shared" si="150"/>
        <v/>
      </c>
      <c r="R910" t="str">
        <f t="shared" si="151"/>
        <v/>
      </c>
    </row>
    <row r="911" spans="3:18">
      <c r="C911" t="str">
        <f t="shared" si="145"/>
        <v/>
      </c>
      <c r="D911" s="36">
        <v>132</v>
      </c>
      <c r="E911" s="97">
        <v>40</v>
      </c>
      <c r="F911" s="366">
        <f t="shared" si="148"/>
        <v>868</v>
      </c>
      <c r="G911" s="97">
        <v>1684</v>
      </c>
      <c r="H911" s="367">
        <f t="shared" si="149"/>
        <v>2552</v>
      </c>
      <c r="I911" s="368">
        <f t="shared" si="146"/>
        <v>0</v>
      </c>
      <c r="J911" s="97">
        <v>6353</v>
      </c>
      <c r="K911" s="367">
        <f t="shared" si="147"/>
        <v>4537.8571428571431</v>
      </c>
      <c r="L911" s="606">
        <v>0.36</v>
      </c>
      <c r="M911" s="97">
        <v>3.1</v>
      </c>
      <c r="N911" s="605">
        <v>19</v>
      </c>
      <c r="O911" s="97">
        <v>4</v>
      </c>
      <c r="P911" s="97" t="s">
        <v>556</v>
      </c>
      <c r="Q911" s="97" t="str">
        <f t="shared" si="150"/>
        <v/>
      </c>
      <c r="R911" t="str">
        <f t="shared" si="151"/>
        <v/>
      </c>
    </row>
    <row r="912" spans="3:18">
      <c r="C912" t="str">
        <f t="shared" si="145"/>
        <v/>
      </c>
      <c r="D912" s="36">
        <v>133</v>
      </c>
      <c r="E912" s="97">
        <v>40</v>
      </c>
      <c r="F912" s="366">
        <f t="shared" si="148"/>
        <v>868</v>
      </c>
      <c r="G912" s="97">
        <v>1487</v>
      </c>
      <c r="H912" s="367">
        <f t="shared" si="149"/>
        <v>2355</v>
      </c>
      <c r="I912" s="368">
        <f t="shared" si="146"/>
        <v>0</v>
      </c>
      <c r="J912" s="97">
        <v>5610</v>
      </c>
      <c r="K912" s="367">
        <f t="shared" si="147"/>
        <v>4007.1428571428573</v>
      </c>
      <c r="L912" s="606">
        <v>0.22</v>
      </c>
      <c r="M912" s="97">
        <v>3.1</v>
      </c>
      <c r="N912" s="605">
        <v>17</v>
      </c>
      <c r="O912" s="97">
        <v>4</v>
      </c>
      <c r="P912" s="97" t="s">
        <v>515</v>
      </c>
      <c r="Q912" s="97" t="str">
        <f t="shared" si="150"/>
        <v/>
      </c>
      <c r="R912" t="str">
        <f t="shared" si="151"/>
        <v/>
      </c>
    </row>
    <row r="913" spans="3:18">
      <c r="C913" t="str">
        <f t="shared" si="145"/>
        <v>NL</v>
      </c>
      <c r="D913" s="36">
        <v>134</v>
      </c>
      <c r="E913" s="97">
        <v>40</v>
      </c>
      <c r="F913" s="366">
        <f t="shared" si="148"/>
        <v>868</v>
      </c>
      <c r="G913" s="97">
        <v>2298</v>
      </c>
      <c r="H913" s="367">
        <f t="shared" si="149"/>
        <v>3166</v>
      </c>
      <c r="I913" s="368">
        <f t="shared" si="146"/>
        <v>0</v>
      </c>
      <c r="J913" s="97">
        <v>8668</v>
      </c>
      <c r="K913" s="367">
        <f t="shared" si="147"/>
        <v>6191.4285714285716</v>
      </c>
      <c r="L913" s="606">
        <v>0.7</v>
      </c>
      <c r="M913" s="97">
        <v>3.8000000000000003</v>
      </c>
      <c r="N913" s="605">
        <v>21</v>
      </c>
      <c r="O913" s="97">
        <v>5</v>
      </c>
      <c r="P913" s="97" t="s">
        <v>555</v>
      </c>
      <c r="Q913" s="97" t="str">
        <f t="shared" si="150"/>
        <v/>
      </c>
      <c r="R913" t="str">
        <f t="shared" si="151"/>
        <v/>
      </c>
    </row>
    <row r="914" spans="3:18">
      <c r="C914" t="str">
        <f t="shared" si="145"/>
        <v>NL</v>
      </c>
      <c r="D914" s="36">
        <v>135</v>
      </c>
      <c r="E914" s="97">
        <v>40</v>
      </c>
      <c r="F914" s="366">
        <f t="shared" si="148"/>
        <v>868</v>
      </c>
      <c r="G914" s="97">
        <v>2133</v>
      </c>
      <c r="H914" s="367">
        <f t="shared" si="149"/>
        <v>3001</v>
      </c>
      <c r="I914" s="368">
        <f t="shared" si="146"/>
        <v>0</v>
      </c>
      <c r="J914" s="97">
        <v>8048</v>
      </c>
      <c r="K914" s="367">
        <f t="shared" si="147"/>
        <v>5748.5714285714284</v>
      </c>
      <c r="L914" s="606">
        <v>0.49</v>
      </c>
      <c r="M914" s="97">
        <v>3.8000000000000003</v>
      </c>
      <c r="N914" s="605">
        <v>23</v>
      </c>
      <c r="O914" s="97">
        <v>5</v>
      </c>
      <c r="P914" s="97" t="s">
        <v>514</v>
      </c>
      <c r="Q914" s="97" t="str">
        <f t="shared" si="150"/>
        <v/>
      </c>
      <c r="R914" t="str">
        <f t="shared" si="151"/>
        <v/>
      </c>
    </row>
    <row r="915" spans="3:18">
      <c r="C915" t="str">
        <f t="shared" si="145"/>
        <v>NL</v>
      </c>
      <c r="D915" s="36">
        <v>136</v>
      </c>
      <c r="E915" s="97">
        <v>40</v>
      </c>
      <c r="F915" s="366">
        <f t="shared" si="148"/>
        <v>868</v>
      </c>
      <c r="G915" s="97">
        <v>1761</v>
      </c>
      <c r="H915" s="367">
        <f t="shared" si="149"/>
        <v>2629</v>
      </c>
      <c r="I915" s="368">
        <f t="shared" si="146"/>
        <v>0</v>
      </c>
      <c r="J915" s="97">
        <v>6644</v>
      </c>
      <c r="K915" s="367">
        <f t="shared" si="147"/>
        <v>4745.7142857142862</v>
      </c>
      <c r="L915" s="606">
        <v>0.24000000000000002</v>
      </c>
      <c r="M915" s="97">
        <v>3.8000000000000003</v>
      </c>
      <c r="N915" s="605">
        <v>18</v>
      </c>
      <c r="O915" s="97">
        <v>5</v>
      </c>
      <c r="P915" s="97" t="s">
        <v>556</v>
      </c>
      <c r="Q915" s="97" t="str">
        <f t="shared" si="150"/>
        <v/>
      </c>
      <c r="R915" t="str">
        <f t="shared" si="151"/>
        <v/>
      </c>
    </row>
    <row r="916" spans="3:18">
      <c r="C916" t="str">
        <f t="shared" si="145"/>
        <v/>
      </c>
      <c r="D916" s="36">
        <v>137</v>
      </c>
      <c r="E916" s="97">
        <v>40</v>
      </c>
      <c r="F916" s="366">
        <f t="shared" si="148"/>
        <v>868</v>
      </c>
      <c r="G916" s="97">
        <v>2347</v>
      </c>
      <c r="H916" s="367">
        <f t="shared" si="149"/>
        <v>3215</v>
      </c>
      <c r="I916" s="368">
        <f t="shared" si="146"/>
        <v>0</v>
      </c>
      <c r="J916" s="97">
        <v>8854</v>
      </c>
      <c r="K916" s="367">
        <f t="shared" si="147"/>
        <v>6324.2857142857147</v>
      </c>
      <c r="L916" s="606">
        <v>0.5</v>
      </c>
      <c r="M916" s="97">
        <v>4.3999999999999995</v>
      </c>
      <c r="N916" s="605">
        <v>20</v>
      </c>
      <c r="O916" s="97">
        <v>6</v>
      </c>
      <c r="P916" s="97" t="s">
        <v>555</v>
      </c>
      <c r="Q916" s="97">
        <f t="shared" si="150"/>
        <v>137</v>
      </c>
      <c r="R916" t="str">
        <f t="shared" si="151"/>
        <v/>
      </c>
    </row>
    <row r="917" spans="3:18">
      <c r="C917" t="str">
        <f t="shared" si="145"/>
        <v/>
      </c>
      <c r="D917" s="36">
        <v>138</v>
      </c>
      <c r="E917" s="97">
        <v>40</v>
      </c>
      <c r="F917" s="366">
        <f t="shared" si="148"/>
        <v>868</v>
      </c>
      <c r="G917" s="97">
        <v>2135</v>
      </c>
      <c r="H917" s="367">
        <f t="shared" si="149"/>
        <v>3003</v>
      </c>
      <c r="I917" s="368">
        <f t="shared" si="146"/>
        <v>0</v>
      </c>
      <c r="J917" s="97">
        <v>8057</v>
      </c>
      <c r="K917" s="367">
        <f t="shared" si="147"/>
        <v>5755</v>
      </c>
      <c r="L917" s="606">
        <v>0.34</v>
      </c>
      <c r="M917" s="97">
        <v>4.3999999999999995</v>
      </c>
      <c r="N917" s="605">
        <v>21</v>
      </c>
      <c r="O917" s="97">
        <v>6</v>
      </c>
      <c r="P917" s="97" t="s">
        <v>514</v>
      </c>
      <c r="Q917" s="97">
        <f t="shared" si="150"/>
        <v>138</v>
      </c>
      <c r="R917" t="str">
        <f t="shared" si="151"/>
        <v/>
      </c>
    </row>
    <row r="918" spans="3:18">
      <c r="C918" t="str">
        <f t="shared" si="145"/>
        <v/>
      </c>
      <c r="D918" s="36">
        <v>139</v>
      </c>
      <c r="E918" s="97">
        <v>40</v>
      </c>
      <c r="F918" s="366">
        <f t="shared" si="148"/>
        <v>868</v>
      </c>
      <c r="G918" s="97">
        <v>1840</v>
      </c>
      <c r="H918" s="367">
        <f t="shared" si="149"/>
        <v>2708</v>
      </c>
      <c r="I918" s="368">
        <f t="shared" si="146"/>
        <v>0</v>
      </c>
      <c r="J918" s="97">
        <v>6944</v>
      </c>
      <c r="K918" s="367">
        <f t="shared" si="147"/>
        <v>4960</v>
      </c>
      <c r="L918" s="606">
        <v>0.17</v>
      </c>
      <c r="M918" s="97">
        <v>4.3999999999999995</v>
      </c>
      <c r="N918" s="605">
        <v>16</v>
      </c>
      <c r="O918" s="97">
        <v>6</v>
      </c>
      <c r="P918" s="97" t="s">
        <v>556</v>
      </c>
      <c r="Q918" s="97" t="str">
        <f t="shared" si="150"/>
        <v/>
      </c>
      <c r="R918" t="str">
        <f t="shared" si="151"/>
        <v/>
      </c>
    </row>
    <row r="919" spans="3:18">
      <c r="C919" t="str">
        <f t="shared" si="145"/>
        <v>NL</v>
      </c>
      <c r="D919" s="36">
        <v>140</v>
      </c>
      <c r="E919" s="97">
        <v>40</v>
      </c>
      <c r="F919" s="366">
        <f t="shared" si="148"/>
        <v>868</v>
      </c>
      <c r="G919" s="97">
        <v>3359</v>
      </c>
      <c r="H919" s="367">
        <f t="shared" si="149"/>
        <v>4227</v>
      </c>
      <c r="I919" s="368">
        <f t="shared" si="146"/>
        <v>0</v>
      </c>
      <c r="J919" s="97">
        <v>12671</v>
      </c>
      <c r="K919" s="367">
        <f t="shared" si="147"/>
        <v>9050.7142857142862</v>
      </c>
      <c r="L919" s="606">
        <v>0.82000000000000006</v>
      </c>
      <c r="M919" s="97">
        <v>5.0999999999999996</v>
      </c>
      <c r="N919" s="605">
        <v>25</v>
      </c>
      <c r="O919" s="97">
        <v>7</v>
      </c>
      <c r="P919" s="97" t="s">
        <v>513</v>
      </c>
      <c r="Q919" s="97" t="str">
        <f t="shared" si="150"/>
        <v/>
      </c>
      <c r="R919" t="str">
        <f t="shared" si="151"/>
        <v/>
      </c>
    </row>
    <row r="920" spans="3:18">
      <c r="C920" t="str">
        <f t="shared" si="145"/>
        <v>NL</v>
      </c>
      <c r="D920" s="36">
        <v>141</v>
      </c>
      <c r="E920" s="97">
        <v>40</v>
      </c>
      <c r="F920" s="366">
        <f t="shared" si="148"/>
        <v>868</v>
      </c>
      <c r="G920" s="97">
        <v>2583</v>
      </c>
      <c r="H920" s="367">
        <f t="shared" si="149"/>
        <v>3451</v>
      </c>
      <c r="I920" s="368">
        <f t="shared" si="146"/>
        <v>0</v>
      </c>
      <c r="J920" s="97">
        <v>9745</v>
      </c>
      <c r="K920" s="367">
        <f t="shared" si="147"/>
        <v>6960.7142857142862</v>
      </c>
      <c r="L920" s="606">
        <v>0.37</v>
      </c>
      <c r="M920" s="97">
        <v>5.0999999999999996</v>
      </c>
      <c r="N920" s="605">
        <v>19</v>
      </c>
      <c r="O920" s="97">
        <v>7</v>
      </c>
      <c r="P920" s="97" t="s">
        <v>555</v>
      </c>
      <c r="Q920" s="97" t="str">
        <f t="shared" si="150"/>
        <v/>
      </c>
      <c r="R920" t="str">
        <f t="shared" si="151"/>
        <v/>
      </c>
    </row>
    <row r="921" spans="3:18">
      <c r="C921" t="str">
        <f t="shared" si="145"/>
        <v>NL</v>
      </c>
      <c r="D921" s="36">
        <v>142</v>
      </c>
      <c r="E921" s="97">
        <v>40</v>
      </c>
      <c r="F921" s="366">
        <f t="shared" si="148"/>
        <v>868</v>
      </c>
      <c r="G921" s="97">
        <v>2341</v>
      </c>
      <c r="H921" s="367">
        <f t="shared" si="149"/>
        <v>3209</v>
      </c>
      <c r="I921" s="368">
        <f t="shared" si="146"/>
        <v>0</v>
      </c>
      <c r="J921" s="97">
        <v>8833</v>
      </c>
      <c r="K921" s="367">
        <f t="shared" si="147"/>
        <v>6309.2857142857147</v>
      </c>
      <c r="L921" s="606">
        <v>0.25</v>
      </c>
      <c r="M921" s="97">
        <v>5.0999999999999996</v>
      </c>
      <c r="N921" s="605">
        <v>20</v>
      </c>
      <c r="O921" s="97">
        <v>7</v>
      </c>
      <c r="P921" s="97" t="s">
        <v>514</v>
      </c>
      <c r="Q921" s="97" t="str">
        <f t="shared" si="150"/>
        <v/>
      </c>
      <c r="R921" t="str">
        <f t="shared" si="151"/>
        <v/>
      </c>
    </row>
    <row r="922" spans="3:18">
      <c r="C922" t="str">
        <f t="shared" si="145"/>
        <v/>
      </c>
      <c r="D922" s="36">
        <v>143</v>
      </c>
      <c r="E922" s="97">
        <v>40</v>
      </c>
      <c r="F922" s="366">
        <f t="shared" si="148"/>
        <v>868</v>
      </c>
      <c r="G922" s="97">
        <v>3633</v>
      </c>
      <c r="H922" s="367">
        <f t="shared" si="149"/>
        <v>4501</v>
      </c>
      <c r="I922" s="368">
        <f t="shared" si="146"/>
        <v>0</v>
      </c>
      <c r="J922" s="97">
        <v>13705</v>
      </c>
      <c r="K922" s="367">
        <f t="shared" si="147"/>
        <v>9789.2857142857138</v>
      </c>
      <c r="L922" s="606">
        <v>0.63</v>
      </c>
      <c r="M922" s="97">
        <v>5.8</v>
      </c>
      <c r="N922" s="605">
        <v>23</v>
      </c>
      <c r="O922" s="97">
        <v>8</v>
      </c>
      <c r="P922" s="97" t="s">
        <v>513</v>
      </c>
      <c r="Q922" s="97">
        <f t="shared" si="150"/>
        <v>143</v>
      </c>
      <c r="R922" t="str">
        <f t="shared" si="151"/>
        <v/>
      </c>
    </row>
    <row r="923" spans="3:18">
      <c r="C923" t="str">
        <f t="shared" si="145"/>
        <v/>
      </c>
      <c r="D923" s="36">
        <v>144</v>
      </c>
      <c r="E923" s="97">
        <v>40</v>
      </c>
      <c r="F923" s="366">
        <f t="shared" si="148"/>
        <v>868</v>
      </c>
      <c r="G923" s="97">
        <v>2834</v>
      </c>
      <c r="H923" s="367">
        <f t="shared" si="149"/>
        <v>3702</v>
      </c>
      <c r="I923" s="368">
        <f t="shared" si="146"/>
        <v>0</v>
      </c>
      <c r="J923" s="97">
        <v>10693</v>
      </c>
      <c r="K923" s="367">
        <f t="shared" si="147"/>
        <v>7637.8571428571431</v>
      </c>
      <c r="L923" s="606">
        <v>0.3</v>
      </c>
      <c r="M923" s="97">
        <v>5.8</v>
      </c>
      <c r="N923" s="605">
        <v>19</v>
      </c>
      <c r="O923" s="97">
        <v>8</v>
      </c>
      <c r="P923" s="97" t="s">
        <v>555</v>
      </c>
      <c r="Q923" s="97">
        <f t="shared" si="150"/>
        <v>144</v>
      </c>
      <c r="R923" t="str">
        <f t="shared" si="151"/>
        <v/>
      </c>
    </row>
    <row r="924" spans="3:18">
      <c r="C924" t="str">
        <f t="shared" si="145"/>
        <v/>
      </c>
      <c r="D924" s="36">
        <v>145</v>
      </c>
      <c r="E924" s="97">
        <v>40</v>
      </c>
      <c r="F924" s="366">
        <f t="shared" si="148"/>
        <v>868</v>
      </c>
      <c r="G924" s="97">
        <v>2528</v>
      </c>
      <c r="H924" s="367">
        <f t="shared" si="149"/>
        <v>3396</v>
      </c>
      <c r="I924" s="368">
        <f t="shared" si="146"/>
        <v>0</v>
      </c>
      <c r="J924" s="97">
        <v>9538</v>
      </c>
      <c r="K924" s="367">
        <f t="shared" si="147"/>
        <v>6812.8571428571431</v>
      </c>
      <c r="L924" s="606">
        <v>0.2</v>
      </c>
      <c r="M924" s="97">
        <v>5.8</v>
      </c>
      <c r="N924" s="605">
        <v>20</v>
      </c>
      <c r="O924" s="97">
        <v>8</v>
      </c>
      <c r="P924" s="97" t="s">
        <v>514</v>
      </c>
      <c r="Q924" s="97">
        <f t="shared" si="150"/>
        <v>145</v>
      </c>
      <c r="R924" t="str">
        <f t="shared" si="151"/>
        <v/>
      </c>
    </row>
    <row r="925" spans="3:18">
      <c r="C925" t="str">
        <f t="shared" si="145"/>
        <v>NL</v>
      </c>
      <c r="D925" s="36">
        <v>146</v>
      </c>
      <c r="E925" s="97">
        <v>40</v>
      </c>
      <c r="F925" s="366">
        <f t="shared" si="148"/>
        <v>868</v>
      </c>
      <c r="G925" s="97">
        <v>4428</v>
      </c>
      <c r="H925" s="367">
        <f t="shared" si="149"/>
        <v>5296</v>
      </c>
      <c r="I925" s="368">
        <f t="shared" si="146"/>
        <v>0</v>
      </c>
      <c r="J925" s="97">
        <v>16705</v>
      </c>
      <c r="K925" s="367">
        <f t="shared" si="147"/>
        <v>11932.142857142857</v>
      </c>
      <c r="L925" s="606">
        <v>0.98</v>
      </c>
      <c r="M925" s="97">
        <v>3.6</v>
      </c>
      <c r="N925" s="605">
        <v>23</v>
      </c>
      <c r="O925" s="97">
        <v>9</v>
      </c>
      <c r="P925" s="97" t="s">
        <v>512</v>
      </c>
      <c r="Q925" s="97" t="str">
        <f t="shared" si="150"/>
        <v/>
      </c>
      <c r="R925" t="str">
        <f t="shared" si="151"/>
        <v/>
      </c>
    </row>
    <row r="926" spans="3:18">
      <c r="C926" t="str">
        <f t="shared" si="145"/>
        <v>NL</v>
      </c>
      <c r="D926" s="36">
        <v>147</v>
      </c>
      <c r="E926" s="97">
        <v>40</v>
      </c>
      <c r="F926" s="366">
        <f t="shared" si="148"/>
        <v>868</v>
      </c>
      <c r="G926" s="97">
        <v>3722</v>
      </c>
      <c r="H926" s="367">
        <f t="shared" si="149"/>
        <v>4590</v>
      </c>
      <c r="I926" s="368">
        <f t="shared" si="146"/>
        <v>0</v>
      </c>
      <c r="J926" s="97">
        <v>14042</v>
      </c>
      <c r="K926" s="367">
        <f t="shared" si="147"/>
        <v>10030</v>
      </c>
      <c r="L926" s="606">
        <v>0.5</v>
      </c>
      <c r="M926" s="97">
        <v>3</v>
      </c>
      <c r="N926" s="605">
        <v>22</v>
      </c>
      <c r="O926" s="97">
        <v>9</v>
      </c>
      <c r="P926" s="97" t="s">
        <v>513</v>
      </c>
      <c r="Q926" s="97" t="str">
        <f t="shared" si="150"/>
        <v/>
      </c>
      <c r="R926" t="str">
        <f t="shared" si="151"/>
        <v/>
      </c>
    </row>
    <row r="927" spans="3:18">
      <c r="C927" t="str">
        <f t="shared" si="145"/>
        <v>NL</v>
      </c>
      <c r="D927" s="36">
        <v>148</v>
      </c>
      <c r="E927" s="97">
        <v>40</v>
      </c>
      <c r="F927" s="366">
        <f t="shared" si="148"/>
        <v>868</v>
      </c>
      <c r="G927" s="97">
        <v>2894</v>
      </c>
      <c r="H927" s="367">
        <f t="shared" si="149"/>
        <v>3762</v>
      </c>
      <c r="I927" s="368">
        <f t="shared" si="146"/>
        <v>0</v>
      </c>
      <c r="J927" s="97">
        <v>10919</v>
      </c>
      <c r="K927" s="367">
        <f t="shared" si="147"/>
        <v>7799.2857142857147</v>
      </c>
      <c r="L927" s="606">
        <v>0.23</v>
      </c>
      <c r="M927" s="97">
        <v>2.4</v>
      </c>
      <c r="N927" s="605">
        <v>17</v>
      </c>
      <c r="O927" s="97">
        <v>9</v>
      </c>
      <c r="P927" s="97" t="s">
        <v>555</v>
      </c>
      <c r="Q927" s="97" t="str">
        <f t="shared" si="150"/>
        <v/>
      </c>
      <c r="R927" t="str">
        <f t="shared" si="151"/>
        <v/>
      </c>
    </row>
    <row r="928" spans="3:18">
      <c r="C928" t="str">
        <f t="shared" si="145"/>
        <v>NL</v>
      </c>
      <c r="D928" s="36">
        <v>149</v>
      </c>
      <c r="E928" s="97">
        <v>40</v>
      </c>
      <c r="F928" s="366">
        <f t="shared" si="148"/>
        <v>868</v>
      </c>
      <c r="G928" s="97">
        <v>2540</v>
      </c>
      <c r="H928" s="367">
        <f t="shared" si="149"/>
        <v>3408</v>
      </c>
      <c r="I928" s="368">
        <f t="shared" si="146"/>
        <v>0</v>
      </c>
      <c r="J928" s="97">
        <v>9582</v>
      </c>
      <c r="K928" s="367">
        <f t="shared" si="147"/>
        <v>6844.2857142857147</v>
      </c>
      <c r="L928" s="606">
        <v>0.16</v>
      </c>
      <c r="M928" s="97">
        <v>2.1</v>
      </c>
      <c r="N928" s="605">
        <v>19</v>
      </c>
      <c r="O928" s="97">
        <v>9</v>
      </c>
      <c r="P928" s="97" t="s">
        <v>514</v>
      </c>
      <c r="Q928" s="97" t="str">
        <f t="shared" si="150"/>
        <v/>
      </c>
      <c r="R928" t="str">
        <f t="shared" si="151"/>
        <v/>
      </c>
    </row>
    <row r="929" spans="3:18">
      <c r="C929" t="str">
        <f t="shared" si="145"/>
        <v/>
      </c>
      <c r="D929" s="36">
        <v>150</v>
      </c>
      <c r="E929" s="97">
        <v>40</v>
      </c>
      <c r="F929" s="366">
        <f t="shared" si="148"/>
        <v>868</v>
      </c>
      <c r="G929" s="97">
        <v>4565</v>
      </c>
      <c r="H929" s="367">
        <f t="shared" si="149"/>
        <v>5433</v>
      </c>
      <c r="I929" s="368">
        <f t="shared" si="146"/>
        <v>0</v>
      </c>
      <c r="J929" s="97">
        <v>17220</v>
      </c>
      <c r="K929" s="367">
        <f t="shared" si="147"/>
        <v>12300</v>
      </c>
      <c r="L929" s="606">
        <v>0.81</v>
      </c>
      <c r="M929" s="97">
        <v>3.7</v>
      </c>
      <c r="N929" s="605">
        <v>22</v>
      </c>
      <c r="O929" s="97">
        <v>10</v>
      </c>
      <c r="P929" s="97" t="s">
        <v>512</v>
      </c>
      <c r="Q929" s="97" t="str">
        <f t="shared" si="150"/>
        <v/>
      </c>
      <c r="R929" t="str">
        <f t="shared" si="151"/>
        <v/>
      </c>
    </row>
    <row r="930" spans="3:18">
      <c r="C930" t="str">
        <f t="shared" si="145"/>
        <v/>
      </c>
      <c r="D930" s="36">
        <v>151</v>
      </c>
      <c r="E930" s="97">
        <v>40</v>
      </c>
      <c r="F930" s="366">
        <f t="shared" si="148"/>
        <v>868</v>
      </c>
      <c r="G930" s="97">
        <v>3803</v>
      </c>
      <c r="H930" s="367">
        <f t="shared" si="149"/>
        <v>4671</v>
      </c>
      <c r="I930" s="368">
        <f t="shared" si="146"/>
        <v>0</v>
      </c>
      <c r="J930" s="97">
        <v>14347</v>
      </c>
      <c r="K930" s="367">
        <f t="shared" si="147"/>
        <v>10247.857142857143</v>
      </c>
      <c r="L930" s="606">
        <v>0.41000000000000003</v>
      </c>
      <c r="M930" s="97">
        <v>3.1</v>
      </c>
      <c r="N930" s="605">
        <v>22</v>
      </c>
      <c r="O930" s="97">
        <v>10</v>
      </c>
      <c r="P930" s="97" t="s">
        <v>513</v>
      </c>
      <c r="Q930" s="97" t="str">
        <f t="shared" si="150"/>
        <v/>
      </c>
      <c r="R930" t="str">
        <f t="shared" si="151"/>
        <v/>
      </c>
    </row>
    <row r="931" spans="3:18">
      <c r="C931" t="str">
        <f t="shared" si="145"/>
        <v/>
      </c>
      <c r="D931" s="36">
        <v>152</v>
      </c>
      <c r="E931" s="97">
        <v>40</v>
      </c>
      <c r="F931" s="366">
        <f t="shared" si="148"/>
        <v>868</v>
      </c>
      <c r="G931" s="97">
        <v>2903</v>
      </c>
      <c r="H931" s="367">
        <f t="shared" si="149"/>
        <v>3771</v>
      </c>
      <c r="I931" s="368">
        <f t="shared" si="146"/>
        <v>0</v>
      </c>
      <c r="J931" s="97">
        <v>10951</v>
      </c>
      <c r="K931" s="367">
        <f t="shared" si="147"/>
        <v>7822.1428571428569</v>
      </c>
      <c r="L931" s="606">
        <v>0.19</v>
      </c>
      <c r="M931" s="97">
        <v>2.4</v>
      </c>
      <c r="N931" s="605">
        <v>17</v>
      </c>
      <c r="O931" s="97">
        <v>10</v>
      </c>
      <c r="P931" s="97" t="s">
        <v>555</v>
      </c>
      <c r="Q931" s="97" t="str">
        <f t="shared" si="150"/>
        <v/>
      </c>
      <c r="R931" t="str">
        <f t="shared" si="151"/>
        <v/>
      </c>
    </row>
    <row r="932" spans="3:18">
      <c r="C932" t="str">
        <f t="shared" si="145"/>
        <v>NL</v>
      </c>
      <c r="D932" s="36">
        <v>153</v>
      </c>
      <c r="E932" s="97">
        <v>45</v>
      </c>
      <c r="F932" s="366">
        <f t="shared" si="148"/>
        <v>976.5</v>
      </c>
      <c r="G932" s="97">
        <v>1868</v>
      </c>
      <c r="H932" s="367">
        <f t="shared" si="149"/>
        <v>2844.5</v>
      </c>
      <c r="I932" s="368">
        <f t="shared" si="146"/>
        <v>0</v>
      </c>
      <c r="J932" s="97">
        <v>7049</v>
      </c>
      <c r="K932" s="367">
        <f t="shared" si="147"/>
        <v>5035</v>
      </c>
      <c r="L932" s="606">
        <v>0.81</v>
      </c>
      <c r="M932" s="97">
        <v>2.4</v>
      </c>
      <c r="N932" s="605">
        <v>23</v>
      </c>
      <c r="O932" s="97">
        <v>3</v>
      </c>
      <c r="P932" s="97" t="s">
        <v>556</v>
      </c>
      <c r="Q932" s="97" t="str">
        <f t="shared" si="150"/>
        <v/>
      </c>
      <c r="R932" t="str">
        <f t="shared" si="151"/>
        <v/>
      </c>
    </row>
    <row r="933" spans="3:18">
      <c r="C933" t="str">
        <f t="shared" si="145"/>
        <v>NL</v>
      </c>
      <c r="D933" s="36">
        <v>154</v>
      </c>
      <c r="E933" s="97">
        <v>45</v>
      </c>
      <c r="F933" s="366">
        <f t="shared" si="148"/>
        <v>976.5</v>
      </c>
      <c r="G933" s="97">
        <v>1504</v>
      </c>
      <c r="H933" s="367">
        <f t="shared" si="149"/>
        <v>2480.5</v>
      </c>
      <c r="I933" s="368">
        <f t="shared" si="146"/>
        <v>0</v>
      </c>
      <c r="J933" s="97">
        <v>5675</v>
      </c>
      <c r="K933" s="367">
        <f t="shared" si="147"/>
        <v>4053.5714285714284</v>
      </c>
      <c r="L933" s="606">
        <v>0.48</v>
      </c>
      <c r="M933" s="97">
        <v>2.4</v>
      </c>
      <c r="N933" s="605">
        <v>20</v>
      </c>
      <c r="O933" s="97">
        <v>3</v>
      </c>
      <c r="P933" s="97" t="s">
        <v>515</v>
      </c>
      <c r="Q933" s="97" t="str">
        <f t="shared" si="150"/>
        <v/>
      </c>
      <c r="R933" t="str">
        <f t="shared" si="151"/>
        <v/>
      </c>
    </row>
    <row r="934" spans="3:18">
      <c r="C934" t="str">
        <f t="shared" si="145"/>
        <v/>
      </c>
      <c r="D934" s="36">
        <v>155</v>
      </c>
      <c r="E934" s="97">
        <v>45</v>
      </c>
      <c r="F934" s="366">
        <f t="shared" si="148"/>
        <v>976.5</v>
      </c>
      <c r="G934" s="97">
        <v>2284</v>
      </c>
      <c r="H934" s="367">
        <f t="shared" si="149"/>
        <v>3260.5</v>
      </c>
      <c r="I934" s="368">
        <f t="shared" si="146"/>
        <v>0</v>
      </c>
      <c r="J934" s="97">
        <v>8616</v>
      </c>
      <c r="K934" s="367">
        <f t="shared" si="147"/>
        <v>6154.2857142857147</v>
      </c>
      <c r="L934" s="606">
        <v>0.96</v>
      </c>
      <c r="M934" s="97">
        <v>3.1</v>
      </c>
      <c r="N934" s="605">
        <v>26</v>
      </c>
      <c r="O934" s="97">
        <v>4</v>
      </c>
      <c r="P934" s="97" t="s">
        <v>514</v>
      </c>
      <c r="Q934" s="97" t="str">
        <f t="shared" si="150"/>
        <v/>
      </c>
      <c r="R934" t="str">
        <f t="shared" si="151"/>
        <v/>
      </c>
    </row>
    <row r="935" spans="3:18">
      <c r="C935" t="str">
        <f t="shared" si="145"/>
        <v/>
      </c>
      <c r="D935" s="36">
        <v>156</v>
      </c>
      <c r="E935" s="97">
        <v>45</v>
      </c>
      <c r="F935" s="366">
        <f t="shared" si="148"/>
        <v>976.5</v>
      </c>
      <c r="G935" s="97">
        <v>1822</v>
      </c>
      <c r="H935" s="367">
        <f t="shared" si="149"/>
        <v>2798.5</v>
      </c>
      <c r="I935" s="368">
        <f t="shared" si="146"/>
        <v>0</v>
      </c>
      <c r="J935" s="97">
        <v>6876</v>
      </c>
      <c r="K935" s="367">
        <f t="shared" si="147"/>
        <v>4911.4285714285716</v>
      </c>
      <c r="L935" s="606">
        <v>0.46</v>
      </c>
      <c r="M935" s="97">
        <v>3.1</v>
      </c>
      <c r="N935" s="605">
        <v>21</v>
      </c>
      <c r="O935" s="97">
        <v>4</v>
      </c>
      <c r="P935" s="97" t="s">
        <v>556</v>
      </c>
      <c r="Q935" s="97" t="str">
        <f t="shared" si="150"/>
        <v/>
      </c>
      <c r="R935" t="str">
        <f t="shared" si="151"/>
        <v/>
      </c>
    </row>
    <row r="936" spans="3:18">
      <c r="C936" t="str">
        <f t="shared" si="145"/>
        <v/>
      </c>
      <c r="D936" s="36">
        <v>157</v>
      </c>
      <c r="E936" s="97">
        <v>45</v>
      </c>
      <c r="F936" s="366">
        <f t="shared" si="148"/>
        <v>976.5</v>
      </c>
      <c r="G936" s="97">
        <v>1632</v>
      </c>
      <c r="H936" s="367">
        <f t="shared" si="149"/>
        <v>2608.5</v>
      </c>
      <c r="I936" s="368">
        <f t="shared" si="146"/>
        <v>0</v>
      </c>
      <c r="J936" s="97">
        <v>6158</v>
      </c>
      <c r="K936" s="367">
        <f t="shared" si="147"/>
        <v>4398.5714285714284</v>
      </c>
      <c r="L936" s="606">
        <v>0.27</v>
      </c>
      <c r="M936" s="97">
        <v>3.1</v>
      </c>
      <c r="N936" s="605">
        <v>18</v>
      </c>
      <c r="O936" s="97">
        <v>4</v>
      </c>
      <c r="P936" s="97" t="s">
        <v>515</v>
      </c>
      <c r="Q936" s="97" t="str">
        <f t="shared" si="150"/>
        <v/>
      </c>
      <c r="R936" t="str">
        <f t="shared" si="151"/>
        <v/>
      </c>
    </row>
    <row r="937" spans="3:18">
      <c r="C937" t="str">
        <f t="shared" si="145"/>
        <v>NL</v>
      </c>
      <c r="D937" s="36">
        <v>158</v>
      </c>
      <c r="E937" s="97">
        <v>45</v>
      </c>
      <c r="F937" s="366">
        <f t="shared" si="148"/>
        <v>976.5</v>
      </c>
      <c r="G937" s="97">
        <v>2499</v>
      </c>
      <c r="H937" s="367">
        <f t="shared" si="149"/>
        <v>3475.5</v>
      </c>
      <c r="I937" s="368">
        <f t="shared" si="146"/>
        <v>0</v>
      </c>
      <c r="J937" s="97">
        <v>9429</v>
      </c>
      <c r="K937" s="367">
        <f t="shared" si="147"/>
        <v>6735</v>
      </c>
      <c r="L937" s="606">
        <v>0.89</v>
      </c>
      <c r="M937" s="97">
        <v>3.8000000000000003</v>
      </c>
      <c r="N937" s="605">
        <v>23</v>
      </c>
      <c r="O937" s="97">
        <v>5</v>
      </c>
      <c r="P937" s="97" t="s">
        <v>555</v>
      </c>
      <c r="Q937" s="97" t="str">
        <f t="shared" si="150"/>
        <v/>
      </c>
      <c r="R937" t="str">
        <f t="shared" si="151"/>
        <v/>
      </c>
    </row>
    <row r="938" spans="3:18">
      <c r="C938" t="str">
        <f t="shared" si="145"/>
        <v>NL</v>
      </c>
      <c r="D938" s="36">
        <v>159</v>
      </c>
      <c r="E938" s="97">
        <v>45</v>
      </c>
      <c r="F938" s="366">
        <f t="shared" si="148"/>
        <v>976.5</v>
      </c>
      <c r="G938" s="97">
        <v>2333</v>
      </c>
      <c r="H938" s="367">
        <f t="shared" si="149"/>
        <v>3309.5</v>
      </c>
      <c r="I938" s="368">
        <f t="shared" si="146"/>
        <v>0</v>
      </c>
      <c r="J938" s="97">
        <v>8801</v>
      </c>
      <c r="K938" s="367">
        <f t="shared" si="147"/>
        <v>6286.4285714285716</v>
      </c>
      <c r="L938" s="606">
        <v>0.61</v>
      </c>
      <c r="M938" s="97">
        <v>3.8000000000000003</v>
      </c>
      <c r="N938" s="605">
        <v>24</v>
      </c>
      <c r="O938" s="97">
        <v>5</v>
      </c>
      <c r="P938" s="97" t="s">
        <v>514</v>
      </c>
      <c r="Q938" s="97" t="str">
        <f t="shared" si="150"/>
        <v/>
      </c>
      <c r="R938" t="str">
        <f t="shared" si="151"/>
        <v/>
      </c>
    </row>
    <row r="939" spans="3:18">
      <c r="C939" t="str">
        <f t="shared" si="145"/>
        <v>NL</v>
      </c>
      <c r="D939" s="36">
        <v>160</v>
      </c>
      <c r="E939" s="97">
        <v>45</v>
      </c>
      <c r="F939" s="366">
        <f t="shared" si="148"/>
        <v>976.5</v>
      </c>
      <c r="G939" s="97">
        <v>1940</v>
      </c>
      <c r="H939" s="367">
        <f t="shared" si="149"/>
        <v>2916.5</v>
      </c>
      <c r="I939" s="368">
        <f t="shared" si="146"/>
        <v>0</v>
      </c>
      <c r="J939" s="97">
        <v>7320</v>
      </c>
      <c r="K939" s="367">
        <f t="shared" si="147"/>
        <v>5228.5714285714284</v>
      </c>
      <c r="L939" s="606">
        <v>0.3</v>
      </c>
      <c r="M939" s="97">
        <v>3.8000000000000003</v>
      </c>
      <c r="N939" s="605">
        <v>19</v>
      </c>
      <c r="O939" s="97">
        <v>5</v>
      </c>
      <c r="P939" s="97" t="s">
        <v>556</v>
      </c>
      <c r="Q939" s="97" t="str">
        <f t="shared" si="150"/>
        <v/>
      </c>
      <c r="R939" t="str">
        <f t="shared" si="151"/>
        <v/>
      </c>
    </row>
    <row r="940" spans="3:18">
      <c r="C940" t="str">
        <f t="shared" si="145"/>
        <v>NL</v>
      </c>
      <c r="D940" s="36">
        <v>161</v>
      </c>
      <c r="E940" s="97">
        <v>45</v>
      </c>
      <c r="F940" s="366">
        <f t="shared" si="148"/>
        <v>976.5</v>
      </c>
      <c r="G940" s="97">
        <v>1638</v>
      </c>
      <c r="H940" s="367">
        <f t="shared" si="149"/>
        <v>2614.5</v>
      </c>
      <c r="I940" s="368">
        <f t="shared" si="146"/>
        <v>0</v>
      </c>
      <c r="J940" s="97">
        <v>6181</v>
      </c>
      <c r="K940" s="367">
        <f t="shared" si="147"/>
        <v>4415</v>
      </c>
      <c r="L940" s="606">
        <v>0.18000000000000002</v>
      </c>
      <c r="M940" s="97">
        <v>3.8000000000000003</v>
      </c>
      <c r="N940" s="605">
        <v>17</v>
      </c>
      <c r="O940" s="97">
        <v>5</v>
      </c>
      <c r="P940" s="97" t="s">
        <v>515</v>
      </c>
      <c r="Q940" s="97" t="str">
        <f t="shared" si="150"/>
        <v/>
      </c>
      <c r="R940" t="str">
        <f t="shared" si="151"/>
        <v/>
      </c>
    </row>
    <row r="941" spans="3:18">
      <c r="C941" t="str">
        <f t="shared" si="145"/>
        <v/>
      </c>
      <c r="D941" s="36">
        <v>162</v>
      </c>
      <c r="E941" s="97">
        <v>45</v>
      </c>
      <c r="F941" s="366">
        <f t="shared" si="148"/>
        <v>976.5</v>
      </c>
      <c r="G941" s="97">
        <v>2598</v>
      </c>
      <c r="H941" s="367">
        <f t="shared" si="149"/>
        <v>3574.5</v>
      </c>
      <c r="I941" s="368">
        <f t="shared" si="146"/>
        <v>0</v>
      </c>
      <c r="J941" s="97">
        <v>9800</v>
      </c>
      <c r="K941" s="367">
        <f t="shared" si="147"/>
        <v>7000</v>
      </c>
      <c r="L941" s="606">
        <v>0.63</v>
      </c>
      <c r="M941" s="97">
        <v>4.3999999999999995</v>
      </c>
      <c r="N941" s="605">
        <v>22</v>
      </c>
      <c r="O941" s="97">
        <v>6</v>
      </c>
      <c r="P941" s="97" t="s">
        <v>555</v>
      </c>
      <c r="Q941" s="97">
        <f t="shared" si="150"/>
        <v>162</v>
      </c>
      <c r="R941" t="str">
        <f t="shared" si="151"/>
        <v/>
      </c>
    </row>
    <row r="942" spans="3:18">
      <c r="C942" t="str">
        <f t="shared" si="145"/>
        <v/>
      </c>
      <c r="D942" s="36">
        <v>163</v>
      </c>
      <c r="E942" s="97">
        <v>45</v>
      </c>
      <c r="F942" s="366">
        <f t="shared" si="148"/>
        <v>976.5</v>
      </c>
      <c r="G942" s="97">
        <v>2360</v>
      </c>
      <c r="H942" s="367">
        <f t="shared" si="149"/>
        <v>3336.5</v>
      </c>
      <c r="I942" s="368">
        <f t="shared" si="146"/>
        <v>0</v>
      </c>
      <c r="J942" s="97">
        <v>8905</v>
      </c>
      <c r="K942" s="367">
        <f t="shared" si="147"/>
        <v>6360.7142857142862</v>
      </c>
      <c r="L942" s="606">
        <v>0.43</v>
      </c>
      <c r="M942" s="97">
        <v>4.3999999999999995</v>
      </c>
      <c r="N942" s="605">
        <v>23</v>
      </c>
      <c r="O942" s="97">
        <v>6</v>
      </c>
      <c r="P942" s="97" t="s">
        <v>514</v>
      </c>
      <c r="Q942" s="97">
        <f t="shared" si="150"/>
        <v>163</v>
      </c>
      <c r="R942" t="str">
        <f t="shared" si="151"/>
        <v/>
      </c>
    </row>
    <row r="943" spans="3:18">
      <c r="C943" t="str">
        <f t="shared" si="145"/>
        <v/>
      </c>
      <c r="D943" s="36">
        <v>164</v>
      </c>
      <c r="E943" s="97">
        <v>45</v>
      </c>
      <c r="F943" s="366">
        <f t="shared" si="148"/>
        <v>976.5</v>
      </c>
      <c r="G943" s="97">
        <v>1982</v>
      </c>
      <c r="H943" s="367">
        <f t="shared" si="149"/>
        <v>2958.5</v>
      </c>
      <c r="I943" s="368">
        <f t="shared" si="146"/>
        <v>0</v>
      </c>
      <c r="J943" s="97">
        <v>7479</v>
      </c>
      <c r="K943" s="367">
        <f t="shared" si="147"/>
        <v>5342.1428571428569</v>
      </c>
      <c r="L943" s="606">
        <v>0.21000000000000002</v>
      </c>
      <c r="M943" s="97">
        <v>4.3999999999999995</v>
      </c>
      <c r="N943" s="605">
        <v>18</v>
      </c>
      <c r="O943" s="97">
        <v>6</v>
      </c>
      <c r="P943" s="97" t="s">
        <v>556</v>
      </c>
      <c r="Q943" s="97" t="str">
        <f t="shared" si="150"/>
        <v/>
      </c>
      <c r="R943" t="str">
        <f t="shared" si="151"/>
        <v/>
      </c>
    </row>
    <row r="944" spans="3:18">
      <c r="C944" t="str">
        <f t="shared" si="145"/>
        <v>NL</v>
      </c>
      <c r="D944" s="36">
        <v>165</v>
      </c>
      <c r="E944" s="97">
        <v>45</v>
      </c>
      <c r="F944" s="366">
        <f t="shared" si="148"/>
        <v>976.5</v>
      </c>
      <c r="G944" s="97">
        <v>3622</v>
      </c>
      <c r="H944" s="367">
        <f t="shared" si="149"/>
        <v>4598.5</v>
      </c>
      <c r="I944" s="368">
        <f t="shared" si="146"/>
        <v>0</v>
      </c>
      <c r="J944" s="97">
        <v>13664</v>
      </c>
      <c r="K944" s="367">
        <f t="shared" si="147"/>
        <v>9760</v>
      </c>
      <c r="L944" s="606">
        <v>1.04</v>
      </c>
      <c r="M944" s="97">
        <v>5.0999999999999996</v>
      </c>
      <c r="N944" s="605">
        <v>26</v>
      </c>
      <c r="O944" s="97">
        <v>7</v>
      </c>
      <c r="P944" s="97" t="s">
        <v>513</v>
      </c>
      <c r="Q944" s="97" t="str">
        <f t="shared" si="150"/>
        <v/>
      </c>
      <c r="R944" t="str">
        <f t="shared" si="151"/>
        <v/>
      </c>
    </row>
    <row r="945" spans="3:18">
      <c r="C945" t="str">
        <f t="shared" si="145"/>
        <v>NL</v>
      </c>
      <c r="D945" s="36">
        <v>166</v>
      </c>
      <c r="E945" s="97">
        <v>45</v>
      </c>
      <c r="F945" s="366">
        <f t="shared" si="148"/>
        <v>976.5</v>
      </c>
      <c r="G945" s="97">
        <v>2800</v>
      </c>
      <c r="H945" s="367">
        <f t="shared" si="149"/>
        <v>3776.5</v>
      </c>
      <c r="I945" s="368">
        <f t="shared" si="146"/>
        <v>0</v>
      </c>
      <c r="J945" s="97">
        <v>10564</v>
      </c>
      <c r="K945" s="367">
        <f t="shared" si="147"/>
        <v>7545.7142857142862</v>
      </c>
      <c r="L945" s="606">
        <v>0.47000000000000003</v>
      </c>
      <c r="M945" s="97">
        <v>5.0999999999999996</v>
      </c>
      <c r="N945" s="605">
        <v>21</v>
      </c>
      <c r="O945" s="97">
        <v>7</v>
      </c>
      <c r="P945" s="97" t="s">
        <v>555</v>
      </c>
      <c r="Q945" s="97" t="str">
        <f t="shared" si="150"/>
        <v/>
      </c>
      <c r="R945" t="str">
        <f t="shared" si="151"/>
        <v/>
      </c>
    </row>
    <row r="946" spans="3:18">
      <c r="C946" t="str">
        <f t="shared" si="145"/>
        <v>NL</v>
      </c>
      <c r="D946" s="36">
        <v>167</v>
      </c>
      <c r="E946" s="97">
        <v>45</v>
      </c>
      <c r="F946" s="366">
        <f t="shared" si="148"/>
        <v>976.5</v>
      </c>
      <c r="G946" s="97">
        <v>2537</v>
      </c>
      <c r="H946" s="367">
        <f t="shared" si="149"/>
        <v>3513.5</v>
      </c>
      <c r="I946" s="368">
        <f t="shared" si="146"/>
        <v>0</v>
      </c>
      <c r="J946" s="97">
        <v>9574</v>
      </c>
      <c r="K946" s="367">
        <f t="shared" si="147"/>
        <v>6838.5714285714284</v>
      </c>
      <c r="L946" s="606">
        <v>0.32</v>
      </c>
      <c r="M946" s="97">
        <v>5.0999999999999996</v>
      </c>
      <c r="N946" s="605">
        <v>22</v>
      </c>
      <c r="O946" s="97">
        <v>7</v>
      </c>
      <c r="P946" s="97" t="s">
        <v>514</v>
      </c>
      <c r="Q946" s="97" t="str">
        <f t="shared" si="150"/>
        <v/>
      </c>
      <c r="R946" t="str">
        <f t="shared" si="151"/>
        <v/>
      </c>
    </row>
    <row r="947" spans="3:18">
      <c r="C947" t="str">
        <f t="shared" si="145"/>
        <v/>
      </c>
      <c r="D947" s="36">
        <v>168</v>
      </c>
      <c r="E947" s="97">
        <v>45</v>
      </c>
      <c r="F947" s="366">
        <f t="shared" si="148"/>
        <v>976.5</v>
      </c>
      <c r="G947" s="97">
        <v>3957</v>
      </c>
      <c r="H947" s="367">
        <f t="shared" si="149"/>
        <v>4933.5</v>
      </c>
      <c r="I947" s="368">
        <f t="shared" si="146"/>
        <v>0</v>
      </c>
      <c r="J947" s="97">
        <v>14927</v>
      </c>
      <c r="K947" s="367">
        <f t="shared" si="147"/>
        <v>10662.142857142857</v>
      </c>
      <c r="L947" s="606">
        <v>0.79</v>
      </c>
      <c r="M947" s="97">
        <v>5.8</v>
      </c>
      <c r="N947" s="605">
        <v>25</v>
      </c>
      <c r="O947" s="97">
        <v>8</v>
      </c>
      <c r="P947" s="97" t="s">
        <v>513</v>
      </c>
      <c r="Q947" s="97" t="str">
        <f t="shared" si="150"/>
        <v/>
      </c>
      <c r="R947" t="str">
        <f t="shared" si="151"/>
        <v/>
      </c>
    </row>
    <row r="948" spans="3:18">
      <c r="C948" t="str">
        <f t="shared" si="145"/>
        <v/>
      </c>
      <c r="D948" s="36">
        <v>169</v>
      </c>
      <c r="E948" s="97">
        <v>45</v>
      </c>
      <c r="F948" s="366">
        <f t="shared" si="148"/>
        <v>976.5</v>
      </c>
      <c r="G948" s="97">
        <v>3079</v>
      </c>
      <c r="H948" s="367">
        <f t="shared" si="149"/>
        <v>4055.5</v>
      </c>
      <c r="I948" s="368">
        <f t="shared" si="146"/>
        <v>0</v>
      </c>
      <c r="J948" s="97">
        <v>11616</v>
      </c>
      <c r="K948" s="367">
        <f t="shared" si="147"/>
        <v>8297.1428571428569</v>
      </c>
      <c r="L948" s="606">
        <v>0.37</v>
      </c>
      <c r="M948" s="97">
        <v>5.8</v>
      </c>
      <c r="N948" s="605">
        <v>20</v>
      </c>
      <c r="O948" s="97">
        <v>8</v>
      </c>
      <c r="P948" s="97" t="s">
        <v>555</v>
      </c>
      <c r="Q948" s="97">
        <f t="shared" si="150"/>
        <v>169</v>
      </c>
      <c r="R948" t="str">
        <f t="shared" si="151"/>
        <v/>
      </c>
    </row>
    <row r="949" spans="3:18">
      <c r="C949" t="str">
        <f t="shared" si="145"/>
        <v/>
      </c>
      <c r="D949" s="36">
        <v>170</v>
      </c>
      <c r="E949" s="97">
        <v>45</v>
      </c>
      <c r="F949" s="366">
        <f t="shared" si="148"/>
        <v>976.5</v>
      </c>
      <c r="G949" s="97">
        <v>2741</v>
      </c>
      <c r="H949" s="367">
        <f t="shared" si="149"/>
        <v>3717.5</v>
      </c>
      <c r="I949" s="368">
        <f t="shared" si="146"/>
        <v>0</v>
      </c>
      <c r="J949" s="97">
        <v>10342</v>
      </c>
      <c r="K949" s="367">
        <f t="shared" si="147"/>
        <v>7387.1428571428569</v>
      </c>
      <c r="L949" s="606">
        <v>0.25</v>
      </c>
      <c r="M949" s="97">
        <v>5.8</v>
      </c>
      <c r="N949" s="605">
        <v>21</v>
      </c>
      <c r="O949" s="97">
        <v>8</v>
      </c>
      <c r="P949" s="97" t="s">
        <v>514</v>
      </c>
      <c r="Q949" s="97">
        <f t="shared" si="150"/>
        <v>170</v>
      </c>
      <c r="R949" t="str">
        <f t="shared" si="151"/>
        <v/>
      </c>
    </row>
    <row r="950" spans="3:18">
      <c r="C950" t="str">
        <f t="shared" si="145"/>
        <v>NL</v>
      </c>
      <c r="D950" s="36">
        <v>171</v>
      </c>
      <c r="E950" s="97">
        <v>45</v>
      </c>
      <c r="F950" s="366">
        <f t="shared" si="148"/>
        <v>976.5</v>
      </c>
      <c r="G950" s="97">
        <v>4038</v>
      </c>
      <c r="H950" s="367">
        <f t="shared" si="149"/>
        <v>5014.5</v>
      </c>
      <c r="I950" s="368">
        <f t="shared" si="146"/>
        <v>0</v>
      </c>
      <c r="J950" s="97">
        <v>15233</v>
      </c>
      <c r="K950" s="367">
        <f t="shared" si="147"/>
        <v>10880.714285714286</v>
      </c>
      <c r="L950" s="606">
        <v>0.63</v>
      </c>
      <c r="M950" s="97">
        <v>3.3000000000000003</v>
      </c>
      <c r="N950" s="605">
        <v>24</v>
      </c>
      <c r="O950" s="97">
        <v>9</v>
      </c>
      <c r="P950" s="97" t="s">
        <v>513</v>
      </c>
      <c r="Q950" s="97" t="str">
        <f t="shared" si="150"/>
        <v/>
      </c>
      <c r="R950" t="str">
        <f t="shared" si="151"/>
        <v/>
      </c>
    </row>
    <row r="951" spans="3:18">
      <c r="C951" t="str">
        <f t="shared" si="145"/>
        <v>NL</v>
      </c>
      <c r="D951" s="36">
        <v>172</v>
      </c>
      <c r="E951" s="97">
        <v>45</v>
      </c>
      <c r="F951" s="366">
        <f t="shared" si="148"/>
        <v>976.5</v>
      </c>
      <c r="G951" s="97">
        <v>3154</v>
      </c>
      <c r="H951" s="367">
        <f t="shared" si="149"/>
        <v>4130.5</v>
      </c>
      <c r="I951" s="368">
        <f t="shared" si="146"/>
        <v>0</v>
      </c>
      <c r="J951" s="97">
        <v>11898</v>
      </c>
      <c r="K951" s="367">
        <f t="shared" si="147"/>
        <v>8498.5714285714294</v>
      </c>
      <c r="L951" s="606">
        <v>0.3</v>
      </c>
      <c r="M951" s="97">
        <v>2.6</v>
      </c>
      <c r="N951" s="605">
        <v>19</v>
      </c>
      <c r="O951" s="97">
        <v>9</v>
      </c>
      <c r="P951" s="97" t="s">
        <v>555</v>
      </c>
      <c r="Q951" s="97" t="str">
        <f t="shared" si="150"/>
        <v/>
      </c>
      <c r="R951" t="str">
        <f t="shared" si="151"/>
        <v/>
      </c>
    </row>
    <row r="952" spans="3:18">
      <c r="C952" t="str">
        <f t="shared" si="145"/>
        <v>NL</v>
      </c>
      <c r="D952" s="36">
        <v>173</v>
      </c>
      <c r="E952" s="97">
        <v>45</v>
      </c>
      <c r="F952" s="366">
        <f t="shared" si="148"/>
        <v>976.5</v>
      </c>
      <c r="G952" s="97">
        <v>2815</v>
      </c>
      <c r="H952" s="367">
        <f t="shared" si="149"/>
        <v>3791.5</v>
      </c>
      <c r="I952" s="368">
        <f t="shared" si="146"/>
        <v>0</v>
      </c>
      <c r="J952" s="97">
        <v>10620</v>
      </c>
      <c r="K952" s="367">
        <f t="shared" si="147"/>
        <v>7585.7142857142862</v>
      </c>
      <c r="L952" s="606">
        <v>0.21000000000000002</v>
      </c>
      <c r="M952" s="97">
        <v>2.3000000000000003</v>
      </c>
      <c r="N952" s="605">
        <v>21</v>
      </c>
      <c r="O952" s="97">
        <v>9</v>
      </c>
      <c r="P952" s="97" t="s">
        <v>514</v>
      </c>
      <c r="Q952" s="97" t="str">
        <f t="shared" si="150"/>
        <v/>
      </c>
      <c r="R952" t="str">
        <f t="shared" si="151"/>
        <v/>
      </c>
    </row>
    <row r="953" spans="3:18">
      <c r="C953" t="str">
        <f t="shared" si="145"/>
        <v/>
      </c>
      <c r="D953" s="36">
        <v>174</v>
      </c>
      <c r="E953" s="97">
        <v>45</v>
      </c>
      <c r="F953" s="366">
        <f t="shared" si="148"/>
        <v>976.5</v>
      </c>
      <c r="G953" s="97">
        <v>4956</v>
      </c>
      <c r="H953" s="367">
        <f t="shared" si="149"/>
        <v>5932.5</v>
      </c>
      <c r="I953" s="368">
        <f t="shared" si="146"/>
        <v>0</v>
      </c>
      <c r="J953" s="97">
        <v>18698</v>
      </c>
      <c r="K953" s="367">
        <f t="shared" si="147"/>
        <v>13355.714285714286</v>
      </c>
      <c r="L953" s="606">
        <v>1.02</v>
      </c>
      <c r="M953" s="97">
        <v>4</v>
      </c>
      <c r="N953" s="605">
        <v>24</v>
      </c>
      <c r="O953" s="97">
        <v>10</v>
      </c>
      <c r="P953" s="97" t="s">
        <v>512</v>
      </c>
      <c r="Q953" s="97" t="str">
        <f t="shared" si="150"/>
        <v/>
      </c>
      <c r="R953" t="str">
        <f t="shared" si="151"/>
        <v/>
      </c>
    </row>
    <row r="954" spans="3:18">
      <c r="C954" t="str">
        <f t="shared" si="145"/>
        <v/>
      </c>
      <c r="D954" s="36">
        <v>175</v>
      </c>
      <c r="E954" s="97">
        <v>45</v>
      </c>
      <c r="F954" s="366">
        <f t="shared" si="148"/>
        <v>976.5</v>
      </c>
      <c r="G954" s="97">
        <v>4141</v>
      </c>
      <c r="H954" s="367">
        <f t="shared" si="149"/>
        <v>5117.5</v>
      </c>
      <c r="I954" s="368">
        <f t="shared" si="146"/>
        <v>0</v>
      </c>
      <c r="J954" s="97">
        <v>15622</v>
      </c>
      <c r="K954" s="367">
        <f t="shared" si="147"/>
        <v>11158.571428571429</v>
      </c>
      <c r="L954" s="606">
        <v>0.52</v>
      </c>
      <c r="M954" s="97">
        <v>3.4</v>
      </c>
      <c r="N954" s="605">
        <v>23</v>
      </c>
      <c r="O954" s="97">
        <v>10</v>
      </c>
      <c r="P954" s="97" t="s">
        <v>513</v>
      </c>
      <c r="Q954" s="97" t="str">
        <f t="shared" si="150"/>
        <v/>
      </c>
      <c r="R954" t="str">
        <f t="shared" si="151"/>
        <v/>
      </c>
    </row>
    <row r="955" spans="3:18">
      <c r="C955" t="str">
        <f t="shared" si="145"/>
        <v/>
      </c>
      <c r="D955" s="36">
        <v>176</v>
      </c>
      <c r="E955" s="97">
        <v>45</v>
      </c>
      <c r="F955" s="366">
        <f t="shared" si="148"/>
        <v>976.5</v>
      </c>
      <c r="G955" s="97">
        <v>3228</v>
      </c>
      <c r="H955" s="367">
        <f t="shared" si="149"/>
        <v>4204.5</v>
      </c>
      <c r="I955" s="368">
        <f t="shared" si="146"/>
        <v>0</v>
      </c>
      <c r="J955" s="97">
        <v>12178</v>
      </c>
      <c r="K955" s="367">
        <f t="shared" si="147"/>
        <v>8698.5714285714294</v>
      </c>
      <c r="L955" s="606">
        <v>0.24000000000000002</v>
      </c>
      <c r="M955" s="97">
        <v>2.6</v>
      </c>
      <c r="N955" s="605">
        <v>18</v>
      </c>
      <c r="O955" s="97">
        <v>10</v>
      </c>
      <c r="P955" s="97" t="s">
        <v>555</v>
      </c>
      <c r="Q955" s="97" t="str">
        <f t="shared" si="150"/>
        <v/>
      </c>
      <c r="R955" t="str">
        <f t="shared" si="151"/>
        <v/>
      </c>
    </row>
    <row r="956" spans="3:18">
      <c r="C956" t="str">
        <f t="shared" si="145"/>
        <v/>
      </c>
      <c r="D956" s="36">
        <v>177</v>
      </c>
      <c r="E956" s="97">
        <v>45</v>
      </c>
      <c r="F956" s="366">
        <f t="shared" si="148"/>
        <v>976.5</v>
      </c>
      <c r="G956" s="97">
        <v>2833</v>
      </c>
      <c r="H956" s="367">
        <f t="shared" si="149"/>
        <v>3809.5</v>
      </c>
      <c r="I956" s="368">
        <f t="shared" si="146"/>
        <v>0</v>
      </c>
      <c r="J956" s="97">
        <v>10690</v>
      </c>
      <c r="K956" s="367">
        <f t="shared" si="147"/>
        <v>7635.7142857142862</v>
      </c>
      <c r="L956" s="606">
        <v>0.17</v>
      </c>
      <c r="M956" s="97">
        <v>2.3000000000000003</v>
      </c>
      <c r="N956" s="605">
        <v>20</v>
      </c>
      <c r="O956" s="97">
        <v>10</v>
      </c>
      <c r="P956" s="97" t="s">
        <v>514</v>
      </c>
      <c r="Q956" s="97" t="str">
        <f t="shared" si="150"/>
        <v/>
      </c>
      <c r="R956" t="str">
        <f t="shared" si="151"/>
        <v/>
      </c>
    </row>
    <row r="957" spans="3:18">
      <c r="C957" t="str">
        <f t="shared" si="145"/>
        <v>NL</v>
      </c>
      <c r="D957" s="36">
        <v>178</v>
      </c>
      <c r="E957" s="97">
        <v>50</v>
      </c>
      <c r="F957" s="366">
        <f t="shared" si="148"/>
        <v>1085</v>
      </c>
      <c r="G957" s="97">
        <v>2098</v>
      </c>
      <c r="H957" s="367">
        <f t="shared" si="149"/>
        <v>3183</v>
      </c>
      <c r="I957" s="368">
        <f t="shared" si="146"/>
        <v>0</v>
      </c>
      <c r="J957" s="97">
        <v>7917</v>
      </c>
      <c r="K957" s="367">
        <f t="shared" si="147"/>
        <v>5655</v>
      </c>
      <c r="L957" s="606">
        <v>1</v>
      </c>
      <c r="M957" s="97">
        <v>2.4</v>
      </c>
      <c r="N957" s="605">
        <v>24</v>
      </c>
      <c r="O957" s="97">
        <v>3</v>
      </c>
      <c r="P957" s="97" t="s">
        <v>556</v>
      </c>
      <c r="Q957" s="97" t="str">
        <f t="shared" si="150"/>
        <v/>
      </c>
      <c r="R957" t="str">
        <f t="shared" si="151"/>
        <v/>
      </c>
    </row>
    <row r="958" spans="3:18">
      <c r="C958" t="str">
        <f t="shared" si="145"/>
        <v>NL</v>
      </c>
      <c r="D958" s="36">
        <v>179</v>
      </c>
      <c r="E958" s="97">
        <v>50</v>
      </c>
      <c r="F958" s="366">
        <f t="shared" si="148"/>
        <v>1085</v>
      </c>
      <c r="G958" s="97">
        <v>1675</v>
      </c>
      <c r="H958" s="367">
        <f t="shared" si="149"/>
        <v>2760</v>
      </c>
      <c r="I958" s="368">
        <f t="shared" si="146"/>
        <v>0</v>
      </c>
      <c r="J958" s="97">
        <v>6318</v>
      </c>
      <c r="K958" s="367">
        <f t="shared" si="147"/>
        <v>4512.8571428571431</v>
      </c>
      <c r="L958" s="606">
        <v>0.59</v>
      </c>
      <c r="M958" s="97">
        <v>2.4</v>
      </c>
      <c r="N958" s="605">
        <v>22</v>
      </c>
      <c r="O958" s="97">
        <v>3</v>
      </c>
      <c r="P958" s="97" t="s">
        <v>515</v>
      </c>
      <c r="Q958" s="97" t="str">
        <f t="shared" si="150"/>
        <v/>
      </c>
      <c r="R958" t="str">
        <f t="shared" si="151"/>
        <v/>
      </c>
    </row>
    <row r="959" spans="3:18">
      <c r="C959" t="str">
        <f t="shared" si="145"/>
        <v/>
      </c>
      <c r="D959" s="36">
        <v>180</v>
      </c>
      <c r="E959" s="97">
        <v>50</v>
      </c>
      <c r="F959" s="366">
        <f t="shared" si="148"/>
        <v>1085</v>
      </c>
      <c r="G959" s="97">
        <v>1956</v>
      </c>
      <c r="H959" s="367">
        <f t="shared" si="149"/>
        <v>3041</v>
      </c>
      <c r="I959" s="368">
        <f t="shared" si="146"/>
        <v>0</v>
      </c>
      <c r="J959" s="97">
        <v>7380</v>
      </c>
      <c r="K959" s="367">
        <f t="shared" si="147"/>
        <v>5271.4285714285716</v>
      </c>
      <c r="L959" s="606">
        <v>0.56000000000000005</v>
      </c>
      <c r="M959" s="97">
        <v>3.1</v>
      </c>
      <c r="N959" s="605">
        <v>22</v>
      </c>
      <c r="O959" s="97">
        <v>4</v>
      </c>
      <c r="P959" s="97" t="s">
        <v>556</v>
      </c>
      <c r="Q959" s="97">
        <f t="shared" si="150"/>
        <v>180</v>
      </c>
      <c r="R959" t="str">
        <f t="shared" si="151"/>
        <v/>
      </c>
    </row>
    <row r="960" spans="3:18">
      <c r="C960" t="str">
        <f t="shared" si="145"/>
        <v/>
      </c>
      <c r="D960" s="36">
        <v>181</v>
      </c>
      <c r="E960" s="97">
        <v>50</v>
      </c>
      <c r="F960" s="366">
        <f t="shared" si="148"/>
        <v>1085</v>
      </c>
      <c r="G960" s="97">
        <v>1763</v>
      </c>
      <c r="H960" s="367">
        <f t="shared" si="149"/>
        <v>2848</v>
      </c>
      <c r="I960" s="368">
        <f t="shared" si="146"/>
        <v>0</v>
      </c>
      <c r="J960" s="97">
        <v>6651</v>
      </c>
      <c r="K960" s="367">
        <f t="shared" si="147"/>
        <v>4750.7142857142862</v>
      </c>
      <c r="L960" s="606">
        <v>0.34</v>
      </c>
      <c r="M960" s="97">
        <v>3.1</v>
      </c>
      <c r="N960" s="605">
        <v>19</v>
      </c>
      <c r="O960" s="97">
        <v>4</v>
      </c>
      <c r="P960" s="97" t="s">
        <v>515</v>
      </c>
      <c r="Q960" s="97" t="str">
        <f t="shared" si="150"/>
        <v/>
      </c>
      <c r="R960" t="str">
        <f t="shared" si="151"/>
        <v/>
      </c>
    </row>
    <row r="961" spans="3:18">
      <c r="C961" t="str">
        <f t="shared" si="145"/>
        <v>NL</v>
      </c>
      <c r="D961" s="36">
        <v>182</v>
      </c>
      <c r="E961" s="97">
        <v>50</v>
      </c>
      <c r="F961" s="366">
        <f t="shared" si="148"/>
        <v>1085</v>
      </c>
      <c r="G961" s="97">
        <v>2517</v>
      </c>
      <c r="H961" s="367">
        <f t="shared" si="149"/>
        <v>3602</v>
      </c>
      <c r="I961" s="368">
        <f t="shared" si="146"/>
        <v>0</v>
      </c>
      <c r="J961" s="97">
        <v>9496</v>
      </c>
      <c r="K961" s="367">
        <f t="shared" si="147"/>
        <v>6782.8571428571431</v>
      </c>
      <c r="L961" s="606">
        <v>0.76</v>
      </c>
      <c r="M961" s="97">
        <v>3.8000000000000003</v>
      </c>
      <c r="N961" s="605">
        <v>26</v>
      </c>
      <c r="O961" s="97">
        <v>5</v>
      </c>
      <c r="P961" s="97" t="s">
        <v>514</v>
      </c>
      <c r="Q961" s="97" t="str">
        <f t="shared" si="150"/>
        <v/>
      </c>
      <c r="R961" t="str">
        <f t="shared" si="151"/>
        <v/>
      </c>
    </row>
    <row r="962" spans="3:18">
      <c r="C962" t="str">
        <f t="shared" si="145"/>
        <v>NL</v>
      </c>
      <c r="D962" s="36">
        <v>183</v>
      </c>
      <c r="E962" s="97">
        <v>50</v>
      </c>
      <c r="F962" s="366">
        <f t="shared" si="148"/>
        <v>1085</v>
      </c>
      <c r="G962" s="97">
        <v>2114</v>
      </c>
      <c r="H962" s="367">
        <f t="shared" si="149"/>
        <v>3199</v>
      </c>
      <c r="I962" s="368">
        <f t="shared" si="146"/>
        <v>0</v>
      </c>
      <c r="J962" s="97">
        <v>7974</v>
      </c>
      <c r="K962" s="367">
        <f t="shared" si="147"/>
        <v>5695.7142857142862</v>
      </c>
      <c r="L962" s="606">
        <v>0.37</v>
      </c>
      <c r="M962" s="97">
        <v>3.8000000000000003</v>
      </c>
      <c r="N962" s="605">
        <v>21</v>
      </c>
      <c r="O962" s="97">
        <v>5</v>
      </c>
      <c r="P962" s="97" t="s">
        <v>556</v>
      </c>
      <c r="Q962" s="97" t="str">
        <f t="shared" si="150"/>
        <v/>
      </c>
      <c r="R962" t="str">
        <f t="shared" si="151"/>
        <v/>
      </c>
    </row>
    <row r="963" spans="3:18">
      <c r="C963" t="str">
        <f t="shared" si="145"/>
        <v>NL</v>
      </c>
      <c r="D963" s="36">
        <v>184</v>
      </c>
      <c r="E963" s="97">
        <v>50</v>
      </c>
      <c r="F963" s="366">
        <f t="shared" si="148"/>
        <v>1085</v>
      </c>
      <c r="G963" s="97">
        <v>1803</v>
      </c>
      <c r="H963" s="367">
        <f t="shared" si="149"/>
        <v>2888</v>
      </c>
      <c r="I963" s="368">
        <f t="shared" si="146"/>
        <v>0</v>
      </c>
      <c r="J963" s="97">
        <v>6802</v>
      </c>
      <c r="K963" s="367">
        <f t="shared" si="147"/>
        <v>4858.5714285714284</v>
      </c>
      <c r="L963" s="606">
        <v>0.23</v>
      </c>
      <c r="M963" s="97">
        <v>3.8000000000000003</v>
      </c>
      <c r="N963" s="605">
        <v>19</v>
      </c>
      <c r="O963" s="97">
        <v>5</v>
      </c>
      <c r="P963" s="97" t="s">
        <v>515</v>
      </c>
      <c r="Q963" s="97" t="str">
        <f t="shared" si="150"/>
        <v/>
      </c>
      <c r="R963" t="str">
        <f t="shared" si="151"/>
        <v/>
      </c>
    </row>
    <row r="964" spans="3:18">
      <c r="C964" t="str">
        <f t="shared" si="145"/>
        <v/>
      </c>
      <c r="D964" s="36">
        <v>185</v>
      </c>
      <c r="E964" s="97">
        <v>50</v>
      </c>
      <c r="F964" s="366">
        <f t="shared" si="148"/>
        <v>1085</v>
      </c>
      <c r="G964" s="97">
        <v>2838</v>
      </c>
      <c r="H964" s="367">
        <f t="shared" si="149"/>
        <v>3923</v>
      </c>
      <c r="I964" s="368">
        <f t="shared" si="146"/>
        <v>0</v>
      </c>
      <c r="J964" s="97">
        <v>10708</v>
      </c>
      <c r="K964" s="367">
        <f t="shared" si="147"/>
        <v>7648.5714285714284</v>
      </c>
      <c r="L964" s="606">
        <v>0.78</v>
      </c>
      <c r="M964" s="97">
        <v>4.3999999999999995</v>
      </c>
      <c r="N964" s="605">
        <v>23</v>
      </c>
      <c r="O964" s="97">
        <v>6</v>
      </c>
      <c r="P964" s="97" t="s">
        <v>555</v>
      </c>
      <c r="Q964" s="97" t="str">
        <f t="shared" si="150"/>
        <v/>
      </c>
      <c r="R964" t="str">
        <f t="shared" si="151"/>
        <v/>
      </c>
    </row>
    <row r="965" spans="3:18">
      <c r="C965" t="str">
        <f t="shared" si="145"/>
        <v/>
      </c>
      <c r="D965" s="36">
        <v>186</v>
      </c>
      <c r="E965" s="97">
        <v>50</v>
      </c>
      <c r="F965" s="366">
        <f t="shared" si="148"/>
        <v>1085</v>
      </c>
      <c r="G965" s="97">
        <v>2586</v>
      </c>
      <c r="H965" s="367">
        <f t="shared" si="149"/>
        <v>3671</v>
      </c>
      <c r="I965" s="368">
        <f t="shared" si="146"/>
        <v>0</v>
      </c>
      <c r="J965" s="97">
        <v>9757</v>
      </c>
      <c r="K965" s="367">
        <f t="shared" si="147"/>
        <v>6969.2857142857147</v>
      </c>
      <c r="L965" s="606">
        <v>0.53</v>
      </c>
      <c r="M965" s="97">
        <v>4.3999999999999995</v>
      </c>
      <c r="N965" s="605">
        <v>24</v>
      </c>
      <c r="O965" s="97">
        <v>6</v>
      </c>
      <c r="P965" s="97" t="s">
        <v>514</v>
      </c>
      <c r="Q965" s="97">
        <f t="shared" si="150"/>
        <v>186</v>
      </c>
      <c r="R965" t="str">
        <f t="shared" si="151"/>
        <v/>
      </c>
    </row>
    <row r="966" spans="3:18">
      <c r="C966" t="str">
        <f t="shared" si="145"/>
        <v/>
      </c>
      <c r="D966" s="36">
        <v>187</v>
      </c>
      <c r="E966" s="97">
        <v>50</v>
      </c>
      <c r="F966" s="366">
        <f t="shared" si="148"/>
        <v>1085</v>
      </c>
      <c r="G966" s="97">
        <v>2124</v>
      </c>
      <c r="H966" s="367">
        <f t="shared" si="149"/>
        <v>3209</v>
      </c>
      <c r="I966" s="368">
        <f t="shared" si="146"/>
        <v>0</v>
      </c>
      <c r="J966" s="97">
        <v>8014</v>
      </c>
      <c r="K966" s="367">
        <f t="shared" si="147"/>
        <v>5724.2857142857147</v>
      </c>
      <c r="L966" s="606">
        <v>0.26</v>
      </c>
      <c r="M966" s="97">
        <v>4.3999999999999995</v>
      </c>
      <c r="N966" s="605">
        <v>19</v>
      </c>
      <c r="O966" s="97">
        <v>6</v>
      </c>
      <c r="P966" s="97" t="s">
        <v>556</v>
      </c>
      <c r="Q966" s="97">
        <f t="shared" si="150"/>
        <v>187</v>
      </c>
      <c r="R966" t="str">
        <f t="shared" si="151"/>
        <v/>
      </c>
    </row>
    <row r="967" spans="3:18">
      <c r="C967" t="str">
        <f t="shared" si="145"/>
        <v>NL</v>
      </c>
      <c r="D967" s="36">
        <v>188</v>
      </c>
      <c r="E967" s="97">
        <v>50</v>
      </c>
      <c r="F967" s="366">
        <f t="shared" si="148"/>
        <v>1085</v>
      </c>
      <c r="G967" s="97">
        <v>2996</v>
      </c>
      <c r="H967" s="367">
        <f t="shared" si="149"/>
        <v>4081</v>
      </c>
      <c r="I967" s="368">
        <f t="shared" si="146"/>
        <v>0</v>
      </c>
      <c r="J967" s="97">
        <v>11303</v>
      </c>
      <c r="K967" s="367">
        <f t="shared" si="147"/>
        <v>8073.5714285714284</v>
      </c>
      <c r="L967" s="606">
        <v>0.57999999999999996</v>
      </c>
      <c r="M967" s="97">
        <v>5.0999999999999996</v>
      </c>
      <c r="N967" s="605">
        <v>22</v>
      </c>
      <c r="O967" s="97">
        <v>7</v>
      </c>
      <c r="P967" s="97" t="s">
        <v>555</v>
      </c>
      <c r="Q967" s="97" t="str">
        <f t="shared" si="150"/>
        <v/>
      </c>
      <c r="R967" t="str">
        <f t="shared" si="151"/>
        <v/>
      </c>
    </row>
    <row r="968" spans="3:18">
      <c r="C968" t="str">
        <f t="shared" si="145"/>
        <v>NL</v>
      </c>
      <c r="D968" s="36">
        <v>189</v>
      </c>
      <c r="E968" s="97">
        <v>50</v>
      </c>
      <c r="F968" s="366">
        <f t="shared" si="148"/>
        <v>1085</v>
      </c>
      <c r="G968" s="97">
        <v>2722</v>
      </c>
      <c r="H968" s="367">
        <f t="shared" si="149"/>
        <v>3807</v>
      </c>
      <c r="I968" s="368">
        <f t="shared" si="146"/>
        <v>0</v>
      </c>
      <c r="J968" s="97">
        <v>10270</v>
      </c>
      <c r="K968" s="367">
        <f t="shared" si="147"/>
        <v>7335.7142857142862</v>
      </c>
      <c r="L968" s="606">
        <v>0.39</v>
      </c>
      <c r="M968" s="97">
        <v>5.0999999999999996</v>
      </c>
      <c r="N968" s="605">
        <v>23</v>
      </c>
      <c r="O968" s="97">
        <v>7</v>
      </c>
      <c r="P968" s="97" t="s">
        <v>514</v>
      </c>
      <c r="Q968" s="97" t="str">
        <f t="shared" si="150"/>
        <v/>
      </c>
      <c r="R968" t="str">
        <f t="shared" si="151"/>
        <v/>
      </c>
    </row>
    <row r="969" spans="3:18">
      <c r="C969" t="str">
        <f t="shared" si="145"/>
        <v>NL</v>
      </c>
      <c r="D969" s="36">
        <v>190</v>
      </c>
      <c r="E969" s="97">
        <v>50</v>
      </c>
      <c r="F969" s="366">
        <f t="shared" si="148"/>
        <v>1085</v>
      </c>
      <c r="G969" s="97">
        <v>2391</v>
      </c>
      <c r="H969" s="367">
        <f t="shared" si="149"/>
        <v>3476</v>
      </c>
      <c r="I969" s="368">
        <f t="shared" si="146"/>
        <v>0</v>
      </c>
      <c r="J969" s="97">
        <v>9022</v>
      </c>
      <c r="K969" s="367">
        <f t="shared" si="147"/>
        <v>6444.2857142857147</v>
      </c>
      <c r="L969" s="606">
        <v>0.19</v>
      </c>
      <c r="M969" s="97">
        <v>5.0999999999999996</v>
      </c>
      <c r="N969" s="605">
        <v>18</v>
      </c>
      <c r="O969" s="97">
        <v>7</v>
      </c>
      <c r="P969" s="97" t="s">
        <v>556</v>
      </c>
      <c r="Q969" s="97" t="str">
        <f t="shared" si="150"/>
        <v/>
      </c>
      <c r="R969" t="str">
        <f t="shared" si="151"/>
        <v/>
      </c>
    </row>
    <row r="970" spans="3:18">
      <c r="C970" t="str">
        <f t="shared" ref="C970:C1033" si="152">IF(OR($O$4=0,O970-$O$4=0),IF(AND(ISEVEN(O970)=FALSE,$N$4="Even"),"NL",""),"NL")</f>
        <v/>
      </c>
      <c r="D970" s="36">
        <v>191</v>
      </c>
      <c r="E970" s="97">
        <v>50</v>
      </c>
      <c r="F970" s="366">
        <f t="shared" si="148"/>
        <v>1085</v>
      </c>
      <c r="G970" s="97">
        <v>4162</v>
      </c>
      <c r="H970" s="367">
        <f t="shared" si="149"/>
        <v>5247</v>
      </c>
      <c r="I970" s="368">
        <f t="shared" ref="I970:I1033" si="153">1.085*($C$2-$D$2)*E970*$T$7</f>
        <v>0</v>
      </c>
      <c r="J970" s="97">
        <v>15703</v>
      </c>
      <c r="K970" s="367">
        <f t="shared" ref="K970:K1033" si="154">(J970*$V$7)-I970</f>
        <v>11216.428571428572</v>
      </c>
      <c r="L970" s="606">
        <v>0.98</v>
      </c>
      <c r="M970" s="97">
        <v>5.8</v>
      </c>
      <c r="N970" s="605">
        <v>26</v>
      </c>
      <c r="O970" s="97">
        <v>8</v>
      </c>
      <c r="P970" s="97" t="s">
        <v>513</v>
      </c>
      <c r="Q970" s="97" t="str">
        <f t="shared" si="150"/>
        <v/>
      </c>
      <c r="R970" t="str">
        <f t="shared" si="151"/>
        <v/>
      </c>
    </row>
    <row r="971" spans="3:18">
      <c r="C971" t="str">
        <f t="shared" si="152"/>
        <v/>
      </c>
      <c r="D971" s="36">
        <v>192</v>
      </c>
      <c r="E971" s="97">
        <v>50</v>
      </c>
      <c r="F971" s="366">
        <f t="shared" si="148"/>
        <v>1085</v>
      </c>
      <c r="G971" s="97">
        <v>3323</v>
      </c>
      <c r="H971" s="367">
        <f t="shared" si="149"/>
        <v>4408</v>
      </c>
      <c r="I971" s="368">
        <f t="shared" si="153"/>
        <v>0</v>
      </c>
      <c r="J971" s="97">
        <v>12539</v>
      </c>
      <c r="K971" s="367">
        <f t="shared" si="154"/>
        <v>8956.4285714285725</v>
      </c>
      <c r="L971" s="606">
        <v>0.46</v>
      </c>
      <c r="M971" s="97">
        <v>5.8</v>
      </c>
      <c r="N971" s="605">
        <v>21</v>
      </c>
      <c r="O971" s="97">
        <v>8</v>
      </c>
      <c r="P971" s="97" t="s">
        <v>555</v>
      </c>
      <c r="Q971" s="97">
        <f t="shared" si="150"/>
        <v>192</v>
      </c>
      <c r="R971" t="str">
        <f t="shared" si="151"/>
        <v/>
      </c>
    </row>
    <row r="972" spans="3:18">
      <c r="C972" t="str">
        <f t="shared" si="152"/>
        <v/>
      </c>
      <c r="D972" s="36">
        <v>193</v>
      </c>
      <c r="E972" s="97">
        <v>50</v>
      </c>
      <c r="F972" s="366">
        <f t="shared" ref="F972:F1035" si="155">1.085*($A$2-$B$2)*E972*$T$7</f>
        <v>1085</v>
      </c>
      <c r="G972" s="97">
        <v>2955</v>
      </c>
      <c r="H972" s="367">
        <f t="shared" ref="H972:H1035" si="156">(G972*$U$7)+F972</f>
        <v>4040</v>
      </c>
      <c r="I972" s="368">
        <f t="shared" si="153"/>
        <v>0</v>
      </c>
      <c r="J972" s="97">
        <v>11147</v>
      </c>
      <c r="K972" s="367">
        <f t="shared" si="154"/>
        <v>7962.1428571428569</v>
      </c>
      <c r="L972" s="606">
        <v>0.31</v>
      </c>
      <c r="M972" s="97">
        <v>5.8</v>
      </c>
      <c r="N972" s="605">
        <v>23</v>
      </c>
      <c r="O972" s="97">
        <v>8</v>
      </c>
      <c r="P972" s="97" t="s">
        <v>514</v>
      </c>
      <c r="Q972" s="97">
        <f t="shared" ref="Q972:Q1035" si="157">IF(AND(H972+1&gt;$E$4,L972&lt;$L$4+0.01,M972&lt;$M$4+0.01,K972+1&gt;$F$4,E972+1&gt;$J$4,N972&lt;$K$4+1,O972&lt;$P$4+1,C972=""),D972,"")</f>
        <v>193</v>
      </c>
      <c r="R972" t="str">
        <f t="shared" ref="R972:R1035" si="158">IF(Q972="","",IF(AND(O972&lt;$X$15,E972&gt;$U$15,E972&lt;$Q$4+$U$15+1),D972,""))</f>
        <v/>
      </c>
    </row>
    <row r="973" spans="3:18">
      <c r="C973" t="str">
        <f t="shared" si="152"/>
        <v>NL</v>
      </c>
      <c r="D973" s="36">
        <v>194</v>
      </c>
      <c r="E973" s="97">
        <v>50</v>
      </c>
      <c r="F973" s="366">
        <f t="shared" si="155"/>
        <v>1085</v>
      </c>
      <c r="G973" s="97">
        <v>4354</v>
      </c>
      <c r="H973" s="367">
        <f t="shared" si="156"/>
        <v>5439</v>
      </c>
      <c r="I973" s="368">
        <f t="shared" si="153"/>
        <v>0</v>
      </c>
      <c r="J973" s="97">
        <v>16425</v>
      </c>
      <c r="K973" s="367">
        <f t="shared" si="154"/>
        <v>11732.142857142857</v>
      </c>
      <c r="L973" s="606">
        <v>0.78</v>
      </c>
      <c r="M973" s="97">
        <v>3.5</v>
      </c>
      <c r="N973" s="605">
        <v>25</v>
      </c>
      <c r="O973" s="97">
        <v>9</v>
      </c>
      <c r="P973" s="97" t="s">
        <v>513</v>
      </c>
      <c r="Q973" s="97" t="str">
        <f t="shared" si="157"/>
        <v/>
      </c>
      <c r="R973" t="str">
        <f t="shared" si="158"/>
        <v/>
      </c>
    </row>
    <row r="974" spans="3:18">
      <c r="C974" t="str">
        <f t="shared" si="152"/>
        <v>NL</v>
      </c>
      <c r="D974" s="36">
        <v>195</v>
      </c>
      <c r="E974" s="97">
        <v>50</v>
      </c>
      <c r="F974" s="366">
        <f t="shared" si="155"/>
        <v>1085</v>
      </c>
      <c r="G974" s="97">
        <v>3392</v>
      </c>
      <c r="H974" s="367">
        <f t="shared" si="156"/>
        <v>4477</v>
      </c>
      <c r="I974" s="368">
        <f t="shared" si="153"/>
        <v>0</v>
      </c>
      <c r="J974" s="97">
        <v>12798</v>
      </c>
      <c r="K974" s="367">
        <f t="shared" si="154"/>
        <v>9141.4285714285725</v>
      </c>
      <c r="L974" s="606">
        <v>0.36</v>
      </c>
      <c r="M974" s="97">
        <v>2.8000000000000003</v>
      </c>
      <c r="N974" s="605">
        <v>20</v>
      </c>
      <c r="O974" s="97">
        <v>9</v>
      </c>
      <c r="P974" s="97" t="s">
        <v>555</v>
      </c>
      <c r="Q974" s="97" t="str">
        <f t="shared" si="157"/>
        <v/>
      </c>
      <c r="R974" t="str">
        <f t="shared" si="158"/>
        <v/>
      </c>
    </row>
    <row r="975" spans="3:18">
      <c r="C975" t="str">
        <f t="shared" si="152"/>
        <v>NL</v>
      </c>
      <c r="D975" s="36">
        <v>196</v>
      </c>
      <c r="E975" s="97">
        <v>50</v>
      </c>
      <c r="F975" s="366">
        <f t="shared" si="155"/>
        <v>1085</v>
      </c>
      <c r="G975" s="97">
        <v>3023</v>
      </c>
      <c r="H975" s="367">
        <f t="shared" si="156"/>
        <v>4108</v>
      </c>
      <c r="I975" s="368">
        <f t="shared" si="153"/>
        <v>0</v>
      </c>
      <c r="J975" s="97">
        <v>11405</v>
      </c>
      <c r="K975" s="367">
        <f t="shared" si="154"/>
        <v>8146.4285714285716</v>
      </c>
      <c r="L975" s="606">
        <v>0.25</v>
      </c>
      <c r="M975" s="97">
        <v>2.5</v>
      </c>
      <c r="N975" s="605">
        <v>22</v>
      </c>
      <c r="O975" s="97">
        <v>9</v>
      </c>
      <c r="P975" s="97" t="s">
        <v>514</v>
      </c>
      <c r="Q975" s="97" t="str">
        <f t="shared" si="157"/>
        <v/>
      </c>
      <c r="R975" t="str">
        <f t="shared" si="158"/>
        <v/>
      </c>
    </row>
    <row r="976" spans="3:18">
      <c r="C976" t="str">
        <f t="shared" si="152"/>
        <v/>
      </c>
      <c r="D976" s="36">
        <v>197</v>
      </c>
      <c r="E976" s="97">
        <v>50</v>
      </c>
      <c r="F976" s="366">
        <f t="shared" si="155"/>
        <v>1085</v>
      </c>
      <c r="G976" s="97">
        <v>4448</v>
      </c>
      <c r="H976" s="367">
        <f t="shared" si="156"/>
        <v>5533</v>
      </c>
      <c r="I976" s="368">
        <f t="shared" si="153"/>
        <v>0</v>
      </c>
      <c r="J976" s="97">
        <v>16779</v>
      </c>
      <c r="K976" s="367">
        <f t="shared" si="154"/>
        <v>11985</v>
      </c>
      <c r="L976" s="606">
        <v>0.64</v>
      </c>
      <c r="M976" s="97">
        <v>3.6</v>
      </c>
      <c r="N976" s="605">
        <v>25</v>
      </c>
      <c r="O976" s="97">
        <v>10</v>
      </c>
      <c r="P976" s="97" t="s">
        <v>513</v>
      </c>
      <c r="Q976" s="97" t="str">
        <f t="shared" si="157"/>
        <v/>
      </c>
      <c r="R976" t="str">
        <f t="shared" si="158"/>
        <v/>
      </c>
    </row>
    <row r="977" spans="3:18">
      <c r="C977" t="str">
        <f t="shared" si="152"/>
        <v/>
      </c>
      <c r="D977" s="36">
        <v>198</v>
      </c>
      <c r="E977" s="97">
        <v>50</v>
      </c>
      <c r="F977" s="366">
        <f t="shared" si="155"/>
        <v>1085</v>
      </c>
      <c r="G977" s="97">
        <v>3479</v>
      </c>
      <c r="H977" s="367">
        <f t="shared" si="156"/>
        <v>4564</v>
      </c>
      <c r="I977" s="368">
        <f t="shared" si="153"/>
        <v>0</v>
      </c>
      <c r="J977" s="97">
        <v>13126</v>
      </c>
      <c r="K977" s="367">
        <f t="shared" si="154"/>
        <v>9375.7142857142862</v>
      </c>
      <c r="L977" s="606">
        <v>0.3</v>
      </c>
      <c r="M977" s="97">
        <v>2.8000000000000003</v>
      </c>
      <c r="N977" s="605">
        <v>20</v>
      </c>
      <c r="O977" s="97">
        <v>10</v>
      </c>
      <c r="P977" s="97" t="s">
        <v>555</v>
      </c>
      <c r="Q977" s="97" t="str">
        <f t="shared" si="157"/>
        <v/>
      </c>
      <c r="R977" t="str">
        <f t="shared" si="158"/>
        <v/>
      </c>
    </row>
    <row r="978" spans="3:18">
      <c r="C978" t="str">
        <f t="shared" si="152"/>
        <v/>
      </c>
      <c r="D978" s="36">
        <v>199</v>
      </c>
      <c r="E978" s="97">
        <v>50</v>
      </c>
      <c r="F978" s="366">
        <f t="shared" si="155"/>
        <v>1085</v>
      </c>
      <c r="G978" s="97">
        <v>3109</v>
      </c>
      <c r="H978" s="367">
        <f t="shared" si="156"/>
        <v>4194</v>
      </c>
      <c r="I978" s="368">
        <f t="shared" si="153"/>
        <v>0</v>
      </c>
      <c r="J978" s="97">
        <v>11729</v>
      </c>
      <c r="K978" s="367">
        <f t="shared" si="154"/>
        <v>8377.8571428571431</v>
      </c>
      <c r="L978" s="606">
        <v>0.21000000000000002</v>
      </c>
      <c r="M978" s="97">
        <v>2.5</v>
      </c>
      <c r="N978" s="605">
        <v>21</v>
      </c>
      <c r="O978" s="97">
        <v>10</v>
      </c>
      <c r="P978" s="97" t="s">
        <v>514</v>
      </c>
      <c r="Q978" s="97" t="str">
        <f t="shared" si="157"/>
        <v/>
      </c>
      <c r="R978" t="str">
        <f t="shared" si="158"/>
        <v/>
      </c>
    </row>
    <row r="979" spans="3:18">
      <c r="C979" t="str">
        <f t="shared" si="152"/>
        <v>NL</v>
      </c>
      <c r="D979" s="36">
        <v>200</v>
      </c>
      <c r="E979" s="97">
        <v>55</v>
      </c>
      <c r="F979" s="366">
        <f t="shared" si="155"/>
        <v>1193.5</v>
      </c>
      <c r="G979" s="97">
        <v>1857</v>
      </c>
      <c r="H979" s="367">
        <f t="shared" si="156"/>
        <v>3050.5</v>
      </c>
      <c r="I979" s="368">
        <f t="shared" si="153"/>
        <v>0</v>
      </c>
      <c r="J979" s="97">
        <v>7007</v>
      </c>
      <c r="K979" s="367">
        <f t="shared" si="154"/>
        <v>5005</v>
      </c>
      <c r="L979" s="606">
        <v>0.72</v>
      </c>
      <c r="M979" s="97">
        <v>2.4</v>
      </c>
      <c r="N979" s="605">
        <v>23</v>
      </c>
      <c r="O979" s="97">
        <v>3</v>
      </c>
      <c r="P979" s="97" t="s">
        <v>515</v>
      </c>
      <c r="Q979" s="97" t="str">
        <f t="shared" si="157"/>
        <v/>
      </c>
      <c r="R979" t="str">
        <f t="shared" si="158"/>
        <v/>
      </c>
    </row>
    <row r="980" spans="3:18">
      <c r="C980" t="str">
        <f t="shared" si="152"/>
        <v/>
      </c>
      <c r="D980" s="36">
        <v>201</v>
      </c>
      <c r="E980" s="97">
        <v>55</v>
      </c>
      <c r="F980" s="366">
        <f t="shared" si="155"/>
        <v>1193.5</v>
      </c>
      <c r="G980" s="97">
        <v>2168</v>
      </c>
      <c r="H980" s="367">
        <f t="shared" si="156"/>
        <v>3361.5</v>
      </c>
      <c r="I980" s="368">
        <f t="shared" si="153"/>
        <v>0</v>
      </c>
      <c r="J980" s="97">
        <v>8179</v>
      </c>
      <c r="K980" s="367">
        <f t="shared" si="154"/>
        <v>5842.1428571428569</v>
      </c>
      <c r="L980" s="606">
        <v>0.68</v>
      </c>
      <c r="M980" s="97">
        <v>3.1</v>
      </c>
      <c r="N980" s="605">
        <v>23</v>
      </c>
      <c r="O980" s="97">
        <v>4</v>
      </c>
      <c r="P980" s="97" t="s">
        <v>556</v>
      </c>
      <c r="Q980" s="97">
        <f t="shared" si="157"/>
        <v>201</v>
      </c>
      <c r="R980" t="str">
        <f t="shared" si="158"/>
        <v/>
      </c>
    </row>
    <row r="981" spans="3:18">
      <c r="C981" t="str">
        <f t="shared" si="152"/>
        <v/>
      </c>
      <c r="D981" s="36">
        <v>202</v>
      </c>
      <c r="E981" s="97">
        <v>55</v>
      </c>
      <c r="F981" s="366">
        <f t="shared" si="155"/>
        <v>1193.5</v>
      </c>
      <c r="G981" s="97">
        <v>1884</v>
      </c>
      <c r="H981" s="367">
        <f t="shared" si="156"/>
        <v>3077.5</v>
      </c>
      <c r="I981" s="368">
        <f t="shared" si="153"/>
        <v>0</v>
      </c>
      <c r="J981" s="97">
        <v>7109</v>
      </c>
      <c r="K981" s="367">
        <f t="shared" si="154"/>
        <v>5077.8571428571431</v>
      </c>
      <c r="L981" s="606">
        <v>0.41000000000000003</v>
      </c>
      <c r="M981" s="97">
        <v>3.1</v>
      </c>
      <c r="N981" s="605">
        <v>21</v>
      </c>
      <c r="O981" s="97">
        <v>4</v>
      </c>
      <c r="P981" s="97" t="s">
        <v>515</v>
      </c>
      <c r="Q981" s="97">
        <f t="shared" si="157"/>
        <v>202</v>
      </c>
      <c r="R981" t="str">
        <f t="shared" si="158"/>
        <v/>
      </c>
    </row>
    <row r="982" spans="3:18">
      <c r="C982" t="str">
        <f t="shared" si="152"/>
        <v>NL</v>
      </c>
      <c r="D982" s="36">
        <v>203</v>
      </c>
      <c r="E982" s="97">
        <v>55</v>
      </c>
      <c r="F982" s="366">
        <f t="shared" si="155"/>
        <v>1193.5</v>
      </c>
      <c r="G982" s="97">
        <v>2783</v>
      </c>
      <c r="H982" s="367">
        <f t="shared" si="156"/>
        <v>3976.5</v>
      </c>
      <c r="I982" s="368">
        <f t="shared" si="153"/>
        <v>0</v>
      </c>
      <c r="J982" s="97">
        <v>10498</v>
      </c>
      <c r="K982" s="367">
        <f t="shared" si="154"/>
        <v>7498.5714285714284</v>
      </c>
      <c r="L982" s="606">
        <v>0.91</v>
      </c>
      <c r="M982" s="97">
        <v>3.8000000000000003</v>
      </c>
      <c r="N982" s="605">
        <v>27</v>
      </c>
      <c r="O982" s="97">
        <v>5</v>
      </c>
      <c r="P982" s="97" t="s">
        <v>514</v>
      </c>
      <c r="Q982" s="97" t="str">
        <f t="shared" si="157"/>
        <v/>
      </c>
      <c r="R982" t="str">
        <f t="shared" si="158"/>
        <v/>
      </c>
    </row>
    <row r="983" spans="3:18">
      <c r="C983" t="str">
        <f t="shared" si="152"/>
        <v>NL</v>
      </c>
      <c r="D983" s="36">
        <v>204</v>
      </c>
      <c r="E983" s="97">
        <v>55</v>
      </c>
      <c r="F983" s="366">
        <f t="shared" si="155"/>
        <v>1193.5</v>
      </c>
      <c r="G983" s="97">
        <v>2275</v>
      </c>
      <c r="H983" s="367">
        <f t="shared" si="156"/>
        <v>3468.5</v>
      </c>
      <c r="I983" s="368">
        <f t="shared" si="153"/>
        <v>0</v>
      </c>
      <c r="J983" s="97">
        <v>8582</v>
      </c>
      <c r="K983" s="367">
        <f t="shared" si="154"/>
        <v>6130</v>
      </c>
      <c r="L983" s="606">
        <v>0.44</v>
      </c>
      <c r="M983" s="97">
        <v>3.8000000000000003</v>
      </c>
      <c r="N983" s="605">
        <v>22</v>
      </c>
      <c r="O983" s="97">
        <v>5</v>
      </c>
      <c r="P983" s="97" t="s">
        <v>556</v>
      </c>
      <c r="Q983" s="97" t="str">
        <f t="shared" si="157"/>
        <v/>
      </c>
      <c r="R983" t="str">
        <f t="shared" si="158"/>
        <v/>
      </c>
    </row>
    <row r="984" spans="3:18">
      <c r="C984" t="str">
        <f t="shared" si="152"/>
        <v>NL</v>
      </c>
      <c r="D984" s="36">
        <v>205</v>
      </c>
      <c r="E984" s="97">
        <v>55</v>
      </c>
      <c r="F984" s="366">
        <f t="shared" si="155"/>
        <v>1193.5</v>
      </c>
      <c r="G984" s="97">
        <v>1956</v>
      </c>
      <c r="H984" s="367">
        <f t="shared" si="156"/>
        <v>3149.5</v>
      </c>
      <c r="I984" s="368">
        <f t="shared" si="153"/>
        <v>0</v>
      </c>
      <c r="J984" s="97">
        <v>7381</v>
      </c>
      <c r="K984" s="367">
        <f t="shared" si="154"/>
        <v>5272.1428571428569</v>
      </c>
      <c r="L984" s="606">
        <v>0.27</v>
      </c>
      <c r="M984" s="97">
        <v>3.8000000000000003</v>
      </c>
      <c r="N984" s="605">
        <v>20</v>
      </c>
      <c r="O984" s="97">
        <v>5</v>
      </c>
      <c r="P984" s="97" t="s">
        <v>515</v>
      </c>
      <c r="Q984" s="97" t="str">
        <f t="shared" si="157"/>
        <v/>
      </c>
      <c r="R984" t="str">
        <f t="shared" si="158"/>
        <v/>
      </c>
    </row>
    <row r="985" spans="3:18">
      <c r="C985" t="str">
        <f t="shared" si="152"/>
        <v/>
      </c>
      <c r="D985" s="36">
        <v>206</v>
      </c>
      <c r="E985" s="97">
        <v>55</v>
      </c>
      <c r="F985" s="366">
        <f t="shared" si="155"/>
        <v>1193.5</v>
      </c>
      <c r="G985" s="97">
        <v>3064</v>
      </c>
      <c r="H985" s="367">
        <f t="shared" si="156"/>
        <v>4257.5</v>
      </c>
      <c r="I985" s="368">
        <f t="shared" si="153"/>
        <v>0</v>
      </c>
      <c r="J985" s="97">
        <v>11561</v>
      </c>
      <c r="K985" s="367">
        <f t="shared" si="154"/>
        <v>8257.8571428571431</v>
      </c>
      <c r="L985" s="606">
        <v>0.94000000000000006</v>
      </c>
      <c r="M985" s="97">
        <v>4.3999999999999995</v>
      </c>
      <c r="N985" s="605">
        <v>24</v>
      </c>
      <c r="O985" s="97">
        <v>6</v>
      </c>
      <c r="P985" s="97" t="s">
        <v>555</v>
      </c>
      <c r="Q985" s="97" t="str">
        <f t="shared" si="157"/>
        <v/>
      </c>
      <c r="R985" t="str">
        <f t="shared" si="158"/>
        <v/>
      </c>
    </row>
    <row r="986" spans="3:18">
      <c r="C986" t="str">
        <f t="shared" si="152"/>
        <v/>
      </c>
      <c r="D986" s="36">
        <v>207</v>
      </c>
      <c r="E986" s="97">
        <v>55</v>
      </c>
      <c r="F986" s="366">
        <f t="shared" si="155"/>
        <v>1193.5</v>
      </c>
      <c r="G986" s="97">
        <v>2796</v>
      </c>
      <c r="H986" s="367">
        <f t="shared" si="156"/>
        <v>3989.5</v>
      </c>
      <c r="I986" s="368">
        <f t="shared" si="153"/>
        <v>0</v>
      </c>
      <c r="J986" s="97">
        <v>10550</v>
      </c>
      <c r="K986" s="367">
        <f t="shared" si="154"/>
        <v>7535.7142857142862</v>
      </c>
      <c r="L986" s="606">
        <v>0.64</v>
      </c>
      <c r="M986" s="97">
        <v>4.3999999999999995</v>
      </c>
      <c r="N986" s="605">
        <v>26</v>
      </c>
      <c r="O986" s="97">
        <v>6</v>
      </c>
      <c r="P986" s="97" t="s">
        <v>514</v>
      </c>
      <c r="Q986" s="97">
        <f t="shared" si="157"/>
        <v>207</v>
      </c>
      <c r="R986" t="str">
        <f t="shared" si="158"/>
        <v/>
      </c>
    </row>
    <row r="987" spans="3:18">
      <c r="C987" t="str">
        <f t="shared" si="152"/>
        <v/>
      </c>
      <c r="D987" s="36">
        <v>208</v>
      </c>
      <c r="E987" s="97">
        <v>55</v>
      </c>
      <c r="F987" s="366">
        <f t="shared" si="155"/>
        <v>1193.5</v>
      </c>
      <c r="G987" s="97">
        <v>2303</v>
      </c>
      <c r="H987" s="367">
        <f t="shared" si="156"/>
        <v>3496.5</v>
      </c>
      <c r="I987" s="368">
        <f t="shared" si="153"/>
        <v>0</v>
      </c>
      <c r="J987" s="97">
        <v>8689</v>
      </c>
      <c r="K987" s="367">
        <f t="shared" si="154"/>
        <v>6206.4285714285716</v>
      </c>
      <c r="L987" s="606">
        <v>0.31</v>
      </c>
      <c r="M987" s="97">
        <v>4.3999999999999995</v>
      </c>
      <c r="N987" s="605">
        <v>20</v>
      </c>
      <c r="O987" s="97">
        <v>6</v>
      </c>
      <c r="P987" s="97" t="s">
        <v>556</v>
      </c>
      <c r="Q987" s="97">
        <f t="shared" si="157"/>
        <v>208</v>
      </c>
      <c r="R987" t="str">
        <f t="shared" si="158"/>
        <v/>
      </c>
    </row>
    <row r="988" spans="3:18">
      <c r="C988" t="str">
        <f t="shared" si="152"/>
        <v/>
      </c>
      <c r="D988" s="36">
        <v>209</v>
      </c>
      <c r="E988" s="97">
        <v>55</v>
      </c>
      <c r="F988" s="366">
        <f t="shared" si="155"/>
        <v>1193.5</v>
      </c>
      <c r="G988" s="97">
        <v>2006</v>
      </c>
      <c r="H988" s="367">
        <f t="shared" si="156"/>
        <v>3199.5</v>
      </c>
      <c r="I988" s="368">
        <f t="shared" si="153"/>
        <v>0</v>
      </c>
      <c r="J988" s="97">
        <v>7568</v>
      </c>
      <c r="K988" s="367">
        <f t="shared" si="154"/>
        <v>5405.7142857142862</v>
      </c>
      <c r="L988" s="606">
        <v>0.19</v>
      </c>
      <c r="M988" s="97">
        <v>4.3999999999999995</v>
      </c>
      <c r="N988" s="605">
        <v>18</v>
      </c>
      <c r="O988" s="97">
        <v>6</v>
      </c>
      <c r="P988" s="97" t="s">
        <v>515</v>
      </c>
      <c r="Q988" s="97">
        <f t="shared" si="157"/>
        <v>209</v>
      </c>
      <c r="R988" t="str">
        <f t="shared" si="158"/>
        <v/>
      </c>
    </row>
    <row r="989" spans="3:18">
      <c r="C989" t="str">
        <f t="shared" si="152"/>
        <v>NL</v>
      </c>
      <c r="D989" s="36">
        <v>210</v>
      </c>
      <c r="E989" s="97">
        <v>55</v>
      </c>
      <c r="F989" s="366">
        <f t="shared" si="155"/>
        <v>1193.5</v>
      </c>
      <c r="G989" s="97">
        <v>3192</v>
      </c>
      <c r="H989" s="367">
        <f t="shared" si="156"/>
        <v>4385.5</v>
      </c>
      <c r="I989" s="368">
        <f t="shared" si="153"/>
        <v>0</v>
      </c>
      <c r="J989" s="97">
        <v>12042</v>
      </c>
      <c r="K989" s="367">
        <f t="shared" si="154"/>
        <v>8601.4285714285725</v>
      </c>
      <c r="L989" s="606">
        <v>0.7</v>
      </c>
      <c r="M989" s="97">
        <v>5.0999999999999996</v>
      </c>
      <c r="N989" s="605">
        <v>23</v>
      </c>
      <c r="O989" s="97">
        <v>7</v>
      </c>
      <c r="P989" s="97" t="s">
        <v>555</v>
      </c>
      <c r="Q989" s="97" t="str">
        <f t="shared" si="157"/>
        <v/>
      </c>
      <c r="R989" t="str">
        <f t="shared" si="158"/>
        <v/>
      </c>
    </row>
    <row r="990" spans="3:18">
      <c r="C990" t="str">
        <f t="shared" si="152"/>
        <v>NL</v>
      </c>
      <c r="D990" s="36">
        <v>211</v>
      </c>
      <c r="E990" s="97">
        <v>55</v>
      </c>
      <c r="F990" s="366">
        <f t="shared" si="155"/>
        <v>1193.5</v>
      </c>
      <c r="G990" s="97">
        <v>2895</v>
      </c>
      <c r="H990" s="367">
        <f t="shared" si="156"/>
        <v>4088.5</v>
      </c>
      <c r="I990" s="368">
        <f t="shared" si="153"/>
        <v>0</v>
      </c>
      <c r="J990" s="97">
        <v>10924</v>
      </c>
      <c r="K990" s="367">
        <f t="shared" si="154"/>
        <v>7802.8571428571431</v>
      </c>
      <c r="L990" s="606">
        <v>0.48</v>
      </c>
      <c r="M990" s="97">
        <v>5.0999999999999996</v>
      </c>
      <c r="N990" s="605">
        <v>24</v>
      </c>
      <c r="O990" s="97">
        <v>7</v>
      </c>
      <c r="P990" s="97" t="s">
        <v>514</v>
      </c>
      <c r="Q990" s="97" t="str">
        <f t="shared" si="157"/>
        <v/>
      </c>
      <c r="R990" t="str">
        <f t="shared" si="158"/>
        <v/>
      </c>
    </row>
    <row r="991" spans="3:18">
      <c r="C991" t="str">
        <f t="shared" si="152"/>
        <v>NL</v>
      </c>
      <c r="D991" s="36">
        <v>212</v>
      </c>
      <c r="E991" s="97">
        <v>55</v>
      </c>
      <c r="F991" s="366">
        <f t="shared" si="155"/>
        <v>1193.5</v>
      </c>
      <c r="G991" s="97">
        <v>2552</v>
      </c>
      <c r="H991" s="367">
        <f t="shared" si="156"/>
        <v>3745.5</v>
      </c>
      <c r="I991" s="368">
        <f t="shared" si="153"/>
        <v>0</v>
      </c>
      <c r="J991" s="97">
        <v>9627</v>
      </c>
      <c r="K991" s="367">
        <f t="shared" si="154"/>
        <v>6876.4285714285716</v>
      </c>
      <c r="L991" s="606">
        <v>0.23</v>
      </c>
      <c r="M991" s="97">
        <v>5.0999999999999996</v>
      </c>
      <c r="N991" s="605">
        <v>19</v>
      </c>
      <c r="O991" s="97">
        <v>7</v>
      </c>
      <c r="P991" s="97" t="s">
        <v>556</v>
      </c>
      <c r="Q991" s="97" t="str">
        <f t="shared" si="157"/>
        <v/>
      </c>
      <c r="R991" t="str">
        <f t="shared" si="158"/>
        <v/>
      </c>
    </row>
    <row r="992" spans="3:18">
      <c r="C992" t="str">
        <f t="shared" si="152"/>
        <v/>
      </c>
      <c r="D992" s="36">
        <v>213</v>
      </c>
      <c r="E992" s="97">
        <v>55</v>
      </c>
      <c r="F992" s="366">
        <f t="shared" si="155"/>
        <v>1193.5</v>
      </c>
      <c r="G992" s="97">
        <v>3485</v>
      </c>
      <c r="H992" s="367">
        <f t="shared" si="156"/>
        <v>4678.5</v>
      </c>
      <c r="I992" s="368">
        <f t="shared" si="153"/>
        <v>0</v>
      </c>
      <c r="J992" s="97">
        <v>13147</v>
      </c>
      <c r="K992" s="367">
        <f t="shared" si="154"/>
        <v>9390.7142857142862</v>
      </c>
      <c r="L992" s="606">
        <v>0.55000000000000004</v>
      </c>
      <c r="M992" s="97">
        <v>5.8</v>
      </c>
      <c r="N992" s="605">
        <v>23</v>
      </c>
      <c r="O992" s="97">
        <v>8</v>
      </c>
      <c r="P992" s="97" t="s">
        <v>555</v>
      </c>
      <c r="Q992" s="97">
        <f t="shared" si="157"/>
        <v>213</v>
      </c>
      <c r="R992" t="str">
        <f t="shared" si="158"/>
        <v/>
      </c>
    </row>
    <row r="993" spans="3:18">
      <c r="C993" t="str">
        <f t="shared" si="152"/>
        <v/>
      </c>
      <c r="D993" s="36">
        <v>214</v>
      </c>
      <c r="E993" s="97">
        <v>55</v>
      </c>
      <c r="F993" s="366">
        <f t="shared" si="155"/>
        <v>1193.5</v>
      </c>
      <c r="G993" s="97">
        <v>3162</v>
      </c>
      <c r="H993" s="367">
        <f t="shared" si="156"/>
        <v>4355.5</v>
      </c>
      <c r="I993" s="368">
        <f t="shared" si="153"/>
        <v>0</v>
      </c>
      <c r="J993" s="97">
        <v>11930</v>
      </c>
      <c r="K993" s="367">
        <f t="shared" si="154"/>
        <v>8521.4285714285725</v>
      </c>
      <c r="L993" s="606">
        <v>0.38</v>
      </c>
      <c r="M993" s="97">
        <v>5.8</v>
      </c>
      <c r="N993" s="605">
        <v>24</v>
      </c>
      <c r="O993" s="97">
        <v>8</v>
      </c>
      <c r="P993" s="97" t="s">
        <v>514</v>
      </c>
      <c r="Q993" s="97">
        <f t="shared" si="157"/>
        <v>214</v>
      </c>
      <c r="R993" t="str">
        <f t="shared" si="158"/>
        <v/>
      </c>
    </row>
    <row r="994" spans="3:18">
      <c r="C994" t="str">
        <f t="shared" si="152"/>
        <v/>
      </c>
      <c r="D994" s="36">
        <v>215</v>
      </c>
      <c r="E994" s="97">
        <v>55</v>
      </c>
      <c r="F994" s="366">
        <f t="shared" si="155"/>
        <v>1193.5</v>
      </c>
      <c r="G994" s="97">
        <v>2723</v>
      </c>
      <c r="H994" s="367">
        <f t="shared" si="156"/>
        <v>3916.5</v>
      </c>
      <c r="I994" s="368">
        <f t="shared" si="153"/>
        <v>0</v>
      </c>
      <c r="J994" s="97">
        <v>10275</v>
      </c>
      <c r="K994" s="367">
        <f t="shared" si="154"/>
        <v>7339.2857142857147</v>
      </c>
      <c r="L994" s="606">
        <v>0.18000000000000002</v>
      </c>
      <c r="M994" s="97">
        <v>5.8</v>
      </c>
      <c r="N994" s="605">
        <v>18</v>
      </c>
      <c r="O994" s="97">
        <v>8</v>
      </c>
      <c r="P994" s="97" t="s">
        <v>556</v>
      </c>
      <c r="Q994" s="97">
        <f t="shared" si="157"/>
        <v>215</v>
      </c>
      <c r="R994" t="str">
        <f t="shared" si="158"/>
        <v/>
      </c>
    </row>
    <row r="995" spans="3:18">
      <c r="C995" t="str">
        <f t="shared" si="152"/>
        <v>NL</v>
      </c>
      <c r="D995" s="36">
        <v>216</v>
      </c>
      <c r="E995" s="97">
        <v>55</v>
      </c>
      <c r="F995" s="366">
        <f t="shared" si="155"/>
        <v>1193.5</v>
      </c>
      <c r="G995" s="97">
        <v>4570</v>
      </c>
      <c r="H995" s="367">
        <f t="shared" si="156"/>
        <v>5763.5</v>
      </c>
      <c r="I995" s="368">
        <f t="shared" si="153"/>
        <v>0</v>
      </c>
      <c r="J995" s="97">
        <v>17239</v>
      </c>
      <c r="K995" s="367">
        <f t="shared" si="154"/>
        <v>12313.571428571429</v>
      </c>
      <c r="L995" s="606">
        <v>0.94000000000000006</v>
      </c>
      <c r="M995" s="97">
        <v>3.7</v>
      </c>
      <c r="N995" s="605">
        <v>26</v>
      </c>
      <c r="O995" s="97">
        <v>9</v>
      </c>
      <c r="P995" s="97" t="s">
        <v>513</v>
      </c>
      <c r="Q995" s="97" t="str">
        <f t="shared" si="157"/>
        <v/>
      </c>
      <c r="R995" t="str">
        <f t="shared" si="158"/>
        <v/>
      </c>
    </row>
    <row r="996" spans="3:18">
      <c r="C996" t="str">
        <f t="shared" si="152"/>
        <v>NL</v>
      </c>
      <c r="D996" s="36">
        <v>217</v>
      </c>
      <c r="E996" s="97">
        <v>55</v>
      </c>
      <c r="F996" s="366">
        <f t="shared" si="155"/>
        <v>1193.5</v>
      </c>
      <c r="G996" s="97">
        <v>3631</v>
      </c>
      <c r="H996" s="367">
        <f t="shared" si="156"/>
        <v>4824.5</v>
      </c>
      <c r="I996" s="368">
        <f t="shared" si="153"/>
        <v>0</v>
      </c>
      <c r="J996" s="97">
        <v>13697</v>
      </c>
      <c r="K996" s="367">
        <f t="shared" si="154"/>
        <v>9783.5714285714294</v>
      </c>
      <c r="L996" s="606">
        <v>0.44</v>
      </c>
      <c r="M996" s="97">
        <v>3</v>
      </c>
      <c r="N996" s="605">
        <v>22</v>
      </c>
      <c r="O996" s="97">
        <v>9</v>
      </c>
      <c r="P996" s="97" t="s">
        <v>555</v>
      </c>
      <c r="Q996" s="97" t="str">
        <f t="shared" si="157"/>
        <v/>
      </c>
      <c r="R996" t="str">
        <f t="shared" si="158"/>
        <v/>
      </c>
    </row>
    <row r="997" spans="3:18">
      <c r="C997" t="str">
        <f t="shared" si="152"/>
        <v>NL</v>
      </c>
      <c r="D997" s="36">
        <v>218</v>
      </c>
      <c r="E997" s="97">
        <v>55</v>
      </c>
      <c r="F997" s="366">
        <f t="shared" si="155"/>
        <v>1193.5</v>
      </c>
      <c r="G997" s="97">
        <v>3231</v>
      </c>
      <c r="H997" s="367">
        <f t="shared" si="156"/>
        <v>4424.5</v>
      </c>
      <c r="I997" s="368">
        <f t="shared" si="153"/>
        <v>0</v>
      </c>
      <c r="J997" s="97">
        <v>12189</v>
      </c>
      <c r="K997" s="367">
        <f t="shared" si="154"/>
        <v>8706.4285714285725</v>
      </c>
      <c r="L997" s="606">
        <v>0.31</v>
      </c>
      <c r="M997" s="97">
        <v>2.6</v>
      </c>
      <c r="N997" s="605">
        <v>23</v>
      </c>
      <c r="O997" s="97">
        <v>9</v>
      </c>
      <c r="P997" s="97" t="s">
        <v>514</v>
      </c>
      <c r="Q997" s="97" t="str">
        <f t="shared" si="157"/>
        <v/>
      </c>
      <c r="R997" t="str">
        <f t="shared" si="158"/>
        <v/>
      </c>
    </row>
    <row r="998" spans="3:18">
      <c r="C998" t="str">
        <f t="shared" si="152"/>
        <v/>
      </c>
      <c r="D998" s="36">
        <v>219</v>
      </c>
      <c r="E998" s="97">
        <v>55</v>
      </c>
      <c r="F998" s="366">
        <f t="shared" si="155"/>
        <v>1193.5</v>
      </c>
      <c r="G998" s="97">
        <v>4755</v>
      </c>
      <c r="H998" s="367">
        <f t="shared" si="156"/>
        <v>5948.5</v>
      </c>
      <c r="I998" s="368">
        <f t="shared" si="153"/>
        <v>0</v>
      </c>
      <c r="J998" s="97">
        <v>17937</v>
      </c>
      <c r="K998" s="367">
        <f t="shared" si="154"/>
        <v>12812.142857142857</v>
      </c>
      <c r="L998" s="606">
        <v>0.78</v>
      </c>
      <c r="M998" s="97">
        <v>3.9</v>
      </c>
      <c r="N998" s="605">
        <v>26</v>
      </c>
      <c r="O998" s="97">
        <v>10</v>
      </c>
      <c r="P998" s="97" t="s">
        <v>513</v>
      </c>
      <c r="Q998" s="97" t="str">
        <f t="shared" si="157"/>
        <v/>
      </c>
      <c r="R998" t="str">
        <f t="shared" si="158"/>
        <v/>
      </c>
    </row>
    <row r="999" spans="3:18">
      <c r="C999" t="str">
        <f t="shared" si="152"/>
        <v/>
      </c>
      <c r="D999" s="36">
        <v>220</v>
      </c>
      <c r="E999" s="97">
        <v>55</v>
      </c>
      <c r="F999" s="366">
        <f t="shared" si="155"/>
        <v>1193.5</v>
      </c>
      <c r="G999" s="97">
        <v>3711</v>
      </c>
      <c r="H999" s="367">
        <f t="shared" si="156"/>
        <v>4904.5</v>
      </c>
      <c r="I999" s="368">
        <f t="shared" si="153"/>
        <v>0</v>
      </c>
      <c r="J999" s="97">
        <v>14000</v>
      </c>
      <c r="K999" s="367">
        <f t="shared" si="154"/>
        <v>10000</v>
      </c>
      <c r="L999" s="606">
        <v>0.36</v>
      </c>
      <c r="M999" s="97">
        <v>3</v>
      </c>
      <c r="N999" s="605">
        <v>21</v>
      </c>
      <c r="O999" s="97">
        <v>10</v>
      </c>
      <c r="P999" s="97" t="s">
        <v>555</v>
      </c>
      <c r="Q999" s="97" t="str">
        <f t="shared" si="157"/>
        <v/>
      </c>
      <c r="R999" t="str">
        <f t="shared" si="158"/>
        <v/>
      </c>
    </row>
    <row r="1000" spans="3:18">
      <c r="C1000" t="str">
        <f t="shared" si="152"/>
        <v/>
      </c>
      <c r="D1000" s="36">
        <v>221</v>
      </c>
      <c r="E1000" s="97">
        <v>55</v>
      </c>
      <c r="F1000" s="366">
        <f t="shared" si="155"/>
        <v>1193.5</v>
      </c>
      <c r="G1000" s="97">
        <v>3311</v>
      </c>
      <c r="H1000" s="367">
        <f t="shared" si="156"/>
        <v>4504.5</v>
      </c>
      <c r="I1000" s="368">
        <f t="shared" si="153"/>
        <v>0</v>
      </c>
      <c r="J1000" s="97">
        <v>12491</v>
      </c>
      <c r="K1000" s="367">
        <f t="shared" si="154"/>
        <v>8922.1428571428569</v>
      </c>
      <c r="L1000" s="606">
        <v>0.25</v>
      </c>
      <c r="M1000" s="97">
        <v>2.7</v>
      </c>
      <c r="N1000" s="605">
        <v>23</v>
      </c>
      <c r="O1000" s="97">
        <v>10</v>
      </c>
      <c r="P1000" s="97" t="s">
        <v>514</v>
      </c>
      <c r="Q1000" s="97" t="str">
        <f t="shared" si="157"/>
        <v/>
      </c>
      <c r="R1000" t="str">
        <f t="shared" si="158"/>
        <v/>
      </c>
    </row>
    <row r="1001" spans="3:18">
      <c r="C1001" t="str">
        <f t="shared" si="152"/>
        <v>NL</v>
      </c>
      <c r="D1001" s="36">
        <v>222</v>
      </c>
      <c r="E1001" s="97">
        <v>60</v>
      </c>
      <c r="F1001" s="366">
        <f t="shared" si="155"/>
        <v>1302</v>
      </c>
      <c r="G1001" s="97">
        <v>2050</v>
      </c>
      <c r="H1001" s="367">
        <f t="shared" si="156"/>
        <v>3352</v>
      </c>
      <c r="I1001" s="368">
        <f t="shared" si="153"/>
        <v>0</v>
      </c>
      <c r="J1001" s="97">
        <v>7736</v>
      </c>
      <c r="K1001" s="367">
        <f t="shared" si="154"/>
        <v>5525.7142857142862</v>
      </c>
      <c r="L1001" s="606">
        <v>0.85</v>
      </c>
      <c r="M1001" s="97">
        <v>2.4</v>
      </c>
      <c r="N1001" s="605">
        <v>24</v>
      </c>
      <c r="O1001" s="97">
        <v>3</v>
      </c>
      <c r="P1001" s="97" t="s">
        <v>515</v>
      </c>
      <c r="Q1001" s="97" t="str">
        <f t="shared" si="157"/>
        <v/>
      </c>
      <c r="R1001" t="str">
        <f t="shared" si="158"/>
        <v/>
      </c>
    </row>
    <row r="1002" spans="3:18">
      <c r="C1002" t="str">
        <f t="shared" si="152"/>
        <v/>
      </c>
      <c r="D1002" s="36">
        <v>223</v>
      </c>
      <c r="E1002" s="97">
        <v>60</v>
      </c>
      <c r="F1002" s="366">
        <f t="shared" si="155"/>
        <v>1302</v>
      </c>
      <c r="G1002" s="97">
        <v>2384</v>
      </c>
      <c r="H1002" s="367">
        <f t="shared" si="156"/>
        <v>3686</v>
      </c>
      <c r="I1002" s="368">
        <f t="shared" si="153"/>
        <v>0</v>
      </c>
      <c r="J1002" s="97">
        <v>8993</v>
      </c>
      <c r="K1002" s="367">
        <f t="shared" si="154"/>
        <v>6423.5714285714284</v>
      </c>
      <c r="L1002" s="606">
        <v>0.81</v>
      </c>
      <c r="M1002" s="97">
        <v>3.1</v>
      </c>
      <c r="N1002" s="605">
        <v>24</v>
      </c>
      <c r="O1002" s="97">
        <v>4</v>
      </c>
      <c r="P1002" s="97" t="s">
        <v>556</v>
      </c>
      <c r="Q1002" s="97" t="str">
        <f t="shared" si="157"/>
        <v/>
      </c>
      <c r="R1002" t="str">
        <f t="shared" si="158"/>
        <v/>
      </c>
    </row>
    <row r="1003" spans="3:18">
      <c r="C1003" t="str">
        <f t="shared" si="152"/>
        <v/>
      </c>
      <c r="D1003" s="36">
        <v>224</v>
      </c>
      <c r="E1003" s="97">
        <v>60</v>
      </c>
      <c r="F1003" s="366">
        <f t="shared" si="155"/>
        <v>1302</v>
      </c>
      <c r="G1003" s="97">
        <v>1995</v>
      </c>
      <c r="H1003" s="367">
        <f t="shared" si="156"/>
        <v>3297</v>
      </c>
      <c r="I1003" s="368">
        <f t="shared" si="153"/>
        <v>0</v>
      </c>
      <c r="J1003" s="97">
        <v>7528</v>
      </c>
      <c r="K1003" s="367">
        <f t="shared" si="154"/>
        <v>5377.1428571428569</v>
      </c>
      <c r="L1003" s="606">
        <v>0.48</v>
      </c>
      <c r="M1003" s="97">
        <v>3.1</v>
      </c>
      <c r="N1003" s="605">
        <v>22</v>
      </c>
      <c r="O1003" s="97">
        <v>4</v>
      </c>
      <c r="P1003" s="97" t="s">
        <v>515</v>
      </c>
      <c r="Q1003" s="97">
        <f t="shared" si="157"/>
        <v>224</v>
      </c>
      <c r="R1003" t="str">
        <f t="shared" si="158"/>
        <v/>
      </c>
    </row>
    <row r="1004" spans="3:18">
      <c r="C1004" t="str">
        <f t="shared" si="152"/>
        <v>NL</v>
      </c>
      <c r="D1004" s="36">
        <v>225</v>
      </c>
      <c r="E1004" s="97">
        <v>60</v>
      </c>
      <c r="F1004" s="366">
        <f t="shared" si="155"/>
        <v>1302</v>
      </c>
      <c r="G1004" s="97">
        <v>2421</v>
      </c>
      <c r="H1004" s="367">
        <f t="shared" si="156"/>
        <v>3723</v>
      </c>
      <c r="I1004" s="368">
        <f t="shared" si="153"/>
        <v>0</v>
      </c>
      <c r="J1004" s="97">
        <v>9133</v>
      </c>
      <c r="K1004" s="367">
        <f t="shared" si="154"/>
        <v>6523.5714285714284</v>
      </c>
      <c r="L1004" s="606">
        <v>0.53</v>
      </c>
      <c r="M1004" s="97">
        <v>3.8000000000000003</v>
      </c>
      <c r="N1004" s="605">
        <v>23</v>
      </c>
      <c r="O1004" s="97">
        <v>5</v>
      </c>
      <c r="P1004" s="97" t="s">
        <v>556</v>
      </c>
      <c r="Q1004" s="97" t="str">
        <f t="shared" si="157"/>
        <v/>
      </c>
      <c r="R1004" t="str">
        <f t="shared" si="158"/>
        <v/>
      </c>
    </row>
    <row r="1005" spans="3:18">
      <c r="C1005" t="str">
        <f t="shared" si="152"/>
        <v>NL</v>
      </c>
      <c r="D1005" s="36">
        <v>226</v>
      </c>
      <c r="E1005" s="97">
        <v>60</v>
      </c>
      <c r="F1005" s="366">
        <f t="shared" si="155"/>
        <v>1302</v>
      </c>
      <c r="G1005" s="97">
        <v>2098</v>
      </c>
      <c r="H1005" s="367">
        <f t="shared" si="156"/>
        <v>3400</v>
      </c>
      <c r="I1005" s="368">
        <f t="shared" si="153"/>
        <v>0</v>
      </c>
      <c r="J1005" s="97">
        <v>7916</v>
      </c>
      <c r="K1005" s="367">
        <f t="shared" si="154"/>
        <v>5654.2857142857147</v>
      </c>
      <c r="L1005" s="606">
        <v>0.32</v>
      </c>
      <c r="M1005" s="97">
        <v>3.8000000000000003</v>
      </c>
      <c r="N1005" s="605">
        <v>21</v>
      </c>
      <c r="O1005" s="97">
        <v>5</v>
      </c>
      <c r="P1005" s="97" t="s">
        <v>515</v>
      </c>
      <c r="Q1005" s="97" t="str">
        <f t="shared" si="157"/>
        <v/>
      </c>
      <c r="R1005" t="str">
        <f t="shared" si="158"/>
        <v/>
      </c>
    </row>
    <row r="1006" spans="3:18">
      <c r="C1006" t="str">
        <f t="shared" si="152"/>
        <v/>
      </c>
      <c r="D1006" s="36">
        <v>227</v>
      </c>
      <c r="E1006" s="97">
        <v>60</v>
      </c>
      <c r="F1006" s="366">
        <f t="shared" si="155"/>
        <v>1302</v>
      </c>
      <c r="G1006" s="97">
        <v>3000</v>
      </c>
      <c r="H1006" s="367">
        <f t="shared" si="156"/>
        <v>4302</v>
      </c>
      <c r="I1006" s="368">
        <f t="shared" si="153"/>
        <v>0</v>
      </c>
      <c r="J1006" s="97">
        <v>11318</v>
      </c>
      <c r="K1006" s="367">
        <f t="shared" si="154"/>
        <v>8084.2857142857147</v>
      </c>
      <c r="L1006" s="606">
        <v>0.76</v>
      </c>
      <c r="M1006" s="97">
        <v>4.3999999999999995</v>
      </c>
      <c r="N1006" s="605">
        <v>27</v>
      </c>
      <c r="O1006" s="97">
        <v>6</v>
      </c>
      <c r="P1006" s="97" t="s">
        <v>514</v>
      </c>
      <c r="Q1006" s="97" t="str">
        <f t="shared" si="157"/>
        <v/>
      </c>
      <c r="R1006" t="str">
        <f t="shared" si="158"/>
        <v/>
      </c>
    </row>
    <row r="1007" spans="3:18">
      <c r="C1007" t="str">
        <f t="shared" si="152"/>
        <v/>
      </c>
      <c r="D1007" s="36">
        <v>228</v>
      </c>
      <c r="E1007" s="97">
        <v>60</v>
      </c>
      <c r="F1007" s="366">
        <f t="shared" si="155"/>
        <v>1302</v>
      </c>
      <c r="G1007" s="97">
        <v>2483</v>
      </c>
      <c r="H1007" s="367">
        <f t="shared" si="156"/>
        <v>3785</v>
      </c>
      <c r="I1007" s="368">
        <f t="shared" si="153"/>
        <v>0</v>
      </c>
      <c r="J1007" s="97">
        <v>9366</v>
      </c>
      <c r="K1007" s="367">
        <f t="shared" si="154"/>
        <v>6690</v>
      </c>
      <c r="L1007" s="606">
        <v>0.37</v>
      </c>
      <c r="M1007" s="97">
        <v>4.3999999999999995</v>
      </c>
      <c r="N1007" s="605">
        <v>22</v>
      </c>
      <c r="O1007" s="97">
        <v>6</v>
      </c>
      <c r="P1007" s="97" t="s">
        <v>556</v>
      </c>
      <c r="Q1007" s="97">
        <f t="shared" si="157"/>
        <v>228</v>
      </c>
      <c r="R1007" t="str">
        <f t="shared" si="158"/>
        <v/>
      </c>
    </row>
    <row r="1008" spans="3:18">
      <c r="C1008" t="str">
        <f t="shared" si="152"/>
        <v/>
      </c>
      <c r="D1008" s="36">
        <v>229</v>
      </c>
      <c r="E1008" s="97">
        <v>60</v>
      </c>
      <c r="F1008" s="366">
        <f t="shared" si="155"/>
        <v>1302</v>
      </c>
      <c r="G1008" s="97">
        <v>2121</v>
      </c>
      <c r="H1008" s="367">
        <f t="shared" si="156"/>
        <v>3423</v>
      </c>
      <c r="I1008" s="368">
        <f t="shared" si="153"/>
        <v>0</v>
      </c>
      <c r="J1008" s="97">
        <v>8004</v>
      </c>
      <c r="K1008" s="367">
        <f t="shared" si="154"/>
        <v>5717.1428571428569</v>
      </c>
      <c r="L1008" s="606">
        <v>0.22</v>
      </c>
      <c r="M1008" s="97">
        <v>4.3999999999999995</v>
      </c>
      <c r="N1008" s="605">
        <v>19</v>
      </c>
      <c r="O1008" s="97">
        <v>6</v>
      </c>
      <c r="P1008" s="97" t="s">
        <v>515</v>
      </c>
      <c r="Q1008" s="97">
        <f t="shared" si="157"/>
        <v>229</v>
      </c>
      <c r="R1008" t="str">
        <f t="shared" si="158"/>
        <v/>
      </c>
    </row>
    <row r="1009" spans="3:18">
      <c r="C1009" t="str">
        <f t="shared" si="152"/>
        <v>NL</v>
      </c>
      <c r="D1009" s="36">
        <v>230</v>
      </c>
      <c r="E1009" s="97">
        <v>60</v>
      </c>
      <c r="F1009" s="366">
        <f t="shared" si="155"/>
        <v>1302</v>
      </c>
      <c r="G1009" s="97">
        <v>3401</v>
      </c>
      <c r="H1009" s="367">
        <f t="shared" si="156"/>
        <v>4703</v>
      </c>
      <c r="I1009" s="368">
        <f t="shared" si="153"/>
        <v>0</v>
      </c>
      <c r="J1009" s="97">
        <v>12831</v>
      </c>
      <c r="K1009" s="367">
        <f t="shared" si="154"/>
        <v>9165</v>
      </c>
      <c r="L1009" s="606">
        <v>0.83</v>
      </c>
      <c r="M1009" s="97">
        <v>5.0999999999999996</v>
      </c>
      <c r="N1009" s="605">
        <v>24</v>
      </c>
      <c r="O1009" s="97">
        <v>7</v>
      </c>
      <c r="P1009" s="97" t="s">
        <v>555</v>
      </c>
      <c r="Q1009" s="97" t="str">
        <f t="shared" si="157"/>
        <v/>
      </c>
      <c r="R1009" t="str">
        <f t="shared" si="158"/>
        <v/>
      </c>
    </row>
    <row r="1010" spans="3:18">
      <c r="C1010" t="str">
        <f t="shared" si="152"/>
        <v>NL</v>
      </c>
      <c r="D1010" s="36">
        <v>231</v>
      </c>
      <c r="E1010" s="97">
        <v>60</v>
      </c>
      <c r="F1010" s="366">
        <f t="shared" si="155"/>
        <v>1302</v>
      </c>
      <c r="G1010" s="97">
        <v>3069</v>
      </c>
      <c r="H1010" s="367">
        <f t="shared" si="156"/>
        <v>4371</v>
      </c>
      <c r="I1010" s="368">
        <f t="shared" si="153"/>
        <v>0</v>
      </c>
      <c r="J1010" s="97">
        <v>11578</v>
      </c>
      <c r="K1010" s="367">
        <f t="shared" si="154"/>
        <v>8270</v>
      </c>
      <c r="L1010" s="606">
        <v>0.56000000000000005</v>
      </c>
      <c r="M1010" s="97">
        <v>5.0999999999999996</v>
      </c>
      <c r="N1010" s="605">
        <v>25</v>
      </c>
      <c r="O1010" s="97">
        <v>7</v>
      </c>
      <c r="P1010" s="97" t="s">
        <v>514</v>
      </c>
      <c r="Q1010" s="97" t="str">
        <f t="shared" si="157"/>
        <v/>
      </c>
      <c r="R1010" t="str">
        <f t="shared" si="158"/>
        <v/>
      </c>
    </row>
    <row r="1011" spans="3:18">
      <c r="C1011" t="str">
        <f t="shared" si="152"/>
        <v>NL</v>
      </c>
      <c r="D1011" s="36">
        <v>232</v>
      </c>
      <c r="E1011" s="97">
        <v>60</v>
      </c>
      <c r="F1011" s="366">
        <f t="shared" si="155"/>
        <v>1302</v>
      </c>
      <c r="G1011" s="97">
        <v>2709</v>
      </c>
      <c r="H1011" s="367">
        <f t="shared" si="156"/>
        <v>4011</v>
      </c>
      <c r="I1011" s="368">
        <f t="shared" si="153"/>
        <v>0</v>
      </c>
      <c r="J1011" s="97">
        <v>10222</v>
      </c>
      <c r="K1011" s="367">
        <f t="shared" si="154"/>
        <v>7301.4285714285716</v>
      </c>
      <c r="L1011" s="606">
        <v>0.28000000000000003</v>
      </c>
      <c r="M1011" s="97">
        <v>5.0999999999999996</v>
      </c>
      <c r="N1011" s="605">
        <v>20</v>
      </c>
      <c r="O1011" s="97">
        <v>7</v>
      </c>
      <c r="P1011" s="97" t="s">
        <v>556</v>
      </c>
      <c r="Q1011" s="97" t="str">
        <f t="shared" si="157"/>
        <v/>
      </c>
      <c r="R1011" t="str">
        <f t="shared" si="158"/>
        <v/>
      </c>
    </row>
    <row r="1012" spans="3:18">
      <c r="C1012" t="str">
        <f t="shared" si="152"/>
        <v>NL</v>
      </c>
      <c r="D1012" s="36">
        <v>233</v>
      </c>
      <c r="E1012" s="97">
        <v>60</v>
      </c>
      <c r="F1012" s="366">
        <f t="shared" si="155"/>
        <v>1302</v>
      </c>
      <c r="G1012" s="97">
        <v>2325</v>
      </c>
      <c r="H1012" s="367">
        <f t="shared" si="156"/>
        <v>3627</v>
      </c>
      <c r="I1012" s="368">
        <f t="shared" si="153"/>
        <v>0</v>
      </c>
      <c r="J1012" s="97">
        <v>8773</v>
      </c>
      <c r="K1012" s="367">
        <f t="shared" si="154"/>
        <v>6266.4285714285716</v>
      </c>
      <c r="L1012" s="606">
        <v>0.17</v>
      </c>
      <c r="M1012" s="97">
        <v>5.0999999999999996</v>
      </c>
      <c r="N1012" s="605">
        <v>18</v>
      </c>
      <c r="O1012" s="97">
        <v>7</v>
      </c>
      <c r="P1012" s="97" t="s">
        <v>515</v>
      </c>
      <c r="Q1012" s="97" t="str">
        <f t="shared" si="157"/>
        <v/>
      </c>
      <c r="R1012" t="str">
        <f t="shared" si="158"/>
        <v/>
      </c>
    </row>
    <row r="1013" spans="3:18">
      <c r="C1013" t="str">
        <f t="shared" si="152"/>
        <v/>
      </c>
      <c r="D1013" s="36">
        <v>234</v>
      </c>
      <c r="E1013" s="97">
        <v>60</v>
      </c>
      <c r="F1013" s="366">
        <f t="shared" si="155"/>
        <v>1302</v>
      </c>
      <c r="G1013" s="97">
        <v>3629</v>
      </c>
      <c r="H1013" s="367">
        <f t="shared" si="156"/>
        <v>4931</v>
      </c>
      <c r="I1013" s="368">
        <f t="shared" si="153"/>
        <v>0</v>
      </c>
      <c r="J1013" s="97">
        <v>13690</v>
      </c>
      <c r="K1013" s="367">
        <f t="shared" si="154"/>
        <v>9778.5714285714294</v>
      </c>
      <c r="L1013" s="606">
        <v>0.66</v>
      </c>
      <c r="M1013" s="97">
        <v>5.8</v>
      </c>
      <c r="N1013" s="605">
        <v>24</v>
      </c>
      <c r="O1013" s="97">
        <v>8</v>
      </c>
      <c r="P1013" s="97" t="s">
        <v>555</v>
      </c>
      <c r="Q1013" s="97">
        <f t="shared" si="157"/>
        <v>234</v>
      </c>
      <c r="R1013" t="str">
        <f t="shared" si="158"/>
        <v/>
      </c>
    </row>
    <row r="1014" spans="3:18">
      <c r="C1014" t="str">
        <f t="shared" si="152"/>
        <v/>
      </c>
      <c r="D1014" s="36">
        <v>235</v>
      </c>
      <c r="E1014" s="97">
        <v>60</v>
      </c>
      <c r="F1014" s="366">
        <f t="shared" si="155"/>
        <v>1302</v>
      </c>
      <c r="G1014" s="97">
        <v>3288</v>
      </c>
      <c r="H1014" s="367">
        <f t="shared" si="156"/>
        <v>4590</v>
      </c>
      <c r="I1014" s="368">
        <f t="shared" si="153"/>
        <v>0</v>
      </c>
      <c r="J1014" s="97">
        <v>12403</v>
      </c>
      <c r="K1014" s="367">
        <f t="shared" si="154"/>
        <v>8859.2857142857138</v>
      </c>
      <c r="L1014" s="606">
        <v>0.45</v>
      </c>
      <c r="M1014" s="97">
        <v>5.8</v>
      </c>
      <c r="N1014" s="605">
        <v>25</v>
      </c>
      <c r="O1014" s="97">
        <v>8</v>
      </c>
      <c r="P1014" s="97" t="s">
        <v>514</v>
      </c>
      <c r="Q1014" s="97">
        <f t="shared" si="157"/>
        <v>235</v>
      </c>
      <c r="R1014" t="str">
        <f t="shared" si="158"/>
        <v/>
      </c>
    </row>
    <row r="1015" spans="3:18">
      <c r="C1015" t="str">
        <f t="shared" si="152"/>
        <v/>
      </c>
      <c r="D1015" s="36">
        <v>236</v>
      </c>
      <c r="E1015" s="97">
        <v>60</v>
      </c>
      <c r="F1015" s="366">
        <f t="shared" si="155"/>
        <v>1302</v>
      </c>
      <c r="G1015" s="97">
        <v>2896</v>
      </c>
      <c r="H1015" s="367">
        <f t="shared" si="156"/>
        <v>4198</v>
      </c>
      <c r="I1015" s="368">
        <f t="shared" si="153"/>
        <v>0</v>
      </c>
      <c r="J1015" s="97">
        <v>10924</v>
      </c>
      <c r="K1015" s="367">
        <f t="shared" si="154"/>
        <v>7802.8571428571431</v>
      </c>
      <c r="L1015" s="606">
        <v>0.21000000000000002</v>
      </c>
      <c r="M1015" s="97">
        <v>5.8</v>
      </c>
      <c r="N1015" s="605">
        <v>19</v>
      </c>
      <c r="O1015" s="97">
        <v>8</v>
      </c>
      <c r="P1015" s="97" t="s">
        <v>556</v>
      </c>
      <c r="Q1015" s="97">
        <f t="shared" si="157"/>
        <v>236</v>
      </c>
      <c r="R1015" t="str">
        <f t="shared" si="158"/>
        <v/>
      </c>
    </row>
    <row r="1016" spans="3:18">
      <c r="C1016" t="str">
        <f t="shared" si="152"/>
        <v>NL</v>
      </c>
      <c r="D1016" s="36">
        <v>237</v>
      </c>
      <c r="E1016" s="97">
        <v>60</v>
      </c>
      <c r="F1016" s="366">
        <f t="shared" si="155"/>
        <v>1302</v>
      </c>
      <c r="G1016" s="97">
        <v>3816</v>
      </c>
      <c r="H1016" s="367">
        <f t="shared" si="156"/>
        <v>5118</v>
      </c>
      <c r="I1016" s="368">
        <f t="shared" si="153"/>
        <v>0</v>
      </c>
      <c r="J1016" s="97">
        <v>14397</v>
      </c>
      <c r="K1016" s="367">
        <f t="shared" si="154"/>
        <v>10283.571428571429</v>
      </c>
      <c r="L1016" s="606">
        <v>0.52</v>
      </c>
      <c r="M1016" s="97">
        <v>3.1</v>
      </c>
      <c r="N1016" s="605">
        <v>23</v>
      </c>
      <c r="O1016" s="97">
        <v>9</v>
      </c>
      <c r="P1016" s="97" t="s">
        <v>555</v>
      </c>
      <c r="Q1016" s="97" t="str">
        <f t="shared" si="157"/>
        <v/>
      </c>
      <c r="R1016" t="str">
        <f t="shared" si="158"/>
        <v/>
      </c>
    </row>
    <row r="1017" spans="3:18">
      <c r="C1017" t="str">
        <f t="shared" si="152"/>
        <v>NL</v>
      </c>
      <c r="D1017" s="36">
        <v>238</v>
      </c>
      <c r="E1017" s="97">
        <v>60</v>
      </c>
      <c r="F1017" s="366">
        <f t="shared" si="155"/>
        <v>1302</v>
      </c>
      <c r="G1017" s="97">
        <v>3439</v>
      </c>
      <c r="H1017" s="367">
        <f t="shared" si="156"/>
        <v>4741</v>
      </c>
      <c r="I1017" s="368">
        <f t="shared" si="153"/>
        <v>0</v>
      </c>
      <c r="J1017" s="97">
        <v>12973</v>
      </c>
      <c r="K1017" s="367">
        <f t="shared" si="154"/>
        <v>9266.4285714285725</v>
      </c>
      <c r="L1017" s="606">
        <v>0.36</v>
      </c>
      <c r="M1017" s="97">
        <v>2.8000000000000003</v>
      </c>
      <c r="N1017" s="605">
        <v>25</v>
      </c>
      <c r="O1017" s="97">
        <v>9</v>
      </c>
      <c r="P1017" s="97" t="s">
        <v>514</v>
      </c>
      <c r="Q1017" s="97" t="str">
        <f t="shared" si="157"/>
        <v/>
      </c>
      <c r="R1017" t="str">
        <f t="shared" si="158"/>
        <v/>
      </c>
    </row>
    <row r="1018" spans="3:18">
      <c r="C1018" t="str">
        <f t="shared" si="152"/>
        <v>NL</v>
      </c>
      <c r="D1018" s="36">
        <v>239</v>
      </c>
      <c r="E1018" s="97">
        <v>60</v>
      </c>
      <c r="F1018" s="366">
        <f t="shared" si="155"/>
        <v>1302</v>
      </c>
      <c r="G1018" s="97">
        <v>2955</v>
      </c>
      <c r="H1018" s="367">
        <f t="shared" si="156"/>
        <v>4257</v>
      </c>
      <c r="I1018" s="368">
        <f t="shared" si="153"/>
        <v>0</v>
      </c>
      <c r="J1018" s="97">
        <v>11148</v>
      </c>
      <c r="K1018" s="367">
        <f t="shared" si="154"/>
        <v>7962.8571428571431</v>
      </c>
      <c r="L1018" s="606">
        <v>0.18000000000000002</v>
      </c>
      <c r="M1018" s="97">
        <v>2.4</v>
      </c>
      <c r="N1018" s="605">
        <v>20</v>
      </c>
      <c r="O1018" s="97">
        <v>9</v>
      </c>
      <c r="P1018" s="97" t="s">
        <v>556</v>
      </c>
      <c r="Q1018" s="97" t="str">
        <f t="shared" si="157"/>
        <v/>
      </c>
      <c r="R1018" t="str">
        <f t="shared" si="158"/>
        <v/>
      </c>
    </row>
    <row r="1019" spans="3:18">
      <c r="C1019" t="str">
        <f t="shared" si="152"/>
        <v/>
      </c>
      <c r="D1019" s="36">
        <v>240</v>
      </c>
      <c r="E1019" s="97">
        <v>60</v>
      </c>
      <c r="F1019" s="366">
        <f t="shared" si="155"/>
        <v>1302</v>
      </c>
      <c r="G1019" s="97">
        <v>4988</v>
      </c>
      <c r="H1019" s="367">
        <f t="shared" si="156"/>
        <v>6290</v>
      </c>
      <c r="I1019" s="368">
        <f t="shared" si="153"/>
        <v>0</v>
      </c>
      <c r="J1019" s="97">
        <v>18818</v>
      </c>
      <c r="K1019" s="367">
        <f t="shared" si="154"/>
        <v>13441.428571428572</v>
      </c>
      <c r="L1019" s="606">
        <v>0.92</v>
      </c>
      <c r="M1019" s="97">
        <v>4</v>
      </c>
      <c r="N1019" s="605">
        <v>27</v>
      </c>
      <c r="O1019" s="97">
        <v>10</v>
      </c>
      <c r="P1019" s="97" t="s">
        <v>513</v>
      </c>
      <c r="Q1019" s="97" t="str">
        <f t="shared" si="157"/>
        <v/>
      </c>
      <c r="R1019" t="str">
        <f t="shared" si="158"/>
        <v/>
      </c>
    </row>
    <row r="1020" spans="3:18">
      <c r="C1020" t="str">
        <f t="shared" si="152"/>
        <v/>
      </c>
      <c r="D1020" s="36">
        <v>241</v>
      </c>
      <c r="E1020" s="97">
        <v>60</v>
      </c>
      <c r="F1020" s="366">
        <f t="shared" si="155"/>
        <v>1302</v>
      </c>
      <c r="G1020" s="97">
        <v>3943</v>
      </c>
      <c r="H1020" s="367">
        <f t="shared" si="156"/>
        <v>5245</v>
      </c>
      <c r="I1020" s="368">
        <f t="shared" si="153"/>
        <v>0</v>
      </c>
      <c r="J1020" s="97">
        <v>14875</v>
      </c>
      <c r="K1020" s="367">
        <f t="shared" si="154"/>
        <v>10625</v>
      </c>
      <c r="L1020" s="606">
        <v>0.43</v>
      </c>
      <c r="M1020" s="97">
        <v>3.2</v>
      </c>
      <c r="N1020" s="605">
        <v>22</v>
      </c>
      <c r="O1020" s="97">
        <v>10</v>
      </c>
      <c r="P1020" s="97" t="s">
        <v>555</v>
      </c>
      <c r="Q1020" s="97" t="str">
        <f t="shared" si="157"/>
        <v/>
      </c>
      <c r="R1020" t="str">
        <f t="shared" si="158"/>
        <v/>
      </c>
    </row>
    <row r="1021" spans="3:18">
      <c r="C1021" t="str">
        <f t="shared" si="152"/>
        <v/>
      </c>
      <c r="D1021" s="36">
        <v>242</v>
      </c>
      <c r="E1021" s="97">
        <v>60</v>
      </c>
      <c r="F1021" s="366">
        <f t="shared" si="155"/>
        <v>1302</v>
      </c>
      <c r="G1021" s="97">
        <v>3513</v>
      </c>
      <c r="H1021" s="367">
        <f t="shared" si="156"/>
        <v>4815</v>
      </c>
      <c r="I1021" s="368">
        <f t="shared" si="153"/>
        <v>0</v>
      </c>
      <c r="J1021" s="97">
        <v>13253</v>
      </c>
      <c r="K1021" s="367">
        <f t="shared" si="154"/>
        <v>9466.4285714285725</v>
      </c>
      <c r="L1021" s="606">
        <v>0.3</v>
      </c>
      <c r="M1021" s="97">
        <v>2.9</v>
      </c>
      <c r="N1021" s="605">
        <v>24</v>
      </c>
      <c r="O1021" s="97">
        <v>10</v>
      </c>
      <c r="P1021" s="97" t="s">
        <v>514</v>
      </c>
      <c r="Q1021" s="97" t="str">
        <f t="shared" si="157"/>
        <v/>
      </c>
      <c r="R1021" t="str">
        <f t="shared" si="158"/>
        <v/>
      </c>
    </row>
    <row r="1022" spans="3:18">
      <c r="C1022" t="str">
        <f t="shared" si="152"/>
        <v>NL</v>
      </c>
      <c r="D1022" s="36">
        <v>243</v>
      </c>
      <c r="E1022" s="97">
        <v>65</v>
      </c>
      <c r="F1022" s="366">
        <f t="shared" si="155"/>
        <v>1410.5</v>
      </c>
      <c r="G1022" s="97">
        <v>2234</v>
      </c>
      <c r="H1022" s="367">
        <f t="shared" si="156"/>
        <v>3644.5</v>
      </c>
      <c r="I1022" s="368">
        <f t="shared" si="153"/>
        <v>0</v>
      </c>
      <c r="J1022" s="97">
        <v>8427</v>
      </c>
      <c r="K1022" s="367">
        <f t="shared" si="154"/>
        <v>6019.2857142857147</v>
      </c>
      <c r="L1022" s="606">
        <v>1</v>
      </c>
      <c r="M1022" s="97">
        <v>2.4</v>
      </c>
      <c r="N1022" s="605">
        <v>25</v>
      </c>
      <c r="O1022" s="97">
        <v>3</v>
      </c>
      <c r="P1022" s="97" t="s">
        <v>515</v>
      </c>
      <c r="Q1022" s="97" t="str">
        <f t="shared" si="157"/>
        <v/>
      </c>
      <c r="R1022" t="str">
        <f t="shared" si="158"/>
        <v/>
      </c>
    </row>
    <row r="1023" spans="3:18">
      <c r="C1023" t="str">
        <f t="shared" si="152"/>
        <v/>
      </c>
      <c r="D1023" s="36">
        <v>244</v>
      </c>
      <c r="E1023" s="97">
        <v>65</v>
      </c>
      <c r="F1023" s="366">
        <f t="shared" si="155"/>
        <v>1410.5</v>
      </c>
      <c r="G1023" s="97">
        <v>2604</v>
      </c>
      <c r="H1023" s="367">
        <f t="shared" si="156"/>
        <v>4014.5</v>
      </c>
      <c r="I1023" s="368">
        <f t="shared" si="153"/>
        <v>0</v>
      </c>
      <c r="J1023" s="97">
        <v>9824</v>
      </c>
      <c r="K1023" s="367">
        <f t="shared" si="154"/>
        <v>7017.1428571428569</v>
      </c>
      <c r="L1023" s="606">
        <v>0.94000000000000006</v>
      </c>
      <c r="M1023" s="97">
        <v>3.1</v>
      </c>
      <c r="N1023" s="605">
        <v>25</v>
      </c>
      <c r="O1023" s="97">
        <v>4</v>
      </c>
      <c r="P1023" s="97" t="s">
        <v>556</v>
      </c>
      <c r="Q1023" s="97" t="str">
        <f t="shared" si="157"/>
        <v/>
      </c>
      <c r="R1023" t="str">
        <f t="shared" si="158"/>
        <v/>
      </c>
    </row>
    <row r="1024" spans="3:18">
      <c r="C1024" t="str">
        <f t="shared" si="152"/>
        <v/>
      </c>
      <c r="D1024" s="36">
        <v>245</v>
      </c>
      <c r="E1024" s="97">
        <v>65</v>
      </c>
      <c r="F1024" s="366">
        <f t="shared" si="155"/>
        <v>1410.5</v>
      </c>
      <c r="G1024" s="97">
        <v>2117</v>
      </c>
      <c r="H1024" s="367">
        <f t="shared" si="156"/>
        <v>3527.5</v>
      </c>
      <c r="I1024" s="368">
        <f t="shared" si="153"/>
        <v>0</v>
      </c>
      <c r="J1024" s="97">
        <v>7987</v>
      </c>
      <c r="K1024" s="367">
        <f t="shared" si="154"/>
        <v>5705</v>
      </c>
      <c r="L1024" s="606">
        <v>0.56000000000000005</v>
      </c>
      <c r="M1024" s="97">
        <v>3.1</v>
      </c>
      <c r="N1024" s="605">
        <v>23</v>
      </c>
      <c r="O1024" s="97">
        <v>4</v>
      </c>
      <c r="P1024" s="97" t="s">
        <v>515</v>
      </c>
      <c r="Q1024" s="97">
        <f t="shared" si="157"/>
        <v>245</v>
      </c>
      <c r="R1024" t="str">
        <f t="shared" si="158"/>
        <v/>
      </c>
    </row>
    <row r="1025" spans="3:18">
      <c r="C1025" t="str">
        <f t="shared" si="152"/>
        <v>NL</v>
      </c>
      <c r="D1025" s="36">
        <v>246</v>
      </c>
      <c r="E1025" s="97">
        <v>65</v>
      </c>
      <c r="F1025" s="366">
        <f t="shared" si="155"/>
        <v>1410.5</v>
      </c>
      <c r="G1025" s="97">
        <v>2577</v>
      </c>
      <c r="H1025" s="367">
        <f t="shared" si="156"/>
        <v>3987.5</v>
      </c>
      <c r="I1025" s="368">
        <f t="shared" si="153"/>
        <v>0</v>
      </c>
      <c r="J1025" s="97">
        <v>9723</v>
      </c>
      <c r="K1025" s="367">
        <f t="shared" si="154"/>
        <v>6945</v>
      </c>
      <c r="L1025" s="606">
        <v>0.62</v>
      </c>
      <c r="M1025" s="97">
        <v>3.8000000000000003</v>
      </c>
      <c r="N1025" s="605">
        <v>24</v>
      </c>
      <c r="O1025" s="97">
        <v>5</v>
      </c>
      <c r="P1025" s="97" t="s">
        <v>556</v>
      </c>
      <c r="Q1025" s="97" t="str">
        <f t="shared" si="157"/>
        <v/>
      </c>
      <c r="R1025" t="str">
        <f t="shared" si="158"/>
        <v/>
      </c>
    </row>
    <row r="1026" spans="3:18">
      <c r="C1026" t="str">
        <f t="shared" si="152"/>
        <v>NL</v>
      </c>
      <c r="D1026" s="36">
        <v>247</v>
      </c>
      <c r="E1026" s="97">
        <v>65</v>
      </c>
      <c r="F1026" s="366">
        <f t="shared" si="155"/>
        <v>1410.5</v>
      </c>
      <c r="G1026" s="97">
        <v>2240</v>
      </c>
      <c r="H1026" s="367">
        <f t="shared" si="156"/>
        <v>3650.5</v>
      </c>
      <c r="I1026" s="368">
        <f t="shared" si="153"/>
        <v>0</v>
      </c>
      <c r="J1026" s="97">
        <v>8451</v>
      </c>
      <c r="K1026" s="367">
        <f t="shared" si="154"/>
        <v>6036.4285714285716</v>
      </c>
      <c r="L1026" s="606">
        <v>0.38</v>
      </c>
      <c r="M1026" s="97">
        <v>3.8000000000000003</v>
      </c>
      <c r="N1026" s="605">
        <v>22</v>
      </c>
      <c r="O1026" s="97">
        <v>5</v>
      </c>
      <c r="P1026" s="97" t="s">
        <v>515</v>
      </c>
      <c r="Q1026" s="97" t="str">
        <f t="shared" si="157"/>
        <v/>
      </c>
      <c r="R1026" t="str">
        <f t="shared" si="158"/>
        <v/>
      </c>
    </row>
    <row r="1027" spans="3:18">
      <c r="C1027" t="str">
        <f t="shared" si="152"/>
        <v/>
      </c>
      <c r="D1027" s="36">
        <v>248</v>
      </c>
      <c r="E1027" s="97">
        <v>65</v>
      </c>
      <c r="F1027" s="366">
        <f t="shared" si="155"/>
        <v>1410.5</v>
      </c>
      <c r="G1027" s="97">
        <v>3254</v>
      </c>
      <c r="H1027" s="367">
        <f t="shared" si="156"/>
        <v>4664.5</v>
      </c>
      <c r="I1027" s="368">
        <f t="shared" si="153"/>
        <v>0</v>
      </c>
      <c r="J1027" s="97">
        <v>12276</v>
      </c>
      <c r="K1027" s="367">
        <f t="shared" si="154"/>
        <v>8768.5714285714294</v>
      </c>
      <c r="L1027" s="606">
        <v>0.89</v>
      </c>
      <c r="M1027" s="97">
        <v>4.3999999999999995</v>
      </c>
      <c r="N1027" s="605">
        <v>28</v>
      </c>
      <c r="O1027" s="97">
        <v>6</v>
      </c>
      <c r="P1027" s="97" t="s">
        <v>514</v>
      </c>
      <c r="Q1027" s="97" t="str">
        <f t="shared" si="157"/>
        <v/>
      </c>
      <c r="R1027" t="str">
        <f t="shared" si="158"/>
        <v/>
      </c>
    </row>
    <row r="1028" spans="3:18">
      <c r="C1028" t="str">
        <f t="shared" si="152"/>
        <v/>
      </c>
      <c r="D1028" s="36">
        <v>249</v>
      </c>
      <c r="E1028" s="97">
        <v>65</v>
      </c>
      <c r="F1028" s="366">
        <f t="shared" si="155"/>
        <v>1410.5</v>
      </c>
      <c r="G1028" s="97">
        <v>2660</v>
      </c>
      <c r="H1028" s="367">
        <f t="shared" si="156"/>
        <v>4070.5</v>
      </c>
      <c r="I1028" s="368">
        <f t="shared" si="153"/>
        <v>0</v>
      </c>
      <c r="J1028" s="97">
        <v>10036</v>
      </c>
      <c r="K1028" s="367">
        <f t="shared" si="154"/>
        <v>7168.5714285714284</v>
      </c>
      <c r="L1028" s="606">
        <v>0.43</v>
      </c>
      <c r="M1028" s="97">
        <v>4.3999999999999995</v>
      </c>
      <c r="N1028" s="605">
        <v>23</v>
      </c>
      <c r="O1028" s="97">
        <v>6</v>
      </c>
      <c r="P1028" s="97" t="s">
        <v>556</v>
      </c>
      <c r="Q1028" s="97">
        <f t="shared" si="157"/>
        <v>249</v>
      </c>
      <c r="R1028" t="str">
        <f t="shared" si="158"/>
        <v/>
      </c>
    </row>
    <row r="1029" spans="3:18">
      <c r="C1029" t="str">
        <f t="shared" si="152"/>
        <v/>
      </c>
      <c r="D1029" s="36">
        <v>250</v>
      </c>
      <c r="E1029" s="97">
        <v>65</v>
      </c>
      <c r="F1029" s="366">
        <f t="shared" si="155"/>
        <v>1410.5</v>
      </c>
      <c r="G1029" s="97">
        <v>2242</v>
      </c>
      <c r="H1029" s="367">
        <f t="shared" si="156"/>
        <v>3652.5</v>
      </c>
      <c r="I1029" s="368">
        <f t="shared" si="153"/>
        <v>0</v>
      </c>
      <c r="J1029" s="97">
        <v>8460</v>
      </c>
      <c r="K1029" s="367">
        <f t="shared" si="154"/>
        <v>6042.8571428571431</v>
      </c>
      <c r="L1029" s="606">
        <v>0.26</v>
      </c>
      <c r="M1029" s="97">
        <v>4.3999999999999995</v>
      </c>
      <c r="N1029" s="605">
        <v>20</v>
      </c>
      <c r="O1029" s="97">
        <v>6</v>
      </c>
      <c r="P1029" s="97" t="s">
        <v>515</v>
      </c>
      <c r="Q1029" s="97">
        <f t="shared" si="157"/>
        <v>250</v>
      </c>
      <c r="R1029" t="str">
        <f t="shared" si="158"/>
        <v/>
      </c>
    </row>
    <row r="1030" spans="3:18">
      <c r="C1030" t="str">
        <f t="shared" si="152"/>
        <v>NL</v>
      </c>
      <c r="D1030" s="36">
        <v>251</v>
      </c>
      <c r="E1030" s="97">
        <v>65</v>
      </c>
      <c r="F1030" s="366">
        <f t="shared" si="155"/>
        <v>1410.5</v>
      </c>
      <c r="G1030" s="97">
        <v>3617</v>
      </c>
      <c r="H1030" s="367">
        <f t="shared" si="156"/>
        <v>5027.5</v>
      </c>
      <c r="I1030" s="368">
        <f t="shared" si="153"/>
        <v>0</v>
      </c>
      <c r="J1030" s="97">
        <v>13647</v>
      </c>
      <c r="K1030" s="367">
        <f t="shared" si="154"/>
        <v>9747.8571428571431</v>
      </c>
      <c r="L1030" s="606">
        <v>0.98</v>
      </c>
      <c r="M1030" s="97">
        <v>5.0999999999999996</v>
      </c>
      <c r="N1030" s="605">
        <v>25</v>
      </c>
      <c r="O1030" s="97">
        <v>7</v>
      </c>
      <c r="P1030" s="97" t="s">
        <v>555</v>
      </c>
      <c r="Q1030" s="97" t="str">
        <f t="shared" si="157"/>
        <v/>
      </c>
      <c r="R1030" t="str">
        <f t="shared" si="158"/>
        <v/>
      </c>
    </row>
    <row r="1031" spans="3:18">
      <c r="C1031" t="str">
        <f t="shared" si="152"/>
        <v>NL</v>
      </c>
      <c r="D1031" s="36">
        <v>252</v>
      </c>
      <c r="E1031" s="97">
        <v>65</v>
      </c>
      <c r="F1031" s="366">
        <f t="shared" si="155"/>
        <v>1410.5</v>
      </c>
      <c r="G1031" s="97">
        <v>3257</v>
      </c>
      <c r="H1031" s="367">
        <f t="shared" si="156"/>
        <v>4667.5</v>
      </c>
      <c r="I1031" s="368">
        <f t="shared" si="153"/>
        <v>0</v>
      </c>
      <c r="J1031" s="97">
        <v>12287</v>
      </c>
      <c r="K1031" s="367">
        <f t="shared" si="154"/>
        <v>8776.4285714285725</v>
      </c>
      <c r="L1031" s="606">
        <v>0.66</v>
      </c>
      <c r="M1031" s="97">
        <v>5.0999999999999996</v>
      </c>
      <c r="N1031" s="605">
        <v>27</v>
      </c>
      <c r="O1031" s="97">
        <v>7</v>
      </c>
      <c r="P1031" s="97" t="s">
        <v>514</v>
      </c>
      <c r="Q1031" s="97" t="str">
        <f t="shared" si="157"/>
        <v/>
      </c>
      <c r="R1031" t="str">
        <f t="shared" si="158"/>
        <v/>
      </c>
    </row>
    <row r="1032" spans="3:18">
      <c r="C1032" t="str">
        <f t="shared" si="152"/>
        <v>NL</v>
      </c>
      <c r="D1032" s="36">
        <v>253</v>
      </c>
      <c r="E1032" s="97">
        <v>65</v>
      </c>
      <c r="F1032" s="366">
        <f t="shared" si="155"/>
        <v>1410.5</v>
      </c>
      <c r="G1032" s="97">
        <v>2851</v>
      </c>
      <c r="H1032" s="367">
        <f t="shared" si="156"/>
        <v>4261.5</v>
      </c>
      <c r="I1032" s="368">
        <f t="shared" si="153"/>
        <v>0</v>
      </c>
      <c r="J1032" s="97">
        <v>10757</v>
      </c>
      <c r="K1032" s="367">
        <f t="shared" si="154"/>
        <v>7683.5714285714284</v>
      </c>
      <c r="L1032" s="606">
        <v>0.32</v>
      </c>
      <c r="M1032" s="97">
        <v>5.0999999999999996</v>
      </c>
      <c r="N1032" s="605">
        <v>21</v>
      </c>
      <c r="O1032" s="97">
        <v>7</v>
      </c>
      <c r="P1032" s="97" t="s">
        <v>556</v>
      </c>
      <c r="Q1032" s="97" t="str">
        <f t="shared" si="157"/>
        <v/>
      </c>
      <c r="R1032" t="str">
        <f t="shared" si="158"/>
        <v/>
      </c>
    </row>
    <row r="1033" spans="3:18">
      <c r="C1033" t="str">
        <f t="shared" si="152"/>
        <v>NL</v>
      </c>
      <c r="D1033" s="36">
        <v>254</v>
      </c>
      <c r="E1033" s="97">
        <v>65</v>
      </c>
      <c r="F1033" s="366">
        <f t="shared" si="155"/>
        <v>1410.5</v>
      </c>
      <c r="G1033" s="97">
        <v>2453</v>
      </c>
      <c r="H1033" s="367">
        <f t="shared" si="156"/>
        <v>3863.5</v>
      </c>
      <c r="I1033" s="368">
        <f t="shared" si="153"/>
        <v>0</v>
      </c>
      <c r="J1033" s="97">
        <v>9253</v>
      </c>
      <c r="K1033" s="367">
        <f t="shared" si="154"/>
        <v>6609.2857142857147</v>
      </c>
      <c r="L1033" s="606">
        <v>0.2</v>
      </c>
      <c r="M1033" s="97">
        <v>5.0999999999999996</v>
      </c>
      <c r="N1033" s="605">
        <v>19</v>
      </c>
      <c r="O1033" s="97">
        <v>7</v>
      </c>
      <c r="P1033" s="97" t="s">
        <v>515</v>
      </c>
      <c r="Q1033" s="97" t="str">
        <f t="shared" si="157"/>
        <v/>
      </c>
      <c r="R1033" t="str">
        <f t="shared" si="158"/>
        <v/>
      </c>
    </row>
    <row r="1034" spans="3:18">
      <c r="C1034" t="str">
        <f t="shared" ref="C1034:C1294" si="159">IF(OR($O$4=0,O1034-$O$4=0),IF(AND(ISEVEN(O1034)=FALSE,$N$4="Even"),"NL",""),"NL")</f>
        <v/>
      </c>
      <c r="D1034" s="36">
        <v>255</v>
      </c>
      <c r="E1034" s="97">
        <v>65</v>
      </c>
      <c r="F1034" s="366">
        <f t="shared" si="155"/>
        <v>1410.5</v>
      </c>
      <c r="G1034" s="97">
        <v>3773</v>
      </c>
      <c r="H1034" s="367">
        <f t="shared" si="156"/>
        <v>5183.5</v>
      </c>
      <c r="I1034" s="368">
        <f t="shared" ref="I1034:I1294" si="160">1.085*($C$2-$D$2)*E1034*$T$7</f>
        <v>0</v>
      </c>
      <c r="J1034" s="97">
        <v>14233</v>
      </c>
      <c r="K1034" s="367">
        <f t="shared" ref="K1034:K1294" si="161">(J1034*$V$7)-I1034</f>
        <v>10166.428571428572</v>
      </c>
      <c r="L1034" s="606">
        <v>0.77</v>
      </c>
      <c r="M1034" s="97">
        <v>5.8</v>
      </c>
      <c r="N1034" s="605">
        <v>25</v>
      </c>
      <c r="O1034" s="97">
        <v>8</v>
      </c>
      <c r="P1034" s="97" t="s">
        <v>555</v>
      </c>
      <c r="Q1034" s="97" t="str">
        <f t="shared" si="157"/>
        <v/>
      </c>
      <c r="R1034" t="str">
        <f t="shared" si="158"/>
        <v/>
      </c>
    </row>
    <row r="1035" spans="3:18">
      <c r="C1035" t="str">
        <f t="shared" si="159"/>
        <v/>
      </c>
      <c r="D1035" s="36">
        <v>256</v>
      </c>
      <c r="E1035" s="97">
        <v>65</v>
      </c>
      <c r="F1035" s="366">
        <f t="shared" si="155"/>
        <v>1410.5</v>
      </c>
      <c r="G1035" s="97">
        <v>3413</v>
      </c>
      <c r="H1035" s="367">
        <f t="shared" si="156"/>
        <v>4823.5</v>
      </c>
      <c r="I1035" s="368">
        <f t="shared" si="160"/>
        <v>0</v>
      </c>
      <c r="J1035" s="97">
        <v>12876</v>
      </c>
      <c r="K1035" s="367">
        <f t="shared" si="161"/>
        <v>9197.1428571428569</v>
      </c>
      <c r="L1035" s="606">
        <v>0.53</v>
      </c>
      <c r="M1035" s="97">
        <v>5.8</v>
      </c>
      <c r="N1035" s="605">
        <v>26</v>
      </c>
      <c r="O1035" s="97">
        <v>8</v>
      </c>
      <c r="P1035" s="97" t="s">
        <v>514</v>
      </c>
      <c r="Q1035" s="97">
        <f t="shared" si="157"/>
        <v>256</v>
      </c>
      <c r="R1035" t="str">
        <f t="shared" si="158"/>
        <v/>
      </c>
    </row>
    <row r="1036" spans="3:18">
      <c r="C1036" t="str">
        <f t="shared" si="159"/>
        <v/>
      </c>
      <c r="D1036" s="36">
        <v>257</v>
      </c>
      <c r="E1036" s="97">
        <v>65</v>
      </c>
      <c r="F1036" s="366">
        <f t="shared" ref="F1036:F1099" si="162">1.085*($A$2-$B$2)*E1036*$T$7</f>
        <v>1410.5</v>
      </c>
      <c r="G1036" s="97">
        <v>3068</v>
      </c>
      <c r="H1036" s="367">
        <f t="shared" ref="H1036:H1062" si="163">(G1036*$U$7)+F1036</f>
        <v>4478.5</v>
      </c>
      <c r="I1036" s="368">
        <f t="shared" si="160"/>
        <v>0</v>
      </c>
      <c r="J1036" s="97">
        <v>11574</v>
      </c>
      <c r="K1036" s="367">
        <f t="shared" si="161"/>
        <v>8267.1428571428569</v>
      </c>
      <c r="L1036" s="606">
        <v>0.25</v>
      </c>
      <c r="M1036" s="97">
        <v>5.8</v>
      </c>
      <c r="N1036" s="605">
        <v>20</v>
      </c>
      <c r="O1036" s="97">
        <v>8</v>
      </c>
      <c r="P1036" s="97" t="s">
        <v>556</v>
      </c>
      <c r="Q1036" s="97">
        <f t="shared" ref="Q1036:Q1062" si="164">IF(AND(H1036+1&gt;$E$4,L1036&lt;$L$4+0.01,M1036&lt;$M$4+0.01,K1036+1&gt;$F$4,E1036+1&gt;$J$4,N1036&lt;$K$4+1,O1036&lt;$P$4+1,C1036=""),D1036,"")</f>
        <v>257</v>
      </c>
      <c r="R1036" t="str">
        <f t="shared" ref="R1036:R1062" si="165">IF(Q1036="","",IF(AND(O1036&lt;$X$15,E1036&gt;$U$15,E1036&lt;$Q$4+$U$15+1),D1036,""))</f>
        <v/>
      </c>
    </row>
    <row r="1037" spans="3:18">
      <c r="C1037" t="str">
        <f t="shared" si="159"/>
        <v>NL</v>
      </c>
      <c r="D1037" s="36">
        <v>258</v>
      </c>
      <c r="E1037" s="97">
        <v>65</v>
      </c>
      <c r="F1037" s="366">
        <f t="shared" si="162"/>
        <v>1410.5</v>
      </c>
      <c r="G1037" s="97">
        <v>3943</v>
      </c>
      <c r="H1037" s="367">
        <f t="shared" si="163"/>
        <v>5353.5</v>
      </c>
      <c r="I1037" s="368">
        <f t="shared" si="160"/>
        <v>0</v>
      </c>
      <c r="J1037" s="97">
        <v>14875</v>
      </c>
      <c r="K1037" s="367">
        <f t="shared" si="161"/>
        <v>10625</v>
      </c>
      <c r="L1037" s="606">
        <v>0.61</v>
      </c>
      <c r="M1037" s="97">
        <v>3.2</v>
      </c>
      <c r="N1037" s="605">
        <v>24</v>
      </c>
      <c r="O1037" s="97">
        <v>9</v>
      </c>
      <c r="P1037" s="97" t="s">
        <v>555</v>
      </c>
      <c r="Q1037" s="97" t="str">
        <f t="shared" si="164"/>
        <v/>
      </c>
      <c r="R1037" t="str">
        <f t="shared" si="165"/>
        <v/>
      </c>
    </row>
    <row r="1038" spans="3:18">
      <c r="C1038" t="str">
        <f t="shared" si="159"/>
        <v>NL</v>
      </c>
      <c r="D1038" s="36">
        <v>259</v>
      </c>
      <c r="E1038" s="97">
        <v>65</v>
      </c>
      <c r="F1038" s="366">
        <f t="shared" si="162"/>
        <v>1410.5</v>
      </c>
      <c r="G1038" s="97">
        <v>3587</v>
      </c>
      <c r="H1038" s="367">
        <f t="shared" si="163"/>
        <v>4997.5</v>
      </c>
      <c r="I1038" s="368">
        <f t="shared" si="160"/>
        <v>0</v>
      </c>
      <c r="J1038" s="97">
        <v>13533</v>
      </c>
      <c r="K1038" s="367">
        <f t="shared" si="161"/>
        <v>9666.4285714285725</v>
      </c>
      <c r="L1038" s="606">
        <v>0.43</v>
      </c>
      <c r="M1038" s="97">
        <v>2.9</v>
      </c>
      <c r="N1038" s="605">
        <v>26</v>
      </c>
      <c r="O1038" s="97">
        <v>9</v>
      </c>
      <c r="P1038" s="97" t="s">
        <v>514</v>
      </c>
      <c r="Q1038" s="97" t="str">
        <f t="shared" si="164"/>
        <v/>
      </c>
      <c r="R1038" t="str">
        <f t="shared" si="165"/>
        <v/>
      </c>
    </row>
    <row r="1039" spans="3:18">
      <c r="C1039" t="str">
        <f t="shared" si="159"/>
        <v>NL</v>
      </c>
      <c r="D1039" s="36">
        <v>260</v>
      </c>
      <c r="E1039" s="97">
        <v>65</v>
      </c>
      <c r="F1039" s="366">
        <f t="shared" si="162"/>
        <v>1410.5</v>
      </c>
      <c r="G1039" s="97">
        <v>3122</v>
      </c>
      <c r="H1039" s="367">
        <f t="shared" si="163"/>
        <v>4532.5</v>
      </c>
      <c r="I1039" s="368">
        <f t="shared" si="160"/>
        <v>0</v>
      </c>
      <c r="J1039" s="97">
        <v>11778</v>
      </c>
      <c r="K1039" s="367">
        <f t="shared" si="161"/>
        <v>8412.8571428571431</v>
      </c>
      <c r="L1039" s="606">
        <v>0.21000000000000002</v>
      </c>
      <c r="M1039" s="97">
        <v>2.5</v>
      </c>
      <c r="N1039" s="605">
        <v>21</v>
      </c>
      <c r="O1039" s="97">
        <v>9</v>
      </c>
      <c r="P1039" s="97" t="s">
        <v>556</v>
      </c>
      <c r="Q1039" s="97" t="str">
        <f t="shared" si="164"/>
        <v/>
      </c>
      <c r="R1039" t="str">
        <f t="shared" si="165"/>
        <v/>
      </c>
    </row>
    <row r="1040" spans="3:18">
      <c r="C1040" t="str">
        <f t="shared" si="159"/>
        <v/>
      </c>
      <c r="D1040" s="36">
        <v>261</v>
      </c>
      <c r="E1040" s="97">
        <v>65</v>
      </c>
      <c r="F1040" s="366">
        <f t="shared" si="162"/>
        <v>1410.5</v>
      </c>
      <c r="G1040" s="97">
        <v>4161</v>
      </c>
      <c r="H1040" s="367">
        <f t="shared" si="163"/>
        <v>5571.5</v>
      </c>
      <c r="I1040" s="368">
        <f t="shared" si="160"/>
        <v>0</v>
      </c>
      <c r="J1040" s="97">
        <v>15699</v>
      </c>
      <c r="K1040" s="367">
        <f t="shared" si="161"/>
        <v>11213.571428571429</v>
      </c>
      <c r="L1040" s="606">
        <v>0.51</v>
      </c>
      <c r="M1040" s="97">
        <v>3.4</v>
      </c>
      <c r="N1040" s="605">
        <v>23</v>
      </c>
      <c r="O1040" s="97">
        <v>10</v>
      </c>
      <c r="P1040" s="97" t="s">
        <v>555</v>
      </c>
      <c r="Q1040" s="97" t="str">
        <f t="shared" si="164"/>
        <v/>
      </c>
      <c r="R1040" t="str">
        <f t="shared" si="165"/>
        <v/>
      </c>
    </row>
    <row r="1041" spans="3:18">
      <c r="C1041" t="str">
        <f t="shared" si="159"/>
        <v/>
      </c>
      <c r="D1041" s="36">
        <v>262</v>
      </c>
      <c r="E1041" s="97">
        <v>65</v>
      </c>
      <c r="F1041" s="366">
        <f t="shared" si="162"/>
        <v>1410.5</v>
      </c>
      <c r="G1041" s="97">
        <v>3715</v>
      </c>
      <c r="H1041" s="367">
        <f t="shared" si="163"/>
        <v>5125.5</v>
      </c>
      <c r="I1041" s="368">
        <f t="shared" si="160"/>
        <v>0</v>
      </c>
      <c r="J1041" s="97">
        <v>14015</v>
      </c>
      <c r="K1041" s="367">
        <f t="shared" si="161"/>
        <v>10010.714285714286</v>
      </c>
      <c r="L1041" s="606">
        <v>0.35000000000000003</v>
      </c>
      <c r="M1041" s="97">
        <v>3</v>
      </c>
      <c r="N1041" s="605">
        <v>25</v>
      </c>
      <c r="O1041" s="97">
        <v>10</v>
      </c>
      <c r="P1041" s="97" t="s">
        <v>514</v>
      </c>
      <c r="Q1041" s="97" t="str">
        <f t="shared" si="164"/>
        <v/>
      </c>
      <c r="R1041" t="str">
        <f t="shared" si="165"/>
        <v/>
      </c>
    </row>
    <row r="1042" spans="3:18">
      <c r="C1042" t="str">
        <f t="shared" si="159"/>
        <v/>
      </c>
      <c r="D1042" s="36">
        <v>263</v>
      </c>
      <c r="E1042" s="97">
        <v>65</v>
      </c>
      <c r="F1042" s="366">
        <f t="shared" si="162"/>
        <v>1410.5</v>
      </c>
      <c r="G1042" s="97">
        <v>3174</v>
      </c>
      <c r="H1042" s="367">
        <f t="shared" si="163"/>
        <v>4584.5</v>
      </c>
      <c r="I1042" s="368">
        <f t="shared" si="160"/>
        <v>0</v>
      </c>
      <c r="J1042" s="97">
        <v>11974</v>
      </c>
      <c r="K1042" s="367">
        <f t="shared" si="161"/>
        <v>8552.8571428571431</v>
      </c>
      <c r="L1042" s="606">
        <v>0.17</v>
      </c>
      <c r="M1042" s="97">
        <v>2.6</v>
      </c>
      <c r="N1042" s="605">
        <v>20</v>
      </c>
      <c r="O1042" s="97">
        <v>10</v>
      </c>
      <c r="P1042" s="97" t="s">
        <v>556</v>
      </c>
      <c r="Q1042" s="97" t="str">
        <f t="shared" si="164"/>
        <v/>
      </c>
      <c r="R1042" t="str">
        <f t="shared" si="165"/>
        <v/>
      </c>
    </row>
    <row r="1043" spans="3:18">
      <c r="C1043" t="str">
        <f t="shared" si="159"/>
        <v/>
      </c>
      <c r="D1043" s="36">
        <v>264</v>
      </c>
      <c r="E1043" s="97">
        <v>70</v>
      </c>
      <c r="F1043" s="366">
        <f t="shared" si="162"/>
        <v>1519</v>
      </c>
      <c r="G1043" s="97">
        <v>2296</v>
      </c>
      <c r="H1043" s="367">
        <f t="shared" si="163"/>
        <v>3815</v>
      </c>
      <c r="I1043" s="368">
        <f t="shared" si="160"/>
        <v>0</v>
      </c>
      <c r="J1043" s="97">
        <v>8662</v>
      </c>
      <c r="K1043" s="367">
        <f t="shared" si="161"/>
        <v>6187.1428571428569</v>
      </c>
      <c r="L1043" s="606">
        <v>0.65</v>
      </c>
      <c r="M1043" s="97">
        <v>3.1</v>
      </c>
      <c r="N1043" s="605">
        <v>24</v>
      </c>
      <c r="O1043" s="97">
        <v>4</v>
      </c>
      <c r="P1043" s="97" t="s">
        <v>515</v>
      </c>
      <c r="Q1043" s="97">
        <f t="shared" si="164"/>
        <v>264</v>
      </c>
      <c r="R1043" t="str">
        <f t="shared" si="165"/>
        <v/>
      </c>
    </row>
    <row r="1044" spans="3:18">
      <c r="C1044" t="str">
        <f t="shared" si="159"/>
        <v>NL</v>
      </c>
      <c r="D1044" s="36">
        <v>265</v>
      </c>
      <c r="E1044" s="97">
        <v>70</v>
      </c>
      <c r="F1044" s="366">
        <f t="shared" si="162"/>
        <v>1519</v>
      </c>
      <c r="G1044" s="97">
        <v>2817</v>
      </c>
      <c r="H1044" s="367">
        <f t="shared" si="163"/>
        <v>4336</v>
      </c>
      <c r="I1044" s="368">
        <f t="shared" si="160"/>
        <v>0</v>
      </c>
      <c r="J1044" s="97">
        <v>10628</v>
      </c>
      <c r="K1044" s="367">
        <f t="shared" si="161"/>
        <v>7591.4285714285716</v>
      </c>
      <c r="L1044" s="606">
        <v>0.71</v>
      </c>
      <c r="M1044" s="97">
        <v>3.8000000000000003</v>
      </c>
      <c r="N1044" s="605">
        <v>25</v>
      </c>
      <c r="O1044" s="97">
        <v>5</v>
      </c>
      <c r="P1044" s="97" t="s">
        <v>556</v>
      </c>
      <c r="Q1044" s="97" t="str">
        <f t="shared" si="164"/>
        <v/>
      </c>
      <c r="R1044" t="str">
        <f t="shared" si="165"/>
        <v/>
      </c>
    </row>
    <row r="1045" spans="3:18">
      <c r="C1045" t="str">
        <f t="shared" si="159"/>
        <v>NL</v>
      </c>
      <c r="D1045" s="36">
        <v>266</v>
      </c>
      <c r="E1045" s="97">
        <v>70</v>
      </c>
      <c r="F1045" s="366">
        <f t="shared" si="162"/>
        <v>1519</v>
      </c>
      <c r="G1045" s="97">
        <v>2370</v>
      </c>
      <c r="H1045" s="367">
        <f t="shared" si="163"/>
        <v>3889</v>
      </c>
      <c r="I1045" s="368">
        <f t="shared" si="160"/>
        <v>0</v>
      </c>
      <c r="J1045" s="97">
        <v>8943</v>
      </c>
      <c r="K1045" s="367">
        <f t="shared" si="161"/>
        <v>6387.8571428571431</v>
      </c>
      <c r="L1045" s="606">
        <v>0.44</v>
      </c>
      <c r="M1045" s="97">
        <v>3.8000000000000003</v>
      </c>
      <c r="N1045" s="605">
        <v>23</v>
      </c>
      <c r="O1045" s="97">
        <v>5</v>
      </c>
      <c r="P1045" s="97" t="s">
        <v>515</v>
      </c>
      <c r="Q1045" s="97" t="str">
        <f t="shared" si="164"/>
        <v/>
      </c>
      <c r="R1045" t="str">
        <f t="shared" si="165"/>
        <v/>
      </c>
    </row>
    <row r="1046" spans="3:18">
      <c r="C1046" t="str">
        <f t="shared" si="159"/>
        <v/>
      </c>
      <c r="D1046" s="36">
        <v>267</v>
      </c>
      <c r="E1046" s="97">
        <v>70</v>
      </c>
      <c r="F1046" s="366">
        <f t="shared" si="162"/>
        <v>1519</v>
      </c>
      <c r="G1046" s="97">
        <v>3582</v>
      </c>
      <c r="H1046" s="367">
        <f t="shared" si="163"/>
        <v>5101</v>
      </c>
      <c r="I1046" s="368">
        <f t="shared" si="160"/>
        <v>0</v>
      </c>
      <c r="J1046" s="97">
        <v>13513</v>
      </c>
      <c r="K1046" s="367">
        <f t="shared" si="161"/>
        <v>9652.1428571428569</v>
      </c>
      <c r="L1046" s="606">
        <v>1.03</v>
      </c>
      <c r="M1046" s="97">
        <v>4.3999999999999995</v>
      </c>
      <c r="N1046" s="605">
        <v>29</v>
      </c>
      <c r="O1046" s="97">
        <v>6</v>
      </c>
      <c r="P1046" s="97" t="s">
        <v>514</v>
      </c>
      <c r="Q1046" s="97" t="str">
        <f t="shared" si="164"/>
        <v/>
      </c>
      <c r="R1046" t="str">
        <f t="shared" si="165"/>
        <v/>
      </c>
    </row>
    <row r="1047" spans="3:18">
      <c r="C1047" t="str">
        <f t="shared" si="159"/>
        <v/>
      </c>
      <c r="D1047" s="36">
        <v>268</v>
      </c>
      <c r="E1047" s="97">
        <v>70</v>
      </c>
      <c r="F1047" s="366">
        <f t="shared" si="162"/>
        <v>1519</v>
      </c>
      <c r="G1047" s="97">
        <v>2822</v>
      </c>
      <c r="H1047" s="367">
        <f t="shared" si="163"/>
        <v>4341</v>
      </c>
      <c r="I1047" s="368">
        <f t="shared" si="160"/>
        <v>0</v>
      </c>
      <c r="J1047" s="97">
        <v>10647</v>
      </c>
      <c r="K1047" s="367">
        <f t="shared" si="161"/>
        <v>7605</v>
      </c>
      <c r="L1047" s="606">
        <v>0.5</v>
      </c>
      <c r="M1047" s="97">
        <v>4.3999999999999995</v>
      </c>
      <c r="N1047" s="605">
        <v>24</v>
      </c>
      <c r="O1047" s="97">
        <v>6</v>
      </c>
      <c r="P1047" s="97" t="s">
        <v>556</v>
      </c>
      <c r="Q1047" s="97">
        <f t="shared" si="164"/>
        <v>268</v>
      </c>
      <c r="R1047" t="str">
        <f t="shared" si="165"/>
        <v/>
      </c>
    </row>
    <row r="1048" spans="3:18">
      <c r="C1048" t="str">
        <f t="shared" si="159"/>
        <v/>
      </c>
      <c r="D1048" s="36">
        <v>269</v>
      </c>
      <c r="E1048" s="97">
        <v>70</v>
      </c>
      <c r="F1048" s="366">
        <f t="shared" si="162"/>
        <v>1519</v>
      </c>
      <c r="G1048" s="97">
        <v>2389</v>
      </c>
      <c r="H1048" s="367">
        <f t="shared" si="163"/>
        <v>3908</v>
      </c>
      <c r="I1048" s="368">
        <f t="shared" si="160"/>
        <v>0</v>
      </c>
      <c r="J1048" s="97">
        <v>9012</v>
      </c>
      <c r="K1048" s="367">
        <f t="shared" si="161"/>
        <v>6437.1428571428569</v>
      </c>
      <c r="L1048" s="606">
        <v>0.3</v>
      </c>
      <c r="M1048" s="97">
        <v>4.3999999999999995</v>
      </c>
      <c r="N1048" s="605">
        <v>21</v>
      </c>
      <c r="O1048" s="97">
        <v>6</v>
      </c>
      <c r="P1048" s="97" t="s">
        <v>515</v>
      </c>
      <c r="Q1048" s="97">
        <f t="shared" si="164"/>
        <v>269</v>
      </c>
      <c r="R1048" t="str">
        <f t="shared" si="165"/>
        <v/>
      </c>
    </row>
    <row r="1049" spans="3:18">
      <c r="C1049" t="str">
        <f t="shared" si="159"/>
        <v>NL</v>
      </c>
      <c r="D1049" s="36">
        <v>270</v>
      </c>
      <c r="E1049" s="97">
        <v>70</v>
      </c>
      <c r="F1049" s="366">
        <f t="shared" si="162"/>
        <v>1519</v>
      </c>
      <c r="G1049" s="97">
        <v>3448</v>
      </c>
      <c r="H1049" s="367">
        <f t="shared" si="163"/>
        <v>4967</v>
      </c>
      <c r="I1049" s="368">
        <f t="shared" si="160"/>
        <v>0</v>
      </c>
      <c r="J1049" s="97">
        <v>13010</v>
      </c>
      <c r="K1049" s="367">
        <f t="shared" si="161"/>
        <v>9292.8571428571431</v>
      </c>
      <c r="L1049" s="606">
        <v>0.77</v>
      </c>
      <c r="M1049" s="97">
        <v>5.0999999999999996</v>
      </c>
      <c r="N1049" s="605">
        <v>27</v>
      </c>
      <c r="O1049" s="97">
        <v>7</v>
      </c>
      <c r="P1049" s="97" t="s">
        <v>514</v>
      </c>
      <c r="Q1049" s="97" t="str">
        <f t="shared" si="164"/>
        <v/>
      </c>
      <c r="R1049" t="str">
        <f t="shared" si="165"/>
        <v/>
      </c>
    </row>
    <row r="1050" spans="3:18">
      <c r="C1050" t="str">
        <f t="shared" si="159"/>
        <v>NL</v>
      </c>
      <c r="D1050" s="36">
        <v>271</v>
      </c>
      <c r="E1050" s="97">
        <v>70</v>
      </c>
      <c r="F1050" s="366">
        <f t="shared" si="162"/>
        <v>1519</v>
      </c>
      <c r="G1050" s="97">
        <v>2993</v>
      </c>
      <c r="H1050" s="367">
        <f t="shared" si="163"/>
        <v>4512</v>
      </c>
      <c r="I1050" s="368">
        <f t="shared" si="160"/>
        <v>0</v>
      </c>
      <c r="J1050" s="97">
        <v>11291</v>
      </c>
      <c r="K1050" s="367">
        <f t="shared" si="161"/>
        <v>8065</v>
      </c>
      <c r="L1050" s="606">
        <v>0.37</v>
      </c>
      <c r="M1050" s="97">
        <v>5.0999999999999996</v>
      </c>
      <c r="N1050" s="605">
        <v>22</v>
      </c>
      <c r="O1050" s="97">
        <v>7</v>
      </c>
      <c r="P1050" s="97" t="s">
        <v>556</v>
      </c>
      <c r="Q1050" s="97" t="str">
        <f t="shared" si="164"/>
        <v/>
      </c>
      <c r="R1050" t="str">
        <f t="shared" si="165"/>
        <v/>
      </c>
    </row>
    <row r="1051" spans="3:18">
      <c r="C1051" t="str">
        <f t="shared" si="159"/>
        <v>NL</v>
      </c>
      <c r="D1051" s="36">
        <v>272</v>
      </c>
      <c r="E1051" s="97">
        <v>70</v>
      </c>
      <c r="F1051" s="366">
        <f t="shared" si="162"/>
        <v>1519</v>
      </c>
      <c r="G1051" s="97">
        <v>2580</v>
      </c>
      <c r="H1051" s="367">
        <f t="shared" si="163"/>
        <v>4099</v>
      </c>
      <c r="I1051" s="368">
        <f t="shared" si="160"/>
        <v>0</v>
      </c>
      <c r="J1051" s="97">
        <v>9733</v>
      </c>
      <c r="K1051" s="367">
        <f t="shared" si="161"/>
        <v>6952.1428571428569</v>
      </c>
      <c r="L1051" s="606">
        <v>0.23</v>
      </c>
      <c r="M1051" s="97">
        <v>5.0999999999999996</v>
      </c>
      <c r="N1051" s="605">
        <v>20</v>
      </c>
      <c r="O1051" s="97">
        <v>7</v>
      </c>
      <c r="P1051" s="97" t="s">
        <v>515</v>
      </c>
      <c r="Q1051" s="97" t="str">
        <f t="shared" si="164"/>
        <v/>
      </c>
      <c r="R1051" t="str">
        <f t="shared" si="165"/>
        <v/>
      </c>
    </row>
    <row r="1052" spans="3:18">
      <c r="C1052" t="str">
        <f t="shared" si="159"/>
        <v/>
      </c>
      <c r="D1052" s="36">
        <v>273</v>
      </c>
      <c r="E1052" s="97">
        <v>70</v>
      </c>
      <c r="F1052" s="366">
        <f t="shared" si="162"/>
        <v>1519</v>
      </c>
      <c r="G1052" s="97">
        <v>3971</v>
      </c>
      <c r="H1052" s="367">
        <f t="shared" si="163"/>
        <v>5490</v>
      </c>
      <c r="I1052" s="368">
        <f t="shared" si="160"/>
        <v>0</v>
      </c>
      <c r="J1052" s="97">
        <v>14980</v>
      </c>
      <c r="K1052" s="367">
        <f t="shared" si="161"/>
        <v>10700</v>
      </c>
      <c r="L1052" s="606">
        <v>0.89</v>
      </c>
      <c r="M1052" s="97">
        <v>5.8</v>
      </c>
      <c r="N1052" s="605">
        <v>26</v>
      </c>
      <c r="O1052" s="97">
        <v>8</v>
      </c>
      <c r="P1052" s="97" t="s">
        <v>555</v>
      </c>
      <c r="Q1052" s="97" t="str">
        <f t="shared" si="164"/>
        <v/>
      </c>
      <c r="R1052" t="str">
        <f t="shared" si="165"/>
        <v/>
      </c>
    </row>
    <row r="1053" spans="3:18">
      <c r="C1053" t="str">
        <f t="shared" si="159"/>
        <v/>
      </c>
      <c r="D1053" s="36">
        <v>274</v>
      </c>
      <c r="E1053" s="97">
        <v>70</v>
      </c>
      <c r="F1053" s="366">
        <f t="shared" si="162"/>
        <v>1519</v>
      </c>
      <c r="G1053" s="97">
        <v>3538</v>
      </c>
      <c r="H1053" s="367">
        <f t="shared" si="163"/>
        <v>5057</v>
      </c>
      <c r="I1053" s="368">
        <f t="shared" si="160"/>
        <v>0</v>
      </c>
      <c r="J1053" s="97">
        <v>13349</v>
      </c>
      <c r="K1053" s="367">
        <f t="shared" si="161"/>
        <v>9535</v>
      </c>
      <c r="L1053" s="606">
        <v>0.61</v>
      </c>
      <c r="M1053" s="97">
        <v>5.8</v>
      </c>
      <c r="N1053" s="605">
        <v>27</v>
      </c>
      <c r="O1053" s="97">
        <v>8</v>
      </c>
      <c r="P1053" s="97" t="s">
        <v>514</v>
      </c>
      <c r="Q1053" s="97">
        <f t="shared" si="164"/>
        <v>274</v>
      </c>
      <c r="R1053" t="str">
        <f t="shared" si="165"/>
        <v/>
      </c>
    </row>
    <row r="1054" spans="3:18">
      <c r="C1054" t="str">
        <f t="shared" si="159"/>
        <v/>
      </c>
      <c r="D1054" s="36">
        <v>275</v>
      </c>
      <c r="E1054" s="97">
        <v>70</v>
      </c>
      <c r="F1054" s="366">
        <f t="shared" si="162"/>
        <v>1519</v>
      </c>
      <c r="G1054" s="97">
        <v>3217</v>
      </c>
      <c r="H1054" s="367">
        <f t="shared" si="163"/>
        <v>4736</v>
      </c>
      <c r="I1054" s="368">
        <f t="shared" si="160"/>
        <v>0</v>
      </c>
      <c r="J1054" s="97">
        <v>12135</v>
      </c>
      <c r="K1054" s="367">
        <f t="shared" si="161"/>
        <v>8667.8571428571431</v>
      </c>
      <c r="L1054" s="606">
        <v>0.29000000000000004</v>
      </c>
      <c r="M1054" s="97">
        <v>5.8</v>
      </c>
      <c r="N1054" s="605">
        <v>21</v>
      </c>
      <c r="O1054" s="97">
        <v>8</v>
      </c>
      <c r="P1054" s="97" t="s">
        <v>556</v>
      </c>
      <c r="Q1054" s="97">
        <f t="shared" si="164"/>
        <v>275</v>
      </c>
      <c r="R1054" t="str">
        <f t="shared" si="165"/>
        <v/>
      </c>
    </row>
    <row r="1055" spans="3:18">
      <c r="C1055" t="str">
        <f t="shared" si="159"/>
        <v/>
      </c>
      <c r="D1055" s="36">
        <v>276</v>
      </c>
      <c r="E1055" s="97">
        <v>70</v>
      </c>
      <c r="F1055" s="366">
        <f t="shared" si="162"/>
        <v>1519</v>
      </c>
      <c r="G1055" s="97">
        <v>2787</v>
      </c>
      <c r="H1055" s="367">
        <f t="shared" si="163"/>
        <v>4306</v>
      </c>
      <c r="I1055" s="368">
        <f t="shared" si="160"/>
        <v>0</v>
      </c>
      <c r="J1055" s="97">
        <v>10513</v>
      </c>
      <c r="K1055" s="367">
        <f t="shared" si="161"/>
        <v>7509.2857142857147</v>
      </c>
      <c r="L1055" s="606">
        <v>0.18000000000000002</v>
      </c>
      <c r="M1055" s="97">
        <v>5.8</v>
      </c>
      <c r="N1055" s="605">
        <v>19</v>
      </c>
      <c r="O1055" s="97">
        <v>8</v>
      </c>
      <c r="P1055" s="97" t="s">
        <v>515</v>
      </c>
      <c r="Q1055" s="97">
        <f t="shared" si="164"/>
        <v>276</v>
      </c>
      <c r="R1055" t="str">
        <f t="shared" si="165"/>
        <v/>
      </c>
    </row>
    <row r="1056" spans="3:18">
      <c r="C1056" t="str">
        <f t="shared" si="159"/>
        <v>NL</v>
      </c>
      <c r="D1056" s="36">
        <v>277</v>
      </c>
      <c r="E1056" s="97">
        <v>70</v>
      </c>
      <c r="F1056" s="366">
        <f t="shared" si="162"/>
        <v>1519</v>
      </c>
      <c r="G1056" s="97">
        <v>4069</v>
      </c>
      <c r="H1056" s="367">
        <f t="shared" si="163"/>
        <v>5588</v>
      </c>
      <c r="I1056" s="368">
        <f t="shared" si="160"/>
        <v>0</v>
      </c>
      <c r="J1056" s="97">
        <v>15353</v>
      </c>
      <c r="K1056" s="367">
        <f t="shared" si="161"/>
        <v>10966.428571428572</v>
      </c>
      <c r="L1056" s="606">
        <v>0.71</v>
      </c>
      <c r="M1056" s="97">
        <v>3.3000000000000003</v>
      </c>
      <c r="N1056" s="605">
        <v>25</v>
      </c>
      <c r="O1056" s="97">
        <v>9</v>
      </c>
      <c r="P1056" s="97" t="s">
        <v>555</v>
      </c>
      <c r="Q1056" s="97" t="str">
        <f t="shared" si="164"/>
        <v/>
      </c>
      <c r="R1056" t="str">
        <f t="shared" si="165"/>
        <v/>
      </c>
    </row>
    <row r="1057" spans="3:18">
      <c r="C1057" t="str">
        <f t="shared" si="159"/>
        <v>NL</v>
      </c>
      <c r="D1057" s="36">
        <v>278</v>
      </c>
      <c r="E1057" s="97">
        <v>70</v>
      </c>
      <c r="F1057" s="366">
        <f t="shared" si="162"/>
        <v>1519</v>
      </c>
      <c r="G1057" s="97">
        <v>3698</v>
      </c>
      <c r="H1057" s="367">
        <f t="shared" si="163"/>
        <v>5217</v>
      </c>
      <c r="I1057" s="368">
        <f t="shared" si="160"/>
        <v>0</v>
      </c>
      <c r="J1057" s="97">
        <v>13950</v>
      </c>
      <c r="K1057" s="367">
        <f t="shared" si="161"/>
        <v>9964.2857142857138</v>
      </c>
      <c r="L1057" s="606">
        <v>0.49</v>
      </c>
      <c r="M1057" s="97">
        <v>3</v>
      </c>
      <c r="N1057" s="605">
        <v>27</v>
      </c>
      <c r="O1057" s="97">
        <v>9</v>
      </c>
      <c r="P1057" s="97" t="s">
        <v>514</v>
      </c>
      <c r="Q1057" s="97" t="str">
        <f t="shared" si="164"/>
        <v/>
      </c>
      <c r="R1057" t="str">
        <f t="shared" si="165"/>
        <v/>
      </c>
    </row>
    <row r="1058" spans="3:18">
      <c r="C1058" t="str">
        <f t="shared" si="159"/>
        <v>NL</v>
      </c>
      <c r="D1058" s="36">
        <v>279</v>
      </c>
      <c r="E1058" s="97">
        <v>70</v>
      </c>
      <c r="F1058" s="366">
        <f t="shared" si="162"/>
        <v>1519</v>
      </c>
      <c r="G1058" s="97">
        <v>3289</v>
      </c>
      <c r="H1058" s="367">
        <f t="shared" si="163"/>
        <v>4808</v>
      </c>
      <c r="I1058" s="368">
        <f t="shared" si="160"/>
        <v>0</v>
      </c>
      <c r="J1058" s="97">
        <v>12409</v>
      </c>
      <c r="K1058" s="367">
        <f t="shared" si="161"/>
        <v>8863.5714285714294</v>
      </c>
      <c r="L1058" s="606">
        <v>0.24000000000000002</v>
      </c>
      <c r="M1058" s="97">
        <v>2.7</v>
      </c>
      <c r="N1058" s="605">
        <v>22</v>
      </c>
      <c r="O1058" s="97">
        <v>9</v>
      </c>
      <c r="P1058" s="97" t="s">
        <v>556</v>
      </c>
      <c r="Q1058" s="97" t="str">
        <f t="shared" si="164"/>
        <v/>
      </c>
      <c r="R1058" t="str">
        <f t="shared" si="165"/>
        <v/>
      </c>
    </row>
    <row r="1059" spans="3:18">
      <c r="C1059" t="str">
        <f t="shared" si="159"/>
        <v/>
      </c>
      <c r="D1059" s="36">
        <v>280</v>
      </c>
      <c r="E1059" s="97">
        <v>70</v>
      </c>
      <c r="F1059" s="366">
        <f t="shared" si="162"/>
        <v>1519</v>
      </c>
      <c r="G1059" s="97">
        <v>4270</v>
      </c>
      <c r="H1059" s="367">
        <f t="shared" si="163"/>
        <v>5789</v>
      </c>
      <c r="I1059" s="368">
        <f t="shared" si="160"/>
        <v>0</v>
      </c>
      <c r="J1059" s="97">
        <v>16109</v>
      </c>
      <c r="K1059" s="367">
        <f t="shared" si="161"/>
        <v>11506.428571428572</v>
      </c>
      <c r="L1059" s="606">
        <v>0.59</v>
      </c>
      <c r="M1059" s="97">
        <v>3.5</v>
      </c>
      <c r="N1059" s="605">
        <v>24</v>
      </c>
      <c r="O1059" s="97">
        <v>10</v>
      </c>
      <c r="P1059" s="97" t="s">
        <v>555</v>
      </c>
      <c r="Q1059" s="97" t="str">
        <f t="shared" si="164"/>
        <v/>
      </c>
      <c r="R1059" t="str">
        <f t="shared" si="165"/>
        <v/>
      </c>
    </row>
    <row r="1060" spans="3:18">
      <c r="C1060" t="str">
        <f t="shared" si="159"/>
        <v/>
      </c>
      <c r="D1060" s="36">
        <v>281</v>
      </c>
      <c r="E1060" s="97">
        <v>70</v>
      </c>
      <c r="F1060" s="366">
        <f t="shared" si="162"/>
        <v>1519</v>
      </c>
      <c r="G1060" s="97">
        <v>3902</v>
      </c>
      <c r="H1060" s="367">
        <f t="shared" si="163"/>
        <v>5421</v>
      </c>
      <c r="I1060" s="368">
        <f t="shared" si="160"/>
        <v>0</v>
      </c>
      <c r="J1060" s="97">
        <v>14721</v>
      </c>
      <c r="K1060" s="367">
        <f t="shared" si="161"/>
        <v>10515</v>
      </c>
      <c r="L1060" s="606">
        <v>0.41000000000000003</v>
      </c>
      <c r="M1060" s="97">
        <v>3.2</v>
      </c>
      <c r="N1060" s="605">
        <v>26</v>
      </c>
      <c r="O1060" s="97">
        <v>10</v>
      </c>
      <c r="P1060" s="97" t="s">
        <v>514</v>
      </c>
      <c r="Q1060" s="97" t="str">
        <f t="shared" si="164"/>
        <v/>
      </c>
      <c r="R1060" t="str">
        <f t="shared" si="165"/>
        <v/>
      </c>
    </row>
    <row r="1061" spans="3:18">
      <c r="C1061" t="str">
        <f t="shared" si="159"/>
        <v/>
      </c>
      <c r="D1061" s="36">
        <v>282</v>
      </c>
      <c r="E1061" s="97">
        <v>70</v>
      </c>
      <c r="F1061" s="366">
        <f t="shared" si="162"/>
        <v>1519</v>
      </c>
      <c r="G1061" s="97">
        <v>3335</v>
      </c>
      <c r="H1061" s="367">
        <f t="shared" si="163"/>
        <v>4854</v>
      </c>
      <c r="I1061" s="368">
        <f t="shared" si="160"/>
        <v>0</v>
      </c>
      <c r="J1061" s="97">
        <v>12580</v>
      </c>
      <c r="K1061" s="367">
        <f t="shared" si="161"/>
        <v>8985.7142857142862</v>
      </c>
      <c r="L1061" s="606">
        <v>0.2</v>
      </c>
      <c r="M1061" s="97">
        <v>2.7</v>
      </c>
      <c r="N1061" s="605">
        <v>21</v>
      </c>
      <c r="O1061" s="97">
        <v>10</v>
      </c>
      <c r="P1061" s="97" t="s">
        <v>556</v>
      </c>
      <c r="Q1061" s="97" t="str">
        <f t="shared" si="164"/>
        <v/>
      </c>
      <c r="R1061" t="str">
        <f t="shared" si="165"/>
        <v/>
      </c>
    </row>
    <row r="1062" spans="3:18">
      <c r="C1062" t="str">
        <f t="shared" si="159"/>
        <v/>
      </c>
      <c r="D1062" s="36">
        <v>283</v>
      </c>
      <c r="E1062" s="97">
        <v>75</v>
      </c>
      <c r="F1062" s="366">
        <f t="shared" si="162"/>
        <v>1627.5</v>
      </c>
      <c r="G1062" s="97">
        <v>2475</v>
      </c>
      <c r="H1062" s="367">
        <f t="shared" si="163"/>
        <v>4102.5</v>
      </c>
      <c r="I1062" s="368">
        <f t="shared" si="160"/>
        <v>0</v>
      </c>
      <c r="J1062" s="97">
        <v>9337</v>
      </c>
      <c r="K1062" s="367">
        <f t="shared" si="161"/>
        <v>6669.2857142857147</v>
      </c>
      <c r="L1062" s="606">
        <v>0.74</v>
      </c>
      <c r="M1062" s="97">
        <v>3.1</v>
      </c>
      <c r="N1062" s="605">
        <v>25</v>
      </c>
      <c r="O1062" s="97">
        <v>4</v>
      </c>
      <c r="P1062" s="97" t="s">
        <v>515</v>
      </c>
      <c r="Q1062" s="97" t="str">
        <f t="shared" si="164"/>
        <v/>
      </c>
      <c r="R1062" t="str">
        <f t="shared" si="165"/>
        <v/>
      </c>
    </row>
    <row r="1063" spans="3:18">
      <c r="D1063" s="36">
        <v>284</v>
      </c>
      <c r="E1063" s="97">
        <v>75</v>
      </c>
      <c r="F1063" s="366">
        <f t="shared" si="162"/>
        <v>1627.5</v>
      </c>
      <c r="G1063" s="97">
        <v>3057</v>
      </c>
      <c r="H1063" s="367">
        <f t="shared" ref="H1063:H1126" si="166">(G1063*$U$7)+F1063</f>
        <v>4684.5</v>
      </c>
      <c r="I1063" s="368">
        <f t="shared" ref="I1063:I1126" si="167">1.085*($C$2-$D$2)*E1063*$T$7</f>
        <v>0</v>
      </c>
      <c r="J1063" s="97">
        <v>11534</v>
      </c>
      <c r="K1063" s="367">
        <f t="shared" si="161"/>
        <v>8238.5714285714294</v>
      </c>
      <c r="L1063" s="606">
        <v>0.81</v>
      </c>
      <c r="M1063" s="97">
        <v>3.8000000000000003</v>
      </c>
      <c r="N1063" s="605">
        <v>26</v>
      </c>
      <c r="O1063" s="97">
        <v>5</v>
      </c>
      <c r="P1063" s="97" t="s">
        <v>556</v>
      </c>
      <c r="Q1063" s="97" t="str">
        <f t="shared" ref="Q1063:Q1126" si="168">IF(AND(H1063+1&gt;$E$4,L1063&lt;$L$4+0.01,M1063&lt;$M$4+0.01,K1063+1&gt;$F$4,E1063+1&gt;$J$4,N1063&lt;$K$4+1,O1063&lt;$P$4+1,C1063=""),D1063,"")</f>
        <v/>
      </c>
      <c r="R1063" t="str">
        <f t="shared" ref="R1063:R1126" si="169">IF(Q1063="","",IF(AND(O1063&lt;$X$15,E1063&gt;$U$15,E1063&lt;$Q$4+$U$15+1),D1063,""))</f>
        <v/>
      </c>
    </row>
    <row r="1064" spans="3:18">
      <c r="D1064" s="36">
        <v>285</v>
      </c>
      <c r="E1064" s="97">
        <v>75</v>
      </c>
      <c r="F1064" s="366">
        <f t="shared" si="162"/>
        <v>1627.5</v>
      </c>
      <c r="G1064" s="97">
        <v>2490</v>
      </c>
      <c r="H1064" s="367">
        <f t="shared" si="166"/>
        <v>4117.5</v>
      </c>
      <c r="I1064" s="368">
        <f t="shared" si="167"/>
        <v>0</v>
      </c>
      <c r="J1064" s="97">
        <v>9394</v>
      </c>
      <c r="K1064" s="367">
        <f t="shared" si="161"/>
        <v>6710</v>
      </c>
      <c r="L1064" s="606">
        <v>0.49</v>
      </c>
      <c r="M1064" s="97">
        <v>3.8000000000000003</v>
      </c>
      <c r="N1064" s="605">
        <v>24</v>
      </c>
      <c r="O1064" s="97">
        <v>5</v>
      </c>
      <c r="P1064" s="97" t="s">
        <v>515</v>
      </c>
      <c r="Q1064" s="97">
        <f t="shared" si="168"/>
        <v>285</v>
      </c>
      <c r="R1064" t="str">
        <f t="shared" si="169"/>
        <v/>
      </c>
    </row>
    <row r="1065" spans="3:18">
      <c r="D1065" s="36">
        <v>286</v>
      </c>
      <c r="E1065" s="97">
        <v>75</v>
      </c>
      <c r="F1065" s="366">
        <f t="shared" si="162"/>
        <v>1627.5</v>
      </c>
      <c r="G1065" s="97">
        <v>2984</v>
      </c>
      <c r="H1065" s="367">
        <f t="shared" si="166"/>
        <v>4611.5</v>
      </c>
      <c r="I1065" s="368">
        <f t="shared" si="167"/>
        <v>0</v>
      </c>
      <c r="J1065" s="97">
        <v>11258</v>
      </c>
      <c r="K1065" s="367">
        <f t="shared" si="161"/>
        <v>8041.4285714285716</v>
      </c>
      <c r="L1065" s="606">
        <v>0.57000000000000006</v>
      </c>
      <c r="M1065" s="97">
        <v>4.3999999999999995</v>
      </c>
      <c r="N1065" s="605">
        <v>24</v>
      </c>
      <c r="O1065" s="97">
        <v>6</v>
      </c>
      <c r="P1065" s="97" t="s">
        <v>556</v>
      </c>
      <c r="Q1065" s="97">
        <f t="shared" si="168"/>
        <v>286</v>
      </c>
      <c r="R1065" t="str">
        <f t="shared" si="169"/>
        <v/>
      </c>
    </row>
    <row r="1066" spans="3:18">
      <c r="D1066" s="36">
        <v>287</v>
      </c>
      <c r="E1066" s="97">
        <v>75</v>
      </c>
      <c r="F1066" s="366">
        <f t="shared" si="162"/>
        <v>1627.5</v>
      </c>
      <c r="G1066" s="97">
        <v>2535</v>
      </c>
      <c r="H1066" s="367">
        <f t="shared" si="166"/>
        <v>4162.5</v>
      </c>
      <c r="I1066" s="368">
        <f t="shared" si="167"/>
        <v>0</v>
      </c>
      <c r="J1066" s="97">
        <v>9563</v>
      </c>
      <c r="K1066" s="367">
        <f t="shared" si="161"/>
        <v>6830.7142857142862</v>
      </c>
      <c r="L1066" s="606">
        <v>0.34</v>
      </c>
      <c r="M1066" s="97">
        <v>4.3999999999999995</v>
      </c>
      <c r="N1066" s="605">
        <v>22</v>
      </c>
      <c r="O1066" s="97">
        <v>6</v>
      </c>
      <c r="P1066" s="97" t="s">
        <v>515</v>
      </c>
      <c r="Q1066" s="97">
        <f t="shared" si="168"/>
        <v>287</v>
      </c>
      <c r="R1066" t="str">
        <f t="shared" si="169"/>
        <v/>
      </c>
    </row>
    <row r="1067" spans="3:18">
      <c r="D1067" s="36">
        <v>288</v>
      </c>
      <c r="E1067" s="97">
        <v>75</v>
      </c>
      <c r="F1067" s="366">
        <f t="shared" si="162"/>
        <v>1627.5</v>
      </c>
      <c r="G1067" s="97">
        <v>3651</v>
      </c>
      <c r="H1067" s="367">
        <f t="shared" si="166"/>
        <v>5278.5</v>
      </c>
      <c r="I1067" s="368">
        <f t="shared" si="167"/>
        <v>0</v>
      </c>
      <c r="J1067" s="97">
        <v>13776</v>
      </c>
      <c r="K1067" s="367">
        <f t="shared" si="161"/>
        <v>9840</v>
      </c>
      <c r="L1067" s="606">
        <v>0.87</v>
      </c>
      <c r="M1067" s="97">
        <v>5.0999999999999996</v>
      </c>
      <c r="N1067" s="605">
        <v>28</v>
      </c>
      <c r="O1067" s="97">
        <v>7</v>
      </c>
      <c r="P1067" s="97" t="s">
        <v>514</v>
      </c>
      <c r="Q1067" s="97" t="str">
        <f t="shared" si="168"/>
        <v/>
      </c>
      <c r="R1067" t="str">
        <f t="shared" si="169"/>
        <v/>
      </c>
    </row>
    <row r="1068" spans="3:18">
      <c r="D1068" s="36">
        <v>289</v>
      </c>
      <c r="E1068" s="97">
        <v>75</v>
      </c>
      <c r="F1068" s="366">
        <f t="shared" si="162"/>
        <v>1627.5</v>
      </c>
      <c r="G1068" s="97">
        <v>3135</v>
      </c>
      <c r="H1068" s="367">
        <f t="shared" si="166"/>
        <v>4762.5</v>
      </c>
      <c r="I1068" s="368">
        <f t="shared" si="167"/>
        <v>0</v>
      </c>
      <c r="J1068" s="97">
        <v>11826</v>
      </c>
      <c r="K1068" s="367">
        <f t="shared" si="161"/>
        <v>8447.1428571428569</v>
      </c>
      <c r="L1068" s="606">
        <v>0.42</v>
      </c>
      <c r="M1068" s="97">
        <v>5.0999999999999996</v>
      </c>
      <c r="N1068" s="605">
        <v>23</v>
      </c>
      <c r="O1068" s="97">
        <v>7</v>
      </c>
      <c r="P1068" s="97" t="s">
        <v>556</v>
      </c>
      <c r="Q1068" s="97">
        <f t="shared" si="168"/>
        <v>289</v>
      </c>
      <c r="R1068" t="str">
        <f t="shared" si="169"/>
        <v/>
      </c>
    </row>
    <row r="1069" spans="3:18">
      <c r="D1069" s="36">
        <v>290</v>
      </c>
      <c r="E1069" s="97">
        <v>75</v>
      </c>
      <c r="F1069" s="366">
        <f t="shared" si="162"/>
        <v>1627.5</v>
      </c>
      <c r="G1069" s="97">
        <v>2707</v>
      </c>
      <c r="H1069" s="367">
        <f t="shared" si="166"/>
        <v>4334.5</v>
      </c>
      <c r="I1069" s="368">
        <f t="shared" si="167"/>
        <v>0</v>
      </c>
      <c r="J1069" s="97">
        <v>10213</v>
      </c>
      <c r="K1069" s="367">
        <f t="shared" si="161"/>
        <v>7295</v>
      </c>
      <c r="L1069" s="606">
        <v>0.25</v>
      </c>
      <c r="M1069" s="97">
        <v>5.0999999999999996</v>
      </c>
      <c r="N1069" s="605">
        <v>20</v>
      </c>
      <c r="O1069" s="97">
        <v>7</v>
      </c>
      <c r="P1069" s="97" t="s">
        <v>515</v>
      </c>
      <c r="Q1069" s="97">
        <f t="shared" si="168"/>
        <v>290</v>
      </c>
      <c r="R1069" t="str">
        <f t="shared" si="169"/>
        <v/>
      </c>
    </row>
    <row r="1070" spans="3:18">
      <c r="D1070" s="36">
        <v>291</v>
      </c>
      <c r="E1070" s="97">
        <v>75</v>
      </c>
      <c r="F1070" s="366">
        <f t="shared" si="162"/>
        <v>1627.5</v>
      </c>
      <c r="G1070" s="97">
        <v>4173</v>
      </c>
      <c r="H1070" s="367">
        <f t="shared" si="166"/>
        <v>5800.5</v>
      </c>
      <c r="I1070" s="368">
        <f t="shared" si="167"/>
        <v>0</v>
      </c>
      <c r="J1070" s="97">
        <v>15745</v>
      </c>
      <c r="K1070" s="367">
        <f t="shared" si="161"/>
        <v>11246.428571428572</v>
      </c>
      <c r="L1070" s="606">
        <v>1.02</v>
      </c>
      <c r="M1070" s="97">
        <v>5.8</v>
      </c>
      <c r="N1070" s="605">
        <v>27</v>
      </c>
      <c r="O1070" s="97">
        <v>8</v>
      </c>
      <c r="P1070" s="97" t="s">
        <v>555</v>
      </c>
      <c r="Q1070" s="97" t="str">
        <f t="shared" si="168"/>
        <v/>
      </c>
      <c r="R1070" t="str">
        <f t="shared" si="169"/>
        <v/>
      </c>
    </row>
    <row r="1071" spans="3:18">
      <c r="D1071" s="36">
        <v>292</v>
      </c>
      <c r="E1071" s="97">
        <v>75</v>
      </c>
      <c r="F1071" s="366">
        <f t="shared" si="162"/>
        <v>1627.5</v>
      </c>
      <c r="G1071" s="97">
        <v>3712</v>
      </c>
      <c r="H1071" s="367">
        <f t="shared" si="166"/>
        <v>5339.5</v>
      </c>
      <c r="I1071" s="368">
        <f t="shared" si="167"/>
        <v>0</v>
      </c>
      <c r="J1071" s="97">
        <v>14004</v>
      </c>
      <c r="K1071" s="367">
        <f t="shared" si="161"/>
        <v>10002.857142857143</v>
      </c>
      <c r="L1071" s="606">
        <v>0.69000000000000006</v>
      </c>
      <c r="M1071" s="97">
        <v>5.8</v>
      </c>
      <c r="N1071" s="605">
        <v>28</v>
      </c>
      <c r="O1071" s="97">
        <v>8</v>
      </c>
      <c r="P1071" s="97" t="s">
        <v>514</v>
      </c>
      <c r="Q1071" s="97">
        <f t="shared" si="168"/>
        <v>292</v>
      </c>
      <c r="R1071" t="str">
        <f t="shared" si="169"/>
        <v/>
      </c>
    </row>
    <row r="1072" spans="3:18">
      <c r="D1072" s="36">
        <v>293</v>
      </c>
      <c r="E1072" s="97">
        <v>75</v>
      </c>
      <c r="F1072" s="366">
        <f t="shared" si="162"/>
        <v>1627.5</v>
      </c>
      <c r="G1072" s="97">
        <v>3318</v>
      </c>
      <c r="H1072" s="367">
        <f t="shared" si="166"/>
        <v>4945.5</v>
      </c>
      <c r="I1072" s="368">
        <f t="shared" si="167"/>
        <v>0</v>
      </c>
      <c r="J1072" s="97">
        <v>12517</v>
      </c>
      <c r="K1072" s="367">
        <f t="shared" si="161"/>
        <v>8940.7142857142862</v>
      </c>
      <c r="L1072" s="606">
        <v>0.33</v>
      </c>
      <c r="M1072" s="97">
        <v>5.8</v>
      </c>
      <c r="N1072" s="605">
        <v>22</v>
      </c>
      <c r="O1072" s="97">
        <v>8</v>
      </c>
      <c r="P1072" s="97" t="s">
        <v>556</v>
      </c>
      <c r="Q1072" s="97">
        <f t="shared" si="168"/>
        <v>293</v>
      </c>
      <c r="R1072" t="str">
        <f t="shared" si="169"/>
        <v/>
      </c>
    </row>
    <row r="1073" spans="4:18">
      <c r="D1073" s="36">
        <v>294</v>
      </c>
      <c r="E1073" s="97">
        <v>75</v>
      </c>
      <c r="F1073" s="366">
        <f t="shared" si="162"/>
        <v>1627.5</v>
      </c>
      <c r="G1073" s="97">
        <v>2925</v>
      </c>
      <c r="H1073" s="367">
        <f t="shared" si="166"/>
        <v>4552.5</v>
      </c>
      <c r="I1073" s="368">
        <f t="shared" si="167"/>
        <v>0</v>
      </c>
      <c r="J1073" s="97">
        <v>11035</v>
      </c>
      <c r="K1073" s="367">
        <f t="shared" si="161"/>
        <v>7882.1428571428569</v>
      </c>
      <c r="L1073" s="606">
        <v>0.2</v>
      </c>
      <c r="M1073" s="97">
        <v>5.8</v>
      </c>
      <c r="N1073" s="605">
        <v>20</v>
      </c>
      <c r="O1073" s="97">
        <v>8</v>
      </c>
      <c r="P1073" s="97" t="s">
        <v>515</v>
      </c>
      <c r="Q1073" s="97">
        <f t="shared" si="168"/>
        <v>294</v>
      </c>
      <c r="R1073" t="str">
        <f t="shared" si="169"/>
        <v/>
      </c>
    </row>
    <row r="1074" spans="4:18">
      <c r="D1074" s="36">
        <v>295</v>
      </c>
      <c r="E1074" s="97">
        <v>75</v>
      </c>
      <c r="F1074" s="366">
        <f t="shared" si="162"/>
        <v>1627.5</v>
      </c>
      <c r="G1074" s="97">
        <v>4211</v>
      </c>
      <c r="H1074" s="367">
        <f t="shared" si="166"/>
        <v>5838.5</v>
      </c>
      <c r="I1074" s="368">
        <f t="shared" si="167"/>
        <v>0</v>
      </c>
      <c r="J1074" s="97">
        <v>15888</v>
      </c>
      <c r="K1074" s="367">
        <f t="shared" si="161"/>
        <v>11348.571428571429</v>
      </c>
      <c r="L1074" s="606">
        <v>0.81</v>
      </c>
      <c r="M1074" s="97">
        <v>3.4</v>
      </c>
      <c r="N1074" s="605">
        <v>25</v>
      </c>
      <c r="O1074" s="97">
        <v>9</v>
      </c>
      <c r="P1074" s="97" t="s">
        <v>555</v>
      </c>
      <c r="Q1074" s="97" t="str">
        <f t="shared" si="168"/>
        <v/>
      </c>
      <c r="R1074" t="str">
        <f t="shared" si="169"/>
        <v/>
      </c>
    </row>
    <row r="1075" spans="4:18">
      <c r="D1075" s="36">
        <v>296</v>
      </c>
      <c r="E1075" s="97">
        <v>75</v>
      </c>
      <c r="F1075" s="366">
        <f t="shared" si="162"/>
        <v>1627.5</v>
      </c>
      <c r="G1075" s="97">
        <v>3808</v>
      </c>
      <c r="H1075" s="367">
        <f t="shared" si="166"/>
        <v>5435.5</v>
      </c>
      <c r="I1075" s="368">
        <f t="shared" si="167"/>
        <v>0</v>
      </c>
      <c r="J1075" s="97">
        <v>14366</v>
      </c>
      <c r="K1075" s="367">
        <f t="shared" si="161"/>
        <v>10261.428571428572</v>
      </c>
      <c r="L1075" s="606">
        <v>0.56000000000000005</v>
      </c>
      <c r="M1075" s="97">
        <v>3.1</v>
      </c>
      <c r="N1075" s="605">
        <v>27</v>
      </c>
      <c r="O1075" s="97">
        <v>9</v>
      </c>
      <c r="P1075" s="97" t="s">
        <v>514</v>
      </c>
      <c r="Q1075" s="97" t="str">
        <f t="shared" si="168"/>
        <v/>
      </c>
      <c r="R1075" t="str">
        <f t="shared" si="169"/>
        <v/>
      </c>
    </row>
    <row r="1076" spans="4:18">
      <c r="D1076" s="36">
        <v>297</v>
      </c>
      <c r="E1076" s="97">
        <v>75</v>
      </c>
      <c r="F1076" s="366">
        <f t="shared" si="162"/>
        <v>1627.5</v>
      </c>
      <c r="G1076" s="97">
        <v>3456</v>
      </c>
      <c r="H1076" s="367">
        <f t="shared" si="166"/>
        <v>5083.5</v>
      </c>
      <c r="I1076" s="368">
        <f t="shared" si="167"/>
        <v>0</v>
      </c>
      <c r="J1076" s="97">
        <v>13039</v>
      </c>
      <c r="K1076" s="367">
        <f t="shared" si="161"/>
        <v>9313.5714285714294</v>
      </c>
      <c r="L1076" s="606">
        <v>0.27</v>
      </c>
      <c r="M1076" s="97">
        <v>2.8000000000000003</v>
      </c>
      <c r="N1076" s="605">
        <v>22</v>
      </c>
      <c r="O1076" s="97">
        <v>9</v>
      </c>
      <c r="P1076" s="97" t="s">
        <v>556</v>
      </c>
      <c r="Q1076" s="97" t="str">
        <f t="shared" si="168"/>
        <v/>
      </c>
      <c r="R1076" t="str">
        <f t="shared" si="169"/>
        <v/>
      </c>
    </row>
    <row r="1077" spans="4:18">
      <c r="D1077" s="36">
        <v>298</v>
      </c>
      <c r="E1077" s="97">
        <v>75</v>
      </c>
      <c r="F1077" s="366">
        <f t="shared" si="162"/>
        <v>1627.5</v>
      </c>
      <c r="G1077" s="97">
        <v>2999</v>
      </c>
      <c r="H1077" s="367">
        <f t="shared" si="166"/>
        <v>4626.5</v>
      </c>
      <c r="I1077" s="368">
        <f t="shared" si="167"/>
        <v>0</v>
      </c>
      <c r="J1077" s="97">
        <v>11315</v>
      </c>
      <c r="K1077" s="367">
        <f t="shared" si="161"/>
        <v>8082.1428571428569</v>
      </c>
      <c r="L1077" s="606">
        <v>0.17</v>
      </c>
      <c r="M1077" s="97">
        <v>2.4</v>
      </c>
      <c r="N1077" s="605">
        <v>20</v>
      </c>
      <c r="O1077" s="97">
        <v>9</v>
      </c>
      <c r="P1077" s="97" t="s">
        <v>515</v>
      </c>
      <c r="Q1077" s="97" t="str">
        <f t="shared" si="168"/>
        <v/>
      </c>
      <c r="R1077" t="str">
        <f t="shared" si="169"/>
        <v/>
      </c>
    </row>
    <row r="1078" spans="4:18">
      <c r="D1078" s="36">
        <v>299</v>
      </c>
      <c r="E1078" s="97">
        <v>75</v>
      </c>
      <c r="F1078" s="366">
        <f t="shared" si="162"/>
        <v>1627.5</v>
      </c>
      <c r="G1078" s="97">
        <v>4379</v>
      </c>
      <c r="H1078" s="367">
        <f t="shared" si="166"/>
        <v>6006.5</v>
      </c>
      <c r="I1078" s="368">
        <f t="shared" si="167"/>
        <v>0</v>
      </c>
      <c r="J1078" s="97">
        <v>16520</v>
      </c>
      <c r="K1078" s="367">
        <f t="shared" si="161"/>
        <v>11800</v>
      </c>
      <c r="L1078" s="606">
        <v>0.66</v>
      </c>
      <c r="M1078" s="97">
        <v>3.6</v>
      </c>
      <c r="N1078" s="605">
        <v>25</v>
      </c>
      <c r="O1078" s="97">
        <v>10</v>
      </c>
      <c r="P1078" s="97" t="s">
        <v>555</v>
      </c>
      <c r="Q1078" s="97" t="str">
        <f t="shared" si="168"/>
        <v/>
      </c>
      <c r="R1078" t="str">
        <f t="shared" si="169"/>
        <v/>
      </c>
    </row>
    <row r="1079" spans="4:18">
      <c r="D1079" s="36">
        <v>300</v>
      </c>
      <c r="E1079" s="97">
        <v>75</v>
      </c>
      <c r="F1079" s="366">
        <f t="shared" si="162"/>
        <v>1627.5</v>
      </c>
      <c r="G1079" s="97">
        <v>3997</v>
      </c>
      <c r="H1079" s="367">
        <f t="shared" si="166"/>
        <v>5624.5</v>
      </c>
      <c r="I1079" s="368">
        <f t="shared" si="167"/>
        <v>0</v>
      </c>
      <c r="J1079" s="97">
        <v>15078</v>
      </c>
      <c r="K1079" s="367">
        <f t="shared" si="161"/>
        <v>10770</v>
      </c>
      <c r="L1079" s="606">
        <v>0.46</v>
      </c>
      <c r="M1079" s="97">
        <v>3.2</v>
      </c>
      <c r="N1079" s="605">
        <v>26</v>
      </c>
      <c r="O1079" s="97">
        <v>10</v>
      </c>
      <c r="P1079" s="97" t="s">
        <v>514</v>
      </c>
      <c r="Q1079" s="97" t="str">
        <f t="shared" si="168"/>
        <v/>
      </c>
      <c r="R1079" t="str">
        <f t="shared" si="169"/>
        <v/>
      </c>
    </row>
    <row r="1080" spans="4:18">
      <c r="D1080" s="36">
        <v>301</v>
      </c>
      <c r="E1080" s="97">
        <v>75</v>
      </c>
      <c r="F1080" s="366">
        <f t="shared" si="162"/>
        <v>1627.5</v>
      </c>
      <c r="G1080" s="97">
        <v>3495</v>
      </c>
      <c r="H1080" s="367">
        <f t="shared" si="166"/>
        <v>5122.5</v>
      </c>
      <c r="I1080" s="368">
        <f t="shared" si="167"/>
        <v>0</v>
      </c>
      <c r="J1080" s="97">
        <v>13187</v>
      </c>
      <c r="K1080" s="367">
        <f t="shared" si="161"/>
        <v>9419.2857142857138</v>
      </c>
      <c r="L1080" s="606">
        <v>0.22</v>
      </c>
      <c r="M1080" s="97">
        <v>2.8000000000000003</v>
      </c>
      <c r="N1080" s="605">
        <v>21</v>
      </c>
      <c r="O1080" s="97">
        <v>10</v>
      </c>
      <c r="P1080" s="97" t="s">
        <v>556</v>
      </c>
      <c r="Q1080" s="97" t="str">
        <f t="shared" si="168"/>
        <v/>
      </c>
      <c r="R1080" t="str">
        <f t="shared" si="169"/>
        <v/>
      </c>
    </row>
    <row r="1081" spans="4:18">
      <c r="D1081" s="36">
        <v>302</v>
      </c>
      <c r="E1081" s="97">
        <v>80</v>
      </c>
      <c r="F1081" s="366">
        <f t="shared" si="162"/>
        <v>1736</v>
      </c>
      <c r="G1081" s="97">
        <v>2657</v>
      </c>
      <c r="H1081" s="367">
        <f t="shared" si="166"/>
        <v>4393</v>
      </c>
      <c r="I1081" s="368">
        <f t="shared" si="167"/>
        <v>0</v>
      </c>
      <c r="J1081" s="97">
        <v>10025</v>
      </c>
      <c r="K1081" s="367">
        <f t="shared" si="161"/>
        <v>7160.7142857142862</v>
      </c>
      <c r="L1081" s="606">
        <v>0.84</v>
      </c>
      <c r="M1081" s="97">
        <v>3.1</v>
      </c>
      <c r="N1081" s="605">
        <v>25</v>
      </c>
      <c r="O1081" s="97">
        <v>4</v>
      </c>
      <c r="P1081" s="97" t="s">
        <v>515</v>
      </c>
      <c r="Q1081" s="97" t="str">
        <f t="shared" si="168"/>
        <v/>
      </c>
      <c r="R1081" t="str">
        <f t="shared" si="169"/>
        <v/>
      </c>
    </row>
    <row r="1082" spans="4:18">
      <c r="D1082" s="36">
        <v>303</v>
      </c>
      <c r="E1082" s="97">
        <v>80</v>
      </c>
      <c r="F1082" s="366">
        <f t="shared" si="162"/>
        <v>1736</v>
      </c>
      <c r="G1082" s="97">
        <v>3305</v>
      </c>
      <c r="H1082" s="367">
        <f t="shared" si="166"/>
        <v>5041</v>
      </c>
      <c r="I1082" s="368">
        <f t="shared" si="167"/>
        <v>0</v>
      </c>
      <c r="J1082" s="97">
        <v>12467</v>
      </c>
      <c r="K1082" s="367">
        <f t="shared" si="161"/>
        <v>8905</v>
      </c>
      <c r="L1082" s="606">
        <v>0.92</v>
      </c>
      <c r="M1082" s="97">
        <v>3.8000000000000003</v>
      </c>
      <c r="N1082" s="605">
        <v>27</v>
      </c>
      <c r="O1082" s="97">
        <v>5</v>
      </c>
      <c r="P1082" s="97" t="s">
        <v>556</v>
      </c>
      <c r="Q1082" s="97" t="str">
        <f t="shared" si="168"/>
        <v/>
      </c>
      <c r="R1082" t="str">
        <f t="shared" si="169"/>
        <v/>
      </c>
    </row>
    <row r="1083" spans="4:18">
      <c r="D1083" s="36">
        <v>304</v>
      </c>
      <c r="E1083" s="97">
        <v>80</v>
      </c>
      <c r="F1083" s="366">
        <f t="shared" si="162"/>
        <v>1736</v>
      </c>
      <c r="G1083" s="97">
        <v>2609</v>
      </c>
      <c r="H1083" s="367">
        <f t="shared" si="166"/>
        <v>4345</v>
      </c>
      <c r="I1083" s="368">
        <f t="shared" si="167"/>
        <v>0</v>
      </c>
      <c r="J1083" s="97">
        <v>9844</v>
      </c>
      <c r="K1083" s="367">
        <f t="shared" si="161"/>
        <v>7031.4285714285716</v>
      </c>
      <c r="L1083" s="606">
        <v>0.56000000000000005</v>
      </c>
      <c r="M1083" s="97">
        <v>3.8000000000000003</v>
      </c>
      <c r="N1083" s="605">
        <v>24</v>
      </c>
      <c r="O1083" s="97">
        <v>5</v>
      </c>
      <c r="P1083" s="97" t="s">
        <v>515</v>
      </c>
      <c r="Q1083" s="97">
        <f t="shared" si="168"/>
        <v>304</v>
      </c>
      <c r="R1083" t="str">
        <f t="shared" si="169"/>
        <v/>
      </c>
    </row>
    <row r="1084" spans="4:18">
      <c r="D1084" s="36">
        <v>305</v>
      </c>
      <c r="E1084" s="97">
        <v>80</v>
      </c>
      <c r="F1084" s="366">
        <f t="shared" si="162"/>
        <v>1736</v>
      </c>
      <c r="G1084" s="97">
        <v>3171</v>
      </c>
      <c r="H1084" s="367">
        <f t="shared" si="166"/>
        <v>4907</v>
      </c>
      <c r="I1084" s="368">
        <f t="shared" si="167"/>
        <v>0</v>
      </c>
      <c r="J1084" s="97">
        <v>11964</v>
      </c>
      <c r="K1084" s="367">
        <f t="shared" si="161"/>
        <v>8545.7142857142862</v>
      </c>
      <c r="L1084" s="606">
        <v>0.65</v>
      </c>
      <c r="M1084" s="97">
        <v>4.3999999999999995</v>
      </c>
      <c r="N1084" s="605">
        <v>25</v>
      </c>
      <c r="O1084" s="97">
        <v>6</v>
      </c>
      <c r="P1084" s="97" t="s">
        <v>556</v>
      </c>
      <c r="Q1084" s="97">
        <f t="shared" si="168"/>
        <v>305</v>
      </c>
      <c r="R1084" t="str">
        <f t="shared" si="169"/>
        <v/>
      </c>
    </row>
    <row r="1085" spans="4:18">
      <c r="D1085" s="36">
        <v>306</v>
      </c>
      <c r="E1085" s="97">
        <v>80</v>
      </c>
      <c r="F1085" s="366">
        <f t="shared" si="162"/>
        <v>1736</v>
      </c>
      <c r="G1085" s="97">
        <v>2681</v>
      </c>
      <c r="H1085" s="367">
        <f t="shared" si="166"/>
        <v>4417</v>
      </c>
      <c r="I1085" s="368">
        <f t="shared" si="167"/>
        <v>0</v>
      </c>
      <c r="J1085" s="97">
        <v>10115</v>
      </c>
      <c r="K1085" s="367">
        <f t="shared" si="161"/>
        <v>7225</v>
      </c>
      <c r="L1085" s="606">
        <v>0.39</v>
      </c>
      <c r="M1085" s="97">
        <v>4.3999999999999995</v>
      </c>
      <c r="N1085" s="605">
        <v>22</v>
      </c>
      <c r="O1085" s="97">
        <v>6</v>
      </c>
      <c r="P1085" s="97" t="s">
        <v>515</v>
      </c>
      <c r="Q1085" s="97">
        <f t="shared" si="168"/>
        <v>306</v>
      </c>
      <c r="R1085" t="str">
        <f t="shared" si="169"/>
        <v/>
      </c>
    </row>
    <row r="1086" spans="4:18">
      <c r="D1086" s="36">
        <v>307</v>
      </c>
      <c r="E1086" s="97">
        <v>80</v>
      </c>
      <c r="F1086" s="366">
        <f t="shared" si="162"/>
        <v>1736</v>
      </c>
      <c r="G1086" s="97">
        <v>3963</v>
      </c>
      <c r="H1086" s="367">
        <f t="shared" si="166"/>
        <v>5699</v>
      </c>
      <c r="I1086" s="368">
        <f t="shared" si="167"/>
        <v>0</v>
      </c>
      <c r="J1086" s="97">
        <v>14951</v>
      </c>
      <c r="K1086" s="367">
        <f t="shared" si="161"/>
        <v>10679.285714285714</v>
      </c>
      <c r="L1086" s="606">
        <v>0.99</v>
      </c>
      <c r="M1086" s="97">
        <v>5.0999999999999996</v>
      </c>
      <c r="N1086" s="605">
        <v>29</v>
      </c>
      <c r="O1086" s="97">
        <v>7</v>
      </c>
      <c r="P1086" s="97" t="s">
        <v>514</v>
      </c>
      <c r="Q1086" s="97" t="str">
        <f t="shared" si="168"/>
        <v/>
      </c>
      <c r="R1086" t="str">
        <f t="shared" si="169"/>
        <v/>
      </c>
    </row>
    <row r="1087" spans="4:18">
      <c r="D1087" s="36">
        <v>308</v>
      </c>
      <c r="E1087" s="97">
        <v>80</v>
      </c>
      <c r="F1087" s="366">
        <f t="shared" si="162"/>
        <v>1736</v>
      </c>
      <c r="G1087" s="97">
        <v>3287</v>
      </c>
      <c r="H1087" s="367">
        <f t="shared" si="166"/>
        <v>5023</v>
      </c>
      <c r="I1087" s="368">
        <f t="shared" si="167"/>
        <v>0</v>
      </c>
      <c r="J1087" s="97">
        <v>12403</v>
      </c>
      <c r="K1087" s="367">
        <f t="shared" si="161"/>
        <v>8859.2857142857138</v>
      </c>
      <c r="L1087" s="606">
        <v>0.48</v>
      </c>
      <c r="M1087" s="97">
        <v>5.0999999999999996</v>
      </c>
      <c r="N1087" s="605">
        <v>24</v>
      </c>
      <c r="O1087" s="97">
        <v>7</v>
      </c>
      <c r="P1087" s="97" t="s">
        <v>556</v>
      </c>
      <c r="Q1087" s="97">
        <f t="shared" si="168"/>
        <v>308</v>
      </c>
      <c r="R1087" t="str">
        <f t="shared" si="169"/>
        <v/>
      </c>
    </row>
    <row r="1088" spans="4:18">
      <c r="D1088" s="36">
        <v>309</v>
      </c>
      <c r="E1088" s="97">
        <v>80</v>
      </c>
      <c r="F1088" s="366">
        <f t="shared" si="162"/>
        <v>1736</v>
      </c>
      <c r="G1088" s="97">
        <v>2822</v>
      </c>
      <c r="H1088" s="367">
        <f t="shared" si="166"/>
        <v>4558</v>
      </c>
      <c r="I1088" s="368">
        <f t="shared" si="167"/>
        <v>0</v>
      </c>
      <c r="J1088" s="97">
        <v>10646</v>
      </c>
      <c r="K1088" s="367">
        <f t="shared" si="161"/>
        <v>7604.2857142857147</v>
      </c>
      <c r="L1088" s="606">
        <v>0.29000000000000004</v>
      </c>
      <c r="M1088" s="97">
        <v>5.0999999999999996</v>
      </c>
      <c r="N1088" s="605">
        <v>21</v>
      </c>
      <c r="O1088" s="97">
        <v>7</v>
      </c>
      <c r="P1088" s="97" t="s">
        <v>515</v>
      </c>
      <c r="Q1088" s="97">
        <f t="shared" si="168"/>
        <v>309</v>
      </c>
      <c r="R1088" t="str">
        <f t="shared" si="169"/>
        <v/>
      </c>
    </row>
    <row r="1089" spans="4:18">
      <c r="D1089" s="36">
        <v>310</v>
      </c>
      <c r="E1089" s="97">
        <v>80</v>
      </c>
      <c r="F1089" s="366">
        <f t="shared" si="162"/>
        <v>1736</v>
      </c>
      <c r="G1089" s="97">
        <v>3889</v>
      </c>
      <c r="H1089" s="367">
        <f t="shared" si="166"/>
        <v>5625</v>
      </c>
      <c r="I1089" s="368">
        <f t="shared" si="167"/>
        <v>0</v>
      </c>
      <c r="J1089" s="97">
        <v>14671</v>
      </c>
      <c r="K1089" s="367">
        <f t="shared" si="161"/>
        <v>10479.285714285714</v>
      </c>
      <c r="L1089" s="606">
        <v>0.79</v>
      </c>
      <c r="M1089" s="97">
        <v>5.8</v>
      </c>
      <c r="N1089" s="605">
        <v>29</v>
      </c>
      <c r="O1089" s="97">
        <v>8</v>
      </c>
      <c r="P1089" s="97" t="s">
        <v>514</v>
      </c>
      <c r="Q1089" s="97" t="str">
        <f t="shared" si="168"/>
        <v/>
      </c>
      <c r="R1089" t="str">
        <f t="shared" si="169"/>
        <v/>
      </c>
    </row>
    <row r="1090" spans="4:18">
      <c r="D1090" s="36">
        <v>311</v>
      </c>
      <c r="E1090" s="97">
        <v>80</v>
      </c>
      <c r="F1090" s="366">
        <f t="shared" si="162"/>
        <v>1736</v>
      </c>
      <c r="G1090" s="97">
        <v>3419</v>
      </c>
      <c r="H1090" s="367">
        <f t="shared" si="166"/>
        <v>5155</v>
      </c>
      <c r="I1090" s="368">
        <f t="shared" si="167"/>
        <v>0</v>
      </c>
      <c r="J1090" s="97">
        <v>12899</v>
      </c>
      <c r="K1090" s="367">
        <f t="shared" si="161"/>
        <v>9213.5714285714294</v>
      </c>
      <c r="L1090" s="606">
        <v>0.37</v>
      </c>
      <c r="M1090" s="97">
        <v>5.8</v>
      </c>
      <c r="N1090" s="605">
        <v>23</v>
      </c>
      <c r="O1090" s="97">
        <v>8</v>
      </c>
      <c r="P1090" s="97" t="s">
        <v>556</v>
      </c>
      <c r="Q1090" s="97">
        <f t="shared" si="168"/>
        <v>311</v>
      </c>
      <c r="R1090" t="str">
        <f t="shared" si="169"/>
        <v/>
      </c>
    </row>
    <row r="1091" spans="4:18">
      <c r="D1091" s="36">
        <v>312</v>
      </c>
      <c r="E1091" s="97">
        <v>80</v>
      </c>
      <c r="F1091" s="366">
        <f t="shared" si="162"/>
        <v>1736</v>
      </c>
      <c r="G1091" s="97">
        <v>3063</v>
      </c>
      <c r="H1091" s="367">
        <f t="shared" si="166"/>
        <v>4799</v>
      </c>
      <c r="I1091" s="368">
        <f t="shared" si="167"/>
        <v>0</v>
      </c>
      <c r="J1091" s="97">
        <v>11556</v>
      </c>
      <c r="K1091" s="367">
        <f t="shared" si="161"/>
        <v>8254.2857142857138</v>
      </c>
      <c r="L1091" s="606">
        <v>0.23</v>
      </c>
      <c r="M1091" s="97">
        <v>5.8</v>
      </c>
      <c r="N1091" s="605">
        <v>20</v>
      </c>
      <c r="O1091" s="97">
        <v>8</v>
      </c>
      <c r="P1091" s="97" t="s">
        <v>515</v>
      </c>
      <c r="Q1091" s="97">
        <f t="shared" si="168"/>
        <v>312</v>
      </c>
      <c r="R1091" t="str">
        <f t="shared" si="169"/>
        <v/>
      </c>
    </row>
    <row r="1092" spans="4:18">
      <c r="D1092" s="36">
        <v>313</v>
      </c>
      <c r="E1092" s="97">
        <v>80</v>
      </c>
      <c r="F1092" s="366">
        <f t="shared" si="162"/>
        <v>1736</v>
      </c>
      <c r="G1092" s="97">
        <v>4422</v>
      </c>
      <c r="H1092" s="367">
        <f t="shared" si="166"/>
        <v>6158</v>
      </c>
      <c r="I1092" s="368">
        <f t="shared" si="167"/>
        <v>0</v>
      </c>
      <c r="J1092" s="97">
        <v>16684</v>
      </c>
      <c r="K1092" s="367">
        <f t="shared" si="161"/>
        <v>11917.142857142857</v>
      </c>
      <c r="L1092" s="606">
        <v>0.92</v>
      </c>
      <c r="M1092" s="97">
        <v>3.6</v>
      </c>
      <c r="N1092" s="605">
        <v>26</v>
      </c>
      <c r="O1092" s="97">
        <v>9</v>
      </c>
      <c r="P1092" s="97" t="s">
        <v>555</v>
      </c>
      <c r="Q1092" s="97" t="str">
        <f t="shared" si="168"/>
        <v/>
      </c>
      <c r="R1092" t="str">
        <f t="shared" si="169"/>
        <v/>
      </c>
    </row>
    <row r="1093" spans="4:18">
      <c r="D1093" s="36">
        <v>314</v>
      </c>
      <c r="E1093" s="97">
        <v>80</v>
      </c>
      <c r="F1093" s="366">
        <f t="shared" si="162"/>
        <v>1736</v>
      </c>
      <c r="G1093" s="97">
        <v>3923</v>
      </c>
      <c r="H1093" s="367">
        <f t="shared" si="166"/>
        <v>5659</v>
      </c>
      <c r="I1093" s="368">
        <f t="shared" si="167"/>
        <v>0</v>
      </c>
      <c r="J1093" s="97">
        <v>14802</v>
      </c>
      <c r="K1093" s="367">
        <f t="shared" si="161"/>
        <v>10572.857142857143</v>
      </c>
      <c r="L1093" s="606">
        <v>0.64</v>
      </c>
      <c r="M1093" s="97">
        <v>3.2</v>
      </c>
      <c r="N1093" s="605">
        <v>28</v>
      </c>
      <c r="O1093" s="97">
        <v>9</v>
      </c>
      <c r="P1093" s="97" t="s">
        <v>514</v>
      </c>
      <c r="Q1093" s="97" t="str">
        <f t="shared" si="168"/>
        <v/>
      </c>
      <c r="R1093" t="str">
        <f t="shared" si="169"/>
        <v/>
      </c>
    </row>
    <row r="1094" spans="4:18">
      <c r="D1094" s="36">
        <v>315</v>
      </c>
      <c r="E1094" s="97">
        <v>80</v>
      </c>
      <c r="F1094" s="366">
        <f t="shared" si="162"/>
        <v>1736</v>
      </c>
      <c r="G1094" s="97">
        <v>3583</v>
      </c>
      <c r="H1094" s="367">
        <f t="shared" si="166"/>
        <v>5319</v>
      </c>
      <c r="I1094" s="368">
        <f t="shared" si="167"/>
        <v>0</v>
      </c>
      <c r="J1094" s="97">
        <v>13518</v>
      </c>
      <c r="K1094" s="367">
        <f t="shared" si="161"/>
        <v>9655.7142857142862</v>
      </c>
      <c r="L1094" s="606">
        <v>0.31</v>
      </c>
      <c r="M1094" s="97">
        <v>2.9</v>
      </c>
      <c r="N1094" s="605">
        <v>23</v>
      </c>
      <c r="O1094" s="97">
        <v>9</v>
      </c>
      <c r="P1094" s="97" t="s">
        <v>556</v>
      </c>
      <c r="Q1094" s="97" t="str">
        <f t="shared" si="168"/>
        <v/>
      </c>
      <c r="R1094" t="str">
        <f t="shared" si="169"/>
        <v/>
      </c>
    </row>
    <row r="1095" spans="4:18">
      <c r="D1095" s="36">
        <v>316</v>
      </c>
      <c r="E1095" s="97">
        <v>80</v>
      </c>
      <c r="F1095" s="366">
        <f t="shared" si="162"/>
        <v>1736</v>
      </c>
      <c r="G1095" s="97">
        <v>3134</v>
      </c>
      <c r="H1095" s="367">
        <f t="shared" si="166"/>
        <v>4870</v>
      </c>
      <c r="I1095" s="368">
        <f t="shared" si="167"/>
        <v>0</v>
      </c>
      <c r="J1095" s="97">
        <v>11823</v>
      </c>
      <c r="K1095" s="367">
        <f t="shared" si="161"/>
        <v>8445</v>
      </c>
      <c r="L1095" s="606">
        <v>0.19</v>
      </c>
      <c r="M1095" s="97">
        <v>2.6</v>
      </c>
      <c r="N1095" s="605">
        <v>21</v>
      </c>
      <c r="O1095" s="97">
        <v>9</v>
      </c>
      <c r="P1095" s="97" t="s">
        <v>515</v>
      </c>
      <c r="Q1095" s="97" t="str">
        <f t="shared" si="168"/>
        <v/>
      </c>
      <c r="R1095" t="str">
        <f t="shared" si="169"/>
        <v/>
      </c>
    </row>
    <row r="1096" spans="4:18">
      <c r="D1096" s="36">
        <v>317</v>
      </c>
      <c r="E1096" s="97">
        <v>80</v>
      </c>
      <c r="F1096" s="366">
        <f t="shared" si="162"/>
        <v>1736</v>
      </c>
      <c r="G1096" s="97">
        <v>4488</v>
      </c>
      <c r="H1096" s="367">
        <f t="shared" si="166"/>
        <v>6224</v>
      </c>
      <c r="I1096" s="368">
        <f t="shared" si="167"/>
        <v>0</v>
      </c>
      <c r="J1096" s="97">
        <v>16930</v>
      </c>
      <c r="K1096" s="367">
        <f t="shared" si="161"/>
        <v>12092.857142857143</v>
      </c>
      <c r="L1096" s="606">
        <v>0.76</v>
      </c>
      <c r="M1096" s="97">
        <v>3.6</v>
      </c>
      <c r="N1096" s="605">
        <v>26</v>
      </c>
      <c r="O1096" s="97">
        <v>10</v>
      </c>
      <c r="P1096" s="97" t="s">
        <v>555</v>
      </c>
      <c r="Q1096" s="97" t="str">
        <f t="shared" si="168"/>
        <v/>
      </c>
      <c r="R1096" t="str">
        <f t="shared" si="169"/>
        <v/>
      </c>
    </row>
    <row r="1097" spans="4:18">
      <c r="D1097" s="36">
        <v>318</v>
      </c>
      <c r="E1097" s="97">
        <v>80</v>
      </c>
      <c r="F1097" s="366">
        <f t="shared" si="162"/>
        <v>1736</v>
      </c>
      <c r="G1097" s="97">
        <v>4092</v>
      </c>
      <c r="H1097" s="367">
        <f t="shared" si="166"/>
        <v>5828</v>
      </c>
      <c r="I1097" s="368">
        <f t="shared" si="167"/>
        <v>0</v>
      </c>
      <c r="J1097" s="97">
        <v>15436</v>
      </c>
      <c r="K1097" s="367">
        <f t="shared" si="161"/>
        <v>11025.714285714286</v>
      </c>
      <c r="L1097" s="606">
        <v>0.52</v>
      </c>
      <c r="M1097" s="97">
        <v>3.3000000000000003</v>
      </c>
      <c r="N1097" s="605">
        <v>27</v>
      </c>
      <c r="O1097" s="97">
        <v>10</v>
      </c>
      <c r="P1097" s="97" t="s">
        <v>514</v>
      </c>
      <c r="Q1097" s="97" t="str">
        <f t="shared" si="168"/>
        <v/>
      </c>
      <c r="R1097" t="str">
        <f t="shared" si="169"/>
        <v/>
      </c>
    </row>
    <row r="1098" spans="4:18">
      <c r="D1098" s="36">
        <v>319</v>
      </c>
      <c r="E1098" s="97">
        <v>80</v>
      </c>
      <c r="F1098" s="366">
        <f t="shared" si="162"/>
        <v>1736</v>
      </c>
      <c r="G1098" s="97">
        <v>3656</v>
      </c>
      <c r="H1098" s="367">
        <f t="shared" si="166"/>
        <v>5392</v>
      </c>
      <c r="I1098" s="368">
        <f t="shared" si="167"/>
        <v>0</v>
      </c>
      <c r="J1098" s="97">
        <v>13793</v>
      </c>
      <c r="K1098" s="367">
        <f t="shared" si="161"/>
        <v>9852.1428571428569</v>
      </c>
      <c r="L1098" s="606">
        <v>0.26</v>
      </c>
      <c r="M1098" s="97">
        <v>3</v>
      </c>
      <c r="N1098" s="605">
        <v>22</v>
      </c>
      <c r="O1098" s="97">
        <v>10</v>
      </c>
      <c r="P1098" s="97" t="s">
        <v>556</v>
      </c>
      <c r="Q1098" s="97" t="str">
        <f t="shared" si="168"/>
        <v/>
      </c>
      <c r="R1098" t="str">
        <f t="shared" si="169"/>
        <v/>
      </c>
    </row>
    <row r="1099" spans="4:18">
      <c r="D1099" s="36">
        <v>320</v>
      </c>
      <c r="E1099" s="97">
        <v>85</v>
      </c>
      <c r="F1099" s="366">
        <f t="shared" si="162"/>
        <v>1844.5</v>
      </c>
      <c r="G1099" s="97">
        <v>2841</v>
      </c>
      <c r="H1099" s="367">
        <f t="shared" si="166"/>
        <v>4685.5</v>
      </c>
      <c r="I1099" s="368">
        <f t="shared" si="167"/>
        <v>0</v>
      </c>
      <c r="J1099" s="97">
        <v>10717</v>
      </c>
      <c r="K1099" s="367">
        <f t="shared" si="161"/>
        <v>7655</v>
      </c>
      <c r="L1099" s="606">
        <v>0.95</v>
      </c>
      <c r="M1099" s="97">
        <v>3.1</v>
      </c>
      <c r="N1099" s="605">
        <v>26</v>
      </c>
      <c r="O1099" s="97">
        <v>4</v>
      </c>
      <c r="P1099" s="97" t="s">
        <v>515</v>
      </c>
      <c r="Q1099" s="97" t="str">
        <f t="shared" si="168"/>
        <v/>
      </c>
      <c r="R1099" t="str">
        <f t="shared" si="169"/>
        <v/>
      </c>
    </row>
    <row r="1100" spans="4:18">
      <c r="D1100" s="36">
        <v>321</v>
      </c>
      <c r="E1100" s="97">
        <v>85</v>
      </c>
      <c r="F1100" s="366">
        <f t="shared" ref="F1100:F1163" si="170">1.085*($A$2-$B$2)*E1100*$T$7</f>
        <v>1844.5</v>
      </c>
      <c r="G1100" s="97">
        <v>3554</v>
      </c>
      <c r="H1100" s="367">
        <f t="shared" si="166"/>
        <v>5398.5</v>
      </c>
      <c r="I1100" s="368">
        <f t="shared" si="167"/>
        <v>0</v>
      </c>
      <c r="J1100" s="97">
        <v>13410</v>
      </c>
      <c r="K1100" s="367">
        <f t="shared" si="161"/>
        <v>9578.5714285714294</v>
      </c>
      <c r="L1100" s="606">
        <v>1.04</v>
      </c>
      <c r="M1100" s="97">
        <v>3.8000000000000003</v>
      </c>
      <c r="N1100" s="605">
        <v>27</v>
      </c>
      <c r="O1100" s="97">
        <v>5</v>
      </c>
      <c r="P1100" s="97" t="s">
        <v>556</v>
      </c>
      <c r="Q1100" s="97" t="str">
        <f t="shared" si="168"/>
        <v/>
      </c>
      <c r="R1100" t="str">
        <f t="shared" si="169"/>
        <v/>
      </c>
    </row>
    <row r="1101" spans="4:18">
      <c r="D1101" s="36">
        <v>322</v>
      </c>
      <c r="E1101" s="97">
        <v>85</v>
      </c>
      <c r="F1101" s="366">
        <f t="shared" si="170"/>
        <v>1844.5</v>
      </c>
      <c r="G1101" s="97">
        <v>2767</v>
      </c>
      <c r="H1101" s="367">
        <f t="shared" si="166"/>
        <v>4611.5</v>
      </c>
      <c r="I1101" s="368">
        <f t="shared" si="167"/>
        <v>0</v>
      </c>
      <c r="J1101" s="97">
        <v>10440</v>
      </c>
      <c r="K1101" s="367">
        <f t="shared" si="161"/>
        <v>7457.1428571428569</v>
      </c>
      <c r="L1101" s="606">
        <v>0.63</v>
      </c>
      <c r="M1101" s="97">
        <v>3.8000000000000003</v>
      </c>
      <c r="N1101" s="605">
        <v>25</v>
      </c>
      <c r="O1101" s="97">
        <v>5</v>
      </c>
      <c r="P1101" s="97" t="s">
        <v>515</v>
      </c>
      <c r="Q1101" s="97">
        <f t="shared" si="168"/>
        <v>322</v>
      </c>
      <c r="R1101" t="str">
        <f t="shared" si="169"/>
        <v/>
      </c>
    </row>
    <row r="1102" spans="4:18">
      <c r="D1102" s="36">
        <v>323</v>
      </c>
      <c r="E1102" s="97">
        <v>85</v>
      </c>
      <c r="F1102" s="366">
        <f t="shared" si="170"/>
        <v>1844.5</v>
      </c>
      <c r="G1102" s="97">
        <v>3432</v>
      </c>
      <c r="H1102" s="367">
        <f t="shared" si="166"/>
        <v>5276.5</v>
      </c>
      <c r="I1102" s="368">
        <f t="shared" si="167"/>
        <v>0</v>
      </c>
      <c r="J1102" s="97">
        <v>12949</v>
      </c>
      <c r="K1102" s="367">
        <f t="shared" si="161"/>
        <v>9249.2857142857138</v>
      </c>
      <c r="L1102" s="606">
        <v>0.73</v>
      </c>
      <c r="M1102" s="97">
        <v>4.3999999999999995</v>
      </c>
      <c r="N1102" s="605">
        <v>26</v>
      </c>
      <c r="O1102" s="97">
        <v>6</v>
      </c>
      <c r="P1102" s="97" t="s">
        <v>556</v>
      </c>
      <c r="Q1102" s="97" t="str">
        <f t="shared" si="168"/>
        <v/>
      </c>
      <c r="R1102" t="str">
        <f t="shared" si="169"/>
        <v/>
      </c>
    </row>
    <row r="1103" spans="4:18">
      <c r="D1103" s="36">
        <v>324</v>
      </c>
      <c r="E1103" s="97">
        <v>85</v>
      </c>
      <c r="F1103" s="366">
        <f t="shared" si="170"/>
        <v>1844.5</v>
      </c>
      <c r="G1103" s="97">
        <v>2820</v>
      </c>
      <c r="H1103" s="367">
        <f t="shared" si="166"/>
        <v>4664.5</v>
      </c>
      <c r="I1103" s="368">
        <f t="shared" si="167"/>
        <v>0</v>
      </c>
      <c r="J1103" s="97">
        <v>10639</v>
      </c>
      <c r="K1103" s="367">
        <f t="shared" si="161"/>
        <v>7599.2857142857147</v>
      </c>
      <c r="L1103" s="606">
        <v>0.44</v>
      </c>
      <c r="M1103" s="97">
        <v>4.3999999999999995</v>
      </c>
      <c r="N1103" s="605">
        <v>23</v>
      </c>
      <c r="O1103" s="97">
        <v>6</v>
      </c>
      <c r="P1103" s="97" t="s">
        <v>515</v>
      </c>
      <c r="Q1103" s="97">
        <f t="shared" si="168"/>
        <v>324</v>
      </c>
      <c r="R1103" t="str">
        <f t="shared" si="169"/>
        <v/>
      </c>
    </row>
    <row r="1104" spans="4:18">
      <c r="D1104" s="36">
        <v>325</v>
      </c>
      <c r="E1104" s="97">
        <v>85</v>
      </c>
      <c r="F1104" s="366">
        <f t="shared" si="170"/>
        <v>1844.5</v>
      </c>
      <c r="G1104" s="97">
        <v>3444</v>
      </c>
      <c r="H1104" s="367">
        <f t="shared" si="166"/>
        <v>5288.5</v>
      </c>
      <c r="I1104" s="368">
        <f t="shared" si="167"/>
        <v>0</v>
      </c>
      <c r="J1104" s="97">
        <v>12993</v>
      </c>
      <c r="K1104" s="367">
        <f t="shared" si="161"/>
        <v>9280.7142857142862</v>
      </c>
      <c r="L1104" s="606">
        <v>0.54</v>
      </c>
      <c r="M1104" s="97">
        <v>5.0999999999999996</v>
      </c>
      <c r="N1104" s="605">
        <v>25</v>
      </c>
      <c r="O1104" s="97">
        <v>7</v>
      </c>
      <c r="P1104" s="97" t="s">
        <v>556</v>
      </c>
      <c r="Q1104" s="97">
        <f t="shared" si="168"/>
        <v>325</v>
      </c>
      <c r="R1104" t="str">
        <f t="shared" si="169"/>
        <v/>
      </c>
    </row>
    <row r="1105" spans="4:18">
      <c r="D1105" s="36">
        <v>326</v>
      </c>
      <c r="E1105" s="97">
        <v>85</v>
      </c>
      <c r="F1105" s="366">
        <f t="shared" si="170"/>
        <v>1844.5</v>
      </c>
      <c r="G1105" s="97">
        <v>2934</v>
      </c>
      <c r="H1105" s="367">
        <f t="shared" si="166"/>
        <v>4778.5</v>
      </c>
      <c r="I1105" s="368">
        <f t="shared" si="167"/>
        <v>0</v>
      </c>
      <c r="J1105" s="97">
        <v>11070</v>
      </c>
      <c r="K1105" s="367">
        <f t="shared" si="161"/>
        <v>7907.1428571428569</v>
      </c>
      <c r="L1105" s="606">
        <v>0.32</v>
      </c>
      <c r="M1105" s="97">
        <v>5.0999999999999996</v>
      </c>
      <c r="N1105" s="605">
        <v>22</v>
      </c>
      <c r="O1105" s="97">
        <v>7</v>
      </c>
      <c r="P1105" s="97" t="s">
        <v>515</v>
      </c>
      <c r="Q1105" s="97">
        <f t="shared" si="168"/>
        <v>326</v>
      </c>
      <c r="R1105" t="str">
        <f t="shared" si="169"/>
        <v/>
      </c>
    </row>
    <row r="1106" spans="4:18">
      <c r="D1106" s="36">
        <v>327</v>
      </c>
      <c r="E1106" s="97">
        <v>85</v>
      </c>
      <c r="F1106" s="366">
        <f t="shared" si="170"/>
        <v>1844.5</v>
      </c>
      <c r="G1106" s="97">
        <v>4066</v>
      </c>
      <c r="H1106" s="367">
        <f t="shared" si="166"/>
        <v>5910.5</v>
      </c>
      <c r="I1106" s="368">
        <f t="shared" si="167"/>
        <v>0</v>
      </c>
      <c r="J1106" s="97">
        <v>15338</v>
      </c>
      <c r="K1106" s="367">
        <f t="shared" si="161"/>
        <v>10955.714285714286</v>
      </c>
      <c r="L1106" s="606">
        <v>0.89</v>
      </c>
      <c r="M1106" s="97">
        <v>5.8</v>
      </c>
      <c r="N1106" s="605">
        <v>29</v>
      </c>
      <c r="O1106" s="97">
        <v>8</v>
      </c>
      <c r="P1106" s="97" t="s">
        <v>514</v>
      </c>
      <c r="Q1106" s="97" t="str">
        <f t="shared" si="168"/>
        <v/>
      </c>
      <c r="R1106" t="str">
        <f t="shared" si="169"/>
        <v/>
      </c>
    </row>
    <row r="1107" spans="4:18">
      <c r="D1107" s="36">
        <v>328</v>
      </c>
      <c r="E1107" s="97">
        <v>85</v>
      </c>
      <c r="F1107" s="366">
        <f t="shared" si="170"/>
        <v>1844.5</v>
      </c>
      <c r="G1107" s="97">
        <v>3520</v>
      </c>
      <c r="H1107" s="367">
        <f t="shared" si="166"/>
        <v>5364.5</v>
      </c>
      <c r="I1107" s="368">
        <f t="shared" si="167"/>
        <v>0</v>
      </c>
      <c r="J1107" s="97">
        <v>13281</v>
      </c>
      <c r="K1107" s="367">
        <f t="shared" si="161"/>
        <v>9486.4285714285725</v>
      </c>
      <c r="L1107" s="606">
        <v>0.42</v>
      </c>
      <c r="M1107" s="97">
        <v>5.8</v>
      </c>
      <c r="N1107" s="605">
        <v>23</v>
      </c>
      <c r="O1107" s="97">
        <v>8</v>
      </c>
      <c r="P1107" s="97" t="s">
        <v>556</v>
      </c>
      <c r="Q1107" s="97">
        <f t="shared" si="168"/>
        <v>328</v>
      </c>
      <c r="R1107" t="str">
        <f t="shared" si="169"/>
        <v/>
      </c>
    </row>
    <row r="1108" spans="4:18">
      <c r="D1108" s="36">
        <v>329</v>
      </c>
      <c r="E1108" s="97">
        <v>85</v>
      </c>
      <c r="F1108" s="366">
        <f t="shared" si="170"/>
        <v>1844.5</v>
      </c>
      <c r="G1108" s="97">
        <v>3201</v>
      </c>
      <c r="H1108" s="367">
        <f t="shared" si="166"/>
        <v>5045.5</v>
      </c>
      <c r="I1108" s="368">
        <f t="shared" si="167"/>
        <v>0</v>
      </c>
      <c r="J1108" s="97">
        <v>12077</v>
      </c>
      <c r="K1108" s="367">
        <f t="shared" si="161"/>
        <v>8626.4285714285725</v>
      </c>
      <c r="L1108" s="606">
        <v>0.25</v>
      </c>
      <c r="M1108" s="97">
        <v>5.8</v>
      </c>
      <c r="N1108" s="605">
        <v>21</v>
      </c>
      <c r="O1108" s="97">
        <v>8</v>
      </c>
      <c r="P1108" s="97" t="s">
        <v>515</v>
      </c>
      <c r="Q1108" s="97">
        <f t="shared" si="168"/>
        <v>329</v>
      </c>
      <c r="R1108" t="str">
        <f t="shared" si="169"/>
        <v/>
      </c>
    </row>
    <row r="1109" spans="4:18">
      <c r="D1109" s="36">
        <v>330</v>
      </c>
      <c r="E1109" s="97">
        <v>85</v>
      </c>
      <c r="F1109" s="366">
        <f t="shared" si="170"/>
        <v>1844.5</v>
      </c>
      <c r="G1109" s="97">
        <v>4633</v>
      </c>
      <c r="H1109" s="367">
        <f t="shared" si="166"/>
        <v>6477.5</v>
      </c>
      <c r="I1109" s="368">
        <f t="shared" si="167"/>
        <v>0</v>
      </c>
      <c r="J1109" s="97">
        <v>17479</v>
      </c>
      <c r="K1109" s="367">
        <f t="shared" si="161"/>
        <v>12485</v>
      </c>
      <c r="L1109" s="606">
        <v>1.03</v>
      </c>
      <c r="M1109" s="97">
        <v>3.8000000000000003</v>
      </c>
      <c r="N1109" s="605">
        <v>27</v>
      </c>
      <c r="O1109" s="97">
        <v>9</v>
      </c>
      <c r="P1109" s="97" t="s">
        <v>555</v>
      </c>
      <c r="Q1109" s="97" t="str">
        <f t="shared" si="168"/>
        <v/>
      </c>
      <c r="R1109" t="str">
        <f t="shared" si="169"/>
        <v/>
      </c>
    </row>
    <row r="1110" spans="4:18">
      <c r="D1110" s="36">
        <v>331</v>
      </c>
      <c r="E1110" s="97">
        <v>85</v>
      </c>
      <c r="F1110" s="366">
        <f t="shared" si="170"/>
        <v>1844.5</v>
      </c>
      <c r="G1110" s="97">
        <v>4107</v>
      </c>
      <c r="H1110" s="367">
        <f t="shared" si="166"/>
        <v>5951.5</v>
      </c>
      <c r="I1110" s="368">
        <f t="shared" si="167"/>
        <v>0</v>
      </c>
      <c r="J1110" s="97">
        <v>15495</v>
      </c>
      <c r="K1110" s="367">
        <f t="shared" si="161"/>
        <v>11067.857142857143</v>
      </c>
      <c r="L1110" s="606">
        <v>0.72</v>
      </c>
      <c r="M1110" s="97">
        <v>3.3000000000000003</v>
      </c>
      <c r="N1110" s="605">
        <v>29</v>
      </c>
      <c r="O1110" s="97">
        <v>9</v>
      </c>
      <c r="P1110" s="97" t="s">
        <v>514</v>
      </c>
      <c r="Q1110" s="97" t="str">
        <f t="shared" si="168"/>
        <v/>
      </c>
      <c r="R1110" t="str">
        <f t="shared" si="169"/>
        <v/>
      </c>
    </row>
    <row r="1111" spans="4:18">
      <c r="D1111" s="36">
        <v>332</v>
      </c>
      <c r="E1111" s="97">
        <v>85</v>
      </c>
      <c r="F1111" s="366">
        <f t="shared" si="170"/>
        <v>1844.5</v>
      </c>
      <c r="G1111" s="97">
        <v>3672</v>
      </c>
      <c r="H1111" s="367">
        <f t="shared" si="166"/>
        <v>5516.5</v>
      </c>
      <c r="I1111" s="368">
        <f t="shared" si="167"/>
        <v>0</v>
      </c>
      <c r="J1111" s="97">
        <v>13853</v>
      </c>
      <c r="K1111" s="367">
        <f t="shared" si="161"/>
        <v>9895</v>
      </c>
      <c r="L1111" s="606">
        <v>0.35000000000000003</v>
      </c>
      <c r="M1111" s="97">
        <v>3</v>
      </c>
      <c r="N1111" s="605">
        <v>23</v>
      </c>
      <c r="O1111" s="97">
        <v>9</v>
      </c>
      <c r="P1111" s="97" t="s">
        <v>556</v>
      </c>
      <c r="Q1111" s="97" t="str">
        <f t="shared" si="168"/>
        <v/>
      </c>
      <c r="R1111" t="str">
        <f t="shared" si="169"/>
        <v/>
      </c>
    </row>
    <row r="1112" spans="4:18">
      <c r="D1112" s="36">
        <v>333</v>
      </c>
      <c r="E1112" s="97">
        <v>85</v>
      </c>
      <c r="F1112" s="366">
        <f t="shared" si="170"/>
        <v>1844.5</v>
      </c>
      <c r="G1112" s="97">
        <v>3269</v>
      </c>
      <c r="H1112" s="367">
        <f t="shared" si="166"/>
        <v>5113.5</v>
      </c>
      <c r="I1112" s="368">
        <f t="shared" si="167"/>
        <v>0</v>
      </c>
      <c r="J1112" s="97">
        <v>12331</v>
      </c>
      <c r="K1112" s="367">
        <f t="shared" si="161"/>
        <v>8807.8571428571431</v>
      </c>
      <c r="L1112" s="606">
        <v>0.21000000000000002</v>
      </c>
      <c r="M1112" s="97">
        <v>2.7</v>
      </c>
      <c r="N1112" s="605">
        <v>21</v>
      </c>
      <c r="O1112" s="97">
        <v>9</v>
      </c>
      <c r="P1112" s="97" t="s">
        <v>515</v>
      </c>
      <c r="Q1112" s="97" t="str">
        <f t="shared" si="168"/>
        <v/>
      </c>
      <c r="R1112" t="str">
        <f t="shared" si="169"/>
        <v/>
      </c>
    </row>
    <row r="1113" spans="4:18">
      <c r="D1113" s="36">
        <v>334</v>
      </c>
      <c r="E1113" s="97">
        <v>85</v>
      </c>
      <c r="F1113" s="366">
        <f t="shared" si="170"/>
        <v>1844.5</v>
      </c>
      <c r="G1113" s="97">
        <v>4642</v>
      </c>
      <c r="H1113" s="367">
        <f t="shared" si="166"/>
        <v>6486.5</v>
      </c>
      <c r="I1113" s="368">
        <f t="shared" si="167"/>
        <v>0</v>
      </c>
      <c r="J1113" s="97">
        <v>17511</v>
      </c>
      <c r="K1113" s="367">
        <f t="shared" si="161"/>
        <v>12507.857142857143</v>
      </c>
      <c r="L1113" s="606">
        <v>0.85</v>
      </c>
      <c r="M1113" s="97">
        <v>3.8000000000000003</v>
      </c>
      <c r="N1113" s="605">
        <v>26</v>
      </c>
      <c r="O1113" s="97">
        <v>10</v>
      </c>
      <c r="P1113" s="97" t="s">
        <v>555</v>
      </c>
      <c r="Q1113" s="97" t="str">
        <f t="shared" si="168"/>
        <v/>
      </c>
      <c r="R1113" t="str">
        <f t="shared" si="169"/>
        <v/>
      </c>
    </row>
    <row r="1114" spans="4:18">
      <c r="D1114" s="36">
        <v>335</v>
      </c>
      <c r="E1114" s="97">
        <v>85</v>
      </c>
      <c r="F1114" s="366">
        <f t="shared" si="170"/>
        <v>1844.5</v>
      </c>
      <c r="G1114" s="97">
        <v>4186</v>
      </c>
      <c r="H1114" s="367">
        <f t="shared" si="166"/>
        <v>6030.5</v>
      </c>
      <c r="I1114" s="368">
        <f t="shared" si="167"/>
        <v>0</v>
      </c>
      <c r="J1114" s="97">
        <v>15794</v>
      </c>
      <c r="K1114" s="367">
        <f t="shared" si="161"/>
        <v>11281.428571428572</v>
      </c>
      <c r="L1114" s="606">
        <v>0.59</v>
      </c>
      <c r="M1114" s="97">
        <v>3.4</v>
      </c>
      <c r="N1114" s="605">
        <v>28</v>
      </c>
      <c r="O1114" s="97">
        <v>10</v>
      </c>
      <c r="P1114" s="97" t="s">
        <v>514</v>
      </c>
      <c r="Q1114" s="97" t="str">
        <f t="shared" si="168"/>
        <v/>
      </c>
      <c r="R1114" t="str">
        <f t="shared" si="169"/>
        <v/>
      </c>
    </row>
    <row r="1115" spans="4:18">
      <c r="D1115" s="36">
        <v>336</v>
      </c>
      <c r="E1115" s="97">
        <v>85</v>
      </c>
      <c r="F1115" s="366">
        <f t="shared" si="170"/>
        <v>1844.5</v>
      </c>
      <c r="G1115" s="97">
        <v>3817</v>
      </c>
      <c r="H1115" s="367">
        <f t="shared" si="166"/>
        <v>5661.5</v>
      </c>
      <c r="I1115" s="368">
        <f t="shared" si="167"/>
        <v>0</v>
      </c>
      <c r="J1115" s="97">
        <v>14400</v>
      </c>
      <c r="K1115" s="367">
        <f t="shared" si="161"/>
        <v>10285.714285714286</v>
      </c>
      <c r="L1115" s="606">
        <v>0.29000000000000004</v>
      </c>
      <c r="M1115" s="97">
        <v>3.1</v>
      </c>
      <c r="N1115" s="605">
        <v>23</v>
      </c>
      <c r="O1115" s="97">
        <v>10</v>
      </c>
      <c r="P1115" s="97" t="s">
        <v>556</v>
      </c>
      <c r="Q1115" s="97" t="str">
        <f t="shared" si="168"/>
        <v/>
      </c>
      <c r="R1115" t="str">
        <f t="shared" si="169"/>
        <v/>
      </c>
    </row>
    <row r="1116" spans="4:18">
      <c r="D1116" s="36">
        <v>337</v>
      </c>
      <c r="E1116" s="97">
        <v>85</v>
      </c>
      <c r="F1116" s="366">
        <f t="shared" si="170"/>
        <v>1844.5</v>
      </c>
      <c r="G1116" s="97">
        <v>3354</v>
      </c>
      <c r="H1116" s="367">
        <f t="shared" si="166"/>
        <v>5198.5</v>
      </c>
      <c r="I1116" s="368">
        <f t="shared" si="167"/>
        <v>0</v>
      </c>
      <c r="J1116" s="97">
        <v>12653</v>
      </c>
      <c r="K1116" s="367">
        <f t="shared" si="161"/>
        <v>9037.8571428571431</v>
      </c>
      <c r="L1116" s="606">
        <v>0.18000000000000002</v>
      </c>
      <c r="M1116" s="97">
        <v>2.7</v>
      </c>
      <c r="N1116" s="605">
        <v>21</v>
      </c>
      <c r="O1116" s="97">
        <v>10</v>
      </c>
      <c r="P1116" s="97" t="s">
        <v>515</v>
      </c>
      <c r="Q1116" s="97" t="str">
        <f t="shared" si="168"/>
        <v/>
      </c>
      <c r="R1116" t="str">
        <f t="shared" si="169"/>
        <v/>
      </c>
    </row>
    <row r="1117" spans="4:18">
      <c r="D1117" s="36">
        <v>338</v>
      </c>
      <c r="E1117" s="97">
        <v>90</v>
      </c>
      <c r="F1117" s="366">
        <f t="shared" si="170"/>
        <v>1953</v>
      </c>
      <c r="G1117" s="97">
        <v>2963</v>
      </c>
      <c r="H1117" s="367">
        <f t="shared" si="166"/>
        <v>4916</v>
      </c>
      <c r="I1117" s="368">
        <f t="shared" si="167"/>
        <v>0</v>
      </c>
      <c r="J1117" s="97">
        <v>11180</v>
      </c>
      <c r="K1117" s="367">
        <f t="shared" si="161"/>
        <v>7985.7142857142862</v>
      </c>
      <c r="L1117" s="606">
        <v>0.71</v>
      </c>
      <c r="M1117" s="97">
        <v>3.8000000000000003</v>
      </c>
      <c r="N1117" s="605">
        <v>26</v>
      </c>
      <c r="O1117" s="97">
        <v>5</v>
      </c>
      <c r="P1117" s="97" t="s">
        <v>515</v>
      </c>
      <c r="Q1117" s="97">
        <f t="shared" si="168"/>
        <v>338</v>
      </c>
      <c r="R1117" t="str">
        <f t="shared" si="169"/>
        <v/>
      </c>
    </row>
    <row r="1118" spans="4:18">
      <c r="D1118" s="36">
        <v>339</v>
      </c>
      <c r="E1118" s="97">
        <v>90</v>
      </c>
      <c r="F1118" s="366">
        <f t="shared" si="170"/>
        <v>1953</v>
      </c>
      <c r="G1118" s="97">
        <v>3693</v>
      </c>
      <c r="H1118" s="367">
        <f t="shared" si="166"/>
        <v>5646</v>
      </c>
      <c r="I1118" s="368">
        <f t="shared" si="167"/>
        <v>0</v>
      </c>
      <c r="J1118" s="97">
        <v>13933</v>
      </c>
      <c r="K1118" s="367">
        <f t="shared" si="161"/>
        <v>9952.1428571428569</v>
      </c>
      <c r="L1118" s="606">
        <v>0.82000000000000006</v>
      </c>
      <c r="M1118" s="97">
        <v>4.3999999999999995</v>
      </c>
      <c r="N1118" s="605">
        <v>27</v>
      </c>
      <c r="O1118" s="97">
        <v>6</v>
      </c>
      <c r="P1118" s="97" t="s">
        <v>556</v>
      </c>
      <c r="Q1118" s="97" t="str">
        <f t="shared" si="168"/>
        <v/>
      </c>
      <c r="R1118" t="str">
        <f t="shared" si="169"/>
        <v/>
      </c>
    </row>
    <row r="1119" spans="4:18">
      <c r="D1119" s="36">
        <v>340</v>
      </c>
      <c r="E1119" s="97">
        <v>90</v>
      </c>
      <c r="F1119" s="366">
        <f t="shared" si="170"/>
        <v>1953</v>
      </c>
      <c r="G1119" s="97">
        <v>2952</v>
      </c>
      <c r="H1119" s="367">
        <f t="shared" si="166"/>
        <v>4905</v>
      </c>
      <c r="I1119" s="368">
        <f t="shared" si="167"/>
        <v>0</v>
      </c>
      <c r="J1119" s="97">
        <v>11136</v>
      </c>
      <c r="K1119" s="367">
        <f t="shared" si="161"/>
        <v>7954.2857142857147</v>
      </c>
      <c r="L1119" s="606">
        <v>0.49</v>
      </c>
      <c r="M1119" s="97">
        <v>4.3999999999999995</v>
      </c>
      <c r="N1119" s="605">
        <v>24</v>
      </c>
      <c r="O1119" s="97">
        <v>6</v>
      </c>
      <c r="P1119" s="97" t="s">
        <v>515</v>
      </c>
      <c r="Q1119" s="97">
        <f t="shared" si="168"/>
        <v>340</v>
      </c>
      <c r="R1119" t="str">
        <f t="shared" si="169"/>
        <v/>
      </c>
    </row>
    <row r="1120" spans="4:18">
      <c r="D1120" s="36">
        <v>341</v>
      </c>
      <c r="E1120" s="97">
        <v>90</v>
      </c>
      <c r="F1120" s="366">
        <f t="shared" si="170"/>
        <v>1953</v>
      </c>
      <c r="G1120" s="97">
        <v>3601</v>
      </c>
      <c r="H1120" s="367">
        <f t="shared" si="166"/>
        <v>5554</v>
      </c>
      <c r="I1120" s="368">
        <f t="shared" si="167"/>
        <v>0</v>
      </c>
      <c r="J1120" s="97">
        <v>13584</v>
      </c>
      <c r="K1120" s="367">
        <f t="shared" si="161"/>
        <v>9702.8571428571431</v>
      </c>
      <c r="L1120" s="606">
        <v>0.6</v>
      </c>
      <c r="M1120" s="97">
        <v>5.0999999999999996</v>
      </c>
      <c r="N1120" s="605">
        <v>25</v>
      </c>
      <c r="O1120" s="97">
        <v>7</v>
      </c>
      <c r="P1120" s="97" t="s">
        <v>556</v>
      </c>
      <c r="Q1120" s="97">
        <f t="shared" si="168"/>
        <v>341</v>
      </c>
      <c r="R1120" t="str">
        <f t="shared" si="169"/>
        <v/>
      </c>
    </row>
    <row r="1121" spans="4:18">
      <c r="D1121" s="36">
        <v>342</v>
      </c>
      <c r="E1121" s="97">
        <v>90</v>
      </c>
      <c r="F1121" s="366">
        <f t="shared" si="170"/>
        <v>1953</v>
      </c>
      <c r="G1121" s="97">
        <v>3047</v>
      </c>
      <c r="H1121" s="367">
        <f t="shared" si="166"/>
        <v>5000</v>
      </c>
      <c r="I1121" s="368">
        <f t="shared" si="167"/>
        <v>0</v>
      </c>
      <c r="J1121" s="97">
        <v>11494</v>
      </c>
      <c r="K1121" s="367">
        <f t="shared" si="161"/>
        <v>8210</v>
      </c>
      <c r="L1121" s="606">
        <v>0.36</v>
      </c>
      <c r="M1121" s="97">
        <v>5.0999999999999996</v>
      </c>
      <c r="N1121" s="605">
        <v>23</v>
      </c>
      <c r="O1121" s="97">
        <v>7</v>
      </c>
      <c r="P1121" s="97" t="s">
        <v>515</v>
      </c>
      <c r="Q1121" s="97">
        <f t="shared" si="168"/>
        <v>342</v>
      </c>
      <c r="R1121" t="str">
        <f t="shared" si="169"/>
        <v/>
      </c>
    </row>
    <row r="1122" spans="4:18">
      <c r="D1122" s="36">
        <v>343</v>
      </c>
      <c r="E1122" s="97">
        <v>90</v>
      </c>
      <c r="F1122" s="366">
        <f t="shared" si="170"/>
        <v>1953</v>
      </c>
      <c r="G1122" s="97">
        <v>4339</v>
      </c>
      <c r="H1122" s="367">
        <f t="shared" si="166"/>
        <v>6292</v>
      </c>
      <c r="I1122" s="368">
        <f t="shared" si="167"/>
        <v>0</v>
      </c>
      <c r="J1122" s="97">
        <v>16369</v>
      </c>
      <c r="K1122" s="367">
        <f t="shared" si="161"/>
        <v>11692.142857142857</v>
      </c>
      <c r="L1122" s="606">
        <v>1</v>
      </c>
      <c r="M1122" s="97">
        <v>5.8</v>
      </c>
      <c r="N1122" s="605">
        <v>30</v>
      </c>
      <c r="O1122" s="97">
        <v>8</v>
      </c>
      <c r="P1122" s="97" t="s">
        <v>514</v>
      </c>
      <c r="Q1122" s="97" t="str">
        <f t="shared" si="168"/>
        <v/>
      </c>
      <c r="R1122" t="str">
        <f t="shared" si="169"/>
        <v/>
      </c>
    </row>
    <row r="1123" spans="4:18">
      <c r="D1123" s="36">
        <v>344</v>
      </c>
      <c r="E1123" s="97">
        <v>90</v>
      </c>
      <c r="F1123" s="366">
        <f t="shared" si="170"/>
        <v>1953</v>
      </c>
      <c r="G1123" s="97">
        <v>3639</v>
      </c>
      <c r="H1123" s="367">
        <f t="shared" si="166"/>
        <v>5592</v>
      </c>
      <c r="I1123" s="368">
        <f t="shared" si="167"/>
        <v>0</v>
      </c>
      <c r="J1123" s="97">
        <v>13729</v>
      </c>
      <c r="K1123" s="367">
        <f t="shared" si="161"/>
        <v>9806.4285714285725</v>
      </c>
      <c r="L1123" s="606">
        <v>0.47000000000000003</v>
      </c>
      <c r="M1123" s="97">
        <v>5.8</v>
      </c>
      <c r="N1123" s="605">
        <v>24</v>
      </c>
      <c r="O1123" s="97">
        <v>8</v>
      </c>
      <c r="P1123" s="97" t="s">
        <v>556</v>
      </c>
      <c r="Q1123" s="97">
        <f t="shared" si="168"/>
        <v>344</v>
      </c>
      <c r="R1123" t="str">
        <f t="shared" si="169"/>
        <v/>
      </c>
    </row>
    <row r="1124" spans="4:18">
      <c r="D1124" s="36">
        <v>345</v>
      </c>
      <c r="E1124" s="97">
        <v>90</v>
      </c>
      <c r="F1124" s="366">
        <f t="shared" si="170"/>
        <v>1953</v>
      </c>
      <c r="G1124" s="97">
        <v>3311</v>
      </c>
      <c r="H1124" s="367">
        <f t="shared" si="166"/>
        <v>5264</v>
      </c>
      <c r="I1124" s="368">
        <f t="shared" si="167"/>
        <v>0</v>
      </c>
      <c r="J1124" s="97">
        <v>12491</v>
      </c>
      <c r="K1124" s="367">
        <f t="shared" si="161"/>
        <v>8922.1428571428569</v>
      </c>
      <c r="L1124" s="606">
        <v>0.28000000000000003</v>
      </c>
      <c r="M1124" s="97">
        <v>5.8</v>
      </c>
      <c r="N1124" s="605">
        <v>22</v>
      </c>
      <c r="O1124" s="97">
        <v>8</v>
      </c>
      <c r="P1124" s="97" t="s">
        <v>515</v>
      </c>
      <c r="Q1124" s="97">
        <f t="shared" si="168"/>
        <v>345</v>
      </c>
      <c r="R1124" t="str">
        <f t="shared" si="169"/>
        <v/>
      </c>
    </row>
    <row r="1125" spans="4:18">
      <c r="D1125" s="36">
        <v>346</v>
      </c>
      <c r="E1125" s="97">
        <v>90</v>
      </c>
      <c r="F1125" s="366">
        <f t="shared" si="170"/>
        <v>1953</v>
      </c>
      <c r="G1125" s="97">
        <v>4291</v>
      </c>
      <c r="H1125" s="367">
        <f t="shared" si="166"/>
        <v>6244</v>
      </c>
      <c r="I1125" s="368">
        <f t="shared" si="167"/>
        <v>0</v>
      </c>
      <c r="J1125" s="97">
        <v>16189</v>
      </c>
      <c r="K1125" s="367">
        <f t="shared" si="161"/>
        <v>11563.571428571429</v>
      </c>
      <c r="L1125" s="606">
        <v>0.8</v>
      </c>
      <c r="M1125" s="97">
        <v>3.5</v>
      </c>
      <c r="N1125" s="605">
        <v>29</v>
      </c>
      <c r="O1125" s="97">
        <v>9</v>
      </c>
      <c r="P1125" s="97" t="s">
        <v>514</v>
      </c>
      <c r="Q1125" s="97" t="str">
        <f t="shared" si="168"/>
        <v/>
      </c>
      <c r="R1125" t="str">
        <f t="shared" si="169"/>
        <v/>
      </c>
    </row>
    <row r="1126" spans="4:18">
      <c r="D1126" s="36">
        <v>347</v>
      </c>
      <c r="E1126" s="97">
        <v>90</v>
      </c>
      <c r="F1126" s="366">
        <f t="shared" si="170"/>
        <v>1953</v>
      </c>
      <c r="G1126" s="97">
        <v>3761</v>
      </c>
      <c r="H1126" s="367">
        <f t="shared" si="166"/>
        <v>5714</v>
      </c>
      <c r="I1126" s="368">
        <f t="shared" si="167"/>
        <v>0</v>
      </c>
      <c r="J1126" s="97">
        <v>14188</v>
      </c>
      <c r="K1126" s="367">
        <f t="shared" si="161"/>
        <v>10134.285714285714</v>
      </c>
      <c r="L1126" s="606">
        <v>0.39</v>
      </c>
      <c r="M1126" s="97">
        <v>3.1</v>
      </c>
      <c r="N1126" s="605">
        <v>24</v>
      </c>
      <c r="O1126" s="97">
        <v>9</v>
      </c>
      <c r="P1126" s="97" t="s">
        <v>556</v>
      </c>
      <c r="Q1126" s="97" t="str">
        <f t="shared" si="168"/>
        <v/>
      </c>
      <c r="R1126" t="str">
        <f t="shared" si="169"/>
        <v/>
      </c>
    </row>
    <row r="1127" spans="4:18">
      <c r="D1127" s="36">
        <v>348</v>
      </c>
      <c r="E1127" s="97">
        <v>90</v>
      </c>
      <c r="F1127" s="366">
        <f t="shared" si="170"/>
        <v>1953</v>
      </c>
      <c r="G1127" s="97">
        <v>3403</v>
      </c>
      <c r="H1127" s="367">
        <f t="shared" ref="H1127:H1190" si="171">(G1127*$U$7)+F1127</f>
        <v>5356</v>
      </c>
      <c r="I1127" s="368">
        <f t="shared" ref="I1127:I1190" si="172">1.085*($C$2-$D$2)*E1127*$T$7</f>
        <v>0</v>
      </c>
      <c r="J1127" s="97">
        <v>12839</v>
      </c>
      <c r="K1127" s="367">
        <f t="shared" si="161"/>
        <v>9170.7142857142862</v>
      </c>
      <c r="L1127" s="606">
        <v>0.24000000000000002</v>
      </c>
      <c r="M1127" s="97">
        <v>2.8000000000000003</v>
      </c>
      <c r="N1127" s="605">
        <v>22</v>
      </c>
      <c r="O1127" s="97">
        <v>9</v>
      </c>
      <c r="P1127" s="97" t="s">
        <v>515</v>
      </c>
      <c r="Q1127" s="97" t="str">
        <f t="shared" ref="Q1127:Q1190" si="173">IF(AND(H1127+1&gt;$E$4,L1127&lt;$L$4+0.01,M1127&lt;$M$4+0.01,K1127+1&gt;$F$4,E1127+1&gt;$J$4,N1127&lt;$K$4+1,O1127&lt;$P$4+1,C1127=""),D1127,"")</f>
        <v/>
      </c>
      <c r="R1127" t="str">
        <f t="shared" ref="R1127:R1190" si="174">IF(Q1127="","",IF(AND(O1127&lt;$X$15,E1127&gt;$U$15,E1127&lt;$Q$4+$U$15+1),D1127,""))</f>
        <v/>
      </c>
    </row>
    <row r="1128" spans="4:18">
      <c r="D1128" s="36">
        <v>349</v>
      </c>
      <c r="E1128" s="97">
        <v>90</v>
      </c>
      <c r="F1128" s="366">
        <f t="shared" si="170"/>
        <v>1953</v>
      </c>
      <c r="G1128" s="97">
        <v>4857</v>
      </c>
      <c r="H1128" s="367">
        <f t="shared" si="171"/>
        <v>6810</v>
      </c>
      <c r="I1128" s="368">
        <f t="shared" si="172"/>
        <v>0</v>
      </c>
      <c r="J1128" s="97">
        <v>18324</v>
      </c>
      <c r="K1128" s="367">
        <f t="shared" si="161"/>
        <v>13088.571428571429</v>
      </c>
      <c r="L1128" s="606">
        <v>0.96</v>
      </c>
      <c r="M1128" s="97">
        <v>3.9</v>
      </c>
      <c r="N1128" s="605">
        <v>27</v>
      </c>
      <c r="O1128" s="97">
        <v>10</v>
      </c>
      <c r="P1128" s="97" t="s">
        <v>555</v>
      </c>
      <c r="Q1128" s="97" t="str">
        <f t="shared" si="173"/>
        <v/>
      </c>
      <c r="R1128" t="str">
        <f t="shared" si="174"/>
        <v/>
      </c>
    </row>
    <row r="1129" spans="4:18">
      <c r="D1129" s="36">
        <v>350</v>
      </c>
      <c r="E1129" s="97">
        <v>90</v>
      </c>
      <c r="F1129" s="366">
        <f t="shared" si="170"/>
        <v>1953</v>
      </c>
      <c r="G1129" s="97">
        <v>4298</v>
      </c>
      <c r="H1129" s="367">
        <f t="shared" si="171"/>
        <v>6251</v>
      </c>
      <c r="I1129" s="368">
        <f t="shared" si="172"/>
        <v>0</v>
      </c>
      <c r="J1129" s="97">
        <v>16214</v>
      </c>
      <c r="K1129" s="367">
        <f t="shared" si="161"/>
        <v>11581.428571428572</v>
      </c>
      <c r="L1129" s="606">
        <v>0.66</v>
      </c>
      <c r="M1129" s="97">
        <v>3.5</v>
      </c>
      <c r="N1129" s="605">
        <v>29</v>
      </c>
      <c r="O1129" s="97">
        <v>10</v>
      </c>
      <c r="P1129" s="97" t="s">
        <v>514</v>
      </c>
      <c r="Q1129" s="97" t="str">
        <f t="shared" si="173"/>
        <v/>
      </c>
      <c r="R1129" t="str">
        <f t="shared" si="174"/>
        <v/>
      </c>
    </row>
    <row r="1130" spans="4:18">
      <c r="D1130" s="36">
        <v>351</v>
      </c>
      <c r="E1130" s="97">
        <v>90</v>
      </c>
      <c r="F1130" s="366">
        <f t="shared" si="170"/>
        <v>1953</v>
      </c>
      <c r="G1130" s="97">
        <v>3920</v>
      </c>
      <c r="H1130" s="367">
        <f t="shared" si="171"/>
        <v>5873</v>
      </c>
      <c r="I1130" s="368">
        <f t="shared" si="172"/>
        <v>0</v>
      </c>
      <c r="J1130" s="97">
        <v>14789</v>
      </c>
      <c r="K1130" s="367">
        <f t="shared" si="161"/>
        <v>10563.571428571429</v>
      </c>
      <c r="L1130" s="606">
        <v>0.32</v>
      </c>
      <c r="M1130" s="97">
        <v>3.2</v>
      </c>
      <c r="N1130" s="605">
        <v>24</v>
      </c>
      <c r="O1130" s="97">
        <v>10</v>
      </c>
      <c r="P1130" s="97" t="s">
        <v>556</v>
      </c>
      <c r="Q1130" s="97" t="str">
        <f t="shared" si="173"/>
        <v/>
      </c>
      <c r="R1130" t="str">
        <f t="shared" si="174"/>
        <v/>
      </c>
    </row>
    <row r="1131" spans="4:18">
      <c r="D1131" s="36">
        <v>352</v>
      </c>
      <c r="E1131" s="97">
        <v>90</v>
      </c>
      <c r="F1131" s="366">
        <f t="shared" si="170"/>
        <v>1953</v>
      </c>
      <c r="G1131" s="97">
        <v>3485</v>
      </c>
      <c r="H1131" s="367">
        <f t="shared" si="171"/>
        <v>5438</v>
      </c>
      <c r="I1131" s="368">
        <f t="shared" si="172"/>
        <v>0</v>
      </c>
      <c r="J1131" s="97">
        <v>13147</v>
      </c>
      <c r="K1131" s="367">
        <f t="shared" si="161"/>
        <v>9390.7142857142862</v>
      </c>
      <c r="L1131" s="606">
        <v>0.2</v>
      </c>
      <c r="M1131" s="97">
        <v>2.8000000000000003</v>
      </c>
      <c r="N1131" s="605">
        <v>22</v>
      </c>
      <c r="O1131" s="97">
        <v>10</v>
      </c>
      <c r="P1131" s="97" t="s">
        <v>515</v>
      </c>
      <c r="Q1131" s="97" t="str">
        <f t="shared" si="173"/>
        <v/>
      </c>
      <c r="R1131" t="str">
        <f t="shared" si="174"/>
        <v/>
      </c>
    </row>
    <row r="1132" spans="4:18">
      <c r="D1132" s="36">
        <v>353</v>
      </c>
      <c r="E1132" s="97">
        <v>95</v>
      </c>
      <c r="F1132" s="366">
        <f t="shared" si="170"/>
        <v>2061.5</v>
      </c>
      <c r="G1132" s="97">
        <v>3159</v>
      </c>
      <c r="H1132" s="367">
        <f t="shared" si="171"/>
        <v>5220.5</v>
      </c>
      <c r="I1132" s="368">
        <f t="shared" si="172"/>
        <v>0</v>
      </c>
      <c r="J1132" s="97">
        <v>11920</v>
      </c>
      <c r="K1132" s="367">
        <f t="shared" si="161"/>
        <v>8514.2857142857138</v>
      </c>
      <c r="L1132" s="606">
        <v>0.79</v>
      </c>
      <c r="M1132" s="97">
        <v>3.8000000000000003</v>
      </c>
      <c r="N1132" s="605">
        <v>27</v>
      </c>
      <c r="O1132" s="97">
        <v>5</v>
      </c>
      <c r="P1132" s="97" t="s">
        <v>515</v>
      </c>
      <c r="Q1132" s="97" t="str">
        <f t="shared" si="173"/>
        <v/>
      </c>
      <c r="R1132" t="str">
        <f t="shared" si="174"/>
        <v/>
      </c>
    </row>
    <row r="1133" spans="4:18">
      <c r="D1133" s="36">
        <v>354</v>
      </c>
      <c r="E1133" s="97">
        <v>95</v>
      </c>
      <c r="F1133" s="366">
        <f t="shared" si="170"/>
        <v>2061.5</v>
      </c>
      <c r="G1133" s="97">
        <v>3959</v>
      </c>
      <c r="H1133" s="367">
        <f t="shared" si="171"/>
        <v>6020.5</v>
      </c>
      <c r="I1133" s="368">
        <f t="shared" si="172"/>
        <v>0</v>
      </c>
      <c r="J1133" s="97">
        <v>14934</v>
      </c>
      <c r="K1133" s="367">
        <f t="shared" si="161"/>
        <v>10667.142857142857</v>
      </c>
      <c r="L1133" s="606">
        <v>0.91</v>
      </c>
      <c r="M1133" s="97">
        <v>4.3999999999999995</v>
      </c>
      <c r="N1133" s="605">
        <v>27</v>
      </c>
      <c r="O1133" s="97">
        <v>6</v>
      </c>
      <c r="P1133" s="97" t="s">
        <v>556</v>
      </c>
      <c r="Q1133" s="97" t="str">
        <f t="shared" si="173"/>
        <v/>
      </c>
      <c r="R1133" t="str">
        <f t="shared" si="174"/>
        <v/>
      </c>
    </row>
    <row r="1134" spans="4:18">
      <c r="D1134" s="36">
        <v>355</v>
      </c>
      <c r="E1134" s="97">
        <v>95</v>
      </c>
      <c r="F1134" s="366">
        <f t="shared" si="170"/>
        <v>2061.5</v>
      </c>
      <c r="G1134" s="97">
        <v>3084</v>
      </c>
      <c r="H1134" s="367">
        <f t="shared" si="171"/>
        <v>5145.5</v>
      </c>
      <c r="I1134" s="368">
        <f t="shared" si="172"/>
        <v>0</v>
      </c>
      <c r="J1134" s="97">
        <v>11634</v>
      </c>
      <c r="K1134" s="367">
        <f t="shared" si="161"/>
        <v>8310</v>
      </c>
      <c r="L1134" s="606">
        <v>0.54</v>
      </c>
      <c r="M1134" s="97">
        <v>4.3999999999999995</v>
      </c>
      <c r="N1134" s="605">
        <v>25</v>
      </c>
      <c r="O1134" s="97">
        <v>6</v>
      </c>
      <c r="P1134" s="97" t="s">
        <v>515</v>
      </c>
      <c r="Q1134" s="97">
        <f t="shared" si="173"/>
        <v>355</v>
      </c>
      <c r="R1134" t="str">
        <f t="shared" si="174"/>
        <v/>
      </c>
    </row>
    <row r="1135" spans="4:18">
      <c r="D1135" s="36">
        <v>356</v>
      </c>
      <c r="E1135" s="97">
        <v>95</v>
      </c>
      <c r="F1135" s="366">
        <f t="shared" si="170"/>
        <v>2061.5</v>
      </c>
      <c r="G1135" s="97">
        <v>3793</v>
      </c>
      <c r="H1135" s="367">
        <f t="shared" si="171"/>
        <v>5854.5</v>
      </c>
      <c r="I1135" s="368">
        <f t="shared" si="172"/>
        <v>0</v>
      </c>
      <c r="J1135" s="97">
        <v>14311</v>
      </c>
      <c r="K1135" s="367">
        <f t="shared" si="161"/>
        <v>10222.142857142857</v>
      </c>
      <c r="L1135" s="606">
        <v>0.67</v>
      </c>
      <c r="M1135" s="97">
        <v>5.0999999999999996</v>
      </c>
      <c r="N1135" s="605">
        <v>26</v>
      </c>
      <c r="O1135" s="97">
        <v>7</v>
      </c>
      <c r="P1135" s="97" t="s">
        <v>556</v>
      </c>
      <c r="Q1135" s="97">
        <f t="shared" si="173"/>
        <v>356</v>
      </c>
      <c r="R1135" t="str">
        <f t="shared" si="174"/>
        <v/>
      </c>
    </row>
    <row r="1136" spans="4:18">
      <c r="D1136" s="36">
        <v>357</v>
      </c>
      <c r="E1136" s="97">
        <v>95</v>
      </c>
      <c r="F1136" s="366">
        <f t="shared" si="170"/>
        <v>2061.5</v>
      </c>
      <c r="G1136" s="97">
        <v>3159</v>
      </c>
      <c r="H1136" s="367">
        <f t="shared" si="171"/>
        <v>5220.5</v>
      </c>
      <c r="I1136" s="368">
        <f t="shared" si="172"/>
        <v>0</v>
      </c>
      <c r="J1136" s="97">
        <v>11918</v>
      </c>
      <c r="K1136" s="367">
        <f t="shared" si="161"/>
        <v>8512.8571428571431</v>
      </c>
      <c r="L1136" s="606">
        <v>0.4</v>
      </c>
      <c r="M1136" s="97">
        <v>5.0999999999999996</v>
      </c>
      <c r="N1136" s="605">
        <v>23</v>
      </c>
      <c r="O1136" s="97">
        <v>7</v>
      </c>
      <c r="P1136" s="97" t="s">
        <v>515</v>
      </c>
      <c r="Q1136" s="97">
        <f t="shared" si="173"/>
        <v>357</v>
      </c>
      <c r="R1136" t="str">
        <f t="shared" si="174"/>
        <v/>
      </c>
    </row>
    <row r="1137" spans="4:18">
      <c r="D1137" s="36">
        <v>358</v>
      </c>
      <c r="E1137" s="97">
        <v>95</v>
      </c>
      <c r="F1137" s="366">
        <f t="shared" si="170"/>
        <v>2061.5</v>
      </c>
      <c r="G1137" s="97">
        <v>3782</v>
      </c>
      <c r="H1137" s="367">
        <f t="shared" si="171"/>
        <v>5843.5</v>
      </c>
      <c r="I1137" s="368">
        <f t="shared" si="172"/>
        <v>0</v>
      </c>
      <c r="J1137" s="97">
        <v>14267</v>
      </c>
      <c r="K1137" s="367">
        <f t="shared" si="161"/>
        <v>10190.714285714286</v>
      </c>
      <c r="L1137" s="606">
        <v>0.52</v>
      </c>
      <c r="M1137" s="97">
        <v>5.8</v>
      </c>
      <c r="N1137" s="605">
        <v>25</v>
      </c>
      <c r="O1137" s="97">
        <v>8</v>
      </c>
      <c r="P1137" s="97" t="s">
        <v>556</v>
      </c>
      <c r="Q1137" s="97">
        <f t="shared" si="173"/>
        <v>358</v>
      </c>
      <c r="R1137" t="str">
        <f t="shared" si="174"/>
        <v/>
      </c>
    </row>
    <row r="1138" spans="4:18">
      <c r="D1138" s="36">
        <v>359</v>
      </c>
      <c r="E1138" s="97">
        <v>95</v>
      </c>
      <c r="F1138" s="366">
        <f t="shared" si="170"/>
        <v>2061.5</v>
      </c>
      <c r="G1138" s="97">
        <v>3392</v>
      </c>
      <c r="H1138" s="367">
        <f t="shared" si="171"/>
        <v>5453.5</v>
      </c>
      <c r="I1138" s="368">
        <f t="shared" si="172"/>
        <v>0</v>
      </c>
      <c r="J1138" s="97">
        <v>12797</v>
      </c>
      <c r="K1138" s="367">
        <f t="shared" si="161"/>
        <v>9140.7142857142862</v>
      </c>
      <c r="L1138" s="606">
        <v>0.32</v>
      </c>
      <c r="M1138" s="97">
        <v>5.8</v>
      </c>
      <c r="N1138" s="605">
        <v>23</v>
      </c>
      <c r="O1138" s="97">
        <v>8</v>
      </c>
      <c r="P1138" s="97" t="s">
        <v>515</v>
      </c>
      <c r="Q1138" s="97">
        <f t="shared" si="173"/>
        <v>359</v>
      </c>
      <c r="R1138" t="str">
        <f t="shared" si="174"/>
        <v/>
      </c>
    </row>
    <row r="1139" spans="4:18">
      <c r="D1139" s="36">
        <v>360</v>
      </c>
      <c r="E1139" s="97">
        <v>95</v>
      </c>
      <c r="F1139" s="366">
        <f t="shared" si="170"/>
        <v>2061.5</v>
      </c>
      <c r="G1139" s="97">
        <v>4475</v>
      </c>
      <c r="H1139" s="367">
        <f t="shared" si="171"/>
        <v>6536.5</v>
      </c>
      <c r="I1139" s="368">
        <f t="shared" si="172"/>
        <v>0</v>
      </c>
      <c r="J1139" s="97">
        <v>16883</v>
      </c>
      <c r="K1139" s="367">
        <f t="shared" si="161"/>
        <v>12059.285714285714</v>
      </c>
      <c r="L1139" s="606">
        <v>0.89</v>
      </c>
      <c r="M1139" s="97">
        <v>3.6</v>
      </c>
      <c r="N1139" s="605">
        <v>30</v>
      </c>
      <c r="O1139" s="97">
        <v>9</v>
      </c>
      <c r="P1139" s="97" t="s">
        <v>514</v>
      </c>
      <c r="Q1139" s="97" t="str">
        <f t="shared" si="173"/>
        <v/>
      </c>
      <c r="R1139" t="str">
        <f t="shared" si="174"/>
        <v/>
      </c>
    </row>
    <row r="1140" spans="4:18">
      <c r="D1140" s="36">
        <v>361</v>
      </c>
      <c r="E1140" s="97">
        <v>95</v>
      </c>
      <c r="F1140" s="366">
        <f t="shared" si="170"/>
        <v>2061.5</v>
      </c>
      <c r="G1140" s="97">
        <v>3850</v>
      </c>
      <c r="H1140" s="367">
        <f t="shared" si="171"/>
        <v>5911.5</v>
      </c>
      <c r="I1140" s="368">
        <f t="shared" si="172"/>
        <v>0</v>
      </c>
      <c r="J1140" s="97">
        <v>14523</v>
      </c>
      <c r="K1140" s="367">
        <f t="shared" si="161"/>
        <v>10373.571428571429</v>
      </c>
      <c r="L1140" s="606">
        <v>0.43</v>
      </c>
      <c r="M1140" s="97">
        <v>3.1</v>
      </c>
      <c r="N1140" s="605">
        <v>25</v>
      </c>
      <c r="O1140" s="97">
        <v>9</v>
      </c>
      <c r="P1140" s="97" t="s">
        <v>556</v>
      </c>
      <c r="Q1140" s="97" t="str">
        <f t="shared" si="173"/>
        <v/>
      </c>
      <c r="R1140" t="str">
        <f t="shared" si="174"/>
        <v/>
      </c>
    </row>
    <row r="1141" spans="4:18">
      <c r="D1141" s="36">
        <v>362</v>
      </c>
      <c r="E1141" s="97">
        <v>95</v>
      </c>
      <c r="F1141" s="366">
        <f t="shared" si="170"/>
        <v>2061.5</v>
      </c>
      <c r="G1141" s="97">
        <v>3538</v>
      </c>
      <c r="H1141" s="367">
        <f t="shared" si="171"/>
        <v>5599.5</v>
      </c>
      <c r="I1141" s="368">
        <f t="shared" si="172"/>
        <v>0</v>
      </c>
      <c r="J1141" s="97">
        <v>13348</v>
      </c>
      <c r="K1141" s="367">
        <f t="shared" si="161"/>
        <v>9534.2857142857138</v>
      </c>
      <c r="L1141" s="606">
        <v>0.27</v>
      </c>
      <c r="M1141" s="97">
        <v>2.9</v>
      </c>
      <c r="N1141" s="605">
        <v>23</v>
      </c>
      <c r="O1141" s="97">
        <v>9</v>
      </c>
      <c r="P1141" s="97" t="s">
        <v>515</v>
      </c>
      <c r="Q1141" s="97" t="str">
        <f t="shared" si="173"/>
        <v/>
      </c>
      <c r="R1141" t="str">
        <f t="shared" si="174"/>
        <v/>
      </c>
    </row>
    <row r="1142" spans="4:18">
      <c r="D1142" s="36">
        <v>363</v>
      </c>
      <c r="E1142" s="97">
        <v>95</v>
      </c>
      <c r="F1142" s="366">
        <f t="shared" si="170"/>
        <v>2061.5</v>
      </c>
      <c r="G1142" s="97">
        <v>4486</v>
      </c>
      <c r="H1142" s="367">
        <f t="shared" si="171"/>
        <v>6547.5</v>
      </c>
      <c r="I1142" s="368">
        <f t="shared" si="172"/>
        <v>0</v>
      </c>
      <c r="J1142" s="97">
        <v>16923</v>
      </c>
      <c r="K1142" s="367">
        <f t="shared" si="161"/>
        <v>12087.857142857143</v>
      </c>
      <c r="L1142" s="606">
        <v>0.73</v>
      </c>
      <c r="M1142" s="97">
        <v>3.6</v>
      </c>
      <c r="N1142" s="605">
        <v>29</v>
      </c>
      <c r="O1142" s="97">
        <v>10</v>
      </c>
      <c r="P1142" s="97" t="s">
        <v>514</v>
      </c>
      <c r="Q1142" s="97" t="str">
        <f t="shared" si="173"/>
        <v/>
      </c>
      <c r="R1142" t="str">
        <f t="shared" si="174"/>
        <v/>
      </c>
    </row>
    <row r="1143" spans="4:18">
      <c r="D1143" s="36">
        <v>364</v>
      </c>
      <c r="E1143" s="97">
        <v>95</v>
      </c>
      <c r="F1143" s="366">
        <f t="shared" si="170"/>
        <v>2061.5</v>
      </c>
      <c r="G1143" s="97">
        <v>3996</v>
      </c>
      <c r="H1143" s="367">
        <f t="shared" si="171"/>
        <v>6057.5</v>
      </c>
      <c r="I1143" s="368">
        <f t="shared" si="172"/>
        <v>0</v>
      </c>
      <c r="J1143" s="97">
        <v>15074</v>
      </c>
      <c r="K1143" s="367">
        <f t="shared" si="161"/>
        <v>10767.142857142857</v>
      </c>
      <c r="L1143" s="606">
        <v>0.36</v>
      </c>
      <c r="M1143" s="97">
        <v>3.2</v>
      </c>
      <c r="N1143" s="605">
        <v>24</v>
      </c>
      <c r="O1143" s="97">
        <v>10</v>
      </c>
      <c r="P1143" s="97" t="s">
        <v>556</v>
      </c>
      <c r="Q1143" s="97" t="str">
        <f t="shared" si="173"/>
        <v/>
      </c>
      <c r="R1143" t="str">
        <f t="shared" si="174"/>
        <v/>
      </c>
    </row>
    <row r="1144" spans="4:18">
      <c r="D1144" s="36">
        <v>365</v>
      </c>
      <c r="E1144" s="97">
        <v>95</v>
      </c>
      <c r="F1144" s="366">
        <f t="shared" si="170"/>
        <v>2061.5</v>
      </c>
      <c r="G1144" s="97">
        <v>3616</v>
      </c>
      <c r="H1144" s="367">
        <f t="shared" si="171"/>
        <v>5677.5</v>
      </c>
      <c r="I1144" s="368">
        <f t="shared" si="172"/>
        <v>0</v>
      </c>
      <c r="J1144" s="97">
        <v>13641</v>
      </c>
      <c r="K1144" s="367">
        <f t="shared" si="161"/>
        <v>9743.5714285714294</v>
      </c>
      <c r="L1144" s="606">
        <v>0.22</v>
      </c>
      <c r="M1144" s="97">
        <v>2.9</v>
      </c>
      <c r="N1144" s="605">
        <v>22</v>
      </c>
      <c r="O1144" s="97">
        <v>10</v>
      </c>
      <c r="P1144" s="97" t="s">
        <v>515</v>
      </c>
      <c r="Q1144" s="97" t="str">
        <f t="shared" si="173"/>
        <v/>
      </c>
      <c r="R1144" t="str">
        <f t="shared" si="174"/>
        <v/>
      </c>
    </row>
    <row r="1145" spans="4:18">
      <c r="D1145" s="36">
        <v>366</v>
      </c>
      <c r="E1145" s="97">
        <v>100</v>
      </c>
      <c r="F1145" s="366">
        <f t="shared" si="170"/>
        <v>2170</v>
      </c>
      <c r="G1145" s="97">
        <v>3360</v>
      </c>
      <c r="H1145" s="367">
        <f t="shared" si="171"/>
        <v>5530</v>
      </c>
      <c r="I1145" s="368">
        <f t="shared" si="172"/>
        <v>0</v>
      </c>
      <c r="J1145" s="97">
        <v>12675</v>
      </c>
      <c r="K1145" s="367">
        <f t="shared" si="161"/>
        <v>9053.5714285714294</v>
      </c>
      <c r="L1145" s="606">
        <v>0.88</v>
      </c>
      <c r="M1145" s="97">
        <v>3.8000000000000003</v>
      </c>
      <c r="N1145" s="605">
        <v>27</v>
      </c>
      <c r="O1145" s="97">
        <v>5</v>
      </c>
      <c r="P1145" s="97" t="s">
        <v>515</v>
      </c>
      <c r="Q1145" s="97" t="str">
        <f t="shared" si="173"/>
        <v/>
      </c>
      <c r="R1145" t="str">
        <f t="shared" si="174"/>
        <v/>
      </c>
    </row>
    <row r="1146" spans="4:18">
      <c r="D1146" s="36">
        <v>367</v>
      </c>
      <c r="E1146" s="97">
        <v>100</v>
      </c>
      <c r="F1146" s="366">
        <f t="shared" si="170"/>
        <v>2170</v>
      </c>
      <c r="G1146" s="97">
        <v>4231</v>
      </c>
      <c r="H1146" s="367">
        <f t="shared" si="171"/>
        <v>6401</v>
      </c>
      <c r="I1146" s="368">
        <f t="shared" si="172"/>
        <v>0</v>
      </c>
      <c r="J1146" s="97">
        <v>15960</v>
      </c>
      <c r="K1146" s="367">
        <f t="shared" si="161"/>
        <v>11400</v>
      </c>
      <c r="L1146" s="606">
        <v>1.01</v>
      </c>
      <c r="M1146" s="97">
        <v>4.3999999999999995</v>
      </c>
      <c r="N1146" s="605">
        <v>28</v>
      </c>
      <c r="O1146" s="97">
        <v>6</v>
      </c>
      <c r="P1146" s="97" t="s">
        <v>556</v>
      </c>
      <c r="Q1146" s="97" t="str">
        <f t="shared" si="173"/>
        <v/>
      </c>
      <c r="R1146" t="str">
        <f t="shared" si="174"/>
        <v/>
      </c>
    </row>
    <row r="1147" spans="4:18">
      <c r="D1147" s="36">
        <v>368</v>
      </c>
      <c r="E1147" s="97">
        <v>100</v>
      </c>
      <c r="F1147" s="366">
        <f t="shared" si="170"/>
        <v>2170</v>
      </c>
      <c r="G1147" s="97">
        <v>3216</v>
      </c>
      <c r="H1147" s="367">
        <f t="shared" si="171"/>
        <v>5386</v>
      </c>
      <c r="I1147" s="368">
        <f t="shared" si="172"/>
        <v>0</v>
      </c>
      <c r="J1147" s="97">
        <v>12131</v>
      </c>
      <c r="K1147" s="367">
        <f t="shared" si="161"/>
        <v>8665</v>
      </c>
      <c r="L1147" s="606">
        <v>0.6</v>
      </c>
      <c r="M1147" s="97">
        <v>4.3999999999999995</v>
      </c>
      <c r="N1147" s="605">
        <v>25</v>
      </c>
      <c r="O1147" s="97">
        <v>6</v>
      </c>
      <c r="P1147" s="97" t="s">
        <v>515</v>
      </c>
      <c r="Q1147" s="97">
        <f t="shared" si="173"/>
        <v>368</v>
      </c>
      <c r="R1147" t="str">
        <f t="shared" si="174"/>
        <v/>
      </c>
    </row>
    <row r="1148" spans="4:18">
      <c r="D1148" s="36">
        <v>369</v>
      </c>
      <c r="E1148" s="97">
        <v>100</v>
      </c>
      <c r="F1148" s="366">
        <f t="shared" si="170"/>
        <v>2170</v>
      </c>
      <c r="G1148" s="97">
        <v>4048</v>
      </c>
      <c r="H1148" s="367">
        <f t="shared" si="171"/>
        <v>6218</v>
      </c>
      <c r="I1148" s="368">
        <f t="shared" si="172"/>
        <v>0</v>
      </c>
      <c r="J1148" s="97">
        <v>15271</v>
      </c>
      <c r="K1148" s="367">
        <f t="shared" si="161"/>
        <v>10907.857142857143</v>
      </c>
      <c r="L1148" s="606">
        <v>0.75</v>
      </c>
      <c r="M1148" s="97">
        <v>5.0999999999999996</v>
      </c>
      <c r="N1148" s="605">
        <v>27</v>
      </c>
      <c r="O1148" s="97">
        <v>7</v>
      </c>
      <c r="P1148" s="97" t="s">
        <v>556</v>
      </c>
      <c r="Q1148" s="97" t="str">
        <f t="shared" si="173"/>
        <v/>
      </c>
      <c r="R1148" t="str">
        <f t="shared" si="174"/>
        <v/>
      </c>
    </row>
    <row r="1149" spans="4:18">
      <c r="D1149" s="36">
        <v>370</v>
      </c>
      <c r="E1149" s="97">
        <v>100</v>
      </c>
      <c r="F1149" s="366">
        <f t="shared" si="170"/>
        <v>2170</v>
      </c>
      <c r="G1149" s="97">
        <v>3277</v>
      </c>
      <c r="H1149" s="367">
        <f t="shared" si="171"/>
        <v>5447</v>
      </c>
      <c r="I1149" s="368">
        <f t="shared" si="172"/>
        <v>0</v>
      </c>
      <c r="J1149" s="97">
        <v>12363</v>
      </c>
      <c r="K1149" s="367">
        <f t="shared" si="161"/>
        <v>8830.7142857142862</v>
      </c>
      <c r="L1149" s="606">
        <v>0.45</v>
      </c>
      <c r="M1149" s="97">
        <v>5.0999999999999996</v>
      </c>
      <c r="N1149" s="605">
        <v>24</v>
      </c>
      <c r="O1149" s="97">
        <v>7</v>
      </c>
      <c r="P1149" s="97" t="s">
        <v>515</v>
      </c>
      <c r="Q1149" s="97">
        <f t="shared" si="173"/>
        <v>370</v>
      </c>
      <c r="R1149" t="str">
        <f t="shared" si="174"/>
        <v/>
      </c>
    </row>
    <row r="1150" spans="4:18">
      <c r="D1150" s="36">
        <v>371</v>
      </c>
      <c r="E1150" s="97">
        <v>100</v>
      </c>
      <c r="F1150" s="366">
        <f t="shared" si="170"/>
        <v>2170</v>
      </c>
      <c r="G1150" s="97">
        <v>3925</v>
      </c>
      <c r="H1150" s="367">
        <f t="shared" si="171"/>
        <v>6095</v>
      </c>
      <c r="I1150" s="368">
        <f t="shared" si="172"/>
        <v>0</v>
      </c>
      <c r="J1150" s="97">
        <v>14806</v>
      </c>
      <c r="K1150" s="367">
        <f t="shared" si="161"/>
        <v>10575.714285714286</v>
      </c>
      <c r="L1150" s="606">
        <v>0.57999999999999996</v>
      </c>
      <c r="M1150" s="97">
        <v>5.8</v>
      </c>
      <c r="N1150" s="605">
        <v>26</v>
      </c>
      <c r="O1150" s="97">
        <v>8</v>
      </c>
      <c r="P1150" s="97" t="s">
        <v>556</v>
      </c>
      <c r="Q1150" s="97">
        <f t="shared" si="173"/>
        <v>371</v>
      </c>
      <c r="R1150" t="str">
        <f t="shared" si="174"/>
        <v/>
      </c>
    </row>
    <row r="1151" spans="4:18">
      <c r="D1151" s="36">
        <v>372</v>
      </c>
      <c r="E1151" s="97">
        <v>100</v>
      </c>
      <c r="F1151" s="366">
        <f t="shared" si="170"/>
        <v>2170</v>
      </c>
      <c r="G1151" s="97">
        <v>3473</v>
      </c>
      <c r="H1151" s="367">
        <f t="shared" si="171"/>
        <v>5643</v>
      </c>
      <c r="I1151" s="368">
        <f t="shared" si="172"/>
        <v>0</v>
      </c>
      <c r="J1151" s="97">
        <v>13104</v>
      </c>
      <c r="K1151" s="367">
        <f t="shared" si="161"/>
        <v>9360</v>
      </c>
      <c r="L1151" s="606">
        <v>0.35000000000000003</v>
      </c>
      <c r="M1151" s="97">
        <v>5.8</v>
      </c>
      <c r="N1151" s="605">
        <v>23</v>
      </c>
      <c r="O1151" s="97">
        <v>8</v>
      </c>
      <c r="P1151" s="97" t="s">
        <v>515</v>
      </c>
      <c r="Q1151" s="97">
        <f t="shared" si="173"/>
        <v>372</v>
      </c>
      <c r="R1151" t="str">
        <f t="shared" si="174"/>
        <v/>
      </c>
    </row>
    <row r="1152" spans="4:18">
      <c r="D1152" s="36">
        <v>373</v>
      </c>
      <c r="E1152" s="97">
        <v>100</v>
      </c>
      <c r="F1152" s="366">
        <f t="shared" si="170"/>
        <v>2170</v>
      </c>
      <c r="G1152" s="97">
        <v>4716</v>
      </c>
      <c r="H1152" s="367">
        <f t="shared" si="171"/>
        <v>6886</v>
      </c>
      <c r="I1152" s="368">
        <f t="shared" si="172"/>
        <v>0</v>
      </c>
      <c r="J1152" s="97">
        <v>17792</v>
      </c>
      <c r="K1152" s="367">
        <f t="shared" si="161"/>
        <v>12708.571428571429</v>
      </c>
      <c r="L1152" s="606">
        <v>0.99</v>
      </c>
      <c r="M1152" s="97">
        <v>3.8000000000000003</v>
      </c>
      <c r="N1152" s="605">
        <v>31</v>
      </c>
      <c r="O1152" s="97">
        <v>9</v>
      </c>
      <c r="P1152" s="97" t="s">
        <v>514</v>
      </c>
      <c r="Q1152" s="97" t="str">
        <f t="shared" si="173"/>
        <v/>
      </c>
      <c r="R1152" t="str">
        <f t="shared" si="174"/>
        <v/>
      </c>
    </row>
    <row r="1153" spans="4:18">
      <c r="D1153" s="36">
        <v>374</v>
      </c>
      <c r="E1153" s="97">
        <v>100</v>
      </c>
      <c r="F1153" s="366">
        <f t="shared" si="170"/>
        <v>2170</v>
      </c>
      <c r="G1153" s="97">
        <v>3943</v>
      </c>
      <c r="H1153" s="367">
        <f t="shared" si="171"/>
        <v>6113</v>
      </c>
      <c r="I1153" s="368">
        <f t="shared" si="172"/>
        <v>0</v>
      </c>
      <c r="J1153" s="97">
        <v>14877</v>
      </c>
      <c r="K1153" s="367">
        <f t="shared" si="161"/>
        <v>10626.428571428572</v>
      </c>
      <c r="L1153" s="606">
        <v>0.48</v>
      </c>
      <c r="M1153" s="97">
        <v>3.2</v>
      </c>
      <c r="N1153" s="605">
        <v>26</v>
      </c>
      <c r="O1153" s="97">
        <v>9</v>
      </c>
      <c r="P1153" s="97" t="s">
        <v>556</v>
      </c>
      <c r="Q1153" s="97" t="str">
        <f t="shared" si="173"/>
        <v/>
      </c>
      <c r="R1153" t="str">
        <f t="shared" si="174"/>
        <v/>
      </c>
    </row>
    <row r="1154" spans="4:18">
      <c r="D1154" s="36">
        <v>375</v>
      </c>
      <c r="E1154" s="97">
        <v>100</v>
      </c>
      <c r="F1154" s="366">
        <f t="shared" si="170"/>
        <v>2170</v>
      </c>
      <c r="G1154" s="97">
        <v>3662</v>
      </c>
      <c r="H1154" s="367">
        <f t="shared" si="171"/>
        <v>5832</v>
      </c>
      <c r="I1154" s="368">
        <f t="shared" si="172"/>
        <v>0</v>
      </c>
      <c r="J1154" s="97">
        <v>13814</v>
      </c>
      <c r="K1154" s="367">
        <f t="shared" si="161"/>
        <v>9867.1428571428569</v>
      </c>
      <c r="L1154" s="606">
        <v>0.29000000000000004</v>
      </c>
      <c r="M1154" s="97">
        <v>3</v>
      </c>
      <c r="N1154" s="605">
        <v>24</v>
      </c>
      <c r="O1154" s="97">
        <v>9</v>
      </c>
      <c r="P1154" s="97" t="s">
        <v>515</v>
      </c>
      <c r="Q1154" s="97" t="str">
        <f t="shared" si="173"/>
        <v/>
      </c>
      <c r="R1154" t="str">
        <f t="shared" si="174"/>
        <v/>
      </c>
    </row>
    <row r="1155" spans="4:18">
      <c r="D1155" s="36">
        <v>376</v>
      </c>
      <c r="E1155" s="97">
        <v>100</v>
      </c>
      <c r="F1155" s="366">
        <f t="shared" si="170"/>
        <v>2170</v>
      </c>
      <c r="G1155" s="97">
        <v>4674</v>
      </c>
      <c r="H1155" s="367">
        <f t="shared" si="171"/>
        <v>6844</v>
      </c>
      <c r="I1155" s="368">
        <f t="shared" si="172"/>
        <v>0</v>
      </c>
      <c r="J1155" s="97">
        <v>17632</v>
      </c>
      <c r="K1155" s="367">
        <f t="shared" si="161"/>
        <v>12594.285714285714</v>
      </c>
      <c r="L1155" s="606">
        <v>0.81</v>
      </c>
      <c r="M1155" s="97">
        <v>3.8000000000000003</v>
      </c>
      <c r="N1155" s="605">
        <v>30</v>
      </c>
      <c r="O1155" s="97">
        <v>10</v>
      </c>
      <c r="P1155" s="97" t="s">
        <v>514</v>
      </c>
      <c r="Q1155" s="97" t="str">
        <f t="shared" si="173"/>
        <v/>
      </c>
      <c r="R1155" t="str">
        <f t="shared" si="174"/>
        <v/>
      </c>
    </row>
    <row r="1156" spans="4:18">
      <c r="D1156" s="36">
        <v>377</v>
      </c>
      <c r="E1156" s="97">
        <v>100</v>
      </c>
      <c r="F1156" s="366">
        <f t="shared" si="170"/>
        <v>2170</v>
      </c>
      <c r="G1156" s="97">
        <v>4071</v>
      </c>
      <c r="H1156" s="367">
        <f t="shared" si="171"/>
        <v>6241</v>
      </c>
      <c r="I1156" s="368">
        <f t="shared" si="172"/>
        <v>0</v>
      </c>
      <c r="J1156" s="97">
        <v>15358</v>
      </c>
      <c r="K1156" s="367">
        <f t="shared" si="161"/>
        <v>10970</v>
      </c>
      <c r="L1156" s="606">
        <v>0.4</v>
      </c>
      <c r="M1156" s="97">
        <v>3.3000000000000003</v>
      </c>
      <c r="N1156" s="605">
        <v>25</v>
      </c>
      <c r="O1156" s="97">
        <v>10</v>
      </c>
      <c r="P1156" s="97" t="s">
        <v>556</v>
      </c>
      <c r="Q1156" s="97" t="str">
        <f t="shared" si="173"/>
        <v/>
      </c>
      <c r="R1156" t="str">
        <f t="shared" si="174"/>
        <v/>
      </c>
    </row>
    <row r="1157" spans="4:18">
      <c r="D1157" s="36">
        <v>378</v>
      </c>
      <c r="E1157" s="97">
        <v>100</v>
      </c>
      <c r="F1157" s="366">
        <f t="shared" si="170"/>
        <v>2170</v>
      </c>
      <c r="G1157" s="97">
        <v>3747</v>
      </c>
      <c r="H1157" s="367">
        <f t="shared" si="171"/>
        <v>5917</v>
      </c>
      <c r="I1157" s="368">
        <f t="shared" si="172"/>
        <v>0</v>
      </c>
      <c r="J1157" s="97">
        <v>14134</v>
      </c>
      <c r="K1157" s="367">
        <f t="shared" si="161"/>
        <v>10095.714285714286</v>
      </c>
      <c r="L1157" s="606">
        <v>0.24000000000000002</v>
      </c>
      <c r="M1157" s="97">
        <v>3</v>
      </c>
      <c r="N1157" s="605">
        <v>23</v>
      </c>
      <c r="O1157" s="97">
        <v>10</v>
      </c>
      <c r="P1157" s="97" t="s">
        <v>515</v>
      </c>
      <c r="Q1157" s="97" t="str">
        <f t="shared" si="173"/>
        <v/>
      </c>
      <c r="R1157" t="str">
        <f t="shared" si="174"/>
        <v/>
      </c>
    </row>
    <row r="1158" spans="4:18">
      <c r="D1158" s="36">
        <v>379</v>
      </c>
      <c r="E1158" s="97">
        <v>105</v>
      </c>
      <c r="F1158" s="366">
        <f t="shared" si="170"/>
        <v>2278.5</v>
      </c>
      <c r="G1158" s="97">
        <v>3564</v>
      </c>
      <c r="H1158" s="367">
        <f t="shared" si="171"/>
        <v>5842.5</v>
      </c>
      <c r="I1158" s="368">
        <f t="shared" si="172"/>
        <v>0</v>
      </c>
      <c r="J1158" s="97">
        <v>13446</v>
      </c>
      <c r="K1158" s="367">
        <f t="shared" si="161"/>
        <v>9604.2857142857138</v>
      </c>
      <c r="L1158" s="606">
        <v>0.96</v>
      </c>
      <c r="M1158" s="97">
        <v>3.8000000000000003</v>
      </c>
      <c r="N1158" s="605">
        <v>28</v>
      </c>
      <c r="O1158" s="97">
        <v>5</v>
      </c>
      <c r="P1158" s="97" t="s">
        <v>515</v>
      </c>
      <c r="Q1158" s="97" t="str">
        <f t="shared" si="173"/>
        <v/>
      </c>
      <c r="R1158" t="str">
        <f t="shared" si="174"/>
        <v/>
      </c>
    </row>
    <row r="1159" spans="4:18">
      <c r="D1159" s="36">
        <v>380</v>
      </c>
      <c r="E1159" s="97">
        <v>105</v>
      </c>
      <c r="F1159" s="366">
        <f t="shared" si="170"/>
        <v>2278.5</v>
      </c>
      <c r="G1159" s="97">
        <v>3416</v>
      </c>
      <c r="H1159" s="367">
        <f t="shared" si="171"/>
        <v>5694.5</v>
      </c>
      <c r="I1159" s="368">
        <f t="shared" si="172"/>
        <v>0</v>
      </c>
      <c r="J1159" s="97">
        <v>12887</v>
      </c>
      <c r="K1159" s="367">
        <f t="shared" si="161"/>
        <v>9205</v>
      </c>
      <c r="L1159" s="606">
        <v>0.66</v>
      </c>
      <c r="M1159" s="97">
        <v>4.3999999999999995</v>
      </c>
      <c r="N1159" s="605">
        <v>26</v>
      </c>
      <c r="O1159" s="97">
        <v>6</v>
      </c>
      <c r="P1159" s="97" t="s">
        <v>515</v>
      </c>
      <c r="Q1159" s="97">
        <f t="shared" si="173"/>
        <v>380</v>
      </c>
      <c r="R1159" t="str">
        <f t="shared" si="174"/>
        <v/>
      </c>
    </row>
    <row r="1160" spans="4:18">
      <c r="D1160" s="36">
        <v>381</v>
      </c>
      <c r="E1160" s="97">
        <v>105</v>
      </c>
      <c r="F1160" s="366">
        <f t="shared" si="170"/>
        <v>2278.5</v>
      </c>
      <c r="G1160" s="97">
        <v>4302</v>
      </c>
      <c r="H1160" s="367">
        <f t="shared" si="171"/>
        <v>6580.5</v>
      </c>
      <c r="I1160" s="368">
        <f t="shared" si="172"/>
        <v>0</v>
      </c>
      <c r="J1160" s="97">
        <v>16232</v>
      </c>
      <c r="K1160" s="367">
        <f t="shared" si="161"/>
        <v>11594.285714285714</v>
      </c>
      <c r="L1160" s="606">
        <v>0.82000000000000006</v>
      </c>
      <c r="M1160" s="97">
        <v>5.0999999999999996</v>
      </c>
      <c r="N1160" s="605">
        <v>27</v>
      </c>
      <c r="O1160" s="97">
        <v>7</v>
      </c>
      <c r="P1160" s="97" t="s">
        <v>556</v>
      </c>
      <c r="Q1160" s="97" t="str">
        <f t="shared" si="173"/>
        <v/>
      </c>
      <c r="R1160" t="str">
        <f t="shared" si="174"/>
        <v/>
      </c>
    </row>
    <row r="1161" spans="4:18">
      <c r="D1161" s="36">
        <v>382</v>
      </c>
      <c r="E1161" s="97">
        <v>105</v>
      </c>
      <c r="F1161" s="366">
        <f t="shared" si="170"/>
        <v>2278.5</v>
      </c>
      <c r="G1161" s="97">
        <v>3401</v>
      </c>
      <c r="H1161" s="367">
        <f t="shared" si="171"/>
        <v>5679.5</v>
      </c>
      <c r="I1161" s="368">
        <f t="shared" si="172"/>
        <v>0</v>
      </c>
      <c r="J1161" s="97">
        <v>12832</v>
      </c>
      <c r="K1161" s="367">
        <f t="shared" si="161"/>
        <v>9165.7142857142862</v>
      </c>
      <c r="L1161" s="606">
        <v>0.49</v>
      </c>
      <c r="M1161" s="97">
        <v>5.0999999999999996</v>
      </c>
      <c r="N1161" s="605">
        <v>25</v>
      </c>
      <c r="O1161" s="97">
        <v>7</v>
      </c>
      <c r="P1161" s="97" t="s">
        <v>515</v>
      </c>
      <c r="Q1161" s="97">
        <f t="shared" si="173"/>
        <v>382</v>
      </c>
      <c r="R1161" t="str">
        <f t="shared" si="174"/>
        <v/>
      </c>
    </row>
    <row r="1162" spans="4:18">
      <c r="D1162" s="36">
        <v>383</v>
      </c>
      <c r="E1162" s="97">
        <v>105</v>
      </c>
      <c r="F1162" s="366">
        <f t="shared" si="170"/>
        <v>2278.5</v>
      </c>
      <c r="G1162" s="97">
        <v>4067</v>
      </c>
      <c r="H1162" s="367">
        <f t="shared" si="171"/>
        <v>6345.5</v>
      </c>
      <c r="I1162" s="368">
        <f t="shared" si="172"/>
        <v>0</v>
      </c>
      <c r="J1162" s="97">
        <v>15344</v>
      </c>
      <c r="K1162" s="367">
        <f t="shared" si="161"/>
        <v>10960</v>
      </c>
      <c r="L1162" s="606">
        <v>0.63</v>
      </c>
      <c r="M1162" s="97">
        <v>5.8</v>
      </c>
      <c r="N1162" s="605">
        <v>26</v>
      </c>
      <c r="O1162" s="97">
        <v>8</v>
      </c>
      <c r="P1162" s="97" t="s">
        <v>556</v>
      </c>
      <c r="Q1162" s="97">
        <f t="shared" si="173"/>
        <v>383</v>
      </c>
      <c r="R1162" t="str">
        <f t="shared" si="174"/>
        <v/>
      </c>
    </row>
    <row r="1163" spans="4:18">
      <c r="D1163" s="36">
        <v>384</v>
      </c>
      <c r="E1163" s="97">
        <v>105</v>
      </c>
      <c r="F1163" s="366">
        <f t="shared" si="170"/>
        <v>2278.5</v>
      </c>
      <c r="G1163" s="97">
        <v>3555</v>
      </c>
      <c r="H1163" s="367">
        <f t="shared" si="171"/>
        <v>5833.5</v>
      </c>
      <c r="I1163" s="368">
        <f t="shared" si="172"/>
        <v>0</v>
      </c>
      <c r="J1163" s="97">
        <v>13410</v>
      </c>
      <c r="K1163" s="367">
        <f t="shared" si="161"/>
        <v>9578.5714285714294</v>
      </c>
      <c r="L1163" s="606">
        <v>0.38</v>
      </c>
      <c r="M1163" s="97">
        <v>5.8</v>
      </c>
      <c r="N1163" s="605">
        <v>24</v>
      </c>
      <c r="O1163" s="97">
        <v>8</v>
      </c>
      <c r="P1163" s="97" t="s">
        <v>515</v>
      </c>
      <c r="Q1163" s="97">
        <f t="shared" si="173"/>
        <v>384</v>
      </c>
      <c r="R1163" t="str">
        <f t="shared" si="174"/>
        <v/>
      </c>
    </row>
    <row r="1164" spans="4:18">
      <c r="D1164" s="36">
        <v>385</v>
      </c>
      <c r="E1164" s="97">
        <v>105</v>
      </c>
      <c r="F1164" s="366">
        <f t="shared" ref="F1164:F1227" si="175">1.085*($A$2-$B$2)*E1164*$T$7</f>
        <v>2278.5</v>
      </c>
      <c r="G1164" s="97">
        <v>4091</v>
      </c>
      <c r="H1164" s="367">
        <f t="shared" si="171"/>
        <v>6369.5</v>
      </c>
      <c r="I1164" s="368">
        <f t="shared" si="172"/>
        <v>0</v>
      </c>
      <c r="J1164" s="97">
        <v>15435</v>
      </c>
      <c r="K1164" s="367">
        <f t="shared" si="161"/>
        <v>11025</v>
      </c>
      <c r="L1164" s="606">
        <v>0.53</v>
      </c>
      <c r="M1164" s="97">
        <v>3.3000000000000003</v>
      </c>
      <c r="N1164" s="605">
        <v>26</v>
      </c>
      <c r="O1164" s="97">
        <v>9</v>
      </c>
      <c r="P1164" s="97" t="s">
        <v>556</v>
      </c>
      <c r="Q1164" s="97" t="str">
        <f t="shared" si="173"/>
        <v/>
      </c>
      <c r="R1164" t="str">
        <f t="shared" si="174"/>
        <v/>
      </c>
    </row>
    <row r="1165" spans="4:18">
      <c r="D1165" s="36">
        <v>386</v>
      </c>
      <c r="E1165" s="97">
        <v>105</v>
      </c>
      <c r="F1165" s="366">
        <f t="shared" si="175"/>
        <v>2278.5</v>
      </c>
      <c r="G1165" s="97">
        <v>3733</v>
      </c>
      <c r="H1165" s="367">
        <f t="shared" si="171"/>
        <v>6011.5</v>
      </c>
      <c r="I1165" s="368">
        <f t="shared" si="172"/>
        <v>0</v>
      </c>
      <c r="J1165" s="97">
        <v>14084</v>
      </c>
      <c r="K1165" s="367">
        <f t="shared" si="161"/>
        <v>10060</v>
      </c>
      <c r="L1165" s="606">
        <v>0.32</v>
      </c>
      <c r="M1165" s="97">
        <v>3</v>
      </c>
      <c r="N1165" s="605">
        <v>24</v>
      </c>
      <c r="O1165" s="97">
        <v>9</v>
      </c>
      <c r="P1165" s="97" t="s">
        <v>515</v>
      </c>
      <c r="Q1165" s="97" t="str">
        <f t="shared" si="173"/>
        <v/>
      </c>
      <c r="R1165" t="str">
        <f t="shared" si="174"/>
        <v/>
      </c>
    </row>
    <row r="1166" spans="4:18">
      <c r="D1166" s="36">
        <v>387</v>
      </c>
      <c r="E1166" s="97">
        <v>105</v>
      </c>
      <c r="F1166" s="366">
        <f t="shared" si="175"/>
        <v>2278.5</v>
      </c>
      <c r="G1166" s="97">
        <v>4862</v>
      </c>
      <c r="H1166" s="367">
        <f t="shared" si="171"/>
        <v>7140.5</v>
      </c>
      <c r="I1166" s="368">
        <f t="shared" si="172"/>
        <v>0</v>
      </c>
      <c r="J1166" s="97">
        <v>18341</v>
      </c>
      <c r="K1166" s="367">
        <f t="shared" si="161"/>
        <v>13100.714285714286</v>
      </c>
      <c r="L1166" s="606">
        <v>0.9</v>
      </c>
      <c r="M1166" s="97">
        <v>3.9</v>
      </c>
      <c r="N1166" s="605">
        <v>31</v>
      </c>
      <c r="O1166" s="97">
        <v>10</v>
      </c>
      <c r="P1166" s="97" t="s">
        <v>514</v>
      </c>
      <c r="Q1166" s="97" t="str">
        <f t="shared" si="173"/>
        <v/>
      </c>
      <c r="R1166" t="str">
        <f t="shared" si="174"/>
        <v/>
      </c>
    </row>
    <row r="1167" spans="4:18">
      <c r="D1167" s="36">
        <v>388</v>
      </c>
      <c r="E1167" s="97">
        <v>105</v>
      </c>
      <c r="F1167" s="366">
        <f t="shared" si="175"/>
        <v>2278.5</v>
      </c>
      <c r="G1167" s="97">
        <v>4146</v>
      </c>
      <c r="H1167" s="367">
        <f t="shared" si="171"/>
        <v>6424.5</v>
      </c>
      <c r="I1167" s="368">
        <f t="shared" si="172"/>
        <v>0</v>
      </c>
      <c r="J1167" s="97">
        <v>15643</v>
      </c>
      <c r="K1167" s="367">
        <f t="shared" si="161"/>
        <v>11173.571428571429</v>
      </c>
      <c r="L1167" s="606">
        <v>0.44</v>
      </c>
      <c r="M1167" s="97">
        <v>3.4</v>
      </c>
      <c r="N1167" s="605">
        <v>26</v>
      </c>
      <c r="O1167" s="97">
        <v>10</v>
      </c>
      <c r="P1167" s="97" t="s">
        <v>556</v>
      </c>
      <c r="Q1167" s="97" t="str">
        <f t="shared" si="173"/>
        <v/>
      </c>
      <c r="R1167" t="str">
        <f t="shared" si="174"/>
        <v/>
      </c>
    </row>
    <row r="1168" spans="4:18">
      <c r="D1168" s="36">
        <v>389</v>
      </c>
      <c r="E1168" s="97">
        <v>105</v>
      </c>
      <c r="F1168" s="366">
        <f t="shared" si="175"/>
        <v>2278.5</v>
      </c>
      <c r="G1168" s="97">
        <v>3877</v>
      </c>
      <c r="H1168" s="367">
        <f t="shared" si="171"/>
        <v>6155.5</v>
      </c>
      <c r="I1168" s="368">
        <f t="shared" si="172"/>
        <v>0</v>
      </c>
      <c r="J1168" s="97">
        <v>14628</v>
      </c>
      <c r="K1168" s="367">
        <f t="shared" si="161"/>
        <v>10448.571428571429</v>
      </c>
      <c r="L1168" s="606">
        <v>0.27</v>
      </c>
      <c r="M1168" s="97">
        <v>3.2</v>
      </c>
      <c r="N1168" s="605">
        <v>24</v>
      </c>
      <c r="O1168" s="97">
        <v>10</v>
      </c>
      <c r="P1168" s="97" t="s">
        <v>515</v>
      </c>
      <c r="Q1168" s="97" t="str">
        <f t="shared" si="173"/>
        <v/>
      </c>
      <c r="R1168" t="str">
        <f t="shared" si="174"/>
        <v/>
      </c>
    </row>
    <row r="1169" spans="4:18">
      <c r="D1169" s="36">
        <v>390</v>
      </c>
      <c r="E1169" s="97">
        <v>110</v>
      </c>
      <c r="F1169" s="366">
        <f t="shared" si="175"/>
        <v>2387</v>
      </c>
      <c r="G1169" s="97">
        <v>3628</v>
      </c>
      <c r="H1169" s="367">
        <f t="shared" si="171"/>
        <v>6015</v>
      </c>
      <c r="I1169" s="368">
        <f t="shared" si="172"/>
        <v>0</v>
      </c>
      <c r="J1169" s="97">
        <v>13688</v>
      </c>
      <c r="K1169" s="367">
        <f t="shared" si="161"/>
        <v>9777.1428571428569</v>
      </c>
      <c r="L1169" s="606">
        <v>0.73</v>
      </c>
      <c r="M1169" s="97">
        <v>4.3999999999999995</v>
      </c>
      <c r="N1169" s="605">
        <v>26</v>
      </c>
      <c r="O1169" s="97">
        <v>6</v>
      </c>
      <c r="P1169" s="97" t="s">
        <v>515</v>
      </c>
      <c r="Q1169" s="97" t="str">
        <f t="shared" si="173"/>
        <v/>
      </c>
      <c r="R1169" t="str">
        <f t="shared" si="174"/>
        <v/>
      </c>
    </row>
    <row r="1170" spans="4:18">
      <c r="D1170" s="36">
        <v>391</v>
      </c>
      <c r="E1170" s="97">
        <v>110</v>
      </c>
      <c r="F1170" s="366">
        <f t="shared" si="175"/>
        <v>2387</v>
      </c>
      <c r="G1170" s="97">
        <v>4557</v>
      </c>
      <c r="H1170" s="367">
        <f t="shared" si="171"/>
        <v>6944</v>
      </c>
      <c r="I1170" s="368">
        <f t="shared" si="172"/>
        <v>0</v>
      </c>
      <c r="J1170" s="97">
        <v>17192</v>
      </c>
      <c r="K1170" s="367">
        <f t="shared" si="161"/>
        <v>12280</v>
      </c>
      <c r="L1170" s="606">
        <v>0.9</v>
      </c>
      <c r="M1170" s="97">
        <v>5.0999999999999996</v>
      </c>
      <c r="N1170" s="605">
        <v>28</v>
      </c>
      <c r="O1170" s="97">
        <v>7</v>
      </c>
      <c r="P1170" s="97" t="s">
        <v>556</v>
      </c>
      <c r="Q1170" s="97" t="str">
        <f t="shared" si="173"/>
        <v/>
      </c>
      <c r="R1170" t="str">
        <f t="shared" si="174"/>
        <v/>
      </c>
    </row>
    <row r="1171" spans="4:18">
      <c r="D1171" s="36">
        <v>392</v>
      </c>
      <c r="E1171" s="97">
        <v>110</v>
      </c>
      <c r="F1171" s="366">
        <f t="shared" si="175"/>
        <v>2387</v>
      </c>
      <c r="G1171" s="97">
        <v>3525</v>
      </c>
      <c r="H1171" s="367">
        <f t="shared" si="171"/>
        <v>5912</v>
      </c>
      <c r="I1171" s="368">
        <f t="shared" si="172"/>
        <v>0</v>
      </c>
      <c r="J1171" s="97">
        <v>13300</v>
      </c>
      <c r="K1171" s="367">
        <f t="shared" si="161"/>
        <v>9500</v>
      </c>
      <c r="L1171" s="606">
        <v>0.54</v>
      </c>
      <c r="M1171" s="97">
        <v>5.0999999999999996</v>
      </c>
      <c r="N1171" s="605">
        <v>25</v>
      </c>
      <c r="O1171" s="97">
        <v>7</v>
      </c>
      <c r="P1171" s="97" t="s">
        <v>515</v>
      </c>
      <c r="Q1171" s="97">
        <f t="shared" si="173"/>
        <v>392</v>
      </c>
      <c r="R1171" t="str">
        <f t="shared" si="174"/>
        <v/>
      </c>
    </row>
    <row r="1172" spans="4:18">
      <c r="D1172" s="36">
        <v>393</v>
      </c>
      <c r="E1172" s="97">
        <v>110</v>
      </c>
      <c r="F1172" s="366">
        <f t="shared" si="175"/>
        <v>2387</v>
      </c>
      <c r="G1172" s="97">
        <v>4259</v>
      </c>
      <c r="H1172" s="367">
        <f t="shared" si="171"/>
        <v>6646</v>
      </c>
      <c r="I1172" s="368">
        <f t="shared" si="172"/>
        <v>0</v>
      </c>
      <c r="J1172" s="97">
        <v>16069</v>
      </c>
      <c r="K1172" s="367">
        <f t="shared" si="161"/>
        <v>11477.857142857143</v>
      </c>
      <c r="L1172" s="606">
        <v>0.7</v>
      </c>
      <c r="M1172" s="97">
        <v>5.8</v>
      </c>
      <c r="N1172" s="605">
        <v>27</v>
      </c>
      <c r="O1172" s="97">
        <v>8</v>
      </c>
      <c r="P1172" s="97" t="s">
        <v>556</v>
      </c>
      <c r="Q1172" s="97">
        <f t="shared" si="173"/>
        <v>393</v>
      </c>
      <c r="R1172" t="str">
        <f t="shared" si="174"/>
        <v/>
      </c>
    </row>
    <row r="1173" spans="4:18">
      <c r="D1173" s="36">
        <v>394</v>
      </c>
      <c r="E1173" s="97">
        <v>110</v>
      </c>
      <c r="F1173" s="366">
        <f t="shared" si="175"/>
        <v>2387</v>
      </c>
      <c r="G1173" s="97">
        <v>3636</v>
      </c>
      <c r="H1173" s="367">
        <f t="shared" si="171"/>
        <v>6023</v>
      </c>
      <c r="I1173" s="368">
        <f t="shared" si="172"/>
        <v>0</v>
      </c>
      <c r="J1173" s="97">
        <v>13716</v>
      </c>
      <c r="K1173" s="367">
        <f t="shared" si="161"/>
        <v>9797.1428571428569</v>
      </c>
      <c r="L1173" s="606">
        <v>0.42</v>
      </c>
      <c r="M1173" s="97">
        <v>5.8</v>
      </c>
      <c r="N1173" s="605">
        <v>24</v>
      </c>
      <c r="O1173" s="97">
        <v>8</v>
      </c>
      <c r="P1173" s="97" t="s">
        <v>515</v>
      </c>
      <c r="Q1173" s="97">
        <f t="shared" si="173"/>
        <v>394</v>
      </c>
      <c r="R1173" t="str">
        <f t="shared" si="174"/>
        <v/>
      </c>
    </row>
    <row r="1174" spans="4:18">
      <c r="D1174" s="36">
        <v>395</v>
      </c>
      <c r="E1174" s="97">
        <v>110</v>
      </c>
      <c r="F1174" s="366">
        <f t="shared" si="175"/>
        <v>2387</v>
      </c>
      <c r="G1174" s="97">
        <v>4239</v>
      </c>
      <c r="H1174" s="367">
        <f t="shared" si="171"/>
        <v>6626</v>
      </c>
      <c r="I1174" s="368">
        <f t="shared" si="172"/>
        <v>0</v>
      </c>
      <c r="J1174" s="97">
        <v>15993</v>
      </c>
      <c r="K1174" s="367">
        <f t="shared" si="161"/>
        <v>11423.571428571429</v>
      </c>
      <c r="L1174" s="606">
        <v>0.57999999999999996</v>
      </c>
      <c r="M1174" s="97">
        <v>3.4</v>
      </c>
      <c r="N1174" s="605">
        <v>27</v>
      </c>
      <c r="O1174" s="97">
        <v>9</v>
      </c>
      <c r="P1174" s="97" t="s">
        <v>556</v>
      </c>
      <c r="Q1174" s="97" t="str">
        <f t="shared" si="173"/>
        <v/>
      </c>
      <c r="R1174" t="str">
        <f t="shared" si="174"/>
        <v/>
      </c>
    </row>
    <row r="1175" spans="4:18">
      <c r="D1175" s="36">
        <v>396</v>
      </c>
      <c r="E1175" s="97">
        <v>110</v>
      </c>
      <c r="F1175" s="366">
        <f t="shared" si="175"/>
        <v>2387</v>
      </c>
      <c r="G1175" s="97">
        <v>3805</v>
      </c>
      <c r="H1175" s="367">
        <f t="shared" si="171"/>
        <v>6192</v>
      </c>
      <c r="I1175" s="368">
        <f t="shared" si="172"/>
        <v>0</v>
      </c>
      <c r="J1175" s="97">
        <v>14354</v>
      </c>
      <c r="K1175" s="367">
        <f t="shared" si="161"/>
        <v>10252.857142857143</v>
      </c>
      <c r="L1175" s="606">
        <v>0.35000000000000003</v>
      </c>
      <c r="M1175" s="97">
        <v>3.1</v>
      </c>
      <c r="N1175" s="605">
        <v>25</v>
      </c>
      <c r="O1175" s="97">
        <v>9</v>
      </c>
      <c r="P1175" s="97" t="s">
        <v>515</v>
      </c>
      <c r="Q1175" s="97" t="str">
        <f t="shared" si="173"/>
        <v/>
      </c>
      <c r="R1175" t="str">
        <f t="shared" si="174"/>
        <v/>
      </c>
    </row>
    <row r="1176" spans="4:18">
      <c r="D1176" s="36">
        <v>397</v>
      </c>
      <c r="E1176" s="97">
        <v>110</v>
      </c>
      <c r="F1176" s="366">
        <f t="shared" si="175"/>
        <v>2387</v>
      </c>
      <c r="G1176" s="97">
        <v>5071</v>
      </c>
      <c r="H1176" s="367">
        <f t="shared" si="171"/>
        <v>7458</v>
      </c>
      <c r="I1176" s="368">
        <f t="shared" si="172"/>
        <v>0</v>
      </c>
      <c r="J1176" s="97">
        <v>19130</v>
      </c>
      <c r="K1176" s="367">
        <f t="shared" si="161"/>
        <v>13664.285714285714</v>
      </c>
      <c r="L1176" s="606">
        <v>0.98</v>
      </c>
      <c r="M1176" s="97">
        <v>4.0999999999999996</v>
      </c>
      <c r="N1176" s="605">
        <v>31</v>
      </c>
      <c r="O1176" s="97">
        <v>10</v>
      </c>
      <c r="P1176" s="97" t="s">
        <v>514</v>
      </c>
      <c r="Q1176" s="97" t="str">
        <f t="shared" si="173"/>
        <v/>
      </c>
      <c r="R1176" t="str">
        <f t="shared" si="174"/>
        <v/>
      </c>
    </row>
    <row r="1177" spans="4:18">
      <c r="D1177" s="36">
        <v>398</v>
      </c>
      <c r="E1177" s="97">
        <v>110</v>
      </c>
      <c r="F1177" s="366">
        <f t="shared" si="175"/>
        <v>2387</v>
      </c>
      <c r="G1177" s="97">
        <v>4222</v>
      </c>
      <c r="H1177" s="367">
        <f t="shared" si="171"/>
        <v>6609</v>
      </c>
      <c r="I1177" s="368">
        <f t="shared" si="172"/>
        <v>0</v>
      </c>
      <c r="J1177" s="97">
        <v>15928</v>
      </c>
      <c r="K1177" s="367">
        <f t="shared" si="161"/>
        <v>11377.142857142857</v>
      </c>
      <c r="L1177" s="606">
        <v>0.48</v>
      </c>
      <c r="M1177" s="97">
        <v>3.4</v>
      </c>
      <c r="N1177" s="605">
        <v>26</v>
      </c>
      <c r="O1177" s="97">
        <v>10</v>
      </c>
      <c r="P1177" s="97" t="s">
        <v>556</v>
      </c>
      <c r="Q1177" s="97" t="str">
        <f t="shared" si="173"/>
        <v/>
      </c>
      <c r="R1177" t="str">
        <f t="shared" si="174"/>
        <v/>
      </c>
    </row>
    <row r="1178" spans="4:18">
      <c r="D1178" s="36">
        <v>399</v>
      </c>
      <c r="E1178" s="97">
        <v>110</v>
      </c>
      <c r="F1178" s="366">
        <f t="shared" si="175"/>
        <v>2387</v>
      </c>
      <c r="G1178" s="97">
        <v>4008</v>
      </c>
      <c r="H1178" s="367">
        <f t="shared" si="171"/>
        <v>6395</v>
      </c>
      <c r="I1178" s="368">
        <f t="shared" si="172"/>
        <v>0</v>
      </c>
      <c r="J1178" s="97">
        <v>15122</v>
      </c>
      <c r="K1178" s="367">
        <f t="shared" si="161"/>
        <v>10801.428571428572</v>
      </c>
      <c r="L1178" s="606">
        <v>0.29000000000000004</v>
      </c>
      <c r="M1178" s="97">
        <v>3.3000000000000003</v>
      </c>
      <c r="N1178" s="605">
        <v>24</v>
      </c>
      <c r="O1178" s="97">
        <v>10</v>
      </c>
      <c r="P1178" s="97" t="s">
        <v>515</v>
      </c>
      <c r="Q1178" s="97" t="str">
        <f t="shared" si="173"/>
        <v/>
      </c>
      <c r="R1178" t="str">
        <f t="shared" si="174"/>
        <v/>
      </c>
    </row>
    <row r="1179" spans="4:18">
      <c r="D1179" s="36">
        <v>400</v>
      </c>
      <c r="E1179" s="97">
        <v>115</v>
      </c>
      <c r="F1179" s="366">
        <f t="shared" si="175"/>
        <v>2495.5</v>
      </c>
      <c r="G1179" s="97">
        <v>3841</v>
      </c>
      <c r="H1179" s="367">
        <f t="shared" si="171"/>
        <v>6336.5</v>
      </c>
      <c r="I1179" s="368">
        <f t="shared" si="172"/>
        <v>0</v>
      </c>
      <c r="J1179" s="97">
        <v>14490</v>
      </c>
      <c r="K1179" s="367">
        <f t="shared" si="161"/>
        <v>10350</v>
      </c>
      <c r="L1179" s="606">
        <v>0.79</v>
      </c>
      <c r="M1179" s="97">
        <v>4.3999999999999995</v>
      </c>
      <c r="N1179" s="605">
        <v>27</v>
      </c>
      <c r="O1179" s="97">
        <v>6</v>
      </c>
      <c r="P1179" s="97" t="s">
        <v>515</v>
      </c>
      <c r="Q1179" s="97" t="str">
        <f t="shared" si="173"/>
        <v/>
      </c>
      <c r="R1179" t="str">
        <f t="shared" si="174"/>
        <v/>
      </c>
    </row>
    <row r="1180" spans="4:18">
      <c r="D1180" s="36">
        <v>401</v>
      </c>
      <c r="E1180" s="97">
        <v>115</v>
      </c>
      <c r="F1180" s="366">
        <f t="shared" si="175"/>
        <v>2495.5</v>
      </c>
      <c r="G1180" s="97">
        <v>4825</v>
      </c>
      <c r="H1180" s="367">
        <f t="shared" si="171"/>
        <v>7320.5</v>
      </c>
      <c r="I1180" s="368">
        <f t="shared" si="172"/>
        <v>0</v>
      </c>
      <c r="J1180" s="97">
        <v>18202</v>
      </c>
      <c r="K1180" s="367">
        <f t="shared" si="161"/>
        <v>13001.428571428572</v>
      </c>
      <c r="L1180" s="606">
        <v>0.98</v>
      </c>
      <c r="M1180" s="97">
        <v>5.0999999999999996</v>
      </c>
      <c r="N1180" s="605">
        <v>28</v>
      </c>
      <c r="O1180" s="97">
        <v>7</v>
      </c>
      <c r="P1180" s="97" t="s">
        <v>556</v>
      </c>
      <c r="Q1180" s="97" t="str">
        <f t="shared" si="173"/>
        <v/>
      </c>
      <c r="R1180" t="str">
        <f t="shared" si="174"/>
        <v/>
      </c>
    </row>
    <row r="1181" spans="4:18">
      <c r="D1181" s="36">
        <v>402</v>
      </c>
      <c r="E1181" s="97">
        <v>115</v>
      </c>
      <c r="F1181" s="366">
        <f t="shared" si="175"/>
        <v>2495.5</v>
      </c>
      <c r="G1181" s="97">
        <v>3650</v>
      </c>
      <c r="H1181" s="367">
        <f t="shared" si="171"/>
        <v>6145.5</v>
      </c>
      <c r="I1181" s="368">
        <f t="shared" si="172"/>
        <v>0</v>
      </c>
      <c r="J1181" s="97">
        <v>13768</v>
      </c>
      <c r="K1181" s="367">
        <f t="shared" si="161"/>
        <v>9834.2857142857138</v>
      </c>
      <c r="L1181" s="606">
        <v>0.59</v>
      </c>
      <c r="M1181" s="97">
        <v>5.0999999999999996</v>
      </c>
      <c r="N1181" s="605">
        <v>26</v>
      </c>
      <c r="O1181" s="97">
        <v>7</v>
      </c>
      <c r="P1181" s="97" t="s">
        <v>515</v>
      </c>
      <c r="Q1181" s="97">
        <f t="shared" si="173"/>
        <v>402</v>
      </c>
      <c r="R1181" t="str">
        <f t="shared" si="174"/>
        <v/>
      </c>
    </row>
    <row r="1182" spans="4:18">
      <c r="D1182" s="36">
        <v>403</v>
      </c>
      <c r="E1182" s="97">
        <v>115</v>
      </c>
      <c r="F1182" s="366">
        <f t="shared" si="175"/>
        <v>2495.5</v>
      </c>
      <c r="G1182" s="97">
        <v>4498</v>
      </c>
      <c r="H1182" s="367">
        <f t="shared" si="171"/>
        <v>6993.5</v>
      </c>
      <c r="I1182" s="368">
        <f t="shared" si="172"/>
        <v>0</v>
      </c>
      <c r="J1182" s="97">
        <v>16969</v>
      </c>
      <c r="K1182" s="367">
        <f t="shared" si="161"/>
        <v>12120.714285714286</v>
      </c>
      <c r="L1182" s="606">
        <v>0.76</v>
      </c>
      <c r="M1182" s="97">
        <v>5.8</v>
      </c>
      <c r="N1182" s="605">
        <v>27</v>
      </c>
      <c r="O1182" s="97">
        <v>8</v>
      </c>
      <c r="P1182" s="97" t="s">
        <v>556</v>
      </c>
      <c r="Q1182" s="97" t="str">
        <f t="shared" si="173"/>
        <v/>
      </c>
      <c r="R1182" t="str">
        <f t="shared" si="174"/>
        <v/>
      </c>
    </row>
    <row r="1183" spans="4:18">
      <c r="D1183" s="36">
        <v>404</v>
      </c>
      <c r="E1183" s="97">
        <v>115</v>
      </c>
      <c r="F1183" s="366">
        <f t="shared" si="175"/>
        <v>2495.5</v>
      </c>
      <c r="G1183" s="97">
        <v>3734</v>
      </c>
      <c r="H1183" s="367">
        <f t="shared" si="171"/>
        <v>6229.5</v>
      </c>
      <c r="I1183" s="368">
        <f t="shared" si="172"/>
        <v>0</v>
      </c>
      <c r="J1183" s="97">
        <v>14086</v>
      </c>
      <c r="K1183" s="367">
        <f t="shared" si="161"/>
        <v>10061.428571428572</v>
      </c>
      <c r="L1183" s="606">
        <v>0.46</v>
      </c>
      <c r="M1183" s="97">
        <v>5.8</v>
      </c>
      <c r="N1183" s="605">
        <v>25</v>
      </c>
      <c r="O1183" s="97">
        <v>8</v>
      </c>
      <c r="P1183" s="97" t="s">
        <v>515</v>
      </c>
      <c r="Q1183" s="97">
        <f t="shared" si="173"/>
        <v>404</v>
      </c>
      <c r="R1183" t="str">
        <f t="shared" si="174"/>
        <v/>
      </c>
    </row>
    <row r="1184" spans="4:18">
      <c r="D1184" s="36">
        <v>405</v>
      </c>
      <c r="E1184" s="97">
        <v>115</v>
      </c>
      <c r="F1184" s="366">
        <f t="shared" si="175"/>
        <v>2495.5</v>
      </c>
      <c r="G1184" s="97">
        <v>4387</v>
      </c>
      <c r="H1184" s="367">
        <f t="shared" si="171"/>
        <v>6882.5</v>
      </c>
      <c r="I1184" s="368">
        <f t="shared" si="172"/>
        <v>0</v>
      </c>
      <c r="J1184" s="97">
        <v>16550</v>
      </c>
      <c r="K1184" s="367">
        <f t="shared" si="161"/>
        <v>11821.428571428572</v>
      </c>
      <c r="L1184" s="606">
        <v>0.63</v>
      </c>
      <c r="M1184" s="97">
        <v>3.6</v>
      </c>
      <c r="N1184" s="605">
        <v>27</v>
      </c>
      <c r="O1184" s="97">
        <v>9</v>
      </c>
      <c r="P1184" s="97" t="s">
        <v>556</v>
      </c>
      <c r="Q1184" s="97" t="str">
        <f t="shared" si="173"/>
        <v/>
      </c>
      <c r="R1184" t="str">
        <f t="shared" si="174"/>
        <v/>
      </c>
    </row>
    <row r="1185" spans="4:18">
      <c r="D1185" s="36">
        <v>406</v>
      </c>
      <c r="E1185" s="97">
        <v>115</v>
      </c>
      <c r="F1185" s="366">
        <f t="shared" si="175"/>
        <v>2495.5</v>
      </c>
      <c r="G1185" s="97">
        <v>3876</v>
      </c>
      <c r="H1185" s="367">
        <f t="shared" si="171"/>
        <v>6371.5</v>
      </c>
      <c r="I1185" s="368">
        <f t="shared" si="172"/>
        <v>0</v>
      </c>
      <c r="J1185" s="97">
        <v>14623</v>
      </c>
      <c r="K1185" s="367">
        <f t="shared" si="161"/>
        <v>10445</v>
      </c>
      <c r="L1185" s="606">
        <v>0.38</v>
      </c>
      <c r="M1185" s="97">
        <v>3.2</v>
      </c>
      <c r="N1185" s="605">
        <v>25</v>
      </c>
      <c r="O1185" s="97">
        <v>9</v>
      </c>
      <c r="P1185" s="97" t="s">
        <v>515</v>
      </c>
      <c r="Q1185" s="97" t="str">
        <f t="shared" si="173"/>
        <v/>
      </c>
      <c r="R1185" t="str">
        <f t="shared" si="174"/>
        <v/>
      </c>
    </row>
    <row r="1186" spans="4:18">
      <c r="D1186" s="36">
        <v>407</v>
      </c>
      <c r="E1186" s="97">
        <v>115</v>
      </c>
      <c r="F1186" s="366">
        <f t="shared" si="175"/>
        <v>2495.5</v>
      </c>
      <c r="G1186" s="97">
        <v>4351</v>
      </c>
      <c r="H1186" s="367">
        <f t="shared" si="171"/>
        <v>6846.5</v>
      </c>
      <c r="I1186" s="368">
        <f t="shared" si="172"/>
        <v>0</v>
      </c>
      <c r="J1186" s="97">
        <v>16415</v>
      </c>
      <c r="K1186" s="367">
        <f t="shared" si="161"/>
        <v>11725</v>
      </c>
      <c r="L1186" s="606">
        <v>0.52</v>
      </c>
      <c r="M1186" s="97">
        <v>3.5</v>
      </c>
      <c r="N1186" s="605">
        <v>27</v>
      </c>
      <c r="O1186" s="97">
        <v>10</v>
      </c>
      <c r="P1186" s="97" t="s">
        <v>556</v>
      </c>
      <c r="Q1186" s="97" t="str">
        <f t="shared" si="173"/>
        <v/>
      </c>
      <c r="R1186" t="str">
        <f t="shared" si="174"/>
        <v/>
      </c>
    </row>
    <row r="1187" spans="4:18">
      <c r="D1187" s="36">
        <v>408</v>
      </c>
      <c r="E1187" s="97">
        <v>115</v>
      </c>
      <c r="F1187" s="366">
        <f t="shared" si="175"/>
        <v>2495.5</v>
      </c>
      <c r="G1187" s="97">
        <v>4082</v>
      </c>
      <c r="H1187" s="367">
        <f t="shared" si="171"/>
        <v>6577.5</v>
      </c>
      <c r="I1187" s="368">
        <f t="shared" si="172"/>
        <v>0</v>
      </c>
      <c r="J1187" s="97">
        <v>15400</v>
      </c>
      <c r="K1187" s="367">
        <f t="shared" si="161"/>
        <v>11000</v>
      </c>
      <c r="L1187" s="606">
        <v>0.32</v>
      </c>
      <c r="M1187" s="97">
        <v>3.3000000000000003</v>
      </c>
      <c r="N1187" s="605">
        <v>25</v>
      </c>
      <c r="O1187" s="97">
        <v>10</v>
      </c>
      <c r="P1187" s="97" t="s">
        <v>515</v>
      </c>
      <c r="Q1187" s="97" t="str">
        <f t="shared" si="173"/>
        <v/>
      </c>
      <c r="R1187" t="str">
        <f t="shared" si="174"/>
        <v/>
      </c>
    </row>
    <row r="1188" spans="4:18">
      <c r="D1188" s="36">
        <v>409</v>
      </c>
      <c r="E1188" s="97">
        <v>120</v>
      </c>
      <c r="F1188" s="366">
        <f t="shared" si="175"/>
        <v>2604</v>
      </c>
      <c r="G1188" s="97">
        <v>4055</v>
      </c>
      <c r="H1188" s="367">
        <f t="shared" si="171"/>
        <v>6659</v>
      </c>
      <c r="I1188" s="368">
        <f t="shared" si="172"/>
        <v>0</v>
      </c>
      <c r="J1188" s="97">
        <v>15298</v>
      </c>
      <c r="K1188" s="367">
        <f t="shared" si="161"/>
        <v>10927.142857142857</v>
      </c>
      <c r="L1188" s="606">
        <v>0.86</v>
      </c>
      <c r="M1188" s="97">
        <v>4.3999999999999995</v>
      </c>
      <c r="N1188" s="605">
        <v>28</v>
      </c>
      <c r="O1188" s="97">
        <v>6</v>
      </c>
      <c r="P1188" s="97" t="s">
        <v>515</v>
      </c>
      <c r="Q1188" s="97" t="str">
        <f t="shared" si="173"/>
        <v/>
      </c>
      <c r="R1188" t="str">
        <f t="shared" si="174"/>
        <v/>
      </c>
    </row>
    <row r="1189" spans="4:18">
      <c r="D1189" s="36">
        <v>410</v>
      </c>
      <c r="E1189" s="97">
        <v>120</v>
      </c>
      <c r="F1189" s="366">
        <f t="shared" si="175"/>
        <v>2604</v>
      </c>
      <c r="G1189" s="97">
        <v>3785</v>
      </c>
      <c r="H1189" s="367">
        <f t="shared" si="171"/>
        <v>6389</v>
      </c>
      <c r="I1189" s="368">
        <f t="shared" si="172"/>
        <v>0</v>
      </c>
      <c r="J1189" s="97">
        <v>14281</v>
      </c>
      <c r="K1189" s="367">
        <f t="shared" si="161"/>
        <v>10200.714285714286</v>
      </c>
      <c r="L1189" s="606">
        <v>0.64</v>
      </c>
      <c r="M1189" s="97">
        <v>5.0999999999999996</v>
      </c>
      <c r="N1189" s="605">
        <v>26</v>
      </c>
      <c r="O1189" s="97">
        <v>7</v>
      </c>
      <c r="P1189" s="97" t="s">
        <v>515</v>
      </c>
      <c r="Q1189" s="97">
        <f t="shared" si="173"/>
        <v>410</v>
      </c>
      <c r="R1189" t="str">
        <f t="shared" si="174"/>
        <v/>
      </c>
    </row>
    <row r="1190" spans="4:18">
      <c r="D1190" s="36">
        <v>411</v>
      </c>
      <c r="E1190" s="97">
        <v>120</v>
      </c>
      <c r="F1190" s="366">
        <f t="shared" si="175"/>
        <v>2604</v>
      </c>
      <c r="G1190" s="97">
        <v>4736</v>
      </c>
      <c r="H1190" s="367">
        <f t="shared" si="171"/>
        <v>7340</v>
      </c>
      <c r="I1190" s="368">
        <f t="shared" si="172"/>
        <v>0</v>
      </c>
      <c r="J1190" s="97">
        <v>17869</v>
      </c>
      <c r="K1190" s="367">
        <f t="shared" si="161"/>
        <v>12763.571428571429</v>
      </c>
      <c r="L1190" s="606">
        <v>0.82000000000000006</v>
      </c>
      <c r="M1190" s="97">
        <v>5.8</v>
      </c>
      <c r="N1190" s="605">
        <v>28</v>
      </c>
      <c r="O1190" s="97">
        <v>8</v>
      </c>
      <c r="P1190" s="97" t="s">
        <v>556</v>
      </c>
      <c r="Q1190" s="97" t="str">
        <f t="shared" si="173"/>
        <v/>
      </c>
      <c r="R1190" t="str">
        <f t="shared" si="174"/>
        <v/>
      </c>
    </row>
    <row r="1191" spans="4:18">
      <c r="D1191" s="36">
        <v>412</v>
      </c>
      <c r="E1191" s="97">
        <v>120</v>
      </c>
      <c r="F1191" s="366">
        <f t="shared" si="175"/>
        <v>2604</v>
      </c>
      <c r="G1191" s="97">
        <v>3848</v>
      </c>
      <c r="H1191" s="367">
        <f t="shared" ref="H1191:H1254" si="176">(G1191*$U$7)+F1191</f>
        <v>6452</v>
      </c>
      <c r="I1191" s="368">
        <f t="shared" ref="I1191:I1254" si="177">1.085*($C$2-$D$2)*E1191*$T$7</f>
        <v>0</v>
      </c>
      <c r="J1191" s="97">
        <v>14518</v>
      </c>
      <c r="K1191" s="367">
        <f t="shared" si="161"/>
        <v>10370</v>
      </c>
      <c r="L1191" s="606">
        <v>0.5</v>
      </c>
      <c r="M1191" s="97">
        <v>5.8</v>
      </c>
      <c r="N1191" s="605">
        <v>25</v>
      </c>
      <c r="O1191" s="97">
        <v>8</v>
      </c>
      <c r="P1191" s="97" t="s">
        <v>515</v>
      </c>
      <c r="Q1191" s="97">
        <f t="shared" ref="Q1191:Q1254" si="178">IF(AND(H1191+1&gt;$E$4,L1191&lt;$L$4+0.01,M1191&lt;$M$4+0.01,K1191+1&gt;$F$4,E1191+1&gt;$J$4,N1191&lt;$K$4+1,O1191&lt;$P$4+1,C1191=""),D1191,"")</f>
        <v>412</v>
      </c>
      <c r="R1191" t="str">
        <f t="shared" ref="R1191:R1254" si="179">IF(Q1191="","",IF(AND(O1191&lt;$X$15,E1191&gt;$U$15,E1191&lt;$Q$4+$U$15+1),D1191,""))</f>
        <v/>
      </c>
    </row>
    <row r="1192" spans="4:18">
      <c r="D1192" s="36">
        <v>413</v>
      </c>
      <c r="E1192" s="97">
        <v>120</v>
      </c>
      <c r="F1192" s="366">
        <f t="shared" si="175"/>
        <v>2604</v>
      </c>
      <c r="G1192" s="97">
        <v>4535</v>
      </c>
      <c r="H1192" s="367">
        <f t="shared" si="176"/>
        <v>7139</v>
      </c>
      <c r="I1192" s="368">
        <f t="shared" si="177"/>
        <v>0</v>
      </c>
      <c r="J1192" s="97">
        <v>17108</v>
      </c>
      <c r="K1192" s="367">
        <f t="shared" si="161"/>
        <v>12220</v>
      </c>
      <c r="L1192" s="606">
        <v>0.69000000000000006</v>
      </c>
      <c r="M1192" s="97">
        <v>3.7</v>
      </c>
      <c r="N1192" s="605">
        <v>28</v>
      </c>
      <c r="O1192" s="97">
        <v>9</v>
      </c>
      <c r="P1192" s="97" t="s">
        <v>556</v>
      </c>
      <c r="Q1192" s="97" t="str">
        <f t="shared" si="178"/>
        <v/>
      </c>
      <c r="R1192" t="str">
        <f t="shared" si="179"/>
        <v/>
      </c>
    </row>
    <row r="1193" spans="4:18">
      <c r="D1193" s="36">
        <v>414</v>
      </c>
      <c r="E1193" s="97">
        <v>120</v>
      </c>
      <c r="F1193" s="366">
        <f t="shared" si="175"/>
        <v>2604</v>
      </c>
      <c r="G1193" s="97">
        <v>3948</v>
      </c>
      <c r="H1193" s="367">
        <f t="shared" si="176"/>
        <v>6552</v>
      </c>
      <c r="I1193" s="368">
        <f t="shared" si="177"/>
        <v>0</v>
      </c>
      <c r="J1193" s="97">
        <v>14893</v>
      </c>
      <c r="K1193" s="367">
        <f t="shared" si="161"/>
        <v>10637.857142857143</v>
      </c>
      <c r="L1193" s="606">
        <v>0.42</v>
      </c>
      <c r="M1193" s="97">
        <v>3.2</v>
      </c>
      <c r="N1193" s="605">
        <v>26</v>
      </c>
      <c r="O1193" s="97">
        <v>9</v>
      </c>
      <c r="P1193" s="97" t="s">
        <v>515</v>
      </c>
      <c r="Q1193" s="97" t="str">
        <f t="shared" si="178"/>
        <v/>
      </c>
      <c r="R1193" t="str">
        <f t="shared" si="179"/>
        <v/>
      </c>
    </row>
    <row r="1194" spans="4:18">
      <c r="D1194" s="36">
        <v>415</v>
      </c>
      <c r="E1194" s="97">
        <v>120</v>
      </c>
      <c r="F1194" s="366">
        <f t="shared" si="175"/>
        <v>2604</v>
      </c>
      <c r="G1194" s="97">
        <v>4501</v>
      </c>
      <c r="H1194" s="367">
        <f t="shared" si="176"/>
        <v>7105</v>
      </c>
      <c r="I1194" s="368">
        <f t="shared" si="177"/>
        <v>0</v>
      </c>
      <c r="J1194" s="97">
        <v>16979</v>
      </c>
      <c r="K1194" s="367">
        <f t="shared" si="161"/>
        <v>12127.857142857143</v>
      </c>
      <c r="L1194" s="606">
        <v>0.57000000000000006</v>
      </c>
      <c r="M1194" s="97">
        <v>3.7</v>
      </c>
      <c r="N1194" s="605">
        <v>27</v>
      </c>
      <c r="O1194" s="97">
        <v>10</v>
      </c>
      <c r="P1194" s="97" t="s">
        <v>556</v>
      </c>
      <c r="Q1194" s="97" t="str">
        <f t="shared" si="178"/>
        <v/>
      </c>
      <c r="R1194" t="str">
        <f t="shared" si="179"/>
        <v/>
      </c>
    </row>
    <row r="1195" spans="4:18">
      <c r="D1195" s="36">
        <v>416</v>
      </c>
      <c r="E1195" s="97">
        <v>120</v>
      </c>
      <c r="F1195" s="366">
        <f t="shared" si="175"/>
        <v>2604</v>
      </c>
      <c r="G1195" s="97">
        <v>4143</v>
      </c>
      <c r="H1195" s="367">
        <f t="shared" si="176"/>
        <v>6747</v>
      </c>
      <c r="I1195" s="368">
        <f t="shared" si="177"/>
        <v>0</v>
      </c>
      <c r="J1195" s="97">
        <v>15632</v>
      </c>
      <c r="K1195" s="367">
        <f t="shared" si="161"/>
        <v>11165.714285714286</v>
      </c>
      <c r="L1195" s="606">
        <v>0.35000000000000003</v>
      </c>
      <c r="M1195" s="97">
        <v>3.4</v>
      </c>
      <c r="N1195" s="605">
        <v>25</v>
      </c>
      <c r="O1195" s="97">
        <v>10</v>
      </c>
      <c r="P1195" s="97" t="s">
        <v>515</v>
      </c>
      <c r="Q1195" s="97" t="str">
        <f t="shared" si="178"/>
        <v/>
      </c>
      <c r="R1195" t="str">
        <f t="shared" si="179"/>
        <v/>
      </c>
    </row>
    <row r="1196" spans="4:18">
      <c r="D1196" s="36">
        <v>417</v>
      </c>
      <c r="E1196" s="97">
        <v>125</v>
      </c>
      <c r="F1196" s="366">
        <f t="shared" si="175"/>
        <v>2712.5</v>
      </c>
      <c r="G1196" s="97">
        <v>4276</v>
      </c>
      <c r="H1196" s="367">
        <f t="shared" si="176"/>
        <v>6988.5</v>
      </c>
      <c r="I1196" s="368">
        <f t="shared" si="177"/>
        <v>0</v>
      </c>
      <c r="J1196" s="97">
        <v>16133</v>
      </c>
      <c r="K1196" s="367">
        <f t="shared" si="161"/>
        <v>11523.571428571429</v>
      </c>
      <c r="L1196" s="606">
        <v>0.93</v>
      </c>
      <c r="M1196" s="97">
        <v>4.3999999999999995</v>
      </c>
      <c r="N1196" s="605">
        <v>28</v>
      </c>
      <c r="O1196" s="97">
        <v>6</v>
      </c>
      <c r="P1196" s="97" t="s">
        <v>515</v>
      </c>
      <c r="Q1196" s="97" t="str">
        <f t="shared" si="178"/>
        <v/>
      </c>
      <c r="R1196" t="str">
        <f t="shared" si="179"/>
        <v/>
      </c>
    </row>
    <row r="1197" spans="4:18">
      <c r="D1197" s="36">
        <v>418</v>
      </c>
      <c r="E1197" s="97">
        <v>125</v>
      </c>
      <c r="F1197" s="366">
        <f t="shared" si="175"/>
        <v>2712.5</v>
      </c>
      <c r="G1197" s="97">
        <v>3987</v>
      </c>
      <c r="H1197" s="367">
        <f t="shared" si="176"/>
        <v>6699.5</v>
      </c>
      <c r="I1197" s="368">
        <f t="shared" si="177"/>
        <v>0</v>
      </c>
      <c r="J1197" s="97">
        <v>15043</v>
      </c>
      <c r="K1197" s="367">
        <f t="shared" si="161"/>
        <v>10745</v>
      </c>
      <c r="L1197" s="606">
        <v>0.69000000000000006</v>
      </c>
      <c r="M1197" s="97">
        <v>5.0999999999999996</v>
      </c>
      <c r="N1197" s="605">
        <v>27</v>
      </c>
      <c r="O1197" s="97">
        <v>7</v>
      </c>
      <c r="P1197" s="97" t="s">
        <v>515</v>
      </c>
      <c r="Q1197" s="97">
        <f t="shared" si="178"/>
        <v>418</v>
      </c>
      <c r="R1197" t="str">
        <f t="shared" si="179"/>
        <v/>
      </c>
    </row>
    <row r="1198" spans="4:18">
      <c r="D1198" s="36">
        <v>419</v>
      </c>
      <c r="E1198" s="97">
        <v>125</v>
      </c>
      <c r="F1198" s="366">
        <f t="shared" si="175"/>
        <v>2712.5</v>
      </c>
      <c r="G1198" s="97">
        <v>4975</v>
      </c>
      <c r="H1198" s="367">
        <f t="shared" si="176"/>
        <v>7687.5</v>
      </c>
      <c r="I1198" s="368">
        <f t="shared" si="177"/>
        <v>0</v>
      </c>
      <c r="J1198" s="97">
        <v>18768</v>
      </c>
      <c r="K1198" s="367">
        <f t="shared" si="161"/>
        <v>13405.714285714286</v>
      </c>
      <c r="L1198" s="606">
        <v>0.89</v>
      </c>
      <c r="M1198" s="97">
        <v>5.8</v>
      </c>
      <c r="N1198" s="605">
        <v>28</v>
      </c>
      <c r="O1198" s="97">
        <v>8</v>
      </c>
      <c r="P1198" s="97" t="s">
        <v>556</v>
      </c>
      <c r="Q1198" s="97" t="str">
        <f t="shared" si="178"/>
        <v/>
      </c>
      <c r="R1198" t="str">
        <f t="shared" si="179"/>
        <v/>
      </c>
    </row>
    <row r="1199" spans="4:18">
      <c r="D1199" s="36">
        <v>420</v>
      </c>
      <c r="E1199" s="97">
        <v>125</v>
      </c>
      <c r="F1199" s="366">
        <f t="shared" si="175"/>
        <v>2712.5</v>
      </c>
      <c r="G1199" s="97">
        <v>3963</v>
      </c>
      <c r="H1199" s="367">
        <f t="shared" si="176"/>
        <v>6675.5</v>
      </c>
      <c r="I1199" s="368">
        <f t="shared" si="177"/>
        <v>0</v>
      </c>
      <c r="J1199" s="97">
        <v>14950</v>
      </c>
      <c r="K1199" s="367">
        <f t="shared" si="161"/>
        <v>10678.571428571429</v>
      </c>
      <c r="L1199" s="606">
        <v>0.54</v>
      </c>
      <c r="M1199" s="97">
        <v>5.8</v>
      </c>
      <c r="N1199" s="605">
        <v>26</v>
      </c>
      <c r="O1199" s="97">
        <v>8</v>
      </c>
      <c r="P1199" s="97" t="s">
        <v>515</v>
      </c>
      <c r="Q1199" s="97">
        <f t="shared" si="178"/>
        <v>420</v>
      </c>
      <c r="R1199" t="str">
        <f t="shared" si="179"/>
        <v/>
      </c>
    </row>
    <row r="1200" spans="4:18">
      <c r="D1200" s="36">
        <v>421</v>
      </c>
      <c r="E1200" s="97">
        <v>125</v>
      </c>
      <c r="F1200" s="366">
        <f t="shared" si="175"/>
        <v>2712.5</v>
      </c>
      <c r="G1200" s="97">
        <v>4740</v>
      </c>
      <c r="H1200" s="367">
        <f t="shared" si="176"/>
        <v>7452.5</v>
      </c>
      <c r="I1200" s="368">
        <f t="shared" si="177"/>
        <v>0</v>
      </c>
      <c r="J1200" s="97">
        <v>17883</v>
      </c>
      <c r="K1200" s="367">
        <f t="shared" si="161"/>
        <v>12773.571428571429</v>
      </c>
      <c r="L1200" s="606">
        <v>0.74</v>
      </c>
      <c r="M1200" s="97">
        <v>3.8000000000000003</v>
      </c>
      <c r="N1200" s="605">
        <v>28</v>
      </c>
      <c r="O1200" s="97">
        <v>9</v>
      </c>
      <c r="P1200" s="97" t="s">
        <v>556</v>
      </c>
      <c r="Q1200" s="97" t="str">
        <f t="shared" si="178"/>
        <v/>
      </c>
      <c r="R1200" t="str">
        <f t="shared" si="179"/>
        <v/>
      </c>
    </row>
    <row r="1201" spans="4:18">
      <c r="D1201" s="36">
        <v>422</v>
      </c>
      <c r="E1201" s="97">
        <v>125</v>
      </c>
      <c r="F1201" s="366">
        <f t="shared" si="175"/>
        <v>2712.5</v>
      </c>
      <c r="G1201" s="97">
        <v>4019</v>
      </c>
      <c r="H1201" s="367">
        <f t="shared" si="176"/>
        <v>6731.5</v>
      </c>
      <c r="I1201" s="368">
        <f t="shared" si="177"/>
        <v>0</v>
      </c>
      <c r="J1201" s="97">
        <v>15163</v>
      </c>
      <c r="K1201" s="367">
        <f t="shared" si="161"/>
        <v>10830.714285714286</v>
      </c>
      <c r="L1201" s="606">
        <v>0.45</v>
      </c>
      <c r="M1201" s="97">
        <v>3.3000000000000003</v>
      </c>
      <c r="N1201" s="605">
        <v>26</v>
      </c>
      <c r="O1201" s="97">
        <v>9</v>
      </c>
      <c r="P1201" s="97" t="s">
        <v>515</v>
      </c>
      <c r="Q1201" s="97" t="str">
        <f t="shared" si="178"/>
        <v/>
      </c>
      <c r="R1201" t="str">
        <f t="shared" si="179"/>
        <v/>
      </c>
    </row>
    <row r="1202" spans="4:18">
      <c r="D1202" s="36">
        <v>423</v>
      </c>
      <c r="E1202" s="97">
        <v>125</v>
      </c>
      <c r="F1202" s="366">
        <f t="shared" si="175"/>
        <v>2712.5</v>
      </c>
      <c r="G1202" s="97">
        <v>4650</v>
      </c>
      <c r="H1202" s="367">
        <f t="shared" si="176"/>
        <v>7362.5</v>
      </c>
      <c r="I1202" s="368">
        <f t="shared" si="177"/>
        <v>0</v>
      </c>
      <c r="J1202" s="97">
        <v>17544</v>
      </c>
      <c r="K1202" s="367">
        <f t="shared" si="161"/>
        <v>12531.428571428572</v>
      </c>
      <c r="L1202" s="606">
        <v>0.61</v>
      </c>
      <c r="M1202" s="97">
        <v>3.8000000000000003</v>
      </c>
      <c r="N1202" s="605">
        <v>28</v>
      </c>
      <c r="O1202" s="97">
        <v>10</v>
      </c>
      <c r="P1202" s="97" t="s">
        <v>556</v>
      </c>
      <c r="Q1202" s="97" t="str">
        <f t="shared" si="178"/>
        <v/>
      </c>
      <c r="R1202" t="str">
        <f t="shared" si="179"/>
        <v/>
      </c>
    </row>
    <row r="1203" spans="4:18">
      <c r="D1203" s="36">
        <v>424</v>
      </c>
      <c r="E1203" s="97">
        <v>125</v>
      </c>
      <c r="F1203" s="366">
        <f t="shared" si="175"/>
        <v>2712.5</v>
      </c>
      <c r="G1203" s="97">
        <v>4205</v>
      </c>
      <c r="H1203" s="367">
        <f t="shared" si="176"/>
        <v>6917.5</v>
      </c>
      <c r="I1203" s="368">
        <f t="shared" si="177"/>
        <v>0</v>
      </c>
      <c r="J1203" s="97">
        <v>15863</v>
      </c>
      <c r="K1203" s="367">
        <f t="shared" si="161"/>
        <v>11330.714285714286</v>
      </c>
      <c r="L1203" s="606">
        <v>0.38</v>
      </c>
      <c r="M1203" s="97">
        <v>3.4</v>
      </c>
      <c r="N1203" s="605">
        <v>26</v>
      </c>
      <c r="O1203" s="97">
        <v>10</v>
      </c>
      <c r="P1203" s="97" t="s">
        <v>515</v>
      </c>
      <c r="Q1203" s="97" t="str">
        <f t="shared" si="178"/>
        <v/>
      </c>
      <c r="R1203" t="str">
        <f t="shared" si="179"/>
        <v/>
      </c>
    </row>
    <row r="1204" spans="4:18">
      <c r="D1204" s="36">
        <v>425</v>
      </c>
      <c r="E1204" s="97">
        <v>130</v>
      </c>
      <c r="F1204" s="366">
        <f t="shared" si="175"/>
        <v>2821</v>
      </c>
      <c r="G1204" s="97">
        <v>4498</v>
      </c>
      <c r="H1204" s="367">
        <f t="shared" si="176"/>
        <v>7319</v>
      </c>
      <c r="I1204" s="368">
        <f t="shared" si="177"/>
        <v>0</v>
      </c>
      <c r="J1204" s="97">
        <v>16969</v>
      </c>
      <c r="K1204" s="367">
        <f t="shared" si="161"/>
        <v>12120.714285714286</v>
      </c>
      <c r="L1204" s="606">
        <v>1.01</v>
      </c>
      <c r="M1204" s="97">
        <v>4.3999999999999995</v>
      </c>
      <c r="N1204" s="605">
        <v>29</v>
      </c>
      <c r="O1204" s="97">
        <v>6</v>
      </c>
      <c r="P1204" s="97" t="s">
        <v>515</v>
      </c>
      <c r="Q1204" s="97" t="str">
        <f t="shared" si="178"/>
        <v/>
      </c>
      <c r="R1204" t="str">
        <f t="shared" si="179"/>
        <v/>
      </c>
    </row>
    <row r="1205" spans="4:18">
      <c r="D1205" s="36">
        <v>426</v>
      </c>
      <c r="E1205" s="97">
        <v>130</v>
      </c>
      <c r="F1205" s="366">
        <f t="shared" si="175"/>
        <v>2821</v>
      </c>
      <c r="G1205" s="97">
        <v>4189</v>
      </c>
      <c r="H1205" s="367">
        <f t="shared" si="176"/>
        <v>7010</v>
      </c>
      <c r="I1205" s="368">
        <f t="shared" si="177"/>
        <v>0</v>
      </c>
      <c r="J1205" s="97">
        <v>15804</v>
      </c>
      <c r="K1205" s="367">
        <f t="shared" si="161"/>
        <v>11288.571428571429</v>
      </c>
      <c r="L1205" s="606">
        <v>0.75</v>
      </c>
      <c r="M1205" s="97">
        <v>5.0999999999999996</v>
      </c>
      <c r="N1205" s="605">
        <v>27</v>
      </c>
      <c r="O1205" s="97">
        <v>7</v>
      </c>
      <c r="P1205" s="97" t="s">
        <v>515</v>
      </c>
      <c r="Q1205" s="97" t="str">
        <f t="shared" si="178"/>
        <v/>
      </c>
      <c r="R1205" t="str">
        <f t="shared" si="179"/>
        <v/>
      </c>
    </row>
    <row r="1206" spans="4:18">
      <c r="D1206" s="36">
        <v>427</v>
      </c>
      <c r="E1206" s="97">
        <v>130</v>
      </c>
      <c r="F1206" s="366">
        <f t="shared" si="175"/>
        <v>2821</v>
      </c>
      <c r="G1206" s="97">
        <v>5226</v>
      </c>
      <c r="H1206" s="367">
        <f t="shared" si="176"/>
        <v>8047</v>
      </c>
      <c r="I1206" s="368">
        <f t="shared" si="177"/>
        <v>0</v>
      </c>
      <c r="J1206" s="97">
        <v>19717</v>
      </c>
      <c r="K1206" s="367">
        <f t="shared" si="161"/>
        <v>14083.571428571429</v>
      </c>
      <c r="L1206" s="606">
        <v>0.97</v>
      </c>
      <c r="M1206" s="97">
        <v>5.8</v>
      </c>
      <c r="N1206" s="605">
        <v>29</v>
      </c>
      <c r="O1206" s="97">
        <v>8</v>
      </c>
      <c r="P1206" s="97" t="s">
        <v>556</v>
      </c>
      <c r="Q1206" s="97" t="str">
        <f t="shared" si="178"/>
        <v/>
      </c>
      <c r="R1206" t="str">
        <f t="shared" si="179"/>
        <v/>
      </c>
    </row>
    <row r="1207" spans="4:18">
      <c r="D1207" s="36">
        <v>428</v>
      </c>
      <c r="E1207" s="97">
        <v>130</v>
      </c>
      <c r="F1207" s="366">
        <f t="shared" si="175"/>
        <v>2821</v>
      </c>
      <c r="G1207" s="97">
        <v>4077</v>
      </c>
      <c r="H1207" s="367">
        <f t="shared" si="176"/>
        <v>6898</v>
      </c>
      <c r="I1207" s="368">
        <f t="shared" si="177"/>
        <v>0</v>
      </c>
      <c r="J1207" s="97">
        <v>15383</v>
      </c>
      <c r="K1207" s="367">
        <f t="shared" si="161"/>
        <v>10987.857142857143</v>
      </c>
      <c r="L1207" s="606">
        <v>0.57999999999999996</v>
      </c>
      <c r="M1207" s="97">
        <v>5.8</v>
      </c>
      <c r="N1207" s="605">
        <v>27</v>
      </c>
      <c r="O1207" s="97">
        <v>8</v>
      </c>
      <c r="P1207" s="97" t="s">
        <v>515</v>
      </c>
      <c r="Q1207" s="97">
        <f t="shared" si="178"/>
        <v>428</v>
      </c>
      <c r="R1207" t="str">
        <f t="shared" si="179"/>
        <v/>
      </c>
    </row>
    <row r="1208" spans="4:18">
      <c r="D1208" s="36">
        <v>429</v>
      </c>
      <c r="E1208" s="97">
        <v>130</v>
      </c>
      <c r="F1208" s="366">
        <f t="shared" si="175"/>
        <v>2821</v>
      </c>
      <c r="G1208" s="97">
        <v>4975</v>
      </c>
      <c r="H1208" s="367">
        <f t="shared" si="176"/>
        <v>7796</v>
      </c>
      <c r="I1208" s="368">
        <f t="shared" si="177"/>
        <v>0</v>
      </c>
      <c r="J1208" s="97">
        <v>18769</v>
      </c>
      <c r="K1208" s="367">
        <f t="shared" si="161"/>
        <v>13406.428571428572</v>
      </c>
      <c r="L1208" s="606">
        <v>0.8</v>
      </c>
      <c r="M1208" s="97">
        <v>4</v>
      </c>
      <c r="N1208" s="605">
        <v>29</v>
      </c>
      <c r="O1208" s="97">
        <v>9</v>
      </c>
      <c r="P1208" s="97" t="s">
        <v>556</v>
      </c>
      <c r="Q1208" s="97" t="str">
        <f t="shared" si="178"/>
        <v/>
      </c>
      <c r="R1208" t="str">
        <f t="shared" si="179"/>
        <v/>
      </c>
    </row>
    <row r="1209" spans="4:18">
      <c r="D1209" s="36">
        <v>430</v>
      </c>
      <c r="E1209" s="97">
        <v>130</v>
      </c>
      <c r="F1209" s="366">
        <f t="shared" si="175"/>
        <v>2821</v>
      </c>
      <c r="G1209" s="97">
        <v>4115</v>
      </c>
      <c r="H1209" s="367">
        <f t="shared" si="176"/>
        <v>6936</v>
      </c>
      <c r="I1209" s="368">
        <f t="shared" si="177"/>
        <v>0</v>
      </c>
      <c r="J1209" s="97">
        <v>15525</v>
      </c>
      <c r="K1209" s="367">
        <f t="shared" si="161"/>
        <v>11089.285714285714</v>
      </c>
      <c r="L1209" s="606">
        <v>0.49</v>
      </c>
      <c r="M1209" s="97">
        <v>3.3000000000000003</v>
      </c>
      <c r="N1209" s="605">
        <v>27</v>
      </c>
      <c r="O1209" s="97">
        <v>9</v>
      </c>
      <c r="P1209" s="97" t="s">
        <v>515</v>
      </c>
      <c r="Q1209" s="97" t="str">
        <f t="shared" si="178"/>
        <v/>
      </c>
      <c r="R1209" t="str">
        <f t="shared" si="179"/>
        <v/>
      </c>
    </row>
    <row r="1210" spans="4:18">
      <c r="D1210" s="36">
        <v>431</v>
      </c>
      <c r="E1210" s="97">
        <v>130</v>
      </c>
      <c r="F1210" s="366">
        <f t="shared" si="175"/>
        <v>2821</v>
      </c>
      <c r="G1210" s="97">
        <v>4800</v>
      </c>
      <c r="H1210" s="367">
        <f t="shared" si="176"/>
        <v>7621</v>
      </c>
      <c r="I1210" s="368">
        <f t="shared" si="177"/>
        <v>0</v>
      </c>
      <c r="J1210" s="97">
        <v>18108</v>
      </c>
      <c r="K1210" s="367">
        <f t="shared" si="161"/>
        <v>12934.285714285714</v>
      </c>
      <c r="L1210" s="606">
        <v>0.66</v>
      </c>
      <c r="M1210" s="97">
        <v>3.9</v>
      </c>
      <c r="N1210" s="605">
        <v>28</v>
      </c>
      <c r="O1210" s="97">
        <v>10</v>
      </c>
      <c r="P1210" s="97" t="s">
        <v>556</v>
      </c>
      <c r="Q1210" s="97" t="str">
        <f t="shared" si="178"/>
        <v/>
      </c>
      <c r="R1210" t="str">
        <f t="shared" si="179"/>
        <v/>
      </c>
    </row>
    <row r="1211" spans="4:18">
      <c r="D1211" s="36">
        <v>432</v>
      </c>
      <c r="E1211" s="97">
        <v>130</v>
      </c>
      <c r="F1211" s="366">
        <f t="shared" si="175"/>
        <v>2821</v>
      </c>
      <c r="G1211" s="97">
        <v>4266</v>
      </c>
      <c r="H1211" s="367">
        <f t="shared" si="176"/>
        <v>7087</v>
      </c>
      <c r="I1211" s="368">
        <f t="shared" si="177"/>
        <v>0</v>
      </c>
      <c r="J1211" s="97">
        <v>16095</v>
      </c>
      <c r="K1211" s="367">
        <f t="shared" si="161"/>
        <v>11496.428571428572</v>
      </c>
      <c r="L1211" s="606">
        <v>0.41000000000000003</v>
      </c>
      <c r="M1211" s="97">
        <v>3.5</v>
      </c>
      <c r="N1211" s="605">
        <v>26</v>
      </c>
      <c r="O1211" s="97">
        <v>10</v>
      </c>
      <c r="P1211" s="97" t="s">
        <v>515</v>
      </c>
      <c r="Q1211" s="97" t="str">
        <f t="shared" si="178"/>
        <v/>
      </c>
      <c r="R1211" t="str">
        <f t="shared" si="179"/>
        <v/>
      </c>
    </row>
    <row r="1212" spans="4:18">
      <c r="D1212" s="36">
        <v>433</v>
      </c>
      <c r="E1212" s="97">
        <v>135</v>
      </c>
      <c r="F1212" s="366">
        <f t="shared" si="175"/>
        <v>2929.5</v>
      </c>
      <c r="G1212" s="97">
        <v>4391</v>
      </c>
      <c r="H1212" s="367">
        <f t="shared" si="176"/>
        <v>7320.5</v>
      </c>
      <c r="I1212" s="368">
        <f t="shared" si="177"/>
        <v>0</v>
      </c>
      <c r="J1212" s="97">
        <v>16566</v>
      </c>
      <c r="K1212" s="367">
        <f t="shared" si="161"/>
        <v>11832.857142857143</v>
      </c>
      <c r="L1212" s="606">
        <v>0.8</v>
      </c>
      <c r="M1212" s="97">
        <v>5.0999999999999996</v>
      </c>
      <c r="N1212" s="605">
        <v>28</v>
      </c>
      <c r="O1212" s="97">
        <v>7</v>
      </c>
      <c r="P1212" s="97" t="s">
        <v>515</v>
      </c>
      <c r="Q1212" s="97" t="str">
        <f t="shared" si="178"/>
        <v/>
      </c>
      <c r="R1212" t="str">
        <f t="shared" si="179"/>
        <v/>
      </c>
    </row>
    <row r="1213" spans="4:18">
      <c r="D1213" s="36">
        <v>434</v>
      </c>
      <c r="E1213" s="97">
        <v>135</v>
      </c>
      <c r="F1213" s="366">
        <f t="shared" si="175"/>
        <v>2929.5</v>
      </c>
      <c r="G1213" s="97">
        <v>4192</v>
      </c>
      <c r="H1213" s="367">
        <f t="shared" si="176"/>
        <v>7121.5</v>
      </c>
      <c r="I1213" s="368">
        <f t="shared" si="177"/>
        <v>0</v>
      </c>
      <c r="J1213" s="97">
        <v>15815</v>
      </c>
      <c r="K1213" s="367">
        <f t="shared" si="161"/>
        <v>11296.428571428572</v>
      </c>
      <c r="L1213" s="606">
        <v>0.63</v>
      </c>
      <c r="M1213" s="97">
        <v>5.8</v>
      </c>
      <c r="N1213" s="605">
        <v>27</v>
      </c>
      <c r="O1213" s="97">
        <v>8</v>
      </c>
      <c r="P1213" s="97" t="s">
        <v>515</v>
      </c>
      <c r="Q1213" s="97">
        <f t="shared" si="178"/>
        <v>434</v>
      </c>
      <c r="R1213" t="str">
        <f t="shared" si="179"/>
        <v/>
      </c>
    </row>
    <row r="1214" spans="4:18">
      <c r="D1214" s="36">
        <v>435</v>
      </c>
      <c r="E1214" s="97">
        <v>135</v>
      </c>
      <c r="F1214" s="366">
        <f t="shared" si="175"/>
        <v>2929.5</v>
      </c>
      <c r="G1214" s="97">
        <v>5210</v>
      </c>
      <c r="H1214" s="367">
        <f t="shared" si="176"/>
        <v>8139.5</v>
      </c>
      <c r="I1214" s="368">
        <f t="shared" si="177"/>
        <v>0</v>
      </c>
      <c r="J1214" s="97">
        <v>19655</v>
      </c>
      <c r="K1214" s="367">
        <f t="shared" si="161"/>
        <v>14039.285714285714</v>
      </c>
      <c r="L1214" s="606">
        <v>0.87</v>
      </c>
      <c r="M1214" s="97">
        <v>4.1999999999999993</v>
      </c>
      <c r="N1214" s="605">
        <v>29</v>
      </c>
      <c r="O1214" s="97">
        <v>9</v>
      </c>
      <c r="P1214" s="97" t="s">
        <v>556</v>
      </c>
      <c r="Q1214" s="97" t="str">
        <f t="shared" si="178"/>
        <v/>
      </c>
      <c r="R1214" t="str">
        <f t="shared" si="179"/>
        <v/>
      </c>
    </row>
    <row r="1215" spans="4:18">
      <c r="D1215" s="36">
        <v>436</v>
      </c>
      <c r="E1215" s="97">
        <v>135</v>
      </c>
      <c r="F1215" s="366">
        <f t="shared" si="175"/>
        <v>2929.5</v>
      </c>
      <c r="G1215" s="97">
        <v>4234</v>
      </c>
      <c r="H1215" s="367">
        <f t="shared" si="176"/>
        <v>7163.5</v>
      </c>
      <c r="I1215" s="368">
        <f t="shared" si="177"/>
        <v>0</v>
      </c>
      <c r="J1215" s="97">
        <v>15974</v>
      </c>
      <c r="K1215" s="367">
        <f t="shared" si="161"/>
        <v>11410</v>
      </c>
      <c r="L1215" s="606">
        <v>0.53</v>
      </c>
      <c r="M1215" s="97">
        <v>3.4</v>
      </c>
      <c r="N1215" s="605">
        <v>27</v>
      </c>
      <c r="O1215" s="97">
        <v>9</v>
      </c>
      <c r="P1215" s="97" t="s">
        <v>515</v>
      </c>
      <c r="Q1215" s="97" t="str">
        <f t="shared" si="178"/>
        <v/>
      </c>
      <c r="R1215" t="str">
        <f t="shared" si="179"/>
        <v/>
      </c>
    </row>
    <row r="1216" spans="4:18">
      <c r="D1216" s="36">
        <v>437</v>
      </c>
      <c r="E1216" s="97">
        <v>135</v>
      </c>
      <c r="F1216" s="366">
        <f t="shared" si="175"/>
        <v>2929.5</v>
      </c>
      <c r="G1216" s="97">
        <v>4949</v>
      </c>
      <c r="H1216" s="367">
        <f t="shared" si="176"/>
        <v>7878.5</v>
      </c>
      <c r="I1216" s="368">
        <f t="shared" si="177"/>
        <v>0</v>
      </c>
      <c r="J1216" s="97">
        <v>18672</v>
      </c>
      <c r="K1216" s="367">
        <f t="shared" si="161"/>
        <v>13337.142857142857</v>
      </c>
      <c r="L1216" s="606">
        <v>0.71</v>
      </c>
      <c r="M1216" s="97">
        <v>4</v>
      </c>
      <c r="N1216" s="605">
        <v>29</v>
      </c>
      <c r="O1216" s="97">
        <v>10</v>
      </c>
      <c r="P1216" s="97" t="s">
        <v>556</v>
      </c>
      <c r="Q1216" s="97" t="str">
        <f t="shared" si="178"/>
        <v/>
      </c>
      <c r="R1216" t="str">
        <f t="shared" si="179"/>
        <v/>
      </c>
    </row>
    <row r="1217" spans="4:18">
      <c r="D1217" s="36">
        <v>438</v>
      </c>
      <c r="E1217" s="97">
        <v>135</v>
      </c>
      <c r="F1217" s="366">
        <f t="shared" si="175"/>
        <v>2929.5</v>
      </c>
      <c r="G1217" s="97">
        <v>4328</v>
      </c>
      <c r="H1217" s="367">
        <f t="shared" si="176"/>
        <v>7257.5</v>
      </c>
      <c r="I1217" s="368">
        <f t="shared" si="177"/>
        <v>0</v>
      </c>
      <c r="J1217" s="97">
        <v>16327</v>
      </c>
      <c r="K1217" s="367">
        <f t="shared" si="161"/>
        <v>11662.142857142857</v>
      </c>
      <c r="L1217" s="606">
        <v>0.44</v>
      </c>
      <c r="M1217" s="97">
        <v>3.5</v>
      </c>
      <c r="N1217" s="605">
        <v>27</v>
      </c>
      <c r="O1217" s="97">
        <v>10</v>
      </c>
      <c r="P1217" s="97" t="s">
        <v>515</v>
      </c>
      <c r="Q1217" s="97" t="str">
        <f t="shared" si="178"/>
        <v/>
      </c>
      <c r="R1217" t="str">
        <f t="shared" si="179"/>
        <v/>
      </c>
    </row>
    <row r="1218" spans="4:18">
      <c r="D1218" s="36">
        <v>439</v>
      </c>
      <c r="E1218" s="97">
        <v>140</v>
      </c>
      <c r="F1218" s="366">
        <f t="shared" si="175"/>
        <v>3038</v>
      </c>
      <c r="G1218" s="97">
        <v>4593</v>
      </c>
      <c r="H1218" s="367">
        <f t="shared" si="176"/>
        <v>7631</v>
      </c>
      <c r="I1218" s="368">
        <f t="shared" si="177"/>
        <v>0</v>
      </c>
      <c r="J1218" s="97">
        <v>17327</v>
      </c>
      <c r="K1218" s="367">
        <f t="shared" si="161"/>
        <v>12376.428571428572</v>
      </c>
      <c r="L1218" s="606">
        <v>0.87</v>
      </c>
      <c r="M1218" s="97">
        <v>5.0999999999999996</v>
      </c>
      <c r="N1218" s="605">
        <v>28</v>
      </c>
      <c r="O1218" s="97">
        <v>7</v>
      </c>
      <c r="P1218" s="97" t="s">
        <v>515</v>
      </c>
      <c r="Q1218" s="97" t="str">
        <f t="shared" si="178"/>
        <v/>
      </c>
      <c r="R1218" t="str">
        <f t="shared" si="179"/>
        <v/>
      </c>
    </row>
    <row r="1219" spans="4:18">
      <c r="D1219" s="36">
        <v>440</v>
      </c>
      <c r="E1219" s="97">
        <v>140</v>
      </c>
      <c r="F1219" s="366">
        <f t="shared" si="175"/>
        <v>3038</v>
      </c>
      <c r="G1219" s="97">
        <v>4345</v>
      </c>
      <c r="H1219" s="367">
        <f t="shared" si="176"/>
        <v>7383</v>
      </c>
      <c r="I1219" s="368">
        <f t="shared" si="177"/>
        <v>0</v>
      </c>
      <c r="J1219" s="97">
        <v>16392</v>
      </c>
      <c r="K1219" s="367">
        <f t="shared" si="161"/>
        <v>11708.571428571429</v>
      </c>
      <c r="L1219" s="606">
        <v>0.68</v>
      </c>
      <c r="M1219" s="97">
        <v>5.8</v>
      </c>
      <c r="N1219" s="605">
        <v>27</v>
      </c>
      <c r="O1219" s="97">
        <v>8</v>
      </c>
      <c r="P1219" s="97" t="s">
        <v>515</v>
      </c>
      <c r="Q1219" s="97">
        <f t="shared" si="178"/>
        <v>440</v>
      </c>
      <c r="R1219" t="str">
        <f t="shared" si="179"/>
        <v/>
      </c>
    </row>
    <row r="1220" spans="4:18">
      <c r="D1220" s="36">
        <v>441</v>
      </c>
      <c r="E1220" s="97">
        <v>140</v>
      </c>
      <c r="F1220" s="366">
        <f t="shared" si="175"/>
        <v>3038</v>
      </c>
      <c r="G1220" s="97">
        <v>5445</v>
      </c>
      <c r="H1220" s="367">
        <f t="shared" si="176"/>
        <v>8483</v>
      </c>
      <c r="I1220" s="368">
        <f t="shared" si="177"/>
        <v>0</v>
      </c>
      <c r="J1220" s="97">
        <v>20541</v>
      </c>
      <c r="K1220" s="367">
        <f t="shared" si="161"/>
        <v>14672.142857142857</v>
      </c>
      <c r="L1220" s="606">
        <v>0.93</v>
      </c>
      <c r="M1220" s="97">
        <v>4.3999999999999995</v>
      </c>
      <c r="N1220" s="605">
        <v>30</v>
      </c>
      <c r="O1220" s="97">
        <v>9</v>
      </c>
      <c r="P1220" s="97" t="s">
        <v>556</v>
      </c>
      <c r="Q1220" s="97" t="str">
        <f t="shared" si="178"/>
        <v/>
      </c>
      <c r="R1220" t="str">
        <f t="shared" si="179"/>
        <v/>
      </c>
    </row>
    <row r="1221" spans="4:18">
      <c r="D1221" s="36">
        <v>442</v>
      </c>
      <c r="E1221" s="97">
        <v>140</v>
      </c>
      <c r="F1221" s="366">
        <f t="shared" si="175"/>
        <v>3038</v>
      </c>
      <c r="G1221" s="97">
        <v>4353</v>
      </c>
      <c r="H1221" s="367">
        <f t="shared" si="176"/>
        <v>7391</v>
      </c>
      <c r="I1221" s="368">
        <f t="shared" si="177"/>
        <v>0</v>
      </c>
      <c r="J1221" s="97">
        <v>16424</v>
      </c>
      <c r="K1221" s="367">
        <f t="shared" si="161"/>
        <v>11731.428571428572</v>
      </c>
      <c r="L1221" s="606">
        <v>0.57000000000000006</v>
      </c>
      <c r="M1221" s="97">
        <v>3.5</v>
      </c>
      <c r="N1221" s="605">
        <v>28</v>
      </c>
      <c r="O1221" s="97">
        <v>9</v>
      </c>
      <c r="P1221" s="97" t="s">
        <v>515</v>
      </c>
      <c r="Q1221" s="97" t="str">
        <f t="shared" si="178"/>
        <v/>
      </c>
      <c r="R1221" t="str">
        <f t="shared" si="179"/>
        <v/>
      </c>
    </row>
    <row r="1222" spans="4:18">
      <c r="D1222" s="36">
        <v>443</v>
      </c>
      <c r="E1222" s="97">
        <v>140</v>
      </c>
      <c r="F1222" s="366">
        <f t="shared" si="175"/>
        <v>3038</v>
      </c>
      <c r="G1222" s="97">
        <v>5159</v>
      </c>
      <c r="H1222" s="367">
        <f t="shared" si="176"/>
        <v>8197</v>
      </c>
      <c r="I1222" s="368">
        <f t="shared" si="177"/>
        <v>0</v>
      </c>
      <c r="J1222" s="97">
        <v>19463</v>
      </c>
      <c r="K1222" s="367">
        <f t="shared" si="161"/>
        <v>13902.142857142857</v>
      </c>
      <c r="L1222" s="606">
        <v>0.77</v>
      </c>
      <c r="M1222" s="97">
        <v>4.1999999999999993</v>
      </c>
      <c r="N1222" s="605">
        <v>29</v>
      </c>
      <c r="O1222" s="97">
        <v>10</v>
      </c>
      <c r="P1222" s="97" t="s">
        <v>556</v>
      </c>
      <c r="Q1222" s="97" t="str">
        <f t="shared" si="178"/>
        <v/>
      </c>
      <c r="R1222" t="str">
        <f t="shared" si="179"/>
        <v/>
      </c>
    </row>
    <row r="1223" spans="4:18">
      <c r="D1223" s="36">
        <v>444</v>
      </c>
      <c r="E1223" s="97">
        <v>140</v>
      </c>
      <c r="F1223" s="366">
        <f t="shared" si="175"/>
        <v>3038</v>
      </c>
      <c r="G1223" s="97">
        <v>4389</v>
      </c>
      <c r="H1223" s="367">
        <f t="shared" si="176"/>
        <v>7427</v>
      </c>
      <c r="I1223" s="368">
        <f t="shared" si="177"/>
        <v>0</v>
      </c>
      <c r="J1223" s="97">
        <v>16559</v>
      </c>
      <c r="K1223" s="367">
        <f t="shared" si="161"/>
        <v>11827.857142857143</v>
      </c>
      <c r="L1223" s="606">
        <v>0.47000000000000003</v>
      </c>
      <c r="M1223" s="97">
        <v>3.6</v>
      </c>
      <c r="N1223" s="605">
        <v>27</v>
      </c>
      <c r="O1223" s="97">
        <v>10</v>
      </c>
      <c r="P1223" s="97" t="s">
        <v>515</v>
      </c>
      <c r="Q1223" s="97" t="str">
        <f t="shared" si="178"/>
        <v/>
      </c>
      <c r="R1223" t="str">
        <f t="shared" si="179"/>
        <v/>
      </c>
    </row>
    <row r="1224" spans="4:18">
      <c r="D1224" s="36">
        <v>445</v>
      </c>
      <c r="E1224" s="97">
        <v>145</v>
      </c>
      <c r="F1224" s="366">
        <f t="shared" si="175"/>
        <v>3146.5</v>
      </c>
      <c r="G1224" s="97">
        <v>4803</v>
      </c>
      <c r="H1224" s="367">
        <f t="shared" si="176"/>
        <v>7949.5</v>
      </c>
      <c r="I1224" s="368">
        <f t="shared" si="177"/>
        <v>0</v>
      </c>
      <c r="J1224" s="97">
        <v>18121</v>
      </c>
      <c r="K1224" s="367">
        <f t="shared" si="161"/>
        <v>12943.571428571429</v>
      </c>
      <c r="L1224" s="606">
        <v>0.93</v>
      </c>
      <c r="M1224" s="97">
        <v>5.0999999999999996</v>
      </c>
      <c r="N1224" s="605">
        <v>29</v>
      </c>
      <c r="O1224" s="97">
        <v>7</v>
      </c>
      <c r="P1224" s="97" t="s">
        <v>515</v>
      </c>
      <c r="Q1224" s="97" t="str">
        <f t="shared" si="178"/>
        <v/>
      </c>
      <c r="R1224" t="str">
        <f t="shared" si="179"/>
        <v/>
      </c>
    </row>
    <row r="1225" spans="4:18">
      <c r="D1225" s="36">
        <v>446</v>
      </c>
      <c r="E1225" s="97">
        <v>145</v>
      </c>
      <c r="F1225" s="366">
        <f t="shared" si="175"/>
        <v>3146.5</v>
      </c>
      <c r="G1225" s="97">
        <v>4536</v>
      </c>
      <c r="H1225" s="367">
        <f t="shared" si="176"/>
        <v>7682.5</v>
      </c>
      <c r="I1225" s="368">
        <f t="shared" si="177"/>
        <v>0</v>
      </c>
      <c r="J1225" s="97">
        <v>17114</v>
      </c>
      <c r="K1225" s="367">
        <f t="shared" si="161"/>
        <v>12224.285714285714</v>
      </c>
      <c r="L1225" s="606">
        <v>0.73</v>
      </c>
      <c r="M1225" s="97">
        <v>5.8</v>
      </c>
      <c r="N1225" s="605">
        <v>28</v>
      </c>
      <c r="O1225" s="97">
        <v>8</v>
      </c>
      <c r="P1225" s="97" t="s">
        <v>515</v>
      </c>
      <c r="Q1225" s="97" t="str">
        <f t="shared" si="178"/>
        <v/>
      </c>
      <c r="R1225" t="str">
        <f t="shared" si="179"/>
        <v/>
      </c>
    </row>
    <row r="1226" spans="4:18">
      <c r="D1226" s="36">
        <v>447</v>
      </c>
      <c r="E1226" s="97">
        <v>145</v>
      </c>
      <c r="F1226" s="366">
        <f t="shared" si="175"/>
        <v>3146.5</v>
      </c>
      <c r="G1226" s="97">
        <v>5683</v>
      </c>
      <c r="H1226" s="367">
        <f t="shared" si="176"/>
        <v>8829.5</v>
      </c>
      <c r="I1226" s="368">
        <f t="shared" si="177"/>
        <v>0</v>
      </c>
      <c r="J1226" s="97">
        <v>21438</v>
      </c>
      <c r="K1226" s="367">
        <f t="shared" si="161"/>
        <v>15312.857142857143</v>
      </c>
      <c r="L1226" s="606">
        <v>1</v>
      </c>
      <c r="M1226" s="97">
        <v>4.5999999999999996</v>
      </c>
      <c r="N1226" s="605">
        <v>30</v>
      </c>
      <c r="O1226" s="97">
        <v>9</v>
      </c>
      <c r="P1226" s="97" t="s">
        <v>556</v>
      </c>
      <c r="Q1226" s="97" t="str">
        <f t="shared" si="178"/>
        <v/>
      </c>
      <c r="R1226" t="str">
        <f t="shared" si="179"/>
        <v/>
      </c>
    </row>
    <row r="1227" spans="4:18">
      <c r="D1227" s="36">
        <v>448</v>
      </c>
      <c r="E1227" s="97">
        <v>145</v>
      </c>
      <c r="F1227" s="366">
        <f t="shared" si="175"/>
        <v>3146.5</v>
      </c>
      <c r="G1227" s="97">
        <v>4473</v>
      </c>
      <c r="H1227" s="367">
        <f t="shared" si="176"/>
        <v>7619.5</v>
      </c>
      <c r="I1227" s="368">
        <f t="shared" si="177"/>
        <v>0</v>
      </c>
      <c r="J1227" s="97">
        <v>16873</v>
      </c>
      <c r="K1227" s="367">
        <f t="shared" si="161"/>
        <v>12052.142857142857</v>
      </c>
      <c r="L1227" s="606">
        <v>0.61</v>
      </c>
      <c r="M1227" s="97">
        <v>3.6</v>
      </c>
      <c r="N1227" s="605">
        <v>28</v>
      </c>
      <c r="O1227" s="97">
        <v>9</v>
      </c>
      <c r="P1227" s="97" t="s">
        <v>515</v>
      </c>
      <c r="Q1227" s="97" t="str">
        <f t="shared" si="178"/>
        <v/>
      </c>
      <c r="R1227" t="str">
        <f t="shared" si="179"/>
        <v/>
      </c>
    </row>
    <row r="1228" spans="4:18">
      <c r="D1228" s="36">
        <v>449</v>
      </c>
      <c r="E1228" s="97">
        <v>145</v>
      </c>
      <c r="F1228" s="366">
        <f t="shared" ref="F1228:F1259" si="180">1.085*($A$2-$B$2)*E1228*$T$7</f>
        <v>3146.5</v>
      </c>
      <c r="G1228" s="97">
        <v>5386</v>
      </c>
      <c r="H1228" s="367">
        <f t="shared" si="176"/>
        <v>8532.5</v>
      </c>
      <c r="I1228" s="368">
        <f t="shared" si="177"/>
        <v>0</v>
      </c>
      <c r="J1228" s="97">
        <v>20319</v>
      </c>
      <c r="K1228" s="367">
        <f t="shared" si="161"/>
        <v>14513.571428571429</v>
      </c>
      <c r="L1228" s="606">
        <v>0.82000000000000006</v>
      </c>
      <c r="M1228" s="97">
        <v>4.3999999999999995</v>
      </c>
      <c r="N1228" s="605">
        <v>30</v>
      </c>
      <c r="O1228" s="97">
        <v>10</v>
      </c>
      <c r="P1228" s="97" t="s">
        <v>556</v>
      </c>
      <c r="Q1228" s="97" t="str">
        <f t="shared" si="178"/>
        <v/>
      </c>
      <c r="R1228" t="str">
        <f t="shared" si="179"/>
        <v/>
      </c>
    </row>
    <row r="1229" spans="4:18">
      <c r="D1229" s="36">
        <v>450</v>
      </c>
      <c r="E1229" s="97">
        <v>145</v>
      </c>
      <c r="F1229" s="366">
        <f t="shared" si="180"/>
        <v>3146.5</v>
      </c>
      <c r="G1229" s="97">
        <v>4480</v>
      </c>
      <c r="H1229" s="367">
        <f t="shared" si="176"/>
        <v>7626.5</v>
      </c>
      <c r="I1229" s="368">
        <f t="shared" si="177"/>
        <v>0</v>
      </c>
      <c r="J1229" s="97">
        <v>16901</v>
      </c>
      <c r="K1229" s="367">
        <f t="shared" si="161"/>
        <v>12072.142857142857</v>
      </c>
      <c r="L1229" s="606">
        <v>0.5</v>
      </c>
      <c r="M1229" s="97">
        <v>3.6</v>
      </c>
      <c r="N1229" s="605">
        <v>28</v>
      </c>
      <c r="O1229" s="97">
        <v>10</v>
      </c>
      <c r="P1229" s="97" t="s">
        <v>515</v>
      </c>
      <c r="Q1229" s="97" t="str">
        <f t="shared" si="178"/>
        <v/>
      </c>
      <c r="R1229" t="str">
        <f t="shared" si="179"/>
        <v/>
      </c>
    </row>
    <row r="1230" spans="4:18">
      <c r="D1230" s="36">
        <v>451</v>
      </c>
      <c r="E1230" s="97">
        <v>150</v>
      </c>
      <c r="F1230" s="366">
        <f t="shared" si="180"/>
        <v>3255</v>
      </c>
      <c r="G1230" s="97">
        <v>5016</v>
      </c>
      <c r="H1230" s="367">
        <f t="shared" si="176"/>
        <v>8271</v>
      </c>
      <c r="I1230" s="368">
        <f t="shared" si="177"/>
        <v>0</v>
      </c>
      <c r="J1230" s="97">
        <v>18923</v>
      </c>
      <c r="K1230" s="367">
        <f t="shared" si="161"/>
        <v>13516.428571428572</v>
      </c>
      <c r="L1230" s="606">
        <v>0.99</v>
      </c>
      <c r="M1230" s="97">
        <v>5.0999999999999996</v>
      </c>
      <c r="N1230" s="605">
        <v>29</v>
      </c>
      <c r="O1230" s="97">
        <v>7</v>
      </c>
      <c r="P1230" s="97" t="s">
        <v>515</v>
      </c>
      <c r="Q1230" s="97" t="str">
        <f t="shared" si="178"/>
        <v/>
      </c>
      <c r="R1230" t="str">
        <f t="shared" si="179"/>
        <v/>
      </c>
    </row>
    <row r="1231" spans="4:18">
      <c r="D1231" s="36">
        <v>452</v>
      </c>
      <c r="E1231" s="97">
        <v>150</v>
      </c>
      <c r="F1231" s="366">
        <f t="shared" si="180"/>
        <v>3255</v>
      </c>
      <c r="G1231" s="97">
        <v>4728</v>
      </c>
      <c r="H1231" s="367">
        <f t="shared" si="176"/>
        <v>7983</v>
      </c>
      <c r="I1231" s="368">
        <f t="shared" si="177"/>
        <v>0</v>
      </c>
      <c r="J1231" s="97">
        <v>17836</v>
      </c>
      <c r="K1231" s="367">
        <f t="shared" si="161"/>
        <v>12740</v>
      </c>
      <c r="L1231" s="606">
        <v>0.78</v>
      </c>
      <c r="M1231" s="97">
        <v>5.8</v>
      </c>
      <c r="N1231" s="605">
        <v>28</v>
      </c>
      <c r="O1231" s="97">
        <v>8</v>
      </c>
      <c r="P1231" s="97" t="s">
        <v>515</v>
      </c>
      <c r="Q1231" s="97" t="str">
        <f t="shared" si="178"/>
        <v/>
      </c>
      <c r="R1231" t="str">
        <f t="shared" si="179"/>
        <v/>
      </c>
    </row>
    <row r="1232" spans="4:18">
      <c r="D1232" s="36">
        <v>453</v>
      </c>
      <c r="E1232" s="97">
        <v>150</v>
      </c>
      <c r="F1232" s="366">
        <f t="shared" si="180"/>
        <v>3255</v>
      </c>
      <c r="G1232" s="97">
        <v>4592</v>
      </c>
      <c r="H1232" s="367">
        <f t="shared" si="176"/>
        <v>7847</v>
      </c>
      <c r="I1232" s="368">
        <f t="shared" si="177"/>
        <v>0</v>
      </c>
      <c r="J1232" s="97">
        <v>17322</v>
      </c>
      <c r="K1232" s="367">
        <f t="shared" si="161"/>
        <v>12372.857142857143</v>
      </c>
      <c r="L1232" s="606">
        <v>0.65</v>
      </c>
      <c r="M1232" s="97">
        <v>3.7</v>
      </c>
      <c r="N1232" s="605">
        <v>29</v>
      </c>
      <c r="O1232" s="97">
        <v>9</v>
      </c>
      <c r="P1232" s="97" t="s">
        <v>515</v>
      </c>
      <c r="Q1232" s="97" t="str">
        <f t="shared" si="178"/>
        <v/>
      </c>
      <c r="R1232" t="str">
        <f t="shared" si="179"/>
        <v/>
      </c>
    </row>
    <row r="1233" spans="4:18">
      <c r="D1233" s="36">
        <v>454</v>
      </c>
      <c r="E1233" s="97">
        <v>150</v>
      </c>
      <c r="F1233" s="366">
        <f t="shared" si="180"/>
        <v>3255</v>
      </c>
      <c r="G1233" s="97">
        <v>5613</v>
      </c>
      <c r="H1233" s="367">
        <f t="shared" si="176"/>
        <v>8868</v>
      </c>
      <c r="I1233" s="368">
        <f t="shared" si="177"/>
        <v>0</v>
      </c>
      <c r="J1233" s="97">
        <v>21175</v>
      </c>
      <c r="K1233" s="367">
        <f t="shared" si="161"/>
        <v>15125</v>
      </c>
      <c r="L1233" s="606">
        <v>0.88</v>
      </c>
      <c r="M1233" s="97">
        <v>4.5</v>
      </c>
      <c r="N1233" s="605">
        <v>30</v>
      </c>
      <c r="O1233" s="97">
        <v>10</v>
      </c>
      <c r="P1233" s="97" t="s">
        <v>556</v>
      </c>
      <c r="Q1233" s="97" t="str">
        <f t="shared" si="178"/>
        <v/>
      </c>
      <c r="R1233" t="str">
        <f t="shared" si="179"/>
        <v/>
      </c>
    </row>
    <row r="1234" spans="4:18">
      <c r="D1234" s="36">
        <v>455</v>
      </c>
      <c r="E1234" s="97">
        <v>150</v>
      </c>
      <c r="F1234" s="366">
        <f t="shared" si="180"/>
        <v>3255</v>
      </c>
      <c r="G1234" s="97">
        <v>4602</v>
      </c>
      <c r="H1234" s="367">
        <f t="shared" si="176"/>
        <v>7857</v>
      </c>
      <c r="I1234" s="368">
        <f t="shared" si="177"/>
        <v>0</v>
      </c>
      <c r="J1234" s="97">
        <v>17361</v>
      </c>
      <c r="K1234" s="367">
        <f t="shared" si="161"/>
        <v>12400.714285714286</v>
      </c>
      <c r="L1234" s="606">
        <v>0.54</v>
      </c>
      <c r="M1234" s="97">
        <v>3.7</v>
      </c>
      <c r="N1234" s="605">
        <v>28</v>
      </c>
      <c r="O1234" s="97">
        <v>10</v>
      </c>
      <c r="P1234" s="97" t="s">
        <v>515</v>
      </c>
      <c r="Q1234" s="97" t="str">
        <f t="shared" si="178"/>
        <v/>
      </c>
      <c r="R1234" t="str">
        <f t="shared" si="179"/>
        <v/>
      </c>
    </row>
    <row r="1235" spans="4:18">
      <c r="D1235" s="36">
        <v>456</v>
      </c>
      <c r="E1235" s="97">
        <v>155</v>
      </c>
      <c r="F1235" s="366">
        <f t="shared" si="180"/>
        <v>3363.5</v>
      </c>
      <c r="G1235" s="97">
        <v>4919</v>
      </c>
      <c r="H1235" s="367">
        <f t="shared" si="176"/>
        <v>8282.5</v>
      </c>
      <c r="I1235" s="368">
        <f t="shared" si="177"/>
        <v>0</v>
      </c>
      <c r="J1235" s="97">
        <v>18558</v>
      </c>
      <c r="K1235" s="367">
        <f t="shared" si="161"/>
        <v>13255.714285714286</v>
      </c>
      <c r="L1235" s="606">
        <v>0.83</v>
      </c>
      <c r="M1235" s="97">
        <v>5.8</v>
      </c>
      <c r="N1235" s="605">
        <v>29</v>
      </c>
      <c r="O1235" s="97">
        <v>8</v>
      </c>
      <c r="P1235" s="97" t="s">
        <v>515</v>
      </c>
      <c r="Q1235" s="97" t="str">
        <f t="shared" si="178"/>
        <v/>
      </c>
      <c r="R1235" t="str">
        <f t="shared" si="179"/>
        <v/>
      </c>
    </row>
    <row r="1236" spans="4:18">
      <c r="D1236" s="36">
        <v>457</v>
      </c>
      <c r="E1236" s="97">
        <v>155</v>
      </c>
      <c r="F1236" s="366">
        <f t="shared" si="180"/>
        <v>3363.5</v>
      </c>
      <c r="G1236" s="97">
        <v>4711</v>
      </c>
      <c r="H1236" s="367">
        <f t="shared" si="176"/>
        <v>8074.5</v>
      </c>
      <c r="I1236" s="368">
        <f t="shared" si="177"/>
        <v>0</v>
      </c>
      <c r="J1236" s="97">
        <v>17772</v>
      </c>
      <c r="K1236" s="367">
        <f t="shared" si="161"/>
        <v>12694.285714285714</v>
      </c>
      <c r="L1236" s="606">
        <v>0.69000000000000006</v>
      </c>
      <c r="M1236" s="97">
        <v>3.8000000000000003</v>
      </c>
      <c r="N1236" s="605">
        <v>29</v>
      </c>
      <c r="O1236" s="97">
        <v>9</v>
      </c>
      <c r="P1236" s="97" t="s">
        <v>515</v>
      </c>
      <c r="Q1236" s="97" t="str">
        <f t="shared" si="178"/>
        <v/>
      </c>
      <c r="R1236" t="str">
        <f t="shared" si="179"/>
        <v/>
      </c>
    </row>
    <row r="1237" spans="4:18">
      <c r="D1237" s="36">
        <v>458</v>
      </c>
      <c r="E1237" s="97">
        <v>155</v>
      </c>
      <c r="F1237" s="366">
        <f t="shared" si="180"/>
        <v>3363.5</v>
      </c>
      <c r="G1237" s="97">
        <v>5840</v>
      </c>
      <c r="H1237" s="367">
        <f t="shared" si="176"/>
        <v>9203.5</v>
      </c>
      <c r="I1237" s="368">
        <f t="shared" si="177"/>
        <v>0</v>
      </c>
      <c r="J1237" s="97">
        <v>22031</v>
      </c>
      <c r="K1237" s="367">
        <f t="shared" si="161"/>
        <v>15736.428571428572</v>
      </c>
      <c r="L1237" s="606">
        <v>0.94000000000000006</v>
      </c>
      <c r="M1237" s="97">
        <v>4.6999999999999993</v>
      </c>
      <c r="N1237" s="605">
        <v>31</v>
      </c>
      <c r="O1237" s="97">
        <v>10</v>
      </c>
      <c r="P1237" s="97" t="s">
        <v>556</v>
      </c>
      <c r="Q1237" s="97" t="str">
        <f t="shared" si="178"/>
        <v/>
      </c>
      <c r="R1237" t="str">
        <f t="shared" si="179"/>
        <v/>
      </c>
    </row>
    <row r="1238" spans="4:18">
      <c r="D1238" s="36">
        <v>459</v>
      </c>
      <c r="E1238" s="97">
        <v>155</v>
      </c>
      <c r="F1238" s="366">
        <f t="shared" si="180"/>
        <v>3363.5</v>
      </c>
      <c r="G1238" s="97">
        <v>4724</v>
      </c>
      <c r="H1238" s="367">
        <f t="shared" si="176"/>
        <v>8087.5</v>
      </c>
      <c r="I1238" s="368">
        <f t="shared" si="177"/>
        <v>0</v>
      </c>
      <c r="J1238" s="97">
        <v>17820</v>
      </c>
      <c r="K1238" s="367">
        <f t="shared" si="161"/>
        <v>12728.571428571429</v>
      </c>
      <c r="L1238" s="606">
        <v>0.57000000000000006</v>
      </c>
      <c r="M1238" s="97">
        <v>3.8000000000000003</v>
      </c>
      <c r="N1238" s="605">
        <v>29</v>
      </c>
      <c r="O1238" s="97">
        <v>10</v>
      </c>
      <c r="P1238" s="97" t="s">
        <v>515</v>
      </c>
      <c r="Q1238" s="97" t="str">
        <f t="shared" si="178"/>
        <v/>
      </c>
      <c r="R1238" t="str">
        <f t="shared" si="179"/>
        <v/>
      </c>
    </row>
    <row r="1239" spans="4:18">
      <c r="D1239" s="36">
        <v>460</v>
      </c>
      <c r="E1239" s="97">
        <v>160</v>
      </c>
      <c r="F1239" s="366">
        <f t="shared" si="180"/>
        <v>3472</v>
      </c>
      <c r="G1239" s="97">
        <v>5111</v>
      </c>
      <c r="H1239" s="367">
        <f t="shared" si="176"/>
        <v>8583</v>
      </c>
      <c r="I1239" s="368">
        <f t="shared" si="177"/>
        <v>0</v>
      </c>
      <c r="J1239" s="97">
        <v>19280</v>
      </c>
      <c r="K1239" s="367">
        <f t="shared" si="161"/>
        <v>13771.428571428572</v>
      </c>
      <c r="L1239" s="606">
        <v>0.88</v>
      </c>
      <c r="M1239" s="97">
        <v>5.8</v>
      </c>
      <c r="N1239" s="605">
        <v>29</v>
      </c>
      <c r="O1239" s="97">
        <v>8</v>
      </c>
      <c r="P1239" s="97" t="s">
        <v>515</v>
      </c>
      <c r="Q1239" s="97" t="str">
        <f t="shared" si="178"/>
        <v/>
      </c>
      <c r="R1239" t="str">
        <f t="shared" si="179"/>
        <v/>
      </c>
    </row>
    <row r="1240" spans="4:18">
      <c r="D1240" s="36">
        <v>461</v>
      </c>
      <c r="E1240" s="97">
        <v>160</v>
      </c>
      <c r="F1240" s="366">
        <f t="shared" si="180"/>
        <v>3472</v>
      </c>
      <c r="G1240" s="97">
        <v>4889</v>
      </c>
      <c r="H1240" s="367">
        <f t="shared" si="176"/>
        <v>8361</v>
      </c>
      <c r="I1240" s="368">
        <f t="shared" si="177"/>
        <v>0</v>
      </c>
      <c r="J1240" s="97">
        <v>18445</v>
      </c>
      <c r="K1240" s="367">
        <f t="shared" si="161"/>
        <v>13175</v>
      </c>
      <c r="L1240" s="606">
        <v>0.74</v>
      </c>
      <c r="M1240" s="97">
        <v>4</v>
      </c>
      <c r="N1240" s="605">
        <v>30</v>
      </c>
      <c r="O1240" s="97">
        <v>9</v>
      </c>
      <c r="P1240" s="97" t="s">
        <v>515</v>
      </c>
      <c r="Q1240" s="97" t="str">
        <f t="shared" si="178"/>
        <v/>
      </c>
      <c r="R1240" t="str">
        <f t="shared" si="179"/>
        <v/>
      </c>
    </row>
    <row r="1241" spans="4:18">
      <c r="D1241" s="36">
        <v>462</v>
      </c>
      <c r="E1241" s="97">
        <v>160</v>
      </c>
      <c r="F1241" s="366">
        <f t="shared" si="180"/>
        <v>3472</v>
      </c>
      <c r="G1241" s="97">
        <v>6067</v>
      </c>
      <c r="H1241" s="367">
        <f t="shared" si="176"/>
        <v>9539</v>
      </c>
      <c r="I1241" s="368">
        <f t="shared" si="177"/>
        <v>0</v>
      </c>
      <c r="J1241" s="97">
        <v>22888</v>
      </c>
      <c r="K1241" s="367">
        <f t="shared" si="161"/>
        <v>16348.571428571429</v>
      </c>
      <c r="L1241" s="606">
        <v>1</v>
      </c>
      <c r="M1241" s="97">
        <v>4.8999999999999995</v>
      </c>
      <c r="N1241" s="605">
        <v>31</v>
      </c>
      <c r="O1241" s="97">
        <v>10</v>
      </c>
      <c r="P1241" s="97" t="s">
        <v>556</v>
      </c>
      <c r="Q1241" s="97" t="str">
        <f t="shared" si="178"/>
        <v/>
      </c>
      <c r="R1241" t="str">
        <f t="shared" si="179"/>
        <v/>
      </c>
    </row>
    <row r="1242" spans="4:18">
      <c r="D1242" s="36">
        <v>463</v>
      </c>
      <c r="E1242" s="97">
        <v>160</v>
      </c>
      <c r="F1242" s="366">
        <f t="shared" si="180"/>
        <v>3472</v>
      </c>
      <c r="G1242" s="97">
        <v>4845</v>
      </c>
      <c r="H1242" s="367">
        <f t="shared" si="176"/>
        <v>8317</v>
      </c>
      <c r="I1242" s="368">
        <f t="shared" si="177"/>
        <v>0</v>
      </c>
      <c r="J1242" s="97">
        <v>18279</v>
      </c>
      <c r="K1242" s="367">
        <f t="shared" si="161"/>
        <v>13056.428571428572</v>
      </c>
      <c r="L1242" s="606">
        <v>0.61</v>
      </c>
      <c r="M1242" s="97">
        <v>3.9</v>
      </c>
      <c r="N1242" s="605">
        <v>29</v>
      </c>
      <c r="O1242" s="97">
        <v>10</v>
      </c>
      <c r="P1242" s="97" t="s">
        <v>515</v>
      </c>
      <c r="Q1242" s="97" t="str">
        <f t="shared" si="178"/>
        <v/>
      </c>
      <c r="R1242" t="str">
        <f t="shared" si="179"/>
        <v/>
      </c>
    </row>
    <row r="1243" spans="4:18">
      <c r="D1243" s="36">
        <v>464</v>
      </c>
      <c r="E1243" s="97">
        <v>165</v>
      </c>
      <c r="F1243" s="366">
        <f t="shared" si="180"/>
        <v>3580.5</v>
      </c>
      <c r="G1243" s="97">
        <v>5311</v>
      </c>
      <c r="H1243" s="367">
        <f t="shared" si="176"/>
        <v>8891.5</v>
      </c>
      <c r="I1243" s="368">
        <f t="shared" si="177"/>
        <v>0</v>
      </c>
      <c r="J1243" s="97">
        <v>20034</v>
      </c>
      <c r="K1243" s="367">
        <f t="shared" si="161"/>
        <v>14310</v>
      </c>
      <c r="L1243" s="606">
        <v>0.94000000000000006</v>
      </c>
      <c r="M1243" s="97">
        <v>5.8</v>
      </c>
      <c r="N1243" s="605">
        <v>30</v>
      </c>
      <c r="O1243" s="97">
        <v>8</v>
      </c>
      <c r="P1243" s="97" t="s">
        <v>515</v>
      </c>
      <c r="Q1243" s="97" t="str">
        <f t="shared" si="178"/>
        <v/>
      </c>
      <c r="R1243" t="str">
        <f t="shared" si="179"/>
        <v/>
      </c>
    </row>
    <row r="1244" spans="4:18">
      <c r="D1244" s="36">
        <v>465</v>
      </c>
      <c r="E1244" s="97">
        <v>165</v>
      </c>
      <c r="F1244" s="366">
        <f t="shared" si="180"/>
        <v>3580.5</v>
      </c>
      <c r="G1244" s="97">
        <v>5079</v>
      </c>
      <c r="H1244" s="367">
        <f t="shared" si="176"/>
        <v>8659.5</v>
      </c>
      <c r="I1244" s="368">
        <f t="shared" si="177"/>
        <v>0</v>
      </c>
      <c r="J1244" s="97">
        <v>19159</v>
      </c>
      <c r="K1244" s="367">
        <f t="shared" si="161"/>
        <v>13685</v>
      </c>
      <c r="L1244" s="606">
        <v>0.79</v>
      </c>
      <c r="M1244" s="97">
        <v>4.0999999999999996</v>
      </c>
      <c r="N1244" s="605">
        <v>30</v>
      </c>
      <c r="O1244" s="97">
        <v>9</v>
      </c>
      <c r="P1244" s="97" t="s">
        <v>515</v>
      </c>
      <c r="Q1244" s="97" t="str">
        <f t="shared" si="178"/>
        <v/>
      </c>
      <c r="R1244" t="str">
        <f t="shared" si="179"/>
        <v/>
      </c>
    </row>
    <row r="1245" spans="4:18">
      <c r="D1245" s="36">
        <v>466</v>
      </c>
      <c r="E1245" s="97">
        <v>165</v>
      </c>
      <c r="F1245" s="366">
        <f t="shared" si="180"/>
        <v>3580.5</v>
      </c>
      <c r="G1245" s="97">
        <v>4967</v>
      </c>
      <c r="H1245" s="367">
        <f t="shared" si="176"/>
        <v>8547.5</v>
      </c>
      <c r="I1245" s="368">
        <f t="shared" si="177"/>
        <v>0</v>
      </c>
      <c r="J1245" s="97">
        <v>18738</v>
      </c>
      <c r="K1245" s="367">
        <f t="shared" si="161"/>
        <v>13384.285714285714</v>
      </c>
      <c r="L1245" s="606">
        <v>0.65</v>
      </c>
      <c r="M1245" s="97">
        <v>4</v>
      </c>
      <c r="N1245" s="605">
        <v>29</v>
      </c>
      <c r="O1245" s="97">
        <v>10</v>
      </c>
      <c r="P1245" s="97" t="s">
        <v>515</v>
      </c>
      <c r="Q1245" s="97" t="str">
        <f t="shared" si="178"/>
        <v/>
      </c>
      <c r="R1245" t="str">
        <f t="shared" si="179"/>
        <v/>
      </c>
    </row>
    <row r="1246" spans="4:18">
      <c r="D1246" s="36">
        <v>467</v>
      </c>
      <c r="E1246" s="97">
        <v>170</v>
      </c>
      <c r="F1246" s="366">
        <f t="shared" si="180"/>
        <v>3689</v>
      </c>
      <c r="G1246" s="97">
        <v>5519</v>
      </c>
      <c r="H1246" s="367">
        <f t="shared" si="176"/>
        <v>9208</v>
      </c>
      <c r="I1246" s="368">
        <f t="shared" si="177"/>
        <v>0</v>
      </c>
      <c r="J1246" s="97">
        <v>20820</v>
      </c>
      <c r="K1246" s="367">
        <f t="shared" si="161"/>
        <v>14871.428571428572</v>
      </c>
      <c r="L1246" s="606">
        <v>0.99</v>
      </c>
      <c r="M1246" s="97">
        <v>5.8</v>
      </c>
      <c r="N1246" s="605">
        <v>30</v>
      </c>
      <c r="O1246" s="97">
        <v>8</v>
      </c>
      <c r="P1246" s="97" t="s">
        <v>515</v>
      </c>
      <c r="Q1246" s="97" t="str">
        <f t="shared" si="178"/>
        <v/>
      </c>
      <c r="R1246" t="str">
        <f t="shared" si="179"/>
        <v/>
      </c>
    </row>
    <row r="1247" spans="4:18">
      <c r="D1247" s="36">
        <v>468</v>
      </c>
      <c r="E1247" s="97">
        <v>170</v>
      </c>
      <c r="F1247" s="366">
        <f t="shared" si="180"/>
        <v>3689</v>
      </c>
      <c r="G1247" s="97">
        <v>5268</v>
      </c>
      <c r="H1247" s="367">
        <f t="shared" si="176"/>
        <v>8957</v>
      </c>
      <c r="I1247" s="368">
        <f t="shared" si="177"/>
        <v>0</v>
      </c>
      <c r="J1247" s="97">
        <v>19873</v>
      </c>
      <c r="K1247" s="367">
        <f t="shared" si="161"/>
        <v>14195</v>
      </c>
      <c r="L1247" s="606">
        <v>0.83</v>
      </c>
      <c r="M1247" s="97">
        <v>4.3</v>
      </c>
      <c r="N1247" s="605">
        <v>30</v>
      </c>
      <c r="O1247" s="97">
        <v>9</v>
      </c>
      <c r="P1247" s="97" t="s">
        <v>515</v>
      </c>
      <c r="Q1247" s="97" t="str">
        <f t="shared" si="178"/>
        <v/>
      </c>
      <c r="R1247" t="str">
        <f t="shared" si="179"/>
        <v/>
      </c>
    </row>
    <row r="1248" spans="4:18">
      <c r="D1248" s="36">
        <v>469</v>
      </c>
      <c r="E1248" s="97">
        <v>170</v>
      </c>
      <c r="F1248" s="366">
        <f t="shared" si="180"/>
        <v>3689</v>
      </c>
      <c r="G1248" s="97">
        <v>5089</v>
      </c>
      <c r="H1248" s="367">
        <f t="shared" si="176"/>
        <v>8778</v>
      </c>
      <c r="I1248" s="368">
        <f t="shared" si="177"/>
        <v>0</v>
      </c>
      <c r="J1248" s="97">
        <v>19198</v>
      </c>
      <c r="K1248" s="367">
        <f t="shared" si="161"/>
        <v>13712.857142857143</v>
      </c>
      <c r="L1248" s="606">
        <v>0.69000000000000006</v>
      </c>
      <c r="M1248" s="97">
        <v>4.0999999999999996</v>
      </c>
      <c r="N1248" s="605">
        <v>30</v>
      </c>
      <c r="O1248" s="97">
        <v>10</v>
      </c>
      <c r="P1248" s="97" t="s">
        <v>515</v>
      </c>
      <c r="Q1248" s="97" t="str">
        <f t="shared" si="178"/>
        <v/>
      </c>
      <c r="R1248" t="str">
        <f t="shared" si="179"/>
        <v/>
      </c>
    </row>
    <row r="1249" spans="1:18">
      <c r="D1249" s="36">
        <v>470</v>
      </c>
      <c r="E1249" s="97">
        <v>175</v>
      </c>
      <c r="F1249" s="366">
        <f t="shared" si="180"/>
        <v>3797.5</v>
      </c>
      <c r="G1249" s="97">
        <v>5457</v>
      </c>
      <c r="H1249" s="367">
        <f t="shared" si="176"/>
        <v>9254.5</v>
      </c>
      <c r="I1249" s="368">
        <f t="shared" si="177"/>
        <v>0</v>
      </c>
      <c r="J1249" s="97">
        <v>20587</v>
      </c>
      <c r="K1249" s="367">
        <f t="shared" si="161"/>
        <v>14705</v>
      </c>
      <c r="L1249" s="606">
        <v>0.88</v>
      </c>
      <c r="M1249" s="97">
        <v>4.3999999999999995</v>
      </c>
      <c r="N1249" s="605">
        <v>31</v>
      </c>
      <c r="O1249" s="97">
        <v>9</v>
      </c>
      <c r="P1249" s="97" t="s">
        <v>515</v>
      </c>
      <c r="Q1249" s="97" t="str">
        <f t="shared" si="178"/>
        <v/>
      </c>
      <c r="R1249" t="str">
        <f t="shared" si="179"/>
        <v/>
      </c>
    </row>
    <row r="1250" spans="1:18">
      <c r="D1250" s="36">
        <v>471</v>
      </c>
      <c r="E1250" s="97">
        <v>175</v>
      </c>
      <c r="F1250" s="366">
        <f t="shared" si="180"/>
        <v>3797.5</v>
      </c>
      <c r="G1250" s="97">
        <v>5220</v>
      </c>
      <c r="H1250" s="367">
        <f t="shared" si="176"/>
        <v>9017.5</v>
      </c>
      <c r="I1250" s="368">
        <f t="shared" si="177"/>
        <v>0</v>
      </c>
      <c r="J1250" s="97">
        <v>19693</v>
      </c>
      <c r="K1250" s="367">
        <f t="shared" si="161"/>
        <v>14066.428571428572</v>
      </c>
      <c r="L1250" s="606">
        <v>0.73</v>
      </c>
      <c r="M1250" s="97">
        <v>4.1999999999999993</v>
      </c>
      <c r="N1250" s="605">
        <v>30</v>
      </c>
      <c r="O1250" s="97">
        <v>10</v>
      </c>
      <c r="P1250" s="97" t="s">
        <v>515</v>
      </c>
      <c r="Q1250" s="97" t="str">
        <f t="shared" si="178"/>
        <v/>
      </c>
      <c r="R1250" t="str">
        <f t="shared" si="179"/>
        <v/>
      </c>
    </row>
    <row r="1251" spans="1:18">
      <c r="D1251" s="36">
        <v>472</v>
      </c>
      <c r="E1251" s="97">
        <v>180</v>
      </c>
      <c r="F1251" s="366">
        <f t="shared" si="180"/>
        <v>3906</v>
      </c>
      <c r="G1251" s="97">
        <v>5646</v>
      </c>
      <c r="H1251" s="367">
        <f t="shared" si="176"/>
        <v>9552</v>
      </c>
      <c r="I1251" s="368">
        <f t="shared" si="177"/>
        <v>0</v>
      </c>
      <c r="J1251" s="97">
        <v>21301</v>
      </c>
      <c r="K1251" s="367">
        <f t="shared" si="161"/>
        <v>15215</v>
      </c>
      <c r="L1251" s="606">
        <v>0.94000000000000006</v>
      </c>
      <c r="M1251" s="97">
        <v>4.5999999999999996</v>
      </c>
      <c r="N1251" s="605">
        <v>31</v>
      </c>
      <c r="O1251" s="97">
        <v>9</v>
      </c>
      <c r="P1251" s="97" t="s">
        <v>515</v>
      </c>
      <c r="Q1251" s="97" t="str">
        <f t="shared" si="178"/>
        <v/>
      </c>
      <c r="R1251" t="str">
        <f t="shared" si="179"/>
        <v/>
      </c>
    </row>
    <row r="1252" spans="1:18">
      <c r="D1252" s="36">
        <v>473</v>
      </c>
      <c r="E1252" s="97">
        <v>180</v>
      </c>
      <c r="F1252" s="366">
        <f t="shared" si="180"/>
        <v>3906</v>
      </c>
      <c r="G1252" s="97">
        <v>5405</v>
      </c>
      <c r="H1252" s="367">
        <f t="shared" si="176"/>
        <v>9311</v>
      </c>
      <c r="I1252" s="368">
        <f t="shared" si="177"/>
        <v>0</v>
      </c>
      <c r="J1252" s="97">
        <v>20390</v>
      </c>
      <c r="K1252" s="367">
        <f t="shared" si="161"/>
        <v>14564.285714285714</v>
      </c>
      <c r="L1252" s="606">
        <v>0.77</v>
      </c>
      <c r="M1252" s="97">
        <v>4.3999999999999995</v>
      </c>
      <c r="N1252" s="605">
        <v>30</v>
      </c>
      <c r="O1252" s="97">
        <v>10</v>
      </c>
      <c r="P1252" s="97" t="s">
        <v>515</v>
      </c>
      <c r="Q1252" s="97" t="str">
        <f t="shared" si="178"/>
        <v/>
      </c>
      <c r="R1252" t="str">
        <f t="shared" si="179"/>
        <v/>
      </c>
    </row>
    <row r="1253" spans="1:18">
      <c r="D1253" s="36">
        <v>474</v>
      </c>
      <c r="E1253" s="97">
        <v>185</v>
      </c>
      <c r="F1253" s="366">
        <f t="shared" si="180"/>
        <v>4014.5</v>
      </c>
      <c r="G1253" s="97">
        <v>5837</v>
      </c>
      <c r="H1253" s="367">
        <f t="shared" si="176"/>
        <v>9851.5</v>
      </c>
      <c r="I1253" s="368">
        <f t="shared" si="177"/>
        <v>0</v>
      </c>
      <c r="J1253" s="97">
        <v>22022</v>
      </c>
      <c r="K1253" s="367">
        <f t="shared" si="161"/>
        <v>15730</v>
      </c>
      <c r="L1253" s="606">
        <v>0.99</v>
      </c>
      <c r="M1253" s="97">
        <v>4.6999999999999993</v>
      </c>
      <c r="N1253" s="605">
        <v>31</v>
      </c>
      <c r="O1253" s="97">
        <v>9</v>
      </c>
      <c r="P1253" s="97" t="s">
        <v>515</v>
      </c>
      <c r="Q1253" s="97" t="str">
        <f t="shared" si="178"/>
        <v/>
      </c>
      <c r="R1253" t="str">
        <f t="shared" si="179"/>
        <v/>
      </c>
    </row>
    <row r="1254" spans="1:18">
      <c r="D1254" s="36">
        <v>475</v>
      </c>
      <c r="E1254" s="97">
        <v>185</v>
      </c>
      <c r="F1254" s="366">
        <f t="shared" si="180"/>
        <v>4014.5</v>
      </c>
      <c r="G1254" s="97">
        <v>5590</v>
      </c>
      <c r="H1254" s="367">
        <f t="shared" si="176"/>
        <v>9604.5</v>
      </c>
      <c r="I1254" s="368">
        <f t="shared" si="177"/>
        <v>0</v>
      </c>
      <c r="J1254" s="97">
        <v>21087</v>
      </c>
      <c r="K1254" s="367">
        <f t="shared" si="161"/>
        <v>15062.142857142857</v>
      </c>
      <c r="L1254" s="606">
        <v>0.82000000000000006</v>
      </c>
      <c r="M1254" s="97">
        <v>4.5</v>
      </c>
      <c r="N1254" s="605">
        <v>31</v>
      </c>
      <c r="O1254" s="97">
        <v>10</v>
      </c>
      <c r="P1254" s="97" t="s">
        <v>515</v>
      </c>
      <c r="Q1254" s="97" t="str">
        <f t="shared" si="178"/>
        <v/>
      </c>
      <c r="R1254" t="str">
        <f t="shared" si="179"/>
        <v/>
      </c>
    </row>
    <row r="1255" spans="1:18">
      <c r="D1255" s="36">
        <v>476</v>
      </c>
      <c r="E1255" s="97">
        <v>190</v>
      </c>
      <c r="F1255" s="366">
        <f t="shared" si="180"/>
        <v>4123</v>
      </c>
      <c r="G1255" s="97">
        <v>6037</v>
      </c>
      <c r="H1255" s="367">
        <f t="shared" ref="H1255:H1259" si="181">(G1255*$U$7)+F1255</f>
        <v>10160</v>
      </c>
      <c r="I1255" s="368">
        <f t="shared" ref="I1255:I1259" si="182">1.085*($C$2-$D$2)*E1255*$T$7</f>
        <v>0</v>
      </c>
      <c r="J1255" s="97">
        <v>22774</v>
      </c>
      <c r="K1255" s="367">
        <f t="shared" ref="K1255:K1259" si="183">(J1255*$V$7)-I1255</f>
        <v>16267.142857142857</v>
      </c>
      <c r="L1255" s="606">
        <v>1.04</v>
      </c>
      <c r="M1255" s="97">
        <v>4.8999999999999995</v>
      </c>
      <c r="N1255" s="605">
        <v>32</v>
      </c>
      <c r="O1255" s="97">
        <v>9</v>
      </c>
      <c r="P1255" s="97" t="s">
        <v>515</v>
      </c>
      <c r="Q1255" s="97" t="str">
        <f t="shared" ref="Q1255:Q1259" si="184">IF(AND(H1255+1&gt;$E$4,L1255&lt;$L$4+0.01,M1255&lt;$M$4+0.01,K1255+1&gt;$F$4,E1255+1&gt;$J$4,N1255&lt;$K$4+1,O1255&lt;$P$4+1,C1255=""),D1255,"")</f>
        <v/>
      </c>
      <c r="R1255" t="str">
        <f t="shared" ref="R1255:R1259" si="185">IF(Q1255="","",IF(AND(O1255&lt;$X$15,E1255&gt;$U$15,E1255&lt;$Q$4+$U$15+1),D1255,""))</f>
        <v/>
      </c>
    </row>
    <row r="1256" spans="1:18">
      <c r="D1256" s="36">
        <v>477</v>
      </c>
      <c r="E1256" s="97">
        <v>190</v>
      </c>
      <c r="F1256" s="366">
        <f t="shared" si="180"/>
        <v>4123</v>
      </c>
      <c r="G1256" s="97">
        <v>5774</v>
      </c>
      <c r="H1256" s="367">
        <f t="shared" si="181"/>
        <v>9897</v>
      </c>
      <c r="I1256" s="368">
        <f t="shared" si="182"/>
        <v>0</v>
      </c>
      <c r="J1256" s="97">
        <v>21784</v>
      </c>
      <c r="K1256" s="367">
        <f t="shared" si="183"/>
        <v>15560</v>
      </c>
      <c r="L1256" s="606">
        <v>0.86</v>
      </c>
      <c r="M1256" s="97">
        <v>4.6999999999999993</v>
      </c>
      <c r="N1256" s="605">
        <v>31</v>
      </c>
      <c r="O1256" s="97">
        <v>10</v>
      </c>
      <c r="P1256" s="97" t="s">
        <v>515</v>
      </c>
      <c r="Q1256" s="97" t="str">
        <f t="shared" si="184"/>
        <v/>
      </c>
      <c r="R1256" t="str">
        <f t="shared" si="185"/>
        <v/>
      </c>
    </row>
    <row r="1257" spans="1:18">
      <c r="D1257" s="36">
        <v>478</v>
      </c>
      <c r="E1257" s="97">
        <v>195</v>
      </c>
      <c r="F1257" s="366">
        <f t="shared" si="180"/>
        <v>4231.5</v>
      </c>
      <c r="G1257" s="97">
        <v>5959</v>
      </c>
      <c r="H1257" s="367">
        <f t="shared" si="181"/>
        <v>10190.5</v>
      </c>
      <c r="I1257" s="368">
        <f t="shared" si="182"/>
        <v>0</v>
      </c>
      <c r="J1257" s="97">
        <v>22481</v>
      </c>
      <c r="K1257" s="367">
        <f t="shared" si="183"/>
        <v>16057.857142857143</v>
      </c>
      <c r="L1257" s="606">
        <v>0.91</v>
      </c>
      <c r="M1257" s="97">
        <v>4.8</v>
      </c>
      <c r="N1257" s="605">
        <v>31</v>
      </c>
      <c r="O1257" s="97">
        <v>10</v>
      </c>
      <c r="P1257" s="97" t="s">
        <v>515</v>
      </c>
      <c r="Q1257" s="97" t="str">
        <f t="shared" si="184"/>
        <v/>
      </c>
      <c r="R1257" t="str">
        <f t="shared" si="185"/>
        <v/>
      </c>
    </row>
    <row r="1258" spans="1:18">
      <c r="D1258" s="36">
        <v>479</v>
      </c>
      <c r="E1258" s="97">
        <v>200</v>
      </c>
      <c r="F1258" s="366">
        <f t="shared" si="180"/>
        <v>4340</v>
      </c>
      <c r="G1258" s="97">
        <v>6144</v>
      </c>
      <c r="H1258" s="367">
        <f t="shared" si="181"/>
        <v>10484</v>
      </c>
      <c r="I1258" s="368">
        <f t="shared" si="182"/>
        <v>0</v>
      </c>
      <c r="J1258" s="97">
        <v>23178</v>
      </c>
      <c r="K1258" s="367">
        <f t="shared" si="183"/>
        <v>16555.714285714286</v>
      </c>
      <c r="L1258" s="606">
        <v>0.95</v>
      </c>
      <c r="M1258" s="97">
        <v>5</v>
      </c>
      <c r="N1258" s="605">
        <v>32</v>
      </c>
      <c r="O1258" s="97">
        <v>10</v>
      </c>
      <c r="P1258" s="97" t="s">
        <v>515</v>
      </c>
      <c r="Q1258" s="97" t="str">
        <f t="shared" si="184"/>
        <v/>
      </c>
      <c r="R1258" t="str">
        <f t="shared" si="185"/>
        <v/>
      </c>
    </row>
    <row r="1259" spans="1:18">
      <c r="D1259" s="36">
        <v>480</v>
      </c>
      <c r="E1259" s="97">
        <v>205</v>
      </c>
      <c r="F1259" s="366">
        <f t="shared" si="180"/>
        <v>4448.5</v>
      </c>
      <c r="G1259" s="97">
        <v>6329</v>
      </c>
      <c r="H1259" s="367">
        <f t="shared" si="181"/>
        <v>10777.5</v>
      </c>
      <c r="I1259" s="368">
        <f t="shared" si="182"/>
        <v>0</v>
      </c>
      <c r="J1259" s="97">
        <v>23875</v>
      </c>
      <c r="K1259" s="367">
        <f t="shared" si="183"/>
        <v>17053.571428571428</v>
      </c>
      <c r="L1259" s="606">
        <v>1</v>
      </c>
      <c r="M1259" s="97">
        <v>5.0999999999999996</v>
      </c>
      <c r="N1259" s="605">
        <v>32</v>
      </c>
      <c r="O1259" s="97">
        <v>10</v>
      </c>
      <c r="P1259" s="97" t="s">
        <v>515</v>
      </c>
      <c r="Q1259" s="97" t="str">
        <f t="shared" si="184"/>
        <v/>
      </c>
      <c r="R1259" t="str">
        <f t="shared" si="185"/>
        <v/>
      </c>
    </row>
    <row r="1260" spans="1:18">
      <c r="E1260" s="97"/>
      <c r="H1260" s="97"/>
      <c r="I1260" s="97"/>
      <c r="J1260" s="97"/>
      <c r="K1260" s="97"/>
      <c r="L1260" s="97"/>
      <c r="M1260" s="97"/>
      <c r="N1260" s="97"/>
      <c r="O1260" s="97"/>
      <c r="P1260" s="97"/>
    </row>
    <row r="1261" spans="1:18">
      <c r="B1261" s="581"/>
      <c r="C1261" t="str">
        <f t="shared" si="159"/>
        <v/>
      </c>
      <c r="D1261" s="36">
        <v>1</v>
      </c>
      <c r="E1261" s="97">
        <v>10</v>
      </c>
      <c r="F1261" s="366">
        <f t="shared" ref="F1261:F1324" si="186">1.085*($A$2-$B$2)*E1261*$T$7</f>
        <v>217</v>
      </c>
      <c r="G1261" s="97">
        <v>703</v>
      </c>
      <c r="H1261" s="367">
        <f t="shared" ref="H1261:H1324" si="187">(G1261*$U$7)+F1261</f>
        <v>920</v>
      </c>
      <c r="I1261" s="368">
        <f t="shared" si="160"/>
        <v>0</v>
      </c>
      <c r="J1261" s="97">
        <v>1804</v>
      </c>
      <c r="K1261" s="367">
        <f t="shared" si="161"/>
        <v>1288.5714285714287</v>
      </c>
      <c r="L1261" s="97">
        <v>0.19</v>
      </c>
      <c r="M1261" s="97">
        <v>9.7999999999999989</v>
      </c>
      <c r="N1261" s="97">
        <v>15</v>
      </c>
      <c r="O1261" s="97">
        <v>2</v>
      </c>
      <c r="P1261" s="97" t="s">
        <v>513</v>
      </c>
      <c r="Q1261" s="97" t="str">
        <f t="shared" ref="Q1261:Q1324" si="188">IF(AND(H1261+1&gt;$E$4,L1261&lt;$L$4+0.01,M1261&lt;$M$4+0.01,K1261+1&gt;$F$4,E1261+1&gt;$J$4,N1261&lt;$K$4+1,O1261&lt;$P$4+1,C1261=""),D1261,"")</f>
        <v/>
      </c>
      <c r="R1261" t="str">
        <f t="shared" ref="R1261:R1324" si="189">IF(Q1261="","",IF(AND(O1261&lt;$X$16,E1261&gt;$U$16,E1261&lt;$Q$4+$U$16+1),D1261,""))</f>
        <v/>
      </c>
    </row>
    <row r="1262" spans="1:18">
      <c r="A1262" s="581"/>
      <c r="B1262" s="582"/>
      <c r="C1262" t="str">
        <f t="shared" si="159"/>
        <v/>
      </c>
      <c r="D1262" s="36">
        <v>2</v>
      </c>
      <c r="E1262" s="97">
        <v>10</v>
      </c>
      <c r="F1262" s="366">
        <f t="shared" si="186"/>
        <v>217</v>
      </c>
      <c r="G1262" s="97">
        <v>855</v>
      </c>
      <c r="H1262" s="367">
        <f t="shared" si="187"/>
        <v>1072</v>
      </c>
      <c r="I1262" s="368">
        <f t="shared" si="160"/>
        <v>0</v>
      </c>
      <c r="J1262" s="97">
        <v>2191</v>
      </c>
      <c r="K1262" s="367">
        <f t="shared" si="161"/>
        <v>1565</v>
      </c>
      <c r="L1262" s="97">
        <v>0.38</v>
      </c>
      <c r="M1262" s="97">
        <v>9.7999999999999989</v>
      </c>
      <c r="N1262" s="97">
        <v>15</v>
      </c>
      <c r="O1262" s="97">
        <v>2</v>
      </c>
      <c r="P1262" s="97" t="s">
        <v>512</v>
      </c>
      <c r="Q1262" s="97" t="str">
        <f t="shared" si="188"/>
        <v/>
      </c>
      <c r="R1262" t="str">
        <f t="shared" si="189"/>
        <v/>
      </c>
    </row>
    <row r="1263" spans="1:18">
      <c r="A1263" s="36"/>
      <c r="C1263" t="str">
        <f t="shared" si="159"/>
        <v>NL</v>
      </c>
      <c r="D1263" s="36">
        <v>3</v>
      </c>
      <c r="E1263" s="97">
        <v>10</v>
      </c>
      <c r="F1263" s="366">
        <f t="shared" si="186"/>
        <v>217</v>
      </c>
      <c r="G1263" s="97">
        <v>934</v>
      </c>
      <c r="H1263" s="367">
        <f t="shared" si="187"/>
        <v>1151</v>
      </c>
      <c r="I1263" s="368">
        <f t="shared" si="160"/>
        <v>0</v>
      </c>
      <c r="J1263" s="97">
        <v>2395</v>
      </c>
      <c r="K1263" s="367">
        <f t="shared" si="161"/>
        <v>1710.7142857142858</v>
      </c>
      <c r="L1263" s="97">
        <v>0.16</v>
      </c>
      <c r="M1263" s="97">
        <v>1.8</v>
      </c>
      <c r="N1263" s="97">
        <v>15</v>
      </c>
      <c r="O1263" s="97">
        <v>3</v>
      </c>
      <c r="P1263" s="97" t="s">
        <v>512</v>
      </c>
      <c r="Q1263" s="97" t="str">
        <f t="shared" si="188"/>
        <v/>
      </c>
      <c r="R1263" t="str">
        <f t="shared" si="189"/>
        <v/>
      </c>
    </row>
    <row r="1264" spans="1:18">
      <c r="C1264" t="str">
        <f t="shared" si="159"/>
        <v/>
      </c>
      <c r="D1264" s="36">
        <v>4</v>
      </c>
      <c r="E1264" s="97">
        <v>15</v>
      </c>
      <c r="F1264" s="366">
        <f t="shared" si="186"/>
        <v>325.5</v>
      </c>
      <c r="G1264" s="97">
        <v>794</v>
      </c>
      <c r="H1264" s="367">
        <f t="shared" si="187"/>
        <v>1119.5</v>
      </c>
      <c r="I1264" s="368">
        <f t="shared" si="160"/>
        <v>0</v>
      </c>
      <c r="J1264" s="97">
        <v>2037</v>
      </c>
      <c r="K1264" s="367">
        <f t="shared" si="161"/>
        <v>1455</v>
      </c>
      <c r="L1264" s="97">
        <v>0.19</v>
      </c>
      <c r="M1264" s="97">
        <v>9.7999999999999989</v>
      </c>
      <c r="N1264" s="97">
        <v>15</v>
      </c>
      <c r="O1264" s="97">
        <v>2</v>
      </c>
      <c r="P1264" s="97" t="s">
        <v>555</v>
      </c>
      <c r="Q1264" s="97" t="str">
        <f t="shared" si="188"/>
        <v/>
      </c>
      <c r="R1264" t="str">
        <f t="shared" si="189"/>
        <v/>
      </c>
    </row>
    <row r="1265" spans="3:18">
      <c r="C1265" t="str">
        <f t="shared" si="159"/>
        <v/>
      </c>
      <c r="D1265" s="36">
        <v>5</v>
      </c>
      <c r="E1265" s="97">
        <v>15</v>
      </c>
      <c r="F1265" s="366">
        <f t="shared" si="186"/>
        <v>325.5</v>
      </c>
      <c r="G1265" s="97">
        <v>962</v>
      </c>
      <c r="H1265" s="367">
        <f t="shared" si="187"/>
        <v>1287.5</v>
      </c>
      <c r="I1265" s="368">
        <f t="shared" si="160"/>
        <v>0</v>
      </c>
      <c r="J1265" s="97">
        <v>2466</v>
      </c>
      <c r="K1265" s="367">
        <f t="shared" si="161"/>
        <v>1761.4285714285716</v>
      </c>
      <c r="L1265" s="97">
        <v>0.43</v>
      </c>
      <c r="M1265" s="97">
        <v>9.7999999999999989</v>
      </c>
      <c r="N1265" s="97">
        <v>19</v>
      </c>
      <c r="O1265" s="97">
        <v>2</v>
      </c>
      <c r="P1265" s="97" t="s">
        <v>513</v>
      </c>
      <c r="Q1265" s="97" t="str">
        <f t="shared" si="188"/>
        <v/>
      </c>
      <c r="R1265" t="str">
        <f t="shared" si="189"/>
        <v/>
      </c>
    </row>
    <row r="1266" spans="3:18">
      <c r="C1266" t="str">
        <f t="shared" si="159"/>
        <v/>
      </c>
      <c r="D1266" s="36">
        <v>6</v>
      </c>
      <c r="E1266" s="97">
        <v>15</v>
      </c>
      <c r="F1266" s="366">
        <f t="shared" si="186"/>
        <v>325.5</v>
      </c>
      <c r="G1266" s="97">
        <v>1267</v>
      </c>
      <c r="H1266" s="367">
        <f t="shared" si="187"/>
        <v>1592.5</v>
      </c>
      <c r="I1266" s="368">
        <f t="shared" si="160"/>
        <v>0</v>
      </c>
      <c r="J1266" s="97">
        <v>3249</v>
      </c>
      <c r="K1266" s="367">
        <f t="shared" si="161"/>
        <v>2320.7142857142858</v>
      </c>
      <c r="L1266" s="97">
        <v>0.86</v>
      </c>
      <c r="M1266" s="97">
        <v>9.7999999999999989</v>
      </c>
      <c r="N1266" s="97">
        <v>20</v>
      </c>
      <c r="O1266" s="97">
        <v>2</v>
      </c>
      <c r="P1266" s="97" t="s">
        <v>512</v>
      </c>
      <c r="Q1266" s="97" t="str">
        <f t="shared" si="188"/>
        <v/>
      </c>
      <c r="R1266" t="str">
        <f t="shared" si="189"/>
        <v/>
      </c>
    </row>
    <row r="1267" spans="3:18">
      <c r="C1267" t="str">
        <f t="shared" si="159"/>
        <v>NL</v>
      </c>
      <c r="D1267" s="36">
        <v>7</v>
      </c>
      <c r="E1267" s="97">
        <v>15</v>
      </c>
      <c r="F1267" s="366">
        <f t="shared" si="186"/>
        <v>325.5</v>
      </c>
      <c r="G1267" s="97">
        <v>1133</v>
      </c>
      <c r="H1267" s="367">
        <f t="shared" si="187"/>
        <v>1458.5</v>
      </c>
      <c r="I1267" s="368">
        <f t="shared" si="160"/>
        <v>0</v>
      </c>
      <c r="J1267" s="97">
        <v>2904</v>
      </c>
      <c r="K1267" s="367">
        <f t="shared" si="161"/>
        <v>2074.2857142857142</v>
      </c>
      <c r="L1267" s="97">
        <v>0.18000000000000002</v>
      </c>
      <c r="M1267" s="97">
        <v>1.8</v>
      </c>
      <c r="N1267" s="97">
        <v>15</v>
      </c>
      <c r="O1267" s="97">
        <v>3</v>
      </c>
      <c r="P1267" s="97" t="s">
        <v>513</v>
      </c>
      <c r="Q1267" s="97" t="str">
        <f t="shared" si="188"/>
        <v/>
      </c>
      <c r="R1267" t="str">
        <f t="shared" si="189"/>
        <v/>
      </c>
    </row>
    <row r="1268" spans="3:18">
      <c r="C1268" t="str">
        <f t="shared" si="159"/>
        <v>NL</v>
      </c>
      <c r="D1268" s="36">
        <v>8</v>
      </c>
      <c r="E1268" s="97">
        <v>15</v>
      </c>
      <c r="F1268" s="366">
        <f t="shared" si="186"/>
        <v>325.5</v>
      </c>
      <c r="G1268" s="97">
        <v>1380</v>
      </c>
      <c r="H1268" s="367">
        <f t="shared" si="187"/>
        <v>1705.5</v>
      </c>
      <c r="I1268" s="368">
        <f t="shared" si="160"/>
        <v>0</v>
      </c>
      <c r="J1268" s="97">
        <v>3538</v>
      </c>
      <c r="K1268" s="367">
        <f t="shared" si="161"/>
        <v>2527.1428571428573</v>
      </c>
      <c r="L1268" s="97">
        <v>0.36</v>
      </c>
      <c r="M1268" s="97">
        <v>1.8</v>
      </c>
      <c r="N1268" s="97">
        <v>16</v>
      </c>
      <c r="O1268" s="97">
        <v>3</v>
      </c>
      <c r="P1268" s="97" t="s">
        <v>512</v>
      </c>
      <c r="Q1268" s="97" t="str">
        <f t="shared" si="188"/>
        <v/>
      </c>
      <c r="R1268" t="str">
        <f t="shared" si="189"/>
        <v/>
      </c>
    </row>
    <row r="1269" spans="3:18">
      <c r="C1269" t="str">
        <f t="shared" si="159"/>
        <v/>
      </c>
      <c r="D1269" s="36">
        <v>9</v>
      </c>
      <c r="E1269" s="97">
        <v>15</v>
      </c>
      <c r="F1269" s="366">
        <f t="shared" si="186"/>
        <v>325.5</v>
      </c>
      <c r="G1269" s="97">
        <v>1471</v>
      </c>
      <c r="H1269" s="367">
        <f t="shared" si="187"/>
        <v>1796.5</v>
      </c>
      <c r="I1269" s="368">
        <f t="shared" si="160"/>
        <v>0</v>
      </c>
      <c r="J1269" s="97">
        <v>3771</v>
      </c>
      <c r="K1269" s="367">
        <f t="shared" si="161"/>
        <v>2693.5714285714284</v>
      </c>
      <c r="L1269" s="97">
        <v>0.2</v>
      </c>
      <c r="M1269" s="97">
        <v>2.3000000000000003</v>
      </c>
      <c r="N1269" s="97">
        <v>15</v>
      </c>
      <c r="O1269" s="97">
        <v>4</v>
      </c>
      <c r="P1269" s="97" t="s">
        <v>512</v>
      </c>
      <c r="Q1269" s="97" t="str">
        <f t="shared" si="188"/>
        <v/>
      </c>
      <c r="R1269" t="str">
        <f t="shared" si="189"/>
        <v/>
      </c>
    </row>
    <row r="1270" spans="3:18">
      <c r="C1270" t="str">
        <f t="shared" si="159"/>
        <v/>
      </c>
      <c r="D1270" s="36">
        <v>10</v>
      </c>
      <c r="E1270" s="97">
        <v>20</v>
      </c>
      <c r="F1270" s="366">
        <f t="shared" si="186"/>
        <v>434</v>
      </c>
      <c r="G1270" s="97">
        <v>991</v>
      </c>
      <c r="H1270" s="367">
        <f t="shared" si="187"/>
        <v>1425</v>
      </c>
      <c r="I1270" s="368">
        <f t="shared" si="160"/>
        <v>0</v>
      </c>
      <c r="J1270" s="97">
        <v>2541</v>
      </c>
      <c r="K1270" s="367">
        <f t="shared" si="161"/>
        <v>1815</v>
      </c>
      <c r="L1270" s="97">
        <v>0.23</v>
      </c>
      <c r="M1270" s="97">
        <v>9.7999999999999989</v>
      </c>
      <c r="N1270" s="97">
        <v>18</v>
      </c>
      <c r="O1270" s="97">
        <v>2</v>
      </c>
      <c r="P1270" s="97" t="s">
        <v>514</v>
      </c>
      <c r="Q1270" s="97" t="str">
        <f t="shared" si="188"/>
        <v/>
      </c>
      <c r="R1270" t="str">
        <f t="shared" si="189"/>
        <v/>
      </c>
    </row>
    <row r="1271" spans="3:18">
      <c r="C1271" t="str">
        <f t="shared" si="159"/>
        <v/>
      </c>
      <c r="D1271" s="36">
        <v>11</v>
      </c>
      <c r="E1271" s="97">
        <v>20</v>
      </c>
      <c r="F1271" s="366">
        <f t="shared" si="186"/>
        <v>434</v>
      </c>
      <c r="G1271" s="97">
        <v>1068</v>
      </c>
      <c r="H1271" s="367">
        <f t="shared" si="187"/>
        <v>1502</v>
      </c>
      <c r="I1271" s="368">
        <f t="shared" si="160"/>
        <v>0</v>
      </c>
      <c r="J1271" s="97">
        <v>2738</v>
      </c>
      <c r="K1271" s="367">
        <f t="shared" si="161"/>
        <v>1955.7142857142858</v>
      </c>
      <c r="L1271" s="97">
        <v>0.34</v>
      </c>
      <c r="M1271" s="97">
        <v>9.7999999999999989</v>
      </c>
      <c r="N1271" s="97">
        <v>17</v>
      </c>
      <c r="O1271" s="97">
        <v>2</v>
      </c>
      <c r="P1271" s="97" t="s">
        <v>555</v>
      </c>
      <c r="Q1271" s="97" t="str">
        <f t="shared" si="188"/>
        <v/>
      </c>
      <c r="R1271" t="str">
        <f t="shared" si="189"/>
        <v/>
      </c>
    </row>
    <row r="1272" spans="3:18">
      <c r="C1272" t="str">
        <f t="shared" si="159"/>
        <v/>
      </c>
      <c r="D1272" s="36">
        <v>12</v>
      </c>
      <c r="E1272" s="97">
        <v>20</v>
      </c>
      <c r="F1272" s="366">
        <f t="shared" si="186"/>
        <v>434</v>
      </c>
      <c r="G1272" s="97">
        <v>1328</v>
      </c>
      <c r="H1272" s="367">
        <f t="shared" si="187"/>
        <v>1762</v>
      </c>
      <c r="I1272" s="368">
        <f t="shared" si="160"/>
        <v>0</v>
      </c>
      <c r="J1272" s="97">
        <v>3404</v>
      </c>
      <c r="K1272" s="367">
        <f t="shared" si="161"/>
        <v>2431.4285714285716</v>
      </c>
      <c r="L1272" s="97">
        <v>0.76</v>
      </c>
      <c r="M1272" s="97">
        <v>9.7999999999999989</v>
      </c>
      <c r="N1272" s="97">
        <v>23</v>
      </c>
      <c r="O1272" s="97">
        <v>2</v>
      </c>
      <c r="P1272" s="97" t="s">
        <v>513</v>
      </c>
      <c r="Q1272" s="97" t="str">
        <f t="shared" si="188"/>
        <v/>
      </c>
      <c r="R1272" t="str">
        <f t="shared" si="189"/>
        <v/>
      </c>
    </row>
    <row r="1273" spans="3:18">
      <c r="C1273" t="str">
        <f t="shared" si="159"/>
        <v>NL</v>
      </c>
      <c r="D1273" s="36">
        <v>13</v>
      </c>
      <c r="E1273" s="97">
        <v>20</v>
      </c>
      <c r="F1273" s="366">
        <f t="shared" si="186"/>
        <v>434</v>
      </c>
      <c r="G1273" s="97">
        <v>1406</v>
      </c>
      <c r="H1273" s="367">
        <f t="shared" si="187"/>
        <v>1840</v>
      </c>
      <c r="I1273" s="368">
        <f t="shared" si="160"/>
        <v>0</v>
      </c>
      <c r="J1273" s="97">
        <v>3604</v>
      </c>
      <c r="K1273" s="367">
        <f t="shared" si="161"/>
        <v>2574.2857142857142</v>
      </c>
      <c r="L1273" s="97">
        <v>0.32</v>
      </c>
      <c r="M1273" s="97">
        <v>1.8</v>
      </c>
      <c r="N1273" s="97">
        <v>18</v>
      </c>
      <c r="O1273" s="97">
        <v>3</v>
      </c>
      <c r="P1273" s="97" t="s">
        <v>513</v>
      </c>
      <c r="Q1273" s="97" t="str">
        <f t="shared" si="188"/>
        <v/>
      </c>
      <c r="R1273" t="str">
        <f t="shared" si="189"/>
        <v/>
      </c>
    </row>
    <row r="1274" spans="3:18">
      <c r="C1274" t="str">
        <f t="shared" si="159"/>
        <v>NL</v>
      </c>
      <c r="D1274" s="36">
        <v>14</v>
      </c>
      <c r="E1274" s="97">
        <v>20</v>
      </c>
      <c r="F1274" s="366">
        <f t="shared" si="186"/>
        <v>434</v>
      </c>
      <c r="G1274" s="97">
        <v>1706</v>
      </c>
      <c r="H1274" s="367">
        <f t="shared" si="187"/>
        <v>2140</v>
      </c>
      <c r="I1274" s="368">
        <f t="shared" si="160"/>
        <v>0</v>
      </c>
      <c r="J1274" s="97">
        <v>4373</v>
      </c>
      <c r="K1274" s="367">
        <f t="shared" si="161"/>
        <v>3123.5714285714284</v>
      </c>
      <c r="L1274" s="97">
        <v>0.63</v>
      </c>
      <c r="M1274" s="97">
        <v>1.8</v>
      </c>
      <c r="N1274" s="97">
        <v>19</v>
      </c>
      <c r="O1274" s="97">
        <v>3</v>
      </c>
      <c r="P1274" s="97" t="s">
        <v>512</v>
      </c>
      <c r="Q1274" s="97" t="str">
        <f t="shared" si="188"/>
        <v/>
      </c>
      <c r="R1274" t="str">
        <f t="shared" si="189"/>
        <v/>
      </c>
    </row>
    <row r="1275" spans="3:18">
      <c r="C1275" t="str">
        <f t="shared" si="159"/>
        <v/>
      </c>
      <c r="D1275" s="36">
        <v>15</v>
      </c>
      <c r="E1275" s="97">
        <v>20</v>
      </c>
      <c r="F1275" s="366">
        <f t="shared" si="186"/>
        <v>434</v>
      </c>
      <c r="G1275" s="97">
        <v>1555</v>
      </c>
      <c r="H1275" s="367">
        <f t="shared" si="187"/>
        <v>1989</v>
      </c>
      <c r="I1275" s="368">
        <f t="shared" si="160"/>
        <v>0</v>
      </c>
      <c r="J1275" s="97">
        <v>3988</v>
      </c>
      <c r="K1275" s="367">
        <f t="shared" si="161"/>
        <v>2848.5714285714284</v>
      </c>
      <c r="L1275" s="97">
        <v>0.18000000000000002</v>
      </c>
      <c r="M1275" s="97">
        <v>2.3000000000000003</v>
      </c>
      <c r="N1275" s="97">
        <v>16</v>
      </c>
      <c r="O1275" s="97">
        <v>4</v>
      </c>
      <c r="P1275" s="97" t="s">
        <v>513</v>
      </c>
      <c r="Q1275" s="97" t="str">
        <f t="shared" si="188"/>
        <v/>
      </c>
      <c r="R1275" t="str">
        <f t="shared" si="189"/>
        <v/>
      </c>
    </row>
    <row r="1276" spans="3:18">
      <c r="C1276" t="str">
        <f t="shared" si="159"/>
        <v/>
      </c>
      <c r="D1276" s="36">
        <v>16</v>
      </c>
      <c r="E1276" s="97">
        <v>20</v>
      </c>
      <c r="F1276" s="366">
        <f t="shared" si="186"/>
        <v>434</v>
      </c>
      <c r="G1276" s="97">
        <v>1925</v>
      </c>
      <c r="H1276" s="367">
        <f t="shared" si="187"/>
        <v>2359</v>
      </c>
      <c r="I1276" s="368">
        <f t="shared" si="160"/>
        <v>0</v>
      </c>
      <c r="J1276" s="97">
        <v>4934</v>
      </c>
      <c r="K1276" s="367">
        <f t="shared" si="161"/>
        <v>3524.2857142857142</v>
      </c>
      <c r="L1276" s="97">
        <v>0.36</v>
      </c>
      <c r="M1276" s="97">
        <v>2.3000000000000003</v>
      </c>
      <c r="N1276" s="97">
        <v>17</v>
      </c>
      <c r="O1276" s="97">
        <v>4</v>
      </c>
      <c r="P1276" s="97" t="s">
        <v>512</v>
      </c>
      <c r="Q1276" s="97" t="str">
        <f t="shared" si="188"/>
        <v/>
      </c>
      <c r="R1276" t="str">
        <f t="shared" si="189"/>
        <v/>
      </c>
    </row>
    <row r="1277" spans="3:18">
      <c r="C1277" t="str">
        <f t="shared" si="159"/>
        <v>NL</v>
      </c>
      <c r="D1277" s="36">
        <v>17</v>
      </c>
      <c r="E1277" s="97">
        <v>20</v>
      </c>
      <c r="F1277" s="366">
        <f t="shared" si="186"/>
        <v>434</v>
      </c>
      <c r="G1277" s="97">
        <v>1948</v>
      </c>
      <c r="H1277" s="367">
        <f t="shared" si="187"/>
        <v>2382</v>
      </c>
      <c r="I1277" s="368">
        <f t="shared" si="160"/>
        <v>0</v>
      </c>
      <c r="J1277" s="97">
        <v>4995</v>
      </c>
      <c r="K1277" s="367">
        <f t="shared" si="161"/>
        <v>3567.8571428571431</v>
      </c>
      <c r="L1277" s="97">
        <v>0.22</v>
      </c>
      <c r="M1277" s="97">
        <v>2.8000000000000003</v>
      </c>
      <c r="N1277" s="97">
        <v>15</v>
      </c>
      <c r="O1277" s="97">
        <v>5</v>
      </c>
      <c r="P1277" s="97" t="s">
        <v>512</v>
      </c>
      <c r="Q1277" s="97" t="str">
        <f t="shared" si="188"/>
        <v/>
      </c>
      <c r="R1277" t="str">
        <f t="shared" si="189"/>
        <v/>
      </c>
    </row>
    <row r="1278" spans="3:18">
      <c r="C1278" t="str">
        <f t="shared" si="159"/>
        <v/>
      </c>
      <c r="D1278" s="36">
        <v>18</v>
      </c>
      <c r="E1278" s="97">
        <v>20</v>
      </c>
      <c r="F1278" s="366">
        <f t="shared" si="186"/>
        <v>434</v>
      </c>
      <c r="G1278" s="97">
        <v>2080</v>
      </c>
      <c r="H1278" s="367">
        <f t="shared" si="187"/>
        <v>2514</v>
      </c>
      <c r="I1278" s="368">
        <f t="shared" si="160"/>
        <v>0</v>
      </c>
      <c r="J1278" s="97">
        <v>5332</v>
      </c>
      <c r="K1278" s="367">
        <f t="shared" si="161"/>
        <v>3808.5714285714284</v>
      </c>
      <c r="L1278" s="97">
        <v>0.15000000000000002</v>
      </c>
      <c r="M1278" s="97">
        <v>3.4</v>
      </c>
      <c r="N1278" s="97">
        <v>15</v>
      </c>
      <c r="O1278" s="97">
        <v>6</v>
      </c>
      <c r="P1278" s="97" t="s">
        <v>512</v>
      </c>
      <c r="Q1278" s="97" t="str">
        <f t="shared" si="188"/>
        <v/>
      </c>
      <c r="R1278" t="str">
        <f t="shared" si="189"/>
        <v/>
      </c>
    </row>
    <row r="1279" spans="3:18">
      <c r="C1279" t="str">
        <f t="shared" si="159"/>
        <v/>
      </c>
      <c r="D1279" s="36">
        <v>19</v>
      </c>
      <c r="E1279" s="97">
        <v>25</v>
      </c>
      <c r="F1279" s="366">
        <f t="shared" si="186"/>
        <v>542.5</v>
      </c>
      <c r="G1279" s="97">
        <v>967</v>
      </c>
      <c r="H1279" s="367">
        <f t="shared" si="187"/>
        <v>1509.5</v>
      </c>
      <c r="I1279" s="368">
        <f t="shared" si="160"/>
        <v>0</v>
      </c>
      <c r="J1279" s="97">
        <v>2480</v>
      </c>
      <c r="K1279" s="367">
        <f t="shared" si="161"/>
        <v>1771.4285714285716</v>
      </c>
      <c r="L1279" s="97">
        <v>0.17</v>
      </c>
      <c r="M1279" s="97">
        <v>9.7999999999999989</v>
      </c>
      <c r="N1279" s="97">
        <v>15</v>
      </c>
      <c r="O1279" s="97">
        <v>2</v>
      </c>
      <c r="P1279" s="97" t="s">
        <v>556</v>
      </c>
      <c r="Q1279" s="97" t="str">
        <f t="shared" si="188"/>
        <v/>
      </c>
      <c r="R1279" t="str">
        <f t="shared" si="189"/>
        <v/>
      </c>
    </row>
    <row r="1280" spans="3:18">
      <c r="C1280" t="str">
        <f t="shared" si="159"/>
        <v/>
      </c>
      <c r="D1280" s="36">
        <v>20</v>
      </c>
      <c r="E1280" s="97">
        <v>25</v>
      </c>
      <c r="F1280" s="366">
        <f t="shared" si="186"/>
        <v>542.5</v>
      </c>
      <c r="G1280" s="97">
        <v>1270</v>
      </c>
      <c r="H1280" s="367">
        <f t="shared" si="187"/>
        <v>1812.5</v>
      </c>
      <c r="I1280" s="368">
        <f t="shared" si="160"/>
        <v>0</v>
      </c>
      <c r="J1280" s="97">
        <v>3257</v>
      </c>
      <c r="K1280" s="367">
        <f t="shared" si="161"/>
        <v>2326.4285714285716</v>
      </c>
      <c r="L1280" s="97">
        <v>0.36</v>
      </c>
      <c r="M1280" s="97">
        <v>9.7999999999999989</v>
      </c>
      <c r="N1280" s="97">
        <v>20</v>
      </c>
      <c r="O1280" s="97">
        <v>2</v>
      </c>
      <c r="P1280" s="97" t="s">
        <v>514</v>
      </c>
      <c r="Q1280" s="97" t="str">
        <f t="shared" si="188"/>
        <v/>
      </c>
      <c r="R1280" t="str">
        <f t="shared" si="189"/>
        <v/>
      </c>
    </row>
    <row r="1281" spans="3:18">
      <c r="C1281" t="str">
        <f t="shared" si="159"/>
        <v/>
      </c>
      <c r="D1281" s="36">
        <v>21</v>
      </c>
      <c r="E1281" s="97">
        <v>25</v>
      </c>
      <c r="F1281" s="366">
        <f t="shared" si="186"/>
        <v>542.5</v>
      </c>
      <c r="G1281" s="97">
        <v>1355</v>
      </c>
      <c r="H1281" s="367">
        <f t="shared" si="187"/>
        <v>1897.5</v>
      </c>
      <c r="I1281" s="368">
        <f t="shared" si="160"/>
        <v>0</v>
      </c>
      <c r="J1281" s="97">
        <v>3474</v>
      </c>
      <c r="K1281" s="367">
        <f t="shared" si="161"/>
        <v>2481.4285714285716</v>
      </c>
      <c r="L1281" s="97">
        <v>0.53</v>
      </c>
      <c r="M1281" s="97">
        <v>9.7999999999999989</v>
      </c>
      <c r="N1281" s="97">
        <v>19</v>
      </c>
      <c r="O1281" s="97">
        <v>2</v>
      </c>
      <c r="P1281" s="97" t="s">
        <v>555</v>
      </c>
      <c r="Q1281" s="97" t="str">
        <f t="shared" si="188"/>
        <v/>
      </c>
      <c r="R1281" t="str">
        <f t="shared" si="189"/>
        <v/>
      </c>
    </row>
    <row r="1282" spans="3:18">
      <c r="C1282" t="str">
        <f t="shared" si="159"/>
        <v>NL</v>
      </c>
      <c r="D1282" s="36">
        <v>22</v>
      </c>
      <c r="E1282" s="97">
        <v>25</v>
      </c>
      <c r="F1282" s="366">
        <f t="shared" si="186"/>
        <v>542.5</v>
      </c>
      <c r="G1282" s="97">
        <v>1326</v>
      </c>
      <c r="H1282" s="367">
        <f t="shared" si="187"/>
        <v>1868.5</v>
      </c>
      <c r="I1282" s="368">
        <f t="shared" si="160"/>
        <v>0</v>
      </c>
      <c r="J1282" s="97">
        <v>3399</v>
      </c>
      <c r="K1282" s="367">
        <f t="shared" si="161"/>
        <v>2427.8571428571431</v>
      </c>
      <c r="L1282" s="97">
        <v>0.22</v>
      </c>
      <c r="M1282" s="97">
        <v>1.8</v>
      </c>
      <c r="N1282" s="97">
        <v>15</v>
      </c>
      <c r="O1282" s="97">
        <v>3</v>
      </c>
      <c r="P1282" s="97" t="s">
        <v>555</v>
      </c>
      <c r="Q1282" s="97" t="str">
        <f t="shared" si="188"/>
        <v/>
      </c>
      <c r="R1282" t="str">
        <f t="shared" si="189"/>
        <v/>
      </c>
    </row>
    <row r="1283" spans="3:18">
      <c r="C1283" t="str">
        <f t="shared" si="159"/>
        <v>NL</v>
      </c>
      <c r="D1283" s="36">
        <v>23</v>
      </c>
      <c r="E1283" s="97">
        <v>25</v>
      </c>
      <c r="F1283" s="366">
        <f t="shared" si="186"/>
        <v>542.5</v>
      </c>
      <c r="G1283" s="97">
        <v>1667</v>
      </c>
      <c r="H1283" s="367">
        <f t="shared" si="187"/>
        <v>2209.5</v>
      </c>
      <c r="I1283" s="368">
        <f t="shared" si="160"/>
        <v>0</v>
      </c>
      <c r="J1283" s="97">
        <v>4275</v>
      </c>
      <c r="K1283" s="367">
        <f t="shared" si="161"/>
        <v>3053.5714285714284</v>
      </c>
      <c r="L1283" s="97">
        <v>0.49</v>
      </c>
      <c r="M1283" s="97">
        <v>1.8</v>
      </c>
      <c r="N1283" s="97">
        <v>21</v>
      </c>
      <c r="O1283" s="97">
        <v>3</v>
      </c>
      <c r="P1283" s="97" t="s">
        <v>513</v>
      </c>
      <c r="Q1283" s="97" t="str">
        <f t="shared" si="188"/>
        <v/>
      </c>
      <c r="R1283" t="str">
        <f t="shared" si="189"/>
        <v/>
      </c>
    </row>
    <row r="1284" spans="3:18">
      <c r="C1284" t="str">
        <f t="shared" si="159"/>
        <v>NL</v>
      </c>
      <c r="D1284" s="36">
        <v>24</v>
      </c>
      <c r="E1284" s="97">
        <v>25</v>
      </c>
      <c r="F1284" s="366">
        <f t="shared" si="186"/>
        <v>542.5</v>
      </c>
      <c r="G1284" s="97">
        <v>2180</v>
      </c>
      <c r="H1284" s="367">
        <f t="shared" si="187"/>
        <v>2722.5</v>
      </c>
      <c r="I1284" s="368">
        <f t="shared" si="160"/>
        <v>0</v>
      </c>
      <c r="J1284" s="97">
        <v>5590</v>
      </c>
      <c r="K1284" s="367">
        <f t="shared" si="161"/>
        <v>3992.8571428571431</v>
      </c>
      <c r="L1284" s="97">
        <v>0.99</v>
      </c>
      <c r="M1284" s="97">
        <v>1.8</v>
      </c>
      <c r="N1284" s="97">
        <v>22</v>
      </c>
      <c r="O1284" s="97">
        <v>3</v>
      </c>
      <c r="P1284" s="97" t="s">
        <v>512</v>
      </c>
      <c r="Q1284" s="97" t="str">
        <f t="shared" si="188"/>
        <v/>
      </c>
      <c r="R1284" t="str">
        <f t="shared" si="189"/>
        <v/>
      </c>
    </row>
    <row r="1285" spans="3:18">
      <c r="C1285" t="str">
        <f t="shared" si="159"/>
        <v/>
      </c>
      <c r="D1285" s="36">
        <v>25</v>
      </c>
      <c r="E1285" s="97">
        <v>25</v>
      </c>
      <c r="F1285" s="366">
        <f t="shared" si="186"/>
        <v>542.5</v>
      </c>
      <c r="G1285" s="97">
        <v>1875</v>
      </c>
      <c r="H1285" s="367">
        <f t="shared" si="187"/>
        <v>2417.5</v>
      </c>
      <c r="I1285" s="368">
        <f t="shared" si="160"/>
        <v>0</v>
      </c>
      <c r="J1285" s="97">
        <v>4808</v>
      </c>
      <c r="K1285" s="367">
        <f t="shared" si="161"/>
        <v>3434.2857142857142</v>
      </c>
      <c r="L1285" s="97">
        <v>0.28000000000000003</v>
      </c>
      <c r="M1285" s="97">
        <v>2.3000000000000003</v>
      </c>
      <c r="N1285" s="97">
        <v>19</v>
      </c>
      <c r="O1285" s="97">
        <v>4</v>
      </c>
      <c r="P1285" s="97" t="s">
        <v>513</v>
      </c>
      <c r="Q1285" s="97" t="str">
        <f t="shared" si="188"/>
        <v/>
      </c>
      <c r="R1285" t="str">
        <f t="shared" si="189"/>
        <v/>
      </c>
    </row>
    <row r="1286" spans="3:18">
      <c r="C1286" t="str">
        <f t="shared" si="159"/>
        <v/>
      </c>
      <c r="D1286" s="36">
        <v>26</v>
      </c>
      <c r="E1286" s="97">
        <v>25</v>
      </c>
      <c r="F1286" s="366">
        <f t="shared" si="186"/>
        <v>542.5</v>
      </c>
      <c r="G1286" s="97">
        <v>2247</v>
      </c>
      <c r="H1286" s="367">
        <f t="shared" si="187"/>
        <v>2789.5</v>
      </c>
      <c r="I1286" s="368">
        <f t="shared" si="160"/>
        <v>0</v>
      </c>
      <c r="J1286" s="97">
        <v>5762</v>
      </c>
      <c r="K1286" s="367">
        <f t="shared" si="161"/>
        <v>4115.7142857142862</v>
      </c>
      <c r="L1286" s="97">
        <v>0.55000000000000004</v>
      </c>
      <c r="M1286" s="97">
        <v>2.3000000000000003</v>
      </c>
      <c r="N1286" s="97">
        <v>20</v>
      </c>
      <c r="O1286" s="97">
        <v>4</v>
      </c>
      <c r="P1286" s="97" t="s">
        <v>512</v>
      </c>
      <c r="Q1286" s="97" t="str">
        <f t="shared" si="188"/>
        <v/>
      </c>
      <c r="R1286" t="str">
        <f t="shared" si="189"/>
        <v/>
      </c>
    </row>
    <row r="1287" spans="3:18">
      <c r="C1287" t="str">
        <f t="shared" si="159"/>
        <v>NL</v>
      </c>
      <c r="D1287" s="36">
        <v>27</v>
      </c>
      <c r="E1287" s="97">
        <v>25</v>
      </c>
      <c r="F1287" s="366">
        <f t="shared" si="186"/>
        <v>542.5</v>
      </c>
      <c r="G1287" s="97">
        <v>1904</v>
      </c>
      <c r="H1287" s="367">
        <f t="shared" si="187"/>
        <v>2446.5</v>
      </c>
      <c r="I1287" s="368">
        <f t="shared" si="160"/>
        <v>0</v>
      </c>
      <c r="J1287" s="97">
        <v>4882</v>
      </c>
      <c r="K1287" s="367">
        <f t="shared" si="161"/>
        <v>3487.1428571428573</v>
      </c>
      <c r="L1287" s="97">
        <v>0.18000000000000002</v>
      </c>
      <c r="M1287" s="97">
        <v>2.8000000000000003</v>
      </c>
      <c r="N1287" s="97">
        <v>16</v>
      </c>
      <c r="O1287" s="97">
        <v>5</v>
      </c>
      <c r="P1287" s="97" t="s">
        <v>513</v>
      </c>
      <c r="Q1287" s="97" t="str">
        <f t="shared" si="188"/>
        <v/>
      </c>
      <c r="R1287" t="str">
        <f t="shared" si="189"/>
        <v/>
      </c>
    </row>
    <row r="1288" spans="3:18">
      <c r="C1288" t="str">
        <f t="shared" si="159"/>
        <v>NL</v>
      </c>
      <c r="D1288" s="36">
        <v>28</v>
      </c>
      <c r="E1288" s="97">
        <v>25</v>
      </c>
      <c r="F1288" s="366">
        <f t="shared" si="186"/>
        <v>542.5</v>
      </c>
      <c r="G1288" s="97">
        <v>2357</v>
      </c>
      <c r="H1288" s="367">
        <f t="shared" si="187"/>
        <v>2899.5</v>
      </c>
      <c r="I1288" s="368">
        <f t="shared" si="160"/>
        <v>0</v>
      </c>
      <c r="J1288" s="97">
        <v>6044</v>
      </c>
      <c r="K1288" s="367">
        <f t="shared" si="161"/>
        <v>4317.1428571428569</v>
      </c>
      <c r="L1288" s="97">
        <v>0.35000000000000003</v>
      </c>
      <c r="M1288" s="97">
        <v>2.8000000000000003</v>
      </c>
      <c r="N1288" s="97">
        <v>17</v>
      </c>
      <c r="O1288" s="97">
        <v>5</v>
      </c>
      <c r="P1288" s="97" t="s">
        <v>512</v>
      </c>
      <c r="Q1288" s="97" t="str">
        <f t="shared" si="188"/>
        <v/>
      </c>
      <c r="R1288" t="str">
        <f t="shared" si="189"/>
        <v/>
      </c>
    </row>
    <row r="1289" spans="3:18">
      <c r="C1289" t="str">
        <f t="shared" si="159"/>
        <v/>
      </c>
      <c r="D1289" s="36">
        <v>29</v>
      </c>
      <c r="E1289" s="97">
        <v>25</v>
      </c>
      <c r="F1289" s="366">
        <f t="shared" si="186"/>
        <v>542.5</v>
      </c>
      <c r="G1289" s="97">
        <v>2390</v>
      </c>
      <c r="H1289" s="367">
        <f t="shared" si="187"/>
        <v>2932.5</v>
      </c>
      <c r="I1289" s="368">
        <f t="shared" si="160"/>
        <v>0</v>
      </c>
      <c r="J1289" s="97">
        <v>6127</v>
      </c>
      <c r="K1289" s="367">
        <f t="shared" si="161"/>
        <v>4376.4285714285716</v>
      </c>
      <c r="L1289" s="97">
        <v>0.24000000000000002</v>
      </c>
      <c r="M1289" s="97">
        <v>3.4</v>
      </c>
      <c r="N1289" s="97">
        <v>15</v>
      </c>
      <c r="O1289" s="97">
        <v>6</v>
      </c>
      <c r="P1289" s="97" t="s">
        <v>512</v>
      </c>
      <c r="Q1289" s="97" t="str">
        <f t="shared" si="188"/>
        <v/>
      </c>
      <c r="R1289" t="str">
        <f t="shared" si="189"/>
        <v/>
      </c>
    </row>
    <row r="1290" spans="3:18">
      <c r="C1290" t="str">
        <f t="shared" si="159"/>
        <v>NL</v>
      </c>
      <c r="D1290" s="36">
        <v>30</v>
      </c>
      <c r="E1290" s="97">
        <v>25</v>
      </c>
      <c r="F1290" s="366">
        <f t="shared" si="186"/>
        <v>542.5</v>
      </c>
      <c r="G1290" s="97">
        <v>2740</v>
      </c>
      <c r="H1290" s="367">
        <f t="shared" si="187"/>
        <v>3282.5</v>
      </c>
      <c r="I1290" s="368">
        <f t="shared" si="160"/>
        <v>0</v>
      </c>
      <c r="J1290" s="97">
        <v>7024</v>
      </c>
      <c r="K1290" s="367">
        <f t="shared" si="161"/>
        <v>5017.1428571428569</v>
      </c>
      <c r="L1290" s="97">
        <v>0.18000000000000002</v>
      </c>
      <c r="M1290" s="97">
        <v>3.9</v>
      </c>
      <c r="N1290" s="97">
        <v>15</v>
      </c>
      <c r="O1290" s="97">
        <v>7</v>
      </c>
      <c r="P1290" s="97" t="s">
        <v>512</v>
      </c>
      <c r="Q1290" s="97" t="str">
        <f t="shared" si="188"/>
        <v/>
      </c>
      <c r="R1290" t="str">
        <f t="shared" si="189"/>
        <v/>
      </c>
    </row>
    <row r="1291" spans="3:18">
      <c r="C1291" t="str">
        <f t="shared" si="159"/>
        <v/>
      </c>
      <c r="D1291" s="36">
        <v>31</v>
      </c>
      <c r="E1291" s="97">
        <v>30</v>
      </c>
      <c r="F1291" s="366">
        <f t="shared" si="186"/>
        <v>651</v>
      </c>
      <c r="G1291" s="97">
        <v>1190</v>
      </c>
      <c r="H1291" s="367">
        <f t="shared" si="187"/>
        <v>1841</v>
      </c>
      <c r="I1291" s="368">
        <f t="shared" si="160"/>
        <v>0</v>
      </c>
      <c r="J1291" s="97">
        <v>3052</v>
      </c>
      <c r="K1291" s="367">
        <f t="shared" si="161"/>
        <v>2180</v>
      </c>
      <c r="L1291" s="97">
        <v>0.24000000000000002</v>
      </c>
      <c r="M1291" s="97">
        <v>9.7999999999999989</v>
      </c>
      <c r="N1291" s="97">
        <v>17</v>
      </c>
      <c r="O1291" s="97">
        <v>2</v>
      </c>
      <c r="P1291" s="97" t="s">
        <v>556</v>
      </c>
      <c r="Q1291" s="97" t="str">
        <f t="shared" si="188"/>
        <v/>
      </c>
      <c r="R1291" t="str">
        <f t="shared" si="189"/>
        <v/>
      </c>
    </row>
    <row r="1292" spans="3:18">
      <c r="C1292" t="str">
        <f t="shared" si="159"/>
        <v/>
      </c>
      <c r="D1292" s="36">
        <v>32</v>
      </c>
      <c r="E1292" s="97">
        <v>30</v>
      </c>
      <c r="F1292" s="366">
        <f t="shared" si="186"/>
        <v>651</v>
      </c>
      <c r="G1292" s="97">
        <v>1533</v>
      </c>
      <c r="H1292" s="367">
        <f t="shared" si="187"/>
        <v>2184</v>
      </c>
      <c r="I1292" s="368">
        <f t="shared" si="160"/>
        <v>0</v>
      </c>
      <c r="J1292" s="97">
        <v>3930</v>
      </c>
      <c r="K1292" s="367">
        <f t="shared" si="161"/>
        <v>2807.1428571428573</v>
      </c>
      <c r="L1292" s="97">
        <v>0.51</v>
      </c>
      <c r="M1292" s="97">
        <v>9.7999999999999989</v>
      </c>
      <c r="N1292" s="97">
        <v>23</v>
      </c>
      <c r="O1292" s="97">
        <v>2</v>
      </c>
      <c r="P1292" s="97" t="s">
        <v>514</v>
      </c>
      <c r="Q1292" s="97" t="str">
        <f t="shared" si="188"/>
        <v/>
      </c>
      <c r="R1292" t="str">
        <f t="shared" si="189"/>
        <v/>
      </c>
    </row>
    <row r="1293" spans="3:18">
      <c r="C1293" t="str">
        <f t="shared" si="159"/>
        <v/>
      </c>
      <c r="D1293" s="36">
        <v>33</v>
      </c>
      <c r="E1293" s="97">
        <v>30</v>
      </c>
      <c r="F1293" s="366">
        <f t="shared" si="186"/>
        <v>651</v>
      </c>
      <c r="G1293" s="97">
        <v>1608</v>
      </c>
      <c r="H1293" s="367">
        <f t="shared" si="187"/>
        <v>2259</v>
      </c>
      <c r="I1293" s="368">
        <f t="shared" si="160"/>
        <v>0</v>
      </c>
      <c r="J1293" s="97">
        <v>4123</v>
      </c>
      <c r="K1293" s="367">
        <f t="shared" si="161"/>
        <v>2945</v>
      </c>
      <c r="L1293" s="97">
        <v>0.76</v>
      </c>
      <c r="M1293" s="97">
        <v>9.7999999999999989</v>
      </c>
      <c r="N1293" s="97">
        <v>22</v>
      </c>
      <c r="O1293" s="97">
        <v>2</v>
      </c>
      <c r="P1293" s="97" t="s">
        <v>555</v>
      </c>
      <c r="Q1293" s="97" t="str">
        <f t="shared" si="188"/>
        <v/>
      </c>
      <c r="R1293" t="str">
        <f t="shared" si="189"/>
        <v/>
      </c>
    </row>
    <row r="1294" spans="3:18">
      <c r="C1294" t="str">
        <f t="shared" si="159"/>
        <v>NL</v>
      </c>
      <c r="D1294" s="36">
        <v>34</v>
      </c>
      <c r="E1294" s="97">
        <v>30</v>
      </c>
      <c r="F1294" s="366">
        <f t="shared" si="186"/>
        <v>651</v>
      </c>
      <c r="G1294" s="97">
        <v>1449</v>
      </c>
      <c r="H1294" s="367">
        <f t="shared" si="187"/>
        <v>2100</v>
      </c>
      <c r="I1294" s="368">
        <f t="shared" si="160"/>
        <v>0</v>
      </c>
      <c r="J1294" s="97">
        <v>3715</v>
      </c>
      <c r="K1294" s="367">
        <f t="shared" si="161"/>
        <v>2653.5714285714284</v>
      </c>
      <c r="L1294" s="97">
        <v>0.21000000000000002</v>
      </c>
      <c r="M1294" s="97">
        <v>1.8</v>
      </c>
      <c r="N1294" s="97">
        <v>19</v>
      </c>
      <c r="O1294" s="97">
        <v>3</v>
      </c>
      <c r="P1294" s="97" t="s">
        <v>514</v>
      </c>
      <c r="Q1294" s="97" t="str">
        <f t="shared" si="188"/>
        <v/>
      </c>
      <c r="R1294" t="str">
        <f t="shared" si="189"/>
        <v/>
      </c>
    </row>
    <row r="1295" spans="3:18">
      <c r="C1295" t="str">
        <f t="shared" ref="C1295:C1358" si="190">IF(OR($O$4=0,O1295-$O$4=0),IF(AND(ISEVEN(O1295)=FALSE,$N$4="Even"),"NL",""),"NL")</f>
        <v>NL</v>
      </c>
      <c r="D1295" s="36">
        <v>35</v>
      </c>
      <c r="E1295" s="97">
        <v>30</v>
      </c>
      <c r="F1295" s="366">
        <f t="shared" si="186"/>
        <v>651</v>
      </c>
      <c r="G1295" s="97">
        <v>1575</v>
      </c>
      <c r="H1295" s="367">
        <f t="shared" si="187"/>
        <v>2226</v>
      </c>
      <c r="I1295" s="368">
        <f t="shared" ref="I1295:I1358" si="191">1.085*($C$2-$D$2)*E1295*$T$7</f>
        <v>0</v>
      </c>
      <c r="J1295" s="97">
        <v>4039</v>
      </c>
      <c r="K1295" s="367">
        <f t="shared" ref="K1295:K1358" si="192">(J1295*$V$7)-I1295</f>
        <v>2885</v>
      </c>
      <c r="L1295" s="97">
        <v>0.32</v>
      </c>
      <c r="M1295" s="97">
        <v>1.8</v>
      </c>
      <c r="N1295" s="97">
        <v>17</v>
      </c>
      <c r="O1295" s="97">
        <v>3</v>
      </c>
      <c r="P1295" s="97" t="s">
        <v>555</v>
      </c>
      <c r="Q1295" s="97" t="str">
        <f t="shared" si="188"/>
        <v/>
      </c>
      <c r="R1295" t="str">
        <f t="shared" si="189"/>
        <v/>
      </c>
    </row>
    <row r="1296" spans="3:18">
      <c r="C1296" t="str">
        <f t="shared" si="190"/>
        <v>NL</v>
      </c>
      <c r="D1296" s="36">
        <v>36</v>
      </c>
      <c r="E1296" s="97">
        <v>30</v>
      </c>
      <c r="F1296" s="366">
        <f t="shared" si="186"/>
        <v>651</v>
      </c>
      <c r="G1296" s="97">
        <v>2037</v>
      </c>
      <c r="H1296" s="367">
        <f t="shared" si="187"/>
        <v>2688</v>
      </c>
      <c r="I1296" s="368">
        <f t="shared" si="191"/>
        <v>0</v>
      </c>
      <c r="J1296" s="97">
        <v>5222</v>
      </c>
      <c r="K1296" s="367">
        <f t="shared" si="192"/>
        <v>3730</v>
      </c>
      <c r="L1296" s="97">
        <v>0.71</v>
      </c>
      <c r="M1296" s="97">
        <v>1.8</v>
      </c>
      <c r="N1296" s="97">
        <v>23</v>
      </c>
      <c r="O1296" s="97">
        <v>3</v>
      </c>
      <c r="P1296" s="97" t="s">
        <v>513</v>
      </c>
      <c r="Q1296" s="97" t="str">
        <f t="shared" si="188"/>
        <v/>
      </c>
      <c r="R1296" t="str">
        <f t="shared" si="189"/>
        <v/>
      </c>
    </row>
    <row r="1297" spans="3:18">
      <c r="C1297" t="str">
        <f t="shared" si="190"/>
        <v>NL</v>
      </c>
      <c r="D1297" s="36">
        <v>37</v>
      </c>
      <c r="E1297" s="97">
        <v>30</v>
      </c>
      <c r="F1297" s="366">
        <f t="shared" si="186"/>
        <v>651</v>
      </c>
      <c r="G1297" s="97">
        <v>2037</v>
      </c>
      <c r="H1297" s="367">
        <f t="shared" si="187"/>
        <v>2688</v>
      </c>
      <c r="I1297" s="368">
        <f t="shared" si="191"/>
        <v>0</v>
      </c>
      <c r="J1297" s="97">
        <v>5222</v>
      </c>
      <c r="K1297" s="367">
        <f t="shared" si="192"/>
        <v>3730</v>
      </c>
      <c r="L1297" s="97">
        <v>0.71</v>
      </c>
      <c r="M1297" s="97">
        <v>1.8</v>
      </c>
      <c r="N1297" s="97">
        <v>23</v>
      </c>
      <c r="O1297" s="97">
        <v>3</v>
      </c>
      <c r="P1297" s="97" t="s">
        <v>513</v>
      </c>
      <c r="Q1297" s="97" t="str">
        <f t="shared" si="188"/>
        <v/>
      </c>
      <c r="R1297" t="str">
        <f t="shared" si="189"/>
        <v/>
      </c>
    </row>
    <row r="1298" spans="3:18">
      <c r="C1298" t="str">
        <f t="shared" si="190"/>
        <v/>
      </c>
      <c r="D1298" s="36">
        <v>38</v>
      </c>
      <c r="E1298" s="97">
        <v>30</v>
      </c>
      <c r="F1298" s="366">
        <f t="shared" si="186"/>
        <v>651</v>
      </c>
      <c r="G1298" s="97">
        <v>1633</v>
      </c>
      <c r="H1298" s="367">
        <f t="shared" si="187"/>
        <v>2284</v>
      </c>
      <c r="I1298" s="368">
        <f t="shared" si="191"/>
        <v>0</v>
      </c>
      <c r="J1298" s="97">
        <v>4186</v>
      </c>
      <c r="K1298" s="367">
        <f t="shared" si="192"/>
        <v>2990</v>
      </c>
      <c r="L1298" s="97">
        <v>0.18000000000000002</v>
      </c>
      <c r="M1298" s="97">
        <v>2.3000000000000003</v>
      </c>
      <c r="N1298" s="97">
        <v>15</v>
      </c>
      <c r="O1298" s="97">
        <v>4</v>
      </c>
      <c r="P1298" s="97" t="s">
        <v>555</v>
      </c>
      <c r="Q1298" s="97" t="str">
        <f t="shared" si="188"/>
        <v/>
      </c>
      <c r="R1298" t="str">
        <f t="shared" si="189"/>
        <v/>
      </c>
    </row>
    <row r="1299" spans="3:18">
      <c r="C1299" t="str">
        <f t="shared" si="190"/>
        <v/>
      </c>
      <c r="D1299" s="36">
        <v>39</v>
      </c>
      <c r="E1299" s="97">
        <v>30</v>
      </c>
      <c r="F1299" s="366">
        <f t="shared" si="186"/>
        <v>651</v>
      </c>
      <c r="G1299" s="97">
        <v>2129</v>
      </c>
      <c r="H1299" s="367">
        <f t="shared" si="187"/>
        <v>2780</v>
      </c>
      <c r="I1299" s="368">
        <f t="shared" si="191"/>
        <v>0</v>
      </c>
      <c r="J1299" s="97">
        <v>5458</v>
      </c>
      <c r="K1299" s="367">
        <f t="shared" si="192"/>
        <v>3898.5714285714284</v>
      </c>
      <c r="L1299" s="97">
        <v>0.4</v>
      </c>
      <c r="M1299" s="97">
        <v>2.3000000000000003</v>
      </c>
      <c r="N1299" s="97">
        <v>21</v>
      </c>
      <c r="O1299" s="97">
        <v>4</v>
      </c>
      <c r="P1299" s="97" t="s">
        <v>513</v>
      </c>
      <c r="Q1299" s="97" t="str">
        <f t="shared" si="188"/>
        <v/>
      </c>
      <c r="R1299" t="str">
        <f t="shared" si="189"/>
        <v/>
      </c>
    </row>
    <row r="1300" spans="3:18">
      <c r="C1300" t="str">
        <f t="shared" si="190"/>
        <v/>
      </c>
      <c r="D1300" s="36">
        <v>40</v>
      </c>
      <c r="E1300" s="97">
        <v>30</v>
      </c>
      <c r="F1300" s="366">
        <f t="shared" si="186"/>
        <v>651</v>
      </c>
      <c r="G1300" s="97">
        <v>2648</v>
      </c>
      <c r="H1300" s="367">
        <f t="shared" si="187"/>
        <v>3299</v>
      </c>
      <c r="I1300" s="368">
        <f t="shared" si="191"/>
        <v>0</v>
      </c>
      <c r="J1300" s="97">
        <v>6788</v>
      </c>
      <c r="K1300" s="367">
        <f t="shared" si="192"/>
        <v>4848.5714285714284</v>
      </c>
      <c r="L1300" s="97">
        <v>0.8</v>
      </c>
      <c r="M1300" s="97">
        <v>2.3000000000000003</v>
      </c>
      <c r="N1300" s="97">
        <v>22</v>
      </c>
      <c r="O1300" s="97">
        <v>4</v>
      </c>
      <c r="P1300" s="97" t="s">
        <v>512</v>
      </c>
      <c r="Q1300" s="97" t="str">
        <f t="shared" si="188"/>
        <v/>
      </c>
      <c r="R1300" t="str">
        <f t="shared" si="189"/>
        <v/>
      </c>
    </row>
    <row r="1301" spans="3:18">
      <c r="C1301" t="str">
        <f t="shared" si="190"/>
        <v>NL</v>
      </c>
      <c r="D1301" s="36">
        <v>41</v>
      </c>
      <c r="E1301" s="97">
        <v>30</v>
      </c>
      <c r="F1301" s="366">
        <f t="shared" si="186"/>
        <v>651</v>
      </c>
      <c r="G1301" s="97">
        <v>2225</v>
      </c>
      <c r="H1301" s="367">
        <f t="shared" si="187"/>
        <v>2876</v>
      </c>
      <c r="I1301" s="368">
        <f t="shared" si="191"/>
        <v>0</v>
      </c>
      <c r="J1301" s="97">
        <v>5705</v>
      </c>
      <c r="K1301" s="367">
        <f t="shared" si="192"/>
        <v>4075</v>
      </c>
      <c r="L1301" s="97">
        <v>0.25</v>
      </c>
      <c r="M1301" s="97">
        <v>2.8000000000000003</v>
      </c>
      <c r="N1301" s="97">
        <v>19</v>
      </c>
      <c r="O1301" s="97">
        <v>5</v>
      </c>
      <c r="P1301" s="97" t="s">
        <v>513</v>
      </c>
      <c r="Q1301" s="97" t="str">
        <f t="shared" si="188"/>
        <v/>
      </c>
      <c r="R1301" t="str">
        <f t="shared" si="189"/>
        <v/>
      </c>
    </row>
    <row r="1302" spans="3:18">
      <c r="C1302" t="str">
        <f t="shared" si="190"/>
        <v>NL</v>
      </c>
      <c r="D1302" s="36">
        <v>42</v>
      </c>
      <c r="E1302" s="97">
        <v>30</v>
      </c>
      <c r="F1302" s="366">
        <f t="shared" si="186"/>
        <v>651</v>
      </c>
      <c r="G1302" s="97">
        <v>2722</v>
      </c>
      <c r="H1302" s="367">
        <f t="shared" si="187"/>
        <v>3373</v>
      </c>
      <c r="I1302" s="368">
        <f t="shared" si="191"/>
        <v>0</v>
      </c>
      <c r="J1302" s="97">
        <v>6978</v>
      </c>
      <c r="K1302" s="367">
        <f t="shared" si="192"/>
        <v>4984.2857142857147</v>
      </c>
      <c r="L1302" s="97">
        <v>0.5</v>
      </c>
      <c r="M1302" s="97">
        <v>2.8000000000000003</v>
      </c>
      <c r="N1302" s="97">
        <v>20</v>
      </c>
      <c r="O1302" s="97">
        <v>5</v>
      </c>
      <c r="P1302" s="97" t="s">
        <v>512</v>
      </c>
      <c r="Q1302" s="97" t="str">
        <f t="shared" si="188"/>
        <v/>
      </c>
      <c r="R1302" t="str">
        <f t="shared" si="189"/>
        <v/>
      </c>
    </row>
    <row r="1303" spans="3:18">
      <c r="C1303" t="str">
        <f t="shared" si="190"/>
        <v/>
      </c>
      <c r="D1303" s="36">
        <v>43</v>
      </c>
      <c r="E1303" s="97">
        <v>30</v>
      </c>
      <c r="F1303" s="366">
        <f t="shared" si="186"/>
        <v>651</v>
      </c>
      <c r="G1303" s="97">
        <v>2265</v>
      </c>
      <c r="H1303" s="367">
        <f t="shared" si="187"/>
        <v>2916</v>
      </c>
      <c r="I1303" s="368">
        <f t="shared" si="191"/>
        <v>0</v>
      </c>
      <c r="J1303" s="97">
        <v>5807</v>
      </c>
      <c r="K1303" s="367">
        <f t="shared" si="192"/>
        <v>4147.8571428571431</v>
      </c>
      <c r="L1303" s="97">
        <v>0.18000000000000002</v>
      </c>
      <c r="M1303" s="97">
        <v>3.4</v>
      </c>
      <c r="N1303" s="97">
        <v>17</v>
      </c>
      <c r="O1303" s="97">
        <v>6</v>
      </c>
      <c r="P1303" s="97" t="s">
        <v>513</v>
      </c>
      <c r="Q1303" s="97" t="str">
        <f t="shared" si="188"/>
        <v/>
      </c>
      <c r="R1303" t="str">
        <f t="shared" si="189"/>
        <v/>
      </c>
    </row>
    <row r="1304" spans="3:18">
      <c r="C1304" t="str">
        <f t="shared" si="190"/>
        <v/>
      </c>
      <c r="D1304" s="36">
        <v>44</v>
      </c>
      <c r="E1304" s="97">
        <v>30</v>
      </c>
      <c r="F1304" s="366">
        <f t="shared" si="186"/>
        <v>651</v>
      </c>
      <c r="G1304" s="97">
        <v>2747</v>
      </c>
      <c r="H1304" s="367">
        <f t="shared" si="187"/>
        <v>3398</v>
      </c>
      <c r="I1304" s="368">
        <f t="shared" si="191"/>
        <v>0</v>
      </c>
      <c r="J1304" s="97">
        <v>7043</v>
      </c>
      <c r="K1304" s="367">
        <f t="shared" si="192"/>
        <v>5030.7142857142862</v>
      </c>
      <c r="L1304" s="97">
        <v>0.34</v>
      </c>
      <c r="M1304" s="97">
        <v>3.4</v>
      </c>
      <c r="N1304" s="97">
        <v>18</v>
      </c>
      <c r="O1304" s="97">
        <v>6</v>
      </c>
      <c r="P1304" s="97" t="s">
        <v>512</v>
      </c>
      <c r="Q1304" s="97">
        <f t="shared" si="188"/>
        <v>44</v>
      </c>
      <c r="R1304" t="str">
        <f t="shared" si="189"/>
        <v/>
      </c>
    </row>
    <row r="1305" spans="3:18">
      <c r="C1305" t="str">
        <f t="shared" si="190"/>
        <v>NL</v>
      </c>
      <c r="D1305" s="36">
        <v>45</v>
      </c>
      <c r="E1305" s="97">
        <v>30</v>
      </c>
      <c r="F1305" s="366">
        <f t="shared" si="186"/>
        <v>651</v>
      </c>
      <c r="G1305" s="97">
        <v>3098</v>
      </c>
      <c r="H1305" s="367">
        <f t="shared" si="187"/>
        <v>3749</v>
      </c>
      <c r="I1305" s="368">
        <f t="shared" si="191"/>
        <v>0</v>
      </c>
      <c r="J1305" s="97">
        <v>7941</v>
      </c>
      <c r="K1305" s="367">
        <f t="shared" si="192"/>
        <v>5672.1428571428569</v>
      </c>
      <c r="L1305" s="97">
        <v>0.25</v>
      </c>
      <c r="M1305" s="97">
        <v>3.9</v>
      </c>
      <c r="N1305" s="97">
        <v>17</v>
      </c>
      <c r="O1305" s="97">
        <v>7</v>
      </c>
      <c r="P1305" s="97" t="s">
        <v>512</v>
      </c>
      <c r="Q1305" s="97" t="str">
        <f t="shared" si="188"/>
        <v/>
      </c>
      <c r="R1305" t="str">
        <f t="shared" si="189"/>
        <v/>
      </c>
    </row>
    <row r="1306" spans="3:18">
      <c r="C1306" t="str">
        <f t="shared" si="190"/>
        <v/>
      </c>
      <c r="D1306" s="36">
        <v>46</v>
      </c>
      <c r="E1306" s="97">
        <v>30</v>
      </c>
      <c r="F1306" s="366">
        <f t="shared" si="186"/>
        <v>651</v>
      </c>
      <c r="G1306" s="97">
        <v>3269</v>
      </c>
      <c r="H1306" s="367">
        <f t="shared" si="187"/>
        <v>3920</v>
      </c>
      <c r="I1306" s="368">
        <f t="shared" si="191"/>
        <v>0</v>
      </c>
      <c r="J1306" s="97">
        <v>8381</v>
      </c>
      <c r="K1306" s="367">
        <f t="shared" si="192"/>
        <v>5986.4285714285716</v>
      </c>
      <c r="L1306" s="97">
        <v>0.2</v>
      </c>
      <c r="M1306" s="97">
        <v>4.3999999999999995</v>
      </c>
      <c r="N1306" s="97">
        <v>16</v>
      </c>
      <c r="O1306" s="97">
        <v>8</v>
      </c>
      <c r="P1306" s="97" t="s">
        <v>512</v>
      </c>
      <c r="Q1306" s="97">
        <f t="shared" si="188"/>
        <v>46</v>
      </c>
      <c r="R1306" t="str">
        <f t="shared" si="189"/>
        <v/>
      </c>
    </row>
    <row r="1307" spans="3:18">
      <c r="C1307" t="str">
        <f t="shared" si="190"/>
        <v/>
      </c>
      <c r="D1307" s="36">
        <v>47</v>
      </c>
      <c r="E1307" s="97">
        <v>35</v>
      </c>
      <c r="F1307" s="366">
        <f t="shared" si="186"/>
        <v>759.5</v>
      </c>
      <c r="G1307" s="97">
        <v>1140</v>
      </c>
      <c r="H1307" s="367">
        <f t="shared" si="187"/>
        <v>1899.5</v>
      </c>
      <c r="I1307" s="368">
        <f t="shared" si="191"/>
        <v>0</v>
      </c>
      <c r="J1307" s="97">
        <v>2922</v>
      </c>
      <c r="K1307" s="367">
        <f t="shared" si="192"/>
        <v>2087.1428571428573</v>
      </c>
      <c r="L1307" s="97">
        <v>0.2</v>
      </c>
      <c r="M1307" s="97">
        <v>9.7999999999999989</v>
      </c>
      <c r="N1307" s="97">
        <v>17</v>
      </c>
      <c r="O1307" s="97">
        <v>2</v>
      </c>
      <c r="P1307" s="97" t="s">
        <v>515</v>
      </c>
      <c r="Q1307" s="97" t="str">
        <f t="shared" si="188"/>
        <v/>
      </c>
      <c r="R1307" t="str">
        <f t="shared" si="189"/>
        <v/>
      </c>
    </row>
    <row r="1308" spans="3:18">
      <c r="C1308" t="str">
        <f t="shared" si="190"/>
        <v/>
      </c>
      <c r="D1308" s="36">
        <v>48</v>
      </c>
      <c r="E1308" s="97">
        <v>35</v>
      </c>
      <c r="F1308" s="366">
        <f t="shared" si="186"/>
        <v>759.5</v>
      </c>
      <c r="G1308" s="97">
        <v>1394</v>
      </c>
      <c r="H1308" s="367">
        <f t="shared" si="187"/>
        <v>2153.5</v>
      </c>
      <c r="I1308" s="368">
        <f t="shared" si="191"/>
        <v>0</v>
      </c>
      <c r="J1308" s="97">
        <v>3575</v>
      </c>
      <c r="K1308" s="367">
        <f t="shared" si="192"/>
        <v>2553.5714285714284</v>
      </c>
      <c r="L1308" s="97">
        <v>0.33</v>
      </c>
      <c r="M1308" s="97">
        <v>9.7999999999999989</v>
      </c>
      <c r="N1308" s="97">
        <v>19</v>
      </c>
      <c r="O1308" s="97">
        <v>2</v>
      </c>
      <c r="P1308" s="97" t="s">
        <v>556</v>
      </c>
      <c r="Q1308" s="97" t="str">
        <f t="shared" si="188"/>
        <v/>
      </c>
      <c r="R1308" t="str">
        <f t="shared" si="189"/>
        <v/>
      </c>
    </row>
    <row r="1309" spans="3:18">
      <c r="C1309" t="str">
        <f t="shared" si="190"/>
        <v/>
      </c>
      <c r="D1309" s="36">
        <v>49</v>
      </c>
      <c r="E1309" s="97">
        <v>35</v>
      </c>
      <c r="F1309" s="366">
        <f t="shared" si="186"/>
        <v>759.5</v>
      </c>
      <c r="G1309" s="97">
        <v>1735</v>
      </c>
      <c r="H1309" s="367">
        <f t="shared" si="187"/>
        <v>2494.5</v>
      </c>
      <c r="I1309" s="368">
        <f t="shared" si="191"/>
        <v>0</v>
      </c>
      <c r="J1309" s="97">
        <v>4449</v>
      </c>
      <c r="K1309" s="367">
        <f t="shared" si="192"/>
        <v>3177.8571428571431</v>
      </c>
      <c r="L1309" s="97">
        <v>0.69000000000000006</v>
      </c>
      <c r="M1309" s="97">
        <v>9.7999999999999989</v>
      </c>
      <c r="N1309" s="97">
        <v>25</v>
      </c>
      <c r="O1309" s="97">
        <v>2</v>
      </c>
      <c r="P1309" s="97" t="s">
        <v>514</v>
      </c>
      <c r="Q1309" s="97" t="str">
        <f t="shared" si="188"/>
        <v/>
      </c>
      <c r="R1309" t="str">
        <f t="shared" si="189"/>
        <v/>
      </c>
    </row>
    <row r="1310" spans="3:18">
      <c r="C1310" t="str">
        <f t="shared" si="190"/>
        <v/>
      </c>
      <c r="D1310" s="36">
        <v>50</v>
      </c>
      <c r="E1310" s="97">
        <v>35</v>
      </c>
      <c r="F1310" s="366">
        <f t="shared" si="186"/>
        <v>759.5</v>
      </c>
      <c r="G1310" s="97">
        <v>1808</v>
      </c>
      <c r="H1310" s="367">
        <f t="shared" si="187"/>
        <v>2567.5</v>
      </c>
      <c r="I1310" s="368">
        <f t="shared" si="191"/>
        <v>0</v>
      </c>
      <c r="J1310" s="97">
        <v>4636</v>
      </c>
      <c r="K1310" s="367">
        <f t="shared" si="192"/>
        <v>3311.4285714285716</v>
      </c>
      <c r="L1310" s="97">
        <v>1.03</v>
      </c>
      <c r="M1310" s="97">
        <v>9.7999999999999989</v>
      </c>
      <c r="N1310" s="97">
        <v>24</v>
      </c>
      <c r="O1310" s="97">
        <v>2</v>
      </c>
      <c r="P1310" s="97" t="s">
        <v>555</v>
      </c>
      <c r="Q1310" s="97" t="str">
        <f t="shared" si="188"/>
        <v/>
      </c>
      <c r="R1310" t="str">
        <f t="shared" si="189"/>
        <v/>
      </c>
    </row>
    <row r="1311" spans="3:18">
      <c r="C1311" t="str">
        <f t="shared" si="190"/>
        <v>NL</v>
      </c>
      <c r="D1311" s="36">
        <v>51</v>
      </c>
      <c r="E1311" s="97">
        <v>35</v>
      </c>
      <c r="F1311" s="366">
        <f t="shared" si="186"/>
        <v>759.5</v>
      </c>
      <c r="G1311" s="97">
        <v>1714</v>
      </c>
      <c r="H1311" s="367">
        <f t="shared" si="187"/>
        <v>2473.5</v>
      </c>
      <c r="I1311" s="368">
        <f t="shared" si="191"/>
        <v>0</v>
      </c>
      <c r="J1311" s="97">
        <v>4395</v>
      </c>
      <c r="K1311" s="367">
        <f t="shared" si="192"/>
        <v>3139.2857142857142</v>
      </c>
      <c r="L1311" s="97">
        <v>0.29000000000000004</v>
      </c>
      <c r="M1311" s="97">
        <v>1.8</v>
      </c>
      <c r="N1311" s="97">
        <v>21</v>
      </c>
      <c r="O1311" s="97">
        <v>3</v>
      </c>
      <c r="P1311" s="97" t="s">
        <v>514</v>
      </c>
      <c r="Q1311" s="97" t="str">
        <f t="shared" si="188"/>
        <v/>
      </c>
      <c r="R1311" t="str">
        <f t="shared" si="189"/>
        <v/>
      </c>
    </row>
    <row r="1312" spans="3:18">
      <c r="C1312" t="str">
        <f t="shared" si="190"/>
        <v>NL</v>
      </c>
      <c r="D1312" s="36">
        <v>52</v>
      </c>
      <c r="E1312" s="97">
        <v>35</v>
      </c>
      <c r="F1312" s="366">
        <f t="shared" si="186"/>
        <v>759.5</v>
      </c>
      <c r="G1312" s="97">
        <v>1872</v>
      </c>
      <c r="H1312" s="367">
        <f t="shared" si="187"/>
        <v>2631.5</v>
      </c>
      <c r="I1312" s="368">
        <f t="shared" si="191"/>
        <v>0</v>
      </c>
      <c r="J1312" s="97">
        <v>4799</v>
      </c>
      <c r="K1312" s="367">
        <f t="shared" si="192"/>
        <v>3427.8571428571431</v>
      </c>
      <c r="L1312" s="97">
        <v>0.43</v>
      </c>
      <c r="M1312" s="97">
        <v>1.8</v>
      </c>
      <c r="N1312" s="97">
        <v>19</v>
      </c>
      <c r="O1312" s="97">
        <v>3</v>
      </c>
      <c r="P1312" s="97" t="s">
        <v>555</v>
      </c>
      <c r="Q1312" s="97" t="str">
        <f t="shared" si="188"/>
        <v/>
      </c>
      <c r="R1312" t="str">
        <f t="shared" si="189"/>
        <v/>
      </c>
    </row>
    <row r="1313" spans="3:18">
      <c r="C1313" t="str">
        <f t="shared" si="190"/>
        <v>NL</v>
      </c>
      <c r="D1313" s="36">
        <v>53</v>
      </c>
      <c r="E1313" s="97">
        <v>35</v>
      </c>
      <c r="F1313" s="366">
        <f t="shared" si="186"/>
        <v>759.5</v>
      </c>
      <c r="G1313" s="97">
        <v>2404</v>
      </c>
      <c r="H1313" s="367">
        <f t="shared" si="187"/>
        <v>3163.5</v>
      </c>
      <c r="I1313" s="368">
        <f t="shared" si="191"/>
        <v>0</v>
      </c>
      <c r="J1313" s="97">
        <v>6162</v>
      </c>
      <c r="K1313" s="367">
        <f t="shared" si="192"/>
        <v>4401.4285714285716</v>
      </c>
      <c r="L1313" s="97">
        <v>0.96</v>
      </c>
      <c r="M1313" s="97">
        <v>1.8</v>
      </c>
      <c r="N1313" s="97">
        <v>25</v>
      </c>
      <c r="O1313" s="97">
        <v>3</v>
      </c>
      <c r="P1313" s="97" t="s">
        <v>513</v>
      </c>
      <c r="Q1313" s="97" t="str">
        <f t="shared" si="188"/>
        <v/>
      </c>
      <c r="R1313" t="str">
        <f t="shared" si="189"/>
        <v/>
      </c>
    </row>
    <row r="1314" spans="3:18">
      <c r="C1314" t="str">
        <f t="shared" si="190"/>
        <v>NL</v>
      </c>
      <c r="D1314" s="36">
        <v>54</v>
      </c>
      <c r="E1314" s="97">
        <v>35</v>
      </c>
      <c r="F1314" s="366">
        <f t="shared" si="186"/>
        <v>759.5</v>
      </c>
      <c r="G1314" s="97">
        <v>2404</v>
      </c>
      <c r="H1314" s="367">
        <f t="shared" si="187"/>
        <v>3163.5</v>
      </c>
      <c r="I1314" s="368">
        <f t="shared" si="191"/>
        <v>0</v>
      </c>
      <c r="J1314" s="97">
        <v>6162</v>
      </c>
      <c r="K1314" s="367">
        <f t="shared" si="192"/>
        <v>4401.4285714285716</v>
      </c>
      <c r="L1314" s="97">
        <v>0.96</v>
      </c>
      <c r="M1314" s="97">
        <v>1.8</v>
      </c>
      <c r="N1314" s="97">
        <v>25</v>
      </c>
      <c r="O1314" s="97">
        <v>3</v>
      </c>
      <c r="P1314" s="97" t="s">
        <v>513</v>
      </c>
      <c r="Q1314" s="97" t="str">
        <f t="shared" si="188"/>
        <v/>
      </c>
      <c r="R1314" t="str">
        <f t="shared" si="189"/>
        <v/>
      </c>
    </row>
    <row r="1315" spans="3:18">
      <c r="C1315" t="str">
        <f t="shared" si="190"/>
        <v/>
      </c>
      <c r="D1315" s="36">
        <v>55</v>
      </c>
      <c r="E1315" s="97">
        <v>35</v>
      </c>
      <c r="F1315" s="366">
        <f t="shared" si="186"/>
        <v>759.5</v>
      </c>
      <c r="G1315" s="97">
        <v>1809</v>
      </c>
      <c r="H1315" s="367">
        <f t="shared" si="187"/>
        <v>2568.5</v>
      </c>
      <c r="I1315" s="368">
        <f t="shared" si="191"/>
        <v>0</v>
      </c>
      <c r="J1315" s="97">
        <v>4638</v>
      </c>
      <c r="K1315" s="367">
        <f t="shared" si="192"/>
        <v>3312.8571428571431</v>
      </c>
      <c r="L1315" s="97">
        <v>0.24000000000000002</v>
      </c>
      <c r="M1315" s="97">
        <v>2.3000000000000003</v>
      </c>
      <c r="N1315" s="97">
        <v>17</v>
      </c>
      <c r="O1315" s="97">
        <v>4</v>
      </c>
      <c r="P1315" s="97" t="s">
        <v>555</v>
      </c>
      <c r="Q1315" s="97" t="str">
        <f t="shared" si="188"/>
        <v/>
      </c>
      <c r="R1315" t="str">
        <f t="shared" si="189"/>
        <v/>
      </c>
    </row>
    <row r="1316" spans="3:18">
      <c r="C1316" t="str">
        <f t="shared" si="190"/>
        <v/>
      </c>
      <c r="D1316" s="36">
        <v>56</v>
      </c>
      <c r="E1316" s="97">
        <v>35</v>
      </c>
      <c r="F1316" s="366">
        <f t="shared" si="186"/>
        <v>759.5</v>
      </c>
      <c r="G1316" s="97">
        <v>2407</v>
      </c>
      <c r="H1316" s="367">
        <f t="shared" si="187"/>
        <v>3166.5</v>
      </c>
      <c r="I1316" s="368">
        <f t="shared" si="191"/>
        <v>0</v>
      </c>
      <c r="J1316" s="97">
        <v>6171</v>
      </c>
      <c r="K1316" s="367">
        <f t="shared" si="192"/>
        <v>4407.8571428571431</v>
      </c>
      <c r="L1316" s="97">
        <v>0.54</v>
      </c>
      <c r="M1316" s="97">
        <v>2.3000000000000003</v>
      </c>
      <c r="N1316" s="97">
        <v>23</v>
      </c>
      <c r="O1316" s="97">
        <v>4</v>
      </c>
      <c r="P1316" s="97" t="s">
        <v>513</v>
      </c>
      <c r="Q1316" s="97">
        <f t="shared" si="188"/>
        <v>56</v>
      </c>
      <c r="R1316">
        <f t="shared" si="189"/>
        <v>56</v>
      </c>
    </row>
    <row r="1317" spans="3:18">
      <c r="C1317" t="str">
        <f t="shared" si="190"/>
        <v>NL</v>
      </c>
      <c r="D1317" s="36">
        <v>57</v>
      </c>
      <c r="E1317" s="97">
        <v>35</v>
      </c>
      <c r="F1317" s="366">
        <f t="shared" si="186"/>
        <v>759.5</v>
      </c>
      <c r="G1317" s="97">
        <v>2524</v>
      </c>
      <c r="H1317" s="367">
        <f t="shared" si="187"/>
        <v>3283.5</v>
      </c>
      <c r="I1317" s="368">
        <f t="shared" si="191"/>
        <v>0</v>
      </c>
      <c r="J1317" s="97">
        <v>6471</v>
      </c>
      <c r="K1317" s="367">
        <f t="shared" si="192"/>
        <v>4622.1428571428569</v>
      </c>
      <c r="L1317" s="97">
        <v>0.34</v>
      </c>
      <c r="M1317" s="97">
        <v>2.8000000000000003</v>
      </c>
      <c r="N1317" s="97">
        <v>21</v>
      </c>
      <c r="O1317" s="97">
        <v>5</v>
      </c>
      <c r="P1317" s="97" t="s">
        <v>513</v>
      </c>
      <c r="Q1317" s="97" t="str">
        <f t="shared" si="188"/>
        <v/>
      </c>
      <c r="R1317" t="str">
        <f t="shared" si="189"/>
        <v/>
      </c>
    </row>
    <row r="1318" spans="3:18">
      <c r="C1318" t="str">
        <f t="shared" si="190"/>
        <v>NL</v>
      </c>
      <c r="D1318" s="36">
        <v>58</v>
      </c>
      <c r="E1318" s="97">
        <v>35</v>
      </c>
      <c r="F1318" s="366">
        <f t="shared" si="186"/>
        <v>759.5</v>
      </c>
      <c r="G1318" s="97">
        <v>3045</v>
      </c>
      <c r="H1318" s="367">
        <f t="shared" si="187"/>
        <v>3804.5</v>
      </c>
      <c r="I1318" s="368">
        <f t="shared" si="191"/>
        <v>0</v>
      </c>
      <c r="J1318" s="97">
        <v>7805</v>
      </c>
      <c r="K1318" s="367">
        <f t="shared" si="192"/>
        <v>5575</v>
      </c>
      <c r="L1318" s="97">
        <v>0.68</v>
      </c>
      <c r="M1318" s="97">
        <v>2.8000000000000003</v>
      </c>
      <c r="N1318" s="97">
        <v>22</v>
      </c>
      <c r="O1318" s="97">
        <v>5</v>
      </c>
      <c r="P1318" s="97" t="s">
        <v>512</v>
      </c>
      <c r="Q1318" s="97" t="str">
        <f t="shared" si="188"/>
        <v/>
      </c>
      <c r="R1318" t="str">
        <f t="shared" si="189"/>
        <v/>
      </c>
    </row>
    <row r="1319" spans="3:18">
      <c r="C1319" t="str">
        <f t="shared" si="190"/>
        <v/>
      </c>
      <c r="D1319" s="36">
        <v>59</v>
      </c>
      <c r="E1319" s="97">
        <v>35</v>
      </c>
      <c r="F1319" s="366">
        <f t="shared" si="186"/>
        <v>759.5</v>
      </c>
      <c r="G1319" s="97">
        <v>2529</v>
      </c>
      <c r="H1319" s="367">
        <f t="shared" si="187"/>
        <v>3288.5</v>
      </c>
      <c r="I1319" s="368">
        <f t="shared" si="191"/>
        <v>0</v>
      </c>
      <c r="J1319" s="97">
        <v>6483</v>
      </c>
      <c r="K1319" s="367">
        <f t="shared" si="192"/>
        <v>4630.7142857142862</v>
      </c>
      <c r="L1319" s="97">
        <v>0.24000000000000002</v>
      </c>
      <c r="M1319" s="97">
        <v>3.4</v>
      </c>
      <c r="N1319" s="97">
        <v>19</v>
      </c>
      <c r="O1319" s="97">
        <v>6</v>
      </c>
      <c r="P1319" s="97" t="s">
        <v>513</v>
      </c>
      <c r="Q1319" s="97">
        <f t="shared" si="188"/>
        <v>59</v>
      </c>
      <c r="R1319" t="str">
        <f t="shared" si="189"/>
        <v/>
      </c>
    </row>
    <row r="1320" spans="3:18">
      <c r="C1320" t="str">
        <f t="shared" si="190"/>
        <v/>
      </c>
      <c r="D1320" s="36">
        <v>60</v>
      </c>
      <c r="E1320" s="97">
        <v>35</v>
      </c>
      <c r="F1320" s="366">
        <f t="shared" si="186"/>
        <v>759.5</v>
      </c>
      <c r="G1320" s="97">
        <v>3140</v>
      </c>
      <c r="H1320" s="367">
        <f t="shared" si="187"/>
        <v>3899.5</v>
      </c>
      <c r="I1320" s="368">
        <f t="shared" si="191"/>
        <v>0</v>
      </c>
      <c r="J1320" s="97">
        <v>8050</v>
      </c>
      <c r="K1320" s="367">
        <f t="shared" si="192"/>
        <v>5750</v>
      </c>
      <c r="L1320" s="97">
        <v>0.46</v>
      </c>
      <c r="M1320" s="97">
        <v>3.4</v>
      </c>
      <c r="N1320" s="97">
        <v>20</v>
      </c>
      <c r="O1320" s="97">
        <v>6</v>
      </c>
      <c r="P1320" s="97" t="s">
        <v>512</v>
      </c>
      <c r="Q1320" s="97">
        <f t="shared" si="188"/>
        <v>60</v>
      </c>
      <c r="R1320" t="str">
        <f t="shared" si="189"/>
        <v/>
      </c>
    </row>
    <row r="1321" spans="3:18">
      <c r="C1321" t="str">
        <f t="shared" si="190"/>
        <v>NL</v>
      </c>
      <c r="D1321" s="36">
        <v>61</v>
      </c>
      <c r="E1321" s="97">
        <v>35</v>
      </c>
      <c r="F1321" s="366">
        <f t="shared" si="186"/>
        <v>759.5</v>
      </c>
      <c r="G1321" s="97">
        <v>2872</v>
      </c>
      <c r="H1321" s="367">
        <f t="shared" si="187"/>
        <v>3631.5</v>
      </c>
      <c r="I1321" s="368">
        <f t="shared" si="191"/>
        <v>0</v>
      </c>
      <c r="J1321" s="97">
        <v>7363</v>
      </c>
      <c r="K1321" s="367">
        <f t="shared" si="192"/>
        <v>5259.2857142857147</v>
      </c>
      <c r="L1321" s="97">
        <v>0.18000000000000002</v>
      </c>
      <c r="M1321" s="97">
        <v>3.9</v>
      </c>
      <c r="N1321" s="97">
        <v>18</v>
      </c>
      <c r="O1321" s="97">
        <v>7</v>
      </c>
      <c r="P1321" s="97" t="s">
        <v>513</v>
      </c>
      <c r="Q1321" s="97" t="str">
        <f t="shared" si="188"/>
        <v/>
      </c>
      <c r="R1321" t="str">
        <f t="shared" si="189"/>
        <v/>
      </c>
    </row>
    <row r="1322" spans="3:18">
      <c r="C1322" t="str">
        <f t="shared" si="190"/>
        <v>NL</v>
      </c>
      <c r="D1322" s="36">
        <v>62</v>
      </c>
      <c r="E1322" s="97">
        <v>35</v>
      </c>
      <c r="F1322" s="366">
        <f t="shared" si="186"/>
        <v>759.5</v>
      </c>
      <c r="G1322" s="97">
        <v>3431</v>
      </c>
      <c r="H1322" s="367">
        <f t="shared" si="187"/>
        <v>4190.5</v>
      </c>
      <c r="I1322" s="368">
        <f t="shared" si="191"/>
        <v>0</v>
      </c>
      <c r="J1322" s="97">
        <v>8797</v>
      </c>
      <c r="K1322" s="367">
        <f t="shared" si="192"/>
        <v>6283.5714285714284</v>
      </c>
      <c r="L1322" s="97">
        <v>0.35000000000000003</v>
      </c>
      <c r="M1322" s="97">
        <v>3.9</v>
      </c>
      <c r="N1322" s="97">
        <v>19</v>
      </c>
      <c r="O1322" s="97">
        <v>7</v>
      </c>
      <c r="P1322" s="97" t="s">
        <v>512</v>
      </c>
      <c r="Q1322" s="97" t="str">
        <f t="shared" si="188"/>
        <v/>
      </c>
      <c r="R1322" t="str">
        <f t="shared" si="189"/>
        <v/>
      </c>
    </row>
    <row r="1323" spans="3:18">
      <c r="C1323" t="str">
        <f t="shared" si="190"/>
        <v/>
      </c>
      <c r="D1323" s="36">
        <v>63</v>
      </c>
      <c r="E1323" s="97">
        <v>35</v>
      </c>
      <c r="F1323" s="366">
        <f t="shared" si="186"/>
        <v>759.5</v>
      </c>
      <c r="G1323" s="97">
        <v>3649</v>
      </c>
      <c r="H1323" s="367">
        <f t="shared" si="187"/>
        <v>4408.5</v>
      </c>
      <c r="I1323" s="368">
        <f t="shared" si="191"/>
        <v>0</v>
      </c>
      <c r="J1323" s="97">
        <v>9354</v>
      </c>
      <c r="K1323" s="367">
        <f t="shared" si="192"/>
        <v>6681.4285714285716</v>
      </c>
      <c r="L1323" s="97">
        <v>0.27</v>
      </c>
      <c r="M1323" s="97">
        <v>4.3999999999999995</v>
      </c>
      <c r="N1323" s="97">
        <v>18</v>
      </c>
      <c r="O1323" s="97">
        <v>8</v>
      </c>
      <c r="P1323" s="97" t="s">
        <v>512</v>
      </c>
      <c r="Q1323" s="97">
        <f t="shared" si="188"/>
        <v>63</v>
      </c>
      <c r="R1323" t="str">
        <f t="shared" si="189"/>
        <v/>
      </c>
    </row>
    <row r="1324" spans="3:18">
      <c r="C1324" t="str">
        <f t="shared" si="190"/>
        <v/>
      </c>
      <c r="D1324" s="36">
        <v>64</v>
      </c>
      <c r="E1324" s="97">
        <v>35</v>
      </c>
      <c r="F1324" s="366">
        <f t="shared" si="186"/>
        <v>759.5</v>
      </c>
      <c r="G1324" s="97">
        <v>3912</v>
      </c>
      <c r="H1324" s="367">
        <f t="shared" si="187"/>
        <v>4671.5</v>
      </c>
      <c r="I1324" s="368">
        <f t="shared" si="191"/>
        <v>0</v>
      </c>
      <c r="J1324" s="97">
        <v>10029</v>
      </c>
      <c r="K1324" s="367">
        <f t="shared" si="192"/>
        <v>7163.5714285714284</v>
      </c>
      <c r="L1324" s="97">
        <v>0.18000000000000002</v>
      </c>
      <c r="M1324" s="97">
        <v>5.3999999999999995</v>
      </c>
      <c r="N1324" s="97">
        <v>16</v>
      </c>
      <c r="O1324" s="97">
        <v>10</v>
      </c>
      <c r="P1324" s="97" t="s">
        <v>512</v>
      </c>
      <c r="Q1324" s="97" t="str">
        <f t="shared" si="188"/>
        <v/>
      </c>
      <c r="R1324" t="str">
        <f t="shared" si="189"/>
        <v/>
      </c>
    </row>
    <row r="1325" spans="3:18">
      <c r="C1325" t="str">
        <f t="shared" si="190"/>
        <v/>
      </c>
      <c r="D1325" s="36">
        <v>65</v>
      </c>
      <c r="E1325" s="97">
        <v>40</v>
      </c>
      <c r="F1325" s="366">
        <f t="shared" ref="F1325:F1388" si="193">1.085*($A$2-$B$2)*E1325*$T$7</f>
        <v>868</v>
      </c>
      <c r="G1325" s="97">
        <v>1317</v>
      </c>
      <c r="H1325" s="367">
        <f t="shared" ref="H1325:H1388" si="194">(G1325*$U$7)+F1325</f>
        <v>2185</v>
      </c>
      <c r="I1325" s="368">
        <f t="shared" si="191"/>
        <v>0</v>
      </c>
      <c r="J1325" s="97">
        <v>3376</v>
      </c>
      <c r="K1325" s="367">
        <f t="shared" si="192"/>
        <v>2411.4285714285716</v>
      </c>
      <c r="L1325" s="97">
        <v>0.26</v>
      </c>
      <c r="M1325" s="97">
        <v>9.7999999999999989</v>
      </c>
      <c r="N1325" s="97">
        <v>18</v>
      </c>
      <c r="O1325" s="97">
        <v>2</v>
      </c>
      <c r="P1325" s="97" t="s">
        <v>515</v>
      </c>
      <c r="Q1325" s="97" t="str">
        <f t="shared" ref="Q1325:Q1388" si="195">IF(AND(H1325+1&gt;$E$4,L1325&lt;$L$4+0.01,M1325&lt;$M$4+0.01,K1325+1&gt;$F$4,E1325+1&gt;$J$4,N1325&lt;$K$4+1,O1325&lt;$P$4+1,C1325=""),D1325,"")</f>
        <v/>
      </c>
      <c r="R1325" t="str">
        <f t="shared" ref="R1325:R1388" si="196">IF(Q1325="","",IF(AND(O1325&lt;$X$16,E1325&gt;$U$16,E1325&lt;$Q$4+$U$16+1),D1325,""))</f>
        <v/>
      </c>
    </row>
    <row r="1326" spans="3:18">
      <c r="C1326" t="str">
        <f t="shared" si="190"/>
        <v/>
      </c>
      <c r="D1326" s="36">
        <v>66</v>
      </c>
      <c r="E1326" s="97">
        <v>40</v>
      </c>
      <c r="F1326" s="366">
        <f t="shared" si="193"/>
        <v>868</v>
      </c>
      <c r="G1326" s="97">
        <v>1574</v>
      </c>
      <c r="H1326" s="367">
        <f t="shared" si="194"/>
        <v>2442</v>
      </c>
      <c r="I1326" s="368">
        <f t="shared" si="191"/>
        <v>0</v>
      </c>
      <c r="J1326" s="97">
        <v>4035</v>
      </c>
      <c r="K1326" s="367">
        <f t="shared" si="192"/>
        <v>2882.1428571428573</v>
      </c>
      <c r="L1326" s="97">
        <v>0.43</v>
      </c>
      <c r="M1326" s="97">
        <v>9.7999999999999989</v>
      </c>
      <c r="N1326" s="97">
        <v>21</v>
      </c>
      <c r="O1326" s="97">
        <v>2</v>
      </c>
      <c r="P1326" s="97" t="s">
        <v>556</v>
      </c>
      <c r="Q1326" s="97" t="str">
        <f t="shared" si="195"/>
        <v/>
      </c>
      <c r="R1326" t="str">
        <f t="shared" si="196"/>
        <v/>
      </c>
    </row>
    <row r="1327" spans="3:18">
      <c r="C1327" t="str">
        <f t="shared" si="190"/>
        <v/>
      </c>
      <c r="D1327" s="36">
        <v>67</v>
      </c>
      <c r="E1327" s="97">
        <v>40</v>
      </c>
      <c r="F1327" s="366">
        <f t="shared" si="193"/>
        <v>868</v>
      </c>
      <c r="G1327" s="97">
        <v>1893</v>
      </c>
      <c r="H1327" s="367">
        <f t="shared" si="194"/>
        <v>2761</v>
      </c>
      <c r="I1327" s="368">
        <f t="shared" si="191"/>
        <v>0</v>
      </c>
      <c r="J1327" s="97">
        <v>4854</v>
      </c>
      <c r="K1327" s="367">
        <f t="shared" si="192"/>
        <v>3467.1428571428573</v>
      </c>
      <c r="L1327" s="97">
        <v>0.9</v>
      </c>
      <c r="M1327" s="97">
        <v>9.7999999999999989</v>
      </c>
      <c r="N1327" s="97">
        <v>27</v>
      </c>
      <c r="O1327" s="97">
        <v>2</v>
      </c>
      <c r="P1327" s="97" t="s">
        <v>514</v>
      </c>
      <c r="Q1327" s="97" t="str">
        <f t="shared" si="195"/>
        <v/>
      </c>
      <c r="R1327" t="str">
        <f t="shared" si="196"/>
        <v/>
      </c>
    </row>
    <row r="1328" spans="3:18">
      <c r="C1328" t="str">
        <f t="shared" si="190"/>
        <v>NL</v>
      </c>
      <c r="D1328" s="36">
        <v>68</v>
      </c>
      <c r="E1328" s="97">
        <v>40</v>
      </c>
      <c r="F1328" s="366">
        <f t="shared" si="193"/>
        <v>868</v>
      </c>
      <c r="G1328" s="97">
        <v>1537</v>
      </c>
      <c r="H1328" s="367">
        <f t="shared" si="194"/>
        <v>2405</v>
      </c>
      <c r="I1328" s="368">
        <f t="shared" si="191"/>
        <v>0</v>
      </c>
      <c r="J1328" s="97">
        <v>3941</v>
      </c>
      <c r="K1328" s="367">
        <f t="shared" si="192"/>
        <v>2815</v>
      </c>
      <c r="L1328" s="97">
        <v>0.18000000000000002</v>
      </c>
      <c r="M1328" s="97">
        <v>1.8</v>
      </c>
      <c r="N1328" s="97">
        <v>17</v>
      </c>
      <c r="O1328" s="97">
        <v>3</v>
      </c>
      <c r="P1328" s="97" t="s">
        <v>556</v>
      </c>
      <c r="Q1328" s="97" t="str">
        <f t="shared" si="195"/>
        <v/>
      </c>
      <c r="R1328" t="str">
        <f t="shared" si="196"/>
        <v/>
      </c>
    </row>
    <row r="1329" spans="3:18">
      <c r="C1329" t="str">
        <f t="shared" si="190"/>
        <v>NL</v>
      </c>
      <c r="D1329" s="36">
        <v>69</v>
      </c>
      <c r="E1329" s="97">
        <v>40</v>
      </c>
      <c r="F1329" s="366">
        <f t="shared" si="193"/>
        <v>868</v>
      </c>
      <c r="G1329" s="97">
        <v>1988</v>
      </c>
      <c r="H1329" s="367">
        <f t="shared" si="194"/>
        <v>2856</v>
      </c>
      <c r="I1329" s="368">
        <f t="shared" si="191"/>
        <v>0</v>
      </c>
      <c r="J1329" s="97">
        <v>5097</v>
      </c>
      <c r="K1329" s="367">
        <f t="shared" si="192"/>
        <v>3640.7142857142858</v>
      </c>
      <c r="L1329" s="97">
        <v>0.38</v>
      </c>
      <c r="M1329" s="97">
        <v>1.8</v>
      </c>
      <c r="N1329" s="97">
        <v>22</v>
      </c>
      <c r="O1329" s="97">
        <v>3</v>
      </c>
      <c r="P1329" s="97" t="s">
        <v>514</v>
      </c>
      <c r="Q1329" s="97" t="str">
        <f t="shared" si="195"/>
        <v/>
      </c>
      <c r="R1329" t="str">
        <f t="shared" si="196"/>
        <v/>
      </c>
    </row>
    <row r="1330" spans="3:18">
      <c r="C1330" t="str">
        <f t="shared" si="190"/>
        <v>NL</v>
      </c>
      <c r="D1330" s="36">
        <v>70</v>
      </c>
      <c r="E1330" s="97">
        <v>40</v>
      </c>
      <c r="F1330" s="366">
        <f t="shared" si="193"/>
        <v>868</v>
      </c>
      <c r="G1330" s="97">
        <v>2152</v>
      </c>
      <c r="H1330" s="367">
        <f t="shared" si="194"/>
        <v>3020</v>
      </c>
      <c r="I1330" s="368">
        <f t="shared" si="191"/>
        <v>0</v>
      </c>
      <c r="J1330" s="97">
        <v>5517</v>
      </c>
      <c r="K1330" s="367">
        <f t="shared" si="192"/>
        <v>3940.7142857142858</v>
      </c>
      <c r="L1330" s="97">
        <v>0.56000000000000005</v>
      </c>
      <c r="M1330" s="97">
        <v>1.8</v>
      </c>
      <c r="N1330" s="97">
        <v>21</v>
      </c>
      <c r="O1330" s="97">
        <v>3</v>
      </c>
      <c r="P1330" s="97" t="s">
        <v>555</v>
      </c>
      <c r="Q1330" s="97" t="str">
        <f t="shared" si="195"/>
        <v/>
      </c>
      <c r="R1330" t="str">
        <f t="shared" si="196"/>
        <v/>
      </c>
    </row>
    <row r="1331" spans="3:18">
      <c r="C1331" t="str">
        <f t="shared" si="190"/>
        <v/>
      </c>
      <c r="D1331" s="36">
        <v>71</v>
      </c>
      <c r="E1331" s="97">
        <v>40</v>
      </c>
      <c r="F1331" s="366">
        <f t="shared" si="193"/>
        <v>868</v>
      </c>
      <c r="G1331" s="97">
        <v>1885</v>
      </c>
      <c r="H1331" s="367">
        <f t="shared" si="194"/>
        <v>2753</v>
      </c>
      <c r="I1331" s="368">
        <f t="shared" si="191"/>
        <v>0</v>
      </c>
      <c r="J1331" s="97">
        <v>4832</v>
      </c>
      <c r="K1331" s="367">
        <f t="shared" si="192"/>
        <v>3451.4285714285716</v>
      </c>
      <c r="L1331" s="97">
        <v>0.21000000000000002</v>
      </c>
      <c r="M1331" s="97">
        <v>2.3000000000000003</v>
      </c>
      <c r="N1331" s="97">
        <v>20</v>
      </c>
      <c r="O1331" s="97">
        <v>4</v>
      </c>
      <c r="P1331" s="97" t="s">
        <v>514</v>
      </c>
      <c r="Q1331" s="97" t="str">
        <f t="shared" si="195"/>
        <v/>
      </c>
      <c r="R1331" t="str">
        <f t="shared" si="196"/>
        <v/>
      </c>
    </row>
    <row r="1332" spans="3:18">
      <c r="C1332" t="str">
        <f t="shared" si="190"/>
        <v/>
      </c>
      <c r="D1332" s="36">
        <v>72</v>
      </c>
      <c r="E1332" s="97">
        <v>40</v>
      </c>
      <c r="F1332" s="366">
        <f t="shared" si="193"/>
        <v>868</v>
      </c>
      <c r="G1332" s="97">
        <v>2038</v>
      </c>
      <c r="H1332" s="367">
        <f t="shared" si="194"/>
        <v>2906</v>
      </c>
      <c r="I1332" s="368">
        <f t="shared" si="191"/>
        <v>0</v>
      </c>
      <c r="J1332" s="97">
        <v>5225</v>
      </c>
      <c r="K1332" s="367">
        <f t="shared" si="192"/>
        <v>3732.1428571428573</v>
      </c>
      <c r="L1332" s="97">
        <v>0.32</v>
      </c>
      <c r="M1332" s="97">
        <v>2.3000000000000003</v>
      </c>
      <c r="N1332" s="97">
        <v>19</v>
      </c>
      <c r="O1332" s="97">
        <v>4</v>
      </c>
      <c r="P1332" s="97" t="s">
        <v>555</v>
      </c>
      <c r="Q1332" s="97" t="str">
        <f t="shared" si="195"/>
        <v/>
      </c>
      <c r="R1332" t="str">
        <f t="shared" si="196"/>
        <v/>
      </c>
    </row>
    <row r="1333" spans="3:18">
      <c r="C1333" t="str">
        <f t="shared" si="190"/>
        <v/>
      </c>
      <c r="D1333" s="36">
        <v>73</v>
      </c>
      <c r="E1333" s="97">
        <v>40</v>
      </c>
      <c r="F1333" s="366">
        <f t="shared" si="193"/>
        <v>868</v>
      </c>
      <c r="G1333" s="97">
        <v>2785</v>
      </c>
      <c r="H1333" s="367">
        <f t="shared" si="194"/>
        <v>3653</v>
      </c>
      <c r="I1333" s="368">
        <f t="shared" si="191"/>
        <v>0</v>
      </c>
      <c r="J1333" s="97">
        <v>7139</v>
      </c>
      <c r="K1333" s="367">
        <f t="shared" si="192"/>
        <v>5099.2857142857147</v>
      </c>
      <c r="L1333" s="97">
        <v>0.7</v>
      </c>
      <c r="M1333" s="97">
        <v>2.3000000000000003</v>
      </c>
      <c r="N1333" s="97">
        <v>25</v>
      </c>
      <c r="O1333" s="97">
        <v>4</v>
      </c>
      <c r="P1333" s="97" t="s">
        <v>513</v>
      </c>
      <c r="Q1333" s="97">
        <f t="shared" si="195"/>
        <v>73</v>
      </c>
      <c r="R1333" t="str">
        <f t="shared" si="196"/>
        <v/>
      </c>
    </row>
    <row r="1334" spans="3:18">
      <c r="C1334" t="str">
        <f t="shared" si="190"/>
        <v>NL</v>
      </c>
      <c r="D1334" s="36">
        <v>74</v>
      </c>
      <c r="E1334" s="97">
        <v>40</v>
      </c>
      <c r="F1334" s="366">
        <f t="shared" si="193"/>
        <v>868</v>
      </c>
      <c r="G1334" s="97">
        <v>2154</v>
      </c>
      <c r="H1334" s="367">
        <f t="shared" si="194"/>
        <v>3022</v>
      </c>
      <c r="I1334" s="368">
        <f t="shared" si="191"/>
        <v>0</v>
      </c>
      <c r="J1334" s="97">
        <v>5522</v>
      </c>
      <c r="K1334" s="367">
        <f t="shared" si="192"/>
        <v>3944.2857142857142</v>
      </c>
      <c r="L1334" s="97">
        <v>0.2</v>
      </c>
      <c r="M1334" s="97">
        <v>2.8000000000000003</v>
      </c>
      <c r="N1334" s="97">
        <v>17</v>
      </c>
      <c r="O1334" s="97">
        <v>5</v>
      </c>
      <c r="P1334" s="97" t="s">
        <v>555</v>
      </c>
      <c r="Q1334" s="97" t="str">
        <f t="shared" si="195"/>
        <v/>
      </c>
      <c r="R1334" t="str">
        <f t="shared" si="196"/>
        <v/>
      </c>
    </row>
    <row r="1335" spans="3:18">
      <c r="C1335" t="str">
        <f t="shared" si="190"/>
        <v>NL</v>
      </c>
      <c r="D1335" s="36">
        <v>75</v>
      </c>
      <c r="E1335" s="97">
        <v>40</v>
      </c>
      <c r="F1335" s="366">
        <f t="shared" si="193"/>
        <v>868</v>
      </c>
      <c r="G1335" s="97">
        <v>2777</v>
      </c>
      <c r="H1335" s="367">
        <f t="shared" si="194"/>
        <v>3645</v>
      </c>
      <c r="I1335" s="368">
        <f t="shared" si="191"/>
        <v>0</v>
      </c>
      <c r="J1335" s="97">
        <v>7119</v>
      </c>
      <c r="K1335" s="367">
        <f t="shared" si="192"/>
        <v>5085</v>
      </c>
      <c r="L1335" s="97">
        <v>0.44</v>
      </c>
      <c r="M1335" s="97">
        <v>2.8000000000000003</v>
      </c>
      <c r="N1335" s="97">
        <v>22</v>
      </c>
      <c r="O1335" s="97">
        <v>5</v>
      </c>
      <c r="P1335" s="97" t="s">
        <v>513</v>
      </c>
      <c r="Q1335" s="97" t="str">
        <f t="shared" si="195"/>
        <v/>
      </c>
      <c r="R1335" t="str">
        <f t="shared" si="196"/>
        <v/>
      </c>
    </row>
    <row r="1336" spans="3:18">
      <c r="C1336" t="str">
        <f t="shared" si="190"/>
        <v>NL</v>
      </c>
      <c r="D1336" s="36">
        <v>76</v>
      </c>
      <c r="E1336" s="97">
        <v>40</v>
      </c>
      <c r="F1336" s="366">
        <f t="shared" si="193"/>
        <v>868</v>
      </c>
      <c r="G1336" s="97">
        <v>3572</v>
      </c>
      <c r="H1336" s="367">
        <f t="shared" si="194"/>
        <v>4440</v>
      </c>
      <c r="I1336" s="368">
        <f t="shared" si="191"/>
        <v>0</v>
      </c>
      <c r="J1336" s="97">
        <v>9157</v>
      </c>
      <c r="K1336" s="367">
        <f t="shared" si="192"/>
        <v>6540.7142857142862</v>
      </c>
      <c r="L1336" s="97">
        <v>0.88</v>
      </c>
      <c r="M1336" s="97">
        <v>2.8000000000000003</v>
      </c>
      <c r="N1336" s="97">
        <v>24</v>
      </c>
      <c r="O1336" s="97">
        <v>5</v>
      </c>
      <c r="P1336" s="97" t="s">
        <v>512</v>
      </c>
      <c r="Q1336" s="97" t="str">
        <f t="shared" si="195"/>
        <v/>
      </c>
      <c r="R1336" t="str">
        <f t="shared" si="196"/>
        <v/>
      </c>
    </row>
    <row r="1337" spans="3:18">
      <c r="C1337" t="str">
        <f t="shared" si="190"/>
        <v/>
      </c>
      <c r="D1337" s="36">
        <v>77</v>
      </c>
      <c r="E1337" s="97">
        <v>40</v>
      </c>
      <c r="F1337" s="366">
        <f t="shared" si="193"/>
        <v>868</v>
      </c>
      <c r="G1337" s="97">
        <v>2837</v>
      </c>
      <c r="H1337" s="367">
        <f t="shared" si="194"/>
        <v>3705</v>
      </c>
      <c r="I1337" s="368">
        <f t="shared" si="191"/>
        <v>0</v>
      </c>
      <c r="J1337" s="97">
        <v>7272</v>
      </c>
      <c r="K1337" s="367">
        <f t="shared" si="192"/>
        <v>5194.2857142857147</v>
      </c>
      <c r="L1337" s="97">
        <v>0.31</v>
      </c>
      <c r="M1337" s="97">
        <v>3.4</v>
      </c>
      <c r="N1337" s="97">
        <v>21</v>
      </c>
      <c r="O1337" s="97">
        <v>6</v>
      </c>
      <c r="P1337" s="97" t="s">
        <v>513</v>
      </c>
      <c r="Q1337" s="97">
        <f t="shared" si="195"/>
        <v>77</v>
      </c>
      <c r="R1337" t="str">
        <f t="shared" si="196"/>
        <v/>
      </c>
    </row>
    <row r="1338" spans="3:18">
      <c r="C1338" t="str">
        <f t="shared" si="190"/>
        <v/>
      </c>
      <c r="D1338" s="36">
        <v>78</v>
      </c>
      <c r="E1338" s="97">
        <v>40</v>
      </c>
      <c r="F1338" s="366">
        <f t="shared" si="193"/>
        <v>868</v>
      </c>
      <c r="G1338" s="97">
        <v>3494</v>
      </c>
      <c r="H1338" s="367">
        <f t="shared" si="194"/>
        <v>4362</v>
      </c>
      <c r="I1338" s="368">
        <f t="shared" si="191"/>
        <v>0</v>
      </c>
      <c r="J1338" s="97">
        <v>8958</v>
      </c>
      <c r="K1338" s="367">
        <f t="shared" si="192"/>
        <v>6398.5714285714284</v>
      </c>
      <c r="L1338" s="97">
        <v>0.6</v>
      </c>
      <c r="M1338" s="97">
        <v>3.4</v>
      </c>
      <c r="N1338" s="97">
        <v>22</v>
      </c>
      <c r="O1338" s="97">
        <v>6</v>
      </c>
      <c r="P1338" s="97" t="s">
        <v>512</v>
      </c>
      <c r="Q1338" s="97">
        <f t="shared" si="195"/>
        <v>78</v>
      </c>
      <c r="R1338" t="str">
        <f t="shared" si="196"/>
        <v/>
      </c>
    </row>
    <row r="1339" spans="3:18">
      <c r="C1339" t="str">
        <f t="shared" si="190"/>
        <v>NL</v>
      </c>
      <c r="D1339" s="36">
        <v>79</v>
      </c>
      <c r="E1339" s="97">
        <v>40</v>
      </c>
      <c r="F1339" s="366">
        <f t="shared" si="193"/>
        <v>868</v>
      </c>
      <c r="G1339" s="97">
        <v>3149</v>
      </c>
      <c r="H1339" s="367">
        <f t="shared" si="194"/>
        <v>4017</v>
      </c>
      <c r="I1339" s="368">
        <f t="shared" si="191"/>
        <v>0</v>
      </c>
      <c r="J1339" s="97">
        <v>8072</v>
      </c>
      <c r="K1339" s="367">
        <f t="shared" si="192"/>
        <v>5765.7142857142862</v>
      </c>
      <c r="L1339" s="97">
        <v>0.23</v>
      </c>
      <c r="M1339" s="97">
        <v>3.9</v>
      </c>
      <c r="N1339" s="97">
        <v>20</v>
      </c>
      <c r="O1339" s="97">
        <v>7</v>
      </c>
      <c r="P1339" s="97" t="s">
        <v>513</v>
      </c>
      <c r="Q1339" s="97" t="str">
        <f t="shared" si="195"/>
        <v/>
      </c>
      <c r="R1339" t="str">
        <f t="shared" si="196"/>
        <v/>
      </c>
    </row>
    <row r="1340" spans="3:18">
      <c r="C1340" t="str">
        <f t="shared" si="190"/>
        <v>NL</v>
      </c>
      <c r="D1340" s="36">
        <v>80</v>
      </c>
      <c r="E1340" s="97">
        <v>40</v>
      </c>
      <c r="F1340" s="366">
        <f t="shared" si="193"/>
        <v>868</v>
      </c>
      <c r="G1340" s="97">
        <v>3747</v>
      </c>
      <c r="H1340" s="367">
        <f t="shared" si="194"/>
        <v>4615</v>
      </c>
      <c r="I1340" s="368">
        <f t="shared" si="191"/>
        <v>0</v>
      </c>
      <c r="J1340" s="97">
        <v>9606</v>
      </c>
      <c r="K1340" s="367">
        <f t="shared" si="192"/>
        <v>6861.4285714285716</v>
      </c>
      <c r="L1340" s="97">
        <v>0.45</v>
      </c>
      <c r="M1340" s="97">
        <v>3.9</v>
      </c>
      <c r="N1340" s="97">
        <v>20</v>
      </c>
      <c r="O1340" s="97">
        <v>7</v>
      </c>
      <c r="P1340" s="97" t="s">
        <v>512</v>
      </c>
      <c r="Q1340" s="97" t="str">
        <f t="shared" si="195"/>
        <v/>
      </c>
      <c r="R1340" t="str">
        <f t="shared" si="196"/>
        <v/>
      </c>
    </row>
    <row r="1341" spans="3:18">
      <c r="C1341" t="str">
        <f t="shared" si="190"/>
        <v/>
      </c>
      <c r="D1341" s="36">
        <v>81</v>
      </c>
      <c r="E1341" s="97">
        <v>40</v>
      </c>
      <c r="F1341" s="366">
        <f t="shared" si="193"/>
        <v>868</v>
      </c>
      <c r="G1341" s="97">
        <v>3406</v>
      </c>
      <c r="H1341" s="367">
        <f t="shared" si="194"/>
        <v>4274</v>
      </c>
      <c r="I1341" s="368">
        <f t="shared" si="191"/>
        <v>0</v>
      </c>
      <c r="J1341" s="97">
        <v>8731</v>
      </c>
      <c r="K1341" s="367">
        <f t="shared" si="192"/>
        <v>6236.4285714285716</v>
      </c>
      <c r="L1341" s="97">
        <v>0.18000000000000002</v>
      </c>
      <c r="M1341" s="97">
        <v>4.3999999999999995</v>
      </c>
      <c r="N1341" s="97">
        <v>18</v>
      </c>
      <c r="O1341" s="97">
        <v>8</v>
      </c>
      <c r="P1341" s="97" t="s">
        <v>513</v>
      </c>
      <c r="Q1341" s="97">
        <f t="shared" si="195"/>
        <v>81</v>
      </c>
      <c r="R1341" t="str">
        <f t="shared" si="196"/>
        <v/>
      </c>
    </row>
    <row r="1342" spans="3:18">
      <c r="C1342" t="str">
        <f t="shared" si="190"/>
        <v/>
      </c>
      <c r="D1342" s="36">
        <v>82</v>
      </c>
      <c r="E1342" s="97">
        <v>40</v>
      </c>
      <c r="F1342" s="366">
        <f t="shared" si="193"/>
        <v>868</v>
      </c>
      <c r="G1342" s="97">
        <v>3937</v>
      </c>
      <c r="H1342" s="367">
        <f t="shared" si="194"/>
        <v>4805</v>
      </c>
      <c r="I1342" s="368">
        <f t="shared" si="191"/>
        <v>0</v>
      </c>
      <c r="J1342" s="97">
        <v>10092</v>
      </c>
      <c r="K1342" s="367">
        <f t="shared" si="192"/>
        <v>7208.5714285714284</v>
      </c>
      <c r="L1342" s="97">
        <v>0.35000000000000003</v>
      </c>
      <c r="M1342" s="97">
        <v>4.3999999999999995</v>
      </c>
      <c r="N1342" s="97">
        <v>19</v>
      </c>
      <c r="O1342" s="97">
        <v>8</v>
      </c>
      <c r="P1342" s="97" t="s">
        <v>512</v>
      </c>
      <c r="Q1342" s="97">
        <f t="shared" si="195"/>
        <v>82</v>
      </c>
      <c r="R1342" t="str">
        <f t="shared" si="196"/>
        <v/>
      </c>
    </row>
    <row r="1343" spans="3:18">
      <c r="C1343" t="str">
        <f t="shared" si="190"/>
        <v/>
      </c>
      <c r="D1343" s="36">
        <v>83</v>
      </c>
      <c r="E1343" s="97">
        <v>40</v>
      </c>
      <c r="F1343" s="366">
        <f t="shared" si="193"/>
        <v>868</v>
      </c>
      <c r="G1343" s="97">
        <v>4279</v>
      </c>
      <c r="H1343" s="367">
        <f t="shared" si="194"/>
        <v>5147</v>
      </c>
      <c r="I1343" s="368">
        <f t="shared" si="191"/>
        <v>0</v>
      </c>
      <c r="J1343" s="97">
        <v>10970</v>
      </c>
      <c r="K1343" s="367">
        <f t="shared" si="192"/>
        <v>7835.7142857142862</v>
      </c>
      <c r="L1343" s="97">
        <v>0.23</v>
      </c>
      <c r="M1343" s="97">
        <v>5.3999999999999995</v>
      </c>
      <c r="N1343" s="97">
        <v>18</v>
      </c>
      <c r="O1343" s="97">
        <v>10</v>
      </c>
      <c r="P1343" s="97" t="s">
        <v>512</v>
      </c>
      <c r="Q1343" s="97" t="str">
        <f t="shared" si="195"/>
        <v/>
      </c>
      <c r="R1343" t="str">
        <f t="shared" si="196"/>
        <v/>
      </c>
    </row>
    <row r="1344" spans="3:18">
      <c r="C1344" t="str">
        <f t="shared" si="190"/>
        <v/>
      </c>
      <c r="D1344" s="36">
        <v>84</v>
      </c>
      <c r="E1344" s="97">
        <v>45</v>
      </c>
      <c r="F1344" s="366">
        <f t="shared" si="193"/>
        <v>976.5</v>
      </c>
      <c r="G1344" s="97">
        <v>1488</v>
      </c>
      <c r="H1344" s="367">
        <f t="shared" si="194"/>
        <v>2464.5</v>
      </c>
      <c r="I1344" s="368">
        <f t="shared" si="191"/>
        <v>0</v>
      </c>
      <c r="J1344" s="97">
        <v>3814</v>
      </c>
      <c r="K1344" s="367">
        <f t="shared" si="192"/>
        <v>2724.2857142857142</v>
      </c>
      <c r="L1344" s="97">
        <v>0.32</v>
      </c>
      <c r="M1344" s="97">
        <v>9.7999999999999989</v>
      </c>
      <c r="N1344" s="97">
        <v>20</v>
      </c>
      <c r="O1344" s="97">
        <v>2</v>
      </c>
      <c r="P1344" s="97" t="s">
        <v>515</v>
      </c>
      <c r="Q1344" s="97" t="str">
        <f t="shared" si="195"/>
        <v/>
      </c>
      <c r="R1344" t="str">
        <f t="shared" si="196"/>
        <v/>
      </c>
    </row>
    <row r="1345" spans="3:18">
      <c r="C1345" t="str">
        <f t="shared" si="190"/>
        <v/>
      </c>
      <c r="D1345" s="36">
        <v>85</v>
      </c>
      <c r="E1345" s="97">
        <v>45</v>
      </c>
      <c r="F1345" s="366">
        <f t="shared" si="193"/>
        <v>976.5</v>
      </c>
      <c r="G1345" s="97">
        <v>1734</v>
      </c>
      <c r="H1345" s="367">
        <f t="shared" si="194"/>
        <v>2710.5</v>
      </c>
      <c r="I1345" s="368">
        <f t="shared" si="191"/>
        <v>0</v>
      </c>
      <c r="J1345" s="97">
        <v>4445</v>
      </c>
      <c r="K1345" s="367">
        <f t="shared" si="192"/>
        <v>3175</v>
      </c>
      <c r="L1345" s="97">
        <v>0.54</v>
      </c>
      <c r="M1345" s="97">
        <v>9.7999999999999989</v>
      </c>
      <c r="N1345" s="97">
        <v>22</v>
      </c>
      <c r="O1345" s="97">
        <v>2</v>
      </c>
      <c r="P1345" s="97" t="s">
        <v>556</v>
      </c>
      <c r="Q1345" s="97" t="str">
        <f t="shared" si="195"/>
        <v/>
      </c>
      <c r="R1345" t="str">
        <f t="shared" si="196"/>
        <v/>
      </c>
    </row>
    <row r="1346" spans="3:18">
      <c r="C1346" t="str">
        <f t="shared" si="190"/>
        <v>NL</v>
      </c>
      <c r="D1346" s="36">
        <v>86</v>
      </c>
      <c r="E1346" s="97">
        <v>45</v>
      </c>
      <c r="F1346" s="366">
        <f t="shared" si="193"/>
        <v>976.5</v>
      </c>
      <c r="G1346" s="97">
        <v>1751</v>
      </c>
      <c r="H1346" s="367">
        <f t="shared" si="194"/>
        <v>2727.5</v>
      </c>
      <c r="I1346" s="368">
        <f t="shared" si="191"/>
        <v>0</v>
      </c>
      <c r="J1346" s="97">
        <v>4490</v>
      </c>
      <c r="K1346" s="367">
        <f t="shared" si="192"/>
        <v>3207.1428571428573</v>
      </c>
      <c r="L1346" s="97">
        <v>0.23</v>
      </c>
      <c r="M1346" s="97">
        <v>1.8</v>
      </c>
      <c r="N1346" s="97">
        <v>18</v>
      </c>
      <c r="O1346" s="97">
        <v>3</v>
      </c>
      <c r="P1346" s="97" t="s">
        <v>556</v>
      </c>
      <c r="Q1346" s="97" t="str">
        <f t="shared" si="195"/>
        <v/>
      </c>
      <c r="R1346" t="str">
        <f t="shared" si="196"/>
        <v/>
      </c>
    </row>
    <row r="1347" spans="3:18">
      <c r="C1347" t="str">
        <f t="shared" si="190"/>
        <v>NL</v>
      </c>
      <c r="D1347" s="36">
        <v>87</v>
      </c>
      <c r="E1347" s="97">
        <v>45</v>
      </c>
      <c r="F1347" s="366">
        <f t="shared" si="193"/>
        <v>976.5</v>
      </c>
      <c r="G1347" s="97">
        <v>2241</v>
      </c>
      <c r="H1347" s="367">
        <f t="shared" si="194"/>
        <v>3217.5</v>
      </c>
      <c r="I1347" s="368">
        <f t="shared" si="191"/>
        <v>0</v>
      </c>
      <c r="J1347" s="97">
        <v>5745</v>
      </c>
      <c r="K1347" s="367">
        <f t="shared" si="192"/>
        <v>4103.5714285714284</v>
      </c>
      <c r="L1347" s="97">
        <v>0.48</v>
      </c>
      <c r="M1347" s="97">
        <v>1.8</v>
      </c>
      <c r="N1347" s="97">
        <v>24</v>
      </c>
      <c r="O1347" s="97">
        <v>3</v>
      </c>
      <c r="P1347" s="97" t="s">
        <v>514</v>
      </c>
      <c r="Q1347" s="97" t="str">
        <f t="shared" si="195"/>
        <v/>
      </c>
      <c r="R1347" t="str">
        <f t="shared" si="196"/>
        <v/>
      </c>
    </row>
    <row r="1348" spans="3:18">
      <c r="C1348" t="str">
        <f t="shared" si="190"/>
        <v>NL</v>
      </c>
      <c r="D1348" s="36">
        <v>88</v>
      </c>
      <c r="E1348" s="97">
        <v>45</v>
      </c>
      <c r="F1348" s="366">
        <f t="shared" si="193"/>
        <v>976.5</v>
      </c>
      <c r="G1348" s="97">
        <v>2427</v>
      </c>
      <c r="H1348" s="367">
        <f t="shared" si="194"/>
        <v>3403.5</v>
      </c>
      <c r="I1348" s="368">
        <f t="shared" si="191"/>
        <v>0</v>
      </c>
      <c r="J1348" s="97">
        <v>6222</v>
      </c>
      <c r="K1348" s="367">
        <f t="shared" si="192"/>
        <v>4444.2857142857147</v>
      </c>
      <c r="L1348" s="97">
        <v>0.7</v>
      </c>
      <c r="M1348" s="97">
        <v>1.8</v>
      </c>
      <c r="N1348" s="97">
        <v>23</v>
      </c>
      <c r="O1348" s="97">
        <v>3</v>
      </c>
      <c r="P1348" s="97" t="s">
        <v>555</v>
      </c>
      <c r="Q1348" s="97" t="str">
        <f t="shared" si="195"/>
        <v/>
      </c>
      <c r="R1348" t="str">
        <f t="shared" si="196"/>
        <v/>
      </c>
    </row>
    <row r="1349" spans="3:18">
      <c r="C1349" t="str">
        <f t="shared" si="190"/>
        <v/>
      </c>
      <c r="D1349" s="36">
        <v>89</v>
      </c>
      <c r="E1349" s="97">
        <v>45</v>
      </c>
      <c r="F1349" s="366">
        <f t="shared" si="193"/>
        <v>976.5</v>
      </c>
      <c r="G1349" s="97">
        <v>2141</v>
      </c>
      <c r="H1349" s="367">
        <f t="shared" si="194"/>
        <v>3117.5</v>
      </c>
      <c r="I1349" s="368">
        <f t="shared" si="191"/>
        <v>0</v>
      </c>
      <c r="J1349" s="97">
        <v>5488</v>
      </c>
      <c r="K1349" s="367">
        <f t="shared" si="192"/>
        <v>3920</v>
      </c>
      <c r="L1349" s="97">
        <v>0.27</v>
      </c>
      <c r="M1349" s="97">
        <v>2.3000000000000003</v>
      </c>
      <c r="N1349" s="97">
        <v>22</v>
      </c>
      <c r="O1349" s="97">
        <v>4</v>
      </c>
      <c r="P1349" s="97" t="s">
        <v>514</v>
      </c>
      <c r="Q1349" s="97">
        <f t="shared" si="195"/>
        <v>89</v>
      </c>
      <c r="R1349" t="str">
        <f t="shared" si="196"/>
        <v/>
      </c>
    </row>
    <row r="1350" spans="3:18">
      <c r="C1350" t="str">
        <f t="shared" si="190"/>
        <v/>
      </c>
      <c r="D1350" s="36">
        <v>90</v>
      </c>
      <c r="E1350" s="97">
        <v>45</v>
      </c>
      <c r="F1350" s="366">
        <f t="shared" si="193"/>
        <v>976.5</v>
      </c>
      <c r="G1350" s="97">
        <v>2318</v>
      </c>
      <c r="H1350" s="367">
        <f t="shared" si="194"/>
        <v>3294.5</v>
      </c>
      <c r="I1350" s="368">
        <f t="shared" si="191"/>
        <v>0</v>
      </c>
      <c r="J1350" s="97">
        <v>5942</v>
      </c>
      <c r="K1350" s="367">
        <f t="shared" si="192"/>
        <v>4244.2857142857147</v>
      </c>
      <c r="L1350" s="97">
        <v>0.4</v>
      </c>
      <c r="M1350" s="97">
        <v>2.3000000000000003</v>
      </c>
      <c r="N1350" s="97">
        <v>20</v>
      </c>
      <c r="O1350" s="97">
        <v>4</v>
      </c>
      <c r="P1350" s="97" t="s">
        <v>555</v>
      </c>
      <c r="Q1350" s="97">
        <f t="shared" si="195"/>
        <v>90</v>
      </c>
      <c r="R1350" t="str">
        <f t="shared" si="196"/>
        <v/>
      </c>
    </row>
    <row r="1351" spans="3:18">
      <c r="C1351" t="str">
        <f t="shared" si="190"/>
        <v/>
      </c>
      <c r="D1351" s="36">
        <v>91</v>
      </c>
      <c r="E1351" s="97">
        <v>45</v>
      </c>
      <c r="F1351" s="366">
        <f t="shared" si="193"/>
        <v>976.5</v>
      </c>
      <c r="G1351" s="97">
        <v>3170</v>
      </c>
      <c r="H1351" s="367">
        <f t="shared" si="194"/>
        <v>4146.5</v>
      </c>
      <c r="I1351" s="368">
        <f t="shared" si="191"/>
        <v>0</v>
      </c>
      <c r="J1351" s="97">
        <v>8128</v>
      </c>
      <c r="K1351" s="367">
        <f t="shared" si="192"/>
        <v>5805.7142857142862</v>
      </c>
      <c r="L1351" s="97">
        <v>0.89</v>
      </c>
      <c r="M1351" s="97">
        <v>2.3000000000000003</v>
      </c>
      <c r="N1351" s="97">
        <v>26</v>
      </c>
      <c r="O1351" s="97">
        <v>4</v>
      </c>
      <c r="P1351" s="97" t="s">
        <v>513</v>
      </c>
      <c r="Q1351" s="97" t="str">
        <f t="shared" si="195"/>
        <v/>
      </c>
      <c r="R1351" t="str">
        <f t="shared" si="196"/>
        <v/>
      </c>
    </row>
    <row r="1352" spans="3:18">
      <c r="C1352" t="str">
        <f t="shared" si="190"/>
        <v>NL</v>
      </c>
      <c r="D1352" s="36">
        <v>92</v>
      </c>
      <c r="E1352" s="97">
        <v>45</v>
      </c>
      <c r="F1352" s="366">
        <f t="shared" si="193"/>
        <v>976.5</v>
      </c>
      <c r="G1352" s="97">
        <v>2187</v>
      </c>
      <c r="H1352" s="367">
        <f t="shared" si="194"/>
        <v>3163.5</v>
      </c>
      <c r="I1352" s="368">
        <f t="shared" si="191"/>
        <v>0</v>
      </c>
      <c r="J1352" s="97">
        <v>5606</v>
      </c>
      <c r="K1352" s="367">
        <f t="shared" si="192"/>
        <v>4004.2857142857142</v>
      </c>
      <c r="L1352" s="97">
        <v>0.17</v>
      </c>
      <c r="M1352" s="97">
        <v>2.8000000000000003</v>
      </c>
      <c r="N1352" s="97">
        <v>20</v>
      </c>
      <c r="O1352" s="97">
        <v>5</v>
      </c>
      <c r="P1352" s="97" t="s">
        <v>514</v>
      </c>
      <c r="Q1352" s="97" t="str">
        <f t="shared" si="195"/>
        <v/>
      </c>
      <c r="R1352" t="str">
        <f t="shared" si="196"/>
        <v/>
      </c>
    </row>
    <row r="1353" spans="3:18">
      <c r="C1353" t="str">
        <f t="shared" si="190"/>
        <v>NL</v>
      </c>
      <c r="D1353" s="36">
        <v>93</v>
      </c>
      <c r="E1353" s="97">
        <v>45</v>
      </c>
      <c r="F1353" s="366">
        <f t="shared" si="193"/>
        <v>976.5</v>
      </c>
      <c r="G1353" s="97">
        <v>2343</v>
      </c>
      <c r="H1353" s="367">
        <f t="shared" si="194"/>
        <v>3319.5</v>
      </c>
      <c r="I1353" s="368">
        <f t="shared" si="191"/>
        <v>0</v>
      </c>
      <c r="J1353" s="97">
        <v>6006</v>
      </c>
      <c r="K1353" s="367">
        <f t="shared" si="192"/>
        <v>4290</v>
      </c>
      <c r="L1353" s="97">
        <v>0.25</v>
      </c>
      <c r="M1353" s="97">
        <v>2.8000000000000003</v>
      </c>
      <c r="N1353" s="97">
        <v>18</v>
      </c>
      <c r="O1353" s="97">
        <v>5</v>
      </c>
      <c r="P1353" s="97" t="s">
        <v>555</v>
      </c>
      <c r="Q1353" s="97" t="str">
        <f t="shared" si="195"/>
        <v/>
      </c>
      <c r="R1353" t="str">
        <f t="shared" si="196"/>
        <v/>
      </c>
    </row>
    <row r="1354" spans="3:18">
      <c r="C1354" t="str">
        <f t="shared" si="190"/>
        <v>NL</v>
      </c>
      <c r="D1354" s="36">
        <v>94</v>
      </c>
      <c r="E1354" s="97">
        <v>45</v>
      </c>
      <c r="F1354" s="366">
        <f t="shared" si="193"/>
        <v>976.5</v>
      </c>
      <c r="G1354" s="97">
        <v>3094</v>
      </c>
      <c r="H1354" s="367">
        <f t="shared" si="194"/>
        <v>4070.5</v>
      </c>
      <c r="I1354" s="368">
        <f t="shared" si="191"/>
        <v>0</v>
      </c>
      <c r="J1354" s="97">
        <v>7931</v>
      </c>
      <c r="K1354" s="367">
        <f t="shared" si="192"/>
        <v>5665</v>
      </c>
      <c r="L1354" s="97">
        <v>0.56000000000000005</v>
      </c>
      <c r="M1354" s="97">
        <v>2.8000000000000003</v>
      </c>
      <c r="N1354" s="97">
        <v>24</v>
      </c>
      <c r="O1354" s="97">
        <v>5</v>
      </c>
      <c r="P1354" s="97" t="s">
        <v>513</v>
      </c>
      <c r="Q1354" s="97" t="str">
        <f t="shared" si="195"/>
        <v/>
      </c>
      <c r="R1354" t="str">
        <f t="shared" si="196"/>
        <v/>
      </c>
    </row>
    <row r="1355" spans="3:18">
      <c r="C1355" t="str">
        <f t="shared" si="190"/>
        <v/>
      </c>
      <c r="D1355" s="36">
        <v>95</v>
      </c>
      <c r="E1355" s="97">
        <v>45</v>
      </c>
      <c r="F1355" s="366">
        <f t="shared" si="193"/>
        <v>976.5</v>
      </c>
      <c r="G1355" s="97">
        <v>2435</v>
      </c>
      <c r="H1355" s="367">
        <f t="shared" si="194"/>
        <v>3411.5</v>
      </c>
      <c r="I1355" s="368">
        <f t="shared" si="191"/>
        <v>0</v>
      </c>
      <c r="J1355" s="97">
        <v>6243</v>
      </c>
      <c r="K1355" s="367">
        <f t="shared" si="192"/>
        <v>4459.2857142857147</v>
      </c>
      <c r="L1355" s="97">
        <v>0.18000000000000002</v>
      </c>
      <c r="M1355" s="97">
        <v>3.4</v>
      </c>
      <c r="N1355" s="97">
        <v>17</v>
      </c>
      <c r="O1355" s="97">
        <v>6</v>
      </c>
      <c r="P1355" s="97" t="s">
        <v>555</v>
      </c>
      <c r="Q1355" s="97">
        <f t="shared" si="195"/>
        <v>95</v>
      </c>
      <c r="R1355" t="str">
        <f t="shared" si="196"/>
        <v/>
      </c>
    </row>
    <row r="1356" spans="3:18">
      <c r="C1356" t="str">
        <f t="shared" si="190"/>
        <v/>
      </c>
      <c r="D1356" s="36">
        <v>96</v>
      </c>
      <c r="E1356" s="97">
        <v>45</v>
      </c>
      <c r="F1356" s="366">
        <f t="shared" si="193"/>
        <v>976.5</v>
      </c>
      <c r="G1356" s="97">
        <v>3132</v>
      </c>
      <c r="H1356" s="367">
        <f t="shared" si="194"/>
        <v>4108.5</v>
      </c>
      <c r="I1356" s="368">
        <f t="shared" si="191"/>
        <v>0</v>
      </c>
      <c r="J1356" s="97">
        <v>8029</v>
      </c>
      <c r="K1356" s="367">
        <f t="shared" si="192"/>
        <v>5735</v>
      </c>
      <c r="L1356" s="97">
        <v>0.39</v>
      </c>
      <c r="M1356" s="97">
        <v>3.4</v>
      </c>
      <c r="N1356" s="97">
        <v>22</v>
      </c>
      <c r="O1356" s="97">
        <v>6</v>
      </c>
      <c r="P1356" s="97" t="s">
        <v>513</v>
      </c>
      <c r="Q1356" s="97">
        <f t="shared" si="195"/>
        <v>96</v>
      </c>
      <c r="R1356" t="str">
        <f t="shared" si="196"/>
        <v/>
      </c>
    </row>
    <row r="1357" spans="3:18">
      <c r="C1357" t="str">
        <f t="shared" si="190"/>
        <v/>
      </c>
      <c r="D1357" s="36">
        <v>97</v>
      </c>
      <c r="E1357" s="97">
        <v>45</v>
      </c>
      <c r="F1357" s="366">
        <f t="shared" si="193"/>
        <v>976.5</v>
      </c>
      <c r="G1357" s="97">
        <v>3949</v>
      </c>
      <c r="H1357" s="367">
        <f t="shared" si="194"/>
        <v>4925.5</v>
      </c>
      <c r="I1357" s="368">
        <f t="shared" si="191"/>
        <v>0</v>
      </c>
      <c r="J1357" s="97">
        <v>10123</v>
      </c>
      <c r="K1357" s="367">
        <f t="shared" si="192"/>
        <v>7230.7142857142862</v>
      </c>
      <c r="L1357" s="97">
        <v>0.76</v>
      </c>
      <c r="M1357" s="97">
        <v>3.4</v>
      </c>
      <c r="N1357" s="97">
        <v>23</v>
      </c>
      <c r="O1357" s="97">
        <v>6</v>
      </c>
      <c r="P1357" s="97" t="s">
        <v>512</v>
      </c>
      <c r="Q1357" s="97" t="str">
        <f t="shared" si="195"/>
        <v/>
      </c>
      <c r="R1357" t="str">
        <f t="shared" si="196"/>
        <v/>
      </c>
    </row>
    <row r="1358" spans="3:18">
      <c r="C1358" t="str">
        <f t="shared" si="190"/>
        <v>NL</v>
      </c>
      <c r="D1358" s="36">
        <v>98</v>
      </c>
      <c r="E1358" s="97">
        <v>45</v>
      </c>
      <c r="F1358" s="366">
        <f t="shared" si="193"/>
        <v>976.5</v>
      </c>
      <c r="G1358" s="97">
        <v>3396</v>
      </c>
      <c r="H1358" s="367">
        <f t="shared" si="194"/>
        <v>4372.5</v>
      </c>
      <c r="I1358" s="368">
        <f t="shared" si="191"/>
        <v>0</v>
      </c>
      <c r="J1358" s="97">
        <v>8705</v>
      </c>
      <c r="K1358" s="367">
        <f t="shared" si="192"/>
        <v>6217.8571428571431</v>
      </c>
      <c r="L1358" s="97">
        <v>0.29000000000000004</v>
      </c>
      <c r="M1358" s="97">
        <v>3.9</v>
      </c>
      <c r="N1358" s="97">
        <v>21</v>
      </c>
      <c r="O1358" s="97">
        <v>7</v>
      </c>
      <c r="P1358" s="97" t="s">
        <v>513</v>
      </c>
      <c r="Q1358" s="97" t="str">
        <f t="shared" si="195"/>
        <v/>
      </c>
      <c r="R1358" t="str">
        <f t="shared" si="196"/>
        <v/>
      </c>
    </row>
    <row r="1359" spans="3:18">
      <c r="C1359" t="str">
        <f t="shared" ref="C1359:C1422" si="197">IF(OR($O$4=0,O1359-$O$4=0),IF(AND(ISEVEN(O1359)=FALSE,$N$4="Even"),"NL",""),"NL")</f>
        <v>NL</v>
      </c>
      <c r="D1359" s="36">
        <v>99</v>
      </c>
      <c r="E1359" s="97">
        <v>45</v>
      </c>
      <c r="F1359" s="366">
        <f t="shared" si="193"/>
        <v>976.5</v>
      </c>
      <c r="G1359" s="97">
        <v>4087</v>
      </c>
      <c r="H1359" s="367">
        <f t="shared" si="194"/>
        <v>5063.5</v>
      </c>
      <c r="I1359" s="368">
        <f t="shared" ref="I1359:I1422" si="198">1.085*($C$2-$D$2)*E1359*$T$7</f>
        <v>0</v>
      </c>
      <c r="J1359" s="97">
        <v>10478</v>
      </c>
      <c r="K1359" s="367">
        <f t="shared" ref="K1359:K1422" si="199">(J1359*$V$7)-I1359</f>
        <v>7484.2857142857147</v>
      </c>
      <c r="L1359" s="97">
        <v>0.57000000000000006</v>
      </c>
      <c r="M1359" s="97">
        <v>3.9</v>
      </c>
      <c r="N1359" s="97">
        <v>22</v>
      </c>
      <c r="O1359" s="97">
        <v>7</v>
      </c>
      <c r="P1359" s="97" t="s">
        <v>512</v>
      </c>
      <c r="Q1359" s="97" t="str">
        <f t="shared" si="195"/>
        <v/>
      </c>
      <c r="R1359" t="str">
        <f t="shared" si="196"/>
        <v/>
      </c>
    </row>
    <row r="1360" spans="3:18">
      <c r="C1360" t="str">
        <f t="shared" si="197"/>
        <v/>
      </c>
      <c r="D1360" s="36">
        <v>100</v>
      </c>
      <c r="E1360" s="97">
        <v>45</v>
      </c>
      <c r="F1360" s="366">
        <f t="shared" si="193"/>
        <v>976.5</v>
      </c>
      <c r="G1360" s="97">
        <v>3709</v>
      </c>
      <c r="H1360" s="367">
        <f t="shared" si="194"/>
        <v>4685.5</v>
      </c>
      <c r="I1360" s="368">
        <f t="shared" si="198"/>
        <v>0</v>
      </c>
      <c r="J1360" s="97">
        <v>9509</v>
      </c>
      <c r="K1360" s="367">
        <f t="shared" si="199"/>
        <v>6792.1428571428569</v>
      </c>
      <c r="L1360" s="97">
        <v>0.22</v>
      </c>
      <c r="M1360" s="97">
        <v>4.3999999999999995</v>
      </c>
      <c r="N1360" s="97">
        <v>20</v>
      </c>
      <c r="O1360" s="97">
        <v>8</v>
      </c>
      <c r="P1360" s="97" t="s">
        <v>513</v>
      </c>
      <c r="Q1360" s="97">
        <f t="shared" si="195"/>
        <v>100</v>
      </c>
      <c r="R1360" t="str">
        <f t="shared" si="196"/>
        <v/>
      </c>
    </row>
    <row r="1361" spans="3:18">
      <c r="C1361" t="str">
        <f t="shared" si="197"/>
        <v/>
      </c>
      <c r="D1361" s="36">
        <v>101</v>
      </c>
      <c r="E1361" s="97">
        <v>45</v>
      </c>
      <c r="F1361" s="366">
        <f t="shared" si="193"/>
        <v>976.5</v>
      </c>
      <c r="G1361" s="97">
        <v>4160</v>
      </c>
      <c r="H1361" s="367">
        <f t="shared" si="194"/>
        <v>5136.5</v>
      </c>
      <c r="I1361" s="368">
        <f t="shared" si="198"/>
        <v>0</v>
      </c>
      <c r="J1361" s="97">
        <v>10664</v>
      </c>
      <c r="K1361" s="367">
        <f t="shared" si="199"/>
        <v>7617.1428571428569</v>
      </c>
      <c r="L1361" s="97">
        <v>0.44</v>
      </c>
      <c r="M1361" s="97">
        <v>4.3999999999999995</v>
      </c>
      <c r="N1361" s="97">
        <v>21</v>
      </c>
      <c r="O1361" s="97">
        <v>8</v>
      </c>
      <c r="P1361" s="97" t="s">
        <v>512</v>
      </c>
      <c r="Q1361" s="97">
        <f t="shared" si="195"/>
        <v>101</v>
      </c>
      <c r="R1361" t="str">
        <f t="shared" si="196"/>
        <v/>
      </c>
    </row>
    <row r="1362" spans="3:18">
      <c r="C1362" t="str">
        <f t="shared" si="197"/>
        <v/>
      </c>
      <c r="D1362" s="36">
        <v>102</v>
      </c>
      <c r="E1362" s="97">
        <v>45</v>
      </c>
      <c r="F1362" s="366">
        <f t="shared" si="193"/>
        <v>976.5</v>
      </c>
      <c r="G1362" s="97">
        <v>4646</v>
      </c>
      <c r="H1362" s="367">
        <f t="shared" si="194"/>
        <v>5622.5</v>
      </c>
      <c r="I1362" s="368">
        <f t="shared" si="198"/>
        <v>0</v>
      </c>
      <c r="J1362" s="97">
        <v>11911</v>
      </c>
      <c r="K1362" s="367">
        <f t="shared" si="199"/>
        <v>8507.8571428571431</v>
      </c>
      <c r="L1362" s="97">
        <v>0.29000000000000004</v>
      </c>
      <c r="M1362" s="97">
        <v>5.3999999999999995</v>
      </c>
      <c r="N1362" s="97">
        <v>19</v>
      </c>
      <c r="O1362" s="97">
        <v>10</v>
      </c>
      <c r="P1362" s="97" t="s">
        <v>512</v>
      </c>
      <c r="Q1362" s="97" t="str">
        <f t="shared" si="195"/>
        <v/>
      </c>
      <c r="R1362" t="str">
        <f t="shared" si="196"/>
        <v/>
      </c>
    </row>
    <row r="1363" spans="3:18">
      <c r="C1363" t="str">
        <f t="shared" si="197"/>
        <v/>
      </c>
      <c r="D1363" s="36">
        <v>103</v>
      </c>
      <c r="E1363" s="97">
        <v>50</v>
      </c>
      <c r="F1363" s="366">
        <f t="shared" si="193"/>
        <v>1085</v>
      </c>
      <c r="G1363" s="97">
        <v>1640</v>
      </c>
      <c r="H1363" s="367">
        <f t="shared" si="194"/>
        <v>2725</v>
      </c>
      <c r="I1363" s="368">
        <f t="shared" si="198"/>
        <v>0</v>
      </c>
      <c r="J1363" s="97">
        <v>4206</v>
      </c>
      <c r="K1363" s="367">
        <f t="shared" si="199"/>
        <v>3004.2857142857142</v>
      </c>
      <c r="L1363" s="97">
        <v>0.4</v>
      </c>
      <c r="M1363" s="97">
        <v>9.7999999999999989</v>
      </c>
      <c r="N1363" s="97">
        <v>21</v>
      </c>
      <c r="O1363" s="97">
        <v>2</v>
      </c>
      <c r="P1363" s="97" t="s">
        <v>515</v>
      </c>
      <c r="Q1363" s="97" t="str">
        <f t="shared" si="195"/>
        <v/>
      </c>
      <c r="R1363" t="str">
        <f t="shared" si="196"/>
        <v/>
      </c>
    </row>
    <row r="1364" spans="3:18">
      <c r="C1364" t="str">
        <f t="shared" si="197"/>
        <v/>
      </c>
      <c r="D1364" s="36">
        <v>104</v>
      </c>
      <c r="E1364" s="97">
        <v>50</v>
      </c>
      <c r="F1364" s="366">
        <f t="shared" si="193"/>
        <v>1085</v>
      </c>
      <c r="G1364" s="97">
        <v>1848</v>
      </c>
      <c r="H1364" s="367">
        <f t="shared" si="194"/>
        <v>2933</v>
      </c>
      <c r="I1364" s="368">
        <f t="shared" si="198"/>
        <v>0</v>
      </c>
      <c r="J1364" s="97">
        <v>4739</v>
      </c>
      <c r="K1364" s="367">
        <f t="shared" si="199"/>
        <v>3385</v>
      </c>
      <c r="L1364" s="97">
        <v>0.67</v>
      </c>
      <c r="M1364" s="97">
        <v>9.7999999999999989</v>
      </c>
      <c r="N1364" s="97">
        <v>24</v>
      </c>
      <c r="O1364" s="97">
        <v>2</v>
      </c>
      <c r="P1364" s="97" t="s">
        <v>556</v>
      </c>
      <c r="Q1364" s="97" t="str">
        <f t="shared" si="195"/>
        <v/>
      </c>
      <c r="R1364" t="str">
        <f t="shared" si="196"/>
        <v/>
      </c>
    </row>
    <row r="1365" spans="3:18">
      <c r="C1365" t="str">
        <f t="shared" si="197"/>
        <v>NL</v>
      </c>
      <c r="D1365" s="36">
        <v>105</v>
      </c>
      <c r="E1365" s="97">
        <v>50</v>
      </c>
      <c r="F1365" s="366">
        <f t="shared" si="193"/>
        <v>1085</v>
      </c>
      <c r="G1365" s="97">
        <v>1967</v>
      </c>
      <c r="H1365" s="367">
        <f t="shared" si="194"/>
        <v>3052</v>
      </c>
      <c r="I1365" s="368">
        <f t="shared" si="198"/>
        <v>0</v>
      </c>
      <c r="J1365" s="97">
        <v>5043</v>
      </c>
      <c r="K1365" s="367">
        <f t="shared" si="199"/>
        <v>3602.1428571428573</v>
      </c>
      <c r="L1365" s="97">
        <v>0.28000000000000003</v>
      </c>
      <c r="M1365" s="97">
        <v>1.8</v>
      </c>
      <c r="N1365" s="97">
        <v>20</v>
      </c>
      <c r="O1365" s="97">
        <v>3</v>
      </c>
      <c r="P1365" s="97" t="s">
        <v>556</v>
      </c>
      <c r="Q1365" s="97" t="str">
        <f t="shared" si="195"/>
        <v/>
      </c>
      <c r="R1365" t="str">
        <f t="shared" si="196"/>
        <v/>
      </c>
    </row>
    <row r="1366" spans="3:18">
      <c r="C1366" t="str">
        <f t="shared" si="197"/>
        <v>NL</v>
      </c>
      <c r="D1366" s="36">
        <v>106</v>
      </c>
      <c r="E1366" s="97">
        <v>50</v>
      </c>
      <c r="F1366" s="366">
        <f t="shared" si="193"/>
        <v>1085</v>
      </c>
      <c r="G1366" s="97">
        <v>2489</v>
      </c>
      <c r="H1366" s="367">
        <f t="shared" si="194"/>
        <v>3574</v>
      </c>
      <c r="I1366" s="368">
        <f t="shared" si="198"/>
        <v>0</v>
      </c>
      <c r="J1366" s="97">
        <v>6381</v>
      </c>
      <c r="K1366" s="367">
        <f t="shared" si="199"/>
        <v>4557.8571428571431</v>
      </c>
      <c r="L1366" s="97">
        <v>0.59</v>
      </c>
      <c r="M1366" s="97">
        <v>1.8</v>
      </c>
      <c r="N1366" s="97">
        <v>25</v>
      </c>
      <c r="O1366" s="97">
        <v>3</v>
      </c>
      <c r="P1366" s="97" t="s">
        <v>514</v>
      </c>
      <c r="Q1366" s="97" t="str">
        <f t="shared" si="195"/>
        <v/>
      </c>
      <c r="R1366" t="str">
        <f t="shared" si="196"/>
        <v/>
      </c>
    </row>
    <row r="1367" spans="3:18">
      <c r="C1367" t="str">
        <f t="shared" si="197"/>
        <v>NL</v>
      </c>
      <c r="D1367" s="36">
        <v>107</v>
      </c>
      <c r="E1367" s="97">
        <v>50</v>
      </c>
      <c r="F1367" s="366">
        <f t="shared" si="193"/>
        <v>1085</v>
      </c>
      <c r="G1367" s="97">
        <v>2651</v>
      </c>
      <c r="H1367" s="367">
        <f t="shared" si="194"/>
        <v>3736</v>
      </c>
      <c r="I1367" s="368">
        <f t="shared" si="198"/>
        <v>0</v>
      </c>
      <c r="J1367" s="97">
        <v>6797</v>
      </c>
      <c r="K1367" s="367">
        <f t="shared" si="199"/>
        <v>4855</v>
      </c>
      <c r="L1367" s="97">
        <v>0.87</v>
      </c>
      <c r="M1367" s="97">
        <v>1.8</v>
      </c>
      <c r="N1367" s="97">
        <v>24</v>
      </c>
      <c r="O1367" s="97">
        <v>3</v>
      </c>
      <c r="P1367" s="97" t="s">
        <v>555</v>
      </c>
      <c r="Q1367" s="97" t="str">
        <f t="shared" si="195"/>
        <v/>
      </c>
      <c r="R1367" t="str">
        <f t="shared" si="196"/>
        <v/>
      </c>
    </row>
    <row r="1368" spans="3:18">
      <c r="C1368" t="str">
        <f t="shared" si="197"/>
        <v/>
      </c>
      <c r="D1368" s="36">
        <v>108</v>
      </c>
      <c r="E1368" s="97">
        <v>50</v>
      </c>
      <c r="F1368" s="366">
        <f t="shared" si="193"/>
        <v>1085</v>
      </c>
      <c r="G1368" s="97">
        <v>2403</v>
      </c>
      <c r="H1368" s="367">
        <f t="shared" si="194"/>
        <v>3488</v>
      </c>
      <c r="I1368" s="368">
        <f t="shared" si="198"/>
        <v>0</v>
      </c>
      <c r="J1368" s="97">
        <v>6160</v>
      </c>
      <c r="K1368" s="367">
        <f t="shared" si="199"/>
        <v>4400</v>
      </c>
      <c r="L1368" s="97">
        <v>0.33</v>
      </c>
      <c r="M1368" s="97">
        <v>2.3000000000000003</v>
      </c>
      <c r="N1368" s="97">
        <v>23</v>
      </c>
      <c r="O1368" s="97">
        <v>4</v>
      </c>
      <c r="P1368" s="97" t="s">
        <v>514</v>
      </c>
      <c r="Q1368" s="97">
        <f t="shared" si="195"/>
        <v>108</v>
      </c>
      <c r="R1368" t="str">
        <f t="shared" si="196"/>
        <v/>
      </c>
    </row>
    <row r="1369" spans="3:18">
      <c r="C1369" t="str">
        <f t="shared" si="197"/>
        <v/>
      </c>
      <c r="D1369" s="36">
        <v>109</v>
      </c>
      <c r="E1369" s="97">
        <v>50</v>
      </c>
      <c r="F1369" s="366">
        <f t="shared" si="193"/>
        <v>1085</v>
      </c>
      <c r="G1369" s="97">
        <v>2603</v>
      </c>
      <c r="H1369" s="367">
        <f t="shared" si="194"/>
        <v>3688</v>
      </c>
      <c r="I1369" s="368">
        <f t="shared" si="198"/>
        <v>0</v>
      </c>
      <c r="J1369" s="97">
        <v>6673</v>
      </c>
      <c r="K1369" s="367">
        <f t="shared" si="199"/>
        <v>4766.4285714285716</v>
      </c>
      <c r="L1369" s="97">
        <v>0.49</v>
      </c>
      <c r="M1369" s="97">
        <v>2.3000000000000003</v>
      </c>
      <c r="N1369" s="97">
        <v>22</v>
      </c>
      <c r="O1369" s="97">
        <v>4</v>
      </c>
      <c r="P1369" s="97" t="s">
        <v>555</v>
      </c>
      <c r="Q1369" s="97">
        <f t="shared" si="195"/>
        <v>109</v>
      </c>
      <c r="R1369" t="str">
        <f t="shared" si="196"/>
        <v/>
      </c>
    </row>
    <row r="1370" spans="3:18">
      <c r="C1370" t="str">
        <f t="shared" si="197"/>
        <v>NL</v>
      </c>
      <c r="D1370" s="36">
        <v>110</v>
      </c>
      <c r="E1370" s="97">
        <v>50</v>
      </c>
      <c r="F1370" s="366">
        <f t="shared" si="193"/>
        <v>1085</v>
      </c>
      <c r="G1370" s="97">
        <v>2360</v>
      </c>
      <c r="H1370" s="367">
        <f t="shared" si="194"/>
        <v>3445</v>
      </c>
      <c r="I1370" s="368">
        <f t="shared" si="198"/>
        <v>0</v>
      </c>
      <c r="J1370" s="97">
        <v>6049</v>
      </c>
      <c r="K1370" s="367">
        <f t="shared" si="199"/>
        <v>4320.7142857142862</v>
      </c>
      <c r="L1370" s="97">
        <v>0.21000000000000002</v>
      </c>
      <c r="M1370" s="97">
        <v>2.8000000000000003</v>
      </c>
      <c r="N1370" s="97">
        <v>21</v>
      </c>
      <c r="O1370" s="97">
        <v>5</v>
      </c>
      <c r="P1370" s="97" t="s">
        <v>514</v>
      </c>
      <c r="Q1370" s="97" t="str">
        <f t="shared" si="195"/>
        <v/>
      </c>
      <c r="R1370" t="str">
        <f t="shared" si="196"/>
        <v/>
      </c>
    </row>
    <row r="1371" spans="3:18">
      <c r="C1371" t="str">
        <f t="shared" si="197"/>
        <v>NL</v>
      </c>
      <c r="D1371" s="36">
        <v>111</v>
      </c>
      <c r="E1371" s="97">
        <v>50</v>
      </c>
      <c r="F1371" s="366">
        <f t="shared" si="193"/>
        <v>1085</v>
      </c>
      <c r="G1371" s="97">
        <v>2581</v>
      </c>
      <c r="H1371" s="367">
        <f t="shared" si="194"/>
        <v>3666</v>
      </c>
      <c r="I1371" s="368">
        <f t="shared" si="198"/>
        <v>0</v>
      </c>
      <c r="J1371" s="97">
        <v>6617</v>
      </c>
      <c r="K1371" s="367">
        <f t="shared" si="199"/>
        <v>4726.4285714285716</v>
      </c>
      <c r="L1371" s="97">
        <v>0.31</v>
      </c>
      <c r="M1371" s="97">
        <v>2.8000000000000003</v>
      </c>
      <c r="N1371" s="97">
        <v>19</v>
      </c>
      <c r="O1371" s="97">
        <v>5</v>
      </c>
      <c r="P1371" s="97" t="s">
        <v>555</v>
      </c>
      <c r="Q1371" s="97" t="str">
        <f t="shared" si="195"/>
        <v/>
      </c>
      <c r="R1371" t="str">
        <f t="shared" si="196"/>
        <v/>
      </c>
    </row>
    <row r="1372" spans="3:18">
      <c r="C1372" t="str">
        <f t="shared" si="197"/>
        <v>NL</v>
      </c>
      <c r="D1372" s="36">
        <v>112</v>
      </c>
      <c r="E1372" s="97">
        <v>50</v>
      </c>
      <c r="F1372" s="366">
        <f t="shared" si="193"/>
        <v>1085</v>
      </c>
      <c r="G1372" s="97">
        <v>3507</v>
      </c>
      <c r="H1372" s="367">
        <f t="shared" si="194"/>
        <v>4592</v>
      </c>
      <c r="I1372" s="368">
        <f t="shared" si="198"/>
        <v>0</v>
      </c>
      <c r="J1372" s="97">
        <v>8990</v>
      </c>
      <c r="K1372" s="367">
        <f t="shared" si="199"/>
        <v>6421.4285714285716</v>
      </c>
      <c r="L1372" s="97">
        <v>0.69000000000000006</v>
      </c>
      <c r="M1372" s="97">
        <v>2.8000000000000003</v>
      </c>
      <c r="N1372" s="97">
        <v>25</v>
      </c>
      <c r="O1372" s="97">
        <v>5</v>
      </c>
      <c r="P1372" s="97" t="s">
        <v>513</v>
      </c>
      <c r="Q1372" s="97" t="str">
        <f t="shared" si="195"/>
        <v/>
      </c>
      <c r="R1372" t="str">
        <f t="shared" si="196"/>
        <v/>
      </c>
    </row>
    <row r="1373" spans="3:18">
      <c r="C1373" t="str">
        <f t="shared" si="197"/>
        <v/>
      </c>
      <c r="D1373" s="36">
        <v>113</v>
      </c>
      <c r="E1373" s="97">
        <v>50</v>
      </c>
      <c r="F1373" s="366">
        <f t="shared" si="193"/>
        <v>1085</v>
      </c>
      <c r="G1373" s="97">
        <v>2661</v>
      </c>
      <c r="H1373" s="367">
        <f t="shared" si="194"/>
        <v>3746</v>
      </c>
      <c r="I1373" s="368">
        <f t="shared" si="198"/>
        <v>0</v>
      </c>
      <c r="J1373" s="97">
        <v>6821</v>
      </c>
      <c r="K1373" s="367">
        <f t="shared" si="199"/>
        <v>4872.1428571428569</v>
      </c>
      <c r="L1373" s="97">
        <v>0.22</v>
      </c>
      <c r="M1373" s="97">
        <v>3.4</v>
      </c>
      <c r="N1373" s="97">
        <v>18</v>
      </c>
      <c r="O1373" s="97">
        <v>6</v>
      </c>
      <c r="P1373" s="97" t="s">
        <v>555</v>
      </c>
      <c r="Q1373" s="97">
        <f t="shared" si="195"/>
        <v>113</v>
      </c>
      <c r="R1373" t="str">
        <f t="shared" si="196"/>
        <v/>
      </c>
    </row>
    <row r="1374" spans="3:18">
      <c r="C1374" t="str">
        <f t="shared" si="197"/>
        <v/>
      </c>
      <c r="D1374" s="36">
        <v>114</v>
      </c>
      <c r="E1374" s="97">
        <v>50</v>
      </c>
      <c r="F1374" s="366">
        <f t="shared" si="193"/>
        <v>1085</v>
      </c>
      <c r="G1374" s="97">
        <v>3410</v>
      </c>
      <c r="H1374" s="367">
        <f t="shared" si="194"/>
        <v>4495</v>
      </c>
      <c r="I1374" s="368">
        <f t="shared" si="198"/>
        <v>0</v>
      </c>
      <c r="J1374" s="97">
        <v>8741</v>
      </c>
      <c r="K1374" s="367">
        <f t="shared" si="199"/>
        <v>6243.5714285714284</v>
      </c>
      <c r="L1374" s="97">
        <v>0.48</v>
      </c>
      <c r="M1374" s="97">
        <v>3.4</v>
      </c>
      <c r="N1374" s="97">
        <v>24</v>
      </c>
      <c r="O1374" s="97">
        <v>6</v>
      </c>
      <c r="P1374" s="97" t="s">
        <v>513</v>
      </c>
      <c r="Q1374" s="97">
        <f t="shared" si="195"/>
        <v>114</v>
      </c>
      <c r="R1374" t="str">
        <f t="shared" si="196"/>
        <v/>
      </c>
    </row>
    <row r="1375" spans="3:18">
      <c r="C1375" t="str">
        <f t="shared" si="197"/>
        <v/>
      </c>
      <c r="D1375" s="36">
        <v>115</v>
      </c>
      <c r="E1375" s="97">
        <v>50</v>
      </c>
      <c r="F1375" s="366">
        <f t="shared" si="193"/>
        <v>1085</v>
      </c>
      <c r="G1375" s="97">
        <v>4520</v>
      </c>
      <c r="H1375" s="367">
        <f t="shared" si="194"/>
        <v>5605</v>
      </c>
      <c r="I1375" s="368">
        <f t="shared" si="198"/>
        <v>0</v>
      </c>
      <c r="J1375" s="97">
        <v>11587</v>
      </c>
      <c r="K1375" s="367">
        <f t="shared" si="199"/>
        <v>8276.4285714285725</v>
      </c>
      <c r="L1375" s="97">
        <v>0.94000000000000006</v>
      </c>
      <c r="M1375" s="97">
        <v>3.4</v>
      </c>
      <c r="N1375" s="97">
        <v>24</v>
      </c>
      <c r="O1375" s="97">
        <v>6</v>
      </c>
      <c r="P1375" s="97" t="s">
        <v>512</v>
      </c>
      <c r="Q1375" s="97" t="str">
        <f t="shared" si="195"/>
        <v/>
      </c>
      <c r="R1375" t="str">
        <f t="shared" si="196"/>
        <v/>
      </c>
    </row>
    <row r="1376" spans="3:18">
      <c r="C1376" t="str">
        <f t="shared" si="197"/>
        <v>NL</v>
      </c>
      <c r="D1376" s="36">
        <v>116</v>
      </c>
      <c r="E1376" s="97">
        <v>50</v>
      </c>
      <c r="F1376" s="366">
        <f t="shared" si="193"/>
        <v>1085</v>
      </c>
      <c r="G1376" s="97">
        <v>2809</v>
      </c>
      <c r="H1376" s="367">
        <f t="shared" si="194"/>
        <v>3894</v>
      </c>
      <c r="I1376" s="368">
        <f t="shared" si="198"/>
        <v>0</v>
      </c>
      <c r="J1376" s="97">
        <v>7200</v>
      </c>
      <c r="K1376" s="367">
        <f t="shared" si="199"/>
        <v>5142.8571428571431</v>
      </c>
      <c r="L1376" s="97">
        <v>0.17</v>
      </c>
      <c r="M1376" s="97">
        <v>3.9</v>
      </c>
      <c r="N1376" s="97">
        <v>17</v>
      </c>
      <c r="O1376" s="97">
        <v>7</v>
      </c>
      <c r="P1376" s="97" t="s">
        <v>555</v>
      </c>
      <c r="Q1376" s="97" t="str">
        <f t="shared" si="195"/>
        <v/>
      </c>
      <c r="R1376" t="str">
        <f t="shared" si="196"/>
        <v/>
      </c>
    </row>
    <row r="1377" spans="3:18">
      <c r="C1377" t="str">
        <f t="shared" si="197"/>
        <v>NL</v>
      </c>
      <c r="D1377" s="36">
        <v>117</v>
      </c>
      <c r="E1377" s="97">
        <v>50</v>
      </c>
      <c r="F1377" s="366">
        <f t="shared" si="193"/>
        <v>1085</v>
      </c>
      <c r="G1377" s="97">
        <v>3642</v>
      </c>
      <c r="H1377" s="367">
        <f t="shared" si="194"/>
        <v>4727</v>
      </c>
      <c r="I1377" s="368">
        <f t="shared" si="198"/>
        <v>0</v>
      </c>
      <c r="J1377" s="97">
        <v>9338</v>
      </c>
      <c r="K1377" s="367">
        <f t="shared" si="199"/>
        <v>6670</v>
      </c>
      <c r="L1377" s="97">
        <v>0.36</v>
      </c>
      <c r="M1377" s="97">
        <v>3.9</v>
      </c>
      <c r="N1377" s="97">
        <v>23</v>
      </c>
      <c r="O1377" s="97">
        <v>7</v>
      </c>
      <c r="P1377" s="97" t="s">
        <v>513</v>
      </c>
      <c r="Q1377" s="97" t="str">
        <f t="shared" si="195"/>
        <v/>
      </c>
      <c r="R1377" t="str">
        <f t="shared" si="196"/>
        <v/>
      </c>
    </row>
    <row r="1378" spans="3:18">
      <c r="C1378" t="str">
        <f t="shared" si="197"/>
        <v>NL</v>
      </c>
      <c r="D1378" s="36">
        <v>118</v>
      </c>
      <c r="E1378" s="97">
        <v>50</v>
      </c>
      <c r="F1378" s="366">
        <f t="shared" si="193"/>
        <v>1085</v>
      </c>
      <c r="G1378" s="97">
        <v>4436</v>
      </c>
      <c r="H1378" s="367">
        <f t="shared" si="194"/>
        <v>5521</v>
      </c>
      <c r="I1378" s="368">
        <f t="shared" si="198"/>
        <v>0</v>
      </c>
      <c r="J1378" s="97">
        <v>11373</v>
      </c>
      <c r="K1378" s="367">
        <f t="shared" si="199"/>
        <v>8123.5714285714284</v>
      </c>
      <c r="L1378" s="97">
        <v>0.7</v>
      </c>
      <c r="M1378" s="97">
        <v>3.9</v>
      </c>
      <c r="N1378" s="97">
        <v>23</v>
      </c>
      <c r="O1378" s="97">
        <v>7</v>
      </c>
      <c r="P1378" s="97" t="s">
        <v>512</v>
      </c>
      <c r="Q1378" s="97" t="str">
        <f t="shared" si="195"/>
        <v/>
      </c>
      <c r="R1378" t="str">
        <f t="shared" si="196"/>
        <v/>
      </c>
    </row>
    <row r="1379" spans="3:18">
      <c r="C1379" t="str">
        <f t="shared" si="197"/>
        <v/>
      </c>
      <c r="D1379" s="36">
        <v>119</v>
      </c>
      <c r="E1379" s="97">
        <v>50</v>
      </c>
      <c r="F1379" s="366">
        <f t="shared" si="193"/>
        <v>1085</v>
      </c>
      <c r="G1379" s="97">
        <v>3902</v>
      </c>
      <c r="H1379" s="367">
        <f t="shared" si="194"/>
        <v>4987</v>
      </c>
      <c r="I1379" s="368">
        <f t="shared" si="198"/>
        <v>0</v>
      </c>
      <c r="J1379" s="97">
        <v>10004</v>
      </c>
      <c r="K1379" s="367">
        <f t="shared" si="199"/>
        <v>7145.7142857142862</v>
      </c>
      <c r="L1379" s="97">
        <v>0.28000000000000003</v>
      </c>
      <c r="M1379" s="97">
        <v>4.3999999999999995</v>
      </c>
      <c r="N1379" s="97">
        <v>21</v>
      </c>
      <c r="O1379" s="97">
        <v>8</v>
      </c>
      <c r="P1379" s="97" t="s">
        <v>513</v>
      </c>
      <c r="Q1379" s="97">
        <f t="shared" si="195"/>
        <v>119</v>
      </c>
      <c r="R1379" t="str">
        <f t="shared" si="196"/>
        <v/>
      </c>
    </row>
    <row r="1380" spans="3:18">
      <c r="C1380" t="str">
        <f t="shared" si="197"/>
        <v/>
      </c>
      <c r="D1380" s="36">
        <v>120</v>
      </c>
      <c r="E1380" s="97">
        <v>50</v>
      </c>
      <c r="F1380" s="366">
        <f t="shared" si="193"/>
        <v>1085</v>
      </c>
      <c r="G1380" s="97">
        <v>4426</v>
      </c>
      <c r="H1380" s="367">
        <f t="shared" si="194"/>
        <v>5511</v>
      </c>
      <c r="I1380" s="368">
        <f t="shared" si="198"/>
        <v>0</v>
      </c>
      <c r="J1380" s="97">
        <v>11346</v>
      </c>
      <c r="K1380" s="367">
        <f t="shared" si="199"/>
        <v>8104.2857142857147</v>
      </c>
      <c r="L1380" s="97">
        <v>0.54</v>
      </c>
      <c r="M1380" s="97">
        <v>4.3999999999999995</v>
      </c>
      <c r="N1380" s="97">
        <v>22</v>
      </c>
      <c r="O1380" s="97">
        <v>8</v>
      </c>
      <c r="P1380" s="97" t="s">
        <v>512</v>
      </c>
      <c r="Q1380" s="97">
        <f t="shared" si="195"/>
        <v>120</v>
      </c>
      <c r="R1380" t="str">
        <f t="shared" si="196"/>
        <v/>
      </c>
    </row>
    <row r="1381" spans="3:18">
      <c r="C1381" t="str">
        <f t="shared" si="197"/>
        <v/>
      </c>
      <c r="D1381" s="36">
        <v>121</v>
      </c>
      <c r="E1381" s="97">
        <v>50</v>
      </c>
      <c r="F1381" s="366">
        <f t="shared" si="193"/>
        <v>1085</v>
      </c>
      <c r="G1381" s="97">
        <v>4170</v>
      </c>
      <c r="H1381" s="367">
        <f t="shared" si="194"/>
        <v>5255</v>
      </c>
      <c r="I1381" s="368">
        <f t="shared" si="198"/>
        <v>0</v>
      </c>
      <c r="J1381" s="97">
        <v>10689</v>
      </c>
      <c r="K1381" s="367">
        <f t="shared" si="199"/>
        <v>7635</v>
      </c>
      <c r="L1381" s="97">
        <v>0.18000000000000002</v>
      </c>
      <c r="M1381" s="97">
        <v>5.3999999999999995</v>
      </c>
      <c r="N1381" s="97">
        <v>20</v>
      </c>
      <c r="O1381" s="97">
        <v>10</v>
      </c>
      <c r="P1381" s="97" t="s">
        <v>513</v>
      </c>
      <c r="Q1381" s="97" t="str">
        <f t="shared" si="195"/>
        <v/>
      </c>
      <c r="R1381" t="str">
        <f t="shared" si="196"/>
        <v/>
      </c>
    </row>
    <row r="1382" spans="3:18">
      <c r="C1382" t="str">
        <f t="shared" si="197"/>
        <v/>
      </c>
      <c r="D1382" s="36">
        <v>122</v>
      </c>
      <c r="E1382" s="97">
        <v>50</v>
      </c>
      <c r="F1382" s="366">
        <f t="shared" si="193"/>
        <v>1085</v>
      </c>
      <c r="G1382" s="97">
        <v>4896</v>
      </c>
      <c r="H1382" s="367">
        <f t="shared" si="194"/>
        <v>5981</v>
      </c>
      <c r="I1382" s="368">
        <f t="shared" si="198"/>
        <v>0</v>
      </c>
      <c r="J1382" s="97">
        <v>12551</v>
      </c>
      <c r="K1382" s="367">
        <f t="shared" si="199"/>
        <v>8965</v>
      </c>
      <c r="L1382" s="97">
        <v>0.35000000000000003</v>
      </c>
      <c r="M1382" s="97">
        <v>5.3999999999999995</v>
      </c>
      <c r="N1382" s="97">
        <v>20</v>
      </c>
      <c r="O1382" s="97">
        <v>10</v>
      </c>
      <c r="P1382" s="97" t="s">
        <v>512</v>
      </c>
      <c r="Q1382" s="97" t="str">
        <f t="shared" si="195"/>
        <v/>
      </c>
      <c r="R1382" t="str">
        <f t="shared" si="196"/>
        <v/>
      </c>
    </row>
    <row r="1383" spans="3:18">
      <c r="C1383" t="str">
        <f t="shared" si="197"/>
        <v/>
      </c>
      <c r="D1383" s="36">
        <v>123</v>
      </c>
      <c r="E1383" s="97">
        <v>55</v>
      </c>
      <c r="F1383" s="366">
        <f t="shared" si="193"/>
        <v>1193.5</v>
      </c>
      <c r="G1383" s="97">
        <v>1772</v>
      </c>
      <c r="H1383" s="367">
        <f t="shared" si="194"/>
        <v>2965.5</v>
      </c>
      <c r="I1383" s="368">
        <f t="shared" si="198"/>
        <v>0</v>
      </c>
      <c r="J1383" s="97">
        <v>4543</v>
      </c>
      <c r="K1383" s="367">
        <f t="shared" si="199"/>
        <v>3245</v>
      </c>
      <c r="L1383" s="97">
        <v>0.48</v>
      </c>
      <c r="M1383" s="97">
        <v>9.7999999999999989</v>
      </c>
      <c r="N1383" s="97">
        <v>22</v>
      </c>
      <c r="O1383" s="97">
        <v>2</v>
      </c>
      <c r="P1383" s="97" t="s">
        <v>515</v>
      </c>
      <c r="Q1383" s="97" t="str">
        <f t="shared" si="195"/>
        <v/>
      </c>
      <c r="R1383" t="str">
        <f t="shared" si="196"/>
        <v/>
      </c>
    </row>
    <row r="1384" spans="3:18">
      <c r="C1384" t="str">
        <f t="shared" si="197"/>
        <v/>
      </c>
      <c r="D1384" s="36">
        <v>124</v>
      </c>
      <c r="E1384" s="97">
        <v>55</v>
      </c>
      <c r="F1384" s="366">
        <f t="shared" si="193"/>
        <v>1193.5</v>
      </c>
      <c r="G1384" s="97">
        <v>1962</v>
      </c>
      <c r="H1384" s="367">
        <f t="shared" si="194"/>
        <v>3155.5</v>
      </c>
      <c r="I1384" s="368">
        <f t="shared" si="198"/>
        <v>0</v>
      </c>
      <c r="J1384" s="97">
        <v>5030</v>
      </c>
      <c r="K1384" s="367">
        <f t="shared" si="199"/>
        <v>3592.8571428571431</v>
      </c>
      <c r="L1384" s="97">
        <v>0.81</v>
      </c>
      <c r="M1384" s="97">
        <v>9.7999999999999989</v>
      </c>
      <c r="N1384" s="97">
        <v>25</v>
      </c>
      <c r="O1384" s="97">
        <v>2</v>
      </c>
      <c r="P1384" s="97" t="s">
        <v>556</v>
      </c>
      <c r="Q1384" s="97" t="str">
        <f t="shared" si="195"/>
        <v/>
      </c>
      <c r="R1384" t="str">
        <f t="shared" si="196"/>
        <v/>
      </c>
    </row>
    <row r="1385" spans="3:18">
      <c r="C1385" t="str">
        <f t="shared" si="197"/>
        <v>NL</v>
      </c>
      <c r="D1385" s="36">
        <v>125</v>
      </c>
      <c r="E1385" s="97">
        <v>55</v>
      </c>
      <c r="F1385" s="366">
        <f t="shared" si="193"/>
        <v>1193.5</v>
      </c>
      <c r="G1385" s="97">
        <v>1741</v>
      </c>
      <c r="H1385" s="367">
        <f t="shared" si="194"/>
        <v>2934.5</v>
      </c>
      <c r="I1385" s="368">
        <f t="shared" si="198"/>
        <v>0</v>
      </c>
      <c r="J1385" s="97">
        <v>4464</v>
      </c>
      <c r="K1385" s="367">
        <f t="shared" si="199"/>
        <v>3188.5714285714284</v>
      </c>
      <c r="L1385" s="97">
        <v>0.2</v>
      </c>
      <c r="M1385" s="97">
        <v>1.8</v>
      </c>
      <c r="N1385" s="97">
        <v>18</v>
      </c>
      <c r="O1385" s="97">
        <v>3</v>
      </c>
      <c r="P1385" s="97" t="s">
        <v>515</v>
      </c>
      <c r="Q1385" s="97" t="str">
        <f t="shared" si="195"/>
        <v/>
      </c>
      <c r="R1385" t="str">
        <f t="shared" si="196"/>
        <v/>
      </c>
    </row>
    <row r="1386" spans="3:18">
      <c r="C1386" t="str">
        <f t="shared" si="197"/>
        <v>NL</v>
      </c>
      <c r="D1386" s="36">
        <v>126</v>
      </c>
      <c r="E1386" s="97">
        <v>55</v>
      </c>
      <c r="F1386" s="366">
        <f t="shared" si="193"/>
        <v>1193.5</v>
      </c>
      <c r="G1386" s="97">
        <v>2167</v>
      </c>
      <c r="H1386" s="367">
        <f t="shared" si="194"/>
        <v>3360.5</v>
      </c>
      <c r="I1386" s="368">
        <f t="shared" si="198"/>
        <v>0</v>
      </c>
      <c r="J1386" s="97">
        <v>5555</v>
      </c>
      <c r="K1386" s="367">
        <f t="shared" si="199"/>
        <v>3967.8571428571431</v>
      </c>
      <c r="L1386" s="97">
        <v>0.34</v>
      </c>
      <c r="M1386" s="97">
        <v>1.8</v>
      </c>
      <c r="N1386" s="97">
        <v>21</v>
      </c>
      <c r="O1386" s="97">
        <v>3</v>
      </c>
      <c r="P1386" s="97" t="s">
        <v>556</v>
      </c>
      <c r="Q1386" s="97" t="str">
        <f t="shared" si="195"/>
        <v/>
      </c>
      <c r="R1386" t="str">
        <f t="shared" si="196"/>
        <v/>
      </c>
    </row>
    <row r="1387" spans="3:18">
      <c r="C1387" t="str">
        <f t="shared" si="197"/>
        <v>NL</v>
      </c>
      <c r="D1387" s="36">
        <v>127</v>
      </c>
      <c r="E1387" s="97">
        <v>55</v>
      </c>
      <c r="F1387" s="366">
        <f t="shared" si="193"/>
        <v>1193.5</v>
      </c>
      <c r="G1387" s="97">
        <v>2685</v>
      </c>
      <c r="H1387" s="367">
        <f t="shared" si="194"/>
        <v>3878.5</v>
      </c>
      <c r="I1387" s="368">
        <f t="shared" si="198"/>
        <v>0</v>
      </c>
      <c r="J1387" s="97">
        <v>6883</v>
      </c>
      <c r="K1387" s="367">
        <f t="shared" si="199"/>
        <v>4916.4285714285716</v>
      </c>
      <c r="L1387" s="97">
        <v>0.71</v>
      </c>
      <c r="M1387" s="97">
        <v>1.8</v>
      </c>
      <c r="N1387" s="97">
        <v>26</v>
      </c>
      <c r="O1387" s="97">
        <v>3</v>
      </c>
      <c r="P1387" s="97" t="s">
        <v>514</v>
      </c>
      <c r="Q1387" s="97" t="str">
        <f t="shared" si="195"/>
        <v/>
      </c>
      <c r="R1387" t="str">
        <f t="shared" si="196"/>
        <v/>
      </c>
    </row>
    <row r="1388" spans="3:18">
      <c r="C1388" t="str">
        <f t="shared" si="197"/>
        <v>NL</v>
      </c>
      <c r="D1388" s="36">
        <v>128</v>
      </c>
      <c r="E1388" s="97">
        <v>55</v>
      </c>
      <c r="F1388" s="366">
        <f t="shared" si="193"/>
        <v>1193.5</v>
      </c>
      <c r="G1388" s="97">
        <v>2858</v>
      </c>
      <c r="H1388" s="367">
        <f t="shared" si="194"/>
        <v>4051.5</v>
      </c>
      <c r="I1388" s="368">
        <f t="shared" si="198"/>
        <v>0</v>
      </c>
      <c r="J1388" s="97">
        <v>7328</v>
      </c>
      <c r="K1388" s="367">
        <f t="shared" si="199"/>
        <v>5234.2857142857147</v>
      </c>
      <c r="L1388" s="97">
        <v>1.05</v>
      </c>
      <c r="M1388" s="97">
        <v>1.8</v>
      </c>
      <c r="N1388" s="97">
        <v>25</v>
      </c>
      <c r="O1388" s="97">
        <v>3</v>
      </c>
      <c r="P1388" s="97" t="s">
        <v>555</v>
      </c>
      <c r="Q1388" s="97" t="str">
        <f t="shared" si="195"/>
        <v/>
      </c>
      <c r="R1388" t="str">
        <f t="shared" si="196"/>
        <v/>
      </c>
    </row>
    <row r="1389" spans="3:18">
      <c r="C1389" t="str">
        <f t="shared" si="197"/>
        <v/>
      </c>
      <c r="D1389" s="36">
        <v>129</v>
      </c>
      <c r="E1389" s="97">
        <v>55</v>
      </c>
      <c r="F1389" s="366">
        <f t="shared" ref="F1389:F1452" si="200">1.085*($A$2-$B$2)*E1389*$T$7</f>
        <v>1193.5</v>
      </c>
      <c r="G1389" s="97">
        <v>2032</v>
      </c>
      <c r="H1389" s="367">
        <f t="shared" ref="H1389:H1452" si="201">(G1389*$U$7)+F1389</f>
        <v>3225.5</v>
      </c>
      <c r="I1389" s="368">
        <f t="shared" si="198"/>
        <v>0</v>
      </c>
      <c r="J1389" s="97">
        <v>5210</v>
      </c>
      <c r="K1389" s="367">
        <f t="shared" si="199"/>
        <v>3721.4285714285716</v>
      </c>
      <c r="L1389" s="97">
        <v>0.19</v>
      </c>
      <c r="M1389" s="97">
        <v>2.3000000000000003</v>
      </c>
      <c r="N1389" s="97">
        <v>19</v>
      </c>
      <c r="O1389" s="97">
        <v>4</v>
      </c>
      <c r="P1389" s="97" t="s">
        <v>556</v>
      </c>
      <c r="Q1389" s="97">
        <f t="shared" ref="Q1389:Q1452" si="202">IF(AND(H1389+1&gt;$E$4,L1389&lt;$L$4+0.01,M1389&lt;$M$4+0.01,K1389+1&gt;$F$4,E1389+1&gt;$J$4,N1389&lt;$K$4+1,O1389&lt;$P$4+1,C1389=""),D1389,"")</f>
        <v>129</v>
      </c>
      <c r="R1389" t="str">
        <f t="shared" ref="R1389:R1452" si="203">IF(Q1389="","",IF(AND(O1389&lt;$X$16,E1389&gt;$U$16,E1389&lt;$Q$4+$U$16+1),D1389,""))</f>
        <v/>
      </c>
    </row>
    <row r="1390" spans="3:18">
      <c r="C1390" t="str">
        <f t="shared" si="197"/>
        <v/>
      </c>
      <c r="D1390" s="36">
        <v>130</v>
      </c>
      <c r="E1390" s="97">
        <v>55</v>
      </c>
      <c r="F1390" s="366">
        <f t="shared" si="200"/>
        <v>1193.5</v>
      </c>
      <c r="G1390" s="97">
        <v>2667</v>
      </c>
      <c r="H1390" s="367">
        <f t="shared" si="201"/>
        <v>3860.5</v>
      </c>
      <c r="I1390" s="368">
        <f t="shared" si="198"/>
        <v>0</v>
      </c>
      <c r="J1390" s="97">
        <v>6837</v>
      </c>
      <c r="K1390" s="367">
        <f t="shared" si="199"/>
        <v>4883.5714285714284</v>
      </c>
      <c r="L1390" s="97">
        <v>0.4</v>
      </c>
      <c r="M1390" s="97">
        <v>2.3000000000000003</v>
      </c>
      <c r="N1390" s="97">
        <v>24</v>
      </c>
      <c r="O1390" s="97">
        <v>4</v>
      </c>
      <c r="P1390" s="97" t="s">
        <v>514</v>
      </c>
      <c r="Q1390" s="97">
        <f t="shared" si="202"/>
        <v>130</v>
      </c>
      <c r="R1390" t="str">
        <f t="shared" si="203"/>
        <v/>
      </c>
    </row>
    <row r="1391" spans="3:18">
      <c r="C1391" t="str">
        <f t="shared" si="197"/>
        <v/>
      </c>
      <c r="D1391" s="36">
        <v>131</v>
      </c>
      <c r="E1391" s="97">
        <v>55</v>
      </c>
      <c r="F1391" s="366">
        <f t="shared" si="200"/>
        <v>1193.5</v>
      </c>
      <c r="G1391" s="97">
        <v>2868</v>
      </c>
      <c r="H1391" s="367">
        <f t="shared" si="201"/>
        <v>4061.5</v>
      </c>
      <c r="I1391" s="368">
        <f t="shared" si="198"/>
        <v>0</v>
      </c>
      <c r="J1391" s="97">
        <v>7353</v>
      </c>
      <c r="K1391" s="367">
        <f t="shared" si="199"/>
        <v>5252.1428571428569</v>
      </c>
      <c r="L1391" s="97">
        <v>0.59</v>
      </c>
      <c r="M1391" s="97">
        <v>2.3000000000000003</v>
      </c>
      <c r="N1391" s="97">
        <v>23</v>
      </c>
      <c r="O1391" s="97">
        <v>4</v>
      </c>
      <c r="P1391" s="97" t="s">
        <v>555</v>
      </c>
      <c r="Q1391" s="97">
        <f t="shared" si="202"/>
        <v>131</v>
      </c>
      <c r="R1391" t="str">
        <f t="shared" si="203"/>
        <v/>
      </c>
    </row>
    <row r="1392" spans="3:18">
      <c r="C1392" t="str">
        <f t="shared" si="197"/>
        <v>NL</v>
      </c>
      <c r="D1392" s="36">
        <v>132</v>
      </c>
      <c r="E1392" s="97">
        <v>55</v>
      </c>
      <c r="F1392" s="366">
        <f t="shared" si="200"/>
        <v>1193.5</v>
      </c>
      <c r="G1392" s="97">
        <v>2609</v>
      </c>
      <c r="H1392" s="367">
        <f t="shared" si="201"/>
        <v>3802.5</v>
      </c>
      <c r="I1392" s="368">
        <f t="shared" si="198"/>
        <v>0</v>
      </c>
      <c r="J1392" s="97">
        <v>6688</v>
      </c>
      <c r="K1392" s="367">
        <f t="shared" si="199"/>
        <v>4777.1428571428569</v>
      </c>
      <c r="L1392" s="97">
        <v>0.26</v>
      </c>
      <c r="M1392" s="97">
        <v>2.8000000000000003</v>
      </c>
      <c r="N1392" s="97">
        <v>22</v>
      </c>
      <c r="O1392" s="97">
        <v>5</v>
      </c>
      <c r="P1392" s="97" t="s">
        <v>514</v>
      </c>
      <c r="Q1392" s="97" t="str">
        <f t="shared" si="202"/>
        <v/>
      </c>
      <c r="R1392" t="str">
        <f t="shared" si="203"/>
        <v/>
      </c>
    </row>
    <row r="1393" spans="3:18">
      <c r="C1393" t="str">
        <f t="shared" si="197"/>
        <v>NL</v>
      </c>
      <c r="D1393" s="36">
        <v>133</v>
      </c>
      <c r="E1393" s="97">
        <v>55</v>
      </c>
      <c r="F1393" s="366">
        <f t="shared" si="200"/>
        <v>1193.5</v>
      </c>
      <c r="G1393" s="97">
        <v>2892</v>
      </c>
      <c r="H1393" s="367">
        <f t="shared" si="201"/>
        <v>4085.5</v>
      </c>
      <c r="I1393" s="368">
        <f t="shared" si="198"/>
        <v>0</v>
      </c>
      <c r="J1393" s="97">
        <v>7413</v>
      </c>
      <c r="K1393" s="367">
        <f t="shared" si="199"/>
        <v>5295</v>
      </c>
      <c r="L1393" s="97">
        <v>0.37</v>
      </c>
      <c r="M1393" s="97">
        <v>2.8000000000000003</v>
      </c>
      <c r="N1393" s="97">
        <v>21</v>
      </c>
      <c r="O1393" s="97">
        <v>5</v>
      </c>
      <c r="P1393" s="97" t="s">
        <v>555</v>
      </c>
      <c r="Q1393" s="97" t="str">
        <f t="shared" si="202"/>
        <v/>
      </c>
      <c r="R1393" t="str">
        <f t="shared" si="203"/>
        <v/>
      </c>
    </row>
    <row r="1394" spans="3:18">
      <c r="C1394" t="str">
        <f t="shared" si="197"/>
        <v>NL</v>
      </c>
      <c r="D1394" s="36">
        <v>134</v>
      </c>
      <c r="E1394" s="97">
        <v>55</v>
      </c>
      <c r="F1394" s="366">
        <f t="shared" si="200"/>
        <v>1193.5</v>
      </c>
      <c r="G1394" s="97">
        <v>3934</v>
      </c>
      <c r="H1394" s="367">
        <f t="shared" si="201"/>
        <v>5127.5</v>
      </c>
      <c r="I1394" s="368">
        <f t="shared" si="198"/>
        <v>0</v>
      </c>
      <c r="J1394" s="97">
        <v>10085</v>
      </c>
      <c r="K1394" s="367">
        <f t="shared" si="199"/>
        <v>7203.5714285714284</v>
      </c>
      <c r="L1394" s="97">
        <v>0.83</v>
      </c>
      <c r="M1394" s="97">
        <v>2.8000000000000003</v>
      </c>
      <c r="N1394" s="97">
        <v>26</v>
      </c>
      <c r="O1394" s="97">
        <v>5</v>
      </c>
      <c r="P1394" s="97" t="s">
        <v>513</v>
      </c>
      <c r="Q1394" s="97" t="str">
        <f t="shared" si="202"/>
        <v/>
      </c>
      <c r="R1394" t="str">
        <f t="shared" si="203"/>
        <v/>
      </c>
    </row>
    <row r="1395" spans="3:18">
      <c r="C1395" t="str">
        <f t="shared" si="197"/>
        <v/>
      </c>
      <c r="D1395" s="36">
        <v>135</v>
      </c>
      <c r="E1395" s="97">
        <v>55</v>
      </c>
      <c r="F1395" s="366">
        <f t="shared" si="200"/>
        <v>1193.5</v>
      </c>
      <c r="G1395" s="97">
        <v>2622</v>
      </c>
      <c r="H1395" s="367">
        <f t="shared" si="201"/>
        <v>3815.5</v>
      </c>
      <c r="I1395" s="368">
        <f t="shared" si="198"/>
        <v>0</v>
      </c>
      <c r="J1395" s="97">
        <v>6721</v>
      </c>
      <c r="K1395" s="367">
        <f t="shared" si="199"/>
        <v>4800.7142857142862</v>
      </c>
      <c r="L1395" s="97">
        <v>0.18000000000000002</v>
      </c>
      <c r="M1395" s="97">
        <v>3.4</v>
      </c>
      <c r="N1395" s="97">
        <v>21</v>
      </c>
      <c r="O1395" s="97">
        <v>6</v>
      </c>
      <c r="P1395" s="97" t="s">
        <v>514</v>
      </c>
      <c r="Q1395" s="97">
        <f t="shared" si="202"/>
        <v>135</v>
      </c>
      <c r="R1395" t="str">
        <f t="shared" si="203"/>
        <v/>
      </c>
    </row>
    <row r="1396" spans="3:18">
      <c r="C1396" t="str">
        <f t="shared" si="197"/>
        <v/>
      </c>
      <c r="D1396" s="36">
        <v>136</v>
      </c>
      <c r="E1396" s="97">
        <v>55</v>
      </c>
      <c r="F1396" s="366">
        <f t="shared" si="200"/>
        <v>1193.5</v>
      </c>
      <c r="G1396" s="97">
        <v>2873</v>
      </c>
      <c r="H1396" s="367">
        <f t="shared" si="201"/>
        <v>4066.5</v>
      </c>
      <c r="I1396" s="368">
        <f t="shared" si="198"/>
        <v>0</v>
      </c>
      <c r="J1396" s="97">
        <v>7365</v>
      </c>
      <c r="K1396" s="367">
        <f t="shared" si="199"/>
        <v>5260.7142857142862</v>
      </c>
      <c r="L1396" s="97">
        <v>0.27</v>
      </c>
      <c r="M1396" s="97">
        <v>3.4</v>
      </c>
      <c r="N1396" s="97">
        <v>20</v>
      </c>
      <c r="O1396" s="97">
        <v>6</v>
      </c>
      <c r="P1396" s="97" t="s">
        <v>555</v>
      </c>
      <c r="Q1396" s="97">
        <f t="shared" si="202"/>
        <v>136</v>
      </c>
      <c r="R1396" t="str">
        <f t="shared" si="203"/>
        <v/>
      </c>
    </row>
    <row r="1397" spans="3:18">
      <c r="C1397" t="str">
        <f t="shared" si="197"/>
        <v/>
      </c>
      <c r="D1397" s="36">
        <v>137</v>
      </c>
      <c r="E1397" s="97">
        <v>55</v>
      </c>
      <c r="F1397" s="366">
        <f t="shared" si="200"/>
        <v>1193.5</v>
      </c>
      <c r="G1397" s="97">
        <v>3773</v>
      </c>
      <c r="H1397" s="367">
        <f t="shared" si="201"/>
        <v>4966.5</v>
      </c>
      <c r="I1397" s="368">
        <f t="shared" si="198"/>
        <v>0</v>
      </c>
      <c r="J1397" s="97">
        <v>9672</v>
      </c>
      <c r="K1397" s="367">
        <f t="shared" si="199"/>
        <v>6908.5714285714284</v>
      </c>
      <c r="L1397" s="97">
        <v>0.57999999999999996</v>
      </c>
      <c r="M1397" s="97">
        <v>3.4</v>
      </c>
      <c r="N1397" s="97">
        <v>25</v>
      </c>
      <c r="O1397" s="97">
        <v>6</v>
      </c>
      <c r="P1397" s="97" t="s">
        <v>513</v>
      </c>
      <c r="Q1397" s="97">
        <f t="shared" si="202"/>
        <v>137</v>
      </c>
      <c r="R1397" t="str">
        <f t="shared" si="203"/>
        <v/>
      </c>
    </row>
    <row r="1398" spans="3:18">
      <c r="C1398" t="str">
        <f t="shared" si="197"/>
        <v>NL</v>
      </c>
      <c r="D1398" s="36">
        <v>138</v>
      </c>
      <c r="E1398" s="97">
        <v>55</v>
      </c>
      <c r="F1398" s="366">
        <f t="shared" si="200"/>
        <v>1193.5</v>
      </c>
      <c r="G1398" s="97">
        <v>2992</v>
      </c>
      <c r="H1398" s="367">
        <f t="shared" si="201"/>
        <v>4185.5</v>
      </c>
      <c r="I1398" s="368">
        <f t="shared" si="198"/>
        <v>0</v>
      </c>
      <c r="J1398" s="97">
        <v>7671</v>
      </c>
      <c r="K1398" s="367">
        <f t="shared" si="199"/>
        <v>5479.2857142857147</v>
      </c>
      <c r="L1398" s="97">
        <v>0.2</v>
      </c>
      <c r="M1398" s="97">
        <v>3.9</v>
      </c>
      <c r="N1398" s="97">
        <v>19</v>
      </c>
      <c r="O1398" s="97">
        <v>7</v>
      </c>
      <c r="P1398" s="97" t="s">
        <v>555</v>
      </c>
      <c r="Q1398" s="97" t="str">
        <f t="shared" si="202"/>
        <v/>
      </c>
      <c r="R1398" t="str">
        <f t="shared" si="203"/>
        <v/>
      </c>
    </row>
    <row r="1399" spans="3:18">
      <c r="C1399" t="str">
        <f t="shared" si="197"/>
        <v>NL</v>
      </c>
      <c r="D1399" s="36">
        <v>139</v>
      </c>
      <c r="E1399" s="97">
        <v>55</v>
      </c>
      <c r="F1399" s="366">
        <f t="shared" si="200"/>
        <v>1193.5</v>
      </c>
      <c r="G1399" s="97">
        <v>3911</v>
      </c>
      <c r="H1399" s="367">
        <f t="shared" si="201"/>
        <v>5104.5</v>
      </c>
      <c r="I1399" s="368">
        <f t="shared" si="198"/>
        <v>0</v>
      </c>
      <c r="J1399" s="97">
        <v>10027</v>
      </c>
      <c r="K1399" s="367">
        <f t="shared" si="199"/>
        <v>7162.1428571428569</v>
      </c>
      <c r="L1399" s="97">
        <v>0.43</v>
      </c>
      <c r="M1399" s="97">
        <v>3.9</v>
      </c>
      <c r="N1399" s="97">
        <v>24</v>
      </c>
      <c r="O1399" s="97">
        <v>7</v>
      </c>
      <c r="P1399" s="97" t="s">
        <v>513</v>
      </c>
      <c r="Q1399" s="97" t="str">
        <f t="shared" si="202"/>
        <v/>
      </c>
      <c r="R1399" t="str">
        <f t="shared" si="203"/>
        <v/>
      </c>
    </row>
    <row r="1400" spans="3:18">
      <c r="C1400" t="str">
        <f t="shared" si="197"/>
        <v>NL</v>
      </c>
      <c r="D1400" s="36">
        <v>140</v>
      </c>
      <c r="E1400" s="97">
        <v>55</v>
      </c>
      <c r="F1400" s="366">
        <f t="shared" si="200"/>
        <v>1193.5</v>
      </c>
      <c r="G1400" s="97">
        <v>4981</v>
      </c>
      <c r="H1400" s="367">
        <f t="shared" si="201"/>
        <v>6174.5</v>
      </c>
      <c r="I1400" s="368">
        <f t="shared" si="198"/>
        <v>0</v>
      </c>
      <c r="J1400" s="97">
        <v>12769</v>
      </c>
      <c r="K1400" s="367">
        <f t="shared" si="199"/>
        <v>9120.7142857142862</v>
      </c>
      <c r="L1400" s="97">
        <v>0.84</v>
      </c>
      <c r="M1400" s="97">
        <v>3.9</v>
      </c>
      <c r="N1400" s="97">
        <v>24</v>
      </c>
      <c r="O1400" s="97">
        <v>7</v>
      </c>
      <c r="P1400" s="97" t="s">
        <v>512</v>
      </c>
      <c r="Q1400" s="97" t="str">
        <f t="shared" si="202"/>
        <v/>
      </c>
      <c r="R1400" t="str">
        <f t="shared" si="203"/>
        <v/>
      </c>
    </row>
    <row r="1401" spans="3:18">
      <c r="C1401" t="str">
        <f t="shared" si="197"/>
        <v/>
      </c>
      <c r="D1401" s="36">
        <v>141</v>
      </c>
      <c r="E1401" s="97">
        <v>55</v>
      </c>
      <c r="F1401" s="366">
        <f t="shared" si="200"/>
        <v>1193.5</v>
      </c>
      <c r="G1401" s="97">
        <v>4081</v>
      </c>
      <c r="H1401" s="367">
        <f t="shared" si="201"/>
        <v>5274.5</v>
      </c>
      <c r="I1401" s="368">
        <f t="shared" si="198"/>
        <v>0</v>
      </c>
      <c r="J1401" s="97">
        <v>10461</v>
      </c>
      <c r="K1401" s="367">
        <f t="shared" si="199"/>
        <v>7472.1428571428569</v>
      </c>
      <c r="L1401" s="97">
        <v>0.33</v>
      </c>
      <c r="M1401" s="97">
        <v>4.3999999999999995</v>
      </c>
      <c r="N1401" s="97">
        <v>23</v>
      </c>
      <c r="O1401" s="97">
        <v>8</v>
      </c>
      <c r="P1401" s="97" t="s">
        <v>513</v>
      </c>
      <c r="Q1401" s="97">
        <f t="shared" si="202"/>
        <v>141</v>
      </c>
      <c r="R1401" t="str">
        <f t="shared" si="203"/>
        <v/>
      </c>
    </row>
    <row r="1402" spans="3:18">
      <c r="C1402" t="str">
        <f t="shared" si="197"/>
        <v/>
      </c>
      <c r="D1402" s="36">
        <v>142</v>
      </c>
      <c r="E1402" s="97">
        <v>55</v>
      </c>
      <c r="F1402" s="366">
        <f t="shared" si="200"/>
        <v>1193.5</v>
      </c>
      <c r="G1402" s="97">
        <v>4741</v>
      </c>
      <c r="H1402" s="367">
        <f t="shared" si="201"/>
        <v>5934.5</v>
      </c>
      <c r="I1402" s="368">
        <f t="shared" si="198"/>
        <v>0</v>
      </c>
      <c r="J1402" s="97">
        <v>12153</v>
      </c>
      <c r="K1402" s="367">
        <f t="shared" si="199"/>
        <v>8680.7142857142862</v>
      </c>
      <c r="L1402" s="97">
        <v>0.66</v>
      </c>
      <c r="M1402" s="97">
        <v>4.3999999999999995</v>
      </c>
      <c r="N1402" s="97">
        <v>23</v>
      </c>
      <c r="O1402" s="97">
        <v>8</v>
      </c>
      <c r="P1402" s="97" t="s">
        <v>512</v>
      </c>
      <c r="Q1402" s="97">
        <f t="shared" si="202"/>
        <v>142</v>
      </c>
      <c r="R1402" t="str">
        <f t="shared" si="203"/>
        <v/>
      </c>
    </row>
    <row r="1403" spans="3:18">
      <c r="C1403" t="str">
        <f t="shared" si="197"/>
        <v/>
      </c>
      <c r="D1403" s="36">
        <v>143</v>
      </c>
      <c r="E1403" s="97">
        <v>55</v>
      </c>
      <c r="F1403" s="366">
        <f t="shared" si="200"/>
        <v>1193.5</v>
      </c>
      <c r="G1403" s="97">
        <v>4457</v>
      </c>
      <c r="H1403" s="367">
        <f t="shared" si="201"/>
        <v>5650.5</v>
      </c>
      <c r="I1403" s="368">
        <f t="shared" si="198"/>
        <v>0</v>
      </c>
      <c r="J1403" s="97">
        <v>11427</v>
      </c>
      <c r="K1403" s="367">
        <f t="shared" si="199"/>
        <v>8162.1428571428569</v>
      </c>
      <c r="L1403" s="97">
        <v>0.22</v>
      </c>
      <c r="M1403" s="97">
        <v>5.3999999999999995</v>
      </c>
      <c r="N1403" s="97">
        <v>21</v>
      </c>
      <c r="O1403" s="97">
        <v>10</v>
      </c>
      <c r="P1403" s="97" t="s">
        <v>513</v>
      </c>
      <c r="Q1403" s="97" t="str">
        <f t="shared" si="202"/>
        <v/>
      </c>
      <c r="R1403" t="str">
        <f t="shared" si="203"/>
        <v/>
      </c>
    </row>
    <row r="1404" spans="3:18">
      <c r="C1404" t="str">
        <f t="shared" si="197"/>
        <v/>
      </c>
      <c r="D1404" s="36">
        <v>144</v>
      </c>
      <c r="E1404" s="97">
        <v>55</v>
      </c>
      <c r="F1404" s="366">
        <f t="shared" si="200"/>
        <v>1193.5</v>
      </c>
      <c r="G1404" s="97">
        <v>5068</v>
      </c>
      <c r="H1404" s="367">
        <f t="shared" si="201"/>
        <v>6261.5</v>
      </c>
      <c r="I1404" s="368">
        <f t="shared" si="198"/>
        <v>0</v>
      </c>
      <c r="J1404" s="97">
        <v>12993</v>
      </c>
      <c r="K1404" s="367">
        <f t="shared" si="199"/>
        <v>9280.7142857142862</v>
      </c>
      <c r="L1404" s="97">
        <v>0.43</v>
      </c>
      <c r="M1404" s="97">
        <v>5.3999999999999995</v>
      </c>
      <c r="N1404" s="97">
        <v>22</v>
      </c>
      <c r="O1404" s="97">
        <v>10</v>
      </c>
      <c r="P1404" s="97" t="s">
        <v>512</v>
      </c>
      <c r="Q1404" s="97" t="str">
        <f t="shared" si="202"/>
        <v/>
      </c>
      <c r="R1404" t="str">
        <f t="shared" si="203"/>
        <v/>
      </c>
    </row>
    <row r="1405" spans="3:18">
      <c r="C1405" t="str">
        <f t="shared" si="197"/>
        <v/>
      </c>
      <c r="D1405" s="36">
        <v>145</v>
      </c>
      <c r="E1405" s="97">
        <v>60</v>
      </c>
      <c r="F1405" s="366">
        <f t="shared" si="200"/>
        <v>1302</v>
      </c>
      <c r="G1405" s="97">
        <v>1887</v>
      </c>
      <c r="H1405" s="367">
        <f t="shared" si="201"/>
        <v>3189</v>
      </c>
      <c r="I1405" s="368">
        <f t="shared" si="198"/>
        <v>0</v>
      </c>
      <c r="J1405" s="97">
        <v>4838</v>
      </c>
      <c r="K1405" s="367">
        <f t="shared" si="199"/>
        <v>3455.7142857142858</v>
      </c>
      <c r="L1405" s="97">
        <v>0.57000000000000006</v>
      </c>
      <c r="M1405" s="97">
        <v>9.7999999999999989</v>
      </c>
      <c r="N1405" s="97">
        <v>23</v>
      </c>
      <c r="O1405" s="97">
        <v>2</v>
      </c>
      <c r="P1405" s="97" t="s">
        <v>515</v>
      </c>
      <c r="Q1405" s="97">
        <f t="shared" si="202"/>
        <v>145</v>
      </c>
      <c r="R1405" t="str">
        <f t="shared" si="203"/>
        <v/>
      </c>
    </row>
    <row r="1406" spans="3:18">
      <c r="C1406" t="str">
        <f t="shared" si="197"/>
        <v/>
      </c>
      <c r="D1406" s="36">
        <v>146</v>
      </c>
      <c r="E1406" s="97">
        <v>60</v>
      </c>
      <c r="F1406" s="366">
        <f t="shared" si="200"/>
        <v>1302</v>
      </c>
      <c r="G1406" s="97">
        <v>2074</v>
      </c>
      <c r="H1406" s="367">
        <f t="shared" si="201"/>
        <v>3376</v>
      </c>
      <c r="I1406" s="368">
        <f t="shared" si="198"/>
        <v>0</v>
      </c>
      <c r="J1406" s="97">
        <v>5317</v>
      </c>
      <c r="K1406" s="367">
        <f t="shared" si="199"/>
        <v>3797.8571428571431</v>
      </c>
      <c r="L1406" s="97">
        <v>0.96</v>
      </c>
      <c r="M1406" s="97">
        <v>9.7999999999999989</v>
      </c>
      <c r="N1406" s="97">
        <v>26</v>
      </c>
      <c r="O1406" s="97">
        <v>2</v>
      </c>
      <c r="P1406" s="97" t="s">
        <v>556</v>
      </c>
      <c r="Q1406" s="97" t="str">
        <f t="shared" si="202"/>
        <v/>
      </c>
      <c r="R1406" t="str">
        <f t="shared" si="203"/>
        <v/>
      </c>
    </row>
    <row r="1407" spans="3:18">
      <c r="C1407" t="str">
        <f t="shared" si="197"/>
        <v>NL</v>
      </c>
      <c r="D1407" s="36">
        <v>147</v>
      </c>
      <c r="E1407" s="97">
        <v>60</v>
      </c>
      <c r="F1407" s="366">
        <f t="shared" si="200"/>
        <v>1302</v>
      </c>
      <c r="G1407" s="97">
        <v>1922</v>
      </c>
      <c r="H1407" s="367">
        <f t="shared" si="201"/>
        <v>3224</v>
      </c>
      <c r="I1407" s="368">
        <f t="shared" si="198"/>
        <v>0</v>
      </c>
      <c r="J1407" s="97">
        <v>4928</v>
      </c>
      <c r="K1407" s="367">
        <f t="shared" si="199"/>
        <v>3520</v>
      </c>
      <c r="L1407" s="97">
        <v>0.24000000000000002</v>
      </c>
      <c r="M1407" s="97">
        <v>1.8</v>
      </c>
      <c r="N1407" s="97">
        <v>19</v>
      </c>
      <c r="O1407" s="97">
        <v>3</v>
      </c>
      <c r="P1407" s="97" t="s">
        <v>515</v>
      </c>
      <c r="Q1407" s="97" t="str">
        <f t="shared" si="202"/>
        <v/>
      </c>
      <c r="R1407" t="str">
        <f t="shared" si="203"/>
        <v/>
      </c>
    </row>
    <row r="1408" spans="3:18">
      <c r="C1408" t="str">
        <f t="shared" si="197"/>
        <v>NL</v>
      </c>
      <c r="D1408" s="36">
        <v>148</v>
      </c>
      <c r="E1408" s="97">
        <v>60</v>
      </c>
      <c r="F1408" s="366">
        <f t="shared" si="200"/>
        <v>1302</v>
      </c>
      <c r="G1408" s="97">
        <v>2369</v>
      </c>
      <c r="H1408" s="367">
        <f t="shared" si="201"/>
        <v>3671</v>
      </c>
      <c r="I1408" s="368">
        <f t="shared" si="198"/>
        <v>0</v>
      </c>
      <c r="J1408" s="97">
        <v>6073</v>
      </c>
      <c r="K1408" s="367">
        <f t="shared" si="199"/>
        <v>4337.8571428571431</v>
      </c>
      <c r="L1408" s="97">
        <v>0.4</v>
      </c>
      <c r="M1408" s="97">
        <v>1.8</v>
      </c>
      <c r="N1408" s="97">
        <v>22</v>
      </c>
      <c r="O1408" s="97">
        <v>3</v>
      </c>
      <c r="P1408" s="97" t="s">
        <v>556</v>
      </c>
      <c r="Q1408" s="97" t="str">
        <f t="shared" si="202"/>
        <v/>
      </c>
      <c r="R1408" t="str">
        <f t="shared" si="203"/>
        <v/>
      </c>
    </row>
    <row r="1409" spans="3:18">
      <c r="C1409" t="str">
        <f t="shared" si="197"/>
        <v>NL</v>
      </c>
      <c r="D1409" s="36">
        <v>149</v>
      </c>
      <c r="E1409" s="97">
        <v>60</v>
      </c>
      <c r="F1409" s="366">
        <f t="shared" si="200"/>
        <v>1302</v>
      </c>
      <c r="G1409" s="97">
        <v>2873</v>
      </c>
      <c r="H1409" s="367">
        <f t="shared" si="201"/>
        <v>4175</v>
      </c>
      <c r="I1409" s="368">
        <f t="shared" si="198"/>
        <v>0</v>
      </c>
      <c r="J1409" s="97">
        <v>7366</v>
      </c>
      <c r="K1409" s="367">
        <f t="shared" si="199"/>
        <v>5261.4285714285716</v>
      </c>
      <c r="L1409" s="97">
        <v>0.84</v>
      </c>
      <c r="M1409" s="97">
        <v>1.8</v>
      </c>
      <c r="N1409" s="97">
        <v>28</v>
      </c>
      <c r="O1409" s="97">
        <v>3</v>
      </c>
      <c r="P1409" s="97" t="s">
        <v>514</v>
      </c>
      <c r="Q1409" s="97" t="str">
        <f t="shared" si="202"/>
        <v/>
      </c>
      <c r="R1409" t="str">
        <f t="shared" si="203"/>
        <v/>
      </c>
    </row>
    <row r="1410" spans="3:18">
      <c r="C1410" t="str">
        <f t="shared" si="197"/>
        <v/>
      </c>
      <c r="D1410" s="36">
        <v>150</v>
      </c>
      <c r="E1410" s="97">
        <v>60</v>
      </c>
      <c r="F1410" s="366">
        <f t="shared" si="200"/>
        <v>1302</v>
      </c>
      <c r="G1410" s="97">
        <v>2235</v>
      </c>
      <c r="H1410" s="367">
        <f t="shared" si="201"/>
        <v>3537</v>
      </c>
      <c r="I1410" s="368">
        <f t="shared" si="198"/>
        <v>0</v>
      </c>
      <c r="J1410" s="97">
        <v>5729</v>
      </c>
      <c r="K1410" s="367">
        <f t="shared" si="199"/>
        <v>4092.1428571428573</v>
      </c>
      <c r="L1410" s="97">
        <v>0.23</v>
      </c>
      <c r="M1410" s="97">
        <v>2.3000000000000003</v>
      </c>
      <c r="N1410" s="97">
        <v>20</v>
      </c>
      <c r="O1410" s="97">
        <v>4</v>
      </c>
      <c r="P1410" s="97" t="s">
        <v>556</v>
      </c>
      <c r="Q1410" s="97">
        <f t="shared" si="202"/>
        <v>150</v>
      </c>
      <c r="R1410" t="str">
        <f t="shared" si="203"/>
        <v/>
      </c>
    </row>
    <row r="1411" spans="3:18">
      <c r="C1411" t="str">
        <f t="shared" si="197"/>
        <v/>
      </c>
      <c r="D1411" s="36">
        <v>151</v>
      </c>
      <c r="E1411" s="97">
        <v>60</v>
      </c>
      <c r="F1411" s="366">
        <f t="shared" si="200"/>
        <v>1302</v>
      </c>
      <c r="G1411" s="97">
        <v>2909</v>
      </c>
      <c r="H1411" s="367">
        <f t="shared" si="201"/>
        <v>4211</v>
      </c>
      <c r="I1411" s="368">
        <f t="shared" si="198"/>
        <v>0</v>
      </c>
      <c r="J1411" s="97">
        <v>7459</v>
      </c>
      <c r="K1411" s="367">
        <f t="shared" si="199"/>
        <v>5327.8571428571431</v>
      </c>
      <c r="L1411" s="97">
        <v>0.48</v>
      </c>
      <c r="M1411" s="97">
        <v>2.3000000000000003</v>
      </c>
      <c r="N1411" s="97">
        <v>25</v>
      </c>
      <c r="O1411" s="97">
        <v>4</v>
      </c>
      <c r="P1411" s="97" t="s">
        <v>514</v>
      </c>
      <c r="Q1411" s="97">
        <f t="shared" si="202"/>
        <v>151</v>
      </c>
      <c r="R1411" t="str">
        <f t="shared" si="203"/>
        <v/>
      </c>
    </row>
    <row r="1412" spans="3:18">
      <c r="C1412" t="str">
        <f t="shared" si="197"/>
        <v/>
      </c>
      <c r="D1412" s="36">
        <v>152</v>
      </c>
      <c r="E1412" s="97">
        <v>60</v>
      </c>
      <c r="F1412" s="366">
        <f t="shared" si="200"/>
        <v>1302</v>
      </c>
      <c r="G1412" s="97">
        <v>3128</v>
      </c>
      <c r="H1412" s="367">
        <f t="shared" si="201"/>
        <v>4430</v>
      </c>
      <c r="I1412" s="368">
        <f t="shared" si="198"/>
        <v>0</v>
      </c>
      <c r="J1412" s="97">
        <v>8020</v>
      </c>
      <c r="K1412" s="367">
        <f t="shared" si="199"/>
        <v>5728.5714285714284</v>
      </c>
      <c r="L1412" s="97">
        <v>0.7</v>
      </c>
      <c r="M1412" s="97">
        <v>2.3000000000000003</v>
      </c>
      <c r="N1412" s="97">
        <v>24</v>
      </c>
      <c r="O1412" s="97">
        <v>4</v>
      </c>
      <c r="P1412" s="97" t="s">
        <v>555</v>
      </c>
      <c r="Q1412" s="97">
        <f t="shared" si="202"/>
        <v>152</v>
      </c>
      <c r="R1412" t="str">
        <f t="shared" si="203"/>
        <v/>
      </c>
    </row>
    <row r="1413" spans="3:18">
      <c r="C1413" t="str">
        <f t="shared" si="197"/>
        <v>NL</v>
      </c>
      <c r="D1413" s="36">
        <v>153</v>
      </c>
      <c r="E1413" s="97">
        <v>60</v>
      </c>
      <c r="F1413" s="366">
        <f t="shared" si="200"/>
        <v>1302</v>
      </c>
      <c r="G1413" s="97">
        <v>2893</v>
      </c>
      <c r="H1413" s="367">
        <f t="shared" si="201"/>
        <v>4195</v>
      </c>
      <c r="I1413" s="368">
        <f t="shared" si="198"/>
        <v>0</v>
      </c>
      <c r="J1413" s="97">
        <v>7416</v>
      </c>
      <c r="K1413" s="367">
        <f t="shared" si="199"/>
        <v>5297.1428571428569</v>
      </c>
      <c r="L1413" s="97">
        <v>0.31</v>
      </c>
      <c r="M1413" s="97">
        <v>2.8000000000000003</v>
      </c>
      <c r="N1413" s="97">
        <v>23</v>
      </c>
      <c r="O1413" s="97">
        <v>5</v>
      </c>
      <c r="P1413" s="97" t="s">
        <v>514</v>
      </c>
      <c r="Q1413" s="97" t="str">
        <f t="shared" si="202"/>
        <v/>
      </c>
      <c r="R1413" t="str">
        <f t="shared" si="203"/>
        <v/>
      </c>
    </row>
    <row r="1414" spans="3:18">
      <c r="C1414" t="str">
        <f t="shared" si="197"/>
        <v>NL</v>
      </c>
      <c r="D1414" s="36">
        <v>154</v>
      </c>
      <c r="E1414" s="97">
        <v>60</v>
      </c>
      <c r="F1414" s="366">
        <f t="shared" si="200"/>
        <v>1302</v>
      </c>
      <c r="G1414" s="97">
        <v>3210</v>
      </c>
      <c r="H1414" s="367">
        <f t="shared" si="201"/>
        <v>4512</v>
      </c>
      <c r="I1414" s="368">
        <f t="shared" si="198"/>
        <v>0</v>
      </c>
      <c r="J1414" s="97">
        <v>8230</v>
      </c>
      <c r="K1414" s="367">
        <f t="shared" si="199"/>
        <v>5878.5714285714284</v>
      </c>
      <c r="L1414" s="97">
        <v>0.44</v>
      </c>
      <c r="M1414" s="97">
        <v>2.8000000000000003</v>
      </c>
      <c r="N1414" s="97">
        <v>22</v>
      </c>
      <c r="O1414" s="97">
        <v>5</v>
      </c>
      <c r="P1414" s="97" t="s">
        <v>555</v>
      </c>
      <c r="Q1414" s="97" t="str">
        <f t="shared" si="202"/>
        <v/>
      </c>
      <c r="R1414" t="str">
        <f t="shared" si="203"/>
        <v/>
      </c>
    </row>
    <row r="1415" spans="3:18">
      <c r="C1415" t="str">
        <f t="shared" si="197"/>
        <v>NL</v>
      </c>
      <c r="D1415" s="36">
        <v>155</v>
      </c>
      <c r="E1415" s="97">
        <v>60</v>
      </c>
      <c r="F1415" s="366">
        <f t="shared" si="200"/>
        <v>1302</v>
      </c>
      <c r="G1415" s="97">
        <v>4324</v>
      </c>
      <c r="H1415" s="367">
        <f t="shared" si="201"/>
        <v>5626</v>
      </c>
      <c r="I1415" s="368">
        <f t="shared" si="198"/>
        <v>0</v>
      </c>
      <c r="J1415" s="97">
        <v>11085</v>
      </c>
      <c r="K1415" s="367">
        <f t="shared" si="199"/>
        <v>7917.8571428571431</v>
      </c>
      <c r="L1415" s="97">
        <v>0.99</v>
      </c>
      <c r="M1415" s="97">
        <v>2.8000000000000003</v>
      </c>
      <c r="N1415" s="97">
        <v>28</v>
      </c>
      <c r="O1415" s="97">
        <v>5</v>
      </c>
      <c r="P1415" s="97" t="s">
        <v>513</v>
      </c>
      <c r="Q1415" s="97" t="str">
        <f t="shared" si="202"/>
        <v/>
      </c>
      <c r="R1415" t="str">
        <f t="shared" si="203"/>
        <v/>
      </c>
    </row>
    <row r="1416" spans="3:18">
      <c r="C1416" t="str">
        <f t="shared" si="197"/>
        <v/>
      </c>
      <c r="D1416" s="36">
        <v>156</v>
      </c>
      <c r="E1416" s="97">
        <v>60</v>
      </c>
      <c r="F1416" s="366">
        <f t="shared" si="200"/>
        <v>1302</v>
      </c>
      <c r="G1416" s="97">
        <v>2812</v>
      </c>
      <c r="H1416" s="367">
        <f t="shared" si="201"/>
        <v>4114</v>
      </c>
      <c r="I1416" s="368">
        <f t="shared" si="198"/>
        <v>0</v>
      </c>
      <c r="J1416" s="97">
        <v>7210</v>
      </c>
      <c r="K1416" s="367">
        <f t="shared" si="199"/>
        <v>5150</v>
      </c>
      <c r="L1416" s="97">
        <v>0.22</v>
      </c>
      <c r="M1416" s="97">
        <v>3.4</v>
      </c>
      <c r="N1416" s="97">
        <v>22</v>
      </c>
      <c r="O1416" s="97">
        <v>6</v>
      </c>
      <c r="P1416" s="97" t="s">
        <v>514</v>
      </c>
      <c r="Q1416" s="97">
        <f t="shared" si="202"/>
        <v>156</v>
      </c>
      <c r="R1416" t="str">
        <f t="shared" si="203"/>
        <v/>
      </c>
    </row>
    <row r="1417" spans="3:18">
      <c r="C1417" t="str">
        <f t="shared" si="197"/>
        <v/>
      </c>
      <c r="D1417" s="36">
        <v>157</v>
      </c>
      <c r="E1417" s="97">
        <v>60</v>
      </c>
      <c r="F1417" s="366">
        <f t="shared" si="200"/>
        <v>1302</v>
      </c>
      <c r="G1417" s="97">
        <v>3122</v>
      </c>
      <c r="H1417" s="367">
        <f t="shared" si="201"/>
        <v>4424</v>
      </c>
      <c r="I1417" s="368">
        <f t="shared" si="198"/>
        <v>0</v>
      </c>
      <c r="J1417" s="97">
        <v>8003</v>
      </c>
      <c r="K1417" s="367">
        <f t="shared" si="199"/>
        <v>5716.4285714285716</v>
      </c>
      <c r="L1417" s="97">
        <v>0.32</v>
      </c>
      <c r="M1417" s="97">
        <v>3.4</v>
      </c>
      <c r="N1417" s="97">
        <v>21</v>
      </c>
      <c r="O1417" s="97">
        <v>6</v>
      </c>
      <c r="P1417" s="97" t="s">
        <v>555</v>
      </c>
      <c r="Q1417" s="97">
        <f t="shared" si="202"/>
        <v>157</v>
      </c>
      <c r="R1417" t="str">
        <f t="shared" si="203"/>
        <v/>
      </c>
    </row>
    <row r="1418" spans="3:18">
      <c r="C1418" t="str">
        <f t="shared" si="197"/>
        <v/>
      </c>
      <c r="D1418" s="36">
        <v>158</v>
      </c>
      <c r="E1418" s="97">
        <v>60</v>
      </c>
      <c r="F1418" s="366">
        <f t="shared" si="200"/>
        <v>1302</v>
      </c>
      <c r="G1418" s="97">
        <v>4220</v>
      </c>
      <c r="H1418" s="367">
        <f t="shared" si="201"/>
        <v>5522</v>
      </c>
      <c r="I1418" s="368">
        <f t="shared" si="198"/>
        <v>0</v>
      </c>
      <c r="J1418" s="97">
        <v>10818</v>
      </c>
      <c r="K1418" s="367">
        <f t="shared" si="199"/>
        <v>7727.1428571428569</v>
      </c>
      <c r="L1418" s="97">
        <v>0.69000000000000006</v>
      </c>
      <c r="M1418" s="97">
        <v>3.4</v>
      </c>
      <c r="N1418" s="97">
        <v>26</v>
      </c>
      <c r="O1418" s="97">
        <v>6</v>
      </c>
      <c r="P1418" s="97" t="s">
        <v>513</v>
      </c>
      <c r="Q1418" s="97">
        <f t="shared" si="202"/>
        <v>158</v>
      </c>
      <c r="R1418" t="str">
        <f t="shared" si="203"/>
        <v/>
      </c>
    </row>
    <row r="1419" spans="3:18">
      <c r="C1419" t="str">
        <f t="shared" si="197"/>
        <v>NL</v>
      </c>
      <c r="D1419" s="36">
        <v>159</v>
      </c>
      <c r="E1419" s="97">
        <v>60</v>
      </c>
      <c r="F1419" s="366">
        <f t="shared" si="200"/>
        <v>1302</v>
      </c>
      <c r="G1419" s="97">
        <v>3188</v>
      </c>
      <c r="H1419" s="367">
        <f t="shared" si="201"/>
        <v>4490</v>
      </c>
      <c r="I1419" s="368">
        <f t="shared" si="198"/>
        <v>0</v>
      </c>
      <c r="J1419" s="97">
        <v>8174</v>
      </c>
      <c r="K1419" s="367">
        <f t="shared" si="199"/>
        <v>5838.5714285714284</v>
      </c>
      <c r="L1419" s="97">
        <v>0.24000000000000002</v>
      </c>
      <c r="M1419" s="97">
        <v>3.9</v>
      </c>
      <c r="N1419" s="97">
        <v>20</v>
      </c>
      <c r="O1419" s="97">
        <v>7</v>
      </c>
      <c r="P1419" s="97" t="s">
        <v>555</v>
      </c>
      <c r="Q1419" s="97" t="str">
        <f t="shared" si="202"/>
        <v/>
      </c>
      <c r="R1419" t="str">
        <f t="shared" si="203"/>
        <v/>
      </c>
    </row>
    <row r="1420" spans="3:18">
      <c r="C1420" t="str">
        <f t="shared" si="197"/>
        <v>NL</v>
      </c>
      <c r="D1420" s="36">
        <v>160</v>
      </c>
      <c r="E1420" s="97">
        <v>60</v>
      </c>
      <c r="F1420" s="366">
        <f t="shared" si="200"/>
        <v>1302</v>
      </c>
      <c r="G1420" s="97">
        <v>4184</v>
      </c>
      <c r="H1420" s="367">
        <f t="shared" si="201"/>
        <v>5486</v>
      </c>
      <c r="I1420" s="368">
        <f t="shared" si="198"/>
        <v>0</v>
      </c>
      <c r="J1420" s="97">
        <v>10726</v>
      </c>
      <c r="K1420" s="367">
        <f t="shared" si="199"/>
        <v>7661.4285714285716</v>
      </c>
      <c r="L1420" s="97">
        <v>0.51</v>
      </c>
      <c r="M1420" s="97">
        <v>3.9</v>
      </c>
      <c r="N1420" s="97">
        <v>25</v>
      </c>
      <c r="O1420" s="97">
        <v>7</v>
      </c>
      <c r="P1420" s="97" t="s">
        <v>513</v>
      </c>
      <c r="Q1420" s="97" t="str">
        <f t="shared" si="202"/>
        <v/>
      </c>
      <c r="R1420" t="str">
        <f t="shared" si="203"/>
        <v/>
      </c>
    </row>
    <row r="1421" spans="3:18">
      <c r="C1421" t="str">
        <f t="shared" si="197"/>
        <v>NL</v>
      </c>
      <c r="D1421" s="36">
        <v>161</v>
      </c>
      <c r="E1421" s="97">
        <v>60</v>
      </c>
      <c r="F1421" s="366">
        <f t="shared" si="200"/>
        <v>1302</v>
      </c>
      <c r="G1421" s="97">
        <v>5550</v>
      </c>
      <c r="H1421" s="367">
        <f t="shared" si="201"/>
        <v>6852</v>
      </c>
      <c r="I1421" s="368">
        <f t="shared" si="198"/>
        <v>0</v>
      </c>
      <c r="J1421" s="97">
        <v>14228</v>
      </c>
      <c r="K1421" s="367">
        <f t="shared" si="199"/>
        <v>10162.857142857143</v>
      </c>
      <c r="L1421" s="97">
        <v>1</v>
      </c>
      <c r="M1421" s="97">
        <v>3.9</v>
      </c>
      <c r="N1421" s="97">
        <v>26</v>
      </c>
      <c r="O1421" s="97">
        <v>7</v>
      </c>
      <c r="P1421" s="97" t="s">
        <v>512</v>
      </c>
      <c r="Q1421" s="97" t="str">
        <f t="shared" si="202"/>
        <v/>
      </c>
      <c r="R1421" t="str">
        <f t="shared" si="203"/>
        <v/>
      </c>
    </row>
    <row r="1422" spans="3:18">
      <c r="C1422" t="str">
        <f t="shared" si="197"/>
        <v/>
      </c>
      <c r="D1422" s="36">
        <v>162</v>
      </c>
      <c r="E1422" s="97">
        <v>60</v>
      </c>
      <c r="F1422" s="366">
        <f t="shared" si="200"/>
        <v>1302</v>
      </c>
      <c r="G1422" s="97">
        <v>3402</v>
      </c>
      <c r="H1422" s="367">
        <f t="shared" si="201"/>
        <v>4704</v>
      </c>
      <c r="I1422" s="368">
        <f t="shared" si="198"/>
        <v>0</v>
      </c>
      <c r="J1422" s="97">
        <v>8721</v>
      </c>
      <c r="K1422" s="367">
        <f t="shared" si="199"/>
        <v>6229.2857142857147</v>
      </c>
      <c r="L1422" s="97">
        <v>0.19</v>
      </c>
      <c r="M1422" s="97">
        <v>4.3999999999999995</v>
      </c>
      <c r="N1422" s="97">
        <v>19</v>
      </c>
      <c r="O1422" s="97">
        <v>8</v>
      </c>
      <c r="P1422" s="97" t="s">
        <v>555</v>
      </c>
      <c r="Q1422" s="97">
        <f t="shared" si="202"/>
        <v>162</v>
      </c>
      <c r="R1422" t="str">
        <f t="shared" si="203"/>
        <v/>
      </c>
    </row>
    <row r="1423" spans="3:18">
      <c r="C1423" t="str">
        <f t="shared" ref="C1423:C1486" si="204">IF(OR($O$4=0,O1423-$O$4=0),IF(AND(ISEVEN(O1423)=FALSE,$N$4="Even"),"NL",""),"NL")</f>
        <v/>
      </c>
      <c r="D1423" s="36">
        <v>163</v>
      </c>
      <c r="E1423" s="97">
        <v>60</v>
      </c>
      <c r="F1423" s="366">
        <f t="shared" si="200"/>
        <v>1302</v>
      </c>
      <c r="G1423" s="97">
        <v>4280</v>
      </c>
      <c r="H1423" s="367">
        <f t="shared" si="201"/>
        <v>5582</v>
      </c>
      <c r="I1423" s="368">
        <f t="shared" ref="I1423:I1486" si="205">1.085*($C$2-$D$2)*E1423*$T$7</f>
        <v>0</v>
      </c>
      <c r="J1423" s="97">
        <v>10972</v>
      </c>
      <c r="K1423" s="367">
        <f t="shared" ref="K1423:K1486" si="206">(J1423*$V$7)-I1423</f>
        <v>7837.1428571428569</v>
      </c>
      <c r="L1423" s="97">
        <v>0.39</v>
      </c>
      <c r="M1423" s="97">
        <v>4.3999999999999995</v>
      </c>
      <c r="N1423" s="97">
        <v>24</v>
      </c>
      <c r="O1423" s="97">
        <v>8</v>
      </c>
      <c r="P1423" s="97" t="s">
        <v>513</v>
      </c>
      <c r="Q1423" s="97">
        <f t="shared" si="202"/>
        <v>163</v>
      </c>
      <c r="R1423" t="str">
        <f t="shared" si="203"/>
        <v/>
      </c>
    </row>
    <row r="1424" spans="3:18">
      <c r="C1424" t="str">
        <f t="shared" si="204"/>
        <v/>
      </c>
      <c r="D1424" s="36">
        <v>164</v>
      </c>
      <c r="E1424" s="97">
        <v>60</v>
      </c>
      <c r="F1424" s="366">
        <f t="shared" si="200"/>
        <v>1302</v>
      </c>
      <c r="G1424" s="97">
        <v>5129</v>
      </c>
      <c r="H1424" s="367">
        <f t="shared" si="201"/>
        <v>6431</v>
      </c>
      <c r="I1424" s="368">
        <f t="shared" si="205"/>
        <v>0</v>
      </c>
      <c r="J1424" s="97">
        <v>13147</v>
      </c>
      <c r="K1424" s="367">
        <f t="shared" si="206"/>
        <v>9390.7142857142862</v>
      </c>
      <c r="L1424" s="97">
        <v>0.78</v>
      </c>
      <c r="M1424" s="97">
        <v>4.3999999999999995</v>
      </c>
      <c r="N1424" s="97">
        <v>25</v>
      </c>
      <c r="O1424" s="97">
        <v>8</v>
      </c>
      <c r="P1424" s="97" t="s">
        <v>512</v>
      </c>
      <c r="Q1424" s="97" t="str">
        <f t="shared" si="202"/>
        <v/>
      </c>
      <c r="R1424" t="str">
        <f t="shared" si="203"/>
        <v/>
      </c>
    </row>
    <row r="1425" spans="3:18">
      <c r="C1425" t="str">
        <f t="shared" si="204"/>
        <v/>
      </c>
      <c r="D1425" s="36">
        <v>165</v>
      </c>
      <c r="E1425" s="97">
        <v>60</v>
      </c>
      <c r="F1425" s="366">
        <f t="shared" si="200"/>
        <v>1302</v>
      </c>
      <c r="G1425" s="97">
        <v>4676</v>
      </c>
      <c r="H1425" s="367">
        <f t="shared" si="201"/>
        <v>5978</v>
      </c>
      <c r="I1425" s="368">
        <f t="shared" si="205"/>
        <v>0</v>
      </c>
      <c r="J1425" s="97">
        <v>11988</v>
      </c>
      <c r="K1425" s="367">
        <f t="shared" si="206"/>
        <v>8562.8571428571431</v>
      </c>
      <c r="L1425" s="97">
        <v>0.26</v>
      </c>
      <c r="M1425" s="97">
        <v>5.3999999999999995</v>
      </c>
      <c r="N1425" s="97">
        <v>22</v>
      </c>
      <c r="O1425" s="97">
        <v>10</v>
      </c>
      <c r="P1425" s="97" t="s">
        <v>513</v>
      </c>
      <c r="Q1425" s="97" t="str">
        <f t="shared" si="202"/>
        <v/>
      </c>
      <c r="R1425" t="str">
        <f t="shared" si="203"/>
        <v/>
      </c>
    </row>
    <row r="1426" spans="3:18">
      <c r="C1426" t="str">
        <f t="shared" si="204"/>
        <v/>
      </c>
      <c r="D1426" s="36">
        <v>166</v>
      </c>
      <c r="E1426" s="97">
        <v>60</v>
      </c>
      <c r="F1426" s="366">
        <f t="shared" si="200"/>
        <v>1302</v>
      </c>
      <c r="G1426" s="97">
        <v>5241</v>
      </c>
      <c r="H1426" s="367">
        <f t="shared" si="201"/>
        <v>6543</v>
      </c>
      <c r="I1426" s="368">
        <f t="shared" si="205"/>
        <v>0</v>
      </c>
      <c r="J1426" s="97">
        <v>13435</v>
      </c>
      <c r="K1426" s="367">
        <f t="shared" si="206"/>
        <v>9596.4285714285725</v>
      </c>
      <c r="L1426" s="97">
        <v>0.51</v>
      </c>
      <c r="M1426" s="97">
        <v>5.3999999999999995</v>
      </c>
      <c r="N1426" s="97">
        <v>23</v>
      </c>
      <c r="O1426" s="97">
        <v>10</v>
      </c>
      <c r="P1426" s="97" t="s">
        <v>512</v>
      </c>
      <c r="Q1426" s="97" t="str">
        <f t="shared" si="202"/>
        <v/>
      </c>
      <c r="R1426" t="str">
        <f t="shared" si="203"/>
        <v/>
      </c>
    </row>
    <row r="1427" spans="3:18">
      <c r="C1427" t="str">
        <f t="shared" si="204"/>
        <v/>
      </c>
      <c r="D1427" s="36">
        <v>167</v>
      </c>
      <c r="E1427" s="97">
        <v>65</v>
      </c>
      <c r="F1427" s="366">
        <f t="shared" si="200"/>
        <v>1410.5</v>
      </c>
      <c r="G1427" s="97">
        <v>1981</v>
      </c>
      <c r="H1427" s="367">
        <f t="shared" si="201"/>
        <v>3391.5</v>
      </c>
      <c r="I1427" s="368">
        <f t="shared" si="205"/>
        <v>0</v>
      </c>
      <c r="J1427" s="97">
        <v>5080</v>
      </c>
      <c r="K1427" s="367">
        <f t="shared" si="206"/>
        <v>3628.5714285714284</v>
      </c>
      <c r="L1427" s="97">
        <v>0.67</v>
      </c>
      <c r="M1427" s="97">
        <v>9.7999999999999989</v>
      </c>
      <c r="N1427" s="97">
        <v>24</v>
      </c>
      <c r="O1427" s="97">
        <v>2</v>
      </c>
      <c r="P1427" s="97" t="s">
        <v>515</v>
      </c>
      <c r="Q1427" s="97">
        <f t="shared" si="202"/>
        <v>167</v>
      </c>
      <c r="R1427" t="str">
        <f t="shared" si="203"/>
        <v/>
      </c>
    </row>
    <row r="1428" spans="3:18">
      <c r="C1428" t="str">
        <f t="shared" si="204"/>
        <v>NL</v>
      </c>
      <c r="D1428" s="36">
        <v>168</v>
      </c>
      <c r="E1428" s="97">
        <v>65</v>
      </c>
      <c r="F1428" s="366">
        <f t="shared" si="200"/>
        <v>1410.5</v>
      </c>
      <c r="G1428" s="97">
        <v>2094</v>
      </c>
      <c r="H1428" s="367">
        <f t="shared" si="201"/>
        <v>3504.5</v>
      </c>
      <c r="I1428" s="368">
        <f t="shared" si="205"/>
        <v>0</v>
      </c>
      <c r="J1428" s="97">
        <v>5368</v>
      </c>
      <c r="K1428" s="367">
        <f t="shared" si="206"/>
        <v>3834.2857142857142</v>
      </c>
      <c r="L1428" s="97">
        <v>0.28000000000000003</v>
      </c>
      <c r="M1428" s="97">
        <v>1.8</v>
      </c>
      <c r="N1428" s="97">
        <v>20</v>
      </c>
      <c r="O1428" s="97">
        <v>3</v>
      </c>
      <c r="P1428" s="97" t="s">
        <v>515</v>
      </c>
      <c r="Q1428" s="97" t="str">
        <f t="shared" si="202"/>
        <v/>
      </c>
      <c r="R1428" t="str">
        <f t="shared" si="203"/>
        <v/>
      </c>
    </row>
    <row r="1429" spans="3:18">
      <c r="C1429" t="str">
        <f t="shared" si="204"/>
        <v>NL</v>
      </c>
      <c r="D1429" s="36">
        <v>169</v>
      </c>
      <c r="E1429" s="97">
        <v>65</v>
      </c>
      <c r="F1429" s="366">
        <f t="shared" si="200"/>
        <v>1410.5</v>
      </c>
      <c r="G1429" s="97">
        <v>2540</v>
      </c>
      <c r="H1429" s="367">
        <f t="shared" si="201"/>
        <v>3950.5</v>
      </c>
      <c r="I1429" s="368">
        <f t="shared" si="205"/>
        <v>0</v>
      </c>
      <c r="J1429" s="97">
        <v>6513</v>
      </c>
      <c r="K1429" s="367">
        <f t="shared" si="206"/>
        <v>4652.1428571428569</v>
      </c>
      <c r="L1429" s="97">
        <v>0.47000000000000003</v>
      </c>
      <c r="M1429" s="97">
        <v>1.8</v>
      </c>
      <c r="N1429" s="97">
        <v>23</v>
      </c>
      <c r="O1429" s="97">
        <v>3</v>
      </c>
      <c r="P1429" s="97" t="s">
        <v>556</v>
      </c>
      <c r="Q1429" s="97" t="str">
        <f t="shared" si="202"/>
        <v/>
      </c>
      <c r="R1429" t="str">
        <f t="shared" si="203"/>
        <v/>
      </c>
    </row>
    <row r="1430" spans="3:18">
      <c r="C1430" t="str">
        <f t="shared" si="204"/>
        <v>NL</v>
      </c>
      <c r="D1430" s="36">
        <v>170</v>
      </c>
      <c r="E1430" s="97">
        <v>65</v>
      </c>
      <c r="F1430" s="366">
        <f t="shared" si="200"/>
        <v>1410.5</v>
      </c>
      <c r="G1430" s="97">
        <v>3012</v>
      </c>
      <c r="H1430" s="367">
        <f t="shared" si="201"/>
        <v>4422.5</v>
      </c>
      <c r="I1430" s="368">
        <f t="shared" si="205"/>
        <v>0</v>
      </c>
      <c r="J1430" s="97">
        <v>7720</v>
      </c>
      <c r="K1430" s="367">
        <f t="shared" si="206"/>
        <v>5514.2857142857147</v>
      </c>
      <c r="L1430" s="97">
        <v>0.99</v>
      </c>
      <c r="M1430" s="97">
        <v>1.8</v>
      </c>
      <c r="N1430" s="97">
        <v>29</v>
      </c>
      <c r="O1430" s="97">
        <v>3</v>
      </c>
      <c r="P1430" s="97" t="s">
        <v>514</v>
      </c>
      <c r="Q1430" s="97" t="str">
        <f t="shared" si="202"/>
        <v/>
      </c>
      <c r="R1430" t="str">
        <f t="shared" si="203"/>
        <v/>
      </c>
    </row>
    <row r="1431" spans="3:18">
      <c r="C1431" t="str">
        <f t="shared" si="204"/>
        <v/>
      </c>
      <c r="D1431" s="36">
        <v>171</v>
      </c>
      <c r="E1431" s="97">
        <v>65</v>
      </c>
      <c r="F1431" s="366">
        <f t="shared" si="200"/>
        <v>1410.5</v>
      </c>
      <c r="G1431" s="97">
        <v>2441</v>
      </c>
      <c r="H1431" s="367">
        <f t="shared" si="201"/>
        <v>3851.5</v>
      </c>
      <c r="I1431" s="368">
        <f t="shared" si="205"/>
        <v>0</v>
      </c>
      <c r="J1431" s="97">
        <v>6258</v>
      </c>
      <c r="K1431" s="367">
        <f t="shared" si="206"/>
        <v>4470</v>
      </c>
      <c r="L1431" s="97">
        <v>0.27</v>
      </c>
      <c r="M1431" s="97">
        <v>2.3000000000000003</v>
      </c>
      <c r="N1431" s="97">
        <v>21</v>
      </c>
      <c r="O1431" s="97">
        <v>4</v>
      </c>
      <c r="P1431" s="97" t="s">
        <v>556</v>
      </c>
      <c r="Q1431" s="97">
        <f t="shared" si="202"/>
        <v>171</v>
      </c>
      <c r="R1431" t="str">
        <f t="shared" si="203"/>
        <v/>
      </c>
    </row>
    <row r="1432" spans="3:18">
      <c r="C1432" t="str">
        <f t="shared" si="204"/>
        <v/>
      </c>
      <c r="D1432" s="36">
        <v>172</v>
      </c>
      <c r="E1432" s="97">
        <v>65</v>
      </c>
      <c r="F1432" s="366">
        <f t="shared" si="200"/>
        <v>1410.5</v>
      </c>
      <c r="G1432" s="97">
        <v>3151</v>
      </c>
      <c r="H1432" s="367">
        <f t="shared" si="201"/>
        <v>4561.5</v>
      </c>
      <c r="I1432" s="368">
        <f t="shared" si="205"/>
        <v>0</v>
      </c>
      <c r="J1432" s="97">
        <v>8078</v>
      </c>
      <c r="K1432" s="367">
        <f t="shared" si="206"/>
        <v>5770</v>
      </c>
      <c r="L1432" s="97">
        <v>0.56000000000000005</v>
      </c>
      <c r="M1432" s="97">
        <v>2.3000000000000003</v>
      </c>
      <c r="N1432" s="97">
        <v>26</v>
      </c>
      <c r="O1432" s="97">
        <v>4</v>
      </c>
      <c r="P1432" s="97" t="s">
        <v>514</v>
      </c>
      <c r="Q1432" s="97">
        <f t="shared" si="202"/>
        <v>172</v>
      </c>
      <c r="R1432" t="str">
        <f t="shared" si="203"/>
        <v/>
      </c>
    </row>
    <row r="1433" spans="3:18">
      <c r="C1433" t="str">
        <f t="shared" si="204"/>
        <v/>
      </c>
      <c r="D1433" s="36">
        <v>173</v>
      </c>
      <c r="E1433" s="97">
        <v>65</v>
      </c>
      <c r="F1433" s="366">
        <f t="shared" si="200"/>
        <v>1410.5</v>
      </c>
      <c r="G1433" s="97">
        <v>3382</v>
      </c>
      <c r="H1433" s="367">
        <f t="shared" si="201"/>
        <v>4792.5</v>
      </c>
      <c r="I1433" s="368">
        <f t="shared" si="205"/>
        <v>0</v>
      </c>
      <c r="J1433" s="97">
        <v>8670</v>
      </c>
      <c r="K1433" s="367">
        <f t="shared" si="206"/>
        <v>6192.8571428571431</v>
      </c>
      <c r="L1433" s="97">
        <v>0.82000000000000006</v>
      </c>
      <c r="M1433" s="97">
        <v>2.3000000000000003</v>
      </c>
      <c r="N1433" s="97">
        <v>25</v>
      </c>
      <c r="O1433" s="97">
        <v>4</v>
      </c>
      <c r="P1433" s="97" t="s">
        <v>555</v>
      </c>
      <c r="Q1433" s="97" t="str">
        <f t="shared" si="202"/>
        <v/>
      </c>
      <c r="R1433" t="str">
        <f t="shared" si="203"/>
        <v/>
      </c>
    </row>
    <row r="1434" spans="3:18">
      <c r="C1434" t="str">
        <f t="shared" si="204"/>
        <v>NL</v>
      </c>
      <c r="D1434" s="36">
        <v>174</v>
      </c>
      <c r="E1434" s="97">
        <v>65</v>
      </c>
      <c r="F1434" s="366">
        <f t="shared" si="200"/>
        <v>1410.5</v>
      </c>
      <c r="G1434" s="97">
        <v>2416</v>
      </c>
      <c r="H1434" s="367">
        <f t="shared" si="201"/>
        <v>3826.5</v>
      </c>
      <c r="I1434" s="368">
        <f t="shared" si="205"/>
        <v>0</v>
      </c>
      <c r="J1434" s="97">
        <v>6194</v>
      </c>
      <c r="K1434" s="367">
        <f t="shared" si="206"/>
        <v>4424.2857142857147</v>
      </c>
      <c r="L1434" s="97">
        <v>0.18000000000000002</v>
      </c>
      <c r="M1434" s="97">
        <v>2.8000000000000003</v>
      </c>
      <c r="N1434" s="97">
        <v>20</v>
      </c>
      <c r="O1434" s="97">
        <v>5</v>
      </c>
      <c r="P1434" s="97" t="s">
        <v>556</v>
      </c>
      <c r="Q1434" s="97" t="str">
        <f t="shared" si="202"/>
        <v/>
      </c>
      <c r="R1434" t="str">
        <f t="shared" si="203"/>
        <v/>
      </c>
    </row>
    <row r="1435" spans="3:18">
      <c r="C1435" t="str">
        <f t="shared" si="204"/>
        <v>NL</v>
      </c>
      <c r="D1435" s="36">
        <v>175</v>
      </c>
      <c r="E1435" s="97">
        <v>65</v>
      </c>
      <c r="F1435" s="366">
        <f t="shared" si="200"/>
        <v>1410.5</v>
      </c>
      <c r="G1435" s="97">
        <v>3186</v>
      </c>
      <c r="H1435" s="367">
        <f t="shared" si="201"/>
        <v>4596.5</v>
      </c>
      <c r="I1435" s="368">
        <f t="shared" si="205"/>
        <v>0</v>
      </c>
      <c r="J1435" s="97">
        <v>8167</v>
      </c>
      <c r="K1435" s="367">
        <f t="shared" si="206"/>
        <v>5833.5714285714284</v>
      </c>
      <c r="L1435" s="97">
        <v>0.36</v>
      </c>
      <c r="M1435" s="97">
        <v>2.8000000000000003</v>
      </c>
      <c r="N1435" s="97">
        <v>24</v>
      </c>
      <c r="O1435" s="97">
        <v>5</v>
      </c>
      <c r="P1435" s="97" t="s">
        <v>514</v>
      </c>
      <c r="Q1435" s="97" t="str">
        <f t="shared" si="202"/>
        <v/>
      </c>
      <c r="R1435" t="str">
        <f t="shared" si="203"/>
        <v/>
      </c>
    </row>
    <row r="1436" spans="3:18">
      <c r="C1436" t="str">
        <f t="shared" si="204"/>
        <v>NL</v>
      </c>
      <c r="D1436" s="36">
        <v>176</v>
      </c>
      <c r="E1436" s="97">
        <v>65</v>
      </c>
      <c r="F1436" s="366">
        <f t="shared" si="200"/>
        <v>1410.5</v>
      </c>
      <c r="G1436" s="97">
        <v>3533</v>
      </c>
      <c r="H1436" s="367">
        <f t="shared" si="201"/>
        <v>4943.5</v>
      </c>
      <c r="I1436" s="368">
        <f t="shared" si="205"/>
        <v>0</v>
      </c>
      <c r="J1436" s="97">
        <v>9058</v>
      </c>
      <c r="K1436" s="367">
        <f t="shared" si="206"/>
        <v>6470</v>
      </c>
      <c r="L1436" s="97">
        <v>0.52</v>
      </c>
      <c r="M1436" s="97">
        <v>2.8000000000000003</v>
      </c>
      <c r="N1436" s="97">
        <v>23</v>
      </c>
      <c r="O1436" s="97">
        <v>5</v>
      </c>
      <c r="P1436" s="97" t="s">
        <v>555</v>
      </c>
      <c r="Q1436" s="97" t="str">
        <f t="shared" si="202"/>
        <v/>
      </c>
      <c r="R1436" t="str">
        <f t="shared" si="203"/>
        <v/>
      </c>
    </row>
    <row r="1437" spans="3:18">
      <c r="C1437" t="str">
        <f t="shared" si="204"/>
        <v/>
      </c>
      <c r="D1437" s="36">
        <v>177</v>
      </c>
      <c r="E1437" s="97">
        <v>65</v>
      </c>
      <c r="F1437" s="366">
        <f t="shared" si="200"/>
        <v>1410.5</v>
      </c>
      <c r="G1437" s="97">
        <v>3050</v>
      </c>
      <c r="H1437" s="367">
        <f t="shared" si="201"/>
        <v>4460.5</v>
      </c>
      <c r="I1437" s="368">
        <f t="shared" si="205"/>
        <v>0</v>
      </c>
      <c r="J1437" s="97">
        <v>7820</v>
      </c>
      <c r="K1437" s="367">
        <f t="shared" si="206"/>
        <v>5585.7142857142862</v>
      </c>
      <c r="L1437" s="97">
        <v>0.25</v>
      </c>
      <c r="M1437" s="97">
        <v>3.4</v>
      </c>
      <c r="N1437" s="97">
        <v>23</v>
      </c>
      <c r="O1437" s="97">
        <v>6</v>
      </c>
      <c r="P1437" s="97" t="s">
        <v>514</v>
      </c>
      <c r="Q1437" s="97">
        <f t="shared" si="202"/>
        <v>177</v>
      </c>
      <c r="R1437" t="str">
        <f t="shared" si="203"/>
        <v/>
      </c>
    </row>
    <row r="1438" spans="3:18">
      <c r="C1438" t="str">
        <f t="shared" si="204"/>
        <v/>
      </c>
      <c r="D1438" s="36">
        <v>178</v>
      </c>
      <c r="E1438" s="97">
        <v>65</v>
      </c>
      <c r="F1438" s="366">
        <f t="shared" si="200"/>
        <v>1410.5</v>
      </c>
      <c r="G1438" s="97">
        <v>3463</v>
      </c>
      <c r="H1438" s="367">
        <f t="shared" si="201"/>
        <v>4873.5</v>
      </c>
      <c r="I1438" s="368">
        <f t="shared" si="205"/>
        <v>0</v>
      </c>
      <c r="J1438" s="97">
        <v>8879</v>
      </c>
      <c r="K1438" s="367">
        <f t="shared" si="206"/>
        <v>6342.1428571428569</v>
      </c>
      <c r="L1438" s="97">
        <v>0.37</v>
      </c>
      <c r="M1438" s="97">
        <v>3.4</v>
      </c>
      <c r="N1438" s="97">
        <v>22</v>
      </c>
      <c r="O1438" s="97">
        <v>6</v>
      </c>
      <c r="P1438" s="97" t="s">
        <v>555</v>
      </c>
      <c r="Q1438" s="97">
        <f t="shared" si="202"/>
        <v>178</v>
      </c>
      <c r="R1438" t="str">
        <f t="shared" si="203"/>
        <v/>
      </c>
    </row>
    <row r="1439" spans="3:18">
      <c r="C1439" t="str">
        <f t="shared" si="204"/>
        <v/>
      </c>
      <c r="D1439" s="36">
        <v>179</v>
      </c>
      <c r="E1439" s="97">
        <v>65</v>
      </c>
      <c r="F1439" s="366">
        <f t="shared" si="200"/>
        <v>1410.5</v>
      </c>
      <c r="G1439" s="97">
        <v>4679</v>
      </c>
      <c r="H1439" s="367">
        <f t="shared" si="201"/>
        <v>6089.5</v>
      </c>
      <c r="I1439" s="368">
        <f t="shared" si="205"/>
        <v>0</v>
      </c>
      <c r="J1439" s="97">
        <v>11994</v>
      </c>
      <c r="K1439" s="367">
        <f t="shared" si="206"/>
        <v>8567.1428571428569</v>
      </c>
      <c r="L1439" s="97">
        <v>0.81</v>
      </c>
      <c r="M1439" s="97">
        <v>3.4</v>
      </c>
      <c r="N1439" s="97">
        <v>27</v>
      </c>
      <c r="O1439" s="97">
        <v>6</v>
      </c>
      <c r="P1439" s="97" t="s">
        <v>513</v>
      </c>
      <c r="Q1439" s="97" t="str">
        <f t="shared" si="202"/>
        <v/>
      </c>
      <c r="R1439" t="str">
        <f t="shared" si="203"/>
        <v/>
      </c>
    </row>
    <row r="1440" spans="3:18">
      <c r="C1440" t="str">
        <f t="shared" si="204"/>
        <v>NL</v>
      </c>
      <c r="D1440" s="36">
        <v>180</v>
      </c>
      <c r="E1440" s="97">
        <v>65</v>
      </c>
      <c r="F1440" s="366">
        <f t="shared" si="200"/>
        <v>1410.5</v>
      </c>
      <c r="G1440" s="97">
        <v>3053</v>
      </c>
      <c r="H1440" s="367">
        <f t="shared" si="201"/>
        <v>4463.5</v>
      </c>
      <c r="I1440" s="368">
        <f t="shared" si="205"/>
        <v>0</v>
      </c>
      <c r="J1440" s="97">
        <v>7827</v>
      </c>
      <c r="K1440" s="367">
        <f t="shared" si="206"/>
        <v>5590.7142857142862</v>
      </c>
      <c r="L1440" s="97">
        <v>0.19</v>
      </c>
      <c r="M1440" s="97">
        <v>3.9</v>
      </c>
      <c r="N1440" s="97">
        <v>22</v>
      </c>
      <c r="O1440" s="97">
        <v>7</v>
      </c>
      <c r="P1440" s="97" t="s">
        <v>514</v>
      </c>
      <c r="Q1440" s="97" t="str">
        <f t="shared" si="202"/>
        <v/>
      </c>
      <c r="R1440" t="str">
        <f t="shared" si="203"/>
        <v/>
      </c>
    </row>
    <row r="1441" spans="3:18">
      <c r="C1441" t="str">
        <f t="shared" si="204"/>
        <v>NL</v>
      </c>
      <c r="D1441" s="36">
        <v>181</v>
      </c>
      <c r="E1441" s="97">
        <v>65</v>
      </c>
      <c r="F1441" s="366">
        <f t="shared" si="200"/>
        <v>1410.5</v>
      </c>
      <c r="G1441" s="97">
        <v>3391</v>
      </c>
      <c r="H1441" s="367">
        <f t="shared" si="201"/>
        <v>4801.5</v>
      </c>
      <c r="I1441" s="368">
        <f t="shared" si="205"/>
        <v>0</v>
      </c>
      <c r="J1441" s="97">
        <v>8694</v>
      </c>
      <c r="K1441" s="367">
        <f t="shared" si="206"/>
        <v>6210</v>
      </c>
      <c r="L1441" s="97">
        <v>0.28000000000000003</v>
      </c>
      <c r="M1441" s="97">
        <v>3.9</v>
      </c>
      <c r="N1441" s="97">
        <v>21</v>
      </c>
      <c r="O1441" s="97">
        <v>7</v>
      </c>
      <c r="P1441" s="97" t="s">
        <v>555</v>
      </c>
      <c r="Q1441" s="97" t="str">
        <f t="shared" si="202"/>
        <v/>
      </c>
      <c r="R1441" t="str">
        <f t="shared" si="203"/>
        <v/>
      </c>
    </row>
    <row r="1442" spans="3:18">
      <c r="C1442" t="str">
        <f t="shared" si="204"/>
        <v>NL</v>
      </c>
      <c r="D1442" s="36">
        <v>182</v>
      </c>
      <c r="E1442" s="97">
        <v>65</v>
      </c>
      <c r="F1442" s="366">
        <f t="shared" si="200"/>
        <v>1410.5</v>
      </c>
      <c r="G1442" s="97">
        <v>4556</v>
      </c>
      <c r="H1442" s="367">
        <f t="shared" si="201"/>
        <v>5966.5</v>
      </c>
      <c r="I1442" s="368">
        <f t="shared" si="205"/>
        <v>0</v>
      </c>
      <c r="J1442" s="97">
        <v>11679</v>
      </c>
      <c r="K1442" s="367">
        <f t="shared" si="206"/>
        <v>8342.1428571428569</v>
      </c>
      <c r="L1442" s="97">
        <v>0.6</v>
      </c>
      <c r="M1442" s="97">
        <v>3.9</v>
      </c>
      <c r="N1442" s="97">
        <v>26</v>
      </c>
      <c r="O1442" s="97">
        <v>7</v>
      </c>
      <c r="P1442" s="97" t="s">
        <v>513</v>
      </c>
      <c r="Q1442" s="97" t="str">
        <f t="shared" si="202"/>
        <v/>
      </c>
      <c r="R1442" t="str">
        <f t="shared" si="203"/>
        <v/>
      </c>
    </row>
    <row r="1443" spans="3:18">
      <c r="C1443" t="str">
        <f t="shared" si="204"/>
        <v/>
      </c>
      <c r="D1443" s="36">
        <v>183</v>
      </c>
      <c r="E1443" s="97">
        <v>65</v>
      </c>
      <c r="F1443" s="366">
        <f t="shared" si="200"/>
        <v>1410.5</v>
      </c>
      <c r="G1443" s="97">
        <v>3537</v>
      </c>
      <c r="H1443" s="367">
        <f t="shared" si="201"/>
        <v>4947.5</v>
      </c>
      <c r="I1443" s="368">
        <f t="shared" si="205"/>
        <v>0</v>
      </c>
      <c r="J1443" s="97">
        <v>9067</v>
      </c>
      <c r="K1443" s="367">
        <f t="shared" si="206"/>
        <v>6476.4285714285716</v>
      </c>
      <c r="L1443" s="97">
        <v>0.22</v>
      </c>
      <c r="M1443" s="97">
        <v>4.3999999999999995</v>
      </c>
      <c r="N1443" s="97">
        <v>20</v>
      </c>
      <c r="O1443" s="97">
        <v>8</v>
      </c>
      <c r="P1443" s="97" t="s">
        <v>555</v>
      </c>
      <c r="Q1443" s="97">
        <f t="shared" si="202"/>
        <v>183</v>
      </c>
      <c r="R1443" t="str">
        <f t="shared" si="203"/>
        <v/>
      </c>
    </row>
    <row r="1444" spans="3:18">
      <c r="C1444" t="str">
        <f t="shared" si="204"/>
        <v/>
      </c>
      <c r="D1444" s="36">
        <v>184</v>
      </c>
      <c r="E1444" s="97">
        <v>65</v>
      </c>
      <c r="F1444" s="366">
        <f t="shared" si="200"/>
        <v>1410.5</v>
      </c>
      <c r="G1444" s="97">
        <v>4532</v>
      </c>
      <c r="H1444" s="367">
        <f t="shared" si="201"/>
        <v>5942.5</v>
      </c>
      <c r="I1444" s="368">
        <f t="shared" si="205"/>
        <v>0</v>
      </c>
      <c r="J1444" s="97">
        <v>11618</v>
      </c>
      <c r="K1444" s="367">
        <f t="shared" si="206"/>
        <v>8298.5714285714294</v>
      </c>
      <c r="L1444" s="97">
        <v>0.46</v>
      </c>
      <c r="M1444" s="97">
        <v>4.3999999999999995</v>
      </c>
      <c r="N1444" s="97">
        <v>25</v>
      </c>
      <c r="O1444" s="97">
        <v>8</v>
      </c>
      <c r="P1444" s="97" t="s">
        <v>513</v>
      </c>
      <c r="Q1444" s="97">
        <f t="shared" si="202"/>
        <v>184</v>
      </c>
      <c r="R1444" t="str">
        <f t="shared" si="203"/>
        <v/>
      </c>
    </row>
    <row r="1445" spans="3:18">
      <c r="C1445" t="str">
        <f t="shared" si="204"/>
        <v/>
      </c>
      <c r="D1445" s="36">
        <v>185</v>
      </c>
      <c r="E1445" s="97">
        <v>65</v>
      </c>
      <c r="F1445" s="366">
        <f t="shared" si="200"/>
        <v>1410.5</v>
      </c>
      <c r="G1445" s="97">
        <v>5654</v>
      </c>
      <c r="H1445" s="367">
        <f t="shared" si="201"/>
        <v>7064.5</v>
      </c>
      <c r="I1445" s="368">
        <f t="shared" si="205"/>
        <v>0</v>
      </c>
      <c r="J1445" s="97">
        <v>14495</v>
      </c>
      <c r="K1445" s="367">
        <f t="shared" si="206"/>
        <v>10353.571428571429</v>
      </c>
      <c r="L1445" s="97">
        <v>0.91</v>
      </c>
      <c r="M1445" s="97">
        <v>4.3999999999999995</v>
      </c>
      <c r="N1445" s="97">
        <v>26</v>
      </c>
      <c r="O1445" s="97">
        <v>8</v>
      </c>
      <c r="P1445" s="97" t="s">
        <v>512</v>
      </c>
      <c r="Q1445" s="97" t="str">
        <f t="shared" si="202"/>
        <v/>
      </c>
      <c r="R1445" t="str">
        <f t="shared" si="203"/>
        <v/>
      </c>
    </row>
    <row r="1446" spans="3:18">
      <c r="C1446" t="str">
        <f t="shared" si="204"/>
        <v/>
      </c>
      <c r="D1446" s="36">
        <v>186</v>
      </c>
      <c r="E1446" s="97">
        <v>65</v>
      </c>
      <c r="F1446" s="366">
        <f t="shared" si="200"/>
        <v>1410.5</v>
      </c>
      <c r="G1446" s="97">
        <v>4811</v>
      </c>
      <c r="H1446" s="367">
        <f t="shared" si="201"/>
        <v>6221.5</v>
      </c>
      <c r="I1446" s="368">
        <f t="shared" si="205"/>
        <v>0</v>
      </c>
      <c r="J1446" s="97">
        <v>12334</v>
      </c>
      <c r="K1446" s="367">
        <f t="shared" si="206"/>
        <v>8810</v>
      </c>
      <c r="L1446" s="97">
        <v>0.31</v>
      </c>
      <c r="M1446" s="97">
        <v>5.3999999999999995</v>
      </c>
      <c r="N1446" s="97">
        <v>23</v>
      </c>
      <c r="O1446" s="97">
        <v>10</v>
      </c>
      <c r="P1446" s="97" t="s">
        <v>513</v>
      </c>
      <c r="Q1446" s="97" t="str">
        <f t="shared" si="202"/>
        <v/>
      </c>
      <c r="R1446" t="str">
        <f t="shared" si="203"/>
        <v/>
      </c>
    </row>
    <row r="1447" spans="3:18">
      <c r="C1447" t="str">
        <f t="shared" si="204"/>
        <v/>
      </c>
      <c r="D1447" s="36">
        <v>187</v>
      </c>
      <c r="E1447" s="97">
        <v>65</v>
      </c>
      <c r="F1447" s="366">
        <f t="shared" si="200"/>
        <v>1410.5</v>
      </c>
      <c r="G1447" s="97">
        <v>5569</v>
      </c>
      <c r="H1447" s="367">
        <f t="shared" si="201"/>
        <v>6979.5</v>
      </c>
      <c r="I1447" s="368">
        <f t="shared" si="205"/>
        <v>0</v>
      </c>
      <c r="J1447" s="97">
        <v>14275</v>
      </c>
      <c r="K1447" s="367">
        <f t="shared" si="206"/>
        <v>10196.428571428572</v>
      </c>
      <c r="L1447" s="97">
        <v>0.59</v>
      </c>
      <c r="M1447" s="97">
        <v>5.3999999999999995</v>
      </c>
      <c r="N1447" s="97">
        <v>24</v>
      </c>
      <c r="O1447" s="97">
        <v>10</v>
      </c>
      <c r="P1447" s="97" t="s">
        <v>512</v>
      </c>
      <c r="Q1447" s="97" t="str">
        <f t="shared" si="202"/>
        <v/>
      </c>
      <c r="R1447" t="str">
        <f t="shared" si="203"/>
        <v/>
      </c>
    </row>
    <row r="1448" spans="3:18">
      <c r="C1448" t="str">
        <f t="shared" si="204"/>
        <v/>
      </c>
      <c r="D1448" s="36">
        <v>188</v>
      </c>
      <c r="E1448" s="97">
        <v>70</v>
      </c>
      <c r="F1448" s="366">
        <f t="shared" si="200"/>
        <v>1519</v>
      </c>
      <c r="G1448" s="97">
        <v>2076</v>
      </c>
      <c r="H1448" s="367">
        <f t="shared" si="201"/>
        <v>3595</v>
      </c>
      <c r="I1448" s="368">
        <f t="shared" si="205"/>
        <v>0</v>
      </c>
      <c r="J1448" s="97">
        <v>5322</v>
      </c>
      <c r="K1448" s="367">
        <f t="shared" si="206"/>
        <v>3801.4285714285716</v>
      </c>
      <c r="L1448" s="97">
        <v>0.78</v>
      </c>
      <c r="M1448" s="97">
        <v>9.7999999999999989</v>
      </c>
      <c r="N1448" s="97">
        <v>25</v>
      </c>
      <c r="O1448" s="97">
        <v>2</v>
      </c>
      <c r="P1448" s="97" t="s">
        <v>515</v>
      </c>
      <c r="Q1448" s="97" t="str">
        <f t="shared" si="202"/>
        <v/>
      </c>
      <c r="R1448" t="str">
        <f t="shared" si="203"/>
        <v/>
      </c>
    </row>
    <row r="1449" spans="3:18">
      <c r="C1449" t="str">
        <f t="shared" si="204"/>
        <v>NL</v>
      </c>
      <c r="D1449" s="36">
        <v>189</v>
      </c>
      <c r="E1449" s="97">
        <v>70</v>
      </c>
      <c r="F1449" s="366">
        <f t="shared" si="200"/>
        <v>1519</v>
      </c>
      <c r="G1449" s="97">
        <v>2257</v>
      </c>
      <c r="H1449" s="367">
        <f t="shared" si="201"/>
        <v>3776</v>
      </c>
      <c r="I1449" s="368">
        <f t="shared" si="205"/>
        <v>0</v>
      </c>
      <c r="J1449" s="97">
        <v>5787</v>
      </c>
      <c r="K1449" s="367">
        <f t="shared" si="206"/>
        <v>4133.5714285714284</v>
      </c>
      <c r="L1449" s="97">
        <v>0.33</v>
      </c>
      <c r="M1449" s="97">
        <v>1.8</v>
      </c>
      <c r="N1449" s="97">
        <v>21</v>
      </c>
      <c r="O1449" s="97">
        <v>3</v>
      </c>
      <c r="P1449" s="97" t="s">
        <v>515</v>
      </c>
      <c r="Q1449" s="97" t="str">
        <f t="shared" si="202"/>
        <v/>
      </c>
      <c r="R1449" t="str">
        <f t="shared" si="203"/>
        <v/>
      </c>
    </row>
    <row r="1450" spans="3:18">
      <c r="C1450" t="str">
        <f t="shared" si="204"/>
        <v>NL</v>
      </c>
      <c r="D1450" s="36">
        <v>190</v>
      </c>
      <c r="E1450" s="97">
        <v>70</v>
      </c>
      <c r="F1450" s="366">
        <f t="shared" si="200"/>
        <v>1519</v>
      </c>
      <c r="G1450" s="97">
        <v>2694</v>
      </c>
      <c r="H1450" s="367">
        <f t="shared" si="201"/>
        <v>4213</v>
      </c>
      <c r="I1450" s="368">
        <f t="shared" si="205"/>
        <v>0</v>
      </c>
      <c r="J1450" s="97">
        <v>6907</v>
      </c>
      <c r="K1450" s="367">
        <f t="shared" si="206"/>
        <v>4933.5714285714284</v>
      </c>
      <c r="L1450" s="97">
        <v>0.55000000000000004</v>
      </c>
      <c r="M1450" s="97">
        <v>1.8</v>
      </c>
      <c r="N1450" s="97">
        <v>24</v>
      </c>
      <c r="O1450" s="97">
        <v>3</v>
      </c>
      <c r="P1450" s="97" t="s">
        <v>556</v>
      </c>
      <c r="Q1450" s="97" t="str">
        <f t="shared" si="202"/>
        <v/>
      </c>
      <c r="R1450" t="str">
        <f t="shared" si="203"/>
        <v/>
      </c>
    </row>
    <row r="1451" spans="3:18">
      <c r="C1451" t="str">
        <f t="shared" si="204"/>
        <v/>
      </c>
      <c r="D1451" s="36">
        <v>191</v>
      </c>
      <c r="E1451" s="97">
        <v>70</v>
      </c>
      <c r="F1451" s="366">
        <f t="shared" si="200"/>
        <v>1519</v>
      </c>
      <c r="G1451" s="97">
        <v>2152</v>
      </c>
      <c r="H1451" s="367">
        <f t="shared" si="201"/>
        <v>3671</v>
      </c>
      <c r="I1451" s="368">
        <f t="shared" si="205"/>
        <v>0</v>
      </c>
      <c r="J1451" s="97">
        <v>5518</v>
      </c>
      <c r="K1451" s="367">
        <f t="shared" si="206"/>
        <v>3941.4285714285716</v>
      </c>
      <c r="L1451" s="97">
        <v>0.19</v>
      </c>
      <c r="M1451" s="97">
        <v>2.3000000000000003</v>
      </c>
      <c r="N1451" s="97">
        <v>20</v>
      </c>
      <c r="O1451" s="97">
        <v>4</v>
      </c>
      <c r="P1451" s="97" t="s">
        <v>515</v>
      </c>
      <c r="Q1451" s="97">
        <f t="shared" si="202"/>
        <v>191</v>
      </c>
      <c r="R1451" t="str">
        <f t="shared" si="203"/>
        <v/>
      </c>
    </row>
    <row r="1452" spans="3:18">
      <c r="C1452" t="str">
        <f t="shared" si="204"/>
        <v/>
      </c>
      <c r="D1452" s="36">
        <v>192</v>
      </c>
      <c r="E1452" s="97">
        <v>70</v>
      </c>
      <c r="F1452" s="366">
        <f t="shared" si="200"/>
        <v>1519</v>
      </c>
      <c r="G1452" s="97">
        <v>2642</v>
      </c>
      <c r="H1452" s="367">
        <f t="shared" si="201"/>
        <v>4161</v>
      </c>
      <c r="I1452" s="368">
        <f t="shared" si="205"/>
        <v>0</v>
      </c>
      <c r="J1452" s="97">
        <v>6773</v>
      </c>
      <c r="K1452" s="367">
        <f t="shared" si="206"/>
        <v>4837.8571428571431</v>
      </c>
      <c r="L1452" s="97">
        <v>0.31</v>
      </c>
      <c r="M1452" s="97">
        <v>2.3000000000000003</v>
      </c>
      <c r="N1452" s="97">
        <v>22</v>
      </c>
      <c r="O1452" s="97">
        <v>4</v>
      </c>
      <c r="P1452" s="97" t="s">
        <v>556</v>
      </c>
      <c r="Q1452" s="97">
        <f t="shared" si="202"/>
        <v>192</v>
      </c>
      <c r="R1452" t="str">
        <f t="shared" si="203"/>
        <v/>
      </c>
    </row>
    <row r="1453" spans="3:18">
      <c r="C1453" t="str">
        <f t="shared" si="204"/>
        <v/>
      </c>
      <c r="D1453" s="36">
        <v>193</v>
      </c>
      <c r="E1453" s="97">
        <v>70</v>
      </c>
      <c r="F1453" s="366">
        <f t="shared" ref="F1453:F1516" si="207">1.085*($A$2-$B$2)*E1453*$T$7</f>
        <v>1519</v>
      </c>
      <c r="G1453" s="97">
        <v>3385</v>
      </c>
      <c r="H1453" s="367">
        <f t="shared" ref="H1453:H1516" si="208">(G1453*$U$7)+F1453</f>
        <v>4904</v>
      </c>
      <c r="I1453" s="368">
        <f t="shared" si="205"/>
        <v>0</v>
      </c>
      <c r="J1453" s="97">
        <v>8678</v>
      </c>
      <c r="K1453" s="367">
        <f t="shared" si="206"/>
        <v>6198.5714285714284</v>
      </c>
      <c r="L1453" s="97">
        <v>0.65</v>
      </c>
      <c r="M1453" s="97">
        <v>2.3000000000000003</v>
      </c>
      <c r="N1453" s="97">
        <v>27</v>
      </c>
      <c r="O1453" s="97">
        <v>4</v>
      </c>
      <c r="P1453" s="97" t="s">
        <v>514</v>
      </c>
      <c r="Q1453" s="97">
        <f t="shared" ref="Q1453:Q1516" si="209">IF(AND(H1453+1&gt;$E$4,L1453&lt;$L$4+0.01,M1453&lt;$M$4+0.01,K1453+1&gt;$F$4,E1453+1&gt;$J$4,N1453&lt;$K$4+1,O1453&lt;$P$4+1,C1453=""),D1453,"")</f>
        <v>193</v>
      </c>
      <c r="R1453" t="str">
        <f t="shared" ref="R1453:R1516" si="210">IF(Q1453="","",IF(AND(O1453&lt;$X$16,E1453&gt;$U$16,E1453&lt;$Q$4+$U$16+1),D1453,""))</f>
        <v/>
      </c>
    </row>
    <row r="1454" spans="3:18">
      <c r="C1454" t="str">
        <f t="shared" si="204"/>
        <v/>
      </c>
      <c r="D1454" s="36">
        <v>194</v>
      </c>
      <c r="E1454" s="97">
        <v>70</v>
      </c>
      <c r="F1454" s="366">
        <f t="shared" si="207"/>
        <v>1519</v>
      </c>
      <c r="G1454" s="97">
        <v>3580</v>
      </c>
      <c r="H1454" s="367">
        <f t="shared" si="208"/>
        <v>5099</v>
      </c>
      <c r="I1454" s="368">
        <f t="shared" si="205"/>
        <v>0</v>
      </c>
      <c r="J1454" s="97">
        <v>9179</v>
      </c>
      <c r="K1454" s="367">
        <f t="shared" si="206"/>
        <v>6556.4285714285716</v>
      </c>
      <c r="L1454" s="97">
        <v>0.96</v>
      </c>
      <c r="M1454" s="97">
        <v>2.3000000000000003</v>
      </c>
      <c r="N1454" s="97">
        <v>26</v>
      </c>
      <c r="O1454" s="97">
        <v>4</v>
      </c>
      <c r="P1454" s="97" t="s">
        <v>555</v>
      </c>
      <c r="Q1454" s="97" t="str">
        <f t="shared" si="209"/>
        <v/>
      </c>
      <c r="R1454" t="str">
        <f t="shared" si="210"/>
        <v/>
      </c>
    </row>
    <row r="1455" spans="3:18">
      <c r="C1455" t="str">
        <f t="shared" si="204"/>
        <v>NL</v>
      </c>
      <c r="D1455" s="36">
        <v>195</v>
      </c>
      <c r="E1455" s="97">
        <v>70</v>
      </c>
      <c r="F1455" s="366">
        <f t="shared" si="207"/>
        <v>1519</v>
      </c>
      <c r="G1455" s="97">
        <v>2641</v>
      </c>
      <c r="H1455" s="367">
        <f t="shared" si="208"/>
        <v>4160</v>
      </c>
      <c r="I1455" s="368">
        <f t="shared" si="205"/>
        <v>0</v>
      </c>
      <c r="J1455" s="97">
        <v>6771</v>
      </c>
      <c r="K1455" s="367">
        <f t="shared" si="206"/>
        <v>4836.4285714285716</v>
      </c>
      <c r="L1455" s="97">
        <v>0.21000000000000002</v>
      </c>
      <c r="M1455" s="97">
        <v>2.8000000000000003</v>
      </c>
      <c r="N1455" s="97">
        <v>21</v>
      </c>
      <c r="O1455" s="97">
        <v>5</v>
      </c>
      <c r="P1455" s="97" t="s">
        <v>556</v>
      </c>
      <c r="Q1455" s="97" t="str">
        <f t="shared" si="209"/>
        <v/>
      </c>
      <c r="R1455" t="str">
        <f t="shared" si="210"/>
        <v/>
      </c>
    </row>
    <row r="1456" spans="3:18">
      <c r="C1456" t="str">
        <f t="shared" si="204"/>
        <v>NL</v>
      </c>
      <c r="D1456" s="36">
        <v>196</v>
      </c>
      <c r="E1456" s="97">
        <v>70</v>
      </c>
      <c r="F1456" s="366">
        <f t="shared" si="207"/>
        <v>1519</v>
      </c>
      <c r="G1456" s="97">
        <v>3481</v>
      </c>
      <c r="H1456" s="367">
        <f t="shared" si="208"/>
        <v>5000</v>
      </c>
      <c r="I1456" s="368">
        <f t="shared" si="205"/>
        <v>0</v>
      </c>
      <c r="J1456" s="97">
        <v>8925</v>
      </c>
      <c r="K1456" s="367">
        <f t="shared" si="206"/>
        <v>6375</v>
      </c>
      <c r="L1456" s="97">
        <v>0.42</v>
      </c>
      <c r="M1456" s="97">
        <v>2.8000000000000003</v>
      </c>
      <c r="N1456" s="97">
        <v>25</v>
      </c>
      <c r="O1456" s="97">
        <v>5</v>
      </c>
      <c r="P1456" s="97" t="s">
        <v>514</v>
      </c>
      <c r="Q1456" s="97" t="str">
        <f t="shared" si="209"/>
        <v/>
      </c>
      <c r="R1456" t="str">
        <f t="shared" si="210"/>
        <v/>
      </c>
    </row>
    <row r="1457" spans="3:18">
      <c r="C1457" t="str">
        <f t="shared" si="204"/>
        <v>NL</v>
      </c>
      <c r="D1457" s="36">
        <v>197</v>
      </c>
      <c r="E1457" s="97">
        <v>70</v>
      </c>
      <c r="F1457" s="366">
        <f t="shared" si="207"/>
        <v>1519</v>
      </c>
      <c r="G1457" s="97">
        <v>3759</v>
      </c>
      <c r="H1457" s="367">
        <f t="shared" si="208"/>
        <v>5278</v>
      </c>
      <c r="I1457" s="368">
        <f t="shared" si="205"/>
        <v>0</v>
      </c>
      <c r="J1457" s="97">
        <v>9636</v>
      </c>
      <c r="K1457" s="367">
        <f t="shared" si="206"/>
        <v>6882.8571428571431</v>
      </c>
      <c r="L1457" s="97">
        <v>0.6</v>
      </c>
      <c r="M1457" s="97">
        <v>2.8000000000000003</v>
      </c>
      <c r="N1457" s="97">
        <v>24</v>
      </c>
      <c r="O1457" s="97">
        <v>5</v>
      </c>
      <c r="P1457" s="97" t="s">
        <v>555</v>
      </c>
      <c r="Q1457" s="97" t="str">
        <f t="shared" si="209"/>
        <v/>
      </c>
      <c r="R1457" t="str">
        <f t="shared" si="210"/>
        <v/>
      </c>
    </row>
    <row r="1458" spans="3:18">
      <c r="C1458" t="str">
        <f t="shared" si="204"/>
        <v/>
      </c>
      <c r="D1458" s="36">
        <v>198</v>
      </c>
      <c r="E1458" s="97">
        <v>70</v>
      </c>
      <c r="F1458" s="366">
        <f t="shared" si="207"/>
        <v>1519</v>
      </c>
      <c r="G1458" s="97">
        <v>3358</v>
      </c>
      <c r="H1458" s="367">
        <f t="shared" si="208"/>
        <v>4877</v>
      </c>
      <c r="I1458" s="368">
        <f t="shared" si="205"/>
        <v>0</v>
      </c>
      <c r="J1458" s="97">
        <v>8608</v>
      </c>
      <c r="K1458" s="367">
        <f t="shared" si="206"/>
        <v>6148.5714285714284</v>
      </c>
      <c r="L1458" s="97">
        <v>0.29000000000000004</v>
      </c>
      <c r="M1458" s="97">
        <v>3.4</v>
      </c>
      <c r="N1458" s="97">
        <v>24</v>
      </c>
      <c r="O1458" s="97">
        <v>6</v>
      </c>
      <c r="P1458" s="97" t="s">
        <v>514</v>
      </c>
      <c r="Q1458" s="97">
        <f t="shared" si="209"/>
        <v>198</v>
      </c>
      <c r="R1458" t="str">
        <f t="shared" si="210"/>
        <v/>
      </c>
    </row>
    <row r="1459" spans="3:18">
      <c r="C1459" t="str">
        <f t="shared" si="204"/>
        <v/>
      </c>
      <c r="D1459" s="36">
        <v>199</v>
      </c>
      <c r="E1459" s="97">
        <v>70</v>
      </c>
      <c r="F1459" s="366">
        <f t="shared" si="207"/>
        <v>1519</v>
      </c>
      <c r="G1459" s="97">
        <v>3807</v>
      </c>
      <c r="H1459" s="367">
        <f t="shared" si="208"/>
        <v>5326</v>
      </c>
      <c r="I1459" s="368">
        <f t="shared" si="205"/>
        <v>0</v>
      </c>
      <c r="J1459" s="97">
        <v>9760</v>
      </c>
      <c r="K1459" s="367">
        <f t="shared" si="206"/>
        <v>6971.4285714285716</v>
      </c>
      <c r="L1459" s="97">
        <v>0.43</v>
      </c>
      <c r="M1459" s="97">
        <v>3.4</v>
      </c>
      <c r="N1459" s="97">
        <v>23</v>
      </c>
      <c r="O1459" s="97">
        <v>6</v>
      </c>
      <c r="P1459" s="97" t="s">
        <v>555</v>
      </c>
      <c r="Q1459" s="97">
        <f t="shared" si="209"/>
        <v>199</v>
      </c>
      <c r="R1459" t="str">
        <f t="shared" si="210"/>
        <v/>
      </c>
    </row>
    <row r="1460" spans="3:18">
      <c r="C1460" t="str">
        <f t="shared" si="204"/>
        <v/>
      </c>
      <c r="D1460" s="36">
        <v>200</v>
      </c>
      <c r="E1460" s="97">
        <v>70</v>
      </c>
      <c r="F1460" s="366">
        <f t="shared" si="207"/>
        <v>1519</v>
      </c>
      <c r="G1460" s="97">
        <v>5145</v>
      </c>
      <c r="H1460" s="367">
        <f t="shared" si="208"/>
        <v>6664</v>
      </c>
      <c r="I1460" s="368">
        <f t="shared" si="205"/>
        <v>0</v>
      </c>
      <c r="J1460" s="97">
        <v>13189</v>
      </c>
      <c r="K1460" s="367">
        <f t="shared" si="206"/>
        <v>9420.7142857142862</v>
      </c>
      <c r="L1460" s="97">
        <v>0.94000000000000006</v>
      </c>
      <c r="M1460" s="97">
        <v>3.4</v>
      </c>
      <c r="N1460" s="97">
        <v>28</v>
      </c>
      <c r="O1460" s="97">
        <v>6</v>
      </c>
      <c r="P1460" s="97" t="s">
        <v>513</v>
      </c>
      <c r="Q1460" s="97" t="str">
        <f t="shared" si="209"/>
        <v/>
      </c>
      <c r="R1460" t="str">
        <f t="shared" si="210"/>
        <v/>
      </c>
    </row>
    <row r="1461" spans="3:18">
      <c r="C1461" t="str">
        <f t="shared" si="204"/>
        <v>NL</v>
      </c>
      <c r="D1461" s="36">
        <v>201</v>
      </c>
      <c r="E1461" s="97">
        <v>70</v>
      </c>
      <c r="F1461" s="366">
        <f t="shared" si="207"/>
        <v>1519</v>
      </c>
      <c r="G1461" s="97">
        <v>3233</v>
      </c>
      <c r="H1461" s="367">
        <f t="shared" si="208"/>
        <v>4752</v>
      </c>
      <c r="I1461" s="368">
        <f t="shared" si="205"/>
        <v>0</v>
      </c>
      <c r="J1461" s="97">
        <v>8288</v>
      </c>
      <c r="K1461" s="367">
        <f t="shared" si="206"/>
        <v>5920</v>
      </c>
      <c r="L1461" s="97">
        <v>0.22</v>
      </c>
      <c r="M1461" s="97">
        <v>3.9</v>
      </c>
      <c r="N1461" s="97">
        <v>23</v>
      </c>
      <c r="O1461" s="97">
        <v>7</v>
      </c>
      <c r="P1461" s="97" t="s">
        <v>514</v>
      </c>
      <c r="Q1461" s="97" t="str">
        <f t="shared" si="209"/>
        <v/>
      </c>
      <c r="R1461" t="str">
        <f t="shared" si="210"/>
        <v/>
      </c>
    </row>
    <row r="1462" spans="3:18">
      <c r="C1462" t="str">
        <f t="shared" si="204"/>
        <v>NL</v>
      </c>
      <c r="D1462" s="36">
        <v>202</v>
      </c>
      <c r="E1462" s="97">
        <v>70</v>
      </c>
      <c r="F1462" s="366">
        <f t="shared" si="207"/>
        <v>1519</v>
      </c>
      <c r="G1462" s="97">
        <v>3611</v>
      </c>
      <c r="H1462" s="367">
        <f t="shared" si="208"/>
        <v>5130</v>
      </c>
      <c r="I1462" s="368">
        <f t="shared" si="205"/>
        <v>0</v>
      </c>
      <c r="J1462" s="97">
        <v>9258</v>
      </c>
      <c r="K1462" s="367">
        <f t="shared" si="206"/>
        <v>6612.8571428571431</v>
      </c>
      <c r="L1462" s="97">
        <v>0.32</v>
      </c>
      <c r="M1462" s="97">
        <v>3.9</v>
      </c>
      <c r="N1462" s="97">
        <v>22</v>
      </c>
      <c r="O1462" s="97">
        <v>7</v>
      </c>
      <c r="P1462" s="97" t="s">
        <v>555</v>
      </c>
      <c r="Q1462" s="97" t="str">
        <f t="shared" si="209"/>
        <v/>
      </c>
      <c r="R1462" t="str">
        <f t="shared" si="210"/>
        <v/>
      </c>
    </row>
    <row r="1463" spans="3:18">
      <c r="C1463" t="str">
        <f t="shared" si="204"/>
        <v>NL</v>
      </c>
      <c r="D1463" s="36">
        <v>203</v>
      </c>
      <c r="E1463" s="97">
        <v>70</v>
      </c>
      <c r="F1463" s="366">
        <f t="shared" si="207"/>
        <v>1519</v>
      </c>
      <c r="G1463" s="97">
        <v>5000</v>
      </c>
      <c r="H1463" s="367">
        <f t="shared" si="208"/>
        <v>6519</v>
      </c>
      <c r="I1463" s="368">
        <f t="shared" si="205"/>
        <v>0</v>
      </c>
      <c r="J1463" s="97">
        <v>12817</v>
      </c>
      <c r="K1463" s="367">
        <f t="shared" si="206"/>
        <v>9155</v>
      </c>
      <c r="L1463" s="97">
        <v>0.7</v>
      </c>
      <c r="M1463" s="97">
        <v>3.9</v>
      </c>
      <c r="N1463" s="97">
        <v>27</v>
      </c>
      <c r="O1463" s="97">
        <v>7</v>
      </c>
      <c r="P1463" s="97" t="s">
        <v>513</v>
      </c>
      <c r="Q1463" s="97" t="str">
        <f t="shared" si="209"/>
        <v/>
      </c>
      <c r="R1463" t="str">
        <f t="shared" si="210"/>
        <v/>
      </c>
    </row>
    <row r="1464" spans="3:18">
      <c r="C1464" t="str">
        <f t="shared" si="204"/>
        <v/>
      </c>
      <c r="D1464" s="36">
        <v>204</v>
      </c>
      <c r="E1464" s="97">
        <v>70</v>
      </c>
      <c r="F1464" s="366">
        <f t="shared" si="207"/>
        <v>1519</v>
      </c>
      <c r="G1464" s="97">
        <v>3317</v>
      </c>
      <c r="H1464" s="367">
        <f t="shared" si="208"/>
        <v>4836</v>
      </c>
      <c r="I1464" s="368">
        <f t="shared" si="205"/>
        <v>0</v>
      </c>
      <c r="J1464" s="97">
        <v>8504</v>
      </c>
      <c r="K1464" s="367">
        <f t="shared" si="206"/>
        <v>6074.2857142857147</v>
      </c>
      <c r="L1464" s="97">
        <v>0.18000000000000002</v>
      </c>
      <c r="M1464" s="97">
        <v>4.3999999999999995</v>
      </c>
      <c r="N1464" s="97">
        <v>23</v>
      </c>
      <c r="O1464" s="97">
        <v>8</v>
      </c>
      <c r="P1464" s="97" t="s">
        <v>514</v>
      </c>
      <c r="Q1464" s="97">
        <f t="shared" si="209"/>
        <v>204</v>
      </c>
      <c r="R1464" t="str">
        <f t="shared" si="210"/>
        <v/>
      </c>
    </row>
    <row r="1465" spans="3:18">
      <c r="C1465" t="str">
        <f t="shared" si="204"/>
        <v/>
      </c>
      <c r="D1465" s="36">
        <v>205</v>
      </c>
      <c r="E1465" s="97">
        <v>70</v>
      </c>
      <c r="F1465" s="366">
        <f t="shared" si="207"/>
        <v>1519</v>
      </c>
      <c r="G1465" s="97">
        <v>3722</v>
      </c>
      <c r="H1465" s="367">
        <f t="shared" si="208"/>
        <v>5241</v>
      </c>
      <c r="I1465" s="368">
        <f t="shared" si="205"/>
        <v>0</v>
      </c>
      <c r="J1465" s="97">
        <v>9543</v>
      </c>
      <c r="K1465" s="367">
        <f t="shared" si="206"/>
        <v>6816.4285714285716</v>
      </c>
      <c r="L1465" s="97">
        <v>0.26</v>
      </c>
      <c r="M1465" s="97">
        <v>4.3999999999999995</v>
      </c>
      <c r="N1465" s="97">
        <v>21</v>
      </c>
      <c r="O1465" s="97">
        <v>8</v>
      </c>
      <c r="P1465" s="97" t="s">
        <v>555</v>
      </c>
      <c r="Q1465" s="97">
        <f t="shared" si="209"/>
        <v>205</v>
      </c>
      <c r="R1465" t="str">
        <f t="shared" si="210"/>
        <v/>
      </c>
    </row>
    <row r="1466" spans="3:18">
      <c r="C1466" t="str">
        <f t="shared" si="204"/>
        <v/>
      </c>
      <c r="D1466" s="36">
        <v>206</v>
      </c>
      <c r="E1466" s="97">
        <v>70</v>
      </c>
      <c r="F1466" s="366">
        <f t="shared" si="207"/>
        <v>1519</v>
      </c>
      <c r="G1466" s="97">
        <v>4784</v>
      </c>
      <c r="H1466" s="367">
        <f t="shared" si="208"/>
        <v>6303</v>
      </c>
      <c r="I1466" s="368">
        <f t="shared" si="205"/>
        <v>0</v>
      </c>
      <c r="J1466" s="97">
        <v>12263</v>
      </c>
      <c r="K1466" s="367">
        <f t="shared" si="206"/>
        <v>8759.2857142857138</v>
      </c>
      <c r="L1466" s="97">
        <v>0.54</v>
      </c>
      <c r="M1466" s="97">
        <v>4.3999999999999995</v>
      </c>
      <c r="N1466" s="97">
        <v>26</v>
      </c>
      <c r="O1466" s="97">
        <v>8</v>
      </c>
      <c r="P1466" s="97" t="s">
        <v>513</v>
      </c>
      <c r="Q1466" s="97">
        <f t="shared" si="209"/>
        <v>206</v>
      </c>
      <c r="R1466" t="str">
        <f t="shared" si="210"/>
        <v/>
      </c>
    </row>
    <row r="1467" spans="3:18">
      <c r="C1467" t="str">
        <f t="shared" si="204"/>
        <v/>
      </c>
      <c r="D1467" s="36">
        <v>207</v>
      </c>
      <c r="E1467" s="97">
        <v>70</v>
      </c>
      <c r="F1467" s="366">
        <f t="shared" si="207"/>
        <v>1519</v>
      </c>
      <c r="G1467" s="97">
        <v>4946</v>
      </c>
      <c r="H1467" s="367">
        <f t="shared" si="208"/>
        <v>6465</v>
      </c>
      <c r="I1467" s="368">
        <f t="shared" si="205"/>
        <v>0</v>
      </c>
      <c r="J1467" s="97">
        <v>12680</v>
      </c>
      <c r="K1467" s="367">
        <f t="shared" si="206"/>
        <v>9057.1428571428569</v>
      </c>
      <c r="L1467" s="97">
        <v>0.36</v>
      </c>
      <c r="M1467" s="97">
        <v>5.3999999999999995</v>
      </c>
      <c r="N1467" s="97">
        <v>24</v>
      </c>
      <c r="O1467" s="97">
        <v>10</v>
      </c>
      <c r="P1467" s="97" t="s">
        <v>513</v>
      </c>
      <c r="Q1467" s="97" t="str">
        <f t="shared" si="209"/>
        <v/>
      </c>
      <c r="R1467" t="str">
        <f t="shared" si="210"/>
        <v/>
      </c>
    </row>
    <row r="1468" spans="3:18">
      <c r="C1468" t="str">
        <f t="shared" si="204"/>
        <v/>
      </c>
      <c r="D1468" s="36">
        <v>208</v>
      </c>
      <c r="E1468" s="97">
        <v>70</v>
      </c>
      <c r="F1468" s="366">
        <f t="shared" si="207"/>
        <v>1519</v>
      </c>
      <c r="G1468" s="97">
        <v>5910</v>
      </c>
      <c r="H1468" s="367">
        <f t="shared" si="208"/>
        <v>7429</v>
      </c>
      <c r="I1468" s="368">
        <f t="shared" si="205"/>
        <v>0</v>
      </c>
      <c r="J1468" s="97">
        <v>15150</v>
      </c>
      <c r="K1468" s="367">
        <f t="shared" si="206"/>
        <v>10821.428571428572</v>
      </c>
      <c r="L1468" s="97">
        <v>0.69000000000000006</v>
      </c>
      <c r="M1468" s="97">
        <v>5.3999999999999995</v>
      </c>
      <c r="N1468" s="97">
        <v>25</v>
      </c>
      <c r="O1468" s="97">
        <v>10</v>
      </c>
      <c r="P1468" s="97" t="s">
        <v>512</v>
      </c>
      <c r="Q1468" s="97" t="str">
        <f t="shared" si="209"/>
        <v/>
      </c>
      <c r="R1468" t="str">
        <f t="shared" si="210"/>
        <v/>
      </c>
    </row>
    <row r="1469" spans="3:18">
      <c r="C1469" t="str">
        <f t="shared" si="204"/>
        <v/>
      </c>
      <c r="D1469" s="36">
        <v>209</v>
      </c>
      <c r="E1469" s="97">
        <v>75</v>
      </c>
      <c r="F1469" s="366">
        <f t="shared" si="207"/>
        <v>1627.5</v>
      </c>
      <c r="G1469" s="97">
        <v>2169</v>
      </c>
      <c r="H1469" s="367">
        <f t="shared" si="208"/>
        <v>3796.5</v>
      </c>
      <c r="I1469" s="368">
        <f t="shared" si="205"/>
        <v>0</v>
      </c>
      <c r="J1469" s="97">
        <v>5562</v>
      </c>
      <c r="K1469" s="367">
        <f t="shared" si="206"/>
        <v>3972.8571428571431</v>
      </c>
      <c r="L1469" s="97">
        <v>0.88</v>
      </c>
      <c r="M1469" s="97">
        <v>9.7999999999999989</v>
      </c>
      <c r="N1469" s="97">
        <v>26</v>
      </c>
      <c r="O1469" s="97">
        <v>2</v>
      </c>
      <c r="P1469" s="97" t="s">
        <v>515</v>
      </c>
      <c r="Q1469" s="97" t="str">
        <f t="shared" si="209"/>
        <v/>
      </c>
      <c r="R1469" t="str">
        <f t="shared" si="210"/>
        <v/>
      </c>
    </row>
    <row r="1470" spans="3:18">
      <c r="C1470" t="str">
        <f t="shared" si="204"/>
        <v>NL</v>
      </c>
      <c r="D1470" s="36">
        <v>210</v>
      </c>
      <c r="E1470" s="97">
        <v>75</v>
      </c>
      <c r="F1470" s="366">
        <f t="shared" si="207"/>
        <v>1627.5</v>
      </c>
      <c r="G1470" s="97">
        <v>2422</v>
      </c>
      <c r="H1470" s="367">
        <f t="shared" si="208"/>
        <v>4049.5</v>
      </c>
      <c r="I1470" s="368">
        <f t="shared" si="205"/>
        <v>0</v>
      </c>
      <c r="J1470" s="97">
        <v>6210</v>
      </c>
      <c r="K1470" s="367">
        <f t="shared" si="206"/>
        <v>4435.7142857142862</v>
      </c>
      <c r="L1470" s="97">
        <v>0.37</v>
      </c>
      <c r="M1470" s="97">
        <v>1.8</v>
      </c>
      <c r="N1470" s="97">
        <v>22</v>
      </c>
      <c r="O1470" s="97">
        <v>3</v>
      </c>
      <c r="P1470" s="97" t="s">
        <v>515</v>
      </c>
      <c r="Q1470" s="97" t="str">
        <f t="shared" si="209"/>
        <v/>
      </c>
      <c r="R1470" t="str">
        <f t="shared" si="210"/>
        <v/>
      </c>
    </row>
    <row r="1471" spans="3:18">
      <c r="C1471" t="str">
        <f t="shared" si="204"/>
        <v>NL</v>
      </c>
      <c r="D1471" s="36">
        <v>211</v>
      </c>
      <c r="E1471" s="97">
        <v>75</v>
      </c>
      <c r="F1471" s="366">
        <f t="shared" si="207"/>
        <v>1627.5</v>
      </c>
      <c r="G1471" s="97">
        <v>2843</v>
      </c>
      <c r="H1471" s="367">
        <f t="shared" si="208"/>
        <v>4470.5</v>
      </c>
      <c r="I1471" s="368">
        <f t="shared" si="205"/>
        <v>0</v>
      </c>
      <c r="J1471" s="97">
        <v>7288</v>
      </c>
      <c r="K1471" s="367">
        <f t="shared" si="206"/>
        <v>5205.7142857142862</v>
      </c>
      <c r="L1471" s="97">
        <v>0.62</v>
      </c>
      <c r="M1471" s="97">
        <v>1.8</v>
      </c>
      <c r="N1471" s="97">
        <v>25</v>
      </c>
      <c r="O1471" s="97">
        <v>3</v>
      </c>
      <c r="P1471" s="97" t="s">
        <v>556</v>
      </c>
      <c r="Q1471" s="97" t="str">
        <f t="shared" si="209"/>
        <v/>
      </c>
      <c r="R1471" t="str">
        <f t="shared" si="210"/>
        <v/>
      </c>
    </row>
    <row r="1472" spans="3:18">
      <c r="C1472" t="str">
        <f t="shared" si="204"/>
        <v/>
      </c>
      <c r="D1472" s="36">
        <v>212</v>
      </c>
      <c r="E1472" s="97">
        <v>75</v>
      </c>
      <c r="F1472" s="366">
        <f t="shared" si="207"/>
        <v>1627.5</v>
      </c>
      <c r="G1472" s="97">
        <v>2320</v>
      </c>
      <c r="H1472" s="367">
        <f t="shared" si="208"/>
        <v>3947.5</v>
      </c>
      <c r="I1472" s="368">
        <f t="shared" si="205"/>
        <v>0</v>
      </c>
      <c r="J1472" s="97">
        <v>5948</v>
      </c>
      <c r="K1472" s="367">
        <f t="shared" si="206"/>
        <v>4248.5714285714284</v>
      </c>
      <c r="L1472" s="97">
        <v>0.21000000000000002</v>
      </c>
      <c r="M1472" s="97">
        <v>2.3000000000000003</v>
      </c>
      <c r="N1472" s="97">
        <v>20</v>
      </c>
      <c r="O1472" s="97">
        <v>4</v>
      </c>
      <c r="P1472" s="97" t="s">
        <v>515</v>
      </c>
      <c r="Q1472" s="97">
        <f t="shared" si="209"/>
        <v>212</v>
      </c>
      <c r="R1472" t="str">
        <f t="shared" si="210"/>
        <v/>
      </c>
    </row>
    <row r="1473" spans="3:18">
      <c r="C1473" t="str">
        <f t="shared" si="204"/>
        <v/>
      </c>
      <c r="D1473" s="36">
        <v>213</v>
      </c>
      <c r="E1473" s="97">
        <v>75</v>
      </c>
      <c r="F1473" s="366">
        <f t="shared" si="207"/>
        <v>1627.5</v>
      </c>
      <c r="G1473" s="97">
        <v>2831</v>
      </c>
      <c r="H1473" s="367">
        <f t="shared" si="208"/>
        <v>4458.5</v>
      </c>
      <c r="I1473" s="368">
        <f t="shared" si="205"/>
        <v>0</v>
      </c>
      <c r="J1473" s="97">
        <v>7257</v>
      </c>
      <c r="K1473" s="367">
        <f t="shared" si="206"/>
        <v>5183.5714285714284</v>
      </c>
      <c r="L1473" s="97">
        <v>0.35000000000000003</v>
      </c>
      <c r="M1473" s="97">
        <v>2.3000000000000003</v>
      </c>
      <c r="N1473" s="97">
        <v>22</v>
      </c>
      <c r="O1473" s="97">
        <v>4</v>
      </c>
      <c r="P1473" s="97" t="s">
        <v>556</v>
      </c>
      <c r="Q1473" s="97">
        <f t="shared" si="209"/>
        <v>213</v>
      </c>
      <c r="R1473" t="str">
        <f t="shared" si="210"/>
        <v/>
      </c>
    </row>
    <row r="1474" spans="3:18">
      <c r="C1474" t="str">
        <f t="shared" si="204"/>
        <v/>
      </c>
      <c r="D1474" s="36">
        <v>214</v>
      </c>
      <c r="E1474" s="97">
        <v>75</v>
      </c>
      <c r="F1474" s="366">
        <f t="shared" si="207"/>
        <v>1627.5</v>
      </c>
      <c r="G1474" s="97">
        <v>3570</v>
      </c>
      <c r="H1474" s="367">
        <f t="shared" si="208"/>
        <v>5197.5</v>
      </c>
      <c r="I1474" s="368">
        <f t="shared" si="205"/>
        <v>0</v>
      </c>
      <c r="J1474" s="97">
        <v>9151</v>
      </c>
      <c r="K1474" s="367">
        <f t="shared" si="206"/>
        <v>6536.4285714285716</v>
      </c>
      <c r="L1474" s="97">
        <v>0.74</v>
      </c>
      <c r="M1474" s="97">
        <v>2.3000000000000003</v>
      </c>
      <c r="N1474" s="97">
        <v>28</v>
      </c>
      <c r="O1474" s="97">
        <v>4</v>
      </c>
      <c r="P1474" s="97" t="s">
        <v>514</v>
      </c>
      <c r="Q1474" s="97" t="str">
        <f t="shared" si="209"/>
        <v/>
      </c>
      <c r="R1474" t="str">
        <f t="shared" si="210"/>
        <v/>
      </c>
    </row>
    <row r="1475" spans="3:18">
      <c r="C1475" t="str">
        <f t="shared" si="204"/>
        <v>NL</v>
      </c>
      <c r="D1475" s="36">
        <v>215</v>
      </c>
      <c r="E1475" s="97">
        <v>75</v>
      </c>
      <c r="F1475" s="366">
        <f t="shared" si="207"/>
        <v>1627.5</v>
      </c>
      <c r="G1475" s="97">
        <v>2866</v>
      </c>
      <c r="H1475" s="367">
        <f t="shared" si="208"/>
        <v>4493.5</v>
      </c>
      <c r="I1475" s="368">
        <f t="shared" si="205"/>
        <v>0</v>
      </c>
      <c r="J1475" s="97">
        <v>7347</v>
      </c>
      <c r="K1475" s="367">
        <f t="shared" si="206"/>
        <v>5247.8571428571431</v>
      </c>
      <c r="L1475" s="97">
        <v>0.23</v>
      </c>
      <c r="M1475" s="97">
        <v>2.8000000000000003</v>
      </c>
      <c r="N1475" s="97">
        <v>21</v>
      </c>
      <c r="O1475" s="97">
        <v>5</v>
      </c>
      <c r="P1475" s="97" t="s">
        <v>556</v>
      </c>
      <c r="Q1475" s="97" t="str">
        <f t="shared" si="209"/>
        <v/>
      </c>
      <c r="R1475" t="str">
        <f t="shared" si="210"/>
        <v/>
      </c>
    </row>
    <row r="1476" spans="3:18">
      <c r="C1476" t="str">
        <f t="shared" si="204"/>
        <v>NL</v>
      </c>
      <c r="D1476" s="36">
        <v>216</v>
      </c>
      <c r="E1476" s="97">
        <v>75</v>
      </c>
      <c r="F1476" s="366">
        <f t="shared" si="207"/>
        <v>1627.5</v>
      </c>
      <c r="G1476" s="97">
        <v>3685</v>
      </c>
      <c r="H1476" s="367">
        <f t="shared" si="208"/>
        <v>5312.5</v>
      </c>
      <c r="I1476" s="368">
        <f t="shared" si="205"/>
        <v>0</v>
      </c>
      <c r="J1476" s="97">
        <v>9448</v>
      </c>
      <c r="K1476" s="367">
        <f t="shared" si="206"/>
        <v>6748.5714285714284</v>
      </c>
      <c r="L1476" s="97">
        <v>0.47000000000000003</v>
      </c>
      <c r="M1476" s="97">
        <v>2.8000000000000003</v>
      </c>
      <c r="N1476" s="97">
        <v>26</v>
      </c>
      <c r="O1476" s="97">
        <v>5</v>
      </c>
      <c r="P1476" s="97" t="s">
        <v>514</v>
      </c>
      <c r="Q1476" s="97" t="str">
        <f t="shared" si="209"/>
        <v/>
      </c>
      <c r="R1476" t="str">
        <f t="shared" si="210"/>
        <v/>
      </c>
    </row>
    <row r="1477" spans="3:18">
      <c r="C1477" t="str">
        <f t="shared" si="204"/>
        <v>NL</v>
      </c>
      <c r="D1477" s="36">
        <v>217</v>
      </c>
      <c r="E1477" s="97">
        <v>75</v>
      </c>
      <c r="F1477" s="366">
        <f t="shared" si="207"/>
        <v>1627.5</v>
      </c>
      <c r="G1477" s="97">
        <v>3974</v>
      </c>
      <c r="H1477" s="367">
        <f t="shared" si="208"/>
        <v>5601.5</v>
      </c>
      <c r="I1477" s="368">
        <f t="shared" si="205"/>
        <v>0</v>
      </c>
      <c r="J1477" s="97">
        <v>10187</v>
      </c>
      <c r="K1477" s="367">
        <f t="shared" si="206"/>
        <v>7276.4285714285716</v>
      </c>
      <c r="L1477" s="97">
        <v>0.68</v>
      </c>
      <c r="M1477" s="97">
        <v>2.8000000000000003</v>
      </c>
      <c r="N1477" s="97">
        <v>24</v>
      </c>
      <c r="O1477" s="97">
        <v>5</v>
      </c>
      <c r="P1477" s="97" t="s">
        <v>555</v>
      </c>
      <c r="Q1477" s="97" t="str">
        <f t="shared" si="209"/>
        <v/>
      </c>
      <c r="R1477" t="str">
        <f t="shared" si="210"/>
        <v/>
      </c>
    </row>
    <row r="1478" spans="3:18">
      <c r="C1478" t="str">
        <f t="shared" si="204"/>
        <v/>
      </c>
      <c r="D1478" s="36">
        <v>218</v>
      </c>
      <c r="E1478" s="97">
        <v>75</v>
      </c>
      <c r="F1478" s="366">
        <f t="shared" si="207"/>
        <v>1627.5</v>
      </c>
      <c r="G1478" s="97">
        <v>3667</v>
      </c>
      <c r="H1478" s="367">
        <f t="shared" si="208"/>
        <v>5294.5</v>
      </c>
      <c r="I1478" s="368">
        <f t="shared" si="205"/>
        <v>0</v>
      </c>
      <c r="J1478" s="97">
        <v>9400</v>
      </c>
      <c r="K1478" s="367">
        <f t="shared" si="206"/>
        <v>6714.2857142857147</v>
      </c>
      <c r="L1478" s="97">
        <v>0.33</v>
      </c>
      <c r="M1478" s="97">
        <v>3.4</v>
      </c>
      <c r="N1478" s="97">
        <v>25</v>
      </c>
      <c r="O1478" s="97">
        <v>6</v>
      </c>
      <c r="P1478" s="97" t="s">
        <v>514</v>
      </c>
      <c r="Q1478" s="97">
        <f t="shared" si="209"/>
        <v>218</v>
      </c>
      <c r="R1478" t="str">
        <f t="shared" si="210"/>
        <v/>
      </c>
    </row>
    <row r="1479" spans="3:18">
      <c r="C1479" t="str">
        <f t="shared" si="204"/>
        <v/>
      </c>
      <c r="D1479" s="36">
        <v>219</v>
      </c>
      <c r="E1479" s="97">
        <v>75</v>
      </c>
      <c r="F1479" s="366">
        <f t="shared" si="207"/>
        <v>1627.5</v>
      </c>
      <c r="G1479" s="97">
        <v>4163</v>
      </c>
      <c r="H1479" s="367">
        <f t="shared" si="208"/>
        <v>5790.5</v>
      </c>
      <c r="I1479" s="368">
        <f t="shared" si="205"/>
        <v>0</v>
      </c>
      <c r="J1479" s="97">
        <v>10673</v>
      </c>
      <c r="K1479" s="367">
        <f t="shared" si="206"/>
        <v>7623.5714285714284</v>
      </c>
      <c r="L1479" s="97">
        <v>0.49</v>
      </c>
      <c r="M1479" s="97">
        <v>3.4</v>
      </c>
      <c r="N1479" s="97">
        <v>23</v>
      </c>
      <c r="O1479" s="97">
        <v>6</v>
      </c>
      <c r="P1479" s="97" t="s">
        <v>555</v>
      </c>
      <c r="Q1479" s="97">
        <f t="shared" si="209"/>
        <v>219</v>
      </c>
      <c r="R1479" t="str">
        <f t="shared" si="210"/>
        <v/>
      </c>
    </row>
    <row r="1480" spans="3:18">
      <c r="C1480" t="str">
        <f t="shared" si="204"/>
        <v>NL</v>
      </c>
      <c r="D1480" s="36">
        <v>220</v>
      </c>
      <c r="E1480" s="97">
        <v>75</v>
      </c>
      <c r="F1480" s="366">
        <f t="shared" si="207"/>
        <v>1627.5</v>
      </c>
      <c r="G1480" s="97">
        <v>3423</v>
      </c>
      <c r="H1480" s="367">
        <f t="shared" si="208"/>
        <v>5050.5</v>
      </c>
      <c r="I1480" s="368">
        <f t="shared" si="205"/>
        <v>0</v>
      </c>
      <c r="J1480" s="97">
        <v>8776</v>
      </c>
      <c r="K1480" s="367">
        <f t="shared" si="206"/>
        <v>6268.5714285714284</v>
      </c>
      <c r="L1480" s="97">
        <v>0.25</v>
      </c>
      <c r="M1480" s="97">
        <v>3.9</v>
      </c>
      <c r="N1480" s="97">
        <v>23</v>
      </c>
      <c r="O1480" s="97">
        <v>7</v>
      </c>
      <c r="P1480" s="97" t="s">
        <v>514</v>
      </c>
      <c r="Q1480" s="97" t="str">
        <f t="shared" si="209"/>
        <v/>
      </c>
      <c r="R1480" t="str">
        <f t="shared" si="210"/>
        <v/>
      </c>
    </row>
    <row r="1481" spans="3:18">
      <c r="C1481" t="str">
        <f t="shared" si="204"/>
        <v>NL</v>
      </c>
      <c r="D1481" s="36">
        <v>221</v>
      </c>
      <c r="E1481" s="97">
        <v>75</v>
      </c>
      <c r="F1481" s="366">
        <f t="shared" si="207"/>
        <v>1627.5</v>
      </c>
      <c r="G1481" s="97">
        <v>3941</v>
      </c>
      <c r="H1481" s="367">
        <f t="shared" si="208"/>
        <v>5568.5</v>
      </c>
      <c r="I1481" s="368">
        <f t="shared" si="205"/>
        <v>0</v>
      </c>
      <c r="J1481" s="97">
        <v>10103</v>
      </c>
      <c r="K1481" s="367">
        <f t="shared" si="206"/>
        <v>7216.4285714285716</v>
      </c>
      <c r="L1481" s="97">
        <v>0.36</v>
      </c>
      <c r="M1481" s="97">
        <v>3.9</v>
      </c>
      <c r="N1481" s="97">
        <v>22</v>
      </c>
      <c r="O1481" s="97">
        <v>7</v>
      </c>
      <c r="P1481" s="97" t="s">
        <v>555</v>
      </c>
      <c r="Q1481" s="97" t="str">
        <f t="shared" si="209"/>
        <v/>
      </c>
      <c r="R1481" t="str">
        <f t="shared" si="210"/>
        <v/>
      </c>
    </row>
    <row r="1482" spans="3:18">
      <c r="C1482" t="str">
        <f t="shared" si="204"/>
        <v>NL</v>
      </c>
      <c r="D1482" s="36">
        <v>222</v>
      </c>
      <c r="E1482" s="97">
        <v>75</v>
      </c>
      <c r="F1482" s="366">
        <f t="shared" si="207"/>
        <v>1627.5</v>
      </c>
      <c r="G1482" s="97">
        <v>5451</v>
      </c>
      <c r="H1482" s="367">
        <f t="shared" si="208"/>
        <v>7078.5</v>
      </c>
      <c r="I1482" s="368">
        <f t="shared" si="205"/>
        <v>0</v>
      </c>
      <c r="J1482" s="97">
        <v>13973</v>
      </c>
      <c r="K1482" s="367">
        <f t="shared" si="206"/>
        <v>9980.7142857142862</v>
      </c>
      <c r="L1482" s="97">
        <v>0.79</v>
      </c>
      <c r="M1482" s="97">
        <v>3.9</v>
      </c>
      <c r="N1482" s="97">
        <v>28</v>
      </c>
      <c r="O1482" s="97">
        <v>7</v>
      </c>
      <c r="P1482" s="97" t="s">
        <v>513</v>
      </c>
      <c r="Q1482" s="97" t="str">
        <f t="shared" si="209"/>
        <v/>
      </c>
      <c r="R1482" t="str">
        <f t="shared" si="210"/>
        <v/>
      </c>
    </row>
    <row r="1483" spans="3:18">
      <c r="C1483" t="str">
        <f t="shared" si="204"/>
        <v/>
      </c>
      <c r="D1483" s="36">
        <v>223</v>
      </c>
      <c r="E1483" s="97">
        <v>75</v>
      </c>
      <c r="F1483" s="366">
        <f t="shared" si="207"/>
        <v>1627.5</v>
      </c>
      <c r="G1483" s="97">
        <v>3480</v>
      </c>
      <c r="H1483" s="367">
        <f t="shared" si="208"/>
        <v>5107.5</v>
      </c>
      <c r="I1483" s="368">
        <f t="shared" si="205"/>
        <v>0</v>
      </c>
      <c r="J1483" s="97">
        <v>8921</v>
      </c>
      <c r="K1483" s="367">
        <f t="shared" si="206"/>
        <v>6372.1428571428569</v>
      </c>
      <c r="L1483" s="97">
        <v>0.2</v>
      </c>
      <c r="M1483" s="97">
        <v>4.3999999999999995</v>
      </c>
      <c r="N1483" s="97">
        <v>23</v>
      </c>
      <c r="O1483" s="97">
        <v>8</v>
      </c>
      <c r="P1483" s="97" t="s">
        <v>514</v>
      </c>
      <c r="Q1483" s="97">
        <f t="shared" si="209"/>
        <v>223</v>
      </c>
      <c r="R1483" t="str">
        <f t="shared" si="210"/>
        <v/>
      </c>
    </row>
    <row r="1484" spans="3:18">
      <c r="C1484" t="str">
        <f t="shared" si="204"/>
        <v/>
      </c>
      <c r="D1484" s="36">
        <v>224</v>
      </c>
      <c r="E1484" s="97">
        <v>75</v>
      </c>
      <c r="F1484" s="366">
        <f t="shared" si="207"/>
        <v>1627.5</v>
      </c>
      <c r="G1484" s="97">
        <v>3913</v>
      </c>
      <c r="H1484" s="367">
        <f t="shared" si="208"/>
        <v>5540.5</v>
      </c>
      <c r="I1484" s="368">
        <f t="shared" si="205"/>
        <v>0</v>
      </c>
      <c r="J1484" s="97">
        <v>10030</v>
      </c>
      <c r="K1484" s="367">
        <f t="shared" si="206"/>
        <v>7164.2857142857147</v>
      </c>
      <c r="L1484" s="97">
        <v>0.29000000000000004</v>
      </c>
      <c r="M1484" s="97">
        <v>4.3999999999999995</v>
      </c>
      <c r="N1484" s="97">
        <v>22</v>
      </c>
      <c r="O1484" s="97">
        <v>8</v>
      </c>
      <c r="P1484" s="97" t="s">
        <v>555</v>
      </c>
      <c r="Q1484" s="97">
        <f t="shared" si="209"/>
        <v>224</v>
      </c>
      <c r="R1484" t="str">
        <f t="shared" si="210"/>
        <v/>
      </c>
    </row>
    <row r="1485" spans="3:18">
      <c r="C1485" t="str">
        <f t="shared" si="204"/>
        <v/>
      </c>
      <c r="D1485" s="36">
        <v>225</v>
      </c>
      <c r="E1485" s="97">
        <v>75</v>
      </c>
      <c r="F1485" s="366">
        <f t="shared" si="207"/>
        <v>1627.5</v>
      </c>
      <c r="G1485" s="97">
        <v>5150</v>
      </c>
      <c r="H1485" s="367">
        <f t="shared" si="208"/>
        <v>6777.5</v>
      </c>
      <c r="I1485" s="368">
        <f t="shared" si="205"/>
        <v>0</v>
      </c>
      <c r="J1485" s="97">
        <v>13202</v>
      </c>
      <c r="K1485" s="367">
        <f t="shared" si="206"/>
        <v>9430</v>
      </c>
      <c r="L1485" s="97">
        <v>0.61</v>
      </c>
      <c r="M1485" s="97">
        <v>4.3999999999999995</v>
      </c>
      <c r="N1485" s="97">
        <v>26</v>
      </c>
      <c r="O1485" s="97">
        <v>8</v>
      </c>
      <c r="P1485" s="97" t="s">
        <v>513</v>
      </c>
      <c r="Q1485" s="97">
        <f t="shared" si="209"/>
        <v>225</v>
      </c>
      <c r="R1485" t="str">
        <f t="shared" si="210"/>
        <v/>
      </c>
    </row>
    <row r="1486" spans="3:18">
      <c r="C1486" t="str">
        <f t="shared" si="204"/>
        <v/>
      </c>
      <c r="D1486" s="36">
        <v>226</v>
      </c>
      <c r="E1486" s="97">
        <v>75</v>
      </c>
      <c r="F1486" s="366">
        <f t="shared" si="207"/>
        <v>1627.5</v>
      </c>
      <c r="G1486" s="97">
        <v>4105</v>
      </c>
      <c r="H1486" s="367">
        <f t="shared" si="208"/>
        <v>5732.5</v>
      </c>
      <c r="I1486" s="368">
        <f t="shared" si="205"/>
        <v>0</v>
      </c>
      <c r="J1486" s="97">
        <v>10524</v>
      </c>
      <c r="K1486" s="367">
        <f t="shared" si="206"/>
        <v>7517.1428571428569</v>
      </c>
      <c r="L1486" s="97">
        <v>0.19</v>
      </c>
      <c r="M1486" s="97">
        <v>5.3999999999999995</v>
      </c>
      <c r="N1486" s="97">
        <v>20</v>
      </c>
      <c r="O1486" s="97">
        <v>10</v>
      </c>
      <c r="P1486" s="97" t="s">
        <v>555</v>
      </c>
      <c r="Q1486" s="97" t="str">
        <f t="shared" si="209"/>
        <v/>
      </c>
      <c r="R1486" t="str">
        <f t="shared" si="210"/>
        <v/>
      </c>
    </row>
    <row r="1487" spans="3:18">
      <c r="C1487" t="str">
        <f t="shared" ref="C1487:C1550" si="211">IF(OR($O$4=0,O1487-$O$4=0),IF(AND(ISEVEN(O1487)=FALSE,$N$4="Even"),"NL",""),"NL")</f>
        <v/>
      </c>
      <c r="D1487" s="36">
        <v>227</v>
      </c>
      <c r="E1487" s="97">
        <v>75</v>
      </c>
      <c r="F1487" s="366">
        <f t="shared" si="207"/>
        <v>1627.5</v>
      </c>
      <c r="G1487" s="97">
        <v>5101</v>
      </c>
      <c r="H1487" s="367">
        <f t="shared" si="208"/>
        <v>6728.5</v>
      </c>
      <c r="I1487" s="368">
        <f t="shared" ref="I1487:I1550" si="212">1.085*($C$2-$D$2)*E1487*$T$7</f>
        <v>0</v>
      </c>
      <c r="J1487" s="97">
        <v>13078</v>
      </c>
      <c r="K1487" s="367">
        <f t="shared" ref="K1487:K1550" si="213">(J1487*$V$7)-I1487</f>
        <v>9341.4285714285725</v>
      </c>
      <c r="L1487" s="97">
        <v>0.4</v>
      </c>
      <c r="M1487" s="97">
        <v>5.3999999999999995</v>
      </c>
      <c r="N1487" s="97">
        <v>25</v>
      </c>
      <c r="O1487" s="97">
        <v>10</v>
      </c>
      <c r="P1487" s="97" t="s">
        <v>513</v>
      </c>
      <c r="Q1487" s="97" t="str">
        <f t="shared" si="209"/>
        <v/>
      </c>
      <c r="R1487" t="str">
        <f t="shared" si="210"/>
        <v/>
      </c>
    </row>
    <row r="1488" spans="3:18">
      <c r="C1488" t="str">
        <f t="shared" si="211"/>
        <v/>
      </c>
      <c r="D1488" s="36">
        <v>228</v>
      </c>
      <c r="E1488" s="97">
        <v>75</v>
      </c>
      <c r="F1488" s="366">
        <f t="shared" si="207"/>
        <v>1627.5</v>
      </c>
      <c r="G1488" s="97">
        <v>6293</v>
      </c>
      <c r="H1488" s="367">
        <f t="shared" si="208"/>
        <v>7920.5</v>
      </c>
      <c r="I1488" s="368">
        <f t="shared" si="212"/>
        <v>0</v>
      </c>
      <c r="J1488" s="97">
        <v>16132</v>
      </c>
      <c r="K1488" s="367">
        <f t="shared" si="213"/>
        <v>11522.857142857143</v>
      </c>
      <c r="L1488" s="97">
        <v>0.78</v>
      </c>
      <c r="M1488" s="97">
        <v>5.3999999999999995</v>
      </c>
      <c r="N1488" s="97">
        <v>25</v>
      </c>
      <c r="O1488" s="97">
        <v>10</v>
      </c>
      <c r="P1488" s="97" t="s">
        <v>512</v>
      </c>
      <c r="Q1488" s="97" t="str">
        <f t="shared" si="209"/>
        <v/>
      </c>
      <c r="R1488" t="str">
        <f t="shared" si="210"/>
        <v/>
      </c>
    </row>
    <row r="1489" spans="3:18">
      <c r="C1489" t="str">
        <f t="shared" si="211"/>
        <v/>
      </c>
      <c r="D1489" s="36">
        <v>229</v>
      </c>
      <c r="E1489" s="97">
        <v>80</v>
      </c>
      <c r="F1489" s="366">
        <f t="shared" si="207"/>
        <v>1736</v>
      </c>
      <c r="G1489" s="97">
        <v>2215</v>
      </c>
      <c r="H1489" s="367">
        <f t="shared" si="208"/>
        <v>3951</v>
      </c>
      <c r="I1489" s="368">
        <f t="shared" si="212"/>
        <v>0</v>
      </c>
      <c r="J1489" s="97">
        <v>5679</v>
      </c>
      <c r="K1489" s="367">
        <f t="shared" si="213"/>
        <v>4056.4285714285716</v>
      </c>
      <c r="L1489" s="97">
        <v>1.01</v>
      </c>
      <c r="M1489" s="97">
        <v>9.7999999999999989</v>
      </c>
      <c r="N1489" s="97">
        <v>27</v>
      </c>
      <c r="O1489" s="97">
        <v>2</v>
      </c>
      <c r="P1489" s="97" t="s">
        <v>515</v>
      </c>
      <c r="Q1489" s="97" t="str">
        <f t="shared" si="209"/>
        <v/>
      </c>
      <c r="R1489" t="str">
        <f t="shared" si="210"/>
        <v/>
      </c>
    </row>
    <row r="1490" spans="3:18">
      <c r="C1490" t="str">
        <f t="shared" si="211"/>
        <v>NL</v>
      </c>
      <c r="D1490" s="36">
        <v>230</v>
      </c>
      <c r="E1490" s="97">
        <v>80</v>
      </c>
      <c r="F1490" s="366">
        <f t="shared" si="207"/>
        <v>1736</v>
      </c>
      <c r="G1490" s="97">
        <v>2581</v>
      </c>
      <c r="H1490" s="367">
        <f t="shared" si="208"/>
        <v>4317</v>
      </c>
      <c r="I1490" s="368">
        <f t="shared" si="212"/>
        <v>0</v>
      </c>
      <c r="J1490" s="97">
        <v>6616</v>
      </c>
      <c r="K1490" s="367">
        <f t="shared" si="213"/>
        <v>4725.7142857142862</v>
      </c>
      <c r="L1490" s="97">
        <v>0.42</v>
      </c>
      <c r="M1490" s="97">
        <v>1.8</v>
      </c>
      <c r="N1490" s="97">
        <v>23</v>
      </c>
      <c r="O1490" s="97">
        <v>3</v>
      </c>
      <c r="P1490" s="97" t="s">
        <v>515</v>
      </c>
      <c r="Q1490" s="97" t="str">
        <f t="shared" si="209"/>
        <v/>
      </c>
      <c r="R1490" t="str">
        <f t="shared" si="210"/>
        <v/>
      </c>
    </row>
    <row r="1491" spans="3:18">
      <c r="C1491" t="str">
        <f t="shared" si="211"/>
        <v>NL</v>
      </c>
      <c r="D1491" s="36">
        <v>231</v>
      </c>
      <c r="E1491" s="97">
        <v>80</v>
      </c>
      <c r="F1491" s="366">
        <f t="shared" si="207"/>
        <v>1736</v>
      </c>
      <c r="G1491" s="97">
        <v>2952</v>
      </c>
      <c r="H1491" s="367">
        <f t="shared" si="208"/>
        <v>4688</v>
      </c>
      <c r="I1491" s="368">
        <f t="shared" si="212"/>
        <v>0</v>
      </c>
      <c r="J1491" s="97">
        <v>7568</v>
      </c>
      <c r="K1491" s="367">
        <f t="shared" si="213"/>
        <v>5405.7142857142862</v>
      </c>
      <c r="L1491" s="97">
        <v>0.7</v>
      </c>
      <c r="M1491" s="97">
        <v>1.8</v>
      </c>
      <c r="N1491" s="97">
        <v>25</v>
      </c>
      <c r="O1491" s="97">
        <v>3</v>
      </c>
      <c r="P1491" s="97" t="s">
        <v>556</v>
      </c>
      <c r="Q1491" s="97" t="str">
        <f t="shared" si="209"/>
        <v/>
      </c>
      <c r="R1491" t="str">
        <f t="shared" si="210"/>
        <v/>
      </c>
    </row>
    <row r="1492" spans="3:18">
      <c r="C1492" t="str">
        <f t="shared" si="211"/>
        <v/>
      </c>
      <c r="D1492" s="36">
        <v>232</v>
      </c>
      <c r="E1492" s="97">
        <v>80</v>
      </c>
      <c r="F1492" s="366">
        <f t="shared" si="207"/>
        <v>1736</v>
      </c>
      <c r="G1492" s="97">
        <v>2491</v>
      </c>
      <c r="H1492" s="367">
        <f t="shared" si="208"/>
        <v>4227</v>
      </c>
      <c r="I1492" s="368">
        <f t="shared" si="212"/>
        <v>0</v>
      </c>
      <c r="J1492" s="97">
        <v>6386</v>
      </c>
      <c r="K1492" s="367">
        <f t="shared" si="213"/>
        <v>4561.4285714285716</v>
      </c>
      <c r="L1492" s="97">
        <v>0.24000000000000002</v>
      </c>
      <c r="M1492" s="97">
        <v>2.3000000000000003</v>
      </c>
      <c r="N1492" s="97">
        <v>21</v>
      </c>
      <c r="O1492" s="97">
        <v>4</v>
      </c>
      <c r="P1492" s="97" t="s">
        <v>515</v>
      </c>
      <c r="Q1492" s="97">
        <f t="shared" si="209"/>
        <v>232</v>
      </c>
      <c r="R1492" t="str">
        <f t="shared" si="210"/>
        <v/>
      </c>
    </row>
    <row r="1493" spans="3:18">
      <c r="C1493" t="str">
        <f t="shared" si="211"/>
        <v/>
      </c>
      <c r="D1493" s="36">
        <v>233</v>
      </c>
      <c r="E1493" s="97">
        <v>80</v>
      </c>
      <c r="F1493" s="366">
        <f t="shared" si="207"/>
        <v>1736</v>
      </c>
      <c r="G1493" s="97">
        <v>3019</v>
      </c>
      <c r="H1493" s="367">
        <f t="shared" si="208"/>
        <v>4755</v>
      </c>
      <c r="I1493" s="368">
        <f t="shared" si="212"/>
        <v>0</v>
      </c>
      <c r="J1493" s="97">
        <v>7739</v>
      </c>
      <c r="K1493" s="367">
        <f t="shared" si="213"/>
        <v>5527.8571428571431</v>
      </c>
      <c r="L1493" s="97">
        <v>0.4</v>
      </c>
      <c r="M1493" s="97">
        <v>2.3000000000000003</v>
      </c>
      <c r="N1493" s="97">
        <v>23</v>
      </c>
      <c r="O1493" s="97">
        <v>4</v>
      </c>
      <c r="P1493" s="97" t="s">
        <v>556</v>
      </c>
      <c r="Q1493" s="97">
        <f t="shared" si="209"/>
        <v>233</v>
      </c>
      <c r="R1493" t="str">
        <f t="shared" si="210"/>
        <v/>
      </c>
    </row>
    <row r="1494" spans="3:18">
      <c r="C1494" t="str">
        <f t="shared" si="211"/>
        <v/>
      </c>
      <c r="D1494" s="36">
        <v>234</v>
      </c>
      <c r="E1494" s="97">
        <v>80</v>
      </c>
      <c r="F1494" s="366">
        <f t="shared" si="207"/>
        <v>1736</v>
      </c>
      <c r="G1494" s="97">
        <v>3750</v>
      </c>
      <c r="H1494" s="367">
        <f t="shared" si="208"/>
        <v>5486</v>
      </c>
      <c r="I1494" s="368">
        <f t="shared" si="212"/>
        <v>0</v>
      </c>
      <c r="J1494" s="97">
        <v>9613</v>
      </c>
      <c r="K1494" s="367">
        <f t="shared" si="213"/>
        <v>6866.4285714285716</v>
      </c>
      <c r="L1494" s="97">
        <v>0.84</v>
      </c>
      <c r="M1494" s="97">
        <v>2.3000000000000003</v>
      </c>
      <c r="N1494" s="97">
        <v>29</v>
      </c>
      <c r="O1494" s="97">
        <v>4</v>
      </c>
      <c r="P1494" s="97" t="s">
        <v>514</v>
      </c>
      <c r="Q1494" s="97" t="str">
        <f t="shared" si="209"/>
        <v/>
      </c>
      <c r="R1494" t="str">
        <f t="shared" si="210"/>
        <v/>
      </c>
    </row>
    <row r="1495" spans="3:18">
      <c r="C1495" t="str">
        <f t="shared" si="211"/>
        <v>NL</v>
      </c>
      <c r="D1495" s="36">
        <v>235</v>
      </c>
      <c r="E1495" s="97">
        <v>80</v>
      </c>
      <c r="F1495" s="366">
        <f t="shared" si="207"/>
        <v>1736</v>
      </c>
      <c r="G1495" s="97">
        <v>3098</v>
      </c>
      <c r="H1495" s="367">
        <f t="shared" si="208"/>
        <v>4834</v>
      </c>
      <c r="I1495" s="368">
        <f t="shared" si="212"/>
        <v>0</v>
      </c>
      <c r="J1495" s="97">
        <v>7942</v>
      </c>
      <c r="K1495" s="367">
        <f t="shared" si="213"/>
        <v>5672.8571428571431</v>
      </c>
      <c r="L1495" s="97">
        <v>0.26</v>
      </c>
      <c r="M1495" s="97">
        <v>2.8000000000000003</v>
      </c>
      <c r="N1495" s="97">
        <v>22</v>
      </c>
      <c r="O1495" s="97">
        <v>5</v>
      </c>
      <c r="P1495" s="97" t="s">
        <v>556</v>
      </c>
      <c r="Q1495" s="97" t="str">
        <f t="shared" si="209"/>
        <v/>
      </c>
      <c r="R1495" t="str">
        <f t="shared" si="210"/>
        <v/>
      </c>
    </row>
    <row r="1496" spans="3:18">
      <c r="C1496" t="str">
        <f t="shared" si="211"/>
        <v>NL</v>
      </c>
      <c r="D1496" s="36">
        <v>236</v>
      </c>
      <c r="E1496" s="97">
        <v>80</v>
      </c>
      <c r="F1496" s="366">
        <f t="shared" si="207"/>
        <v>1736</v>
      </c>
      <c r="G1496" s="97">
        <v>3883</v>
      </c>
      <c r="H1496" s="367">
        <f t="shared" si="208"/>
        <v>5619</v>
      </c>
      <c r="I1496" s="368">
        <f t="shared" si="212"/>
        <v>0</v>
      </c>
      <c r="J1496" s="97">
        <v>9955</v>
      </c>
      <c r="K1496" s="367">
        <f t="shared" si="213"/>
        <v>7110.7142857142862</v>
      </c>
      <c r="L1496" s="97">
        <v>0.53</v>
      </c>
      <c r="M1496" s="97">
        <v>2.8000000000000003</v>
      </c>
      <c r="N1496" s="97">
        <v>27</v>
      </c>
      <c r="O1496" s="97">
        <v>5</v>
      </c>
      <c r="P1496" s="97" t="s">
        <v>514</v>
      </c>
      <c r="Q1496" s="97" t="str">
        <f t="shared" si="209"/>
        <v/>
      </c>
      <c r="R1496" t="str">
        <f t="shared" si="210"/>
        <v/>
      </c>
    </row>
    <row r="1497" spans="3:18">
      <c r="C1497" t="str">
        <f t="shared" si="211"/>
        <v>NL</v>
      </c>
      <c r="D1497" s="36">
        <v>237</v>
      </c>
      <c r="E1497" s="97">
        <v>80</v>
      </c>
      <c r="F1497" s="366">
        <f t="shared" si="207"/>
        <v>1736</v>
      </c>
      <c r="G1497" s="97">
        <v>4183</v>
      </c>
      <c r="H1497" s="367">
        <f t="shared" si="208"/>
        <v>5919</v>
      </c>
      <c r="I1497" s="368">
        <f t="shared" si="212"/>
        <v>0</v>
      </c>
      <c r="J1497" s="97">
        <v>10724</v>
      </c>
      <c r="K1497" s="367">
        <f t="shared" si="213"/>
        <v>7660</v>
      </c>
      <c r="L1497" s="97">
        <v>0.78</v>
      </c>
      <c r="M1497" s="97">
        <v>2.8000000000000003</v>
      </c>
      <c r="N1497" s="97">
        <v>25</v>
      </c>
      <c r="O1497" s="97">
        <v>5</v>
      </c>
      <c r="P1497" s="97" t="s">
        <v>555</v>
      </c>
      <c r="Q1497" s="97" t="str">
        <f t="shared" si="209"/>
        <v/>
      </c>
      <c r="R1497" t="str">
        <f t="shared" si="210"/>
        <v/>
      </c>
    </row>
    <row r="1498" spans="3:18">
      <c r="C1498" t="str">
        <f t="shared" si="211"/>
        <v/>
      </c>
      <c r="D1498" s="36">
        <v>238</v>
      </c>
      <c r="E1498" s="97">
        <v>80</v>
      </c>
      <c r="F1498" s="366">
        <f t="shared" si="207"/>
        <v>1736</v>
      </c>
      <c r="G1498" s="97">
        <v>2973</v>
      </c>
      <c r="H1498" s="367">
        <f t="shared" si="208"/>
        <v>4709</v>
      </c>
      <c r="I1498" s="368">
        <f t="shared" si="212"/>
        <v>0</v>
      </c>
      <c r="J1498" s="97">
        <v>7622</v>
      </c>
      <c r="K1498" s="367">
        <f t="shared" si="213"/>
        <v>5444.2857142857147</v>
      </c>
      <c r="L1498" s="97">
        <v>0.18000000000000002</v>
      </c>
      <c r="M1498" s="97">
        <v>3.4</v>
      </c>
      <c r="N1498" s="97">
        <v>20</v>
      </c>
      <c r="O1498" s="97">
        <v>6</v>
      </c>
      <c r="P1498" s="97" t="s">
        <v>556</v>
      </c>
      <c r="Q1498" s="97">
        <f t="shared" si="209"/>
        <v>238</v>
      </c>
      <c r="R1498" t="str">
        <f t="shared" si="210"/>
        <v/>
      </c>
    </row>
    <row r="1499" spans="3:18">
      <c r="C1499" t="str">
        <f t="shared" si="211"/>
        <v/>
      </c>
      <c r="D1499" s="36">
        <v>239</v>
      </c>
      <c r="E1499" s="97">
        <v>80</v>
      </c>
      <c r="F1499" s="366">
        <f t="shared" si="207"/>
        <v>1736</v>
      </c>
      <c r="G1499" s="97">
        <v>3987</v>
      </c>
      <c r="H1499" s="367">
        <f t="shared" si="208"/>
        <v>5723</v>
      </c>
      <c r="I1499" s="368">
        <f t="shared" si="212"/>
        <v>0</v>
      </c>
      <c r="J1499" s="97">
        <v>10222</v>
      </c>
      <c r="K1499" s="367">
        <f t="shared" si="213"/>
        <v>7301.4285714285716</v>
      </c>
      <c r="L1499" s="97">
        <v>0.37</v>
      </c>
      <c r="M1499" s="97">
        <v>3.4</v>
      </c>
      <c r="N1499" s="97">
        <v>25</v>
      </c>
      <c r="O1499" s="97">
        <v>6</v>
      </c>
      <c r="P1499" s="97" t="s">
        <v>514</v>
      </c>
      <c r="Q1499" s="97">
        <f t="shared" si="209"/>
        <v>239</v>
      </c>
      <c r="R1499" t="str">
        <f t="shared" si="210"/>
        <v/>
      </c>
    </row>
    <row r="1500" spans="3:18">
      <c r="C1500" t="str">
        <f t="shared" si="211"/>
        <v/>
      </c>
      <c r="D1500" s="36">
        <v>240</v>
      </c>
      <c r="E1500" s="97">
        <v>80</v>
      </c>
      <c r="F1500" s="366">
        <f t="shared" si="207"/>
        <v>1736</v>
      </c>
      <c r="G1500" s="97">
        <v>4515</v>
      </c>
      <c r="H1500" s="367">
        <f t="shared" si="208"/>
        <v>6251</v>
      </c>
      <c r="I1500" s="368">
        <f t="shared" si="212"/>
        <v>0</v>
      </c>
      <c r="J1500" s="97">
        <v>11575</v>
      </c>
      <c r="K1500" s="367">
        <f t="shared" si="213"/>
        <v>8267.8571428571431</v>
      </c>
      <c r="L1500" s="97">
        <v>0.55000000000000004</v>
      </c>
      <c r="M1500" s="97">
        <v>3.4</v>
      </c>
      <c r="N1500" s="97">
        <v>24</v>
      </c>
      <c r="O1500" s="97">
        <v>6</v>
      </c>
      <c r="P1500" s="97" t="s">
        <v>555</v>
      </c>
      <c r="Q1500" s="97">
        <f t="shared" si="209"/>
        <v>240</v>
      </c>
      <c r="R1500" t="str">
        <f t="shared" si="210"/>
        <v/>
      </c>
    </row>
    <row r="1501" spans="3:18">
      <c r="C1501" t="str">
        <f t="shared" si="211"/>
        <v>NL</v>
      </c>
      <c r="D1501" s="36">
        <v>241</v>
      </c>
      <c r="E1501" s="97">
        <v>80</v>
      </c>
      <c r="F1501" s="366">
        <f t="shared" si="207"/>
        <v>1736</v>
      </c>
      <c r="G1501" s="97">
        <v>3715</v>
      </c>
      <c r="H1501" s="367">
        <f t="shared" si="208"/>
        <v>5451</v>
      </c>
      <c r="I1501" s="368">
        <f t="shared" si="212"/>
        <v>0</v>
      </c>
      <c r="J1501" s="97">
        <v>9524</v>
      </c>
      <c r="K1501" s="367">
        <f t="shared" si="213"/>
        <v>6802.8571428571431</v>
      </c>
      <c r="L1501" s="97">
        <v>0.28000000000000003</v>
      </c>
      <c r="M1501" s="97">
        <v>3.9</v>
      </c>
      <c r="N1501" s="97">
        <v>24</v>
      </c>
      <c r="O1501" s="97">
        <v>7</v>
      </c>
      <c r="P1501" s="97" t="s">
        <v>514</v>
      </c>
      <c r="Q1501" s="97" t="str">
        <f t="shared" si="209"/>
        <v/>
      </c>
      <c r="R1501" t="str">
        <f t="shared" si="210"/>
        <v/>
      </c>
    </row>
    <row r="1502" spans="3:18">
      <c r="C1502" t="str">
        <f t="shared" si="211"/>
        <v>NL</v>
      </c>
      <c r="D1502" s="36">
        <v>242</v>
      </c>
      <c r="E1502" s="97">
        <v>80</v>
      </c>
      <c r="F1502" s="366">
        <f t="shared" si="207"/>
        <v>1736</v>
      </c>
      <c r="G1502" s="97">
        <v>4271</v>
      </c>
      <c r="H1502" s="367">
        <f t="shared" si="208"/>
        <v>6007</v>
      </c>
      <c r="I1502" s="368">
        <f t="shared" si="212"/>
        <v>0</v>
      </c>
      <c r="J1502" s="97">
        <v>10949</v>
      </c>
      <c r="K1502" s="367">
        <f t="shared" si="213"/>
        <v>7820.7142857142862</v>
      </c>
      <c r="L1502" s="97">
        <v>0.41000000000000003</v>
      </c>
      <c r="M1502" s="97">
        <v>3.9</v>
      </c>
      <c r="N1502" s="97">
        <v>23</v>
      </c>
      <c r="O1502" s="97">
        <v>7</v>
      </c>
      <c r="P1502" s="97" t="s">
        <v>555</v>
      </c>
      <c r="Q1502" s="97" t="str">
        <f t="shared" si="209"/>
        <v/>
      </c>
      <c r="R1502" t="str">
        <f t="shared" si="210"/>
        <v/>
      </c>
    </row>
    <row r="1503" spans="3:18">
      <c r="C1503" t="str">
        <f t="shared" si="211"/>
        <v>NL</v>
      </c>
      <c r="D1503" s="36">
        <v>243</v>
      </c>
      <c r="E1503" s="97">
        <v>80</v>
      </c>
      <c r="F1503" s="366">
        <f t="shared" si="207"/>
        <v>1736</v>
      </c>
      <c r="G1503" s="97">
        <v>5918</v>
      </c>
      <c r="H1503" s="367">
        <f t="shared" si="208"/>
        <v>7654</v>
      </c>
      <c r="I1503" s="368">
        <f t="shared" si="212"/>
        <v>0</v>
      </c>
      <c r="J1503" s="97">
        <v>15171</v>
      </c>
      <c r="K1503" s="367">
        <f t="shared" si="213"/>
        <v>10836.428571428572</v>
      </c>
      <c r="L1503" s="97">
        <v>0.9</v>
      </c>
      <c r="M1503" s="97">
        <v>3.9</v>
      </c>
      <c r="N1503" s="97">
        <v>28</v>
      </c>
      <c r="O1503" s="97">
        <v>7</v>
      </c>
      <c r="P1503" s="97" t="s">
        <v>513</v>
      </c>
      <c r="Q1503" s="97" t="str">
        <f t="shared" si="209"/>
        <v/>
      </c>
      <c r="R1503" t="str">
        <f t="shared" si="210"/>
        <v/>
      </c>
    </row>
    <row r="1504" spans="3:18">
      <c r="C1504" t="str">
        <f t="shared" si="211"/>
        <v/>
      </c>
      <c r="D1504" s="36">
        <v>244</v>
      </c>
      <c r="E1504" s="97">
        <v>80</v>
      </c>
      <c r="F1504" s="366">
        <f t="shared" si="207"/>
        <v>1736</v>
      </c>
      <c r="G1504" s="97">
        <v>3646</v>
      </c>
      <c r="H1504" s="367">
        <f t="shared" si="208"/>
        <v>5382</v>
      </c>
      <c r="I1504" s="368">
        <f t="shared" si="212"/>
        <v>0</v>
      </c>
      <c r="J1504" s="97">
        <v>9346</v>
      </c>
      <c r="K1504" s="367">
        <f t="shared" si="213"/>
        <v>6675.7142857142862</v>
      </c>
      <c r="L1504" s="97">
        <v>0.22</v>
      </c>
      <c r="M1504" s="97">
        <v>4.3999999999999995</v>
      </c>
      <c r="N1504" s="97">
        <v>24</v>
      </c>
      <c r="O1504" s="97">
        <v>8</v>
      </c>
      <c r="P1504" s="97" t="s">
        <v>514</v>
      </c>
      <c r="Q1504" s="97">
        <f t="shared" si="209"/>
        <v>244</v>
      </c>
      <c r="R1504" t="str">
        <f t="shared" si="210"/>
        <v/>
      </c>
    </row>
    <row r="1505" spans="3:18">
      <c r="C1505" t="str">
        <f t="shared" si="211"/>
        <v/>
      </c>
      <c r="D1505" s="36">
        <v>245</v>
      </c>
      <c r="E1505" s="97">
        <v>80</v>
      </c>
      <c r="F1505" s="366">
        <f t="shared" si="207"/>
        <v>1736</v>
      </c>
      <c r="G1505" s="97">
        <v>4104</v>
      </c>
      <c r="H1505" s="367">
        <f t="shared" si="208"/>
        <v>5840</v>
      </c>
      <c r="I1505" s="368">
        <f t="shared" si="212"/>
        <v>0</v>
      </c>
      <c r="J1505" s="97">
        <v>10522</v>
      </c>
      <c r="K1505" s="367">
        <f t="shared" si="213"/>
        <v>7515.7142857142862</v>
      </c>
      <c r="L1505" s="97">
        <v>0.33</v>
      </c>
      <c r="M1505" s="97">
        <v>4.3999999999999995</v>
      </c>
      <c r="N1505" s="97">
        <v>23</v>
      </c>
      <c r="O1505" s="97">
        <v>8</v>
      </c>
      <c r="P1505" s="97" t="s">
        <v>555</v>
      </c>
      <c r="Q1505" s="97">
        <f t="shared" si="209"/>
        <v>245</v>
      </c>
      <c r="R1505" t="str">
        <f t="shared" si="210"/>
        <v/>
      </c>
    </row>
    <row r="1506" spans="3:18">
      <c r="C1506" t="str">
        <f t="shared" si="211"/>
        <v/>
      </c>
      <c r="D1506" s="36">
        <v>246</v>
      </c>
      <c r="E1506" s="97">
        <v>80</v>
      </c>
      <c r="F1506" s="366">
        <f t="shared" si="207"/>
        <v>1736</v>
      </c>
      <c r="G1506" s="97">
        <v>5571</v>
      </c>
      <c r="H1506" s="367">
        <f t="shared" si="208"/>
        <v>7307</v>
      </c>
      <c r="I1506" s="368">
        <f t="shared" si="212"/>
        <v>0</v>
      </c>
      <c r="J1506" s="97">
        <v>14281</v>
      </c>
      <c r="K1506" s="367">
        <f t="shared" si="213"/>
        <v>10200.714285714286</v>
      </c>
      <c r="L1506" s="97">
        <v>0.69000000000000006</v>
      </c>
      <c r="M1506" s="97">
        <v>4.3999999999999995</v>
      </c>
      <c r="N1506" s="97">
        <v>27</v>
      </c>
      <c r="O1506" s="97">
        <v>8</v>
      </c>
      <c r="P1506" s="97" t="s">
        <v>513</v>
      </c>
      <c r="Q1506" s="97">
        <f t="shared" si="209"/>
        <v>246</v>
      </c>
      <c r="R1506" t="str">
        <f t="shared" si="210"/>
        <v/>
      </c>
    </row>
    <row r="1507" spans="3:18">
      <c r="C1507" t="str">
        <f t="shared" si="211"/>
        <v/>
      </c>
      <c r="D1507" s="36">
        <v>247</v>
      </c>
      <c r="E1507" s="97">
        <v>80</v>
      </c>
      <c r="F1507" s="366">
        <f t="shared" si="207"/>
        <v>1736</v>
      </c>
      <c r="G1507" s="97">
        <v>4207</v>
      </c>
      <c r="H1507" s="367">
        <f t="shared" si="208"/>
        <v>5943</v>
      </c>
      <c r="I1507" s="368">
        <f t="shared" si="212"/>
        <v>0</v>
      </c>
      <c r="J1507" s="97">
        <v>10785</v>
      </c>
      <c r="K1507" s="367">
        <f t="shared" si="213"/>
        <v>7703.5714285714284</v>
      </c>
      <c r="L1507" s="97">
        <v>0.21000000000000002</v>
      </c>
      <c r="M1507" s="97">
        <v>5.3999999999999995</v>
      </c>
      <c r="N1507" s="97">
        <v>21</v>
      </c>
      <c r="O1507" s="97">
        <v>10</v>
      </c>
      <c r="P1507" s="97" t="s">
        <v>555</v>
      </c>
      <c r="Q1507" s="97" t="str">
        <f t="shared" si="209"/>
        <v/>
      </c>
      <c r="R1507" t="str">
        <f t="shared" si="210"/>
        <v/>
      </c>
    </row>
    <row r="1508" spans="3:18">
      <c r="C1508" t="str">
        <f t="shared" si="211"/>
        <v/>
      </c>
      <c r="D1508" s="36">
        <v>248</v>
      </c>
      <c r="E1508" s="97">
        <v>80</v>
      </c>
      <c r="F1508" s="366">
        <f t="shared" si="207"/>
        <v>1736</v>
      </c>
      <c r="G1508" s="97">
        <v>5369</v>
      </c>
      <c r="H1508" s="367">
        <f t="shared" si="208"/>
        <v>7105</v>
      </c>
      <c r="I1508" s="368">
        <f t="shared" si="212"/>
        <v>0</v>
      </c>
      <c r="J1508" s="97">
        <v>13764</v>
      </c>
      <c r="K1508" s="367">
        <f t="shared" si="213"/>
        <v>9831.4285714285725</v>
      </c>
      <c r="L1508" s="97">
        <v>0.46</v>
      </c>
      <c r="M1508" s="97">
        <v>5.3999999999999995</v>
      </c>
      <c r="N1508" s="97">
        <v>26</v>
      </c>
      <c r="O1508" s="97">
        <v>10</v>
      </c>
      <c r="P1508" s="97" t="s">
        <v>513</v>
      </c>
      <c r="Q1508" s="97" t="str">
        <f t="shared" si="209"/>
        <v/>
      </c>
      <c r="R1508" t="str">
        <f t="shared" si="210"/>
        <v/>
      </c>
    </row>
    <row r="1509" spans="3:18">
      <c r="C1509" t="str">
        <f t="shared" si="211"/>
        <v/>
      </c>
      <c r="D1509" s="36">
        <v>249</v>
      </c>
      <c r="E1509" s="97">
        <v>80</v>
      </c>
      <c r="F1509" s="366">
        <f t="shared" si="207"/>
        <v>1736</v>
      </c>
      <c r="G1509" s="97">
        <v>6811</v>
      </c>
      <c r="H1509" s="367">
        <f t="shared" si="208"/>
        <v>8547</v>
      </c>
      <c r="I1509" s="368">
        <f t="shared" si="212"/>
        <v>0</v>
      </c>
      <c r="J1509" s="97">
        <v>17461</v>
      </c>
      <c r="K1509" s="367">
        <f t="shared" si="213"/>
        <v>12472.142857142857</v>
      </c>
      <c r="L1509" s="97">
        <v>0.89</v>
      </c>
      <c r="M1509" s="97">
        <v>5.3999999999999995</v>
      </c>
      <c r="N1509" s="97">
        <v>26</v>
      </c>
      <c r="O1509" s="97">
        <v>10</v>
      </c>
      <c r="P1509" s="97" t="s">
        <v>512</v>
      </c>
      <c r="Q1509" s="97" t="str">
        <f t="shared" si="209"/>
        <v/>
      </c>
      <c r="R1509" t="str">
        <f t="shared" si="210"/>
        <v/>
      </c>
    </row>
    <row r="1510" spans="3:18">
      <c r="C1510" t="str">
        <f t="shared" si="211"/>
        <v>NL</v>
      </c>
      <c r="D1510" s="36">
        <v>250</v>
      </c>
      <c r="E1510" s="97">
        <v>85</v>
      </c>
      <c r="F1510" s="366">
        <f t="shared" si="207"/>
        <v>1844.5</v>
      </c>
      <c r="G1510" s="97">
        <v>2708</v>
      </c>
      <c r="H1510" s="367">
        <f t="shared" si="208"/>
        <v>4552.5</v>
      </c>
      <c r="I1510" s="368">
        <f t="shared" si="212"/>
        <v>0</v>
      </c>
      <c r="J1510" s="97">
        <v>6942</v>
      </c>
      <c r="K1510" s="367">
        <f t="shared" si="213"/>
        <v>4958.5714285714284</v>
      </c>
      <c r="L1510" s="97">
        <v>0.47000000000000003</v>
      </c>
      <c r="M1510" s="97">
        <v>1.8</v>
      </c>
      <c r="N1510" s="97">
        <v>24</v>
      </c>
      <c r="O1510" s="97">
        <v>3</v>
      </c>
      <c r="P1510" s="97" t="s">
        <v>515</v>
      </c>
      <c r="Q1510" s="97" t="str">
        <f t="shared" si="209"/>
        <v/>
      </c>
      <c r="R1510" t="str">
        <f t="shared" si="210"/>
        <v/>
      </c>
    </row>
    <row r="1511" spans="3:18">
      <c r="C1511" t="str">
        <f t="shared" si="211"/>
        <v>NL</v>
      </c>
      <c r="D1511" s="36">
        <v>251</v>
      </c>
      <c r="E1511" s="97">
        <v>85</v>
      </c>
      <c r="F1511" s="366">
        <f t="shared" si="207"/>
        <v>1844.5</v>
      </c>
      <c r="G1511" s="97">
        <v>3058</v>
      </c>
      <c r="H1511" s="367">
        <f t="shared" si="208"/>
        <v>4902.5</v>
      </c>
      <c r="I1511" s="368">
        <f t="shared" si="212"/>
        <v>0</v>
      </c>
      <c r="J1511" s="97">
        <v>7839</v>
      </c>
      <c r="K1511" s="367">
        <f t="shared" si="213"/>
        <v>5599.2857142857147</v>
      </c>
      <c r="L1511" s="97">
        <v>0.79</v>
      </c>
      <c r="M1511" s="97">
        <v>1.8</v>
      </c>
      <c r="N1511" s="97">
        <v>26</v>
      </c>
      <c r="O1511" s="97">
        <v>3</v>
      </c>
      <c r="P1511" s="97" t="s">
        <v>556</v>
      </c>
      <c r="Q1511" s="97" t="str">
        <f t="shared" si="209"/>
        <v/>
      </c>
      <c r="R1511" t="str">
        <f t="shared" si="210"/>
        <v/>
      </c>
    </row>
    <row r="1512" spans="3:18">
      <c r="C1512" t="str">
        <f t="shared" si="211"/>
        <v/>
      </c>
      <c r="D1512" s="36">
        <v>252</v>
      </c>
      <c r="E1512" s="97">
        <v>85</v>
      </c>
      <c r="F1512" s="366">
        <f t="shared" si="207"/>
        <v>1844.5</v>
      </c>
      <c r="G1512" s="97">
        <v>2663</v>
      </c>
      <c r="H1512" s="367">
        <f t="shared" si="208"/>
        <v>4507.5</v>
      </c>
      <c r="I1512" s="368">
        <f t="shared" si="212"/>
        <v>0</v>
      </c>
      <c r="J1512" s="97">
        <v>6827</v>
      </c>
      <c r="K1512" s="367">
        <f t="shared" si="213"/>
        <v>4876.4285714285716</v>
      </c>
      <c r="L1512" s="97">
        <v>0.27</v>
      </c>
      <c r="M1512" s="97">
        <v>2.3000000000000003</v>
      </c>
      <c r="N1512" s="97">
        <v>21</v>
      </c>
      <c r="O1512" s="97">
        <v>4</v>
      </c>
      <c r="P1512" s="97" t="s">
        <v>515</v>
      </c>
      <c r="Q1512" s="97">
        <f t="shared" si="209"/>
        <v>252</v>
      </c>
      <c r="R1512" t="str">
        <f t="shared" si="210"/>
        <v/>
      </c>
    </row>
    <row r="1513" spans="3:18">
      <c r="C1513" t="str">
        <f t="shared" si="211"/>
        <v/>
      </c>
      <c r="D1513" s="36">
        <v>253</v>
      </c>
      <c r="E1513" s="97">
        <v>85</v>
      </c>
      <c r="F1513" s="366">
        <f t="shared" si="207"/>
        <v>1844.5</v>
      </c>
      <c r="G1513" s="97">
        <v>3206</v>
      </c>
      <c r="H1513" s="367">
        <f t="shared" si="208"/>
        <v>5050.5</v>
      </c>
      <c r="I1513" s="368">
        <f t="shared" si="212"/>
        <v>0</v>
      </c>
      <c r="J1513" s="97">
        <v>8220</v>
      </c>
      <c r="K1513" s="367">
        <f t="shared" si="213"/>
        <v>5871.4285714285716</v>
      </c>
      <c r="L1513" s="97">
        <v>0.45</v>
      </c>
      <c r="M1513" s="97">
        <v>2.3000000000000003</v>
      </c>
      <c r="N1513" s="97">
        <v>24</v>
      </c>
      <c r="O1513" s="97">
        <v>4</v>
      </c>
      <c r="P1513" s="97" t="s">
        <v>556</v>
      </c>
      <c r="Q1513" s="97">
        <f t="shared" si="209"/>
        <v>253</v>
      </c>
      <c r="R1513" t="str">
        <f t="shared" si="210"/>
        <v/>
      </c>
    </row>
    <row r="1514" spans="3:18">
      <c r="C1514" t="str">
        <f t="shared" si="211"/>
        <v/>
      </c>
      <c r="D1514" s="36">
        <v>254</v>
      </c>
      <c r="E1514" s="97">
        <v>85</v>
      </c>
      <c r="F1514" s="366">
        <f t="shared" si="207"/>
        <v>1844.5</v>
      </c>
      <c r="G1514" s="97">
        <v>3918</v>
      </c>
      <c r="H1514" s="367">
        <f t="shared" si="208"/>
        <v>5762.5</v>
      </c>
      <c r="I1514" s="368">
        <f t="shared" si="212"/>
        <v>0</v>
      </c>
      <c r="J1514" s="97">
        <v>10044</v>
      </c>
      <c r="K1514" s="367">
        <f t="shared" si="213"/>
        <v>7174.2857142857147</v>
      </c>
      <c r="L1514" s="97">
        <v>0.94000000000000006</v>
      </c>
      <c r="M1514" s="97">
        <v>2.3000000000000003</v>
      </c>
      <c r="N1514" s="97">
        <v>30</v>
      </c>
      <c r="O1514" s="97">
        <v>4</v>
      </c>
      <c r="P1514" s="97" t="s">
        <v>514</v>
      </c>
      <c r="Q1514" s="97" t="str">
        <f t="shared" si="209"/>
        <v/>
      </c>
      <c r="R1514" t="str">
        <f t="shared" si="210"/>
        <v/>
      </c>
    </row>
    <row r="1515" spans="3:18">
      <c r="C1515" t="str">
        <f t="shared" si="211"/>
        <v>NL</v>
      </c>
      <c r="D1515" s="36">
        <v>255</v>
      </c>
      <c r="E1515" s="97">
        <v>85</v>
      </c>
      <c r="F1515" s="366">
        <f t="shared" si="207"/>
        <v>1844.5</v>
      </c>
      <c r="G1515" s="97">
        <v>2594</v>
      </c>
      <c r="H1515" s="367">
        <f t="shared" si="208"/>
        <v>4438.5</v>
      </c>
      <c r="I1515" s="368">
        <f t="shared" si="212"/>
        <v>0</v>
      </c>
      <c r="J1515" s="97">
        <v>6650</v>
      </c>
      <c r="K1515" s="367">
        <f t="shared" si="213"/>
        <v>4750</v>
      </c>
      <c r="L1515" s="97">
        <v>0.18000000000000002</v>
      </c>
      <c r="M1515" s="97">
        <v>2.8000000000000003</v>
      </c>
      <c r="N1515" s="97">
        <v>20</v>
      </c>
      <c r="O1515" s="97">
        <v>5</v>
      </c>
      <c r="P1515" s="97" t="s">
        <v>515</v>
      </c>
      <c r="Q1515" s="97" t="str">
        <f t="shared" si="209"/>
        <v/>
      </c>
      <c r="R1515" t="str">
        <f t="shared" si="210"/>
        <v/>
      </c>
    </row>
    <row r="1516" spans="3:18">
      <c r="C1516" t="str">
        <f t="shared" si="211"/>
        <v>NL</v>
      </c>
      <c r="D1516" s="36">
        <v>256</v>
      </c>
      <c r="E1516" s="97">
        <v>85</v>
      </c>
      <c r="F1516" s="366">
        <f t="shared" si="207"/>
        <v>1844.5</v>
      </c>
      <c r="G1516" s="97">
        <v>3332</v>
      </c>
      <c r="H1516" s="367">
        <f t="shared" si="208"/>
        <v>5176.5</v>
      </c>
      <c r="I1516" s="368">
        <f t="shared" si="212"/>
        <v>0</v>
      </c>
      <c r="J1516" s="97">
        <v>8543</v>
      </c>
      <c r="K1516" s="367">
        <f t="shared" si="213"/>
        <v>6102.1428571428569</v>
      </c>
      <c r="L1516" s="97">
        <v>0.29000000000000004</v>
      </c>
      <c r="M1516" s="97">
        <v>2.8000000000000003</v>
      </c>
      <c r="N1516" s="97">
        <v>22</v>
      </c>
      <c r="O1516" s="97">
        <v>5</v>
      </c>
      <c r="P1516" s="97" t="s">
        <v>556</v>
      </c>
      <c r="Q1516" s="97" t="str">
        <f t="shared" si="209"/>
        <v/>
      </c>
      <c r="R1516" t="str">
        <f t="shared" si="210"/>
        <v/>
      </c>
    </row>
    <row r="1517" spans="3:18">
      <c r="C1517" t="str">
        <f t="shared" si="211"/>
        <v>NL</v>
      </c>
      <c r="D1517" s="36">
        <v>257</v>
      </c>
      <c r="E1517" s="97">
        <v>85</v>
      </c>
      <c r="F1517" s="366">
        <f t="shared" ref="F1517:F1580" si="214">1.085*($A$2-$B$2)*E1517*$T$7</f>
        <v>1844.5</v>
      </c>
      <c r="G1517" s="97">
        <v>4074</v>
      </c>
      <c r="H1517" s="367">
        <f t="shared" ref="H1517:H1580" si="215">(G1517*$U$7)+F1517</f>
        <v>5918.5</v>
      </c>
      <c r="I1517" s="368">
        <f t="shared" si="212"/>
        <v>0</v>
      </c>
      <c r="J1517" s="97">
        <v>10445</v>
      </c>
      <c r="K1517" s="367">
        <f t="shared" si="213"/>
        <v>7460.7142857142862</v>
      </c>
      <c r="L1517" s="97">
        <v>0.6</v>
      </c>
      <c r="M1517" s="97">
        <v>2.8000000000000003</v>
      </c>
      <c r="N1517" s="97">
        <v>28</v>
      </c>
      <c r="O1517" s="97">
        <v>5</v>
      </c>
      <c r="P1517" s="97" t="s">
        <v>514</v>
      </c>
      <c r="Q1517" s="97" t="str">
        <f t="shared" ref="Q1517:Q1580" si="216">IF(AND(H1517+1&gt;$E$4,L1517&lt;$L$4+0.01,M1517&lt;$M$4+0.01,K1517+1&gt;$F$4,E1517+1&gt;$J$4,N1517&lt;$K$4+1,O1517&lt;$P$4+1,C1517=""),D1517,"")</f>
        <v/>
      </c>
      <c r="R1517" t="str">
        <f t="shared" ref="R1517:R1580" si="217">IF(Q1517="","",IF(AND(O1517&lt;$X$16,E1517&gt;$U$16,E1517&lt;$Q$4+$U$16+1),D1517,""))</f>
        <v/>
      </c>
    </row>
    <row r="1518" spans="3:18">
      <c r="C1518" t="str">
        <f t="shared" si="211"/>
        <v>NL</v>
      </c>
      <c r="D1518" s="36">
        <v>258</v>
      </c>
      <c r="E1518" s="97">
        <v>85</v>
      </c>
      <c r="F1518" s="366">
        <f t="shared" si="214"/>
        <v>1844.5</v>
      </c>
      <c r="G1518" s="97">
        <v>4383</v>
      </c>
      <c r="H1518" s="367">
        <f t="shared" si="215"/>
        <v>6227.5</v>
      </c>
      <c r="I1518" s="368">
        <f t="shared" si="212"/>
        <v>0</v>
      </c>
      <c r="J1518" s="97">
        <v>11236</v>
      </c>
      <c r="K1518" s="367">
        <f t="shared" si="213"/>
        <v>8025.7142857142862</v>
      </c>
      <c r="L1518" s="97">
        <v>0.87</v>
      </c>
      <c r="M1518" s="97">
        <v>2.8000000000000003</v>
      </c>
      <c r="N1518" s="97">
        <v>26</v>
      </c>
      <c r="O1518" s="97">
        <v>5</v>
      </c>
      <c r="P1518" s="97" t="s">
        <v>555</v>
      </c>
      <c r="Q1518" s="97" t="str">
        <f t="shared" si="216"/>
        <v/>
      </c>
      <c r="R1518" t="str">
        <f t="shared" si="217"/>
        <v/>
      </c>
    </row>
    <row r="1519" spans="3:18">
      <c r="C1519" t="str">
        <f t="shared" si="211"/>
        <v/>
      </c>
      <c r="D1519" s="36">
        <v>259</v>
      </c>
      <c r="E1519" s="97">
        <v>85</v>
      </c>
      <c r="F1519" s="366">
        <f t="shared" si="214"/>
        <v>1844.5</v>
      </c>
      <c r="G1519" s="97">
        <v>3218</v>
      </c>
      <c r="H1519" s="367">
        <f t="shared" si="215"/>
        <v>5062.5</v>
      </c>
      <c r="I1519" s="368">
        <f t="shared" si="212"/>
        <v>0</v>
      </c>
      <c r="J1519" s="97">
        <v>8249</v>
      </c>
      <c r="K1519" s="367">
        <f t="shared" si="213"/>
        <v>5892.1428571428569</v>
      </c>
      <c r="L1519" s="97">
        <v>0.21000000000000002</v>
      </c>
      <c r="M1519" s="97">
        <v>3.4</v>
      </c>
      <c r="N1519" s="97">
        <v>21</v>
      </c>
      <c r="O1519" s="97">
        <v>6</v>
      </c>
      <c r="P1519" s="97" t="s">
        <v>556</v>
      </c>
      <c r="Q1519" s="97">
        <f t="shared" si="216"/>
        <v>259</v>
      </c>
      <c r="R1519" t="str">
        <f t="shared" si="217"/>
        <v/>
      </c>
    </row>
    <row r="1520" spans="3:18">
      <c r="C1520" t="str">
        <f t="shared" si="211"/>
        <v/>
      </c>
      <c r="D1520" s="36">
        <v>260</v>
      </c>
      <c r="E1520" s="97">
        <v>85</v>
      </c>
      <c r="F1520" s="366">
        <f t="shared" si="214"/>
        <v>1844.5</v>
      </c>
      <c r="G1520" s="97">
        <v>4308</v>
      </c>
      <c r="H1520" s="367">
        <f t="shared" si="215"/>
        <v>6152.5</v>
      </c>
      <c r="I1520" s="368">
        <f t="shared" si="212"/>
        <v>0</v>
      </c>
      <c r="J1520" s="97">
        <v>11043</v>
      </c>
      <c r="K1520" s="367">
        <f t="shared" si="213"/>
        <v>7887.8571428571431</v>
      </c>
      <c r="L1520" s="97">
        <v>0.42</v>
      </c>
      <c r="M1520" s="97">
        <v>3.4</v>
      </c>
      <c r="N1520" s="97">
        <v>26</v>
      </c>
      <c r="O1520" s="97">
        <v>6</v>
      </c>
      <c r="P1520" s="97" t="s">
        <v>514</v>
      </c>
      <c r="Q1520" s="97">
        <f t="shared" si="216"/>
        <v>260</v>
      </c>
      <c r="R1520" t="str">
        <f t="shared" si="217"/>
        <v/>
      </c>
    </row>
    <row r="1521" spans="3:18">
      <c r="C1521" t="str">
        <f t="shared" si="211"/>
        <v/>
      </c>
      <c r="D1521" s="36">
        <v>261</v>
      </c>
      <c r="E1521" s="97">
        <v>85</v>
      </c>
      <c r="F1521" s="366">
        <f t="shared" si="214"/>
        <v>1844.5</v>
      </c>
      <c r="G1521" s="97">
        <v>4694</v>
      </c>
      <c r="H1521" s="367">
        <f t="shared" si="215"/>
        <v>6538.5</v>
      </c>
      <c r="I1521" s="368">
        <f t="shared" si="212"/>
        <v>0</v>
      </c>
      <c r="J1521" s="97">
        <v>12034</v>
      </c>
      <c r="K1521" s="367">
        <f t="shared" si="213"/>
        <v>8595.7142857142862</v>
      </c>
      <c r="L1521" s="97">
        <v>0.62</v>
      </c>
      <c r="M1521" s="97">
        <v>3.4</v>
      </c>
      <c r="N1521" s="97">
        <v>25</v>
      </c>
      <c r="O1521" s="97">
        <v>6</v>
      </c>
      <c r="P1521" s="97" t="s">
        <v>555</v>
      </c>
      <c r="Q1521" s="97">
        <f t="shared" si="216"/>
        <v>261</v>
      </c>
      <c r="R1521" t="str">
        <f t="shared" si="217"/>
        <v/>
      </c>
    </row>
    <row r="1522" spans="3:18">
      <c r="C1522" t="str">
        <f t="shared" si="211"/>
        <v>NL</v>
      </c>
      <c r="D1522" s="36">
        <v>262</v>
      </c>
      <c r="E1522" s="97">
        <v>85</v>
      </c>
      <c r="F1522" s="366">
        <f t="shared" si="214"/>
        <v>1844.5</v>
      </c>
      <c r="G1522" s="97">
        <v>4007</v>
      </c>
      <c r="H1522" s="367">
        <f t="shared" si="215"/>
        <v>5851.5</v>
      </c>
      <c r="I1522" s="368">
        <f t="shared" si="212"/>
        <v>0</v>
      </c>
      <c r="J1522" s="97">
        <v>10273</v>
      </c>
      <c r="K1522" s="367">
        <f t="shared" si="213"/>
        <v>7337.8571428571431</v>
      </c>
      <c r="L1522" s="97">
        <v>0.32</v>
      </c>
      <c r="M1522" s="97">
        <v>3.9</v>
      </c>
      <c r="N1522" s="97">
        <v>25</v>
      </c>
      <c r="O1522" s="97">
        <v>7</v>
      </c>
      <c r="P1522" s="97" t="s">
        <v>514</v>
      </c>
      <c r="Q1522" s="97" t="str">
        <f t="shared" si="216"/>
        <v/>
      </c>
      <c r="R1522" t="str">
        <f t="shared" si="217"/>
        <v/>
      </c>
    </row>
    <row r="1523" spans="3:18">
      <c r="C1523" t="str">
        <f t="shared" si="211"/>
        <v>NL</v>
      </c>
      <c r="D1523" s="36">
        <v>263</v>
      </c>
      <c r="E1523" s="97">
        <v>85</v>
      </c>
      <c r="F1523" s="366">
        <f t="shared" si="214"/>
        <v>1844.5</v>
      </c>
      <c r="G1523" s="97">
        <v>4611</v>
      </c>
      <c r="H1523" s="367">
        <f t="shared" si="215"/>
        <v>6455.5</v>
      </c>
      <c r="I1523" s="368">
        <f t="shared" si="212"/>
        <v>0</v>
      </c>
      <c r="J1523" s="97">
        <v>11821</v>
      </c>
      <c r="K1523" s="367">
        <f t="shared" si="213"/>
        <v>8443.5714285714294</v>
      </c>
      <c r="L1523" s="97">
        <v>0.46</v>
      </c>
      <c r="M1523" s="97">
        <v>3.9</v>
      </c>
      <c r="N1523" s="97">
        <v>24</v>
      </c>
      <c r="O1523" s="97">
        <v>7</v>
      </c>
      <c r="P1523" s="97" t="s">
        <v>555</v>
      </c>
      <c r="Q1523" s="97" t="str">
        <f t="shared" si="216"/>
        <v/>
      </c>
      <c r="R1523" t="str">
        <f t="shared" si="217"/>
        <v/>
      </c>
    </row>
    <row r="1524" spans="3:18">
      <c r="C1524" t="str">
        <f t="shared" si="211"/>
        <v>NL</v>
      </c>
      <c r="D1524" s="36">
        <v>264</v>
      </c>
      <c r="E1524" s="97">
        <v>85</v>
      </c>
      <c r="F1524" s="366">
        <f t="shared" si="214"/>
        <v>1844.5</v>
      </c>
      <c r="G1524" s="97">
        <v>6372</v>
      </c>
      <c r="H1524" s="367">
        <f t="shared" si="215"/>
        <v>8216.5</v>
      </c>
      <c r="I1524" s="368">
        <f t="shared" si="212"/>
        <v>0</v>
      </c>
      <c r="J1524" s="97">
        <v>16334</v>
      </c>
      <c r="K1524" s="367">
        <f t="shared" si="213"/>
        <v>11667.142857142857</v>
      </c>
      <c r="L1524" s="97">
        <v>1.02</v>
      </c>
      <c r="M1524" s="97">
        <v>3.9</v>
      </c>
      <c r="N1524" s="97">
        <v>29</v>
      </c>
      <c r="O1524" s="97">
        <v>7</v>
      </c>
      <c r="P1524" s="97" t="s">
        <v>513</v>
      </c>
      <c r="Q1524" s="97" t="str">
        <f t="shared" si="216"/>
        <v/>
      </c>
      <c r="R1524" t="str">
        <f t="shared" si="217"/>
        <v/>
      </c>
    </row>
    <row r="1525" spans="3:18">
      <c r="C1525" t="str">
        <f t="shared" si="211"/>
        <v/>
      </c>
      <c r="D1525" s="36">
        <v>265</v>
      </c>
      <c r="E1525" s="97">
        <v>85</v>
      </c>
      <c r="F1525" s="366">
        <f t="shared" si="214"/>
        <v>1844.5</v>
      </c>
      <c r="G1525" s="97">
        <v>3812</v>
      </c>
      <c r="H1525" s="367">
        <f t="shared" si="215"/>
        <v>5656.5</v>
      </c>
      <c r="I1525" s="368">
        <f t="shared" si="212"/>
        <v>0</v>
      </c>
      <c r="J1525" s="97">
        <v>9771</v>
      </c>
      <c r="K1525" s="367">
        <f t="shared" si="213"/>
        <v>6979.2857142857147</v>
      </c>
      <c r="L1525" s="97">
        <v>0.25</v>
      </c>
      <c r="M1525" s="97">
        <v>4.3999999999999995</v>
      </c>
      <c r="N1525" s="97">
        <v>25</v>
      </c>
      <c r="O1525" s="97">
        <v>8</v>
      </c>
      <c r="P1525" s="97" t="s">
        <v>514</v>
      </c>
      <c r="Q1525" s="97">
        <f t="shared" si="216"/>
        <v>265</v>
      </c>
      <c r="R1525" t="str">
        <f t="shared" si="217"/>
        <v/>
      </c>
    </row>
    <row r="1526" spans="3:18">
      <c r="C1526" t="str">
        <f t="shared" si="211"/>
        <v/>
      </c>
      <c r="D1526" s="36">
        <v>266</v>
      </c>
      <c r="E1526" s="97">
        <v>85</v>
      </c>
      <c r="F1526" s="366">
        <f t="shared" si="214"/>
        <v>1844.5</v>
      </c>
      <c r="G1526" s="97">
        <v>4422</v>
      </c>
      <c r="H1526" s="367">
        <f t="shared" si="215"/>
        <v>6266.5</v>
      </c>
      <c r="I1526" s="368">
        <f t="shared" si="212"/>
        <v>0</v>
      </c>
      <c r="J1526" s="97">
        <v>11336</v>
      </c>
      <c r="K1526" s="367">
        <f t="shared" si="213"/>
        <v>8097.1428571428569</v>
      </c>
      <c r="L1526" s="97">
        <v>0.37</v>
      </c>
      <c r="M1526" s="97">
        <v>4.3999999999999995</v>
      </c>
      <c r="N1526" s="97">
        <v>23</v>
      </c>
      <c r="O1526" s="97">
        <v>8</v>
      </c>
      <c r="P1526" s="97" t="s">
        <v>555</v>
      </c>
      <c r="Q1526" s="97">
        <f t="shared" si="216"/>
        <v>266</v>
      </c>
      <c r="R1526" t="str">
        <f t="shared" si="217"/>
        <v/>
      </c>
    </row>
    <row r="1527" spans="3:18">
      <c r="C1527" t="str">
        <f t="shared" si="211"/>
        <v/>
      </c>
      <c r="D1527" s="36">
        <v>267</v>
      </c>
      <c r="E1527" s="97">
        <v>85</v>
      </c>
      <c r="F1527" s="366">
        <f t="shared" si="214"/>
        <v>1844.5</v>
      </c>
      <c r="G1527" s="97">
        <v>5994</v>
      </c>
      <c r="H1527" s="367">
        <f t="shared" si="215"/>
        <v>7838.5</v>
      </c>
      <c r="I1527" s="368">
        <f t="shared" si="212"/>
        <v>0</v>
      </c>
      <c r="J1527" s="97">
        <v>15366</v>
      </c>
      <c r="K1527" s="367">
        <f t="shared" si="213"/>
        <v>10975.714285714286</v>
      </c>
      <c r="L1527" s="97">
        <v>0.78</v>
      </c>
      <c r="M1527" s="97">
        <v>4.3999999999999995</v>
      </c>
      <c r="N1527" s="97">
        <v>28</v>
      </c>
      <c r="O1527" s="97">
        <v>8</v>
      </c>
      <c r="P1527" s="97" t="s">
        <v>513</v>
      </c>
      <c r="Q1527" s="97" t="str">
        <f t="shared" si="216"/>
        <v/>
      </c>
      <c r="R1527" t="str">
        <f t="shared" si="217"/>
        <v/>
      </c>
    </row>
    <row r="1528" spans="3:18">
      <c r="C1528" t="str">
        <f t="shared" si="211"/>
        <v/>
      </c>
      <c r="D1528" s="36">
        <v>268</v>
      </c>
      <c r="E1528" s="97">
        <v>85</v>
      </c>
      <c r="F1528" s="366">
        <f t="shared" si="214"/>
        <v>1844.5</v>
      </c>
      <c r="G1528" s="97">
        <v>4351</v>
      </c>
      <c r="H1528" s="367">
        <f t="shared" si="215"/>
        <v>6195.5</v>
      </c>
      <c r="I1528" s="368">
        <f t="shared" si="212"/>
        <v>0</v>
      </c>
      <c r="J1528" s="97">
        <v>11155</v>
      </c>
      <c r="K1528" s="367">
        <f t="shared" si="213"/>
        <v>7967.8571428571431</v>
      </c>
      <c r="L1528" s="97">
        <v>0.24000000000000002</v>
      </c>
      <c r="M1528" s="97">
        <v>5.3999999999999995</v>
      </c>
      <c r="N1528" s="97">
        <v>22</v>
      </c>
      <c r="O1528" s="97">
        <v>10</v>
      </c>
      <c r="P1528" s="97" t="s">
        <v>555</v>
      </c>
      <c r="Q1528" s="97" t="str">
        <f t="shared" si="216"/>
        <v/>
      </c>
      <c r="R1528" t="str">
        <f t="shared" si="217"/>
        <v/>
      </c>
    </row>
    <row r="1529" spans="3:18">
      <c r="C1529" t="str">
        <f t="shared" si="211"/>
        <v/>
      </c>
      <c r="D1529" s="36">
        <v>269</v>
      </c>
      <c r="E1529" s="97">
        <v>85</v>
      </c>
      <c r="F1529" s="366">
        <f t="shared" si="214"/>
        <v>1844.5</v>
      </c>
      <c r="G1529" s="97">
        <v>5637</v>
      </c>
      <c r="H1529" s="367">
        <f t="shared" si="215"/>
        <v>7481.5</v>
      </c>
      <c r="I1529" s="368">
        <f t="shared" si="212"/>
        <v>0</v>
      </c>
      <c r="J1529" s="97">
        <v>14450</v>
      </c>
      <c r="K1529" s="367">
        <f t="shared" si="213"/>
        <v>10321.428571428572</v>
      </c>
      <c r="L1529" s="97">
        <v>0.51</v>
      </c>
      <c r="M1529" s="97">
        <v>5.3999999999999995</v>
      </c>
      <c r="N1529" s="97">
        <v>26</v>
      </c>
      <c r="O1529" s="97">
        <v>10</v>
      </c>
      <c r="P1529" s="97" t="s">
        <v>513</v>
      </c>
      <c r="Q1529" s="97" t="str">
        <f t="shared" si="216"/>
        <v/>
      </c>
      <c r="R1529" t="str">
        <f t="shared" si="217"/>
        <v/>
      </c>
    </row>
    <row r="1530" spans="3:18">
      <c r="C1530" t="str">
        <f t="shared" si="211"/>
        <v/>
      </c>
      <c r="D1530" s="36">
        <v>270</v>
      </c>
      <c r="E1530" s="97">
        <v>85</v>
      </c>
      <c r="F1530" s="366">
        <f t="shared" si="214"/>
        <v>1844.5</v>
      </c>
      <c r="G1530" s="97">
        <v>7330</v>
      </c>
      <c r="H1530" s="367">
        <f t="shared" si="215"/>
        <v>9174.5</v>
      </c>
      <c r="I1530" s="368">
        <f t="shared" si="212"/>
        <v>0</v>
      </c>
      <c r="J1530" s="97">
        <v>18789</v>
      </c>
      <c r="K1530" s="367">
        <f t="shared" si="213"/>
        <v>13420.714285714286</v>
      </c>
      <c r="L1530" s="97">
        <v>1</v>
      </c>
      <c r="M1530" s="97">
        <v>5.3999999999999995</v>
      </c>
      <c r="N1530" s="97">
        <v>27</v>
      </c>
      <c r="O1530" s="97">
        <v>10</v>
      </c>
      <c r="P1530" s="97" t="s">
        <v>512</v>
      </c>
      <c r="Q1530" s="97" t="str">
        <f t="shared" si="216"/>
        <v/>
      </c>
      <c r="R1530" t="str">
        <f t="shared" si="217"/>
        <v/>
      </c>
    </row>
    <row r="1531" spans="3:18">
      <c r="C1531" t="str">
        <f t="shared" si="211"/>
        <v>NL</v>
      </c>
      <c r="D1531" s="36">
        <v>271</v>
      </c>
      <c r="E1531" s="97">
        <v>90</v>
      </c>
      <c r="F1531" s="366">
        <f t="shared" si="214"/>
        <v>1953</v>
      </c>
      <c r="G1531" s="97">
        <v>2833</v>
      </c>
      <c r="H1531" s="367">
        <f t="shared" si="215"/>
        <v>4786</v>
      </c>
      <c r="I1531" s="368">
        <f t="shared" si="212"/>
        <v>0</v>
      </c>
      <c r="J1531" s="97">
        <v>7262</v>
      </c>
      <c r="K1531" s="367">
        <f t="shared" si="213"/>
        <v>5187.1428571428569</v>
      </c>
      <c r="L1531" s="97">
        <v>0.53</v>
      </c>
      <c r="M1531" s="97">
        <v>1.8</v>
      </c>
      <c r="N1531" s="97">
        <v>24</v>
      </c>
      <c r="O1531" s="97">
        <v>3</v>
      </c>
      <c r="P1531" s="97" t="s">
        <v>515</v>
      </c>
      <c r="Q1531" s="97" t="str">
        <f t="shared" si="216"/>
        <v/>
      </c>
      <c r="R1531" t="str">
        <f t="shared" si="217"/>
        <v/>
      </c>
    </row>
    <row r="1532" spans="3:18">
      <c r="C1532" t="str">
        <f t="shared" si="211"/>
        <v>NL</v>
      </c>
      <c r="D1532" s="36">
        <v>272</v>
      </c>
      <c r="E1532" s="97">
        <v>90</v>
      </c>
      <c r="F1532" s="366">
        <f t="shared" si="214"/>
        <v>1953</v>
      </c>
      <c r="G1532" s="97">
        <v>3164</v>
      </c>
      <c r="H1532" s="367">
        <f t="shared" si="215"/>
        <v>5117</v>
      </c>
      <c r="I1532" s="368">
        <f t="shared" si="212"/>
        <v>0</v>
      </c>
      <c r="J1532" s="97">
        <v>8113</v>
      </c>
      <c r="K1532" s="367">
        <f t="shared" si="213"/>
        <v>5795</v>
      </c>
      <c r="L1532" s="97">
        <v>0.89</v>
      </c>
      <c r="M1532" s="97">
        <v>1.8</v>
      </c>
      <c r="N1532" s="97">
        <v>27</v>
      </c>
      <c r="O1532" s="97">
        <v>3</v>
      </c>
      <c r="P1532" s="97" t="s">
        <v>556</v>
      </c>
      <c r="Q1532" s="97" t="str">
        <f t="shared" si="216"/>
        <v/>
      </c>
      <c r="R1532" t="str">
        <f t="shared" si="217"/>
        <v/>
      </c>
    </row>
    <row r="1533" spans="3:18">
      <c r="C1533" t="str">
        <f t="shared" si="211"/>
        <v/>
      </c>
      <c r="D1533" s="36">
        <v>273</v>
      </c>
      <c r="E1533" s="97">
        <v>90</v>
      </c>
      <c r="F1533" s="366">
        <f t="shared" si="214"/>
        <v>1953</v>
      </c>
      <c r="G1533" s="97">
        <v>2828</v>
      </c>
      <c r="H1533" s="367">
        <f t="shared" si="215"/>
        <v>4781</v>
      </c>
      <c r="I1533" s="368">
        <f t="shared" si="212"/>
        <v>0</v>
      </c>
      <c r="J1533" s="97">
        <v>7249</v>
      </c>
      <c r="K1533" s="367">
        <f t="shared" si="213"/>
        <v>5177.8571428571431</v>
      </c>
      <c r="L1533" s="97">
        <v>0.3</v>
      </c>
      <c r="M1533" s="97">
        <v>2.3000000000000003</v>
      </c>
      <c r="N1533" s="97">
        <v>22</v>
      </c>
      <c r="O1533" s="97">
        <v>4</v>
      </c>
      <c r="P1533" s="97" t="s">
        <v>515</v>
      </c>
      <c r="Q1533" s="97">
        <f t="shared" si="216"/>
        <v>273</v>
      </c>
      <c r="R1533" t="str">
        <f t="shared" si="217"/>
        <v/>
      </c>
    </row>
    <row r="1534" spans="3:18">
      <c r="C1534" t="str">
        <f t="shared" si="211"/>
        <v/>
      </c>
      <c r="D1534" s="36">
        <v>274</v>
      </c>
      <c r="E1534" s="97">
        <v>90</v>
      </c>
      <c r="F1534" s="366">
        <f t="shared" si="214"/>
        <v>1953</v>
      </c>
      <c r="G1534" s="97">
        <v>3365</v>
      </c>
      <c r="H1534" s="367">
        <f t="shared" si="215"/>
        <v>5318</v>
      </c>
      <c r="I1534" s="368">
        <f t="shared" si="212"/>
        <v>0</v>
      </c>
      <c r="J1534" s="97">
        <v>8626</v>
      </c>
      <c r="K1534" s="367">
        <f t="shared" si="213"/>
        <v>6161.4285714285716</v>
      </c>
      <c r="L1534" s="97">
        <v>0.5</v>
      </c>
      <c r="M1534" s="97">
        <v>2.3000000000000003</v>
      </c>
      <c r="N1534" s="97">
        <v>25</v>
      </c>
      <c r="O1534" s="97">
        <v>4</v>
      </c>
      <c r="P1534" s="97" t="s">
        <v>556</v>
      </c>
      <c r="Q1534" s="97">
        <f t="shared" si="216"/>
        <v>274</v>
      </c>
      <c r="R1534" t="str">
        <f t="shared" si="217"/>
        <v/>
      </c>
    </row>
    <row r="1535" spans="3:18">
      <c r="C1535" t="str">
        <f t="shared" si="211"/>
        <v>NL</v>
      </c>
      <c r="D1535" s="36">
        <v>275</v>
      </c>
      <c r="E1535" s="97">
        <v>90</v>
      </c>
      <c r="F1535" s="366">
        <f t="shared" si="214"/>
        <v>1953</v>
      </c>
      <c r="G1535" s="97">
        <v>2778</v>
      </c>
      <c r="H1535" s="367">
        <f t="shared" si="215"/>
        <v>4731</v>
      </c>
      <c r="I1535" s="368">
        <f t="shared" si="212"/>
        <v>0</v>
      </c>
      <c r="J1535" s="97">
        <v>7122</v>
      </c>
      <c r="K1535" s="367">
        <f t="shared" si="213"/>
        <v>5087.1428571428569</v>
      </c>
      <c r="L1535" s="97">
        <v>0.2</v>
      </c>
      <c r="M1535" s="97">
        <v>2.8000000000000003</v>
      </c>
      <c r="N1535" s="97">
        <v>21</v>
      </c>
      <c r="O1535" s="97">
        <v>5</v>
      </c>
      <c r="P1535" s="97" t="s">
        <v>515</v>
      </c>
      <c r="Q1535" s="97" t="str">
        <f t="shared" si="216"/>
        <v/>
      </c>
      <c r="R1535" t="str">
        <f t="shared" si="217"/>
        <v/>
      </c>
    </row>
    <row r="1536" spans="3:18">
      <c r="C1536" t="str">
        <f t="shared" si="211"/>
        <v>NL</v>
      </c>
      <c r="D1536" s="36">
        <v>276</v>
      </c>
      <c r="E1536" s="97">
        <v>90</v>
      </c>
      <c r="F1536" s="366">
        <f t="shared" si="214"/>
        <v>1953</v>
      </c>
      <c r="G1536" s="97">
        <v>3534</v>
      </c>
      <c r="H1536" s="367">
        <f t="shared" si="215"/>
        <v>5487</v>
      </c>
      <c r="I1536" s="368">
        <f t="shared" si="212"/>
        <v>0</v>
      </c>
      <c r="J1536" s="97">
        <v>9059</v>
      </c>
      <c r="K1536" s="367">
        <f t="shared" si="213"/>
        <v>6470.7142857142862</v>
      </c>
      <c r="L1536" s="97">
        <v>0.33</v>
      </c>
      <c r="M1536" s="97">
        <v>2.8000000000000003</v>
      </c>
      <c r="N1536" s="97">
        <v>23</v>
      </c>
      <c r="O1536" s="97">
        <v>5</v>
      </c>
      <c r="P1536" s="97" t="s">
        <v>556</v>
      </c>
      <c r="Q1536" s="97" t="str">
        <f t="shared" si="216"/>
        <v/>
      </c>
      <c r="R1536" t="str">
        <f t="shared" si="217"/>
        <v/>
      </c>
    </row>
    <row r="1537" spans="3:18">
      <c r="C1537" t="str">
        <f t="shared" si="211"/>
        <v>NL</v>
      </c>
      <c r="D1537" s="36">
        <v>277</v>
      </c>
      <c r="E1537" s="97">
        <v>90</v>
      </c>
      <c r="F1537" s="366">
        <f t="shared" si="214"/>
        <v>1953</v>
      </c>
      <c r="G1537" s="97">
        <v>4262</v>
      </c>
      <c r="H1537" s="367">
        <f t="shared" si="215"/>
        <v>6215</v>
      </c>
      <c r="I1537" s="368">
        <f t="shared" si="212"/>
        <v>0</v>
      </c>
      <c r="J1537" s="97">
        <v>10926</v>
      </c>
      <c r="K1537" s="367">
        <f t="shared" si="213"/>
        <v>7804.2857142857147</v>
      </c>
      <c r="L1537" s="97">
        <v>0.68</v>
      </c>
      <c r="M1537" s="97">
        <v>2.8000000000000003</v>
      </c>
      <c r="N1537" s="97">
        <v>28</v>
      </c>
      <c r="O1537" s="97">
        <v>5</v>
      </c>
      <c r="P1537" s="97" t="s">
        <v>514</v>
      </c>
      <c r="Q1537" s="97" t="str">
        <f t="shared" si="216"/>
        <v/>
      </c>
      <c r="R1537" t="str">
        <f t="shared" si="217"/>
        <v/>
      </c>
    </row>
    <row r="1538" spans="3:18">
      <c r="C1538" t="str">
        <f t="shared" si="211"/>
        <v>NL</v>
      </c>
      <c r="D1538" s="36">
        <v>278</v>
      </c>
      <c r="E1538" s="97">
        <v>90</v>
      </c>
      <c r="F1538" s="366">
        <f t="shared" si="214"/>
        <v>1953</v>
      </c>
      <c r="G1538" s="97">
        <v>4571</v>
      </c>
      <c r="H1538" s="367">
        <f t="shared" si="215"/>
        <v>6524</v>
      </c>
      <c r="I1538" s="368">
        <f t="shared" si="212"/>
        <v>0</v>
      </c>
      <c r="J1538" s="97">
        <v>11718</v>
      </c>
      <c r="K1538" s="367">
        <f t="shared" si="213"/>
        <v>8370</v>
      </c>
      <c r="L1538" s="97">
        <v>0.98</v>
      </c>
      <c r="M1538" s="97">
        <v>2.8000000000000003</v>
      </c>
      <c r="N1538" s="97">
        <v>27</v>
      </c>
      <c r="O1538" s="97">
        <v>5</v>
      </c>
      <c r="P1538" s="97" t="s">
        <v>555</v>
      </c>
      <c r="Q1538" s="97" t="str">
        <f t="shared" si="216"/>
        <v/>
      </c>
      <c r="R1538" t="str">
        <f t="shared" si="217"/>
        <v/>
      </c>
    </row>
    <row r="1539" spans="3:18">
      <c r="C1539" t="str">
        <f t="shared" si="211"/>
        <v/>
      </c>
      <c r="D1539" s="36">
        <v>279</v>
      </c>
      <c r="E1539" s="97">
        <v>90</v>
      </c>
      <c r="F1539" s="366">
        <f t="shared" si="214"/>
        <v>1953</v>
      </c>
      <c r="G1539" s="97">
        <v>3462</v>
      </c>
      <c r="H1539" s="367">
        <f t="shared" si="215"/>
        <v>5415</v>
      </c>
      <c r="I1539" s="368">
        <f t="shared" si="212"/>
        <v>0</v>
      </c>
      <c r="J1539" s="97">
        <v>8876</v>
      </c>
      <c r="K1539" s="367">
        <f t="shared" si="213"/>
        <v>6340</v>
      </c>
      <c r="L1539" s="97">
        <v>0.23</v>
      </c>
      <c r="M1539" s="97">
        <v>3.4</v>
      </c>
      <c r="N1539" s="97">
        <v>22</v>
      </c>
      <c r="O1539" s="97">
        <v>6</v>
      </c>
      <c r="P1539" s="97" t="s">
        <v>556</v>
      </c>
      <c r="Q1539" s="97">
        <f t="shared" si="216"/>
        <v>279</v>
      </c>
      <c r="R1539" t="str">
        <f t="shared" si="217"/>
        <v/>
      </c>
    </row>
    <row r="1540" spans="3:18">
      <c r="C1540" t="str">
        <f t="shared" si="211"/>
        <v/>
      </c>
      <c r="D1540" s="36">
        <v>280</v>
      </c>
      <c r="E1540" s="97">
        <v>90</v>
      </c>
      <c r="F1540" s="366">
        <f t="shared" si="214"/>
        <v>1953</v>
      </c>
      <c r="G1540" s="97">
        <v>4497</v>
      </c>
      <c r="H1540" s="367">
        <f t="shared" si="215"/>
        <v>6450</v>
      </c>
      <c r="I1540" s="368">
        <f t="shared" si="212"/>
        <v>0</v>
      </c>
      <c r="J1540" s="97">
        <v>11527</v>
      </c>
      <c r="K1540" s="367">
        <f t="shared" si="213"/>
        <v>8233.5714285714294</v>
      </c>
      <c r="L1540" s="97">
        <v>0.47000000000000003</v>
      </c>
      <c r="M1540" s="97">
        <v>3.4</v>
      </c>
      <c r="N1540" s="97">
        <v>27</v>
      </c>
      <c r="O1540" s="97">
        <v>6</v>
      </c>
      <c r="P1540" s="97" t="s">
        <v>514</v>
      </c>
      <c r="Q1540" s="97">
        <f t="shared" si="216"/>
        <v>280</v>
      </c>
      <c r="R1540" t="str">
        <f t="shared" si="217"/>
        <v/>
      </c>
    </row>
    <row r="1541" spans="3:18">
      <c r="C1541" t="str">
        <f t="shared" si="211"/>
        <v/>
      </c>
      <c r="D1541" s="36">
        <v>281</v>
      </c>
      <c r="E1541" s="97">
        <v>90</v>
      </c>
      <c r="F1541" s="366">
        <f t="shared" si="214"/>
        <v>1953</v>
      </c>
      <c r="G1541" s="97">
        <v>4873</v>
      </c>
      <c r="H1541" s="367">
        <f t="shared" si="215"/>
        <v>6826</v>
      </c>
      <c r="I1541" s="368">
        <f t="shared" si="212"/>
        <v>0</v>
      </c>
      <c r="J1541" s="97">
        <v>12493</v>
      </c>
      <c r="K1541" s="367">
        <f t="shared" si="213"/>
        <v>8923.5714285714294</v>
      </c>
      <c r="L1541" s="97">
        <v>0.7</v>
      </c>
      <c r="M1541" s="97">
        <v>3.4</v>
      </c>
      <c r="N1541" s="97">
        <v>26</v>
      </c>
      <c r="O1541" s="97">
        <v>6</v>
      </c>
      <c r="P1541" s="97" t="s">
        <v>555</v>
      </c>
      <c r="Q1541" s="97">
        <f t="shared" si="216"/>
        <v>281</v>
      </c>
      <c r="R1541" t="str">
        <f t="shared" si="217"/>
        <v/>
      </c>
    </row>
    <row r="1542" spans="3:18">
      <c r="C1542" t="str">
        <f t="shared" si="211"/>
        <v>NL</v>
      </c>
      <c r="D1542" s="36">
        <v>282</v>
      </c>
      <c r="E1542" s="97">
        <v>90</v>
      </c>
      <c r="F1542" s="366">
        <f t="shared" si="214"/>
        <v>1953</v>
      </c>
      <c r="G1542" s="97">
        <v>3376</v>
      </c>
      <c r="H1542" s="367">
        <f t="shared" si="215"/>
        <v>5329</v>
      </c>
      <c r="I1542" s="368">
        <f t="shared" si="212"/>
        <v>0</v>
      </c>
      <c r="J1542" s="97">
        <v>8654</v>
      </c>
      <c r="K1542" s="367">
        <f t="shared" si="213"/>
        <v>6181.4285714285716</v>
      </c>
      <c r="L1542" s="97">
        <v>0.17</v>
      </c>
      <c r="M1542" s="97">
        <v>3.9</v>
      </c>
      <c r="N1542" s="97">
        <v>21</v>
      </c>
      <c r="O1542" s="97">
        <v>7</v>
      </c>
      <c r="P1542" s="97" t="s">
        <v>556</v>
      </c>
      <c r="Q1542" s="97" t="str">
        <f t="shared" si="216"/>
        <v/>
      </c>
      <c r="R1542" t="str">
        <f t="shared" si="217"/>
        <v/>
      </c>
    </row>
    <row r="1543" spans="3:18">
      <c r="C1543" t="str">
        <f t="shared" si="211"/>
        <v>NL</v>
      </c>
      <c r="D1543" s="36">
        <v>283</v>
      </c>
      <c r="E1543" s="97">
        <v>90</v>
      </c>
      <c r="F1543" s="366">
        <f t="shared" si="214"/>
        <v>1953</v>
      </c>
      <c r="G1543" s="97">
        <v>4305</v>
      </c>
      <c r="H1543" s="367">
        <f t="shared" si="215"/>
        <v>6258</v>
      </c>
      <c r="I1543" s="368">
        <f t="shared" si="212"/>
        <v>0</v>
      </c>
      <c r="J1543" s="97">
        <v>11037</v>
      </c>
      <c r="K1543" s="367">
        <f t="shared" si="213"/>
        <v>7883.5714285714284</v>
      </c>
      <c r="L1543" s="97">
        <v>0.35000000000000003</v>
      </c>
      <c r="M1543" s="97">
        <v>3.9</v>
      </c>
      <c r="N1543" s="97">
        <v>26</v>
      </c>
      <c r="O1543" s="97">
        <v>7</v>
      </c>
      <c r="P1543" s="97" t="s">
        <v>514</v>
      </c>
      <c r="Q1543" s="97" t="str">
        <f t="shared" si="216"/>
        <v/>
      </c>
      <c r="R1543" t="str">
        <f t="shared" si="217"/>
        <v/>
      </c>
    </row>
    <row r="1544" spans="3:18">
      <c r="C1544" t="str">
        <f t="shared" si="211"/>
        <v>NL</v>
      </c>
      <c r="D1544" s="36">
        <v>284</v>
      </c>
      <c r="E1544" s="97">
        <v>90</v>
      </c>
      <c r="F1544" s="366">
        <f t="shared" si="214"/>
        <v>1953</v>
      </c>
      <c r="G1544" s="97">
        <v>4959</v>
      </c>
      <c r="H1544" s="367">
        <f t="shared" si="215"/>
        <v>6912</v>
      </c>
      <c r="I1544" s="368">
        <f t="shared" si="212"/>
        <v>0</v>
      </c>
      <c r="J1544" s="97">
        <v>12711</v>
      </c>
      <c r="K1544" s="367">
        <f t="shared" si="213"/>
        <v>9079.2857142857138</v>
      </c>
      <c r="L1544" s="97">
        <v>0.52</v>
      </c>
      <c r="M1544" s="97">
        <v>3.9</v>
      </c>
      <c r="N1544" s="97">
        <v>25</v>
      </c>
      <c r="O1544" s="97">
        <v>7</v>
      </c>
      <c r="P1544" s="97" t="s">
        <v>555</v>
      </c>
      <c r="Q1544" s="97" t="str">
        <f t="shared" si="216"/>
        <v/>
      </c>
      <c r="R1544" t="str">
        <f t="shared" si="217"/>
        <v/>
      </c>
    </row>
    <row r="1545" spans="3:18">
      <c r="C1545" t="str">
        <f t="shared" si="211"/>
        <v/>
      </c>
      <c r="D1545" s="36">
        <v>285</v>
      </c>
      <c r="E1545" s="97">
        <v>90</v>
      </c>
      <c r="F1545" s="366">
        <f t="shared" si="214"/>
        <v>1953</v>
      </c>
      <c r="G1545" s="97">
        <v>4068</v>
      </c>
      <c r="H1545" s="367">
        <f t="shared" si="215"/>
        <v>6021</v>
      </c>
      <c r="I1545" s="368">
        <f t="shared" si="212"/>
        <v>0</v>
      </c>
      <c r="J1545" s="97">
        <v>10428</v>
      </c>
      <c r="K1545" s="367">
        <f t="shared" si="213"/>
        <v>7448.5714285714284</v>
      </c>
      <c r="L1545" s="97">
        <v>0.28000000000000003</v>
      </c>
      <c r="M1545" s="97">
        <v>4.3999999999999995</v>
      </c>
      <c r="N1545" s="97">
        <v>25</v>
      </c>
      <c r="O1545" s="97">
        <v>8</v>
      </c>
      <c r="P1545" s="97" t="s">
        <v>514</v>
      </c>
      <c r="Q1545" s="97">
        <f t="shared" si="216"/>
        <v>285</v>
      </c>
      <c r="R1545" t="str">
        <f t="shared" si="217"/>
        <v/>
      </c>
    </row>
    <row r="1546" spans="3:18">
      <c r="C1546" t="str">
        <f t="shared" si="211"/>
        <v/>
      </c>
      <c r="D1546" s="36">
        <v>286</v>
      </c>
      <c r="E1546" s="97">
        <v>90</v>
      </c>
      <c r="F1546" s="366">
        <f t="shared" si="214"/>
        <v>1953</v>
      </c>
      <c r="G1546" s="97">
        <v>4740</v>
      </c>
      <c r="H1546" s="367">
        <f t="shared" si="215"/>
        <v>6693</v>
      </c>
      <c r="I1546" s="368">
        <f t="shared" si="212"/>
        <v>0</v>
      </c>
      <c r="J1546" s="97">
        <v>12150</v>
      </c>
      <c r="K1546" s="367">
        <f t="shared" si="213"/>
        <v>8678.5714285714294</v>
      </c>
      <c r="L1546" s="97">
        <v>0.41000000000000003</v>
      </c>
      <c r="M1546" s="97">
        <v>4.3999999999999995</v>
      </c>
      <c r="N1546" s="97">
        <v>24</v>
      </c>
      <c r="O1546" s="97">
        <v>8</v>
      </c>
      <c r="P1546" s="97" t="s">
        <v>555</v>
      </c>
      <c r="Q1546" s="97">
        <f t="shared" si="216"/>
        <v>286</v>
      </c>
      <c r="R1546" t="str">
        <f t="shared" si="217"/>
        <v/>
      </c>
    </row>
    <row r="1547" spans="3:18">
      <c r="C1547" t="str">
        <f t="shared" si="211"/>
        <v/>
      </c>
      <c r="D1547" s="36">
        <v>287</v>
      </c>
      <c r="E1547" s="97">
        <v>90</v>
      </c>
      <c r="F1547" s="366">
        <f t="shared" si="214"/>
        <v>1953</v>
      </c>
      <c r="G1547" s="97">
        <v>6452</v>
      </c>
      <c r="H1547" s="367">
        <f t="shared" si="215"/>
        <v>8405</v>
      </c>
      <c r="I1547" s="368">
        <f t="shared" si="212"/>
        <v>0</v>
      </c>
      <c r="J1547" s="97">
        <v>16540</v>
      </c>
      <c r="K1547" s="367">
        <f t="shared" si="213"/>
        <v>11814.285714285714</v>
      </c>
      <c r="L1547" s="97">
        <v>0.87</v>
      </c>
      <c r="M1547" s="97">
        <v>4.3999999999999995</v>
      </c>
      <c r="N1547" s="97">
        <v>29</v>
      </c>
      <c r="O1547" s="97">
        <v>8</v>
      </c>
      <c r="P1547" s="97" t="s">
        <v>513</v>
      </c>
      <c r="Q1547" s="97" t="str">
        <f t="shared" si="216"/>
        <v/>
      </c>
      <c r="R1547" t="str">
        <f t="shared" si="217"/>
        <v/>
      </c>
    </row>
    <row r="1548" spans="3:18">
      <c r="C1548" t="str">
        <f t="shared" si="211"/>
        <v/>
      </c>
      <c r="D1548" s="36">
        <v>288</v>
      </c>
      <c r="E1548" s="97">
        <v>90</v>
      </c>
      <c r="F1548" s="366">
        <f t="shared" si="214"/>
        <v>1953</v>
      </c>
      <c r="G1548" s="97">
        <v>4029</v>
      </c>
      <c r="H1548" s="367">
        <f t="shared" si="215"/>
        <v>5982</v>
      </c>
      <c r="I1548" s="368">
        <f t="shared" si="212"/>
        <v>0</v>
      </c>
      <c r="J1548" s="97">
        <v>10329</v>
      </c>
      <c r="K1548" s="367">
        <f t="shared" si="213"/>
        <v>7377.8571428571431</v>
      </c>
      <c r="L1548" s="97">
        <v>0.19</v>
      </c>
      <c r="M1548" s="97">
        <v>5.3999999999999995</v>
      </c>
      <c r="N1548" s="97">
        <v>24</v>
      </c>
      <c r="O1548" s="97">
        <v>10</v>
      </c>
      <c r="P1548" s="97" t="s">
        <v>514</v>
      </c>
      <c r="Q1548" s="97" t="str">
        <f t="shared" si="216"/>
        <v/>
      </c>
      <c r="R1548" t="str">
        <f t="shared" si="217"/>
        <v/>
      </c>
    </row>
    <row r="1549" spans="3:18">
      <c r="C1549" t="str">
        <f t="shared" si="211"/>
        <v/>
      </c>
      <c r="D1549" s="36">
        <v>289</v>
      </c>
      <c r="E1549" s="97">
        <v>90</v>
      </c>
      <c r="F1549" s="366">
        <f t="shared" si="214"/>
        <v>1953</v>
      </c>
      <c r="G1549" s="97">
        <v>4554</v>
      </c>
      <c r="H1549" s="367">
        <f t="shared" si="215"/>
        <v>6507</v>
      </c>
      <c r="I1549" s="368">
        <f t="shared" si="212"/>
        <v>0</v>
      </c>
      <c r="J1549" s="97">
        <v>11673</v>
      </c>
      <c r="K1549" s="367">
        <f t="shared" si="213"/>
        <v>8337.8571428571431</v>
      </c>
      <c r="L1549" s="97">
        <v>0.27</v>
      </c>
      <c r="M1549" s="97">
        <v>5.3999999999999995</v>
      </c>
      <c r="N1549" s="97">
        <v>22</v>
      </c>
      <c r="O1549" s="97">
        <v>10</v>
      </c>
      <c r="P1549" s="97" t="s">
        <v>555</v>
      </c>
      <c r="Q1549" s="97" t="str">
        <f t="shared" si="216"/>
        <v/>
      </c>
      <c r="R1549" t="str">
        <f t="shared" si="217"/>
        <v/>
      </c>
    </row>
    <row r="1550" spans="3:18">
      <c r="C1550" t="str">
        <f t="shared" si="211"/>
        <v/>
      </c>
      <c r="D1550" s="36">
        <v>290</v>
      </c>
      <c r="E1550" s="97">
        <v>90</v>
      </c>
      <c r="F1550" s="366">
        <f t="shared" si="214"/>
        <v>1953</v>
      </c>
      <c r="G1550" s="97">
        <v>5904</v>
      </c>
      <c r="H1550" s="367">
        <f t="shared" si="215"/>
        <v>7857</v>
      </c>
      <c r="I1550" s="368">
        <f t="shared" si="212"/>
        <v>0</v>
      </c>
      <c r="J1550" s="97">
        <v>15136</v>
      </c>
      <c r="K1550" s="367">
        <f t="shared" si="213"/>
        <v>10811.428571428572</v>
      </c>
      <c r="L1550" s="97">
        <v>0.57999999999999996</v>
      </c>
      <c r="M1550" s="97">
        <v>5.3999999999999995</v>
      </c>
      <c r="N1550" s="97">
        <v>27</v>
      </c>
      <c r="O1550" s="97">
        <v>10</v>
      </c>
      <c r="P1550" s="97" t="s">
        <v>513</v>
      </c>
      <c r="Q1550" s="97" t="str">
        <f t="shared" si="216"/>
        <v/>
      </c>
      <c r="R1550" t="str">
        <f t="shared" si="217"/>
        <v/>
      </c>
    </row>
    <row r="1551" spans="3:18">
      <c r="C1551" t="str">
        <f t="shared" ref="C1551:C1614" si="218">IF(OR($O$4=0,O1551-$O$4=0),IF(AND(ISEVEN(O1551)=FALSE,$N$4="Even"),"NL",""),"NL")</f>
        <v>NL</v>
      </c>
      <c r="D1551" s="36">
        <v>291</v>
      </c>
      <c r="E1551" s="97">
        <v>95</v>
      </c>
      <c r="F1551" s="366">
        <f t="shared" si="214"/>
        <v>2061.5</v>
      </c>
      <c r="G1551" s="97">
        <v>2956</v>
      </c>
      <c r="H1551" s="367">
        <f t="shared" si="215"/>
        <v>5017.5</v>
      </c>
      <c r="I1551" s="368">
        <f t="shared" ref="I1551:I1614" si="219">1.085*($C$2-$D$2)*E1551*$T$7</f>
        <v>0</v>
      </c>
      <c r="J1551" s="97">
        <v>7579</v>
      </c>
      <c r="K1551" s="367">
        <f t="shared" ref="K1551:K1614" si="220">(J1551*$V$7)-I1551</f>
        <v>5413.5714285714284</v>
      </c>
      <c r="L1551" s="97">
        <v>0.59</v>
      </c>
      <c r="M1551" s="97">
        <v>1.8</v>
      </c>
      <c r="N1551" s="97">
        <v>25</v>
      </c>
      <c r="O1551" s="97">
        <v>3</v>
      </c>
      <c r="P1551" s="97" t="s">
        <v>515</v>
      </c>
      <c r="Q1551" s="97" t="str">
        <f t="shared" si="216"/>
        <v/>
      </c>
      <c r="R1551" t="str">
        <f t="shared" si="217"/>
        <v/>
      </c>
    </row>
    <row r="1552" spans="3:18">
      <c r="C1552" t="str">
        <f t="shared" si="218"/>
        <v>NL</v>
      </c>
      <c r="D1552" s="36">
        <v>292</v>
      </c>
      <c r="E1552" s="97">
        <v>95</v>
      </c>
      <c r="F1552" s="366">
        <f t="shared" si="214"/>
        <v>2061.5</v>
      </c>
      <c r="G1552" s="97">
        <v>3273</v>
      </c>
      <c r="H1552" s="367">
        <f t="shared" si="215"/>
        <v>5334.5</v>
      </c>
      <c r="I1552" s="368">
        <f t="shared" si="219"/>
        <v>0</v>
      </c>
      <c r="J1552" s="97">
        <v>8391</v>
      </c>
      <c r="K1552" s="367">
        <f t="shared" si="220"/>
        <v>5993.5714285714284</v>
      </c>
      <c r="L1552" s="97">
        <v>0.99</v>
      </c>
      <c r="M1552" s="97">
        <v>1.8</v>
      </c>
      <c r="N1552" s="97">
        <v>28</v>
      </c>
      <c r="O1552" s="97">
        <v>3</v>
      </c>
      <c r="P1552" s="97" t="s">
        <v>556</v>
      </c>
      <c r="Q1552" s="97" t="str">
        <f t="shared" si="216"/>
        <v/>
      </c>
      <c r="R1552" t="str">
        <f t="shared" si="217"/>
        <v/>
      </c>
    </row>
    <row r="1553" spans="3:18">
      <c r="C1553" t="str">
        <f t="shared" si="218"/>
        <v/>
      </c>
      <c r="D1553" s="36">
        <v>293</v>
      </c>
      <c r="E1553" s="97">
        <v>95</v>
      </c>
      <c r="F1553" s="366">
        <f t="shared" si="214"/>
        <v>2061.5</v>
      </c>
      <c r="G1553" s="97">
        <v>2985</v>
      </c>
      <c r="H1553" s="367">
        <f t="shared" si="215"/>
        <v>5046.5</v>
      </c>
      <c r="I1553" s="368">
        <f t="shared" si="219"/>
        <v>0</v>
      </c>
      <c r="J1553" s="97">
        <v>7652</v>
      </c>
      <c r="K1553" s="367">
        <f t="shared" si="220"/>
        <v>5465.7142857142862</v>
      </c>
      <c r="L1553" s="97">
        <v>0.33</v>
      </c>
      <c r="M1553" s="97">
        <v>2.3000000000000003</v>
      </c>
      <c r="N1553" s="97">
        <v>23</v>
      </c>
      <c r="O1553" s="97">
        <v>4</v>
      </c>
      <c r="P1553" s="97" t="s">
        <v>515</v>
      </c>
      <c r="Q1553" s="97">
        <f t="shared" si="216"/>
        <v>293</v>
      </c>
      <c r="R1553" t="str">
        <f t="shared" si="217"/>
        <v/>
      </c>
    </row>
    <row r="1554" spans="3:18">
      <c r="C1554" t="str">
        <f t="shared" si="218"/>
        <v/>
      </c>
      <c r="D1554" s="36">
        <v>294</v>
      </c>
      <c r="E1554" s="97">
        <v>95</v>
      </c>
      <c r="F1554" s="366">
        <f t="shared" si="214"/>
        <v>2061.5</v>
      </c>
      <c r="G1554" s="97">
        <v>3509</v>
      </c>
      <c r="H1554" s="367">
        <f t="shared" si="215"/>
        <v>5570.5</v>
      </c>
      <c r="I1554" s="368">
        <f t="shared" si="219"/>
        <v>0</v>
      </c>
      <c r="J1554" s="97">
        <v>8995</v>
      </c>
      <c r="K1554" s="367">
        <f t="shared" si="220"/>
        <v>6425</v>
      </c>
      <c r="L1554" s="97">
        <v>0.56000000000000005</v>
      </c>
      <c r="M1554" s="97">
        <v>2.3000000000000003</v>
      </c>
      <c r="N1554" s="97">
        <v>25</v>
      </c>
      <c r="O1554" s="97">
        <v>4</v>
      </c>
      <c r="P1554" s="97" t="s">
        <v>556</v>
      </c>
      <c r="Q1554" s="97">
        <f t="shared" si="216"/>
        <v>294</v>
      </c>
      <c r="R1554" t="str">
        <f t="shared" si="217"/>
        <v/>
      </c>
    </row>
    <row r="1555" spans="3:18">
      <c r="C1555" t="str">
        <f t="shared" si="218"/>
        <v>NL</v>
      </c>
      <c r="D1555" s="36">
        <v>295</v>
      </c>
      <c r="E1555" s="97">
        <v>95</v>
      </c>
      <c r="F1555" s="366">
        <f t="shared" si="214"/>
        <v>2061.5</v>
      </c>
      <c r="G1555" s="97">
        <v>2962</v>
      </c>
      <c r="H1555" s="367">
        <f t="shared" si="215"/>
        <v>5023.5</v>
      </c>
      <c r="I1555" s="368">
        <f t="shared" si="219"/>
        <v>0</v>
      </c>
      <c r="J1555" s="97">
        <v>7593</v>
      </c>
      <c r="K1555" s="367">
        <f t="shared" si="220"/>
        <v>5423.5714285714284</v>
      </c>
      <c r="L1555" s="97">
        <v>0.22</v>
      </c>
      <c r="M1555" s="97">
        <v>2.8000000000000003</v>
      </c>
      <c r="N1555" s="97">
        <v>22</v>
      </c>
      <c r="O1555" s="97">
        <v>5</v>
      </c>
      <c r="P1555" s="97" t="s">
        <v>515</v>
      </c>
      <c r="Q1555" s="97" t="str">
        <f t="shared" si="216"/>
        <v/>
      </c>
      <c r="R1555" t="str">
        <f t="shared" si="217"/>
        <v/>
      </c>
    </row>
    <row r="1556" spans="3:18">
      <c r="C1556" t="str">
        <f t="shared" si="218"/>
        <v>NL</v>
      </c>
      <c r="D1556" s="36">
        <v>296</v>
      </c>
      <c r="E1556" s="97">
        <v>95</v>
      </c>
      <c r="F1556" s="366">
        <f t="shared" si="214"/>
        <v>2061.5</v>
      </c>
      <c r="G1556" s="97">
        <v>3691</v>
      </c>
      <c r="H1556" s="367">
        <f t="shared" si="215"/>
        <v>5752.5</v>
      </c>
      <c r="I1556" s="368">
        <f t="shared" si="219"/>
        <v>0</v>
      </c>
      <c r="J1556" s="97">
        <v>9462</v>
      </c>
      <c r="K1556" s="367">
        <f t="shared" si="220"/>
        <v>6758.5714285714284</v>
      </c>
      <c r="L1556" s="97">
        <v>0.37</v>
      </c>
      <c r="M1556" s="97">
        <v>2.8000000000000003</v>
      </c>
      <c r="N1556" s="97">
        <v>24</v>
      </c>
      <c r="O1556" s="97">
        <v>5</v>
      </c>
      <c r="P1556" s="97" t="s">
        <v>556</v>
      </c>
      <c r="Q1556" s="97" t="str">
        <f t="shared" si="216"/>
        <v/>
      </c>
      <c r="R1556" t="str">
        <f t="shared" si="217"/>
        <v/>
      </c>
    </row>
    <row r="1557" spans="3:18">
      <c r="C1557" t="str">
        <f t="shared" si="218"/>
        <v>NL</v>
      </c>
      <c r="D1557" s="36">
        <v>297</v>
      </c>
      <c r="E1557" s="97">
        <v>95</v>
      </c>
      <c r="F1557" s="366">
        <f t="shared" si="214"/>
        <v>2061.5</v>
      </c>
      <c r="G1557" s="97">
        <v>4434</v>
      </c>
      <c r="H1557" s="367">
        <f t="shared" si="215"/>
        <v>6495.5</v>
      </c>
      <c r="I1557" s="368">
        <f t="shared" si="219"/>
        <v>0</v>
      </c>
      <c r="J1557" s="97">
        <v>11366</v>
      </c>
      <c r="K1557" s="367">
        <f t="shared" si="220"/>
        <v>8118.5714285714284</v>
      </c>
      <c r="L1557" s="97">
        <v>0.75</v>
      </c>
      <c r="M1557" s="97">
        <v>2.8000000000000003</v>
      </c>
      <c r="N1557" s="97">
        <v>29</v>
      </c>
      <c r="O1557" s="97">
        <v>5</v>
      </c>
      <c r="P1557" s="97" t="s">
        <v>514</v>
      </c>
      <c r="Q1557" s="97" t="str">
        <f t="shared" si="216"/>
        <v/>
      </c>
      <c r="R1557" t="str">
        <f t="shared" si="217"/>
        <v/>
      </c>
    </row>
    <row r="1558" spans="3:18">
      <c r="C1558" t="str">
        <f t="shared" si="218"/>
        <v/>
      </c>
      <c r="D1558" s="36">
        <v>298</v>
      </c>
      <c r="E1558" s="97">
        <v>95</v>
      </c>
      <c r="F1558" s="366">
        <f t="shared" si="214"/>
        <v>2061.5</v>
      </c>
      <c r="G1558" s="97">
        <v>3711</v>
      </c>
      <c r="H1558" s="367">
        <f t="shared" si="215"/>
        <v>5772.5</v>
      </c>
      <c r="I1558" s="368">
        <f t="shared" si="219"/>
        <v>0</v>
      </c>
      <c r="J1558" s="97">
        <v>9514</v>
      </c>
      <c r="K1558" s="367">
        <f t="shared" si="220"/>
        <v>6795.7142857142862</v>
      </c>
      <c r="L1558" s="97">
        <v>0.26</v>
      </c>
      <c r="M1558" s="97">
        <v>3.4</v>
      </c>
      <c r="N1558" s="97">
        <v>23</v>
      </c>
      <c r="O1558" s="97">
        <v>6</v>
      </c>
      <c r="P1558" s="97" t="s">
        <v>556</v>
      </c>
      <c r="Q1558" s="97">
        <f t="shared" si="216"/>
        <v>298</v>
      </c>
      <c r="R1558" t="str">
        <f t="shared" si="217"/>
        <v/>
      </c>
    </row>
    <row r="1559" spans="3:18">
      <c r="C1559" t="str">
        <f t="shared" si="218"/>
        <v/>
      </c>
      <c r="D1559" s="36">
        <v>299</v>
      </c>
      <c r="E1559" s="97">
        <v>95</v>
      </c>
      <c r="F1559" s="366">
        <f t="shared" si="214"/>
        <v>2061.5</v>
      </c>
      <c r="G1559" s="97">
        <v>4658</v>
      </c>
      <c r="H1559" s="367">
        <f t="shared" si="215"/>
        <v>6719.5</v>
      </c>
      <c r="I1559" s="368">
        <f t="shared" si="219"/>
        <v>0</v>
      </c>
      <c r="J1559" s="97">
        <v>11940</v>
      </c>
      <c r="K1559" s="367">
        <f t="shared" si="220"/>
        <v>8528.5714285714294</v>
      </c>
      <c r="L1559" s="97">
        <v>0.53</v>
      </c>
      <c r="M1559" s="97">
        <v>3.4</v>
      </c>
      <c r="N1559" s="97">
        <v>28</v>
      </c>
      <c r="O1559" s="97">
        <v>6</v>
      </c>
      <c r="P1559" s="97" t="s">
        <v>514</v>
      </c>
      <c r="Q1559" s="97">
        <f t="shared" si="216"/>
        <v>299</v>
      </c>
      <c r="R1559" t="str">
        <f t="shared" si="217"/>
        <v/>
      </c>
    </row>
    <row r="1560" spans="3:18">
      <c r="C1560" t="str">
        <f t="shared" si="218"/>
        <v/>
      </c>
      <c r="D1560" s="36">
        <v>300</v>
      </c>
      <c r="E1560" s="97">
        <v>95</v>
      </c>
      <c r="F1560" s="366">
        <f t="shared" si="214"/>
        <v>2061.5</v>
      </c>
      <c r="G1560" s="97">
        <v>5039</v>
      </c>
      <c r="H1560" s="367">
        <f t="shared" si="215"/>
        <v>7100.5</v>
      </c>
      <c r="I1560" s="368">
        <f t="shared" si="219"/>
        <v>0</v>
      </c>
      <c r="J1560" s="97">
        <v>12917</v>
      </c>
      <c r="K1560" s="367">
        <f t="shared" si="220"/>
        <v>9226.4285714285725</v>
      </c>
      <c r="L1560" s="97">
        <v>0.78</v>
      </c>
      <c r="M1560" s="97">
        <v>3.4</v>
      </c>
      <c r="N1560" s="97">
        <v>26</v>
      </c>
      <c r="O1560" s="97">
        <v>6</v>
      </c>
      <c r="P1560" s="97" t="s">
        <v>555</v>
      </c>
      <c r="Q1560" s="97" t="str">
        <f t="shared" si="216"/>
        <v/>
      </c>
      <c r="R1560" t="str">
        <f t="shared" si="217"/>
        <v/>
      </c>
    </row>
    <row r="1561" spans="3:18">
      <c r="C1561" t="str">
        <f t="shared" si="218"/>
        <v>NL</v>
      </c>
      <c r="D1561" s="36">
        <v>301</v>
      </c>
      <c r="E1561" s="97">
        <v>95</v>
      </c>
      <c r="F1561" s="366">
        <f t="shared" si="214"/>
        <v>2061.5</v>
      </c>
      <c r="G1561" s="97">
        <v>3556</v>
      </c>
      <c r="H1561" s="367">
        <f t="shared" si="215"/>
        <v>5617.5</v>
      </c>
      <c r="I1561" s="368">
        <f t="shared" si="219"/>
        <v>0</v>
      </c>
      <c r="J1561" s="97">
        <v>9117</v>
      </c>
      <c r="K1561" s="367">
        <f t="shared" si="220"/>
        <v>6512.1428571428569</v>
      </c>
      <c r="L1561" s="97">
        <v>0.19</v>
      </c>
      <c r="M1561" s="97">
        <v>3.9</v>
      </c>
      <c r="N1561" s="97">
        <v>21</v>
      </c>
      <c r="O1561" s="97">
        <v>7</v>
      </c>
      <c r="P1561" s="97" t="s">
        <v>556</v>
      </c>
      <c r="Q1561" s="97" t="str">
        <f t="shared" si="216"/>
        <v/>
      </c>
      <c r="R1561" t="str">
        <f t="shared" si="217"/>
        <v/>
      </c>
    </row>
    <row r="1562" spans="3:18">
      <c r="C1562" t="str">
        <f t="shared" si="218"/>
        <v>NL</v>
      </c>
      <c r="D1562" s="36">
        <v>302</v>
      </c>
      <c r="E1562" s="97">
        <v>95</v>
      </c>
      <c r="F1562" s="366">
        <f t="shared" si="214"/>
        <v>2061.5</v>
      </c>
      <c r="G1562" s="97">
        <v>4613</v>
      </c>
      <c r="H1562" s="367">
        <f t="shared" si="215"/>
        <v>6674.5</v>
      </c>
      <c r="I1562" s="368">
        <f t="shared" si="219"/>
        <v>0</v>
      </c>
      <c r="J1562" s="97">
        <v>11825</v>
      </c>
      <c r="K1562" s="367">
        <f t="shared" si="220"/>
        <v>8446.4285714285725</v>
      </c>
      <c r="L1562" s="97">
        <v>0.39</v>
      </c>
      <c r="M1562" s="97">
        <v>3.9</v>
      </c>
      <c r="N1562" s="97">
        <v>26</v>
      </c>
      <c r="O1562" s="97">
        <v>7</v>
      </c>
      <c r="P1562" s="97" t="s">
        <v>514</v>
      </c>
      <c r="Q1562" s="97" t="str">
        <f t="shared" si="216"/>
        <v/>
      </c>
      <c r="R1562" t="str">
        <f t="shared" si="217"/>
        <v/>
      </c>
    </row>
    <row r="1563" spans="3:18">
      <c r="C1563" t="str">
        <f t="shared" si="218"/>
        <v>NL</v>
      </c>
      <c r="D1563" s="36">
        <v>303</v>
      </c>
      <c r="E1563" s="97">
        <v>95</v>
      </c>
      <c r="F1563" s="366">
        <f t="shared" si="214"/>
        <v>2061.5</v>
      </c>
      <c r="G1563" s="97">
        <v>5291</v>
      </c>
      <c r="H1563" s="367">
        <f t="shared" si="215"/>
        <v>7352.5</v>
      </c>
      <c r="I1563" s="368">
        <f t="shared" si="219"/>
        <v>0</v>
      </c>
      <c r="J1563" s="97">
        <v>13563</v>
      </c>
      <c r="K1563" s="367">
        <f t="shared" si="220"/>
        <v>9687.8571428571431</v>
      </c>
      <c r="L1563" s="97">
        <v>0.57999999999999996</v>
      </c>
      <c r="M1563" s="97">
        <v>3.9</v>
      </c>
      <c r="N1563" s="97">
        <v>25</v>
      </c>
      <c r="O1563" s="97">
        <v>7</v>
      </c>
      <c r="P1563" s="97" t="s">
        <v>555</v>
      </c>
      <c r="Q1563" s="97" t="str">
        <f t="shared" si="216"/>
        <v/>
      </c>
      <c r="R1563" t="str">
        <f t="shared" si="217"/>
        <v/>
      </c>
    </row>
    <row r="1564" spans="3:18">
      <c r="C1564" t="str">
        <f t="shared" si="218"/>
        <v/>
      </c>
      <c r="D1564" s="36">
        <v>304</v>
      </c>
      <c r="E1564" s="97">
        <v>95</v>
      </c>
      <c r="F1564" s="366">
        <f t="shared" si="214"/>
        <v>2061.5</v>
      </c>
      <c r="G1564" s="97">
        <v>4345</v>
      </c>
      <c r="H1564" s="367">
        <f t="shared" si="215"/>
        <v>6406.5</v>
      </c>
      <c r="I1564" s="368">
        <f t="shared" si="219"/>
        <v>0</v>
      </c>
      <c r="J1564" s="97">
        <v>11138</v>
      </c>
      <c r="K1564" s="367">
        <f t="shared" si="220"/>
        <v>7955.7142857142862</v>
      </c>
      <c r="L1564" s="97">
        <v>0.31</v>
      </c>
      <c r="M1564" s="97">
        <v>4.3999999999999995</v>
      </c>
      <c r="N1564" s="97">
        <v>26</v>
      </c>
      <c r="O1564" s="97">
        <v>8</v>
      </c>
      <c r="P1564" s="97" t="s">
        <v>514</v>
      </c>
      <c r="Q1564" s="97">
        <f t="shared" si="216"/>
        <v>304</v>
      </c>
      <c r="R1564" t="str">
        <f t="shared" si="217"/>
        <v/>
      </c>
    </row>
    <row r="1565" spans="3:18">
      <c r="C1565" t="str">
        <f t="shared" si="218"/>
        <v/>
      </c>
      <c r="D1565" s="36">
        <v>305</v>
      </c>
      <c r="E1565" s="97">
        <v>95</v>
      </c>
      <c r="F1565" s="366">
        <f t="shared" si="214"/>
        <v>2061.5</v>
      </c>
      <c r="G1565" s="97">
        <v>5060</v>
      </c>
      <c r="H1565" s="367">
        <f t="shared" si="215"/>
        <v>7121.5</v>
      </c>
      <c r="I1565" s="368">
        <f t="shared" si="219"/>
        <v>0</v>
      </c>
      <c r="J1565" s="97">
        <v>12972</v>
      </c>
      <c r="K1565" s="367">
        <f t="shared" si="220"/>
        <v>9265.7142857142862</v>
      </c>
      <c r="L1565" s="97">
        <v>0.46</v>
      </c>
      <c r="M1565" s="97">
        <v>4.3999999999999995</v>
      </c>
      <c r="N1565" s="97">
        <v>25</v>
      </c>
      <c r="O1565" s="97">
        <v>8</v>
      </c>
      <c r="P1565" s="97" t="s">
        <v>555</v>
      </c>
      <c r="Q1565" s="97">
        <f t="shared" si="216"/>
        <v>305</v>
      </c>
      <c r="R1565" t="str">
        <f t="shared" si="217"/>
        <v/>
      </c>
    </row>
    <row r="1566" spans="3:18">
      <c r="C1566" t="str">
        <f t="shared" si="218"/>
        <v/>
      </c>
      <c r="D1566" s="36">
        <v>306</v>
      </c>
      <c r="E1566" s="97">
        <v>95</v>
      </c>
      <c r="F1566" s="366">
        <f t="shared" si="214"/>
        <v>2061.5</v>
      </c>
      <c r="G1566" s="97">
        <v>6910</v>
      </c>
      <c r="H1566" s="367">
        <f t="shared" si="215"/>
        <v>8971.5</v>
      </c>
      <c r="I1566" s="368">
        <f t="shared" si="219"/>
        <v>0</v>
      </c>
      <c r="J1566" s="97">
        <v>17715</v>
      </c>
      <c r="K1566" s="367">
        <f t="shared" si="220"/>
        <v>12653.571428571429</v>
      </c>
      <c r="L1566" s="97">
        <v>0.97</v>
      </c>
      <c r="M1566" s="97">
        <v>4.3999999999999995</v>
      </c>
      <c r="N1566" s="97">
        <v>29</v>
      </c>
      <c r="O1566" s="97">
        <v>8</v>
      </c>
      <c r="P1566" s="97" t="s">
        <v>513</v>
      </c>
      <c r="Q1566" s="97" t="str">
        <f t="shared" si="216"/>
        <v/>
      </c>
      <c r="R1566" t="str">
        <f t="shared" si="217"/>
        <v/>
      </c>
    </row>
    <row r="1567" spans="3:18">
      <c r="C1567" t="str">
        <f t="shared" si="218"/>
        <v/>
      </c>
      <c r="D1567" s="36">
        <v>307</v>
      </c>
      <c r="E1567" s="97">
        <v>95</v>
      </c>
      <c r="F1567" s="366">
        <f t="shared" si="214"/>
        <v>2061.5</v>
      </c>
      <c r="G1567" s="97">
        <v>4205</v>
      </c>
      <c r="H1567" s="367">
        <f t="shared" si="215"/>
        <v>6266.5</v>
      </c>
      <c r="I1567" s="368">
        <f t="shared" si="219"/>
        <v>0</v>
      </c>
      <c r="J1567" s="97">
        <v>10781</v>
      </c>
      <c r="K1567" s="367">
        <f t="shared" si="220"/>
        <v>7700.7142857142862</v>
      </c>
      <c r="L1567" s="97">
        <v>0.21000000000000002</v>
      </c>
      <c r="M1567" s="97">
        <v>5.3999999999999995</v>
      </c>
      <c r="N1567" s="97">
        <v>25</v>
      </c>
      <c r="O1567" s="97">
        <v>10</v>
      </c>
      <c r="P1567" s="97" t="s">
        <v>514</v>
      </c>
      <c r="Q1567" s="97" t="str">
        <f t="shared" si="216"/>
        <v/>
      </c>
      <c r="R1567" t="str">
        <f t="shared" si="217"/>
        <v/>
      </c>
    </row>
    <row r="1568" spans="3:18">
      <c r="C1568" t="str">
        <f t="shared" si="218"/>
        <v/>
      </c>
      <c r="D1568" s="36">
        <v>308</v>
      </c>
      <c r="E1568" s="97">
        <v>95</v>
      </c>
      <c r="F1568" s="366">
        <f t="shared" si="214"/>
        <v>2061.5</v>
      </c>
      <c r="G1568" s="97">
        <v>4756</v>
      </c>
      <c r="H1568" s="367">
        <f t="shared" si="215"/>
        <v>6817.5</v>
      </c>
      <c r="I1568" s="368">
        <f t="shared" si="219"/>
        <v>0</v>
      </c>
      <c r="J1568" s="97">
        <v>12191</v>
      </c>
      <c r="K1568" s="367">
        <f t="shared" si="220"/>
        <v>8707.8571428571431</v>
      </c>
      <c r="L1568" s="97">
        <v>0.3</v>
      </c>
      <c r="M1568" s="97">
        <v>5.3999999999999995</v>
      </c>
      <c r="N1568" s="97">
        <v>23</v>
      </c>
      <c r="O1568" s="97">
        <v>10</v>
      </c>
      <c r="P1568" s="97" t="s">
        <v>555</v>
      </c>
      <c r="Q1568" s="97" t="str">
        <f t="shared" si="216"/>
        <v/>
      </c>
      <c r="R1568" t="str">
        <f t="shared" si="217"/>
        <v/>
      </c>
    </row>
    <row r="1569" spans="3:18">
      <c r="C1569" t="str">
        <f t="shared" si="218"/>
        <v/>
      </c>
      <c r="D1569" s="36">
        <v>309</v>
      </c>
      <c r="E1569" s="97">
        <v>95</v>
      </c>
      <c r="F1569" s="366">
        <f t="shared" si="214"/>
        <v>2061.5</v>
      </c>
      <c r="G1569" s="97">
        <v>6290</v>
      </c>
      <c r="H1569" s="367">
        <f t="shared" si="215"/>
        <v>8351.5</v>
      </c>
      <c r="I1569" s="368">
        <f t="shared" si="219"/>
        <v>0</v>
      </c>
      <c r="J1569" s="97">
        <v>16124</v>
      </c>
      <c r="K1569" s="367">
        <f t="shared" si="220"/>
        <v>11517.142857142857</v>
      </c>
      <c r="L1569" s="97">
        <v>0.64</v>
      </c>
      <c r="M1569" s="97">
        <v>5.3999999999999995</v>
      </c>
      <c r="N1569" s="97">
        <v>28</v>
      </c>
      <c r="O1569" s="97">
        <v>10</v>
      </c>
      <c r="P1569" s="97" t="s">
        <v>513</v>
      </c>
      <c r="Q1569" s="97" t="str">
        <f t="shared" si="216"/>
        <v/>
      </c>
      <c r="R1569" t="str">
        <f t="shared" si="217"/>
        <v/>
      </c>
    </row>
    <row r="1570" spans="3:18">
      <c r="C1570" t="str">
        <f t="shared" si="218"/>
        <v>NL</v>
      </c>
      <c r="D1570" s="36">
        <v>310</v>
      </c>
      <c r="E1570" s="97">
        <v>100</v>
      </c>
      <c r="F1570" s="366">
        <f t="shared" si="214"/>
        <v>2170</v>
      </c>
      <c r="G1570" s="97">
        <v>3050</v>
      </c>
      <c r="H1570" s="367">
        <f t="shared" si="215"/>
        <v>5220</v>
      </c>
      <c r="I1570" s="368">
        <f t="shared" si="219"/>
        <v>0</v>
      </c>
      <c r="J1570" s="97">
        <v>7820</v>
      </c>
      <c r="K1570" s="367">
        <f t="shared" si="220"/>
        <v>5585.7142857142862</v>
      </c>
      <c r="L1570" s="97">
        <v>0.65</v>
      </c>
      <c r="M1570" s="97">
        <v>1.8</v>
      </c>
      <c r="N1570" s="97">
        <v>26</v>
      </c>
      <c r="O1570" s="97">
        <v>3</v>
      </c>
      <c r="P1570" s="97" t="s">
        <v>515</v>
      </c>
      <c r="Q1570" s="97" t="str">
        <f t="shared" si="216"/>
        <v/>
      </c>
      <c r="R1570" t="str">
        <f t="shared" si="217"/>
        <v/>
      </c>
    </row>
    <row r="1571" spans="3:18">
      <c r="C1571" t="str">
        <f t="shared" si="218"/>
        <v/>
      </c>
      <c r="D1571" s="36">
        <v>311</v>
      </c>
      <c r="E1571" s="97">
        <v>100</v>
      </c>
      <c r="F1571" s="366">
        <f t="shared" si="214"/>
        <v>2170</v>
      </c>
      <c r="G1571" s="97">
        <v>3142</v>
      </c>
      <c r="H1571" s="367">
        <f t="shared" si="215"/>
        <v>5312</v>
      </c>
      <c r="I1571" s="368">
        <f t="shared" si="219"/>
        <v>0</v>
      </c>
      <c r="J1571" s="97">
        <v>8054</v>
      </c>
      <c r="K1571" s="367">
        <f t="shared" si="220"/>
        <v>5752.8571428571431</v>
      </c>
      <c r="L1571" s="97">
        <v>0.37</v>
      </c>
      <c r="M1571" s="97">
        <v>2.3000000000000003</v>
      </c>
      <c r="N1571" s="97">
        <v>23</v>
      </c>
      <c r="O1571" s="97">
        <v>4</v>
      </c>
      <c r="P1571" s="97" t="s">
        <v>515</v>
      </c>
      <c r="Q1571" s="97">
        <f t="shared" si="216"/>
        <v>311</v>
      </c>
      <c r="R1571" t="str">
        <f t="shared" si="217"/>
        <v/>
      </c>
    </row>
    <row r="1572" spans="3:18">
      <c r="C1572" t="str">
        <f t="shared" si="218"/>
        <v/>
      </c>
      <c r="D1572" s="36">
        <v>312</v>
      </c>
      <c r="E1572" s="97">
        <v>100</v>
      </c>
      <c r="F1572" s="366">
        <f t="shared" si="214"/>
        <v>2170</v>
      </c>
      <c r="G1572" s="97">
        <v>3648</v>
      </c>
      <c r="H1572" s="367">
        <f t="shared" si="215"/>
        <v>5818</v>
      </c>
      <c r="I1572" s="368">
        <f t="shared" si="219"/>
        <v>0</v>
      </c>
      <c r="J1572" s="97">
        <v>9352</v>
      </c>
      <c r="K1572" s="367">
        <f t="shared" si="220"/>
        <v>6680</v>
      </c>
      <c r="L1572" s="97">
        <v>0.62</v>
      </c>
      <c r="M1572" s="97">
        <v>2.3000000000000003</v>
      </c>
      <c r="N1572" s="97">
        <v>26</v>
      </c>
      <c r="O1572" s="97">
        <v>4</v>
      </c>
      <c r="P1572" s="97" t="s">
        <v>556</v>
      </c>
      <c r="Q1572" s="97">
        <f t="shared" si="216"/>
        <v>312</v>
      </c>
      <c r="R1572" t="str">
        <f t="shared" si="217"/>
        <v/>
      </c>
    </row>
    <row r="1573" spans="3:18">
      <c r="C1573" t="str">
        <f t="shared" si="218"/>
        <v>NL</v>
      </c>
      <c r="D1573" s="36">
        <v>313</v>
      </c>
      <c r="E1573" s="97">
        <v>100</v>
      </c>
      <c r="F1573" s="366">
        <f t="shared" si="214"/>
        <v>2170</v>
      </c>
      <c r="G1573" s="97">
        <v>3150</v>
      </c>
      <c r="H1573" s="367">
        <f t="shared" si="215"/>
        <v>5320</v>
      </c>
      <c r="I1573" s="368">
        <f t="shared" si="219"/>
        <v>0</v>
      </c>
      <c r="J1573" s="97">
        <v>8075</v>
      </c>
      <c r="K1573" s="367">
        <f t="shared" si="220"/>
        <v>5767.8571428571431</v>
      </c>
      <c r="L1573" s="97">
        <v>0.25</v>
      </c>
      <c r="M1573" s="97">
        <v>2.8000000000000003</v>
      </c>
      <c r="N1573" s="97">
        <v>23</v>
      </c>
      <c r="O1573" s="97">
        <v>5</v>
      </c>
      <c r="P1573" s="97" t="s">
        <v>515</v>
      </c>
      <c r="Q1573" s="97" t="str">
        <f t="shared" si="216"/>
        <v/>
      </c>
      <c r="R1573" t="str">
        <f t="shared" si="217"/>
        <v/>
      </c>
    </row>
    <row r="1574" spans="3:18">
      <c r="C1574" t="str">
        <f t="shared" si="218"/>
        <v>NL</v>
      </c>
      <c r="D1574" s="36">
        <v>314</v>
      </c>
      <c r="E1574" s="97">
        <v>100</v>
      </c>
      <c r="F1574" s="366">
        <f t="shared" si="214"/>
        <v>2170</v>
      </c>
      <c r="G1574" s="97">
        <v>3847</v>
      </c>
      <c r="H1574" s="367">
        <f t="shared" si="215"/>
        <v>6017</v>
      </c>
      <c r="I1574" s="368">
        <f t="shared" si="219"/>
        <v>0</v>
      </c>
      <c r="J1574" s="97">
        <v>9863</v>
      </c>
      <c r="K1574" s="367">
        <f t="shared" si="220"/>
        <v>7045</v>
      </c>
      <c r="L1574" s="97">
        <v>0.4</v>
      </c>
      <c r="M1574" s="97">
        <v>2.8000000000000003</v>
      </c>
      <c r="N1574" s="97">
        <v>25</v>
      </c>
      <c r="O1574" s="97">
        <v>5</v>
      </c>
      <c r="P1574" s="97" t="s">
        <v>556</v>
      </c>
      <c r="Q1574" s="97" t="str">
        <f t="shared" si="216"/>
        <v/>
      </c>
      <c r="R1574" t="str">
        <f t="shared" si="217"/>
        <v/>
      </c>
    </row>
    <row r="1575" spans="3:18">
      <c r="C1575" t="str">
        <f t="shared" si="218"/>
        <v>NL</v>
      </c>
      <c r="D1575" s="36">
        <v>315</v>
      </c>
      <c r="E1575" s="97">
        <v>100</v>
      </c>
      <c r="F1575" s="366">
        <f t="shared" si="214"/>
        <v>2170</v>
      </c>
      <c r="G1575" s="97">
        <v>4602</v>
      </c>
      <c r="H1575" s="367">
        <f t="shared" si="215"/>
        <v>6772</v>
      </c>
      <c r="I1575" s="368">
        <f t="shared" si="219"/>
        <v>0</v>
      </c>
      <c r="J1575" s="97">
        <v>11797</v>
      </c>
      <c r="K1575" s="367">
        <f t="shared" si="220"/>
        <v>8426.4285714285725</v>
      </c>
      <c r="L1575" s="97">
        <v>0.83</v>
      </c>
      <c r="M1575" s="97">
        <v>2.8000000000000003</v>
      </c>
      <c r="N1575" s="97">
        <v>30</v>
      </c>
      <c r="O1575" s="97">
        <v>5</v>
      </c>
      <c r="P1575" s="97" t="s">
        <v>514</v>
      </c>
      <c r="Q1575" s="97" t="str">
        <f t="shared" si="216"/>
        <v/>
      </c>
      <c r="R1575" t="str">
        <f t="shared" si="217"/>
        <v/>
      </c>
    </row>
    <row r="1576" spans="3:18">
      <c r="C1576" t="str">
        <f t="shared" si="218"/>
        <v/>
      </c>
      <c r="D1576" s="36">
        <v>316</v>
      </c>
      <c r="E1576" s="97">
        <v>100</v>
      </c>
      <c r="F1576" s="366">
        <f t="shared" si="214"/>
        <v>2170</v>
      </c>
      <c r="G1576" s="97">
        <v>3015</v>
      </c>
      <c r="H1576" s="367">
        <f t="shared" si="215"/>
        <v>5185</v>
      </c>
      <c r="I1576" s="368">
        <f t="shared" si="219"/>
        <v>0</v>
      </c>
      <c r="J1576" s="97">
        <v>7728</v>
      </c>
      <c r="K1576" s="367">
        <f t="shared" si="220"/>
        <v>5520</v>
      </c>
      <c r="L1576" s="97">
        <v>0.17</v>
      </c>
      <c r="M1576" s="97">
        <v>3.4</v>
      </c>
      <c r="N1576" s="97">
        <v>21</v>
      </c>
      <c r="O1576" s="97">
        <v>6</v>
      </c>
      <c r="P1576" s="97" t="s">
        <v>515</v>
      </c>
      <c r="Q1576" s="97">
        <f t="shared" si="216"/>
        <v>316</v>
      </c>
      <c r="R1576" t="str">
        <f t="shared" si="217"/>
        <v/>
      </c>
    </row>
    <row r="1577" spans="3:18">
      <c r="C1577" t="str">
        <f t="shared" si="218"/>
        <v/>
      </c>
      <c r="D1577" s="36">
        <v>317</v>
      </c>
      <c r="E1577" s="97">
        <v>100</v>
      </c>
      <c r="F1577" s="366">
        <f t="shared" si="214"/>
        <v>2170</v>
      </c>
      <c r="G1577" s="97">
        <v>3966</v>
      </c>
      <c r="H1577" s="367">
        <f t="shared" si="215"/>
        <v>6136</v>
      </c>
      <c r="I1577" s="368">
        <f t="shared" si="219"/>
        <v>0</v>
      </c>
      <c r="J1577" s="97">
        <v>10167</v>
      </c>
      <c r="K1577" s="367">
        <f t="shared" si="220"/>
        <v>7262.1428571428569</v>
      </c>
      <c r="L1577" s="97">
        <v>0.29000000000000004</v>
      </c>
      <c r="M1577" s="97">
        <v>3.4</v>
      </c>
      <c r="N1577" s="97">
        <v>23</v>
      </c>
      <c r="O1577" s="97">
        <v>6</v>
      </c>
      <c r="P1577" s="97" t="s">
        <v>556</v>
      </c>
      <c r="Q1577" s="97">
        <f t="shared" si="216"/>
        <v>317</v>
      </c>
      <c r="R1577" t="str">
        <f t="shared" si="217"/>
        <v/>
      </c>
    </row>
    <row r="1578" spans="3:18">
      <c r="C1578" t="str">
        <f t="shared" si="218"/>
        <v/>
      </c>
      <c r="D1578" s="36">
        <v>318</v>
      </c>
      <c r="E1578" s="97">
        <v>100</v>
      </c>
      <c r="F1578" s="366">
        <f t="shared" si="214"/>
        <v>2170</v>
      </c>
      <c r="G1578" s="97">
        <v>4811</v>
      </c>
      <c r="H1578" s="367">
        <f t="shared" si="215"/>
        <v>6981</v>
      </c>
      <c r="I1578" s="368">
        <f t="shared" si="219"/>
        <v>0</v>
      </c>
      <c r="J1578" s="97">
        <v>12334</v>
      </c>
      <c r="K1578" s="367">
        <f t="shared" si="220"/>
        <v>8810</v>
      </c>
      <c r="L1578" s="97">
        <v>0.57999999999999996</v>
      </c>
      <c r="M1578" s="97">
        <v>3.4</v>
      </c>
      <c r="N1578" s="97">
        <v>28</v>
      </c>
      <c r="O1578" s="97">
        <v>6</v>
      </c>
      <c r="P1578" s="97" t="s">
        <v>514</v>
      </c>
      <c r="Q1578" s="97">
        <f t="shared" si="216"/>
        <v>318</v>
      </c>
      <c r="R1578" t="str">
        <f t="shared" si="217"/>
        <v/>
      </c>
    </row>
    <row r="1579" spans="3:18">
      <c r="C1579" t="str">
        <f t="shared" si="218"/>
        <v/>
      </c>
      <c r="D1579" s="36">
        <v>319</v>
      </c>
      <c r="E1579" s="97">
        <v>100</v>
      </c>
      <c r="F1579" s="366">
        <f t="shared" si="214"/>
        <v>2170</v>
      </c>
      <c r="G1579" s="97">
        <v>5202</v>
      </c>
      <c r="H1579" s="367">
        <f t="shared" si="215"/>
        <v>7372</v>
      </c>
      <c r="I1579" s="368">
        <f t="shared" si="219"/>
        <v>0</v>
      </c>
      <c r="J1579" s="97">
        <v>13336</v>
      </c>
      <c r="K1579" s="367">
        <f t="shared" si="220"/>
        <v>9525.7142857142862</v>
      </c>
      <c r="L1579" s="97">
        <v>0.86</v>
      </c>
      <c r="M1579" s="97">
        <v>3.4</v>
      </c>
      <c r="N1579" s="97">
        <v>27</v>
      </c>
      <c r="O1579" s="97">
        <v>6</v>
      </c>
      <c r="P1579" s="97" t="s">
        <v>555</v>
      </c>
      <c r="Q1579" s="97" t="str">
        <f t="shared" si="216"/>
        <v/>
      </c>
      <c r="R1579" t="str">
        <f t="shared" si="217"/>
        <v/>
      </c>
    </row>
    <row r="1580" spans="3:18">
      <c r="C1580" t="str">
        <f t="shared" si="218"/>
        <v>NL</v>
      </c>
      <c r="D1580" s="36">
        <v>320</v>
      </c>
      <c r="E1580" s="97">
        <v>100</v>
      </c>
      <c r="F1580" s="366">
        <f t="shared" si="214"/>
        <v>2170</v>
      </c>
      <c r="G1580" s="97">
        <v>3795</v>
      </c>
      <c r="H1580" s="367">
        <f t="shared" si="215"/>
        <v>5965</v>
      </c>
      <c r="I1580" s="368">
        <f t="shared" si="219"/>
        <v>0</v>
      </c>
      <c r="J1580" s="97">
        <v>9728</v>
      </c>
      <c r="K1580" s="367">
        <f t="shared" si="220"/>
        <v>6948.5714285714284</v>
      </c>
      <c r="L1580" s="97">
        <v>0.21000000000000002</v>
      </c>
      <c r="M1580" s="97">
        <v>3.9</v>
      </c>
      <c r="N1580" s="97">
        <v>22</v>
      </c>
      <c r="O1580" s="97">
        <v>7</v>
      </c>
      <c r="P1580" s="97" t="s">
        <v>556</v>
      </c>
      <c r="Q1580" s="97" t="str">
        <f t="shared" si="216"/>
        <v/>
      </c>
      <c r="R1580" t="str">
        <f t="shared" si="217"/>
        <v/>
      </c>
    </row>
    <row r="1581" spans="3:18">
      <c r="C1581" t="str">
        <f t="shared" si="218"/>
        <v>NL</v>
      </c>
      <c r="D1581" s="36">
        <v>321</v>
      </c>
      <c r="E1581" s="97">
        <v>100</v>
      </c>
      <c r="F1581" s="366">
        <f t="shared" ref="F1581:F1644" si="221">1.085*($A$2-$B$2)*E1581*$T$7</f>
        <v>2170</v>
      </c>
      <c r="G1581" s="97">
        <v>4920</v>
      </c>
      <c r="H1581" s="367">
        <f t="shared" ref="H1581:H1644" si="222">(G1581*$U$7)+F1581</f>
        <v>7090</v>
      </c>
      <c r="I1581" s="368">
        <f t="shared" si="219"/>
        <v>0</v>
      </c>
      <c r="J1581" s="97">
        <v>12613</v>
      </c>
      <c r="K1581" s="367">
        <f t="shared" si="220"/>
        <v>9009.2857142857138</v>
      </c>
      <c r="L1581" s="97">
        <v>0.43</v>
      </c>
      <c r="M1581" s="97">
        <v>3.9</v>
      </c>
      <c r="N1581" s="97">
        <v>27</v>
      </c>
      <c r="O1581" s="97">
        <v>7</v>
      </c>
      <c r="P1581" s="97" t="s">
        <v>514</v>
      </c>
      <c r="Q1581" s="97" t="str">
        <f t="shared" ref="Q1581:Q1644" si="223">IF(AND(H1581+1&gt;$E$4,L1581&lt;$L$4+0.01,M1581&lt;$M$4+0.01,K1581+1&gt;$F$4,E1581+1&gt;$J$4,N1581&lt;$K$4+1,O1581&lt;$P$4+1,C1581=""),D1581,"")</f>
        <v/>
      </c>
      <c r="R1581" t="str">
        <f t="shared" ref="R1581:R1644" si="224">IF(Q1581="","",IF(AND(O1581&lt;$X$16,E1581&gt;$U$16,E1581&lt;$Q$4+$U$16+1),D1581,""))</f>
        <v/>
      </c>
    </row>
    <row r="1582" spans="3:18">
      <c r="C1582" t="str">
        <f t="shared" si="218"/>
        <v>NL</v>
      </c>
      <c r="D1582" s="36">
        <v>322</v>
      </c>
      <c r="E1582" s="97">
        <v>100</v>
      </c>
      <c r="F1582" s="366">
        <f t="shared" si="221"/>
        <v>2170</v>
      </c>
      <c r="G1582" s="97">
        <v>5478</v>
      </c>
      <c r="H1582" s="367">
        <f t="shared" si="222"/>
        <v>7648</v>
      </c>
      <c r="I1582" s="368">
        <f t="shared" si="219"/>
        <v>0</v>
      </c>
      <c r="J1582" s="97">
        <v>14042</v>
      </c>
      <c r="K1582" s="367">
        <f t="shared" si="220"/>
        <v>10030</v>
      </c>
      <c r="L1582" s="97">
        <v>0.64</v>
      </c>
      <c r="M1582" s="97">
        <v>3.9</v>
      </c>
      <c r="N1582" s="97">
        <v>26</v>
      </c>
      <c r="O1582" s="97">
        <v>7</v>
      </c>
      <c r="P1582" s="97" t="s">
        <v>555</v>
      </c>
      <c r="Q1582" s="97" t="str">
        <f t="shared" si="223"/>
        <v/>
      </c>
      <c r="R1582" t="str">
        <f t="shared" si="224"/>
        <v/>
      </c>
    </row>
    <row r="1583" spans="3:18">
      <c r="C1583" t="str">
        <f t="shared" si="218"/>
        <v/>
      </c>
      <c r="D1583" s="36">
        <v>323</v>
      </c>
      <c r="E1583" s="97">
        <v>100</v>
      </c>
      <c r="F1583" s="366">
        <f t="shared" si="221"/>
        <v>2170</v>
      </c>
      <c r="G1583" s="97">
        <v>4622</v>
      </c>
      <c r="H1583" s="367">
        <f t="shared" si="222"/>
        <v>6792</v>
      </c>
      <c r="I1583" s="368">
        <f t="shared" si="219"/>
        <v>0</v>
      </c>
      <c r="J1583" s="97">
        <v>11848</v>
      </c>
      <c r="K1583" s="367">
        <f t="shared" si="220"/>
        <v>8462.8571428571431</v>
      </c>
      <c r="L1583" s="97">
        <v>0.35000000000000003</v>
      </c>
      <c r="M1583" s="97">
        <v>4.3999999999999995</v>
      </c>
      <c r="N1583" s="97">
        <v>27</v>
      </c>
      <c r="O1583" s="97">
        <v>8</v>
      </c>
      <c r="P1583" s="97" t="s">
        <v>514</v>
      </c>
      <c r="Q1583" s="97">
        <f t="shared" si="223"/>
        <v>323</v>
      </c>
      <c r="R1583" t="str">
        <f t="shared" si="224"/>
        <v/>
      </c>
    </row>
    <row r="1584" spans="3:18">
      <c r="C1584" t="str">
        <f t="shared" si="218"/>
        <v/>
      </c>
      <c r="D1584" s="36">
        <v>324</v>
      </c>
      <c r="E1584" s="97">
        <v>100</v>
      </c>
      <c r="F1584" s="366">
        <f t="shared" si="221"/>
        <v>2170</v>
      </c>
      <c r="G1584" s="97">
        <v>5406</v>
      </c>
      <c r="H1584" s="367">
        <f t="shared" si="222"/>
        <v>7576</v>
      </c>
      <c r="I1584" s="368">
        <f t="shared" si="219"/>
        <v>0</v>
      </c>
      <c r="J1584" s="97">
        <v>13859</v>
      </c>
      <c r="K1584" s="367">
        <f t="shared" si="220"/>
        <v>9899.2857142857138</v>
      </c>
      <c r="L1584" s="97">
        <v>0.51</v>
      </c>
      <c r="M1584" s="97">
        <v>4.3999999999999995</v>
      </c>
      <c r="N1584" s="97">
        <v>25</v>
      </c>
      <c r="O1584" s="97">
        <v>8</v>
      </c>
      <c r="P1584" s="97" t="s">
        <v>555</v>
      </c>
      <c r="Q1584" s="97">
        <f t="shared" si="223"/>
        <v>324</v>
      </c>
      <c r="R1584" t="str">
        <f t="shared" si="224"/>
        <v/>
      </c>
    </row>
    <row r="1585" spans="3:18">
      <c r="C1585" t="str">
        <f t="shared" si="218"/>
        <v/>
      </c>
      <c r="D1585" s="36">
        <v>325</v>
      </c>
      <c r="E1585" s="97">
        <v>100</v>
      </c>
      <c r="F1585" s="366">
        <f t="shared" si="221"/>
        <v>2170</v>
      </c>
      <c r="G1585" s="97">
        <v>4382</v>
      </c>
      <c r="H1585" s="367">
        <f t="shared" si="222"/>
        <v>6552</v>
      </c>
      <c r="I1585" s="368">
        <f t="shared" si="219"/>
        <v>0</v>
      </c>
      <c r="J1585" s="97">
        <v>11232</v>
      </c>
      <c r="K1585" s="367">
        <f t="shared" si="220"/>
        <v>8022.8571428571431</v>
      </c>
      <c r="L1585" s="97">
        <v>0.23</v>
      </c>
      <c r="M1585" s="97">
        <v>5.3999999999999995</v>
      </c>
      <c r="N1585" s="97">
        <v>25</v>
      </c>
      <c r="O1585" s="97">
        <v>10</v>
      </c>
      <c r="P1585" s="97" t="s">
        <v>514</v>
      </c>
      <c r="Q1585" s="97" t="str">
        <f t="shared" si="223"/>
        <v/>
      </c>
      <c r="R1585" t="str">
        <f t="shared" si="224"/>
        <v/>
      </c>
    </row>
    <row r="1586" spans="3:18">
      <c r="C1586" t="str">
        <f t="shared" si="218"/>
        <v/>
      </c>
      <c r="D1586" s="36">
        <v>326</v>
      </c>
      <c r="E1586" s="97">
        <v>100</v>
      </c>
      <c r="F1586" s="366">
        <f t="shared" si="221"/>
        <v>2170</v>
      </c>
      <c r="G1586" s="97">
        <v>4958</v>
      </c>
      <c r="H1586" s="367">
        <f t="shared" si="222"/>
        <v>7128</v>
      </c>
      <c r="I1586" s="368">
        <f t="shared" si="219"/>
        <v>0</v>
      </c>
      <c r="J1586" s="97">
        <v>12709</v>
      </c>
      <c r="K1586" s="367">
        <f t="shared" si="220"/>
        <v>9077.8571428571431</v>
      </c>
      <c r="L1586" s="97">
        <v>0.33</v>
      </c>
      <c r="M1586" s="97">
        <v>5.3999999999999995</v>
      </c>
      <c r="N1586" s="97">
        <v>24</v>
      </c>
      <c r="O1586" s="97">
        <v>10</v>
      </c>
      <c r="P1586" s="97" t="s">
        <v>555</v>
      </c>
      <c r="Q1586" s="97" t="str">
        <f t="shared" si="223"/>
        <v/>
      </c>
      <c r="R1586" t="str">
        <f t="shared" si="224"/>
        <v/>
      </c>
    </row>
    <row r="1587" spans="3:18">
      <c r="C1587" t="str">
        <f t="shared" si="218"/>
        <v/>
      </c>
      <c r="D1587" s="36">
        <v>327</v>
      </c>
      <c r="E1587" s="97">
        <v>100</v>
      </c>
      <c r="F1587" s="366">
        <f t="shared" si="221"/>
        <v>2170</v>
      </c>
      <c r="G1587" s="97">
        <v>6696</v>
      </c>
      <c r="H1587" s="367">
        <f t="shared" si="222"/>
        <v>8866</v>
      </c>
      <c r="I1587" s="368">
        <f t="shared" si="219"/>
        <v>0</v>
      </c>
      <c r="J1587" s="97">
        <v>17165</v>
      </c>
      <c r="K1587" s="367">
        <f t="shared" si="220"/>
        <v>12260.714285714286</v>
      </c>
      <c r="L1587" s="97">
        <v>0.71</v>
      </c>
      <c r="M1587" s="97">
        <v>5.3999999999999995</v>
      </c>
      <c r="N1587" s="97">
        <v>29</v>
      </c>
      <c r="O1587" s="97">
        <v>10</v>
      </c>
      <c r="P1587" s="97" t="s">
        <v>513</v>
      </c>
      <c r="Q1587" s="97" t="str">
        <f t="shared" si="223"/>
        <v/>
      </c>
      <c r="R1587" t="str">
        <f t="shared" si="224"/>
        <v/>
      </c>
    </row>
    <row r="1588" spans="3:18">
      <c r="C1588" t="str">
        <f t="shared" si="218"/>
        <v>NL</v>
      </c>
      <c r="D1588" s="36">
        <v>328</v>
      </c>
      <c r="E1588" s="97">
        <v>105</v>
      </c>
      <c r="F1588" s="366">
        <f t="shared" si="221"/>
        <v>2278.5</v>
      </c>
      <c r="G1588" s="97">
        <v>3139</v>
      </c>
      <c r="H1588" s="367">
        <f t="shared" si="222"/>
        <v>5417.5</v>
      </c>
      <c r="I1588" s="368">
        <f t="shared" si="219"/>
        <v>0</v>
      </c>
      <c r="J1588" s="97">
        <v>8048</v>
      </c>
      <c r="K1588" s="367">
        <f t="shared" si="220"/>
        <v>5748.5714285714284</v>
      </c>
      <c r="L1588" s="97">
        <v>0.72</v>
      </c>
      <c r="M1588" s="97">
        <v>1.8</v>
      </c>
      <c r="N1588" s="97">
        <v>26</v>
      </c>
      <c r="O1588" s="97">
        <v>3</v>
      </c>
      <c r="P1588" s="97" t="s">
        <v>515</v>
      </c>
      <c r="Q1588" s="97" t="str">
        <f t="shared" si="223"/>
        <v/>
      </c>
      <c r="R1588" t="str">
        <f t="shared" si="224"/>
        <v/>
      </c>
    </row>
    <row r="1589" spans="3:18">
      <c r="C1589" t="str">
        <f t="shared" si="218"/>
        <v/>
      </c>
      <c r="D1589" s="36">
        <v>329</v>
      </c>
      <c r="E1589" s="97">
        <v>105</v>
      </c>
      <c r="F1589" s="366">
        <f t="shared" si="221"/>
        <v>2278.5</v>
      </c>
      <c r="G1589" s="97">
        <v>3298</v>
      </c>
      <c r="H1589" s="367">
        <f t="shared" si="222"/>
        <v>5576.5</v>
      </c>
      <c r="I1589" s="368">
        <f t="shared" si="219"/>
        <v>0</v>
      </c>
      <c r="J1589" s="97">
        <v>8455</v>
      </c>
      <c r="K1589" s="367">
        <f t="shared" si="220"/>
        <v>6039.2857142857147</v>
      </c>
      <c r="L1589" s="97">
        <v>0.41000000000000003</v>
      </c>
      <c r="M1589" s="97">
        <v>2.3000000000000003</v>
      </c>
      <c r="N1589" s="97">
        <v>24</v>
      </c>
      <c r="O1589" s="97">
        <v>4</v>
      </c>
      <c r="P1589" s="97" t="s">
        <v>515</v>
      </c>
      <c r="Q1589" s="97">
        <f t="shared" si="223"/>
        <v>329</v>
      </c>
      <c r="R1589" t="str">
        <f t="shared" si="224"/>
        <v/>
      </c>
    </row>
    <row r="1590" spans="3:18">
      <c r="C1590" t="str">
        <f t="shared" si="218"/>
        <v/>
      </c>
      <c r="D1590" s="36">
        <v>330</v>
      </c>
      <c r="E1590" s="97">
        <v>105</v>
      </c>
      <c r="F1590" s="366">
        <f t="shared" si="221"/>
        <v>2278.5</v>
      </c>
      <c r="G1590" s="97">
        <v>3786</v>
      </c>
      <c r="H1590" s="367">
        <f t="shared" si="222"/>
        <v>6064.5</v>
      </c>
      <c r="I1590" s="368">
        <f t="shared" si="219"/>
        <v>0</v>
      </c>
      <c r="J1590" s="97">
        <v>9706</v>
      </c>
      <c r="K1590" s="367">
        <f t="shared" si="220"/>
        <v>6932.8571428571431</v>
      </c>
      <c r="L1590" s="97">
        <v>0.68</v>
      </c>
      <c r="M1590" s="97">
        <v>2.3000000000000003</v>
      </c>
      <c r="N1590" s="97">
        <v>27</v>
      </c>
      <c r="O1590" s="97">
        <v>4</v>
      </c>
      <c r="P1590" s="97" t="s">
        <v>556</v>
      </c>
      <c r="Q1590" s="97">
        <f t="shared" si="223"/>
        <v>330</v>
      </c>
      <c r="R1590" t="str">
        <f t="shared" si="224"/>
        <v/>
      </c>
    </row>
    <row r="1591" spans="3:18">
      <c r="C1591" t="str">
        <f t="shared" si="218"/>
        <v>NL</v>
      </c>
      <c r="D1591" s="36">
        <v>331</v>
      </c>
      <c r="E1591" s="97">
        <v>105</v>
      </c>
      <c r="F1591" s="366">
        <f t="shared" si="221"/>
        <v>2278.5</v>
      </c>
      <c r="G1591" s="97">
        <v>3341</v>
      </c>
      <c r="H1591" s="367">
        <f t="shared" si="222"/>
        <v>5619.5</v>
      </c>
      <c r="I1591" s="368">
        <f t="shared" si="219"/>
        <v>0</v>
      </c>
      <c r="J1591" s="97">
        <v>8565</v>
      </c>
      <c r="K1591" s="367">
        <f t="shared" si="220"/>
        <v>6117.8571428571431</v>
      </c>
      <c r="L1591" s="97">
        <v>0.27</v>
      </c>
      <c r="M1591" s="97">
        <v>2.8000000000000003</v>
      </c>
      <c r="N1591" s="97">
        <v>23</v>
      </c>
      <c r="O1591" s="97">
        <v>5</v>
      </c>
      <c r="P1591" s="97" t="s">
        <v>515</v>
      </c>
      <c r="Q1591" s="97" t="str">
        <f t="shared" si="223"/>
        <v/>
      </c>
      <c r="R1591" t="str">
        <f t="shared" si="224"/>
        <v/>
      </c>
    </row>
    <row r="1592" spans="3:18">
      <c r="C1592" t="str">
        <f t="shared" si="218"/>
        <v>NL</v>
      </c>
      <c r="D1592" s="36">
        <v>332</v>
      </c>
      <c r="E1592" s="97">
        <v>105</v>
      </c>
      <c r="F1592" s="366">
        <f t="shared" si="221"/>
        <v>2278.5</v>
      </c>
      <c r="G1592" s="97">
        <v>3999</v>
      </c>
      <c r="H1592" s="367">
        <f t="shared" si="222"/>
        <v>6277.5</v>
      </c>
      <c r="I1592" s="368">
        <f t="shared" si="219"/>
        <v>0</v>
      </c>
      <c r="J1592" s="97">
        <v>10252</v>
      </c>
      <c r="K1592" s="367">
        <f t="shared" si="220"/>
        <v>7322.8571428571431</v>
      </c>
      <c r="L1592" s="97">
        <v>0.45</v>
      </c>
      <c r="M1592" s="97">
        <v>2.8000000000000003</v>
      </c>
      <c r="N1592" s="97">
        <v>25</v>
      </c>
      <c r="O1592" s="97">
        <v>5</v>
      </c>
      <c r="P1592" s="97" t="s">
        <v>556</v>
      </c>
      <c r="Q1592" s="97" t="str">
        <f t="shared" si="223"/>
        <v/>
      </c>
      <c r="R1592" t="str">
        <f t="shared" si="224"/>
        <v/>
      </c>
    </row>
    <row r="1593" spans="3:18">
      <c r="C1593" t="str">
        <f t="shared" si="218"/>
        <v>NL</v>
      </c>
      <c r="D1593" s="36">
        <v>333</v>
      </c>
      <c r="E1593" s="97">
        <v>105</v>
      </c>
      <c r="F1593" s="366">
        <f t="shared" si="221"/>
        <v>2278.5</v>
      </c>
      <c r="G1593" s="97">
        <v>4762</v>
      </c>
      <c r="H1593" s="367">
        <f t="shared" si="222"/>
        <v>7040.5</v>
      </c>
      <c r="I1593" s="368">
        <f t="shared" si="219"/>
        <v>0</v>
      </c>
      <c r="J1593" s="97">
        <v>12208</v>
      </c>
      <c r="K1593" s="367">
        <f t="shared" si="220"/>
        <v>8720</v>
      </c>
      <c r="L1593" s="97">
        <v>0.92</v>
      </c>
      <c r="M1593" s="97">
        <v>2.8000000000000003</v>
      </c>
      <c r="N1593" s="97">
        <v>30</v>
      </c>
      <c r="O1593" s="97">
        <v>5</v>
      </c>
      <c r="P1593" s="97" t="s">
        <v>514</v>
      </c>
      <c r="Q1593" s="97" t="str">
        <f t="shared" si="223"/>
        <v/>
      </c>
      <c r="R1593" t="str">
        <f t="shared" si="224"/>
        <v/>
      </c>
    </row>
    <row r="1594" spans="3:18">
      <c r="C1594" t="str">
        <f t="shared" si="218"/>
        <v/>
      </c>
      <c r="D1594" s="36">
        <v>334</v>
      </c>
      <c r="E1594" s="97">
        <v>105</v>
      </c>
      <c r="F1594" s="366">
        <f t="shared" si="221"/>
        <v>2278.5</v>
      </c>
      <c r="G1594" s="97">
        <v>3202</v>
      </c>
      <c r="H1594" s="367">
        <f t="shared" si="222"/>
        <v>5480.5</v>
      </c>
      <c r="I1594" s="368">
        <f t="shared" si="219"/>
        <v>0</v>
      </c>
      <c r="J1594" s="97">
        <v>8209</v>
      </c>
      <c r="K1594" s="367">
        <f t="shared" si="220"/>
        <v>5863.5714285714284</v>
      </c>
      <c r="L1594" s="97">
        <v>0.19</v>
      </c>
      <c r="M1594" s="97">
        <v>3.4</v>
      </c>
      <c r="N1594" s="97">
        <v>21</v>
      </c>
      <c r="O1594" s="97">
        <v>6</v>
      </c>
      <c r="P1594" s="97" t="s">
        <v>515</v>
      </c>
      <c r="Q1594" s="97">
        <f t="shared" si="223"/>
        <v>334</v>
      </c>
      <c r="R1594" t="str">
        <f t="shared" si="224"/>
        <v/>
      </c>
    </row>
    <row r="1595" spans="3:18">
      <c r="C1595" t="str">
        <f t="shared" si="218"/>
        <v/>
      </c>
      <c r="D1595" s="36">
        <v>335</v>
      </c>
      <c r="E1595" s="97">
        <v>105</v>
      </c>
      <c r="F1595" s="366">
        <f t="shared" si="221"/>
        <v>2278.5</v>
      </c>
      <c r="G1595" s="97">
        <v>4221</v>
      </c>
      <c r="H1595" s="367">
        <f t="shared" si="222"/>
        <v>6499.5</v>
      </c>
      <c r="I1595" s="368">
        <f t="shared" si="219"/>
        <v>0</v>
      </c>
      <c r="J1595" s="97">
        <v>10821</v>
      </c>
      <c r="K1595" s="367">
        <f t="shared" si="220"/>
        <v>7729.2857142857147</v>
      </c>
      <c r="L1595" s="97">
        <v>0.31</v>
      </c>
      <c r="M1595" s="97">
        <v>3.4</v>
      </c>
      <c r="N1595" s="97">
        <v>24</v>
      </c>
      <c r="O1595" s="97">
        <v>6</v>
      </c>
      <c r="P1595" s="97" t="s">
        <v>556</v>
      </c>
      <c r="Q1595" s="97">
        <f t="shared" si="223"/>
        <v>335</v>
      </c>
      <c r="R1595" t="str">
        <f t="shared" si="224"/>
        <v/>
      </c>
    </row>
    <row r="1596" spans="3:18">
      <c r="C1596" t="str">
        <f t="shared" si="218"/>
        <v/>
      </c>
      <c r="D1596" s="36">
        <v>336</v>
      </c>
      <c r="E1596" s="97">
        <v>105</v>
      </c>
      <c r="F1596" s="366">
        <f t="shared" si="221"/>
        <v>2278.5</v>
      </c>
      <c r="G1596" s="97">
        <v>4959</v>
      </c>
      <c r="H1596" s="367">
        <f t="shared" si="222"/>
        <v>7237.5</v>
      </c>
      <c r="I1596" s="368">
        <f t="shared" si="219"/>
        <v>0</v>
      </c>
      <c r="J1596" s="97">
        <v>12711</v>
      </c>
      <c r="K1596" s="367">
        <f t="shared" si="220"/>
        <v>9079.2857142857138</v>
      </c>
      <c r="L1596" s="97">
        <v>0.64</v>
      </c>
      <c r="M1596" s="97">
        <v>3.4</v>
      </c>
      <c r="N1596" s="97">
        <v>29</v>
      </c>
      <c r="O1596" s="97">
        <v>6</v>
      </c>
      <c r="P1596" s="97" t="s">
        <v>514</v>
      </c>
      <c r="Q1596" s="97">
        <f t="shared" si="223"/>
        <v>336</v>
      </c>
      <c r="R1596" t="str">
        <f t="shared" si="224"/>
        <v/>
      </c>
    </row>
    <row r="1597" spans="3:18">
      <c r="C1597" t="str">
        <f t="shared" si="218"/>
        <v/>
      </c>
      <c r="D1597" s="36">
        <v>337</v>
      </c>
      <c r="E1597" s="97">
        <v>105</v>
      </c>
      <c r="F1597" s="366">
        <f t="shared" si="221"/>
        <v>2278.5</v>
      </c>
      <c r="G1597" s="97">
        <v>5371</v>
      </c>
      <c r="H1597" s="367">
        <f t="shared" si="222"/>
        <v>7649.5</v>
      </c>
      <c r="I1597" s="368">
        <f t="shared" si="219"/>
        <v>0</v>
      </c>
      <c r="J1597" s="97">
        <v>13768</v>
      </c>
      <c r="K1597" s="367">
        <f t="shared" si="220"/>
        <v>9834.2857142857138</v>
      </c>
      <c r="L1597" s="97">
        <v>0.95</v>
      </c>
      <c r="M1597" s="97">
        <v>3.4</v>
      </c>
      <c r="N1597" s="97">
        <v>28</v>
      </c>
      <c r="O1597" s="97">
        <v>6</v>
      </c>
      <c r="P1597" s="97" t="s">
        <v>555</v>
      </c>
      <c r="Q1597" s="97" t="str">
        <f t="shared" si="223"/>
        <v/>
      </c>
      <c r="R1597" t="str">
        <f t="shared" si="224"/>
        <v/>
      </c>
    </row>
    <row r="1598" spans="3:18">
      <c r="C1598" t="str">
        <f t="shared" si="218"/>
        <v>NL</v>
      </c>
      <c r="D1598" s="36">
        <v>338</v>
      </c>
      <c r="E1598" s="97">
        <v>105</v>
      </c>
      <c r="F1598" s="366">
        <f t="shared" si="221"/>
        <v>2278.5</v>
      </c>
      <c r="G1598" s="97">
        <v>4034</v>
      </c>
      <c r="H1598" s="367">
        <f t="shared" si="222"/>
        <v>6312.5</v>
      </c>
      <c r="I1598" s="368">
        <f t="shared" si="219"/>
        <v>0</v>
      </c>
      <c r="J1598" s="97">
        <v>10340</v>
      </c>
      <c r="K1598" s="367">
        <f t="shared" si="220"/>
        <v>7385.7142857142862</v>
      </c>
      <c r="L1598" s="97">
        <v>0.23</v>
      </c>
      <c r="M1598" s="97">
        <v>3.9</v>
      </c>
      <c r="N1598" s="97">
        <v>23</v>
      </c>
      <c r="O1598" s="97">
        <v>7</v>
      </c>
      <c r="P1598" s="97" t="s">
        <v>556</v>
      </c>
      <c r="Q1598" s="97" t="str">
        <f t="shared" si="223"/>
        <v/>
      </c>
      <c r="R1598" t="str">
        <f t="shared" si="224"/>
        <v/>
      </c>
    </row>
    <row r="1599" spans="3:18">
      <c r="C1599" t="str">
        <f t="shared" si="218"/>
        <v>NL</v>
      </c>
      <c r="D1599" s="36">
        <v>339</v>
      </c>
      <c r="E1599" s="97">
        <v>105</v>
      </c>
      <c r="F1599" s="366">
        <f t="shared" si="221"/>
        <v>2278.5</v>
      </c>
      <c r="G1599" s="97">
        <v>5132</v>
      </c>
      <c r="H1599" s="367">
        <f t="shared" si="222"/>
        <v>7410.5</v>
      </c>
      <c r="I1599" s="368">
        <f t="shared" si="219"/>
        <v>0</v>
      </c>
      <c r="J1599" s="97">
        <v>13156</v>
      </c>
      <c r="K1599" s="367">
        <f t="shared" si="220"/>
        <v>9397.1428571428569</v>
      </c>
      <c r="L1599" s="97">
        <v>0.48</v>
      </c>
      <c r="M1599" s="97">
        <v>3.9</v>
      </c>
      <c r="N1599" s="97">
        <v>28</v>
      </c>
      <c r="O1599" s="97">
        <v>7</v>
      </c>
      <c r="P1599" s="97" t="s">
        <v>514</v>
      </c>
      <c r="Q1599" s="97" t="str">
        <f t="shared" si="223"/>
        <v/>
      </c>
      <c r="R1599" t="str">
        <f t="shared" si="224"/>
        <v/>
      </c>
    </row>
    <row r="1600" spans="3:18">
      <c r="C1600" t="str">
        <f t="shared" si="218"/>
        <v>NL</v>
      </c>
      <c r="D1600" s="36">
        <v>340</v>
      </c>
      <c r="E1600" s="97">
        <v>105</v>
      </c>
      <c r="F1600" s="366">
        <f t="shared" si="221"/>
        <v>2278.5</v>
      </c>
      <c r="G1600" s="97">
        <v>5665</v>
      </c>
      <c r="H1600" s="367">
        <f t="shared" si="222"/>
        <v>7943.5</v>
      </c>
      <c r="I1600" s="368">
        <f t="shared" si="219"/>
        <v>0</v>
      </c>
      <c r="J1600" s="97">
        <v>14522</v>
      </c>
      <c r="K1600" s="367">
        <f t="shared" si="220"/>
        <v>10372.857142857143</v>
      </c>
      <c r="L1600" s="97">
        <v>0.71</v>
      </c>
      <c r="M1600" s="97">
        <v>3.9</v>
      </c>
      <c r="N1600" s="97">
        <v>27</v>
      </c>
      <c r="O1600" s="97">
        <v>7</v>
      </c>
      <c r="P1600" s="97" t="s">
        <v>555</v>
      </c>
      <c r="Q1600" s="97" t="str">
        <f t="shared" si="223"/>
        <v/>
      </c>
      <c r="R1600" t="str">
        <f t="shared" si="224"/>
        <v/>
      </c>
    </row>
    <row r="1601" spans="3:18">
      <c r="C1601" t="str">
        <f t="shared" si="218"/>
        <v/>
      </c>
      <c r="D1601" s="36">
        <v>341</v>
      </c>
      <c r="E1601" s="97">
        <v>105</v>
      </c>
      <c r="F1601" s="366">
        <f t="shared" si="221"/>
        <v>2278.5</v>
      </c>
      <c r="G1601" s="97">
        <v>3813</v>
      </c>
      <c r="H1601" s="367">
        <f t="shared" si="222"/>
        <v>6091.5</v>
      </c>
      <c r="I1601" s="368">
        <f t="shared" si="219"/>
        <v>0</v>
      </c>
      <c r="J1601" s="97">
        <v>9775</v>
      </c>
      <c r="K1601" s="367">
        <f t="shared" si="220"/>
        <v>6982.1428571428569</v>
      </c>
      <c r="L1601" s="97">
        <v>0.18000000000000002</v>
      </c>
      <c r="M1601" s="97">
        <v>4.3999999999999995</v>
      </c>
      <c r="N1601" s="97">
        <v>22</v>
      </c>
      <c r="O1601" s="97">
        <v>8</v>
      </c>
      <c r="P1601" s="97" t="s">
        <v>556</v>
      </c>
      <c r="Q1601" s="97">
        <f t="shared" si="223"/>
        <v>341</v>
      </c>
      <c r="R1601" t="str">
        <f t="shared" si="224"/>
        <v/>
      </c>
    </row>
    <row r="1602" spans="3:18">
      <c r="C1602" t="str">
        <f t="shared" si="218"/>
        <v/>
      </c>
      <c r="D1602" s="36">
        <v>342</v>
      </c>
      <c r="E1602" s="97">
        <v>105</v>
      </c>
      <c r="F1602" s="366">
        <f t="shared" si="221"/>
        <v>2278.5</v>
      </c>
      <c r="G1602" s="97">
        <v>4915</v>
      </c>
      <c r="H1602" s="367">
        <f t="shared" si="222"/>
        <v>7193.5</v>
      </c>
      <c r="I1602" s="368">
        <f t="shared" si="219"/>
        <v>0</v>
      </c>
      <c r="J1602" s="97">
        <v>12601</v>
      </c>
      <c r="K1602" s="367">
        <f t="shared" si="220"/>
        <v>9000.7142857142862</v>
      </c>
      <c r="L1602" s="97">
        <v>0.38</v>
      </c>
      <c r="M1602" s="97">
        <v>4.3999999999999995</v>
      </c>
      <c r="N1602" s="97">
        <v>27</v>
      </c>
      <c r="O1602" s="97">
        <v>8</v>
      </c>
      <c r="P1602" s="97" t="s">
        <v>514</v>
      </c>
      <c r="Q1602" s="97">
        <f t="shared" si="223"/>
        <v>342</v>
      </c>
      <c r="R1602" t="str">
        <f t="shared" si="224"/>
        <v/>
      </c>
    </row>
    <row r="1603" spans="3:18">
      <c r="C1603" t="str">
        <f t="shared" si="218"/>
        <v/>
      </c>
      <c r="D1603" s="36">
        <v>343</v>
      </c>
      <c r="E1603" s="97">
        <v>105</v>
      </c>
      <c r="F1603" s="366">
        <f t="shared" si="221"/>
        <v>2278.5</v>
      </c>
      <c r="G1603" s="97">
        <v>5752</v>
      </c>
      <c r="H1603" s="367">
        <f t="shared" si="222"/>
        <v>8030.5</v>
      </c>
      <c r="I1603" s="368">
        <f t="shared" si="219"/>
        <v>0</v>
      </c>
      <c r="J1603" s="97">
        <v>14745</v>
      </c>
      <c r="K1603" s="367">
        <f t="shared" si="220"/>
        <v>10532.142857142857</v>
      </c>
      <c r="L1603" s="97">
        <v>0.56000000000000005</v>
      </c>
      <c r="M1603" s="97">
        <v>4.3999999999999995</v>
      </c>
      <c r="N1603" s="97">
        <v>26</v>
      </c>
      <c r="O1603" s="97">
        <v>8</v>
      </c>
      <c r="P1603" s="97" t="s">
        <v>555</v>
      </c>
      <c r="Q1603" s="97">
        <f t="shared" si="223"/>
        <v>343</v>
      </c>
      <c r="R1603" t="str">
        <f t="shared" si="224"/>
        <v/>
      </c>
    </row>
    <row r="1604" spans="3:18">
      <c r="C1604" t="str">
        <f t="shared" si="218"/>
        <v/>
      </c>
      <c r="D1604" s="36">
        <v>344</v>
      </c>
      <c r="E1604" s="97">
        <v>105</v>
      </c>
      <c r="F1604" s="366">
        <f t="shared" si="221"/>
        <v>2278.5</v>
      </c>
      <c r="G1604" s="97">
        <v>4558</v>
      </c>
      <c r="H1604" s="367">
        <f t="shared" si="222"/>
        <v>6836.5</v>
      </c>
      <c r="I1604" s="368">
        <f t="shared" si="219"/>
        <v>0</v>
      </c>
      <c r="J1604" s="97">
        <v>11684</v>
      </c>
      <c r="K1604" s="367">
        <f t="shared" si="220"/>
        <v>8345.7142857142862</v>
      </c>
      <c r="L1604" s="97">
        <v>0.25</v>
      </c>
      <c r="M1604" s="97">
        <v>5.3999999999999995</v>
      </c>
      <c r="N1604" s="97">
        <v>26</v>
      </c>
      <c r="O1604" s="97">
        <v>10</v>
      </c>
      <c r="P1604" s="97" t="s">
        <v>514</v>
      </c>
      <c r="Q1604" s="97" t="str">
        <f t="shared" si="223"/>
        <v/>
      </c>
      <c r="R1604" t="str">
        <f t="shared" si="224"/>
        <v/>
      </c>
    </row>
    <row r="1605" spans="3:18">
      <c r="C1605" t="str">
        <f t="shared" si="218"/>
        <v/>
      </c>
      <c r="D1605" s="36">
        <v>345</v>
      </c>
      <c r="E1605" s="97">
        <v>105</v>
      </c>
      <c r="F1605" s="366">
        <f t="shared" si="221"/>
        <v>2278.5</v>
      </c>
      <c r="G1605" s="97">
        <v>5237</v>
      </c>
      <c r="H1605" s="367">
        <f t="shared" si="222"/>
        <v>7515.5</v>
      </c>
      <c r="I1605" s="368">
        <f t="shared" si="219"/>
        <v>0</v>
      </c>
      <c r="J1605" s="97">
        <v>13426</v>
      </c>
      <c r="K1605" s="367">
        <f t="shared" si="220"/>
        <v>9590</v>
      </c>
      <c r="L1605" s="97">
        <v>0.37</v>
      </c>
      <c r="M1605" s="97">
        <v>5.3999999999999995</v>
      </c>
      <c r="N1605" s="97">
        <v>24</v>
      </c>
      <c r="O1605" s="97">
        <v>10</v>
      </c>
      <c r="P1605" s="97" t="s">
        <v>555</v>
      </c>
      <c r="Q1605" s="97" t="str">
        <f t="shared" si="223"/>
        <v/>
      </c>
      <c r="R1605" t="str">
        <f t="shared" si="224"/>
        <v/>
      </c>
    </row>
    <row r="1606" spans="3:18">
      <c r="C1606" t="str">
        <f t="shared" si="218"/>
        <v/>
      </c>
      <c r="D1606" s="36">
        <v>346</v>
      </c>
      <c r="E1606" s="97">
        <v>105</v>
      </c>
      <c r="F1606" s="366">
        <f t="shared" si="221"/>
        <v>2278.5</v>
      </c>
      <c r="G1606" s="97">
        <v>7102</v>
      </c>
      <c r="H1606" s="367">
        <f t="shared" si="222"/>
        <v>9380.5</v>
      </c>
      <c r="I1606" s="368">
        <f t="shared" si="219"/>
        <v>0</v>
      </c>
      <c r="J1606" s="97">
        <v>18206</v>
      </c>
      <c r="K1606" s="367">
        <f t="shared" si="220"/>
        <v>13004.285714285714</v>
      </c>
      <c r="L1606" s="97">
        <v>0.78</v>
      </c>
      <c r="M1606" s="97">
        <v>5.3999999999999995</v>
      </c>
      <c r="N1606" s="97">
        <v>29</v>
      </c>
      <c r="O1606" s="97">
        <v>10</v>
      </c>
      <c r="P1606" s="97" t="s">
        <v>513</v>
      </c>
      <c r="Q1606" s="97" t="str">
        <f t="shared" si="223"/>
        <v/>
      </c>
      <c r="R1606" t="str">
        <f t="shared" si="224"/>
        <v/>
      </c>
    </row>
    <row r="1607" spans="3:18">
      <c r="C1607" t="str">
        <f t="shared" si="218"/>
        <v>NL</v>
      </c>
      <c r="D1607" s="36">
        <v>347</v>
      </c>
      <c r="E1607" s="97">
        <v>110</v>
      </c>
      <c r="F1607" s="366">
        <f t="shared" si="221"/>
        <v>2387</v>
      </c>
      <c r="G1607" s="97">
        <v>3225</v>
      </c>
      <c r="H1607" s="367">
        <f t="shared" si="222"/>
        <v>5612</v>
      </c>
      <c r="I1607" s="368">
        <f t="shared" si="219"/>
        <v>0</v>
      </c>
      <c r="J1607" s="97">
        <v>8267</v>
      </c>
      <c r="K1607" s="367">
        <f t="shared" si="220"/>
        <v>5905</v>
      </c>
      <c r="L1607" s="97">
        <v>0.79</v>
      </c>
      <c r="M1607" s="97">
        <v>1.8</v>
      </c>
      <c r="N1607" s="97">
        <v>27</v>
      </c>
      <c r="O1607" s="97">
        <v>3</v>
      </c>
      <c r="P1607" s="97" t="s">
        <v>515</v>
      </c>
      <c r="Q1607" s="97" t="str">
        <f t="shared" si="223"/>
        <v/>
      </c>
      <c r="R1607" t="str">
        <f t="shared" si="224"/>
        <v/>
      </c>
    </row>
    <row r="1608" spans="3:18">
      <c r="C1608" t="str">
        <f t="shared" si="218"/>
        <v/>
      </c>
      <c r="D1608" s="36">
        <v>348</v>
      </c>
      <c r="E1608" s="97">
        <v>110</v>
      </c>
      <c r="F1608" s="366">
        <f t="shared" si="221"/>
        <v>2387</v>
      </c>
      <c r="G1608" s="97">
        <v>3454</v>
      </c>
      <c r="H1608" s="367">
        <f t="shared" si="222"/>
        <v>5841</v>
      </c>
      <c r="I1608" s="368">
        <f t="shared" si="219"/>
        <v>0</v>
      </c>
      <c r="J1608" s="97">
        <v>8855</v>
      </c>
      <c r="K1608" s="367">
        <f t="shared" si="220"/>
        <v>6325</v>
      </c>
      <c r="L1608" s="97">
        <v>0.45</v>
      </c>
      <c r="M1608" s="97">
        <v>2.3000000000000003</v>
      </c>
      <c r="N1608" s="97">
        <v>25</v>
      </c>
      <c r="O1608" s="97">
        <v>4</v>
      </c>
      <c r="P1608" s="97" t="s">
        <v>515</v>
      </c>
      <c r="Q1608" s="97">
        <f t="shared" si="223"/>
        <v>348</v>
      </c>
      <c r="R1608" t="str">
        <f t="shared" si="224"/>
        <v/>
      </c>
    </row>
    <row r="1609" spans="3:18">
      <c r="C1609" t="str">
        <f t="shared" si="218"/>
        <v/>
      </c>
      <c r="D1609" s="36">
        <v>349</v>
      </c>
      <c r="E1609" s="97">
        <v>110</v>
      </c>
      <c r="F1609" s="366">
        <f t="shared" si="221"/>
        <v>2387</v>
      </c>
      <c r="G1609" s="97">
        <v>3889</v>
      </c>
      <c r="H1609" s="367">
        <f t="shared" si="222"/>
        <v>6276</v>
      </c>
      <c r="I1609" s="368">
        <f t="shared" si="219"/>
        <v>0</v>
      </c>
      <c r="J1609" s="97">
        <v>9969</v>
      </c>
      <c r="K1609" s="367">
        <f t="shared" si="220"/>
        <v>7120.7142857142862</v>
      </c>
      <c r="L1609" s="97">
        <v>0.75</v>
      </c>
      <c r="M1609" s="97">
        <v>2.3000000000000003</v>
      </c>
      <c r="N1609" s="97">
        <v>27</v>
      </c>
      <c r="O1609" s="97">
        <v>4</v>
      </c>
      <c r="P1609" s="97" t="s">
        <v>556</v>
      </c>
      <c r="Q1609" s="97" t="str">
        <f t="shared" si="223"/>
        <v/>
      </c>
      <c r="R1609" t="str">
        <f t="shared" si="224"/>
        <v/>
      </c>
    </row>
    <row r="1610" spans="3:18">
      <c r="C1610" t="str">
        <f t="shared" si="218"/>
        <v>NL</v>
      </c>
      <c r="D1610" s="36">
        <v>350</v>
      </c>
      <c r="E1610" s="97">
        <v>110</v>
      </c>
      <c r="F1610" s="366">
        <f t="shared" si="221"/>
        <v>2387</v>
      </c>
      <c r="G1610" s="97">
        <v>3533</v>
      </c>
      <c r="H1610" s="367">
        <f t="shared" si="222"/>
        <v>5920</v>
      </c>
      <c r="I1610" s="368">
        <f t="shared" si="219"/>
        <v>0</v>
      </c>
      <c r="J1610" s="97">
        <v>9056</v>
      </c>
      <c r="K1610" s="367">
        <f t="shared" si="220"/>
        <v>6468.5714285714284</v>
      </c>
      <c r="L1610" s="97">
        <v>0.3</v>
      </c>
      <c r="M1610" s="97">
        <v>2.8000000000000003</v>
      </c>
      <c r="N1610" s="97">
        <v>24</v>
      </c>
      <c r="O1610" s="97">
        <v>5</v>
      </c>
      <c r="P1610" s="97" t="s">
        <v>515</v>
      </c>
      <c r="Q1610" s="97" t="str">
        <f t="shared" si="223"/>
        <v/>
      </c>
      <c r="R1610" t="str">
        <f t="shared" si="224"/>
        <v/>
      </c>
    </row>
    <row r="1611" spans="3:18">
      <c r="C1611" t="str">
        <f t="shared" si="218"/>
        <v>NL</v>
      </c>
      <c r="D1611" s="36">
        <v>351</v>
      </c>
      <c r="E1611" s="97">
        <v>110</v>
      </c>
      <c r="F1611" s="366">
        <f t="shared" si="221"/>
        <v>2387</v>
      </c>
      <c r="G1611" s="97">
        <v>4151</v>
      </c>
      <c r="H1611" s="367">
        <f t="shared" si="222"/>
        <v>6538</v>
      </c>
      <c r="I1611" s="368">
        <f t="shared" si="219"/>
        <v>0</v>
      </c>
      <c r="J1611" s="97">
        <v>10640</v>
      </c>
      <c r="K1611" s="367">
        <f t="shared" si="220"/>
        <v>7600</v>
      </c>
      <c r="L1611" s="97">
        <v>0.49</v>
      </c>
      <c r="M1611" s="97">
        <v>2.8000000000000003</v>
      </c>
      <c r="N1611" s="97">
        <v>26</v>
      </c>
      <c r="O1611" s="97">
        <v>5</v>
      </c>
      <c r="P1611" s="97" t="s">
        <v>556</v>
      </c>
      <c r="Q1611" s="97" t="str">
        <f t="shared" si="223"/>
        <v/>
      </c>
      <c r="R1611" t="str">
        <f t="shared" si="224"/>
        <v/>
      </c>
    </row>
    <row r="1612" spans="3:18">
      <c r="C1612" t="str">
        <f t="shared" si="218"/>
        <v>NL</v>
      </c>
      <c r="D1612" s="36">
        <v>352</v>
      </c>
      <c r="E1612" s="97">
        <v>110</v>
      </c>
      <c r="F1612" s="366">
        <f t="shared" si="221"/>
        <v>2387</v>
      </c>
      <c r="G1612" s="97">
        <v>4915</v>
      </c>
      <c r="H1612" s="367">
        <f t="shared" si="222"/>
        <v>7302</v>
      </c>
      <c r="I1612" s="368">
        <f t="shared" si="219"/>
        <v>0</v>
      </c>
      <c r="J1612" s="97">
        <v>12599</v>
      </c>
      <c r="K1612" s="367">
        <f t="shared" si="220"/>
        <v>8999.2857142857138</v>
      </c>
      <c r="L1612" s="97">
        <v>1.01</v>
      </c>
      <c r="M1612" s="97">
        <v>2.8000000000000003</v>
      </c>
      <c r="N1612" s="97">
        <v>31</v>
      </c>
      <c r="O1612" s="97">
        <v>5</v>
      </c>
      <c r="P1612" s="97" t="s">
        <v>514</v>
      </c>
      <c r="Q1612" s="97" t="str">
        <f t="shared" si="223"/>
        <v/>
      </c>
      <c r="R1612" t="str">
        <f t="shared" si="224"/>
        <v/>
      </c>
    </row>
    <row r="1613" spans="3:18">
      <c r="C1613" t="str">
        <f t="shared" si="218"/>
        <v/>
      </c>
      <c r="D1613" s="36">
        <v>353</v>
      </c>
      <c r="E1613" s="97">
        <v>110</v>
      </c>
      <c r="F1613" s="366">
        <f t="shared" si="221"/>
        <v>2387</v>
      </c>
      <c r="G1613" s="97">
        <v>3401</v>
      </c>
      <c r="H1613" s="367">
        <f t="shared" si="222"/>
        <v>5788</v>
      </c>
      <c r="I1613" s="368">
        <f t="shared" si="219"/>
        <v>0</v>
      </c>
      <c r="J1613" s="97">
        <v>8720</v>
      </c>
      <c r="K1613" s="367">
        <f t="shared" si="220"/>
        <v>6228.5714285714284</v>
      </c>
      <c r="L1613" s="97">
        <v>0.21000000000000002</v>
      </c>
      <c r="M1613" s="97">
        <v>3.4</v>
      </c>
      <c r="N1613" s="97">
        <v>22</v>
      </c>
      <c r="O1613" s="97">
        <v>6</v>
      </c>
      <c r="P1613" s="97" t="s">
        <v>515</v>
      </c>
      <c r="Q1613" s="97">
        <f t="shared" si="223"/>
        <v>353</v>
      </c>
      <c r="R1613" t="str">
        <f t="shared" si="224"/>
        <v/>
      </c>
    </row>
    <row r="1614" spans="3:18">
      <c r="C1614" t="str">
        <f t="shared" si="218"/>
        <v/>
      </c>
      <c r="D1614" s="36">
        <v>354</v>
      </c>
      <c r="E1614" s="97">
        <v>110</v>
      </c>
      <c r="F1614" s="366">
        <f t="shared" si="221"/>
        <v>2387</v>
      </c>
      <c r="G1614" s="97">
        <v>4409</v>
      </c>
      <c r="H1614" s="367">
        <f t="shared" si="222"/>
        <v>6796</v>
      </c>
      <c r="I1614" s="368">
        <f t="shared" si="219"/>
        <v>0</v>
      </c>
      <c r="J1614" s="97">
        <v>11302</v>
      </c>
      <c r="K1614" s="367">
        <f t="shared" si="220"/>
        <v>8072.8571428571431</v>
      </c>
      <c r="L1614" s="97">
        <v>0.34</v>
      </c>
      <c r="M1614" s="97">
        <v>3.4</v>
      </c>
      <c r="N1614" s="97">
        <v>24</v>
      </c>
      <c r="O1614" s="97">
        <v>6</v>
      </c>
      <c r="P1614" s="97" t="s">
        <v>556</v>
      </c>
      <c r="Q1614" s="97">
        <f t="shared" si="223"/>
        <v>354</v>
      </c>
      <c r="R1614" t="str">
        <f t="shared" si="224"/>
        <v/>
      </c>
    </row>
    <row r="1615" spans="3:18">
      <c r="C1615" t="str">
        <f t="shared" ref="C1615:C1678" si="225">IF(OR($O$4=0,O1615-$O$4=0),IF(AND(ISEVEN(O1615)=FALSE,$N$4="Even"),"NL",""),"NL")</f>
        <v/>
      </c>
      <c r="D1615" s="36">
        <v>355</v>
      </c>
      <c r="E1615" s="97">
        <v>110</v>
      </c>
      <c r="F1615" s="366">
        <f t="shared" si="221"/>
        <v>2387</v>
      </c>
      <c r="G1615" s="97">
        <v>5107</v>
      </c>
      <c r="H1615" s="367">
        <f t="shared" si="222"/>
        <v>7494</v>
      </c>
      <c r="I1615" s="368">
        <f t="shared" ref="I1615:I1678" si="226">1.085*($C$2-$D$2)*E1615*$T$7</f>
        <v>0</v>
      </c>
      <c r="J1615" s="97">
        <v>13093</v>
      </c>
      <c r="K1615" s="367">
        <f t="shared" ref="K1615:K1678" si="227">(J1615*$V$7)-I1615</f>
        <v>9352.1428571428569</v>
      </c>
      <c r="L1615" s="97">
        <v>0.7</v>
      </c>
      <c r="M1615" s="97">
        <v>3.4</v>
      </c>
      <c r="N1615" s="97">
        <v>29</v>
      </c>
      <c r="O1615" s="97">
        <v>6</v>
      </c>
      <c r="P1615" s="97" t="s">
        <v>514</v>
      </c>
      <c r="Q1615" s="97">
        <f t="shared" si="223"/>
        <v>355</v>
      </c>
      <c r="R1615" t="str">
        <f t="shared" si="224"/>
        <v/>
      </c>
    </row>
    <row r="1616" spans="3:18">
      <c r="C1616" t="str">
        <f t="shared" si="225"/>
        <v>NL</v>
      </c>
      <c r="D1616" s="36">
        <v>356</v>
      </c>
      <c r="E1616" s="97">
        <v>110</v>
      </c>
      <c r="F1616" s="366">
        <f t="shared" si="221"/>
        <v>2387</v>
      </c>
      <c r="G1616" s="97">
        <v>4272</v>
      </c>
      <c r="H1616" s="367">
        <f t="shared" si="222"/>
        <v>6659</v>
      </c>
      <c r="I1616" s="368">
        <f t="shared" si="226"/>
        <v>0</v>
      </c>
      <c r="J1616" s="97">
        <v>10952</v>
      </c>
      <c r="K1616" s="367">
        <f t="shared" si="227"/>
        <v>7822.8571428571431</v>
      </c>
      <c r="L1616" s="97">
        <v>0.26</v>
      </c>
      <c r="M1616" s="97">
        <v>3.9</v>
      </c>
      <c r="N1616" s="97">
        <v>23</v>
      </c>
      <c r="O1616" s="97">
        <v>7</v>
      </c>
      <c r="P1616" s="97" t="s">
        <v>556</v>
      </c>
      <c r="Q1616" s="97" t="str">
        <f t="shared" si="223"/>
        <v/>
      </c>
      <c r="R1616" t="str">
        <f t="shared" si="224"/>
        <v/>
      </c>
    </row>
    <row r="1617" spans="3:18">
      <c r="C1617" t="str">
        <f t="shared" si="225"/>
        <v>NL</v>
      </c>
      <c r="D1617" s="36">
        <v>357</v>
      </c>
      <c r="E1617" s="97">
        <v>110</v>
      </c>
      <c r="F1617" s="366">
        <f t="shared" si="221"/>
        <v>2387</v>
      </c>
      <c r="G1617" s="97">
        <v>5297</v>
      </c>
      <c r="H1617" s="367">
        <f t="shared" si="222"/>
        <v>7684</v>
      </c>
      <c r="I1617" s="368">
        <f t="shared" si="226"/>
        <v>0</v>
      </c>
      <c r="J1617" s="97">
        <v>13580</v>
      </c>
      <c r="K1617" s="367">
        <f t="shared" si="227"/>
        <v>9700</v>
      </c>
      <c r="L1617" s="97">
        <v>0.52</v>
      </c>
      <c r="M1617" s="97">
        <v>3.9</v>
      </c>
      <c r="N1617" s="97">
        <v>28</v>
      </c>
      <c r="O1617" s="97">
        <v>7</v>
      </c>
      <c r="P1617" s="97" t="s">
        <v>514</v>
      </c>
      <c r="Q1617" s="97" t="str">
        <f t="shared" si="223"/>
        <v/>
      </c>
      <c r="R1617" t="str">
        <f t="shared" si="224"/>
        <v/>
      </c>
    </row>
    <row r="1618" spans="3:18">
      <c r="C1618" t="str">
        <f t="shared" si="225"/>
        <v>NL</v>
      </c>
      <c r="D1618" s="36">
        <v>358</v>
      </c>
      <c r="E1618" s="97">
        <v>110</v>
      </c>
      <c r="F1618" s="366">
        <f t="shared" si="221"/>
        <v>2387</v>
      </c>
      <c r="G1618" s="97">
        <v>5844</v>
      </c>
      <c r="H1618" s="367">
        <f t="shared" si="222"/>
        <v>8231</v>
      </c>
      <c r="I1618" s="368">
        <f t="shared" si="226"/>
        <v>0</v>
      </c>
      <c r="J1618" s="97">
        <v>14981</v>
      </c>
      <c r="K1618" s="367">
        <f t="shared" si="227"/>
        <v>10700.714285714286</v>
      </c>
      <c r="L1618" s="97">
        <v>0.77</v>
      </c>
      <c r="M1618" s="97">
        <v>3.9</v>
      </c>
      <c r="N1618" s="97">
        <v>27</v>
      </c>
      <c r="O1618" s="97">
        <v>7</v>
      </c>
      <c r="P1618" s="97" t="s">
        <v>555</v>
      </c>
      <c r="Q1618" s="97" t="str">
        <f t="shared" si="223"/>
        <v/>
      </c>
      <c r="R1618" t="str">
        <f t="shared" si="224"/>
        <v/>
      </c>
    </row>
    <row r="1619" spans="3:18">
      <c r="C1619" t="str">
        <f t="shared" si="225"/>
        <v/>
      </c>
      <c r="D1619" s="36">
        <v>359</v>
      </c>
      <c r="E1619" s="97">
        <v>110</v>
      </c>
      <c r="F1619" s="366">
        <f t="shared" si="221"/>
        <v>2387</v>
      </c>
      <c r="G1619" s="97">
        <v>3993</v>
      </c>
      <c r="H1619" s="367">
        <f t="shared" si="222"/>
        <v>6380</v>
      </c>
      <c r="I1619" s="368">
        <f t="shared" si="226"/>
        <v>0</v>
      </c>
      <c r="J1619" s="97">
        <v>10237</v>
      </c>
      <c r="K1619" s="367">
        <f t="shared" si="227"/>
        <v>7312.1428571428569</v>
      </c>
      <c r="L1619" s="97">
        <v>0.2</v>
      </c>
      <c r="M1619" s="97">
        <v>4.3999999999999995</v>
      </c>
      <c r="N1619" s="97">
        <v>22</v>
      </c>
      <c r="O1619" s="97">
        <v>8</v>
      </c>
      <c r="P1619" s="97" t="s">
        <v>556</v>
      </c>
      <c r="Q1619" s="97">
        <f t="shared" si="223"/>
        <v>359</v>
      </c>
      <c r="R1619" t="str">
        <f t="shared" si="224"/>
        <v/>
      </c>
    </row>
    <row r="1620" spans="3:18">
      <c r="C1620" t="str">
        <f t="shared" si="225"/>
        <v/>
      </c>
      <c r="D1620" s="36">
        <v>360</v>
      </c>
      <c r="E1620" s="97">
        <v>110</v>
      </c>
      <c r="F1620" s="366">
        <f t="shared" si="221"/>
        <v>2387</v>
      </c>
      <c r="G1620" s="97">
        <v>5217</v>
      </c>
      <c r="H1620" s="367">
        <f t="shared" si="222"/>
        <v>7604</v>
      </c>
      <c r="I1620" s="368">
        <f t="shared" si="226"/>
        <v>0</v>
      </c>
      <c r="J1620" s="97">
        <v>13374</v>
      </c>
      <c r="K1620" s="367">
        <f t="shared" si="227"/>
        <v>9552.8571428571431</v>
      </c>
      <c r="L1620" s="97">
        <v>0.42</v>
      </c>
      <c r="M1620" s="97">
        <v>4.3999999999999995</v>
      </c>
      <c r="N1620" s="97">
        <v>28</v>
      </c>
      <c r="O1620" s="97">
        <v>8</v>
      </c>
      <c r="P1620" s="97" t="s">
        <v>514</v>
      </c>
      <c r="Q1620" s="97">
        <f t="shared" si="223"/>
        <v>360</v>
      </c>
      <c r="R1620" t="str">
        <f t="shared" si="224"/>
        <v/>
      </c>
    </row>
    <row r="1621" spans="3:18">
      <c r="C1621" t="str">
        <f t="shared" si="225"/>
        <v/>
      </c>
      <c r="D1621" s="36">
        <v>361</v>
      </c>
      <c r="E1621" s="97">
        <v>110</v>
      </c>
      <c r="F1621" s="366">
        <f t="shared" si="221"/>
        <v>2387</v>
      </c>
      <c r="G1621" s="97">
        <v>6068</v>
      </c>
      <c r="H1621" s="367">
        <f t="shared" si="222"/>
        <v>8455</v>
      </c>
      <c r="I1621" s="368">
        <f t="shared" si="226"/>
        <v>0</v>
      </c>
      <c r="J1621" s="97">
        <v>15556</v>
      </c>
      <c r="K1621" s="367">
        <f t="shared" si="227"/>
        <v>11111.428571428572</v>
      </c>
      <c r="L1621" s="97">
        <v>0.61</v>
      </c>
      <c r="M1621" s="97">
        <v>4.3999999999999995</v>
      </c>
      <c r="N1621" s="97">
        <v>27</v>
      </c>
      <c r="O1621" s="97">
        <v>8</v>
      </c>
      <c r="P1621" s="97" t="s">
        <v>555</v>
      </c>
      <c r="Q1621" s="97">
        <f t="shared" si="223"/>
        <v>361</v>
      </c>
      <c r="R1621" t="str">
        <f t="shared" si="224"/>
        <v/>
      </c>
    </row>
    <row r="1622" spans="3:18">
      <c r="C1622" t="str">
        <f t="shared" si="225"/>
        <v/>
      </c>
      <c r="D1622" s="36">
        <v>362</v>
      </c>
      <c r="E1622" s="97">
        <v>110</v>
      </c>
      <c r="F1622" s="366">
        <f t="shared" si="221"/>
        <v>2387</v>
      </c>
      <c r="G1622" s="97">
        <v>4754</v>
      </c>
      <c r="H1622" s="367">
        <f t="shared" si="222"/>
        <v>7141</v>
      </c>
      <c r="I1622" s="368">
        <f t="shared" si="226"/>
        <v>0</v>
      </c>
      <c r="J1622" s="97">
        <v>12187</v>
      </c>
      <c r="K1622" s="367">
        <f t="shared" si="227"/>
        <v>8705</v>
      </c>
      <c r="L1622" s="97">
        <v>0.28000000000000003</v>
      </c>
      <c r="M1622" s="97">
        <v>5.3999999999999995</v>
      </c>
      <c r="N1622" s="97">
        <v>27</v>
      </c>
      <c r="O1622" s="97">
        <v>10</v>
      </c>
      <c r="P1622" s="97" t="s">
        <v>514</v>
      </c>
      <c r="Q1622" s="97" t="str">
        <f t="shared" si="223"/>
        <v/>
      </c>
      <c r="R1622" t="str">
        <f t="shared" si="224"/>
        <v/>
      </c>
    </row>
    <row r="1623" spans="3:18">
      <c r="C1623" t="str">
        <f t="shared" si="225"/>
        <v/>
      </c>
      <c r="D1623" s="36">
        <v>363</v>
      </c>
      <c r="E1623" s="97">
        <v>110</v>
      </c>
      <c r="F1623" s="366">
        <f t="shared" si="221"/>
        <v>2387</v>
      </c>
      <c r="G1623" s="97">
        <v>5544</v>
      </c>
      <c r="H1623" s="367">
        <f t="shared" si="222"/>
        <v>7931</v>
      </c>
      <c r="I1623" s="368">
        <f t="shared" si="226"/>
        <v>0</v>
      </c>
      <c r="J1623" s="97">
        <v>14212</v>
      </c>
      <c r="K1623" s="367">
        <f t="shared" si="227"/>
        <v>10151.428571428572</v>
      </c>
      <c r="L1623" s="97">
        <v>0.4</v>
      </c>
      <c r="M1623" s="97">
        <v>5.3999999999999995</v>
      </c>
      <c r="N1623" s="97">
        <v>25</v>
      </c>
      <c r="O1623" s="97">
        <v>10</v>
      </c>
      <c r="P1623" s="97" t="s">
        <v>555</v>
      </c>
      <c r="Q1623" s="97" t="str">
        <f t="shared" si="223"/>
        <v/>
      </c>
      <c r="R1623" t="str">
        <f t="shared" si="224"/>
        <v/>
      </c>
    </row>
    <row r="1624" spans="3:18">
      <c r="C1624" t="str">
        <f t="shared" si="225"/>
        <v/>
      </c>
      <c r="D1624" s="36">
        <v>364</v>
      </c>
      <c r="E1624" s="97">
        <v>110</v>
      </c>
      <c r="F1624" s="366">
        <f t="shared" si="221"/>
        <v>2387</v>
      </c>
      <c r="G1624" s="97">
        <v>7519</v>
      </c>
      <c r="H1624" s="367">
        <f t="shared" si="222"/>
        <v>9906</v>
      </c>
      <c r="I1624" s="368">
        <f t="shared" si="226"/>
        <v>0</v>
      </c>
      <c r="J1624" s="97">
        <v>19275</v>
      </c>
      <c r="K1624" s="367">
        <f t="shared" si="227"/>
        <v>13767.857142857143</v>
      </c>
      <c r="L1624" s="97">
        <v>0.86</v>
      </c>
      <c r="M1624" s="97">
        <v>5.3999999999999995</v>
      </c>
      <c r="N1624" s="97">
        <v>30</v>
      </c>
      <c r="O1624" s="97">
        <v>10</v>
      </c>
      <c r="P1624" s="97" t="s">
        <v>513</v>
      </c>
      <c r="Q1624" s="97" t="str">
        <f t="shared" si="223"/>
        <v/>
      </c>
      <c r="R1624" t="str">
        <f t="shared" si="224"/>
        <v/>
      </c>
    </row>
    <row r="1625" spans="3:18">
      <c r="C1625" t="str">
        <f t="shared" si="225"/>
        <v>NL</v>
      </c>
      <c r="D1625" s="36">
        <v>365</v>
      </c>
      <c r="E1625" s="97">
        <v>115</v>
      </c>
      <c r="F1625" s="366">
        <f t="shared" si="221"/>
        <v>2495.5</v>
      </c>
      <c r="G1625" s="97">
        <v>3312</v>
      </c>
      <c r="H1625" s="367">
        <f t="shared" si="222"/>
        <v>5807.5</v>
      </c>
      <c r="I1625" s="368">
        <f t="shared" si="226"/>
        <v>0</v>
      </c>
      <c r="J1625" s="97">
        <v>8491</v>
      </c>
      <c r="K1625" s="367">
        <f t="shared" si="227"/>
        <v>6065</v>
      </c>
      <c r="L1625" s="97">
        <v>0.86</v>
      </c>
      <c r="M1625" s="97">
        <v>1.8</v>
      </c>
      <c r="N1625" s="97">
        <v>27</v>
      </c>
      <c r="O1625" s="97">
        <v>3</v>
      </c>
      <c r="P1625" s="97" t="s">
        <v>515</v>
      </c>
      <c r="Q1625" s="97" t="str">
        <f t="shared" si="223"/>
        <v/>
      </c>
      <c r="R1625" t="str">
        <f t="shared" si="224"/>
        <v/>
      </c>
    </row>
    <row r="1626" spans="3:18">
      <c r="C1626" t="str">
        <f t="shared" si="225"/>
        <v/>
      </c>
      <c r="D1626" s="36">
        <v>366</v>
      </c>
      <c r="E1626" s="97">
        <v>115</v>
      </c>
      <c r="F1626" s="366">
        <f t="shared" si="221"/>
        <v>2495.5</v>
      </c>
      <c r="G1626" s="97">
        <v>3581</v>
      </c>
      <c r="H1626" s="367">
        <f t="shared" si="222"/>
        <v>6076.5</v>
      </c>
      <c r="I1626" s="368">
        <f t="shared" si="226"/>
        <v>0</v>
      </c>
      <c r="J1626" s="97">
        <v>9180</v>
      </c>
      <c r="K1626" s="367">
        <f t="shared" si="227"/>
        <v>6557.1428571428569</v>
      </c>
      <c r="L1626" s="97">
        <v>0.49</v>
      </c>
      <c r="M1626" s="97">
        <v>2.3000000000000003</v>
      </c>
      <c r="N1626" s="97">
        <v>25</v>
      </c>
      <c r="O1626" s="97">
        <v>4</v>
      </c>
      <c r="P1626" s="97" t="s">
        <v>515</v>
      </c>
      <c r="Q1626" s="97">
        <f t="shared" si="223"/>
        <v>366</v>
      </c>
      <c r="R1626" t="str">
        <f t="shared" si="224"/>
        <v/>
      </c>
    </row>
    <row r="1627" spans="3:18">
      <c r="C1627" t="str">
        <f t="shared" si="225"/>
        <v/>
      </c>
      <c r="D1627" s="36">
        <v>367</v>
      </c>
      <c r="E1627" s="97">
        <v>115</v>
      </c>
      <c r="F1627" s="366">
        <f t="shared" si="221"/>
        <v>2495.5</v>
      </c>
      <c r="G1627" s="97">
        <v>3990</v>
      </c>
      <c r="H1627" s="367">
        <f t="shared" si="222"/>
        <v>6485.5</v>
      </c>
      <c r="I1627" s="368">
        <f t="shared" si="226"/>
        <v>0</v>
      </c>
      <c r="J1627" s="97">
        <v>10228</v>
      </c>
      <c r="K1627" s="367">
        <f t="shared" si="227"/>
        <v>7305.7142857142862</v>
      </c>
      <c r="L1627" s="97">
        <v>0.81</v>
      </c>
      <c r="M1627" s="97">
        <v>2.3000000000000003</v>
      </c>
      <c r="N1627" s="97">
        <v>28</v>
      </c>
      <c r="O1627" s="97">
        <v>4</v>
      </c>
      <c r="P1627" s="97" t="s">
        <v>556</v>
      </c>
      <c r="Q1627" s="97" t="str">
        <f t="shared" si="223"/>
        <v/>
      </c>
      <c r="R1627" t="str">
        <f t="shared" si="224"/>
        <v/>
      </c>
    </row>
    <row r="1628" spans="3:18">
      <c r="C1628" t="str">
        <f t="shared" si="225"/>
        <v>NL</v>
      </c>
      <c r="D1628" s="36">
        <v>368</v>
      </c>
      <c r="E1628" s="97">
        <v>115</v>
      </c>
      <c r="F1628" s="366">
        <f t="shared" si="221"/>
        <v>2495.5</v>
      </c>
      <c r="G1628" s="97">
        <v>3692</v>
      </c>
      <c r="H1628" s="367">
        <f t="shared" si="222"/>
        <v>6187.5</v>
      </c>
      <c r="I1628" s="368">
        <f t="shared" si="226"/>
        <v>0</v>
      </c>
      <c r="J1628" s="97">
        <v>9466</v>
      </c>
      <c r="K1628" s="367">
        <f t="shared" si="227"/>
        <v>6761.4285714285716</v>
      </c>
      <c r="L1628" s="97">
        <v>0.33</v>
      </c>
      <c r="M1628" s="97">
        <v>2.8000000000000003</v>
      </c>
      <c r="N1628" s="97">
        <v>24</v>
      </c>
      <c r="O1628" s="97">
        <v>5</v>
      </c>
      <c r="P1628" s="97" t="s">
        <v>515</v>
      </c>
      <c r="Q1628" s="97" t="str">
        <f t="shared" si="223"/>
        <v/>
      </c>
      <c r="R1628" t="str">
        <f t="shared" si="224"/>
        <v/>
      </c>
    </row>
    <row r="1629" spans="3:18">
      <c r="C1629" t="str">
        <f t="shared" si="225"/>
        <v>NL</v>
      </c>
      <c r="D1629" s="36">
        <v>369</v>
      </c>
      <c r="E1629" s="97">
        <v>115</v>
      </c>
      <c r="F1629" s="366">
        <f t="shared" si="221"/>
        <v>2495.5</v>
      </c>
      <c r="G1629" s="97">
        <v>4291</v>
      </c>
      <c r="H1629" s="367">
        <f t="shared" si="222"/>
        <v>6786.5</v>
      </c>
      <c r="I1629" s="368">
        <f t="shared" si="226"/>
        <v>0</v>
      </c>
      <c r="J1629" s="97">
        <v>11000</v>
      </c>
      <c r="K1629" s="367">
        <f t="shared" si="227"/>
        <v>7857.1428571428569</v>
      </c>
      <c r="L1629" s="97">
        <v>0.53</v>
      </c>
      <c r="M1629" s="97">
        <v>2.8000000000000003</v>
      </c>
      <c r="N1629" s="97">
        <v>26</v>
      </c>
      <c r="O1629" s="97">
        <v>5</v>
      </c>
      <c r="P1629" s="97" t="s">
        <v>556</v>
      </c>
      <c r="Q1629" s="97" t="str">
        <f t="shared" si="223"/>
        <v/>
      </c>
      <c r="R1629" t="str">
        <f t="shared" si="224"/>
        <v/>
      </c>
    </row>
    <row r="1630" spans="3:18">
      <c r="C1630" t="str">
        <f t="shared" si="225"/>
        <v/>
      </c>
      <c r="D1630" s="36">
        <v>370</v>
      </c>
      <c r="E1630" s="97">
        <v>115</v>
      </c>
      <c r="F1630" s="366">
        <f t="shared" si="221"/>
        <v>2495.5</v>
      </c>
      <c r="G1630" s="97">
        <v>3601</v>
      </c>
      <c r="H1630" s="367">
        <f t="shared" si="222"/>
        <v>6096.5</v>
      </c>
      <c r="I1630" s="368">
        <f t="shared" si="226"/>
        <v>0</v>
      </c>
      <c r="J1630" s="97">
        <v>9231</v>
      </c>
      <c r="K1630" s="367">
        <f t="shared" si="227"/>
        <v>6593.5714285714284</v>
      </c>
      <c r="L1630" s="97">
        <v>0.23</v>
      </c>
      <c r="M1630" s="97">
        <v>3.4</v>
      </c>
      <c r="N1630" s="97">
        <v>22</v>
      </c>
      <c r="O1630" s="97">
        <v>6</v>
      </c>
      <c r="P1630" s="97" t="s">
        <v>515</v>
      </c>
      <c r="Q1630" s="97">
        <f t="shared" si="223"/>
        <v>370</v>
      </c>
      <c r="R1630" t="str">
        <f t="shared" si="224"/>
        <v/>
      </c>
    </row>
    <row r="1631" spans="3:18">
      <c r="C1631" t="str">
        <f t="shared" si="225"/>
        <v/>
      </c>
      <c r="D1631" s="36">
        <v>371</v>
      </c>
      <c r="E1631" s="97">
        <v>115</v>
      </c>
      <c r="F1631" s="366">
        <f t="shared" si="221"/>
        <v>2495.5</v>
      </c>
      <c r="G1631" s="97">
        <v>4537</v>
      </c>
      <c r="H1631" s="367">
        <f t="shared" si="222"/>
        <v>7032.5</v>
      </c>
      <c r="I1631" s="368">
        <f t="shared" si="226"/>
        <v>0</v>
      </c>
      <c r="J1631" s="97">
        <v>11630</v>
      </c>
      <c r="K1631" s="367">
        <f t="shared" si="227"/>
        <v>8307.1428571428569</v>
      </c>
      <c r="L1631" s="97">
        <v>0.37</v>
      </c>
      <c r="M1631" s="97">
        <v>3.4</v>
      </c>
      <c r="N1631" s="97">
        <v>25</v>
      </c>
      <c r="O1631" s="97">
        <v>6</v>
      </c>
      <c r="P1631" s="97" t="s">
        <v>556</v>
      </c>
      <c r="Q1631" s="97">
        <f t="shared" si="223"/>
        <v>371</v>
      </c>
      <c r="R1631" t="str">
        <f t="shared" si="224"/>
        <v/>
      </c>
    </row>
    <row r="1632" spans="3:18">
      <c r="C1632" t="str">
        <f t="shared" si="225"/>
        <v/>
      </c>
      <c r="D1632" s="36">
        <v>372</v>
      </c>
      <c r="E1632" s="97">
        <v>115</v>
      </c>
      <c r="F1632" s="366">
        <f t="shared" si="221"/>
        <v>2495.5</v>
      </c>
      <c r="G1632" s="97">
        <v>5260</v>
      </c>
      <c r="H1632" s="367">
        <f t="shared" si="222"/>
        <v>7755.5</v>
      </c>
      <c r="I1632" s="368">
        <f t="shared" si="226"/>
        <v>0</v>
      </c>
      <c r="J1632" s="97">
        <v>13485</v>
      </c>
      <c r="K1632" s="367">
        <f t="shared" si="227"/>
        <v>9632.1428571428569</v>
      </c>
      <c r="L1632" s="97">
        <v>0.77</v>
      </c>
      <c r="M1632" s="97">
        <v>3.4</v>
      </c>
      <c r="N1632" s="97">
        <v>30</v>
      </c>
      <c r="O1632" s="97">
        <v>6</v>
      </c>
      <c r="P1632" s="97" t="s">
        <v>514</v>
      </c>
      <c r="Q1632" s="97" t="str">
        <f t="shared" si="223"/>
        <v/>
      </c>
      <c r="R1632" t="str">
        <f t="shared" si="224"/>
        <v/>
      </c>
    </row>
    <row r="1633" spans="3:18">
      <c r="C1633" t="str">
        <f t="shared" si="225"/>
        <v>NL</v>
      </c>
      <c r="D1633" s="36">
        <v>373</v>
      </c>
      <c r="E1633" s="97">
        <v>115</v>
      </c>
      <c r="F1633" s="366">
        <f t="shared" si="221"/>
        <v>2495.5</v>
      </c>
      <c r="G1633" s="97">
        <v>4523</v>
      </c>
      <c r="H1633" s="367">
        <f t="shared" si="222"/>
        <v>7018.5</v>
      </c>
      <c r="I1633" s="368">
        <f t="shared" si="226"/>
        <v>0</v>
      </c>
      <c r="J1633" s="97">
        <v>11595</v>
      </c>
      <c r="K1633" s="367">
        <f t="shared" si="227"/>
        <v>8282.1428571428569</v>
      </c>
      <c r="L1633" s="97">
        <v>0.28000000000000003</v>
      </c>
      <c r="M1633" s="97">
        <v>3.9</v>
      </c>
      <c r="N1633" s="97">
        <v>24</v>
      </c>
      <c r="O1633" s="97">
        <v>7</v>
      </c>
      <c r="P1633" s="97" t="s">
        <v>556</v>
      </c>
      <c r="Q1633" s="97" t="str">
        <f t="shared" si="223"/>
        <v/>
      </c>
      <c r="R1633" t="str">
        <f t="shared" si="224"/>
        <v/>
      </c>
    </row>
    <row r="1634" spans="3:18">
      <c r="C1634" t="str">
        <f t="shared" si="225"/>
        <v>NL</v>
      </c>
      <c r="D1634" s="36">
        <v>374</v>
      </c>
      <c r="E1634" s="97">
        <v>115</v>
      </c>
      <c r="F1634" s="366">
        <f t="shared" si="221"/>
        <v>2495.5</v>
      </c>
      <c r="G1634" s="97">
        <v>5463</v>
      </c>
      <c r="H1634" s="367">
        <f t="shared" si="222"/>
        <v>7958.5</v>
      </c>
      <c r="I1634" s="368">
        <f t="shared" si="226"/>
        <v>0</v>
      </c>
      <c r="J1634" s="97">
        <v>14004</v>
      </c>
      <c r="K1634" s="367">
        <f t="shared" si="227"/>
        <v>10002.857142857143</v>
      </c>
      <c r="L1634" s="97">
        <v>0.57000000000000006</v>
      </c>
      <c r="M1634" s="97">
        <v>3.9</v>
      </c>
      <c r="N1634" s="97">
        <v>29</v>
      </c>
      <c r="O1634" s="97">
        <v>7</v>
      </c>
      <c r="P1634" s="97" t="s">
        <v>514</v>
      </c>
      <c r="Q1634" s="97" t="str">
        <f t="shared" si="223"/>
        <v/>
      </c>
      <c r="R1634" t="str">
        <f t="shared" si="224"/>
        <v/>
      </c>
    </row>
    <row r="1635" spans="3:18">
      <c r="C1635" t="str">
        <f t="shared" si="225"/>
        <v>NL</v>
      </c>
      <c r="D1635" s="36">
        <v>375</v>
      </c>
      <c r="E1635" s="97">
        <v>115</v>
      </c>
      <c r="F1635" s="366">
        <f t="shared" si="221"/>
        <v>2495.5</v>
      </c>
      <c r="G1635" s="97">
        <v>6018</v>
      </c>
      <c r="H1635" s="367">
        <f t="shared" si="222"/>
        <v>8513.5</v>
      </c>
      <c r="I1635" s="368">
        <f t="shared" si="226"/>
        <v>0</v>
      </c>
      <c r="J1635" s="97">
        <v>15426</v>
      </c>
      <c r="K1635" s="367">
        <f t="shared" si="227"/>
        <v>11018.571428571429</v>
      </c>
      <c r="L1635" s="97">
        <v>0.84</v>
      </c>
      <c r="M1635" s="97">
        <v>3.9</v>
      </c>
      <c r="N1635" s="97">
        <v>28</v>
      </c>
      <c r="O1635" s="97">
        <v>7</v>
      </c>
      <c r="P1635" s="97" t="s">
        <v>555</v>
      </c>
      <c r="Q1635" s="97" t="str">
        <f t="shared" si="223"/>
        <v/>
      </c>
      <c r="R1635" t="str">
        <f t="shared" si="224"/>
        <v/>
      </c>
    </row>
    <row r="1636" spans="3:18">
      <c r="C1636" t="str">
        <f t="shared" si="225"/>
        <v/>
      </c>
      <c r="D1636" s="36">
        <v>376</v>
      </c>
      <c r="E1636" s="97">
        <v>115</v>
      </c>
      <c r="F1636" s="366">
        <f t="shared" si="221"/>
        <v>2495.5</v>
      </c>
      <c r="G1636" s="97">
        <v>4217</v>
      </c>
      <c r="H1636" s="367">
        <f t="shared" si="222"/>
        <v>6712.5</v>
      </c>
      <c r="I1636" s="368">
        <f t="shared" si="226"/>
        <v>0</v>
      </c>
      <c r="J1636" s="97">
        <v>10810</v>
      </c>
      <c r="K1636" s="367">
        <f t="shared" si="227"/>
        <v>7721.4285714285716</v>
      </c>
      <c r="L1636" s="97">
        <v>0.22</v>
      </c>
      <c r="M1636" s="97">
        <v>4.3999999999999995</v>
      </c>
      <c r="N1636" s="97">
        <v>23</v>
      </c>
      <c r="O1636" s="97">
        <v>8</v>
      </c>
      <c r="P1636" s="97" t="s">
        <v>556</v>
      </c>
      <c r="Q1636" s="97">
        <f t="shared" si="223"/>
        <v>376</v>
      </c>
      <c r="R1636" t="str">
        <f t="shared" si="224"/>
        <v/>
      </c>
    </row>
    <row r="1637" spans="3:18">
      <c r="C1637" t="str">
        <f t="shared" si="225"/>
        <v/>
      </c>
      <c r="D1637" s="36">
        <v>377</v>
      </c>
      <c r="E1637" s="97">
        <v>115</v>
      </c>
      <c r="F1637" s="366">
        <f t="shared" si="221"/>
        <v>2495.5</v>
      </c>
      <c r="G1637" s="97">
        <v>5518</v>
      </c>
      <c r="H1637" s="367">
        <f t="shared" si="222"/>
        <v>8013.5</v>
      </c>
      <c r="I1637" s="368">
        <f t="shared" si="226"/>
        <v>0</v>
      </c>
      <c r="J1637" s="97">
        <v>14146</v>
      </c>
      <c r="K1637" s="367">
        <f t="shared" si="227"/>
        <v>10104.285714285714</v>
      </c>
      <c r="L1637" s="97">
        <v>0.45</v>
      </c>
      <c r="M1637" s="97">
        <v>4.3999999999999995</v>
      </c>
      <c r="N1637" s="97">
        <v>28</v>
      </c>
      <c r="O1637" s="97">
        <v>8</v>
      </c>
      <c r="P1637" s="97" t="s">
        <v>514</v>
      </c>
      <c r="Q1637" s="97">
        <f t="shared" si="223"/>
        <v>377</v>
      </c>
      <c r="R1637" t="str">
        <f t="shared" si="224"/>
        <v/>
      </c>
    </row>
    <row r="1638" spans="3:18">
      <c r="C1638" t="str">
        <f t="shared" si="225"/>
        <v/>
      </c>
      <c r="D1638" s="36">
        <v>378</v>
      </c>
      <c r="E1638" s="97">
        <v>115</v>
      </c>
      <c r="F1638" s="366">
        <f t="shared" si="221"/>
        <v>2495.5</v>
      </c>
      <c r="G1638" s="97">
        <v>6263</v>
      </c>
      <c r="H1638" s="367">
        <f t="shared" si="222"/>
        <v>8758.5</v>
      </c>
      <c r="I1638" s="368">
        <f t="shared" si="226"/>
        <v>0</v>
      </c>
      <c r="J1638" s="97">
        <v>16056</v>
      </c>
      <c r="K1638" s="367">
        <f t="shared" si="227"/>
        <v>11468.571428571429</v>
      </c>
      <c r="L1638" s="97">
        <v>0.67</v>
      </c>
      <c r="M1638" s="97">
        <v>4.3999999999999995</v>
      </c>
      <c r="N1638" s="97">
        <v>27</v>
      </c>
      <c r="O1638" s="97">
        <v>8</v>
      </c>
      <c r="P1638" s="97" t="s">
        <v>555</v>
      </c>
      <c r="Q1638" s="97">
        <f t="shared" si="223"/>
        <v>378</v>
      </c>
      <c r="R1638" t="str">
        <f t="shared" si="224"/>
        <v/>
      </c>
    </row>
    <row r="1639" spans="3:18">
      <c r="C1639" t="str">
        <f t="shared" si="225"/>
        <v/>
      </c>
      <c r="D1639" s="36">
        <v>379</v>
      </c>
      <c r="E1639" s="97">
        <v>115</v>
      </c>
      <c r="F1639" s="366">
        <f t="shared" si="221"/>
        <v>2495.5</v>
      </c>
      <c r="G1639" s="97">
        <v>5021</v>
      </c>
      <c r="H1639" s="367">
        <f t="shared" si="222"/>
        <v>7516.5</v>
      </c>
      <c r="I1639" s="368">
        <f t="shared" si="226"/>
        <v>0</v>
      </c>
      <c r="J1639" s="97">
        <v>12872</v>
      </c>
      <c r="K1639" s="367">
        <f t="shared" si="227"/>
        <v>9194.2857142857138</v>
      </c>
      <c r="L1639" s="97">
        <v>0.3</v>
      </c>
      <c r="M1639" s="97">
        <v>5.3999999999999995</v>
      </c>
      <c r="N1639" s="97">
        <v>27</v>
      </c>
      <c r="O1639" s="97">
        <v>10</v>
      </c>
      <c r="P1639" s="97" t="s">
        <v>514</v>
      </c>
      <c r="Q1639" s="97" t="str">
        <f t="shared" si="223"/>
        <v/>
      </c>
      <c r="R1639" t="str">
        <f t="shared" si="224"/>
        <v/>
      </c>
    </row>
    <row r="1640" spans="3:18">
      <c r="C1640" t="str">
        <f t="shared" si="225"/>
        <v/>
      </c>
      <c r="D1640" s="36">
        <v>380</v>
      </c>
      <c r="E1640" s="97">
        <v>115</v>
      </c>
      <c r="F1640" s="366">
        <f t="shared" si="221"/>
        <v>2495.5</v>
      </c>
      <c r="G1640" s="97">
        <v>5850</v>
      </c>
      <c r="H1640" s="367">
        <f t="shared" si="222"/>
        <v>8345.5</v>
      </c>
      <c r="I1640" s="368">
        <f t="shared" si="226"/>
        <v>0</v>
      </c>
      <c r="J1640" s="97">
        <v>14998</v>
      </c>
      <c r="K1640" s="367">
        <f t="shared" si="227"/>
        <v>10712.857142857143</v>
      </c>
      <c r="L1640" s="97">
        <v>0.44</v>
      </c>
      <c r="M1640" s="97">
        <v>5.3999999999999995</v>
      </c>
      <c r="N1640" s="97">
        <v>25</v>
      </c>
      <c r="O1640" s="97">
        <v>10</v>
      </c>
      <c r="P1640" s="97" t="s">
        <v>555</v>
      </c>
      <c r="Q1640" s="97" t="str">
        <f t="shared" si="223"/>
        <v/>
      </c>
      <c r="R1640" t="str">
        <f t="shared" si="224"/>
        <v/>
      </c>
    </row>
    <row r="1641" spans="3:18">
      <c r="C1641" t="str">
        <f t="shared" si="225"/>
        <v/>
      </c>
      <c r="D1641" s="36">
        <v>381</v>
      </c>
      <c r="E1641" s="97">
        <v>115</v>
      </c>
      <c r="F1641" s="366">
        <f t="shared" si="221"/>
        <v>2495.5</v>
      </c>
      <c r="G1641" s="97">
        <v>7945</v>
      </c>
      <c r="H1641" s="367">
        <f t="shared" si="222"/>
        <v>10440.5</v>
      </c>
      <c r="I1641" s="368">
        <f t="shared" si="226"/>
        <v>0</v>
      </c>
      <c r="J1641" s="97">
        <v>20367</v>
      </c>
      <c r="K1641" s="367">
        <f t="shared" si="227"/>
        <v>14547.857142857143</v>
      </c>
      <c r="L1641" s="97">
        <v>0.93</v>
      </c>
      <c r="M1641" s="97">
        <v>5.3999999999999995</v>
      </c>
      <c r="N1641" s="97">
        <v>30</v>
      </c>
      <c r="O1641" s="97">
        <v>10</v>
      </c>
      <c r="P1641" s="97" t="s">
        <v>513</v>
      </c>
      <c r="Q1641" s="97" t="str">
        <f t="shared" si="223"/>
        <v/>
      </c>
      <c r="R1641" t="str">
        <f t="shared" si="224"/>
        <v/>
      </c>
    </row>
    <row r="1642" spans="3:18">
      <c r="C1642" t="str">
        <f t="shared" si="225"/>
        <v>NL</v>
      </c>
      <c r="D1642" s="36">
        <v>382</v>
      </c>
      <c r="E1642" s="97">
        <v>120</v>
      </c>
      <c r="F1642" s="366">
        <f t="shared" si="221"/>
        <v>2604</v>
      </c>
      <c r="G1642" s="97">
        <v>3402</v>
      </c>
      <c r="H1642" s="367">
        <f t="shared" si="222"/>
        <v>6006</v>
      </c>
      <c r="I1642" s="368">
        <f t="shared" si="226"/>
        <v>0</v>
      </c>
      <c r="J1642" s="97">
        <v>8721</v>
      </c>
      <c r="K1642" s="367">
        <f t="shared" si="227"/>
        <v>6229.2857142857147</v>
      </c>
      <c r="L1642" s="97">
        <v>0.94000000000000006</v>
      </c>
      <c r="M1642" s="97">
        <v>1.8</v>
      </c>
      <c r="N1642" s="97">
        <v>28</v>
      </c>
      <c r="O1642" s="97">
        <v>3</v>
      </c>
      <c r="P1642" s="97" t="s">
        <v>515</v>
      </c>
      <c r="Q1642" s="97" t="str">
        <f t="shared" si="223"/>
        <v/>
      </c>
      <c r="R1642" t="str">
        <f t="shared" si="224"/>
        <v/>
      </c>
    </row>
    <row r="1643" spans="3:18">
      <c r="C1643" t="str">
        <f t="shared" si="225"/>
        <v/>
      </c>
      <c r="D1643" s="36">
        <v>383</v>
      </c>
      <c r="E1643" s="97">
        <v>120</v>
      </c>
      <c r="F1643" s="366">
        <f t="shared" si="221"/>
        <v>2604</v>
      </c>
      <c r="G1643" s="97">
        <v>3701</v>
      </c>
      <c r="H1643" s="367">
        <f t="shared" si="222"/>
        <v>6305</v>
      </c>
      <c r="I1643" s="368">
        <f t="shared" si="226"/>
        <v>0</v>
      </c>
      <c r="J1643" s="97">
        <v>9487</v>
      </c>
      <c r="K1643" s="367">
        <f t="shared" si="227"/>
        <v>6776.4285714285716</v>
      </c>
      <c r="L1643" s="97">
        <v>0.53</v>
      </c>
      <c r="M1643" s="97">
        <v>2.3000000000000003</v>
      </c>
      <c r="N1643" s="97">
        <v>26</v>
      </c>
      <c r="O1643" s="97">
        <v>4</v>
      </c>
      <c r="P1643" s="97" t="s">
        <v>515</v>
      </c>
      <c r="Q1643" s="97">
        <f t="shared" si="223"/>
        <v>383</v>
      </c>
      <c r="R1643" t="str">
        <f t="shared" si="224"/>
        <v/>
      </c>
    </row>
    <row r="1644" spans="3:18">
      <c r="C1644" t="str">
        <f t="shared" si="225"/>
        <v/>
      </c>
      <c r="D1644" s="36">
        <v>384</v>
      </c>
      <c r="E1644" s="97">
        <v>120</v>
      </c>
      <c r="F1644" s="366">
        <f t="shared" si="221"/>
        <v>2604</v>
      </c>
      <c r="G1644" s="97">
        <v>4085</v>
      </c>
      <c r="H1644" s="367">
        <f t="shared" si="222"/>
        <v>6689</v>
      </c>
      <c r="I1644" s="368">
        <f t="shared" si="226"/>
        <v>0</v>
      </c>
      <c r="J1644" s="97">
        <v>10471</v>
      </c>
      <c r="K1644" s="367">
        <f t="shared" si="227"/>
        <v>7479.2857142857147</v>
      </c>
      <c r="L1644" s="97">
        <v>0.89</v>
      </c>
      <c r="M1644" s="97">
        <v>2.3000000000000003</v>
      </c>
      <c r="N1644" s="97">
        <v>28</v>
      </c>
      <c r="O1644" s="97">
        <v>4</v>
      </c>
      <c r="P1644" s="97" t="s">
        <v>556</v>
      </c>
      <c r="Q1644" s="97" t="str">
        <f t="shared" si="223"/>
        <v/>
      </c>
      <c r="R1644" t="str">
        <f t="shared" si="224"/>
        <v/>
      </c>
    </row>
    <row r="1645" spans="3:18">
      <c r="C1645" t="str">
        <f t="shared" si="225"/>
        <v>NL</v>
      </c>
      <c r="D1645" s="36">
        <v>385</v>
      </c>
      <c r="E1645" s="97">
        <v>120</v>
      </c>
      <c r="F1645" s="366">
        <f t="shared" ref="F1645:F1708" si="228">1.085*($A$2-$B$2)*E1645*$T$7</f>
        <v>2604</v>
      </c>
      <c r="G1645" s="97">
        <v>3821</v>
      </c>
      <c r="H1645" s="367">
        <f t="shared" ref="H1645:H1708" si="229">(G1645*$U$7)+F1645</f>
        <v>6425</v>
      </c>
      <c r="I1645" s="368">
        <f t="shared" si="226"/>
        <v>0</v>
      </c>
      <c r="J1645" s="97">
        <v>9795</v>
      </c>
      <c r="K1645" s="367">
        <f t="shared" si="227"/>
        <v>6996.4285714285716</v>
      </c>
      <c r="L1645" s="97">
        <v>0.35000000000000003</v>
      </c>
      <c r="M1645" s="97">
        <v>2.8000000000000003</v>
      </c>
      <c r="N1645" s="97">
        <v>25</v>
      </c>
      <c r="O1645" s="97">
        <v>5</v>
      </c>
      <c r="P1645" s="97" t="s">
        <v>515</v>
      </c>
      <c r="Q1645" s="97" t="str">
        <f t="shared" ref="Q1645:Q1708" si="230">IF(AND(H1645+1&gt;$E$4,L1645&lt;$L$4+0.01,M1645&lt;$M$4+0.01,K1645+1&gt;$F$4,E1645+1&gt;$J$4,N1645&lt;$K$4+1,O1645&lt;$P$4+1,C1645=""),D1645,"")</f>
        <v/>
      </c>
      <c r="R1645" t="str">
        <f t="shared" ref="R1645:R1708" si="231">IF(Q1645="","",IF(AND(O1645&lt;$X$16,E1645&gt;$U$16,E1645&lt;$Q$4+$U$16+1),D1645,""))</f>
        <v/>
      </c>
    </row>
    <row r="1646" spans="3:18">
      <c r="C1646" t="str">
        <f t="shared" si="225"/>
        <v>NL</v>
      </c>
      <c r="D1646" s="36">
        <v>386</v>
      </c>
      <c r="E1646" s="97">
        <v>120</v>
      </c>
      <c r="F1646" s="366">
        <f t="shared" si="228"/>
        <v>2604</v>
      </c>
      <c r="G1646" s="97">
        <v>4427</v>
      </c>
      <c r="H1646" s="367">
        <f t="shared" si="229"/>
        <v>7031</v>
      </c>
      <c r="I1646" s="368">
        <f t="shared" si="226"/>
        <v>0</v>
      </c>
      <c r="J1646" s="97">
        <v>11349</v>
      </c>
      <c r="K1646" s="367">
        <f t="shared" si="227"/>
        <v>8106.4285714285716</v>
      </c>
      <c r="L1646" s="97">
        <v>0.57999999999999996</v>
      </c>
      <c r="M1646" s="97">
        <v>2.8000000000000003</v>
      </c>
      <c r="N1646" s="97">
        <v>27</v>
      </c>
      <c r="O1646" s="97">
        <v>5</v>
      </c>
      <c r="P1646" s="97" t="s">
        <v>556</v>
      </c>
      <c r="Q1646" s="97" t="str">
        <f t="shared" si="230"/>
        <v/>
      </c>
      <c r="R1646" t="str">
        <f t="shared" si="231"/>
        <v/>
      </c>
    </row>
    <row r="1647" spans="3:18">
      <c r="C1647" t="str">
        <f t="shared" si="225"/>
        <v/>
      </c>
      <c r="D1647" s="36">
        <v>387</v>
      </c>
      <c r="E1647" s="97">
        <v>120</v>
      </c>
      <c r="F1647" s="366">
        <f t="shared" si="228"/>
        <v>2604</v>
      </c>
      <c r="G1647" s="97">
        <v>3801</v>
      </c>
      <c r="H1647" s="367">
        <f t="shared" si="229"/>
        <v>6405</v>
      </c>
      <c r="I1647" s="368">
        <f t="shared" si="226"/>
        <v>0</v>
      </c>
      <c r="J1647" s="97">
        <v>9745</v>
      </c>
      <c r="K1647" s="367">
        <f t="shared" si="227"/>
        <v>6960.7142857142862</v>
      </c>
      <c r="L1647" s="97">
        <v>0.24000000000000002</v>
      </c>
      <c r="M1647" s="97">
        <v>3.4</v>
      </c>
      <c r="N1647" s="97">
        <v>23</v>
      </c>
      <c r="O1647" s="97">
        <v>6</v>
      </c>
      <c r="P1647" s="97" t="s">
        <v>515</v>
      </c>
      <c r="Q1647" s="97">
        <f t="shared" si="230"/>
        <v>387</v>
      </c>
      <c r="R1647" t="str">
        <f t="shared" si="231"/>
        <v/>
      </c>
    </row>
    <row r="1648" spans="3:18">
      <c r="C1648" t="str">
        <f t="shared" si="225"/>
        <v/>
      </c>
      <c r="D1648" s="36">
        <v>388</v>
      </c>
      <c r="E1648" s="97">
        <v>120</v>
      </c>
      <c r="F1648" s="366">
        <f t="shared" si="228"/>
        <v>2604</v>
      </c>
      <c r="G1648" s="97">
        <v>4665</v>
      </c>
      <c r="H1648" s="367">
        <f t="shared" si="229"/>
        <v>7269</v>
      </c>
      <c r="I1648" s="368">
        <f t="shared" si="226"/>
        <v>0</v>
      </c>
      <c r="J1648" s="97">
        <v>11959</v>
      </c>
      <c r="K1648" s="367">
        <f t="shared" si="227"/>
        <v>8542.1428571428569</v>
      </c>
      <c r="L1648" s="97">
        <v>0.41000000000000003</v>
      </c>
      <c r="M1648" s="97">
        <v>3.4</v>
      </c>
      <c r="N1648" s="97">
        <v>25</v>
      </c>
      <c r="O1648" s="97">
        <v>6</v>
      </c>
      <c r="P1648" s="97" t="s">
        <v>556</v>
      </c>
      <c r="Q1648" s="97">
        <f t="shared" si="230"/>
        <v>388</v>
      </c>
      <c r="R1648" t="str">
        <f t="shared" si="231"/>
        <v/>
      </c>
    </row>
    <row r="1649" spans="3:18">
      <c r="C1649" t="str">
        <f t="shared" si="225"/>
        <v/>
      </c>
      <c r="D1649" s="36">
        <v>389</v>
      </c>
      <c r="E1649" s="97">
        <v>120</v>
      </c>
      <c r="F1649" s="366">
        <f t="shared" si="228"/>
        <v>2604</v>
      </c>
      <c r="G1649" s="97">
        <v>5414</v>
      </c>
      <c r="H1649" s="367">
        <f t="shared" si="229"/>
        <v>8018</v>
      </c>
      <c r="I1649" s="368">
        <f t="shared" si="226"/>
        <v>0</v>
      </c>
      <c r="J1649" s="97">
        <v>13878</v>
      </c>
      <c r="K1649" s="367">
        <f t="shared" si="227"/>
        <v>9912.8571428571431</v>
      </c>
      <c r="L1649" s="97">
        <v>0.84</v>
      </c>
      <c r="M1649" s="97">
        <v>3.4</v>
      </c>
      <c r="N1649" s="97">
        <v>31</v>
      </c>
      <c r="O1649" s="97">
        <v>6</v>
      </c>
      <c r="P1649" s="97" t="s">
        <v>514</v>
      </c>
      <c r="Q1649" s="97" t="str">
        <f t="shared" si="230"/>
        <v/>
      </c>
      <c r="R1649" t="str">
        <f t="shared" si="231"/>
        <v/>
      </c>
    </row>
    <row r="1650" spans="3:18">
      <c r="C1650" t="str">
        <f t="shared" si="225"/>
        <v>NL</v>
      </c>
      <c r="D1650" s="36">
        <v>390</v>
      </c>
      <c r="E1650" s="97">
        <v>120</v>
      </c>
      <c r="F1650" s="366">
        <f t="shared" si="228"/>
        <v>2604</v>
      </c>
      <c r="G1650" s="97">
        <v>3549</v>
      </c>
      <c r="H1650" s="367">
        <f t="shared" si="229"/>
        <v>6153</v>
      </c>
      <c r="I1650" s="368">
        <f t="shared" si="226"/>
        <v>0</v>
      </c>
      <c r="J1650" s="97">
        <v>9098</v>
      </c>
      <c r="K1650" s="367">
        <f t="shared" si="227"/>
        <v>6498.5714285714284</v>
      </c>
      <c r="L1650" s="97">
        <v>0.18000000000000002</v>
      </c>
      <c r="M1650" s="97">
        <v>3.9</v>
      </c>
      <c r="N1650" s="97">
        <v>22</v>
      </c>
      <c r="O1650" s="97">
        <v>7</v>
      </c>
      <c r="P1650" s="97" t="s">
        <v>515</v>
      </c>
      <c r="Q1650" s="97" t="str">
        <f t="shared" si="230"/>
        <v/>
      </c>
      <c r="R1650" t="str">
        <f t="shared" si="231"/>
        <v/>
      </c>
    </row>
    <row r="1651" spans="3:18">
      <c r="C1651" t="str">
        <f t="shared" si="225"/>
        <v>NL</v>
      </c>
      <c r="D1651" s="36">
        <v>391</v>
      </c>
      <c r="E1651" s="97">
        <v>120</v>
      </c>
      <c r="F1651" s="366">
        <f t="shared" si="228"/>
        <v>2604</v>
      </c>
      <c r="G1651" s="97">
        <v>4774</v>
      </c>
      <c r="H1651" s="367">
        <f t="shared" si="229"/>
        <v>7378</v>
      </c>
      <c r="I1651" s="368">
        <f t="shared" si="226"/>
        <v>0</v>
      </c>
      <c r="J1651" s="97">
        <v>12239</v>
      </c>
      <c r="K1651" s="367">
        <f t="shared" si="227"/>
        <v>8742.1428571428569</v>
      </c>
      <c r="L1651" s="97">
        <v>0.3</v>
      </c>
      <c r="M1651" s="97">
        <v>3.9</v>
      </c>
      <c r="N1651" s="97">
        <v>24</v>
      </c>
      <c r="O1651" s="97">
        <v>7</v>
      </c>
      <c r="P1651" s="97" t="s">
        <v>556</v>
      </c>
      <c r="Q1651" s="97" t="str">
        <f t="shared" si="230"/>
        <v/>
      </c>
      <c r="R1651" t="str">
        <f t="shared" si="231"/>
        <v/>
      </c>
    </row>
    <row r="1652" spans="3:18">
      <c r="C1652" t="str">
        <f t="shared" si="225"/>
        <v>NL</v>
      </c>
      <c r="D1652" s="36">
        <v>392</v>
      </c>
      <c r="E1652" s="97">
        <v>120</v>
      </c>
      <c r="F1652" s="366">
        <f t="shared" si="228"/>
        <v>2604</v>
      </c>
      <c r="G1652" s="97">
        <v>5617</v>
      </c>
      <c r="H1652" s="367">
        <f t="shared" si="229"/>
        <v>8221</v>
      </c>
      <c r="I1652" s="368">
        <f t="shared" si="226"/>
        <v>0</v>
      </c>
      <c r="J1652" s="97">
        <v>14400</v>
      </c>
      <c r="K1652" s="367">
        <f t="shared" si="227"/>
        <v>10285.714285714286</v>
      </c>
      <c r="L1652" s="97">
        <v>0.62</v>
      </c>
      <c r="M1652" s="97">
        <v>3.9</v>
      </c>
      <c r="N1652" s="97">
        <v>29</v>
      </c>
      <c r="O1652" s="97">
        <v>7</v>
      </c>
      <c r="P1652" s="97" t="s">
        <v>514</v>
      </c>
      <c r="Q1652" s="97" t="str">
        <f t="shared" si="230"/>
        <v/>
      </c>
      <c r="R1652" t="str">
        <f t="shared" si="231"/>
        <v/>
      </c>
    </row>
    <row r="1653" spans="3:18">
      <c r="C1653" t="str">
        <f t="shared" si="225"/>
        <v>NL</v>
      </c>
      <c r="D1653" s="36">
        <v>393</v>
      </c>
      <c r="E1653" s="97">
        <v>120</v>
      </c>
      <c r="F1653" s="366">
        <f t="shared" si="228"/>
        <v>2604</v>
      </c>
      <c r="G1653" s="97">
        <v>6191</v>
      </c>
      <c r="H1653" s="367">
        <f t="shared" si="229"/>
        <v>8795</v>
      </c>
      <c r="I1653" s="368">
        <f t="shared" si="226"/>
        <v>0</v>
      </c>
      <c r="J1653" s="97">
        <v>15872</v>
      </c>
      <c r="K1653" s="367">
        <f t="shared" si="227"/>
        <v>11337.142857142857</v>
      </c>
      <c r="L1653" s="97">
        <v>0.92</v>
      </c>
      <c r="M1653" s="97">
        <v>3.9</v>
      </c>
      <c r="N1653" s="97">
        <v>28</v>
      </c>
      <c r="O1653" s="97">
        <v>7</v>
      </c>
      <c r="P1653" s="97" t="s">
        <v>555</v>
      </c>
      <c r="Q1653" s="97" t="str">
        <f t="shared" si="230"/>
        <v/>
      </c>
      <c r="R1653" t="str">
        <f t="shared" si="231"/>
        <v/>
      </c>
    </row>
    <row r="1654" spans="3:18">
      <c r="C1654" t="str">
        <f t="shared" si="225"/>
        <v/>
      </c>
      <c r="D1654" s="36">
        <v>394</v>
      </c>
      <c r="E1654" s="97">
        <v>120</v>
      </c>
      <c r="F1654" s="366">
        <f t="shared" si="228"/>
        <v>2604</v>
      </c>
      <c r="G1654" s="97">
        <v>4440</v>
      </c>
      <c r="H1654" s="367">
        <f t="shared" si="229"/>
        <v>7044</v>
      </c>
      <c r="I1654" s="368">
        <f t="shared" si="226"/>
        <v>0</v>
      </c>
      <c r="J1654" s="97">
        <v>11383</v>
      </c>
      <c r="K1654" s="367">
        <f t="shared" si="227"/>
        <v>8130.7142857142862</v>
      </c>
      <c r="L1654" s="97">
        <v>0.23</v>
      </c>
      <c r="M1654" s="97">
        <v>4.3999999999999995</v>
      </c>
      <c r="N1654" s="97">
        <v>23</v>
      </c>
      <c r="O1654" s="97">
        <v>8</v>
      </c>
      <c r="P1654" s="97" t="s">
        <v>556</v>
      </c>
      <c r="Q1654" s="97">
        <f t="shared" si="230"/>
        <v>394</v>
      </c>
      <c r="R1654" t="str">
        <f t="shared" si="231"/>
        <v/>
      </c>
    </row>
    <row r="1655" spans="3:18">
      <c r="C1655" t="str">
        <f t="shared" si="225"/>
        <v/>
      </c>
      <c r="D1655" s="36">
        <v>395</v>
      </c>
      <c r="E1655" s="97">
        <v>120</v>
      </c>
      <c r="F1655" s="366">
        <f t="shared" si="228"/>
        <v>2604</v>
      </c>
      <c r="G1655" s="97">
        <v>5746</v>
      </c>
      <c r="H1655" s="367">
        <f t="shared" si="229"/>
        <v>8350</v>
      </c>
      <c r="I1655" s="368">
        <f t="shared" si="226"/>
        <v>0</v>
      </c>
      <c r="J1655" s="97">
        <v>14730</v>
      </c>
      <c r="K1655" s="367">
        <f t="shared" si="227"/>
        <v>10521.428571428572</v>
      </c>
      <c r="L1655" s="97">
        <v>0.49</v>
      </c>
      <c r="M1655" s="97">
        <v>4.3999999999999995</v>
      </c>
      <c r="N1655" s="97">
        <v>29</v>
      </c>
      <c r="O1655" s="97">
        <v>8</v>
      </c>
      <c r="P1655" s="97" t="s">
        <v>514</v>
      </c>
      <c r="Q1655" s="97">
        <f t="shared" si="230"/>
        <v>395</v>
      </c>
      <c r="R1655" t="str">
        <f t="shared" si="231"/>
        <v/>
      </c>
    </row>
    <row r="1656" spans="3:18">
      <c r="C1656" t="str">
        <f t="shared" si="225"/>
        <v/>
      </c>
      <c r="D1656" s="36">
        <v>396</v>
      </c>
      <c r="E1656" s="97">
        <v>120</v>
      </c>
      <c r="F1656" s="366">
        <f t="shared" si="228"/>
        <v>2604</v>
      </c>
      <c r="G1656" s="97">
        <v>6458</v>
      </c>
      <c r="H1656" s="367">
        <f t="shared" si="229"/>
        <v>9062</v>
      </c>
      <c r="I1656" s="368">
        <f t="shared" si="226"/>
        <v>0</v>
      </c>
      <c r="J1656" s="97">
        <v>16556</v>
      </c>
      <c r="K1656" s="367">
        <f t="shared" si="227"/>
        <v>11825.714285714286</v>
      </c>
      <c r="L1656" s="97">
        <v>0.72</v>
      </c>
      <c r="M1656" s="97">
        <v>4.3999999999999995</v>
      </c>
      <c r="N1656" s="97">
        <v>28</v>
      </c>
      <c r="O1656" s="97">
        <v>8</v>
      </c>
      <c r="P1656" s="97" t="s">
        <v>555</v>
      </c>
      <c r="Q1656" s="97" t="str">
        <f t="shared" si="230"/>
        <v/>
      </c>
      <c r="R1656" t="str">
        <f t="shared" si="231"/>
        <v/>
      </c>
    </row>
    <row r="1657" spans="3:18">
      <c r="C1657" t="str">
        <f t="shared" si="225"/>
        <v/>
      </c>
      <c r="D1657" s="36">
        <v>397</v>
      </c>
      <c r="E1657" s="97">
        <v>120</v>
      </c>
      <c r="F1657" s="366">
        <f t="shared" si="228"/>
        <v>2604</v>
      </c>
      <c r="G1657" s="97">
        <v>5289</v>
      </c>
      <c r="H1657" s="367">
        <f t="shared" si="229"/>
        <v>7893</v>
      </c>
      <c r="I1657" s="368">
        <f t="shared" si="226"/>
        <v>0</v>
      </c>
      <c r="J1657" s="97">
        <v>13558</v>
      </c>
      <c r="K1657" s="367">
        <f t="shared" si="227"/>
        <v>9684.2857142857138</v>
      </c>
      <c r="L1657" s="97">
        <v>0.33</v>
      </c>
      <c r="M1657" s="97">
        <v>5.3999999999999995</v>
      </c>
      <c r="N1657" s="97">
        <v>28</v>
      </c>
      <c r="O1657" s="97">
        <v>10</v>
      </c>
      <c r="P1657" s="97" t="s">
        <v>514</v>
      </c>
      <c r="Q1657" s="97" t="str">
        <f t="shared" si="230"/>
        <v/>
      </c>
      <c r="R1657" t="str">
        <f t="shared" si="231"/>
        <v/>
      </c>
    </row>
    <row r="1658" spans="3:18">
      <c r="C1658" t="str">
        <f t="shared" si="225"/>
        <v/>
      </c>
      <c r="D1658" s="36">
        <v>398</v>
      </c>
      <c r="E1658" s="97">
        <v>120</v>
      </c>
      <c r="F1658" s="366">
        <f t="shared" si="228"/>
        <v>2604</v>
      </c>
      <c r="G1658" s="97">
        <v>6158</v>
      </c>
      <c r="H1658" s="367">
        <f t="shared" si="229"/>
        <v>8762</v>
      </c>
      <c r="I1658" s="368">
        <f t="shared" si="226"/>
        <v>0</v>
      </c>
      <c r="J1658" s="97">
        <v>15786</v>
      </c>
      <c r="K1658" s="367">
        <f t="shared" si="227"/>
        <v>11275.714285714286</v>
      </c>
      <c r="L1658" s="97">
        <v>0.47000000000000003</v>
      </c>
      <c r="M1658" s="97">
        <v>5.3999999999999995</v>
      </c>
      <c r="N1658" s="97">
        <v>26</v>
      </c>
      <c r="O1658" s="97">
        <v>10</v>
      </c>
      <c r="P1658" s="97" t="s">
        <v>555</v>
      </c>
      <c r="Q1658" s="97" t="str">
        <f t="shared" si="230"/>
        <v/>
      </c>
      <c r="R1658" t="str">
        <f t="shared" si="231"/>
        <v/>
      </c>
    </row>
    <row r="1659" spans="3:18">
      <c r="C1659" t="str">
        <f t="shared" si="225"/>
        <v/>
      </c>
      <c r="D1659" s="36">
        <v>399</v>
      </c>
      <c r="E1659" s="97">
        <v>120</v>
      </c>
      <c r="F1659" s="366">
        <f t="shared" si="228"/>
        <v>2604</v>
      </c>
      <c r="G1659" s="97">
        <v>8371</v>
      </c>
      <c r="H1659" s="367">
        <f t="shared" si="229"/>
        <v>10975</v>
      </c>
      <c r="I1659" s="368">
        <f t="shared" si="226"/>
        <v>0</v>
      </c>
      <c r="J1659" s="97">
        <v>21459</v>
      </c>
      <c r="K1659" s="367">
        <f t="shared" si="227"/>
        <v>15327.857142857143</v>
      </c>
      <c r="L1659" s="97">
        <v>1.02</v>
      </c>
      <c r="M1659" s="97">
        <v>5.3999999999999995</v>
      </c>
      <c r="N1659" s="97">
        <v>31</v>
      </c>
      <c r="O1659" s="97">
        <v>10</v>
      </c>
      <c r="P1659" s="97" t="s">
        <v>513</v>
      </c>
      <c r="Q1659" s="97" t="str">
        <f t="shared" si="230"/>
        <v/>
      </c>
      <c r="R1659" t="str">
        <f t="shared" si="231"/>
        <v/>
      </c>
    </row>
    <row r="1660" spans="3:18">
      <c r="C1660" t="str">
        <f t="shared" si="225"/>
        <v>NL</v>
      </c>
      <c r="D1660" s="36">
        <v>400</v>
      </c>
      <c r="E1660" s="97">
        <v>125</v>
      </c>
      <c r="F1660" s="366">
        <f t="shared" si="228"/>
        <v>2712.5</v>
      </c>
      <c r="G1660" s="97">
        <v>3487</v>
      </c>
      <c r="H1660" s="367">
        <f t="shared" si="229"/>
        <v>6199.5</v>
      </c>
      <c r="I1660" s="368">
        <f t="shared" si="226"/>
        <v>0</v>
      </c>
      <c r="J1660" s="97">
        <v>8940</v>
      </c>
      <c r="K1660" s="367">
        <f t="shared" si="227"/>
        <v>6385.7142857142862</v>
      </c>
      <c r="L1660" s="97">
        <v>1.02</v>
      </c>
      <c r="M1660" s="97">
        <v>1.8</v>
      </c>
      <c r="N1660" s="97">
        <v>28</v>
      </c>
      <c r="O1660" s="97">
        <v>3</v>
      </c>
      <c r="P1660" s="97" t="s">
        <v>515</v>
      </c>
      <c r="Q1660" s="97" t="str">
        <f t="shared" si="230"/>
        <v/>
      </c>
      <c r="R1660" t="str">
        <f t="shared" si="231"/>
        <v/>
      </c>
    </row>
    <row r="1661" spans="3:18">
      <c r="C1661" t="str">
        <f t="shared" si="225"/>
        <v/>
      </c>
      <c r="D1661" s="36">
        <v>401</v>
      </c>
      <c r="E1661" s="97">
        <v>125</v>
      </c>
      <c r="F1661" s="366">
        <f t="shared" si="228"/>
        <v>2712.5</v>
      </c>
      <c r="G1661" s="97">
        <v>3818</v>
      </c>
      <c r="H1661" s="367">
        <f t="shared" si="229"/>
        <v>6530.5</v>
      </c>
      <c r="I1661" s="368">
        <f t="shared" si="226"/>
        <v>0</v>
      </c>
      <c r="J1661" s="97">
        <v>9788</v>
      </c>
      <c r="K1661" s="367">
        <f t="shared" si="227"/>
        <v>6991.4285714285716</v>
      </c>
      <c r="L1661" s="97">
        <v>0.57000000000000006</v>
      </c>
      <c r="M1661" s="97">
        <v>2.3000000000000003</v>
      </c>
      <c r="N1661" s="97">
        <v>26</v>
      </c>
      <c r="O1661" s="97">
        <v>4</v>
      </c>
      <c r="P1661" s="97" t="s">
        <v>515</v>
      </c>
      <c r="Q1661" s="97">
        <f t="shared" si="230"/>
        <v>401</v>
      </c>
      <c r="R1661" t="str">
        <f t="shared" si="231"/>
        <v/>
      </c>
    </row>
    <row r="1662" spans="3:18">
      <c r="C1662" t="str">
        <f t="shared" si="225"/>
        <v/>
      </c>
      <c r="D1662" s="36">
        <v>402</v>
      </c>
      <c r="E1662" s="97">
        <v>125</v>
      </c>
      <c r="F1662" s="366">
        <f t="shared" si="228"/>
        <v>2712.5</v>
      </c>
      <c r="G1662" s="97">
        <v>4181</v>
      </c>
      <c r="H1662" s="367">
        <f t="shared" si="229"/>
        <v>6893.5</v>
      </c>
      <c r="I1662" s="368">
        <f t="shared" si="226"/>
        <v>0</v>
      </c>
      <c r="J1662" s="97">
        <v>10719</v>
      </c>
      <c r="K1662" s="367">
        <f t="shared" si="227"/>
        <v>7656.4285714285716</v>
      </c>
      <c r="L1662" s="97">
        <v>0.96</v>
      </c>
      <c r="M1662" s="97">
        <v>2.3000000000000003</v>
      </c>
      <c r="N1662" s="97">
        <v>29</v>
      </c>
      <c r="O1662" s="97">
        <v>4</v>
      </c>
      <c r="P1662" s="97" t="s">
        <v>556</v>
      </c>
      <c r="Q1662" s="97" t="str">
        <f t="shared" si="230"/>
        <v/>
      </c>
      <c r="R1662" t="str">
        <f t="shared" si="231"/>
        <v/>
      </c>
    </row>
    <row r="1663" spans="3:18">
      <c r="C1663" t="str">
        <f t="shared" si="225"/>
        <v>NL</v>
      </c>
      <c r="D1663" s="36">
        <v>403</v>
      </c>
      <c r="E1663" s="97">
        <v>125</v>
      </c>
      <c r="F1663" s="366">
        <f t="shared" si="228"/>
        <v>2712.5</v>
      </c>
      <c r="G1663" s="97">
        <v>3949</v>
      </c>
      <c r="H1663" s="367">
        <f t="shared" si="229"/>
        <v>6661.5</v>
      </c>
      <c r="I1663" s="368">
        <f t="shared" si="226"/>
        <v>0</v>
      </c>
      <c r="J1663" s="97">
        <v>10124</v>
      </c>
      <c r="K1663" s="367">
        <f t="shared" si="227"/>
        <v>7231.4285714285716</v>
      </c>
      <c r="L1663" s="97">
        <v>0.38</v>
      </c>
      <c r="M1663" s="97">
        <v>2.8000000000000003</v>
      </c>
      <c r="N1663" s="97">
        <v>25</v>
      </c>
      <c r="O1663" s="97">
        <v>5</v>
      </c>
      <c r="P1663" s="97" t="s">
        <v>515</v>
      </c>
      <c r="Q1663" s="97" t="str">
        <f t="shared" si="230"/>
        <v/>
      </c>
      <c r="R1663" t="str">
        <f t="shared" si="231"/>
        <v/>
      </c>
    </row>
    <row r="1664" spans="3:18">
      <c r="C1664" t="str">
        <f t="shared" si="225"/>
        <v>NL</v>
      </c>
      <c r="D1664" s="36">
        <v>404</v>
      </c>
      <c r="E1664" s="97">
        <v>125</v>
      </c>
      <c r="F1664" s="366">
        <f t="shared" si="228"/>
        <v>2712.5</v>
      </c>
      <c r="G1664" s="97">
        <v>4560</v>
      </c>
      <c r="H1664" s="367">
        <f t="shared" si="229"/>
        <v>7272.5</v>
      </c>
      <c r="I1664" s="368">
        <f t="shared" si="226"/>
        <v>0</v>
      </c>
      <c r="J1664" s="97">
        <v>11689</v>
      </c>
      <c r="K1664" s="367">
        <f t="shared" si="227"/>
        <v>8349.2857142857138</v>
      </c>
      <c r="L1664" s="97">
        <v>0.63</v>
      </c>
      <c r="M1664" s="97">
        <v>2.8000000000000003</v>
      </c>
      <c r="N1664" s="97">
        <v>27</v>
      </c>
      <c r="O1664" s="97">
        <v>5</v>
      </c>
      <c r="P1664" s="97" t="s">
        <v>556</v>
      </c>
      <c r="Q1664" s="97" t="str">
        <f t="shared" si="230"/>
        <v/>
      </c>
      <c r="R1664" t="str">
        <f t="shared" si="231"/>
        <v/>
      </c>
    </row>
    <row r="1665" spans="3:18">
      <c r="C1665" t="str">
        <f t="shared" si="225"/>
        <v/>
      </c>
      <c r="D1665" s="36">
        <v>405</v>
      </c>
      <c r="E1665" s="97">
        <v>125</v>
      </c>
      <c r="F1665" s="366">
        <f t="shared" si="228"/>
        <v>2712.5</v>
      </c>
      <c r="G1665" s="97">
        <v>4009</v>
      </c>
      <c r="H1665" s="367">
        <f t="shared" si="229"/>
        <v>6721.5</v>
      </c>
      <c r="I1665" s="368">
        <f t="shared" si="226"/>
        <v>0</v>
      </c>
      <c r="J1665" s="97">
        <v>10278</v>
      </c>
      <c r="K1665" s="367">
        <f t="shared" si="227"/>
        <v>7341.4285714285716</v>
      </c>
      <c r="L1665" s="97">
        <v>0.26</v>
      </c>
      <c r="M1665" s="97">
        <v>3.4</v>
      </c>
      <c r="N1665" s="97">
        <v>23</v>
      </c>
      <c r="O1665" s="97">
        <v>6</v>
      </c>
      <c r="P1665" s="97" t="s">
        <v>515</v>
      </c>
      <c r="Q1665" s="97">
        <f t="shared" si="230"/>
        <v>405</v>
      </c>
      <c r="R1665" t="str">
        <f t="shared" si="231"/>
        <v/>
      </c>
    </row>
    <row r="1666" spans="3:18">
      <c r="C1666" t="str">
        <f t="shared" si="225"/>
        <v/>
      </c>
      <c r="D1666" s="36">
        <v>406</v>
      </c>
      <c r="E1666" s="97">
        <v>125</v>
      </c>
      <c r="F1666" s="366">
        <f t="shared" si="228"/>
        <v>2712.5</v>
      </c>
      <c r="G1666" s="97">
        <v>4786</v>
      </c>
      <c r="H1666" s="367">
        <f t="shared" si="229"/>
        <v>7498.5</v>
      </c>
      <c r="I1666" s="368">
        <f t="shared" si="226"/>
        <v>0</v>
      </c>
      <c r="J1666" s="97">
        <v>12269</v>
      </c>
      <c r="K1666" s="367">
        <f t="shared" si="227"/>
        <v>8763.5714285714294</v>
      </c>
      <c r="L1666" s="97">
        <v>0.44</v>
      </c>
      <c r="M1666" s="97">
        <v>3.4</v>
      </c>
      <c r="N1666" s="97">
        <v>26</v>
      </c>
      <c r="O1666" s="97">
        <v>6</v>
      </c>
      <c r="P1666" s="97" t="s">
        <v>556</v>
      </c>
      <c r="Q1666" s="97">
        <f t="shared" si="230"/>
        <v>406</v>
      </c>
      <c r="R1666" t="str">
        <f t="shared" si="231"/>
        <v/>
      </c>
    </row>
    <row r="1667" spans="3:18">
      <c r="C1667" t="str">
        <f t="shared" si="225"/>
        <v/>
      </c>
      <c r="D1667" s="36">
        <v>407</v>
      </c>
      <c r="E1667" s="97">
        <v>125</v>
      </c>
      <c r="F1667" s="366">
        <f t="shared" si="228"/>
        <v>2712.5</v>
      </c>
      <c r="G1667" s="97">
        <v>5562</v>
      </c>
      <c r="H1667" s="367">
        <f t="shared" si="229"/>
        <v>8274.5</v>
      </c>
      <c r="I1667" s="368">
        <f t="shared" si="226"/>
        <v>0</v>
      </c>
      <c r="J1667" s="97">
        <v>14258</v>
      </c>
      <c r="K1667" s="367">
        <f t="shared" si="227"/>
        <v>10184.285714285714</v>
      </c>
      <c r="L1667" s="97">
        <v>0.91</v>
      </c>
      <c r="M1667" s="97">
        <v>3.4</v>
      </c>
      <c r="N1667" s="97">
        <v>31</v>
      </c>
      <c r="O1667" s="97">
        <v>6</v>
      </c>
      <c r="P1667" s="97" t="s">
        <v>514</v>
      </c>
      <c r="Q1667" s="97" t="str">
        <f t="shared" si="230"/>
        <v/>
      </c>
      <c r="R1667" t="str">
        <f t="shared" si="231"/>
        <v/>
      </c>
    </row>
    <row r="1668" spans="3:18">
      <c r="C1668" t="str">
        <f t="shared" si="225"/>
        <v>NL</v>
      </c>
      <c r="D1668" s="36">
        <v>408</v>
      </c>
      <c r="E1668" s="97">
        <v>125</v>
      </c>
      <c r="F1668" s="366">
        <f t="shared" si="228"/>
        <v>2712.5</v>
      </c>
      <c r="G1668" s="97">
        <v>3738</v>
      </c>
      <c r="H1668" s="367">
        <f t="shared" si="229"/>
        <v>6450.5</v>
      </c>
      <c r="I1668" s="368">
        <f t="shared" si="226"/>
        <v>0</v>
      </c>
      <c r="J1668" s="97">
        <v>9583</v>
      </c>
      <c r="K1668" s="367">
        <f t="shared" si="227"/>
        <v>6845</v>
      </c>
      <c r="L1668" s="97">
        <v>0.2</v>
      </c>
      <c r="M1668" s="97">
        <v>3.9</v>
      </c>
      <c r="N1668" s="97">
        <v>22</v>
      </c>
      <c r="O1668" s="97">
        <v>7</v>
      </c>
      <c r="P1668" s="97" t="s">
        <v>515</v>
      </c>
      <c r="Q1668" s="97" t="str">
        <f t="shared" si="230"/>
        <v/>
      </c>
      <c r="R1668" t="str">
        <f t="shared" si="231"/>
        <v/>
      </c>
    </row>
    <row r="1669" spans="3:18">
      <c r="C1669" t="str">
        <f t="shared" si="225"/>
        <v>NL</v>
      </c>
      <c r="D1669" s="36">
        <v>409</v>
      </c>
      <c r="E1669" s="97">
        <v>125</v>
      </c>
      <c r="F1669" s="366">
        <f t="shared" si="228"/>
        <v>2712.5</v>
      </c>
      <c r="G1669" s="97">
        <v>5026</v>
      </c>
      <c r="H1669" s="367">
        <f t="shared" si="229"/>
        <v>7738.5</v>
      </c>
      <c r="I1669" s="368">
        <f t="shared" si="226"/>
        <v>0</v>
      </c>
      <c r="J1669" s="97">
        <v>12883</v>
      </c>
      <c r="K1669" s="367">
        <f t="shared" si="227"/>
        <v>9202.1428571428569</v>
      </c>
      <c r="L1669" s="97">
        <v>0.33</v>
      </c>
      <c r="M1669" s="97">
        <v>3.9</v>
      </c>
      <c r="N1669" s="97">
        <v>25</v>
      </c>
      <c r="O1669" s="97">
        <v>7</v>
      </c>
      <c r="P1669" s="97" t="s">
        <v>556</v>
      </c>
      <c r="Q1669" s="97" t="str">
        <f t="shared" si="230"/>
        <v/>
      </c>
      <c r="R1669" t="str">
        <f t="shared" si="231"/>
        <v/>
      </c>
    </row>
    <row r="1670" spans="3:18">
      <c r="C1670" t="str">
        <f t="shared" si="225"/>
        <v>NL</v>
      </c>
      <c r="D1670" s="36">
        <v>410</v>
      </c>
      <c r="E1670" s="97">
        <v>125</v>
      </c>
      <c r="F1670" s="366">
        <f t="shared" si="228"/>
        <v>2712.5</v>
      </c>
      <c r="G1670" s="97">
        <v>5771</v>
      </c>
      <c r="H1670" s="367">
        <f t="shared" si="229"/>
        <v>8483.5</v>
      </c>
      <c r="I1670" s="368">
        <f t="shared" si="226"/>
        <v>0</v>
      </c>
      <c r="J1670" s="97">
        <v>14794</v>
      </c>
      <c r="K1670" s="367">
        <f t="shared" si="227"/>
        <v>10567.142857142857</v>
      </c>
      <c r="L1670" s="97">
        <v>0.67</v>
      </c>
      <c r="M1670" s="97">
        <v>3.9</v>
      </c>
      <c r="N1670" s="97">
        <v>30</v>
      </c>
      <c r="O1670" s="97">
        <v>7</v>
      </c>
      <c r="P1670" s="97" t="s">
        <v>514</v>
      </c>
      <c r="Q1670" s="97" t="str">
        <f t="shared" si="230"/>
        <v/>
      </c>
      <c r="R1670" t="str">
        <f t="shared" si="231"/>
        <v/>
      </c>
    </row>
    <row r="1671" spans="3:18">
      <c r="C1671" t="str">
        <f t="shared" si="225"/>
        <v>NL</v>
      </c>
      <c r="D1671" s="36">
        <v>411</v>
      </c>
      <c r="E1671" s="97">
        <v>125</v>
      </c>
      <c r="F1671" s="366">
        <f t="shared" si="228"/>
        <v>2712.5</v>
      </c>
      <c r="G1671" s="97">
        <v>6365</v>
      </c>
      <c r="H1671" s="367">
        <f t="shared" si="229"/>
        <v>9077.5</v>
      </c>
      <c r="I1671" s="368">
        <f t="shared" si="226"/>
        <v>0</v>
      </c>
      <c r="J1671" s="97">
        <v>16317</v>
      </c>
      <c r="K1671" s="367">
        <f t="shared" si="227"/>
        <v>11655</v>
      </c>
      <c r="L1671" s="97">
        <v>1</v>
      </c>
      <c r="M1671" s="97">
        <v>3.9</v>
      </c>
      <c r="N1671" s="97">
        <v>29</v>
      </c>
      <c r="O1671" s="97">
        <v>7</v>
      </c>
      <c r="P1671" s="97" t="s">
        <v>555</v>
      </c>
      <c r="Q1671" s="97" t="str">
        <f t="shared" si="230"/>
        <v/>
      </c>
      <c r="R1671" t="str">
        <f t="shared" si="231"/>
        <v/>
      </c>
    </row>
    <row r="1672" spans="3:18">
      <c r="C1672" t="str">
        <f t="shared" si="225"/>
        <v/>
      </c>
      <c r="D1672" s="36">
        <v>412</v>
      </c>
      <c r="E1672" s="97">
        <v>125</v>
      </c>
      <c r="F1672" s="366">
        <f t="shared" si="228"/>
        <v>2712.5</v>
      </c>
      <c r="G1672" s="97">
        <v>4664</v>
      </c>
      <c r="H1672" s="367">
        <f t="shared" si="229"/>
        <v>7376.5</v>
      </c>
      <c r="I1672" s="368">
        <f t="shared" si="226"/>
        <v>0</v>
      </c>
      <c r="J1672" s="97">
        <v>11956</v>
      </c>
      <c r="K1672" s="367">
        <f t="shared" si="227"/>
        <v>8540</v>
      </c>
      <c r="L1672" s="97">
        <v>0.25</v>
      </c>
      <c r="M1672" s="97">
        <v>4.3999999999999995</v>
      </c>
      <c r="N1672" s="97">
        <v>24</v>
      </c>
      <c r="O1672" s="97">
        <v>8</v>
      </c>
      <c r="P1672" s="97" t="s">
        <v>556</v>
      </c>
      <c r="Q1672" s="97">
        <f t="shared" si="230"/>
        <v>412</v>
      </c>
      <c r="R1672" t="str">
        <f t="shared" si="231"/>
        <v/>
      </c>
    </row>
    <row r="1673" spans="3:18">
      <c r="C1673" t="str">
        <f t="shared" si="225"/>
        <v/>
      </c>
      <c r="D1673" s="36">
        <v>413</v>
      </c>
      <c r="E1673" s="97">
        <v>125</v>
      </c>
      <c r="F1673" s="366">
        <f t="shared" si="228"/>
        <v>2712.5</v>
      </c>
      <c r="G1673" s="97">
        <v>5916</v>
      </c>
      <c r="H1673" s="367">
        <f t="shared" si="229"/>
        <v>8628.5</v>
      </c>
      <c r="I1673" s="368">
        <f t="shared" si="226"/>
        <v>0</v>
      </c>
      <c r="J1673" s="97">
        <v>15166</v>
      </c>
      <c r="K1673" s="367">
        <f t="shared" si="227"/>
        <v>10832.857142857143</v>
      </c>
      <c r="L1673" s="97">
        <v>0.53</v>
      </c>
      <c r="M1673" s="97">
        <v>4.3999999999999995</v>
      </c>
      <c r="N1673" s="97">
        <v>29</v>
      </c>
      <c r="O1673" s="97">
        <v>8</v>
      </c>
      <c r="P1673" s="97" t="s">
        <v>514</v>
      </c>
      <c r="Q1673" s="97">
        <f t="shared" si="230"/>
        <v>413</v>
      </c>
      <c r="R1673" t="str">
        <f t="shared" si="231"/>
        <v/>
      </c>
    </row>
    <row r="1674" spans="3:18">
      <c r="C1674" t="str">
        <f t="shared" si="225"/>
        <v/>
      </c>
      <c r="D1674" s="36">
        <v>414</v>
      </c>
      <c r="E1674" s="97">
        <v>125</v>
      </c>
      <c r="F1674" s="366">
        <f t="shared" si="228"/>
        <v>2712.5</v>
      </c>
      <c r="G1674" s="97">
        <v>6651</v>
      </c>
      <c r="H1674" s="367">
        <f t="shared" si="229"/>
        <v>9363.5</v>
      </c>
      <c r="I1674" s="368">
        <f t="shared" si="226"/>
        <v>0</v>
      </c>
      <c r="J1674" s="97">
        <v>17050</v>
      </c>
      <c r="K1674" s="367">
        <f t="shared" si="227"/>
        <v>12178.571428571429</v>
      </c>
      <c r="L1674" s="97">
        <v>0.79</v>
      </c>
      <c r="M1674" s="97">
        <v>4.3999999999999995</v>
      </c>
      <c r="N1674" s="97">
        <v>28</v>
      </c>
      <c r="O1674" s="97">
        <v>8</v>
      </c>
      <c r="P1674" s="97" t="s">
        <v>555</v>
      </c>
      <c r="Q1674" s="97" t="str">
        <f t="shared" si="230"/>
        <v/>
      </c>
      <c r="R1674" t="str">
        <f t="shared" si="231"/>
        <v/>
      </c>
    </row>
    <row r="1675" spans="3:18">
      <c r="C1675" t="str">
        <f t="shared" si="225"/>
        <v/>
      </c>
      <c r="D1675" s="36">
        <v>415</v>
      </c>
      <c r="E1675" s="97">
        <v>125</v>
      </c>
      <c r="F1675" s="366">
        <f t="shared" si="228"/>
        <v>2712.5</v>
      </c>
      <c r="G1675" s="97">
        <v>5556</v>
      </c>
      <c r="H1675" s="367">
        <f t="shared" si="229"/>
        <v>8268.5</v>
      </c>
      <c r="I1675" s="368">
        <f t="shared" si="226"/>
        <v>0</v>
      </c>
      <c r="J1675" s="97">
        <v>14243</v>
      </c>
      <c r="K1675" s="367">
        <f t="shared" si="227"/>
        <v>10173.571428571429</v>
      </c>
      <c r="L1675" s="97">
        <v>0.36</v>
      </c>
      <c r="M1675" s="97">
        <v>5.3999999999999995</v>
      </c>
      <c r="N1675" s="97">
        <v>28</v>
      </c>
      <c r="O1675" s="97">
        <v>10</v>
      </c>
      <c r="P1675" s="97" t="s">
        <v>514</v>
      </c>
      <c r="Q1675" s="97" t="str">
        <f t="shared" si="230"/>
        <v/>
      </c>
      <c r="R1675" t="str">
        <f t="shared" si="231"/>
        <v/>
      </c>
    </row>
    <row r="1676" spans="3:18">
      <c r="C1676" t="str">
        <f t="shared" si="225"/>
        <v/>
      </c>
      <c r="D1676" s="36">
        <v>416</v>
      </c>
      <c r="E1676" s="97">
        <v>125</v>
      </c>
      <c r="F1676" s="366">
        <f t="shared" si="228"/>
        <v>2712.5</v>
      </c>
      <c r="G1676" s="97">
        <v>6480</v>
      </c>
      <c r="H1676" s="367">
        <f t="shared" si="229"/>
        <v>9192.5</v>
      </c>
      <c r="I1676" s="368">
        <f t="shared" si="226"/>
        <v>0</v>
      </c>
      <c r="J1676" s="97">
        <v>16611</v>
      </c>
      <c r="K1676" s="367">
        <f t="shared" si="227"/>
        <v>11865</v>
      </c>
      <c r="L1676" s="97">
        <v>0.51</v>
      </c>
      <c r="M1676" s="97">
        <v>5.3999999999999995</v>
      </c>
      <c r="N1676" s="97">
        <v>27</v>
      </c>
      <c r="O1676" s="97">
        <v>10</v>
      </c>
      <c r="P1676" s="97" t="s">
        <v>555</v>
      </c>
      <c r="Q1676" s="97" t="str">
        <f t="shared" si="230"/>
        <v/>
      </c>
      <c r="R1676" t="str">
        <f t="shared" si="231"/>
        <v/>
      </c>
    </row>
    <row r="1677" spans="3:18">
      <c r="C1677" t="str">
        <f t="shared" si="225"/>
        <v/>
      </c>
      <c r="D1677" s="36">
        <v>417</v>
      </c>
      <c r="E1677" s="97">
        <v>130</v>
      </c>
      <c r="F1677" s="366">
        <f t="shared" si="228"/>
        <v>2821</v>
      </c>
      <c r="G1677" s="97">
        <v>3933</v>
      </c>
      <c r="H1677" s="367">
        <f t="shared" si="229"/>
        <v>6754</v>
      </c>
      <c r="I1677" s="368">
        <f t="shared" si="226"/>
        <v>0</v>
      </c>
      <c r="J1677" s="97">
        <v>10084</v>
      </c>
      <c r="K1677" s="367">
        <f t="shared" si="227"/>
        <v>7202.8571428571431</v>
      </c>
      <c r="L1677" s="97">
        <v>0.62</v>
      </c>
      <c r="M1677" s="97">
        <v>2.3000000000000003</v>
      </c>
      <c r="N1677" s="97">
        <v>27</v>
      </c>
      <c r="O1677" s="97">
        <v>4</v>
      </c>
      <c r="P1677" s="97" t="s">
        <v>515</v>
      </c>
      <c r="Q1677" s="97">
        <f t="shared" si="230"/>
        <v>417</v>
      </c>
      <c r="R1677" t="str">
        <f t="shared" si="231"/>
        <v/>
      </c>
    </row>
    <row r="1678" spans="3:18">
      <c r="C1678" t="str">
        <f t="shared" si="225"/>
        <v/>
      </c>
      <c r="D1678" s="36">
        <v>418</v>
      </c>
      <c r="E1678" s="97">
        <v>130</v>
      </c>
      <c r="F1678" s="366">
        <f t="shared" si="228"/>
        <v>2821</v>
      </c>
      <c r="G1678" s="97">
        <v>4280</v>
      </c>
      <c r="H1678" s="367">
        <f t="shared" si="229"/>
        <v>7101</v>
      </c>
      <c r="I1678" s="368">
        <f t="shared" si="226"/>
        <v>0</v>
      </c>
      <c r="J1678" s="97">
        <v>10973</v>
      </c>
      <c r="K1678" s="367">
        <f t="shared" si="227"/>
        <v>7837.8571428571431</v>
      </c>
      <c r="L1678" s="97">
        <v>1.04</v>
      </c>
      <c r="M1678" s="97">
        <v>2.3000000000000003</v>
      </c>
      <c r="N1678" s="97">
        <v>29</v>
      </c>
      <c r="O1678" s="97">
        <v>4</v>
      </c>
      <c r="P1678" s="97" t="s">
        <v>556</v>
      </c>
      <c r="Q1678" s="97" t="str">
        <f t="shared" si="230"/>
        <v/>
      </c>
      <c r="R1678" t="str">
        <f t="shared" si="231"/>
        <v/>
      </c>
    </row>
    <row r="1679" spans="3:18">
      <c r="C1679" t="str">
        <f t="shared" ref="C1679:C1742" si="232">IF(OR($O$4=0,O1679-$O$4=0),IF(AND(ISEVEN(O1679)=FALSE,$N$4="Even"),"NL",""),"NL")</f>
        <v>NL</v>
      </c>
      <c r="D1679" s="36">
        <v>419</v>
      </c>
      <c r="E1679" s="97">
        <v>130</v>
      </c>
      <c r="F1679" s="366">
        <f t="shared" si="228"/>
        <v>2821</v>
      </c>
      <c r="G1679" s="97">
        <v>4075</v>
      </c>
      <c r="H1679" s="367">
        <f t="shared" si="229"/>
        <v>6896</v>
      </c>
      <c r="I1679" s="368">
        <f t="shared" ref="I1679:I1742" si="233">1.085*($C$2-$D$2)*E1679*$T$7</f>
        <v>0</v>
      </c>
      <c r="J1679" s="97">
        <v>10447</v>
      </c>
      <c r="K1679" s="367">
        <f t="shared" ref="K1679:K1742" si="234">(J1679*$V$7)-I1679</f>
        <v>7462.1428571428569</v>
      </c>
      <c r="L1679" s="97">
        <v>0.41000000000000003</v>
      </c>
      <c r="M1679" s="97">
        <v>2.8000000000000003</v>
      </c>
      <c r="N1679" s="97">
        <v>26</v>
      </c>
      <c r="O1679" s="97">
        <v>5</v>
      </c>
      <c r="P1679" s="97" t="s">
        <v>515</v>
      </c>
      <c r="Q1679" s="97" t="str">
        <f t="shared" si="230"/>
        <v/>
      </c>
      <c r="R1679" t="str">
        <f t="shared" si="231"/>
        <v/>
      </c>
    </row>
    <row r="1680" spans="3:18">
      <c r="C1680" t="str">
        <f t="shared" si="232"/>
        <v>NL</v>
      </c>
      <c r="D1680" s="36">
        <v>420</v>
      </c>
      <c r="E1680" s="97">
        <v>130</v>
      </c>
      <c r="F1680" s="366">
        <f t="shared" si="228"/>
        <v>2821</v>
      </c>
      <c r="G1680" s="97">
        <v>4687</v>
      </c>
      <c r="H1680" s="367">
        <f t="shared" si="229"/>
        <v>7508</v>
      </c>
      <c r="I1680" s="368">
        <f t="shared" si="233"/>
        <v>0</v>
      </c>
      <c r="J1680" s="97">
        <v>12014</v>
      </c>
      <c r="K1680" s="367">
        <f t="shared" si="234"/>
        <v>8581.4285714285725</v>
      </c>
      <c r="L1680" s="97">
        <v>0.68</v>
      </c>
      <c r="M1680" s="97">
        <v>2.8000000000000003</v>
      </c>
      <c r="N1680" s="97">
        <v>28</v>
      </c>
      <c r="O1680" s="97">
        <v>5</v>
      </c>
      <c r="P1680" s="97" t="s">
        <v>556</v>
      </c>
      <c r="Q1680" s="97" t="str">
        <f t="shared" si="230"/>
        <v/>
      </c>
      <c r="R1680" t="str">
        <f t="shared" si="231"/>
        <v/>
      </c>
    </row>
    <row r="1681" spans="3:18">
      <c r="C1681" t="str">
        <f t="shared" si="232"/>
        <v/>
      </c>
      <c r="D1681" s="36">
        <v>421</v>
      </c>
      <c r="E1681" s="97">
        <v>130</v>
      </c>
      <c r="F1681" s="366">
        <f t="shared" si="228"/>
        <v>2821</v>
      </c>
      <c r="G1681" s="97">
        <v>4217</v>
      </c>
      <c r="H1681" s="367">
        <f t="shared" si="229"/>
        <v>7038</v>
      </c>
      <c r="I1681" s="368">
        <f t="shared" si="233"/>
        <v>0</v>
      </c>
      <c r="J1681" s="97">
        <v>10810</v>
      </c>
      <c r="K1681" s="367">
        <f t="shared" si="234"/>
        <v>7721.4285714285716</v>
      </c>
      <c r="L1681" s="97">
        <v>0.29000000000000004</v>
      </c>
      <c r="M1681" s="97">
        <v>3.4</v>
      </c>
      <c r="N1681" s="97">
        <v>24</v>
      </c>
      <c r="O1681" s="97">
        <v>6</v>
      </c>
      <c r="P1681" s="97" t="s">
        <v>515</v>
      </c>
      <c r="Q1681" s="97">
        <f t="shared" si="230"/>
        <v>421</v>
      </c>
      <c r="R1681" t="str">
        <f t="shared" si="231"/>
        <v/>
      </c>
    </row>
    <row r="1682" spans="3:18">
      <c r="C1682" t="str">
        <f t="shared" si="232"/>
        <v/>
      </c>
      <c r="D1682" s="36">
        <v>422</v>
      </c>
      <c r="E1682" s="97">
        <v>130</v>
      </c>
      <c r="F1682" s="366">
        <f t="shared" si="228"/>
        <v>2821</v>
      </c>
      <c r="G1682" s="97">
        <v>4903</v>
      </c>
      <c r="H1682" s="367">
        <f t="shared" si="229"/>
        <v>7724</v>
      </c>
      <c r="I1682" s="368">
        <f t="shared" si="233"/>
        <v>0</v>
      </c>
      <c r="J1682" s="97">
        <v>12569</v>
      </c>
      <c r="K1682" s="367">
        <f t="shared" si="234"/>
        <v>8977.8571428571431</v>
      </c>
      <c r="L1682" s="97">
        <v>0.48</v>
      </c>
      <c r="M1682" s="97">
        <v>3.4</v>
      </c>
      <c r="N1682" s="97">
        <v>26</v>
      </c>
      <c r="O1682" s="97">
        <v>6</v>
      </c>
      <c r="P1682" s="97" t="s">
        <v>556</v>
      </c>
      <c r="Q1682" s="97">
        <f t="shared" si="230"/>
        <v>422</v>
      </c>
      <c r="R1682" t="str">
        <f t="shared" si="231"/>
        <v/>
      </c>
    </row>
    <row r="1683" spans="3:18">
      <c r="C1683" t="str">
        <f t="shared" si="232"/>
        <v/>
      </c>
      <c r="D1683" s="36">
        <v>423</v>
      </c>
      <c r="E1683" s="97">
        <v>130</v>
      </c>
      <c r="F1683" s="366">
        <f t="shared" si="228"/>
        <v>2821</v>
      </c>
      <c r="G1683" s="97">
        <v>5710</v>
      </c>
      <c r="H1683" s="367">
        <f t="shared" si="229"/>
        <v>8531</v>
      </c>
      <c r="I1683" s="368">
        <f t="shared" si="233"/>
        <v>0</v>
      </c>
      <c r="J1683" s="97">
        <v>14637</v>
      </c>
      <c r="K1683" s="367">
        <f t="shared" si="234"/>
        <v>10455</v>
      </c>
      <c r="L1683" s="97">
        <v>0.98</v>
      </c>
      <c r="M1683" s="97">
        <v>3.4</v>
      </c>
      <c r="N1683" s="97">
        <v>32</v>
      </c>
      <c r="O1683" s="97">
        <v>6</v>
      </c>
      <c r="P1683" s="97" t="s">
        <v>514</v>
      </c>
      <c r="Q1683" s="97" t="str">
        <f t="shared" si="230"/>
        <v/>
      </c>
      <c r="R1683" t="str">
        <f t="shared" si="231"/>
        <v/>
      </c>
    </row>
    <row r="1684" spans="3:18">
      <c r="C1684" t="str">
        <f t="shared" si="232"/>
        <v>NL</v>
      </c>
      <c r="D1684" s="36">
        <v>424</v>
      </c>
      <c r="E1684" s="97">
        <v>130</v>
      </c>
      <c r="F1684" s="366">
        <f t="shared" si="228"/>
        <v>2821</v>
      </c>
      <c r="G1684" s="97">
        <v>3927</v>
      </c>
      <c r="H1684" s="367">
        <f t="shared" si="229"/>
        <v>6748</v>
      </c>
      <c r="I1684" s="368">
        <f t="shared" si="233"/>
        <v>0</v>
      </c>
      <c r="J1684" s="97">
        <v>10068</v>
      </c>
      <c r="K1684" s="367">
        <f t="shared" si="234"/>
        <v>7191.4285714285716</v>
      </c>
      <c r="L1684" s="97">
        <v>0.21000000000000002</v>
      </c>
      <c r="M1684" s="97">
        <v>3.9</v>
      </c>
      <c r="N1684" s="97">
        <v>23</v>
      </c>
      <c r="O1684" s="97">
        <v>7</v>
      </c>
      <c r="P1684" s="97" t="s">
        <v>515</v>
      </c>
      <c r="Q1684" s="97" t="str">
        <f t="shared" si="230"/>
        <v/>
      </c>
      <c r="R1684" t="str">
        <f t="shared" si="231"/>
        <v/>
      </c>
    </row>
    <row r="1685" spans="3:18">
      <c r="C1685" t="str">
        <f t="shared" si="232"/>
        <v>NL</v>
      </c>
      <c r="D1685" s="36">
        <v>425</v>
      </c>
      <c r="E1685" s="97">
        <v>130</v>
      </c>
      <c r="F1685" s="366">
        <f t="shared" si="228"/>
        <v>2821</v>
      </c>
      <c r="G1685" s="97">
        <v>5208</v>
      </c>
      <c r="H1685" s="367">
        <f t="shared" si="229"/>
        <v>8029</v>
      </c>
      <c r="I1685" s="368">
        <f t="shared" si="233"/>
        <v>0</v>
      </c>
      <c r="J1685" s="97">
        <v>13351</v>
      </c>
      <c r="K1685" s="367">
        <f t="shared" si="234"/>
        <v>9536.4285714285725</v>
      </c>
      <c r="L1685" s="97">
        <v>0.35000000000000003</v>
      </c>
      <c r="M1685" s="97">
        <v>3.9</v>
      </c>
      <c r="N1685" s="97">
        <v>25</v>
      </c>
      <c r="O1685" s="97">
        <v>7</v>
      </c>
      <c r="P1685" s="97" t="s">
        <v>556</v>
      </c>
      <c r="Q1685" s="97" t="str">
        <f t="shared" si="230"/>
        <v/>
      </c>
      <c r="R1685" t="str">
        <f t="shared" si="231"/>
        <v/>
      </c>
    </row>
    <row r="1686" spans="3:18">
      <c r="C1686" t="str">
        <f t="shared" si="232"/>
        <v>NL</v>
      </c>
      <c r="D1686" s="36">
        <v>426</v>
      </c>
      <c r="E1686" s="97">
        <v>130</v>
      </c>
      <c r="F1686" s="366">
        <f t="shared" si="228"/>
        <v>2821</v>
      </c>
      <c r="G1686" s="97">
        <v>5925</v>
      </c>
      <c r="H1686" s="367">
        <f t="shared" si="229"/>
        <v>8746</v>
      </c>
      <c r="I1686" s="368">
        <f t="shared" si="233"/>
        <v>0</v>
      </c>
      <c r="J1686" s="97">
        <v>15188</v>
      </c>
      <c r="K1686" s="367">
        <f t="shared" si="234"/>
        <v>10848.571428571429</v>
      </c>
      <c r="L1686" s="97">
        <v>0.73</v>
      </c>
      <c r="M1686" s="97">
        <v>3.9</v>
      </c>
      <c r="N1686" s="97">
        <v>30</v>
      </c>
      <c r="O1686" s="97">
        <v>7</v>
      </c>
      <c r="P1686" s="97" t="s">
        <v>514</v>
      </c>
      <c r="Q1686" s="97" t="str">
        <f t="shared" si="230"/>
        <v/>
      </c>
      <c r="R1686" t="str">
        <f t="shared" si="231"/>
        <v/>
      </c>
    </row>
    <row r="1687" spans="3:18">
      <c r="C1687" t="str">
        <f t="shared" si="232"/>
        <v/>
      </c>
      <c r="D1687" s="36">
        <v>427</v>
      </c>
      <c r="E1687" s="97">
        <v>130</v>
      </c>
      <c r="F1687" s="366">
        <f t="shared" si="228"/>
        <v>2821</v>
      </c>
      <c r="G1687" s="97">
        <v>4900</v>
      </c>
      <c r="H1687" s="367">
        <f t="shared" si="229"/>
        <v>7721</v>
      </c>
      <c r="I1687" s="368">
        <f t="shared" si="233"/>
        <v>0</v>
      </c>
      <c r="J1687" s="97">
        <v>12560</v>
      </c>
      <c r="K1687" s="367">
        <f t="shared" si="234"/>
        <v>8971.4285714285725</v>
      </c>
      <c r="L1687" s="97">
        <v>0.27</v>
      </c>
      <c r="M1687" s="97">
        <v>4.3999999999999995</v>
      </c>
      <c r="N1687" s="97">
        <v>24</v>
      </c>
      <c r="O1687" s="97">
        <v>8</v>
      </c>
      <c r="P1687" s="97" t="s">
        <v>556</v>
      </c>
      <c r="Q1687" s="97">
        <f t="shared" si="230"/>
        <v>427</v>
      </c>
      <c r="R1687" t="str">
        <f t="shared" si="231"/>
        <v/>
      </c>
    </row>
    <row r="1688" spans="3:18">
      <c r="C1688" t="str">
        <f t="shared" si="232"/>
        <v/>
      </c>
      <c r="D1688" s="36">
        <v>428</v>
      </c>
      <c r="E1688" s="97">
        <v>130</v>
      </c>
      <c r="F1688" s="366">
        <f t="shared" si="228"/>
        <v>2821</v>
      </c>
      <c r="G1688" s="97">
        <v>6086</v>
      </c>
      <c r="H1688" s="367">
        <f t="shared" si="229"/>
        <v>8907</v>
      </c>
      <c r="I1688" s="368">
        <f t="shared" si="233"/>
        <v>0</v>
      </c>
      <c r="J1688" s="97">
        <v>15602</v>
      </c>
      <c r="K1688" s="367">
        <f t="shared" si="234"/>
        <v>11144.285714285714</v>
      </c>
      <c r="L1688" s="97">
        <v>0.57999999999999996</v>
      </c>
      <c r="M1688" s="97">
        <v>4.3999999999999995</v>
      </c>
      <c r="N1688" s="97">
        <v>30</v>
      </c>
      <c r="O1688" s="97">
        <v>8</v>
      </c>
      <c r="P1688" s="97" t="s">
        <v>514</v>
      </c>
      <c r="Q1688" s="97">
        <f t="shared" si="230"/>
        <v>428</v>
      </c>
      <c r="R1688" t="str">
        <f t="shared" si="231"/>
        <v/>
      </c>
    </row>
    <row r="1689" spans="3:18">
      <c r="C1689" t="str">
        <f t="shared" si="232"/>
        <v/>
      </c>
      <c r="D1689" s="36">
        <v>429</v>
      </c>
      <c r="E1689" s="97">
        <v>130</v>
      </c>
      <c r="F1689" s="366">
        <f t="shared" si="228"/>
        <v>2821</v>
      </c>
      <c r="G1689" s="97">
        <v>6838</v>
      </c>
      <c r="H1689" s="367">
        <f t="shared" si="229"/>
        <v>9659</v>
      </c>
      <c r="I1689" s="368">
        <f t="shared" si="233"/>
        <v>0</v>
      </c>
      <c r="J1689" s="97">
        <v>17529</v>
      </c>
      <c r="K1689" s="367">
        <f t="shared" si="234"/>
        <v>12520.714285714286</v>
      </c>
      <c r="L1689" s="97">
        <v>0.85</v>
      </c>
      <c r="M1689" s="97">
        <v>4.3999999999999995</v>
      </c>
      <c r="N1689" s="97">
        <v>29</v>
      </c>
      <c r="O1689" s="97">
        <v>8</v>
      </c>
      <c r="P1689" s="97" t="s">
        <v>555</v>
      </c>
      <c r="Q1689" s="97" t="str">
        <f t="shared" si="230"/>
        <v/>
      </c>
      <c r="R1689" t="str">
        <f t="shared" si="231"/>
        <v/>
      </c>
    </row>
    <row r="1690" spans="3:18">
      <c r="C1690" t="str">
        <f t="shared" si="232"/>
        <v/>
      </c>
      <c r="D1690" s="36">
        <v>430</v>
      </c>
      <c r="E1690" s="97">
        <v>130</v>
      </c>
      <c r="F1690" s="366">
        <f t="shared" si="228"/>
        <v>2821</v>
      </c>
      <c r="G1690" s="97">
        <v>4500</v>
      </c>
      <c r="H1690" s="367">
        <f t="shared" si="229"/>
        <v>7321</v>
      </c>
      <c r="I1690" s="368">
        <f t="shared" si="233"/>
        <v>0</v>
      </c>
      <c r="J1690" s="97">
        <v>11536</v>
      </c>
      <c r="K1690" s="367">
        <f t="shared" si="234"/>
        <v>8240</v>
      </c>
      <c r="L1690" s="97">
        <v>0.19</v>
      </c>
      <c r="M1690" s="97">
        <v>5.3999999999999995</v>
      </c>
      <c r="N1690" s="97">
        <v>24</v>
      </c>
      <c r="O1690" s="97">
        <v>10</v>
      </c>
      <c r="P1690" s="97" t="s">
        <v>556</v>
      </c>
      <c r="Q1690" s="97" t="str">
        <f t="shared" si="230"/>
        <v/>
      </c>
      <c r="R1690" t="str">
        <f t="shared" si="231"/>
        <v/>
      </c>
    </row>
    <row r="1691" spans="3:18">
      <c r="C1691" t="str">
        <f t="shared" si="232"/>
        <v/>
      </c>
      <c r="D1691" s="36">
        <v>431</v>
      </c>
      <c r="E1691" s="97">
        <v>130</v>
      </c>
      <c r="F1691" s="366">
        <f t="shared" si="228"/>
        <v>2821</v>
      </c>
      <c r="G1691" s="97">
        <v>5827</v>
      </c>
      <c r="H1691" s="367">
        <f t="shared" si="229"/>
        <v>8648</v>
      </c>
      <c r="I1691" s="368">
        <f t="shared" si="233"/>
        <v>0</v>
      </c>
      <c r="J1691" s="97">
        <v>14937</v>
      </c>
      <c r="K1691" s="367">
        <f t="shared" si="234"/>
        <v>10669.285714285714</v>
      </c>
      <c r="L1691" s="97">
        <v>0.39</v>
      </c>
      <c r="M1691" s="97">
        <v>5.3999999999999995</v>
      </c>
      <c r="N1691" s="97">
        <v>29</v>
      </c>
      <c r="O1691" s="97">
        <v>10</v>
      </c>
      <c r="P1691" s="97" t="s">
        <v>514</v>
      </c>
      <c r="Q1691" s="97" t="str">
        <f t="shared" si="230"/>
        <v/>
      </c>
      <c r="R1691" t="str">
        <f t="shared" si="231"/>
        <v/>
      </c>
    </row>
    <row r="1692" spans="3:18">
      <c r="C1692" t="str">
        <f t="shared" si="232"/>
        <v/>
      </c>
      <c r="D1692" s="36">
        <v>432</v>
      </c>
      <c r="E1692" s="97">
        <v>130</v>
      </c>
      <c r="F1692" s="366">
        <f t="shared" si="228"/>
        <v>2821</v>
      </c>
      <c r="G1692" s="97">
        <v>6801</v>
      </c>
      <c r="H1692" s="367">
        <f t="shared" si="229"/>
        <v>9622</v>
      </c>
      <c r="I1692" s="368">
        <f t="shared" si="233"/>
        <v>0</v>
      </c>
      <c r="J1692" s="97">
        <v>17435</v>
      </c>
      <c r="K1692" s="367">
        <f t="shared" si="234"/>
        <v>12453.571428571429</v>
      </c>
      <c r="L1692" s="97">
        <v>0.56000000000000005</v>
      </c>
      <c r="M1692" s="97">
        <v>5.3999999999999995</v>
      </c>
      <c r="N1692" s="97">
        <v>27</v>
      </c>
      <c r="O1692" s="97">
        <v>10</v>
      </c>
      <c r="P1692" s="97" t="s">
        <v>555</v>
      </c>
      <c r="Q1692" s="97" t="str">
        <f t="shared" si="230"/>
        <v/>
      </c>
      <c r="R1692" t="str">
        <f t="shared" si="231"/>
        <v/>
      </c>
    </row>
    <row r="1693" spans="3:18">
      <c r="C1693" t="str">
        <f t="shared" si="232"/>
        <v/>
      </c>
      <c r="D1693" s="36">
        <v>433</v>
      </c>
      <c r="E1693" s="97">
        <v>135</v>
      </c>
      <c r="F1693" s="366">
        <f t="shared" si="228"/>
        <v>2929.5</v>
      </c>
      <c r="G1693" s="97">
        <v>4045</v>
      </c>
      <c r="H1693" s="367">
        <f t="shared" si="229"/>
        <v>6974.5</v>
      </c>
      <c r="I1693" s="368">
        <f t="shared" si="233"/>
        <v>0</v>
      </c>
      <c r="J1693" s="97">
        <v>10369</v>
      </c>
      <c r="K1693" s="367">
        <f t="shared" si="234"/>
        <v>7406.4285714285716</v>
      </c>
      <c r="L1693" s="97">
        <v>0.67</v>
      </c>
      <c r="M1693" s="97">
        <v>2.3000000000000003</v>
      </c>
      <c r="N1693" s="97">
        <v>27</v>
      </c>
      <c r="O1693" s="97">
        <v>4</v>
      </c>
      <c r="P1693" s="97" t="s">
        <v>515</v>
      </c>
      <c r="Q1693" s="97">
        <f t="shared" si="230"/>
        <v>433</v>
      </c>
      <c r="R1693" t="str">
        <f t="shared" si="231"/>
        <v/>
      </c>
    </row>
    <row r="1694" spans="3:18">
      <c r="C1694" t="str">
        <f t="shared" si="232"/>
        <v>NL</v>
      </c>
      <c r="D1694" s="36">
        <v>434</v>
      </c>
      <c r="E1694" s="97">
        <v>135</v>
      </c>
      <c r="F1694" s="366">
        <f t="shared" si="228"/>
        <v>2929.5</v>
      </c>
      <c r="G1694" s="97">
        <v>4199</v>
      </c>
      <c r="H1694" s="367">
        <f t="shared" si="229"/>
        <v>7128.5</v>
      </c>
      <c r="I1694" s="368">
        <f t="shared" si="233"/>
        <v>0</v>
      </c>
      <c r="J1694" s="97">
        <v>10765</v>
      </c>
      <c r="K1694" s="367">
        <f t="shared" si="234"/>
        <v>7689.2857142857147</v>
      </c>
      <c r="L1694" s="97">
        <v>0.45</v>
      </c>
      <c r="M1694" s="97">
        <v>2.8000000000000003</v>
      </c>
      <c r="N1694" s="97">
        <v>26</v>
      </c>
      <c r="O1694" s="97">
        <v>5</v>
      </c>
      <c r="P1694" s="97" t="s">
        <v>515</v>
      </c>
      <c r="Q1694" s="97" t="str">
        <f t="shared" si="230"/>
        <v/>
      </c>
      <c r="R1694" t="str">
        <f t="shared" si="231"/>
        <v/>
      </c>
    </row>
    <row r="1695" spans="3:18">
      <c r="C1695" t="str">
        <f t="shared" si="232"/>
        <v>NL</v>
      </c>
      <c r="D1695" s="36">
        <v>435</v>
      </c>
      <c r="E1695" s="97">
        <v>135</v>
      </c>
      <c r="F1695" s="366">
        <f t="shared" si="228"/>
        <v>2929.5</v>
      </c>
      <c r="G1695" s="97">
        <v>4813</v>
      </c>
      <c r="H1695" s="367">
        <f t="shared" si="229"/>
        <v>7742.5</v>
      </c>
      <c r="I1695" s="368">
        <f t="shared" si="233"/>
        <v>0</v>
      </c>
      <c r="J1695" s="97">
        <v>12338</v>
      </c>
      <c r="K1695" s="367">
        <f t="shared" si="234"/>
        <v>8812.8571428571431</v>
      </c>
      <c r="L1695" s="97">
        <v>0.73</v>
      </c>
      <c r="M1695" s="97">
        <v>2.8000000000000003</v>
      </c>
      <c r="N1695" s="97">
        <v>28</v>
      </c>
      <c r="O1695" s="97">
        <v>5</v>
      </c>
      <c r="P1695" s="97" t="s">
        <v>556</v>
      </c>
      <c r="Q1695" s="97" t="str">
        <f t="shared" si="230"/>
        <v/>
      </c>
      <c r="R1695" t="str">
        <f t="shared" si="231"/>
        <v/>
      </c>
    </row>
    <row r="1696" spans="3:18">
      <c r="C1696" t="str">
        <f t="shared" si="232"/>
        <v/>
      </c>
      <c r="D1696" s="36">
        <v>436</v>
      </c>
      <c r="E1696" s="97">
        <v>135</v>
      </c>
      <c r="F1696" s="366">
        <f t="shared" si="228"/>
        <v>2929.5</v>
      </c>
      <c r="G1696" s="97">
        <v>4424</v>
      </c>
      <c r="H1696" s="367">
        <f t="shared" si="229"/>
        <v>7353.5</v>
      </c>
      <c r="I1696" s="368">
        <f t="shared" si="233"/>
        <v>0</v>
      </c>
      <c r="J1696" s="97">
        <v>11342</v>
      </c>
      <c r="K1696" s="367">
        <f t="shared" si="234"/>
        <v>8101.4285714285716</v>
      </c>
      <c r="L1696" s="97">
        <v>0.31</v>
      </c>
      <c r="M1696" s="97">
        <v>3.4</v>
      </c>
      <c r="N1696" s="97">
        <v>24</v>
      </c>
      <c r="O1696" s="97">
        <v>6</v>
      </c>
      <c r="P1696" s="97" t="s">
        <v>515</v>
      </c>
      <c r="Q1696" s="97">
        <f t="shared" si="230"/>
        <v>436</v>
      </c>
      <c r="R1696" t="str">
        <f t="shared" si="231"/>
        <v/>
      </c>
    </row>
    <row r="1697" spans="3:18">
      <c r="C1697" t="str">
        <f t="shared" si="232"/>
        <v/>
      </c>
      <c r="D1697" s="36">
        <v>437</v>
      </c>
      <c r="E1697" s="97">
        <v>135</v>
      </c>
      <c r="F1697" s="366">
        <f t="shared" si="228"/>
        <v>2929.5</v>
      </c>
      <c r="G1697" s="97">
        <v>5020</v>
      </c>
      <c r="H1697" s="367">
        <f t="shared" si="229"/>
        <v>7949.5</v>
      </c>
      <c r="I1697" s="368">
        <f t="shared" si="233"/>
        <v>0</v>
      </c>
      <c r="J1697" s="97">
        <v>12869</v>
      </c>
      <c r="K1697" s="367">
        <f t="shared" si="234"/>
        <v>9192.1428571428569</v>
      </c>
      <c r="L1697" s="97">
        <v>0.51</v>
      </c>
      <c r="M1697" s="97">
        <v>3.4</v>
      </c>
      <c r="N1697" s="97">
        <v>27</v>
      </c>
      <c r="O1697" s="97">
        <v>6</v>
      </c>
      <c r="P1697" s="97" t="s">
        <v>556</v>
      </c>
      <c r="Q1697" s="97">
        <f t="shared" si="230"/>
        <v>437</v>
      </c>
      <c r="R1697" t="str">
        <f t="shared" si="231"/>
        <v/>
      </c>
    </row>
    <row r="1698" spans="3:18">
      <c r="C1698" t="str">
        <f t="shared" si="232"/>
        <v>NL</v>
      </c>
      <c r="D1698" s="36">
        <v>438</v>
      </c>
      <c r="E1698" s="97">
        <v>135</v>
      </c>
      <c r="F1698" s="366">
        <f t="shared" si="228"/>
        <v>2929.5</v>
      </c>
      <c r="G1698" s="97">
        <v>4117</v>
      </c>
      <c r="H1698" s="367">
        <f t="shared" si="229"/>
        <v>7046.5</v>
      </c>
      <c r="I1698" s="368">
        <f t="shared" si="233"/>
        <v>0</v>
      </c>
      <c r="J1698" s="97">
        <v>10553</v>
      </c>
      <c r="K1698" s="367">
        <f t="shared" si="234"/>
        <v>7537.8571428571431</v>
      </c>
      <c r="L1698" s="97">
        <v>0.23</v>
      </c>
      <c r="M1698" s="97">
        <v>3.9</v>
      </c>
      <c r="N1698" s="97">
        <v>23</v>
      </c>
      <c r="O1698" s="97">
        <v>7</v>
      </c>
      <c r="P1698" s="97" t="s">
        <v>515</v>
      </c>
      <c r="Q1698" s="97" t="str">
        <f t="shared" si="230"/>
        <v/>
      </c>
      <c r="R1698" t="str">
        <f t="shared" si="231"/>
        <v/>
      </c>
    </row>
    <row r="1699" spans="3:18">
      <c r="C1699" t="str">
        <f t="shared" si="232"/>
        <v>NL</v>
      </c>
      <c r="D1699" s="36">
        <v>439</v>
      </c>
      <c r="E1699" s="97">
        <v>135</v>
      </c>
      <c r="F1699" s="366">
        <f t="shared" si="228"/>
        <v>2929.5</v>
      </c>
      <c r="G1699" s="97">
        <v>5343</v>
      </c>
      <c r="H1699" s="367">
        <f t="shared" si="229"/>
        <v>8272.5</v>
      </c>
      <c r="I1699" s="368">
        <f t="shared" si="233"/>
        <v>0</v>
      </c>
      <c r="J1699" s="97">
        <v>13698</v>
      </c>
      <c r="K1699" s="367">
        <f t="shared" si="234"/>
        <v>9784.2857142857138</v>
      </c>
      <c r="L1699" s="97">
        <v>0.38</v>
      </c>
      <c r="M1699" s="97">
        <v>3.9</v>
      </c>
      <c r="N1699" s="97">
        <v>26</v>
      </c>
      <c r="O1699" s="97">
        <v>7</v>
      </c>
      <c r="P1699" s="97" t="s">
        <v>556</v>
      </c>
      <c r="Q1699" s="97" t="str">
        <f t="shared" si="230"/>
        <v/>
      </c>
      <c r="R1699" t="str">
        <f t="shared" si="231"/>
        <v/>
      </c>
    </row>
    <row r="1700" spans="3:18">
      <c r="C1700" t="str">
        <f t="shared" si="232"/>
        <v>NL</v>
      </c>
      <c r="D1700" s="36">
        <v>440</v>
      </c>
      <c r="E1700" s="97">
        <v>135</v>
      </c>
      <c r="F1700" s="366">
        <f t="shared" si="228"/>
        <v>2929.5</v>
      </c>
      <c r="G1700" s="97">
        <v>6079</v>
      </c>
      <c r="H1700" s="367">
        <f t="shared" si="229"/>
        <v>9008.5</v>
      </c>
      <c r="I1700" s="368">
        <f t="shared" si="233"/>
        <v>0</v>
      </c>
      <c r="J1700" s="97">
        <v>15583</v>
      </c>
      <c r="K1700" s="367">
        <f t="shared" si="234"/>
        <v>11130.714285714286</v>
      </c>
      <c r="L1700" s="97">
        <v>0.78</v>
      </c>
      <c r="M1700" s="97">
        <v>3.9</v>
      </c>
      <c r="N1700" s="97">
        <v>31</v>
      </c>
      <c r="O1700" s="97">
        <v>7</v>
      </c>
      <c r="P1700" s="97" t="s">
        <v>514</v>
      </c>
      <c r="Q1700" s="97" t="str">
        <f t="shared" si="230"/>
        <v/>
      </c>
      <c r="R1700" t="str">
        <f t="shared" si="231"/>
        <v/>
      </c>
    </row>
    <row r="1701" spans="3:18">
      <c r="C1701" t="str">
        <f t="shared" si="232"/>
        <v/>
      </c>
      <c r="D1701" s="36">
        <v>441</v>
      </c>
      <c r="E1701" s="97">
        <v>135</v>
      </c>
      <c r="F1701" s="366">
        <f t="shared" si="228"/>
        <v>2929.5</v>
      </c>
      <c r="G1701" s="97">
        <v>3930</v>
      </c>
      <c r="H1701" s="367">
        <f t="shared" si="229"/>
        <v>6859.5</v>
      </c>
      <c r="I1701" s="368">
        <f t="shared" si="233"/>
        <v>0</v>
      </c>
      <c r="J1701" s="97">
        <v>10075</v>
      </c>
      <c r="K1701" s="367">
        <f t="shared" si="234"/>
        <v>7196.4285714285716</v>
      </c>
      <c r="L1701" s="97">
        <v>0.18000000000000002</v>
      </c>
      <c r="M1701" s="97">
        <v>4.3999999999999995</v>
      </c>
      <c r="N1701" s="97">
        <v>23</v>
      </c>
      <c r="O1701" s="97">
        <v>8</v>
      </c>
      <c r="P1701" s="97" t="s">
        <v>515</v>
      </c>
      <c r="Q1701" s="97">
        <f t="shared" si="230"/>
        <v>441</v>
      </c>
      <c r="R1701" t="str">
        <f t="shared" si="231"/>
        <v/>
      </c>
    </row>
    <row r="1702" spans="3:18">
      <c r="C1702" t="str">
        <f t="shared" si="232"/>
        <v/>
      </c>
      <c r="D1702" s="36">
        <v>442</v>
      </c>
      <c r="E1702" s="97">
        <v>135</v>
      </c>
      <c r="F1702" s="366">
        <f t="shared" si="228"/>
        <v>2929.5</v>
      </c>
      <c r="G1702" s="97">
        <v>5143</v>
      </c>
      <c r="H1702" s="367">
        <f t="shared" si="229"/>
        <v>8072.5</v>
      </c>
      <c r="I1702" s="368">
        <f t="shared" si="233"/>
        <v>0</v>
      </c>
      <c r="J1702" s="97">
        <v>13184</v>
      </c>
      <c r="K1702" s="367">
        <f t="shared" si="234"/>
        <v>9417.1428571428569</v>
      </c>
      <c r="L1702" s="97">
        <v>0.3</v>
      </c>
      <c r="M1702" s="97">
        <v>4.3999999999999995</v>
      </c>
      <c r="N1702" s="97">
        <v>25</v>
      </c>
      <c r="O1702" s="97">
        <v>8</v>
      </c>
      <c r="P1702" s="97" t="s">
        <v>556</v>
      </c>
      <c r="Q1702" s="97">
        <f t="shared" si="230"/>
        <v>442</v>
      </c>
      <c r="R1702" t="str">
        <f t="shared" si="231"/>
        <v/>
      </c>
    </row>
    <row r="1703" spans="3:18">
      <c r="C1703" t="str">
        <f t="shared" si="232"/>
        <v/>
      </c>
      <c r="D1703" s="36">
        <v>443</v>
      </c>
      <c r="E1703" s="97">
        <v>135</v>
      </c>
      <c r="F1703" s="366">
        <f t="shared" si="228"/>
        <v>2929.5</v>
      </c>
      <c r="G1703" s="97">
        <v>6253</v>
      </c>
      <c r="H1703" s="367">
        <f t="shared" si="229"/>
        <v>9182.5</v>
      </c>
      <c r="I1703" s="368">
        <f t="shared" si="233"/>
        <v>0</v>
      </c>
      <c r="J1703" s="97">
        <v>16030</v>
      </c>
      <c r="K1703" s="367">
        <f t="shared" si="234"/>
        <v>11450</v>
      </c>
      <c r="L1703" s="97">
        <v>0.62</v>
      </c>
      <c r="M1703" s="97">
        <v>4.3999999999999995</v>
      </c>
      <c r="N1703" s="97">
        <v>30</v>
      </c>
      <c r="O1703" s="97">
        <v>8</v>
      </c>
      <c r="P1703" s="97" t="s">
        <v>514</v>
      </c>
      <c r="Q1703" s="97">
        <f t="shared" si="230"/>
        <v>443</v>
      </c>
      <c r="R1703" t="str">
        <f t="shared" si="231"/>
        <v/>
      </c>
    </row>
    <row r="1704" spans="3:18">
      <c r="C1704" t="str">
        <f t="shared" si="232"/>
        <v/>
      </c>
      <c r="D1704" s="36">
        <v>444</v>
      </c>
      <c r="E1704" s="97">
        <v>135</v>
      </c>
      <c r="F1704" s="366">
        <f t="shared" si="228"/>
        <v>2929.5</v>
      </c>
      <c r="G1704" s="97">
        <v>7025</v>
      </c>
      <c r="H1704" s="367">
        <f t="shared" si="229"/>
        <v>9954.5</v>
      </c>
      <c r="I1704" s="368">
        <f t="shared" si="233"/>
        <v>0</v>
      </c>
      <c r="J1704" s="97">
        <v>18008</v>
      </c>
      <c r="K1704" s="367">
        <f t="shared" si="234"/>
        <v>12862.857142857143</v>
      </c>
      <c r="L1704" s="97">
        <v>0.92</v>
      </c>
      <c r="M1704" s="97">
        <v>4.3999999999999995</v>
      </c>
      <c r="N1704" s="97">
        <v>29</v>
      </c>
      <c r="O1704" s="97">
        <v>8</v>
      </c>
      <c r="P1704" s="97" t="s">
        <v>555</v>
      </c>
      <c r="Q1704" s="97" t="str">
        <f t="shared" si="230"/>
        <v/>
      </c>
      <c r="R1704" t="str">
        <f t="shared" si="231"/>
        <v/>
      </c>
    </row>
    <row r="1705" spans="3:18">
      <c r="C1705" t="str">
        <f t="shared" si="232"/>
        <v/>
      </c>
      <c r="D1705" s="36">
        <v>445</v>
      </c>
      <c r="E1705" s="97">
        <v>135</v>
      </c>
      <c r="F1705" s="366">
        <f t="shared" si="228"/>
        <v>2929.5</v>
      </c>
      <c r="G1705" s="97">
        <v>4640</v>
      </c>
      <c r="H1705" s="367">
        <f t="shared" si="229"/>
        <v>7569.5</v>
      </c>
      <c r="I1705" s="368">
        <f t="shared" si="233"/>
        <v>0</v>
      </c>
      <c r="J1705" s="97">
        <v>11895</v>
      </c>
      <c r="K1705" s="367">
        <f t="shared" si="234"/>
        <v>8496.4285714285725</v>
      </c>
      <c r="L1705" s="97">
        <v>0.21000000000000002</v>
      </c>
      <c r="M1705" s="97">
        <v>5.3999999999999995</v>
      </c>
      <c r="N1705" s="97">
        <v>24</v>
      </c>
      <c r="O1705" s="97">
        <v>10</v>
      </c>
      <c r="P1705" s="97" t="s">
        <v>556</v>
      </c>
      <c r="Q1705" s="97" t="str">
        <f t="shared" si="230"/>
        <v/>
      </c>
      <c r="R1705" t="str">
        <f t="shared" si="231"/>
        <v/>
      </c>
    </row>
    <row r="1706" spans="3:18">
      <c r="C1706" t="str">
        <f t="shared" si="232"/>
        <v/>
      </c>
      <c r="D1706" s="36">
        <v>446</v>
      </c>
      <c r="E1706" s="97">
        <v>135</v>
      </c>
      <c r="F1706" s="366">
        <f t="shared" si="228"/>
        <v>2929.5</v>
      </c>
      <c r="G1706" s="97">
        <v>6107</v>
      </c>
      <c r="H1706" s="367">
        <f t="shared" si="229"/>
        <v>9036.5</v>
      </c>
      <c r="I1706" s="368">
        <f t="shared" si="233"/>
        <v>0</v>
      </c>
      <c r="J1706" s="97">
        <v>15656</v>
      </c>
      <c r="K1706" s="367">
        <f t="shared" si="234"/>
        <v>11182.857142857143</v>
      </c>
      <c r="L1706" s="97">
        <v>0.41000000000000003</v>
      </c>
      <c r="M1706" s="97">
        <v>5.3999999999999995</v>
      </c>
      <c r="N1706" s="97">
        <v>29</v>
      </c>
      <c r="O1706" s="97">
        <v>10</v>
      </c>
      <c r="P1706" s="97" t="s">
        <v>514</v>
      </c>
      <c r="Q1706" s="97" t="str">
        <f t="shared" si="230"/>
        <v/>
      </c>
      <c r="R1706" t="str">
        <f t="shared" si="231"/>
        <v/>
      </c>
    </row>
    <row r="1707" spans="3:18">
      <c r="C1707" t="str">
        <f t="shared" si="232"/>
        <v/>
      </c>
      <c r="D1707" s="36">
        <v>447</v>
      </c>
      <c r="E1707" s="97">
        <v>135</v>
      </c>
      <c r="F1707" s="366">
        <f t="shared" si="228"/>
        <v>2929.5</v>
      </c>
      <c r="G1707" s="97">
        <v>7123</v>
      </c>
      <c r="H1707" s="367">
        <f t="shared" si="229"/>
        <v>10052.5</v>
      </c>
      <c r="I1707" s="368">
        <f t="shared" si="233"/>
        <v>0</v>
      </c>
      <c r="J1707" s="97">
        <v>18260</v>
      </c>
      <c r="K1707" s="367">
        <f t="shared" si="234"/>
        <v>13042.857142857143</v>
      </c>
      <c r="L1707" s="97">
        <v>0.6</v>
      </c>
      <c r="M1707" s="97">
        <v>5.3999999999999995</v>
      </c>
      <c r="N1707" s="97">
        <v>27</v>
      </c>
      <c r="O1707" s="97">
        <v>10</v>
      </c>
      <c r="P1707" s="97" t="s">
        <v>555</v>
      </c>
      <c r="Q1707" s="97" t="str">
        <f t="shared" si="230"/>
        <v/>
      </c>
      <c r="R1707" t="str">
        <f t="shared" si="231"/>
        <v/>
      </c>
    </row>
    <row r="1708" spans="3:18">
      <c r="C1708" t="str">
        <f t="shared" si="232"/>
        <v/>
      </c>
      <c r="D1708" s="36">
        <v>448</v>
      </c>
      <c r="E1708" s="97">
        <v>140</v>
      </c>
      <c r="F1708" s="366">
        <f t="shared" si="228"/>
        <v>3038</v>
      </c>
      <c r="G1708" s="97">
        <v>4130</v>
      </c>
      <c r="H1708" s="367">
        <f t="shared" si="229"/>
        <v>7168</v>
      </c>
      <c r="I1708" s="368">
        <f t="shared" si="233"/>
        <v>0</v>
      </c>
      <c r="J1708" s="97">
        <v>10588</v>
      </c>
      <c r="K1708" s="367">
        <f t="shared" si="234"/>
        <v>7562.8571428571431</v>
      </c>
      <c r="L1708" s="97">
        <v>0.72</v>
      </c>
      <c r="M1708" s="97">
        <v>2.3000000000000003</v>
      </c>
      <c r="N1708" s="97">
        <v>28</v>
      </c>
      <c r="O1708" s="97">
        <v>4</v>
      </c>
      <c r="P1708" s="97" t="s">
        <v>515</v>
      </c>
      <c r="Q1708" s="97" t="str">
        <f t="shared" si="230"/>
        <v/>
      </c>
      <c r="R1708" t="str">
        <f t="shared" si="231"/>
        <v/>
      </c>
    </row>
    <row r="1709" spans="3:18">
      <c r="C1709" t="str">
        <f t="shared" si="232"/>
        <v>NL</v>
      </c>
      <c r="D1709" s="36">
        <v>449</v>
      </c>
      <c r="E1709" s="97">
        <v>140</v>
      </c>
      <c r="F1709" s="366">
        <f t="shared" ref="F1709:F1772" si="235">1.085*($A$2-$B$2)*E1709*$T$7</f>
        <v>3038</v>
      </c>
      <c r="G1709" s="97">
        <v>4323</v>
      </c>
      <c r="H1709" s="367">
        <f t="shared" ref="H1709:H1772" si="236">(G1709*$U$7)+F1709</f>
        <v>7361</v>
      </c>
      <c r="I1709" s="368">
        <f t="shared" si="233"/>
        <v>0</v>
      </c>
      <c r="J1709" s="97">
        <v>11083</v>
      </c>
      <c r="K1709" s="367">
        <f t="shared" si="234"/>
        <v>7916.4285714285716</v>
      </c>
      <c r="L1709" s="97">
        <v>0.48</v>
      </c>
      <c r="M1709" s="97">
        <v>2.8000000000000003</v>
      </c>
      <c r="N1709" s="97">
        <v>27</v>
      </c>
      <c r="O1709" s="97">
        <v>5</v>
      </c>
      <c r="P1709" s="97" t="s">
        <v>515</v>
      </c>
      <c r="Q1709" s="97" t="str">
        <f t="shared" ref="Q1709:Q1772" si="237">IF(AND(H1709+1&gt;$E$4,L1709&lt;$L$4+0.01,M1709&lt;$M$4+0.01,K1709+1&gt;$F$4,E1709+1&gt;$J$4,N1709&lt;$K$4+1,O1709&lt;$P$4+1,C1709=""),D1709,"")</f>
        <v/>
      </c>
      <c r="R1709" t="str">
        <f t="shared" ref="R1709:R1772" si="238">IF(Q1709="","",IF(AND(O1709&lt;$X$16,E1709&gt;$U$16,E1709&lt;$Q$4+$U$16+1),D1709,""))</f>
        <v/>
      </c>
    </row>
    <row r="1710" spans="3:18">
      <c r="C1710" t="str">
        <f t="shared" si="232"/>
        <v>NL</v>
      </c>
      <c r="D1710" s="36">
        <v>450</v>
      </c>
      <c r="E1710" s="97">
        <v>140</v>
      </c>
      <c r="F1710" s="366">
        <f t="shared" si="235"/>
        <v>3038</v>
      </c>
      <c r="G1710" s="97">
        <v>4926</v>
      </c>
      <c r="H1710" s="367">
        <f t="shared" si="236"/>
        <v>7964</v>
      </c>
      <c r="I1710" s="368">
        <f t="shared" si="233"/>
        <v>0</v>
      </c>
      <c r="J1710" s="97">
        <v>12629</v>
      </c>
      <c r="K1710" s="367">
        <f t="shared" si="234"/>
        <v>9020.7142857142862</v>
      </c>
      <c r="L1710" s="97">
        <v>0.79</v>
      </c>
      <c r="M1710" s="97">
        <v>2.8000000000000003</v>
      </c>
      <c r="N1710" s="97">
        <v>29</v>
      </c>
      <c r="O1710" s="97">
        <v>5</v>
      </c>
      <c r="P1710" s="97" t="s">
        <v>556</v>
      </c>
      <c r="Q1710" s="97" t="str">
        <f t="shared" si="237"/>
        <v/>
      </c>
      <c r="R1710" t="str">
        <f t="shared" si="238"/>
        <v/>
      </c>
    </row>
    <row r="1711" spans="3:18">
      <c r="C1711" t="str">
        <f t="shared" si="232"/>
        <v/>
      </c>
      <c r="D1711" s="36">
        <v>451</v>
      </c>
      <c r="E1711" s="97">
        <v>140</v>
      </c>
      <c r="F1711" s="366">
        <f t="shared" si="235"/>
        <v>3038</v>
      </c>
      <c r="G1711" s="97">
        <v>4578</v>
      </c>
      <c r="H1711" s="367">
        <f t="shared" si="236"/>
        <v>7616</v>
      </c>
      <c r="I1711" s="368">
        <f t="shared" si="233"/>
        <v>0</v>
      </c>
      <c r="J1711" s="97">
        <v>11736</v>
      </c>
      <c r="K1711" s="367">
        <f t="shared" si="234"/>
        <v>8382.8571428571431</v>
      </c>
      <c r="L1711" s="97">
        <v>0.33</v>
      </c>
      <c r="M1711" s="97">
        <v>3.4</v>
      </c>
      <c r="N1711" s="97">
        <v>25</v>
      </c>
      <c r="O1711" s="97">
        <v>6</v>
      </c>
      <c r="P1711" s="97" t="s">
        <v>515</v>
      </c>
      <c r="Q1711" s="97">
        <f t="shared" si="237"/>
        <v>451</v>
      </c>
      <c r="R1711" t="str">
        <f t="shared" si="238"/>
        <v/>
      </c>
    </row>
    <row r="1712" spans="3:18">
      <c r="C1712" t="str">
        <f t="shared" si="232"/>
        <v/>
      </c>
      <c r="D1712" s="36">
        <v>452</v>
      </c>
      <c r="E1712" s="97">
        <v>140</v>
      </c>
      <c r="F1712" s="366">
        <f t="shared" si="235"/>
        <v>3038</v>
      </c>
      <c r="G1712" s="97">
        <v>5141</v>
      </c>
      <c r="H1712" s="367">
        <f t="shared" si="236"/>
        <v>8179</v>
      </c>
      <c r="I1712" s="368">
        <f t="shared" si="233"/>
        <v>0</v>
      </c>
      <c r="J1712" s="97">
        <v>13179</v>
      </c>
      <c r="K1712" s="367">
        <f t="shared" si="234"/>
        <v>9413.5714285714294</v>
      </c>
      <c r="L1712" s="97">
        <v>0.55000000000000004</v>
      </c>
      <c r="M1712" s="97">
        <v>3.4</v>
      </c>
      <c r="N1712" s="97">
        <v>27</v>
      </c>
      <c r="O1712" s="97">
        <v>6</v>
      </c>
      <c r="P1712" s="97" t="s">
        <v>556</v>
      </c>
      <c r="Q1712" s="97">
        <f t="shared" si="237"/>
        <v>452</v>
      </c>
      <c r="R1712" t="str">
        <f t="shared" si="238"/>
        <v/>
      </c>
    </row>
    <row r="1713" spans="3:18">
      <c r="C1713" t="str">
        <f t="shared" si="232"/>
        <v>NL</v>
      </c>
      <c r="D1713" s="36">
        <v>453</v>
      </c>
      <c r="E1713" s="97">
        <v>140</v>
      </c>
      <c r="F1713" s="366">
        <f t="shared" si="235"/>
        <v>3038</v>
      </c>
      <c r="G1713" s="97">
        <v>4306</v>
      </c>
      <c r="H1713" s="367">
        <f t="shared" si="236"/>
        <v>7344</v>
      </c>
      <c r="I1713" s="368">
        <f t="shared" si="233"/>
        <v>0</v>
      </c>
      <c r="J1713" s="97">
        <v>11038</v>
      </c>
      <c r="K1713" s="367">
        <f t="shared" si="234"/>
        <v>7884.2857142857147</v>
      </c>
      <c r="L1713" s="97">
        <v>0.25</v>
      </c>
      <c r="M1713" s="97">
        <v>3.9</v>
      </c>
      <c r="N1713" s="97">
        <v>24</v>
      </c>
      <c r="O1713" s="97">
        <v>7</v>
      </c>
      <c r="P1713" s="97" t="s">
        <v>515</v>
      </c>
      <c r="Q1713" s="97" t="str">
        <f t="shared" si="237"/>
        <v/>
      </c>
      <c r="R1713" t="str">
        <f t="shared" si="238"/>
        <v/>
      </c>
    </row>
    <row r="1714" spans="3:18">
      <c r="C1714" t="str">
        <f t="shared" si="232"/>
        <v>NL</v>
      </c>
      <c r="D1714" s="36">
        <v>454</v>
      </c>
      <c r="E1714" s="97">
        <v>140</v>
      </c>
      <c r="F1714" s="366">
        <f t="shared" si="235"/>
        <v>3038</v>
      </c>
      <c r="G1714" s="97">
        <v>5479</v>
      </c>
      <c r="H1714" s="367">
        <f t="shared" si="236"/>
        <v>8517</v>
      </c>
      <c r="I1714" s="368">
        <f t="shared" si="233"/>
        <v>0</v>
      </c>
      <c r="J1714" s="97">
        <v>14044</v>
      </c>
      <c r="K1714" s="367">
        <f t="shared" si="234"/>
        <v>10031.428571428572</v>
      </c>
      <c r="L1714" s="97">
        <v>0.41000000000000003</v>
      </c>
      <c r="M1714" s="97">
        <v>3.9</v>
      </c>
      <c r="N1714" s="97">
        <v>26</v>
      </c>
      <c r="O1714" s="97">
        <v>7</v>
      </c>
      <c r="P1714" s="97" t="s">
        <v>556</v>
      </c>
      <c r="Q1714" s="97" t="str">
        <f t="shared" si="237"/>
        <v/>
      </c>
      <c r="R1714" t="str">
        <f t="shared" si="238"/>
        <v/>
      </c>
    </row>
    <row r="1715" spans="3:18">
      <c r="C1715" t="str">
        <f t="shared" si="232"/>
        <v>NL</v>
      </c>
      <c r="D1715" s="36">
        <v>455</v>
      </c>
      <c r="E1715" s="97">
        <v>140</v>
      </c>
      <c r="F1715" s="366">
        <f t="shared" si="235"/>
        <v>3038</v>
      </c>
      <c r="G1715" s="97">
        <v>6233</v>
      </c>
      <c r="H1715" s="367">
        <f t="shared" si="236"/>
        <v>9271</v>
      </c>
      <c r="I1715" s="368">
        <f t="shared" si="233"/>
        <v>0</v>
      </c>
      <c r="J1715" s="97">
        <v>15977</v>
      </c>
      <c r="K1715" s="367">
        <f t="shared" si="234"/>
        <v>11412.142857142857</v>
      </c>
      <c r="L1715" s="97">
        <v>0.84</v>
      </c>
      <c r="M1715" s="97">
        <v>3.9</v>
      </c>
      <c r="N1715" s="97">
        <v>31</v>
      </c>
      <c r="O1715" s="97">
        <v>7</v>
      </c>
      <c r="P1715" s="97" t="s">
        <v>514</v>
      </c>
      <c r="Q1715" s="97" t="str">
        <f t="shared" si="237"/>
        <v/>
      </c>
      <c r="R1715" t="str">
        <f t="shared" si="238"/>
        <v/>
      </c>
    </row>
    <row r="1716" spans="3:18">
      <c r="C1716" t="str">
        <f t="shared" si="232"/>
        <v/>
      </c>
      <c r="D1716" s="36">
        <v>456</v>
      </c>
      <c r="E1716" s="97">
        <v>140</v>
      </c>
      <c r="F1716" s="366">
        <f t="shared" si="235"/>
        <v>3038</v>
      </c>
      <c r="G1716" s="97">
        <v>4073</v>
      </c>
      <c r="H1716" s="367">
        <f t="shared" si="236"/>
        <v>7111</v>
      </c>
      <c r="I1716" s="368">
        <f t="shared" si="233"/>
        <v>0</v>
      </c>
      <c r="J1716" s="97">
        <v>10442</v>
      </c>
      <c r="K1716" s="367">
        <f t="shared" si="234"/>
        <v>7458.5714285714284</v>
      </c>
      <c r="L1716" s="97">
        <v>0.2</v>
      </c>
      <c r="M1716" s="97">
        <v>4.3999999999999995</v>
      </c>
      <c r="N1716" s="97">
        <v>23</v>
      </c>
      <c r="O1716" s="97">
        <v>8</v>
      </c>
      <c r="P1716" s="97" t="s">
        <v>515</v>
      </c>
      <c r="Q1716" s="97">
        <f t="shared" si="237"/>
        <v>456</v>
      </c>
      <c r="R1716" t="str">
        <f t="shared" si="238"/>
        <v/>
      </c>
    </row>
    <row r="1717" spans="3:18">
      <c r="C1717" t="str">
        <f t="shared" si="232"/>
        <v/>
      </c>
      <c r="D1717" s="36">
        <v>457</v>
      </c>
      <c r="E1717" s="97">
        <v>140</v>
      </c>
      <c r="F1717" s="366">
        <f t="shared" si="235"/>
        <v>3038</v>
      </c>
      <c r="G1717" s="97">
        <v>5386</v>
      </c>
      <c r="H1717" s="367">
        <f t="shared" si="236"/>
        <v>8424</v>
      </c>
      <c r="I1717" s="368">
        <f t="shared" si="233"/>
        <v>0</v>
      </c>
      <c r="J1717" s="97">
        <v>13808</v>
      </c>
      <c r="K1717" s="367">
        <f t="shared" si="234"/>
        <v>9862.8571428571431</v>
      </c>
      <c r="L1717" s="97">
        <v>0.32</v>
      </c>
      <c r="M1717" s="97">
        <v>4.3999999999999995</v>
      </c>
      <c r="N1717" s="97">
        <v>25</v>
      </c>
      <c r="O1717" s="97">
        <v>8</v>
      </c>
      <c r="P1717" s="97" t="s">
        <v>556</v>
      </c>
      <c r="Q1717" s="97">
        <f t="shared" si="237"/>
        <v>457</v>
      </c>
      <c r="R1717" t="str">
        <f t="shared" si="238"/>
        <v/>
      </c>
    </row>
    <row r="1718" spans="3:18">
      <c r="C1718" t="str">
        <f t="shared" si="232"/>
        <v/>
      </c>
      <c r="D1718" s="36">
        <v>458</v>
      </c>
      <c r="E1718" s="97">
        <v>140</v>
      </c>
      <c r="F1718" s="366">
        <f t="shared" si="235"/>
        <v>3038</v>
      </c>
      <c r="G1718" s="97">
        <v>6416</v>
      </c>
      <c r="H1718" s="367">
        <f t="shared" si="236"/>
        <v>9454</v>
      </c>
      <c r="I1718" s="368">
        <f t="shared" si="233"/>
        <v>0</v>
      </c>
      <c r="J1718" s="97">
        <v>16448</v>
      </c>
      <c r="K1718" s="367">
        <f t="shared" si="234"/>
        <v>11748.571428571429</v>
      </c>
      <c r="L1718" s="97">
        <v>0.67</v>
      </c>
      <c r="M1718" s="97">
        <v>4.3999999999999995</v>
      </c>
      <c r="N1718" s="97">
        <v>31</v>
      </c>
      <c r="O1718" s="97">
        <v>8</v>
      </c>
      <c r="P1718" s="97" t="s">
        <v>514</v>
      </c>
      <c r="Q1718" s="97">
        <f t="shared" si="237"/>
        <v>458</v>
      </c>
      <c r="R1718" t="str">
        <f t="shared" si="238"/>
        <v/>
      </c>
    </row>
    <row r="1719" spans="3:18">
      <c r="C1719" t="str">
        <f t="shared" si="232"/>
        <v/>
      </c>
      <c r="D1719" s="36">
        <v>459</v>
      </c>
      <c r="E1719" s="97">
        <v>140</v>
      </c>
      <c r="F1719" s="366">
        <f t="shared" si="235"/>
        <v>3038</v>
      </c>
      <c r="G1719" s="97">
        <v>7207</v>
      </c>
      <c r="H1719" s="367">
        <f t="shared" si="236"/>
        <v>10245</v>
      </c>
      <c r="I1719" s="368">
        <f t="shared" si="233"/>
        <v>0</v>
      </c>
      <c r="J1719" s="97">
        <v>18475</v>
      </c>
      <c r="K1719" s="367">
        <f t="shared" si="234"/>
        <v>13196.428571428572</v>
      </c>
      <c r="L1719" s="97">
        <v>0.98</v>
      </c>
      <c r="M1719" s="97">
        <v>4.3999999999999995</v>
      </c>
      <c r="N1719" s="97">
        <v>30</v>
      </c>
      <c r="O1719" s="97">
        <v>8</v>
      </c>
      <c r="P1719" s="97" t="s">
        <v>555</v>
      </c>
      <c r="Q1719" s="97" t="str">
        <f t="shared" si="237"/>
        <v/>
      </c>
      <c r="R1719" t="str">
        <f t="shared" si="238"/>
        <v/>
      </c>
    </row>
    <row r="1720" spans="3:18">
      <c r="C1720" t="str">
        <f t="shared" si="232"/>
        <v/>
      </c>
      <c r="D1720" s="36">
        <v>460</v>
      </c>
      <c r="E1720" s="97">
        <v>140</v>
      </c>
      <c r="F1720" s="366">
        <f t="shared" si="235"/>
        <v>3038</v>
      </c>
      <c r="G1720" s="97">
        <v>4837</v>
      </c>
      <c r="H1720" s="367">
        <f t="shared" si="236"/>
        <v>7875</v>
      </c>
      <c r="I1720" s="368">
        <f t="shared" si="233"/>
        <v>0</v>
      </c>
      <c r="J1720" s="97">
        <v>12399</v>
      </c>
      <c r="K1720" s="367">
        <f t="shared" si="234"/>
        <v>8856.4285714285725</v>
      </c>
      <c r="L1720" s="97">
        <v>0.22</v>
      </c>
      <c r="M1720" s="97">
        <v>5.3999999999999995</v>
      </c>
      <c r="N1720" s="97">
        <v>25</v>
      </c>
      <c r="O1720" s="97">
        <v>10</v>
      </c>
      <c r="P1720" s="97" t="s">
        <v>556</v>
      </c>
      <c r="Q1720" s="97" t="str">
        <f t="shared" si="237"/>
        <v/>
      </c>
      <c r="R1720" t="str">
        <f t="shared" si="238"/>
        <v/>
      </c>
    </row>
    <row r="1721" spans="3:18">
      <c r="C1721" t="str">
        <f t="shared" si="232"/>
        <v/>
      </c>
      <c r="D1721" s="36">
        <v>461</v>
      </c>
      <c r="E1721" s="97">
        <v>140</v>
      </c>
      <c r="F1721" s="366">
        <f t="shared" si="235"/>
        <v>3038</v>
      </c>
      <c r="G1721" s="97">
        <v>6388</v>
      </c>
      <c r="H1721" s="367">
        <f t="shared" si="236"/>
        <v>9426</v>
      </c>
      <c r="I1721" s="368">
        <f t="shared" si="233"/>
        <v>0</v>
      </c>
      <c r="J1721" s="97">
        <v>16375</v>
      </c>
      <c r="K1721" s="367">
        <f t="shared" si="234"/>
        <v>11696.428571428572</v>
      </c>
      <c r="L1721" s="97">
        <v>0.45</v>
      </c>
      <c r="M1721" s="97">
        <v>5.3999999999999995</v>
      </c>
      <c r="N1721" s="97">
        <v>30</v>
      </c>
      <c r="O1721" s="97">
        <v>10</v>
      </c>
      <c r="P1721" s="97" t="s">
        <v>514</v>
      </c>
      <c r="Q1721" s="97" t="str">
        <f t="shared" si="237"/>
        <v/>
      </c>
      <c r="R1721" t="str">
        <f t="shared" si="238"/>
        <v/>
      </c>
    </row>
    <row r="1722" spans="3:18">
      <c r="C1722" t="str">
        <f t="shared" si="232"/>
        <v/>
      </c>
      <c r="D1722" s="36">
        <v>462</v>
      </c>
      <c r="E1722" s="97">
        <v>140</v>
      </c>
      <c r="F1722" s="366">
        <f t="shared" si="235"/>
        <v>3038</v>
      </c>
      <c r="G1722" s="97">
        <v>7392</v>
      </c>
      <c r="H1722" s="367">
        <f t="shared" si="236"/>
        <v>10430</v>
      </c>
      <c r="I1722" s="368">
        <f t="shared" si="233"/>
        <v>0</v>
      </c>
      <c r="J1722" s="97">
        <v>18949</v>
      </c>
      <c r="K1722" s="367">
        <f t="shared" si="234"/>
        <v>13535</v>
      </c>
      <c r="L1722" s="97">
        <v>0.64</v>
      </c>
      <c r="M1722" s="97">
        <v>5.3999999999999995</v>
      </c>
      <c r="N1722" s="97">
        <v>28</v>
      </c>
      <c r="O1722" s="97">
        <v>10</v>
      </c>
      <c r="P1722" s="97" t="s">
        <v>555</v>
      </c>
      <c r="Q1722" s="97" t="str">
        <f t="shared" si="237"/>
        <v/>
      </c>
      <c r="R1722" t="str">
        <f t="shared" si="238"/>
        <v/>
      </c>
    </row>
    <row r="1723" spans="3:18">
      <c r="C1723" t="str">
        <f t="shared" si="232"/>
        <v/>
      </c>
      <c r="D1723" s="36">
        <v>463</v>
      </c>
      <c r="E1723" s="97">
        <v>145</v>
      </c>
      <c r="F1723" s="366">
        <f t="shared" si="235"/>
        <v>3146.5</v>
      </c>
      <c r="G1723" s="97">
        <v>4216</v>
      </c>
      <c r="H1723" s="367">
        <f t="shared" si="236"/>
        <v>7362.5</v>
      </c>
      <c r="I1723" s="368">
        <f t="shared" si="233"/>
        <v>0</v>
      </c>
      <c r="J1723" s="97">
        <v>10807</v>
      </c>
      <c r="K1723" s="367">
        <f t="shared" si="234"/>
        <v>7719.2857142857147</v>
      </c>
      <c r="L1723" s="97">
        <v>0.77</v>
      </c>
      <c r="M1723" s="97">
        <v>2.3000000000000003</v>
      </c>
      <c r="N1723" s="97">
        <v>28</v>
      </c>
      <c r="O1723" s="97">
        <v>4</v>
      </c>
      <c r="P1723" s="97" t="s">
        <v>515</v>
      </c>
      <c r="Q1723" s="97" t="str">
        <f t="shared" si="237"/>
        <v/>
      </c>
      <c r="R1723" t="str">
        <f t="shared" si="238"/>
        <v/>
      </c>
    </row>
    <row r="1724" spans="3:18">
      <c r="C1724" t="str">
        <f t="shared" si="232"/>
        <v>NL</v>
      </c>
      <c r="D1724" s="36">
        <v>464</v>
      </c>
      <c r="E1724" s="97">
        <v>145</v>
      </c>
      <c r="F1724" s="366">
        <f t="shared" si="235"/>
        <v>3146.5</v>
      </c>
      <c r="G1724" s="97">
        <v>4441</v>
      </c>
      <c r="H1724" s="367">
        <f t="shared" si="236"/>
        <v>7587.5</v>
      </c>
      <c r="I1724" s="368">
        <f t="shared" si="233"/>
        <v>0</v>
      </c>
      <c r="J1724" s="97">
        <v>11384</v>
      </c>
      <c r="K1724" s="367">
        <f t="shared" si="234"/>
        <v>8131.4285714285716</v>
      </c>
      <c r="L1724" s="97">
        <v>0.51</v>
      </c>
      <c r="M1724" s="97">
        <v>2.8000000000000003</v>
      </c>
      <c r="N1724" s="97">
        <v>27</v>
      </c>
      <c r="O1724" s="97">
        <v>5</v>
      </c>
      <c r="P1724" s="97" t="s">
        <v>515</v>
      </c>
      <c r="Q1724" s="97" t="str">
        <f t="shared" si="237"/>
        <v/>
      </c>
      <c r="R1724" t="str">
        <f t="shared" si="238"/>
        <v/>
      </c>
    </row>
    <row r="1725" spans="3:18">
      <c r="C1725" t="str">
        <f t="shared" si="232"/>
        <v>NL</v>
      </c>
      <c r="D1725" s="36">
        <v>465</v>
      </c>
      <c r="E1725" s="97">
        <v>145</v>
      </c>
      <c r="F1725" s="366">
        <f t="shared" si="235"/>
        <v>3146.5</v>
      </c>
      <c r="G1725" s="97">
        <v>5040</v>
      </c>
      <c r="H1725" s="367">
        <f t="shared" si="236"/>
        <v>8186.5</v>
      </c>
      <c r="I1725" s="368">
        <f t="shared" si="233"/>
        <v>0</v>
      </c>
      <c r="J1725" s="97">
        <v>12920</v>
      </c>
      <c r="K1725" s="367">
        <f t="shared" si="234"/>
        <v>9228.5714285714294</v>
      </c>
      <c r="L1725" s="97">
        <v>0.84</v>
      </c>
      <c r="M1725" s="97">
        <v>2.8000000000000003</v>
      </c>
      <c r="N1725" s="97">
        <v>29</v>
      </c>
      <c r="O1725" s="97">
        <v>5</v>
      </c>
      <c r="P1725" s="97" t="s">
        <v>556</v>
      </c>
      <c r="Q1725" s="97" t="str">
        <f t="shared" si="237"/>
        <v/>
      </c>
      <c r="R1725" t="str">
        <f t="shared" si="238"/>
        <v/>
      </c>
    </row>
    <row r="1726" spans="3:18">
      <c r="C1726" t="str">
        <f t="shared" si="232"/>
        <v/>
      </c>
      <c r="D1726" s="36">
        <v>466</v>
      </c>
      <c r="E1726" s="97">
        <v>145</v>
      </c>
      <c r="F1726" s="366">
        <f t="shared" si="235"/>
        <v>3146.5</v>
      </c>
      <c r="G1726" s="97">
        <v>4683</v>
      </c>
      <c r="H1726" s="367">
        <f t="shared" si="236"/>
        <v>7829.5</v>
      </c>
      <c r="I1726" s="368">
        <f t="shared" si="233"/>
        <v>0</v>
      </c>
      <c r="J1726" s="97">
        <v>12004</v>
      </c>
      <c r="K1726" s="367">
        <f t="shared" si="234"/>
        <v>8574.2857142857138</v>
      </c>
      <c r="L1726" s="97">
        <v>0.35000000000000003</v>
      </c>
      <c r="M1726" s="97">
        <v>3.4</v>
      </c>
      <c r="N1726" s="97">
        <v>25</v>
      </c>
      <c r="O1726" s="97">
        <v>6</v>
      </c>
      <c r="P1726" s="97" t="s">
        <v>515</v>
      </c>
      <c r="Q1726" s="97">
        <f t="shared" si="237"/>
        <v>466</v>
      </c>
      <c r="R1726" t="str">
        <f t="shared" si="238"/>
        <v/>
      </c>
    </row>
    <row r="1727" spans="3:18">
      <c r="C1727" t="str">
        <f t="shared" si="232"/>
        <v/>
      </c>
      <c r="D1727" s="36">
        <v>467</v>
      </c>
      <c r="E1727" s="97">
        <v>145</v>
      </c>
      <c r="F1727" s="366">
        <f t="shared" si="235"/>
        <v>3146.5</v>
      </c>
      <c r="G1727" s="97">
        <v>5263</v>
      </c>
      <c r="H1727" s="367">
        <f t="shared" si="236"/>
        <v>8409.5</v>
      </c>
      <c r="I1727" s="368">
        <f t="shared" si="233"/>
        <v>0</v>
      </c>
      <c r="J1727" s="97">
        <v>13492</v>
      </c>
      <c r="K1727" s="367">
        <f t="shared" si="234"/>
        <v>9637.1428571428569</v>
      </c>
      <c r="L1727" s="97">
        <v>0.59</v>
      </c>
      <c r="M1727" s="97">
        <v>3.4</v>
      </c>
      <c r="N1727" s="97">
        <v>28</v>
      </c>
      <c r="O1727" s="97">
        <v>6</v>
      </c>
      <c r="P1727" s="97" t="s">
        <v>556</v>
      </c>
      <c r="Q1727" s="97">
        <f t="shared" si="237"/>
        <v>467</v>
      </c>
      <c r="R1727" t="str">
        <f t="shared" si="238"/>
        <v/>
      </c>
    </row>
    <row r="1728" spans="3:18">
      <c r="C1728" t="str">
        <f t="shared" si="232"/>
        <v>NL</v>
      </c>
      <c r="D1728" s="36">
        <v>468</v>
      </c>
      <c r="E1728" s="97">
        <v>145</v>
      </c>
      <c r="F1728" s="366">
        <f t="shared" si="235"/>
        <v>3146.5</v>
      </c>
      <c r="G1728" s="97">
        <v>4503</v>
      </c>
      <c r="H1728" s="367">
        <f t="shared" si="236"/>
        <v>7649.5</v>
      </c>
      <c r="I1728" s="368">
        <f t="shared" si="233"/>
        <v>0</v>
      </c>
      <c r="J1728" s="97">
        <v>11544</v>
      </c>
      <c r="K1728" s="367">
        <f t="shared" si="234"/>
        <v>8245.7142857142862</v>
      </c>
      <c r="L1728" s="97">
        <v>0.26</v>
      </c>
      <c r="M1728" s="97">
        <v>3.9</v>
      </c>
      <c r="N1728" s="97">
        <v>24</v>
      </c>
      <c r="O1728" s="97">
        <v>7</v>
      </c>
      <c r="P1728" s="97" t="s">
        <v>515</v>
      </c>
      <c r="Q1728" s="97" t="str">
        <f t="shared" si="237"/>
        <v/>
      </c>
      <c r="R1728" t="str">
        <f t="shared" si="238"/>
        <v/>
      </c>
    </row>
    <row r="1729" spans="3:18">
      <c r="C1729" t="str">
        <f t="shared" si="232"/>
        <v>NL</v>
      </c>
      <c r="D1729" s="36">
        <v>469</v>
      </c>
      <c r="E1729" s="97">
        <v>145</v>
      </c>
      <c r="F1729" s="366">
        <f t="shared" si="235"/>
        <v>3146.5</v>
      </c>
      <c r="G1729" s="97">
        <v>5612</v>
      </c>
      <c r="H1729" s="367">
        <f t="shared" si="236"/>
        <v>8758.5</v>
      </c>
      <c r="I1729" s="368">
        <f t="shared" si="233"/>
        <v>0</v>
      </c>
      <c r="J1729" s="97">
        <v>14386</v>
      </c>
      <c r="K1729" s="367">
        <f t="shared" si="234"/>
        <v>10275.714285714286</v>
      </c>
      <c r="L1729" s="97">
        <v>0.44</v>
      </c>
      <c r="M1729" s="97">
        <v>3.9</v>
      </c>
      <c r="N1729" s="97">
        <v>27</v>
      </c>
      <c r="O1729" s="97">
        <v>7</v>
      </c>
      <c r="P1729" s="97" t="s">
        <v>556</v>
      </c>
      <c r="Q1729" s="97" t="str">
        <f t="shared" si="237"/>
        <v/>
      </c>
      <c r="R1729" t="str">
        <f t="shared" si="238"/>
        <v/>
      </c>
    </row>
    <row r="1730" spans="3:18">
      <c r="C1730" t="str">
        <f t="shared" si="232"/>
        <v>NL</v>
      </c>
      <c r="D1730" s="36">
        <v>470</v>
      </c>
      <c r="E1730" s="97">
        <v>145</v>
      </c>
      <c r="F1730" s="366">
        <f t="shared" si="235"/>
        <v>3146.5</v>
      </c>
      <c r="G1730" s="97">
        <v>6382</v>
      </c>
      <c r="H1730" s="367">
        <f t="shared" si="236"/>
        <v>9528.5</v>
      </c>
      <c r="I1730" s="368">
        <f t="shared" si="233"/>
        <v>0</v>
      </c>
      <c r="J1730" s="97">
        <v>16360</v>
      </c>
      <c r="K1730" s="367">
        <f t="shared" si="234"/>
        <v>11685.714285714286</v>
      </c>
      <c r="L1730" s="97">
        <v>0.9</v>
      </c>
      <c r="M1730" s="97">
        <v>3.9</v>
      </c>
      <c r="N1730" s="97">
        <v>32</v>
      </c>
      <c r="O1730" s="97">
        <v>7</v>
      </c>
      <c r="P1730" s="97" t="s">
        <v>514</v>
      </c>
      <c r="Q1730" s="97" t="str">
        <f t="shared" si="237"/>
        <v/>
      </c>
      <c r="R1730" t="str">
        <f t="shared" si="238"/>
        <v/>
      </c>
    </row>
    <row r="1731" spans="3:18">
      <c r="C1731" t="str">
        <f t="shared" si="232"/>
        <v/>
      </c>
      <c r="D1731" s="36">
        <v>471</v>
      </c>
      <c r="E1731" s="97">
        <v>145</v>
      </c>
      <c r="F1731" s="366">
        <f t="shared" si="235"/>
        <v>3146.5</v>
      </c>
      <c r="G1731" s="97">
        <v>4253</v>
      </c>
      <c r="H1731" s="367">
        <f t="shared" si="236"/>
        <v>7399.5</v>
      </c>
      <c r="I1731" s="368">
        <f t="shared" si="233"/>
        <v>0</v>
      </c>
      <c r="J1731" s="97">
        <v>10902</v>
      </c>
      <c r="K1731" s="367">
        <f t="shared" si="234"/>
        <v>7787.1428571428569</v>
      </c>
      <c r="L1731" s="97">
        <v>0.21000000000000002</v>
      </c>
      <c r="M1731" s="97">
        <v>4.3999999999999995</v>
      </c>
      <c r="N1731" s="97">
        <v>24</v>
      </c>
      <c r="O1731" s="97">
        <v>8</v>
      </c>
      <c r="P1731" s="97" t="s">
        <v>515</v>
      </c>
      <c r="Q1731" s="97">
        <f t="shared" si="237"/>
        <v>471</v>
      </c>
      <c r="R1731" t="str">
        <f t="shared" si="238"/>
        <v/>
      </c>
    </row>
    <row r="1732" spans="3:18">
      <c r="C1732" t="str">
        <f t="shared" si="232"/>
        <v/>
      </c>
      <c r="D1732" s="36">
        <v>472</v>
      </c>
      <c r="E1732" s="97">
        <v>145</v>
      </c>
      <c r="F1732" s="366">
        <f t="shared" si="235"/>
        <v>3146.5</v>
      </c>
      <c r="G1732" s="97">
        <v>5630</v>
      </c>
      <c r="H1732" s="367">
        <f t="shared" si="236"/>
        <v>8776.5</v>
      </c>
      <c r="I1732" s="368">
        <f t="shared" si="233"/>
        <v>0</v>
      </c>
      <c r="J1732" s="97">
        <v>14432</v>
      </c>
      <c r="K1732" s="367">
        <f t="shared" si="234"/>
        <v>10308.571428571429</v>
      </c>
      <c r="L1732" s="97">
        <v>0.34</v>
      </c>
      <c r="M1732" s="97">
        <v>4.3999999999999995</v>
      </c>
      <c r="N1732" s="97">
        <v>26</v>
      </c>
      <c r="O1732" s="97">
        <v>8</v>
      </c>
      <c r="P1732" s="97" t="s">
        <v>556</v>
      </c>
      <c r="Q1732" s="97">
        <f t="shared" si="237"/>
        <v>472</v>
      </c>
      <c r="R1732" t="str">
        <f t="shared" si="238"/>
        <v/>
      </c>
    </row>
    <row r="1733" spans="3:18">
      <c r="C1733" t="str">
        <f t="shared" si="232"/>
        <v/>
      </c>
      <c r="D1733" s="36">
        <v>473</v>
      </c>
      <c r="E1733" s="97">
        <v>145</v>
      </c>
      <c r="F1733" s="366">
        <f t="shared" si="235"/>
        <v>3146.5</v>
      </c>
      <c r="G1733" s="97">
        <v>6579</v>
      </c>
      <c r="H1733" s="367">
        <f t="shared" si="236"/>
        <v>9725.5</v>
      </c>
      <c r="I1733" s="368">
        <f t="shared" si="233"/>
        <v>0</v>
      </c>
      <c r="J1733" s="97">
        <v>16865</v>
      </c>
      <c r="K1733" s="367">
        <f t="shared" si="234"/>
        <v>12046.428571428572</v>
      </c>
      <c r="L1733" s="97">
        <v>0.72</v>
      </c>
      <c r="M1733" s="97">
        <v>4.3999999999999995</v>
      </c>
      <c r="N1733" s="97">
        <v>31</v>
      </c>
      <c r="O1733" s="97">
        <v>8</v>
      </c>
      <c r="P1733" s="97" t="s">
        <v>514</v>
      </c>
      <c r="Q1733" s="97" t="str">
        <f t="shared" si="237"/>
        <v/>
      </c>
      <c r="R1733" t="str">
        <f t="shared" si="238"/>
        <v/>
      </c>
    </row>
    <row r="1734" spans="3:18">
      <c r="C1734" t="str">
        <f t="shared" si="232"/>
        <v/>
      </c>
      <c r="D1734" s="36">
        <v>474</v>
      </c>
      <c r="E1734" s="97">
        <v>145</v>
      </c>
      <c r="F1734" s="366">
        <f t="shared" si="235"/>
        <v>3146.5</v>
      </c>
      <c r="G1734" s="97">
        <v>5049</v>
      </c>
      <c r="H1734" s="367">
        <f t="shared" si="236"/>
        <v>8195.5</v>
      </c>
      <c r="I1734" s="368">
        <f t="shared" si="233"/>
        <v>0</v>
      </c>
      <c r="J1734" s="97">
        <v>12944</v>
      </c>
      <c r="K1734" s="367">
        <f t="shared" si="234"/>
        <v>9245.7142857142862</v>
      </c>
      <c r="L1734" s="97">
        <v>0.24000000000000002</v>
      </c>
      <c r="M1734" s="97">
        <v>5.3999999999999995</v>
      </c>
      <c r="N1734" s="97">
        <v>25</v>
      </c>
      <c r="O1734" s="97">
        <v>10</v>
      </c>
      <c r="P1734" s="97" t="s">
        <v>556</v>
      </c>
      <c r="Q1734" s="97" t="str">
        <f t="shared" si="237"/>
        <v/>
      </c>
      <c r="R1734" t="str">
        <f t="shared" si="238"/>
        <v/>
      </c>
    </row>
    <row r="1735" spans="3:18">
      <c r="C1735" t="str">
        <f t="shared" si="232"/>
        <v/>
      </c>
      <c r="D1735" s="36">
        <v>475</v>
      </c>
      <c r="E1735" s="97">
        <v>145</v>
      </c>
      <c r="F1735" s="366">
        <f t="shared" si="235"/>
        <v>3146.5</v>
      </c>
      <c r="G1735" s="97">
        <v>6668</v>
      </c>
      <c r="H1735" s="367">
        <f t="shared" si="236"/>
        <v>9814.5</v>
      </c>
      <c r="I1735" s="368">
        <f t="shared" si="233"/>
        <v>0</v>
      </c>
      <c r="J1735" s="97">
        <v>17093</v>
      </c>
      <c r="K1735" s="367">
        <f t="shared" si="234"/>
        <v>12209.285714285714</v>
      </c>
      <c r="L1735" s="97">
        <v>0.48</v>
      </c>
      <c r="M1735" s="97">
        <v>5.3999999999999995</v>
      </c>
      <c r="N1735" s="97">
        <v>30</v>
      </c>
      <c r="O1735" s="97">
        <v>10</v>
      </c>
      <c r="P1735" s="97" t="s">
        <v>514</v>
      </c>
      <c r="Q1735" s="97" t="str">
        <f t="shared" si="237"/>
        <v/>
      </c>
      <c r="R1735" t="str">
        <f t="shared" si="238"/>
        <v/>
      </c>
    </row>
    <row r="1736" spans="3:18">
      <c r="C1736" t="str">
        <f t="shared" si="232"/>
        <v/>
      </c>
      <c r="D1736" s="36">
        <v>476</v>
      </c>
      <c r="E1736" s="97">
        <v>145</v>
      </c>
      <c r="F1736" s="366">
        <f t="shared" si="235"/>
        <v>3146.5</v>
      </c>
      <c r="G1736" s="97">
        <v>7571</v>
      </c>
      <c r="H1736" s="367">
        <f t="shared" si="236"/>
        <v>10717.5</v>
      </c>
      <c r="I1736" s="368">
        <f t="shared" si="233"/>
        <v>0</v>
      </c>
      <c r="J1736" s="97">
        <v>19408</v>
      </c>
      <c r="K1736" s="367">
        <f t="shared" si="234"/>
        <v>13862.857142857143</v>
      </c>
      <c r="L1736" s="97">
        <v>0.69000000000000006</v>
      </c>
      <c r="M1736" s="97">
        <v>5.3999999999999995</v>
      </c>
      <c r="N1736" s="97">
        <v>28</v>
      </c>
      <c r="O1736" s="97">
        <v>10</v>
      </c>
      <c r="P1736" s="97" t="s">
        <v>555</v>
      </c>
      <c r="Q1736" s="97" t="str">
        <f t="shared" si="237"/>
        <v/>
      </c>
      <c r="R1736" t="str">
        <f t="shared" si="238"/>
        <v/>
      </c>
    </row>
    <row r="1737" spans="3:18">
      <c r="C1737" t="str">
        <f t="shared" si="232"/>
        <v/>
      </c>
      <c r="D1737" s="36">
        <v>477</v>
      </c>
      <c r="E1737" s="97">
        <v>150</v>
      </c>
      <c r="F1737" s="366">
        <f t="shared" si="235"/>
        <v>3255</v>
      </c>
      <c r="G1737" s="97">
        <v>4296</v>
      </c>
      <c r="H1737" s="367">
        <f t="shared" si="236"/>
        <v>7551</v>
      </c>
      <c r="I1737" s="368">
        <f t="shared" si="233"/>
        <v>0</v>
      </c>
      <c r="J1737" s="97">
        <v>11013</v>
      </c>
      <c r="K1737" s="367">
        <f t="shared" si="234"/>
        <v>7866.4285714285716</v>
      </c>
      <c r="L1737" s="97">
        <v>0.82000000000000006</v>
      </c>
      <c r="M1737" s="97">
        <v>2.3000000000000003</v>
      </c>
      <c r="N1737" s="97">
        <v>29</v>
      </c>
      <c r="O1737" s="97">
        <v>4</v>
      </c>
      <c r="P1737" s="97" t="s">
        <v>515</v>
      </c>
      <c r="Q1737" s="97" t="str">
        <f t="shared" si="237"/>
        <v/>
      </c>
      <c r="R1737" t="str">
        <f t="shared" si="238"/>
        <v/>
      </c>
    </row>
    <row r="1738" spans="3:18">
      <c r="C1738" t="str">
        <f t="shared" si="232"/>
        <v>NL</v>
      </c>
      <c r="D1738" s="36">
        <v>478</v>
      </c>
      <c r="E1738" s="97">
        <v>150</v>
      </c>
      <c r="F1738" s="366">
        <f t="shared" si="235"/>
        <v>3255</v>
      </c>
      <c r="G1738" s="97">
        <v>4552</v>
      </c>
      <c r="H1738" s="367">
        <f t="shared" si="236"/>
        <v>7807</v>
      </c>
      <c r="I1738" s="368">
        <f t="shared" si="233"/>
        <v>0</v>
      </c>
      <c r="J1738" s="97">
        <v>11669</v>
      </c>
      <c r="K1738" s="367">
        <f t="shared" si="234"/>
        <v>8335</v>
      </c>
      <c r="L1738" s="97">
        <v>0.55000000000000004</v>
      </c>
      <c r="M1738" s="97">
        <v>2.8000000000000003</v>
      </c>
      <c r="N1738" s="97">
        <v>28</v>
      </c>
      <c r="O1738" s="97">
        <v>5</v>
      </c>
      <c r="P1738" s="97" t="s">
        <v>515</v>
      </c>
      <c r="Q1738" s="97" t="str">
        <f t="shared" si="237"/>
        <v/>
      </c>
      <c r="R1738" t="str">
        <f t="shared" si="238"/>
        <v/>
      </c>
    </row>
    <row r="1739" spans="3:18">
      <c r="C1739" t="str">
        <f t="shared" si="232"/>
        <v>NL</v>
      </c>
      <c r="D1739" s="36">
        <v>479</v>
      </c>
      <c r="E1739" s="97">
        <v>150</v>
      </c>
      <c r="F1739" s="366">
        <f t="shared" si="235"/>
        <v>3255</v>
      </c>
      <c r="G1739" s="97">
        <v>5149</v>
      </c>
      <c r="H1739" s="367">
        <f t="shared" si="236"/>
        <v>8404</v>
      </c>
      <c r="I1739" s="368">
        <f t="shared" si="233"/>
        <v>0</v>
      </c>
      <c r="J1739" s="97">
        <v>13198</v>
      </c>
      <c r="K1739" s="367">
        <f t="shared" si="234"/>
        <v>9427.1428571428569</v>
      </c>
      <c r="L1739" s="97">
        <v>0.9</v>
      </c>
      <c r="M1739" s="97">
        <v>2.8000000000000003</v>
      </c>
      <c r="N1739" s="97">
        <v>30</v>
      </c>
      <c r="O1739" s="97">
        <v>5</v>
      </c>
      <c r="P1739" s="97" t="s">
        <v>556</v>
      </c>
      <c r="Q1739" s="97" t="str">
        <f t="shared" si="237"/>
        <v/>
      </c>
      <c r="R1739" t="str">
        <f t="shared" si="238"/>
        <v/>
      </c>
    </row>
    <row r="1740" spans="3:18">
      <c r="C1740" t="str">
        <f t="shared" si="232"/>
        <v/>
      </c>
      <c r="D1740" s="36">
        <v>480</v>
      </c>
      <c r="E1740" s="97">
        <v>150</v>
      </c>
      <c r="F1740" s="366">
        <f t="shared" si="235"/>
        <v>3255</v>
      </c>
      <c r="G1740" s="97">
        <v>4787</v>
      </c>
      <c r="H1740" s="367">
        <f t="shared" si="236"/>
        <v>8042</v>
      </c>
      <c r="I1740" s="368">
        <f t="shared" si="233"/>
        <v>0</v>
      </c>
      <c r="J1740" s="97">
        <v>12272</v>
      </c>
      <c r="K1740" s="367">
        <f t="shared" si="234"/>
        <v>8765.7142857142862</v>
      </c>
      <c r="L1740" s="97">
        <v>0.38</v>
      </c>
      <c r="M1740" s="97">
        <v>3.4</v>
      </c>
      <c r="N1740" s="97">
        <v>26</v>
      </c>
      <c r="O1740" s="97">
        <v>6</v>
      </c>
      <c r="P1740" s="97" t="s">
        <v>515</v>
      </c>
      <c r="Q1740" s="97">
        <f t="shared" si="237"/>
        <v>480</v>
      </c>
      <c r="R1740" t="str">
        <f t="shared" si="238"/>
        <v/>
      </c>
    </row>
    <row r="1741" spans="3:18">
      <c r="C1741" t="str">
        <f t="shared" si="232"/>
        <v/>
      </c>
      <c r="D1741" s="36">
        <v>481</v>
      </c>
      <c r="E1741" s="97">
        <v>150</v>
      </c>
      <c r="F1741" s="366">
        <f t="shared" si="235"/>
        <v>3255</v>
      </c>
      <c r="G1741" s="97">
        <v>5385</v>
      </c>
      <c r="H1741" s="367">
        <f t="shared" si="236"/>
        <v>8640</v>
      </c>
      <c r="I1741" s="368">
        <f t="shared" si="233"/>
        <v>0</v>
      </c>
      <c r="J1741" s="97">
        <v>13804</v>
      </c>
      <c r="K1741" s="367">
        <f t="shared" si="234"/>
        <v>9860</v>
      </c>
      <c r="L1741" s="97">
        <v>0.63</v>
      </c>
      <c r="M1741" s="97">
        <v>3.4</v>
      </c>
      <c r="N1741" s="97">
        <v>28</v>
      </c>
      <c r="O1741" s="97">
        <v>6</v>
      </c>
      <c r="P1741" s="97" t="s">
        <v>556</v>
      </c>
      <c r="Q1741" s="97">
        <f t="shared" si="237"/>
        <v>481</v>
      </c>
      <c r="R1741" t="str">
        <f t="shared" si="238"/>
        <v/>
      </c>
    </row>
    <row r="1742" spans="3:18">
      <c r="C1742" t="str">
        <f t="shared" si="232"/>
        <v>NL</v>
      </c>
      <c r="D1742" s="36">
        <v>482</v>
      </c>
      <c r="E1742" s="97">
        <v>150</v>
      </c>
      <c r="F1742" s="366">
        <f t="shared" si="235"/>
        <v>3255</v>
      </c>
      <c r="G1742" s="97">
        <v>4702</v>
      </c>
      <c r="H1742" s="367">
        <f t="shared" si="236"/>
        <v>7957</v>
      </c>
      <c r="I1742" s="368">
        <f t="shared" si="233"/>
        <v>0</v>
      </c>
      <c r="J1742" s="97">
        <v>12055</v>
      </c>
      <c r="K1742" s="367">
        <f t="shared" si="234"/>
        <v>8610.7142857142862</v>
      </c>
      <c r="L1742" s="97">
        <v>0.28000000000000003</v>
      </c>
      <c r="M1742" s="97">
        <v>3.9</v>
      </c>
      <c r="N1742" s="97">
        <v>25</v>
      </c>
      <c r="O1742" s="97">
        <v>7</v>
      </c>
      <c r="P1742" s="97" t="s">
        <v>515</v>
      </c>
      <c r="Q1742" s="97" t="str">
        <f t="shared" si="237"/>
        <v/>
      </c>
      <c r="R1742" t="str">
        <f t="shared" si="238"/>
        <v/>
      </c>
    </row>
    <row r="1743" spans="3:18">
      <c r="C1743" t="str">
        <f t="shared" ref="C1743:C1806" si="239">IF(OR($O$4=0,O1743-$O$4=0),IF(AND(ISEVEN(O1743)=FALSE,$N$4="Even"),"NL",""),"NL")</f>
        <v>NL</v>
      </c>
      <c r="D1743" s="36">
        <v>483</v>
      </c>
      <c r="E1743" s="97">
        <v>150</v>
      </c>
      <c r="F1743" s="366">
        <f t="shared" si="235"/>
        <v>3255</v>
      </c>
      <c r="G1743" s="97">
        <v>5738</v>
      </c>
      <c r="H1743" s="367">
        <f t="shared" si="236"/>
        <v>8993</v>
      </c>
      <c r="I1743" s="368">
        <f t="shared" ref="I1743:I1806" si="240">1.085*($C$2-$D$2)*E1743*$T$7</f>
        <v>0</v>
      </c>
      <c r="J1743" s="97">
        <v>14708</v>
      </c>
      <c r="K1743" s="367">
        <f t="shared" ref="K1743:K1806" si="241">(J1743*$V$7)-I1743</f>
        <v>10505.714285714286</v>
      </c>
      <c r="L1743" s="97">
        <v>0.47000000000000003</v>
      </c>
      <c r="M1743" s="97">
        <v>3.9</v>
      </c>
      <c r="N1743" s="97">
        <v>27</v>
      </c>
      <c r="O1743" s="97">
        <v>7</v>
      </c>
      <c r="P1743" s="97" t="s">
        <v>556</v>
      </c>
      <c r="Q1743" s="97" t="str">
        <f t="shared" si="237"/>
        <v/>
      </c>
      <c r="R1743" t="str">
        <f t="shared" si="238"/>
        <v/>
      </c>
    </row>
    <row r="1744" spans="3:18">
      <c r="C1744" t="str">
        <f t="shared" si="239"/>
        <v>NL</v>
      </c>
      <c r="D1744" s="36">
        <v>484</v>
      </c>
      <c r="E1744" s="97">
        <v>150</v>
      </c>
      <c r="F1744" s="366">
        <f t="shared" si="235"/>
        <v>3255</v>
      </c>
      <c r="G1744" s="97">
        <v>6527</v>
      </c>
      <c r="H1744" s="367">
        <f t="shared" si="236"/>
        <v>9782</v>
      </c>
      <c r="I1744" s="368">
        <f t="shared" si="240"/>
        <v>0</v>
      </c>
      <c r="J1744" s="97">
        <v>16733</v>
      </c>
      <c r="K1744" s="367">
        <f t="shared" si="241"/>
        <v>11952.142857142857</v>
      </c>
      <c r="L1744" s="97">
        <v>0.97</v>
      </c>
      <c r="M1744" s="97">
        <v>3.9</v>
      </c>
      <c r="N1744" s="97">
        <v>32</v>
      </c>
      <c r="O1744" s="97">
        <v>7</v>
      </c>
      <c r="P1744" s="97" t="s">
        <v>514</v>
      </c>
      <c r="Q1744" s="97" t="str">
        <f t="shared" si="237"/>
        <v/>
      </c>
      <c r="R1744" t="str">
        <f t="shared" si="238"/>
        <v/>
      </c>
    </row>
    <row r="1745" spans="3:18">
      <c r="C1745" t="str">
        <f t="shared" si="239"/>
        <v/>
      </c>
      <c r="D1745" s="36">
        <v>485</v>
      </c>
      <c r="E1745" s="97">
        <v>150</v>
      </c>
      <c r="F1745" s="366">
        <f t="shared" si="235"/>
        <v>3255</v>
      </c>
      <c r="G1745" s="97">
        <v>4432</v>
      </c>
      <c r="H1745" s="367">
        <f t="shared" si="236"/>
        <v>7687</v>
      </c>
      <c r="I1745" s="368">
        <f t="shared" si="240"/>
        <v>0</v>
      </c>
      <c r="J1745" s="97">
        <v>11362</v>
      </c>
      <c r="K1745" s="367">
        <f t="shared" si="241"/>
        <v>8115.7142857142862</v>
      </c>
      <c r="L1745" s="97">
        <v>0.22</v>
      </c>
      <c r="M1745" s="97">
        <v>4.3999999999999995</v>
      </c>
      <c r="N1745" s="97">
        <v>24</v>
      </c>
      <c r="O1745" s="97">
        <v>8</v>
      </c>
      <c r="P1745" s="97" t="s">
        <v>515</v>
      </c>
      <c r="Q1745" s="97">
        <f t="shared" si="237"/>
        <v>485</v>
      </c>
      <c r="R1745" t="str">
        <f t="shared" si="238"/>
        <v/>
      </c>
    </row>
    <row r="1746" spans="3:18">
      <c r="C1746" t="str">
        <f t="shared" si="239"/>
        <v/>
      </c>
      <c r="D1746" s="36">
        <v>486</v>
      </c>
      <c r="E1746" s="97">
        <v>150</v>
      </c>
      <c r="F1746" s="366">
        <f t="shared" si="235"/>
        <v>3255</v>
      </c>
      <c r="G1746" s="97">
        <v>5799</v>
      </c>
      <c r="H1746" s="367">
        <f t="shared" si="236"/>
        <v>9054</v>
      </c>
      <c r="I1746" s="368">
        <f t="shared" si="240"/>
        <v>0</v>
      </c>
      <c r="J1746" s="97">
        <v>14865</v>
      </c>
      <c r="K1746" s="367">
        <f t="shared" si="241"/>
        <v>10617.857142857143</v>
      </c>
      <c r="L1746" s="97">
        <v>0.36</v>
      </c>
      <c r="M1746" s="97">
        <v>4.3999999999999995</v>
      </c>
      <c r="N1746" s="97">
        <v>26</v>
      </c>
      <c r="O1746" s="97">
        <v>8</v>
      </c>
      <c r="P1746" s="97" t="s">
        <v>556</v>
      </c>
      <c r="Q1746" s="97">
        <f t="shared" si="237"/>
        <v>486</v>
      </c>
      <c r="R1746" t="str">
        <f t="shared" si="238"/>
        <v/>
      </c>
    </row>
    <row r="1747" spans="3:18">
      <c r="C1747" t="str">
        <f t="shared" si="239"/>
        <v/>
      </c>
      <c r="D1747" s="36">
        <v>487</v>
      </c>
      <c r="E1747" s="97">
        <v>150</v>
      </c>
      <c r="F1747" s="366">
        <f t="shared" si="235"/>
        <v>3255</v>
      </c>
      <c r="G1747" s="97">
        <v>6738</v>
      </c>
      <c r="H1747" s="367">
        <f t="shared" si="236"/>
        <v>9993</v>
      </c>
      <c r="I1747" s="368">
        <f t="shared" si="240"/>
        <v>0</v>
      </c>
      <c r="J1747" s="97">
        <v>17274</v>
      </c>
      <c r="K1747" s="367">
        <f t="shared" si="241"/>
        <v>12338.571428571429</v>
      </c>
      <c r="L1747" s="97">
        <v>0.77</v>
      </c>
      <c r="M1747" s="97">
        <v>4.3999999999999995</v>
      </c>
      <c r="N1747" s="97">
        <v>32</v>
      </c>
      <c r="O1747" s="97">
        <v>8</v>
      </c>
      <c r="P1747" s="97" t="s">
        <v>514</v>
      </c>
      <c r="Q1747" s="97" t="str">
        <f t="shared" si="237"/>
        <v/>
      </c>
      <c r="R1747" t="str">
        <f t="shared" si="238"/>
        <v/>
      </c>
    </row>
    <row r="1748" spans="3:18">
      <c r="C1748" t="str">
        <f t="shared" si="239"/>
        <v>NL</v>
      </c>
      <c r="D1748" s="36">
        <v>488</v>
      </c>
      <c r="E1748" s="97">
        <v>150</v>
      </c>
      <c r="F1748" s="366">
        <f t="shared" si="235"/>
        <v>3255</v>
      </c>
      <c r="G1748" s="97">
        <v>4305</v>
      </c>
      <c r="H1748" s="367">
        <f t="shared" si="236"/>
        <v>7560</v>
      </c>
      <c r="I1748" s="368">
        <f t="shared" si="240"/>
        <v>0</v>
      </c>
      <c r="J1748" s="97">
        <v>11035</v>
      </c>
      <c r="K1748" s="367">
        <f t="shared" si="241"/>
        <v>7882.1428571428569</v>
      </c>
      <c r="L1748" s="97">
        <v>0.19</v>
      </c>
      <c r="M1748" s="97">
        <v>4.8999999999999995</v>
      </c>
      <c r="N1748" s="97">
        <v>24</v>
      </c>
      <c r="O1748" s="97">
        <v>9</v>
      </c>
      <c r="P1748" s="97" t="s">
        <v>515</v>
      </c>
      <c r="Q1748" s="97" t="str">
        <f t="shared" si="237"/>
        <v/>
      </c>
      <c r="R1748" t="str">
        <f t="shared" si="238"/>
        <v/>
      </c>
    </row>
    <row r="1749" spans="3:18">
      <c r="C1749" t="str">
        <f t="shared" si="239"/>
        <v/>
      </c>
      <c r="D1749" s="36">
        <v>489</v>
      </c>
      <c r="E1749" s="97">
        <v>150</v>
      </c>
      <c r="F1749" s="366">
        <f t="shared" si="235"/>
        <v>3255</v>
      </c>
      <c r="G1749" s="97">
        <v>5262</v>
      </c>
      <c r="H1749" s="367">
        <f t="shared" si="236"/>
        <v>8517</v>
      </c>
      <c r="I1749" s="368">
        <f t="shared" si="240"/>
        <v>0</v>
      </c>
      <c r="J1749" s="97">
        <v>13490</v>
      </c>
      <c r="K1749" s="367">
        <f t="shared" si="241"/>
        <v>9635.7142857142862</v>
      </c>
      <c r="L1749" s="97">
        <v>0.25</v>
      </c>
      <c r="M1749" s="97">
        <v>5.3999999999999995</v>
      </c>
      <c r="N1749" s="97">
        <v>26</v>
      </c>
      <c r="O1749" s="97">
        <v>10</v>
      </c>
      <c r="P1749" s="97" t="s">
        <v>556</v>
      </c>
      <c r="Q1749" s="97" t="str">
        <f t="shared" si="237"/>
        <v/>
      </c>
      <c r="R1749" t="str">
        <f t="shared" si="238"/>
        <v/>
      </c>
    </row>
    <row r="1750" spans="3:18">
      <c r="C1750" t="str">
        <f t="shared" si="239"/>
        <v/>
      </c>
      <c r="D1750" s="36">
        <v>490</v>
      </c>
      <c r="E1750" s="97">
        <v>150</v>
      </c>
      <c r="F1750" s="366">
        <f t="shared" si="235"/>
        <v>3255</v>
      </c>
      <c r="G1750" s="97">
        <v>6911</v>
      </c>
      <c r="H1750" s="367">
        <f t="shared" si="236"/>
        <v>10166</v>
      </c>
      <c r="I1750" s="368">
        <f t="shared" si="240"/>
        <v>0</v>
      </c>
      <c r="J1750" s="97">
        <v>17717</v>
      </c>
      <c r="K1750" s="367">
        <f t="shared" si="241"/>
        <v>12655</v>
      </c>
      <c r="L1750" s="97">
        <v>0.51</v>
      </c>
      <c r="M1750" s="97">
        <v>5.3999999999999995</v>
      </c>
      <c r="N1750" s="97">
        <v>31</v>
      </c>
      <c r="O1750" s="97">
        <v>10</v>
      </c>
      <c r="P1750" s="97" t="s">
        <v>514</v>
      </c>
      <c r="Q1750" s="97" t="str">
        <f t="shared" si="237"/>
        <v/>
      </c>
      <c r="R1750" t="str">
        <f t="shared" si="238"/>
        <v/>
      </c>
    </row>
    <row r="1751" spans="3:18">
      <c r="C1751" t="str">
        <f t="shared" si="239"/>
        <v/>
      </c>
      <c r="D1751" s="36">
        <v>491</v>
      </c>
      <c r="E1751" s="97">
        <v>150</v>
      </c>
      <c r="F1751" s="366">
        <f t="shared" si="235"/>
        <v>3255</v>
      </c>
      <c r="G1751" s="97">
        <v>7750</v>
      </c>
      <c r="H1751" s="367">
        <f t="shared" si="236"/>
        <v>11005</v>
      </c>
      <c r="I1751" s="368">
        <f t="shared" si="240"/>
        <v>0</v>
      </c>
      <c r="J1751" s="97">
        <v>19867</v>
      </c>
      <c r="K1751" s="367">
        <f t="shared" si="241"/>
        <v>14190.714285714286</v>
      </c>
      <c r="L1751" s="97">
        <v>0.74</v>
      </c>
      <c r="M1751" s="97">
        <v>5.3999999999999995</v>
      </c>
      <c r="N1751" s="97">
        <v>29</v>
      </c>
      <c r="O1751" s="97">
        <v>10</v>
      </c>
      <c r="P1751" s="97" t="s">
        <v>555</v>
      </c>
      <c r="Q1751" s="97" t="str">
        <f t="shared" si="237"/>
        <v/>
      </c>
      <c r="R1751" t="str">
        <f t="shared" si="238"/>
        <v/>
      </c>
    </row>
    <row r="1752" spans="3:18">
      <c r="C1752" t="str">
        <f t="shared" si="239"/>
        <v/>
      </c>
      <c r="D1752" s="36">
        <v>492</v>
      </c>
      <c r="E1752" s="97">
        <v>155</v>
      </c>
      <c r="F1752" s="366">
        <f t="shared" si="235"/>
        <v>3363.5</v>
      </c>
      <c r="G1752" s="97">
        <v>4375</v>
      </c>
      <c r="H1752" s="367">
        <f t="shared" si="236"/>
        <v>7738.5</v>
      </c>
      <c r="I1752" s="368">
        <f t="shared" si="240"/>
        <v>0</v>
      </c>
      <c r="J1752" s="97">
        <v>11215</v>
      </c>
      <c r="K1752" s="367">
        <f t="shared" si="241"/>
        <v>8010.7142857142862</v>
      </c>
      <c r="L1752" s="97">
        <v>0.88</v>
      </c>
      <c r="M1752" s="97">
        <v>2.3000000000000003</v>
      </c>
      <c r="N1752" s="97">
        <v>29</v>
      </c>
      <c r="O1752" s="97">
        <v>4</v>
      </c>
      <c r="P1752" s="97" t="s">
        <v>515</v>
      </c>
      <c r="Q1752" s="97" t="str">
        <f t="shared" si="237"/>
        <v/>
      </c>
      <c r="R1752" t="str">
        <f t="shared" si="238"/>
        <v/>
      </c>
    </row>
    <row r="1753" spans="3:18">
      <c r="C1753" t="str">
        <f t="shared" si="239"/>
        <v>NL</v>
      </c>
      <c r="D1753" s="36">
        <v>493</v>
      </c>
      <c r="E1753" s="97">
        <v>155</v>
      </c>
      <c r="F1753" s="366">
        <f t="shared" si="235"/>
        <v>3363.5</v>
      </c>
      <c r="G1753" s="97">
        <v>4663</v>
      </c>
      <c r="H1753" s="367">
        <f t="shared" si="236"/>
        <v>8026.5</v>
      </c>
      <c r="I1753" s="368">
        <f t="shared" si="240"/>
        <v>0</v>
      </c>
      <c r="J1753" s="97">
        <v>11955</v>
      </c>
      <c r="K1753" s="367">
        <f t="shared" si="241"/>
        <v>8539.2857142857138</v>
      </c>
      <c r="L1753" s="97">
        <v>0.59</v>
      </c>
      <c r="M1753" s="97">
        <v>2.8000000000000003</v>
      </c>
      <c r="N1753" s="97">
        <v>28</v>
      </c>
      <c r="O1753" s="97">
        <v>5</v>
      </c>
      <c r="P1753" s="97" t="s">
        <v>515</v>
      </c>
      <c r="Q1753" s="97" t="str">
        <f t="shared" si="237"/>
        <v/>
      </c>
      <c r="R1753" t="str">
        <f t="shared" si="238"/>
        <v/>
      </c>
    </row>
    <row r="1754" spans="3:18">
      <c r="C1754" t="str">
        <f t="shared" si="239"/>
        <v>NL</v>
      </c>
      <c r="D1754" s="36">
        <v>494</v>
      </c>
      <c r="E1754" s="97">
        <v>155</v>
      </c>
      <c r="F1754" s="366">
        <f t="shared" si="235"/>
        <v>3363.5</v>
      </c>
      <c r="G1754" s="97">
        <v>5255</v>
      </c>
      <c r="H1754" s="367">
        <f t="shared" si="236"/>
        <v>8618.5</v>
      </c>
      <c r="I1754" s="368">
        <f t="shared" si="240"/>
        <v>0</v>
      </c>
      <c r="J1754" s="97">
        <v>13471</v>
      </c>
      <c r="K1754" s="367">
        <f t="shared" si="241"/>
        <v>9622.1428571428569</v>
      </c>
      <c r="L1754" s="97">
        <v>0.96</v>
      </c>
      <c r="M1754" s="97">
        <v>2.8000000000000003</v>
      </c>
      <c r="N1754" s="97">
        <v>30</v>
      </c>
      <c r="O1754" s="97">
        <v>5</v>
      </c>
      <c r="P1754" s="97" t="s">
        <v>556</v>
      </c>
      <c r="Q1754" s="97" t="str">
        <f t="shared" si="237"/>
        <v/>
      </c>
      <c r="R1754" t="str">
        <f t="shared" si="238"/>
        <v/>
      </c>
    </row>
    <row r="1755" spans="3:18">
      <c r="C1755" t="str">
        <f t="shared" si="239"/>
        <v/>
      </c>
      <c r="D1755" s="36">
        <v>495</v>
      </c>
      <c r="E1755" s="97">
        <v>155</v>
      </c>
      <c r="F1755" s="366">
        <f t="shared" si="235"/>
        <v>3363.5</v>
      </c>
      <c r="G1755" s="97">
        <v>4891</v>
      </c>
      <c r="H1755" s="367">
        <f t="shared" si="236"/>
        <v>8254.5</v>
      </c>
      <c r="I1755" s="368">
        <f t="shared" si="240"/>
        <v>0</v>
      </c>
      <c r="J1755" s="97">
        <v>12539</v>
      </c>
      <c r="K1755" s="367">
        <f t="shared" si="241"/>
        <v>8956.4285714285725</v>
      </c>
      <c r="L1755" s="97">
        <v>0.4</v>
      </c>
      <c r="M1755" s="97">
        <v>3.4</v>
      </c>
      <c r="N1755" s="97">
        <v>26</v>
      </c>
      <c r="O1755" s="97">
        <v>6</v>
      </c>
      <c r="P1755" s="97" t="s">
        <v>515</v>
      </c>
      <c r="Q1755" s="97">
        <f t="shared" si="237"/>
        <v>495</v>
      </c>
      <c r="R1755" t="str">
        <f t="shared" si="238"/>
        <v/>
      </c>
    </row>
    <row r="1756" spans="3:18">
      <c r="C1756" t="str">
        <f t="shared" si="239"/>
        <v/>
      </c>
      <c r="D1756" s="36">
        <v>496</v>
      </c>
      <c r="E1756" s="97">
        <v>155</v>
      </c>
      <c r="F1756" s="366">
        <f t="shared" si="235"/>
        <v>3363.5</v>
      </c>
      <c r="G1756" s="97">
        <v>5503</v>
      </c>
      <c r="H1756" s="367">
        <f t="shared" si="236"/>
        <v>8866.5</v>
      </c>
      <c r="I1756" s="368">
        <f t="shared" si="240"/>
        <v>0</v>
      </c>
      <c r="J1756" s="97">
        <v>14107</v>
      </c>
      <c r="K1756" s="367">
        <f t="shared" si="241"/>
        <v>10076.428571428572</v>
      </c>
      <c r="L1756" s="97">
        <v>0.67</v>
      </c>
      <c r="M1756" s="97">
        <v>3.4</v>
      </c>
      <c r="N1756" s="97">
        <v>29</v>
      </c>
      <c r="O1756" s="97">
        <v>6</v>
      </c>
      <c r="P1756" s="97" t="s">
        <v>556</v>
      </c>
      <c r="Q1756" s="97">
        <f t="shared" si="237"/>
        <v>496</v>
      </c>
      <c r="R1756" t="str">
        <f t="shared" si="238"/>
        <v/>
      </c>
    </row>
    <row r="1757" spans="3:18">
      <c r="C1757" t="str">
        <f t="shared" si="239"/>
        <v>NL</v>
      </c>
      <c r="D1757" s="36">
        <v>497</v>
      </c>
      <c r="E1757" s="97">
        <v>155</v>
      </c>
      <c r="F1757" s="366">
        <f t="shared" si="235"/>
        <v>3363.5</v>
      </c>
      <c r="G1757" s="97">
        <v>4902</v>
      </c>
      <c r="H1757" s="367">
        <f t="shared" si="236"/>
        <v>8265.5</v>
      </c>
      <c r="I1757" s="368">
        <f t="shared" si="240"/>
        <v>0</v>
      </c>
      <c r="J1757" s="97">
        <v>12565</v>
      </c>
      <c r="K1757" s="367">
        <f t="shared" si="241"/>
        <v>8975</v>
      </c>
      <c r="L1757" s="97">
        <v>0.3</v>
      </c>
      <c r="M1757" s="97">
        <v>3.9</v>
      </c>
      <c r="N1757" s="97">
        <v>25</v>
      </c>
      <c r="O1757" s="97">
        <v>7</v>
      </c>
      <c r="P1757" s="97" t="s">
        <v>515</v>
      </c>
      <c r="Q1757" s="97" t="str">
        <f t="shared" si="237"/>
        <v/>
      </c>
      <c r="R1757" t="str">
        <f t="shared" si="238"/>
        <v/>
      </c>
    </row>
    <row r="1758" spans="3:18">
      <c r="C1758" t="str">
        <f t="shared" si="239"/>
        <v>NL</v>
      </c>
      <c r="D1758" s="36">
        <v>498</v>
      </c>
      <c r="E1758" s="97">
        <v>155</v>
      </c>
      <c r="F1758" s="366">
        <f t="shared" si="235"/>
        <v>3363.5</v>
      </c>
      <c r="G1758" s="97">
        <v>5863</v>
      </c>
      <c r="H1758" s="367">
        <f t="shared" si="236"/>
        <v>9226.5</v>
      </c>
      <c r="I1758" s="368">
        <f t="shared" si="240"/>
        <v>0</v>
      </c>
      <c r="J1758" s="97">
        <v>15030</v>
      </c>
      <c r="K1758" s="367">
        <f t="shared" si="241"/>
        <v>10735.714285714286</v>
      </c>
      <c r="L1758" s="97">
        <v>0.5</v>
      </c>
      <c r="M1758" s="97">
        <v>3.9</v>
      </c>
      <c r="N1758" s="97">
        <v>27</v>
      </c>
      <c r="O1758" s="97">
        <v>7</v>
      </c>
      <c r="P1758" s="97" t="s">
        <v>556</v>
      </c>
      <c r="Q1758" s="97" t="str">
        <f t="shared" si="237"/>
        <v/>
      </c>
      <c r="R1758" t="str">
        <f t="shared" si="238"/>
        <v/>
      </c>
    </row>
    <row r="1759" spans="3:18">
      <c r="C1759" t="str">
        <f t="shared" si="239"/>
        <v>NL</v>
      </c>
      <c r="D1759" s="36">
        <v>499</v>
      </c>
      <c r="E1759" s="97">
        <v>155</v>
      </c>
      <c r="F1759" s="366">
        <f t="shared" si="235"/>
        <v>3363.5</v>
      </c>
      <c r="G1759" s="97">
        <v>6673</v>
      </c>
      <c r="H1759" s="367">
        <f t="shared" si="236"/>
        <v>10036.5</v>
      </c>
      <c r="I1759" s="368">
        <f t="shared" si="240"/>
        <v>0</v>
      </c>
      <c r="J1759" s="97">
        <v>17106</v>
      </c>
      <c r="K1759" s="367">
        <f t="shared" si="241"/>
        <v>12218.571428571429</v>
      </c>
      <c r="L1759" s="97">
        <v>1.03</v>
      </c>
      <c r="M1759" s="97">
        <v>3.9</v>
      </c>
      <c r="N1759" s="97">
        <v>33</v>
      </c>
      <c r="O1759" s="97">
        <v>7</v>
      </c>
      <c r="P1759" s="97" t="s">
        <v>514</v>
      </c>
      <c r="Q1759" s="97" t="str">
        <f t="shared" si="237"/>
        <v/>
      </c>
      <c r="R1759" t="str">
        <f t="shared" si="238"/>
        <v/>
      </c>
    </row>
    <row r="1760" spans="3:18">
      <c r="C1760" t="str">
        <f t="shared" si="239"/>
        <v/>
      </c>
      <c r="D1760" s="36">
        <v>500</v>
      </c>
      <c r="E1760" s="97">
        <v>155</v>
      </c>
      <c r="F1760" s="366">
        <f t="shared" si="235"/>
        <v>3363.5</v>
      </c>
      <c r="G1760" s="97">
        <v>4612</v>
      </c>
      <c r="H1760" s="367">
        <f t="shared" si="236"/>
        <v>7975.5</v>
      </c>
      <c r="I1760" s="368">
        <f t="shared" si="240"/>
        <v>0</v>
      </c>
      <c r="J1760" s="97">
        <v>11822</v>
      </c>
      <c r="K1760" s="367">
        <f t="shared" si="241"/>
        <v>8444.2857142857138</v>
      </c>
      <c r="L1760" s="97">
        <v>0.24000000000000002</v>
      </c>
      <c r="M1760" s="97">
        <v>4.3999999999999995</v>
      </c>
      <c r="N1760" s="97">
        <v>24</v>
      </c>
      <c r="O1760" s="97">
        <v>8</v>
      </c>
      <c r="P1760" s="97" t="s">
        <v>515</v>
      </c>
      <c r="Q1760" s="97">
        <f t="shared" si="237"/>
        <v>500</v>
      </c>
      <c r="R1760" t="str">
        <f t="shared" si="238"/>
        <v/>
      </c>
    </row>
    <row r="1761" spans="3:18">
      <c r="C1761" t="str">
        <f t="shared" si="239"/>
        <v/>
      </c>
      <c r="D1761" s="36">
        <v>501</v>
      </c>
      <c r="E1761" s="97">
        <v>155</v>
      </c>
      <c r="F1761" s="366">
        <f t="shared" si="235"/>
        <v>3363.5</v>
      </c>
      <c r="G1761" s="97">
        <v>5936</v>
      </c>
      <c r="H1761" s="367">
        <f t="shared" si="236"/>
        <v>9299.5</v>
      </c>
      <c r="I1761" s="368">
        <f t="shared" si="240"/>
        <v>0</v>
      </c>
      <c r="J1761" s="97">
        <v>15217</v>
      </c>
      <c r="K1761" s="367">
        <f t="shared" si="241"/>
        <v>10869.285714285714</v>
      </c>
      <c r="L1761" s="97">
        <v>0.39</v>
      </c>
      <c r="M1761" s="97">
        <v>4.3999999999999995</v>
      </c>
      <c r="N1761" s="97">
        <v>26</v>
      </c>
      <c r="O1761" s="97">
        <v>8</v>
      </c>
      <c r="P1761" s="97" t="s">
        <v>556</v>
      </c>
      <c r="Q1761" s="97">
        <f t="shared" si="237"/>
        <v>501</v>
      </c>
      <c r="R1761" t="str">
        <f t="shared" si="238"/>
        <v/>
      </c>
    </row>
    <row r="1762" spans="3:18">
      <c r="C1762" t="str">
        <f t="shared" si="239"/>
        <v/>
      </c>
      <c r="D1762" s="36">
        <v>502</v>
      </c>
      <c r="E1762" s="97">
        <v>155</v>
      </c>
      <c r="F1762" s="366">
        <f t="shared" si="235"/>
        <v>3363.5</v>
      </c>
      <c r="G1762" s="97">
        <v>6890</v>
      </c>
      <c r="H1762" s="367">
        <f t="shared" si="236"/>
        <v>10253.5</v>
      </c>
      <c r="I1762" s="368">
        <f t="shared" si="240"/>
        <v>0</v>
      </c>
      <c r="J1762" s="97">
        <v>17662</v>
      </c>
      <c r="K1762" s="367">
        <f t="shared" si="241"/>
        <v>12615.714285714286</v>
      </c>
      <c r="L1762" s="97">
        <v>0.82000000000000006</v>
      </c>
      <c r="M1762" s="97">
        <v>4.3999999999999995</v>
      </c>
      <c r="N1762" s="97">
        <v>32</v>
      </c>
      <c r="O1762" s="97">
        <v>8</v>
      </c>
      <c r="P1762" s="97" t="s">
        <v>514</v>
      </c>
      <c r="Q1762" s="97" t="str">
        <f t="shared" si="237"/>
        <v/>
      </c>
      <c r="R1762" t="str">
        <f t="shared" si="238"/>
        <v/>
      </c>
    </row>
    <row r="1763" spans="3:18">
      <c r="C1763" t="str">
        <f t="shared" si="239"/>
        <v>NL</v>
      </c>
      <c r="D1763" s="36">
        <v>503</v>
      </c>
      <c r="E1763" s="97">
        <v>155</v>
      </c>
      <c r="F1763" s="366">
        <f t="shared" si="235"/>
        <v>3363.5</v>
      </c>
      <c r="G1763" s="97">
        <v>4416</v>
      </c>
      <c r="H1763" s="367">
        <f t="shared" si="236"/>
        <v>7779.5</v>
      </c>
      <c r="I1763" s="368">
        <f t="shared" si="240"/>
        <v>0</v>
      </c>
      <c r="J1763" s="97">
        <v>11321</v>
      </c>
      <c r="K1763" s="367">
        <f t="shared" si="241"/>
        <v>8086.4285714285716</v>
      </c>
      <c r="L1763" s="97">
        <v>0.2</v>
      </c>
      <c r="M1763" s="97">
        <v>4.8999999999999995</v>
      </c>
      <c r="N1763" s="97">
        <v>25</v>
      </c>
      <c r="O1763" s="97">
        <v>9</v>
      </c>
      <c r="P1763" s="97" t="s">
        <v>515</v>
      </c>
      <c r="Q1763" s="97" t="str">
        <f t="shared" si="237"/>
        <v/>
      </c>
      <c r="R1763" t="str">
        <f t="shared" si="238"/>
        <v/>
      </c>
    </row>
    <row r="1764" spans="3:18">
      <c r="C1764" t="str">
        <f t="shared" si="239"/>
        <v/>
      </c>
      <c r="D1764" s="36">
        <v>504</v>
      </c>
      <c r="E1764" s="97">
        <v>155</v>
      </c>
      <c r="F1764" s="366">
        <f t="shared" si="235"/>
        <v>3363.5</v>
      </c>
      <c r="G1764" s="97">
        <v>5475</v>
      </c>
      <c r="H1764" s="367">
        <f t="shared" si="236"/>
        <v>8838.5</v>
      </c>
      <c r="I1764" s="368">
        <f t="shared" si="240"/>
        <v>0</v>
      </c>
      <c r="J1764" s="97">
        <v>14035</v>
      </c>
      <c r="K1764" s="367">
        <f t="shared" si="241"/>
        <v>10025</v>
      </c>
      <c r="L1764" s="97">
        <v>0.27</v>
      </c>
      <c r="M1764" s="97">
        <v>5.3999999999999995</v>
      </c>
      <c r="N1764" s="97">
        <v>26</v>
      </c>
      <c r="O1764" s="97">
        <v>10</v>
      </c>
      <c r="P1764" s="97" t="s">
        <v>556</v>
      </c>
      <c r="Q1764" s="97" t="str">
        <f t="shared" si="237"/>
        <v/>
      </c>
      <c r="R1764" t="str">
        <f t="shared" si="238"/>
        <v/>
      </c>
    </row>
    <row r="1765" spans="3:18">
      <c r="C1765" t="str">
        <f t="shared" si="239"/>
        <v/>
      </c>
      <c r="D1765" s="36">
        <v>505</v>
      </c>
      <c r="E1765" s="97">
        <v>155</v>
      </c>
      <c r="F1765" s="366">
        <f t="shared" si="235"/>
        <v>3363.5</v>
      </c>
      <c r="G1765" s="97">
        <v>7067</v>
      </c>
      <c r="H1765" s="367">
        <f t="shared" si="236"/>
        <v>10430.5</v>
      </c>
      <c r="I1765" s="368">
        <f t="shared" si="240"/>
        <v>0</v>
      </c>
      <c r="J1765" s="97">
        <v>18117</v>
      </c>
      <c r="K1765" s="367">
        <f t="shared" si="241"/>
        <v>12940.714285714286</v>
      </c>
      <c r="L1765" s="97">
        <v>0.55000000000000004</v>
      </c>
      <c r="M1765" s="97">
        <v>5.3999999999999995</v>
      </c>
      <c r="N1765" s="97">
        <v>31</v>
      </c>
      <c r="O1765" s="97">
        <v>10</v>
      </c>
      <c r="P1765" s="97" t="s">
        <v>514</v>
      </c>
      <c r="Q1765" s="97" t="str">
        <f t="shared" si="237"/>
        <v/>
      </c>
      <c r="R1765" t="str">
        <f t="shared" si="238"/>
        <v/>
      </c>
    </row>
    <row r="1766" spans="3:18">
      <c r="C1766" t="str">
        <f t="shared" si="239"/>
        <v/>
      </c>
      <c r="D1766" s="36">
        <v>506</v>
      </c>
      <c r="E1766" s="97">
        <v>155</v>
      </c>
      <c r="F1766" s="366">
        <f t="shared" si="235"/>
        <v>3363.5</v>
      </c>
      <c r="G1766" s="97">
        <v>7929</v>
      </c>
      <c r="H1766" s="367">
        <f t="shared" si="236"/>
        <v>11292.5</v>
      </c>
      <c r="I1766" s="368">
        <f t="shared" si="240"/>
        <v>0</v>
      </c>
      <c r="J1766" s="97">
        <v>20326</v>
      </c>
      <c r="K1766" s="367">
        <f t="shared" si="241"/>
        <v>14518.571428571429</v>
      </c>
      <c r="L1766" s="97">
        <v>0.79</v>
      </c>
      <c r="M1766" s="97">
        <v>5.3999999999999995</v>
      </c>
      <c r="N1766" s="97">
        <v>29</v>
      </c>
      <c r="O1766" s="97">
        <v>10</v>
      </c>
      <c r="P1766" s="97" t="s">
        <v>555</v>
      </c>
      <c r="Q1766" s="97" t="str">
        <f t="shared" si="237"/>
        <v/>
      </c>
      <c r="R1766" t="str">
        <f t="shared" si="238"/>
        <v/>
      </c>
    </row>
    <row r="1767" spans="3:18">
      <c r="C1767" t="str">
        <f t="shared" si="239"/>
        <v/>
      </c>
      <c r="D1767" s="36">
        <v>507</v>
      </c>
      <c r="E1767" s="97">
        <v>160</v>
      </c>
      <c r="F1767" s="366">
        <f t="shared" si="235"/>
        <v>3472</v>
      </c>
      <c r="G1767" s="97">
        <v>4455</v>
      </c>
      <c r="H1767" s="367">
        <f t="shared" si="236"/>
        <v>7927</v>
      </c>
      <c r="I1767" s="368">
        <f t="shared" si="240"/>
        <v>0</v>
      </c>
      <c r="J1767" s="97">
        <v>11422</v>
      </c>
      <c r="K1767" s="367">
        <f t="shared" si="241"/>
        <v>8158.5714285714284</v>
      </c>
      <c r="L1767" s="97">
        <v>0.94000000000000006</v>
      </c>
      <c r="M1767" s="97">
        <v>2.3000000000000003</v>
      </c>
      <c r="N1767" s="97">
        <v>29</v>
      </c>
      <c r="O1767" s="97">
        <v>4</v>
      </c>
      <c r="P1767" s="97" t="s">
        <v>515</v>
      </c>
      <c r="Q1767" s="97" t="str">
        <f t="shared" si="237"/>
        <v/>
      </c>
      <c r="R1767" t="str">
        <f t="shared" si="238"/>
        <v/>
      </c>
    </row>
    <row r="1768" spans="3:18">
      <c r="C1768" t="str">
        <f t="shared" si="239"/>
        <v>NL</v>
      </c>
      <c r="D1768" s="36">
        <v>508</v>
      </c>
      <c r="E1768" s="97">
        <v>160</v>
      </c>
      <c r="F1768" s="366">
        <f t="shared" si="235"/>
        <v>3472</v>
      </c>
      <c r="G1768" s="97">
        <v>4771</v>
      </c>
      <c r="H1768" s="367">
        <f t="shared" si="236"/>
        <v>8243</v>
      </c>
      <c r="I1768" s="368">
        <f t="shared" si="240"/>
        <v>0</v>
      </c>
      <c r="J1768" s="97">
        <v>12230</v>
      </c>
      <c r="K1768" s="367">
        <f t="shared" si="241"/>
        <v>8735.7142857142862</v>
      </c>
      <c r="L1768" s="97">
        <v>0.62</v>
      </c>
      <c r="M1768" s="97">
        <v>2.8000000000000003</v>
      </c>
      <c r="N1768" s="97">
        <v>28</v>
      </c>
      <c r="O1768" s="97">
        <v>5</v>
      </c>
      <c r="P1768" s="97" t="s">
        <v>515</v>
      </c>
      <c r="Q1768" s="97" t="str">
        <f t="shared" si="237"/>
        <v/>
      </c>
      <c r="R1768" t="str">
        <f t="shared" si="238"/>
        <v/>
      </c>
    </row>
    <row r="1769" spans="3:18">
      <c r="C1769" t="str">
        <f t="shared" si="239"/>
        <v/>
      </c>
      <c r="D1769" s="36">
        <v>509</v>
      </c>
      <c r="E1769" s="97">
        <v>160</v>
      </c>
      <c r="F1769" s="366">
        <f t="shared" si="235"/>
        <v>3472</v>
      </c>
      <c r="G1769" s="97">
        <v>4988</v>
      </c>
      <c r="H1769" s="367">
        <f t="shared" si="236"/>
        <v>8460</v>
      </c>
      <c r="I1769" s="368">
        <f t="shared" si="240"/>
        <v>0</v>
      </c>
      <c r="J1769" s="97">
        <v>12787</v>
      </c>
      <c r="K1769" s="367">
        <f t="shared" si="241"/>
        <v>9133.5714285714294</v>
      </c>
      <c r="L1769" s="97">
        <v>0.43</v>
      </c>
      <c r="M1769" s="97">
        <v>3.4</v>
      </c>
      <c r="N1769" s="97">
        <v>27</v>
      </c>
      <c r="O1769" s="97">
        <v>6</v>
      </c>
      <c r="P1769" s="97" t="s">
        <v>515</v>
      </c>
      <c r="Q1769" s="97">
        <f t="shared" si="237"/>
        <v>509</v>
      </c>
      <c r="R1769" t="str">
        <f t="shared" si="238"/>
        <v/>
      </c>
    </row>
    <row r="1770" spans="3:18">
      <c r="C1770" t="str">
        <f t="shared" si="239"/>
        <v/>
      </c>
      <c r="D1770" s="36">
        <v>510</v>
      </c>
      <c r="E1770" s="97">
        <v>160</v>
      </c>
      <c r="F1770" s="366">
        <f t="shared" si="235"/>
        <v>3472</v>
      </c>
      <c r="G1770" s="97">
        <v>5621</v>
      </c>
      <c r="H1770" s="367">
        <f t="shared" si="236"/>
        <v>9093</v>
      </c>
      <c r="I1770" s="368">
        <f t="shared" si="240"/>
        <v>0</v>
      </c>
      <c r="J1770" s="97">
        <v>14409</v>
      </c>
      <c r="K1770" s="367">
        <f t="shared" si="241"/>
        <v>10292.142857142857</v>
      </c>
      <c r="L1770" s="97">
        <v>0.72</v>
      </c>
      <c r="M1770" s="97">
        <v>3.4</v>
      </c>
      <c r="N1770" s="97">
        <v>29</v>
      </c>
      <c r="O1770" s="97">
        <v>6</v>
      </c>
      <c r="P1770" s="97" t="s">
        <v>556</v>
      </c>
      <c r="Q1770" s="97" t="str">
        <f t="shared" si="237"/>
        <v/>
      </c>
      <c r="R1770" t="str">
        <f t="shared" si="238"/>
        <v/>
      </c>
    </row>
    <row r="1771" spans="3:18">
      <c r="C1771" t="str">
        <f t="shared" si="239"/>
        <v>NL</v>
      </c>
      <c r="D1771" s="36">
        <v>511</v>
      </c>
      <c r="E1771" s="97">
        <v>160</v>
      </c>
      <c r="F1771" s="366">
        <f t="shared" si="235"/>
        <v>3472</v>
      </c>
      <c r="G1771" s="97">
        <v>5101</v>
      </c>
      <c r="H1771" s="367">
        <f t="shared" si="236"/>
        <v>8573</v>
      </c>
      <c r="I1771" s="368">
        <f t="shared" si="240"/>
        <v>0</v>
      </c>
      <c r="J1771" s="97">
        <v>13076</v>
      </c>
      <c r="K1771" s="367">
        <f t="shared" si="241"/>
        <v>9340</v>
      </c>
      <c r="L1771" s="97">
        <v>0.32</v>
      </c>
      <c r="M1771" s="97">
        <v>3.9</v>
      </c>
      <c r="N1771" s="97">
        <v>25</v>
      </c>
      <c r="O1771" s="97">
        <v>7</v>
      </c>
      <c r="P1771" s="97" t="s">
        <v>515</v>
      </c>
      <c r="Q1771" s="97" t="str">
        <f t="shared" si="237"/>
        <v/>
      </c>
      <c r="R1771" t="str">
        <f t="shared" si="238"/>
        <v/>
      </c>
    </row>
    <row r="1772" spans="3:18">
      <c r="C1772" t="str">
        <f t="shared" si="239"/>
        <v>NL</v>
      </c>
      <c r="D1772" s="36">
        <v>512</v>
      </c>
      <c r="E1772" s="97">
        <v>160</v>
      </c>
      <c r="F1772" s="366">
        <f t="shared" si="235"/>
        <v>3472</v>
      </c>
      <c r="G1772" s="97">
        <v>5989</v>
      </c>
      <c r="H1772" s="367">
        <f t="shared" si="236"/>
        <v>9461</v>
      </c>
      <c r="I1772" s="368">
        <f t="shared" si="240"/>
        <v>0</v>
      </c>
      <c r="J1772" s="97">
        <v>15352</v>
      </c>
      <c r="K1772" s="367">
        <f t="shared" si="241"/>
        <v>10965.714285714286</v>
      </c>
      <c r="L1772" s="97">
        <v>0.53</v>
      </c>
      <c r="M1772" s="97">
        <v>3.9</v>
      </c>
      <c r="N1772" s="97">
        <v>28</v>
      </c>
      <c r="O1772" s="97">
        <v>7</v>
      </c>
      <c r="P1772" s="97" t="s">
        <v>556</v>
      </c>
      <c r="Q1772" s="97" t="str">
        <f t="shared" si="237"/>
        <v/>
      </c>
      <c r="R1772" t="str">
        <f t="shared" si="238"/>
        <v/>
      </c>
    </row>
    <row r="1773" spans="3:18">
      <c r="C1773" t="str">
        <f t="shared" si="239"/>
        <v/>
      </c>
      <c r="D1773" s="36">
        <v>513</v>
      </c>
      <c r="E1773" s="97">
        <v>160</v>
      </c>
      <c r="F1773" s="366">
        <f t="shared" ref="F1773:F1836" si="242">1.085*($A$2-$B$2)*E1773*$T$7</f>
        <v>3472</v>
      </c>
      <c r="G1773" s="97">
        <v>4791</v>
      </c>
      <c r="H1773" s="367">
        <f t="shared" ref="H1773:H1836" si="243">(G1773*$U$7)+F1773</f>
        <v>8263</v>
      </c>
      <c r="I1773" s="368">
        <f t="shared" si="240"/>
        <v>0</v>
      </c>
      <c r="J1773" s="97">
        <v>12282</v>
      </c>
      <c r="K1773" s="367">
        <f t="shared" si="241"/>
        <v>8772.8571428571431</v>
      </c>
      <c r="L1773" s="97">
        <v>0.25</v>
      </c>
      <c r="M1773" s="97">
        <v>4.3999999999999995</v>
      </c>
      <c r="N1773" s="97">
        <v>25</v>
      </c>
      <c r="O1773" s="97">
        <v>8</v>
      </c>
      <c r="P1773" s="97" t="s">
        <v>515</v>
      </c>
      <c r="Q1773" s="97">
        <f t="shared" ref="Q1773:Q1838" si="244">IF(AND(H1773+1&gt;$E$4,L1773&lt;$L$4+0.01,M1773&lt;$M$4+0.01,K1773+1&gt;$F$4,E1773+1&gt;$J$4,N1773&lt;$K$4+1,O1773&lt;$P$4+1,C1773=""),D1773,"")</f>
        <v>513</v>
      </c>
      <c r="R1773" t="str">
        <f t="shared" ref="R1773:R1836" si="245">IF(Q1773="","",IF(AND(O1773&lt;$X$16,E1773&gt;$U$16,E1773&lt;$Q$4+$U$16+1),D1773,""))</f>
        <v/>
      </c>
    </row>
    <row r="1774" spans="3:18">
      <c r="C1774" t="str">
        <f t="shared" si="239"/>
        <v/>
      </c>
      <c r="D1774" s="36">
        <v>514</v>
      </c>
      <c r="E1774" s="97">
        <v>160</v>
      </c>
      <c r="F1774" s="366">
        <f t="shared" si="242"/>
        <v>3472</v>
      </c>
      <c r="G1774" s="97">
        <v>6073</v>
      </c>
      <c r="H1774" s="367">
        <f t="shared" si="243"/>
        <v>9545</v>
      </c>
      <c r="I1774" s="368">
        <f t="shared" si="240"/>
        <v>0</v>
      </c>
      <c r="J1774" s="97">
        <v>15569</v>
      </c>
      <c r="K1774" s="367">
        <f t="shared" si="241"/>
        <v>11120.714285714286</v>
      </c>
      <c r="L1774" s="97">
        <v>0.41000000000000003</v>
      </c>
      <c r="M1774" s="97">
        <v>4.3999999999999995</v>
      </c>
      <c r="N1774" s="97">
        <v>27</v>
      </c>
      <c r="O1774" s="97">
        <v>8</v>
      </c>
      <c r="P1774" s="97" t="s">
        <v>556</v>
      </c>
      <c r="Q1774" s="97">
        <f t="shared" si="244"/>
        <v>514</v>
      </c>
      <c r="R1774" t="str">
        <f t="shared" si="245"/>
        <v/>
      </c>
    </row>
    <row r="1775" spans="3:18">
      <c r="C1775" t="str">
        <f t="shared" si="239"/>
        <v/>
      </c>
      <c r="D1775" s="36">
        <v>515</v>
      </c>
      <c r="E1775" s="97">
        <v>160</v>
      </c>
      <c r="F1775" s="366">
        <f t="shared" si="242"/>
        <v>3472</v>
      </c>
      <c r="G1775" s="97">
        <v>7041</v>
      </c>
      <c r="H1775" s="367">
        <f t="shared" si="243"/>
        <v>10513</v>
      </c>
      <c r="I1775" s="368">
        <f t="shared" si="240"/>
        <v>0</v>
      </c>
      <c r="J1775" s="97">
        <v>18051</v>
      </c>
      <c r="K1775" s="367">
        <f t="shared" si="241"/>
        <v>12893.571428571429</v>
      </c>
      <c r="L1775" s="97">
        <v>0.87</v>
      </c>
      <c r="M1775" s="97">
        <v>4.3999999999999995</v>
      </c>
      <c r="N1775" s="97">
        <v>33</v>
      </c>
      <c r="O1775" s="97">
        <v>8</v>
      </c>
      <c r="P1775" s="97" t="s">
        <v>514</v>
      </c>
      <c r="Q1775" s="97" t="str">
        <f t="shared" si="244"/>
        <v/>
      </c>
      <c r="R1775" t="str">
        <f t="shared" si="245"/>
        <v/>
      </c>
    </row>
    <row r="1776" spans="3:18">
      <c r="C1776" t="str">
        <f t="shared" si="239"/>
        <v>NL</v>
      </c>
      <c r="D1776" s="36">
        <v>516</v>
      </c>
      <c r="E1776" s="97">
        <v>160</v>
      </c>
      <c r="F1776" s="366">
        <f t="shared" si="242"/>
        <v>3472</v>
      </c>
      <c r="G1776" s="97">
        <v>4584</v>
      </c>
      <c r="H1776" s="367">
        <f t="shared" si="243"/>
        <v>8056</v>
      </c>
      <c r="I1776" s="368">
        <f t="shared" si="240"/>
        <v>0</v>
      </c>
      <c r="J1776" s="97">
        <v>11751</v>
      </c>
      <c r="K1776" s="367">
        <f t="shared" si="241"/>
        <v>8393.5714285714294</v>
      </c>
      <c r="L1776" s="97">
        <v>0.21000000000000002</v>
      </c>
      <c r="M1776" s="97">
        <v>4.8999999999999995</v>
      </c>
      <c r="N1776" s="97">
        <v>25</v>
      </c>
      <c r="O1776" s="97">
        <v>9</v>
      </c>
      <c r="P1776" s="97" t="s">
        <v>515</v>
      </c>
      <c r="Q1776" s="97" t="str">
        <f t="shared" si="244"/>
        <v/>
      </c>
      <c r="R1776" t="str">
        <f t="shared" si="245"/>
        <v/>
      </c>
    </row>
    <row r="1777" spans="3:18">
      <c r="C1777" t="str">
        <f t="shared" si="239"/>
        <v/>
      </c>
      <c r="D1777" s="36">
        <v>517</v>
      </c>
      <c r="E1777" s="97">
        <v>160</v>
      </c>
      <c r="F1777" s="366">
        <f t="shared" si="242"/>
        <v>3472</v>
      </c>
      <c r="G1777" s="97">
        <v>5688</v>
      </c>
      <c r="H1777" s="367">
        <f t="shared" si="243"/>
        <v>9160</v>
      </c>
      <c r="I1777" s="368">
        <f t="shared" si="240"/>
        <v>0</v>
      </c>
      <c r="J1777" s="97">
        <v>14581</v>
      </c>
      <c r="K1777" s="367">
        <f t="shared" si="241"/>
        <v>10415</v>
      </c>
      <c r="L1777" s="97">
        <v>0.29000000000000004</v>
      </c>
      <c r="M1777" s="97">
        <v>5.3999999999999995</v>
      </c>
      <c r="N1777" s="97">
        <v>27</v>
      </c>
      <c r="O1777" s="97">
        <v>10</v>
      </c>
      <c r="P1777" s="97" t="s">
        <v>556</v>
      </c>
      <c r="Q1777" s="97" t="str">
        <f t="shared" si="244"/>
        <v/>
      </c>
      <c r="R1777" t="str">
        <f t="shared" si="245"/>
        <v/>
      </c>
    </row>
    <row r="1778" spans="3:18">
      <c r="C1778" t="str">
        <f t="shared" si="239"/>
        <v/>
      </c>
      <c r="D1778" s="36">
        <v>518</v>
      </c>
      <c r="E1778" s="97">
        <v>160</v>
      </c>
      <c r="F1778" s="366">
        <f t="shared" si="242"/>
        <v>3472</v>
      </c>
      <c r="G1778" s="97">
        <v>7223</v>
      </c>
      <c r="H1778" s="367">
        <f t="shared" si="243"/>
        <v>10695</v>
      </c>
      <c r="I1778" s="368">
        <f t="shared" si="240"/>
        <v>0</v>
      </c>
      <c r="J1778" s="97">
        <v>18517</v>
      </c>
      <c r="K1778" s="367">
        <f t="shared" si="241"/>
        <v>13226.428571428572</v>
      </c>
      <c r="L1778" s="97">
        <v>0.57999999999999996</v>
      </c>
      <c r="M1778" s="97">
        <v>5.3999999999999995</v>
      </c>
      <c r="N1778" s="97">
        <v>31</v>
      </c>
      <c r="O1778" s="97">
        <v>10</v>
      </c>
      <c r="P1778" s="97" t="s">
        <v>514</v>
      </c>
      <c r="Q1778" s="97" t="str">
        <f t="shared" si="244"/>
        <v/>
      </c>
      <c r="R1778" t="str">
        <f t="shared" si="245"/>
        <v/>
      </c>
    </row>
    <row r="1779" spans="3:18">
      <c r="C1779" t="str">
        <f t="shared" si="239"/>
        <v/>
      </c>
      <c r="D1779" s="36">
        <v>519</v>
      </c>
      <c r="E1779" s="97">
        <v>160</v>
      </c>
      <c r="F1779" s="366">
        <f t="shared" si="242"/>
        <v>3472</v>
      </c>
      <c r="G1779" s="97">
        <v>8100</v>
      </c>
      <c r="H1779" s="367">
        <f t="shared" si="243"/>
        <v>11572</v>
      </c>
      <c r="I1779" s="368">
        <f t="shared" si="240"/>
        <v>0</v>
      </c>
      <c r="J1779" s="97">
        <v>20764</v>
      </c>
      <c r="K1779" s="367">
        <f t="shared" si="241"/>
        <v>14831.428571428572</v>
      </c>
      <c r="L1779" s="97">
        <v>0.84</v>
      </c>
      <c r="M1779" s="97">
        <v>5.3999999999999995</v>
      </c>
      <c r="N1779" s="97">
        <v>30</v>
      </c>
      <c r="O1779" s="97">
        <v>10</v>
      </c>
      <c r="P1779" s="97" t="s">
        <v>555</v>
      </c>
      <c r="Q1779" s="97" t="str">
        <f t="shared" si="244"/>
        <v/>
      </c>
      <c r="R1779" t="str">
        <f t="shared" si="245"/>
        <v/>
      </c>
    </row>
    <row r="1780" spans="3:18">
      <c r="C1780" t="str">
        <f t="shared" si="239"/>
        <v/>
      </c>
      <c r="D1780" s="36">
        <v>520</v>
      </c>
      <c r="E1780" s="97">
        <v>165</v>
      </c>
      <c r="F1780" s="366">
        <f t="shared" si="242"/>
        <v>3580.5</v>
      </c>
      <c r="G1780" s="97">
        <v>4538</v>
      </c>
      <c r="H1780" s="367">
        <f t="shared" si="243"/>
        <v>8118.5</v>
      </c>
      <c r="I1780" s="368">
        <f t="shared" si="240"/>
        <v>0</v>
      </c>
      <c r="J1780" s="97">
        <v>11633</v>
      </c>
      <c r="K1780" s="367">
        <f t="shared" si="241"/>
        <v>8309.2857142857138</v>
      </c>
      <c r="L1780" s="97">
        <v>1</v>
      </c>
      <c r="M1780" s="97">
        <v>2.3000000000000003</v>
      </c>
      <c r="N1780" s="97">
        <v>30</v>
      </c>
      <c r="O1780" s="97">
        <v>4</v>
      </c>
      <c r="P1780" s="97" t="s">
        <v>515</v>
      </c>
      <c r="Q1780" s="97" t="str">
        <f t="shared" si="244"/>
        <v/>
      </c>
      <c r="R1780" t="str">
        <f t="shared" si="245"/>
        <v/>
      </c>
    </row>
    <row r="1781" spans="3:18">
      <c r="C1781" t="str">
        <f t="shared" si="239"/>
        <v>NL</v>
      </c>
      <c r="D1781" s="36">
        <v>521</v>
      </c>
      <c r="E1781" s="97">
        <v>165</v>
      </c>
      <c r="F1781" s="366">
        <f t="shared" si="242"/>
        <v>3580.5</v>
      </c>
      <c r="G1781" s="97">
        <v>4875</v>
      </c>
      <c r="H1781" s="367">
        <f t="shared" si="243"/>
        <v>8455.5</v>
      </c>
      <c r="I1781" s="368">
        <f t="shared" si="240"/>
        <v>0</v>
      </c>
      <c r="J1781" s="97">
        <v>12496</v>
      </c>
      <c r="K1781" s="367">
        <f t="shared" si="241"/>
        <v>8925.7142857142862</v>
      </c>
      <c r="L1781" s="97">
        <v>0.66</v>
      </c>
      <c r="M1781" s="97">
        <v>2.8000000000000003</v>
      </c>
      <c r="N1781" s="97">
        <v>29</v>
      </c>
      <c r="O1781" s="97">
        <v>5</v>
      </c>
      <c r="P1781" s="97" t="s">
        <v>515</v>
      </c>
      <c r="Q1781" s="97" t="str">
        <f t="shared" si="244"/>
        <v/>
      </c>
      <c r="R1781" t="str">
        <f t="shared" si="245"/>
        <v/>
      </c>
    </row>
    <row r="1782" spans="3:18">
      <c r="C1782" t="str">
        <f t="shared" si="239"/>
        <v/>
      </c>
      <c r="D1782" s="36">
        <v>522</v>
      </c>
      <c r="E1782" s="97">
        <v>165</v>
      </c>
      <c r="F1782" s="366">
        <f t="shared" si="242"/>
        <v>3580.5</v>
      </c>
      <c r="G1782" s="97">
        <v>5083</v>
      </c>
      <c r="H1782" s="367">
        <f t="shared" si="243"/>
        <v>8663.5</v>
      </c>
      <c r="I1782" s="368">
        <f t="shared" si="240"/>
        <v>0</v>
      </c>
      <c r="J1782" s="97">
        <v>13031</v>
      </c>
      <c r="K1782" s="367">
        <f t="shared" si="241"/>
        <v>9307.8571428571431</v>
      </c>
      <c r="L1782" s="97">
        <v>0.46</v>
      </c>
      <c r="M1782" s="97">
        <v>3.4</v>
      </c>
      <c r="N1782" s="97">
        <v>27</v>
      </c>
      <c r="O1782" s="97">
        <v>6</v>
      </c>
      <c r="P1782" s="97" t="s">
        <v>515</v>
      </c>
      <c r="Q1782" s="97">
        <f t="shared" si="244"/>
        <v>522</v>
      </c>
      <c r="R1782" t="str">
        <f t="shared" si="245"/>
        <v/>
      </c>
    </row>
    <row r="1783" spans="3:18">
      <c r="C1783" t="str">
        <f t="shared" si="239"/>
        <v/>
      </c>
      <c r="D1783" s="36">
        <v>523</v>
      </c>
      <c r="E1783" s="97">
        <v>165</v>
      </c>
      <c r="F1783" s="366">
        <f t="shared" si="242"/>
        <v>3580.5</v>
      </c>
      <c r="G1783" s="97">
        <v>5739</v>
      </c>
      <c r="H1783" s="367">
        <f t="shared" si="243"/>
        <v>9319.5</v>
      </c>
      <c r="I1783" s="368">
        <f t="shared" si="240"/>
        <v>0</v>
      </c>
      <c r="J1783" s="97">
        <v>14711</v>
      </c>
      <c r="K1783" s="367">
        <f t="shared" si="241"/>
        <v>10507.857142857143</v>
      </c>
      <c r="L1783" s="97">
        <v>0.76</v>
      </c>
      <c r="M1783" s="97">
        <v>3.4</v>
      </c>
      <c r="N1783" s="97">
        <v>30</v>
      </c>
      <c r="O1783" s="97">
        <v>6</v>
      </c>
      <c r="P1783" s="97" t="s">
        <v>556</v>
      </c>
      <c r="Q1783" s="97" t="str">
        <f t="shared" si="244"/>
        <v/>
      </c>
      <c r="R1783" t="str">
        <f t="shared" si="245"/>
        <v/>
      </c>
    </row>
    <row r="1784" spans="3:18">
      <c r="C1784" t="str">
        <f t="shared" si="239"/>
        <v>NL</v>
      </c>
      <c r="D1784" s="36">
        <v>524</v>
      </c>
      <c r="E1784" s="97">
        <v>165</v>
      </c>
      <c r="F1784" s="366">
        <f t="shared" si="242"/>
        <v>3580.5</v>
      </c>
      <c r="G1784" s="97">
        <v>5256</v>
      </c>
      <c r="H1784" s="367">
        <f t="shared" si="243"/>
        <v>8836.5</v>
      </c>
      <c r="I1784" s="368">
        <f t="shared" si="240"/>
        <v>0</v>
      </c>
      <c r="J1784" s="97">
        <v>13474</v>
      </c>
      <c r="K1784" s="367">
        <f t="shared" si="241"/>
        <v>9624.2857142857138</v>
      </c>
      <c r="L1784" s="97">
        <v>0.34</v>
      </c>
      <c r="M1784" s="97">
        <v>3.9</v>
      </c>
      <c r="N1784" s="97">
        <v>26</v>
      </c>
      <c r="O1784" s="97">
        <v>7</v>
      </c>
      <c r="P1784" s="97" t="s">
        <v>515</v>
      </c>
      <c r="Q1784" s="97" t="str">
        <f t="shared" si="244"/>
        <v/>
      </c>
      <c r="R1784" t="str">
        <f t="shared" si="245"/>
        <v/>
      </c>
    </row>
    <row r="1785" spans="3:18">
      <c r="C1785" t="str">
        <f t="shared" si="239"/>
        <v>NL</v>
      </c>
      <c r="D1785" s="36">
        <v>525</v>
      </c>
      <c r="E1785" s="97">
        <v>165</v>
      </c>
      <c r="F1785" s="366">
        <f t="shared" si="242"/>
        <v>3580.5</v>
      </c>
      <c r="G1785" s="97">
        <v>6115</v>
      </c>
      <c r="H1785" s="367">
        <f t="shared" si="243"/>
        <v>9695.5</v>
      </c>
      <c r="I1785" s="368">
        <f t="shared" si="240"/>
        <v>0</v>
      </c>
      <c r="J1785" s="97">
        <v>15675</v>
      </c>
      <c r="K1785" s="367">
        <f t="shared" si="241"/>
        <v>11196.428571428572</v>
      </c>
      <c r="L1785" s="97">
        <v>0.57000000000000006</v>
      </c>
      <c r="M1785" s="97">
        <v>3.9</v>
      </c>
      <c r="N1785" s="97">
        <v>28</v>
      </c>
      <c r="O1785" s="97">
        <v>7</v>
      </c>
      <c r="P1785" s="97" t="s">
        <v>556</v>
      </c>
      <c r="Q1785" s="97" t="str">
        <f t="shared" si="244"/>
        <v/>
      </c>
      <c r="R1785" t="str">
        <f t="shared" si="245"/>
        <v/>
      </c>
    </row>
    <row r="1786" spans="3:18">
      <c r="C1786" t="str">
        <f t="shared" si="239"/>
        <v/>
      </c>
      <c r="D1786" s="36">
        <v>526</v>
      </c>
      <c r="E1786" s="97">
        <v>165</v>
      </c>
      <c r="F1786" s="366">
        <f t="shared" si="242"/>
        <v>3580.5</v>
      </c>
      <c r="G1786" s="97">
        <v>4979</v>
      </c>
      <c r="H1786" s="367">
        <f t="shared" si="243"/>
        <v>8559.5</v>
      </c>
      <c r="I1786" s="368">
        <f t="shared" si="240"/>
        <v>0</v>
      </c>
      <c r="J1786" s="97">
        <v>12763</v>
      </c>
      <c r="K1786" s="367">
        <f t="shared" si="241"/>
        <v>9116.4285714285725</v>
      </c>
      <c r="L1786" s="97">
        <v>0.27</v>
      </c>
      <c r="M1786" s="97">
        <v>4.3999999999999995</v>
      </c>
      <c r="N1786" s="97">
        <v>25</v>
      </c>
      <c r="O1786" s="97">
        <v>8</v>
      </c>
      <c r="P1786" s="97" t="s">
        <v>515</v>
      </c>
      <c r="Q1786" s="97">
        <f t="shared" si="244"/>
        <v>526</v>
      </c>
      <c r="R1786" t="str">
        <f t="shared" si="245"/>
        <v/>
      </c>
    </row>
    <row r="1787" spans="3:18">
      <c r="C1787" t="str">
        <f t="shared" si="239"/>
        <v/>
      </c>
      <c r="D1787" s="36">
        <v>527</v>
      </c>
      <c r="E1787" s="97">
        <v>165</v>
      </c>
      <c r="F1787" s="366">
        <f t="shared" si="242"/>
        <v>3580.5</v>
      </c>
      <c r="G1787" s="97">
        <v>6211</v>
      </c>
      <c r="H1787" s="367">
        <f t="shared" si="243"/>
        <v>9791.5</v>
      </c>
      <c r="I1787" s="368">
        <f t="shared" si="240"/>
        <v>0</v>
      </c>
      <c r="J1787" s="97">
        <v>15921</v>
      </c>
      <c r="K1787" s="367">
        <f t="shared" si="241"/>
        <v>11372.142857142857</v>
      </c>
      <c r="L1787" s="97">
        <v>0.44</v>
      </c>
      <c r="M1787" s="97">
        <v>4.3999999999999995</v>
      </c>
      <c r="N1787" s="97">
        <v>27</v>
      </c>
      <c r="O1787" s="97">
        <v>8</v>
      </c>
      <c r="P1787" s="97" t="s">
        <v>556</v>
      </c>
      <c r="Q1787" s="97">
        <f t="shared" si="244"/>
        <v>527</v>
      </c>
      <c r="R1787" t="str">
        <f t="shared" si="245"/>
        <v/>
      </c>
    </row>
    <row r="1788" spans="3:18">
      <c r="C1788" t="str">
        <f t="shared" si="239"/>
        <v/>
      </c>
      <c r="D1788" s="36">
        <v>528</v>
      </c>
      <c r="E1788" s="97">
        <v>165</v>
      </c>
      <c r="F1788" s="366">
        <f t="shared" si="242"/>
        <v>3580.5</v>
      </c>
      <c r="G1788" s="97">
        <v>7192</v>
      </c>
      <c r="H1788" s="367">
        <f t="shared" si="243"/>
        <v>10772.5</v>
      </c>
      <c r="I1788" s="368">
        <f t="shared" si="240"/>
        <v>0</v>
      </c>
      <c r="J1788" s="97">
        <v>18436</v>
      </c>
      <c r="K1788" s="367">
        <f t="shared" si="241"/>
        <v>13168.571428571429</v>
      </c>
      <c r="L1788" s="97">
        <v>0.93</v>
      </c>
      <c r="M1788" s="97">
        <v>4.3999999999999995</v>
      </c>
      <c r="N1788" s="97">
        <v>33</v>
      </c>
      <c r="O1788" s="97">
        <v>8</v>
      </c>
      <c r="P1788" s="97" t="s">
        <v>514</v>
      </c>
      <c r="Q1788" s="97" t="str">
        <f t="shared" si="244"/>
        <v/>
      </c>
      <c r="R1788" t="str">
        <f t="shared" si="245"/>
        <v/>
      </c>
    </row>
    <row r="1789" spans="3:18">
      <c r="C1789" t="str">
        <f t="shared" si="239"/>
        <v>NL</v>
      </c>
      <c r="D1789" s="36">
        <v>529</v>
      </c>
      <c r="E1789" s="97">
        <v>165</v>
      </c>
      <c r="F1789" s="366">
        <f t="shared" si="242"/>
        <v>3580.5</v>
      </c>
      <c r="G1789" s="97">
        <v>4761</v>
      </c>
      <c r="H1789" s="367">
        <f t="shared" si="243"/>
        <v>8341.5</v>
      </c>
      <c r="I1789" s="368">
        <f t="shared" si="240"/>
        <v>0</v>
      </c>
      <c r="J1789" s="97">
        <v>12205</v>
      </c>
      <c r="K1789" s="367">
        <f t="shared" si="241"/>
        <v>8717.8571428571431</v>
      </c>
      <c r="L1789" s="97">
        <v>0.23</v>
      </c>
      <c r="M1789" s="97">
        <v>4.8999999999999995</v>
      </c>
      <c r="N1789" s="97">
        <v>26</v>
      </c>
      <c r="O1789" s="97">
        <v>9</v>
      </c>
      <c r="P1789" s="97" t="s">
        <v>515</v>
      </c>
      <c r="Q1789" s="97" t="str">
        <f t="shared" si="244"/>
        <v/>
      </c>
      <c r="R1789" t="str">
        <f t="shared" si="245"/>
        <v/>
      </c>
    </row>
    <row r="1790" spans="3:18">
      <c r="C1790" t="str">
        <f t="shared" si="239"/>
        <v/>
      </c>
      <c r="D1790" s="36">
        <v>530</v>
      </c>
      <c r="E1790" s="97">
        <v>165</v>
      </c>
      <c r="F1790" s="366">
        <f t="shared" si="242"/>
        <v>3580.5</v>
      </c>
      <c r="G1790" s="97">
        <v>4657</v>
      </c>
      <c r="H1790" s="367">
        <f t="shared" si="243"/>
        <v>8237.5</v>
      </c>
      <c r="I1790" s="368">
        <f t="shared" si="240"/>
        <v>0</v>
      </c>
      <c r="J1790" s="97">
        <v>11937</v>
      </c>
      <c r="K1790" s="367">
        <f t="shared" si="241"/>
        <v>8526.4285714285725</v>
      </c>
      <c r="L1790" s="97">
        <v>0.19</v>
      </c>
      <c r="M1790" s="97">
        <v>5.3999999999999995</v>
      </c>
      <c r="N1790" s="97">
        <v>25</v>
      </c>
      <c r="O1790" s="97">
        <v>10</v>
      </c>
      <c r="P1790" s="97" t="s">
        <v>515</v>
      </c>
      <c r="Q1790" s="97" t="str">
        <f t="shared" si="244"/>
        <v/>
      </c>
      <c r="R1790" t="str">
        <f t="shared" si="245"/>
        <v/>
      </c>
    </row>
    <row r="1791" spans="3:18">
      <c r="C1791" t="str">
        <f t="shared" si="239"/>
        <v/>
      </c>
      <c r="D1791" s="36">
        <v>531</v>
      </c>
      <c r="E1791" s="97">
        <v>165</v>
      </c>
      <c r="F1791" s="366">
        <f t="shared" si="242"/>
        <v>3580.5</v>
      </c>
      <c r="G1791" s="97">
        <v>5909</v>
      </c>
      <c r="H1791" s="367">
        <f t="shared" si="243"/>
        <v>9489.5</v>
      </c>
      <c r="I1791" s="368">
        <f t="shared" si="240"/>
        <v>0</v>
      </c>
      <c r="J1791" s="97">
        <v>15148</v>
      </c>
      <c r="K1791" s="367">
        <f t="shared" si="241"/>
        <v>10820</v>
      </c>
      <c r="L1791" s="97">
        <v>0.3</v>
      </c>
      <c r="M1791" s="97">
        <v>5.3999999999999995</v>
      </c>
      <c r="N1791" s="97">
        <v>27</v>
      </c>
      <c r="O1791" s="97">
        <v>10</v>
      </c>
      <c r="P1791" s="97" t="s">
        <v>556</v>
      </c>
      <c r="Q1791" s="97" t="str">
        <f t="shared" si="244"/>
        <v/>
      </c>
      <c r="R1791" t="str">
        <f t="shared" si="245"/>
        <v/>
      </c>
    </row>
    <row r="1792" spans="3:18">
      <c r="C1792" t="str">
        <f t="shared" si="239"/>
        <v/>
      </c>
      <c r="D1792" s="36">
        <v>532</v>
      </c>
      <c r="E1792" s="97">
        <v>165</v>
      </c>
      <c r="F1792" s="366">
        <f t="shared" si="242"/>
        <v>3580.5</v>
      </c>
      <c r="G1792" s="97">
        <v>7380</v>
      </c>
      <c r="H1792" s="367">
        <f t="shared" si="243"/>
        <v>10960.5</v>
      </c>
      <c r="I1792" s="368">
        <f t="shared" si="240"/>
        <v>0</v>
      </c>
      <c r="J1792" s="97">
        <v>18917</v>
      </c>
      <c r="K1792" s="367">
        <f t="shared" si="241"/>
        <v>13512.142857142857</v>
      </c>
      <c r="L1792" s="97">
        <v>0.62</v>
      </c>
      <c r="M1792" s="97">
        <v>5.3999999999999995</v>
      </c>
      <c r="N1792" s="97">
        <v>32</v>
      </c>
      <c r="O1792" s="97">
        <v>10</v>
      </c>
      <c r="P1792" s="97" t="s">
        <v>514</v>
      </c>
      <c r="Q1792" s="97" t="str">
        <f t="shared" si="244"/>
        <v/>
      </c>
      <c r="R1792" t="str">
        <f t="shared" si="245"/>
        <v/>
      </c>
    </row>
    <row r="1793" spans="3:18">
      <c r="C1793" t="str">
        <f t="shared" si="239"/>
        <v/>
      </c>
      <c r="D1793" s="36">
        <v>533</v>
      </c>
      <c r="E1793" s="97">
        <v>165</v>
      </c>
      <c r="F1793" s="366">
        <f t="shared" si="242"/>
        <v>3580.5</v>
      </c>
      <c r="G1793" s="97">
        <v>8267</v>
      </c>
      <c r="H1793" s="367">
        <f t="shared" si="243"/>
        <v>11847.5</v>
      </c>
      <c r="I1793" s="368">
        <f t="shared" si="240"/>
        <v>0</v>
      </c>
      <c r="J1793" s="97">
        <v>21193</v>
      </c>
      <c r="K1793" s="367">
        <f t="shared" si="241"/>
        <v>15137.857142857143</v>
      </c>
      <c r="L1793" s="97">
        <v>0.89</v>
      </c>
      <c r="M1793" s="97">
        <v>5.3999999999999995</v>
      </c>
      <c r="N1793" s="97">
        <v>30</v>
      </c>
      <c r="O1793" s="97">
        <v>10</v>
      </c>
      <c r="P1793" s="97" t="s">
        <v>555</v>
      </c>
      <c r="Q1793" s="97" t="str">
        <f t="shared" si="244"/>
        <v/>
      </c>
      <c r="R1793" t="str">
        <f t="shared" si="245"/>
        <v/>
      </c>
    </row>
    <row r="1794" spans="3:18">
      <c r="C1794" t="str">
        <f t="shared" si="239"/>
        <v>NL</v>
      </c>
      <c r="D1794" s="36">
        <v>534</v>
      </c>
      <c r="E1794" s="97">
        <v>170</v>
      </c>
      <c r="F1794" s="366">
        <f t="shared" si="242"/>
        <v>3689</v>
      </c>
      <c r="G1794" s="97">
        <v>4978</v>
      </c>
      <c r="H1794" s="367">
        <f t="shared" si="243"/>
        <v>8667</v>
      </c>
      <c r="I1794" s="368">
        <f t="shared" si="240"/>
        <v>0</v>
      </c>
      <c r="J1794" s="97">
        <v>12762</v>
      </c>
      <c r="K1794" s="367">
        <f t="shared" si="241"/>
        <v>9115.7142857142862</v>
      </c>
      <c r="L1794" s="97">
        <v>0.7</v>
      </c>
      <c r="M1794" s="97">
        <v>2.8000000000000003</v>
      </c>
      <c r="N1794" s="97">
        <v>29</v>
      </c>
      <c r="O1794" s="97">
        <v>5</v>
      </c>
      <c r="P1794" s="97" t="s">
        <v>515</v>
      </c>
      <c r="Q1794" s="97" t="str">
        <f t="shared" si="244"/>
        <v/>
      </c>
      <c r="R1794" t="str">
        <f t="shared" si="245"/>
        <v/>
      </c>
    </row>
    <row r="1795" spans="3:18">
      <c r="C1795" t="str">
        <f t="shared" si="239"/>
        <v/>
      </c>
      <c r="D1795" s="36">
        <v>535</v>
      </c>
      <c r="E1795" s="97">
        <v>170</v>
      </c>
      <c r="F1795" s="366">
        <f t="shared" si="242"/>
        <v>3689</v>
      </c>
      <c r="G1795" s="97">
        <v>5179</v>
      </c>
      <c r="H1795" s="367">
        <f t="shared" si="243"/>
        <v>8868</v>
      </c>
      <c r="I1795" s="368">
        <f t="shared" si="240"/>
        <v>0</v>
      </c>
      <c r="J1795" s="97">
        <v>13276</v>
      </c>
      <c r="K1795" s="367">
        <f t="shared" si="241"/>
        <v>9482.8571428571431</v>
      </c>
      <c r="L1795" s="97">
        <v>0.49</v>
      </c>
      <c r="M1795" s="97">
        <v>3.4</v>
      </c>
      <c r="N1795" s="97">
        <v>27</v>
      </c>
      <c r="O1795" s="97">
        <v>6</v>
      </c>
      <c r="P1795" s="97" t="s">
        <v>515</v>
      </c>
      <c r="Q1795" s="97">
        <f t="shared" si="244"/>
        <v>535</v>
      </c>
      <c r="R1795" t="str">
        <f t="shared" si="245"/>
        <v/>
      </c>
    </row>
    <row r="1796" spans="3:18">
      <c r="C1796" t="str">
        <f t="shared" si="239"/>
        <v/>
      </c>
      <c r="D1796" s="36">
        <v>536</v>
      </c>
      <c r="E1796" s="97">
        <v>170</v>
      </c>
      <c r="F1796" s="366">
        <f t="shared" si="242"/>
        <v>3689</v>
      </c>
      <c r="G1796" s="97">
        <v>5859</v>
      </c>
      <c r="H1796" s="367">
        <f t="shared" si="243"/>
        <v>9548</v>
      </c>
      <c r="I1796" s="368">
        <f t="shared" si="240"/>
        <v>0</v>
      </c>
      <c r="J1796" s="97">
        <v>15021</v>
      </c>
      <c r="K1796" s="367">
        <f t="shared" si="241"/>
        <v>10729.285714285714</v>
      </c>
      <c r="L1796" s="97">
        <v>0.81</v>
      </c>
      <c r="M1796" s="97">
        <v>3.4</v>
      </c>
      <c r="N1796" s="97">
        <v>30</v>
      </c>
      <c r="O1796" s="97">
        <v>6</v>
      </c>
      <c r="P1796" s="97" t="s">
        <v>556</v>
      </c>
      <c r="Q1796" s="97" t="str">
        <f t="shared" si="244"/>
        <v/>
      </c>
      <c r="R1796" t="str">
        <f t="shared" si="245"/>
        <v/>
      </c>
    </row>
    <row r="1797" spans="3:18">
      <c r="C1797" t="str">
        <f t="shared" si="239"/>
        <v>NL</v>
      </c>
      <c r="D1797" s="36">
        <v>537</v>
      </c>
      <c r="E1797" s="97">
        <v>170</v>
      </c>
      <c r="F1797" s="366">
        <f t="shared" si="242"/>
        <v>3689</v>
      </c>
      <c r="G1797" s="97">
        <v>5363</v>
      </c>
      <c r="H1797" s="367">
        <f t="shared" si="243"/>
        <v>9052</v>
      </c>
      <c r="I1797" s="368">
        <f t="shared" si="240"/>
        <v>0</v>
      </c>
      <c r="J1797" s="97">
        <v>13749</v>
      </c>
      <c r="K1797" s="367">
        <f t="shared" si="241"/>
        <v>9820.7142857142862</v>
      </c>
      <c r="L1797" s="97">
        <v>0.36</v>
      </c>
      <c r="M1797" s="97">
        <v>3.9</v>
      </c>
      <c r="N1797" s="97">
        <v>26</v>
      </c>
      <c r="O1797" s="97">
        <v>7</v>
      </c>
      <c r="P1797" s="97" t="s">
        <v>515</v>
      </c>
      <c r="Q1797" s="97" t="str">
        <f t="shared" si="244"/>
        <v/>
      </c>
      <c r="R1797" t="str">
        <f t="shared" si="245"/>
        <v/>
      </c>
    </row>
    <row r="1798" spans="3:18">
      <c r="C1798" t="str">
        <f t="shared" si="239"/>
        <v>NL</v>
      </c>
      <c r="D1798" s="36">
        <v>538</v>
      </c>
      <c r="E1798" s="97">
        <v>170</v>
      </c>
      <c r="F1798" s="366">
        <f t="shared" si="242"/>
        <v>3689</v>
      </c>
      <c r="G1798" s="97">
        <v>6240</v>
      </c>
      <c r="H1798" s="367">
        <f t="shared" si="243"/>
        <v>9929</v>
      </c>
      <c r="I1798" s="368">
        <f t="shared" si="240"/>
        <v>0</v>
      </c>
      <c r="J1798" s="97">
        <v>15997</v>
      </c>
      <c r="K1798" s="367">
        <f t="shared" si="241"/>
        <v>11426.428571428572</v>
      </c>
      <c r="L1798" s="97">
        <v>0.6</v>
      </c>
      <c r="M1798" s="97">
        <v>3.9</v>
      </c>
      <c r="N1798" s="97">
        <v>29</v>
      </c>
      <c r="O1798" s="97">
        <v>7</v>
      </c>
      <c r="P1798" s="97" t="s">
        <v>556</v>
      </c>
      <c r="Q1798" s="97" t="str">
        <f t="shared" si="244"/>
        <v/>
      </c>
      <c r="R1798" t="str">
        <f t="shared" si="245"/>
        <v/>
      </c>
    </row>
    <row r="1799" spans="3:18">
      <c r="C1799" t="str">
        <f t="shared" si="239"/>
        <v/>
      </c>
      <c r="D1799" s="36">
        <v>539</v>
      </c>
      <c r="E1799" s="97">
        <v>170</v>
      </c>
      <c r="F1799" s="366">
        <f t="shared" si="242"/>
        <v>3689</v>
      </c>
      <c r="G1799" s="97">
        <v>5174</v>
      </c>
      <c r="H1799" s="367">
        <f t="shared" si="243"/>
        <v>8863</v>
      </c>
      <c r="I1799" s="368">
        <f t="shared" si="240"/>
        <v>0</v>
      </c>
      <c r="J1799" s="97">
        <v>13264</v>
      </c>
      <c r="K1799" s="367">
        <f t="shared" si="241"/>
        <v>9474.2857142857138</v>
      </c>
      <c r="L1799" s="97">
        <v>0.29000000000000004</v>
      </c>
      <c r="M1799" s="97">
        <v>4.3999999999999995</v>
      </c>
      <c r="N1799" s="97">
        <v>26</v>
      </c>
      <c r="O1799" s="97">
        <v>8</v>
      </c>
      <c r="P1799" s="97" t="s">
        <v>515</v>
      </c>
      <c r="Q1799" s="97">
        <f t="shared" si="244"/>
        <v>539</v>
      </c>
      <c r="R1799" t="str">
        <f t="shared" si="245"/>
        <v/>
      </c>
    </row>
    <row r="1800" spans="3:18">
      <c r="C1800" t="str">
        <f t="shared" si="239"/>
        <v/>
      </c>
      <c r="D1800" s="36">
        <v>540</v>
      </c>
      <c r="E1800" s="97">
        <v>170</v>
      </c>
      <c r="F1800" s="366">
        <f t="shared" si="242"/>
        <v>3689</v>
      </c>
      <c r="G1800" s="97">
        <v>6343</v>
      </c>
      <c r="H1800" s="367">
        <f t="shared" si="243"/>
        <v>10032</v>
      </c>
      <c r="I1800" s="368">
        <f t="shared" si="240"/>
        <v>0</v>
      </c>
      <c r="J1800" s="97">
        <v>16261</v>
      </c>
      <c r="K1800" s="367">
        <f t="shared" si="241"/>
        <v>11615</v>
      </c>
      <c r="L1800" s="97">
        <v>0.47000000000000003</v>
      </c>
      <c r="M1800" s="97">
        <v>4.3999999999999995</v>
      </c>
      <c r="N1800" s="97">
        <v>28</v>
      </c>
      <c r="O1800" s="97">
        <v>8</v>
      </c>
      <c r="P1800" s="97" t="s">
        <v>556</v>
      </c>
      <c r="Q1800" s="97">
        <f t="shared" si="244"/>
        <v>540</v>
      </c>
      <c r="R1800" t="str">
        <f t="shared" si="245"/>
        <v/>
      </c>
    </row>
    <row r="1801" spans="3:18">
      <c r="C1801" t="str">
        <f t="shared" si="239"/>
        <v/>
      </c>
      <c r="D1801" s="36">
        <v>541</v>
      </c>
      <c r="E1801" s="97">
        <v>170</v>
      </c>
      <c r="F1801" s="366">
        <f t="shared" si="242"/>
        <v>3689</v>
      </c>
      <c r="G1801" s="97">
        <v>7337</v>
      </c>
      <c r="H1801" s="367">
        <f t="shared" si="243"/>
        <v>11026</v>
      </c>
      <c r="I1801" s="368">
        <f t="shared" si="240"/>
        <v>0</v>
      </c>
      <c r="J1801" s="97">
        <v>18808</v>
      </c>
      <c r="K1801" s="367">
        <f t="shared" si="241"/>
        <v>13434.285714285714</v>
      </c>
      <c r="L1801" s="97">
        <v>0.99</v>
      </c>
      <c r="M1801" s="97">
        <v>4.3999999999999995</v>
      </c>
      <c r="N1801" s="97">
        <v>33</v>
      </c>
      <c r="O1801" s="97">
        <v>8</v>
      </c>
      <c r="P1801" s="97" t="s">
        <v>514</v>
      </c>
      <c r="Q1801" s="97" t="str">
        <f t="shared" si="244"/>
        <v/>
      </c>
      <c r="R1801" t="str">
        <f t="shared" si="245"/>
        <v/>
      </c>
    </row>
    <row r="1802" spans="3:18">
      <c r="C1802" t="str">
        <f t="shared" si="239"/>
        <v>NL</v>
      </c>
      <c r="D1802" s="36">
        <v>542</v>
      </c>
      <c r="E1802" s="97">
        <v>170</v>
      </c>
      <c r="F1802" s="366">
        <f t="shared" si="242"/>
        <v>3689</v>
      </c>
      <c r="G1802" s="97">
        <v>4939</v>
      </c>
      <c r="H1802" s="367">
        <f t="shared" si="243"/>
        <v>8628</v>
      </c>
      <c r="I1802" s="368">
        <f t="shared" si="240"/>
        <v>0</v>
      </c>
      <c r="J1802" s="97">
        <v>12660</v>
      </c>
      <c r="K1802" s="367">
        <f t="shared" si="241"/>
        <v>9042.8571428571431</v>
      </c>
      <c r="L1802" s="97">
        <v>0.24000000000000002</v>
      </c>
      <c r="M1802" s="97">
        <v>4.8999999999999995</v>
      </c>
      <c r="N1802" s="97">
        <v>26</v>
      </c>
      <c r="O1802" s="97">
        <v>9</v>
      </c>
      <c r="P1802" s="97" t="s">
        <v>515</v>
      </c>
      <c r="Q1802" s="97" t="str">
        <f t="shared" si="244"/>
        <v/>
      </c>
      <c r="R1802" t="str">
        <f t="shared" si="245"/>
        <v/>
      </c>
    </row>
    <row r="1803" spans="3:18">
      <c r="C1803" t="str">
        <f t="shared" si="239"/>
        <v/>
      </c>
      <c r="D1803" s="36">
        <v>543</v>
      </c>
      <c r="E1803" s="97">
        <v>170</v>
      </c>
      <c r="F1803" s="366">
        <f t="shared" si="242"/>
        <v>3689</v>
      </c>
      <c r="G1803" s="97">
        <v>4771</v>
      </c>
      <c r="H1803" s="367">
        <f t="shared" si="243"/>
        <v>8460</v>
      </c>
      <c r="I1803" s="368">
        <f t="shared" si="240"/>
        <v>0</v>
      </c>
      <c r="J1803" s="97">
        <v>12230</v>
      </c>
      <c r="K1803" s="367">
        <f t="shared" si="241"/>
        <v>8735.7142857142862</v>
      </c>
      <c r="L1803" s="97">
        <v>0.2</v>
      </c>
      <c r="M1803" s="97">
        <v>5.3999999999999995</v>
      </c>
      <c r="N1803" s="97">
        <v>26</v>
      </c>
      <c r="O1803" s="97">
        <v>10</v>
      </c>
      <c r="P1803" s="97" t="s">
        <v>515</v>
      </c>
      <c r="Q1803" s="97" t="str">
        <f t="shared" si="244"/>
        <v/>
      </c>
      <c r="R1803" t="str">
        <f t="shared" si="245"/>
        <v/>
      </c>
    </row>
    <row r="1804" spans="3:18">
      <c r="C1804" t="str">
        <f t="shared" si="239"/>
        <v/>
      </c>
      <c r="D1804" s="36">
        <v>544</v>
      </c>
      <c r="E1804" s="97">
        <v>170</v>
      </c>
      <c r="F1804" s="366">
        <f t="shared" si="242"/>
        <v>3689</v>
      </c>
      <c r="G1804" s="97">
        <v>6132</v>
      </c>
      <c r="H1804" s="367">
        <f t="shared" si="243"/>
        <v>9821</v>
      </c>
      <c r="I1804" s="368">
        <f t="shared" si="240"/>
        <v>0</v>
      </c>
      <c r="J1804" s="97">
        <v>15720</v>
      </c>
      <c r="K1804" s="367">
        <f t="shared" si="241"/>
        <v>11228.571428571429</v>
      </c>
      <c r="L1804" s="97">
        <v>0.32</v>
      </c>
      <c r="M1804" s="97">
        <v>5.3999999999999995</v>
      </c>
      <c r="N1804" s="97">
        <v>27</v>
      </c>
      <c r="O1804" s="97">
        <v>10</v>
      </c>
      <c r="P1804" s="97" t="s">
        <v>556</v>
      </c>
      <c r="Q1804" s="97" t="str">
        <f t="shared" si="244"/>
        <v/>
      </c>
      <c r="R1804" t="str">
        <f t="shared" si="245"/>
        <v/>
      </c>
    </row>
    <row r="1805" spans="3:18">
      <c r="C1805" t="str">
        <f t="shared" si="239"/>
        <v/>
      </c>
      <c r="D1805" s="36">
        <v>545</v>
      </c>
      <c r="E1805" s="97">
        <v>170</v>
      </c>
      <c r="F1805" s="366">
        <f t="shared" si="242"/>
        <v>3689</v>
      </c>
      <c r="G1805" s="97">
        <v>7532</v>
      </c>
      <c r="H1805" s="367">
        <f t="shared" si="243"/>
        <v>11221</v>
      </c>
      <c r="I1805" s="368">
        <f t="shared" si="240"/>
        <v>0</v>
      </c>
      <c r="J1805" s="97">
        <v>19309</v>
      </c>
      <c r="K1805" s="367">
        <f t="shared" si="241"/>
        <v>13792.142857142857</v>
      </c>
      <c r="L1805" s="97">
        <v>0.65</v>
      </c>
      <c r="M1805" s="97">
        <v>5.3999999999999995</v>
      </c>
      <c r="N1805" s="97">
        <v>32</v>
      </c>
      <c r="O1805" s="97">
        <v>10</v>
      </c>
      <c r="P1805" s="97" t="s">
        <v>514</v>
      </c>
      <c r="Q1805" s="97" t="str">
        <f t="shared" si="244"/>
        <v/>
      </c>
      <c r="R1805" t="str">
        <f t="shared" si="245"/>
        <v/>
      </c>
    </row>
    <row r="1806" spans="3:18">
      <c r="C1806" t="str">
        <f t="shared" si="239"/>
        <v/>
      </c>
      <c r="D1806" s="36">
        <v>546</v>
      </c>
      <c r="E1806" s="97">
        <v>170</v>
      </c>
      <c r="F1806" s="366">
        <f t="shared" si="242"/>
        <v>3689</v>
      </c>
      <c r="G1806" s="97">
        <v>8435</v>
      </c>
      <c r="H1806" s="367">
        <f t="shared" si="243"/>
        <v>12124</v>
      </c>
      <c r="I1806" s="368">
        <f t="shared" si="240"/>
        <v>0</v>
      </c>
      <c r="J1806" s="97">
        <v>21622</v>
      </c>
      <c r="K1806" s="367">
        <f t="shared" si="241"/>
        <v>15444.285714285714</v>
      </c>
      <c r="L1806" s="97">
        <v>0.95</v>
      </c>
      <c r="M1806" s="97">
        <v>5.3999999999999995</v>
      </c>
      <c r="N1806" s="97">
        <v>30</v>
      </c>
      <c r="O1806" s="97">
        <v>10</v>
      </c>
      <c r="P1806" s="97" t="s">
        <v>555</v>
      </c>
      <c r="Q1806" s="97" t="str">
        <f t="shared" si="244"/>
        <v/>
      </c>
      <c r="R1806" t="str">
        <f t="shared" si="245"/>
        <v/>
      </c>
    </row>
    <row r="1807" spans="3:18">
      <c r="C1807" t="str">
        <f t="shared" ref="C1807:C2061" si="246">IF(OR($O$4=0,O1807-$O$4=0),IF(AND(ISEVEN(O1807)=FALSE,$N$4="Even"),"NL",""),"NL")</f>
        <v>NL</v>
      </c>
      <c r="D1807" s="36">
        <v>547</v>
      </c>
      <c r="E1807" s="97">
        <v>175</v>
      </c>
      <c r="F1807" s="366">
        <f t="shared" si="242"/>
        <v>3797.5</v>
      </c>
      <c r="G1807" s="97">
        <v>5077</v>
      </c>
      <c r="H1807" s="367">
        <f t="shared" si="243"/>
        <v>8874.5</v>
      </c>
      <c r="I1807" s="368">
        <f t="shared" ref="I1807:I2061" si="247">1.085*($C$2-$D$2)*E1807*$T$7</f>
        <v>0</v>
      </c>
      <c r="J1807" s="97">
        <v>13014</v>
      </c>
      <c r="K1807" s="367">
        <f t="shared" ref="K1807:K2061" si="248">(J1807*$V$7)-I1807</f>
        <v>9295.7142857142862</v>
      </c>
      <c r="L1807" s="97">
        <v>0.75</v>
      </c>
      <c r="M1807" s="97">
        <v>2.8000000000000003</v>
      </c>
      <c r="N1807" s="97">
        <v>30</v>
      </c>
      <c r="O1807" s="97">
        <v>5</v>
      </c>
      <c r="P1807" s="97" t="s">
        <v>515</v>
      </c>
      <c r="Q1807" s="97" t="str">
        <f t="shared" si="244"/>
        <v/>
      </c>
      <c r="R1807" t="str">
        <f t="shared" si="245"/>
        <v/>
      </c>
    </row>
    <row r="1808" spans="3:18">
      <c r="C1808" t="str">
        <f t="shared" si="246"/>
        <v/>
      </c>
      <c r="D1808" s="36">
        <v>548</v>
      </c>
      <c r="E1808" s="97">
        <v>175</v>
      </c>
      <c r="F1808" s="366">
        <f t="shared" si="242"/>
        <v>3797.5</v>
      </c>
      <c r="G1808" s="97">
        <v>5275</v>
      </c>
      <c r="H1808" s="367">
        <f t="shared" si="243"/>
        <v>9072.5</v>
      </c>
      <c r="I1808" s="368">
        <f t="shared" si="247"/>
        <v>0</v>
      </c>
      <c r="J1808" s="97">
        <v>13522</v>
      </c>
      <c r="K1808" s="367">
        <f t="shared" si="248"/>
        <v>9658.5714285714294</v>
      </c>
      <c r="L1808" s="97">
        <v>0.51</v>
      </c>
      <c r="M1808" s="97">
        <v>3.4</v>
      </c>
      <c r="N1808" s="97">
        <v>28</v>
      </c>
      <c r="O1808" s="97">
        <v>6</v>
      </c>
      <c r="P1808" s="97" t="s">
        <v>515</v>
      </c>
      <c r="Q1808" s="97">
        <f t="shared" si="244"/>
        <v>548</v>
      </c>
      <c r="R1808" t="str">
        <f t="shared" si="245"/>
        <v/>
      </c>
    </row>
    <row r="1809" spans="3:18">
      <c r="C1809" t="str">
        <f t="shared" si="246"/>
        <v/>
      </c>
      <c r="D1809" s="36">
        <v>549</v>
      </c>
      <c r="E1809" s="97">
        <v>175</v>
      </c>
      <c r="F1809" s="366">
        <f t="shared" si="242"/>
        <v>3797.5</v>
      </c>
      <c r="G1809" s="97">
        <v>5980</v>
      </c>
      <c r="H1809" s="367">
        <f t="shared" si="243"/>
        <v>9777.5</v>
      </c>
      <c r="I1809" s="368">
        <f t="shared" si="247"/>
        <v>0</v>
      </c>
      <c r="J1809" s="97">
        <v>15330</v>
      </c>
      <c r="K1809" s="367">
        <f t="shared" si="248"/>
        <v>10950</v>
      </c>
      <c r="L1809" s="97">
        <v>0.86</v>
      </c>
      <c r="M1809" s="97">
        <v>3.4</v>
      </c>
      <c r="N1809" s="97">
        <v>30</v>
      </c>
      <c r="O1809" s="97">
        <v>6</v>
      </c>
      <c r="P1809" s="97" t="s">
        <v>556</v>
      </c>
      <c r="Q1809" s="97" t="str">
        <f t="shared" si="244"/>
        <v/>
      </c>
      <c r="R1809" t="str">
        <f t="shared" si="245"/>
        <v/>
      </c>
    </row>
    <row r="1810" spans="3:18">
      <c r="C1810" t="str">
        <f t="shared" si="246"/>
        <v>NL</v>
      </c>
      <c r="D1810" s="36">
        <v>550</v>
      </c>
      <c r="E1810" s="97">
        <v>175</v>
      </c>
      <c r="F1810" s="366">
        <f t="shared" si="242"/>
        <v>3797.5</v>
      </c>
      <c r="G1810" s="97">
        <v>5470</v>
      </c>
      <c r="H1810" s="367">
        <f t="shared" si="243"/>
        <v>9267.5</v>
      </c>
      <c r="I1810" s="368">
        <f t="shared" si="247"/>
        <v>0</v>
      </c>
      <c r="J1810" s="97">
        <v>14024</v>
      </c>
      <c r="K1810" s="367">
        <f t="shared" si="248"/>
        <v>10017.142857142857</v>
      </c>
      <c r="L1810" s="97">
        <v>0.38</v>
      </c>
      <c r="M1810" s="97">
        <v>3.9</v>
      </c>
      <c r="N1810" s="97">
        <v>27</v>
      </c>
      <c r="O1810" s="97">
        <v>7</v>
      </c>
      <c r="P1810" s="97" t="s">
        <v>515</v>
      </c>
      <c r="Q1810" s="97" t="str">
        <f t="shared" si="244"/>
        <v/>
      </c>
      <c r="R1810" t="str">
        <f t="shared" si="245"/>
        <v/>
      </c>
    </row>
    <row r="1811" spans="3:18">
      <c r="C1811" t="str">
        <f t="shared" si="246"/>
        <v>NL</v>
      </c>
      <c r="D1811" s="36">
        <v>551</v>
      </c>
      <c r="E1811" s="97">
        <v>175</v>
      </c>
      <c r="F1811" s="366">
        <f t="shared" si="242"/>
        <v>3797.5</v>
      </c>
      <c r="G1811" s="97">
        <v>6366</v>
      </c>
      <c r="H1811" s="367">
        <f t="shared" si="243"/>
        <v>10163.5</v>
      </c>
      <c r="I1811" s="368">
        <f t="shared" si="247"/>
        <v>0</v>
      </c>
      <c r="J1811" s="97">
        <v>16319</v>
      </c>
      <c r="K1811" s="367">
        <f t="shared" si="248"/>
        <v>11656.428571428572</v>
      </c>
      <c r="L1811" s="97">
        <v>0.64</v>
      </c>
      <c r="M1811" s="97">
        <v>3.9</v>
      </c>
      <c r="N1811" s="97">
        <v>29</v>
      </c>
      <c r="O1811" s="97">
        <v>7</v>
      </c>
      <c r="P1811" s="97" t="s">
        <v>556</v>
      </c>
      <c r="Q1811" s="97" t="str">
        <f t="shared" si="244"/>
        <v/>
      </c>
      <c r="R1811" t="str">
        <f t="shared" si="245"/>
        <v/>
      </c>
    </row>
    <row r="1812" spans="3:18">
      <c r="C1812" t="str">
        <f t="shared" si="246"/>
        <v/>
      </c>
      <c r="D1812" s="36">
        <v>552</v>
      </c>
      <c r="E1812" s="97">
        <v>175</v>
      </c>
      <c r="F1812" s="366">
        <f t="shared" si="242"/>
        <v>3797.5</v>
      </c>
      <c r="G1812" s="97">
        <v>5369</v>
      </c>
      <c r="H1812" s="367">
        <f t="shared" si="243"/>
        <v>9166.5</v>
      </c>
      <c r="I1812" s="368">
        <f t="shared" si="247"/>
        <v>0</v>
      </c>
      <c r="J1812" s="97">
        <v>13764</v>
      </c>
      <c r="K1812" s="367">
        <f t="shared" si="248"/>
        <v>9831.4285714285725</v>
      </c>
      <c r="L1812" s="97">
        <v>0.3</v>
      </c>
      <c r="M1812" s="97">
        <v>4.3999999999999995</v>
      </c>
      <c r="N1812" s="97">
        <v>26</v>
      </c>
      <c r="O1812" s="97">
        <v>8</v>
      </c>
      <c r="P1812" s="97" t="s">
        <v>515</v>
      </c>
      <c r="Q1812" s="97">
        <f t="shared" si="244"/>
        <v>552</v>
      </c>
      <c r="R1812" t="str">
        <f t="shared" si="245"/>
        <v/>
      </c>
    </row>
    <row r="1813" spans="3:18">
      <c r="C1813" t="str">
        <f t="shared" si="246"/>
        <v/>
      </c>
      <c r="D1813" s="36">
        <v>553</v>
      </c>
      <c r="E1813" s="97">
        <v>175</v>
      </c>
      <c r="F1813" s="366">
        <f t="shared" si="242"/>
        <v>3797.5</v>
      </c>
      <c r="G1813" s="97">
        <v>6475</v>
      </c>
      <c r="H1813" s="367">
        <f t="shared" si="243"/>
        <v>10272.5</v>
      </c>
      <c r="I1813" s="368">
        <f t="shared" si="247"/>
        <v>0</v>
      </c>
      <c r="J1813" s="97">
        <v>16599</v>
      </c>
      <c r="K1813" s="367">
        <f t="shared" si="248"/>
        <v>11856.428571428572</v>
      </c>
      <c r="L1813" s="97">
        <v>0.49</v>
      </c>
      <c r="M1813" s="97">
        <v>4.3999999999999995</v>
      </c>
      <c r="N1813" s="97">
        <v>28</v>
      </c>
      <c r="O1813" s="97">
        <v>8</v>
      </c>
      <c r="P1813" s="97" t="s">
        <v>556</v>
      </c>
      <c r="Q1813" s="97">
        <f t="shared" si="244"/>
        <v>553</v>
      </c>
      <c r="R1813" t="str">
        <f t="shared" si="245"/>
        <v/>
      </c>
    </row>
    <row r="1814" spans="3:18">
      <c r="C1814" t="str">
        <f t="shared" si="246"/>
        <v/>
      </c>
      <c r="D1814" s="36">
        <v>554</v>
      </c>
      <c r="E1814" s="97">
        <v>175</v>
      </c>
      <c r="F1814" s="366">
        <f t="shared" si="242"/>
        <v>3797.5</v>
      </c>
      <c r="G1814" s="97">
        <v>7482</v>
      </c>
      <c r="H1814" s="367">
        <f t="shared" si="243"/>
        <v>11279.5</v>
      </c>
      <c r="I1814" s="368">
        <f t="shared" si="247"/>
        <v>0</v>
      </c>
      <c r="J1814" s="97">
        <v>19180</v>
      </c>
      <c r="K1814" s="367">
        <f t="shared" si="248"/>
        <v>13700</v>
      </c>
      <c r="L1814" s="97">
        <v>1.04</v>
      </c>
      <c r="M1814" s="97">
        <v>4.3999999999999995</v>
      </c>
      <c r="N1814" s="97">
        <v>34</v>
      </c>
      <c r="O1814" s="97">
        <v>8</v>
      </c>
      <c r="P1814" s="97" t="s">
        <v>514</v>
      </c>
      <c r="Q1814" s="97" t="str">
        <f t="shared" si="244"/>
        <v/>
      </c>
      <c r="R1814" t="str">
        <f t="shared" si="245"/>
        <v/>
      </c>
    </row>
    <row r="1815" spans="3:18">
      <c r="C1815" t="str">
        <f t="shared" si="246"/>
        <v>NL</v>
      </c>
      <c r="D1815" s="36">
        <v>555</v>
      </c>
      <c r="E1815" s="97">
        <v>175</v>
      </c>
      <c r="F1815" s="366">
        <f t="shared" si="242"/>
        <v>3797.5</v>
      </c>
      <c r="G1815" s="97">
        <v>5116</v>
      </c>
      <c r="H1815" s="367">
        <f t="shared" si="243"/>
        <v>8913.5</v>
      </c>
      <c r="I1815" s="368">
        <f t="shared" si="247"/>
        <v>0</v>
      </c>
      <c r="J1815" s="97">
        <v>13115</v>
      </c>
      <c r="K1815" s="367">
        <f t="shared" si="248"/>
        <v>9367.8571428571431</v>
      </c>
      <c r="L1815" s="97">
        <v>0.26</v>
      </c>
      <c r="M1815" s="97">
        <v>4.8999999999999995</v>
      </c>
      <c r="N1815" s="97">
        <v>26</v>
      </c>
      <c r="O1815" s="97">
        <v>9</v>
      </c>
      <c r="P1815" s="97" t="s">
        <v>515</v>
      </c>
      <c r="Q1815" s="97" t="str">
        <f t="shared" si="244"/>
        <v/>
      </c>
      <c r="R1815" t="str">
        <f t="shared" si="245"/>
        <v/>
      </c>
    </row>
    <row r="1816" spans="3:18">
      <c r="C1816" t="str">
        <f t="shared" si="246"/>
        <v/>
      </c>
      <c r="D1816" s="36">
        <v>556</v>
      </c>
      <c r="E1816" s="97">
        <v>175</v>
      </c>
      <c r="F1816" s="366">
        <f t="shared" si="242"/>
        <v>3797.5</v>
      </c>
      <c r="G1816" s="97">
        <v>4894</v>
      </c>
      <c r="H1816" s="367">
        <f t="shared" si="243"/>
        <v>8691.5</v>
      </c>
      <c r="I1816" s="368">
        <f t="shared" si="247"/>
        <v>0</v>
      </c>
      <c r="J1816" s="97">
        <v>12545</v>
      </c>
      <c r="K1816" s="367">
        <f t="shared" si="248"/>
        <v>8960.7142857142862</v>
      </c>
      <c r="L1816" s="97">
        <v>0.21000000000000002</v>
      </c>
      <c r="M1816" s="97">
        <v>5.3999999999999995</v>
      </c>
      <c r="N1816" s="97">
        <v>26</v>
      </c>
      <c r="O1816" s="97">
        <v>10</v>
      </c>
      <c r="P1816" s="97" t="s">
        <v>515</v>
      </c>
      <c r="Q1816" s="97" t="str">
        <f t="shared" si="244"/>
        <v/>
      </c>
      <c r="R1816" t="str">
        <f t="shared" si="245"/>
        <v/>
      </c>
    </row>
    <row r="1817" spans="3:18">
      <c r="C1817" t="str">
        <f t="shared" si="246"/>
        <v/>
      </c>
      <c r="D1817" s="36">
        <v>557</v>
      </c>
      <c r="E1817" s="97">
        <v>175</v>
      </c>
      <c r="F1817" s="366">
        <f t="shared" si="242"/>
        <v>3797.5</v>
      </c>
      <c r="G1817" s="97">
        <v>6356</v>
      </c>
      <c r="H1817" s="367">
        <f t="shared" si="243"/>
        <v>10153.5</v>
      </c>
      <c r="I1817" s="368">
        <f t="shared" si="247"/>
        <v>0</v>
      </c>
      <c r="J1817" s="97">
        <v>16292</v>
      </c>
      <c r="K1817" s="367">
        <f t="shared" si="248"/>
        <v>11637.142857142857</v>
      </c>
      <c r="L1817" s="97">
        <v>0.34</v>
      </c>
      <c r="M1817" s="97">
        <v>5.3999999999999995</v>
      </c>
      <c r="N1817" s="97">
        <v>28</v>
      </c>
      <c r="O1817" s="97">
        <v>10</v>
      </c>
      <c r="P1817" s="97" t="s">
        <v>556</v>
      </c>
      <c r="Q1817" s="97" t="str">
        <f t="shared" si="244"/>
        <v/>
      </c>
      <c r="R1817" t="str">
        <f t="shared" si="245"/>
        <v/>
      </c>
    </row>
    <row r="1818" spans="3:18">
      <c r="C1818" t="str">
        <f t="shared" si="246"/>
        <v/>
      </c>
      <c r="D1818" s="36">
        <v>558</v>
      </c>
      <c r="E1818" s="97">
        <v>175</v>
      </c>
      <c r="F1818" s="366">
        <f t="shared" si="242"/>
        <v>3797.5</v>
      </c>
      <c r="G1818" s="97">
        <v>7678</v>
      </c>
      <c r="H1818" s="367">
        <f t="shared" si="243"/>
        <v>11475.5</v>
      </c>
      <c r="I1818" s="368">
        <f t="shared" si="247"/>
        <v>0</v>
      </c>
      <c r="J1818" s="97">
        <v>19683</v>
      </c>
      <c r="K1818" s="367">
        <f t="shared" si="248"/>
        <v>14059.285714285714</v>
      </c>
      <c r="L1818" s="97">
        <v>0.69000000000000006</v>
      </c>
      <c r="M1818" s="97">
        <v>5.3999999999999995</v>
      </c>
      <c r="N1818" s="97">
        <v>33</v>
      </c>
      <c r="O1818" s="97">
        <v>10</v>
      </c>
      <c r="P1818" s="97" t="s">
        <v>514</v>
      </c>
      <c r="Q1818" s="97" t="str">
        <f t="shared" si="244"/>
        <v/>
      </c>
      <c r="R1818" t="str">
        <f t="shared" si="245"/>
        <v/>
      </c>
    </row>
    <row r="1819" spans="3:18">
      <c r="C1819" t="str">
        <f t="shared" si="246"/>
        <v/>
      </c>
      <c r="D1819" s="36">
        <v>559</v>
      </c>
      <c r="E1819" s="97">
        <v>175</v>
      </c>
      <c r="F1819" s="366">
        <f t="shared" si="242"/>
        <v>3797.5</v>
      </c>
      <c r="G1819" s="97">
        <v>8602</v>
      </c>
      <c r="H1819" s="367">
        <f t="shared" si="243"/>
        <v>12399.5</v>
      </c>
      <c r="I1819" s="368">
        <f t="shared" si="247"/>
        <v>0</v>
      </c>
      <c r="J1819" s="97">
        <v>22051</v>
      </c>
      <c r="K1819" s="367">
        <f t="shared" si="248"/>
        <v>15750.714285714286</v>
      </c>
      <c r="L1819" s="97">
        <v>1</v>
      </c>
      <c r="M1819" s="97">
        <v>5.3999999999999995</v>
      </c>
      <c r="N1819" s="97">
        <v>31</v>
      </c>
      <c r="O1819" s="97">
        <v>10</v>
      </c>
      <c r="P1819" s="97" t="s">
        <v>555</v>
      </c>
      <c r="Q1819" s="97" t="str">
        <f t="shared" si="244"/>
        <v/>
      </c>
      <c r="R1819" t="str">
        <f t="shared" si="245"/>
        <v/>
      </c>
    </row>
    <row r="1820" spans="3:18">
      <c r="C1820" t="str">
        <f t="shared" si="246"/>
        <v>NL</v>
      </c>
      <c r="D1820" s="36">
        <v>560</v>
      </c>
      <c r="E1820" s="97">
        <v>180</v>
      </c>
      <c r="F1820" s="366">
        <f t="shared" si="242"/>
        <v>3906</v>
      </c>
      <c r="G1820" s="97">
        <v>5170</v>
      </c>
      <c r="H1820" s="367">
        <f t="shared" si="243"/>
        <v>9076</v>
      </c>
      <c r="I1820" s="368">
        <f t="shared" si="247"/>
        <v>0</v>
      </c>
      <c r="J1820" s="97">
        <v>13252</v>
      </c>
      <c r="K1820" s="367">
        <f t="shared" si="248"/>
        <v>9465.7142857142862</v>
      </c>
      <c r="L1820" s="97">
        <v>0.79</v>
      </c>
      <c r="M1820" s="97">
        <v>2.8000000000000003</v>
      </c>
      <c r="N1820" s="97">
        <v>30</v>
      </c>
      <c r="O1820" s="97">
        <v>5</v>
      </c>
      <c r="P1820" s="97" t="s">
        <v>515</v>
      </c>
      <c r="Q1820" s="97" t="str">
        <f t="shared" si="244"/>
        <v/>
      </c>
      <c r="R1820" t="str">
        <f t="shared" si="245"/>
        <v/>
      </c>
    </row>
    <row r="1821" spans="3:18">
      <c r="C1821" t="str">
        <f t="shared" si="246"/>
        <v/>
      </c>
      <c r="D1821" s="36">
        <v>561</v>
      </c>
      <c r="E1821" s="97">
        <v>180</v>
      </c>
      <c r="F1821" s="366">
        <f t="shared" si="242"/>
        <v>3906</v>
      </c>
      <c r="G1821" s="97">
        <v>5374</v>
      </c>
      <c r="H1821" s="367">
        <f t="shared" si="243"/>
        <v>9280</v>
      </c>
      <c r="I1821" s="368">
        <f t="shared" si="247"/>
        <v>0</v>
      </c>
      <c r="J1821" s="97">
        <v>13777</v>
      </c>
      <c r="K1821" s="367">
        <f t="shared" si="248"/>
        <v>9840.7142857142862</v>
      </c>
      <c r="L1821" s="97">
        <v>0.54</v>
      </c>
      <c r="M1821" s="97">
        <v>3.4</v>
      </c>
      <c r="N1821" s="97">
        <v>28</v>
      </c>
      <c r="O1821" s="97">
        <v>6</v>
      </c>
      <c r="P1821" s="97" t="s">
        <v>515</v>
      </c>
      <c r="Q1821" s="97">
        <f t="shared" si="244"/>
        <v>561</v>
      </c>
      <c r="R1821" t="str">
        <f t="shared" si="245"/>
        <v/>
      </c>
    </row>
    <row r="1822" spans="3:18">
      <c r="C1822" t="str">
        <f t="shared" si="246"/>
        <v/>
      </c>
      <c r="D1822" s="36">
        <v>562</v>
      </c>
      <c r="E1822" s="97">
        <v>180</v>
      </c>
      <c r="F1822" s="366">
        <f t="shared" si="242"/>
        <v>3906</v>
      </c>
      <c r="G1822" s="97">
        <v>6099</v>
      </c>
      <c r="H1822" s="367">
        <f t="shared" si="243"/>
        <v>10005</v>
      </c>
      <c r="I1822" s="368">
        <f t="shared" si="247"/>
        <v>0</v>
      </c>
      <c r="J1822" s="97">
        <v>15636</v>
      </c>
      <c r="K1822" s="367">
        <f t="shared" si="248"/>
        <v>11168.571428571429</v>
      </c>
      <c r="L1822" s="97">
        <v>0.91</v>
      </c>
      <c r="M1822" s="97">
        <v>3.4</v>
      </c>
      <c r="N1822" s="97">
        <v>31</v>
      </c>
      <c r="O1822" s="97">
        <v>6</v>
      </c>
      <c r="P1822" s="97" t="s">
        <v>556</v>
      </c>
      <c r="Q1822" s="97" t="str">
        <f t="shared" si="244"/>
        <v/>
      </c>
      <c r="R1822" t="str">
        <f t="shared" si="245"/>
        <v/>
      </c>
    </row>
    <row r="1823" spans="3:18">
      <c r="C1823" t="str">
        <f t="shared" si="246"/>
        <v>NL</v>
      </c>
      <c r="D1823" s="36">
        <v>563</v>
      </c>
      <c r="E1823" s="97">
        <v>180</v>
      </c>
      <c r="F1823" s="366">
        <f t="shared" si="242"/>
        <v>3906</v>
      </c>
      <c r="G1823" s="97">
        <v>5578</v>
      </c>
      <c r="H1823" s="367">
        <f t="shared" si="243"/>
        <v>9484</v>
      </c>
      <c r="I1823" s="368">
        <f t="shared" si="247"/>
        <v>0</v>
      </c>
      <c r="J1823" s="97">
        <v>14298</v>
      </c>
      <c r="K1823" s="367">
        <f t="shared" si="248"/>
        <v>10212.857142857143</v>
      </c>
      <c r="L1823" s="97">
        <v>0.41000000000000003</v>
      </c>
      <c r="M1823" s="97">
        <v>3.9</v>
      </c>
      <c r="N1823" s="97">
        <v>27</v>
      </c>
      <c r="O1823" s="97">
        <v>7</v>
      </c>
      <c r="P1823" s="97" t="s">
        <v>515</v>
      </c>
      <c r="Q1823" s="97" t="str">
        <f t="shared" si="244"/>
        <v/>
      </c>
      <c r="R1823" t="str">
        <f t="shared" si="245"/>
        <v/>
      </c>
    </row>
    <row r="1824" spans="3:18">
      <c r="C1824" t="str">
        <f t="shared" si="246"/>
        <v>NL</v>
      </c>
      <c r="D1824" s="36">
        <v>564</v>
      </c>
      <c r="E1824" s="97">
        <v>180</v>
      </c>
      <c r="F1824" s="366">
        <f t="shared" si="242"/>
        <v>3906</v>
      </c>
      <c r="G1824" s="97">
        <v>6489</v>
      </c>
      <c r="H1824" s="367">
        <f t="shared" si="243"/>
        <v>10395</v>
      </c>
      <c r="I1824" s="368">
        <f t="shared" si="247"/>
        <v>0</v>
      </c>
      <c r="J1824" s="97">
        <v>16634</v>
      </c>
      <c r="K1824" s="367">
        <f t="shared" si="248"/>
        <v>11881.428571428572</v>
      </c>
      <c r="L1824" s="97">
        <v>0.67</v>
      </c>
      <c r="M1824" s="97">
        <v>3.9</v>
      </c>
      <c r="N1824" s="97">
        <v>29</v>
      </c>
      <c r="O1824" s="97">
        <v>7</v>
      </c>
      <c r="P1824" s="97" t="s">
        <v>556</v>
      </c>
      <c r="Q1824" s="97" t="str">
        <f t="shared" si="244"/>
        <v/>
      </c>
      <c r="R1824" t="str">
        <f t="shared" si="245"/>
        <v/>
      </c>
    </row>
    <row r="1825" spans="3:18">
      <c r="C1825" t="str">
        <f t="shared" si="246"/>
        <v/>
      </c>
      <c r="D1825" s="36">
        <v>565</v>
      </c>
      <c r="E1825" s="97">
        <v>180</v>
      </c>
      <c r="F1825" s="366">
        <f t="shared" si="242"/>
        <v>3906</v>
      </c>
      <c r="G1825" s="97">
        <v>5565</v>
      </c>
      <c r="H1825" s="367">
        <f t="shared" si="243"/>
        <v>9471</v>
      </c>
      <c r="I1825" s="368">
        <f t="shared" si="247"/>
        <v>0</v>
      </c>
      <c r="J1825" s="97">
        <v>14265</v>
      </c>
      <c r="K1825" s="367">
        <f t="shared" si="248"/>
        <v>10189.285714285714</v>
      </c>
      <c r="L1825" s="97">
        <v>0.32</v>
      </c>
      <c r="M1825" s="97">
        <v>4.3999999999999995</v>
      </c>
      <c r="N1825" s="97">
        <v>26</v>
      </c>
      <c r="O1825" s="97">
        <v>8</v>
      </c>
      <c r="P1825" s="97" t="s">
        <v>515</v>
      </c>
      <c r="Q1825" s="97">
        <f t="shared" si="244"/>
        <v>565</v>
      </c>
      <c r="R1825" t="str">
        <f t="shared" si="245"/>
        <v/>
      </c>
    </row>
    <row r="1826" spans="3:18">
      <c r="C1826" t="str">
        <f t="shared" si="246"/>
        <v/>
      </c>
      <c r="D1826" s="36">
        <v>566</v>
      </c>
      <c r="E1826" s="97">
        <v>180</v>
      </c>
      <c r="F1826" s="366">
        <f t="shared" si="242"/>
        <v>3906</v>
      </c>
      <c r="G1826" s="97">
        <v>6606</v>
      </c>
      <c r="H1826" s="367">
        <f t="shared" si="243"/>
        <v>10512</v>
      </c>
      <c r="I1826" s="368">
        <f t="shared" si="247"/>
        <v>0</v>
      </c>
      <c r="J1826" s="97">
        <v>16936</v>
      </c>
      <c r="K1826" s="367">
        <f t="shared" si="248"/>
        <v>12097.142857142857</v>
      </c>
      <c r="L1826" s="97">
        <v>0.52</v>
      </c>
      <c r="M1826" s="97">
        <v>4.3999999999999995</v>
      </c>
      <c r="N1826" s="97">
        <v>28</v>
      </c>
      <c r="O1826" s="97">
        <v>8</v>
      </c>
      <c r="P1826" s="97" t="s">
        <v>556</v>
      </c>
      <c r="Q1826" s="97">
        <f t="shared" si="244"/>
        <v>566</v>
      </c>
      <c r="R1826" t="str">
        <f t="shared" si="245"/>
        <v/>
      </c>
    </row>
    <row r="1827" spans="3:18">
      <c r="C1827" t="str">
        <f t="shared" si="246"/>
        <v>NL</v>
      </c>
      <c r="D1827" s="36">
        <v>567</v>
      </c>
      <c r="E1827" s="97">
        <v>180</v>
      </c>
      <c r="F1827" s="366">
        <f t="shared" si="242"/>
        <v>3906</v>
      </c>
      <c r="G1827" s="97">
        <v>5293</v>
      </c>
      <c r="H1827" s="367">
        <f t="shared" si="243"/>
        <v>9199</v>
      </c>
      <c r="I1827" s="368">
        <f t="shared" si="247"/>
        <v>0</v>
      </c>
      <c r="J1827" s="97">
        <v>13570</v>
      </c>
      <c r="K1827" s="367">
        <f t="shared" si="248"/>
        <v>9692.8571428571431</v>
      </c>
      <c r="L1827" s="97">
        <v>0.27</v>
      </c>
      <c r="M1827" s="97">
        <v>4.8999999999999995</v>
      </c>
      <c r="N1827" s="97">
        <v>27</v>
      </c>
      <c r="O1827" s="97">
        <v>9</v>
      </c>
      <c r="P1827" s="97" t="s">
        <v>515</v>
      </c>
      <c r="Q1827" s="97" t="str">
        <f t="shared" si="244"/>
        <v/>
      </c>
      <c r="R1827" t="str">
        <f t="shared" si="245"/>
        <v/>
      </c>
    </row>
    <row r="1828" spans="3:18">
      <c r="C1828" t="str">
        <f t="shared" si="246"/>
        <v/>
      </c>
      <c r="D1828" s="36">
        <v>568</v>
      </c>
      <c r="E1828" s="97">
        <v>180</v>
      </c>
      <c r="F1828" s="366">
        <f t="shared" si="242"/>
        <v>3906</v>
      </c>
      <c r="G1828" s="97">
        <v>5067</v>
      </c>
      <c r="H1828" s="367">
        <f t="shared" si="243"/>
        <v>8973</v>
      </c>
      <c r="I1828" s="368">
        <f t="shared" si="247"/>
        <v>0</v>
      </c>
      <c r="J1828" s="97">
        <v>12989</v>
      </c>
      <c r="K1828" s="367">
        <f t="shared" si="248"/>
        <v>9277.8571428571431</v>
      </c>
      <c r="L1828" s="97">
        <v>0.23</v>
      </c>
      <c r="M1828" s="97">
        <v>5.3999999999999995</v>
      </c>
      <c r="N1828" s="97">
        <v>26</v>
      </c>
      <c r="O1828" s="97">
        <v>10</v>
      </c>
      <c r="P1828" s="97" t="s">
        <v>515</v>
      </c>
      <c r="Q1828" s="97" t="str">
        <f t="shared" si="244"/>
        <v/>
      </c>
      <c r="R1828" t="str">
        <f t="shared" si="245"/>
        <v/>
      </c>
    </row>
    <row r="1829" spans="3:18">
      <c r="C1829" t="str">
        <f t="shared" si="246"/>
        <v/>
      </c>
      <c r="D1829" s="36">
        <v>569</v>
      </c>
      <c r="E1829" s="97">
        <v>180</v>
      </c>
      <c r="F1829" s="366">
        <f t="shared" si="242"/>
        <v>3906</v>
      </c>
      <c r="G1829" s="97">
        <v>6579</v>
      </c>
      <c r="H1829" s="367">
        <f t="shared" si="243"/>
        <v>10485</v>
      </c>
      <c r="I1829" s="368">
        <f t="shared" si="247"/>
        <v>0</v>
      </c>
      <c r="J1829" s="97">
        <v>16865</v>
      </c>
      <c r="K1829" s="367">
        <f t="shared" si="248"/>
        <v>12046.428571428572</v>
      </c>
      <c r="L1829" s="97">
        <v>0.36</v>
      </c>
      <c r="M1829" s="97">
        <v>5.3999999999999995</v>
      </c>
      <c r="N1829" s="97">
        <v>28</v>
      </c>
      <c r="O1829" s="97">
        <v>10</v>
      </c>
      <c r="P1829" s="97" t="s">
        <v>556</v>
      </c>
      <c r="Q1829" s="97" t="str">
        <f t="shared" si="244"/>
        <v/>
      </c>
      <c r="R1829" t="str">
        <f t="shared" si="245"/>
        <v/>
      </c>
    </row>
    <row r="1830" spans="3:18">
      <c r="C1830" t="str">
        <f t="shared" si="246"/>
        <v/>
      </c>
      <c r="D1830" s="36">
        <v>570</v>
      </c>
      <c r="E1830" s="97">
        <v>180</v>
      </c>
      <c r="F1830" s="366">
        <f t="shared" si="242"/>
        <v>3906</v>
      </c>
      <c r="G1830" s="97">
        <v>7824</v>
      </c>
      <c r="H1830" s="367">
        <f t="shared" si="243"/>
        <v>11730</v>
      </c>
      <c r="I1830" s="368">
        <f t="shared" si="247"/>
        <v>0</v>
      </c>
      <c r="J1830" s="97">
        <v>20057</v>
      </c>
      <c r="K1830" s="367">
        <f t="shared" si="248"/>
        <v>14326.428571428572</v>
      </c>
      <c r="L1830" s="97">
        <v>0.73</v>
      </c>
      <c r="M1830" s="97">
        <v>5.3999999999999995</v>
      </c>
      <c r="N1830" s="97">
        <v>33</v>
      </c>
      <c r="O1830" s="97">
        <v>10</v>
      </c>
      <c r="P1830" s="97" t="s">
        <v>514</v>
      </c>
      <c r="Q1830" s="97" t="str">
        <f t="shared" si="244"/>
        <v/>
      </c>
      <c r="R1830" t="str">
        <f t="shared" si="245"/>
        <v/>
      </c>
    </row>
    <row r="1831" spans="3:18">
      <c r="C1831" t="str">
        <f t="shared" si="246"/>
        <v>NL</v>
      </c>
      <c r="D1831" s="36">
        <v>571</v>
      </c>
      <c r="E1831" s="97">
        <v>185</v>
      </c>
      <c r="F1831" s="366">
        <f t="shared" si="242"/>
        <v>4014.5</v>
      </c>
      <c r="G1831" s="97">
        <v>5262</v>
      </c>
      <c r="H1831" s="367">
        <f t="shared" si="243"/>
        <v>9276.5</v>
      </c>
      <c r="I1831" s="368">
        <f t="shared" si="247"/>
        <v>0</v>
      </c>
      <c r="J1831" s="97">
        <v>13490</v>
      </c>
      <c r="K1831" s="367">
        <f t="shared" si="248"/>
        <v>9635.7142857142862</v>
      </c>
      <c r="L1831" s="97">
        <v>0.83</v>
      </c>
      <c r="M1831" s="97">
        <v>2.8000000000000003</v>
      </c>
      <c r="N1831" s="97">
        <v>30</v>
      </c>
      <c r="O1831" s="97">
        <v>5</v>
      </c>
      <c r="P1831" s="97" t="s">
        <v>515</v>
      </c>
      <c r="Q1831" s="97" t="str">
        <f t="shared" si="244"/>
        <v/>
      </c>
      <c r="R1831" t="str">
        <f t="shared" si="245"/>
        <v/>
      </c>
    </row>
    <row r="1832" spans="3:18">
      <c r="C1832" t="str">
        <f t="shared" si="246"/>
        <v/>
      </c>
      <c r="D1832" s="36">
        <v>572</v>
      </c>
      <c r="E1832" s="97">
        <v>185</v>
      </c>
      <c r="F1832" s="366">
        <f t="shared" si="242"/>
        <v>4014.5</v>
      </c>
      <c r="G1832" s="97">
        <v>5473</v>
      </c>
      <c r="H1832" s="367">
        <f t="shared" si="243"/>
        <v>9487.5</v>
      </c>
      <c r="I1832" s="368">
        <f t="shared" si="247"/>
        <v>0</v>
      </c>
      <c r="J1832" s="97">
        <v>14031</v>
      </c>
      <c r="K1832" s="367">
        <f t="shared" si="248"/>
        <v>10022.142857142857</v>
      </c>
      <c r="L1832" s="97">
        <v>0.57000000000000006</v>
      </c>
      <c r="M1832" s="97">
        <v>3.4</v>
      </c>
      <c r="N1832" s="97">
        <v>28</v>
      </c>
      <c r="O1832" s="97">
        <v>6</v>
      </c>
      <c r="P1832" s="97" t="s">
        <v>515</v>
      </c>
      <c r="Q1832" s="97">
        <f t="shared" si="244"/>
        <v>572</v>
      </c>
      <c r="R1832" t="str">
        <f t="shared" si="245"/>
        <v/>
      </c>
    </row>
    <row r="1833" spans="3:18">
      <c r="C1833" t="str">
        <f t="shared" si="246"/>
        <v/>
      </c>
      <c r="D1833" s="36">
        <v>573</v>
      </c>
      <c r="E1833" s="97">
        <v>185</v>
      </c>
      <c r="F1833" s="366">
        <f t="shared" si="242"/>
        <v>4014.5</v>
      </c>
      <c r="G1833" s="97">
        <v>6213</v>
      </c>
      <c r="H1833" s="367">
        <f t="shared" si="243"/>
        <v>10227.5</v>
      </c>
      <c r="I1833" s="368">
        <f t="shared" si="247"/>
        <v>0</v>
      </c>
      <c r="J1833" s="97">
        <v>15927</v>
      </c>
      <c r="K1833" s="367">
        <f t="shared" si="248"/>
        <v>11376.428571428572</v>
      </c>
      <c r="L1833" s="97">
        <v>0.96</v>
      </c>
      <c r="M1833" s="97">
        <v>3.4</v>
      </c>
      <c r="N1833" s="97">
        <v>31</v>
      </c>
      <c r="O1833" s="97">
        <v>6</v>
      </c>
      <c r="P1833" s="97" t="s">
        <v>556</v>
      </c>
      <c r="Q1833" s="97" t="str">
        <f t="shared" si="244"/>
        <v/>
      </c>
      <c r="R1833" t="str">
        <f t="shared" si="245"/>
        <v/>
      </c>
    </row>
    <row r="1834" spans="3:18">
      <c r="C1834" t="str">
        <f t="shared" si="246"/>
        <v>NL</v>
      </c>
      <c r="D1834" s="36">
        <v>574</v>
      </c>
      <c r="E1834" s="97">
        <v>185</v>
      </c>
      <c r="F1834" s="366">
        <f t="shared" si="242"/>
        <v>4014.5</v>
      </c>
      <c r="G1834" s="97">
        <v>5684</v>
      </c>
      <c r="H1834" s="367">
        <f t="shared" si="243"/>
        <v>9698.5</v>
      </c>
      <c r="I1834" s="368">
        <f t="shared" si="247"/>
        <v>0</v>
      </c>
      <c r="J1834" s="97">
        <v>14571</v>
      </c>
      <c r="K1834" s="367">
        <f t="shared" si="248"/>
        <v>10407.857142857143</v>
      </c>
      <c r="L1834" s="97">
        <v>0.43</v>
      </c>
      <c r="M1834" s="97">
        <v>3.9</v>
      </c>
      <c r="N1834" s="97">
        <v>27</v>
      </c>
      <c r="O1834" s="97">
        <v>7</v>
      </c>
      <c r="P1834" s="97" t="s">
        <v>515</v>
      </c>
      <c r="Q1834" s="97" t="str">
        <f t="shared" si="244"/>
        <v/>
      </c>
      <c r="R1834" t="str">
        <f t="shared" si="245"/>
        <v/>
      </c>
    </row>
    <row r="1835" spans="3:18">
      <c r="C1835" t="str">
        <f t="shared" si="246"/>
        <v>NL</v>
      </c>
      <c r="D1835" s="36">
        <v>575</v>
      </c>
      <c r="E1835" s="97">
        <v>185</v>
      </c>
      <c r="F1835" s="366">
        <f t="shared" si="242"/>
        <v>4014.5</v>
      </c>
      <c r="G1835" s="97">
        <v>6608</v>
      </c>
      <c r="H1835" s="367">
        <f t="shared" si="243"/>
        <v>10622.5</v>
      </c>
      <c r="I1835" s="368">
        <f t="shared" si="247"/>
        <v>0</v>
      </c>
      <c r="J1835" s="97">
        <v>16939</v>
      </c>
      <c r="K1835" s="367">
        <f t="shared" si="248"/>
        <v>12099.285714285714</v>
      </c>
      <c r="L1835" s="97">
        <v>0.71</v>
      </c>
      <c r="M1835" s="97">
        <v>3.9</v>
      </c>
      <c r="N1835" s="97">
        <v>30</v>
      </c>
      <c r="O1835" s="97">
        <v>7</v>
      </c>
      <c r="P1835" s="97" t="s">
        <v>556</v>
      </c>
      <c r="Q1835" s="97" t="str">
        <f t="shared" si="244"/>
        <v/>
      </c>
      <c r="R1835" t="str">
        <f t="shared" si="245"/>
        <v/>
      </c>
    </row>
    <row r="1836" spans="3:18">
      <c r="C1836" t="str">
        <f t="shared" si="246"/>
        <v/>
      </c>
      <c r="D1836" s="36">
        <v>576</v>
      </c>
      <c r="E1836" s="97">
        <v>185</v>
      </c>
      <c r="F1836" s="366">
        <f t="shared" si="242"/>
        <v>4014.5</v>
      </c>
      <c r="G1836" s="97">
        <v>5760</v>
      </c>
      <c r="H1836" s="367">
        <f t="shared" si="243"/>
        <v>9774.5</v>
      </c>
      <c r="I1836" s="368">
        <f t="shared" si="247"/>
        <v>0</v>
      </c>
      <c r="J1836" s="97">
        <v>14766</v>
      </c>
      <c r="K1836" s="367">
        <f t="shared" si="248"/>
        <v>10547.142857142857</v>
      </c>
      <c r="L1836" s="97">
        <v>0.34</v>
      </c>
      <c r="M1836" s="97">
        <v>4.3999999999999995</v>
      </c>
      <c r="N1836" s="97">
        <v>27</v>
      </c>
      <c r="O1836" s="97">
        <v>8</v>
      </c>
      <c r="P1836" s="97" t="s">
        <v>515</v>
      </c>
      <c r="Q1836" s="97">
        <f t="shared" si="244"/>
        <v>576</v>
      </c>
      <c r="R1836" t="str">
        <f t="shared" si="245"/>
        <v/>
      </c>
    </row>
    <row r="1837" spans="3:18">
      <c r="C1837" t="str">
        <f t="shared" si="246"/>
        <v/>
      </c>
      <c r="D1837" s="36">
        <v>577</v>
      </c>
      <c r="E1837" s="97">
        <v>185</v>
      </c>
      <c r="F1837" s="366">
        <f>1.085*($A$2-$B$2)*E1837*$T$7</f>
        <v>4014.5</v>
      </c>
      <c r="G1837" s="97">
        <v>6738</v>
      </c>
      <c r="H1837" s="367">
        <f>(G1837*$U$7)+F1837</f>
        <v>10752.5</v>
      </c>
      <c r="I1837" s="368">
        <f t="shared" si="247"/>
        <v>0</v>
      </c>
      <c r="J1837" s="97">
        <v>17273</v>
      </c>
      <c r="K1837" s="367">
        <f t="shared" si="248"/>
        <v>12337.857142857143</v>
      </c>
      <c r="L1837" s="97">
        <v>0.55000000000000004</v>
      </c>
      <c r="M1837" s="97">
        <v>4.3999999999999995</v>
      </c>
      <c r="N1837" s="97">
        <v>29</v>
      </c>
      <c r="O1837" s="97">
        <v>8</v>
      </c>
      <c r="P1837" s="97" t="s">
        <v>556</v>
      </c>
      <c r="Q1837" s="97">
        <f t="shared" si="244"/>
        <v>577</v>
      </c>
      <c r="R1837" t="str">
        <f>IF(Q1837="","",IF(AND(O1837&lt;$X$16,E1837&gt;$U$16,E1837&lt;$Q$4+$U$16+1),D1837,""))</f>
        <v/>
      </c>
    </row>
    <row r="1838" spans="3:18">
      <c r="C1838" t="str">
        <f t="shared" si="246"/>
        <v>NL</v>
      </c>
      <c r="D1838" s="36">
        <v>578</v>
      </c>
      <c r="E1838" s="97">
        <v>185</v>
      </c>
      <c r="F1838" s="366">
        <f>1.085*($A$2-$B$2)*E1838*$T$7</f>
        <v>4014.5</v>
      </c>
      <c r="G1838" s="97">
        <v>5472</v>
      </c>
      <c r="H1838" s="367">
        <f>(G1838*$U$7)+F1838</f>
        <v>9486.5</v>
      </c>
      <c r="I1838" s="368">
        <f t="shared" si="247"/>
        <v>0</v>
      </c>
      <c r="J1838" s="97">
        <v>14029</v>
      </c>
      <c r="K1838" s="367">
        <f t="shared" si="248"/>
        <v>10020.714285714286</v>
      </c>
      <c r="L1838" s="97">
        <v>0.28000000000000003</v>
      </c>
      <c r="M1838" s="97">
        <v>4.8999999999999995</v>
      </c>
      <c r="N1838" s="97">
        <v>27</v>
      </c>
      <c r="O1838" s="97">
        <v>9</v>
      </c>
      <c r="P1838" s="97" t="s">
        <v>515</v>
      </c>
      <c r="Q1838" s="97" t="str">
        <f t="shared" si="244"/>
        <v/>
      </c>
      <c r="R1838" t="str">
        <f>IF(Q1838="","",IF(AND(O1838&lt;$X$16,E1838&gt;$U$16,E1838&lt;$Q$4+$U$16+1),D1838,""))</f>
        <v/>
      </c>
    </row>
    <row r="1839" spans="3:18">
      <c r="D1839" s="36">
        <v>579</v>
      </c>
      <c r="E1839" s="97">
        <v>185</v>
      </c>
      <c r="F1839" s="366">
        <f t="shared" ref="F1839:F1902" si="249">1.085*($A$2-$B$2)*E1839*$T$7</f>
        <v>4014.5</v>
      </c>
      <c r="G1839" s="97">
        <v>5240</v>
      </c>
      <c r="H1839" s="367">
        <f t="shared" ref="H1839:H1902" si="250">(G1839*$U$7)+F1839</f>
        <v>9254.5</v>
      </c>
      <c r="I1839" s="368">
        <f t="shared" ref="I1839:I1902" si="251">1.085*($C$2-$D$2)*E1839*$T$7</f>
        <v>0</v>
      </c>
      <c r="J1839" s="97">
        <v>13433</v>
      </c>
      <c r="K1839" s="367">
        <f t="shared" ref="K1839:K1902" si="252">(J1839*$V$7)-I1839</f>
        <v>9595</v>
      </c>
      <c r="L1839" s="97">
        <v>0.24000000000000002</v>
      </c>
      <c r="M1839" s="97">
        <v>5.3999999999999995</v>
      </c>
      <c r="N1839" s="97">
        <v>27</v>
      </c>
      <c r="O1839" s="97">
        <v>10</v>
      </c>
      <c r="P1839" s="97" t="s">
        <v>515</v>
      </c>
      <c r="Q1839" s="97" t="str">
        <f t="shared" ref="Q1839:Q1902" si="253">IF(AND(H1839+1&gt;$E$4,L1839&lt;$L$4+0.01,M1839&lt;$M$4+0.01,K1839+1&gt;$F$4,E1839+1&gt;$J$4,N1839&lt;$K$4+1,O1839&lt;$P$4+1,C1839=""),D1839,"")</f>
        <v/>
      </c>
      <c r="R1839" t="str">
        <f t="shared" ref="R1839:R1902" si="254">IF(Q1839="","",IF(AND(O1839&lt;$X$16,E1839&gt;$U$16,E1839&lt;$Q$4+$U$16+1),D1839,""))</f>
        <v/>
      </c>
    </row>
    <row r="1840" spans="3:18">
      <c r="D1840" s="36">
        <v>580</v>
      </c>
      <c r="E1840" s="97">
        <v>185</v>
      </c>
      <c r="F1840" s="366">
        <f t="shared" si="249"/>
        <v>4014.5</v>
      </c>
      <c r="G1840" s="97">
        <v>6802</v>
      </c>
      <c r="H1840" s="367">
        <f t="shared" si="250"/>
        <v>10816.5</v>
      </c>
      <c r="I1840" s="368">
        <f t="shared" si="251"/>
        <v>0</v>
      </c>
      <c r="J1840" s="97">
        <v>17437</v>
      </c>
      <c r="K1840" s="367">
        <f t="shared" si="252"/>
        <v>12455</v>
      </c>
      <c r="L1840" s="97">
        <v>0.38</v>
      </c>
      <c r="M1840" s="97">
        <v>5.3999999999999995</v>
      </c>
      <c r="N1840" s="97">
        <v>28</v>
      </c>
      <c r="O1840" s="97">
        <v>10</v>
      </c>
      <c r="P1840" s="97" t="s">
        <v>556</v>
      </c>
      <c r="Q1840" s="97" t="str">
        <f t="shared" si="253"/>
        <v/>
      </c>
      <c r="R1840" t="str">
        <f t="shared" si="254"/>
        <v/>
      </c>
    </row>
    <row r="1841" spans="4:18">
      <c r="D1841" s="36">
        <v>581</v>
      </c>
      <c r="E1841" s="97">
        <v>185</v>
      </c>
      <c r="F1841" s="366">
        <f t="shared" si="249"/>
        <v>4014.5</v>
      </c>
      <c r="G1841" s="97">
        <v>7970</v>
      </c>
      <c r="H1841" s="367">
        <f t="shared" si="250"/>
        <v>11984.5</v>
      </c>
      <c r="I1841" s="368">
        <f t="shared" si="251"/>
        <v>0</v>
      </c>
      <c r="J1841" s="97">
        <v>20431</v>
      </c>
      <c r="K1841" s="367">
        <f t="shared" si="252"/>
        <v>14593.571428571429</v>
      </c>
      <c r="L1841" s="97">
        <v>0.77</v>
      </c>
      <c r="M1841" s="97">
        <v>5.3999999999999995</v>
      </c>
      <c r="N1841" s="97">
        <v>33</v>
      </c>
      <c r="O1841" s="97">
        <v>10</v>
      </c>
      <c r="P1841" s="97" t="s">
        <v>514</v>
      </c>
      <c r="Q1841" s="97" t="str">
        <f t="shared" si="253"/>
        <v/>
      </c>
      <c r="R1841" t="str">
        <f t="shared" si="254"/>
        <v/>
      </c>
    </row>
    <row r="1842" spans="4:18">
      <c r="D1842" s="36">
        <v>582</v>
      </c>
      <c r="E1842" s="97">
        <v>190</v>
      </c>
      <c r="F1842" s="366">
        <f t="shared" si="249"/>
        <v>4123</v>
      </c>
      <c r="G1842" s="97">
        <v>5352</v>
      </c>
      <c r="H1842" s="367">
        <f t="shared" si="250"/>
        <v>9475</v>
      </c>
      <c r="I1842" s="368">
        <f t="shared" si="251"/>
        <v>0</v>
      </c>
      <c r="J1842" s="97">
        <v>13721</v>
      </c>
      <c r="K1842" s="367">
        <f t="shared" si="252"/>
        <v>9800.7142857142862</v>
      </c>
      <c r="L1842" s="97">
        <v>0.88</v>
      </c>
      <c r="M1842" s="97">
        <v>2.8000000000000003</v>
      </c>
      <c r="N1842" s="97">
        <v>31</v>
      </c>
      <c r="O1842" s="97">
        <v>5</v>
      </c>
      <c r="P1842" s="97" t="s">
        <v>515</v>
      </c>
      <c r="Q1842" s="97" t="str">
        <f t="shared" si="253"/>
        <v/>
      </c>
      <c r="R1842" t="str">
        <f t="shared" si="254"/>
        <v/>
      </c>
    </row>
    <row r="1843" spans="4:18">
      <c r="D1843" s="36">
        <v>583</v>
      </c>
      <c r="E1843" s="97">
        <v>190</v>
      </c>
      <c r="F1843" s="366">
        <f t="shared" si="249"/>
        <v>4123</v>
      </c>
      <c r="G1843" s="97">
        <v>5573</v>
      </c>
      <c r="H1843" s="367">
        <f t="shared" si="250"/>
        <v>9696</v>
      </c>
      <c r="I1843" s="368">
        <f t="shared" si="251"/>
        <v>0</v>
      </c>
      <c r="J1843" s="97">
        <v>14286</v>
      </c>
      <c r="K1843" s="367">
        <f t="shared" si="252"/>
        <v>10204.285714285714</v>
      </c>
      <c r="L1843" s="97">
        <v>0.61</v>
      </c>
      <c r="M1843" s="97">
        <v>3.4</v>
      </c>
      <c r="N1843" s="97">
        <v>29</v>
      </c>
      <c r="O1843" s="97">
        <v>6</v>
      </c>
      <c r="P1843" s="97" t="s">
        <v>515</v>
      </c>
      <c r="Q1843" s="97">
        <f t="shared" si="253"/>
        <v>583</v>
      </c>
      <c r="R1843" t="str">
        <f t="shared" si="254"/>
        <v/>
      </c>
    </row>
    <row r="1844" spans="4:18">
      <c r="D1844" s="36">
        <v>584</v>
      </c>
      <c r="E1844" s="97">
        <v>190</v>
      </c>
      <c r="F1844" s="366">
        <f t="shared" si="249"/>
        <v>4123</v>
      </c>
      <c r="G1844" s="97">
        <v>6327</v>
      </c>
      <c r="H1844" s="367">
        <f t="shared" si="250"/>
        <v>10450</v>
      </c>
      <c r="I1844" s="368">
        <f t="shared" si="251"/>
        <v>0</v>
      </c>
      <c r="J1844" s="97">
        <v>16218</v>
      </c>
      <c r="K1844" s="367">
        <f t="shared" si="252"/>
        <v>11584.285714285714</v>
      </c>
      <c r="L1844" s="97">
        <v>1.01</v>
      </c>
      <c r="M1844" s="97">
        <v>3.4</v>
      </c>
      <c r="N1844" s="97">
        <v>31</v>
      </c>
      <c r="O1844" s="97">
        <v>6</v>
      </c>
      <c r="P1844" s="97" t="s">
        <v>556</v>
      </c>
      <c r="Q1844" s="97" t="str">
        <f t="shared" si="253"/>
        <v/>
      </c>
      <c r="R1844" t="str">
        <f t="shared" si="254"/>
        <v/>
      </c>
    </row>
    <row r="1845" spans="4:18">
      <c r="D1845" s="36">
        <v>585</v>
      </c>
      <c r="E1845" s="97">
        <v>190</v>
      </c>
      <c r="F1845" s="366">
        <f t="shared" si="249"/>
        <v>4123</v>
      </c>
      <c r="G1845" s="97">
        <v>5783</v>
      </c>
      <c r="H1845" s="367">
        <f t="shared" si="250"/>
        <v>9906</v>
      </c>
      <c r="I1845" s="368">
        <f t="shared" si="251"/>
        <v>0</v>
      </c>
      <c r="J1845" s="97">
        <v>14826</v>
      </c>
      <c r="K1845" s="367">
        <f t="shared" si="252"/>
        <v>10590</v>
      </c>
      <c r="L1845" s="97">
        <v>0.45</v>
      </c>
      <c r="M1845" s="97">
        <v>3.9</v>
      </c>
      <c r="N1845" s="97">
        <v>28</v>
      </c>
      <c r="O1845" s="97">
        <v>7</v>
      </c>
      <c r="P1845" s="97" t="s">
        <v>515</v>
      </c>
      <c r="Q1845" s="97">
        <f t="shared" si="253"/>
        <v>585</v>
      </c>
      <c r="R1845" t="str">
        <f t="shared" si="254"/>
        <v/>
      </c>
    </row>
    <row r="1846" spans="4:18">
      <c r="D1846" s="36">
        <v>586</v>
      </c>
      <c r="E1846" s="97">
        <v>190</v>
      </c>
      <c r="F1846" s="366">
        <f t="shared" si="249"/>
        <v>4123</v>
      </c>
      <c r="G1846" s="97">
        <v>6727</v>
      </c>
      <c r="H1846" s="367">
        <f t="shared" si="250"/>
        <v>10850</v>
      </c>
      <c r="I1846" s="368">
        <f t="shared" si="251"/>
        <v>0</v>
      </c>
      <c r="J1846" s="97">
        <v>17244</v>
      </c>
      <c r="K1846" s="367">
        <f t="shared" si="252"/>
        <v>12317.142857142857</v>
      </c>
      <c r="L1846" s="97">
        <v>0.75</v>
      </c>
      <c r="M1846" s="97">
        <v>3.9</v>
      </c>
      <c r="N1846" s="97">
        <v>30</v>
      </c>
      <c r="O1846" s="97">
        <v>7</v>
      </c>
      <c r="P1846" s="97" t="s">
        <v>556</v>
      </c>
      <c r="Q1846" s="97" t="str">
        <f t="shared" si="253"/>
        <v/>
      </c>
      <c r="R1846" t="str">
        <f t="shared" si="254"/>
        <v/>
      </c>
    </row>
    <row r="1847" spans="4:18">
      <c r="D1847" s="36">
        <v>587</v>
      </c>
      <c r="E1847" s="97">
        <v>190</v>
      </c>
      <c r="F1847" s="366">
        <f t="shared" si="249"/>
        <v>4123</v>
      </c>
      <c r="G1847" s="97">
        <v>5913</v>
      </c>
      <c r="H1847" s="367">
        <f t="shared" si="250"/>
        <v>10036</v>
      </c>
      <c r="I1847" s="368">
        <f t="shared" si="251"/>
        <v>0</v>
      </c>
      <c r="J1847" s="97">
        <v>15157</v>
      </c>
      <c r="K1847" s="367">
        <f t="shared" si="252"/>
        <v>10826.428571428572</v>
      </c>
      <c r="L1847" s="97">
        <v>0.36</v>
      </c>
      <c r="M1847" s="97">
        <v>4.3999999999999995</v>
      </c>
      <c r="N1847" s="97">
        <v>27</v>
      </c>
      <c r="O1847" s="97">
        <v>8</v>
      </c>
      <c r="P1847" s="97" t="s">
        <v>515</v>
      </c>
      <c r="Q1847" s="97">
        <f t="shared" si="253"/>
        <v>587</v>
      </c>
      <c r="R1847" t="str">
        <f t="shared" si="254"/>
        <v/>
      </c>
    </row>
    <row r="1848" spans="4:18">
      <c r="D1848" s="36">
        <v>588</v>
      </c>
      <c r="E1848" s="97">
        <v>190</v>
      </c>
      <c r="F1848" s="366">
        <f t="shared" si="249"/>
        <v>4123</v>
      </c>
      <c r="G1848" s="97">
        <v>6861</v>
      </c>
      <c r="H1848" s="367">
        <f t="shared" si="250"/>
        <v>10984</v>
      </c>
      <c r="I1848" s="368">
        <f t="shared" si="251"/>
        <v>0</v>
      </c>
      <c r="J1848" s="97">
        <v>17589</v>
      </c>
      <c r="K1848" s="367">
        <f t="shared" si="252"/>
        <v>12563.571428571429</v>
      </c>
      <c r="L1848" s="97">
        <v>0.57999999999999996</v>
      </c>
      <c r="M1848" s="97">
        <v>4.3999999999999995</v>
      </c>
      <c r="N1848" s="97">
        <v>29</v>
      </c>
      <c r="O1848" s="97">
        <v>8</v>
      </c>
      <c r="P1848" s="97" t="s">
        <v>556</v>
      </c>
      <c r="Q1848" s="97">
        <f t="shared" si="253"/>
        <v>588</v>
      </c>
      <c r="R1848" t="str">
        <f t="shared" si="254"/>
        <v/>
      </c>
    </row>
    <row r="1849" spans="4:18">
      <c r="D1849" s="36">
        <v>589</v>
      </c>
      <c r="E1849" s="97">
        <v>190</v>
      </c>
      <c r="F1849" s="366">
        <f t="shared" si="249"/>
        <v>4123</v>
      </c>
      <c r="G1849" s="97">
        <v>5659</v>
      </c>
      <c r="H1849" s="367">
        <f t="shared" si="250"/>
        <v>9782</v>
      </c>
      <c r="I1849" s="368">
        <f t="shared" si="251"/>
        <v>0</v>
      </c>
      <c r="J1849" s="97">
        <v>14508</v>
      </c>
      <c r="K1849" s="367">
        <f t="shared" si="252"/>
        <v>10362.857142857143</v>
      </c>
      <c r="L1849" s="97">
        <v>0.3</v>
      </c>
      <c r="M1849" s="97">
        <v>4.8999999999999995</v>
      </c>
      <c r="N1849" s="97">
        <v>27</v>
      </c>
      <c r="O1849" s="97">
        <v>9</v>
      </c>
      <c r="P1849" s="97" t="s">
        <v>515</v>
      </c>
      <c r="Q1849" s="97" t="str">
        <f t="shared" si="253"/>
        <v/>
      </c>
      <c r="R1849" t="str">
        <f t="shared" si="254"/>
        <v/>
      </c>
    </row>
    <row r="1850" spans="4:18">
      <c r="D1850" s="36">
        <v>590</v>
      </c>
      <c r="E1850" s="97">
        <v>190</v>
      </c>
      <c r="F1850" s="366">
        <f t="shared" si="249"/>
        <v>4123</v>
      </c>
      <c r="G1850" s="97">
        <v>5413</v>
      </c>
      <c r="H1850" s="367">
        <f t="shared" si="250"/>
        <v>9536</v>
      </c>
      <c r="I1850" s="368">
        <f t="shared" si="251"/>
        <v>0</v>
      </c>
      <c r="J1850" s="97">
        <v>13877</v>
      </c>
      <c r="K1850" s="367">
        <f t="shared" si="252"/>
        <v>9912.1428571428569</v>
      </c>
      <c r="L1850" s="97">
        <v>0.25</v>
      </c>
      <c r="M1850" s="97">
        <v>5.3999999999999995</v>
      </c>
      <c r="N1850" s="97">
        <v>27</v>
      </c>
      <c r="O1850" s="97">
        <v>10</v>
      </c>
      <c r="P1850" s="97" t="s">
        <v>515</v>
      </c>
      <c r="Q1850" s="97" t="str">
        <f t="shared" si="253"/>
        <v/>
      </c>
      <c r="R1850" t="str">
        <f t="shared" si="254"/>
        <v/>
      </c>
    </row>
    <row r="1851" spans="4:18">
      <c r="D1851" s="36">
        <v>591</v>
      </c>
      <c r="E1851" s="97">
        <v>190</v>
      </c>
      <c r="F1851" s="366">
        <f t="shared" si="249"/>
        <v>4123</v>
      </c>
      <c r="G1851" s="97">
        <v>6939</v>
      </c>
      <c r="H1851" s="367">
        <f t="shared" si="250"/>
        <v>11062</v>
      </c>
      <c r="I1851" s="368">
        <f t="shared" si="251"/>
        <v>0</v>
      </c>
      <c r="J1851" s="97">
        <v>17787</v>
      </c>
      <c r="K1851" s="367">
        <f t="shared" si="252"/>
        <v>12705</v>
      </c>
      <c r="L1851" s="97">
        <v>0.4</v>
      </c>
      <c r="M1851" s="97">
        <v>5.3999999999999995</v>
      </c>
      <c r="N1851" s="97">
        <v>29</v>
      </c>
      <c r="O1851" s="97">
        <v>10</v>
      </c>
      <c r="P1851" s="97" t="s">
        <v>556</v>
      </c>
      <c r="Q1851" s="97" t="str">
        <f t="shared" si="253"/>
        <v/>
      </c>
      <c r="R1851" t="str">
        <f t="shared" si="254"/>
        <v/>
      </c>
    </row>
    <row r="1852" spans="4:18">
      <c r="D1852" s="36">
        <v>592</v>
      </c>
      <c r="E1852" s="97">
        <v>190</v>
      </c>
      <c r="F1852" s="366">
        <f t="shared" si="249"/>
        <v>4123</v>
      </c>
      <c r="G1852" s="97">
        <v>8112</v>
      </c>
      <c r="H1852" s="367">
        <f t="shared" si="250"/>
        <v>12235</v>
      </c>
      <c r="I1852" s="368">
        <f t="shared" si="251"/>
        <v>0</v>
      </c>
      <c r="J1852" s="97">
        <v>20794</v>
      </c>
      <c r="K1852" s="367">
        <f t="shared" si="252"/>
        <v>14852.857142857143</v>
      </c>
      <c r="L1852" s="97">
        <v>0.82000000000000006</v>
      </c>
      <c r="M1852" s="97">
        <v>5.3999999999999995</v>
      </c>
      <c r="N1852" s="97">
        <v>34</v>
      </c>
      <c r="O1852" s="97">
        <v>10</v>
      </c>
      <c r="P1852" s="97" t="s">
        <v>514</v>
      </c>
      <c r="Q1852" s="97" t="str">
        <f t="shared" si="253"/>
        <v/>
      </c>
      <c r="R1852" t="str">
        <f t="shared" si="254"/>
        <v/>
      </c>
    </row>
    <row r="1853" spans="4:18">
      <c r="D1853" s="36">
        <v>593</v>
      </c>
      <c r="E1853" s="97">
        <v>195</v>
      </c>
      <c r="F1853" s="366">
        <f t="shared" si="249"/>
        <v>4231.5</v>
      </c>
      <c r="G1853" s="97">
        <v>5439</v>
      </c>
      <c r="H1853" s="367">
        <f t="shared" si="250"/>
        <v>9670.5</v>
      </c>
      <c r="I1853" s="368">
        <f t="shared" si="251"/>
        <v>0</v>
      </c>
      <c r="J1853" s="97">
        <v>13944</v>
      </c>
      <c r="K1853" s="367">
        <f t="shared" si="252"/>
        <v>9960</v>
      </c>
      <c r="L1853" s="97">
        <v>0.93</v>
      </c>
      <c r="M1853" s="97">
        <v>2.8000000000000003</v>
      </c>
      <c r="N1853" s="97">
        <v>31</v>
      </c>
      <c r="O1853" s="97">
        <v>5</v>
      </c>
      <c r="P1853" s="97" t="s">
        <v>515</v>
      </c>
      <c r="Q1853" s="97" t="str">
        <f t="shared" si="253"/>
        <v/>
      </c>
      <c r="R1853" t="str">
        <f t="shared" si="254"/>
        <v/>
      </c>
    </row>
    <row r="1854" spans="4:18">
      <c r="D1854" s="36">
        <v>594</v>
      </c>
      <c r="E1854" s="97">
        <v>195</v>
      </c>
      <c r="F1854" s="366">
        <f t="shared" si="249"/>
        <v>4231.5</v>
      </c>
      <c r="G1854" s="97">
        <v>5670</v>
      </c>
      <c r="H1854" s="367">
        <f t="shared" si="250"/>
        <v>9901.5</v>
      </c>
      <c r="I1854" s="368">
        <f t="shared" si="251"/>
        <v>0</v>
      </c>
      <c r="J1854" s="97">
        <v>14536</v>
      </c>
      <c r="K1854" s="367">
        <f t="shared" si="252"/>
        <v>10382.857142857143</v>
      </c>
      <c r="L1854" s="97">
        <v>0.64</v>
      </c>
      <c r="M1854" s="97">
        <v>3.4</v>
      </c>
      <c r="N1854" s="97">
        <v>29</v>
      </c>
      <c r="O1854" s="97">
        <v>6</v>
      </c>
      <c r="P1854" s="97" t="s">
        <v>515</v>
      </c>
      <c r="Q1854" s="97">
        <f t="shared" si="253"/>
        <v>594</v>
      </c>
      <c r="R1854" t="str">
        <f t="shared" si="254"/>
        <v/>
      </c>
    </row>
    <row r="1855" spans="4:18">
      <c r="D1855" s="36">
        <v>595</v>
      </c>
      <c r="E1855" s="97">
        <v>195</v>
      </c>
      <c r="F1855" s="366">
        <f t="shared" si="249"/>
        <v>4231.5</v>
      </c>
      <c r="G1855" s="97">
        <v>5883</v>
      </c>
      <c r="H1855" s="367">
        <f t="shared" si="250"/>
        <v>10114.5</v>
      </c>
      <c r="I1855" s="368">
        <f t="shared" si="251"/>
        <v>0</v>
      </c>
      <c r="J1855" s="97">
        <v>15081</v>
      </c>
      <c r="K1855" s="367">
        <f t="shared" si="252"/>
        <v>10772.142857142857</v>
      </c>
      <c r="L1855" s="97">
        <v>0.47000000000000003</v>
      </c>
      <c r="M1855" s="97">
        <v>3.9</v>
      </c>
      <c r="N1855" s="97">
        <v>28</v>
      </c>
      <c r="O1855" s="97">
        <v>7</v>
      </c>
      <c r="P1855" s="97" t="s">
        <v>515</v>
      </c>
      <c r="Q1855" s="97">
        <f t="shared" si="253"/>
        <v>595</v>
      </c>
      <c r="R1855" t="str">
        <f t="shared" si="254"/>
        <v/>
      </c>
    </row>
    <row r="1856" spans="4:18">
      <c r="D1856" s="36">
        <v>596</v>
      </c>
      <c r="E1856" s="97">
        <v>195</v>
      </c>
      <c r="F1856" s="366">
        <f t="shared" si="249"/>
        <v>4231.5</v>
      </c>
      <c r="G1856" s="97">
        <v>6845</v>
      </c>
      <c r="H1856" s="367">
        <f t="shared" si="250"/>
        <v>11076.5</v>
      </c>
      <c r="I1856" s="368">
        <f t="shared" si="251"/>
        <v>0</v>
      </c>
      <c r="J1856" s="97">
        <v>17548</v>
      </c>
      <c r="K1856" s="367">
        <f t="shared" si="252"/>
        <v>12534.285714285714</v>
      </c>
      <c r="L1856" s="97">
        <v>0.79</v>
      </c>
      <c r="M1856" s="97">
        <v>3.9</v>
      </c>
      <c r="N1856" s="97">
        <v>30</v>
      </c>
      <c r="O1856" s="97">
        <v>7</v>
      </c>
      <c r="P1856" s="97" t="s">
        <v>556</v>
      </c>
      <c r="Q1856" s="97" t="str">
        <f t="shared" si="253"/>
        <v/>
      </c>
      <c r="R1856" t="str">
        <f t="shared" si="254"/>
        <v/>
      </c>
    </row>
    <row r="1857" spans="4:18">
      <c r="D1857" s="36">
        <v>597</v>
      </c>
      <c r="E1857" s="97">
        <v>195</v>
      </c>
      <c r="F1857" s="366">
        <f t="shared" si="249"/>
        <v>4231.5</v>
      </c>
      <c r="G1857" s="97">
        <v>6023</v>
      </c>
      <c r="H1857" s="367">
        <f t="shared" si="250"/>
        <v>10254.5</v>
      </c>
      <c r="I1857" s="368">
        <f t="shared" si="251"/>
        <v>0</v>
      </c>
      <c r="J1857" s="97">
        <v>15440</v>
      </c>
      <c r="K1857" s="367">
        <f t="shared" si="252"/>
        <v>11028.571428571429</v>
      </c>
      <c r="L1857" s="97">
        <v>0.37</v>
      </c>
      <c r="M1857" s="97">
        <v>4.3999999999999995</v>
      </c>
      <c r="N1857" s="97">
        <v>27</v>
      </c>
      <c r="O1857" s="97">
        <v>8</v>
      </c>
      <c r="P1857" s="97" t="s">
        <v>515</v>
      </c>
      <c r="Q1857" s="97">
        <f t="shared" si="253"/>
        <v>597</v>
      </c>
      <c r="R1857" t="str">
        <f t="shared" si="254"/>
        <v/>
      </c>
    </row>
    <row r="1858" spans="4:18">
      <c r="D1858" s="36">
        <v>598</v>
      </c>
      <c r="E1858" s="97">
        <v>195</v>
      </c>
      <c r="F1858" s="366">
        <f t="shared" si="249"/>
        <v>4231.5</v>
      </c>
      <c r="G1858" s="97">
        <v>6984</v>
      </c>
      <c r="H1858" s="367">
        <f t="shared" si="250"/>
        <v>11215.5</v>
      </c>
      <c r="I1858" s="368">
        <f t="shared" si="251"/>
        <v>0</v>
      </c>
      <c r="J1858" s="97">
        <v>17903</v>
      </c>
      <c r="K1858" s="367">
        <f t="shared" si="252"/>
        <v>12787.857142857143</v>
      </c>
      <c r="L1858" s="97">
        <v>0.61</v>
      </c>
      <c r="M1858" s="97">
        <v>4.3999999999999995</v>
      </c>
      <c r="N1858" s="97">
        <v>29</v>
      </c>
      <c r="O1858" s="97">
        <v>8</v>
      </c>
      <c r="P1858" s="97" t="s">
        <v>556</v>
      </c>
      <c r="Q1858" s="97">
        <f t="shared" si="253"/>
        <v>598</v>
      </c>
      <c r="R1858" t="str">
        <f t="shared" si="254"/>
        <v/>
      </c>
    </row>
    <row r="1859" spans="4:18">
      <c r="D1859" s="36">
        <v>599</v>
      </c>
      <c r="E1859" s="97">
        <v>195</v>
      </c>
      <c r="F1859" s="366">
        <f t="shared" si="249"/>
        <v>4231.5</v>
      </c>
      <c r="G1859" s="97">
        <v>5846</v>
      </c>
      <c r="H1859" s="367">
        <f t="shared" si="250"/>
        <v>10077.5</v>
      </c>
      <c r="I1859" s="368">
        <f t="shared" si="251"/>
        <v>0</v>
      </c>
      <c r="J1859" s="97">
        <v>14987</v>
      </c>
      <c r="K1859" s="367">
        <f t="shared" si="252"/>
        <v>10705</v>
      </c>
      <c r="L1859" s="97">
        <v>0.32</v>
      </c>
      <c r="M1859" s="97">
        <v>4.8999999999999995</v>
      </c>
      <c r="N1859" s="97">
        <v>28</v>
      </c>
      <c r="O1859" s="97">
        <v>9</v>
      </c>
      <c r="P1859" s="97" t="s">
        <v>515</v>
      </c>
      <c r="Q1859" s="97" t="str">
        <f t="shared" si="253"/>
        <v/>
      </c>
      <c r="R1859" t="str">
        <f t="shared" si="254"/>
        <v/>
      </c>
    </row>
    <row r="1860" spans="4:18">
      <c r="D1860" s="36">
        <v>600</v>
      </c>
      <c r="E1860" s="97">
        <v>195</v>
      </c>
      <c r="F1860" s="366">
        <f t="shared" si="249"/>
        <v>4231.5</v>
      </c>
      <c r="G1860" s="97">
        <v>5587</v>
      </c>
      <c r="H1860" s="367">
        <f t="shared" si="250"/>
        <v>9818.5</v>
      </c>
      <c r="I1860" s="368">
        <f t="shared" si="251"/>
        <v>0</v>
      </c>
      <c r="J1860" s="97">
        <v>14322</v>
      </c>
      <c r="K1860" s="367">
        <f t="shared" si="252"/>
        <v>10230</v>
      </c>
      <c r="L1860" s="97">
        <v>0.26</v>
      </c>
      <c r="M1860" s="97">
        <v>5.3999999999999995</v>
      </c>
      <c r="N1860" s="97">
        <v>27</v>
      </c>
      <c r="O1860" s="97">
        <v>10</v>
      </c>
      <c r="P1860" s="97" t="s">
        <v>515</v>
      </c>
      <c r="Q1860" s="97" t="str">
        <f t="shared" si="253"/>
        <v/>
      </c>
      <c r="R1860" t="str">
        <f t="shared" si="254"/>
        <v/>
      </c>
    </row>
    <row r="1861" spans="4:18">
      <c r="D1861" s="36">
        <v>601</v>
      </c>
      <c r="E1861" s="97">
        <v>195</v>
      </c>
      <c r="F1861" s="366">
        <f t="shared" si="249"/>
        <v>4231.5</v>
      </c>
      <c r="G1861" s="97">
        <v>7063</v>
      </c>
      <c r="H1861" s="367">
        <f t="shared" si="250"/>
        <v>11294.5</v>
      </c>
      <c r="I1861" s="368">
        <f t="shared" si="251"/>
        <v>0</v>
      </c>
      <c r="J1861" s="97">
        <v>18106</v>
      </c>
      <c r="K1861" s="367">
        <f t="shared" si="252"/>
        <v>12932.857142857143</v>
      </c>
      <c r="L1861" s="97">
        <v>0.42</v>
      </c>
      <c r="M1861" s="97">
        <v>5.3999999999999995</v>
      </c>
      <c r="N1861" s="97">
        <v>29</v>
      </c>
      <c r="O1861" s="97">
        <v>10</v>
      </c>
      <c r="P1861" s="97" t="s">
        <v>556</v>
      </c>
      <c r="Q1861" s="97" t="str">
        <f t="shared" si="253"/>
        <v/>
      </c>
      <c r="R1861" t="str">
        <f t="shared" si="254"/>
        <v/>
      </c>
    </row>
    <row r="1862" spans="4:18">
      <c r="D1862" s="36">
        <v>602</v>
      </c>
      <c r="E1862" s="97">
        <v>195</v>
      </c>
      <c r="F1862" s="366">
        <f t="shared" si="249"/>
        <v>4231.5</v>
      </c>
      <c r="G1862" s="97">
        <v>8247</v>
      </c>
      <c r="H1862" s="367">
        <f t="shared" si="250"/>
        <v>12478.5</v>
      </c>
      <c r="I1862" s="368">
        <f t="shared" si="251"/>
        <v>0</v>
      </c>
      <c r="J1862" s="97">
        <v>21141</v>
      </c>
      <c r="K1862" s="367">
        <f t="shared" si="252"/>
        <v>15100.714285714286</v>
      </c>
      <c r="L1862" s="97">
        <v>0.86</v>
      </c>
      <c r="M1862" s="97">
        <v>5.3999999999999995</v>
      </c>
      <c r="N1862" s="97">
        <v>34</v>
      </c>
      <c r="O1862" s="97">
        <v>10</v>
      </c>
      <c r="P1862" s="97" t="s">
        <v>514</v>
      </c>
      <c r="Q1862" s="97" t="str">
        <f t="shared" si="253"/>
        <v/>
      </c>
      <c r="R1862" t="str">
        <f t="shared" si="254"/>
        <v/>
      </c>
    </row>
    <row r="1863" spans="4:18">
      <c r="D1863" s="36">
        <v>603</v>
      </c>
      <c r="E1863" s="97">
        <v>200</v>
      </c>
      <c r="F1863" s="366">
        <f t="shared" si="249"/>
        <v>4340</v>
      </c>
      <c r="G1863" s="97">
        <v>5526</v>
      </c>
      <c r="H1863" s="367">
        <f t="shared" si="250"/>
        <v>9866</v>
      </c>
      <c r="I1863" s="368">
        <f t="shared" si="251"/>
        <v>0</v>
      </c>
      <c r="J1863" s="97">
        <v>14167</v>
      </c>
      <c r="K1863" s="367">
        <f t="shared" si="252"/>
        <v>10119.285714285714</v>
      </c>
      <c r="L1863" s="97">
        <v>0.97</v>
      </c>
      <c r="M1863" s="97">
        <v>2.8000000000000003</v>
      </c>
      <c r="N1863" s="97">
        <v>31</v>
      </c>
      <c r="O1863" s="97">
        <v>5</v>
      </c>
      <c r="P1863" s="97" t="s">
        <v>515</v>
      </c>
      <c r="Q1863" s="97" t="str">
        <f t="shared" si="253"/>
        <v/>
      </c>
      <c r="R1863" t="str">
        <f t="shared" si="254"/>
        <v/>
      </c>
    </row>
    <row r="1864" spans="4:18">
      <c r="D1864" s="36">
        <v>604</v>
      </c>
      <c r="E1864" s="97">
        <v>200</v>
      </c>
      <c r="F1864" s="366">
        <f t="shared" si="249"/>
        <v>4340</v>
      </c>
      <c r="G1864" s="97">
        <v>5766</v>
      </c>
      <c r="H1864" s="367">
        <f t="shared" si="250"/>
        <v>10106</v>
      </c>
      <c r="I1864" s="368">
        <f t="shared" si="251"/>
        <v>0</v>
      </c>
      <c r="J1864" s="97">
        <v>14781</v>
      </c>
      <c r="K1864" s="367">
        <f t="shared" si="252"/>
        <v>10557.857142857143</v>
      </c>
      <c r="L1864" s="97">
        <v>0.67</v>
      </c>
      <c r="M1864" s="97">
        <v>3.4</v>
      </c>
      <c r="N1864" s="97">
        <v>29</v>
      </c>
      <c r="O1864" s="97">
        <v>6</v>
      </c>
      <c r="P1864" s="97" t="s">
        <v>515</v>
      </c>
      <c r="Q1864" s="97">
        <f t="shared" si="253"/>
        <v>604</v>
      </c>
      <c r="R1864" t="str">
        <f t="shared" si="254"/>
        <v/>
      </c>
    </row>
    <row r="1865" spans="4:18">
      <c r="D1865" s="36">
        <v>605</v>
      </c>
      <c r="E1865" s="97">
        <v>200</v>
      </c>
      <c r="F1865" s="366">
        <f t="shared" si="249"/>
        <v>4340</v>
      </c>
      <c r="G1865" s="97">
        <v>5983</v>
      </c>
      <c r="H1865" s="367">
        <f t="shared" si="250"/>
        <v>10323</v>
      </c>
      <c r="I1865" s="368">
        <f t="shared" si="251"/>
        <v>0</v>
      </c>
      <c r="J1865" s="97">
        <v>15337</v>
      </c>
      <c r="K1865" s="367">
        <f t="shared" si="252"/>
        <v>10955</v>
      </c>
      <c r="L1865" s="97">
        <v>0.5</v>
      </c>
      <c r="M1865" s="97">
        <v>3.9</v>
      </c>
      <c r="N1865" s="97">
        <v>28</v>
      </c>
      <c r="O1865" s="97">
        <v>7</v>
      </c>
      <c r="P1865" s="97" t="s">
        <v>515</v>
      </c>
      <c r="Q1865" s="97">
        <f t="shared" si="253"/>
        <v>605</v>
      </c>
      <c r="R1865" t="str">
        <f t="shared" si="254"/>
        <v/>
      </c>
    </row>
    <row r="1866" spans="4:18">
      <c r="D1866" s="36">
        <v>606</v>
      </c>
      <c r="E1866" s="97">
        <v>200</v>
      </c>
      <c r="F1866" s="366">
        <f t="shared" si="249"/>
        <v>4340</v>
      </c>
      <c r="G1866" s="97">
        <v>6956</v>
      </c>
      <c r="H1866" s="367">
        <f t="shared" si="250"/>
        <v>11296</v>
      </c>
      <c r="I1866" s="368">
        <f t="shared" si="251"/>
        <v>0</v>
      </c>
      <c r="J1866" s="97">
        <v>17832</v>
      </c>
      <c r="K1866" s="367">
        <f t="shared" si="252"/>
        <v>12737.142857142857</v>
      </c>
      <c r="L1866" s="97">
        <v>0.83</v>
      </c>
      <c r="M1866" s="97">
        <v>3.9</v>
      </c>
      <c r="N1866" s="97">
        <v>31</v>
      </c>
      <c r="O1866" s="97">
        <v>7</v>
      </c>
      <c r="P1866" s="97" t="s">
        <v>556</v>
      </c>
      <c r="Q1866" s="97" t="str">
        <f t="shared" si="253"/>
        <v/>
      </c>
      <c r="R1866" t="str">
        <f t="shared" si="254"/>
        <v/>
      </c>
    </row>
    <row r="1867" spans="4:18">
      <c r="D1867" s="36">
        <v>607</v>
      </c>
      <c r="E1867" s="97">
        <v>200</v>
      </c>
      <c r="F1867" s="366">
        <f t="shared" si="249"/>
        <v>4340</v>
      </c>
      <c r="G1867" s="97">
        <v>6133</v>
      </c>
      <c r="H1867" s="367">
        <f t="shared" si="250"/>
        <v>10473</v>
      </c>
      <c r="I1867" s="368">
        <f t="shared" si="251"/>
        <v>0</v>
      </c>
      <c r="J1867" s="97">
        <v>15722</v>
      </c>
      <c r="K1867" s="367">
        <f t="shared" si="252"/>
        <v>11230</v>
      </c>
      <c r="L1867" s="97">
        <v>0.39</v>
      </c>
      <c r="M1867" s="97">
        <v>4.3999999999999995</v>
      </c>
      <c r="N1867" s="97">
        <v>28</v>
      </c>
      <c r="O1867" s="97">
        <v>8</v>
      </c>
      <c r="P1867" s="97" t="s">
        <v>515</v>
      </c>
      <c r="Q1867" s="97">
        <f t="shared" si="253"/>
        <v>607</v>
      </c>
      <c r="R1867" t="str">
        <f t="shared" si="254"/>
        <v/>
      </c>
    </row>
    <row r="1868" spans="4:18">
      <c r="D1868" s="36">
        <v>608</v>
      </c>
      <c r="E1868" s="97">
        <v>200</v>
      </c>
      <c r="F1868" s="366">
        <f t="shared" si="249"/>
        <v>4340</v>
      </c>
      <c r="G1868" s="97">
        <v>7106</v>
      </c>
      <c r="H1868" s="367">
        <f t="shared" si="250"/>
        <v>11446</v>
      </c>
      <c r="I1868" s="368">
        <f t="shared" si="251"/>
        <v>0</v>
      </c>
      <c r="J1868" s="97">
        <v>18216</v>
      </c>
      <c r="K1868" s="367">
        <f t="shared" si="252"/>
        <v>13011.428571428572</v>
      </c>
      <c r="L1868" s="97">
        <v>0.64</v>
      </c>
      <c r="M1868" s="97">
        <v>4.3999999999999995</v>
      </c>
      <c r="N1868" s="97">
        <v>30</v>
      </c>
      <c r="O1868" s="97">
        <v>8</v>
      </c>
      <c r="P1868" s="97" t="s">
        <v>556</v>
      </c>
      <c r="Q1868" s="97">
        <f t="shared" si="253"/>
        <v>608</v>
      </c>
      <c r="R1868" t="str">
        <f t="shared" si="254"/>
        <v/>
      </c>
    </row>
    <row r="1869" spans="4:18">
      <c r="D1869" s="36">
        <v>609</v>
      </c>
      <c r="E1869" s="97">
        <v>200</v>
      </c>
      <c r="F1869" s="366">
        <f t="shared" si="249"/>
        <v>4340</v>
      </c>
      <c r="G1869" s="97">
        <v>6033</v>
      </c>
      <c r="H1869" s="367">
        <f t="shared" si="250"/>
        <v>10373</v>
      </c>
      <c r="I1869" s="368">
        <f t="shared" si="251"/>
        <v>0</v>
      </c>
      <c r="J1869" s="97">
        <v>15466</v>
      </c>
      <c r="K1869" s="367">
        <f t="shared" si="252"/>
        <v>11047.142857142857</v>
      </c>
      <c r="L1869" s="97">
        <v>0.33</v>
      </c>
      <c r="M1869" s="97">
        <v>4.8999999999999995</v>
      </c>
      <c r="N1869" s="97">
        <v>28</v>
      </c>
      <c r="O1869" s="97">
        <v>9</v>
      </c>
      <c r="P1869" s="97" t="s">
        <v>515</v>
      </c>
      <c r="Q1869" s="97" t="str">
        <f t="shared" si="253"/>
        <v/>
      </c>
      <c r="R1869" t="str">
        <f t="shared" si="254"/>
        <v/>
      </c>
    </row>
    <row r="1870" spans="4:18">
      <c r="D1870" s="36">
        <v>610</v>
      </c>
      <c r="E1870" s="97">
        <v>200</v>
      </c>
      <c r="F1870" s="366">
        <f t="shared" si="249"/>
        <v>4340</v>
      </c>
      <c r="G1870" s="97">
        <v>5760</v>
      </c>
      <c r="H1870" s="367">
        <f t="shared" si="250"/>
        <v>10100</v>
      </c>
      <c r="I1870" s="368">
        <f t="shared" si="251"/>
        <v>0</v>
      </c>
      <c r="J1870" s="97">
        <v>14766</v>
      </c>
      <c r="K1870" s="367">
        <f t="shared" si="252"/>
        <v>10547.142857142857</v>
      </c>
      <c r="L1870" s="97">
        <v>0.28000000000000003</v>
      </c>
      <c r="M1870" s="97">
        <v>5.3999999999999995</v>
      </c>
      <c r="N1870" s="97">
        <v>28</v>
      </c>
      <c r="O1870" s="97">
        <v>10</v>
      </c>
      <c r="P1870" s="97" t="s">
        <v>515</v>
      </c>
      <c r="Q1870" s="97" t="str">
        <f t="shared" si="253"/>
        <v/>
      </c>
      <c r="R1870" t="str">
        <f t="shared" si="254"/>
        <v/>
      </c>
    </row>
    <row r="1871" spans="4:18">
      <c r="D1871" s="36">
        <v>611</v>
      </c>
      <c r="E1871" s="97">
        <v>200</v>
      </c>
      <c r="F1871" s="366">
        <f t="shared" si="249"/>
        <v>4340</v>
      </c>
      <c r="G1871" s="97">
        <v>7187</v>
      </c>
      <c r="H1871" s="367">
        <f t="shared" si="250"/>
        <v>11527</v>
      </c>
      <c r="I1871" s="368">
        <f t="shared" si="251"/>
        <v>0</v>
      </c>
      <c r="J1871" s="97">
        <v>18424</v>
      </c>
      <c r="K1871" s="367">
        <f t="shared" si="252"/>
        <v>13160</v>
      </c>
      <c r="L1871" s="97">
        <v>0.44</v>
      </c>
      <c r="M1871" s="97">
        <v>5.3999999999999995</v>
      </c>
      <c r="N1871" s="97">
        <v>29</v>
      </c>
      <c r="O1871" s="97">
        <v>10</v>
      </c>
      <c r="P1871" s="97" t="s">
        <v>556</v>
      </c>
      <c r="Q1871" s="97" t="str">
        <f t="shared" si="253"/>
        <v/>
      </c>
      <c r="R1871" t="str">
        <f t="shared" si="254"/>
        <v/>
      </c>
    </row>
    <row r="1872" spans="4:18">
      <c r="D1872" s="36">
        <v>612</v>
      </c>
      <c r="E1872" s="97">
        <v>200</v>
      </c>
      <c r="F1872" s="366">
        <f t="shared" si="249"/>
        <v>4340</v>
      </c>
      <c r="G1872" s="97">
        <v>8382</v>
      </c>
      <c r="H1872" s="367">
        <f t="shared" si="250"/>
        <v>12722</v>
      </c>
      <c r="I1872" s="368">
        <f t="shared" si="251"/>
        <v>0</v>
      </c>
      <c r="J1872" s="97">
        <v>21488</v>
      </c>
      <c r="K1872" s="367">
        <f t="shared" si="252"/>
        <v>15348.571428571429</v>
      </c>
      <c r="L1872" s="97">
        <v>0.9</v>
      </c>
      <c r="M1872" s="97">
        <v>5.3999999999999995</v>
      </c>
      <c r="N1872" s="97">
        <v>34</v>
      </c>
      <c r="O1872" s="97">
        <v>10</v>
      </c>
      <c r="P1872" s="97" t="s">
        <v>514</v>
      </c>
      <c r="Q1872" s="97" t="str">
        <f t="shared" si="253"/>
        <v/>
      </c>
      <c r="R1872" t="str">
        <f t="shared" si="254"/>
        <v/>
      </c>
    </row>
    <row r="1873" spans="4:18">
      <c r="D1873" s="36">
        <v>613</v>
      </c>
      <c r="E1873" s="97">
        <v>205</v>
      </c>
      <c r="F1873" s="366">
        <f t="shared" si="249"/>
        <v>4448.5</v>
      </c>
      <c r="G1873" s="97">
        <v>5862</v>
      </c>
      <c r="H1873" s="367">
        <f t="shared" si="250"/>
        <v>10310.5</v>
      </c>
      <c r="I1873" s="368">
        <f t="shared" si="251"/>
        <v>0</v>
      </c>
      <c r="J1873" s="97">
        <v>15027</v>
      </c>
      <c r="K1873" s="367">
        <f t="shared" si="252"/>
        <v>10733.571428571429</v>
      </c>
      <c r="L1873" s="97">
        <v>0.7</v>
      </c>
      <c r="M1873" s="97">
        <v>3.4</v>
      </c>
      <c r="N1873" s="97">
        <v>30</v>
      </c>
      <c r="O1873" s="97">
        <v>6</v>
      </c>
      <c r="P1873" s="97" t="s">
        <v>515</v>
      </c>
      <c r="Q1873" s="97">
        <f t="shared" si="253"/>
        <v>613</v>
      </c>
      <c r="R1873" t="str">
        <f t="shared" si="254"/>
        <v/>
      </c>
    </row>
    <row r="1874" spans="4:18">
      <c r="D1874" s="36">
        <v>614</v>
      </c>
      <c r="E1874" s="97">
        <v>205</v>
      </c>
      <c r="F1874" s="366">
        <f t="shared" si="249"/>
        <v>4448.5</v>
      </c>
      <c r="G1874" s="97">
        <v>6082</v>
      </c>
      <c r="H1874" s="367">
        <f t="shared" si="250"/>
        <v>10530.5</v>
      </c>
      <c r="I1874" s="368">
        <f t="shared" si="251"/>
        <v>0</v>
      </c>
      <c r="J1874" s="97">
        <v>15592</v>
      </c>
      <c r="K1874" s="367">
        <f t="shared" si="252"/>
        <v>11137.142857142857</v>
      </c>
      <c r="L1874" s="97">
        <v>0.52</v>
      </c>
      <c r="M1874" s="97">
        <v>3.9</v>
      </c>
      <c r="N1874" s="97">
        <v>29</v>
      </c>
      <c r="O1874" s="97">
        <v>7</v>
      </c>
      <c r="P1874" s="97" t="s">
        <v>515</v>
      </c>
      <c r="Q1874" s="97">
        <f t="shared" si="253"/>
        <v>614</v>
      </c>
      <c r="R1874" t="str">
        <f t="shared" si="254"/>
        <v/>
      </c>
    </row>
    <row r="1875" spans="4:18">
      <c r="D1875" s="36">
        <v>615</v>
      </c>
      <c r="E1875" s="97">
        <v>205</v>
      </c>
      <c r="F1875" s="366">
        <f t="shared" si="249"/>
        <v>4448.5</v>
      </c>
      <c r="G1875" s="97">
        <v>7067</v>
      </c>
      <c r="H1875" s="367">
        <f t="shared" si="250"/>
        <v>11515.5</v>
      </c>
      <c r="I1875" s="368">
        <f t="shared" si="251"/>
        <v>0</v>
      </c>
      <c r="J1875" s="97">
        <v>18115</v>
      </c>
      <c r="K1875" s="367">
        <f t="shared" si="252"/>
        <v>12939.285714285714</v>
      </c>
      <c r="L1875" s="97">
        <v>0.87</v>
      </c>
      <c r="M1875" s="97">
        <v>3.9</v>
      </c>
      <c r="N1875" s="97">
        <v>31</v>
      </c>
      <c r="O1875" s="97">
        <v>7</v>
      </c>
      <c r="P1875" s="97" t="s">
        <v>556</v>
      </c>
      <c r="Q1875" s="97" t="str">
        <f t="shared" si="253"/>
        <v/>
      </c>
      <c r="R1875" t="str">
        <f t="shared" si="254"/>
        <v/>
      </c>
    </row>
    <row r="1876" spans="4:18">
      <c r="D1876" s="36">
        <v>616</v>
      </c>
      <c r="E1876" s="97">
        <v>205</v>
      </c>
      <c r="F1876" s="366">
        <f t="shared" si="249"/>
        <v>4448.5</v>
      </c>
      <c r="G1876" s="97">
        <v>6243</v>
      </c>
      <c r="H1876" s="367">
        <f t="shared" si="250"/>
        <v>10691.5</v>
      </c>
      <c r="I1876" s="368">
        <f t="shared" si="251"/>
        <v>0</v>
      </c>
      <c r="J1876" s="97">
        <v>16005</v>
      </c>
      <c r="K1876" s="367">
        <f t="shared" si="252"/>
        <v>11432.142857142857</v>
      </c>
      <c r="L1876" s="97">
        <v>0.41000000000000003</v>
      </c>
      <c r="M1876" s="97">
        <v>4.3999999999999995</v>
      </c>
      <c r="N1876" s="97">
        <v>28</v>
      </c>
      <c r="O1876" s="97">
        <v>8</v>
      </c>
      <c r="P1876" s="97" t="s">
        <v>515</v>
      </c>
      <c r="Q1876" s="97">
        <f t="shared" si="253"/>
        <v>616</v>
      </c>
      <c r="R1876" t="str">
        <f t="shared" si="254"/>
        <v/>
      </c>
    </row>
    <row r="1877" spans="4:18">
      <c r="D1877" s="36">
        <v>617</v>
      </c>
      <c r="E1877" s="97">
        <v>205</v>
      </c>
      <c r="F1877" s="366">
        <f t="shared" si="249"/>
        <v>4448.5</v>
      </c>
      <c r="G1877" s="97">
        <v>7228</v>
      </c>
      <c r="H1877" s="367">
        <f t="shared" si="250"/>
        <v>11676.5</v>
      </c>
      <c r="I1877" s="368">
        <f t="shared" si="251"/>
        <v>0</v>
      </c>
      <c r="J1877" s="97">
        <v>18530</v>
      </c>
      <c r="K1877" s="367">
        <f t="shared" si="252"/>
        <v>13235.714285714286</v>
      </c>
      <c r="L1877" s="97">
        <v>0.68</v>
      </c>
      <c r="M1877" s="97">
        <v>4.3999999999999995</v>
      </c>
      <c r="N1877" s="97">
        <v>30</v>
      </c>
      <c r="O1877" s="97">
        <v>8</v>
      </c>
      <c r="P1877" s="97" t="s">
        <v>556</v>
      </c>
      <c r="Q1877" s="97">
        <f t="shared" si="253"/>
        <v>617</v>
      </c>
      <c r="R1877" t="str">
        <f t="shared" si="254"/>
        <v/>
      </c>
    </row>
    <row r="1878" spans="4:18">
      <c r="D1878" s="36">
        <v>618</v>
      </c>
      <c r="E1878" s="97">
        <v>205</v>
      </c>
      <c r="F1878" s="366">
        <f t="shared" si="249"/>
        <v>4448.5</v>
      </c>
      <c r="G1878" s="97">
        <v>6220</v>
      </c>
      <c r="H1878" s="367">
        <f t="shared" si="250"/>
        <v>10668.5</v>
      </c>
      <c r="I1878" s="368">
        <f t="shared" si="251"/>
        <v>0</v>
      </c>
      <c r="J1878" s="97">
        <v>15946</v>
      </c>
      <c r="K1878" s="367">
        <f t="shared" si="252"/>
        <v>11390</v>
      </c>
      <c r="L1878" s="97">
        <v>0.35000000000000003</v>
      </c>
      <c r="M1878" s="97">
        <v>4.8999999999999995</v>
      </c>
      <c r="N1878" s="97">
        <v>28</v>
      </c>
      <c r="O1878" s="97">
        <v>9</v>
      </c>
      <c r="P1878" s="97" t="s">
        <v>515</v>
      </c>
      <c r="Q1878" s="97" t="str">
        <f t="shared" si="253"/>
        <v/>
      </c>
      <c r="R1878" t="str">
        <f t="shared" si="254"/>
        <v/>
      </c>
    </row>
    <row r="1879" spans="4:18">
      <c r="D1879" s="36">
        <v>619</v>
      </c>
      <c r="E1879" s="97">
        <v>205</v>
      </c>
      <c r="F1879" s="366">
        <f t="shared" si="249"/>
        <v>4448.5</v>
      </c>
      <c r="G1879" s="97">
        <v>5933</v>
      </c>
      <c r="H1879" s="367">
        <f t="shared" si="250"/>
        <v>10381.5</v>
      </c>
      <c r="I1879" s="368">
        <f t="shared" si="251"/>
        <v>0</v>
      </c>
      <c r="J1879" s="97">
        <v>15210</v>
      </c>
      <c r="K1879" s="367">
        <f t="shared" si="252"/>
        <v>10864.285714285714</v>
      </c>
      <c r="L1879" s="97">
        <v>0.29000000000000004</v>
      </c>
      <c r="M1879" s="97">
        <v>5.3999999999999995</v>
      </c>
      <c r="N1879" s="97">
        <v>28</v>
      </c>
      <c r="O1879" s="97">
        <v>10</v>
      </c>
      <c r="P1879" s="97" t="s">
        <v>515</v>
      </c>
      <c r="Q1879" s="97" t="str">
        <f t="shared" si="253"/>
        <v/>
      </c>
      <c r="R1879" t="str">
        <f t="shared" si="254"/>
        <v/>
      </c>
    </row>
    <row r="1880" spans="4:18">
      <c r="D1880" s="36">
        <v>620</v>
      </c>
      <c r="E1880" s="97">
        <v>205</v>
      </c>
      <c r="F1880" s="366">
        <f t="shared" si="249"/>
        <v>4448.5</v>
      </c>
      <c r="G1880" s="97">
        <v>7311</v>
      </c>
      <c r="H1880" s="367">
        <f t="shared" si="250"/>
        <v>11759.5</v>
      </c>
      <c r="I1880" s="368">
        <f t="shared" si="251"/>
        <v>0</v>
      </c>
      <c r="J1880" s="97">
        <v>18743</v>
      </c>
      <c r="K1880" s="367">
        <f t="shared" si="252"/>
        <v>13387.857142857143</v>
      </c>
      <c r="L1880" s="97">
        <v>0.47000000000000003</v>
      </c>
      <c r="M1880" s="97">
        <v>5.3999999999999995</v>
      </c>
      <c r="N1880" s="97">
        <v>30</v>
      </c>
      <c r="O1880" s="97">
        <v>10</v>
      </c>
      <c r="P1880" s="97" t="s">
        <v>556</v>
      </c>
      <c r="Q1880" s="97" t="str">
        <f t="shared" si="253"/>
        <v/>
      </c>
      <c r="R1880" t="str">
        <f t="shared" si="254"/>
        <v/>
      </c>
    </row>
    <row r="1881" spans="4:18">
      <c r="D1881" s="36">
        <v>621</v>
      </c>
      <c r="E1881" s="97">
        <v>205</v>
      </c>
      <c r="F1881" s="366">
        <f t="shared" si="249"/>
        <v>4448.5</v>
      </c>
      <c r="G1881" s="97">
        <v>8518</v>
      </c>
      <c r="H1881" s="367">
        <f t="shared" si="250"/>
        <v>12966.5</v>
      </c>
      <c r="I1881" s="368">
        <f t="shared" si="251"/>
        <v>0</v>
      </c>
      <c r="J1881" s="97">
        <v>21835</v>
      </c>
      <c r="K1881" s="367">
        <f t="shared" si="252"/>
        <v>15596.428571428572</v>
      </c>
      <c r="L1881" s="97">
        <v>0.95</v>
      </c>
      <c r="M1881" s="97">
        <v>5.3999999999999995</v>
      </c>
      <c r="N1881" s="97">
        <v>35</v>
      </c>
      <c r="O1881" s="97">
        <v>10</v>
      </c>
      <c r="P1881" s="97" t="s">
        <v>514</v>
      </c>
      <c r="Q1881" s="97" t="str">
        <f t="shared" si="253"/>
        <v/>
      </c>
      <c r="R1881" t="str">
        <f t="shared" si="254"/>
        <v/>
      </c>
    </row>
    <row r="1882" spans="4:18">
      <c r="D1882" s="36">
        <v>622</v>
      </c>
      <c r="E1882" s="97">
        <v>210</v>
      </c>
      <c r="F1882" s="366">
        <f t="shared" si="249"/>
        <v>4557</v>
      </c>
      <c r="G1882" s="97">
        <v>5958</v>
      </c>
      <c r="H1882" s="367">
        <f t="shared" si="250"/>
        <v>10515</v>
      </c>
      <c r="I1882" s="368">
        <f t="shared" si="251"/>
        <v>0</v>
      </c>
      <c r="J1882" s="97">
        <v>15273</v>
      </c>
      <c r="K1882" s="367">
        <f t="shared" si="252"/>
        <v>10909.285714285714</v>
      </c>
      <c r="L1882" s="97">
        <v>0.74</v>
      </c>
      <c r="M1882" s="97">
        <v>3.4</v>
      </c>
      <c r="N1882" s="97">
        <v>30</v>
      </c>
      <c r="O1882" s="97">
        <v>6</v>
      </c>
      <c r="P1882" s="97" t="s">
        <v>515</v>
      </c>
      <c r="Q1882" s="97" t="str">
        <f t="shared" si="253"/>
        <v/>
      </c>
      <c r="R1882" t="str">
        <f t="shared" si="254"/>
        <v/>
      </c>
    </row>
    <row r="1883" spans="4:18">
      <c r="D1883" s="36">
        <v>623</v>
      </c>
      <c r="E1883" s="97">
        <v>210</v>
      </c>
      <c r="F1883" s="366">
        <f t="shared" si="249"/>
        <v>4557</v>
      </c>
      <c r="G1883" s="97">
        <v>6182</v>
      </c>
      <c r="H1883" s="367">
        <f t="shared" si="250"/>
        <v>10739</v>
      </c>
      <c r="I1883" s="368">
        <f t="shared" si="251"/>
        <v>0</v>
      </c>
      <c r="J1883" s="97">
        <v>15848</v>
      </c>
      <c r="K1883" s="367">
        <f t="shared" si="252"/>
        <v>11320</v>
      </c>
      <c r="L1883" s="97">
        <v>0.55000000000000004</v>
      </c>
      <c r="M1883" s="97">
        <v>3.9</v>
      </c>
      <c r="N1883" s="97">
        <v>29</v>
      </c>
      <c r="O1883" s="97">
        <v>7</v>
      </c>
      <c r="P1883" s="97" t="s">
        <v>515</v>
      </c>
      <c r="Q1883" s="97">
        <f t="shared" si="253"/>
        <v>623</v>
      </c>
      <c r="R1883" t="str">
        <f t="shared" si="254"/>
        <v/>
      </c>
    </row>
    <row r="1884" spans="4:18">
      <c r="D1884" s="36">
        <v>624</v>
      </c>
      <c r="E1884" s="97">
        <v>210</v>
      </c>
      <c r="F1884" s="366">
        <f t="shared" si="249"/>
        <v>4557</v>
      </c>
      <c r="G1884" s="97">
        <v>7177</v>
      </c>
      <c r="H1884" s="367">
        <f t="shared" si="250"/>
        <v>11734</v>
      </c>
      <c r="I1884" s="368">
        <f t="shared" si="251"/>
        <v>0</v>
      </c>
      <c r="J1884" s="97">
        <v>18399</v>
      </c>
      <c r="K1884" s="367">
        <f t="shared" si="252"/>
        <v>13142.142857142857</v>
      </c>
      <c r="L1884" s="97">
        <v>0.91</v>
      </c>
      <c r="M1884" s="97">
        <v>3.9</v>
      </c>
      <c r="N1884" s="97">
        <v>31</v>
      </c>
      <c r="O1884" s="97">
        <v>7</v>
      </c>
      <c r="P1884" s="97" t="s">
        <v>556</v>
      </c>
      <c r="Q1884" s="97" t="str">
        <f t="shared" si="253"/>
        <v/>
      </c>
      <c r="R1884" t="str">
        <f t="shared" si="254"/>
        <v/>
      </c>
    </row>
    <row r="1885" spans="4:18">
      <c r="D1885" s="36">
        <v>625</v>
      </c>
      <c r="E1885" s="97">
        <v>210</v>
      </c>
      <c r="F1885" s="366">
        <f t="shared" si="249"/>
        <v>4557</v>
      </c>
      <c r="G1885" s="97">
        <v>6354</v>
      </c>
      <c r="H1885" s="367">
        <f t="shared" si="250"/>
        <v>10911</v>
      </c>
      <c r="I1885" s="368">
        <f t="shared" si="251"/>
        <v>0</v>
      </c>
      <c r="J1885" s="97">
        <v>16288</v>
      </c>
      <c r="K1885" s="367">
        <f t="shared" si="252"/>
        <v>11634.285714285714</v>
      </c>
      <c r="L1885" s="97">
        <v>0.43</v>
      </c>
      <c r="M1885" s="97">
        <v>4.3999999999999995</v>
      </c>
      <c r="N1885" s="97">
        <v>28</v>
      </c>
      <c r="O1885" s="97">
        <v>8</v>
      </c>
      <c r="P1885" s="97" t="s">
        <v>515</v>
      </c>
      <c r="Q1885" s="97">
        <f t="shared" si="253"/>
        <v>625</v>
      </c>
      <c r="R1885" t="str">
        <f t="shared" si="254"/>
        <v/>
      </c>
    </row>
    <row r="1886" spans="4:18">
      <c r="D1886" s="36">
        <v>626</v>
      </c>
      <c r="E1886" s="97">
        <v>210</v>
      </c>
      <c r="F1886" s="366">
        <f t="shared" si="249"/>
        <v>4557</v>
      </c>
      <c r="G1886" s="97">
        <v>7346</v>
      </c>
      <c r="H1886" s="367">
        <f t="shared" si="250"/>
        <v>11903</v>
      </c>
      <c r="I1886" s="368">
        <f t="shared" si="251"/>
        <v>0</v>
      </c>
      <c r="J1886" s="97">
        <v>18831</v>
      </c>
      <c r="K1886" s="367">
        <f t="shared" si="252"/>
        <v>13450.714285714286</v>
      </c>
      <c r="L1886" s="97">
        <v>0.71</v>
      </c>
      <c r="M1886" s="97">
        <v>4.3999999999999995</v>
      </c>
      <c r="N1886" s="97">
        <v>30</v>
      </c>
      <c r="O1886" s="97">
        <v>8</v>
      </c>
      <c r="P1886" s="97" t="s">
        <v>556</v>
      </c>
      <c r="Q1886" s="97">
        <f t="shared" si="253"/>
        <v>626</v>
      </c>
      <c r="R1886" t="str">
        <f t="shared" si="254"/>
        <v/>
      </c>
    </row>
    <row r="1887" spans="4:18">
      <c r="D1887" s="36">
        <v>627</v>
      </c>
      <c r="E1887" s="97">
        <v>210</v>
      </c>
      <c r="F1887" s="366">
        <f t="shared" si="249"/>
        <v>4557</v>
      </c>
      <c r="G1887" s="97">
        <v>6407</v>
      </c>
      <c r="H1887" s="367">
        <f t="shared" si="250"/>
        <v>10964</v>
      </c>
      <c r="I1887" s="368">
        <f t="shared" si="251"/>
        <v>0</v>
      </c>
      <c r="J1887" s="97">
        <v>16425</v>
      </c>
      <c r="K1887" s="367">
        <f t="shared" si="252"/>
        <v>11732.142857142857</v>
      </c>
      <c r="L1887" s="97">
        <v>0.37</v>
      </c>
      <c r="M1887" s="97">
        <v>4.8999999999999995</v>
      </c>
      <c r="N1887" s="97">
        <v>29</v>
      </c>
      <c r="O1887" s="97">
        <v>9</v>
      </c>
      <c r="P1887" s="97" t="s">
        <v>515</v>
      </c>
      <c r="Q1887" s="97" t="str">
        <f t="shared" si="253"/>
        <v/>
      </c>
      <c r="R1887" t="str">
        <f t="shared" si="254"/>
        <v/>
      </c>
    </row>
    <row r="1888" spans="4:18">
      <c r="D1888" s="36">
        <v>628</v>
      </c>
      <c r="E1888" s="97">
        <v>210</v>
      </c>
      <c r="F1888" s="366">
        <f t="shared" si="249"/>
        <v>4557</v>
      </c>
      <c r="G1888" s="97">
        <v>6113</v>
      </c>
      <c r="H1888" s="367">
        <f t="shared" si="250"/>
        <v>10670</v>
      </c>
      <c r="I1888" s="368">
        <f t="shared" si="251"/>
        <v>0</v>
      </c>
      <c r="J1888" s="97">
        <v>15671</v>
      </c>
      <c r="K1888" s="367">
        <f t="shared" si="252"/>
        <v>11193.571428571429</v>
      </c>
      <c r="L1888" s="97">
        <v>0.3</v>
      </c>
      <c r="M1888" s="97">
        <v>5.3999999999999995</v>
      </c>
      <c r="N1888" s="97">
        <v>28</v>
      </c>
      <c r="O1888" s="97">
        <v>10</v>
      </c>
      <c r="P1888" s="97" t="s">
        <v>515</v>
      </c>
      <c r="Q1888" s="97" t="str">
        <f t="shared" si="253"/>
        <v/>
      </c>
      <c r="R1888" t="str">
        <f t="shared" si="254"/>
        <v/>
      </c>
    </row>
    <row r="1889" spans="4:18">
      <c r="D1889" s="36">
        <v>629</v>
      </c>
      <c r="E1889" s="97">
        <v>210</v>
      </c>
      <c r="F1889" s="366">
        <f t="shared" si="249"/>
        <v>4557</v>
      </c>
      <c r="G1889" s="97">
        <v>7436</v>
      </c>
      <c r="H1889" s="367">
        <f t="shared" si="250"/>
        <v>11993</v>
      </c>
      <c r="I1889" s="368">
        <f t="shared" si="251"/>
        <v>0</v>
      </c>
      <c r="J1889" s="97">
        <v>19061</v>
      </c>
      <c r="K1889" s="367">
        <f t="shared" si="252"/>
        <v>13615</v>
      </c>
      <c r="L1889" s="97">
        <v>0.49</v>
      </c>
      <c r="M1889" s="97">
        <v>5.3999999999999995</v>
      </c>
      <c r="N1889" s="97">
        <v>30</v>
      </c>
      <c r="O1889" s="97">
        <v>10</v>
      </c>
      <c r="P1889" s="97" t="s">
        <v>556</v>
      </c>
      <c r="Q1889" s="97" t="str">
        <f t="shared" si="253"/>
        <v/>
      </c>
      <c r="R1889" t="str">
        <f t="shared" si="254"/>
        <v/>
      </c>
    </row>
    <row r="1890" spans="4:18">
      <c r="D1890" s="36">
        <v>630</v>
      </c>
      <c r="E1890" s="97">
        <v>210</v>
      </c>
      <c r="F1890" s="366">
        <f t="shared" si="249"/>
        <v>4557</v>
      </c>
      <c r="G1890" s="97">
        <v>8650</v>
      </c>
      <c r="H1890" s="367">
        <f t="shared" si="250"/>
        <v>13207</v>
      </c>
      <c r="I1890" s="368">
        <f t="shared" si="251"/>
        <v>0</v>
      </c>
      <c r="J1890" s="97">
        <v>22174</v>
      </c>
      <c r="K1890" s="367">
        <f t="shared" si="252"/>
        <v>15838.571428571429</v>
      </c>
      <c r="L1890" s="97">
        <v>1</v>
      </c>
      <c r="M1890" s="97">
        <v>5.3999999999999995</v>
      </c>
      <c r="N1890" s="97">
        <v>35</v>
      </c>
      <c r="O1890" s="97">
        <v>10</v>
      </c>
      <c r="P1890" s="97" t="s">
        <v>514</v>
      </c>
      <c r="Q1890" s="97" t="str">
        <f t="shared" si="253"/>
        <v/>
      </c>
      <c r="R1890" t="str">
        <f t="shared" si="254"/>
        <v/>
      </c>
    </row>
    <row r="1891" spans="4:18">
      <c r="D1891" s="36">
        <v>631</v>
      </c>
      <c r="E1891" s="97">
        <v>215</v>
      </c>
      <c r="F1891" s="366">
        <f t="shared" si="249"/>
        <v>4665.5</v>
      </c>
      <c r="G1891" s="97">
        <v>6056</v>
      </c>
      <c r="H1891" s="367">
        <f t="shared" si="250"/>
        <v>10721.5</v>
      </c>
      <c r="I1891" s="368">
        <f t="shared" si="251"/>
        <v>0</v>
      </c>
      <c r="J1891" s="97">
        <v>15524</v>
      </c>
      <c r="K1891" s="367">
        <f t="shared" si="252"/>
        <v>11088.571428571429</v>
      </c>
      <c r="L1891" s="97">
        <v>0.77</v>
      </c>
      <c r="M1891" s="97">
        <v>3.4</v>
      </c>
      <c r="N1891" s="97">
        <v>31</v>
      </c>
      <c r="O1891" s="97">
        <v>6</v>
      </c>
      <c r="P1891" s="97" t="s">
        <v>515</v>
      </c>
      <c r="Q1891" s="97" t="str">
        <f t="shared" si="253"/>
        <v/>
      </c>
      <c r="R1891" t="str">
        <f t="shared" si="254"/>
        <v/>
      </c>
    </row>
    <row r="1892" spans="4:18">
      <c r="D1892" s="36">
        <v>632</v>
      </c>
      <c r="E1892" s="97">
        <v>215</v>
      </c>
      <c r="F1892" s="366">
        <f t="shared" si="249"/>
        <v>4665.5</v>
      </c>
      <c r="G1892" s="97">
        <v>6282</v>
      </c>
      <c r="H1892" s="367">
        <f t="shared" si="250"/>
        <v>10947.5</v>
      </c>
      <c r="I1892" s="368">
        <f t="shared" si="251"/>
        <v>0</v>
      </c>
      <c r="J1892" s="97">
        <v>16103</v>
      </c>
      <c r="K1892" s="367">
        <f t="shared" si="252"/>
        <v>11502.142857142857</v>
      </c>
      <c r="L1892" s="97">
        <v>0.57999999999999996</v>
      </c>
      <c r="M1892" s="97">
        <v>3.9</v>
      </c>
      <c r="N1892" s="97">
        <v>29</v>
      </c>
      <c r="O1892" s="97">
        <v>7</v>
      </c>
      <c r="P1892" s="97" t="s">
        <v>515</v>
      </c>
      <c r="Q1892" s="97">
        <f t="shared" si="253"/>
        <v>632</v>
      </c>
      <c r="R1892" t="str">
        <f t="shared" si="254"/>
        <v/>
      </c>
    </row>
    <row r="1893" spans="4:18">
      <c r="D1893" s="36">
        <v>633</v>
      </c>
      <c r="E1893" s="97">
        <v>215</v>
      </c>
      <c r="F1893" s="366">
        <f t="shared" si="249"/>
        <v>4665.5</v>
      </c>
      <c r="G1893" s="97">
        <v>7282</v>
      </c>
      <c r="H1893" s="367">
        <f t="shared" si="250"/>
        <v>11947.5</v>
      </c>
      <c r="I1893" s="368">
        <f t="shared" si="251"/>
        <v>0</v>
      </c>
      <c r="J1893" s="97">
        <v>18667</v>
      </c>
      <c r="K1893" s="367">
        <f t="shared" si="252"/>
        <v>13333.571428571429</v>
      </c>
      <c r="L1893" s="97">
        <v>0.96</v>
      </c>
      <c r="M1893" s="97">
        <v>3.9</v>
      </c>
      <c r="N1893" s="97">
        <v>32</v>
      </c>
      <c r="O1893" s="97">
        <v>7</v>
      </c>
      <c r="P1893" s="97" t="s">
        <v>556</v>
      </c>
      <c r="Q1893" s="97" t="str">
        <f t="shared" si="253"/>
        <v/>
      </c>
      <c r="R1893" t="str">
        <f t="shared" si="254"/>
        <v/>
      </c>
    </row>
    <row r="1894" spans="4:18">
      <c r="D1894" s="36">
        <v>634</v>
      </c>
      <c r="E1894" s="97">
        <v>215</v>
      </c>
      <c r="F1894" s="366">
        <f t="shared" si="249"/>
        <v>4665.5</v>
      </c>
      <c r="G1894" s="97">
        <v>6462</v>
      </c>
      <c r="H1894" s="367">
        <f t="shared" si="250"/>
        <v>11127.5</v>
      </c>
      <c r="I1894" s="368">
        <f t="shared" si="251"/>
        <v>0</v>
      </c>
      <c r="J1894" s="97">
        <v>16564</v>
      </c>
      <c r="K1894" s="367">
        <f t="shared" si="252"/>
        <v>11831.428571428572</v>
      </c>
      <c r="L1894" s="97">
        <v>0.45</v>
      </c>
      <c r="M1894" s="97">
        <v>4.3999999999999995</v>
      </c>
      <c r="N1894" s="97">
        <v>29</v>
      </c>
      <c r="O1894" s="97">
        <v>8</v>
      </c>
      <c r="P1894" s="97" t="s">
        <v>515</v>
      </c>
      <c r="Q1894" s="97">
        <f t="shared" si="253"/>
        <v>634</v>
      </c>
      <c r="R1894" t="str">
        <f t="shared" si="254"/>
        <v/>
      </c>
    </row>
    <row r="1895" spans="4:18">
      <c r="D1895" s="36">
        <v>635</v>
      </c>
      <c r="E1895" s="97">
        <v>215</v>
      </c>
      <c r="F1895" s="366">
        <f t="shared" si="249"/>
        <v>4665.5</v>
      </c>
      <c r="G1895" s="97">
        <v>7463</v>
      </c>
      <c r="H1895" s="367">
        <f t="shared" si="250"/>
        <v>12128.5</v>
      </c>
      <c r="I1895" s="368">
        <f t="shared" si="251"/>
        <v>0</v>
      </c>
      <c r="J1895" s="97">
        <v>19131</v>
      </c>
      <c r="K1895" s="367">
        <f t="shared" si="252"/>
        <v>13665</v>
      </c>
      <c r="L1895" s="97">
        <v>0.74</v>
      </c>
      <c r="M1895" s="97">
        <v>4.3999999999999995</v>
      </c>
      <c r="N1895" s="97">
        <v>31</v>
      </c>
      <c r="O1895" s="97">
        <v>8</v>
      </c>
      <c r="P1895" s="97" t="s">
        <v>556</v>
      </c>
      <c r="Q1895" s="97" t="str">
        <f t="shared" si="253"/>
        <v/>
      </c>
      <c r="R1895" t="str">
        <f t="shared" si="254"/>
        <v/>
      </c>
    </row>
    <row r="1896" spans="4:18">
      <c r="D1896" s="36">
        <v>636</v>
      </c>
      <c r="E1896" s="97">
        <v>215</v>
      </c>
      <c r="F1896" s="366">
        <f t="shared" si="249"/>
        <v>4665.5</v>
      </c>
      <c r="G1896" s="97">
        <v>6552</v>
      </c>
      <c r="H1896" s="367">
        <f t="shared" si="250"/>
        <v>11217.5</v>
      </c>
      <c r="I1896" s="368">
        <f t="shared" si="251"/>
        <v>0</v>
      </c>
      <c r="J1896" s="97">
        <v>16797</v>
      </c>
      <c r="K1896" s="367">
        <f t="shared" si="252"/>
        <v>11997.857142857143</v>
      </c>
      <c r="L1896" s="97">
        <v>0.38</v>
      </c>
      <c r="M1896" s="97">
        <v>4.8999999999999995</v>
      </c>
      <c r="N1896" s="97">
        <v>29</v>
      </c>
      <c r="O1896" s="97">
        <v>9</v>
      </c>
      <c r="P1896" s="97" t="s">
        <v>515</v>
      </c>
      <c r="Q1896" s="97" t="str">
        <f t="shared" si="253"/>
        <v/>
      </c>
      <c r="R1896" t="str">
        <f t="shared" si="254"/>
        <v/>
      </c>
    </row>
    <row r="1897" spans="4:18">
      <c r="D1897" s="36">
        <v>637</v>
      </c>
      <c r="E1897" s="97">
        <v>215</v>
      </c>
      <c r="F1897" s="366">
        <f t="shared" si="249"/>
        <v>4665.5</v>
      </c>
      <c r="G1897" s="97">
        <v>6295</v>
      </c>
      <c r="H1897" s="367">
        <f t="shared" si="250"/>
        <v>10960.5</v>
      </c>
      <c r="I1897" s="368">
        <f t="shared" si="251"/>
        <v>0</v>
      </c>
      <c r="J1897" s="97">
        <v>16137</v>
      </c>
      <c r="K1897" s="367">
        <f t="shared" si="252"/>
        <v>11526.428571428572</v>
      </c>
      <c r="L1897" s="97">
        <v>0.32</v>
      </c>
      <c r="M1897" s="97">
        <v>5.3999999999999995</v>
      </c>
      <c r="N1897" s="97">
        <v>29</v>
      </c>
      <c r="O1897" s="97">
        <v>10</v>
      </c>
      <c r="P1897" s="97" t="s">
        <v>515</v>
      </c>
      <c r="Q1897" s="97" t="str">
        <f t="shared" si="253"/>
        <v/>
      </c>
      <c r="R1897" t="str">
        <f t="shared" si="254"/>
        <v/>
      </c>
    </row>
    <row r="1898" spans="4:18">
      <c r="D1898" s="36">
        <v>638</v>
      </c>
      <c r="E1898" s="97">
        <v>215</v>
      </c>
      <c r="F1898" s="366">
        <f t="shared" si="249"/>
        <v>4665.5</v>
      </c>
      <c r="G1898" s="97">
        <v>7553</v>
      </c>
      <c r="H1898" s="367">
        <f t="shared" si="250"/>
        <v>12218.5</v>
      </c>
      <c r="I1898" s="368">
        <f t="shared" si="251"/>
        <v>0</v>
      </c>
      <c r="J1898" s="97">
        <v>19361</v>
      </c>
      <c r="K1898" s="367">
        <f t="shared" si="252"/>
        <v>13829.285714285714</v>
      </c>
      <c r="L1898" s="97">
        <v>0.51</v>
      </c>
      <c r="M1898" s="97">
        <v>5.3999999999999995</v>
      </c>
      <c r="N1898" s="97">
        <v>30</v>
      </c>
      <c r="O1898" s="97">
        <v>10</v>
      </c>
      <c r="P1898" s="97" t="s">
        <v>556</v>
      </c>
      <c r="Q1898" s="97" t="str">
        <f t="shared" si="253"/>
        <v/>
      </c>
      <c r="R1898" t="str">
        <f t="shared" si="254"/>
        <v/>
      </c>
    </row>
    <row r="1899" spans="4:18">
      <c r="D1899" s="36">
        <v>639</v>
      </c>
      <c r="E1899" s="97">
        <v>215</v>
      </c>
      <c r="F1899" s="366">
        <f t="shared" si="249"/>
        <v>4665.5</v>
      </c>
      <c r="G1899" s="97">
        <v>8779</v>
      </c>
      <c r="H1899" s="367">
        <f t="shared" si="250"/>
        <v>13444.5</v>
      </c>
      <c r="I1899" s="368">
        <f t="shared" si="251"/>
        <v>0</v>
      </c>
      <c r="J1899" s="97">
        <v>22504</v>
      </c>
      <c r="K1899" s="367">
        <f t="shared" si="252"/>
        <v>16074.285714285714</v>
      </c>
      <c r="L1899" s="97">
        <v>1.04</v>
      </c>
      <c r="M1899" s="97">
        <v>5.3999999999999995</v>
      </c>
      <c r="N1899" s="97">
        <v>35</v>
      </c>
      <c r="O1899" s="97">
        <v>10</v>
      </c>
      <c r="P1899" s="97" t="s">
        <v>514</v>
      </c>
      <c r="Q1899" s="97" t="str">
        <f t="shared" si="253"/>
        <v/>
      </c>
      <c r="R1899" t="str">
        <f t="shared" si="254"/>
        <v/>
      </c>
    </row>
    <row r="1900" spans="4:18">
      <c r="D1900" s="36">
        <v>640</v>
      </c>
      <c r="E1900" s="97">
        <v>220</v>
      </c>
      <c r="F1900" s="366">
        <f t="shared" si="249"/>
        <v>4774</v>
      </c>
      <c r="G1900" s="97">
        <v>6154</v>
      </c>
      <c r="H1900" s="367">
        <f t="shared" si="250"/>
        <v>10928</v>
      </c>
      <c r="I1900" s="368">
        <f t="shared" si="251"/>
        <v>0</v>
      </c>
      <c r="J1900" s="97">
        <v>15776</v>
      </c>
      <c r="K1900" s="367">
        <f t="shared" si="252"/>
        <v>11268.571428571429</v>
      </c>
      <c r="L1900" s="97">
        <v>0.81</v>
      </c>
      <c r="M1900" s="97">
        <v>3.4</v>
      </c>
      <c r="N1900" s="97">
        <v>31</v>
      </c>
      <c r="O1900" s="97">
        <v>6</v>
      </c>
      <c r="P1900" s="97" t="s">
        <v>515</v>
      </c>
      <c r="Q1900" s="97" t="str">
        <f t="shared" si="253"/>
        <v/>
      </c>
      <c r="R1900" t="str">
        <f t="shared" si="254"/>
        <v/>
      </c>
    </row>
    <row r="1901" spans="4:18">
      <c r="D1901" s="36">
        <v>641</v>
      </c>
      <c r="E1901" s="97">
        <v>220</v>
      </c>
      <c r="F1901" s="366">
        <f t="shared" si="249"/>
        <v>4774</v>
      </c>
      <c r="G1901" s="97">
        <v>6382</v>
      </c>
      <c r="H1901" s="367">
        <f t="shared" si="250"/>
        <v>11156</v>
      </c>
      <c r="I1901" s="368">
        <f t="shared" si="251"/>
        <v>0</v>
      </c>
      <c r="J1901" s="97">
        <v>16359</v>
      </c>
      <c r="K1901" s="367">
        <f t="shared" si="252"/>
        <v>11685</v>
      </c>
      <c r="L1901" s="97">
        <v>0.6</v>
      </c>
      <c r="M1901" s="97">
        <v>3.9</v>
      </c>
      <c r="N1901" s="97">
        <v>30</v>
      </c>
      <c r="O1901" s="97">
        <v>7</v>
      </c>
      <c r="P1901" s="97" t="s">
        <v>515</v>
      </c>
      <c r="Q1901" s="97">
        <f t="shared" si="253"/>
        <v>641</v>
      </c>
      <c r="R1901" t="str">
        <f t="shared" si="254"/>
        <v/>
      </c>
    </row>
    <row r="1902" spans="4:18">
      <c r="D1902" s="36">
        <v>642</v>
      </c>
      <c r="E1902" s="97">
        <v>220</v>
      </c>
      <c r="F1902" s="366">
        <f t="shared" si="249"/>
        <v>4774</v>
      </c>
      <c r="G1902" s="97">
        <v>7384</v>
      </c>
      <c r="H1902" s="367">
        <f t="shared" si="250"/>
        <v>12158</v>
      </c>
      <c r="I1902" s="368">
        <f t="shared" si="251"/>
        <v>0</v>
      </c>
      <c r="J1902" s="97">
        <v>18928</v>
      </c>
      <c r="K1902" s="367">
        <f t="shared" si="252"/>
        <v>13520</v>
      </c>
      <c r="L1902" s="97">
        <v>1</v>
      </c>
      <c r="M1902" s="97">
        <v>3.9</v>
      </c>
      <c r="N1902" s="97">
        <v>32</v>
      </c>
      <c r="O1902" s="97">
        <v>7</v>
      </c>
      <c r="P1902" s="97" t="s">
        <v>556</v>
      </c>
      <c r="Q1902" s="97" t="str">
        <f t="shared" si="253"/>
        <v/>
      </c>
      <c r="R1902" t="str">
        <f t="shared" si="254"/>
        <v/>
      </c>
    </row>
    <row r="1903" spans="4:18">
      <c r="D1903" s="36">
        <v>643</v>
      </c>
      <c r="E1903" s="97">
        <v>220</v>
      </c>
      <c r="F1903" s="366">
        <f t="shared" ref="F1903:F1966" si="255">1.085*($A$2-$B$2)*E1903*$T$7</f>
        <v>4774</v>
      </c>
      <c r="G1903" s="97">
        <v>6567</v>
      </c>
      <c r="H1903" s="367">
        <f t="shared" ref="H1903:H1966" si="256">(G1903*$U$7)+F1903</f>
        <v>11341</v>
      </c>
      <c r="I1903" s="368">
        <f t="shared" ref="I1903:I1966" si="257">1.085*($C$2-$D$2)*E1903*$T$7</f>
        <v>0</v>
      </c>
      <c r="J1903" s="97">
        <v>16835</v>
      </c>
      <c r="K1903" s="367">
        <f t="shared" ref="K1903:K1966" si="258">(J1903*$V$7)-I1903</f>
        <v>12025</v>
      </c>
      <c r="L1903" s="97">
        <v>0.47000000000000003</v>
      </c>
      <c r="M1903" s="97">
        <v>4.3999999999999995</v>
      </c>
      <c r="N1903" s="97">
        <v>29</v>
      </c>
      <c r="O1903" s="97">
        <v>8</v>
      </c>
      <c r="P1903" s="97" t="s">
        <v>515</v>
      </c>
      <c r="Q1903" s="97">
        <f t="shared" ref="Q1903:Q1966" si="259">IF(AND(H1903+1&gt;$E$4,L1903&lt;$L$4+0.01,M1903&lt;$M$4+0.01,K1903+1&gt;$F$4,E1903+1&gt;$J$4,N1903&lt;$K$4+1,O1903&lt;$P$4+1,C1903=""),D1903,"")</f>
        <v>643</v>
      </c>
      <c r="R1903" t="str">
        <f t="shared" ref="R1903:R1966" si="260">IF(Q1903="","",IF(AND(O1903&lt;$X$16,E1903&gt;$U$16,E1903&lt;$Q$4+$U$16+1),D1903,""))</f>
        <v/>
      </c>
    </row>
    <row r="1904" spans="4:18">
      <c r="D1904" s="36">
        <v>644</v>
      </c>
      <c r="E1904" s="97">
        <v>220</v>
      </c>
      <c r="F1904" s="366">
        <f t="shared" si="255"/>
        <v>4774</v>
      </c>
      <c r="G1904" s="97">
        <v>7580</v>
      </c>
      <c r="H1904" s="367">
        <f t="shared" si="256"/>
        <v>12354</v>
      </c>
      <c r="I1904" s="368">
        <f t="shared" si="257"/>
        <v>0</v>
      </c>
      <c r="J1904" s="97">
        <v>19431</v>
      </c>
      <c r="K1904" s="367">
        <f t="shared" si="258"/>
        <v>13879.285714285714</v>
      </c>
      <c r="L1904" s="97">
        <v>0.78</v>
      </c>
      <c r="M1904" s="97">
        <v>4.3999999999999995</v>
      </c>
      <c r="N1904" s="97">
        <v>31</v>
      </c>
      <c r="O1904" s="97">
        <v>8</v>
      </c>
      <c r="P1904" s="97" t="s">
        <v>556</v>
      </c>
      <c r="Q1904" s="97" t="str">
        <f t="shared" si="259"/>
        <v/>
      </c>
      <c r="R1904" t="str">
        <f t="shared" si="260"/>
        <v/>
      </c>
    </row>
    <row r="1905" spans="4:18">
      <c r="D1905" s="36">
        <v>645</v>
      </c>
      <c r="E1905" s="97">
        <v>220</v>
      </c>
      <c r="F1905" s="366">
        <f t="shared" si="255"/>
        <v>4774</v>
      </c>
      <c r="G1905" s="97">
        <v>6659</v>
      </c>
      <c r="H1905" s="367">
        <f t="shared" si="256"/>
        <v>11433</v>
      </c>
      <c r="I1905" s="368">
        <f t="shared" si="257"/>
        <v>0</v>
      </c>
      <c r="J1905" s="97">
        <v>17070</v>
      </c>
      <c r="K1905" s="367">
        <f t="shared" si="258"/>
        <v>12192.857142857143</v>
      </c>
      <c r="L1905" s="97">
        <v>0.4</v>
      </c>
      <c r="M1905" s="97">
        <v>4.8999999999999995</v>
      </c>
      <c r="N1905" s="97">
        <v>30</v>
      </c>
      <c r="O1905" s="97">
        <v>9</v>
      </c>
      <c r="P1905" s="97" t="s">
        <v>515</v>
      </c>
      <c r="Q1905" s="97" t="str">
        <f t="shared" si="259"/>
        <v/>
      </c>
      <c r="R1905" t="str">
        <f t="shared" si="260"/>
        <v/>
      </c>
    </row>
    <row r="1906" spans="4:18">
      <c r="D1906" s="36">
        <v>646</v>
      </c>
      <c r="E1906" s="97">
        <v>220</v>
      </c>
      <c r="F1906" s="366">
        <f t="shared" si="255"/>
        <v>4774</v>
      </c>
      <c r="G1906" s="97">
        <v>6477</v>
      </c>
      <c r="H1906" s="367">
        <f t="shared" si="256"/>
        <v>11251</v>
      </c>
      <c r="I1906" s="368">
        <f t="shared" si="257"/>
        <v>0</v>
      </c>
      <c r="J1906" s="97">
        <v>16603</v>
      </c>
      <c r="K1906" s="367">
        <f t="shared" si="258"/>
        <v>11859.285714285714</v>
      </c>
      <c r="L1906" s="97">
        <v>0.33</v>
      </c>
      <c r="M1906" s="97">
        <v>5.3999999999999995</v>
      </c>
      <c r="N1906" s="97">
        <v>29</v>
      </c>
      <c r="O1906" s="97">
        <v>10</v>
      </c>
      <c r="P1906" s="97" t="s">
        <v>515</v>
      </c>
      <c r="Q1906" s="97" t="str">
        <f t="shared" si="259"/>
        <v/>
      </c>
      <c r="R1906" t="str">
        <f t="shared" si="260"/>
        <v/>
      </c>
    </row>
    <row r="1907" spans="4:18">
      <c r="D1907" s="36">
        <v>647</v>
      </c>
      <c r="E1907" s="97">
        <v>220</v>
      </c>
      <c r="F1907" s="366">
        <f t="shared" si="255"/>
        <v>4774</v>
      </c>
      <c r="G1907" s="97">
        <v>7669</v>
      </c>
      <c r="H1907" s="367">
        <f t="shared" si="256"/>
        <v>12443</v>
      </c>
      <c r="I1907" s="368">
        <f t="shared" si="257"/>
        <v>0</v>
      </c>
      <c r="J1907" s="97">
        <v>19658</v>
      </c>
      <c r="K1907" s="367">
        <f t="shared" si="258"/>
        <v>14041.428571428572</v>
      </c>
      <c r="L1907" s="97">
        <v>0.54</v>
      </c>
      <c r="M1907" s="97">
        <v>5.3999999999999995</v>
      </c>
      <c r="N1907" s="97">
        <v>31</v>
      </c>
      <c r="O1907" s="97">
        <v>10</v>
      </c>
      <c r="P1907" s="97" t="s">
        <v>556</v>
      </c>
      <c r="Q1907" s="97" t="str">
        <f t="shared" si="259"/>
        <v/>
      </c>
      <c r="R1907" t="str">
        <f t="shared" si="260"/>
        <v/>
      </c>
    </row>
    <row r="1908" spans="4:18">
      <c r="D1908" s="36">
        <v>648</v>
      </c>
      <c r="E1908" s="97">
        <v>225</v>
      </c>
      <c r="F1908" s="366">
        <f t="shared" si="255"/>
        <v>4882.5</v>
      </c>
      <c r="G1908" s="97">
        <v>6252</v>
      </c>
      <c r="H1908" s="367">
        <f t="shared" si="256"/>
        <v>11134.5</v>
      </c>
      <c r="I1908" s="368">
        <f t="shared" si="257"/>
        <v>0</v>
      </c>
      <c r="J1908" s="97">
        <v>16028</v>
      </c>
      <c r="K1908" s="367">
        <f t="shared" si="258"/>
        <v>11448.571428571429</v>
      </c>
      <c r="L1908" s="97">
        <v>0.85</v>
      </c>
      <c r="M1908" s="97">
        <v>3.4</v>
      </c>
      <c r="N1908" s="97">
        <v>32</v>
      </c>
      <c r="O1908" s="97">
        <v>6</v>
      </c>
      <c r="P1908" s="97" t="s">
        <v>515</v>
      </c>
      <c r="Q1908" s="97" t="str">
        <f t="shared" si="259"/>
        <v/>
      </c>
      <c r="R1908" t="str">
        <f t="shared" si="260"/>
        <v/>
      </c>
    </row>
    <row r="1909" spans="4:18">
      <c r="D1909" s="36">
        <v>649</v>
      </c>
      <c r="E1909" s="97">
        <v>225</v>
      </c>
      <c r="F1909" s="366">
        <f t="shared" si="255"/>
        <v>4882.5</v>
      </c>
      <c r="G1909" s="97">
        <v>6481</v>
      </c>
      <c r="H1909" s="367">
        <f t="shared" si="256"/>
        <v>11363.5</v>
      </c>
      <c r="I1909" s="368">
        <f t="shared" si="257"/>
        <v>0</v>
      </c>
      <c r="J1909" s="97">
        <v>16615</v>
      </c>
      <c r="K1909" s="367">
        <f t="shared" si="258"/>
        <v>11867.857142857143</v>
      </c>
      <c r="L1909" s="97">
        <v>0.63</v>
      </c>
      <c r="M1909" s="97">
        <v>3.9</v>
      </c>
      <c r="N1909" s="97">
        <v>30</v>
      </c>
      <c r="O1909" s="97">
        <v>7</v>
      </c>
      <c r="P1909" s="97" t="s">
        <v>515</v>
      </c>
      <c r="Q1909" s="97">
        <f t="shared" si="259"/>
        <v>649</v>
      </c>
      <c r="R1909" t="str">
        <f t="shared" si="260"/>
        <v/>
      </c>
    </row>
    <row r="1910" spans="4:18">
      <c r="D1910" s="36">
        <v>650</v>
      </c>
      <c r="E1910" s="97">
        <v>225</v>
      </c>
      <c r="F1910" s="366">
        <f t="shared" si="255"/>
        <v>4882.5</v>
      </c>
      <c r="G1910" s="97">
        <v>6673</v>
      </c>
      <c r="H1910" s="367">
        <f t="shared" si="256"/>
        <v>11555.5</v>
      </c>
      <c r="I1910" s="368">
        <f t="shared" si="257"/>
        <v>0</v>
      </c>
      <c r="J1910" s="97">
        <v>17105</v>
      </c>
      <c r="K1910" s="367">
        <f t="shared" si="258"/>
        <v>12217.857142857143</v>
      </c>
      <c r="L1910" s="97">
        <v>0.5</v>
      </c>
      <c r="M1910" s="97">
        <v>4.3999999999999995</v>
      </c>
      <c r="N1910" s="97">
        <v>30</v>
      </c>
      <c r="O1910" s="97">
        <v>8</v>
      </c>
      <c r="P1910" s="97" t="s">
        <v>515</v>
      </c>
      <c r="Q1910" s="97">
        <f t="shared" si="259"/>
        <v>650</v>
      </c>
      <c r="R1910" t="str">
        <f t="shared" si="260"/>
        <v/>
      </c>
    </row>
    <row r="1911" spans="4:18">
      <c r="D1911" s="36">
        <v>651</v>
      </c>
      <c r="E1911" s="97">
        <v>225</v>
      </c>
      <c r="F1911" s="366">
        <f t="shared" si="255"/>
        <v>4882.5</v>
      </c>
      <c r="G1911" s="97">
        <v>7695</v>
      </c>
      <c r="H1911" s="367">
        <f t="shared" si="256"/>
        <v>12577.5</v>
      </c>
      <c r="I1911" s="368">
        <f t="shared" si="257"/>
        <v>0</v>
      </c>
      <c r="J1911" s="97">
        <v>19727</v>
      </c>
      <c r="K1911" s="367">
        <f t="shared" si="258"/>
        <v>14090.714285714286</v>
      </c>
      <c r="L1911" s="97">
        <v>0.81</v>
      </c>
      <c r="M1911" s="97">
        <v>4.3999999999999995</v>
      </c>
      <c r="N1911" s="97">
        <v>31</v>
      </c>
      <c r="O1911" s="97">
        <v>8</v>
      </c>
      <c r="P1911" s="97" t="s">
        <v>556</v>
      </c>
      <c r="Q1911" s="97" t="str">
        <f t="shared" si="259"/>
        <v/>
      </c>
      <c r="R1911" t="str">
        <f t="shared" si="260"/>
        <v/>
      </c>
    </row>
    <row r="1912" spans="4:18">
      <c r="D1912" s="36">
        <v>652</v>
      </c>
      <c r="E1912" s="97">
        <v>225</v>
      </c>
      <c r="F1912" s="366">
        <f t="shared" si="255"/>
        <v>4882.5</v>
      </c>
      <c r="G1912" s="97">
        <v>6765</v>
      </c>
      <c r="H1912" s="367">
        <f t="shared" si="256"/>
        <v>11647.5</v>
      </c>
      <c r="I1912" s="368">
        <f t="shared" si="257"/>
        <v>0</v>
      </c>
      <c r="J1912" s="97">
        <v>17343</v>
      </c>
      <c r="K1912" s="367">
        <f t="shared" si="258"/>
        <v>12387.857142857143</v>
      </c>
      <c r="L1912" s="97">
        <v>0.42</v>
      </c>
      <c r="M1912" s="97">
        <v>4.8999999999999995</v>
      </c>
      <c r="N1912" s="97">
        <v>30</v>
      </c>
      <c r="O1912" s="97">
        <v>9</v>
      </c>
      <c r="P1912" s="97" t="s">
        <v>515</v>
      </c>
      <c r="Q1912" s="97" t="str">
        <f t="shared" si="259"/>
        <v/>
      </c>
      <c r="R1912" t="str">
        <f t="shared" si="260"/>
        <v/>
      </c>
    </row>
    <row r="1913" spans="4:18">
      <c r="D1913" s="36">
        <v>653</v>
      </c>
      <c r="E1913" s="97">
        <v>225</v>
      </c>
      <c r="F1913" s="366">
        <f t="shared" si="255"/>
        <v>4882.5</v>
      </c>
      <c r="G1913" s="97">
        <v>6658</v>
      </c>
      <c r="H1913" s="367">
        <f t="shared" si="256"/>
        <v>11540.5</v>
      </c>
      <c r="I1913" s="368">
        <f t="shared" si="257"/>
        <v>0</v>
      </c>
      <c r="J1913" s="97">
        <v>17069</v>
      </c>
      <c r="K1913" s="367">
        <f t="shared" si="258"/>
        <v>12192.142857142857</v>
      </c>
      <c r="L1913" s="97">
        <v>0.35000000000000003</v>
      </c>
      <c r="M1913" s="97">
        <v>5.3999999999999995</v>
      </c>
      <c r="N1913" s="97">
        <v>30</v>
      </c>
      <c r="O1913" s="97">
        <v>10</v>
      </c>
      <c r="P1913" s="97" t="s">
        <v>515</v>
      </c>
      <c r="Q1913" s="97" t="str">
        <f t="shared" si="259"/>
        <v/>
      </c>
      <c r="R1913" t="str">
        <f t="shared" si="260"/>
        <v/>
      </c>
    </row>
    <row r="1914" spans="4:18">
      <c r="D1914" s="36">
        <v>654</v>
      </c>
      <c r="E1914" s="97">
        <v>225</v>
      </c>
      <c r="F1914" s="366">
        <f t="shared" si="255"/>
        <v>4882.5</v>
      </c>
      <c r="G1914" s="97">
        <v>7785</v>
      </c>
      <c r="H1914" s="367">
        <f t="shared" si="256"/>
        <v>12667.5</v>
      </c>
      <c r="I1914" s="368">
        <f t="shared" si="257"/>
        <v>0</v>
      </c>
      <c r="J1914" s="97">
        <v>19956</v>
      </c>
      <c r="K1914" s="367">
        <f t="shared" si="258"/>
        <v>14254.285714285714</v>
      </c>
      <c r="L1914" s="97">
        <v>0.56000000000000005</v>
      </c>
      <c r="M1914" s="97">
        <v>5.3999999999999995</v>
      </c>
      <c r="N1914" s="97">
        <v>31</v>
      </c>
      <c r="O1914" s="97">
        <v>10</v>
      </c>
      <c r="P1914" s="97" t="s">
        <v>556</v>
      </c>
      <c r="Q1914" s="97" t="str">
        <f t="shared" si="259"/>
        <v/>
      </c>
      <c r="R1914" t="str">
        <f t="shared" si="260"/>
        <v/>
      </c>
    </row>
    <row r="1915" spans="4:18">
      <c r="D1915" s="36">
        <v>655</v>
      </c>
      <c r="E1915" s="97">
        <v>230</v>
      </c>
      <c r="F1915" s="366">
        <f t="shared" si="255"/>
        <v>4991</v>
      </c>
      <c r="G1915" s="97">
        <v>6350</v>
      </c>
      <c r="H1915" s="367">
        <f t="shared" si="256"/>
        <v>11341</v>
      </c>
      <c r="I1915" s="368">
        <f t="shared" si="257"/>
        <v>0</v>
      </c>
      <c r="J1915" s="97">
        <v>16277</v>
      </c>
      <c r="K1915" s="367">
        <f t="shared" si="258"/>
        <v>11626.428571428572</v>
      </c>
      <c r="L1915" s="97">
        <v>0.89</v>
      </c>
      <c r="M1915" s="97">
        <v>3.4</v>
      </c>
      <c r="N1915" s="97">
        <v>32</v>
      </c>
      <c r="O1915" s="97">
        <v>6</v>
      </c>
      <c r="P1915" s="97" t="s">
        <v>515</v>
      </c>
      <c r="Q1915" s="97" t="str">
        <f t="shared" si="259"/>
        <v/>
      </c>
      <c r="R1915" t="str">
        <f t="shared" si="260"/>
        <v/>
      </c>
    </row>
    <row r="1916" spans="4:18">
      <c r="D1916" s="36">
        <v>656</v>
      </c>
      <c r="E1916" s="97">
        <v>230</v>
      </c>
      <c r="F1916" s="366">
        <f t="shared" si="255"/>
        <v>4991</v>
      </c>
      <c r="G1916" s="97">
        <v>6578</v>
      </c>
      <c r="H1916" s="367">
        <f t="shared" si="256"/>
        <v>11569</v>
      </c>
      <c r="I1916" s="368">
        <f t="shared" si="257"/>
        <v>0</v>
      </c>
      <c r="J1916" s="97">
        <v>16864</v>
      </c>
      <c r="K1916" s="367">
        <f t="shared" si="258"/>
        <v>12045.714285714286</v>
      </c>
      <c r="L1916" s="97">
        <v>0.66</v>
      </c>
      <c r="M1916" s="97">
        <v>3.9</v>
      </c>
      <c r="N1916" s="97">
        <v>31</v>
      </c>
      <c r="O1916" s="97">
        <v>7</v>
      </c>
      <c r="P1916" s="97" t="s">
        <v>515</v>
      </c>
      <c r="Q1916" s="97">
        <f t="shared" si="259"/>
        <v>656</v>
      </c>
      <c r="R1916" t="str">
        <f t="shared" si="260"/>
        <v/>
      </c>
    </row>
    <row r="1917" spans="4:18">
      <c r="D1917" s="36">
        <v>657</v>
      </c>
      <c r="E1917" s="97">
        <v>230</v>
      </c>
      <c r="F1917" s="366">
        <f t="shared" si="255"/>
        <v>4991</v>
      </c>
      <c r="G1917" s="97">
        <v>6778</v>
      </c>
      <c r="H1917" s="367">
        <f t="shared" si="256"/>
        <v>11769</v>
      </c>
      <c r="I1917" s="368">
        <f t="shared" si="257"/>
        <v>0</v>
      </c>
      <c r="J1917" s="97">
        <v>17376</v>
      </c>
      <c r="K1917" s="367">
        <f t="shared" si="258"/>
        <v>12411.428571428572</v>
      </c>
      <c r="L1917" s="97">
        <v>0.52</v>
      </c>
      <c r="M1917" s="97">
        <v>4.3999999999999995</v>
      </c>
      <c r="N1917" s="97">
        <v>30</v>
      </c>
      <c r="O1917" s="97">
        <v>8</v>
      </c>
      <c r="P1917" s="97" t="s">
        <v>515</v>
      </c>
      <c r="Q1917" s="97">
        <f t="shared" si="259"/>
        <v>657</v>
      </c>
      <c r="R1917" t="str">
        <f t="shared" si="260"/>
        <v/>
      </c>
    </row>
    <row r="1918" spans="4:18">
      <c r="D1918" s="36">
        <v>658</v>
      </c>
      <c r="E1918" s="97">
        <v>230</v>
      </c>
      <c r="F1918" s="366">
        <f t="shared" si="255"/>
        <v>4991</v>
      </c>
      <c r="G1918" s="97">
        <v>7787</v>
      </c>
      <c r="H1918" s="367">
        <f t="shared" si="256"/>
        <v>12778</v>
      </c>
      <c r="I1918" s="368">
        <f t="shared" si="257"/>
        <v>0</v>
      </c>
      <c r="J1918" s="97">
        <v>19963</v>
      </c>
      <c r="K1918" s="367">
        <f t="shared" si="258"/>
        <v>14259.285714285714</v>
      </c>
      <c r="L1918" s="97">
        <v>0.85</v>
      </c>
      <c r="M1918" s="97">
        <v>4.3999999999999995</v>
      </c>
      <c r="N1918" s="97">
        <v>32</v>
      </c>
      <c r="O1918" s="97">
        <v>8</v>
      </c>
      <c r="P1918" s="97" t="s">
        <v>556</v>
      </c>
      <c r="Q1918" s="97" t="str">
        <f t="shared" si="259"/>
        <v/>
      </c>
      <c r="R1918" t="str">
        <f t="shared" si="260"/>
        <v/>
      </c>
    </row>
    <row r="1919" spans="4:18">
      <c r="D1919" s="36">
        <v>659</v>
      </c>
      <c r="E1919" s="97">
        <v>230</v>
      </c>
      <c r="F1919" s="366">
        <f t="shared" si="255"/>
        <v>4991</v>
      </c>
      <c r="G1919" s="97">
        <v>6872</v>
      </c>
      <c r="H1919" s="367">
        <f t="shared" si="256"/>
        <v>11863</v>
      </c>
      <c r="I1919" s="368">
        <f t="shared" si="257"/>
        <v>0</v>
      </c>
      <c r="J1919" s="97">
        <v>17616</v>
      </c>
      <c r="K1919" s="367">
        <f t="shared" si="258"/>
        <v>12582.857142857143</v>
      </c>
      <c r="L1919" s="97">
        <v>0.44</v>
      </c>
      <c r="M1919" s="97">
        <v>4.8999999999999995</v>
      </c>
      <c r="N1919" s="97">
        <v>31</v>
      </c>
      <c r="O1919" s="97">
        <v>9</v>
      </c>
      <c r="P1919" s="97" t="s">
        <v>515</v>
      </c>
      <c r="Q1919" s="97" t="str">
        <f t="shared" si="259"/>
        <v/>
      </c>
      <c r="R1919" t="str">
        <f t="shared" si="260"/>
        <v/>
      </c>
    </row>
    <row r="1920" spans="4:18">
      <c r="D1920" s="36">
        <v>660</v>
      </c>
      <c r="E1920" s="97">
        <v>230</v>
      </c>
      <c r="F1920" s="366">
        <f t="shared" si="255"/>
        <v>4991</v>
      </c>
      <c r="G1920" s="97">
        <v>6840</v>
      </c>
      <c r="H1920" s="367">
        <f t="shared" si="256"/>
        <v>11831</v>
      </c>
      <c r="I1920" s="368">
        <f t="shared" si="257"/>
        <v>0</v>
      </c>
      <c r="J1920" s="97">
        <v>17534</v>
      </c>
      <c r="K1920" s="367">
        <f t="shared" si="258"/>
        <v>12524.285714285714</v>
      </c>
      <c r="L1920" s="97">
        <v>0.36</v>
      </c>
      <c r="M1920" s="97">
        <v>5.3999999999999995</v>
      </c>
      <c r="N1920" s="97">
        <v>30</v>
      </c>
      <c r="O1920" s="97">
        <v>10</v>
      </c>
      <c r="P1920" s="97" t="s">
        <v>515</v>
      </c>
      <c r="Q1920" s="97" t="str">
        <f t="shared" si="259"/>
        <v/>
      </c>
      <c r="R1920" t="str">
        <f t="shared" si="260"/>
        <v/>
      </c>
    </row>
    <row r="1921" spans="4:18">
      <c r="D1921" s="36">
        <v>661</v>
      </c>
      <c r="E1921" s="97">
        <v>230</v>
      </c>
      <c r="F1921" s="366">
        <f t="shared" si="255"/>
        <v>4991</v>
      </c>
      <c r="G1921" s="97">
        <v>7901</v>
      </c>
      <c r="H1921" s="367">
        <f t="shared" si="256"/>
        <v>12892</v>
      </c>
      <c r="I1921" s="368">
        <f t="shared" si="257"/>
        <v>0</v>
      </c>
      <c r="J1921" s="97">
        <v>20254</v>
      </c>
      <c r="K1921" s="367">
        <f t="shared" si="258"/>
        <v>14467.142857142857</v>
      </c>
      <c r="L1921" s="97">
        <v>0.59</v>
      </c>
      <c r="M1921" s="97">
        <v>5.3999999999999995</v>
      </c>
      <c r="N1921" s="97">
        <v>31</v>
      </c>
      <c r="O1921" s="97">
        <v>10</v>
      </c>
      <c r="P1921" s="97" t="s">
        <v>556</v>
      </c>
      <c r="Q1921" s="97" t="str">
        <f t="shared" si="259"/>
        <v/>
      </c>
      <c r="R1921" t="str">
        <f t="shared" si="260"/>
        <v/>
      </c>
    </row>
    <row r="1922" spans="4:18">
      <c r="D1922" s="36">
        <v>662</v>
      </c>
      <c r="E1922" s="97">
        <v>235</v>
      </c>
      <c r="F1922" s="366">
        <f t="shared" si="255"/>
        <v>5099.5</v>
      </c>
      <c r="G1922" s="97">
        <v>6442</v>
      </c>
      <c r="H1922" s="367">
        <f t="shared" si="256"/>
        <v>11541.5</v>
      </c>
      <c r="I1922" s="368">
        <f t="shared" si="257"/>
        <v>0</v>
      </c>
      <c r="J1922" s="97">
        <v>16514</v>
      </c>
      <c r="K1922" s="367">
        <f t="shared" si="258"/>
        <v>11795.714285714286</v>
      </c>
      <c r="L1922" s="97">
        <v>0.92</v>
      </c>
      <c r="M1922" s="97">
        <v>3.4</v>
      </c>
      <c r="N1922" s="97">
        <v>33</v>
      </c>
      <c r="O1922" s="97">
        <v>6</v>
      </c>
      <c r="P1922" s="97" t="s">
        <v>515</v>
      </c>
      <c r="Q1922" s="97" t="str">
        <f t="shared" si="259"/>
        <v/>
      </c>
      <c r="R1922" t="str">
        <f t="shared" si="260"/>
        <v/>
      </c>
    </row>
    <row r="1923" spans="4:18">
      <c r="D1923" s="36">
        <v>663</v>
      </c>
      <c r="E1923" s="97">
        <v>235</v>
      </c>
      <c r="F1923" s="366">
        <f t="shared" si="255"/>
        <v>5099.5</v>
      </c>
      <c r="G1923" s="97">
        <v>6673</v>
      </c>
      <c r="H1923" s="367">
        <f t="shared" si="256"/>
        <v>11772.5</v>
      </c>
      <c r="I1923" s="368">
        <f t="shared" si="257"/>
        <v>0</v>
      </c>
      <c r="J1923" s="97">
        <v>17105</v>
      </c>
      <c r="K1923" s="367">
        <f t="shared" si="258"/>
        <v>12217.857142857143</v>
      </c>
      <c r="L1923" s="97">
        <v>0.69000000000000006</v>
      </c>
      <c r="M1923" s="97">
        <v>3.9</v>
      </c>
      <c r="N1923" s="97">
        <v>31</v>
      </c>
      <c r="O1923" s="97">
        <v>7</v>
      </c>
      <c r="P1923" s="97" t="s">
        <v>515</v>
      </c>
      <c r="Q1923" s="97">
        <f t="shared" si="259"/>
        <v>663</v>
      </c>
      <c r="R1923" t="str">
        <f t="shared" si="260"/>
        <v/>
      </c>
    </row>
    <row r="1924" spans="4:18">
      <c r="D1924" s="36">
        <v>664</v>
      </c>
      <c r="E1924" s="97">
        <v>235</v>
      </c>
      <c r="F1924" s="366">
        <f t="shared" si="255"/>
        <v>5099.5</v>
      </c>
      <c r="G1924" s="97">
        <v>6884</v>
      </c>
      <c r="H1924" s="367">
        <f t="shared" si="256"/>
        <v>11983.5</v>
      </c>
      <c r="I1924" s="368">
        <f t="shared" si="257"/>
        <v>0</v>
      </c>
      <c r="J1924" s="97">
        <v>17647</v>
      </c>
      <c r="K1924" s="367">
        <f t="shared" si="258"/>
        <v>12605</v>
      </c>
      <c r="L1924" s="97">
        <v>0.54</v>
      </c>
      <c r="M1924" s="97">
        <v>4.3999999999999995</v>
      </c>
      <c r="N1924" s="97">
        <v>31</v>
      </c>
      <c r="O1924" s="97">
        <v>8</v>
      </c>
      <c r="P1924" s="97" t="s">
        <v>515</v>
      </c>
      <c r="Q1924" s="97">
        <f t="shared" si="259"/>
        <v>664</v>
      </c>
      <c r="R1924" t="str">
        <f t="shared" si="260"/>
        <v/>
      </c>
    </row>
    <row r="1925" spans="4:18">
      <c r="D1925" s="36">
        <v>665</v>
      </c>
      <c r="E1925" s="97">
        <v>235</v>
      </c>
      <c r="F1925" s="366">
        <f t="shared" si="255"/>
        <v>5099.5</v>
      </c>
      <c r="G1925" s="97">
        <v>7879</v>
      </c>
      <c r="H1925" s="367">
        <f t="shared" si="256"/>
        <v>12978.5</v>
      </c>
      <c r="I1925" s="368">
        <f t="shared" si="257"/>
        <v>0</v>
      </c>
      <c r="J1925" s="97">
        <v>20198</v>
      </c>
      <c r="K1925" s="367">
        <f t="shared" si="258"/>
        <v>14427.142857142857</v>
      </c>
      <c r="L1925" s="97">
        <v>0.89</v>
      </c>
      <c r="M1925" s="97">
        <v>4.3999999999999995</v>
      </c>
      <c r="N1925" s="97">
        <v>32</v>
      </c>
      <c r="O1925" s="97">
        <v>8</v>
      </c>
      <c r="P1925" s="97" t="s">
        <v>556</v>
      </c>
      <c r="Q1925" s="97" t="str">
        <f t="shared" si="259"/>
        <v/>
      </c>
      <c r="R1925" t="str">
        <f t="shared" si="260"/>
        <v/>
      </c>
    </row>
    <row r="1926" spans="4:18">
      <c r="D1926" s="36">
        <v>666</v>
      </c>
      <c r="E1926" s="97">
        <v>235</v>
      </c>
      <c r="F1926" s="366">
        <f t="shared" si="255"/>
        <v>5099.5</v>
      </c>
      <c r="G1926" s="97">
        <v>6978</v>
      </c>
      <c r="H1926" s="367">
        <f t="shared" si="256"/>
        <v>12077.5</v>
      </c>
      <c r="I1926" s="368">
        <f t="shared" si="257"/>
        <v>0</v>
      </c>
      <c r="J1926" s="97">
        <v>17889</v>
      </c>
      <c r="K1926" s="367">
        <f t="shared" si="258"/>
        <v>12777.857142857143</v>
      </c>
      <c r="L1926" s="97">
        <v>0.46</v>
      </c>
      <c r="M1926" s="97">
        <v>4.8999999999999995</v>
      </c>
      <c r="N1926" s="97">
        <v>31</v>
      </c>
      <c r="O1926" s="97">
        <v>9</v>
      </c>
      <c r="P1926" s="97" t="s">
        <v>515</v>
      </c>
      <c r="Q1926" s="97" t="str">
        <f t="shared" si="259"/>
        <v/>
      </c>
      <c r="R1926" t="str">
        <f t="shared" si="260"/>
        <v/>
      </c>
    </row>
    <row r="1927" spans="4:18">
      <c r="D1927" s="36">
        <v>667</v>
      </c>
      <c r="E1927" s="97">
        <v>235</v>
      </c>
      <c r="F1927" s="366">
        <f t="shared" si="255"/>
        <v>5099.5</v>
      </c>
      <c r="G1927" s="97">
        <v>7022</v>
      </c>
      <c r="H1927" s="367">
        <f t="shared" si="256"/>
        <v>12121.5</v>
      </c>
      <c r="I1927" s="368">
        <f t="shared" si="257"/>
        <v>0</v>
      </c>
      <c r="J1927" s="97">
        <v>18000</v>
      </c>
      <c r="K1927" s="367">
        <f t="shared" si="258"/>
        <v>12857.142857142857</v>
      </c>
      <c r="L1927" s="97">
        <v>0.38</v>
      </c>
      <c r="M1927" s="97">
        <v>5.3999999999999995</v>
      </c>
      <c r="N1927" s="97">
        <v>31</v>
      </c>
      <c r="O1927" s="97">
        <v>10</v>
      </c>
      <c r="P1927" s="97" t="s">
        <v>515</v>
      </c>
      <c r="Q1927" s="97" t="str">
        <f t="shared" si="259"/>
        <v/>
      </c>
      <c r="R1927" t="str">
        <f t="shared" si="260"/>
        <v/>
      </c>
    </row>
    <row r="1928" spans="4:18">
      <c r="D1928" s="36">
        <v>668</v>
      </c>
      <c r="E1928" s="97">
        <v>235</v>
      </c>
      <c r="F1928" s="366">
        <f t="shared" si="255"/>
        <v>5099.5</v>
      </c>
      <c r="G1928" s="97">
        <v>8017</v>
      </c>
      <c r="H1928" s="367">
        <f t="shared" si="256"/>
        <v>13116.5</v>
      </c>
      <c r="I1928" s="368">
        <f t="shared" si="257"/>
        <v>0</v>
      </c>
      <c r="J1928" s="97">
        <v>20552</v>
      </c>
      <c r="K1928" s="367">
        <f t="shared" si="258"/>
        <v>14680</v>
      </c>
      <c r="L1928" s="97">
        <v>0.61</v>
      </c>
      <c r="M1928" s="97">
        <v>5.3999999999999995</v>
      </c>
      <c r="N1928" s="97">
        <v>32</v>
      </c>
      <c r="O1928" s="97">
        <v>10</v>
      </c>
      <c r="P1928" s="97" t="s">
        <v>556</v>
      </c>
      <c r="Q1928" s="97" t="str">
        <f t="shared" si="259"/>
        <v/>
      </c>
      <c r="R1928" t="str">
        <f t="shared" si="260"/>
        <v/>
      </c>
    </row>
    <row r="1929" spans="4:18">
      <c r="D1929" s="36">
        <v>669</v>
      </c>
      <c r="E1929" s="97">
        <v>240</v>
      </c>
      <c r="F1929" s="366">
        <f t="shared" si="255"/>
        <v>5208</v>
      </c>
      <c r="G1929" s="97">
        <v>6535</v>
      </c>
      <c r="H1929" s="367">
        <f t="shared" si="256"/>
        <v>11743</v>
      </c>
      <c r="I1929" s="368">
        <f t="shared" si="257"/>
        <v>0</v>
      </c>
      <c r="J1929" s="97">
        <v>16752</v>
      </c>
      <c r="K1929" s="367">
        <f t="shared" si="258"/>
        <v>11965.714285714286</v>
      </c>
      <c r="L1929" s="97">
        <v>0.96</v>
      </c>
      <c r="M1929" s="97">
        <v>3.4</v>
      </c>
      <c r="N1929" s="97">
        <v>33</v>
      </c>
      <c r="O1929" s="97">
        <v>6</v>
      </c>
      <c r="P1929" s="97" t="s">
        <v>515</v>
      </c>
      <c r="Q1929" s="97" t="str">
        <f t="shared" si="259"/>
        <v/>
      </c>
      <c r="R1929" t="str">
        <f t="shared" si="260"/>
        <v/>
      </c>
    </row>
    <row r="1930" spans="4:18">
      <c r="D1930" s="36">
        <v>670</v>
      </c>
      <c r="E1930" s="97">
        <v>240</v>
      </c>
      <c r="F1930" s="366">
        <f t="shared" si="255"/>
        <v>5208</v>
      </c>
      <c r="G1930" s="97">
        <v>6767</v>
      </c>
      <c r="H1930" s="367">
        <f t="shared" si="256"/>
        <v>11975</v>
      </c>
      <c r="I1930" s="368">
        <f t="shared" si="257"/>
        <v>0</v>
      </c>
      <c r="J1930" s="97">
        <v>17347</v>
      </c>
      <c r="K1930" s="367">
        <f t="shared" si="258"/>
        <v>12390.714285714286</v>
      </c>
      <c r="L1930" s="97">
        <v>0.72</v>
      </c>
      <c r="M1930" s="97">
        <v>3.9</v>
      </c>
      <c r="N1930" s="97">
        <v>32</v>
      </c>
      <c r="O1930" s="97">
        <v>7</v>
      </c>
      <c r="P1930" s="97" t="s">
        <v>515</v>
      </c>
      <c r="Q1930" s="97" t="str">
        <f t="shared" si="259"/>
        <v/>
      </c>
      <c r="R1930" t="str">
        <f t="shared" si="260"/>
        <v/>
      </c>
    </row>
    <row r="1931" spans="4:18">
      <c r="D1931" s="36">
        <v>671</v>
      </c>
      <c r="E1931" s="97">
        <v>240</v>
      </c>
      <c r="F1931" s="366">
        <f t="shared" si="255"/>
        <v>5208</v>
      </c>
      <c r="G1931" s="97">
        <v>6986</v>
      </c>
      <c r="H1931" s="367">
        <f t="shared" si="256"/>
        <v>12194</v>
      </c>
      <c r="I1931" s="368">
        <f t="shared" si="257"/>
        <v>0</v>
      </c>
      <c r="J1931" s="97">
        <v>17908</v>
      </c>
      <c r="K1931" s="367">
        <f t="shared" si="258"/>
        <v>12791.428571428572</v>
      </c>
      <c r="L1931" s="97">
        <v>0.56000000000000005</v>
      </c>
      <c r="M1931" s="97">
        <v>4.3999999999999995</v>
      </c>
      <c r="N1931" s="97">
        <v>31</v>
      </c>
      <c r="O1931" s="97">
        <v>8</v>
      </c>
      <c r="P1931" s="97" t="s">
        <v>515</v>
      </c>
      <c r="Q1931" s="97">
        <f t="shared" si="259"/>
        <v>671</v>
      </c>
      <c r="R1931" t="str">
        <f t="shared" si="260"/>
        <v/>
      </c>
    </row>
    <row r="1932" spans="4:18">
      <c r="D1932" s="36">
        <v>672</v>
      </c>
      <c r="E1932" s="97">
        <v>240</v>
      </c>
      <c r="F1932" s="366">
        <f t="shared" si="255"/>
        <v>5208</v>
      </c>
      <c r="G1932" s="97">
        <v>7971</v>
      </c>
      <c r="H1932" s="367">
        <f t="shared" si="256"/>
        <v>13179</v>
      </c>
      <c r="I1932" s="368">
        <f t="shared" si="257"/>
        <v>0</v>
      </c>
      <c r="J1932" s="97">
        <v>20434</v>
      </c>
      <c r="K1932" s="367">
        <f t="shared" si="258"/>
        <v>14595.714285714286</v>
      </c>
      <c r="L1932" s="97">
        <v>0.92</v>
      </c>
      <c r="M1932" s="97">
        <v>4.3999999999999995</v>
      </c>
      <c r="N1932" s="97">
        <v>32</v>
      </c>
      <c r="O1932" s="97">
        <v>8</v>
      </c>
      <c r="P1932" s="97" t="s">
        <v>556</v>
      </c>
      <c r="Q1932" s="97" t="str">
        <f t="shared" si="259"/>
        <v/>
      </c>
      <c r="R1932" t="str">
        <f t="shared" si="260"/>
        <v/>
      </c>
    </row>
    <row r="1933" spans="4:18">
      <c r="D1933" s="36">
        <v>673</v>
      </c>
      <c r="E1933" s="97">
        <v>240</v>
      </c>
      <c r="F1933" s="366">
        <f t="shared" si="255"/>
        <v>5208</v>
      </c>
      <c r="G1933" s="97">
        <v>7085</v>
      </c>
      <c r="H1933" s="367">
        <f t="shared" si="256"/>
        <v>12293</v>
      </c>
      <c r="I1933" s="368">
        <f t="shared" si="257"/>
        <v>0</v>
      </c>
      <c r="J1933" s="97">
        <v>18162</v>
      </c>
      <c r="K1933" s="367">
        <f t="shared" si="258"/>
        <v>12972.857142857143</v>
      </c>
      <c r="L1933" s="97">
        <v>0.48</v>
      </c>
      <c r="M1933" s="97">
        <v>4.8999999999999995</v>
      </c>
      <c r="N1933" s="97">
        <v>32</v>
      </c>
      <c r="O1933" s="97">
        <v>9</v>
      </c>
      <c r="P1933" s="97" t="s">
        <v>515</v>
      </c>
      <c r="Q1933" s="97" t="str">
        <f t="shared" si="259"/>
        <v/>
      </c>
      <c r="R1933" t="str">
        <f t="shared" si="260"/>
        <v/>
      </c>
    </row>
    <row r="1934" spans="4:18">
      <c r="D1934" s="36">
        <v>674</v>
      </c>
      <c r="E1934" s="97">
        <v>240</v>
      </c>
      <c r="F1934" s="366">
        <f t="shared" si="255"/>
        <v>5208</v>
      </c>
      <c r="G1934" s="97">
        <v>7165</v>
      </c>
      <c r="H1934" s="367">
        <f t="shared" si="256"/>
        <v>12373</v>
      </c>
      <c r="I1934" s="368">
        <f t="shared" si="257"/>
        <v>0</v>
      </c>
      <c r="J1934" s="97">
        <v>18367</v>
      </c>
      <c r="K1934" s="367">
        <f t="shared" si="258"/>
        <v>13119.285714285714</v>
      </c>
      <c r="L1934" s="97">
        <v>0.4</v>
      </c>
      <c r="M1934" s="97">
        <v>5.3999999999999995</v>
      </c>
      <c r="N1934" s="97">
        <v>31</v>
      </c>
      <c r="O1934" s="97">
        <v>10</v>
      </c>
      <c r="P1934" s="97" t="s">
        <v>515</v>
      </c>
      <c r="Q1934" s="97" t="str">
        <f t="shared" si="259"/>
        <v/>
      </c>
      <c r="R1934" t="str">
        <f t="shared" si="260"/>
        <v/>
      </c>
    </row>
    <row r="1935" spans="4:18">
      <c r="D1935" s="36">
        <v>675</v>
      </c>
      <c r="E1935" s="97">
        <v>240</v>
      </c>
      <c r="F1935" s="366">
        <f t="shared" si="255"/>
        <v>5208</v>
      </c>
      <c r="G1935" s="97">
        <v>8125</v>
      </c>
      <c r="H1935" s="367">
        <f t="shared" si="256"/>
        <v>13333</v>
      </c>
      <c r="I1935" s="368">
        <f t="shared" si="257"/>
        <v>0</v>
      </c>
      <c r="J1935" s="97">
        <v>20828</v>
      </c>
      <c r="K1935" s="367">
        <f t="shared" si="258"/>
        <v>14877.142857142857</v>
      </c>
      <c r="L1935" s="97">
        <v>0.64</v>
      </c>
      <c r="M1935" s="97">
        <v>5.3999999999999995</v>
      </c>
      <c r="N1935" s="97">
        <v>32</v>
      </c>
      <c r="O1935" s="97">
        <v>10</v>
      </c>
      <c r="P1935" s="97" t="s">
        <v>556</v>
      </c>
      <c r="Q1935" s="97" t="str">
        <f t="shared" si="259"/>
        <v/>
      </c>
      <c r="R1935" t="str">
        <f t="shared" si="260"/>
        <v/>
      </c>
    </row>
    <row r="1936" spans="4:18">
      <c r="D1936" s="36">
        <v>676</v>
      </c>
      <c r="E1936" s="97">
        <v>245</v>
      </c>
      <c r="F1936" s="366">
        <f t="shared" si="255"/>
        <v>5316.5</v>
      </c>
      <c r="G1936" s="97">
        <v>6627</v>
      </c>
      <c r="H1936" s="367">
        <f t="shared" si="256"/>
        <v>11943.5</v>
      </c>
      <c r="I1936" s="368">
        <f t="shared" si="257"/>
        <v>0</v>
      </c>
      <c r="J1936" s="97">
        <v>16989</v>
      </c>
      <c r="K1936" s="367">
        <f t="shared" si="258"/>
        <v>12135</v>
      </c>
      <c r="L1936" s="97">
        <v>1</v>
      </c>
      <c r="M1936" s="97">
        <v>3.4</v>
      </c>
      <c r="N1936" s="97">
        <v>33</v>
      </c>
      <c r="O1936" s="97">
        <v>6</v>
      </c>
      <c r="P1936" s="97" t="s">
        <v>515</v>
      </c>
      <c r="Q1936" s="97" t="str">
        <f t="shared" si="259"/>
        <v/>
      </c>
      <c r="R1936" t="str">
        <f t="shared" si="260"/>
        <v/>
      </c>
    </row>
    <row r="1937" spans="4:18">
      <c r="D1937" s="36">
        <v>677</v>
      </c>
      <c r="E1937" s="97">
        <v>245</v>
      </c>
      <c r="F1937" s="366">
        <f t="shared" si="255"/>
        <v>5316.5</v>
      </c>
      <c r="G1937" s="97">
        <v>6861</v>
      </c>
      <c r="H1937" s="367">
        <f t="shared" si="256"/>
        <v>12177.5</v>
      </c>
      <c r="I1937" s="368">
        <f t="shared" si="257"/>
        <v>0</v>
      </c>
      <c r="J1937" s="97">
        <v>17589</v>
      </c>
      <c r="K1937" s="367">
        <f t="shared" si="258"/>
        <v>12563.571428571429</v>
      </c>
      <c r="L1937" s="97">
        <v>0.75</v>
      </c>
      <c r="M1937" s="97">
        <v>3.9</v>
      </c>
      <c r="N1937" s="97">
        <v>32</v>
      </c>
      <c r="O1937" s="97">
        <v>7</v>
      </c>
      <c r="P1937" s="97" t="s">
        <v>515</v>
      </c>
      <c r="Q1937" s="97" t="str">
        <f t="shared" si="259"/>
        <v/>
      </c>
      <c r="R1937" t="str">
        <f t="shared" si="260"/>
        <v/>
      </c>
    </row>
    <row r="1938" spans="4:18">
      <c r="D1938" s="36">
        <v>678</v>
      </c>
      <c r="E1938" s="97">
        <v>245</v>
      </c>
      <c r="F1938" s="366">
        <f t="shared" si="255"/>
        <v>5316.5</v>
      </c>
      <c r="G1938" s="97">
        <v>7084</v>
      </c>
      <c r="H1938" s="367">
        <f t="shared" si="256"/>
        <v>12400.5</v>
      </c>
      <c r="I1938" s="368">
        <f t="shared" si="257"/>
        <v>0</v>
      </c>
      <c r="J1938" s="97">
        <v>18159</v>
      </c>
      <c r="K1938" s="367">
        <f t="shared" si="258"/>
        <v>12970.714285714286</v>
      </c>
      <c r="L1938" s="97">
        <v>0.59</v>
      </c>
      <c r="M1938" s="97">
        <v>4.3999999999999995</v>
      </c>
      <c r="N1938" s="97">
        <v>32</v>
      </c>
      <c r="O1938" s="97">
        <v>8</v>
      </c>
      <c r="P1938" s="97" t="s">
        <v>515</v>
      </c>
      <c r="Q1938" s="97">
        <f t="shared" si="259"/>
        <v>678</v>
      </c>
      <c r="R1938" t="str">
        <f t="shared" si="260"/>
        <v/>
      </c>
    </row>
    <row r="1939" spans="4:18">
      <c r="D1939" s="36">
        <v>679</v>
      </c>
      <c r="E1939" s="97">
        <v>245</v>
      </c>
      <c r="F1939" s="366">
        <f t="shared" si="255"/>
        <v>5316.5</v>
      </c>
      <c r="G1939" s="97">
        <v>8062</v>
      </c>
      <c r="H1939" s="367">
        <f t="shared" si="256"/>
        <v>13378.5</v>
      </c>
      <c r="I1939" s="368">
        <f t="shared" si="257"/>
        <v>0</v>
      </c>
      <c r="J1939" s="97">
        <v>20667</v>
      </c>
      <c r="K1939" s="367">
        <f t="shared" si="258"/>
        <v>14762.142857142857</v>
      </c>
      <c r="L1939" s="97">
        <v>0.96</v>
      </c>
      <c r="M1939" s="97">
        <v>4.3999999999999995</v>
      </c>
      <c r="N1939" s="97">
        <v>32</v>
      </c>
      <c r="O1939" s="97">
        <v>8</v>
      </c>
      <c r="P1939" s="97" t="s">
        <v>556</v>
      </c>
      <c r="Q1939" s="97" t="str">
        <f t="shared" si="259"/>
        <v/>
      </c>
      <c r="R1939" t="str">
        <f t="shared" si="260"/>
        <v/>
      </c>
    </row>
    <row r="1940" spans="4:18">
      <c r="D1940" s="36">
        <v>680</v>
      </c>
      <c r="E1940" s="97">
        <v>245</v>
      </c>
      <c r="F1940" s="366">
        <f t="shared" si="255"/>
        <v>5316.5</v>
      </c>
      <c r="G1940" s="97">
        <v>7186</v>
      </c>
      <c r="H1940" s="367">
        <f t="shared" si="256"/>
        <v>12502.5</v>
      </c>
      <c r="I1940" s="368">
        <f t="shared" si="257"/>
        <v>0</v>
      </c>
      <c r="J1940" s="97">
        <v>18420</v>
      </c>
      <c r="K1940" s="367">
        <f t="shared" si="258"/>
        <v>13157.142857142857</v>
      </c>
      <c r="L1940" s="97">
        <v>0.5</v>
      </c>
      <c r="M1940" s="97">
        <v>4.8999999999999995</v>
      </c>
      <c r="N1940" s="97">
        <v>32</v>
      </c>
      <c r="O1940" s="97">
        <v>9</v>
      </c>
      <c r="P1940" s="97" t="s">
        <v>515</v>
      </c>
      <c r="Q1940" s="97" t="str">
        <f t="shared" si="259"/>
        <v/>
      </c>
      <c r="R1940" t="str">
        <f t="shared" si="260"/>
        <v/>
      </c>
    </row>
    <row r="1941" spans="4:18">
      <c r="D1941" s="36">
        <v>681</v>
      </c>
      <c r="E1941" s="97">
        <v>245</v>
      </c>
      <c r="F1941" s="366">
        <f t="shared" si="255"/>
        <v>5316.5</v>
      </c>
      <c r="G1941" s="97">
        <v>7266</v>
      </c>
      <c r="H1941" s="367">
        <f t="shared" si="256"/>
        <v>12582.5</v>
      </c>
      <c r="I1941" s="368">
        <f t="shared" si="257"/>
        <v>0</v>
      </c>
      <c r="J1941" s="97">
        <v>18626</v>
      </c>
      <c r="K1941" s="367">
        <f t="shared" si="258"/>
        <v>13304.285714285714</v>
      </c>
      <c r="L1941" s="97">
        <v>0.41000000000000003</v>
      </c>
      <c r="M1941" s="97">
        <v>5.3999999999999995</v>
      </c>
      <c r="N1941" s="97">
        <v>32</v>
      </c>
      <c r="O1941" s="97">
        <v>10</v>
      </c>
      <c r="P1941" s="97" t="s">
        <v>515</v>
      </c>
      <c r="Q1941" s="97" t="str">
        <f t="shared" si="259"/>
        <v/>
      </c>
      <c r="R1941" t="str">
        <f t="shared" si="260"/>
        <v/>
      </c>
    </row>
    <row r="1942" spans="4:18">
      <c r="D1942" s="36">
        <v>682</v>
      </c>
      <c r="E1942" s="97">
        <v>245</v>
      </c>
      <c r="F1942" s="366">
        <f t="shared" si="255"/>
        <v>5316.5</v>
      </c>
      <c r="G1942" s="97">
        <v>8233</v>
      </c>
      <c r="H1942" s="367">
        <f t="shared" si="256"/>
        <v>13549.5</v>
      </c>
      <c r="I1942" s="368">
        <f t="shared" si="257"/>
        <v>0</v>
      </c>
      <c r="J1942" s="97">
        <v>21104</v>
      </c>
      <c r="K1942" s="367">
        <f t="shared" si="258"/>
        <v>15074.285714285714</v>
      </c>
      <c r="L1942" s="97">
        <v>0.66</v>
      </c>
      <c r="M1942" s="97">
        <v>5.3999999999999995</v>
      </c>
      <c r="N1942" s="97">
        <v>32</v>
      </c>
      <c r="O1942" s="97">
        <v>10</v>
      </c>
      <c r="P1942" s="97" t="s">
        <v>556</v>
      </c>
      <c r="Q1942" s="97" t="str">
        <f t="shared" si="259"/>
        <v/>
      </c>
      <c r="R1942" t="str">
        <f t="shared" si="260"/>
        <v/>
      </c>
    </row>
    <row r="1943" spans="4:18">
      <c r="D1943" s="36">
        <v>683</v>
      </c>
      <c r="E1943" s="97">
        <v>250</v>
      </c>
      <c r="F1943" s="366">
        <f t="shared" si="255"/>
        <v>5425</v>
      </c>
      <c r="G1943" s="97">
        <v>6955</v>
      </c>
      <c r="H1943" s="367">
        <f t="shared" si="256"/>
        <v>12380</v>
      </c>
      <c r="I1943" s="368">
        <f t="shared" si="257"/>
        <v>0</v>
      </c>
      <c r="J1943" s="97">
        <v>17828</v>
      </c>
      <c r="K1943" s="367">
        <f t="shared" si="258"/>
        <v>12734.285714285714</v>
      </c>
      <c r="L1943" s="97">
        <v>0.78</v>
      </c>
      <c r="M1943" s="97">
        <v>3.9</v>
      </c>
      <c r="N1943" s="97">
        <v>33</v>
      </c>
      <c r="O1943" s="97">
        <v>7</v>
      </c>
      <c r="P1943" s="97" t="s">
        <v>515</v>
      </c>
      <c r="Q1943" s="97" t="str">
        <f t="shared" si="259"/>
        <v/>
      </c>
      <c r="R1943" t="str">
        <f t="shared" si="260"/>
        <v/>
      </c>
    </row>
    <row r="1944" spans="4:18">
      <c r="D1944" s="36">
        <v>684</v>
      </c>
      <c r="E1944" s="97">
        <v>250</v>
      </c>
      <c r="F1944" s="366">
        <f t="shared" si="255"/>
        <v>5425</v>
      </c>
      <c r="G1944" s="97">
        <v>7182</v>
      </c>
      <c r="H1944" s="367">
        <f t="shared" si="256"/>
        <v>12607</v>
      </c>
      <c r="I1944" s="368">
        <f t="shared" si="257"/>
        <v>0</v>
      </c>
      <c r="J1944" s="97">
        <v>18411</v>
      </c>
      <c r="K1944" s="367">
        <f t="shared" si="258"/>
        <v>13150.714285714286</v>
      </c>
      <c r="L1944" s="97">
        <v>0.61</v>
      </c>
      <c r="M1944" s="97">
        <v>4.3999999999999995</v>
      </c>
      <c r="N1944" s="97">
        <v>32</v>
      </c>
      <c r="O1944" s="97">
        <v>8</v>
      </c>
      <c r="P1944" s="97" t="s">
        <v>515</v>
      </c>
      <c r="Q1944" s="97">
        <f t="shared" si="259"/>
        <v>684</v>
      </c>
      <c r="R1944" t="str">
        <f t="shared" si="260"/>
        <v/>
      </c>
    </row>
    <row r="1945" spans="4:18">
      <c r="D1945" s="36">
        <v>685</v>
      </c>
      <c r="E1945" s="97">
        <v>250</v>
      </c>
      <c r="F1945" s="366">
        <f t="shared" si="255"/>
        <v>5425</v>
      </c>
      <c r="G1945" s="97">
        <v>8147</v>
      </c>
      <c r="H1945" s="367">
        <f t="shared" si="256"/>
        <v>13572</v>
      </c>
      <c r="I1945" s="368">
        <f t="shared" si="257"/>
        <v>0</v>
      </c>
      <c r="J1945" s="97">
        <v>20886</v>
      </c>
      <c r="K1945" s="367">
        <f t="shared" si="258"/>
        <v>14918.571428571429</v>
      </c>
      <c r="L1945" s="97">
        <v>1</v>
      </c>
      <c r="M1945" s="97">
        <v>4.3999999999999995</v>
      </c>
      <c r="N1945" s="97">
        <v>33</v>
      </c>
      <c r="O1945" s="97">
        <v>8</v>
      </c>
      <c r="P1945" s="97" t="s">
        <v>556</v>
      </c>
      <c r="Q1945" s="97" t="str">
        <f t="shared" si="259"/>
        <v/>
      </c>
      <c r="R1945" t="str">
        <f t="shared" si="260"/>
        <v/>
      </c>
    </row>
    <row r="1946" spans="4:18">
      <c r="D1946" s="36">
        <v>686</v>
      </c>
      <c r="E1946" s="97">
        <v>250</v>
      </c>
      <c r="F1946" s="366">
        <f t="shared" si="255"/>
        <v>5425</v>
      </c>
      <c r="G1946" s="97">
        <v>7285</v>
      </c>
      <c r="H1946" s="367">
        <f t="shared" si="256"/>
        <v>12710</v>
      </c>
      <c r="I1946" s="368">
        <f t="shared" si="257"/>
        <v>0</v>
      </c>
      <c r="J1946" s="97">
        <v>18676</v>
      </c>
      <c r="K1946" s="367">
        <f t="shared" si="258"/>
        <v>13340</v>
      </c>
      <c r="L1946" s="97">
        <v>0.52</v>
      </c>
      <c r="M1946" s="97">
        <v>4.8999999999999995</v>
      </c>
      <c r="N1946" s="97">
        <v>33</v>
      </c>
      <c r="O1946" s="97">
        <v>9</v>
      </c>
      <c r="P1946" s="97" t="s">
        <v>515</v>
      </c>
      <c r="Q1946" s="97" t="str">
        <f t="shared" si="259"/>
        <v/>
      </c>
      <c r="R1946" t="str">
        <f t="shared" si="260"/>
        <v/>
      </c>
    </row>
    <row r="1947" spans="4:18">
      <c r="D1947" s="36">
        <v>687</v>
      </c>
      <c r="E1947" s="97">
        <v>250</v>
      </c>
      <c r="F1947" s="366">
        <f t="shared" si="255"/>
        <v>5425</v>
      </c>
      <c r="G1947" s="97">
        <v>7367</v>
      </c>
      <c r="H1947" s="367">
        <f t="shared" si="256"/>
        <v>12792</v>
      </c>
      <c r="I1947" s="368">
        <f t="shared" si="257"/>
        <v>0</v>
      </c>
      <c r="J1947" s="97">
        <v>18886</v>
      </c>
      <c r="K1947" s="367">
        <f t="shared" si="258"/>
        <v>13490</v>
      </c>
      <c r="L1947" s="97">
        <v>0.43</v>
      </c>
      <c r="M1947" s="97">
        <v>5.3999999999999995</v>
      </c>
      <c r="N1947" s="97">
        <v>32</v>
      </c>
      <c r="O1947" s="97">
        <v>10</v>
      </c>
      <c r="P1947" s="97" t="s">
        <v>515</v>
      </c>
      <c r="Q1947" s="97" t="str">
        <f t="shared" si="259"/>
        <v/>
      </c>
      <c r="R1947" t="str">
        <f t="shared" si="260"/>
        <v/>
      </c>
    </row>
    <row r="1948" spans="4:18">
      <c r="D1948" s="36">
        <v>688</v>
      </c>
      <c r="E1948" s="97">
        <v>250</v>
      </c>
      <c r="F1948" s="366">
        <f t="shared" si="255"/>
        <v>5425</v>
      </c>
      <c r="G1948" s="97">
        <v>8340</v>
      </c>
      <c r="H1948" s="367">
        <f t="shared" si="256"/>
        <v>13765</v>
      </c>
      <c r="I1948" s="368">
        <f t="shared" si="257"/>
        <v>0</v>
      </c>
      <c r="J1948" s="97">
        <v>21380</v>
      </c>
      <c r="K1948" s="367">
        <f t="shared" si="258"/>
        <v>15271.428571428572</v>
      </c>
      <c r="L1948" s="97">
        <v>0.69000000000000006</v>
      </c>
      <c r="M1948" s="97">
        <v>5.3999999999999995</v>
      </c>
      <c r="N1948" s="97">
        <v>33</v>
      </c>
      <c r="O1948" s="97">
        <v>10</v>
      </c>
      <c r="P1948" s="97" t="s">
        <v>556</v>
      </c>
      <c r="Q1948" s="97" t="str">
        <f t="shared" si="259"/>
        <v/>
      </c>
      <c r="R1948" t="str">
        <f t="shared" si="260"/>
        <v/>
      </c>
    </row>
    <row r="1949" spans="4:18">
      <c r="D1949" s="36">
        <v>689</v>
      </c>
      <c r="E1949" s="97">
        <v>255</v>
      </c>
      <c r="F1949" s="366">
        <f t="shared" si="255"/>
        <v>5533.5</v>
      </c>
      <c r="G1949" s="97">
        <v>7042</v>
      </c>
      <c r="H1949" s="367">
        <f t="shared" si="256"/>
        <v>12575.5</v>
      </c>
      <c r="I1949" s="368">
        <f t="shared" si="257"/>
        <v>0</v>
      </c>
      <c r="J1949" s="97">
        <v>18053</v>
      </c>
      <c r="K1949" s="367">
        <f t="shared" si="258"/>
        <v>12895</v>
      </c>
      <c r="L1949" s="97">
        <v>0.81</v>
      </c>
      <c r="M1949" s="97">
        <v>3.9</v>
      </c>
      <c r="N1949" s="97">
        <v>34</v>
      </c>
      <c r="O1949" s="97">
        <v>7</v>
      </c>
      <c r="P1949" s="97" t="s">
        <v>515</v>
      </c>
      <c r="Q1949" s="97" t="str">
        <f t="shared" si="259"/>
        <v/>
      </c>
      <c r="R1949" t="str">
        <f t="shared" si="260"/>
        <v/>
      </c>
    </row>
    <row r="1950" spans="4:18">
      <c r="D1950" s="36">
        <v>690</v>
      </c>
      <c r="E1950" s="97">
        <v>255</v>
      </c>
      <c r="F1950" s="366">
        <f t="shared" si="255"/>
        <v>5533.5</v>
      </c>
      <c r="G1950" s="97">
        <v>7280</v>
      </c>
      <c r="H1950" s="367">
        <f t="shared" si="256"/>
        <v>12813.5</v>
      </c>
      <c r="I1950" s="368">
        <f t="shared" si="257"/>
        <v>0</v>
      </c>
      <c r="J1950" s="97">
        <v>18663</v>
      </c>
      <c r="K1950" s="367">
        <f t="shared" si="258"/>
        <v>13330.714285714286</v>
      </c>
      <c r="L1950" s="97">
        <v>0.64</v>
      </c>
      <c r="M1950" s="97">
        <v>4.3999999999999995</v>
      </c>
      <c r="N1950" s="97">
        <v>33</v>
      </c>
      <c r="O1950" s="97">
        <v>8</v>
      </c>
      <c r="P1950" s="97" t="s">
        <v>515</v>
      </c>
      <c r="Q1950" s="97">
        <f t="shared" si="259"/>
        <v>690</v>
      </c>
      <c r="R1950" t="str">
        <f t="shared" si="260"/>
        <v/>
      </c>
    </row>
    <row r="1951" spans="4:18">
      <c r="D1951" s="36">
        <v>691</v>
      </c>
      <c r="E1951" s="97">
        <v>255</v>
      </c>
      <c r="F1951" s="366">
        <f t="shared" si="255"/>
        <v>5533.5</v>
      </c>
      <c r="G1951" s="97">
        <v>8233</v>
      </c>
      <c r="H1951" s="367">
        <f t="shared" si="256"/>
        <v>13766.5</v>
      </c>
      <c r="I1951" s="368">
        <f t="shared" si="257"/>
        <v>0</v>
      </c>
      <c r="J1951" s="97">
        <v>21104</v>
      </c>
      <c r="K1951" s="367">
        <f t="shared" si="258"/>
        <v>15074.285714285714</v>
      </c>
      <c r="L1951" s="97">
        <v>1.04</v>
      </c>
      <c r="M1951" s="97">
        <v>4.3999999999999995</v>
      </c>
      <c r="N1951" s="97">
        <v>34</v>
      </c>
      <c r="O1951" s="97">
        <v>8</v>
      </c>
      <c r="P1951" s="97" t="s">
        <v>556</v>
      </c>
      <c r="Q1951" s="97" t="str">
        <f t="shared" si="259"/>
        <v/>
      </c>
      <c r="R1951" t="str">
        <f t="shared" si="260"/>
        <v/>
      </c>
    </row>
    <row r="1952" spans="4:18">
      <c r="D1952" s="36">
        <v>692</v>
      </c>
      <c r="E1952" s="97">
        <v>255</v>
      </c>
      <c r="F1952" s="366">
        <f t="shared" si="255"/>
        <v>5533.5</v>
      </c>
      <c r="G1952" s="97">
        <v>7385</v>
      </c>
      <c r="H1952" s="367">
        <f t="shared" si="256"/>
        <v>12918.5</v>
      </c>
      <c r="I1952" s="368">
        <f t="shared" si="257"/>
        <v>0</v>
      </c>
      <c r="J1952" s="97">
        <v>18932</v>
      </c>
      <c r="K1952" s="367">
        <f t="shared" si="258"/>
        <v>13522.857142857143</v>
      </c>
      <c r="L1952" s="97">
        <v>0.54</v>
      </c>
      <c r="M1952" s="97">
        <v>4.8999999999999995</v>
      </c>
      <c r="N1952" s="97">
        <v>34</v>
      </c>
      <c r="O1952" s="97">
        <v>9</v>
      </c>
      <c r="P1952" s="97" t="s">
        <v>515</v>
      </c>
      <c r="Q1952" s="97" t="str">
        <f t="shared" si="259"/>
        <v/>
      </c>
      <c r="R1952" t="str">
        <f t="shared" si="260"/>
        <v/>
      </c>
    </row>
    <row r="1953" spans="4:18">
      <c r="D1953" s="36">
        <v>693</v>
      </c>
      <c r="E1953" s="97">
        <v>255</v>
      </c>
      <c r="F1953" s="366">
        <f t="shared" si="255"/>
        <v>5533.5</v>
      </c>
      <c r="G1953" s="97">
        <v>7468</v>
      </c>
      <c r="H1953" s="367">
        <f t="shared" si="256"/>
        <v>13001.5</v>
      </c>
      <c r="I1953" s="368">
        <f t="shared" si="257"/>
        <v>0</v>
      </c>
      <c r="J1953" s="97">
        <v>19145</v>
      </c>
      <c r="K1953" s="367">
        <f t="shared" si="258"/>
        <v>13675</v>
      </c>
      <c r="L1953" s="97">
        <v>0.45</v>
      </c>
      <c r="M1953" s="97">
        <v>5.3999999999999995</v>
      </c>
      <c r="N1953" s="97">
        <v>33</v>
      </c>
      <c r="O1953" s="97">
        <v>10</v>
      </c>
      <c r="P1953" s="97" t="s">
        <v>515</v>
      </c>
      <c r="Q1953" s="97" t="str">
        <f t="shared" si="259"/>
        <v/>
      </c>
      <c r="R1953" t="str">
        <f t="shared" si="260"/>
        <v/>
      </c>
    </row>
    <row r="1954" spans="4:18">
      <c r="D1954" s="36">
        <v>694</v>
      </c>
      <c r="E1954" s="97">
        <v>255</v>
      </c>
      <c r="F1954" s="366">
        <f t="shared" si="255"/>
        <v>5533.5</v>
      </c>
      <c r="G1954" s="97">
        <v>8448</v>
      </c>
      <c r="H1954" s="367">
        <f t="shared" si="256"/>
        <v>13981.5</v>
      </c>
      <c r="I1954" s="368">
        <f t="shared" si="257"/>
        <v>0</v>
      </c>
      <c r="J1954" s="97">
        <v>21656</v>
      </c>
      <c r="K1954" s="367">
        <f t="shared" si="258"/>
        <v>15468.571428571429</v>
      </c>
      <c r="L1954" s="97">
        <v>0.72</v>
      </c>
      <c r="M1954" s="97">
        <v>5.3999999999999995</v>
      </c>
      <c r="N1954" s="97">
        <v>33</v>
      </c>
      <c r="O1954" s="97">
        <v>10</v>
      </c>
      <c r="P1954" s="97" t="s">
        <v>556</v>
      </c>
      <c r="Q1954" s="97" t="str">
        <f t="shared" si="259"/>
        <v/>
      </c>
      <c r="R1954" t="str">
        <f t="shared" si="260"/>
        <v/>
      </c>
    </row>
    <row r="1955" spans="4:18">
      <c r="D1955" s="36">
        <v>695</v>
      </c>
      <c r="E1955" s="97">
        <v>260</v>
      </c>
      <c r="F1955" s="366">
        <f t="shared" si="255"/>
        <v>5642</v>
      </c>
      <c r="G1955" s="97">
        <v>7130</v>
      </c>
      <c r="H1955" s="367">
        <f t="shared" si="256"/>
        <v>12772</v>
      </c>
      <c r="I1955" s="368">
        <f t="shared" si="257"/>
        <v>0</v>
      </c>
      <c r="J1955" s="97">
        <v>18278</v>
      </c>
      <c r="K1955" s="367">
        <f t="shared" si="258"/>
        <v>13055.714285714286</v>
      </c>
      <c r="L1955" s="97">
        <v>0.84</v>
      </c>
      <c r="M1955" s="97">
        <v>3.9</v>
      </c>
      <c r="N1955" s="97">
        <v>35</v>
      </c>
      <c r="O1955" s="97">
        <v>7</v>
      </c>
      <c r="P1955" s="97" t="s">
        <v>515</v>
      </c>
      <c r="Q1955" s="97" t="str">
        <f t="shared" si="259"/>
        <v/>
      </c>
      <c r="R1955" t="str">
        <f t="shared" si="260"/>
        <v/>
      </c>
    </row>
    <row r="1956" spans="4:18">
      <c r="D1956" s="36">
        <v>696</v>
      </c>
      <c r="E1956" s="97">
        <v>260</v>
      </c>
      <c r="F1956" s="366">
        <f t="shared" si="255"/>
        <v>5642</v>
      </c>
      <c r="G1956" s="97">
        <v>7378</v>
      </c>
      <c r="H1956" s="367">
        <f t="shared" si="256"/>
        <v>13020</v>
      </c>
      <c r="I1956" s="368">
        <f t="shared" si="257"/>
        <v>0</v>
      </c>
      <c r="J1956" s="97">
        <v>18914</v>
      </c>
      <c r="K1956" s="367">
        <f t="shared" si="258"/>
        <v>13510</v>
      </c>
      <c r="L1956" s="97">
        <v>0.66</v>
      </c>
      <c r="M1956" s="97">
        <v>4.3999999999999995</v>
      </c>
      <c r="N1956" s="97">
        <v>34</v>
      </c>
      <c r="O1956" s="97">
        <v>8</v>
      </c>
      <c r="P1956" s="97" t="s">
        <v>515</v>
      </c>
      <c r="Q1956" s="97">
        <f t="shared" si="259"/>
        <v>696</v>
      </c>
      <c r="R1956" t="str">
        <f t="shared" si="260"/>
        <v/>
      </c>
    </row>
    <row r="1957" spans="4:18">
      <c r="D1957" s="36">
        <v>697</v>
      </c>
      <c r="E1957" s="97">
        <v>260</v>
      </c>
      <c r="F1957" s="366">
        <f t="shared" si="255"/>
        <v>5642</v>
      </c>
      <c r="G1957" s="97">
        <v>7485</v>
      </c>
      <c r="H1957" s="367">
        <f t="shared" si="256"/>
        <v>13127</v>
      </c>
      <c r="I1957" s="368">
        <f t="shared" si="257"/>
        <v>0</v>
      </c>
      <c r="J1957" s="97">
        <v>19187</v>
      </c>
      <c r="K1957" s="367">
        <f t="shared" si="258"/>
        <v>13705</v>
      </c>
      <c r="L1957" s="97">
        <v>0.56000000000000005</v>
      </c>
      <c r="M1957" s="97">
        <v>4.8999999999999995</v>
      </c>
      <c r="N1957" s="97">
        <v>34</v>
      </c>
      <c r="O1957" s="97">
        <v>9</v>
      </c>
      <c r="P1957" s="97" t="s">
        <v>515</v>
      </c>
      <c r="Q1957" s="97" t="str">
        <f t="shared" si="259"/>
        <v/>
      </c>
      <c r="R1957" t="str">
        <f t="shared" si="260"/>
        <v/>
      </c>
    </row>
    <row r="1958" spans="4:18">
      <c r="D1958" s="36">
        <v>698</v>
      </c>
      <c r="E1958" s="97">
        <v>260</v>
      </c>
      <c r="F1958" s="366">
        <f t="shared" si="255"/>
        <v>5642</v>
      </c>
      <c r="G1958" s="97">
        <v>7569</v>
      </c>
      <c r="H1958" s="367">
        <f t="shared" si="256"/>
        <v>13211</v>
      </c>
      <c r="I1958" s="368">
        <f t="shared" si="257"/>
        <v>0</v>
      </c>
      <c r="J1958" s="97">
        <v>19404</v>
      </c>
      <c r="K1958" s="367">
        <f t="shared" si="258"/>
        <v>13860</v>
      </c>
      <c r="L1958" s="97">
        <v>0.46</v>
      </c>
      <c r="M1958" s="97">
        <v>5.3999999999999995</v>
      </c>
      <c r="N1958" s="97">
        <v>34</v>
      </c>
      <c r="O1958" s="97">
        <v>10</v>
      </c>
      <c r="P1958" s="97" t="s">
        <v>515</v>
      </c>
      <c r="Q1958" s="97" t="str">
        <f t="shared" si="259"/>
        <v/>
      </c>
      <c r="R1958" t="str">
        <f t="shared" si="260"/>
        <v/>
      </c>
    </row>
    <row r="1959" spans="4:18">
      <c r="D1959" s="36">
        <v>699</v>
      </c>
      <c r="E1959" s="97">
        <v>260</v>
      </c>
      <c r="F1959" s="366">
        <f t="shared" si="255"/>
        <v>5642</v>
      </c>
      <c r="G1959" s="97">
        <v>8556</v>
      </c>
      <c r="H1959" s="367">
        <f t="shared" si="256"/>
        <v>14198</v>
      </c>
      <c r="I1959" s="368">
        <f t="shared" si="257"/>
        <v>0</v>
      </c>
      <c r="J1959" s="97">
        <v>21932</v>
      </c>
      <c r="K1959" s="367">
        <f t="shared" si="258"/>
        <v>15665.714285714286</v>
      </c>
      <c r="L1959" s="97">
        <v>0.75</v>
      </c>
      <c r="M1959" s="97">
        <v>5.3999999999999995</v>
      </c>
      <c r="N1959" s="97">
        <v>34</v>
      </c>
      <c r="O1959" s="97">
        <v>10</v>
      </c>
      <c r="P1959" s="97" t="s">
        <v>556</v>
      </c>
      <c r="Q1959" s="97" t="str">
        <f t="shared" si="259"/>
        <v/>
      </c>
      <c r="R1959" t="str">
        <f t="shared" si="260"/>
        <v/>
      </c>
    </row>
    <row r="1960" spans="4:18">
      <c r="D1960" s="36">
        <v>700</v>
      </c>
      <c r="E1960" s="97">
        <v>265</v>
      </c>
      <c r="F1960" s="366">
        <f t="shared" si="255"/>
        <v>5750.5</v>
      </c>
      <c r="G1960" s="97">
        <v>7218</v>
      </c>
      <c r="H1960" s="367">
        <f t="shared" si="256"/>
        <v>12968.5</v>
      </c>
      <c r="I1960" s="368">
        <f t="shared" si="257"/>
        <v>0</v>
      </c>
      <c r="J1960" s="97">
        <v>18503</v>
      </c>
      <c r="K1960" s="367">
        <f t="shared" si="258"/>
        <v>13216.428571428572</v>
      </c>
      <c r="L1960" s="97">
        <v>0.87</v>
      </c>
      <c r="M1960" s="97">
        <v>3.9</v>
      </c>
      <c r="N1960" s="97">
        <v>35</v>
      </c>
      <c r="O1960" s="97">
        <v>7</v>
      </c>
      <c r="P1960" s="97" t="s">
        <v>515</v>
      </c>
      <c r="Q1960" s="97" t="str">
        <f t="shared" si="259"/>
        <v/>
      </c>
      <c r="R1960" t="str">
        <f t="shared" si="260"/>
        <v/>
      </c>
    </row>
    <row r="1961" spans="4:18">
      <c r="D1961" s="36">
        <v>701</v>
      </c>
      <c r="E1961" s="97">
        <v>265</v>
      </c>
      <c r="F1961" s="366">
        <f t="shared" si="255"/>
        <v>5750.5</v>
      </c>
      <c r="G1961" s="97">
        <v>7475</v>
      </c>
      <c r="H1961" s="367">
        <f t="shared" si="256"/>
        <v>13225.5</v>
      </c>
      <c r="I1961" s="368">
        <f t="shared" si="257"/>
        <v>0</v>
      </c>
      <c r="J1961" s="97">
        <v>19161</v>
      </c>
      <c r="K1961" s="367">
        <f t="shared" si="258"/>
        <v>13686.428571428572</v>
      </c>
      <c r="L1961" s="97">
        <v>0.69000000000000006</v>
      </c>
      <c r="M1961" s="97">
        <v>4.3999999999999995</v>
      </c>
      <c r="N1961" s="97">
        <v>35</v>
      </c>
      <c r="O1961" s="97">
        <v>8</v>
      </c>
      <c r="P1961" s="97" t="s">
        <v>515</v>
      </c>
      <c r="Q1961" s="97">
        <f t="shared" si="259"/>
        <v>701</v>
      </c>
      <c r="R1961" t="str">
        <f t="shared" si="260"/>
        <v/>
      </c>
    </row>
    <row r="1962" spans="4:18">
      <c r="D1962" s="36">
        <v>702</v>
      </c>
      <c r="E1962" s="97">
        <v>265</v>
      </c>
      <c r="F1962" s="366">
        <f t="shared" si="255"/>
        <v>5750.5</v>
      </c>
      <c r="G1962" s="97">
        <v>7585</v>
      </c>
      <c r="H1962" s="367">
        <f t="shared" si="256"/>
        <v>13335.5</v>
      </c>
      <c r="I1962" s="368">
        <f t="shared" si="257"/>
        <v>0</v>
      </c>
      <c r="J1962" s="97">
        <v>19443</v>
      </c>
      <c r="K1962" s="367">
        <f t="shared" si="258"/>
        <v>13887.857142857143</v>
      </c>
      <c r="L1962" s="97">
        <v>0.57999999999999996</v>
      </c>
      <c r="M1962" s="97">
        <v>4.8999999999999995</v>
      </c>
      <c r="N1962" s="97">
        <v>35</v>
      </c>
      <c r="O1962" s="97">
        <v>9</v>
      </c>
      <c r="P1962" s="97" t="s">
        <v>515</v>
      </c>
      <c r="Q1962" s="97" t="str">
        <f t="shared" si="259"/>
        <v/>
      </c>
      <c r="R1962" t="str">
        <f t="shared" si="260"/>
        <v/>
      </c>
    </row>
    <row r="1963" spans="4:18">
      <c r="D1963" s="36">
        <v>703</v>
      </c>
      <c r="E1963" s="97">
        <v>265</v>
      </c>
      <c r="F1963" s="366">
        <f t="shared" si="255"/>
        <v>5750.5</v>
      </c>
      <c r="G1963" s="97">
        <v>7671</v>
      </c>
      <c r="H1963" s="367">
        <f t="shared" si="256"/>
        <v>13421.5</v>
      </c>
      <c r="I1963" s="368">
        <f t="shared" si="257"/>
        <v>0</v>
      </c>
      <c r="J1963" s="97">
        <v>19663</v>
      </c>
      <c r="K1963" s="367">
        <f t="shared" si="258"/>
        <v>14045</v>
      </c>
      <c r="L1963" s="97">
        <v>0.48</v>
      </c>
      <c r="M1963" s="97">
        <v>5.3999999999999995</v>
      </c>
      <c r="N1963" s="97">
        <v>35</v>
      </c>
      <c r="O1963" s="97">
        <v>10</v>
      </c>
      <c r="P1963" s="97" t="s">
        <v>515</v>
      </c>
      <c r="Q1963" s="97" t="str">
        <f t="shared" si="259"/>
        <v/>
      </c>
      <c r="R1963" t="str">
        <f t="shared" si="260"/>
        <v/>
      </c>
    </row>
    <row r="1964" spans="4:18">
      <c r="D1964" s="36">
        <v>704</v>
      </c>
      <c r="E1964" s="97">
        <v>265</v>
      </c>
      <c r="F1964" s="366">
        <f t="shared" si="255"/>
        <v>5750.5</v>
      </c>
      <c r="G1964" s="97">
        <v>8658</v>
      </c>
      <c r="H1964" s="367">
        <f t="shared" si="256"/>
        <v>14408.5</v>
      </c>
      <c r="I1964" s="368">
        <f t="shared" si="257"/>
        <v>0</v>
      </c>
      <c r="J1964" s="97">
        <v>22194</v>
      </c>
      <c r="K1964" s="367">
        <f t="shared" si="258"/>
        <v>15852.857142857143</v>
      </c>
      <c r="L1964" s="97">
        <v>0.78</v>
      </c>
      <c r="M1964" s="97">
        <v>5.3999999999999995</v>
      </c>
      <c r="N1964" s="97">
        <v>34</v>
      </c>
      <c r="O1964" s="97">
        <v>10</v>
      </c>
      <c r="P1964" s="97" t="s">
        <v>556</v>
      </c>
      <c r="Q1964" s="97" t="str">
        <f t="shared" si="259"/>
        <v/>
      </c>
      <c r="R1964" t="str">
        <f t="shared" si="260"/>
        <v/>
      </c>
    </row>
    <row r="1965" spans="4:18">
      <c r="D1965" s="36">
        <v>705</v>
      </c>
      <c r="E1965" s="97">
        <v>270</v>
      </c>
      <c r="F1965" s="366">
        <f t="shared" si="255"/>
        <v>5859</v>
      </c>
      <c r="G1965" s="97">
        <v>7306</v>
      </c>
      <c r="H1965" s="367">
        <f t="shared" si="256"/>
        <v>13165</v>
      </c>
      <c r="I1965" s="368">
        <f t="shared" si="257"/>
        <v>0</v>
      </c>
      <c r="J1965" s="97">
        <v>18728</v>
      </c>
      <c r="K1965" s="367">
        <f t="shared" si="258"/>
        <v>13377.142857142857</v>
      </c>
      <c r="L1965" s="97">
        <v>0.91</v>
      </c>
      <c r="M1965" s="97">
        <v>3.9</v>
      </c>
      <c r="N1965" s="97">
        <v>36</v>
      </c>
      <c r="O1965" s="97">
        <v>7</v>
      </c>
      <c r="P1965" s="97" t="s">
        <v>515</v>
      </c>
      <c r="Q1965" s="97" t="str">
        <f t="shared" si="259"/>
        <v/>
      </c>
      <c r="R1965" t="str">
        <f t="shared" si="260"/>
        <v/>
      </c>
    </row>
    <row r="1966" spans="4:18">
      <c r="D1966" s="36">
        <v>706</v>
      </c>
      <c r="E1966" s="97">
        <v>270</v>
      </c>
      <c r="F1966" s="366">
        <f t="shared" si="255"/>
        <v>5859</v>
      </c>
      <c r="G1966" s="97">
        <v>7569</v>
      </c>
      <c r="H1966" s="367">
        <f t="shared" si="256"/>
        <v>13428</v>
      </c>
      <c r="I1966" s="368">
        <f t="shared" si="257"/>
        <v>0</v>
      </c>
      <c r="J1966" s="97">
        <v>19402</v>
      </c>
      <c r="K1966" s="367">
        <f t="shared" si="258"/>
        <v>13858.571428571429</v>
      </c>
      <c r="L1966" s="97">
        <v>0.71</v>
      </c>
      <c r="M1966" s="97">
        <v>4.3999999999999995</v>
      </c>
      <c r="N1966" s="97">
        <v>35</v>
      </c>
      <c r="O1966" s="97">
        <v>8</v>
      </c>
      <c r="P1966" s="97" t="s">
        <v>515</v>
      </c>
      <c r="Q1966" s="97">
        <f t="shared" si="259"/>
        <v>706</v>
      </c>
      <c r="R1966" t="str">
        <f t="shared" si="260"/>
        <v/>
      </c>
    </row>
    <row r="1967" spans="4:18">
      <c r="D1967" s="36">
        <v>707</v>
      </c>
      <c r="E1967" s="97">
        <v>270</v>
      </c>
      <c r="F1967" s="366">
        <f t="shared" ref="F1967:F2029" si="261">1.085*($A$2-$B$2)*E1967*$T$7</f>
        <v>5859</v>
      </c>
      <c r="G1967" s="97">
        <v>7683</v>
      </c>
      <c r="H1967" s="367">
        <f t="shared" ref="H1967:H2029" si="262">(G1967*$U$7)+F1967</f>
        <v>13542</v>
      </c>
      <c r="I1967" s="368">
        <f t="shared" ref="I1967:I2029" si="263">1.085*($C$2-$D$2)*E1967*$T$7</f>
        <v>0</v>
      </c>
      <c r="J1967" s="97">
        <v>19696</v>
      </c>
      <c r="K1967" s="367">
        <f t="shared" ref="K1967:K2029" si="264">(J1967*$V$7)-I1967</f>
        <v>14068.571428571429</v>
      </c>
      <c r="L1967" s="97">
        <v>0.6</v>
      </c>
      <c r="M1967" s="97">
        <v>4.8999999999999995</v>
      </c>
      <c r="N1967" s="97">
        <v>36</v>
      </c>
      <c r="O1967" s="97">
        <v>9</v>
      </c>
      <c r="P1967" s="97" t="s">
        <v>515</v>
      </c>
      <c r="Q1967" s="97" t="str">
        <f t="shared" ref="Q1967:Q2029" si="265">IF(AND(H1967+1&gt;$E$4,L1967&lt;$L$4+0.01,M1967&lt;$M$4+0.01,K1967+1&gt;$F$4,E1967+1&gt;$J$4,N1967&lt;$K$4+1,O1967&lt;$P$4+1,C1967=""),D1967,"")</f>
        <v/>
      </c>
      <c r="R1967" t="str">
        <f t="shared" ref="R1967:R2029" si="266">IF(Q1967="","",IF(AND(O1967&lt;$X$16,E1967&gt;$U$16,E1967&lt;$Q$4+$U$16+1),D1967,""))</f>
        <v/>
      </c>
    </row>
    <row r="1968" spans="4:18">
      <c r="D1968" s="36">
        <v>708</v>
      </c>
      <c r="E1968" s="97">
        <v>270</v>
      </c>
      <c r="F1968" s="366">
        <f t="shared" si="261"/>
        <v>5859</v>
      </c>
      <c r="G1968" s="97">
        <v>7771</v>
      </c>
      <c r="H1968" s="367">
        <f t="shared" si="262"/>
        <v>13630</v>
      </c>
      <c r="I1968" s="368">
        <f t="shared" si="263"/>
        <v>0</v>
      </c>
      <c r="J1968" s="97">
        <v>19920</v>
      </c>
      <c r="K1968" s="367">
        <f t="shared" si="264"/>
        <v>14228.571428571429</v>
      </c>
      <c r="L1968" s="97">
        <v>0.5</v>
      </c>
      <c r="M1968" s="97">
        <v>5.3999999999999995</v>
      </c>
      <c r="N1968" s="97">
        <v>35</v>
      </c>
      <c r="O1968" s="97">
        <v>10</v>
      </c>
      <c r="P1968" s="97" t="s">
        <v>515</v>
      </c>
      <c r="Q1968" s="97" t="str">
        <f t="shared" si="265"/>
        <v/>
      </c>
      <c r="R1968" t="str">
        <f t="shared" si="266"/>
        <v/>
      </c>
    </row>
    <row r="1969" spans="4:18">
      <c r="D1969" s="36">
        <v>709</v>
      </c>
      <c r="E1969" s="97">
        <v>270</v>
      </c>
      <c r="F1969" s="366">
        <f t="shared" si="261"/>
        <v>5859</v>
      </c>
      <c r="G1969" s="97">
        <v>8760</v>
      </c>
      <c r="H1969" s="367">
        <f t="shared" si="262"/>
        <v>14619</v>
      </c>
      <c r="I1969" s="368">
        <f t="shared" si="263"/>
        <v>0</v>
      </c>
      <c r="J1969" s="97">
        <v>22457</v>
      </c>
      <c r="K1969" s="367">
        <f t="shared" si="264"/>
        <v>16040.714285714286</v>
      </c>
      <c r="L1969" s="97">
        <v>0.81</v>
      </c>
      <c r="M1969" s="97">
        <v>5.3999999999999995</v>
      </c>
      <c r="N1969" s="97">
        <v>35</v>
      </c>
      <c r="O1969" s="97">
        <v>10</v>
      </c>
      <c r="P1969" s="97" t="s">
        <v>556</v>
      </c>
      <c r="Q1969" s="97" t="str">
        <f t="shared" si="265"/>
        <v/>
      </c>
      <c r="R1969" t="str">
        <f t="shared" si="266"/>
        <v/>
      </c>
    </row>
    <row r="1970" spans="4:18">
      <c r="D1970" s="36">
        <v>710</v>
      </c>
      <c r="E1970" s="97">
        <v>275</v>
      </c>
      <c r="F1970" s="366">
        <f t="shared" si="261"/>
        <v>5967.5</v>
      </c>
      <c r="G1970" s="97">
        <v>7388</v>
      </c>
      <c r="H1970" s="367">
        <f t="shared" si="262"/>
        <v>13355.5</v>
      </c>
      <c r="I1970" s="368">
        <f t="shared" si="263"/>
        <v>0</v>
      </c>
      <c r="J1970" s="97">
        <v>18938</v>
      </c>
      <c r="K1970" s="367">
        <f t="shared" si="264"/>
        <v>13527.142857142857</v>
      </c>
      <c r="L1970" s="97">
        <v>0.94000000000000006</v>
      </c>
      <c r="M1970" s="97">
        <v>3.9</v>
      </c>
      <c r="N1970" s="97">
        <v>37</v>
      </c>
      <c r="O1970" s="97">
        <v>7</v>
      </c>
      <c r="P1970" s="97" t="s">
        <v>515</v>
      </c>
      <c r="Q1970" s="97" t="str">
        <f t="shared" si="265"/>
        <v/>
      </c>
      <c r="R1970" t="str">
        <f t="shared" si="266"/>
        <v/>
      </c>
    </row>
    <row r="1971" spans="4:18">
      <c r="D1971" s="36">
        <v>711</v>
      </c>
      <c r="E1971" s="97">
        <v>275</v>
      </c>
      <c r="F1971" s="366">
        <f t="shared" si="261"/>
        <v>5967.5</v>
      </c>
      <c r="G1971" s="97">
        <v>7663</v>
      </c>
      <c r="H1971" s="367">
        <f t="shared" si="262"/>
        <v>13630.5</v>
      </c>
      <c r="I1971" s="368">
        <f t="shared" si="263"/>
        <v>0</v>
      </c>
      <c r="J1971" s="97">
        <v>19643</v>
      </c>
      <c r="K1971" s="367">
        <f t="shared" si="264"/>
        <v>14030.714285714286</v>
      </c>
      <c r="L1971" s="97">
        <v>0.74</v>
      </c>
      <c r="M1971" s="97">
        <v>4.3999999999999995</v>
      </c>
      <c r="N1971" s="97">
        <v>36</v>
      </c>
      <c r="O1971" s="97">
        <v>8</v>
      </c>
      <c r="P1971" s="97" t="s">
        <v>515</v>
      </c>
      <c r="Q1971" s="97" t="str">
        <f t="shared" si="265"/>
        <v/>
      </c>
      <c r="R1971" t="str">
        <f t="shared" si="266"/>
        <v/>
      </c>
    </row>
    <row r="1972" spans="4:18">
      <c r="D1972" s="36">
        <v>712</v>
      </c>
      <c r="E1972" s="97">
        <v>275</v>
      </c>
      <c r="F1972" s="366">
        <f t="shared" si="261"/>
        <v>5967.5</v>
      </c>
      <c r="G1972" s="97">
        <v>7777</v>
      </c>
      <c r="H1972" s="367">
        <f t="shared" si="262"/>
        <v>13744.5</v>
      </c>
      <c r="I1972" s="368">
        <f t="shared" si="263"/>
        <v>0</v>
      </c>
      <c r="J1972" s="97">
        <v>19936</v>
      </c>
      <c r="K1972" s="367">
        <f t="shared" si="264"/>
        <v>14240</v>
      </c>
      <c r="L1972" s="97">
        <v>0.62</v>
      </c>
      <c r="M1972" s="97">
        <v>4.8999999999999995</v>
      </c>
      <c r="N1972" s="97">
        <v>37</v>
      </c>
      <c r="O1972" s="97">
        <v>9</v>
      </c>
      <c r="P1972" s="97" t="s">
        <v>515</v>
      </c>
      <c r="Q1972" s="97" t="str">
        <f t="shared" si="265"/>
        <v/>
      </c>
      <c r="R1972" t="str">
        <f t="shared" si="266"/>
        <v/>
      </c>
    </row>
    <row r="1973" spans="4:18">
      <c r="D1973" s="36">
        <v>713</v>
      </c>
      <c r="E1973" s="97">
        <v>275</v>
      </c>
      <c r="F1973" s="366">
        <f t="shared" si="261"/>
        <v>5967.5</v>
      </c>
      <c r="G1973" s="97">
        <v>7865</v>
      </c>
      <c r="H1973" s="367">
        <f t="shared" si="262"/>
        <v>13832.5</v>
      </c>
      <c r="I1973" s="368">
        <f t="shared" si="263"/>
        <v>0</v>
      </c>
      <c r="J1973" s="97">
        <v>20163</v>
      </c>
      <c r="K1973" s="367">
        <f t="shared" si="264"/>
        <v>14402.142857142857</v>
      </c>
      <c r="L1973" s="97">
        <v>0.52</v>
      </c>
      <c r="M1973" s="97">
        <v>5.3999999999999995</v>
      </c>
      <c r="N1973" s="97">
        <v>36</v>
      </c>
      <c r="O1973" s="97">
        <v>10</v>
      </c>
      <c r="P1973" s="97" t="s">
        <v>515</v>
      </c>
      <c r="Q1973" s="97" t="str">
        <f t="shared" si="265"/>
        <v/>
      </c>
      <c r="R1973" t="str">
        <f t="shared" si="266"/>
        <v/>
      </c>
    </row>
    <row r="1974" spans="4:18">
      <c r="D1974" s="36">
        <v>714</v>
      </c>
      <c r="E1974" s="97">
        <v>275</v>
      </c>
      <c r="F1974" s="366">
        <f t="shared" si="261"/>
        <v>5967.5</v>
      </c>
      <c r="G1974" s="97">
        <v>8863</v>
      </c>
      <c r="H1974" s="367">
        <f t="shared" si="262"/>
        <v>14830.5</v>
      </c>
      <c r="I1974" s="368">
        <f t="shared" si="263"/>
        <v>0</v>
      </c>
      <c r="J1974" s="97">
        <v>22719</v>
      </c>
      <c r="K1974" s="367">
        <f t="shared" si="264"/>
        <v>16227.857142857143</v>
      </c>
      <c r="L1974" s="97">
        <v>0.84</v>
      </c>
      <c r="M1974" s="97">
        <v>5.3999999999999995</v>
      </c>
      <c r="N1974" s="97">
        <v>35</v>
      </c>
      <c r="O1974" s="97">
        <v>10</v>
      </c>
      <c r="P1974" s="97" t="s">
        <v>556</v>
      </c>
      <c r="Q1974" s="97" t="str">
        <f t="shared" si="265"/>
        <v/>
      </c>
      <c r="R1974" t="str">
        <f t="shared" si="266"/>
        <v/>
      </c>
    </row>
    <row r="1975" spans="4:18">
      <c r="D1975" s="36">
        <v>715</v>
      </c>
      <c r="E1975" s="97">
        <v>280</v>
      </c>
      <c r="F1975" s="366">
        <f t="shared" si="261"/>
        <v>6076</v>
      </c>
      <c r="G1975" s="97">
        <v>7468</v>
      </c>
      <c r="H1975" s="367">
        <f t="shared" si="262"/>
        <v>13544</v>
      </c>
      <c r="I1975" s="368">
        <f t="shared" si="263"/>
        <v>0</v>
      </c>
      <c r="J1975" s="97">
        <v>19145</v>
      </c>
      <c r="K1975" s="367">
        <f t="shared" si="264"/>
        <v>13675</v>
      </c>
      <c r="L1975" s="97">
        <v>0.97</v>
      </c>
      <c r="M1975" s="97">
        <v>3.9</v>
      </c>
      <c r="N1975" s="97">
        <v>38</v>
      </c>
      <c r="O1975" s="97">
        <v>7</v>
      </c>
      <c r="P1975" s="97" t="s">
        <v>515</v>
      </c>
      <c r="Q1975" s="97" t="str">
        <f t="shared" si="265"/>
        <v/>
      </c>
      <c r="R1975" t="str">
        <f t="shared" si="266"/>
        <v/>
      </c>
    </row>
    <row r="1976" spans="4:18">
      <c r="D1976" s="36">
        <v>716</v>
      </c>
      <c r="E1976" s="97">
        <v>280</v>
      </c>
      <c r="F1976" s="366">
        <f t="shared" si="261"/>
        <v>6076</v>
      </c>
      <c r="G1976" s="97">
        <v>7757</v>
      </c>
      <c r="H1976" s="367">
        <f t="shared" si="262"/>
        <v>13833</v>
      </c>
      <c r="I1976" s="368">
        <f t="shared" si="263"/>
        <v>0</v>
      </c>
      <c r="J1976" s="97">
        <v>19884</v>
      </c>
      <c r="K1976" s="367">
        <f t="shared" si="264"/>
        <v>14202.857142857143</v>
      </c>
      <c r="L1976" s="97">
        <v>0.77</v>
      </c>
      <c r="M1976" s="97">
        <v>4.3999999999999995</v>
      </c>
      <c r="N1976" s="97">
        <v>37</v>
      </c>
      <c r="O1976" s="97">
        <v>8</v>
      </c>
      <c r="P1976" s="97" t="s">
        <v>515</v>
      </c>
      <c r="Q1976" s="97" t="str">
        <f t="shared" si="265"/>
        <v/>
      </c>
      <c r="R1976" t="str">
        <f t="shared" si="266"/>
        <v/>
      </c>
    </row>
    <row r="1977" spans="4:18">
      <c r="D1977" s="36">
        <v>717</v>
      </c>
      <c r="E1977" s="97">
        <v>280</v>
      </c>
      <c r="F1977" s="366">
        <f t="shared" si="261"/>
        <v>6076</v>
      </c>
      <c r="G1977" s="97">
        <v>7871</v>
      </c>
      <c r="H1977" s="367">
        <f t="shared" si="262"/>
        <v>13947</v>
      </c>
      <c r="I1977" s="368">
        <f t="shared" si="263"/>
        <v>0</v>
      </c>
      <c r="J1977" s="97">
        <v>20177</v>
      </c>
      <c r="K1977" s="367">
        <f t="shared" si="264"/>
        <v>14412.142857142857</v>
      </c>
      <c r="L1977" s="97">
        <v>0.65</v>
      </c>
      <c r="M1977" s="97">
        <v>4.8999999999999995</v>
      </c>
      <c r="N1977" s="97">
        <v>37</v>
      </c>
      <c r="O1977" s="97">
        <v>9</v>
      </c>
      <c r="P1977" s="97" t="s">
        <v>515</v>
      </c>
      <c r="Q1977" s="97" t="str">
        <f t="shared" si="265"/>
        <v/>
      </c>
      <c r="R1977" t="str">
        <f t="shared" si="266"/>
        <v/>
      </c>
    </row>
    <row r="1978" spans="4:18">
      <c r="D1978" s="36">
        <v>718</v>
      </c>
      <c r="E1978" s="97">
        <v>280</v>
      </c>
      <c r="F1978" s="366">
        <f t="shared" si="261"/>
        <v>6076</v>
      </c>
      <c r="G1978" s="97">
        <v>7960</v>
      </c>
      <c r="H1978" s="367">
        <f t="shared" si="262"/>
        <v>14036</v>
      </c>
      <c r="I1978" s="368">
        <f t="shared" si="263"/>
        <v>0</v>
      </c>
      <c r="J1978" s="97">
        <v>20405</v>
      </c>
      <c r="K1978" s="367">
        <f t="shared" si="264"/>
        <v>14575</v>
      </c>
      <c r="L1978" s="97">
        <v>0.54</v>
      </c>
      <c r="M1978" s="97">
        <v>5.3999999999999995</v>
      </c>
      <c r="N1978" s="97">
        <v>37</v>
      </c>
      <c r="O1978" s="97">
        <v>10</v>
      </c>
      <c r="P1978" s="97" t="s">
        <v>515</v>
      </c>
      <c r="Q1978" s="97" t="str">
        <f t="shared" si="265"/>
        <v/>
      </c>
      <c r="R1978" t="str">
        <f t="shared" si="266"/>
        <v/>
      </c>
    </row>
    <row r="1979" spans="4:18">
      <c r="D1979" s="36">
        <v>719</v>
      </c>
      <c r="E1979" s="97">
        <v>280</v>
      </c>
      <c r="F1979" s="366">
        <f t="shared" si="261"/>
        <v>6076</v>
      </c>
      <c r="G1979" s="97">
        <v>8965</v>
      </c>
      <c r="H1979" s="367">
        <f t="shared" si="262"/>
        <v>15041</v>
      </c>
      <c r="I1979" s="368">
        <f t="shared" si="263"/>
        <v>0</v>
      </c>
      <c r="J1979" s="97">
        <v>22982</v>
      </c>
      <c r="K1979" s="367">
        <f t="shared" si="264"/>
        <v>16415.714285714286</v>
      </c>
      <c r="L1979" s="97">
        <v>0.87</v>
      </c>
      <c r="M1979" s="97">
        <v>5.3999999999999995</v>
      </c>
      <c r="N1979" s="97">
        <v>36</v>
      </c>
      <c r="O1979" s="97">
        <v>10</v>
      </c>
      <c r="P1979" s="97" t="s">
        <v>556</v>
      </c>
      <c r="Q1979" s="97" t="str">
        <f t="shared" si="265"/>
        <v/>
      </c>
      <c r="R1979" t="str">
        <f t="shared" si="266"/>
        <v/>
      </c>
    </row>
    <row r="1980" spans="4:18">
      <c r="D1980" s="36">
        <v>720</v>
      </c>
      <c r="E1980" s="97">
        <v>285</v>
      </c>
      <c r="F1980" s="366">
        <f t="shared" si="261"/>
        <v>6184.5</v>
      </c>
      <c r="G1980" s="97">
        <v>7549</v>
      </c>
      <c r="H1980" s="367">
        <f t="shared" si="262"/>
        <v>13733.5</v>
      </c>
      <c r="I1980" s="368">
        <f t="shared" si="263"/>
        <v>0</v>
      </c>
      <c r="J1980" s="97">
        <v>19351</v>
      </c>
      <c r="K1980" s="367">
        <f t="shared" si="264"/>
        <v>13822.142857142857</v>
      </c>
      <c r="L1980" s="97">
        <v>1.01</v>
      </c>
      <c r="M1980" s="97">
        <v>3.9</v>
      </c>
      <c r="N1980" s="97">
        <v>38</v>
      </c>
      <c r="O1980" s="97">
        <v>7</v>
      </c>
      <c r="P1980" s="97" t="s">
        <v>515</v>
      </c>
      <c r="Q1980" s="97" t="str">
        <f t="shared" si="265"/>
        <v/>
      </c>
      <c r="R1980" t="str">
        <f t="shared" si="266"/>
        <v/>
      </c>
    </row>
    <row r="1981" spans="4:18">
      <c r="D1981" s="36">
        <v>721</v>
      </c>
      <c r="E1981" s="97">
        <v>285</v>
      </c>
      <c r="F1981" s="366">
        <f t="shared" si="261"/>
        <v>6184.5</v>
      </c>
      <c r="G1981" s="97">
        <v>7851</v>
      </c>
      <c r="H1981" s="367">
        <f t="shared" si="262"/>
        <v>14035.5</v>
      </c>
      <c r="I1981" s="368">
        <f t="shared" si="263"/>
        <v>0</v>
      </c>
      <c r="J1981" s="97">
        <v>20125</v>
      </c>
      <c r="K1981" s="367">
        <f t="shared" si="264"/>
        <v>14375</v>
      </c>
      <c r="L1981" s="97">
        <v>0.79</v>
      </c>
      <c r="M1981" s="97">
        <v>4.3999999999999995</v>
      </c>
      <c r="N1981" s="97">
        <v>38</v>
      </c>
      <c r="O1981" s="97">
        <v>8</v>
      </c>
      <c r="P1981" s="97" t="s">
        <v>515</v>
      </c>
      <c r="Q1981" s="97" t="str">
        <f t="shared" si="265"/>
        <v/>
      </c>
      <c r="R1981" t="str">
        <f t="shared" si="266"/>
        <v/>
      </c>
    </row>
    <row r="1982" spans="4:18">
      <c r="D1982" s="36">
        <v>722</v>
      </c>
      <c r="E1982" s="97">
        <v>285</v>
      </c>
      <c r="F1982" s="366">
        <f t="shared" si="261"/>
        <v>6184.5</v>
      </c>
      <c r="G1982" s="97">
        <v>7965</v>
      </c>
      <c r="H1982" s="367">
        <f t="shared" si="262"/>
        <v>14149.5</v>
      </c>
      <c r="I1982" s="368">
        <f t="shared" si="263"/>
        <v>0</v>
      </c>
      <c r="J1982" s="97">
        <v>20418</v>
      </c>
      <c r="K1982" s="367">
        <f t="shared" si="264"/>
        <v>14584.285714285714</v>
      </c>
      <c r="L1982" s="97">
        <v>0.67</v>
      </c>
      <c r="M1982" s="97">
        <v>4.8999999999999995</v>
      </c>
      <c r="N1982" s="97">
        <v>38</v>
      </c>
      <c r="O1982" s="97">
        <v>9</v>
      </c>
      <c r="P1982" s="97" t="s">
        <v>515</v>
      </c>
      <c r="Q1982" s="97" t="str">
        <f t="shared" si="265"/>
        <v/>
      </c>
      <c r="R1982" t="str">
        <f t="shared" si="266"/>
        <v/>
      </c>
    </row>
    <row r="1983" spans="4:18">
      <c r="D1983" s="36">
        <v>723</v>
      </c>
      <c r="E1983" s="97">
        <v>285</v>
      </c>
      <c r="F1983" s="366">
        <f t="shared" si="261"/>
        <v>6184.5</v>
      </c>
      <c r="G1983" s="97">
        <v>8054</v>
      </c>
      <c r="H1983" s="367">
        <f t="shared" si="262"/>
        <v>14238.5</v>
      </c>
      <c r="I1983" s="368">
        <f t="shared" si="263"/>
        <v>0</v>
      </c>
      <c r="J1983" s="97">
        <v>20647</v>
      </c>
      <c r="K1983" s="367">
        <f t="shared" si="264"/>
        <v>14747.857142857143</v>
      </c>
      <c r="L1983" s="97">
        <v>0.56000000000000005</v>
      </c>
      <c r="M1983" s="97">
        <v>5.3999999999999995</v>
      </c>
      <c r="N1983" s="97">
        <v>38</v>
      </c>
      <c r="O1983" s="97">
        <v>10</v>
      </c>
      <c r="P1983" s="97" t="s">
        <v>515</v>
      </c>
      <c r="Q1983" s="97" t="str">
        <f t="shared" si="265"/>
        <v/>
      </c>
      <c r="R1983" t="str">
        <f t="shared" si="266"/>
        <v/>
      </c>
    </row>
    <row r="1984" spans="4:18">
      <c r="D1984" s="36">
        <v>724</v>
      </c>
      <c r="E1984" s="97">
        <v>285</v>
      </c>
      <c r="F1984" s="366">
        <f t="shared" si="261"/>
        <v>6184.5</v>
      </c>
      <c r="G1984" s="97">
        <v>9066</v>
      </c>
      <c r="H1984" s="367">
        <f t="shared" si="262"/>
        <v>15250.5</v>
      </c>
      <c r="I1984" s="368">
        <f t="shared" si="263"/>
        <v>0</v>
      </c>
      <c r="J1984" s="97">
        <v>23240</v>
      </c>
      <c r="K1984" s="367">
        <f t="shared" si="264"/>
        <v>16600</v>
      </c>
      <c r="L1984" s="97">
        <v>0.9</v>
      </c>
      <c r="M1984" s="97">
        <v>5.3999999999999995</v>
      </c>
      <c r="N1984" s="97">
        <v>36</v>
      </c>
      <c r="O1984" s="97">
        <v>10</v>
      </c>
      <c r="P1984" s="97" t="s">
        <v>556</v>
      </c>
      <c r="Q1984" s="97" t="str">
        <f t="shared" si="265"/>
        <v/>
      </c>
      <c r="R1984" t="str">
        <f t="shared" si="266"/>
        <v/>
      </c>
    </row>
    <row r="1985" spans="4:18">
      <c r="D1985" s="36">
        <v>725</v>
      </c>
      <c r="E1985" s="97">
        <v>290</v>
      </c>
      <c r="F1985" s="366">
        <f t="shared" si="261"/>
        <v>6293</v>
      </c>
      <c r="G1985" s="97">
        <v>7935</v>
      </c>
      <c r="H1985" s="367">
        <f t="shared" si="262"/>
        <v>14228</v>
      </c>
      <c r="I1985" s="368">
        <f t="shared" si="263"/>
        <v>0</v>
      </c>
      <c r="J1985" s="97">
        <v>20340</v>
      </c>
      <c r="K1985" s="367">
        <f t="shared" si="264"/>
        <v>14528.571428571429</v>
      </c>
      <c r="L1985" s="97">
        <v>0.82000000000000006</v>
      </c>
      <c r="M1985" s="97">
        <v>4.3999999999999995</v>
      </c>
      <c r="N1985" s="97">
        <v>38</v>
      </c>
      <c r="O1985" s="97">
        <v>8</v>
      </c>
      <c r="P1985" s="97" t="s">
        <v>515</v>
      </c>
      <c r="Q1985" s="97" t="str">
        <f t="shared" si="265"/>
        <v/>
      </c>
      <c r="R1985" t="str">
        <f t="shared" si="266"/>
        <v/>
      </c>
    </row>
    <row r="1986" spans="4:18">
      <c r="D1986" s="36">
        <v>726</v>
      </c>
      <c r="E1986" s="97">
        <v>290</v>
      </c>
      <c r="F1986" s="366">
        <f t="shared" si="261"/>
        <v>6293</v>
      </c>
      <c r="G1986" s="97">
        <v>8059</v>
      </c>
      <c r="H1986" s="367">
        <f t="shared" si="262"/>
        <v>14352</v>
      </c>
      <c r="I1986" s="368">
        <f t="shared" si="263"/>
        <v>0</v>
      </c>
      <c r="J1986" s="97">
        <v>20659</v>
      </c>
      <c r="K1986" s="367">
        <f t="shared" si="264"/>
        <v>14756.428571428572</v>
      </c>
      <c r="L1986" s="97">
        <v>0.69000000000000006</v>
      </c>
      <c r="M1986" s="97">
        <v>4.8999999999999995</v>
      </c>
      <c r="N1986" s="97">
        <v>39</v>
      </c>
      <c r="O1986" s="97">
        <v>9</v>
      </c>
      <c r="P1986" s="97" t="s">
        <v>515</v>
      </c>
      <c r="Q1986" s="97" t="str">
        <f t="shared" si="265"/>
        <v/>
      </c>
      <c r="R1986" t="str">
        <f t="shared" si="266"/>
        <v/>
      </c>
    </row>
    <row r="1987" spans="4:18">
      <c r="D1987" s="36">
        <v>727</v>
      </c>
      <c r="E1987" s="97">
        <v>290</v>
      </c>
      <c r="F1987" s="366">
        <f t="shared" si="261"/>
        <v>6293</v>
      </c>
      <c r="G1987" s="97">
        <v>8149</v>
      </c>
      <c r="H1987" s="367">
        <f t="shared" si="262"/>
        <v>14442</v>
      </c>
      <c r="I1987" s="368">
        <f t="shared" si="263"/>
        <v>0</v>
      </c>
      <c r="J1987" s="97">
        <v>20890</v>
      </c>
      <c r="K1987" s="367">
        <f t="shared" si="264"/>
        <v>14921.428571428572</v>
      </c>
      <c r="L1987" s="97">
        <v>0.57999999999999996</v>
      </c>
      <c r="M1987" s="97">
        <v>5.3999999999999995</v>
      </c>
      <c r="N1987" s="97">
        <v>38</v>
      </c>
      <c r="O1987" s="97">
        <v>10</v>
      </c>
      <c r="P1987" s="97" t="s">
        <v>515</v>
      </c>
      <c r="Q1987" s="97" t="str">
        <f t="shared" si="265"/>
        <v/>
      </c>
      <c r="R1987" t="str">
        <f t="shared" si="266"/>
        <v/>
      </c>
    </row>
    <row r="1988" spans="4:18">
      <c r="D1988" s="36">
        <v>728</v>
      </c>
      <c r="E1988" s="97">
        <v>290</v>
      </c>
      <c r="F1988" s="366">
        <f t="shared" si="261"/>
        <v>6293</v>
      </c>
      <c r="G1988" s="97">
        <v>9147</v>
      </c>
      <c r="H1988" s="367">
        <f t="shared" si="262"/>
        <v>15440</v>
      </c>
      <c r="I1988" s="368">
        <f t="shared" si="263"/>
        <v>0</v>
      </c>
      <c r="J1988" s="97">
        <v>23447</v>
      </c>
      <c r="K1988" s="367">
        <f t="shared" si="264"/>
        <v>16747.857142857145</v>
      </c>
      <c r="L1988" s="97">
        <v>0.93</v>
      </c>
      <c r="M1988" s="97">
        <v>5.3999999999999995</v>
      </c>
      <c r="N1988" s="97">
        <v>37</v>
      </c>
      <c r="O1988" s="97">
        <v>10</v>
      </c>
      <c r="P1988" s="97" t="s">
        <v>556</v>
      </c>
      <c r="Q1988" s="97" t="str">
        <f t="shared" si="265"/>
        <v/>
      </c>
      <c r="R1988" t="str">
        <f t="shared" si="266"/>
        <v/>
      </c>
    </row>
    <row r="1989" spans="4:18">
      <c r="D1989" s="36">
        <v>729</v>
      </c>
      <c r="E1989" s="97">
        <v>295</v>
      </c>
      <c r="F1989" s="366">
        <f t="shared" si="261"/>
        <v>6401.5</v>
      </c>
      <c r="G1989" s="97">
        <v>8009</v>
      </c>
      <c r="H1989" s="367">
        <f t="shared" si="262"/>
        <v>14410.5</v>
      </c>
      <c r="I1989" s="368">
        <f t="shared" si="263"/>
        <v>0</v>
      </c>
      <c r="J1989" s="97">
        <v>20530</v>
      </c>
      <c r="K1989" s="367">
        <f t="shared" si="264"/>
        <v>14664.285714285714</v>
      </c>
      <c r="L1989" s="97">
        <v>0.85</v>
      </c>
      <c r="M1989" s="97">
        <v>4.3999999999999995</v>
      </c>
      <c r="N1989" s="97">
        <v>39</v>
      </c>
      <c r="O1989" s="97">
        <v>8</v>
      </c>
      <c r="P1989" s="97" t="s">
        <v>515</v>
      </c>
      <c r="Q1989" s="97" t="str">
        <f t="shared" si="265"/>
        <v/>
      </c>
      <c r="R1989" t="str">
        <f t="shared" si="266"/>
        <v/>
      </c>
    </row>
    <row r="1990" spans="4:18">
      <c r="D1990" s="36">
        <v>730</v>
      </c>
      <c r="E1990" s="97">
        <v>295</v>
      </c>
      <c r="F1990" s="366">
        <f t="shared" si="261"/>
        <v>6401.5</v>
      </c>
      <c r="G1990" s="97">
        <v>8153</v>
      </c>
      <c r="H1990" s="367">
        <f t="shared" si="262"/>
        <v>14554.5</v>
      </c>
      <c r="I1990" s="368">
        <f t="shared" si="263"/>
        <v>0</v>
      </c>
      <c r="J1990" s="97">
        <v>20900</v>
      </c>
      <c r="K1990" s="367">
        <f t="shared" si="264"/>
        <v>14928.571428571429</v>
      </c>
      <c r="L1990" s="97">
        <v>0.72</v>
      </c>
      <c r="M1990" s="97">
        <v>4.8999999999999995</v>
      </c>
      <c r="N1990" s="97">
        <v>39</v>
      </c>
      <c r="O1990" s="97">
        <v>9</v>
      </c>
      <c r="P1990" s="97" t="s">
        <v>515</v>
      </c>
      <c r="Q1990" s="97" t="str">
        <f t="shared" si="265"/>
        <v/>
      </c>
      <c r="R1990" t="str">
        <f t="shared" si="266"/>
        <v/>
      </c>
    </row>
    <row r="1991" spans="4:18">
      <c r="D1991" s="36">
        <v>731</v>
      </c>
      <c r="E1991" s="97">
        <v>295</v>
      </c>
      <c r="F1991" s="366">
        <f t="shared" si="261"/>
        <v>6401.5</v>
      </c>
      <c r="G1991" s="97">
        <v>8243</v>
      </c>
      <c r="H1991" s="367">
        <f t="shared" si="262"/>
        <v>14644.5</v>
      </c>
      <c r="I1991" s="368">
        <f t="shared" si="263"/>
        <v>0</v>
      </c>
      <c r="J1991" s="97">
        <v>21132</v>
      </c>
      <c r="K1991" s="367">
        <f t="shared" si="264"/>
        <v>15094.285714285714</v>
      </c>
      <c r="L1991" s="97">
        <v>0.6</v>
      </c>
      <c r="M1991" s="97">
        <v>5.3999999999999995</v>
      </c>
      <c r="N1991" s="97">
        <v>39</v>
      </c>
      <c r="O1991" s="97">
        <v>10</v>
      </c>
      <c r="P1991" s="97" t="s">
        <v>515</v>
      </c>
      <c r="Q1991" s="97" t="str">
        <f t="shared" si="265"/>
        <v/>
      </c>
      <c r="R1991" t="str">
        <f t="shared" si="266"/>
        <v/>
      </c>
    </row>
    <row r="1992" spans="4:18">
      <c r="D1992" s="36">
        <v>732</v>
      </c>
      <c r="E1992" s="97">
        <v>295</v>
      </c>
      <c r="F1992" s="366">
        <f t="shared" si="261"/>
        <v>6401.5</v>
      </c>
      <c r="G1992" s="97">
        <v>9227</v>
      </c>
      <c r="H1992" s="367">
        <f t="shared" si="262"/>
        <v>15628.5</v>
      </c>
      <c r="I1992" s="368">
        <f t="shared" si="263"/>
        <v>0</v>
      </c>
      <c r="J1992" s="97">
        <v>23654</v>
      </c>
      <c r="K1992" s="367">
        <f t="shared" si="264"/>
        <v>16895.714285714286</v>
      </c>
      <c r="L1992" s="97">
        <v>0.96</v>
      </c>
      <c r="M1992" s="97">
        <v>5.3999999999999995</v>
      </c>
      <c r="N1992" s="97">
        <v>37</v>
      </c>
      <c r="O1992" s="97">
        <v>10</v>
      </c>
      <c r="P1992" s="97" t="s">
        <v>556</v>
      </c>
      <c r="Q1992" s="97" t="str">
        <f t="shared" si="265"/>
        <v/>
      </c>
      <c r="R1992" t="str">
        <f t="shared" si="266"/>
        <v/>
      </c>
    </row>
    <row r="1993" spans="4:18">
      <c r="D1993" s="36">
        <v>733</v>
      </c>
      <c r="E1993" s="97">
        <v>300</v>
      </c>
      <c r="F1993" s="366">
        <f t="shared" si="261"/>
        <v>6510</v>
      </c>
      <c r="G1993" s="97">
        <v>8082</v>
      </c>
      <c r="H1993" s="367">
        <f t="shared" si="262"/>
        <v>14592</v>
      </c>
      <c r="I1993" s="368">
        <f t="shared" si="263"/>
        <v>0</v>
      </c>
      <c r="J1993" s="97">
        <v>20719</v>
      </c>
      <c r="K1993" s="367">
        <f t="shared" si="264"/>
        <v>14799.285714285714</v>
      </c>
      <c r="L1993" s="97">
        <v>0.88</v>
      </c>
      <c r="M1993" s="97">
        <v>4.3999999999999995</v>
      </c>
      <c r="N1993" s="97">
        <v>40</v>
      </c>
      <c r="O1993" s="97">
        <v>8</v>
      </c>
      <c r="P1993" s="97" t="s">
        <v>515</v>
      </c>
      <c r="Q1993" s="97" t="str">
        <f t="shared" si="265"/>
        <v/>
      </c>
      <c r="R1993" t="str">
        <f t="shared" si="266"/>
        <v/>
      </c>
    </row>
    <row r="1994" spans="4:18">
      <c r="D1994" s="36">
        <v>734</v>
      </c>
      <c r="E1994" s="97">
        <v>300</v>
      </c>
      <c r="F1994" s="366">
        <f t="shared" si="261"/>
        <v>6510</v>
      </c>
      <c r="G1994" s="97">
        <v>8243</v>
      </c>
      <c r="H1994" s="367">
        <f t="shared" si="262"/>
        <v>14753</v>
      </c>
      <c r="I1994" s="368">
        <f t="shared" si="263"/>
        <v>0</v>
      </c>
      <c r="J1994" s="97">
        <v>21132</v>
      </c>
      <c r="K1994" s="367">
        <f t="shared" si="264"/>
        <v>15094.285714285714</v>
      </c>
      <c r="L1994" s="97">
        <v>0.74</v>
      </c>
      <c r="M1994" s="97">
        <v>4.8999999999999995</v>
      </c>
      <c r="N1994" s="97">
        <v>40</v>
      </c>
      <c r="O1994" s="97">
        <v>9</v>
      </c>
      <c r="P1994" s="97" t="s">
        <v>515</v>
      </c>
      <c r="Q1994" s="97" t="str">
        <f t="shared" si="265"/>
        <v/>
      </c>
      <c r="R1994" t="str">
        <f t="shared" si="266"/>
        <v/>
      </c>
    </row>
    <row r="1995" spans="4:18">
      <c r="D1995" s="36">
        <v>735</v>
      </c>
      <c r="E1995" s="97">
        <v>300</v>
      </c>
      <c r="F1995" s="366">
        <f t="shared" si="261"/>
        <v>6510</v>
      </c>
      <c r="G1995" s="97">
        <v>8338</v>
      </c>
      <c r="H1995" s="367">
        <f t="shared" si="262"/>
        <v>14848</v>
      </c>
      <c r="I1995" s="368">
        <f t="shared" si="263"/>
        <v>0</v>
      </c>
      <c r="J1995" s="97">
        <v>21374</v>
      </c>
      <c r="K1995" s="367">
        <f t="shared" si="264"/>
        <v>15267.142857142857</v>
      </c>
      <c r="L1995" s="97">
        <v>0.62</v>
      </c>
      <c r="M1995" s="97">
        <v>5.3999999999999995</v>
      </c>
      <c r="N1995" s="97">
        <v>40</v>
      </c>
      <c r="O1995" s="97">
        <v>10</v>
      </c>
      <c r="P1995" s="97" t="s">
        <v>515</v>
      </c>
      <c r="Q1995" s="97" t="str">
        <f t="shared" si="265"/>
        <v/>
      </c>
      <c r="R1995" t="str">
        <f t="shared" si="266"/>
        <v/>
      </c>
    </row>
    <row r="1996" spans="4:18">
      <c r="D1996" s="36">
        <v>736</v>
      </c>
      <c r="E1996" s="97">
        <v>300</v>
      </c>
      <c r="F1996" s="366">
        <f t="shared" si="261"/>
        <v>6510</v>
      </c>
      <c r="G1996" s="97">
        <v>9308</v>
      </c>
      <c r="H1996" s="367">
        <f t="shared" si="262"/>
        <v>15818</v>
      </c>
      <c r="I1996" s="368">
        <f t="shared" si="263"/>
        <v>0</v>
      </c>
      <c r="J1996" s="97">
        <v>23861</v>
      </c>
      <c r="K1996" s="367">
        <f t="shared" si="264"/>
        <v>17043.571428571428</v>
      </c>
      <c r="L1996" s="97">
        <v>0.99</v>
      </c>
      <c r="M1996" s="97">
        <v>5.3999999999999995</v>
      </c>
      <c r="N1996" s="97">
        <v>38</v>
      </c>
      <c r="O1996" s="97">
        <v>10</v>
      </c>
      <c r="P1996" s="97" t="s">
        <v>556</v>
      </c>
      <c r="Q1996" s="97" t="str">
        <f t="shared" si="265"/>
        <v/>
      </c>
      <c r="R1996" t="str">
        <f t="shared" si="266"/>
        <v/>
      </c>
    </row>
    <row r="1997" spans="4:18">
      <c r="D1997" s="36">
        <v>737</v>
      </c>
      <c r="E1997" s="97">
        <v>305</v>
      </c>
      <c r="F1997" s="366">
        <f t="shared" si="261"/>
        <v>6618.5</v>
      </c>
      <c r="G1997" s="97">
        <v>8156</v>
      </c>
      <c r="H1997" s="367">
        <f t="shared" si="262"/>
        <v>14774.5</v>
      </c>
      <c r="I1997" s="368">
        <f t="shared" si="263"/>
        <v>0</v>
      </c>
      <c r="J1997" s="97">
        <v>20908</v>
      </c>
      <c r="K1997" s="367">
        <f t="shared" si="264"/>
        <v>14934.285714285714</v>
      </c>
      <c r="L1997" s="97">
        <v>0.91</v>
      </c>
      <c r="M1997" s="97">
        <v>4.3999999999999995</v>
      </c>
      <c r="N1997" s="97">
        <v>40</v>
      </c>
      <c r="O1997" s="97">
        <v>8</v>
      </c>
      <c r="P1997" s="97" t="s">
        <v>515</v>
      </c>
      <c r="Q1997" s="97" t="str">
        <f t="shared" si="265"/>
        <v/>
      </c>
      <c r="R1997" t="str">
        <f t="shared" si="266"/>
        <v/>
      </c>
    </row>
    <row r="1998" spans="4:18">
      <c r="D1998" s="36">
        <v>738</v>
      </c>
      <c r="E1998" s="97">
        <v>305</v>
      </c>
      <c r="F1998" s="366">
        <f t="shared" si="261"/>
        <v>6618.5</v>
      </c>
      <c r="G1998" s="97">
        <v>8331</v>
      </c>
      <c r="H1998" s="367">
        <f t="shared" si="262"/>
        <v>14949.5</v>
      </c>
      <c r="I1998" s="368">
        <f t="shared" si="263"/>
        <v>0</v>
      </c>
      <c r="J1998" s="97">
        <v>21357</v>
      </c>
      <c r="K1998" s="367">
        <f t="shared" si="264"/>
        <v>15255</v>
      </c>
      <c r="L1998" s="97">
        <v>0.77</v>
      </c>
      <c r="M1998" s="97">
        <v>4.8999999999999995</v>
      </c>
      <c r="N1998" s="97">
        <v>41</v>
      </c>
      <c r="O1998" s="97">
        <v>9</v>
      </c>
      <c r="P1998" s="97" t="s">
        <v>515</v>
      </c>
      <c r="Q1998" s="97" t="str">
        <f t="shared" si="265"/>
        <v/>
      </c>
      <c r="R1998" t="str">
        <f t="shared" si="266"/>
        <v/>
      </c>
    </row>
    <row r="1999" spans="4:18">
      <c r="D1999" s="36">
        <v>739</v>
      </c>
      <c r="E1999" s="97">
        <v>305</v>
      </c>
      <c r="F1999" s="366">
        <f t="shared" si="261"/>
        <v>6618.5</v>
      </c>
      <c r="G1999" s="97">
        <v>8427</v>
      </c>
      <c r="H1999" s="367">
        <f t="shared" si="262"/>
        <v>15045.5</v>
      </c>
      <c r="I1999" s="368">
        <f t="shared" si="263"/>
        <v>0</v>
      </c>
      <c r="J1999" s="97">
        <v>21602</v>
      </c>
      <c r="K1999" s="367">
        <f t="shared" si="264"/>
        <v>15430</v>
      </c>
      <c r="L1999" s="97">
        <v>0.64</v>
      </c>
      <c r="M1999" s="97">
        <v>5.3999999999999995</v>
      </c>
      <c r="N1999" s="97">
        <v>40</v>
      </c>
      <c r="O1999" s="97">
        <v>10</v>
      </c>
      <c r="P1999" s="97" t="s">
        <v>515</v>
      </c>
      <c r="Q1999" s="97" t="str">
        <f t="shared" si="265"/>
        <v/>
      </c>
      <c r="R1999" t="str">
        <f t="shared" si="266"/>
        <v/>
      </c>
    </row>
    <row r="2000" spans="4:18">
      <c r="D2000" s="36">
        <v>740</v>
      </c>
      <c r="E2000" s="97">
        <v>305</v>
      </c>
      <c r="F2000" s="366">
        <f t="shared" si="261"/>
        <v>6618.5</v>
      </c>
      <c r="G2000" s="97">
        <v>9389</v>
      </c>
      <c r="H2000" s="367">
        <f t="shared" si="262"/>
        <v>16007.5</v>
      </c>
      <c r="I2000" s="368">
        <f t="shared" si="263"/>
        <v>0</v>
      </c>
      <c r="J2000" s="97">
        <v>24068</v>
      </c>
      <c r="K2000" s="367">
        <f t="shared" si="264"/>
        <v>17191.428571428572</v>
      </c>
      <c r="L2000" s="97">
        <v>1.03</v>
      </c>
      <c r="M2000" s="97">
        <v>5.3999999999999995</v>
      </c>
      <c r="N2000" s="97">
        <v>38</v>
      </c>
      <c r="O2000" s="97">
        <v>10</v>
      </c>
      <c r="P2000" s="97" t="s">
        <v>556</v>
      </c>
      <c r="Q2000" s="97" t="str">
        <f t="shared" si="265"/>
        <v/>
      </c>
      <c r="R2000" t="str">
        <f t="shared" si="266"/>
        <v/>
      </c>
    </row>
    <row r="2001" spans="4:18">
      <c r="D2001" s="36">
        <v>741</v>
      </c>
      <c r="E2001" s="97">
        <v>310</v>
      </c>
      <c r="F2001" s="366">
        <f t="shared" si="261"/>
        <v>6727</v>
      </c>
      <c r="G2001" s="97">
        <v>8230</v>
      </c>
      <c r="H2001" s="367">
        <f t="shared" si="262"/>
        <v>14957</v>
      </c>
      <c r="I2001" s="368">
        <f t="shared" si="263"/>
        <v>0</v>
      </c>
      <c r="J2001" s="97">
        <v>21098</v>
      </c>
      <c r="K2001" s="367">
        <f t="shared" si="264"/>
        <v>15070</v>
      </c>
      <c r="L2001" s="97">
        <v>0.94000000000000006</v>
      </c>
      <c r="M2001" s="97">
        <v>4.3999999999999995</v>
      </c>
      <c r="N2001" s="97">
        <v>41</v>
      </c>
      <c r="O2001" s="97">
        <v>8</v>
      </c>
      <c r="P2001" s="97" t="s">
        <v>515</v>
      </c>
      <c r="Q2001" s="97" t="str">
        <f t="shared" si="265"/>
        <v/>
      </c>
      <c r="R2001" t="str">
        <f t="shared" si="266"/>
        <v/>
      </c>
    </row>
    <row r="2002" spans="4:18">
      <c r="D2002" s="36">
        <v>742</v>
      </c>
      <c r="E2002" s="97">
        <v>310</v>
      </c>
      <c r="F2002" s="366">
        <f t="shared" si="261"/>
        <v>6727</v>
      </c>
      <c r="G2002" s="97">
        <v>8419</v>
      </c>
      <c r="H2002" s="367">
        <f t="shared" si="262"/>
        <v>15146</v>
      </c>
      <c r="I2002" s="368">
        <f t="shared" si="263"/>
        <v>0</v>
      </c>
      <c r="J2002" s="97">
        <v>21582</v>
      </c>
      <c r="K2002" s="367">
        <f t="shared" si="264"/>
        <v>15415.714285714286</v>
      </c>
      <c r="L2002" s="97">
        <v>0.79</v>
      </c>
      <c r="M2002" s="97">
        <v>4.8999999999999995</v>
      </c>
      <c r="N2002" s="97">
        <v>41</v>
      </c>
      <c r="O2002" s="97">
        <v>9</v>
      </c>
      <c r="P2002" s="97" t="s">
        <v>515</v>
      </c>
      <c r="Q2002" s="97" t="str">
        <f t="shared" si="265"/>
        <v/>
      </c>
      <c r="R2002" t="str">
        <f t="shared" si="266"/>
        <v/>
      </c>
    </row>
    <row r="2003" spans="4:18">
      <c r="D2003" s="36">
        <v>743</v>
      </c>
      <c r="E2003" s="97">
        <v>310</v>
      </c>
      <c r="F2003" s="366">
        <f t="shared" si="261"/>
        <v>6727</v>
      </c>
      <c r="G2003" s="97">
        <v>8515</v>
      </c>
      <c r="H2003" s="367">
        <f t="shared" si="262"/>
        <v>15242</v>
      </c>
      <c r="I2003" s="368">
        <f t="shared" si="263"/>
        <v>0</v>
      </c>
      <c r="J2003" s="97">
        <v>21827</v>
      </c>
      <c r="K2003" s="367">
        <f t="shared" si="264"/>
        <v>15590.714285714286</v>
      </c>
      <c r="L2003" s="97">
        <v>0.66</v>
      </c>
      <c r="M2003" s="97">
        <v>5.3999999999999995</v>
      </c>
      <c r="N2003" s="97">
        <v>41</v>
      </c>
      <c r="O2003" s="97">
        <v>10</v>
      </c>
      <c r="P2003" s="97" t="s">
        <v>515</v>
      </c>
      <c r="Q2003" s="97" t="str">
        <f t="shared" si="265"/>
        <v/>
      </c>
      <c r="R2003" t="str">
        <f t="shared" si="266"/>
        <v/>
      </c>
    </row>
    <row r="2004" spans="4:18">
      <c r="D2004" s="36">
        <v>744</v>
      </c>
      <c r="E2004" s="97">
        <v>315</v>
      </c>
      <c r="F2004" s="366">
        <f t="shared" si="261"/>
        <v>6835.5</v>
      </c>
      <c r="G2004" s="97">
        <v>8301</v>
      </c>
      <c r="H2004" s="367">
        <f t="shared" si="262"/>
        <v>15136.5</v>
      </c>
      <c r="I2004" s="368">
        <f t="shared" si="263"/>
        <v>0</v>
      </c>
      <c r="J2004" s="97">
        <v>21280</v>
      </c>
      <c r="K2004" s="367">
        <f t="shared" si="264"/>
        <v>15200</v>
      </c>
      <c r="L2004" s="97">
        <v>0.97</v>
      </c>
      <c r="M2004" s="97">
        <v>4.3999999999999995</v>
      </c>
      <c r="N2004" s="97">
        <v>42</v>
      </c>
      <c r="O2004" s="97">
        <v>8</v>
      </c>
      <c r="P2004" s="97" t="s">
        <v>515</v>
      </c>
      <c r="Q2004" s="97" t="str">
        <f t="shared" si="265"/>
        <v/>
      </c>
      <c r="R2004" t="str">
        <f t="shared" si="266"/>
        <v/>
      </c>
    </row>
    <row r="2005" spans="4:18">
      <c r="D2005" s="36">
        <v>745</v>
      </c>
      <c r="E2005" s="97">
        <v>315</v>
      </c>
      <c r="F2005" s="366">
        <f t="shared" si="261"/>
        <v>6835.5</v>
      </c>
      <c r="G2005" s="97">
        <v>8507</v>
      </c>
      <c r="H2005" s="367">
        <f t="shared" si="262"/>
        <v>15342.5</v>
      </c>
      <c r="I2005" s="368">
        <f t="shared" si="263"/>
        <v>0</v>
      </c>
      <c r="J2005" s="97">
        <v>21807</v>
      </c>
      <c r="K2005" s="367">
        <f t="shared" si="264"/>
        <v>15576.428571428572</v>
      </c>
      <c r="L2005" s="97">
        <v>0.82000000000000006</v>
      </c>
      <c r="M2005" s="97">
        <v>4.8999999999999995</v>
      </c>
      <c r="N2005" s="97">
        <v>42</v>
      </c>
      <c r="O2005" s="97">
        <v>9</v>
      </c>
      <c r="P2005" s="97" t="s">
        <v>515</v>
      </c>
      <c r="Q2005" s="97" t="str">
        <f t="shared" si="265"/>
        <v/>
      </c>
      <c r="R2005" t="str">
        <f t="shared" si="266"/>
        <v/>
      </c>
    </row>
    <row r="2006" spans="4:18">
      <c r="D2006" s="36">
        <v>746</v>
      </c>
      <c r="E2006" s="97">
        <v>315</v>
      </c>
      <c r="F2006" s="366">
        <f t="shared" si="261"/>
        <v>6835.5</v>
      </c>
      <c r="G2006" s="97">
        <v>8602</v>
      </c>
      <c r="H2006" s="367">
        <f t="shared" si="262"/>
        <v>15437.5</v>
      </c>
      <c r="I2006" s="368">
        <f t="shared" si="263"/>
        <v>0</v>
      </c>
      <c r="J2006" s="97">
        <v>22052</v>
      </c>
      <c r="K2006" s="367">
        <f t="shared" si="264"/>
        <v>15751.428571428572</v>
      </c>
      <c r="L2006" s="97">
        <v>0.68</v>
      </c>
      <c r="M2006" s="97">
        <v>5.3999999999999995</v>
      </c>
      <c r="N2006" s="97">
        <v>42</v>
      </c>
      <c r="O2006" s="97">
        <v>10</v>
      </c>
      <c r="P2006" s="97" t="s">
        <v>515</v>
      </c>
      <c r="Q2006" s="97" t="str">
        <f t="shared" si="265"/>
        <v/>
      </c>
      <c r="R2006" t="str">
        <f t="shared" si="266"/>
        <v/>
      </c>
    </row>
    <row r="2007" spans="4:18">
      <c r="D2007" s="36">
        <v>747</v>
      </c>
      <c r="E2007" s="97">
        <v>320</v>
      </c>
      <c r="F2007" s="366">
        <f t="shared" si="261"/>
        <v>6944</v>
      </c>
      <c r="G2007" s="97">
        <v>8370</v>
      </c>
      <c r="H2007" s="367">
        <f t="shared" si="262"/>
        <v>15314</v>
      </c>
      <c r="I2007" s="368">
        <f t="shared" si="263"/>
        <v>0</v>
      </c>
      <c r="J2007" s="97">
        <v>21455</v>
      </c>
      <c r="K2007" s="367">
        <f t="shared" si="264"/>
        <v>15325</v>
      </c>
      <c r="L2007" s="97">
        <v>1</v>
      </c>
      <c r="M2007" s="97">
        <v>4.3999999999999995</v>
      </c>
      <c r="N2007" s="97">
        <v>42</v>
      </c>
      <c r="O2007" s="97">
        <v>8</v>
      </c>
      <c r="P2007" s="97" t="s">
        <v>515</v>
      </c>
      <c r="Q2007" s="97" t="str">
        <f t="shared" si="265"/>
        <v/>
      </c>
      <c r="R2007" t="str">
        <f t="shared" si="266"/>
        <v/>
      </c>
    </row>
    <row r="2008" spans="4:18">
      <c r="D2008" s="36">
        <v>748</v>
      </c>
      <c r="E2008" s="97">
        <v>320</v>
      </c>
      <c r="F2008" s="366">
        <f t="shared" si="261"/>
        <v>6944</v>
      </c>
      <c r="G2008" s="97">
        <v>8594</v>
      </c>
      <c r="H2008" s="367">
        <f t="shared" si="262"/>
        <v>15538</v>
      </c>
      <c r="I2008" s="368">
        <f t="shared" si="263"/>
        <v>0</v>
      </c>
      <c r="J2008" s="97">
        <v>22031</v>
      </c>
      <c r="K2008" s="367">
        <f t="shared" si="264"/>
        <v>15736.428571428572</v>
      </c>
      <c r="L2008" s="97">
        <v>0.84</v>
      </c>
      <c r="M2008" s="97">
        <v>4.8999999999999995</v>
      </c>
      <c r="N2008" s="97">
        <v>43</v>
      </c>
      <c r="O2008" s="97">
        <v>9</v>
      </c>
      <c r="P2008" s="97" t="s">
        <v>515</v>
      </c>
      <c r="Q2008" s="97" t="str">
        <f t="shared" si="265"/>
        <v/>
      </c>
      <c r="R2008" t="str">
        <f t="shared" si="266"/>
        <v/>
      </c>
    </row>
    <row r="2009" spans="4:18">
      <c r="D2009" s="36">
        <v>749</v>
      </c>
      <c r="E2009" s="97">
        <v>320</v>
      </c>
      <c r="F2009" s="366">
        <f t="shared" si="261"/>
        <v>6944</v>
      </c>
      <c r="G2009" s="97">
        <v>8690</v>
      </c>
      <c r="H2009" s="367">
        <f t="shared" si="262"/>
        <v>15634</v>
      </c>
      <c r="I2009" s="368">
        <f t="shared" si="263"/>
        <v>0</v>
      </c>
      <c r="J2009" s="97">
        <v>22277</v>
      </c>
      <c r="K2009" s="367">
        <f t="shared" si="264"/>
        <v>15912.142857142857</v>
      </c>
      <c r="L2009" s="97">
        <v>0.7</v>
      </c>
      <c r="M2009" s="97">
        <v>5.3999999999999995</v>
      </c>
      <c r="N2009" s="97">
        <v>42</v>
      </c>
      <c r="O2009" s="97">
        <v>10</v>
      </c>
      <c r="P2009" s="97" t="s">
        <v>515</v>
      </c>
      <c r="Q2009" s="97" t="str">
        <f t="shared" si="265"/>
        <v/>
      </c>
      <c r="R2009" t="str">
        <f t="shared" si="266"/>
        <v/>
      </c>
    </row>
    <row r="2010" spans="4:18">
      <c r="D2010" s="36">
        <v>750</v>
      </c>
      <c r="E2010" s="97">
        <v>325</v>
      </c>
      <c r="F2010" s="366">
        <f t="shared" si="261"/>
        <v>7052.5</v>
      </c>
      <c r="G2010" s="97">
        <v>8438</v>
      </c>
      <c r="H2010" s="367">
        <f t="shared" si="262"/>
        <v>15490.5</v>
      </c>
      <c r="I2010" s="368">
        <f t="shared" si="263"/>
        <v>0</v>
      </c>
      <c r="J2010" s="97">
        <v>21630</v>
      </c>
      <c r="K2010" s="367">
        <f t="shared" si="264"/>
        <v>15450</v>
      </c>
      <c r="L2010" s="97">
        <v>1.03</v>
      </c>
      <c r="M2010" s="97">
        <v>4.3999999999999995</v>
      </c>
      <c r="N2010" s="97">
        <v>43</v>
      </c>
      <c r="O2010" s="97">
        <v>8</v>
      </c>
      <c r="P2010" s="97" t="s">
        <v>515</v>
      </c>
      <c r="Q2010" s="97" t="str">
        <f t="shared" si="265"/>
        <v/>
      </c>
      <c r="R2010" t="str">
        <f t="shared" si="266"/>
        <v/>
      </c>
    </row>
    <row r="2011" spans="4:18">
      <c r="D2011" s="36">
        <v>751</v>
      </c>
      <c r="E2011" s="97">
        <v>325</v>
      </c>
      <c r="F2011" s="366">
        <f t="shared" si="261"/>
        <v>7052.5</v>
      </c>
      <c r="G2011" s="97">
        <v>8682</v>
      </c>
      <c r="H2011" s="367">
        <f t="shared" si="262"/>
        <v>15734.5</v>
      </c>
      <c r="I2011" s="368">
        <f t="shared" si="263"/>
        <v>0</v>
      </c>
      <c r="J2011" s="97">
        <v>22256</v>
      </c>
      <c r="K2011" s="367">
        <f t="shared" si="264"/>
        <v>15897.142857142857</v>
      </c>
      <c r="L2011" s="97">
        <v>0.87</v>
      </c>
      <c r="M2011" s="97">
        <v>4.8999999999999995</v>
      </c>
      <c r="N2011" s="97">
        <v>43</v>
      </c>
      <c r="O2011" s="97">
        <v>9</v>
      </c>
      <c r="P2011" s="97" t="s">
        <v>515</v>
      </c>
      <c r="Q2011" s="97" t="str">
        <f t="shared" si="265"/>
        <v/>
      </c>
      <c r="R2011" t="str">
        <f t="shared" si="266"/>
        <v/>
      </c>
    </row>
    <row r="2012" spans="4:18">
      <c r="D2012" s="36">
        <v>752</v>
      </c>
      <c r="E2012" s="97">
        <v>325</v>
      </c>
      <c r="F2012" s="366">
        <f t="shared" si="261"/>
        <v>7052.5</v>
      </c>
      <c r="G2012" s="97">
        <v>8778</v>
      </c>
      <c r="H2012" s="367">
        <f t="shared" si="262"/>
        <v>15830.5</v>
      </c>
      <c r="I2012" s="368">
        <f t="shared" si="263"/>
        <v>0</v>
      </c>
      <c r="J2012" s="97">
        <v>22501</v>
      </c>
      <c r="K2012" s="367">
        <f t="shared" si="264"/>
        <v>16072.142857142857</v>
      </c>
      <c r="L2012" s="97">
        <v>0.72</v>
      </c>
      <c r="M2012" s="97">
        <v>5.3999999999999995</v>
      </c>
      <c r="N2012" s="97">
        <v>43</v>
      </c>
      <c r="O2012" s="97">
        <v>10</v>
      </c>
      <c r="P2012" s="97" t="s">
        <v>515</v>
      </c>
      <c r="Q2012" s="97" t="str">
        <f t="shared" si="265"/>
        <v/>
      </c>
      <c r="R2012" t="str">
        <f t="shared" si="266"/>
        <v/>
      </c>
    </row>
    <row r="2013" spans="4:18">
      <c r="D2013" s="36">
        <v>753</v>
      </c>
      <c r="E2013" s="97">
        <v>330</v>
      </c>
      <c r="F2013" s="366">
        <f t="shared" si="261"/>
        <v>7161</v>
      </c>
      <c r="G2013" s="97">
        <v>8754</v>
      </c>
      <c r="H2013" s="367">
        <f t="shared" si="262"/>
        <v>15915</v>
      </c>
      <c r="I2013" s="368">
        <f t="shared" si="263"/>
        <v>0</v>
      </c>
      <c r="J2013" s="97">
        <v>22441</v>
      </c>
      <c r="K2013" s="367">
        <f t="shared" si="264"/>
        <v>16029.285714285714</v>
      </c>
      <c r="L2013" s="97">
        <v>0.9</v>
      </c>
      <c r="M2013" s="97">
        <v>4.8999999999999995</v>
      </c>
      <c r="N2013" s="97">
        <v>44</v>
      </c>
      <c r="O2013" s="97">
        <v>9</v>
      </c>
      <c r="P2013" s="97" t="s">
        <v>515</v>
      </c>
      <c r="Q2013" s="97" t="str">
        <f t="shared" si="265"/>
        <v/>
      </c>
      <c r="R2013" t="str">
        <f t="shared" si="266"/>
        <v/>
      </c>
    </row>
    <row r="2014" spans="4:18">
      <c r="D2014" s="36">
        <v>754</v>
      </c>
      <c r="E2014" s="97">
        <v>330</v>
      </c>
      <c r="F2014" s="366">
        <f t="shared" si="261"/>
        <v>7161</v>
      </c>
      <c r="G2014" s="97">
        <v>8865</v>
      </c>
      <c r="H2014" s="367">
        <f t="shared" si="262"/>
        <v>16026</v>
      </c>
      <c r="I2014" s="368">
        <f t="shared" si="263"/>
        <v>0</v>
      </c>
      <c r="J2014" s="97">
        <v>22726</v>
      </c>
      <c r="K2014" s="367">
        <f t="shared" si="264"/>
        <v>16232.857142857143</v>
      </c>
      <c r="L2014" s="97">
        <v>0.74</v>
      </c>
      <c r="M2014" s="97">
        <v>5.3999999999999995</v>
      </c>
      <c r="N2014" s="97">
        <v>44</v>
      </c>
      <c r="O2014" s="97">
        <v>10</v>
      </c>
      <c r="P2014" s="97" t="s">
        <v>515</v>
      </c>
      <c r="Q2014" s="97" t="str">
        <f t="shared" si="265"/>
        <v/>
      </c>
      <c r="R2014" t="str">
        <f t="shared" si="266"/>
        <v/>
      </c>
    </row>
    <row r="2015" spans="4:18">
      <c r="D2015" s="36">
        <v>755</v>
      </c>
      <c r="E2015" s="97">
        <v>335</v>
      </c>
      <c r="F2015" s="366">
        <f t="shared" si="261"/>
        <v>7269.5</v>
      </c>
      <c r="G2015" s="97">
        <v>8824</v>
      </c>
      <c r="H2015" s="367">
        <f t="shared" si="262"/>
        <v>16093.5</v>
      </c>
      <c r="I2015" s="368">
        <f t="shared" si="263"/>
        <v>0</v>
      </c>
      <c r="J2015" s="97">
        <v>22619</v>
      </c>
      <c r="K2015" s="367">
        <f t="shared" si="264"/>
        <v>16156.428571428572</v>
      </c>
      <c r="L2015" s="97">
        <v>0.92</v>
      </c>
      <c r="M2015" s="97">
        <v>4.8999999999999995</v>
      </c>
      <c r="N2015" s="97">
        <v>45</v>
      </c>
      <c r="O2015" s="97">
        <v>9</v>
      </c>
      <c r="P2015" s="97" t="s">
        <v>515</v>
      </c>
      <c r="Q2015" s="97" t="str">
        <f t="shared" si="265"/>
        <v/>
      </c>
      <c r="R2015" t="str">
        <f t="shared" si="266"/>
        <v/>
      </c>
    </row>
    <row r="2016" spans="4:18">
      <c r="D2016" s="36">
        <v>756</v>
      </c>
      <c r="E2016" s="97">
        <v>335</v>
      </c>
      <c r="F2016" s="366">
        <f t="shared" si="261"/>
        <v>7269.5</v>
      </c>
      <c r="G2016" s="97">
        <v>8951</v>
      </c>
      <c r="H2016" s="367">
        <f t="shared" si="262"/>
        <v>16220.5</v>
      </c>
      <c r="I2016" s="368">
        <f t="shared" si="263"/>
        <v>0</v>
      </c>
      <c r="J2016" s="97">
        <v>22946</v>
      </c>
      <c r="K2016" s="367">
        <f t="shared" si="264"/>
        <v>16390</v>
      </c>
      <c r="L2016" s="97">
        <v>0.77</v>
      </c>
      <c r="M2016" s="97">
        <v>5.3999999999999995</v>
      </c>
      <c r="N2016" s="97">
        <v>44</v>
      </c>
      <c r="O2016" s="97">
        <v>10</v>
      </c>
      <c r="P2016" s="97" t="s">
        <v>515</v>
      </c>
      <c r="Q2016" s="97" t="str">
        <f t="shared" si="265"/>
        <v/>
      </c>
      <c r="R2016" t="str">
        <f t="shared" si="266"/>
        <v/>
      </c>
    </row>
    <row r="2017" spans="1:18">
      <c r="D2017" s="36">
        <v>757</v>
      </c>
      <c r="E2017" s="97">
        <v>340</v>
      </c>
      <c r="F2017" s="366">
        <f t="shared" si="261"/>
        <v>7378</v>
      </c>
      <c r="G2017" s="97">
        <v>8893</v>
      </c>
      <c r="H2017" s="367">
        <f t="shared" si="262"/>
        <v>16271</v>
      </c>
      <c r="I2017" s="368">
        <f t="shared" si="263"/>
        <v>0</v>
      </c>
      <c r="J2017" s="97">
        <v>22798</v>
      </c>
      <c r="K2017" s="367">
        <f t="shared" si="264"/>
        <v>16284.285714285714</v>
      </c>
      <c r="L2017" s="97">
        <v>0.95</v>
      </c>
      <c r="M2017" s="97">
        <v>4.8999999999999995</v>
      </c>
      <c r="N2017" s="97">
        <v>45</v>
      </c>
      <c r="O2017" s="97">
        <v>9</v>
      </c>
      <c r="P2017" s="97" t="s">
        <v>515</v>
      </c>
      <c r="Q2017" s="97" t="str">
        <f t="shared" si="265"/>
        <v/>
      </c>
      <c r="R2017" t="str">
        <f t="shared" si="266"/>
        <v/>
      </c>
    </row>
    <row r="2018" spans="1:18">
      <c r="D2018" s="36">
        <v>758</v>
      </c>
      <c r="E2018" s="97">
        <v>340</v>
      </c>
      <c r="F2018" s="366">
        <f t="shared" si="261"/>
        <v>7378</v>
      </c>
      <c r="G2018" s="97">
        <v>9034</v>
      </c>
      <c r="H2018" s="367">
        <f t="shared" si="262"/>
        <v>16412</v>
      </c>
      <c r="I2018" s="368">
        <f t="shared" si="263"/>
        <v>0</v>
      </c>
      <c r="J2018" s="97">
        <v>23159</v>
      </c>
      <c r="K2018" s="367">
        <f t="shared" si="264"/>
        <v>16542.142857142859</v>
      </c>
      <c r="L2018" s="97">
        <v>0.79</v>
      </c>
      <c r="M2018" s="97">
        <v>5.3999999999999995</v>
      </c>
      <c r="N2018" s="97">
        <v>45</v>
      </c>
      <c r="O2018" s="97">
        <v>10</v>
      </c>
      <c r="P2018" s="97" t="s">
        <v>515</v>
      </c>
      <c r="Q2018" s="97" t="str">
        <f t="shared" si="265"/>
        <v/>
      </c>
      <c r="R2018" t="str">
        <f t="shared" si="266"/>
        <v/>
      </c>
    </row>
    <row r="2019" spans="1:18">
      <c r="D2019" s="36">
        <v>759</v>
      </c>
      <c r="E2019" s="97">
        <v>345</v>
      </c>
      <c r="F2019" s="366">
        <f t="shared" si="261"/>
        <v>7486.5</v>
      </c>
      <c r="G2019" s="97">
        <v>8963</v>
      </c>
      <c r="H2019" s="367">
        <f t="shared" si="262"/>
        <v>16449.5</v>
      </c>
      <c r="I2019" s="368">
        <f t="shared" si="263"/>
        <v>0</v>
      </c>
      <c r="J2019" s="97">
        <v>22976</v>
      </c>
      <c r="K2019" s="367">
        <f t="shared" si="264"/>
        <v>16411.428571428572</v>
      </c>
      <c r="L2019" s="97">
        <v>0.98</v>
      </c>
      <c r="M2019" s="97">
        <v>4.8999999999999995</v>
      </c>
      <c r="N2019" s="97">
        <v>46</v>
      </c>
      <c r="O2019" s="97">
        <v>9</v>
      </c>
      <c r="P2019" s="97" t="s">
        <v>515</v>
      </c>
      <c r="Q2019" s="97" t="str">
        <f t="shared" si="265"/>
        <v/>
      </c>
      <c r="R2019" t="str">
        <f t="shared" si="266"/>
        <v/>
      </c>
    </row>
    <row r="2020" spans="1:18">
      <c r="D2020" s="36">
        <v>760</v>
      </c>
      <c r="E2020" s="97">
        <v>345</v>
      </c>
      <c r="F2020" s="366">
        <f t="shared" si="261"/>
        <v>7486.5</v>
      </c>
      <c r="G2020" s="97">
        <v>9118</v>
      </c>
      <c r="H2020" s="367">
        <f t="shared" si="262"/>
        <v>16604.5</v>
      </c>
      <c r="I2020" s="368">
        <f t="shared" si="263"/>
        <v>0</v>
      </c>
      <c r="J2020" s="97">
        <v>23373</v>
      </c>
      <c r="K2020" s="367">
        <f t="shared" si="264"/>
        <v>16695</v>
      </c>
      <c r="L2020" s="97">
        <v>0.81</v>
      </c>
      <c r="M2020" s="97">
        <v>5.3999999999999995</v>
      </c>
      <c r="N2020" s="97">
        <v>45</v>
      </c>
      <c r="O2020" s="97">
        <v>10</v>
      </c>
      <c r="P2020" s="97" t="s">
        <v>515</v>
      </c>
      <c r="Q2020" s="97" t="str">
        <f t="shared" si="265"/>
        <v/>
      </c>
      <c r="R2020" t="str">
        <f t="shared" si="266"/>
        <v/>
      </c>
    </row>
    <row r="2021" spans="1:18">
      <c r="D2021" s="36">
        <v>761</v>
      </c>
      <c r="E2021" s="97">
        <v>350</v>
      </c>
      <c r="F2021" s="366">
        <f t="shared" si="261"/>
        <v>7595</v>
      </c>
      <c r="G2021" s="97">
        <v>9033</v>
      </c>
      <c r="H2021" s="367">
        <f t="shared" si="262"/>
        <v>16628</v>
      </c>
      <c r="I2021" s="368">
        <f t="shared" si="263"/>
        <v>0</v>
      </c>
      <c r="J2021" s="97">
        <v>23155</v>
      </c>
      <c r="K2021" s="367">
        <f t="shared" si="264"/>
        <v>16539.285714285714</v>
      </c>
      <c r="L2021" s="97">
        <v>1.01</v>
      </c>
      <c r="M2021" s="97">
        <v>4.8999999999999995</v>
      </c>
      <c r="N2021" s="97">
        <v>46</v>
      </c>
      <c r="O2021" s="97">
        <v>9</v>
      </c>
      <c r="P2021" s="97" t="s">
        <v>515</v>
      </c>
      <c r="Q2021" s="97" t="str">
        <f t="shared" si="265"/>
        <v/>
      </c>
      <c r="R2021" t="str">
        <f t="shared" si="266"/>
        <v/>
      </c>
    </row>
    <row r="2022" spans="1:18">
      <c r="D2022" s="36">
        <v>762</v>
      </c>
      <c r="E2022" s="97">
        <v>350</v>
      </c>
      <c r="F2022" s="366">
        <f t="shared" si="261"/>
        <v>7595</v>
      </c>
      <c r="G2022" s="97">
        <v>9201</v>
      </c>
      <c r="H2022" s="367">
        <f t="shared" si="262"/>
        <v>16796</v>
      </c>
      <c r="I2022" s="368">
        <f t="shared" si="263"/>
        <v>0</v>
      </c>
      <c r="J2022" s="97">
        <v>23586</v>
      </c>
      <c r="K2022" s="367">
        <f t="shared" si="264"/>
        <v>16847.142857142859</v>
      </c>
      <c r="L2022" s="97">
        <v>0.84</v>
      </c>
      <c r="M2022" s="97">
        <v>5.3999999999999995</v>
      </c>
      <c r="N2022" s="97">
        <v>46</v>
      </c>
      <c r="O2022" s="97">
        <v>10</v>
      </c>
      <c r="P2022" s="97" t="s">
        <v>515</v>
      </c>
      <c r="Q2022" s="97" t="str">
        <f t="shared" si="265"/>
        <v/>
      </c>
      <c r="R2022" t="str">
        <f t="shared" si="266"/>
        <v/>
      </c>
    </row>
    <row r="2023" spans="1:18">
      <c r="D2023" s="36">
        <v>763</v>
      </c>
      <c r="E2023" s="97">
        <v>355</v>
      </c>
      <c r="F2023" s="366">
        <f t="shared" si="261"/>
        <v>7703.5</v>
      </c>
      <c r="G2023" s="97">
        <v>9284</v>
      </c>
      <c r="H2023" s="367">
        <f t="shared" si="262"/>
        <v>16987.5</v>
      </c>
      <c r="I2023" s="368">
        <f t="shared" si="263"/>
        <v>0</v>
      </c>
      <c r="J2023" s="97">
        <v>23800</v>
      </c>
      <c r="K2023" s="367">
        <f t="shared" si="264"/>
        <v>17000</v>
      </c>
      <c r="L2023" s="97">
        <v>0.86</v>
      </c>
      <c r="M2023" s="97">
        <v>5.3999999999999995</v>
      </c>
      <c r="N2023" s="97">
        <v>47</v>
      </c>
      <c r="O2023" s="97">
        <v>10</v>
      </c>
      <c r="P2023" s="97" t="s">
        <v>515</v>
      </c>
      <c r="Q2023" s="97" t="str">
        <f t="shared" si="265"/>
        <v/>
      </c>
      <c r="R2023" t="str">
        <f t="shared" si="266"/>
        <v/>
      </c>
    </row>
    <row r="2024" spans="1:18">
      <c r="D2024" s="36">
        <v>764</v>
      </c>
      <c r="E2024" s="97">
        <v>360</v>
      </c>
      <c r="F2024" s="366">
        <f t="shared" si="261"/>
        <v>7812</v>
      </c>
      <c r="G2024" s="97">
        <v>9368</v>
      </c>
      <c r="H2024" s="367">
        <f t="shared" si="262"/>
        <v>17180</v>
      </c>
      <c r="I2024" s="368">
        <f t="shared" si="263"/>
        <v>0</v>
      </c>
      <c r="J2024" s="97">
        <v>24013</v>
      </c>
      <c r="K2024" s="367">
        <f t="shared" si="264"/>
        <v>17152.142857142859</v>
      </c>
      <c r="L2024" s="97">
        <v>0.89</v>
      </c>
      <c r="M2024" s="97">
        <v>5.3999999999999995</v>
      </c>
      <c r="N2024" s="97">
        <v>47</v>
      </c>
      <c r="O2024" s="97">
        <v>10</v>
      </c>
      <c r="P2024" s="97" t="s">
        <v>515</v>
      </c>
      <c r="Q2024" s="97" t="str">
        <f t="shared" si="265"/>
        <v/>
      </c>
      <c r="R2024" t="str">
        <f t="shared" si="266"/>
        <v/>
      </c>
    </row>
    <row r="2025" spans="1:18">
      <c r="D2025" s="36">
        <v>765</v>
      </c>
      <c r="E2025" s="97">
        <v>365</v>
      </c>
      <c r="F2025" s="366">
        <f t="shared" si="261"/>
        <v>7920.5</v>
      </c>
      <c r="G2025" s="97">
        <v>9448</v>
      </c>
      <c r="H2025" s="367">
        <f t="shared" si="262"/>
        <v>17368.5</v>
      </c>
      <c r="I2025" s="368">
        <f t="shared" si="263"/>
        <v>0</v>
      </c>
      <c r="J2025" s="97">
        <v>24221</v>
      </c>
      <c r="K2025" s="367">
        <f t="shared" si="264"/>
        <v>17300.714285714286</v>
      </c>
      <c r="L2025" s="97">
        <v>0.91</v>
      </c>
      <c r="M2025" s="97">
        <v>5.3999999999999995</v>
      </c>
      <c r="N2025" s="97">
        <v>48</v>
      </c>
      <c r="O2025" s="97">
        <v>10</v>
      </c>
      <c r="P2025" s="97" t="s">
        <v>515</v>
      </c>
      <c r="Q2025" s="97" t="str">
        <f t="shared" si="265"/>
        <v/>
      </c>
      <c r="R2025" t="str">
        <f t="shared" si="266"/>
        <v/>
      </c>
    </row>
    <row r="2026" spans="1:18">
      <c r="D2026" s="36">
        <v>766</v>
      </c>
      <c r="E2026" s="97">
        <v>370</v>
      </c>
      <c r="F2026" s="366">
        <f t="shared" si="261"/>
        <v>8029</v>
      </c>
      <c r="G2026" s="97">
        <v>9514</v>
      </c>
      <c r="H2026" s="367">
        <f t="shared" si="262"/>
        <v>17543</v>
      </c>
      <c r="I2026" s="368">
        <f t="shared" si="263"/>
        <v>0</v>
      </c>
      <c r="J2026" s="97">
        <v>24389</v>
      </c>
      <c r="K2026" s="367">
        <f t="shared" si="264"/>
        <v>17420.714285714286</v>
      </c>
      <c r="L2026" s="97">
        <v>0.94000000000000006</v>
      </c>
      <c r="M2026" s="97">
        <v>5.3999999999999995</v>
      </c>
      <c r="N2026" s="97">
        <v>48</v>
      </c>
      <c r="O2026" s="97">
        <v>10</v>
      </c>
      <c r="P2026" s="97" t="s">
        <v>515</v>
      </c>
      <c r="Q2026" s="97" t="str">
        <f t="shared" si="265"/>
        <v/>
      </c>
      <c r="R2026" t="str">
        <f t="shared" si="266"/>
        <v/>
      </c>
    </row>
    <row r="2027" spans="1:18">
      <c r="D2027" s="36">
        <v>767</v>
      </c>
      <c r="E2027" s="97">
        <v>375</v>
      </c>
      <c r="F2027" s="366">
        <f t="shared" si="261"/>
        <v>8137.5</v>
      </c>
      <c r="G2027" s="97">
        <v>9580</v>
      </c>
      <c r="H2027" s="367">
        <f t="shared" si="262"/>
        <v>17717.5</v>
      </c>
      <c r="I2027" s="368">
        <f t="shared" si="263"/>
        <v>0</v>
      </c>
      <c r="J2027" s="97">
        <v>24558</v>
      </c>
      <c r="K2027" s="367">
        <f t="shared" si="264"/>
        <v>17541.428571428572</v>
      </c>
      <c r="L2027" s="97">
        <v>0.96</v>
      </c>
      <c r="M2027" s="97">
        <v>5.3999999999999995</v>
      </c>
      <c r="N2027" s="97">
        <v>49</v>
      </c>
      <c r="O2027" s="97">
        <v>10</v>
      </c>
      <c r="P2027" s="97" t="s">
        <v>515</v>
      </c>
      <c r="Q2027" s="97" t="str">
        <f t="shared" si="265"/>
        <v/>
      </c>
      <c r="R2027" t="str">
        <f t="shared" si="266"/>
        <v/>
      </c>
    </row>
    <row r="2028" spans="1:18">
      <c r="D2028" s="36">
        <v>768</v>
      </c>
      <c r="E2028" s="97">
        <v>380</v>
      </c>
      <c r="F2028" s="366">
        <f t="shared" si="261"/>
        <v>8246</v>
      </c>
      <c r="G2028" s="97">
        <v>9646</v>
      </c>
      <c r="H2028" s="367">
        <f t="shared" si="262"/>
        <v>17892</v>
      </c>
      <c r="I2028" s="368">
        <f t="shared" si="263"/>
        <v>0</v>
      </c>
      <c r="J2028" s="97">
        <v>24726</v>
      </c>
      <c r="K2028" s="367">
        <f t="shared" si="264"/>
        <v>17661.428571428572</v>
      </c>
      <c r="L2028" s="97">
        <v>0.99</v>
      </c>
      <c r="M2028" s="97">
        <v>5.3999999999999995</v>
      </c>
      <c r="N2028" s="97">
        <v>50</v>
      </c>
      <c r="O2028" s="97">
        <v>10</v>
      </c>
      <c r="P2028" s="97" t="s">
        <v>515</v>
      </c>
      <c r="Q2028" s="97" t="str">
        <f t="shared" si="265"/>
        <v/>
      </c>
      <c r="R2028" t="str">
        <f t="shared" si="266"/>
        <v/>
      </c>
    </row>
    <row r="2029" spans="1:18">
      <c r="D2029" s="36">
        <v>769</v>
      </c>
      <c r="E2029" s="97">
        <v>385</v>
      </c>
      <c r="F2029" s="366">
        <f t="shared" si="261"/>
        <v>8354.5</v>
      </c>
      <c r="G2029" s="97">
        <v>9711</v>
      </c>
      <c r="H2029" s="367">
        <f t="shared" si="262"/>
        <v>18065.5</v>
      </c>
      <c r="I2029" s="368">
        <f t="shared" si="263"/>
        <v>0</v>
      </c>
      <c r="J2029" s="97">
        <v>24895</v>
      </c>
      <c r="K2029" s="367">
        <f t="shared" si="264"/>
        <v>17782.142857142859</v>
      </c>
      <c r="L2029" s="97">
        <v>1.01</v>
      </c>
      <c r="M2029" s="97">
        <v>5.3999999999999995</v>
      </c>
      <c r="N2029" s="97">
        <v>50</v>
      </c>
      <c r="O2029" s="97">
        <v>10</v>
      </c>
      <c r="P2029" s="97" t="s">
        <v>515</v>
      </c>
      <c r="Q2029" s="97" t="str">
        <f t="shared" si="265"/>
        <v/>
      </c>
      <c r="R2029" t="str">
        <f t="shared" si="266"/>
        <v/>
      </c>
    </row>
    <row r="2030" spans="1:18">
      <c r="D2030" s="36"/>
      <c r="E2030" s="97"/>
      <c r="F2030" s="366"/>
      <c r="H2030" s="367"/>
      <c r="I2030" s="368"/>
      <c r="J2030" s="97"/>
      <c r="K2030" s="367"/>
      <c r="L2030" s="97"/>
      <c r="M2030" s="97"/>
      <c r="N2030" s="97"/>
      <c r="O2030" s="97"/>
      <c r="P2030" s="97"/>
      <c r="Q2030" s="97"/>
    </row>
    <row r="2031" spans="1:18">
      <c r="B2031" s="581"/>
      <c r="C2031" t="str">
        <f t="shared" si="246"/>
        <v/>
      </c>
      <c r="D2031" s="36">
        <v>1</v>
      </c>
      <c r="E2031">
        <v>5</v>
      </c>
      <c r="F2031" s="366">
        <f t="shared" ref="F2031:F2094" si="267">1.085*($A$2-$B$2)*E2031*$T$7</f>
        <v>108.5</v>
      </c>
      <c r="G2031" s="97">
        <v>433</v>
      </c>
      <c r="H2031" s="367">
        <f t="shared" ref="H2031:H2094" si="268">(G2031*$U$7)+F2031</f>
        <v>541.5</v>
      </c>
      <c r="I2031" s="368">
        <f t="shared" si="247"/>
        <v>0</v>
      </c>
      <c r="J2031" s="97">
        <v>1110</v>
      </c>
      <c r="K2031" s="367">
        <f t="shared" si="248"/>
        <v>792.85714285714289</v>
      </c>
      <c r="L2031" s="97">
        <v>0.35000000000000003</v>
      </c>
      <c r="M2031" s="97">
        <v>9.7999999999999989</v>
      </c>
      <c r="N2031" s="97">
        <v>15</v>
      </c>
      <c r="O2031" s="97">
        <v>2</v>
      </c>
      <c r="P2031" s="97" t="s">
        <v>512</v>
      </c>
      <c r="Q2031" s="97" t="str">
        <f t="shared" ref="Q2031:Q2094" si="269">IF(AND(H2031+1&gt;$E$4,L2031&lt;$L$4+0.01,M2031&lt;$M$4+0.01,K2031+1&gt;$F$4,E2031+1&gt;$J$4,N2031&lt;$K$4+1,O2031&lt;$P$4+1,C2031=""),D2031,"")</f>
        <v/>
      </c>
      <c r="R2031" t="str">
        <f t="shared" ref="R2031:R2094" si="270">IF(Q2031="","",IF(AND(O2031&lt;$X$17,E2031&gt;$U$17,E2031&lt;$Q$4+$U$17+1),D2031,""))</f>
        <v/>
      </c>
    </row>
    <row r="2032" spans="1:18">
      <c r="A2032" s="581"/>
      <c r="B2032" s="582"/>
      <c r="C2032" t="str">
        <f t="shared" si="246"/>
        <v/>
      </c>
      <c r="D2032" s="36">
        <v>2</v>
      </c>
      <c r="E2032">
        <v>5</v>
      </c>
      <c r="F2032" s="366">
        <f t="shared" si="267"/>
        <v>108.5</v>
      </c>
      <c r="G2032" s="97">
        <v>342</v>
      </c>
      <c r="H2032" s="367">
        <f t="shared" si="268"/>
        <v>450.5</v>
      </c>
      <c r="I2032" s="368">
        <f t="shared" si="247"/>
        <v>0</v>
      </c>
      <c r="J2032" s="97">
        <v>878</v>
      </c>
      <c r="K2032" s="367">
        <f t="shared" si="248"/>
        <v>627.14285714285711</v>
      </c>
      <c r="L2032" s="97">
        <v>0.18000000000000002</v>
      </c>
      <c r="M2032" s="97">
        <v>9.7999999999999989</v>
      </c>
      <c r="N2032" s="97">
        <v>15</v>
      </c>
      <c r="O2032" s="97">
        <v>2</v>
      </c>
      <c r="P2032" s="97" t="s">
        <v>513</v>
      </c>
      <c r="Q2032" s="97" t="str">
        <f t="shared" si="269"/>
        <v/>
      </c>
      <c r="R2032" t="str">
        <f t="shared" si="270"/>
        <v/>
      </c>
    </row>
    <row r="2033" spans="3:18">
      <c r="C2033" t="str">
        <f t="shared" si="246"/>
        <v>NL</v>
      </c>
      <c r="D2033" s="36">
        <v>3</v>
      </c>
      <c r="E2033">
        <v>5</v>
      </c>
      <c r="F2033" s="366">
        <f t="shared" si="267"/>
        <v>108.5</v>
      </c>
      <c r="G2033" s="97">
        <v>474</v>
      </c>
      <c r="H2033" s="367">
        <f t="shared" si="268"/>
        <v>582.5</v>
      </c>
      <c r="I2033" s="368">
        <f t="shared" si="247"/>
        <v>0</v>
      </c>
      <c r="J2033" s="97">
        <v>1216</v>
      </c>
      <c r="K2033" s="367">
        <f t="shared" si="248"/>
        <v>868.57142857142856</v>
      </c>
      <c r="L2033" s="97">
        <v>0.15000000000000002</v>
      </c>
      <c r="M2033" s="97">
        <v>1.8</v>
      </c>
      <c r="N2033" s="97">
        <v>15</v>
      </c>
      <c r="O2033" s="97">
        <v>3</v>
      </c>
      <c r="P2033" s="97" t="s">
        <v>512</v>
      </c>
      <c r="Q2033" s="97" t="str">
        <f t="shared" si="269"/>
        <v/>
      </c>
      <c r="R2033" t="str">
        <f t="shared" si="270"/>
        <v/>
      </c>
    </row>
    <row r="2034" spans="3:18">
      <c r="C2034" t="str">
        <f t="shared" si="246"/>
        <v/>
      </c>
      <c r="D2034" s="36">
        <v>4</v>
      </c>
      <c r="E2034">
        <v>10</v>
      </c>
      <c r="F2034" s="366">
        <f t="shared" si="267"/>
        <v>217</v>
      </c>
      <c r="G2034" s="97">
        <v>703</v>
      </c>
      <c r="H2034" s="367">
        <f t="shared" si="268"/>
        <v>920</v>
      </c>
      <c r="I2034" s="368">
        <f t="shared" si="247"/>
        <v>0</v>
      </c>
      <c r="J2034" s="97">
        <v>1804</v>
      </c>
      <c r="K2034" s="367">
        <f t="shared" si="248"/>
        <v>1288.5714285714287</v>
      </c>
      <c r="L2034" s="97">
        <v>0.69000000000000006</v>
      </c>
      <c r="M2034" s="97">
        <v>9.7999999999999989</v>
      </c>
      <c r="N2034" s="97">
        <v>19</v>
      </c>
      <c r="O2034" s="97">
        <v>2</v>
      </c>
      <c r="P2034" s="97" t="s">
        <v>513</v>
      </c>
      <c r="Q2034" s="97" t="str">
        <f t="shared" si="269"/>
        <v/>
      </c>
      <c r="R2034" t="str">
        <f t="shared" si="270"/>
        <v/>
      </c>
    </row>
    <row r="2035" spans="3:18">
      <c r="C2035" t="str">
        <f t="shared" si="246"/>
        <v/>
      </c>
      <c r="D2035" s="36">
        <v>5</v>
      </c>
      <c r="E2035">
        <v>10</v>
      </c>
      <c r="F2035" s="366">
        <f t="shared" si="267"/>
        <v>217</v>
      </c>
      <c r="G2035" s="97">
        <v>587</v>
      </c>
      <c r="H2035" s="367">
        <f t="shared" si="268"/>
        <v>804</v>
      </c>
      <c r="I2035" s="368">
        <f t="shared" si="247"/>
        <v>0</v>
      </c>
      <c r="J2035" s="97">
        <v>1506</v>
      </c>
      <c r="K2035" s="367">
        <f t="shared" si="248"/>
        <v>1075.7142857142858</v>
      </c>
      <c r="L2035" s="97">
        <v>0.31</v>
      </c>
      <c r="M2035" s="97">
        <v>9.7999999999999989</v>
      </c>
      <c r="N2035" s="97">
        <v>15</v>
      </c>
      <c r="O2035" s="97">
        <v>2</v>
      </c>
      <c r="P2035" s="97" t="s">
        <v>555</v>
      </c>
      <c r="Q2035" s="97" t="str">
        <f t="shared" si="269"/>
        <v/>
      </c>
      <c r="R2035" t="str">
        <f t="shared" si="270"/>
        <v/>
      </c>
    </row>
    <row r="2036" spans="3:18">
      <c r="C2036" t="str">
        <f t="shared" si="246"/>
        <v/>
      </c>
      <c r="D2036" s="36">
        <v>6</v>
      </c>
      <c r="E2036">
        <v>10</v>
      </c>
      <c r="F2036" s="366">
        <f t="shared" si="267"/>
        <v>217</v>
      </c>
      <c r="G2036" s="97">
        <v>544</v>
      </c>
      <c r="H2036" s="367">
        <f t="shared" si="268"/>
        <v>761</v>
      </c>
      <c r="I2036" s="368">
        <f t="shared" si="247"/>
        <v>0</v>
      </c>
      <c r="J2036" s="97">
        <v>1394</v>
      </c>
      <c r="K2036" s="367">
        <f t="shared" si="248"/>
        <v>995.71428571428578</v>
      </c>
      <c r="L2036" s="97">
        <v>0.21000000000000002</v>
      </c>
      <c r="M2036" s="97">
        <v>9.7999999999999989</v>
      </c>
      <c r="N2036" s="97">
        <v>15</v>
      </c>
      <c r="O2036" s="97">
        <v>2</v>
      </c>
      <c r="P2036" s="97" t="s">
        <v>514</v>
      </c>
      <c r="Q2036" s="97" t="str">
        <f t="shared" si="269"/>
        <v/>
      </c>
      <c r="R2036" t="str">
        <f t="shared" si="270"/>
        <v/>
      </c>
    </row>
    <row r="2037" spans="3:18">
      <c r="C2037" t="str">
        <f t="shared" si="246"/>
        <v>NL</v>
      </c>
      <c r="D2037" s="36">
        <v>7</v>
      </c>
      <c r="E2037">
        <v>10</v>
      </c>
      <c r="F2037" s="366">
        <f t="shared" si="267"/>
        <v>217</v>
      </c>
      <c r="G2037" s="97">
        <v>934</v>
      </c>
      <c r="H2037" s="367">
        <f t="shared" si="268"/>
        <v>1151</v>
      </c>
      <c r="I2037" s="368">
        <f t="shared" si="247"/>
        <v>0</v>
      </c>
      <c r="J2037" s="97">
        <v>2395</v>
      </c>
      <c r="K2037" s="367">
        <f t="shared" si="248"/>
        <v>1710.7142857142858</v>
      </c>
      <c r="L2037" s="97">
        <v>0.57000000000000006</v>
      </c>
      <c r="M2037" s="97">
        <v>1.8</v>
      </c>
      <c r="N2037" s="97">
        <v>15</v>
      </c>
      <c r="O2037" s="97">
        <v>3</v>
      </c>
      <c r="P2037" s="97" t="s">
        <v>512</v>
      </c>
      <c r="Q2037" s="97" t="str">
        <f t="shared" si="269"/>
        <v/>
      </c>
      <c r="R2037" t="str">
        <f t="shared" si="270"/>
        <v/>
      </c>
    </row>
    <row r="2038" spans="3:18">
      <c r="C2038" t="str">
        <f t="shared" si="246"/>
        <v>NL</v>
      </c>
      <c r="D2038" s="36">
        <v>8</v>
      </c>
      <c r="E2038">
        <v>10</v>
      </c>
      <c r="F2038" s="366">
        <f t="shared" si="267"/>
        <v>217</v>
      </c>
      <c r="G2038" s="97">
        <v>714</v>
      </c>
      <c r="H2038" s="367">
        <f t="shared" si="268"/>
        <v>931</v>
      </c>
      <c r="I2038" s="368">
        <f t="shared" si="247"/>
        <v>0</v>
      </c>
      <c r="J2038" s="97">
        <v>1830</v>
      </c>
      <c r="K2038" s="367">
        <f t="shared" si="248"/>
        <v>1307.1428571428571</v>
      </c>
      <c r="L2038" s="97">
        <v>0.29000000000000004</v>
      </c>
      <c r="M2038" s="97">
        <v>1.8</v>
      </c>
      <c r="N2038" s="97">
        <v>15</v>
      </c>
      <c r="O2038" s="97">
        <v>3</v>
      </c>
      <c r="P2038" s="97" t="s">
        <v>513</v>
      </c>
      <c r="Q2038" s="97" t="str">
        <f t="shared" si="269"/>
        <v/>
      </c>
      <c r="R2038" t="str">
        <f t="shared" si="270"/>
        <v/>
      </c>
    </row>
    <row r="2039" spans="3:18">
      <c r="C2039" t="str">
        <f t="shared" si="246"/>
        <v>NL</v>
      </c>
      <c r="D2039" s="36">
        <v>9</v>
      </c>
      <c r="E2039">
        <v>10</v>
      </c>
      <c r="F2039" s="366">
        <f t="shared" si="267"/>
        <v>217</v>
      </c>
      <c r="G2039" s="97">
        <v>563</v>
      </c>
      <c r="H2039" s="367">
        <f t="shared" si="268"/>
        <v>780</v>
      </c>
      <c r="I2039" s="368">
        <f t="shared" si="247"/>
        <v>0</v>
      </c>
      <c r="J2039" s="97">
        <v>1443</v>
      </c>
      <c r="K2039" s="367">
        <f t="shared" si="248"/>
        <v>1030.7142857142858</v>
      </c>
      <c r="L2039" s="97">
        <v>0.13</v>
      </c>
      <c r="M2039" s="97">
        <v>1.8</v>
      </c>
      <c r="N2039" s="97">
        <v>15</v>
      </c>
      <c r="O2039" s="97">
        <v>3</v>
      </c>
      <c r="P2039" s="97" t="s">
        <v>555</v>
      </c>
      <c r="Q2039" s="97" t="str">
        <f t="shared" si="269"/>
        <v/>
      </c>
      <c r="R2039" t="str">
        <f t="shared" si="270"/>
        <v/>
      </c>
    </row>
    <row r="2040" spans="3:18">
      <c r="C2040" t="str">
        <f t="shared" si="246"/>
        <v/>
      </c>
      <c r="D2040" s="36">
        <v>10</v>
      </c>
      <c r="E2040">
        <v>10</v>
      </c>
      <c r="F2040" s="366">
        <f t="shared" si="267"/>
        <v>217</v>
      </c>
      <c r="G2040" s="97">
        <v>959</v>
      </c>
      <c r="H2040" s="367">
        <f t="shared" si="268"/>
        <v>1176</v>
      </c>
      <c r="I2040" s="368">
        <f t="shared" si="247"/>
        <v>0</v>
      </c>
      <c r="J2040" s="97">
        <v>2460</v>
      </c>
      <c r="K2040" s="367">
        <f t="shared" si="248"/>
        <v>1757.1428571428571</v>
      </c>
      <c r="L2040" s="97">
        <v>0.32</v>
      </c>
      <c r="M2040" s="97">
        <v>2.3000000000000003</v>
      </c>
      <c r="N2040" s="97">
        <v>15</v>
      </c>
      <c r="O2040" s="97">
        <v>4</v>
      </c>
      <c r="P2040" s="97" t="s">
        <v>512</v>
      </c>
      <c r="Q2040" s="97" t="str">
        <f t="shared" si="269"/>
        <v/>
      </c>
      <c r="R2040" t="str">
        <f t="shared" si="270"/>
        <v/>
      </c>
    </row>
    <row r="2041" spans="3:18">
      <c r="C2041" t="str">
        <f t="shared" si="246"/>
        <v/>
      </c>
      <c r="D2041" s="36">
        <v>11</v>
      </c>
      <c r="E2041">
        <v>10</v>
      </c>
      <c r="F2041" s="366">
        <f t="shared" si="267"/>
        <v>217</v>
      </c>
      <c r="G2041" s="97">
        <v>764</v>
      </c>
      <c r="H2041" s="367">
        <f t="shared" si="268"/>
        <v>981</v>
      </c>
      <c r="I2041" s="368">
        <f t="shared" si="247"/>
        <v>0</v>
      </c>
      <c r="J2041" s="97">
        <v>1959</v>
      </c>
      <c r="K2041" s="367">
        <f t="shared" si="248"/>
        <v>1399.2857142857142</v>
      </c>
      <c r="L2041" s="97">
        <v>0.16</v>
      </c>
      <c r="M2041" s="97">
        <v>2.3000000000000003</v>
      </c>
      <c r="N2041" s="97">
        <v>15</v>
      </c>
      <c r="O2041" s="97">
        <v>4</v>
      </c>
      <c r="P2041" s="97" t="s">
        <v>513</v>
      </c>
      <c r="Q2041" s="97" t="str">
        <f t="shared" si="269"/>
        <v/>
      </c>
      <c r="R2041" t="str">
        <f t="shared" si="270"/>
        <v/>
      </c>
    </row>
    <row r="2042" spans="3:18">
      <c r="C2042" t="str">
        <f t="shared" si="246"/>
        <v>NL</v>
      </c>
      <c r="D2042" s="36">
        <v>12</v>
      </c>
      <c r="E2042">
        <v>10</v>
      </c>
      <c r="F2042" s="366">
        <f t="shared" si="267"/>
        <v>217</v>
      </c>
      <c r="G2042" s="97">
        <v>1012</v>
      </c>
      <c r="H2042" s="367">
        <f t="shared" si="268"/>
        <v>1229</v>
      </c>
      <c r="I2042" s="368">
        <f t="shared" si="247"/>
        <v>0</v>
      </c>
      <c r="J2042" s="97">
        <v>2596</v>
      </c>
      <c r="K2042" s="367">
        <f t="shared" si="248"/>
        <v>1854.2857142857142</v>
      </c>
      <c r="L2042" s="97">
        <v>0.2</v>
      </c>
      <c r="M2042" s="97">
        <v>2.8000000000000003</v>
      </c>
      <c r="N2042" s="97">
        <v>15</v>
      </c>
      <c r="O2042" s="97">
        <v>5</v>
      </c>
      <c r="P2042" s="97" t="s">
        <v>512</v>
      </c>
      <c r="Q2042" s="97" t="str">
        <f t="shared" si="269"/>
        <v/>
      </c>
      <c r="R2042" t="str">
        <f t="shared" si="270"/>
        <v/>
      </c>
    </row>
    <row r="2043" spans="3:18">
      <c r="C2043" t="str">
        <f t="shared" si="246"/>
        <v/>
      </c>
      <c r="D2043" s="36">
        <v>13</v>
      </c>
      <c r="E2043">
        <v>10</v>
      </c>
      <c r="F2043" s="366">
        <f t="shared" si="267"/>
        <v>217</v>
      </c>
      <c r="G2043" s="97">
        <v>1039</v>
      </c>
      <c r="H2043" s="367">
        <f t="shared" si="268"/>
        <v>1256</v>
      </c>
      <c r="I2043" s="368">
        <f t="shared" si="247"/>
        <v>0</v>
      </c>
      <c r="J2043" s="97">
        <v>2665</v>
      </c>
      <c r="K2043" s="367">
        <f t="shared" si="248"/>
        <v>1903.5714285714287</v>
      </c>
      <c r="L2043" s="97">
        <v>0.14000000000000001</v>
      </c>
      <c r="M2043" s="97">
        <v>3.4</v>
      </c>
      <c r="N2043" s="97">
        <v>15</v>
      </c>
      <c r="O2043" s="97">
        <v>6</v>
      </c>
      <c r="P2043" s="97" t="s">
        <v>512</v>
      </c>
      <c r="Q2043" s="97" t="str">
        <f t="shared" si="269"/>
        <v/>
      </c>
      <c r="R2043" t="str">
        <f t="shared" si="270"/>
        <v/>
      </c>
    </row>
    <row r="2044" spans="3:18">
      <c r="C2044" t="str">
        <f t="shared" si="246"/>
        <v/>
      </c>
      <c r="D2044" s="36">
        <v>14</v>
      </c>
      <c r="E2044">
        <v>15</v>
      </c>
      <c r="F2044" s="366">
        <f t="shared" si="267"/>
        <v>325.5</v>
      </c>
      <c r="G2044" s="97">
        <v>794</v>
      </c>
      <c r="H2044" s="367">
        <f t="shared" si="268"/>
        <v>1119.5</v>
      </c>
      <c r="I2044" s="368">
        <f t="shared" si="247"/>
        <v>0</v>
      </c>
      <c r="J2044" s="97">
        <v>2037</v>
      </c>
      <c r="K2044" s="367">
        <f t="shared" si="248"/>
        <v>1455</v>
      </c>
      <c r="L2044" s="97">
        <v>0.68</v>
      </c>
      <c r="M2044" s="97">
        <v>9.7999999999999989</v>
      </c>
      <c r="N2044" s="97">
        <v>18</v>
      </c>
      <c r="O2044" s="97">
        <v>2</v>
      </c>
      <c r="P2044" s="97" t="s">
        <v>555</v>
      </c>
      <c r="Q2044" s="97" t="str">
        <f t="shared" si="269"/>
        <v/>
      </c>
      <c r="R2044" t="str">
        <f t="shared" si="270"/>
        <v/>
      </c>
    </row>
    <row r="2045" spans="3:18">
      <c r="C2045" t="str">
        <f t="shared" si="246"/>
        <v/>
      </c>
      <c r="D2045" s="36">
        <v>15</v>
      </c>
      <c r="E2045">
        <v>15</v>
      </c>
      <c r="F2045" s="366">
        <f t="shared" si="267"/>
        <v>325.5</v>
      </c>
      <c r="G2045" s="97">
        <v>760</v>
      </c>
      <c r="H2045" s="367">
        <f t="shared" si="268"/>
        <v>1085.5</v>
      </c>
      <c r="I2045" s="368">
        <f t="shared" si="247"/>
        <v>0</v>
      </c>
      <c r="J2045" s="97">
        <v>1950</v>
      </c>
      <c r="K2045" s="367">
        <f t="shared" si="248"/>
        <v>1392.8571428571429</v>
      </c>
      <c r="L2045" s="97">
        <v>0.46</v>
      </c>
      <c r="M2045" s="97">
        <v>9.7999999999999989</v>
      </c>
      <c r="N2045" s="97">
        <v>19</v>
      </c>
      <c r="O2045" s="97">
        <v>2</v>
      </c>
      <c r="P2045" s="97" t="s">
        <v>514</v>
      </c>
      <c r="Q2045" s="97" t="str">
        <f t="shared" si="269"/>
        <v/>
      </c>
      <c r="R2045" t="str">
        <f t="shared" si="270"/>
        <v/>
      </c>
    </row>
    <row r="2046" spans="3:18">
      <c r="C2046" t="str">
        <f t="shared" si="246"/>
        <v/>
      </c>
      <c r="D2046" s="36">
        <v>16</v>
      </c>
      <c r="E2046">
        <v>15</v>
      </c>
      <c r="F2046" s="366">
        <f t="shared" si="267"/>
        <v>325.5</v>
      </c>
      <c r="G2046" s="97">
        <v>631</v>
      </c>
      <c r="H2046" s="367">
        <f t="shared" si="268"/>
        <v>956.5</v>
      </c>
      <c r="I2046" s="368">
        <f t="shared" si="247"/>
        <v>0</v>
      </c>
      <c r="J2046" s="97">
        <v>1617</v>
      </c>
      <c r="K2046" s="367">
        <f t="shared" si="248"/>
        <v>1155</v>
      </c>
      <c r="L2046" s="97">
        <v>0.22</v>
      </c>
      <c r="M2046" s="97">
        <v>9.7999999999999989</v>
      </c>
      <c r="N2046" s="97">
        <v>15</v>
      </c>
      <c r="O2046" s="97">
        <v>2</v>
      </c>
      <c r="P2046" s="97" t="s">
        <v>556</v>
      </c>
      <c r="Q2046" s="97" t="str">
        <f t="shared" si="269"/>
        <v/>
      </c>
      <c r="R2046" t="str">
        <f t="shared" si="270"/>
        <v/>
      </c>
    </row>
    <row r="2047" spans="3:18">
      <c r="C2047" t="str">
        <f t="shared" si="246"/>
        <v>NL</v>
      </c>
      <c r="D2047" s="36">
        <v>17</v>
      </c>
      <c r="E2047">
        <v>15</v>
      </c>
      <c r="F2047" s="366">
        <f t="shared" si="267"/>
        <v>325.5</v>
      </c>
      <c r="G2047" s="97">
        <v>1133</v>
      </c>
      <c r="H2047" s="367">
        <f t="shared" si="268"/>
        <v>1458.5</v>
      </c>
      <c r="I2047" s="368">
        <f t="shared" si="247"/>
        <v>0</v>
      </c>
      <c r="J2047" s="97">
        <v>2904</v>
      </c>
      <c r="K2047" s="367">
        <f t="shared" si="248"/>
        <v>2074.2857142857142</v>
      </c>
      <c r="L2047" s="97">
        <v>0.64</v>
      </c>
      <c r="M2047" s="97">
        <v>1.8</v>
      </c>
      <c r="N2047" s="97">
        <v>19</v>
      </c>
      <c r="O2047" s="97">
        <v>3</v>
      </c>
      <c r="P2047" s="97" t="s">
        <v>513</v>
      </c>
      <c r="Q2047" s="97" t="str">
        <f t="shared" si="269"/>
        <v/>
      </c>
      <c r="R2047" t="str">
        <f t="shared" si="270"/>
        <v/>
      </c>
    </row>
    <row r="2048" spans="3:18">
      <c r="C2048" t="str">
        <f t="shared" si="246"/>
        <v>NL</v>
      </c>
      <c r="D2048" s="36">
        <v>18</v>
      </c>
      <c r="E2048">
        <v>15</v>
      </c>
      <c r="F2048" s="366">
        <f t="shared" si="267"/>
        <v>325.5</v>
      </c>
      <c r="G2048" s="97">
        <v>871</v>
      </c>
      <c r="H2048" s="367">
        <f t="shared" si="268"/>
        <v>1196.5</v>
      </c>
      <c r="I2048" s="368">
        <f t="shared" si="247"/>
        <v>0</v>
      </c>
      <c r="J2048" s="97">
        <v>2233</v>
      </c>
      <c r="K2048" s="367">
        <f t="shared" si="248"/>
        <v>1595</v>
      </c>
      <c r="L2048" s="97">
        <v>0.29000000000000004</v>
      </c>
      <c r="M2048" s="97">
        <v>1.8</v>
      </c>
      <c r="N2048" s="97">
        <v>15</v>
      </c>
      <c r="O2048" s="97">
        <v>3</v>
      </c>
      <c r="P2048" s="97" t="s">
        <v>555</v>
      </c>
      <c r="Q2048" s="97" t="str">
        <f t="shared" si="269"/>
        <v/>
      </c>
      <c r="R2048" t="str">
        <f t="shared" si="270"/>
        <v/>
      </c>
    </row>
    <row r="2049" spans="3:18">
      <c r="C2049" t="str">
        <f t="shared" si="246"/>
        <v>NL</v>
      </c>
      <c r="D2049" s="36">
        <v>19</v>
      </c>
      <c r="E2049">
        <v>15</v>
      </c>
      <c r="F2049" s="366">
        <f t="shared" si="267"/>
        <v>325.5</v>
      </c>
      <c r="G2049" s="97">
        <v>795</v>
      </c>
      <c r="H2049" s="367">
        <f t="shared" si="268"/>
        <v>1120.5</v>
      </c>
      <c r="I2049" s="368">
        <f t="shared" si="247"/>
        <v>0</v>
      </c>
      <c r="J2049" s="97">
        <v>2039</v>
      </c>
      <c r="K2049" s="367">
        <f t="shared" si="248"/>
        <v>1456.4285714285716</v>
      </c>
      <c r="L2049" s="97">
        <v>0.19</v>
      </c>
      <c r="M2049" s="97">
        <v>1.8</v>
      </c>
      <c r="N2049" s="97">
        <v>15</v>
      </c>
      <c r="O2049" s="97">
        <v>3</v>
      </c>
      <c r="P2049" s="97" t="s">
        <v>514</v>
      </c>
      <c r="Q2049" s="97" t="str">
        <f t="shared" si="269"/>
        <v/>
      </c>
      <c r="R2049" t="str">
        <f t="shared" si="270"/>
        <v/>
      </c>
    </row>
    <row r="2050" spans="3:18">
      <c r="C2050" t="str">
        <f t="shared" si="246"/>
        <v/>
      </c>
      <c r="D2050" s="36">
        <v>20</v>
      </c>
      <c r="E2050">
        <v>15</v>
      </c>
      <c r="F2050" s="366">
        <f t="shared" si="267"/>
        <v>325.5</v>
      </c>
      <c r="G2050" s="97">
        <v>1471</v>
      </c>
      <c r="H2050" s="367">
        <f t="shared" si="268"/>
        <v>1796.5</v>
      </c>
      <c r="I2050" s="368">
        <f t="shared" si="247"/>
        <v>0</v>
      </c>
      <c r="J2050" s="97">
        <v>3771</v>
      </c>
      <c r="K2050" s="367">
        <f t="shared" si="248"/>
        <v>2693.5714285714284</v>
      </c>
      <c r="L2050" s="97">
        <v>0.72</v>
      </c>
      <c r="M2050" s="97">
        <v>2.3000000000000003</v>
      </c>
      <c r="N2050" s="97">
        <v>18</v>
      </c>
      <c r="O2050" s="97">
        <v>4</v>
      </c>
      <c r="P2050" s="97" t="s">
        <v>512</v>
      </c>
      <c r="Q2050" s="97" t="str">
        <f t="shared" si="269"/>
        <v/>
      </c>
      <c r="R2050" t="str">
        <f t="shared" si="270"/>
        <v/>
      </c>
    </row>
    <row r="2051" spans="3:18">
      <c r="C2051" t="str">
        <f t="shared" si="246"/>
        <v/>
      </c>
      <c r="D2051" s="36">
        <v>21</v>
      </c>
      <c r="E2051">
        <v>15</v>
      </c>
      <c r="F2051" s="366">
        <f t="shared" si="267"/>
        <v>325.5</v>
      </c>
      <c r="G2051" s="97">
        <v>1112</v>
      </c>
      <c r="H2051" s="367">
        <f t="shared" si="268"/>
        <v>1437.5</v>
      </c>
      <c r="I2051" s="368">
        <f t="shared" si="247"/>
        <v>0</v>
      </c>
      <c r="J2051" s="97">
        <v>2851</v>
      </c>
      <c r="K2051" s="367">
        <f t="shared" si="248"/>
        <v>2036.4285714285716</v>
      </c>
      <c r="L2051" s="97">
        <v>0.36</v>
      </c>
      <c r="M2051" s="97">
        <v>2.3000000000000003</v>
      </c>
      <c r="N2051" s="97">
        <v>17</v>
      </c>
      <c r="O2051" s="97">
        <v>4</v>
      </c>
      <c r="P2051" s="97" t="s">
        <v>513</v>
      </c>
      <c r="Q2051" s="97" t="str">
        <f t="shared" si="269"/>
        <v/>
      </c>
      <c r="R2051" t="str">
        <f t="shared" si="270"/>
        <v/>
      </c>
    </row>
    <row r="2052" spans="3:18">
      <c r="C2052" t="str">
        <f t="shared" si="246"/>
        <v/>
      </c>
      <c r="D2052" s="36">
        <v>22</v>
      </c>
      <c r="E2052">
        <v>15</v>
      </c>
      <c r="F2052" s="366">
        <f t="shared" si="267"/>
        <v>325.5</v>
      </c>
      <c r="G2052" s="97">
        <v>828</v>
      </c>
      <c r="H2052" s="367">
        <f t="shared" si="268"/>
        <v>1153.5</v>
      </c>
      <c r="I2052" s="368">
        <f t="shared" si="247"/>
        <v>0</v>
      </c>
      <c r="J2052" s="97">
        <v>2123</v>
      </c>
      <c r="K2052" s="367">
        <f t="shared" si="248"/>
        <v>1516.4285714285716</v>
      </c>
      <c r="L2052" s="97">
        <v>0.16</v>
      </c>
      <c r="M2052" s="97">
        <v>2.3000000000000003</v>
      </c>
      <c r="N2052" s="97">
        <v>15</v>
      </c>
      <c r="O2052" s="97">
        <v>4</v>
      </c>
      <c r="P2052" s="97" t="s">
        <v>555</v>
      </c>
      <c r="Q2052" s="97" t="str">
        <f t="shared" si="269"/>
        <v/>
      </c>
      <c r="R2052" t="str">
        <f t="shared" si="270"/>
        <v/>
      </c>
    </row>
    <row r="2053" spans="3:18">
      <c r="C2053" t="str">
        <f t="shared" si="246"/>
        <v>NL</v>
      </c>
      <c r="D2053" s="36">
        <v>23</v>
      </c>
      <c r="E2053">
        <v>15</v>
      </c>
      <c r="F2053" s="366">
        <f t="shared" si="267"/>
        <v>325.5</v>
      </c>
      <c r="G2053" s="97">
        <v>1498</v>
      </c>
      <c r="H2053" s="367">
        <f t="shared" si="268"/>
        <v>1823.5</v>
      </c>
      <c r="I2053" s="368">
        <f t="shared" si="247"/>
        <v>0</v>
      </c>
      <c r="J2053" s="97">
        <v>3841</v>
      </c>
      <c r="K2053" s="367">
        <f t="shared" si="248"/>
        <v>2743.5714285714284</v>
      </c>
      <c r="L2053" s="97">
        <v>0.45</v>
      </c>
      <c r="M2053" s="97">
        <v>2.8000000000000003</v>
      </c>
      <c r="N2053" s="97">
        <v>16</v>
      </c>
      <c r="O2053" s="97">
        <v>5</v>
      </c>
      <c r="P2053" s="97" t="s">
        <v>512</v>
      </c>
      <c r="Q2053" s="97" t="str">
        <f t="shared" si="269"/>
        <v/>
      </c>
      <c r="R2053" t="str">
        <f t="shared" si="270"/>
        <v/>
      </c>
    </row>
    <row r="2054" spans="3:18">
      <c r="C2054" t="str">
        <f t="shared" si="246"/>
        <v>NL</v>
      </c>
      <c r="D2054" s="36">
        <v>24</v>
      </c>
      <c r="E2054">
        <v>15</v>
      </c>
      <c r="F2054" s="366">
        <f t="shared" si="267"/>
        <v>325.5</v>
      </c>
      <c r="G2054" s="97">
        <v>1180</v>
      </c>
      <c r="H2054" s="367">
        <f t="shared" si="268"/>
        <v>1505.5</v>
      </c>
      <c r="I2054" s="368">
        <f t="shared" si="247"/>
        <v>0</v>
      </c>
      <c r="J2054" s="97">
        <v>3026</v>
      </c>
      <c r="K2054" s="367">
        <f t="shared" si="248"/>
        <v>2161.4285714285716</v>
      </c>
      <c r="L2054" s="97">
        <v>0.23</v>
      </c>
      <c r="M2054" s="97">
        <v>2.8000000000000003</v>
      </c>
      <c r="N2054" s="97">
        <v>15</v>
      </c>
      <c r="O2054" s="97">
        <v>5</v>
      </c>
      <c r="P2054" s="97" t="s">
        <v>513</v>
      </c>
      <c r="Q2054" s="97" t="str">
        <f t="shared" si="269"/>
        <v/>
      </c>
      <c r="R2054" t="str">
        <f t="shared" si="270"/>
        <v/>
      </c>
    </row>
    <row r="2055" spans="3:18">
      <c r="C2055" t="str">
        <f t="shared" si="246"/>
        <v/>
      </c>
      <c r="D2055" s="36">
        <v>25</v>
      </c>
      <c r="E2055">
        <v>15</v>
      </c>
      <c r="F2055" s="366">
        <f t="shared" si="267"/>
        <v>325.5</v>
      </c>
      <c r="G2055" s="97">
        <v>1573</v>
      </c>
      <c r="H2055" s="367">
        <f t="shared" si="268"/>
        <v>1898.5</v>
      </c>
      <c r="I2055" s="368">
        <f t="shared" si="247"/>
        <v>0</v>
      </c>
      <c r="J2055" s="97">
        <v>4032</v>
      </c>
      <c r="K2055" s="367">
        <f t="shared" si="248"/>
        <v>2880</v>
      </c>
      <c r="L2055" s="97">
        <v>0.31</v>
      </c>
      <c r="M2055" s="97">
        <v>3.4</v>
      </c>
      <c r="N2055" s="97">
        <v>15</v>
      </c>
      <c r="O2055" s="97">
        <v>6</v>
      </c>
      <c r="P2055" s="97" t="s">
        <v>512</v>
      </c>
      <c r="Q2055" s="97" t="str">
        <f t="shared" si="269"/>
        <v/>
      </c>
      <c r="R2055" t="str">
        <f t="shared" si="270"/>
        <v/>
      </c>
    </row>
    <row r="2056" spans="3:18">
      <c r="C2056" t="str">
        <f t="shared" si="246"/>
        <v/>
      </c>
      <c r="D2056" s="36">
        <v>26</v>
      </c>
      <c r="E2056">
        <v>15</v>
      </c>
      <c r="F2056" s="366">
        <f t="shared" si="267"/>
        <v>325.5</v>
      </c>
      <c r="G2056" s="97">
        <v>1227</v>
      </c>
      <c r="H2056" s="367">
        <f t="shared" si="268"/>
        <v>1552.5</v>
      </c>
      <c r="I2056" s="368">
        <f t="shared" si="247"/>
        <v>0</v>
      </c>
      <c r="J2056" s="97">
        <v>3145</v>
      </c>
      <c r="K2056" s="367">
        <f t="shared" si="248"/>
        <v>2246.4285714285716</v>
      </c>
      <c r="L2056" s="97">
        <v>0.16</v>
      </c>
      <c r="M2056" s="97">
        <v>3.4</v>
      </c>
      <c r="N2056" s="97">
        <v>15</v>
      </c>
      <c r="O2056" s="97">
        <v>6</v>
      </c>
      <c r="P2056" s="97" t="s">
        <v>513</v>
      </c>
      <c r="Q2056" s="97" t="str">
        <f t="shared" si="269"/>
        <v/>
      </c>
      <c r="R2056" t="str">
        <f t="shared" si="270"/>
        <v/>
      </c>
    </row>
    <row r="2057" spans="3:18">
      <c r="C2057" t="str">
        <f t="shared" si="246"/>
        <v>NL</v>
      </c>
      <c r="D2057" s="36">
        <v>27</v>
      </c>
      <c r="E2057">
        <v>15</v>
      </c>
      <c r="F2057" s="366">
        <f t="shared" si="267"/>
        <v>325.5</v>
      </c>
      <c r="G2057" s="97">
        <v>1724</v>
      </c>
      <c r="H2057" s="367">
        <f t="shared" si="268"/>
        <v>2049.5</v>
      </c>
      <c r="I2057" s="368">
        <f t="shared" si="247"/>
        <v>0</v>
      </c>
      <c r="J2057" s="97">
        <v>4419</v>
      </c>
      <c r="K2057" s="367">
        <f t="shared" si="248"/>
        <v>3156.4285714285716</v>
      </c>
      <c r="L2057" s="97">
        <v>0.23</v>
      </c>
      <c r="M2057" s="97">
        <v>3.9</v>
      </c>
      <c r="N2057" s="97">
        <v>15</v>
      </c>
      <c r="O2057" s="97">
        <v>7</v>
      </c>
      <c r="P2057" s="97" t="s">
        <v>512</v>
      </c>
      <c r="Q2057" s="97" t="str">
        <f t="shared" si="269"/>
        <v/>
      </c>
      <c r="R2057" t="str">
        <f t="shared" si="270"/>
        <v/>
      </c>
    </row>
    <row r="2058" spans="3:18">
      <c r="C2058" t="str">
        <f t="shared" si="246"/>
        <v/>
      </c>
      <c r="D2058" s="36">
        <v>28</v>
      </c>
      <c r="E2058">
        <v>15</v>
      </c>
      <c r="F2058" s="366">
        <f t="shared" si="267"/>
        <v>325.5</v>
      </c>
      <c r="G2058" s="97">
        <v>1798</v>
      </c>
      <c r="H2058" s="367">
        <f t="shared" si="268"/>
        <v>2123.5</v>
      </c>
      <c r="I2058" s="368">
        <f t="shared" si="247"/>
        <v>0</v>
      </c>
      <c r="J2058" s="97">
        <v>4609</v>
      </c>
      <c r="K2058" s="367">
        <f t="shared" si="248"/>
        <v>3292.1428571428573</v>
      </c>
      <c r="L2058" s="97">
        <v>0.18000000000000002</v>
      </c>
      <c r="M2058" s="97">
        <v>4.3999999999999995</v>
      </c>
      <c r="N2058" s="97">
        <v>15</v>
      </c>
      <c r="O2058" s="97">
        <v>8</v>
      </c>
      <c r="P2058" s="97" t="s">
        <v>512</v>
      </c>
      <c r="Q2058" s="97" t="str">
        <f t="shared" si="269"/>
        <v/>
      </c>
      <c r="R2058" t="str">
        <f t="shared" si="270"/>
        <v/>
      </c>
    </row>
    <row r="2059" spans="3:18">
      <c r="C2059" t="str">
        <f t="shared" si="246"/>
        <v/>
      </c>
      <c r="D2059" s="36">
        <v>29</v>
      </c>
      <c r="E2059">
        <v>15</v>
      </c>
      <c r="F2059" s="366">
        <f t="shared" si="267"/>
        <v>325.5</v>
      </c>
      <c r="G2059" s="97">
        <v>1798</v>
      </c>
      <c r="H2059" s="367">
        <f t="shared" si="268"/>
        <v>2123.5</v>
      </c>
      <c r="I2059" s="368">
        <f t="shared" si="247"/>
        <v>0</v>
      </c>
      <c r="J2059" s="97">
        <v>4609</v>
      </c>
      <c r="K2059" s="367">
        <f t="shared" si="248"/>
        <v>3292.1428571428573</v>
      </c>
      <c r="L2059" s="97">
        <v>0.18000000000000002</v>
      </c>
      <c r="M2059" s="97">
        <v>4.3999999999999995</v>
      </c>
      <c r="N2059" s="97">
        <v>15</v>
      </c>
      <c r="O2059" s="97">
        <v>8</v>
      </c>
      <c r="P2059" s="97" t="s">
        <v>512</v>
      </c>
      <c r="Q2059" s="97" t="str">
        <f t="shared" si="269"/>
        <v/>
      </c>
      <c r="R2059" t="str">
        <f t="shared" si="270"/>
        <v/>
      </c>
    </row>
    <row r="2060" spans="3:18">
      <c r="C2060" t="str">
        <f t="shared" si="246"/>
        <v>NL</v>
      </c>
      <c r="D2060" s="36">
        <v>30</v>
      </c>
      <c r="E2060">
        <v>15</v>
      </c>
      <c r="F2060" s="366">
        <f t="shared" si="267"/>
        <v>325.5</v>
      </c>
      <c r="G2060" s="97">
        <v>1850</v>
      </c>
      <c r="H2060" s="367">
        <f t="shared" si="268"/>
        <v>2175.5</v>
      </c>
      <c r="I2060" s="368">
        <f t="shared" si="247"/>
        <v>0</v>
      </c>
      <c r="J2060" s="97">
        <v>4742</v>
      </c>
      <c r="K2060" s="367">
        <f t="shared" si="248"/>
        <v>3387.1428571428573</v>
      </c>
      <c r="L2060" s="97">
        <v>0.14000000000000001</v>
      </c>
      <c r="M2060" s="97">
        <v>4.8999999999999995</v>
      </c>
      <c r="N2060" s="97">
        <v>15</v>
      </c>
      <c r="O2060" s="97">
        <v>9</v>
      </c>
      <c r="P2060" s="97" t="s">
        <v>512</v>
      </c>
      <c r="Q2060" s="97" t="str">
        <f t="shared" si="269"/>
        <v/>
      </c>
      <c r="R2060" t="str">
        <f t="shared" si="270"/>
        <v/>
      </c>
    </row>
    <row r="2061" spans="3:18">
      <c r="C2061" t="str">
        <f t="shared" si="246"/>
        <v/>
      </c>
      <c r="D2061" s="36">
        <v>31</v>
      </c>
      <c r="E2061">
        <v>20</v>
      </c>
      <c r="F2061" s="366">
        <f t="shared" si="267"/>
        <v>434</v>
      </c>
      <c r="G2061" s="97">
        <v>991</v>
      </c>
      <c r="H2061" s="367">
        <f t="shared" si="268"/>
        <v>1425</v>
      </c>
      <c r="I2061" s="368">
        <f t="shared" si="247"/>
        <v>0</v>
      </c>
      <c r="J2061" s="97">
        <v>2541</v>
      </c>
      <c r="K2061" s="367">
        <f t="shared" si="248"/>
        <v>1815</v>
      </c>
      <c r="L2061" s="97">
        <v>0.82000000000000006</v>
      </c>
      <c r="M2061" s="97">
        <v>9.7999999999999989</v>
      </c>
      <c r="N2061" s="97">
        <v>23</v>
      </c>
      <c r="O2061" s="97">
        <v>2</v>
      </c>
      <c r="P2061" s="97" t="s">
        <v>514</v>
      </c>
      <c r="Q2061" s="97" t="str">
        <f t="shared" si="269"/>
        <v/>
      </c>
      <c r="R2061" t="str">
        <f t="shared" si="270"/>
        <v/>
      </c>
    </row>
    <row r="2062" spans="3:18">
      <c r="C2062" t="str">
        <f t="shared" ref="C2062:C2125" si="271">IF(OR($O$4=0,O2062-$O$4=0),IF(AND(ISEVEN(O2062)=FALSE,$N$4="Even"),"NL",""),"NL")</f>
        <v/>
      </c>
      <c r="D2062" s="36">
        <v>32</v>
      </c>
      <c r="E2062">
        <v>20</v>
      </c>
      <c r="F2062" s="366">
        <f t="shared" si="267"/>
        <v>434</v>
      </c>
      <c r="G2062" s="97">
        <v>778</v>
      </c>
      <c r="H2062" s="367">
        <f t="shared" si="268"/>
        <v>1212</v>
      </c>
      <c r="I2062" s="368">
        <f t="shared" ref="I2062:I2125" si="272">1.085*($C$2-$D$2)*E2062*$T$7</f>
        <v>0</v>
      </c>
      <c r="J2062" s="97">
        <v>1994</v>
      </c>
      <c r="K2062" s="367">
        <f t="shared" ref="K2062:K2125" si="273">(J2062*$V$7)-I2062</f>
        <v>1424.2857142857142</v>
      </c>
      <c r="L2062" s="97">
        <v>0.39</v>
      </c>
      <c r="M2062" s="97">
        <v>9.7999999999999989</v>
      </c>
      <c r="N2062" s="97">
        <v>17</v>
      </c>
      <c r="O2062" s="97">
        <v>2</v>
      </c>
      <c r="P2062" s="97" t="s">
        <v>556</v>
      </c>
      <c r="Q2062" s="97" t="str">
        <f t="shared" si="269"/>
        <v/>
      </c>
      <c r="R2062" t="str">
        <f t="shared" si="270"/>
        <v/>
      </c>
    </row>
    <row r="2063" spans="3:18">
      <c r="C2063" t="str">
        <f t="shared" si="271"/>
        <v/>
      </c>
      <c r="D2063" s="36">
        <v>33</v>
      </c>
      <c r="E2063">
        <v>20</v>
      </c>
      <c r="F2063" s="366">
        <f t="shared" si="267"/>
        <v>434</v>
      </c>
      <c r="G2063" s="97">
        <v>690</v>
      </c>
      <c r="H2063" s="367">
        <f t="shared" si="268"/>
        <v>1124</v>
      </c>
      <c r="I2063" s="368">
        <f t="shared" si="272"/>
        <v>0</v>
      </c>
      <c r="J2063" s="97">
        <v>1769</v>
      </c>
      <c r="K2063" s="367">
        <f t="shared" si="273"/>
        <v>1263.5714285714287</v>
      </c>
      <c r="L2063" s="97">
        <v>0.23</v>
      </c>
      <c r="M2063" s="97">
        <v>9.7999999999999989</v>
      </c>
      <c r="N2063" s="97">
        <v>15</v>
      </c>
      <c r="O2063" s="97">
        <v>2</v>
      </c>
      <c r="P2063" s="97" t="s">
        <v>515</v>
      </c>
      <c r="Q2063" s="97" t="str">
        <f t="shared" si="269"/>
        <v/>
      </c>
      <c r="R2063" t="str">
        <f t="shared" si="270"/>
        <v/>
      </c>
    </row>
    <row r="2064" spans="3:18">
      <c r="C2064" t="str">
        <f t="shared" si="271"/>
        <v>NL</v>
      </c>
      <c r="D2064" s="36">
        <v>34</v>
      </c>
      <c r="E2064">
        <v>20</v>
      </c>
      <c r="F2064" s="366">
        <f t="shared" si="267"/>
        <v>434</v>
      </c>
      <c r="G2064" s="97">
        <v>1133</v>
      </c>
      <c r="H2064" s="367">
        <f t="shared" si="268"/>
        <v>1567</v>
      </c>
      <c r="I2064" s="368">
        <f t="shared" si="272"/>
        <v>0</v>
      </c>
      <c r="J2064" s="97">
        <v>2906</v>
      </c>
      <c r="K2064" s="367">
        <f t="shared" si="273"/>
        <v>2075.7142857142858</v>
      </c>
      <c r="L2064" s="97">
        <v>0.5</v>
      </c>
      <c r="M2064" s="97">
        <v>1.8</v>
      </c>
      <c r="N2064" s="97">
        <v>17</v>
      </c>
      <c r="O2064" s="97">
        <v>3</v>
      </c>
      <c r="P2064" s="97" t="s">
        <v>555</v>
      </c>
      <c r="Q2064" s="97" t="str">
        <f t="shared" si="269"/>
        <v/>
      </c>
      <c r="R2064" t="str">
        <f t="shared" si="270"/>
        <v/>
      </c>
    </row>
    <row r="2065" spans="3:18">
      <c r="C2065" t="str">
        <f t="shared" si="271"/>
        <v>NL</v>
      </c>
      <c r="D2065" s="36">
        <v>35</v>
      </c>
      <c r="E2065">
        <v>20</v>
      </c>
      <c r="F2065" s="366">
        <f t="shared" si="267"/>
        <v>434</v>
      </c>
      <c r="G2065" s="97">
        <v>1068</v>
      </c>
      <c r="H2065" s="367">
        <f t="shared" si="268"/>
        <v>1502</v>
      </c>
      <c r="I2065" s="368">
        <f t="shared" si="272"/>
        <v>0</v>
      </c>
      <c r="J2065" s="97">
        <v>2738</v>
      </c>
      <c r="K2065" s="367">
        <f t="shared" si="273"/>
        <v>1955.7142857142858</v>
      </c>
      <c r="L2065" s="97">
        <v>0.34</v>
      </c>
      <c r="M2065" s="97">
        <v>1.8</v>
      </c>
      <c r="N2065" s="97">
        <v>18</v>
      </c>
      <c r="O2065" s="97">
        <v>3</v>
      </c>
      <c r="P2065" s="97" t="s">
        <v>514</v>
      </c>
      <c r="Q2065" s="97" t="str">
        <f t="shared" si="269"/>
        <v/>
      </c>
      <c r="R2065" t="str">
        <f t="shared" si="270"/>
        <v/>
      </c>
    </row>
    <row r="2066" spans="3:18">
      <c r="C2066" t="str">
        <f t="shared" si="271"/>
        <v>NL</v>
      </c>
      <c r="D2066" s="36">
        <v>36</v>
      </c>
      <c r="E2066">
        <v>20</v>
      </c>
      <c r="F2066" s="366">
        <f t="shared" si="267"/>
        <v>434</v>
      </c>
      <c r="G2066" s="97">
        <v>849</v>
      </c>
      <c r="H2066" s="367">
        <f t="shared" si="268"/>
        <v>1283</v>
      </c>
      <c r="I2066" s="368">
        <f t="shared" si="272"/>
        <v>0</v>
      </c>
      <c r="J2066" s="97">
        <v>2177</v>
      </c>
      <c r="K2066" s="367">
        <f t="shared" si="273"/>
        <v>1555</v>
      </c>
      <c r="L2066" s="97">
        <v>0.16</v>
      </c>
      <c r="M2066" s="97">
        <v>1.8</v>
      </c>
      <c r="N2066" s="97">
        <v>15</v>
      </c>
      <c r="O2066" s="97">
        <v>3</v>
      </c>
      <c r="P2066" s="97" t="s">
        <v>556</v>
      </c>
      <c r="Q2066" s="97" t="str">
        <f t="shared" si="269"/>
        <v/>
      </c>
      <c r="R2066" t="str">
        <f t="shared" si="270"/>
        <v/>
      </c>
    </row>
    <row r="2067" spans="3:18">
      <c r="C2067" t="str">
        <f t="shared" si="271"/>
        <v/>
      </c>
      <c r="D2067" s="36">
        <v>37</v>
      </c>
      <c r="E2067">
        <v>20</v>
      </c>
      <c r="F2067" s="366">
        <f t="shared" si="267"/>
        <v>434</v>
      </c>
      <c r="G2067" s="97">
        <v>1555</v>
      </c>
      <c r="H2067" s="367">
        <f t="shared" si="268"/>
        <v>1989</v>
      </c>
      <c r="I2067" s="368">
        <f t="shared" si="272"/>
        <v>0</v>
      </c>
      <c r="J2067" s="97">
        <v>3988</v>
      </c>
      <c r="K2067" s="367">
        <f t="shared" si="273"/>
        <v>2848.5714285714284</v>
      </c>
      <c r="L2067" s="97">
        <v>0.64</v>
      </c>
      <c r="M2067" s="97">
        <v>2.3000000000000003</v>
      </c>
      <c r="N2067" s="97">
        <v>21</v>
      </c>
      <c r="O2067" s="97">
        <v>4</v>
      </c>
      <c r="P2067" s="97" t="s">
        <v>513</v>
      </c>
      <c r="Q2067" s="97" t="str">
        <f t="shared" si="269"/>
        <v/>
      </c>
      <c r="R2067" t="str">
        <f t="shared" si="270"/>
        <v/>
      </c>
    </row>
    <row r="2068" spans="3:18">
      <c r="C2068" t="str">
        <f t="shared" si="271"/>
        <v/>
      </c>
      <c r="D2068" s="36">
        <v>38</v>
      </c>
      <c r="E2068">
        <v>20</v>
      </c>
      <c r="F2068" s="366">
        <f t="shared" si="267"/>
        <v>434</v>
      </c>
      <c r="G2068" s="97">
        <v>1130</v>
      </c>
      <c r="H2068" s="367">
        <f t="shared" si="268"/>
        <v>1564</v>
      </c>
      <c r="I2068" s="368">
        <f t="shared" si="272"/>
        <v>0</v>
      </c>
      <c r="J2068" s="97">
        <v>2896</v>
      </c>
      <c r="K2068" s="367">
        <f t="shared" si="273"/>
        <v>2068.5714285714284</v>
      </c>
      <c r="L2068" s="97">
        <v>0.28000000000000003</v>
      </c>
      <c r="M2068" s="97">
        <v>2.3000000000000003</v>
      </c>
      <c r="N2068" s="97">
        <v>15</v>
      </c>
      <c r="O2068" s="97">
        <v>4</v>
      </c>
      <c r="P2068" s="97" t="s">
        <v>555</v>
      </c>
      <c r="Q2068" s="97" t="str">
        <f t="shared" si="269"/>
        <v/>
      </c>
      <c r="R2068" t="str">
        <f t="shared" si="270"/>
        <v/>
      </c>
    </row>
    <row r="2069" spans="3:18">
      <c r="C2069" t="str">
        <f t="shared" si="271"/>
        <v/>
      </c>
      <c r="D2069" s="36">
        <v>39</v>
      </c>
      <c r="E2069">
        <v>20</v>
      </c>
      <c r="F2069" s="366">
        <f t="shared" si="267"/>
        <v>434</v>
      </c>
      <c r="G2069" s="97">
        <v>1037</v>
      </c>
      <c r="H2069" s="367">
        <f t="shared" si="268"/>
        <v>1471</v>
      </c>
      <c r="I2069" s="368">
        <f t="shared" si="272"/>
        <v>0</v>
      </c>
      <c r="J2069" s="97">
        <v>2658</v>
      </c>
      <c r="K2069" s="367">
        <f t="shared" si="273"/>
        <v>1898.5714285714287</v>
      </c>
      <c r="L2069" s="97">
        <v>0.19</v>
      </c>
      <c r="M2069" s="97">
        <v>2.3000000000000003</v>
      </c>
      <c r="N2069" s="97">
        <v>16</v>
      </c>
      <c r="O2069" s="97">
        <v>4</v>
      </c>
      <c r="P2069" s="97" t="s">
        <v>514</v>
      </c>
      <c r="Q2069" s="97" t="str">
        <f t="shared" si="269"/>
        <v/>
      </c>
      <c r="R2069" t="str">
        <f t="shared" si="270"/>
        <v/>
      </c>
    </row>
    <row r="2070" spans="3:18">
      <c r="C2070" t="str">
        <f t="shared" si="271"/>
        <v>NL</v>
      </c>
      <c r="D2070" s="36">
        <v>40</v>
      </c>
      <c r="E2070">
        <v>20</v>
      </c>
      <c r="F2070" s="366">
        <f t="shared" si="267"/>
        <v>434</v>
      </c>
      <c r="G2070" s="97">
        <v>1948</v>
      </c>
      <c r="H2070" s="367">
        <f t="shared" si="268"/>
        <v>2382</v>
      </c>
      <c r="I2070" s="368">
        <f t="shared" si="272"/>
        <v>0</v>
      </c>
      <c r="J2070" s="97">
        <v>4995</v>
      </c>
      <c r="K2070" s="367">
        <f t="shared" si="273"/>
        <v>3567.8571428571431</v>
      </c>
      <c r="L2070" s="97">
        <v>0.8</v>
      </c>
      <c r="M2070" s="97">
        <v>2.8000000000000003</v>
      </c>
      <c r="N2070" s="97">
        <v>20</v>
      </c>
      <c r="O2070" s="97">
        <v>5</v>
      </c>
      <c r="P2070" s="97" t="s">
        <v>512</v>
      </c>
      <c r="Q2070" s="97" t="str">
        <f t="shared" si="269"/>
        <v/>
      </c>
      <c r="R2070" t="str">
        <f t="shared" si="270"/>
        <v/>
      </c>
    </row>
    <row r="2071" spans="3:18">
      <c r="C2071" t="str">
        <f t="shared" si="271"/>
        <v>NL</v>
      </c>
      <c r="D2071" s="36">
        <v>41</v>
      </c>
      <c r="E2071">
        <v>20</v>
      </c>
      <c r="F2071" s="366">
        <f t="shared" si="267"/>
        <v>434</v>
      </c>
      <c r="G2071" s="97">
        <v>1557</v>
      </c>
      <c r="H2071" s="367">
        <f t="shared" si="268"/>
        <v>1991</v>
      </c>
      <c r="I2071" s="368">
        <f t="shared" si="272"/>
        <v>0</v>
      </c>
      <c r="J2071" s="97">
        <v>3993</v>
      </c>
      <c r="K2071" s="367">
        <f t="shared" si="273"/>
        <v>2852.1428571428573</v>
      </c>
      <c r="L2071" s="97">
        <v>0.4</v>
      </c>
      <c r="M2071" s="97">
        <v>2.8000000000000003</v>
      </c>
      <c r="N2071" s="97">
        <v>18</v>
      </c>
      <c r="O2071" s="97">
        <v>5</v>
      </c>
      <c r="P2071" s="97" t="s">
        <v>513</v>
      </c>
      <c r="Q2071" s="97" t="str">
        <f t="shared" si="269"/>
        <v/>
      </c>
      <c r="R2071" t="str">
        <f t="shared" si="270"/>
        <v/>
      </c>
    </row>
    <row r="2072" spans="3:18">
      <c r="C2072" t="str">
        <f t="shared" si="271"/>
        <v>NL</v>
      </c>
      <c r="D2072" s="36">
        <v>42</v>
      </c>
      <c r="E2072">
        <v>20</v>
      </c>
      <c r="F2072" s="366">
        <f t="shared" si="267"/>
        <v>434</v>
      </c>
      <c r="G2072" s="97">
        <v>1176</v>
      </c>
      <c r="H2072" s="367">
        <f t="shared" si="268"/>
        <v>1610</v>
      </c>
      <c r="I2072" s="368">
        <f t="shared" si="272"/>
        <v>0</v>
      </c>
      <c r="J2072" s="97">
        <v>3016</v>
      </c>
      <c r="K2072" s="367">
        <f t="shared" si="273"/>
        <v>2154.2857142857142</v>
      </c>
      <c r="L2072" s="97">
        <v>0.18000000000000002</v>
      </c>
      <c r="M2072" s="97">
        <v>2.8000000000000003</v>
      </c>
      <c r="N2072" s="97">
        <v>15</v>
      </c>
      <c r="O2072" s="97">
        <v>5</v>
      </c>
      <c r="P2072" s="97" t="s">
        <v>555</v>
      </c>
      <c r="Q2072" s="97" t="str">
        <f t="shared" si="269"/>
        <v/>
      </c>
      <c r="R2072" t="str">
        <f t="shared" si="270"/>
        <v/>
      </c>
    </row>
    <row r="2073" spans="3:18">
      <c r="C2073" t="str">
        <f t="shared" si="271"/>
        <v/>
      </c>
      <c r="D2073" s="36">
        <v>43</v>
      </c>
      <c r="E2073">
        <v>20</v>
      </c>
      <c r="F2073" s="366">
        <f t="shared" si="267"/>
        <v>434</v>
      </c>
      <c r="G2073" s="97">
        <v>2080</v>
      </c>
      <c r="H2073" s="367">
        <f t="shared" si="268"/>
        <v>2514</v>
      </c>
      <c r="I2073" s="368">
        <f t="shared" si="272"/>
        <v>0</v>
      </c>
      <c r="J2073" s="97">
        <v>5332</v>
      </c>
      <c r="K2073" s="367">
        <f t="shared" si="273"/>
        <v>3808.5714285714284</v>
      </c>
      <c r="L2073" s="97">
        <v>0.55000000000000004</v>
      </c>
      <c r="M2073" s="97">
        <v>3.4</v>
      </c>
      <c r="N2073" s="97">
        <v>18</v>
      </c>
      <c r="O2073" s="97">
        <v>6</v>
      </c>
      <c r="P2073" s="97" t="s">
        <v>512</v>
      </c>
      <c r="Q2073" s="97" t="str">
        <f t="shared" si="269"/>
        <v/>
      </c>
      <c r="R2073" t="str">
        <f t="shared" si="270"/>
        <v/>
      </c>
    </row>
    <row r="2074" spans="3:18">
      <c r="C2074" t="str">
        <f t="shared" si="271"/>
        <v/>
      </c>
      <c r="D2074" s="36">
        <v>44</v>
      </c>
      <c r="E2074">
        <v>20</v>
      </c>
      <c r="F2074" s="366">
        <f t="shared" si="267"/>
        <v>434</v>
      </c>
      <c r="G2074" s="97">
        <v>1644</v>
      </c>
      <c r="H2074" s="367">
        <f t="shared" si="268"/>
        <v>2078</v>
      </c>
      <c r="I2074" s="368">
        <f t="shared" si="272"/>
        <v>0</v>
      </c>
      <c r="J2074" s="97">
        <v>4216</v>
      </c>
      <c r="K2074" s="367">
        <f t="shared" si="273"/>
        <v>3011.4285714285716</v>
      </c>
      <c r="L2074" s="97">
        <v>0.28000000000000003</v>
      </c>
      <c r="M2074" s="97">
        <v>3.4</v>
      </c>
      <c r="N2074" s="97">
        <v>17</v>
      </c>
      <c r="O2074" s="97">
        <v>6</v>
      </c>
      <c r="P2074" s="97" t="s">
        <v>513</v>
      </c>
      <c r="Q2074" s="97" t="str">
        <f t="shared" si="269"/>
        <v/>
      </c>
      <c r="R2074" t="str">
        <f t="shared" si="270"/>
        <v/>
      </c>
    </row>
    <row r="2075" spans="3:18">
      <c r="C2075" t="str">
        <f t="shared" si="271"/>
        <v>NL</v>
      </c>
      <c r="D2075" s="36">
        <v>45</v>
      </c>
      <c r="E2075">
        <v>20</v>
      </c>
      <c r="F2075" s="366">
        <f t="shared" si="267"/>
        <v>434</v>
      </c>
      <c r="G2075" s="97">
        <v>2270</v>
      </c>
      <c r="H2075" s="367">
        <f t="shared" si="268"/>
        <v>2704</v>
      </c>
      <c r="I2075" s="368">
        <f t="shared" si="272"/>
        <v>0</v>
      </c>
      <c r="J2075" s="97">
        <v>5820</v>
      </c>
      <c r="K2075" s="367">
        <f t="shared" si="273"/>
        <v>4157.1428571428569</v>
      </c>
      <c r="L2075" s="97">
        <v>0.41000000000000003</v>
      </c>
      <c r="M2075" s="97">
        <v>3.9</v>
      </c>
      <c r="N2075" s="97">
        <v>16</v>
      </c>
      <c r="O2075" s="97">
        <v>7</v>
      </c>
      <c r="P2075" s="97" t="s">
        <v>512</v>
      </c>
      <c r="Q2075" s="97" t="str">
        <f t="shared" si="269"/>
        <v/>
      </c>
      <c r="R2075" t="str">
        <f t="shared" si="270"/>
        <v/>
      </c>
    </row>
    <row r="2076" spans="3:18">
      <c r="C2076" t="str">
        <f t="shared" si="271"/>
        <v>NL</v>
      </c>
      <c r="D2076" s="36">
        <v>46</v>
      </c>
      <c r="E2076">
        <v>20</v>
      </c>
      <c r="F2076" s="366">
        <f t="shared" si="267"/>
        <v>434</v>
      </c>
      <c r="G2076" s="97">
        <v>1790</v>
      </c>
      <c r="H2076" s="367">
        <f t="shared" si="268"/>
        <v>2224</v>
      </c>
      <c r="I2076" s="368">
        <f t="shared" si="272"/>
        <v>0</v>
      </c>
      <c r="J2076" s="97">
        <v>4589</v>
      </c>
      <c r="K2076" s="367">
        <f t="shared" si="273"/>
        <v>3277.8571428571431</v>
      </c>
      <c r="L2076" s="97">
        <v>0.21000000000000002</v>
      </c>
      <c r="M2076" s="97">
        <v>3.9</v>
      </c>
      <c r="N2076" s="97">
        <v>16</v>
      </c>
      <c r="O2076" s="97">
        <v>7</v>
      </c>
      <c r="P2076" s="97" t="s">
        <v>513</v>
      </c>
      <c r="Q2076" s="97" t="str">
        <f t="shared" si="269"/>
        <v/>
      </c>
      <c r="R2076" t="str">
        <f t="shared" si="270"/>
        <v/>
      </c>
    </row>
    <row r="2077" spans="3:18">
      <c r="C2077" t="str">
        <f t="shared" si="271"/>
        <v/>
      </c>
      <c r="D2077" s="36">
        <v>47</v>
      </c>
      <c r="E2077">
        <v>20</v>
      </c>
      <c r="F2077" s="366">
        <f t="shared" si="267"/>
        <v>434</v>
      </c>
      <c r="G2077" s="97">
        <v>2322</v>
      </c>
      <c r="H2077" s="367">
        <f t="shared" si="268"/>
        <v>2756</v>
      </c>
      <c r="I2077" s="368">
        <f t="shared" si="272"/>
        <v>0</v>
      </c>
      <c r="J2077" s="97">
        <v>5953</v>
      </c>
      <c r="K2077" s="367">
        <f t="shared" si="273"/>
        <v>4252.1428571428569</v>
      </c>
      <c r="L2077" s="97">
        <v>0.32</v>
      </c>
      <c r="M2077" s="97">
        <v>4.3999999999999995</v>
      </c>
      <c r="N2077" s="97">
        <v>15</v>
      </c>
      <c r="O2077" s="97">
        <v>8</v>
      </c>
      <c r="P2077" s="97" t="s">
        <v>512</v>
      </c>
      <c r="Q2077" s="97" t="str">
        <f t="shared" si="269"/>
        <v/>
      </c>
      <c r="R2077" t="str">
        <f t="shared" si="270"/>
        <v/>
      </c>
    </row>
    <row r="2078" spans="3:18">
      <c r="C2078" t="str">
        <f t="shared" si="271"/>
        <v/>
      </c>
      <c r="D2078" s="36">
        <v>48</v>
      </c>
      <c r="E2078">
        <v>20</v>
      </c>
      <c r="F2078" s="366">
        <f t="shared" si="267"/>
        <v>434</v>
      </c>
      <c r="G2078" s="97">
        <v>2322</v>
      </c>
      <c r="H2078" s="367">
        <f t="shared" si="268"/>
        <v>2756</v>
      </c>
      <c r="I2078" s="368">
        <f t="shared" si="272"/>
        <v>0</v>
      </c>
      <c r="J2078" s="97">
        <v>5953</v>
      </c>
      <c r="K2078" s="367">
        <f t="shared" si="273"/>
        <v>4252.1428571428569</v>
      </c>
      <c r="L2078" s="97">
        <v>0.32</v>
      </c>
      <c r="M2078" s="97">
        <v>4.3999999999999995</v>
      </c>
      <c r="N2078" s="97">
        <v>15</v>
      </c>
      <c r="O2078" s="97">
        <v>8</v>
      </c>
      <c r="P2078" s="97" t="s">
        <v>512</v>
      </c>
      <c r="Q2078" s="97" t="str">
        <f t="shared" si="269"/>
        <v/>
      </c>
      <c r="R2078" t="str">
        <f t="shared" si="270"/>
        <v/>
      </c>
    </row>
    <row r="2079" spans="3:18">
      <c r="C2079" t="str">
        <f t="shared" si="271"/>
        <v/>
      </c>
      <c r="D2079" s="36">
        <v>49</v>
      </c>
      <c r="E2079">
        <v>20</v>
      </c>
      <c r="F2079" s="366">
        <f t="shared" si="267"/>
        <v>434</v>
      </c>
      <c r="G2079" s="97">
        <v>1899</v>
      </c>
      <c r="H2079" s="367">
        <f t="shared" si="268"/>
        <v>2333</v>
      </c>
      <c r="I2079" s="368">
        <f t="shared" si="272"/>
        <v>0</v>
      </c>
      <c r="J2079" s="97">
        <v>4870</v>
      </c>
      <c r="K2079" s="367">
        <f t="shared" si="273"/>
        <v>3478.5714285714284</v>
      </c>
      <c r="L2079" s="97">
        <v>0.16</v>
      </c>
      <c r="M2079" s="97">
        <v>4.3999999999999995</v>
      </c>
      <c r="N2079" s="97">
        <v>15</v>
      </c>
      <c r="O2079" s="97">
        <v>8</v>
      </c>
      <c r="P2079" s="97" t="s">
        <v>513</v>
      </c>
      <c r="Q2079" s="97" t="str">
        <f t="shared" si="269"/>
        <v/>
      </c>
      <c r="R2079" t="str">
        <f t="shared" si="270"/>
        <v/>
      </c>
    </row>
    <row r="2080" spans="3:18">
      <c r="C2080" t="str">
        <f t="shared" si="271"/>
        <v>NL</v>
      </c>
      <c r="D2080" s="36">
        <v>50</v>
      </c>
      <c r="E2080">
        <v>20</v>
      </c>
      <c r="F2080" s="366">
        <f t="shared" si="267"/>
        <v>434</v>
      </c>
      <c r="G2080" s="97">
        <v>2367</v>
      </c>
      <c r="H2080" s="367">
        <f t="shared" si="268"/>
        <v>2801</v>
      </c>
      <c r="I2080" s="368">
        <f t="shared" si="272"/>
        <v>0</v>
      </c>
      <c r="J2080" s="97">
        <v>6068</v>
      </c>
      <c r="K2080" s="367">
        <f t="shared" si="273"/>
        <v>4334.2857142857147</v>
      </c>
      <c r="L2080" s="97">
        <v>0.25</v>
      </c>
      <c r="M2080" s="97">
        <v>4.8999999999999995</v>
      </c>
      <c r="N2080" s="97">
        <v>15</v>
      </c>
      <c r="O2080" s="97">
        <v>9</v>
      </c>
      <c r="P2080" s="97" t="s">
        <v>512</v>
      </c>
      <c r="Q2080" s="97" t="str">
        <f t="shared" si="269"/>
        <v/>
      </c>
      <c r="R2080" t="str">
        <f t="shared" si="270"/>
        <v/>
      </c>
    </row>
    <row r="2081" spans="3:18">
      <c r="C2081" t="str">
        <f t="shared" si="271"/>
        <v/>
      </c>
      <c r="D2081" s="36">
        <v>51</v>
      </c>
      <c r="E2081">
        <v>20</v>
      </c>
      <c r="F2081" s="366">
        <f t="shared" si="267"/>
        <v>434</v>
      </c>
      <c r="G2081" s="97">
        <v>2408</v>
      </c>
      <c r="H2081" s="367">
        <f t="shared" si="268"/>
        <v>2842</v>
      </c>
      <c r="I2081" s="368">
        <f t="shared" si="272"/>
        <v>0</v>
      </c>
      <c r="J2081" s="97">
        <v>6173</v>
      </c>
      <c r="K2081" s="367">
        <f t="shared" si="273"/>
        <v>4409.2857142857147</v>
      </c>
      <c r="L2081" s="97">
        <v>0.21000000000000002</v>
      </c>
      <c r="M2081" s="97">
        <v>5.3999999999999995</v>
      </c>
      <c r="N2081" s="97">
        <v>15</v>
      </c>
      <c r="O2081" s="97">
        <v>10</v>
      </c>
      <c r="P2081" s="97" t="s">
        <v>512</v>
      </c>
      <c r="Q2081" s="97" t="str">
        <f t="shared" si="269"/>
        <v/>
      </c>
      <c r="R2081" t="str">
        <f t="shared" si="270"/>
        <v/>
      </c>
    </row>
    <row r="2082" spans="3:18">
      <c r="C2082" t="str">
        <f t="shared" si="271"/>
        <v/>
      </c>
      <c r="D2082" s="36">
        <v>52</v>
      </c>
      <c r="E2082">
        <v>25</v>
      </c>
      <c r="F2082" s="366">
        <f t="shared" si="267"/>
        <v>542.5</v>
      </c>
      <c r="G2082" s="97">
        <v>967</v>
      </c>
      <c r="H2082" s="367">
        <f t="shared" si="268"/>
        <v>1509.5</v>
      </c>
      <c r="I2082" s="368">
        <f t="shared" si="272"/>
        <v>0</v>
      </c>
      <c r="J2082" s="97">
        <v>2480</v>
      </c>
      <c r="K2082" s="367">
        <f t="shared" si="273"/>
        <v>1771.4285714285716</v>
      </c>
      <c r="L2082" s="97">
        <v>0.6</v>
      </c>
      <c r="M2082" s="97">
        <v>9.7999999999999989</v>
      </c>
      <c r="N2082" s="97">
        <v>20</v>
      </c>
      <c r="O2082" s="97">
        <v>2</v>
      </c>
      <c r="P2082" s="97" t="s">
        <v>556</v>
      </c>
      <c r="Q2082" s="97" t="str">
        <f t="shared" si="269"/>
        <v/>
      </c>
      <c r="R2082" t="str">
        <f t="shared" si="270"/>
        <v/>
      </c>
    </row>
    <row r="2083" spans="3:18">
      <c r="C2083" t="str">
        <f t="shared" si="271"/>
        <v/>
      </c>
      <c r="D2083" s="36">
        <v>53</v>
      </c>
      <c r="E2083">
        <v>25</v>
      </c>
      <c r="F2083" s="366">
        <f t="shared" si="267"/>
        <v>542.5</v>
      </c>
      <c r="G2083" s="97">
        <v>812</v>
      </c>
      <c r="H2083" s="367">
        <f t="shared" si="268"/>
        <v>1354.5</v>
      </c>
      <c r="I2083" s="368">
        <f t="shared" si="272"/>
        <v>0</v>
      </c>
      <c r="J2083" s="97">
        <v>2082</v>
      </c>
      <c r="K2083" s="367">
        <f t="shared" si="273"/>
        <v>1487.1428571428571</v>
      </c>
      <c r="L2083" s="97">
        <v>0.36</v>
      </c>
      <c r="M2083" s="97">
        <v>9.7999999999999989</v>
      </c>
      <c r="N2083" s="97">
        <v>17</v>
      </c>
      <c r="O2083" s="97">
        <v>2</v>
      </c>
      <c r="P2083" s="97" t="s">
        <v>515</v>
      </c>
      <c r="Q2083" s="97" t="str">
        <f t="shared" si="269"/>
        <v/>
      </c>
      <c r="R2083" t="str">
        <f t="shared" si="270"/>
        <v/>
      </c>
    </row>
    <row r="2084" spans="3:18">
      <c r="C2084" t="str">
        <f t="shared" si="271"/>
        <v>NL</v>
      </c>
      <c r="D2084" s="36">
        <v>54</v>
      </c>
      <c r="E2084">
        <v>25</v>
      </c>
      <c r="F2084" s="366">
        <f t="shared" si="267"/>
        <v>542.5</v>
      </c>
      <c r="G2084" s="97">
        <v>1326</v>
      </c>
      <c r="H2084" s="367">
        <f t="shared" si="268"/>
        <v>1868.5</v>
      </c>
      <c r="I2084" s="368">
        <f t="shared" si="272"/>
        <v>0</v>
      </c>
      <c r="J2084" s="97">
        <v>3399</v>
      </c>
      <c r="K2084" s="367">
        <f t="shared" si="273"/>
        <v>2427.8571428571431</v>
      </c>
      <c r="L2084" s="97">
        <v>0.79</v>
      </c>
      <c r="M2084" s="97">
        <v>1.8</v>
      </c>
      <c r="N2084" s="97">
        <v>20</v>
      </c>
      <c r="O2084" s="97">
        <v>3</v>
      </c>
      <c r="P2084" s="97" t="s">
        <v>555</v>
      </c>
      <c r="Q2084" s="97" t="str">
        <f t="shared" si="269"/>
        <v/>
      </c>
      <c r="R2084" t="str">
        <f t="shared" si="270"/>
        <v/>
      </c>
    </row>
    <row r="2085" spans="3:18">
      <c r="C2085" t="str">
        <f t="shared" si="271"/>
        <v>NL</v>
      </c>
      <c r="D2085" s="36">
        <v>55</v>
      </c>
      <c r="E2085">
        <v>25</v>
      </c>
      <c r="F2085" s="366">
        <f t="shared" si="267"/>
        <v>542.5</v>
      </c>
      <c r="G2085" s="97">
        <v>1255</v>
      </c>
      <c r="H2085" s="367">
        <f t="shared" si="268"/>
        <v>1797.5</v>
      </c>
      <c r="I2085" s="368">
        <f t="shared" si="272"/>
        <v>0</v>
      </c>
      <c r="J2085" s="97">
        <v>3218</v>
      </c>
      <c r="K2085" s="367">
        <f t="shared" si="273"/>
        <v>2298.5714285714284</v>
      </c>
      <c r="L2085" s="97">
        <v>0.53</v>
      </c>
      <c r="M2085" s="97">
        <v>1.8</v>
      </c>
      <c r="N2085" s="97">
        <v>21</v>
      </c>
      <c r="O2085" s="97">
        <v>3</v>
      </c>
      <c r="P2085" s="97" t="s">
        <v>514</v>
      </c>
      <c r="Q2085" s="97" t="str">
        <f t="shared" si="269"/>
        <v/>
      </c>
      <c r="R2085" t="str">
        <f t="shared" si="270"/>
        <v/>
      </c>
    </row>
    <row r="2086" spans="3:18">
      <c r="C2086" t="str">
        <f t="shared" si="271"/>
        <v>NL</v>
      </c>
      <c r="D2086" s="36">
        <v>56</v>
      </c>
      <c r="E2086">
        <v>25</v>
      </c>
      <c r="F2086" s="366">
        <f t="shared" si="267"/>
        <v>542.5</v>
      </c>
      <c r="G2086" s="97">
        <v>1056</v>
      </c>
      <c r="H2086" s="367">
        <f t="shared" si="268"/>
        <v>1598.5</v>
      </c>
      <c r="I2086" s="368">
        <f t="shared" si="272"/>
        <v>0</v>
      </c>
      <c r="J2086" s="97">
        <v>2709</v>
      </c>
      <c r="K2086" s="367">
        <f t="shared" si="273"/>
        <v>1935</v>
      </c>
      <c r="L2086" s="97">
        <v>0.25</v>
      </c>
      <c r="M2086" s="97">
        <v>1.8</v>
      </c>
      <c r="N2086" s="97">
        <v>15</v>
      </c>
      <c r="O2086" s="97">
        <v>3</v>
      </c>
      <c r="P2086" s="97" t="s">
        <v>556</v>
      </c>
      <c r="Q2086" s="97" t="str">
        <f t="shared" si="269"/>
        <v/>
      </c>
      <c r="R2086" t="str">
        <f t="shared" si="270"/>
        <v/>
      </c>
    </row>
    <row r="2087" spans="3:18">
      <c r="C2087" t="str">
        <f t="shared" si="271"/>
        <v>NL</v>
      </c>
      <c r="D2087" s="36">
        <v>57</v>
      </c>
      <c r="E2087">
        <v>25</v>
      </c>
      <c r="F2087" s="366">
        <f t="shared" si="267"/>
        <v>542.5</v>
      </c>
      <c r="G2087" s="97">
        <v>865</v>
      </c>
      <c r="H2087" s="367">
        <f t="shared" si="268"/>
        <v>1407.5</v>
      </c>
      <c r="I2087" s="368">
        <f t="shared" si="272"/>
        <v>0</v>
      </c>
      <c r="J2087" s="97">
        <v>2218</v>
      </c>
      <c r="K2087" s="367">
        <f t="shared" si="273"/>
        <v>1584.2857142857142</v>
      </c>
      <c r="L2087" s="97">
        <v>0.15000000000000002</v>
      </c>
      <c r="M2087" s="97">
        <v>1.8</v>
      </c>
      <c r="N2087" s="97">
        <v>15</v>
      </c>
      <c r="O2087" s="97">
        <v>3</v>
      </c>
      <c r="P2087" s="97" t="s">
        <v>515</v>
      </c>
      <c r="Q2087" s="97" t="str">
        <f t="shared" si="269"/>
        <v/>
      </c>
      <c r="R2087" t="str">
        <f t="shared" si="270"/>
        <v/>
      </c>
    </row>
    <row r="2088" spans="3:18">
      <c r="C2088" t="str">
        <f t="shared" si="271"/>
        <v/>
      </c>
      <c r="D2088" s="36">
        <v>58</v>
      </c>
      <c r="E2088">
        <v>25</v>
      </c>
      <c r="F2088" s="366">
        <f t="shared" si="267"/>
        <v>542.5</v>
      </c>
      <c r="G2088" s="97">
        <v>1875</v>
      </c>
      <c r="H2088" s="367">
        <f t="shared" si="268"/>
        <v>2417.5</v>
      </c>
      <c r="I2088" s="368">
        <f t="shared" si="272"/>
        <v>0</v>
      </c>
      <c r="J2088" s="97">
        <v>4808</v>
      </c>
      <c r="K2088" s="367">
        <f t="shared" si="273"/>
        <v>3434.2857142857142</v>
      </c>
      <c r="L2088" s="97">
        <v>0.99</v>
      </c>
      <c r="M2088" s="97">
        <v>2.3000000000000003</v>
      </c>
      <c r="N2088" s="97">
        <v>24</v>
      </c>
      <c r="O2088" s="97">
        <v>4</v>
      </c>
      <c r="P2088" s="97" t="s">
        <v>513</v>
      </c>
      <c r="Q2088" s="97" t="str">
        <f t="shared" si="269"/>
        <v/>
      </c>
      <c r="R2088" t="str">
        <f t="shared" si="270"/>
        <v/>
      </c>
    </row>
    <row r="2089" spans="3:18">
      <c r="C2089" t="str">
        <f t="shared" si="271"/>
        <v/>
      </c>
      <c r="D2089" s="36">
        <v>59</v>
      </c>
      <c r="E2089">
        <v>25</v>
      </c>
      <c r="F2089" s="366">
        <f t="shared" si="267"/>
        <v>542.5</v>
      </c>
      <c r="G2089" s="97">
        <v>1429</v>
      </c>
      <c r="H2089" s="367">
        <f t="shared" si="268"/>
        <v>1971.5</v>
      </c>
      <c r="I2089" s="368">
        <f t="shared" si="272"/>
        <v>0</v>
      </c>
      <c r="J2089" s="97">
        <v>3664</v>
      </c>
      <c r="K2089" s="367">
        <f t="shared" si="273"/>
        <v>2617.1428571428573</v>
      </c>
      <c r="L2089" s="97">
        <v>0.44</v>
      </c>
      <c r="M2089" s="97">
        <v>2.3000000000000003</v>
      </c>
      <c r="N2089" s="97">
        <v>18</v>
      </c>
      <c r="O2089" s="97">
        <v>4</v>
      </c>
      <c r="P2089" s="97" t="s">
        <v>555</v>
      </c>
      <c r="Q2089" s="97" t="str">
        <f t="shared" si="269"/>
        <v/>
      </c>
      <c r="R2089" t="str">
        <f t="shared" si="270"/>
        <v/>
      </c>
    </row>
    <row r="2090" spans="3:18">
      <c r="C2090" t="str">
        <f t="shared" si="271"/>
        <v/>
      </c>
      <c r="D2090" s="36">
        <v>60</v>
      </c>
      <c r="E2090">
        <v>25</v>
      </c>
      <c r="F2090" s="366">
        <f t="shared" si="267"/>
        <v>542.5</v>
      </c>
      <c r="G2090" s="97">
        <v>1345</v>
      </c>
      <c r="H2090" s="367">
        <f t="shared" si="268"/>
        <v>1887.5</v>
      </c>
      <c r="I2090" s="368">
        <f t="shared" si="272"/>
        <v>0</v>
      </c>
      <c r="J2090" s="97">
        <v>3447</v>
      </c>
      <c r="K2090" s="367">
        <f t="shared" si="273"/>
        <v>2462.1428571428573</v>
      </c>
      <c r="L2090" s="97">
        <v>0.3</v>
      </c>
      <c r="M2090" s="97">
        <v>2.3000000000000003</v>
      </c>
      <c r="N2090" s="97">
        <v>19</v>
      </c>
      <c r="O2090" s="97">
        <v>4</v>
      </c>
      <c r="P2090" s="97" t="s">
        <v>514</v>
      </c>
      <c r="Q2090" s="97" t="str">
        <f t="shared" si="269"/>
        <v/>
      </c>
      <c r="R2090" t="str">
        <f t="shared" si="270"/>
        <v/>
      </c>
    </row>
    <row r="2091" spans="3:18">
      <c r="C2091" t="str">
        <f t="shared" si="271"/>
        <v>NL</v>
      </c>
      <c r="D2091" s="36">
        <v>61</v>
      </c>
      <c r="E2091">
        <v>25</v>
      </c>
      <c r="F2091" s="366">
        <f t="shared" si="267"/>
        <v>542.5</v>
      </c>
      <c r="G2091" s="97">
        <v>1904</v>
      </c>
      <c r="H2091" s="367">
        <f t="shared" si="268"/>
        <v>2446.5</v>
      </c>
      <c r="I2091" s="368">
        <f t="shared" si="272"/>
        <v>0</v>
      </c>
      <c r="J2091" s="97">
        <v>4882</v>
      </c>
      <c r="K2091" s="367">
        <f t="shared" si="273"/>
        <v>3487.1428571428573</v>
      </c>
      <c r="L2091" s="97">
        <v>0.62</v>
      </c>
      <c r="M2091" s="97">
        <v>2.8000000000000003</v>
      </c>
      <c r="N2091" s="97">
        <v>21</v>
      </c>
      <c r="O2091" s="97">
        <v>5</v>
      </c>
      <c r="P2091" s="97" t="s">
        <v>513</v>
      </c>
      <c r="Q2091" s="97" t="str">
        <f t="shared" si="269"/>
        <v/>
      </c>
      <c r="R2091" t="str">
        <f t="shared" si="270"/>
        <v/>
      </c>
    </row>
    <row r="2092" spans="3:18">
      <c r="C2092" t="str">
        <f t="shared" si="271"/>
        <v>NL</v>
      </c>
      <c r="D2092" s="36">
        <v>62</v>
      </c>
      <c r="E2092">
        <v>25</v>
      </c>
      <c r="F2092" s="366">
        <f t="shared" si="267"/>
        <v>542.5</v>
      </c>
      <c r="G2092" s="97">
        <v>1446</v>
      </c>
      <c r="H2092" s="367">
        <f t="shared" si="268"/>
        <v>1988.5</v>
      </c>
      <c r="I2092" s="368">
        <f t="shared" si="272"/>
        <v>0</v>
      </c>
      <c r="J2092" s="97">
        <v>3707</v>
      </c>
      <c r="K2092" s="367">
        <f t="shared" si="273"/>
        <v>2647.8571428571431</v>
      </c>
      <c r="L2092" s="97">
        <v>0.28000000000000003</v>
      </c>
      <c r="M2092" s="97">
        <v>2.8000000000000003</v>
      </c>
      <c r="N2092" s="97">
        <v>15</v>
      </c>
      <c r="O2092" s="97">
        <v>5</v>
      </c>
      <c r="P2092" s="97" t="s">
        <v>555</v>
      </c>
      <c r="Q2092" s="97" t="str">
        <f t="shared" si="269"/>
        <v/>
      </c>
      <c r="R2092" t="str">
        <f t="shared" si="270"/>
        <v/>
      </c>
    </row>
    <row r="2093" spans="3:18">
      <c r="C2093" t="str">
        <f t="shared" si="271"/>
        <v>NL</v>
      </c>
      <c r="D2093" s="36">
        <v>63</v>
      </c>
      <c r="E2093">
        <v>25</v>
      </c>
      <c r="F2093" s="366">
        <f t="shared" si="267"/>
        <v>542.5</v>
      </c>
      <c r="G2093" s="97">
        <v>1332</v>
      </c>
      <c r="H2093" s="367">
        <f t="shared" si="268"/>
        <v>1874.5</v>
      </c>
      <c r="I2093" s="368">
        <f t="shared" si="272"/>
        <v>0</v>
      </c>
      <c r="J2093" s="97">
        <v>3416</v>
      </c>
      <c r="K2093" s="367">
        <f t="shared" si="273"/>
        <v>2440</v>
      </c>
      <c r="L2093" s="97">
        <v>0.19</v>
      </c>
      <c r="M2093" s="97">
        <v>2.8000000000000003</v>
      </c>
      <c r="N2093" s="97">
        <v>17</v>
      </c>
      <c r="O2093" s="97">
        <v>5</v>
      </c>
      <c r="P2093" s="97" t="s">
        <v>514</v>
      </c>
      <c r="Q2093" s="97" t="str">
        <f t="shared" si="269"/>
        <v/>
      </c>
      <c r="R2093" t="str">
        <f t="shared" si="270"/>
        <v/>
      </c>
    </row>
    <row r="2094" spans="3:18">
      <c r="C2094" t="str">
        <f t="shared" si="271"/>
        <v/>
      </c>
      <c r="D2094" s="36">
        <v>64</v>
      </c>
      <c r="E2094">
        <v>25</v>
      </c>
      <c r="F2094" s="366">
        <f t="shared" si="267"/>
        <v>542.5</v>
      </c>
      <c r="G2094" s="97">
        <v>2390</v>
      </c>
      <c r="H2094" s="367">
        <f t="shared" si="268"/>
        <v>2932.5</v>
      </c>
      <c r="I2094" s="368">
        <f t="shared" si="272"/>
        <v>0</v>
      </c>
      <c r="J2094" s="97">
        <v>6127</v>
      </c>
      <c r="K2094" s="367">
        <f t="shared" si="273"/>
        <v>4376.4285714285716</v>
      </c>
      <c r="L2094" s="97">
        <v>0.85</v>
      </c>
      <c r="M2094" s="97">
        <v>3.4</v>
      </c>
      <c r="N2094" s="97">
        <v>20</v>
      </c>
      <c r="O2094" s="97">
        <v>6</v>
      </c>
      <c r="P2094" s="97" t="s">
        <v>512</v>
      </c>
      <c r="Q2094" s="97" t="str">
        <f t="shared" si="269"/>
        <v/>
      </c>
      <c r="R2094" t="str">
        <f t="shared" si="270"/>
        <v/>
      </c>
    </row>
    <row r="2095" spans="3:18">
      <c r="C2095" t="str">
        <f t="shared" si="271"/>
        <v/>
      </c>
      <c r="D2095" s="36">
        <v>65</v>
      </c>
      <c r="E2095">
        <v>25</v>
      </c>
      <c r="F2095" s="366">
        <f t="shared" ref="F2095:F2158" si="274">1.085*($A$2-$B$2)*E2095*$T$7</f>
        <v>542.5</v>
      </c>
      <c r="G2095" s="97">
        <v>2022</v>
      </c>
      <c r="H2095" s="367">
        <f t="shared" ref="H2095:H2158" si="275">(G2095*$U$7)+F2095</f>
        <v>2564.5</v>
      </c>
      <c r="I2095" s="368">
        <f t="shared" si="272"/>
        <v>0</v>
      </c>
      <c r="J2095" s="97">
        <v>5184</v>
      </c>
      <c r="K2095" s="367">
        <f t="shared" si="273"/>
        <v>3702.8571428571431</v>
      </c>
      <c r="L2095" s="97">
        <v>0.43</v>
      </c>
      <c r="M2095" s="97">
        <v>3.4</v>
      </c>
      <c r="N2095" s="97">
        <v>20</v>
      </c>
      <c r="O2095" s="97">
        <v>6</v>
      </c>
      <c r="P2095" s="97" t="s">
        <v>513</v>
      </c>
      <c r="Q2095" s="97" t="str">
        <f t="shared" ref="Q2095:Q2158" si="276">IF(AND(H2095+1&gt;$E$4,L2095&lt;$L$4+0.01,M2095&lt;$M$4+0.01,K2095+1&gt;$F$4,E2095+1&gt;$J$4,N2095&lt;$K$4+1,O2095&lt;$P$4+1,C2095=""),D2095,"")</f>
        <v/>
      </c>
      <c r="R2095" t="str">
        <f t="shared" ref="R2095:R2158" si="277">IF(Q2095="","",IF(AND(O2095&lt;$X$17,E2095&gt;$U$17,E2095&lt;$Q$4+$U$17+1),D2095,""))</f>
        <v/>
      </c>
    </row>
    <row r="2096" spans="3:18">
      <c r="C2096" t="str">
        <f t="shared" si="271"/>
        <v/>
      </c>
      <c r="D2096" s="36">
        <v>66</v>
      </c>
      <c r="E2096">
        <v>25</v>
      </c>
      <c r="F2096" s="366">
        <f t="shared" si="274"/>
        <v>542.5</v>
      </c>
      <c r="G2096" s="97">
        <v>1573</v>
      </c>
      <c r="H2096" s="367">
        <f t="shared" si="275"/>
        <v>2115.5</v>
      </c>
      <c r="I2096" s="368">
        <f t="shared" si="272"/>
        <v>0</v>
      </c>
      <c r="J2096" s="97">
        <v>4032</v>
      </c>
      <c r="K2096" s="367">
        <f t="shared" si="273"/>
        <v>2880</v>
      </c>
      <c r="L2096" s="97">
        <v>0.2</v>
      </c>
      <c r="M2096" s="97">
        <v>3.4</v>
      </c>
      <c r="N2096" s="97">
        <v>15</v>
      </c>
      <c r="O2096" s="97">
        <v>6</v>
      </c>
      <c r="P2096" s="97" t="s">
        <v>555</v>
      </c>
      <c r="Q2096" s="97" t="str">
        <f t="shared" si="276"/>
        <v/>
      </c>
      <c r="R2096" t="str">
        <f t="shared" si="277"/>
        <v/>
      </c>
    </row>
    <row r="2097" spans="3:18">
      <c r="C2097" t="str">
        <f t="shared" si="271"/>
        <v>NL</v>
      </c>
      <c r="D2097" s="36">
        <v>67</v>
      </c>
      <c r="E2097">
        <v>25</v>
      </c>
      <c r="F2097" s="366">
        <f t="shared" si="274"/>
        <v>542.5</v>
      </c>
      <c r="G2097" s="97">
        <v>2740</v>
      </c>
      <c r="H2097" s="367">
        <f t="shared" si="275"/>
        <v>3282.5</v>
      </c>
      <c r="I2097" s="368">
        <f t="shared" si="272"/>
        <v>0</v>
      </c>
      <c r="J2097" s="97">
        <v>7024</v>
      </c>
      <c r="K2097" s="367">
        <f t="shared" si="273"/>
        <v>5017.1428571428569</v>
      </c>
      <c r="L2097" s="97">
        <v>0.63</v>
      </c>
      <c r="M2097" s="97">
        <v>3.9</v>
      </c>
      <c r="N2097" s="97">
        <v>19</v>
      </c>
      <c r="O2097" s="97">
        <v>7</v>
      </c>
      <c r="P2097" s="97" t="s">
        <v>512</v>
      </c>
      <c r="Q2097" s="97" t="str">
        <f t="shared" si="276"/>
        <v/>
      </c>
      <c r="R2097" t="str">
        <f t="shared" si="277"/>
        <v/>
      </c>
    </row>
    <row r="2098" spans="3:18">
      <c r="C2098" t="str">
        <f t="shared" si="271"/>
        <v>NL</v>
      </c>
      <c r="D2098" s="36">
        <v>68</v>
      </c>
      <c r="E2098">
        <v>25</v>
      </c>
      <c r="F2098" s="366">
        <f t="shared" si="274"/>
        <v>542.5</v>
      </c>
      <c r="G2098" s="97">
        <v>2217</v>
      </c>
      <c r="H2098" s="367">
        <f t="shared" si="275"/>
        <v>2759.5</v>
      </c>
      <c r="I2098" s="368">
        <f t="shared" si="272"/>
        <v>0</v>
      </c>
      <c r="J2098" s="97">
        <v>5685</v>
      </c>
      <c r="K2098" s="367">
        <f t="shared" si="273"/>
        <v>4060.7142857142858</v>
      </c>
      <c r="L2098" s="97">
        <v>0.32</v>
      </c>
      <c r="M2098" s="97">
        <v>3.9</v>
      </c>
      <c r="N2098" s="97">
        <v>18</v>
      </c>
      <c r="O2098" s="97">
        <v>7</v>
      </c>
      <c r="P2098" s="97" t="s">
        <v>513</v>
      </c>
      <c r="Q2098" s="97" t="str">
        <f t="shared" si="276"/>
        <v/>
      </c>
      <c r="R2098" t="str">
        <f t="shared" si="277"/>
        <v/>
      </c>
    </row>
    <row r="2099" spans="3:18">
      <c r="C2099" t="str">
        <f t="shared" si="271"/>
        <v>NL</v>
      </c>
      <c r="D2099" s="36">
        <v>69</v>
      </c>
      <c r="E2099">
        <v>25</v>
      </c>
      <c r="F2099" s="366">
        <f t="shared" si="274"/>
        <v>542.5</v>
      </c>
      <c r="G2099" s="97">
        <v>1655</v>
      </c>
      <c r="H2099" s="367">
        <f t="shared" si="275"/>
        <v>2197.5</v>
      </c>
      <c r="I2099" s="368">
        <f t="shared" si="272"/>
        <v>0</v>
      </c>
      <c r="J2099" s="97">
        <v>4243</v>
      </c>
      <c r="K2099" s="367">
        <f t="shared" si="273"/>
        <v>3030.7142857142858</v>
      </c>
      <c r="L2099" s="97">
        <v>0.15000000000000002</v>
      </c>
      <c r="M2099" s="97">
        <v>3.9</v>
      </c>
      <c r="N2099" s="97">
        <v>15</v>
      </c>
      <c r="O2099" s="97">
        <v>7</v>
      </c>
      <c r="P2099" s="97" t="s">
        <v>555</v>
      </c>
      <c r="Q2099" s="97" t="str">
        <f t="shared" si="276"/>
        <v/>
      </c>
      <c r="R2099" t="str">
        <f t="shared" si="277"/>
        <v/>
      </c>
    </row>
    <row r="2100" spans="3:18">
      <c r="C2100" t="str">
        <f t="shared" si="271"/>
        <v/>
      </c>
      <c r="D2100" s="36">
        <v>70</v>
      </c>
      <c r="E2100">
        <v>25</v>
      </c>
      <c r="F2100" s="366">
        <f t="shared" si="274"/>
        <v>542.5</v>
      </c>
      <c r="G2100" s="97">
        <v>2847</v>
      </c>
      <c r="H2100" s="367">
        <f t="shared" si="275"/>
        <v>3389.5</v>
      </c>
      <c r="I2100" s="368">
        <f t="shared" si="272"/>
        <v>0</v>
      </c>
      <c r="J2100" s="97">
        <v>7298</v>
      </c>
      <c r="K2100" s="367">
        <f t="shared" si="273"/>
        <v>5212.8571428571431</v>
      </c>
      <c r="L2100" s="97">
        <v>0.49</v>
      </c>
      <c r="M2100" s="97">
        <v>4.3999999999999995</v>
      </c>
      <c r="N2100" s="97">
        <v>18</v>
      </c>
      <c r="O2100" s="97">
        <v>8</v>
      </c>
      <c r="P2100" s="97" t="s">
        <v>512</v>
      </c>
      <c r="Q2100" s="97">
        <f t="shared" si="276"/>
        <v>70</v>
      </c>
      <c r="R2100" t="str">
        <f t="shared" si="277"/>
        <v/>
      </c>
    </row>
    <row r="2101" spans="3:18">
      <c r="C2101" t="str">
        <f t="shared" si="271"/>
        <v/>
      </c>
      <c r="D2101" s="36">
        <v>71</v>
      </c>
      <c r="E2101">
        <v>25</v>
      </c>
      <c r="F2101" s="366">
        <f t="shared" si="274"/>
        <v>542.5</v>
      </c>
      <c r="G2101" s="97">
        <v>2847</v>
      </c>
      <c r="H2101" s="367">
        <f t="shared" si="275"/>
        <v>3389.5</v>
      </c>
      <c r="I2101" s="368">
        <f t="shared" si="272"/>
        <v>0</v>
      </c>
      <c r="J2101" s="97">
        <v>7298</v>
      </c>
      <c r="K2101" s="367">
        <f t="shared" si="273"/>
        <v>5212.8571428571431</v>
      </c>
      <c r="L2101" s="97">
        <v>0.49</v>
      </c>
      <c r="M2101" s="97">
        <v>4.3999999999999995</v>
      </c>
      <c r="N2101" s="97">
        <v>18</v>
      </c>
      <c r="O2101" s="97">
        <v>8</v>
      </c>
      <c r="P2101" s="97" t="s">
        <v>512</v>
      </c>
      <c r="Q2101" s="97">
        <f t="shared" si="276"/>
        <v>71</v>
      </c>
      <c r="R2101" t="str">
        <f t="shared" si="277"/>
        <v/>
      </c>
    </row>
    <row r="2102" spans="3:18">
      <c r="C2102" t="str">
        <f t="shared" si="271"/>
        <v/>
      </c>
      <c r="D2102" s="36">
        <v>72</v>
      </c>
      <c r="E2102">
        <v>25</v>
      </c>
      <c r="F2102" s="366">
        <f t="shared" si="274"/>
        <v>542.5</v>
      </c>
      <c r="G2102" s="97">
        <v>2319</v>
      </c>
      <c r="H2102" s="367">
        <f t="shared" si="275"/>
        <v>2861.5</v>
      </c>
      <c r="I2102" s="368">
        <f t="shared" si="272"/>
        <v>0</v>
      </c>
      <c r="J2102" s="97">
        <v>5946</v>
      </c>
      <c r="K2102" s="367">
        <f t="shared" si="273"/>
        <v>4247.1428571428569</v>
      </c>
      <c r="L2102" s="97">
        <v>0.25</v>
      </c>
      <c r="M2102" s="97">
        <v>4.3999999999999995</v>
      </c>
      <c r="N2102" s="97">
        <v>17</v>
      </c>
      <c r="O2102" s="97">
        <v>8</v>
      </c>
      <c r="P2102" s="97" t="s">
        <v>513</v>
      </c>
      <c r="Q2102" s="97" t="str">
        <f t="shared" si="276"/>
        <v/>
      </c>
      <c r="R2102" t="str">
        <f t="shared" si="277"/>
        <v/>
      </c>
    </row>
    <row r="2103" spans="3:18">
      <c r="C2103" t="str">
        <f t="shared" si="271"/>
        <v>NL</v>
      </c>
      <c r="D2103" s="36">
        <v>73</v>
      </c>
      <c r="E2103">
        <v>25</v>
      </c>
      <c r="F2103" s="366">
        <f t="shared" si="274"/>
        <v>542.5</v>
      </c>
      <c r="G2103" s="97">
        <v>2884</v>
      </c>
      <c r="H2103" s="367">
        <f t="shared" si="275"/>
        <v>3426.5</v>
      </c>
      <c r="I2103" s="368">
        <f t="shared" si="272"/>
        <v>0</v>
      </c>
      <c r="J2103" s="97">
        <v>7395</v>
      </c>
      <c r="K2103" s="367">
        <f t="shared" si="273"/>
        <v>5282.1428571428569</v>
      </c>
      <c r="L2103" s="97">
        <v>0.39</v>
      </c>
      <c r="M2103" s="97">
        <v>4.8999999999999995</v>
      </c>
      <c r="N2103" s="97">
        <v>17</v>
      </c>
      <c r="O2103" s="97">
        <v>9</v>
      </c>
      <c r="P2103" s="97" t="s">
        <v>512</v>
      </c>
      <c r="Q2103" s="97" t="str">
        <f t="shared" si="276"/>
        <v/>
      </c>
      <c r="R2103" t="str">
        <f t="shared" si="277"/>
        <v/>
      </c>
    </row>
    <row r="2104" spans="3:18">
      <c r="C2104" t="str">
        <f t="shared" si="271"/>
        <v>NL</v>
      </c>
      <c r="D2104" s="36">
        <v>74</v>
      </c>
      <c r="E2104">
        <v>25</v>
      </c>
      <c r="F2104" s="366">
        <f t="shared" si="274"/>
        <v>542.5</v>
      </c>
      <c r="G2104" s="97">
        <v>2333</v>
      </c>
      <c r="H2104" s="367">
        <f t="shared" si="275"/>
        <v>2875.5</v>
      </c>
      <c r="I2104" s="368">
        <f t="shared" si="272"/>
        <v>0</v>
      </c>
      <c r="J2104" s="97">
        <v>5981</v>
      </c>
      <c r="K2104" s="367">
        <f t="shared" si="273"/>
        <v>4272.1428571428569</v>
      </c>
      <c r="L2104" s="97">
        <v>0.2</v>
      </c>
      <c r="M2104" s="97">
        <v>4.8999999999999995</v>
      </c>
      <c r="N2104" s="97">
        <v>16</v>
      </c>
      <c r="O2104" s="97">
        <v>9</v>
      </c>
      <c r="P2104" s="97" t="s">
        <v>513</v>
      </c>
      <c r="Q2104" s="97" t="str">
        <f t="shared" si="276"/>
        <v/>
      </c>
      <c r="R2104" t="str">
        <f t="shared" si="277"/>
        <v/>
      </c>
    </row>
    <row r="2105" spans="3:18">
      <c r="C2105" t="str">
        <f t="shared" si="271"/>
        <v/>
      </c>
      <c r="D2105" s="36">
        <v>75</v>
      </c>
      <c r="E2105">
        <v>25</v>
      </c>
      <c r="F2105" s="366">
        <f t="shared" si="274"/>
        <v>542.5</v>
      </c>
      <c r="G2105" s="97">
        <v>2924</v>
      </c>
      <c r="H2105" s="367">
        <f t="shared" si="275"/>
        <v>3466.5</v>
      </c>
      <c r="I2105" s="368">
        <f t="shared" si="272"/>
        <v>0</v>
      </c>
      <c r="J2105" s="97">
        <v>7495</v>
      </c>
      <c r="K2105" s="367">
        <f t="shared" si="273"/>
        <v>5353.5714285714284</v>
      </c>
      <c r="L2105" s="97">
        <v>0.32</v>
      </c>
      <c r="M2105" s="97">
        <v>5.3999999999999995</v>
      </c>
      <c r="N2105" s="97">
        <v>16</v>
      </c>
      <c r="O2105" s="97">
        <v>10</v>
      </c>
      <c r="P2105" s="97" t="s">
        <v>512</v>
      </c>
      <c r="Q2105" s="97" t="str">
        <f t="shared" si="276"/>
        <v/>
      </c>
      <c r="R2105" t="str">
        <f t="shared" si="277"/>
        <v/>
      </c>
    </row>
    <row r="2106" spans="3:18">
      <c r="C2106" t="str">
        <f t="shared" si="271"/>
        <v/>
      </c>
      <c r="D2106" s="36">
        <v>76</v>
      </c>
      <c r="E2106">
        <v>25</v>
      </c>
      <c r="F2106" s="366">
        <f t="shared" si="274"/>
        <v>542.5</v>
      </c>
      <c r="G2106" s="97">
        <v>2353</v>
      </c>
      <c r="H2106" s="367">
        <f t="shared" si="275"/>
        <v>2895.5</v>
      </c>
      <c r="I2106" s="368">
        <f t="shared" si="272"/>
        <v>0</v>
      </c>
      <c r="J2106" s="97">
        <v>6032</v>
      </c>
      <c r="K2106" s="367">
        <f t="shared" si="273"/>
        <v>4308.5714285714284</v>
      </c>
      <c r="L2106" s="97">
        <v>0.16</v>
      </c>
      <c r="M2106" s="97">
        <v>5.3999999999999995</v>
      </c>
      <c r="N2106" s="97">
        <v>16</v>
      </c>
      <c r="O2106" s="97">
        <v>10</v>
      </c>
      <c r="P2106" s="97" t="s">
        <v>513</v>
      </c>
      <c r="Q2106" s="97" t="str">
        <f t="shared" si="276"/>
        <v/>
      </c>
      <c r="R2106" t="str">
        <f t="shared" si="277"/>
        <v/>
      </c>
    </row>
    <row r="2107" spans="3:18">
      <c r="C2107" t="str">
        <f t="shared" si="271"/>
        <v/>
      </c>
      <c r="D2107" s="36">
        <v>77</v>
      </c>
      <c r="E2107">
        <v>30</v>
      </c>
      <c r="F2107" s="366">
        <f t="shared" si="274"/>
        <v>651</v>
      </c>
      <c r="G2107" s="97">
        <v>1190</v>
      </c>
      <c r="H2107" s="367">
        <f t="shared" si="275"/>
        <v>1841</v>
      </c>
      <c r="I2107" s="368">
        <f t="shared" si="272"/>
        <v>0</v>
      </c>
      <c r="J2107" s="97">
        <v>3052</v>
      </c>
      <c r="K2107" s="367">
        <f t="shared" si="273"/>
        <v>2180</v>
      </c>
      <c r="L2107" s="97">
        <v>0.87</v>
      </c>
      <c r="M2107" s="97">
        <v>9.7999999999999989</v>
      </c>
      <c r="N2107" s="97">
        <v>22</v>
      </c>
      <c r="O2107" s="97">
        <v>2</v>
      </c>
      <c r="P2107" s="97" t="s">
        <v>556</v>
      </c>
      <c r="Q2107" s="97" t="str">
        <f t="shared" si="276"/>
        <v/>
      </c>
      <c r="R2107" t="str">
        <f t="shared" si="277"/>
        <v/>
      </c>
    </row>
    <row r="2108" spans="3:18">
      <c r="C2108" t="str">
        <f t="shared" si="271"/>
        <v/>
      </c>
      <c r="D2108" s="36">
        <v>78</v>
      </c>
      <c r="E2108">
        <v>30</v>
      </c>
      <c r="F2108" s="366">
        <f t="shared" si="274"/>
        <v>651</v>
      </c>
      <c r="G2108" s="97">
        <v>958</v>
      </c>
      <c r="H2108" s="367">
        <f t="shared" si="275"/>
        <v>1609</v>
      </c>
      <c r="I2108" s="368">
        <f t="shared" si="272"/>
        <v>0</v>
      </c>
      <c r="J2108" s="97">
        <v>2455</v>
      </c>
      <c r="K2108" s="367">
        <f t="shared" si="273"/>
        <v>1753.5714285714287</v>
      </c>
      <c r="L2108" s="97">
        <v>0.52</v>
      </c>
      <c r="M2108" s="97">
        <v>9.7999999999999989</v>
      </c>
      <c r="N2108" s="97">
        <v>19</v>
      </c>
      <c r="O2108" s="97">
        <v>2</v>
      </c>
      <c r="P2108" s="97" t="s">
        <v>515</v>
      </c>
      <c r="Q2108" s="97" t="str">
        <f t="shared" si="276"/>
        <v/>
      </c>
      <c r="R2108" t="str">
        <f t="shared" si="277"/>
        <v/>
      </c>
    </row>
    <row r="2109" spans="3:18">
      <c r="C2109" t="str">
        <f t="shared" si="271"/>
        <v>NL</v>
      </c>
      <c r="D2109" s="36">
        <v>79</v>
      </c>
      <c r="E2109">
        <v>30</v>
      </c>
      <c r="F2109" s="366">
        <f t="shared" si="274"/>
        <v>651</v>
      </c>
      <c r="G2109" s="97">
        <v>1449</v>
      </c>
      <c r="H2109" s="367">
        <f t="shared" si="275"/>
        <v>2100</v>
      </c>
      <c r="I2109" s="368">
        <f t="shared" si="272"/>
        <v>0</v>
      </c>
      <c r="J2109" s="97">
        <v>3715</v>
      </c>
      <c r="K2109" s="367">
        <f t="shared" si="273"/>
        <v>2653.5714285714284</v>
      </c>
      <c r="L2109" s="97">
        <v>0.76</v>
      </c>
      <c r="M2109" s="97">
        <v>1.8</v>
      </c>
      <c r="N2109" s="97">
        <v>23</v>
      </c>
      <c r="O2109" s="97">
        <v>3</v>
      </c>
      <c r="P2109" s="97" t="s">
        <v>514</v>
      </c>
      <c r="Q2109" s="97" t="str">
        <f t="shared" si="276"/>
        <v/>
      </c>
      <c r="R2109" t="str">
        <f t="shared" si="277"/>
        <v/>
      </c>
    </row>
    <row r="2110" spans="3:18">
      <c r="C2110" t="str">
        <f t="shared" si="271"/>
        <v>NL</v>
      </c>
      <c r="D2110" s="36">
        <v>80</v>
      </c>
      <c r="E2110">
        <v>30</v>
      </c>
      <c r="F2110" s="366">
        <f t="shared" si="274"/>
        <v>651</v>
      </c>
      <c r="G2110" s="97">
        <v>1209</v>
      </c>
      <c r="H2110" s="367">
        <f t="shared" si="275"/>
        <v>1860</v>
      </c>
      <c r="I2110" s="368">
        <f t="shared" si="272"/>
        <v>0</v>
      </c>
      <c r="J2110" s="97">
        <v>3099</v>
      </c>
      <c r="K2110" s="367">
        <f t="shared" si="273"/>
        <v>2213.5714285714284</v>
      </c>
      <c r="L2110" s="97">
        <v>0.36</v>
      </c>
      <c r="M2110" s="97">
        <v>1.8</v>
      </c>
      <c r="N2110" s="97">
        <v>18</v>
      </c>
      <c r="O2110" s="97">
        <v>3</v>
      </c>
      <c r="P2110" s="97" t="s">
        <v>556</v>
      </c>
      <c r="Q2110" s="97" t="str">
        <f t="shared" si="276"/>
        <v/>
      </c>
      <c r="R2110" t="str">
        <f t="shared" si="277"/>
        <v/>
      </c>
    </row>
    <row r="2111" spans="3:18">
      <c r="C2111" t="str">
        <f t="shared" si="271"/>
        <v>NL</v>
      </c>
      <c r="D2111" s="36">
        <v>81</v>
      </c>
      <c r="E2111">
        <v>30</v>
      </c>
      <c r="F2111" s="366">
        <f t="shared" si="274"/>
        <v>651</v>
      </c>
      <c r="G2111" s="97">
        <v>1056</v>
      </c>
      <c r="H2111" s="367">
        <f t="shared" si="275"/>
        <v>1707</v>
      </c>
      <c r="I2111" s="368">
        <f t="shared" si="272"/>
        <v>0</v>
      </c>
      <c r="J2111" s="97">
        <v>2708</v>
      </c>
      <c r="K2111" s="367">
        <f t="shared" si="273"/>
        <v>1934.2857142857142</v>
      </c>
      <c r="L2111" s="97">
        <v>0.22</v>
      </c>
      <c r="M2111" s="97">
        <v>1.8</v>
      </c>
      <c r="N2111" s="97">
        <v>15</v>
      </c>
      <c r="O2111" s="97">
        <v>3</v>
      </c>
      <c r="P2111" s="97" t="s">
        <v>515</v>
      </c>
      <c r="Q2111" s="97" t="str">
        <f t="shared" si="276"/>
        <v/>
      </c>
      <c r="R2111" t="str">
        <f t="shared" si="277"/>
        <v/>
      </c>
    </row>
    <row r="2112" spans="3:18">
      <c r="C2112" t="str">
        <f t="shared" si="271"/>
        <v/>
      </c>
      <c r="D2112" s="36">
        <v>82</v>
      </c>
      <c r="E2112">
        <v>30</v>
      </c>
      <c r="F2112" s="366">
        <f t="shared" si="274"/>
        <v>651</v>
      </c>
      <c r="G2112" s="97">
        <v>1633</v>
      </c>
      <c r="H2112" s="367">
        <f t="shared" si="275"/>
        <v>2284</v>
      </c>
      <c r="I2112" s="368">
        <f t="shared" si="272"/>
        <v>0</v>
      </c>
      <c r="J2112" s="97">
        <v>4186</v>
      </c>
      <c r="K2112" s="367">
        <f t="shared" si="273"/>
        <v>2990</v>
      </c>
      <c r="L2112" s="97">
        <v>0.63</v>
      </c>
      <c r="M2112" s="97">
        <v>2.3000000000000003</v>
      </c>
      <c r="N2112" s="97">
        <v>20</v>
      </c>
      <c r="O2112" s="97">
        <v>4</v>
      </c>
      <c r="P2112" s="97" t="s">
        <v>555</v>
      </c>
      <c r="Q2112" s="97" t="str">
        <f t="shared" si="276"/>
        <v/>
      </c>
      <c r="R2112" t="str">
        <f t="shared" si="277"/>
        <v/>
      </c>
    </row>
    <row r="2113" spans="3:18">
      <c r="C2113" t="str">
        <f t="shared" si="271"/>
        <v/>
      </c>
      <c r="D2113" s="36">
        <v>83</v>
      </c>
      <c r="E2113">
        <v>30</v>
      </c>
      <c r="F2113" s="366">
        <f t="shared" si="274"/>
        <v>651</v>
      </c>
      <c r="G2113" s="97">
        <v>1547</v>
      </c>
      <c r="H2113" s="367">
        <f t="shared" si="275"/>
        <v>2198</v>
      </c>
      <c r="I2113" s="368">
        <f t="shared" si="272"/>
        <v>0</v>
      </c>
      <c r="J2113" s="97">
        <v>3966</v>
      </c>
      <c r="K2113" s="367">
        <f t="shared" si="273"/>
        <v>2832.8571428571431</v>
      </c>
      <c r="L2113" s="97">
        <v>0.43</v>
      </c>
      <c r="M2113" s="97">
        <v>2.3000000000000003</v>
      </c>
      <c r="N2113" s="97">
        <v>21</v>
      </c>
      <c r="O2113" s="97">
        <v>4</v>
      </c>
      <c r="P2113" s="97" t="s">
        <v>514</v>
      </c>
      <c r="Q2113" s="97" t="str">
        <f t="shared" si="276"/>
        <v/>
      </c>
      <c r="R2113" t="str">
        <f t="shared" si="277"/>
        <v/>
      </c>
    </row>
    <row r="2114" spans="3:18">
      <c r="C2114" t="str">
        <f t="shared" si="271"/>
        <v/>
      </c>
      <c r="D2114" s="36">
        <v>84</v>
      </c>
      <c r="E2114">
        <v>30</v>
      </c>
      <c r="F2114" s="366">
        <f t="shared" si="274"/>
        <v>651</v>
      </c>
      <c r="G2114" s="97">
        <v>1248</v>
      </c>
      <c r="H2114" s="367">
        <f t="shared" si="275"/>
        <v>1899</v>
      </c>
      <c r="I2114" s="368">
        <f t="shared" si="272"/>
        <v>0</v>
      </c>
      <c r="J2114" s="97">
        <v>3200</v>
      </c>
      <c r="K2114" s="367">
        <f t="shared" si="273"/>
        <v>2285.7142857142858</v>
      </c>
      <c r="L2114" s="97">
        <v>0.21000000000000002</v>
      </c>
      <c r="M2114" s="97">
        <v>2.3000000000000003</v>
      </c>
      <c r="N2114" s="97">
        <v>15</v>
      </c>
      <c r="O2114" s="97">
        <v>4</v>
      </c>
      <c r="P2114" s="97" t="s">
        <v>556</v>
      </c>
      <c r="Q2114" s="97" t="str">
        <f t="shared" si="276"/>
        <v/>
      </c>
      <c r="R2114" t="str">
        <f t="shared" si="277"/>
        <v/>
      </c>
    </row>
    <row r="2115" spans="3:18">
      <c r="C2115" t="str">
        <f t="shared" si="271"/>
        <v>NL</v>
      </c>
      <c r="D2115" s="36">
        <v>85</v>
      </c>
      <c r="E2115">
        <v>30</v>
      </c>
      <c r="F2115" s="366">
        <f t="shared" si="274"/>
        <v>651</v>
      </c>
      <c r="G2115" s="97">
        <v>2225</v>
      </c>
      <c r="H2115" s="367">
        <f t="shared" si="275"/>
        <v>2876</v>
      </c>
      <c r="I2115" s="368">
        <f t="shared" si="272"/>
        <v>0</v>
      </c>
      <c r="J2115" s="97">
        <v>5705</v>
      </c>
      <c r="K2115" s="367">
        <f t="shared" si="273"/>
        <v>4075</v>
      </c>
      <c r="L2115" s="97">
        <v>0.89</v>
      </c>
      <c r="M2115" s="97">
        <v>2.8000000000000003</v>
      </c>
      <c r="N2115" s="97">
        <v>24</v>
      </c>
      <c r="O2115" s="97">
        <v>5</v>
      </c>
      <c r="P2115" s="97" t="s">
        <v>513</v>
      </c>
      <c r="Q2115" s="97" t="str">
        <f t="shared" si="276"/>
        <v/>
      </c>
      <c r="R2115" t="str">
        <f t="shared" si="277"/>
        <v/>
      </c>
    </row>
    <row r="2116" spans="3:18">
      <c r="C2116" t="str">
        <f t="shared" si="271"/>
        <v>NL</v>
      </c>
      <c r="D2116" s="36">
        <v>86</v>
      </c>
      <c r="E2116">
        <v>30</v>
      </c>
      <c r="F2116" s="366">
        <f t="shared" si="274"/>
        <v>651</v>
      </c>
      <c r="G2116" s="97">
        <v>1707</v>
      </c>
      <c r="H2116" s="367">
        <f t="shared" si="275"/>
        <v>2358</v>
      </c>
      <c r="I2116" s="368">
        <f t="shared" si="272"/>
        <v>0</v>
      </c>
      <c r="J2116" s="97">
        <v>4376</v>
      </c>
      <c r="K2116" s="367">
        <f t="shared" si="273"/>
        <v>3125.7142857142858</v>
      </c>
      <c r="L2116" s="97">
        <v>0.4</v>
      </c>
      <c r="M2116" s="97">
        <v>2.8000000000000003</v>
      </c>
      <c r="N2116" s="97">
        <v>18</v>
      </c>
      <c r="O2116" s="97">
        <v>5</v>
      </c>
      <c r="P2116" s="97" t="s">
        <v>555</v>
      </c>
      <c r="Q2116" s="97" t="str">
        <f t="shared" si="276"/>
        <v/>
      </c>
      <c r="R2116" t="str">
        <f t="shared" si="277"/>
        <v/>
      </c>
    </row>
    <row r="2117" spans="3:18">
      <c r="C2117" t="str">
        <f t="shared" si="271"/>
        <v>NL</v>
      </c>
      <c r="D2117" s="36">
        <v>87</v>
      </c>
      <c r="E2117">
        <v>30</v>
      </c>
      <c r="F2117" s="366">
        <f t="shared" si="274"/>
        <v>651</v>
      </c>
      <c r="G2117" s="97">
        <v>1571</v>
      </c>
      <c r="H2117" s="367">
        <f t="shared" si="275"/>
        <v>2222</v>
      </c>
      <c r="I2117" s="368">
        <f t="shared" si="272"/>
        <v>0</v>
      </c>
      <c r="J2117" s="97">
        <v>4027</v>
      </c>
      <c r="K2117" s="367">
        <f t="shared" si="273"/>
        <v>2876.4285714285716</v>
      </c>
      <c r="L2117" s="97">
        <v>0.28000000000000003</v>
      </c>
      <c r="M2117" s="97">
        <v>2.8000000000000003</v>
      </c>
      <c r="N2117" s="97">
        <v>19</v>
      </c>
      <c r="O2117" s="97">
        <v>5</v>
      </c>
      <c r="P2117" s="97" t="s">
        <v>514</v>
      </c>
      <c r="Q2117" s="97" t="str">
        <f t="shared" si="276"/>
        <v/>
      </c>
      <c r="R2117" t="str">
        <f t="shared" si="277"/>
        <v/>
      </c>
    </row>
    <row r="2118" spans="3:18">
      <c r="C2118" t="str">
        <f t="shared" si="271"/>
        <v/>
      </c>
      <c r="D2118" s="36">
        <v>88</v>
      </c>
      <c r="E2118">
        <v>30</v>
      </c>
      <c r="F2118" s="366">
        <f t="shared" si="274"/>
        <v>651</v>
      </c>
      <c r="G2118" s="97">
        <v>2265</v>
      </c>
      <c r="H2118" s="367">
        <f t="shared" si="275"/>
        <v>2916</v>
      </c>
      <c r="I2118" s="368">
        <f t="shared" si="272"/>
        <v>0</v>
      </c>
      <c r="J2118" s="97">
        <v>5807</v>
      </c>
      <c r="K2118" s="367">
        <f t="shared" si="273"/>
        <v>4147.8571428571431</v>
      </c>
      <c r="L2118" s="97">
        <v>0.62</v>
      </c>
      <c r="M2118" s="97">
        <v>3.4</v>
      </c>
      <c r="N2118" s="97">
        <v>22</v>
      </c>
      <c r="O2118" s="97">
        <v>6</v>
      </c>
      <c r="P2118" s="97" t="s">
        <v>513</v>
      </c>
      <c r="Q2118" s="97" t="str">
        <f t="shared" si="276"/>
        <v/>
      </c>
      <c r="R2118" t="str">
        <f t="shared" si="277"/>
        <v/>
      </c>
    </row>
    <row r="2119" spans="3:18">
      <c r="C2119" t="str">
        <f t="shared" si="271"/>
        <v/>
      </c>
      <c r="D2119" s="36">
        <v>89</v>
      </c>
      <c r="E2119">
        <v>30</v>
      </c>
      <c r="F2119" s="366">
        <f t="shared" si="274"/>
        <v>651</v>
      </c>
      <c r="G2119" s="97">
        <v>1802</v>
      </c>
      <c r="H2119" s="367">
        <f t="shared" si="275"/>
        <v>2453</v>
      </c>
      <c r="I2119" s="368">
        <f t="shared" si="272"/>
        <v>0</v>
      </c>
      <c r="J2119" s="97">
        <v>4620</v>
      </c>
      <c r="K2119" s="367">
        <f t="shared" si="273"/>
        <v>3300</v>
      </c>
      <c r="L2119" s="97">
        <v>0.28000000000000003</v>
      </c>
      <c r="M2119" s="97">
        <v>3.4</v>
      </c>
      <c r="N2119" s="97">
        <v>17</v>
      </c>
      <c r="O2119" s="97">
        <v>6</v>
      </c>
      <c r="P2119" s="97" t="s">
        <v>555</v>
      </c>
      <c r="Q2119" s="97" t="str">
        <f t="shared" si="276"/>
        <v/>
      </c>
      <c r="R2119" t="str">
        <f t="shared" si="277"/>
        <v/>
      </c>
    </row>
    <row r="2120" spans="3:18">
      <c r="C2120" t="str">
        <f t="shared" si="271"/>
        <v/>
      </c>
      <c r="D2120" s="36">
        <v>90</v>
      </c>
      <c r="E2120">
        <v>30</v>
      </c>
      <c r="F2120" s="366">
        <f t="shared" si="274"/>
        <v>651</v>
      </c>
      <c r="G2120" s="97">
        <v>1668</v>
      </c>
      <c r="H2120" s="367">
        <f t="shared" si="275"/>
        <v>2319</v>
      </c>
      <c r="I2120" s="368">
        <f t="shared" si="272"/>
        <v>0</v>
      </c>
      <c r="J2120" s="97">
        <v>4276</v>
      </c>
      <c r="K2120" s="367">
        <f t="shared" si="273"/>
        <v>3054.2857142857142</v>
      </c>
      <c r="L2120" s="97">
        <v>0.19</v>
      </c>
      <c r="M2120" s="97">
        <v>3.4</v>
      </c>
      <c r="N2120" s="97">
        <v>18</v>
      </c>
      <c r="O2120" s="97">
        <v>6</v>
      </c>
      <c r="P2120" s="97" t="s">
        <v>514</v>
      </c>
      <c r="Q2120" s="97" t="str">
        <f t="shared" si="276"/>
        <v/>
      </c>
      <c r="R2120" t="str">
        <f t="shared" si="277"/>
        <v/>
      </c>
    </row>
    <row r="2121" spans="3:18">
      <c r="C2121" t="str">
        <f t="shared" si="271"/>
        <v>NL</v>
      </c>
      <c r="D2121" s="36">
        <v>91</v>
      </c>
      <c r="E2121">
        <v>30</v>
      </c>
      <c r="F2121" s="366">
        <f t="shared" si="274"/>
        <v>651</v>
      </c>
      <c r="G2121" s="97">
        <v>3098</v>
      </c>
      <c r="H2121" s="367">
        <f t="shared" si="275"/>
        <v>3749</v>
      </c>
      <c r="I2121" s="368">
        <f t="shared" si="272"/>
        <v>0</v>
      </c>
      <c r="J2121" s="97">
        <v>7941</v>
      </c>
      <c r="K2121" s="367">
        <f t="shared" si="273"/>
        <v>5672.1428571428569</v>
      </c>
      <c r="L2121" s="97">
        <v>0.91</v>
      </c>
      <c r="M2121" s="97">
        <v>3.9</v>
      </c>
      <c r="N2121" s="97">
        <v>22</v>
      </c>
      <c r="O2121" s="97">
        <v>7</v>
      </c>
      <c r="P2121" s="97" t="s">
        <v>512</v>
      </c>
      <c r="Q2121" s="97" t="str">
        <f t="shared" si="276"/>
        <v/>
      </c>
      <c r="R2121" t="str">
        <f t="shared" si="277"/>
        <v/>
      </c>
    </row>
    <row r="2122" spans="3:18">
      <c r="C2122" t="str">
        <f t="shared" si="271"/>
        <v>NL</v>
      </c>
      <c r="D2122" s="36">
        <v>92</v>
      </c>
      <c r="E2122">
        <v>30</v>
      </c>
      <c r="F2122" s="366">
        <f t="shared" si="274"/>
        <v>651</v>
      </c>
      <c r="G2122" s="97">
        <v>2592</v>
      </c>
      <c r="H2122" s="367">
        <f t="shared" si="275"/>
        <v>3243</v>
      </c>
      <c r="I2122" s="368">
        <f t="shared" si="272"/>
        <v>0</v>
      </c>
      <c r="J2122" s="97">
        <v>6646</v>
      </c>
      <c r="K2122" s="367">
        <f t="shared" si="273"/>
        <v>4747.1428571428569</v>
      </c>
      <c r="L2122" s="97">
        <v>0.46</v>
      </c>
      <c r="M2122" s="97">
        <v>3.9</v>
      </c>
      <c r="N2122" s="97">
        <v>21</v>
      </c>
      <c r="O2122" s="97">
        <v>7</v>
      </c>
      <c r="P2122" s="97" t="s">
        <v>513</v>
      </c>
      <c r="Q2122" s="97" t="str">
        <f t="shared" si="276"/>
        <v/>
      </c>
      <c r="R2122" t="str">
        <f t="shared" si="277"/>
        <v/>
      </c>
    </row>
    <row r="2123" spans="3:18">
      <c r="C2123" t="str">
        <f t="shared" si="271"/>
        <v>NL</v>
      </c>
      <c r="D2123" s="36">
        <v>93</v>
      </c>
      <c r="E2123">
        <v>30</v>
      </c>
      <c r="F2123" s="366">
        <f t="shared" si="274"/>
        <v>651</v>
      </c>
      <c r="G2123" s="97">
        <v>1973</v>
      </c>
      <c r="H2123" s="367">
        <f t="shared" si="275"/>
        <v>2624</v>
      </c>
      <c r="I2123" s="368">
        <f t="shared" si="272"/>
        <v>0</v>
      </c>
      <c r="J2123" s="97">
        <v>5058</v>
      </c>
      <c r="K2123" s="367">
        <f t="shared" si="273"/>
        <v>3612.8571428571431</v>
      </c>
      <c r="L2123" s="97">
        <v>0.21000000000000002</v>
      </c>
      <c r="M2123" s="97">
        <v>3.9</v>
      </c>
      <c r="N2123" s="97">
        <v>15</v>
      </c>
      <c r="O2123" s="97">
        <v>7</v>
      </c>
      <c r="P2123" s="97" t="s">
        <v>555</v>
      </c>
      <c r="Q2123" s="97" t="str">
        <f t="shared" si="276"/>
        <v/>
      </c>
      <c r="R2123" t="str">
        <f t="shared" si="277"/>
        <v/>
      </c>
    </row>
    <row r="2124" spans="3:18">
      <c r="C2124" t="str">
        <f t="shared" si="271"/>
        <v/>
      </c>
      <c r="D2124" s="36">
        <v>94</v>
      </c>
      <c r="E2124">
        <v>30</v>
      </c>
      <c r="F2124" s="366">
        <f t="shared" si="274"/>
        <v>651</v>
      </c>
      <c r="G2124" s="97">
        <v>3269</v>
      </c>
      <c r="H2124" s="367">
        <f t="shared" si="275"/>
        <v>3920</v>
      </c>
      <c r="I2124" s="368">
        <f t="shared" si="272"/>
        <v>0</v>
      </c>
      <c r="J2124" s="97">
        <v>8381</v>
      </c>
      <c r="K2124" s="367">
        <f t="shared" si="273"/>
        <v>5986.4285714285716</v>
      </c>
      <c r="L2124" s="97">
        <v>0.7</v>
      </c>
      <c r="M2124" s="97">
        <v>4.3999999999999995</v>
      </c>
      <c r="N2124" s="97">
        <v>21</v>
      </c>
      <c r="O2124" s="97">
        <v>8</v>
      </c>
      <c r="P2124" s="97" t="s">
        <v>512</v>
      </c>
      <c r="Q2124" s="97">
        <f t="shared" si="276"/>
        <v>94</v>
      </c>
      <c r="R2124" t="str">
        <f t="shared" si="277"/>
        <v/>
      </c>
    </row>
    <row r="2125" spans="3:18">
      <c r="C2125" t="str">
        <f t="shared" si="271"/>
        <v/>
      </c>
      <c r="D2125" s="36">
        <v>95</v>
      </c>
      <c r="E2125">
        <v>30</v>
      </c>
      <c r="F2125" s="366">
        <f t="shared" si="274"/>
        <v>651</v>
      </c>
      <c r="G2125" s="97">
        <v>3269</v>
      </c>
      <c r="H2125" s="367">
        <f t="shared" si="275"/>
        <v>3920</v>
      </c>
      <c r="I2125" s="368">
        <f t="shared" si="272"/>
        <v>0</v>
      </c>
      <c r="J2125" s="97">
        <v>8381</v>
      </c>
      <c r="K2125" s="367">
        <f t="shared" si="273"/>
        <v>5986.4285714285716</v>
      </c>
      <c r="L2125" s="97">
        <v>0.7</v>
      </c>
      <c r="M2125" s="97">
        <v>4.3999999999999995</v>
      </c>
      <c r="N2125" s="97">
        <v>21</v>
      </c>
      <c r="O2125" s="97">
        <v>8</v>
      </c>
      <c r="P2125" s="97" t="s">
        <v>512</v>
      </c>
      <c r="Q2125" s="97">
        <f t="shared" si="276"/>
        <v>95</v>
      </c>
      <c r="R2125" t="str">
        <f t="shared" si="277"/>
        <v/>
      </c>
    </row>
    <row r="2126" spans="3:18">
      <c r="C2126" t="str">
        <f t="shared" ref="C2126:C2189" si="278">IF(OR($O$4=0,O2126-$O$4=0),IF(AND(ISEVEN(O2126)=FALSE,$N$4="Even"),"NL",""),"NL")</f>
        <v/>
      </c>
      <c r="D2126" s="36">
        <v>96</v>
      </c>
      <c r="E2126">
        <v>30</v>
      </c>
      <c r="F2126" s="366">
        <f t="shared" si="274"/>
        <v>651</v>
      </c>
      <c r="G2126" s="97">
        <v>2739</v>
      </c>
      <c r="H2126" s="367">
        <f t="shared" si="275"/>
        <v>3390</v>
      </c>
      <c r="I2126" s="368">
        <f t="shared" ref="I2126:I2189" si="279">1.085*($C$2-$D$2)*E2126*$T$7</f>
        <v>0</v>
      </c>
      <c r="J2126" s="97">
        <v>7022</v>
      </c>
      <c r="K2126" s="367">
        <f t="shared" ref="K2126:K2189" si="280">(J2126*$V$7)-I2126</f>
        <v>5015.7142857142862</v>
      </c>
      <c r="L2126" s="97">
        <v>0.35000000000000003</v>
      </c>
      <c r="M2126" s="97">
        <v>4.3999999999999995</v>
      </c>
      <c r="N2126" s="97">
        <v>20</v>
      </c>
      <c r="O2126" s="97">
        <v>8</v>
      </c>
      <c r="P2126" s="97" t="s">
        <v>513</v>
      </c>
      <c r="Q2126" s="97">
        <f t="shared" si="276"/>
        <v>96</v>
      </c>
      <c r="R2126" t="str">
        <f t="shared" si="277"/>
        <v/>
      </c>
    </row>
    <row r="2127" spans="3:18">
      <c r="C2127" t="str">
        <f t="shared" si="278"/>
        <v/>
      </c>
      <c r="D2127" s="36">
        <v>97</v>
      </c>
      <c r="E2127">
        <v>30</v>
      </c>
      <c r="F2127" s="366">
        <f t="shared" si="274"/>
        <v>651</v>
      </c>
      <c r="G2127" s="97">
        <v>2087</v>
      </c>
      <c r="H2127" s="367">
        <f t="shared" si="275"/>
        <v>2738</v>
      </c>
      <c r="I2127" s="368">
        <f t="shared" si="279"/>
        <v>0</v>
      </c>
      <c r="J2127" s="97">
        <v>5352</v>
      </c>
      <c r="K2127" s="367">
        <f t="shared" si="280"/>
        <v>3822.8571428571431</v>
      </c>
      <c r="L2127" s="97">
        <v>0.17</v>
      </c>
      <c r="M2127" s="97">
        <v>4.3999999999999995</v>
      </c>
      <c r="N2127" s="97">
        <v>15</v>
      </c>
      <c r="O2127" s="97">
        <v>8</v>
      </c>
      <c r="P2127" s="97" t="s">
        <v>555</v>
      </c>
      <c r="Q2127" s="97" t="str">
        <f t="shared" si="276"/>
        <v/>
      </c>
      <c r="R2127" t="str">
        <f t="shared" si="277"/>
        <v/>
      </c>
    </row>
    <row r="2128" spans="3:18">
      <c r="C2128" t="str">
        <f t="shared" si="278"/>
        <v>NL</v>
      </c>
      <c r="D2128" s="36">
        <v>98</v>
      </c>
      <c r="E2128">
        <v>30</v>
      </c>
      <c r="F2128" s="366">
        <f t="shared" si="274"/>
        <v>651</v>
      </c>
      <c r="G2128" s="97">
        <v>3402</v>
      </c>
      <c r="H2128" s="367">
        <f t="shared" si="275"/>
        <v>4053</v>
      </c>
      <c r="I2128" s="368">
        <f t="shared" si="279"/>
        <v>0</v>
      </c>
      <c r="J2128" s="97">
        <v>8721</v>
      </c>
      <c r="K2128" s="367">
        <f t="shared" si="280"/>
        <v>6229.2857142857147</v>
      </c>
      <c r="L2128" s="97">
        <v>0.55000000000000004</v>
      </c>
      <c r="M2128" s="97">
        <v>4.8999999999999995</v>
      </c>
      <c r="N2128" s="97">
        <v>19</v>
      </c>
      <c r="O2128" s="97">
        <v>9</v>
      </c>
      <c r="P2128" s="97" t="s">
        <v>512</v>
      </c>
      <c r="Q2128" s="97" t="str">
        <f t="shared" si="276"/>
        <v/>
      </c>
      <c r="R2128" t="str">
        <f t="shared" si="277"/>
        <v/>
      </c>
    </row>
    <row r="2129" spans="3:18">
      <c r="C2129" t="str">
        <f t="shared" si="278"/>
        <v>NL</v>
      </c>
      <c r="D2129" s="36">
        <v>99</v>
      </c>
      <c r="E2129">
        <v>30</v>
      </c>
      <c r="F2129" s="366">
        <f t="shared" si="274"/>
        <v>651</v>
      </c>
      <c r="G2129" s="97">
        <v>2742</v>
      </c>
      <c r="H2129" s="367">
        <f t="shared" si="275"/>
        <v>3393</v>
      </c>
      <c r="I2129" s="368">
        <f t="shared" si="279"/>
        <v>0</v>
      </c>
      <c r="J2129" s="97">
        <v>7030</v>
      </c>
      <c r="K2129" s="367">
        <f t="shared" si="280"/>
        <v>5021.4285714285716</v>
      </c>
      <c r="L2129" s="97">
        <v>0.28000000000000003</v>
      </c>
      <c r="M2129" s="97">
        <v>4.8999999999999995</v>
      </c>
      <c r="N2129" s="97">
        <v>19</v>
      </c>
      <c r="O2129" s="97">
        <v>9</v>
      </c>
      <c r="P2129" s="97" t="s">
        <v>513</v>
      </c>
      <c r="Q2129" s="97" t="str">
        <f t="shared" si="276"/>
        <v/>
      </c>
      <c r="R2129" t="str">
        <f t="shared" si="277"/>
        <v/>
      </c>
    </row>
    <row r="2130" spans="3:18">
      <c r="C2130" t="str">
        <f t="shared" si="278"/>
        <v/>
      </c>
      <c r="D2130" s="36">
        <v>100</v>
      </c>
      <c r="E2130">
        <v>30</v>
      </c>
      <c r="F2130" s="366">
        <f t="shared" si="274"/>
        <v>651</v>
      </c>
      <c r="G2130" s="97">
        <v>3439</v>
      </c>
      <c r="H2130" s="367">
        <f t="shared" si="275"/>
        <v>4090</v>
      </c>
      <c r="I2130" s="368">
        <f t="shared" si="279"/>
        <v>0</v>
      </c>
      <c r="J2130" s="97">
        <v>8817</v>
      </c>
      <c r="K2130" s="367">
        <f t="shared" si="280"/>
        <v>6297.8571428571431</v>
      </c>
      <c r="L2130" s="97">
        <v>0.46</v>
      </c>
      <c r="M2130" s="97">
        <v>5.3999999999999995</v>
      </c>
      <c r="N2130" s="97">
        <v>19</v>
      </c>
      <c r="O2130" s="97">
        <v>10</v>
      </c>
      <c r="P2130" s="97" t="s">
        <v>512</v>
      </c>
      <c r="Q2130" s="97" t="str">
        <f t="shared" si="276"/>
        <v/>
      </c>
      <c r="R2130" t="str">
        <f t="shared" si="277"/>
        <v/>
      </c>
    </row>
    <row r="2131" spans="3:18">
      <c r="C2131" t="str">
        <f t="shared" si="278"/>
        <v/>
      </c>
      <c r="D2131" s="36">
        <v>101</v>
      </c>
      <c r="E2131">
        <v>30</v>
      </c>
      <c r="F2131" s="366">
        <f t="shared" si="274"/>
        <v>651</v>
      </c>
      <c r="G2131" s="97">
        <v>2757</v>
      </c>
      <c r="H2131" s="367">
        <f t="shared" si="275"/>
        <v>3408</v>
      </c>
      <c r="I2131" s="368">
        <f t="shared" si="279"/>
        <v>0</v>
      </c>
      <c r="J2131" s="97">
        <v>7068</v>
      </c>
      <c r="K2131" s="367">
        <f t="shared" si="280"/>
        <v>5048.5714285714284</v>
      </c>
      <c r="L2131" s="97">
        <v>0.23</v>
      </c>
      <c r="M2131" s="97">
        <v>5.3999999999999995</v>
      </c>
      <c r="N2131" s="97">
        <v>18</v>
      </c>
      <c r="O2131" s="97">
        <v>10</v>
      </c>
      <c r="P2131" s="97" t="s">
        <v>513</v>
      </c>
      <c r="Q2131" s="97" t="str">
        <f t="shared" si="276"/>
        <v/>
      </c>
      <c r="R2131" t="str">
        <f t="shared" si="277"/>
        <v/>
      </c>
    </row>
    <row r="2132" spans="3:18">
      <c r="C2132" t="str">
        <f t="shared" si="278"/>
        <v/>
      </c>
      <c r="D2132" s="36">
        <v>102</v>
      </c>
      <c r="E2132">
        <v>35</v>
      </c>
      <c r="F2132" s="366">
        <f t="shared" si="274"/>
        <v>759.5</v>
      </c>
      <c r="G2132" s="97">
        <v>1140</v>
      </c>
      <c r="H2132" s="367">
        <f t="shared" si="275"/>
        <v>1899.5</v>
      </c>
      <c r="I2132" s="368">
        <f t="shared" si="279"/>
        <v>0</v>
      </c>
      <c r="J2132" s="97">
        <v>2922</v>
      </c>
      <c r="K2132" s="367">
        <f t="shared" si="280"/>
        <v>2087.1428571428573</v>
      </c>
      <c r="L2132" s="97">
        <v>0.7</v>
      </c>
      <c r="M2132" s="97">
        <v>9.7999999999999989</v>
      </c>
      <c r="N2132" s="97">
        <v>21</v>
      </c>
      <c r="O2132" s="97">
        <v>2</v>
      </c>
      <c r="P2132" s="97" t="s">
        <v>515</v>
      </c>
      <c r="Q2132" s="97" t="str">
        <f t="shared" si="276"/>
        <v/>
      </c>
      <c r="R2132" t="str">
        <f t="shared" si="277"/>
        <v/>
      </c>
    </row>
    <row r="2133" spans="3:18">
      <c r="C2133" t="str">
        <f t="shared" si="278"/>
        <v>NL</v>
      </c>
      <c r="D2133" s="36">
        <v>103</v>
      </c>
      <c r="E2133">
        <v>35</v>
      </c>
      <c r="F2133" s="366">
        <f t="shared" si="274"/>
        <v>759.5</v>
      </c>
      <c r="G2133" s="97">
        <v>1714</v>
      </c>
      <c r="H2133" s="367">
        <f t="shared" si="275"/>
        <v>2473.5</v>
      </c>
      <c r="I2133" s="368">
        <f t="shared" si="279"/>
        <v>0</v>
      </c>
      <c r="J2133" s="97">
        <v>4395</v>
      </c>
      <c r="K2133" s="367">
        <f t="shared" si="280"/>
        <v>3139.2857142857142</v>
      </c>
      <c r="L2133" s="97">
        <v>1.03</v>
      </c>
      <c r="M2133" s="97">
        <v>1.8</v>
      </c>
      <c r="N2133" s="97">
        <v>25</v>
      </c>
      <c r="O2133" s="97">
        <v>3</v>
      </c>
      <c r="P2133" s="97" t="s">
        <v>514</v>
      </c>
      <c r="Q2133" s="97" t="str">
        <f t="shared" si="276"/>
        <v/>
      </c>
      <c r="R2133" t="str">
        <f t="shared" si="277"/>
        <v/>
      </c>
    </row>
    <row r="2134" spans="3:18">
      <c r="C2134" t="str">
        <f t="shared" si="278"/>
        <v>NL</v>
      </c>
      <c r="D2134" s="36">
        <v>104</v>
      </c>
      <c r="E2134">
        <v>35</v>
      </c>
      <c r="F2134" s="366">
        <f t="shared" si="274"/>
        <v>759.5</v>
      </c>
      <c r="G2134" s="97">
        <v>1342</v>
      </c>
      <c r="H2134" s="367">
        <f t="shared" si="275"/>
        <v>2101.5</v>
      </c>
      <c r="I2134" s="368">
        <f t="shared" si="279"/>
        <v>0</v>
      </c>
      <c r="J2134" s="97">
        <v>3440</v>
      </c>
      <c r="K2134" s="367">
        <f t="shared" si="280"/>
        <v>2457.1428571428573</v>
      </c>
      <c r="L2134" s="97">
        <v>0.49</v>
      </c>
      <c r="M2134" s="97">
        <v>1.8</v>
      </c>
      <c r="N2134" s="97">
        <v>20</v>
      </c>
      <c r="O2134" s="97">
        <v>3</v>
      </c>
      <c r="P2134" s="97" t="s">
        <v>556</v>
      </c>
      <c r="Q2134" s="97" t="str">
        <f t="shared" si="276"/>
        <v/>
      </c>
      <c r="R2134" t="str">
        <f t="shared" si="277"/>
        <v/>
      </c>
    </row>
    <row r="2135" spans="3:18">
      <c r="C2135" t="str">
        <f t="shared" si="278"/>
        <v>NL</v>
      </c>
      <c r="D2135" s="36">
        <v>105</v>
      </c>
      <c r="E2135">
        <v>35</v>
      </c>
      <c r="F2135" s="366">
        <f t="shared" si="274"/>
        <v>759.5</v>
      </c>
      <c r="G2135" s="97">
        <v>1183</v>
      </c>
      <c r="H2135" s="367">
        <f t="shared" si="275"/>
        <v>1942.5</v>
      </c>
      <c r="I2135" s="368">
        <f t="shared" si="279"/>
        <v>0</v>
      </c>
      <c r="J2135" s="97">
        <v>3034</v>
      </c>
      <c r="K2135" s="367">
        <f t="shared" si="280"/>
        <v>2167.1428571428573</v>
      </c>
      <c r="L2135" s="97">
        <v>0.29000000000000004</v>
      </c>
      <c r="M2135" s="97">
        <v>1.8</v>
      </c>
      <c r="N2135" s="97">
        <v>17</v>
      </c>
      <c r="O2135" s="97">
        <v>3</v>
      </c>
      <c r="P2135" s="97" t="s">
        <v>515</v>
      </c>
      <c r="Q2135" s="97" t="str">
        <f t="shared" si="276"/>
        <v/>
      </c>
      <c r="R2135" t="str">
        <f t="shared" si="277"/>
        <v/>
      </c>
    </row>
    <row r="2136" spans="3:18">
      <c r="C2136" t="str">
        <f t="shared" si="278"/>
        <v/>
      </c>
      <c r="D2136" s="36">
        <v>106</v>
      </c>
      <c r="E2136">
        <v>35</v>
      </c>
      <c r="F2136" s="366">
        <f t="shared" si="274"/>
        <v>759.5</v>
      </c>
      <c r="G2136" s="97">
        <v>1809</v>
      </c>
      <c r="H2136" s="367">
        <f t="shared" si="275"/>
        <v>2568.5</v>
      </c>
      <c r="I2136" s="368">
        <f t="shared" si="279"/>
        <v>0</v>
      </c>
      <c r="J2136" s="97">
        <v>4638</v>
      </c>
      <c r="K2136" s="367">
        <f t="shared" si="280"/>
        <v>3312.8571428571431</v>
      </c>
      <c r="L2136" s="97">
        <v>0.86</v>
      </c>
      <c r="M2136" s="97">
        <v>2.3000000000000003</v>
      </c>
      <c r="N2136" s="97">
        <v>22</v>
      </c>
      <c r="O2136" s="97">
        <v>4</v>
      </c>
      <c r="P2136" s="97" t="s">
        <v>555</v>
      </c>
      <c r="Q2136" s="97" t="str">
        <f t="shared" si="276"/>
        <v/>
      </c>
      <c r="R2136" t="str">
        <f t="shared" si="277"/>
        <v/>
      </c>
    </row>
    <row r="2137" spans="3:18">
      <c r="C2137" t="str">
        <f t="shared" si="278"/>
        <v/>
      </c>
      <c r="D2137" s="36">
        <v>107</v>
      </c>
      <c r="E2137">
        <v>35</v>
      </c>
      <c r="F2137" s="366">
        <f t="shared" si="274"/>
        <v>759.5</v>
      </c>
      <c r="G2137" s="97">
        <v>1724</v>
      </c>
      <c r="H2137" s="367">
        <f t="shared" si="275"/>
        <v>2483.5</v>
      </c>
      <c r="I2137" s="368">
        <f t="shared" si="279"/>
        <v>0</v>
      </c>
      <c r="J2137" s="97">
        <v>4420</v>
      </c>
      <c r="K2137" s="367">
        <f t="shared" si="280"/>
        <v>3157.1428571428573</v>
      </c>
      <c r="L2137" s="97">
        <v>0.57999999999999996</v>
      </c>
      <c r="M2137" s="97">
        <v>2.3000000000000003</v>
      </c>
      <c r="N2137" s="97">
        <v>23</v>
      </c>
      <c r="O2137" s="97">
        <v>4</v>
      </c>
      <c r="P2137" s="97" t="s">
        <v>514</v>
      </c>
      <c r="Q2137" s="97" t="str">
        <f t="shared" si="276"/>
        <v/>
      </c>
      <c r="R2137" t="str">
        <f t="shared" si="277"/>
        <v/>
      </c>
    </row>
    <row r="2138" spans="3:18">
      <c r="C2138" t="str">
        <f t="shared" si="278"/>
        <v/>
      </c>
      <c r="D2138" s="36">
        <v>108</v>
      </c>
      <c r="E2138">
        <v>35</v>
      </c>
      <c r="F2138" s="366">
        <f t="shared" si="274"/>
        <v>759.5</v>
      </c>
      <c r="G2138" s="97">
        <v>1431</v>
      </c>
      <c r="H2138" s="367">
        <f t="shared" si="275"/>
        <v>2190.5</v>
      </c>
      <c r="I2138" s="368">
        <f t="shared" si="279"/>
        <v>0</v>
      </c>
      <c r="J2138" s="97">
        <v>3669</v>
      </c>
      <c r="K2138" s="367">
        <f t="shared" si="280"/>
        <v>2620.7142857142858</v>
      </c>
      <c r="L2138" s="97">
        <v>0.28000000000000003</v>
      </c>
      <c r="M2138" s="97">
        <v>2.3000000000000003</v>
      </c>
      <c r="N2138" s="97">
        <v>17</v>
      </c>
      <c r="O2138" s="97">
        <v>4</v>
      </c>
      <c r="P2138" s="97" t="s">
        <v>556</v>
      </c>
      <c r="Q2138" s="97" t="str">
        <f t="shared" si="276"/>
        <v/>
      </c>
      <c r="R2138" t="str">
        <f t="shared" si="277"/>
        <v/>
      </c>
    </row>
    <row r="2139" spans="3:18">
      <c r="C2139" t="str">
        <f t="shared" si="278"/>
        <v/>
      </c>
      <c r="D2139" s="36">
        <v>109</v>
      </c>
      <c r="E2139">
        <v>35</v>
      </c>
      <c r="F2139" s="366">
        <f t="shared" si="274"/>
        <v>759.5</v>
      </c>
      <c r="G2139" s="97">
        <v>1194</v>
      </c>
      <c r="H2139" s="367">
        <f t="shared" si="275"/>
        <v>1953.5</v>
      </c>
      <c r="I2139" s="368">
        <f t="shared" si="279"/>
        <v>0</v>
      </c>
      <c r="J2139" s="97">
        <v>3063</v>
      </c>
      <c r="K2139" s="367">
        <f t="shared" si="280"/>
        <v>2187.8571428571431</v>
      </c>
      <c r="L2139" s="97">
        <v>0.17</v>
      </c>
      <c r="M2139" s="97">
        <v>2.3000000000000003</v>
      </c>
      <c r="N2139" s="97">
        <v>15</v>
      </c>
      <c r="O2139" s="97">
        <v>4</v>
      </c>
      <c r="P2139" s="97" t="s">
        <v>515</v>
      </c>
      <c r="Q2139" s="97" t="str">
        <f t="shared" si="276"/>
        <v/>
      </c>
      <c r="R2139" t="str">
        <f t="shared" si="277"/>
        <v/>
      </c>
    </row>
    <row r="2140" spans="3:18">
      <c r="C2140" t="str">
        <f t="shared" si="278"/>
        <v>NL</v>
      </c>
      <c r="D2140" s="36">
        <v>110</v>
      </c>
      <c r="E2140">
        <v>35</v>
      </c>
      <c r="F2140" s="366">
        <f t="shared" si="274"/>
        <v>759.5</v>
      </c>
      <c r="G2140" s="97">
        <v>1935</v>
      </c>
      <c r="H2140" s="367">
        <f t="shared" si="275"/>
        <v>2694.5</v>
      </c>
      <c r="I2140" s="368">
        <f t="shared" si="279"/>
        <v>0</v>
      </c>
      <c r="J2140" s="97">
        <v>4961</v>
      </c>
      <c r="K2140" s="367">
        <f t="shared" si="280"/>
        <v>3543.5714285714284</v>
      </c>
      <c r="L2140" s="97">
        <v>0.54</v>
      </c>
      <c r="M2140" s="97">
        <v>2.8000000000000003</v>
      </c>
      <c r="N2140" s="97">
        <v>20</v>
      </c>
      <c r="O2140" s="97">
        <v>5</v>
      </c>
      <c r="P2140" s="97" t="s">
        <v>555</v>
      </c>
      <c r="Q2140" s="97" t="str">
        <f t="shared" si="276"/>
        <v/>
      </c>
      <c r="R2140" t="str">
        <f t="shared" si="277"/>
        <v/>
      </c>
    </row>
    <row r="2141" spans="3:18">
      <c r="C2141" t="str">
        <f t="shared" si="278"/>
        <v>NL</v>
      </c>
      <c r="D2141" s="36">
        <v>111</v>
      </c>
      <c r="E2141">
        <v>35</v>
      </c>
      <c r="F2141" s="366">
        <f t="shared" si="274"/>
        <v>759.5</v>
      </c>
      <c r="G2141" s="97">
        <v>1795</v>
      </c>
      <c r="H2141" s="367">
        <f t="shared" si="275"/>
        <v>2554.5</v>
      </c>
      <c r="I2141" s="368">
        <f t="shared" si="279"/>
        <v>0</v>
      </c>
      <c r="J2141" s="97">
        <v>4601</v>
      </c>
      <c r="K2141" s="367">
        <f t="shared" si="280"/>
        <v>3286.4285714285716</v>
      </c>
      <c r="L2141" s="97">
        <v>0.37</v>
      </c>
      <c r="M2141" s="97">
        <v>2.8000000000000003</v>
      </c>
      <c r="N2141" s="97">
        <v>21</v>
      </c>
      <c r="O2141" s="97">
        <v>5</v>
      </c>
      <c r="P2141" s="97" t="s">
        <v>514</v>
      </c>
      <c r="Q2141" s="97" t="str">
        <f t="shared" si="276"/>
        <v/>
      </c>
      <c r="R2141" t="str">
        <f t="shared" si="277"/>
        <v/>
      </c>
    </row>
    <row r="2142" spans="3:18">
      <c r="C2142" t="str">
        <f t="shared" si="278"/>
        <v>NL</v>
      </c>
      <c r="D2142" s="36">
        <v>112</v>
      </c>
      <c r="E2142">
        <v>35</v>
      </c>
      <c r="F2142" s="366">
        <f t="shared" si="274"/>
        <v>759.5</v>
      </c>
      <c r="G2142" s="97">
        <v>1462</v>
      </c>
      <c r="H2142" s="367">
        <f t="shared" si="275"/>
        <v>2221.5</v>
      </c>
      <c r="I2142" s="368">
        <f t="shared" si="279"/>
        <v>0</v>
      </c>
      <c r="J2142" s="97">
        <v>3748</v>
      </c>
      <c r="K2142" s="367">
        <f t="shared" si="280"/>
        <v>2677.1428571428573</v>
      </c>
      <c r="L2142" s="97">
        <v>0.18000000000000002</v>
      </c>
      <c r="M2142" s="97">
        <v>2.8000000000000003</v>
      </c>
      <c r="N2142" s="97">
        <v>16</v>
      </c>
      <c r="O2142" s="97">
        <v>5</v>
      </c>
      <c r="P2142" s="97" t="s">
        <v>556</v>
      </c>
      <c r="Q2142" s="97" t="str">
        <f t="shared" si="276"/>
        <v/>
      </c>
      <c r="R2142" t="str">
        <f t="shared" si="277"/>
        <v/>
      </c>
    </row>
    <row r="2143" spans="3:18">
      <c r="C2143" t="str">
        <f t="shared" si="278"/>
        <v/>
      </c>
      <c r="D2143" s="36">
        <v>113</v>
      </c>
      <c r="E2143">
        <v>35</v>
      </c>
      <c r="F2143" s="366">
        <f t="shared" si="274"/>
        <v>759.5</v>
      </c>
      <c r="G2143" s="97">
        <v>2529</v>
      </c>
      <c r="H2143" s="367">
        <f t="shared" si="275"/>
        <v>3288.5</v>
      </c>
      <c r="I2143" s="368">
        <f t="shared" si="279"/>
        <v>0</v>
      </c>
      <c r="J2143" s="97">
        <v>6483</v>
      </c>
      <c r="K2143" s="367">
        <f t="shared" si="280"/>
        <v>4630.7142857142862</v>
      </c>
      <c r="L2143" s="97">
        <v>0.85</v>
      </c>
      <c r="M2143" s="97">
        <v>3.4</v>
      </c>
      <c r="N2143" s="97">
        <v>24</v>
      </c>
      <c r="O2143" s="97">
        <v>6</v>
      </c>
      <c r="P2143" s="97" t="s">
        <v>513</v>
      </c>
      <c r="Q2143" s="97" t="str">
        <f t="shared" si="276"/>
        <v/>
      </c>
      <c r="R2143" t="str">
        <f t="shared" si="277"/>
        <v/>
      </c>
    </row>
    <row r="2144" spans="3:18">
      <c r="C2144" t="str">
        <f t="shared" si="278"/>
        <v/>
      </c>
      <c r="D2144" s="36">
        <v>114</v>
      </c>
      <c r="E2144">
        <v>35</v>
      </c>
      <c r="F2144" s="366">
        <f t="shared" si="274"/>
        <v>759.5</v>
      </c>
      <c r="G2144" s="97">
        <v>1987</v>
      </c>
      <c r="H2144" s="367">
        <f t="shared" si="275"/>
        <v>2746.5</v>
      </c>
      <c r="I2144" s="368">
        <f t="shared" si="279"/>
        <v>0</v>
      </c>
      <c r="J2144" s="97">
        <v>5095</v>
      </c>
      <c r="K2144" s="367">
        <f t="shared" si="280"/>
        <v>3639.2857142857142</v>
      </c>
      <c r="L2144" s="97">
        <v>0.39</v>
      </c>
      <c r="M2144" s="97">
        <v>3.4</v>
      </c>
      <c r="N2144" s="97">
        <v>19</v>
      </c>
      <c r="O2144" s="97">
        <v>6</v>
      </c>
      <c r="P2144" s="97" t="s">
        <v>555</v>
      </c>
      <c r="Q2144" s="97" t="str">
        <f t="shared" si="276"/>
        <v/>
      </c>
      <c r="R2144" t="str">
        <f t="shared" si="277"/>
        <v/>
      </c>
    </row>
    <row r="2145" spans="3:18">
      <c r="C2145" t="str">
        <f t="shared" si="278"/>
        <v/>
      </c>
      <c r="D2145" s="36">
        <v>115</v>
      </c>
      <c r="E2145">
        <v>35</v>
      </c>
      <c r="F2145" s="366">
        <f t="shared" si="274"/>
        <v>759.5</v>
      </c>
      <c r="G2145" s="97">
        <v>1835</v>
      </c>
      <c r="H2145" s="367">
        <f t="shared" si="275"/>
        <v>2594.5</v>
      </c>
      <c r="I2145" s="368">
        <f t="shared" si="279"/>
        <v>0</v>
      </c>
      <c r="J2145" s="97">
        <v>4704</v>
      </c>
      <c r="K2145" s="367">
        <f t="shared" si="280"/>
        <v>3360</v>
      </c>
      <c r="L2145" s="97">
        <v>0.26</v>
      </c>
      <c r="M2145" s="97">
        <v>3.4</v>
      </c>
      <c r="N2145" s="97">
        <v>20</v>
      </c>
      <c r="O2145" s="97">
        <v>6</v>
      </c>
      <c r="P2145" s="97" t="s">
        <v>514</v>
      </c>
      <c r="Q2145" s="97" t="str">
        <f t="shared" si="276"/>
        <v/>
      </c>
      <c r="R2145" t="str">
        <f t="shared" si="277"/>
        <v/>
      </c>
    </row>
    <row r="2146" spans="3:18">
      <c r="C2146" t="str">
        <f t="shared" si="278"/>
        <v>NL</v>
      </c>
      <c r="D2146" s="36">
        <v>116</v>
      </c>
      <c r="E2146">
        <v>35</v>
      </c>
      <c r="F2146" s="366">
        <f t="shared" si="274"/>
        <v>759.5</v>
      </c>
      <c r="G2146" s="97">
        <v>2872</v>
      </c>
      <c r="H2146" s="367">
        <f t="shared" si="275"/>
        <v>3631.5</v>
      </c>
      <c r="I2146" s="368">
        <f t="shared" si="279"/>
        <v>0</v>
      </c>
      <c r="J2146" s="97">
        <v>7363</v>
      </c>
      <c r="K2146" s="367">
        <f t="shared" si="280"/>
        <v>5259.2857142857147</v>
      </c>
      <c r="L2146" s="97">
        <v>0.63</v>
      </c>
      <c r="M2146" s="97">
        <v>3.9</v>
      </c>
      <c r="N2146" s="97">
        <v>23</v>
      </c>
      <c r="O2146" s="97">
        <v>7</v>
      </c>
      <c r="P2146" s="97" t="s">
        <v>513</v>
      </c>
      <c r="Q2146" s="97" t="str">
        <f t="shared" si="276"/>
        <v/>
      </c>
      <c r="R2146" t="str">
        <f t="shared" si="277"/>
        <v/>
      </c>
    </row>
    <row r="2147" spans="3:18">
      <c r="C2147" t="str">
        <f t="shared" si="278"/>
        <v>NL</v>
      </c>
      <c r="D2147" s="36">
        <v>117</v>
      </c>
      <c r="E2147">
        <v>35</v>
      </c>
      <c r="F2147" s="366">
        <f t="shared" si="274"/>
        <v>759.5</v>
      </c>
      <c r="G2147" s="97">
        <v>2214</v>
      </c>
      <c r="H2147" s="367">
        <f t="shared" si="275"/>
        <v>2973.5</v>
      </c>
      <c r="I2147" s="368">
        <f t="shared" si="279"/>
        <v>0</v>
      </c>
      <c r="J2147" s="97">
        <v>5675</v>
      </c>
      <c r="K2147" s="367">
        <f t="shared" si="280"/>
        <v>4053.5714285714284</v>
      </c>
      <c r="L2147" s="97">
        <v>0.29000000000000004</v>
      </c>
      <c r="M2147" s="97">
        <v>3.9</v>
      </c>
      <c r="N2147" s="97">
        <v>17</v>
      </c>
      <c r="O2147" s="97">
        <v>7</v>
      </c>
      <c r="P2147" s="97" t="s">
        <v>555</v>
      </c>
      <c r="Q2147" s="97" t="str">
        <f t="shared" si="276"/>
        <v/>
      </c>
      <c r="R2147" t="str">
        <f t="shared" si="277"/>
        <v/>
      </c>
    </row>
    <row r="2148" spans="3:18">
      <c r="C2148" t="str">
        <f t="shared" si="278"/>
        <v>NL</v>
      </c>
      <c r="D2148" s="36">
        <v>118</v>
      </c>
      <c r="E2148">
        <v>35</v>
      </c>
      <c r="F2148" s="366">
        <f t="shared" si="274"/>
        <v>759.5</v>
      </c>
      <c r="G2148" s="97">
        <v>2011</v>
      </c>
      <c r="H2148" s="367">
        <f t="shared" si="275"/>
        <v>2770.5</v>
      </c>
      <c r="I2148" s="368">
        <f t="shared" si="279"/>
        <v>0</v>
      </c>
      <c r="J2148" s="97">
        <v>5155</v>
      </c>
      <c r="K2148" s="367">
        <f t="shared" si="280"/>
        <v>3682.1428571428573</v>
      </c>
      <c r="L2148" s="97">
        <v>0.2</v>
      </c>
      <c r="M2148" s="97">
        <v>3.9</v>
      </c>
      <c r="N2148" s="97">
        <v>19</v>
      </c>
      <c r="O2148" s="97">
        <v>7</v>
      </c>
      <c r="P2148" s="97" t="s">
        <v>514</v>
      </c>
      <c r="Q2148" s="97" t="str">
        <f t="shared" si="276"/>
        <v/>
      </c>
      <c r="R2148" t="str">
        <f t="shared" si="277"/>
        <v/>
      </c>
    </row>
    <row r="2149" spans="3:18">
      <c r="C2149" t="str">
        <f t="shared" si="278"/>
        <v/>
      </c>
      <c r="D2149" s="36">
        <v>119</v>
      </c>
      <c r="E2149">
        <v>35</v>
      </c>
      <c r="F2149" s="366">
        <f t="shared" si="274"/>
        <v>759.5</v>
      </c>
      <c r="G2149" s="97">
        <v>3649</v>
      </c>
      <c r="H2149" s="367">
        <f t="shared" si="275"/>
        <v>4408.5</v>
      </c>
      <c r="I2149" s="368">
        <f t="shared" si="279"/>
        <v>0</v>
      </c>
      <c r="J2149" s="97">
        <v>9354</v>
      </c>
      <c r="K2149" s="367">
        <f t="shared" si="280"/>
        <v>6681.4285714285716</v>
      </c>
      <c r="L2149" s="97">
        <v>0.96</v>
      </c>
      <c r="M2149" s="97">
        <v>4.3999999999999995</v>
      </c>
      <c r="N2149" s="97">
        <v>23</v>
      </c>
      <c r="O2149" s="97">
        <v>8</v>
      </c>
      <c r="P2149" s="97" t="s">
        <v>512</v>
      </c>
      <c r="Q2149" s="97" t="str">
        <f t="shared" si="276"/>
        <v/>
      </c>
      <c r="R2149" t="str">
        <f t="shared" si="277"/>
        <v/>
      </c>
    </row>
    <row r="2150" spans="3:18">
      <c r="C2150" t="str">
        <f t="shared" si="278"/>
        <v/>
      </c>
      <c r="D2150" s="36">
        <v>120</v>
      </c>
      <c r="E2150">
        <v>35</v>
      </c>
      <c r="F2150" s="366">
        <f t="shared" si="274"/>
        <v>759.5</v>
      </c>
      <c r="G2150" s="97">
        <v>3649</v>
      </c>
      <c r="H2150" s="367">
        <f t="shared" si="275"/>
        <v>4408.5</v>
      </c>
      <c r="I2150" s="368">
        <f t="shared" si="279"/>
        <v>0</v>
      </c>
      <c r="J2150" s="97">
        <v>9354</v>
      </c>
      <c r="K2150" s="367">
        <f t="shared" si="280"/>
        <v>6681.4285714285716</v>
      </c>
      <c r="L2150" s="97">
        <v>0.96</v>
      </c>
      <c r="M2150" s="97">
        <v>4.3999999999999995</v>
      </c>
      <c r="N2150" s="97">
        <v>23</v>
      </c>
      <c r="O2150" s="97">
        <v>8</v>
      </c>
      <c r="P2150" s="97" t="s">
        <v>512</v>
      </c>
      <c r="Q2150" s="97" t="str">
        <f t="shared" si="276"/>
        <v/>
      </c>
      <c r="R2150" t="str">
        <f t="shared" si="277"/>
        <v/>
      </c>
    </row>
    <row r="2151" spans="3:18">
      <c r="C2151" t="str">
        <f t="shared" si="278"/>
        <v/>
      </c>
      <c r="D2151" s="36">
        <v>121</v>
      </c>
      <c r="E2151">
        <v>35</v>
      </c>
      <c r="F2151" s="366">
        <f t="shared" si="274"/>
        <v>759.5</v>
      </c>
      <c r="G2151" s="97">
        <v>3102</v>
      </c>
      <c r="H2151" s="367">
        <f t="shared" si="275"/>
        <v>3861.5</v>
      </c>
      <c r="I2151" s="368">
        <f t="shared" si="279"/>
        <v>0</v>
      </c>
      <c r="J2151" s="97">
        <v>7952</v>
      </c>
      <c r="K2151" s="367">
        <f t="shared" si="280"/>
        <v>5680</v>
      </c>
      <c r="L2151" s="97">
        <v>0.48</v>
      </c>
      <c r="M2151" s="97">
        <v>4.3999999999999995</v>
      </c>
      <c r="N2151" s="97">
        <v>22</v>
      </c>
      <c r="O2151" s="97">
        <v>8</v>
      </c>
      <c r="P2151" s="97" t="s">
        <v>513</v>
      </c>
      <c r="Q2151" s="97">
        <f t="shared" si="276"/>
        <v>121</v>
      </c>
      <c r="R2151" t="str">
        <f t="shared" si="277"/>
        <v/>
      </c>
    </row>
    <row r="2152" spans="3:18">
      <c r="C2152" t="str">
        <f t="shared" si="278"/>
        <v/>
      </c>
      <c r="D2152" s="36">
        <v>122</v>
      </c>
      <c r="E2152">
        <v>35</v>
      </c>
      <c r="F2152" s="366">
        <f t="shared" si="274"/>
        <v>759.5</v>
      </c>
      <c r="G2152" s="97">
        <v>2404</v>
      </c>
      <c r="H2152" s="367">
        <f t="shared" si="275"/>
        <v>3163.5</v>
      </c>
      <c r="I2152" s="368">
        <f t="shared" si="279"/>
        <v>0</v>
      </c>
      <c r="J2152" s="97">
        <v>6164</v>
      </c>
      <c r="K2152" s="367">
        <f t="shared" si="280"/>
        <v>4402.8571428571431</v>
      </c>
      <c r="L2152" s="97">
        <v>0.23</v>
      </c>
      <c r="M2152" s="97">
        <v>4.3999999999999995</v>
      </c>
      <c r="N2152" s="97">
        <v>17</v>
      </c>
      <c r="O2152" s="97">
        <v>8</v>
      </c>
      <c r="P2152" s="97" t="s">
        <v>555</v>
      </c>
      <c r="Q2152" s="97">
        <f t="shared" si="276"/>
        <v>122</v>
      </c>
      <c r="R2152" t="str">
        <f t="shared" si="277"/>
        <v/>
      </c>
    </row>
    <row r="2153" spans="3:18">
      <c r="C2153" t="str">
        <f t="shared" si="278"/>
        <v>NL</v>
      </c>
      <c r="D2153" s="36">
        <v>123</v>
      </c>
      <c r="E2153">
        <v>35</v>
      </c>
      <c r="F2153" s="366">
        <f t="shared" si="274"/>
        <v>759.5</v>
      </c>
      <c r="G2153" s="97">
        <v>3777</v>
      </c>
      <c r="H2153" s="367">
        <f t="shared" si="275"/>
        <v>4536.5</v>
      </c>
      <c r="I2153" s="368">
        <f t="shared" si="279"/>
        <v>0</v>
      </c>
      <c r="J2153" s="97">
        <v>9682</v>
      </c>
      <c r="K2153" s="367">
        <f t="shared" si="280"/>
        <v>6915.7142857142862</v>
      </c>
      <c r="L2153" s="97">
        <v>0.75</v>
      </c>
      <c r="M2153" s="97">
        <v>4.8999999999999995</v>
      </c>
      <c r="N2153" s="97">
        <v>21</v>
      </c>
      <c r="O2153" s="97">
        <v>9</v>
      </c>
      <c r="P2153" s="97" t="s">
        <v>512</v>
      </c>
      <c r="Q2153" s="97" t="str">
        <f t="shared" si="276"/>
        <v/>
      </c>
      <c r="R2153" t="str">
        <f t="shared" si="277"/>
        <v/>
      </c>
    </row>
    <row r="2154" spans="3:18">
      <c r="C2154" t="str">
        <f t="shared" si="278"/>
        <v>NL</v>
      </c>
      <c r="D2154" s="36">
        <v>124</v>
      </c>
      <c r="E2154">
        <v>35</v>
      </c>
      <c r="F2154" s="366">
        <f t="shared" si="274"/>
        <v>759.5</v>
      </c>
      <c r="G2154" s="97">
        <v>3151</v>
      </c>
      <c r="H2154" s="367">
        <f t="shared" si="275"/>
        <v>3910.5</v>
      </c>
      <c r="I2154" s="368">
        <f t="shared" si="279"/>
        <v>0</v>
      </c>
      <c r="J2154" s="97">
        <v>8078</v>
      </c>
      <c r="K2154" s="367">
        <f t="shared" si="280"/>
        <v>5770</v>
      </c>
      <c r="L2154" s="97">
        <v>0.38</v>
      </c>
      <c r="M2154" s="97">
        <v>4.8999999999999995</v>
      </c>
      <c r="N2154" s="97">
        <v>21</v>
      </c>
      <c r="O2154" s="97">
        <v>9</v>
      </c>
      <c r="P2154" s="97" t="s">
        <v>513</v>
      </c>
      <c r="Q2154" s="97" t="str">
        <f t="shared" si="276"/>
        <v/>
      </c>
      <c r="R2154" t="str">
        <f t="shared" si="277"/>
        <v/>
      </c>
    </row>
    <row r="2155" spans="3:18">
      <c r="C2155" t="str">
        <f t="shared" si="278"/>
        <v>NL</v>
      </c>
      <c r="D2155" s="36">
        <v>125</v>
      </c>
      <c r="E2155">
        <v>35</v>
      </c>
      <c r="F2155" s="366">
        <f t="shared" si="274"/>
        <v>759.5</v>
      </c>
      <c r="G2155" s="97">
        <v>2404</v>
      </c>
      <c r="H2155" s="367">
        <f t="shared" si="275"/>
        <v>3163.5</v>
      </c>
      <c r="I2155" s="368">
        <f t="shared" si="279"/>
        <v>0</v>
      </c>
      <c r="J2155" s="97">
        <v>6164</v>
      </c>
      <c r="K2155" s="367">
        <f t="shared" si="280"/>
        <v>4402.8571428571431</v>
      </c>
      <c r="L2155" s="97">
        <v>0.18000000000000002</v>
      </c>
      <c r="M2155" s="97">
        <v>4.8999999999999995</v>
      </c>
      <c r="N2155" s="97">
        <v>16</v>
      </c>
      <c r="O2155" s="97">
        <v>9</v>
      </c>
      <c r="P2155" s="97" t="s">
        <v>555</v>
      </c>
      <c r="Q2155" s="97" t="str">
        <f t="shared" si="276"/>
        <v/>
      </c>
      <c r="R2155" t="str">
        <f t="shared" si="277"/>
        <v/>
      </c>
    </row>
    <row r="2156" spans="3:18">
      <c r="C2156" t="str">
        <f t="shared" si="278"/>
        <v/>
      </c>
      <c r="D2156" s="36">
        <v>126</v>
      </c>
      <c r="E2156">
        <v>35</v>
      </c>
      <c r="F2156" s="366">
        <f t="shared" si="274"/>
        <v>759.5</v>
      </c>
      <c r="G2156" s="97">
        <v>3912</v>
      </c>
      <c r="H2156" s="367">
        <f t="shared" si="275"/>
        <v>4671.5</v>
      </c>
      <c r="I2156" s="368">
        <f t="shared" si="279"/>
        <v>0</v>
      </c>
      <c r="J2156" s="97">
        <v>10029</v>
      </c>
      <c r="K2156" s="367">
        <f t="shared" si="280"/>
        <v>7163.5714285714284</v>
      </c>
      <c r="L2156" s="97">
        <v>0.62</v>
      </c>
      <c r="M2156" s="97">
        <v>5.3999999999999995</v>
      </c>
      <c r="N2156" s="97">
        <v>21</v>
      </c>
      <c r="O2156" s="97">
        <v>10</v>
      </c>
      <c r="P2156" s="97" t="s">
        <v>512</v>
      </c>
      <c r="Q2156" s="97" t="str">
        <f t="shared" si="276"/>
        <v/>
      </c>
      <c r="R2156" t="str">
        <f t="shared" si="277"/>
        <v/>
      </c>
    </row>
    <row r="2157" spans="3:18">
      <c r="C2157" t="str">
        <f t="shared" si="278"/>
        <v/>
      </c>
      <c r="D2157" s="36">
        <v>127</v>
      </c>
      <c r="E2157">
        <v>35</v>
      </c>
      <c r="F2157" s="366">
        <f t="shared" si="274"/>
        <v>759.5</v>
      </c>
      <c r="G2157" s="97">
        <v>3161</v>
      </c>
      <c r="H2157" s="367">
        <f t="shared" si="275"/>
        <v>3920.5</v>
      </c>
      <c r="I2157" s="368">
        <f t="shared" si="279"/>
        <v>0</v>
      </c>
      <c r="J2157" s="97">
        <v>8104</v>
      </c>
      <c r="K2157" s="367">
        <f t="shared" si="280"/>
        <v>5788.5714285714284</v>
      </c>
      <c r="L2157" s="97">
        <v>0.32</v>
      </c>
      <c r="M2157" s="97">
        <v>5.3999999999999995</v>
      </c>
      <c r="N2157" s="97">
        <v>20</v>
      </c>
      <c r="O2157" s="97">
        <v>10</v>
      </c>
      <c r="P2157" s="97" t="s">
        <v>513</v>
      </c>
      <c r="Q2157" s="97" t="str">
        <f t="shared" si="276"/>
        <v/>
      </c>
      <c r="R2157" t="str">
        <f t="shared" si="277"/>
        <v/>
      </c>
    </row>
    <row r="2158" spans="3:18">
      <c r="C2158" t="str">
        <f t="shared" si="278"/>
        <v/>
      </c>
      <c r="D2158" s="36">
        <v>128</v>
      </c>
      <c r="E2158">
        <v>40</v>
      </c>
      <c r="F2158" s="366">
        <f t="shared" si="274"/>
        <v>868</v>
      </c>
      <c r="G2158" s="97">
        <v>1317</v>
      </c>
      <c r="H2158" s="367">
        <f t="shared" si="275"/>
        <v>2185</v>
      </c>
      <c r="I2158" s="368">
        <f t="shared" si="279"/>
        <v>0</v>
      </c>
      <c r="J2158" s="97">
        <v>3376</v>
      </c>
      <c r="K2158" s="367">
        <f t="shared" si="280"/>
        <v>2411.4285714285716</v>
      </c>
      <c r="L2158" s="97">
        <v>0.91</v>
      </c>
      <c r="M2158" s="97">
        <v>9.7999999999999989</v>
      </c>
      <c r="N2158" s="97">
        <v>23</v>
      </c>
      <c r="O2158" s="97">
        <v>2</v>
      </c>
      <c r="P2158" s="97" t="s">
        <v>515</v>
      </c>
      <c r="Q2158" s="97" t="str">
        <f t="shared" si="276"/>
        <v/>
      </c>
      <c r="R2158" t="str">
        <f t="shared" si="277"/>
        <v/>
      </c>
    </row>
    <row r="2159" spans="3:18">
      <c r="C2159" t="str">
        <f t="shared" si="278"/>
        <v>NL</v>
      </c>
      <c r="D2159" s="36">
        <v>129</v>
      </c>
      <c r="E2159">
        <v>40</v>
      </c>
      <c r="F2159" s="366">
        <f t="shared" ref="F2159:F2222" si="281">1.085*($A$2-$B$2)*E2159*$T$7</f>
        <v>868</v>
      </c>
      <c r="G2159" s="97">
        <v>1537</v>
      </c>
      <c r="H2159" s="367">
        <f t="shared" ref="H2159:H2222" si="282">(G2159*$U$7)+F2159</f>
        <v>2405</v>
      </c>
      <c r="I2159" s="368">
        <f t="shared" si="279"/>
        <v>0</v>
      </c>
      <c r="J2159" s="97">
        <v>3941</v>
      </c>
      <c r="K2159" s="367">
        <f t="shared" si="280"/>
        <v>2815</v>
      </c>
      <c r="L2159" s="97">
        <v>0.64</v>
      </c>
      <c r="M2159" s="97">
        <v>1.8</v>
      </c>
      <c r="N2159" s="97">
        <v>21</v>
      </c>
      <c r="O2159" s="97">
        <v>3</v>
      </c>
      <c r="P2159" s="97" t="s">
        <v>556</v>
      </c>
      <c r="Q2159" s="97" t="str">
        <f t="shared" ref="Q2159:Q2222" si="283">IF(AND(H2159+1&gt;$E$4,L2159&lt;$L$4+0.01,M2159&lt;$M$4+0.01,K2159+1&gt;$F$4,E2159+1&gt;$J$4,N2159&lt;$K$4+1,O2159&lt;$P$4+1,C2159=""),D2159,"")</f>
        <v/>
      </c>
      <c r="R2159" t="str">
        <f t="shared" ref="R2159:R2222" si="284">IF(Q2159="","",IF(AND(O2159&lt;$X$17,E2159&gt;$U$17,E2159&lt;$Q$4+$U$17+1),D2159,""))</f>
        <v/>
      </c>
    </row>
    <row r="2160" spans="3:18">
      <c r="C2160" t="str">
        <f t="shared" si="278"/>
        <v>NL</v>
      </c>
      <c r="D2160" s="36">
        <v>130</v>
      </c>
      <c r="E2160">
        <v>40</v>
      </c>
      <c r="F2160" s="366">
        <f t="shared" si="281"/>
        <v>868</v>
      </c>
      <c r="G2160" s="97">
        <v>1301</v>
      </c>
      <c r="H2160" s="367">
        <f t="shared" si="282"/>
        <v>2169</v>
      </c>
      <c r="I2160" s="368">
        <f t="shared" si="279"/>
        <v>0</v>
      </c>
      <c r="J2160" s="97">
        <v>3336</v>
      </c>
      <c r="K2160" s="367">
        <f t="shared" si="280"/>
        <v>2382.8571428571431</v>
      </c>
      <c r="L2160" s="97">
        <v>0.38</v>
      </c>
      <c r="M2160" s="97">
        <v>1.8</v>
      </c>
      <c r="N2160" s="97">
        <v>19</v>
      </c>
      <c r="O2160" s="97">
        <v>3</v>
      </c>
      <c r="P2160" s="97" t="s">
        <v>515</v>
      </c>
      <c r="Q2160" s="97" t="str">
        <f t="shared" si="283"/>
        <v/>
      </c>
      <c r="R2160" t="str">
        <f t="shared" si="284"/>
        <v/>
      </c>
    </row>
    <row r="2161" spans="3:18">
      <c r="C2161" t="str">
        <f t="shared" si="278"/>
        <v/>
      </c>
      <c r="D2161" s="36">
        <v>131</v>
      </c>
      <c r="E2161">
        <v>40</v>
      </c>
      <c r="F2161" s="366">
        <f t="shared" si="281"/>
        <v>868</v>
      </c>
      <c r="G2161" s="97">
        <v>1885</v>
      </c>
      <c r="H2161" s="367">
        <f t="shared" si="282"/>
        <v>2753</v>
      </c>
      <c r="I2161" s="368">
        <f t="shared" si="279"/>
        <v>0</v>
      </c>
      <c r="J2161" s="97">
        <v>4832</v>
      </c>
      <c r="K2161" s="367">
        <f t="shared" si="280"/>
        <v>3451.4285714285716</v>
      </c>
      <c r="L2161" s="97">
        <v>0.76</v>
      </c>
      <c r="M2161" s="97">
        <v>2.3000000000000003</v>
      </c>
      <c r="N2161" s="97">
        <v>25</v>
      </c>
      <c r="O2161" s="97">
        <v>4</v>
      </c>
      <c r="P2161" s="97" t="s">
        <v>514</v>
      </c>
      <c r="Q2161" s="97" t="str">
        <f t="shared" si="283"/>
        <v/>
      </c>
      <c r="R2161" t="str">
        <f t="shared" si="284"/>
        <v/>
      </c>
    </row>
    <row r="2162" spans="3:18">
      <c r="C2162" t="str">
        <f t="shared" si="278"/>
        <v/>
      </c>
      <c r="D2162" s="36">
        <v>132</v>
      </c>
      <c r="E2162">
        <v>40</v>
      </c>
      <c r="F2162" s="366">
        <f t="shared" si="281"/>
        <v>868</v>
      </c>
      <c r="G2162" s="97">
        <v>1578</v>
      </c>
      <c r="H2162" s="367">
        <f t="shared" si="282"/>
        <v>2446</v>
      </c>
      <c r="I2162" s="368">
        <f t="shared" si="279"/>
        <v>0</v>
      </c>
      <c r="J2162" s="97">
        <v>4047</v>
      </c>
      <c r="K2162" s="367">
        <f t="shared" si="280"/>
        <v>2890.7142857142858</v>
      </c>
      <c r="L2162" s="97">
        <v>0.36</v>
      </c>
      <c r="M2162" s="97">
        <v>2.3000000000000003</v>
      </c>
      <c r="N2162" s="97">
        <v>19</v>
      </c>
      <c r="O2162" s="97">
        <v>4</v>
      </c>
      <c r="P2162" s="97" t="s">
        <v>556</v>
      </c>
      <c r="Q2162" s="97" t="str">
        <f t="shared" si="283"/>
        <v/>
      </c>
      <c r="R2162" t="str">
        <f t="shared" si="284"/>
        <v/>
      </c>
    </row>
    <row r="2163" spans="3:18">
      <c r="C2163" t="str">
        <f t="shared" si="278"/>
        <v/>
      </c>
      <c r="D2163" s="36">
        <v>133</v>
      </c>
      <c r="E2163">
        <v>40</v>
      </c>
      <c r="F2163" s="366">
        <f t="shared" si="281"/>
        <v>868</v>
      </c>
      <c r="G2163" s="97">
        <v>1394</v>
      </c>
      <c r="H2163" s="367">
        <f t="shared" si="282"/>
        <v>2262</v>
      </c>
      <c r="I2163" s="368">
        <f t="shared" si="279"/>
        <v>0</v>
      </c>
      <c r="J2163" s="97">
        <v>3574</v>
      </c>
      <c r="K2163" s="367">
        <f t="shared" si="280"/>
        <v>2552.8571428571431</v>
      </c>
      <c r="L2163" s="97">
        <v>0.22</v>
      </c>
      <c r="M2163" s="97">
        <v>2.3000000000000003</v>
      </c>
      <c r="N2163" s="97">
        <v>17</v>
      </c>
      <c r="O2163" s="97">
        <v>4</v>
      </c>
      <c r="P2163" s="97" t="s">
        <v>515</v>
      </c>
      <c r="Q2163" s="97" t="str">
        <f t="shared" si="283"/>
        <v/>
      </c>
      <c r="R2163" t="str">
        <f t="shared" si="284"/>
        <v/>
      </c>
    </row>
    <row r="2164" spans="3:18">
      <c r="C2164" t="str">
        <f t="shared" si="278"/>
        <v>NL</v>
      </c>
      <c r="D2164" s="36">
        <v>134</v>
      </c>
      <c r="E2164">
        <v>40</v>
      </c>
      <c r="F2164" s="366">
        <f t="shared" si="281"/>
        <v>868</v>
      </c>
      <c r="G2164" s="97">
        <v>2154</v>
      </c>
      <c r="H2164" s="367">
        <f t="shared" si="282"/>
        <v>3022</v>
      </c>
      <c r="I2164" s="368">
        <f t="shared" si="279"/>
        <v>0</v>
      </c>
      <c r="J2164" s="97">
        <v>5522</v>
      </c>
      <c r="K2164" s="367">
        <f t="shared" si="280"/>
        <v>3944.2857142857142</v>
      </c>
      <c r="L2164" s="97">
        <v>0.7</v>
      </c>
      <c r="M2164" s="97">
        <v>2.8000000000000003</v>
      </c>
      <c r="N2164" s="97">
        <v>21</v>
      </c>
      <c r="O2164" s="97">
        <v>5</v>
      </c>
      <c r="P2164" s="97" t="s">
        <v>555</v>
      </c>
      <c r="Q2164" s="97" t="str">
        <f t="shared" si="283"/>
        <v/>
      </c>
      <c r="R2164" t="str">
        <f t="shared" si="284"/>
        <v/>
      </c>
    </row>
    <row r="2165" spans="3:18">
      <c r="C2165" t="str">
        <f t="shared" si="278"/>
        <v>NL</v>
      </c>
      <c r="D2165" s="36">
        <v>135</v>
      </c>
      <c r="E2165">
        <v>40</v>
      </c>
      <c r="F2165" s="366">
        <f t="shared" si="281"/>
        <v>868</v>
      </c>
      <c r="G2165" s="97">
        <v>2000</v>
      </c>
      <c r="H2165" s="367">
        <f t="shared" si="282"/>
        <v>2868</v>
      </c>
      <c r="I2165" s="368">
        <f t="shared" si="279"/>
        <v>0</v>
      </c>
      <c r="J2165" s="97">
        <v>5127</v>
      </c>
      <c r="K2165" s="367">
        <f t="shared" si="280"/>
        <v>3662.1428571428573</v>
      </c>
      <c r="L2165" s="97">
        <v>0.49</v>
      </c>
      <c r="M2165" s="97">
        <v>2.8000000000000003</v>
      </c>
      <c r="N2165" s="97">
        <v>23</v>
      </c>
      <c r="O2165" s="97">
        <v>5</v>
      </c>
      <c r="P2165" s="97" t="s">
        <v>514</v>
      </c>
      <c r="Q2165" s="97" t="str">
        <f t="shared" si="283"/>
        <v/>
      </c>
      <c r="R2165" t="str">
        <f t="shared" si="284"/>
        <v/>
      </c>
    </row>
    <row r="2166" spans="3:18">
      <c r="C2166" t="str">
        <f t="shared" si="278"/>
        <v>NL</v>
      </c>
      <c r="D2166" s="36">
        <v>136</v>
      </c>
      <c r="E2166">
        <v>40</v>
      </c>
      <c r="F2166" s="366">
        <f t="shared" si="281"/>
        <v>868</v>
      </c>
      <c r="G2166" s="97">
        <v>1651</v>
      </c>
      <c r="H2166" s="367">
        <f t="shared" si="282"/>
        <v>2519</v>
      </c>
      <c r="I2166" s="368">
        <f t="shared" si="279"/>
        <v>0</v>
      </c>
      <c r="J2166" s="97">
        <v>4232</v>
      </c>
      <c r="K2166" s="367">
        <f t="shared" si="280"/>
        <v>3022.8571428571431</v>
      </c>
      <c r="L2166" s="97">
        <v>0.24000000000000002</v>
      </c>
      <c r="M2166" s="97">
        <v>2.8000000000000003</v>
      </c>
      <c r="N2166" s="97">
        <v>18</v>
      </c>
      <c r="O2166" s="97">
        <v>5</v>
      </c>
      <c r="P2166" s="97" t="s">
        <v>556</v>
      </c>
      <c r="Q2166" s="97" t="str">
        <f t="shared" si="283"/>
        <v/>
      </c>
      <c r="R2166" t="str">
        <f t="shared" si="284"/>
        <v/>
      </c>
    </row>
    <row r="2167" spans="3:18">
      <c r="C2167" t="str">
        <f t="shared" si="278"/>
        <v/>
      </c>
      <c r="D2167" s="36">
        <v>137</v>
      </c>
      <c r="E2167">
        <v>40</v>
      </c>
      <c r="F2167" s="366">
        <f t="shared" si="281"/>
        <v>868</v>
      </c>
      <c r="G2167" s="97">
        <v>2200</v>
      </c>
      <c r="H2167" s="367">
        <f t="shared" si="282"/>
        <v>3068</v>
      </c>
      <c r="I2167" s="368">
        <f t="shared" si="279"/>
        <v>0</v>
      </c>
      <c r="J2167" s="97">
        <v>5640</v>
      </c>
      <c r="K2167" s="367">
        <f t="shared" si="280"/>
        <v>4028.5714285714284</v>
      </c>
      <c r="L2167" s="97">
        <v>0.5</v>
      </c>
      <c r="M2167" s="97">
        <v>3.4</v>
      </c>
      <c r="N2167" s="97">
        <v>20</v>
      </c>
      <c r="O2167" s="97">
        <v>6</v>
      </c>
      <c r="P2167" s="97" t="s">
        <v>555</v>
      </c>
      <c r="Q2167" s="97">
        <f t="shared" si="283"/>
        <v>137</v>
      </c>
      <c r="R2167" t="str">
        <f t="shared" si="284"/>
        <v/>
      </c>
    </row>
    <row r="2168" spans="3:18">
      <c r="C2168" t="str">
        <f t="shared" si="278"/>
        <v/>
      </c>
      <c r="D2168" s="36">
        <v>138</v>
      </c>
      <c r="E2168">
        <v>40</v>
      </c>
      <c r="F2168" s="366">
        <f t="shared" si="281"/>
        <v>868</v>
      </c>
      <c r="G2168" s="97">
        <v>2002</v>
      </c>
      <c r="H2168" s="367">
        <f t="shared" si="282"/>
        <v>2870</v>
      </c>
      <c r="I2168" s="368">
        <f t="shared" si="279"/>
        <v>0</v>
      </c>
      <c r="J2168" s="97">
        <v>5132</v>
      </c>
      <c r="K2168" s="367">
        <f t="shared" si="280"/>
        <v>3665.7142857142858</v>
      </c>
      <c r="L2168" s="97">
        <v>0.34</v>
      </c>
      <c r="M2168" s="97">
        <v>3.4</v>
      </c>
      <c r="N2168" s="97">
        <v>21</v>
      </c>
      <c r="O2168" s="97">
        <v>6</v>
      </c>
      <c r="P2168" s="97" t="s">
        <v>514</v>
      </c>
      <c r="Q2168" s="97" t="str">
        <f t="shared" si="283"/>
        <v/>
      </c>
      <c r="R2168" t="str">
        <f t="shared" si="284"/>
        <v/>
      </c>
    </row>
    <row r="2169" spans="3:18">
      <c r="C2169" t="str">
        <f t="shared" si="278"/>
        <v/>
      </c>
      <c r="D2169" s="36">
        <v>139</v>
      </c>
      <c r="E2169">
        <v>40</v>
      </c>
      <c r="F2169" s="366">
        <f t="shared" si="281"/>
        <v>868</v>
      </c>
      <c r="G2169" s="97">
        <v>1725</v>
      </c>
      <c r="H2169" s="367">
        <f t="shared" si="282"/>
        <v>2593</v>
      </c>
      <c r="I2169" s="368">
        <f t="shared" si="279"/>
        <v>0</v>
      </c>
      <c r="J2169" s="97">
        <v>4424</v>
      </c>
      <c r="K2169" s="367">
        <f t="shared" si="280"/>
        <v>3160</v>
      </c>
      <c r="L2169" s="97">
        <v>0.17</v>
      </c>
      <c r="M2169" s="97">
        <v>3.4</v>
      </c>
      <c r="N2169" s="97">
        <v>16</v>
      </c>
      <c r="O2169" s="97">
        <v>6</v>
      </c>
      <c r="P2169" s="97" t="s">
        <v>556</v>
      </c>
      <c r="Q2169" s="97" t="str">
        <f t="shared" si="283"/>
        <v/>
      </c>
      <c r="R2169" t="str">
        <f t="shared" si="284"/>
        <v/>
      </c>
    </row>
    <row r="2170" spans="3:18">
      <c r="C2170" t="str">
        <f t="shared" si="278"/>
        <v>NL</v>
      </c>
      <c r="D2170" s="36">
        <v>140</v>
      </c>
      <c r="E2170">
        <v>40</v>
      </c>
      <c r="F2170" s="366">
        <f t="shared" si="281"/>
        <v>868</v>
      </c>
      <c r="G2170" s="97">
        <v>3149</v>
      </c>
      <c r="H2170" s="367">
        <f t="shared" si="282"/>
        <v>4017</v>
      </c>
      <c r="I2170" s="368">
        <f t="shared" si="279"/>
        <v>0</v>
      </c>
      <c r="J2170" s="97">
        <v>8072</v>
      </c>
      <c r="K2170" s="367">
        <f t="shared" si="280"/>
        <v>5765.7142857142862</v>
      </c>
      <c r="L2170" s="97">
        <v>0.82000000000000006</v>
      </c>
      <c r="M2170" s="97">
        <v>3.9</v>
      </c>
      <c r="N2170" s="97">
        <v>25</v>
      </c>
      <c r="O2170" s="97">
        <v>7</v>
      </c>
      <c r="P2170" s="97" t="s">
        <v>513</v>
      </c>
      <c r="Q2170" s="97" t="str">
        <f t="shared" si="283"/>
        <v/>
      </c>
      <c r="R2170" t="str">
        <f t="shared" si="284"/>
        <v/>
      </c>
    </row>
    <row r="2171" spans="3:18">
      <c r="C2171" t="str">
        <f t="shared" si="278"/>
        <v>NL</v>
      </c>
      <c r="D2171" s="36">
        <v>141</v>
      </c>
      <c r="E2171">
        <v>40</v>
      </c>
      <c r="F2171" s="366">
        <f t="shared" si="281"/>
        <v>868</v>
      </c>
      <c r="G2171" s="97">
        <v>2422</v>
      </c>
      <c r="H2171" s="367">
        <f t="shared" si="282"/>
        <v>3290</v>
      </c>
      <c r="I2171" s="368">
        <f t="shared" si="279"/>
        <v>0</v>
      </c>
      <c r="J2171" s="97">
        <v>6208</v>
      </c>
      <c r="K2171" s="367">
        <f t="shared" si="280"/>
        <v>4434.2857142857147</v>
      </c>
      <c r="L2171" s="97">
        <v>0.37</v>
      </c>
      <c r="M2171" s="97">
        <v>3.9</v>
      </c>
      <c r="N2171" s="97">
        <v>19</v>
      </c>
      <c r="O2171" s="97">
        <v>7</v>
      </c>
      <c r="P2171" s="97" t="s">
        <v>555</v>
      </c>
      <c r="Q2171" s="97" t="str">
        <f t="shared" si="283"/>
        <v/>
      </c>
      <c r="R2171" t="str">
        <f t="shared" si="284"/>
        <v/>
      </c>
    </row>
    <row r="2172" spans="3:18">
      <c r="C2172" t="str">
        <f t="shared" si="278"/>
        <v>NL</v>
      </c>
      <c r="D2172" s="36">
        <v>142</v>
      </c>
      <c r="E2172">
        <v>40</v>
      </c>
      <c r="F2172" s="366">
        <f t="shared" si="281"/>
        <v>868</v>
      </c>
      <c r="G2172" s="97">
        <v>2195</v>
      </c>
      <c r="H2172" s="367">
        <f t="shared" si="282"/>
        <v>3063</v>
      </c>
      <c r="I2172" s="368">
        <f t="shared" si="279"/>
        <v>0</v>
      </c>
      <c r="J2172" s="97">
        <v>5627</v>
      </c>
      <c r="K2172" s="367">
        <f t="shared" si="280"/>
        <v>4019.2857142857142</v>
      </c>
      <c r="L2172" s="97">
        <v>0.25</v>
      </c>
      <c r="M2172" s="97">
        <v>3.9</v>
      </c>
      <c r="N2172" s="97">
        <v>20</v>
      </c>
      <c r="O2172" s="97">
        <v>7</v>
      </c>
      <c r="P2172" s="97" t="s">
        <v>514</v>
      </c>
      <c r="Q2172" s="97" t="str">
        <f t="shared" si="283"/>
        <v/>
      </c>
      <c r="R2172" t="str">
        <f t="shared" si="284"/>
        <v/>
      </c>
    </row>
    <row r="2173" spans="3:18">
      <c r="C2173" t="str">
        <f t="shared" si="278"/>
        <v/>
      </c>
      <c r="D2173" s="36">
        <v>143</v>
      </c>
      <c r="E2173">
        <v>40</v>
      </c>
      <c r="F2173" s="366">
        <f t="shared" si="281"/>
        <v>868</v>
      </c>
      <c r="G2173" s="97">
        <v>3406</v>
      </c>
      <c r="H2173" s="367">
        <f t="shared" si="282"/>
        <v>4274</v>
      </c>
      <c r="I2173" s="368">
        <f t="shared" si="279"/>
        <v>0</v>
      </c>
      <c r="J2173" s="97">
        <v>8731</v>
      </c>
      <c r="K2173" s="367">
        <f t="shared" si="280"/>
        <v>6236.4285714285716</v>
      </c>
      <c r="L2173" s="97">
        <v>0.63</v>
      </c>
      <c r="M2173" s="97">
        <v>4.3999999999999995</v>
      </c>
      <c r="N2173" s="97">
        <v>23</v>
      </c>
      <c r="O2173" s="97">
        <v>8</v>
      </c>
      <c r="P2173" s="97" t="s">
        <v>513</v>
      </c>
      <c r="Q2173" s="97">
        <f t="shared" si="283"/>
        <v>143</v>
      </c>
      <c r="R2173" t="str">
        <f t="shared" si="284"/>
        <v/>
      </c>
    </row>
    <row r="2174" spans="3:18">
      <c r="C2174" t="str">
        <f t="shared" si="278"/>
        <v/>
      </c>
      <c r="D2174" s="36">
        <v>144</v>
      </c>
      <c r="E2174">
        <v>40</v>
      </c>
      <c r="F2174" s="366">
        <f t="shared" si="281"/>
        <v>868</v>
      </c>
      <c r="G2174" s="97">
        <v>2657</v>
      </c>
      <c r="H2174" s="367">
        <f t="shared" si="282"/>
        <v>3525</v>
      </c>
      <c r="I2174" s="368">
        <f t="shared" si="279"/>
        <v>0</v>
      </c>
      <c r="J2174" s="97">
        <v>6812</v>
      </c>
      <c r="K2174" s="367">
        <f t="shared" si="280"/>
        <v>4865.7142857142862</v>
      </c>
      <c r="L2174" s="97">
        <v>0.3</v>
      </c>
      <c r="M2174" s="97">
        <v>4.3999999999999995</v>
      </c>
      <c r="N2174" s="97">
        <v>19</v>
      </c>
      <c r="O2174" s="97">
        <v>8</v>
      </c>
      <c r="P2174" s="97" t="s">
        <v>555</v>
      </c>
      <c r="Q2174" s="97">
        <f t="shared" si="283"/>
        <v>144</v>
      </c>
      <c r="R2174" t="str">
        <f t="shared" si="284"/>
        <v/>
      </c>
    </row>
    <row r="2175" spans="3:18">
      <c r="C2175" t="str">
        <f t="shared" si="278"/>
        <v/>
      </c>
      <c r="D2175" s="36">
        <v>145</v>
      </c>
      <c r="E2175">
        <v>40</v>
      </c>
      <c r="F2175" s="366">
        <f t="shared" si="281"/>
        <v>868</v>
      </c>
      <c r="G2175" s="97">
        <v>2370</v>
      </c>
      <c r="H2175" s="367">
        <f t="shared" si="282"/>
        <v>3238</v>
      </c>
      <c r="I2175" s="368">
        <f t="shared" si="279"/>
        <v>0</v>
      </c>
      <c r="J2175" s="97">
        <v>6076</v>
      </c>
      <c r="K2175" s="367">
        <f t="shared" si="280"/>
        <v>4340</v>
      </c>
      <c r="L2175" s="97">
        <v>0.2</v>
      </c>
      <c r="M2175" s="97">
        <v>4.3999999999999995</v>
      </c>
      <c r="N2175" s="97">
        <v>20</v>
      </c>
      <c r="O2175" s="97">
        <v>8</v>
      </c>
      <c r="P2175" s="97" t="s">
        <v>514</v>
      </c>
      <c r="Q2175" s="97">
        <f t="shared" si="283"/>
        <v>145</v>
      </c>
      <c r="R2175" t="str">
        <f t="shared" si="284"/>
        <v/>
      </c>
    </row>
    <row r="2176" spans="3:18">
      <c r="C2176" t="str">
        <f t="shared" si="278"/>
        <v>NL</v>
      </c>
      <c r="D2176" s="36">
        <v>146</v>
      </c>
      <c r="E2176">
        <v>40</v>
      </c>
      <c r="F2176" s="366">
        <f t="shared" si="281"/>
        <v>868</v>
      </c>
      <c r="G2176" s="97">
        <v>4151</v>
      </c>
      <c r="H2176" s="367">
        <f t="shared" si="282"/>
        <v>5019</v>
      </c>
      <c r="I2176" s="368">
        <f t="shared" si="279"/>
        <v>0</v>
      </c>
      <c r="J2176" s="97">
        <v>10642</v>
      </c>
      <c r="K2176" s="367">
        <f t="shared" si="280"/>
        <v>7601.4285714285716</v>
      </c>
      <c r="L2176" s="97">
        <v>0.98</v>
      </c>
      <c r="M2176" s="97">
        <v>4.8999999999999995</v>
      </c>
      <c r="N2176" s="97">
        <v>23</v>
      </c>
      <c r="O2176" s="97">
        <v>9</v>
      </c>
      <c r="P2176" s="97" t="s">
        <v>512</v>
      </c>
      <c r="Q2176" s="97" t="str">
        <f t="shared" si="283"/>
        <v/>
      </c>
      <c r="R2176" t="str">
        <f t="shared" si="284"/>
        <v/>
      </c>
    </row>
    <row r="2177" spans="3:18">
      <c r="C2177" t="str">
        <f t="shared" si="278"/>
        <v>NL</v>
      </c>
      <c r="D2177" s="36">
        <v>147</v>
      </c>
      <c r="E2177">
        <v>40</v>
      </c>
      <c r="F2177" s="366">
        <f t="shared" si="281"/>
        <v>868</v>
      </c>
      <c r="G2177" s="97">
        <v>3489</v>
      </c>
      <c r="H2177" s="367">
        <f t="shared" si="282"/>
        <v>4357</v>
      </c>
      <c r="I2177" s="368">
        <f t="shared" si="279"/>
        <v>0</v>
      </c>
      <c r="J2177" s="97">
        <v>8945</v>
      </c>
      <c r="K2177" s="367">
        <f t="shared" si="280"/>
        <v>6389.2857142857147</v>
      </c>
      <c r="L2177" s="97">
        <v>0.5</v>
      </c>
      <c r="M2177" s="97">
        <v>4.8999999999999995</v>
      </c>
      <c r="N2177" s="97">
        <v>22</v>
      </c>
      <c r="O2177" s="97">
        <v>9</v>
      </c>
      <c r="P2177" s="97" t="s">
        <v>513</v>
      </c>
      <c r="Q2177" s="97" t="str">
        <f t="shared" si="283"/>
        <v/>
      </c>
      <c r="R2177" t="str">
        <f t="shared" si="284"/>
        <v/>
      </c>
    </row>
    <row r="2178" spans="3:18">
      <c r="C2178" t="str">
        <f t="shared" si="278"/>
        <v>NL</v>
      </c>
      <c r="D2178" s="36">
        <v>148</v>
      </c>
      <c r="E2178">
        <v>40</v>
      </c>
      <c r="F2178" s="366">
        <f t="shared" si="281"/>
        <v>868</v>
      </c>
      <c r="G2178" s="97">
        <v>2713</v>
      </c>
      <c r="H2178" s="367">
        <f t="shared" si="282"/>
        <v>3581</v>
      </c>
      <c r="I2178" s="368">
        <f t="shared" si="279"/>
        <v>0</v>
      </c>
      <c r="J2178" s="97">
        <v>6956</v>
      </c>
      <c r="K2178" s="367">
        <f t="shared" si="280"/>
        <v>4968.5714285714284</v>
      </c>
      <c r="L2178" s="97">
        <v>0.23</v>
      </c>
      <c r="M2178" s="97">
        <v>4.8999999999999995</v>
      </c>
      <c r="N2178" s="97">
        <v>17</v>
      </c>
      <c r="O2178" s="97">
        <v>9</v>
      </c>
      <c r="P2178" s="97" t="s">
        <v>555</v>
      </c>
      <c r="Q2178" s="97" t="str">
        <f t="shared" si="283"/>
        <v/>
      </c>
      <c r="R2178" t="str">
        <f t="shared" si="284"/>
        <v/>
      </c>
    </row>
    <row r="2179" spans="3:18">
      <c r="C2179" t="str">
        <f t="shared" si="278"/>
        <v>NL</v>
      </c>
      <c r="D2179" s="36">
        <v>149</v>
      </c>
      <c r="E2179">
        <v>40</v>
      </c>
      <c r="F2179" s="366">
        <f t="shared" si="281"/>
        <v>868</v>
      </c>
      <c r="G2179" s="97">
        <v>2381</v>
      </c>
      <c r="H2179" s="367">
        <f t="shared" si="282"/>
        <v>3249</v>
      </c>
      <c r="I2179" s="368">
        <f t="shared" si="279"/>
        <v>0</v>
      </c>
      <c r="J2179" s="97">
        <v>6104</v>
      </c>
      <c r="K2179" s="367">
        <f t="shared" si="280"/>
        <v>4360</v>
      </c>
      <c r="L2179" s="97">
        <v>0.16</v>
      </c>
      <c r="M2179" s="97">
        <v>4.8999999999999995</v>
      </c>
      <c r="N2179" s="97">
        <v>19</v>
      </c>
      <c r="O2179" s="97">
        <v>9</v>
      </c>
      <c r="P2179" s="97" t="s">
        <v>514</v>
      </c>
      <c r="Q2179" s="97" t="str">
        <f t="shared" si="283"/>
        <v/>
      </c>
      <c r="R2179" t="str">
        <f t="shared" si="284"/>
        <v/>
      </c>
    </row>
    <row r="2180" spans="3:18">
      <c r="C2180" t="str">
        <f t="shared" si="278"/>
        <v/>
      </c>
      <c r="D2180" s="36">
        <v>150</v>
      </c>
      <c r="E2180">
        <v>40</v>
      </c>
      <c r="F2180" s="366">
        <f t="shared" si="281"/>
        <v>868</v>
      </c>
      <c r="G2180" s="97">
        <v>4279</v>
      </c>
      <c r="H2180" s="367">
        <f t="shared" si="282"/>
        <v>5147</v>
      </c>
      <c r="I2180" s="368">
        <f t="shared" si="279"/>
        <v>0</v>
      </c>
      <c r="J2180" s="97">
        <v>10970</v>
      </c>
      <c r="K2180" s="367">
        <f t="shared" si="280"/>
        <v>7835.7142857142862</v>
      </c>
      <c r="L2180" s="97">
        <v>0.81</v>
      </c>
      <c r="M2180" s="97">
        <v>5.3999999999999995</v>
      </c>
      <c r="N2180" s="97">
        <v>22</v>
      </c>
      <c r="O2180" s="97">
        <v>10</v>
      </c>
      <c r="P2180" s="97" t="s">
        <v>512</v>
      </c>
      <c r="Q2180" s="97" t="str">
        <f t="shared" si="283"/>
        <v/>
      </c>
      <c r="R2180" t="str">
        <f t="shared" si="284"/>
        <v/>
      </c>
    </row>
    <row r="2181" spans="3:18">
      <c r="C2181" t="str">
        <f t="shared" si="278"/>
        <v/>
      </c>
      <c r="D2181" s="36">
        <v>151</v>
      </c>
      <c r="E2181">
        <v>40</v>
      </c>
      <c r="F2181" s="366">
        <f t="shared" si="281"/>
        <v>868</v>
      </c>
      <c r="G2181" s="97">
        <v>3565</v>
      </c>
      <c r="H2181" s="367">
        <f t="shared" si="282"/>
        <v>4433</v>
      </c>
      <c r="I2181" s="368">
        <f t="shared" si="279"/>
        <v>0</v>
      </c>
      <c r="J2181" s="97">
        <v>9140</v>
      </c>
      <c r="K2181" s="367">
        <f t="shared" si="280"/>
        <v>6528.5714285714284</v>
      </c>
      <c r="L2181" s="97">
        <v>0.41000000000000003</v>
      </c>
      <c r="M2181" s="97">
        <v>5.3999999999999995</v>
      </c>
      <c r="N2181" s="97">
        <v>22</v>
      </c>
      <c r="O2181" s="97">
        <v>10</v>
      </c>
      <c r="P2181" s="97" t="s">
        <v>513</v>
      </c>
      <c r="Q2181" s="97" t="str">
        <f t="shared" si="283"/>
        <v/>
      </c>
      <c r="R2181" t="str">
        <f t="shared" si="284"/>
        <v/>
      </c>
    </row>
    <row r="2182" spans="3:18">
      <c r="C2182" t="str">
        <f t="shared" si="278"/>
        <v/>
      </c>
      <c r="D2182" s="36">
        <v>152</v>
      </c>
      <c r="E2182">
        <v>40</v>
      </c>
      <c r="F2182" s="366">
        <f t="shared" si="281"/>
        <v>868</v>
      </c>
      <c r="G2182" s="97">
        <v>2721</v>
      </c>
      <c r="H2182" s="367">
        <f t="shared" si="282"/>
        <v>3589</v>
      </c>
      <c r="I2182" s="368">
        <f t="shared" si="279"/>
        <v>0</v>
      </c>
      <c r="J2182" s="97">
        <v>6976</v>
      </c>
      <c r="K2182" s="367">
        <f t="shared" si="280"/>
        <v>4982.8571428571431</v>
      </c>
      <c r="L2182" s="97">
        <v>0.19</v>
      </c>
      <c r="M2182" s="97">
        <v>5.3999999999999995</v>
      </c>
      <c r="N2182" s="97">
        <v>17</v>
      </c>
      <c r="O2182" s="97">
        <v>10</v>
      </c>
      <c r="P2182" s="97" t="s">
        <v>555</v>
      </c>
      <c r="Q2182" s="97" t="str">
        <f t="shared" si="283"/>
        <v/>
      </c>
      <c r="R2182" t="str">
        <f t="shared" si="284"/>
        <v/>
      </c>
    </row>
    <row r="2183" spans="3:18">
      <c r="C2183" t="str">
        <f t="shared" si="278"/>
        <v>NL</v>
      </c>
      <c r="D2183" s="36">
        <v>153</v>
      </c>
      <c r="E2183">
        <v>45</v>
      </c>
      <c r="F2183" s="366">
        <f t="shared" si="281"/>
        <v>976.5</v>
      </c>
      <c r="G2183" s="97">
        <v>1751</v>
      </c>
      <c r="H2183" s="367">
        <f t="shared" si="282"/>
        <v>2727.5</v>
      </c>
      <c r="I2183" s="368">
        <f t="shared" si="279"/>
        <v>0</v>
      </c>
      <c r="J2183" s="97">
        <v>4490</v>
      </c>
      <c r="K2183" s="367">
        <f t="shared" si="280"/>
        <v>3207.1428571428573</v>
      </c>
      <c r="L2183" s="97">
        <v>0.81</v>
      </c>
      <c r="M2183" s="97">
        <v>1.8</v>
      </c>
      <c r="N2183" s="97">
        <v>23</v>
      </c>
      <c r="O2183" s="97">
        <v>3</v>
      </c>
      <c r="P2183" s="97" t="s">
        <v>556</v>
      </c>
      <c r="Q2183" s="97" t="str">
        <f t="shared" si="283"/>
        <v/>
      </c>
      <c r="R2183" t="str">
        <f t="shared" si="284"/>
        <v/>
      </c>
    </row>
    <row r="2184" spans="3:18">
      <c r="C2184" t="str">
        <f t="shared" si="278"/>
        <v>NL</v>
      </c>
      <c r="D2184" s="36">
        <v>154</v>
      </c>
      <c r="E2184">
        <v>45</v>
      </c>
      <c r="F2184" s="366">
        <f t="shared" si="281"/>
        <v>976.5</v>
      </c>
      <c r="G2184" s="97">
        <v>1410</v>
      </c>
      <c r="H2184" s="367">
        <f t="shared" si="282"/>
        <v>2386.5</v>
      </c>
      <c r="I2184" s="368">
        <f t="shared" si="279"/>
        <v>0</v>
      </c>
      <c r="J2184" s="97">
        <v>3615</v>
      </c>
      <c r="K2184" s="367">
        <f t="shared" si="280"/>
        <v>2582.1428571428573</v>
      </c>
      <c r="L2184" s="97">
        <v>0.48</v>
      </c>
      <c r="M2184" s="97">
        <v>1.8</v>
      </c>
      <c r="N2184" s="97">
        <v>20</v>
      </c>
      <c r="O2184" s="97">
        <v>3</v>
      </c>
      <c r="P2184" s="97" t="s">
        <v>515</v>
      </c>
      <c r="Q2184" s="97" t="str">
        <f t="shared" si="283"/>
        <v/>
      </c>
      <c r="R2184" t="str">
        <f t="shared" si="284"/>
        <v/>
      </c>
    </row>
    <row r="2185" spans="3:18">
      <c r="C2185" t="str">
        <f t="shared" si="278"/>
        <v/>
      </c>
      <c r="D2185" s="36">
        <v>155</v>
      </c>
      <c r="E2185">
        <v>45</v>
      </c>
      <c r="F2185" s="366">
        <f t="shared" si="281"/>
        <v>976.5</v>
      </c>
      <c r="G2185" s="97">
        <v>2141</v>
      </c>
      <c r="H2185" s="367">
        <f t="shared" si="282"/>
        <v>3117.5</v>
      </c>
      <c r="I2185" s="368">
        <f t="shared" si="279"/>
        <v>0</v>
      </c>
      <c r="J2185" s="97">
        <v>5488</v>
      </c>
      <c r="K2185" s="367">
        <f t="shared" si="280"/>
        <v>3920</v>
      </c>
      <c r="L2185" s="97">
        <v>0.96</v>
      </c>
      <c r="M2185" s="97">
        <v>2.3000000000000003</v>
      </c>
      <c r="N2185" s="97">
        <v>26</v>
      </c>
      <c r="O2185" s="97">
        <v>4</v>
      </c>
      <c r="P2185" s="97" t="s">
        <v>514</v>
      </c>
      <c r="Q2185" s="97" t="str">
        <f t="shared" si="283"/>
        <v/>
      </c>
      <c r="R2185" t="str">
        <f t="shared" si="284"/>
        <v/>
      </c>
    </row>
    <row r="2186" spans="3:18">
      <c r="C2186" t="str">
        <f t="shared" si="278"/>
        <v/>
      </c>
      <c r="D2186" s="36">
        <v>156</v>
      </c>
      <c r="E2186">
        <v>45</v>
      </c>
      <c r="F2186" s="366">
        <f t="shared" si="281"/>
        <v>976.5</v>
      </c>
      <c r="G2186" s="97">
        <v>1708</v>
      </c>
      <c r="H2186" s="367">
        <f t="shared" si="282"/>
        <v>2684.5</v>
      </c>
      <c r="I2186" s="368">
        <f t="shared" si="279"/>
        <v>0</v>
      </c>
      <c r="J2186" s="97">
        <v>4380</v>
      </c>
      <c r="K2186" s="367">
        <f t="shared" si="280"/>
        <v>3128.5714285714284</v>
      </c>
      <c r="L2186" s="97">
        <v>0.46</v>
      </c>
      <c r="M2186" s="97">
        <v>2.3000000000000003</v>
      </c>
      <c r="N2186" s="97">
        <v>21</v>
      </c>
      <c r="O2186" s="97">
        <v>4</v>
      </c>
      <c r="P2186" s="97" t="s">
        <v>556</v>
      </c>
      <c r="Q2186" s="97" t="str">
        <f t="shared" si="283"/>
        <v/>
      </c>
      <c r="R2186" t="str">
        <f t="shared" si="284"/>
        <v/>
      </c>
    </row>
    <row r="2187" spans="3:18">
      <c r="C2187" t="str">
        <f t="shared" si="278"/>
        <v/>
      </c>
      <c r="D2187" s="36">
        <v>157</v>
      </c>
      <c r="E2187">
        <v>45</v>
      </c>
      <c r="F2187" s="366">
        <f t="shared" si="281"/>
        <v>976.5</v>
      </c>
      <c r="G2187" s="97">
        <v>1530</v>
      </c>
      <c r="H2187" s="367">
        <f t="shared" si="282"/>
        <v>2506.5</v>
      </c>
      <c r="I2187" s="368">
        <f t="shared" si="279"/>
        <v>0</v>
      </c>
      <c r="J2187" s="97">
        <v>3923</v>
      </c>
      <c r="K2187" s="367">
        <f t="shared" si="280"/>
        <v>2802.1428571428573</v>
      </c>
      <c r="L2187" s="97">
        <v>0.27</v>
      </c>
      <c r="M2187" s="97">
        <v>2.3000000000000003</v>
      </c>
      <c r="N2187" s="97">
        <v>18</v>
      </c>
      <c r="O2187" s="97">
        <v>4</v>
      </c>
      <c r="P2187" s="97" t="s">
        <v>515</v>
      </c>
      <c r="Q2187" s="97" t="str">
        <f t="shared" si="283"/>
        <v/>
      </c>
      <c r="R2187" t="str">
        <f t="shared" si="284"/>
        <v/>
      </c>
    </row>
    <row r="2188" spans="3:18">
      <c r="C2188" t="str">
        <f t="shared" si="278"/>
        <v>NL</v>
      </c>
      <c r="D2188" s="36">
        <v>158</v>
      </c>
      <c r="E2188">
        <v>45</v>
      </c>
      <c r="F2188" s="366">
        <f t="shared" si="281"/>
        <v>976.5</v>
      </c>
      <c r="G2188" s="97">
        <v>2343</v>
      </c>
      <c r="H2188" s="367">
        <f t="shared" si="282"/>
        <v>3319.5</v>
      </c>
      <c r="I2188" s="368">
        <f t="shared" si="279"/>
        <v>0</v>
      </c>
      <c r="J2188" s="97">
        <v>6006</v>
      </c>
      <c r="K2188" s="367">
        <f t="shared" si="280"/>
        <v>4290</v>
      </c>
      <c r="L2188" s="97">
        <v>0.89</v>
      </c>
      <c r="M2188" s="97">
        <v>2.8000000000000003</v>
      </c>
      <c r="N2188" s="97">
        <v>23</v>
      </c>
      <c r="O2188" s="97">
        <v>5</v>
      </c>
      <c r="P2188" s="97" t="s">
        <v>555</v>
      </c>
      <c r="Q2188" s="97" t="str">
        <f t="shared" si="283"/>
        <v/>
      </c>
      <c r="R2188" t="str">
        <f t="shared" si="284"/>
        <v/>
      </c>
    </row>
    <row r="2189" spans="3:18">
      <c r="C2189" t="str">
        <f t="shared" si="278"/>
        <v>NL</v>
      </c>
      <c r="D2189" s="36">
        <v>159</v>
      </c>
      <c r="E2189">
        <v>45</v>
      </c>
      <c r="F2189" s="366">
        <f t="shared" si="281"/>
        <v>976.5</v>
      </c>
      <c r="G2189" s="97">
        <v>2187</v>
      </c>
      <c r="H2189" s="367">
        <f t="shared" si="282"/>
        <v>3163.5</v>
      </c>
      <c r="I2189" s="368">
        <f t="shared" si="279"/>
        <v>0</v>
      </c>
      <c r="J2189" s="97">
        <v>5606</v>
      </c>
      <c r="K2189" s="367">
        <f t="shared" si="280"/>
        <v>4004.2857142857142</v>
      </c>
      <c r="L2189" s="97">
        <v>0.61</v>
      </c>
      <c r="M2189" s="97">
        <v>2.8000000000000003</v>
      </c>
      <c r="N2189" s="97">
        <v>24</v>
      </c>
      <c r="O2189" s="97">
        <v>5</v>
      </c>
      <c r="P2189" s="97" t="s">
        <v>514</v>
      </c>
      <c r="Q2189" s="97" t="str">
        <f t="shared" si="283"/>
        <v/>
      </c>
      <c r="R2189" t="str">
        <f t="shared" si="284"/>
        <v/>
      </c>
    </row>
    <row r="2190" spans="3:18">
      <c r="C2190" t="str">
        <f t="shared" ref="C2190:C2253" si="285">IF(OR($O$4=0,O2190-$O$4=0),IF(AND(ISEVEN(O2190)=FALSE,$N$4="Even"),"NL",""),"NL")</f>
        <v>NL</v>
      </c>
      <c r="D2190" s="36">
        <v>160</v>
      </c>
      <c r="E2190">
        <v>45</v>
      </c>
      <c r="F2190" s="366">
        <f t="shared" si="281"/>
        <v>976.5</v>
      </c>
      <c r="G2190" s="97">
        <v>1819</v>
      </c>
      <c r="H2190" s="367">
        <f t="shared" si="282"/>
        <v>2795.5</v>
      </c>
      <c r="I2190" s="368">
        <f t="shared" ref="I2190:I2253" si="286">1.085*($C$2-$D$2)*E2190*$T$7</f>
        <v>0</v>
      </c>
      <c r="J2190" s="97">
        <v>4663</v>
      </c>
      <c r="K2190" s="367">
        <f t="shared" ref="K2190:K2253" si="287">(J2190*$V$7)-I2190</f>
        <v>3330.7142857142858</v>
      </c>
      <c r="L2190" s="97">
        <v>0.3</v>
      </c>
      <c r="M2190" s="97">
        <v>2.8000000000000003</v>
      </c>
      <c r="N2190" s="97">
        <v>19</v>
      </c>
      <c r="O2190" s="97">
        <v>5</v>
      </c>
      <c r="P2190" s="97" t="s">
        <v>556</v>
      </c>
      <c r="Q2190" s="97" t="str">
        <f t="shared" si="283"/>
        <v/>
      </c>
      <c r="R2190" t="str">
        <f t="shared" si="284"/>
        <v/>
      </c>
    </row>
    <row r="2191" spans="3:18">
      <c r="C2191" t="str">
        <f t="shared" si="285"/>
        <v>NL</v>
      </c>
      <c r="D2191" s="36">
        <v>161</v>
      </c>
      <c r="E2191">
        <v>45</v>
      </c>
      <c r="F2191" s="366">
        <f t="shared" si="281"/>
        <v>976.5</v>
      </c>
      <c r="G2191" s="97">
        <v>1536</v>
      </c>
      <c r="H2191" s="367">
        <f t="shared" si="282"/>
        <v>2512.5</v>
      </c>
      <c r="I2191" s="368">
        <f t="shared" si="286"/>
        <v>0</v>
      </c>
      <c r="J2191" s="97">
        <v>3937</v>
      </c>
      <c r="K2191" s="367">
        <f t="shared" si="287"/>
        <v>2812.1428571428573</v>
      </c>
      <c r="L2191" s="97">
        <v>0.18000000000000002</v>
      </c>
      <c r="M2191" s="97">
        <v>2.8000000000000003</v>
      </c>
      <c r="N2191" s="97">
        <v>17</v>
      </c>
      <c r="O2191" s="97">
        <v>5</v>
      </c>
      <c r="P2191" s="97" t="s">
        <v>515</v>
      </c>
      <c r="Q2191" s="97" t="str">
        <f t="shared" si="283"/>
        <v/>
      </c>
      <c r="R2191" t="str">
        <f t="shared" si="284"/>
        <v/>
      </c>
    </row>
    <row r="2192" spans="3:18">
      <c r="C2192" t="str">
        <f t="shared" si="285"/>
        <v/>
      </c>
      <c r="D2192" s="36">
        <v>162</v>
      </c>
      <c r="E2192">
        <v>45</v>
      </c>
      <c r="F2192" s="366">
        <f t="shared" si="281"/>
        <v>976.5</v>
      </c>
      <c r="G2192" s="97">
        <v>2435</v>
      </c>
      <c r="H2192" s="367">
        <f t="shared" si="282"/>
        <v>3411.5</v>
      </c>
      <c r="I2192" s="368">
        <f t="shared" si="286"/>
        <v>0</v>
      </c>
      <c r="J2192" s="97">
        <v>6243</v>
      </c>
      <c r="K2192" s="367">
        <f t="shared" si="287"/>
        <v>4459.2857142857147</v>
      </c>
      <c r="L2192" s="97">
        <v>0.63</v>
      </c>
      <c r="M2192" s="97">
        <v>3.4</v>
      </c>
      <c r="N2192" s="97">
        <v>22</v>
      </c>
      <c r="O2192" s="97">
        <v>6</v>
      </c>
      <c r="P2192" s="97" t="s">
        <v>555</v>
      </c>
      <c r="Q2192" s="97">
        <f t="shared" si="283"/>
        <v>162</v>
      </c>
      <c r="R2192" t="str">
        <f t="shared" si="284"/>
        <v/>
      </c>
    </row>
    <row r="2193" spans="3:18">
      <c r="C2193" t="str">
        <f t="shared" si="285"/>
        <v/>
      </c>
      <c r="D2193" s="36">
        <v>163</v>
      </c>
      <c r="E2193">
        <v>45</v>
      </c>
      <c r="F2193" s="366">
        <f t="shared" si="281"/>
        <v>976.5</v>
      </c>
      <c r="G2193" s="97">
        <v>2213</v>
      </c>
      <c r="H2193" s="367">
        <f t="shared" si="282"/>
        <v>3189.5</v>
      </c>
      <c r="I2193" s="368">
        <f t="shared" si="286"/>
        <v>0</v>
      </c>
      <c r="J2193" s="97">
        <v>5673</v>
      </c>
      <c r="K2193" s="367">
        <f t="shared" si="287"/>
        <v>4052.1428571428573</v>
      </c>
      <c r="L2193" s="97">
        <v>0.43</v>
      </c>
      <c r="M2193" s="97">
        <v>3.4</v>
      </c>
      <c r="N2193" s="97">
        <v>23</v>
      </c>
      <c r="O2193" s="97">
        <v>6</v>
      </c>
      <c r="P2193" s="97" t="s">
        <v>514</v>
      </c>
      <c r="Q2193" s="97">
        <f t="shared" si="283"/>
        <v>163</v>
      </c>
      <c r="R2193" t="str">
        <f t="shared" si="284"/>
        <v/>
      </c>
    </row>
    <row r="2194" spans="3:18">
      <c r="C2194" t="str">
        <f t="shared" si="285"/>
        <v/>
      </c>
      <c r="D2194" s="36">
        <v>164</v>
      </c>
      <c r="E2194">
        <v>45</v>
      </c>
      <c r="F2194" s="366">
        <f t="shared" si="281"/>
        <v>976.5</v>
      </c>
      <c r="G2194" s="97">
        <v>1858</v>
      </c>
      <c r="H2194" s="367">
        <f t="shared" si="282"/>
        <v>2834.5</v>
      </c>
      <c r="I2194" s="368">
        <f t="shared" si="286"/>
        <v>0</v>
      </c>
      <c r="J2194" s="97">
        <v>4764</v>
      </c>
      <c r="K2194" s="367">
        <f t="shared" si="287"/>
        <v>3402.8571428571431</v>
      </c>
      <c r="L2194" s="97">
        <v>0.21000000000000002</v>
      </c>
      <c r="M2194" s="97">
        <v>3.4</v>
      </c>
      <c r="N2194" s="97">
        <v>18</v>
      </c>
      <c r="O2194" s="97">
        <v>6</v>
      </c>
      <c r="P2194" s="97" t="s">
        <v>556</v>
      </c>
      <c r="Q2194" s="97" t="str">
        <f t="shared" si="283"/>
        <v/>
      </c>
      <c r="R2194" t="str">
        <f t="shared" si="284"/>
        <v/>
      </c>
    </row>
    <row r="2195" spans="3:18">
      <c r="C2195" t="str">
        <f t="shared" si="285"/>
        <v>NL</v>
      </c>
      <c r="D2195" s="36">
        <v>165</v>
      </c>
      <c r="E2195">
        <v>45</v>
      </c>
      <c r="F2195" s="366">
        <f t="shared" si="281"/>
        <v>976.5</v>
      </c>
      <c r="G2195" s="97">
        <v>3396</v>
      </c>
      <c r="H2195" s="367">
        <f t="shared" si="282"/>
        <v>4372.5</v>
      </c>
      <c r="I2195" s="368">
        <f t="shared" si="286"/>
        <v>0</v>
      </c>
      <c r="J2195" s="97">
        <v>8705</v>
      </c>
      <c r="K2195" s="367">
        <f t="shared" si="287"/>
        <v>6217.8571428571431</v>
      </c>
      <c r="L2195" s="97">
        <v>1.04</v>
      </c>
      <c r="M2195" s="97">
        <v>3.9</v>
      </c>
      <c r="N2195" s="97">
        <v>26</v>
      </c>
      <c r="O2195" s="97">
        <v>7</v>
      </c>
      <c r="P2195" s="97" t="s">
        <v>513</v>
      </c>
      <c r="Q2195" s="97" t="str">
        <f t="shared" si="283"/>
        <v/>
      </c>
      <c r="R2195" t="str">
        <f t="shared" si="284"/>
        <v/>
      </c>
    </row>
    <row r="2196" spans="3:18">
      <c r="C2196" t="str">
        <f t="shared" si="285"/>
        <v>NL</v>
      </c>
      <c r="D2196" s="36">
        <v>166</v>
      </c>
      <c r="E2196">
        <v>45</v>
      </c>
      <c r="F2196" s="366">
        <f t="shared" si="281"/>
        <v>976.5</v>
      </c>
      <c r="G2196" s="97">
        <v>2625</v>
      </c>
      <c r="H2196" s="367">
        <f t="shared" si="282"/>
        <v>3601.5</v>
      </c>
      <c r="I2196" s="368">
        <f t="shared" si="286"/>
        <v>0</v>
      </c>
      <c r="J2196" s="97">
        <v>6730</v>
      </c>
      <c r="K2196" s="367">
        <f t="shared" si="287"/>
        <v>4807.1428571428569</v>
      </c>
      <c r="L2196" s="97">
        <v>0.47000000000000003</v>
      </c>
      <c r="M2196" s="97">
        <v>3.9</v>
      </c>
      <c r="N2196" s="97">
        <v>21</v>
      </c>
      <c r="O2196" s="97">
        <v>7</v>
      </c>
      <c r="P2196" s="97" t="s">
        <v>555</v>
      </c>
      <c r="Q2196" s="97" t="str">
        <f t="shared" si="283"/>
        <v/>
      </c>
      <c r="R2196" t="str">
        <f t="shared" si="284"/>
        <v/>
      </c>
    </row>
    <row r="2197" spans="3:18">
      <c r="C2197" t="str">
        <f t="shared" si="285"/>
        <v>NL</v>
      </c>
      <c r="D2197" s="36">
        <v>167</v>
      </c>
      <c r="E2197">
        <v>45</v>
      </c>
      <c r="F2197" s="366">
        <f t="shared" si="281"/>
        <v>976.5</v>
      </c>
      <c r="G2197" s="97">
        <v>2379</v>
      </c>
      <c r="H2197" s="367">
        <f t="shared" si="282"/>
        <v>3355.5</v>
      </c>
      <c r="I2197" s="368">
        <f t="shared" si="286"/>
        <v>0</v>
      </c>
      <c r="J2197" s="97">
        <v>6099</v>
      </c>
      <c r="K2197" s="367">
        <f t="shared" si="287"/>
        <v>4356.4285714285716</v>
      </c>
      <c r="L2197" s="97">
        <v>0.32</v>
      </c>
      <c r="M2197" s="97">
        <v>3.9</v>
      </c>
      <c r="N2197" s="97">
        <v>22</v>
      </c>
      <c r="O2197" s="97">
        <v>7</v>
      </c>
      <c r="P2197" s="97" t="s">
        <v>514</v>
      </c>
      <c r="Q2197" s="97" t="str">
        <f t="shared" si="283"/>
        <v/>
      </c>
      <c r="R2197" t="str">
        <f t="shared" si="284"/>
        <v/>
      </c>
    </row>
    <row r="2198" spans="3:18">
      <c r="C2198" t="str">
        <f t="shared" si="285"/>
        <v/>
      </c>
      <c r="D2198" s="36">
        <v>168</v>
      </c>
      <c r="E2198">
        <v>45</v>
      </c>
      <c r="F2198" s="366">
        <f t="shared" si="281"/>
        <v>976.5</v>
      </c>
      <c r="G2198" s="97">
        <v>3709</v>
      </c>
      <c r="H2198" s="367">
        <f t="shared" si="282"/>
        <v>4685.5</v>
      </c>
      <c r="I2198" s="368">
        <f t="shared" si="286"/>
        <v>0</v>
      </c>
      <c r="J2198" s="97">
        <v>9509</v>
      </c>
      <c r="K2198" s="367">
        <f t="shared" si="287"/>
        <v>6792.1428571428569</v>
      </c>
      <c r="L2198" s="97">
        <v>0.79</v>
      </c>
      <c r="M2198" s="97">
        <v>4.3999999999999995</v>
      </c>
      <c r="N2198" s="97">
        <v>25</v>
      </c>
      <c r="O2198" s="97">
        <v>8</v>
      </c>
      <c r="P2198" s="97" t="s">
        <v>513</v>
      </c>
      <c r="Q2198" s="97" t="str">
        <f t="shared" si="283"/>
        <v/>
      </c>
      <c r="R2198" t="str">
        <f t="shared" si="284"/>
        <v/>
      </c>
    </row>
    <row r="2199" spans="3:18">
      <c r="C2199" t="str">
        <f t="shared" si="285"/>
        <v/>
      </c>
      <c r="D2199" s="36">
        <v>169</v>
      </c>
      <c r="E2199">
        <v>45</v>
      </c>
      <c r="F2199" s="366">
        <f t="shared" si="281"/>
        <v>976.5</v>
      </c>
      <c r="G2199" s="97">
        <v>2886</v>
      </c>
      <c r="H2199" s="367">
        <f t="shared" si="282"/>
        <v>3862.5</v>
      </c>
      <c r="I2199" s="368">
        <f t="shared" si="286"/>
        <v>0</v>
      </c>
      <c r="J2199" s="97">
        <v>7400</v>
      </c>
      <c r="K2199" s="367">
        <f t="shared" si="287"/>
        <v>5285.7142857142862</v>
      </c>
      <c r="L2199" s="97">
        <v>0.37</v>
      </c>
      <c r="M2199" s="97">
        <v>4.3999999999999995</v>
      </c>
      <c r="N2199" s="97">
        <v>20</v>
      </c>
      <c r="O2199" s="97">
        <v>8</v>
      </c>
      <c r="P2199" s="97" t="s">
        <v>555</v>
      </c>
      <c r="Q2199" s="97">
        <f t="shared" si="283"/>
        <v>169</v>
      </c>
      <c r="R2199" t="str">
        <f t="shared" si="284"/>
        <v/>
      </c>
    </row>
    <row r="2200" spans="3:18">
      <c r="C2200" t="str">
        <f t="shared" si="285"/>
        <v/>
      </c>
      <c r="D2200" s="36">
        <v>170</v>
      </c>
      <c r="E2200">
        <v>45</v>
      </c>
      <c r="F2200" s="366">
        <f t="shared" si="281"/>
        <v>976.5</v>
      </c>
      <c r="G2200" s="97">
        <v>2570</v>
      </c>
      <c r="H2200" s="367">
        <f t="shared" si="282"/>
        <v>3546.5</v>
      </c>
      <c r="I2200" s="368">
        <f t="shared" si="286"/>
        <v>0</v>
      </c>
      <c r="J2200" s="97">
        <v>6588</v>
      </c>
      <c r="K2200" s="367">
        <f t="shared" si="287"/>
        <v>4705.7142857142862</v>
      </c>
      <c r="L2200" s="97">
        <v>0.25</v>
      </c>
      <c r="M2200" s="97">
        <v>4.3999999999999995</v>
      </c>
      <c r="N2200" s="97">
        <v>21</v>
      </c>
      <c r="O2200" s="97">
        <v>8</v>
      </c>
      <c r="P2200" s="97" t="s">
        <v>514</v>
      </c>
      <c r="Q2200" s="97">
        <f t="shared" si="283"/>
        <v>170</v>
      </c>
      <c r="R2200" t="str">
        <f t="shared" si="284"/>
        <v/>
      </c>
    </row>
    <row r="2201" spans="3:18">
      <c r="C2201" t="str">
        <f t="shared" si="285"/>
        <v>NL</v>
      </c>
      <c r="D2201" s="36">
        <v>171</v>
      </c>
      <c r="E2201">
        <v>45</v>
      </c>
      <c r="F2201" s="366">
        <f t="shared" si="281"/>
        <v>976.5</v>
      </c>
      <c r="G2201" s="97">
        <v>3785</v>
      </c>
      <c r="H2201" s="367">
        <f t="shared" si="282"/>
        <v>4761.5</v>
      </c>
      <c r="I2201" s="368">
        <f t="shared" si="286"/>
        <v>0</v>
      </c>
      <c r="J2201" s="97">
        <v>9704</v>
      </c>
      <c r="K2201" s="367">
        <f t="shared" si="287"/>
        <v>6931.4285714285716</v>
      </c>
      <c r="L2201" s="97">
        <v>0.63</v>
      </c>
      <c r="M2201" s="97">
        <v>4.8999999999999995</v>
      </c>
      <c r="N2201" s="97">
        <v>24</v>
      </c>
      <c r="O2201" s="97">
        <v>9</v>
      </c>
      <c r="P2201" s="97" t="s">
        <v>513</v>
      </c>
      <c r="Q2201" s="97" t="str">
        <f t="shared" si="283"/>
        <v/>
      </c>
      <c r="R2201" t="str">
        <f t="shared" si="284"/>
        <v/>
      </c>
    </row>
    <row r="2202" spans="3:18">
      <c r="C2202" t="str">
        <f t="shared" si="285"/>
        <v>NL</v>
      </c>
      <c r="D2202" s="36">
        <v>172</v>
      </c>
      <c r="E2202">
        <v>45</v>
      </c>
      <c r="F2202" s="366">
        <f t="shared" si="281"/>
        <v>976.5</v>
      </c>
      <c r="G2202" s="97">
        <v>2957</v>
      </c>
      <c r="H2202" s="367">
        <f t="shared" si="282"/>
        <v>3933.5</v>
      </c>
      <c r="I2202" s="368">
        <f t="shared" si="286"/>
        <v>0</v>
      </c>
      <c r="J2202" s="97">
        <v>7580</v>
      </c>
      <c r="K2202" s="367">
        <f t="shared" si="287"/>
        <v>5414.2857142857147</v>
      </c>
      <c r="L2202" s="97">
        <v>0.3</v>
      </c>
      <c r="M2202" s="97">
        <v>4.8999999999999995</v>
      </c>
      <c r="N2202" s="97">
        <v>19</v>
      </c>
      <c r="O2202" s="97">
        <v>9</v>
      </c>
      <c r="P2202" s="97" t="s">
        <v>555</v>
      </c>
      <c r="Q2202" s="97" t="str">
        <f t="shared" si="283"/>
        <v/>
      </c>
      <c r="R2202" t="str">
        <f t="shared" si="284"/>
        <v/>
      </c>
    </row>
    <row r="2203" spans="3:18">
      <c r="C2203" t="str">
        <f t="shared" si="285"/>
        <v>NL</v>
      </c>
      <c r="D2203" s="36">
        <v>173</v>
      </c>
      <c r="E2203">
        <v>45</v>
      </c>
      <c r="F2203" s="366">
        <f t="shared" si="281"/>
        <v>976.5</v>
      </c>
      <c r="G2203" s="97">
        <v>2639</v>
      </c>
      <c r="H2203" s="367">
        <f t="shared" si="282"/>
        <v>3615.5</v>
      </c>
      <c r="I2203" s="368">
        <f t="shared" si="286"/>
        <v>0</v>
      </c>
      <c r="J2203" s="97">
        <v>6766</v>
      </c>
      <c r="K2203" s="367">
        <f t="shared" si="287"/>
        <v>4832.8571428571431</v>
      </c>
      <c r="L2203" s="97">
        <v>0.21000000000000002</v>
      </c>
      <c r="M2203" s="97">
        <v>4.8999999999999995</v>
      </c>
      <c r="N2203" s="97">
        <v>21</v>
      </c>
      <c r="O2203" s="97">
        <v>9</v>
      </c>
      <c r="P2203" s="97" t="s">
        <v>514</v>
      </c>
      <c r="Q2203" s="97" t="str">
        <f t="shared" si="283"/>
        <v/>
      </c>
      <c r="R2203" t="str">
        <f t="shared" si="284"/>
        <v/>
      </c>
    </row>
    <row r="2204" spans="3:18">
      <c r="C2204" t="str">
        <f t="shared" si="285"/>
        <v/>
      </c>
      <c r="D2204" s="36">
        <v>174</v>
      </c>
      <c r="E2204">
        <v>45</v>
      </c>
      <c r="F2204" s="366">
        <f t="shared" si="281"/>
        <v>976.5</v>
      </c>
      <c r="G2204" s="97">
        <v>4646</v>
      </c>
      <c r="H2204" s="367">
        <f t="shared" si="282"/>
        <v>5622.5</v>
      </c>
      <c r="I2204" s="368">
        <f t="shared" si="286"/>
        <v>0</v>
      </c>
      <c r="J2204" s="97">
        <v>11911</v>
      </c>
      <c r="K2204" s="367">
        <f t="shared" si="287"/>
        <v>8507.8571428571431</v>
      </c>
      <c r="L2204" s="97">
        <v>1.02</v>
      </c>
      <c r="M2204" s="97">
        <v>5.3999999999999995</v>
      </c>
      <c r="N2204" s="97">
        <v>24</v>
      </c>
      <c r="O2204" s="97">
        <v>10</v>
      </c>
      <c r="P2204" s="97" t="s">
        <v>512</v>
      </c>
      <c r="Q2204" s="97" t="str">
        <f t="shared" si="283"/>
        <v/>
      </c>
      <c r="R2204" t="str">
        <f t="shared" si="284"/>
        <v/>
      </c>
    </row>
    <row r="2205" spans="3:18">
      <c r="C2205" t="str">
        <f t="shared" si="285"/>
        <v/>
      </c>
      <c r="D2205" s="36">
        <v>175</v>
      </c>
      <c r="E2205">
        <v>45</v>
      </c>
      <c r="F2205" s="366">
        <f t="shared" si="281"/>
        <v>976.5</v>
      </c>
      <c r="G2205" s="97">
        <v>3882</v>
      </c>
      <c r="H2205" s="367">
        <f t="shared" si="282"/>
        <v>4858.5</v>
      </c>
      <c r="I2205" s="368">
        <f t="shared" si="286"/>
        <v>0</v>
      </c>
      <c r="J2205" s="97">
        <v>9952</v>
      </c>
      <c r="K2205" s="367">
        <f t="shared" si="287"/>
        <v>7108.5714285714284</v>
      </c>
      <c r="L2205" s="97">
        <v>0.52</v>
      </c>
      <c r="M2205" s="97">
        <v>5.3999999999999995</v>
      </c>
      <c r="N2205" s="97">
        <v>23</v>
      </c>
      <c r="O2205" s="97">
        <v>10</v>
      </c>
      <c r="P2205" s="97" t="s">
        <v>513</v>
      </c>
      <c r="Q2205" s="97" t="str">
        <f t="shared" si="283"/>
        <v/>
      </c>
      <c r="R2205" t="str">
        <f t="shared" si="284"/>
        <v/>
      </c>
    </row>
    <row r="2206" spans="3:18">
      <c r="C2206" t="str">
        <f t="shared" si="285"/>
        <v/>
      </c>
      <c r="D2206" s="36">
        <v>176</v>
      </c>
      <c r="E2206">
        <v>45</v>
      </c>
      <c r="F2206" s="366">
        <f t="shared" si="281"/>
        <v>976.5</v>
      </c>
      <c r="G2206" s="97">
        <v>3026</v>
      </c>
      <c r="H2206" s="367">
        <f t="shared" si="282"/>
        <v>4002.5</v>
      </c>
      <c r="I2206" s="368">
        <f t="shared" si="286"/>
        <v>0</v>
      </c>
      <c r="J2206" s="97">
        <v>7758</v>
      </c>
      <c r="K2206" s="367">
        <f t="shared" si="287"/>
        <v>5541.4285714285716</v>
      </c>
      <c r="L2206" s="97">
        <v>0.24000000000000002</v>
      </c>
      <c r="M2206" s="97">
        <v>5.3999999999999995</v>
      </c>
      <c r="N2206" s="97">
        <v>18</v>
      </c>
      <c r="O2206" s="97">
        <v>10</v>
      </c>
      <c r="P2206" s="97" t="s">
        <v>555</v>
      </c>
      <c r="Q2206" s="97" t="str">
        <f t="shared" si="283"/>
        <v/>
      </c>
      <c r="R2206" t="str">
        <f t="shared" si="284"/>
        <v/>
      </c>
    </row>
    <row r="2207" spans="3:18">
      <c r="C2207" t="str">
        <f t="shared" si="285"/>
        <v/>
      </c>
      <c r="D2207" s="36">
        <v>177</v>
      </c>
      <c r="E2207">
        <v>45</v>
      </c>
      <c r="F2207" s="366">
        <f t="shared" si="281"/>
        <v>976.5</v>
      </c>
      <c r="G2207" s="97">
        <v>2656</v>
      </c>
      <c r="H2207" s="367">
        <f t="shared" si="282"/>
        <v>3632.5</v>
      </c>
      <c r="I2207" s="368">
        <f t="shared" si="286"/>
        <v>0</v>
      </c>
      <c r="J2207" s="97">
        <v>6810</v>
      </c>
      <c r="K2207" s="367">
        <f t="shared" si="287"/>
        <v>4864.2857142857147</v>
      </c>
      <c r="L2207" s="97">
        <v>0.17</v>
      </c>
      <c r="M2207" s="97">
        <v>5.3999999999999995</v>
      </c>
      <c r="N2207" s="97">
        <v>20</v>
      </c>
      <c r="O2207" s="97">
        <v>10</v>
      </c>
      <c r="P2207" s="97" t="s">
        <v>514</v>
      </c>
      <c r="Q2207" s="97" t="str">
        <f t="shared" si="283"/>
        <v/>
      </c>
      <c r="R2207" t="str">
        <f t="shared" si="284"/>
        <v/>
      </c>
    </row>
    <row r="2208" spans="3:18">
      <c r="C2208" t="str">
        <f t="shared" si="285"/>
        <v>NL</v>
      </c>
      <c r="D2208" s="36">
        <v>178</v>
      </c>
      <c r="E2208">
        <v>50</v>
      </c>
      <c r="F2208" s="366">
        <f t="shared" si="281"/>
        <v>1085</v>
      </c>
      <c r="G2208" s="97">
        <v>1967</v>
      </c>
      <c r="H2208" s="367">
        <f t="shared" si="282"/>
        <v>3052</v>
      </c>
      <c r="I2208" s="368">
        <f t="shared" si="286"/>
        <v>0</v>
      </c>
      <c r="J2208" s="97">
        <v>5043</v>
      </c>
      <c r="K2208" s="367">
        <f t="shared" si="287"/>
        <v>3602.1428571428573</v>
      </c>
      <c r="L2208" s="97">
        <v>1</v>
      </c>
      <c r="M2208" s="97">
        <v>1.8</v>
      </c>
      <c r="N2208" s="97">
        <v>24</v>
      </c>
      <c r="O2208" s="97">
        <v>3</v>
      </c>
      <c r="P2208" s="97" t="s">
        <v>556</v>
      </c>
      <c r="Q2208" s="97" t="str">
        <f t="shared" si="283"/>
        <v/>
      </c>
      <c r="R2208" t="str">
        <f t="shared" si="284"/>
        <v/>
      </c>
    </row>
    <row r="2209" spans="3:18">
      <c r="C2209" t="str">
        <f t="shared" si="285"/>
        <v>NL</v>
      </c>
      <c r="D2209" s="36">
        <v>179</v>
      </c>
      <c r="E2209">
        <v>50</v>
      </c>
      <c r="F2209" s="366">
        <f t="shared" si="281"/>
        <v>1085</v>
      </c>
      <c r="G2209" s="97">
        <v>1570</v>
      </c>
      <c r="H2209" s="367">
        <f t="shared" si="282"/>
        <v>2655</v>
      </c>
      <c r="I2209" s="368">
        <f t="shared" si="286"/>
        <v>0</v>
      </c>
      <c r="J2209" s="97">
        <v>4025</v>
      </c>
      <c r="K2209" s="367">
        <f t="shared" si="287"/>
        <v>2875</v>
      </c>
      <c r="L2209" s="97">
        <v>0.59</v>
      </c>
      <c r="M2209" s="97">
        <v>1.8</v>
      </c>
      <c r="N2209" s="97">
        <v>22</v>
      </c>
      <c r="O2209" s="97">
        <v>3</v>
      </c>
      <c r="P2209" s="97" t="s">
        <v>515</v>
      </c>
      <c r="Q2209" s="97" t="str">
        <f t="shared" si="283"/>
        <v/>
      </c>
      <c r="R2209" t="str">
        <f t="shared" si="284"/>
        <v/>
      </c>
    </row>
    <row r="2210" spans="3:18">
      <c r="C2210" t="str">
        <f t="shared" si="285"/>
        <v/>
      </c>
      <c r="D2210" s="36">
        <v>180</v>
      </c>
      <c r="E2210">
        <v>50</v>
      </c>
      <c r="F2210" s="366">
        <f t="shared" si="281"/>
        <v>1085</v>
      </c>
      <c r="G2210" s="97">
        <v>1834</v>
      </c>
      <c r="H2210" s="367">
        <f t="shared" si="282"/>
        <v>2919</v>
      </c>
      <c r="I2210" s="368">
        <f t="shared" si="286"/>
        <v>0</v>
      </c>
      <c r="J2210" s="97">
        <v>4701</v>
      </c>
      <c r="K2210" s="367">
        <f t="shared" si="287"/>
        <v>3357.8571428571431</v>
      </c>
      <c r="L2210" s="97">
        <v>0.56000000000000005</v>
      </c>
      <c r="M2210" s="97">
        <v>2.3000000000000003</v>
      </c>
      <c r="N2210" s="97">
        <v>22</v>
      </c>
      <c r="O2210" s="97">
        <v>4</v>
      </c>
      <c r="P2210" s="97" t="s">
        <v>556</v>
      </c>
      <c r="Q2210" s="97" t="str">
        <f t="shared" si="283"/>
        <v/>
      </c>
      <c r="R2210" t="str">
        <f t="shared" si="284"/>
        <v/>
      </c>
    </row>
    <row r="2211" spans="3:18">
      <c r="C2211" t="str">
        <f t="shared" si="285"/>
        <v/>
      </c>
      <c r="D2211" s="36">
        <v>181</v>
      </c>
      <c r="E2211">
        <v>50</v>
      </c>
      <c r="F2211" s="366">
        <f t="shared" si="281"/>
        <v>1085</v>
      </c>
      <c r="G2211" s="97">
        <v>1653</v>
      </c>
      <c r="H2211" s="367">
        <f t="shared" si="282"/>
        <v>2738</v>
      </c>
      <c r="I2211" s="368">
        <f t="shared" si="286"/>
        <v>0</v>
      </c>
      <c r="J2211" s="97">
        <v>4237</v>
      </c>
      <c r="K2211" s="367">
        <f t="shared" si="287"/>
        <v>3026.4285714285716</v>
      </c>
      <c r="L2211" s="97">
        <v>0.34</v>
      </c>
      <c r="M2211" s="97">
        <v>2.3000000000000003</v>
      </c>
      <c r="N2211" s="97">
        <v>19</v>
      </c>
      <c r="O2211" s="97">
        <v>4</v>
      </c>
      <c r="P2211" s="97" t="s">
        <v>515</v>
      </c>
      <c r="Q2211" s="97" t="str">
        <f t="shared" si="283"/>
        <v/>
      </c>
      <c r="R2211" t="str">
        <f t="shared" si="284"/>
        <v/>
      </c>
    </row>
    <row r="2212" spans="3:18">
      <c r="C2212" t="str">
        <f t="shared" si="285"/>
        <v>NL</v>
      </c>
      <c r="D2212" s="36">
        <v>182</v>
      </c>
      <c r="E2212">
        <v>50</v>
      </c>
      <c r="F2212" s="366">
        <f t="shared" si="281"/>
        <v>1085</v>
      </c>
      <c r="G2212" s="97">
        <v>2360</v>
      </c>
      <c r="H2212" s="367">
        <f t="shared" si="282"/>
        <v>3445</v>
      </c>
      <c r="I2212" s="368">
        <f t="shared" si="286"/>
        <v>0</v>
      </c>
      <c r="J2212" s="97">
        <v>6049</v>
      </c>
      <c r="K2212" s="367">
        <f t="shared" si="287"/>
        <v>4320.7142857142862</v>
      </c>
      <c r="L2212" s="97">
        <v>0.76</v>
      </c>
      <c r="M2212" s="97">
        <v>2.8000000000000003</v>
      </c>
      <c r="N2212" s="97">
        <v>26</v>
      </c>
      <c r="O2212" s="97">
        <v>5</v>
      </c>
      <c r="P2212" s="97" t="s">
        <v>514</v>
      </c>
      <c r="Q2212" s="97" t="str">
        <f t="shared" si="283"/>
        <v/>
      </c>
      <c r="R2212" t="str">
        <f t="shared" si="284"/>
        <v/>
      </c>
    </row>
    <row r="2213" spans="3:18">
      <c r="C2213" t="str">
        <f t="shared" si="285"/>
        <v>NL</v>
      </c>
      <c r="D2213" s="36">
        <v>183</v>
      </c>
      <c r="E2213">
        <v>50</v>
      </c>
      <c r="F2213" s="366">
        <f t="shared" si="281"/>
        <v>1085</v>
      </c>
      <c r="G2213" s="97">
        <v>1981</v>
      </c>
      <c r="H2213" s="367">
        <f t="shared" si="282"/>
        <v>3066</v>
      </c>
      <c r="I2213" s="368">
        <f t="shared" si="286"/>
        <v>0</v>
      </c>
      <c r="J2213" s="97">
        <v>5080</v>
      </c>
      <c r="K2213" s="367">
        <f t="shared" si="287"/>
        <v>3628.5714285714284</v>
      </c>
      <c r="L2213" s="97">
        <v>0.37</v>
      </c>
      <c r="M2213" s="97">
        <v>2.8000000000000003</v>
      </c>
      <c r="N2213" s="97">
        <v>21</v>
      </c>
      <c r="O2213" s="97">
        <v>5</v>
      </c>
      <c r="P2213" s="97" t="s">
        <v>556</v>
      </c>
      <c r="Q2213" s="97" t="str">
        <f t="shared" si="283"/>
        <v/>
      </c>
      <c r="R2213" t="str">
        <f t="shared" si="284"/>
        <v/>
      </c>
    </row>
    <row r="2214" spans="3:18">
      <c r="C2214" t="str">
        <f t="shared" si="285"/>
        <v>NL</v>
      </c>
      <c r="D2214" s="36">
        <v>184</v>
      </c>
      <c r="E2214">
        <v>50</v>
      </c>
      <c r="F2214" s="366">
        <f t="shared" si="281"/>
        <v>1085</v>
      </c>
      <c r="G2214" s="97">
        <v>1690</v>
      </c>
      <c r="H2214" s="367">
        <f t="shared" si="282"/>
        <v>2775</v>
      </c>
      <c r="I2214" s="368">
        <f t="shared" si="286"/>
        <v>0</v>
      </c>
      <c r="J2214" s="97">
        <v>4333</v>
      </c>
      <c r="K2214" s="367">
        <f t="shared" si="287"/>
        <v>3095</v>
      </c>
      <c r="L2214" s="97">
        <v>0.23</v>
      </c>
      <c r="M2214" s="97">
        <v>2.8000000000000003</v>
      </c>
      <c r="N2214" s="97">
        <v>19</v>
      </c>
      <c r="O2214" s="97">
        <v>5</v>
      </c>
      <c r="P2214" s="97" t="s">
        <v>515</v>
      </c>
      <c r="Q2214" s="97" t="str">
        <f t="shared" si="283"/>
        <v/>
      </c>
      <c r="R2214" t="str">
        <f t="shared" si="284"/>
        <v/>
      </c>
    </row>
    <row r="2215" spans="3:18">
      <c r="C2215" t="str">
        <f t="shared" si="285"/>
        <v/>
      </c>
      <c r="D2215" s="36">
        <v>185</v>
      </c>
      <c r="E2215">
        <v>50</v>
      </c>
      <c r="F2215" s="366">
        <f t="shared" si="281"/>
        <v>1085</v>
      </c>
      <c r="G2215" s="97">
        <v>2661</v>
      </c>
      <c r="H2215" s="367">
        <f t="shared" si="282"/>
        <v>3746</v>
      </c>
      <c r="I2215" s="368">
        <f t="shared" si="286"/>
        <v>0</v>
      </c>
      <c r="J2215" s="97">
        <v>6821</v>
      </c>
      <c r="K2215" s="367">
        <f t="shared" si="287"/>
        <v>4872.1428571428569</v>
      </c>
      <c r="L2215" s="97">
        <v>0.78</v>
      </c>
      <c r="M2215" s="97">
        <v>3.4</v>
      </c>
      <c r="N2215" s="97">
        <v>23</v>
      </c>
      <c r="O2215" s="97">
        <v>6</v>
      </c>
      <c r="P2215" s="97" t="s">
        <v>555</v>
      </c>
      <c r="Q2215" s="97" t="str">
        <f t="shared" si="283"/>
        <v/>
      </c>
      <c r="R2215" t="str">
        <f t="shared" si="284"/>
        <v/>
      </c>
    </row>
    <row r="2216" spans="3:18">
      <c r="C2216" t="str">
        <f t="shared" si="285"/>
        <v/>
      </c>
      <c r="D2216" s="36">
        <v>186</v>
      </c>
      <c r="E2216">
        <v>50</v>
      </c>
      <c r="F2216" s="366">
        <f t="shared" si="281"/>
        <v>1085</v>
      </c>
      <c r="G2216" s="97">
        <v>2424</v>
      </c>
      <c r="H2216" s="367">
        <f t="shared" si="282"/>
        <v>3509</v>
      </c>
      <c r="I2216" s="368">
        <f t="shared" si="286"/>
        <v>0</v>
      </c>
      <c r="J2216" s="97">
        <v>6215</v>
      </c>
      <c r="K2216" s="367">
        <f t="shared" si="287"/>
        <v>4439.2857142857147</v>
      </c>
      <c r="L2216" s="97">
        <v>0.53</v>
      </c>
      <c r="M2216" s="97">
        <v>3.4</v>
      </c>
      <c r="N2216" s="97">
        <v>24</v>
      </c>
      <c r="O2216" s="97">
        <v>6</v>
      </c>
      <c r="P2216" s="97" t="s">
        <v>514</v>
      </c>
      <c r="Q2216" s="97">
        <f t="shared" si="283"/>
        <v>186</v>
      </c>
      <c r="R2216" t="str">
        <f t="shared" si="284"/>
        <v/>
      </c>
    </row>
    <row r="2217" spans="3:18">
      <c r="C2217" t="str">
        <f t="shared" si="285"/>
        <v/>
      </c>
      <c r="D2217" s="36">
        <v>187</v>
      </c>
      <c r="E2217">
        <v>50</v>
      </c>
      <c r="F2217" s="366">
        <f t="shared" si="281"/>
        <v>1085</v>
      </c>
      <c r="G2217" s="97">
        <v>1991</v>
      </c>
      <c r="H2217" s="367">
        <f t="shared" si="282"/>
        <v>3076</v>
      </c>
      <c r="I2217" s="368">
        <f t="shared" si="286"/>
        <v>0</v>
      </c>
      <c r="J2217" s="97">
        <v>5105</v>
      </c>
      <c r="K2217" s="367">
        <f t="shared" si="287"/>
        <v>3646.4285714285716</v>
      </c>
      <c r="L2217" s="97">
        <v>0.26</v>
      </c>
      <c r="M2217" s="97">
        <v>3.4</v>
      </c>
      <c r="N2217" s="97">
        <v>19</v>
      </c>
      <c r="O2217" s="97">
        <v>6</v>
      </c>
      <c r="P2217" s="97" t="s">
        <v>556</v>
      </c>
      <c r="Q2217" s="97">
        <f t="shared" si="283"/>
        <v>187</v>
      </c>
      <c r="R2217" t="str">
        <f t="shared" si="284"/>
        <v/>
      </c>
    </row>
    <row r="2218" spans="3:18">
      <c r="C2218" t="str">
        <f t="shared" si="285"/>
        <v>NL</v>
      </c>
      <c r="D2218" s="36">
        <v>188</v>
      </c>
      <c r="E2218">
        <v>50</v>
      </c>
      <c r="F2218" s="366">
        <f t="shared" si="281"/>
        <v>1085</v>
      </c>
      <c r="G2218" s="97">
        <v>2809</v>
      </c>
      <c r="H2218" s="367">
        <f t="shared" si="282"/>
        <v>3894</v>
      </c>
      <c r="I2218" s="368">
        <f t="shared" si="286"/>
        <v>0</v>
      </c>
      <c r="J2218" s="97">
        <v>7200</v>
      </c>
      <c r="K2218" s="367">
        <f t="shared" si="287"/>
        <v>5142.8571428571431</v>
      </c>
      <c r="L2218" s="97">
        <v>0.57999999999999996</v>
      </c>
      <c r="M2218" s="97">
        <v>3.9</v>
      </c>
      <c r="N2218" s="97">
        <v>22</v>
      </c>
      <c r="O2218" s="97">
        <v>7</v>
      </c>
      <c r="P2218" s="97" t="s">
        <v>555</v>
      </c>
      <c r="Q2218" s="97" t="str">
        <f t="shared" si="283"/>
        <v/>
      </c>
      <c r="R2218" t="str">
        <f t="shared" si="284"/>
        <v/>
      </c>
    </row>
    <row r="2219" spans="3:18">
      <c r="C2219" t="str">
        <f t="shared" si="285"/>
        <v>NL</v>
      </c>
      <c r="D2219" s="36">
        <v>189</v>
      </c>
      <c r="E2219">
        <v>50</v>
      </c>
      <c r="F2219" s="366">
        <f t="shared" si="281"/>
        <v>1085</v>
      </c>
      <c r="G2219" s="97">
        <v>2552</v>
      </c>
      <c r="H2219" s="367">
        <f t="shared" si="282"/>
        <v>3637</v>
      </c>
      <c r="I2219" s="368">
        <f t="shared" si="286"/>
        <v>0</v>
      </c>
      <c r="J2219" s="97">
        <v>6542</v>
      </c>
      <c r="K2219" s="367">
        <f t="shared" si="287"/>
        <v>4672.8571428571431</v>
      </c>
      <c r="L2219" s="97">
        <v>0.39</v>
      </c>
      <c r="M2219" s="97">
        <v>3.9</v>
      </c>
      <c r="N2219" s="97">
        <v>23</v>
      </c>
      <c r="O2219" s="97">
        <v>7</v>
      </c>
      <c r="P2219" s="97" t="s">
        <v>514</v>
      </c>
      <c r="Q2219" s="97" t="str">
        <f t="shared" si="283"/>
        <v/>
      </c>
      <c r="R2219" t="str">
        <f t="shared" si="284"/>
        <v/>
      </c>
    </row>
    <row r="2220" spans="3:18">
      <c r="C2220" t="str">
        <f t="shared" si="285"/>
        <v>NL</v>
      </c>
      <c r="D2220" s="36">
        <v>190</v>
      </c>
      <c r="E2220">
        <v>50</v>
      </c>
      <c r="F2220" s="366">
        <f t="shared" si="281"/>
        <v>1085</v>
      </c>
      <c r="G2220" s="97">
        <v>2242</v>
      </c>
      <c r="H2220" s="367">
        <f t="shared" si="282"/>
        <v>3327</v>
      </c>
      <c r="I2220" s="368">
        <f t="shared" si="286"/>
        <v>0</v>
      </c>
      <c r="J2220" s="97">
        <v>5747</v>
      </c>
      <c r="K2220" s="367">
        <f t="shared" si="287"/>
        <v>4105</v>
      </c>
      <c r="L2220" s="97">
        <v>0.19</v>
      </c>
      <c r="M2220" s="97">
        <v>3.9</v>
      </c>
      <c r="N2220" s="97">
        <v>18</v>
      </c>
      <c r="O2220" s="97">
        <v>7</v>
      </c>
      <c r="P2220" s="97" t="s">
        <v>556</v>
      </c>
      <c r="Q2220" s="97" t="str">
        <f t="shared" si="283"/>
        <v/>
      </c>
      <c r="R2220" t="str">
        <f t="shared" si="284"/>
        <v/>
      </c>
    </row>
    <row r="2221" spans="3:18">
      <c r="C2221" t="str">
        <f t="shared" si="285"/>
        <v/>
      </c>
      <c r="D2221" s="36">
        <v>191</v>
      </c>
      <c r="E2221">
        <v>50</v>
      </c>
      <c r="F2221" s="366">
        <f t="shared" si="281"/>
        <v>1085</v>
      </c>
      <c r="G2221" s="97">
        <v>3902</v>
      </c>
      <c r="H2221" s="367">
        <f t="shared" si="282"/>
        <v>4987</v>
      </c>
      <c r="I2221" s="368">
        <f t="shared" si="286"/>
        <v>0</v>
      </c>
      <c r="J2221" s="97">
        <v>10004</v>
      </c>
      <c r="K2221" s="367">
        <f t="shared" si="287"/>
        <v>7145.7142857142862</v>
      </c>
      <c r="L2221" s="97">
        <v>0.98</v>
      </c>
      <c r="M2221" s="97">
        <v>4.3999999999999995</v>
      </c>
      <c r="N2221" s="97">
        <v>26</v>
      </c>
      <c r="O2221" s="97">
        <v>8</v>
      </c>
      <c r="P2221" s="97" t="s">
        <v>513</v>
      </c>
      <c r="Q2221" s="97" t="str">
        <f t="shared" si="283"/>
        <v/>
      </c>
      <c r="R2221" t="str">
        <f t="shared" si="284"/>
        <v/>
      </c>
    </row>
    <row r="2222" spans="3:18">
      <c r="C2222" t="str">
        <f t="shared" si="285"/>
        <v/>
      </c>
      <c r="D2222" s="36">
        <v>192</v>
      </c>
      <c r="E2222">
        <v>50</v>
      </c>
      <c r="F2222" s="366">
        <f t="shared" si="281"/>
        <v>1085</v>
      </c>
      <c r="G2222" s="97">
        <v>3116</v>
      </c>
      <c r="H2222" s="367">
        <f t="shared" si="282"/>
        <v>4201</v>
      </c>
      <c r="I2222" s="368">
        <f t="shared" si="286"/>
        <v>0</v>
      </c>
      <c r="J2222" s="97">
        <v>7988</v>
      </c>
      <c r="K2222" s="367">
        <f t="shared" si="287"/>
        <v>5705.7142857142862</v>
      </c>
      <c r="L2222" s="97">
        <v>0.46</v>
      </c>
      <c r="M2222" s="97">
        <v>4.3999999999999995</v>
      </c>
      <c r="N2222" s="97">
        <v>21</v>
      </c>
      <c r="O2222" s="97">
        <v>8</v>
      </c>
      <c r="P2222" s="97" t="s">
        <v>555</v>
      </c>
      <c r="Q2222" s="97">
        <f t="shared" si="283"/>
        <v>192</v>
      </c>
      <c r="R2222" t="str">
        <f t="shared" si="284"/>
        <v/>
      </c>
    </row>
    <row r="2223" spans="3:18">
      <c r="C2223" t="str">
        <f t="shared" si="285"/>
        <v/>
      </c>
      <c r="D2223" s="36">
        <v>193</v>
      </c>
      <c r="E2223">
        <v>50</v>
      </c>
      <c r="F2223" s="366">
        <f t="shared" ref="F2223:F2286" si="288">1.085*($A$2-$B$2)*E2223*$T$7</f>
        <v>1085</v>
      </c>
      <c r="G2223" s="97">
        <v>2770</v>
      </c>
      <c r="H2223" s="367">
        <f t="shared" ref="H2223:H2286" si="289">(G2223*$U$7)+F2223</f>
        <v>3855</v>
      </c>
      <c r="I2223" s="368">
        <f t="shared" si="286"/>
        <v>0</v>
      </c>
      <c r="J2223" s="97">
        <v>7101</v>
      </c>
      <c r="K2223" s="367">
        <f t="shared" si="287"/>
        <v>5072.1428571428569</v>
      </c>
      <c r="L2223" s="97">
        <v>0.31</v>
      </c>
      <c r="M2223" s="97">
        <v>4.3999999999999995</v>
      </c>
      <c r="N2223" s="97">
        <v>23</v>
      </c>
      <c r="O2223" s="97">
        <v>8</v>
      </c>
      <c r="P2223" s="97" t="s">
        <v>514</v>
      </c>
      <c r="Q2223" s="97">
        <f t="shared" ref="Q2223:Q2286" si="290">IF(AND(H2223+1&gt;$E$4,L2223&lt;$L$4+0.01,M2223&lt;$M$4+0.01,K2223+1&gt;$F$4,E2223+1&gt;$J$4,N2223&lt;$K$4+1,O2223&lt;$P$4+1,C2223=""),D2223,"")</f>
        <v>193</v>
      </c>
      <c r="R2223" t="str">
        <f t="shared" ref="R2223:R2286" si="291">IF(Q2223="","",IF(AND(O2223&lt;$X$17,E2223&gt;$U$17,E2223&lt;$Q$4+$U$17+1),D2223,""))</f>
        <v/>
      </c>
    </row>
    <row r="2224" spans="3:18">
      <c r="C2224" t="str">
        <f t="shared" si="285"/>
        <v>NL</v>
      </c>
      <c r="D2224" s="36">
        <v>194</v>
      </c>
      <c r="E2224">
        <v>50</v>
      </c>
      <c r="F2224" s="366">
        <f t="shared" si="288"/>
        <v>1085</v>
      </c>
      <c r="G2224" s="97">
        <v>4082</v>
      </c>
      <c r="H2224" s="367">
        <f t="shared" si="289"/>
        <v>5167</v>
      </c>
      <c r="I2224" s="368">
        <f t="shared" si="286"/>
        <v>0</v>
      </c>
      <c r="J2224" s="97">
        <v>10463</v>
      </c>
      <c r="K2224" s="367">
        <f t="shared" si="287"/>
        <v>7473.5714285714284</v>
      </c>
      <c r="L2224" s="97">
        <v>0.78</v>
      </c>
      <c r="M2224" s="97">
        <v>4.8999999999999995</v>
      </c>
      <c r="N2224" s="97">
        <v>25</v>
      </c>
      <c r="O2224" s="97">
        <v>9</v>
      </c>
      <c r="P2224" s="97" t="s">
        <v>513</v>
      </c>
      <c r="Q2224" s="97" t="str">
        <f t="shared" si="290"/>
        <v/>
      </c>
      <c r="R2224" t="str">
        <f t="shared" si="291"/>
        <v/>
      </c>
    </row>
    <row r="2225" spans="3:18">
      <c r="C2225" t="str">
        <f t="shared" si="285"/>
        <v>NL</v>
      </c>
      <c r="D2225" s="36">
        <v>195</v>
      </c>
      <c r="E2225">
        <v>50</v>
      </c>
      <c r="F2225" s="366">
        <f t="shared" si="288"/>
        <v>1085</v>
      </c>
      <c r="G2225" s="97">
        <v>3180</v>
      </c>
      <c r="H2225" s="367">
        <f t="shared" si="289"/>
        <v>4265</v>
      </c>
      <c r="I2225" s="368">
        <f t="shared" si="286"/>
        <v>0</v>
      </c>
      <c r="J2225" s="97">
        <v>8153</v>
      </c>
      <c r="K2225" s="367">
        <f t="shared" si="287"/>
        <v>5823.5714285714284</v>
      </c>
      <c r="L2225" s="97">
        <v>0.36</v>
      </c>
      <c r="M2225" s="97">
        <v>4.8999999999999995</v>
      </c>
      <c r="N2225" s="97">
        <v>20</v>
      </c>
      <c r="O2225" s="97">
        <v>9</v>
      </c>
      <c r="P2225" s="97" t="s">
        <v>555</v>
      </c>
      <c r="Q2225" s="97" t="str">
        <f t="shared" si="290"/>
        <v/>
      </c>
      <c r="R2225" t="str">
        <f t="shared" si="291"/>
        <v/>
      </c>
    </row>
    <row r="2226" spans="3:18">
      <c r="C2226" t="str">
        <f t="shared" si="285"/>
        <v>NL</v>
      </c>
      <c r="D2226" s="36">
        <v>196</v>
      </c>
      <c r="E2226">
        <v>50</v>
      </c>
      <c r="F2226" s="366">
        <f t="shared" si="288"/>
        <v>1085</v>
      </c>
      <c r="G2226" s="97">
        <v>2834</v>
      </c>
      <c r="H2226" s="367">
        <f t="shared" si="289"/>
        <v>3919</v>
      </c>
      <c r="I2226" s="368">
        <f t="shared" si="286"/>
        <v>0</v>
      </c>
      <c r="J2226" s="97">
        <v>7265</v>
      </c>
      <c r="K2226" s="367">
        <f t="shared" si="287"/>
        <v>5189.2857142857147</v>
      </c>
      <c r="L2226" s="97">
        <v>0.25</v>
      </c>
      <c r="M2226" s="97">
        <v>4.8999999999999995</v>
      </c>
      <c r="N2226" s="97">
        <v>22</v>
      </c>
      <c r="O2226" s="97">
        <v>9</v>
      </c>
      <c r="P2226" s="97" t="s">
        <v>514</v>
      </c>
      <c r="Q2226" s="97" t="str">
        <f t="shared" si="290"/>
        <v/>
      </c>
      <c r="R2226" t="str">
        <f t="shared" si="291"/>
        <v/>
      </c>
    </row>
    <row r="2227" spans="3:18">
      <c r="C2227" t="str">
        <f t="shared" si="285"/>
        <v/>
      </c>
      <c r="D2227" s="36">
        <v>197</v>
      </c>
      <c r="E2227">
        <v>50</v>
      </c>
      <c r="F2227" s="366">
        <f t="shared" si="288"/>
        <v>1085</v>
      </c>
      <c r="G2227" s="97">
        <v>4170</v>
      </c>
      <c r="H2227" s="367">
        <f t="shared" si="289"/>
        <v>5255</v>
      </c>
      <c r="I2227" s="368">
        <f t="shared" si="286"/>
        <v>0</v>
      </c>
      <c r="J2227" s="97">
        <v>10689</v>
      </c>
      <c r="K2227" s="367">
        <f t="shared" si="287"/>
        <v>7635</v>
      </c>
      <c r="L2227" s="97">
        <v>0.64</v>
      </c>
      <c r="M2227" s="97">
        <v>5.3999999999999995</v>
      </c>
      <c r="N2227" s="97">
        <v>25</v>
      </c>
      <c r="O2227" s="97">
        <v>10</v>
      </c>
      <c r="P2227" s="97" t="s">
        <v>513</v>
      </c>
      <c r="Q2227" s="97" t="str">
        <f t="shared" si="290"/>
        <v/>
      </c>
      <c r="R2227" t="str">
        <f t="shared" si="291"/>
        <v/>
      </c>
    </row>
    <row r="2228" spans="3:18">
      <c r="C2228" t="str">
        <f t="shared" si="285"/>
        <v/>
      </c>
      <c r="D2228" s="36">
        <v>198</v>
      </c>
      <c r="E2228">
        <v>50</v>
      </c>
      <c r="F2228" s="366">
        <f t="shared" si="288"/>
        <v>1085</v>
      </c>
      <c r="G2228" s="97">
        <v>3262</v>
      </c>
      <c r="H2228" s="367">
        <f t="shared" si="289"/>
        <v>4347</v>
      </c>
      <c r="I2228" s="368">
        <f t="shared" si="286"/>
        <v>0</v>
      </c>
      <c r="J2228" s="97">
        <v>8362</v>
      </c>
      <c r="K2228" s="367">
        <f t="shared" si="287"/>
        <v>5972.8571428571431</v>
      </c>
      <c r="L2228" s="97">
        <v>0.3</v>
      </c>
      <c r="M2228" s="97">
        <v>5.3999999999999995</v>
      </c>
      <c r="N2228" s="97">
        <v>20</v>
      </c>
      <c r="O2228" s="97">
        <v>10</v>
      </c>
      <c r="P2228" s="97" t="s">
        <v>555</v>
      </c>
      <c r="Q2228" s="97" t="str">
        <f t="shared" si="290"/>
        <v/>
      </c>
      <c r="R2228" t="str">
        <f t="shared" si="291"/>
        <v/>
      </c>
    </row>
    <row r="2229" spans="3:18">
      <c r="C2229" t="str">
        <f t="shared" si="285"/>
        <v/>
      </c>
      <c r="D2229" s="36">
        <v>199</v>
      </c>
      <c r="E2229">
        <v>50</v>
      </c>
      <c r="F2229" s="366">
        <f t="shared" si="288"/>
        <v>1085</v>
      </c>
      <c r="G2229" s="97">
        <v>2915</v>
      </c>
      <c r="H2229" s="367">
        <f t="shared" si="289"/>
        <v>4000</v>
      </c>
      <c r="I2229" s="368">
        <f t="shared" si="286"/>
        <v>0</v>
      </c>
      <c r="J2229" s="97">
        <v>7472</v>
      </c>
      <c r="K2229" s="367">
        <f t="shared" si="287"/>
        <v>5337.1428571428569</v>
      </c>
      <c r="L2229" s="97">
        <v>0.21000000000000002</v>
      </c>
      <c r="M2229" s="97">
        <v>5.3999999999999995</v>
      </c>
      <c r="N2229" s="97">
        <v>21</v>
      </c>
      <c r="O2229" s="97">
        <v>10</v>
      </c>
      <c r="P2229" s="97" t="s">
        <v>514</v>
      </c>
      <c r="Q2229" s="97" t="str">
        <f t="shared" si="290"/>
        <v/>
      </c>
      <c r="R2229" t="str">
        <f t="shared" si="291"/>
        <v/>
      </c>
    </row>
    <row r="2230" spans="3:18">
      <c r="C2230" t="str">
        <f t="shared" si="285"/>
        <v>NL</v>
      </c>
      <c r="D2230" s="36">
        <v>200</v>
      </c>
      <c r="E2230">
        <v>55</v>
      </c>
      <c r="F2230" s="366">
        <f t="shared" si="288"/>
        <v>1193.5</v>
      </c>
      <c r="G2230" s="97">
        <v>1741</v>
      </c>
      <c r="H2230" s="367">
        <f t="shared" si="289"/>
        <v>2934.5</v>
      </c>
      <c r="I2230" s="368">
        <f t="shared" si="286"/>
        <v>0</v>
      </c>
      <c r="J2230" s="97">
        <v>4464</v>
      </c>
      <c r="K2230" s="367">
        <f t="shared" si="287"/>
        <v>3188.5714285714284</v>
      </c>
      <c r="L2230" s="97">
        <v>0.72</v>
      </c>
      <c r="M2230" s="97">
        <v>1.8</v>
      </c>
      <c r="N2230" s="97">
        <v>23</v>
      </c>
      <c r="O2230" s="97">
        <v>3</v>
      </c>
      <c r="P2230" s="97" t="s">
        <v>515</v>
      </c>
      <c r="Q2230" s="97" t="str">
        <f t="shared" si="290"/>
        <v/>
      </c>
      <c r="R2230" t="str">
        <f t="shared" si="291"/>
        <v/>
      </c>
    </row>
    <row r="2231" spans="3:18">
      <c r="C2231" t="str">
        <f t="shared" si="285"/>
        <v/>
      </c>
      <c r="D2231" s="36">
        <v>201</v>
      </c>
      <c r="E2231">
        <v>55</v>
      </c>
      <c r="F2231" s="366">
        <f t="shared" si="288"/>
        <v>1193.5</v>
      </c>
      <c r="G2231" s="97">
        <v>2032</v>
      </c>
      <c r="H2231" s="367">
        <f t="shared" si="289"/>
        <v>3225.5</v>
      </c>
      <c r="I2231" s="368">
        <f t="shared" si="286"/>
        <v>0</v>
      </c>
      <c r="J2231" s="97">
        <v>5210</v>
      </c>
      <c r="K2231" s="367">
        <f t="shared" si="287"/>
        <v>3721.4285714285716</v>
      </c>
      <c r="L2231" s="97">
        <v>0.68</v>
      </c>
      <c r="M2231" s="97">
        <v>2.3000000000000003</v>
      </c>
      <c r="N2231" s="97">
        <v>23</v>
      </c>
      <c r="O2231" s="97">
        <v>4</v>
      </c>
      <c r="P2231" s="97" t="s">
        <v>556</v>
      </c>
      <c r="Q2231" s="97">
        <f t="shared" si="290"/>
        <v>201</v>
      </c>
      <c r="R2231" t="str">
        <f t="shared" si="291"/>
        <v/>
      </c>
    </row>
    <row r="2232" spans="3:18">
      <c r="C2232" t="str">
        <f t="shared" si="285"/>
        <v/>
      </c>
      <c r="D2232" s="36">
        <v>202</v>
      </c>
      <c r="E2232">
        <v>55</v>
      </c>
      <c r="F2232" s="366">
        <f t="shared" si="288"/>
        <v>1193.5</v>
      </c>
      <c r="G2232" s="97">
        <v>1766</v>
      </c>
      <c r="H2232" s="367">
        <f t="shared" si="289"/>
        <v>2959.5</v>
      </c>
      <c r="I2232" s="368">
        <f t="shared" si="286"/>
        <v>0</v>
      </c>
      <c r="J2232" s="97">
        <v>4528</v>
      </c>
      <c r="K2232" s="367">
        <f t="shared" si="287"/>
        <v>3234.2857142857142</v>
      </c>
      <c r="L2232" s="97">
        <v>0.41000000000000003</v>
      </c>
      <c r="M2232" s="97">
        <v>2.3000000000000003</v>
      </c>
      <c r="N2232" s="97">
        <v>21</v>
      </c>
      <c r="O2232" s="97">
        <v>4</v>
      </c>
      <c r="P2232" s="97" t="s">
        <v>515</v>
      </c>
      <c r="Q2232" s="97" t="str">
        <f t="shared" si="290"/>
        <v/>
      </c>
      <c r="R2232" t="str">
        <f t="shared" si="291"/>
        <v/>
      </c>
    </row>
    <row r="2233" spans="3:18">
      <c r="C2233" t="str">
        <f t="shared" si="285"/>
        <v>NL</v>
      </c>
      <c r="D2233" s="36">
        <v>203</v>
      </c>
      <c r="E2233">
        <v>55</v>
      </c>
      <c r="F2233" s="366">
        <f t="shared" si="288"/>
        <v>1193.5</v>
      </c>
      <c r="G2233" s="97">
        <v>2609</v>
      </c>
      <c r="H2233" s="367">
        <f t="shared" si="289"/>
        <v>3802.5</v>
      </c>
      <c r="I2233" s="368">
        <f t="shared" si="286"/>
        <v>0</v>
      </c>
      <c r="J2233" s="97">
        <v>6688</v>
      </c>
      <c r="K2233" s="367">
        <f t="shared" si="287"/>
        <v>4777.1428571428569</v>
      </c>
      <c r="L2233" s="97">
        <v>0.91</v>
      </c>
      <c r="M2233" s="97">
        <v>2.8000000000000003</v>
      </c>
      <c r="N2233" s="97">
        <v>27</v>
      </c>
      <c r="O2233" s="97">
        <v>5</v>
      </c>
      <c r="P2233" s="97" t="s">
        <v>514</v>
      </c>
      <c r="Q2233" s="97" t="str">
        <f t="shared" si="290"/>
        <v/>
      </c>
      <c r="R2233" t="str">
        <f t="shared" si="291"/>
        <v/>
      </c>
    </row>
    <row r="2234" spans="3:18">
      <c r="C2234" t="str">
        <f t="shared" si="285"/>
        <v>NL</v>
      </c>
      <c r="D2234" s="36">
        <v>204</v>
      </c>
      <c r="E2234">
        <v>55</v>
      </c>
      <c r="F2234" s="366">
        <f t="shared" si="288"/>
        <v>1193.5</v>
      </c>
      <c r="G2234" s="97">
        <v>2132</v>
      </c>
      <c r="H2234" s="367">
        <f t="shared" si="289"/>
        <v>3325.5</v>
      </c>
      <c r="I2234" s="368">
        <f t="shared" si="286"/>
        <v>0</v>
      </c>
      <c r="J2234" s="97">
        <v>5467</v>
      </c>
      <c r="K2234" s="367">
        <f t="shared" si="287"/>
        <v>3905</v>
      </c>
      <c r="L2234" s="97">
        <v>0.44</v>
      </c>
      <c r="M2234" s="97">
        <v>2.8000000000000003</v>
      </c>
      <c r="N2234" s="97">
        <v>22</v>
      </c>
      <c r="O2234" s="97">
        <v>5</v>
      </c>
      <c r="P2234" s="97" t="s">
        <v>556</v>
      </c>
      <c r="Q2234" s="97" t="str">
        <f t="shared" si="290"/>
        <v/>
      </c>
      <c r="R2234" t="str">
        <f t="shared" si="291"/>
        <v/>
      </c>
    </row>
    <row r="2235" spans="3:18">
      <c r="C2235" t="str">
        <f t="shared" si="285"/>
        <v>NL</v>
      </c>
      <c r="D2235" s="36">
        <v>205</v>
      </c>
      <c r="E2235">
        <v>55</v>
      </c>
      <c r="F2235" s="366">
        <f t="shared" si="288"/>
        <v>1193.5</v>
      </c>
      <c r="G2235" s="97">
        <v>1834</v>
      </c>
      <c r="H2235" s="367">
        <f t="shared" si="289"/>
        <v>3027.5</v>
      </c>
      <c r="I2235" s="368">
        <f t="shared" si="286"/>
        <v>0</v>
      </c>
      <c r="J2235" s="97">
        <v>4702</v>
      </c>
      <c r="K2235" s="367">
        <f t="shared" si="287"/>
        <v>3358.5714285714284</v>
      </c>
      <c r="L2235" s="97">
        <v>0.27</v>
      </c>
      <c r="M2235" s="97">
        <v>2.8000000000000003</v>
      </c>
      <c r="N2235" s="97">
        <v>20</v>
      </c>
      <c r="O2235" s="97">
        <v>5</v>
      </c>
      <c r="P2235" s="97" t="s">
        <v>515</v>
      </c>
      <c r="Q2235" s="97" t="str">
        <f t="shared" si="290"/>
        <v/>
      </c>
      <c r="R2235" t="str">
        <f t="shared" si="291"/>
        <v/>
      </c>
    </row>
    <row r="2236" spans="3:18">
      <c r="C2236" t="str">
        <f t="shared" si="285"/>
        <v/>
      </c>
      <c r="D2236" s="36">
        <v>206</v>
      </c>
      <c r="E2236">
        <v>55</v>
      </c>
      <c r="F2236" s="366">
        <f t="shared" si="288"/>
        <v>1193.5</v>
      </c>
      <c r="G2236" s="97">
        <v>2873</v>
      </c>
      <c r="H2236" s="367">
        <f t="shared" si="289"/>
        <v>4066.5</v>
      </c>
      <c r="I2236" s="368">
        <f t="shared" si="286"/>
        <v>0</v>
      </c>
      <c r="J2236" s="97">
        <v>7365</v>
      </c>
      <c r="K2236" s="367">
        <f t="shared" si="287"/>
        <v>5260.7142857142862</v>
      </c>
      <c r="L2236" s="97">
        <v>0.94000000000000006</v>
      </c>
      <c r="M2236" s="97">
        <v>3.4</v>
      </c>
      <c r="N2236" s="97">
        <v>24</v>
      </c>
      <c r="O2236" s="97">
        <v>6</v>
      </c>
      <c r="P2236" s="97" t="s">
        <v>555</v>
      </c>
      <c r="Q2236" s="97" t="str">
        <f t="shared" si="290"/>
        <v/>
      </c>
      <c r="R2236" t="str">
        <f t="shared" si="291"/>
        <v/>
      </c>
    </row>
    <row r="2237" spans="3:18">
      <c r="C2237" t="str">
        <f t="shared" si="285"/>
        <v/>
      </c>
      <c r="D2237" s="36">
        <v>207</v>
      </c>
      <c r="E2237">
        <v>55</v>
      </c>
      <c r="F2237" s="366">
        <f t="shared" si="288"/>
        <v>1193.5</v>
      </c>
      <c r="G2237" s="97">
        <v>2622</v>
      </c>
      <c r="H2237" s="367">
        <f t="shared" si="289"/>
        <v>3815.5</v>
      </c>
      <c r="I2237" s="368">
        <f t="shared" si="286"/>
        <v>0</v>
      </c>
      <c r="J2237" s="97">
        <v>6721</v>
      </c>
      <c r="K2237" s="367">
        <f t="shared" si="287"/>
        <v>4800.7142857142862</v>
      </c>
      <c r="L2237" s="97">
        <v>0.64</v>
      </c>
      <c r="M2237" s="97">
        <v>3.4</v>
      </c>
      <c r="N2237" s="97">
        <v>26</v>
      </c>
      <c r="O2237" s="97">
        <v>6</v>
      </c>
      <c r="P2237" s="97" t="s">
        <v>514</v>
      </c>
      <c r="Q2237" s="97">
        <f t="shared" si="290"/>
        <v>207</v>
      </c>
      <c r="R2237" t="str">
        <f t="shared" si="291"/>
        <v/>
      </c>
    </row>
    <row r="2238" spans="3:18">
      <c r="C2238" t="str">
        <f t="shared" si="285"/>
        <v/>
      </c>
      <c r="D2238" s="36">
        <v>208</v>
      </c>
      <c r="E2238">
        <v>55</v>
      </c>
      <c r="F2238" s="366">
        <f t="shared" si="288"/>
        <v>1193.5</v>
      </c>
      <c r="G2238" s="97">
        <v>2159</v>
      </c>
      <c r="H2238" s="367">
        <f t="shared" si="289"/>
        <v>3352.5</v>
      </c>
      <c r="I2238" s="368">
        <f t="shared" si="286"/>
        <v>0</v>
      </c>
      <c r="J2238" s="97">
        <v>5535</v>
      </c>
      <c r="K2238" s="367">
        <f t="shared" si="287"/>
        <v>3953.5714285714284</v>
      </c>
      <c r="L2238" s="97">
        <v>0.31</v>
      </c>
      <c r="M2238" s="97">
        <v>3.4</v>
      </c>
      <c r="N2238" s="97">
        <v>20</v>
      </c>
      <c r="O2238" s="97">
        <v>6</v>
      </c>
      <c r="P2238" s="97" t="s">
        <v>556</v>
      </c>
      <c r="Q2238" s="97">
        <f t="shared" si="290"/>
        <v>208</v>
      </c>
      <c r="R2238" t="str">
        <f t="shared" si="291"/>
        <v/>
      </c>
    </row>
    <row r="2239" spans="3:18">
      <c r="C2239" t="str">
        <f t="shared" si="285"/>
        <v/>
      </c>
      <c r="D2239" s="36">
        <v>209</v>
      </c>
      <c r="E2239">
        <v>55</v>
      </c>
      <c r="F2239" s="366">
        <f t="shared" si="288"/>
        <v>1193.5</v>
      </c>
      <c r="G2239" s="97">
        <v>1881</v>
      </c>
      <c r="H2239" s="367">
        <f t="shared" si="289"/>
        <v>3074.5</v>
      </c>
      <c r="I2239" s="368">
        <f t="shared" si="286"/>
        <v>0</v>
      </c>
      <c r="J2239" s="97">
        <v>4821</v>
      </c>
      <c r="K2239" s="367">
        <f t="shared" si="287"/>
        <v>3443.5714285714284</v>
      </c>
      <c r="L2239" s="97">
        <v>0.19</v>
      </c>
      <c r="M2239" s="97">
        <v>3.4</v>
      </c>
      <c r="N2239" s="97">
        <v>18</v>
      </c>
      <c r="O2239" s="97">
        <v>6</v>
      </c>
      <c r="P2239" s="97" t="s">
        <v>515</v>
      </c>
      <c r="Q2239" s="97">
        <f t="shared" si="290"/>
        <v>209</v>
      </c>
      <c r="R2239" t="str">
        <f t="shared" si="291"/>
        <v/>
      </c>
    </row>
    <row r="2240" spans="3:18">
      <c r="C2240" t="str">
        <f t="shared" si="285"/>
        <v>NL</v>
      </c>
      <c r="D2240" s="36">
        <v>210</v>
      </c>
      <c r="E2240">
        <v>55</v>
      </c>
      <c r="F2240" s="366">
        <f t="shared" si="288"/>
        <v>1193.5</v>
      </c>
      <c r="G2240" s="97">
        <v>2992</v>
      </c>
      <c r="H2240" s="367">
        <f t="shared" si="289"/>
        <v>4185.5</v>
      </c>
      <c r="I2240" s="368">
        <f t="shared" si="286"/>
        <v>0</v>
      </c>
      <c r="J2240" s="97">
        <v>7671</v>
      </c>
      <c r="K2240" s="367">
        <f t="shared" si="287"/>
        <v>5479.2857142857147</v>
      </c>
      <c r="L2240" s="97">
        <v>0.7</v>
      </c>
      <c r="M2240" s="97">
        <v>3.9</v>
      </c>
      <c r="N2240" s="97">
        <v>23</v>
      </c>
      <c r="O2240" s="97">
        <v>7</v>
      </c>
      <c r="P2240" s="97" t="s">
        <v>555</v>
      </c>
      <c r="Q2240" s="97" t="str">
        <f t="shared" si="290"/>
        <v/>
      </c>
      <c r="R2240" t="str">
        <f t="shared" si="291"/>
        <v/>
      </c>
    </row>
    <row r="2241" spans="3:18">
      <c r="C2241" t="str">
        <f t="shared" si="285"/>
        <v>NL</v>
      </c>
      <c r="D2241" s="36">
        <v>211</v>
      </c>
      <c r="E2241">
        <v>55</v>
      </c>
      <c r="F2241" s="366">
        <f t="shared" si="288"/>
        <v>1193.5</v>
      </c>
      <c r="G2241" s="97">
        <v>2714</v>
      </c>
      <c r="H2241" s="367">
        <f t="shared" si="289"/>
        <v>3907.5</v>
      </c>
      <c r="I2241" s="368">
        <f t="shared" si="286"/>
        <v>0</v>
      </c>
      <c r="J2241" s="97">
        <v>6959</v>
      </c>
      <c r="K2241" s="367">
        <f t="shared" si="287"/>
        <v>4970.7142857142862</v>
      </c>
      <c r="L2241" s="97">
        <v>0.48</v>
      </c>
      <c r="M2241" s="97">
        <v>3.9</v>
      </c>
      <c r="N2241" s="97">
        <v>24</v>
      </c>
      <c r="O2241" s="97">
        <v>7</v>
      </c>
      <c r="P2241" s="97" t="s">
        <v>514</v>
      </c>
      <c r="Q2241" s="97" t="str">
        <f t="shared" si="290"/>
        <v/>
      </c>
      <c r="R2241" t="str">
        <f t="shared" si="291"/>
        <v/>
      </c>
    </row>
    <row r="2242" spans="3:18">
      <c r="C2242" t="str">
        <f t="shared" si="285"/>
        <v>NL</v>
      </c>
      <c r="D2242" s="36">
        <v>212</v>
      </c>
      <c r="E2242">
        <v>55</v>
      </c>
      <c r="F2242" s="366">
        <f t="shared" si="288"/>
        <v>1193.5</v>
      </c>
      <c r="G2242" s="97">
        <v>2392</v>
      </c>
      <c r="H2242" s="367">
        <f t="shared" si="289"/>
        <v>3585.5</v>
      </c>
      <c r="I2242" s="368">
        <f t="shared" si="286"/>
        <v>0</v>
      </c>
      <c r="J2242" s="97">
        <v>6133</v>
      </c>
      <c r="K2242" s="367">
        <f t="shared" si="287"/>
        <v>4380.7142857142862</v>
      </c>
      <c r="L2242" s="97">
        <v>0.23</v>
      </c>
      <c r="M2242" s="97">
        <v>3.9</v>
      </c>
      <c r="N2242" s="97">
        <v>19</v>
      </c>
      <c r="O2242" s="97">
        <v>7</v>
      </c>
      <c r="P2242" s="97" t="s">
        <v>556</v>
      </c>
      <c r="Q2242" s="97" t="str">
        <f t="shared" si="290"/>
        <v/>
      </c>
      <c r="R2242" t="str">
        <f t="shared" si="291"/>
        <v/>
      </c>
    </row>
    <row r="2243" spans="3:18">
      <c r="C2243" t="str">
        <f t="shared" si="285"/>
        <v/>
      </c>
      <c r="D2243" s="36">
        <v>213</v>
      </c>
      <c r="E2243">
        <v>55</v>
      </c>
      <c r="F2243" s="366">
        <f t="shared" si="288"/>
        <v>1193.5</v>
      </c>
      <c r="G2243" s="97">
        <v>3267</v>
      </c>
      <c r="H2243" s="367">
        <f t="shared" si="289"/>
        <v>4460.5</v>
      </c>
      <c r="I2243" s="368">
        <f t="shared" si="286"/>
        <v>0</v>
      </c>
      <c r="J2243" s="97">
        <v>8375</v>
      </c>
      <c r="K2243" s="367">
        <f t="shared" si="287"/>
        <v>5982.1428571428569</v>
      </c>
      <c r="L2243" s="97">
        <v>0.55000000000000004</v>
      </c>
      <c r="M2243" s="97">
        <v>4.3999999999999995</v>
      </c>
      <c r="N2243" s="97">
        <v>23</v>
      </c>
      <c r="O2243" s="97">
        <v>8</v>
      </c>
      <c r="P2243" s="97" t="s">
        <v>555</v>
      </c>
      <c r="Q2243" s="97">
        <f t="shared" si="290"/>
        <v>213</v>
      </c>
      <c r="R2243" t="str">
        <f t="shared" si="291"/>
        <v/>
      </c>
    </row>
    <row r="2244" spans="3:18">
      <c r="C2244" t="str">
        <f t="shared" si="285"/>
        <v/>
      </c>
      <c r="D2244" s="36">
        <v>214</v>
      </c>
      <c r="E2244">
        <v>55</v>
      </c>
      <c r="F2244" s="366">
        <f t="shared" si="288"/>
        <v>1193.5</v>
      </c>
      <c r="G2244" s="97">
        <v>2965</v>
      </c>
      <c r="H2244" s="367">
        <f t="shared" si="289"/>
        <v>4158.5</v>
      </c>
      <c r="I2244" s="368">
        <f t="shared" si="286"/>
        <v>0</v>
      </c>
      <c r="J2244" s="97">
        <v>7600</v>
      </c>
      <c r="K2244" s="367">
        <f t="shared" si="287"/>
        <v>5428.5714285714284</v>
      </c>
      <c r="L2244" s="97">
        <v>0.38</v>
      </c>
      <c r="M2244" s="97">
        <v>4.3999999999999995</v>
      </c>
      <c r="N2244" s="97">
        <v>24</v>
      </c>
      <c r="O2244" s="97">
        <v>8</v>
      </c>
      <c r="P2244" s="97" t="s">
        <v>514</v>
      </c>
      <c r="Q2244" s="97">
        <f t="shared" si="290"/>
        <v>214</v>
      </c>
      <c r="R2244" t="str">
        <f t="shared" si="291"/>
        <v/>
      </c>
    </row>
    <row r="2245" spans="3:18">
      <c r="C2245" t="str">
        <f t="shared" si="285"/>
        <v/>
      </c>
      <c r="D2245" s="36">
        <v>215</v>
      </c>
      <c r="E2245">
        <v>55</v>
      </c>
      <c r="F2245" s="366">
        <f t="shared" si="288"/>
        <v>1193.5</v>
      </c>
      <c r="G2245" s="97">
        <v>2553</v>
      </c>
      <c r="H2245" s="367">
        <f t="shared" si="289"/>
        <v>3746.5</v>
      </c>
      <c r="I2245" s="368">
        <f t="shared" si="286"/>
        <v>0</v>
      </c>
      <c r="J2245" s="97">
        <v>6546</v>
      </c>
      <c r="K2245" s="367">
        <f t="shared" si="287"/>
        <v>4675.7142857142862</v>
      </c>
      <c r="L2245" s="97">
        <v>0.18000000000000002</v>
      </c>
      <c r="M2245" s="97">
        <v>4.3999999999999995</v>
      </c>
      <c r="N2245" s="97">
        <v>18</v>
      </c>
      <c r="O2245" s="97">
        <v>8</v>
      </c>
      <c r="P2245" s="97" t="s">
        <v>556</v>
      </c>
      <c r="Q2245" s="97">
        <f t="shared" si="290"/>
        <v>215</v>
      </c>
      <c r="R2245" t="str">
        <f t="shared" si="291"/>
        <v/>
      </c>
    </row>
    <row r="2246" spans="3:18">
      <c r="C2246" t="str">
        <f t="shared" si="285"/>
        <v>NL</v>
      </c>
      <c r="D2246" s="36">
        <v>216</v>
      </c>
      <c r="E2246">
        <v>55</v>
      </c>
      <c r="F2246" s="366">
        <f t="shared" si="288"/>
        <v>1193.5</v>
      </c>
      <c r="G2246" s="97">
        <v>4284</v>
      </c>
      <c r="H2246" s="367">
        <f t="shared" si="289"/>
        <v>5477.5</v>
      </c>
      <c r="I2246" s="368">
        <f t="shared" si="286"/>
        <v>0</v>
      </c>
      <c r="J2246" s="97">
        <v>10982</v>
      </c>
      <c r="K2246" s="367">
        <f t="shared" si="287"/>
        <v>7844.2857142857147</v>
      </c>
      <c r="L2246" s="97">
        <v>0.94000000000000006</v>
      </c>
      <c r="M2246" s="97">
        <v>4.8999999999999995</v>
      </c>
      <c r="N2246" s="97">
        <v>26</v>
      </c>
      <c r="O2246" s="97">
        <v>9</v>
      </c>
      <c r="P2246" s="97" t="s">
        <v>513</v>
      </c>
      <c r="Q2246" s="97" t="str">
        <f t="shared" si="290"/>
        <v/>
      </c>
      <c r="R2246" t="str">
        <f t="shared" si="291"/>
        <v/>
      </c>
    </row>
    <row r="2247" spans="3:18">
      <c r="C2247" t="str">
        <f t="shared" si="285"/>
        <v>NL</v>
      </c>
      <c r="D2247" s="36">
        <v>217</v>
      </c>
      <c r="E2247">
        <v>55</v>
      </c>
      <c r="F2247" s="366">
        <f t="shared" si="288"/>
        <v>1193.5</v>
      </c>
      <c r="G2247" s="97">
        <v>3404</v>
      </c>
      <c r="H2247" s="367">
        <f t="shared" si="289"/>
        <v>4597.5</v>
      </c>
      <c r="I2247" s="368">
        <f t="shared" si="286"/>
        <v>0</v>
      </c>
      <c r="J2247" s="97">
        <v>8726</v>
      </c>
      <c r="K2247" s="367">
        <f t="shared" si="287"/>
        <v>6232.8571428571431</v>
      </c>
      <c r="L2247" s="97">
        <v>0.44</v>
      </c>
      <c r="M2247" s="97">
        <v>4.8999999999999995</v>
      </c>
      <c r="N2247" s="97">
        <v>22</v>
      </c>
      <c r="O2247" s="97">
        <v>9</v>
      </c>
      <c r="P2247" s="97" t="s">
        <v>555</v>
      </c>
      <c r="Q2247" s="97" t="str">
        <f t="shared" si="290"/>
        <v/>
      </c>
      <c r="R2247" t="str">
        <f t="shared" si="291"/>
        <v/>
      </c>
    </row>
    <row r="2248" spans="3:18">
      <c r="C2248" t="str">
        <f t="shared" si="285"/>
        <v>NL</v>
      </c>
      <c r="D2248" s="36">
        <v>218</v>
      </c>
      <c r="E2248">
        <v>55</v>
      </c>
      <c r="F2248" s="366">
        <f t="shared" si="288"/>
        <v>1193.5</v>
      </c>
      <c r="G2248" s="97">
        <v>3029</v>
      </c>
      <c r="H2248" s="367">
        <f t="shared" si="289"/>
        <v>4222.5</v>
      </c>
      <c r="I2248" s="368">
        <f t="shared" si="286"/>
        <v>0</v>
      </c>
      <c r="J2248" s="97">
        <v>7765</v>
      </c>
      <c r="K2248" s="367">
        <f t="shared" si="287"/>
        <v>5546.4285714285716</v>
      </c>
      <c r="L2248" s="97">
        <v>0.31</v>
      </c>
      <c r="M2248" s="97">
        <v>4.8999999999999995</v>
      </c>
      <c r="N2248" s="97">
        <v>23</v>
      </c>
      <c r="O2248" s="97">
        <v>9</v>
      </c>
      <c r="P2248" s="97" t="s">
        <v>514</v>
      </c>
      <c r="Q2248" s="97" t="str">
        <f t="shared" si="290"/>
        <v/>
      </c>
      <c r="R2248" t="str">
        <f t="shared" si="291"/>
        <v/>
      </c>
    </row>
    <row r="2249" spans="3:18">
      <c r="C2249" t="str">
        <f t="shared" si="285"/>
        <v/>
      </c>
      <c r="D2249" s="36">
        <v>219</v>
      </c>
      <c r="E2249">
        <v>55</v>
      </c>
      <c r="F2249" s="366">
        <f t="shared" si="288"/>
        <v>1193.5</v>
      </c>
      <c r="G2249" s="97">
        <v>4457</v>
      </c>
      <c r="H2249" s="367">
        <f t="shared" si="289"/>
        <v>5650.5</v>
      </c>
      <c r="I2249" s="368">
        <f t="shared" si="286"/>
        <v>0</v>
      </c>
      <c r="J2249" s="97">
        <v>11427</v>
      </c>
      <c r="K2249" s="367">
        <f t="shared" si="287"/>
        <v>8162.1428571428569</v>
      </c>
      <c r="L2249" s="97">
        <v>0.78</v>
      </c>
      <c r="M2249" s="97">
        <v>5.3999999999999995</v>
      </c>
      <c r="N2249" s="97">
        <v>26</v>
      </c>
      <c r="O2249" s="97">
        <v>10</v>
      </c>
      <c r="P2249" s="97" t="s">
        <v>513</v>
      </c>
      <c r="Q2249" s="97" t="str">
        <f t="shared" si="290"/>
        <v/>
      </c>
      <c r="R2249" t="str">
        <f t="shared" si="291"/>
        <v/>
      </c>
    </row>
    <row r="2250" spans="3:18">
      <c r="C2250" t="str">
        <f t="shared" si="285"/>
        <v/>
      </c>
      <c r="D2250" s="36">
        <v>220</v>
      </c>
      <c r="E2250">
        <v>55</v>
      </c>
      <c r="F2250" s="366">
        <f t="shared" si="288"/>
        <v>1193.5</v>
      </c>
      <c r="G2250" s="97">
        <v>3479</v>
      </c>
      <c r="H2250" s="367">
        <f t="shared" si="289"/>
        <v>4672.5</v>
      </c>
      <c r="I2250" s="368">
        <f t="shared" si="286"/>
        <v>0</v>
      </c>
      <c r="J2250" s="97">
        <v>8919</v>
      </c>
      <c r="K2250" s="367">
        <f t="shared" si="287"/>
        <v>6370.7142857142862</v>
      </c>
      <c r="L2250" s="97">
        <v>0.36</v>
      </c>
      <c r="M2250" s="97">
        <v>5.3999999999999995</v>
      </c>
      <c r="N2250" s="97">
        <v>21</v>
      </c>
      <c r="O2250" s="97">
        <v>10</v>
      </c>
      <c r="P2250" s="97" t="s">
        <v>555</v>
      </c>
      <c r="Q2250" s="97" t="str">
        <f t="shared" si="290"/>
        <v/>
      </c>
      <c r="R2250" t="str">
        <f t="shared" si="291"/>
        <v/>
      </c>
    </row>
    <row r="2251" spans="3:18">
      <c r="C2251" t="str">
        <f t="shared" si="285"/>
        <v/>
      </c>
      <c r="D2251" s="36">
        <v>221</v>
      </c>
      <c r="E2251">
        <v>55</v>
      </c>
      <c r="F2251" s="366">
        <f t="shared" si="288"/>
        <v>1193.5</v>
      </c>
      <c r="G2251" s="97">
        <v>3104</v>
      </c>
      <c r="H2251" s="367">
        <f t="shared" si="289"/>
        <v>4297.5</v>
      </c>
      <c r="I2251" s="368">
        <f t="shared" si="286"/>
        <v>0</v>
      </c>
      <c r="J2251" s="97">
        <v>7957</v>
      </c>
      <c r="K2251" s="367">
        <f t="shared" si="287"/>
        <v>5683.5714285714284</v>
      </c>
      <c r="L2251" s="97">
        <v>0.25</v>
      </c>
      <c r="M2251" s="97">
        <v>5.3999999999999995</v>
      </c>
      <c r="N2251" s="97">
        <v>23</v>
      </c>
      <c r="O2251" s="97">
        <v>10</v>
      </c>
      <c r="P2251" s="97" t="s">
        <v>514</v>
      </c>
      <c r="Q2251" s="97" t="str">
        <f t="shared" si="290"/>
        <v/>
      </c>
      <c r="R2251" t="str">
        <f t="shared" si="291"/>
        <v/>
      </c>
    </row>
    <row r="2252" spans="3:18">
      <c r="C2252" t="str">
        <f t="shared" si="285"/>
        <v>NL</v>
      </c>
      <c r="D2252" s="36">
        <v>222</v>
      </c>
      <c r="E2252">
        <v>60</v>
      </c>
      <c r="F2252" s="366">
        <f t="shared" si="288"/>
        <v>1302</v>
      </c>
      <c r="G2252" s="97">
        <v>1922</v>
      </c>
      <c r="H2252" s="367">
        <f t="shared" si="289"/>
        <v>3224</v>
      </c>
      <c r="I2252" s="368">
        <f t="shared" si="286"/>
        <v>0</v>
      </c>
      <c r="J2252" s="97">
        <v>4928</v>
      </c>
      <c r="K2252" s="367">
        <f t="shared" si="287"/>
        <v>3520</v>
      </c>
      <c r="L2252" s="97">
        <v>0.85</v>
      </c>
      <c r="M2252" s="97">
        <v>1.8</v>
      </c>
      <c r="N2252" s="97">
        <v>24</v>
      </c>
      <c r="O2252" s="97">
        <v>3</v>
      </c>
      <c r="P2252" s="97" t="s">
        <v>515</v>
      </c>
      <c r="Q2252" s="97" t="str">
        <f t="shared" si="290"/>
        <v/>
      </c>
      <c r="R2252" t="str">
        <f t="shared" si="291"/>
        <v/>
      </c>
    </row>
    <row r="2253" spans="3:18">
      <c r="C2253" t="str">
        <f t="shared" si="285"/>
        <v/>
      </c>
      <c r="D2253" s="36">
        <v>223</v>
      </c>
      <c r="E2253">
        <v>60</v>
      </c>
      <c r="F2253" s="366">
        <f t="shared" si="288"/>
        <v>1302</v>
      </c>
      <c r="G2253" s="97">
        <v>2235</v>
      </c>
      <c r="H2253" s="367">
        <f t="shared" si="289"/>
        <v>3537</v>
      </c>
      <c r="I2253" s="368">
        <f t="shared" si="286"/>
        <v>0</v>
      </c>
      <c r="J2253" s="97">
        <v>5729</v>
      </c>
      <c r="K2253" s="367">
        <f t="shared" si="287"/>
        <v>4092.1428571428573</v>
      </c>
      <c r="L2253" s="97">
        <v>0.81</v>
      </c>
      <c r="M2253" s="97">
        <v>2.3000000000000003</v>
      </c>
      <c r="N2253" s="97">
        <v>24</v>
      </c>
      <c r="O2253" s="97">
        <v>4</v>
      </c>
      <c r="P2253" s="97" t="s">
        <v>556</v>
      </c>
      <c r="Q2253" s="97" t="str">
        <f t="shared" si="290"/>
        <v/>
      </c>
      <c r="R2253" t="str">
        <f t="shared" si="291"/>
        <v/>
      </c>
    </row>
    <row r="2254" spans="3:18">
      <c r="C2254" t="str">
        <f t="shared" ref="C2254:C2514" si="292">IF(OR($O$4=0,O2254-$O$4=0),IF(AND(ISEVEN(O2254)=FALSE,$N$4="Even"),"NL",""),"NL")</f>
        <v/>
      </c>
      <c r="D2254" s="36">
        <v>224</v>
      </c>
      <c r="E2254">
        <v>60</v>
      </c>
      <c r="F2254" s="366">
        <f t="shared" si="288"/>
        <v>1302</v>
      </c>
      <c r="G2254" s="97">
        <v>1871</v>
      </c>
      <c r="H2254" s="367">
        <f t="shared" si="289"/>
        <v>3173</v>
      </c>
      <c r="I2254" s="368">
        <f t="shared" ref="I2254:I2313" si="293">1.085*($C$2-$D$2)*E2254*$T$7</f>
        <v>0</v>
      </c>
      <c r="J2254" s="97">
        <v>4796</v>
      </c>
      <c r="K2254" s="367">
        <f t="shared" ref="K2254:K2514" si="294">(J2254*$V$7)-I2254</f>
        <v>3425.7142857142858</v>
      </c>
      <c r="L2254" s="97">
        <v>0.48</v>
      </c>
      <c r="M2254" s="97">
        <v>2.3000000000000003</v>
      </c>
      <c r="N2254" s="97">
        <v>22</v>
      </c>
      <c r="O2254" s="97">
        <v>4</v>
      </c>
      <c r="P2254" s="97" t="s">
        <v>515</v>
      </c>
      <c r="Q2254" s="97">
        <f t="shared" si="290"/>
        <v>224</v>
      </c>
      <c r="R2254" t="str">
        <f t="shared" si="291"/>
        <v/>
      </c>
    </row>
    <row r="2255" spans="3:18">
      <c r="C2255" t="str">
        <f t="shared" si="292"/>
        <v>NL</v>
      </c>
      <c r="D2255" s="36">
        <v>225</v>
      </c>
      <c r="E2255">
        <v>60</v>
      </c>
      <c r="F2255" s="366">
        <f t="shared" si="288"/>
        <v>1302</v>
      </c>
      <c r="G2255" s="97">
        <v>2269</v>
      </c>
      <c r="H2255" s="367">
        <f t="shared" si="289"/>
        <v>3571</v>
      </c>
      <c r="I2255" s="368">
        <f t="shared" si="293"/>
        <v>0</v>
      </c>
      <c r="J2255" s="97">
        <v>5818</v>
      </c>
      <c r="K2255" s="367">
        <f t="shared" si="294"/>
        <v>4155.7142857142862</v>
      </c>
      <c r="L2255" s="97">
        <v>0.53</v>
      </c>
      <c r="M2255" s="97">
        <v>2.8000000000000003</v>
      </c>
      <c r="N2255" s="97">
        <v>23</v>
      </c>
      <c r="O2255" s="97">
        <v>5</v>
      </c>
      <c r="P2255" s="97" t="s">
        <v>556</v>
      </c>
      <c r="Q2255" s="97" t="str">
        <f t="shared" si="290"/>
        <v/>
      </c>
      <c r="R2255" t="str">
        <f t="shared" si="291"/>
        <v/>
      </c>
    </row>
    <row r="2256" spans="3:18">
      <c r="C2256" t="str">
        <f t="shared" si="292"/>
        <v>NL</v>
      </c>
      <c r="D2256" s="36">
        <v>226</v>
      </c>
      <c r="E2256">
        <v>60</v>
      </c>
      <c r="F2256" s="366">
        <f t="shared" si="288"/>
        <v>1302</v>
      </c>
      <c r="G2256" s="97">
        <v>1967</v>
      </c>
      <c r="H2256" s="367">
        <f t="shared" si="289"/>
        <v>3269</v>
      </c>
      <c r="I2256" s="368">
        <f t="shared" si="293"/>
        <v>0</v>
      </c>
      <c r="J2256" s="97">
        <v>5043</v>
      </c>
      <c r="K2256" s="367">
        <f t="shared" si="294"/>
        <v>3602.1428571428573</v>
      </c>
      <c r="L2256" s="97">
        <v>0.32</v>
      </c>
      <c r="M2256" s="97">
        <v>2.8000000000000003</v>
      </c>
      <c r="N2256" s="97">
        <v>21</v>
      </c>
      <c r="O2256" s="97">
        <v>5</v>
      </c>
      <c r="P2256" s="97" t="s">
        <v>515</v>
      </c>
      <c r="Q2256" s="97" t="str">
        <f t="shared" si="290"/>
        <v/>
      </c>
      <c r="R2256" t="str">
        <f t="shared" si="291"/>
        <v/>
      </c>
    </row>
    <row r="2257" spans="3:18">
      <c r="C2257" t="str">
        <f t="shared" si="292"/>
        <v/>
      </c>
      <c r="D2257" s="36">
        <v>227</v>
      </c>
      <c r="E2257">
        <v>60</v>
      </c>
      <c r="F2257" s="366">
        <f t="shared" si="288"/>
        <v>1302</v>
      </c>
      <c r="G2257" s="97">
        <v>2812</v>
      </c>
      <c r="H2257" s="367">
        <f t="shared" si="289"/>
        <v>4114</v>
      </c>
      <c r="I2257" s="368">
        <f t="shared" si="293"/>
        <v>0</v>
      </c>
      <c r="J2257" s="97">
        <v>7210</v>
      </c>
      <c r="K2257" s="367">
        <f t="shared" si="294"/>
        <v>5150</v>
      </c>
      <c r="L2257" s="97">
        <v>0.76</v>
      </c>
      <c r="M2257" s="97">
        <v>3.4</v>
      </c>
      <c r="N2257" s="97">
        <v>27</v>
      </c>
      <c r="O2257" s="97">
        <v>6</v>
      </c>
      <c r="P2257" s="97" t="s">
        <v>514</v>
      </c>
      <c r="Q2257" s="97" t="str">
        <f t="shared" si="290"/>
        <v/>
      </c>
      <c r="R2257" t="str">
        <f t="shared" si="291"/>
        <v/>
      </c>
    </row>
    <row r="2258" spans="3:18">
      <c r="C2258" t="str">
        <f t="shared" si="292"/>
        <v/>
      </c>
      <c r="D2258" s="36">
        <v>228</v>
      </c>
      <c r="E2258">
        <v>60</v>
      </c>
      <c r="F2258" s="366">
        <f t="shared" si="288"/>
        <v>1302</v>
      </c>
      <c r="G2258" s="97">
        <v>2327</v>
      </c>
      <c r="H2258" s="367">
        <f t="shared" si="289"/>
        <v>3629</v>
      </c>
      <c r="I2258" s="368">
        <f t="shared" si="293"/>
        <v>0</v>
      </c>
      <c r="J2258" s="97">
        <v>5967</v>
      </c>
      <c r="K2258" s="367">
        <f t="shared" si="294"/>
        <v>4262.1428571428569</v>
      </c>
      <c r="L2258" s="97">
        <v>0.37</v>
      </c>
      <c r="M2258" s="97">
        <v>3.4</v>
      </c>
      <c r="N2258" s="97">
        <v>22</v>
      </c>
      <c r="O2258" s="97">
        <v>6</v>
      </c>
      <c r="P2258" s="97" t="s">
        <v>556</v>
      </c>
      <c r="Q2258" s="97">
        <f t="shared" si="290"/>
        <v>228</v>
      </c>
      <c r="R2258" t="str">
        <f t="shared" si="291"/>
        <v/>
      </c>
    </row>
    <row r="2259" spans="3:18">
      <c r="C2259" t="str">
        <f t="shared" si="292"/>
        <v/>
      </c>
      <c r="D2259" s="36">
        <v>229</v>
      </c>
      <c r="E2259">
        <v>60</v>
      </c>
      <c r="F2259" s="366">
        <f t="shared" si="288"/>
        <v>1302</v>
      </c>
      <c r="G2259" s="97">
        <v>1989</v>
      </c>
      <c r="H2259" s="367">
        <f t="shared" si="289"/>
        <v>3291</v>
      </c>
      <c r="I2259" s="368">
        <f t="shared" si="293"/>
        <v>0</v>
      </c>
      <c r="J2259" s="97">
        <v>5099</v>
      </c>
      <c r="K2259" s="367">
        <f t="shared" si="294"/>
        <v>3642.1428571428573</v>
      </c>
      <c r="L2259" s="97">
        <v>0.22</v>
      </c>
      <c r="M2259" s="97">
        <v>3.4</v>
      </c>
      <c r="N2259" s="97">
        <v>19</v>
      </c>
      <c r="O2259" s="97">
        <v>6</v>
      </c>
      <c r="P2259" s="97" t="s">
        <v>515</v>
      </c>
      <c r="Q2259" s="97">
        <f t="shared" si="290"/>
        <v>229</v>
      </c>
      <c r="R2259" t="str">
        <f t="shared" si="291"/>
        <v/>
      </c>
    </row>
    <row r="2260" spans="3:18">
      <c r="C2260" t="str">
        <f t="shared" si="292"/>
        <v>NL</v>
      </c>
      <c r="D2260" s="36">
        <v>230</v>
      </c>
      <c r="E2260">
        <v>60</v>
      </c>
      <c r="F2260" s="366">
        <f t="shared" si="288"/>
        <v>1302</v>
      </c>
      <c r="G2260" s="97">
        <v>3188</v>
      </c>
      <c r="H2260" s="367">
        <f t="shared" si="289"/>
        <v>4490</v>
      </c>
      <c r="I2260" s="368">
        <f t="shared" si="293"/>
        <v>0</v>
      </c>
      <c r="J2260" s="97">
        <v>8174</v>
      </c>
      <c r="K2260" s="367">
        <f t="shared" si="294"/>
        <v>5838.5714285714284</v>
      </c>
      <c r="L2260" s="97">
        <v>0.83</v>
      </c>
      <c r="M2260" s="97">
        <v>3.9</v>
      </c>
      <c r="N2260" s="97">
        <v>24</v>
      </c>
      <c r="O2260" s="97">
        <v>7</v>
      </c>
      <c r="P2260" s="97" t="s">
        <v>555</v>
      </c>
      <c r="Q2260" s="97" t="str">
        <f t="shared" si="290"/>
        <v/>
      </c>
      <c r="R2260" t="str">
        <f t="shared" si="291"/>
        <v/>
      </c>
    </row>
    <row r="2261" spans="3:18">
      <c r="C2261" t="str">
        <f t="shared" si="292"/>
        <v>NL</v>
      </c>
      <c r="D2261" s="36">
        <v>231</v>
      </c>
      <c r="E2261">
        <v>60</v>
      </c>
      <c r="F2261" s="366">
        <f t="shared" si="288"/>
        <v>1302</v>
      </c>
      <c r="G2261" s="97">
        <v>2877</v>
      </c>
      <c r="H2261" s="367">
        <f t="shared" si="289"/>
        <v>4179</v>
      </c>
      <c r="I2261" s="368">
        <f t="shared" si="293"/>
        <v>0</v>
      </c>
      <c r="J2261" s="97">
        <v>7375</v>
      </c>
      <c r="K2261" s="367">
        <f t="shared" si="294"/>
        <v>5267.8571428571431</v>
      </c>
      <c r="L2261" s="97">
        <v>0.56000000000000005</v>
      </c>
      <c r="M2261" s="97">
        <v>3.9</v>
      </c>
      <c r="N2261" s="97">
        <v>25</v>
      </c>
      <c r="O2261" s="97">
        <v>7</v>
      </c>
      <c r="P2261" s="97" t="s">
        <v>514</v>
      </c>
      <c r="Q2261" s="97" t="str">
        <f t="shared" si="290"/>
        <v/>
      </c>
      <c r="R2261" t="str">
        <f t="shared" si="291"/>
        <v/>
      </c>
    </row>
    <row r="2262" spans="3:18">
      <c r="C2262" t="str">
        <f t="shared" si="292"/>
        <v>NL</v>
      </c>
      <c r="D2262" s="36">
        <v>232</v>
      </c>
      <c r="E2262">
        <v>60</v>
      </c>
      <c r="F2262" s="366">
        <f t="shared" si="288"/>
        <v>1302</v>
      </c>
      <c r="G2262" s="97">
        <v>2540</v>
      </c>
      <c r="H2262" s="367">
        <f t="shared" si="289"/>
        <v>3842</v>
      </c>
      <c r="I2262" s="368">
        <f t="shared" si="293"/>
        <v>0</v>
      </c>
      <c r="J2262" s="97">
        <v>6512</v>
      </c>
      <c r="K2262" s="367">
        <f t="shared" si="294"/>
        <v>4651.4285714285716</v>
      </c>
      <c r="L2262" s="97">
        <v>0.28000000000000003</v>
      </c>
      <c r="M2262" s="97">
        <v>3.9</v>
      </c>
      <c r="N2262" s="97">
        <v>20</v>
      </c>
      <c r="O2262" s="97">
        <v>7</v>
      </c>
      <c r="P2262" s="97" t="s">
        <v>556</v>
      </c>
      <c r="Q2262" s="97" t="str">
        <f t="shared" si="290"/>
        <v/>
      </c>
      <c r="R2262" t="str">
        <f t="shared" si="291"/>
        <v/>
      </c>
    </row>
    <row r="2263" spans="3:18">
      <c r="C2263" t="str">
        <f t="shared" si="292"/>
        <v>NL</v>
      </c>
      <c r="D2263" s="36">
        <v>233</v>
      </c>
      <c r="E2263">
        <v>60</v>
      </c>
      <c r="F2263" s="366">
        <f t="shared" si="288"/>
        <v>1302</v>
      </c>
      <c r="G2263" s="97">
        <v>2180</v>
      </c>
      <c r="H2263" s="367">
        <f t="shared" si="289"/>
        <v>3482</v>
      </c>
      <c r="I2263" s="368">
        <f t="shared" si="293"/>
        <v>0</v>
      </c>
      <c r="J2263" s="97">
        <v>5589</v>
      </c>
      <c r="K2263" s="367">
        <f t="shared" si="294"/>
        <v>3992.1428571428573</v>
      </c>
      <c r="L2263" s="97">
        <v>0.17</v>
      </c>
      <c r="M2263" s="97">
        <v>3.9</v>
      </c>
      <c r="N2263" s="97">
        <v>18</v>
      </c>
      <c r="O2263" s="97">
        <v>7</v>
      </c>
      <c r="P2263" s="97" t="s">
        <v>515</v>
      </c>
      <c r="Q2263" s="97" t="str">
        <f t="shared" si="290"/>
        <v/>
      </c>
      <c r="R2263" t="str">
        <f t="shared" si="291"/>
        <v/>
      </c>
    </row>
    <row r="2264" spans="3:18">
      <c r="C2264" t="str">
        <f t="shared" si="292"/>
        <v/>
      </c>
      <c r="D2264" s="36">
        <v>234</v>
      </c>
      <c r="E2264">
        <v>60</v>
      </c>
      <c r="F2264" s="366">
        <f t="shared" si="288"/>
        <v>1302</v>
      </c>
      <c r="G2264" s="97">
        <v>3402</v>
      </c>
      <c r="H2264" s="367">
        <f t="shared" si="289"/>
        <v>4704</v>
      </c>
      <c r="I2264" s="368">
        <f t="shared" si="293"/>
        <v>0</v>
      </c>
      <c r="J2264" s="97">
        <v>8721</v>
      </c>
      <c r="K2264" s="367">
        <f t="shared" si="294"/>
        <v>6229.2857142857147</v>
      </c>
      <c r="L2264" s="97">
        <v>0.66</v>
      </c>
      <c r="M2264" s="97">
        <v>4.3999999999999995</v>
      </c>
      <c r="N2264" s="97">
        <v>24</v>
      </c>
      <c r="O2264" s="97">
        <v>8</v>
      </c>
      <c r="P2264" s="97" t="s">
        <v>555</v>
      </c>
      <c r="Q2264" s="97">
        <f t="shared" si="290"/>
        <v>234</v>
      </c>
      <c r="R2264" t="str">
        <f t="shared" si="291"/>
        <v/>
      </c>
    </row>
    <row r="2265" spans="3:18">
      <c r="C2265" t="str">
        <f t="shared" si="292"/>
        <v/>
      </c>
      <c r="D2265" s="36">
        <v>235</v>
      </c>
      <c r="E2265">
        <v>60</v>
      </c>
      <c r="F2265" s="366">
        <f t="shared" si="288"/>
        <v>1302</v>
      </c>
      <c r="G2265" s="97">
        <v>3082</v>
      </c>
      <c r="H2265" s="367">
        <f t="shared" si="289"/>
        <v>4384</v>
      </c>
      <c r="I2265" s="368">
        <f t="shared" si="293"/>
        <v>0</v>
      </c>
      <c r="J2265" s="97">
        <v>7901</v>
      </c>
      <c r="K2265" s="367">
        <f t="shared" si="294"/>
        <v>5643.5714285714284</v>
      </c>
      <c r="L2265" s="97">
        <v>0.45</v>
      </c>
      <c r="M2265" s="97">
        <v>4.3999999999999995</v>
      </c>
      <c r="N2265" s="97">
        <v>25</v>
      </c>
      <c r="O2265" s="97">
        <v>8</v>
      </c>
      <c r="P2265" s="97" t="s">
        <v>514</v>
      </c>
      <c r="Q2265" s="97">
        <f t="shared" si="290"/>
        <v>235</v>
      </c>
      <c r="R2265" t="str">
        <f t="shared" si="291"/>
        <v/>
      </c>
    </row>
    <row r="2266" spans="3:18">
      <c r="C2266" t="str">
        <f t="shared" si="292"/>
        <v/>
      </c>
      <c r="D2266" s="36">
        <v>236</v>
      </c>
      <c r="E2266">
        <v>60</v>
      </c>
      <c r="F2266" s="366">
        <f t="shared" si="288"/>
        <v>1302</v>
      </c>
      <c r="G2266" s="97">
        <v>2715</v>
      </c>
      <c r="H2266" s="367">
        <f t="shared" si="289"/>
        <v>4017</v>
      </c>
      <c r="I2266" s="368">
        <f t="shared" si="293"/>
        <v>0</v>
      </c>
      <c r="J2266" s="97">
        <v>6959</v>
      </c>
      <c r="K2266" s="367">
        <f t="shared" si="294"/>
        <v>4970.7142857142862</v>
      </c>
      <c r="L2266" s="97">
        <v>0.21000000000000002</v>
      </c>
      <c r="M2266" s="97">
        <v>4.3999999999999995</v>
      </c>
      <c r="N2266" s="97">
        <v>19</v>
      </c>
      <c r="O2266" s="97">
        <v>8</v>
      </c>
      <c r="P2266" s="97" t="s">
        <v>556</v>
      </c>
      <c r="Q2266" s="97">
        <f t="shared" si="290"/>
        <v>236</v>
      </c>
      <c r="R2266" t="str">
        <f t="shared" si="291"/>
        <v/>
      </c>
    </row>
    <row r="2267" spans="3:18">
      <c r="C2267" t="str">
        <f t="shared" si="292"/>
        <v>NL</v>
      </c>
      <c r="D2267" s="36">
        <v>237</v>
      </c>
      <c r="E2267">
        <v>60</v>
      </c>
      <c r="F2267" s="366">
        <f t="shared" si="288"/>
        <v>1302</v>
      </c>
      <c r="G2267" s="97">
        <v>3578</v>
      </c>
      <c r="H2267" s="367">
        <f t="shared" si="289"/>
        <v>4880</v>
      </c>
      <c r="I2267" s="368">
        <f t="shared" si="293"/>
        <v>0</v>
      </c>
      <c r="J2267" s="97">
        <v>9171</v>
      </c>
      <c r="K2267" s="367">
        <f t="shared" si="294"/>
        <v>6550.7142857142862</v>
      </c>
      <c r="L2267" s="97">
        <v>0.52</v>
      </c>
      <c r="M2267" s="97">
        <v>4.8999999999999995</v>
      </c>
      <c r="N2267" s="97">
        <v>23</v>
      </c>
      <c r="O2267" s="97">
        <v>9</v>
      </c>
      <c r="P2267" s="97" t="s">
        <v>555</v>
      </c>
      <c r="Q2267" s="97" t="str">
        <f t="shared" si="290"/>
        <v/>
      </c>
      <c r="R2267" t="str">
        <f t="shared" si="291"/>
        <v/>
      </c>
    </row>
    <row r="2268" spans="3:18">
      <c r="C2268" t="str">
        <f t="shared" si="292"/>
        <v>NL</v>
      </c>
      <c r="D2268" s="36">
        <v>238</v>
      </c>
      <c r="E2268">
        <v>60</v>
      </c>
      <c r="F2268" s="366">
        <f t="shared" si="288"/>
        <v>1302</v>
      </c>
      <c r="G2268" s="97">
        <v>3224</v>
      </c>
      <c r="H2268" s="367">
        <f t="shared" si="289"/>
        <v>4526</v>
      </c>
      <c r="I2268" s="368">
        <f t="shared" si="293"/>
        <v>0</v>
      </c>
      <c r="J2268" s="97">
        <v>8264</v>
      </c>
      <c r="K2268" s="367">
        <f t="shared" si="294"/>
        <v>5902.8571428571431</v>
      </c>
      <c r="L2268" s="97">
        <v>0.36</v>
      </c>
      <c r="M2268" s="97">
        <v>4.8999999999999995</v>
      </c>
      <c r="N2268" s="97">
        <v>25</v>
      </c>
      <c r="O2268" s="97">
        <v>9</v>
      </c>
      <c r="P2268" s="97" t="s">
        <v>514</v>
      </c>
      <c r="Q2268" s="97" t="str">
        <f t="shared" si="290"/>
        <v/>
      </c>
      <c r="R2268" t="str">
        <f t="shared" si="291"/>
        <v/>
      </c>
    </row>
    <row r="2269" spans="3:18">
      <c r="C2269" t="str">
        <f t="shared" si="292"/>
        <v>NL</v>
      </c>
      <c r="D2269" s="36">
        <v>239</v>
      </c>
      <c r="E2269">
        <v>60</v>
      </c>
      <c r="F2269" s="366">
        <f t="shared" si="288"/>
        <v>1302</v>
      </c>
      <c r="G2269" s="97">
        <v>2770</v>
      </c>
      <c r="H2269" s="367">
        <f t="shared" si="289"/>
        <v>4072</v>
      </c>
      <c r="I2269" s="368">
        <f t="shared" si="293"/>
        <v>0</v>
      </c>
      <c r="J2269" s="97">
        <v>7101</v>
      </c>
      <c r="K2269" s="367">
        <f t="shared" si="294"/>
        <v>5072.1428571428569</v>
      </c>
      <c r="L2269" s="97">
        <v>0.18000000000000002</v>
      </c>
      <c r="M2269" s="97">
        <v>4.8999999999999995</v>
      </c>
      <c r="N2269" s="97">
        <v>20</v>
      </c>
      <c r="O2269" s="97">
        <v>9</v>
      </c>
      <c r="P2269" s="97" t="s">
        <v>556</v>
      </c>
      <c r="Q2269" s="97" t="str">
        <f t="shared" si="290"/>
        <v/>
      </c>
      <c r="R2269" t="str">
        <f t="shared" si="291"/>
        <v/>
      </c>
    </row>
    <row r="2270" spans="3:18">
      <c r="C2270" t="str">
        <f t="shared" si="292"/>
        <v/>
      </c>
      <c r="D2270" s="36">
        <v>240</v>
      </c>
      <c r="E2270">
        <v>60</v>
      </c>
      <c r="F2270" s="366">
        <f t="shared" si="288"/>
        <v>1302</v>
      </c>
      <c r="G2270" s="97">
        <v>4676</v>
      </c>
      <c r="H2270" s="367">
        <f t="shared" si="289"/>
        <v>5978</v>
      </c>
      <c r="I2270" s="368">
        <f t="shared" si="293"/>
        <v>0</v>
      </c>
      <c r="J2270" s="97">
        <v>11988</v>
      </c>
      <c r="K2270" s="367">
        <f t="shared" si="294"/>
        <v>8562.8571428571431</v>
      </c>
      <c r="L2270" s="97">
        <v>0.92</v>
      </c>
      <c r="M2270" s="97">
        <v>5.3999999999999995</v>
      </c>
      <c r="N2270" s="97">
        <v>27</v>
      </c>
      <c r="O2270" s="97">
        <v>10</v>
      </c>
      <c r="P2270" s="97" t="s">
        <v>513</v>
      </c>
      <c r="Q2270" s="97" t="str">
        <f t="shared" si="290"/>
        <v/>
      </c>
      <c r="R2270" t="str">
        <f t="shared" si="291"/>
        <v/>
      </c>
    </row>
    <row r="2271" spans="3:18">
      <c r="C2271" t="str">
        <f t="shared" si="292"/>
        <v/>
      </c>
      <c r="D2271" s="36">
        <v>241</v>
      </c>
      <c r="E2271">
        <v>60</v>
      </c>
      <c r="F2271" s="366">
        <f t="shared" si="288"/>
        <v>1302</v>
      </c>
      <c r="G2271" s="97">
        <v>3696</v>
      </c>
      <c r="H2271" s="367">
        <f t="shared" si="289"/>
        <v>4998</v>
      </c>
      <c r="I2271" s="368">
        <f t="shared" si="293"/>
        <v>0</v>
      </c>
      <c r="J2271" s="97">
        <v>9476</v>
      </c>
      <c r="K2271" s="367">
        <f t="shared" si="294"/>
        <v>6768.5714285714284</v>
      </c>
      <c r="L2271" s="97">
        <v>0.43</v>
      </c>
      <c r="M2271" s="97">
        <v>5.3999999999999995</v>
      </c>
      <c r="N2271" s="97">
        <v>22</v>
      </c>
      <c r="O2271" s="97">
        <v>10</v>
      </c>
      <c r="P2271" s="97" t="s">
        <v>555</v>
      </c>
      <c r="Q2271" s="97" t="str">
        <f t="shared" si="290"/>
        <v/>
      </c>
      <c r="R2271" t="str">
        <f t="shared" si="291"/>
        <v/>
      </c>
    </row>
    <row r="2272" spans="3:18">
      <c r="C2272" t="str">
        <f t="shared" si="292"/>
        <v/>
      </c>
      <c r="D2272" s="36">
        <v>242</v>
      </c>
      <c r="E2272">
        <v>60</v>
      </c>
      <c r="F2272" s="366">
        <f t="shared" si="288"/>
        <v>1302</v>
      </c>
      <c r="G2272" s="97">
        <v>3293</v>
      </c>
      <c r="H2272" s="367">
        <f t="shared" si="289"/>
        <v>4595</v>
      </c>
      <c r="I2272" s="368">
        <f t="shared" si="293"/>
        <v>0</v>
      </c>
      <c r="J2272" s="97">
        <v>8443</v>
      </c>
      <c r="K2272" s="367">
        <f t="shared" si="294"/>
        <v>6030.7142857142862</v>
      </c>
      <c r="L2272" s="97">
        <v>0.3</v>
      </c>
      <c r="M2272" s="97">
        <v>5.3999999999999995</v>
      </c>
      <c r="N2272" s="97">
        <v>24</v>
      </c>
      <c r="O2272" s="97">
        <v>10</v>
      </c>
      <c r="P2272" s="97" t="s">
        <v>514</v>
      </c>
      <c r="Q2272" s="97" t="str">
        <f t="shared" si="290"/>
        <v/>
      </c>
      <c r="R2272" t="str">
        <f t="shared" si="291"/>
        <v/>
      </c>
    </row>
    <row r="2273" spans="3:18">
      <c r="C2273" t="str">
        <f t="shared" si="292"/>
        <v>NL</v>
      </c>
      <c r="D2273" s="36">
        <v>243</v>
      </c>
      <c r="E2273">
        <v>65</v>
      </c>
      <c r="F2273" s="366">
        <f t="shared" si="288"/>
        <v>1410.5</v>
      </c>
      <c r="G2273" s="97">
        <v>2094</v>
      </c>
      <c r="H2273" s="367">
        <f t="shared" si="289"/>
        <v>3504.5</v>
      </c>
      <c r="I2273" s="368">
        <f t="shared" si="293"/>
        <v>0</v>
      </c>
      <c r="J2273" s="97">
        <v>5368</v>
      </c>
      <c r="K2273" s="367">
        <f t="shared" si="294"/>
        <v>3834.2857142857142</v>
      </c>
      <c r="L2273" s="97">
        <v>1</v>
      </c>
      <c r="M2273" s="97">
        <v>1.8</v>
      </c>
      <c r="N2273" s="97">
        <v>25</v>
      </c>
      <c r="O2273" s="97">
        <v>3</v>
      </c>
      <c r="P2273" s="97" t="s">
        <v>515</v>
      </c>
      <c r="Q2273" s="97" t="str">
        <f t="shared" si="290"/>
        <v/>
      </c>
      <c r="R2273" t="str">
        <f t="shared" si="291"/>
        <v/>
      </c>
    </row>
    <row r="2274" spans="3:18">
      <c r="C2274" t="str">
        <f t="shared" si="292"/>
        <v/>
      </c>
      <c r="D2274" s="36">
        <v>244</v>
      </c>
      <c r="E2274">
        <v>65</v>
      </c>
      <c r="F2274" s="366">
        <f t="shared" si="288"/>
        <v>1410.5</v>
      </c>
      <c r="G2274" s="97">
        <v>2441</v>
      </c>
      <c r="H2274" s="367">
        <f t="shared" si="289"/>
        <v>3851.5</v>
      </c>
      <c r="I2274" s="368">
        <f t="shared" si="293"/>
        <v>0</v>
      </c>
      <c r="J2274" s="97">
        <v>6258</v>
      </c>
      <c r="K2274" s="367">
        <f t="shared" si="294"/>
        <v>4470</v>
      </c>
      <c r="L2274" s="97">
        <v>0.94000000000000006</v>
      </c>
      <c r="M2274" s="97">
        <v>2.3000000000000003</v>
      </c>
      <c r="N2274" s="97">
        <v>25</v>
      </c>
      <c r="O2274" s="97">
        <v>4</v>
      </c>
      <c r="P2274" s="97" t="s">
        <v>556</v>
      </c>
      <c r="Q2274" s="97" t="str">
        <f t="shared" si="290"/>
        <v/>
      </c>
      <c r="R2274" t="str">
        <f t="shared" si="291"/>
        <v/>
      </c>
    </row>
    <row r="2275" spans="3:18">
      <c r="C2275" t="str">
        <f t="shared" si="292"/>
        <v/>
      </c>
      <c r="D2275" s="36">
        <v>245</v>
      </c>
      <c r="E2275">
        <v>65</v>
      </c>
      <c r="F2275" s="366">
        <f t="shared" si="288"/>
        <v>1410.5</v>
      </c>
      <c r="G2275" s="97">
        <v>1985</v>
      </c>
      <c r="H2275" s="367">
        <f t="shared" si="289"/>
        <v>3395.5</v>
      </c>
      <c r="I2275" s="368">
        <f t="shared" si="293"/>
        <v>0</v>
      </c>
      <c r="J2275" s="97">
        <v>5088</v>
      </c>
      <c r="K2275" s="367">
        <f t="shared" si="294"/>
        <v>3634.2857142857142</v>
      </c>
      <c r="L2275" s="97">
        <v>0.56000000000000005</v>
      </c>
      <c r="M2275" s="97">
        <v>2.3000000000000003</v>
      </c>
      <c r="N2275" s="97">
        <v>23</v>
      </c>
      <c r="O2275" s="97">
        <v>4</v>
      </c>
      <c r="P2275" s="97" t="s">
        <v>515</v>
      </c>
      <c r="Q2275" s="97">
        <f t="shared" si="290"/>
        <v>245</v>
      </c>
      <c r="R2275" t="str">
        <f t="shared" si="291"/>
        <v/>
      </c>
    </row>
    <row r="2276" spans="3:18">
      <c r="C2276" t="str">
        <f t="shared" si="292"/>
        <v>NL</v>
      </c>
      <c r="D2276" s="36">
        <v>246</v>
      </c>
      <c r="E2276">
        <v>65</v>
      </c>
      <c r="F2276" s="366">
        <f t="shared" si="288"/>
        <v>1410.5</v>
      </c>
      <c r="G2276" s="97">
        <v>2416</v>
      </c>
      <c r="H2276" s="367">
        <f t="shared" si="289"/>
        <v>3826.5</v>
      </c>
      <c r="I2276" s="368">
        <f t="shared" si="293"/>
        <v>0</v>
      </c>
      <c r="J2276" s="97">
        <v>6194</v>
      </c>
      <c r="K2276" s="367">
        <f t="shared" si="294"/>
        <v>4424.2857142857147</v>
      </c>
      <c r="L2276" s="97">
        <v>0.62</v>
      </c>
      <c r="M2276" s="97">
        <v>2.8000000000000003</v>
      </c>
      <c r="N2276" s="97">
        <v>24</v>
      </c>
      <c r="O2276" s="97">
        <v>5</v>
      </c>
      <c r="P2276" s="97" t="s">
        <v>556</v>
      </c>
      <c r="Q2276" s="97" t="str">
        <f t="shared" si="290"/>
        <v/>
      </c>
      <c r="R2276" t="str">
        <f t="shared" si="291"/>
        <v/>
      </c>
    </row>
    <row r="2277" spans="3:18">
      <c r="C2277" t="str">
        <f t="shared" si="292"/>
        <v>NL</v>
      </c>
      <c r="D2277" s="36">
        <v>247</v>
      </c>
      <c r="E2277">
        <v>65</v>
      </c>
      <c r="F2277" s="366">
        <f t="shared" si="288"/>
        <v>1410.5</v>
      </c>
      <c r="G2277" s="97">
        <v>2100</v>
      </c>
      <c r="H2277" s="367">
        <f t="shared" si="289"/>
        <v>3510.5</v>
      </c>
      <c r="I2277" s="368">
        <f t="shared" si="293"/>
        <v>0</v>
      </c>
      <c r="J2277" s="97">
        <v>5383</v>
      </c>
      <c r="K2277" s="367">
        <f t="shared" si="294"/>
        <v>3845</v>
      </c>
      <c r="L2277" s="97">
        <v>0.38</v>
      </c>
      <c r="M2277" s="97">
        <v>2.8000000000000003</v>
      </c>
      <c r="N2277" s="97">
        <v>22</v>
      </c>
      <c r="O2277" s="97">
        <v>5</v>
      </c>
      <c r="P2277" s="97" t="s">
        <v>515</v>
      </c>
      <c r="Q2277" s="97" t="str">
        <f t="shared" si="290"/>
        <v/>
      </c>
      <c r="R2277" t="str">
        <f t="shared" si="291"/>
        <v/>
      </c>
    </row>
    <row r="2278" spans="3:18">
      <c r="C2278" t="str">
        <f t="shared" si="292"/>
        <v/>
      </c>
      <c r="D2278" s="36">
        <v>248</v>
      </c>
      <c r="E2278">
        <v>65</v>
      </c>
      <c r="F2278" s="366">
        <f t="shared" si="288"/>
        <v>1410.5</v>
      </c>
      <c r="G2278" s="97">
        <v>3050</v>
      </c>
      <c r="H2278" s="367">
        <f t="shared" si="289"/>
        <v>4460.5</v>
      </c>
      <c r="I2278" s="368">
        <f t="shared" si="293"/>
        <v>0</v>
      </c>
      <c r="J2278" s="97">
        <v>7820</v>
      </c>
      <c r="K2278" s="367">
        <f t="shared" si="294"/>
        <v>5585.7142857142862</v>
      </c>
      <c r="L2278" s="97">
        <v>0.89</v>
      </c>
      <c r="M2278" s="97">
        <v>3.4</v>
      </c>
      <c r="N2278" s="97">
        <v>28</v>
      </c>
      <c r="O2278" s="97">
        <v>6</v>
      </c>
      <c r="P2278" s="97" t="s">
        <v>514</v>
      </c>
      <c r="Q2278" s="97" t="str">
        <f t="shared" si="290"/>
        <v/>
      </c>
      <c r="R2278" t="str">
        <f t="shared" si="291"/>
        <v/>
      </c>
    </row>
    <row r="2279" spans="3:18">
      <c r="C2279" t="str">
        <f t="shared" si="292"/>
        <v/>
      </c>
      <c r="D2279" s="36">
        <v>249</v>
      </c>
      <c r="E2279">
        <v>65</v>
      </c>
      <c r="F2279" s="366">
        <f t="shared" si="288"/>
        <v>1410.5</v>
      </c>
      <c r="G2279" s="97">
        <v>2494</v>
      </c>
      <c r="H2279" s="367">
        <f t="shared" si="289"/>
        <v>3904.5</v>
      </c>
      <c r="I2279" s="368">
        <f t="shared" si="293"/>
        <v>0</v>
      </c>
      <c r="J2279" s="97">
        <v>6393</v>
      </c>
      <c r="K2279" s="367">
        <f t="shared" si="294"/>
        <v>4566.4285714285716</v>
      </c>
      <c r="L2279" s="97">
        <v>0.43</v>
      </c>
      <c r="M2279" s="97">
        <v>3.4</v>
      </c>
      <c r="N2279" s="97">
        <v>23</v>
      </c>
      <c r="O2279" s="97">
        <v>6</v>
      </c>
      <c r="P2279" s="97" t="s">
        <v>556</v>
      </c>
      <c r="Q2279" s="97">
        <f t="shared" si="290"/>
        <v>249</v>
      </c>
      <c r="R2279" t="str">
        <f t="shared" si="291"/>
        <v/>
      </c>
    </row>
    <row r="2280" spans="3:18">
      <c r="C2280" t="str">
        <f t="shared" si="292"/>
        <v/>
      </c>
      <c r="D2280" s="36">
        <v>250</v>
      </c>
      <c r="E2280">
        <v>65</v>
      </c>
      <c r="F2280" s="366">
        <f t="shared" si="288"/>
        <v>1410.5</v>
      </c>
      <c r="G2280" s="97">
        <v>2102</v>
      </c>
      <c r="H2280" s="367">
        <f t="shared" si="289"/>
        <v>3512.5</v>
      </c>
      <c r="I2280" s="368">
        <f t="shared" si="293"/>
        <v>0</v>
      </c>
      <c r="J2280" s="97">
        <v>5389</v>
      </c>
      <c r="K2280" s="367">
        <f t="shared" si="294"/>
        <v>3849.2857142857142</v>
      </c>
      <c r="L2280" s="97">
        <v>0.26</v>
      </c>
      <c r="M2280" s="97">
        <v>3.4</v>
      </c>
      <c r="N2280" s="97">
        <v>20</v>
      </c>
      <c r="O2280" s="97">
        <v>6</v>
      </c>
      <c r="P2280" s="97" t="s">
        <v>515</v>
      </c>
      <c r="Q2280" s="97">
        <f t="shared" si="290"/>
        <v>250</v>
      </c>
      <c r="R2280" t="str">
        <f t="shared" si="291"/>
        <v/>
      </c>
    </row>
    <row r="2281" spans="3:18">
      <c r="C2281" t="str">
        <f t="shared" si="292"/>
        <v>NL</v>
      </c>
      <c r="D2281" s="36">
        <v>251</v>
      </c>
      <c r="E2281">
        <v>65</v>
      </c>
      <c r="F2281" s="366">
        <f t="shared" si="288"/>
        <v>1410.5</v>
      </c>
      <c r="G2281" s="97">
        <v>3391</v>
      </c>
      <c r="H2281" s="367">
        <f t="shared" si="289"/>
        <v>4801.5</v>
      </c>
      <c r="I2281" s="368">
        <f t="shared" si="293"/>
        <v>0</v>
      </c>
      <c r="J2281" s="97">
        <v>8694</v>
      </c>
      <c r="K2281" s="367">
        <f t="shared" si="294"/>
        <v>6210</v>
      </c>
      <c r="L2281" s="97">
        <v>0.98</v>
      </c>
      <c r="M2281" s="97">
        <v>3.9</v>
      </c>
      <c r="N2281" s="97">
        <v>25</v>
      </c>
      <c r="O2281" s="97">
        <v>7</v>
      </c>
      <c r="P2281" s="97" t="s">
        <v>555</v>
      </c>
      <c r="Q2281" s="97" t="str">
        <f t="shared" si="290"/>
        <v/>
      </c>
      <c r="R2281" t="str">
        <f t="shared" si="291"/>
        <v/>
      </c>
    </row>
    <row r="2282" spans="3:18">
      <c r="C2282" t="str">
        <f t="shared" si="292"/>
        <v>NL</v>
      </c>
      <c r="D2282" s="36">
        <v>252</v>
      </c>
      <c r="E2282">
        <v>65</v>
      </c>
      <c r="F2282" s="366">
        <f t="shared" si="288"/>
        <v>1410.5</v>
      </c>
      <c r="G2282" s="97">
        <v>3053</v>
      </c>
      <c r="H2282" s="367">
        <f t="shared" si="289"/>
        <v>4463.5</v>
      </c>
      <c r="I2282" s="368">
        <f t="shared" si="293"/>
        <v>0</v>
      </c>
      <c r="J2282" s="97">
        <v>7827</v>
      </c>
      <c r="K2282" s="367">
        <f t="shared" si="294"/>
        <v>5590.7142857142862</v>
      </c>
      <c r="L2282" s="97">
        <v>0.66</v>
      </c>
      <c r="M2282" s="97">
        <v>3.9</v>
      </c>
      <c r="N2282" s="97">
        <v>27</v>
      </c>
      <c r="O2282" s="97">
        <v>7</v>
      </c>
      <c r="P2282" s="97" t="s">
        <v>514</v>
      </c>
      <c r="Q2282" s="97" t="str">
        <f t="shared" si="290"/>
        <v/>
      </c>
      <c r="R2282" t="str">
        <f t="shared" si="291"/>
        <v/>
      </c>
    </row>
    <row r="2283" spans="3:18">
      <c r="C2283" t="str">
        <f t="shared" si="292"/>
        <v>NL</v>
      </c>
      <c r="D2283" s="36">
        <v>253</v>
      </c>
      <c r="E2283">
        <v>65</v>
      </c>
      <c r="F2283" s="366">
        <f t="shared" si="288"/>
        <v>1410.5</v>
      </c>
      <c r="G2283" s="97">
        <v>2673</v>
      </c>
      <c r="H2283" s="367">
        <f t="shared" si="289"/>
        <v>4083.5</v>
      </c>
      <c r="I2283" s="368">
        <f t="shared" si="293"/>
        <v>0</v>
      </c>
      <c r="J2283" s="97">
        <v>6852</v>
      </c>
      <c r="K2283" s="367">
        <f t="shared" si="294"/>
        <v>4894.2857142857147</v>
      </c>
      <c r="L2283" s="97">
        <v>0.32</v>
      </c>
      <c r="M2283" s="97">
        <v>3.9</v>
      </c>
      <c r="N2283" s="97">
        <v>21</v>
      </c>
      <c r="O2283" s="97">
        <v>7</v>
      </c>
      <c r="P2283" s="97" t="s">
        <v>556</v>
      </c>
      <c r="Q2283" s="97" t="str">
        <f t="shared" si="290"/>
        <v/>
      </c>
      <c r="R2283" t="str">
        <f t="shared" si="291"/>
        <v/>
      </c>
    </row>
    <row r="2284" spans="3:18">
      <c r="C2284" t="str">
        <f t="shared" si="292"/>
        <v>NL</v>
      </c>
      <c r="D2284" s="36">
        <v>254</v>
      </c>
      <c r="E2284">
        <v>65</v>
      </c>
      <c r="F2284" s="366">
        <f t="shared" si="288"/>
        <v>1410.5</v>
      </c>
      <c r="G2284" s="97">
        <v>2299</v>
      </c>
      <c r="H2284" s="367">
        <f t="shared" si="289"/>
        <v>3709.5</v>
      </c>
      <c r="I2284" s="368">
        <f t="shared" si="293"/>
        <v>0</v>
      </c>
      <c r="J2284" s="97">
        <v>5895</v>
      </c>
      <c r="K2284" s="367">
        <f t="shared" si="294"/>
        <v>4210.7142857142862</v>
      </c>
      <c r="L2284" s="97">
        <v>0.2</v>
      </c>
      <c r="M2284" s="97">
        <v>3.9</v>
      </c>
      <c r="N2284" s="97">
        <v>19</v>
      </c>
      <c r="O2284" s="97">
        <v>7</v>
      </c>
      <c r="P2284" s="97" t="s">
        <v>515</v>
      </c>
      <c r="Q2284" s="97" t="str">
        <f t="shared" si="290"/>
        <v/>
      </c>
      <c r="R2284" t="str">
        <f t="shared" si="291"/>
        <v/>
      </c>
    </row>
    <row r="2285" spans="3:18">
      <c r="C2285" t="str">
        <f t="shared" si="292"/>
        <v/>
      </c>
      <c r="D2285" s="36">
        <v>255</v>
      </c>
      <c r="E2285">
        <v>65</v>
      </c>
      <c r="F2285" s="366">
        <f t="shared" si="288"/>
        <v>1410.5</v>
      </c>
      <c r="G2285" s="97">
        <v>3537</v>
      </c>
      <c r="H2285" s="367">
        <f t="shared" si="289"/>
        <v>4947.5</v>
      </c>
      <c r="I2285" s="368">
        <f t="shared" si="293"/>
        <v>0</v>
      </c>
      <c r="J2285" s="97">
        <v>9067</v>
      </c>
      <c r="K2285" s="367">
        <f t="shared" si="294"/>
        <v>6476.4285714285716</v>
      </c>
      <c r="L2285" s="97">
        <v>0.77</v>
      </c>
      <c r="M2285" s="97">
        <v>4.3999999999999995</v>
      </c>
      <c r="N2285" s="97">
        <v>25</v>
      </c>
      <c r="O2285" s="97">
        <v>8</v>
      </c>
      <c r="P2285" s="97" t="s">
        <v>555</v>
      </c>
      <c r="Q2285" s="97" t="str">
        <f t="shared" si="290"/>
        <v/>
      </c>
      <c r="R2285" t="str">
        <f t="shared" si="291"/>
        <v/>
      </c>
    </row>
    <row r="2286" spans="3:18">
      <c r="C2286" t="str">
        <f t="shared" si="292"/>
        <v/>
      </c>
      <c r="D2286" s="36">
        <v>256</v>
      </c>
      <c r="E2286">
        <v>65</v>
      </c>
      <c r="F2286" s="366">
        <f t="shared" si="288"/>
        <v>1410.5</v>
      </c>
      <c r="G2286" s="97">
        <v>3200</v>
      </c>
      <c r="H2286" s="367">
        <f t="shared" si="289"/>
        <v>4610.5</v>
      </c>
      <c r="I2286" s="368">
        <f t="shared" si="293"/>
        <v>0</v>
      </c>
      <c r="J2286" s="97">
        <v>8203</v>
      </c>
      <c r="K2286" s="367">
        <f t="shared" si="294"/>
        <v>5859.2857142857147</v>
      </c>
      <c r="L2286" s="97">
        <v>0.53</v>
      </c>
      <c r="M2286" s="97">
        <v>4.3999999999999995</v>
      </c>
      <c r="N2286" s="97">
        <v>26</v>
      </c>
      <c r="O2286" s="97">
        <v>8</v>
      </c>
      <c r="P2286" s="97" t="s">
        <v>514</v>
      </c>
      <c r="Q2286" s="97">
        <f t="shared" si="290"/>
        <v>256</v>
      </c>
      <c r="R2286" t="str">
        <f t="shared" si="291"/>
        <v/>
      </c>
    </row>
    <row r="2287" spans="3:18">
      <c r="C2287" t="str">
        <f t="shared" si="292"/>
        <v/>
      </c>
      <c r="D2287" s="36">
        <v>257</v>
      </c>
      <c r="E2287">
        <v>65</v>
      </c>
      <c r="F2287" s="366">
        <f t="shared" ref="F2287:F2547" si="295">1.085*($A$2-$B$2)*E2287*$T$7</f>
        <v>1410.5</v>
      </c>
      <c r="G2287" s="97">
        <v>2876</v>
      </c>
      <c r="H2287" s="367">
        <f t="shared" ref="H2287:H2313" si="296">(G2287*$U$7)+F2287</f>
        <v>4286.5</v>
      </c>
      <c r="I2287" s="368">
        <f t="shared" si="293"/>
        <v>0</v>
      </c>
      <c r="J2287" s="97">
        <v>7373</v>
      </c>
      <c r="K2287" s="367">
        <f t="shared" si="294"/>
        <v>5266.4285714285716</v>
      </c>
      <c r="L2287" s="97">
        <v>0.25</v>
      </c>
      <c r="M2287" s="97">
        <v>4.3999999999999995</v>
      </c>
      <c r="N2287" s="97">
        <v>20</v>
      </c>
      <c r="O2287" s="97">
        <v>8</v>
      </c>
      <c r="P2287" s="97" t="s">
        <v>556</v>
      </c>
      <c r="Q2287" s="97">
        <f t="shared" ref="Q2287:Q2313" si="297">IF(AND(H2287+1&gt;$E$4,L2287&lt;$L$4+0.01,M2287&lt;$M$4+0.01,K2287+1&gt;$F$4,E2287+1&gt;$J$4,N2287&lt;$K$4+1,O2287&lt;$P$4+1,C2287=""),D2287,"")</f>
        <v>257</v>
      </c>
      <c r="R2287" t="str">
        <f t="shared" ref="R2287:R2313" si="298">IF(Q2287="","",IF(AND(O2287&lt;$X$17,E2287&gt;$U$17,E2287&lt;$Q$4+$U$17+1),D2287,""))</f>
        <v/>
      </c>
    </row>
    <row r="2288" spans="3:18">
      <c r="C2288" t="str">
        <f t="shared" si="292"/>
        <v>NL</v>
      </c>
      <c r="D2288" s="36">
        <v>258</v>
      </c>
      <c r="E2288">
        <v>65</v>
      </c>
      <c r="F2288" s="366">
        <f t="shared" si="295"/>
        <v>1410.5</v>
      </c>
      <c r="G2288" s="97">
        <v>3696</v>
      </c>
      <c r="H2288" s="367">
        <f t="shared" si="296"/>
        <v>5106.5</v>
      </c>
      <c r="I2288" s="368">
        <f t="shared" si="293"/>
        <v>0</v>
      </c>
      <c r="J2288" s="97">
        <v>9476</v>
      </c>
      <c r="K2288" s="367">
        <f t="shared" si="294"/>
        <v>6768.5714285714284</v>
      </c>
      <c r="L2288" s="97">
        <v>0.61</v>
      </c>
      <c r="M2288" s="97">
        <v>4.8999999999999995</v>
      </c>
      <c r="N2288" s="97">
        <v>24</v>
      </c>
      <c r="O2288" s="97">
        <v>9</v>
      </c>
      <c r="P2288" s="97" t="s">
        <v>555</v>
      </c>
      <c r="Q2288" s="97" t="str">
        <f t="shared" si="297"/>
        <v/>
      </c>
      <c r="R2288" t="str">
        <f t="shared" si="298"/>
        <v/>
      </c>
    </row>
    <row r="2289" spans="3:18">
      <c r="C2289" t="str">
        <f t="shared" si="292"/>
        <v>NL</v>
      </c>
      <c r="D2289" s="36">
        <v>259</v>
      </c>
      <c r="E2289">
        <v>65</v>
      </c>
      <c r="F2289" s="366">
        <f t="shared" si="295"/>
        <v>1410.5</v>
      </c>
      <c r="G2289" s="97">
        <v>3363</v>
      </c>
      <c r="H2289" s="367">
        <f t="shared" si="296"/>
        <v>4773.5</v>
      </c>
      <c r="I2289" s="368">
        <f t="shared" si="293"/>
        <v>0</v>
      </c>
      <c r="J2289" s="97">
        <v>8621</v>
      </c>
      <c r="K2289" s="367">
        <f t="shared" si="294"/>
        <v>6157.8571428571431</v>
      </c>
      <c r="L2289" s="97">
        <v>0.43</v>
      </c>
      <c r="M2289" s="97">
        <v>4.8999999999999995</v>
      </c>
      <c r="N2289" s="97">
        <v>26</v>
      </c>
      <c r="O2289" s="97">
        <v>9</v>
      </c>
      <c r="P2289" s="97" t="s">
        <v>514</v>
      </c>
      <c r="Q2289" s="97" t="str">
        <f t="shared" si="297"/>
        <v/>
      </c>
      <c r="R2289" t="str">
        <f t="shared" si="298"/>
        <v/>
      </c>
    </row>
    <row r="2290" spans="3:18">
      <c r="C2290" t="str">
        <f t="shared" si="292"/>
        <v>NL</v>
      </c>
      <c r="D2290" s="36">
        <v>260</v>
      </c>
      <c r="E2290">
        <v>65</v>
      </c>
      <c r="F2290" s="366">
        <f t="shared" si="295"/>
        <v>1410.5</v>
      </c>
      <c r="G2290" s="97">
        <v>2927</v>
      </c>
      <c r="H2290" s="367">
        <f t="shared" si="296"/>
        <v>4337.5</v>
      </c>
      <c r="I2290" s="368">
        <f t="shared" si="293"/>
        <v>0</v>
      </c>
      <c r="J2290" s="97">
        <v>7503</v>
      </c>
      <c r="K2290" s="367">
        <f t="shared" si="294"/>
        <v>5359.2857142857147</v>
      </c>
      <c r="L2290" s="97">
        <v>0.21000000000000002</v>
      </c>
      <c r="M2290" s="97">
        <v>4.8999999999999995</v>
      </c>
      <c r="N2290" s="97">
        <v>21</v>
      </c>
      <c r="O2290" s="97">
        <v>9</v>
      </c>
      <c r="P2290" s="97" t="s">
        <v>556</v>
      </c>
      <c r="Q2290" s="97" t="str">
        <f t="shared" si="297"/>
        <v/>
      </c>
      <c r="R2290" t="str">
        <f t="shared" si="298"/>
        <v/>
      </c>
    </row>
    <row r="2291" spans="3:18">
      <c r="C2291" t="str">
        <f t="shared" si="292"/>
        <v/>
      </c>
      <c r="D2291" s="36">
        <v>261</v>
      </c>
      <c r="E2291">
        <v>65</v>
      </c>
      <c r="F2291" s="366">
        <f t="shared" si="295"/>
        <v>1410.5</v>
      </c>
      <c r="G2291" s="97">
        <v>3901</v>
      </c>
      <c r="H2291" s="367">
        <f t="shared" si="296"/>
        <v>5311.5</v>
      </c>
      <c r="I2291" s="368">
        <f t="shared" si="293"/>
        <v>0</v>
      </c>
      <c r="J2291" s="97">
        <v>10001</v>
      </c>
      <c r="K2291" s="367">
        <f t="shared" si="294"/>
        <v>7143.5714285714284</v>
      </c>
      <c r="L2291" s="97">
        <v>0.51</v>
      </c>
      <c r="M2291" s="97">
        <v>5.3999999999999995</v>
      </c>
      <c r="N2291" s="97">
        <v>23</v>
      </c>
      <c r="O2291" s="97">
        <v>10</v>
      </c>
      <c r="P2291" s="97" t="s">
        <v>555</v>
      </c>
      <c r="Q2291" s="97" t="str">
        <f t="shared" si="297"/>
        <v/>
      </c>
      <c r="R2291" t="str">
        <f t="shared" si="298"/>
        <v/>
      </c>
    </row>
    <row r="2292" spans="3:18">
      <c r="C2292" t="str">
        <f t="shared" si="292"/>
        <v/>
      </c>
      <c r="D2292" s="36">
        <v>262</v>
      </c>
      <c r="E2292">
        <v>65</v>
      </c>
      <c r="F2292" s="366">
        <f t="shared" si="295"/>
        <v>1410.5</v>
      </c>
      <c r="G2292" s="97">
        <v>3483</v>
      </c>
      <c r="H2292" s="367">
        <f t="shared" si="296"/>
        <v>4893.5</v>
      </c>
      <c r="I2292" s="368">
        <f t="shared" si="293"/>
        <v>0</v>
      </c>
      <c r="J2292" s="97">
        <v>8928</v>
      </c>
      <c r="K2292" s="367">
        <f t="shared" si="294"/>
        <v>6377.1428571428569</v>
      </c>
      <c r="L2292" s="97">
        <v>0.35000000000000003</v>
      </c>
      <c r="M2292" s="97">
        <v>5.3999999999999995</v>
      </c>
      <c r="N2292" s="97">
        <v>25</v>
      </c>
      <c r="O2292" s="97">
        <v>10</v>
      </c>
      <c r="P2292" s="97" t="s">
        <v>514</v>
      </c>
      <c r="Q2292" s="97" t="str">
        <f t="shared" si="297"/>
        <v/>
      </c>
      <c r="R2292" t="str">
        <f t="shared" si="298"/>
        <v/>
      </c>
    </row>
    <row r="2293" spans="3:18">
      <c r="C2293" t="str">
        <f t="shared" si="292"/>
        <v/>
      </c>
      <c r="D2293" s="36">
        <v>263</v>
      </c>
      <c r="E2293">
        <v>65</v>
      </c>
      <c r="F2293" s="366">
        <f t="shared" si="295"/>
        <v>1410.5</v>
      </c>
      <c r="G2293" s="97">
        <v>2975</v>
      </c>
      <c r="H2293" s="367">
        <f t="shared" si="296"/>
        <v>4385.5</v>
      </c>
      <c r="I2293" s="368">
        <f t="shared" si="293"/>
        <v>0</v>
      </c>
      <c r="J2293" s="97">
        <v>7628</v>
      </c>
      <c r="K2293" s="367">
        <f t="shared" si="294"/>
        <v>5448.5714285714284</v>
      </c>
      <c r="L2293" s="97">
        <v>0.17</v>
      </c>
      <c r="M2293" s="97">
        <v>5.3999999999999995</v>
      </c>
      <c r="N2293" s="97">
        <v>20</v>
      </c>
      <c r="O2293" s="97">
        <v>10</v>
      </c>
      <c r="P2293" s="97" t="s">
        <v>556</v>
      </c>
      <c r="Q2293" s="97" t="str">
        <f t="shared" si="297"/>
        <v/>
      </c>
      <c r="R2293" t="str">
        <f t="shared" si="298"/>
        <v/>
      </c>
    </row>
    <row r="2294" spans="3:18">
      <c r="C2294" t="str">
        <f t="shared" si="292"/>
        <v/>
      </c>
      <c r="D2294" s="36">
        <v>264</v>
      </c>
      <c r="E2294">
        <v>70</v>
      </c>
      <c r="F2294" s="366">
        <f t="shared" si="295"/>
        <v>1519</v>
      </c>
      <c r="G2294" s="97">
        <v>2152</v>
      </c>
      <c r="H2294" s="367">
        <f t="shared" si="296"/>
        <v>3671</v>
      </c>
      <c r="I2294" s="368">
        <f t="shared" si="293"/>
        <v>0</v>
      </c>
      <c r="J2294" s="97">
        <v>5518</v>
      </c>
      <c r="K2294" s="367">
        <f t="shared" si="294"/>
        <v>3941.4285714285716</v>
      </c>
      <c r="L2294" s="97">
        <v>0.65</v>
      </c>
      <c r="M2294" s="97">
        <v>2.3000000000000003</v>
      </c>
      <c r="N2294" s="97">
        <v>24</v>
      </c>
      <c r="O2294" s="97">
        <v>4</v>
      </c>
      <c r="P2294" s="97" t="s">
        <v>515</v>
      </c>
      <c r="Q2294" s="97">
        <f t="shared" si="297"/>
        <v>264</v>
      </c>
      <c r="R2294" t="str">
        <f t="shared" si="298"/>
        <v/>
      </c>
    </row>
    <row r="2295" spans="3:18">
      <c r="C2295" t="str">
        <f t="shared" si="292"/>
        <v>NL</v>
      </c>
      <c r="D2295" s="36">
        <v>265</v>
      </c>
      <c r="E2295">
        <v>70</v>
      </c>
      <c r="F2295" s="366">
        <f t="shared" si="295"/>
        <v>1519</v>
      </c>
      <c r="G2295" s="97">
        <v>2641</v>
      </c>
      <c r="H2295" s="367">
        <f t="shared" si="296"/>
        <v>4160</v>
      </c>
      <c r="I2295" s="368">
        <f t="shared" si="293"/>
        <v>0</v>
      </c>
      <c r="J2295" s="97">
        <v>6771</v>
      </c>
      <c r="K2295" s="367">
        <f t="shared" si="294"/>
        <v>4836.4285714285716</v>
      </c>
      <c r="L2295" s="97">
        <v>0.71</v>
      </c>
      <c r="M2295" s="97">
        <v>2.8000000000000003</v>
      </c>
      <c r="N2295" s="97">
        <v>25</v>
      </c>
      <c r="O2295" s="97">
        <v>5</v>
      </c>
      <c r="P2295" s="97" t="s">
        <v>556</v>
      </c>
      <c r="Q2295" s="97" t="str">
        <f t="shared" si="297"/>
        <v/>
      </c>
      <c r="R2295" t="str">
        <f t="shared" si="298"/>
        <v/>
      </c>
    </row>
    <row r="2296" spans="3:18">
      <c r="C2296" t="str">
        <f t="shared" si="292"/>
        <v>NL</v>
      </c>
      <c r="D2296" s="36">
        <v>266</v>
      </c>
      <c r="E2296">
        <v>70</v>
      </c>
      <c r="F2296" s="366">
        <f t="shared" si="295"/>
        <v>1519</v>
      </c>
      <c r="G2296" s="97">
        <v>2222</v>
      </c>
      <c r="H2296" s="367">
        <f t="shared" si="296"/>
        <v>3741</v>
      </c>
      <c r="I2296" s="368">
        <f t="shared" si="293"/>
        <v>0</v>
      </c>
      <c r="J2296" s="97">
        <v>5697</v>
      </c>
      <c r="K2296" s="367">
        <f t="shared" si="294"/>
        <v>4069.2857142857142</v>
      </c>
      <c r="L2296" s="97">
        <v>0.44</v>
      </c>
      <c r="M2296" s="97">
        <v>2.8000000000000003</v>
      </c>
      <c r="N2296" s="97">
        <v>23</v>
      </c>
      <c r="O2296" s="97">
        <v>5</v>
      </c>
      <c r="P2296" s="97" t="s">
        <v>515</v>
      </c>
      <c r="Q2296" s="97" t="str">
        <f t="shared" si="297"/>
        <v/>
      </c>
      <c r="R2296" t="str">
        <f t="shared" si="298"/>
        <v/>
      </c>
    </row>
    <row r="2297" spans="3:18">
      <c r="C2297" t="str">
        <f t="shared" si="292"/>
        <v/>
      </c>
      <c r="D2297" s="36">
        <v>267</v>
      </c>
      <c r="E2297">
        <v>70</v>
      </c>
      <c r="F2297" s="366">
        <f t="shared" si="295"/>
        <v>1519</v>
      </c>
      <c r="G2297" s="97">
        <v>3358</v>
      </c>
      <c r="H2297" s="367">
        <f t="shared" si="296"/>
        <v>4877</v>
      </c>
      <c r="I2297" s="368">
        <f t="shared" si="293"/>
        <v>0</v>
      </c>
      <c r="J2297" s="97">
        <v>8608</v>
      </c>
      <c r="K2297" s="367">
        <f t="shared" si="294"/>
        <v>6148.5714285714284</v>
      </c>
      <c r="L2297" s="97">
        <v>1.03</v>
      </c>
      <c r="M2297" s="97">
        <v>3.4</v>
      </c>
      <c r="N2297" s="97">
        <v>29</v>
      </c>
      <c r="O2297" s="97">
        <v>6</v>
      </c>
      <c r="P2297" s="97" t="s">
        <v>514</v>
      </c>
      <c r="Q2297" s="97" t="str">
        <f t="shared" si="297"/>
        <v/>
      </c>
      <c r="R2297" t="str">
        <f t="shared" si="298"/>
        <v/>
      </c>
    </row>
    <row r="2298" spans="3:18">
      <c r="C2298" t="str">
        <f t="shared" si="292"/>
        <v/>
      </c>
      <c r="D2298" s="36">
        <v>268</v>
      </c>
      <c r="E2298">
        <v>70</v>
      </c>
      <c r="F2298" s="366">
        <f t="shared" si="295"/>
        <v>1519</v>
      </c>
      <c r="G2298" s="97">
        <v>2646</v>
      </c>
      <c r="H2298" s="367">
        <f t="shared" si="296"/>
        <v>4165</v>
      </c>
      <c r="I2298" s="368">
        <f t="shared" si="293"/>
        <v>0</v>
      </c>
      <c r="J2298" s="97">
        <v>6782</v>
      </c>
      <c r="K2298" s="367">
        <f t="shared" si="294"/>
        <v>4844.2857142857147</v>
      </c>
      <c r="L2298" s="97">
        <v>0.5</v>
      </c>
      <c r="M2298" s="97">
        <v>3.4</v>
      </c>
      <c r="N2298" s="97">
        <v>24</v>
      </c>
      <c r="O2298" s="97">
        <v>6</v>
      </c>
      <c r="P2298" s="97" t="s">
        <v>556</v>
      </c>
      <c r="Q2298" s="97">
        <f t="shared" si="297"/>
        <v>268</v>
      </c>
      <c r="R2298" t="str">
        <f t="shared" si="298"/>
        <v/>
      </c>
    </row>
    <row r="2299" spans="3:18">
      <c r="C2299" t="str">
        <f t="shared" si="292"/>
        <v/>
      </c>
      <c r="D2299" s="36">
        <v>269</v>
      </c>
      <c r="E2299">
        <v>70</v>
      </c>
      <c r="F2299" s="366">
        <f t="shared" si="295"/>
        <v>1519</v>
      </c>
      <c r="G2299" s="97">
        <v>2239</v>
      </c>
      <c r="H2299" s="367">
        <f t="shared" si="296"/>
        <v>3758</v>
      </c>
      <c r="I2299" s="368">
        <f t="shared" si="293"/>
        <v>0</v>
      </c>
      <c r="J2299" s="97">
        <v>5741</v>
      </c>
      <c r="K2299" s="367">
        <f t="shared" si="294"/>
        <v>4100.7142857142862</v>
      </c>
      <c r="L2299" s="97">
        <v>0.3</v>
      </c>
      <c r="M2299" s="97">
        <v>3.4</v>
      </c>
      <c r="N2299" s="97">
        <v>21</v>
      </c>
      <c r="O2299" s="97">
        <v>6</v>
      </c>
      <c r="P2299" s="97" t="s">
        <v>515</v>
      </c>
      <c r="Q2299" s="97">
        <f t="shared" si="297"/>
        <v>269</v>
      </c>
      <c r="R2299" t="str">
        <f t="shared" si="298"/>
        <v/>
      </c>
    </row>
    <row r="2300" spans="3:18">
      <c r="C2300" t="str">
        <f t="shared" si="292"/>
        <v>NL</v>
      </c>
      <c r="D2300" s="36">
        <v>270</v>
      </c>
      <c r="E2300">
        <v>70</v>
      </c>
      <c r="F2300" s="366">
        <f t="shared" si="295"/>
        <v>1519</v>
      </c>
      <c r="G2300" s="97">
        <v>3233</v>
      </c>
      <c r="H2300" s="367">
        <f t="shared" si="296"/>
        <v>4752</v>
      </c>
      <c r="I2300" s="368">
        <f t="shared" si="293"/>
        <v>0</v>
      </c>
      <c r="J2300" s="97">
        <v>8288</v>
      </c>
      <c r="K2300" s="367">
        <f t="shared" si="294"/>
        <v>5920</v>
      </c>
      <c r="L2300" s="97">
        <v>0.77</v>
      </c>
      <c r="M2300" s="97">
        <v>3.9</v>
      </c>
      <c r="N2300" s="97">
        <v>27</v>
      </c>
      <c r="O2300" s="97">
        <v>7</v>
      </c>
      <c r="P2300" s="97" t="s">
        <v>514</v>
      </c>
      <c r="Q2300" s="97" t="str">
        <f t="shared" si="297"/>
        <v/>
      </c>
      <c r="R2300" t="str">
        <f t="shared" si="298"/>
        <v/>
      </c>
    </row>
    <row r="2301" spans="3:18">
      <c r="C2301" t="str">
        <f t="shared" si="292"/>
        <v>NL</v>
      </c>
      <c r="D2301" s="36">
        <v>271</v>
      </c>
      <c r="E2301">
        <v>70</v>
      </c>
      <c r="F2301" s="366">
        <f t="shared" si="295"/>
        <v>1519</v>
      </c>
      <c r="G2301" s="97">
        <v>2806</v>
      </c>
      <c r="H2301" s="367">
        <f t="shared" si="296"/>
        <v>4325</v>
      </c>
      <c r="I2301" s="368">
        <f t="shared" si="293"/>
        <v>0</v>
      </c>
      <c r="J2301" s="97">
        <v>7193</v>
      </c>
      <c r="K2301" s="367">
        <f t="shared" si="294"/>
        <v>5137.8571428571431</v>
      </c>
      <c r="L2301" s="97">
        <v>0.37</v>
      </c>
      <c r="M2301" s="97">
        <v>3.9</v>
      </c>
      <c r="N2301" s="97">
        <v>22</v>
      </c>
      <c r="O2301" s="97">
        <v>7</v>
      </c>
      <c r="P2301" s="97" t="s">
        <v>556</v>
      </c>
      <c r="Q2301" s="97" t="str">
        <f t="shared" si="297"/>
        <v/>
      </c>
      <c r="R2301" t="str">
        <f t="shared" si="298"/>
        <v/>
      </c>
    </row>
    <row r="2302" spans="3:18">
      <c r="C2302" t="str">
        <f t="shared" si="292"/>
        <v>NL</v>
      </c>
      <c r="D2302" s="36">
        <v>272</v>
      </c>
      <c r="E2302">
        <v>70</v>
      </c>
      <c r="F2302" s="366">
        <f t="shared" si="295"/>
        <v>1519</v>
      </c>
      <c r="G2302" s="97">
        <v>2418</v>
      </c>
      <c r="H2302" s="367">
        <f t="shared" si="296"/>
        <v>3937</v>
      </c>
      <c r="I2302" s="368">
        <f t="shared" si="293"/>
        <v>0</v>
      </c>
      <c r="J2302" s="97">
        <v>6200</v>
      </c>
      <c r="K2302" s="367">
        <f t="shared" si="294"/>
        <v>4428.5714285714284</v>
      </c>
      <c r="L2302" s="97">
        <v>0.23</v>
      </c>
      <c r="M2302" s="97">
        <v>3.9</v>
      </c>
      <c r="N2302" s="97">
        <v>20</v>
      </c>
      <c r="O2302" s="97">
        <v>7</v>
      </c>
      <c r="P2302" s="97" t="s">
        <v>515</v>
      </c>
      <c r="Q2302" s="97" t="str">
        <f t="shared" si="297"/>
        <v/>
      </c>
      <c r="R2302" t="str">
        <f t="shared" si="298"/>
        <v/>
      </c>
    </row>
    <row r="2303" spans="3:18">
      <c r="C2303" t="str">
        <f t="shared" si="292"/>
        <v/>
      </c>
      <c r="D2303" s="36">
        <v>273</v>
      </c>
      <c r="E2303">
        <v>70</v>
      </c>
      <c r="F2303" s="366">
        <f t="shared" si="295"/>
        <v>1519</v>
      </c>
      <c r="G2303" s="97">
        <v>3722</v>
      </c>
      <c r="H2303" s="367">
        <f t="shared" si="296"/>
        <v>5241</v>
      </c>
      <c r="I2303" s="368">
        <f t="shared" si="293"/>
        <v>0</v>
      </c>
      <c r="J2303" s="97">
        <v>9543</v>
      </c>
      <c r="K2303" s="367">
        <f t="shared" si="294"/>
        <v>6816.4285714285716</v>
      </c>
      <c r="L2303" s="97">
        <v>0.89</v>
      </c>
      <c r="M2303" s="97">
        <v>4.3999999999999995</v>
      </c>
      <c r="N2303" s="97">
        <v>26</v>
      </c>
      <c r="O2303" s="97">
        <v>8</v>
      </c>
      <c r="P2303" s="97" t="s">
        <v>555</v>
      </c>
      <c r="Q2303" s="97" t="str">
        <f t="shared" si="297"/>
        <v/>
      </c>
      <c r="R2303" t="str">
        <f t="shared" si="298"/>
        <v/>
      </c>
    </row>
    <row r="2304" spans="3:18">
      <c r="C2304" t="str">
        <f t="shared" si="292"/>
        <v/>
      </c>
      <c r="D2304" s="36">
        <v>274</v>
      </c>
      <c r="E2304">
        <v>70</v>
      </c>
      <c r="F2304" s="366">
        <f t="shared" si="295"/>
        <v>1519</v>
      </c>
      <c r="G2304" s="97">
        <v>3317</v>
      </c>
      <c r="H2304" s="367">
        <f t="shared" si="296"/>
        <v>4836</v>
      </c>
      <c r="I2304" s="368">
        <f t="shared" si="293"/>
        <v>0</v>
      </c>
      <c r="J2304" s="97">
        <v>8504</v>
      </c>
      <c r="K2304" s="367">
        <f t="shared" si="294"/>
        <v>6074.2857142857147</v>
      </c>
      <c r="L2304" s="97">
        <v>0.61</v>
      </c>
      <c r="M2304" s="97">
        <v>4.3999999999999995</v>
      </c>
      <c r="N2304" s="97">
        <v>27</v>
      </c>
      <c r="O2304" s="97">
        <v>8</v>
      </c>
      <c r="P2304" s="97" t="s">
        <v>514</v>
      </c>
      <c r="Q2304" s="97">
        <f t="shared" si="297"/>
        <v>274</v>
      </c>
      <c r="R2304" t="str">
        <f t="shared" si="298"/>
        <v/>
      </c>
    </row>
    <row r="2305" spans="3:18">
      <c r="C2305" t="str">
        <f t="shared" si="292"/>
        <v/>
      </c>
      <c r="D2305" s="36">
        <v>275</v>
      </c>
      <c r="E2305">
        <v>70</v>
      </c>
      <c r="F2305" s="366">
        <f t="shared" si="295"/>
        <v>1519</v>
      </c>
      <c r="G2305" s="97">
        <v>3015</v>
      </c>
      <c r="H2305" s="367">
        <f t="shared" si="296"/>
        <v>4534</v>
      </c>
      <c r="I2305" s="368">
        <f t="shared" si="293"/>
        <v>0</v>
      </c>
      <c r="J2305" s="97">
        <v>7731</v>
      </c>
      <c r="K2305" s="367">
        <f t="shared" si="294"/>
        <v>5522.1428571428569</v>
      </c>
      <c r="L2305" s="97">
        <v>0.29000000000000004</v>
      </c>
      <c r="M2305" s="97">
        <v>4.3999999999999995</v>
      </c>
      <c r="N2305" s="97">
        <v>21</v>
      </c>
      <c r="O2305" s="97">
        <v>8</v>
      </c>
      <c r="P2305" s="97" t="s">
        <v>556</v>
      </c>
      <c r="Q2305" s="97">
        <f t="shared" si="297"/>
        <v>275</v>
      </c>
      <c r="R2305" t="str">
        <f t="shared" si="298"/>
        <v/>
      </c>
    </row>
    <row r="2306" spans="3:18">
      <c r="C2306" t="str">
        <f t="shared" si="292"/>
        <v/>
      </c>
      <c r="D2306" s="36">
        <v>276</v>
      </c>
      <c r="E2306">
        <v>70</v>
      </c>
      <c r="F2306" s="366">
        <f t="shared" si="295"/>
        <v>1519</v>
      </c>
      <c r="G2306" s="97">
        <v>2612</v>
      </c>
      <c r="H2306" s="367">
        <f t="shared" si="296"/>
        <v>4131</v>
      </c>
      <c r="I2306" s="368">
        <f t="shared" si="293"/>
        <v>0</v>
      </c>
      <c r="J2306" s="97">
        <v>6697</v>
      </c>
      <c r="K2306" s="367">
        <f t="shared" si="294"/>
        <v>4783.5714285714284</v>
      </c>
      <c r="L2306" s="97">
        <v>0.18000000000000002</v>
      </c>
      <c r="M2306" s="97">
        <v>4.3999999999999995</v>
      </c>
      <c r="N2306" s="97">
        <v>19</v>
      </c>
      <c r="O2306" s="97">
        <v>8</v>
      </c>
      <c r="P2306" s="97" t="s">
        <v>515</v>
      </c>
      <c r="Q2306" s="97">
        <f t="shared" si="297"/>
        <v>276</v>
      </c>
      <c r="R2306" t="str">
        <f t="shared" si="298"/>
        <v/>
      </c>
    </row>
    <row r="2307" spans="3:18">
      <c r="C2307" t="str">
        <f t="shared" si="292"/>
        <v>NL</v>
      </c>
      <c r="D2307" s="36">
        <v>277</v>
      </c>
      <c r="E2307">
        <v>70</v>
      </c>
      <c r="F2307" s="366">
        <f t="shared" si="295"/>
        <v>1519</v>
      </c>
      <c r="G2307" s="97">
        <v>3815</v>
      </c>
      <c r="H2307" s="367">
        <f t="shared" si="296"/>
        <v>5334</v>
      </c>
      <c r="I2307" s="368">
        <f t="shared" si="293"/>
        <v>0</v>
      </c>
      <c r="J2307" s="97">
        <v>9780</v>
      </c>
      <c r="K2307" s="367">
        <f t="shared" si="294"/>
        <v>6985.7142857142862</v>
      </c>
      <c r="L2307" s="97">
        <v>0.71</v>
      </c>
      <c r="M2307" s="97">
        <v>4.8999999999999995</v>
      </c>
      <c r="N2307" s="97">
        <v>25</v>
      </c>
      <c r="O2307" s="97">
        <v>9</v>
      </c>
      <c r="P2307" s="97" t="s">
        <v>555</v>
      </c>
      <c r="Q2307" s="97" t="str">
        <f t="shared" si="297"/>
        <v/>
      </c>
      <c r="R2307" t="str">
        <f t="shared" si="298"/>
        <v/>
      </c>
    </row>
    <row r="2308" spans="3:18">
      <c r="C2308" t="str">
        <f t="shared" si="292"/>
        <v>NL</v>
      </c>
      <c r="D2308" s="36">
        <v>278</v>
      </c>
      <c r="E2308">
        <v>70</v>
      </c>
      <c r="F2308" s="366">
        <f t="shared" si="295"/>
        <v>1519</v>
      </c>
      <c r="G2308" s="97">
        <v>3466</v>
      </c>
      <c r="H2308" s="367">
        <f t="shared" si="296"/>
        <v>4985</v>
      </c>
      <c r="I2308" s="368">
        <f t="shared" si="293"/>
        <v>0</v>
      </c>
      <c r="J2308" s="97">
        <v>8886</v>
      </c>
      <c r="K2308" s="367">
        <f t="shared" si="294"/>
        <v>6347.1428571428569</v>
      </c>
      <c r="L2308" s="97">
        <v>0.49</v>
      </c>
      <c r="M2308" s="97">
        <v>4.8999999999999995</v>
      </c>
      <c r="N2308" s="97">
        <v>27</v>
      </c>
      <c r="O2308" s="97">
        <v>9</v>
      </c>
      <c r="P2308" s="97" t="s">
        <v>514</v>
      </c>
      <c r="Q2308" s="97" t="str">
        <f t="shared" si="297"/>
        <v/>
      </c>
      <c r="R2308" t="str">
        <f t="shared" si="298"/>
        <v/>
      </c>
    </row>
    <row r="2309" spans="3:18">
      <c r="C2309" t="str">
        <f t="shared" si="292"/>
        <v>NL</v>
      </c>
      <c r="D2309" s="36">
        <v>279</v>
      </c>
      <c r="E2309">
        <v>70</v>
      </c>
      <c r="F2309" s="366">
        <f t="shared" si="295"/>
        <v>1519</v>
      </c>
      <c r="G2309" s="97">
        <v>3083</v>
      </c>
      <c r="H2309" s="367">
        <f t="shared" si="296"/>
        <v>4602</v>
      </c>
      <c r="I2309" s="368">
        <f t="shared" si="293"/>
        <v>0</v>
      </c>
      <c r="J2309" s="97">
        <v>7905</v>
      </c>
      <c r="K2309" s="367">
        <f t="shared" si="294"/>
        <v>5646.4285714285716</v>
      </c>
      <c r="L2309" s="97">
        <v>0.24000000000000002</v>
      </c>
      <c r="M2309" s="97">
        <v>4.8999999999999995</v>
      </c>
      <c r="N2309" s="97">
        <v>22</v>
      </c>
      <c r="O2309" s="97">
        <v>9</v>
      </c>
      <c r="P2309" s="97" t="s">
        <v>556</v>
      </c>
      <c r="Q2309" s="97" t="str">
        <f t="shared" si="297"/>
        <v/>
      </c>
      <c r="R2309" t="str">
        <f t="shared" si="298"/>
        <v/>
      </c>
    </row>
    <row r="2310" spans="3:18">
      <c r="C2310" t="str">
        <f t="shared" si="292"/>
        <v/>
      </c>
      <c r="D2310" s="36">
        <v>280</v>
      </c>
      <c r="E2310">
        <v>70</v>
      </c>
      <c r="F2310" s="366">
        <f t="shared" si="295"/>
        <v>1519</v>
      </c>
      <c r="G2310" s="97">
        <v>4003</v>
      </c>
      <c r="H2310" s="367">
        <f t="shared" si="296"/>
        <v>5522</v>
      </c>
      <c r="I2310" s="368">
        <f t="shared" si="293"/>
        <v>0</v>
      </c>
      <c r="J2310" s="97">
        <v>10262</v>
      </c>
      <c r="K2310" s="367">
        <f t="shared" si="294"/>
        <v>7330</v>
      </c>
      <c r="L2310" s="97">
        <v>0.59</v>
      </c>
      <c r="M2310" s="97">
        <v>5.3999999999999995</v>
      </c>
      <c r="N2310" s="97">
        <v>24</v>
      </c>
      <c r="O2310" s="97">
        <v>10</v>
      </c>
      <c r="P2310" s="97" t="s">
        <v>555</v>
      </c>
      <c r="Q2310" s="97" t="str">
        <f t="shared" si="297"/>
        <v/>
      </c>
      <c r="R2310" t="str">
        <f t="shared" si="298"/>
        <v/>
      </c>
    </row>
    <row r="2311" spans="3:18">
      <c r="C2311" t="str">
        <f t="shared" si="292"/>
        <v/>
      </c>
      <c r="D2311" s="36">
        <v>281</v>
      </c>
      <c r="E2311">
        <v>70</v>
      </c>
      <c r="F2311" s="366">
        <f t="shared" si="295"/>
        <v>1519</v>
      </c>
      <c r="G2311" s="97">
        <v>3658</v>
      </c>
      <c r="H2311" s="367">
        <f t="shared" si="296"/>
        <v>5177</v>
      </c>
      <c r="I2311" s="368">
        <f t="shared" si="293"/>
        <v>0</v>
      </c>
      <c r="J2311" s="97">
        <v>9378</v>
      </c>
      <c r="K2311" s="367">
        <f t="shared" si="294"/>
        <v>6698.5714285714284</v>
      </c>
      <c r="L2311" s="97">
        <v>0.41000000000000003</v>
      </c>
      <c r="M2311" s="97">
        <v>5.3999999999999995</v>
      </c>
      <c r="N2311" s="97">
        <v>26</v>
      </c>
      <c r="O2311" s="97">
        <v>10</v>
      </c>
      <c r="P2311" s="97" t="s">
        <v>514</v>
      </c>
      <c r="Q2311" s="97" t="str">
        <f t="shared" si="297"/>
        <v/>
      </c>
      <c r="R2311" t="str">
        <f t="shared" si="298"/>
        <v/>
      </c>
    </row>
    <row r="2312" spans="3:18">
      <c r="C2312" t="str">
        <f t="shared" si="292"/>
        <v/>
      </c>
      <c r="D2312" s="36">
        <v>282</v>
      </c>
      <c r="E2312">
        <v>70</v>
      </c>
      <c r="F2312" s="366">
        <f t="shared" si="295"/>
        <v>1519</v>
      </c>
      <c r="G2312" s="97">
        <v>3126</v>
      </c>
      <c r="H2312" s="367">
        <f t="shared" si="296"/>
        <v>4645</v>
      </c>
      <c r="I2312" s="368">
        <f t="shared" si="293"/>
        <v>0</v>
      </c>
      <c r="J2312" s="97">
        <v>8014</v>
      </c>
      <c r="K2312" s="367">
        <f t="shared" si="294"/>
        <v>5724.2857142857147</v>
      </c>
      <c r="L2312" s="97">
        <v>0.2</v>
      </c>
      <c r="M2312" s="97">
        <v>5.3999999999999995</v>
      </c>
      <c r="N2312" s="97">
        <v>21</v>
      </c>
      <c r="O2312" s="97">
        <v>10</v>
      </c>
      <c r="P2312" s="97" t="s">
        <v>556</v>
      </c>
      <c r="Q2312" s="97" t="str">
        <f t="shared" si="297"/>
        <v/>
      </c>
      <c r="R2312" t="str">
        <f t="shared" si="298"/>
        <v/>
      </c>
    </row>
    <row r="2313" spans="3:18">
      <c r="C2313" t="str">
        <f t="shared" si="292"/>
        <v/>
      </c>
      <c r="D2313" s="36">
        <v>283</v>
      </c>
      <c r="E2313">
        <v>75</v>
      </c>
      <c r="F2313" s="366">
        <f t="shared" si="295"/>
        <v>1627.5</v>
      </c>
      <c r="G2313" s="97">
        <v>2320</v>
      </c>
      <c r="H2313" s="367">
        <f t="shared" si="296"/>
        <v>3947.5</v>
      </c>
      <c r="I2313" s="368">
        <f t="shared" si="293"/>
        <v>0</v>
      </c>
      <c r="J2313" s="97">
        <v>5948</v>
      </c>
      <c r="K2313" s="367">
        <f t="shared" si="294"/>
        <v>4248.5714285714284</v>
      </c>
      <c r="L2313" s="97">
        <v>0.74</v>
      </c>
      <c r="M2313" s="97">
        <v>2.3000000000000003</v>
      </c>
      <c r="N2313" s="97">
        <v>25</v>
      </c>
      <c r="O2313" s="97">
        <v>4</v>
      </c>
      <c r="P2313" s="97" t="s">
        <v>515</v>
      </c>
      <c r="Q2313" s="97" t="str">
        <f t="shared" si="297"/>
        <v/>
      </c>
      <c r="R2313" t="str">
        <f t="shared" si="298"/>
        <v/>
      </c>
    </row>
    <row r="2314" spans="3:18">
      <c r="D2314" s="36">
        <v>284</v>
      </c>
      <c r="E2314">
        <v>75</v>
      </c>
      <c r="F2314" s="366">
        <f t="shared" ref="F2314:F2377" si="299">1.085*($A$2-$B$2)*E2314*$T$7</f>
        <v>1627.5</v>
      </c>
      <c r="G2314" s="97">
        <v>2866</v>
      </c>
      <c r="H2314" s="367">
        <f t="shared" ref="H2314:H2377" si="300">(G2314*$U$7)+F2314</f>
        <v>4493.5</v>
      </c>
      <c r="I2314" s="368">
        <f t="shared" ref="I2314:I2377" si="301">1.085*($C$2-$D$2)*E2314*$T$7</f>
        <v>0</v>
      </c>
      <c r="J2314" s="97">
        <v>7347</v>
      </c>
      <c r="K2314" s="367">
        <f t="shared" ref="K2314:K2377" si="302">(J2314*$V$7)-I2314</f>
        <v>5247.8571428571431</v>
      </c>
      <c r="L2314" s="97">
        <v>0.81</v>
      </c>
      <c r="M2314" s="97">
        <v>2.8000000000000003</v>
      </c>
      <c r="N2314" s="97">
        <v>26</v>
      </c>
      <c r="O2314" s="97">
        <v>5</v>
      </c>
      <c r="P2314" s="97" t="s">
        <v>556</v>
      </c>
      <c r="Q2314" s="97" t="str">
        <f t="shared" ref="Q2314:Q2377" si="303">IF(AND(H2314+1&gt;$E$4,L2314&lt;$L$4+0.01,M2314&lt;$M$4+0.01,K2314+1&gt;$F$4,E2314+1&gt;$J$4,N2314&lt;$K$4+1,O2314&lt;$P$4+1,C2314=""),D2314,"")</f>
        <v/>
      </c>
      <c r="R2314" t="str">
        <f t="shared" ref="R2314:R2377" si="304">IF(Q2314="","",IF(AND(O2314&lt;$X$17,E2314&gt;$U$17,E2314&lt;$Q$4+$U$17+1),D2314,""))</f>
        <v/>
      </c>
    </row>
    <row r="2315" spans="3:18">
      <c r="D2315" s="36">
        <v>285</v>
      </c>
      <c r="E2315">
        <v>75</v>
      </c>
      <c r="F2315" s="366">
        <f t="shared" si="299"/>
        <v>1627.5</v>
      </c>
      <c r="G2315" s="97">
        <v>2334</v>
      </c>
      <c r="H2315" s="367">
        <f t="shared" si="300"/>
        <v>3961.5</v>
      </c>
      <c r="I2315" s="368">
        <f t="shared" si="301"/>
        <v>0</v>
      </c>
      <c r="J2315" s="97">
        <v>5984</v>
      </c>
      <c r="K2315" s="367">
        <f t="shared" si="302"/>
        <v>4274.2857142857147</v>
      </c>
      <c r="L2315" s="97">
        <v>0.49</v>
      </c>
      <c r="M2315" s="97">
        <v>2.8000000000000003</v>
      </c>
      <c r="N2315" s="97">
        <v>24</v>
      </c>
      <c r="O2315" s="97">
        <v>5</v>
      </c>
      <c r="P2315" s="97" t="s">
        <v>515</v>
      </c>
      <c r="Q2315" s="97">
        <f t="shared" si="303"/>
        <v>285</v>
      </c>
      <c r="R2315" t="str">
        <f t="shared" si="304"/>
        <v/>
      </c>
    </row>
    <row r="2316" spans="3:18">
      <c r="D2316" s="36">
        <v>286</v>
      </c>
      <c r="E2316">
        <v>75</v>
      </c>
      <c r="F2316" s="366">
        <f t="shared" si="299"/>
        <v>1627.5</v>
      </c>
      <c r="G2316" s="97">
        <v>2797</v>
      </c>
      <c r="H2316" s="367">
        <f t="shared" si="300"/>
        <v>4424.5</v>
      </c>
      <c r="I2316" s="368">
        <f t="shared" si="301"/>
        <v>0</v>
      </c>
      <c r="J2316" s="97">
        <v>7172</v>
      </c>
      <c r="K2316" s="367">
        <f t="shared" si="302"/>
        <v>5122.8571428571431</v>
      </c>
      <c r="L2316" s="97">
        <v>0.57000000000000006</v>
      </c>
      <c r="M2316" s="97">
        <v>3.4</v>
      </c>
      <c r="N2316" s="97">
        <v>24</v>
      </c>
      <c r="O2316" s="97">
        <v>6</v>
      </c>
      <c r="P2316" s="97" t="s">
        <v>556</v>
      </c>
      <c r="Q2316" s="97">
        <f t="shared" si="303"/>
        <v>286</v>
      </c>
      <c r="R2316" t="str">
        <f t="shared" si="304"/>
        <v/>
      </c>
    </row>
    <row r="2317" spans="3:18">
      <c r="D2317" s="36">
        <v>287</v>
      </c>
      <c r="E2317">
        <v>75</v>
      </c>
      <c r="F2317" s="366">
        <f t="shared" si="299"/>
        <v>1627.5</v>
      </c>
      <c r="G2317" s="97">
        <v>2376</v>
      </c>
      <c r="H2317" s="367">
        <f t="shared" si="300"/>
        <v>4003.5</v>
      </c>
      <c r="I2317" s="368">
        <f t="shared" si="301"/>
        <v>0</v>
      </c>
      <c r="J2317" s="97">
        <v>6092</v>
      </c>
      <c r="K2317" s="367">
        <f t="shared" si="302"/>
        <v>4351.4285714285716</v>
      </c>
      <c r="L2317" s="97">
        <v>0.34</v>
      </c>
      <c r="M2317" s="97">
        <v>3.4</v>
      </c>
      <c r="N2317" s="97">
        <v>22</v>
      </c>
      <c r="O2317" s="97">
        <v>6</v>
      </c>
      <c r="P2317" s="97" t="s">
        <v>515</v>
      </c>
      <c r="Q2317" s="97">
        <f t="shared" si="303"/>
        <v>287</v>
      </c>
      <c r="R2317" t="str">
        <f t="shared" si="304"/>
        <v/>
      </c>
    </row>
    <row r="2318" spans="3:18">
      <c r="D2318" s="36">
        <v>288</v>
      </c>
      <c r="E2318">
        <v>75</v>
      </c>
      <c r="F2318" s="366">
        <f t="shared" si="299"/>
        <v>1627.5</v>
      </c>
      <c r="G2318" s="97">
        <v>3423</v>
      </c>
      <c r="H2318" s="367">
        <f t="shared" si="300"/>
        <v>5050.5</v>
      </c>
      <c r="I2318" s="368">
        <f t="shared" si="301"/>
        <v>0</v>
      </c>
      <c r="J2318" s="97">
        <v>8776</v>
      </c>
      <c r="K2318" s="367">
        <f t="shared" si="302"/>
        <v>6268.5714285714284</v>
      </c>
      <c r="L2318" s="97">
        <v>0.87</v>
      </c>
      <c r="M2318" s="97">
        <v>3.9</v>
      </c>
      <c r="N2318" s="97">
        <v>28</v>
      </c>
      <c r="O2318" s="97">
        <v>7</v>
      </c>
      <c r="P2318" s="97" t="s">
        <v>514</v>
      </c>
      <c r="Q2318" s="97" t="str">
        <f t="shared" si="303"/>
        <v/>
      </c>
      <c r="R2318" t="str">
        <f t="shared" si="304"/>
        <v/>
      </c>
    </row>
    <row r="2319" spans="3:18">
      <c r="D2319" s="36">
        <v>289</v>
      </c>
      <c r="E2319">
        <v>75</v>
      </c>
      <c r="F2319" s="366">
        <f t="shared" si="299"/>
        <v>1627.5</v>
      </c>
      <c r="G2319" s="97">
        <v>2939</v>
      </c>
      <c r="H2319" s="367">
        <f t="shared" si="300"/>
        <v>4566.5</v>
      </c>
      <c r="I2319" s="368">
        <f t="shared" si="301"/>
        <v>0</v>
      </c>
      <c r="J2319" s="97">
        <v>7533</v>
      </c>
      <c r="K2319" s="367">
        <f t="shared" si="302"/>
        <v>5380.7142857142862</v>
      </c>
      <c r="L2319" s="97">
        <v>0.42</v>
      </c>
      <c r="M2319" s="97">
        <v>3.9</v>
      </c>
      <c r="N2319" s="97">
        <v>23</v>
      </c>
      <c r="O2319" s="97">
        <v>7</v>
      </c>
      <c r="P2319" s="97" t="s">
        <v>556</v>
      </c>
      <c r="Q2319" s="97">
        <f t="shared" si="303"/>
        <v>289</v>
      </c>
      <c r="R2319" t="str">
        <f t="shared" si="304"/>
        <v/>
      </c>
    </row>
    <row r="2320" spans="3:18">
      <c r="D2320" s="36">
        <v>290</v>
      </c>
      <c r="E2320">
        <v>75</v>
      </c>
      <c r="F2320" s="366">
        <f t="shared" si="299"/>
        <v>1627.5</v>
      </c>
      <c r="G2320" s="97">
        <v>2538</v>
      </c>
      <c r="H2320" s="367">
        <f t="shared" si="300"/>
        <v>4165.5</v>
      </c>
      <c r="I2320" s="368">
        <f t="shared" si="301"/>
        <v>0</v>
      </c>
      <c r="J2320" s="97">
        <v>6506</v>
      </c>
      <c r="K2320" s="367">
        <f t="shared" si="302"/>
        <v>4647.1428571428569</v>
      </c>
      <c r="L2320" s="97">
        <v>0.25</v>
      </c>
      <c r="M2320" s="97">
        <v>3.9</v>
      </c>
      <c r="N2320" s="97">
        <v>20</v>
      </c>
      <c r="O2320" s="97">
        <v>7</v>
      </c>
      <c r="P2320" s="97" t="s">
        <v>515</v>
      </c>
      <c r="Q2320" s="97">
        <f t="shared" si="303"/>
        <v>290</v>
      </c>
      <c r="R2320" t="str">
        <f t="shared" si="304"/>
        <v/>
      </c>
    </row>
    <row r="2321" spans="4:18">
      <c r="D2321" s="36">
        <v>291</v>
      </c>
      <c r="E2321">
        <v>75</v>
      </c>
      <c r="F2321" s="366">
        <f t="shared" si="299"/>
        <v>1627.5</v>
      </c>
      <c r="G2321" s="97">
        <v>3913</v>
      </c>
      <c r="H2321" s="367">
        <f t="shared" si="300"/>
        <v>5540.5</v>
      </c>
      <c r="I2321" s="368">
        <f t="shared" si="301"/>
        <v>0</v>
      </c>
      <c r="J2321" s="97">
        <v>10030</v>
      </c>
      <c r="K2321" s="367">
        <f t="shared" si="302"/>
        <v>7164.2857142857147</v>
      </c>
      <c r="L2321" s="97">
        <v>1.02</v>
      </c>
      <c r="M2321" s="97">
        <v>4.3999999999999995</v>
      </c>
      <c r="N2321" s="97">
        <v>27</v>
      </c>
      <c r="O2321" s="97">
        <v>8</v>
      </c>
      <c r="P2321" s="97" t="s">
        <v>555</v>
      </c>
      <c r="Q2321" s="97" t="str">
        <f t="shared" si="303"/>
        <v/>
      </c>
      <c r="R2321" t="str">
        <f t="shared" si="304"/>
        <v/>
      </c>
    </row>
    <row r="2322" spans="4:18">
      <c r="D2322" s="36">
        <v>292</v>
      </c>
      <c r="E2322">
        <v>75</v>
      </c>
      <c r="F2322" s="366">
        <f t="shared" si="299"/>
        <v>1627.5</v>
      </c>
      <c r="G2322" s="97">
        <v>3480</v>
      </c>
      <c r="H2322" s="367">
        <f t="shared" si="300"/>
        <v>5107.5</v>
      </c>
      <c r="I2322" s="368">
        <f t="shared" si="301"/>
        <v>0</v>
      </c>
      <c r="J2322" s="97">
        <v>8921</v>
      </c>
      <c r="K2322" s="367">
        <f t="shared" si="302"/>
        <v>6372.1428571428569</v>
      </c>
      <c r="L2322" s="97">
        <v>0.69000000000000006</v>
      </c>
      <c r="M2322" s="97">
        <v>4.3999999999999995</v>
      </c>
      <c r="N2322" s="97">
        <v>28</v>
      </c>
      <c r="O2322" s="97">
        <v>8</v>
      </c>
      <c r="P2322" s="97" t="s">
        <v>514</v>
      </c>
      <c r="Q2322" s="97">
        <f t="shared" si="303"/>
        <v>292</v>
      </c>
      <c r="R2322" t="str">
        <f t="shared" si="304"/>
        <v/>
      </c>
    </row>
    <row r="2323" spans="4:18">
      <c r="D2323" s="36">
        <v>293</v>
      </c>
      <c r="E2323">
        <v>75</v>
      </c>
      <c r="F2323" s="366">
        <f t="shared" si="299"/>
        <v>1627.5</v>
      </c>
      <c r="G2323" s="97">
        <v>3110</v>
      </c>
      <c r="H2323" s="367">
        <f t="shared" si="300"/>
        <v>4737.5</v>
      </c>
      <c r="I2323" s="368">
        <f t="shared" si="301"/>
        <v>0</v>
      </c>
      <c r="J2323" s="97">
        <v>7974</v>
      </c>
      <c r="K2323" s="367">
        <f t="shared" si="302"/>
        <v>5695.7142857142862</v>
      </c>
      <c r="L2323" s="97">
        <v>0.33</v>
      </c>
      <c r="M2323" s="97">
        <v>4.3999999999999995</v>
      </c>
      <c r="N2323" s="97">
        <v>22</v>
      </c>
      <c r="O2323" s="97">
        <v>8</v>
      </c>
      <c r="P2323" s="97" t="s">
        <v>556</v>
      </c>
      <c r="Q2323" s="97">
        <f t="shared" si="303"/>
        <v>293</v>
      </c>
      <c r="R2323" t="str">
        <f t="shared" si="304"/>
        <v/>
      </c>
    </row>
    <row r="2324" spans="4:18">
      <c r="D2324" s="36">
        <v>294</v>
      </c>
      <c r="E2324">
        <v>75</v>
      </c>
      <c r="F2324" s="366">
        <f t="shared" si="299"/>
        <v>1627.5</v>
      </c>
      <c r="G2324" s="97">
        <v>2742</v>
      </c>
      <c r="H2324" s="367">
        <f t="shared" si="300"/>
        <v>4369.5</v>
      </c>
      <c r="I2324" s="368">
        <f t="shared" si="301"/>
        <v>0</v>
      </c>
      <c r="J2324" s="97">
        <v>7029</v>
      </c>
      <c r="K2324" s="367">
        <f t="shared" si="302"/>
        <v>5020.7142857142862</v>
      </c>
      <c r="L2324" s="97">
        <v>0.2</v>
      </c>
      <c r="M2324" s="97">
        <v>4.3999999999999995</v>
      </c>
      <c r="N2324" s="97">
        <v>20</v>
      </c>
      <c r="O2324" s="97">
        <v>8</v>
      </c>
      <c r="P2324" s="97" t="s">
        <v>515</v>
      </c>
      <c r="Q2324" s="97">
        <f t="shared" si="303"/>
        <v>294</v>
      </c>
      <c r="R2324" t="str">
        <f t="shared" si="304"/>
        <v/>
      </c>
    </row>
    <row r="2325" spans="4:18">
      <c r="D2325" s="36">
        <v>295</v>
      </c>
      <c r="E2325">
        <v>75</v>
      </c>
      <c r="F2325" s="366">
        <f t="shared" si="299"/>
        <v>1627.5</v>
      </c>
      <c r="G2325" s="97">
        <v>3948</v>
      </c>
      <c r="H2325" s="367">
        <f t="shared" si="300"/>
        <v>5575.5</v>
      </c>
      <c r="I2325" s="368">
        <f t="shared" si="301"/>
        <v>0</v>
      </c>
      <c r="J2325" s="97">
        <v>10121</v>
      </c>
      <c r="K2325" s="367">
        <f t="shared" si="302"/>
        <v>7229.2857142857147</v>
      </c>
      <c r="L2325" s="97">
        <v>0.81</v>
      </c>
      <c r="M2325" s="97">
        <v>4.8999999999999995</v>
      </c>
      <c r="N2325" s="97">
        <v>25</v>
      </c>
      <c r="O2325" s="97">
        <v>9</v>
      </c>
      <c r="P2325" s="97" t="s">
        <v>555</v>
      </c>
      <c r="Q2325" s="97" t="str">
        <f t="shared" si="303"/>
        <v/>
      </c>
      <c r="R2325" t="str">
        <f t="shared" si="304"/>
        <v/>
      </c>
    </row>
    <row r="2326" spans="4:18">
      <c r="D2326" s="36">
        <v>296</v>
      </c>
      <c r="E2326">
        <v>75</v>
      </c>
      <c r="F2326" s="366">
        <f t="shared" si="299"/>
        <v>1627.5</v>
      </c>
      <c r="G2326" s="97">
        <v>3570</v>
      </c>
      <c r="H2326" s="367">
        <f t="shared" si="300"/>
        <v>5197.5</v>
      </c>
      <c r="I2326" s="368">
        <f t="shared" si="301"/>
        <v>0</v>
      </c>
      <c r="J2326" s="97">
        <v>9152</v>
      </c>
      <c r="K2326" s="367">
        <f t="shared" si="302"/>
        <v>6537.1428571428569</v>
      </c>
      <c r="L2326" s="97">
        <v>0.56000000000000005</v>
      </c>
      <c r="M2326" s="97">
        <v>4.8999999999999995</v>
      </c>
      <c r="N2326" s="97">
        <v>27</v>
      </c>
      <c r="O2326" s="97">
        <v>9</v>
      </c>
      <c r="P2326" s="97" t="s">
        <v>514</v>
      </c>
      <c r="Q2326" s="97" t="str">
        <f t="shared" si="303"/>
        <v/>
      </c>
      <c r="R2326" t="str">
        <f t="shared" si="304"/>
        <v/>
      </c>
    </row>
    <row r="2327" spans="4:18">
      <c r="D2327" s="36">
        <v>297</v>
      </c>
      <c r="E2327">
        <v>75</v>
      </c>
      <c r="F2327" s="366">
        <f t="shared" si="299"/>
        <v>1627.5</v>
      </c>
      <c r="G2327" s="97">
        <v>3240</v>
      </c>
      <c r="H2327" s="367">
        <f t="shared" si="300"/>
        <v>4867.5</v>
      </c>
      <c r="I2327" s="368">
        <f t="shared" si="301"/>
        <v>0</v>
      </c>
      <c r="J2327" s="97">
        <v>8307</v>
      </c>
      <c r="K2327" s="367">
        <f t="shared" si="302"/>
        <v>5933.5714285714284</v>
      </c>
      <c r="L2327" s="97">
        <v>0.27</v>
      </c>
      <c r="M2327" s="97">
        <v>4.8999999999999995</v>
      </c>
      <c r="N2327" s="97">
        <v>22</v>
      </c>
      <c r="O2327" s="97">
        <v>9</v>
      </c>
      <c r="P2327" s="97" t="s">
        <v>556</v>
      </c>
      <c r="Q2327" s="97" t="str">
        <f t="shared" si="303"/>
        <v/>
      </c>
      <c r="R2327" t="str">
        <f t="shared" si="304"/>
        <v/>
      </c>
    </row>
    <row r="2328" spans="4:18">
      <c r="D2328" s="36">
        <v>298</v>
      </c>
      <c r="E2328">
        <v>75</v>
      </c>
      <c r="F2328" s="366">
        <f t="shared" si="299"/>
        <v>1627.5</v>
      </c>
      <c r="G2328" s="97">
        <v>2812</v>
      </c>
      <c r="H2328" s="367">
        <f t="shared" si="300"/>
        <v>4439.5</v>
      </c>
      <c r="I2328" s="368">
        <f t="shared" si="301"/>
        <v>0</v>
      </c>
      <c r="J2328" s="97">
        <v>7208</v>
      </c>
      <c r="K2328" s="367">
        <f t="shared" si="302"/>
        <v>5148.5714285714284</v>
      </c>
      <c r="L2328" s="97">
        <v>0.17</v>
      </c>
      <c r="M2328" s="97">
        <v>4.8999999999999995</v>
      </c>
      <c r="N2328" s="97">
        <v>20</v>
      </c>
      <c r="O2328" s="97">
        <v>9</v>
      </c>
      <c r="P2328" s="97" t="s">
        <v>515</v>
      </c>
      <c r="Q2328" s="97" t="str">
        <f t="shared" si="303"/>
        <v/>
      </c>
      <c r="R2328" t="str">
        <f t="shared" si="304"/>
        <v/>
      </c>
    </row>
    <row r="2329" spans="4:18">
      <c r="D2329" s="36">
        <v>299</v>
      </c>
      <c r="E2329">
        <v>75</v>
      </c>
      <c r="F2329" s="366">
        <f t="shared" si="299"/>
        <v>1627.5</v>
      </c>
      <c r="G2329" s="97">
        <v>4105</v>
      </c>
      <c r="H2329" s="367">
        <f t="shared" si="300"/>
        <v>5732.5</v>
      </c>
      <c r="I2329" s="368">
        <f t="shared" si="301"/>
        <v>0</v>
      </c>
      <c r="J2329" s="97">
        <v>10524</v>
      </c>
      <c r="K2329" s="367">
        <f t="shared" si="302"/>
        <v>7517.1428571428569</v>
      </c>
      <c r="L2329" s="97">
        <v>0.66</v>
      </c>
      <c r="M2329" s="97">
        <v>5.3999999999999995</v>
      </c>
      <c r="N2329" s="97">
        <v>25</v>
      </c>
      <c r="O2329" s="97">
        <v>10</v>
      </c>
      <c r="P2329" s="97" t="s">
        <v>555</v>
      </c>
      <c r="Q2329" s="97" t="str">
        <f t="shared" si="303"/>
        <v/>
      </c>
      <c r="R2329" t="str">
        <f t="shared" si="304"/>
        <v/>
      </c>
    </row>
    <row r="2330" spans="4:18">
      <c r="D2330" s="36">
        <v>300</v>
      </c>
      <c r="E2330">
        <v>75</v>
      </c>
      <c r="F2330" s="366">
        <f t="shared" si="299"/>
        <v>1627.5</v>
      </c>
      <c r="G2330" s="97">
        <v>3747</v>
      </c>
      <c r="H2330" s="367">
        <f t="shared" si="300"/>
        <v>5374.5</v>
      </c>
      <c r="I2330" s="368">
        <f t="shared" si="301"/>
        <v>0</v>
      </c>
      <c r="J2330" s="97">
        <v>9605</v>
      </c>
      <c r="K2330" s="367">
        <f t="shared" si="302"/>
        <v>6860.7142857142862</v>
      </c>
      <c r="L2330" s="97">
        <v>0.46</v>
      </c>
      <c r="M2330" s="97">
        <v>5.3999999999999995</v>
      </c>
      <c r="N2330" s="97">
        <v>26</v>
      </c>
      <c r="O2330" s="97">
        <v>10</v>
      </c>
      <c r="P2330" s="97" t="s">
        <v>514</v>
      </c>
      <c r="Q2330" s="97" t="str">
        <f t="shared" si="303"/>
        <v/>
      </c>
      <c r="R2330" t="str">
        <f t="shared" si="304"/>
        <v/>
      </c>
    </row>
    <row r="2331" spans="4:18">
      <c r="D2331" s="36">
        <v>301</v>
      </c>
      <c r="E2331">
        <v>75</v>
      </c>
      <c r="F2331" s="366">
        <f t="shared" si="299"/>
        <v>1627.5</v>
      </c>
      <c r="G2331" s="97">
        <v>3277</v>
      </c>
      <c r="H2331" s="367">
        <f t="shared" si="300"/>
        <v>4904.5</v>
      </c>
      <c r="I2331" s="368">
        <f t="shared" si="301"/>
        <v>0</v>
      </c>
      <c r="J2331" s="97">
        <v>8400</v>
      </c>
      <c r="K2331" s="367">
        <f t="shared" si="302"/>
        <v>6000</v>
      </c>
      <c r="L2331" s="97">
        <v>0.22</v>
      </c>
      <c r="M2331" s="97">
        <v>5.3999999999999995</v>
      </c>
      <c r="N2331" s="97">
        <v>21</v>
      </c>
      <c r="O2331" s="97">
        <v>10</v>
      </c>
      <c r="P2331" s="97" t="s">
        <v>556</v>
      </c>
      <c r="Q2331" s="97" t="str">
        <f t="shared" si="303"/>
        <v/>
      </c>
      <c r="R2331" t="str">
        <f t="shared" si="304"/>
        <v/>
      </c>
    </row>
    <row r="2332" spans="4:18">
      <c r="D2332" s="36">
        <v>302</v>
      </c>
      <c r="E2332">
        <v>80</v>
      </c>
      <c r="F2332" s="366">
        <f t="shared" si="299"/>
        <v>1736</v>
      </c>
      <c r="G2332" s="97">
        <v>2491</v>
      </c>
      <c r="H2332" s="367">
        <f t="shared" si="300"/>
        <v>4227</v>
      </c>
      <c r="I2332" s="368">
        <f t="shared" si="301"/>
        <v>0</v>
      </c>
      <c r="J2332" s="97">
        <v>6386</v>
      </c>
      <c r="K2332" s="367">
        <f t="shared" si="302"/>
        <v>4561.4285714285716</v>
      </c>
      <c r="L2332" s="97">
        <v>0.84</v>
      </c>
      <c r="M2332" s="97">
        <v>2.3000000000000003</v>
      </c>
      <c r="N2332" s="97">
        <v>25</v>
      </c>
      <c r="O2332" s="97">
        <v>4</v>
      </c>
      <c r="P2332" s="97" t="s">
        <v>515</v>
      </c>
      <c r="Q2332" s="97" t="str">
        <f t="shared" si="303"/>
        <v/>
      </c>
      <c r="R2332" t="str">
        <f t="shared" si="304"/>
        <v/>
      </c>
    </row>
    <row r="2333" spans="4:18">
      <c r="D2333" s="36">
        <v>303</v>
      </c>
      <c r="E2333">
        <v>80</v>
      </c>
      <c r="F2333" s="366">
        <f t="shared" si="299"/>
        <v>1736</v>
      </c>
      <c r="G2333" s="97">
        <v>3098</v>
      </c>
      <c r="H2333" s="367">
        <f t="shared" si="300"/>
        <v>4834</v>
      </c>
      <c r="I2333" s="368">
        <f t="shared" si="301"/>
        <v>0</v>
      </c>
      <c r="J2333" s="97">
        <v>7942</v>
      </c>
      <c r="K2333" s="367">
        <f t="shared" si="302"/>
        <v>5672.8571428571431</v>
      </c>
      <c r="L2333" s="97">
        <v>0.92</v>
      </c>
      <c r="M2333" s="97">
        <v>2.8000000000000003</v>
      </c>
      <c r="N2333" s="97">
        <v>27</v>
      </c>
      <c r="O2333" s="97">
        <v>5</v>
      </c>
      <c r="P2333" s="97" t="s">
        <v>556</v>
      </c>
      <c r="Q2333" s="97" t="str">
        <f t="shared" si="303"/>
        <v/>
      </c>
      <c r="R2333" t="str">
        <f t="shared" si="304"/>
        <v/>
      </c>
    </row>
    <row r="2334" spans="4:18">
      <c r="D2334" s="36">
        <v>304</v>
      </c>
      <c r="E2334">
        <v>80</v>
      </c>
      <c r="F2334" s="366">
        <f t="shared" si="299"/>
        <v>1736</v>
      </c>
      <c r="G2334" s="97">
        <v>2446</v>
      </c>
      <c r="H2334" s="367">
        <f t="shared" si="300"/>
        <v>4182</v>
      </c>
      <c r="I2334" s="368">
        <f t="shared" si="301"/>
        <v>0</v>
      </c>
      <c r="J2334" s="97">
        <v>6271</v>
      </c>
      <c r="K2334" s="367">
        <f t="shared" si="302"/>
        <v>4479.2857142857147</v>
      </c>
      <c r="L2334" s="97">
        <v>0.56000000000000005</v>
      </c>
      <c r="M2334" s="97">
        <v>2.8000000000000003</v>
      </c>
      <c r="N2334" s="97">
        <v>24</v>
      </c>
      <c r="O2334" s="97">
        <v>5</v>
      </c>
      <c r="P2334" s="97" t="s">
        <v>515</v>
      </c>
      <c r="Q2334" s="97">
        <f t="shared" si="303"/>
        <v>304</v>
      </c>
      <c r="R2334" t="str">
        <f t="shared" si="304"/>
        <v/>
      </c>
    </row>
    <row r="2335" spans="4:18">
      <c r="D2335" s="36">
        <v>305</v>
      </c>
      <c r="E2335">
        <v>80</v>
      </c>
      <c r="F2335" s="366">
        <f t="shared" si="299"/>
        <v>1736</v>
      </c>
      <c r="G2335" s="97">
        <v>2973</v>
      </c>
      <c r="H2335" s="367">
        <f t="shared" si="300"/>
        <v>4709</v>
      </c>
      <c r="I2335" s="368">
        <f t="shared" si="301"/>
        <v>0</v>
      </c>
      <c r="J2335" s="97">
        <v>7622</v>
      </c>
      <c r="K2335" s="367">
        <f t="shared" si="302"/>
        <v>5444.2857142857147</v>
      </c>
      <c r="L2335" s="97">
        <v>0.65</v>
      </c>
      <c r="M2335" s="97">
        <v>3.4</v>
      </c>
      <c r="N2335" s="97">
        <v>25</v>
      </c>
      <c r="O2335" s="97">
        <v>6</v>
      </c>
      <c r="P2335" s="97" t="s">
        <v>556</v>
      </c>
      <c r="Q2335" s="97">
        <f t="shared" si="303"/>
        <v>305</v>
      </c>
      <c r="R2335" t="str">
        <f t="shared" si="304"/>
        <v/>
      </c>
    </row>
    <row r="2336" spans="4:18">
      <c r="D2336" s="36">
        <v>306</v>
      </c>
      <c r="E2336">
        <v>80</v>
      </c>
      <c r="F2336" s="366">
        <f t="shared" si="299"/>
        <v>1736</v>
      </c>
      <c r="G2336" s="97">
        <v>2513</v>
      </c>
      <c r="H2336" s="367">
        <f t="shared" si="300"/>
        <v>4249</v>
      </c>
      <c r="I2336" s="368">
        <f t="shared" si="301"/>
        <v>0</v>
      </c>
      <c r="J2336" s="97">
        <v>6444</v>
      </c>
      <c r="K2336" s="367">
        <f t="shared" si="302"/>
        <v>4602.8571428571431</v>
      </c>
      <c r="L2336" s="97">
        <v>0.39</v>
      </c>
      <c r="M2336" s="97">
        <v>3.4</v>
      </c>
      <c r="N2336" s="97">
        <v>22</v>
      </c>
      <c r="O2336" s="97">
        <v>6</v>
      </c>
      <c r="P2336" s="97" t="s">
        <v>515</v>
      </c>
      <c r="Q2336" s="97">
        <f t="shared" si="303"/>
        <v>306</v>
      </c>
      <c r="R2336" t="str">
        <f t="shared" si="304"/>
        <v/>
      </c>
    </row>
    <row r="2337" spans="4:18">
      <c r="D2337" s="36">
        <v>307</v>
      </c>
      <c r="E2337">
        <v>80</v>
      </c>
      <c r="F2337" s="366">
        <f t="shared" si="299"/>
        <v>1736</v>
      </c>
      <c r="G2337" s="97">
        <v>3715</v>
      </c>
      <c r="H2337" s="367">
        <f t="shared" si="300"/>
        <v>5451</v>
      </c>
      <c r="I2337" s="368">
        <f t="shared" si="301"/>
        <v>0</v>
      </c>
      <c r="J2337" s="97">
        <v>9524</v>
      </c>
      <c r="K2337" s="367">
        <f t="shared" si="302"/>
        <v>6802.8571428571431</v>
      </c>
      <c r="L2337" s="97">
        <v>0.99</v>
      </c>
      <c r="M2337" s="97">
        <v>3.9</v>
      </c>
      <c r="N2337" s="97">
        <v>29</v>
      </c>
      <c r="O2337" s="97">
        <v>7</v>
      </c>
      <c r="P2337" s="97" t="s">
        <v>514</v>
      </c>
      <c r="Q2337" s="97" t="str">
        <f t="shared" si="303"/>
        <v/>
      </c>
      <c r="R2337" t="str">
        <f t="shared" si="304"/>
        <v/>
      </c>
    </row>
    <row r="2338" spans="4:18">
      <c r="D2338" s="36">
        <v>308</v>
      </c>
      <c r="E2338">
        <v>80</v>
      </c>
      <c r="F2338" s="366">
        <f t="shared" si="299"/>
        <v>1736</v>
      </c>
      <c r="G2338" s="97">
        <v>3082</v>
      </c>
      <c r="H2338" s="367">
        <f t="shared" si="300"/>
        <v>4818</v>
      </c>
      <c r="I2338" s="368">
        <f t="shared" si="301"/>
        <v>0</v>
      </c>
      <c r="J2338" s="97">
        <v>7901</v>
      </c>
      <c r="K2338" s="367">
        <f t="shared" si="302"/>
        <v>5643.5714285714284</v>
      </c>
      <c r="L2338" s="97">
        <v>0.48</v>
      </c>
      <c r="M2338" s="97">
        <v>3.9</v>
      </c>
      <c r="N2338" s="97">
        <v>24</v>
      </c>
      <c r="O2338" s="97">
        <v>7</v>
      </c>
      <c r="P2338" s="97" t="s">
        <v>556</v>
      </c>
      <c r="Q2338" s="97">
        <f t="shared" si="303"/>
        <v>308</v>
      </c>
      <c r="R2338" t="str">
        <f t="shared" si="304"/>
        <v/>
      </c>
    </row>
    <row r="2339" spans="4:18">
      <c r="D2339" s="36">
        <v>309</v>
      </c>
      <c r="E2339">
        <v>80</v>
      </c>
      <c r="F2339" s="366">
        <f t="shared" si="299"/>
        <v>1736</v>
      </c>
      <c r="G2339" s="97">
        <v>2645</v>
      </c>
      <c r="H2339" s="367">
        <f t="shared" si="300"/>
        <v>4381</v>
      </c>
      <c r="I2339" s="368">
        <f t="shared" si="301"/>
        <v>0</v>
      </c>
      <c r="J2339" s="97">
        <v>6782</v>
      </c>
      <c r="K2339" s="367">
        <f t="shared" si="302"/>
        <v>4844.2857142857147</v>
      </c>
      <c r="L2339" s="97">
        <v>0.29000000000000004</v>
      </c>
      <c r="M2339" s="97">
        <v>3.9</v>
      </c>
      <c r="N2339" s="97">
        <v>21</v>
      </c>
      <c r="O2339" s="97">
        <v>7</v>
      </c>
      <c r="P2339" s="97" t="s">
        <v>515</v>
      </c>
      <c r="Q2339" s="97">
        <f t="shared" si="303"/>
        <v>309</v>
      </c>
      <c r="R2339" t="str">
        <f t="shared" si="304"/>
        <v/>
      </c>
    </row>
    <row r="2340" spans="4:18">
      <c r="D2340" s="36">
        <v>310</v>
      </c>
      <c r="E2340">
        <v>80</v>
      </c>
      <c r="F2340" s="366">
        <f t="shared" si="299"/>
        <v>1736</v>
      </c>
      <c r="G2340" s="97">
        <v>3646</v>
      </c>
      <c r="H2340" s="367">
        <f t="shared" si="300"/>
        <v>5382</v>
      </c>
      <c r="I2340" s="368">
        <f t="shared" si="301"/>
        <v>0</v>
      </c>
      <c r="J2340" s="97">
        <v>9346</v>
      </c>
      <c r="K2340" s="367">
        <f t="shared" si="302"/>
        <v>6675.7142857142862</v>
      </c>
      <c r="L2340" s="97">
        <v>0.79</v>
      </c>
      <c r="M2340" s="97">
        <v>4.3999999999999995</v>
      </c>
      <c r="N2340" s="97">
        <v>29</v>
      </c>
      <c r="O2340" s="97">
        <v>8</v>
      </c>
      <c r="P2340" s="97" t="s">
        <v>514</v>
      </c>
      <c r="Q2340" s="97" t="str">
        <f t="shared" si="303"/>
        <v/>
      </c>
      <c r="R2340" t="str">
        <f t="shared" si="304"/>
        <v/>
      </c>
    </row>
    <row r="2341" spans="4:18">
      <c r="D2341" s="36">
        <v>311</v>
      </c>
      <c r="E2341">
        <v>80</v>
      </c>
      <c r="F2341" s="366">
        <f t="shared" si="299"/>
        <v>1736</v>
      </c>
      <c r="G2341" s="97">
        <v>3205</v>
      </c>
      <c r="H2341" s="367">
        <f t="shared" si="300"/>
        <v>4941</v>
      </c>
      <c r="I2341" s="368">
        <f t="shared" si="301"/>
        <v>0</v>
      </c>
      <c r="J2341" s="97">
        <v>8217</v>
      </c>
      <c r="K2341" s="367">
        <f t="shared" si="302"/>
        <v>5869.2857142857147</v>
      </c>
      <c r="L2341" s="97">
        <v>0.37</v>
      </c>
      <c r="M2341" s="97">
        <v>4.3999999999999995</v>
      </c>
      <c r="N2341" s="97">
        <v>23</v>
      </c>
      <c r="O2341" s="97">
        <v>8</v>
      </c>
      <c r="P2341" s="97" t="s">
        <v>556</v>
      </c>
      <c r="Q2341" s="97">
        <f t="shared" si="303"/>
        <v>311</v>
      </c>
      <c r="R2341" t="str">
        <f t="shared" si="304"/>
        <v/>
      </c>
    </row>
    <row r="2342" spans="4:18">
      <c r="D2342" s="36">
        <v>312</v>
      </c>
      <c r="E2342">
        <v>80</v>
      </c>
      <c r="F2342" s="366">
        <f t="shared" si="299"/>
        <v>1736</v>
      </c>
      <c r="G2342" s="97">
        <v>2871</v>
      </c>
      <c r="H2342" s="367">
        <f t="shared" si="300"/>
        <v>4607</v>
      </c>
      <c r="I2342" s="368">
        <f t="shared" si="301"/>
        <v>0</v>
      </c>
      <c r="J2342" s="97">
        <v>7361</v>
      </c>
      <c r="K2342" s="367">
        <f t="shared" si="302"/>
        <v>5257.8571428571431</v>
      </c>
      <c r="L2342" s="97">
        <v>0.23</v>
      </c>
      <c r="M2342" s="97">
        <v>4.3999999999999995</v>
      </c>
      <c r="N2342" s="97">
        <v>20</v>
      </c>
      <c r="O2342" s="97">
        <v>8</v>
      </c>
      <c r="P2342" s="97" t="s">
        <v>515</v>
      </c>
      <c r="Q2342" s="97">
        <f t="shared" si="303"/>
        <v>312</v>
      </c>
      <c r="R2342" t="str">
        <f t="shared" si="304"/>
        <v/>
      </c>
    </row>
    <row r="2343" spans="4:18">
      <c r="D2343" s="36">
        <v>313</v>
      </c>
      <c r="E2343">
        <v>80</v>
      </c>
      <c r="F2343" s="366">
        <f t="shared" si="299"/>
        <v>1736</v>
      </c>
      <c r="G2343" s="97">
        <v>4146</v>
      </c>
      <c r="H2343" s="367">
        <f t="shared" si="300"/>
        <v>5882</v>
      </c>
      <c r="I2343" s="368">
        <f t="shared" si="301"/>
        <v>0</v>
      </c>
      <c r="J2343" s="97">
        <v>10628</v>
      </c>
      <c r="K2343" s="367">
        <f t="shared" si="302"/>
        <v>7591.4285714285716</v>
      </c>
      <c r="L2343" s="97">
        <v>0.92</v>
      </c>
      <c r="M2343" s="97">
        <v>4.8999999999999995</v>
      </c>
      <c r="N2343" s="97">
        <v>26</v>
      </c>
      <c r="O2343" s="97">
        <v>9</v>
      </c>
      <c r="P2343" s="97" t="s">
        <v>555</v>
      </c>
      <c r="Q2343" s="97" t="str">
        <f t="shared" si="303"/>
        <v/>
      </c>
      <c r="R2343" t="str">
        <f t="shared" si="304"/>
        <v/>
      </c>
    </row>
    <row r="2344" spans="4:18">
      <c r="D2344" s="36">
        <v>314</v>
      </c>
      <c r="E2344">
        <v>80</v>
      </c>
      <c r="F2344" s="366">
        <f t="shared" si="299"/>
        <v>1736</v>
      </c>
      <c r="G2344" s="97">
        <v>3678</v>
      </c>
      <c r="H2344" s="367">
        <f t="shared" si="300"/>
        <v>5414</v>
      </c>
      <c r="I2344" s="368">
        <f t="shared" si="301"/>
        <v>0</v>
      </c>
      <c r="J2344" s="97">
        <v>9429</v>
      </c>
      <c r="K2344" s="367">
        <f t="shared" si="302"/>
        <v>6735</v>
      </c>
      <c r="L2344" s="97">
        <v>0.64</v>
      </c>
      <c r="M2344" s="97">
        <v>4.8999999999999995</v>
      </c>
      <c r="N2344" s="97">
        <v>28</v>
      </c>
      <c r="O2344" s="97">
        <v>9</v>
      </c>
      <c r="P2344" s="97" t="s">
        <v>514</v>
      </c>
      <c r="Q2344" s="97" t="str">
        <f t="shared" si="303"/>
        <v/>
      </c>
      <c r="R2344" t="str">
        <f t="shared" si="304"/>
        <v/>
      </c>
    </row>
    <row r="2345" spans="4:18">
      <c r="D2345" s="36">
        <v>315</v>
      </c>
      <c r="E2345">
        <v>80</v>
      </c>
      <c r="F2345" s="366">
        <f t="shared" si="299"/>
        <v>1736</v>
      </c>
      <c r="G2345" s="97">
        <v>3359</v>
      </c>
      <c r="H2345" s="367">
        <f t="shared" si="300"/>
        <v>5095</v>
      </c>
      <c r="I2345" s="368">
        <f t="shared" si="301"/>
        <v>0</v>
      </c>
      <c r="J2345" s="97">
        <v>8612</v>
      </c>
      <c r="K2345" s="367">
        <f t="shared" si="302"/>
        <v>6151.4285714285716</v>
      </c>
      <c r="L2345" s="97">
        <v>0.31</v>
      </c>
      <c r="M2345" s="97">
        <v>4.8999999999999995</v>
      </c>
      <c r="N2345" s="97">
        <v>23</v>
      </c>
      <c r="O2345" s="97">
        <v>9</v>
      </c>
      <c r="P2345" s="97" t="s">
        <v>556</v>
      </c>
      <c r="Q2345" s="97" t="str">
        <f t="shared" si="303"/>
        <v/>
      </c>
      <c r="R2345" t="str">
        <f t="shared" si="304"/>
        <v/>
      </c>
    </row>
    <row r="2346" spans="4:18">
      <c r="D2346" s="36">
        <v>316</v>
      </c>
      <c r="E2346">
        <v>80</v>
      </c>
      <c r="F2346" s="366">
        <f t="shared" si="299"/>
        <v>1736</v>
      </c>
      <c r="G2346" s="97">
        <v>2938</v>
      </c>
      <c r="H2346" s="367">
        <f t="shared" si="300"/>
        <v>4674</v>
      </c>
      <c r="I2346" s="368">
        <f t="shared" si="301"/>
        <v>0</v>
      </c>
      <c r="J2346" s="97">
        <v>7532</v>
      </c>
      <c r="K2346" s="367">
        <f t="shared" si="302"/>
        <v>5380</v>
      </c>
      <c r="L2346" s="97">
        <v>0.19</v>
      </c>
      <c r="M2346" s="97">
        <v>4.8999999999999995</v>
      </c>
      <c r="N2346" s="97">
        <v>21</v>
      </c>
      <c r="O2346" s="97">
        <v>9</v>
      </c>
      <c r="P2346" s="97" t="s">
        <v>515</v>
      </c>
      <c r="Q2346" s="97" t="str">
        <f t="shared" si="303"/>
        <v/>
      </c>
      <c r="R2346" t="str">
        <f t="shared" si="304"/>
        <v/>
      </c>
    </row>
    <row r="2347" spans="4:18">
      <c r="D2347" s="36">
        <v>317</v>
      </c>
      <c r="E2347">
        <v>80</v>
      </c>
      <c r="F2347" s="366">
        <f t="shared" si="299"/>
        <v>1736</v>
      </c>
      <c r="G2347" s="97">
        <v>4207</v>
      </c>
      <c r="H2347" s="367">
        <f t="shared" si="300"/>
        <v>5943</v>
      </c>
      <c r="I2347" s="368">
        <f t="shared" si="301"/>
        <v>0</v>
      </c>
      <c r="J2347" s="97">
        <v>10785</v>
      </c>
      <c r="K2347" s="367">
        <f t="shared" si="302"/>
        <v>7703.5714285714284</v>
      </c>
      <c r="L2347" s="97">
        <v>0.76</v>
      </c>
      <c r="M2347" s="97">
        <v>5.3999999999999995</v>
      </c>
      <c r="N2347" s="97">
        <v>26</v>
      </c>
      <c r="O2347" s="97">
        <v>10</v>
      </c>
      <c r="P2347" s="97" t="s">
        <v>555</v>
      </c>
      <c r="Q2347" s="97" t="str">
        <f t="shared" si="303"/>
        <v/>
      </c>
      <c r="R2347" t="str">
        <f t="shared" si="304"/>
        <v/>
      </c>
    </row>
    <row r="2348" spans="4:18">
      <c r="D2348" s="36">
        <v>318</v>
      </c>
      <c r="E2348">
        <v>80</v>
      </c>
      <c r="F2348" s="366">
        <f t="shared" si="299"/>
        <v>1736</v>
      </c>
      <c r="G2348" s="97">
        <v>3836</v>
      </c>
      <c r="H2348" s="367">
        <f t="shared" si="300"/>
        <v>5572</v>
      </c>
      <c r="I2348" s="368">
        <f t="shared" si="301"/>
        <v>0</v>
      </c>
      <c r="J2348" s="97">
        <v>9833</v>
      </c>
      <c r="K2348" s="367">
        <f t="shared" si="302"/>
        <v>7023.5714285714284</v>
      </c>
      <c r="L2348" s="97">
        <v>0.52</v>
      </c>
      <c r="M2348" s="97">
        <v>5.3999999999999995</v>
      </c>
      <c r="N2348" s="97">
        <v>27</v>
      </c>
      <c r="O2348" s="97">
        <v>10</v>
      </c>
      <c r="P2348" s="97" t="s">
        <v>514</v>
      </c>
      <c r="Q2348" s="97" t="str">
        <f t="shared" si="303"/>
        <v/>
      </c>
      <c r="R2348" t="str">
        <f t="shared" si="304"/>
        <v/>
      </c>
    </row>
    <row r="2349" spans="4:18">
      <c r="D2349" s="36">
        <v>319</v>
      </c>
      <c r="E2349">
        <v>80</v>
      </c>
      <c r="F2349" s="366">
        <f t="shared" si="299"/>
        <v>1736</v>
      </c>
      <c r="G2349" s="97">
        <v>3428</v>
      </c>
      <c r="H2349" s="367">
        <f t="shared" si="300"/>
        <v>5164</v>
      </c>
      <c r="I2349" s="368">
        <f t="shared" si="301"/>
        <v>0</v>
      </c>
      <c r="J2349" s="97">
        <v>8787</v>
      </c>
      <c r="K2349" s="367">
        <f t="shared" si="302"/>
        <v>6276.4285714285716</v>
      </c>
      <c r="L2349" s="97">
        <v>0.26</v>
      </c>
      <c r="M2349" s="97">
        <v>5.3999999999999995</v>
      </c>
      <c r="N2349" s="97">
        <v>22</v>
      </c>
      <c r="O2349" s="97">
        <v>10</v>
      </c>
      <c r="P2349" s="97" t="s">
        <v>556</v>
      </c>
      <c r="Q2349" s="97" t="str">
        <f t="shared" si="303"/>
        <v/>
      </c>
      <c r="R2349" t="str">
        <f t="shared" si="304"/>
        <v/>
      </c>
    </row>
    <row r="2350" spans="4:18">
      <c r="D2350" s="36">
        <v>320</v>
      </c>
      <c r="E2350">
        <v>85</v>
      </c>
      <c r="F2350" s="366">
        <f t="shared" si="299"/>
        <v>1844.5</v>
      </c>
      <c r="G2350" s="97">
        <v>2663</v>
      </c>
      <c r="H2350" s="367">
        <f t="shared" si="300"/>
        <v>4507.5</v>
      </c>
      <c r="I2350" s="368">
        <f t="shared" si="301"/>
        <v>0</v>
      </c>
      <c r="J2350" s="97">
        <v>6827</v>
      </c>
      <c r="K2350" s="367">
        <f t="shared" si="302"/>
        <v>4876.4285714285716</v>
      </c>
      <c r="L2350" s="97">
        <v>0.95</v>
      </c>
      <c r="M2350" s="97">
        <v>2.3000000000000003</v>
      </c>
      <c r="N2350" s="97">
        <v>26</v>
      </c>
      <c r="O2350" s="97">
        <v>4</v>
      </c>
      <c r="P2350" s="97" t="s">
        <v>515</v>
      </c>
      <c r="Q2350" s="97" t="str">
        <f t="shared" si="303"/>
        <v/>
      </c>
      <c r="R2350" t="str">
        <f t="shared" si="304"/>
        <v/>
      </c>
    </row>
    <row r="2351" spans="4:18">
      <c r="D2351" s="36">
        <v>321</v>
      </c>
      <c r="E2351">
        <v>85</v>
      </c>
      <c r="F2351" s="366">
        <f t="shared" si="299"/>
        <v>1844.5</v>
      </c>
      <c r="G2351" s="97">
        <v>3332</v>
      </c>
      <c r="H2351" s="367">
        <f t="shared" si="300"/>
        <v>5176.5</v>
      </c>
      <c r="I2351" s="368">
        <f t="shared" si="301"/>
        <v>0</v>
      </c>
      <c r="J2351" s="97">
        <v>8543</v>
      </c>
      <c r="K2351" s="367">
        <f t="shared" si="302"/>
        <v>6102.1428571428569</v>
      </c>
      <c r="L2351" s="97">
        <v>1.04</v>
      </c>
      <c r="M2351" s="97">
        <v>2.8000000000000003</v>
      </c>
      <c r="N2351" s="97">
        <v>27</v>
      </c>
      <c r="O2351" s="97">
        <v>5</v>
      </c>
      <c r="P2351" s="97" t="s">
        <v>556</v>
      </c>
      <c r="Q2351" s="97" t="str">
        <f t="shared" si="303"/>
        <v/>
      </c>
      <c r="R2351" t="str">
        <f t="shared" si="304"/>
        <v/>
      </c>
    </row>
    <row r="2352" spans="4:18">
      <c r="D2352" s="36">
        <v>322</v>
      </c>
      <c r="E2352">
        <v>85</v>
      </c>
      <c r="F2352" s="366">
        <f t="shared" si="299"/>
        <v>1844.5</v>
      </c>
      <c r="G2352" s="97">
        <v>2594</v>
      </c>
      <c r="H2352" s="367">
        <f t="shared" si="300"/>
        <v>4438.5</v>
      </c>
      <c r="I2352" s="368">
        <f t="shared" si="301"/>
        <v>0</v>
      </c>
      <c r="J2352" s="97">
        <v>6650</v>
      </c>
      <c r="K2352" s="367">
        <f t="shared" si="302"/>
        <v>4750</v>
      </c>
      <c r="L2352" s="97">
        <v>0.63</v>
      </c>
      <c r="M2352" s="97">
        <v>2.8000000000000003</v>
      </c>
      <c r="N2352" s="97">
        <v>25</v>
      </c>
      <c r="O2352" s="97">
        <v>5</v>
      </c>
      <c r="P2352" s="97" t="s">
        <v>515</v>
      </c>
      <c r="Q2352" s="97">
        <f t="shared" si="303"/>
        <v>322</v>
      </c>
      <c r="R2352" t="str">
        <f t="shared" si="304"/>
        <v/>
      </c>
    </row>
    <row r="2353" spans="4:18">
      <c r="D2353" s="36">
        <v>323</v>
      </c>
      <c r="E2353">
        <v>85</v>
      </c>
      <c r="F2353" s="366">
        <f t="shared" si="299"/>
        <v>1844.5</v>
      </c>
      <c r="G2353" s="97">
        <v>3218</v>
      </c>
      <c r="H2353" s="367">
        <f t="shared" si="300"/>
        <v>5062.5</v>
      </c>
      <c r="I2353" s="368">
        <f t="shared" si="301"/>
        <v>0</v>
      </c>
      <c r="J2353" s="97">
        <v>8249</v>
      </c>
      <c r="K2353" s="367">
        <f t="shared" si="302"/>
        <v>5892.1428571428569</v>
      </c>
      <c r="L2353" s="97">
        <v>0.73</v>
      </c>
      <c r="M2353" s="97">
        <v>3.4</v>
      </c>
      <c r="N2353" s="97">
        <v>26</v>
      </c>
      <c r="O2353" s="97">
        <v>6</v>
      </c>
      <c r="P2353" s="97" t="s">
        <v>556</v>
      </c>
      <c r="Q2353" s="97" t="str">
        <f t="shared" si="303"/>
        <v/>
      </c>
      <c r="R2353" t="str">
        <f t="shared" si="304"/>
        <v/>
      </c>
    </row>
    <row r="2354" spans="4:18">
      <c r="D2354" s="36">
        <v>324</v>
      </c>
      <c r="E2354">
        <v>85</v>
      </c>
      <c r="F2354" s="366">
        <f t="shared" si="299"/>
        <v>1844.5</v>
      </c>
      <c r="G2354" s="97">
        <v>2644</v>
      </c>
      <c r="H2354" s="367">
        <f t="shared" si="300"/>
        <v>4488.5</v>
      </c>
      <c r="I2354" s="368">
        <f t="shared" si="301"/>
        <v>0</v>
      </c>
      <c r="J2354" s="97">
        <v>6777</v>
      </c>
      <c r="K2354" s="367">
        <f t="shared" si="302"/>
        <v>4840.7142857142862</v>
      </c>
      <c r="L2354" s="97">
        <v>0.44</v>
      </c>
      <c r="M2354" s="97">
        <v>3.4</v>
      </c>
      <c r="N2354" s="97">
        <v>23</v>
      </c>
      <c r="O2354" s="97">
        <v>6</v>
      </c>
      <c r="P2354" s="97" t="s">
        <v>515</v>
      </c>
      <c r="Q2354" s="97">
        <f t="shared" si="303"/>
        <v>324</v>
      </c>
      <c r="R2354" t="str">
        <f t="shared" si="304"/>
        <v/>
      </c>
    </row>
    <row r="2355" spans="4:18">
      <c r="D2355" s="36">
        <v>325</v>
      </c>
      <c r="E2355">
        <v>85</v>
      </c>
      <c r="F2355" s="366">
        <f t="shared" si="299"/>
        <v>1844.5</v>
      </c>
      <c r="G2355" s="97">
        <v>3229</v>
      </c>
      <c r="H2355" s="367">
        <f t="shared" si="300"/>
        <v>5073.5</v>
      </c>
      <c r="I2355" s="368">
        <f t="shared" si="301"/>
        <v>0</v>
      </c>
      <c r="J2355" s="97">
        <v>8277</v>
      </c>
      <c r="K2355" s="367">
        <f t="shared" si="302"/>
        <v>5912.1428571428569</v>
      </c>
      <c r="L2355" s="97">
        <v>0.54</v>
      </c>
      <c r="M2355" s="97">
        <v>3.9</v>
      </c>
      <c r="N2355" s="97">
        <v>25</v>
      </c>
      <c r="O2355" s="97">
        <v>7</v>
      </c>
      <c r="P2355" s="97" t="s">
        <v>556</v>
      </c>
      <c r="Q2355" s="97">
        <f t="shared" si="303"/>
        <v>325</v>
      </c>
      <c r="R2355" t="str">
        <f t="shared" si="304"/>
        <v/>
      </c>
    </row>
    <row r="2356" spans="4:18">
      <c r="D2356" s="36">
        <v>326</v>
      </c>
      <c r="E2356">
        <v>85</v>
      </c>
      <c r="F2356" s="366">
        <f t="shared" si="299"/>
        <v>1844.5</v>
      </c>
      <c r="G2356" s="97">
        <v>2751</v>
      </c>
      <c r="H2356" s="367">
        <f t="shared" si="300"/>
        <v>4595.5</v>
      </c>
      <c r="I2356" s="368">
        <f t="shared" si="301"/>
        <v>0</v>
      </c>
      <c r="J2356" s="97">
        <v>7052</v>
      </c>
      <c r="K2356" s="367">
        <f t="shared" si="302"/>
        <v>5037.1428571428569</v>
      </c>
      <c r="L2356" s="97">
        <v>0.32</v>
      </c>
      <c r="M2356" s="97">
        <v>3.9</v>
      </c>
      <c r="N2356" s="97">
        <v>22</v>
      </c>
      <c r="O2356" s="97">
        <v>7</v>
      </c>
      <c r="P2356" s="97" t="s">
        <v>515</v>
      </c>
      <c r="Q2356" s="97">
        <f t="shared" si="303"/>
        <v>326</v>
      </c>
      <c r="R2356" t="str">
        <f t="shared" si="304"/>
        <v/>
      </c>
    </row>
    <row r="2357" spans="4:18">
      <c r="D2357" s="36">
        <v>327</v>
      </c>
      <c r="E2357">
        <v>85</v>
      </c>
      <c r="F2357" s="366">
        <f t="shared" si="299"/>
        <v>1844.5</v>
      </c>
      <c r="G2357" s="97">
        <v>3812</v>
      </c>
      <c r="H2357" s="367">
        <f t="shared" si="300"/>
        <v>5656.5</v>
      </c>
      <c r="I2357" s="368">
        <f t="shared" si="301"/>
        <v>0</v>
      </c>
      <c r="J2357" s="97">
        <v>9771</v>
      </c>
      <c r="K2357" s="367">
        <f t="shared" si="302"/>
        <v>6979.2857142857147</v>
      </c>
      <c r="L2357" s="97">
        <v>0.89</v>
      </c>
      <c r="M2357" s="97">
        <v>4.3999999999999995</v>
      </c>
      <c r="N2357" s="97">
        <v>29</v>
      </c>
      <c r="O2357" s="97">
        <v>8</v>
      </c>
      <c r="P2357" s="97" t="s">
        <v>514</v>
      </c>
      <c r="Q2357" s="97" t="str">
        <f t="shared" si="303"/>
        <v/>
      </c>
      <c r="R2357" t="str">
        <f t="shared" si="304"/>
        <v/>
      </c>
    </row>
    <row r="2358" spans="4:18">
      <c r="D2358" s="36">
        <v>328</v>
      </c>
      <c r="E2358">
        <v>85</v>
      </c>
      <c r="F2358" s="366">
        <f t="shared" si="299"/>
        <v>1844.5</v>
      </c>
      <c r="G2358" s="97">
        <v>3300</v>
      </c>
      <c r="H2358" s="367">
        <f t="shared" si="300"/>
        <v>5144.5</v>
      </c>
      <c r="I2358" s="368">
        <f t="shared" si="301"/>
        <v>0</v>
      </c>
      <c r="J2358" s="97">
        <v>8460</v>
      </c>
      <c r="K2358" s="367">
        <f t="shared" si="302"/>
        <v>6042.8571428571431</v>
      </c>
      <c r="L2358" s="97">
        <v>0.42</v>
      </c>
      <c r="M2358" s="97">
        <v>4.3999999999999995</v>
      </c>
      <c r="N2358" s="97">
        <v>23</v>
      </c>
      <c r="O2358" s="97">
        <v>8</v>
      </c>
      <c r="P2358" s="97" t="s">
        <v>556</v>
      </c>
      <c r="Q2358" s="97">
        <f t="shared" si="303"/>
        <v>328</v>
      </c>
      <c r="R2358" t="str">
        <f t="shared" si="304"/>
        <v/>
      </c>
    </row>
    <row r="2359" spans="4:18">
      <c r="D2359" s="36">
        <v>329</v>
      </c>
      <c r="E2359">
        <v>85</v>
      </c>
      <c r="F2359" s="366">
        <f t="shared" si="299"/>
        <v>1844.5</v>
      </c>
      <c r="G2359" s="97">
        <v>3001</v>
      </c>
      <c r="H2359" s="367">
        <f t="shared" si="300"/>
        <v>4845.5</v>
      </c>
      <c r="I2359" s="368">
        <f t="shared" si="301"/>
        <v>0</v>
      </c>
      <c r="J2359" s="97">
        <v>7693</v>
      </c>
      <c r="K2359" s="367">
        <f t="shared" si="302"/>
        <v>5495</v>
      </c>
      <c r="L2359" s="97">
        <v>0.25</v>
      </c>
      <c r="M2359" s="97">
        <v>4.3999999999999995</v>
      </c>
      <c r="N2359" s="97">
        <v>21</v>
      </c>
      <c r="O2359" s="97">
        <v>8</v>
      </c>
      <c r="P2359" s="97" t="s">
        <v>515</v>
      </c>
      <c r="Q2359" s="97">
        <f t="shared" si="303"/>
        <v>329</v>
      </c>
      <c r="R2359" t="str">
        <f t="shared" si="304"/>
        <v/>
      </c>
    </row>
    <row r="2360" spans="4:18">
      <c r="D2360" s="36">
        <v>330</v>
      </c>
      <c r="E2360">
        <v>85</v>
      </c>
      <c r="F2360" s="366">
        <f t="shared" si="299"/>
        <v>1844.5</v>
      </c>
      <c r="G2360" s="97">
        <v>4344</v>
      </c>
      <c r="H2360" s="367">
        <f t="shared" si="300"/>
        <v>6188.5</v>
      </c>
      <c r="I2360" s="368">
        <f t="shared" si="301"/>
        <v>0</v>
      </c>
      <c r="J2360" s="97">
        <v>11135</v>
      </c>
      <c r="K2360" s="367">
        <f t="shared" si="302"/>
        <v>7953.5714285714284</v>
      </c>
      <c r="L2360" s="97">
        <v>1.03</v>
      </c>
      <c r="M2360" s="97">
        <v>4.8999999999999995</v>
      </c>
      <c r="N2360" s="97">
        <v>27</v>
      </c>
      <c r="O2360" s="97">
        <v>9</v>
      </c>
      <c r="P2360" s="97" t="s">
        <v>555</v>
      </c>
      <c r="Q2360" s="97" t="str">
        <f t="shared" si="303"/>
        <v/>
      </c>
      <c r="R2360" t="str">
        <f t="shared" si="304"/>
        <v/>
      </c>
    </row>
    <row r="2361" spans="4:18">
      <c r="D2361" s="36">
        <v>331</v>
      </c>
      <c r="E2361">
        <v>85</v>
      </c>
      <c r="F2361" s="366">
        <f t="shared" si="299"/>
        <v>1844.5</v>
      </c>
      <c r="G2361" s="97">
        <v>3851</v>
      </c>
      <c r="H2361" s="367">
        <f t="shared" si="300"/>
        <v>5695.5</v>
      </c>
      <c r="I2361" s="368">
        <f t="shared" si="301"/>
        <v>0</v>
      </c>
      <c r="J2361" s="97">
        <v>9871</v>
      </c>
      <c r="K2361" s="367">
        <f t="shared" si="302"/>
        <v>7050.7142857142862</v>
      </c>
      <c r="L2361" s="97">
        <v>0.72</v>
      </c>
      <c r="M2361" s="97">
        <v>4.8999999999999995</v>
      </c>
      <c r="N2361" s="97">
        <v>29</v>
      </c>
      <c r="O2361" s="97">
        <v>9</v>
      </c>
      <c r="P2361" s="97" t="s">
        <v>514</v>
      </c>
      <c r="Q2361" s="97" t="str">
        <f t="shared" si="303"/>
        <v/>
      </c>
      <c r="R2361" t="str">
        <f t="shared" si="304"/>
        <v/>
      </c>
    </row>
    <row r="2362" spans="4:18">
      <c r="D2362" s="36">
        <v>332</v>
      </c>
      <c r="E2362">
        <v>85</v>
      </c>
      <c r="F2362" s="366">
        <f t="shared" si="299"/>
        <v>1844.5</v>
      </c>
      <c r="G2362" s="97">
        <v>3442</v>
      </c>
      <c r="H2362" s="367">
        <f t="shared" si="300"/>
        <v>5286.5</v>
      </c>
      <c r="I2362" s="368">
        <f t="shared" si="301"/>
        <v>0</v>
      </c>
      <c r="J2362" s="97">
        <v>8825</v>
      </c>
      <c r="K2362" s="367">
        <f t="shared" si="302"/>
        <v>6303.5714285714284</v>
      </c>
      <c r="L2362" s="97">
        <v>0.35000000000000003</v>
      </c>
      <c r="M2362" s="97">
        <v>4.8999999999999995</v>
      </c>
      <c r="N2362" s="97">
        <v>23</v>
      </c>
      <c r="O2362" s="97">
        <v>9</v>
      </c>
      <c r="P2362" s="97" t="s">
        <v>556</v>
      </c>
      <c r="Q2362" s="97" t="str">
        <f t="shared" si="303"/>
        <v/>
      </c>
      <c r="R2362" t="str">
        <f t="shared" si="304"/>
        <v/>
      </c>
    </row>
    <row r="2363" spans="4:18">
      <c r="D2363" s="36">
        <v>333</v>
      </c>
      <c r="E2363">
        <v>85</v>
      </c>
      <c r="F2363" s="366">
        <f t="shared" si="299"/>
        <v>1844.5</v>
      </c>
      <c r="G2363" s="97">
        <v>3064</v>
      </c>
      <c r="H2363" s="367">
        <f t="shared" si="300"/>
        <v>4908.5</v>
      </c>
      <c r="I2363" s="368">
        <f t="shared" si="301"/>
        <v>0</v>
      </c>
      <c r="J2363" s="97">
        <v>7856</v>
      </c>
      <c r="K2363" s="367">
        <f t="shared" si="302"/>
        <v>5611.4285714285716</v>
      </c>
      <c r="L2363" s="97">
        <v>0.21000000000000002</v>
      </c>
      <c r="M2363" s="97">
        <v>4.8999999999999995</v>
      </c>
      <c r="N2363" s="97">
        <v>21</v>
      </c>
      <c r="O2363" s="97">
        <v>9</v>
      </c>
      <c r="P2363" s="97" t="s">
        <v>515</v>
      </c>
      <c r="Q2363" s="97" t="str">
        <f t="shared" si="303"/>
        <v/>
      </c>
      <c r="R2363" t="str">
        <f t="shared" si="304"/>
        <v/>
      </c>
    </row>
    <row r="2364" spans="4:18">
      <c r="D2364" s="36">
        <v>334</v>
      </c>
      <c r="E2364">
        <v>85</v>
      </c>
      <c r="F2364" s="366">
        <f t="shared" si="299"/>
        <v>1844.5</v>
      </c>
      <c r="G2364" s="97">
        <v>4351</v>
      </c>
      <c r="H2364" s="367">
        <f t="shared" si="300"/>
        <v>6195.5</v>
      </c>
      <c r="I2364" s="368">
        <f t="shared" si="301"/>
        <v>0</v>
      </c>
      <c r="J2364" s="97">
        <v>11155</v>
      </c>
      <c r="K2364" s="367">
        <f t="shared" si="302"/>
        <v>7967.8571428571431</v>
      </c>
      <c r="L2364" s="97">
        <v>0.85</v>
      </c>
      <c r="M2364" s="97">
        <v>5.3999999999999995</v>
      </c>
      <c r="N2364" s="97">
        <v>26</v>
      </c>
      <c r="O2364" s="97">
        <v>10</v>
      </c>
      <c r="P2364" s="97" t="s">
        <v>555</v>
      </c>
      <c r="Q2364" s="97" t="str">
        <f t="shared" si="303"/>
        <v/>
      </c>
      <c r="R2364" t="str">
        <f t="shared" si="304"/>
        <v/>
      </c>
    </row>
    <row r="2365" spans="4:18">
      <c r="D2365" s="36">
        <v>335</v>
      </c>
      <c r="E2365">
        <v>85</v>
      </c>
      <c r="F2365" s="366">
        <f t="shared" si="299"/>
        <v>1844.5</v>
      </c>
      <c r="G2365" s="97">
        <v>3925</v>
      </c>
      <c r="H2365" s="367">
        <f t="shared" si="300"/>
        <v>5769.5</v>
      </c>
      <c r="I2365" s="368">
        <f t="shared" si="301"/>
        <v>0</v>
      </c>
      <c r="J2365" s="97">
        <v>10061</v>
      </c>
      <c r="K2365" s="367">
        <f t="shared" si="302"/>
        <v>7186.4285714285716</v>
      </c>
      <c r="L2365" s="97">
        <v>0.59</v>
      </c>
      <c r="M2365" s="97">
        <v>5.3999999999999995</v>
      </c>
      <c r="N2365" s="97">
        <v>28</v>
      </c>
      <c r="O2365" s="97">
        <v>10</v>
      </c>
      <c r="P2365" s="97" t="s">
        <v>514</v>
      </c>
      <c r="Q2365" s="97" t="str">
        <f t="shared" si="303"/>
        <v/>
      </c>
      <c r="R2365" t="str">
        <f t="shared" si="304"/>
        <v/>
      </c>
    </row>
    <row r="2366" spans="4:18">
      <c r="D2366" s="36">
        <v>336</v>
      </c>
      <c r="E2366">
        <v>85</v>
      </c>
      <c r="F2366" s="366">
        <f t="shared" si="299"/>
        <v>1844.5</v>
      </c>
      <c r="G2366" s="97">
        <v>3578</v>
      </c>
      <c r="H2366" s="367">
        <f t="shared" si="300"/>
        <v>5422.5</v>
      </c>
      <c r="I2366" s="368">
        <f t="shared" si="301"/>
        <v>0</v>
      </c>
      <c r="J2366" s="97">
        <v>9173</v>
      </c>
      <c r="K2366" s="367">
        <f t="shared" si="302"/>
        <v>6552.1428571428569</v>
      </c>
      <c r="L2366" s="97">
        <v>0.29000000000000004</v>
      </c>
      <c r="M2366" s="97">
        <v>5.3999999999999995</v>
      </c>
      <c r="N2366" s="97">
        <v>23</v>
      </c>
      <c r="O2366" s="97">
        <v>10</v>
      </c>
      <c r="P2366" s="97" t="s">
        <v>556</v>
      </c>
      <c r="Q2366" s="97" t="str">
        <f t="shared" si="303"/>
        <v/>
      </c>
      <c r="R2366" t="str">
        <f t="shared" si="304"/>
        <v/>
      </c>
    </row>
    <row r="2367" spans="4:18">
      <c r="D2367" s="36">
        <v>337</v>
      </c>
      <c r="E2367">
        <v>85</v>
      </c>
      <c r="F2367" s="366">
        <f t="shared" si="299"/>
        <v>1844.5</v>
      </c>
      <c r="G2367" s="97">
        <v>3144</v>
      </c>
      <c r="H2367" s="367">
        <f t="shared" si="300"/>
        <v>4988.5</v>
      </c>
      <c r="I2367" s="368">
        <f t="shared" si="301"/>
        <v>0</v>
      </c>
      <c r="J2367" s="97">
        <v>8061</v>
      </c>
      <c r="K2367" s="367">
        <f t="shared" si="302"/>
        <v>5757.8571428571431</v>
      </c>
      <c r="L2367" s="97">
        <v>0.18000000000000002</v>
      </c>
      <c r="M2367" s="97">
        <v>5.3999999999999995</v>
      </c>
      <c r="N2367" s="97">
        <v>21</v>
      </c>
      <c r="O2367" s="97">
        <v>10</v>
      </c>
      <c r="P2367" s="97" t="s">
        <v>515</v>
      </c>
      <c r="Q2367" s="97" t="str">
        <f t="shared" si="303"/>
        <v/>
      </c>
      <c r="R2367" t="str">
        <f t="shared" si="304"/>
        <v/>
      </c>
    </row>
    <row r="2368" spans="4:18">
      <c r="D2368" s="36">
        <v>338</v>
      </c>
      <c r="E2368">
        <v>90</v>
      </c>
      <c r="F2368" s="366">
        <f t="shared" si="299"/>
        <v>1953</v>
      </c>
      <c r="G2368" s="97">
        <v>2778</v>
      </c>
      <c r="H2368" s="367">
        <f t="shared" si="300"/>
        <v>4731</v>
      </c>
      <c r="I2368" s="368">
        <f t="shared" si="301"/>
        <v>0</v>
      </c>
      <c r="J2368" s="97">
        <v>7122</v>
      </c>
      <c r="K2368" s="367">
        <f t="shared" si="302"/>
        <v>5087.1428571428569</v>
      </c>
      <c r="L2368" s="97">
        <v>0.71</v>
      </c>
      <c r="M2368" s="97">
        <v>2.8000000000000003</v>
      </c>
      <c r="N2368" s="97">
        <v>26</v>
      </c>
      <c r="O2368" s="97">
        <v>5</v>
      </c>
      <c r="P2368" s="97" t="s">
        <v>515</v>
      </c>
      <c r="Q2368" s="97">
        <f t="shared" si="303"/>
        <v>338</v>
      </c>
      <c r="R2368" t="str">
        <f t="shared" si="304"/>
        <v/>
      </c>
    </row>
    <row r="2369" spans="4:18">
      <c r="D2369" s="36">
        <v>339</v>
      </c>
      <c r="E2369">
        <v>90</v>
      </c>
      <c r="F2369" s="366">
        <f t="shared" si="299"/>
        <v>1953</v>
      </c>
      <c r="G2369" s="97">
        <v>3462</v>
      </c>
      <c r="H2369" s="367">
        <f t="shared" si="300"/>
        <v>5415</v>
      </c>
      <c r="I2369" s="368">
        <f t="shared" si="301"/>
        <v>0</v>
      </c>
      <c r="J2369" s="97">
        <v>8876</v>
      </c>
      <c r="K2369" s="367">
        <f t="shared" si="302"/>
        <v>6340</v>
      </c>
      <c r="L2369" s="97">
        <v>0.82000000000000006</v>
      </c>
      <c r="M2369" s="97">
        <v>3.4</v>
      </c>
      <c r="N2369" s="97">
        <v>27</v>
      </c>
      <c r="O2369" s="97">
        <v>6</v>
      </c>
      <c r="P2369" s="97" t="s">
        <v>556</v>
      </c>
      <c r="Q2369" s="97" t="str">
        <f t="shared" si="303"/>
        <v/>
      </c>
      <c r="R2369" t="str">
        <f t="shared" si="304"/>
        <v/>
      </c>
    </row>
    <row r="2370" spans="4:18">
      <c r="D2370" s="36">
        <v>340</v>
      </c>
      <c r="E2370">
        <v>90</v>
      </c>
      <c r="F2370" s="366">
        <f t="shared" si="299"/>
        <v>1953</v>
      </c>
      <c r="G2370" s="97">
        <v>2767</v>
      </c>
      <c r="H2370" s="367">
        <f t="shared" si="300"/>
        <v>4720</v>
      </c>
      <c r="I2370" s="368">
        <f t="shared" si="301"/>
        <v>0</v>
      </c>
      <c r="J2370" s="97">
        <v>7094</v>
      </c>
      <c r="K2370" s="367">
        <f t="shared" si="302"/>
        <v>5067.1428571428569</v>
      </c>
      <c r="L2370" s="97">
        <v>0.49</v>
      </c>
      <c r="M2370" s="97">
        <v>3.4</v>
      </c>
      <c r="N2370" s="97">
        <v>24</v>
      </c>
      <c r="O2370" s="97">
        <v>6</v>
      </c>
      <c r="P2370" s="97" t="s">
        <v>515</v>
      </c>
      <c r="Q2370" s="97">
        <f t="shared" si="303"/>
        <v>340</v>
      </c>
      <c r="R2370" t="str">
        <f t="shared" si="304"/>
        <v/>
      </c>
    </row>
    <row r="2371" spans="4:18">
      <c r="D2371" s="36">
        <v>341</v>
      </c>
      <c r="E2371">
        <v>90</v>
      </c>
      <c r="F2371" s="366">
        <f t="shared" si="299"/>
        <v>1953</v>
      </c>
      <c r="G2371" s="97">
        <v>3376</v>
      </c>
      <c r="H2371" s="367">
        <f t="shared" si="300"/>
        <v>5329</v>
      </c>
      <c r="I2371" s="368">
        <f t="shared" si="301"/>
        <v>0</v>
      </c>
      <c r="J2371" s="97">
        <v>8654</v>
      </c>
      <c r="K2371" s="367">
        <f t="shared" si="302"/>
        <v>6181.4285714285716</v>
      </c>
      <c r="L2371" s="97">
        <v>0.6</v>
      </c>
      <c r="M2371" s="97">
        <v>3.9</v>
      </c>
      <c r="N2371" s="97">
        <v>25</v>
      </c>
      <c r="O2371" s="97">
        <v>7</v>
      </c>
      <c r="P2371" s="97" t="s">
        <v>556</v>
      </c>
      <c r="Q2371" s="97">
        <f t="shared" si="303"/>
        <v>341</v>
      </c>
      <c r="R2371" t="str">
        <f t="shared" si="304"/>
        <v/>
      </c>
    </row>
    <row r="2372" spans="4:18">
      <c r="D2372" s="36">
        <v>342</v>
      </c>
      <c r="E2372">
        <v>90</v>
      </c>
      <c r="F2372" s="366">
        <f t="shared" si="299"/>
        <v>1953</v>
      </c>
      <c r="G2372" s="97">
        <v>2856</v>
      </c>
      <c r="H2372" s="367">
        <f t="shared" si="300"/>
        <v>4809</v>
      </c>
      <c r="I2372" s="368">
        <f t="shared" si="301"/>
        <v>0</v>
      </c>
      <c r="J2372" s="97">
        <v>7322</v>
      </c>
      <c r="K2372" s="367">
        <f t="shared" si="302"/>
        <v>5230</v>
      </c>
      <c r="L2372" s="97">
        <v>0.36</v>
      </c>
      <c r="M2372" s="97">
        <v>3.9</v>
      </c>
      <c r="N2372" s="97">
        <v>23</v>
      </c>
      <c r="O2372" s="97">
        <v>7</v>
      </c>
      <c r="P2372" s="97" t="s">
        <v>515</v>
      </c>
      <c r="Q2372" s="97">
        <f t="shared" si="303"/>
        <v>342</v>
      </c>
      <c r="R2372" t="str">
        <f t="shared" si="304"/>
        <v/>
      </c>
    </row>
    <row r="2373" spans="4:18">
      <c r="D2373" s="36">
        <v>343</v>
      </c>
      <c r="E2373">
        <v>90</v>
      </c>
      <c r="F2373" s="366">
        <f t="shared" si="299"/>
        <v>1953</v>
      </c>
      <c r="G2373" s="97">
        <v>4068</v>
      </c>
      <c r="H2373" s="367">
        <f t="shared" si="300"/>
        <v>6021</v>
      </c>
      <c r="I2373" s="368">
        <f t="shared" si="301"/>
        <v>0</v>
      </c>
      <c r="J2373" s="97">
        <v>10428</v>
      </c>
      <c r="K2373" s="367">
        <f t="shared" si="302"/>
        <v>7448.5714285714284</v>
      </c>
      <c r="L2373" s="97">
        <v>1</v>
      </c>
      <c r="M2373" s="97">
        <v>4.3999999999999995</v>
      </c>
      <c r="N2373" s="97">
        <v>30</v>
      </c>
      <c r="O2373" s="97">
        <v>8</v>
      </c>
      <c r="P2373" s="97" t="s">
        <v>514</v>
      </c>
      <c r="Q2373" s="97" t="str">
        <f t="shared" si="303"/>
        <v/>
      </c>
      <c r="R2373" t="str">
        <f t="shared" si="304"/>
        <v/>
      </c>
    </row>
    <row r="2374" spans="4:18">
      <c r="D2374" s="36">
        <v>344</v>
      </c>
      <c r="E2374">
        <v>90</v>
      </c>
      <c r="F2374" s="366">
        <f t="shared" si="299"/>
        <v>1953</v>
      </c>
      <c r="G2374" s="97">
        <v>3412</v>
      </c>
      <c r="H2374" s="367">
        <f t="shared" si="300"/>
        <v>5365</v>
      </c>
      <c r="I2374" s="368">
        <f t="shared" si="301"/>
        <v>0</v>
      </c>
      <c r="J2374" s="97">
        <v>8746</v>
      </c>
      <c r="K2374" s="367">
        <f t="shared" si="302"/>
        <v>6247.1428571428569</v>
      </c>
      <c r="L2374" s="97">
        <v>0.47000000000000003</v>
      </c>
      <c r="M2374" s="97">
        <v>4.3999999999999995</v>
      </c>
      <c r="N2374" s="97">
        <v>24</v>
      </c>
      <c r="O2374" s="97">
        <v>8</v>
      </c>
      <c r="P2374" s="97" t="s">
        <v>556</v>
      </c>
      <c r="Q2374" s="97">
        <f t="shared" si="303"/>
        <v>344</v>
      </c>
      <c r="R2374" t="str">
        <f t="shared" si="304"/>
        <v/>
      </c>
    </row>
    <row r="2375" spans="4:18">
      <c r="D2375" s="36">
        <v>345</v>
      </c>
      <c r="E2375">
        <v>90</v>
      </c>
      <c r="F2375" s="366">
        <f t="shared" si="299"/>
        <v>1953</v>
      </c>
      <c r="G2375" s="97">
        <v>3104</v>
      </c>
      <c r="H2375" s="367">
        <f t="shared" si="300"/>
        <v>5057</v>
      </c>
      <c r="I2375" s="368">
        <f t="shared" si="301"/>
        <v>0</v>
      </c>
      <c r="J2375" s="97">
        <v>7957</v>
      </c>
      <c r="K2375" s="367">
        <f t="shared" si="302"/>
        <v>5683.5714285714284</v>
      </c>
      <c r="L2375" s="97">
        <v>0.28000000000000003</v>
      </c>
      <c r="M2375" s="97">
        <v>4.3999999999999995</v>
      </c>
      <c r="N2375" s="97">
        <v>22</v>
      </c>
      <c r="O2375" s="97">
        <v>8</v>
      </c>
      <c r="P2375" s="97" t="s">
        <v>515</v>
      </c>
      <c r="Q2375" s="97">
        <f t="shared" si="303"/>
        <v>345</v>
      </c>
      <c r="R2375" t="str">
        <f t="shared" si="304"/>
        <v/>
      </c>
    </row>
    <row r="2376" spans="4:18">
      <c r="D2376" s="36">
        <v>346</v>
      </c>
      <c r="E2376">
        <v>90</v>
      </c>
      <c r="F2376" s="366">
        <f t="shared" si="299"/>
        <v>1953</v>
      </c>
      <c r="G2376" s="97">
        <v>4023</v>
      </c>
      <c r="H2376" s="367">
        <f t="shared" si="300"/>
        <v>5976</v>
      </c>
      <c r="I2376" s="368">
        <f t="shared" si="301"/>
        <v>0</v>
      </c>
      <c r="J2376" s="97">
        <v>10313</v>
      </c>
      <c r="K2376" s="367">
        <f t="shared" si="302"/>
        <v>7366.4285714285716</v>
      </c>
      <c r="L2376" s="97">
        <v>0.8</v>
      </c>
      <c r="M2376" s="97">
        <v>4.8999999999999995</v>
      </c>
      <c r="N2376" s="97">
        <v>29</v>
      </c>
      <c r="O2376" s="97">
        <v>9</v>
      </c>
      <c r="P2376" s="97" t="s">
        <v>514</v>
      </c>
      <c r="Q2376" s="97" t="str">
        <f t="shared" si="303"/>
        <v/>
      </c>
      <c r="R2376" t="str">
        <f t="shared" si="304"/>
        <v/>
      </c>
    </row>
    <row r="2377" spans="4:18">
      <c r="D2377" s="36">
        <v>347</v>
      </c>
      <c r="E2377">
        <v>90</v>
      </c>
      <c r="F2377" s="366">
        <f t="shared" si="299"/>
        <v>1953</v>
      </c>
      <c r="G2377" s="97">
        <v>3526</v>
      </c>
      <c r="H2377" s="367">
        <f t="shared" si="300"/>
        <v>5479</v>
      </c>
      <c r="I2377" s="368">
        <f t="shared" si="301"/>
        <v>0</v>
      </c>
      <c r="J2377" s="97">
        <v>9038</v>
      </c>
      <c r="K2377" s="367">
        <f t="shared" si="302"/>
        <v>6455.7142857142862</v>
      </c>
      <c r="L2377" s="97">
        <v>0.39</v>
      </c>
      <c r="M2377" s="97">
        <v>4.8999999999999995</v>
      </c>
      <c r="N2377" s="97">
        <v>24</v>
      </c>
      <c r="O2377" s="97">
        <v>9</v>
      </c>
      <c r="P2377" s="97" t="s">
        <v>556</v>
      </c>
      <c r="Q2377" s="97" t="str">
        <f t="shared" si="303"/>
        <v/>
      </c>
      <c r="R2377" t="str">
        <f t="shared" si="304"/>
        <v/>
      </c>
    </row>
    <row r="2378" spans="4:18">
      <c r="D2378" s="36">
        <v>348</v>
      </c>
      <c r="E2378">
        <v>90</v>
      </c>
      <c r="F2378" s="366">
        <f t="shared" ref="F2378:F2441" si="305">1.085*($A$2-$B$2)*E2378*$T$7</f>
        <v>1953</v>
      </c>
      <c r="G2378" s="97">
        <v>3191</v>
      </c>
      <c r="H2378" s="367">
        <f t="shared" ref="H2378:H2441" si="306">(G2378*$U$7)+F2378</f>
        <v>5144</v>
      </c>
      <c r="I2378" s="368">
        <f t="shared" ref="I2378:I2441" si="307">1.085*($C$2-$D$2)*E2378*$T$7</f>
        <v>0</v>
      </c>
      <c r="J2378" s="97">
        <v>8179</v>
      </c>
      <c r="K2378" s="367">
        <f t="shared" ref="K2378:K2441" si="308">(J2378*$V$7)-I2378</f>
        <v>5842.1428571428569</v>
      </c>
      <c r="L2378" s="97">
        <v>0.24000000000000002</v>
      </c>
      <c r="M2378" s="97">
        <v>4.8999999999999995</v>
      </c>
      <c r="N2378" s="97">
        <v>22</v>
      </c>
      <c r="O2378" s="97">
        <v>9</v>
      </c>
      <c r="P2378" s="97" t="s">
        <v>515</v>
      </c>
      <c r="Q2378" s="97" t="str">
        <f t="shared" ref="Q2378:Q2441" si="309">IF(AND(H2378+1&gt;$E$4,L2378&lt;$L$4+0.01,M2378&lt;$M$4+0.01,K2378+1&gt;$F$4,E2378+1&gt;$J$4,N2378&lt;$K$4+1,O2378&lt;$P$4+1,C2378=""),D2378,"")</f>
        <v/>
      </c>
      <c r="R2378" t="str">
        <f t="shared" ref="R2378:R2441" si="310">IF(Q2378="","",IF(AND(O2378&lt;$X$17,E2378&gt;$U$17,E2378&lt;$Q$4+$U$17+1),D2378,""))</f>
        <v/>
      </c>
    </row>
    <row r="2379" spans="4:18">
      <c r="D2379" s="36">
        <v>349</v>
      </c>
      <c r="E2379">
        <v>90</v>
      </c>
      <c r="F2379" s="366">
        <f t="shared" si="305"/>
        <v>1953</v>
      </c>
      <c r="G2379" s="97">
        <v>4554</v>
      </c>
      <c r="H2379" s="367">
        <f t="shared" si="306"/>
        <v>6507</v>
      </c>
      <c r="I2379" s="368">
        <f t="shared" si="307"/>
        <v>0</v>
      </c>
      <c r="J2379" s="97">
        <v>11673</v>
      </c>
      <c r="K2379" s="367">
        <f t="shared" si="308"/>
        <v>8337.8571428571431</v>
      </c>
      <c r="L2379" s="97">
        <v>0.96</v>
      </c>
      <c r="M2379" s="97">
        <v>5.3999999999999995</v>
      </c>
      <c r="N2379" s="97">
        <v>27</v>
      </c>
      <c r="O2379" s="97">
        <v>10</v>
      </c>
      <c r="P2379" s="97" t="s">
        <v>555</v>
      </c>
      <c r="Q2379" s="97" t="str">
        <f t="shared" si="309"/>
        <v/>
      </c>
      <c r="R2379" t="str">
        <f t="shared" si="310"/>
        <v/>
      </c>
    </row>
    <row r="2380" spans="4:18">
      <c r="D2380" s="36">
        <v>350</v>
      </c>
      <c r="E2380">
        <v>90</v>
      </c>
      <c r="F2380" s="366">
        <f t="shared" si="305"/>
        <v>1953</v>
      </c>
      <c r="G2380" s="97">
        <v>4029</v>
      </c>
      <c r="H2380" s="367">
        <f t="shared" si="306"/>
        <v>5982</v>
      </c>
      <c r="I2380" s="368">
        <f t="shared" si="307"/>
        <v>0</v>
      </c>
      <c r="J2380" s="97">
        <v>10329</v>
      </c>
      <c r="K2380" s="367">
        <f t="shared" si="308"/>
        <v>7377.8571428571431</v>
      </c>
      <c r="L2380" s="97">
        <v>0.66</v>
      </c>
      <c r="M2380" s="97">
        <v>5.3999999999999995</v>
      </c>
      <c r="N2380" s="97">
        <v>29</v>
      </c>
      <c r="O2380" s="97">
        <v>10</v>
      </c>
      <c r="P2380" s="97" t="s">
        <v>514</v>
      </c>
      <c r="Q2380" s="97" t="str">
        <f t="shared" si="309"/>
        <v/>
      </c>
      <c r="R2380" t="str">
        <f t="shared" si="310"/>
        <v/>
      </c>
    </row>
    <row r="2381" spans="4:18">
      <c r="D2381" s="36">
        <v>351</v>
      </c>
      <c r="E2381">
        <v>90</v>
      </c>
      <c r="F2381" s="366">
        <f t="shared" si="305"/>
        <v>1953</v>
      </c>
      <c r="G2381" s="97">
        <v>3675</v>
      </c>
      <c r="H2381" s="367">
        <f t="shared" si="306"/>
        <v>5628</v>
      </c>
      <c r="I2381" s="368">
        <f t="shared" si="307"/>
        <v>0</v>
      </c>
      <c r="J2381" s="97">
        <v>9421</v>
      </c>
      <c r="K2381" s="367">
        <f t="shared" si="308"/>
        <v>6729.2857142857147</v>
      </c>
      <c r="L2381" s="97">
        <v>0.32</v>
      </c>
      <c r="M2381" s="97">
        <v>5.3999999999999995</v>
      </c>
      <c r="N2381" s="97">
        <v>24</v>
      </c>
      <c r="O2381" s="97">
        <v>10</v>
      </c>
      <c r="P2381" s="97" t="s">
        <v>556</v>
      </c>
      <c r="Q2381" s="97" t="str">
        <f t="shared" si="309"/>
        <v/>
      </c>
      <c r="R2381" t="str">
        <f t="shared" si="310"/>
        <v/>
      </c>
    </row>
    <row r="2382" spans="4:18">
      <c r="D2382" s="36">
        <v>352</v>
      </c>
      <c r="E2382">
        <v>90</v>
      </c>
      <c r="F2382" s="366">
        <f t="shared" si="305"/>
        <v>1953</v>
      </c>
      <c r="G2382" s="97">
        <v>3267</v>
      </c>
      <c r="H2382" s="367">
        <f t="shared" si="306"/>
        <v>5220</v>
      </c>
      <c r="I2382" s="368">
        <f t="shared" si="307"/>
        <v>0</v>
      </c>
      <c r="J2382" s="97">
        <v>8375</v>
      </c>
      <c r="K2382" s="367">
        <f t="shared" si="308"/>
        <v>5982.1428571428569</v>
      </c>
      <c r="L2382" s="97">
        <v>0.2</v>
      </c>
      <c r="M2382" s="97">
        <v>5.3999999999999995</v>
      </c>
      <c r="N2382" s="97">
        <v>22</v>
      </c>
      <c r="O2382" s="97">
        <v>10</v>
      </c>
      <c r="P2382" s="97" t="s">
        <v>515</v>
      </c>
      <c r="Q2382" s="97" t="str">
        <f t="shared" si="309"/>
        <v/>
      </c>
      <c r="R2382" t="str">
        <f t="shared" si="310"/>
        <v/>
      </c>
    </row>
    <row r="2383" spans="4:18">
      <c r="D2383" s="36">
        <v>353</v>
      </c>
      <c r="E2383">
        <v>95</v>
      </c>
      <c r="F2383" s="366">
        <f t="shared" si="305"/>
        <v>2061.5</v>
      </c>
      <c r="G2383" s="97">
        <v>2962</v>
      </c>
      <c r="H2383" s="367">
        <f t="shared" si="306"/>
        <v>5023.5</v>
      </c>
      <c r="I2383" s="368">
        <f t="shared" si="307"/>
        <v>0</v>
      </c>
      <c r="J2383" s="97">
        <v>7593</v>
      </c>
      <c r="K2383" s="367">
        <f t="shared" si="308"/>
        <v>5423.5714285714284</v>
      </c>
      <c r="L2383" s="97">
        <v>0.79</v>
      </c>
      <c r="M2383" s="97">
        <v>2.8000000000000003</v>
      </c>
      <c r="N2383" s="97">
        <v>27</v>
      </c>
      <c r="O2383" s="97">
        <v>5</v>
      </c>
      <c r="P2383" s="97" t="s">
        <v>515</v>
      </c>
      <c r="Q2383" s="97" t="str">
        <f t="shared" si="309"/>
        <v/>
      </c>
      <c r="R2383" t="str">
        <f t="shared" si="310"/>
        <v/>
      </c>
    </row>
    <row r="2384" spans="4:18">
      <c r="D2384" s="36">
        <v>354</v>
      </c>
      <c r="E2384">
        <v>95</v>
      </c>
      <c r="F2384" s="366">
        <f t="shared" si="305"/>
        <v>2061.5</v>
      </c>
      <c r="G2384" s="97">
        <v>3711</v>
      </c>
      <c r="H2384" s="367">
        <f t="shared" si="306"/>
        <v>5772.5</v>
      </c>
      <c r="I2384" s="368">
        <f t="shared" si="307"/>
        <v>0</v>
      </c>
      <c r="J2384" s="97">
        <v>9514</v>
      </c>
      <c r="K2384" s="367">
        <f t="shared" si="308"/>
        <v>6795.7142857142862</v>
      </c>
      <c r="L2384" s="97">
        <v>0.91</v>
      </c>
      <c r="M2384" s="97">
        <v>3.4</v>
      </c>
      <c r="N2384" s="97">
        <v>27</v>
      </c>
      <c r="O2384" s="97">
        <v>6</v>
      </c>
      <c r="P2384" s="97" t="s">
        <v>556</v>
      </c>
      <c r="Q2384" s="97" t="str">
        <f t="shared" si="309"/>
        <v/>
      </c>
      <c r="R2384" t="str">
        <f t="shared" si="310"/>
        <v/>
      </c>
    </row>
    <row r="2385" spans="4:18">
      <c r="D2385" s="36">
        <v>355</v>
      </c>
      <c r="E2385">
        <v>95</v>
      </c>
      <c r="F2385" s="366">
        <f t="shared" si="305"/>
        <v>2061.5</v>
      </c>
      <c r="G2385" s="97">
        <v>2891</v>
      </c>
      <c r="H2385" s="367">
        <f t="shared" si="306"/>
        <v>4952.5</v>
      </c>
      <c r="I2385" s="368">
        <f t="shared" si="307"/>
        <v>0</v>
      </c>
      <c r="J2385" s="97">
        <v>7411</v>
      </c>
      <c r="K2385" s="367">
        <f t="shared" si="308"/>
        <v>5293.5714285714284</v>
      </c>
      <c r="L2385" s="97">
        <v>0.54</v>
      </c>
      <c r="M2385" s="97">
        <v>3.4</v>
      </c>
      <c r="N2385" s="97">
        <v>25</v>
      </c>
      <c r="O2385" s="97">
        <v>6</v>
      </c>
      <c r="P2385" s="97" t="s">
        <v>515</v>
      </c>
      <c r="Q2385" s="97">
        <f t="shared" si="309"/>
        <v>355</v>
      </c>
      <c r="R2385" t="str">
        <f t="shared" si="310"/>
        <v/>
      </c>
    </row>
    <row r="2386" spans="4:18">
      <c r="D2386" s="36">
        <v>356</v>
      </c>
      <c r="E2386">
        <v>95</v>
      </c>
      <c r="F2386" s="366">
        <f t="shared" si="305"/>
        <v>2061.5</v>
      </c>
      <c r="G2386" s="97">
        <v>3556</v>
      </c>
      <c r="H2386" s="367">
        <f t="shared" si="306"/>
        <v>5617.5</v>
      </c>
      <c r="I2386" s="368">
        <f t="shared" si="307"/>
        <v>0</v>
      </c>
      <c r="J2386" s="97">
        <v>9117</v>
      </c>
      <c r="K2386" s="367">
        <f t="shared" si="308"/>
        <v>6512.1428571428569</v>
      </c>
      <c r="L2386" s="97">
        <v>0.67</v>
      </c>
      <c r="M2386" s="97">
        <v>3.9</v>
      </c>
      <c r="N2386" s="97">
        <v>26</v>
      </c>
      <c r="O2386" s="97">
        <v>7</v>
      </c>
      <c r="P2386" s="97" t="s">
        <v>556</v>
      </c>
      <c r="Q2386" s="97">
        <f t="shared" si="309"/>
        <v>356</v>
      </c>
      <c r="R2386" t="str">
        <f t="shared" si="310"/>
        <v/>
      </c>
    </row>
    <row r="2387" spans="4:18">
      <c r="D2387" s="36">
        <v>357</v>
      </c>
      <c r="E2387">
        <v>95</v>
      </c>
      <c r="F2387" s="366">
        <f t="shared" si="305"/>
        <v>2061.5</v>
      </c>
      <c r="G2387" s="97">
        <v>2961</v>
      </c>
      <c r="H2387" s="367">
        <f t="shared" si="306"/>
        <v>5022.5</v>
      </c>
      <c r="I2387" s="368">
        <f t="shared" si="307"/>
        <v>0</v>
      </c>
      <c r="J2387" s="97">
        <v>7592</v>
      </c>
      <c r="K2387" s="367">
        <f t="shared" si="308"/>
        <v>5422.8571428571431</v>
      </c>
      <c r="L2387" s="97">
        <v>0.4</v>
      </c>
      <c r="M2387" s="97">
        <v>3.9</v>
      </c>
      <c r="N2387" s="97">
        <v>23</v>
      </c>
      <c r="O2387" s="97">
        <v>7</v>
      </c>
      <c r="P2387" s="97" t="s">
        <v>515</v>
      </c>
      <c r="Q2387" s="97">
        <f t="shared" si="309"/>
        <v>357</v>
      </c>
      <c r="R2387" t="str">
        <f t="shared" si="310"/>
        <v/>
      </c>
    </row>
    <row r="2388" spans="4:18">
      <c r="D2388" s="36">
        <v>358</v>
      </c>
      <c r="E2388">
        <v>95</v>
      </c>
      <c r="F2388" s="366">
        <f t="shared" si="305"/>
        <v>2061.5</v>
      </c>
      <c r="G2388" s="97">
        <v>3545</v>
      </c>
      <c r="H2388" s="367">
        <f t="shared" si="306"/>
        <v>5606.5</v>
      </c>
      <c r="I2388" s="368">
        <f t="shared" si="307"/>
        <v>0</v>
      </c>
      <c r="J2388" s="97">
        <v>9089</v>
      </c>
      <c r="K2388" s="367">
        <f t="shared" si="308"/>
        <v>6492.1428571428569</v>
      </c>
      <c r="L2388" s="97">
        <v>0.52</v>
      </c>
      <c r="M2388" s="97">
        <v>4.3999999999999995</v>
      </c>
      <c r="N2388" s="97">
        <v>25</v>
      </c>
      <c r="O2388" s="97">
        <v>8</v>
      </c>
      <c r="P2388" s="97" t="s">
        <v>556</v>
      </c>
      <c r="Q2388" s="97">
        <f t="shared" si="309"/>
        <v>358</v>
      </c>
      <c r="R2388" t="str">
        <f t="shared" si="310"/>
        <v/>
      </c>
    </row>
    <row r="2389" spans="4:18">
      <c r="D2389" s="36">
        <v>359</v>
      </c>
      <c r="E2389">
        <v>95</v>
      </c>
      <c r="F2389" s="366">
        <f t="shared" si="305"/>
        <v>2061.5</v>
      </c>
      <c r="G2389" s="97">
        <v>3180</v>
      </c>
      <c r="H2389" s="367">
        <f t="shared" si="306"/>
        <v>5241.5</v>
      </c>
      <c r="I2389" s="368">
        <f t="shared" si="307"/>
        <v>0</v>
      </c>
      <c r="J2389" s="97">
        <v>8152</v>
      </c>
      <c r="K2389" s="367">
        <f t="shared" si="308"/>
        <v>5822.8571428571431</v>
      </c>
      <c r="L2389" s="97">
        <v>0.32</v>
      </c>
      <c r="M2389" s="97">
        <v>4.3999999999999995</v>
      </c>
      <c r="N2389" s="97">
        <v>23</v>
      </c>
      <c r="O2389" s="97">
        <v>8</v>
      </c>
      <c r="P2389" s="97" t="s">
        <v>515</v>
      </c>
      <c r="Q2389" s="97">
        <f t="shared" si="309"/>
        <v>359</v>
      </c>
      <c r="R2389" t="str">
        <f t="shared" si="310"/>
        <v/>
      </c>
    </row>
    <row r="2390" spans="4:18">
      <c r="D2390" s="36">
        <v>360</v>
      </c>
      <c r="E2390">
        <v>95</v>
      </c>
      <c r="F2390" s="366">
        <f t="shared" si="305"/>
        <v>2061.5</v>
      </c>
      <c r="G2390" s="97">
        <v>4195</v>
      </c>
      <c r="H2390" s="367">
        <f t="shared" si="306"/>
        <v>6256.5</v>
      </c>
      <c r="I2390" s="368">
        <f t="shared" si="307"/>
        <v>0</v>
      </c>
      <c r="J2390" s="97">
        <v>10755</v>
      </c>
      <c r="K2390" s="367">
        <f t="shared" si="308"/>
        <v>7682.1428571428569</v>
      </c>
      <c r="L2390" s="97">
        <v>0.89</v>
      </c>
      <c r="M2390" s="97">
        <v>4.8999999999999995</v>
      </c>
      <c r="N2390" s="97">
        <v>30</v>
      </c>
      <c r="O2390" s="97">
        <v>9</v>
      </c>
      <c r="P2390" s="97" t="s">
        <v>514</v>
      </c>
      <c r="Q2390" s="97" t="str">
        <f t="shared" si="309"/>
        <v/>
      </c>
      <c r="R2390" t="str">
        <f t="shared" si="310"/>
        <v/>
      </c>
    </row>
    <row r="2391" spans="4:18">
      <c r="D2391" s="36">
        <v>361</v>
      </c>
      <c r="E2391">
        <v>95</v>
      </c>
      <c r="F2391" s="366">
        <f t="shared" si="305"/>
        <v>2061.5</v>
      </c>
      <c r="G2391" s="97">
        <v>3609</v>
      </c>
      <c r="H2391" s="367">
        <f t="shared" si="306"/>
        <v>5670.5</v>
      </c>
      <c r="I2391" s="368">
        <f t="shared" si="307"/>
        <v>0</v>
      </c>
      <c r="J2391" s="97">
        <v>9252</v>
      </c>
      <c r="K2391" s="367">
        <f t="shared" si="308"/>
        <v>6608.5714285714284</v>
      </c>
      <c r="L2391" s="97">
        <v>0.43</v>
      </c>
      <c r="M2391" s="97">
        <v>4.8999999999999995</v>
      </c>
      <c r="N2391" s="97">
        <v>25</v>
      </c>
      <c r="O2391" s="97">
        <v>9</v>
      </c>
      <c r="P2391" s="97" t="s">
        <v>556</v>
      </c>
      <c r="Q2391" s="97" t="str">
        <f t="shared" si="309"/>
        <v/>
      </c>
      <c r="R2391" t="str">
        <f t="shared" si="310"/>
        <v/>
      </c>
    </row>
    <row r="2392" spans="4:18">
      <c r="D2392" s="36">
        <v>362</v>
      </c>
      <c r="E2392">
        <v>95</v>
      </c>
      <c r="F2392" s="366">
        <f t="shared" si="305"/>
        <v>2061.5</v>
      </c>
      <c r="G2392" s="97">
        <v>3317</v>
      </c>
      <c r="H2392" s="367">
        <f t="shared" si="306"/>
        <v>5378.5</v>
      </c>
      <c r="I2392" s="368">
        <f t="shared" si="307"/>
        <v>0</v>
      </c>
      <c r="J2392" s="97">
        <v>8503</v>
      </c>
      <c r="K2392" s="367">
        <f t="shared" si="308"/>
        <v>6073.5714285714284</v>
      </c>
      <c r="L2392" s="97">
        <v>0.27</v>
      </c>
      <c r="M2392" s="97">
        <v>4.8999999999999995</v>
      </c>
      <c r="N2392" s="97">
        <v>23</v>
      </c>
      <c r="O2392" s="97">
        <v>9</v>
      </c>
      <c r="P2392" s="97" t="s">
        <v>515</v>
      </c>
      <c r="Q2392" s="97" t="str">
        <f t="shared" si="309"/>
        <v/>
      </c>
      <c r="R2392" t="str">
        <f t="shared" si="310"/>
        <v/>
      </c>
    </row>
    <row r="2393" spans="4:18">
      <c r="D2393" s="36">
        <v>363</v>
      </c>
      <c r="E2393">
        <v>95</v>
      </c>
      <c r="F2393" s="366">
        <f t="shared" si="305"/>
        <v>2061.5</v>
      </c>
      <c r="G2393" s="97">
        <v>4205</v>
      </c>
      <c r="H2393" s="367">
        <f t="shared" si="306"/>
        <v>6266.5</v>
      </c>
      <c r="I2393" s="368">
        <f t="shared" si="307"/>
        <v>0</v>
      </c>
      <c r="J2393" s="97">
        <v>10781</v>
      </c>
      <c r="K2393" s="367">
        <f t="shared" si="308"/>
        <v>7700.7142857142862</v>
      </c>
      <c r="L2393" s="97">
        <v>0.73</v>
      </c>
      <c r="M2393" s="97">
        <v>5.3999999999999995</v>
      </c>
      <c r="N2393" s="97">
        <v>29</v>
      </c>
      <c r="O2393" s="97">
        <v>10</v>
      </c>
      <c r="P2393" s="97" t="s">
        <v>514</v>
      </c>
      <c r="Q2393" s="97" t="str">
        <f t="shared" si="309"/>
        <v/>
      </c>
      <c r="R2393" t="str">
        <f t="shared" si="310"/>
        <v/>
      </c>
    </row>
    <row r="2394" spans="4:18">
      <c r="D2394" s="36">
        <v>364</v>
      </c>
      <c r="E2394">
        <v>95</v>
      </c>
      <c r="F2394" s="366">
        <f t="shared" si="305"/>
        <v>2061.5</v>
      </c>
      <c r="G2394" s="97">
        <v>3746</v>
      </c>
      <c r="H2394" s="367">
        <f t="shared" si="306"/>
        <v>5807.5</v>
      </c>
      <c r="I2394" s="368">
        <f t="shared" si="307"/>
        <v>0</v>
      </c>
      <c r="J2394" s="97">
        <v>9603</v>
      </c>
      <c r="K2394" s="367">
        <f t="shared" si="308"/>
        <v>6859.2857142857147</v>
      </c>
      <c r="L2394" s="97">
        <v>0.36</v>
      </c>
      <c r="M2394" s="97">
        <v>5.3999999999999995</v>
      </c>
      <c r="N2394" s="97">
        <v>24</v>
      </c>
      <c r="O2394" s="97">
        <v>10</v>
      </c>
      <c r="P2394" s="97" t="s">
        <v>556</v>
      </c>
      <c r="Q2394" s="97" t="str">
        <f t="shared" si="309"/>
        <v/>
      </c>
      <c r="R2394" t="str">
        <f t="shared" si="310"/>
        <v/>
      </c>
    </row>
    <row r="2395" spans="4:18">
      <c r="D2395" s="36">
        <v>365</v>
      </c>
      <c r="E2395">
        <v>95</v>
      </c>
      <c r="F2395" s="366">
        <f t="shared" si="305"/>
        <v>2061.5</v>
      </c>
      <c r="G2395" s="97">
        <v>3390</v>
      </c>
      <c r="H2395" s="367">
        <f t="shared" si="306"/>
        <v>5451.5</v>
      </c>
      <c r="I2395" s="368">
        <f t="shared" si="307"/>
        <v>0</v>
      </c>
      <c r="J2395" s="97">
        <v>8690</v>
      </c>
      <c r="K2395" s="367">
        <f t="shared" si="308"/>
        <v>6207.1428571428569</v>
      </c>
      <c r="L2395" s="97">
        <v>0.22</v>
      </c>
      <c r="M2395" s="97">
        <v>5.3999999999999995</v>
      </c>
      <c r="N2395" s="97">
        <v>22</v>
      </c>
      <c r="O2395" s="97">
        <v>10</v>
      </c>
      <c r="P2395" s="97" t="s">
        <v>515</v>
      </c>
      <c r="Q2395" s="97" t="str">
        <f t="shared" si="309"/>
        <v/>
      </c>
      <c r="R2395" t="str">
        <f t="shared" si="310"/>
        <v/>
      </c>
    </row>
    <row r="2396" spans="4:18">
      <c r="D2396" s="36">
        <v>366</v>
      </c>
      <c r="E2396">
        <v>100</v>
      </c>
      <c r="F2396" s="366">
        <f t="shared" si="305"/>
        <v>2170</v>
      </c>
      <c r="G2396" s="97">
        <v>3150</v>
      </c>
      <c r="H2396" s="367">
        <f t="shared" si="306"/>
        <v>5320</v>
      </c>
      <c r="I2396" s="368">
        <f t="shared" si="307"/>
        <v>0</v>
      </c>
      <c r="J2396" s="97">
        <v>8075</v>
      </c>
      <c r="K2396" s="367">
        <f t="shared" si="308"/>
        <v>5767.8571428571431</v>
      </c>
      <c r="L2396" s="97">
        <v>0.88</v>
      </c>
      <c r="M2396" s="97">
        <v>2.8000000000000003</v>
      </c>
      <c r="N2396" s="97">
        <v>27</v>
      </c>
      <c r="O2396" s="97">
        <v>5</v>
      </c>
      <c r="P2396" s="97" t="s">
        <v>515</v>
      </c>
      <c r="Q2396" s="97" t="str">
        <f t="shared" si="309"/>
        <v/>
      </c>
      <c r="R2396" t="str">
        <f t="shared" si="310"/>
        <v/>
      </c>
    </row>
    <row r="2397" spans="4:18">
      <c r="D2397" s="36">
        <v>367</v>
      </c>
      <c r="E2397">
        <v>100</v>
      </c>
      <c r="F2397" s="366">
        <f t="shared" si="305"/>
        <v>2170</v>
      </c>
      <c r="G2397" s="97">
        <v>3966</v>
      </c>
      <c r="H2397" s="367">
        <f t="shared" si="306"/>
        <v>6136</v>
      </c>
      <c r="I2397" s="368">
        <f t="shared" si="307"/>
        <v>0</v>
      </c>
      <c r="J2397" s="97">
        <v>10167</v>
      </c>
      <c r="K2397" s="367">
        <f t="shared" si="308"/>
        <v>7262.1428571428569</v>
      </c>
      <c r="L2397" s="97">
        <v>1.01</v>
      </c>
      <c r="M2397" s="97">
        <v>3.4</v>
      </c>
      <c r="N2397" s="97">
        <v>28</v>
      </c>
      <c r="O2397" s="97">
        <v>6</v>
      </c>
      <c r="P2397" s="97" t="s">
        <v>556</v>
      </c>
      <c r="Q2397" s="97" t="str">
        <f t="shared" si="309"/>
        <v/>
      </c>
      <c r="R2397" t="str">
        <f t="shared" si="310"/>
        <v/>
      </c>
    </row>
    <row r="2398" spans="4:18">
      <c r="D2398" s="36">
        <v>368</v>
      </c>
      <c r="E2398">
        <v>100</v>
      </c>
      <c r="F2398" s="366">
        <f t="shared" si="305"/>
        <v>2170</v>
      </c>
      <c r="G2398" s="97">
        <v>3015</v>
      </c>
      <c r="H2398" s="367">
        <f t="shared" si="306"/>
        <v>5185</v>
      </c>
      <c r="I2398" s="368">
        <f t="shared" si="307"/>
        <v>0</v>
      </c>
      <c r="J2398" s="97">
        <v>7728</v>
      </c>
      <c r="K2398" s="367">
        <f t="shared" si="308"/>
        <v>5520</v>
      </c>
      <c r="L2398" s="97">
        <v>0.6</v>
      </c>
      <c r="M2398" s="97">
        <v>3.4</v>
      </c>
      <c r="N2398" s="97">
        <v>25</v>
      </c>
      <c r="O2398" s="97">
        <v>6</v>
      </c>
      <c r="P2398" s="97" t="s">
        <v>515</v>
      </c>
      <c r="Q2398" s="97">
        <f t="shared" si="309"/>
        <v>368</v>
      </c>
      <c r="R2398" t="str">
        <f t="shared" si="310"/>
        <v/>
      </c>
    </row>
    <row r="2399" spans="4:18">
      <c r="D2399" s="36">
        <v>369</v>
      </c>
      <c r="E2399">
        <v>100</v>
      </c>
      <c r="F2399" s="366">
        <f t="shared" si="305"/>
        <v>2170</v>
      </c>
      <c r="G2399" s="97">
        <v>3795</v>
      </c>
      <c r="H2399" s="367">
        <f t="shared" si="306"/>
        <v>5965</v>
      </c>
      <c r="I2399" s="368">
        <f t="shared" si="307"/>
        <v>0</v>
      </c>
      <c r="J2399" s="97">
        <v>9728</v>
      </c>
      <c r="K2399" s="367">
        <f t="shared" si="308"/>
        <v>6948.5714285714284</v>
      </c>
      <c r="L2399" s="97">
        <v>0.75</v>
      </c>
      <c r="M2399" s="97">
        <v>3.9</v>
      </c>
      <c r="N2399" s="97">
        <v>27</v>
      </c>
      <c r="O2399" s="97">
        <v>7</v>
      </c>
      <c r="P2399" s="97" t="s">
        <v>556</v>
      </c>
      <c r="Q2399" s="97" t="str">
        <f t="shared" si="309"/>
        <v/>
      </c>
      <c r="R2399" t="str">
        <f t="shared" si="310"/>
        <v/>
      </c>
    </row>
    <row r="2400" spans="4:18">
      <c r="D2400" s="36">
        <v>370</v>
      </c>
      <c r="E2400">
        <v>100</v>
      </c>
      <c r="F2400" s="366">
        <f t="shared" si="305"/>
        <v>2170</v>
      </c>
      <c r="G2400" s="97">
        <v>3072</v>
      </c>
      <c r="H2400" s="367">
        <f t="shared" si="306"/>
        <v>5242</v>
      </c>
      <c r="I2400" s="368">
        <f t="shared" si="307"/>
        <v>0</v>
      </c>
      <c r="J2400" s="97">
        <v>7876</v>
      </c>
      <c r="K2400" s="367">
        <f t="shared" si="308"/>
        <v>5625.7142857142862</v>
      </c>
      <c r="L2400" s="97">
        <v>0.45</v>
      </c>
      <c r="M2400" s="97">
        <v>3.9</v>
      </c>
      <c r="N2400" s="97">
        <v>24</v>
      </c>
      <c r="O2400" s="97">
        <v>7</v>
      </c>
      <c r="P2400" s="97" t="s">
        <v>515</v>
      </c>
      <c r="Q2400" s="97">
        <f t="shared" si="309"/>
        <v>370</v>
      </c>
      <c r="R2400" t="str">
        <f t="shared" si="310"/>
        <v/>
      </c>
    </row>
    <row r="2401" spans="4:18">
      <c r="D2401" s="36">
        <v>371</v>
      </c>
      <c r="E2401">
        <v>100</v>
      </c>
      <c r="F2401" s="366">
        <f t="shared" si="305"/>
        <v>2170</v>
      </c>
      <c r="G2401" s="97">
        <v>3679</v>
      </c>
      <c r="H2401" s="367">
        <f t="shared" si="306"/>
        <v>5849</v>
      </c>
      <c r="I2401" s="368">
        <f t="shared" si="307"/>
        <v>0</v>
      </c>
      <c r="J2401" s="97">
        <v>9432</v>
      </c>
      <c r="K2401" s="367">
        <f t="shared" si="308"/>
        <v>6737.1428571428569</v>
      </c>
      <c r="L2401" s="97">
        <v>0.57999999999999996</v>
      </c>
      <c r="M2401" s="97">
        <v>4.3999999999999995</v>
      </c>
      <c r="N2401" s="97">
        <v>26</v>
      </c>
      <c r="O2401" s="97">
        <v>8</v>
      </c>
      <c r="P2401" s="97" t="s">
        <v>556</v>
      </c>
      <c r="Q2401" s="97">
        <f t="shared" si="309"/>
        <v>371</v>
      </c>
      <c r="R2401" t="str">
        <f t="shared" si="310"/>
        <v/>
      </c>
    </row>
    <row r="2402" spans="4:18">
      <c r="D2402" s="36">
        <v>372</v>
      </c>
      <c r="E2402">
        <v>100</v>
      </c>
      <c r="F2402" s="366">
        <f t="shared" si="305"/>
        <v>2170</v>
      </c>
      <c r="G2402" s="97">
        <v>3256</v>
      </c>
      <c r="H2402" s="367">
        <f t="shared" si="306"/>
        <v>5426</v>
      </c>
      <c r="I2402" s="368">
        <f t="shared" si="307"/>
        <v>0</v>
      </c>
      <c r="J2402" s="97">
        <v>8348</v>
      </c>
      <c r="K2402" s="367">
        <f t="shared" si="308"/>
        <v>5962.8571428571431</v>
      </c>
      <c r="L2402" s="97">
        <v>0.35000000000000003</v>
      </c>
      <c r="M2402" s="97">
        <v>4.3999999999999995</v>
      </c>
      <c r="N2402" s="97">
        <v>23</v>
      </c>
      <c r="O2402" s="97">
        <v>8</v>
      </c>
      <c r="P2402" s="97" t="s">
        <v>515</v>
      </c>
      <c r="Q2402" s="97">
        <f t="shared" si="309"/>
        <v>372</v>
      </c>
      <c r="R2402" t="str">
        <f t="shared" si="310"/>
        <v/>
      </c>
    </row>
    <row r="2403" spans="4:18">
      <c r="D2403" s="36">
        <v>373</v>
      </c>
      <c r="E2403">
        <v>100</v>
      </c>
      <c r="F2403" s="366">
        <f t="shared" si="305"/>
        <v>2170</v>
      </c>
      <c r="G2403" s="97">
        <v>4421</v>
      </c>
      <c r="H2403" s="367">
        <f t="shared" si="306"/>
        <v>6591</v>
      </c>
      <c r="I2403" s="368">
        <f t="shared" si="307"/>
        <v>0</v>
      </c>
      <c r="J2403" s="97">
        <v>11335</v>
      </c>
      <c r="K2403" s="367">
        <f t="shared" si="308"/>
        <v>8096.4285714285716</v>
      </c>
      <c r="L2403" s="97">
        <v>0.99</v>
      </c>
      <c r="M2403" s="97">
        <v>4.8999999999999995</v>
      </c>
      <c r="N2403" s="97">
        <v>31</v>
      </c>
      <c r="O2403" s="97">
        <v>9</v>
      </c>
      <c r="P2403" s="97" t="s">
        <v>514</v>
      </c>
      <c r="Q2403" s="97" t="str">
        <f t="shared" si="309"/>
        <v/>
      </c>
      <c r="R2403" t="str">
        <f t="shared" si="310"/>
        <v/>
      </c>
    </row>
    <row r="2404" spans="4:18">
      <c r="D2404" s="36">
        <v>374</v>
      </c>
      <c r="E2404">
        <v>100</v>
      </c>
      <c r="F2404" s="366">
        <f t="shared" si="305"/>
        <v>2170</v>
      </c>
      <c r="G2404" s="97">
        <v>3697</v>
      </c>
      <c r="H2404" s="367">
        <f t="shared" si="306"/>
        <v>5867</v>
      </c>
      <c r="I2404" s="368">
        <f t="shared" si="307"/>
        <v>0</v>
      </c>
      <c r="J2404" s="97">
        <v>9477</v>
      </c>
      <c r="K2404" s="367">
        <f t="shared" si="308"/>
        <v>6769.2857142857147</v>
      </c>
      <c r="L2404" s="97">
        <v>0.48</v>
      </c>
      <c r="M2404" s="97">
        <v>4.8999999999999995</v>
      </c>
      <c r="N2404" s="97">
        <v>26</v>
      </c>
      <c r="O2404" s="97">
        <v>9</v>
      </c>
      <c r="P2404" s="97" t="s">
        <v>556</v>
      </c>
      <c r="Q2404" s="97" t="str">
        <f t="shared" si="309"/>
        <v/>
      </c>
      <c r="R2404" t="str">
        <f t="shared" si="310"/>
        <v/>
      </c>
    </row>
    <row r="2405" spans="4:18">
      <c r="D2405" s="36">
        <v>375</v>
      </c>
      <c r="E2405">
        <v>100</v>
      </c>
      <c r="F2405" s="366">
        <f t="shared" si="305"/>
        <v>2170</v>
      </c>
      <c r="G2405" s="97">
        <v>3433</v>
      </c>
      <c r="H2405" s="367">
        <f t="shared" si="306"/>
        <v>5603</v>
      </c>
      <c r="I2405" s="368">
        <f t="shared" si="307"/>
        <v>0</v>
      </c>
      <c r="J2405" s="97">
        <v>8800</v>
      </c>
      <c r="K2405" s="367">
        <f t="shared" si="308"/>
        <v>6285.7142857142862</v>
      </c>
      <c r="L2405" s="97">
        <v>0.29000000000000004</v>
      </c>
      <c r="M2405" s="97">
        <v>4.8999999999999995</v>
      </c>
      <c r="N2405" s="97">
        <v>24</v>
      </c>
      <c r="O2405" s="97">
        <v>9</v>
      </c>
      <c r="P2405" s="97" t="s">
        <v>515</v>
      </c>
      <c r="Q2405" s="97" t="str">
        <f t="shared" si="309"/>
        <v/>
      </c>
      <c r="R2405" t="str">
        <f t="shared" si="310"/>
        <v/>
      </c>
    </row>
    <row r="2406" spans="4:18">
      <c r="D2406" s="36">
        <v>376</v>
      </c>
      <c r="E2406">
        <v>100</v>
      </c>
      <c r="F2406" s="366">
        <f t="shared" si="305"/>
        <v>2170</v>
      </c>
      <c r="G2406" s="97">
        <v>4382</v>
      </c>
      <c r="H2406" s="367">
        <f t="shared" si="306"/>
        <v>6552</v>
      </c>
      <c r="I2406" s="368">
        <f t="shared" si="307"/>
        <v>0</v>
      </c>
      <c r="J2406" s="97">
        <v>11232</v>
      </c>
      <c r="K2406" s="367">
        <f t="shared" si="308"/>
        <v>8022.8571428571431</v>
      </c>
      <c r="L2406" s="97">
        <v>0.81</v>
      </c>
      <c r="M2406" s="97">
        <v>5.3999999999999995</v>
      </c>
      <c r="N2406" s="97">
        <v>30</v>
      </c>
      <c r="O2406" s="97">
        <v>10</v>
      </c>
      <c r="P2406" s="97" t="s">
        <v>514</v>
      </c>
      <c r="Q2406" s="97" t="str">
        <f t="shared" si="309"/>
        <v/>
      </c>
      <c r="R2406" t="str">
        <f t="shared" si="310"/>
        <v/>
      </c>
    </row>
    <row r="2407" spans="4:18">
      <c r="D2407" s="36">
        <v>377</v>
      </c>
      <c r="E2407">
        <v>100</v>
      </c>
      <c r="F2407" s="366">
        <f t="shared" si="305"/>
        <v>2170</v>
      </c>
      <c r="G2407" s="97">
        <v>3817</v>
      </c>
      <c r="H2407" s="367">
        <f t="shared" si="306"/>
        <v>5987</v>
      </c>
      <c r="I2407" s="368">
        <f t="shared" si="307"/>
        <v>0</v>
      </c>
      <c r="J2407" s="97">
        <v>9784</v>
      </c>
      <c r="K2407" s="367">
        <f t="shared" si="308"/>
        <v>6988.5714285714284</v>
      </c>
      <c r="L2407" s="97">
        <v>0.4</v>
      </c>
      <c r="M2407" s="97">
        <v>5.3999999999999995</v>
      </c>
      <c r="N2407" s="97">
        <v>25</v>
      </c>
      <c r="O2407" s="97">
        <v>10</v>
      </c>
      <c r="P2407" s="97" t="s">
        <v>556</v>
      </c>
      <c r="Q2407" s="97" t="str">
        <f t="shared" si="309"/>
        <v/>
      </c>
      <c r="R2407" t="str">
        <f t="shared" si="310"/>
        <v/>
      </c>
    </row>
    <row r="2408" spans="4:18">
      <c r="D2408" s="36">
        <v>378</v>
      </c>
      <c r="E2408">
        <v>100</v>
      </c>
      <c r="F2408" s="366">
        <f t="shared" si="305"/>
        <v>2170</v>
      </c>
      <c r="G2408" s="97">
        <v>3512</v>
      </c>
      <c r="H2408" s="367">
        <f t="shared" si="306"/>
        <v>5682</v>
      </c>
      <c r="I2408" s="368">
        <f t="shared" si="307"/>
        <v>0</v>
      </c>
      <c r="J2408" s="97">
        <v>9004</v>
      </c>
      <c r="K2408" s="367">
        <f t="shared" si="308"/>
        <v>6431.4285714285716</v>
      </c>
      <c r="L2408" s="97">
        <v>0.24000000000000002</v>
      </c>
      <c r="M2408" s="97">
        <v>5.3999999999999995</v>
      </c>
      <c r="N2408" s="97">
        <v>23</v>
      </c>
      <c r="O2408" s="97">
        <v>10</v>
      </c>
      <c r="P2408" s="97" t="s">
        <v>515</v>
      </c>
      <c r="Q2408" s="97" t="str">
        <f t="shared" si="309"/>
        <v/>
      </c>
      <c r="R2408" t="str">
        <f t="shared" si="310"/>
        <v/>
      </c>
    </row>
    <row r="2409" spans="4:18">
      <c r="D2409" s="36">
        <v>379</v>
      </c>
      <c r="E2409">
        <v>105</v>
      </c>
      <c r="F2409" s="366">
        <f t="shared" si="305"/>
        <v>2278.5</v>
      </c>
      <c r="G2409" s="97">
        <v>3341</v>
      </c>
      <c r="H2409" s="367">
        <f t="shared" si="306"/>
        <v>5619.5</v>
      </c>
      <c r="I2409" s="368">
        <f t="shared" si="307"/>
        <v>0</v>
      </c>
      <c r="J2409" s="97">
        <v>8565</v>
      </c>
      <c r="K2409" s="367">
        <f t="shared" si="308"/>
        <v>6117.8571428571431</v>
      </c>
      <c r="L2409" s="97">
        <v>0.96</v>
      </c>
      <c r="M2409" s="97">
        <v>2.8000000000000003</v>
      </c>
      <c r="N2409" s="97">
        <v>28</v>
      </c>
      <c r="O2409" s="97">
        <v>5</v>
      </c>
      <c r="P2409" s="97" t="s">
        <v>515</v>
      </c>
      <c r="Q2409" s="97" t="str">
        <f t="shared" si="309"/>
        <v/>
      </c>
      <c r="R2409" t="str">
        <f t="shared" si="310"/>
        <v/>
      </c>
    </row>
    <row r="2410" spans="4:18">
      <c r="D2410" s="36">
        <v>380</v>
      </c>
      <c r="E2410">
        <v>105</v>
      </c>
      <c r="F2410" s="366">
        <f t="shared" si="305"/>
        <v>2278.5</v>
      </c>
      <c r="G2410" s="97">
        <v>3202</v>
      </c>
      <c r="H2410" s="367">
        <f t="shared" si="306"/>
        <v>5480.5</v>
      </c>
      <c r="I2410" s="368">
        <f t="shared" si="307"/>
        <v>0</v>
      </c>
      <c r="J2410" s="97">
        <v>8209</v>
      </c>
      <c r="K2410" s="367">
        <f t="shared" si="308"/>
        <v>5863.5714285714284</v>
      </c>
      <c r="L2410" s="97">
        <v>0.66</v>
      </c>
      <c r="M2410" s="97">
        <v>3.4</v>
      </c>
      <c r="N2410" s="97">
        <v>26</v>
      </c>
      <c r="O2410" s="97">
        <v>6</v>
      </c>
      <c r="P2410" s="97" t="s">
        <v>515</v>
      </c>
      <c r="Q2410" s="97">
        <f t="shared" si="309"/>
        <v>380</v>
      </c>
      <c r="R2410" t="str">
        <f t="shared" si="310"/>
        <v/>
      </c>
    </row>
    <row r="2411" spans="4:18">
      <c r="D2411" s="36">
        <v>381</v>
      </c>
      <c r="E2411">
        <v>105</v>
      </c>
      <c r="F2411" s="366">
        <f t="shared" si="305"/>
        <v>2278.5</v>
      </c>
      <c r="G2411" s="97">
        <v>4034</v>
      </c>
      <c r="H2411" s="367">
        <f t="shared" si="306"/>
        <v>6312.5</v>
      </c>
      <c r="I2411" s="368">
        <f t="shared" si="307"/>
        <v>0</v>
      </c>
      <c r="J2411" s="97">
        <v>10340</v>
      </c>
      <c r="K2411" s="367">
        <f t="shared" si="308"/>
        <v>7385.7142857142862</v>
      </c>
      <c r="L2411" s="97">
        <v>0.82000000000000006</v>
      </c>
      <c r="M2411" s="97">
        <v>3.9</v>
      </c>
      <c r="N2411" s="97">
        <v>27</v>
      </c>
      <c r="O2411" s="97">
        <v>7</v>
      </c>
      <c r="P2411" s="97" t="s">
        <v>556</v>
      </c>
      <c r="Q2411" s="97" t="str">
        <f t="shared" si="309"/>
        <v/>
      </c>
      <c r="R2411" t="str">
        <f t="shared" si="310"/>
        <v/>
      </c>
    </row>
    <row r="2412" spans="4:18">
      <c r="D2412" s="36">
        <v>382</v>
      </c>
      <c r="E2412">
        <v>105</v>
      </c>
      <c r="F2412" s="366">
        <f t="shared" si="305"/>
        <v>2278.5</v>
      </c>
      <c r="G2412" s="97">
        <v>3189</v>
      </c>
      <c r="H2412" s="367">
        <f t="shared" si="306"/>
        <v>5467.5</v>
      </c>
      <c r="I2412" s="368">
        <f t="shared" si="307"/>
        <v>0</v>
      </c>
      <c r="J2412" s="97">
        <v>8174</v>
      </c>
      <c r="K2412" s="367">
        <f t="shared" si="308"/>
        <v>5838.5714285714284</v>
      </c>
      <c r="L2412" s="97">
        <v>0.49</v>
      </c>
      <c r="M2412" s="97">
        <v>3.9</v>
      </c>
      <c r="N2412" s="97">
        <v>25</v>
      </c>
      <c r="O2412" s="97">
        <v>7</v>
      </c>
      <c r="P2412" s="97" t="s">
        <v>515</v>
      </c>
      <c r="Q2412" s="97">
        <f t="shared" si="309"/>
        <v>382</v>
      </c>
      <c r="R2412" t="str">
        <f t="shared" si="310"/>
        <v/>
      </c>
    </row>
    <row r="2413" spans="4:18">
      <c r="D2413" s="36">
        <v>383</v>
      </c>
      <c r="E2413">
        <v>105</v>
      </c>
      <c r="F2413" s="366">
        <f t="shared" si="305"/>
        <v>2278.5</v>
      </c>
      <c r="G2413" s="97">
        <v>3813</v>
      </c>
      <c r="H2413" s="367">
        <f t="shared" si="306"/>
        <v>6091.5</v>
      </c>
      <c r="I2413" s="368">
        <f t="shared" si="307"/>
        <v>0</v>
      </c>
      <c r="J2413" s="97">
        <v>9775</v>
      </c>
      <c r="K2413" s="367">
        <f t="shared" si="308"/>
        <v>6982.1428571428569</v>
      </c>
      <c r="L2413" s="97">
        <v>0.63</v>
      </c>
      <c r="M2413" s="97">
        <v>4.3999999999999995</v>
      </c>
      <c r="N2413" s="97">
        <v>26</v>
      </c>
      <c r="O2413" s="97">
        <v>8</v>
      </c>
      <c r="P2413" s="97" t="s">
        <v>556</v>
      </c>
      <c r="Q2413" s="97">
        <f t="shared" si="309"/>
        <v>383</v>
      </c>
      <c r="R2413" t="str">
        <f t="shared" si="310"/>
        <v/>
      </c>
    </row>
    <row r="2414" spans="4:18">
      <c r="D2414" s="36">
        <v>384</v>
      </c>
      <c r="E2414">
        <v>105</v>
      </c>
      <c r="F2414" s="366">
        <f t="shared" si="305"/>
        <v>2278.5</v>
      </c>
      <c r="G2414" s="97">
        <v>3332</v>
      </c>
      <c r="H2414" s="367">
        <f t="shared" si="306"/>
        <v>5610.5</v>
      </c>
      <c r="I2414" s="368">
        <f t="shared" si="307"/>
        <v>0</v>
      </c>
      <c r="J2414" s="97">
        <v>8543</v>
      </c>
      <c r="K2414" s="367">
        <f t="shared" si="308"/>
        <v>6102.1428571428569</v>
      </c>
      <c r="L2414" s="97">
        <v>0.38</v>
      </c>
      <c r="M2414" s="97">
        <v>4.3999999999999995</v>
      </c>
      <c r="N2414" s="97">
        <v>24</v>
      </c>
      <c r="O2414" s="97">
        <v>8</v>
      </c>
      <c r="P2414" s="97" t="s">
        <v>515</v>
      </c>
      <c r="Q2414" s="97">
        <f t="shared" si="309"/>
        <v>384</v>
      </c>
      <c r="R2414" t="str">
        <f t="shared" si="310"/>
        <v/>
      </c>
    </row>
    <row r="2415" spans="4:18">
      <c r="D2415" s="36">
        <v>385</v>
      </c>
      <c r="E2415">
        <v>105</v>
      </c>
      <c r="F2415" s="366">
        <f t="shared" si="305"/>
        <v>2278.5</v>
      </c>
      <c r="G2415" s="97">
        <v>3836</v>
      </c>
      <c r="H2415" s="367">
        <f t="shared" si="306"/>
        <v>6114.5</v>
      </c>
      <c r="I2415" s="368">
        <f t="shared" si="307"/>
        <v>0</v>
      </c>
      <c r="J2415" s="97">
        <v>9833</v>
      </c>
      <c r="K2415" s="367">
        <f t="shared" si="308"/>
        <v>7023.5714285714284</v>
      </c>
      <c r="L2415" s="97">
        <v>0.53</v>
      </c>
      <c r="M2415" s="97">
        <v>4.8999999999999995</v>
      </c>
      <c r="N2415" s="97">
        <v>26</v>
      </c>
      <c r="O2415" s="97">
        <v>9</v>
      </c>
      <c r="P2415" s="97" t="s">
        <v>556</v>
      </c>
      <c r="Q2415" s="97" t="str">
        <f t="shared" si="309"/>
        <v/>
      </c>
      <c r="R2415" t="str">
        <f t="shared" si="310"/>
        <v/>
      </c>
    </row>
    <row r="2416" spans="4:18">
      <c r="D2416" s="36">
        <v>386</v>
      </c>
      <c r="E2416">
        <v>105</v>
      </c>
      <c r="F2416" s="366">
        <f t="shared" si="305"/>
        <v>2278.5</v>
      </c>
      <c r="G2416" s="97">
        <v>3500</v>
      </c>
      <c r="H2416" s="367">
        <f t="shared" si="306"/>
        <v>5778.5</v>
      </c>
      <c r="I2416" s="368">
        <f t="shared" si="307"/>
        <v>0</v>
      </c>
      <c r="J2416" s="97">
        <v>8972</v>
      </c>
      <c r="K2416" s="367">
        <f t="shared" si="308"/>
        <v>6408.5714285714284</v>
      </c>
      <c r="L2416" s="97">
        <v>0.32</v>
      </c>
      <c r="M2416" s="97">
        <v>4.8999999999999995</v>
      </c>
      <c r="N2416" s="97">
        <v>24</v>
      </c>
      <c r="O2416" s="97">
        <v>9</v>
      </c>
      <c r="P2416" s="97" t="s">
        <v>515</v>
      </c>
      <c r="Q2416" s="97" t="str">
        <f t="shared" si="309"/>
        <v/>
      </c>
      <c r="R2416" t="str">
        <f t="shared" si="310"/>
        <v/>
      </c>
    </row>
    <row r="2417" spans="4:18">
      <c r="D2417" s="36">
        <v>387</v>
      </c>
      <c r="E2417">
        <v>105</v>
      </c>
      <c r="F2417" s="366">
        <f t="shared" si="305"/>
        <v>2278.5</v>
      </c>
      <c r="G2417" s="97">
        <v>4558</v>
      </c>
      <c r="H2417" s="367">
        <f t="shared" si="306"/>
        <v>6836.5</v>
      </c>
      <c r="I2417" s="368">
        <f t="shared" si="307"/>
        <v>0</v>
      </c>
      <c r="J2417" s="97">
        <v>11684</v>
      </c>
      <c r="K2417" s="367">
        <f t="shared" si="308"/>
        <v>8345.7142857142862</v>
      </c>
      <c r="L2417" s="97">
        <v>0.9</v>
      </c>
      <c r="M2417" s="97">
        <v>5.3999999999999995</v>
      </c>
      <c r="N2417" s="97">
        <v>31</v>
      </c>
      <c r="O2417" s="97">
        <v>10</v>
      </c>
      <c r="P2417" s="97" t="s">
        <v>514</v>
      </c>
      <c r="Q2417" s="97" t="str">
        <f t="shared" si="309"/>
        <v/>
      </c>
      <c r="R2417" t="str">
        <f t="shared" si="310"/>
        <v/>
      </c>
    </row>
    <row r="2418" spans="4:18">
      <c r="D2418" s="36">
        <v>388</v>
      </c>
      <c r="E2418">
        <v>105</v>
      </c>
      <c r="F2418" s="366">
        <f t="shared" si="305"/>
        <v>2278.5</v>
      </c>
      <c r="G2418" s="97">
        <v>3887</v>
      </c>
      <c r="H2418" s="367">
        <f t="shared" si="306"/>
        <v>6165.5</v>
      </c>
      <c r="I2418" s="368">
        <f t="shared" si="307"/>
        <v>0</v>
      </c>
      <c r="J2418" s="97">
        <v>9965</v>
      </c>
      <c r="K2418" s="367">
        <f t="shared" si="308"/>
        <v>7117.8571428571431</v>
      </c>
      <c r="L2418" s="97">
        <v>0.44</v>
      </c>
      <c r="M2418" s="97">
        <v>5.3999999999999995</v>
      </c>
      <c r="N2418" s="97">
        <v>26</v>
      </c>
      <c r="O2418" s="97">
        <v>10</v>
      </c>
      <c r="P2418" s="97" t="s">
        <v>556</v>
      </c>
      <c r="Q2418" s="97" t="str">
        <f t="shared" si="309"/>
        <v/>
      </c>
      <c r="R2418" t="str">
        <f t="shared" si="310"/>
        <v/>
      </c>
    </row>
    <row r="2419" spans="4:18">
      <c r="D2419" s="36">
        <v>389</v>
      </c>
      <c r="E2419">
        <v>105</v>
      </c>
      <c r="F2419" s="366">
        <f t="shared" si="305"/>
        <v>2278.5</v>
      </c>
      <c r="G2419" s="97">
        <v>3635</v>
      </c>
      <c r="H2419" s="367">
        <f t="shared" si="306"/>
        <v>5913.5</v>
      </c>
      <c r="I2419" s="368">
        <f t="shared" si="307"/>
        <v>0</v>
      </c>
      <c r="J2419" s="97">
        <v>9319</v>
      </c>
      <c r="K2419" s="367">
        <f t="shared" si="308"/>
        <v>6656.4285714285716</v>
      </c>
      <c r="L2419" s="97">
        <v>0.27</v>
      </c>
      <c r="M2419" s="97">
        <v>5.3999999999999995</v>
      </c>
      <c r="N2419" s="97">
        <v>24</v>
      </c>
      <c r="O2419" s="97">
        <v>10</v>
      </c>
      <c r="P2419" s="97" t="s">
        <v>515</v>
      </c>
      <c r="Q2419" s="97" t="str">
        <f t="shared" si="309"/>
        <v/>
      </c>
      <c r="R2419" t="str">
        <f t="shared" si="310"/>
        <v/>
      </c>
    </row>
    <row r="2420" spans="4:18">
      <c r="D2420" s="36">
        <v>390</v>
      </c>
      <c r="E2420">
        <v>110</v>
      </c>
      <c r="F2420" s="366">
        <f t="shared" si="305"/>
        <v>2387</v>
      </c>
      <c r="G2420" s="97">
        <v>3401</v>
      </c>
      <c r="H2420" s="367">
        <f t="shared" si="306"/>
        <v>5788</v>
      </c>
      <c r="I2420" s="368">
        <f t="shared" si="307"/>
        <v>0</v>
      </c>
      <c r="J2420" s="97">
        <v>8720</v>
      </c>
      <c r="K2420" s="367">
        <f t="shared" si="308"/>
        <v>6228.5714285714284</v>
      </c>
      <c r="L2420" s="97">
        <v>0.73</v>
      </c>
      <c r="M2420" s="97">
        <v>3.4</v>
      </c>
      <c r="N2420" s="97">
        <v>26</v>
      </c>
      <c r="O2420" s="97">
        <v>6</v>
      </c>
      <c r="P2420" s="97" t="s">
        <v>515</v>
      </c>
      <c r="Q2420" s="97" t="str">
        <f t="shared" si="309"/>
        <v/>
      </c>
      <c r="R2420" t="str">
        <f t="shared" si="310"/>
        <v/>
      </c>
    </row>
    <row r="2421" spans="4:18">
      <c r="D2421" s="36">
        <v>391</v>
      </c>
      <c r="E2421">
        <v>110</v>
      </c>
      <c r="F2421" s="366">
        <f t="shared" si="305"/>
        <v>2387</v>
      </c>
      <c r="G2421" s="97">
        <v>4272</v>
      </c>
      <c r="H2421" s="367">
        <f t="shared" si="306"/>
        <v>6659</v>
      </c>
      <c r="I2421" s="368">
        <f t="shared" si="307"/>
        <v>0</v>
      </c>
      <c r="J2421" s="97">
        <v>10952</v>
      </c>
      <c r="K2421" s="367">
        <f t="shared" si="308"/>
        <v>7822.8571428571431</v>
      </c>
      <c r="L2421" s="97">
        <v>0.9</v>
      </c>
      <c r="M2421" s="97">
        <v>3.9</v>
      </c>
      <c r="N2421" s="97">
        <v>28</v>
      </c>
      <c r="O2421" s="97">
        <v>7</v>
      </c>
      <c r="P2421" s="97" t="s">
        <v>556</v>
      </c>
      <c r="Q2421" s="97" t="str">
        <f t="shared" si="309"/>
        <v/>
      </c>
      <c r="R2421" t="str">
        <f t="shared" si="310"/>
        <v/>
      </c>
    </row>
    <row r="2422" spans="4:18">
      <c r="D2422" s="36">
        <v>392</v>
      </c>
      <c r="E2422">
        <v>110</v>
      </c>
      <c r="F2422" s="366">
        <f t="shared" si="305"/>
        <v>2387</v>
      </c>
      <c r="G2422" s="97">
        <v>3305</v>
      </c>
      <c r="H2422" s="367">
        <f t="shared" si="306"/>
        <v>5692</v>
      </c>
      <c r="I2422" s="368">
        <f t="shared" si="307"/>
        <v>0</v>
      </c>
      <c r="J2422" s="97">
        <v>8473</v>
      </c>
      <c r="K2422" s="367">
        <f t="shared" si="308"/>
        <v>6052.1428571428569</v>
      </c>
      <c r="L2422" s="97">
        <v>0.54</v>
      </c>
      <c r="M2422" s="97">
        <v>3.9</v>
      </c>
      <c r="N2422" s="97">
        <v>25</v>
      </c>
      <c r="O2422" s="97">
        <v>7</v>
      </c>
      <c r="P2422" s="97" t="s">
        <v>515</v>
      </c>
      <c r="Q2422" s="97">
        <f t="shared" si="309"/>
        <v>392</v>
      </c>
      <c r="R2422" t="str">
        <f t="shared" si="310"/>
        <v/>
      </c>
    </row>
    <row r="2423" spans="4:18">
      <c r="D2423" s="36">
        <v>393</v>
      </c>
      <c r="E2423">
        <v>110</v>
      </c>
      <c r="F2423" s="366">
        <f t="shared" si="305"/>
        <v>2387</v>
      </c>
      <c r="G2423" s="97">
        <v>3993</v>
      </c>
      <c r="H2423" s="367">
        <f t="shared" si="306"/>
        <v>6380</v>
      </c>
      <c r="I2423" s="368">
        <f t="shared" si="307"/>
        <v>0</v>
      </c>
      <c r="J2423" s="97">
        <v>10237</v>
      </c>
      <c r="K2423" s="367">
        <f t="shared" si="308"/>
        <v>7312.1428571428569</v>
      </c>
      <c r="L2423" s="97">
        <v>0.7</v>
      </c>
      <c r="M2423" s="97">
        <v>4.3999999999999995</v>
      </c>
      <c r="N2423" s="97">
        <v>27</v>
      </c>
      <c r="O2423" s="97">
        <v>8</v>
      </c>
      <c r="P2423" s="97" t="s">
        <v>556</v>
      </c>
      <c r="Q2423" s="97">
        <f t="shared" si="309"/>
        <v>393</v>
      </c>
      <c r="R2423" t="str">
        <f t="shared" si="310"/>
        <v/>
      </c>
    </row>
    <row r="2424" spans="4:18">
      <c r="D2424" s="36">
        <v>394</v>
      </c>
      <c r="E2424">
        <v>110</v>
      </c>
      <c r="F2424" s="366">
        <f t="shared" si="305"/>
        <v>2387</v>
      </c>
      <c r="G2424" s="97">
        <v>3408</v>
      </c>
      <c r="H2424" s="367">
        <f t="shared" si="306"/>
        <v>5795</v>
      </c>
      <c r="I2424" s="368">
        <f t="shared" si="307"/>
        <v>0</v>
      </c>
      <c r="J2424" s="97">
        <v>8738</v>
      </c>
      <c r="K2424" s="367">
        <f t="shared" si="308"/>
        <v>6241.4285714285716</v>
      </c>
      <c r="L2424" s="97">
        <v>0.42</v>
      </c>
      <c r="M2424" s="97">
        <v>4.3999999999999995</v>
      </c>
      <c r="N2424" s="97">
        <v>24</v>
      </c>
      <c r="O2424" s="97">
        <v>8</v>
      </c>
      <c r="P2424" s="97" t="s">
        <v>515</v>
      </c>
      <c r="Q2424" s="97">
        <f t="shared" si="309"/>
        <v>394</v>
      </c>
      <c r="R2424" t="str">
        <f t="shared" si="310"/>
        <v/>
      </c>
    </row>
    <row r="2425" spans="4:18">
      <c r="D2425" s="36">
        <v>395</v>
      </c>
      <c r="E2425">
        <v>110</v>
      </c>
      <c r="F2425" s="366">
        <f t="shared" si="305"/>
        <v>2387</v>
      </c>
      <c r="G2425" s="97">
        <v>3974</v>
      </c>
      <c r="H2425" s="367">
        <f t="shared" si="306"/>
        <v>6361</v>
      </c>
      <c r="I2425" s="368">
        <f t="shared" si="307"/>
        <v>0</v>
      </c>
      <c r="J2425" s="97">
        <v>10188</v>
      </c>
      <c r="K2425" s="367">
        <f t="shared" si="308"/>
        <v>7277.1428571428569</v>
      </c>
      <c r="L2425" s="97">
        <v>0.57999999999999996</v>
      </c>
      <c r="M2425" s="97">
        <v>4.8999999999999995</v>
      </c>
      <c r="N2425" s="97">
        <v>27</v>
      </c>
      <c r="O2425" s="97">
        <v>9</v>
      </c>
      <c r="P2425" s="97" t="s">
        <v>556</v>
      </c>
      <c r="Q2425" s="97" t="str">
        <f t="shared" si="309"/>
        <v/>
      </c>
      <c r="R2425" t="str">
        <f t="shared" si="310"/>
        <v/>
      </c>
    </row>
    <row r="2426" spans="4:18">
      <c r="D2426" s="36">
        <v>396</v>
      </c>
      <c r="E2426">
        <v>110</v>
      </c>
      <c r="F2426" s="366">
        <f t="shared" si="305"/>
        <v>2387</v>
      </c>
      <c r="G2426" s="97">
        <v>3567</v>
      </c>
      <c r="H2426" s="367">
        <f t="shared" si="306"/>
        <v>5954</v>
      </c>
      <c r="I2426" s="368">
        <f t="shared" si="307"/>
        <v>0</v>
      </c>
      <c r="J2426" s="97">
        <v>9144</v>
      </c>
      <c r="K2426" s="367">
        <f t="shared" si="308"/>
        <v>6531.4285714285716</v>
      </c>
      <c r="L2426" s="97">
        <v>0.35000000000000003</v>
      </c>
      <c r="M2426" s="97">
        <v>4.8999999999999995</v>
      </c>
      <c r="N2426" s="97">
        <v>25</v>
      </c>
      <c r="O2426" s="97">
        <v>9</v>
      </c>
      <c r="P2426" s="97" t="s">
        <v>515</v>
      </c>
      <c r="Q2426" s="97" t="str">
        <f t="shared" si="309"/>
        <v/>
      </c>
      <c r="R2426" t="str">
        <f t="shared" si="310"/>
        <v/>
      </c>
    </row>
    <row r="2427" spans="4:18">
      <c r="D2427" s="36">
        <v>397</v>
      </c>
      <c r="E2427">
        <v>110</v>
      </c>
      <c r="F2427" s="366">
        <f t="shared" si="305"/>
        <v>2387</v>
      </c>
      <c r="G2427" s="97">
        <v>4754</v>
      </c>
      <c r="H2427" s="367">
        <f t="shared" si="306"/>
        <v>7141</v>
      </c>
      <c r="I2427" s="368">
        <f t="shared" si="307"/>
        <v>0</v>
      </c>
      <c r="J2427" s="97">
        <v>12187</v>
      </c>
      <c r="K2427" s="367">
        <f t="shared" si="308"/>
        <v>8705</v>
      </c>
      <c r="L2427" s="97">
        <v>0.98</v>
      </c>
      <c r="M2427" s="97">
        <v>5.3999999999999995</v>
      </c>
      <c r="N2427" s="97">
        <v>31</v>
      </c>
      <c r="O2427" s="97">
        <v>10</v>
      </c>
      <c r="P2427" s="97" t="s">
        <v>514</v>
      </c>
      <c r="Q2427" s="97" t="str">
        <f t="shared" si="309"/>
        <v/>
      </c>
      <c r="R2427" t="str">
        <f t="shared" si="310"/>
        <v/>
      </c>
    </row>
    <row r="2428" spans="4:18">
      <c r="D2428" s="36">
        <v>398</v>
      </c>
      <c r="E2428">
        <v>110</v>
      </c>
      <c r="F2428" s="366">
        <f t="shared" si="305"/>
        <v>2387</v>
      </c>
      <c r="G2428" s="97">
        <v>3958</v>
      </c>
      <c r="H2428" s="367">
        <f t="shared" si="306"/>
        <v>6345</v>
      </c>
      <c r="I2428" s="368">
        <f t="shared" si="307"/>
        <v>0</v>
      </c>
      <c r="J2428" s="97">
        <v>10147</v>
      </c>
      <c r="K2428" s="367">
        <f t="shared" si="308"/>
        <v>7247.8571428571431</v>
      </c>
      <c r="L2428" s="97">
        <v>0.48</v>
      </c>
      <c r="M2428" s="97">
        <v>5.3999999999999995</v>
      </c>
      <c r="N2428" s="97">
        <v>26</v>
      </c>
      <c r="O2428" s="97">
        <v>10</v>
      </c>
      <c r="P2428" s="97" t="s">
        <v>556</v>
      </c>
      <c r="Q2428" s="97" t="str">
        <f t="shared" si="309"/>
        <v/>
      </c>
      <c r="R2428" t="str">
        <f t="shared" si="310"/>
        <v/>
      </c>
    </row>
    <row r="2429" spans="4:18">
      <c r="D2429" s="36">
        <v>399</v>
      </c>
      <c r="E2429">
        <v>110</v>
      </c>
      <c r="F2429" s="366">
        <f t="shared" si="305"/>
        <v>2387</v>
      </c>
      <c r="G2429" s="97">
        <v>3758</v>
      </c>
      <c r="H2429" s="367">
        <f t="shared" si="306"/>
        <v>6145</v>
      </c>
      <c r="I2429" s="368">
        <f t="shared" si="307"/>
        <v>0</v>
      </c>
      <c r="J2429" s="97">
        <v>9633</v>
      </c>
      <c r="K2429" s="367">
        <f t="shared" si="308"/>
        <v>6880.7142857142862</v>
      </c>
      <c r="L2429" s="97">
        <v>0.29000000000000004</v>
      </c>
      <c r="M2429" s="97">
        <v>5.3999999999999995</v>
      </c>
      <c r="N2429" s="97">
        <v>24</v>
      </c>
      <c r="O2429" s="97">
        <v>10</v>
      </c>
      <c r="P2429" s="97" t="s">
        <v>515</v>
      </c>
      <c r="Q2429" s="97" t="str">
        <f t="shared" si="309"/>
        <v/>
      </c>
      <c r="R2429" t="str">
        <f t="shared" si="310"/>
        <v/>
      </c>
    </row>
    <row r="2430" spans="4:18">
      <c r="D2430" s="36">
        <v>400</v>
      </c>
      <c r="E2430">
        <v>115</v>
      </c>
      <c r="F2430" s="366">
        <f t="shared" si="305"/>
        <v>2495.5</v>
      </c>
      <c r="G2430" s="97">
        <v>3601</v>
      </c>
      <c r="H2430" s="367">
        <f t="shared" si="306"/>
        <v>6096.5</v>
      </c>
      <c r="I2430" s="368">
        <f t="shared" si="307"/>
        <v>0</v>
      </c>
      <c r="J2430" s="97">
        <v>9231</v>
      </c>
      <c r="K2430" s="367">
        <f t="shared" si="308"/>
        <v>6593.5714285714284</v>
      </c>
      <c r="L2430" s="97">
        <v>0.79</v>
      </c>
      <c r="M2430" s="97">
        <v>3.4</v>
      </c>
      <c r="N2430" s="97">
        <v>27</v>
      </c>
      <c r="O2430" s="97">
        <v>6</v>
      </c>
      <c r="P2430" s="97" t="s">
        <v>515</v>
      </c>
      <c r="Q2430" s="97" t="str">
        <f t="shared" si="309"/>
        <v/>
      </c>
      <c r="R2430" t="str">
        <f t="shared" si="310"/>
        <v/>
      </c>
    </row>
    <row r="2431" spans="4:18">
      <c r="D2431" s="36">
        <v>401</v>
      </c>
      <c r="E2431">
        <v>115</v>
      </c>
      <c r="F2431" s="366">
        <f t="shared" si="305"/>
        <v>2495.5</v>
      </c>
      <c r="G2431" s="97">
        <v>4523</v>
      </c>
      <c r="H2431" s="367">
        <f t="shared" si="306"/>
        <v>7018.5</v>
      </c>
      <c r="I2431" s="368">
        <f t="shared" si="307"/>
        <v>0</v>
      </c>
      <c r="J2431" s="97">
        <v>11595</v>
      </c>
      <c r="K2431" s="367">
        <f t="shared" si="308"/>
        <v>8282.1428571428569</v>
      </c>
      <c r="L2431" s="97">
        <v>0.98</v>
      </c>
      <c r="M2431" s="97">
        <v>3.9</v>
      </c>
      <c r="N2431" s="97">
        <v>28</v>
      </c>
      <c r="O2431" s="97">
        <v>7</v>
      </c>
      <c r="P2431" s="97" t="s">
        <v>556</v>
      </c>
      <c r="Q2431" s="97" t="str">
        <f t="shared" si="309"/>
        <v/>
      </c>
      <c r="R2431" t="str">
        <f t="shared" si="310"/>
        <v/>
      </c>
    </row>
    <row r="2432" spans="4:18">
      <c r="D2432" s="36">
        <v>402</v>
      </c>
      <c r="E2432">
        <v>115</v>
      </c>
      <c r="F2432" s="366">
        <f t="shared" si="305"/>
        <v>2495.5</v>
      </c>
      <c r="G2432" s="97">
        <v>3421</v>
      </c>
      <c r="H2432" s="367">
        <f t="shared" si="306"/>
        <v>5916.5</v>
      </c>
      <c r="I2432" s="368">
        <f t="shared" si="307"/>
        <v>0</v>
      </c>
      <c r="J2432" s="97">
        <v>8771</v>
      </c>
      <c r="K2432" s="367">
        <f t="shared" si="308"/>
        <v>6265</v>
      </c>
      <c r="L2432" s="97">
        <v>0.59</v>
      </c>
      <c r="M2432" s="97">
        <v>3.9</v>
      </c>
      <c r="N2432" s="97">
        <v>26</v>
      </c>
      <c r="O2432" s="97">
        <v>7</v>
      </c>
      <c r="P2432" s="97" t="s">
        <v>515</v>
      </c>
      <c r="Q2432" s="97">
        <f t="shared" si="309"/>
        <v>402</v>
      </c>
      <c r="R2432" t="str">
        <f t="shared" si="310"/>
        <v/>
      </c>
    </row>
    <row r="2433" spans="4:18">
      <c r="D2433" s="36">
        <v>403</v>
      </c>
      <c r="E2433">
        <v>115</v>
      </c>
      <c r="F2433" s="366">
        <f t="shared" si="305"/>
        <v>2495.5</v>
      </c>
      <c r="G2433" s="97">
        <v>4217</v>
      </c>
      <c r="H2433" s="367">
        <f t="shared" si="306"/>
        <v>6712.5</v>
      </c>
      <c r="I2433" s="368">
        <f t="shared" si="307"/>
        <v>0</v>
      </c>
      <c r="J2433" s="97">
        <v>10810</v>
      </c>
      <c r="K2433" s="367">
        <f t="shared" si="308"/>
        <v>7721.4285714285716</v>
      </c>
      <c r="L2433" s="97">
        <v>0.76</v>
      </c>
      <c r="M2433" s="97">
        <v>4.3999999999999995</v>
      </c>
      <c r="N2433" s="97">
        <v>27</v>
      </c>
      <c r="O2433" s="97">
        <v>8</v>
      </c>
      <c r="P2433" s="97" t="s">
        <v>556</v>
      </c>
      <c r="Q2433" s="97" t="str">
        <f t="shared" si="309"/>
        <v/>
      </c>
      <c r="R2433" t="str">
        <f t="shared" si="310"/>
        <v/>
      </c>
    </row>
    <row r="2434" spans="4:18">
      <c r="D2434" s="36">
        <v>404</v>
      </c>
      <c r="E2434">
        <v>115</v>
      </c>
      <c r="F2434" s="366">
        <f t="shared" si="305"/>
        <v>2495.5</v>
      </c>
      <c r="G2434" s="97">
        <v>3500</v>
      </c>
      <c r="H2434" s="367">
        <f t="shared" si="306"/>
        <v>5995.5</v>
      </c>
      <c r="I2434" s="368">
        <f t="shared" si="307"/>
        <v>0</v>
      </c>
      <c r="J2434" s="97">
        <v>8973</v>
      </c>
      <c r="K2434" s="367">
        <f t="shared" si="308"/>
        <v>6409.2857142857147</v>
      </c>
      <c r="L2434" s="97">
        <v>0.46</v>
      </c>
      <c r="M2434" s="97">
        <v>4.3999999999999995</v>
      </c>
      <c r="N2434" s="97">
        <v>25</v>
      </c>
      <c r="O2434" s="97">
        <v>8</v>
      </c>
      <c r="P2434" s="97" t="s">
        <v>515</v>
      </c>
      <c r="Q2434" s="97">
        <f t="shared" si="309"/>
        <v>404</v>
      </c>
      <c r="R2434" t="str">
        <f t="shared" si="310"/>
        <v/>
      </c>
    </row>
    <row r="2435" spans="4:18">
      <c r="D2435" s="36">
        <v>405</v>
      </c>
      <c r="E2435">
        <v>115</v>
      </c>
      <c r="F2435" s="366">
        <f t="shared" si="305"/>
        <v>2495.5</v>
      </c>
      <c r="G2435" s="97">
        <v>4113</v>
      </c>
      <c r="H2435" s="367">
        <f t="shared" si="306"/>
        <v>6608.5</v>
      </c>
      <c r="I2435" s="368">
        <f t="shared" si="307"/>
        <v>0</v>
      </c>
      <c r="J2435" s="97">
        <v>10543</v>
      </c>
      <c r="K2435" s="367">
        <f t="shared" si="308"/>
        <v>7530.7142857142862</v>
      </c>
      <c r="L2435" s="97">
        <v>0.63</v>
      </c>
      <c r="M2435" s="97">
        <v>4.8999999999999995</v>
      </c>
      <c r="N2435" s="97">
        <v>27</v>
      </c>
      <c r="O2435" s="97">
        <v>9</v>
      </c>
      <c r="P2435" s="97" t="s">
        <v>556</v>
      </c>
      <c r="Q2435" s="97" t="str">
        <f t="shared" si="309"/>
        <v/>
      </c>
      <c r="R2435" t="str">
        <f t="shared" si="310"/>
        <v/>
      </c>
    </row>
    <row r="2436" spans="4:18">
      <c r="D2436" s="36">
        <v>406</v>
      </c>
      <c r="E2436">
        <v>115</v>
      </c>
      <c r="F2436" s="366">
        <f t="shared" si="305"/>
        <v>2495.5</v>
      </c>
      <c r="G2436" s="97">
        <v>3634</v>
      </c>
      <c r="H2436" s="367">
        <f t="shared" si="306"/>
        <v>6129.5</v>
      </c>
      <c r="I2436" s="368">
        <f t="shared" si="307"/>
        <v>0</v>
      </c>
      <c r="J2436" s="97">
        <v>9316</v>
      </c>
      <c r="K2436" s="367">
        <f t="shared" si="308"/>
        <v>6654.2857142857147</v>
      </c>
      <c r="L2436" s="97">
        <v>0.38</v>
      </c>
      <c r="M2436" s="97">
        <v>4.8999999999999995</v>
      </c>
      <c r="N2436" s="97">
        <v>25</v>
      </c>
      <c r="O2436" s="97">
        <v>9</v>
      </c>
      <c r="P2436" s="97" t="s">
        <v>515</v>
      </c>
      <c r="Q2436" s="97" t="str">
        <f t="shared" si="309"/>
        <v/>
      </c>
      <c r="R2436" t="str">
        <f t="shared" si="310"/>
        <v/>
      </c>
    </row>
    <row r="2437" spans="4:18">
      <c r="D2437" s="36">
        <v>407</v>
      </c>
      <c r="E2437">
        <v>115</v>
      </c>
      <c r="F2437" s="366">
        <f t="shared" si="305"/>
        <v>2495.5</v>
      </c>
      <c r="G2437" s="97">
        <v>4079</v>
      </c>
      <c r="H2437" s="367">
        <f t="shared" si="306"/>
        <v>6574.5</v>
      </c>
      <c r="I2437" s="368">
        <f t="shared" si="307"/>
        <v>0</v>
      </c>
      <c r="J2437" s="97">
        <v>10457</v>
      </c>
      <c r="K2437" s="367">
        <f t="shared" si="308"/>
        <v>7469.2857142857147</v>
      </c>
      <c r="L2437" s="97">
        <v>0.52</v>
      </c>
      <c r="M2437" s="97">
        <v>5.3999999999999995</v>
      </c>
      <c r="N2437" s="97">
        <v>27</v>
      </c>
      <c r="O2437" s="97">
        <v>10</v>
      </c>
      <c r="P2437" s="97" t="s">
        <v>556</v>
      </c>
      <c r="Q2437" s="97" t="str">
        <f t="shared" si="309"/>
        <v/>
      </c>
      <c r="R2437" t="str">
        <f t="shared" si="310"/>
        <v/>
      </c>
    </row>
    <row r="2438" spans="4:18">
      <c r="D2438" s="36">
        <v>408</v>
      </c>
      <c r="E2438">
        <v>115</v>
      </c>
      <c r="F2438" s="366">
        <f t="shared" si="305"/>
        <v>2495.5</v>
      </c>
      <c r="G2438" s="97">
        <v>3827</v>
      </c>
      <c r="H2438" s="367">
        <f t="shared" si="306"/>
        <v>6322.5</v>
      </c>
      <c r="I2438" s="368">
        <f t="shared" si="307"/>
        <v>0</v>
      </c>
      <c r="J2438" s="97">
        <v>9810</v>
      </c>
      <c r="K2438" s="367">
        <f t="shared" si="308"/>
        <v>7007.1428571428569</v>
      </c>
      <c r="L2438" s="97">
        <v>0.32</v>
      </c>
      <c r="M2438" s="97">
        <v>5.3999999999999995</v>
      </c>
      <c r="N2438" s="97">
        <v>25</v>
      </c>
      <c r="O2438" s="97">
        <v>10</v>
      </c>
      <c r="P2438" s="97" t="s">
        <v>515</v>
      </c>
      <c r="Q2438" s="97" t="str">
        <f t="shared" si="309"/>
        <v/>
      </c>
      <c r="R2438" t="str">
        <f t="shared" si="310"/>
        <v/>
      </c>
    </row>
    <row r="2439" spans="4:18">
      <c r="D2439" s="36">
        <v>409</v>
      </c>
      <c r="E2439">
        <v>120</v>
      </c>
      <c r="F2439" s="366">
        <f t="shared" si="305"/>
        <v>2604</v>
      </c>
      <c r="G2439" s="97">
        <v>3801</v>
      </c>
      <c r="H2439" s="367">
        <f t="shared" si="306"/>
        <v>6405</v>
      </c>
      <c r="I2439" s="368">
        <f t="shared" si="307"/>
        <v>0</v>
      </c>
      <c r="J2439" s="97">
        <v>9745</v>
      </c>
      <c r="K2439" s="367">
        <f t="shared" si="308"/>
        <v>6960.7142857142862</v>
      </c>
      <c r="L2439" s="97">
        <v>0.86</v>
      </c>
      <c r="M2439" s="97">
        <v>3.4</v>
      </c>
      <c r="N2439" s="97">
        <v>28</v>
      </c>
      <c r="O2439" s="97">
        <v>6</v>
      </c>
      <c r="P2439" s="97" t="s">
        <v>515</v>
      </c>
      <c r="Q2439" s="97" t="str">
        <f t="shared" si="309"/>
        <v/>
      </c>
      <c r="R2439" t="str">
        <f t="shared" si="310"/>
        <v/>
      </c>
    </row>
    <row r="2440" spans="4:18">
      <c r="D2440" s="36">
        <v>410</v>
      </c>
      <c r="E2440">
        <v>120</v>
      </c>
      <c r="F2440" s="366">
        <f t="shared" si="305"/>
        <v>2604</v>
      </c>
      <c r="G2440" s="97">
        <v>3549</v>
      </c>
      <c r="H2440" s="367">
        <f t="shared" si="306"/>
        <v>6153</v>
      </c>
      <c r="I2440" s="368">
        <f t="shared" si="307"/>
        <v>0</v>
      </c>
      <c r="J2440" s="97">
        <v>9098</v>
      </c>
      <c r="K2440" s="367">
        <f t="shared" si="308"/>
        <v>6498.5714285714284</v>
      </c>
      <c r="L2440" s="97">
        <v>0.64</v>
      </c>
      <c r="M2440" s="97">
        <v>3.9</v>
      </c>
      <c r="N2440" s="97">
        <v>26</v>
      </c>
      <c r="O2440" s="97">
        <v>7</v>
      </c>
      <c r="P2440" s="97" t="s">
        <v>515</v>
      </c>
      <c r="Q2440" s="97">
        <f t="shared" si="309"/>
        <v>410</v>
      </c>
      <c r="R2440" t="str">
        <f t="shared" si="310"/>
        <v/>
      </c>
    </row>
    <row r="2441" spans="4:18">
      <c r="D2441" s="36">
        <v>411</v>
      </c>
      <c r="E2441">
        <v>120</v>
      </c>
      <c r="F2441" s="366">
        <f t="shared" si="305"/>
        <v>2604</v>
      </c>
      <c r="G2441" s="97">
        <v>4440</v>
      </c>
      <c r="H2441" s="367">
        <f t="shared" si="306"/>
        <v>7044</v>
      </c>
      <c r="I2441" s="368">
        <f t="shared" si="307"/>
        <v>0</v>
      </c>
      <c r="J2441" s="97">
        <v>11383</v>
      </c>
      <c r="K2441" s="367">
        <f t="shared" si="308"/>
        <v>8130.7142857142862</v>
      </c>
      <c r="L2441" s="97">
        <v>0.82000000000000006</v>
      </c>
      <c r="M2441" s="97">
        <v>4.3999999999999995</v>
      </c>
      <c r="N2441" s="97">
        <v>28</v>
      </c>
      <c r="O2441" s="97">
        <v>8</v>
      </c>
      <c r="P2441" s="97" t="s">
        <v>556</v>
      </c>
      <c r="Q2441" s="97" t="str">
        <f t="shared" si="309"/>
        <v/>
      </c>
      <c r="R2441" t="str">
        <f t="shared" si="310"/>
        <v/>
      </c>
    </row>
    <row r="2442" spans="4:18">
      <c r="D2442" s="36">
        <v>412</v>
      </c>
      <c r="E2442">
        <v>120</v>
      </c>
      <c r="F2442" s="366">
        <f t="shared" ref="F2442:F2505" si="311">1.085*($A$2-$B$2)*E2442*$T$7</f>
        <v>2604</v>
      </c>
      <c r="G2442" s="97">
        <v>3608</v>
      </c>
      <c r="H2442" s="367">
        <f t="shared" ref="H2442:H2505" si="312">(G2442*$U$7)+F2442</f>
        <v>6212</v>
      </c>
      <c r="I2442" s="368">
        <f t="shared" ref="I2442:I2505" si="313">1.085*($C$2-$D$2)*E2442*$T$7</f>
        <v>0</v>
      </c>
      <c r="J2442" s="97">
        <v>9249</v>
      </c>
      <c r="K2442" s="367">
        <f t="shared" ref="K2442:K2505" si="314">(J2442*$V$7)-I2442</f>
        <v>6606.4285714285716</v>
      </c>
      <c r="L2442" s="97">
        <v>0.5</v>
      </c>
      <c r="M2442" s="97">
        <v>4.3999999999999995</v>
      </c>
      <c r="N2442" s="97">
        <v>25</v>
      </c>
      <c r="O2442" s="97">
        <v>8</v>
      </c>
      <c r="P2442" s="97" t="s">
        <v>515</v>
      </c>
      <c r="Q2442" s="97">
        <f t="shared" ref="Q2442:Q2505" si="315">IF(AND(H2442+1&gt;$E$4,L2442&lt;$L$4+0.01,M2442&lt;$M$4+0.01,K2442+1&gt;$F$4,E2442+1&gt;$J$4,N2442&lt;$K$4+1,O2442&lt;$P$4+1,C2442=""),D2442,"")</f>
        <v>412</v>
      </c>
      <c r="R2442" t="str">
        <f t="shared" ref="R2442:R2505" si="316">IF(Q2442="","",IF(AND(O2442&lt;$X$17,E2442&gt;$U$17,E2442&lt;$Q$4+$U$17+1),D2442,""))</f>
        <v/>
      </c>
    </row>
    <row r="2443" spans="4:18">
      <c r="D2443" s="36">
        <v>413</v>
      </c>
      <c r="E2443">
        <v>120</v>
      </c>
      <c r="F2443" s="366">
        <f t="shared" si="311"/>
        <v>2604</v>
      </c>
      <c r="G2443" s="97">
        <v>4251</v>
      </c>
      <c r="H2443" s="367">
        <f t="shared" si="312"/>
        <v>6855</v>
      </c>
      <c r="I2443" s="368">
        <f t="shared" si="313"/>
        <v>0</v>
      </c>
      <c r="J2443" s="97">
        <v>10899</v>
      </c>
      <c r="K2443" s="367">
        <f t="shared" si="314"/>
        <v>7785</v>
      </c>
      <c r="L2443" s="97">
        <v>0.69000000000000006</v>
      </c>
      <c r="M2443" s="97">
        <v>4.8999999999999995</v>
      </c>
      <c r="N2443" s="97">
        <v>28</v>
      </c>
      <c r="O2443" s="97">
        <v>9</v>
      </c>
      <c r="P2443" s="97" t="s">
        <v>556</v>
      </c>
      <c r="Q2443" s="97" t="str">
        <f t="shared" si="315"/>
        <v/>
      </c>
      <c r="R2443" t="str">
        <f t="shared" si="316"/>
        <v/>
      </c>
    </row>
    <row r="2444" spans="4:18">
      <c r="D2444" s="36">
        <v>414</v>
      </c>
      <c r="E2444">
        <v>120</v>
      </c>
      <c r="F2444" s="366">
        <f t="shared" si="311"/>
        <v>2604</v>
      </c>
      <c r="G2444" s="97">
        <v>3701</v>
      </c>
      <c r="H2444" s="367">
        <f t="shared" si="312"/>
        <v>6305</v>
      </c>
      <c r="I2444" s="368">
        <f t="shared" si="313"/>
        <v>0</v>
      </c>
      <c r="J2444" s="97">
        <v>9488</v>
      </c>
      <c r="K2444" s="367">
        <f t="shared" si="314"/>
        <v>6777.1428571428569</v>
      </c>
      <c r="L2444" s="97">
        <v>0.42</v>
      </c>
      <c r="M2444" s="97">
        <v>4.8999999999999995</v>
      </c>
      <c r="N2444" s="97">
        <v>26</v>
      </c>
      <c r="O2444" s="97">
        <v>9</v>
      </c>
      <c r="P2444" s="97" t="s">
        <v>515</v>
      </c>
      <c r="Q2444" s="97" t="str">
        <f t="shared" si="315"/>
        <v/>
      </c>
      <c r="R2444" t="str">
        <f t="shared" si="316"/>
        <v/>
      </c>
    </row>
    <row r="2445" spans="4:18">
      <c r="D2445" s="36">
        <v>415</v>
      </c>
      <c r="E2445">
        <v>120</v>
      </c>
      <c r="F2445" s="366">
        <f t="shared" si="311"/>
        <v>2604</v>
      </c>
      <c r="G2445" s="97">
        <v>4219</v>
      </c>
      <c r="H2445" s="367">
        <f t="shared" si="312"/>
        <v>6823</v>
      </c>
      <c r="I2445" s="368">
        <f t="shared" si="313"/>
        <v>0</v>
      </c>
      <c r="J2445" s="97">
        <v>10817</v>
      </c>
      <c r="K2445" s="367">
        <f t="shared" si="314"/>
        <v>7726.4285714285716</v>
      </c>
      <c r="L2445" s="97">
        <v>0.57000000000000006</v>
      </c>
      <c r="M2445" s="97">
        <v>5.3999999999999995</v>
      </c>
      <c r="N2445" s="97">
        <v>27</v>
      </c>
      <c r="O2445" s="97">
        <v>10</v>
      </c>
      <c r="P2445" s="97" t="s">
        <v>556</v>
      </c>
      <c r="Q2445" s="97" t="str">
        <f t="shared" si="315"/>
        <v/>
      </c>
      <c r="R2445" t="str">
        <f t="shared" si="316"/>
        <v/>
      </c>
    </row>
    <row r="2446" spans="4:18">
      <c r="D2446" s="36">
        <v>416</v>
      </c>
      <c r="E2446">
        <v>120</v>
      </c>
      <c r="F2446" s="366">
        <f t="shared" si="311"/>
        <v>2604</v>
      </c>
      <c r="G2446" s="97">
        <v>3884</v>
      </c>
      <c r="H2446" s="367">
        <f t="shared" si="312"/>
        <v>6488</v>
      </c>
      <c r="I2446" s="368">
        <f t="shared" si="313"/>
        <v>0</v>
      </c>
      <c r="J2446" s="97">
        <v>9958</v>
      </c>
      <c r="K2446" s="367">
        <f t="shared" si="314"/>
        <v>7112.8571428571431</v>
      </c>
      <c r="L2446" s="97">
        <v>0.35000000000000003</v>
      </c>
      <c r="M2446" s="97">
        <v>5.3999999999999995</v>
      </c>
      <c r="N2446" s="97">
        <v>25</v>
      </c>
      <c r="O2446" s="97">
        <v>10</v>
      </c>
      <c r="P2446" s="97" t="s">
        <v>515</v>
      </c>
      <c r="Q2446" s="97" t="str">
        <f t="shared" si="315"/>
        <v/>
      </c>
      <c r="R2446" t="str">
        <f t="shared" si="316"/>
        <v/>
      </c>
    </row>
    <row r="2447" spans="4:18">
      <c r="D2447" s="36">
        <v>417</v>
      </c>
      <c r="E2447">
        <v>125</v>
      </c>
      <c r="F2447" s="366">
        <f t="shared" si="311"/>
        <v>2712.5</v>
      </c>
      <c r="G2447" s="97">
        <v>4009</v>
      </c>
      <c r="H2447" s="367">
        <f t="shared" si="312"/>
        <v>6721.5</v>
      </c>
      <c r="I2447" s="368">
        <f t="shared" si="313"/>
        <v>0</v>
      </c>
      <c r="J2447" s="97">
        <v>10278</v>
      </c>
      <c r="K2447" s="367">
        <f t="shared" si="314"/>
        <v>7341.4285714285716</v>
      </c>
      <c r="L2447" s="97">
        <v>0.93</v>
      </c>
      <c r="M2447" s="97">
        <v>3.4</v>
      </c>
      <c r="N2447" s="97">
        <v>28</v>
      </c>
      <c r="O2447" s="97">
        <v>6</v>
      </c>
      <c r="P2447" s="97" t="s">
        <v>515</v>
      </c>
      <c r="Q2447" s="97" t="str">
        <f t="shared" si="315"/>
        <v/>
      </c>
      <c r="R2447" t="str">
        <f t="shared" si="316"/>
        <v/>
      </c>
    </row>
    <row r="2448" spans="4:18">
      <c r="D2448" s="36">
        <v>418</v>
      </c>
      <c r="E2448">
        <v>125</v>
      </c>
      <c r="F2448" s="366">
        <f t="shared" si="311"/>
        <v>2712.5</v>
      </c>
      <c r="G2448" s="97">
        <v>3738</v>
      </c>
      <c r="H2448" s="367">
        <f t="shared" si="312"/>
        <v>6450.5</v>
      </c>
      <c r="I2448" s="368">
        <f t="shared" si="313"/>
        <v>0</v>
      </c>
      <c r="J2448" s="97">
        <v>9583</v>
      </c>
      <c r="K2448" s="367">
        <f t="shared" si="314"/>
        <v>6845</v>
      </c>
      <c r="L2448" s="97">
        <v>0.69000000000000006</v>
      </c>
      <c r="M2448" s="97">
        <v>3.9</v>
      </c>
      <c r="N2448" s="97">
        <v>27</v>
      </c>
      <c r="O2448" s="97">
        <v>7</v>
      </c>
      <c r="P2448" s="97" t="s">
        <v>515</v>
      </c>
      <c r="Q2448" s="97">
        <f t="shared" si="315"/>
        <v>418</v>
      </c>
      <c r="R2448" t="str">
        <f t="shared" si="316"/>
        <v/>
      </c>
    </row>
    <row r="2449" spans="4:18">
      <c r="D2449" s="36">
        <v>419</v>
      </c>
      <c r="E2449">
        <v>125</v>
      </c>
      <c r="F2449" s="366">
        <f t="shared" si="311"/>
        <v>2712.5</v>
      </c>
      <c r="G2449" s="97">
        <v>4664</v>
      </c>
      <c r="H2449" s="367">
        <f t="shared" si="312"/>
        <v>7376.5</v>
      </c>
      <c r="I2449" s="368">
        <f t="shared" si="313"/>
        <v>0</v>
      </c>
      <c r="J2449" s="97">
        <v>11956</v>
      </c>
      <c r="K2449" s="367">
        <f t="shared" si="314"/>
        <v>8540</v>
      </c>
      <c r="L2449" s="97">
        <v>0.89</v>
      </c>
      <c r="M2449" s="97">
        <v>4.3999999999999995</v>
      </c>
      <c r="N2449" s="97">
        <v>28</v>
      </c>
      <c r="O2449" s="97">
        <v>8</v>
      </c>
      <c r="P2449" s="97" t="s">
        <v>556</v>
      </c>
      <c r="Q2449" s="97" t="str">
        <f t="shared" si="315"/>
        <v/>
      </c>
      <c r="R2449" t="str">
        <f t="shared" si="316"/>
        <v/>
      </c>
    </row>
    <row r="2450" spans="4:18">
      <c r="D2450" s="36">
        <v>420</v>
      </c>
      <c r="E2450">
        <v>125</v>
      </c>
      <c r="F2450" s="366">
        <f t="shared" si="311"/>
        <v>2712.5</v>
      </c>
      <c r="G2450" s="97">
        <v>3715</v>
      </c>
      <c r="H2450" s="367">
        <f t="shared" si="312"/>
        <v>6427.5</v>
      </c>
      <c r="I2450" s="368">
        <f t="shared" si="313"/>
        <v>0</v>
      </c>
      <c r="J2450" s="97">
        <v>9524</v>
      </c>
      <c r="K2450" s="367">
        <f t="shared" si="314"/>
        <v>6802.8571428571431</v>
      </c>
      <c r="L2450" s="97">
        <v>0.54</v>
      </c>
      <c r="M2450" s="97">
        <v>4.3999999999999995</v>
      </c>
      <c r="N2450" s="97">
        <v>26</v>
      </c>
      <c r="O2450" s="97">
        <v>8</v>
      </c>
      <c r="P2450" s="97" t="s">
        <v>515</v>
      </c>
      <c r="Q2450" s="97">
        <f t="shared" si="315"/>
        <v>420</v>
      </c>
      <c r="R2450" t="str">
        <f t="shared" si="316"/>
        <v/>
      </c>
    </row>
    <row r="2451" spans="4:18">
      <c r="D2451" s="36">
        <v>421</v>
      </c>
      <c r="E2451">
        <v>125</v>
      </c>
      <c r="F2451" s="366">
        <f t="shared" si="311"/>
        <v>2712.5</v>
      </c>
      <c r="G2451" s="97">
        <v>4444</v>
      </c>
      <c r="H2451" s="367">
        <f t="shared" si="312"/>
        <v>7156.5</v>
      </c>
      <c r="I2451" s="368">
        <f t="shared" si="313"/>
        <v>0</v>
      </c>
      <c r="J2451" s="97">
        <v>11392</v>
      </c>
      <c r="K2451" s="367">
        <f t="shared" si="314"/>
        <v>8137.1428571428569</v>
      </c>
      <c r="L2451" s="97">
        <v>0.74</v>
      </c>
      <c r="M2451" s="97">
        <v>4.8999999999999995</v>
      </c>
      <c r="N2451" s="97">
        <v>28</v>
      </c>
      <c r="O2451" s="97">
        <v>9</v>
      </c>
      <c r="P2451" s="97" t="s">
        <v>556</v>
      </c>
      <c r="Q2451" s="97" t="str">
        <f t="shared" si="315"/>
        <v/>
      </c>
      <c r="R2451" t="str">
        <f t="shared" si="316"/>
        <v/>
      </c>
    </row>
    <row r="2452" spans="4:18">
      <c r="D2452" s="36">
        <v>422</v>
      </c>
      <c r="E2452">
        <v>125</v>
      </c>
      <c r="F2452" s="366">
        <f t="shared" si="311"/>
        <v>2712.5</v>
      </c>
      <c r="G2452" s="97">
        <v>3768</v>
      </c>
      <c r="H2452" s="367">
        <f t="shared" si="312"/>
        <v>6480.5</v>
      </c>
      <c r="I2452" s="368">
        <f t="shared" si="313"/>
        <v>0</v>
      </c>
      <c r="J2452" s="97">
        <v>9660</v>
      </c>
      <c r="K2452" s="367">
        <f t="shared" si="314"/>
        <v>6900</v>
      </c>
      <c r="L2452" s="97">
        <v>0.45</v>
      </c>
      <c r="M2452" s="97">
        <v>4.8999999999999995</v>
      </c>
      <c r="N2452" s="97">
        <v>26</v>
      </c>
      <c r="O2452" s="97">
        <v>9</v>
      </c>
      <c r="P2452" s="97" t="s">
        <v>515</v>
      </c>
      <c r="Q2452" s="97" t="str">
        <f t="shared" si="315"/>
        <v/>
      </c>
      <c r="R2452" t="str">
        <f t="shared" si="316"/>
        <v/>
      </c>
    </row>
    <row r="2453" spans="4:18">
      <c r="D2453" s="36">
        <v>423</v>
      </c>
      <c r="E2453">
        <v>125</v>
      </c>
      <c r="F2453" s="366">
        <f t="shared" si="311"/>
        <v>2712.5</v>
      </c>
      <c r="G2453" s="97">
        <v>4360</v>
      </c>
      <c r="H2453" s="367">
        <f t="shared" si="312"/>
        <v>7072.5</v>
      </c>
      <c r="I2453" s="368">
        <f t="shared" si="313"/>
        <v>0</v>
      </c>
      <c r="J2453" s="97">
        <v>11176</v>
      </c>
      <c r="K2453" s="367">
        <f t="shared" si="314"/>
        <v>7982.8571428571431</v>
      </c>
      <c r="L2453" s="97">
        <v>0.61</v>
      </c>
      <c r="M2453" s="97">
        <v>5.3999999999999995</v>
      </c>
      <c r="N2453" s="97">
        <v>28</v>
      </c>
      <c r="O2453" s="97">
        <v>10</v>
      </c>
      <c r="P2453" s="97" t="s">
        <v>556</v>
      </c>
      <c r="Q2453" s="97" t="str">
        <f t="shared" si="315"/>
        <v/>
      </c>
      <c r="R2453" t="str">
        <f t="shared" si="316"/>
        <v/>
      </c>
    </row>
    <row r="2454" spans="4:18">
      <c r="D2454" s="36">
        <v>424</v>
      </c>
      <c r="E2454">
        <v>125</v>
      </c>
      <c r="F2454" s="366">
        <f t="shared" si="311"/>
        <v>2712.5</v>
      </c>
      <c r="G2454" s="97">
        <v>3942</v>
      </c>
      <c r="H2454" s="367">
        <f t="shared" si="312"/>
        <v>6654.5</v>
      </c>
      <c r="I2454" s="368">
        <f t="shared" si="313"/>
        <v>0</v>
      </c>
      <c r="J2454" s="97">
        <v>10106</v>
      </c>
      <c r="K2454" s="367">
        <f t="shared" si="314"/>
        <v>7218.5714285714284</v>
      </c>
      <c r="L2454" s="97">
        <v>0.38</v>
      </c>
      <c r="M2454" s="97">
        <v>5.3999999999999995</v>
      </c>
      <c r="N2454" s="97">
        <v>26</v>
      </c>
      <c r="O2454" s="97">
        <v>10</v>
      </c>
      <c r="P2454" s="97" t="s">
        <v>515</v>
      </c>
      <c r="Q2454" s="97" t="str">
        <f t="shared" si="315"/>
        <v/>
      </c>
      <c r="R2454" t="str">
        <f t="shared" si="316"/>
        <v/>
      </c>
    </row>
    <row r="2455" spans="4:18">
      <c r="D2455" s="36">
        <v>425</v>
      </c>
      <c r="E2455">
        <v>130</v>
      </c>
      <c r="F2455" s="366">
        <f t="shared" si="311"/>
        <v>2821</v>
      </c>
      <c r="G2455" s="97">
        <v>4217</v>
      </c>
      <c r="H2455" s="367">
        <f t="shared" si="312"/>
        <v>7038</v>
      </c>
      <c r="I2455" s="368">
        <f t="shared" si="313"/>
        <v>0</v>
      </c>
      <c r="J2455" s="97">
        <v>10810</v>
      </c>
      <c r="K2455" s="367">
        <f t="shared" si="314"/>
        <v>7721.4285714285716</v>
      </c>
      <c r="L2455" s="97">
        <v>1.01</v>
      </c>
      <c r="M2455" s="97">
        <v>3.4</v>
      </c>
      <c r="N2455" s="97">
        <v>29</v>
      </c>
      <c r="O2455" s="97">
        <v>6</v>
      </c>
      <c r="P2455" s="97" t="s">
        <v>515</v>
      </c>
      <c r="Q2455" s="97" t="str">
        <f t="shared" si="315"/>
        <v/>
      </c>
      <c r="R2455" t="str">
        <f t="shared" si="316"/>
        <v/>
      </c>
    </row>
    <row r="2456" spans="4:18">
      <c r="D2456" s="36">
        <v>426</v>
      </c>
      <c r="E2456">
        <v>130</v>
      </c>
      <c r="F2456" s="366">
        <f t="shared" si="311"/>
        <v>2821</v>
      </c>
      <c r="G2456" s="97">
        <v>3927</v>
      </c>
      <c r="H2456" s="367">
        <f t="shared" si="312"/>
        <v>6748</v>
      </c>
      <c r="I2456" s="368">
        <f t="shared" si="313"/>
        <v>0</v>
      </c>
      <c r="J2456" s="97">
        <v>10068</v>
      </c>
      <c r="K2456" s="367">
        <f t="shared" si="314"/>
        <v>7191.4285714285716</v>
      </c>
      <c r="L2456" s="97">
        <v>0.75</v>
      </c>
      <c r="M2456" s="97">
        <v>3.9</v>
      </c>
      <c r="N2456" s="97">
        <v>27</v>
      </c>
      <c r="O2456" s="97">
        <v>7</v>
      </c>
      <c r="P2456" s="97" t="s">
        <v>515</v>
      </c>
      <c r="Q2456" s="97" t="str">
        <f t="shared" si="315"/>
        <v/>
      </c>
      <c r="R2456" t="str">
        <f t="shared" si="316"/>
        <v/>
      </c>
    </row>
    <row r="2457" spans="4:18">
      <c r="D2457" s="36">
        <v>427</v>
      </c>
      <c r="E2457">
        <v>130</v>
      </c>
      <c r="F2457" s="366">
        <f t="shared" si="311"/>
        <v>2821</v>
      </c>
      <c r="G2457" s="97">
        <v>4900</v>
      </c>
      <c r="H2457" s="367">
        <f t="shared" si="312"/>
        <v>7721</v>
      </c>
      <c r="I2457" s="368">
        <f t="shared" si="313"/>
        <v>0</v>
      </c>
      <c r="J2457" s="97">
        <v>12560</v>
      </c>
      <c r="K2457" s="367">
        <f t="shared" si="314"/>
        <v>8971.4285714285725</v>
      </c>
      <c r="L2457" s="97">
        <v>0.97</v>
      </c>
      <c r="M2457" s="97">
        <v>4.3999999999999995</v>
      </c>
      <c r="N2457" s="97">
        <v>29</v>
      </c>
      <c r="O2457" s="97">
        <v>8</v>
      </c>
      <c r="P2457" s="97" t="s">
        <v>556</v>
      </c>
      <c r="Q2457" s="97" t="str">
        <f t="shared" si="315"/>
        <v/>
      </c>
      <c r="R2457" t="str">
        <f t="shared" si="316"/>
        <v/>
      </c>
    </row>
    <row r="2458" spans="4:18">
      <c r="D2458" s="36">
        <v>428</v>
      </c>
      <c r="E2458">
        <v>130</v>
      </c>
      <c r="F2458" s="366">
        <f t="shared" si="311"/>
        <v>2821</v>
      </c>
      <c r="G2458" s="97">
        <v>3823</v>
      </c>
      <c r="H2458" s="367">
        <f t="shared" si="312"/>
        <v>6644</v>
      </c>
      <c r="I2458" s="368">
        <f t="shared" si="313"/>
        <v>0</v>
      </c>
      <c r="J2458" s="97">
        <v>9799</v>
      </c>
      <c r="K2458" s="367">
        <f t="shared" si="314"/>
        <v>6999.2857142857147</v>
      </c>
      <c r="L2458" s="97">
        <v>0.57999999999999996</v>
      </c>
      <c r="M2458" s="97">
        <v>4.3999999999999995</v>
      </c>
      <c r="N2458" s="97">
        <v>27</v>
      </c>
      <c r="O2458" s="97">
        <v>8</v>
      </c>
      <c r="P2458" s="97" t="s">
        <v>515</v>
      </c>
      <c r="Q2458" s="97">
        <f t="shared" si="315"/>
        <v>428</v>
      </c>
      <c r="R2458" t="str">
        <f t="shared" si="316"/>
        <v/>
      </c>
    </row>
    <row r="2459" spans="4:18">
      <c r="D2459" s="36">
        <v>429</v>
      </c>
      <c r="E2459">
        <v>130</v>
      </c>
      <c r="F2459" s="366">
        <f t="shared" si="311"/>
        <v>2821</v>
      </c>
      <c r="G2459" s="97">
        <v>4664</v>
      </c>
      <c r="H2459" s="367">
        <f t="shared" si="312"/>
        <v>7485</v>
      </c>
      <c r="I2459" s="368">
        <f t="shared" si="313"/>
        <v>0</v>
      </c>
      <c r="J2459" s="97">
        <v>11957</v>
      </c>
      <c r="K2459" s="367">
        <f t="shared" si="314"/>
        <v>8540.7142857142862</v>
      </c>
      <c r="L2459" s="97">
        <v>0.8</v>
      </c>
      <c r="M2459" s="97">
        <v>4.8999999999999995</v>
      </c>
      <c r="N2459" s="97">
        <v>29</v>
      </c>
      <c r="O2459" s="97">
        <v>9</v>
      </c>
      <c r="P2459" s="97" t="s">
        <v>556</v>
      </c>
      <c r="Q2459" s="97" t="str">
        <f t="shared" si="315"/>
        <v/>
      </c>
      <c r="R2459" t="str">
        <f t="shared" si="316"/>
        <v/>
      </c>
    </row>
    <row r="2460" spans="4:18">
      <c r="D2460" s="36">
        <v>430</v>
      </c>
      <c r="E2460">
        <v>130</v>
      </c>
      <c r="F2460" s="366">
        <f t="shared" si="311"/>
        <v>2821</v>
      </c>
      <c r="G2460" s="97">
        <v>3858</v>
      </c>
      <c r="H2460" s="367">
        <f t="shared" si="312"/>
        <v>6679</v>
      </c>
      <c r="I2460" s="368">
        <f t="shared" si="313"/>
        <v>0</v>
      </c>
      <c r="J2460" s="97">
        <v>9890</v>
      </c>
      <c r="K2460" s="367">
        <f t="shared" si="314"/>
        <v>7064.2857142857147</v>
      </c>
      <c r="L2460" s="97">
        <v>0.49</v>
      </c>
      <c r="M2460" s="97">
        <v>4.8999999999999995</v>
      </c>
      <c r="N2460" s="97">
        <v>27</v>
      </c>
      <c r="O2460" s="97">
        <v>9</v>
      </c>
      <c r="P2460" s="97" t="s">
        <v>515</v>
      </c>
      <c r="Q2460" s="97" t="str">
        <f t="shared" si="315"/>
        <v/>
      </c>
      <c r="R2460" t="str">
        <f t="shared" si="316"/>
        <v/>
      </c>
    </row>
    <row r="2461" spans="4:18">
      <c r="D2461" s="36">
        <v>431</v>
      </c>
      <c r="E2461">
        <v>130</v>
      </c>
      <c r="F2461" s="366">
        <f t="shared" si="311"/>
        <v>2821</v>
      </c>
      <c r="G2461" s="97">
        <v>4500</v>
      </c>
      <c r="H2461" s="367">
        <f t="shared" si="312"/>
        <v>7321</v>
      </c>
      <c r="I2461" s="368">
        <f t="shared" si="313"/>
        <v>0</v>
      </c>
      <c r="J2461" s="97">
        <v>11536</v>
      </c>
      <c r="K2461" s="367">
        <f t="shared" si="314"/>
        <v>8240</v>
      </c>
      <c r="L2461" s="97">
        <v>0.66</v>
      </c>
      <c r="M2461" s="97">
        <v>5.3999999999999995</v>
      </c>
      <c r="N2461" s="97">
        <v>28</v>
      </c>
      <c r="O2461" s="97">
        <v>10</v>
      </c>
      <c r="P2461" s="97" t="s">
        <v>556</v>
      </c>
      <c r="Q2461" s="97" t="str">
        <f t="shared" si="315"/>
        <v/>
      </c>
      <c r="R2461" t="str">
        <f t="shared" si="316"/>
        <v/>
      </c>
    </row>
    <row r="2462" spans="4:18">
      <c r="D2462" s="36">
        <v>432</v>
      </c>
      <c r="E2462">
        <v>130</v>
      </c>
      <c r="F2462" s="366">
        <f t="shared" si="311"/>
        <v>2821</v>
      </c>
      <c r="G2462" s="97">
        <v>4000</v>
      </c>
      <c r="H2462" s="367">
        <f t="shared" si="312"/>
        <v>6821</v>
      </c>
      <c r="I2462" s="368">
        <f t="shared" si="313"/>
        <v>0</v>
      </c>
      <c r="J2462" s="97">
        <v>10253</v>
      </c>
      <c r="K2462" s="367">
        <f t="shared" si="314"/>
        <v>7323.5714285714284</v>
      </c>
      <c r="L2462" s="97">
        <v>0.41000000000000003</v>
      </c>
      <c r="M2462" s="97">
        <v>5.3999999999999995</v>
      </c>
      <c r="N2462" s="97">
        <v>26</v>
      </c>
      <c r="O2462" s="97">
        <v>10</v>
      </c>
      <c r="P2462" s="97" t="s">
        <v>515</v>
      </c>
      <c r="Q2462" s="97" t="str">
        <f t="shared" si="315"/>
        <v/>
      </c>
      <c r="R2462" t="str">
        <f t="shared" si="316"/>
        <v/>
      </c>
    </row>
    <row r="2463" spans="4:18">
      <c r="D2463" s="36">
        <v>433</v>
      </c>
      <c r="E2463">
        <v>135</v>
      </c>
      <c r="F2463" s="366">
        <f t="shared" si="311"/>
        <v>2929.5</v>
      </c>
      <c r="G2463" s="97">
        <v>4117</v>
      </c>
      <c r="H2463" s="367">
        <f t="shared" si="312"/>
        <v>7046.5</v>
      </c>
      <c r="I2463" s="368">
        <f t="shared" si="313"/>
        <v>0</v>
      </c>
      <c r="J2463" s="97">
        <v>10553</v>
      </c>
      <c r="K2463" s="367">
        <f t="shared" si="314"/>
        <v>7537.8571428571431</v>
      </c>
      <c r="L2463" s="97">
        <v>0.8</v>
      </c>
      <c r="M2463" s="97">
        <v>3.9</v>
      </c>
      <c r="N2463" s="97">
        <v>28</v>
      </c>
      <c r="O2463" s="97">
        <v>7</v>
      </c>
      <c r="P2463" s="97" t="s">
        <v>515</v>
      </c>
      <c r="Q2463" s="97" t="str">
        <f t="shared" si="315"/>
        <v/>
      </c>
      <c r="R2463" t="str">
        <f t="shared" si="316"/>
        <v/>
      </c>
    </row>
    <row r="2464" spans="4:18">
      <c r="D2464" s="36">
        <v>434</v>
      </c>
      <c r="E2464">
        <v>135</v>
      </c>
      <c r="F2464" s="366">
        <f t="shared" si="311"/>
        <v>2929.5</v>
      </c>
      <c r="G2464" s="97">
        <v>3930</v>
      </c>
      <c r="H2464" s="367">
        <f t="shared" si="312"/>
        <v>6859.5</v>
      </c>
      <c r="I2464" s="368">
        <f t="shared" si="313"/>
        <v>0</v>
      </c>
      <c r="J2464" s="97">
        <v>10075</v>
      </c>
      <c r="K2464" s="367">
        <f t="shared" si="314"/>
        <v>7196.4285714285716</v>
      </c>
      <c r="L2464" s="97">
        <v>0.63</v>
      </c>
      <c r="M2464" s="97">
        <v>4.3999999999999995</v>
      </c>
      <c r="N2464" s="97">
        <v>27</v>
      </c>
      <c r="O2464" s="97">
        <v>8</v>
      </c>
      <c r="P2464" s="97" t="s">
        <v>515</v>
      </c>
      <c r="Q2464" s="97">
        <f t="shared" si="315"/>
        <v>434</v>
      </c>
      <c r="R2464" t="str">
        <f t="shared" si="316"/>
        <v/>
      </c>
    </row>
    <row r="2465" spans="4:18">
      <c r="D2465" s="36">
        <v>435</v>
      </c>
      <c r="E2465">
        <v>135</v>
      </c>
      <c r="F2465" s="366">
        <f t="shared" si="311"/>
        <v>2929.5</v>
      </c>
      <c r="G2465" s="97">
        <v>4884</v>
      </c>
      <c r="H2465" s="367">
        <f t="shared" si="312"/>
        <v>7813.5</v>
      </c>
      <c r="I2465" s="368">
        <f t="shared" si="313"/>
        <v>0</v>
      </c>
      <c r="J2465" s="97">
        <v>12521</v>
      </c>
      <c r="K2465" s="367">
        <f t="shared" si="314"/>
        <v>8943.5714285714294</v>
      </c>
      <c r="L2465" s="97">
        <v>0.87</v>
      </c>
      <c r="M2465" s="97">
        <v>4.8999999999999995</v>
      </c>
      <c r="N2465" s="97">
        <v>29</v>
      </c>
      <c r="O2465" s="97">
        <v>9</v>
      </c>
      <c r="P2465" s="97" t="s">
        <v>556</v>
      </c>
      <c r="Q2465" s="97" t="str">
        <f t="shared" si="315"/>
        <v/>
      </c>
      <c r="R2465" t="str">
        <f t="shared" si="316"/>
        <v/>
      </c>
    </row>
    <row r="2466" spans="4:18">
      <c r="D2466" s="36">
        <v>436</v>
      </c>
      <c r="E2466">
        <v>135</v>
      </c>
      <c r="F2466" s="366">
        <f t="shared" si="311"/>
        <v>2929.5</v>
      </c>
      <c r="G2466" s="97">
        <v>3970</v>
      </c>
      <c r="H2466" s="367">
        <f t="shared" si="312"/>
        <v>6899.5</v>
      </c>
      <c r="I2466" s="368">
        <f t="shared" si="313"/>
        <v>0</v>
      </c>
      <c r="J2466" s="97">
        <v>10176</v>
      </c>
      <c r="K2466" s="367">
        <f t="shared" si="314"/>
        <v>7268.5714285714284</v>
      </c>
      <c r="L2466" s="97">
        <v>0.53</v>
      </c>
      <c r="M2466" s="97">
        <v>4.8999999999999995</v>
      </c>
      <c r="N2466" s="97">
        <v>27</v>
      </c>
      <c r="O2466" s="97">
        <v>9</v>
      </c>
      <c r="P2466" s="97" t="s">
        <v>515</v>
      </c>
      <c r="Q2466" s="97" t="str">
        <f t="shared" si="315"/>
        <v/>
      </c>
      <c r="R2466" t="str">
        <f t="shared" si="316"/>
        <v/>
      </c>
    </row>
    <row r="2467" spans="4:18">
      <c r="D2467" s="36">
        <v>437</v>
      </c>
      <c r="E2467">
        <v>135</v>
      </c>
      <c r="F2467" s="366">
        <f t="shared" si="311"/>
        <v>2929.5</v>
      </c>
      <c r="G2467" s="97">
        <v>4640</v>
      </c>
      <c r="H2467" s="367">
        <f t="shared" si="312"/>
        <v>7569.5</v>
      </c>
      <c r="I2467" s="368">
        <f t="shared" si="313"/>
        <v>0</v>
      </c>
      <c r="J2467" s="97">
        <v>11895</v>
      </c>
      <c r="K2467" s="367">
        <f t="shared" si="314"/>
        <v>8496.4285714285725</v>
      </c>
      <c r="L2467" s="97">
        <v>0.71</v>
      </c>
      <c r="M2467" s="97">
        <v>5.3999999999999995</v>
      </c>
      <c r="N2467" s="97">
        <v>29</v>
      </c>
      <c r="O2467" s="97">
        <v>10</v>
      </c>
      <c r="P2467" s="97" t="s">
        <v>556</v>
      </c>
      <c r="Q2467" s="97" t="str">
        <f t="shared" si="315"/>
        <v/>
      </c>
      <c r="R2467" t="str">
        <f t="shared" si="316"/>
        <v/>
      </c>
    </row>
    <row r="2468" spans="4:18">
      <c r="D2468" s="36">
        <v>438</v>
      </c>
      <c r="E2468">
        <v>135</v>
      </c>
      <c r="F2468" s="366">
        <f t="shared" si="311"/>
        <v>2929.5</v>
      </c>
      <c r="G2468" s="97">
        <v>4057</v>
      </c>
      <c r="H2468" s="367">
        <f t="shared" si="312"/>
        <v>6986.5</v>
      </c>
      <c r="I2468" s="368">
        <f t="shared" si="313"/>
        <v>0</v>
      </c>
      <c r="J2468" s="97">
        <v>10401</v>
      </c>
      <c r="K2468" s="367">
        <f t="shared" si="314"/>
        <v>7429.2857142857147</v>
      </c>
      <c r="L2468" s="97">
        <v>0.44</v>
      </c>
      <c r="M2468" s="97">
        <v>5.3999999999999995</v>
      </c>
      <c r="N2468" s="97">
        <v>27</v>
      </c>
      <c r="O2468" s="97">
        <v>10</v>
      </c>
      <c r="P2468" s="97" t="s">
        <v>515</v>
      </c>
      <c r="Q2468" s="97" t="str">
        <f t="shared" si="315"/>
        <v/>
      </c>
      <c r="R2468" t="str">
        <f t="shared" si="316"/>
        <v/>
      </c>
    </row>
    <row r="2469" spans="4:18">
      <c r="D2469" s="36">
        <v>439</v>
      </c>
      <c r="E2469">
        <v>140</v>
      </c>
      <c r="F2469" s="366">
        <f t="shared" si="311"/>
        <v>3038</v>
      </c>
      <c r="G2469" s="97">
        <v>4306</v>
      </c>
      <c r="H2469" s="367">
        <f t="shared" si="312"/>
        <v>7344</v>
      </c>
      <c r="I2469" s="368">
        <f t="shared" si="313"/>
        <v>0</v>
      </c>
      <c r="J2469" s="97">
        <v>11038</v>
      </c>
      <c r="K2469" s="367">
        <f t="shared" si="314"/>
        <v>7884.2857142857147</v>
      </c>
      <c r="L2469" s="97">
        <v>0.87</v>
      </c>
      <c r="M2469" s="97">
        <v>3.9</v>
      </c>
      <c r="N2469" s="97">
        <v>28</v>
      </c>
      <c r="O2469" s="97">
        <v>7</v>
      </c>
      <c r="P2469" s="97" t="s">
        <v>515</v>
      </c>
      <c r="Q2469" s="97" t="str">
        <f t="shared" si="315"/>
        <v/>
      </c>
      <c r="R2469" t="str">
        <f t="shared" si="316"/>
        <v/>
      </c>
    </row>
    <row r="2470" spans="4:18">
      <c r="D2470" s="36">
        <v>440</v>
      </c>
      <c r="E2470">
        <v>140</v>
      </c>
      <c r="F2470" s="366">
        <f t="shared" si="311"/>
        <v>3038</v>
      </c>
      <c r="G2470" s="97">
        <v>4073</v>
      </c>
      <c r="H2470" s="367">
        <f t="shared" si="312"/>
        <v>7111</v>
      </c>
      <c r="I2470" s="368">
        <f t="shared" si="313"/>
        <v>0</v>
      </c>
      <c r="J2470" s="97">
        <v>10442</v>
      </c>
      <c r="K2470" s="367">
        <f t="shared" si="314"/>
        <v>7458.5714285714284</v>
      </c>
      <c r="L2470" s="97">
        <v>0.68</v>
      </c>
      <c r="M2470" s="97">
        <v>4.3999999999999995</v>
      </c>
      <c r="N2470" s="97">
        <v>27</v>
      </c>
      <c r="O2470" s="97">
        <v>8</v>
      </c>
      <c r="P2470" s="97" t="s">
        <v>515</v>
      </c>
      <c r="Q2470" s="97">
        <f t="shared" si="315"/>
        <v>440</v>
      </c>
      <c r="R2470" t="str">
        <f t="shared" si="316"/>
        <v/>
      </c>
    </row>
    <row r="2471" spans="4:18">
      <c r="D2471" s="36">
        <v>441</v>
      </c>
      <c r="E2471">
        <v>140</v>
      </c>
      <c r="F2471" s="366">
        <f t="shared" si="311"/>
        <v>3038</v>
      </c>
      <c r="G2471" s="97">
        <v>5104</v>
      </c>
      <c r="H2471" s="367">
        <f t="shared" si="312"/>
        <v>8142</v>
      </c>
      <c r="I2471" s="368">
        <f t="shared" si="313"/>
        <v>0</v>
      </c>
      <c r="J2471" s="97">
        <v>13085</v>
      </c>
      <c r="K2471" s="367">
        <f t="shared" si="314"/>
        <v>9346.4285714285725</v>
      </c>
      <c r="L2471" s="97">
        <v>0.93</v>
      </c>
      <c r="M2471" s="97">
        <v>4.8999999999999995</v>
      </c>
      <c r="N2471" s="97">
        <v>30</v>
      </c>
      <c r="O2471" s="97">
        <v>9</v>
      </c>
      <c r="P2471" s="97" t="s">
        <v>556</v>
      </c>
      <c r="Q2471" s="97" t="str">
        <f t="shared" si="315"/>
        <v/>
      </c>
      <c r="R2471" t="str">
        <f t="shared" si="316"/>
        <v/>
      </c>
    </row>
    <row r="2472" spans="4:18">
      <c r="D2472" s="36">
        <v>442</v>
      </c>
      <c r="E2472">
        <v>140</v>
      </c>
      <c r="F2472" s="366">
        <f t="shared" si="311"/>
        <v>3038</v>
      </c>
      <c r="G2472" s="97">
        <v>4081</v>
      </c>
      <c r="H2472" s="367">
        <f t="shared" si="312"/>
        <v>7119</v>
      </c>
      <c r="I2472" s="368">
        <f t="shared" si="313"/>
        <v>0</v>
      </c>
      <c r="J2472" s="97">
        <v>10463</v>
      </c>
      <c r="K2472" s="367">
        <f t="shared" si="314"/>
        <v>7473.5714285714284</v>
      </c>
      <c r="L2472" s="97">
        <v>0.57000000000000006</v>
      </c>
      <c r="M2472" s="97">
        <v>4.8999999999999995</v>
      </c>
      <c r="N2472" s="97">
        <v>28</v>
      </c>
      <c r="O2472" s="97">
        <v>9</v>
      </c>
      <c r="P2472" s="97" t="s">
        <v>515</v>
      </c>
      <c r="Q2472" s="97" t="str">
        <f t="shared" si="315"/>
        <v/>
      </c>
      <c r="R2472" t="str">
        <f t="shared" si="316"/>
        <v/>
      </c>
    </row>
    <row r="2473" spans="4:18">
      <c r="D2473" s="36">
        <v>443</v>
      </c>
      <c r="E2473">
        <v>140</v>
      </c>
      <c r="F2473" s="366">
        <f t="shared" si="311"/>
        <v>3038</v>
      </c>
      <c r="G2473" s="97">
        <v>4837</v>
      </c>
      <c r="H2473" s="367">
        <f t="shared" si="312"/>
        <v>7875</v>
      </c>
      <c r="I2473" s="368">
        <f t="shared" si="313"/>
        <v>0</v>
      </c>
      <c r="J2473" s="97">
        <v>12399</v>
      </c>
      <c r="K2473" s="367">
        <f t="shared" si="314"/>
        <v>8856.4285714285725</v>
      </c>
      <c r="L2473" s="97">
        <v>0.77</v>
      </c>
      <c r="M2473" s="97">
        <v>5.3999999999999995</v>
      </c>
      <c r="N2473" s="97">
        <v>29</v>
      </c>
      <c r="O2473" s="97">
        <v>10</v>
      </c>
      <c r="P2473" s="97" t="s">
        <v>556</v>
      </c>
      <c r="Q2473" s="97" t="str">
        <f t="shared" si="315"/>
        <v/>
      </c>
      <c r="R2473" t="str">
        <f t="shared" si="316"/>
        <v/>
      </c>
    </row>
    <row r="2474" spans="4:18">
      <c r="D2474" s="36">
        <v>444</v>
      </c>
      <c r="E2474">
        <v>140</v>
      </c>
      <c r="F2474" s="366">
        <f t="shared" si="311"/>
        <v>3038</v>
      </c>
      <c r="G2474" s="97">
        <v>4115</v>
      </c>
      <c r="H2474" s="367">
        <f t="shared" si="312"/>
        <v>7153</v>
      </c>
      <c r="I2474" s="368">
        <f t="shared" si="313"/>
        <v>0</v>
      </c>
      <c r="J2474" s="97">
        <v>10549</v>
      </c>
      <c r="K2474" s="367">
        <f t="shared" si="314"/>
        <v>7535</v>
      </c>
      <c r="L2474" s="97">
        <v>0.47000000000000003</v>
      </c>
      <c r="M2474" s="97">
        <v>5.3999999999999995</v>
      </c>
      <c r="N2474" s="97">
        <v>27</v>
      </c>
      <c r="O2474" s="97">
        <v>10</v>
      </c>
      <c r="P2474" s="97" t="s">
        <v>515</v>
      </c>
      <c r="Q2474" s="97" t="str">
        <f t="shared" si="315"/>
        <v/>
      </c>
      <c r="R2474" t="str">
        <f t="shared" si="316"/>
        <v/>
      </c>
    </row>
    <row r="2475" spans="4:18">
      <c r="D2475" s="36">
        <v>445</v>
      </c>
      <c r="E2475">
        <v>145</v>
      </c>
      <c r="F2475" s="366">
        <f t="shared" si="311"/>
        <v>3146.5</v>
      </c>
      <c r="G2475" s="97">
        <v>4503</v>
      </c>
      <c r="H2475" s="367">
        <f t="shared" si="312"/>
        <v>7649.5</v>
      </c>
      <c r="I2475" s="368">
        <f t="shared" si="313"/>
        <v>0</v>
      </c>
      <c r="J2475" s="97">
        <v>11544</v>
      </c>
      <c r="K2475" s="367">
        <f t="shared" si="314"/>
        <v>8245.7142857142862</v>
      </c>
      <c r="L2475" s="97">
        <v>0.93</v>
      </c>
      <c r="M2475" s="97">
        <v>3.9</v>
      </c>
      <c r="N2475" s="97">
        <v>29</v>
      </c>
      <c r="O2475" s="97">
        <v>7</v>
      </c>
      <c r="P2475" s="97" t="s">
        <v>515</v>
      </c>
      <c r="Q2475" s="97" t="str">
        <f t="shared" si="315"/>
        <v/>
      </c>
      <c r="R2475" t="str">
        <f t="shared" si="316"/>
        <v/>
      </c>
    </row>
    <row r="2476" spans="4:18">
      <c r="D2476" s="36">
        <v>446</v>
      </c>
      <c r="E2476">
        <v>145</v>
      </c>
      <c r="F2476" s="366">
        <f t="shared" si="311"/>
        <v>3146.5</v>
      </c>
      <c r="G2476" s="97">
        <v>4253</v>
      </c>
      <c r="H2476" s="367">
        <f t="shared" si="312"/>
        <v>7399.5</v>
      </c>
      <c r="I2476" s="368">
        <f t="shared" si="313"/>
        <v>0</v>
      </c>
      <c r="J2476" s="97">
        <v>10902</v>
      </c>
      <c r="K2476" s="367">
        <f t="shared" si="314"/>
        <v>7787.1428571428569</v>
      </c>
      <c r="L2476" s="97">
        <v>0.73</v>
      </c>
      <c r="M2476" s="97">
        <v>4.3999999999999995</v>
      </c>
      <c r="N2476" s="97">
        <v>28</v>
      </c>
      <c r="O2476" s="97">
        <v>8</v>
      </c>
      <c r="P2476" s="97" t="s">
        <v>515</v>
      </c>
      <c r="Q2476" s="97" t="str">
        <f t="shared" si="315"/>
        <v/>
      </c>
      <c r="R2476" t="str">
        <f t="shared" si="316"/>
        <v/>
      </c>
    </row>
    <row r="2477" spans="4:18">
      <c r="D2477" s="36">
        <v>447</v>
      </c>
      <c r="E2477">
        <v>145</v>
      </c>
      <c r="F2477" s="366">
        <f t="shared" si="311"/>
        <v>3146.5</v>
      </c>
      <c r="G2477" s="97">
        <v>5327</v>
      </c>
      <c r="H2477" s="367">
        <f t="shared" si="312"/>
        <v>8473.5</v>
      </c>
      <c r="I2477" s="368">
        <f t="shared" si="313"/>
        <v>0</v>
      </c>
      <c r="J2477" s="97">
        <v>13657</v>
      </c>
      <c r="K2477" s="367">
        <f t="shared" si="314"/>
        <v>9755</v>
      </c>
      <c r="L2477" s="97">
        <v>1</v>
      </c>
      <c r="M2477" s="97">
        <v>4.8999999999999995</v>
      </c>
      <c r="N2477" s="97">
        <v>30</v>
      </c>
      <c r="O2477" s="97">
        <v>9</v>
      </c>
      <c r="P2477" s="97" t="s">
        <v>556</v>
      </c>
      <c r="Q2477" s="97" t="str">
        <f t="shared" si="315"/>
        <v/>
      </c>
      <c r="R2477" t="str">
        <f t="shared" si="316"/>
        <v/>
      </c>
    </row>
    <row r="2478" spans="4:18">
      <c r="D2478" s="36">
        <v>448</v>
      </c>
      <c r="E2478">
        <v>145</v>
      </c>
      <c r="F2478" s="366">
        <f t="shared" si="311"/>
        <v>3146.5</v>
      </c>
      <c r="G2478" s="97">
        <v>4193</v>
      </c>
      <c r="H2478" s="367">
        <f t="shared" si="312"/>
        <v>7339.5</v>
      </c>
      <c r="I2478" s="368">
        <f t="shared" si="313"/>
        <v>0</v>
      </c>
      <c r="J2478" s="97">
        <v>10749</v>
      </c>
      <c r="K2478" s="367">
        <f t="shared" si="314"/>
        <v>7677.8571428571431</v>
      </c>
      <c r="L2478" s="97">
        <v>0.61</v>
      </c>
      <c r="M2478" s="97">
        <v>4.8999999999999995</v>
      </c>
      <c r="N2478" s="97">
        <v>28</v>
      </c>
      <c r="O2478" s="97">
        <v>9</v>
      </c>
      <c r="P2478" s="97" t="s">
        <v>515</v>
      </c>
      <c r="Q2478" s="97" t="str">
        <f t="shared" si="315"/>
        <v/>
      </c>
      <c r="R2478" t="str">
        <f t="shared" si="316"/>
        <v/>
      </c>
    </row>
    <row r="2479" spans="4:18">
      <c r="D2479" s="36">
        <v>449</v>
      </c>
      <c r="E2479">
        <v>145</v>
      </c>
      <c r="F2479" s="366">
        <f t="shared" si="311"/>
        <v>3146.5</v>
      </c>
      <c r="G2479" s="97">
        <v>5049</v>
      </c>
      <c r="H2479" s="367">
        <f t="shared" si="312"/>
        <v>8195.5</v>
      </c>
      <c r="I2479" s="368">
        <f t="shared" si="313"/>
        <v>0</v>
      </c>
      <c r="J2479" s="97">
        <v>12944</v>
      </c>
      <c r="K2479" s="367">
        <f t="shared" si="314"/>
        <v>9245.7142857142862</v>
      </c>
      <c r="L2479" s="97">
        <v>0.82000000000000006</v>
      </c>
      <c r="M2479" s="97">
        <v>5.3999999999999995</v>
      </c>
      <c r="N2479" s="97">
        <v>30</v>
      </c>
      <c r="O2479" s="97">
        <v>10</v>
      </c>
      <c r="P2479" s="97" t="s">
        <v>556</v>
      </c>
      <c r="Q2479" s="97" t="str">
        <f t="shared" si="315"/>
        <v/>
      </c>
      <c r="R2479" t="str">
        <f t="shared" si="316"/>
        <v/>
      </c>
    </row>
    <row r="2480" spans="4:18">
      <c r="D2480" s="36">
        <v>450</v>
      </c>
      <c r="E2480">
        <v>145</v>
      </c>
      <c r="F2480" s="366">
        <f t="shared" si="311"/>
        <v>3146.5</v>
      </c>
      <c r="G2480" s="97">
        <v>4200</v>
      </c>
      <c r="H2480" s="367">
        <f t="shared" si="312"/>
        <v>7346.5</v>
      </c>
      <c r="I2480" s="368">
        <f t="shared" si="313"/>
        <v>0</v>
      </c>
      <c r="J2480" s="97">
        <v>10767</v>
      </c>
      <c r="K2480" s="367">
        <f t="shared" si="314"/>
        <v>7690.7142857142862</v>
      </c>
      <c r="L2480" s="97">
        <v>0.5</v>
      </c>
      <c r="M2480" s="97">
        <v>5.3999999999999995</v>
      </c>
      <c r="N2480" s="97">
        <v>28</v>
      </c>
      <c r="O2480" s="97">
        <v>10</v>
      </c>
      <c r="P2480" s="97" t="s">
        <v>515</v>
      </c>
      <c r="Q2480" s="97" t="str">
        <f t="shared" si="315"/>
        <v/>
      </c>
      <c r="R2480" t="str">
        <f t="shared" si="316"/>
        <v/>
      </c>
    </row>
    <row r="2481" spans="4:18">
      <c r="D2481" s="36">
        <v>451</v>
      </c>
      <c r="E2481">
        <v>150</v>
      </c>
      <c r="F2481" s="366">
        <f t="shared" si="311"/>
        <v>3255</v>
      </c>
      <c r="G2481" s="97">
        <v>4702</v>
      </c>
      <c r="H2481" s="367">
        <f t="shared" si="312"/>
        <v>7957</v>
      </c>
      <c r="I2481" s="368">
        <f t="shared" si="313"/>
        <v>0</v>
      </c>
      <c r="J2481" s="97">
        <v>12055</v>
      </c>
      <c r="K2481" s="367">
        <f t="shared" si="314"/>
        <v>8610.7142857142862</v>
      </c>
      <c r="L2481" s="97">
        <v>0.99</v>
      </c>
      <c r="M2481" s="97">
        <v>3.9</v>
      </c>
      <c r="N2481" s="97">
        <v>29</v>
      </c>
      <c r="O2481" s="97">
        <v>7</v>
      </c>
      <c r="P2481" s="97" t="s">
        <v>515</v>
      </c>
      <c r="Q2481" s="97" t="str">
        <f t="shared" si="315"/>
        <v/>
      </c>
      <c r="R2481" t="str">
        <f t="shared" si="316"/>
        <v/>
      </c>
    </row>
    <row r="2482" spans="4:18">
      <c r="D2482" s="36">
        <v>452</v>
      </c>
      <c r="E2482">
        <v>150</v>
      </c>
      <c r="F2482" s="366">
        <f t="shared" si="311"/>
        <v>3255</v>
      </c>
      <c r="G2482" s="97">
        <v>4432</v>
      </c>
      <c r="H2482" s="367">
        <f t="shared" si="312"/>
        <v>7687</v>
      </c>
      <c r="I2482" s="368">
        <f t="shared" si="313"/>
        <v>0</v>
      </c>
      <c r="J2482" s="97">
        <v>11362</v>
      </c>
      <c r="K2482" s="367">
        <f t="shared" si="314"/>
        <v>8115.7142857142862</v>
      </c>
      <c r="L2482" s="97">
        <v>0.78</v>
      </c>
      <c r="M2482" s="97">
        <v>4.3999999999999995</v>
      </c>
      <c r="N2482" s="97">
        <v>28</v>
      </c>
      <c r="O2482" s="97">
        <v>8</v>
      </c>
      <c r="P2482" s="97" t="s">
        <v>515</v>
      </c>
      <c r="Q2482" s="97" t="str">
        <f t="shared" si="315"/>
        <v/>
      </c>
      <c r="R2482" t="str">
        <f t="shared" si="316"/>
        <v/>
      </c>
    </row>
    <row r="2483" spans="4:18">
      <c r="D2483" s="36">
        <v>453</v>
      </c>
      <c r="E2483">
        <v>150</v>
      </c>
      <c r="F2483" s="366">
        <f t="shared" si="311"/>
        <v>3255</v>
      </c>
      <c r="G2483" s="97">
        <v>4305</v>
      </c>
      <c r="H2483" s="367">
        <f t="shared" si="312"/>
        <v>7560</v>
      </c>
      <c r="I2483" s="368">
        <f t="shared" si="313"/>
        <v>0</v>
      </c>
      <c r="J2483" s="97">
        <v>11035</v>
      </c>
      <c r="K2483" s="367">
        <f t="shared" si="314"/>
        <v>7882.1428571428569</v>
      </c>
      <c r="L2483" s="97">
        <v>0.65</v>
      </c>
      <c r="M2483" s="97">
        <v>4.8999999999999995</v>
      </c>
      <c r="N2483" s="97">
        <v>29</v>
      </c>
      <c r="O2483" s="97">
        <v>9</v>
      </c>
      <c r="P2483" s="97" t="s">
        <v>515</v>
      </c>
      <c r="Q2483" s="97" t="str">
        <f t="shared" si="315"/>
        <v/>
      </c>
      <c r="R2483" t="str">
        <f t="shared" si="316"/>
        <v/>
      </c>
    </row>
    <row r="2484" spans="4:18">
      <c r="D2484" s="36">
        <v>454</v>
      </c>
      <c r="E2484">
        <v>150</v>
      </c>
      <c r="F2484" s="366">
        <f t="shared" si="311"/>
        <v>3255</v>
      </c>
      <c r="G2484" s="97">
        <v>5262</v>
      </c>
      <c r="H2484" s="367">
        <f t="shared" si="312"/>
        <v>8517</v>
      </c>
      <c r="I2484" s="368">
        <f t="shared" si="313"/>
        <v>0</v>
      </c>
      <c r="J2484" s="97">
        <v>13490</v>
      </c>
      <c r="K2484" s="367">
        <f t="shared" si="314"/>
        <v>9635.7142857142862</v>
      </c>
      <c r="L2484" s="97">
        <v>0.88</v>
      </c>
      <c r="M2484" s="97">
        <v>5.3999999999999995</v>
      </c>
      <c r="N2484" s="97">
        <v>30</v>
      </c>
      <c r="O2484" s="97">
        <v>10</v>
      </c>
      <c r="P2484" s="97" t="s">
        <v>556</v>
      </c>
      <c r="Q2484" s="97" t="str">
        <f t="shared" si="315"/>
        <v/>
      </c>
      <c r="R2484" t="str">
        <f t="shared" si="316"/>
        <v/>
      </c>
    </row>
    <row r="2485" spans="4:18">
      <c r="D2485" s="36">
        <v>455</v>
      </c>
      <c r="E2485">
        <v>150</v>
      </c>
      <c r="F2485" s="366">
        <f t="shared" si="311"/>
        <v>3255</v>
      </c>
      <c r="G2485" s="97">
        <v>4314</v>
      </c>
      <c r="H2485" s="367">
        <f t="shared" si="312"/>
        <v>7569</v>
      </c>
      <c r="I2485" s="368">
        <f t="shared" si="313"/>
        <v>0</v>
      </c>
      <c r="J2485" s="97">
        <v>11060</v>
      </c>
      <c r="K2485" s="367">
        <f t="shared" si="314"/>
        <v>7900</v>
      </c>
      <c r="L2485" s="97">
        <v>0.54</v>
      </c>
      <c r="M2485" s="97">
        <v>5.3999999999999995</v>
      </c>
      <c r="N2485" s="97">
        <v>28</v>
      </c>
      <c r="O2485" s="97">
        <v>10</v>
      </c>
      <c r="P2485" s="97" t="s">
        <v>515</v>
      </c>
      <c r="Q2485" s="97" t="str">
        <f t="shared" si="315"/>
        <v/>
      </c>
      <c r="R2485" t="str">
        <f t="shared" si="316"/>
        <v/>
      </c>
    </row>
    <row r="2486" spans="4:18">
      <c r="D2486" s="36">
        <v>456</v>
      </c>
      <c r="E2486">
        <v>155</v>
      </c>
      <c r="F2486" s="366">
        <f t="shared" si="311"/>
        <v>3363.5</v>
      </c>
      <c r="G2486" s="97">
        <v>4612</v>
      </c>
      <c r="H2486" s="367">
        <f t="shared" si="312"/>
        <v>7975.5</v>
      </c>
      <c r="I2486" s="368">
        <f t="shared" si="313"/>
        <v>0</v>
      </c>
      <c r="J2486" s="97">
        <v>11822</v>
      </c>
      <c r="K2486" s="367">
        <f t="shared" si="314"/>
        <v>8444.2857142857138</v>
      </c>
      <c r="L2486" s="97">
        <v>0.83</v>
      </c>
      <c r="M2486" s="97">
        <v>4.3999999999999995</v>
      </c>
      <c r="N2486" s="97">
        <v>29</v>
      </c>
      <c r="O2486" s="97">
        <v>8</v>
      </c>
      <c r="P2486" s="97" t="s">
        <v>515</v>
      </c>
      <c r="Q2486" s="97" t="str">
        <f t="shared" si="315"/>
        <v/>
      </c>
      <c r="R2486" t="str">
        <f t="shared" si="316"/>
        <v/>
      </c>
    </row>
    <row r="2487" spans="4:18">
      <c r="D2487" s="36">
        <v>457</v>
      </c>
      <c r="E2487">
        <v>155</v>
      </c>
      <c r="F2487" s="366">
        <f t="shared" si="311"/>
        <v>3363.5</v>
      </c>
      <c r="G2487" s="97">
        <v>4416</v>
      </c>
      <c r="H2487" s="367">
        <f t="shared" si="312"/>
        <v>7779.5</v>
      </c>
      <c r="I2487" s="368">
        <f t="shared" si="313"/>
        <v>0</v>
      </c>
      <c r="J2487" s="97">
        <v>11321</v>
      </c>
      <c r="K2487" s="367">
        <f t="shared" si="314"/>
        <v>8086.4285714285716</v>
      </c>
      <c r="L2487" s="97">
        <v>0.69000000000000006</v>
      </c>
      <c r="M2487" s="97">
        <v>4.8999999999999995</v>
      </c>
      <c r="N2487" s="97">
        <v>29</v>
      </c>
      <c r="O2487" s="97">
        <v>9</v>
      </c>
      <c r="P2487" s="97" t="s">
        <v>515</v>
      </c>
      <c r="Q2487" s="97" t="str">
        <f t="shared" si="315"/>
        <v/>
      </c>
      <c r="R2487" t="str">
        <f t="shared" si="316"/>
        <v/>
      </c>
    </row>
    <row r="2488" spans="4:18">
      <c r="D2488" s="36">
        <v>458</v>
      </c>
      <c r="E2488">
        <v>155</v>
      </c>
      <c r="F2488" s="366">
        <f t="shared" si="311"/>
        <v>3363.5</v>
      </c>
      <c r="G2488" s="97">
        <v>5475</v>
      </c>
      <c r="H2488" s="367">
        <f t="shared" si="312"/>
        <v>8838.5</v>
      </c>
      <c r="I2488" s="368">
        <f t="shared" si="313"/>
        <v>0</v>
      </c>
      <c r="J2488" s="97">
        <v>14035</v>
      </c>
      <c r="K2488" s="367">
        <f t="shared" si="314"/>
        <v>10025</v>
      </c>
      <c r="L2488" s="97">
        <v>0.94000000000000006</v>
      </c>
      <c r="M2488" s="97">
        <v>5.3999999999999995</v>
      </c>
      <c r="N2488" s="97">
        <v>31</v>
      </c>
      <c r="O2488" s="97">
        <v>10</v>
      </c>
      <c r="P2488" s="97" t="s">
        <v>556</v>
      </c>
      <c r="Q2488" s="97" t="str">
        <f t="shared" si="315"/>
        <v/>
      </c>
      <c r="R2488" t="str">
        <f t="shared" si="316"/>
        <v/>
      </c>
    </row>
    <row r="2489" spans="4:18">
      <c r="D2489" s="36">
        <v>459</v>
      </c>
      <c r="E2489">
        <v>155</v>
      </c>
      <c r="F2489" s="366">
        <f t="shared" si="311"/>
        <v>3363.5</v>
      </c>
      <c r="G2489" s="97">
        <v>4428</v>
      </c>
      <c r="H2489" s="367">
        <f t="shared" si="312"/>
        <v>7791.5</v>
      </c>
      <c r="I2489" s="368">
        <f t="shared" si="313"/>
        <v>0</v>
      </c>
      <c r="J2489" s="97">
        <v>11352</v>
      </c>
      <c r="K2489" s="367">
        <f t="shared" si="314"/>
        <v>8108.5714285714284</v>
      </c>
      <c r="L2489" s="97">
        <v>0.57000000000000006</v>
      </c>
      <c r="M2489" s="97">
        <v>5.3999999999999995</v>
      </c>
      <c r="N2489" s="97">
        <v>29</v>
      </c>
      <c r="O2489" s="97">
        <v>10</v>
      </c>
      <c r="P2489" s="97" t="s">
        <v>515</v>
      </c>
      <c r="Q2489" s="97" t="str">
        <f t="shared" si="315"/>
        <v/>
      </c>
      <c r="R2489" t="str">
        <f t="shared" si="316"/>
        <v/>
      </c>
    </row>
    <row r="2490" spans="4:18">
      <c r="D2490" s="36">
        <v>460</v>
      </c>
      <c r="E2490">
        <v>160</v>
      </c>
      <c r="F2490" s="366">
        <f t="shared" si="311"/>
        <v>3472</v>
      </c>
      <c r="G2490" s="97">
        <v>4791</v>
      </c>
      <c r="H2490" s="367">
        <f t="shared" si="312"/>
        <v>8263</v>
      </c>
      <c r="I2490" s="368">
        <f t="shared" si="313"/>
        <v>0</v>
      </c>
      <c r="J2490" s="97">
        <v>12282</v>
      </c>
      <c r="K2490" s="367">
        <f t="shared" si="314"/>
        <v>8772.8571428571431</v>
      </c>
      <c r="L2490" s="97">
        <v>0.88</v>
      </c>
      <c r="M2490" s="97">
        <v>4.3999999999999995</v>
      </c>
      <c r="N2490" s="97">
        <v>29</v>
      </c>
      <c r="O2490" s="97">
        <v>8</v>
      </c>
      <c r="P2490" s="97" t="s">
        <v>515</v>
      </c>
      <c r="Q2490" s="97" t="str">
        <f t="shared" si="315"/>
        <v/>
      </c>
      <c r="R2490" t="str">
        <f t="shared" si="316"/>
        <v/>
      </c>
    </row>
    <row r="2491" spans="4:18">
      <c r="D2491" s="36">
        <v>461</v>
      </c>
      <c r="E2491">
        <v>160</v>
      </c>
      <c r="F2491" s="366">
        <f t="shared" si="311"/>
        <v>3472</v>
      </c>
      <c r="G2491" s="97">
        <v>4584</v>
      </c>
      <c r="H2491" s="367">
        <f t="shared" si="312"/>
        <v>8056</v>
      </c>
      <c r="I2491" s="368">
        <f t="shared" si="313"/>
        <v>0</v>
      </c>
      <c r="J2491" s="97">
        <v>11751</v>
      </c>
      <c r="K2491" s="367">
        <f t="shared" si="314"/>
        <v>8393.5714285714294</v>
      </c>
      <c r="L2491" s="97">
        <v>0.74</v>
      </c>
      <c r="M2491" s="97">
        <v>4.8999999999999995</v>
      </c>
      <c r="N2491" s="97">
        <v>30</v>
      </c>
      <c r="O2491" s="97">
        <v>9</v>
      </c>
      <c r="P2491" s="97" t="s">
        <v>515</v>
      </c>
      <c r="Q2491" s="97" t="str">
        <f t="shared" si="315"/>
        <v/>
      </c>
      <c r="R2491" t="str">
        <f t="shared" si="316"/>
        <v/>
      </c>
    </row>
    <row r="2492" spans="4:18">
      <c r="D2492" s="36">
        <v>462</v>
      </c>
      <c r="E2492">
        <v>160</v>
      </c>
      <c r="F2492" s="366">
        <f t="shared" si="311"/>
        <v>3472</v>
      </c>
      <c r="G2492" s="97">
        <v>5688</v>
      </c>
      <c r="H2492" s="367">
        <f t="shared" si="312"/>
        <v>9160</v>
      </c>
      <c r="I2492" s="368">
        <f t="shared" si="313"/>
        <v>0</v>
      </c>
      <c r="J2492" s="97">
        <v>14581</v>
      </c>
      <c r="K2492" s="367">
        <f t="shared" si="314"/>
        <v>10415</v>
      </c>
      <c r="L2492" s="97">
        <v>1</v>
      </c>
      <c r="M2492" s="97">
        <v>5.3999999999999995</v>
      </c>
      <c r="N2492" s="97">
        <v>31</v>
      </c>
      <c r="O2492" s="97">
        <v>10</v>
      </c>
      <c r="P2492" s="97" t="s">
        <v>556</v>
      </c>
      <c r="Q2492" s="97" t="str">
        <f t="shared" si="315"/>
        <v/>
      </c>
      <c r="R2492" t="str">
        <f t="shared" si="316"/>
        <v/>
      </c>
    </row>
    <row r="2493" spans="4:18">
      <c r="D2493" s="36">
        <v>463</v>
      </c>
      <c r="E2493">
        <v>160</v>
      </c>
      <c r="F2493" s="366">
        <f t="shared" si="311"/>
        <v>3472</v>
      </c>
      <c r="G2493" s="97">
        <v>4542</v>
      </c>
      <c r="H2493" s="367">
        <f t="shared" si="312"/>
        <v>8014</v>
      </c>
      <c r="I2493" s="368">
        <f t="shared" si="313"/>
        <v>0</v>
      </c>
      <c r="J2493" s="97">
        <v>11645</v>
      </c>
      <c r="K2493" s="367">
        <f t="shared" si="314"/>
        <v>8317.8571428571431</v>
      </c>
      <c r="L2493" s="97">
        <v>0.61</v>
      </c>
      <c r="M2493" s="97">
        <v>5.3999999999999995</v>
      </c>
      <c r="N2493" s="97">
        <v>29</v>
      </c>
      <c r="O2493" s="97">
        <v>10</v>
      </c>
      <c r="P2493" s="97" t="s">
        <v>515</v>
      </c>
      <c r="Q2493" s="97" t="str">
        <f t="shared" si="315"/>
        <v/>
      </c>
      <c r="R2493" t="str">
        <f t="shared" si="316"/>
        <v/>
      </c>
    </row>
    <row r="2494" spans="4:18">
      <c r="D2494" s="36">
        <v>464</v>
      </c>
      <c r="E2494">
        <v>165</v>
      </c>
      <c r="F2494" s="366">
        <f t="shared" si="311"/>
        <v>3580.5</v>
      </c>
      <c r="G2494" s="97">
        <v>4979</v>
      </c>
      <c r="H2494" s="367">
        <f t="shared" si="312"/>
        <v>8559.5</v>
      </c>
      <c r="I2494" s="368">
        <f t="shared" si="313"/>
        <v>0</v>
      </c>
      <c r="J2494" s="97">
        <v>12763</v>
      </c>
      <c r="K2494" s="367">
        <f t="shared" si="314"/>
        <v>9116.4285714285725</v>
      </c>
      <c r="L2494" s="97">
        <v>0.94000000000000006</v>
      </c>
      <c r="M2494" s="97">
        <v>4.3999999999999995</v>
      </c>
      <c r="N2494" s="97">
        <v>30</v>
      </c>
      <c r="O2494" s="97">
        <v>8</v>
      </c>
      <c r="P2494" s="97" t="s">
        <v>515</v>
      </c>
      <c r="Q2494" s="97" t="str">
        <f t="shared" si="315"/>
        <v/>
      </c>
      <c r="R2494" t="str">
        <f t="shared" si="316"/>
        <v/>
      </c>
    </row>
    <row r="2495" spans="4:18">
      <c r="D2495" s="36">
        <v>465</v>
      </c>
      <c r="E2495">
        <v>165</v>
      </c>
      <c r="F2495" s="366">
        <f t="shared" si="311"/>
        <v>3580.5</v>
      </c>
      <c r="G2495" s="97">
        <v>4761</v>
      </c>
      <c r="H2495" s="367">
        <f t="shared" si="312"/>
        <v>8341.5</v>
      </c>
      <c r="I2495" s="368">
        <f t="shared" si="313"/>
        <v>0</v>
      </c>
      <c r="J2495" s="97">
        <v>12205</v>
      </c>
      <c r="K2495" s="367">
        <f t="shared" si="314"/>
        <v>8717.8571428571431</v>
      </c>
      <c r="L2495" s="97">
        <v>0.79</v>
      </c>
      <c r="M2495" s="97">
        <v>4.8999999999999995</v>
      </c>
      <c r="N2495" s="97">
        <v>30</v>
      </c>
      <c r="O2495" s="97">
        <v>9</v>
      </c>
      <c r="P2495" s="97" t="s">
        <v>515</v>
      </c>
      <c r="Q2495" s="97" t="str">
        <f t="shared" si="315"/>
        <v/>
      </c>
      <c r="R2495" t="str">
        <f t="shared" si="316"/>
        <v/>
      </c>
    </row>
    <row r="2496" spans="4:18">
      <c r="D2496" s="36">
        <v>466</v>
      </c>
      <c r="E2496">
        <v>165</v>
      </c>
      <c r="F2496" s="366">
        <f t="shared" si="311"/>
        <v>3580.5</v>
      </c>
      <c r="G2496" s="97">
        <v>4657</v>
      </c>
      <c r="H2496" s="367">
        <f t="shared" si="312"/>
        <v>8237.5</v>
      </c>
      <c r="I2496" s="368">
        <f t="shared" si="313"/>
        <v>0</v>
      </c>
      <c r="J2496" s="97">
        <v>11937</v>
      </c>
      <c r="K2496" s="367">
        <f t="shared" si="314"/>
        <v>8526.4285714285725</v>
      </c>
      <c r="L2496" s="97">
        <v>0.65</v>
      </c>
      <c r="M2496" s="97">
        <v>5.3999999999999995</v>
      </c>
      <c r="N2496" s="97">
        <v>29</v>
      </c>
      <c r="O2496" s="97">
        <v>10</v>
      </c>
      <c r="P2496" s="97" t="s">
        <v>515</v>
      </c>
      <c r="Q2496" s="97" t="str">
        <f t="shared" si="315"/>
        <v/>
      </c>
      <c r="R2496" t="str">
        <f t="shared" si="316"/>
        <v/>
      </c>
    </row>
    <row r="2497" spans="2:18">
      <c r="D2497" s="36">
        <v>467</v>
      </c>
      <c r="E2497">
        <v>170</v>
      </c>
      <c r="F2497" s="366">
        <f t="shared" si="311"/>
        <v>3689</v>
      </c>
      <c r="G2497" s="97">
        <v>5174</v>
      </c>
      <c r="H2497" s="367">
        <f t="shared" si="312"/>
        <v>8863</v>
      </c>
      <c r="I2497" s="368">
        <f t="shared" si="313"/>
        <v>0</v>
      </c>
      <c r="J2497" s="97">
        <v>13264</v>
      </c>
      <c r="K2497" s="367">
        <f t="shared" si="314"/>
        <v>9474.2857142857138</v>
      </c>
      <c r="L2497" s="97">
        <v>0.99</v>
      </c>
      <c r="M2497" s="97">
        <v>4.3999999999999995</v>
      </c>
      <c r="N2497" s="97">
        <v>30</v>
      </c>
      <c r="O2497" s="97">
        <v>8</v>
      </c>
      <c r="P2497" s="97" t="s">
        <v>515</v>
      </c>
      <c r="Q2497" s="97" t="str">
        <f t="shared" si="315"/>
        <v/>
      </c>
      <c r="R2497" t="str">
        <f t="shared" si="316"/>
        <v/>
      </c>
    </row>
    <row r="2498" spans="2:18">
      <c r="D2498" s="36">
        <v>468</v>
      </c>
      <c r="E2498">
        <v>170</v>
      </c>
      <c r="F2498" s="366">
        <f t="shared" si="311"/>
        <v>3689</v>
      </c>
      <c r="G2498" s="97">
        <v>4939</v>
      </c>
      <c r="H2498" s="367">
        <f t="shared" si="312"/>
        <v>8628</v>
      </c>
      <c r="I2498" s="368">
        <f t="shared" si="313"/>
        <v>0</v>
      </c>
      <c r="J2498" s="97">
        <v>12660</v>
      </c>
      <c r="K2498" s="367">
        <f t="shared" si="314"/>
        <v>9042.8571428571431</v>
      </c>
      <c r="L2498" s="97">
        <v>0.83</v>
      </c>
      <c r="M2498" s="97">
        <v>4.8999999999999995</v>
      </c>
      <c r="N2498" s="97">
        <v>30</v>
      </c>
      <c r="O2498" s="97">
        <v>9</v>
      </c>
      <c r="P2498" s="97" t="s">
        <v>515</v>
      </c>
      <c r="Q2498" s="97" t="str">
        <f t="shared" si="315"/>
        <v/>
      </c>
      <c r="R2498" t="str">
        <f t="shared" si="316"/>
        <v/>
      </c>
    </row>
    <row r="2499" spans="2:18">
      <c r="D2499" s="36">
        <v>469</v>
      </c>
      <c r="E2499">
        <v>170</v>
      </c>
      <c r="F2499" s="366">
        <f t="shared" si="311"/>
        <v>3689</v>
      </c>
      <c r="G2499" s="97">
        <v>4771</v>
      </c>
      <c r="H2499" s="367">
        <f t="shared" si="312"/>
        <v>8460</v>
      </c>
      <c r="I2499" s="368">
        <f t="shared" si="313"/>
        <v>0</v>
      </c>
      <c r="J2499" s="97">
        <v>12230</v>
      </c>
      <c r="K2499" s="367">
        <f t="shared" si="314"/>
        <v>8735.7142857142862</v>
      </c>
      <c r="L2499" s="97">
        <v>0.69000000000000006</v>
      </c>
      <c r="M2499" s="97">
        <v>5.3999999999999995</v>
      </c>
      <c r="N2499" s="97">
        <v>30</v>
      </c>
      <c r="O2499" s="97">
        <v>10</v>
      </c>
      <c r="P2499" s="97" t="s">
        <v>515</v>
      </c>
      <c r="Q2499" s="97" t="str">
        <f t="shared" si="315"/>
        <v/>
      </c>
      <c r="R2499" t="str">
        <f t="shared" si="316"/>
        <v/>
      </c>
    </row>
    <row r="2500" spans="2:18">
      <c r="D2500" s="36">
        <v>470</v>
      </c>
      <c r="E2500">
        <v>175</v>
      </c>
      <c r="F2500" s="366">
        <f t="shared" si="311"/>
        <v>3797.5</v>
      </c>
      <c r="G2500" s="97">
        <v>5116</v>
      </c>
      <c r="H2500" s="367">
        <f t="shared" si="312"/>
        <v>8913.5</v>
      </c>
      <c r="I2500" s="368">
        <f t="shared" si="313"/>
        <v>0</v>
      </c>
      <c r="J2500" s="97">
        <v>13115</v>
      </c>
      <c r="K2500" s="367">
        <f t="shared" si="314"/>
        <v>9367.8571428571431</v>
      </c>
      <c r="L2500" s="97">
        <v>0.88</v>
      </c>
      <c r="M2500" s="97">
        <v>4.8999999999999995</v>
      </c>
      <c r="N2500" s="97">
        <v>31</v>
      </c>
      <c r="O2500" s="97">
        <v>9</v>
      </c>
      <c r="P2500" s="97" t="s">
        <v>515</v>
      </c>
      <c r="Q2500" s="97" t="str">
        <f t="shared" si="315"/>
        <v/>
      </c>
      <c r="R2500" t="str">
        <f t="shared" si="316"/>
        <v/>
      </c>
    </row>
    <row r="2501" spans="2:18">
      <c r="D2501" s="36">
        <v>471</v>
      </c>
      <c r="E2501">
        <v>175</v>
      </c>
      <c r="F2501" s="366">
        <f t="shared" si="311"/>
        <v>3797.5</v>
      </c>
      <c r="G2501" s="97">
        <v>4894</v>
      </c>
      <c r="H2501" s="367">
        <f t="shared" si="312"/>
        <v>8691.5</v>
      </c>
      <c r="I2501" s="368">
        <f t="shared" si="313"/>
        <v>0</v>
      </c>
      <c r="J2501" s="97">
        <v>12545</v>
      </c>
      <c r="K2501" s="367">
        <f t="shared" si="314"/>
        <v>8960.7142857142862</v>
      </c>
      <c r="L2501" s="97">
        <v>0.73</v>
      </c>
      <c r="M2501" s="97">
        <v>5.3999999999999995</v>
      </c>
      <c r="N2501" s="97">
        <v>30</v>
      </c>
      <c r="O2501" s="97">
        <v>10</v>
      </c>
      <c r="P2501" s="97" t="s">
        <v>515</v>
      </c>
      <c r="Q2501" s="97" t="str">
        <f t="shared" si="315"/>
        <v/>
      </c>
      <c r="R2501" t="str">
        <f t="shared" si="316"/>
        <v/>
      </c>
    </row>
    <row r="2502" spans="2:18">
      <c r="D2502" s="36">
        <v>472</v>
      </c>
      <c r="E2502">
        <v>180</v>
      </c>
      <c r="F2502" s="366">
        <f t="shared" si="311"/>
        <v>3906</v>
      </c>
      <c r="G2502" s="97">
        <v>5293</v>
      </c>
      <c r="H2502" s="367">
        <f t="shared" si="312"/>
        <v>9199</v>
      </c>
      <c r="I2502" s="368">
        <f t="shared" si="313"/>
        <v>0</v>
      </c>
      <c r="J2502" s="97">
        <v>13570</v>
      </c>
      <c r="K2502" s="367">
        <f t="shared" si="314"/>
        <v>9692.8571428571431</v>
      </c>
      <c r="L2502" s="97">
        <v>0.94000000000000006</v>
      </c>
      <c r="M2502" s="97">
        <v>4.8999999999999995</v>
      </c>
      <c r="N2502" s="97">
        <v>31</v>
      </c>
      <c r="O2502" s="97">
        <v>9</v>
      </c>
      <c r="P2502" s="97" t="s">
        <v>515</v>
      </c>
      <c r="Q2502" s="97" t="str">
        <f t="shared" si="315"/>
        <v/>
      </c>
      <c r="R2502" t="str">
        <f t="shared" si="316"/>
        <v/>
      </c>
    </row>
    <row r="2503" spans="2:18">
      <c r="D2503" s="36">
        <v>473</v>
      </c>
      <c r="E2503">
        <v>180</v>
      </c>
      <c r="F2503" s="366">
        <f t="shared" si="311"/>
        <v>3906</v>
      </c>
      <c r="G2503" s="97">
        <v>5067</v>
      </c>
      <c r="H2503" s="367">
        <f t="shared" si="312"/>
        <v>8973</v>
      </c>
      <c r="I2503" s="368">
        <f t="shared" si="313"/>
        <v>0</v>
      </c>
      <c r="J2503" s="97">
        <v>12989</v>
      </c>
      <c r="K2503" s="367">
        <f t="shared" si="314"/>
        <v>9277.8571428571431</v>
      </c>
      <c r="L2503" s="97">
        <v>0.77</v>
      </c>
      <c r="M2503" s="97">
        <v>5.3999999999999995</v>
      </c>
      <c r="N2503" s="97">
        <v>30</v>
      </c>
      <c r="O2503" s="97">
        <v>10</v>
      </c>
      <c r="P2503" s="97" t="s">
        <v>515</v>
      </c>
      <c r="Q2503" s="97" t="str">
        <f t="shared" si="315"/>
        <v/>
      </c>
      <c r="R2503" t="str">
        <f t="shared" si="316"/>
        <v/>
      </c>
    </row>
    <row r="2504" spans="2:18">
      <c r="D2504" s="36">
        <v>474</v>
      </c>
      <c r="E2504">
        <v>185</v>
      </c>
      <c r="F2504" s="366">
        <f t="shared" si="311"/>
        <v>4014.5</v>
      </c>
      <c r="G2504" s="97">
        <v>5472</v>
      </c>
      <c r="H2504" s="367">
        <f t="shared" si="312"/>
        <v>9486.5</v>
      </c>
      <c r="I2504" s="368">
        <f t="shared" si="313"/>
        <v>0</v>
      </c>
      <c r="J2504" s="97">
        <v>14029</v>
      </c>
      <c r="K2504" s="367">
        <f t="shared" si="314"/>
        <v>10020.714285714286</v>
      </c>
      <c r="L2504" s="97">
        <v>0.99</v>
      </c>
      <c r="M2504" s="97">
        <v>4.8999999999999995</v>
      </c>
      <c r="N2504" s="97">
        <v>31</v>
      </c>
      <c r="O2504" s="97">
        <v>9</v>
      </c>
      <c r="P2504" s="97" t="s">
        <v>515</v>
      </c>
      <c r="Q2504" s="97" t="str">
        <f t="shared" si="315"/>
        <v/>
      </c>
      <c r="R2504" t="str">
        <f t="shared" si="316"/>
        <v/>
      </c>
    </row>
    <row r="2505" spans="2:18">
      <c r="D2505" s="36">
        <v>475</v>
      </c>
      <c r="E2505">
        <v>185</v>
      </c>
      <c r="F2505" s="366">
        <f t="shared" si="311"/>
        <v>4014.5</v>
      </c>
      <c r="G2505" s="97">
        <v>5240</v>
      </c>
      <c r="H2505" s="367">
        <f t="shared" si="312"/>
        <v>9254.5</v>
      </c>
      <c r="I2505" s="368">
        <f t="shared" si="313"/>
        <v>0</v>
      </c>
      <c r="J2505" s="97">
        <v>13433</v>
      </c>
      <c r="K2505" s="367">
        <f t="shared" si="314"/>
        <v>9595</v>
      </c>
      <c r="L2505" s="97">
        <v>0.82000000000000006</v>
      </c>
      <c r="M2505" s="97">
        <v>5.3999999999999995</v>
      </c>
      <c r="N2505" s="97">
        <v>31</v>
      </c>
      <c r="O2505" s="97">
        <v>10</v>
      </c>
      <c r="P2505" s="97" t="s">
        <v>515</v>
      </c>
      <c r="Q2505" s="97" t="str">
        <f t="shared" si="315"/>
        <v/>
      </c>
      <c r="R2505" t="str">
        <f t="shared" si="316"/>
        <v/>
      </c>
    </row>
    <row r="2506" spans="2:18">
      <c r="D2506" s="36">
        <v>476</v>
      </c>
      <c r="E2506">
        <v>190</v>
      </c>
      <c r="F2506" s="366">
        <f t="shared" ref="F2506:F2510" si="317">1.085*($A$2-$B$2)*E2506*$T$7</f>
        <v>4123</v>
      </c>
      <c r="G2506" s="97">
        <v>5659</v>
      </c>
      <c r="H2506" s="367">
        <f t="shared" ref="H2506:H2510" si="318">(G2506*$U$7)+F2506</f>
        <v>9782</v>
      </c>
      <c r="I2506" s="368">
        <f t="shared" ref="I2506:I2510" si="319">1.085*($C$2-$D$2)*E2506*$T$7</f>
        <v>0</v>
      </c>
      <c r="J2506" s="97">
        <v>14508</v>
      </c>
      <c r="K2506" s="367">
        <f t="shared" ref="K2506:K2510" si="320">(J2506*$V$7)-I2506</f>
        <v>10362.857142857143</v>
      </c>
      <c r="L2506" s="97">
        <v>1.04</v>
      </c>
      <c r="M2506" s="97">
        <v>4.8999999999999995</v>
      </c>
      <c r="N2506" s="97">
        <v>32</v>
      </c>
      <c r="O2506" s="97">
        <v>9</v>
      </c>
      <c r="P2506" s="97" t="s">
        <v>515</v>
      </c>
      <c r="Q2506" s="97" t="str">
        <f t="shared" ref="Q2506:Q2510" si="321">IF(AND(H2506+1&gt;$E$4,L2506&lt;$L$4+0.01,M2506&lt;$M$4+0.01,K2506+1&gt;$F$4,E2506+1&gt;$J$4,N2506&lt;$K$4+1,O2506&lt;$P$4+1,C2506=""),D2506,"")</f>
        <v/>
      </c>
      <c r="R2506" t="str">
        <f t="shared" ref="R2506:R2510" si="322">IF(Q2506="","",IF(AND(O2506&lt;$X$17,E2506&gt;$U$17,E2506&lt;$Q$4+$U$17+1),D2506,""))</f>
        <v/>
      </c>
    </row>
    <row r="2507" spans="2:18">
      <c r="D2507" s="36">
        <v>477</v>
      </c>
      <c r="E2507">
        <v>190</v>
      </c>
      <c r="F2507" s="366">
        <f t="shared" si="317"/>
        <v>4123</v>
      </c>
      <c r="G2507" s="97">
        <v>5413</v>
      </c>
      <c r="H2507" s="367">
        <f t="shared" si="318"/>
        <v>9536</v>
      </c>
      <c r="I2507" s="368">
        <f t="shared" si="319"/>
        <v>0</v>
      </c>
      <c r="J2507" s="97">
        <v>13877</v>
      </c>
      <c r="K2507" s="367">
        <f t="shared" si="320"/>
        <v>9912.1428571428569</v>
      </c>
      <c r="L2507" s="97">
        <v>0.86</v>
      </c>
      <c r="M2507" s="97">
        <v>5.3999999999999995</v>
      </c>
      <c r="N2507" s="97">
        <v>31</v>
      </c>
      <c r="O2507" s="97">
        <v>10</v>
      </c>
      <c r="P2507" s="97" t="s">
        <v>515</v>
      </c>
      <c r="Q2507" s="97" t="str">
        <f t="shared" si="321"/>
        <v/>
      </c>
      <c r="R2507" t="str">
        <f t="shared" si="322"/>
        <v/>
      </c>
    </row>
    <row r="2508" spans="2:18">
      <c r="D2508" s="36">
        <v>478</v>
      </c>
      <c r="E2508">
        <v>195</v>
      </c>
      <c r="F2508" s="366">
        <f t="shared" si="317"/>
        <v>4231.5</v>
      </c>
      <c r="G2508" s="97">
        <v>5587</v>
      </c>
      <c r="H2508" s="367">
        <f t="shared" si="318"/>
        <v>9818.5</v>
      </c>
      <c r="I2508" s="368">
        <f t="shared" si="319"/>
        <v>0</v>
      </c>
      <c r="J2508" s="97">
        <v>14322</v>
      </c>
      <c r="K2508" s="367">
        <f t="shared" si="320"/>
        <v>10230</v>
      </c>
      <c r="L2508" s="97">
        <v>0.91</v>
      </c>
      <c r="M2508" s="97">
        <v>5.3999999999999995</v>
      </c>
      <c r="N2508" s="97">
        <v>31</v>
      </c>
      <c r="O2508" s="97">
        <v>10</v>
      </c>
      <c r="P2508" s="97" t="s">
        <v>515</v>
      </c>
      <c r="Q2508" s="97" t="str">
        <f t="shared" si="321"/>
        <v/>
      </c>
      <c r="R2508" t="str">
        <f t="shared" si="322"/>
        <v/>
      </c>
    </row>
    <row r="2509" spans="2:18">
      <c r="D2509" s="36">
        <v>479</v>
      </c>
      <c r="E2509">
        <v>200</v>
      </c>
      <c r="F2509" s="366">
        <f t="shared" si="317"/>
        <v>4340</v>
      </c>
      <c r="G2509" s="97">
        <v>5760</v>
      </c>
      <c r="H2509" s="367">
        <f t="shared" si="318"/>
        <v>10100</v>
      </c>
      <c r="I2509" s="368">
        <f t="shared" si="319"/>
        <v>0</v>
      </c>
      <c r="J2509" s="97">
        <v>14766</v>
      </c>
      <c r="K2509" s="367">
        <f t="shared" si="320"/>
        <v>10547.142857142857</v>
      </c>
      <c r="L2509" s="97">
        <v>0.95</v>
      </c>
      <c r="M2509" s="97">
        <v>5.3999999999999995</v>
      </c>
      <c r="N2509" s="97">
        <v>32</v>
      </c>
      <c r="O2509" s="97">
        <v>10</v>
      </c>
      <c r="P2509" s="97" t="s">
        <v>515</v>
      </c>
      <c r="Q2509" s="97" t="str">
        <f t="shared" si="321"/>
        <v/>
      </c>
      <c r="R2509" t="str">
        <f t="shared" si="322"/>
        <v/>
      </c>
    </row>
    <row r="2510" spans="2:18">
      <c r="D2510" s="36">
        <v>480</v>
      </c>
      <c r="E2510">
        <v>205</v>
      </c>
      <c r="F2510" s="366">
        <f t="shared" si="317"/>
        <v>4448.5</v>
      </c>
      <c r="G2510" s="97">
        <v>5933</v>
      </c>
      <c r="H2510" s="367">
        <f t="shared" si="318"/>
        <v>10381.5</v>
      </c>
      <c r="I2510" s="368">
        <f t="shared" si="319"/>
        <v>0</v>
      </c>
      <c r="J2510" s="97">
        <v>15210</v>
      </c>
      <c r="K2510" s="367">
        <f t="shared" si="320"/>
        <v>10864.285714285714</v>
      </c>
      <c r="L2510" s="97">
        <v>1</v>
      </c>
      <c r="M2510" s="97">
        <v>5.3999999999999995</v>
      </c>
      <c r="N2510" s="97">
        <v>32</v>
      </c>
      <c r="O2510" s="97">
        <v>10</v>
      </c>
      <c r="P2510" s="97" t="s">
        <v>515</v>
      </c>
      <c r="Q2510" s="97" t="str">
        <f t="shared" si="321"/>
        <v/>
      </c>
      <c r="R2510" t="str">
        <f t="shared" si="322"/>
        <v/>
      </c>
    </row>
    <row r="2511" spans="2:18">
      <c r="E2511" s="97"/>
      <c r="H2511" s="97"/>
      <c r="I2511" s="97"/>
      <c r="J2511" s="97"/>
      <c r="K2511" s="97"/>
      <c r="L2511" s="97"/>
      <c r="M2511" s="97"/>
      <c r="N2511" s="97"/>
      <c r="O2511" s="97"/>
      <c r="P2511" s="97"/>
    </row>
    <row r="2512" spans="2:18">
      <c r="B2512" s="581"/>
      <c r="C2512" t="str">
        <f t="shared" si="292"/>
        <v/>
      </c>
      <c r="D2512" s="36">
        <v>1</v>
      </c>
      <c r="E2512" s="97">
        <v>10</v>
      </c>
      <c r="F2512" s="366">
        <f t="shared" si="295"/>
        <v>217</v>
      </c>
      <c r="G2512" s="97">
        <v>627</v>
      </c>
      <c r="H2512" s="367">
        <f t="shared" ref="H2512" si="323">(G2512*$U$7)+F2512</f>
        <v>844</v>
      </c>
      <c r="I2512" s="368">
        <f t="shared" ref="I2512" si="324">1.085*($C$2-$D$2)*E2512*$T$7</f>
        <v>0</v>
      </c>
      <c r="J2512" s="97">
        <v>2353</v>
      </c>
      <c r="K2512" s="367">
        <f t="shared" si="294"/>
        <v>1680.7142857142858</v>
      </c>
      <c r="L2512" s="606">
        <v>0.11</v>
      </c>
      <c r="M2512" s="97">
        <v>7</v>
      </c>
      <c r="N2512" s="605">
        <v>15</v>
      </c>
      <c r="O2512" s="97">
        <v>2</v>
      </c>
      <c r="P2512" s="97" t="s">
        <v>512</v>
      </c>
      <c r="Q2512" s="97" t="str">
        <f t="shared" ref="Q2512" si="325">IF(AND(H2512+1&gt;$E$4,L2512&lt;$L$4+0.01,M2512&lt;$M$4+0.01,K2512+1&gt;$F$4,E2512+1&gt;$J$4,N2512&lt;$K$4+1,O2512&lt;$P$4+1,C2512=""),D2512,"")</f>
        <v/>
      </c>
      <c r="R2512" t="str">
        <f>IF(Q2512="","",IF(AND(O2512&lt;$X$18,E2512&gt;$U$18,E2512&lt;$Q$4+$U$18+1),D2512,""))</f>
        <v/>
      </c>
    </row>
    <row r="2513" spans="2:18">
      <c r="B2513" s="582"/>
      <c r="C2513" t="str">
        <f t="shared" si="292"/>
        <v/>
      </c>
      <c r="D2513" s="36">
        <v>2</v>
      </c>
      <c r="E2513" s="97">
        <v>15</v>
      </c>
      <c r="F2513" s="366">
        <f t="shared" si="295"/>
        <v>325.5</v>
      </c>
      <c r="G2513" s="97">
        <v>707</v>
      </c>
      <c r="H2513" s="367">
        <f t="shared" ref="H2513:H2576" si="326">(G2513*$U$7)+F2513</f>
        <v>1032.5</v>
      </c>
      <c r="I2513" s="368">
        <f t="shared" ref="I2513:I2576" si="327">1.085*($C$2-$D$2)*E2513*$T$7</f>
        <v>0</v>
      </c>
      <c r="J2513" s="97">
        <v>2652</v>
      </c>
      <c r="K2513" s="367">
        <f t="shared" si="294"/>
        <v>1894.2857142857142</v>
      </c>
      <c r="L2513" s="606">
        <v>0.13</v>
      </c>
      <c r="M2513" s="97">
        <v>7</v>
      </c>
      <c r="N2513" s="605">
        <v>15</v>
      </c>
      <c r="O2513" s="97">
        <v>2</v>
      </c>
      <c r="P2513" s="97" t="s">
        <v>513</v>
      </c>
      <c r="Q2513" s="97" t="str">
        <f t="shared" ref="Q2513:Q2576" si="328">IF(AND(H2513+1&gt;$E$4,L2513&lt;$L$4+0.01,M2513&lt;$M$4+0.01,K2513+1&gt;$F$4,E2513+1&gt;$J$4,N2513&lt;$K$4+1,O2513&lt;$P$4+1,C2513=""),D2513,"")</f>
        <v/>
      </c>
      <c r="R2513" t="str">
        <f t="shared" ref="R2513:R2576" si="329">IF(Q2513="","",IF(AND(O2513&lt;$X$18,E2513&gt;$U$18,E2513&lt;$Q$4+$U$18+1),D2513,""))</f>
        <v/>
      </c>
    </row>
    <row r="2514" spans="2:18">
      <c r="C2514" t="str">
        <f t="shared" si="292"/>
        <v/>
      </c>
      <c r="D2514" s="36">
        <v>3</v>
      </c>
      <c r="E2514" s="97">
        <v>15</v>
      </c>
      <c r="F2514" s="366">
        <f t="shared" si="295"/>
        <v>325.5</v>
      </c>
      <c r="G2514" s="97">
        <v>835</v>
      </c>
      <c r="H2514" s="367">
        <f t="shared" si="326"/>
        <v>1160.5</v>
      </c>
      <c r="I2514" s="368">
        <f t="shared" si="327"/>
        <v>0</v>
      </c>
      <c r="J2514" s="97">
        <v>3135</v>
      </c>
      <c r="K2514" s="367">
        <f t="shared" si="294"/>
        <v>2239.2857142857142</v>
      </c>
      <c r="L2514" s="606">
        <v>0.25</v>
      </c>
      <c r="M2514" s="97">
        <v>7</v>
      </c>
      <c r="N2514" s="605">
        <v>15</v>
      </c>
      <c r="O2514" s="97">
        <v>2</v>
      </c>
      <c r="P2514" s="97" t="s">
        <v>512</v>
      </c>
      <c r="Q2514" s="97" t="str">
        <f t="shared" si="328"/>
        <v/>
      </c>
      <c r="R2514" t="str">
        <f t="shared" si="329"/>
        <v/>
      </c>
    </row>
    <row r="2515" spans="2:18">
      <c r="C2515" t="str">
        <f t="shared" ref="C2515:C2578" si="330">IF(OR($O$4=0,O2515-$O$4=0),IF(AND(ISEVEN(O2515)=FALSE,$N$4="Even"),"NL",""),"NL")</f>
        <v/>
      </c>
      <c r="D2515" s="36">
        <v>4</v>
      </c>
      <c r="E2515" s="97">
        <v>15</v>
      </c>
      <c r="F2515" s="366">
        <f t="shared" si="295"/>
        <v>325.5</v>
      </c>
      <c r="G2515" s="97">
        <v>871</v>
      </c>
      <c r="H2515" s="367">
        <f t="shared" si="326"/>
        <v>1196.5</v>
      </c>
      <c r="I2515" s="368">
        <f t="shared" si="327"/>
        <v>0</v>
      </c>
      <c r="J2515" s="97">
        <v>3271</v>
      </c>
      <c r="K2515" s="367">
        <f t="shared" ref="K2515:K2578" si="331">(J2515*$V$7)-I2515</f>
        <v>2336.4285714285716</v>
      </c>
      <c r="L2515" s="606">
        <v>0.11</v>
      </c>
      <c r="M2515" s="97">
        <v>9.4</v>
      </c>
      <c r="N2515" s="605">
        <v>15</v>
      </c>
      <c r="O2515" s="97">
        <v>4</v>
      </c>
      <c r="P2515" s="97" t="s">
        <v>512</v>
      </c>
      <c r="Q2515" s="97" t="str">
        <f t="shared" si="328"/>
        <v/>
      </c>
      <c r="R2515" t="str">
        <f t="shared" si="329"/>
        <v/>
      </c>
    </row>
    <row r="2516" spans="2:18">
      <c r="C2516" t="str">
        <f t="shared" si="330"/>
        <v/>
      </c>
      <c r="D2516" s="36">
        <v>5</v>
      </c>
      <c r="E2516" s="97">
        <v>20</v>
      </c>
      <c r="F2516" s="366">
        <f t="shared" si="295"/>
        <v>434</v>
      </c>
      <c r="G2516" s="97">
        <v>871</v>
      </c>
      <c r="H2516" s="367">
        <f t="shared" si="326"/>
        <v>1305</v>
      </c>
      <c r="I2516" s="368">
        <f t="shared" si="327"/>
        <v>0</v>
      </c>
      <c r="J2516" s="97">
        <v>3270</v>
      </c>
      <c r="K2516" s="367">
        <f t="shared" si="331"/>
        <v>2335.7142857142858</v>
      </c>
      <c r="L2516" s="606">
        <v>0.23</v>
      </c>
      <c r="M2516" s="97">
        <v>7</v>
      </c>
      <c r="N2516" s="605">
        <v>15</v>
      </c>
      <c r="O2516" s="97">
        <v>2</v>
      </c>
      <c r="P2516" s="97" t="s">
        <v>513</v>
      </c>
      <c r="Q2516" s="97" t="str">
        <f t="shared" si="328"/>
        <v/>
      </c>
      <c r="R2516" t="str">
        <f t="shared" si="329"/>
        <v/>
      </c>
    </row>
    <row r="2517" spans="2:18">
      <c r="C2517" t="str">
        <f t="shared" si="330"/>
        <v/>
      </c>
      <c r="D2517" s="36">
        <v>6</v>
      </c>
      <c r="E2517" s="97">
        <v>20</v>
      </c>
      <c r="F2517" s="366">
        <f t="shared" si="295"/>
        <v>434</v>
      </c>
      <c r="G2517" s="97">
        <v>1134</v>
      </c>
      <c r="H2517" s="367">
        <f t="shared" si="326"/>
        <v>1568</v>
      </c>
      <c r="I2517" s="368">
        <f t="shared" si="327"/>
        <v>0</v>
      </c>
      <c r="J2517" s="97">
        <v>4255</v>
      </c>
      <c r="K2517" s="367">
        <f t="shared" si="331"/>
        <v>3039.2857142857142</v>
      </c>
      <c r="L2517" s="606">
        <v>0.44</v>
      </c>
      <c r="M2517" s="97">
        <v>7</v>
      </c>
      <c r="N2517" s="605">
        <v>15</v>
      </c>
      <c r="O2517" s="97">
        <v>2</v>
      </c>
      <c r="P2517" s="97" t="s">
        <v>512</v>
      </c>
      <c r="Q2517" s="97" t="str">
        <f t="shared" si="328"/>
        <v/>
      </c>
      <c r="R2517" t="str">
        <f t="shared" si="329"/>
        <v/>
      </c>
    </row>
    <row r="2518" spans="2:18">
      <c r="C2518" t="str">
        <f t="shared" si="330"/>
        <v/>
      </c>
      <c r="D2518" s="36">
        <v>7</v>
      </c>
      <c r="E2518" s="97">
        <v>20</v>
      </c>
      <c r="F2518" s="366">
        <f t="shared" si="295"/>
        <v>434</v>
      </c>
      <c r="G2518" s="97">
        <v>1129</v>
      </c>
      <c r="H2518" s="367">
        <f t="shared" si="326"/>
        <v>1563</v>
      </c>
      <c r="I2518" s="368">
        <f t="shared" si="327"/>
        <v>0</v>
      </c>
      <c r="J2518" s="97">
        <v>4239</v>
      </c>
      <c r="K2518" s="367">
        <f t="shared" si="331"/>
        <v>3027.8571428571431</v>
      </c>
      <c r="L2518" s="606">
        <v>0.18000000000000002</v>
      </c>
      <c r="M2518" s="97">
        <v>9.4</v>
      </c>
      <c r="N2518" s="605">
        <v>15</v>
      </c>
      <c r="O2518" s="97">
        <v>4</v>
      </c>
      <c r="P2518" s="97" t="s">
        <v>512</v>
      </c>
      <c r="Q2518" s="97" t="str">
        <f t="shared" si="328"/>
        <v/>
      </c>
      <c r="R2518" t="str">
        <f t="shared" si="329"/>
        <v/>
      </c>
    </row>
    <row r="2519" spans="2:18">
      <c r="C2519" t="str">
        <f t="shared" si="330"/>
        <v/>
      </c>
      <c r="D2519" s="36">
        <v>8</v>
      </c>
      <c r="E2519" s="97">
        <v>25</v>
      </c>
      <c r="F2519" s="366">
        <f t="shared" si="295"/>
        <v>542.5</v>
      </c>
      <c r="G2519" s="97">
        <v>1116</v>
      </c>
      <c r="H2519" s="367">
        <f t="shared" si="326"/>
        <v>1658.5</v>
      </c>
      <c r="I2519" s="368">
        <f t="shared" si="327"/>
        <v>0</v>
      </c>
      <c r="J2519" s="97">
        <v>4188</v>
      </c>
      <c r="K2519" s="367">
        <f t="shared" si="331"/>
        <v>2991.4285714285716</v>
      </c>
      <c r="L2519" s="606">
        <v>0.35000000000000003</v>
      </c>
      <c r="M2519" s="97">
        <v>7</v>
      </c>
      <c r="N2519" s="605">
        <v>16</v>
      </c>
      <c r="O2519" s="97">
        <v>2</v>
      </c>
      <c r="P2519" s="97" t="s">
        <v>513</v>
      </c>
      <c r="Q2519" s="97" t="str">
        <f t="shared" si="328"/>
        <v/>
      </c>
      <c r="R2519" t="str">
        <f t="shared" si="329"/>
        <v/>
      </c>
    </row>
    <row r="2520" spans="2:18">
      <c r="C2520" t="str">
        <f t="shared" si="330"/>
        <v/>
      </c>
      <c r="D2520" s="36">
        <v>9</v>
      </c>
      <c r="E2520" s="97">
        <v>25</v>
      </c>
      <c r="F2520" s="366">
        <f t="shared" si="295"/>
        <v>542.5</v>
      </c>
      <c r="G2520" s="97">
        <v>1294</v>
      </c>
      <c r="H2520" s="367">
        <f t="shared" si="326"/>
        <v>1836.5</v>
      </c>
      <c r="I2520" s="368">
        <f t="shared" si="327"/>
        <v>0</v>
      </c>
      <c r="J2520" s="97">
        <v>4855</v>
      </c>
      <c r="K2520" s="367">
        <f t="shared" si="331"/>
        <v>3467.8571428571431</v>
      </c>
      <c r="L2520" s="606">
        <v>0.69000000000000006</v>
      </c>
      <c r="M2520" s="97">
        <v>7</v>
      </c>
      <c r="N2520" s="605">
        <v>17</v>
      </c>
      <c r="O2520" s="97">
        <v>2</v>
      </c>
      <c r="P2520" s="97" t="s">
        <v>512</v>
      </c>
      <c r="Q2520" s="97" t="str">
        <f t="shared" si="328"/>
        <v/>
      </c>
      <c r="R2520" t="str">
        <f t="shared" si="329"/>
        <v/>
      </c>
    </row>
    <row r="2521" spans="2:18">
      <c r="C2521" t="str">
        <f t="shared" si="330"/>
        <v/>
      </c>
      <c r="D2521" s="36">
        <v>10</v>
      </c>
      <c r="E2521" s="97">
        <v>25</v>
      </c>
      <c r="F2521" s="366">
        <f t="shared" si="295"/>
        <v>542.5</v>
      </c>
      <c r="G2521" s="97">
        <v>1113</v>
      </c>
      <c r="H2521" s="367">
        <f t="shared" si="326"/>
        <v>1655.5</v>
      </c>
      <c r="I2521" s="368">
        <f t="shared" si="327"/>
        <v>0</v>
      </c>
      <c r="J2521" s="97">
        <v>4177</v>
      </c>
      <c r="K2521" s="367">
        <f t="shared" si="331"/>
        <v>2983.5714285714284</v>
      </c>
      <c r="L2521" s="606">
        <v>0.14000000000000001</v>
      </c>
      <c r="M2521" s="97">
        <v>9.4</v>
      </c>
      <c r="N2521" s="605">
        <v>15</v>
      </c>
      <c r="O2521" s="97">
        <v>4</v>
      </c>
      <c r="P2521" s="97" t="s">
        <v>513</v>
      </c>
      <c r="Q2521" s="97" t="str">
        <f t="shared" si="328"/>
        <v/>
      </c>
      <c r="R2521" t="str">
        <f t="shared" si="329"/>
        <v/>
      </c>
    </row>
    <row r="2522" spans="2:18">
      <c r="C2522" t="str">
        <f t="shared" si="330"/>
        <v/>
      </c>
      <c r="D2522" s="36">
        <v>11</v>
      </c>
      <c r="E2522" s="97">
        <v>25</v>
      </c>
      <c r="F2522" s="366">
        <f t="shared" si="295"/>
        <v>542.5</v>
      </c>
      <c r="G2522" s="97">
        <v>1434</v>
      </c>
      <c r="H2522" s="367">
        <f t="shared" si="326"/>
        <v>1976.5</v>
      </c>
      <c r="I2522" s="368">
        <f t="shared" si="327"/>
        <v>0</v>
      </c>
      <c r="J2522" s="97">
        <v>5383</v>
      </c>
      <c r="K2522" s="367">
        <f t="shared" si="331"/>
        <v>3845</v>
      </c>
      <c r="L2522" s="606">
        <v>0.29000000000000004</v>
      </c>
      <c r="M2522" s="97">
        <v>9.4</v>
      </c>
      <c r="N2522" s="605">
        <v>15</v>
      </c>
      <c r="O2522" s="97">
        <v>4</v>
      </c>
      <c r="P2522" s="97" t="s">
        <v>512</v>
      </c>
      <c r="Q2522" s="97" t="str">
        <f t="shared" si="328"/>
        <v/>
      </c>
      <c r="R2522" t="str">
        <f t="shared" si="329"/>
        <v/>
      </c>
    </row>
    <row r="2523" spans="2:18">
      <c r="C2523" t="str">
        <f t="shared" si="330"/>
        <v/>
      </c>
      <c r="D2523" s="36">
        <v>12</v>
      </c>
      <c r="E2523" s="97">
        <v>30</v>
      </c>
      <c r="F2523" s="366">
        <f t="shared" si="295"/>
        <v>651</v>
      </c>
      <c r="G2523" s="97">
        <v>1065</v>
      </c>
      <c r="H2523" s="367">
        <f t="shared" si="326"/>
        <v>1716</v>
      </c>
      <c r="I2523" s="368">
        <f t="shared" si="327"/>
        <v>0</v>
      </c>
      <c r="J2523" s="97">
        <v>3996</v>
      </c>
      <c r="K2523" s="367">
        <f t="shared" si="331"/>
        <v>2854.2857142857142</v>
      </c>
      <c r="L2523" s="606">
        <v>0.2</v>
      </c>
      <c r="M2523" s="97">
        <v>7</v>
      </c>
      <c r="N2523" s="605">
        <v>20</v>
      </c>
      <c r="O2523" s="97">
        <v>2</v>
      </c>
      <c r="P2523" s="97" t="s">
        <v>514</v>
      </c>
      <c r="Q2523" s="97" t="str">
        <f t="shared" si="328"/>
        <v/>
      </c>
      <c r="R2523" t="str">
        <f t="shared" si="329"/>
        <v/>
      </c>
    </row>
    <row r="2524" spans="2:18">
      <c r="C2524" t="str">
        <f t="shared" si="330"/>
        <v/>
      </c>
      <c r="D2524" s="36">
        <v>13</v>
      </c>
      <c r="E2524" s="97">
        <v>30</v>
      </c>
      <c r="F2524" s="366">
        <f t="shared" si="295"/>
        <v>651</v>
      </c>
      <c r="G2524" s="97">
        <v>1260</v>
      </c>
      <c r="H2524" s="367">
        <f t="shared" si="326"/>
        <v>1911</v>
      </c>
      <c r="I2524" s="368">
        <f t="shared" si="327"/>
        <v>0</v>
      </c>
      <c r="J2524" s="97">
        <v>4729</v>
      </c>
      <c r="K2524" s="367">
        <f t="shared" si="331"/>
        <v>3377.8571428571431</v>
      </c>
      <c r="L2524" s="606">
        <v>0.51</v>
      </c>
      <c r="M2524" s="97">
        <v>7</v>
      </c>
      <c r="N2524" s="605">
        <v>19</v>
      </c>
      <c r="O2524" s="97">
        <v>2</v>
      </c>
      <c r="P2524" s="97" t="s">
        <v>513</v>
      </c>
      <c r="Q2524" s="97" t="str">
        <f t="shared" si="328"/>
        <v/>
      </c>
      <c r="R2524" t="str">
        <f t="shared" si="329"/>
        <v/>
      </c>
    </row>
    <row r="2525" spans="2:18">
      <c r="C2525" t="str">
        <f t="shared" si="330"/>
        <v/>
      </c>
      <c r="D2525" s="36">
        <v>14</v>
      </c>
      <c r="E2525" s="97">
        <v>30</v>
      </c>
      <c r="F2525" s="366">
        <f t="shared" si="295"/>
        <v>651</v>
      </c>
      <c r="G2525" s="97">
        <v>1352</v>
      </c>
      <c r="H2525" s="367">
        <f t="shared" si="326"/>
        <v>2003</v>
      </c>
      <c r="I2525" s="368">
        <f t="shared" si="327"/>
        <v>0</v>
      </c>
      <c r="J2525" s="97">
        <v>5074</v>
      </c>
      <c r="K2525" s="367">
        <f t="shared" si="331"/>
        <v>3624.2857142857142</v>
      </c>
      <c r="L2525" s="606">
        <v>0.21000000000000002</v>
      </c>
      <c r="M2525" s="97">
        <v>9.4</v>
      </c>
      <c r="N2525" s="605">
        <v>16</v>
      </c>
      <c r="O2525" s="97">
        <v>4</v>
      </c>
      <c r="P2525" s="97" t="s">
        <v>513</v>
      </c>
      <c r="Q2525" s="97" t="str">
        <f t="shared" si="328"/>
        <v/>
      </c>
      <c r="R2525" t="str">
        <f t="shared" si="329"/>
        <v/>
      </c>
    </row>
    <row r="2526" spans="2:18">
      <c r="C2526" t="str">
        <f t="shared" si="330"/>
        <v/>
      </c>
      <c r="D2526" s="36">
        <v>15</v>
      </c>
      <c r="E2526" s="97">
        <v>30</v>
      </c>
      <c r="F2526" s="366">
        <f t="shared" si="295"/>
        <v>651</v>
      </c>
      <c r="G2526" s="97">
        <v>1699</v>
      </c>
      <c r="H2526" s="367">
        <f t="shared" si="326"/>
        <v>2350</v>
      </c>
      <c r="I2526" s="368">
        <f t="shared" si="327"/>
        <v>0</v>
      </c>
      <c r="J2526" s="97">
        <v>6376</v>
      </c>
      <c r="K2526" s="367">
        <f t="shared" si="331"/>
        <v>4554.2857142857147</v>
      </c>
      <c r="L2526" s="606">
        <v>0.41000000000000003</v>
      </c>
      <c r="M2526" s="97">
        <v>9.4</v>
      </c>
      <c r="N2526" s="605">
        <v>17</v>
      </c>
      <c r="O2526" s="97">
        <v>4</v>
      </c>
      <c r="P2526" s="97" t="s">
        <v>512</v>
      </c>
      <c r="Q2526" s="97" t="str">
        <f t="shared" si="328"/>
        <v/>
      </c>
      <c r="R2526" t="str">
        <f t="shared" si="329"/>
        <v/>
      </c>
    </row>
    <row r="2527" spans="2:18">
      <c r="C2527" t="str">
        <f t="shared" si="330"/>
        <v/>
      </c>
      <c r="D2527" s="36">
        <v>16</v>
      </c>
      <c r="E2527" s="97">
        <v>35</v>
      </c>
      <c r="F2527" s="366">
        <f t="shared" si="295"/>
        <v>759.5</v>
      </c>
      <c r="G2527" s="97">
        <v>1263</v>
      </c>
      <c r="H2527" s="367">
        <f t="shared" si="326"/>
        <v>2022.5</v>
      </c>
      <c r="I2527" s="368">
        <f t="shared" si="327"/>
        <v>0</v>
      </c>
      <c r="J2527" s="97">
        <v>4741</v>
      </c>
      <c r="K2527" s="367">
        <f t="shared" si="331"/>
        <v>3386.4285714285716</v>
      </c>
      <c r="L2527" s="606">
        <v>0.27</v>
      </c>
      <c r="M2527" s="97">
        <v>7</v>
      </c>
      <c r="N2527" s="605">
        <v>22</v>
      </c>
      <c r="O2527" s="97">
        <v>2</v>
      </c>
      <c r="P2527" s="97" t="s">
        <v>514</v>
      </c>
      <c r="Q2527" s="97" t="str">
        <f t="shared" si="328"/>
        <v/>
      </c>
      <c r="R2527" t="str">
        <f t="shared" si="329"/>
        <v/>
      </c>
    </row>
    <row r="2528" spans="2:18">
      <c r="C2528" t="str">
        <f t="shared" si="330"/>
        <v/>
      </c>
      <c r="D2528" s="36">
        <v>17</v>
      </c>
      <c r="E2528" s="97">
        <v>35</v>
      </c>
      <c r="F2528" s="366">
        <f t="shared" si="295"/>
        <v>759.5</v>
      </c>
      <c r="G2528" s="97">
        <v>1347</v>
      </c>
      <c r="H2528" s="367">
        <f t="shared" si="326"/>
        <v>2106.5</v>
      </c>
      <c r="I2528" s="368">
        <f t="shared" si="327"/>
        <v>0</v>
      </c>
      <c r="J2528" s="97">
        <v>5055</v>
      </c>
      <c r="K2528" s="367">
        <f t="shared" si="331"/>
        <v>3610.7142857142858</v>
      </c>
      <c r="L2528" s="606">
        <v>0.69000000000000006</v>
      </c>
      <c r="M2528" s="97">
        <v>7</v>
      </c>
      <c r="N2528" s="605">
        <v>21</v>
      </c>
      <c r="O2528" s="97">
        <v>2</v>
      </c>
      <c r="P2528" s="97" t="s">
        <v>513</v>
      </c>
      <c r="Q2528" s="97" t="str">
        <f t="shared" si="328"/>
        <v/>
      </c>
      <c r="R2528" t="str">
        <f t="shared" si="329"/>
        <v/>
      </c>
    </row>
    <row r="2529" spans="3:18">
      <c r="C2529" t="str">
        <f t="shared" si="330"/>
        <v/>
      </c>
      <c r="D2529" s="36">
        <v>18</v>
      </c>
      <c r="E2529" s="97">
        <v>35</v>
      </c>
      <c r="F2529" s="366">
        <f t="shared" si="295"/>
        <v>759.5</v>
      </c>
      <c r="G2529" s="97">
        <v>1593</v>
      </c>
      <c r="H2529" s="367">
        <f t="shared" si="326"/>
        <v>2352.5</v>
      </c>
      <c r="I2529" s="368">
        <f t="shared" si="327"/>
        <v>0</v>
      </c>
      <c r="J2529" s="97">
        <v>5978</v>
      </c>
      <c r="K2529" s="367">
        <f t="shared" si="331"/>
        <v>4270</v>
      </c>
      <c r="L2529" s="606">
        <v>0.28000000000000003</v>
      </c>
      <c r="M2529" s="97">
        <v>9.4</v>
      </c>
      <c r="N2529" s="605">
        <v>18</v>
      </c>
      <c r="O2529" s="97">
        <v>4</v>
      </c>
      <c r="P2529" s="97" t="s">
        <v>513</v>
      </c>
      <c r="Q2529" s="97" t="str">
        <f t="shared" si="328"/>
        <v/>
      </c>
      <c r="R2529" t="str">
        <f t="shared" si="329"/>
        <v/>
      </c>
    </row>
    <row r="2530" spans="3:18">
      <c r="C2530" t="str">
        <f t="shared" si="330"/>
        <v/>
      </c>
      <c r="D2530" s="36">
        <v>19</v>
      </c>
      <c r="E2530" s="97">
        <v>35</v>
      </c>
      <c r="F2530" s="366">
        <f t="shared" si="295"/>
        <v>759.5</v>
      </c>
      <c r="G2530" s="97">
        <v>1899</v>
      </c>
      <c r="H2530" s="367">
        <f t="shared" si="326"/>
        <v>2658.5</v>
      </c>
      <c r="I2530" s="368">
        <f t="shared" si="327"/>
        <v>0</v>
      </c>
      <c r="J2530" s="97">
        <v>7125</v>
      </c>
      <c r="K2530" s="367">
        <f t="shared" si="331"/>
        <v>5089.2857142857147</v>
      </c>
      <c r="L2530" s="606">
        <v>0.56000000000000005</v>
      </c>
      <c r="M2530" s="97">
        <v>9.4</v>
      </c>
      <c r="N2530" s="605">
        <v>19</v>
      </c>
      <c r="O2530" s="97">
        <v>4</v>
      </c>
      <c r="P2530" s="97" t="s">
        <v>512</v>
      </c>
      <c r="Q2530" s="97" t="str">
        <f t="shared" si="328"/>
        <v/>
      </c>
      <c r="R2530" t="str">
        <f t="shared" si="329"/>
        <v/>
      </c>
    </row>
    <row r="2531" spans="3:18">
      <c r="C2531" t="str">
        <f t="shared" si="330"/>
        <v/>
      </c>
      <c r="D2531" s="36">
        <v>20</v>
      </c>
      <c r="E2531" s="97">
        <v>40</v>
      </c>
      <c r="F2531" s="366">
        <f t="shared" si="295"/>
        <v>868</v>
      </c>
      <c r="G2531" s="97">
        <v>1395</v>
      </c>
      <c r="H2531" s="367">
        <f t="shared" si="326"/>
        <v>2263</v>
      </c>
      <c r="I2531" s="368">
        <f t="shared" si="327"/>
        <v>0</v>
      </c>
      <c r="J2531" s="97">
        <v>5237</v>
      </c>
      <c r="K2531" s="367">
        <f t="shared" si="331"/>
        <v>3740.7142857142858</v>
      </c>
      <c r="L2531" s="606">
        <v>0.35000000000000003</v>
      </c>
      <c r="M2531" s="97">
        <v>7</v>
      </c>
      <c r="N2531" s="605">
        <v>23</v>
      </c>
      <c r="O2531" s="97">
        <v>2</v>
      </c>
      <c r="P2531" s="97" t="s">
        <v>514</v>
      </c>
      <c r="Q2531" s="97" t="str">
        <f t="shared" si="328"/>
        <v/>
      </c>
      <c r="R2531" t="str">
        <f t="shared" si="329"/>
        <v/>
      </c>
    </row>
    <row r="2532" spans="3:18">
      <c r="C2532" t="str">
        <f t="shared" si="330"/>
        <v/>
      </c>
      <c r="D2532" s="36">
        <v>21</v>
      </c>
      <c r="E2532" s="97">
        <v>40</v>
      </c>
      <c r="F2532" s="366">
        <f t="shared" si="295"/>
        <v>868</v>
      </c>
      <c r="G2532" s="97">
        <v>1462</v>
      </c>
      <c r="H2532" s="367">
        <f t="shared" si="326"/>
        <v>2330</v>
      </c>
      <c r="I2532" s="368">
        <f t="shared" si="327"/>
        <v>0</v>
      </c>
      <c r="J2532" s="97">
        <v>5487</v>
      </c>
      <c r="K2532" s="367">
        <f t="shared" si="331"/>
        <v>3919.2857142857142</v>
      </c>
      <c r="L2532" s="606">
        <v>0.9</v>
      </c>
      <c r="M2532" s="97">
        <v>7</v>
      </c>
      <c r="N2532" s="605">
        <v>22</v>
      </c>
      <c r="O2532" s="97">
        <v>2</v>
      </c>
      <c r="P2532" s="97" t="s">
        <v>513</v>
      </c>
      <c r="Q2532" s="97" t="str">
        <f t="shared" si="328"/>
        <v/>
      </c>
      <c r="R2532" t="str">
        <f t="shared" si="329"/>
        <v/>
      </c>
    </row>
    <row r="2533" spans="3:18">
      <c r="C2533" t="str">
        <f t="shared" si="330"/>
        <v/>
      </c>
      <c r="D2533" s="36">
        <v>22</v>
      </c>
      <c r="E2533" s="97">
        <v>40</v>
      </c>
      <c r="F2533" s="366">
        <f t="shared" si="295"/>
        <v>868</v>
      </c>
      <c r="G2533" s="97">
        <v>1755</v>
      </c>
      <c r="H2533" s="367">
        <f t="shared" si="326"/>
        <v>2623</v>
      </c>
      <c r="I2533" s="368">
        <f t="shared" si="327"/>
        <v>0</v>
      </c>
      <c r="J2533" s="97">
        <v>6586</v>
      </c>
      <c r="K2533" s="367">
        <f t="shared" si="331"/>
        <v>4704.2857142857147</v>
      </c>
      <c r="L2533" s="606">
        <v>0.36</v>
      </c>
      <c r="M2533" s="97">
        <v>9.4</v>
      </c>
      <c r="N2533" s="605">
        <v>19</v>
      </c>
      <c r="O2533" s="97">
        <v>4</v>
      </c>
      <c r="P2533" s="97" t="s">
        <v>513</v>
      </c>
      <c r="Q2533" s="97" t="str">
        <f t="shared" si="328"/>
        <v/>
      </c>
      <c r="R2533" t="str">
        <f t="shared" si="329"/>
        <v/>
      </c>
    </row>
    <row r="2534" spans="3:18">
      <c r="C2534" t="str">
        <f t="shared" si="330"/>
        <v/>
      </c>
      <c r="D2534" s="36">
        <v>23</v>
      </c>
      <c r="E2534" s="97">
        <v>40</v>
      </c>
      <c r="F2534" s="366">
        <f t="shared" si="295"/>
        <v>868</v>
      </c>
      <c r="G2534" s="97">
        <v>2075</v>
      </c>
      <c r="H2534" s="367">
        <f t="shared" si="326"/>
        <v>2943</v>
      </c>
      <c r="I2534" s="368">
        <f t="shared" si="327"/>
        <v>0</v>
      </c>
      <c r="J2534" s="97">
        <v>7785</v>
      </c>
      <c r="K2534" s="367">
        <f t="shared" si="331"/>
        <v>5560.7142857142862</v>
      </c>
      <c r="L2534" s="606">
        <v>0.72</v>
      </c>
      <c r="M2534" s="97">
        <v>9.4</v>
      </c>
      <c r="N2534" s="605">
        <v>21</v>
      </c>
      <c r="O2534" s="97">
        <v>4</v>
      </c>
      <c r="P2534" s="97" t="s">
        <v>512</v>
      </c>
      <c r="Q2534" s="97" t="str">
        <f t="shared" si="328"/>
        <v/>
      </c>
      <c r="R2534" t="str">
        <f t="shared" si="329"/>
        <v/>
      </c>
    </row>
    <row r="2535" spans="3:18">
      <c r="C2535" t="str">
        <f t="shared" si="330"/>
        <v/>
      </c>
      <c r="D2535" s="36">
        <v>24</v>
      </c>
      <c r="E2535" s="97">
        <v>45</v>
      </c>
      <c r="F2535" s="366">
        <f t="shared" si="295"/>
        <v>976.5</v>
      </c>
      <c r="G2535" s="97">
        <v>1463</v>
      </c>
      <c r="H2535" s="367">
        <f t="shared" si="326"/>
        <v>2439.5</v>
      </c>
      <c r="I2535" s="368">
        <f t="shared" si="327"/>
        <v>0</v>
      </c>
      <c r="J2535" s="97">
        <v>5490</v>
      </c>
      <c r="K2535" s="367">
        <f t="shared" si="331"/>
        <v>3921.4285714285716</v>
      </c>
      <c r="L2535" s="606">
        <v>0.44</v>
      </c>
      <c r="M2535" s="97">
        <v>7</v>
      </c>
      <c r="N2535" s="605">
        <v>25</v>
      </c>
      <c r="O2535" s="97">
        <v>2</v>
      </c>
      <c r="P2535" s="97" t="s">
        <v>514</v>
      </c>
      <c r="Q2535" s="97" t="str">
        <f t="shared" si="328"/>
        <v/>
      </c>
      <c r="R2535" t="str">
        <f t="shared" si="329"/>
        <v/>
      </c>
    </row>
    <row r="2536" spans="3:18">
      <c r="C2536" t="str">
        <f t="shared" si="330"/>
        <v/>
      </c>
      <c r="D2536" s="36">
        <v>25</v>
      </c>
      <c r="E2536" s="97">
        <v>45</v>
      </c>
      <c r="F2536" s="366">
        <f t="shared" si="295"/>
        <v>976.5</v>
      </c>
      <c r="G2536" s="97">
        <v>1648</v>
      </c>
      <c r="H2536" s="367">
        <f t="shared" si="326"/>
        <v>2624.5</v>
      </c>
      <c r="I2536" s="368">
        <f t="shared" si="327"/>
        <v>0</v>
      </c>
      <c r="J2536" s="97">
        <v>6183</v>
      </c>
      <c r="K2536" s="367">
        <f t="shared" si="331"/>
        <v>4416.4285714285716</v>
      </c>
      <c r="L2536" s="606">
        <v>0.18000000000000002</v>
      </c>
      <c r="M2536" s="97">
        <v>9.4</v>
      </c>
      <c r="N2536" s="605">
        <v>23</v>
      </c>
      <c r="O2536" s="97">
        <v>4</v>
      </c>
      <c r="P2536" s="97" t="s">
        <v>514</v>
      </c>
      <c r="Q2536" s="97" t="str">
        <f t="shared" si="328"/>
        <v/>
      </c>
      <c r="R2536" t="str">
        <f t="shared" si="329"/>
        <v/>
      </c>
    </row>
    <row r="2537" spans="3:18">
      <c r="C2537" t="str">
        <f t="shared" si="330"/>
        <v/>
      </c>
      <c r="D2537" s="36">
        <v>26</v>
      </c>
      <c r="E2537" s="97">
        <v>45</v>
      </c>
      <c r="F2537" s="366">
        <f t="shared" si="295"/>
        <v>976.5</v>
      </c>
      <c r="G2537" s="97">
        <v>1912</v>
      </c>
      <c r="H2537" s="367">
        <f t="shared" si="326"/>
        <v>2888.5</v>
      </c>
      <c r="I2537" s="368">
        <f t="shared" si="327"/>
        <v>0</v>
      </c>
      <c r="J2537" s="97">
        <v>7176</v>
      </c>
      <c r="K2537" s="367">
        <f t="shared" si="331"/>
        <v>5125.7142857142862</v>
      </c>
      <c r="L2537" s="606">
        <v>0.46</v>
      </c>
      <c r="M2537" s="97">
        <v>9.4</v>
      </c>
      <c r="N2537" s="605">
        <v>21</v>
      </c>
      <c r="O2537" s="97">
        <v>4</v>
      </c>
      <c r="P2537" s="97" t="s">
        <v>513</v>
      </c>
      <c r="Q2537" s="97" t="str">
        <f t="shared" si="328"/>
        <v/>
      </c>
      <c r="R2537" t="str">
        <f t="shared" si="329"/>
        <v/>
      </c>
    </row>
    <row r="2538" spans="3:18">
      <c r="C2538" t="str">
        <f t="shared" si="330"/>
        <v/>
      </c>
      <c r="D2538" s="36">
        <v>27</v>
      </c>
      <c r="E2538" s="97">
        <v>50</v>
      </c>
      <c r="F2538" s="366">
        <f t="shared" si="295"/>
        <v>1085</v>
      </c>
      <c r="G2538" s="97">
        <v>1336</v>
      </c>
      <c r="H2538" s="367">
        <f t="shared" si="326"/>
        <v>2421</v>
      </c>
      <c r="I2538" s="368">
        <f t="shared" si="327"/>
        <v>0</v>
      </c>
      <c r="J2538" s="97">
        <v>5015</v>
      </c>
      <c r="K2538" s="367">
        <f t="shared" si="331"/>
        <v>3582.1428571428573</v>
      </c>
      <c r="L2538" s="606">
        <v>0.14000000000000001</v>
      </c>
      <c r="M2538" s="97">
        <v>7</v>
      </c>
      <c r="N2538" s="605">
        <v>16</v>
      </c>
      <c r="O2538" s="97">
        <v>2</v>
      </c>
      <c r="P2538" s="97" t="s">
        <v>515</v>
      </c>
      <c r="Q2538" s="97" t="str">
        <f t="shared" si="328"/>
        <v/>
      </c>
      <c r="R2538" t="str">
        <f t="shared" si="329"/>
        <v/>
      </c>
    </row>
    <row r="2539" spans="3:18">
      <c r="C2539" t="str">
        <f t="shared" si="330"/>
        <v/>
      </c>
      <c r="D2539" s="36">
        <v>28</v>
      </c>
      <c r="E2539" s="97">
        <v>50</v>
      </c>
      <c r="F2539" s="366">
        <f t="shared" si="295"/>
        <v>1085</v>
      </c>
      <c r="G2539" s="97">
        <v>1544</v>
      </c>
      <c r="H2539" s="367">
        <f t="shared" si="326"/>
        <v>2629</v>
      </c>
      <c r="I2539" s="368">
        <f t="shared" si="327"/>
        <v>0</v>
      </c>
      <c r="J2539" s="97">
        <v>5796</v>
      </c>
      <c r="K2539" s="367">
        <f t="shared" si="331"/>
        <v>4140</v>
      </c>
      <c r="L2539" s="606">
        <v>0.54</v>
      </c>
      <c r="M2539" s="97">
        <v>7</v>
      </c>
      <c r="N2539" s="605">
        <v>26</v>
      </c>
      <c r="O2539" s="97">
        <v>2</v>
      </c>
      <c r="P2539" s="97" t="s">
        <v>514</v>
      </c>
      <c r="Q2539" s="97" t="str">
        <f t="shared" si="328"/>
        <v/>
      </c>
      <c r="R2539" t="str">
        <f t="shared" si="329"/>
        <v/>
      </c>
    </row>
    <row r="2540" spans="3:18">
      <c r="C2540" t="str">
        <f t="shared" si="330"/>
        <v/>
      </c>
      <c r="D2540" s="36">
        <v>29</v>
      </c>
      <c r="E2540" s="97">
        <v>50</v>
      </c>
      <c r="F2540" s="366">
        <f t="shared" si="295"/>
        <v>1085</v>
      </c>
      <c r="G2540" s="97">
        <v>1834</v>
      </c>
      <c r="H2540" s="367">
        <f t="shared" si="326"/>
        <v>2919</v>
      </c>
      <c r="I2540" s="368">
        <f t="shared" si="327"/>
        <v>0</v>
      </c>
      <c r="J2540" s="97">
        <v>6884</v>
      </c>
      <c r="K2540" s="367">
        <f t="shared" si="331"/>
        <v>4917.1428571428569</v>
      </c>
      <c r="L2540" s="606">
        <v>0.22</v>
      </c>
      <c r="M2540" s="97">
        <v>9.4</v>
      </c>
      <c r="N2540" s="605">
        <v>24</v>
      </c>
      <c r="O2540" s="97">
        <v>4</v>
      </c>
      <c r="P2540" s="97" t="s">
        <v>514</v>
      </c>
      <c r="Q2540" s="97" t="str">
        <f t="shared" si="328"/>
        <v/>
      </c>
      <c r="R2540" t="str">
        <f t="shared" si="329"/>
        <v/>
      </c>
    </row>
    <row r="2541" spans="3:18">
      <c r="C2541" t="str">
        <f t="shared" si="330"/>
        <v/>
      </c>
      <c r="D2541" s="36">
        <v>30</v>
      </c>
      <c r="E2541" s="97">
        <v>50</v>
      </c>
      <c r="F2541" s="366">
        <f t="shared" si="295"/>
        <v>1085</v>
      </c>
      <c r="G2541" s="97">
        <v>2048</v>
      </c>
      <c r="H2541" s="367">
        <f t="shared" si="326"/>
        <v>3133</v>
      </c>
      <c r="I2541" s="368">
        <f t="shared" si="327"/>
        <v>0</v>
      </c>
      <c r="J2541" s="97">
        <v>7683</v>
      </c>
      <c r="K2541" s="367">
        <f t="shared" si="331"/>
        <v>5487.8571428571431</v>
      </c>
      <c r="L2541" s="606">
        <v>0.56000000000000005</v>
      </c>
      <c r="M2541" s="97">
        <v>9.4</v>
      </c>
      <c r="N2541" s="605">
        <v>22</v>
      </c>
      <c r="O2541" s="97">
        <v>4</v>
      </c>
      <c r="P2541" s="97" t="s">
        <v>513</v>
      </c>
      <c r="Q2541" s="97">
        <f t="shared" si="328"/>
        <v>30</v>
      </c>
      <c r="R2541" t="str">
        <f t="shared" si="329"/>
        <v/>
      </c>
    </row>
    <row r="2542" spans="3:18">
      <c r="C2542" t="str">
        <f t="shared" si="330"/>
        <v/>
      </c>
      <c r="D2542" s="36">
        <v>31</v>
      </c>
      <c r="E2542" s="97">
        <v>55</v>
      </c>
      <c r="F2542" s="366">
        <f t="shared" si="295"/>
        <v>1193.5</v>
      </c>
      <c r="G2542" s="97">
        <v>1424</v>
      </c>
      <c r="H2542" s="367">
        <f t="shared" si="326"/>
        <v>2617.5</v>
      </c>
      <c r="I2542" s="368">
        <f t="shared" si="327"/>
        <v>0</v>
      </c>
      <c r="J2542" s="97">
        <v>5344</v>
      </c>
      <c r="K2542" s="367">
        <f t="shared" si="331"/>
        <v>3817.1428571428573</v>
      </c>
      <c r="L2542" s="606">
        <v>0.17</v>
      </c>
      <c r="M2542" s="97">
        <v>7</v>
      </c>
      <c r="N2542" s="605">
        <v>17</v>
      </c>
      <c r="O2542" s="97">
        <v>2</v>
      </c>
      <c r="P2542" s="97" t="s">
        <v>515</v>
      </c>
      <c r="Q2542" s="97" t="str">
        <f t="shared" si="328"/>
        <v/>
      </c>
      <c r="R2542" t="str">
        <f t="shared" si="329"/>
        <v/>
      </c>
    </row>
    <row r="2543" spans="3:18">
      <c r="C2543" t="str">
        <f t="shared" si="330"/>
        <v/>
      </c>
      <c r="D2543" s="36">
        <v>32</v>
      </c>
      <c r="E2543" s="97">
        <v>55</v>
      </c>
      <c r="F2543" s="366">
        <f t="shared" si="295"/>
        <v>1193.5</v>
      </c>
      <c r="G2543" s="97">
        <v>1637</v>
      </c>
      <c r="H2543" s="367">
        <f t="shared" si="326"/>
        <v>2830.5</v>
      </c>
      <c r="I2543" s="368">
        <f t="shared" si="327"/>
        <v>0</v>
      </c>
      <c r="J2543" s="97">
        <v>6145</v>
      </c>
      <c r="K2543" s="367">
        <f t="shared" si="331"/>
        <v>4389.2857142857147</v>
      </c>
      <c r="L2543" s="606">
        <v>0.65</v>
      </c>
      <c r="M2543" s="97">
        <v>7</v>
      </c>
      <c r="N2543" s="605">
        <v>28</v>
      </c>
      <c r="O2543" s="97">
        <v>2</v>
      </c>
      <c r="P2543" s="97" t="s">
        <v>514</v>
      </c>
      <c r="Q2543" s="97" t="str">
        <f t="shared" si="328"/>
        <v/>
      </c>
      <c r="R2543" t="str">
        <f t="shared" si="329"/>
        <v/>
      </c>
    </row>
    <row r="2544" spans="3:18">
      <c r="C2544" t="str">
        <f t="shared" si="330"/>
        <v/>
      </c>
      <c r="D2544" s="36">
        <v>33</v>
      </c>
      <c r="E2544" s="97">
        <v>55</v>
      </c>
      <c r="F2544" s="366">
        <f t="shared" si="295"/>
        <v>1193.5</v>
      </c>
      <c r="G2544" s="97">
        <v>1962</v>
      </c>
      <c r="H2544" s="367">
        <f t="shared" si="326"/>
        <v>3155.5</v>
      </c>
      <c r="I2544" s="368">
        <f t="shared" si="327"/>
        <v>0</v>
      </c>
      <c r="J2544" s="97">
        <v>7361</v>
      </c>
      <c r="K2544" s="367">
        <f t="shared" si="331"/>
        <v>5257.8571428571431</v>
      </c>
      <c r="L2544" s="606">
        <v>0.27</v>
      </c>
      <c r="M2544" s="97">
        <v>9.4</v>
      </c>
      <c r="N2544" s="605">
        <v>25</v>
      </c>
      <c r="O2544" s="97">
        <v>4</v>
      </c>
      <c r="P2544" s="97" t="s">
        <v>514</v>
      </c>
      <c r="Q2544" s="97">
        <f t="shared" si="328"/>
        <v>33</v>
      </c>
      <c r="R2544" t="str">
        <f t="shared" si="329"/>
        <v/>
      </c>
    </row>
    <row r="2545" spans="3:18">
      <c r="C2545" t="str">
        <f t="shared" si="330"/>
        <v/>
      </c>
      <c r="D2545" s="36">
        <v>34</v>
      </c>
      <c r="E2545" s="97">
        <v>55</v>
      </c>
      <c r="F2545" s="366">
        <f t="shared" si="295"/>
        <v>1193.5</v>
      </c>
      <c r="G2545" s="97">
        <v>2181</v>
      </c>
      <c r="H2545" s="367">
        <f t="shared" si="326"/>
        <v>3374.5</v>
      </c>
      <c r="I2545" s="368">
        <f t="shared" si="327"/>
        <v>0</v>
      </c>
      <c r="J2545" s="97">
        <v>8184</v>
      </c>
      <c r="K2545" s="367">
        <f t="shared" si="331"/>
        <v>5845.7142857142862</v>
      </c>
      <c r="L2545" s="606">
        <v>0.68</v>
      </c>
      <c r="M2545" s="97">
        <v>9.4</v>
      </c>
      <c r="N2545" s="605">
        <v>24</v>
      </c>
      <c r="O2545" s="97">
        <v>4</v>
      </c>
      <c r="P2545" s="97" t="s">
        <v>513</v>
      </c>
      <c r="Q2545" s="97">
        <f t="shared" si="328"/>
        <v>34</v>
      </c>
      <c r="R2545" t="str">
        <f t="shared" si="329"/>
        <v/>
      </c>
    </row>
    <row r="2546" spans="3:18">
      <c r="C2546" t="str">
        <f t="shared" si="330"/>
        <v/>
      </c>
      <c r="D2546" s="36">
        <v>35</v>
      </c>
      <c r="E2546" s="97">
        <v>60</v>
      </c>
      <c r="F2546" s="366">
        <f t="shared" si="295"/>
        <v>1302</v>
      </c>
      <c r="G2546" s="97">
        <v>1477</v>
      </c>
      <c r="H2546" s="367">
        <f t="shared" si="326"/>
        <v>2779</v>
      </c>
      <c r="I2546" s="368">
        <f t="shared" si="327"/>
        <v>0</v>
      </c>
      <c r="J2546" s="97">
        <v>5544</v>
      </c>
      <c r="K2546" s="367">
        <f t="shared" si="331"/>
        <v>3960</v>
      </c>
      <c r="L2546" s="606">
        <v>0.2</v>
      </c>
      <c r="M2546" s="97">
        <v>7</v>
      </c>
      <c r="N2546" s="605">
        <v>18</v>
      </c>
      <c r="O2546" s="97">
        <v>2</v>
      </c>
      <c r="P2546" s="97" t="s">
        <v>515</v>
      </c>
      <c r="Q2546" s="97" t="str">
        <f t="shared" si="328"/>
        <v/>
      </c>
      <c r="R2546" t="str">
        <f t="shared" si="329"/>
        <v/>
      </c>
    </row>
    <row r="2547" spans="3:18">
      <c r="C2547" t="str">
        <f t="shared" si="330"/>
        <v/>
      </c>
      <c r="D2547" s="36">
        <v>36</v>
      </c>
      <c r="E2547" s="97">
        <v>60</v>
      </c>
      <c r="F2547" s="366">
        <f t="shared" si="295"/>
        <v>1302</v>
      </c>
      <c r="G2547" s="97">
        <v>1717</v>
      </c>
      <c r="H2547" s="367">
        <f t="shared" si="326"/>
        <v>3019</v>
      </c>
      <c r="I2547" s="368">
        <f t="shared" si="327"/>
        <v>0</v>
      </c>
      <c r="J2547" s="97">
        <v>6444</v>
      </c>
      <c r="K2547" s="367">
        <f t="shared" si="331"/>
        <v>4602.8571428571431</v>
      </c>
      <c r="L2547" s="606">
        <v>0.77</v>
      </c>
      <c r="M2547" s="97">
        <v>7</v>
      </c>
      <c r="N2547" s="605">
        <v>29</v>
      </c>
      <c r="O2547" s="97">
        <v>2</v>
      </c>
      <c r="P2547" s="97" t="s">
        <v>514</v>
      </c>
      <c r="Q2547" s="97" t="str">
        <f t="shared" si="328"/>
        <v/>
      </c>
      <c r="R2547" t="str">
        <f t="shared" si="329"/>
        <v/>
      </c>
    </row>
    <row r="2548" spans="3:18">
      <c r="C2548" t="str">
        <f t="shared" si="330"/>
        <v/>
      </c>
      <c r="D2548" s="36">
        <v>37</v>
      </c>
      <c r="E2548" s="97">
        <v>60</v>
      </c>
      <c r="F2548" s="366">
        <f t="shared" ref="F2548:F2611" si="332">1.085*($A$2-$B$2)*E2548*$T$7</f>
        <v>1302</v>
      </c>
      <c r="G2548" s="97">
        <v>2089</v>
      </c>
      <c r="H2548" s="367">
        <f t="shared" si="326"/>
        <v>3391</v>
      </c>
      <c r="I2548" s="368">
        <f t="shared" si="327"/>
        <v>0</v>
      </c>
      <c r="J2548" s="97">
        <v>7838</v>
      </c>
      <c r="K2548" s="367">
        <f t="shared" si="331"/>
        <v>5598.5714285714284</v>
      </c>
      <c r="L2548" s="606">
        <v>0.32</v>
      </c>
      <c r="M2548" s="97">
        <v>9.4</v>
      </c>
      <c r="N2548" s="605">
        <v>27</v>
      </c>
      <c r="O2548" s="97">
        <v>4</v>
      </c>
      <c r="P2548" s="97" t="s">
        <v>514</v>
      </c>
      <c r="Q2548" s="97">
        <f t="shared" si="328"/>
        <v>37</v>
      </c>
      <c r="R2548" t="str">
        <f t="shared" si="329"/>
        <v/>
      </c>
    </row>
    <row r="2549" spans="3:18">
      <c r="C2549" t="str">
        <f t="shared" si="330"/>
        <v/>
      </c>
      <c r="D2549" s="36">
        <v>38</v>
      </c>
      <c r="E2549" s="97">
        <v>60</v>
      </c>
      <c r="F2549" s="366">
        <f t="shared" si="332"/>
        <v>1302</v>
      </c>
      <c r="G2549" s="97">
        <v>2364</v>
      </c>
      <c r="H2549" s="367">
        <f t="shared" si="326"/>
        <v>3666</v>
      </c>
      <c r="I2549" s="368">
        <f t="shared" si="327"/>
        <v>0</v>
      </c>
      <c r="J2549" s="97">
        <v>8872</v>
      </c>
      <c r="K2549" s="367">
        <f t="shared" si="331"/>
        <v>6337.1428571428569</v>
      </c>
      <c r="L2549" s="606">
        <v>0.81</v>
      </c>
      <c r="M2549" s="97">
        <v>9.4</v>
      </c>
      <c r="N2549" s="605">
        <v>25</v>
      </c>
      <c r="O2549" s="97">
        <v>4</v>
      </c>
      <c r="P2549" s="97" t="s">
        <v>513</v>
      </c>
      <c r="Q2549" s="97" t="str">
        <f t="shared" si="328"/>
        <v/>
      </c>
      <c r="R2549" t="str">
        <f t="shared" si="329"/>
        <v/>
      </c>
    </row>
    <row r="2550" spans="3:18">
      <c r="C2550" t="str">
        <f t="shared" si="330"/>
        <v/>
      </c>
      <c r="D2550" s="36">
        <v>39</v>
      </c>
      <c r="E2550" s="97">
        <v>65</v>
      </c>
      <c r="F2550" s="366">
        <f t="shared" si="332"/>
        <v>1410.5</v>
      </c>
      <c r="G2550" s="97">
        <v>1522</v>
      </c>
      <c r="H2550" s="367">
        <f t="shared" si="326"/>
        <v>2932.5</v>
      </c>
      <c r="I2550" s="368">
        <f t="shared" si="327"/>
        <v>0</v>
      </c>
      <c r="J2550" s="97">
        <v>5711</v>
      </c>
      <c r="K2550" s="367">
        <f t="shared" si="331"/>
        <v>4079.2857142857142</v>
      </c>
      <c r="L2550" s="606">
        <v>0.24000000000000002</v>
      </c>
      <c r="M2550" s="97">
        <v>7</v>
      </c>
      <c r="N2550" s="605">
        <v>19</v>
      </c>
      <c r="O2550" s="97">
        <v>2</v>
      </c>
      <c r="P2550" s="97" t="s">
        <v>515</v>
      </c>
      <c r="Q2550" s="97" t="str">
        <f t="shared" si="328"/>
        <v/>
      </c>
      <c r="R2550" t="str">
        <f t="shared" si="329"/>
        <v/>
      </c>
    </row>
    <row r="2551" spans="3:18">
      <c r="C2551" t="str">
        <f t="shared" si="330"/>
        <v/>
      </c>
      <c r="D2551" s="36">
        <v>40</v>
      </c>
      <c r="E2551" s="97">
        <v>65</v>
      </c>
      <c r="F2551" s="366">
        <f t="shared" si="332"/>
        <v>1410.5</v>
      </c>
      <c r="G2551" s="97">
        <v>1786</v>
      </c>
      <c r="H2551" s="367">
        <f t="shared" si="326"/>
        <v>3196.5</v>
      </c>
      <c r="I2551" s="368">
        <f t="shared" si="327"/>
        <v>0</v>
      </c>
      <c r="J2551" s="97">
        <v>6701</v>
      </c>
      <c r="K2551" s="367">
        <f t="shared" si="331"/>
        <v>4786.4285714285716</v>
      </c>
      <c r="L2551" s="606">
        <v>0.91</v>
      </c>
      <c r="M2551" s="97">
        <v>7</v>
      </c>
      <c r="N2551" s="605">
        <v>30</v>
      </c>
      <c r="O2551" s="97">
        <v>2</v>
      </c>
      <c r="P2551" s="97" t="s">
        <v>514</v>
      </c>
      <c r="Q2551" s="97" t="str">
        <f t="shared" si="328"/>
        <v/>
      </c>
      <c r="R2551" t="str">
        <f t="shared" si="329"/>
        <v/>
      </c>
    </row>
    <row r="2552" spans="3:18">
      <c r="C2552" t="str">
        <f t="shared" si="330"/>
        <v/>
      </c>
      <c r="D2552" s="36">
        <v>41</v>
      </c>
      <c r="E2552" s="97">
        <v>65</v>
      </c>
      <c r="F2552" s="366">
        <f t="shared" si="332"/>
        <v>1410.5</v>
      </c>
      <c r="G2552" s="97">
        <v>2210</v>
      </c>
      <c r="H2552" s="367">
        <f t="shared" si="326"/>
        <v>3620.5</v>
      </c>
      <c r="I2552" s="368">
        <f t="shared" si="327"/>
        <v>0</v>
      </c>
      <c r="J2552" s="97">
        <v>8294</v>
      </c>
      <c r="K2552" s="367">
        <f t="shared" si="331"/>
        <v>5924.2857142857147</v>
      </c>
      <c r="L2552" s="606">
        <v>0.38</v>
      </c>
      <c r="M2552" s="97">
        <v>9.4</v>
      </c>
      <c r="N2552" s="605">
        <v>28</v>
      </c>
      <c r="O2552" s="97">
        <v>4</v>
      </c>
      <c r="P2552" s="97" t="s">
        <v>514</v>
      </c>
      <c r="Q2552" s="97">
        <f t="shared" si="328"/>
        <v>41</v>
      </c>
      <c r="R2552" t="str">
        <f t="shared" si="329"/>
        <v/>
      </c>
    </row>
    <row r="2553" spans="3:18">
      <c r="C2553" t="str">
        <f t="shared" si="330"/>
        <v/>
      </c>
      <c r="D2553" s="36">
        <v>42</v>
      </c>
      <c r="E2553" s="97">
        <v>65</v>
      </c>
      <c r="F2553" s="366">
        <f t="shared" si="332"/>
        <v>1410.5</v>
      </c>
      <c r="G2553" s="97">
        <v>2553</v>
      </c>
      <c r="H2553" s="367">
        <f t="shared" si="326"/>
        <v>3963.5</v>
      </c>
      <c r="I2553" s="368">
        <f t="shared" si="327"/>
        <v>0</v>
      </c>
      <c r="J2553" s="97">
        <v>9580</v>
      </c>
      <c r="K2553" s="367">
        <f t="shared" si="331"/>
        <v>6842.8571428571431</v>
      </c>
      <c r="L2553" s="606">
        <v>0.95</v>
      </c>
      <c r="M2553" s="97">
        <v>9.4</v>
      </c>
      <c r="N2553" s="605">
        <v>26</v>
      </c>
      <c r="O2553" s="97">
        <v>4</v>
      </c>
      <c r="P2553" s="97" t="s">
        <v>513</v>
      </c>
      <c r="Q2553" s="97" t="str">
        <f t="shared" si="328"/>
        <v/>
      </c>
      <c r="R2553" t="str">
        <f t="shared" si="329"/>
        <v/>
      </c>
    </row>
    <row r="2554" spans="3:18">
      <c r="C2554" t="str">
        <f t="shared" si="330"/>
        <v/>
      </c>
      <c r="D2554" s="36">
        <v>43</v>
      </c>
      <c r="E2554" s="97">
        <v>70</v>
      </c>
      <c r="F2554" s="366">
        <f t="shared" si="332"/>
        <v>1519</v>
      </c>
      <c r="G2554" s="97">
        <v>1591</v>
      </c>
      <c r="H2554" s="367">
        <f t="shared" si="326"/>
        <v>3110</v>
      </c>
      <c r="I2554" s="368">
        <f t="shared" si="327"/>
        <v>0</v>
      </c>
      <c r="J2554" s="97">
        <v>5971</v>
      </c>
      <c r="K2554" s="367">
        <f t="shared" si="331"/>
        <v>4265</v>
      </c>
      <c r="L2554" s="606">
        <v>0.28000000000000003</v>
      </c>
      <c r="M2554" s="97">
        <v>7</v>
      </c>
      <c r="N2554" s="605">
        <v>20</v>
      </c>
      <c r="O2554" s="97">
        <v>2</v>
      </c>
      <c r="P2554" s="97" t="s">
        <v>515</v>
      </c>
      <c r="Q2554" s="97">
        <f t="shared" si="328"/>
        <v>43</v>
      </c>
      <c r="R2554" t="str">
        <f t="shared" si="329"/>
        <v/>
      </c>
    </row>
    <row r="2555" spans="3:18">
      <c r="C2555" t="str">
        <f t="shared" si="330"/>
        <v/>
      </c>
      <c r="D2555" s="36">
        <v>44</v>
      </c>
      <c r="E2555" s="97">
        <v>70</v>
      </c>
      <c r="F2555" s="366">
        <f t="shared" si="332"/>
        <v>1519</v>
      </c>
      <c r="G2555" s="97">
        <v>1840</v>
      </c>
      <c r="H2555" s="367">
        <f t="shared" si="326"/>
        <v>3359</v>
      </c>
      <c r="I2555" s="368">
        <f t="shared" si="327"/>
        <v>0</v>
      </c>
      <c r="J2555" s="97">
        <v>6905</v>
      </c>
      <c r="K2555" s="367">
        <f t="shared" si="331"/>
        <v>4932.1428571428569</v>
      </c>
      <c r="L2555" s="606">
        <v>1.05</v>
      </c>
      <c r="M2555" s="97">
        <v>7</v>
      </c>
      <c r="N2555" s="605">
        <v>31</v>
      </c>
      <c r="O2555" s="97">
        <v>2</v>
      </c>
      <c r="P2555" s="97" t="s">
        <v>514</v>
      </c>
      <c r="Q2555" s="97" t="str">
        <f t="shared" si="328"/>
        <v/>
      </c>
      <c r="R2555" t="str">
        <f t="shared" si="329"/>
        <v/>
      </c>
    </row>
    <row r="2556" spans="3:18">
      <c r="C2556" t="str">
        <f t="shared" si="330"/>
        <v/>
      </c>
      <c r="D2556" s="36">
        <v>45</v>
      </c>
      <c r="E2556" s="97">
        <v>70</v>
      </c>
      <c r="F2556" s="366">
        <f t="shared" si="332"/>
        <v>1519</v>
      </c>
      <c r="G2556" s="97">
        <v>2318</v>
      </c>
      <c r="H2556" s="367">
        <f t="shared" si="326"/>
        <v>3837</v>
      </c>
      <c r="I2556" s="368">
        <f t="shared" si="327"/>
        <v>0</v>
      </c>
      <c r="J2556" s="97">
        <v>8698</v>
      </c>
      <c r="K2556" s="367">
        <f t="shared" si="331"/>
        <v>6212.8571428571431</v>
      </c>
      <c r="L2556" s="606">
        <v>0.44</v>
      </c>
      <c r="M2556" s="97">
        <v>9.4</v>
      </c>
      <c r="N2556" s="605">
        <v>29</v>
      </c>
      <c r="O2556" s="97">
        <v>4</v>
      </c>
      <c r="P2556" s="97" t="s">
        <v>514</v>
      </c>
      <c r="Q2556" s="97">
        <f t="shared" si="328"/>
        <v>45</v>
      </c>
      <c r="R2556" t="str">
        <f t="shared" si="329"/>
        <v/>
      </c>
    </row>
    <row r="2557" spans="3:18">
      <c r="C2557" t="str">
        <f t="shared" si="330"/>
        <v/>
      </c>
      <c r="D2557" s="36">
        <v>46</v>
      </c>
      <c r="E2557" s="97">
        <v>75</v>
      </c>
      <c r="F2557" s="366">
        <f t="shared" si="332"/>
        <v>1627.5</v>
      </c>
      <c r="G2557" s="97">
        <v>1660</v>
      </c>
      <c r="H2557" s="367">
        <f t="shared" si="326"/>
        <v>3287.5</v>
      </c>
      <c r="I2557" s="368">
        <f t="shared" si="327"/>
        <v>0</v>
      </c>
      <c r="J2557" s="97">
        <v>6229</v>
      </c>
      <c r="K2557" s="367">
        <f t="shared" si="331"/>
        <v>4449.2857142857147</v>
      </c>
      <c r="L2557" s="606">
        <v>0.31</v>
      </c>
      <c r="M2557" s="97">
        <v>7</v>
      </c>
      <c r="N2557" s="605">
        <v>21</v>
      </c>
      <c r="O2557" s="97">
        <v>2</v>
      </c>
      <c r="P2557" s="97" t="s">
        <v>515</v>
      </c>
      <c r="Q2557" s="97">
        <f t="shared" si="328"/>
        <v>46</v>
      </c>
      <c r="R2557" t="str">
        <f t="shared" si="329"/>
        <v/>
      </c>
    </row>
    <row r="2558" spans="3:18">
      <c r="C2558" t="str">
        <f t="shared" si="330"/>
        <v/>
      </c>
      <c r="D2558" s="36">
        <v>47</v>
      </c>
      <c r="E2558" s="97">
        <v>75</v>
      </c>
      <c r="F2558" s="366">
        <f t="shared" si="332"/>
        <v>1627.5</v>
      </c>
      <c r="G2558" s="97">
        <v>1882</v>
      </c>
      <c r="H2558" s="367">
        <f t="shared" si="326"/>
        <v>3509.5</v>
      </c>
      <c r="I2558" s="368">
        <f t="shared" si="327"/>
        <v>0</v>
      </c>
      <c r="J2558" s="97">
        <v>7064</v>
      </c>
      <c r="K2558" s="367">
        <f t="shared" si="331"/>
        <v>5045.7142857142862</v>
      </c>
      <c r="L2558" s="606">
        <v>1.2</v>
      </c>
      <c r="M2558" s="97">
        <v>7</v>
      </c>
      <c r="N2558" s="605">
        <v>31</v>
      </c>
      <c r="O2558" s="97">
        <v>2</v>
      </c>
      <c r="P2558" s="97" t="s">
        <v>514</v>
      </c>
      <c r="Q2558" s="97" t="str">
        <f t="shared" si="328"/>
        <v/>
      </c>
      <c r="R2558" t="str">
        <f t="shared" si="329"/>
        <v/>
      </c>
    </row>
    <row r="2559" spans="3:18">
      <c r="C2559" t="str">
        <f t="shared" si="330"/>
        <v/>
      </c>
      <c r="D2559" s="36">
        <v>48</v>
      </c>
      <c r="E2559" s="97">
        <v>75</v>
      </c>
      <c r="F2559" s="366">
        <f t="shared" si="332"/>
        <v>1627.5</v>
      </c>
      <c r="G2559" s="97">
        <v>2426</v>
      </c>
      <c r="H2559" s="367">
        <f t="shared" si="326"/>
        <v>4053.5</v>
      </c>
      <c r="I2559" s="368">
        <f t="shared" si="327"/>
        <v>0</v>
      </c>
      <c r="J2559" s="97">
        <v>9103</v>
      </c>
      <c r="K2559" s="367">
        <f t="shared" si="331"/>
        <v>6502.1428571428569</v>
      </c>
      <c r="L2559" s="606">
        <v>0.49</v>
      </c>
      <c r="M2559" s="97">
        <v>9.4</v>
      </c>
      <c r="N2559" s="605">
        <v>29</v>
      </c>
      <c r="O2559" s="97">
        <v>4</v>
      </c>
      <c r="P2559" s="97" t="s">
        <v>514</v>
      </c>
      <c r="Q2559" s="97">
        <f t="shared" si="328"/>
        <v>48</v>
      </c>
      <c r="R2559" t="str">
        <f t="shared" si="329"/>
        <v/>
      </c>
    </row>
    <row r="2560" spans="3:18">
      <c r="C2560" t="str">
        <f t="shared" si="330"/>
        <v/>
      </c>
      <c r="D2560" s="36">
        <v>49</v>
      </c>
      <c r="E2560" s="97">
        <v>80</v>
      </c>
      <c r="F2560" s="366">
        <f t="shared" si="332"/>
        <v>1736</v>
      </c>
      <c r="G2560" s="97">
        <v>1724</v>
      </c>
      <c r="H2560" s="367">
        <f t="shared" si="326"/>
        <v>3460</v>
      </c>
      <c r="I2560" s="368">
        <f t="shared" si="327"/>
        <v>0</v>
      </c>
      <c r="J2560" s="97">
        <v>6471</v>
      </c>
      <c r="K2560" s="367">
        <f t="shared" si="331"/>
        <v>4622.1428571428569</v>
      </c>
      <c r="L2560" s="606">
        <v>0.35000000000000003</v>
      </c>
      <c r="M2560" s="97">
        <v>7</v>
      </c>
      <c r="N2560" s="605">
        <v>22</v>
      </c>
      <c r="O2560" s="97">
        <v>2</v>
      </c>
      <c r="P2560" s="97" t="s">
        <v>515</v>
      </c>
      <c r="Q2560" s="97">
        <f t="shared" si="328"/>
        <v>49</v>
      </c>
      <c r="R2560" t="str">
        <f t="shared" si="329"/>
        <v/>
      </c>
    </row>
    <row r="2561" spans="3:18">
      <c r="C2561" t="str">
        <f t="shared" si="330"/>
        <v/>
      </c>
      <c r="D2561" s="36">
        <v>50</v>
      </c>
      <c r="E2561" s="97">
        <v>80</v>
      </c>
      <c r="F2561" s="366">
        <f t="shared" si="332"/>
        <v>1736</v>
      </c>
      <c r="G2561" s="97">
        <v>2078</v>
      </c>
      <c r="H2561" s="367">
        <f t="shared" si="326"/>
        <v>3814</v>
      </c>
      <c r="I2561" s="368">
        <f t="shared" si="327"/>
        <v>0</v>
      </c>
      <c r="J2561" s="97">
        <v>7799</v>
      </c>
      <c r="K2561" s="367">
        <f t="shared" si="331"/>
        <v>5570.7142857142862</v>
      </c>
      <c r="L2561" s="606">
        <v>0.15000000000000002</v>
      </c>
      <c r="M2561" s="97">
        <v>9.4</v>
      </c>
      <c r="N2561" s="605">
        <v>20</v>
      </c>
      <c r="O2561" s="97">
        <v>4</v>
      </c>
      <c r="P2561" s="97" t="s">
        <v>515</v>
      </c>
      <c r="Q2561" s="97">
        <f t="shared" si="328"/>
        <v>50</v>
      </c>
      <c r="R2561" t="str">
        <f t="shared" si="329"/>
        <v/>
      </c>
    </row>
    <row r="2562" spans="3:18">
      <c r="C2562" t="str">
        <f t="shared" si="330"/>
        <v/>
      </c>
      <c r="D2562" s="36">
        <v>51</v>
      </c>
      <c r="E2562" s="97">
        <v>80</v>
      </c>
      <c r="F2562" s="366">
        <f t="shared" si="332"/>
        <v>1736</v>
      </c>
      <c r="G2562" s="97">
        <v>2555</v>
      </c>
      <c r="H2562" s="367">
        <f t="shared" si="326"/>
        <v>4291</v>
      </c>
      <c r="I2562" s="368">
        <f t="shared" si="327"/>
        <v>0</v>
      </c>
      <c r="J2562" s="97">
        <v>9586</v>
      </c>
      <c r="K2562" s="367">
        <f t="shared" si="331"/>
        <v>6847.1428571428569</v>
      </c>
      <c r="L2562" s="606">
        <v>0.56000000000000005</v>
      </c>
      <c r="M2562" s="97">
        <v>9.4</v>
      </c>
      <c r="N2562" s="605">
        <v>30</v>
      </c>
      <c r="O2562" s="97">
        <v>4</v>
      </c>
      <c r="P2562" s="97" t="s">
        <v>514</v>
      </c>
      <c r="Q2562" s="97">
        <f t="shared" si="328"/>
        <v>51</v>
      </c>
      <c r="R2562" t="str">
        <f t="shared" si="329"/>
        <v/>
      </c>
    </row>
    <row r="2563" spans="3:18">
      <c r="C2563" t="str">
        <f t="shared" si="330"/>
        <v/>
      </c>
      <c r="D2563" s="36">
        <v>52</v>
      </c>
      <c r="E2563" s="97">
        <v>85</v>
      </c>
      <c r="F2563" s="366">
        <f t="shared" si="332"/>
        <v>1844.5</v>
      </c>
      <c r="G2563" s="97">
        <v>1778</v>
      </c>
      <c r="H2563" s="367">
        <f t="shared" si="326"/>
        <v>3622.5</v>
      </c>
      <c r="I2563" s="368">
        <f t="shared" si="327"/>
        <v>0</v>
      </c>
      <c r="J2563" s="97">
        <v>6673</v>
      </c>
      <c r="K2563" s="367">
        <f t="shared" si="331"/>
        <v>4766.4285714285716</v>
      </c>
      <c r="L2563" s="606">
        <v>0.4</v>
      </c>
      <c r="M2563" s="97">
        <v>7</v>
      </c>
      <c r="N2563" s="605">
        <v>22</v>
      </c>
      <c r="O2563" s="97">
        <v>2</v>
      </c>
      <c r="P2563" s="97" t="s">
        <v>515</v>
      </c>
      <c r="Q2563" s="97">
        <f t="shared" si="328"/>
        <v>52</v>
      </c>
      <c r="R2563" t="str">
        <f t="shared" si="329"/>
        <v/>
      </c>
    </row>
    <row r="2564" spans="3:18">
      <c r="C2564" t="str">
        <f t="shared" si="330"/>
        <v/>
      </c>
      <c r="D2564" s="36">
        <v>53</v>
      </c>
      <c r="E2564" s="97">
        <v>85</v>
      </c>
      <c r="F2564" s="366">
        <f t="shared" si="332"/>
        <v>1844.5</v>
      </c>
      <c r="G2564" s="97">
        <v>2172</v>
      </c>
      <c r="H2564" s="367">
        <f t="shared" si="326"/>
        <v>4016.5</v>
      </c>
      <c r="I2564" s="368">
        <f t="shared" si="327"/>
        <v>0</v>
      </c>
      <c r="J2564" s="97">
        <v>8151</v>
      </c>
      <c r="K2564" s="367">
        <f t="shared" si="331"/>
        <v>5822.1428571428569</v>
      </c>
      <c r="L2564" s="606">
        <v>0.17</v>
      </c>
      <c r="M2564" s="97">
        <v>9.4</v>
      </c>
      <c r="N2564" s="605">
        <v>21</v>
      </c>
      <c r="O2564" s="97">
        <v>4</v>
      </c>
      <c r="P2564" s="97" t="s">
        <v>515</v>
      </c>
      <c r="Q2564" s="97">
        <f t="shared" si="328"/>
        <v>53</v>
      </c>
      <c r="R2564" t="str">
        <f t="shared" si="329"/>
        <v/>
      </c>
    </row>
    <row r="2565" spans="3:18">
      <c r="C2565" t="str">
        <f t="shared" si="330"/>
        <v/>
      </c>
      <c r="D2565" s="36">
        <v>54</v>
      </c>
      <c r="E2565" s="97">
        <v>85</v>
      </c>
      <c r="F2565" s="366">
        <f t="shared" si="332"/>
        <v>1844.5</v>
      </c>
      <c r="G2565" s="97">
        <v>2707</v>
      </c>
      <c r="H2565" s="367">
        <f t="shared" si="326"/>
        <v>4551.5</v>
      </c>
      <c r="I2565" s="368">
        <f t="shared" si="327"/>
        <v>0</v>
      </c>
      <c r="J2565" s="97">
        <v>10158</v>
      </c>
      <c r="K2565" s="367">
        <f t="shared" si="331"/>
        <v>7255.7142857142862</v>
      </c>
      <c r="L2565" s="606">
        <v>0.63</v>
      </c>
      <c r="M2565" s="97">
        <v>9.4</v>
      </c>
      <c r="N2565" s="605">
        <v>31</v>
      </c>
      <c r="O2565" s="97">
        <v>4</v>
      </c>
      <c r="P2565" s="97" t="s">
        <v>514</v>
      </c>
      <c r="Q2565" s="97">
        <f t="shared" si="328"/>
        <v>54</v>
      </c>
      <c r="R2565" t="str">
        <f t="shared" si="329"/>
        <v/>
      </c>
    </row>
    <row r="2566" spans="3:18">
      <c r="C2566" t="str">
        <f t="shared" si="330"/>
        <v/>
      </c>
      <c r="D2566" s="36">
        <v>55</v>
      </c>
      <c r="E2566" s="97">
        <v>90</v>
      </c>
      <c r="F2566" s="366">
        <f t="shared" si="332"/>
        <v>1953</v>
      </c>
      <c r="G2566" s="97">
        <v>1828</v>
      </c>
      <c r="H2566" s="367">
        <f t="shared" si="326"/>
        <v>3781</v>
      </c>
      <c r="I2566" s="368">
        <f t="shared" si="327"/>
        <v>0</v>
      </c>
      <c r="J2566" s="97">
        <v>6859</v>
      </c>
      <c r="K2566" s="367">
        <f t="shared" si="331"/>
        <v>4899.2857142857147</v>
      </c>
      <c r="L2566" s="606">
        <v>0.44</v>
      </c>
      <c r="M2566" s="97">
        <v>7</v>
      </c>
      <c r="N2566" s="605">
        <v>23</v>
      </c>
      <c r="O2566" s="97">
        <v>2</v>
      </c>
      <c r="P2566" s="97" t="s">
        <v>515</v>
      </c>
      <c r="Q2566" s="97">
        <f t="shared" si="328"/>
        <v>55</v>
      </c>
      <c r="R2566" t="str">
        <f t="shared" si="329"/>
        <v/>
      </c>
    </row>
    <row r="2567" spans="3:18">
      <c r="C2567" t="str">
        <f t="shared" si="330"/>
        <v/>
      </c>
      <c r="D2567" s="36">
        <v>56</v>
      </c>
      <c r="E2567" s="97">
        <v>90</v>
      </c>
      <c r="F2567" s="366">
        <f t="shared" si="332"/>
        <v>1953</v>
      </c>
      <c r="G2567" s="97">
        <v>2261</v>
      </c>
      <c r="H2567" s="367">
        <f t="shared" si="326"/>
        <v>4214</v>
      </c>
      <c r="I2567" s="368">
        <f t="shared" si="327"/>
        <v>0</v>
      </c>
      <c r="J2567" s="97">
        <v>8484</v>
      </c>
      <c r="K2567" s="367">
        <f t="shared" si="331"/>
        <v>6060</v>
      </c>
      <c r="L2567" s="606">
        <v>0.19</v>
      </c>
      <c r="M2567" s="97">
        <v>9.4</v>
      </c>
      <c r="N2567" s="605">
        <v>21</v>
      </c>
      <c r="O2567" s="97">
        <v>4</v>
      </c>
      <c r="P2567" s="97" t="s">
        <v>515</v>
      </c>
      <c r="Q2567" s="97">
        <f t="shared" si="328"/>
        <v>56</v>
      </c>
      <c r="R2567" t="str">
        <f t="shared" si="329"/>
        <v/>
      </c>
    </row>
    <row r="2568" spans="3:18">
      <c r="C2568" t="str">
        <f t="shared" si="330"/>
        <v/>
      </c>
      <c r="D2568" s="36">
        <v>57</v>
      </c>
      <c r="E2568" s="97">
        <v>90</v>
      </c>
      <c r="F2568" s="366">
        <f t="shared" si="332"/>
        <v>1953</v>
      </c>
      <c r="G2568" s="97">
        <v>2860</v>
      </c>
      <c r="H2568" s="367">
        <f t="shared" si="326"/>
        <v>4813</v>
      </c>
      <c r="I2568" s="368">
        <f t="shared" si="327"/>
        <v>0</v>
      </c>
      <c r="J2568" s="97">
        <v>10731</v>
      </c>
      <c r="K2568" s="367">
        <f t="shared" si="331"/>
        <v>7665</v>
      </c>
      <c r="L2568" s="606">
        <v>0.71</v>
      </c>
      <c r="M2568" s="97">
        <v>9.4</v>
      </c>
      <c r="N2568" s="605">
        <v>31</v>
      </c>
      <c r="O2568" s="97">
        <v>4</v>
      </c>
      <c r="P2568" s="97" t="s">
        <v>514</v>
      </c>
      <c r="Q2568" s="97">
        <f t="shared" si="328"/>
        <v>57</v>
      </c>
      <c r="R2568" t="str">
        <f t="shared" si="329"/>
        <v/>
      </c>
    </row>
    <row r="2569" spans="3:18">
      <c r="C2569" t="str">
        <f t="shared" si="330"/>
        <v/>
      </c>
      <c r="D2569" s="36">
        <v>58</v>
      </c>
      <c r="E2569" s="97">
        <v>95</v>
      </c>
      <c r="F2569" s="366">
        <f t="shared" si="332"/>
        <v>2061.5</v>
      </c>
      <c r="G2569" s="97">
        <v>1871</v>
      </c>
      <c r="H2569" s="367">
        <f t="shared" si="326"/>
        <v>3932.5</v>
      </c>
      <c r="I2569" s="368">
        <f t="shared" si="327"/>
        <v>0</v>
      </c>
      <c r="J2569" s="97">
        <v>7020</v>
      </c>
      <c r="K2569" s="367">
        <f t="shared" si="331"/>
        <v>5014.2857142857147</v>
      </c>
      <c r="L2569" s="606">
        <v>0.49</v>
      </c>
      <c r="M2569" s="97">
        <v>7</v>
      </c>
      <c r="N2569" s="605">
        <v>24</v>
      </c>
      <c r="O2569" s="97">
        <v>2</v>
      </c>
      <c r="P2569" s="97" t="s">
        <v>515</v>
      </c>
      <c r="Q2569" s="97">
        <f t="shared" si="328"/>
        <v>58</v>
      </c>
      <c r="R2569" t="str">
        <f t="shared" si="329"/>
        <v/>
      </c>
    </row>
    <row r="2570" spans="3:18">
      <c r="C2570" t="str">
        <f t="shared" si="330"/>
        <v/>
      </c>
      <c r="D2570" s="36">
        <v>59</v>
      </c>
      <c r="E2570" s="97">
        <v>95</v>
      </c>
      <c r="F2570" s="366">
        <f t="shared" si="332"/>
        <v>2061.5</v>
      </c>
      <c r="G2570" s="97">
        <v>2341</v>
      </c>
      <c r="H2570" s="367">
        <f t="shared" si="326"/>
        <v>4402.5</v>
      </c>
      <c r="I2570" s="368">
        <f t="shared" si="327"/>
        <v>0</v>
      </c>
      <c r="J2570" s="97">
        <v>8783</v>
      </c>
      <c r="K2570" s="367">
        <f t="shared" si="331"/>
        <v>6273.5714285714284</v>
      </c>
      <c r="L2570" s="606">
        <v>0.21000000000000002</v>
      </c>
      <c r="M2570" s="97">
        <v>9.4</v>
      </c>
      <c r="N2570" s="605">
        <v>22</v>
      </c>
      <c r="O2570" s="97">
        <v>4</v>
      </c>
      <c r="P2570" s="97" t="s">
        <v>515</v>
      </c>
      <c r="Q2570" s="97">
        <f t="shared" si="328"/>
        <v>59</v>
      </c>
      <c r="R2570" t="str">
        <f t="shared" si="329"/>
        <v/>
      </c>
    </row>
    <row r="2571" spans="3:18">
      <c r="C2571" t="str">
        <f t="shared" si="330"/>
        <v/>
      </c>
      <c r="D2571" s="36">
        <v>60</v>
      </c>
      <c r="E2571" s="97">
        <v>95</v>
      </c>
      <c r="F2571" s="366">
        <f t="shared" si="332"/>
        <v>2061.5</v>
      </c>
      <c r="G2571" s="97">
        <v>3012</v>
      </c>
      <c r="H2571" s="367">
        <f t="shared" si="326"/>
        <v>5073.5</v>
      </c>
      <c r="I2571" s="368">
        <f t="shared" si="327"/>
        <v>0</v>
      </c>
      <c r="J2571" s="97">
        <v>11300</v>
      </c>
      <c r="K2571" s="367">
        <f t="shared" si="331"/>
        <v>8071.4285714285716</v>
      </c>
      <c r="L2571" s="606">
        <v>0.79</v>
      </c>
      <c r="M2571" s="97">
        <v>9.4</v>
      </c>
      <c r="N2571" s="605">
        <v>32</v>
      </c>
      <c r="O2571" s="97">
        <v>4</v>
      </c>
      <c r="P2571" s="97" t="s">
        <v>514</v>
      </c>
      <c r="Q2571" s="97" t="str">
        <f t="shared" si="328"/>
        <v/>
      </c>
      <c r="R2571" t="str">
        <f t="shared" si="329"/>
        <v/>
      </c>
    </row>
    <row r="2572" spans="3:18">
      <c r="C2572" t="str">
        <f t="shared" si="330"/>
        <v/>
      </c>
      <c r="D2572" s="36">
        <v>61</v>
      </c>
      <c r="E2572" s="97">
        <v>100</v>
      </c>
      <c r="F2572" s="366">
        <f t="shared" si="332"/>
        <v>2170</v>
      </c>
      <c r="G2572" s="97">
        <v>1905</v>
      </c>
      <c r="H2572" s="367">
        <f t="shared" si="326"/>
        <v>4075</v>
      </c>
      <c r="I2572" s="368">
        <f t="shared" si="327"/>
        <v>0</v>
      </c>
      <c r="J2572" s="97">
        <v>7149</v>
      </c>
      <c r="K2572" s="367">
        <f t="shared" si="331"/>
        <v>5106.4285714285716</v>
      </c>
      <c r="L2572" s="606">
        <v>0.55000000000000004</v>
      </c>
      <c r="M2572" s="97">
        <v>7</v>
      </c>
      <c r="N2572" s="605">
        <v>25</v>
      </c>
      <c r="O2572" s="97">
        <v>2</v>
      </c>
      <c r="P2572" s="97" t="s">
        <v>515</v>
      </c>
      <c r="Q2572" s="97">
        <f t="shared" si="328"/>
        <v>61</v>
      </c>
      <c r="R2572" t="str">
        <f t="shared" si="329"/>
        <v/>
      </c>
    </row>
    <row r="2573" spans="3:18">
      <c r="C2573" t="str">
        <f t="shared" si="330"/>
        <v/>
      </c>
      <c r="D2573" s="36">
        <v>62</v>
      </c>
      <c r="E2573" s="97">
        <v>100</v>
      </c>
      <c r="F2573" s="366">
        <f t="shared" si="332"/>
        <v>2170</v>
      </c>
      <c r="G2573" s="97">
        <v>2420</v>
      </c>
      <c r="H2573" s="367">
        <f t="shared" si="326"/>
        <v>4590</v>
      </c>
      <c r="I2573" s="368">
        <f t="shared" si="327"/>
        <v>0</v>
      </c>
      <c r="J2573" s="97">
        <v>9081</v>
      </c>
      <c r="K2573" s="367">
        <f t="shared" si="331"/>
        <v>6486.4285714285716</v>
      </c>
      <c r="L2573" s="606">
        <v>0.23</v>
      </c>
      <c r="M2573" s="97">
        <v>9.4</v>
      </c>
      <c r="N2573" s="605">
        <v>23</v>
      </c>
      <c r="O2573" s="97">
        <v>4</v>
      </c>
      <c r="P2573" s="97" t="s">
        <v>515</v>
      </c>
      <c r="Q2573" s="97">
        <f t="shared" si="328"/>
        <v>62</v>
      </c>
      <c r="R2573" t="str">
        <f t="shared" si="329"/>
        <v/>
      </c>
    </row>
    <row r="2574" spans="3:18">
      <c r="C2574" t="str">
        <f t="shared" si="330"/>
        <v/>
      </c>
      <c r="D2574" s="36">
        <v>63</v>
      </c>
      <c r="E2574" s="97">
        <v>100</v>
      </c>
      <c r="F2574" s="366">
        <f t="shared" si="332"/>
        <v>2170</v>
      </c>
      <c r="G2574" s="97">
        <v>3163</v>
      </c>
      <c r="H2574" s="367">
        <f t="shared" si="326"/>
        <v>5333</v>
      </c>
      <c r="I2574" s="368">
        <f t="shared" si="327"/>
        <v>0</v>
      </c>
      <c r="J2574" s="97">
        <v>11868</v>
      </c>
      <c r="K2574" s="367">
        <f t="shared" si="331"/>
        <v>8477.1428571428569</v>
      </c>
      <c r="L2574" s="606">
        <v>0.87</v>
      </c>
      <c r="M2574" s="97">
        <v>9.4</v>
      </c>
      <c r="N2574" s="605">
        <v>33</v>
      </c>
      <c r="O2574" s="97">
        <v>4</v>
      </c>
      <c r="P2574" s="97" t="s">
        <v>514</v>
      </c>
      <c r="Q2574" s="97" t="str">
        <f t="shared" si="328"/>
        <v/>
      </c>
      <c r="R2574" t="str">
        <f t="shared" si="329"/>
        <v/>
      </c>
    </row>
    <row r="2575" spans="3:18">
      <c r="C2575" t="str">
        <f t="shared" si="330"/>
        <v/>
      </c>
      <c r="D2575" s="36">
        <v>64</v>
      </c>
      <c r="E2575" s="97">
        <v>105</v>
      </c>
      <c r="F2575" s="366">
        <f t="shared" si="332"/>
        <v>2278.5</v>
      </c>
      <c r="G2575" s="97">
        <v>1934</v>
      </c>
      <c r="H2575" s="367">
        <f t="shared" si="326"/>
        <v>4212.5</v>
      </c>
      <c r="I2575" s="368">
        <f t="shared" si="327"/>
        <v>0</v>
      </c>
      <c r="J2575" s="97">
        <v>7258</v>
      </c>
      <c r="K2575" s="367">
        <f t="shared" si="331"/>
        <v>5184.2857142857147</v>
      </c>
      <c r="L2575" s="606">
        <v>0.6</v>
      </c>
      <c r="M2575" s="97">
        <v>7</v>
      </c>
      <c r="N2575" s="605">
        <v>25</v>
      </c>
      <c r="O2575" s="97">
        <v>2</v>
      </c>
      <c r="P2575" s="97" t="s">
        <v>515</v>
      </c>
      <c r="Q2575" s="97">
        <f t="shared" si="328"/>
        <v>64</v>
      </c>
      <c r="R2575" t="str">
        <f t="shared" si="329"/>
        <v/>
      </c>
    </row>
    <row r="2576" spans="3:18">
      <c r="C2576" t="str">
        <f t="shared" si="330"/>
        <v/>
      </c>
      <c r="D2576" s="36">
        <v>65</v>
      </c>
      <c r="E2576" s="97">
        <v>105</v>
      </c>
      <c r="F2576" s="366">
        <f t="shared" si="332"/>
        <v>2278.5</v>
      </c>
      <c r="G2576" s="97">
        <v>2500</v>
      </c>
      <c r="H2576" s="367">
        <f t="shared" si="326"/>
        <v>4778.5</v>
      </c>
      <c r="I2576" s="368">
        <f t="shared" si="327"/>
        <v>0</v>
      </c>
      <c r="J2576" s="97">
        <v>9380</v>
      </c>
      <c r="K2576" s="367">
        <f t="shared" si="331"/>
        <v>6700</v>
      </c>
      <c r="L2576" s="606">
        <v>0.25</v>
      </c>
      <c r="M2576" s="97">
        <v>9.4</v>
      </c>
      <c r="N2576" s="605">
        <v>23</v>
      </c>
      <c r="O2576" s="97">
        <v>4</v>
      </c>
      <c r="P2576" s="97" t="s">
        <v>515</v>
      </c>
      <c r="Q2576" s="97">
        <f t="shared" si="328"/>
        <v>65</v>
      </c>
      <c r="R2576" t="str">
        <f t="shared" si="329"/>
        <v/>
      </c>
    </row>
    <row r="2577" spans="3:18">
      <c r="C2577" t="str">
        <f t="shared" si="330"/>
        <v/>
      </c>
      <c r="D2577" s="36">
        <v>66</v>
      </c>
      <c r="E2577" s="97">
        <v>105</v>
      </c>
      <c r="F2577" s="366">
        <f t="shared" si="332"/>
        <v>2278.5</v>
      </c>
      <c r="G2577" s="97">
        <v>3314</v>
      </c>
      <c r="H2577" s="367">
        <f t="shared" ref="H2577:H2608" si="333">(G2577*$U$7)+F2577</f>
        <v>5592.5</v>
      </c>
      <c r="I2577" s="368">
        <f t="shared" ref="I2577:I2608" si="334">1.085*($C$2-$D$2)*E2577*$T$7</f>
        <v>0</v>
      </c>
      <c r="J2577" s="97">
        <v>12436</v>
      </c>
      <c r="K2577" s="367">
        <f t="shared" si="331"/>
        <v>8882.8571428571431</v>
      </c>
      <c r="L2577" s="606">
        <v>0.96</v>
      </c>
      <c r="M2577" s="97">
        <v>9.4</v>
      </c>
      <c r="N2577" s="605">
        <v>33</v>
      </c>
      <c r="O2577" s="97">
        <v>4</v>
      </c>
      <c r="P2577" s="97" t="s">
        <v>514</v>
      </c>
      <c r="Q2577" s="97" t="str">
        <f t="shared" ref="Q2577:Q2640" si="335">IF(AND(H2577+1&gt;$E$4,L2577&lt;$L$4+0.01,M2577&lt;$M$4+0.01,K2577+1&gt;$F$4,E2577+1&gt;$J$4,N2577&lt;$K$4+1,O2577&lt;$P$4+1,C2577=""),D2577,"")</f>
        <v/>
      </c>
      <c r="R2577" t="str">
        <f t="shared" ref="R2577:R2608" si="336">IF(Q2577="","",IF(AND(O2577&lt;$X$18,E2577&gt;$U$18,E2577&lt;$Q$4+$U$18+1),D2577,""))</f>
        <v/>
      </c>
    </row>
    <row r="2578" spans="3:18">
      <c r="C2578" t="str">
        <f t="shared" si="330"/>
        <v/>
      </c>
      <c r="D2578" s="36">
        <v>67</v>
      </c>
      <c r="E2578" s="97">
        <v>110</v>
      </c>
      <c r="F2578" s="366">
        <f t="shared" si="332"/>
        <v>2387</v>
      </c>
      <c r="G2578" s="97">
        <v>1945</v>
      </c>
      <c r="H2578" s="367">
        <f t="shared" si="333"/>
        <v>4332</v>
      </c>
      <c r="I2578" s="368">
        <f t="shared" si="334"/>
        <v>0</v>
      </c>
      <c r="J2578" s="97">
        <v>7297</v>
      </c>
      <c r="K2578" s="367">
        <f t="shared" si="331"/>
        <v>5212.1428571428569</v>
      </c>
      <c r="L2578" s="606">
        <v>0.66</v>
      </c>
      <c r="M2578" s="97">
        <v>7</v>
      </c>
      <c r="N2578" s="605">
        <v>26</v>
      </c>
      <c r="O2578" s="97">
        <v>2</v>
      </c>
      <c r="P2578" s="97" t="s">
        <v>515</v>
      </c>
      <c r="Q2578" s="97">
        <f t="shared" si="335"/>
        <v>67</v>
      </c>
      <c r="R2578" t="str">
        <f t="shared" si="336"/>
        <v/>
      </c>
    </row>
    <row r="2579" spans="3:18">
      <c r="C2579" t="str">
        <f t="shared" ref="C2579:C2642" si="337">IF(OR($O$4=0,O2579-$O$4=0),IF(AND(ISEVEN(O2579)=FALSE,$N$4="Even"),"NL",""),"NL")</f>
        <v/>
      </c>
      <c r="D2579" s="36">
        <v>68</v>
      </c>
      <c r="E2579" s="97">
        <v>110</v>
      </c>
      <c r="F2579" s="366">
        <f t="shared" si="332"/>
        <v>2387</v>
      </c>
      <c r="G2579" s="97">
        <v>2593</v>
      </c>
      <c r="H2579" s="367">
        <f t="shared" si="333"/>
        <v>4980</v>
      </c>
      <c r="I2579" s="368">
        <f t="shared" si="334"/>
        <v>0</v>
      </c>
      <c r="J2579" s="97">
        <v>9731</v>
      </c>
      <c r="K2579" s="367">
        <f t="shared" ref="K2579:K2642" si="338">(J2579*$V$7)-I2579</f>
        <v>6950.7142857142862</v>
      </c>
      <c r="L2579" s="606">
        <v>0.28000000000000003</v>
      </c>
      <c r="M2579" s="97">
        <v>9.4</v>
      </c>
      <c r="N2579" s="605">
        <v>24</v>
      </c>
      <c r="O2579" s="97">
        <v>4</v>
      </c>
      <c r="P2579" s="97" t="s">
        <v>515</v>
      </c>
      <c r="Q2579" s="97">
        <f t="shared" si="335"/>
        <v>68</v>
      </c>
      <c r="R2579" t="str">
        <f t="shared" si="336"/>
        <v/>
      </c>
    </row>
    <row r="2580" spans="3:18">
      <c r="C2580" t="str">
        <f t="shared" si="337"/>
        <v/>
      </c>
      <c r="D2580" s="36">
        <v>69</v>
      </c>
      <c r="E2580" s="97">
        <v>110</v>
      </c>
      <c r="F2580" s="366">
        <f t="shared" si="332"/>
        <v>2387</v>
      </c>
      <c r="G2580" s="97">
        <v>3394</v>
      </c>
      <c r="H2580" s="367">
        <f t="shared" si="333"/>
        <v>5781</v>
      </c>
      <c r="I2580" s="368">
        <f t="shared" si="334"/>
        <v>0</v>
      </c>
      <c r="J2580" s="97">
        <v>12736</v>
      </c>
      <c r="K2580" s="367">
        <f t="shared" si="338"/>
        <v>9097.1428571428569</v>
      </c>
      <c r="L2580" s="606">
        <v>1.06</v>
      </c>
      <c r="M2580" s="97">
        <v>9.4</v>
      </c>
      <c r="N2580" s="605">
        <v>34</v>
      </c>
      <c r="O2580" s="97">
        <v>4</v>
      </c>
      <c r="P2580" s="97" t="s">
        <v>514</v>
      </c>
      <c r="Q2580" s="97" t="str">
        <f t="shared" si="335"/>
        <v/>
      </c>
      <c r="R2580" t="str">
        <f t="shared" si="336"/>
        <v/>
      </c>
    </row>
    <row r="2581" spans="3:18">
      <c r="C2581" t="str">
        <f t="shared" si="337"/>
        <v/>
      </c>
      <c r="D2581" s="36">
        <v>70</v>
      </c>
      <c r="E2581" s="97">
        <v>115</v>
      </c>
      <c r="F2581" s="366">
        <f t="shared" si="332"/>
        <v>2495.5</v>
      </c>
      <c r="G2581" s="97">
        <v>1945</v>
      </c>
      <c r="H2581" s="367">
        <f t="shared" si="333"/>
        <v>4440.5</v>
      </c>
      <c r="I2581" s="368">
        <f t="shared" si="334"/>
        <v>0</v>
      </c>
      <c r="J2581" s="97">
        <v>7297</v>
      </c>
      <c r="K2581" s="367">
        <f t="shared" si="338"/>
        <v>5212.1428571428569</v>
      </c>
      <c r="L2581" s="606">
        <v>0.72</v>
      </c>
      <c r="M2581" s="97">
        <v>7</v>
      </c>
      <c r="N2581" s="605">
        <v>26</v>
      </c>
      <c r="O2581" s="97">
        <v>2</v>
      </c>
      <c r="P2581" s="97" t="s">
        <v>515</v>
      </c>
      <c r="Q2581" s="97" t="str">
        <f t="shared" si="335"/>
        <v/>
      </c>
      <c r="R2581" t="str">
        <f t="shared" si="336"/>
        <v/>
      </c>
    </row>
    <row r="2582" spans="3:18">
      <c r="C2582" t="str">
        <f t="shared" si="337"/>
        <v/>
      </c>
      <c r="D2582" s="36">
        <v>71</v>
      </c>
      <c r="E2582" s="97">
        <v>115</v>
      </c>
      <c r="F2582" s="366">
        <f t="shared" si="332"/>
        <v>2495.5</v>
      </c>
      <c r="G2582" s="97">
        <v>2706</v>
      </c>
      <c r="H2582" s="367">
        <f t="shared" si="333"/>
        <v>5201.5</v>
      </c>
      <c r="I2582" s="368">
        <f t="shared" si="334"/>
        <v>0</v>
      </c>
      <c r="J2582" s="97">
        <v>10154</v>
      </c>
      <c r="K2582" s="367">
        <f t="shared" si="338"/>
        <v>7252.8571428571431</v>
      </c>
      <c r="L2582" s="606">
        <v>0.3</v>
      </c>
      <c r="M2582" s="97">
        <v>9.4</v>
      </c>
      <c r="N2582" s="605">
        <v>24</v>
      </c>
      <c r="O2582" s="97">
        <v>4</v>
      </c>
      <c r="P2582" s="97" t="s">
        <v>515</v>
      </c>
      <c r="Q2582" s="97">
        <f t="shared" si="335"/>
        <v>71</v>
      </c>
      <c r="R2582" t="str">
        <f t="shared" si="336"/>
        <v/>
      </c>
    </row>
    <row r="2583" spans="3:18">
      <c r="C2583" t="str">
        <f t="shared" si="337"/>
        <v/>
      </c>
      <c r="D2583" s="36">
        <v>72</v>
      </c>
      <c r="E2583" s="97">
        <v>115</v>
      </c>
      <c r="F2583" s="366">
        <f t="shared" si="332"/>
        <v>2495.5</v>
      </c>
      <c r="G2583" s="97">
        <v>3459</v>
      </c>
      <c r="H2583" s="367">
        <f t="shared" si="333"/>
        <v>5954.5</v>
      </c>
      <c r="I2583" s="368">
        <f t="shared" si="334"/>
        <v>0</v>
      </c>
      <c r="J2583" s="97">
        <v>12977</v>
      </c>
      <c r="K2583" s="367">
        <f t="shared" si="338"/>
        <v>9269.2857142857138</v>
      </c>
      <c r="L2583" s="606">
        <v>1.1499999999999999</v>
      </c>
      <c r="M2583" s="97">
        <v>9.4</v>
      </c>
      <c r="N2583" s="605">
        <v>35</v>
      </c>
      <c r="O2583" s="97">
        <v>4</v>
      </c>
      <c r="P2583" s="97" t="s">
        <v>514</v>
      </c>
      <c r="Q2583" s="97" t="str">
        <f t="shared" si="335"/>
        <v/>
      </c>
      <c r="R2583" t="str">
        <f t="shared" si="336"/>
        <v/>
      </c>
    </row>
    <row r="2584" spans="3:18">
      <c r="C2584" t="str">
        <f t="shared" si="337"/>
        <v/>
      </c>
      <c r="D2584" s="36">
        <v>73</v>
      </c>
      <c r="E2584" s="97">
        <v>120</v>
      </c>
      <c r="F2584" s="366">
        <f t="shared" si="332"/>
        <v>2604</v>
      </c>
      <c r="G2584" s="97">
        <v>1945</v>
      </c>
      <c r="H2584" s="367">
        <f t="shared" si="333"/>
        <v>4549</v>
      </c>
      <c r="I2584" s="368">
        <f t="shared" si="334"/>
        <v>0</v>
      </c>
      <c r="J2584" s="97">
        <v>7297</v>
      </c>
      <c r="K2584" s="367">
        <f t="shared" si="338"/>
        <v>5212.1428571428569</v>
      </c>
      <c r="L2584" s="606">
        <v>0.78</v>
      </c>
      <c r="M2584" s="97">
        <v>7</v>
      </c>
      <c r="N2584" s="605">
        <v>27</v>
      </c>
      <c r="O2584" s="97">
        <v>2</v>
      </c>
      <c r="P2584" s="97" t="s">
        <v>515</v>
      </c>
      <c r="Q2584" s="97" t="str">
        <f t="shared" si="335"/>
        <v/>
      </c>
      <c r="R2584" t="str">
        <f t="shared" si="336"/>
        <v/>
      </c>
    </row>
    <row r="2585" spans="3:18">
      <c r="C2585" t="str">
        <f t="shared" si="337"/>
        <v/>
      </c>
      <c r="D2585" s="36">
        <v>74</v>
      </c>
      <c r="E2585" s="97">
        <v>120</v>
      </c>
      <c r="F2585" s="366">
        <f t="shared" si="332"/>
        <v>2604</v>
      </c>
      <c r="G2585" s="97">
        <v>2819</v>
      </c>
      <c r="H2585" s="367">
        <f t="shared" si="333"/>
        <v>5423</v>
      </c>
      <c r="I2585" s="368">
        <f t="shared" si="334"/>
        <v>0</v>
      </c>
      <c r="J2585" s="97">
        <v>10576</v>
      </c>
      <c r="K2585" s="367">
        <f t="shared" si="338"/>
        <v>7554.2857142857147</v>
      </c>
      <c r="L2585" s="606">
        <v>0.33</v>
      </c>
      <c r="M2585" s="97">
        <v>9.4</v>
      </c>
      <c r="N2585" s="605">
        <v>25</v>
      </c>
      <c r="O2585" s="97">
        <v>4</v>
      </c>
      <c r="P2585" s="97" t="s">
        <v>515</v>
      </c>
      <c r="Q2585" s="97">
        <f t="shared" si="335"/>
        <v>74</v>
      </c>
      <c r="R2585" t="str">
        <f t="shared" si="336"/>
        <v/>
      </c>
    </row>
    <row r="2586" spans="3:18">
      <c r="C2586" t="str">
        <f t="shared" si="337"/>
        <v/>
      </c>
      <c r="D2586" s="36">
        <v>75</v>
      </c>
      <c r="E2586" s="97">
        <v>120</v>
      </c>
      <c r="F2586" s="366">
        <f t="shared" si="332"/>
        <v>2604</v>
      </c>
      <c r="G2586" s="97">
        <v>3523</v>
      </c>
      <c r="H2586" s="367">
        <f t="shared" si="333"/>
        <v>6127</v>
      </c>
      <c r="I2586" s="368">
        <f t="shared" si="334"/>
        <v>0</v>
      </c>
      <c r="J2586" s="97">
        <v>13218</v>
      </c>
      <c r="K2586" s="367">
        <f t="shared" si="338"/>
        <v>9441.4285714285725</v>
      </c>
      <c r="L2586" s="606">
        <v>1.25</v>
      </c>
      <c r="M2586" s="97">
        <v>9.4</v>
      </c>
      <c r="N2586" s="605">
        <v>35</v>
      </c>
      <c r="O2586" s="97">
        <v>4</v>
      </c>
      <c r="P2586" s="97" t="s">
        <v>514</v>
      </c>
      <c r="Q2586" s="97" t="str">
        <f t="shared" si="335"/>
        <v/>
      </c>
      <c r="R2586" t="str">
        <f t="shared" si="336"/>
        <v/>
      </c>
    </row>
    <row r="2587" spans="3:18">
      <c r="C2587" t="str">
        <f t="shared" si="337"/>
        <v/>
      </c>
      <c r="D2587" s="36">
        <v>76</v>
      </c>
      <c r="E2587" s="97">
        <v>125</v>
      </c>
      <c r="F2587" s="366">
        <f t="shared" si="332"/>
        <v>2712.5</v>
      </c>
      <c r="G2587" s="97">
        <v>1945</v>
      </c>
      <c r="H2587" s="367">
        <f t="shared" si="333"/>
        <v>4657.5</v>
      </c>
      <c r="I2587" s="368">
        <f t="shared" si="334"/>
        <v>0</v>
      </c>
      <c r="J2587" s="97">
        <v>7297</v>
      </c>
      <c r="K2587" s="367">
        <f t="shared" si="338"/>
        <v>5212.1428571428569</v>
      </c>
      <c r="L2587" s="606">
        <v>0.85</v>
      </c>
      <c r="M2587" s="97">
        <v>7</v>
      </c>
      <c r="N2587" s="605">
        <v>27</v>
      </c>
      <c r="O2587" s="97">
        <v>2</v>
      </c>
      <c r="P2587" s="97" t="s">
        <v>515</v>
      </c>
      <c r="Q2587" s="97" t="str">
        <f t="shared" si="335"/>
        <v/>
      </c>
      <c r="R2587" t="str">
        <f t="shared" si="336"/>
        <v/>
      </c>
    </row>
    <row r="2588" spans="3:18">
      <c r="C2588" t="str">
        <f t="shared" si="337"/>
        <v/>
      </c>
      <c r="D2588" s="36">
        <v>77</v>
      </c>
      <c r="E2588" s="97">
        <v>125</v>
      </c>
      <c r="F2588" s="366">
        <f t="shared" si="332"/>
        <v>2712.5</v>
      </c>
      <c r="G2588" s="97">
        <v>2931</v>
      </c>
      <c r="H2588" s="367">
        <f t="shared" si="333"/>
        <v>5643.5</v>
      </c>
      <c r="I2588" s="368">
        <f t="shared" si="334"/>
        <v>0</v>
      </c>
      <c r="J2588" s="97">
        <v>10999</v>
      </c>
      <c r="K2588" s="367">
        <f t="shared" si="338"/>
        <v>7856.4285714285716</v>
      </c>
      <c r="L2588" s="606">
        <v>0.36</v>
      </c>
      <c r="M2588" s="97">
        <v>9.4</v>
      </c>
      <c r="N2588" s="605">
        <v>25</v>
      </c>
      <c r="O2588" s="97">
        <v>4</v>
      </c>
      <c r="P2588" s="97" t="s">
        <v>515</v>
      </c>
      <c r="Q2588" s="97">
        <f t="shared" si="335"/>
        <v>77</v>
      </c>
      <c r="R2588" t="str">
        <f t="shared" si="336"/>
        <v/>
      </c>
    </row>
    <row r="2589" spans="3:18">
      <c r="C2589" t="str">
        <f t="shared" si="337"/>
        <v/>
      </c>
      <c r="D2589" s="36">
        <v>78</v>
      </c>
      <c r="E2589" s="97">
        <v>125</v>
      </c>
      <c r="F2589" s="366">
        <f t="shared" si="332"/>
        <v>2712.5</v>
      </c>
      <c r="G2589" s="97">
        <v>3574</v>
      </c>
      <c r="H2589" s="367">
        <f t="shared" si="333"/>
        <v>6286.5</v>
      </c>
      <c r="I2589" s="368">
        <f t="shared" si="334"/>
        <v>0</v>
      </c>
      <c r="J2589" s="97">
        <v>13409</v>
      </c>
      <c r="K2589" s="367">
        <f t="shared" si="338"/>
        <v>9577.8571428571431</v>
      </c>
      <c r="L2589" s="606">
        <v>1.36</v>
      </c>
      <c r="M2589" s="97">
        <v>9.4</v>
      </c>
      <c r="N2589" s="605">
        <v>36</v>
      </c>
      <c r="O2589" s="97">
        <v>4</v>
      </c>
      <c r="P2589" s="97" t="s">
        <v>514</v>
      </c>
      <c r="Q2589" s="97" t="str">
        <f t="shared" si="335"/>
        <v/>
      </c>
      <c r="R2589" t="str">
        <f t="shared" si="336"/>
        <v/>
      </c>
    </row>
    <row r="2590" spans="3:18">
      <c r="C2590" t="str">
        <f t="shared" si="337"/>
        <v/>
      </c>
      <c r="D2590" s="36">
        <v>79</v>
      </c>
      <c r="E2590" s="97">
        <v>130</v>
      </c>
      <c r="F2590" s="366">
        <f t="shared" si="332"/>
        <v>2821</v>
      </c>
      <c r="G2590" s="97">
        <v>1945</v>
      </c>
      <c r="H2590" s="367">
        <f t="shared" si="333"/>
        <v>4766</v>
      </c>
      <c r="I2590" s="368">
        <f t="shared" si="334"/>
        <v>0</v>
      </c>
      <c r="J2590" s="97">
        <v>7297</v>
      </c>
      <c r="K2590" s="367">
        <f t="shared" si="338"/>
        <v>5212.1428571428569</v>
      </c>
      <c r="L2590" s="606">
        <v>0.92</v>
      </c>
      <c r="M2590" s="97">
        <v>7</v>
      </c>
      <c r="N2590" s="605">
        <v>28</v>
      </c>
      <c r="O2590" s="97">
        <v>2</v>
      </c>
      <c r="P2590" s="97" t="s">
        <v>515</v>
      </c>
      <c r="Q2590" s="97" t="str">
        <f t="shared" si="335"/>
        <v/>
      </c>
      <c r="R2590" t="str">
        <f t="shared" si="336"/>
        <v/>
      </c>
    </row>
    <row r="2591" spans="3:18">
      <c r="C2591" t="str">
        <f t="shared" si="337"/>
        <v/>
      </c>
      <c r="D2591" s="36">
        <v>80</v>
      </c>
      <c r="E2591" s="97">
        <v>130</v>
      </c>
      <c r="F2591" s="366">
        <f t="shared" si="332"/>
        <v>2821</v>
      </c>
      <c r="G2591" s="97">
        <v>3043</v>
      </c>
      <c r="H2591" s="367">
        <f t="shared" si="333"/>
        <v>5864</v>
      </c>
      <c r="I2591" s="368">
        <f t="shared" si="334"/>
        <v>0</v>
      </c>
      <c r="J2591" s="97">
        <v>11420</v>
      </c>
      <c r="K2591" s="367">
        <f t="shared" si="338"/>
        <v>8157.1428571428569</v>
      </c>
      <c r="L2591" s="606">
        <v>0.39</v>
      </c>
      <c r="M2591" s="97">
        <v>9.4</v>
      </c>
      <c r="N2591" s="605">
        <v>26</v>
      </c>
      <c r="O2591" s="97">
        <v>4</v>
      </c>
      <c r="P2591" s="97" t="s">
        <v>515</v>
      </c>
      <c r="Q2591" s="97">
        <f t="shared" si="335"/>
        <v>80</v>
      </c>
      <c r="R2591" t="str">
        <f t="shared" si="336"/>
        <v/>
      </c>
    </row>
    <row r="2592" spans="3:18">
      <c r="C2592" t="str">
        <f t="shared" si="337"/>
        <v/>
      </c>
      <c r="D2592" s="36">
        <v>81</v>
      </c>
      <c r="E2592" s="97">
        <v>135</v>
      </c>
      <c r="F2592" s="366">
        <f t="shared" si="332"/>
        <v>2929.5</v>
      </c>
      <c r="G2592" s="97">
        <v>3155</v>
      </c>
      <c r="H2592" s="367">
        <f t="shared" si="333"/>
        <v>6084.5</v>
      </c>
      <c r="I2592" s="368">
        <f t="shared" si="334"/>
        <v>0</v>
      </c>
      <c r="J2592" s="97">
        <v>11839</v>
      </c>
      <c r="K2592" s="367">
        <f t="shared" si="338"/>
        <v>8456.4285714285725</v>
      </c>
      <c r="L2592" s="606">
        <v>0.42</v>
      </c>
      <c r="M2592" s="97">
        <v>9.4</v>
      </c>
      <c r="N2592" s="605">
        <v>26</v>
      </c>
      <c r="O2592" s="97">
        <v>4</v>
      </c>
      <c r="P2592" s="97" t="s">
        <v>515</v>
      </c>
      <c r="Q2592" s="97">
        <f t="shared" si="335"/>
        <v>81</v>
      </c>
      <c r="R2592" t="str">
        <f t="shared" si="336"/>
        <v/>
      </c>
    </row>
    <row r="2593" spans="3:18">
      <c r="C2593" t="str">
        <f t="shared" si="337"/>
        <v/>
      </c>
      <c r="D2593" s="36">
        <v>82</v>
      </c>
      <c r="E2593" s="97">
        <v>140</v>
      </c>
      <c r="F2593" s="366">
        <f t="shared" si="332"/>
        <v>3038</v>
      </c>
      <c r="G2593" s="97">
        <v>3267</v>
      </c>
      <c r="H2593" s="367">
        <f t="shared" si="333"/>
        <v>6305</v>
      </c>
      <c r="I2593" s="368">
        <f t="shared" si="334"/>
        <v>0</v>
      </c>
      <c r="J2593" s="97">
        <v>12258</v>
      </c>
      <c r="K2593" s="367">
        <f t="shared" si="338"/>
        <v>8755.7142857142862</v>
      </c>
      <c r="L2593" s="606">
        <v>0.45</v>
      </c>
      <c r="M2593" s="97">
        <v>9.4</v>
      </c>
      <c r="N2593" s="605">
        <v>27</v>
      </c>
      <c r="O2593" s="97">
        <v>4</v>
      </c>
      <c r="P2593" s="97" t="s">
        <v>515</v>
      </c>
      <c r="Q2593" s="97">
        <f t="shared" si="335"/>
        <v>82</v>
      </c>
      <c r="R2593" t="str">
        <f t="shared" si="336"/>
        <v/>
      </c>
    </row>
    <row r="2594" spans="3:18">
      <c r="C2594" t="str">
        <f t="shared" si="337"/>
        <v/>
      </c>
      <c r="D2594" s="36">
        <v>83</v>
      </c>
      <c r="E2594" s="97">
        <v>145</v>
      </c>
      <c r="F2594" s="366">
        <f t="shared" si="332"/>
        <v>3146.5</v>
      </c>
      <c r="G2594" s="97">
        <v>3379</v>
      </c>
      <c r="H2594" s="367">
        <f t="shared" si="333"/>
        <v>6525.5</v>
      </c>
      <c r="I2594" s="368">
        <f t="shared" si="334"/>
        <v>0</v>
      </c>
      <c r="J2594" s="97">
        <v>12677</v>
      </c>
      <c r="K2594" s="367">
        <f t="shared" si="338"/>
        <v>9055</v>
      </c>
      <c r="L2594" s="606">
        <v>0.48</v>
      </c>
      <c r="M2594" s="97">
        <v>9.4</v>
      </c>
      <c r="N2594" s="605">
        <v>27</v>
      </c>
      <c r="O2594" s="97">
        <v>4</v>
      </c>
      <c r="P2594" s="97" t="s">
        <v>515</v>
      </c>
      <c r="Q2594" s="97">
        <f t="shared" si="335"/>
        <v>83</v>
      </c>
      <c r="R2594" t="str">
        <f t="shared" si="336"/>
        <v/>
      </c>
    </row>
    <row r="2595" spans="3:18">
      <c r="C2595" t="str">
        <f t="shared" si="337"/>
        <v/>
      </c>
      <c r="D2595" s="36">
        <v>84</v>
      </c>
      <c r="E2595" s="97">
        <v>150</v>
      </c>
      <c r="F2595" s="366">
        <f t="shared" si="332"/>
        <v>3255</v>
      </c>
      <c r="G2595" s="97">
        <v>3453</v>
      </c>
      <c r="H2595" s="367">
        <f t="shared" si="333"/>
        <v>6708</v>
      </c>
      <c r="I2595" s="368">
        <f t="shared" si="334"/>
        <v>0</v>
      </c>
      <c r="J2595" s="97">
        <v>12956</v>
      </c>
      <c r="K2595" s="367">
        <f t="shared" si="338"/>
        <v>9254.2857142857138</v>
      </c>
      <c r="L2595" s="606">
        <v>0.51</v>
      </c>
      <c r="M2595" s="97">
        <v>9.4</v>
      </c>
      <c r="N2595" s="605">
        <v>28</v>
      </c>
      <c r="O2595" s="97">
        <v>4</v>
      </c>
      <c r="P2595" s="97" t="s">
        <v>515</v>
      </c>
      <c r="Q2595" s="97">
        <f t="shared" si="335"/>
        <v>84</v>
      </c>
      <c r="R2595" t="str">
        <f t="shared" si="336"/>
        <v/>
      </c>
    </row>
    <row r="2596" spans="3:18">
      <c r="C2596" t="str">
        <f t="shared" si="337"/>
        <v/>
      </c>
      <c r="D2596" s="36">
        <v>85</v>
      </c>
      <c r="E2596" s="97">
        <v>155</v>
      </c>
      <c r="F2596" s="366">
        <f t="shared" si="332"/>
        <v>3363.5</v>
      </c>
      <c r="G2596" s="97">
        <v>3500</v>
      </c>
      <c r="H2596" s="367">
        <f t="shared" si="333"/>
        <v>6863.5</v>
      </c>
      <c r="I2596" s="368">
        <f t="shared" si="334"/>
        <v>0</v>
      </c>
      <c r="J2596" s="97">
        <v>13134</v>
      </c>
      <c r="K2596" s="367">
        <f t="shared" si="338"/>
        <v>9381.4285714285725</v>
      </c>
      <c r="L2596" s="606">
        <v>0.55000000000000004</v>
      </c>
      <c r="M2596" s="97">
        <v>9.4</v>
      </c>
      <c r="N2596" s="605">
        <v>28</v>
      </c>
      <c r="O2596" s="97">
        <v>4</v>
      </c>
      <c r="P2596" s="97" t="s">
        <v>515</v>
      </c>
      <c r="Q2596" s="97">
        <f t="shared" si="335"/>
        <v>85</v>
      </c>
      <c r="R2596" t="str">
        <f t="shared" si="336"/>
        <v/>
      </c>
    </row>
    <row r="2597" spans="3:18">
      <c r="C2597" t="str">
        <f t="shared" si="337"/>
        <v/>
      </c>
      <c r="D2597" s="36">
        <v>86</v>
      </c>
      <c r="E2597" s="97">
        <v>160</v>
      </c>
      <c r="F2597" s="366">
        <f t="shared" si="332"/>
        <v>3472</v>
      </c>
      <c r="G2597" s="97">
        <v>3548</v>
      </c>
      <c r="H2597" s="367">
        <f t="shared" si="333"/>
        <v>7020</v>
      </c>
      <c r="I2597" s="368">
        <f t="shared" si="334"/>
        <v>0</v>
      </c>
      <c r="J2597" s="97">
        <v>13312</v>
      </c>
      <c r="K2597" s="367">
        <f t="shared" si="338"/>
        <v>9508.5714285714294</v>
      </c>
      <c r="L2597" s="606">
        <v>0.57999999999999996</v>
      </c>
      <c r="M2597" s="97">
        <v>9.4</v>
      </c>
      <c r="N2597" s="605">
        <v>29</v>
      </c>
      <c r="O2597" s="97">
        <v>4</v>
      </c>
      <c r="P2597" s="97" t="s">
        <v>515</v>
      </c>
      <c r="Q2597" s="97">
        <f t="shared" si="335"/>
        <v>86</v>
      </c>
      <c r="R2597" t="str">
        <f t="shared" si="336"/>
        <v/>
      </c>
    </row>
    <row r="2598" spans="3:18">
      <c r="C2598" t="str">
        <f t="shared" si="337"/>
        <v/>
      </c>
      <c r="D2598" s="36">
        <v>87</v>
      </c>
      <c r="E2598" s="97">
        <v>165</v>
      </c>
      <c r="F2598" s="366">
        <f t="shared" si="332"/>
        <v>3580.5</v>
      </c>
      <c r="G2598" s="97">
        <v>3595</v>
      </c>
      <c r="H2598" s="367">
        <f t="shared" si="333"/>
        <v>7175.5</v>
      </c>
      <c r="I2598" s="368">
        <f t="shared" si="334"/>
        <v>0</v>
      </c>
      <c r="J2598" s="97">
        <v>13489</v>
      </c>
      <c r="K2598" s="367">
        <f t="shared" si="338"/>
        <v>9635</v>
      </c>
      <c r="L2598" s="606">
        <v>0.62</v>
      </c>
      <c r="M2598" s="97">
        <v>9.4</v>
      </c>
      <c r="N2598" s="605">
        <v>29</v>
      </c>
      <c r="O2598" s="97">
        <v>4</v>
      </c>
      <c r="P2598" s="97" t="s">
        <v>515</v>
      </c>
      <c r="Q2598" s="97">
        <f t="shared" si="335"/>
        <v>87</v>
      </c>
      <c r="R2598" t="str">
        <f t="shared" si="336"/>
        <v/>
      </c>
    </row>
    <row r="2599" spans="3:18">
      <c r="C2599" t="str">
        <f t="shared" si="337"/>
        <v/>
      </c>
      <c r="D2599" s="36">
        <v>88</v>
      </c>
      <c r="E2599" s="97">
        <v>170</v>
      </c>
      <c r="F2599" s="366">
        <f t="shared" si="332"/>
        <v>3689</v>
      </c>
      <c r="G2599" s="97">
        <v>3636</v>
      </c>
      <c r="H2599" s="367">
        <f t="shared" si="333"/>
        <v>7325</v>
      </c>
      <c r="I2599" s="368">
        <f t="shared" si="334"/>
        <v>0</v>
      </c>
      <c r="J2599" s="97">
        <v>13643</v>
      </c>
      <c r="K2599" s="367">
        <f t="shared" si="338"/>
        <v>9745</v>
      </c>
      <c r="L2599" s="606">
        <v>0.66</v>
      </c>
      <c r="M2599" s="97">
        <v>9.4</v>
      </c>
      <c r="N2599" s="605">
        <v>29</v>
      </c>
      <c r="O2599" s="97">
        <v>4</v>
      </c>
      <c r="P2599" s="97" t="s">
        <v>515</v>
      </c>
      <c r="Q2599" s="97">
        <f t="shared" si="335"/>
        <v>88</v>
      </c>
      <c r="R2599" t="str">
        <f t="shared" si="336"/>
        <v/>
      </c>
    </row>
    <row r="2600" spans="3:18">
      <c r="C2600" t="str">
        <f t="shared" si="337"/>
        <v/>
      </c>
      <c r="D2600" s="36">
        <v>89</v>
      </c>
      <c r="E2600" s="97">
        <v>175</v>
      </c>
      <c r="F2600" s="366">
        <f t="shared" si="332"/>
        <v>3797.5</v>
      </c>
      <c r="G2600" s="97">
        <v>3673</v>
      </c>
      <c r="H2600" s="367">
        <f t="shared" si="333"/>
        <v>7470.5</v>
      </c>
      <c r="I2600" s="368">
        <f t="shared" si="334"/>
        <v>0</v>
      </c>
      <c r="J2600" s="97">
        <v>13783</v>
      </c>
      <c r="K2600" s="367">
        <f t="shared" si="338"/>
        <v>9845</v>
      </c>
      <c r="L2600" s="606">
        <v>0.69000000000000006</v>
      </c>
      <c r="M2600" s="97">
        <v>9.4</v>
      </c>
      <c r="N2600" s="605">
        <v>30</v>
      </c>
      <c r="O2600" s="97">
        <v>4</v>
      </c>
      <c r="P2600" s="97" t="s">
        <v>515</v>
      </c>
      <c r="Q2600" s="97">
        <f t="shared" si="335"/>
        <v>89</v>
      </c>
      <c r="R2600" t="str">
        <f t="shared" si="336"/>
        <v/>
      </c>
    </row>
    <row r="2601" spans="3:18">
      <c r="C2601" t="str">
        <f t="shared" si="337"/>
        <v/>
      </c>
      <c r="D2601" s="36">
        <v>90</v>
      </c>
      <c r="E2601" s="97">
        <v>180</v>
      </c>
      <c r="F2601" s="366">
        <f t="shared" si="332"/>
        <v>3906</v>
      </c>
      <c r="G2601" s="97">
        <v>3711</v>
      </c>
      <c r="H2601" s="367">
        <f t="shared" si="333"/>
        <v>7617</v>
      </c>
      <c r="I2601" s="368">
        <f t="shared" si="334"/>
        <v>0</v>
      </c>
      <c r="J2601" s="97">
        <v>13924</v>
      </c>
      <c r="K2601" s="367">
        <f t="shared" si="338"/>
        <v>9945.7142857142862</v>
      </c>
      <c r="L2601" s="606">
        <v>0.73</v>
      </c>
      <c r="M2601" s="97">
        <v>9.4</v>
      </c>
      <c r="N2601" s="605">
        <v>30</v>
      </c>
      <c r="O2601" s="97">
        <v>4</v>
      </c>
      <c r="P2601" s="97" t="s">
        <v>515</v>
      </c>
      <c r="Q2601" s="97" t="str">
        <f t="shared" si="335"/>
        <v/>
      </c>
      <c r="R2601" t="str">
        <f t="shared" si="336"/>
        <v/>
      </c>
    </row>
    <row r="2602" spans="3:18">
      <c r="C2602" t="str">
        <f t="shared" si="337"/>
        <v/>
      </c>
      <c r="D2602" s="36">
        <v>91</v>
      </c>
      <c r="E2602" s="97">
        <v>185</v>
      </c>
      <c r="F2602" s="366">
        <f t="shared" si="332"/>
        <v>4014.5</v>
      </c>
      <c r="G2602" s="97">
        <v>3748</v>
      </c>
      <c r="H2602" s="367">
        <f t="shared" si="333"/>
        <v>7762.5</v>
      </c>
      <c r="I2602" s="368">
        <f t="shared" si="334"/>
        <v>0</v>
      </c>
      <c r="J2602" s="97">
        <v>14064</v>
      </c>
      <c r="K2602" s="367">
        <f t="shared" si="338"/>
        <v>10045.714285714286</v>
      </c>
      <c r="L2602" s="606">
        <v>0.78</v>
      </c>
      <c r="M2602" s="97">
        <v>9.4</v>
      </c>
      <c r="N2602" s="605">
        <v>31</v>
      </c>
      <c r="O2602" s="97">
        <v>4</v>
      </c>
      <c r="P2602" s="97" t="s">
        <v>515</v>
      </c>
      <c r="Q2602" s="97" t="str">
        <f t="shared" si="335"/>
        <v/>
      </c>
      <c r="R2602" t="str">
        <f t="shared" si="336"/>
        <v/>
      </c>
    </row>
    <row r="2603" spans="3:18">
      <c r="C2603" t="str">
        <f t="shared" si="337"/>
        <v/>
      </c>
      <c r="D2603" s="36">
        <v>92</v>
      </c>
      <c r="E2603" s="97">
        <v>190</v>
      </c>
      <c r="F2603" s="366">
        <f t="shared" si="332"/>
        <v>4123</v>
      </c>
      <c r="G2603" s="97">
        <v>3804</v>
      </c>
      <c r="H2603" s="367">
        <f t="shared" si="333"/>
        <v>7927</v>
      </c>
      <c r="I2603" s="368">
        <f t="shared" si="334"/>
        <v>0</v>
      </c>
      <c r="J2603" s="97">
        <v>14273</v>
      </c>
      <c r="K2603" s="367">
        <f t="shared" si="338"/>
        <v>10195</v>
      </c>
      <c r="L2603" s="606">
        <v>0.82000000000000006</v>
      </c>
      <c r="M2603" s="97">
        <v>9.4</v>
      </c>
      <c r="N2603" s="605">
        <v>31</v>
      </c>
      <c r="O2603" s="97">
        <v>4</v>
      </c>
      <c r="P2603" s="97" t="s">
        <v>515</v>
      </c>
      <c r="Q2603" s="97" t="str">
        <f t="shared" si="335"/>
        <v/>
      </c>
      <c r="R2603" t="str">
        <f t="shared" si="336"/>
        <v/>
      </c>
    </row>
    <row r="2604" spans="3:18">
      <c r="C2604" t="str">
        <f t="shared" si="337"/>
        <v/>
      </c>
      <c r="D2604" s="36">
        <v>93</v>
      </c>
      <c r="E2604" s="97">
        <v>195</v>
      </c>
      <c r="F2604" s="366">
        <f t="shared" si="332"/>
        <v>4231.5</v>
      </c>
      <c r="G2604" s="97">
        <v>3866</v>
      </c>
      <c r="H2604" s="367">
        <f t="shared" si="333"/>
        <v>8097.5</v>
      </c>
      <c r="I2604" s="368">
        <f t="shared" si="334"/>
        <v>0</v>
      </c>
      <c r="J2604" s="97">
        <v>14505</v>
      </c>
      <c r="K2604" s="367">
        <f t="shared" si="338"/>
        <v>10360.714285714286</v>
      </c>
      <c r="L2604" s="606">
        <v>0.86</v>
      </c>
      <c r="M2604" s="97">
        <v>9.4</v>
      </c>
      <c r="N2604" s="605">
        <v>31</v>
      </c>
      <c r="O2604" s="97">
        <v>4</v>
      </c>
      <c r="P2604" s="97" t="s">
        <v>515</v>
      </c>
      <c r="Q2604" s="97" t="str">
        <f t="shared" si="335"/>
        <v/>
      </c>
      <c r="R2604" t="str">
        <f t="shared" si="336"/>
        <v/>
      </c>
    </row>
    <row r="2605" spans="3:18">
      <c r="C2605" t="str">
        <f t="shared" si="337"/>
        <v/>
      </c>
      <c r="D2605" s="36">
        <v>94</v>
      </c>
      <c r="E2605" s="97">
        <v>200</v>
      </c>
      <c r="F2605" s="366">
        <f t="shared" si="332"/>
        <v>4340</v>
      </c>
      <c r="G2605" s="97">
        <v>3928</v>
      </c>
      <c r="H2605" s="367">
        <f t="shared" si="333"/>
        <v>8268</v>
      </c>
      <c r="I2605" s="368">
        <f t="shared" si="334"/>
        <v>0</v>
      </c>
      <c r="J2605" s="97">
        <v>14738</v>
      </c>
      <c r="K2605" s="367">
        <f t="shared" si="338"/>
        <v>10527.142857142857</v>
      </c>
      <c r="L2605" s="606">
        <v>0.91</v>
      </c>
      <c r="M2605" s="97">
        <v>9.4</v>
      </c>
      <c r="N2605" s="605">
        <v>32</v>
      </c>
      <c r="O2605" s="97">
        <v>4</v>
      </c>
      <c r="P2605" s="97" t="s">
        <v>515</v>
      </c>
      <c r="Q2605" s="97" t="str">
        <f t="shared" si="335"/>
        <v/>
      </c>
      <c r="R2605" t="str">
        <f t="shared" si="336"/>
        <v/>
      </c>
    </row>
    <row r="2606" spans="3:18">
      <c r="C2606" t="str">
        <f t="shared" si="337"/>
        <v/>
      </c>
      <c r="D2606" s="36">
        <v>95</v>
      </c>
      <c r="E2606" s="97">
        <v>205</v>
      </c>
      <c r="F2606" s="366">
        <f t="shared" si="332"/>
        <v>4448.5</v>
      </c>
      <c r="G2606" s="97">
        <v>3990</v>
      </c>
      <c r="H2606" s="367">
        <f t="shared" si="333"/>
        <v>8438.5</v>
      </c>
      <c r="I2606" s="368">
        <f t="shared" si="334"/>
        <v>0</v>
      </c>
      <c r="J2606" s="97">
        <v>14971</v>
      </c>
      <c r="K2606" s="367">
        <f t="shared" si="338"/>
        <v>10693.571428571429</v>
      </c>
      <c r="L2606" s="606">
        <v>0.95</v>
      </c>
      <c r="M2606" s="97">
        <v>9.4</v>
      </c>
      <c r="N2606" s="605">
        <v>32</v>
      </c>
      <c r="O2606" s="97">
        <v>4</v>
      </c>
      <c r="P2606" s="97" t="s">
        <v>515</v>
      </c>
      <c r="Q2606" s="97" t="str">
        <f t="shared" si="335"/>
        <v/>
      </c>
      <c r="R2606" t="str">
        <f t="shared" si="336"/>
        <v/>
      </c>
    </row>
    <row r="2607" spans="3:18">
      <c r="C2607" t="str">
        <f t="shared" si="337"/>
        <v/>
      </c>
      <c r="D2607" s="36">
        <v>96</v>
      </c>
      <c r="E2607" s="97">
        <v>210</v>
      </c>
      <c r="F2607" s="366">
        <f t="shared" si="332"/>
        <v>4557</v>
      </c>
      <c r="G2607" s="97">
        <v>4049</v>
      </c>
      <c r="H2607" s="367">
        <f t="shared" si="333"/>
        <v>8606</v>
      </c>
      <c r="I2607" s="368">
        <f t="shared" si="334"/>
        <v>0</v>
      </c>
      <c r="J2607" s="97">
        <v>15191</v>
      </c>
      <c r="K2607" s="367">
        <f t="shared" si="338"/>
        <v>10850.714285714286</v>
      </c>
      <c r="L2607" s="606">
        <v>1</v>
      </c>
      <c r="M2607" s="97">
        <v>9.4</v>
      </c>
      <c r="N2607" s="605">
        <v>32</v>
      </c>
      <c r="O2607" s="97">
        <v>4</v>
      </c>
      <c r="P2607" s="97" t="s">
        <v>515</v>
      </c>
      <c r="Q2607" s="97" t="str">
        <f t="shared" si="335"/>
        <v/>
      </c>
      <c r="R2607" t="str">
        <f t="shared" si="336"/>
        <v/>
      </c>
    </row>
    <row r="2608" spans="3:18">
      <c r="C2608" t="str">
        <f t="shared" si="337"/>
        <v/>
      </c>
      <c r="D2608" s="36">
        <v>97</v>
      </c>
      <c r="E2608" s="97">
        <v>215</v>
      </c>
      <c r="F2608" s="366">
        <f t="shared" si="332"/>
        <v>4665.5</v>
      </c>
      <c r="G2608" s="97">
        <v>4106</v>
      </c>
      <c r="H2608" s="367">
        <f t="shared" si="333"/>
        <v>8771.5</v>
      </c>
      <c r="I2608" s="368">
        <f t="shared" si="334"/>
        <v>0</v>
      </c>
      <c r="J2608" s="97">
        <v>15408</v>
      </c>
      <c r="K2608" s="367">
        <f t="shared" si="338"/>
        <v>11005.714285714286</v>
      </c>
      <c r="L2608" s="606">
        <v>1.05</v>
      </c>
      <c r="M2608" s="97">
        <v>9.4</v>
      </c>
      <c r="N2608" s="605">
        <v>33</v>
      </c>
      <c r="O2608" s="97">
        <v>4</v>
      </c>
      <c r="P2608" s="97" t="s">
        <v>515</v>
      </c>
      <c r="Q2608" s="97" t="str">
        <f t="shared" si="335"/>
        <v/>
      </c>
      <c r="R2608" t="str">
        <f t="shared" si="336"/>
        <v/>
      </c>
    </row>
    <row r="2609" spans="2:18">
      <c r="E2609" s="97"/>
      <c r="H2609" s="97"/>
      <c r="I2609" s="97"/>
      <c r="J2609" s="97"/>
      <c r="K2609" s="97"/>
      <c r="L2609" s="97"/>
      <c r="M2609" s="97"/>
      <c r="N2609" s="97"/>
      <c r="O2609" s="97"/>
      <c r="P2609" s="97"/>
    </row>
    <row r="2610" spans="2:18">
      <c r="B2610" s="581"/>
      <c r="C2610" t="str">
        <f t="shared" si="337"/>
        <v/>
      </c>
      <c r="D2610" s="36">
        <v>1</v>
      </c>
      <c r="E2610" s="97">
        <v>10</v>
      </c>
      <c r="F2610" s="366">
        <f t="shared" si="332"/>
        <v>217</v>
      </c>
      <c r="G2610" s="97">
        <v>588</v>
      </c>
      <c r="H2610" s="367">
        <f t="shared" ref="H2610" si="339">(G2610*$U$7)+F2610</f>
        <v>805</v>
      </c>
      <c r="I2610" s="368">
        <f t="shared" ref="I2610" si="340">1.085*($C$2-$D$2)*E2610*$T$7</f>
        <v>0</v>
      </c>
      <c r="J2610" s="97">
        <v>1356</v>
      </c>
      <c r="K2610" s="367">
        <f t="shared" si="338"/>
        <v>968.57142857142856</v>
      </c>
      <c r="L2610" s="97">
        <v>0.11</v>
      </c>
      <c r="M2610" s="97">
        <v>5.6999999999999993</v>
      </c>
      <c r="N2610" s="97">
        <v>15</v>
      </c>
      <c r="O2610" s="97">
        <v>2</v>
      </c>
      <c r="P2610" s="97" t="s">
        <v>512</v>
      </c>
      <c r="Q2610" s="97" t="str">
        <f t="shared" si="335"/>
        <v/>
      </c>
      <c r="R2610" t="str">
        <f>IF(Q2610="","",IF(AND(O2610&lt;$X$19,E2610&gt;$U$19,E2610&lt;$Q$4+$U$19+1),D2610,""))</f>
        <v/>
      </c>
    </row>
    <row r="2611" spans="2:18">
      <c r="B2611" s="582"/>
      <c r="C2611" t="str">
        <f t="shared" si="337"/>
        <v/>
      </c>
      <c r="D2611" s="36">
        <v>2</v>
      </c>
      <c r="E2611" s="97">
        <v>15</v>
      </c>
      <c r="F2611" s="366">
        <f t="shared" si="332"/>
        <v>325.5</v>
      </c>
      <c r="G2611" s="97">
        <v>662</v>
      </c>
      <c r="H2611" s="367">
        <f t="shared" ref="H2611:H2674" si="341">(G2611*$U$7)+F2611</f>
        <v>987.5</v>
      </c>
      <c r="I2611" s="368">
        <f t="shared" ref="I2611:I2674" si="342">1.085*($C$2-$D$2)*E2611*$T$7</f>
        <v>0</v>
      </c>
      <c r="J2611" s="97">
        <v>1528</v>
      </c>
      <c r="K2611" s="367">
        <f t="shared" si="338"/>
        <v>1091.4285714285716</v>
      </c>
      <c r="L2611" s="97">
        <v>0.13</v>
      </c>
      <c r="M2611" s="97">
        <v>5.6999999999999993</v>
      </c>
      <c r="N2611" s="97">
        <v>15</v>
      </c>
      <c r="O2611" s="97">
        <v>2</v>
      </c>
      <c r="P2611" s="97" t="s">
        <v>513</v>
      </c>
      <c r="Q2611" s="97" t="str">
        <f t="shared" si="335"/>
        <v/>
      </c>
      <c r="R2611" t="str">
        <f t="shared" ref="R2611:R2674" si="343">IF(Q2611="","",IF(AND(O2611&lt;$X$19,E2611&gt;$U$19,E2611&lt;$Q$4+$U$19+1),D2611,""))</f>
        <v/>
      </c>
    </row>
    <row r="2612" spans="2:18">
      <c r="C2612" t="str">
        <f t="shared" si="337"/>
        <v/>
      </c>
      <c r="D2612" s="36">
        <v>3</v>
      </c>
      <c r="E2612" s="97">
        <v>15</v>
      </c>
      <c r="F2612" s="366">
        <f t="shared" ref="F2612:F2675" si="344">1.085*($A$2-$B$2)*E2612*$T$7</f>
        <v>325.5</v>
      </c>
      <c r="G2612" s="97">
        <v>783</v>
      </c>
      <c r="H2612" s="367">
        <f t="shared" si="341"/>
        <v>1108.5</v>
      </c>
      <c r="I2612" s="368">
        <f t="shared" si="342"/>
        <v>0</v>
      </c>
      <c r="J2612" s="97">
        <v>1806</v>
      </c>
      <c r="K2612" s="367">
        <f t="shared" si="338"/>
        <v>1290</v>
      </c>
      <c r="L2612" s="97">
        <v>0.25</v>
      </c>
      <c r="M2612" s="97">
        <v>5.6999999999999993</v>
      </c>
      <c r="N2612" s="97">
        <v>15</v>
      </c>
      <c r="O2612" s="97">
        <v>2</v>
      </c>
      <c r="P2612" s="97" t="s">
        <v>512</v>
      </c>
      <c r="Q2612" s="97" t="str">
        <f t="shared" si="335"/>
        <v/>
      </c>
      <c r="R2612" t="str">
        <f t="shared" si="343"/>
        <v/>
      </c>
    </row>
    <row r="2613" spans="2:18">
      <c r="C2613" t="str">
        <f t="shared" si="337"/>
        <v/>
      </c>
      <c r="D2613" s="36">
        <v>4</v>
      </c>
      <c r="E2613" s="97">
        <v>15</v>
      </c>
      <c r="F2613" s="366">
        <f t="shared" si="344"/>
        <v>325.5</v>
      </c>
      <c r="G2613" s="97">
        <v>823</v>
      </c>
      <c r="H2613" s="367">
        <f t="shared" si="341"/>
        <v>1148.5</v>
      </c>
      <c r="I2613" s="368">
        <f t="shared" si="342"/>
        <v>0</v>
      </c>
      <c r="J2613" s="97">
        <v>1899</v>
      </c>
      <c r="K2613" s="367">
        <f t="shared" si="338"/>
        <v>1356.4285714285716</v>
      </c>
      <c r="L2613" s="97">
        <v>0.11</v>
      </c>
      <c r="M2613" s="97">
        <v>10</v>
      </c>
      <c r="N2613" s="97">
        <v>15</v>
      </c>
      <c r="O2613" s="97">
        <v>4</v>
      </c>
      <c r="P2613" s="97" t="s">
        <v>512</v>
      </c>
      <c r="Q2613" s="97" t="str">
        <f t="shared" si="335"/>
        <v/>
      </c>
      <c r="R2613" t="str">
        <f t="shared" si="343"/>
        <v/>
      </c>
    </row>
    <row r="2614" spans="2:18">
      <c r="C2614" t="str">
        <f t="shared" si="337"/>
        <v/>
      </c>
      <c r="D2614" s="36">
        <v>5</v>
      </c>
      <c r="E2614" s="97">
        <v>20</v>
      </c>
      <c r="F2614" s="366">
        <f t="shared" si="344"/>
        <v>434</v>
      </c>
      <c r="G2614" s="97">
        <v>817</v>
      </c>
      <c r="H2614" s="367">
        <f t="shared" si="341"/>
        <v>1251</v>
      </c>
      <c r="I2614" s="368">
        <f t="shared" si="342"/>
        <v>0</v>
      </c>
      <c r="J2614" s="97">
        <v>1884</v>
      </c>
      <c r="K2614" s="367">
        <f t="shared" si="338"/>
        <v>1345.7142857142858</v>
      </c>
      <c r="L2614" s="97">
        <v>0.23</v>
      </c>
      <c r="M2614" s="97">
        <v>5.6999999999999993</v>
      </c>
      <c r="N2614" s="97">
        <v>15</v>
      </c>
      <c r="O2614" s="97">
        <v>2</v>
      </c>
      <c r="P2614" s="97" t="s">
        <v>513</v>
      </c>
      <c r="Q2614" s="97" t="str">
        <f t="shared" si="335"/>
        <v/>
      </c>
      <c r="R2614" t="str">
        <f t="shared" si="343"/>
        <v/>
      </c>
    </row>
    <row r="2615" spans="2:18">
      <c r="C2615" t="str">
        <f t="shared" si="337"/>
        <v/>
      </c>
      <c r="D2615" s="36">
        <v>6</v>
      </c>
      <c r="E2615" s="97">
        <v>20</v>
      </c>
      <c r="F2615" s="366">
        <f t="shared" si="344"/>
        <v>434</v>
      </c>
      <c r="G2615" s="97">
        <v>1063</v>
      </c>
      <c r="H2615" s="367">
        <f t="shared" si="341"/>
        <v>1497</v>
      </c>
      <c r="I2615" s="368">
        <f t="shared" si="342"/>
        <v>0</v>
      </c>
      <c r="J2615" s="97">
        <v>2451</v>
      </c>
      <c r="K2615" s="367">
        <f t="shared" si="338"/>
        <v>1750.7142857142858</v>
      </c>
      <c r="L2615" s="97">
        <v>0.44</v>
      </c>
      <c r="M2615" s="97">
        <v>5.6999999999999993</v>
      </c>
      <c r="N2615" s="97">
        <v>15</v>
      </c>
      <c r="O2615" s="97">
        <v>2</v>
      </c>
      <c r="P2615" s="97" t="s">
        <v>512</v>
      </c>
      <c r="Q2615" s="97" t="str">
        <f t="shared" si="335"/>
        <v/>
      </c>
      <c r="R2615" t="str">
        <f t="shared" si="343"/>
        <v/>
      </c>
    </row>
    <row r="2616" spans="2:18">
      <c r="C2616" t="str">
        <f t="shared" si="337"/>
        <v/>
      </c>
      <c r="D2616" s="36">
        <v>7</v>
      </c>
      <c r="E2616" s="97">
        <v>20</v>
      </c>
      <c r="F2616" s="366">
        <f t="shared" si="344"/>
        <v>434</v>
      </c>
      <c r="G2616" s="97">
        <v>1069</v>
      </c>
      <c r="H2616" s="367">
        <f t="shared" si="341"/>
        <v>1503</v>
      </c>
      <c r="I2616" s="368">
        <f t="shared" si="342"/>
        <v>0</v>
      </c>
      <c r="J2616" s="97">
        <v>2465</v>
      </c>
      <c r="K2616" s="367">
        <f t="shared" si="338"/>
        <v>1760.7142857142858</v>
      </c>
      <c r="L2616" s="97">
        <v>0.18000000000000002</v>
      </c>
      <c r="M2616" s="97">
        <v>10</v>
      </c>
      <c r="N2616" s="97">
        <v>15</v>
      </c>
      <c r="O2616" s="97">
        <v>4</v>
      </c>
      <c r="P2616" s="97" t="s">
        <v>512</v>
      </c>
      <c r="Q2616" s="97" t="str">
        <f t="shared" si="335"/>
        <v/>
      </c>
      <c r="R2616" t="str">
        <f t="shared" si="343"/>
        <v/>
      </c>
    </row>
    <row r="2617" spans="2:18">
      <c r="C2617" t="str">
        <f t="shared" si="337"/>
        <v/>
      </c>
      <c r="D2617" s="36">
        <v>8</v>
      </c>
      <c r="E2617" s="97">
        <v>25</v>
      </c>
      <c r="F2617" s="366">
        <f t="shared" si="344"/>
        <v>542.5</v>
      </c>
      <c r="G2617" s="97">
        <v>1046</v>
      </c>
      <c r="H2617" s="367">
        <f t="shared" si="341"/>
        <v>1588.5</v>
      </c>
      <c r="I2617" s="368">
        <f t="shared" si="342"/>
        <v>0</v>
      </c>
      <c r="J2617" s="97">
        <v>2413</v>
      </c>
      <c r="K2617" s="367">
        <f t="shared" si="338"/>
        <v>1723.5714285714287</v>
      </c>
      <c r="L2617" s="97">
        <v>0.35000000000000003</v>
      </c>
      <c r="M2617" s="97">
        <v>5.6999999999999993</v>
      </c>
      <c r="N2617" s="97">
        <v>16</v>
      </c>
      <c r="O2617" s="97">
        <v>2</v>
      </c>
      <c r="P2617" s="97" t="s">
        <v>513</v>
      </c>
      <c r="Q2617" s="97" t="str">
        <f t="shared" si="335"/>
        <v/>
      </c>
      <c r="R2617" t="str">
        <f t="shared" si="343"/>
        <v/>
      </c>
    </row>
    <row r="2618" spans="2:18">
      <c r="C2618" t="str">
        <f t="shared" si="337"/>
        <v/>
      </c>
      <c r="D2618" s="36">
        <v>9</v>
      </c>
      <c r="E2618" s="97">
        <v>25</v>
      </c>
      <c r="F2618" s="366">
        <f t="shared" si="344"/>
        <v>542.5</v>
      </c>
      <c r="G2618" s="97">
        <v>1213</v>
      </c>
      <c r="H2618" s="367">
        <f t="shared" si="341"/>
        <v>1755.5</v>
      </c>
      <c r="I2618" s="368">
        <f t="shared" si="342"/>
        <v>0</v>
      </c>
      <c r="J2618" s="97">
        <v>2797</v>
      </c>
      <c r="K2618" s="367">
        <f t="shared" si="338"/>
        <v>1997.8571428571429</v>
      </c>
      <c r="L2618" s="97">
        <v>0.69000000000000006</v>
      </c>
      <c r="M2618" s="97">
        <v>5.6999999999999993</v>
      </c>
      <c r="N2618" s="97">
        <v>17</v>
      </c>
      <c r="O2618" s="97">
        <v>2</v>
      </c>
      <c r="P2618" s="97" t="s">
        <v>512</v>
      </c>
      <c r="Q2618" s="97" t="str">
        <f t="shared" si="335"/>
        <v/>
      </c>
      <c r="R2618" t="str">
        <f t="shared" si="343"/>
        <v/>
      </c>
    </row>
    <row r="2619" spans="2:18">
      <c r="C2619" t="str">
        <f t="shared" si="337"/>
        <v/>
      </c>
      <c r="D2619" s="36">
        <v>10</v>
      </c>
      <c r="E2619" s="97">
        <v>25</v>
      </c>
      <c r="F2619" s="366">
        <f t="shared" si="344"/>
        <v>542.5</v>
      </c>
      <c r="G2619" s="97">
        <v>1053</v>
      </c>
      <c r="H2619" s="367">
        <f t="shared" si="341"/>
        <v>1595.5</v>
      </c>
      <c r="I2619" s="368">
        <f t="shared" si="342"/>
        <v>0</v>
      </c>
      <c r="J2619" s="97">
        <v>2430</v>
      </c>
      <c r="K2619" s="367">
        <f t="shared" si="338"/>
        <v>1735.7142857142858</v>
      </c>
      <c r="L2619" s="97">
        <v>0.14000000000000001</v>
      </c>
      <c r="M2619" s="97">
        <v>10</v>
      </c>
      <c r="N2619" s="97">
        <v>15</v>
      </c>
      <c r="O2619" s="97">
        <v>4</v>
      </c>
      <c r="P2619" s="97" t="s">
        <v>513</v>
      </c>
      <c r="Q2619" s="97" t="str">
        <f t="shared" si="335"/>
        <v/>
      </c>
      <c r="R2619" t="str">
        <f t="shared" si="343"/>
        <v/>
      </c>
    </row>
    <row r="2620" spans="2:18">
      <c r="C2620" t="str">
        <f t="shared" si="337"/>
        <v/>
      </c>
      <c r="D2620" s="36">
        <v>11</v>
      </c>
      <c r="E2620" s="97">
        <v>25</v>
      </c>
      <c r="F2620" s="366">
        <f t="shared" si="344"/>
        <v>542.5</v>
      </c>
      <c r="G2620" s="97">
        <v>1382</v>
      </c>
      <c r="H2620" s="367">
        <f t="shared" si="341"/>
        <v>1924.5</v>
      </c>
      <c r="I2620" s="368">
        <f t="shared" si="342"/>
        <v>0</v>
      </c>
      <c r="J2620" s="97">
        <v>3186</v>
      </c>
      <c r="K2620" s="367">
        <f t="shared" si="338"/>
        <v>2275.7142857142858</v>
      </c>
      <c r="L2620" s="97">
        <v>0.29000000000000004</v>
      </c>
      <c r="M2620" s="97">
        <v>10</v>
      </c>
      <c r="N2620" s="97">
        <v>15</v>
      </c>
      <c r="O2620" s="97">
        <v>4</v>
      </c>
      <c r="P2620" s="97" t="s">
        <v>512</v>
      </c>
      <c r="Q2620" s="97" t="str">
        <f t="shared" si="335"/>
        <v/>
      </c>
      <c r="R2620" t="str">
        <f t="shared" si="343"/>
        <v/>
      </c>
    </row>
    <row r="2621" spans="2:18">
      <c r="C2621" t="str">
        <f t="shared" si="337"/>
        <v/>
      </c>
      <c r="D2621" s="36">
        <v>12</v>
      </c>
      <c r="E2621" s="97">
        <v>30</v>
      </c>
      <c r="F2621" s="366">
        <f t="shared" si="344"/>
        <v>651</v>
      </c>
      <c r="G2621" s="97">
        <v>998</v>
      </c>
      <c r="H2621" s="367">
        <f t="shared" si="341"/>
        <v>1649</v>
      </c>
      <c r="I2621" s="368">
        <f t="shared" si="342"/>
        <v>0</v>
      </c>
      <c r="J2621" s="97">
        <v>2302</v>
      </c>
      <c r="K2621" s="367">
        <f t="shared" si="338"/>
        <v>1644.2857142857142</v>
      </c>
      <c r="L2621" s="97">
        <v>0.2</v>
      </c>
      <c r="M2621" s="97">
        <v>5.6999999999999993</v>
      </c>
      <c r="N2621" s="97">
        <v>20</v>
      </c>
      <c r="O2621" s="97">
        <v>2</v>
      </c>
      <c r="P2621" s="97" t="s">
        <v>514</v>
      </c>
      <c r="Q2621" s="97" t="str">
        <f t="shared" si="335"/>
        <v/>
      </c>
      <c r="R2621" t="str">
        <f t="shared" si="343"/>
        <v/>
      </c>
    </row>
    <row r="2622" spans="2:18">
      <c r="C2622" t="str">
        <f t="shared" si="337"/>
        <v/>
      </c>
      <c r="D2622" s="36">
        <v>13</v>
      </c>
      <c r="E2622" s="97">
        <v>30</v>
      </c>
      <c r="F2622" s="366">
        <f t="shared" si="344"/>
        <v>651</v>
      </c>
      <c r="G2622" s="97">
        <v>1181</v>
      </c>
      <c r="H2622" s="367">
        <f t="shared" si="341"/>
        <v>1832</v>
      </c>
      <c r="I2622" s="368">
        <f t="shared" si="342"/>
        <v>0</v>
      </c>
      <c r="J2622" s="97">
        <v>2724</v>
      </c>
      <c r="K2622" s="367">
        <f t="shared" si="338"/>
        <v>1945.7142857142858</v>
      </c>
      <c r="L2622" s="97">
        <v>0.51</v>
      </c>
      <c r="M2622" s="97">
        <v>5.6999999999999993</v>
      </c>
      <c r="N2622" s="97">
        <v>19</v>
      </c>
      <c r="O2622" s="97">
        <v>2</v>
      </c>
      <c r="P2622" s="97" t="s">
        <v>513</v>
      </c>
      <c r="Q2622" s="97" t="str">
        <f t="shared" si="335"/>
        <v/>
      </c>
      <c r="R2622" t="str">
        <f t="shared" si="343"/>
        <v/>
      </c>
    </row>
    <row r="2623" spans="2:18">
      <c r="C2623" t="str">
        <f t="shared" si="337"/>
        <v/>
      </c>
      <c r="D2623" s="36">
        <v>14</v>
      </c>
      <c r="E2623" s="97">
        <v>30</v>
      </c>
      <c r="F2623" s="366">
        <f t="shared" si="344"/>
        <v>651</v>
      </c>
      <c r="G2623" s="97">
        <v>1298</v>
      </c>
      <c r="H2623" s="367">
        <f t="shared" si="341"/>
        <v>1949</v>
      </c>
      <c r="I2623" s="368">
        <f t="shared" si="342"/>
        <v>0</v>
      </c>
      <c r="J2623" s="97">
        <v>2994</v>
      </c>
      <c r="K2623" s="367">
        <f t="shared" si="338"/>
        <v>2138.5714285714284</v>
      </c>
      <c r="L2623" s="97">
        <v>0.21000000000000002</v>
      </c>
      <c r="M2623" s="97">
        <v>10</v>
      </c>
      <c r="N2623" s="97">
        <v>16</v>
      </c>
      <c r="O2623" s="97">
        <v>4</v>
      </c>
      <c r="P2623" s="97" t="s">
        <v>513</v>
      </c>
      <c r="Q2623" s="97" t="str">
        <f t="shared" si="335"/>
        <v/>
      </c>
      <c r="R2623" t="str">
        <f t="shared" si="343"/>
        <v/>
      </c>
    </row>
    <row r="2624" spans="2:18">
      <c r="C2624" t="str">
        <f t="shared" si="337"/>
        <v/>
      </c>
      <c r="D2624" s="36">
        <v>15</v>
      </c>
      <c r="E2624" s="97">
        <v>30</v>
      </c>
      <c r="F2624" s="366">
        <f t="shared" si="344"/>
        <v>651</v>
      </c>
      <c r="G2624" s="97">
        <v>1646</v>
      </c>
      <c r="H2624" s="367">
        <f t="shared" si="341"/>
        <v>2297</v>
      </c>
      <c r="I2624" s="368">
        <f t="shared" si="342"/>
        <v>0</v>
      </c>
      <c r="J2624" s="97">
        <v>3795</v>
      </c>
      <c r="K2624" s="367">
        <f t="shared" si="338"/>
        <v>2710.7142857142858</v>
      </c>
      <c r="L2624" s="97">
        <v>0.41000000000000003</v>
      </c>
      <c r="M2624" s="97">
        <v>10</v>
      </c>
      <c r="N2624" s="97">
        <v>17</v>
      </c>
      <c r="O2624" s="97">
        <v>4</v>
      </c>
      <c r="P2624" s="97" t="s">
        <v>512</v>
      </c>
      <c r="Q2624" s="97" t="str">
        <f t="shared" si="335"/>
        <v/>
      </c>
      <c r="R2624" t="str">
        <f t="shared" si="343"/>
        <v/>
      </c>
    </row>
    <row r="2625" spans="3:18">
      <c r="C2625" t="str">
        <f t="shared" si="337"/>
        <v/>
      </c>
      <c r="D2625" s="36">
        <v>16</v>
      </c>
      <c r="E2625" s="97">
        <v>35</v>
      </c>
      <c r="F2625" s="366">
        <f t="shared" si="344"/>
        <v>759.5</v>
      </c>
      <c r="G2625" s="97">
        <v>1184</v>
      </c>
      <c r="H2625" s="367">
        <f t="shared" si="341"/>
        <v>1943.5</v>
      </c>
      <c r="I2625" s="368">
        <f t="shared" si="342"/>
        <v>0</v>
      </c>
      <c r="J2625" s="97">
        <v>2731</v>
      </c>
      <c r="K2625" s="367">
        <f t="shared" si="338"/>
        <v>1950.7142857142858</v>
      </c>
      <c r="L2625" s="97">
        <v>0.27</v>
      </c>
      <c r="M2625" s="97">
        <v>5.6999999999999993</v>
      </c>
      <c r="N2625" s="97">
        <v>22</v>
      </c>
      <c r="O2625" s="97">
        <v>2</v>
      </c>
      <c r="P2625" s="97" t="s">
        <v>514</v>
      </c>
      <c r="Q2625" s="97" t="str">
        <f t="shared" si="335"/>
        <v/>
      </c>
      <c r="R2625" t="str">
        <f t="shared" si="343"/>
        <v/>
      </c>
    </row>
    <row r="2626" spans="3:18">
      <c r="C2626" t="str">
        <f t="shared" si="337"/>
        <v/>
      </c>
      <c r="D2626" s="36">
        <v>17</v>
      </c>
      <c r="E2626" s="97">
        <v>35</v>
      </c>
      <c r="F2626" s="366">
        <f t="shared" si="344"/>
        <v>759.5</v>
      </c>
      <c r="G2626" s="97">
        <v>1263</v>
      </c>
      <c r="H2626" s="367">
        <f t="shared" si="341"/>
        <v>2022.5</v>
      </c>
      <c r="I2626" s="368">
        <f t="shared" si="342"/>
        <v>0</v>
      </c>
      <c r="J2626" s="97">
        <v>2912</v>
      </c>
      <c r="K2626" s="367">
        <f t="shared" si="338"/>
        <v>2080</v>
      </c>
      <c r="L2626" s="97">
        <v>0.69000000000000006</v>
      </c>
      <c r="M2626" s="97">
        <v>5.6999999999999993</v>
      </c>
      <c r="N2626" s="97">
        <v>21</v>
      </c>
      <c r="O2626" s="97">
        <v>2</v>
      </c>
      <c r="P2626" s="97" t="s">
        <v>513</v>
      </c>
      <c r="Q2626" s="97" t="str">
        <f t="shared" si="335"/>
        <v/>
      </c>
      <c r="R2626" t="str">
        <f t="shared" si="343"/>
        <v/>
      </c>
    </row>
    <row r="2627" spans="3:18">
      <c r="C2627" t="str">
        <f t="shared" si="337"/>
        <v/>
      </c>
      <c r="D2627" s="36">
        <v>18</v>
      </c>
      <c r="E2627" s="97">
        <v>35</v>
      </c>
      <c r="F2627" s="366">
        <f t="shared" si="344"/>
        <v>759.5</v>
      </c>
      <c r="G2627" s="97">
        <v>1545</v>
      </c>
      <c r="H2627" s="367">
        <f t="shared" si="341"/>
        <v>2304.5</v>
      </c>
      <c r="I2627" s="368">
        <f t="shared" si="342"/>
        <v>0</v>
      </c>
      <c r="J2627" s="97">
        <v>3564</v>
      </c>
      <c r="K2627" s="367">
        <f t="shared" si="338"/>
        <v>2545.7142857142858</v>
      </c>
      <c r="L2627" s="97">
        <v>0.28000000000000003</v>
      </c>
      <c r="M2627" s="97">
        <v>10</v>
      </c>
      <c r="N2627" s="97">
        <v>18</v>
      </c>
      <c r="O2627" s="97">
        <v>4</v>
      </c>
      <c r="P2627" s="97" t="s">
        <v>513</v>
      </c>
      <c r="Q2627" s="97" t="str">
        <f t="shared" si="335"/>
        <v/>
      </c>
      <c r="R2627" t="str">
        <f t="shared" si="343"/>
        <v/>
      </c>
    </row>
    <row r="2628" spans="3:18">
      <c r="C2628" t="str">
        <f t="shared" si="337"/>
        <v/>
      </c>
      <c r="D2628" s="36">
        <v>19</v>
      </c>
      <c r="E2628" s="97">
        <v>35</v>
      </c>
      <c r="F2628" s="366">
        <f t="shared" si="344"/>
        <v>759.5</v>
      </c>
      <c r="G2628" s="97">
        <v>1830</v>
      </c>
      <c r="H2628" s="367">
        <f t="shared" si="341"/>
        <v>2589.5</v>
      </c>
      <c r="I2628" s="368">
        <f t="shared" si="342"/>
        <v>0</v>
      </c>
      <c r="J2628" s="97">
        <v>4220</v>
      </c>
      <c r="K2628" s="367">
        <f t="shared" si="338"/>
        <v>3014.2857142857142</v>
      </c>
      <c r="L2628" s="97">
        <v>0.56000000000000005</v>
      </c>
      <c r="M2628" s="97">
        <v>10</v>
      </c>
      <c r="N2628" s="97">
        <v>19</v>
      </c>
      <c r="O2628" s="97">
        <v>4</v>
      </c>
      <c r="P2628" s="97" t="s">
        <v>512</v>
      </c>
      <c r="Q2628" s="97" t="str">
        <f t="shared" si="335"/>
        <v/>
      </c>
      <c r="R2628" t="str">
        <f t="shared" si="343"/>
        <v/>
      </c>
    </row>
    <row r="2629" spans="3:18">
      <c r="C2629" t="str">
        <f t="shared" si="337"/>
        <v/>
      </c>
      <c r="D2629" s="36">
        <v>20</v>
      </c>
      <c r="E2629" s="97">
        <v>40</v>
      </c>
      <c r="F2629" s="366">
        <f t="shared" si="344"/>
        <v>868</v>
      </c>
      <c r="G2629" s="97">
        <v>1308</v>
      </c>
      <c r="H2629" s="367">
        <f t="shared" si="341"/>
        <v>2176</v>
      </c>
      <c r="I2629" s="368">
        <f t="shared" si="342"/>
        <v>0</v>
      </c>
      <c r="J2629" s="97">
        <v>3017</v>
      </c>
      <c r="K2629" s="367">
        <f t="shared" si="338"/>
        <v>2155</v>
      </c>
      <c r="L2629" s="97">
        <v>0.35000000000000003</v>
      </c>
      <c r="M2629" s="97">
        <v>5.6999999999999993</v>
      </c>
      <c r="N2629" s="97">
        <v>23</v>
      </c>
      <c r="O2629" s="97">
        <v>2</v>
      </c>
      <c r="P2629" s="97" t="s">
        <v>514</v>
      </c>
      <c r="Q2629" s="97" t="str">
        <f t="shared" si="335"/>
        <v/>
      </c>
      <c r="R2629" t="str">
        <f t="shared" si="343"/>
        <v/>
      </c>
    </row>
    <row r="2630" spans="3:18">
      <c r="C2630" t="str">
        <f t="shared" si="337"/>
        <v/>
      </c>
      <c r="D2630" s="36">
        <v>21</v>
      </c>
      <c r="E2630" s="97">
        <v>40</v>
      </c>
      <c r="F2630" s="366">
        <f t="shared" si="344"/>
        <v>868</v>
      </c>
      <c r="G2630" s="97">
        <v>1371</v>
      </c>
      <c r="H2630" s="367">
        <f t="shared" si="341"/>
        <v>2239</v>
      </c>
      <c r="I2630" s="368">
        <f t="shared" si="342"/>
        <v>0</v>
      </c>
      <c r="J2630" s="97">
        <v>3161</v>
      </c>
      <c r="K2630" s="367">
        <f t="shared" si="338"/>
        <v>2257.8571428571431</v>
      </c>
      <c r="L2630" s="97">
        <v>0.9</v>
      </c>
      <c r="M2630" s="97">
        <v>5.6999999999999993</v>
      </c>
      <c r="N2630" s="97">
        <v>22</v>
      </c>
      <c r="O2630" s="97">
        <v>2</v>
      </c>
      <c r="P2630" s="97" t="s">
        <v>513</v>
      </c>
      <c r="Q2630" s="97" t="str">
        <f t="shared" si="335"/>
        <v/>
      </c>
      <c r="R2630" t="str">
        <f t="shared" si="343"/>
        <v/>
      </c>
    </row>
    <row r="2631" spans="3:18">
      <c r="C2631" t="str">
        <f t="shared" si="337"/>
        <v/>
      </c>
      <c r="D2631" s="36">
        <v>22</v>
      </c>
      <c r="E2631" s="97">
        <v>40</v>
      </c>
      <c r="F2631" s="366">
        <f t="shared" si="344"/>
        <v>868</v>
      </c>
      <c r="G2631" s="97">
        <v>1697</v>
      </c>
      <c r="H2631" s="367">
        <f t="shared" si="341"/>
        <v>2565</v>
      </c>
      <c r="I2631" s="368">
        <f t="shared" si="342"/>
        <v>0</v>
      </c>
      <c r="J2631" s="97">
        <v>3913</v>
      </c>
      <c r="K2631" s="367">
        <f t="shared" si="338"/>
        <v>2795</v>
      </c>
      <c r="L2631" s="97">
        <v>0.36</v>
      </c>
      <c r="M2631" s="97">
        <v>10</v>
      </c>
      <c r="N2631" s="97">
        <v>19</v>
      </c>
      <c r="O2631" s="97">
        <v>4</v>
      </c>
      <c r="P2631" s="97" t="s">
        <v>513</v>
      </c>
      <c r="Q2631" s="97" t="str">
        <f t="shared" si="335"/>
        <v/>
      </c>
      <c r="R2631" t="str">
        <f t="shared" si="343"/>
        <v/>
      </c>
    </row>
    <row r="2632" spans="3:18">
      <c r="C2632" t="str">
        <f t="shared" si="337"/>
        <v/>
      </c>
      <c r="D2632" s="36">
        <v>23</v>
      </c>
      <c r="E2632" s="97">
        <v>40</v>
      </c>
      <c r="F2632" s="366">
        <f t="shared" si="344"/>
        <v>868</v>
      </c>
      <c r="G2632" s="97">
        <v>1990</v>
      </c>
      <c r="H2632" s="367">
        <f t="shared" si="341"/>
        <v>2858</v>
      </c>
      <c r="I2632" s="368">
        <f t="shared" si="342"/>
        <v>0</v>
      </c>
      <c r="J2632" s="97">
        <v>4588</v>
      </c>
      <c r="K2632" s="367">
        <f t="shared" si="338"/>
        <v>3277.1428571428573</v>
      </c>
      <c r="L2632" s="97">
        <v>0.72</v>
      </c>
      <c r="M2632" s="97">
        <v>10</v>
      </c>
      <c r="N2632" s="97">
        <v>21</v>
      </c>
      <c r="O2632" s="97">
        <v>4</v>
      </c>
      <c r="P2632" s="97" t="s">
        <v>512</v>
      </c>
      <c r="Q2632" s="97" t="str">
        <f t="shared" si="335"/>
        <v/>
      </c>
      <c r="R2632" t="str">
        <f t="shared" si="343"/>
        <v/>
      </c>
    </row>
    <row r="2633" spans="3:18">
      <c r="C2633" t="str">
        <f t="shared" si="337"/>
        <v/>
      </c>
      <c r="D2633" s="36">
        <v>24</v>
      </c>
      <c r="E2633" s="97">
        <v>45</v>
      </c>
      <c r="F2633" s="366">
        <f t="shared" si="344"/>
        <v>976.5</v>
      </c>
      <c r="G2633" s="97">
        <v>1372</v>
      </c>
      <c r="H2633" s="367">
        <f t="shared" si="341"/>
        <v>2348.5</v>
      </c>
      <c r="I2633" s="368">
        <f t="shared" si="342"/>
        <v>0</v>
      </c>
      <c r="J2633" s="97">
        <v>3163</v>
      </c>
      <c r="K2633" s="367">
        <f t="shared" si="338"/>
        <v>2259.2857142857142</v>
      </c>
      <c r="L2633" s="97">
        <v>0.44</v>
      </c>
      <c r="M2633" s="97">
        <v>5.6999999999999993</v>
      </c>
      <c r="N2633" s="97">
        <v>25</v>
      </c>
      <c r="O2633" s="97">
        <v>2</v>
      </c>
      <c r="P2633" s="97" t="s">
        <v>514</v>
      </c>
      <c r="Q2633" s="97" t="str">
        <f t="shared" si="335"/>
        <v/>
      </c>
      <c r="R2633" t="str">
        <f t="shared" si="343"/>
        <v/>
      </c>
    </row>
    <row r="2634" spans="3:18">
      <c r="C2634" t="str">
        <f t="shared" si="337"/>
        <v/>
      </c>
      <c r="D2634" s="36">
        <v>25</v>
      </c>
      <c r="E2634" s="97">
        <v>45</v>
      </c>
      <c r="F2634" s="366">
        <f t="shared" si="344"/>
        <v>976.5</v>
      </c>
      <c r="G2634" s="97">
        <v>1590</v>
      </c>
      <c r="H2634" s="367">
        <f t="shared" si="341"/>
        <v>2566.5</v>
      </c>
      <c r="I2634" s="368">
        <f t="shared" si="342"/>
        <v>0</v>
      </c>
      <c r="J2634" s="97">
        <v>3666</v>
      </c>
      <c r="K2634" s="367">
        <f t="shared" si="338"/>
        <v>2618.5714285714284</v>
      </c>
      <c r="L2634" s="97">
        <v>0.18000000000000002</v>
      </c>
      <c r="M2634" s="97">
        <v>10</v>
      </c>
      <c r="N2634" s="97">
        <v>23</v>
      </c>
      <c r="O2634" s="97">
        <v>4</v>
      </c>
      <c r="P2634" s="97" t="s">
        <v>514</v>
      </c>
      <c r="Q2634" s="97" t="str">
        <f t="shared" si="335"/>
        <v/>
      </c>
      <c r="R2634" t="str">
        <f t="shared" si="343"/>
        <v/>
      </c>
    </row>
    <row r="2635" spans="3:18">
      <c r="C2635" t="str">
        <f t="shared" si="337"/>
        <v/>
      </c>
      <c r="D2635" s="36">
        <v>26</v>
      </c>
      <c r="E2635" s="97">
        <v>45</v>
      </c>
      <c r="F2635" s="366">
        <f t="shared" si="344"/>
        <v>976.5</v>
      </c>
      <c r="G2635" s="97">
        <v>1842</v>
      </c>
      <c r="H2635" s="367">
        <f t="shared" si="341"/>
        <v>2818.5</v>
      </c>
      <c r="I2635" s="368">
        <f t="shared" si="342"/>
        <v>0</v>
      </c>
      <c r="J2635" s="97">
        <v>4248</v>
      </c>
      <c r="K2635" s="367">
        <f t="shared" si="338"/>
        <v>3034.2857142857142</v>
      </c>
      <c r="L2635" s="97">
        <v>0.46</v>
      </c>
      <c r="M2635" s="97">
        <v>10</v>
      </c>
      <c r="N2635" s="97">
        <v>21</v>
      </c>
      <c r="O2635" s="97">
        <v>4</v>
      </c>
      <c r="P2635" s="97" t="s">
        <v>513</v>
      </c>
      <c r="Q2635" s="97" t="str">
        <f t="shared" si="335"/>
        <v/>
      </c>
      <c r="R2635" t="str">
        <f t="shared" si="343"/>
        <v/>
      </c>
    </row>
    <row r="2636" spans="3:18">
      <c r="C2636" t="str">
        <f t="shared" si="337"/>
        <v/>
      </c>
      <c r="D2636" s="36">
        <v>27</v>
      </c>
      <c r="E2636" s="97">
        <v>50</v>
      </c>
      <c r="F2636" s="366">
        <f t="shared" si="344"/>
        <v>1085</v>
      </c>
      <c r="G2636" s="97">
        <v>1253</v>
      </c>
      <c r="H2636" s="367">
        <f t="shared" si="341"/>
        <v>2338</v>
      </c>
      <c r="I2636" s="368">
        <f t="shared" si="342"/>
        <v>0</v>
      </c>
      <c r="J2636" s="97">
        <v>2889</v>
      </c>
      <c r="K2636" s="367">
        <f t="shared" si="338"/>
        <v>2063.5714285714284</v>
      </c>
      <c r="L2636" s="97">
        <v>0.14000000000000001</v>
      </c>
      <c r="M2636" s="97">
        <v>5.6999999999999993</v>
      </c>
      <c r="N2636" s="97">
        <v>16</v>
      </c>
      <c r="O2636" s="97">
        <v>2</v>
      </c>
      <c r="P2636" s="97" t="s">
        <v>515</v>
      </c>
      <c r="Q2636" s="97" t="str">
        <f t="shared" si="335"/>
        <v/>
      </c>
      <c r="R2636" t="str">
        <f t="shared" si="343"/>
        <v/>
      </c>
    </row>
    <row r="2637" spans="3:18">
      <c r="C2637" t="str">
        <f t="shared" si="337"/>
        <v/>
      </c>
      <c r="D2637" s="36">
        <v>28</v>
      </c>
      <c r="E2637" s="97">
        <v>50</v>
      </c>
      <c r="F2637" s="366">
        <f t="shared" si="344"/>
        <v>1085</v>
      </c>
      <c r="G2637" s="97">
        <v>1448</v>
      </c>
      <c r="H2637" s="367">
        <f t="shared" si="341"/>
        <v>2533</v>
      </c>
      <c r="I2637" s="368">
        <f t="shared" si="342"/>
        <v>0</v>
      </c>
      <c r="J2637" s="97">
        <v>3339</v>
      </c>
      <c r="K2637" s="367">
        <f t="shared" si="338"/>
        <v>2385</v>
      </c>
      <c r="L2637" s="97">
        <v>0.54</v>
      </c>
      <c r="M2637" s="97">
        <v>5.6999999999999993</v>
      </c>
      <c r="N2637" s="97">
        <v>26</v>
      </c>
      <c r="O2637" s="97">
        <v>2</v>
      </c>
      <c r="P2637" s="97" t="s">
        <v>514</v>
      </c>
      <c r="Q2637" s="97" t="str">
        <f t="shared" si="335"/>
        <v/>
      </c>
      <c r="R2637" t="str">
        <f t="shared" si="343"/>
        <v/>
      </c>
    </row>
    <row r="2638" spans="3:18">
      <c r="C2638" t="str">
        <f t="shared" si="337"/>
        <v/>
      </c>
      <c r="D2638" s="36">
        <v>29</v>
      </c>
      <c r="E2638" s="97">
        <v>50</v>
      </c>
      <c r="F2638" s="366">
        <f t="shared" si="344"/>
        <v>1085</v>
      </c>
      <c r="G2638" s="97">
        <v>1780</v>
      </c>
      <c r="H2638" s="367">
        <f t="shared" si="341"/>
        <v>2865</v>
      </c>
      <c r="I2638" s="368">
        <f t="shared" si="342"/>
        <v>0</v>
      </c>
      <c r="J2638" s="97">
        <v>4104</v>
      </c>
      <c r="K2638" s="367">
        <f t="shared" si="338"/>
        <v>2931.4285714285716</v>
      </c>
      <c r="L2638" s="97">
        <v>0.22</v>
      </c>
      <c r="M2638" s="97">
        <v>10</v>
      </c>
      <c r="N2638" s="97">
        <v>24</v>
      </c>
      <c r="O2638" s="97">
        <v>4</v>
      </c>
      <c r="P2638" s="97" t="s">
        <v>514</v>
      </c>
      <c r="Q2638" s="97" t="str">
        <f t="shared" si="335"/>
        <v/>
      </c>
      <c r="R2638" t="str">
        <f t="shared" si="343"/>
        <v/>
      </c>
    </row>
    <row r="2639" spans="3:18">
      <c r="C2639" t="str">
        <f t="shared" si="337"/>
        <v/>
      </c>
      <c r="D2639" s="36">
        <v>30</v>
      </c>
      <c r="E2639" s="97">
        <v>50</v>
      </c>
      <c r="F2639" s="366">
        <f t="shared" si="344"/>
        <v>1085</v>
      </c>
      <c r="G2639" s="97">
        <v>1964</v>
      </c>
      <c r="H2639" s="367">
        <f t="shared" si="341"/>
        <v>3049</v>
      </c>
      <c r="I2639" s="368">
        <f t="shared" si="342"/>
        <v>0</v>
      </c>
      <c r="J2639" s="97">
        <v>4530</v>
      </c>
      <c r="K2639" s="367">
        <f t="shared" si="338"/>
        <v>3235.7142857142858</v>
      </c>
      <c r="L2639" s="97">
        <v>0.56000000000000005</v>
      </c>
      <c r="M2639" s="97">
        <v>10</v>
      </c>
      <c r="N2639" s="97">
        <v>22</v>
      </c>
      <c r="O2639" s="97">
        <v>4</v>
      </c>
      <c r="P2639" s="97" t="s">
        <v>513</v>
      </c>
      <c r="Q2639" s="97">
        <f t="shared" si="335"/>
        <v>30</v>
      </c>
      <c r="R2639" t="str">
        <f t="shared" si="343"/>
        <v/>
      </c>
    </row>
    <row r="2640" spans="3:18">
      <c r="C2640" t="str">
        <f t="shared" si="337"/>
        <v/>
      </c>
      <c r="D2640" s="36">
        <v>31</v>
      </c>
      <c r="E2640" s="97">
        <v>55</v>
      </c>
      <c r="F2640" s="366">
        <f t="shared" si="344"/>
        <v>1193.5</v>
      </c>
      <c r="G2640" s="97">
        <v>1335</v>
      </c>
      <c r="H2640" s="367">
        <f t="shared" si="341"/>
        <v>2528.5</v>
      </c>
      <c r="I2640" s="368">
        <f t="shared" si="342"/>
        <v>0</v>
      </c>
      <c r="J2640" s="97">
        <v>3078</v>
      </c>
      <c r="K2640" s="367">
        <f t="shared" si="338"/>
        <v>2198.5714285714284</v>
      </c>
      <c r="L2640" s="97">
        <v>0.17</v>
      </c>
      <c r="M2640" s="97">
        <v>5.6999999999999993</v>
      </c>
      <c r="N2640" s="97">
        <v>17</v>
      </c>
      <c r="O2640" s="97">
        <v>2</v>
      </c>
      <c r="P2640" s="97" t="s">
        <v>515</v>
      </c>
      <c r="Q2640" s="97" t="str">
        <f t="shared" si="335"/>
        <v/>
      </c>
      <c r="R2640" t="str">
        <f t="shared" si="343"/>
        <v/>
      </c>
    </row>
    <row r="2641" spans="3:18">
      <c r="C2641" t="str">
        <f t="shared" si="337"/>
        <v/>
      </c>
      <c r="D2641" s="36">
        <v>32</v>
      </c>
      <c r="E2641" s="97">
        <v>55</v>
      </c>
      <c r="F2641" s="366">
        <f t="shared" si="344"/>
        <v>1193.5</v>
      </c>
      <c r="G2641" s="97">
        <v>1535</v>
      </c>
      <c r="H2641" s="367">
        <f t="shared" si="341"/>
        <v>2728.5</v>
      </c>
      <c r="I2641" s="368">
        <f t="shared" si="342"/>
        <v>0</v>
      </c>
      <c r="J2641" s="97">
        <v>3540</v>
      </c>
      <c r="K2641" s="367">
        <f t="shared" si="338"/>
        <v>2528.5714285714284</v>
      </c>
      <c r="L2641" s="97">
        <v>0.65</v>
      </c>
      <c r="M2641" s="97">
        <v>5.6999999999999993</v>
      </c>
      <c r="N2641" s="97">
        <v>28</v>
      </c>
      <c r="O2641" s="97">
        <v>2</v>
      </c>
      <c r="P2641" s="97" t="s">
        <v>514</v>
      </c>
      <c r="Q2641" s="97" t="str">
        <f t="shared" ref="Q2641:Q2704" si="345">IF(AND(H2641+1&gt;$E$4,L2641&lt;$L$4+0.01,M2641&lt;$M$4+0.01,K2641+1&gt;$F$4,E2641+1&gt;$J$4,N2641&lt;$K$4+1,O2641&lt;$P$4+1,C2641=""),D2641,"")</f>
        <v/>
      </c>
      <c r="R2641" t="str">
        <f t="shared" si="343"/>
        <v/>
      </c>
    </row>
    <row r="2642" spans="3:18">
      <c r="C2642" t="str">
        <f t="shared" si="337"/>
        <v/>
      </c>
      <c r="D2642" s="36">
        <v>33</v>
      </c>
      <c r="E2642" s="97">
        <v>55</v>
      </c>
      <c r="F2642" s="366">
        <f t="shared" si="344"/>
        <v>1193.5</v>
      </c>
      <c r="G2642" s="97">
        <v>1897</v>
      </c>
      <c r="H2642" s="367">
        <f t="shared" si="341"/>
        <v>3090.5</v>
      </c>
      <c r="I2642" s="368">
        <f t="shared" si="342"/>
        <v>0</v>
      </c>
      <c r="J2642" s="97">
        <v>4375</v>
      </c>
      <c r="K2642" s="367">
        <f t="shared" si="338"/>
        <v>3125</v>
      </c>
      <c r="L2642" s="97">
        <v>0.27</v>
      </c>
      <c r="M2642" s="97">
        <v>10</v>
      </c>
      <c r="N2642" s="97">
        <v>25</v>
      </c>
      <c r="O2642" s="97">
        <v>4</v>
      </c>
      <c r="P2642" s="97" t="s">
        <v>514</v>
      </c>
      <c r="Q2642" s="97">
        <f t="shared" si="345"/>
        <v>33</v>
      </c>
      <c r="R2642" t="str">
        <f t="shared" si="343"/>
        <v/>
      </c>
    </row>
    <row r="2643" spans="3:18">
      <c r="C2643" t="str">
        <f t="shared" ref="C2643:C2709" si="346">IF(OR($O$4=0,O2643-$O$4=0),IF(AND(ISEVEN(O2643)=FALSE,$N$4="Even"),"NL",""),"NL")</f>
        <v/>
      </c>
      <c r="D2643" s="36">
        <v>34</v>
      </c>
      <c r="E2643" s="97">
        <v>55</v>
      </c>
      <c r="F2643" s="366">
        <f t="shared" si="344"/>
        <v>1193.5</v>
      </c>
      <c r="G2643" s="97">
        <v>2085</v>
      </c>
      <c r="H2643" s="367">
        <f t="shared" si="341"/>
        <v>3278.5</v>
      </c>
      <c r="I2643" s="368">
        <f t="shared" si="342"/>
        <v>0</v>
      </c>
      <c r="J2643" s="97">
        <v>4807</v>
      </c>
      <c r="K2643" s="367">
        <f t="shared" ref="K2643:K2709" si="347">(J2643*$V$7)-I2643</f>
        <v>3433.5714285714284</v>
      </c>
      <c r="L2643" s="97">
        <v>0.68</v>
      </c>
      <c r="M2643" s="97">
        <v>10</v>
      </c>
      <c r="N2643" s="97">
        <v>24</v>
      </c>
      <c r="O2643" s="97">
        <v>4</v>
      </c>
      <c r="P2643" s="97" t="s">
        <v>513</v>
      </c>
      <c r="Q2643" s="97">
        <f t="shared" si="345"/>
        <v>34</v>
      </c>
      <c r="R2643" t="str">
        <f t="shared" si="343"/>
        <v/>
      </c>
    </row>
    <row r="2644" spans="3:18">
      <c r="C2644" t="str">
        <f t="shared" si="346"/>
        <v/>
      </c>
      <c r="D2644" s="36">
        <v>35</v>
      </c>
      <c r="E2644" s="97">
        <v>60</v>
      </c>
      <c r="F2644" s="366">
        <f t="shared" si="344"/>
        <v>1302</v>
      </c>
      <c r="G2644" s="97">
        <v>1385</v>
      </c>
      <c r="H2644" s="367">
        <f t="shared" si="341"/>
        <v>2687</v>
      </c>
      <c r="I2644" s="368">
        <f t="shared" si="342"/>
        <v>0</v>
      </c>
      <c r="J2644" s="97">
        <v>3194</v>
      </c>
      <c r="K2644" s="367">
        <f t="shared" si="347"/>
        <v>2281.4285714285716</v>
      </c>
      <c r="L2644" s="97">
        <v>0.2</v>
      </c>
      <c r="M2644" s="97">
        <v>5.6999999999999993</v>
      </c>
      <c r="N2644" s="97">
        <v>18</v>
      </c>
      <c r="O2644" s="97">
        <v>2</v>
      </c>
      <c r="P2644" s="97" t="s">
        <v>515</v>
      </c>
      <c r="Q2644" s="97" t="str">
        <f t="shared" si="345"/>
        <v/>
      </c>
      <c r="R2644" t="str">
        <f t="shared" si="343"/>
        <v/>
      </c>
    </row>
    <row r="2645" spans="3:18">
      <c r="C2645" t="str">
        <f t="shared" si="346"/>
        <v/>
      </c>
      <c r="D2645" s="36">
        <v>36</v>
      </c>
      <c r="E2645" s="97">
        <v>60</v>
      </c>
      <c r="F2645" s="366">
        <f t="shared" si="344"/>
        <v>1302</v>
      </c>
      <c r="G2645" s="97">
        <v>1610</v>
      </c>
      <c r="H2645" s="367">
        <f t="shared" si="341"/>
        <v>2912</v>
      </c>
      <c r="I2645" s="368">
        <f t="shared" si="342"/>
        <v>0</v>
      </c>
      <c r="J2645" s="97">
        <v>3713</v>
      </c>
      <c r="K2645" s="367">
        <f t="shared" si="347"/>
        <v>2652.1428571428573</v>
      </c>
      <c r="L2645" s="97">
        <v>0.77</v>
      </c>
      <c r="M2645" s="97">
        <v>5.6999999999999993</v>
      </c>
      <c r="N2645" s="97">
        <v>29</v>
      </c>
      <c r="O2645" s="97">
        <v>2</v>
      </c>
      <c r="P2645" s="97" t="s">
        <v>514</v>
      </c>
      <c r="Q2645" s="97" t="str">
        <f t="shared" si="345"/>
        <v/>
      </c>
      <c r="R2645" t="str">
        <f t="shared" si="343"/>
        <v/>
      </c>
    </row>
    <row r="2646" spans="3:18">
      <c r="C2646" t="str">
        <f t="shared" si="346"/>
        <v/>
      </c>
      <c r="D2646" s="36">
        <v>37</v>
      </c>
      <c r="E2646" s="97">
        <v>60</v>
      </c>
      <c r="F2646" s="366">
        <f t="shared" si="344"/>
        <v>1302</v>
      </c>
      <c r="G2646" s="97">
        <v>2015</v>
      </c>
      <c r="H2646" s="367">
        <f t="shared" si="341"/>
        <v>3317</v>
      </c>
      <c r="I2646" s="368">
        <f t="shared" si="342"/>
        <v>0</v>
      </c>
      <c r="J2646" s="97">
        <v>4647</v>
      </c>
      <c r="K2646" s="367">
        <f t="shared" si="347"/>
        <v>3319.2857142857142</v>
      </c>
      <c r="L2646" s="97">
        <v>0.32</v>
      </c>
      <c r="M2646" s="97">
        <v>10</v>
      </c>
      <c r="N2646" s="97">
        <v>27</v>
      </c>
      <c r="O2646" s="97">
        <v>4</v>
      </c>
      <c r="P2646" s="97" t="s">
        <v>514</v>
      </c>
      <c r="Q2646" s="97">
        <f t="shared" si="345"/>
        <v>37</v>
      </c>
      <c r="R2646" t="str">
        <f t="shared" si="343"/>
        <v/>
      </c>
    </row>
    <row r="2647" spans="3:18">
      <c r="C2647" t="str">
        <f t="shared" si="346"/>
        <v/>
      </c>
      <c r="D2647" s="36">
        <v>38</v>
      </c>
      <c r="E2647" s="97">
        <v>60</v>
      </c>
      <c r="F2647" s="366">
        <f t="shared" si="344"/>
        <v>1302</v>
      </c>
      <c r="G2647" s="97">
        <v>2274</v>
      </c>
      <c r="H2647" s="367">
        <f t="shared" si="341"/>
        <v>3576</v>
      </c>
      <c r="I2647" s="368">
        <f t="shared" si="342"/>
        <v>0</v>
      </c>
      <c r="J2647" s="97">
        <v>5244</v>
      </c>
      <c r="K2647" s="367">
        <f t="shared" si="347"/>
        <v>3745.7142857142858</v>
      </c>
      <c r="L2647" s="97">
        <v>0.81</v>
      </c>
      <c r="M2647" s="97">
        <v>10</v>
      </c>
      <c r="N2647" s="97">
        <v>25</v>
      </c>
      <c r="O2647" s="97">
        <v>4</v>
      </c>
      <c r="P2647" s="97" t="s">
        <v>513</v>
      </c>
      <c r="Q2647" s="97" t="str">
        <f t="shared" si="345"/>
        <v/>
      </c>
      <c r="R2647" t="str">
        <f t="shared" si="343"/>
        <v/>
      </c>
    </row>
    <row r="2648" spans="3:18">
      <c r="C2648" t="str">
        <f t="shared" si="346"/>
        <v/>
      </c>
      <c r="D2648" s="36">
        <v>39</v>
      </c>
      <c r="E2648" s="97">
        <v>65</v>
      </c>
      <c r="F2648" s="366">
        <f t="shared" si="344"/>
        <v>1410.5</v>
      </c>
      <c r="G2648" s="97">
        <v>1427</v>
      </c>
      <c r="H2648" s="367">
        <f t="shared" si="341"/>
        <v>2837.5</v>
      </c>
      <c r="I2648" s="368">
        <f t="shared" si="342"/>
        <v>0</v>
      </c>
      <c r="J2648" s="97">
        <v>3290</v>
      </c>
      <c r="K2648" s="367">
        <f t="shared" si="347"/>
        <v>2350</v>
      </c>
      <c r="L2648" s="97">
        <v>0.24000000000000002</v>
      </c>
      <c r="M2648" s="97">
        <v>5.6999999999999993</v>
      </c>
      <c r="N2648" s="97">
        <v>19</v>
      </c>
      <c r="O2648" s="97">
        <v>2</v>
      </c>
      <c r="P2648" s="97" t="s">
        <v>515</v>
      </c>
      <c r="Q2648" s="97" t="str">
        <f t="shared" si="345"/>
        <v/>
      </c>
      <c r="R2648" t="str">
        <f t="shared" si="343"/>
        <v/>
      </c>
    </row>
    <row r="2649" spans="3:18">
      <c r="C2649" t="str">
        <f t="shared" si="346"/>
        <v/>
      </c>
      <c r="D2649" s="36">
        <v>40</v>
      </c>
      <c r="E2649" s="97">
        <v>65</v>
      </c>
      <c r="F2649" s="366">
        <f t="shared" si="344"/>
        <v>1410.5</v>
      </c>
      <c r="G2649" s="97">
        <v>1674</v>
      </c>
      <c r="H2649" s="367">
        <f t="shared" si="341"/>
        <v>3084.5</v>
      </c>
      <c r="I2649" s="368">
        <f t="shared" si="342"/>
        <v>0</v>
      </c>
      <c r="J2649" s="97">
        <v>3860</v>
      </c>
      <c r="K2649" s="367">
        <f t="shared" si="347"/>
        <v>2757.1428571428573</v>
      </c>
      <c r="L2649" s="97">
        <v>0.91</v>
      </c>
      <c r="M2649" s="97">
        <v>5.6999999999999993</v>
      </c>
      <c r="N2649" s="97">
        <v>30</v>
      </c>
      <c r="O2649" s="97">
        <v>2</v>
      </c>
      <c r="P2649" s="97" t="s">
        <v>514</v>
      </c>
      <c r="Q2649" s="97" t="str">
        <f t="shared" si="345"/>
        <v/>
      </c>
      <c r="R2649" t="str">
        <f t="shared" si="343"/>
        <v/>
      </c>
    </row>
    <row r="2650" spans="3:18">
      <c r="C2650" t="str">
        <f t="shared" si="346"/>
        <v/>
      </c>
      <c r="D2650" s="36">
        <v>41</v>
      </c>
      <c r="E2650" s="97">
        <v>65</v>
      </c>
      <c r="F2650" s="366">
        <f t="shared" si="344"/>
        <v>1410.5</v>
      </c>
      <c r="G2650" s="97">
        <v>2127</v>
      </c>
      <c r="H2650" s="367">
        <f t="shared" si="341"/>
        <v>3537.5</v>
      </c>
      <c r="I2650" s="368">
        <f t="shared" si="342"/>
        <v>0</v>
      </c>
      <c r="J2650" s="97">
        <v>4904</v>
      </c>
      <c r="K2650" s="367">
        <f t="shared" si="347"/>
        <v>3502.8571428571431</v>
      </c>
      <c r="L2650" s="97">
        <v>0.38</v>
      </c>
      <c r="M2650" s="97">
        <v>10</v>
      </c>
      <c r="N2650" s="97">
        <v>28</v>
      </c>
      <c r="O2650" s="97">
        <v>4</v>
      </c>
      <c r="P2650" s="97" t="s">
        <v>514</v>
      </c>
      <c r="Q2650" s="97">
        <f t="shared" si="345"/>
        <v>41</v>
      </c>
      <c r="R2650" t="str">
        <f t="shared" si="343"/>
        <v/>
      </c>
    </row>
    <row r="2651" spans="3:18">
      <c r="C2651" t="str">
        <f t="shared" si="346"/>
        <v/>
      </c>
      <c r="D2651" s="36">
        <v>42</v>
      </c>
      <c r="E2651" s="97">
        <v>65</v>
      </c>
      <c r="F2651" s="366">
        <f t="shared" si="344"/>
        <v>1410.5</v>
      </c>
      <c r="G2651" s="97">
        <v>2471</v>
      </c>
      <c r="H2651" s="367">
        <f t="shared" si="341"/>
        <v>3881.5</v>
      </c>
      <c r="I2651" s="368">
        <f t="shared" si="342"/>
        <v>0</v>
      </c>
      <c r="J2651" s="97">
        <v>5698</v>
      </c>
      <c r="K2651" s="367">
        <f t="shared" si="347"/>
        <v>4070</v>
      </c>
      <c r="L2651" s="97">
        <v>0.95</v>
      </c>
      <c r="M2651" s="97">
        <v>10</v>
      </c>
      <c r="N2651" s="97">
        <v>26</v>
      </c>
      <c r="O2651" s="97">
        <v>4</v>
      </c>
      <c r="P2651" s="97" t="s">
        <v>513</v>
      </c>
      <c r="Q2651" s="97" t="str">
        <f t="shared" si="345"/>
        <v/>
      </c>
      <c r="R2651" t="str">
        <f t="shared" si="343"/>
        <v/>
      </c>
    </row>
    <row r="2652" spans="3:18">
      <c r="C2652" t="str">
        <f t="shared" si="346"/>
        <v/>
      </c>
      <c r="D2652" s="36">
        <v>43</v>
      </c>
      <c r="E2652" s="97">
        <v>70</v>
      </c>
      <c r="F2652" s="366">
        <f t="shared" si="344"/>
        <v>1519</v>
      </c>
      <c r="G2652" s="97">
        <v>1492</v>
      </c>
      <c r="H2652" s="367">
        <f t="shared" si="341"/>
        <v>3011</v>
      </c>
      <c r="I2652" s="368">
        <f t="shared" si="342"/>
        <v>0</v>
      </c>
      <c r="J2652" s="97">
        <v>3440</v>
      </c>
      <c r="K2652" s="367">
        <f t="shared" si="347"/>
        <v>2457.1428571428573</v>
      </c>
      <c r="L2652" s="97">
        <v>0.28000000000000003</v>
      </c>
      <c r="M2652" s="97">
        <v>5.6999999999999993</v>
      </c>
      <c r="N2652" s="97">
        <v>20</v>
      </c>
      <c r="O2652" s="97">
        <v>2</v>
      </c>
      <c r="P2652" s="97" t="s">
        <v>515</v>
      </c>
      <c r="Q2652" s="97">
        <f t="shared" si="345"/>
        <v>43</v>
      </c>
      <c r="R2652" t="str">
        <f t="shared" si="343"/>
        <v/>
      </c>
    </row>
    <row r="2653" spans="3:18">
      <c r="C2653" t="str">
        <f t="shared" si="346"/>
        <v/>
      </c>
      <c r="D2653" s="36">
        <v>44</v>
      </c>
      <c r="E2653" s="97">
        <v>70</v>
      </c>
      <c r="F2653" s="366">
        <f t="shared" si="344"/>
        <v>1519</v>
      </c>
      <c r="G2653" s="97">
        <v>1725</v>
      </c>
      <c r="H2653" s="367">
        <f t="shared" si="341"/>
        <v>3244</v>
      </c>
      <c r="I2653" s="368">
        <f t="shared" si="342"/>
        <v>0</v>
      </c>
      <c r="J2653" s="97">
        <v>3978</v>
      </c>
      <c r="K2653" s="367">
        <f t="shared" si="347"/>
        <v>2841.4285714285716</v>
      </c>
      <c r="L2653" s="97">
        <v>1.05</v>
      </c>
      <c r="M2653" s="97">
        <v>5.6999999999999993</v>
      </c>
      <c r="N2653" s="97">
        <v>31</v>
      </c>
      <c r="O2653" s="97">
        <v>2</v>
      </c>
      <c r="P2653" s="97" t="s">
        <v>514</v>
      </c>
      <c r="Q2653" s="97" t="str">
        <f t="shared" si="345"/>
        <v/>
      </c>
      <c r="R2653" t="str">
        <f t="shared" si="343"/>
        <v/>
      </c>
    </row>
    <row r="2654" spans="3:18">
      <c r="C2654" t="str">
        <f t="shared" si="346"/>
        <v/>
      </c>
      <c r="D2654" s="36">
        <v>45</v>
      </c>
      <c r="E2654" s="97">
        <v>70</v>
      </c>
      <c r="F2654" s="366">
        <f t="shared" si="344"/>
        <v>1519</v>
      </c>
      <c r="G2654" s="97">
        <v>2224</v>
      </c>
      <c r="H2654" s="367">
        <f t="shared" si="341"/>
        <v>3743</v>
      </c>
      <c r="I2654" s="368">
        <f t="shared" si="342"/>
        <v>0</v>
      </c>
      <c r="J2654" s="97">
        <v>5128</v>
      </c>
      <c r="K2654" s="367">
        <f t="shared" si="347"/>
        <v>3662.8571428571431</v>
      </c>
      <c r="L2654" s="97">
        <v>0.44</v>
      </c>
      <c r="M2654" s="97">
        <v>10</v>
      </c>
      <c r="N2654" s="97">
        <v>29</v>
      </c>
      <c r="O2654" s="97">
        <v>4</v>
      </c>
      <c r="P2654" s="97" t="s">
        <v>514</v>
      </c>
      <c r="Q2654" s="97">
        <f t="shared" si="345"/>
        <v>45</v>
      </c>
      <c r="R2654" t="str">
        <f t="shared" si="343"/>
        <v/>
      </c>
    </row>
    <row r="2655" spans="3:18">
      <c r="C2655" t="str">
        <f t="shared" si="346"/>
        <v/>
      </c>
      <c r="D2655" s="36">
        <v>46</v>
      </c>
      <c r="E2655" s="97">
        <v>75</v>
      </c>
      <c r="F2655" s="366">
        <f t="shared" si="344"/>
        <v>1627.5</v>
      </c>
      <c r="G2655" s="97">
        <v>1556</v>
      </c>
      <c r="H2655" s="367">
        <f t="shared" si="341"/>
        <v>3183.5</v>
      </c>
      <c r="I2655" s="368">
        <f t="shared" si="342"/>
        <v>0</v>
      </c>
      <c r="J2655" s="97">
        <v>3589</v>
      </c>
      <c r="K2655" s="367">
        <f t="shared" si="347"/>
        <v>2563.5714285714284</v>
      </c>
      <c r="L2655" s="97">
        <v>0.31</v>
      </c>
      <c r="M2655" s="97">
        <v>5.6999999999999993</v>
      </c>
      <c r="N2655" s="97">
        <v>21</v>
      </c>
      <c r="O2655" s="97">
        <v>2</v>
      </c>
      <c r="P2655" s="97" t="s">
        <v>515</v>
      </c>
      <c r="Q2655" s="97">
        <f t="shared" si="345"/>
        <v>46</v>
      </c>
      <c r="R2655" t="str">
        <f t="shared" si="343"/>
        <v/>
      </c>
    </row>
    <row r="2656" spans="3:18">
      <c r="C2656" t="str">
        <f t="shared" si="346"/>
        <v/>
      </c>
      <c r="D2656" s="36">
        <v>47</v>
      </c>
      <c r="E2656" s="97">
        <v>75</v>
      </c>
      <c r="F2656" s="366">
        <f t="shared" si="344"/>
        <v>1627.5</v>
      </c>
      <c r="G2656" s="97">
        <v>1765</v>
      </c>
      <c r="H2656" s="367">
        <f t="shared" si="341"/>
        <v>3392.5</v>
      </c>
      <c r="I2656" s="368">
        <f t="shared" si="342"/>
        <v>0</v>
      </c>
      <c r="J2656" s="97">
        <v>4069</v>
      </c>
      <c r="K2656" s="367">
        <f t="shared" si="347"/>
        <v>2906.4285714285716</v>
      </c>
      <c r="L2656" s="97">
        <v>1.2</v>
      </c>
      <c r="M2656" s="97">
        <v>5.6999999999999993</v>
      </c>
      <c r="N2656" s="97">
        <v>31</v>
      </c>
      <c r="O2656" s="97">
        <v>2</v>
      </c>
      <c r="P2656" s="97" t="s">
        <v>514</v>
      </c>
      <c r="Q2656" s="97" t="str">
        <f t="shared" si="345"/>
        <v/>
      </c>
      <c r="R2656" t="str">
        <f t="shared" si="343"/>
        <v/>
      </c>
    </row>
    <row r="2657" spans="3:18">
      <c r="C2657" t="str">
        <f t="shared" si="346"/>
        <v/>
      </c>
      <c r="D2657" s="36">
        <v>48</v>
      </c>
      <c r="E2657" s="97">
        <v>75</v>
      </c>
      <c r="F2657" s="366">
        <f t="shared" si="344"/>
        <v>1627.5</v>
      </c>
      <c r="G2657" s="97">
        <v>2321</v>
      </c>
      <c r="H2657" s="367">
        <f t="shared" si="341"/>
        <v>3948.5</v>
      </c>
      <c r="I2657" s="368">
        <f t="shared" si="342"/>
        <v>0</v>
      </c>
      <c r="J2657" s="97">
        <v>5352</v>
      </c>
      <c r="K2657" s="367">
        <f t="shared" si="347"/>
        <v>3822.8571428571431</v>
      </c>
      <c r="L2657" s="97">
        <v>0.49</v>
      </c>
      <c r="M2657" s="97">
        <v>10</v>
      </c>
      <c r="N2657" s="97">
        <v>29</v>
      </c>
      <c r="O2657" s="97">
        <v>4</v>
      </c>
      <c r="P2657" s="97" t="s">
        <v>514</v>
      </c>
      <c r="Q2657" s="97">
        <f t="shared" si="345"/>
        <v>48</v>
      </c>
      <c r="R2657" t="str">
        <f t="shared" si="343"/>
        <v/>
      </c>
    </row>
    <row r="2658" spans="3:18">
      <c r="C2658" t="str">
        <f t="shared" si="346"/>
        <v/>
      </c>
      <c r="D2658" s="36">
        <v>49</v>
      </c>
      <c r="E2658" s="97">
        <v>80</v>
      </c>
      <c r="F2658" s="366">
        <f t="shared" si="344"/>
        <v>1736</v>
      </c>
      <c r="G2658" s="97">
        <v>1617</v>
      </c>
      <c r="H2658" s="367">
        <f t="shared" si="341"/>
        <v>3353</v>
      </c>
      <c r="I2658" s="368">
        <f t="shared" si="342"/>
        <v>0</v>
      </c>
      <c r="J2658" s="97">
        <v>3728</v>
      </c>
      <c r="K2658" s="367">
        <f t="shared" si="347"/>
        <v>2662.8571428571431</v>
      </c>
      <c r="L2658" s="97">
        <v>0.35000000000000003</v>
      </c>
      <c r="M2658" s="97">
        <v>5.6999999999999993</v>
      </c>
      <c r="N2658" s="97">
        <v>22</v>
      </c>
      <c r="O2658" s="97">
        <v>2</v>
      </c>
      <c r="P2658" s="97" t="s">
        <v>515</v>
      </c>
      <c r="Q2658" s="97">
        <f t="shared" si="345"/>
        <v>49</v>
      </c>
      <c r="R2658" t="str">
        <f t="shared" si="343"/>
        <v/>
      </c>
    </row>
    <row r="2659" spans="3:18">
      <c r="C2659" t="str">
        <f t="shared" si="346"/>
        <v/>
      </c>
      <c r="D2659" s="36">
        <v>50</v>
      </c>
      <c r="E2659" s="97">
        <v>80</v>
      </c>
      <c r="F2659" s="366">
        <f t="shared" si="344"/>
        <v>1736</v>
      </c>
      <c r="G2659" s="97">
        <v>2008</v>
      </c>
      <c r="H2659" s="367">
        <f t="shared" si="341"/>
        <v>3744</v>
      </c>
      <c r="I2659" s="368">
        <f t="shared" si="342"/>
        <v>0</v>
      </c>
      <c r="J2659" s="97">
        <v>4629</v>
      </c>
      <c r="K2659" s="367">
        <f t="shared" si="347"/>
        <v>3306.4285714285716</v>
      </c>
      <c r="L2659" s="97">
        <v>0.15000000000000002</v>
      </c>
      <c r="M2659" s="97">
        <v>10</v>
      </c>
      <c r="N2659" s="97">
        <v>20</v>
      </c>
      <c r="O2659" s="97">
        <v>4</v>
      </c>
      <c r="P2659" s="97" t="s">
        <v>515</v>
      </c>
      <c r="Q2659" s="97">
        <f t="shared" si="345"/>
        <v>50</v>
      </c>
      <c r="R2659" t="str">
        <f t="shared" si="343"/>
        <v/>
      </c>
    </row>
    <row r="2660" spans="3:18">
      <c r="C2660" t="str">
        <f t="shared" si="346"/>
        <v/>
      </c>
      <c r="D2660" s="36">
        <v>51</v>
      </c>
      <c r="E2660" s="97">
        <v>80</v>
      </c>
      <c r="F2660" s="366">
        <f t="shared" si="344"/>
        <v>1736</v>
      </c>
      <c r="G2660" s="97">
        <v>2447</v>
      </c>
      <c r="H2660" s="367">
        <f t="shared" si="341"/>
        <v>4183</v>
      </c>
      <c r="I2660" s="368">
        <f t="shared" si="342"/>
        <v>0</v>
      </c>
      <c r="J2660" s="97">
        <v>5643</v>
      </c>
      <c r="K2660" s="367">
        <f t="shared" si="347"/>
        <v>4030.7142857142858</v>
      </c>
      <c r="L2660" s="97">
        <v>0.56000000000000005</v>
      </c>
      <c r="M2660" s="97">
        <v>10</v>
      </c>
      <c r="N2660" s="97">
        <v>30</v>
      </c>
      <c r="O2660" s="97">
        <v>4</v>
      </c>
      <c r="P2660" s="97" t="s">
        <v>514</v>
      </c>
      <c r="Q2660" s="97">
        <f t="shared" si="345"/>
        <v>51</v>
      </c>
      <c r="R2660" t="str">
        <f t="shared" si="343"/>
        <v/>
      </c>
    </row>
    <row r="2661" spans="3:18">
      <c r="C2661" t="str">
        <f t="shared" si="346"/>
        <v/>
      </c>
      <c r="D2661" s="36">
        <v>52</v>
      </c>
      <c r="E2661" s="97">
        <v>85</v>
      </c>
      <c r="F2661" s="366">
        <f t="shared" si="344"/>
        <v>1844.5</v>
      </c>
      <c r="G2661" s="97">
        <v>1667</v>
      </c>
      <c r="H2661" s="367">
        <f t="shared" si="341"/>
        <v>3511.5</v>
      </c>
      <c r="I2661" s="368">
        <f t="shared" si="342"/>
        <v>0</v>
      </c>
      <c r="J2661" s="97">
        <v>3844</v>
      </c>
      <c r="K2661" s="367">
        <f t="shared" si="347"/>
        <v>2745.7142857142858</v>
      </c>
      <c r="L2661" s="97">
        <v>0.4</v>
      </c>
      <c r="M2661" s="97">
        <v>5.6999999999999993</v>
      </c>
      <c r="N2661" s="97">
        <v>22</v>
      </c>
      <c r="O2661" s="97">
        <v>2</v>
      </c>
      <c r="P2661" s="97" t="s">
        <v>515</v>
      </c>
      <c r="Q2661" s="97">
        <f t="shared" si="345"/>
        <v>52</v>
      </c>
      <c r="R2661" t="str">
        <f t="shared" si="343"/>
        <v/>
      </c>
    </row>
    <row r="2662" spans="3:18">
      <c r="C2662" t="str">
        <f t="shared" si="346"/>
        <v/>
      </c>
      <c r="D2662" s="36">
        <v>53</v>
      </c>
      <c r="E2662" s="97">
        <v>85</v>
      </c>
      <c r="F2662" s="366">
        <f t="shared" si="344"/>
        <v>1844.5</v>
      </c>
      <c r="G2662" s="97">
        <v>2094</v>
      </c>
      <c r="H2662" s="367">
        <f t="shared" si="341"/>
        <v>3938.5</v>
      </c>
      <c r="I2662" s="368">
        <f t="shared" si="342"/>
        <v>0</v>
      </c>
      <c r="J2662" s="97">
        <v>4829</v>
      </c>
      <c r="K2662" s="367">
        <f t="shared" si="347"/>
        <v>3449.2857142857142</v>
      </c>
      <c r="L2662" s="97">
        <v>0.17</v>
      </c>
      <c r="M2662" s="97">
        <v>10</v>
      </c>
      <c r="N2662" s="97">
        <v>21</v>
      </c>
      <c r="O2662" s="97">
        <v>4</v>
      </c>
      <c r="P2662" s="97" t="s">
        <v>515</v>
      </c>
      <c r="Q2662" s="97">
        <f t="shared" si="345"/>
        <v>53</v>
      </c>
      <c r="R2662" t="str">
        <f t="shared" si="343"/>
        <v/>
      </c>
    </row>
    <row r="2663" spans="3:18">
      <c r="C2663" t="str">
        <f t="shared" si="346"/>
        <v/>
      </c>
      <c r="D2663" s="36">
        <v>54</v>
      </c>
      <c r="E2663" s="97">
        <v>85</v>
      </c>
      <c r="F2663" s="366">
        <f t="shared" si="344"/>
        <v>1844.5</v>
      </c>
      <c r="G2663" s="97">
        <v>2606</v>
      </c>
      <c r="H2663" s="367">
        <f t="shared" si="341"/>
        <v>4450.5</v>
      </c>
      <c r="I2663" s="368">
        <f t="shared" si="342"/>
        <v>0</v>
      </c>
      <c r="J2663" s="97">
        <v>6010</v>
      </c>
      <c r="K2663" s="367">
        <f t="shared" si="347"/>
        <v>4292.8571428571431</v>
      </c>
      <c r="L2663" s="97">
        <v>0.63</v>
      </c>
      <c r="M2663" s="97">
        <v>10</v>
      </c>
      <c r="N2663" s="97">
        <v>31</v>
      </c>
      <c r="O2663" s="97">
        <v>4</v>
      </c>
      <c r="P2663" s="97" t="s">
        <v>514</v>
      </c>
      <c r="Q2663" s="97">
        <f t="shared" si="345"/>
        <v>54</v>
      </c>
      <c r="R2663" t="str">
        <f t="shared" si="343"/>
        <v/>
      </c>
    </row>
    <row r="2664" spans="3:18">
      <c r="C2664" t="str">
        <f t="shared" si="346"/>
        <v/>
      </c>
      <c r="D2664" s="36">
        <v>55</v>
      </c>
      <c r="E2664" s="97">
        <v>90</v>
      </c>
      <c r="F2664" s="366">
        <f t="shared" si="344"/>
        <v>1953</v>
      </c>
      <c r="G2664" s="97">
        <v>1713</v>
      </c>
      <c r="H2664" s="367">
        <f t="shared" si="341"/>
        <v>3666</v>
      </c>
      <c r="I2664" s="368">
        <f t="shared" si="342"/>
        <v>0</v>
      </c>
      <c r="J2664" s="97">
        <v>3951</v>
      </c>
      <c r="K2664" s="367">
        <f t="shared" si="347"/>
        <v>2822.1428571428573</v>
      </c>
      <c r="L2664" s="97">
        <v>0.44</v>
      </c>
      <c r="M2664" s="97">
        <v>5.6999999999999993</v>
      </c>
      <c r="N2664" s="97">
        <v>23</v>
      </c>
      <c r="O2664" s="97">
        <v>2</v>
      </c>
      <c r="P2664" s="97" t="s">
        <v>515</v>
      </c>
      <c r="Q2664" s="97">
        <f t="shared" si="345"/>
        <v>55</v>
      </c>
      <c r="R2664" t="str">
        <f t="shared" si="343"/>
        <v/>
      </c>
    </row>
    <row r="2665" spans="3:18">
      <c r="C2665" t="str">
        <f t="shared" si="346"/>
        <v/>
      </c>
      <c r="D2665" s="36">
        <v>56</v>
      </c>
      <c r="E2665" s="97">
        <v>90</v>
      </c>
      <c r="F2665" s="366">
        <f t="shared" si="344"/>
        <v>1953</v>
      </c>
      <c r="G2665" s="97">
        <v>2176</v>
      </c>
      <c r="H2665" s="367">
        <f t="shared" si="341"/>
        <v>4129</v>
      </c>
      <c r="I2665" s="368">
        <f t="shared" si="342"/>
        <v>0</v>
      </c>
      <c r="J2665" s="97">
        <v>5017</v>
      </c>
      <c r="K2665" s="367">
        <f t="shared" si="347"/>
        <v>3583.5714285714284</v>
      </c>
      <c r="L2665" s="97">
        <v>0.19</v>
      </c>
      <c r="M2665" s="97">
        <v>10</v>
      </c>
      <c r="N2665" s="97">
        <v>21</v>
      </c>
      <c r="O2665" s="97">
        <v>4</v>
      </c>
      <c r="P2665" s="97" t="s">
        <v>515</v>
      </c>
      <c r="Q2665" s="97">
        <f t="shared" si="345"/>
        <v>56</v>
      </c>
      <c r="R2665" t="str">
        <f t="shared" si="343"/>
        <v/>
      </c>
    </row>
    <row r="2666" spans="3:18">
      <c r="C2666" t="str">
        <f t="shared" si="346"/>
        <v/>
      </c>
      <c r="D2666" s="36">
        <v>57</v>
      </c>
      <c r="E2666" s="97">
        <v>90</v>
      </c>
      <c r="F2666" s="366">
        <f t="shared" si="344"/>
        <v>1953</v>
      </c>
      <c r="G2666" s="97">
        <v>2766</v>
      </c>
      <c r="H2666" s="367">
        <f t="shared" si="341"/>
        <v>4719</v>
      </c>
      <c r="I2666" s="368">
        <f t="shared" si="342"/>
        <v>0</v>
      </c>
      <c r="J2666" s="97">
        <v>6377</v>
      </c>
      <c r="K2666" s="367">
        <f t="shared" si="347"/>
        <v>4555</v>
      </c>
      <c r="L2666" s="97">
        <v>0.71</v>
      </c>
      <c r="M2666" s="97">
        <v>10</v>
      </c>
      <c r="N2666" s="97">
        <v>31</v>
      </c>
      <c r="O2666" s="97">
        <v>4</v>
      </c>
      <c r="P2666" s="97" t="s">
        <v>514</v>
      </c>
      <c r="Q2666" s="97">
        <f t="shared" si="345"/>
        <v>57</v>
      </c>
      <c r="R2666" t="str">
        <f t="shared" si="343"/>
        <v/>
      </c>
    </row>
    <row r="2667" spans="3:18">
      <c r="C2667" t="str">
        <f t="shared" si="346"/>
        <v/>
      </c>
      <c r="D2667" s="36">
        <v>58</v>
      </c>
      <c r="E2667" s="97">
        <v>95</v>
      </c>
      <c r="F2667" s="366">
        <f t="shared" si="344"/>
        <v>2061.5</v>
      </c>
      <c r="G2667" s="97">
        <v>1754</v>
      </c>
      <c r="H2667" s="367">
        <f t="shared" si="341"/>
        <v>3815.5</v>
      </c>
      <c r="I2667" s="368">
        <f t="shared" si="342"/>
        <v>0</v>
      </c>
      <c r="J2667" s="97">
        <v>4044</v>
      </c>
      <c r="K2667" s="367">
        <f t="shared" si="347"/>
        <v>2888.5714285714284</v>
      </c>
      <c r="L2667" s="97">
        <v>0.49</v>
      </c>
      <c r="M2667" s="97">
        <v>5.6999999999999993</v>
      </c>
      <c r="N2667" s="97">
        <v>24</v>
      </c>
      <c r="O2667" s="97">
        <v>2</v>
      </c>
      <c r="P2667" s="97" t="s">
        <v>515</v>
      </c>
      <c r="Q2667" s="97">
        <f t="shared" si="345"/>
        <v>58</v>
      </c>
      <c r="R2667" t="str">
        <f t="shared" si="343"/>
        <v/>
      </c>
    </row>
    <row r="2668" spans="3:18">
      <c r="C2668" t="str">
        <f t="shared" si="346"/>
        <v/>
      </c>
      <c r="D2668" s="36">
        <v>59</v>
      </c>
      <c r="E2668" s="97">
        <v>95</v>
      </c>
      <c r="F2668" s="366">
        <f t="shared" si="344"/>
        <v>2061.5</v>
      </c>
      <c r="G2668" s="97">
        <v>2248</v>
      </c>
      <c r="H2668" s="367">
        <f t="shared" si="341"/>
        <v>4309.5</v>
      </c>
      <c r="I2668" s="368">
        <f t="shared" si="342"/>
        <v>0</v>
      </c>
      <c r="J2668" s="97">
        <v>5183</v>
      </c>
      <c r="K2668" s="367">
        <f t="shared" si="347"/>
        <v>3702.1428571428573</v>
      </c>
      <c r="L2668" s="97">
        <v>0.21000000000000002</v>
      </c>
      <c r="M2668" s="97">
        <v>10</v>
      </c>
      <c r="N2668" s="97">
        <v>22</v>
      </c>
      <c r="O2668" s="97">
        <v>4</v>
      </c>
      <c r="P2668" s="97" t="s">
        <v>515</v>
      </c>
      <c r="Q2668" s="97">
        <f t="shared" si="345"/>
        <v>59</v>
      </c>
      <c r="R2668" t="str">
        <f t="shared" si="343"/>
        <v/>
      </c>
    </row>
    <row r="2669" spans="3:18">
      <c r="C2669" t="str">
        <f t="shared" si="346"/>
        <v/>
      </c>
      <c r="D2669" s="36">
        <v>60</v>
      </c>
      <c r="E2669" s="97">
        <v>95</v>
      </c>
      <c r="F2669" s="366">
        <f t="shared" si="344"/>
        <v>2061.5</v>
      </c>
      <c r="G2669" s="97">
        <v>2926</v>
      </c>
      <c r="H2669" s="367">
        <f t="shared" si="341"/>
        <v>4987.5</v>
      </c>
      <c r="I2669" s="368">
        <f t="shared" si="342"/>
        <v>0</v>
      </c>
      <c r="J2669" s="97">
        <v>6746</v>
      </c>
      <c r="K2669" s="367">
        <f t="shared" si="347"/>
        <v>4818.5714285714284</v>
      </c>
      <c r="L2669" s="97">
        <v>0.79</v>
      </c>
      <c r="M2669" s="97">
        <v>10</v>
      </c>
      <c r="N2669" s="97">
        <v>32</v>
      </c>
      <c r="O2669" s="97">
        <v>4</v>
      </c>
      <c r="P2669" s="97" t="s">
        <v>514</v>
      </c>
      <c r="Q2669" s="97" t="str">
        <f t="shared" si="345"/>
        <v/>
      </c>
      <c r="R2669" t="str">
        <f t="shared" si="343"/>
        <v/>
      </c>
    </row>
    <row r="2670" spans="3:18">
      <c r="C2670" t="str">
        <f t="shared" si="346"/>
        <v/>
      </c>
      <c r="D2670" s="36">
        <v>61</v>
      </c>
      <c r="E2670" s="97">
        <v>100</v>
      </c>
      <c r="F2670" s="366">
        <f t="shared" si="344"/>
        <v>2170</v>
      </c>
      <c r="G2670" s="97">
        <v>1786</v>
      </c>
      <c r="H2670" s="367">
        <f t="shared" si="341"/>
        <v>3956</v>
      </c>
      <c r="I2670" s="368">
        <f t="shared" si="342"/>
        <v>0</v>
      </c>
      <c r="J2670" s="97">
        <v>4118</v>
      </c>
      <c r="K2670" s="367">
        <f t="shared" si="347"/>
        <v>2941.4285714285716</v>
      </c>
      <c r="L2670" s="97">
        <v>0.55000000000000004</v>
      </c>
      <c r="M2670" s="97">
        <v>5.6999999999999993</v>
      </c>
      <c r="N2670" s="97">
        <v>25</v>
      </c>
      <c r="O2670" s="97">
        <v>2</v>
      </c>
      <c r="P2670" s="97" t="s">
        <v>515</v>
      </c>
      <c r="Q2670" s="97">
        <f t="shared" si="345"/>
        <v>61</v>
      </c>
      <c r="R2670" t="str">
        <f t="shared" si="343"/>
        <v/>
      </c>
    </row>
    <row r="2671" spans="3:18">
      <c r="C2671" t="str">
        <f t="shared" si="346"/>
        <v/>
      </c>
      <c r="D2671" s="36">
        <v>62</v>
      </c>
      <c r="E2671" s="97">
        <v>100</v>
      </c>
      <c r="F2671" s="366">
        <f t="shared" si="344"/>
        <v>2170</v>
      </c>
      <c r="G2671" s="97">
        <v>2319</v>
      </c>
      <c r="H2671" s="367">
        <f t="shared" si="341"/>
        <v>4489</v>
      </c>
      <c r="I2671" s="368">
        <f t="shared" si="342"/>
        <v>0</v>
      </c>
      <c r="J2671" s="97">
        <v>5348</v>
      </c>
      <c r="K2671" s="367">
        <f t="shared" si="347"/>
        <v>3820</v>
      </c>
      <c r="L2671" s="97">
        <v>0.23</v>
      </c>
      <c r="M2671" s="97">
        <v>10</v>
      </c>
      <c r="N2671" s="97">
        <v>23</v>
      </c>
      <c r="O2671" s="97">
        <v>4</v>
      </c>
      <c r="P2671" s="97" t="s">
        <v>515</v>
      </c>
      <c r="Q2671" s="97">
        <f t="shared" si="345"/>
        <v>62</v>
      </c>
      <c r="R2671" t="str">
        <f t="shared" si="343"/>
        <v/>
      </c>
    </row>
    <row r="2672" spans="3:18">
      <c r="C2672" t="str">
        <f t="shared" si="346"/>
        <v/>
      </c>
      <c r="D2672" s="36">
        <v>63</v>
      </c>
      <c r="E2672" s="97">
        <v>100</v>
      </c>
      <c r="F2672" s="366">
        <f t="shared" si="344"/>
        <v>2170</v>
      </c>
      <c r="G2672" s="97">
        <v>3087</v>
      </c>
      <c r="H2672" s="367">
        <f t="shared" si="341"/>
        <v>5257</v>
      </c>
      <c r="I2672" s="368">
        <f t="shared" si="342"/>
        <v>0</v>
      </c>
      <c r="J2672" s="97">
        <v>7117</v>
      </c>
      <c r="K2672" s="367">
        <f t="shared" si="347"/>
        <v>5083.5714285714284</v>
      </c>
      <c r="L2672" s="97">
        <v>0.87</v>
      </c>
      <c r="M2672" s="97">
        <v>10</v>
      </c>
      <c r="N2672" s="97">
        <v>33</v>
      </c>
      <c r="O2672" s="97">
        <v>4</v>
      </c>
      <c r="P2672" s="97" t="s">
        <v>514</v>
      </c>
      <c r="Q2672" s="97" t="str">
        <f t="shared" si="345"/>
        <v/>
      </c>
      <c r="R2672" t="str">
        <f t="shared" si="343"/>
        <v/>
      </c>
    </row>
    <row r="2673" spans="3:18">
      <c r="C2673" t="str">
        <f t="shared" si="346"/>
        <v/>
      </c>
      <c r="D2673" s="36">
        <v>64</v>
      </c>
      <c r="E2673" s="97">
        <v>105</v>
      </c>
      <c r="F2673" s="366">
        <f t="shared" si="344"/>
        <v>2278.5</v>
      </c>
      <c r="G2673" s="97">
        <v>1813</v>
      </c>
      <c r="H2673" s="367">
        <f t="shared" si="341"/>
        <v>4091.5</v>
      </c>
      <c r="I2673" s="368">
        <f t="shared" si="342"/>
        <v>0</v>
      </c>
      <c r="J2673" s="97">
        <v>4182</v>
      </c>
      <c r="K2673" s="367">
        <f t="shared" si="347"/>
        <v>2987.1428571428573</v>
      </c>
      <c r="L2673" s="97">
        <v>0.6</v>
      </c>
      <c r="M2673" s="97">
        <v>5.6999999999999993</v>
      </c>
      <c r="N2673" s="97">
        <v>25</v>
      </c>
      <c r="O2673" s="97">
        <v>2</v>
      </c>
      <c r="P2673" s="97" t="s">
        <v>515</v>
      </c>
      <c r="Q2673" s="97">
        <f t="shared" si="345"/>
        <v>64</v>
      </c>
      <c r="R2673" t="str">
        <f t="shared" si="343"/>
        <v/>
      </c>
    </row>
    <row r="2674" spans="3:18">
      <c r="C2674" t="str">
        <f t="shared" si="346"/>
        <v/>
      </c>
      <c r="D2674" s="36">
        <v>65</v>
      </c>
      <c r="E2674" s="97">
        <v>105</v>
      </c>
      <c r="F2674" s="366">
        <f t="shared" si="344"/>
        <v>2278.5</v>
      </c>
      <c r="G2674" s="97">
        <v>2391</v>
      </c>
      <c r="H2674" s="367">
        <f t="shared" si="341"/>
        <v>4669.5</v>
      </c>
      <c r="I2674" s="368">
        <f t="shared" si="342"/>
        <v>0</v>
      </c>
      <c r="J2674" s="97">
        <v>5514</v>
      </c>
      <c r="K2674" s="367">
        <f t="shared" si="347"/>
        <v>3938.5714285714284</v>
      </c>
      <c r="L2674" s="97">
        <v>0.25</v>
      </c>
      <c r="M2674" s="97">
        <v>10</v>
      </c>
      <c r="N2674" s="97">
        <v>23</v>
      </c>
      <c r="O2674" s="97">
        <v>4</v>
      </c>
      <c r="P2674" s="97" t="s">
        <v>515</v>
      </c>
      <c r="Q2674" s="97">
        <f t="shared" si="345"/>
        <v>65</v>
      </c>
      <c r="R2674" t="str">
        <f t="shared" si="343"/>
        <v/>
      </c>
    </row>
    <row r="2675" spans="3:18">
      <c r="C2675" t="str">
        <f t="shared" si="346"/>
        <v/>
      </c>
      <c r="D2675" s="36">
        <v>66</v>
      </c>
      <c r="E2675" s="97">
        <v>105</v>
      </c>
      <c r="F2675" s="366">
        <f t="shared" si="344"/>
        <v>2278.5</v>
      </c>
      <c r="G2675" s="97">
        <v>3248</v>
      </c>
      <c r="H2675" s="367">
        <f t="shared" ref="H2675:H2706" si="348">(G2675*$U$7)+F2675</f>
        <v>5526.5</v>
      </c>
      <c r="I2675" s="368">
        <f t="shared" ref="I2675:I2706" si="349">1.085*($C$2-$D$2)*E2675*$T$7</f>
        <v>0</v>
      </c>
      <c r="J2675" s="97">
        <v>7488</v>
      </c>
      <c r="K2675" s="367">
        <f t="shared" si="347"/>
        <v>5348.5714285714284</v>
      </c>
      <c r="L2675" s="97">
        <v>0.96</v>
      </c>
      <c r="M2675" s="97">
        <v>10</v>
      </c>
      <c r="N2675" s="97">
        <v>33</v>
      </c>
      <c r="O2675" s="97">
        <v>4</v>
      </c>
      <c r="P2675" s="97" t="s">
        <v>514</v>
      </c>
      <c r="Q2675" s="97" t="str">
        <f t="shared" si="345"/>
        <v/>
      </c>
      <c r="R2675" t="str">
        <f t="shared" ref="R2675:R2706" si="350">IF(Q2675="","",IF(AND(O2675&lt;$X$19,E2675&gt;$U$19,E2675&lt;$Q$4+$U$19+1),D2675,""))</f>
        <v/>
      </c>
    </row>
    <row r="2676" spans="3:18">
      <c r="C2676" t="str">
        <f t="shared" si="346"/>
        <v/>
      </c>
      <c r="D2676" s="36">
        <v>67</v>
      </c>
      <c r="E2676" s="97">
        <v>110</v>
      </c>
      <c r="F2676" s="366">
        <f t="shared" ref="F2676:F2739" si="351">1.085*($A$2-$B$2)*E2676*$T$7</f>
        <v>2387</v>
      </c>
      <c r="G2676" s="97">
        <v>1823</v>
      </c>
      <c r="H2676" s="367">
        <f t="shared" si="348"/>
        <v>4210</v>
      </c>
      <c r="I2676" s="368">
        <f t="shared" si="349"/>
        <v>0</v>
      </c>
      <c r="J2676" s="97">
        <v>4204</v>
      </c>
      <c r="K2676" s="367">
        <f t="shared" si="347"/>
        <v>3002.8571428571431</v>
      </c>
      <c r="L2676" s="97">
        <v>0.66</v>
      </c>
      <c r="M2676" s="97">
        <v>5.6999999999999993</v>
      </c>
      <c r="N2676" s="97">
        <v>26</v>
      </c>
      <c r="O2676" s="97">
        <v>2</v>
      </c>
      <c r="P2676" s="97" t="s">
        <v>515</v>
      </c>
      <c r="Q2676" s="97">
        <f t="shared" si="345"/>
        <v>67</v>
      </c>
      <c r="R2676" t="str">
        <f t="shared" si="350"/>
        <v/>
      </c>
    </row>
    <row r="2677" spans="3:18">
      <c r="C2677" t="str">
        <f t="shared" si="346"/>
        <v/>
      </c>
      <c r="D2677" s="36">
        <v>68</v>
      </c>
      <c r="E2677" s="97">
        <v>110</v>
      </c>
      <c r="F2677" s="366">
        <f t="shared" si="351"/>
        <v>2387</v>
      </c>
      <c r="G2677" s="97">
        <v>2482</v>
      </c>
      <c r="H2677" s="367">
        <f t="shared" si="348"/>
        <v>4869</v>
      </c>
      <c r="I2677" s="368">
        <f t="shared" si="349"/>
        <v>0</v>
      </c>
      <c r="J2677" s="97">
        <v>5724</v>
      </c>
      <c r="K2677" s="367">
        <f t="shared" si="347"/>
        <v>4088.5714285714284</v>
      </c>
      <c r="L2677" s="97">
        <v>0.28000000000000003</v>
      </c>
      <c r="M2677" s="97">
        <v>10</v>
      </c>
      <c r="N2677" s="97">
        <v>24</v>
      </c>
      <c r="O2677" s="97">
        <v>4</v>
      </c>
      <c r="P2677" s="97" t="s">
        <v>515</v>
      </c>
      <c r="Q2677" s="97">
        <f t="shared" si="345"/>
        <v>68</v>
      </c>
      <c r="R2677" t="str">
        <f t="shared" si="350"/>
        <v/>
      </c>
    </row>
    <row r="2678" spans="3:18">
      <c r="C2678" t="str">
        <f t="shared" si="346"/>
        <v/>
      </c>
      <c r="D2678" s="36">
        <v>69</v>
      </c>
      <c r="E2678" s="97">
        <v>110</v>
      </c>
      <c r="F2678" s="366">
        <f t="shared" si="351"/>
        <v>2387</v>
      </c>
      <c r="G2678" s="97">
        <v>3321</v>
      </c>
      <c r="H2678" s="367">
        <f t="shared" si="348"/>
        <v>5708</v>
      </c>
      <c r="I2678" s="368">
        <f t="shared" si="349"/>
        <v>0</v>
      </c>
      <c r="J2678" s="97">
        <v>7657</v>
      </c>
      <c r="K2678" s="367">
        <f t="shared" si="347"/>
        <v>5469.2857142857147</v>
      </c>
      <c r="L2678" s="97">
        <v>1.06</v>
      </c>
      <c r="M2678" s="97">
        <v>10</v>
      </c>
      <c r="N2678" s="97">
        <v>34</v>
      </c>
      <c r="O2678" s="97">
        <v>4</v>
      </c>
      <c r="P2678" s="97" t="s">
        <v>514</v>
      </c>
      <c r="Q2678" s="97" t="str">
        <f t="shared" si="345"/>
        <v/>
      </c>
      <c r="R2678" t="str">
        <f t="shared" si="350"/>
        <v/>
      </c>
    </row>
    <row r="2679" spans="3:18">
      <c r="C2679" t="str">
        <f t="shared" si="346"/>
        <v/>
      </c>
      <c r="D2679" s="36">
        <v>70</v>
      </c>
      <c r="E2679" s="97">
        <v>115</v>
      </c>
      <c r="F2679" s="366">
        <f t="shared" si="351"/>
        <v>2495.5</v>
      </c>
      <c r="G2679" s="97">
        <v>1823</v>
      </c>
      <c r="H2679" s="367">
        <f t="shared" si="348"/>
        <v>4318.5</v>
      </c>
      <c r="I2679" s="368">
        <f t="shared" si="349"/>
        <v>0</v>
      </c>
      <c r="J2679" s="97">
        <v>4204</v>
      </c>
      <c r="K2679" s="367">
        <f t="shared" si="347"/>
        <v>3002.8571428571431</v>
      </c>
      <c r="L2679" s="97">
        <v>0.72</v>
      </c>
      <c r="M2679" s="97">
        <v>5.6999999999999993</v>
      </c>
      <c r="N2679" s="97">
        <v>26</v>
      </c>
      <c r="O2679" s="97">
        <v>2</v>
      </c>
      <c r="P2679" s="97" t="s">
        <v>515</v>
      </c>
      <c r="Q2679" s="97" t="str">
        <f t="shared" si="345"/>
        <v/>
      </c>
      <c r="R2679" t="str">
        <f t="shared" si="350"/>
        <v/>
      </c>
    </row>
    <row r="2680" spans="3:18">
      <c r="C2680" t="str">
        <f t="shared" si="346"/>
        <v/>
      </c>
      <c r="D2680" s="36">
        <v>71</v>
      </c>
      <c r="E2680" s="97">
        <v>115</v>
      </c>
      <c r="F2680" s="366">
        <f t="shared" si="351"/>
        <v>2495.5</v>
      </c>
      <c r="G2680" s="97">
        <v>2600</v>
      </c>
      <c r="H2680" s="367">
        <f t="shared" si="348"/>
        <v>5095.5</v>
      </c>
      <c r="I2680" s="368">
        <f t="shared" si="349"/>
        <v>0</v>
      </c>
      <c r="J2680" s="97">
        <v>5995</v>
      </c>
      <c r="K2680" s="367">
        <f t="shared" si="347"/>
        <v>4282.1428571428569</v>
      </c>
      <c r="L2680" s="97">
        <v>0.3</v>
      </c>
      <c r="M2680" s="97">
        <v>10</v>
      </c>
      <c r="N2680" s="97">
        <v>24</v>
      </c>
      <c r="O2680" s="97">
        <v>4</v>
      </c>
      <c r="P2680" s="97" t="s">
        <v>515</v>
      </c>
      <c r="Q2680" s="97">
        <f t="shared" si="345"/>
        <v>71</v>
      </c>
      <c r="R2680" t="str">
        <f t="shared" si="350"/>
        <v/>
      </c>
    </row>
    <row r="2681" spans="3:18">
      <c r="C2681" t="str">
        <f t="shared" si="346"/>
        <v/>
      </c>
      <c r="D2681" s="36">
        <v>72</v>
      </c>
      <c r="E2681" s="97">
        <v>115</v>
      </c>
      <c r="F2681" s="366">
        <f t="shared" si="351"/>
        <v>2495.5</v>
      </c>
      <c r="G2681" s="97">
        <v>3375</v>
      </c>
      <c r="H2681" s="367">
        <f t="shared" si="348"/>
        <v>5870.5</v>
      </c>
      <c r="I2681" s="368">
        <f t="shared" si="349"/>
        <v>0</v>
      </c>
      <c r="J2681" s="97">
        <v>7782</v>
      </c>
      <c r="K2681" s="367">
        <f t="shared" si="347"/>
        <v>5558.5714285714284</v>
      </c>
      <c r="L2681" s="97">
        <v>1.1499999999999999</v>
      </c>
      <c r="M2681" s="97">
        <v>10</v>
      </c>
      <c r="N2681" s="97">
        <v>35</v>
      </c>
      <c r="O2681" s="97">
        <v>4</v>
      </c>
      <c r="P2681" s="97" t="s">
        <v>514</v>
      </c>
      <c r="Q2681" s="97" t="str">
        <f t="shared" si="345"/>
        <v/>
      </c>
      <c r="R2681" t="str">
        <f t="shared" si="350"/>
        <v/>
      </c>
    </row>
    <row r="2682" spans="3:18">
      <c r="C2682" t="str">
        <f t="shared" si="346"/>
        <v/>
      </c>
      <c r="D2682" s="36">
        <v>73</v>
      </c>
      <c r="E2682" s="97">
        <v>120</v>
      </c>
      <c r="F2682" s="366">
        <f t="shared" si="351"/>
        <v>2604</v>
      </c>
      <c r="G2682" s="97">
        <v>1823</v>
      </c>
      <c r="H2682" s="367">
        <f t="shared" si="348"/>
        <v>4427</v>
      </c>
      <c r="I2682" s="368">
        <f t="shared" si="349"/>
        <v>0</v>
      </c>
      <c r="J2682" s="97">
        <v>4204</v>
      </c>
      <c r="K2682" s="367">
        <f t="shared" si="347"/>
        <v>3002.8571428571431</v>
      </c>
      <c r="L2682" s="97">
        <v>0.78</v>
      </c>
      <c r="M2682" s="97">
        <v>5.6999999999999993</v>
      </c>
      <c r="N2682" s="97">
        <v>27</v>
      </c>
      <c r="O2682" s="97">
        <v>2</v>
      </c>
      <c r="P2682" s="97" t="s">
        <v>515</v>
      </c>
      <c r="Q2682" s="97" t="str">
        <f t="shared" si="345"/>
        <v/>
      </c>
      <c r="R2682" t="str">
        <f t="shared" si="350"/>
        <v/>
      </c>
    </row>
    <row r="2683" spans="3:18">
      <c r="C2683" t="str">
        <f t="shared" si="346"/>
        <v/>
      </c>
      <c r="D2683" s="36">
        <v>74</v>
      </c>
      <c r="E2683" s="97">
        <v>120</v>
      </c>
      <c r="F2683" s="366">
        <f t="shared" si="351"/>
        <v>2604</v>
      </c>
      <c r="G2683" s="97">
        <v>2717</v>
      </c>
      <c r="H2683" s="367">
        <f t="shared" si="348"/>
        <v>5321</v>
      </c>
      <c r="I2683" s="368">
        <f t="shared" si="349"/>
        <v>0</v>
      </c>
      <c r="J2683" s="97">
        <v>6266</v>
      </c>
      <c r="K2683" s="367">
        <f t="shared" si="347"/>
        <v>4475.7142857142862</v>
      </c>
      <c r="L2683" s="97">
        <v>0.33</v>
      </c>
      <c r="M2683" s="97">
        <v>10</v>
      </c>
      <c r="N2683" s="97">
        <v>25</v>
      </c>
      <c r="O2683" s="97">
        <v>4</v>
      </c>
      <c r="P2683" s="97" t="s">
        <v>515</v>
      </c>
      <c r="Q2683" s="97">
        <f t="shared" si="345"/>
        <v>74</v>
      </c>
      <c r="R2683" t="str">
        <f t="shared" si="350"/>
        <v/>
      </c>
    </row>
    <row r="2684" spans="3:18">
      <c r="C2684" t="str">
        <f t="shared" si="346"/>
        <v/>
      </c>
      <c r="D2684" s="36">
        <v>75</v>
      </c>
      <c r="E2684" s="97">
        <v>120</v>
      </c>
      <c r="F2684" s="366">
        <f t="shared" si="351"/>
        <v>2604</v>
      </c>
      <c r="G2684" s="97">
        <v>3429</v>
      </c>
      <c r="H2684" s="367">
        <f t="shared" si="348"/>
        <v>6033</v>
      </c>
      <c r="I2684" s="368">
        <f t="shared" si="349"/>
        <v>0</v>
      </c>
      <c r="J2684" s="97">
        <v>7907</v>
      </c>
      <c r="K2684" s="367">
        <f t="shared" si="347"/>
        <v>5647.8571428571431</v>
      </c>
      <c r="L2684" s="97">
        <v>1.25</v>
      </c>
      <c r="M2684" s="97">
        <v>10</v>
      </c>
      <c r="N2684" s="97">
        <v>35</v>
      </c>
      <c r="O2684" s="97">
        <v>4</v>
      </c>
      <c r="P2684" s="97" t="s">
        <v>514</v>
      </c>
      <c r="Q2684" s="97" t="str">
        <f t="shared" si="345"/>
        <v/>
      </c>
      <c r="R2684" t="str">
        <f t="shared" si="350"/>
        <v/>
      </c>
    </row>
    <row r="2685" spans="3:18">
      <c r="C2685" t="str">
        <f t="shared" si="346"/>
        <v/>
      </c>
      <c r="D2685" s="36">
        <v>76</v>
      </c>
      <c r="E2685" s="97">
        <v>125</v>
      </c>
      <c r="F2685" s="366">
        <f t="shared" si="351"/>
        <v>2712.5</v>
      </c>
      <c r="G2685" s="97">
        <v>1823</v>
      </c>
      <c r="H2685" s="367">
        <f t="shared" si="348"/>
        <v>4535.5</v>
      </c>
      <c r="I2685" s="368">
        <f t="shared" si="349"/>
        <v>0</v>
      </c>
      <c r="J2685" s="97">
        <v>4204</v>
      </c>
      <c r="K2685" s="367">
        <f t="shared" si="347"/>
        <v>3002.8571428571431</v>
      </c>
      <c r="L2685" s="97">
        <v>0.85</v>
      </c>
      <c r="M2685" s="97">
        <v>5.6999999999999993</v>
      </c>
      <c r="N2685" s="97">
        <v>27</v>
      </c>
      <c r="O2685" s="97">
        <v>2</v>
      </c>
      <c r="P2685" s="97" t="s">
        <v>515</v>
      </c>
      <c r="Q2685" s="97" t="str">
        <f t="shared" si="345"/>
        <v/>
      </c>
      <c r="R2685" t="str">
        <f t="shared" si="350"/>
        <v/>
      </c>
    </row>
    <row r="2686" spans="3:18">
      <c r="C2686" t="str">
        <f t="shared" si="346"/>
        <v/>
      </c>
      <c r="D2686" s="36">
        <v>77</v>
      </c>
      <c r="E2686" s="97">
        <v>125</v>
      </c>
      <c r="F2686" s="366">
        <f t="shared" si="351"/>
        <v>2712.5</v>
      </c>
      <c r="G2686" s="97">
        <v>2835</v>
      </c>
      <c r="H2686" s="367">
        <f t="shared" si="348"/>
        <v>5547.5</v>
      </c>
      <c r="I2686" s="368">
        <f t="shared" si="349"/>
        <v>0</v>
      </c>
      <c r="J2686" s="97">
        <v>6536</v>
      </c>
      <c r="K2686" s="367">
        <f t="shared" si="347"/>
        <v>4668.5714285714284</v>
      </c>
      <c r="L2686" s="97">
        <v>0.36</v>
      </c>
      <c r="M2686" s="97">
        <v>10</v>
      </c>
      <c r="N2686" s="97">
        <v>25</v>
      </c>
      <c r="O2686" s="97">
        <v>4</v>
      </c>
      <c r="P2686" s="97" t="s">
        <v>515</v>
      </c>
      <c r="Q2686" s="97">
        <f t="shared" si="345"/>
        <v>77</v>
      </c>
      <c r="R2686" t="str">
        <f t="shared" si="350"/>
        <v/>
      </c>
    </row>
    <row r="2687" spans="3:18">
      <c r="C2687" t="str">
        <f t="shared" si="346"/>
        <v/>
      </c>
      <c r="D2687" s="36">
        <v>78</v>
      </c>
      <c r="E2687" s="97">
        <v>125</v>
      </c>
      <c r="F2687" s="366">
        <f t="shared" si="351"/>
        <v>2712.5</v>
      </c>
      <c r="G2687" s="97">
        <v>3468</v>
      </c>
      <c r="H2687" s="367">
        <f t="shared" si="348"/>
        <v>6180.5</v>
      </c>
      <c r="I2687" s="368">
        <f t="shared" si="349"/>
        <v>0</v>
      </c>
      <c r="J2687" s="97">
        <v>7996</v>
      </c>
      <c r="K2687" s="367">
        <f t="shared" si="347"/>
        <v>5711.4285714285716</v>
      </c>
      <c r="L2687" s="97">
        <v>1.36</v>
      </c>
      <c r="M2687" s="97">
        <v>10</v>
      </c>
      <c r="N2687" s="97">
        <v>36</v>
      </c>
      <c r="O2687" s="97">
        <v>4</v>
      </c>
      <c r="P2687" s="97" t="s">
        <v>514</v>
      </c>
      <c r="Q2687" s="97" t="str">
        <f t="shared" si="345"/>
        <v/>
      </c>
      <c r="R2687" t="str">
        <f t="shared" si="350"/>
        <v/>
      </c>
    </row>
    <row r="2688" spans="3:18">
      <c r="C2688" t="str">
        <f t="shared" si="346"/>
        <v/>
      </c>
      <c r="D2688" s="36">
        <v>79</v>
      </c>
      <c r="E2688" s="97">
        <v>130</v>
      </c>
      <c r="F2688" s="366">
        <f t="shared" si="351"/>
        <v>2821</v>
      </c>
      <c r="G2688" s="97">
        <v>1823</v>
      </c>
      <c r="H2688" s="367">
        <f t="shared" si="348"/>
        <v>4644</v>
      </c>
      <c r="I2688" s="368">
        <f t="shared" si="349"/>
        <v>0</v>
      </c>
      <c r="J2688" s="97">
        <v>4204</v>
      </c>
      <c r="K2688" s="367">
        <f t="shared" si="347"/>
        <v>3002.8571428571431</v>
      </c>
      <c r="L2688" s="97">
        <v>0.92</v>
      </c>
      <c r="M2688" s="97">
        <v>5.6999999999999993</v>
      </c>
      <c r="N2688" s="97">
        <v>28</v>
      </c>
      <c r="O2688" s="97">
        <v>2</v>
      </c>
      <c r="P2688" s="97" t="s">
        <v>515</v>
      </c>
      <c r="Q2688" s="97" t="str">
        <f t="shared" si="345"/>
        <v/>
      </c>
      <c r="R2688" t="str">
        <f t="shared" si="350"/>
        <v/>
      </c>
    </row>
    <row r="2689" spans="3:18">
      <c r="C2689" t="str">
        <f t="shared" si="346"/>
        <v/>
      </c>
      <c r="D2689" s="36">
        <v>80</v>
      </c>
      <c r="E2689" s="97">
        <v>130</v>
      </c>
      <c r="F2689" s="366">
        <f t="shared" si="351"/>
        <v>2821</v>
      </c>
      <c r="G2689" s="97">
        <v>2953</v>
      </c>
      <c r="H2689" s="367">
        <f t="shared" si="348"/>
        <v>5774</v>
      </c>
      <c r="I2689" s="368">
        <f t="shared" si="349"/>
        <v>0</v>
      </c>
      <c r="J2689" s="97">
        <v>6809</v>
      </c>
      <c r="K2689" s="367">
        <f t="shared" si="347"/>
        <v>4863.5714285714284</v>
      </c>
      <c r="L2689" s="97">
        <v>0.39</v>
      </c>
      <c r="M2689" s="97">
        <v>10</v>
      </c>
      <c r="N2689" s="97">
        <v>26</v>
      </c>
      <c r="O2689" s="97">
        <v>4</v>
      </c>
      <c r="P2689" s="97" t="s">
        <v>515</v>
      </c>
      <c r="Q2689" s="97">
        <f t="shared" si="345"/>
        <v>80</v>
      </c>
      <c r="R2689" t="str">
        <f t="shared" si="350"/>
        <v/>
      </c>
    </row>
    <row r="2690" spans="3:18">
      <c r="C2690" t="str">
        <f t="shared" si="346"/>
        <v/>
      </c>
      <c r="D2690" s="36">
        <v>81</v>
      </c>
      <c r="E2690" s="97">
        <v>135</v>
      </c>
      <c r="F2690" s="366">
        <f t="shared" si="351"/>
        <v>2929.5</v>
      </c>
      <c r="G2690" s="97">
        <v>3072</v>
      </c>
      <c r="H2690" s="367">
        <f t="shared" si="348"/>
        <v>6001.5</v>
      </c>
      <c r="I2690" s="368">
        <f t="shared" si="349"/>
        <v>0</v>
      </c>
      <c r="J2690" s="97">
        <v>7082</v>
      </c>
      <c r="K2690" s="367">
        <f t="shared" si="347"/>
        <v>5058.5714285714284</v>
      </c>
      <c r="L2690" s="97">
        <v>0.42</v>
      </c>
      <c r="M2690" s="97">
        <v>10</v>
      </c>
      <c r="N2690" s="97">
        <v>26</v>
      </c>
      <c r="O2690" s="97">
        <v>4</v>
      </c>
      <c r="P2690" s="97" t="s">
        <v>515</v>
      </c>
      <c r="Q2690" s="97">
        <f t="shared" si="345"/>
        <v>81</v>
      </c>
      <c r="R2690" t="str">
        <f t="shared" si="350"/>
        <v/>
      </c>
    </row>
    <row r="2691" spans="3:18">
      <c r="C2691" t="str">
        <f t="shared" si="346"/>
        <v/>
      </c>
      <c r="D2691" s="36">
        <v>82</v>
      </c>
      <c r="E2691" s="97">
        <v>140</v>
      </c>
      <c r="F2691" s="366">
        <f t="shared" si="351"/>
        <v>3038</v>
      </c>
      <c r="G2691" s="97">
        <v>3190</v>
      </c>
      <c r="H2691" s="367">
        <f t="shared" si="348"/>
        <v>6228</v>
      </c>
      <c r="I2691" s="368">
        <f t="shared" si="349"/>
        <v>0</v>
      </c>
      <c r="J2691" s="97">
        <v>7356</v>
      </c>
      <c r="K2691" s="367">
        <f t="shared" si="347"/>
        <v>5254.2857142857147</v>
      </c>
      <c r="L2691" s="97">
        <v>0.45</v>
      </c>
      <c r="M2691" s="97">
        <v>10</v>
      </c>
      <c r="N2691" s="97">
        <v>27</v>
      </c>
      <c r="O2691" s="97">
        <v>4</v>
      </c>
      <c r="P2691" s="97" t="s">
        <v>515</v>
      </c>
      <c r="Q2691" s="97">
        <f t="shared" si="345"/>
        <v>82</v>
      </c>
      <c r="R2691" t="str">
        <f t="shared" si="350"/>
        <v/>
      </c>
    </row>
    <row r="2692" spans="3:18">
      <c r="C2692" t="str">
        <f t="shared" si="346"/>
        <v/>
      </c>
      <c r="D2692" s="36">
        <v>83</v>
      </c>
      <c r="E2692" s="97">
        <v>145</v>
      </c>
      <c r="F2692" s="366">
        <f t="shared" si="351"/>
        <v>3146.5</v>
      </c>
      <c r="G2692" s="97">
        <v>3309</v>
      </c>
      <c r="H2692" s="367">
        <f t="shared" si="348"/>
        <v>6455.5</v>
      </c>
      <c r="I2692" s="368">
        <f t="shared" si="349"/>
        <v>0</v>
      </c>
      <c r="J2692" s="97">
        <v>7630</v>
      </c>
      <c r="K2692" s="367">
        <f t="shared" si="347"/>
        <v>5450</v>
      </c>
      <c r="L2692" s="97">
        <v>0.48</v>
      </c>
      <c r="M2692" s="97">
        <v>10</v>
      </c>
      <c r="N2692" s="97">
        <v>27</v>
      </c>
      <c r="O2692" s="97">
        <v>4</v>
      </c>
      <c r="P2692" s="97" t="s">
        <v>515</v>
      </c>
      <c r="Q2692" s="97">
        <f t="shared" si="345"/>
        <v>83</v>
      </c>
      <c r="R2692" t="str">
        <f t="shared" si="350"/>
        <v/>
      </c>
    </row>
    <row r="2693" spans="3:18">
      <c r="C2693" t="str">
        <f t="shared" si="346"/>
        <v/>
      </c>
      <c r="D2693" s="36">
        <v>84</v>
      </c>
      <c r="E2693" s="97">
        <v>150</v>
      </c>
      <c r="F2693" s="366">
        <f t="shared" si="351"/>
        <v>3255</v>
      </c>
      <c r="G2693" s="97">
        <v>3382</v>
      </c>
      <c r="H2693" s="367">
        <f t="shared" si="348"/>
        <v>6637</v>
      </c>
      <c r="I2693" s="368">
        <f t="shared" si="349"/>
        <v>0</v>
      </c>
      <c r="J2693" s="97">
        <v>7798</v>
      </c>
      <c r="K2693" s="367">
        <f t="shared" si="347"/>
        <v>5570</v>
      </c>
      <c r="L2693" s="97">
        <v>0.51</v>
      </c>
      <c r="M2693" s="97">
        <v>10</v>
      </c>
      <c r="N2693" s="97">
        <v>28</v>
      </c>
      <c r="O2693" s="97">
        <v>4</v>
      </c>
      <c r="P2693" s="97" t="s">
        <v>515</v>
      </c>
      <c r="Q2693" s="97">
        <f t="shared" si="345"/>
        <v>84</v>
      </c>
      <c r="R2693" t="str">
        <f t="shared" si="350"/>
        <v/>
      </c>
    </row>
    <row r="2694" spans="3:18">
      <c r="C2694" t="str">
        <f t="shared" si="346"/>
        <v/>
      </c>
      <c r="D2694" s="36">
        <v>85</v>
      </c>
      <c r="E2694" s="97">
        <v>155</v>
      </c>
      <c r="F2694" s="366">
        <f t="shared" si="351"/>
        <v>3363.5</v>
      </c>
      <c r="G2694" s="97">
        <v>3422</v>
      </c>
      <c r="H2694" s="367">
        <f t="shared" si="348"/>
        <v>6785.5</v>
      </c>
      <c r="I2694" s="368">
        <f t="shared" si="349"/>
        <v>0</v>
      </c>
      <c r="J2694" s="97">
        <v>7890</v>
      </c>
      <c r="K2694" s="367">
        <f t="shared" si="347"/>
        <v>5635.7142857142862</v>
      </c>
      <c r="L2694" s="97">
        <v>0.55000000000000004</v>
      </c>
      <c r="M2694" s="97">
        <v>10</v>
      </c>
      <c r="N2694" s="97">
        <v>28</v>
      </c>
      <c r="O2694" s="97">
        <v>4</v>
      </c>
      <c r="P2694" s="97" t="s">
        <v>515</v>
      </c>
      <c r="Q2694" s="97">
        <f t="shared" si="345"/>
        <v>85</v>
      </c>
      <c r="R2694" t="str">
        <f t="shared" si="350"/>
        <v/>
      </c>
    </row>
    <row r="2695" spans="3:18">
      <c r="C2695" t="str">
        <f t="shared" si="346"/>
        <v/>
      </c>
      <c r="D2695" s="36">
        <v>86</v>
      </c>
      <c r="E2695" s="97">
        <v>160</v>
      </c>
      <c r="F2695" s="366">
        <f t="shared" si="351"/>
        <v>3472</v>
      </c>
      <c r="G2695" s="97">
        <v>3462</v>
      </c>
      <c r="H2695" s="367">
        <f t="shared" si="348"/>
        <v>6934</v>
      </c>
      <c r="I2695" s="368">
        <f t="shared" si="349"/>
        <v>0</v>
      </c>
      <c r="J2695" s="97">
        <v>7982</v>
      </c>
      <c r="K2695" s="367">
        <f t="shared" si="347"/>
        <v>5701.4285714285716</v>
      </c>
      <c r="L2695" s="97">
        <v>0.57999999999999996</v>
      </c>
      <c r="M2695" s="97">
        <v>10</v>
      </c>
      <c r="N2695" s="97">
        <v>29</v>
      </c>
      <c r="O2695" s="97">
        <v>4</v>
      </c>
      <c r="P2695" s="97" t="s">
        <v>515</v>
      </c>
      <c r="Q2695" s="97">
        <f t="shared" si="345"/>
        <v>86</v>
      </c>
      <c r="R2695" t="str">
        <f t="shared" si="350"/>
        <v/>
      </c>
    </row>
    <row r="2696" spans="3:18">
      <c r="C2696" t="str">
        <f t="shared" si="346"/>
        <v/>
      </c>
      <c r="D2696" s="36">
        <v>87</v>
      </c>
      <c r="E2696" s="97">
        <v>165</v>
      </c>
      <c r="F2696" s="366">
        <f t="shared" si="351"/>
        <v>3580.5</v>
      </c>
      <c r="G2696" s="97">
        <v>3501</v>
      </c>
      <c r="H2696" s="367">
        <f t="shared" si="348"/>
        <v>7081.5</v>
      </c>
      <c r="I2696" s="368">
        <f t="shared" si="349"/>
        <v>0</v>
      </c>
      <c r="J2696" s="97">
        <v>8074</v>
      </c>
      <c r="K2696" s="367">
        <f t="shared" si="347"/>
        <v>5767.1428571428569</v>
      </c>
      <c r="L2696" s="97">
        <v>0.62</v>
      </c>
      <c r="M2696" s="97">
        <v>10</v>
      </c>
      <c r="N2696" s="97">
        <v>29</v>
      </c>
      <c r="O2696" s="97">
        <v>4</v>
      </c>
      <c r="P2696" s="97" t="s">
        <v>515</v>
      </c>
      <c r="Q2696" s="97">
        <f t="shared" si="345"/>
        <v>87</v>
      </c>
      <c r="R2696" t="str">
        <f t="shared" si="350"/>
        <v/>
      </c>
    </row>
    <row r="2697" spans="3:18">
      <c r="C2697" t="str">
        <f t="shared" si="346"/>
        <v/>
      </c>
      <c r="D2697" s="36">
        <v>88</v>
      </c>
      <c r="E2697" s="97">
        <v>170</v>
      </c>
      <c r="F2697" s="366">
        <f t="shared" si="351"/>
        <v>3689</v>
      </c>
      <c r="G2697" s="97">
        <v>3534</v>
      </c>
      <c r="H2697" s="367">
        <f t="shared" si="348"/>
        <v>7223</v>
      </c>
      <c r="I2697" s="368">
        <f t="shared" si="349"/>
        <v>0</v>
      </c>
      <c r="J2697" s="97">
        <v>8149</v>
      </c>
      <c r="K2697" s="367">
        <f t="shared" si="347"/>
        <v>5820.7142857142862</v>
      </c>
      <c r="L2697" s="97">
        <v>0.66</v>
      </c>
      <c r="M2697" s="97">
        <v>10</v>
      </c>
      <c r="N2697" s="97">
        <v>29</v>
      </c>
      <c r="O2697" s="97">
        <v>4</v>
      </c>
      <c r="P2697" s="97" t="s">
        <v>515</v>
      </c>
      <c r="Q2697" s="97">
        <f t="shared" si="345"/>
        <v>88</v>
      </c>
      <c r="R2697" t="str">
        <f t="shared" si="350"/>
        <v/>
      </c>
    </row>
    <row r="2698" spans="3:18">
      <c r="C2698" t="str">
        <f t="shared" si="346"/>
        <v/>
      </c>
      <c r="D2698" s="36">
        <v>89</v>
      </c>
      <c r="E2698" s="97">
        <v>175</v>
      </c>
      <c r="F2698" s="366">
        <f t="shared" si="351"/>
        <v>3797.5</v>
      </c>
      <c r="G2698" s="97">
        <v>3563</v>
      </c>
      <c r="H2698" s="367">
        <f t="shared" si="348"/>
        <v>7360.5</v>
      </c>
      <c r="I2698" s="368">
        <f t="shared" si="349"/>
        <v>0</v>
      </c>
      <c r="J2698" s="97">
        <v>8215</v>
      </c>
      <c r="K2698" s="367">
        <f t="shared" si="347"/>
        <v>5867.8571428571431</v>
      </c>
      <c r="L2698" s="97">
        <v>0.69000000000000006</v>
      </c>
      <c r="M2698" s="97">
        <v>10</v>
      </c>
      <c r="N2698" s="97">
        <v>30</v>
      </c>
      <c r="O2698" s="97">
        <v>4</v>
      </c>
      <c r="P2698" s="97" t="s">
        <v>515</v>
      </c>
      <c r="Q2698" s="97">
        <f t="shared" si="345"/>
        <v>89</v>
      </c>
      <c r="R2698" t="str">
        <f t="shared" si="350"/>
        <v/>
      </c>
    </row>
    <row r="2699" spans="3:18">
      <c r="C2699" t="str">
        <f t="shared" si="346"/>
        <v/>
      </c>
      <c r="D2699" s="36">
        <v>90</v>
      </c>
      <c r="E2699" s="97">
        <v>180</v>
      </c>
      <c r="F2699" s="366">
        <f t="shared" si="351"/>
        <v>3906</v>
      </c>
      <c r="G2699" s="97">
        <v>3591</v>
      </c>
      <c r="H2699" s="367">
        <f t="shared" si="348"/>
        <v>7497</v>
      </c>
      <c r="I2699" s="368">
        <f t="shared" si="349"/>
        <v>0</v>
      </c>
      <c r="J2699" s="97">
        <v>8281</v>
      </c>
      <c r="K2699" s="367">
        <f t="shared" si="347"/>
        <v>5915</v>
      </c>
      <c r="L2699" s="97">
        <v>0.73</v>
      </c>
      <c r="M2699" s="97">
        <v>10</v>
      </c>
      <c r="N2699" s="97">
        <v>30</v>
      </c>
      <c r="O2699" s="97">
        <v>4</v>
      </c>
      <c r="P2699" s="97" t="s">
        <v>515</v>
      </c>
      <c r="Q2699" s="97" t="str">
        <f t="shared" si="345"/>
        <v/>
      </c>
      <c r="R2699" t="str">
        <f t="shared" si="350"/>
        <v/>
      </c>
    </row>
    <row r="2700" spans="3:18">
      <c r="C2700" t="str">
        <f t="shared" si="346"/>
        <v/>
      </c>
      <c r="D2700" s="36">
        <v>91</v>
      </c>
      <c r="E2700" s="97">
        <v>185</v>
      </c>
      <c r="F2700" s="366">
        <f t="shared" si="351"/>
        <v>4014.5</v>
      </c>
      <c r="G2700" s="97">
        <v>3620</v>
      </c>
      <c r="H2700" s="367">
        <f t="shared" si="348"/>
        <v>7634.5</v>
      </c>
      <c r="I2700" s="368">
        <f t="shared" si="349"/>
        <v>0</v>
      </c>
      <c r="J2700" s="97">
        <v>8347</v>
      </c>
      <c r="K2700" s="367">
        <f t="shared" si="347"/>
        <v>5962.1428571428569</v>
      </c>
      <c r="L2700" s="97">
        <v>0.78</v>
      </c>
      <c r="M2700" s="97">
        <v>10</v>
      </c>
      <c r="N2700" s="97">
        <v>31</v>
      </c>
      <c r="O2700" s="97">
        <v>4</v>
      </c>
      <c r="P2700" s="97" t="s">
        <v>515</v>
      </c>
      <c r="Q2700" s="97" t="str">
        <f t="shared" si="345"/>
        <v/>
      </c>
      <c r="R2700" t="str">
        <f t="shared" si="350"/>
        <v/>
      </c>
    </row>
    <row r="2701" spans="3:18">
      <c r="C2701" t="str">
        <f t="shared" si="346"/>
        <v/>
      </c>
      <c r="D2701" s="36">
        <v>92</v>
      </c>
      <c r="E2701" s="97">
        <v>190</v>
      </c>
      <c r="F2701" s="366">
        <f t="shared" si="351"/>
        <v>4123</v>
      </c>
      <c r="G2701" s="97">
        <v>3665</v>
      </c>
      <c r="H2701" s="367">
        <f t="shared" si="348"/>
        <v>7788</v>
      </c>
      <c r="I2701" s="368">
        <f t="shared" si="349"/>
        <v>0</v>
      </c>
      <c r="J2701" s="97">
        <v>8452</v>
      </c>
      <c r="K2701" s="367">
        <f t="shared" si="347"/>
        <v>6037.1428571428569</v>
      </c>
      <c r="L2701" s="97">
        <v>0.82000000000000006</v>
      </c>
      <c r="M2701" s="97">
        <v>10</v>
      </c>
      <c r="N2701" s="97">
        <v>31</v>
      </c>
      <c r="O2701" s="97">
        <v>4</v>
      </c>
      <c r="P2701" s="97" t="s">
        <v>515</v>
      </c>
      <c r="Q2701" s="97" t="str">
        <f t="shared" si="345"/>
        <v/>
      </c>
      <c r="R2701" t="str">
        <f t="shared" si="350"/>
        <v/>
      </c>
    </row>
    <row r="2702" spans="3:18">
      <c r="C2702" t="str">
        <f t="shared" si="346"/>
        <v/>
      </c>
      <c r="D2702" s="36">
        <v>93</v>
      </c>
      <c r="E2702" s="97">
        <v>195</v>
      </c>
      <c r="F2702" s="366">
        <f t="shared" si="351"/>
        <v>4231.5</v>
      </c>
      <c r="G2702" s="97">
        <v>3717</v>
      </c>
      <c r="H2702" s="367">
        <f t="shared" si="348"/>
        <v>7948.5</v>
      </c>
      <c r="I2702" s="368">
        <f t="shared" si="349"/>
        <v>0</v>
      </c>
      <c r="J2702" s="97">
        <v>8570</v>
      </c>
      <c r="K2702" s="367">
        <f t="shared" si="347"/>
        <v>6121.4285714285716</v>
      </c>
      <c r="L2702" s="97">
        <v>0.86</v>
      </c>
      <c r="M2702" s="97">
        <v>10</v>
      </c>
      <c r="N2702" s="97">
        <v>31</v>
      </c>
      <c r="O2702" s="97">
        <v>4</v>
      </c>
      <c r="P2702" s="97" t="s">
        <v>515</v>
      </c>
      <c r="Q2702" s="97" t="str">
        <f t="shared" si="345"/>
        <v/>
      </c>
      <c r="R2702" t="str">
        <f t="shared" si="350"/>
        <v/>
      </c>
    </row>
    <row r="2703" spans="3:18">
      <c r="C2703" t="str">
        <f t="shared" si="346"/>
        <v/>
      </c>
      <c r="D2703" s="36">
        <v>94</v>
      </c>
      <c r="E2703" s="97">
        <v>200</v>
      </c>
      <c r="F2703" s="366">
        <f t="shared" si="351"/>
        <v>4340</v>
      </c>
      <c r="G2703" s="97">
        <v>3768</v>
      </c>
      <c r="H2703" s="367">
        <f t="shared" si="348"/>
        <v>8108</v>
      </c>
      <c r="I2703" s="368">
        <f t="shared" si="349"/>
        <v>0</v>
      </c>
      <c r="J2703" s="97">
        <v>8688</v>
      </c>
      <c r="K2703" s="367">
        <f t="shared" si="347"/>
        <v>6205.7142857142862</v>
      </c>
      <c r="L2703" s="97">
        <v>0.91</v>
      </c>
      <c r="M2703" s="97">
        <v>10</v>
      </c>
      <c r="N2703" s="97">
        <v>32</v>
      </c>
      <c r="O2703" s="97">
        <v>4</v>
      </c>
      <c r="P2703" s="97" t="s">
        <v>515</v>
      </c>
      <c r="Q2703" s="97" t="str">
        <f t="shared" si="345"/>
        <v/>
      </c>
      <c r="R2703" t="str">
        <f t="shared" si="350"/>
        <v/>
      </c>
    </row>
    <row r="2704" spans="3:18">
      <c r="C2704" t="str">
        <f t="shared" si="346"/>
        <v/>
      </c>
      <c r="D2704" s="36">
        <v>95</v>
      </c>
      <c r="E2704" s="97">
        <v>205</v>
      </c>
      <c r="F2704" s="366">
        <f t="shared" si="351"/>
        <v>4448.5</v>
      </c>
      <c r="G2704" s="97">
        <v>3819</v>
      </c>
      <c r="H2704" s="367">
        <f t="shared" si="348"/>
        <v>8267.5</v>
      </c>
      <c r="I2704" s="368">
        <f t="shared" si="349"/>
        <v>0</v>
      </c>
      <c r="J2704" s="97">
        <v>8805</v>
      </c>
      <c r="K2704" s="367">
        <f t="shared" si="347"/>
        <v>6289.2857142857147</v>
      </c>
      <c r="L2704" s="97">
        <v>0.95</v>
      </c>
      <c r="M2704" s="97">
        <v>10</v>
      </c>
      <c r="N2704" s="97">
        <v>32</v>
      </c>
      <c r="O2704" s="97">
        <v>4</v>
      </c>
      <c r="P2704" s="97" t="s">
        <v>515</v>
      </c>
      <c r="Q2704" s="97" t="str">
        <f t="shared" si="345"/>
        <v/>
      </c>
      <c r="R2704" t="str">
        <f t="shared" si="350"/>
        <v/>
      </c>
    </row>
    <row r="2705" spans="2:18">
      <c r="C2705" t="str">
        <f t="shared" si="346"/>
        <v/>
      </c>
      <c r="D2705" s="36">
        <v>96</v>
      </c>
      <c r="E2705" s="97">
        <v>210</v>
      </c>
      <c r="F2705" s="366">
        <f t="shared" si="351"/>
        <v>4557</v>
      </c>
      <c r="G2705" s="97">
        <v>3866</v>
      </c>
      <c r="H2705" s="367">
        <f t="shared" si="348"/>
        <v>8423</v>
      </c>
      <c r="I2705" s="368">
        <f t="shared" si="349"/>
        <v>0</v>
      </c>
      <c r="J2705" s="97">
        <v>8914</v>
      </c>
      <c r="K2705" s="367">
        <f t="shared" si="347"/>
        <v>6367.1428571428569</v>
      </c>
      <c r="L2705" s="97">
        <v>1</v>
      </c>
      <c r="M2705" s="97">
        <v>10</v>
      </c>
      <c r="N2705" s="97">
        <v>32</v>
      </c>
      <c r="O2705" s="97">
        <v>4</v>
      </c>
      <c r="P2705" s="97" t="s">
        <v>515</v>
      </c>
      <c r="Q2705" s="97" t="str">
        <f t="shared" ref="Q2705:Q2768" si="352">IF(AND(H2705+1&gt;$E$4,L2705&lt;$L$4+0.01,M2705&lt;$M$4+0.01,K2705+1&gt;$F$4,E2705+1&gt;$J$4,N2705&lt;$K$4+1,O2705&lt;$P$4+1,C2705=""),D2705,"")</f>
        <v/>
      </c>
      <c r="R2705" t="str">
        <f t="shared" si="350"/>
        <v/>
      </c>
    </row>
    <row r="2706" spans="2:18">
      <c r="C2706" t="str">
        <f t="shared" si="346"/>
        <v/>
      </c>
      <c r="D2706" s="36">
        <v>97</v>
      </c>
      <c r="E2706" s="97">
        <v>215</v>
      </c>
      <c r="F2706" s="366">
        <f t="shared" si="351"/>
        <v>4665.5</v>
      </c>
      <c r="G2706" s="97">
        <v>3912</v>
      </c>
      <c r="H2706" s="367">
        <f t="shared" si="348"/>
        <v>8577.5</v>
      </c>
      <c r="I2706" s="368">
        <f t="shared" si="349"/>
        <v>0</v>
      </c>
      <c r="J2706" s="97">
        <v>9020</v>
      </c>
      <c r="K2706" s="367">
        <f t="shared" si="347"/>
        <v>6442.8571428571431</v>
      </c>
      <c r="L2706" s="97">
        <v>1.05</v>
      </c>
      <c r="M2706" s="97">
        <v>10</v>
      </c>
      <c r="N2706" s="97">
        <v>33</v>
      </c>
      <c r="O2706" s="97">
        <v>4</v>
      </c>
      <c r="P2706" s="97" t="s">
        <v>515</v>
      </c>
      <c r="Q2706" s="97" t="str">
        <f t="shared" si="352"/>
        <v/>
      </c>
      <c r="R2706" t="str">
        <f t="shared" si="350"/>
        <v/>
      </c>
    </row>
    <row r="2707" spans="2:18">
      <c r="B2707" s="582"/>
      <c r="E2707" s="97"/>
      <c r="H2707" s="97"/>
      <c r="I2707" s="97"/>
      <c r="J2707" s="97"/>
      <c r="K2707" s="97"/>
      <c r="L2707" s="97"/>
      <c r="M2707" s="97"/>
      <c r="N2707" s="97"/>
      <c r="O2707" s="97"/>
      <c r="P2707" s="97"/>
    </row>
    <row r="2708" spans="2:18">
      <c r="B2708" s="582"/>
      <c r="C2708" t="str">
        <f t="shared" si="346"/>
        <v>NL</v>
      </c>
      <c r="D2708" s="36">
        <v>1</v>
      </c>
      <c r="E2708" s="97">
        <v>5</v>
      </c>
      <c r="F2708" s="366">
        <f t="shared" si="351"/>
        <v>108.5</v>
      </c>
      <c r="G2708" s="97">
        <v>422</v>
      </c>
      <c r="H2708" s="367">
        <f t="shared" ref="H2708" si="353">(G2708*$U$7)+F2708</f>
        <v>530.5</v>
      </c>
      <c r="I2708" s="368">
        <f t="shared" ref="I2708" si="354">1.085*($C$2-$D$2)*E2708*$T$7</f>
        <v>0</v>
      </c>
      <c r="J2708" s="97">
        <v>1644</v>
      </c>
      <c r="K2708" s="367">
        <f t="shared" si="347"/>
        <v>1174.2857142857142</v>
      </c>
      <c r="L2708" s="606">
        <v>0.22</v>
      </c>
      <c r="M2708" s="97">
        <v>3</v>
      </c>
      <c r="N2708" s="605">
        <v>19</v>
      </c>
      <c r="O2708" s="97">
        <v>3</v>
      </c>
      <c r="P2708" s="97" t="s">
        <v>512</v>
      </c>
      <c r="Q2708" s="97" t="str">
        <f t="shared" si="352"/>
        <v/>
      </c>
      <c r="R2708" t="str">
        <f>IF(Q2708="","",IF(AND(O2708&lt;$X$20,E2708&gt;$U$20,E2708&lt;$Q$4+$U$20+1),D2708,""))</f>
        <v/>
      </c>
    </row>
    <row r="2709" spans="2:18">
      <c r="C2709" t="str">
        <f t="shared" si="346"/>
        <v>NL</v>
      </c>
      <c r="D2709" s="36">
        <v>2</v>
      </c>
      <c r="E2709" s="97">
        <v>10</v>
      </c>
      <c r="F2709" s="366">
        <f t="shared" si="351"/>
        <v>217</v>
      </c>
      <c r="G2709" s="97">
        <v>862</v>
      </c>
      <c r="H2709" s="367">
        <f t="shared" ref="H2709:H2772" si="355">(G2709*$U$7)+F2709</f>
        <v>1079</v>
      </c>
      <c r="I2709" s="368">
        <f t="shared" ref="I2709:I2772" si="356">1.085*($C$2-$D$2)*E2709*$T$7</f>
        <v>0</v>
      </c>
      <c r="J2709" s="97">
        <v>3354</v>
      </c>
      <c r="K2709" s="367">
        <f t="shared" si="347"/>
        <v>2395.7142857142858</v>
      </c>
      <c r="L2709" s="606">
        <v>0.88</v>
      </c>
      <c r="M2709" s="97">
        <v>3</v>
      </c>
      <c r="N2709" s="605">
        <v>28</v>
      </c>
      <c r="O2709" s="97">
        <v>3</v>
      </c>
      <c r="P2709" s="97" t="s">
        <v>512</v>
      </c>
      <c r="Q2709" s="97" t="str">
        <f t="shared" si="352"/>
        <v/>
      </c>
      <c r="R2709" t="str">
        <f t="shared" ref="R2709:R2772" si="357">IF(Q2709="","",IF(AND(O2709&lt;$X$20,E2709&gt;$U$20,E2709&lt;$Q$4+$U$20+1),D2709,""))</f>
        <v/>
      </c>
    </row>
    <row r="2710" spans="2:18">
      <c r="C2710" t="str">
        <f t="shared" ref="C2710:C2773" si="358">IF(OR($O$4=0,O2710-$O$4=0),IF(AND(ISEVEN(O2710)=FALSE,$N$4="Even"),"NL",""),"NL")</f>
        <v>NL</v>
      </c>
      <c r="D2710" s="36">
        <v>3</v>
      </c>
      <c r="E2710" s="97">
        <v>10</v>
      </c>
      <c r="F2710" s="366">
        <f t="shared" si="351"/>
        <v>217</v>
      </c>
      <c r="G2710" s="97">
        <v>849</v>
      </c>
      <c r="H2710" s="367">
        <f t="shared" si="355"/>
        <v>1066</v>
      </c>
      <c r="I2710" s="368">
        <f t="shared" si="356"/>
        <v>0</v>
      </c>
      <c r="J2710" s="97">
        <v>3301</v>
      </c>
      <c r="K2710" s="367">
        <f t="shared" ref="K2710:K2773" si="359">(J2710*$V$7)-I2710</f>
        <v>2357.8571428571431</v>
      </c>
      <c r="L2710" s="606">
        <v>0.33</v>
      </c>
      <c r="M2710" s="97">
        <v>3</v>
      </c>
      <c r="N2710" s="605">
        <v>20</v>
      </c>
      <c r="O2710" s="97">
        <v>3</v>
      </c>
      <c r="P2710" s="97" t="s">
        <v>513</v>
      </c>
      <c r="Q2710" s="97" t="str">
        <f t="shared" si="352"/>
        <v/>
      </c>
      <c r="R2710" t="str">
        <f t="shared" si="357"/>
        <v/>
      </c>
    </row>
    <row r="2711" spans="2:18">
      <c r="C2711" t="str">
        <f t="shared" si="358"/>
        <v/>
      </c>
      <c r="D2711" s="36">
        <v>4</v>
      </c>
      <c r="E2711" s="97">
        <v>10</v>
      </c>
      <c r="F2711" s="366">
        <f t="shared" si="351"/>
        <v>217</v>
      </c>
      <c r="G2711" s="97">
        <v>850</v>
      </c>
      <c r="H2711" s="367">
        <f t="shared" si="355"/>
        <v>1067</v>
      </c>
      <c r="I2711" s="368">
        <f t="shared" si="356"/>
        <v>0</v>
      </c>
      <c r="J2711" s="97">
        <v>3308</v>
      </c>
      <c r="K2711" s="367">
        <f t="shared" si="359"/>
        <v>2362.8571428571431</v>
      </c>
      <c r="L2711" s="606">
        <v>0.45</v>
      </c>
      <c r="M2711" s="97">
        <v>3.8000000000000003</v>
      </c>
      <c r="N2711" s="605">
        <v>23</v>
      </c>
      <c r="O2711" s="97">
        <v>4</v>
      </c>
      <c r="P2711" s="97" t="s">
        <v>512</v>
      </c>
      <c r="Q2711" s="97" t="str">
        <f t="shared" si="352"/>
        <v/>
      </c>
      <c r="R2711" t="str">
        <f t="shared" si="357"/>
        <v/>
      </c>
    </row>
    <row r="2712" spans="2:18">
      <c r="C2712" t="str">
        <f t="shared" si="358"/>
        <v/>
      </c>
      <c r="D2712" s="36">
        <v>5</v>
      </c>
      <c r="E2712" s="97">
        <v>10</v>
      </c>
      <c r="F2712" s="366">
        <f t="shared" si="351"/>
        <v>217</v>
      </c>
      <c r="G2712" s="97">
        <v>828</v>
      </c>
      <c r="H2712" s="367">
        <f t="shared" si="355"/>
        <v>1045</v>
      </c>
      <c r="I2712" s="368">
        <f t="shared" si="356"/>
        <v>0</v>
      </c>
      <c r="J2712" s="97">
        <v>3223</v>
      </c>
      <c r="K2712" s="367">
        <f t="shared" si="359"/>
        <v>2302.1428571428573</v>
      </c>
      <c r="L2712" s="606">
        <v>0.17</v>
      </c>
      <c r="M2712" s="97">
        <v>3.8000000000000003</v>
      </c>
      <c r="N2712" s="605">
        <v>15</v>
      </c>
      <c r="O2712" s="97">
        <v>4</v>
      </c>
      <c r="P2712" s="97" t="s">
        <v>513</v>
      </c>
      <c r="Q2712" s="97" t="str">
        <f t="shared" si="352"/>
        <v/>
      </c>
      <c r="R2712" t="str">
        <f t="shared" si="357"/>
        <v/>
      </c>
    </row>
    <row r="2713" spans="2:18">
      <c r="C2713" t="str">
        <f t="shared" si="358"/>
        <v>NL</v>
      </c>
      <c r="D2713" s="36">
        <v>6</v>
      </c>
      <c r="E2713" s="97">
        <v>10</v>
      </c>
      <c r="F2713" s="366">
        <f t="shared" si="351"/>
        <v>217</v>
      </c>
      <c r="G2713" s="97">
        <v>838</v>
      </c>
      <c r="H2713" s="367">
        <f t="shared" si="355"/>
        <v>1055</v>
      </c>
      <c r="I2713" s="368">
        <f t="shared" si="356"/>
        <v>0</v>
      </c>
      <c r="J2713" s="97">
        <v>3258</v>
      </c>
      <c r="K2713" s="367">
        <f t="shared" si="359"/>
        <v>2327.1428571428573</v>
      </c>
      <c r="L2713" s="606">
        <v>0.27</v>
      </c>
      <c r="M2713" s="97">
        <v>4.6999999999999993</v>
      </c>
      <c r="N2713" s="605">
        <v>19</v>
      </c>
      <c r="O2713" s="97">
        <v>5</v>
      </c>
      <c r="P2713" s="97" t="s">
        <v>512</v>
      </c>
      <c r="Q2713" s="97" t="str">
        <f t="shared" si="352"/>
        <v/>
      </c>
      <c r="R2713" t="str">
        <f t="shared" si="357"/>
        <v/>
      </c>
    </row>
    <row r="2714" spans="2:18">
      <c r="C2714" t="str">
        <f t="shared" si="358"/>
        <v/>
      </c>
      <c r="D2714" s="36">
        <v>7</v>
      </c>
      <c r="E2714" s="97">
        <v>10</v>
      </c>
      <c r="F2714" s="366">
        <f t="shared" si="351"/>
        <v>217</v>
      </c>
      <c r="G2714" s="97">
        <v>828</v>
      </c>
      <c r="H2714" s="367">
        <f t="shared" si="355"/>
        <v>1045</v>
      </c>
      <c r="I2714" s="368">
        <f t="shared" si="356"/>
        <v>0</v>
      </c>
      <c r="J2714" s="97">
        <v>3222</v>
      </c>
      <c r="K2714" s="367">
        <f t="shared" si="359"/>
        <v>2301.4285714285716</v>
      </c>
      <c r="L2714" s="606">
        <v>0.19</v>
      </c>
      <c r="M2714" s="97">
        <v>5.5</v>
      </c>
      <c r="N2714" s="605">
        <v>17</v>
      </c>
      <c r="O2714" s="97">
        <v>6</v>
      </c>
      <c r="P2714" s="97" t="s">
        <v>512</v>
      </c>
      <c r="Q2714" s="97" t="str">
        <f t="shared" si="352"/>
        <v/>
      </c>
      <c r="R2714" t="str">
        <f t="shared" si="357"/>
        <v/>
      </c>
    </row>
    <row r="2715" spans="2:18">
      <c r="C2715" t="str">
        <f t="shared" si="358"/>
        <v>NL</v>
      </c>
      <c r="D2715" s="36">
        <v>8</v>
      </c>
      <c r="E2715" s="97">
        <v>15</v>
      </c>
      <c r="F2715" s="366">
        <f t="shared" si="351"/>
        <v>325.5</v>
      </c>
      <c r="G2715" s="97">
        <v>1232</v>
      </c>
      <c r="H2715" s="367">
        <f t="shared" si="355"/>
        <v>1557.5</v>
      </c>
      <c r="I2715" s="368">
        <f t="shared" si="356"/>
        <v>0</v>
      </c>
      <c r="J2715" s="97">
        <v>4792</v>
      </c>
      <c r="K2715" s="367">
        <f t="shared" si="359"/>
        <v>3422.8571428571431</v>
      </c>
      <c r="L2715" s="606">
        <v>0.21000000000000002</v>
      </c>
      <c r="M2715" s="97">
        <v>3</v>
      </c>
      <c r="N2715" s="605">
        <v>18</v>
      </c>
      <c r="O2715" s="97">
        <v>3</v>
      </c>
      <c r="P2715" s="97" t="s">
        <v>514</v>
      </c>
      <c r="Q2715" s="97" t="str">
        <f t="shared" si="352"/>
        <v/>
      </c>
      <c r="R2715" t="str">
        <f t="shared" si="357"/>
        <v/>
      </c>
    </row>
    <row r="2716" spans="2:18">
      <c r="C2716" t="str">
        <f t="shared" si="358"/>
        <v>NL</v>
      </c>
      <c r="D2716" s="36">
        <v>9</v>
      </c>
      <c r="E2716" s="97">
        <v>15</v>
      </c>
      <c r="F2716" s="366">
        <f t="shared" si="351"/>
        <v>325.5</v>
      </c>
      <c r="G2716" s="97">
        <v>1230</v>
      </c>
      <c r="H2716" s="367">
        <f t="shared" si="355"/>
        <v>1555.5</v>
      </c>
      <c r="I2716" s="368">
        <f t="shared" si="356"/>
        <v>0</v>
      </c>
      <c r="J2716" s="97">
        <v>4786</v>
      </c>
      <c r="K2716" s="367">
        <f t="shared" si="359"/>
        <v>3418.5714285714284</v>
      </c>
      <c r="L2716" s="606">
        <v>0.73</v>
      </c>
      <c r="M2716" s="97">
        <v>3</v>
      </c>
      <c r="N2716" s="605">
        <v>25</v>
      </c>
      <c r="O2716" s="97">
        <v>3</v>
      </c>
      <c r="P2716" s="97" t="s">
        <v>513</v>
      </c>
      <c r="Q2716" s="97" t="str">
        <f t="shared" si="352"/>
        <v/>
      </c>
      <c r="R2716" t="str">
        <f t="shared" si="357"/>
        <v/>
      </c>
    </row>
    <row r="2717" spans="2:18">
      <c r="C2717" t="str">
        <f t="shared" si="358"/>
        <v/>
      </c>
      <c r="D2717" s="36">
        <v>10</v>
      </c>
      <c r="E2717" s="97">
        <v>15</v>
      </c>
      <c r="F2717" s="366">
        <f t="shared" si="351"/>
        <v>325.5</v>
      </c>
      <c r="G2717" s="97">
        <v>1265</v>
      </c>
      <c r="H2717" s="367">
        <f t="shared" si="355"/>
        <v>1590.5</v>
      </c>
      <c r="I2717" s="368">
        <f t="shared" si="356"/>
        <v>0</v>
      </c>
      <c r="J2717" s="97">
        <v>4920</v>
      </c>
      <c r="K2717" s="367">
        <f t="shared" si="359"/>
        <v>3514.2857142857142</v>
      </c>
      <c r="L2717" s="606">
        <v>1.01</v>
      </c>
      <c r="M2717" s="97">
        <v>3.8000000000000003</v>
      </c>
      <c r="N2717" s="605">
        <v>28</v>
      </c>
      <c r="O2717" s="97">
        <v>4</v>
      </c>
      <c r="P2717" s="97" t="s">
        <v>512</v>
      </c>
      <c r="Q2717" s="97" t="str">
        <f t="shared" si="352"/>
        <v/>
      </c>
      <c r="R2717" t="str">
        <f t="shared" si="357"/>
        <v/>
      </c>
    </row>
    <row r="2718" spans="2:18">
      <c r="C2718" t="str">
        <f t="shared" si="358"/>
        <v/>
      </c>
      <c r="D2718" s="36">
        <v>11</v>
      </c>
      <c r="E2718" s="97">
        <v>15</v>
      </c>
      <c r="F2718" s="366">
        <f t="shared" si="351"/>
        <v>325.5</v>
      </c>
      <c r="G2718" s="97">
        <v>1259</v>
      </c>
      <c r="H2718" s="367">
        <f t="shared" si="355"/>
        <v>1584.5</v>
      </c>
      <c r="I2718" s="368">
        <f t="shared" si="356"/>
        <v>0</v>
      </c>
      <c r="J2718" s="97">
        <v>4899</v>
      </c>
      <c r="K2718" s="367">
        <f t="shared" si="359"/>
        <v>3499.2857142857142</v>
      </c>
      <c r="L2718" s="606">
        <v>0.38</v>
      </c>
      <c r="M2718" s="97">
        <v>3.8000000000000003</v>
      </c>
      <c r="N2718" s="605">
        <v>20</v>
      </c>
      <c r="O2718" s="97">
        <v>4</v>
      </c>
      <c r="P2718" s="97" t="s">
        <v>513</v>
      </c>
      <c r="Q2718" s="97" t="str">
        <f t="shared" si="352"/>
        <v/>
      </c>
      <c r="R2718" t="str">
        <f t="shared" si="357"/>
        <v/>
      </c>
    </row>
    <row r="2719" spans="2:18">
      <c r="C2719" t="str">
        <f t="shared" si="358"/>
        <v>NL</v>
      </c>
      <c r="D2719" s="36">
        <v>12</v>
      </c>
      <c r="E2719" s="97">
        <v>15</v>
      </c>
      <c r="F2719" s="366">
        <f t="shared" si="351"/>
        <v>325.5</v>
      </c>
      <c r="G2719" s="97">
        <v>1271</v>
      </c>
      <c r="H2719" s="367">
        <f t="shared" si="355"/>
        <v>1596.5</v>
      </c>
      <c r="I2719" s="368">
        <f t="shared" si="356"/>
        <v>0</v>
      </c>
      <c r="J2719" s="97">
        <v>4944</v>
      </c>
      <c r="K2719" s="367">
        <f t="shared" si="359"/>
        <v>3531.4285714285716</v>
      </c>
      <c r="L2719" s="606">
        <v>0.61</v>
      </c>
      <c r="M2719" s="97">
        <v>4.6999999999999993</v>
      </c>
      <c r="N2719" s="605">
        <v>25</v>
      </c>
      <c r="O2719" s="97">
        <v>5</v>
      </c>
      <c r="P2719" s="97" t="s">
        <v>512</v>
      </c>
      <c r="Q2719" s="97" t="str">
        <f t="shared" si="352"/>
        <v/>
      </c>
      <c r="R2719" t="str">
        <f t="shared" si="357"/>
        <v/>
      </c>
    </row>
    <row r="2720" spans="2:18">
      <c r="C2720" t="str">
        <f t="shared" si="358"/>
        <v>NL</v>
      </c>
      <c r="D2720" s="36">
        <v>13</v>
      </c>
      <c r="E2720" s="97">
        <v>15</v>
      </c>
      <c r="F2720" s="366">
        <f t="shared" si="351"/>
        <v>325.5</v>
      </c>
      <c r="G2720" s="97">
        <v>1240</v>
      </c>
      <c r="H2720" s="367">
        <f t="shared" si="355"/>
        <v>1565.5</v>
      </c>
      <c r="I2720" s="368">
        <f t="shared" si="356"/>
        <v>0</v>
      </c>
      <c r="J2720" s="97">
        <v>4825</v>
      </c>
      <c r="K2720" s="367">
        <f t="shared" si="359"/>
        <v>3446.4285714285716</v>
      </c>
      <c r="L2720" s="606">
        <v>0.24000000000000002</v>
      </c>
      <c r="M2720" s="97">
        <v>4.6999999999999993</v>
      </c>
      <c r="N2720" s="605">
        <v>17</v>
      </c>
      <c r="O2720" s="97">
        <v>5</v>
      </c>
      <c r="P2720" s="97" t="s">
        <v>513</v>
      </c>
      <c r="Q2720" s="97" t="str">
        <f t="shared" si="352"/>
        <v/>
      </c>
      <c r="R2720" t="str">
        <f t="shared" si="357"/>
        <v/>
      </c>
    </row>
    <row r="2721" spans="3:18">
      <c r="C2721" t="str">
        <f t="shared" si="358"/>
        <v/>
      </c>
      <c r="D2721" s="36">
        <v>14</v>
      </c>
      <c r="E2721" s="97">
        <v>15</v>
      </c>
      <c r="F2721" s="366">
        <f t="shared" si="351"/>
        <v>325.5</v>
      </c>
      <c r="G2721" s="97">
        <v>1255</v>
      </c>
      <c r="H2721" s="367">
        <f t="shared" si="355"/>
        <v>1580.5</v>
      </c>
      <c r="I2721" s="368">
        <f t="shared" si="356"/>
        <v>0</v>
      </c>
      <c r="J2721" s="97">
        <v>4881</v>
      </c>
      <c r="K2721" s="367">
        <f t="shared" si="359"/>
        <v>3486.4285714285716</v>
      </c>
      <c r="L2721" s="606">
        <v>0.41000000000000003</v>
      </c>
      <c r="M2721" s="97">
        <v>5.5</v>
      </c>
      <c r="N2721" s="605">
        <v>22</v>
      </c>
      <c r="O2721" s="97">
        <v>6</v>
      </c>
      <c r="P2721" s="97" t="s">
        <v>512</v>
      </c>
      <c r="Q2721" s="97" t="str">
        <f t="shared" si="352"/>
        <v/>
      </c>
      <c r="R2721" t="str">
        <f t="shared" si="357"/>
        <v/>
      </c>
    </row>
    <row r="2722" spans="3:18">
      <c r="C2722" t="str">
        <f t="shared" si="358"/>
        <v/>
      </c>
      <c r="D2722" s="36">
        <v>15</v>
      </c>
      <c r="E2722" s="97">
        <v>15</v>
      </c>
      <c r="F2722" s="366">
        <f t="shared" si="351"/>
        <v>325.5</v>
      </c>
      <c r="G2722" s="97">
        <v>1225</v>
      </c>
      <c r="H2722" s="367">
        <f t="shared" si="355"/>
        <v>1550.5</v>
      </c>
      <c r="I2722" s="368">
        <f t="shared" si="356"/>
        <v>0</v>
      </c>
      <c r="J2722" s="97">
        <v>4766</v>
      </c>
      <c r="K2722" s="367">
        <f t="shared" si="359"/>
        <v>3404.2857142857142</v>
      </c>
      <c r="L2722" s="606">
        <v>0.16</v>
      </c>
      <c r="M2722" s="97">
        <v>5.5</v>
      </c>
      <c r="N2722" s="605">
        <v>15</v>
      </c>
      <c r="O2722" s="97">
        <v>6</v>
      </c>
      <c r="P2722" s="97" t="s">
        <v>513</v>
      </c>
      <c r="Q2722" s="97" t="str">
        <f t="shared" si="352"/>
        <v/>
      </c>
      <c r="R2722" t="str">
        <f t="shared" si="357"/>
        <v/>
      </c>
    </row>
    <row r="2723" spans="3:18">
      <c r="C2723" t="str">
        <f t="shared" si="358"/>
        <v>NL</v>
      </c>
      <c r="D2723" s="36">
        <v>16</v>
      </c>
      <c r="E2723" s="97">
        <v>20</v>
      </c>
      <c r="F2723" s="366">
        <f t="shared" si="351"/>
        <v>434</v>
      </c>
      <c r="G2723" s="97">
        <v>1591</v>
      </c>
      <c r="H2723" s="367">
        <f t="shared" si="355"/>
        <v>2025</v>
      </c>
      <c r="I2723" s="368">
        <f t="shared" si="356"/>
        <v>0</v>
      </c>
      <c r="J2723" s="97">
        <v>6189</v>
      </c>
      <c r="K2723" s="367">
        <f t="shared" si="359"/>
        <v>4420.7142857142862</v>
      </c>
      <c r="L2723" s="606">
        <v>0.36</v>
      </c>
      <c r="M2723" s="97">
        <v>3</v>
      </c>
      <c r="N2723" s="605">
        <v>22</v>
      </c>
      <c r="O2723" s="97">
        <v>3</v>
      </c>
      <c r="P2723" s="97" t="s">
        <v>514</v>
      </c>
      <c r="Q2723" s="97" t="str">
        <f t="shared" si="352"/>
        <v/>
      </c>
      <c r="R2723" t="str">
        <f t="shared" si="357"/>
        <v/>
      </c>
    </row>
    <row r="2724" spans="3:18">
      <c r="C2724" t="str">
        <f t="shared" si="358"/>
        <v/>
      </c>
      <c r="D2724" s="36">
        <v>17</v>
      </c>
      <c r="E2724" s="97">
        <v>20</v>
      </c>
      <c r="F2724" s="366">
        <f t="shared" si="351"/>
        <v>434</v>
      </c>
      <c r="G2724" s="97">
        <v>1629</v>
      </c>
      <c r="H2724" s="367">
        <f t="shared" si="355"/>
        <v>2063</v>
      </c>
      <c r="I2724" s="368">
        <f t="shared" si="356"/>
        <v>0</v>
      </c>
      <c r="J2724" s="97">
        <v>6335</v>
      </c>
      <c r="K2724" s="367">
        <f t="shared" si="359"/>
        <v>4525</v>
      </c>
      <c r="L2724" s="606">
        <v>0.19</v>
      </c>
      <c r="M2724" s="97">
        <v>3.8000000000000003</v>
      </c>
      <c r="N2724" s="605">
        <v>17</v>
      </c>
      <c r="O2724" s="97">
        <v>4</v>
      </c>
      <c r="P2724" s="97" t="s">
        <v>514</v>
      </c>
      <c r="Q2724" s="97" t="str">
        <f t="shared" si="352"/>
        <v/>
      </c>
      <c r="R2724" t="str">
        <f t="shared" si="357"/>
        <v/>
      </c>
    </row>
    <row r="2725" spans="3:18">
      <c r="C2725" t="str">
        <f t="shared" si="358"/>
        <v/>
      </c>
      <c r="D2725" s="36">
        <v>18</v>
      </c>
      <c r="E2725" s="97">
        <v>20</v>
      </c>
      <c r="F2725" s="366">
        <f t="shared" si="351"/>
        <v>434</v>
      </c>
      <c r="G2725" s="97">
        <v>1623</v>
      </c>
      <c r="H2725" s="367">
        <f t="shared" si="355"/>
        <v>2057</v>
      </c>
      <c r="I2725" s="368">
        <f t="shared" si="356"/>
        <v>0</v>
      </c>
      <c r="J2725" s="97">
        <v>6312</v>
      </c>
      <c r="K2725" s="367">
        <f t="shared" si="359"/>
        <v>4508.5714285714284</v>
      </c>
      <c r="L2725" s="606">
        <v>0.68</v>
      </c>
      <c r="M2725" s="97">
        <v>3.8000000000000003</v>
      </c>
      <c r="N2725" s="605">
        <v>24</v>
      </c>
      <c r="O2725" s="97">
        <v>4</v>
      </c>
      <c r="P2725" s="97" t="s">
        <v>513</v>
      </c>
      <c r="Q2725" s="97" t="str">
        <f t="shared" si="352"/>
        <v/>
      </c>
      <c r="R2725" t="str">
        <f t="shared" si="357"/>
        <v/>
      </c>
    </row>
    <row r="2726" spans="3:18">
      <c r="C2726" t="str">
        <f t="shared" si="358"/>
        <v>NL</v>
      </c>
      <c r="D2726" s="36">
        <v>19</v>
      </c>
      <c r="E2726" s="97">
        <v>20</v>
      </c>
      <c r="F2726" s="366">
        <f t="shared" si="351"/>
        <v>434</v>
      </c>
      <c r="G2726" s="97">
        <v>1659</v>
      </c>
      <c r="H2726" s="367">
        <f t="shared" si="355"/>
        <v>2093</v>
      </c>
      <c r="I2726" s="368">
        <f t="shared" si="356"/>
        <v>0</v>
      </c>
      <c r="J2726" s="97">
        <v>6455</v>
      </c>
      <c r="K2726" s="367">
        <f t="shared" si="359"/>
        <v>4610.7142857142862</v>
      </c>
      <c r="L2726" s="606">
        <v>1.08</v>
      </c>
      <c r="M2726" s="97">
        <v>4.6999999999999993</v>
      </c>
      <c r="N2726" s="605">
        <v>28</v>
      </c>
      <c r="O2726" s="97">
        <v>5</v>
      </c>
      <c r="P2726" s="97" t="s">
        <v>512</v>
      </c>
      <c r="Q2726" s="97" t="str">
        <f t="shared" si="352"/>
        <v/>
      </c>
      <c r="R2726" t="str">
        <f t="shared" si="357"/>
        <v/>
      </c>
    </row>
    <row r="2727" spans="3:18">
      <c r="C2727" t="str">
        <f t="shared" si="358"/>
        <v>NL</v>
      </c>
      <c r="D2727" s="36">
        <v>20</v>
      </c>
      <c r="E2727" s="97">
        <v>20</v>
      </c>
      <c r="F2727" s="366">
        <f t="shared" si="351"/>
        <v>434</v>
      </c>
      <c r="G2727" s="97">
        <v>1658</v>
      </c>
      <c r="H2727" s="367">
        <f t="shared" si="355"/>
        <v>2092</v>
      </c>
      <c r="I2727" s="368">
        <f t="shared" si="356"/>
        <v>0</v>
      </c>
      <c r="J2727" s="97">
        <v>6450</v>
      </c>
      <c r="K2727" s="367">
        <f t="shared" si="359"/>
        <v>4607.1428571428569</v>
      </c>
      <c r="L2727" s="606">
        <v>0.42</v>
      </c>
      <c r="M2727" s="97">
        <v>4.6999999999999993</v>
      </c>
      <c r="N2727" s="605">
        <v>21</v>
      </c>
      <c r="O2727" s="97">
        <v>5</v>
      </c>
      <c r="P2727" s="97" t="s">
        <v>513</v>
      </c>
      <c r="Q2727" s="97" t="str">
        <f t="shared" si="352"/>
        <v/>
      </c>
      <c r="R2727" t="str">
        <f t="shared" si="357"/>
        <v/>
      </c>
    </row>
    <row r="2728" spans="3:18">
      <c r="C2728" t="str">
        <f t="shared" si="358"/>
        <v/>
      </c>
      <c r="D2728" s="36">
        <v>21</v>
      </c>
      <c r="E2728" s="97">
        <v>20</v>
      </c>
      <c r="F2728" s="366">
        <f t="shared" si="351"/>
        <v>434</v>
      </c>
      <c r="G2728" s="97">
        <v>1681</v>
      </c>
      <c r="H2728" s="367">
        <f t="shared" si="355"/>
        <v>2115</v>
      </c>
      <c r="I2728" s="368">
        <f t="shared" si="356"/>
        <v>0</v>
      </c>
      <c r="J2728" s="97">
        <v>6540</v>
      </c>
      <c r="K2728" s="367">
        <f t="shared" si="359"/>
        <v>4671.4285714285716</v>
      </c>
      <c r="L2728" s="606">
        <v>0.73</v>
      </c>
      <c r="M2728" s="97">
        <v>5.5</v>
      </c>
      <c r="N2728" s="605">
        <v>26</v>
      </c>
      <c r="O2728" s="97">
        <v>6</v>
      </c>
      <c r="P2728" s="97" t="s">
        <v>512</v>
      </c>
      <c r="Q2728" s="97" t="str">
        <f t="shared" si="352"/>
        <v/>
      </c>
      <c r="R2728" t="str">
        <f t="shared" si="357"/>
        <v/>
      </c>
    </row>
    <row r="2729" spans="3:18">
      <c r="C2729" t="str">
        <f t="shared" si="358"/>
        <v/>
      </c>
      <c r="D2729" s="36">
        <v>22</v>
      </c>
      <c r="E2729" s="97">
        <v>20</v>
      </c>
      <c r="F2729" s="366">
        <f t="shared" si="351"/>
        <v>434</v>
      </c>
      <c r="G2729" s="97">
        <v>1643</v>
      </c>
      <c r="H2729" s="367">
        <f t="shared" si="355"/>
        <v>2077</v>
      </c>
      <c r="I2729" s="368">
        <f t="shared" si="356"/>
        <v>0</v>
      </c>
      <c r="J2729" s="97">
        <v>6391</v>
      </c>
      <c r="K2729" s="367">
        <f t="shared" si="359"/>
        <v>4565</v>
      </c>
      <c r="L2729" s="606">
        <v>0.29000000000000004</v>
      </c>
      <c r="M2729" s="97">
        <v>5.5</v>
      </c>
      <c r="N2729" s="605">
        <v>18</v>
      </c>
      <c r="O2729" s="97">
        <v>6</v>
      </c>
      <c r="P2729" s="97" t="s">
        <v>513</v>
      </c>
      <c r="Q2729" s="97" t="str">
        <f t="shared" si="352"/>
        <v/>
      </c>
      <c r="R2729" t="str">
        <f t="shared" si="357"/>
        <v/>
      </c>
    </row>
    <row r="2730" spans="3:18">
      <c r="C2730" t="str">
        <f t="shared" si="358"/>
        <v>NL</v>
      </c>
      <c r="D2730" s="36">
        <v>23</v>
      </c>
      <c r="E2730" s="97">
        <v>25</v>
      </c>
      <c r="F2730" s="366">
        <f t="shared" si="351"/>
        <v>542.5</v>
      </c>
      <c r="G2730" s="97">
        <v>2062</v>
      </c>
      <c r="H2730" s="367">
        <f t="shared" si="355"/>
        <v>2604.5</v>
      </c>
      <c r="I2730" s="368">
        <f t="shared" si="356"/>
        <v>0</v>
      </c>
      <c r="J2730" s="97">
        <v>8019</v>
      </c>
      <c r="K2730" s="367">
        <f t="shared" si="359"/>
        <v>5727.8571428571431</v>
      </c>
      <c r="L2730" s="606">
        <v>0.57000000000000006</v>
      </c>
      <c r="M2730" s="97">
        <v>3</v>
      </c>
      <c r="N2730" s="605">
        <v>25</v>
      </c>
      <c r="O2730" s="97">
        <v>3</v>
      </c>
      <c r="P2730" s="97" t="s">
        <v>514</v>
      </c>
      <c r="Q2730" s="97" t="str">
        <f t="shared" si="352"/>
        <v/>
      </c>
      <c r="R2730" t="str">
        <f t="shared" si="357"/>
        <v/>
      </c>
    </row>
    <row r="2731" spans="3:18">
      <c r="C2731" t="str">
        <f t="shared" si="358"/>
        <v>NL</v>
      </c>
      <c r="D2731" s="36">
        <v>24</v>
      </c>
      <c r="E2731" s="97">
        <v>25</v>
      </c>
      <c r="F2731" s="366">
        <f t="shared" si="351"/>
        <v>542.5</v>
      </c>
      <c r="G2731" s="97">
        <v>1462</v>
      </c>
      <c r="H2731" s="367">
        <f t="shared" si="355"/>
        <v>2004.5</v>
      </c>
      <c r="I2731" s="368">
        <f t="shared" si="356"/>
        <v>0</v>
      </c>
      <c r="J2731" s="97">
        <v>5686</v>
      </c>
      <c r="K2731" s="367">
        <f t="shared" si="359"/>
        <v>4061.4285714285716</v>
      </c>
      <c r="L2731" s="606">
        <v>0.16</v>
      </c>
      <c r="M2731" s="97">
        <v>3</v>
      </c>
      <c r="N2731" s="605">
        <v>16</v>
      </c>
      <c r="O2731" s="97">
        <v>3</v>
      </c>
      <c r="P2731" s="97" t="s">
        <v>515</v>
      </c>
      <c r="Q2731" s="97" t="str">
        <f t="shared" si="352"/>
        <v/>
      </c>
      <c r="R2731" t="str">
        <f t="shared" si="357"/>
        <v/>
      </c>
    </row>
    <row r="2732" spans="3:18">
      <c r="C2732" t="str">
        <f t="shared" si="358"/>
        <v/>
      </c>
      <c r="D2732" s="36">
        <v>25</v>
      </c>
      <c r="E2732" s="97">
        <v>25</v>
      </c>
      <c r="F2732" s="366">
        <f t="shared" si="351"/>
        <v>542.5</v>
      </c>
      <c r="G2732" s="97">
        <v>2069</v>
      </c>
      <c r="H2732" s="367">
        <f t="shared" si="355"/>
        <v>2611.5</v>
      </c>
      <c r="I2732" s="368">
        <f t="shared" si="356"/>
        <v>0</v>
      </c>
      <c r="J2732" s="97">
        <v>8046</v>
      </c>
      <c r="K2732" s="367">
        <f t="shared" si="359"/>
        <v>5747.1428571428569</v>
      </c>
      <c r="L2732" s="606">
        <v>1.06</v>
      </c>
      <c r="M2732" s="97">
        <v>3.8000000000000003</v>
      </c>
      <c r="N2732" s="605">
        <v>27</v>
      </c>
      <c r="O2732" s="97">
        <v>4</v>
      </c>
      <c r="P2732" s="97" t="s">
        <v>513</v>
      </c>
      <c r="Q2732" s="97" t="str">
        <f t="shared" si="352"/>
        <v/>
      </c>
      <c r="R2732" t="str">
        <f t="shared" si="357"/>
        <v/>
      </c>
    </row>
    <row r="2733" spans="3:18">
      <c r="C2733" t="str">
        <f t="shared" si="358"/>
        <v/>
      </c>
      <c r="D2733" s="36">
        <v>26</v>
      </c>
      <c r="E2733" s="97">
        <v>25</v>
      </c>
      <c r="F2733" s="366">
        <f t="shared" si="351"/>
        <v>542.5</v>
      </c>
      <c r="G2733" s="97">
        <v>1982</v>
      </c>
      <c r="H2733" s="367">
        <f t="shared" si="355"/>
        <v>2524.5</v>
      </c>
      <c r="I2733" s="368">
        <f t="shared" si="356"/>
        <v>0</v>
      </c>
      <c r="J2733" s="97">
        <v>7710</v>
      </c>
      <c r="K2733" s="367">
        <f t="shared" si="359"/>
        <v>5507.1428571428569</v>
      </c>
      <c r="L2733" s="606">
        <v>0.3</v>
      </c>
      <c r="M2733" s="97">
        <v>3.8000000000000003</v>
      </c>
      <c r="N2733" s="605">
        <v>20</v>
      </c>
      <c r="O2733" s="97">
        <v>4</v>
      </c>
      <c r="P2733" s="97" t="s">
        <v>514</v>
      </c>
      <c r="Q2733" s="97" t="str">
        <f t="shared" si="352"/>
        <v/>
      </c>
      <c r="R2733" t="str">
        <f t="shared" si="357"/>
        <v/>
      </c>
    </row>
    <row r="2734" spans="3:18">
      <c r="C2734" t="str">
        <f t="shared" si="358"/>
        <v>NL</v>
      </c>
      <c r="D2734" s="36">
        <v>27</v>
      </c>
      <c r="E2734" s="97">
        <v>25</v>
      </c>
      <c r="F2734" s="366">
        <f t="shared" si="351"/>
        <v>542.5</v>
      </c>
      <c r="G2734" s="97">
        <v>2009</v>
      </c>
      <c r="H2734" s="367">
        <f t="shared" si="355"/>
        <v>2551.5</v>
      </c>
      <c r="I2734" s="368">
        <f t="shared" si="356"/>
        <v>0</v>
      </c>
      <c r="J2734" s="97">
        <v>7816</v>
      </c>
      <c r="K2734" s="367">
        <f t="shared" si="359"/>
        <v>5582.8571428571431</v>
      </c>
      <c r="L2734" s="606">
        <v>0.65</v>
      </c>
      <c r="M2734" s="97">
        <v>4.6999999999999993</v>
      </c>
      <c r="N2734" s="605">
        <v>24</v>
      </c>
      <c r="O2734" s="97">
        <v>5</v>
      </c>
      <c r="P2734" s="97" t="s">
        <v>513</v>
      </c>
      <c r="Q2734" s="97" t="str">
        <f t="shared" si="352"/>
        <v/>
      </c>
      <c r="R2734" t="str">
        <f t="shared" si="357"/>
        <v/>
      </c>
    </row>
    <row r="2735" spans="3:18">
      <c r="C2735" t="str">
        <f t="shared" si="358"/>
        <v>NL</v>
      </c>
      <c r="D2735" s="36">
        <v>28</v>
      </c>
      <c r="E2735" s="97">
        <v>25</v>
      </c>
      <c r="F2735" s="366">
        <f t="shared" si="351"/>
        <v>542.5</v>
      </c>
      <c r="G2735" s="97">
        <v>1707</v>
      </c>
      <c r="H2735" s="367">
        <f t="shared" si="355"/>
        <v>2249.5</v>
      </c>
      <c r="I2735" s="368">
        <f t="shared" si="356"/>
        <v>0</v>
      </c>
      <c r="J2735" s="97">
        <v>6638</v>
      </c>
      <c r="K2735" s="367">
        <f t="shared" si="359"/>
        <v>4741.4285714285716</v>
      </c>
      <c r="L2735" s="606">
        <v>0.19</v>
      </c>
      <c r="M2735" s="97">
        <v>4.6999999999999993</v>
      </c>
      <c r="N2735" s="605">
        <v>17</v>
      </c>
      <c r="O2735" s="97">
        <v>5</v>
      </c>
      <c r="P2735" s="97" t="s">
        <v>514</v>
      </c>
      <c r="Q2735" s="97" t="str">
        <f t="shared" si="352"/>
        <v/>
      </c>
      <c r="R2735" t="str">
        <f t="shared" si="357"/>
        <v/>
      </c>
    </row>
    <row r="2736" spans="3:18">
      <c r="C2736" t="str">
        <f t="shared" si="358"/>
        <v/>
      </c>
      <c r="D2736" s="36">
        <v>29</v>
      </c>
      <c r="E2736" s="97">
        <v>25</v>
      </c>
      <c r="F2736" s="366">
        <f t="shared" si="351"/>
        <v>542.5</v>
      </c>
      <c r="G2736" s="97">
        <v>2044</v>
      </c>
      <c r="H2736" s="367">
        <f t="shared" si="355"/>
        <v>2586.5</v>
      </c>
      <c r="I2736" s="368">
        <f t="shared" si="356"/>
        <v>0</v>
      </c>
      <c r="J2736" s="97">
        <v>7950</v>
      </c>
      <c r="K2736" s="367">
        <f t="shared" si="359"/>
        <v>5678.5714285714284</v>
      </c>
      <c r="L2736" s="606">
        <v>0.44</v>
      </c>
      <c r="M2736" s="97">
        <v>5.5</v>
      </c>
      <c r="N2736" s="605">
        <v>21</v>
      </c>
      <c r="O2736" s="97">
        <v>6</v>
      </c>
      <c r="P2736" s="97" t="s">
        <v>513</v>
      </c>
      <c r="Q2736" s="97" t="str">
        <f t="shared" si="352"/>
        <v/>
      </c>
      <c r="R2736" t="str">
        <f t="shared" si="357"/>
        <v/>
      </c>
    </row>
    <row r="2737" spans="3:18">
      <c r="C2737" t="str">
        <f t="shared" si="358"/>
        <v>NL</v>
      </c>
      <c r="D2737" s="36">
        <v>30</v>
      </c>
      <c r="E2737" s="97">
        <v>30</v>
      </c>
      <c r="F2737" s="366">
        <f t="shared" si="351"/>
        <v>651</v>
      </c>
      <c r="G2737" s="97">
        <v>2485</v>
      </c>
      <c r="H2737" s="367">
        <f t="shared" si="355"/>
        <v>3136</v>
      </c>
      <c r="I2737" s="368">
        <f t="shared" si="356"/>
        <v>0</v>
      </c>
      <c r="J2737" s="97">
        <v>9665</v>
      </c>
      <c r="K2737" s="367">
        <f t="shared" si="359"/>
        <v>6903.5714285714284</v>
      </c>
      <c r="L2737" s="606">
        <v>0.81</v>
      </c>
      <c r="M2737" s="97">
        <v>3</v>
      </c>
      <c r="N2737" s="605">
        <v>27</v>
      </c>
      <c r="O2737" s="97">
        <v>3</v>
      </c>
      <c r="P2737" s="97" t="s">
        <v>514</v>
      </c>
      <c r="Q2737" s="97" t="str">
        <f t="shared" si="352"/>
        <v/>
      </c>
      <c r="R2737" t="str">
        <f t="shared" si="357"/>
        <v/>
      </c>
    </row>
    <row r="2738" spans="3:18">
      <c r="C2738" t="str">
        <f t="shared" si="358"/>
        <v>NL</v>
      </c>
      <c r="D2738" s="36">
        <v>31</v>
      </c>
      <c r="E2738" s="97">
        <v>30</v>
      </c>
      <c r="F2738" s="366">
        <f t="shared" si="351"/>
        <v>651</v>
      </c>
      <c r="G2738" s="97">
        <v>1718</v>
      </c>
      <c r="H2738" s="367">
        <f t="shared" si="355"/>
        <v>2369</v>
      </c>
      <c r="I2738" s="368">
        <f t="shared" si="356"/>
        <v>0</v>
      </c>
      <c r="J2738" s="97">
        <v>6681</v>
      </c>
      <c r="K2738" s="367">
        <f t="shared" si="359"/>
        <v>4772.1428571428569</v>
      </c>
      <c r="L2738" s="606">
        <v>0.23</v>
      </c>
      <c r="M2738" s="97">
        <v>3</v>
      </c>
      <c r="N2738" s="605">
        <v>18</v>
      </c>
      <c r="O2738" s="97">
        <v>3</v>
      </c>
      <c r="P2738" s="97" t="s">
        <v>515</v>
      </c>
      <c r="Q2738" s="97" t="str">
        <f t="shared" si="352"/>
        <v/>
      </c>
      <c r="R2738" t="str">
        <f t="shared" si="357"/>
        <v/>
      </c>
    </row>
    <row r="2739" spans="3:18">
      <c r="C2739" t="str">
        <f t="shared" si="358"/>
        <v/>
      </c>
      <c r="D2739" s="36">
        <v>32</v>
      </c>
      <c r="E2739" s="97">
        <v>30</v>
      </c>
      <c r="F2739" s="366">
        <f t="shared" si="351"/>
        <v>651</v>
      </c>
      <c r="G2739" s="97">
        <v>2368</v>
      </c>
      <c r="H2739" s="367">
        <f t="shared" si="355"/>
        <v>3019</v>
      </c>
      <c r="I2739" s="368">
        <f t="shared" si="356"/>
        <v>0</v>
      </c>
      <c r="J2739" s="97">
        <v>9209</v>
      </c>
      <c r="K2739" s="367">
        <f t="shared" si="359"/>
        <v>6577.8571428571431</v>
      </c>
      <c r="L2739" s="606">
        <v>0.43</v>
      </c>
      <c r="M2739" s="97">
        <v>3.8000000000000003</v>
      </c>
      <c r="N2739" s="605">
        <v>23</v>
      </c>
      <c r="O2739" s="97">
        <v>4</v>
      </c>
      <c r="P2739" s="97" t="s">
        <v>514</v>
      </c>
      <c r="Q2739" s="97">
        <f t="shared" si="352"/>
        <v>32</v>
      </c>
      <c r="R2739" t="str">
        <f t="shared" si="357"/>
        <v/>
      </c>
    </row>
    <row r="2740" spans="3:18">
      <c r="C2740" t="str">
        <f t="shared" si="358"/>
        <v>NL</v>
      </c>
      <c r="D2740" s="36">
        <v>33</v>
      </c>
      <c r="E2740" s="97">
        <v>30</v>
      </c>
      <c r="F2740" s="366">
        <f t="shared" ref="F2740:F2803" si="360">1.085*($A$2-$B$2)*E2740*$T$7</f>
        <v>651</v>
      </c>
      <c r="G2740" s="97">
        <v>2420</v>
      </c>
      <c r="H2740" s="367">
        <f t="shared" si="355"/>
        <v>3071</v>
      </c>
      <c r="I2740" s="368">
        <f t="shared" si="356"/>
        <v>0</v>
      </c>
      <c r="J2740" s="97">
        <v>9411</v>
      </c>
      <c r="K2740" s="367">
        <f t="shared" si="359"/>
        <v>6722.1428571428569</v>
      </c>
      <c r="L2740" s="606">
        <v>0.94000000000000006</v>
      </c>
      <c r="M2740" s="97">
        <v>4.6999999999999993</v>
      </c>
      <c r="N2740" s="605">
        <v>26</v>
      </c>
      <c r="O2740" s="97">
        <v>5</v>
      </c>
      <c r="P2740" s="97" t="s">
        <v>513</v>
      </c>
      <c r="Q2740" s="97" t="str">
        <f t="shared" si="352"/>
        <v/>
      </c>
      <c r="R2740" t="str">
        <f t="shared" si="357"/>
        <v/>
      </c>
    </row>
    <row r="2741" spans="3:18">
      <c r="C2741" t="str">
        <f t="shared" si="358"/>
        <v>NL</v>
      </c>
      <c r="D2741" s="36">
        <v>34</v>
      </c>
      <c r="E2741" s="97">
        <v>30</v>
      </c>
      <c r="F2741" s="366">
        <f t="shared" si="360"/>
        <v>651</v>
      </c>
      <c r="G2741" s="97">
        <v>2008</v>
      </c>
      <c r="H2741" s="367">
        <f t="shared" si="355"/>
        <v>2659</v>
      </c>
      <c r="I2741" s="368">
        <f t="shared" si="356"/>
        <v>0</v>
      </c>
      <c r="J2741" s="97">
        <v>7809</v>
      </c>
      <c r="K2741" s="367">
        <f t="shared" si="359"/>
        <v>5577.8571428571431</v>
      </c>
      <c r="L2741" s="606">
        <v>0.27</v>
      </c>
      <c r="M2741" s="97">
        <v>4.6999999999999993</v>
      </c>
      <c r="N2741" s="605">
        <v>19</v>
      </c>
      <c r="O2741" s="97">
        <v>5</v>
      </c>
      <c r="P2741" s="97" t="s">
        <v>514</v>
      </c>
      <c r="Q2741" s="97" t="str">
        <f t="shared" si="352"/>
        <v/>
      </c>
      <c r="R2741" t="str">
        <f t="shared" si="357"/>
        <v/>
      </c>
    </row>
    <row r="2742" spans="3:18">
      <c r="C2742" t="str">
        <f t="shared" si="358"/>
        <v/>
      </c>
      <c r="D2742" s="36">
        <v>35</v>
      </c>
      <c r="E2742" s="97">
        <v>30</v>
      </c>
      <c r="F2742" s="366">
        <f t="shared" si="360"/>
        <v>651</v>
      </c>
      <c r="G2742" s="97">
        <v>2395</v>
      </c>
      <c r="H2742" s="367">
        <f t="shared" si="355"/>
        <v>3046</v>
      </c>
      <c r="I2742" s="368">
        <f t="shared" si="356"/>
        <v>0</v>
      </c>
      <c r="J2742" s="97">
        <v>9315</v>
      </c>
      <c r="K2742" s="367">
        <f t="shared" si="359"/>
        <v>6653.5714285714284</v>
      </c>
      <c r="L2742" s="606">
        <v>0.19</v>
      </c>
      <c r="M2742" s="97">
        <v>5.5</v>
      </c>
      <c r="N2742" s="605">
        <v>17</v>
      </c>
      <c r="O2742" s="97">
        <v>6</v>
      </c>
      <c r="P2742" s="97" t="s">
        <v>514</v>
      </c>
      <c r="Q2742" s="97">
        <f t="shared" si="352"/>
        <v>35</v>
      </c>
      <c r="R2742" t="str">
        <f t="shared" si="357"/>
        <v/>
      </c>
    </row>
    <row r="2743" spans="3:18">
      <c r="C2743" t="str">
        <f t="shared" si="358"/>
        <v/>
      </c>
      <c r="D2743" s="36">
        <v>36</v>
      </c>
      <c r="E2743" s="97">
        <v>30</v>
      </c>
      <c r="F2743" s="366">
        <f t="shared" si="360"/>
        <v>651</v>
      </c>
      <c r="G2743" s="97">
        <v>2387</v>
      </c>
      <c r="H2743" s="367">
        <f t="shared" si="355"/>
        <v>3038</v>
      </c>
      <c r="I2743" s="368">
        <f t="shared" si="356"/>
        <v>0</v>
      </c>
      <c r="J2743" s="97">
        <v>9283</v>
      </c>
      <c r="K2743" s="367">
        <f t="shared" si="359"/>
        <v>6630.7142857142862</v>
      </c>
      <c r="L2743" s="606">
        <v>0.64</v>
      </c>
      <c r="M2743" s="97">
        <v>5.5</v>
      </c>
      <c r="N2743" s="605">
        <v>23</v>
      </c>
      <c r="O2743" s="97">
        <v>6</v>
      </c>
      <c r="P2743" s="97" t="s">
        <v>513</v>
      </c>
      <c r="Q2743" s="97">
        <f t="shared" si="352"/>
        <v>36</v>
      </c>
      <c r="R2743" t="str">
        <f t="shared" si="357"/>
        <v/>
      </c>
    </row>
    <row r="2744" spans="3:18">
      <c r="C2744" t="str">
        <f t="shared" si="358"/>
        <v>NL</v>
      </c>
      <c r="D2744" s="36">
        <v>37</v>
      </c>
      <c r="E2744" s="97">
        <v>35</v>
      </c>
      <c r="F2744" s="366">
        <f t="shared" si="360"/>
        <v>759.5</v>
      </c>
      <c r="G2744" s="97">
        <v>2842</v>
      </c>
      <c r="H2744" s="367">
        <f t="shared" si="355"/>
        <v>3601.5</v>
      </c>
      <c r="I2744" s="368">
        <f t="shared" si="356"/>
        <v>0</v>
      </c>
      <c r="J2744" s="97">
        <v>11052</v>
      </c>
      <c r="K2744" s="367">
        <f t="shared" si="359"/>
        <v>7894.2857142857147</v>
      </c>
      <c r="L2744" s="606">
        <v>1.1100000000000001</v>
      </c>
      <c r="M2744" s="97">
        <v>3</v>
      </c>
      <c r="N2744" s="605">
        <v>29</v>
      </c>
      <c r="O2744" s="97">
        <v>3</v>
      </c>
      <c r="P2744" s="97" t="s">
        <v>514</v>
      </c>
      <c r="Q2744" s="97" t="str">
        <f t="shared" si="352"/>
        <v/>
      </c>
      <c r="R2744" t="str">
        <f t="shared" si="357"/>
        <v/>
      </c>
    </row>
    <row r="2745" spans="3:18">
      <c r="C2745" t="str">
        <f t="shared" si="358"/>
        <v>NL</v>
      </c>
      <c r="D2745" s="36">
        <v>38</v>
      </c>
      <c r="E2745" s="97">
        <v>35</v>
      </c>
      <c r="F2745" s="366">
        <f t="shared" si="360"/>
        <v>759.5</v>
      </c>
      <c r="G2745" s="97">
        <v>1995</v>
      </c>
      <c r="H2745" s="367">
        <f t="shared" si="355"/>
        <v>2754.5</v>
      </c>
      <c r="I2745" s="368">
        <f t="shared" si="356"/>
        <v>0</v>
      </c>
      <c r="J2745" s="97">
        <v>7759</v>
      </c>
      <c r="K2745" s="367">
        <f t="shared" si="359"/>
        <v>5542.1428571428569</v>
      </c>
      <c r="L2745" s="606">
        <v>0.31</v>
      </c>
      <c r="M2745" s="97">
        <v>3</v>
      </c>
      <c r="N2745" s="605">
        <v>20</v>
      </c>
      <c r="O2745" s="97">
        <v>3</v>
      </c>
      <c r="P2745" s="97" t="s">
        <v>515</v>
      </c>
      <c r="Q2745" s="97" t="str">
        <f t="shared" si="352"/>
        <v/>
      </c>
      <c r="R2745" t="str">
        <f t="shared" si="357"/>
        <v/>
      </c>
    </row>
    <row r="2746" spans="3:18">
      <c r="C2746" t="str">
        <f t="shared" si="358"/>
        <v/>
      </c>
      <c r="D2746" s="36">
        <v>39</v>
      </c>
      <c r="E2746" s="97">
        <v>35</v>
      </c>
      <c r="F2746" s="366">
        <f t="shared" si="360"/>
        <v>759.5</v>
      </c>
      <c r="G2746" s="97">
        <v>2829</v>
      </c>
      <c r="H2746" s="367">
        <f t="shared" si="355"/>
        <v>3588.5</v>
      </c>
      <c r="I2746" s="368">
        <f t="shared" si="356"/>
        <v>0</v>
      </c>
      <c r="J2746" s="97">
        <v>11002</v>
      </c>
      <c r="K2746" s="367">
        <f t="shared" si="359"/>
        <v>7858.5714285714284</v>
      </c>
      <c r="L2746" s="606">
        <v>0.59</v>
      </c>
      <c r="M2746" s="97">
        <v>3.8000000000000003</v>
      </c>
      <c r="N2746" s="605">
        <v>25</v>
      </c>
      <c r="O2746" s="97">
        <v>4</v>
      </c>
      <c r="P2746" s="97" t="s">
        <v>514</v>
      </c>
      <c r="Q2746" s="97">
        <f t="shared" si="352"/>
        <v>39</v>
      </c>
      <c r="R2746" t="str">
        <f t="shared" si="357"/>
        <v/>
      </c>
    </row>
    <row r="2747" spans="3:18">
      <c r="C2747" t="str">
        <f t="shared" si="358"/>
        <v/>
      </c>
      <c r="D2747" s="36">
        <v>40</v>
      </c>
      <c r="E2747" s="97">
        <v>35</v>
      </c>
      <c r="F2747" s="366">
        <f t="shared" si="360"/>
        <v>759.5</v>
      </c>
      <c r="G2747" s="97">
        <v>2020</v>
      </c>
      <c r="H2747" s="367">
        <f t="shared" si="355"/>
        <v>2779.5</v>
      </c>
      <c r="I2747" s="368">
        <f t="shared" si="356"/>
        <v>0</v>
      </c>
      <c r="J2747" s="97">
        <v>7858</v>
      </c>
      <c r="K2747" s="367">
        <f t="shared" si="359"/>
        <v>5612.8571428571431</v>
      </c>
      <c r="L2747" s="606">
        <v>0.18000000000000002</v>
      </c>
      <c r="M2747" s="97">
        <v>3.8000000000000003</v>
      </c>
      <c r="N2747" s="605">
        <v>18</v>
      </c>
      <c r="O2747" s="97">
        <v>4</v>
      </c>
      <c r="P2747" s="97" t="s">
        <v>515</v>
      </c>
      <c r="Q2747" s="97" t="str">
        <f t="shared" si="352"/>
        <v/>
      </c>
      <c r="R2747" t="str">
        <f t="shared" si="357"/>
        <v/>
      </c>
    </row>
    <row r="2748" spans="3:18">
      <c r="C2748" t="str">
        <f t="shared" si="358"/>
        <v>NL</v>
      </c>
      <c r="D2748" s="36">
        <v>41</v>
      </c>
      <c r="E2748" s="97">
        <v>35</v>
      </c>
      <c r="F2748" s="366">
        <f t="shared" si="360"/>
        <v>759.5</v>
      </c>
      <c r="G2748" s="97">
        <v>2296</v>
      </c>
      <c r="H2748" s="367">
        <f t="shared" si="355"/>
        <v>3055.5</v>
      </c>
      <c r="I2748" s="368">
        <f t="shared" si="356"/>
        <v>0</v>
      </c>
      <c r="J2748" s="97">
        <v>8931</v>
      </c>
      <c r="K2748" s="367">
        <f t="shared" si="359"/>
        <v>6379.2857142857147</v>
      </c>
      <c r="L2748" s="606">
        <v>0.36</v>
      </c>
      <c r="M2748" s="97">
        <v>4.6999999999999993</v>
      </c>
      <c r="N2748" s="605">
        <v>21</v>
      </c>
      <c r="O2748" s="97">
        <v>5</v>
      </c>
      <c r="P2748" s="97" t="s">
        <v>514</v>
      </c>
      <c r="Q2748" s="97" t="str">
        <f t="shared" si="352"/>
        <v/>
      </c>
      <c r="R2748" t="str">
        <f t="shared" si="357"/>
        <v/>
      </c>
    </row>
    <row r="2749" spans="3:18">
      <c r="C2749" t="str">
        <f t="shared" si="358"/>
        <v/>
      </c>
      <c r="D2749" s="36">
        <v>42</v>
      </c>
      <c r="E2749" s="97">
        <v>35</v>
      </c>
      <c r="F2749" s="366">
        <f t="shared" si="360"/>
        <v>759.5</v>
      </c>
      <c r="G2749" s="97">
        <v>2763</v>
      </c>
      <c r="H2749" s="367">
        <f t="shared" si="355"/>
        <v>3522.5</v>
      </c>
      <c r="I2749" s="368">
        <f t="shared" si="356"/>
        <v>0</v>
      </c>
      <c r="J2749" s="97">
        <v>10748</v>
      </c>
      <c r="K2749" s="367">
        <f t="shared" si="359"/>
        <v>7677.1428571428569</v>
      </c>
      <c r="L2749" s="606">
        <v>0.86</v>
      </c>
      <c r="M2749" s="97">
        <v>5.5</v>
      </c>
      <c r="N2749" s="605">
        <v>25</v>
      </c>
      <c r="O2749" s="97">
        <v>6</v>
      </c>
      <c r="P2749" s="97" t="s">
        <v>513</v>
      </c>
      <c r="Q2749" s="97" t="str">
        <f t="shared" si="352"/>
        <v/>
      </c>
      <c r="R2749" t="str">
        <f t="shared" si="357"/>
        <v/>
      </c>
    </row>
    <row r="2750" spans="3:18">
      <c r="C2750" t="str">
        <f t="shared" si="358"/>
        <v/>
      </c>
      <c r="D2750" s="36">
        <v>43</v>
      </c>
      <c r="E2750" s="97">
        <v>35</v>
      </c>
      <c r="F2750" s="366">
        <f t="shared" si="360"/>
        <v>759.5</v>
      </c>
      <c r="G2750" s="97">
        <v>2754</v>
      </c>
      <c r="H2750" s="367">
        <f t="shared" si="355"/>
        <v>3513.5</v>
      </c>
      <c r="I2750" s="368">
        <f t="shared" si="356"/>
        <v>0</v>
      </c>
      <c r="J2750" s="97">
        <v>10711</v>
      </c>
      <c r="K2750" s="367">
        <f t="shared" si="359"/>
        <v>7650.7142857142862</v>
      </c>
      <c r="L2750" s="606">
        <v>0.25</v>
      </c>
      <c r="M2750" s="97">
        <v>5.5</v>
      </c>
      <c r="N2750" s="605">
        <v>19</v>
      </c>
      <c r="O2750" s="97">
        <v>6</v>
      </c>
      <c r="P2750" s="97" t="s">
        <v>514</v>
      </c>
      <c r="Q2750" s="97">
        <f t="shared" si="352"/>
        <v>43</v>
      </c>
      <c r="R2750" t="str">
        <f t="shared" si="357"/>
        <v/>
      </c>
    </row>
    <row r="2751" spans="3:18">
      <c r="C2751" t="str">
        <f t="shared" si="358"/>
        <v>NL</v>
      </c>
      <c r="D2751" s="36">
        <v>44</v>
      </c>
      <c r="E2751" s="97">
        <v>40</v>
      </c>
      <c r="F2751" s="366">
        <f t="shared" si="360"/>
        <v>868</v>
      </c>
      <c r="G2751" s="97">
        <v>2334</v>
      </c>
      <c r="H2751" s="367">
        <f t="shared" si="355"/>
        <v>3202</v>
      </c>
      <c r="I2751" s="368">
        <f t="shared" si="356"/>
        <v>0</v>
      </c>
      <c r="J2751" s="97">
        <v>9077</v>
      </c>
      <c r="K2751" s="367">
        <f t="shared" si="359"/>
        <v>6483.5714285714284</v>
      </c>
      <c r="L2751" s="606">
        <v>0.41000000000000003</v>
      </c>
      <c r="M2751" s="97">
        <v>3</v>
      </c>
      <c r="N2751" s="605">
        <v>22</v>
      </c>
      <c r="O2751" s="97">
        <v>3</v>
      </c>
      <c r="P2751" s="97" t="s">
        <v>515</v>
      </c>
      <c r="Q2751" s="97" t="str">
        <f t="shared" si="352"/>
        <v/>
      </c>
      <c r="R2751" t="str">
        <f t="shared" si="357"/>
        <v/>
      </c>
    </row>
    <row r="2752" spans="3:18">
      <c r="C2752" t="str">
        <f t="shared" si="358"/>
        <v/>
      </c>
      <c r="D2752" s="36">
        <v>45</v>
      </c>
      <c r="E2752" s="97">
        <v>40</v>
      </c>
      <c r="F2752" s="366">
        <f t="shared" si="360"/>
        <v>868</v>
      </c>
      <c r="G2752" s="97">
        <v>3243</v>
      </c>
      <c r="H2752" s="367">
        <f t="shared" si="355"/>
        <v>4111</v>
      </c>
      <c r="I2752" s="368">
        <f t="shared" si="356"/>
        <v>0</v>
      </c>
      <c r="J2752" s="97">
        <v>12613</v>
      </c>
      <c r="K2752" s="367">
        <f t="shared" si="359"/>
        <v>9009.2857142857138</v>
      </c>
      <c r="L2752" s="606">
        <v>0.76</v>
      </c>
      <c r="M2752" s="97">
        <v>3.8000000000000003</v>
      </c>
      <c r="N2752" s="605">
        <v>26</v>
      </c>
      <c r="O2752" s="97">
        <v>4</v>
      </c>
      <c r="P2752" s="97" t="s">
        <v>514</v>
      </c>
      <c r="Q2752" s="97" t="str">
        <f t="shared" si="352"/>
        <v/>
      </c>
      <c r="R2752" t="str">
        <f t="shared" si="357"/>
        <v/>
      </c>
    </row>
    <row r="2753" spans="3:18">
      <c r="C2753" t="str">
        <f t="shared" si="358"/>
        <v/>
      </c>
      <c r="D2753" s="36">
        <v>46</v>
      </c>
      <c r="E2753" s="97">
        <v>40</v>
      </c>
      <c r="F2753" s="366">
        <f t="shared" si="360"/>
        <v>868</v>
      </c>
      <c r="G2753" s="97">
        <v>2269</v>
      </c>
      <c r="H2753" s="367">
        <f t="shared" si="355"/>
        <v>3137</v>
      </c>
      <c r="I2753" s="368">
        <f t="shared" si="356"/>
        <v>0</v>
      </c>
      <c r="J2753" s="97">
        <v>8826</v>
      </c>
      <c r="K2753" s="367">
        <f t="shared" si="359"/>
        <v>6304.2857142857147</v>
      </c>
      <c r="L2753" s="606">
        <v>0.24000000000000002</v>
      </c>
      <c r="M2753" s="97">
        <v>3.8000000000000003</v>
      </c>
      <c r="N2753" s="605">
        <v>19</v>
      </c>
      <c r="O2753" s="97">
        <v>4</v>
      </c>
      <c r="P2753" s="97" t="s">
        <v>515</v>
      </c>
      <c r="Q2753" s="97">
        <f t="shared" si="352"/>
        <v>46</v>
      </c>
      <c r="R2753" t="str">
        <f t="shared" si="357"/>
        <v/>
      </c>
    </row>
    <row r="2754" spans="3:18">
      <c r="C2754" t="str">
        <f t="shared" si="358"/>
        <v>NL</v>
      </c>
      <c r="D2754" s="36">
        <v>47</v>
      </c>
      <c r="E2754" s="97">
        <v>40</v>
      </c>
      <c r="F2754" s="366">
        <f t="shared" si="360"/>
        <v>868</v>
      </c>
      <c r="G2754" s="97">
        <v>2649</v>
      </c>
      <c r="H2754" s="367">
        <f t="shared" si="355"/>
        <v>3517</v>
      </c>
      <c r="I2754" s="368">
        <f t="shared" si="356"/>
        <v>0</v>
      </c>
      <c r="J2754" s="97">
        <v>10304</v>
      </c>
      <c r="K2754" s="367">
        <f t="shared" si="359"/>
        <v>7360</v>
      </c>
      <c r="L2754" s="606">
        <v>0.47000000000000003</v>
      </c>
      <c r="M2754" s="97">
        <v>4.6999999999999993</v>
      </c>
      <c r="N2754" s="605">
        <v>23</v>
      </c>
      <c r="O2754" s="97">
        <v>5</v>
      </c>
      <c r="P2754" s="97" t="s">
        <v>514</v>
      </c>
      <c r="Q2754" s="97" t="str">
        <f t="shared" si="352"/>
        <v/>
      </c>
      <c r="R2754" t="str">
        <f t="shared" si="357"/>
        <v/>
      </c>
    </row>
    <row r="2755" spans="3:18">
      <c r="C2755" t="str">
        <f t="shared" si="358"/>
        <v>NL</v>
      </c>
      <c r="D2755" s="36">
        <v>48</v>
      </c>
      <c r="E2755" s="97">
        <v>40</v>
      </c>
      <c r="F2755" s="366">
        <f t="shared" si="360"/>
        <v>868</v>
      </c>
      <c r="G2755" s="97">
        <v>1908</v>
      </c>
      <c r="H2755" s="367">
        <f t="shared" si="355"/>
        <v>2776</v>
      </c>
      <c r="I2755" s="368">
        <f t="shared" si="356"/>
        <v>0</v>
      </c>
      <c r="J2755" s="97">
        <v>7420</v>
      </c>
      <c r="K2755" s="367">
        <f t="shared" si="359"/>
        <v>5300</v>
      </c>
      <c r="L2755" s="606">
        <v>0.16</v>
      </c>
      <c r="M2755" s="97">
        <v>4.6999999999999993</v>
      </c>
      <c r="N2755" s="605">
        <v>17</v>
      </c>
      <c r="O2755" s="97">
        <v>5</v>
      </c>
      <c r="P2755" s="97" t="s">
        <v>515</v>
      </c>
      <c r="Q2755" s="97" t="str">
        <f t="shared" si="352"/>
        <v/>
      </c>
      <c r="R2755" t="str">
        <f t="shared" si="357"/>
        <v/>
      </c>
    </row>
    <row r="2756" spans="3:18">
      <c r="C2756" t="str">
        <f t="shared" si="358"/>
        <v/>
      </c>
      <c r="D2756" s="36">
        <v>49</v>
      </c>
      <c r="E2756" s="97">
        <v>40</v>
      </c>
      <c r="F2756" s="366">
        <f t="shared" si="360"/>
        <v>868</v>
      </c>
      <c r="G2756" s="97">
        <v>3086</v>
      </c>
      <c r="H2756" s="367">
        <f t="shared" si="355"/>
        <v>3954</v>
      </c>
      <c r="I2756" s="368">
        <f t="shared" si="356"/>
        <v>0</v>
      </c>
      <c r="J2756" s="97">
        <v>12004</v>
      </c>
      <c r="K2756" s="367">
        <f t="shared" si="359"/>
        <v>8574.2857142857138</v>
      </c>
      <c r="L2756" s="606">
        <v>0.33</v>
      </c>
      <c r="M2756" s="97">
        <v>5.5</v>
      </c>
      <c r="N2756" s="605">
        <v>21</v>
      </c>
      <c r="O2756" s="97">
        <v>6</v>
      </c>
      <c r="P2756" s="97" t="s">
        <v>514</v>
      </c>
      <c r="Q2756" s="97">
        <f t="shared" si="352"/>
        <v>49</v>
      </c>
      <c r="R2756" t="str">
        <f t="shared" si="357"/>
        <v/>
      </c>
    </row>
    <row r="2757" spans="3:18">
      <c r="C2757" t="str">
        <f t="shared" si="358"/>
        <v>NL</v>
      </c>
      <c r="D2757" s="36">
        <v>50</v>
      </c>
      <c r="E2757" s="97">
        <v>45</v>
      </c>
      <c r="F2757" s="366">
        <f t="shared" si="360"/>
        <v>976.5</v>
      </c>
      <c r="G2757" s="97">
        <v>2657</v>
      </c>
      <c r="H2757" s="367">
        <f t="shared" si="355"/>
        <v>3633.5</v>
      </c>
      <c r="I2757" s="368">
        <f t="shared" si="356"/>
        <v>0</v>
      </c>
      <c r="J2757" s="97">
        <v>10333</v>
      </c>
      <c r="K2757" s="367">
        <f t="shared" si="359"/>
        <v>7380.7142857142862</v>
      </c>
      <c r="L2757" s="606">
        <v>0.51</v>
      </c>
      <c r="M2757" s="97">
        <v>3</v>
      </c>
      <c r="N2757" s="605">
        <v>24</v>
      </c>
      <c r="O2757" s="97">
        <v>3</v>
      </c>
      <c r="P2757" s="97" t="s">
        <v>515</v>
      </c>
      <c r="Q2757" s="97" t="str">
        <f t="shared" si="352"/>
        <v/>
      </c>
      <c r="R2757" t="str">
        <f t="shared" si="357"/>
        <v/>
      </c>
    </row>
    <row r="2758" spans="3:18">
      <c r="C2758" t="str">
        <f t="shared" si="358"/>
        <v/>
      </c>
      <c r="D2758" s="36">
        <v>51</v>
      </c>
      <c r="E2758" s="97">
        <v>45</v>
      </c>
      <c r="F2758" s="366">
        <f t="shared" si="360"/>
        <v>976.5</v>
      </c>
      <c r="G2758" s="97">
        <v>3631</v>
      </c>
      <c r="H2758" s="367">
        <f t="shared" si="355"/>
        <v>4607.5</v>
      </c>
      <c r="I2758" s="368">
        <f t="shared" si="356"/>
        <v>0</v>
      </c>
      <c r="J2758" s="97">
        <v>14121</v>
      </c>
      <c r="K2758" s="367">
        <f t="shared" si="359"/>
        <v>10086.428571428572</v>
      </c>
      <c r="L2758" s="606">
        <v>0.96</v>
      </c>
      <c r="M2758" s="97">
        <v>3.8000000000000003</v>
      </c>
      <c r="N2758" s="605">
        <v>28</v>
      </c>
      <c r="O2758" s="97">
        <v>4</v>
      </c>
      <c r="P2758" s="97" t="s">
        <v>514</v>
      </c>
      <c r="Q2758" s="97" t="str">
        <f t="shared" si="352"/>
        <v/>
      </c>
      <c r="R2758" t="str">
        <f t="shared" si="357"/>
        <v/>
      </c>
    </row>
    <row r="2759" spans="3:18">
      <c r="C2759" t="str">
        <f t="shared" si="358"/>
        <v/>
      </c>
      <c r="D2759" s="36">
        <v>52</v>
      </c>
      <c r="E2759" s="97">
        <v>45</v>
      </c>
      <c r="F2759" s="366">
        <f t="shared" si="360"/>
        <v>976.5</v>
      </c>
      <c r="G2759" s="97">
        <v>2518</v>
      </c>
      <c r="H2759" s="367">
        <f t="shared" si="355"/>
        <v>3494.5</v>
      </c>
      <c r="I2759" s="368">
        <f t="shared" si="356"/>
        <v>0</v>
      </c>
      <c r="J2759" s="97">
        <v>9794</v>
      </c>
      <c r="K2759" s="367">
        <f t="shared" si="359"/>
        <v>6995.7142857142862</v>
      </c>
      <c r="L2759" s="606">
        <v>0.3</v>
      </c>
      <c r="M2759" s="97">
        <v>3.8000000000000003</v>
      </c>
      <c r="N2759" s="605">
        <v>21</v>
      </c>
      <c r="O2759" s="97">
        <v>4</v>
      </c>
      <c r="P2759" s="97" t="s">
        <v>515</v>
      </c>
      <c r="Q2759" s="97">
        <f t="shared" si="352"/>
        <v>52</v>
      </c>
      <c r="R2759" t="str">
        <f t="shared" si="357"/>
        <v/>
      </c>
    </row>
    <row r="2760" spans="3:18">
      <c r="C2760" t="str">
        <f t="shared" si="358"/>
        <v>NL</v>
      </c>
      <c r="D2760" s="36">
        <v>53</v>
      </c>
      <c r="E2760" s="97">
        <v>45</v>
      </c>
      <c r="F2760" s="366">
        <f t="shared" si="360"/>
        <v>976.5</v>
      </c>
      <c r="G2760" s="97">
        <v>3029</v>
      </c>
      <c r="H2760" s="367">
        <f t="shared" si="355"/>
        <v>4005.5</v>
      </c>
      <c r="I2760" s="368">
        <f t="shared" si="356"/>
        <v>0</v>
      </c>
      <c r="J2760" s="97">
        <v>11782</v>
      </c>
      <c r="K2760" s="367">
        <f t="shared" si="359"/>
        <v>8415.7142857142862</v>
      </c>
      <c r="L2760" s="606">
        <v>0.6</v>
      </c>
      <c r="M2760" s="97">
        <v>4.6999999999999993</v>
      </c>
      <c r="N2760" s="605">
        <v>25</v>
      </c>
      <c r="O2760" s="97">
        <v>5</v>
      </c>
      <c r="P2760" s="97" t="s">
        <v>514</v>
      </c>
      <c r="Q2760" s="97" t="str">
        <f t="shared" si="352"/>
        <v/>
      </c>
      <c r="R2760" t="str">
        <f t="shared" si="357"/>
        <v/>
      </c>
    </row>
    <row r="2761" spans="3:18">
      <c r="C2761" t="str">
        <f t="shared" si="358"/>
        <v>NL</v>
      </c>
      <c r="D2761" s="36">
        <v>54</v>
      </c>
      <c r="E2761" s="97">
        <v>45</v>
      </c>
      <c r="F2761" s="366">
        <f t="shared" si="360"/>
        <v>976.5</v>
      </c>
      <c r="G2761" s="97">
        <v>2138</v>
      </c>
      <c r="H2761" s="367">
        <f t="shared" si="355"/>
        <v>3114.5</v>
      </c>
      <c r="I2761" s="368">
        <f t="shared" si="356"/>
        <v>0</v>
      </c>
      <c r="J2761" s="97">
        <v>8317</v>
      </c>
      <c r="K2761" s="367">
        <f t="shared" si="359"/>
        <v>5940.7142857142862</v>
      </c>
      <c r="L2761" s="606">
        <v>0.2</v>
      </c>
      <c r="M2761" s="97">
        <v>4.6999999999999993</v>
      </c>
      <c r="N2761" s="605">
        <v>19</v>
      </c>
      <c r="O2761" s="97">
        <v>5</v>
      </c>
      <c r="P2761" s="97" t="s">
        <v>515</v>
      </c>
      <c r="Q2761" s="97" t="str">
        <f t="shared" si="352"/>
        <v/>
      </c>
      <c r="R2761" t="str">
        <f t="shared" si="357"/>
        <v/>
      </c>
    </row>
    <row r="2762" spans="3:18">
      <c r="C2762" t="str">
        <f t="shared" si="358"/>
        <v/>
      </c>
      <c r="D2762" s="36">
        <v>55</v>
      </c>
      <c r="E2762" s="97">
        <v>45</v>
      </c>
      <c r="F2762" s="366">
        <f t="shared" si="360"/>
        <v>976.5</v>
      </c>
      <c r="G2762" s="97">
        <v>3428</v>
      </c>
      <c r="H2762" s="367">
        <f t="shared" si="355"/>
        <v>4404.5</v>
      </c>
      <c r="I2762" s="368">
        <f t="shared" si="356"/>
        <v>0</v>
      </c>
      <c r="J2762" s="97">
        <v>13332</v>
      </c>
      <c r="K2762" s="367">
        <f t="shared" si="359"/>
        <v>9522.8571428571431</v>
      </c>
      <c r="L2762" s="606">
        <v>0.41000000000000003</v>
      </c>
      <c r="M2762" s="97">
        <v>5.5</v>
      </c>
      <c r="N2762" s="605">
        <v>22</v>
      </c>
      <c r="O2762" s="97">
        <v>6</v>
      </c>
      <c r="P2762" s="97" t="s">
        <v>514</v>
      </c>
      <c r="Q2762" s="97">
        <f t="shared" si="352"/>
        <v>55</v>
      </c>
      <c r="R2762" t="str">
        <f t="shared" si="357"/>
        <v/>
      </c>
    </row>
    <row r="2763" spans="3:18">
      <c r="C2763" t="str">
        <f t="shared" si="358"/>
        <v>NL</v>
      </c>
      <c r="D2763" s="36">
        <v>56</v>
      </c>
      <c r="E2763" s="97">
        <v>50</v>
      </c>
      <c r="F2763" s="366">
        <f t="shared" si="360"/>
        <v>1085</v>
      </c>
      <c r="G2763" s="97">
        <v>2949</v>
      </c>
      <c r="H2763" s="367">
        <f t="shared" si="355"/>
        <v>4034</v>
      </c>
      <c r="I2763" s="368">
        <f t="shared" si="356"/>
        <v>0</v>
      </c>
      <c r="J2763" s="97">
        <v>11469</v>
      </c>
      <c r="K2763" s="367">
        <f t="shared" si="359"/>
        <v>8192.1428571428569</v>
      </c>
      <c r="L2763" s="606">
        <v>0.63</v>
      </c>
      <c r="M2763" s="97">
        <v>3</v>
      </c>
      <c r="N2763" s="605">
        <v>25</v>
      </c>
      <c r="O2763" s="97">
        <v>3</v>
      </c>
      <c r="P2763" s="97" t="s">
        <v>515</v>
      </c>
      <c r="Q2763" s="97" t="str">
        <f t="shared" si="352"/>
        <v/>
      </c>
      <c r="R2763" t="str">
        <f t="shared" si="357"/>
        <v/>
      </c>
    </row>
    <row r="2764" spans="3:18">
      <c r="C2764" t="str">
        <f t="shared" si="358"/>
        <v/>
      </c>
      <c r="D2764" s="36">
        <v>57</v>
      </c>
      <c r="E2764" s="97">
        <v>50</v>
      </c>
      <c r="F2764" s="366">
        <f t="shared" si="360"/>
        <v>1085</v>
      </c>
      <c r="G2764" s="97">
        <v>2810</v>
      </c>
      <c r="H2764" s="367">
        <f t="shared" si="355"/>
        <v>3895</v>
      </c>
      <c r="I2764" s="368">
        <f t="shared" si="356"/>
        <v>0</v>
      </c>
      <c r="J2764" s="97">
        <v>10928</v>
      </c>
      <c r="K2764" s="367">
        <f t="shared" si="359"/>
        <v>7805.7142857142862</v>
      </c>
      <c r="L2764" s="606">
        <v>0.37</v>
      </c>
      <c r="M2764" s="97">
        <v>3.8000000000000003</v>
      </c>
      <c r="N2764" s="605">
        <v>22</v>
      </c>
      <c r="O2764" s="97">
        <v>4</v>
      </c>
      <c r="P2764" s="97" t="s">
        <v>515</v>
      </c>
      <c r="Q2764" s="97">
        <f t="shared" si="352"/>
        <v>57</v>
      </c>
      <c r="R2764" t="str">
        <f t="shared" si="357"/>
        <v/>
      </c>
    </row>
    <row r="2765" spans="3:18">
      <c r="C2765" t="str">
        <f t="shared" si="358"/>
        <v>NL</v>
      </c>
      <c r="D2765" s="36">
        <v>58</v>
      </c>
      <c r="E2765" s="97">
        <v>50</v>
      </c>
      <c r="F2765" s="366">
        <f t="shared" si="360"/>
        <v>1085</v>
      </c>
      <c r="G2765" s="97">
        <v>3374</v>
      </c>
      <c r="H2765" s="367">
        <f t="shared" si="355"/>
        <v>4459</v>
      </c>
      <c r="I2765" s="368">
        <f t="shared" si="356"/>
        <v>0</v>
      </c>
      <c r="J2765" s="97">
        <v>13121</v>
      </c>
      <c r="K2765" s="367">
        <f t="shared" si="359"/>
        <v>9372.1428571428569</v>
      </c>
      <c r="L2765" s="606">
        <v>0.74</v>
      </c>
      <c r="M2765" s="97">
        <v>4.6999999999999993</v>
      </c>
      <c r="N2765" s="605">
        <v>26</v>
      </c>
      <c r="O2765" s="97">
        <v>5</v>
      </c>
      <c r="P2765" s="97" t="s">
        <v>514</v>
      </c>
      <c r="Q2765" s="97" t="str">
        <f t="shared" si="352"/>
        <v/>
      </c>
      <c r="R2765" t="str">
        <f t="shared" si="357"/>
        <v/>
      </c>
    </row>
    <row r="2766" spans="3:18">
      <c r="C2766" t="str">
        <f t="shared" si="358"/>
        <v>NL</v>
      </c>
      <c r="D2766" s="36">
        <v>59</v>
      </c>
      <c r="E2766" s="97">
        <v>50</v>
      </c>
      <c r="F2766" s="366">
        <f t="shared" si="360"/>
        <v>1085</v>
      </c>
      <c r="G2766" s="97">
        <v>2340</v>
      </c>
      <c r="H2766" s="367">
        <f t="shared" si="355"/>
        <v>3425</v>
      </c>
      <c r="I2766" s="368">
        <f t="shared" si="356"/>
        <v>0</v>
      </c>
      <c r="J2766" s="97">
        <v>9101</v>
      </c>
      <c r="K2766" s="367">
        <f t="shared" si="359"/>
        <v>6500.7142857142862</v>
      </c>
      <c r="L2766" s="606">
        <v>0.24000000000000002</v>
      </c>
      <c r="M2766" s="97">
        <v>4.6999999999999993</v>
      </c>
      <c r="N2766" s="605">
        <v>20</v>
      </c>
      <c r="O2766" s="97">
        <v>5</v>
      </c>
      <c r="P2766" s="97" t="s">
        <v>515</v>
      </c>
      <c r="Q2766" s="97" t="str">
        <f t="shared" si="352"/>
        <v/>
      </c>
      <c r="R2766" t="str">
        <f t="shared" si="357"/>
        <v/>
      </c>
    </row>
    <row r="2767" spans="3:18">
      <c r="C2767" t="str">
        <f t="shared" si="358"/>
        <v/>
      </c>
      <c r="D2767" s="36">
        <v>60</v>
      </c>
      <c r="E2767" s="97">
        <v>50</v>
      </c>
      <c r="F2767" s="366">
        <f t="shared" si="360"/>
        <v>1085</v>
      </c>
      <c r="G2767" s="97">
        <v>3865</v>
      </c>
      <c r="H2767" s="367">
        <f t="shared" si="355"/>
        <v>4950</v>
      </c>
      <c r="I2767" s="368">
        <f t="shared" si="356"/>
        <v>0</v>
      </c>
      <c r="J2767" s="97">
        <v>15031</v>
      </c>
      <c r="K2767" s="367">
        <f t="shared" si="359"/>
        <v>10736.428571428572</v>
      </c>
      <c r="L2767" s="606">
        <v>0.51</v>
      </c>
      <c r="M2767" s="97">
        <v>5.5</v>
      </c>
      <c r="N2767" s="605">
        <v>24</v>
      </c>
      <c r="O2767" s="97">
        <v>6</v>
      </c>
      <c r="P2767" s="97" t="s">
        <v>514</v>
      </c>
      <c r="Q2767" s="97">
        <f t="shared" si="352"/>
        <v>60</v>
      </c>
      <c r="R2767" t="str">
        <f t="shared" si="357"/>
        <v/>
      </c>
    </row>
    <row r="2768" spans="3:18">
      <c r="C2768" t="str">
        <f t="shared" si="358"/>
        <v/>
      </c>
      <c r="D2768" s="36">
        <v>61</v>
      </c>
      <c r="E2768" s="97">
        <v>50</v>
      </c>
      <c r="F2768" s="366">
        <f t="shared" si="360"/>
        <v>1085</v>
      </c>
      <c r="G2768" s="97">
        <v>2842</v>
      </c>
      <c r="H2768" s="367">
        <f t="shared" si="355"/>
        <v>3927</v>
      </c>
      <c r="I2768" s="368">
        <f t="shared" si="356"/>
        <v>0</v>
      </c>
      <c r="J2768" s="97">
        <v>11053</v>
      </c>
      <c r="K2768" s="367">
        <f t="shared" si="359"/>
        <v>7895</v>
      </c>
      <c r="L2768" s="606">
        <v>0.18000000000000002</v>
      </c>
      <c r="M2768" s="97">
        <v>5.5</v>
      </c>
      <c r="N2768" s="605">
        <v>18</v>
      </c>
      <c r="O2768" s="97">
        <v>6</v>
      </c>
      <c r="P2768" s="97" t="s">
        <v>515</v>
      </c>
      <c r="Q2768" s="97">
        <f t="shared" si="352"/>
        <v>61</v>
      </c>
      <c r="R2768" t="str">
        <f t="shared" si="357"/>
        <v/>
      </c>
    </row>
    <row r="2769" spans="3:18">
      <c r="C2769" t="str">
        <f t="shared" si="358"/>
        <v>NL</v>
      </c>
      <c r="D2769" s="36">
        <v>62</v>
      </c>
      <c r="E2769" s="97">
        <v>55</v>
      </c>
      <c r="F2769" s="366">
        <f t="shared" si="360"/>
        <v>1193.5</v>
      </c>
      <c r="G2769" s="97">
        <v>3217</v>
      </c>
      <c r="H2769" s="367">
        <f t="shared" si="355"/>
        <v>4410.5</v>
      </c>
      <c r="I2769" s="368">
        <f t="shared" si="356"/>
        <v>0</v>
      </c>
      <c r="J2769" s="97">
        <v>12511</v>
      </c>
      <c r="K2769" s="367">
        <f t="shared" si="359"/>
        <v>8936.4285714285725</v>
      </c>
      <c r="L2769" s="606">
        <v>0.77</v>
      </c>
      <c r="M2769" s="97">
        <v>3</v>
      </c>
      <c r="N2769" s="605">
        <v>26</v>
      </c>
      <c r="O2769" s="97">
        <v>3</v>
      </c>
      <c r="P2769" s="97" t="s">
        <v>515</v>
      </c>
      <c r="Q2769" s="97" t="str">
        <f t="shared" ref="Q2769:Q2815" si="361">IF(AND(H2769+1&gt;$E$4,L2769&lt;$L$4+0.01,M2769&lt;$M$4+0.01,K2769+1&gt;$F$4,E2769+1&gt;$J$4,N2769&lt;$K$4+1,O2769&lt;$P$4+1,C2769=""),D2769,"")</f>
        <v/>
      </c>
      <c r="R2769" t="str">
        <f t="shared" si="357"/>
        <v/>
      </c>
    </row>
    <row r="2770" spans="3:18">
      <c r="C2770" t="str">
        <f t="shared" si="358"/>
        <v/>
      </c>
      <c r="D2770" s="36">
        <v>63</v>
      </c>
      <c r="E2770" s="97">
        <v>55</v>
      </c>
      <c r="F2770" s="366">
        <f t="shared" si="360"/>
        <v>1193.5</v>
      </c>
      <c r="G2770" s="97">
        <v>3138</v>
      </c>
      <c r="H2770" s="367">
        <f t="shared" si="355"/>
        <v>4331.5</v>
      </c>
      <c r="I2770" s="368">
        <f t="shared" si="356"/>
        <v>0</v>
      </c>
      <c r="J2770" s="97">
        <v>12205</v>
      </c>
      <c r="K2770" s="367">
        <f t="shared" si="359"/>
        <v>8717.8571428571431</v>
      </c>
      <c r="L2770" s="606">
        <v>0.44</v>
      </c>
      <c r="M2770" s="97">
        <v>3.8000000000000003</v>
      </c>
      <c r="N2770" s="605">
        <v>23</v>
      </c>
      <c r="O2770" s="97">
        <v>4</v>
      </c>
      <c r="P2770" s="97" t="s">
        <v>515</v>
      </c>
      <c r="Q2770" s="97">
        <f t="shared" si="361"/>
        <v>63</v>
      </c>
      <c r="R2770" t="str">
        <f t="shared" si="357"/>
        <v/>
      </c>
    </row>
    <row r="2771" spans="3:18">
      <c r="C2771" t="str">
        <f t="shared" si="358"/>
        <v>NL</v>
      </c>
      <c r="D2771" s="36">
        <v>64</v>
      </c>
      <c r="E2771" s="97">
        <v>55</v>
      </c>
      <c r="F2771" s="366">
        <f t="shared" si="360"/>
        <v>1193.5</v>
      </c>
      <c r="G2771" s="97">
        <v>3696</v>
      </c>
      <c r="H2771" s="367">
        <f t="shared" si="355"/>
        <v>4889.5</v>
      </c>
      <c r="I2771" s="368">
        <f t="shared" si="356"/>
        <v>0</v>
      </c>
      <c r="J2771" s="97">
        <v>14375</v>
      </c>
      <c r="K2771" s="367">
        <f t="shared" si="359"/>
        <v>10267.857142857143</v>
      </c>
      <c r="L2771" s="606">
        <v>0.89</v>
      </c>
      <c r="M2771" s="97">
        <v>4.6999999999999993</v>
      </c>
      <c r="N2771" s="605">
        <v>27</v>
      </c>
      <c r="O2771" s="97">
        <v>5</v>
      </c>
      <c r="P2771" s="97" t="s">
        <v>514</v>
      </c>
      <c r="Q2771" s="97" t="str">
        <f t="shared" si="361"/>
        <v/>
      </c>
      <c r="R2771" t="str">
        <f t="shared" si="357"/>
        <v/>
      </c>
    </row>
    <row r="2772" spans="3:18">
      <c r="C2772" t="str">
        <f t="shared" si="358"/>
        <v>NL</v>
      </c>
      <c r="D2772" s="36">
        <v>65</v>
      </c>
      <c r="E2772" s="97">
        <v>55</v>
      </c>
      <c r="F2772" s="366">
        <f t="shared" si="360"/>
        <v>1193.5</v>
      </c>
      <c r="G2772" s="97">
        <v>2541</v>
      </c>
      <c r="H2772" s="367">
        <f t="shared" si="355"/>
        <v>3734.5</v>
      </c>
      <c r="I2772" s="368">
        <f t="shared" si="356"/>
        <v>0</v>
      </c>
      <c r="J2772" s="97">
        <v>9885</v>
      </c>
      <c r="K2772" s="367">
        <f t="shared" si="359"/>
        <v>7060.7142857142862</v>
      </c>
      <c r="L2772" s="606">
        <v>0.29000000000000004</v>
      </c>
      <c r="M2772" s="97">
        <v>4.6999999999999993</v>
      </c>
      <c r="N2772" s="605">
        <v>21</v>
      </c>
      <c r="O2772" s="97">
        <v>5</v>
      </c>
      <c r="P2772" s="97" t="s">
        <v>515</v>
      </c>
      <c r="Q2772" s="97" t="str">
        <f t="shared" si="361"/>
        <v/>
      </c>
      <c r="R2772" t="str">
        <f t="shared" si="357"/>
        <v/>
      </c>
    </row>
    <row r="2773" spans="3:18">
      <c r="C2773" t="str">
        <f t="shared" si="358"/>
        <v/>
      </c>
      <c r="D2773" s="36">
        <v>66</v>
      </c>
      <c r="E2773" s="97">
        <v>55</v>
      </c>
      <c r="F2773" s="366">
        <f t="shared" si="360"/>
        <v>1193.5</v>
      </c>
      <c r="G2773" s="97">
        <v>4302</v>
      </c>
      <c r="H2773" s="367">
        <f t="shared" ref="H2773:H2813" si="362">(G2773*$U$7)+F2773</f>
        <v>5495.5</v>
      </c>
      <c r="I2773" s="368">
        <f t="shared" ref="I2773:I2813" si="363">1.085*($C$2-$D$2)*E2773*$T$7</f>
        <v>0</v>
      </c>
      <c r="J2773" s="97">
        <v>16730</v>
      </c>
      <c r="K2773" s="367">
        <f t="shared" si="359"/>
        <v>11950</v>
      </c>
      <c r="L2773" s="606">
        <v>0.61</v>
      </c>
      <c r="M2773" s="97">
        <v>5.5</v>
      </c>
      <c r="N2773" s="605">
        <v>25</v>
      </c>
      <c r="O2773" s="97">
        <v>6</v>
      </c>
      <c r="P2773" s="97" t="s">
        <v>514</v>
      </c>
      <c r="Q2773" s="97">
        <f t="shared" si="361"/>
        <v>66</v>
      </c>
      <c r="R2773" t="str">
        <f t="shared" ref="R2773:R2813" si="364">IF(Q2773="","",IF(AND(O2773&lt;$X$20,E2773&gt;$U$20,E2773&lt;$Q$4+$U$20+1),D2773,""))</f>
        <v/>
      </c>
    </row>
    <row r="2774" spans="3:18">
      <c r="C2774" t="str">
        <f t="shared" ref="C2774:C2837" si="365">IF(OR($O$4=0,O2774-$O$4=0),IF(AND(ISEVEN(O2774)=FALSE,$N$4="Even"),"NL",""),"NL")</f>
        <v/>
      </c>
      <c r="D2774" s="36">
        <v>67</v>
      </c>
      <c r="E2774" s="97">
        <v>55</v>
      </c>
      <c r="F2774" s="366">
        <f t="shared" si="360"/>
        <v>1193.5</v>
      </c>
      <c r="G2774" s="97">
        <v>3110</v>
      </c>
      <c r="H2774" s="367">
        <f t="shared" si="362"/>
        <v>4303.5</v>
      </c>
      <c r="I2774" s="368">
        <f t="shared" si="363"/>
        <v>0</v>
      </c>
      <c r="J2774" s="97">
        <v>12097</v>
      </c>
      <c r="K2774" s="367">
        <f t="shared" ref="K2774:K2837" si="366">(J2774*$V$7)-I2774</f>
        <v>8640.7142857142862</v>
      </c>
      <c r="L2774" s="606">
        <v>0.21000000000000002</v>
      </c>
      <c r="M2774" s="97">
        <v>5.5</v>
      </c>
      <c r="N2774" s="605">
        <v>20</v>
      </c>
      <c r="O2774" s="97">
        <v>6</v>
      </c>
      <c r="P2774" s="97" t="s">
        <v>515</v>
      </c>
      <c r="Q2774" s="97">
        <f t="shared" si="361"/>
        <v>67</v>
      </c>
      <c r="R2774" t="str">
        <f t="shared" si="364"/>
        <v/>
      </c>
    </row>
    <row r="2775" spans="3:18">
      <c r="C2775" t="str">
        <f t="shared" si="365"/>
        <v>NL</v>
      </c>
      <c r="D2775" s="36">
        <v>68</v>
      </c>
      <c r="E2775">
        <v>60</v>
      </c>
      <c r="F2775" s="366">
        <f t="shared" si="360"/>
        <v>1302</v>
      </c>
      <c r="G2775" s="97">
        <v>3450</v>
      </c>
      <c r="H2775" s="367">
        <f t="shared" si="362"/>
        <v>4752</v>
      </c>
      <c r="I2775" s="368">
        <f t="shared" si="363"/>
        <v>0</v>
      </c>
      <c r="J2775">
        <v>13418</v>
      </c>
      <c r="K2775" s="367">
        <f t="shared" si="366"/>
        <v>9584.2857142857138</v>
      </c>
      <c r="L2775" s="606">
        <v>0.91</v>
      </c>
      <c r="M2775">
        <v>3</v>
      </c>
      <c r="N2775" s="605">
        <v>27</v>
      </c>
      <c r="O2775">
        <v>3</v>
      </c>
      <c r="P2775" t="s">
        <v>515</v>
      </c>
      <c r="Q2775" s="97" t="str">
        <f t="shared" si="361"/>
        <v/>
      </c>
      <c r="R2775" t="str">
        <f t="shared" si="364"/>
        <v/>
      </c>
    </row>
    <row r="2776" spans="3:18">
      <c r="C2776" t="str">
        <f t="shared" si="365"/>
        <v/>
      </c>
      <c r="D2776" s="36">
        <v>69</v>
      </c>
      <c r="E2776">
        <v>60</v>
      </c>
      <c r="F2776" s="366">
        <f t="shared" si="360"/>
        <v>1302</v>
      </c>
      <c r="G2776" s="97">
        <v>3466</v>
      </c>
      <c r="H2776" s="367">
        <f t="shared" si="362"/>
        <v>4768</v>
      </c>
      <c r="I2776" s="368">
        <f t="shared" si="363"/>
        <v>0</v>
      </c>
      <c r="J2776">
        <v>13481</v>
      </c>
      <c r="K2776" s="367">
        <f t="shared" si="366"/>
        <v>9629.2857142857138</v>
      </c>
      <c r="L2776" s="606">
        <v>0.53</v>
      </c>
      <c r="M2776">
        <v>3.8000000000000003</v>
      </c>
      <c r="N2776" s="605">
        <v>25</v>
      </c>
      <c r="O2776">
        <v>4</v>
      </c>
      <c r="P2776" t="s">
        <v>515</v>
      </c>
      <c r="Q2776" s="97">
        <f t="shared" si="361"/>
        <v>69</v>
      </c>
      <c r="R2776" t="str">
        <f t="shared" si="364"/>
        <v/>
      </c>
    </row>
    <row r="2777" spans="3:18">
      <c r="C2777" t="str">
        <f t="shared" si="365"/>
        <v>NL</v>
      </c>
      <c r="D2777" s="36">
        <v>70</v>
      </c>
      <c r="E2777">
        <v>60</v>
      </c>
      <c r="F2777" s="366">
        <f t="shared" si="360"/>
        <v>1302</v>
      </c>
      <c r="G2777" s="97">
        <v>3958</v>
      </c>
      <c r="H2777" s="367">
        <f t="shared" si="362"/>
        <v>5260</v>
      </c>
      <c r="I2777" s="368">
        <f t="shared" si="363"/>
        <v>0</v>
      </c>
      <c r="J2777">
        <v>15392</v>
      </c>
      <c r="K2777" s="367">
        <f t="shared" si="366"/>
        <v>10994.285714285714</v>
      </c>
      <c r="L2777" s="606">
        <v>1.06</v>
      </c>
      <c r="M2777">
        <v>4.6999999999999993</v>
      </c>
      <c r="N2777" s="605">
        <v>28</v>
      </c>
      <c r="O2777">
        <v>5</v>
      </c>
      <c r="P2777" t="s">
        <v>514</v>
      </c>
      <c r="Q2777" s="97" t="str">
        <f t="shared" si="361"/>
        <v/>
      </c>
      <c r="R2777" t="str">
        <f t="shared" si="364"/>
        <v/>
      </c>
    </row>
    <row r="2778" spans="3:18">
      <c r="C2778" t="str">
        <f t="shared" si="365"/>
        <v>NL</v>
      </c>
      <c r="D2778" s="36">
        <v>71</v>
      </c>
      <c r="E2778">
        <v>60</v>
      </c>
      <c r="F2778" s="366">
        <f t="shared" si="360"/>
        <v>1302</v>
      </c>
      <c r="G2778" s="97">
        <v>2743</v>
      </c>
      <c r="H2778" s="367">
        <f t="shared" si="362"/>
        <v>4045</v>
      </c>
      <c r="I2778" s="368">
        <f t="shared" si="363"/>
        <v>0</v>
      </c>
      <c r="J2778">
        <v>10669</v>
      </c>
      <c r="K2778" s="367">
        <f t="shared" si="366"/>
        <v>7620.7142857142862</v>
      </c>
      <c r="L2778" s="606">
        <v>0.35000000000000003</v>
      </c>
      <c r="M2778">
        <v>4.6999999999999993</v>
      </c>
      <c r="N2778" s="605">
        <v>22</v>
      </c>
      <c r="O2778">
        <v>5</v>
      </c>
      <c r="P2778" t="s">
        <v>515</v>
      </c>
      <c r="Q2778" s="97" t="str">
        <f t="shared" si="361"/>
        <v/>
      </c>
      <c r="R2778" t="str">
        <f t="shared" si="364"/>
        <v/>
      </c>
    </row>
    <row r="2779" spans="3:18">
      <c r="C2779" t="str">
        <f t="shared" si="365"/>
        <v/>
      </c>
      <c r="D2779" s="36">
        <v>72</v>
      </c>
      <c r="E2779">
        <v>60</v>
      </c>
      <c r="F2779" s="366">
        <f t="shared" si="360"/>
        <v>1302</v>
      </c>
      <c r="G2779" s="97">
        <v>4701</v>
      </c>
      <c r="H2779" s="367">
        <f t="shared" si="362"/>
        <v>6003</v>
      </c>
      <c r="I2779" s="368">
        <f t="shared" si="363"/>
        <v>0</v>
      </c>
      <c r="J2779">
        <v>18284</v>
      </c>
      <c r="K2779" s="367">
        <f t="shared" si="366"/>
        <v>13060</v>
      </c>
      <c r="L2779" s="606">
        <v>0.73</v>
      </c>
      <c r="M2779">
        <v>5.5</v>
      </c>
      <c r="N2779" s="605">
        <v>26</v>
      </c>
      <c r="O2779">
        <v>6</v>
      </c>
      <c r="P2779" t="s">
        <v>514</v>
      </c>
      <c r="Q2779" s="97" t="str">
        <f t="shared" si="361"/>
        <v/>
      </c>
      <c r="R2779" t="str">
        <f t="shared" si="364"/>
        <v/>
      </c>
    </row>
    <row r="2780" spans="3:18">
      <c r="C2780" t="str">
        <f t="shared" si="365"/>
        <v/>
      </c>
      <c r="D2780" s="36">
        <v>73</v>
      </c>
      <c r="E2780">
        <v>60</v>
      </c>
      <c r="F2780" s="366">
        <f t="shared" si="360"/>
        <v>1302</v>
      </c>
      <c r="G2780" s="97">
        <v>3347</v>
      </c>
      <c r="H2780" s="367">
        <f t="shared" si="362"/>
        <v>4649</v>
      </c>
      <c r="I2780" s="368">
        <f t="shared" si="363"/>
        <v>0</v>
      </c>
      <c r="J2780">
        <v>13017</v>
      </c>
      <c r="K2780" s="367">
        <f t="shared" si="366"/>
        <v>9297.8571428571431</v>
      </c>
      <c r="L2780" s="606">
        <v>0.25</v>
      </c>
      <c r="M2780">
        <v>5.5</v>
      </c>
      <c r="N2780" s="605">
        <v>21</v>
      </c>
      <c r="O2780">
        <v>6</v>
      </c>
      <c r="P2780" t="s">
        <v>515</v>
      </c>
      <c r="Q2780" s="97">
        <f t="shared" si="361"/>
        <v>73</v>
      </c>
      <c r="R2780" t="str">
        <f t="shared" si="364"/>
        <v/>
      </c>
    </row>
    <row r="2781" spans="3:18">
      <c r="C2781" t="str">
        <f t="shared" si="365"/>
        <v>NL</v>
      </c>
      <c r="D2781" s="36">
        <v>74</v>
      </c>
      <c r="E2781">
        <v>65</v>
      </c>
      <c r="F2781" s="366">
        <f t="shared" si="360"/>
        <v>1410.5</v>
      </c>
      <c r="G2781" s="97">
        <v>3677</v>
      </c>
      <c r="H2781" s="367">
        <f t="shared" si="362"/>
        <v>5087.5</v>
      </c>
      <c r="I2781" s="368">
        <f t="shared" si="363"/>
        <v>0</v>
      </c>
      <c r="J2781">
        <v>14301</v>
      </c>
      <c r="K2781" s="367">
        <f t="shared" si="366"/>
        <v>10215</v>
      </c>
      <c r="L2781" s="606">
        <v>1.07</v>
      </c>
      <c r="M2781">
        <v>3</v>
      </c>
      <c r="N2781" s="605">
        <v>28</v>
      </c>
      <c r="O2781">
        <v>3</v>
      </c>
      <c r="P2781" t="s">
        <v>515</v>
      </c>
      <c r="Q2781" s="97" t="str">
        <f t="shared" si="361"/>
        <v/>
      </c>
      <c r="R2781" t="str">
        <f t="shared" si="364"/>
        <v/>
      </c>
    </row>
    <row r="2782" spans="3:18">
      <c r="C2782" t="str">
        <f t="shared" si="365"/>
        <v/>
      </c>
      <c r="D2782" s="36">
        <v>75</v>
      </c>
      <c r="E2782">
        <v>65</v>
      </c>
      <c r="F2782" s="366">
        <f t="shared" si="360"/>
        <v>1410.5</v>
      </c>
      <c r="G2782" s="97">
        <v>3755</v>
      </c>
      <c r="H2782" s="367">
        <f t="shared" si="362"/>
        <v>5165.5</v>
      </c>
      <c r="I2782" s="368">
        <f t="shared" si="363"/>
        <v>0</v>
      </c>
      <c r="J2782">
        <v>14604</v>
      </c>
      <c r="K2782" s="367">
        <f t="shared" si="366"/>
        <v>10431.428571428572</v>
      </c>
      <c r="L2782" s="606">
        <v>0.62</v>
      </c>
      <c r="M2782">
        <v>3.8000000000000003</v>
      </c>
      <c r="N2782" s="605">
        <v>26</v>
      </c>
      <c r="O2782">
        <v>4</v>
      </c>
      <c r="P2782" t="s">
        <v>515</v>
      </c>
      <c r="Q2782" s="97">
        <f t="shared" si="361"/>
        <v>75</v>
      </c>
      <c r="R2782" t="str">
        <f t="shared" si="364"/>
        <v/>
      </c>
    </row>
    <row r="2783" spans="3:18">
      <c r="C2783" t="str">
        <f t="shared" si="365"/>
        <v>NL</v>
      </c>
      <c r="D2783" s="36">
        <v>76</v>
      </c>
      <c r="E2783">
        <v>65</v>
      </c>
      <c r="F2783" s="366">
        <f t="shared" si="360"/>
        <v>1410.5</v>
      </c>
      <c r="G2783" s="97">
        <v>2999</v>
      </c>
      <c r="H2783" s="367">
        <f t="shared" si="362"/>
        <v>4409.5</v>
      </c>
      <c r="I2783" s="368">
        <f t="shared" si="363"/>
        <v>0</v>
      </c>
      <c r="J2783">
        <v>11663</v>
      </c>
      <c r="K2783" s="367">
        <f t="shared" si="366"/>
        <v>8330.7142857142862</v>
      </c>
      <c r="L2783" s="606">
        <v>0.41000000000000003</v>
      </c>
      <c r="M2783">
        <v>4.6999999999999993</v>
      </c>
      <c r="N2783" s="605">
        <v>24</v>
      </c>
      <c r="O2783">
        <v>5</v>
      </c>
      <c r="P2783" t="s">
        <v>515</v>
      </c>
      <c r="Q2783" s="97" t="str">
        <f t="shared" si="361"/>
        <v/>
      </c>
      <c r="R2783" t="str">
        <f t="shared" si="364"/>
        <v/>
      </c>
    </row>
    <row r="2784" spans="3:18">
      <c r="C2784" t="str">
        <f t="shared" si="365"/>
        <v/>
      </c>
      <c r="D2784" s="36">
        <v>77</v>
      </c>
      <c r="E2784">
        <v>65</v>
      </c>
      <c r="F2784" s="366">
        <f t="shared" si="360"/>
        <v>1410.5</v>
      </c>
      <c r="G2784" s="97">
        <v>5069</v>
      </c>
      <c r="H2784" s="367">
        <f t="shared" si="362"/>
        <v>6479.5</v>
      </c>
      <c r="I2784" s="368">
        <f t="shared" si="363"/>
        <v>0</v>
      </c>
      <c r="J2784">
        <v>19713</v>
      </c>
      <c r="K2784" s="367">
        <f t="shared" si="366"/>
        <v>14080.714285714286</v>
      </c>
      <c r="L2784" s="606">
        <v>0.85</v>
      </c>
      <c r="M2784">
        <v>5.5</v>
      </c>
      <c r="N2784" s="605">
        <v>27</v>
      </c>
      <c r="O2784">
        <v>6</v>
      </c>
      <c r="P2784" t="s">
        <v>514</v>
      </c>
      <c r="Q2784" s="97" t="str">
        <f t="shared" si="361"/>
        <v/>
      </c>
      <c r="R2784" t="str">
        <f t="shared" si="364"/>
        <v/>
      </c>
    </row>
    <row r="2785" spans="3:18">
      <c r="C2785" t="str">
        <f t="shared" si="365"/>
        <v/>
      </c>
      <c r="D2785" s="36">
        <v>78</v>
      </c>
      <c r="E2785">
        <v>65</v>
      </c>
      <c r="F2785" s="366">
        <f t="shared" si="360"/>
        <v>1410.5</v>
      </c>
      <c r="G2785" s="97">
        <v>3584</v>
      </c>
      <c r="H2785" s="367">
        <f t="shared" si="362"/>
        <v>4994.5</v>
      </c>
      <c r="I2785" s="368">
        <f t="shared" si="363"/>
        <v>0</v>
      </c>
      <c r="J2785">
        <v>13938</v>
      </c>
      <c r="K2785" s="367">
        <f t="shared" si="366"/>
        <v>9955.7142857142862</v>
      </c>
      <c r="L2785" s="606">
        <v>0.3</v>
      </c>
      <c r="M2785">
        <v>5.5</v>
      </c>
      <c r="N2785" s="605">
        <v>22</v>
      </c>
      <c r="O2785">
        <v>6</v>
      </c>
      <c r="P2785" t="s">
        <v>515</v>
      </c>
      <c r="Q2785" s="97">
        <f t="shared" si="361"/>
        <v>78</v>
      </c>
      <c r="R2785" t="str">
        <f t="shared" si="364"/>
        <v/>
      </c>
    </row>
    <row r="2786" spans="3:18">
      <c r="C2786" t="str">
        <f t="shared" si="365"/>
        <v/>
      </c>
      <c r="D2786" s="36">
        <v>79</v>
      </c>
      <c r="E2786">
        <v>70</v>
      </c>
      <c r="F2786" s="366">
        <f t="shared" si="360"/>
        <v>1519</v>
      </c>
      <c r="G2786" s="97">
        <v>4035</v>
      </c>
      <c r="H2786" s="367">
        <f t="shared" si="362"/>
        <v>5554</v>
      </c>
      <c r="I2786" s="368">
        <f t="shared" si="363"/>
        <v>0</v>
      </c>
      <c r="J2786">
        <v>15695</v>
      </c>
      <c r="K2786" s="367">
        <f t="shared" si="366"/>
        <v>11210.714285714286</v>
      </c>
      <c r="L2786" s="606">
        <v>0.72</v>
      </c>
      <c r="M2786">
        <v>3.8000000000000003</v>
      </c>
      <c r="N2786" s="605">
        <v>27</v>
      </c>
      <c r="O2786">
        <v>4</v>
      </c>
      <c r="P2786" t="s">
        <v>515</v>
      </c>
      <c r="Q2786" s="97" t="str">
        <f t="shared" si="361"/>
        <v/>
      </c>
      <c r="R2786" t="str">
        <f t="shared" si="364"/>
        <v/>
      </c>
    </row>
    <row r="2787" spans="3:18">
      <c r="C2787" t="str">
        <f t="shared" si="365"/>
        <v>NL</v>
      </c>
      <c r="D2787" s="36">
        <v>80</v>
      </c>
      <c r="E2787">
        <v>70</v>
      </c>
      <c r="F2787" s="366">
        <f t="shared" si="360"/>
        <v>1519</v>
      </c>
      <c r="G2787" s="97">
        <v>3264</v>
      </c>
      <c r="H2787" s="367">
        <f t="shared" si="362"/>
        <v>4783</v>
      </c>
      <c r="I2787" s="368">
        <f t="shared" si="363"/>
        <v>0</v>
      </c>
      <c r="J2787">
        <v>12697</v>
      </c>
      <c r="K2787" s="367">
        <f t="shared" si="366"/>
        <v>9069.2857142857138</v>
      </c>
      <c r="L2787" s="606">
        <v>0.47000000000000003</v>
      </c>
      <c r="M2787">
        <v>4.6999999999999993</v>
      </c>
      <c r="N2787" s="605">
        <v>24</v>
      </c>
      <c r="O2787">
        <v>5</v>
      </c>
      <c r="P2787" t="s">
        <v>515</v>
      </c>
      <c r="Q2787" s="97" t="str">
        <f t="shared" si="361"/>
        <v/>
      </c>
      <c r="R2787" t="str">
        <f t="shared" si="364"/>
        <v/>
      </c>
    </row>
    <row r="2788" spans="3:18">
      <c r="C2788" t="str">
        <f t="shared" si="365"/>
        <v/>
      </c>
      <c r="D2788" s="36">
        <v>81</v>
      </c>
      <c r="E2788">
        <v>70</v>
      </c>
      <c r="F2788" s="366">
        <f t="shared" si="360"/>
        <v>1519</v>
      </c>
      <c r="G2788" s="97">
        <v>5436</v>
      </c>
      <c r="H2788" s="367">
        <f t="shared" si="362"/>
        <v>6955</v>
      </c>
      <c r="I2788" s="368">
        <f t="shared" si="363"/>
        <v>0</v>
      </c>
      <c r="J2788">
        <v>21141</v>
      </c>
      <c r="K2788" s="367">
        <f t="shared" si="366"/>
        <v>15100.714285714286</v>
      </c>
      <c r="L2788" s="606">
        <v>0.99</v>
      </c>
      <c r="M2788">
        <v>5.5</v>
      </c>
      <c r="N2788" s="605">
        <v>28</v>
      </c>
      <c r="O2788">
        <v>6</v>
      </c>
      <c r="P2788" t="s">
        <v>514</v>
      </c>
      <c r="Q2788" s="97" t="str">
        <f t="shared" si="361"/>
        <v/>
      </c>
      <c r="R2788" t="str">
        <f t="shared" si="364"/>
        <v/>
      </c>
    </row>
    <row r="2789" spans="3:18">
      <c r="C2789" t="str">
        <f t="shared" si="365"/>
        <v/>
      </c>
      <c r="D2789" s="36">
        <v>82</v>
      </c>
      <c r="E2789">
        <v>70</v>
      </c>
      <c r="F2789" s="366">
        <f t="shared" si="360"/>
        <v>1519</v>
      </c>
      <c r="G2789" s="97">
        <v>3820</v>
      </c>
      <c r="H2789" s="367">
        <f t="shared" si="362"/>
        <v>5339</v>
      </c>
      <c r="I2789" s="368">
        <f t="shared" si="363"/>
        <v>0</v>
      </c>
      <c r="J2789">
        <v>14858</v>
      </c>
      <c r="K2789" s="367">
        <f t="shared" si="366"/>
        <v>10612.857142857143</v>
      </c>
      <c r="L2789" s="606">
        <v>0.34</v>
      </c>
      <c r="M2789">
        <v>5.5</v>
      </c>
      <c r="N2789" s="605">
        <v>23</v>
      </c>
      <c r="O2789">
        <v>6</v>
      </c>
      <c r="P2789" t="s">
        <v>515</v>
      </c>
      <c r="Q2789" s="97">
        <f t="shared" si="361"/>
        <v>82</v>
      </c>
      <c r="R2789" t="str">
        <f t="shared" si="364"/>
        <v/>
      </c>
    </row>
    <row r="2790" spans="3:18">
      <c r="C2790" t="str">
        <f t="shared" si="365"/>
        <v/>
      </c>
      <c r="D2790" s="36">
        <v>83</v>
      </c>
      <c r="E2790">
        <v>75</v>
      </c>
      <c r="F2790" s="366">
        <f t="shared" si="360"/>
        <v>1627.5</v>
      </c>
      <c r="G2790" s="97">
        <v>4309</v>
      </c>
      <c r="H2790" s="367">
        <f t="shared" si="362"/>
        <v>5936.5</v>
      </c>
      <c r="I2790" s="368">
        <f t="shared" si="363"/>
        <v>0</v>
      </c>
      <c r="J2790">
        <v>16757</v>
      </c>
      <c r="K2790" s="367">
        <f t="shared" si="366"/>
        <v>11969.285714285714</v>
      </c>
      <c r="L2790" s="606">
        <v>0.79</v>
      </c>
      <c r="M2790">
        <v>3.8000000000000003</v>
      </c>
      <c r="N2790" s="605">
        <v>27</v>
      </c>
      <c r="O2790">
        <v>4</v>
      </c>
      <c r="P2790" t="s">
        <v>515</v>
      </c>
      <c r="Q2790" s="97" t="str">
        <f t="shared" si="361"/>
        <v/>
      </c>
      <c r="R2790" t="str">
        <f t="shared" si="364"/>
        <v/>
      </c>
    </row>
    <row r="2791" spans="3:18">
      <c r="C2791" t="str">
        <f t="shared" si="365"/>
        <v>NL</v>
      </c>
      <c r="D2791" s="36">
        <v>84</v>
      </c>
      <c r="E2791">
        <v>75</v>
      </c>
      <c r="F2791" s="366">
        <f t="shared" si="360"/>
        <v>1627.5</v>
      </c>
      <c r="G2791" s="97">
        <v>3530</v>
      </c>
      <c r="H2791" s="367">
        <f t="shared" si="362"/>
        <v>5157.5</v>
      </c>
      <c r="I2791" s="368">
        <f t="shared" si="363"/>
        <v>0</v>
      </c>
      <c r="J2791">
        <v>13731</v>
      </c>
      <c r="K2791" s="367">
        <f t="shared" si="366"/>
        <v>9807.8571428571431</v>
      </c>
      <c r="L2791" s="606">
        <v>0.52</v>
      </c>
      <c r="M2791">
        <v>4.6999999999999993</v>
      </c>
      <c r="N2791" s="605">
        <v>25</v>
      </c>
      <c r="O2791">
        <v>5</v>
      </c>
      <c r="P2791" t="s">
        <v>515</v>
      </c>
      <c r="Q2791" s="97" t="str">
        <f t="shared" si="361"/>
        <v/>
      </c>
      <c r="R2791" t="str">
        <f t="shared" si="364"/>
        <v/>
      </c>
    </row>
    <row r="2792" spans="3:18">
      <c r="C2792" t="str">
        <f t="shared" si="365"/>
        <v/>
      </c>
      <c r="D2792" s="36">
        <v>85</v>
      </c>
      <c r="E2792">
        <v>75</v>
      </c>
      <c r="F2792" s="366">
        <f t="shared" si="360"/>
        <v>1627.5</v>
      </c>
      <c r="G2792" s="97">
        <v>5671</v>
      </c>
      <c r="H2792" s="367">
        <f t="shared" si="362"/>
        <v>7298.5</v>
      </c>
      <c r="I2792" s="368">
        <f t="shared" si="363"/>
        <v>0</v>
      </c>
      <c r="J2792">
        <v>22056</v>
      </c>
      <c r="K2792" s="367">
        <f t="shared" si="366"/>
        <v>15754.285714285714</v>
      </c>
      <c r="L2792" s="606">
        <v>1.1100000000000001</v>
      </c>
      <c r="M2792">
        <v>5.5</v>
      </c>
      <c r="N2792" s="605">
        <v>29</v>
      </c>
      <c r="O2792">
        <v>6</v>
      </c>
      <c r="P2792" t="s">
        <v>514</v>
      </c>
      <c r="Q2792" s="97" t="str">
        <f t="shared" si="361"/>
        <v/>
      </c>
      <c r="R2792" t="str">
        <f t="shared" si="364"/>
        <v/>
      </c>
    </row>
    <row r="2793" spans="3:18">
      <c r="C2793" t="str">
        <f t="shared" si="365"/>
        <v/>
      </c>
      <c r="D2793" s="36">
        <v>86</v>
      </c>
      <c r="E2793">
        <v>75</v>
      </c>
      <c r="F2793" s="366">
        <f t="shared" si="360"/>
        <v>1627.5</v>
      </c>
      <c r="G2793" s="97">
        <v>4068</v>
      </c>
      <c r="H2793" s="367">
        <f t="shared" si="362"/>
        <v>5695.5</v>
      </c>
      <c r="I2793" s="368">
        <f t="shared" si="363"/>
        <v>0</v>
      </c>
      <c r="J2793">
        <v>15821</v>
      </c>
      <c r="K2793" s="367">
        <f t="shared" si="366"/>
        <v>11300.714285714286</v>
      </c>
      <c r="L2793" s="606">
        <v>0.37</v>
      </c>
      <c r="M2793">
        <v>5.5</v>
      </c>
      <c r="N2793" s="605">
        <v>23</v>
      </c>
      <c r="O2793">
        <v>6</v>
      </c>
      <c r="P2793" t="s">
        <v>515</v>
      </c>
      <c r="Q2793" s="97">
        <f t="shared" si="361"/>
        <v>86</v>
      </c>
      <c r="R2793" t="str">
        <f t="shared" si="364"/>
        <v/>
      </c>
    </row>
    <row r="2794" spans="3:18">
      <c r="C2794" t="str">
        <f t="shared" si="365"/>
        <v/>
      </c>
      <c r="D2794" s="36">
        <v>87</v>
      </c>
      <c r="E2794">
        <v>80</v>
      </c>
      <c r="F2794" s="366">
        <f t="shared" si="360"/>
        <v>1736</v>
      </c>
      <c r="G2794" s="97">
        <v>4531</v>
      </c>
      <c r="H2794" s="367">
        <f t="shared" si="362"/>
        <v>6267</v>
      </c>
      <c r="I2794" s="368">
        <f t="shared" si="363"/>
        <v>0</v>
      </c>
      <c r="J2794">
        <v>17623</v>
      </c>
      <c r="K2794" s="367">
        <f t="shared" si="366"/>
        <v>12587.857142857143</v>
      </c>
      <c r="L2794" s="606">
        <v>0.9</v>
      </c>
      <c r="M2794">
        <v>3.8000000000000003</v>
      </c>
      <c r="N2794" s="605">
        <v>28</v>
      </c>
      <c r="O2794">
        <v>4</v>
      </c>
      <c r="P2794" t="s">
        <v>515</v>
      </c>
      <c r="Q2794" s="97" t="str">
        <f t="shared" si="361"/>
        <v/>
      </c>
      <c r="R2794" t="str">
        <f t="shared" si="364"/>
        <v/>
      </c>
    </row>
    <row r="2795" spans="3:18">
      <c r="C2795" t="str">
        <f t="shared" si="365"/>
        <v>NL</v>
      </c>
      <c r="D2795" s="36">
        <v>88</v>
      </c>
      <c r="E2795">
        <v>80</v>
      </c>
      <c r="F2795" s="366">
        <f t="shared" si="360"/>
        <v>1736</v>
      </c>
      <c r="G2795" s="97">
        <v>3781</v>
      </c>
      <c r="H2795" s="367">
        <f t="shared" si="362"/>
        <v>5517</v>
      </c>
      <c r="I2795" s="368">
        <f t="shared" si="363"/>
        <v>0</v>
      </c>
      <c r="J2795">
        <v>14707</v>
      </c>
      <c r="K2795" s="367">
        <f t="shared" si="366"/>
        <v>10505</v>
      </c>
      <c r="L2795" s="606">
        <v>0.59</v>
      </c>
      <c r="M2795">
        <v>4.6999999999999993</v>
      </c>
      <c r="N2795" s="605">
        <v>26</v>
      </c>
      <c r="O2795">
        <v>5</v>
      </c>
      <c r="P2795" t="s">
        <v>515</v>
      </c>
      <c r="Q2795" s="97" t="str">
        <f t="shared" si="361"/>
        <v/>
      </c>
      <c r="R2795" t="str">
        <f t="shared" si="364"/>
        <v/>
      </c>
    </row>
    <row r="2796" spans="3:18">
      <c r="C2796" t="str">
        <f t="shared" si="365"/>
        <v/>
      </c>
      <c r="D2796" s="36">
        <v>89</v>
      </c>
      <c r="E2796">
        <v>80</v>
      </c>
      <c r="F2796" s="366">
        <f t="shared" si="360"/>
        <v>1736</v>
      </c>
      <c r="G2796" s="97">
        <v>4379</v>
      </c>
      <c r="H2796" s="367">
        <f t="shared" si="362"/>
        <v>6115</v>
      </c>
      <c r="I2796" s="368">
        <f t="shared" si="363"/>
        <v>0</v>
      </c>
      <c r="J2796">
        <v>17031</v>
      </c>
      <c r="K2796" s="367">
        <f t="shared" si="366"/>
        <v>12165</v>
      </c>
      <c r="L2796" s="606">
        <v>0.42</v>
      </c>
      <c r="M2796">
        <v>5.5</v>
      </c>
      <c r="N2796" s="605">
        <v>24</v>
      </c>
      <c r="O2796">
        <v>6</v>
      </c>
      <c r="P2796" t="s">
        <v>515</v>
      </c>
      <c r="Q2796" s="97">
        <f t="shared" si="361"/>
        <v>89</v>
      </c>
      <c r="R2796" t="str">
        <f t="shared" si="364"/>
        <v/>
      </c>
    </row>
    <row r="2797" spans="3:18">
      <c r="C2797" t="str">
        <f t="shared" si="365"/>
        <v/>
      </c>
      <c r="D2797" s="36">
        <v>90</v>
      </c>
      <c r="E2797">
        <v>85</v>
      </c>
      <c r="F2797" s="366">
        <f t="shared" si="360"/>
        <v>1844.5</v>
      </c>
      <c r="G2797" s="97">
        <v>4754</v>
      </c>
      <c r="H2797" s="367">
        <f t="shared" si="362"/>
        <v>6598.5</v>
      </c>
      <c r="I2797" s="368">
        <f t="shared" si="363"/>
        <v>0</v>
      </c>
      <c r="J2797">
        <v>18489</v>
      </c>
      <c r="K2797" s="367">
        <f t="shared" si="366"/>
        <v>13206.428571428572</v>
      </c>
      <c r="L2797" s="606">
        <v>1.02</v>
      </c>
      <c r="M2797">
        <v>3.8000000000000003</v>
      </c>
      <c r="N2797" s="605">
        <v>29</v>
      </c>
      <c r="O2797">
        <v>4</v>
      </c>
      <c r="P2797" t="s">
        <v>515</v>
      </c>
      <c r="Q2797" s="97" t="str">
        <f t="shared" si="361"/>
        <v/>
      </c>
      <c r="R2797" t="str">
        <f t="shared" si="364"/>
        <v/>
      </c>
    </row>
    <row r="2798" spans="3:18">
      <c r="C2798" t="str">
        <f t="shared" si="365"/>
        <v>NL</v>
      </c>
      <c r="D2798" s="36">
        <v>91</v>
      </c>
      <c r="E2798">
        <v>85</v>
      </c>
      <c r="F2798" s="366">
        <f t="shared" si="360"/>
        <v>1844.5</v>
      </c>
      <c r="G2798" s="97">
        <v>4007</v>
      </c>
      <c r="H2798" s="367">
        <f t="shared" si="362"/>
        <v>5851.5</v>
      </c>
      <c r="I2798" s="368">
        <f t="shared" si="363"/>
        <v>0</v>
      </c>
      <c r="J2798">
        <v>15583</v>
      </c>
      <c r="K2798" s="367">
        <f t="shared" si="366"/>
        <v>11130.714285714286</v>
      </c>
      <c r="L2798" s="606">
        <v>0.66</v>
      </c>
      <c r="M2798">
        <v>4.6999999999999993</v>
      </c>
      <c r="N2798" s="605">
        <v>27</v>
      </c>
      <c r="O2798">
        <v>5</v>
      </c>
      <c r="P2798" t="s">
        <v>515</v>
      </c>
      <c r="Q2798" s="97" t="str">
        <f t="shared" si="361"/>
        <v/>
      </c>
      <c r="R2798" t="str">
        <f t="shared" si="364"/>
        <v/>
      </c>
    </row>
    <row r="2799" spans="3:18">
      <c r="C2799" t="str">
        <f t="shared" si="365"/>
        <v/>
      </c>
      <c r="D2799" s="36">
        <v>92</v>
      </c>
      <c r="E2799">
        <v>85</v>
      </c>
      <c r="F2799" s="366">
        <f t="shared" si="360"/>
        <v>1844.5</v>
      </c>
      <c r="G2799" s="97">
        <v>4690</v>
      </c>
      <c r="H2799" s="367">
        <f t="shared" si="362"/>
        <v>6534.5</v>
      </c>
      <c r="I2799" s="368">
        <f t="shared" si="363"/>
        <v>0</v>
      </c>
      <c r="J2799">
        <v>18240</v>
      </c>
      <c r="K2799" s="367">
        <f t="shared" si="366"/>
        <v>13028.571428571429</v>
      </c>
      <c r="L2799" s="606">
        <v>0.47000000000000003</v>
      </c>
      <c r="M2799">
        <v>5.5</v>
      </c>
      <c r="N2799" s="605">
        <v>25</v>
      </c>
      <c r="O2799">
        <v>6</v>
      </c>
      <c r="P2799" t="s">
        <v>515</v>
      </c>
      <c r="Q2799" s="97">
        <f t="shared" si="361"/>
        <v>92</v>
      </c>
      <c r="R2799" t="str">
        <f t="shared" si="364"/>
        <v/>
      </c>
    </row>
    <row r="2800" spans="3:18">
      <c r="C2800" t="str">
        <f t="shared" si="365"/>
        <v>NL</v>
      </c>
      <c r="D2800" s="36">
        <v>93</v>
      </c>
      <c r="E2800">
        <v>90</v>
      </c>
      <c r="F2800" s="366">
        <f t="shared" si="360"/>
        <v>1953</v>
      </c>
      <c r="G2800" s="97">
        <v>4232</v>
      </c>
      <c r="H2800" s="367">
        <f t="shared" si="362"/>
        <v>6185</v>
      </c>
      <c r="I2800" s="368">
        <f t="shared" si="363"/>
        <v>0</v>
      </c>
      <c r="J2800">
        <v>16460</v>
      </c>
      <c r="K2800" s="367">
        <f t="shared" si="366"/>
        <v>11757.142857142857</v>
      </c>
      <c r="L2800" s="606">
        <v>0.74</v>
      </c>
      <c r="M2800">
        <v>4.6999999999999993</v>
      </c>
      <c r="N2800" s="605">
        <v>27</v>
      </c>
      <c r="O2800">
        <v>5</v>
      </c>
      <c r="P2800" t="s">
        <v>515</v>
      </c>
      <c r="Q2800" s="97" t="str">
        <f t="shared" si="361"/>
        <v/>
      </c>
      <c r="R2800" t="str">
        <f t="shared" si="364"/>
        <v/>
      </c>
    </row>
    <row r="2801" spans="2:18">
      <c r="C2801" t="str">
        <f t="shared" si="365"/>
        <v/>
      </c>
      <c r="D2801" s="36">
        <v>94</v>
      </c>
      <c r="E2801">
        <v>90</v>
      </c>
      <c r="F2801" s="366">
        <f t="shared" si="360"/>
        <v>1953</v>
      </c>
      <c r="G2801" s="97">
        <v>5001</v>
      </c>
      <c r="H2801" s="367">
        <f t="shared" si="362"/>
        <v>6954</v>
      </c>
      <c r="I2801" s="368">
        <f t="shared" si="363"/>
        <v>0</v>
      </c>
      <c r="J2801">
        <v>19450</v>
      </c>
      <c r="K2801" s="367">
        <f t="shared" si="366"/>
        <v>13892.857142857143</v>
      </c>
      <c r="L2801" s="606">
        <v>0.52</v>
      </c>
      <c r="M2801">
        <v>5.5</v>
      </c>
      <c r="N2801" s="605">
        <v>26</v>
      </c>
      <c r="O2801">
        <v>6</v>
      </c>
      <c r="P2801" t="s">
        <v>515</v>
      </c>
      <c r="Q2801" s="97">
        <f t="shared" si="361"/>
        <v>94</v>
      </c>
      <c r="R2801" t="str">
        <f t="shared" si="364"/>
        <v/>
      </c>
    </row>
    <row r="2802" spans="2:18">
      <c r="C2802" t="str">
        <f t="shared" si="365"/>
        <v>NL</v>
      </c>
      <c r="D2802" s="36">
        <v>95</v>
      </c>
      <c r="E2802">
        <v>95</v>
      </c>
      <c r="F2802" s="366">
        <f t="shared" si="360"/>
        <v>2061.5</v>
      </c>
      <c r="G2802" s="97">
        <v>4458</v>
      </c>
      <c r="H2802" s="367">
        <f t="shared" si="362"/>
        <v>6519.5</v>
      </c>
      <c r="I2802" s="368">
        <f t="shared" si="363"/>
        <v>0</v>
      </c>
      <c r="J2802">
        <v>17337</v>
      </c>
      <c r="K2802" s="367">
        <f t="shared" si="366"/>
        <v>12383.571428571429</v>
      </c>
      <c r="L2802" s="606">
        <v>0.82000000000000006</v>
      </c>
      <c r="M2802">
        <v>4.6999999999999993</v>
      </c>
      <c r="N2802" s="605">
        <v>28</v>
      </c>
      <c r="O2802">
        <v>5</v>
      </c>
      <c r="P2802" t="s">
        <v>515</v>
      </c>
      <c r="Q2802" s="97" t="str">
        <f t="shared" si="361"/>
        <v/>
      </c>
      <c r="R2802" t="str">
        <f t="shared" si="364"/>
        <v/>
      </c>
    </row>
    <row r="2803" spans="2:18">
      <c r="C2803" t="str">
        <f t="shared" si="365"/>
        <v/>
      </c>
      <c r="D2803" s="36">
        <v>96</v>
      </c>
      <c r="E2803">
        <v>95</v>
      </c>
      <c r="F2803" s="366">
        <f t="shared" si="360"/>
        <v>2061.5</v>
      </c>
      <c r="G2803" s="97">
        <v>5312</v>
      </c>
      <c r="H2803" s="367">
        <f t="shared" si="362"/>
        <v>7373.5</v>
      </c>
      <c r="I2803" s="368">
        <f t="shared" si="363"/>
        <v>0</v>
      </c>
      <c r="J2803">
        <v>20660</v>
      </c>
      <c r="K2803" s="367">
        <f t="shared" si="366"/>
        <v>14757.142857142857</v>
      </c>
      <c r="L2803" s="606">
        <v>0.57999999999999996</v>
      </c>
      <c r="M2803">
        <v>5.5</v>
      </c>
      <c r="N2803" s="605">
        <v>26</v>
      </c>
      <c r="O2803">
        <v>6</v>
      </c>
      <c r="P2803" t="s">
        <v>515</v>
      </c>
      <c r="Q2803" s="97">
        <f t="shared" si="361"/>
        <v>96</v>
      </c>
      <c r="R2803" t="str">
        <f t="shared" si="364"/>
        <v/>
      </c>
    </row>
    <row r="2804" spans="2:18">
      <c r="C2804" t="str">
        <f t="shared" si="365"/>
        <v>NL</v>
      </c>
      <c r="D2804" s="36">
        <v>97</v>
      </c>
      <c r="E2804">
        <v>100</v>
      </c>
      <c r="F2804" s="366">
        <f t="shared" ref="F2804:F2867" si="367">1.085*($A$2-$B$2)*E2804*$T$7</f>
        <v>2170</v>
      </c>
      <c r="G2804" s="97">
        <v>4612</v>
      </c>
      <c r="H2804" s="367">
        <f t="shared" si="362"/>
        <v>6782</v>
      </c>
      <c r="I2804" s="368">
        <f t="shared" si="363"/>
        <v>0</v>
      </c>
      <c r="J2804">
        <v>17937</v>
      </c>
      <c r="K2804" s="367">
        <f t="shared" si="366"/>
        <v>12812.142857142857</v>
      </c>
      <c r="L2804" s="606">
        <v>0.91</v>
      </c>
      <c r="M2804">
        <v>4.6999999999999993</v>
      </c>
      <c r="N2804" s="605">
        <v>29</v>
      </c>
      <c r="O2804">
        <v>5</v>
      </c>
      <c r="P2804" t="s">
        <v>515</v>
      </c>
      <c r="Q2804" s="97" t="str">
        <f t="shared" si="361"/>
        <v/>
      </c>
      <c r="R2804" t="str">
        <f t="shared" si="364"/>
        <v/>
      </c>
    </row>
    <row r="2805" spans="2:18">
      <c r="C2805" t="str">
        <f t="shared" si="365"/>
        <v/>
      </c>
      <c r="D2805" s="36">
        <v>98</v>
      </c>
      <c r="E2805">
        <v>100</v>
      </c>
      <c r="F2805" s="366">
        <f t="shared" si="367"/>
        <v>2170</v>
      </c>
      <c r="G2805" s="97">
        <v>5579</v>
      </c>
      <c r="H2805" s="367">
        <f t="shared" si="362"/>
        <v>7749</v>
      </c>
      <c r="I2805" s="368">
        <f t="shared" si="363"/>
        <v>0</v>
      </c>
      <c r="J2805">
        <v>21697</v>
      </c>
      <c r="K2805" s="367">
        <f t="shared" si="366"/>
        <v>15497.857142857143</v>
      </c>
      <c r="L2805" s="606">
        <v>0.65</v>
      </c>
      <c r="M2805">
        <v>5.5</v>
      </c>
      <c r="N2805" s="605">
        <v>27</v>
      </c>
      <c r="O2805">
        <v>6</v>
      </c>
      <c r="P2805" t="s">
        <v>515</v>
      </c>
      <c r="Q2805" s="97">
        <f t="shared" si="361"/>
        <v>98</v>
      </c>
      <c r="R2805" t="str">
        <f t="shared" si="364"/>
        <v/>
      </c>
    </row>
    <row r="2806" spans="2:18">
      <c r="C2806" t="str">
        <f t="shared" si="365"/>
        <v>NL</v>
      </c>
      <c r="D2806" s="36">
        <v>99</v>
      </c>
      <c r="E2806">
        <v>105</v>
      </c>
      <c r="F2806" s="366">
        <f t="shared" si="367"/>
        <v>2278.5</v>
      </c>
      <c r="G2806" s="97">
        <v>4758</v>
      </c>
      <c r="H2806" s="367">
        <f t="shared" si="362"/>
        <v>7036.5</v>
      </c>
      <c r="I2806" s="368">
        <f t="shared" si="363"/>
        <v>0</v>
      </c>
      <c r="J2806">
        <v>18505</v>
      </c>
      <c r="K2806" s="367">
        <f t="shared" si="366"/>
        <v>13217.857142857143</v>
      </c>
      <c r="L2806" s="606">
        <v>1.01</v>
      </c>
      <c r="M2806">
        <v>4.6999999999999993</v>
      </c>
      <c r="N2806" s="605">
        <v>29</v>
      </c>
      <c r="O2806">
        <v>5</v>
      </c>
      <c r="P2806" t="s">
        <v>515</v>
      </c>
      <c r="Q2806" s="97" t="str">
        <f t="shared" si="361"/>
        <v/>
      </c>
      <c r="R2806" t="str">
        <f t="shared" si="364"/>
        <v/>
      </c>
    </row>
    <row r="2807" spans="2:18">
      <c r="C2807" t="str">
        <f t="shared" si="365"/>
        <v/>
      </c>
      <c r="D2807" s="36">
        <v>100</v>
      </c>
      <c r="E2807">
        <v>105</v>
      </c>
      <c r="F2807" s="366">
        <f t="shared" si="367"/>
        <v>2278.5</v>
      </c>
      <c r="G2807" s="97">
        <v>5840</v>
      </c>
      <c r="H2807" s="367">
        <f t="shared" si="362"/>
        <v>8118.5</v>
      </c>
      <c r="I2807" s="368">
        <f t="shared" si="363"/>
        <v>0</v>
      </c>
      <c r="J2807">
        <v>22714</v>
      </c>
      <c r="K2807" s="367">
        <f t="shared" si="366"/>
        <v>16224.285714285714</v>
      </c>
      <c r="L2807" s="606">
        <v>0.71</v>
      </c>
      <c r="M2807">
        <v>5.5</v>
      </c>
      <c r="N2807" s="605">
        <v>28</v>
      </c>
      <c r="O2807">
        <v>6</v>
      </c>
      <c r="P2807" t="s">
        <v>515</v>
      </c>
      <c r="Q2807" s="97">
        <f t="shared" si="361"/>
        <v>100</v>
      </c>
      <c r="R2807" t="str">
        <f t="shared" si="364"/>
        <v/>
      </c>
    </row>
    <row r="2808" spans="2:18">
      <c r="C2808" t="str">
        <f t="shared" si="365"/>
        <v>NL</v>
      </c>
      <c r="D2808" s="36">
        <v>101</v>
      </c>
      <c r="E2808">
        <v>110</v>
      </c>
      <c r="F2808" s="366">
        <f t="shared" si="367"/>
        <v>2387</v>
      </c>
      <c r="G2808" s="97">
        <v>4904</v>
      </c>
      <c r="H2808" s="367">
        <f t="shared" si="362"/>
        <v>7291</v>
      </c>
      <c r="I2808" s="368">
        <f t="shared" si="363"/>
        <v>0</v>
      </c>
      <c r="J2808">
        <v>19072</v>
      </c>
      <c r="K2808" s="367">
        <f t="shared" si="366"/>
        <v>13622.857142857143</v>
      </c>
      <c r="L2808" s="606">
        <v>1.1000000000000001</v>
      </c>
      <c r="M2808">
        <v>4.6999999999999993</v>
      </c>
      <c r="N2808" s="605">
        <v>30</v>
      </c>
      <c r="O2808">
        <v>5</v>
      </c>
      <c r="P2808" t="s">
        <v>515</v>
      </c>
      <c r="Q2808" s="97" t="str">
        <f t="shared" si="361"/>
        <v/>
      </c>
      <c r="R2808" t="str">
        <f t="shared" si="364"/>
        <v/>
      </c>
    </row>
    <row r="2809" spans="2:18">
      <c r="C2809" t="str">
        <f t="shared" si="365"/>
        <v/>
      </c>
      <c r="D2809" s="36">
        <v>102</v>
      </c>
      <c r="E2809">
        <v>110</v>
      </c>
      <c r="F2809" s="366">
        <f t="shared" si="367"/>
        <v>2387</v>
      </c>
      <c r="G2809" s="97">
        <v>6102</v>
      </c>
      <c r="H2809" s="367">
        <f t="shared" si="362"/>
        <v>8489</v>
      </c>
      <c r="I2809" s="368">
        <f t="shared" si="363"/>
        <v>0</v>
      </c>
      <c r="J2809">
        <v>23731</v>
      </c>
      <c r="K2809" s="367">
        <f t="shared" si="366"/>
        <v>16950.714285714286</v>
      </c>
      <c r="L2809" s="606">
        <v>0.78</v>
      </c>
      <c r="M2809">
        <v>5.5</v>
      </c>
      <c r="N2809" s="605">
        <v>28</v>
      </c>
      <c r="O2809">
        <v>6</v>
      </c>
      <c r="P2809" t="s">
        <v>515</v>
      </c>
      <c r="Q2809" s="97" t="str">
        <f t="shared" si="361"/>
        <v/>
      </c>
      <c r="R2809" t="str">
        <f t="shared" si="364"/>
        <v/>
      </c>
    </row>
    <row r="2810" spans="2:18">
      <c r="C2810" t="str">
        <f t="shared" si="365"/>
        <v/>
      </c>
      <c r="D2810" s="36">
        <v>103</v>
      </c>
      <c r="E2810">
        <v>115</v>
      </c>
      <c r="F2810" s="366">
        <f t="shared" si="367"/>
        <v>2495.5</v>
      </c>
      <c r="G2810" s="97">
        <v>6364</v>
      </c>
      <c r="H2810" s="367">
        <f t="shared" si="362"/>
        <v>8859.5</v>
      </c>
      <c r="I2810" s="368">
        <f t="shared" si="363"/>
        <v>0</v>
      </c>
      <c r="J2810">
        <v>24749</v>
      </c>
      <c r="K2810" s="367">
        <f t="shared" si="366"/>
        <v>17677.857142857145</v>
      </c>
      <c r="L2810" s="606">
        <v>0.83</v>
      </c>
      <c r="M2810">
        <v>5.5</v>
      </c>
      <c r="N2810" s="605">
        <v>29</v>
      </c>
      <c r="O2810">
        <v>6</v>
      </c>
      <c r="P2810" t="s">
        <v>515</v>
      </c>
      <c r="Q2810" s="97" t="str">
        <f t="shared" si="361"/>
        <v/>
      </c>
      <c r="R2810" t="str">
        <f t="shared" si="364"/>
        <v/>
      </c>
    </row>
    <row r="2811" spans="2:18">
      <c r="C2811" t="str">
        <f t="shared" si="365"/>
        <v/>
      </c>
      <c r="D2811" s="36">
        <v>104</v>
      </c>
      <c r="E2811">
        <v>120</v>
      </c>
      <c r="F2811" s="366">
        <f t="shared" si="367"/>
        <v>2604</v>
      </c>
      <c r="G2811" s="97">
        <v>6563</v>
      </c>
      <c r="H2811" s="367">
        <f t="shared" si="362"/>
        <v>9167</v>
      </c>
      <c r="I2811" s="368">
        <f t="shared" si="363"/>
        <v>0</v>
      </c>
      <c r="J2811">
        <v>25524</v>
      </c>
      <c r="K2811" s="367">
        <f t="shared" si="366"/>
        <v>18231.428571428572</v>
      </c>
      <c r="L2811" s="606">
        <v>0.9</v>
      </c>
      <c r="M2811">
        <v>5.5</v>
      </c>
      <c r="N2811" s="605">
        <v>29</v>
      </c>
      <c r="O2811">
        <v>6</v>
      </c>
      <c r="P2811" t="s">
        <v>515</v>
      </c>
      <c r="Q2811" s="97" t="str">
        <f t="shared" si="361"/>
        <v/>
      </c>
      <c r="R2811" t="str">
        <f t="shared" si="364"/>
        <v/>
      </c>
    </row>
    <row r="2812" spans="2:18">
      <c r="C2812" t="str">
        <f t="shared" si="365"/>
        <v/>
      </c>
      <c r="D2812" s="36">
        <v>105</v>
      </c>
      <c r="E2812">
        <v>125</v>
      </c>
      <c r="F2812" s="366">
        <f t="shared" si="367"/>
        <v>2712.5</v>
      </c>
      <c r="G2812" s="97">
        <v>6730</v>
      </c>
      <c r="H2812" s="367">
        <f t="shared" si="362"/>
        <v>9442.5</v>
      </c>
      <c r="I2812" s="368">
        <f t="shared" si="363"/>
        <v>0</v>
      </c>
      <c r="J2812">
        <v>26173</v>
      </c>
      <c r="K2812" s="367">
        <f t="shared" si="366"/>
        <v>18695</v>
      </c>
      <c r="L2812" s="606">
        <v>0.98</v>
      </c>
      <c r="M2812">
        <v>5.5</v>
      </c>
      <c r="N2812" s="605">
        <v>30</v>
      </c>
      <c r="O2812">
        <v>6</v>
      </c>
      <c r="P2812" t="s">
        <v>515</v>
      </c>
      <c r="Q2812" s="97" t="str">
        <f t="shared" si="361"/>
        <v/>
      </c>
      <c r="R2812" t="str">
        <f t="shared" si="364"/>
        <v/>
      </c>
    </row>
    <row r="2813" spans="2:18">
      <c r="C2813" t="str">
        <f t="shared" si="365"/>
        <v/>
      </c>
      <c r="D2813" s="36">
        <v>106</v>
      </c>
      <c r="E2813">
        <v>130</v>
      </c>
      <c r="F2813" s="366">
        <f t="shared" si="367"/>
        <v>2821</v>
      </c>
      <c r="G2813" s="97">
        <v>6896</v>
      </c>
      <c r="H2813" s="367">
        <f t="shared" si="362"/>
        <v>9717</v>
      </c>
      <c r="I2813" s="368">
        <f t="shared" si="363"/>
        <v>0</v>
      </c>
      <c r="J2813">
        <v>26821</v>
      </c>
      <c r="K2813" s="367">
        <f t="shared" si="366"/>
        <v>19157.857142857145</v>
      </c>
      <c r="L2813" s="606">
        <v>1.06</v>
      </c>
      <c r="M2813">
        <v>5.5</v>
      </c>
      <c r="N2813" s="605">
        <v>30</v>
      </c>
      <c r="O2813">
        <v>6</v>
      </c>
      <c r="P2813" t="s">
        <v>515</v>
      </c>
      <c r="Q2813" s="97" t="str">
        <f t="shared" si="361"/>
        <v/>
      </c>
      <c r="R2813" t="str">
        <f t="shared" si="364"/>
        <v/>
      </c>
    </row>
    <row r="2814" spans="2:18">
      <c r="B2814" s="582"/>
    </row>
    <row r="2815" spans="2:18">
      <c r="B2815" s="582"/>
      <c r="C2815" t="str">
        <f t="shared" si="365"/>
        <v>NL</v>
      </c>
      <c r="D2815" s="36">
        <v>1</v>
      </c>
      <c r="E2815">
        <v>5</v>
      </c>
      <c r="F2815" s="366">
        <f t="shared" si="367"/>
        <v>108.5</v>
      </c>
      <c r="G2815" s="97">
        <v>396</v>
      </c>
      <c r="H2815" s="367">
        <f t="shared" ref="H2815" si="368">(G2815*$U$7)+F2815</f>
        <v>504.5</v>
      </c>
      <c r="I2815" s="368">
        <f t="shared" ref="I2815" si="369">1.085*($C$2-$D$2)*E2815*$T$7</f>
        <v>0</v>
      </c>
      <c r="J2815">
        <v>1233</v>
      </c>
      <c r="K2815" s="367">
        <f t="shared" si="366"/>
        <v>880.71428571428578</v>
      </c>
      <c r="L2815">
        <v>0.22</v>
      </c>
      <c r="M2815">
        <v>2.4</v>
      </c>
      <c r="N2815">
        <v>19</v>
      </c>
      <c r="O2815">
        <v>3</v>
      </c>
      <c r="P2815" t="s">
        <v>512</v>
      </c>
      <c r="Q2815" s="97" t="str">
        <f t="shared" si="361"/>
        <v/>
      </c>
      <c r="R2815" t="str">
        <f>IF(Q2815="","",IF(AND(O2815&lt;$X$21,E2815&gt;$U$21,E2815&lt;$Q$4+$U$21+1),D2815,""))</f>
        <v/>
      </c>
    </row>
    <row r="2816" spans="2:18">
      <c r="C2816" t="str">
        <f t="shared" si="365"/>
        <v>NL</v>
      </c>
      <c r="D2816" s="36">
        <v>2</v>
      </c>
      <c r="E2816">
        <v>10</v>
      </c>
      <c r="F2816" s="366">
        <f t="shared" si="367"/>
        <v>217</v>
      </c>
      <c r="G2816" s="97">
        <v>808</v>
      </c>
      <c r="H2816" s="367">
        <f t="shared" ref="H2816:H2879" si="370">(G2816*$U$7)+F2816</f>
        <v>1025</v>
      </c>
      <c r="I2816" s="368">
        <f t="shared" ref="I2816:I2879" si="371">1.085*($C$2-$D$2)*E2816*$T$7</f>
        <v>0</v>
      </c>
      <c r="J2816">
        <v>2515</v>
      </c>
      <c r="K2816" s="367">
        <f t="shared" si="366"/>
        <v>1796.4285714285716</v>
      </c>
      <c r="L2816">
        <v>0.88</v>
      </c>
      <c r="M2816">
        <v>2.4</v>
      </c>
      <c r="N2816">
        <v>28</v>
      </c>
      <c r="O2816">
        <v>3</v>
      </c>
      <c r="P2816" t="s">
        <v>512</v>
      </c>
      <c r="Q2816" s="97" t="str">
        <f t="shared" ref="Q2816:Q2879" si="372">IF(AND(H2816+1&gt;$E$4,L2816&lt;$L$4+0.01,M2816&lt;$M$4+0.01,K2816+1&gt;$F$4,E2816+1&gt;$J$4,N2816&lt;$K$4+1,O2816&lt;$P$4+1,C2816=""),D2816,"")</f>
        <v/>
      </c>
      <c r="R2816" t="str">
        <f t="shared" ref="R2816:R2879" si="373">IF(Q2816="","",IF(AND(O2816&lt;$X$21,E2816&gt;$U$21,E2816&lt;$Q$4+$U$21+1),D2816,""))</f>
        <v/>
      </c>
    </row>
    <row r="2817" spans="3:18">
      <c r="C2817" t="str">
        <f t="shared" si="365"/>
        <v>NL</v>
      </c>
      <c r="D2817" s="36">
        <v>3</v>
      </c>
      <c r="E2817">
        <v>10</v>
      </c>
      <c r="F2817" s="366">
        <f t="shared" si="367"/>
        <v>217</v>
      </c>
      <c r="G2817" s="97">
        <v>795</v>
      </c>
      <c r="H2817" s="367">
        <f t="shared" si="370"/>
        <v>1012</v>
      </c>
      <c r="I2817" s="368">
        <f t="shared" si="371"/>
        <v>0</v>
      </c>
      <c r="J2817">
        <v>2476</v>
      </c>
      <c r="K2817" s="367">
        <f t="shared" si="366"/>
        <v>1768.5714285714287</v>
      </c>
      <c r="L2817">
        <v>0.33</v>
      </c>
      <c r="M2817">
        <v>2.4</v>
      </c>
      <c r="N2817">
        <v>20</v>
      </c>
      <c r="O2817">
        <v>3</v>
      </c>
      <c r="P2817" t="s">
        <v>513</v>
      </c>
      <c r="Q2817" s="97" t="str">
        <f t="shared" si="372"/>
        <v/>
      </c>
      <c r="R2817" t="str">
        <f t="shared" si="373"/>
        <v/>
      </c>
    </row>
    <row r="2818" spans="3:18">
      <c r="C2818" t="str">
        <f t="shared" si="365"/>
        <v/>
      </c>
      <c r="D2818" s="36">
        <v>4</v>
      </c>
      <c r="E2818">
        <v>10</v>
      </c>
      <c r="F2818" s="366">
        <f t="shared" si="367"/>
        <v>217</v>
      </c>
      <c r="G2818" s="97">
        <v>797</v>
      </c>
      <c r="H2818" s="367">
        <f t="shared" si="370"/>
        <v>1014</v>
      </c>
      <c r="I2818" s="368">
        <f t="shared" si="371"/>
        <v>0</v>
      </c>
      <c r="J2818">
        <v>2481</v>
      </c>
      <c r="K2818" s="367">
        <f t="shared" si="366"/>
        <v>1772.1428571428571</v>
      </c>
      <c r="L2818">
        <v>0.45</v>
      </c>
      <c r="M2818">
        <v>3.1</v>
      </c>
      <c r="N2818">
        <v>23</v>
      </c>
      <c r="O2818">
        <v>4</v>
      </c>
      <c r="P2818" t="s">
        <v>512</v>
      </c>
      <c r="Q2818" s="97" t="str">
        <f t="shared" si="372"/>
        <v/>
      </c>
      <c r="R2818" t="str">
        <f t="shared" si="373"/>
        <v/>
      </c>
    </row>
    <row r="2819" spans="3:18">
      <c r="C2819" t="str">
        <f t="shared" si="365"/>
        <v/>
      </c>
      <c r="D2819" s="36">
        <v>5</v>
      </c>
      <c r="E2819">
        <v>10</v>
      </c>
      <c r="F2819" s="366">
        <f t="shared" si="367"/>
        <v>217</v>
      </c>
      <c r="G2819" s="97">
        <v>777</v>
      </c>
      <c r="H2819" s="367">
        <f t="shared" si="370"/>
        <v>994</v>
      </c>
      <c r="I2819" s="368">
        <f t="shared" si="371"/>
        <v>0</v>
      </c>
      <c r="J2819">
        <v>2417</v>
      </c>
      <c r="K2819" s="367">
        <f t="shared" si="366"/>
        <v>1726.4285714285716</v>
      </c>
      <c r="L2819">
        <v>0.17</v>
      </c>
      <c r="M2819">
        <v>3.1</v>
      </c>
      <c r="N2819">
        <v>15</v>
      </c>
      <c r="O2819">
        <v>4</v>
      </c>
      <c r="P2819" t="s">
        <v>513</v>
      </c>
      <c r="Q2819" s="97" t="str">
        <f t="shared" si="372"/>
        <v/>
      </c>
      <c r="R2819" t="str">
        <f t="shared" si="373"/>
        <v/>
      </c>
    </row>
    <row r="2820" spans="3:18">
      <c r="C2820" t="str">
        <f t="shared" si="365"/>
        <v>NL</v>
      </c>
      <c r="D2820" s="36">
        <v>6</v>
      </c>
      <c r="E2820">
        <v>10</v>
      </c>
      <c r="F2820" s="366">
        <f t="shared" si="367"/>
        <v>217</v>
      </c>
      <c r="G2820" s="97">
        <v>785</v>
      </c>
      <c r="H2820" s="367">
        <f t="shared" si="370"/>
        <v>1002</v>
      </c>
      <c r="I2820" s="368">
        <f t="shared" si="371"/>
        <v>0</v>
      </c>
      <c r="J2820">
        <v>2444</v>
      </c>
      <c r="K2820" s="367">
        <f t="shared" si="366"/>
        <v>1745.7142857142858</v>
      </c>
      <c r="L2820">
        <v>0.27</v>
      </c>
      <c r="M2820">
        <v>3.8000000000000003</v>
      </c>
      <c r="N2820">
        <v>19</v>
      </c>
      <c r="O2820">
        <v>5</v>
      </c>
      <c r="P2820" t="s">
        <v>512</v>
      </c>
      <c r="Q2820" s="97" t="str">
        <f t="shared" si="372"/>
        <v/>
      </c>
      <c r="R2820" t="str">
        <f t="shared" si="373"/>
        <v/>
      </c>
    </row>
    <row r="2821" spans="3:18">
      <c r="C2821" t="str">
        <f t="shared" si="365"/>
        <v/>
      </c>
      <c r="D2821" s="36">
        <v>7</v>
      </c>
      <c r="E2821">
        <v>10</v>
      </c>
      <c r="F2821" s="366">
        <f t="shared" si="367"/>
        <v>217</v>
      </c>
      <c r="G2821" s="97">
        <v>776</v>
      </c>
      <c r="H2821" s="367">
        <f t="shared" si="370"/>
        <v>993</v>
      </c>
      <c r="I2821" s="368">
        <f t="shared" si="371"/>
        <v>0</v>
      </c>
      <c r="J2821">
        <v>2416</v>
      </c>
      <c r="K2821" s="367">
        <f t="shared" si="366"/>
        <v>1725.7142857142858</v>
      </c>
      <c r="L2821">
        <v>0.19</v>
      </c>
      <c r="M2821">
        <v>4.3999999999999995</v>
      </c>
      <c r="N2821">
        <v>17</v>
      </c>
      <c r="O2821">
        <v>6</v>
      </c>
      <c r="P2821" t="s">
        <v>512</v>
      </c>
      <c r="Q2821" s="97" t="str">
        <f t="shared" si="372"/>
        <v/>
      </c>
      <c r="R2821" t="str">
        <f t="shared" si="373"/>
        <v/>
      </c>
    </row>
    <row r="2822" spans="3:18">
      <c r="C2822" t="str">
        <f t="shared" si="365"/>
        <v>NL</v>
      </c>
      <c r="D2822" s="36">
        <v>8</v>
      </c>
      <c r="E2822">
        <v>15</v>
      </c>
      <c r="F2822" s="366">
        <f t="shared" si="367"/>
        <v>325.5</v>
      </c>
      <c r="G2822" s="97">
        <v>1155</v>
      </c>
      <c r="H2822" s="367">
        <f t="shared" si="370"/>
        <v>1480.5</v>
      </c>
      <c r="I2822" s="368">
        <f t="shared" si="371"/>
        <v>0</v>
      </c>
      <c r="J2822">
        <v>3594</v>
      </c>
      <c r="K2822" s="367">
        <f t="shared" si="366"/>
        <v>2567.1428571428573</v>
      </c>
      <c r="L2822">
        <v>0.21000000000000002</v>
      </c>
      <c r="M2822">
        <v>2.4</v>
      </c>
      <c r="N2822">
        <v>18</v>
      </c>
      <c r="O2822">
        <v>3</v>
      </c>
      <c r="P2822" t="s">
        <v>514</v>
      </c>
      <c r="Q2822" s="97" t="str">
        <f t="shared" si="372"/>
        <v/>
      </c>
      <c r="R2822" t="str">
        <f t="shared" si="373"/>
        <v/>
      </c>
    </row>
    <row r="2823" spans="3:18">
      <c r="C2823" t="str">
        <f t="shared" si="365"/>
        <v>NL</v>
      </c>
      <c r="D2823" s="36">
        <v>9</v>
      </c>
      <c r="E2823">
        <v>15</v>
      </c>
      <c r="F2823" s="366">
        <f t="shared" si="367"/>
        <v>325.5</v>
      </c>
      <c r="G2823" s="97">
        <v>1153</v>
      </c>
      <c r="H2823" s="367">
        <f t="shared" si="370"/>
        <v>1478.5</v>
      </c>
      <c r="I2823" s="368">
        <f t="shared" si="371"/>
        <v>0</v>
      </c>
      <c r="J2823">
        <v>3589</v>
      </c>
      <c r="K2823" s="367">
        <f t="shared" si="366"/>
        <v>2563.5714285714284</v>
      </c>
      <c r="L2823">
        <v>0.73</v>
      </c>
      <c r="M2823">
        <v>2.4</v>
      </c>
      <c r="N2823">
        <v>25</v>
      </c>
      <c r="O2823">
        <v>3</v>
      </c>
      <c r="P2823" t="s">
        <v>513</v>
      </c>
      <c r="Q2823" s="97" t="str">
        <f t="shared" si="372"/>
        <v/>
      </c>
      <c r="R2823" t="str">
        <f t="shared" si="373"/>
        <v/>
      </c>
    </row>
    <row r="2824" spans="3:18">
      <c r="C2824" t="str">
        <f t="shared" si="365"/>
        <v/>
      </c>
      <c r="D2824" s="36">
        <v>10</v>
      </c>
      <c r="E2824">
        <v>15</v>
      </c>
      <c r="F2824" s="366">
        <f t="shared" si="367"/>
        <v>325.5</v>
      </c>
      <c r="G2824" s="97">
        <v>1186</v>
      </c>
      <c r="H2824" s="367">
        <f t="shared" si="370"/>
        <v>1511.5</v>
      </c>
      <c r="I2824" s="368">
        <f t="shared" si="371"/>
        <v>0</v>
      </c>
      <c r="J2824">
        <v>3690</v>
      </c>
      <c r="K2824" s="367">
        <f t="shared" si="366"/>
        <v>2635.7142857142858</v>
      </c>
      <c r="L2824">
        <v>1.01</v>
      </c>
      <c r="M2824">
        <v>3.1</v>
      </c>
      <c r="N2824">
        <v>28</v>
      </c>
      <c r="O2824">
        <v>4</v>
      </c>
      <c r="P2824" t="s">
        <v>512</v>
      </c>
      <c r="Q2824" s="97" t="str">
        <f t="shared" si="372"/>
        <v/>
      </c>
      <c r="R2824" t="str">
        <f t="shared" si="373"/>
        <v/>
      </c>
    </row>
    <row r="2825" spans="3:18">
      <c r="C2825" t="str">
        <f t="shared" si="365"/>
        <v/>
      </c>
      <c r="D2825" s="36">
        <v>11</v>
      </c>
      <c r="E2825">
        <v>15</v>
      </c>
      <c r="F2825" s="366">
        <f t="shared" si="367"/>
        <v>325.5</v>
      </c>
      <c r="G2825" s="97">
        <v>1181</v>
      </c>
      <c r="H2825" s="367">
        <f t="shared" si="370"/>
        <v>1506.5</v>
      </c>
      <c r="I2825" s="368">
        <f t="shared" si="371"/>
        <v>0</v>
      </c>
      <c r="J2825">
        <v>3674</v>
      </c>
      <c r="K2825" s="367">
        <f t="shared" si="366"/>
        <v>2624.2857142857142</v>
      </c>
      <c r="L2825">
        <v>0.38</v>
      </c>
      <c r="M2825">
        <v>3.1</v>
      </c>
      <c r="N2825">
        <v>20</v>
      </c>
      <c r="O2825">
        <v>4</v>
      </c>
      <c r="P2825" t="s">
        <v>513</v>
      </c>
      <c r="Q2825" s="97" t="str">
        <f t="shared" si="372"/>
        <v/>
      </c>
      <c r="R2825" t="str">
        <f t="shared" si="373"/>
        <v/>
      </c>
    </row>
    <row r="2826" spans="3:18">
      <c r="C2826" t="str">
        <f t="shared" si="365"/>
        <v>NL</v>
      </c>
      <c r="D2826" s="36">
        <v>12</v>
      </c>
      <c r="E2826">
        <v>15</v>
      </c>
      <c r="F2826" s="366">
        <f t="shared" si="367"/>
        <v>325.5</v>
      </c>
      <c r="G2826" s="97">
        <v>1192</v>
      </c>
      <c r="H2826" s="367">
        <f t="shared" si="370"/>
        <v>1517.5</v>
      </c>
      <c r="I2826" s="368">
        <f t="shared" si="371"/>
        <v>0</v>
      </c>
      <c r="J2826">
        <v>3708</v>
      </c>
      <c r="K2826" s="367">
        <f t="shared" si="366"/>
        <v>2648.5714285714284</v>
      </c>
      <c r="L2826">
        <v>0.61</v>
      </c>
      <c r="M2826">
        <v>3.8000000000000003</v>
      </c>
      <c r="N2826">
        <v>25</v>
      </c>
      <c r="O2826">
        <v>5</v>
      </c>
      <c r="P2826" t="s">
        <v>512</v>
      </c>
      <c r="Q2826" s="97" t="str">
        <f t="shared" si="372"/>
        <v/>
      </c>
      <c r="R2826" t="str">
        <f t="shared" si="373"/>
        <v/>
      </c>
    </row>
    <row r="2827" spans="3:18">
      <c r="C2827" t="str">
        <f t="shared" si="365"/>
        <v>NL</v>
      </c>
      <c r="D2827" s="36">
        <v>13</v>
      </c>
      <c r="E2827">
        <v>15</v>
      </c>
      <c r="F2827" s="366">
        <f t="shared" si="367"/>
        <v>325.5</v>
      </c>
      <c r="G2827" s="97">
        <v>1163</v>
      </c>
      <c r="H2827" s="367">
        <f t="shared" si="370"/>
        <v>1488.5</v>
      </c>
      <c r="I2827" s="368">
        <f t="shared" si="371"/>
        <v>0</v>
      </c>
      <c r="J2827">
        <v>3619</v>
      </c>
      <c r="K2827" s="367">
        <f t="shared" si="366"/>
        <v>2585</v>
      </c>
      <c r="L2827">
        <v>0.24000000000000002</v>
      </c>
      <c r="M2827">
        <v>3.8000000000000003</v>
      </c>
      <c r="N2827">
        <v>17</v>
      </c>
      <c r="O2827">
        <v>5</v>
      </c>
      <c r="P2827" t="s">
        <v>513</v>
      </c>
      <c r="Q2827" s="97" t="str">
        <f t="shared" si="372"/>
        <v/>
      </c>
      <c r="R2827" t="str">
        <f t="shared" si="373"/>
        <v/>
      </c>
    </row>
    <row r="2828" spans="3:18">
      <c r="C2828" t="str">
        <f t="shared" si="365"/>
        <v/>
      </c>
      <c r="D2828" s="36">
        <v>14</v>
      </c>
      <c r="E2828">
        <v>15</v>
      </c>
      <c r="F2828" s="366">
        <f t="shared" si="367"/>
        <v>325.5</v>
      </c>
      <c r="G2828" s="97">
        <v>1176</v>
      </c>
      <c r="H2828" s="367">
        <f t="shared" si="370"/>
        <v>1501.5</v>
      </c>
      <c r="I2828" s="368">
        <f t="shared" si="371"/>
        <v>0</v>
      </c>
      <c r="J2828">
        <v>3661</v>
      </c>
      <c r="K2828" s="367">
        <f t="shared" si="366"/>
        <v>2615</v>
      </c>
      <c r="L2828">
        <v>0.41000000000000003</v>
      </c>
      <c r="M2828">
        <v>4.3999999999999995</v>
      </c>
      <c r="N2828">
        <v>22</v>
      </c>
      <c r="O2828">
        <v>6</v>
      </c>
      <c r="P2828" t="s">
        <v>512</v>
      </c>
      <c r="Q2828" s="97" t="str">
        <f t="shared" si="372"/>
        <v/>
      </c>
      <c r="R2828" t="str">
        <f t="shared" si="373"/>
        <v/>
      </c>
    </row>
    <row r="2829" spans="3:18">
      <c r="C2829" t="str">
        <f t="shared" si="365"/>
        <v/>
      </c>
      <c r="D2829" s="36">
        <v>15</v>
      </c>
      <c r="E2829">
        <v>15</v>
      </c>
      <c r="F2829" s="366">
        <f t="shared" si="367"/>
        <v>325.5</v>
      </c>
      <c r="G2829" s="97">
        <v>1149</v>
      </c>
      <c r="H2829" s="367">
        <f t="shared" si="370"/>
        <v>1474.5</v>
      </c>
      <c r="I2829" s="368">
        <f t="shared" si="371"/>
        <v>0</v>
      </c>
      <c r="J2829">
        <v>3574</v>
      </c>
      <c r="K2829" s="367">
        <f t="shared" si="366"/>
        <v>2552.8571428571431</v>
      </c>
      <c r="L2829">
        <v>0.16</v>
      </c>
      <c r="M2829">
        <v>4.3999999999999995</v>
      </c>
      <c r="N2829">
        <v>15</v>
      </c>
      <c r="O2829">
        <v>6</v>
      </c>
      <c r="P2829" t="s">
        <v>513</v>
      </c>
      <c r="Q2829" s="97" t="str">
        <f t="shared" si="372"/>
        <v/>
      </c>
      <c r="R2829" t="str">
        <f t="shared" si="373"/>
        <v/>
      </c>
    </row>
    <row r="2830" spans="3:18">
      <c r="C2830" t="str">
        <f t="shared" si="365"/>
        <v>NL</v>
      </c>
      <c r="D2830" s="36">
        <v>16</v>
      </c>
      <c r="E2830">
        <v>20</v>
      </c>
      <c r="F2830" s="366">
        <f t="shared" si="367"/>
        <v>434</v>
      </c>
      <c r="G2830" s="97">
        <v>1492</v>
      </c>
      <c r="H2830" s="367">
        <f t="shared" si="370"/>
        <v>1926</v>
      </c>
      <c r="I2830" s="368">
        <f t="shared" si="371"/>
        <v>0</v>
      </c>
      <c r="J2830">
        <v>4642</v>
      </c>
      <c r="K2830" s="367">
        <f t="shared" si="366"/>
        <v>3315.7142857142858</v>
      </c>
      <c r="L2830">
        <v>0.36</v>
      </c>
      <c r="M2830">
        <v>2.4</v>
      </c>
      <c r="N2830">
        <v>22</v>
      </c>
      <c r="O2830">
        <v>3</v>
      </c>
      <c r="P2830" t="s">
        <v>514</v>
      </c>
      <c r="Q2830" s="97" t="str">
        <f t="shared" si="372"/>
        <v/>
      </c>
      <c r="R2830" t="str">
        <f t="shared" si="373"/>
        <v/>
      </c>
    </row>
    <row r="2831" spans="3:18">
      <c r="C2831" t="str">
        <f t="shared" si="365"/>
        <v/>
      </c>
      <c r="D2831" s="36">
        <v>17</v>
      </c>
      <c r="E2831">
        <v>20</v>
      </c>
      <c r="F2831" s="366">
        <f t="shared" si="367"/>
        <v>434</v>
      </c>
      <c r="G2831" s="97">
        <v>1527</v>
      </c>
      <c r="H2831" s="367">
        <f t="shared" si="370"/>
        <v>1961</v>
      </c>
      <c r="I2831" s="368">
        <f t="shared" si="371"/>
        <v>0</v>
      </c>
      <c r="J2831">
        <v>4751</v>
      </c>
      <c r="K2831" s="367">
        <f t="shared" si="366"/>
        <v>3393.5714285714284</v>
      </c>
      <c r="L2831">
        <v>0.19</v>
      </c>
      <c r="M2831">
        <v>3.1</v>
      </c>
      <c r="N2831">
        <v>17</v>
      </c>
      <c r="O2831">
        <v>4</v>
      </c>
      <c r="P2831" t="s">
        <v>514</v>
      </c>
      <c r="Q2831" s="97" t="str">
        <f t="shared" si="372"/>
        <v/>
      </c>
      <c r="R2831" t="str">
        <f t="shared" si="373"/>
        <v/>
      </c>
    </row>
    <row r="2832" spans="3:18">
      <c r="C2832" t="str">
        <f t="shared" si="365"/>
        <v/>
      </c>
      <c r="D2832" s="36">
        <v>18</v>
      </c>
      <c r="E2832">
        <v>20</v>
      </c>
      <c r="F2832" s="366">
        <f t="shared" si="367"/>
        <v>434</v>
      </c>
      <c r="G2832" s="97">
        <v>1521</v>
      </c>
      <c r="H2832" s="367">
        <f t="shared" si="370"/>
        <v>1955</v>
      </c>
      <c r="I2832" s="368">
        <f t="shared" si="371"/>
        <v>0</v>
      </c>
      <c r="J2832">
        <v>4734</v>
      </c>
      <c r="K2832" s="367">
        <f t="shared" si="366"/>
        <v>3381.4285714285716</v>
      </c>
      <c r="L2832">
        <v>0.68</v>
      </c>
      <c r="M2832">
        <v>3.1</v>
      </c>
      <c r="N2832">
        <v>24</v>
      </c>
      <c r="O2832">
        <v>4</v>
      </c>
      <c r="P2832" t="s">
        <v>513</v>
      </c>
      <c r="Q2832" s="97" t="str">
        <f t="shared" si="372"/>
        <v/>
      </c>
      <c r="R2832" t="str">
        <f t="shared" si="373"/>
        <v/>
      </c>
    </row>
    <row r="2833" spans="3:18">
      <c r="C2833" t="str">
        <f t="shared" si="365"/>
        <v>NL</v>
      </c>
      <c r="D2833" s="36">
        <v>19</v>
      </c>
      <c r="E2833">
        <v>20</v>
      </c>
      <c r="F2833" s="366">
        <f t="shared" si="367"/>
        <v>434</v>
      </c>
      <c r="G2833" s="97">
        <v>1556</v>
      </c>
      <c r="H2833" s="367">
        <f t="shared" si="370"/>
        <v>1990</v>
      </c>
      <c r="I2833" s="368">
        <f t="shared" si="371"/>
        <v>0</v>
      </c>
      <c r="J2833">
        <v>4841</v>
      </c>
      <c r="K2833" s="367">
        <f t="shared" si="366"/>
        <v>3457.8571428571431</v>
      </c>
      <c r="L2833">
        <v>1.08</v>
      </c>
      <c r="M2833">
        <v>3.8000000000000003</v>
      </c>
      <c r="N2833">
        <v>28</v>
      </c>
      <c r="O2833">
        <v>5</v>
      </c>
      <c r="P2833" t="s">
        <v>512</v>
      </c>
      <c r="Q2833" s="97" t="str">
        <f t="shared" si="372"/>
        <v/>
      </c>
      <c r="R2833" t="str">
        <f t="shared" si="373"/>
        <v/>
      </c>
    </row>
    <row r="2834" spans="3:18">
      <c r="C2834" t="str">
        <f t="shared" si="365"/>
        <v>NL</v>
      </c>
      <c r="D2834" s="36">
        <v>20</v>
      </c>
      <c r="E2834">
        <v>20</v>
      </c>
      <c r="F2834" s="366">
        <f t="shared" si="367"/>
        <v>434</v>
      </c>
      <c r="G2834" s="97">
        <v>1555</v>
      </c>
      <c r="H2834" s="367">
        <f t="shared" si="370"/>
        <v>1989</v>
      </c>
      <c r="I2834" s="368">
        <f t="shared" si="371"/>
        <v>0</v>
      </c>
      <c r="J2834">
        <v>4837</v>
      </c>
      <c r="K2834" s="367">
        <f t="shared" si="366"/>
        <v>3455</v>
      </c>
      <c r="L2834">
        <v>0.42</v>
      </c>
      <c r="M2834">
        <v>3.8000000000000003</v>
      </c>
      <c r="N2834">
        <v>21</v>
      </c>
      <c r="O2834">
        <v>5</v>
      </c>
      <c r="P2834" t="s">
        <v>513</v>
      </c>
      <c r="Q2834" s="97" t="str">
        <f t="shared" si="372"/>
        <v/>
      </c>
      <c r="R2834" t="str">
        <f t="shared" si="373"/>
        <v/>
      </c>
    </row>
    <row r="2835" spans="3:18">
      <c r="C2835" t="str">
        <f t="shared" si="365"/>
        <v/>
      </c>
      <c r="D2835" s="36">
        <v>21</v>
      </c>
      <c r="E2835">
        <v>20</v>
      </c>
      <c r="F2835" s="366">
        <f t="shared" si="367"/>
        <v>434</v>
      </c>
      <c r="G2835" s="97">
        <v>1576</v>
      </c>
      <c r="H2835" s="367">
        <f t="shared" si="370"/>
        <v>2010</v>
      </c>
      <c r="I2835" s="368">
        <f t="shared" si="371"/>
        <v>0</v>
      </c>
      <c r="J2835">
        <v>4905</v>
      </c>
      <c r="K2835" s="367">
        <f t="shared" si="366"/>
        <v>3503.5714285714284</v>
      </c>
      <c r="L2835">
        <v>0.73</v>
      </c>
      <c r="M2835">
        <v>4.3999999999999995</v>
      </c>
      <c r="N2835">
        <v>26</v>
      </c>
      <c r="O2835">
        <v>6</v>
      </c>
      <c r="P2835" t="s">
        <v>512</v>
      </c>
      <c r="Q2835" s="97" t="str">
        <f t="shared" si="372"/>
        <v/>
      </c>
      <c r="R2835" t="str">
        <f t="shared" si="373"/>
        <v/>
      </c>
    </row>
    <row r="2836" spans="3:18">
      <c r="C2836" t="str">
        <f t="shared" si="365"/>
        <v/>
      </c>
      <c r="D2836" s="36">
        <v>22</v>
      </c>
      <c r="E2836">
        <v>20</v>
      </c>
      <c r="F2836" s="366">
        <f t="shared" si="367"/>
        <v>434</v>
      </c>
      <c r="G2836" s="97">
        <v>1540</v>
      </c>
      <c r="H2836" s="367">
        <f t="shared" si="370"/>
        <v>1974</v>
      </c>
      <c r="I2836" s="368">
        <f t="shared" si="371"/>
        <v>0</v>
      </c>
      <c r="J2836">
        <v>4793</v>
      </c>
      <c r="K2836" s="367">
        <f t="shared" si="366"/>
        <v>3423.5714285714284</v>
      </c>
      <c r="L2836">
        <v>0.29000000000000004</v>
      </c>
      <c r="M2836">
        <v>4.3999999999999995</v>
      </c>
      <c r="N2836">
        <v>18</v>
      </c>
      <c r="O2836">
        <v>6</v>
      </c>
      <c r="P2836" t="s">
        <v>513</v>
      </c>
      <c r="Q2836" s="97" t="str">
        <f t="shared" si="372"/>
        <v/>
      </c>
      <c r="R2836" t="str">
        <f t="shared" si="373"/>
        <v/>
      </c>
    </row>
    <row r="2837" spans="3:18">
      <c r="C2837" t="str">
        <f t="shared" si="365"/>
        <v>NL</v>
      </c>
      <c r="D2837" s="36">
        <v>23</v>
      </c>
      <c r="E2837">
        <v>25</v>
      </c>
      <c r="F2837" s="366">
        <f t="shared" si="367"/>
        <v>542.5</v>
      </c>
      <c r="G2837" s="97">
        <v>1933</v>
      </c>
      <c r="H2837" s="367">
        <f t="shared" si="370"/>
        <v>2475.5</v>
      </c>
      <c r="I2837" s="368">
        <f t="shared" si="371"/>
        <v>0</v>
      </c>
      <c r="J2837">
        <v>6014</v>
      </c>
      <c r="K2837" s="367">
        <f t="shared" si="366"/>
        <v>4295.7142857142862</v>
      </c>
      <c r="L2837">
        <v>0.57000000000000006</v>
      </c>
      <c r="M2837">
        <v>2.4</v>
      </c>
      <c r="N2837">
        <v>25</v>
      </c>
      <c r="O2837">
        <v>3</v>
      </c>
      <c r="P2837" t="s">
        <v>514</v>
      </c>
      <c r="Q2837" s="97" t="str">
        <f t="shared" si="372"/>
        <v/>
      </c>
      <c r="R2837" t="str">
        <f t="shared" si="373"/>
        <v/>
      </c>
    </row>
    <row r="2838" spans="3:18">
      <c r="C2838" t="str">
        <f t="shared" ref="C2838:C2901" si="374">IF(OR($O$4=0,O2838-$O$4=0),IF(AND(ISEVEN(O2838)=FALSE,$N$4="Even"),"NL",""),"NL")</f>
        <v>NL</v>
      </c>
      <c r="D2838" s="36">
        <v>24</v>
      </c>
      <c r="E2838">
        <v>25</v>
      </c>
      <c r="F2838" s="366">
        <f t="shared" si="367"/>
        <v>542.5</v>
      </c>
      <c r="G2838" s="97">
        <v>1370</v>
      </c>
      <c r="H2838" s="367">
        <f t="shared" si="370"/>
        <v>1912.5</v>
      </c>
      <c r="I2838" s="368">
        <f t="shared" si="371"/>
        <v>0</v>
      </c>
      <c r="J2838">
        <v>4265</v>
      </c>
      <c r="K2838" s="367">
        <f t="shared" ref="K2838:K2901" si="375">(J2838*$V$7)-I2838</f>
        <v>3046.4285714285716</v>
      </c>
      <c r="L2838">
        <v>0.16</v>
      </c>
      <c r="M2838">
        <v>2.4</v>
      </c>
      <c r="N2838">
        <v>16</v>
      </c>
      <c r="O2838">
        <v>3</v>
      </c>
      <c r="P2838" t="s">
        <v>515</v>
      </c>
      <c r="Q2838" s="97" t="str">
        <f t="shared" si="372"/>
        <v/>
      </c>
      <c r="R2838" t="str">
        <f t="shared" si="373"/>
        <v/>
      </c>
    </row>
    <row r="2839" spans="3:18">
      <c r="C2839" t="str">
        <f t="shared" si="374"/>
        <v/>
      </c>
      <c r="D2839" s="36">
        <v>25</v>
      </c>
      <c r="E2839">
        <v>25</v>
      </c>
      <c r="F2839" s="366">
        <f t="shared" si="367"/>
        <v>542.5</v>
      </c>
      <c r="G2839" s="97">
        <v>1939</v>
      </c>
      <c r="H2839" s="367">
        <f t="shared" si="370"/>
        <v>2481.5</v>
      </c>
      <c r="I2839" s="368">
        <f t="shared" si="371"/>
        <v>0</v>
      </c>
      <c r="J2839">
        <v>6034</v>
      </c>
      <c r="K2839" s="367">
        <f t="shared" si="375"/>
        <v>4310</v>
      </c>
      <c r="L2839">
        <v>1.06</v>
      </c>
      <c r="M2839">
        <v>3.1</v>
      </c>
      <c r="N2839">
        <v>27</v>
      </c>
      <c r="O2839">
        <v>4</v>
      </c>
      <c r="P2839" t="s">
        <v>513</v>
      </c>
      <c r="Q2839" s="97" t="str">
        <f t="shared" si="372"/>
        <v/>
      </c>
      <c r="R2839" t="str">
        <f t="shared" si="373"/>
        <v/>
      </c>
    </row>
    <row r="2840" spans="3:18">
      <c r="C2840" t="str">
        <f t="shared" si="374"/>
        <v/>
      </c>
      <c r="D2840" s="36">
        <v>26</v>
      </c>
      <c r="E2840">
        <v>25</v>
      </c>
      <c r="F2840" s="366">
        <f t="shared" si="367"/>
        <v>542.5</v>
      </c>
      <c r="G2840" s="97">
        <v>1858</v>
      </c>
      <c r="H2840" s="367">
        <f t="shared" si="370"/>
        <v>2400.5</v>
      </c>
      <c r="I2840" s="368">
        <f t="shared" si="371"/>
        <v>0</v>
      </c>
      <c r="J2840">
        <v>5782</v>
      </c>
      <c r="K2840" s="367">
        <f t="shared" si="375"/>
        <v>4130</v>
      </c>
      <c r="L2840">
        <v>0.3</v>
      </c>
      <c r="M2840">
        <v>3.1</v>
      </c>
      <c r="N2840">
        <v>20</v>
      </c>
      <c r="O2840">
        <v>4</v>
      </c>
      <c r="P2840" t="s">
        <v>514</v>
      </c>
      <c r="Q2840" s="97" t="str">
        <f t="shared" si="372"/>
        <v/>
      </c>
      <c r="R2840" t="str">
        <f t="shared" si="373"/>
        <v/>
      </c>
    </row>
    <row r="2841" spans="3:18">
      <c r="C2841" t="str">
        <f t="shared" si="374"/>
        <v>NL</v>
      </c>
      <c r="D2841" s="36">
        <v>27</v>
      </c>
      <c r="E2841">
        <v>25</v>
      </c>
      <c r="F2841" s="366">
        <f t="shared" si="367"/>
        <v>542.5</v>
      </c>
      <c r="G2841" s="97">
        <v>1884</v>
      </c>
      <c r="H2841" s="367">
        <f t="shared" si="370"/>
        <v>2426.5</v>
      </c>
      <c r="I2841" s="368">
        <f t="shared" si="371"/>
        <v>0</v>
      </c>
      <c r="J2841">
        <v>5862</v>
      </c>
      <c r="K2841" s="367">
        <f t="shared" si="375"/>
        <v>4187.1428571428569</v>
      </c>
      <c r="L2841">
        <v>0.65</v>
      </c>
      <c r="M2841">
        <v>3.8000000000000003</v>
      </c>
      <c r="N2841">
        <v>24</v>
      </c>
      <c r="O2841">
        <v>5</v>
      </c>
      <c r="P2841" t="s">
        <v>513</v>
      </c>
      <c r="Q2841" s="97" t="str">
        <f t="shared" si="372"/>
        <v/>
      </c>
      <c r="R2841" t="str">
        <f t="shared" si="373"/>
        <v/>
      </c>
    </row>
    <row r="2842" spans="3:18">
      <c r="C2842" t="str">
        <f t="shared" si="374"/>
        <v>NL</v>
      </c>
      <c r="D2842" s="36">
        <v>28</v>
      </c>
      <c r="E2842">
        <v>25</v>
      </c>
      <c r="F2842" s="366">
        <f t="shared" si="367"/>
        <v>542.5</v>
      </c>
      <c r="G2842" s="97">
        <v>1600</v>
      </c>
      <c r="H2842" s="367">
        <f t="shared" si="370"/>
        <v>2142.5</v>
      </c>
      <c r="I2842" s="368">
        <f t="shared" si="371"/>
        <v>0</v>
      </c>
      <c r="J2842">
        <v>4979</v>
      </c>
      <c r="K2842" s="367">
        <f t="shared" si="375"/>
        <v>3556.4285714285716</v>
      </c>
      <c r="L2842">
        <v>0.19</v>
      </c>
      <c r="M2842">
        <v>3.8000000000000003</v>
      </c>
      <c r="N2842">
        <v>17</v>
      </c>
      <c r="O2842">
        <v>5</v>
      </c>
      <c r="P2842" t="s">
        <v>514</v>
      </c>
      <c r="Q2842" s="97" t="str">
        <f t="shared" si="372"/>
        <v/>
      </c>
      <c r="R2842" t="str">
        <f t="shared" si="373"/>
        <v/>
      </c>
    </row>
    <row r="2843" spans="3:18">
      <c r="C2843" t="str">
        <f t="shared" si="374"/>
        <v/>
      </c>
      <c r="D2843" s="36">
        <v>29</v>
      </c>
      <c r="E2843">
        <v>25</v>
      </c>
      <c r="F2843" s="366">
        <f t="shared" si="367"/>
        <v>542.5</v>
      </c>
      <c r="G2843" s="97">
        <v>1916</v>
      </c>
      <c r="H2843" s="367">
        <f t="shared" si="370"/>
        <v>2458.5</v>
      </c>
      <c r="I2843" s="368">
        <f t="shared" si="371"/>
        <v>0</v>
      </c>
      <c r="J2843">
        <v>5962</v>
      </c>
      <c r="K2843" s="367">
        <f t="shared" si="375"/>
        <v>4258.5714285714284</v>
      </c>
      <c r="L2843">
        <v>0.44</v>
      </c>
      <c r="M2843">
        <v>4.3999999999999995</v>
      </c>
      <c r="N2843">
        <v>21</v>
      </c>
      <c r="O2843">
        <v>6</v>
      </c>
      <c r="P2843" t="s">
        <v>513</v>
      </c>
      <c r="Q2843" s="97" t="str">
        <f t="shared" si="372"/>
        <v/>
      </c>
      <c r="R2843" t="str">
        <f t="shared" si="373"/>
        <v/>
      </c>
    </row>
    <row r="2844" spans="3:18">
      <c r="C2844" t="str">
        <f t="shared" si="374"/>
        <v>NL</v>
      </c>
      <c r="D2844" s="36">
        <v>30</v>
      </c>
      <c r="E2844">
        <v>30</v>
      </c>
      <c r="F2844" s="366">
        <f t="shared" si="367"/>
        <v>651</v>
      </c>
      <c r="G2844" s="97">
        <v>2329</v>
      </c>
      <c r="H2844" s="367">
        <f t="shared" si="370"/>
        <v>2980</v>
      </c>
      <c r="I2844" s="368">
        <f t="shared" si="371"/>
        <v>0</v>
      </c>
      <c r="J2844">
        <v>7248</v>
      </c>
      <c r="K2844" s="367">
        <f t="shared" si="375"/>
        <v>5177.1428571428569</v>
      </c>
      <c r="L2844">
        <v>0.81</v>
      </c>
      <c r="M2844">
        <v>2.4</v>
      </c>
      <c r="N2844">
        <v>27</v>
      </c>
      <c r="O2844">
        <v>3</v>
      </c>
      <c r="P2844" t="s">
        <v>514</v>
      </c>
      <c r="Q2844" s="97" t="str">
        <f t="shared" si="372"/>
        <v/>
      </c>
      <c r="R2844" t="str">
        <f t="shared" si="373"/>
        <v/>
      </c>
    </row>
    <row r="2845" spans="3:18">
      <c r="C2845" t="str">
        <f t="shared" si="374"/>
        <v>NL</v>
      </c>
      <c r="D2845" s="36">
        <v>31</v>
      </c>
      <c r="E2845">
        <v>30</v>
      </c>
      <c r="F2845" s="366">
        <f t="shared" si="367"/>
        <v>651</v>
      </c>
      <c r="G2845" s="97">
        <v>1610</v>
      </c>
      <c r="H2845" s="367">
        <f t="shared" si="370"/>
        <v>2261</v>
      </c>
      <c r="I2845" s="368">
        <f t="shared" si="371"/>
        <v>0</v>
      </c>
      <c r="J2845">
        <v>5011</v>
      </c>
      <c r="K2845" s="367">
        <f t="shared" si="375"/>
        <v>3579.2857142857142</v>
      </c>
      <c r="L2845">
        <v>0.23</v>
      </c>
      <c r="M2845">
        <v>2.4</v>
      </c>
      <c r="N2845">
        <v>18</v>
      </c>
      <c r="O2845">
        <v>3</v>
      </c>
      <c r="P2845" t="s">
        <v>515</v>
      </c>
      <c r="Q2845" s="97" t="str">
        <f t="shared" si="372"/>
        <v/>
      </c>
      <c r="R2845" t="str">
        <f t="shared" si="373"/>
        <v/>
      </c>
    </row>
    <row r="2846" spans="3:18">
      <c r="C2846" t="str">
        <f t="shared" si="374"/>
        <v/>
      </c>
      <c r="D2846" s="36">
        <v>32</v>
      </c>
      <c r="E2846">
        <v>30</v>
      </c>
      <c r="F2846" s="366">
        <f t="shared" si="367"/>
        <v>651</v>
      </c>
      <c r="G2846" s="97">
        <v>2220</v>
      </c>
      <c r="H2846" s="367">
        <f t="shared" si="370"/>
        <v>2871</v>
      </c>
      <c r="I2846" s="368">
        <f t="shared" si="371"/>
        <v>0</v>
      </c>
      <c r="J2846">
        <v>6906</v>
      </c>
      <c r="K2846" s="367">
        <f t="shared" si="375"/>
        <v>4932.8571428571431</v>
      </c>
      <c r="L2846">
        <v>0.43</v>
      </c>
      <c r="M2846">
        <v>3.1</v>
      </c>
      <c r="N2846">
        <v>23</v>
      </c>
      <c r="O2846">
        <v>4</v>
      </c>
      <c r="P2846" t="s">
        <v>514</v>
      </c>
      <c r="Q2846" s="97" t="str">
        <f t="shared" si="372"/>
        <v/>
      </c>
      <c r="R2846" t="str">
        <f t="shared" si="373"/>
        <v/>
      </c>
    </row>
    <row r="2847" spans="3:18">
      <c r="C2847" t="str">
        <f t="shared" si="374"/>
        <v>NL</v>
      </c>
      <c r="D2847" s="36">
        <v>33</v>
      </c>
      <c r="E2847">
        <v>30</v>
      </c>
      <c r="F2847" s="366">
        <f t="shared" si="367"/>
        <v>651</v>
      </c>
      <c r="G2847" s="97">
        <v>2268</v>
      </c>
      <c r="H2847" s="367">
        <f t="shared" si="370"/>
        <v>2919</v>
      </c>
      <c r="I2847" s="368">
        <f t="shared" si="371"/>
        <v>0</v>
      </c>
      <c r="J2847">
        <v>7058</v>
      </c>
      <c r="K2847" s="367">
        <f t="shared" si="375"/>
        <v>5041.4285714285716</v>
      </c>
      <c r="L2847">
        <v>0.94000000000000006</v>
      </c>
      <c r="M2847">
        <v>3.8000000000000003</v>
      </c>
      <c r="N2847">
        <v>26</v>
      </c>
      <c r="O2847">
        <v>5</v>
      </c>
      <c r="P2847" t="s">
        <v>513</v>
      </c>
      <c r="Q2847" s="97" t="str">
        <f t="shared" si="372"/>
        <v/>
      </c>
      <c r="R2847" t="str">
        <f t="shared" si="373"/>
        <v/>
      </c>
    </row>
    <row r="2848" spans="3:18">
      <c r="C2848" t="str">
        <f t="shared" si="374"/>
        <v>NL</v>
      </c>
      <c r="D2848" s="36">
        <v>34</v>
      </c>
      <c r="E2848">
        <v>30</v>
      </c>
      <c r="F2848" s="366">
        <f t="shared" si="367"/>
        <v>651</v>
      </c>
      <c r="G2848" s="97">
        <v>1882</v>
      </c>
      <c r="H2848" s="367">
        <f t="shared" si="370"/>
        <v>2533</v>
      </c>
      <c r="I2848" s="368">
        <f t="shared" si="371"/>
        <v>0</v>
      </c>
      <c r="J2848">
        <v>5857</v>
      </c>
      <c r="K2848" s="367">
        <f t="shared" si="375"/>
        <v>4183.5714285714284</v>
      </c>
      <c r="L2848">
        <v>0.27</v>
      </c>
      <c r="M2848">
        <v>3.8000000000000003</v>
      </c>
      <c r="N2848">
        <v>19</v>
      </c>
      <c r="O2848">
        <v>5</v>
      </c>
      <c r="P2848" t="s">
        <v>514</v>
      </c>
      <c r="Q2848" s="97" t="str">
        <f t="shared" si="372"/>
        <v/>
      </c>
      <c r="R2848" t="str">
        <f t="shared" si="373"/>
        <v/>
      </c>
    </row>
    <row r="2849" spans="3:18">
      <c r="C2849" t="str">
        <f t="shared" si="374"/>
        <v/>
      </c>
      <c r="D2849" s="36">
        <v>35</v>
      </c>
      <c r="E2849">
        <v>30</v>
      </c>
      <c r="F2849" s="366">
        <f t="shared" si="367"/>
        <v>651</v>
      </c>
      <c r="G2849" s="97">
        <v>2245</v>
      </c>
      <c r="H2849" s="367">
        <f t="shared" si="370"/>
        <v>2896</v>
      </c>
      <c r="I2849" s="368">
        <f t="shared" si="371"/>
        <v>0</v>
      </c>
      <c r="J2849">
        <v>6986</v>
      </c>
      <c r="K2849" s="367">
        <f t="shared" si="375"/>
        <v>4990</v>
      </c>
      <c r="L2849">
        <v>0.19</v>
      </c>
      <c r="M2849">
        <v>4.3999999999999995</v>
      </c>
      <c r="N2849">
        <v>17</v>
      </c>
      <c r="O2849">
        <v>6</v>
      </c>
      <c r="P2849" t="s">
        <v>514</v>
      </c>
      <c r="Q2849" s="97" t="str">
        <f t="shared" si="372"/>
        <v/>
      </c>
      <c r="R2849" t="str">
        <f t="shared" si="373"/>
        <v/>
      </c>
    </row>
    <row r="2850" spans="3:18">
      <c r="C2850" t="str">
        <f t="shared" si="374"/>
        <v/>
      </c>
      <c r="D2850" s="36">
        <v>36</v>
      </c>
      <c r="E2850">
        <v>30</v>
      </c>
      <c r="F2850" s="366">
        <f t="shared" si="367"/>
        <v>651</v>
      </c>
      <c r="G2850" s="97">
        <v>2237</v>
      </c>
      <c r="H2850" s="367">
        <f t="shared" si="370"/>
        <v>2888</v>
      </c>
      <c r="I2850" s="368">
        <f t="shared" si="371"/>
        <v>0</v>
      </c>
      <c r="J2850">
        <v>6962</v>
      </c>
      <c r="K2850" s="367">
        <f t="shared" si="375"/>
        <v>4972.8571428571431</v>
      </c>
      <c r="L2850">
        <v>0.64</v>
      </c>
      <c r="M2850">
        <v>4.3999999999999995</v>
      </c>
      <c r="N2850">
        <v>23</v>
      </c>
      <c r="O2850">
        <v>6</v>
      </c>
      <c r="P2850" t="s">
        <v>513</v>
      </c>
      <c r="Q2850" s="97" t="str">
        <f t="shared" si="372"/>
        <v/>
      </c>
      <c r="R2850" t="str">
        <f t="shared" si="373"/>
        <v/>
      </c>
    </row>
    <row r="2851" spans="3:18">
      <c r="C2851" t="str">
        <f t="shared" si="374"/>
        <v>NL</v>
      </c>
      <c r="D2851" s="36">
        <v>37</v>
      </c>
      <c r="E2851">
        <v>35</v>
      </c>
      <c r="F2851" s="366">
        <f t="shared" si="367"/>
        <v>759.5</v>
      </c>
      <c r="G2851" s="97">
        <v>2664</v>
      </c>
      <c r="H2851" s="367">
        <f t="shared" si="370"/>
        <v>3423.5</v>
      </c>
      <c r="I2851" s="368">
        <f t="shared" si="371"/>
        <v>0</v>
      </c>
      <c r="J2851">
        <v>8289</v>
      </c>
      <c r="K2851" s="367">
        <f t="shared" si="375"/>
        <v>5920.7142857142862</v>
      </c>
      <c r="L2851">
        <v>1.1100000000000001</v>
      </c>
      <c r="M2851">
        <v>2.4</v>
      </c>
      <c r="N2851">
        <v>29</v>
      </c>
      <c r="O2851">
        <v>3</v>
      </c>
      <c r="P2851" t="s">
        <v>514</v>
      </c>
      <c r="Q2851" s="97" t="str">
        <f t="shared" si="372"/>
        <v/>
      </c>
      <c r="R2851" t="str">
        <f t="shared" si="373"/>
        <v/>
      </c>
    </row>
    <row r="2852" spans="3:18">
      <c r="C2852" t="str">
        <f t="shared" si="374"/>
        <v>NL</v>
      </c>
      <c r="D2852" s="36">
        <v>38</v>
      </c>
      <c r="E2852">
        <v>35</v>
      </c>
      <c r="F2852" s="366">
        <f t="shared" si="367"/>
        <v>759.5</v>
      </c>
      <c r="G2852" s="97">
        <v>1870</v>
      </c>
      <c r="H2852" s="367">
        <f t="shared" si="370"/>
        <v>2629.5</v>
      </c>
      <c r="I2852" s="368">
        <f t="shared" si="371"/>
        <v>0</v>
      </c>
      <c r="J2852">
        <v>5819</v>
      </c>
      <c r="K2852" s="367">
        <f t="shared" si="375"/>
        <v>4156.4285714285716</v>
      </c>
      <c r="L2852">
        <v>0.31</v>
      </c>
      <c r="M2852">
        <v>2.4</v>
      </c>
      <c r="N2852">
        <v>20</v>
      </c>
      <c r="O2852">
        <v>3</v>
      </c>
      <c r="P2852" t="s">
        <v>515</v>
      </c>
      <c r="Q2852" s="97" t="str">
        <f t="shared" si="372"/>
        <v/>
      </c>
      <c r="R2852" t="str">
        <f t="shared" si="373"/>
        <v/>
      </c>
    </row>
    <row r="2853" spans="3:18">
      <c r="C2853" t="str">
        <f t="shared" si="374"/>
        <v/>
      </c>
      <c r="D2853" s="36">
        <v>39</v>
      </c>
      <c r="E2853">
        <v>35</v>
      </c>
      <c r="F2853" s="366">
        <f t="shared" si="367"/>
        <v>759.5</v>
      </c>
      <c r="G2853" s="97">
        <v>2652</v>
      </c>
      <c r="H2853" s="367">
        <f t="shared" si="370"/>
        <v>3411.5</v>
      </c>
      <c r="I2853" s="368">
        <f t="shared" si="371"/>
        <v>0</v>
      </c>
      <c r="J2853">
        <v>8251</v>
      </c>
      <c r="K2853" s="367">
        <f t="shared" si="375"/>
        <v>5893.5714285714284</v>
      </c>
      <c r="L2853">
        <v>0.59</v>
      </c>
      <c r="M2853">
        <v>3.1</v>
      </c>
      <c r="N2853">
        <v>25</v>
      </c>
      <c r="O2853">
        <v>4</v>
      </c>
      <c r="P2853" t="s">
        <v>514</v>
      </c>
      <c r="Q2853" s="97">
        <f t="shared" si="372"/>
        <v>39</v>
      </c>
      <c r="R2853" t="str">
        <f t="shared" si="373"/>
        <v/>
      </c>
    </row>
    <row r="2854" spans="3:18">
      <c r="C2854" t="str">
        <f t="shared" si="374"/>
        <v/>
      </c>
      <c r="D2854" s="36">
        <v>40</v>
      </c>
      <c r="E2854">
        <v>35</v>
      </c>
      <c r="F2854" s="366">
        <f t="shared" si="367"/>
        <v>759.5</v>
      </c>
      <c r="G2854" s="97">
        <v>1894</v>
      </c>
      <c r="H2854" s="367">
        <f t="shared" si="370"/>
        <v>2653.5</v>
      </c>
      <c r="I2854" s="368">
        <f t="shared" si="371"/>
        <v>0</v>
      </c>
      <c r="J2854">
        <v>5893</v>
      </c>
      <c r="K2854" s="367">
        <f t="shared" si="375"/>
        <v>4209.2857142857147</v>
      </c>
      <c r="L2854">
        <v>0.18000000000000002</v>
      </c>
      <c r="M2854">
        <v>3.1</v>
      </c>
      <c r="N2854">
        <v>18</v>
      </c>
      <c r="O2854">
        <v>4</v>
      </c>
      <c r="P2854" t="s">
        <v>515</v>
      </c>
      <c r="Q2854" s="97" t="str">
        <f t="shared" si="372"/>
        <v/>
      </c>
      <c r="R2854" t="str">
        <f t="shared" si="373"/>
        <v/>
      </c>
    </row>
    <row r="2855" spans="3:18">
      <c r="C2855" t="str">
        <f t="shared" si="374"/>
        <v>NL</v>
      </c>
      <c r="D2855" s="36">
        <v>41</v>
      </c>
      <c r="E2855">
        <v>35</v>
      </c>
      <c r="F2855" s="366">
        <f t="shared" si="367"/>
        <v>759.5</v>
      </c>
      <c r="G2855" s="97">
        <v>2153</v>
      </c>
      <c r="H2855" s="367">
        <f t="shared" si="370"/>
        <v>2912.5</v>
      </c>
      <c r="I2855" s="368">
        <f t="shared" si="371"/>
        <v>0</v>
      </c>
      <c r="J2855">
        <v>6698</v>
      </c>
      <c r="K2855" s="367">
        <f t="shared" si="375"/>
        <v>4784.2857142857147</v>
      </c>
      <c r="L2855">
        <v>0.36</v>
      </c>
      <c r="M2855">
        <v>3.8000000000000003</v>
      </c>
      <c r="N2855">
        <v>21</v>
      </c>
      <c r="O2855">
        <v>5</v>
      </c>
      <c r="P2855" t="s">
        <v>514</v>
      </c>
      <c r="Q2855" s="97" t="str">
        <f t="shared" si="372"/>
        <v/>
      </c>
      <c r="R2855" t="str">
        <f t="shared" si="373"/>
        <v/>
      </c>
    </row>
    <row r="2856" spans="3:18">
      <c r="C2856" t="str">
        <f t="shared" si="374"/>
        <v/>
      </c>
      <c r="D2856" s="36">
        <v>42</v>
      </c>
      <c r="E2856">
        <v>35</v>
      </c>
      <c r="F2856" s="366">
        <f t="shared" si="367"/>
        <v>759.5</v>
      </c>
      <c r="G2856" s="97">
        <v>2591</v>
      </c>
      <c r="H2856" s="367">
        <f t="shared" si="370"/>
        <v>3350.5</v>
      </c>
      <c r="I2856" s="368">
        <f t="shared" si="371"/>
        <v>0</v>
      </c>
      <c r="J2856">
        <v>8061</v>
      </c>
      <c r="K2856" s="367">
        <f t="shared" si="375"/>
        <v>5757.8571428571431</v>
      </c>
      <c r="L2856">
        <v>0.86</v>
      </c>
      <c r="M2856">
        <v>4.3999999999999995</v>
      </c>
      <c r="N2856">
        <v>25</v>
      </c>
      <c r="O2856">
        <v>6</v>
      </c>
      <c r="P2856" t="s">
        <v>513</v>
      </c>
      <c r="Q2856" s="97" t="str">
        <f t="shared" si="372"/>
        <v/>
      </c>
      <c r="R2856" t="str">
        <f t="shared" si="373"/>
        <v/>
      </c>
    </row>
    <row r="2857" spans="3:18">
      <c r="C2857" t="str">
        <f t="shared" si="374"/>
        <v/>
      </c>
      <c r="D2857" s="36">
        <v>43</v>
      </c>
      <c r="E2857">
        <v>35</v>
      </c>
      <c r="F2857" s="366">
        <f t="shared" si="367"/>
        <v>759.5</v>
      </c>
      <c r="G2857" s="97">
        <v>2582</v>
      </c>
      <c r="H2857" s="367">
        <f t="shared" si="370"/>
        <v>3341.5</v>
      </c>
      <c r="I2857" s="368">
        <f t="shared" si="371"/>
        <v>0</v>
      </c>
      <c r="J2857">
        <v>8033</v>
      </c>
      <c r="K2857" s="367">
        <f t="shared" si="375"/>
        <v>5737.8571428571431</v>
      </c>
      <c r="L2857">
        <v>0.25</v>
      </c>
      <c r="M2857">
        <v>4.3999999999999995</v>
      </c>
      <c r="N2857">
        <v>19</v>
      </c>
      <c r="O2857">
        <v>6</v>
      </c>
      <c r="P2857" t="s">
        <v>514</v>
      </c>
      <c r="Q2857" s="97">
        <f t="shared" si="372"/>
        <v>43</v>
      </c>
      <c r="R2857" t="str">
        <f t="shared" si="373"/>
        <v/>
      </c>
    </row>
    <row r="2858" spans="3:18">
      <c r="C2858" t="str">
        <f t="shared" si="374"/>
        <v>NL</v>
      </c>
      <c r="D2858" s="36">
        <v>44</v>
      </c>
      <c r="E2858">
        <v>40</v>
      </c>
      <c r="F2858" s="366">
        <f t="shared" si="367"/>
        <v>868</v>
      </c>
      <c r="G2858" s="97">
        <v>2188</v>
      </c>
      <c r="H2858" s="367">
        <f t="shared" si="370"/>
        <v>3056</v>
      </c>
      <c r="I2858" s="368">
        <f t="shared" si="371"/>
        <v>0</v>
      </c>
      <c r="J2858">
        <v>6807</v>
      </c>
      <c r="K2858" s="367">
        <f t="shared" si="375"/>
        <v>4862.1428571428569</v>
      </c>
      <c r="L2858">
        <v>0.41000000000000003</v>
      </c>
      <c r="M2858">
        <v>2.4</v>
      </c>
      <c r="N2858">
        <v>22</v>
      </c>
      <c r="O2858">
        <v>3</v>
      </c>
      <c r="P2858" t="s">
        <v>515</v>
      </c>
      <c r="Q2858" s="97" t="str">
        <f t="shared" si="372"/>
        <v/>
      </c>
      <c r="R2858" t="str">
        <f t="shared" si="373"/>
        <v/>
      </c>
    </row>
    <row r="2859" spans="3:18">
      <c r="C2859" t="str">
        <f t="shared" si="374"/>
        <v/>
      </c>
      <c r="D2859" s="36">
        <v>45</v>
      </c>
      <c r="E2859">
        <v>40</v>
      </c>
      <c r="F2859" s="366">
        <f t="shared" si="367"/>
        <v>868</v>
      </c>
      <c r="G2859" s="97">
        <v>3040</v>
      </c>
      <c r="H2859" s="367">
        <f t="shared" si="370"/>
        <v>3908</v>
      </c>
      <c r="I2859" s="368">
        <f t="shared" si="371"/>
        <v>0</v>
      </c>
      <c r="J2859">
        <v>9460</v>
      </c>
      <c r="K2859" s="367">
        <f t="shared" si="375"/>
        <v>6757.1428571428569</v>
      </c>
      <c r="L2859">
        <v>0.76</v>
      </c>
      <c r="M2859">
        <v>3.1</v>
      </c>
      <c r="N2859">
        <v>26</v>
      </c>
      <c r="O2859">
        <v>4</v>
      </c>
      <c r="P2859" t="s">
        <v>514</v>
      </c>
      <c r="Q2859" s="97" t="str">
        <f t="shared" si="372"/>
        <v/>
      </c>
      <c r="R2859" t="str">
        <f t="shared" si="373"/>
        <v/>
      </c>
    </row>
    <row r="2860" spans="3:18">
      <c r="C2860" t="str">
        <f t="shared" si="374"/>
        <v/>
      </c>
      <c r="D2860" s="36">
        <v>46</v>
      </c>
      <c r="E2860">
        <v>40</v>
      </c>
      <c r="F2860" s="366">
        <f t="shared" si="367"/>
        <v>868</v>
      </c>
      <c r="G2860" s="97">
        <v>2127</v>
      </c>
      <c r="H2860" s="367">
        <f t="shared" si="370"/>
        <v>2995</v>
      </c>
      <c r="I2860" s="368">
        <f t="shared" si="371"/>
        <v>0</v>
      </c>
      <c r="J2860">
        <v>6619</v>
      </c>
      <c r="K2860" s="367">
        <f t="shared" si="375"/>
        <v>4727.8571428571431</v>
      </c>
      <c r="L2860">
        <v>0.24000000000000002</v>
      </c>
      <c r="M2860">
        <v>3.1</v>
      </c>
      <c r="N2860">
        <v>19</v>
      </c>
      <c r="O2860">
        <v>4</v>
      </c>
      <c r="P2860" t="s">
        <v>515</v>
      </c>
      <c r="Q2860" s="97" t="str">
        <f t="shared" si="372"/>
        <v/>
      </c>
      <c r="R2860" t="str">
        <f t="shared" si="373"/>
        <v/>
      </c>
    </row>
    <row r="2861" spans="3:18">
      <c r="C2861" t="str">
        <f t="shared" si="374"/>
        <v>NL</v>
      </c>
      <c r="D2861" s="36">
        <v>47</v>
      </c>
      <c r="E2861">
        <v>40</v>
      </c>
      <c r="F2861" s="366">
        <f t="shared" si="367"/>
        <v>868</v>
      </c>
      <c r="G2861" s="97">
        <v>2484</v>
      </c>
      <c r="H2861" s="367">
        <f t="shared" si="370"/>
        <v>3352</v>
      </c>
      <c r="I2861" s="368">
        <f t="shared" si="371"/>
        <v>0</v>
      </c>
      <c r="J2861">
        <v>7728</v>
      </c>
      <c r="K2861" s="367">
        <f t="shared" si="375"/>
        <v>5520</v>
      </c>
      <c r="L2861">
        <v>0.47000000000000003</v>
      </c>
      <c r="M2861">
        <v>3.8000000000000003</v>
      </c>
      <c r="N2861">
        <v>23</v>
      </c>
      <c r="O2861">
        <v>5</v>
      </c>
      <c r="P2861" t="s">
        <v>514</v>
      </c>
      <c r="Q2861" s="97" t="str">
        <f t="shared" si="372"/>
        <v/>
      </c>
      <c r="R2861" t="str">
        <f t="shared" si="373"/>
        <v/>
      </c>
    </row>
    <row r="2862" spans="3:18">
      <c r="C2862" t="str">
        <f t="shared" si="374"/>
        <v>NL</v>
      </c>
      <c r="D2862" s="36">
        <v>48</v>
      </c>
      <c r="E2862">
        <v>40</v>
      </c>
      <c r="F2862" s="366">
        <f t="shared" si="367"/>
        <v>868</v>
      </c>
      <c r="G2862" s="97">
        <v>1788</v>
      </c>
      <c r="H2862" s="367">
        <f t="shared" si="370"/>
        <v>2656</v>
      </c>
      <c r="I2862" s="368">
        <f t="shared" si="371"/>
        <v>0</v>
      </c>
      <c r="J2862">
        <v>5565</v>
      </c>
      <c r="K2862" s="367">
        <f t="shared" si="375"/>
        <v>3975</v>
      </c>
      <c r="L2862">
        <v>0.16</v>
      </c>
      <c r="M2862">
        <v>3.8000000000000003</v>
      </c>
      <c r="N2862">
        <v>17</v>
      </c>
      <c r="O2862">
        <v>5</v>
      </c>
      <c r="P2862" t="s">
        <v>515</v>
      </c>
      <c r="Q2862" s="97" t="str">
        <f t="shared" si="372"/>
        <v/>
      </c>
      <c r="R2862" t="str">
        <f t="shared" si="373"/>
        <v/>
      </c>
    </row>
    <row r="2863" spans="3:18">
      <c r="C2863" t="str">
        <f t="shared" si="374"/>
        <v/>
      </c>
      <c r="D2863" s="36">
        <v>49</v>
      </c>
      <c r="E2863">
        <v>40</v>
      </c>
      <c r="F2863" s="366">
        <f t="shared" si="367"/>
        <v>868</v>
      </c>
      <c r="G2863" s="97">
        <v>2893</v>
      </c>
      <c r="H2863" s="367">
        <f t="shared" si="370"/>
        <v>3761</v>
      </c>
      <c r="I2863" s="368">
        <f t="shared" si="371"/>
        <v>0</v>
      </c>
      <c r="J2863">
        <v>9003</v>
      </c>
      <c r="K2863" s="367">
        <f t="shared" si="375"/>
        <v>6430.7142857142862</v>
      </c>
      <c r="L2863">
        <v>0.33</v>
      </c>
      <c r="M2863">
        <v>4.3999999999999995</v>
      </c>
      <c r="N2863">
        <v>21</v>
      </c>
      <c r="O2863">
        <v>6</v>
      </c>
      <c r="P2863" t="s">
        <v>514</v>
      </c>
      <c r="Q2863" s="97">
        <f t="shared" si="372"/>
        <v>49</v>
      </c>
      <c r="R2863" t="str">
        <f t="shared" si="373"/>
        <v/>
      </c>
    </row>
    <row r="2864" spans="3:18">
      <c r="C2864" t="str">
        <f t="shared" si="374"/>
        <v>NL</v>
      </c>
      <c r="D2864" s="36">
        <v>50</v>
      </c>
      <c r="E2864">
        <v>45</v>
      </c>
      <c r="F2864" s="366">
        <f t="shared" si="367"/>
        <v>976.5</v>
      </c>
      <c r="G2864" s="97">
        <v>2491</v>
      </c>
      <c r="H2864" s="367">
        <f t="shared" si="370"/>
        <v>3467.5</v>
      </c>
      <c r="I2864" s="368">
        <f t="shared" si="371"/>
        <v>0</v>
      </c>
      <c r="J2864">
        <v>7750</v>
      </c>
      <c r="K2864" s="367">
        <f t="shared" si="375"/>
        <v>5535.7142857142862</v>
      </c>
      <c r="L2864">
        <v>0.51</v>
      </c>
      <c r="M2864">
        <v>2.4</v>
      </c>
      <c r="N2864">
        <v>24</v>
      </c>
      <c r="O2864">
        <v>3</v>
      </c>
      <c r="P2864" t="s">
        <v>515</v>
      </c>
      <c r="Q2864" s="97" t="str">
        <f t="shared" si="372"/>
        <v/>
      </c>
      <c r="R2864" t="str">
        <f t="shared" si="373"/>
        <v/>
      </c>
    </row>
    <row r="2865" spans="3:18">
      <c r="C2865" t="str">
        <f t="shared" si="374"/>
        <v/>
      </c>
      <c r="D2865" s="36">
        <v>51</v>
      </c>
      <c r="E2865">
        <v>45</v>
      </c>
      <c r="F2865" s="366">
        <f t="shared" si="367"/>
        <v>976.5</v>
      </c>
      <c r="G2865" s="97">
        <v>3404</v>
      </c>
      <c r="H2865" s="367">
        <f t="shared" si="370"/>
        <v>4380.5</v>
      </c>
      <c r="I2865" s="368">
        <f t="shared" si="371"/>
        <v>0</v>
      </c>
      <c r="J2865">
        <v>10591</v>
      </c>
      <c r="K2865" s="367">
        <f t="shared" si="375"/>
        <v>7565</v>
      </c>
      <c r="L2865">
        <v>0.96</v>
      </c>
      <c r="M2865">
        <v>3.1</v>
      </c>
      <c r="N2865">
        <v>28</v>
      </c>
      <c r="O2865">
        <v>4</v>
      </c>
      <c r="P2865" t="s">
        <v>514</v>
      </c>
      <c r="Q2865" s="97" t="str">
        <f t="shared" si="372"/>
        <v/>
      </c>
      <c r="R2865" t="str">
        <f t="shared" si="373"/>
        <v/>
      </c>
    </row>
    <row r="2866" spans="3:18">
      <c r="C2866" t="str">
        <f t="shared" si="374"/>
        <v/>
      </c>
      <c r="D2866" s="36">
        <v>52</v>
      </c>
      <c r="E2866">
        <v>45</v>
      </c>
      <c r="F2866" s="366">
        <f t="shared" si="367"/>
        <v>976.5</v>
      </c>
      <c r="G2866" s="97">
        <v>2361</v>
      </c>
      <c r="H2866" s="367">
        <f t="shared" si="370"/>
        <v>3337.5</v>
      </c>
      <c r="I2866" s="368">
        <f t="shared" si="371"/>
        <v>0</v>
      </c>
      <c r="J2866">
        <v>7345</v>
      </c>
      <c r="K2866" s="367">
        <f t="shared" si="375"/>
        <v>5246.4285714285716</v>
      </c>
      <c r="L2866">
        <v>0.3</v>
      </c>
      <c r="M2866">
        <v>3.1</v>
      </c>
      <c r="N2866">
        <v>21</v>
      </c>
      <c r="O2866">
        <v>4</v>
      </c>
      <c r="P2866" t="s">
        <v>515</v>
      </c>
      <c r="Q2866" s="97">
        <f t="shared" si="372"/>
        <v>52</v>
      </c>
      <c r="R2866" t="str">
        <f t="shared" si="373"/>
        <v/>
      </c>
    </row>
    <row r="2867" spans="3:18">
      <c r="C2867" t="str">
        <f t="shared" si="374"/>
        <v>NL</v>
      </c>
      <c r="D2867" s="36">
        <v>53</v>
      </c>
      <c r="E2867">
        <v>45</v>
      </c>
      <c r="F2867" s="366">
        <f t="shared" si="367"/>
        <v>976.5</v>
      </c>
      <c r="G2867" s="97">
        <v>2840</v>
      </c>
      <c r="H2867" s="367">
        <f t="shared" si="370"/>
        <v>3816.5</v>
      </c>
      <c r="I2867" s="368">
        <f t="shared" si="371"/>
        <v>0</v>
      </c>
      <c r="J2867">
        <v>8837</v>
      </c>
      <c r="K2867" s="367">
        <f t="shared" si="375"/>
        <v>6312.1428571428569</v>
      </c>
      <c r="L2867">
        <v>0.6</v>
      </c>
      <c r="M2867">
        <v>3.8000000000000003</v>
      </c>
      <c r="N2867">
        <v>25</v>
      </c>
      <c r="O2867">
        <v>5</v>
      </c>
      <c r="P2867" t="s">
        <v>514</v>
      </c>
      <c r="Q2867" s="97" t="str">
        <f t="shared" si="372"/>
        <v/>
      </c>
      <c r="R2867" t="str">
        <f t="shared" si="373"/>
        <v/>
      </c>
    </row>
    <row r="2868" spans="3:18">
      <c r="C2868" t="str">
        <f t="shared" si="374"/>
        <v>NL</v>
      </c>
      <c r="D2868" s="36">
        <v>54</v>
      </c>
      <c r="E2868">
        <v>45</v>
      </c>
      <c r="F2868" s="366">
        <f t="shared" ref="F2868:F2931" si="376">1.085*($A$2-$B$2)*E2868*$T$7</f>
        <v>976.5</v>
      </c>
      <c r="G2868" s="97">
        <v>2005</v>
      </c>
      <c r="H2868" s="367">
        <f t="shared" si="370"/>
        <v>2981.5</v>
      </c>
      <c r="I2868" s="368">
        <f t="shared" si="371"/>
        <v>0</v>
      </c>
      <c r="J2868">
        <v>6237</v>
      </c>
      <c r="K2868" s="367">
        <f t="shared" si="375"/>
        <v>4455</v>
      </c>
      <c r="L2868">
        <v>0.2</v>
      </c>
      <c r="M2868">
        <v>3.8000000000000003</v>
      </c>
      <c r="N2868">
        <v>19</v>
      </c>
      <c r="O2868">
        <v>5</v>
      </c>
      <c r="P2868" t="s">
        <v>515</v>
      </c>
      <c r="Q2868" s="97" t="str">
        <f t="shared" si="372"/>
        <v/>
      </c>
      <c r="R2868" t="str">
        <f t="shared" si="373"/>
        <v/>
      </c>
    </row>
    <row r="2869" spans="3:18">
      <c r="C2869" t="str">
        <f t="shared" si="374"/>
        <v/>
      </c>
      <c r="D2869" s="36">
        <v>55</v>
      </c>
      <c r="E2869">
        <v>45</v>
      </c>
      <c r="F2869" s="366">
        <f t="shared" si="376"/>
        <v>976.5</v>
      </c>
      <c r="G2869" s="97">
        <v>3214</v>
      </c>
      <c r="H2869" s="367">
        <f t="shared" si="370"/>
        <v>4190.5</v>
      </c>
      <c r="I2869" s="368">
        <f t="shared" si="371"/>
        <v>0</v>
      </c>
      <c r="J2869">
        <v>9999</v>
      </c>
      <c r="K2869" s="367">
        <f t="shared" si="375"/>
        <v>7142.1428571428569</v>
      </c>
      <c r="L2869">
        <v>0.41000000000000003</v>
      </c>
      <c r="M2869">
        <v>4.3999999999999995</v>
      </c>
      <c r="N2869">
        <v>22</v>
      </c>
      <c r="O2869">
        <v>6</v>
      </c>
      <c r="P2869" t="s">
        <v>514</v>
      </c>
      <c r="Q2869" s="97">
        <f t="shared" si="372"/>
        <v>55</v>
      </c>
      <c r="R2869" t="str">
        <f t="shared" si="373"/>
        <v/>
      </c>
    </row>
    <row r="2870" spans="3:18">
      <c r="C2870" t="str">
        <f t="shared" si="374"/>
        <v>NL</v>
      </c>
      <c r="D2870" s="36">
        <v>56</v>
      </c>
      <c r="E2870">
        <v>50</v>
      </c>
      <c r="F2870" s="366">
        <f t="shared" si="376"/>
        <v>1085</v>
      </c>
      <c r="G2870" s="97">
        <v>2764</v>
      </c>
      <c r="H2870" s="367">
        <f t="shared" si="370"/>
        <v>3849</v>
      </c>
      <c r="I2870" s="368">
        <f t="shared" si="371"/>
        <v>0</v>
      </c>
      <c r="J2870">
        <v>8601</v>
      </c>
      <c r="K2870" s="367">
        <f t="shared" si="375"/>
        <v>6143.5714285714284</v>
      </c>
      <c r="L2870">
        <v>0.63</v>
      </c>
      <c r="M2870">
        <v>2.4</v>
      </c>
      <c r="N2870">
        <v>25</v>
      </c>
      <c r="O2870">
        <v>3</v>
      </c>
      <c r="P2870" t="s">
        <v>515</v>
      </c>
      <c r="Q2870" s="97" t="str">
        <f t="shared" si="372"/>
        <v/>
      </c>
      <c r="R2870" t="str">
        <f t="shared" si="373"/>
        <v/>
      </c>
    </row>
    <row r="2871" spans="3:18">
      <c r="C2871" t="str">
        <f t="shared" si="374"/>
        <v/>
      </c>
      <c r="D2871" s="36">
        <v>57</v>
      </c>
      <c r="E2871">
        <v>50</v>
      </c>
      <c r="F2871" s="366">
        <f t="shared" si="376"/>
        <v>1085</v>
      </c>
      <c r="G2871" s="97">
        <v>2634</v>
      </c>
      <c r="H2871" s="367">
        <f t="shared" si="370"/>
        <v>3719</v>
      </c>
      <c r="I2871" s="368">
        <f t="shared" si="371"/>
        <v>0</v>
      </c>
      <c r="J2871">
        <v>8196</v>
      </c>
      <c r="K2871" s="367">
        <f t="shared" si="375"/>
        <v>5854.2857142857147</v>
      </c>
      <c r="L2871">
        <v>0.37</v>
      </c>
      <c r="M2871">
        <v>3.1</v>
      </c>
      <c r="N2871">
        <v>22</v>
      </c>
      <c r="O2871">
        <v>4</v>
      </c>
      <c r="P2871" t="s">
        <v>515</v>
      </c>
      <c r="Q2871" s="97">
        <f t="shared" si="372"/>
        <v>57</v>
      </c>
      <c r="R2871" t="str">
        <f t="shared" si="373"/>
        <v/>
      </c>
    </row>
    <row r="2872" spans="3:18">
      <c r="C2872" t="str">
        <f t="shared" si="374"/>
        <v>NL</v>
      </c>
      <c r="D2872" s="36">
        <v>58</v>
      </c>
      <c r="E2872">
        <v>50</v>
      </c>
      <c r="F2872" s="366">
        <f t="shared" si="376"/>
        <v>1085</v>
      </c>
      <c r="G2872" s="97">
        <v>3163</v>
      </c>
      <c r="H2872" s="367">
        <f t="shared" si="370"/>
        <v>4248</v>
      </c>
      <c r="I2872" s="368">
        <f t="shared" si="371"/>
        <v>0</v>
      </c>
      <c r="J2872">
        <v>9841</v>
      </c>
      <c r="K2872" s="367">
        <f t="shared" si="375"/>
        <v>7029.2857142857147</v>
      </c>
      <c r="L2872">
        <v>0.74</v>
      </c>
      <c r="M2872">
        <v>3.8000000000000003</v>
      </c>
      <c r="N2872">
        <v>26</v>
      </c>
      <c r="O2872">
        <v>5</v>
      </c>
      <c r="P2872" t="s">
        <v>514</v>
      </c>
      <c r="Q2872" s="97" t="str">
        <f t="shared" si="372"/>
        <v/>
      </c>
      <c r="R2872" t="str">
        <f t="shared" si="373"/>
        <v/>
      </c>
    </row>
    <row r="2873" spans="3:18">
      <c r="C2873" t="str">
        <f t="shared" si="374"/>
        <v>NL</v>
      </c>
      <c r="D2873" s="36">
        <v>59</v>
      </c>
      <c r="E2873">
        <v>50</v>
      </c>
      <c r="F2873" s="366">
        <f t="shared" si="376"/>
        <v>1085</v>
      </c>
      <c r="G2873" s="97">
        <v>2194</v>
      </c>
      <c r="H2873" s="367">
        <f t="shared" si="370"/>
        <v>3279</v>
      </c>
      <c r="I2873" s="368">
        <f t="shared" si="371"/>
        <v>0</v>
      </c>
      <c r="J2873">
        <v>6825</v>
      </c>
      <c r="K2873" s="367">
        <f t="shared" si="375"/>
        <v>4875</v>
      </c>
      <c r="L2873">
        <v>0.24000000000000002</v>
      </c>
      <c r="M2873">
        <v>3.8000000000000003</v>
      </c>
      <c r="N2873">
        <v>20</v>
      </c>
      <c r="O2873">
        <v>5</v>
      </c>
      <c r="P2873" t="s">
        <v>515</v>
      </c>
      <c r="Q2873" s="97" t="str">
        <f t="shared" si="372"/>
        <v/>
      </c>
      <c r="R2873" t="str">
        <f t="shared" si="373"/>
        <v/>
      </c>
    </row>
    <row r="2874" spans="3:18">
      <c r="C2874" t="str">
        <f t="shared" si="374"/>
        <v/>
      </c>
      <c r="D2874" s="36">
        <v>60</v>
      </c>
      <c r="E2874">
        <v>50</v>
      </c>
      <c r="F2874" s="366">
        <f t="shared" si="376"/>
        <v>1085</v>
      </c>
      <c r="G2874" s="97">
        <v>3623</v>
      </c>
      <c r="H2874" s="367">
        <f t="shared" si="370"/>
        <v>4708</v>
      </c>
      <c r="I2874" s="368">
        <f t="shared" si="371"/>
        <v>0</v>
      </c>
      <c r="J2874">
        <v>11273</v>
      </c>
      <c r="K2874" s="367">
        <f t="shared" si="375"/>
        <v>8052.1428571428569</v>
      </c>
      <c r="L2874">
        <v>0.51</v>
      </c>
      <c r="M2874">
        <v>4.3999999999999995</v>
      </c>
      <c r="N2874">
        <v>24</v>
      </c>
      <c r="O2874">
        <v>6</v>
      </c>
      <c r="P2874" t="s">
        <v>514</v>
      </c>
      <c r="Q2874" s="97">
        <f t="shared" si="372"/>
        <v>60</v>
      </c>
      <c r="R2874" t="str">
        <f t="shared" si="373"/>
        <v/>
      </c>
    </row>
    <row r="2875" spans="3:18">
      <c r="C2875" t="str">
        <f t="shared" si="374"/>
        <v/>
      </c>
      <c r="D2875" s="36">
        <v>61</v>
      </c>
      <c r="E2875">
        <v>50</v>
      </c>
      <c r="F2875" s="366">
        <f t="shared" si="376"/>
        <v>1085</v>
      </c>
      <c r="G2875" s="97">
        <v>2664</v>
      </c>
      <c r="H2875" s="367">
        <f t="shared" si="370"/>
        <v>3749</v>
      </c>
      <c r="I2875" s="368">
        <f t="shared" si="371"/>
        <v>0</v>
      </c>
      <c r="J2875">
        <v>8290</v>
      </c>
      <c r="K2875" s="367">
        <f t="shared" si="375"/>
        <v>5921.4285714285716</v>
      </c>
      <c r="L2875">
        <v>0.18000000000000002</v>
      </c>
      <c r="M2875">
        <v>4.3999999999999995</v>
      </c>
      <c r="N2875">
        <v>18</v>
      </c>
      <c r="O2875">
        <v>6</v>
      </c>
      <c r="P2875" t="s">
        <v>515</v>
      </c>
      <c r="Q2875" s="97">
        <f t="shared" si="372"/>
        <v>61</v>
      </c>
      <c r="R2875" t="str">
        <f t="shared" si="373"/>
        <v/>
      </c>
    </row>
    <row r="2876" spans="3:18">
      <c r="C2876" t="str">
        <f t="shared" si="374"/>
        <v>NL</v>
      </c>
      <c r="D2876" s="36">
        <v>62</v>
      </c>
      <c r="E2876">
        <v>55</v>
      </c>
      <c r="F2876" s="366">
        <f t="shared" si="376"/>
        <v>1193.5</v>
      </c>
      <c r="G2876" s="97">
        <v>3016</v>
      </c>
      <c r="H2876" s="367">
        <f t="shared" si="370"/>
        <v>4209.5</v>
      </c>
      <c r="I2876" s="368">
        <f t="shared" si="371"/>
        <v>0</v>
      </c>
      <c r="J2876">
        <v>9383</v>
      </c>
      <c r="K2876" s="367">
        <f t="shared" si="375"/>
        <v>6702.1428571428569</v>
      </c>
      <c r="L2876">
        <v>0.77</v>
      </c>
      <c r="M2876">
        <v>2.4</v>
      </c>
      <c r="N2876">
        <v>26</v>
      </c>
      <c r="O2876">
        <v>3</v>
      </c>
      <c r="P2876" t="s">
        <v>515</v>
      </c>
      <c r="Q2876" s="97" t="str">
        <f t="shared" si="372"/>
        <v/>
      </c>
      <c r="R2876" t="str">
        <f t="shared" si="373"/>
        <v/>
      </c>
    </row>
    <row r="2877" spans="3:18">
      <c r="C2877" t="str">
        <f t="shared" si="374"/>
        <v/>
      </c>
      <c r="D2877" s="36">
        <v>63</v>
      </c>
      <c r="E2877">
        <v>55</v>
      </c>
      <c r="F2877" s="366">
        <f t="shared" si="376"/>
        <v>1193.5</v>
      </c>
      <c r="G2877" s="97">
        <v>2942</v>
      </c>
      <c r="H2877" s="367">
        <f t="shared" si="370"/>
        <v>4135.5</v>
      </c>
      <c r="I2877" s="368">
        <f t="shared" si="371"/>
        <v>0</v>
      </c>
      <c r="J2877">
        <v>9153</v>
      </c>
      <c r="K2877" s="367">
        <f t="shared" si="375"/>
        <v>6537.8571428571431</v>
      </c>
      <c r="L2877">
        <v>0.44</v>
      </c>
      <c r="M2877">
        <v>3.1</v>
      </c>
      <c r="N2877">
        <v>23</v>
      </c>
      <c r="O2877">
        <v>4</v>
      </c>
      <c r="P2877" t="s">
        <v>515</v>
      </c>
      <c r="Q2877" s="97">
        <f t="shared" si="372"/>
        <v>63</v>
      </c>
      <c r="R2877" t="str">
        <f t="shared" si="373"/>
        <v/>
      </c>
    </row>
    <row r="2878" spans="3:18">
      <c r="C2878" t="str">
        <f t="shared" si="374"/>
        <v>NL</v>
      </c>
      <c r="D2878" s="36">
        <v>64</v>
      </c>
      <c r="E2878">
        <v>55</v>
      </c>
      <c r="F2878" s="366">
        <f t="shared" si="376"/>
        <v>1193.5</v>
      </c>
      <c r="G2878" s="97">
        <v>3465</v>
      </c>
      <c r="H2878" s="367">
        <f t="shared" si="370"/>
        <v>4658.5</v>
      </c>
      <c r="I2878" s="368">
        <f t="shared" si="371"/>
        <v>0</v>
      </c>
      <c r="J2878">
        <v>10781</v>
      </c>
      <c r="K2878" s="367">
        <f t="shared" si="375"/>
        <v>7700.7142857142862</v>
      </c>
      <c r="L2878">
        <v>0.89</v>
      </c>
      <c r="M2878">
        <v>3.8000000000000003</v>
      </c>
      <c r="N2878">
        <v>27</v>
      </c>
      <c r="O2878">
        <v>5</v>
      </c>
      <c r="P2878" t="s">
        <v>514</v>
      </c>
      <c r="Q2878" s="97" t="str">
        <f t="shared" si="372"/>
        <v/>
      </c>
      <c r="R2878" t="str">
        <f t="shared" si="373"/>
        <v/>
      </c>
    </row>
    <row r="2879" spans="3:18">
      <c r="C2879" t="str">
        <f t="shared" si="374"/>
        <v>NL</v>
      </c>
      <c r="D2879" s="36">
        <v>65</v>
      </c>
      <c r="E2879">
        <v>55</v>
      </c>
      <c r="F2879" s="366">
        <f t="shared" si="376"/>
        <v>1193.5</v>
      </c>
      <c r="G2879" s="97">
        <v>2383</v>
      </c>
      <c r="H2879" s="367">
        <f t="shared" si="370"/>
        <v>3576.5</v>
      </c>
      <c r="I2879" s="368">
        <f t="shared" si="371"/>
        <v>0</v>
      </c>
      <c r="J2879">
        <v>7413</v>
      </c>
      <c r="K2879" s="367">
        <f t="shared" si="375"/>
        <v>5295</v>
      </c>
      <c r="L2879">
        <v>0.29000000000000004</v>
      </c>
      <c r="M2879">
        <v>3.8000000000000003</v>
      </c>
      <c r="N2879">
        <v>21</v>
      </c>
      <c r="O2879">
        <v>5</v>
      </c>
      <c r="P2879" t="s">
        <v>515</v>
      </c>
      <c r="Q2879" s="97" t="str">
        <f t="shared" si="372"/>
        <v/>
      </c>
      <c r="R2879" t="str">
        <f t="shared" si="373"/>
        <v/>
      </c>
    </row>
    <row r="2880" spans="3:18">
      <c r="C2880" t="str">
        <f t="shared" si="374"/>
        <v/>
      </c>
      <c r="D2880" s="36">
        <v>66</v>
      </c>
      <c r="E2880">
        <v>55</v>
      </c>
      <c r="F2880" s="366">
        <f t="shared" si="376"/>
        <v>1193.5</v>
      </c>
      <c r="G2880" s="97">
        <v>4033</v>
      </c>
      <c r="H2880" s="367">
        <f t="shared" ref="H2880:H2922" si="377">(G2880*$U$7)+F2880</f>
        <v>5226.5</v>
      </c>
      <c r="I2880" s="368">
        <f t="shared" ref="I2880:I2922" si="378">1.085*($C$2-$D$2)*E2880*$T$7</f>
        <v>0</v>
      </c>
      <c r="J2880">
        <v>12548</v>
      </c>
      <c r="K2880" s="367">
        <f t="shared" si="375"/>
        <v>8962.8571428571431</v>
      </c>
      <c r="L2880">
        <v>0.61</v>
      </c>
      <c r="M2880">
        <v>4.3999999999999995</v>
      </c>
      <c r="N2880">
        <v>25</v>
      </c>
      <c r="O2880">
        <v>6</v>
      </c>
      <c r="P2880" t="s">
        <v>514</v>
      </c>
      <c r="Q2880" s="97">
        <f t="shared" ref="Q2880:Q2922" si="379">IF(AND(H2880+1&gt;$E$4,L2880&lt;$L$4+0.01,M2880&lt;$M$4+0.01,K2880+1&gt;$F$4,E2880+1&gt;$J$4,N2880&lt;$K$4+1,O2880&lt;$P$4+1,C2880=""),D2880,"")</f>
        <v>66</v>
      </c>
      <c r="R2880" t="str">
        <f t="shared" ref="R2880:R2920" si="380">IF(Q2880="","",IF(AND(O2880&lt;$X$21,E2880&gt;$U$21,E2880&lt;$Q$4+$U$21+1),D2880,""))</f>
        <v/>
      </c>
    </row>
    <row r="2881" spans="3:18">
      <c r="C2881" t="str">
        <f t="shared" si="374"/>
        <v/>
      </c>
      <c r="D2881" s="36">
        <v>67</v>
      </c>
      <c r="E2881">
        <v>55</v>
      </c>
      <c r="F2881" s="366">
        <f t="shared" si="376"/>
        <v>1193.5</v>
      </c>
      <c r="G2881" s="97">
        <v>2916</v>
      </c>
      <c r="H2881" s="367">
        <f t="shared" si="377"/>
        <v>4109.5</v>
      </c>
      <c r="I2881" s="368">
        <f t="shared" si="378"/>
        <v>0</v>
      </c>
      <c r="J2881">
        <v>9073</v>
      </c>
      <c r="K2881" s="367">
        <f t="shared" si="375"/>
        <v>6480.7142857142862</v>
      </c>
      <c r="L2881">
        <v>0.21000000000000002</v>
      </c>
      <c r="M2881">
        <v>4.3999999999999995</v>
      </c>
      <c r="N2881">
        <v>20</v>
      </c>
      <c r="O2881">
        <v>6</v>
      </c>
      <c r="P2881" t="s">
        <v>515</v>
      </c>
      <c r="Q2881" s="97">
        <f t="shared" si="379"/>
        <v>67</v>
      </c>
      <c r="R2881" t="str">
        <f t="shared" si="380"/>
        <v/>
      </c>
    </row>
    <row r="2882" spans="3:18">
      <c r="C2882" t="str">
        <f t="shared" si="374"/>
        <v>NL</v>
      </c>
      <c r="D2882" s="36">
        <v>68</v>
      </c>
      <c r="E2882">
        <v>60</v>
      </c>
      <c r="F2882" s="366">
        <f t="shared" si="376"/>
        <v>1302</v>
      </c>
      <c r="G2882" s="97">
        <v>3234</v>
      </c>
      <c r="H2882" s="367">
        <f t="shared" si="377"/>
        <v>4536</v>
      </c>
      <c r="I2882" s="368">
        <f t="shared" si="378"/>
        <v>0</v>
      </c>
      <c r="J2882">
        <v>10063</v>
      </c>
      <c r="K2882" s="367">
        <f t="shared" si="375"/>
        <v>7187.8571428571431</v>
      </c>
      <c r="L2882">
        <v>0.91</v>
      </c>
      <c r="M2882">
        <v>2.4</v>
      </c>
      <c r="N2882">
        <v>27</v>
      </c>
      <c r="O2882">
        <v>3</v>
      </c>
      <c r="P2882" t="s">
        <v>515</v>
      </c>
      <c r="Q2882" s="97" t="str">
        <f t="shared" si="379"/>
        <v/>
      </c>
      <c r="R2882" t="str">
        <f t="shared" si="380"/>
        <v/>
      </c>
    </row>
    <row r="2883" spans="3:18">
      <c r="C2883" t="str">
        <f t="shared" si="374"/>
        <v/>
      </c>
      <c r="D2883" s="36">
        <v>69</v>
      </c>
      <c r="E2883">
        <v>60</v>
      </c>
      <c r="F2883" s="366">
        <f t="shared" si="376"/>
        <v>1302</v>
      </c>
      <c r="G2883" s="97">
        <v>3250</v>
      </c>
      <c r="H2883" s="367">
        <f t="shared" si="377"/>
        <v>4552</v>
      </c>
      <c r="I2883" s="368">
        <f t="shared" si="378"/>
        <v>0</v>
      </c>
      <c r="J2883">
        <v>10111</v>
      </c>
      <c r="K2883" s="367">
        <f t="shared" si="375"/>
        <v>7222.1428571428569</v>
      </c>
      <c r="L2883">
        <v>0.53</v>
      </c>
      <c r="M2883">
        <v>3.1</v>
      </c>
      <c r="N2883">
        <v>25</v>
      </c>
      <c r="O2883">
        <v>4</v>
      </c>
      <c r="P2883" t="s">
        <v>515</v>
      </c>
      <c r="Q2883" s="97">
        <f t="shared" si="379"/>
        <v>69</v>
      </c>
      <c r="R2883" t="str">
        <f t="shared" si="380"/>
        <v/>
      </c>
    </row>
    <row r="2884" spans="3:18">
      <c r="C2884" t="str">
        <f t="shared" si="374"/>
        <v>NL</v>
      </c>
      <c r="D2884" s="36">
        <v>70</v>
      </c>
      <c r="E2884">
        <v>60</v>
      </c>
      <c r="F2884" s="366">
        <f t="shared" si="376"/>
        <v>1302</v>
      </c>
      <c r="G2884" s="97">
        <v>3710</v>
      </c>
      <c r="H2884" s="367">
        <f t="shared" si="377"/>
        <v>5012</v>
      </c>
      <c r="I2884" s="368">
        <f t="shared" si="378"/>
        <v>0</v>
      </c>
      <c r="J2884">
        <v>11544</v>
      </c>
      <c r="K2884" s="367">
        <f t="shared" si="375"/>
        <v>8245.7142857142862</v>
      </c>
      <c r="L2884">
        <v>1.06</v>
      </c>
      <c r="M2884">
        <v>3.8000000000000003</v>
      </c>
      <c r="N2884">
        <v>28</v>
      </c>
      <c r="O2884">
        <v>5</v>
      </c>
      <c r="P2884" t="s">
        <v>514</v>
      </c>
      <c r="Q2884" s="97" t="str">
        <f t="shared" si="379"/>
        <v/>
      </c>
      <c r="R2884" t="str">
        <f t="shared" si="380"/>
        <v/>
      </c>
    </row>
    <row r="2885" spans="3:18">
      <c r="C2885" t="str">
        <f t="shared" si="374"/>
        <v>NL</v>
      </c>
      <c r="D2885" s="36">
        <v>71</v>
      </c>
      <c r="E2885">
        <v>60</v>
      </c>
      <c r="F2885" s="366">
        <f t="shared" si="376"/>
        <v>1302</v>
      </c>
      <c r="G2885" s="97">
        <v>2572</v>
      </c>
      <c r="H2885" s="367">
        <f t="shared" si="377"/>
        <v>3874</v>
      </c>
      <c r="I2885" s="368">
        <f t="shared" si="378"/>
        <v>0</v>
      </c>
      <c r="J2885">
        <v>8001</v>
      </c>
      <c r="K2885" s="367">
        <f t="shared" si="375"/>
        <v>5715</v>
      </c>
      <c r="L2885">
        <v>0.35000000000000003</v>
      </c>
      <c r="M2885">
        <v>3.8000000000000003</v>
      </c>
      <c r="N2885">
        <v>22</v>
      </c>
      <c r="O2885">
        <v>5</v>
      </c>
      <c r="P2885" t="s">
        <v>515</v>
      </c>
      <c r="Q2885" s="97" t="str">
        <f t="shared" si="379"/>
        <v/>
      </c>
      <c r="R2885" t="str">
        <f t="shared" si="380"/>
        <v/>
      </c>
    </row>
    <row r="2886" spans="3:18">
      <c r="C2886" t="str">
        <f t="shared" si="374"/>
        <v/>
      </c>
      <c r="D2886" s="36">
        <v>72</v>
      </c>
      <c r="E2886">
        <v>60</v>
      </c>
      <c r="F2886" s="366">
        <f t="shared" si="376"/>
        <v>1302</v>
      </c>
      <c r="G2886" s="97">
        <v>4407</v>
      </c>
      <c r="H2886" s="367">
        <f t="shared" si="377"/>
        <v>5709</v>
      </c>
      <c r="I2886" s="368">
        <f t="shared" si="378"/>
        <v>0</v>
      </c>
      <c r="J2886">
        <v>13713</v>
      </c>
      <c r="K2886" s="367">
        <f t="shared" si="375"/>
        <v>9795</v>
      </c>
      <c r="L2886">
        <v>0.73</v>
      </c>
      <c r="M2886">
        <v>4.3999999999999995</v>
      </c>
      <c r="N2886">
        <v>26</v>
      </c>
      <c r="O2886">
        <v>6</v>
      </c>
      <c r="P2886" t="s">
        <v>514</v>
      </c>
      <c r="Q2886" s="97" t="str">
        <f t="shared" si="379"/>
        <v/>
      </c>
      <c r="R2886" t="str">
        <f t="shared" si="380"/>
        <v/>
      </c>
    </row>
    <row r="2887" spans="3:18">
      <c r="C2887" t="str">
        <f t="shared" si="374"/>
        <v/>
      </c>
      <c r="D2887" s="36">
        <v>73</v>
      </c>
      <c r="E2887">
        <v>60</v>
      </c>
      <c r="F2887" s="366">
        <f t="shared" si="376"/>
        <v>1302</v>
      </c>
      <c r="G2887" s="97">
        <v>3138</v>
      </c>
      <c r="H2887" s="367">
        <f t="shared" si="377"/>
        <v>4440</v>
      </c>
      <c r="I2887" s="368">
        <f t="shared" si="378"/>
        <v>0</v>
      </c>
      <c r="J2887">
        <v>9763</v>
      </c>
      <c r="K2887" s="367">
        <f t="shared" si="375"/>
        <v>6973.5714285714284</v>
      </c>
      <c r="L2887">
        <v>0.25</v>
      </c>
      <c r="M2887">
        <v>4.3999999999999995</v>
      </c>
      <c r="N2887">
        <v>21</v>
      </c>
      <c r="O2887">
        <v>6</v>
      </c>
      <c r="P2887" t="s">
        <v>515</v>
      </c>
      <c r="Q2887" s="97">
        <f t="shared" si="379"/>
        <v>73</v>
      </c>
      <c r="R2887" t="str">
        <f t="shared" si="380"/>
        <v/>
      </c>
    </row>
    <row r="2888" spans="3:18">
      <c r="C2888" t="str">
        <f t="shared" si="374"/>
        <v>NL</v>
      </c>
      <c r="D2888" s="36">
        <v>74</v>
      </c>
      <c r="E2888">
        <v>65</v>
      </c>
      <c r="F2888" s="366">
        <f t="shared" si="376"/>
        <v>1410.5</v>
      </c>
      <c r="G2888" s="97">
        <v>3447</v>
      </c>
      <c r="H2888" s="367">
        <f t="shared" si="377"/>
        <v>4857.5</v>
      </c>
      <c r="I2888" s="368">
        <f t="shared" si="378"/>
        <v>0</v>
      </c>
      <c r="J2888">
        <v>10726</v>
      </c>
      <c r="K2888" s="367">
        <f t="shared" si="375"/>
        <v>7661.4285714285716</v>
      </c>
      <c r="L2888">
        <v>1.07</v>
      </c>
      <c r="M2888">
        <v>2.4</v>
      </c>
      <c r="N2888">
        <v>28</v>
      </c>
      <c r="O2888">
        <v>3</v>
      </c>
      <c r="P2888" t="s">
        <v>515</v>
      </c>
      <c r="Q2888" s="97" t="str">
        <f t="shared" si="379"/>
        <v/>
      </c>
      <c r="R2888" t="str">
        <f t="shared" si="380"/>
        <v/>
      </c>
    </row>
    <row r="2889" spans="3:18">
      <c r="C2889" t="str">
        <f t="shared" si="374"/>
        <v/>
      </c>
      <c r="D2889" s="36">
        <v>75</v>
      </c>
      <c r="E2889">
        <v>65</v>
      </c>
      <c r="F2889" s="366">
        <f t="shared" si="376"/>
        <v>1410.5</v>
      </c>
      <c r="G2889" s="97">
        <v>3520</v>
      </c>
      <c r="H2889" s="367">
        <f t="shared" si="377"/>
        <v>4930.5</v>
      </c>
      <c r="I2889" s="368">
        <f t="shared" si="378"/>
        <v>0</v>
      </c>
      <c r="J2889">
        <v>10953</v>
      </c>
      <c r="K2889" s="367">
        <f t="shared" si="375"/>
        <v>7823.5714285714284</v>
      </c>
      <c r="L2889">
        <v>0.62</v>
      </c>
      <c r="M2889">
        <v>3.1</v>
      </c>
      <c r="N2889">
        <v>26</v>
      </c>
      <c r="O2889">
        <v>4</v>
      </c>
      <c r="P2889" t="s">
        <v>515</v>
      </c>
      <c r="Q2889" s="97">
        <f t="shared" si="379"/>
        <v>75</v>
      </c>
      <c r="R2889" t="str">
        <f t="shared" si="380"/>
        <v/>
      </c>
    </row>
    <row r="2890" spans="3:18">
      <c r="C2890" t="str">
        <f t="shared" si="374"/>
        <v>NL</v>
      </c>
      <c r="D2890" s="36">
        <v>76</v>
      </c>
      <c r="E2890">
        <v>65</v>
      </c>
      <c r="F2890" s="366">
        <f t="shared" si="376"/>
        <v>1410.5</v>
      </c>
      <c r="G2890" s="97">
        <v>2811</v>
      </c>
      <c r="H2890" s="367">
        <f t="shared" si="377"/>
        <v>4221.5</v>
      </c>
      <c r="I2890" s="368">
        <f t="shared" si="378"/>
        <v>0</v>
      </c>
      <c r="J2890">
        <v>8747</v>
      </c>
      <c r="K2890" s="367">
        <f t="shared" si="375"/>
        <v>6247.8571428571431</v>
      </c>
      <c r="L2890">
        <v>0.41000000000000003</v>
      </c>
      <c r="M2890">
        <v>3.8000000000000003</v>
      </c>
      <c r="N2890">
        <v>24</v>
      </c>
      <c r="O2890">
        <v>5</v>
      </c>
      <c r="P2890" t="s">
        <v>515</v>
      </c>
      <c r="Q2890" s="97" t="str">
        <f t="shared" si="379"/>
        <v/>
      </c>
      <c r="R2890" t="str">
        <f t="shared" si="380"/>
        <v/>
      </c>
    </row>
    <row r="2891" spans="3:18">
      <c r="C2891" t="str">
        <f t="shared" si="374"/>
        <v/>
      </c>
      <c r="D2891" s="36">
        <v>77</v>
      </c>
      <c r="E2891">
        <v>65</v>
      </c>
      <c r="F2891" s="366">
        <f t="shared" si="376"/>
        <v>1410.5</v>
      </c>
      <c r="G2891" s="97">
        <v>4752</v>
      </c>
      <c r="H2891" s="367">
        <f t="shared" si="377"/>
        <v>6162.5</v>
      </c>
      <c r="I2891" s="368">
        <f t="shared" si="378"/>
        <v>0</v>
      </c>
      <c r="J2891">
        <v>14784</v>
      </c>
      <c r="K2891" s="367">
        <f t="shared" si="375"/>
        <v>10560</v>
      </c>
      <c r="L2891">
        <v>0.85</v>
      </c>
      <c r="M2891">
        <v>4.3999999999999995</v>
      </c>
      <c r="N2891">
        <v>27</v>
      </c>
      <c r="O2891">
        <v>6</v>
      </c>
      <c r="P2891" t="s">
        <v>514</v>
      </c>
      <c r="Q2891" s="97" t="str">
        <f t="shared" si="379"/>
        <v/>
      </c>
      <c r="R2891" t="str">
        <f t="shared" si="380"/>
        <v/>
      </c>
    </row>
    <row r="2892" spans="3:18">
      <c r="C2892" t="str">
        <f t="shared" si="374"/>
        <v/>
      </c>
      <c r="D2892" s="36">
        <v>78</v>
      </c>
      <c r="E2892">
        <v>65</v>
      </c>
      <c r="F2892" s="366">
        <f t="shared" si="376"/>
        <v>1410.5</v>
      </c>
      <c r="G2892" s="97">
        <v>3360</v>
      </c>
      <c r="H2892" s="367">
        <f t="shared" si="377"/>
        <v>4770.5</v>
      </c>
      <c r="I2892" s="368">
        <f t="shared" si="378"/>
        <v>0</v>
      </c>
      <c r="J2892">
        <v>10453</v>
      </c>
      <c r="K2892" s="367">
        <f t="shared" si="375"/>
        <v>7466.4285714285716</v>
      </c>
      <c r="L2892">
        <v>0.3</v>
      </c>
      <c r="M2892">
        <v>4.3999999999999995</v>
      </c>
      <c r="N2892">
        <v>22</v>
      </c>
      <c r="O2892">
        <v>6</v>
      </c>
      <c r="P2892" t="s">
        <v>515</v>
      </c>
      <c r="Q2892" s="97">
        <f t="shared" si="379"/>
        <v>78</v>
      </c>
      <c r="R2892" t="str">
        <f t="shared" si="380"/>
        <v/>
      </c>
    </row>
    <row r="2893" spans="3:18">
      <c r="C2893" t="str">
        <f t="shared" si="374"/>
        <v/>
      </c>
      <c r="D2893" s="36">
        <v>79</v>
      </c>
      <c r="E2893">
        <v>70</v>
      </c>
      <c r="F2893" s="366">
        <f t="shared" si="376"/>
        <v>1519</v>
      </c>
      <c r="G2893" s="97">
        <v>3783</v>
      </c>
      <c r="H2893" s="367">
        <f t="shared" si="377"/>
        <v>5302</v>
      </c>
      <c r="I2893" s="368">
        <f t="shared" si="378"/>
        <v>0</v>
      </c>
      <c r="J2893">
        <v>11771</v>
      </c>
      <c r="K2893" s="367">
        <f t="shared" si="375"/>
        <v>8407.8571428571431</v>
      </c>
      <c r="L2893">
        <v>0.72</v>
      </c>
      <c r="M2893">
        <v>3.1</v>
      </c>
      <c r="N2893">
        <v>27</v>
      </c>
      <c r="O2893">
        <v>4</v>
      </c>
      <c r="P2893" t="s">
        <v>515</v>
      </c>
      <c r="Q2893" s="97" t="str">
        <f t="shared" si="379"/>
        <v/>
      </c>
      <c r="R2893" t="str">
        <f t="shared" si="380"/>
        <v/>
      </c>
    </row>
    <row r="2894" spans="3:18">
      <c r="C2894" t="str">
        <f t="shared" si="374"/>
        <v>NL</v>
      </c>
      <c r="D2894" s="36">
        <v>80</v>
      </c>
      <c r="E2894">
        <v>70</v>
      </c>
      <c r="F2894" s="366">
        <f t="shared" si="376"/>
        <v>1519</v>
      </c>
      <c r="G2894" s="97">
        <v>3060</v>
      </c>
      <c r="H2894" s="367">
        <f t="shared" si="377"/>
        <v>4579</v>
      </c>
      <c r="I2894" s="368">
        <f t="shared" si="378"/>
        <v>0</v>
      </c>
      <c r="J2894">
        <v>9522</v>
      </c>
      <c r="K2894" s="367">
        <f t="shared" si="375"/>
        <v>6801.4285714285716</v>
      </c>
      <c r="L2894">
        <v>0.47000000000000003</v>
      </c>
      <c r="M2894">
        <v>3.8000000000000003</v>
      </c>
      <c r="N2894">
        <v>24</v>
      </c>
      <c r="O2894">
        <v>5</v>
      </c>
      <c r="P2894" t="s">
        <v>515</v>
      </c>
      <c r="Q2894" s="97" t="str">
        <f t="shared" si="379"/>
        <v/>
      </c>
      <c r="R2894" t="str">
        <f t="shared" si="380"/>
        <v/>
      </c>
    </row>
    <row r="2895" spans="3:18">
      <c r="C2895" t="str">
        <f t="shared" si="374"/>
        <v/>
      </c>
      <c r="D2895" s="36">
        <v>81</v>
      </c>
      <c r="E2895">
        <v>70</v>
      </c>
      <c r="F2895" s="366">
        <f t="shared" si="376"/>
        <v>1519</v>
      </c>
      <c r="G2895" s="97">
        <v>5096</v>
      </c>
      <c r="H2895" s="367">
        <f t="shared" si="377"/>
        <v>6615</v>
      </c>
      <c r="I2895" s="368">
        <f t="shared" si="378"/>
        <v>0</v>
      </c>
      <c r="J2895">
        <v>15856</v>
      </c>
      <c r="K2895" s="367">
        <f t="shared" si="375"/>
        <v>11325.714285714286</v>
      </c>
      <c r="L2895">
        <v>0.99</v>
      </c>
      <c r="M2895">
        <v>4.3999999999999995</v>
      </c>
      <c r="N2895">
        <v>28</v>
      </c>
      <c r="O2895">
        <v>6</v>
      </c>
      <c r="P2895" t="s">
        <v>514</v>
      </c>
      <c r="Q2895" s="97" t="str">
        <f t="shared" si="379"/>
        <v/>
      </c>
      <c r="R2895" t="str">
        <f t="shared" si="380"/>
        <v/>
      </c>
    </row>
    <row r="2896" spans="3:18">
      <c r="C2896" t="str">
        <f t="shared" si="374"/>
        <v/>
      </c>
      <c r="D2896" s="36">
        <v>82</v>
      </c>
      <c r="E2896">
        <v>70</v>
      </c>
      <c r="F2896" s="366">
        <f t="shared" si="376"/>
        <v>1519</v>
      </c>
      <c r="G2896" s="97">
        <v>3582</v>
      </c>
      <c r="H2896" s="367">
        <f t="shared" si="377"/>
        <v>5101</v>
      </c>
      <c r="I2896" s="368">
        <f t="shared" si="378"/>
        <v>0</v>
      </c>
      <c r="J2896">
        <v>11144</v>
      </c>
      <c r="K2896" s="367">
        <f t="shared" si="375"/>
        <v>7960</v>
      </c>
      <c r="L2896">
        <v>0.34</v>
      </c>
      <c r="M2896">
        <v>4.3999999999999995</v>
      </c>
      <c r="N2896">
        <v>23</v>
      </c>
      <c r="O2896">
        <v>6</v>
      </c>
      <c r="P2896" t="s">
        <v>515</v>
      </c>
      <c r="Q2896" s="97">
        <f t="shared" si="379"/>
        <v>82</v>
      </c>
      <c r="R2896" t="str">
        <f t="shared" si="380"/>
        <v/>
      </c>
    </row>
    <row r="2897" spans="3:18">
      <c r="C2897" t="str">
        <f t="shared" si="374"/>
        <v/>
      </c>
      <c r="D2897" s="36">
        <v>83</v>
      </c>
      <c r="E2897">
        <v>75</v>
      </c>
      <c r="F2897" s="366">
        <f t="shared" si="376"/>
        <v>1627.5</v>
      </c>
      <c r="G2897" s="97">
        <v>4039</v>
      </c>
      <c r="H2897" s="367">
        <f t="shared" si="377"/>
        <v>5666.5</v>
      </c>
      <c r="I2897" s="368">
        <f t="shared" si="378"/>
        <v>0</v>
      </c>
      <c r="J2897">
        <v>12568</v>
      </c>
      <c r="K2897" s="367">
        <f t="shared" si="375"/>
        <v>8977.1428571428569</v>
      </c>
      <c r="L2897">
        <v>0.79</v>
      </c>
      <c r="M2897">
        <v>3.1</v>
      </c>
      <c r="N2897">
        <v>27</v>
      </c>
      <c r="O2897">
        <v>4</v>
      </c>
      <c r="P2897" t="s">
        <v>515</v>
      </c>
      <c r="Q2897" s="97" t="str">
        <f t="shared" si="379"/>
        <v/>
      </c>
      <c r="R2897" t="str">
        <f t="shared" si="380"/>
        <v/>
      </c>
    </row>
    <row r="2898" spans="3:18">
      <c r="C2898" t="str">
        <f t="shared" si="374"/>
        <v>NL</v>
      </c>
      <c r="D2898" s="36">
        <v>84</v>
      </c>
      <c r="E2898">
        <v>75</v>
      </c>
      <c r="F2898" s="366">
        <f t="shared" si="376"/>
        <v>1627.5</v>
      </c>
      <c r="G2898" s="97">
        <v>3310</v>
      </c>
      <c r="H2898" s="367">
        <f t="shared" si="377"/>
        <v>4937.5</v>
      </c>
      <c r="I2898" s="368">
        <f t="shared" si="378"/>
        <v>0</v>
      </c>
      <c r="J2898">
        <v>10298</v>
      </c>
      <c r="K2898" s="367">
        <f t="shared" si="375"/>
        <v>7355.7142857142862</v>
      </c>
      <c r="L2898">
        <v>0.52</v>
      </c>
      <c r="M2898">
        <v>3.8000000000000003</v>
      </c>
      <c r="N2898">
        <v>25</v>
      </c>
      <c r="O2898">
        <v>5</v>
      </c>
      <c r="P2898" t="s">
        <v>515</v>
      </c>
      <c r="Q2898" s="97" t="str">
        <f t="shared" si="379"/>
        <v/>
      </c>
      <c r="R2898" t="str">
        <f t="shared" si="380"/>
        <v/>
      </c>
    </row>
    <row r="2899" spans="3:18">
      <c r="C2899" t="str">
        <f t="shared" si="374"/>
        <v/>
      </c>
      <c r="D2899" s="36">
        <v>85</v>
      </c>
      <c r="E2899">
        <v>75</v>
      </c>
      <c r="F2899" s="366">
        <f t="shared" si="376"/>
        <v>1627.5</v>
      </c>
      <c r="G2899" s="97">
        <v>5317</v>
      </c>
      <c r="H2899" s="367">
        <f t="shared" si="377"/>
        <v>6944.5</v>
      </c>
      <c r="I2899" s="368">
        <f t="shared" si="378"/>
        <v>0</v>
      </c>
      <c r="J2899">
        <v>16542</v>
      </c>
      <c r="K2899" s="367">
        <f t="shared" si="375"/>
        <v>11815.714285714286</v>
      </c>
      <c r="L2899">
        <v>1.1100000000000001</v>
      </c>
      <c r="M2899">
        <v>4.3999999999999995</v>
      </c>
      <c r="N2899">
        <v>29</v>
      </c>
      <c r="O2899">
        <v>6</v>
      </c>
      <c r="P2899" t="s">
        <v>514</v>
      </c>
      <c r="Q2899" s="97" t="str">
        <f t="shared" si="379"/>
        <v/>
      </c>
      <c r="R2899" t="str">
        <f t="shared" si="380"/>
        <v/>
      </c>
    </row>
    <row r="2900" spans="3:18">
      <c r="C2900" t="str">
        <f t="shared" si="374"/>
        <v/>
      </c>
      <c r="D2900" s="36">
        <v>86</v>
      </c>
      <c r="E2900">
        <v>75</v>
      </c>
      <c r="F2900" s="366">
        <f t="shared" si="376"/>
        <v>1627.5</v>
      </c>
      <c r="G2900" s="97">
        <v>3814</v>
      </c>
      <c r="H2900" s="367">
        <f t="shared" si="377"/>
        <v>5441.5</v>
      </c>
      <c r="I2900" s="368">
        <f t="shared" si="378"/>
        <v>0</v>
      </c>
      <c r="J2900">
        <v>11865</v>
      </c>
      <c r="K2900" s="367">
        <f t="shared" si="375"/>
        <v>8475</v>
      </c>
      <c r="L2900">
        <v>0.37</v>
      </c>
      <c r="M2900">
        <v>4.3999999999999995</v>
      </c>
      <c r="N2900">
        <v>23</v>
      </c>
      <c r="O2900">
        <v>6</v>
      </c>
      <c r="P2900" t="s">
        <v>515</v>
      </c>
      <c r="Q2900" s="97">
        <f t="shared" si="379"/>
        <v>86</v>
      </c>
      <c r="R2900" t="str">
        <f t="shared" si="380"/>
        <v/>
      </c>
    </row>
    <row r="2901" spans="3:18">
      <c r="C2901" t="str">
        <f t="shared" si="374"/>
        <v/>
      </c>
      <c r="D2901" s="36">
        <v>87</v>
      </c>
      <c r="E2901">
        <v>80</v>
      </c>
      <c r="F2901" s="366">
        <f t="shared" si="376"/>
        <v>1736</v>
      </c>
      <c r="G2901" s="97">
        <v>4248</v>
      </c>
      <c r="H2901" s="367">
        <f t="shared" si="377"/>
        <v>5984</v>
      </c>
      <c r="I2901" s="368">
        <f t="shared" si="378"/>
        <v>0</v>
      </c>
      <c r="J2901">
        <v>13217</v>
      </c>
      <c r="K2901" s="367">
        <f t="shared" si="375"/>
        <v>9440.7142857142862</v>
      </c>
      <c r="L2901">
        <v>0.9</v>
      </c>
      <c r="M2901">
        <v>3.1</v>
      </c>
      <c r="N2901">
        <v>28</v>
      </c>
      <c r="O2901">
        <v>4</v>
      </c>
      <c r="P2901" t="s">
        <v>515</v>
      </c>
      <c r="Q2901" s="97" t="str">
        <f t="shared" si="379"/>
        <v/>
      </c>
      <c r="R2901" t="str">
        <f t="shared" si="380"/>
        <v/>
      </c>
    </row>
    <row r="2902" spans="3:18">
      <c r="C2902" t="str">
        <f t="shared" ref="C2902:C2965" si="381">IF(OR($O$4=0,O2902-$O$4=0),IF(AND(ISEVEN(O2902)=FALSE,$N$4="Even"),"NL",""),"NL")</f>
        <v>NL</v>
      </c>
      <c r="D2902" s="36">
        <v>88</v>
      </c>
      <c r="E2902">
        <v>80</v>
      </c>
      <c r="F2902" s="366">
        <f t="shared" si="376"/>
        <v>1736</v>
      </c>
      <c r="G2902" s="97">
        <v>3545</v>
      </c>
      <c r="H2902" s="367">
        <f t="shared" si="377"/>
        <v>5281</v>
      </c>
      <c r="I2902" s="368">
        <f t="shared" si="378"/>
        <v>0</v>
      </c>
      <c r="J2902">
        <v>11030</v>
      </c>
      <c r="K2902" s="367">
        <f t="shared" ref="K2902:K2965" si="382">(J2902*$V$7)-I2902</f>
        <v>7878.5714285714284</v>
      </c>
      <c r="L2902">
        <v>0.59</v>
      </c>
      <c r="M2902">
        <v>3.8000000000000003</v>
      </c>
      <c r="N2902">
        <v>26</v>
      </c>
      <c r="O2902">
        <v>5</v>
      </c>
      <c r="P2902" t="s">
        <v>515</v>
      </c>
      <c r="Q2902" s="97" t="str">
        <f t="shared" si="379"/>
        <v/>
      </c>
      <c r="R2902" t="str">
        <f t="shared" si="380"/>
        <v/>
      </c>
    </row>
    <row r="2903" spans="3:18">
      <c r="C2903" t="str">
        <f t="shared" si="381"/>
        <v/>
      </c>
      <c r="D2903" s="36">
        <v>89</v>
      </c>
      <c r="E2903">
        <v>80</v>
      </c>
      <c r="F2903" s="366">
        <f t="shared" si="376"/>
        <v>1736</v>
      </c>
      <c r="G2903" s="97">
        <v>4105</v>
      </c>
      <c r="H2903" s="367">
        <f t="shared" si="377"/>
        <v>5841</v>
      </c>
      <c r="I2903" s="368">
        <f t="shared" si="378"/>
        <v>0</v>
      </c>
      <c r="J2903">
        <v>12773</v>
      </c>
      <c r="K2903" s="367">
        <f t="shared" si="382"/>
        <v>9123.5714285714294</v>
      </c>
      <c r="L2903">
        <v>0.42</v>
      </c>
      <c r="M2903">
        <v>4.3999999999999995</v>
      </c>
      <c r="N2903">
        <v>24</v>
      </c>
      <c r="O2903">
        <v>6</v>
      </c>
      <c r="P2903" t="s">
        <v>515</v>
      </c>
      <c r="Q2903" s="97">
        <f t="shared" si="379"/>
        <v>89</v>
      </c>
      <c r="R2903" t="str">
        <f t="shared" si="380"/>
        <v/>
      </c>
    </row>
    <row r="2904" spans="3:18">
      <c r="C2904" t="str">
        <f t="shared" si="381"/>
        <v/>
      </c>
      <c r="D2904" s="36">
        <v>90</v>
      </c>
      <c r="E2904">
        <v>85</v>
      </c>
      <c r="F2904" s="366">
        <f t="shared" si="376"/>
        <v>1844.5</v>
      </c>
      <c r="G2904" s="97">
        <v>4457</v>
      </c>
      <c r="H2904" s="367">
        <f t="shared" si="377"/>
        <v>6301.5</v>
      </c>
      <c r="I2904" s="368">
        <f t="shared" si="378"/>
        <v>0</v>
      </c>
      <c r="J2904">
        <v>13867</v>
      </c>
      <c r="K2904" s="367">
        <f t="shared" si="382"/>
        <v>9905</v>
      </c>
      <c r="L2904">
        <v>1.02</v>
      </c>
      <c r="M2904">
        <v>3.1</v>
      </c>
      <c r="N2904">
        <v>29</v>
      </c>
      <c r="O2904">
        <v>4</v>
      </c>
      <c r="P2904" t="s">
        <v>515</v>
      </c>
      <c r="Q2904" s="97" t="str">
        <f t="shared" si="379"/>
        <v/>
      </c>
      <c r="R2904" t="str">
        <f t="shared" si="380"/>
        <v/>
      </c>
    </row>
    <row r="2905" spans="3:18">
      <c r="C2905" t="str">
        <f t="shared" si="381"/>
        <v>NL</v>
      </c>
      <c r="D2905" s="36">
        <v>91</v>
      </c>
      <c r="E2905">
        <v>85</v>
      </c>
      <c r="F2905" s="366">
        <f t="shared" si="376"/>
        <v>1844.5</v>
      </c>
      <c r="G2905" s="97">
        <v>3756</v>
      </c>
      <c r="H2905" s="367">
        <f t="shared" si="377"/>
        <v>5600.5</v>
      </c>
      <c r="I2905" s="368">
        <f t="shared" si="378"/>
        <v>0</v>
      </c>
      <c r="J2905">
        <v>11687</v>
      </c>
      <c r="K2905" s="367">
        <f t="shared" si="382"/>
        <v>8347.8571428571431</v>
      </c>
      <c r="L2905">
        <v>0.66</v>
      </c>
      <c r="M2905">
        <v>3.8000000000000003</v>
      </c>
      <c r="N2905">
        <v>27</v>
      </c>
      <c r="O2905">
        <v>5</v>
      </c>
      <c r="P2905" t="s">
        <v>515</v>
      </c>
      <c r="Q2905" s="97" t="str">
        <f t="shared" si="379"/>
        <v/>
      </c>
      <c r="R2905" t="str">
        <f t="shared" si="380"/>
        <v/>
      </c>
    </row>
    <row r="2906" spans="3:18">
      <c r="C2906" t="str">
        <f t="shared" si="381"/>
        <v/>
      </c>
      <c r="D2906" s="36">
        <v>92</v>
      </c>
      <c r="E2906">
        <v>85</v>
      </c>
      <c r="F2906" s="366">
        <f t="shared" si="376"/>
        <v>1844.5</v>
      </c>
      <c r="G2906" s="97">
        <v>4397</v>
      </c>
      <c r="H2906" s="367">
        <f t="shared" si="377"/>
        <v>6241.5</v>
      </c>
      <c r="I2906" s="368">
        <f t="shared" si="378"/>
        <v>0</v>
      </c>
      <c r="J2906">
        <v>13680</v>
      </c>
      <c r="K2906" s="367">
        <f t="shared" si="382"/>
        <v>9771.4285714285725</v>
      </c>
      <c r="L2906">
        <v>0.47000000000000003</v>
      </c>
      <c r="M2906">
        <v>4.3999999999999995</v>
      </c>
      <c r="N2906">
        <v>25</v>
      </c>
      <c r="O2906">
        <v>6</v>
      </c>
      <c r="P2906" t="s">
        <v>515</v>
      </c>
      <c r="Q2906" s="97">
        <f t="shared" si="379"/>
        <v>92</v>
      </c>
      <c r="R2906" t="str">
        <f t="shared" si="380"/>
        <v/>
      </c>
    </row>
    <row r="2907" spans="3:18">
      <c r="C2907" t="str">
        <f t="shared" si="381"/>
        <v>NL</v>
      </c>
      <c r="D2907" s="36">
        <v>93</v>
      </c>
      <c r="E2907">
        <v>90</v>
      </c>
      <c r="F2907" s="366">
        <f t="shared" si="376"/>
        <v>1953</v>
      </c>
      <c r="G2907" s="97">
        <v>3968</v>
      </c>
      <c r="H2907" s="367">
        <f t="shared" si="377"/>
        <v>5921</v>
      </c>
      <c r="I2907" s="368">
        <f t="shared" si="378"/>
        <v>0</v>
      </c>
      <c r="J2907">
        <v>12345</v>
      </c>
      <c r="K2907" s="367">
        <f t="shared" si="382"/>
        <v>8817.8571428571431</v>
      </c>
      <c r="L2907">
        <v>0.74</v>
      </c>
      <c r="M2907">
        <v>3.8000000000000003</v>
      </c>
      <c r="N2907">
        <v>27</v>
      </c>
      <c r="O2907">
        <v>5</v>
      </c>
      <c r="P2907" t="s">
        <v>515</v>
      </c>
      <c r="Q2907" s="97" t="str">
        <f t="shared" si="379"/>
        <v/>
      </c>
      <c r="R2907" t="str">
        <f t="shared" si="380"/>
        <v/>
      </c>
    </row>
    <row r="2908" spans="3:18">
      <c r="C2908" t="str">
        <f t="shared" si="381"/>
        <v/>
      </c>
      <c r="D2908" s="36">
        <v>94</v>
      </c>
      <c r="E2908">
        <v>90</v>
      </c>
      <c r="F2908" s="366">
        <f t="shared" si="376"/>
        <v>1953</v>
      </c>
      <c r="G2908" s="97">
        <v>4689</v>
      </c>
      <c r="H2908" s="367">
        <f t="shared" si="377"/>
        <v>6642</v>
      </c>
      <c r="I2908" s="368">
        <f t="shared" si="378"/>
        <v>0</v>
      </c>
      <c r="J2908">
        <v>14588</v>
      </c>
      <c r="K2908" s="367">
        <f t="shared" si="382"/>
        <v>10420</v>
      </c>
      <c r="L2908">
        <v>0.52</v>
      </c>
      <c r="M2908">
        <v>4.3999999999999995</v>
      </c>
      <c r="N2908">
        <v>26</v>
      </c>
      <c r="O2908">
        <v>6</v>
      </c>
      <c r="P2908" t="s">
        <v>515</v>
      </c>
      <c r="Q2908" s="97">
        <f t="shared" si="379"/>
        <v>94</v>
      </c>
      <c r="R2908" t="str">
        <f t="shared" si="380"/>
        <v/>
      </c>
    </row>
    <row r="2909" spans="3:18">
      <c r="C2909" t="str">
        <f t="shared" si="381"/>
        <v>NL</v>
      </c>
      <c r="D2909" s="36">
        <v>95</v>
      </c>
      <c r="E2909">
        <v>95</v>
      </c>
      <c r="F2909" s="366">
        <f t="shared" si="376"/>
        <v>2061.5</v>
      </c>
      <c r="G2909" s="97">
        <v>4179</v>
      </c>
      <c r="H2909" s="367">
        <f t="shared" si="377"/>
        <v>6240.5</v>
      </c>
      <c r="I2909" s="368">
        <f t="shared" si="378"/>
        <v>0</v>
      </c>
      <c r="J2909">
        <v>13002</v>
      </c>
      <c r="K2909" s="367">
        <f t="shared" si="382"/>
        <v>9287.1428571428569</v>
      </c>
      <c r="L2909">
        <v>0.82000000000000006</v>
      </c>
      <c r="M2909">
        <v>3.8000000000000003</v>
      </c>
      <c r="N2909">
        <v>28</v>
      </c>
      <c r="O2909">
        <v>5</v>
      </c>
      <c r="P2909" t="s">
        <v>515</v>
      </c>
      <c r="Q2909" s="97" t="str">
        <f t="shared" si="379"/>
        <v/>
      </c>
      <c r="R2909" t="str">
        <f t="shared" si="380"/>
        <v/>
      </c>
    </row>
    <row r="2910" spans="3:18">
      <c r="C2910" t="str">
        <f t="shared" si="381"/>
        <v/>
      </c>
      <c r="D2910" s="36">
        <v>96</v>
      </c>
      <c r="E2910">
        <v>95</v>
      </c>
      <c r="F2910" s="366">
        <f t="shared" si="376"/>
        <v>2061.5</v>
      </c>
      <c r="G2910" s="97">
        <v>4980</v>
      </c>
      <c r="H2910" s="367">
        <f t="shared" si="377"/>
        <v>7041.5</v>
      </c>
      <c r="I2910" s="368">
        <f t="shared" si="378"/>
        <v>0</v>
      </c>
      <c r="J2910">
        <v>15495</v>
      </c>
      <c r="K2910" s="367">
        <f t="shared" si="382"/>
        <v>11067.857142857143</v>
      </c>
      <c r="L2910">
        <v>0.57999999999999996</v>
      </c>
      <c r="M2910">
        <v>4.3999999999999995</v>
      </c>
      <c r="N2910">
        <v>26</v>
      </c>
      <c r="O2910">
        <v>6</v>
      </c>
      <c r="P2910" t="s">
        <v>515</v>
      </c>
      <c r="Q2910" s="97">
        <f t="shared" si="379"/>
        <v>96</v>
      </c>
      <c r="R2910" t="str">
        <f t="shared" si="380"/>
        <v/>
      </c>
    </row>
    <row r="2911" spans="3:18">
      <c r="C2911" t="str">
        <f t="shared" si="381"/>
        <v>NL</v>
      </c>
      <c r="D2911" s="36">
        <v>97</v>
      </c>
      <c r="E2911">
        <v>100</v>
      </c>
      <c r="F2911" s="366">
        <f t="shared" si="376"/>
        <v>2170</v>
      </c>
      <c r="G2911" s="97">
        <v>4324</v>
      </c>
      <c r="H2911" s="367">
        <f t="shared" si="377"/>
        <v>6494</v>
      </c>
      <c r="I2911" s="368">
        <f t="shared" si="378"/>
        <v>0</v>
      </c>
      <c r="J2911">
        <v>13453</v>
      </c>
      <c r="K2911" s="367">
        <f t="shared" si="382"/>
        <v>9609.2857142857138</v>
      </c>
      <c r="L2911">
        <v>0.91</v>
      </c>
      <c r="M2911">
        <v>3.8000000000000003</v>
      </c>
      <c r="N2911">
        <v>29</v>
      </c>
      <c r="O2911">
        <v>5</v>
      </c>
      <c r="P2911" t="s">
        <v>515</v>
      </c>
      <c r="Q2911" s="97" t="str">
        <f t="shared" si="379"/>
        <v/>
      </c>
      <c r="R2911" t="str">
        <f t="shared" si="380"/>
        <v/>
      </c>
    </row>
    <row r="2912" spans="3:18">
      <c r="C2912" t="str">
        <f t="shared" si="381"/>
        <v/>
      </c>
      <c r="D2912" s="36">
        <v>98</v>
      </c>
      <c r="E2912">
        <v>100</v>
      </c>
      <c r="F2912" s="366">
        <f t="shared" si="376"/>
        <v>2170</v>
      </c>
      <c r="G2912" s="97">
        <v>5230</v>
      </c>
      <c r="H2912" s="367">
        <f t="shared" si="377"/>
        <v>7400</v>
      </c>
      <c r="I2912" s="368">
        <f t="shared" si="378"/>
        <v>0</v>
      </c>
      <c r="J2912">
        <v>16272</v>
      </c>
      <c r="K2912" s="367">
        <f t="shared" si="382"/>
        <v>11622.857142857143</v>
      </c>
      <c r="L2912">
        <v>0.65</v>
      </c>
      <c r="M2912">
        <v>4.3999999999999995</v>
      </c>
      <c r="N2912">
        <v>27</v>
      </c>
      <c r="O2912">
        <v>6</v>
      </c>
      <c r="P2912" t="s">
        <v>515</v>
      </c>
      <c r="Q2912" s="97">
        <f t="shared" si="379"/>
        <v>98</v>
      </c>
      <c r="R2912" t="str">
        <f t="shared" si="380"/>
        <v/>
      </c>
    </row>
    <row r="2913" spans="2:18">
      <c r="C2913" t="str">
        <f t="shared" si="381"/>
        <v>NL</v>
      </c>
      <c r="D2913" s="36">
        <v>99</v>
      </c>
      <c r="E2913">
        <v>105</v>
      </c>
      <c r="F2913" s="366">
        <f t="shared" si="376"/>
        <v>2278.5</v>
      </c>
      <c r="G2913" s="97">
        <v>4461</v>
      </c>
      <c r="H2913" s="367">
        <f t="shared" si="377"/>
        <v>6739.5</v>
      </c>
      <c r="I2913" s="368">
        <f t="shared" si="378"/>
        <v>0</v>
      </c>
      <c r="J2913">
        <v>13878</v>
      </c>
      <c r="K2913" s="367">
        <f t="shared" si="382"/>
        <v>9912.8571428571431</v>
      </c>
      <c r="L2913">
        <v>1.01</v>
      </c>
      <c r="M2913">
        <v>3.8000000000000003</v>
      </c>
      <c r="N2913">
        <v>29</v>
      </c>
      <c r="O2913">
        <v>5</v>
      </c>
      <c r="P2913" t="s">
        <v>515</v>
      </c>
      <c r="Q2913" s="97" t="str">
        <f t="shared" si="379"/>
        <v/>
      </c>
      <c r="R2913" t="str">
        <f t="shared" si="380"/>
        <v/>
      </c>
    </row>
    <row r="2914" spans="2:18">
      <c r="C2914" t="str">
        <f t="shared" si="381"/>
        <v/>
      </c>
      <c r="D2914" s="36">
        <v>100</v>
      </c>
      <c r="E2914">
        <v>105</v>
      </c>
      <c r="F2914" s="366">
        <f t="shared" si="376"/>
        <v>2278.5</v>
      </c>
      <c r="G2914" s="97">
        <v>5475</v>
      </c>
      <c r="H2914" s="367">
        <f t="shared" si="377"/>
        <v>7753.5</v>
      </c>
      <c r="I2914" s="368">
        <f t="shared" si="378"/>
        <v>0</v>
      </c>
      <c r="J2914">
        <v>17035</v>
      </c>
      <c r="K2914" s="367">
        <f t="shared" si="382"/>
        <v>12167.857142857143</v>
      </c>
      <c r="L2914">
        <v>0.71</v>
      </c>
      <c r="M2914">
        <v>4.3999999999999995</v>
      </c>
      <c r="N2914">
        <v>28</v>
      </c>
      <c r="O2914">
        <v>6</v>
      </c>
      <c r="P2914" t="s">
        <v>515</v>
      </c>
      <c r="Q2914" s="97">
        <f t="shared" si="379"/>
        <v>100</v>
      </c>
      <c r="R2914" t="str">
        <f t="shared" si="380"/>
        <v/>
      </c>
    </row>
    <row r="2915" spans="2:18">
      <c r="C2915" t="str">
        <f t="shared" si="381"/>
        <v>NL</v>
      </c>
      <c r="D2915" s="36">
        <v>101</v>
      </c>
      <c r="E2915">
        <v>110</v>
      </c>
      <c r="F2915" s="366">
        <f t="shared" si="376"/>
        <v>2387</v>
      </c>
      <c r="G2915" s="97">
        <v>4597</v>
      </c>
      <c r="H2915" s="367">
        <f t="shared" si="377"/>
        <v>6984</v>
      </c>
      <c r="I2915" s="368">
        <f t="shared" si="378"/>
        <v>0</v>
      </c>
      <c r="J2915">
        <v>14304</v>
      </c>
      <c r="K2915" s="367">
        <f t="shared" si="382"/>
        <v>10217.142857142857</v>
      </c>
      <c r="L2915">
        <v>1.1000000000000001</v>
      </c>
      <c r="M2915">
        <v>3.8000000000000003</v>
      </c>
      <c r="N2915">
        <v>30</v>
      </c>
      <c r="O2915">
        <v>5</v>
      </c>
      <c r="P2915" t="s">
        <v>515</v>
      </c>
      <c r="Q2915" s="97" t="str">
        <f t="shared" si="379"/>
        <v/>
      </c>
      <c r="R2915" t="str">
        <f t="shared" si="380"/>
        <v/>
      </c>
    </row>
    <row r="2916" spans="2:18">
      <c r="C2916" t="str">
        <f t="shared" si="381"/>
        <v/>
      </c>
      <c r="D2916" s="36">
        <v>102</v>
      </c>
      <c r="E2916">
        <v>110</v>
      </c>
      <c r="F2916" s="366">
        <f t="shared" si="376"/>
        <v>2387</v>
      </c>
      <c r="G2916" s="97">
        <v>5721</v>
      </c>
      <c r="H2916" s="367">
        <f t="shared" si="377"/>
        <v>8108</v>
      </c>
      <c r="I2916" s="368">
        <f t="shared" si="378"/>
        <v>0</v>
      </c>
      <c r="J2916">
        <v>17798</v>
      </c>
      <c r="K2916" s="367">
        <f t="shared" si="382"/>
        <v>12712.857142857143</v>
      </c>
      <c r="L2916">
        <v>0.78</v>
      </c>
      <c r="M2916">
        <v>4.3999999999999995</v>
      </c>
      <c r="N2916">
        <v>28</v>
      </c>
      <c r="O2916">
        <v>6</v>
      </c>
      <c r="P2916" t="s">
        <v>515</v>
      </c>
      <c r="Q2916" s="97" t="str">
        <f t="shared" si="379"/>
        <v/>
      </c>
      <c r="R2916" t="str">
        <f t="shared" si="380"/>
        <v/>
      </c>
    </row>
    <row r="2917" spans="2:18">
      <c r="C2917" t="str">
        <f t="shared" si="381"/>
        <v/>
      </c>
      <c r="D2917" s="36">
        <v>103</v>
      </c>
      <c r="E2917">
        <v>115</v>
      </c>
      <c r="F2917" s="366">
        <f t="shared" si="376"/>
        <v>2495.5</v>
      </c>
      <c r="G2917" s="97">
        <v>5966</v>
      </c>
      <c r="H2917" s="367">
        <f t="shared" si="377"/>
        <v>8461.5</v>
      </c>
      <c r="I2917" s="368">
        <f t="shared" si="378"/>
        <v>0</v>
      </c>
      <c r="J2917">
        <v>18561</v>
      </c>
      <c r="K2917" s="367">
        <f t="shared" si="382"/>
        <v>13257.857142857143</v>
      </c>
      <c r="L2917">
        <v>0.83</v>
      </c>
      <c r="M2917">
        <v>4.3999999999999995</v>
      </c>
      <c r="N2917">
        <v>29</v>
      </c>
      <c r="O2917">
        <v>6</v>
      </c>
      <c r="P2917" t="s">
        <v>515</v>
      </c>
      <c r="Q2917" s="97" t="str">
        <f t="shared" si="379"/>
        <v/>
      </c>
      <c r="R2917" t="str">
        <f t="shared" si="380"/>
        <v/>
      </c>
    </row>
    <row r="2918" spans="2:18">
      <c r="C2918" t="str">
        <f t="shared" si="381"/>
        <v/>
      </c>
      <c r="D2918" s="36">
        <v>104</v>
      </c>
      <c r="E2918">
        <v>120</v>
      </c>
      <c r="F2918" s="366">
        <f t="shared" si="376"/>
        <v>2604</v>
      </c>
      <c r="G2918" s="97">
        <v>6153</v>
      </c>
      <c r="H2918" s="367">
        <f t="shared" si="377"/>
        <v>8757</v>
      </c>
      <c r="I2918" s="368">
        <f t="shared" si="378"/>
        <v>0</v>
      </c>
      <c r="J2918">
        <v>19143</v>
      </c>
      <c r="K2918" s="367">
        <f t="shared" si="382"/>
        <v>13673.571428571429</v>
      </c>
      <c r="L2918">
        <v>0.9</v>
      </c>
      <c r="M2918">
        <v>4.3999999999999995</v>
      </c>
      <c r="N2918">
        <v>29</v>
      </c>
      <c r="O2918">
        <v>6</v>
      </c>
      <c r="P2918" t="s">
        <v>515</v>
      </c>
      <c r="Q2918" s="97" t="str">
        <f t="shared" si="379"/>
        <v/>
      </c>
      <c r="R2918" t="str">
        <f t="shared" si="380"/>
        <v/>
      </c>
    </row>
    <row r="2919" spans="2:18">
      <c r="C2919" t="str">
        <f t="shared" si="381"/>
        <v/>
      </c>
      <c r="D2919" s="36">
        <v>105</v>
      </c>
      <c r="E2919">
        <v>125</v>
      </c>
      <c r="F2919" s="366">
        <f t="shared" si="376"/>
        <v>2712.5</v>
      </c>
      <c r="G2919" s="97">
        <v>6309</v>
      </c>
      <c r="H2919" s="367">
        <f t="shared" si="377"/>
        <v>9021.5</v>
      </c>
      <c r="I2919" s="368">
        <f t="shared" si="378"/>
        <v>0</v>
      </c>
      <c r="J2919">
        <v>19629</v>
      </c>
      <c r="K2919" s="367">
        <f t="shared" si="382"/>
        <v>14020.714285714286</v>
      </c>
      <c r="L2919">
        <v>0.98</v>
      </c>
      <c r="M2919">
        <v>4.3999999999999995</v>
      </c>
      <c r="N2919">
        <v>30</v>
      </c>
      <c r="O2919">
        <v>6</v>
      </c>
      <c r="P2919" t="s">
        <v>515</v>
      </c>
      <c r="Q2919" s="97" t="str">
        <f t="shared" si="379"/>
        <v/>
      </c>
      <c r="R2919" t="str">
        <f t="shared" si="380"/>
        <v/>
      </c>
    </row>
    <row r="2920" spans="2:18">
      <c r="C2920" t="str">
        <f t="shared" si="381"/>
        <v/>
      </c>
      <c r="D2920" s="36">
        <v>106</v>
      </c>
      <c r="E2920">
        <v>130</v>
      </c>
      <c r="F2920" s="366">
        <f t="shared" si="376"/>
        <v>2821</v>
      </c>
      <c r="G2920" s="97">
        <v>6465</v>
      </c>
      <c r="H2920" s="367">
        <f t="shared" si="377"/>
        <v>9286</v>
      </c>
      <c r="I2920" s="368">
        <f t="shared" si="378"/>
        <v>0</v>
      </c>
      <c r="J2920">
        <v>20116</v>
      </c>
      <c r="K2920" s="367">
        <f t="shared" si="382"/>
        <v>14368.571428571429</v>
      </c>
      <c r="L2920">
        <v>1.06</v>
      </c>
      <c r="M2920">
        <v>4.3999999999999995</v>
      </c>
      <c r="N2920">
        <v>30</v>
      </c>
      <c r="O2920">
        <v>6</v>
      </c>
      <c r="P2920" t="s">
        <v>515</v>
      </c>
      <c r="Q2920" s="97" t="str">
        <f t="shared" si="379"/>
        <v/>
      </c>
      <c r="R2920" t="str">
        <f t="shared" si="380"/>
        <v/>
      </c>
    </row>
    <row r="2921" spans="2:18">
      <c r="B2921" s="582"/>
    </row>
    <row r="2922" spans="2:18">
      <c r="B2922" s="582"/>
      <c r="C2922" t="str">
        <f t="shared" si="381"/>
        <v/>
      </c>
      <c r="D2922" s="36">
        <v>1</v>
      </c>
      <c r="E2922">
        <v>5</v>
      </c>
      <c r="F2922" s="366">
        <f t="shared" si="376"/>
        <v>108.5</v>
      </c>
      <c r="G2922" s="97">
        <v>467</v>
      </c>
      <c r="H2922" s="367">
        <f t="shared" si="377"/>
        <v>575.5</v>
      </c>
      <c r="I2922" s="368">
        <f t="shared" si="378"/>
        <v>0</v>
      </c>
      <c r="J2922">
        <v>1958</v>
      </c>
      <c r="K2922" s="367">
        <f t="shared" si="382"/>
        <v>1398.5714285714287</v>
      </c>
      <c r="L2922" s="607">
        <v>0.2</v>
      </c>
      <c r="M2922">
        <v>1.7000000000000002</v>
      </c>
      <c r="N2922" s="381">
        <v>15</v>
      </c>
      <c r="O2922">
        <v>2</v>
      </c>
      <c r="P2922" t="s">
        <v>513</v>
      </c>
      <c r="Q2922" s="97" t="str">
        <f t="shared" si="379"/>
        <v/>
      </c>
      <c r="R2922" t="str">
        <f>IF(Q2922="","",IF(AND(O2922&lt;$X$26,E2922&gt;$U$26,E2922&lt;$Q$4+$U$26+1),D2922,""))</f>
        <v/>
      </c>
    </row>
    <row r="2923" spans="2:18">
      <c r="C2923" t="str">
        <f t="shared" si="381"/>
        <v/>
      </c>
      <c r="D2923" s="36">
        <v>2</v>
      </c>
      <c r="E2923">
        <v>5</v>
      </c>
      <c r="F2923" s="366">
        <f t="shared" si="376"/>
        <v>108.5</v>
      </c>
      <c r="G2923" s="97">
        <v>580</v>
      </c>
      <c r="H2923" s="367">
        <f t="shared" ref="H2923:H2986" si="383">(G2923*$U$7)+F2923</f>
        <v>688.5</v>
      </c>
      <c r="I2923" s="368">
        <f t="shared" ref="I2923:I2986" si="384">1.085*($C$2-$D$2)*E2923*$T$7</f>
        <v>0</v>
      </c>
      <c r="J2923">
        <v>2429</v>
      </c>
      <c r="K2923" s="367">
        <f t="shared" si="382"/>
        <v>1735</v>
      </c>
      <c r="L2923" s="607">
        <v>0.48</v>
      </c>
      <c r="M2923">
        <v>1.7000000000000002</v>
      </c>
      <c r="N2923" s="381">
        <v>15</v>
      </c>
      <c r="O2923">
        <v>2</v>
      </c>
      <c r="P2923" t="s">
        <v>512</v>
      </c>
      <c r="Q2923" s="97" t="str">
        <f t="shared" ref="Q2923:Q2986" si="385">IF(AND(H2923+1&gt;$E$4,L2923&lt;$L$4+0.01,M2923&lt;$M$4+0.01,K2923+1&gt;$F$4,E2923+1&gt;$J$4,N2923&lt;$K$4+1,O2923&lt;$P$4+1,C2923=""),D2923,"")</f>
        <v/>
      </c>
      <c r="R2923" t="str">
        <f t="shared" ref="R2923:R2986" si="386">IF(Q2923="","",IF(AND(O2923&lt;$X$26,E2923&gt;$U$26,E2923&lt;$Q$4+$U$26+1),D2923,""))</f>
        <v/>
      </c>
    </row>
    <row r="2924" spans="2:18">
      <c r="C2924" t="str">
        <f t="shared" si="381"/>
        <v>NL</v>
      </c>
      <c r="D2924" s="36">
        <v>3</v>
      </c>
      <c r="E2924">
        <v>5</v>
      </c>
      <c r="F2924" s="366">
        <f t="shared" si="376"/>
        <v>108.5</v>
      </c>
      <c r="G2924" s="97">
        <v>602</v>
      </c>
      <c r="H2924" s="367">
        <f t="shared" si="383"/>
        <v>710.5</v>
      </c>
      <c r="I2924" s="368">
        <f t="shared" si="384"/>
        <v>0</v>
      </c>
      <c r="J2924">
        <v>2522</v>
      </c>
      <c r="K2924" s="367">
        <f t="shared" si="382"/>
        <v>1801.4285714285716</v>
      </c>
      <c r="L2924" s="607">
        <v>0.19</v>
      </c>
      <c r="M2924">
        <v>2.4</v>
      </c>
      <c r="N2924" s="381">
        <v>15</v>
      </c>
      <c r="O2924">
        <v>3</v>
      </c>
      <c r="P2924" t="s">
        <v>512</v>
      </c>
      <c r="Q2924" s="97" t="str">
        <f t="shared" si="385"/>
        <v/>
      </c>
      <c r="R2924" t="str">
        <f t="shared" si="386"/>
        <v/>
      </c>
    </row>
    <row r="2925" spans="2:18">
      <c r="C2925" t="str">
        <f t="shared" si="381"/>
        <v/>
      </c>
      <c r="D2925" s="36">
        <v>4</v>
      </c>
      <c r="E2925">
        <v>10</v>
      </c>
      <c r="F2925" s="366">
        <f t="shared" si="376"/>
        <v>217</v>
      </c>
      <c r="G2925" s="97">
        <v>771</v>
      </c>
      <c r="H2925" s="367">
        <f t="shared" si="383"/>
        <v>988</v>
      </c>
      <c r="I2925" s="368">
        <f t="shared" si="384"/>
        <v>0</v>
      </c>
      <c r="J2925">
        <v>3227</v>
      </c>
      <c r="K2925" s="367">
        <f t="shared" si="382"/>
        <v>2305</v>
      </c>
      <c r="L2925" s="607">
        <v>0.21000000000000002</v>
      </c>
      <c r="M2925">
        <v>1.7000000000000002</v>
      </c>
      <c r="N2925" s="381">
        <v>15</v>
      </c>
      <c r="O2925">
        <v>2</v>
      </c>
      <c r="P2925" t="s">
        <v>514</v>
      </c>
      <c r="Q2925" s="97" t="str">
        <f t="shared" si="385"/>
        <v/>
      </c>
      <c r="R2925" t="str">
        <f t="shared" si="386"/>
        <v/>
      </c>
    </row>
    <row r="2926" spans="2:18">
      <c r="C2926" t="str">
        <f t="shared" si="381"/>
        <v/>
      </c>
      <c r="D2926" s="36">
        <v>5</v>
      </c>
      <c r="E2926">
        <v>10</v>
      </c>
      <c r="F2926" s="366">
        <f t="shared" si="376"/>
        <v>217</v>
      </c>
      <c r="G2926" s="97">
        <v>872</v>
      </c>
      <c r="H2926" s="367">
        <f t="shared" si="383"/>
        <v>1089</v>
      </c>
      <c r="I2926" s="368">
        <f t="shared" si="384"/>
        <v>0</v>
      </c>
      <c r="J2926">
        <v>3652</v>
      </c>
      <c r="K2926" s="367">
        <f t="shared" si="382"/>
        <v>2608.5714285714284</v>
      </c>
      <c r="L2926" s="607">
        <v>0.8</v>
      </c>
      <c r="M2926">
        <v>1.7000000000000002</v>
      </c>
      <c r="N2926" s="381">
        <v>18</v>
      </c>
      <c r="O2926">
        <v>2</v>
      </c>
      <c r="P2926" t="s">
        <v>513</v>
      </c>
      <c r="Q2926" s="97" t="str">
        <f t="shared" si="385"/>
        <v/>
      </c>
      <c r="R2926" t="str">
        <f t="shared" si="386"/>
        <v/>
      </c>
    </row>
    <row r="2927" spans="2:18">
      <c r="C2927" t="str">
        <f t="shared" si="381"/>
        <v>NL</v>
      </c>
      <c r="D2927" s="36">
        <v>6</v>
      </c>
      <c r="E2927">
        <v>10</v>
      </c>
      <c r="F2927" s="366">
        <f t="shared" si="376"/>
        <v>217</v>
      </c>
      <c r="G2927" s="97">
        <v>920</v>
      </c>
      <c r="H2927" s="367">
        <f t="shared" si="383"/>
        <v>1137</v>
      </c>
      <c r="I2927" s="368">
        <f t="shared" si="384"/>
        <v>0</v>
      </c>
      <c r="J2927">
        <v>3853</v>
      </c>
      <c r="K2927" s="367">
        <f t="shared" si="382"/>
        <v>2752.1428571428573</v>
      </c>
      <c r="L2927" s="607">
        <v>0.31</v>
      </c>
      <c r="M2927">
        <v>2.4</v>
      </c>
      <c r="N2927" s="381">
        <v>15</v>
      </c>
      <c r="O2927">
        <v>3</v>
      </c>
      <c r="P2927" t="s">
        <v>513</v>
      </c>
      <c r="Q2927" s="97" t="str">
        <f t="shared" si="385"/>
        <v/>
      </c>
      <c r="R2927" t="str">
        <f t="shared" si="386"/>
        <v/>
      </c>
    </row>
    <row r="2928" spans="2:18">
      <c r="C2928" t="str">
        <f t="shared" si="381"/>
        <v>NL</v>
      </c>
      <c r="D2928" s="36">
        <v>7</v>
      </c>
      <c r="E2928">
        <v>10</v>
      </c>
      <c r="F2928" s="366">
        <f t="shared" si="376"/>
        <v>217</v>
      </c>
      <c r="G2928" s="97">
        <v>1135</v>
      </c>
      <c r="H2928" s="367">
        <f t="shared" si="383"/>
        <v>1352</v>
      </c>
      <c r="I2928" s="368">
        <f t="shared" si="384"/>
        <v>0</v>
      </c>
      <c r="J2928">
        <v>4752</v>
      </c>
      <c r="K2928" s="367">
        <f t="shared" si="382"/>
        <v>3394.2857142857142</v>
      </c>
      <c r="L2928" s="607">
        <v>0.75</v>
      </c>
      <c r="M2928">
        <v>2.4</v>
      </c>
      <c r="N2928" s="381">
        <v>19</v>
      </c>
      <c r="O2928">
        <v>3</v>
      </c>
      <c r="P2928" t="s">
        <v>512</v>
      </c>
      <c r="Q2928" s="97" t="str">
        <f t="shared" si="385"/>
        <v/>
      </c>
      <c r="R2928" t="str">
        <f t="shared" si="386"/>
        <v/>
      </c>
    </row>
    <row r="2929" spans="3:18">
      <c r="C2929" t="str">
        <f t="shared" si="381"/>
        <v/>
      </c>
      <c r="D2929" s="36">
        <v>8</v>
      </c>
      <c r="E2929">
        <v>10</v>
      </c>
      <c r="F2929" s="366">
        <f t="shared" si="376"/>
        <v>217</v>
      </c>
      <c r="G2929" s="97">
        <v>936</v>
      </c>
      <c r="H2929" s="367">
        <f t="shared" si="383"/>
        <v>1153</v>
      </c>
      <c r="I2929" s="368">
        <f t="shared" si="384"/>
        <v>0</v>
      </c>
      <c r="J2929">
        <v>3919</v>
      </c>
      <c r="K2929" s="367">
        <f t="shared" si="382"/>
        <v>2799.2857142857142</v>
      </c>
      <c r="L2929" s="607">
        <v>0.17</v>
      </c>
      <c r="M2929">
        <v>3.1</v>
      </c>
      <c r="N2929" s="381">
        <v>15</v>
      </c>
      <c r="O2929">
        <v>4</v>
      </c>
      <c r="P2929" t="s">
        <v>513</v>
      </c>
      <c r="Q2929" s="97" t="str">
        <f t="shared" si="385"/>
        <v/>
      </c>
      <c r="R2929" t="str">
        <f t="shared" si="386"/>
        <v/>
      </c>
    </row>
    <row r="2930" spans="3:18">
      <c r="C2930" t="str">
        <f t="shared" si="381"/>
        <v/>
      </c>
      <c r="D2930" s="36">
        <v>9</v>
      </c>
      <c r="E2930">
        <v>10</v>
      </c>
      <c r="F2930" s="366">
        <f t="shared" si="376"/>
        <v>217</v>
      </c>
      <c r="G2930" s="97">
        <v>1164</v>
      </c>
      <c r="H2930" s="367">
        <f t="shared" si="383"/>
        <v>1381</v>
      </c>
      <c r="I2930" s="368">
        <f t="shared" si="384"/>
        <v>0</v>
      </c>
      <c r="J2930">
        <v>4872</v>
      </c>
      <c r="K2930" s="367">
        <f t="shared" si="382"/>
        <v>3480</v>
      </c>
      <c r="L2930" s="607">
        <v>0.39</v>
      </c>
      <c r="M2930">
        <v>3.1</v>
      </c>
      <c r="N2930" s="381">
        <v>16</v>
      </c>
      <c r="O2930">
        <v>4</v>
      </c>
      <c r="P2930" t="s">
        <v>512</v>
      </c>
      <c r="Q2930" s="97" t="str">
        <f t="shared" si="385"/>
        <v/>
      </c>
      <c r="R2930" t="str">
        <f t="shared" si="386"/>
        <v/>
      </c>
    </row>
    <row r="2931" spans="3:18">
      <c r="C2931" t="str">
        <f t="shared" si="381"/>
        <v/>
      </c>
      <c r="D2931" s="36">
        <v>10</v>
      </c>
      <c r="E2931">
        <v>10</v>
      </c>
      <c r="F2931" s="366">
        <f t="shared" si="376"/>
        <v>217</v>
      </c>
      <c r="G2931" s="97">
        <v>1016</v>
      </c>
      <c r="H2931" s="367">
        <f t="shared" si="383"/>
        <v>1233</v>
      </c>
      <c r="I2931" s="368">
        <f t="shared" si="384"/>
        <v>0</v>
      </c>
      <c r="J2931">
        <v>4253</v>
      </c>
      <c r="K2931" s="367">
        <f t="shared" si="382"/>
        <v>3037.8571428571431</v>
      </c>
      <c r="L2931" s="607">
        <v>0.18000000000000002</v>
      </c>
      <c r="M2931">
        <v>4.3999999999999995</v>
      </c>
      <c r="N2931" s="381">
        <v>15</v>
      </c>
      <c r="O2931">
        <v>6</v>
      </c>
      <c r="P2931" t="s">
        <v>512</v>
      </c>
      <c r="Q2931" s="97" t="str">
        <f t="shared" si="385"/>
        <v/>
      </c>
      <c r="R2931" t="str">
        <f t="shared" si="386"/>
        <v/>
      </c>
    </row>
    <row r="2932" spans="3:18">
      <c r="C2932" t="str">
        <f t="shared" si="381"/>
        <v/>
      </c>
      <c r="D2932" s="36">
        <v>11</v>
      </c>
      <c r="E2932">
        <v>15</v>
      </c>
      <c r="F2932" s="366">
        <f t="shared" ref="F2932:F2995" si="387">1.085*($A$2-$B$2)*E2932*$T$7</f>
        <v>325.5</v>
      </c>
      <c r="G2932" s="97">
        <v>858</v>
      </c>
      <c r="H2932" s="367">
        <f t="shared" si="383"/>
        <v>1183.5</v>
      </c>
      <c r="I2932" s="368">
        <f t="shared" si="384"/>
        <v>0</v>
      </c>
      <c r="J2932">
        <v>3593</v>
      </c>
      <c r="K2932" s="367">
        <f t="shared" si="382"/>
        <v>2566.4285714285716</v>
      </c>
      <c r="L2932" s="607">
        <v>0.17</v>
      </c>
      <c r="M2932">
        <v>1.7000000000000002</v>
      </c>
      <c r="N2932" s="381">
        <v>15</v>
      </c>
      <c r="O2932">
        <v>2</v>
      </c>
      <c r="P2932" t="s">
        <v>515</v>
      </c>
      <c r="Q2932" s="97" t="str">
        <f t="shared" si="385"/>
        <v/>
      </c>
      <c r="R2932" t="str">
        <f t="shared" si="386"/>
        <v/>
      </c>
    </row>
    <row r="2933" spans="3:18">
      <c r="C2933" t="str">
        <f t="shared" si="381"/>
        <v/>
      </c>
      <c r="D2933" s="36">
        <v>12</v>
      </c>
      <c r="E2933">
        <v>15</v>
      </c>
      <c r="F2933" s="366">
        <f t="shared" si="387"/>
        <v>325.5</v>
      </c>
      <c r="G2933" s="97">
        <v>1095</v>
      </c>
      <c r="H2933" s="367">
        <f t="shared" si="383"/>
        <v>1420.5</v>
      </c>
      <c r="I2933" s="368">
        <f t="shared" si="384"/>
        <v>0</v>
      </c>
      <c r="J2933">
        <v>4584</v>
      </c>
      <c r="K2933" s="367">
        <f t="shared" si="382"/>
        <v>3274.2857142857142</v>
      </c>
      <c r="L2933" s="607">
        <v>0.46</v>
      </c>
      <c r="M2933">
        <v>1.7000000000000002</v>
      </c>
      <c r="N2933" s="381">
        <v>15</v>
      </c>
      <c r="O2933">
        <v>2</v>
      </c>
      <c r="P2933" t="s">
        <v>514</v>
      </c>
      <c r="Q2933" s="97" t="str">
        <f t="shared" si="385"/>
        <v/>
      </c>
      <c r="R2933" t="str">
        <f t="shared" si="386"/>
        <v/>
      </c>
    </row>
    <row r="2934" spans="3:18">
      <c r="C2934" t="str">
        <f t="shared" si="381"/>
        <v>NL</v>
      </c>
      <c r="D2934" s="36">
        <v>13</v>
      </c>
      <c r="E2934">
        <v>15</v>
      </c>
      <c r="F2934" s="366">
        <f t="shared" si="387"/>
        <v>325.5</v>
      </c>
      <c r="G2934" s="97">
        <v>1163</v>
      </c>
      <c r="H2934" s="367">
        <f t="shared" si="383"/>
        <v>1488.5</v>
      </c>
      <c r="I2934" s="368">
        <f t="shared" si="384"/>
        <v>0</v>
      </c>
      <c r="J2934">
        <v>4870</v>
      </c>
      <c r="K2934" s="367">
        <f t="shared" si="382"/>
        <v>3478.5714285714284</v>
      </c>
      <c r="L2934" s="607">
        <v>0.18000000000000002</v>
      </c>
      <c r="M2934">
        <v>2.4</v>
      </c>
      <c r="N2934" s="381">
        <v>15</v>
      </c>
      <c r="O2934">
        <v>3</v>
      </c>
      <c r="P2934" t="s">
        <v>514</v>
      </c>
      <c r="Q2934" s="97" t="str">
        <f t="shared" si="385"/>
        <v/>
      </c>
      <c r="R2934" t="str">
        <f t="shared" si="386"/>
        <v/>
      </c>
    </row>
    <row r="2935" spans="3:18">
      <c r="C2935" t="str">
        <f t="shared" si="381"/>
        <v>NL</v>
      </c>
      <c r="D2935" s="36">
        <v>14</v>
      </c>
      <c r="E2935">
        <v>15</v>
      </c>
      <c r="F2935" s="366">
        <f t="shared" si="387"/>
        <v>325.5</v>
      </c>
      <c r="G2935" s="97">
        <v>1317</v>
      </c>
      <c r="H2935" s="367">
        <f t="shared" si="383"/>
        <v>1642.5</v>
      </c>
      <c r="I2935" s="368">
        <f t="shared" si="384"/>
        <v>0</v>
      </c>
      <c r="J2935">
        <v>5514</v>
      </c>
      <c r="K2935" s="367">
        <f t="shared" si="382"/>
        <v>3938.5714285714284</v>
      </c>
      <c r="L2935" s="607">
        <v>0.7</v>
      </c>
      <c r="M2935">
        <v>2.4</v>
      </c>
      <c r="N2935" s="381">
        <v>19</v>
      </c>
      <c r="O2935">
        <v>3</v>
      </c>
      <c r="P2935" t="s">
        <v>513</v>
      </c>
      <c r="Q2935" s="97" t="str">
        <f t="shared" si="385"/>
        <v/>
      </c>
      <c r="R2935" t="str">
        <f t="shared" si="386"/>
        <v/>
      </c>
    </row>
    <row r="2936" spans="3:18">
      <c r="C2936" t="str">
        <f t="shared" si="381"/>
        <v/>
      </c>
      <c r="D2936" s="36">
        <v>15</v>
      </c>
      <c r="E2936">
        <v>15</v>
      </c>
      <c r="F2936" s="366">
        <f t="shared" si="387"/>
        <v>325.5</v>
      </c>
      <c r="G2936" s="97">
        <v>1353</v>
      </c>
      <c r="H2936" s="367">
        <f t="shared" si="383"/>
        <v>1678.5</v>
      </c>
      <c r="I2936" s="368">
        <f t="shared" si="384"/>
        <v>0</v>
      </c>
      <c r="J2936">
        <v>5663</v>
      </c>
      <c r="K2936" s="367">
        <f t="shared" si="382"/>
        <v>4045</v>
      </c>
      <c r="L2936" s="607">
        <v>0.37</v>
      </c>
      <c r="M2936">
        <v>3.1</v>
      </c>
      <c r="N2936" s="381">
        <v>16</v>
      </c>
      <c r="O2936">
        <v>4</v>
      </c>
      <c r="P2936" t="s">
        <v>513</v>
      </c>
      <c r="Q2936" s="97" t="str">
        <f t="shared" si="385"/>
        <v/>
      </c>
      <c r="R2936" t="str">
        <f t="shared" si="386"/>
        <v/>
      </c>
    </row>
    <row r="2937" spans="3:18">
      <c r="C2937" t="str">
        <f t="shared" si="381"/>
        <v/>
      </c>
      <c r="D2937" s="36">
        <v>16</v>
      </c>
      <c r="E2937">
        <v>15</v>
      </c>
      <c r="F2937" s="366">
        <f t="shared" si="387"/>
        <v>325.5</v>
      </c>
      <c r="G2937" s="97">
        <v>1187</v>
      </c>
      <c r="H2937" s="367">
        <f t="shared" si="383"/>
        <v>1512.5</v>
      </c>
      <c r="I2937" s="368">
        <f t="shared" si="384"/>
        <v>0</v>
      </c>
      <c r="J2937">
        <v>4969</v>
      </c>
      <c r="K2937" s="367">
        <f t="shared" si="382"/>
        <v>3549.2857142857142</v>
      </c>
      <c r="L2937" s="607">
        <v>0.17</v>
      </c>
      <c r="M2937">
        <v>4.3999999999999995</v>
      </c>
      <c r="N2937" s="381">
        <v>15</v>
      </c>
      <c r="O2937">
        <v>6</v>
      </c>
      <c r="P2937" t="s">
        <v>513</v>
      </c>
      <c r="Q2937" s="97" t="str">
        <f t="shared" si="385"/>
        <v/>
      </c>
      <c r="R2937" t="str">
        <f t="shared" si="386"/>
        <v/>
      </c>
    </row>
    <row r="2938" spans="3:18">
      <c r="C2938" t="str">
        <f t="shared" si="381"/>
        <v/>
      </c>
      <c r="D2938" s="36">
        <v>17</v>
      </c>
      <c r="E2938">
        <v>15</v>
      </c>
      <c r="F2938" s="366">
        <f t="shared" si="387"/>
        <v>325.5</v>
      </c>
      <c r="G2938" s="97">
        <v>1472</v>
      </c>
      <c r="H2938" s="367">
        <f t="shared" si="383"/>
        <v>1797.5</v>
      </c>
      <c r="I2938" s="368">
        <f t="shared" si="384"/>
        <v>0</v>
      </c>
      <c r="J2938">
        <v>6163</v>
      </c>
      <c r="K2938" s="367">
        <f t="shared" si="382"/>
        <v>4402.1428571428569</v>
      </c>
      <c r="L2938" s="607">
        <v>0.4</v>
      </c>
      <c r="M2938">
        <v>4.3999999999999995</v>
      </c>
      <c r="N2938" s="381">
        <v>19</v>
      </c>
      <c r="O2938">
        <v>6</v>
      </c>
      <c r="P2938" t="s">
        <v>512</v>
      </c>
      <c r="Q2938" s="97" t="str">
        <f t="shared" si="385"/>
        <v/>
      </c>
      <c r="R2938" t="str">
        <f t="shared" si="386"/>
        <v/>
      </c>
    </row>
    <row r="2939" spans="3:18">
      <c r="C2939" t="str">
        <f t="shared" si="381"/>
        <v/>
      </c>
      <c r="D2939" s="36">
        <v>18</v>
      </c>
      <c r="E2939">
        <v>20</v>
      </c>
      <c r="F2939" s="366">
        <f t="shared" si="387"/>
        <v>434</v>
      </c>
      <c r="G2939" s="97">
        <v>1105</v>
      </c>
      <c r="H2939" s="367">
        <f t="shared" si="383"/>
        <v>1539</v>
      </c>
      <c r="I2939" s="368">
        <f t="shared" si="384"/>
        <v>0</v>
      </c>
      <c r="J2939">
        <v>4626</v>
      </c>
      <c r="K2939" s="367">
        <f t="shared" si="382"/>
        <v>3304.2857142857142</v>
      </c>
      <c r="L2939" s="607">
        <v>0.29000000000000004</v>
      </c>
      <c r="M2939">
        <v>1.7000000000000002</v>
      </c>
      <c r="N2939" s="381">
        <v>16</v>
      </c>
      <c r="O2939">
        <v>2</v>
      </c>
      <c r="P2939" t="s">
        <v>515</v>
      </c>
      <c r="Q2939" s="97" t="str">
        <f t="shared" si="385"/>
        <v/>
      </c>
      <c r="R2939" t="str">
        <f t="shared" si="386"/>
        <v/>
      </c>
    </row>
    <row r="2940" spans="3:18">
      <c r="C2940" t="str">
        <f t="shared" si="381"/>
        <v>NL</v>
      </c>
      <c r="D2940" s="36">
        <v>19</v>
      </c>
      <c r="E2940">
        <v>20</v>
      </c>
      <c r="F2940" s="366">
        <f t="shared" si="387"/>
        <v>434</v>
      </c>
      <c r="G2940" s="97">
        <v>1493</v>
      </c>
      <c r="H2940" s="367">
        <f t="shared" si="383"/>
        <v>1927</v>
      </c>
      <c r="I2940" s="368">
        <f t="shared" si="384"/>
        <v>0</v>
      </c>
      <c r="J2940">
        <v>6249</v>
      </c>
      <c r="K2940" s="367">
        <f t="shared" si="382"/>
        <v>4463.5714285714284</v>
      </c>
      <c r="L2940" s="607">
        <v>0.31</v>
      </c>
      <c r="M2940">
        <v>2.4</v>
      </c>
      <c r="N2940" s="381">
        <v>15</v>
      </c>
      <c r="O2940">
        <v>3</v>
      </c>
      <c r="P2940" t="s">
        <v>514</v>
      </c>
      <c r="Q2940" s="97" t="str">
        <f t="shared" si="385"/>
        <v/>
      </c>
      <c r="R2940" t="str">
        <f t="shared" si="386"/>
        <v/>
      </c>
    </row>
    <row r="2941" spans="3:18">
      <c r="C2941" t="str">
        <f t="shared" si="381"/>
        <v/>
      </c>
      <c r="D2941" s="36">
        <v>20</v>
      </c>
      <c r="E2941">
        <v>20</v>
      </c>
      <c r="F2941" s="366">
        <f t="shared" si="387"/>
        <v>434</v>
      </c>
      <c r="G2941" s="97">
        <v>1536</v>
      </c>
      <c r="H2941" s="367">
        <f t="shared" si="383"/>
        <v>1970</v>
      </c>
      <c r="I2941" s="368">
        <f t="shared" si="384"/>
        <v>0</v>
      </c>
      <c r="J2941">
        <v>6431</v>
      </c>
      <c r="K2941" s="367">
        <f t="shared" si="382"/>
        <v>4593.5714285714284</v>
      </c>
      <c r="L2941" s="607">
        <v>0.17</v>
      </c>
      <c r="M2941">
        <v>3.1</v>
      </c>
      <c r="N2941" s="381">
        <v>15</v>
      </c>
      <c r="O2941">
        <v>4</v>
      </c>
      <c r="P2941" t="s">
        <v>514</v>
      </c>
      <c r="Q2941" s="97" t="str">
        <f t="shared" si="385"/>
        <v/>
      </c>
      <c r="R2941" t="str">
        <f t="shared" si="386"/>
        <v/>
      </c>
    </row>
    <row r="2942" spans="3:18">
      <c r="C2942" t="str">
        <f t="shared" si="381"/>
        <v/>
      </c>
      <c r="D2942" s="36">
        <v>21</v>
      </c>
      <c r="E2942">
        <v>20</v>
      </c>
      <c r="F2942" s="366">
        <f t="shared" si="387"/>
        <v>434</v>
      </c>
      <c r="G2942" s="97">
        <v>1738</v>
      </c>
      <c r="H2942" s="367">
        <f t="shared" si="383"/>
        <v>2172</v>
      </c>
      <c r="I2942" s="368">
        <f t="shared" si="384"/>
        <v>0</v>
      </c>
      <c r="J2942">
        <v>7276</v>
      </c>
      <c r="K2942" s="367">
        <f t="shared" si="382"/>
        <v>5197.1428571428569</v>
      </c>
      <c r="L2942" s="607">
        <v>0.65</v>
      </c>
      <c r="M2942">
        <v>3.1</v>
      </c>
      <c r="N2942" s="381">
        <v>20</v>
      </c>
      <c r="O2942">
        <v>4</v>
      </c>
      <c r="P2942" t="s">
        <v>513</v>
      </c>
      <c r="Q2942" s="97" t="str">
        <f t="shared" si="385"/>
        <v/>
      </c>
      <c r="R2942" t="str">
        <f t="shared" si="386"/>
        <v/>
      </c>
    </row>
    <row r="2943" spans="3:18">
      <c r="C2943" t="str">
        <f t="shared" si="381"/>
        <v/>
      </c>
      <c r="D2943" s="36">
        <v>22</v>
      </c>
      <c r="E2943">
        <v>20</v>
      </c>
      <c r="F2943" s="366">
        <f t="shared" si="387"/>
        <v>434</v>
      </c>
      <c r="G2943" s="97">
        <v>1548</v>
      </c>
      <c r="H2943" s="367">
        <f t="shared" si="383"/>
        <v>1982</v>
      </c>
      <c r="I2943" s="368">
        <f t="shared" si="384"/>
        <v>0</v>
      </c>
      <c r="J2943">
        <v>6481</v>
      </c>
      <c r="K2943" s="367">
        <f t="shared" si="382"/>
        <v>4629.2857142857147</v>
      </c>
      <c r="L2943" s="607">
        <v>0.3</v>
      </c>
      <c r="M2943">
        <v>4.3999999999999995</v>
      </c>
      <c r="N2943" s="381">
        <v>17</v>
      </c>
      <c r="O2943">
        <v>6</v>
      </c>
      <c r="P2943" t="s">
        <v>513</v>
      </c>
      <c r="Q2943" s="97" t="str">
        <f t="shared" si="385"/>
        <v/>
      </c>
      <c r="R2943" t="str">
        <f t="shared" si="386"/>
        <v/>
      </c>
    </row>
    <row r="2944" spans="3:18">
      <c r="C2944" t="str">
        <f t="shared" si="381"/>
        <v/>
      </c>
      <c r="D2944" s="36">
        <v>23</v>
      </c>
      <c r="E2944">
        <v>20</v>
      </c>
      <c r="F2944" s="366">
        <f t="shared" si="387"/>
        <v>434</v>
      </c>
      <c r="G2944" s="97">
        <v>1886</v>
      </c>
      <c r="H2944" s="367">
        <f t="shared" si="383"/>
        <v>2320</v>
      </c>
      <c r="I2944" s="368">
        <f t="shared" si="384"/>
        <v>0</v>
      </c>
      <c r="J2944">
        <v>7895</v>
      </c>
      <c r="K2944" s="367">
        <f t="shared" si="382"/>
        <v>5639.2857142857147</v>
      </c>
      <c r="L2944" s="607">
        <v>0.71</v>
      </c>
      <c r="M2944">
        <v>4.3999999999999995</v>
      </c>
      <c r="N2944" s="381">
        <v>23</v>
      </c>
      <c r="O2944">
        <v>6</v>
      </c>
      <c r="P2944" t="s">
        <v>512</v>
      </c>
      <c r="Q2944" s="97" t="str">
        <f t="shared" si="385"/>
        <v/>
      </c>
      <c r="R2944" t="str">
        <f t="shared" si="386"/>
        <v/>
      </c>
    </row>
    <row r="2945" spans="3:18">
      <c r="C2945" t="str">
        <f t="shared" si="381"/>
        <v/>
      </c>
      <c r="D2945" s="36">
        <v>24</v>
      </c>
      <c r="E2945">
        <v>25</v>
      </c>
      <c r="F2945" s="366">
        <f t="shared" si="387"/>
        <v>542.5</v>
      </c>
      <c r="G2945" s="97">
        <v>1324</v>
      </c>
      <c r="H2945" s="367">
        <f t="shared" si="383"/>
        <v>1866.5</v>
      </c>
      <c r="I2945" s="368">
        <f t="shared" si="384"/>
        <v>0</v>
      </c>
      <c r="J2945">
        <v>5544</v>
      </c>
      <c r="K2945" s="367">
        <f t="shared" si="382"/>
        <v>3960</v>
      </c>
      <c r="L2945" s="607">
        <v>0.46</v>
      </c>
      <c r="M2945">
        <v>1.7000000000000002</v>
      </c>
      <c r="N2945" s="381">
        <v>19</v>
      </c>
      <c r="O2945">
        <v>2</v>
      </c>
      <c r="P2945" t="s">
        <v>515</v>
      </c>
      <c r="Q2945" s="97" t="str">
        <f t="shared" si="385"/>
        <v/>
      </c>
      <c r="R2945" t="str">
        <f t="shared" si="386"/>
        <v/>
      </c>
    </row>
    <row r="2946" spans="3:18">
      <c r="C2946" t="str">
        <f t="shared" si="381"/>
        <v>NL</v>
      </c>
      <c r="D2946" s="36">
        <v>25</v>
      </c>
      <c r="E2946">
        <v>25</v>
      </c>
      <c r="F2946" s="366">
        <f t="shared" si="387"/>
        <v>542.5</v>
      </c>
      <c r="G2946" s="97">
        <v>1420</v>
      </c>
      <c r="H2946" s="367">
        <f t="shared" si="383"/>
        <v>1962.5</v>
      </c>
      <c r="I2946" s="368">
        <f t="shared" si="384"/>
        <v>0</v>
      </c>
      <c r="J2946">
        <v>5943</v>
      </c>
      <c r="K2946" s="367">
        <f t="shared" si="382"/>
        <v>4245</v>
      </c>
      <c r="L2946" s="607">
        <v>0.18000000000000002</v>
      </c>
      <c r="M2946">
        <v>2.4</v>
      </c>
      <c r="N2946" s="381">
        <v>15</v>
      </c>
      <c r="O2946">
        <v>3</v>
      </c>
      <c r="P2946" t="s">
        <v>515</v>
      </c>
      <c r="Q2946" s="97" t="str">
        <f t="shared" si="385"/>
        <v/>
      </c>
      <c r="R2946" t="str">
        <f t="shared" si="386"/>
        <v/>
      </c>
    </row>
    <row r="2947" spans="3:18">
      <c r="C2947" t="str">
        <f t="shared" si="381"/>
        <v>NL</v>
      </c>
      <c r="D2947" s="36">
        <v>26</v>
      </c>
      <c r="E2947">
        <v>25</v>
      </c>
      <c r="F2947" s="366">
        <f t="shared" si="387"/>
        <v>542.5</v>
      </c>
      <c r="G2947" s="97">
        <v>1795</v>
      </c>
      <c r="H2947" s="367">
        <f t="shared" si="383"/>
        <v>2337.5</v>
      </c>
      <c r="I2947" s="368">
        <f t="shared" si="384"/>
        <v>0</v>
      </c>
      <c r="J2947">
        <v>7515</v>
      </c>
      <c r="K2947" s="367">
        <f t="shared" si="382"/>
        <v>5367.8571428571431</v>
      </c>
      <c r="L2947" s="607">
        <v>0.49</v>
      </c>
      <c r="M2947">
        <v>2.4</v>
      </c>
      <c r="N2947" s="381">
        <v>17</v>
      </c>
      <c r="O2947">
        <v>3</v>
      </c>
      <c r="P2947" t="s">
        <v>514</v>
      </c>
      <c r="Q2947" s="97" t="str">
        <f t="shared" si="385"/>
        <v/>
      </c>
      <c r="R2947" t="str">
        <f t="shared" si="386"/>
        <v/>
      </c>
    </row>
    <row r="2948" spans="3:18">
      <c r="C2948" t="str">
        <f t="shared" si="381"/>
        <v/>
      </c>
      <c r="D2948" s="36">
        <v>27</v>
      </c>
      <c r="E2948">
        <v>25</v>
      </c>
      <c r="F2948" s="366">
        <f t="shared" si="387"/>
        <v>542.5</v>
      </c>
      <c r="G2948" s="97">
        <v>1861</v>
      </c>
      <c r="H2948" s="367">
        <f t="shared" si="383"/>
        <v>2403.5</v>
      </c>
      <c r="I2948" s="368">
        <f t="shared" si="384"/>
        <v>0</v>
      </c>
      <c r="J2948">
        <v>7792</v>
      </c>
      <c r="K2948" s="367">
        <f t="shared" si="382"/>
        <v>5565.7142857142862</v>
      </c>
      <c r="L2948" s="607">
        <v>0.26</v>
      </c>
      <c r="M2948">
        <v>3.1</v>
      </c>
      <c r="N2948" s="381">
        <v>15</v>
      </c>
      <c r="O2948">
        <v>4</v>
      </c>
      <c r="P2948" t="s">
        <v>514</v>
      </c>
      <c r="Q2948" s="97" t="str">
        <f t="shared" si="385"/>
        <v/>
      </c>
      <c r="R2948" t="str">
        <f t="shared" si="386"/>
        <v/>
      </c>
    </row>
    <row r="2949" spans="3:18">
      <c r="C2949" t="str">
        <f t="shared" si="381"/>
        <v/>
      </c>
      <c r="D2949" s="36">
        <v>28</v>
      </c>
      <c r="E2949">
        <v>25</v>
      </c>
      <c r="F2949" s="366">
        <f t="shared" si="387"/>
        <v>542.5</v>
      </c>
      <c r="G2949" s="97">
        <v>1657</v>
      </c>
      <c r="H2949" s="367">
        <f t="shared" si="383"/>
        <v>2199.5</v>
      </c>
      <c r="I2949" s="368">
        <f t="shared" si="384"/>
        <v>0</v>
      </c>
      <c r="J2949">
        <v>6936</v>
      </c>
      <c r="K2949" s="367">
        <f t="shared" si="382"/>
        <v>4954.2857142857147</v>
      </c>
      <c r="L2949" s="607">
        <v>0.12</v>
      </c>
      <c r="M2949">
        <v>4.3999999999999995</v>
      </c>
      <c r="N2949" s="381">
        <v>15</v>
      </c>
      <c r="O2949">
        <v>6</v>
      </c>
      <c r="P2949" t="s">
        <v>514</v>
      </c>
      <c r="Q2949" s="97" t="str">
        <f t="shared" si="385"/>
        <v/>
      </c>
      <c r="R2949" t="str">
        <f t="shared" si="386"/>
        <v/>
      </c>
    </row>
    <row r="2950" spans="3:18">
      <c r="C2950" t="str">
        <f t="shared" si="381"/>
        <v/>
      </c>
      <c r="D2950" s="36">
        <v>29</v>
      </c>
      <c r="E2950">
        <v>25</v>
      </c>
      <c r="F2950" s="366">
        <f t="shared" si="387"/>
        <v>542.5</v>
      </c>
      <c r="G2950" s="97">
        <v>1869</v>
      </c>
      <c r="H2950" s="367">
        <f t="shared" si="383"/>
        <v>2411.5</v>
      </c>
      <c r="I2950" s="368">
        <f t="shared" si="384"/>
        <v>0</v>
      </c>
      <c r="J2950">
        <v>7825</v>
      </c>
      <c r="K2950" s="367">
        <f t="shared" si="382"/>
        <v>5589.2857142857147</v>
      </c>
      <c r="L2950" s="607">
        <v>0.46</v>
      </c>
      <c r="M2950">
        <v>4.3999999999999995</v>
      </c>
      <c r="N2950" s="381">
        <v>20</v>
      </c>
      <c r="O2950">
        <v>6</v>
      </c>
      <c r="P2950" t="s">
        <v>513</v>
      </c>
      <c r="Q2950" s="97" t="str">
        <f t="shared" si="385"/>
        <v/>
      </c>
      <c r="R2950" t="str">
        <f t="shared" si="386"/>
        <v/>
      </c>
    </row>
    <row r="2951" spans="3:18">
      <c r="C2951" t="str">
        <f t="shared" si="381"/>
        <v/>
      </c>
      <c r="D2951" s="36">
        <v>30</v>
      </c>
      <c r="E2951">
        <v>30</v>
      </c>
      <c r="F2951" s="366">
        <f t="shared" si="387"/>
        <v>651</v>
      </c>
      <c r="G2951" s="97">
        <v>1533</v>
      </c>
      <c r="H2951" s="367">
        <f t="shared" si="383"/>
        <v>2184</v>
      </c>
      <c r="I2951" s="368">
        <f t="shared" si="384"/>
        <v>0</v>
      </c>
      <c r="J2951">
        <v>6419</v>
      </c>
      <c r="K2951" s="367">
        <f t="shared" si="382"/>
        <v>4585</v>
      </c>
      <c r="L2951" s="607">
        <v>0.66</v>
      </c>
      <c r="M2951">
        <v>1.7000000000000002</v>
      </c>
      <c r="N2951" s="381">
        <v>22</v>
      </c>
      <c r="O2951">
        <v>2</v>
      </c>
      <c r="P2951" t="s">
        <v>515</v>
      </c>
      <c r="Q2951" s="97" t="str">
        <f t="shared" si="385"/>
        <v/>
      </c>
      <c r="R2951" t="str">
        <f t="shared" si="386"/>
        <v/>
      </c>
    </row>
    <row r="2952" spans="3:18">
      <c r="C2952" t="str">
        <f t="shared" si="381"/>
        <v>NL</v>
      </c>
      <c r="D2952" s="36">
        <v>31</v>
      </c>
      <c r="E2952">
        <v>30</v>
      </c>
      <c r="F2952" s="366">
        <f t="shared" si="387"/>
        <v>651</v>
      </c>
      <c r="G2952" s="97">
        <v>1660</v>
      </c>
      <c r="H2952" s="367">
        <f t="shared" si="383"/>
        <v>2311</v>
      </c>
      <c r="I2952" s="368">
        <f t="shared" si="384"/>
        <v>0</v>
      </c>
      <c r="J2952">
        <v>6947</v>
      </c>
      <c r="K2952" s="367">
        <f t="shared" si="382"/>
        <v>4962.1428571428569</v>
      </c>
      <c r="L2952" s="607">
        <v>0.26</v>
      </c>
      <c r="M2952">
        <v>2.4</v>
      </c>
      <c r="N2952" s="381">
        <v>17</v>
      </c>
      <c r="O2952">
        <v>3</v>
      </c>
      <c r="P2952" t="s">
        <v>515</v>
      </c>
      <c r="Q2952" s="97" t="str">
        <f t="shared" si="385"/>
        <v/>
      </c>
      <c r="R2952" t="str">
        <f t="shared" si="386"/>
        <v/>
      </c>
    </row>
    <row r="2953" spans="3:18">
      <c r="C2953" t="str">
        <f t="shared" si="381"/>
        <v>NL</v>
      </c>
      <c r="D2953" s="36">
        <v>32</v>
      </c>
      <c r="E2953">
        <v>30</v>
      </c>
      <c r="F2953" s="366">
        <f t="shared" si="387"/>
        <v>651</v>
      </c>
      <c r="G2953" s="97">
        <v>2075</v>
      </c>
      <c r="H2953" s="367">
        <f t="shared" si="383"/>
        <v>2726</v>
      </c>
      <c r="I2953" s="368">
        <f t="shared" si="384"/>
        <v>0</v>
      </c>
      <c r="J2953">
        <v>8685</v>
      </c>
      <c r="K2953" s="367">
        <f t="shared" si="382"/>
        <v>6203.5714285714284</v>
      </c>
      <c r="L2953" s="607">
        <v>0.7</v>
      </c>
      <c r="M2953">
        <v>2.4</v>
      </c>
      <c r="N2953" s="381">
        <v>19</v>
      </c>
      <c r="O2953">
        <v>3</v>
      </c>
      <c r="P2953" t="s">
        <v>514</v>
      </c>
      <c r="Q2953" s="97" t="str">
        <f t="shared" si="385"/>
        <v/>
      </c>
      <c r="R2953" t="str">
        <f t="shared" si="386"/>
        <v/>
      </c>
    </row>
    <row r="2954" spans="3:18">
      <c r="C2954" t="str">
        <f t="shared" si="381"/>
        <v/>
      </c>
      <c r="D2954" s="36">
        <v>33</v>
      </c>
      <c r="E2954">
        <v>30</v>
      </c>
      <c r="F2954" s="366">
        <f t="shared" si="387"/>
        <v>651</v>
      </c>
      <c r="G2954" s="97">
        <v>1714</v>
      </c>
      <c r="H2954" s="367">
        <f t="shared" si="383"/>
        <v>2365</v>
      </c>
      <c r="I2954" s="368">
        <f t="shared" si="384"/>
        <v>0</v>
      </c>
      <c r="J2954">
        <v>7175</v>
      </c>
      <c r="K2954" s="367">
        <f t="shared" si="382"/>
        <v>5125</v>
      </c>
      <c r="L2954" s="607">
        <v>0.14000000000000001</v>
      </c>
      <c r="M2954">
        <v>3.1</v>
      </c>
      <c r="N2954" s="381">
        <v>15</v>
      </c>
      <c r="O2954">
        <v>4</v>
      </c>
      <c r="P2954" t="s">
        <v>515</v>
      </c>
      <c r="Q2954" s="97" t="str">
        <f t="shared" si="385"/>
        <v/>
      </c>
      <c r="R2954" t="str">
        <f t="shared" si="386"/>
        <v/>
      </c>
    </row>
    <row r="2955" spans="3:18">
      <c r="C2955" t="str">
        <f t="shared" si="381"/>
        <v/>
      </c>
      <c r="D2955" s="36">
        <v>34</v>
      </c>
      <c r="E2955">
        <v>30</v>
      </c>
      <c r="F2955" s="366">
        <f t="shared" si="387"/>
        <v>651</v>
      </c>
      <c r="G2955" s="97">
        <v>2170</v>
      </c>
      <c r="H2955" s="367">
        <f t="shared" si="383"/>
        <v>2821</v>
      </c>
      <c r="I2955" s="368">
        <f t="shared" si="384"/>
        <v>0</v>
      </c>
      <c r="J2955">
        <v>9081</v>
      </c>
      <c r="K2955" s="367">
        <f t="shared" si="382"/>
        <v>6486.4285714285716</v>
      </c>
      <c r="L2955" s="607">
        <v>0.38</v>
      </c>
      <c r="M2955">
        <v>3.1</v>
      </c>
      <c r="N2955" s="381">
        <v>16</v>
      </c>
      <c r="O2955">
        <v>4</v>
      </c>
      <c r="P2955" t="s">
        <v>514</v>
      </c>
      <c r="Q2955" s="97" t="str">
        <f t="shared" si="385"/>
        <v/>
      </c>
      <c r="R2955" t="str">
        <f t="shared" si="386"/>
        <v/>
      </c>
    </row>
    <row r="2956" spans="3:18">
      <c r="C2956" t="str">
        <f t="shared" si="381"/>
        <v/>
      </c>
      <c r="D2956" s="36">
        <v>35</v>
      </c>
      <c r="E2956">
        <v>30</v>
      </c>
      <c r="F2956" s="366">
        <f t="shared" si="387"/>
        <v>651</v>
      </c>
      <c r="G2956" s="97">
        <v>1933</v>
      </c>
      <c r="H2956" s="367">
        <f t="shared" si="383"/>
        <v>2584</v>
      </c>
      <c r="I2956" s="368">
        <f t="shared" si="384"/>
        <v>0</v>
      </c>
      <c r="J2956">
        <v>8092</v>
      </c>
      <c r="K2956" s="367">
        <f t="shared" si="382"/>
        <v>5780</v>
      </c>
      <c r="L2956" s="607">
        <v>0.18000000000000002</v>
      </c>
      <c r="M2956">
        <v>4.3999999999999995</v>
      </c>
      <c r="N2956" s="381">
        <v>15</v>
      </c>
      <c r="O2956">
        <v>6</v>
      </c>
      <c r="P2956" t="s">
        <v>514</v>
      </c>
      <c r="Q2956" s="97" t="str">
        <f t="shared" si="385"/>
        <v/>
      </c>
      <c r="R2956" t="str">
        <f t="shared" si="386"/>
        <v/>
      </c>
    </row>
    <row r="2957" spans="3:18">
      <c r="C2957" t="str">
        <f t="shared" si="381"/>
        <v/>
      </c>
      <c r="D2957" s="36">
        <v>36</v>
      </c>
      <c r="E2957">
        <v>30</v>
      </c>
      <c r="F2957" s="366">
        <f t="shared" si="387"/>
        <v>651</v>
      </c>
      <c r="G2957" s="97">
        <v>2202</v>
      </c>
      <c r="H2957" s="367">
        <f t="shared" si="383"/>
        <v>2853</v>
      </c>
      <c r="I2957" s="368">
        <f t="shared" si="384"/>
        <v>0</v>
      </c>
      <c r="J2957">
        <v>9216</v>
      </c>
      <c r="K2957" s="367">
        <f t="shared" si="382"/>
        <v>6582.8571428571431</v>
      </c>
      <c r="L2957" s="607">
        <v>0.67</v>
      </c>
      <c r="M2957">
        <v>4.3999999999999995</v>
      </c>
      <c r="N2957" s="381">
        <v>23</v>
      </c>
      <c r="O2957">
        <v>6</v>
      </c>
      <c r="P2957" t="s">
        <v>513</v>
      </c>
      <c r="Q2957" s="97" t="str">
        <f t="shared" si="385"/>
        <v/>
      </c>
      <c r="R2957" t="str">
        <f t="shared" si="386"/>
        <v/>
      </c>
    </row>
    <row r="2958" spans="3:18">
      <c r="C2958" t="str">
        <f t="shared" si="381"/>
        <v/>
      </c>
      <c r="D2958" s="36">
        <v>37</v>
      </c>
      <c r="E2958">
        <v>35</v>
      </c>
      <c r="F2958" s="366">
        <f t="shared" si="387"/>
        <v>759.5</v>
      </c>
      <c r="G2958" s="97">
        <v>1734</v>
      </c>
      <c r="H2958" s="367">
        <f t="shared" si="383"/>
        <v>2493.5</v>
      </c>
      <c r="I2958" s="368">
        <f t="shared" si="384"/>
        <v>0</v>
      </c>
      <c r="J2958">
        <v>7260</v>
      </c>
      <c r="K2958" s="367">
        <f t="shared" si="382"/>
        <v>5185.7142857142862</v>
      </c>
      <c r="L2958" s="607">
        <v>0.89</v>
      </c>
      <c r="M2958">
        <v>1.7000000000000002</v>
      </c>
      <c r="N2958" s="381">
        <v>23</v>
      </c>
      <c r="O2958">
        <v>2</v>
      </c>
      <c r="P2958" t="s">
        <v>515</v>
      </c>
      <c r="Q2958" s="97" t="str">
        <f t="shared" si="385"/>
        <v/>
      </c>
      <c r="R2958" t="str">
        <f t="shared" si="386"/>
        <v/>
      </c>
    </row>
    <row r="2959" spans="3:18">
      <c r="C2959" t="str">
        <f t="shared" si="381"/>
        <v>NL</v>
      </c>
      <c r="D2959" s="36">
        <v>38</v>
      </c>
      <c r="E2959">
        <v>35</v>
      </c>
      <c r="F2959" s="366">
        <f t="shared" si="387"/>
        <v>759.5</v>
      </c>
      <c r="G2959" s="97">
        <v>1885</v>
      </c>
      <c r="H2959" s="367">
        <f t="shared" si="383"/>
        <v>2644.5</v>
      </c>
      <c r="I2959" s="368">
        <f t="shared" si="384"/>
        <v>0</v>
      </c>
      <c r="J2959">
        <v>7891</v>
      </c>
      <c r="K2959" s="367">
        <f t="shared" si="382"/>
        <v>5636.4285714285716</v>
      </c>
      <c r="L2959" s="607">
        <v>0.35000000000000003</v>
      </c>
      <c r="M2959">
        <v>2.4</v>
      </c>
      <c r="N2959" s="381">
        <v>19</v>
      </c>
      <c r="O2959">
        <v>3</v>
      </c>
      <c r="P2959" t="s">
        <v>515</v>
      </c>
      <c r="Q2959" s="97" t="str">
        <f t="shared" si="385"/>
        <v/>
      </c>
      <c r="R2959" t="str">
        <f t="shared" si="386"/>
        <v/>
      </c>
    </row>
    <row r="2960" spans="3:18">
      <c r="C2960" t="str">
        <f t="shared" si="381"/>
        <v/>
      </c>
      <c r="D2960" s="36">
        <v>39</v>
      </c>
      <c r="E2960">
        <v>35</v>
      </c>
      <c r="F2960" s="366">
        <f t="shared" si="387"/>
        <v>759.5</v>
      </c>
      <c r="G2960" s="97">
        <v>1953</v>
      </c>
      <c r="H2960" s="367">
        <f t="shared" si="383"/>
        <v>2712.5</v>
      </c>
      <c r="I2960" s="368">
        <f t="shared" si="384"/>
        <v>0</v>
      </c>
      <c r="J2960">
        <v>8176</v>
      </c>
      <c r="K2960" s="367">
        <f t="shared" si="382"/>
        <v>5840</v>
      </c>
      <c r="L2960" s="607">
        <v>0.19</v>
      </c>
      <c r="M2960">
        <v>3.1</v>
      </c>
      <c r="N2960" s="381">
        <v>16</v>
      </c>
      <c r="O2960">
        <v>4</v>
      </c>
      <c r="P2960" t="s">
        <v>515</v>
      </c>
      <c r="Q2960" s="97" t="str">
        <f t="shared" si="385"/>
        <v/>
      </c>
      <c r="R2960" t="str">
        <f t="shared" si="386"/>
        <v/>
      </c>
    </row>
    <row r="2961" spans="3:18">
      <c r="C2961" t="str">
        <f t="shared" si="381"/>
        <v/>
      </c>
      <c r="D2961" s="36">
        <v>40</v>
      </c>
      <c r="E2961">
        <v>35</v>
      </c>
      <c r="F2961" s="366">
        <f t="shared" si="387"/>
        <v>759.5</v>
      </c>
      <c r="G2961" s="97">
        <v>2462</v>
      </c>
      <c r="H2961" s="367">
        <f t="shared" si="383"/>
        <v>3221.5</v>
      </c>
      <c r="I2961" s="368">
        <f t="shared" si="384"/>
        <v>0</v>
      </c>
      <c r="J2961">
        <v>10304</v>
      </c>
      <c r="K2961" s="367">
        <f t="shared" si="382"/>
        <v>7360</v>
      </c>
      <c r="L2961" s="607">
        <v>0.51</v>
      </c>
      <c r="M2961">
        <v>3.1</v>
      </c>
      <c r="N2961" s="381">
        <v>18</v>
      </c>
      <c r="O2961">
        <v>4</v>
      </c>
      <c r="P2961" t="s">
        <v>514</v>
      </c>
      <c r="Q2961" s="97">
        <f t="shared" si="385"/>
        <v>40</v>
      </c>
      <c r="R2961" t="str">
        <f t="shared" si="386"/>
        <v/>
      </c>
    </row>
    <row r="2962" spans="3:18">
      <c r="C2962" t="str">
        <f t="shared" si="381"/>
        <v/>
      </c>
      <c r="D2962" s="36">
        <v>41</v>
      </c>
      <c r="E2962">
        <v>35</v>
      </c>
      <c r="F2962" s="366">
        <f t="shared" si="387"/>
        <v>759.5</v>
      </c>
      <c r="G2962" s="97">
        <v>2219</v>
      </c>
      <c r="H2962" s="367">
        <f t="shared" si="383"/>
        <v>2978.5</v>
      </c>
      <c r="I2962" s="368">
        <f t="shared" si="384"/>
        <v>0</v>
      </c>
      <c r="J2962">
        <v>9287</v>
      </c>
      <c r="K2962" s="367">
        <f t="shared" si="382"/>
        <v>6633.5714285714284</v>
      </c>
      <c r="L2962" s="607">
        <v>0.24000000000000002</v>
      </c>
      <c r="M2962">
        <v>4.3999999999999995</v>
      </c>
      <c r="N2962" s="381">
        <v>16</v>
      </c>
      <c r="O2962">
        <v>6</v>
      </c>
      <c r="P2962" t="s">
        <v>514</v>
      </c>
      <c r="Q2962" s="97" t="str">
        <f t="shared" si="385"/>
        <v/>
      </c>
      <c r="R2962" t="str">
        <f t="shared" si="386"/>
        <v/>
      </c>
    </row>
    <row r="2963" spans="3:18">
      <c r="C2963" t="str">
        <f t="shared" si="381"/>
        <v/>
      </c>
      <c r="D2963" s="36">
        <v>42</v>
      </c>
      <c r="E2963">
        <v>35</v>
      </c>
      <c r="F2963" s="366">
        <f t="shared" si="387"/>
        <v>759.5</v>
      </c>
      <c r="G2963" s="97">
        <v>2555</v>
      </c>
      <c r="H2963" s="367">
        <f t="shared" si="383"/>
        <v>3314.5</v>
      </c>
      <c r="I2963" s="368">
        <f t="shared" si="384"/>
        <v>0</v>
      </c>
      <c r="J2963">
        <v>10695</v>
      </c>
      <c r="K2963" s="367">
        <f t="shared" si="382"/>
        <v>7639.2857142857147</v>
      </c>
      <c r="L2963" s="607">
        <v>0.9</v>
      </c>
      <c r="M2963">
        <v>4.3999999999999995</v>
      </c>
      <c r="N2963" s="381">
        <v>25</v>
      </c>
      <c r="O2963">
        <v>6</v>
      </c>
      <c r="P2963" t="s">
        <v>513</v>
      </c>
      <c r="Q2963" s="97" t="str">
        <f t="shared" si="385"/>
        <v/>
      </c>
      <c r="R2963" t="str">
        <f t="shared" si="386"/>
        <v/>
      </c>
    </row>
    <row r="2964" spans="3:18">
      <c r="C2964" t="str">
        <f t="shared" si="381"/>
        <v/>
      </c>
      <c r="D2964" s="36">
        <v>43</v>
      </c>
      <c r="E2964">
        <v>40</v>
      </c>
      <c r="F2964" s="366">
        <f t="shared" si="387"/>
        <v>868</v>
      </c>
      <c r="G2964" s="97">
        <v>1916</v>
      </c>
      <c r="H2964" s="367">
        <f t="shared" si="383"/>
        <v>2784</v>
      </c>
      <c r="I2964" s="368">
        <f t="shared" si="384"/>
        <v>0</v>
      </c>
      <c r="J2964">
        <v>8021</v>
      </c>
      <c r="K2964" s="367">
        <f t="shared" si="382"/>
        <v>5729.2857142857147</v>
      </c>
      <c r="L2964" s="607">
        <v>1.1599999999999999</v>
      </c>
      <c r="M2964">
        <v>1.7000000000000002</v>
      </c>
      <c r="N2964" s="381">
        <v>25</v>
      </c>
      <c r="O2964">
        <v>2</v>
      </c>
      <c r="P2964" t="s">
        <v>515</v>
      </c>
      <c r="Q2964" s="97" t="str">
        <f t="shared" si="385"/>
        <v/>
      </c>
      <c r="R2964" t="str">
        <f t="shared" si="386"/>
        <v/>
      </c>
    </row>
    <row r="2965" spans="3:18">
      <c r="C2965" t="str">
        <f t="shared" si="381"/>
        <v>NL</v>
      </c>
      <c r="D2965" s="36">
        <v>44</v>
      </c>
      <c r="E2965">
        <v>40</v>
      </c>
      <c r="F2965" s="366">
        <f t="shared" si="387"/>
        <v>868</v>
      </c>
      <c r="G2965" s="97">
        <v>2095</v>
      </c>
      <c r="H2965" s="367">
        <f t="shared" si="383"/>
        <v>2963</v>
      </c>
      <c r="I2965" s="368">
        <f t="shared" si="384"/>
        <v>0</v>
      </c>
      <c r="J2965">
        <v>8767</v>
      </c>
      <c r="K2965" s="367">
        <f t="shared" si="382"/>
        <v>6262.1428571428569</v>
      </c>
      <c r="L2965" s="607">
        <v>0.45</v>
      </c>
      <c r="M2965">
        <v>2.4</v>
      </c>
      <c r="N2965" s="381">
        <v>21</v>
      </c>
      <c r="O2965">
        <v>3</v>
      </c>
      <c r="P2965" t="s">
        <v>515</v>
      </c>
      <c r="Q2965" s="97" t="str">
        <f t="shared" si="385"/>
        <v/>
      </c>
      <c r="R2965" t="str">
        <f t="shared" si="386"/>
        <v/>
      </c>
    </row>
    <row r="2966" spans="3:18">
      <c r="C2966" t="str">
        <f t="shared" ref="C2966:C3029" si="388">IF(OR($O$4=0,O2966-$O$4=0),IF(AND(ISEVEN(O2966)=FALSE,$N$4="Even"),"NL",""),"NL")</f>
        <v/>
      </c>
      <c r="D2966" s="36">
        <v>45</v>
      </c>
      <c r="E2966">
        <v>40</v>
      </c>
      <c r="F2966" s="366">
        <f t="shared" si="387"/>
        <v>868</v>
      </c>
      <c r="G2966" s="97">
        <v>2188</v>
      </c>
      <c r="H2966" s="367">
        <f t="shared" si="383"/>
        <v>3056</v>
      </c>
      <c r="I2966" s="368">
        <f t="shared" si="384"/>
        <v>0</v>
      </c>
      <c r="J2966">
        <v>9159</v>
      </c>
      <c r="K2966" s="367">
        <f t="shared" ref="K2966:K3005" si="389">(J2966*$V$7)-I2966</f>
        <v>6542.1428571428569</v>
      </c>
      <c r="L2966" s="607">
        <v>0.24000000000000002</v>
      </c>
      <c r="M2966">
        <v>3.1</v>
      </c>
      <c r="N2966" s="381">
        <v>18</v>
      </c>
      <c r="O2966">
        <v>4</v>
      </c>
      <c r="P2966" t="s">
        <v>515</v>
      </c>
      <c r="Q2966" s="97">
        <f t="shared" si="385"/>
        <v>45</v>
      </c>
      <c r="R2966" t="str">
        <f t="shared" si="386"/>
        <v/>
      </c>
    </row>
    <row r="2967" spans="3:18">
      <c r="C2967" t="str">
        <f t="shared" si="388"/>
        <v/>
      </c>
      <c r="D2967" s="36">
        <v>46</v>
      </c>
      <c r="E2967">
        <v>40</v>
      </c>
      <c r="F2967" s="366">
        <f t="shared" si="387"/>
        <v>868</v>
      </c>
      <c r="G2967" s="97">
        <v>2739</v>
      </c>
      <c r="H2967" s="367">
        <f t="shared" si="383"/>
        <v>3607</v>
      </c>
      <c r="I2967" s="368">
        <f t="shared" si="384"/>
        <v>0</v>
      </c>
      <c r="J2967">
        <v>11465</v>
      </c>
      <c r="K2967" s="367">
        <f t="shared" si="389"/>
        <v>8189.2857142857147</v>
      </c>
      <c r="L2967" s="607">
        <v>0.66</v>
      </c>
      <c r="M2967">
        <v>3.1</v>
      </c>
      <c r="N2967" s="381">
        <v>20</v>
      </c>
      <c r="O2967">
        <v>4</v>
      </c>
      <c r="P2967" t="s">
        <v>514</v>
      </c>
      <c r="Q2967" s="97">
        <f t="shared" si="385"/>
        <v>46</v>
      </c>
      <c r="R2967" t="str">
        <f t="shared" si="386"/>
        <v/>
      </c>
    </row>
    <row r="2968" spans="3:18">
      <c r="C2968" t="str">
        <f t="shared" si="388"/>
        <v/>
      </c>
      <c r="D2968" s="36">
        <v>47</v>
      </c>
      <c r="E2968">
        <v>40</v>
      </c>
      <c r="F2968" s="366">
        <f t="shared" si="387"/>
        <v>868</v>
      </c>
      <c r="G2968" s="97">
        <v>2524</v>
      </c>
      <c r="H2968" s="367">
        <f t="shared" si="383"/>
        <v>3392</v>
      </c>
      <c r="I2968" s="368">
        <f t="shared" si="384"/>
        <v>0</v>
      </c>
      <c r="J2968">
        <v>10563</v>
      </c>
      <c r="K2968" s="367">
        <f t="shared" si="389"/>
        <v>7545</v>
      </c>
      <c r="L2968" s="607">
        <v>0.31</v>
      </c>
      <c r="M2968">
        <v>4.3999999999999995</v>
      </c>
      <c r="N2968" s="381">
        <v>18</v>
      </c>
      <c r="O2968">
        <v>6</v>
      </c>
      <c r="P2968" t="s">
        <v>514</v>
      </c>
      <c r="Q2968" s="97">
        <f t="shared" si="385"/>
        <v>47</v>
      </c>
      <c r="R2968" t="str">
        <f t="shared" si="386"/>
        <v/>
      </c>
    </row>
    <row r="2969" spans="3:18">
      <c r="C2969" t="str">
        <f t="shared" si="388"/>
        <v>NL</v>
      </c>
      <c r="D2969" s="36">
        <v>48</v>
      </c>
      <c r="E2969">
        <v>45</v>
      </c>
      <c r="F2969" s="366">
        <f t="shared" si="387"/>
        <v>976.5</v>
      </c>
      <c r="G2969" s="97">
        <v>2304</v>
      </c>
      <c r="H2969" s="367">
        <f t="shared" si="383"/>
        <v>3280.5</v>
      </c>
      <c r="I2969" s="368">
        <f t="shared" si="384"/>
        <v>0</v>
      </c>
      <c r="J2969">
        <v>9643</v>
      </c>
      <c r="K2969" s="367">
        <f t="shared" si="389"/>
        <v>6887.8571428571431</v>
      </c>
      <c r="L2969" s="607">
        <v>0.57000000000000006</v>
      </c>
      <c r="M2969">
        <v>2.4</v>
      </c>
      <c r="N2969" s="381">
        <v>22</v>
      </c>
      <c r="O2969">
        <v>3</v>
      </c>
      <c r="P2969" t="s">
        <v>515</v>
      </c>
      <c r="Q2969" s="97" t="str">
        <f t="shared" si="385"/>
        <v/>
      </c>
      <c r="R2969" t="str">
        <f t="shared" si="386"/>
        <v/>
      </c>
    </row>
    <row r="2970" spans="3:18">
      <c r="C2970" t="str">
        <f t="shared" si="388"/>
        <v/>
      </c>
      <c r="D2970" s="36">
        <v>49</v>
      </c>
      <c r="E2970">
        <v>45</v>
      </c>
      <c r="F2970" s="366">
        <f t="shared" si="387"/>
        <v>976.5</v>
      </c>
      <c r="G2970" s="97">
        <v>2411</v>
      </c>
      <c r="H2970" s="367">
        <f t="shared" si="383"/>
        <v>3387.5</v>
      </c>
      <c r="I2970" s="368">
        <f t="shared" si="384"/>
        <v>0</v>
      </c>
      <c r="J2970">
        <v>10093</v>
      </c>
      <c r="K2970" s="367">
        <f t="shared" si="389"/>
        <v>7209.2857142857147</v>
      </c>
      <c r="L2970" s="607">
        <v>0.31</v>
      </c>
      <c r="M2970">
        <v>3.1</v>
      </c>
      <c r="N2970" s="381">
        <v>19</v>
      </c>
      <c r="O2970">
        <v>4</v>
      </c>
      <c r="P2970" t="s">
        <v>515</v>
      </c>
      <c r="Q2970" s="97">
        <f t="shared" si="385"/>
        <v>49</v>
      </c>
      <c r="R2970" t="str">
        <f t="shared" si="386"/>
        <v/>
      </c>
    </row>
    <row r="2971" spans="3:18">
      <c r="C2971" t="str">
        <f t="shared" si="388"/>
        <v/>
      </c>
      <c r="D2971" s="36">
        <v>50</v>
      </c>
      <c r="E2971">
        <v>45</v>
      </c>
      <c r="F2971" s="366">
        <f t="shared" si="387"/>
        <v>976.5</v>
      </c>
      <c r="G2971" s="97">
        <v>3002</v>
      </c>
      <c r="H2971" s="367">
        <f t="shared" si="383"/>
        <v>3978.5</v>
      </c>
      <c r="I2971" s="368">
        <f t="shared" si="384"/>
        <v>0</v>
      </c>
      <c r="J2971">
        <v>12563</v>
      </c>
      <c r="K2971" s="367">
        <f t="shared" si="389"/>
        <v>8973.5714285714294</v>
      </c>
      <c r="L2971" s="607">
        <v>0.84</v>
      </c>
      <c r="M2971">
        <v>3.1</v>
      </c>
      <c r="N2971" s="381">
        <v>21</v>
      </c>
      <c r="O2971">
        <v>4</v>
      </c>
      <c r="P2971" t="s">
        <v>514</v>
      </c>
      <c r="Q2971" s="97" t="str">
        <f t="shared" si="385"/>
        <v/>
      </c>
      <c r="R2971" t="str">
        <f t="shared" si="386"/>
        <v/>
      </c>
    </row>
    <row r="2972" spans="3:18">
      <c r="C2972" t="str">
        <f t="shared" si="388"/>
        <v/>
      </c>
      <c r="D2972" s="36">
        <v>51</v>
      </c>
      <c r="E2972">
        <v>45</v>
      </c>
      <c r="F2972" s="366">
        <f t="shared" si="387"/>
        <v>976.5</v>
      </c>
      <c r="G2972" s="97">
        <v>2153</v>
      </c>
      <c r="H2972" s="367">
        <f t="shared" si="383"/>
        <v>3129.5</v>
      </c>
      <c r="I2972" s="368">
        <f t="shared" si="384"/>
        <v>0</v>
      </c>
      <c r="J2972">
        <v>9011</v>
      </c>
      <c r="K2972" s="367">
        <f t="shared" si="389"/>
        <v>6436.4285714285716</v>
      </c>
      <c r="L2972" s="607">
        <v>0.15000000000000002</v>
      </c>
      <c r="M2972">
        <v>4.3999999999999995</v>
      </c>
      <c r="N2972" s="381">
        <v>18</v>
      </c>
      <c r="O2972">
        <v>6</v>
      </c>
      <c r="P2972" t="s">
        <v>515</v>
      </c>
      <c r="Q2972" s="97">
        <f t="shared" si="385"/>
        <v>51</v>
      </c>
      <c r="R2972" t="str">
        <f t="shared" si="386"/>
        <v/>
      </c>
    </row>
    <row r="2973" spans="3:18">
      <c r="C2973" t="str">
        <f t="shared" si="388"/>
        <v/>
      </c>
      <c r="D2973" s="36">
        <v>52</v>
      </c>
      <c r="E2973">
        <v>45</v>
      </c>
      <c r="F2973" s="366">
        <f t="shared" si="387"/>
        <v>976.5</v>
      </c>
      <c r="G2973" s="97">
        <v>2839</v>
      </c>
      <c r="H2973" s="367">
        <f t="shared" si="383"/>
        <v>3815.5</v>
      </c>
      <c r="I2973" s="368">
        <f t="shared" si="384"/>
        <v>0</v>
      </c>
      <c r="J2973">
        <v>11881</v>
      </c>
      <c r="K2973" s="367">
        <f t="shared" si="389"/>
        <v>8486.4285714285725</v>
      </c>
      <c r="L2973" s="607">
        <v>0.39</v>
      </c>
      <c r="M2973">
        <v>4.3999999999999995</v>
      </c>
      <c r="N2973" s="381">
        <v>19</v>
      </c>
      <c r="O2973">
        <v>6</v>
      </c>
      <c r="P2973" t="s">
        <v>514</v>
      </c>
      <c r="Q2973" s="97">
        <f t="shared" si="385"/>
        <v>52</v>
      </c>
      <c r="R2973" t="str">
        <f t="shared" si="386"/>
        <v/>
      </c>
    </row>
    <row r="2974" spans="3:18">
      <c r="C2974" t="str">
        <f t="shared" si="388"/>
        <v>NL</v>
      </c>
      <c r="D2974" s="36">
        <v>53</v>
      </c>
      <c r="E2974">
        <v>50</v>
      </c>
      <c r="F2974" s="366">
        <f t="shared" si="387"/>
        <v>1085</v>
      </c>
      <c r="G2974" s="97">
        <v>2501</v>
      </c>
      <c r="H2974" s="367">
        <f t="shared" si="383"/>
        <v>3586</v>
      </c>
      <c r="I2974" s="368">
        <f t="shared" si="384"/>
        <v>0</v>
      </c>
      <c r="J2974">
        <v>10470</v>
      </c>
      <c r="K2974" s="367">
        <f t="shared" si="389"/>
        <v>7478.5714285714284</v>
      </c>
      <c r="L2974" s="607">
        <v>0.7</v>
      </c>
      <c r="M2974">
        <v>2.4</v>
      </c>
      <c r="N2974" s="381">
        <v>23</v>
      </c>
      <c r="O2974">
        <v>3</v>
      </c>
      <c r="P2974" t="s">
        <v>515</v>
      </c>
      <c r="Q2974" s="97" t="str">
        <f t="shared" si="385"/>
        <v/>
      </c>
      <c r="R2974" t="str">
        <f t="shared" si="386"/>
        <v/>
      </c>
    </row>
    <row r="2975" spans="3:18">
      <c r="C2975" t="str">
        <f t="shared" si="388"/>
        <v/>
      </c>
      <c r="D2975" s="36">
        <v>54</v>
      </c>
      <c r="E2975">
        <v>50</v>
      </c>
      <c r="F2975" s="366">
        <f t="shared" si="387"/>
        <v>1085</v>
      </c>
      <c r="G2975" s="97">
        <v>2626</v>
      </c>
      <c r="H2975" s="367">
        <f t="shared" si="383"/>
        <v>3711</v>
      </c>
      <c r="I2975" s="368">
        <f t="shared" si="384"/>
        <v>0</v>
      </c>
      <c r="J2975">
        <v>10993</v>
      </c>
      <c r="K2975" s="367">
        <f t="shared" si="389"/>
        <v>7852.1428571428569</v>
      </c>
      <c r="L2975" s="607">
        <v>0.38</v>
      </c>
      <c r="M2975">
        <v>3.1</v>
      </c>
      <c r="N2975" s="381">
        <v>21</v>
      </c>
      <c r="O2975">
        <v>4</v>
      </c>
      <c r="P2975" t="s">
        <v>515</v>
      </c>
      <c r="Q2975" s="97">
        <f t="shared" si="385"/>
        <v>54</v>
      </c>
      <c r="R2975" t="str">
        <f t="shared" si="386"/>
        <v/>
      </c>
    </row>
    <row r="2976" spans="3:18">
      <c r="C2976" t="str">
        <f t="shared" si="388"/>
        <v/>
      </c>
      <c r="D2976" s="36">
        <v>55</v>
      </c>
      <c r="E2976">
        <v>50</v>
      </c>
      <c r="F2976" s="366">
        <f t="shared" si="387"/>
        <v>1085</v>
      </c>
      <c r="G2976" s="97">
        <v>2372</v>
      </c>
      <c r="H2976" s="367">
        <f t="shared" si="383"/>
        <v>3457</v>
      </c>
      <c r="I2976" s="368">
        <f t="shared" si="384"/>
        <v>0</v>
      </c>
      <c r="J2976">
        <v>9928</v>
      </c>
      <c r="K2976" s="367">
        <f t="shared" si="389"/>
        <v>7091.4285714285716</v>
      </c>
      <c r="L2976" s="607">
        <v>0.18000000000000002</v>
      </c>
      <c r="M2976">
        <v>4.3999999999999995</v>
      </c>
      <c r="N2976" s="381">
        <v>19</v>
      </c>
      <c r="O2976">
        <v>6</v>
      </c>
      <c r="P2976" t="s">
        <v>515</v>
      </c>
      <c r="Q2976" s="97">
        <f t="shared" si="385"/>
        <v>55</v>
      </c>
      <c r="R2976" t="str">
        <f t="shared" si="386"/>
        <v/>
      </c>
    </row>
    <row r="2977" spans="3:18">
      <c r="C2977" t="str">
        <f t="shared" si="388"/>
        <v/>
      </c>
      <c r="D2977" s="36">
        <v>56</v>
      </c>
      <c r="E2977">
        <v>50</v>
      </c>
      <c r="F2977" s="366">
        <f t="shared" si="387"/>
        <v>1085</v>
      </c>
      <c r="G2977" s="97">
        <v>3167</v>
      </c>
      <c r="H2977" s="367">
        <f t="shared" si="383"/>
        <v>4252</v>
      </c>
      <c r="I2977" s="368">
        <f t="shared" si="384"/>
        <v>0</v>
      </c>
      <c r="J2977">
        <v>13257</v>
      </c>
      <c r="K2977" s="367">
        <f t="shared" si="389"/>
        <v>9469.2857142857138</v>
      </c>
      <c r="L2977" s="607">
        <v>0.48</v>
      </c>
      <c r="M2977">
        <v>4.3999999999999995</v>
      </c>
      <c r="N2977" s="381">
        <v>21</v>
      </c>
      <c r="O2977">
        <v>6</v>
      </c>
      <c r="P2977" t="s">
        <v>514</v>
      </c>
      <c r="Q2977" s="97">
        <f t="shared" si="385"/>
        <v>56</v>
      </c>
      <c r="R2977" t="str">
        <f t="shared" si="386"/>
        <v/>
      </c>
    </row>
    <row r="2978" spans="3:18">
      <c r="C2978" t="str">
        <f t="shared" si="388"/>
        <v>NL</v>
      </c>
      <c r="D2978" s="36">
        <v>57</v>
      </c>
      <c r="E2978">
        <v>55</v>
      </c>
      <c r="F2978" s="366">
        <f t="shared" si="387"/>
        <v>1193.5</v>
      </c>
      <c r="G2978" s="97">
        <v>2692</v>
      </c>
      <c r="H2978" s="367">
        <f t="shared" si="383"/>
        <v>3885.5</v>
      </c>
      <c r="I2978" s="368">
        <f t="shared" si="384"/>
        <v>0</v>
      </c>
      <c r="J2978">
        <v>11266</v>
      </c>
      <c r="K2978" s="367">
        <f t="shared" si="389"/>
        <v>8047.1428571428569</v>
      </c>
      <c r="L2978" s="607">
        <v>0.85</v>
      </c>
      <c r="M2978">
        <v>2.4</v>
      </c>
      <c r="N2978" s="381">
        <v>25</v>
      </c>
      <c r="O2978">
        <v>3</v>
      </c>
      <c r="P2978" t="s">
        <v>515</v>
      </c>
      <c r="Q2978" s="97" t="str">
        <f t="shared" si="385"/>
        <v/>
      </c>
      <c r="R2978" t="str">
        <f t="shared" si="386"/>
        <v/>
      </c>
    </row>
    <row r="2979" spans="3:18">
      <c r="C2979" t="str">
        <f t="shared" si="388"/>
        <v/>
      </c>
      <c r="D2979" s="36">
        <v>58</v>
      </c>
      <c r="E2979">
        <v>55</v>
      </c>
      <c r="F2979" s="366">
        <f t="shared" si="387"/>
        <v>1193.5</v>
      </c>
      <c r="G2979" s="97">
        <v>2835</v>
      </c>
      <c r="H2979" s="367">
        <f t="shared" si="383"/>
        <v>4028.5</v>
      </c>
      <c r="I2979" s="368">
        <f t="shared" si="384"/>
        <v>0</v>
      </c>
      <c r="J2979">
        <v>11867</v>
      </c>
      <c r="K2979" s="367">
        <f t="shared" si="389"/>
        <v>8476.4285714285725</v>
      </c>
      <c r="L2979" s="607">
        <v>0.46</v>
      </c>
      <c r="M2979">
        <v>3.1</v>
      </c>
      <c r="N2979" s="381">
        <v>22</v>
      </c>
      <c r="O2979">
        <v>4</v>
      </c>
      <c r="P2979" t="s">
        <v>515</v>
      </c>
      <c r="Q2979" s="97">
        <f t="shared" si="385"/>
        <v>58</v>
      </c>
      <c r="R2979" t="str">
        <f t="shared" si="386"/>
        <v/>
      </c>
    </row>
    <row r="2980" spans="3:18">
      <c r="C2980" t="str">
        <f t="shared" si="388"/>
        <v/>
      </c>
      <c r="D2980" s="36">
        <v>59</v>
      </c>
      <c r="E2980">
        <v>55</v>
      </c>
      <c r="F2980" s="366">
        <f t="shared" si="387"/>
        <v>1193.5</v>
      </c>
      <c r="G2980" s="97">
        <v>2600</v>
      </c>
      <c r="H2980" s="367">
        <f t="shared" si="383"/>
        <v>3793.5</v>
      </c>
      <c r="I2980" s="368">
        <f t="shared" si="384"/>
        <v>0</v>
      </c>
      <c r="J2980">
        <v>10884</v>
      </c>
      <c r="K2980" s="367">
        <f t="shared" si="389"/>
        <v>7774.2857142857147</v>
      </c>
      <c r="L2980" s="607">
        <v>0.22</v>
      </c>
      <c r="M2980">
        <v>4.3999999999999995</v>
      </c>
      <c r="N2980" s="381">
        <v>20</v>
      </c>
      <c r="O2980">
        <v>6</v>
      </c>
      <c r="P2980" t="s">
        <v>515</v>
      </c>
      <c r="Q2980" s="97">
        <f t="shared" si="385"/>
        <v>59</v>
      </c>
      <c r="R2980" t="str">
        <f t="shared" si="386"/>
        <v/>
      </c>
    </row>
    <row r="2981" spans="3:18">
      <c r="C2981" t="str">
        <f t="shared" si="388"/>
        <v/>
      </c>
      <c r="D2981" s="36">
        <v>60</v>
      </c>
      <c r="E2981">
        <v>55</v>
      </c>
      <c r="F2981" s="366">
        <f t="shared" si="387"/>
        <v>1193.5</v>
      </c>
      <c r="G2981" s="97">
        <v>3455</v>
      </c>
      <c r="H2981" s="367">
        <f t="shared" si="383"/>
        <v>4648.5</v>
      </c>
      <c r="I2981" s="368">
        <f t="shared" si="384"/>
        <v>0</v>
      </c>
      <c r="J2981">
        <v>14460</v>
      </c>
      <c r="K2981" s="367">
        <f t="shared" si="389"/>
        <v>10328.571428571429</v>
      </c>
      <c r="L2981" s="607">
        <v>0.57999999999999996</v>
      </c>
      <c r="M2981">
        <v>4.3999999999999995</v>
      </c>
      <c r="N2981" s="381">
        <v>22</v>
      </c>
      <c r="O2981">
        <v>6</v>
      </c>
      <c r="P2981" t="s">
        <v>514</v>
      </c>
      <c r="Q2981" s="97">
        <f t="shared" si="385"/>
        <v>60</v>
      </c>
      <c r="R2981" t="str">
        <f t="shared" si="386"/>
        <v/>
      </c>
    </row>
    <row r="2982" spans="3:18">
      <c r="C2982" t="str">
        <f t="shared" si="388"/>
        <v>NL</v>
      </c>
      <c r="D2982" s="36">
        <v>61</v>
      </c>
      <c r="E2982">
        <v>60</v>
      </c>
      <c r="F2982" s="366">
        <f t="shared" si="387"/>
        <v>1302</v>
      </c>
      <c r="G2982" s="97">
        <v>2875</v>
      </c>
      <c r="H2982" s="367">
        <f t="shared" si="383"/>
        <v>4177</v>
      </c>
      <c r="I2982" s="368">
        <f t="shared" si="384"/>
        <v>0</v>
      </c>
      <c r="J2982">
        <v>12034</v>
      </c>
      <c r="K2982" s="367">
        <f t="shared" si="389"/>
        <v>8595.7142857142862</v>
      </c>
      <c r="L2982" s="607">
        <v>1.01</v>
      </c>
      <c r="M2982">
        <v>2.4</v>
      </c>
      <c r="N2982" s="381">
        <v>26</v>
      </c>
      <c r="O2982">
        <v>3</v>
      </c>
      <c r="P2982" t="s">
        <v>515</v>
      </c>
      <c r="Q2982" s="97" t="str">
        <f t="shared" si="385"/>
        <v/>
      </c>
      <c r="R2982" t="str">
        <f t="shared" si="386"/>
        <v/>
      </c>
    </row>
    <row r="2983" spans="3:18">
      <c r="C2983" t="str">
        <f t="shared" si="388"/>
        <v/>
      </c>
      <c r="D2983" s="36">
        <v>62</v>
      </c>
      <c r="E2983">
        <v>60</v>
      </c>
      <c r="F2983" s="366">
        <f t="shared" si="387"/>
        <v>1302</v>
      </c>
      <c r="G2983" s="97">
        <v>3034</v>
      </c>
      <c r="H2983" s="367">
        <f t="shared" si="383"/>
        <v>4336</v>
      </c>
      <c r="I2983" s="368">
        <f t="shared" si="384"/>
        <v>0</v>
      </c>
      <c r="J2983">
        <v>12698</v>
      </c>
      <c r="K2983" s="367">
        <f t="shared" si="389"/>
        <v>9070</v>
      </c>
      <c r="L2983" s="607">
        <v>0.54</v>
      </c>
      <c r="M2983">
        <v>3.1</v>
      </c>
      <c r="N2983" s="381">
        <v>23</v>
      </c>
      <c r="O2983">
        <v>4</v>
      </c>
      <c r="P2983" t="s">
        <v>515</v>
      </c>
      <c r="Q2983" s="97">
        <f t="shared" si="385"/>
        <v>62</v>
      </c>
      <c r="R2983" t="str">
        <f t="shared" si="386"/>
        <v/>
      </c>
    </row>
    <row r="2984" spans="3:18">
      <c r="C2984" t="str">
        <f t="shared" si="388"/>
        <v/>
      </c>
      <c r="D2984" s="36">
        <v>63</v>
      </c>
      <c r="E2984">
        <v>60</v>
      </c>
      <c r="F2984" s="366">
        <f t="shared" si="387"/>
        <v>1302</v>
      </c>
      <c r="G2984" s="97">
        <v>2828</v>
      </c>
      <c r="H2984" s="367">
        <f t="shared" si="383"/>
        <v>4130</v>
      </c>
      <c r="I2984" s="368">
        <f t="shared" si="384"/>
        <v>0</v>
      </c>
      <c r="J2984">
        <v>11839</v>
      </c>
      <c r="K2984" s="367">
        <f t="shared" si="389"/>
        <v>8456.4285714285725</v>
      </c>
      <c r="L2984" s="607">
        <v>0.26</v>
      </c>
      <c r="M2984">
        <v>4.3999999999999995</v>
      </c>
      <c r="N2984" s="381">
        <v>21</v>
      </c>
      <c r="O2984">
        <v>6</v>
      </c>
      <c r="P2984" t="s">
        <v>515</v>
      </c>
      <c r="Q2984" s="97">
        <f t="shared" si="385"/>
        <v>63</v>
      </c>
      <c r="R2984" t="str">
        <f t="shared" si="386"/>
        <v/>
      </c>
    </row>
    <row r="2985" spans="3:18">
      <c r="C2985" t="str">
        <f t="shared" si="388"/>
        <v/>
      </c>
      <c r="D2985" s="36">
        <v>64</v>
      </c>
      <c r="E2985">
        <v>60</v>
      </c>
      <c r="F2985" s="366">
        <f t="shared" si="387"/>
        <v>1302</v>
      </c>
      <c r="G2985" s="97">
        <v>3702</v>
      </c>
      <c r="H2985" s="367">
        <f t="shared" si="383"/>
        <v>5004</v>
      </c>
      <c r="I2985" s="368">
        <f t="shared" si="384"/>
        <v>0</v>
      </c>
      <c r="J2985">
        <v>15493</v>
      </c>
      <c r="K2985" s="367">
        <f t="shared" si="389"/>
        <v>11066.428571428572</v>
      </c>
      <c r="L2985" s="607">
        <v>0.69000000000000006</v>
      </c>
      <c r="M2985">
        <v>4.3999999999999995</v>
      </c>
      <c r="N2985" s="381">
        <v>23</v>
      </c>
      <c r="O2985">
        <v>6</v>
      </c>
      <c r="P2985" t="s">
        <v>514</v>
      </c>
      <c r="Q2985" s="97">
        <f t="shared" si="385"/>
        <v>64</v>
      </c>
      <c r="R2985" t="str">
        <f t="shared" si="386"/>
        <v/>
      </c>
    </row>
    <row r="2986" spans="3:18">
      <c r="C2986" t="str">
        <f t="shared" si="388"/>
        <v/>
      </c>
      <c r="D2986" s="36">
        <v>65</v>
      </c>
      <c r="E2986">
        <v>65</v>
      </c>
      <c r="F2986" s="366">
        <f t="shared" si="387"/>
        <v>1410.5</v>
      </c>
      <c r="G2986" s="97">
        <v>3229</v>
      </c>
      <c r="H2986" s="367">
        <f t="shared" si="383"/>
        <v>4639.5</v>
      </c>
      <c r="I2986" s="368">
        <f t="shared" si="384"/>
        <v>0</v>
      </c>
      <c r="J2986">
        <v>13515</v>
      </c>
      <c r="K2986" s="367">
        <f t="shared" si="389"/>
        <v>9653.5714285714294</v>
      </c>
      <c r="L2986" s="607">
        <v>0.64</v>
      </c>
      <c r="M2986">
        <v>3.1</v>
      </c>
      <c r="N2986" s="381">
        <v>24</v>
      </c>
      <c r="O2986">
        <v>4</v>
      </c>
      <c r="P2986" t="s">
        <v>515</v>
      </c>
      <c r="Q2986" s="97">
        <f t="shared" si="385"/>
        <v>65</v>
      </c>
      <c r="R2986" t="str">
        <f t="shared" si="386"/>
        <v/>
      </c>
    </row>
    <row r="2987" spans="3:18">
      <c r="C2987" t="str">
        <f t="shared" si="388"/>
        <v/>
      </c>
      <c r="D2987" s="36">
        <v>66</v>
      </c>
      <c r="E2987">
        <v>65</v>
      </c>
      <c r="F2987" s="366">
        <f t="shared" si="387"/>
        <v>1410.5</v>
      </c>
      <c r="G2987" s="97">
        <v>3073</v>
      </c>
      <c r="H2987" s="367">
        <f t="shared" ref="H2987:H3005" si="390">(G2987*$U$7)+F2987</f>
        <v>4483.5</v>
      </c>
      <c r="I2987" s="368">
        <f t="shared" ref="I2987:I3005" si="391">1.085*($C$2-$D$2)*E2987*$T$7</f>
        <v>0</v>
      </c>
      <c r="J2987">
        <v>12860</v>
      </c>
      <c r="K2987" s="367">
        <f t="shared" si="389"/>
        <v>9185.7142857142862</v>
      </c>
      <c r="L2987" s="607">
        <v>0.3</v>
      </c>
      <c r="M2987">
        <v>4.3999999999999995</v>
      </c>
      <c r="N2987" s="381">
        <v>22</v>
      </c>
      <c r="O2987">
        <v>6</v>
      </c>
      <c r="P2987" t="s">
        <v>515</v>
      </c>
      <c r="Q2987" s="97">
        <f t="shared" ref="Q2987:Q3007" si="392">IF(AND(H2987+1&gt;$E$4,L2987&lt;$L$4+0.01,M2987&lt;$M$4+0.01,K2987+1&gt;$F$4,E2987+1&gt;$J$4,N2987&lt;$K$4+1,O2987&lt;$P$4+1,C2987=""),D2987,"")</f>
        <v>66</v>
      </c>
      <c r="R2987" t="str">
        <f t="shared" ref="R2987:R3005" si="393">IF(Q2987="","",IF(AND(O2987&lt;$X$26,E2987&gt;$U$26,E2987&lt;$Q$4+$U$26+1),D2987,""))</f>
        <v/>
      </c>
    </row>
    <row r="2988" spans="3:18">
      <c r="C2988" t="str">
        <f t="shared" si="388"/>
        <v/>
      </c>
      <c r="D2988" s="36">
        <v>67</v>
      </c>
      <c r="E2988">
        <v>65</v>
      </c>
      <c r="F2988" s="366">
        <f t="shared" si="387"/>
        <v>1410.5</v>
      </c>
      <c r="G2988" s="97">
        <v>3936</v>
      </c>
      <c r="H2988" s="367">
        <f t="shared" si="390"/>
        <v>5346.5</v>
      </c>
      <c r="I2988" s="368">
        <f t="shared" si="391"/>
        <v>0</v>
      </c>
      <c r="J2988">
        <v>16472</v>
      </c>
      <c r="K2988" s="367">
        <f t="shared" si="389"/>
        <v>11765.714285714286</v>
      </c>
      <c r="L2988" s="607">
        <v>0.8</v>
      </c>
      <c r="M2988">
        <v>4.3999999999999995</v>
      </c>
      <c r="N2988" s="381">
        <v>24</v>
      </c>
      <c r="O2988">
        <v>6</v>
      </c>
      <c r="P2988" t="s">
        <v>514</v>
      </c>
      <c r="Q2988" s="97" t="str">
        <f t="shared" si="392"/>
        <v/>
      </c>
      <c r="R2988" t="str">
        <f t="shared" si="393"/>
        <v/>
      </c>
    </row>
    <row r="2989" spans="3:18">
      <c r="C2989" t="str">
        <f t="shared" si="388"/>
        <v/>
      </c>
      <c r="D2989" s="36">
        <v>68</v>
      </c>
      <c r="E2989">
        <v>70</v>
      </c>
      <c r="F2989" s="366">
        <f t="shared" si="387"/>
        <v>1519</v>
      </c>
      <c r="G2989" s="97">
        <v>3416</v>
      </c>
      <c r="H2989" s="367">
        <f t="shared" si="390"/>
        <v>4935</v>
      </c>
      <c r="I2989" s="368">
        <f t="shared" si="391"/>
        <v>0</v>
      </c>
      <c r="J2989">
        <v>14296</v>
      </c>
      <c r="K2989" s="367">
        <f t="shared" si="389"/>
        <v>10211.428571428572</v>
      </c>
      <c r="L2989" s="607">
        <v>0.74</v>
      </c>
      <c r="M2989">
        <v>3.1</v>
      </c>
      <c r="N2989" s="381">
        <v>25</v>
      </c>
      <c r="O2989">
        <v>4</v>
      </c>
      <c r="P2989" t="s">
        <v>515</v>
      </c>
      <c r="Q2989" s="97" t="str">
        <f t="shared" si="392"/>
        <v/>
      </c>
      <c r="R2989" t="str">
        <f t="shared" si="393"/>
        <v/>
      </c>
    </row>
    <row r="2990" spans="3:18">
      <c r="C2990" t="str">
        <f t="shared" si="388"/>
        <v/>
      </c>
      <c r="D2990" s="36">
        <v>69</v>
      </c>
      <c r="E2990">
        <v>70</v>
      </c>
      <c r="F2990" s="366">
        <f t="shared" si="387"/>
        <v>1519</v>
      </c>
      <c r="G2990" s="97">
        <v>3319</v>
      </c>
      <c r="H2990" s="367">
        <f t="shared" si="390"/>
        <v>4838</v>
      </c>
      <c r="I2990" s="368">
        <f t="shared" si="391"/>
        <v>0</v>
      </c>
      <c r="J2990">
        <v>13891</v>
      </c>
      <c r="K2990" s="367">
        <f t="shared" si="389"/>
        <v>9922.1428571428569</v>
      </c>
      <c r="L2990" s="607">
        <v>0.35000000000000003</v>
      </c>
      <c r="M2990">
        <v>4.3999999999999995</v>
      </c>
      <c r="N2990" s="381">
        <v>23</v>
      </c>
      <c r="O2990">
        <v>6</v>
      </c>
      <c r="P2990" t="s">
        <v>515</v>
      </c>
      <c r="Q2990" s="97">
        <f t="shared" si="392"/>
        <v>69</v>
      </c>
      <c r="R2990" t="str">
        <f t="shared" si="393"/>
        <v/>
      </c>
    </row>
    <row r="2991" spans="3:18">
      <c r="C2991" t="str">
        <f t="shared" si="388"/>
        <v/>
      </c>
      <c r="D2991" s="36">
        <v>70</v>
      </c>
      <c r="E2991">
        <v>70</v>
      </c>
      <c r="F2991" s="366">
        <f t="shared" si="387"/>
        <v>1519</v>
      </c>
      <c r="G2991" s="97">
        <v>4161</v>
      </c>
      <c r="H2991" s="367">
        <f t="shared" si="390"/>
        <v>5680</v>
      </c>
      <c r="I2991" s="368">
        <f t="shared" si="391"/>
        <v>0</v>
      </c>
      <c r="J2991">
        <v>17415</v>
      </c>
      <c r="K2991" s="367">
        <f t="shared" si="389"/>
        <v>12439.285714285714</v>
      </c>
      <c r="L2991" s="607">
        <v>0.93</v>
      </c>
      <c r="M2991">
        <v>4.3999999999999995</v>
      </c>
      <c r="N2991" s="381">
        <v>25</v>
      </c>
      <c r="O2991">
        <v>6</v>
      </c>
      <c r="P2991" t="s">
        <v>514</v>
      </c>
      <c r="Q2991" s="97" t="str">
        <f t="shared" si="392"/>
        <v/>
      </c>
      <c r="R2991" t="str">
        <f t="shared" si="393"/>
        <v/>
      </c>
    </row>
    <row r="2992" spans="3:18">
      <c r="C2992" t="str">
        <f t="shared" si="388"/>
        <v/>
      </c>
      <c r="D2992" s="36">
        <v>71</v>
      </c>
      <c r="E2992">
        <v>75</v>
      </c>
      <c r="F2992" s="366">
        <f t="shared" si="387"/>
        <v>1627.5</v>
      </c>
      <c r="G2992" s="97">
        <v>3598</v>
      </c>
      <c r="H2992" s="367">
        <f t="shared" si="390"/>
        <v>5225.5</v>
      </c>
      <c r="I2992" s="368">
        <f t="shared" si="391"/>
        <v>0</v>
      </c>
      <c r="J2992">
        <v>15057</v>
      </c>
      <c r="K2992" s="367">
        <f t="shared" si="389"/>
        <v>10755</v>
      </c>
      <c r="L2992" s="607">
        <v>0.84</v>
      </c>
      <c r="M2992">
        <v>3.1</v>
      </c>
      <c r="N2992" s="381">
        <v>26</v>
      </c>
      <c r="O2992">
        <v>4</v>
      </c>
      <c r="P2992" t="s">
        <v>515</v>
      </c>
      <c r="Q2992" s="97" t="str">
        <f t="shared" si="392"/>
        <v/>
      </c>
      <c r="R2992" t="str">
        <f t="shared" si="393"/>
        <v/>
      </c>
    </row>
    <row r="2993" spans="2:18">
      <c r="C2993" t="str">
        <f t="shared" si="388"/>
        <v/>
      </c>
      <c r="D2993" s="36">
        <v>72</v>
      </c>
      <c r="E2993">
        <v>75</v>
      </c>
      <c r="F2993" s="366">
        <f t="shared" si="387"/>
        <v>1627.5</v>
      </c>
      <c r="G2993" s="97">
        <v>3554</v>
      </c>
      <c r="H2993" s="367">
        <f t="shared" si="390"/>
        <v>5181.5</v>
      </c>
      <c r="I2993" s="368">
        <f t="shared" si="391"/>
        <v>0</v>
      </c>
      <c r="J2993">
        <v>14874</v>
      </c>
      <c r="K2993" s="367">
        <f t="shared" si="389"/>
        <v>10624.285714285714</v>
      </c>
      <c r="L2993" s="607">
        <v>0.39</v>
      </c>
      <c r="M2993">
        <v>4.3999999999999995</v>
      </c>
      <c r="N2993" s="381">
        <v>24</v>
      </c>
      <c r="O2993">
        <v>6</v>
      </c>
      <c r="P2993" t="s">
        <v>515</v>
      </c>
      <c r="Q2993" s="97">
        <f t="shared" si="392"/>
        <v>72</v>
      </c>
      <c r="R2993" t="str">
        <f t="shared" si="393"/>
        <v/>
      </c>
    </row>
    <row r="2994" spans="2:18">
      <c r="C2994" t="str">
        <f t="shared" si="388"/>
        <v/>
      </c>
      <c r="D2994" s="36">
        <v>73</v>
      </c>
      <c r="E2994">
        <v>80</v>
      </c>
      <c r="F2994" s="366">
        <f t="shared" si="387"/>
        <v>1736</v>
      </c>
      <c r="G2994" s="97">
        <v>3772</v>
      </c>
      <c r="H2994" s="367">
        <f t="shared" si="390"/>
        <v>5508</v>
      </c>
      <c r="I2994" s="368">
        <f t="shared" si="391"/>
        <v>0</v>
      </c>
      <c r="J2994">
        <v>15789</v>
      </c>
      <c r="K2994" s="367">
        <f t="shared" si="389"/>
        <v>11277.857142857143</v>
      </c>
      <c r="L2994" s="607">
        <v>0.95</v>
      </c>
      <c r="M2994">
        <v>3.1</v>
      </c>
      <c r="N2994" s="381">
        <v>27</v>
      </c>
      <c r="O2994">
        <v>4</v>
      </c>
      <c r="P2994" t="s">
        <v>515</v>
      </c>
      <c r="Q2994" s="97" t="str">
        <f t="shared" si="392"/>
        <v/>
      </c>
      <c r="R2994" t="str">
        <f t="shared" si="393"/>
        <v/>
      </c>
    </row>
    <row r="2995" spans="2:18">
      <c r="C2995" t="str">
        <f t="shared" si="388"/>
        <v/>
      </c>
      <c r="D2995" s="36">
        <v>74</v>
      </c>
      <c r="E2995">
        <v>80</v>
      </c>
      <c r="F2995" s="366">
        <f t="shared" si="387"/>
        <v>1736</v>
      </c>
      <c r="G2995" s="97">
        <v>3738</v>
      </c>
      <c r="H2995" s="367">
        <f t="shared" si="390"/>
        <v>5474</v>
      </c>
      <c r="I2995" s="368">
        <f t="shared" si="391"/>
        <v>0</v>
      </c>
      <c r="J2995">
        <v>15647</v>
      </c>
      <c r="K2995" s="367">
        <f t="shared" si="389"/>
        <v>11176.428571428572</v>
      </c>
      <c r="L2995" s="607">
        <v>0.44</v>
      </c>
      <c r="M2995">
        <v>4.3999999999999995</v>
      </c>
      <c r="N2995" s="381">
        <v>25</v>
      </c>
      <c r="O2995">
        <v>6</v>
      </c>
      <c r="P2995" t="s">
        <v>515</v>
      </c>
      <c r="Q2995" s="97">
        <f t="shared" si="392"/>
        <v>74</v>
      </c>
      <c r="R2995" t="str">
        <f t="shared" si="393"/>
        <v/>
      </c>
    </row>
    <row r="2996" spans="2:18">
      <c r="C2996" t="str">
        <f t="shared" si="388"/>
        <v/>
      </c>
      <c r="D2996" s="36">
        <v>75</v>
      </c>
      <c r="E2996">
        <v>85</v>
      </c>
      <c r="F2996" s="366">
        <f t="shared" ref="F2996:F3005" si="394">1.085*($A$2-$B$2)*E2996*$T$7</f>
        <v>1844.5</v>
      </c>
      <c r="G2996" s="97">
        <v>3942</v>
      </c>
      <c r="H2996" s="367">
        <f t="shared" si="390"/>
        <v>5786.5</v>
      </c>
      <c r="I2996" s="368">
        <f t="shared" si="391"/>
        <v>0</v>
      </c>
      <c r="J2996">
        <v>16499</v>
      </c>
      <c r="K2996" s="367">
        <f t="shared" si="389"/>
        <v>11785</v>
      </c>
      <c r="L2996" s="607">
        <v>1.07</v>
      </c>
      <c r="M2996">
        <v>3.1</v>
      </c>
      <c r="N2996" s="381">
        <v>27</v>
      </c>
      <c r="O2996">
        <v>4</v>
      </c>
      <c r="P2996" t="s">
        <v>515</v>
      </c>
      <c r="Q2996" s="97" t="str">
        <f t="shared" si="392"/>
        <v/>
      </c>
      <c r="R2996" t="str">
        <f t="shared" si="393"/>
        <v/>
      </c>
    </row>
    <row r="2997" spans="2:18">
      <c r="C2997" t="str">
        <f t="shared" si="388"/>
        <v/>
      </c>
      <c r="D2997" s="36">
        <v>76</v>
      </c>
      <c r="E2997">
        <v>85</v>
      </c>
      <c r="F2997" s="366">
        <f t="shared" si="394"/>
        <v>1844.5</v>
      </c>
      <c r="G2997" s="97">
        <v>3923</v>
      </c>
      <c r="H2997" s="367">
        <f t="shared" si="390"/>
        <v>5767.5</v>
      </c>
      <c r="I2997" s="368">
        <f t="shared" si="391"/>
        <v>0</v>
      </c>
      <c r="J2997">
        <v>16420</v>
      </c>
      <c r="K2997" s="367">
        <f t="shared" si="389"/>
        <v>11728.571428571429</v>
      </c>
      <c r="L2997" s="607">
        <v>0.5</v>
      </c>
      <c r="M2997">
        <v>4.3999999999999995</v>
      </c>
      <c r="N2997" s="381">
        <v>25</v>
      </c>
      <c r="O2997">
        <v>6</v>
      </c>
      <c r="P2997" t="s">
        <v>515</v>
      </c>
      <c r="Q2997" s="97">
        <f t="shared" si="392"/>
        <v>76</v>
      </c>
      <c r="R2997" t="str">
        <f t="shared" si="393"/>
        <v/>
      </c>
    </row>
    <row r="2998" spans="2:18">
      <c r="C2998" t="str">
        <f t="shared" si="388"/>
        <v/>
      </c>
      <c r="D2998" s="36">
        <v>77</v>
      </c>
      <c r="E2998">
        <v>90</v>
      </c>
      <c r="F2998" s="366">
        <f t="shared" si="394"/>
        <v>1953</v>
      </c>
      <c r="G2998" s="97">
        <v>4100</v>
      </c>
      <c r="H2998" s="367">
        <f t="shared" si="390"/>
        <v>6053</v>
      </c>
      <c r="I2998" s="368">
        <f t="shared" si="391"/>
        <v>0</v>
      </c>
      <c r="J2998">
        <v>17160</v>
      </c>
      <c r="K2998" s="367">
        <f t="shared" si="389"/>
        <v>12257.142857142857</v>
      </c>
      <c r="L2998" s="607">
        <v>0.56000000000000005</v>
      </c>
      <c r="M2998">
        <v>4.3999999999999995</v>
      </c>
      <c r="N2998" s="381">
        <v>26</v>
      </c>
      <c r="O2998">
        <v>6</v>
      </c>
      <c r="P2998" t="s">
        <v>515</v>
      </c>
      <c r="Q2998" s="97">
        <f t="shared" si="392"/>
        <v>77</v>
      </c>
      <c r="R2998" t="str">
        <f t="shared" si="393"/>
        <v/>
      </c>
    </row>
    <row r="2999" spans="2:18">
      <c r="C2999" t="str">
        <f t="shared" si="388"/>
        <v/>
      </c>
      <c r="D2999" s="36">
        <v>78</v>
      </c>
      <c r="E2999">
        <v>95</v>
      </c>
      <c r="F2999" s="366">
        <f t="shared" si="394"/>
        <v>2061.5</v>
      </c>
      <c r="G2999" s="97">
        <v>4269</v>
      </c>
      <c r="H2999" s="367">
        <f t="shared" si="390"/>
        <v>6330.5</v>
      </c>
      <c r="I2999" s="368">
        <f t="shared" si="391"/>
        <v>0</v>
      </c>
      <c r="J2999">
        <v>17866</v>
      </c>
      <c r="K2999" s="367">
        <f t="shared" si="389"/>
        <v>12761.428571428572</v>
      </c>
      <c r="L2999" s="607">
        <v>0.62</v>
      </c>
      <c r="M2999">
        <v>4.3999999999999995</v>
      </c>
      <c r="N2999" s="381">
        <v>27</v>
      </c>
      <c r="O2999">
        <v>6</v>
      </c>
      <c r="P2999" t="s">
        <v>515</v>
      </c>
      <c r="Q2999" s="97">
        <f t="shared" si="392"/>
        <v>78</v>
      </c>
      <c r="R2999" t="str">
        <f t="shared" si="393"/>
        <v/>
      </c>
    </row>
    <row r="3000" spans="2:18">
      <c r="C3000" t="str">
        <f t="shared" si="388"/>
        <v/>
      </c>
      <c r="D3000" s="36">
        <v>79</v>
      </c>
      <c r="E3000">
        <v>100</v>
      </c>
      <c r="F3000" s="366">
        <f t="shared" si="394"/>
        <v>2170</v>
      </c>
      <c r="G3000" s="97">
        <v>4437</v>
      </c>
      <c r="H3000" s="367">
        <f t="shared" si="390"/>
        <v>6607</v>
      </c>
      <c r="I3000" s="368">
        <f t="shared" si="391"/>
        <v>0</v>
      </c>
      <c r="J3000">
        <v>18572</v>
      </c>
      <c r="K3000" s="367">
        <f t="shared" si="389"/>
        <v>13265.714285714286</v>
      </c>
      <c r="L3000" s="607">
        <v>0.69000000000000006</v>
      </c>
      <c r="M3000">
        <v>4.3999999999999995</v>
      </c>
      <c r="N3000" s="381">
        <v>27</v>
      </c>
      <c r="O3000">
        <v>6</v>
      </c>
      <c r="P3000" t="s">
        <v>515</v>
      </c>
      <c r="Q3000" s="97">
        <f t="shared" si="392"/>
        <v>79</v>
      </c>
      <c r="R3000" t="str">
        <f t="shared" si="393"/>
        <v/>
      </c>
    </row>
    <row r="3001" spans="2:18">
      <c r="C3001" t="str">
        <f t="shared" si="388"/>
        <v/>
      </c>
      <c r="D3001" s="36">
        <v>80</v>
      </c>
      <c r="E3001">
        <v>105</v>
      </c>
      <c r="F3001" s="366">
        <f t="shared" si="394"/>
        <v>2278.5</v>
      </c>
      <c r="G3001" s="97">
        <v>4597</v>
      </c>
      <c r="H3001" s="367">
        <f t="shared" si="390"/>
        <v>6875.5</v>
      </c>
      <c r="I3001" s="368">
        <f t="shared" si="391"/>
        <v>0</v>
      </c>
      <c r="J3001">
        <v>19239</v>
      </c>
      <c r="K3001" s="367">
        <f t="shared" si="389"/>
        <v>13742.142857142857</v>
      </c>
      <c r="L3001" s="607">
        <v>0.76</v>
      </c>
      <c r="M3001">
        <v>4.3999999999999995</v>
      </c>
      <c r="N3001" s="381">
        <v>28</v>
      </c>
      <c r="O3001">
        <v>6</v>
      </c>
      <c r="P3001" t="s">
        <v>515</v>
      </c>
      <c r="Q3001" s="97" t="str">
        <f t="shared" si="392"/>
        <v/>
      </c>
      <c r="R3001" t="str">
        <f t="shared" si="393"/>
        <v/>
      </c>
    </row>
    <row r="3002" spans="2:18">
      <c r="C3002" t="str">
        <f t="shared" si="388"/>
        <v/>
      </c>
      <c r="D3002" s="36">
        <v>81</v>
      </c>
      <c r="E3002">
        <v>110</v>
      </c>
      <c r="F3002" s="366">
        <f t="shared" si="394"/>
        <v>2387</v>
      </c>
      <c r="G3002" s="97">
        <v>4754</v>
      </c>
      <c r="H3002" s="367">
        <f t="shared" si="390"/>
        <v>7141</v>
      </c>
      <c r="I3002" s="368">
        <f t="shared" si="391"/>
        <v>0</v>
      </c>
      <c r="J3002">
        <v>19897</v>
      </c>
      <c r="K3002" s="367">
        <f t="shared" si="389"/>
        <v>14212.142857142857</v>
      </c>
      <c r="L3002" s="607">
        <v>0.83</v>
      </c>
      <c r="M3002">
        <v>4.3999999999999995</v>
      </c>
      <c r="N3002" s="381">
        <v>29</v>
      </c>
      <c r="O3002">
        <v>6</v>
      </c>
      <c r="P3002" t="s">
        <v>515</v>
      </c>
      <c r="Q3002" s="97" t="str">
        <f t="shared" si="392"/>
        <v/>
      </c>
      <c r="R3002" t="str">
        <f t="shared" si="393"/>
        <v/>
      </c>
    </row>
    <row r="3003" spans="2:18">
      <c r="C3003" t="str">
        <f t="shared" si="388"/>
        <v/>
      </c>
      <c r="D3003" s="36">
        <v>82</v>
      </c>
      <c r="E3003">
        <v>115</v>
      </c>
      <c r="F3003" s="366">
        <f t="shared" si="394"/>
        <v>2495.5</v>
      </c>
      <c r="G3003" s="97">
        <v>4910</v>
      </c>
      <c r="H3003" s="367">
        <f t="shared" si="390"/>
        <v>7405.5</v>
      </c>
      <c r="I3003" s="368">
        <f t="shared" si="391"/>
        <v>0</v>
      </c>
      <c r="J3003">
        <v>20551</v>
      </c>
      <c r="K3003" s="367">
        <f t="shared" si="389"/>
        <v>14679.285714285714</v>
      </c>
      <c r="L3003" s="607">
        <v>0.89</v>
      </c>
      <c r="M3003">
        <v>4.3999999999999995</v>
      </c>
      <c r="N3003" s="381">
        <v>29</v>
      </c>
      <c r="O3003">
        <v>6</v>
      </c>
      <c r="P3003" t="s">
        <v>515</v>
      </c>
      <c r="Q3003" s="97" t="str">
        <f t="shared" si="392"/>
        <v/>
      </c>
      <c r="R3003" t="str">
        <f t="shared" si="393"/>
        <v/>
      </c>
    </row>
    <row r="3004" spans="2:18">
      <c r="C3004" t="str">
        <f t="shared" si="388"/>
        <v/>
      </c>
      <c r="D3004" s="36">
        <v>83</v>
      </c>
      <c r="E3004">
        <v>120</v>
      </c>
      <c r="F3004" s="366">
        <f t="shared" si="394"/>
        <v>2604</v>
      </c>
      <c r="G3004" s="97">
        <v>5058</v>
      </c>
      <c r="H3004" s="367">
        <f t="shared" si="390"/>
        <v>7662</v>
      </c>
      <c r="I3004" s="368">
        <f t="shared" si="391"/>
        <v>0</v>
      </c>
      <c r="J3004">
        <v>21169</v>
      </c>
      <c r="K3004" s="367">
        <f t="shared" si="389"/>
        <v>15120.714285714286</v>
      </c>
      <c r="L3004" s="607">
        <v>0.97</v>
      </c>
      <c r="M3004">
        <v>4.3999999999999995</v>
      </c>
      <c r="N3004" s="381">
        <v>29</v>
      </c>
      <c r="O3004">
        <v>6</v>
      </c>
      <c r="P3004" t="s">
        <v>515</v>
      </c>
      <c r="Q3004" s="97" t="str">
        <f t="shared" si="392"/>
        <v/>
      </c>
      <c r="R3004" t="str">
        <f t="shared" si="393"/>
        <v/>
      </c>
    </row>
    <row r="3005" spans="2:18">
      <c r="C3005" t="str">
        <f t="shared" si="388"/>
        <v/>
      </c>
      <c r="D3005" s="36">
        <v>84</v>
      </c>
      <c r="E3005">
        <v>125</v>
      </c>
      <c r="F3005" s="366">
        <f t="shared" si="394"/>
        <v>2712.5</v>
      </c>
      <c r="G3005" s="97">
        <v>5206</v>
      </c>
      <c r="H3005" s="367">
        <f t="shared" si="390"/>
        <v>7918.5</v>
      </c>
      <c r="I3005" s="368">
        <f t="shared" si="391"/>
        <v>0</v>
      </c>
      <c r="J3005">
        <v>21787</v>
      </c>
      <c r="K3005" s="367">
        <f t="shared" si="389"/>
        <v>15562.142857142857</v>
      </c>
      <c r="L3005" s="607">
        <v>1.05</v>
      </c>
      <c r="M3005">
        <v>4.3999999999999995</v>
      </c>
      <c r="N3005" s="381">
        <v>30</v>
      </c>
      <c r="O3005">
        <v>6</v>
      </c>
      <c r="P3005" t="s">
        <v>515</v>
      </c>
      <c r="Q3005" s="97" t="str">
        <f t="shared" si="392"/>
        <v/>
      </c>
      <c r="R3005" t="str">
        <f t="shared" si="393"/>
        <v/>
      </c>
    </row>
    <row r="3006" spans="2:18">
      <c r="B3006" s="582"/>
    </row>
    <row r="3007" spans="2:18">
      <c r="B3007" s="582"/>
      <c r="C3007" t="str">
        <f t="shared" si="388"/>
        <v/>
      </c>
      <c r="D3007" s="36">
        <v>1</v>
      </c>
      <c r="E3007">
        <v>5</v>
      </c>
      <c r="F3007" s="366">
        <f t="shared" ref="F3007:F3059" si="395">1.085*($A$2-$B$2)*E3007*$T$7</f>
        <v>108.5</v>
      </c>
      <c r="G3007" s="97">
        <v>450</v>
      </c>
      <c r="H3007" s="367">
        <f t="shared" ref="H3007" si="396">(G3007*$U$7)+F3007</f>
        <v>558.5</v>
      </c>
      <c r="I3007" s="368">
        <f t="shared" ref="I3007" si="397">1.085*($C$2-$D$2)*E3007*$T$7</f>
        <v>0</v>
      </c>
      <c r="J3007">
        <v>1364</v>
      </c>
      <c r="K3007" s="367">
        <f t="shared" ref="K3007:K3029" si="398">(J3007*$V$7)-I3007</f>
        <v>974.28571428571433</v>
      </c>
      <c r="L3007">
        <v>0.2</v>
      </c>
      <c r="M3007">
        <v>9.7999999999999989</v>
      </c>
      <c r="N3007">
        <v>15</v>
      </c>
      <c r="O3007">
        <v>2</v>
      </c>
      <c r="P3007" t="s">
        <v>513</v>
      </c>
      <c r="Q3007" s="97" t="str">
        <f t="shared" si="392"/>
        <v/>
      </c>
      <c r="R3007" t="str">
        <f>IF(Q3007="","",IF(AND(O3007&lt;$X$27,E3007&gt;$U$27,E3007&lt;$Q$4+$U$27+1),D3007,""))</f>
        <v/>
      </c>
    </row>
    <row r="3008" spans="2:18">
      <c r="C3008" t="str">
        <f t="shared" si="388"/>
        <v/>
      </c>
      <c r="D3008" s="36">
        <v>2</v>
      </c>
      <c r="E3008">
        <v>5</v>
      </c>
      <c r="F3008" s="366">
        <f t="shared" si="395"/>
        <v>108.5</v>
      </c>
      <c r="G3008" s="97">
        <v>558</v>
      </c>
      <c r="H3008" s="367">
        <f t="shared" ref="H3008:H3071" si="399">(G3008*$U$7)+F3008</f>
        <v>666.5</v>
      </c>
      <c r="I3008" s="368">
        <f t="shared" ref="I3008:I3071" si="400">1.085*($C$2-$D$2)*E3008*$T$7</f>
        <v>0</v>
      </c>
      <c r="J3008">
        <v>1693</v>
      </c>
      <c r="K3008" s="367">
        <f t="shared" si="398"/>
        <v>1209.2857142857142</v>
      </c>
      <c r="L3008">
        <v>0.48</v>
      </c>
      <c r="M3008">
        <v>9.7999999999999989</v>
      </c>
      <c r="N3008">
        <v>15</v>
      </c>
      <c r="O3008">
        <v>2</v>
      </c>
      <c r="P3008" t="s">
        <v>512</v>
      </c>
      <c r="Q3008" s="97" t="str">
        <f t="shared" ref="Q3008:Q3071" si="401">IF(AND(H3008+1&gt;$E$4,L3008&lt;$L$4+0.01,M3008&lt;$M$4+0.01,K3008+1&gt;$F$4,E3008+1&gt;$J$4,N3008&lt;$K$4+1,O3008&lt;$P$4+1,C3008=""),D3008,"")</f>
        <v/>
      </c>
      <c r="R3008" t="str">
        <f t="shared" ref="R3008:R3071" si="402">IF(Q3008="","",IF(AND(O3008&lt;$X$27,E3008&gt;$U$27,E3008&lt;$Q$4+$U$27+1),D3008,""))</f>
        <v/>
      </c>
    </row>
    <row r="3009" spans="3:18">
      <c r="C3009" t="str">
        <f t="shared" si="388"/>
        <v>NL</v>
      </c>
      <c r="D3009" s="36">
        <v>3</v>
      </c>
      <c r="E3009">
        <v>5</v>
      </c>
      <c r="F3009" s="366">
        <f t="shared" si="395"/>
        <v>108.5</v>
      </c>
      <c r="G3009" s="97">
        <v>579</v>
      </c>
      <c r="H3009" s="367">
        <f t="shared" si="399"/>
        <v>687.5</v>
      </c>
      <c r="I3009" s="368">
        <f t="shared" si="400"/>
        <v>0</v>
      </c>
      <c r="J3009">
        <v>1757</v>
      </c>
      <c r="K3009" s="367">
        <f t="shared" si="398"/>
        <v>1255</v>
      </c>
      <c r="L3009">
        <v>0.19</v>
      </c>
      <c r="M3009">
        <v>1.8</v>
      </c>
      <c r="N3009">
        <v>15</v>
      </c>
      <c r="O3009">
        <v>3</v>
      </c>
      <c r="P3009" t="s">
        <v>512</v>
      </c>
      <c r="Q3009" s="97" t="str">
        <f t="shared" si="401"/>
        <v/>
      </c>
      <c r="R3009" t="str">
        <f t="shared" si="402"/>
        <v/>
      </c>
    </row>
    <row r="3010" spans="3:18">
      <c r="C3010" t="str">
        <f t="shared" si="388"/>
        <v/>
      </c>
      <c r="D3010" s="36">
        <v>4</v>
      </c>
      <c r="E3010">
        <v>10</v>
      </c>
      <c r="F3010" s="366">
        <f t="shared" si="395"/>
        <v>217</v>
      </c>
      <c r="G3010" s="97">
        <v>742</v>
      </c>
      <c r="H3010" s="367">
        <f t="shared" si="399"/>
        <v>959</v>
      </c>
      <c r="I3010" s="368">
        <f t="shared" si="400"/>
        <v>0</v>
      </c>
      <c r="J3010">
        <v>2249</v>
      </c>
      <c r="K3010" s="367">
        <f t="shared" si="398"/>
        <v>1606.4285714285716</v>
      </c>
      <c r="L3010">
        <v>0.21000000000000002</v>
      </c>
      <c r="M3010">
        <v>9.7999999999999989</v>
      </c>
      <c r="N3010">
        <v>15</v>
      </c>
      <c r="O3010">
        <v>2</v>
      </c>
      <c r="P3010" t="s">
        <v>514</v>
      </c>
      <c r="Q3010" s="97" t="str">
        <f t="shared" si="401"/>
        <v/>
      </c>
      <c r="R3010" t="str">
        <f t="shared" si="402"/>
        <v/>
      </c>
    </row>
    <row r="3011" spans="3:18">
      <c r="C3011" t="str">
        <f t="shared" si="388"/>
        <v/>
      </c>
      <c r="D3011" s="36">
        <v>5</v>
      </c>
      <c r="E3011">
        <v>10</v>
      </c>
      <c r="F3011" s="366">
        <f t="shared" si="395"/>
        <v>217</v>
      </c>
      <c r="G3011" s="97">
        <v>839</v>
      </c>
      <c r="H3011" s="367">
        <f t="shared" si="399"/>
        <v>1056</v>
      </c>
      <c r="I3011" s="368">
        <f t="shared" si="400"/>
        <v>0</v>
      </c>
      <c r="J3011">
        <v>2545</v>
      </c>
      <c r="K3011" s="367">
        <f t="shared" si="398"/>
        <v>1817.8571428571429</v>
      </c>
      <c r="L3011">
        <v>0.8</v>
      </c>
      <c r="M3011">
        <v>9.7999999999999989</v>
      </c>
      <c r="N3011">
        <v>18</v>
      </c>
      <c r="O3011">
        <v>2</v>
      </c>
      <c r="P3011" t="s">
        <v>513</v>
      </c>
      <c r="Q3011" s="97" t="str">
        <f t="shared" si="401"/>
        <v/>
      </c>
      <c r="R3011" t="str">
        <f t="shared" si="402"/>
        <v/>
      </c>
    </row>
    <row r="3012" spans="3:18">
      <c r="C3012" t="str">
        <f t="shared" si="388"/>
        <v>NL</v>
      </c>
      <c r="D3012" s="36">
        <v>6</v>
      </c>
      <c r="E3012">
        <v>10</v>
      </c>
      <c r="F3012" s="366">
        <f t="shared" si="395"/>
        <v>217</v>
      </c>
      <c r="G3012" s="97">
        <v>885</v>
      </c>
      <c r="H3012" s="367">
        <f t="shared" si="399"/>
        <v>1102</v>
      </c>
      <c r="I3012" s="368">
        <f t="shared" si="400"/>
        <v>0</v>
      </c>
      <c r="J3012">
        <v>2685</v>
      </c>
      <c r="K3012" s="367">
        <f t="shared" si="398"/>
        <v>1917.8571428571429</v>
      </c>
      <c r="L3012">
        <v>0.31</v>
      </c>
      <c r="M3012">
        <v>1.8</v>
      </c>
      <c r="N3012">
        <v>15</v>
      </c>
      <c r="O3012">
        <v>3</v>
      </c>
      <c r="P3012" t="s">
        <v>513</v>
      </c>
      <c r="Q3012" s="97" t="str">
        <f t="shared" si="401"/>
        <v/>
      </c>
      <c r="R3012" t="str">
        <f t="shared" si="402"/>
        <v/>
      </c>
    </row>
    <row r="3013" spans="3:18">
      <c r="C3013" t="str">
        <f t="shared" si="388"/>
        <v>NL</v>
      </c>
      <c r="D3013" s="36">
        <v>7</v>
      </c>
      <c r="E3013">
        <v>10</v>
      </c>
      <c r="F3013" s="366">
        <f t="shared" si="395"/>
        <v>217</v>
      </c>
      <c r="G3013" s="97">
        <v>1092</v>
      </c>
      <c r="H3013" s="367">
        <f t="shared" si="399"/>
        <v>1309</v>
      </c>
      <c r="I3013" s="368">
        <f t="shared" si="400"/>
        <v>0</v>
      </c>
      <c r="J3013">
        <v>3311</v>
      </c>
      <c r="K3013" s="367">
        <f t="shared" si="398"/>
        <v>2365</v>
      </c>
      <c r="L3013">
        <v>0.75</v>
      </c>
      <c r="M3013">
        <v>1.8</v>
      </c>
      <c r="N3013">
        <v>19</v>
      </c>
      <c r="O3013">
        <v>3</v>
      </c>
      <c r="P3013" t="s">
        <v>512</v>
      </c>
      <c r="Q3013" s="97" t="str">
        <f t="shared" si="401"/>
        <v/>
      </c>
      <c r="R3013" t="str">
        <f t="shared" si="402"/>
        <v/>
      </c>
    </row>
    <row r="3014" spans="3:18">
      <c r="C3014" t="str">
        <f t="shared" si="388"/>
        <v/>
      </c>
      <c r="D3014" s="36">
        <v>8</v>
      </c>
      <c r="E3014">
        <v>10</v>
      </c>
      <c r="F3014" s="366">
        <f t="shared" si="395"/>
        <v>217</v>
      </c>
      <c r="G3014" s="97">
        <v>901</v>
      </c>
      <c r="H3014" s="367">
        <f t="shared" si="399"/>
        <v>1118</v>
      </c>
      <c r="I3014" s="368">
        <f t="shared" si="400"/>
        <v>0</v>
      </c>
      <c r="J3014">
        <v>2731</v>
      </c>
      <c r="K3014" s="367">
        <f t="shared" si="398"/>
        <v>1950.7142857142858</v>
      </c>
      <c r="L3014">
        <v>0.17</v>
      </c>
      <c r="M3014">
        <v>2.3000000000000003</v>
      </c>
      <c r="N3014">
        <v>15</v>
      </c>
      <c r="O3014">
        <v>4</v>
      </c>
      <c r="P3014" t="s">
        <v>513</v>
      </c>
      <c r="Q3014" s="97" t="str">
        <f t="shared" si="401"/>
        <v/>
      </c>
      <c r="R3014" t="str">
        <f t="shared" si="402"/>
        <v/>
      </c>
    </row>
    <row r="3015" spans="3:18">
      <c r="C3015" t="str">
        <f t="shared" si="388"/>
        <v/>
      </c>
      <c r="D3015" s="36">
        <v>9</v>
      </c>
      <c r="E3015">
        <v>10</v>
      </c>
      <c r="F3015" s="366">
        <f t="shared" si="395"/>
        <v>217</v>
      </c>
      <c r="G3015" s="97">
        <v>1120</v>
      </c>
      <c r="H3015" s="367">
        <f t="shared" si="399"/>
        <v>1337</v>
      </c>
      <c r="I3015" s="368">
        <f t="shared" si="400"/>
        <v>0</v>
      </c>
      <c r="J3015">
        <v>3395</v>
      </c>
      <c r="K3015" s="367">
        <f t="shared" si="398"/>
        <v>2425</v>
      </c>
      <c r="L3015">
        <v>0.39</v>
      </c>
      <c r="M3015">
        <v>2.3000000000000003</v>
      </c>
      <c r="N3015">
        <v>16</v>
      </c>
      <c r="O3015">
        <v>4</v>
      </c>
      <c r="P3015" t="s">
        <v>512</v>
      </c>
      <c r="Q3015" s="97" t="str">
        <f t="shared" si="401"/>
        <v/>
      </c>
      <c r="R3015" t="str">
        <f t="shared" si="402"/>
        <v/>
      </c>
    </row>
    <row r="3016" spans="3:18">
      <c r="C3016" t="str">
        <f t="shared" si="388"/>
        <v/>
      </c>
      <c r="D3016" s="36">
        <v>10</v>
      </c>
      <c r="E3016">
        <v>10</v>
      </c>
      <c r="F3016" s="366">
        <f t="shared" si="395"/>
        <v>217</v>
      </c>
      <c r="G3016" s="97">
        <v>978</v>
      </c>
      <c r="H3016" s="367">
        <f t="shared" si="399"/>
        <v>1195</v>
      </c>
      <c r="I3016" s="368">
        <f t="shared" si="400"/>
        <v>0</v>
      </c>
      <c r="J3016">
        <v>2964</v>
      </c>
      <c r="K3016" s="367">
        <f t="shared" si="398"/>
        <v>2117.1428571428573</v>
      </c>
      <c r="L3016">
        <v>0.18000000000000002</v>
      </c>
      <c r="M3016">
        <v>3.4</v>
      </c>
      <c r="N3016">
        <v>15</v>
      </c>
      <c r="O3016">
        <v>6</v>
      </c>
      <c r="P3016" t="s">
        <v>512</v>
      </c>
      <c r="Q3016" s="97" t="str">
        <f t="shared" si="401"/>
        <v/>
      </c>
      <c r="R3016" t="str">
        <f t="shared" si="402"/>
        <v/>
      </c>
    </row>
    <row r="3017" spans="3:18">
      <c r="C3017" t="str">
        <f t="shared" si="388"/>
        <v/>
      </c>
      <c r="D3017" s="36">
        <v>11</v>
      </c>
      <c r="E3017">
        <v>15</v>
      </c>
      <c r="F3017" s="366">
        <f t="shared" si="395"/>
        <v>325.5</v>
      </c>
      <c r="G3017" s="97">
        <v>826</v>
      </c>
      <c r="H3017" s="367">
        <f t="shared" si="399"/>
        <v>1151.5</v>
      </c>
      <c r="I3017" s="368">
        <f t="shared" si="400"/>
        <v>0</v>
      </c>
      <c r="J3017">
        <v>2504</v>
      </c>
      <c r="K3017" s="367">
        <f t="shared" si="398"/>
        <v>1788.5714285714287</v>
      </c>
      <c r="L3017">
        <v>0.17</v>
      </c>
      <c r="M3017">
        <v>9.7999999999999989</v>
      </c>
      <c r="N3017">
        <v>15</v>
      </c>
      <c r="O3017">
        <v>2</v>
      </c>
      <c r="P3017" t="s">
        <v>515</v>
      </c>
      <c r="Q3017" s="97" t="str">
        <f t="shared" si="401"/>
        <v/>
      </c>
      <c r="R3017" t="str">
        <f t="shared" si="402"/>
        <v/>
      </c>
    </row>
    <row r="3018" spans="3:18">
      <c r="C3018" t="str">
        <f t="shared" si="388"/>
        <v/>
      </c>
      <c r="D3018" s="36">
        <v>12</v>
      </c>
      <c r="E3018">
        <v>15</v>
      </c>
      <c r="F3018" s="366">
        <f t="shared" si="395"/>
        <v>325.5</v>
      </c>
      <c r="G3018" s="97">
        <v>1054</v>
      </c>
      <c r="H3018" s="367">
        <f t="shared" si="399"/>
        <v>1379.5</v>
      </c>
      <c r="I3018" s="368">
        <f t="shared" si="400"/>
        <v>0</v>
      </c>
      <c r="J3018">
        <v>3195</v>
      </c>
      <c r="K3018" s="367">
        <f t="shared" si="398"/>
        <v>2282.1428571428573</v>
      </c>
      <c r="L3018">
        <v>0.46</v>
      </c>
      <c r="M3018">
        <v>9.7999999999999989</v>
      </c>
      <c r="N3018">
        <v>15</v>
      </c>
      <c r="O3018">
        <v>2</v>
      </c>
      <c r="P3018" t="s">
        <v>514</v>
      </c>
      <c r="Q3018" s="97" t="str">
        <f t="shared" si="401"/>
        <v/>
      </c>
      <c r="R3018" t="str">
        <f t="shared" si="402"/>
        <v/>
      </c>
    </row>
    <row r="3019" spans="3:18">
      <c r="C3019" t="str">
        <f t="shared" si="388"/>
        <v>NL</v>
      </c>
      <c r="D3019" s="36">
        <v>13</v>
      </c>
      <c r="E3019">
        <v>15</v>
      </c>
      <c r="F3019" s="366">
        <f t="shared" si="395"/>
        <v>325.5</v>
      </c>
      <c r="G3019" s="97">
        <v>1119</v>
      </c>
      <c r="H3019" s="367">
        <f t="shared" si="399"/>
        <v>1444.5</v>
      </c>
      <c r="I3019" s="368">
        <f t="shared" si="400"/>
        <v>0</v>
      </c>
      <c r="J3019">
        <v>3394</v>
      </c>
      <c r="K3019" s="367">
        <f t="shared" si="398"/>
        <v>2424.2857142857142</v>
      </c>
      <c r="L3019">
        <v>0.18000000000000002</v>
      </c>
      <c r="M3019">
        <v>1.8</v>
      </c>
      <c r="N3019">
        <v>15</v>
      </c>
      <c r="O3019">
        <v>3</v>
      </c>
      <c r="P3019" t="s">
        <v>514</v>
      </c>
      <c r="Q3019" s="97" t="str">
        <f t="shared" si="401"/>
        <v/>
      </c>
      <c r="R3019" t="str">
        <f t="shared" si="402"/>
        <v/>
      </c>
    </row>
    <row r="3020" spans="3:18">
      <c r="C3020" t="str">
        <f t="shared" si="388"/>
        <v>NL</v>
      </c>
      <c r="D3020" s="36">
        <v>14</v>
      </c>
      <c r="E3020">
        <v>15</v>
      </c>
      <c r="F3020" s="366">
        <f t="shared" si="395"/>
        <v>325.5</v>
      </c>
      <c r="G3020" s="97">
        <v>1268</v>
      </c>
      <c r="H3020" s="367">
        <f t="shared" si="399"/>
        <v>1593.5</v>
      </c>
      <c r="I3020" s="368">
        <f t="shared" si="400"/>
        <v>0</v>
      </c>
      <c r="J3020">
        <v>3843</v>
      </c>
      <c r="K3020" s="367">
        <f t="shared" si="398"/>
        <v>2745</v>
      </c>
      <c r="L3020">
        <v>0.7</v>
      </c>
      <c r="M3020">
        <v>1.8</v>
      </c>
      <c r="N3020">
        <v>19</v>
      </c>
      <c r="O3020">
        <v>3</v>
      </c>
      <c r="P3020" t="s">
        <v>513</v>
      </c>
      <c r="Q3020" s="97" t="str">
        <f t="shared" si="401"/>
        <v/>
      </c>
      <c r="R3020" t="str">
        <f t="shared" si="402"/>
        <v/>
      </c>
    </row>
    <row r="3021" spans="3:18">
      <c r="C3021" t="str">
        <f t="shared" si="388"/>
        <v/>
      </c>
      <c r="D3021" s="36">
        <v>15</v>
      </c>
      <c r="E3021">
        <v>15</v>
      </c>
      <c r="F3021" s="366">
        <f t="shared" si="395"/>
        <v>325.5</v>
      </c>
      <c r="G3021" s="97">
        <v>1302</v>
      </c>
      <c r="H3021" s="367">
        <f t="shared" si="399"/>
        <v>1627.5</v>
      </c>
      <c r="I3021" s="368">
        <f t="shared" si="400"/>
        <v>0</v>
      </c>
      <c r="J3021">
        <v>3947</v>
      </c>
      <c r="K3021" s="367">
        <f t="shared" si="398"/>
        <v>2819.2857142857142</v>
      </c>
      <c r="L3021">
        <v>0.37</v>
      </c>
      <c r="M3021">
        <v>2.3000000000000003</v>
      </c>
      <c r="N3021">
        <v>16</v>
      </c>
      <c r="O3021">
        <v>4</v>
      </c>
      <c r="P3021" t="s">
        <v>513</v>
      </c>
      <c r="Q3021" s="97" t="str">
        <f t="shared" si="401"/>
        <v/>
      </c>
      <c r="R3021" t="str">
        <f t="shared" si="402"/>
        <v/>
      </c>
    </row>
    <row r="3022" spans="3:18">
      <c r="C3022" t="str">
        <f t="shared" si="388"/>
        <v/>
      </c>
      <c r="D3022" s="36">
        <v>16</v>
      </c>
      <c r="E3022">
        <v>15</v>
      </c>
      <c r="F3022" s="366">
        <f t="shared" si="395"/>
        <v>325.5</v>
      </c>
      <c r="G3022" s="97">
        <v>1142</v>
      </c>
      <c r="H3022" s="367">
        <f t="shared" si="399"/>
        <v>1467.5</v>
      </c>
      <c r="I3022" s="368">
        <f t="shared" si="400"/>
        <v>0</v>
      </c>
      <c r="J3022">
        <v>3463</v>
      </c>
      <c r="K3022" s="367">
        <f t="shared" si="398"/>
        <v>2473.5714285714284</v>
      </c>
      <c r="L3022">
        <v>0.17</v>
      </c>
      <c r="M3022">
        <v>3.4</v>
      </c>
      <c r="N3022">
        <v>15</v>
      </c>
      <c r="O3022">
        <v>6</v>
      </c>
      <c r="P3022" t="s">
        <v>513</v>
      </c>
      <c r="Q3022" s="97" t="str">
        <f t="shared" si="401"/>
        <v/>
      </c>
      <c r="R3022" t="str">
        <f t="shared" si="402"/>
        <v/>
      </c>
    </row>
    <row r="3023" spans="3:18">
      <c r="C3023" t="str">
        <f t="shared" si="388"/>
        <v/>
      </c>
      <c r="D3023" s="36">
        <v>17</v>
      </c>
      <c r="E3023">
        <v>15</v>
      </c>
      <c r="F3023" s="366">
        <f t="shared" si="395"/>
        <v>325.5</v>
      </c>
      <c r="G3023" s="97">
        <v>1417</v>
      </c>
      <c r="H3023" s="367">
        <f t="shared" si="399"/>
        <v>1742.5</v>
      </c>
      <c r="I3023" s="368">
        <f t="shared" si="400"/>
        <v>0</v>
      </c>
      <c r="J3023">
        <v>4295</v>
      </c>
      <c r="K3023" s="367">
        <f t="shared" si="398"/>
        <v>3067.8571428571431</v>
      </c>
      <c r="L3023">
        <v>0.4</v>
      </c>
      <c r="M3023">
        <v>3.4</v>
      </c>
      <c r="N3023">
        <v>19</v>
      </c>
      <c r="O3023">
        <v>6</v>
      </c>
      <c r="P3023" t="s">
        <v>512</v>
      </c>
      <c r="Q3023" s="97" t="str">
        <f t="shared" si="401"/>
        <v/>
      </c>
      <c r="R3023" t="str">
        <f t="shared" si="402"/>
        <v/>
      </c>
    </row>
    <row r="3024" spans="3:18">
      <c r="C3024" t="str">
        <f t="shared" si="388"/>
        <v/>
      </c>
      <c r="D3024" s="36">
        <v>18</v>
      </c>
      <c r="E3024">
        <v>20</v>
      </c>
      <c r="F3024" s="366">
        <f t="shared" si="395"/>
        <v>434</v>
      </c>
      <c r="G3024" s="97">
        <v>1063</v>
      </c>
      <c r="H3024" s="367">
        <f t="shared" si="399"/>
        <v>1497</v>
      </c>
      <c r="I3024" s="368">
        <f t="shared" si="400"/>
        <v>0</v>
      </c>
      <c r="J3024">
        <v>3224</v>
      </c>
      <c r="K3024" s="367">
        <f t="shared" si="398"/>
        <v>2302.8571428571431</v>
      </c>
      <c r="L3024">
        <v>0.29000000000000004</v>
      </c>
      <c r="M3024">
        <v>9.7999999999999989</v>
      </c>
      <c r="N3024">
        <v>16</v>
      </c>
      <c r="O3024">
        <v>2</v>
      </c>
      <c r="P3024" t="s">
        <v>515</v>
      </c>
      <c r="Q3024" s="97" t="str">
        <f t="shared" si="401"/>
        <v/>
      </c>
      <c r="R3024" t="str">
        <f t="shared" si="402"/>
        <v/>
      </c>
    </row>
    <row r="3025" spans="3:18">
      <c r="C3025" t="str">
        <f t="shared" si="388"/>
        <v>NL</v>
      </c>
      <c r="D3025" s="36">
        <v>19</v>
      </c>
      <c r="E3025">
        <v>20</v>
      </c>
      <c r="F3025" s="366">
        <f t="shared" si="395"/>
        <v>434</v>
      </c>
      <c r="G3025" s="97">
        <v>1436</v>
      </c>
      <c r="H3025" s="367">
        <f t="shared" si="399"/>
        <v>1870</v>
      </c>
      <c r="I3025" s="368">
        <f t="shared" si="400"/>
        <v>0</v>
      </c>
      <c r="J3025">
        <v>4355</v>
      </c>
      <c r="K3025" s="367">
        <f t="shared" si="398"/>
        <v>3110.7142857142858</v>
      </c>
      <c r="L3025">
        <v>0.31</v>
      </c>
      <c r="M3025">
        <v>1.8</v>
      </c>
      <c r="N3025">
        <v>15</v>
      </c>
      <c r="O3025">
        <v>3</v>
      </c>
      <c r="P3025" t="s">
        <v>514</v>
      </c>
      <c r="Q3025" s="97" t="str">
        <f t="shared" si="401"/>
        <v/>
      </c>
      <c r="R3025" t="str">
        <f t="shared" si="402"/>
        <v/>
      </c>
    </row>
    <row r="3026" spans="3:18">
      <c r="C3026" t="str">
        <f t="shared" si="388"/>
        <v/>
      </c>
      <c r="D3026" s="36">
        <v>20</v>
      </c>
      <c r="E3026">
        <v>20</v>
      </c>
      <c r="F3026" s="366">
        <f t="shared" si="395"/>
        <v>434</v>
      </c>
      <c r="G3026" s="97">
        <v>1478</v>
      </c>
      <c r="H3026" s="367">
        <f t="shared" si="399"/>
        <v>1912</v>
      </c>
      <c r="I3026" s="368">
        <f t="shared" si="400"/>
        <v>0</v>
      </c>
      <c r="J3026">
        <v>4482</v>
      </c>
      <c r="K3026" s="367">
        <f t="shared" si="398"/>
        <v>3201.4285714285716</v>
      </c>
      <c r="L3026">
        <v>0.17</v>
      </c>
      <c r="M3026">
        <v>2.3000000000000003</v>
      </c>
      <c r="N3026">
        <v>15</v>
      </c>
      <c r="O3026">
        <v>4</v>
      </c>
      <c r="P3026" t="s">
        <v>514</v>
      </c>
      <c r="Q3026" s="97" t="str">
        <f t="shared" si="401"/>
        <v/>
      </c>
      <c r="R3026" t="str">
        <f t="shared" si="402"/>
        <v/>
      </c>
    </row>
    <row r="3027" spans="3:18">
      <c r="C3027" t="str">
        <f t="shared" si="388"/>
        <v/>
      </c>
      <c r="D3027" s="36">
        <v>21</v>
      </c>
      <c r="E3027">
        <v>20</v>
      </c>
      <c r="F3027" s="366">
        <f t="shared" si="395"/>
        <v>434</v>
      </c>
      <c r="G3027" s="97">
        <v>1673</v>
      </c>
      <c r="H3027" s="367">
        <f t="shared" si="399"/>
        <v>2107</v>
      </c>
      <c r="I3027" s="368">
        <f t="shared" si="400"/>
        <v>0</v>
      </c>
      <c r="J3027">
        <v>5071</v>
      </c>
      <c r="K3027" s="367">
        <f t="shared" si="398"/>
        <v>3622.1428571428573</v>
      </c>
      <c r="L3027">
        <v>0.65</v>
      </c>
      <c r="M3027">
        <v>2.3000000000000003</v>
      </c>
      <c r="N3027">
        <v>20</v>
      </c>
      <c r="O3027">
        <v>4</v>
      </c>
      <c r="P3027" t="s">
        <v>513</v>
      </c>
      <c r="Q3027" s="97" t="str">
        <f t="shared" si="401"/>
        <v/>
      </c>
      <c r="R3027" t="str">
        <f t="shared" si="402"/>
        <v/>
      </c>
    </row>
    <row r="3028" spans="3:18">
      <c r="C3028" t="str">
        <f t="shared" si="388"/>
        <v/>
      </c>
      <c r="D3028" s="36">
        <v>22</v>
      </c>
      <c r="E3028">
        <v>20</v>
      </c>
      <c r="F3028" s="366">
        <f t="shared" si="395"/>
        <v>434</v>
      </c>
      <c r="G3028" s="97">
        <v>1490</v>
      </c>
      <c r="H3028" s="367">
        <f t="shared" si="399"/>
        <v>1924</v>
      </c>
      <c r="I3028" s="368">
        <f t="shared" si="400"/>
        <v>0</v>
      </c>
      <c r="J3028">
        <v>4517</v>
      </c>
      <c r="K3028" s="367">
        <f t="shared" si="398"/>
        <v>3226.4285714285716</v>
      </c>
      <c r="L3028">
        <v>0.3</v>
      </c>
      <c r="M3028">
        <v>3.4</v>
      </c>
      <c r="N3028">
        <v>17</v>
      </c>
      <c r="O3028">
        <v>6</v>
      </c>
      <c r="P3028" t="s">
        <v>513</v>
      </c>
      <c r="Q3028" s="97" t="str">
        <f t="shared" si="401"/>
        <v/>
      </c>
      <c r="R3028" t="str">
        <f t="shared" si="402"/>
        <v/>
      </c>
    </row>
    <row r="3029" spans="3:18">
      <c r="C3029" t="str">
        <f t="shared" si="388"/>
        <v/>
      </c>
      <c r="D3029" s="36">
        <v>23</v>
      </c>
      <c r="E3029">
        <v>20</v>
      </c>
      <c r="F3029" s="366">
        <f t="shared" si="395"/>
        <v>434</v>
      </c>
      <c r="G3029" s="97">
        <v>1815</v>
      </c>
      <c r="H3029" s="367">
        <f t="shared" si="399"/>
        <v>2249</v>
      </c>
      <c r="I3029" s="368">
        <f t="shared" si="400"/>
        <v>0</v>
      </c>
      <c r="J3029">
        <v>5502</v>
      </c>
      <c r="K3029" s="367">
        <f t="shared" si="398"/>
        <v>3930</v>
      </c>
      <c r="L3029">
        <v>0.71</v>
      </c>
      <c r="M3029">
        <v>3.4</v>
      </c>
      <c r="N3029">
        <v>23</v>
      </c>
      <c r="O3029">
        <v>6</v>
      </c>
      <c r="P3029" t="s">
        <v>512</v>
      </c>
      <c r="Q3029" s="97" t="str">
        <f t="shared" si="401"/>
        <v/>
      </c>
      <c r="R3029" t="str">
        <f t="shared" si="402"/>
        <v/>
      </c>
    </row>
    <row r="3030" spans="3:18">
      <c r="C3030" t="str">
        <f t="shared" ref="C3030:C3093" si="403">IF(OR($O$4=0,O3030-$O$4=0),IF(AND(ISEVEN(O3030)=FALSE,$N$4="Even"),"NL",""),"NL")</f>
        <v/>
      </c>
      <c r="D3030" s="36">
        <v>24</v>
      </c>
      <c r="E3030">
        <v>25</v>
      </c>
      <c r="F3030" s="366">
        <f t="shared" si="395"/>
        <v>542.5</v>
      </c>
      <c r="G3030" s="97">
        <v>1274</v>
      </c>
      <c r="H3030" s="367">
        <f t="shared" si="399"/>
        <v>1816.5</v>
      </c>
      <c r="I3030" s="368">
        <f t="shared" si="400"/>
        <v>0</v>
      </c>
      <c r="J3030">
        <v>3863</v>
      </c>
      <c r="K3030" s="367">
        <f t="shared" ref="K3030:K3093" si="404">(J3030*$V$7)-I3030</f>
        <v>2759.2857142857142</v>
      </c>
      <c r="L3030">
        <v>0.46</v>
      </c>
      <c r="M3030">
        <v>9.7999999999999989</v>
      </c>
      <c r="N3030">
        <v>19</v>
      </c>
      <c r="O3030">
        <v>2</v>
      </c>
      <c r="P3030" t="s">
        <v>515</v>
      </c>
      <c r="Q3030" s="97" t="str">
        <f t="shared" si="401"/>
        <v/>
      </c>
      <c r="R3030" t="str">
        <f t="shared" si="402"/>
        <v/>
      </c>
    </row>
    <row r="3031" spans="3:18">
      <c r="C3031" t="str">
        <f t="shared" si="403"/>
        <v>NL</v>
      </c>
      <c r="D3031" s="36">
        <v>25</v>
      </c>
      <c r="E3031">
        <v>25</v>
      </c>
      <c r="F3031" s="366">
        <f t="shared" si="395"/>
        <v>542.5</v>
      </c>
      <c r="G3031" s="97">
        <v>1366</v>
      </c>
      <c r="H3031" s="367">
        <f t="shared" si="399"/>
        <v>1908.5</v>
      </c>
      <c r="I3031" s="368">
        <f t="shared" si="400"/>
        <v>0</v>
      </c>
      <c r="J3031">
        <v>4142</v>
      </c>
      <c r="K3031" s="367">
        <f t="shared" si="404"/>
        <v>2958.5714285714284</v>
      </c>
      <c r="L3031">
        <v>0.18000000000000002</v>
      </c>
      <c r="M3031">
        <v>1.8</v>
      </c>
      <c r="N3031">
        <v>15</v>
      </c>
      <c r="O3031">
        <v>3</v>
      </c>
      <c r="P3031" t="s">
        <v>515</v>
      </c>
      <c r="Q3031" s="97" t="str">
        <f t="shared" si="401"/>
        <v/>
      </c>
      <c r="R3031" t="str">
        <f t="shared" si="402"/>
        <v/>
      </c>
    </row>
    <row r="3032" spans="3:18">
      <c r="C3032" t="str">
        <f t="shared" si="403"/>
        <v>NL</v>
      </c>
      <c r="D3032" s="36">
        <v>26</v>
      </c>
      <c r="E3032">
        <v>25</v>
      </c>
      <c r="F3032" s="366">
        <f t="shared" si="395"/>
        <v>542.5</v>
      </c>
      <c r="G3032" s="97">
        <v>1728</v>
      </c>
      <c r="H3032" s="367">
        <f t="shared" si="399"/>
        <v>2270.5</v>
      </c>
      <c r="I3032" s="368">
        <f t="shared" si="400"/>
        <v>0</v>
      </c>
      <c r="J3032">
        <v>5237</v>
      </c>
      <c r="K3032" s="367">
        <f t="shared" si="404"/>
        <v>3740.7142857142858</v>
      </c>
      <c r="L3032">
        <v>0.49</v>
      </c>
      <c r="M3032">
        <v>1.8</v>
      </c>
      <c r="N3032">
        <v>17</v>
      </c>
      <c r="O3032">
        <v>3</v>
      </c>
      <c r="P3032" t="s">
        <v>514</v>
      </c>
      <c r="Q3032" s="97" t="str">
        <f t="shared" si="401"/>
        <v/>
      </c>
      <c r="R3032" t="str">
        <f t="shared" si="402"/>
        <v/>
      </c>
    </row>
    <row r="3033" spans="3:18">
      <c r="C3033" t="str">
        <f t="shared" si="403"/>
        <v/>
      </c>
      <c r="D3033" s="36">
        <v>27</v>
      </c>
      <c r="E3033">
        <v>25</v>
      </c>
      <c r="F3033" s="366">
        <f t="shared" si="395"/>
        <v>542.5</v>
      </c>
      <c r="G3033" s="97">
        <v>1791</v>
      </c>
      <c r="H3033" s="367">
        <f t="shared" si="399"/>
        <v>2333.5</v>
      </c>
      <c r="I3033" s="368">
        <f t="shared" si="400"/>
        <v>0</v>
      </c>
      <c r="J3033">
        <v>5430</v>
      </c>
      <c r="K3033" s="367">
        <f t="shared" si="404"/>
        <v>3878.5714285714284</v>
      </c>
      <c r="L3033">
        <v>0.26</v>
      </c>
      <c r="M3033">
        <v>2.3000000000000003</v>
      </c>
      <c r="N3033">
        <v>15</v>
      </c>
      <c r="O3033">
        <v>4</v>
      </c>
      <c r="P3033" t="s">
        <v>514</v>
      </c>
      <c r="Q3033" s="97" t="str">
        <f t="shared" si="401"/>
        <v/>
      </c>
      <c r="R3033" t="str">
        <f t="shared" si="402"/>
        <v/>
      </c>
    </row>
    <row r="3034" spans="3:18">
      <c r="C3034" t="str">
        <f t="shared" si="403"/>
        <v/>
      </c>
      <c r="D3034" s="36">
        <v>28</v>
      </c>
      <c r="E3034">
        <v>25</v>
      </c>
      <c r="F3034" s="366">
        <f t="shared" si="395"/>
        <v>542.5</v>
      </c>
      <c r="G3034" s="97">
        <v>1594</v>
      </c>
      <c r="H3034" s="367">
        <f t="shared" si="399"/>
        <v>2136.5</v>
      </c>
      <c r="I3034" s="368">
        <f t="shared" si="400"/>
        <v>0</v>
      </c>
      <c r="J3034">
        <v>4834</v>
      </c>
      <c r="K3034" s="367">
        <f t="shared" si="404"/>
        <v>3452.8571428571431</v>
      </c>
      <c r="L3034">
        <v>0.12</v>
      </c>
      <c r="M3034">
        <v>3.4</v>
      </c>
      <c r="N3034">
        <v>15</v>
      </c>
      <c r="O3034">
        <v>6</v>
      </c>
      <c r="P3034" t="s">
        <v>514</v>
      </c>
      <c r="Q3034" s="97" t="str">
        <f t="shared" si="401"/>
        <v/>
      </c>
      <c r="R3034" t="str">
        <f t="shared" si="402"/>
        <v/>
      </c>
    </row>
    <row r="3035" spans="3:18">
      <c r="C3035" t="str">
        <f t="shared" si="403"/>
        <v/>
      </c>
      <c r="D3035" s="36">
        <v>29</v>
      </c>
      <c r="E3035">
        <v>25</v>
      </c>
      <c r="F3035" s="366">
        <f t="shared" si="395"/>
        <v>542.5</v>
      </c>
      <c r="G3035" s="97">
        <v>1799</v>
      </c>
      <c r="H3035" s="367">
        <f t="shared" si="399"/>
        <v>2341.5</v>
      </c>
      <c r="I3035" s="368">
        <f t="shared" si="400"/>
        <v>0</v>
      </c>
      <c r="J3035">
        <v>5453</v>
      </c>
      <c r="K3035" s="367">
        <f t="shared" si="404"/>
        <v>3895</v>
      </c>
      <c r="L3035">
        <v>0.46</v>
      </c>
      <c r="M3035">
        <v>3.4</v>
      </c>
      <c r="N3035">
        <v>20</v>
      </c>
      <c r="O3035">
        <v>6</v>
      </c>
      <c r="P3035" t="s">
        <v>513</v>
      </c>
      <c r="Q3035" s="97" t="str">
        <f t="shared" si="401"/>
        <v/>
      </c>
      <c r="R3035" t="str">
        <f t="shared" si="402"/>
        <v/>
      </c>
    </row>
    <row r="3036" spans="3:18">
      <c r="C3036" t="str">
        <f t="shared" si="403"/>
        <v/>
      </c>
      <c r="D3036" s="36">
        <v>30</v>
      </c>
      <c r="E3036">
        <v>30</v>
      </c>
      <c r="F3036" s="366">
        <f t="shared" si="395"/>
        <v>651</v>
      </c>
      <c r="G3036" s="97">
        <v>1475</v>
      </c>
      <c r="H3036" s="367">
        <f t="shared" si="399"/>
        <v>2126</v>
      </c>
      <c r="I3036" s="368">
        <f t="shared" si="400"/>
        <v>0</v>
      </c>
      <c r="J3036">
        <v>4473</v>
      </c>
      <c r="K3036" s="367">
        <f t="shared" si="404"/>
        <v>3195</v>
      </c>
      <c r="L3036">
        <v>0.66</v>
      </c>
      <c r="M3036">
        <v>9.7999999999999989</v>
      </c>
      <c r="N3036">
        <v>22</v>
      </c>
      <c r="O3036">
        <v>2</v>
      </c>
      <c r="P3036" t="s">
        <v>515</v>
      </c>
      <c r="Q3036" s="97" t="str">
        <f t="shared" si="401"/>
        <v/>
      </c>
      <c r="R3036" t="str">
        <f t="shared" si="402"/>
        <v/>
      </c>
    </row>
    <row r="3037" spans="3:18">
      <c r="C3037" t="str">
        <f t="shared" si="403"/>
        <v>NL</v>
      </c>
      <c r="D3037" s="36">
        <v>31</v>
      </c>
      <c r="E3037">
        <v>30</v>
      </c>
      <c r="F3037" s="366">
        <f t="shared" si="395"/>
        <v>651</v>
      </c>
      <c r="G3037" s="97">
        <v>1597</v>
      </c>
      <c r="H3037" s="367">
        <f t="shared" si="399"/>
        <v>2248</v>
      </c>
      <c r="I3037" s="368">
        <f t="shared" si="400"/>
        <v>0</v>
      </c>
      <c r="J3037">
        <v>4841</v>
      </c>
      <c r="K3037" s="367">
        <f t="shared" si="404"/>
        <v>3457.8571428571431</v>
      </c>
      <c r="L3037">
        <v>0.26</v>
      </c>
      <c r="M3037">
        <v>1.8</v>
      </c>
      <c r="N3037">
        <v>17</v>
      </c>
      <c r="O3037">
        <v>3</v>
      </c>
      <c r="P3037" t="s">
        <v>515</v>
      </c>
      <c r="Q3037" s="97" t="str">
        <f t="shared" si="401"/>
        <v/>
      </c>
      <c r="R3037" t="str">
        <f t="shared" si="402"/>
        <v/>
      </c>
    </row>
    <row r="3038" spans="3:18">
      <c r="C3038" t="str">
        <f t="shared" si="403"/>
        <v>NL</v>
      </c>
      <c r="D3038" s="36">
        <v>32</v>
      </c>
      <c r="E3038">
        <v>30</v>
      </c>
      <c r="F3038" s="366">
        <f t="shared" si="395"/>
        <v>651</v>
      </c>
      <c r="G3038" s="97">
        <v>1997</v>
      </c>
      <c r="H3038" s="367">
        <f t="shared" si="399"/>
        <v>2648</v>
      </c>
      <c r="I3038" s="368">
        <f t="shared" si="400"/>
        <v>0</v>
      </c>
      <c r="J3038">
        <v>6053</v>
      </c>
      <c r="K3038" s="367">
        <f t="shared" si="404"/>
        <v>4323.5714285714284</v>
      </c>
      <c r="L3038">
        <v>0.7</v>
      </c>
      <c r="M3038">
        <v>1.8</v>
      </c>
      <c r="N3038">
        <v>19</v>
      </c>
      <c r="O3038">
        <v>3</v>
      </c>
      <c r="P3038" t="s">
        <v>514</v>
      </c>
      <c r="Q3038" s="97" t="str">
        <f t="shared" si="401"/>
        <v/>
      </c>
      <c r="R3038" t="str">
        <f t="shared" si="402"/>
        <v/>
      </c>
    </row>
    <row r="3039" spans="3:18">
      <c r="C3039" t="str">
        <f t="shared" si="403"/>
        <v/>
      </c>
      <c r="D3039" s="36">
        <v>33</v>
      </c>
      <c r="E3039">
        <v>30</v>
      </c>
      <c r="F3039" s="366">
        <f t="shared" si="395"/>
        <v>651</v>
      </c>
      <c r="G3039" s="97">
        <v>1649</v>
      </c>
      <c r="H3039" s="367">
        <f t="shared" si="399"/>
        <v>2300</v>
      </c>
      <c r="I3039" s="368">
        <f t="shared" si="400"/>
        <v>0</v>
      </c>
      <c r="J3039">
        <v>5001</v>
      </c>
      <c r="K3039" s="367">
        <f t="shared" si="404"/>
        <v>3572.1428571428573</v>
      </c>
      <c r="L3039">
        <v>0.14000000000000001</v>
      </c>
      <c r="M3039">
        <v>2.3000000000000003</v>
      </c>
      <c r="N3039">
        <v>15</v>
      </c>
      <c r="O3039">
        <v>4</v>
      </c>
      <c r="P3039" t="s">
        <v>515</v>
      </c>
      <c r="Q3039" s="97" t="str">
        <f t="shared" si="401"/>
        <v/>
      </c>
      <c r="R3039" t="str">
        <f t="shared" si="402"/>
        <v/>
      </c>
    </row>
    <row r="3040" spans="3:18">
      <c r="C3040" t="str">
        <f t="shared" si="403"/>
        <v/>
      </c>
      <c r="D3040" s="36">
        <v>34</v>
      </c>
      <c r="E3040">
        <v>30</v>
      </c>
      <c r="F3040" s="366">
        <f t="shared" si="395"/>
        <v>651</v>
      </c>
      <c r="G3040" s="97">
        <v>2088</v>
      </c>
      <c r="H3040" s="367">
        <f t="shared" si="399"/>
        <v>2739</v>
      </c>
      <c r="I3040" s="368">
        <f t="shared" si="400"/>
        <v>0</v>
      </c>
      <c r="J3040">
        <v>6329</v>
      </c>
      <c r="K3040" s="367">
        <f t="shared" si="404"/>
        <v>4520.7142857142862</v>
      </c>
      <c r="L3040">
        <v>0.38</v>
      </c>
      <c r="M3040">
        <v>2.3000000000000003</v>
      </c>
      <c r="N3040">
        <v>16</v>
      </c>
      <c r="O3040">
        <v>4</v>
      </c>
      <c r="P3040" t="s">
        <v>514</v>
      </c>
      <c r="Q3040" s="97" t="str">
        <f t="shared" si="401"/>
        <v/>
      </c>
      <c r="R3040" t="str">
        <f t="shared" si="402"/>
        <v/>
      </c>
    </row>
    <row r="3041" spans="3:18">
      <c r="C3041" t="str">
        <f t="shared" si="403"/>
        <v/>
      </c>
      <c r="D3041" s="36">
        <v>35</v>
      </c>
      <c r="E3041">
        <v>30</v>
      </c>
      <c r="F3041" s="366">
        <f t="shared" si="395"/>
        <v>651</v>
      </c>
      <c r="G3041" s="97">
        <v>1860</v>
      </c>
      <c r="H3041" s="367">
        <f t="shared" si="399"/>
        <v>2511</v>
      </c>
      <c r="I3041" s="368">
        <f t="shared" si="400"/>
        <v>0</v>
      </c>
      <c r="J3041">
        <v>5640</v>
      </c>
      <c r="K3041" s="367">
        <f t="shared" si="404"/>
        <v>4028.5714285714284</v>
      </c>
      <c r="L3041">
        <v>0.18000000000000002</v>
      </c>
      <c r="M3041">
        <v>3.4</v>
      </c>
      <c r="N3041">
        <v>15</v>
      </c>
      <c r="O3041">
        <v>6</v>
      </c>
      <c r="P3041" t="s">
        <v>514</v>
      </c>
      <c r="Q3041" s="97" t="str">
        <f t="shared" si="401"/>
        <v/>
      </c>
      <c r="R3041" t="str">
        <f t="shared" si="402"/>
        <v/>
      </c>
    </row>
    <row r="3042" spans="3:18">
      <c r="C3042" t="str">
        <f t="shared" si="403"/>
        <v/>
      </c>
      <c r="D3042" s="36">
        <v>36</v>
      </c>
      <c r="E3042">
        <v>30</v>
      </c>
      <c r="F3042" s="366">
        <f t="shared" si="395"/>
        <v>651</v>
      </c>
      <c r="G3042" s="97">
        <v>2119</v>
      </c>
      <c r="H3042" s="367">
        <f t="shared" si="399"/>
        <v>2770</v>
      </c>
      <c r="I3042" s="368">
        <f t="shared" si="400"/>
        <v>0</v>
      </c>
      <c r="J3042">
        <v>6423</v>
      </c>
      <c r="K3042" s="367">
        <f t="shared" si="404"/>
        <v>4587.8571428571431</v>
      </c>
      <c r="L3042">
        <v>0.67</v>
      </c>
      <c r="M3042">
        <v>3.4</v>
      </c>
      <c r="N3042">
        <v>23</v>
      </c>
      <c r="O3042">
        <v>6</v>
      </c>
      <c r="P3042" t="s">
        <v>513</v>
      </c>
      <c r="Q3042" s="97" t="str">
        <f t="shared" si="401"/>
        <v/>
      </c>
      <c r="R3042" t="str">
        <f t="shared" si="402"/>
        <v/>
      </c>
    </row>
    <row r="3043" spans="3:18">
      <c r="C3043" t="str">
        <f t="shared" si="403"/>
        <v/>
      </c>
      <c r="D3043" s="36">
        <v>37</v>
      </c>
      <c r="E3043">
        <v>35</v>
      </c>
      <c r="F3043" s="366">
        <f t="shared" si="395"/>
        <v>759.5</v>
      </c>
      <c r="G3043" s="97">
        <v>1669</v>
      </c>
      <c r="H3043" s="367">
        <f t="shared" si="399"/>
        <v>2428.5</v>
      </c>
      <c r="I3043" s="368">
        <f t="shared" si="400"/>
        <v>0</v>
      </c>
      <c r="J3043">
        <v>5060</v>
      </c>
      <c r="K3043" s="367">
        <f t="shared" si="404"/>
        <v>3614.2857142857142</v>
      </c>
      <c r="L3043">
        <v>0.89</v>
      </c>
      <c r="M3043">
        <v>9.7999999999999989</v>
      </c>
      <c r="N3043">
        <v>23</v>
      </c>
      <c r="O3043">
        <v>2</v>
      </c>
      <c r="P3043" t="s">
        <v>515</v>
      </c>
      <c r="Q3043" s="97" t="str">
        <f t="shared" si="401"/>
        <v/>
      </c>
      <c r="R3043" t="str">
        <f t="shared" si="402"/>
        <v/>
      </c>
    </row>
    <row r="3044" spans="3:18">
      <c r="C3044" t="str">
        <f t="shared" si="403"/>
        <v>NL</v>
      </c>
      <c r="D3044" s="36">
        <v>38</v>
      </c>
      <c r="E3044">
        <v>35</v>
      </c>
      <c r="F3044" s="366">
        <f t="shared" si="395"/>
        <v>759.5</v>
      </c>
      <c r="G3044" s="97">
        <v>1814</v>
      </c>
      <c r="H3044" s="367">
        <f t="shared" si="399"/>
        <v>2573.5</v>
      </c>
      <c r="I3044" s="368">
        <f t="shared" si="400"/>
        <v>0</v>
      </c>
      <c r="J3044">
        <v>5500</v>
      </c>
      <c r="K3044" s="367">
        <f t="shared" si="404"/>
        <v>3928.5714285714284</v>
      </c>
      <c r="L3044">
        <v>0.35000000000000003</v>
      </c>
      <c r="M3044">
        <v>1.8</v>
      </c>
      <c r="N3044">
        <v>19</v>
      </c>
      <c r="O3044">
        <v>3</v>
      </c>
      <c r="P3044" t="s">
        <v>515</v>
      </c>
      <c r="Q3044" s="97" t="str">
        <f t="shared" si="401"/>
        <v/>
      </c>
      <c r="R3044" t="str">
        <f t="shared" si="402"/>
        <v/>
      </c>
    </row>
    <row r="3045" spans="3:18">
      <c r="C3045" t="str">
        <f t="shared" si="403"/>
        <v/>
      </c>
      <c r="D3045" s="36">
        <v>39</v>
      </c>
      <c r="E3045">
        <v>35</v>
      </c>
      <c r="F3045" s="366">
        <f t="shared" si="395"/>
        <v>759.5</v>
      </c>
      <c r="G3045" s="97">
        <v>1880</v>
      </c>
      <c r="H3045" s="367">
        <f t="shared" si="399"/>
        <v>2639.5</v>
      </c>
      <c r="I3045" s="368">
        <f t="shared" si="400"/>
        <v>0</v>
      </c>
      <c r="J3045">
        <v>5698</v>
      </c>
      <c r="K3045" s="367">
        <f t="shared" si="404"/>
        <v>4070</v>
      </c>
      <c r="L3045">
        <v>0.19</v>
      </c>
      <c r="M3045">
        <v>2.3000000000000003</v>
      </c>
      <c r="N3045">
        <v>16</v>
      </c>
      <c r="O3045">
        <v>4</v>
      </c>
      <c r="P3045" t="s">
        <v>515</v>
      </c>
      <c r="Q3045" s="97" t="str">
        <f t="shared" si="401"/>
        <v/>
      </c>
      <c r="R3045" t="str">
        <f t="shared" si="402"/>
        <v/>
      </c>
    </row>
    <row r="3046" spans="3:18">
      <c r="C3046" t="str">
        <f t="shared" si="403"/>
        <v/>
      </c>
      <c r="D3046" s="36">
        <v>40</v>
      </c>
      <c r="E3046">
        <v>35</v>
      </c>
      <c r="F3046" s="366">
        <f t="shared" si="395"/>
        <v>759.5</v>
      </c>
      <c r="G3046" s="97">
        <v>2369</v>
      </c>
      <c r="H3046" s="367">
        <f t="shared" si="399"/>
        <v>3128.5</v>
      </c>
      <c r="I3046" s="368">
        <f t="shared" si="400"/>
        <v>0</v>
      </c>
      <c r="J3046">
        <v>7181</v>
      </c>
      <c r="K3046" s="367">
        <f t="shared" si="404"/>
        <v>5129.2857142857147</v>
      </c>
      <c r="L3046">
        <v>0.51</v>
      </c>
      <c r="M3046">
        <v>2.3000000000000003</v>
      </c>
      <c r="N3046">
        <v>18</v>
      </c>
      <c r="O3046">
        <v>4</v>
      </c>
      <c r="P3046" t="s">
        <v>514</v>
      </c>
      <c r="Q3046" s="97">
        <f t="shared" si="401"/>
        <v>40</v>
      </c>
      <c r="R3046" t="str">
        <f t="shared" si="402"/>
        <v/>
      </c>
    </row>
    <row r="3047" spans="3:18">
      <c r="C3047" t="str">
        <f t="shared" si="403"/>
        <v/>
      </c>
      <c r="D3047" s="36">
        <v>41</v>
      </c>
      <c r="E3047">
        <v>35</v>
      </c>
      <c r="F3047" s="366">
        <f t="shared" si="395"/>
        <v>759.5</v>
      </c>
      <c r="G3047" s="97">
        <v>2135</v>
      </c>
      <c r="H3047" s="367">
        <f t="shared" si="399"/>
        <v>2894.5</v>
      </c>
      <c r="I3047" s="368">
        <f t="shared" si="400"/>
        <v>0</v>
      </c>
      <c r="J3047">
        <v>6473</v>
      </c>
      <c r="K3047" s="367">
        <f t="shared" si="404"/>
        <v>4623.5714285714284</v>
      </c>
      <c r="L3047">
        <v>0.24000000000000002</v>
      </c>
      <c r="M3047">
        <v>3.4</v>
      </c>
      <c r="N3047">
        <v>16</v>
      </c>
      <c r="O3047">
        <v>6</v>
      </c>
      <c r="P3047" t="s">
        <v>514</v>
      </c>
      <c r="Q3047" s="97" t="str">
        <f t="shared" si="401"/>
        <v/>
      </c>
      <c r="R3047" t="str">
        <f t="shared" si="402"/>
        <v/>
      </c>
    </row>
    <row r="3048" spans="3:18">
      <c r="C3048" t="str">
        <f t="shared" si="403"/>
        <v/>
      </c>
      <c r="D3048" s="36">
        <v>42</v>
      </c>
      <c r="E3048">
        <v>35</v>
      </c>
      <c r="F3048" s="366">
        <f t="shared" si="395"/>
        <v>759.5</v>
      </c>
      <c r="G3048" s="97">
        <v>2459</v>
      </c>
      <c r="H3048" s="367">
        <f t="shared" si="399"/>
        <v>3218.5</v>
      </c>
      <c r="I3048" s="368">
        <f t="shared" si="400"/>
        <v>0</v>
      </c>
      <c r="J3048">
        <v>7453</v>
      </c>
      <c r="K3048" s="367">
        <f t="shared" si="404"/>
        <v>5323.5714285714284</v>
      </c>
      <c r="L3048">
        <v>0.9</v>
      </c>
      <c r="M3048">
        <v>3.4</v>
      </c>
      <c r="N3048">
        <v>25</v>
      </c>
      <c r="O3048">
        <v>6</v>
      </c>
      <c r="P3048" t="s">
        <v>513</v>
      </c>
      <c r="Q3048" s="97" t="str">
        <f t="shared" si="401"/>
        <v/>
      </c>
      <c r="R3048" t="str">
        <f t="shared" si="402"/>
        <v/>
      </c>
    </row>
    <row r="3049" spans="3:18">
      <c r="C3049" t="str">
        <f t="shared" si="403"/>
        <v/>
      </c>
      <c r="D3049" s="36">
        <v>43</v>
      </c>
      <c r="E3049">
        <v>40</v>
      </c>
      <c r="F3049" s="366">
        <f t="shared" si="395"/>
        <v>868</v>
      </c>
      <c r="G3049" s="97">
        <v>1844</v>
      </c>
      <c r="H3049" s="367">
        <f t="shared" si="399"/>
        <v>2712</v>
      </c>
      <c r="I3049" s="368">
        <f t="shared" si="400"/>
        <v>0</v>
      </c>
      <c r="J3049">
        <v>5590</v>
      </c>
      <c r="K3049" s="367">
        <f t="shared" si="404"/>
        <v>3992.8571428571431</v>
      </c>
      <c r="L3049">
        <v>1.1599999999999999</v>
      </c>
      <c r="M3049">
        <v>9.7999999999999989</v>
      </c>
      <c r="N3049">
        <v>25</v>
      </c>
      <c r="O3049">
        <v>2</v>
      </c>
      <c r="P3049" t="s">
        <v>515</v>
      </c>
      <c r="Q3049" s="97" t="str">
        <f t="shared" si="401"/>
        <v/>
      </c>
      <c r="R3049" t="str">
        <f t="shared" si="402"/>
        <v/>
      </c>
    </row>
    <row r="3050" spans="3:18">
      <c r="C3050" t="str">
        <f t="shared" si="403"/>
        <v>NL</v>
      </c>
      <c r="D3050" s="36">
        <v>44</v>
      </c>
      <c r="E3050">
        <v>40</v>
      </c>
      <c r="F3050" s="366">
        <f t="shared" si="395"/>
        <v>868</v>
      </c>
      <c r="G3050" s="97">
        <v>2015</v>
      </c>
      <c r="H3050" s="367">
        <f t="shared" si="399"/>
        <v>2883</v>
      </c>
      <c r="I3050" s="368">
        <f t="shared" si="400"/>
        <v>0</v>
      </c>
      <c r="J3050">
        <v>6110</v>
      </c>
      <c r="K3050" s="367">
        <f t="shared" si="404"/>
        <v>4364.2857142857147</v>
      </c>
      <c r="L3050">
        <v>0.45</v>
      </c>
      <c r="M3050">
        <v>1.8</v>
      </c>
      <c r="N3050">
        <v>21</v>
      </c>
      <c r="O3050">
        <v>3</v>
      </c>
      <c r="P3050" t="s">
        <v>515</v>
      </c>
      <c r="Q3050" s="97" t="str">
        <f t="shared" si="401"/>
        <v/>
      </c>
      <c r="R3050" t="str">
        <f t="shared" si="402"/>
        <v/>
      </c>
    </row>
    <row r="3051" spans="3:18">
      <c r="C3051" t="str">
        <f t="shared" si="403"/>
        <v/>
      </c>
      <c r="D3051" s="36">
        <v>45</v>
      </c>
      <c r="E3051">
        <v>40</v>
      </c>
      <c r="F3051" s="366">
        <f t="shared" si="395"/>
        <v>868</v>
      </c>
      <c r="G3051" s="97">
        <v>2105</v>
      </c>
      <c r="H3051" s="367">
        <f t="shared" si="399"/>
        <v>2973</v>
      </c>
      <c r="I3051" s="368">
        <f t="shared" si="400"/>
        <v>0</v>
      </c>
      <c r="J3051">
        <v>6383</v>
      </c>
      <c r="K3051" s="367">
        <f t="shared" si="404"/>
        <v>4559.2857142857147</v>
      </c>
      <c r="L3051">
        <v>0.24000000000000002</v>
      </c>
      <c r="M3051">
        <v>2.3000000000000003</v>
      </c>
      <c r="N3051">
        <v>18</v>
      </c>
      <c r="O3051">
        <v>4</v>
      </c>
      <c r="P3051" t="s">
        <v>515</v>
      </c>
      <c r="Q3051" s="97" t="str">
        <f t="shared" si="401"/>
        <v/>
      </c>
      <c r="R3051" t="str">
        <f t="shared" si="402"/>
        <v/>
      </c>
    </row>
    <row r="3052" spans="3:18">
      <c r="C3052" t="str">
        <f t="shared" si="403"/>
        <v/>
      </c>
      <c r="D3052" s="36">
        <v>46</v>
      </c>
      <c r="E3052">
        <v>40</v>
      </c>
      <c r="F3052" s="366">
        <f t="shared" si="395"/>
        <v>868</v>
      </c>
      <c r="G3052" s="97">
        <v>2636</v>
      </c>
      <c r="H3052" s="367">
        <f t="shared" si="399"/>
        <v>3504</v>
      </c>
      <c r="I3052" s="368">
        <f t="shared" si="400"/>
        <v>0</v>
      </c>
      <c r="J3052">
        <v>7990</v>
      </c>
      <c r="K3052" s="367">
        <f t="shared" si="404"/>
        <v>5707.1428571428569</v>
      </c>
      <c r="L3052">
        <v>0.66</v>
      </c>
      <c r="M3052">
        <v>2.3000000000000003</v>
      </c>
      <c r="N3052">
        <v>20</v>
      </c>
      <c r="O3052">
        <v>4</v>
      </c>
      <c r="P3052" t="s">
        <v>514</v>
      </c>
      <c r="Q3052" s="97">
        <f t="shared" si="401"/>
        <v>46</v>
      </c>
      <c r="R3052" t="str">
        <f t="shared" si="402"/>
        <v/>
      </c>
    </row>
    <row r="3053" spans="3:18">
      <c r="C3053" t="str">
        <f t="shared" si="403"/>
        <v/>
      </c>
      <c r="D3053" s="36">
        <v>47</v>
      </c>
      <c r="E3053">
        <v>40</v>
      </c>
      <c r="F3053" s="366">
        <f t="shared" si="395"/>
        <v>868</v>
      </c>
      <c r="G3053" s="97">
        <v>2428</v>
      </c>
      <c r="H3053" s="367">
        <f t="shared" si="399"/>
        <v>3296</v>
      </c>
      <c r="I3053" s="368">
        <f t="shared" si="400"/>
        <v>0</v>
      </c>
      <c r="J3053">
        <v>7362</v>
      </c>
      <c r="K3053" s="367">
        <f t="shared" si="404"/>
        <v>5258.5714285714284</v>
      </c>
      <c r="L3053">
        <v>0.31</v>
      </c>
      <c r="M3053">
        <v>3.4</v>
      </c>
      <c r="N3053">
        <v>18</v>
      </c>
      <c r="O3053">
        <v>6</v>
      </c>
      <c r="P3053" t="s">
        <v>514</v>
      </c>
      <c r="Q3053" s="97">
        <f t="shared" si="401"/>
        <v>47</v>
      </c>
      <c r="R3053" t="str">
        <f t="shared" si="402"/>
        <v/>
      </c>
    </row>
    <row r="3054" spans="3:18">
      <c r="C3054" t="str">
        <f t="shared" si="403"/>
        <v>NL</v>
      </c>
      <c r="D3054" s="36">
        <v>48</v>
      </c>
      <c r="E3054">
        <v>45</v>
      </c>
      <c r="F3054" s="366">
        <f t="shared" si="395"/>
        <v>976.5</v>
      </c>
      <c r="G3054" s="97">
        <v>2217</v>
      </c>
      <c r="H3054" s="367">
        <f t="shared" si="399"/>
        <v>3193.5</v>
      </c>
      <c r="I3054" s="368">
        <f t="shared" si="400"/>
        <v>0</v>
      </c>
      <c r="J3054">
        <v>6721</v>
      </c>
      <c r="K3054" s="367">
        <f t="shared" si="404"/>
        <v>4800.7142857142862</v>
      </c>
      <c r="L3054">
        <v>0.57000000000000006</v>
      </c>
      <c r="M3054">
        <v>1.8</v>
      </c>
      <c r="N3054">
        <v>22</v>
      </c>
      <c r="O3054">
        <v>3</v>
      </c>
      <c r="P3054" t="s">
        <v>515</v>
      </c>
      <c r="Q3054" s="97" t="str">
        <f t="shared" si="401"/>
        <v/>
      </c>
      <c r="R3054" t="str">
        <f t="shared" si="402"/>
        <v/>
      </c>
    </row>
    <row r="3055" spans="3:18">
      <c r="C3055" t="str">
        <f t="shared" si="403"/>
        <v/>
      </c>
      <c r="D3055" s="36">
        <v>49</v>
      </c>
      <c r="E3055">
        <v>45</v>
      </c>
      <c r="F3055" s="366">
        <f t="shared" si="395"/>
        <v>976.5</v>
      </c>
      <c r="G3055" s="97">
        <v>2320</v>
      </c>
      <c r="H3055" s="367">
        <f t="shared" si="399"/>
        <v>3296.5</v>
      </c>
      <c r="I3055" s="368">
        <f t="shared" si="400"/>
        <v>0</v>
      </c>
      <c r="J3055">
        <v>7034</v>
      </c>
      <c r="K3055" s="367">
        <f t="shared" si="404"/>
        <v>5024.2857142857147</v>
      </c>
      <c r="L3055">
        <v>0.31</v>
      </c>
      <c r="M3055">
        <v>2.3000000000000003</v>
      </c>
      <c r="N3055">
        <v>19</v>
      </c>
      <c r="O3055">
        <v>4</v>
      </c>
      <c r="P3055" t="s">
        <v>515</v>
      </c>
      <c r="Q3055" s="97">
        <f t="shared" si="401"/>
        <v>49</v>
      </c>
      <c r="R3055" t="str">
        <f t="shared" si="402"/>
        <v/>
      </c>
    </row>
    <row r="3056" spans="3:18">
      <c r="C3056" t="str">
        <f t="shared" si="403"/>
        <v/>
      </c>
      <c r="D3056" s="36">
        <v>50</v>
      </c>
      <c r="E3056">
        <v>45</v>
      </c>
      <c r="F3056" s="366">
        <f t="shared" si="395"/>
        <v>976.5</v>
      </c>
      <c r="G3056" s="97">
        <v>2888</v>
      </c>
      <c r="H3056" s="367">
        <f t="shared" si="399"/>
        <v>3864.5</v>
      </c>
      <c r="I3056" s="368">
        <f t="shared" si="400"/>
        <v>0</v>
      </c>
      <c r="J3056">
        <v>8755</v>
      </c>
      <c r="K3056" s="367">
        <f t="shared" si="404"/>
        <v>6253.5714285714284</v>
      </c>
      <c r="L3056">
        <v>0.84</v>
      </c>
      <c r="M3056">
        <v>2.3000000000000003</v>
      </c>
      <c r="N3056">
        <v>21</v>
      </c>
      <c r="O3056">
        <v>4</v>
      </c>
      <c r="P3056" t="s">
        <v>514</v>
      </c>
      <c r="Q3056" s="97" t="str">
        <f t="shared" si="401"/>
        <v/>
      </c>
      <c r="R3056" t="str">
        <f t="shared" si="402"/>
        <v/>
      </c>
    </row>
    <row r="3057" spans="3:18">
      <c r="C3057" t="str">
        <f t="shared" si="403"/>
        <v/>
      </c>
      <c r="D3057" s="36">
        <v>51</v>
      </c>
      <c r="E3057">
        <v>45</v>
      </c>
      <c r="F3057" s="366">
        <f t="shared" si="395"/>
        <v>976.5</v>
      </c>
      <c r="G3057" s="97">
        <v>2072</v>
      </c>
      <c r="H3057" s="367">
        <f t="shared" si="399"/>
        <v>3048.5</v>
      </c>
      <c r="I3057" s="368">
        <f t="shared" si="400"/>
        <v>0</v>
      </c>
      <c r="J3057">
        <v>6280</v>
      </c>
      <c r="K3057" s="367">
        <f t="shared" si="404"/>
        <v>4485.7142857142862</v>
      </c>
      <c r="L3057">
        <v>0.15000000000000002</v>
      </c>
      <c r="M3057">
        <v>3.4</v>
      </c>
      <c r="N3057">
        <v>18</v>
      </c>
      <c r="O3057">
        <v>6</v>
      </c>
      <c r="P3057" t="s">
        <v>515</v>
      </c>
      <c r="Q3057" s="97">
        <f t="shared" si="401"/>
        <v>51</v>
      </c>
      <c r="R3057" t="str">
        <f t="shared" si="402"/>
        <v/>
      </c>
    </row>
    <row r="3058" spans="3:18">
      <c r="C3058" t="str">
        <f t="shared" si="403"/>
        <v/>
      </c>
      <c r="D3058" s="36">
        <v>52</v>
      </c>
      <c r="E3058">
        <v>45</v>
      </c>
      <c r="F3058" s="366">
        <f t="shared" si="395"/>
        <v>976.5</v>
      </c>
      <c r="G3058" s="97">
        <v>2731</v>
      </c>
      <c r="H3058" s="367">
        <f t="shared" si="399"/>
        <v>3707.5</v>
      </c>
      <c r="I3058" s="368">
        <f t="shared" si="400"/>
        <v>0</v>
      </c>
      <c r="J3058">
        <v>8280</v>
      </c>
      <c r="K3058" s="367">
        <f t="shared" si="404"/>
        <v>5914.2857142857147</v>
      </c>
      <c r="L3058">
        <v>0.39</v>
      </c>
      <c r="M3058">
        <v>3.4</v>
      </c>
      <c r="N3058">
        <v>19</v>
      </c>
      <c r="O3058">
        <v>6</v>
      </c>
      <c r="P3058" t="s">
        <v>514</v>
      </c>
      <c r="Q3058" s="97">
        <f t="shared" si="401"/>
        <v>52</v>
      </c>
      <c r="R3058" t="str">
        <f t="shared" si="402"/>
        <v/>
      </c>
    </row>
    <row r="3059" spans="3:18">
      <c r="C3059" t="str">
        <f t="shared" si="403"/>
        <v>NL</v>
      </c>
      <c r="D3059" s="36">
        <v>53</v>
      </c>
      <c r="E3059">
        <v>50</v>
      </c>
      <c r="F3059" s="366">
        <f t="shared" si="395"/>
        <v>1085</v>
      </c>
      <c r="G3059" s="97">
        <v>2407</v>
      </c>
      <c r="H3059" s="367">
        <f t="shared" si="399"/>
        <v>3492</v>
      </c>
      <c r="I3059" s="368">
        <f t="shared" si="400"/>
        <v>0</v>
      </c>
      <c r="J3059">
        <v>7297</v>
      </c>
      <c r="K3059" s="367">
        <f t="shared" si="404"/>
        <v>5212.1428571428569</v>
      </c>
      <c r="L3059">
        <v>0.7</v>
      </c>
      <c r="M3059">
        <v>1.8</v>
      </c>
      <c r="N3059">
        <v>23</v>
      </c>
      <c r="O3059">
        <v>3</v>
      </c>
      <c r="P3059" t="s">
        <v>515</v>
      </c>
      <c r="Q3059" s="97" t="str">
        <f t="shared" si="401"/>
        <v/>
      </c>
      <c r="R3059" t="str">
        <f t="shared" si="402"/>
        <v/>
      </c>
    </row>
    <row r="3060" spans="3:18">
      <c r="C3060" t="str">
        <f t="shared" si="403"/>
        <v/>
      </c>
      <c r="D3060" s="36">
        <v>54</v>
      </c>
      <c r="E3060">
        <v>50</v>
      </c>
      <c r="F3060" s="366">
        <f t="shared" ref="F3060:F3122" si="405">1.085*($A$2-$B$2)*E3060*$T$7</f>
        <v>1085</v>
      </c>
      <c r="G3060" s="97">
        <v>2527</v>
      </c>
      <c r="H3060" s="367">
        <f t="shared" si="399"/>
        <v>3612</v>
      </c>
      <c r="I3060" s="368">
        <f t="shared" si="400"/>
        <v>0</v>
      </c>
      <c r="J3060">
        <v>7661</v>
      </c>
      <c r="K3060" s="367">
        <f t="shared" si="404"/>
        <v>5472.1428571428569</v>
      </c>
      <c r="L3060">
        <v>0.38</v>
      </c>
      <c r="M3060">
        <v>2.3000000000000003</v>
      </c>
      <c r="N3060">
        <v>21</v>
      </c>
      <c r="O3060">
        <v>4</v>
      </c>
      <c r="P3060" t="s">
        <v>515</v>
      </c>
      <c r="Q3060" s="97">
        <f t="shared" si="401"/>
        <v>54</v>
      </c>
      <c r="R3060" t="str">
        <f t="shared" si="402"/>
        <v/>
      </c>
    </row>
    <row r="3061" spans="3:18">
      <c r="C3061" t="str">
        <f t="shared" si="403"/>
        <v/>
      </c>
      <c r="D3061" s="36">
        <v>55</v>
      </c>
      <c r="E3061">
        <v>50</v>
      </c>
      <c r="F3061" s="366">
        <f t="shared" si="405"/>
        <v>1085</v>
      </c>
      <c r="G3061" s="97">
        <v>2282</v>
      </c>
      <c r="H3061" s="367">
        <f t="shared" si="399"/>
        <v>3367</v>
      </c>
      <c r="I3061" s="368">
        <f t="shared" si="400"/>
        <v>0</v>
      </c>
      <c r="J3061">
        <v>6919</v>
      </c>
      <c r="K3061" s="367">
        <f t="shared" si="404"/>
        <v>4942.1428571428569</v>
      </c>
      <c r="L3061">
        <v>0.18000000000000002</v>
      </c>
      <c r="M3061">
        <v>3.4</v>
      </c>
      <c r="N3061">
        <v>19</v>
      </c>
      <c r="O3061">
        <v>6</v>
      </c>
      <c r="P3061" t="s">
        <v>515</v>
      </c>
      <c r="Q3061" s="97">
        <f t="shared" si="401"/>
        <v>55</v>
      </c>
      <c r="R3061" t="str">
        <f t="shared" si="402"/>
        <v/>
      </c>
    </row>
    <row r="3062" spans="3:18">
      <c r="C3062" t="str">
        <f t="shared" si="403"/>
        <v/>
      </c>
      <c r="D3062" s="36">
        <v>56</v>
      </c>
      <c r="E3062">
        <v>50</v>
      </c>
      <c r="F3062" s="366">
        <f t="shared" si="405"/>
        <v>1085</v>
      </c>
      <c r="G3062" s="97">
        <v>3048</v>
      </c>
      <c r="H3062" s="367">
        <f t="shared" si="399"/>
        <v>4133</v>
      </c>
      <c r="I3062" s="368">
        <f t="shared" si="400"/>
        <v>0</v>
      </c>
      <c r="J3062">
        <v>9239</v>
      </c>
      <c r="K3062" s="367">
        <f t="shared" si="404"/>
        <v>6599.2857142857147</v>
      </c>
      <c r="L3062">
        <v>0.48</v>
      </c>
      <c r="M3062">
        <v>3.4</v>
      </c>
      <c r="N3062">
        <v>21</v>
      </c>
      <c r="O3062">
        <v>6</v>
      </c>
      <c r="P3062" t="s">
        <v>514</v>
      </c>
      <c r="Q3062" s="97">
        <f t="shared" si="401"/>
        <v>56</v>
      </c>
      <c r="R3062" t="str">
        <f t="shared" si="402"/>
        <v/>
      </c>
    </row>
    <row r="3063" spans="3:18">
      <c r="C3063" t="str">
        <f t="shared" si="403"/>
        <v>NL</v>
      </c>
      <c r="D3063" s="36">
        <v>57</v>
      </c>
      <c r="E3063">
        <v>55</v>
      </c>
      <c r="F3063" s="366">
        <f t="shared" si="405"/>
        <v>1193.5</v>
      </c>
      <c r="G3063" s="97">
        <v>2590</v>
      </c>
      <c r="H3063" s="367">
        <f t="shared" si="399"/>
        <v>3783.5</v>
      </c>
      <c r="I3063" s="368">
        <f t="shared" si="400"/>
        <v>0</v>
      </c>
      <c r="J3063">
        <v>7851</v>
      </c>
      <c r="K3063" s="367">
        <f t="shared" si="404"/>
        <v>5607.8571428571431</v>
      </c>
      <c r="L3063">
        <v>0.85</v>
      </c>
      <c r="M3063">
        <v>1.8</v>
      </c>
      <c r="N3063">
        <v>25</v>
      </c>
      <c r="O3063">
        <v>3</v>
      </c>
      <c r="P3063" t="s">
        <v>515</v>
      </c>
      <c r="Q3063" s="97" t="str">
        <f t="shared" si="401"/>
        <v/>
      </c>
      <c r="R3063" t="str">
        <f t="shared" si="402"/>
        <v/>
      </c>
    </row>
    <row r="3064" spans="3:18">
      <c r="C3064" t="str">
        <f t="shared" si="403"/>
        <v/>
      </c>
      <c r="D3064" s="36">
        <v>58</v>
      </c>
      <c r="E3064">
        <v>55</v>
      </c>
      <c r="F3064" s="366">
        <f t="shared" si="405"/>
        <v>1193.5</v>
      </c>
      <c r="G3064" s="97">
        <v>2728</v>
      </c>
      <c r="H3064" s="367">
        <f t="shared" si="399"/>
        <v>3921.5</v>
      </c>
      <c r="I3064" s="368">
        <f t="shared" si="400"/>
        <v>0</v>
      </c>
      <c r="J3064">
        <v>8271</v>
      </c>
      <c r="K3064" s="367">
        <f t="shared" si="404"/>
        <v>5907.8571428571431</v>
      </c>
      <c r="L3064">
        <v>0.46</v>
      </c>
      <c r="M3064">
        <v>2.3000000000000003</v>
      </c>
      <c r="N3064">
        <v>22</v>
      </c>
      <c r="O3064">
        <v>4</v>
      </c>
      <c r="P3064" t="s">
        <v>515</v>
      </c>
      <c r="Q3064" s="97">
        <f t="shared" si="401"/>
        <v>58</v>
      </c>
      <c r="R3064" t="str">
        <f t="shared" si="402"/>
        <v/>
      </c>
    </row>
    <row r="3065" spans="3:18">
      <c r="C3065" t="str">
        <f t="shared" si="403"/>
        <v/>
      </c>
      <c r="D3065" s="36">
        <v>59</v>
      </c>
      <c r="E3065">
        <v>55</v>
      </c>
      <c r="F3065" s="366">
        <f t="shared" si="405"/>
        <v>1193.5</v>
      </c>
      <c r="G3065" s="97">
        <v>2502</v>
      </c>
      <c r="H3065" s="367">
        <f t="shared" si="399"/>
        <v>3695.5</v>
      </c>
      <c r="I3065" s="368">
        <f t="shared" si="400"/>
        <v>0</v>
      </c>
      <c r="J3065">
        <v>7585</v>
      </c>
      <c r="K3065" s="367">
        <f t="shared" si="404"/>
        <v>5417.8571428571431</v>
      </c>
      <c r="L3065">
        <v>0.22</v>
      </c>
      <c r="M3065">
        <v>3.4</v>
      </c>
      <c r="N3065">
        <v>20</v>
      </c>
      <c r="O3065">
        <v>6</v>
      </c>
      <c r="P3065" t="s">
        <v>515</v>
      </c>
      <c r="Q3065" s="97">
        <f t="shared" si="401"/>
        <v>59</v>
      </c>
      <c r="R3065" t="str">
        <f t="shared" si="402"/>
        <v/>
      </c>
    </row>
    <row r="3066" spans="3:18">
      <c r="C3066" t="str">
        <f t="shared" si="403"/>
        <v/>
      </c>
      <c r="D3066" s="36">
        <v>60</v>
      </c>
      <c r="E3066">
        <v>55</v>
      </c>
      <c r="F3066" s="366">
        <f t="shared" si="405"/>
        <v>1193.5</v>
      </c>
      <c r="G3066" s="97">
        <v>3324</v>
      </c>
      <c r="H3066" s="367">
        <f t="shared" si="399"/>
        <v>4517.5</v>
      </c>
      <c r="I3066" s="368">
        <f t="shared" si="400"/>
        <v>0</v>
      </c>
      <c r="J3066">
        <v>10078</v>
      </c>
      <c r="K3066" s="367">
        <f t="shared" si="404"/>
        <v>7198.5714285714284</v>
      </c>
      <c r="L3066">
        <v>0.57999999999999996</v>
      </c>
      <c r="M3066">
        <v>3.4</v>
      </c>
      <c r="N3066">
        <v>22</v>
      </c>
      <c r="O3066">
        <v>6</v>
      </c>
      <c r="P3066" t="s">
        <v>514</v>
      </c>
      <c r="Q3066" s="97">
        <f t="shared" si="401"/>
        <v>60</v>
      </c>
      <c r="R3066" t="str">
        <f t="shared" si="402"/>
        <v/>
      </c>
    </row>
    <row r="3067" spans="3:18">
      <c r="C3067" t="str">
        <f t="shared" si="403"/>
        <v>NL</v>
      </c>
      <c r="D3067" s="36">
        <v>61</v>
      </c>
      <c r="E3067">
        <v>60</v>
      </c>
      <c r="F3067" s="366">
        <f t="shared" si="405"/>
        <v>1302</v>
      </c>
      <c r="G3067" s="97">
        <v>2767</v>
      </c>
      <c r="H3067" s="367">
        <f t="shared" si="399"/>
        <v>4069</v>
      </c>
      <c r="I3067" s="368">
        <f t="shared" si="400"/>
        <v>0</v>
      </c>
      <c r="J3067">
        <v>8387</v>
      </c>
      <c r="K3067" s="367">
        <f t="shared" si="404"/>
        <v>5990.7142857142862</v>
      </c>
      <c r="L3067">
        <v>1.01</v>
      </c>
      <c r="M3067">
        <v>1.8</v>
      </c>
      <c r="N3067">
        <v>26</v>
      </c>
      <c r="O3067">
        <v>3</v>
      </c>
      <c r="P3067" t="s">
        <v>515</v>
      </c>
      <c r="Q3067" s="97" t="str">
        <f t="shared" si="401"/>
        <v/>
      </c>
      <c r="R3067" t="str">
        <f t="shared" si="402"/>
        <v/>
      </c>
    </row>
    <row r="3068" spans="3:18">
      <c r="C3068" t="str">
        <f t="shared" si="403"/>
        <v/>
      </c>
      <c r="D3068" s="36">
        <v>62</v>
      </c>
      <c r="E3068">
        <v>60</v>
      </c>
      <c r="F3068" s="366">
        <f t="shared" si="405"/>
        <v>1302</v>
      </c>
      <c r="G3068" s="97">
        <v>2919</v>
      </c>
      <c r="H3068" s="367">
        <f t="shared" si="399"/>
        <v>4221</v>
      </c>
      <c r="I3068" s="368">
        <f t="shared" si="400"/>
        <v>0</v>
      </c>
      <c r="J3068">
        <v>8849</v>
      </c>
      <c r="K3068" s="367">
        <f t="shared" si="404"/>
        <v>6320.7142857142862</v>
      </c>
      <c r="L3068">
        <v>0.54</v>
      </c>
      <c r="M3068">
        <v>2.3000000000000003</v>
      </c>
      <c r="N3068">
        <v>23</v>
      </c>
      <c r="O3068">
        <v>4</v>
      </c>
      <c r="P3068" t="s">
        <v>515</v>
      </c>
      <c r="Q3068" s="97">
        <f t="shared" si="401"/>
        <v>62</v>
      </c>
      <c r="R3068" t="str">
        <f t="shared" si="402"/>
        <v/>
      </c>
    </row>
    <row r="3069" spans="3:18">
      <c r="C3069" t="str">
        <f t="shared" si="403"/>
        <v/>
      </c>
      <c r="D3069" s="36">
        <v>63</v>
      </c>
      <c r="E3069">
        <v>60</v>
      </c>
      <c r="F3069" s="366">
        <f t="shared" si="405"/>
        <v>1302</v>
      </c>
      <c r="G3069" s="97">
        <v>2722</v>
      </c>
      <c r="H3069" s="367">
        <f t="shared" si="399"/>
        <v>4024</v>
      </c>
      <c r="I3069" s="368">
        <f t="shared" si="400"/>
        <v>0</v>
      </c>
      <c r="J3069">
        <v>8251</v>
      </c>
      <c r="K3069" s="367">
        <f t="shared" si="404"/>
        <v>5893.5714285714284</v>
      </c>
      <c r="L3069">
        <v>0.26</v>
      </c>
      <c r="M3069">
        <v>3.4</v>
      </c>
      <c r="N3069">
        <v>21</v>
      </c>
      <c r="O3069">
        <v>6</v>
      </c>
      <c r="P3069" t="s">
        <v>515</v>
      </c>
      <c r="Q3069" s="97">
        <f t="shared" si="401"/>
        <v>63</v>
      </c>
      <c r="R3069" t="str">
        <f t="shared" si="402"/>
        <v/>
      </c>
    </row>
    <row r="3070" spans="3:18">
      <c r="C3070" t="str">
        <f t="shared" si="403"/>
        <v/>
      </c>
      <c r="D3070" s="36">
        <v>64</v>
      </c>
      <c r="E3070">
        <v>60</v>
      </c>
      <c r="F3070" s="366">
        <f t="shared" si="405"/>
        <v>1302</v>
      </c>
      <c r="G3070" s="97">
        <v>3562</v>
      </c>
      <c r="H3070" s="367">
        <f t="shared" si="399"/>
        <v>4864</v>
      </c>
      <c r="I3070" s="368">
        <f t="shared" si="400"/>
        <v>0</v>
      </c>
      <c r="J3070">
        <v>10797</v>
      </c>
      <c r="K3070" s="367">
        <f t="shared" si="404"/>
        <v>7712.1428571428569</v>
      </c>
      <c r="L3070">
        <v>0.69000000000000006</v>
      </c>
      <c r="M3070">
        <v>3.4</v>
      </c>
      <c r="N3070">
        <v>23</v>
      </c>
      <c r="O3070">
        <v>6</v>
      </c>
      <c r="P3070" t="s">
        <v>514</v>
      </c>
      <c r="Q3070" s="97">
        <f t="shared" si="401"/>
        <v>64</v>
      </c>
      <c r="R3070" t="str">
        <f t="shared" si="402"/>
        <v/>
      </c>
    </row>
    <row r="3071" spans="3:18">
      <c r="C3071" t="str">
        <f t="shared" si="403"/>
        <v/>
      </c>
      <c r="D3071" s="36">
        <v>65</v>
      </c>
      <c r="E3071">
        <v>65</v>
      </c>
      <c r="F3071" s="366">
        <f t="shared" si="405"/>
        <v>1410.5</v>
      </c>
      <c r="G3071" s="97">
        <v>3107</v>
      </c>
      <c r="H3071" s="367">
        <f t="shared" si="399"/>
        <v>4517.5</v>
      </c>
      <c r="I3071" s="368">
        <f t="shared" si="400"/>
        <v>0</v>
      </c>
      <c r="J3071">
        <v>9419</v>
      </c>
      <c r="K3071" s="367">
        <f t="shared" si="404"/>
        <v>6727.8571428571431</v>
      </c>
      <c r="L3071">
        <v>0.64</v>
      </c>
      <c r="M3071">
        <v>2.3000000000000003</v>
      </c>
      <c r="N3071">
        <v>24</v>
      </c>
      <c r="O3071">
        <v>4</v>
      </c>
      <c r="P3071" t="s">
        <v>515</v>
      </c>
      <c r="Q3071" s="97">
        <f t="shared" si="401"/>
        <v>65</v>
      </c>
      <c r="R3071" t="str">
        <f t="shared" si="402"/>
        <v/>
      </c>
    </row>
    <row r="3072" spans="3:18">
      <c r="C3072" t="str">
        <f t="shared" si="403"/>
        <v/>
      </c>
      <c r="D3072" s="36">
        <v>66</v>
      </c>
      <c r="E3072">
        <v>65</v>
      </c>
      <c r="F3072" s="366">
        <f t="shared" si="405"/>
        <v>1410.5</v>
      </c>
      <c r="G3072" s="97">
        <v>2956</v>
      </c>
      <c r="H3072" s="367">
        <f t="shared" ref="H3072:H3092" si="406">(G3072*$U$7)+F3072</f>
        <v>4366.5</v>
      </c>
      <c r="I3072" s="368">
        <f t="shared" ref="I3072:I3092" si="407">1.085*($C$2-$D$2)*E3072*$T$7</f>
        <v>0</v>
      </c>
      <c r="J3072">
        <v>8962</v>
      </c>
      <c r="K3072" s="367">
        <f t="shared" si="404"/>
        <v>6401.4285714285716</v>
      </c>
      <c r="L3072">
        <v>0.3</v>
      </c>
      <c r="M3072">
        <v>3.4</v>
      </c>
      <c r="N3072">
        <v>22</v>
      </c>
      <c r="O3072">
        <v>6</v>
      </c>
      <c r="P3072" t="s">
        <v>515</v>
      </c>
      <c r="Q3072" s="97">
        <f t="shared" ref="Q3072:Q3134" si="408">IF(AND(H3072+1&gt;$E$4,L3072&lt;$L$4+0.01,M3072&lt;$M$4+0.01,K3072+1&gt;$F$4,E3072+1&gt;$J$4,N3072&lt;$K$4+1,O3072&lt;$P$4+1,C3072=""),D3072,"")</f>
        <v>66</v>
      </c>
      <c r="R3072" t="str">
        <f t="shared" ref="R3072:R3090" si="409">IF(Q3072="","",IF(AND(O3072&lt;$X$27,E3072&gt;$U$27,E3072&lt;$Q$4+$U$27+1),D3072,""))</f>
        <v/>
      </c>
    </row>
    <row r="3073" spans="3:18">
      <c r="C3073" t="str">
        <f t="shared" si="403"/>
        <v/>
      </c>
      <c r="D3073" s="36">
        <v>67</v>
      </c>
      <c r="E3073">
        <v>65</v>
      </c>
      <c r="F3073" s="366">
        <f t="shared" si="405"/>
        <v>1410.5</v>
      </c>
      <c r="G3073" s="97">
        <v>3787</v>
      </c>
      <c r="H3073" s="367">
        <f t="shared" si="406"/>
        <v>5197.5</v>
      </c>
      <c r="I3073" s="368">
        <f t="shared" si="407"/>
        <v>0</v>
      </c>
      <c r="J3073">
        <v>11480</v>
      </c>
      <c r="K3073" s="367">
        <f t="shared" si="404"/>
        <v>8200</v>
      </c>
      <c r="L3073">
        <v>0.8</v>
      </c>
      <c r="M3073">
        <v>3.4</v>
      </c>
      <c r="N3073">
        <v>24</v>
      </c>
      <c r="O3073">
        <v>6</v>
      </c>
      <c r="P3073" t="s">
        <v>514</v>
      </c>
      <c r="Q3073" s="97" t="str">
        <f t="shared" si="408"/>
        <v/>
      </c>
      <c r="R3073" t="str">
        <f t="shared" si="409"/>
        <v/>
      </c>
    </row>
    <row r="3074" spans="3:18">
      <c r="C3074" t="str">
        <f t="shared" si="403"/>
        <v/>
      </c>
      <c r="D3074" s="36">
        <v>68</v>
      </c>
      <c r="E3074">
        <v>70</v>
      </c>
      <c r="F3074" s="366">
        <f t="shared" si="405"/>
        <v>1519</v>
      </c>
      <c r="G3074" s="97">
        <v>3287</v>
      </c>
      <c r="H3074" s="367">
        <f t="shared" si="406"/>
        <v>4806</v>
      </c>
      <c r="I3074" s="368">
        <f t="shared" si="407"/>
        <v>0</v>
      </c>
      <c r="J3074">
        <v>9963</v>
      </c>
      <c r="K3074" s="367">
        <f t="shared" si="404"/>
        <v>7116.4285714285716</v>
      </c>
      <c r="L3074">
        <v>0.74</v>
      </c>
      <c r="M3074">
        <v>2.3000000000000003</v>
      </c>
      <c r="N3074">
        <v>25</v>
      </c>
      <c r="O3074">
        <v>4</v>
      </c>
      <c r="P3074" t="s">
        <v>515</v>
      </c>
      <c r="Q3074" s="97" t="str">
        <f t="shared" si="408"/>
        <v/>
      </c>
      <c r="R3074" t="str">
        <f t="shared" si="409"/>
        <v/>
      </c>
    </row>
    <row r="3075" spans="3:18">
      <c r="C3075" t="str">
        <f t="shared" si="403"/>
        <v/>
      </c>
      <c r="D3075" s="36">
        <v>69</v>
      </c>
      <c r="E3075">
        <v>70</v>
      </c>
      <c r="F3075" s="366">
        <f t="shared" si="405"/>
        <v>1519</v>
      </c>
      <c r="G3075" s="97">
        <v>3193</v>
      </c>
      <c r="H3075" s="367">
        <f t="shared" si="406"/>
        <v>4712</v>
      </c>
      <c r="I3075" s="368">
        <f t="shared" si="407"/>
        <v>0</v>
      </c>
      <c r="J3075">
        <v>9681</v>
      </c>
      <c r="K3075" s="367">
        <f t="shared" si="404"/>
        <v>6915</v>
      </c>
      <c r="L3075">
        <v>0.35000000000000003</v>
      </c>
      <c r="M3075">
        <v>3.4</v>
      </c>
      <c r="N3075">
        <v>23</v>
      </c>
      <c r="O3075">
        <v>6</v>
      </c>
      <c r="P3075" t="s">
        <v>515</v>
      </c>
      <c r="Q3075" s="97">
        <f t="shared" si="408"/>
        <v>69</v>
      </c>
      <c r="R3075" t="str">
        <f t="shared" si="409"/>
        <v/>
      </c>
    </row>
    <row r="3076" spans="3:18">
      <c r="C3076" t="str">
        <f t="shared" si="403"/>
        <v/>
      </c>
      <c r="D3076" s="36">
        <v>70</v>
      </c>
      <c r="E3076">
        <v>70</v>
      </c>
      <c r="F3076" s="366">
        <f t="shared" si="405"/>
        <v>1519</v>
      </c>
      <c r="G3076" s="97">
        <v>4004</v>
      </c>
      <c r="H3076" s="367">
        <f t="shared" si="406"/>
        <v>5523</v>
      </c>
      <c r="I3076" s="368">
        <f t="shared" si="407"/>
        <v>0</v>
      </c>
      <c r="J3076">
        <v>12137</v>
      </c>
      <c r="K3076" s="367">
        <f t="shared" si="404"/>
        <v>8669.2857142857138</v>
      </c>
      <c r="L3076">
        <v>0.93</v>
      </c>
      <c r="M3076">
        <v>3.4</v>
      </c>
      <c r="N3076">
        <v>25</v>
      </c>
      <c r="O3076">
        <v>6</v>
      </c>
      <c r="P3076" t="s">
        <v>514</v>
      </c>
      <c r="Q3076" s="97" t="str">
        <f t="shared" si="408"/>
        <v/>
      </c>
      <c r="R3076" t="str">
        <f t="shared" si="409"/>
        <v/>
      </c>
    </row>
    <row r="3077" spans="3:18">
      <c r="C3077" t="str">
        <f t="shared" si="403"/>
        <v/>
      </c>
      <c r="D3077" s="36">
        <v>71</v>
      </c>
      <c r="E3077">
        <v>75</v>
      </c>
      <c r="F3077" s="366">
        <f t="shared" si="405"/>
        <v>1627.5</v>
      </c>
      <c r="G3077" s="97">
        <v>3462</v>
      </c>
      <c r="H3077" s="367">
        <f t="shared" si="406"/>
        <v>5089.5</v>
      </c>
      <c r="I3077" s="368">
        <f t="shared" si="407"/>
        <v>0</v>
      </c>
      <c r="J3077">
        <v>10494</v>
      </c>
      <c r="K3077" s="367">
        <f t="shared" si="404"/>
        <v>7495.7142857142862</v>
      </c>
      <c r="L3077">
        <v>0.84</v>
      </c>
      <c r="M3077">
        <v>2.3000000000000003</v>
      </c>
      <c r="N3077">
        <v>26</v>
      </c>
      <c r="O3077">
        <v>4</v>
      </c>
      <c r="P3077" t="s">
        <v>515</v>
      </c>
      <c r="Q3077" s="97" t="str">
        <f t="shared" si="408"/>
        <v/>
      </c>
      <c r="R3077" t="str">
        <f t="shared" si="409"/>
        <v/>
      </c>
    </row>
    <row r="3078" spans="3:18">
      <c r="C3078" t="str">
        <f t="shared" si="403"/>
        <v/>
      </c>
      <c r="D3078" s="36">
        <v>72</v>
      </c>
      <c r="E3078">
        <v>75</v>
      </c>
      <c r="F3078" s="366">
        <f t="shared" si="405"/>
        <v>1627.5</v>
      </c>
      <c r="G3078" s="97">
        <v>3420</v>
      </c>
      <c r="H3078" s="367">
        <f t="shared" si="406"/>
        <v>5047.5</v>
      </c>
      <c r="I3078" s="368">
        <f t="shared" si="407"/>
        <v>0</v>
      </c>
      <c r="J3078">
        <v>10366</v>
      </c>
      <c r="K3078" s="367">
        <f t="shared" si="404"/>
        <v>7404.2857142857147</v>
      </c>
      <c r="L3078">
        <v>0.39</v>
      </c>
      <c r="M3078">
        <v>3.4</v>
      </c>
      <c r="N3078">
        <v>24</v>
      </c>
      <c r="O3078">
        <v>6</v>
      </c>
      <c r="P3078" t="s">
        <v>515</v>
      </c>
      <c r="Q3078" s="97">
        <f t="shared" si="408"/>
        <v>72</v>
      </c>
      <c r="R3078" t="str">
        <f t="shared" si="409"/>
        <v/>
      </c>
    </row>
    <row r="3079" spans="3:18">
      <c r="C3079" t="str">
        <f t="shared" si="403"/>
        <v/>
      </c>
      <c r="D3079" s="36">
        <v>73</v>
      </c>
      <c r="E3079">
        <v>80</v>
      </c>
      <c r="F3079" s="366">
        <f t="shared" si="405"/>
        <v>1736</v>
      </c>
      <c r="G3079" s="97">
        <v>3630</v>
      </c>
      <c r="H3079" s="367">
        <f t="shared" si="406"/>
        <v>5366</v>
      </c>
      <c r="I3079" s="368">
        <f t="shared" si="407"/>
        <v>0</v>
      </c>
      <c r="J3079">
        <v>11003</v>
      </c>
      <c r="K3079" s="367">
        <f t="shared" si="404"/>
        <v>7859.2857142857147</v>
      </c>
      <c r="L3079">
        <v>0.95</v>
      </c>
      <c r="M3079">
        <v>2.3000000000000003</v>
      </c>
      <c r="N3079">
        <v>27</v>
      </c>
      <c r="O3079">
        <v>4</v>
      </c>
      <c r="P3079" t="s">
        <v>515</v>
      </c>
      <c r="Q3079" s="97" t="str">
        <f t="shared" si="408"/>
        <v/>
      </c>
      <c r="R3079" t="str">
        <f t="shared" si="409"/>
        <v/>
      </c>
    </row>
    <row r="3080" spans="3:18">
      <c r="C3080" t="str">
        <f t="shared" si="403"/>
        <v/>
      </c>
      <c r="D3080" s="36">
        <v>74</v>
      </c>
      <c r="E3080">
        <v>80</v>
      </c>
      <c r="F3080" s="366">
        <f t="shared" si="405"/>
        <v>1736</v>
      </c>
      <c r="G3080" s="97">
        <v>3597</v>
      </c>
      <c r="H3080" s="367">
        <f t="shared" si="406"/>
        <v>5333</v>
      </c>
      <c r="I3080" s="368">
        <f t="shared" si="407"/>
        <v>0</v>
      </c>
      <c r="J3080">
        <v>10905</v>
      </c>
      <c r="K3080" s="367">
        <f t="shared" si="404"/>
        <v>7789.2857142857147</v>
      </c>
      <c r="L3080">
        <v>0.44</v>
      </c>
      <c r="M3080">
        <v>3.4</v>
      </c>
      <c r="N3080">
        <v>25</v>
      </c>
      <c r="O3080">
        <v>6</v>
      </c>
      <c r="P3080" t="s">
        <v>515</v>
      </c>
      <c r="Q3080" s="97">
        <f t="shared" si="408"/>
        <v>74</v>
      </c>
      <c r="R3080" t="str">
        <f t="shared" si="409"/>
        <v/>
      </c>
    </row>
    <row r="3081" spans="3:18">
      <c r="C3081" t="str">
        <f t="shared" si="403"/>
        <v/>
      </c>
      <c r="D3081" s="36">
        <v>75</v>
      </c>
      <c r="E3081">
        <v>85</v>
      </c>
      <c r="F3081" s="366">
        <f t="shared" si="405"/>
        <v>1844.5</v>
      </c>
      <c r="G3081" s="97">
        <v>3793</v>
      </c>
      <c r="H3081" s="367">
        <f t="shared" si="406"/>
        <v>5637.5</v>
      </c>
      <c r="I3081" s="368">
        <f t="shared" si="407"/>
        <v>0</v>
      </c>
      <c r="J3081">
        <v>11498</v>
      </c>
      <c r="K3081" s="367">
        <f t="shared" si="404"/>
        <v>8212.8571428571431</v>
      </c>
      <c r="L3081">
        <v>1.07</v>
      </c>
      <c r="M3081">
        <v>2.3000000000000003</v>
      </c>
      <c r="N3081">
        <v>27</v>
      </c>
      <c r="O3081">
        <v>4</v>
      </c>
      <c r="P3081" t="s">
        <v>515</v>
      </c>
      <c r="Q3081" s="97" t="str">
        <f t="shared" si="408"/>
        <v/>
      </c>
      <c r="R3081" t="str">
        <f t="shared" si="409"/>
        <v/>
      </c>
    </row>
    <row r="3082" spans="3:18">
      <c r="C3082" t="str">
        <f t="shared" si="403"/>
        <v/>
      </c>
      <c r="D3082" s="36">
        <v>76</v>
      </c>
      <c r="E3082">
        <v>85</v>
      </c>
      <c r="F3082" s="366">
        <f t="shared" si="405"/>
        <v>1844.5</v>
      </c>
      <c r="G3082" s="97">
        <v>3775</v>
      </c>
      <c r="H3082" s="367">
        <f t="shared" si="406"/>
        <v>5619.5</v>
      </c>
      <c r="I3082" s="368">
        <f t="shared" si="407"/>
        <v>0</v>
      </c>
      <c r="J3082">
        <v>11444</v>
      </c>
      <c r="K3082" s="367">
        <f t="shared" si="404"/>
        <v>8174.2857142857147</v>
      </c>
      <c r="L3082">
        <v>0.5</v>
      </c>
      <c r="M3082">
        <v>3.4</v>
      </c>
      <c r="N3082">
        <v>25</v>
      </c>
      <c r="O3082">
        <v>6</v>
      </c>
      <c r="P3082" t="s">
        <v>515</v>
      </c>
      <c r="Q3082" s="97">
        <f t="shared" si="408"/>
        <v>76</v>
      </c>
      <c r="R3082" t="str">
        <f t="shared" si="409"/>
        <v/>
      </c>
    </row>
    <row r="3083" spans="3:18">
      <c r="C3083" t="str">
        <f t="shared" si="403"/>
        <v/>
      </c>
      <c r="D3083" s="36">
        <v>77</v>
      </c>
      <c r="E3083">
        <v>90</v>
      </c>
      <c r="F3083" s="366">
        <f t="shared" si="405"/>
        <v>1953</v>
      </c>
      <c r="G3083" s="97">
        <v>3945</v>
      </c>
      <c r="H3083" s="367">
        <f t="shared" si="406"/>
        <v>5898</v>
      </c>
      <c r="I3083" s="368">
        <f t="shared" si="407"/>
        <v>0</v>
      </c>
      <c r="J3083">
        <v>11959</v>
      </c>
      <c r="K3083" s="367">
        <f t="shared" si="404"/>
        <v>8542.1428571428569</v>
      </c>
      <c r="L3083">
        <v>0.56000000000000005</v>
      </c>
      <c r="M3083">
        <v>3.4</v>
      </c>
      <c r="N3083">
        <v>26</v>
      </c>
      <c r="O3083">
        <v>6</v>
      </c>
      <c r="P3083" t="s">
        <v>515</v>
      </c>
      <c r="Q3083" s="97">
        <f t="shared" si="408"/>
        <v>77</v>
      </c>
      <c r="R3083" t="str">
        <f t="shared" si="409"/>
        <v/>
      </c>
    </row>
    <row r="3084" spans="3:18">
      <c r="C3084" t="str">
        <f t="shared" si="403"/>
        <v/>
      </c>
      <c r="D3084" s="36">
        <v>78</v>
      </c>
      <c r="E3084">
        <v>95</v>
      </c>
      <c r="F3084" s="366">
        <f t="shared" si="405"/>
        <v>2061.5</v>
      </c>
      <c r="G3084" s="97">
        <v>4108</v>
      </c>
      <c r="H3084" s="367">
        <f t="shared" si="406"/>
        <v>6169.5</v>
      </c>
      <c r="I3084" s="368">
        <f t="shared" si="407"/>
        <v>0</v>
      </c>
      <c r="J3084">
        <v>12451</v>
      </c>
      <c r="K3084" s="367">
        <f t="shared" si="404"/>
        <v>8893.5714285714294</v>
      </c>
      <c r="L3084">
        <v>0.62</v>
      </c>
      <c r="M3084">
        <v>3.4</v>
      </c>
      <c r="N3084">
        <v>27</v>
      </c>
      <c r="O3084">
        <v>6</v>
      </c>
      <c r="P3084" t="s">
        <v>515</v>
      </c>
      <c r="Q3084" s="97">
        <f t="shared" si="408"/>
        <v>78</v>
      </c>
      <c r="R3084" t="str">
        <f t="shared" si="409"/>
        <v/>
      </c>
    </row>
    <row r="3085" spans="3:18">
      <c r="C3085" t="str">
        <f t="shared" si="403"/>
        <v/>
      </c>
      <c r="D3085" s="36">
        <v>79</v>
      </c>
      <c r="E3085">
        <v>100</v>
      </c>
      <c r="F3085" s="366">
        <f t="shared" si="405"/>
        <v>2170</v>
      </c>
      <c r="G3085" s="97">
        <v>4270</v>
      </c>
      <c r="H3085" s="367">
        <f t="shared" si="406"/>
        <v>6440</v>
      </c>
      <c r="I3085" s="368">
        <f t="shared" si="407"/>
        <v>0</v>
      </c>
      <c r="J3085">
        <v>12943</v>
      </c>
      <c r="K3085" s="367">
        <f t="shared" si="404"/>
        <v>9245</v>
      </c>
      <c r="L3085">
        <v>0.69000000000000006</v>
      </c>
      <c r="M3085">
        <v>3.4</v>
      </c>
      <c r="N3085">
        <v>27</v>
      </c>
      <c r="O3085">
        <v>6</v>
      </c>
      <c r="P3085" t="s">
        <v>515</v>
      </c>
      <c r="Q3085" s="97">
        <f t="shared" si="408"/>
        <v>79</v>
      </c>
      <c r="R3085" t="str">
        <f t="shared" si="409"/>
        <v/>
      </c>
    </row>
    <row r="3086" spans="3:18">
      <c r="C3086" t="str">
        <f t="shared" si="403"/>
        <v/>
      </c>
      <c r="D3086" s="36">
        <v>80</v>
      </c>
      <c r="E3086">
        <v>105</v>
      </c>
      <c r="F3086" s="366">
        <f t="shared" si="405"/>
        <v>2278.5</v>
      </c>
      <c r="G3086" s="97">
        <v>4423</v>
      </c>
      <c r="H3086" s="367">
        <f t="shared" si="406"/>
        <v>6701.5</v>
      </c>
      <c r="I3086" s="368">
        <f t="shared" si="407"/>
        <v>0</v>
      </c>
      <c r="J3086">
        <v>13408</v>
      </c>
      <c r="K3086" s="367">
        <f t="shared" si="404"/>
        <v>9577.1428571428569</v>
      </c>
      <c r="L3086">
        <v>0.76</v>
      </c>
      <c r="M3086">
        <v>3.4</v>
      </c>
      <c r="N3086">
        <v>28</v>
      </c>
      <c r="O3086">
        <v>6</v>
      </c>
      <c r="P3086" t="s">
        <v>515</v>
      </c>
      <c r="Q3086" s="97" t="str">
        <f t="shared" si="408"/>
        <v/>
      </c>
      <c r="R3086" t="str">
        <f t="shared" si="409"/>
        <v/>
      </c>
    </row>
    <row r="3087" spans="3:18">
      <c r="C3087" t="str">
        <f t="shared" si="403"/>
        <v/>
      </c>
      <c r="D3087" s="36">
        <v>81</v>
      </c>
      <c r="E3087">
        <v>110</v>
      </c>
      <c r="F3087" s="366">
        <f t="shared" si="405"/>
        <v>2387</v>
      </c>
      <c r="G3087" s="97">
        <v>4574</v>
      </c>
      <c r="H3087" s="367">
        <f t="shared" si="406"/>
        <v>6961</v>
      </c>
      <c r="I3087" s="368">
        <f t="shared" si="407"/>
        <v>0</v>
      </c>
      <c r="J3087">
        <v>13867</v>
      </c>
      <c r="K3087" s="367">
        <f t="shared" si="404"/>
        <v>9905</v>
      </c>
      <c r="L3087">
        <v>0.83</v>
      </c>
      <c r="M3087">
        <v>3.4</v>
      </c>
      <c r="N3087">
        <v>29</v>
      </c>
      <c r="O3087">
        <v>6</v>
      </c>
      <c r="P3087" t="s">
        <v>515</v>
      </c>
      <c r="Q3087" s="97" t="str">
        <f t="shared" si="408"/>
        <v/>
      </c>
      <c r="R3087" t="str">
        <f t="shared" si="409"/>
        <v/>
      </c>
    </row>
    <row r="3088" spans="3:18">
      <c r="C3088" t="str">
        <f t="shared" si="403"/>
        <v/>
      </c>
      <c r="D3088" s="36">
        <v>82</v>
      </c>
      <c r="E3088">
        <v>115</v>
      </c>
      <c r="F3088" s="366">
        <f t="shared" si="405"/>
        <v>2495.5</v>
      </c>
      <c r="G3088" s="97">
        <v>4725</v>
      </c>
      <c r="H3088" s="367">
        <f t="shared" si="406"/>
        <v>7220.5</v>
      </c>
      <c r="I3088" s="368">
        <f t="shared" si="407"/>
        <v>0</v>
      </c>
      <c r="J3088">
        <v>14322</v>
      </c>
      <c r="K3088" s="367">
        <f t="shared" si="404"/>
        <v>10230</v>
      </c>
      <c r="L3088">
        <v>0.89</v>
      </c>
      <c r="M3088">
        <v>3.4</v>
      </c>
      <c r="N3088">
        <v>29</v>
      </c>
      <c r="O3088">
        <v>6</v>
      </c>
      <c r="P3088" t="s">
        <v>515</v>
      </c>
      <c r="Q3088" s="97" t="str">
        <f t="shared" si="408"/>
        <v/>
      </c>
      <c r="R3088" t="str">
        <f t="shared" si="409"/>
        <v/>
      </c>
    </row>
    <row r="3089" spans="2:18">
      <c r="C3089" t="str">
        <f t="shared" si="403"/>
        <v/>
      </c>
      <c r="D3089" s="36">
        <v>83</v>
      </c>
      <c r="E3089">
        <v>120</v>
      </c>
      <c r="F3089" s="366">
        <f t="shared" si="405"/>
        <v>2604</v>
      </c>
      <c r="G3089" s="97">
        <v>4867</v>
      </c>
      <c r="H3089" s="367">
        <f t="shared" si="406"/>
        <v>7471</v>
      </c>
      <c r="I3089" s="368">
        <f t="shared" si="407"/>
        <v>0</v>
      </c>
      <c r="J3089">
        <v>14753</v>
      </c>
      <c r="K3089" s="367">
        <f t="shared" si="404"/>
        <v>10537.857142857143</v>
      </c>
      <c r="L3089">
        <v>0.97</v>
      </c>
      <c r="M3089">
        <v>3.4</v>
      </c>
      <c r="N3089">
        <v>29</v>
      </c>
      <c r="O3089">
        <v>6</v>
      </c>
      <c r="P3089" t="s">
        <v>515</v>
      </c>
      <c r="Q3089" s="97" t="str">
        <f t="shared" si="408"/>
        <v/>
      </c>
      <c r="R3089" t="str">
        <f t="shared" si="409"/>
        <v/>
      </c>
    </row>
    <row r="3090" spans="2:18">
      <c r="C3090" t="str">
        <f t="shared" si="403"/>
        <v/>
      </c>
      <c r="D3090" s="36">
        <v>84</v>
      </c>
      <c r="E3090">
        <v>125</v>
      </c>
      <c r="F3090" s="366">
        <f t="shared" si="405"/>
        <v>2712.5</v>
      </c>
      <c r="G3090" s="97">
        <v>5009</v>
      </c>
      <c r="H3090" s="367">
        <f t="shared" si="406"/>
        <v>7721.5</v>
      </c>
      <c r="I3090" s="368">
        <f t="shared" si="407"/>
        <v>0</v>
      </c>
      <c r="J3090">
        <v>15184</v>
      </c>
      <c r="K3090" s="367">
        <f t="shared" si="404"/>
        <v>10845.714285714286</v>
      </c>
      <c r="L3090">
        <v>1.05</v>
      </c>
      <c r="M3090">
        <v>3.4</v>
      </c>
      <c r="N3090">
        <v>30</v>
      </c>
      <c r="O3090">
        <v>6</v>
      </c>
      <c r="P3090" t="s">
        <v>515</v>
      </c>
      <c r="Q3090" s="97" t="str">
        <f t="shared" si="408"/>
        <v/>
      </c>
      <c r="R3090" t="str">
        <f t="shared" si="409"/>
        <v/>
      </c>
    </row>
    <row r="3091" spans="2:18">
      <c r="B3091" s="582"/>
    </row>
    <row r="3092" spans="2:18">
      <c r="B3092" s="582"/>
      <c r="C3092" t="str">
        <f t="shared" si="403"/>
        <v>NL</v>
      </c>
      <c r="D3092" s="36">
        <v>1</v>
      </c>
      <c r="E3092">
        <v>5</v>
      </c>
      <c r="F3092" s="366">
        <f t="shared" si="405"/>
        <v>108.5</v>
      </c>
      <c r="G3092" s="97">
        <v>327</v>
      </c>
      <c r="H3092" s="367">
        <f t="shared" si="406"/>
        <v>435.5</v>
      </c>
      <c r="I3092" s="368">
        <f t="shared" si="407"/>
        <v>0</v>
      </c>
      <c r="J3092">
        <v>1273</v>
      </c>
      <c r="K3092" s="367">
        <f t="shared" si="404"/>
        <v>909.28571428571433</v>
      </c>
      <c r="L3092" s="607">
        <v>0.3</v>
      </c>
      <c r="M3092">
        <v>4.8999999999999995</v>
      </c>
      <c r="N3092" s="381">
        <v>21</v>
      </c>
      <c r="O3092">
        <v>3</v>
      </c>
      <c r="P3092" t="s">
        <v>512</v>
      </c>
      <c r="Q3092" s="97" t="str">
        <f t="shared" si="408"/>
        <v/>
      </c>
      <c r="R3092" t="str">
        <f>IF(Q3092="","",IF(AND(O3092&lt;$X$28,E3092&gt;$U$28,E3092&lt;$Q$4+$U$28+1),D3092,""))</f>
        <v/>
      </c>
    </row>
    <row r="3093" spans="2:18">
      <c r="C3093" t="str">
        <f t="shared" si="403"/>
        <v>NL</v>
      </c>
      <c r="D3093" s="36">
        <v>2</v>
      </c>
      <c r="E3093">
        <v>10</v>
      </c>
      <c r="F3093" s="366">
        <f t="shared" si="405"/>
        <v>217</v>
      </c>
      <c r="G3093" s="97">
        <v>562</v>
      </c>
      <c r="H3093" s="367">
        <f t="shared" ref="H3093:H3156" si="410">(G3093*$U$7)+F3093</f>
        <v>779</v>
      </c>
      <c r="I3093" s="368">
        <f t="shared" ref="I3093:I3156" si="411">1.085*($C$2-$D$2)*E3093*$T$7</f>
        <v>0</v>
      </c>
      <c r="J3093">
        <v>2187</v>
      </c>
      <c r="K3093" s="367">
        <f t="shared" si="404"/>
        <v>1562.1428571428571</v>
      </c>
      <c r="L3093" s="607">
        <v>0.43</v>
      </c>
      <c r="M3093">
        <v>4.8999999999999995</v>
      </c>
      <c r="N3093" s="381">
        <v>22</v>
      </c>
      <c r="O3093">
        <v>3</v>
      </c>
      <c r="P3093" t="s">
        <v>513</v>
      </c>
      <c r="Q3093" s="97" t="str">
        <f t="shared" si="408"/>
        <v/>
      </c>
      <c r="R3093" t="str">
        <f t="shared" ref="R3093:R3156" si="412">IF(Q3093="","",IF(AND(O3093&lt;$X$28,E3093&gt;$U$28,E3093&lt;$Q$4+$U$28+1),D3093,""))</f>
        <v/>
      </c>
    </row>
    <row r="3094" spans="2:18">
      <c r="C3094" t="str">
        <f t="shared" ref="C3094:C3157" si="413">IF(OR($O$4=0,O3094-$O$4=0),IF(AND(ISEVEN(O3094)=FALSE,$N$4="Even"),"NL",""),"NL")</f>
        <v/>
      </c>
      <c r="D3094" s="36">
        <v>3</v>
      </c>
      <c r="E3094">
        <v>10</v>
      </c>
      <c r="F3094" s="366">
        <f t="shared" si="405"/>
        <v>217</v>
      </c>
      <c r="G3094" s="97">
        <v>578</v>
      </c>
      <c r="H3094" s="367">
        <f t="shared" si="410"/>
        <v>795</v>
      </c>
      <c r="I3094" s="368">
        <f t="shared" si="411"/>
        <v>0</v>
      </c>
      <c r="J3094">
        <v>2248</v>
      </c>
      <c r="K3094" s="367">
        <f t="shared" ref="K3094:K3157" si="414">(J3094*$V$7)-I3094</f>
        <v>1605.7142857142858</v>
      </c>
      <c r="L3094" s="607">
        <v>0.21000000000000002</v>
      </c>
      <c r="M3094">
        <v>5</v>
      </c>
      <c r="N3094" s="381">
        <v>16</v>
      </c>
      <c r="O3094">
        <v>4</v>
      </c>
      <c r="P3094" t="s">
        <v>513</v>
      </c>
      <c r="Q3094" s="97" t="str">
        <f t="shared" si="408"/>
        <v/>
      </c>
      <c r="R3094" t="str">
        <f t="shared" si="412"/>
        <v/>
      </c>
    </row>
    <row r="3095" spans="2:18">
      <c r="C3095" t="str">
        <f t="shared" si="413"/>
        <v/>
      </c>
      <c r="D3095" s="36">
        <v>4</v>
      </c>
      <c r="E3095">
        <v>10</v>
      </c>
      <c r="F3095" s="366">
        <f t="shared" si="405"/>
        <v>217</v>
      </c>
      <c r="G3095" s="97">
        <v>623</v>
      </c>
      <c r="H3095" s="367">
        <f t="shared" si="410"/>
        <v>840</v>
      </c>
      <c r="I3095" s="368">
        <f t="shared" si="411"/>
        <v>0</v>
      </c>
      <c r="J3095">
        <v>2423</v>
      </c>
      <c r="K3095" s="367">
        <f t="shared" si="414"/>
        <v>1730.7142857142858</v>
      </c>
      <c r="L3095" s="607">
        <v>0.55000000000000004</v>
      </c>
      <c r="M3095">
        <v>5</v>
      </c>
      <c r="N3095" s="381">
        <v>24</v>
      </c>
      <c r="O3095">
        <v>4</v>
      </c>
      <c r="P3095" t="s">
        <v>512</v>
      </c>
      <c r="Q3095" s="97" t="str">
        <f t="shared" si="408"/>
        <v/>
      </c>
      <c r="R3095" t="str">
        <f t="shared" si="412"/>
        <v/>
      </c>
    </row>
    <row r="3096" spans="2:18">
      <c r="C3096" t="str">
        <f t="shared" si="413"/>
        <v>NL</v>
      </c>
      <c r="D3096" s="36">
        <v>5</v>
      </c>
      <c r="E3096">
        <v>10</v>
      </c>
      <c r="F3096" s="366">
        <f t="shared" si="405"/>
        <v>217</v>
      </c>
      <c r="G3096" s="97">
        <v>631</v>
      </c>
      <c r="H3096" s="367">
        <f t="shared" si="410"/>
        <v>848</v>
      </c>
      <c r="I3096" s="368">
        <f t="shared" si="411"/>
        <v>0</v>
      </c>
      <c r="J3096">
        <v>2456</v>
      </c>
      <c r="K3096" s="367">
        <f t="shared" si="414"/>
        <v>1754.2857142857142</v>
      </c>
      <c r="L3096" s="607">
        <v>0.32</v>
      </c>
      <c r="M3096">
        <v>4.6999999999999993</v>
      </c>
      <c r="N3096" s="381">
        <v>20</v>
      </c>
      <c r="O3096">
        <v>5</v>
      </c>
      <c r="P3096" t="s">
        <v>512</v>
      </c>
      <c r="Q3096" s="97" t="str">
        <f t="shared" si="408"/>
        <v/>
      </c>
      <c r="R3096" t="str">
        <f t="shared" si="412"/>
        <v/>
      </c>
    </row>
    <row r="3097" spans="2:18">
      <c r="C3097" t="str">
        <f t="shared" si="413"/>
        <v/>
      </c>
      <c r="D3097" s="36">
        <v>6</v>
      </c>
      <c r="E3097">
        <v>10</v>
      </c>
      <c r="F3097" s="366">
        <f t="shared" si="405"/>
        <v>217</v>
      </c>
      <c r="G3097" s="97">
        <v>638</v>
      </c>
      <c r="H3097" s="367">
        <f t="shared" si="410"/>
        <v>855</v>
      </c>
      <c r="I3097" s="368">
        <f t="shared" si="411"/>
        <v>0</v>
      </c>
      <c r="J3097">
        <v>2483</v>
      </c>
      <c r="K3097" s="367">
        <f t="shared" si="414"/>
        <v>1773.5714285714287</v>
      </c>
      <c r="L3097" s="607">
        <v>0.21000000000000002</v>
      </c>
      <c r="M3097">
        <v>4.6999999999999993</v>
      </c>
      <c r="N3097" s="381">
        <v>17</v>
      </c>
      <c r="O3097">
        <v>6</v>
      </c>
      <c r="P3097" t="s">
        <v>512</v>
      </c>
      <c r="Q3097" s="97" t="str">
        <f t="shared" si="408"/>
        <v/>
      </c>
      <c r="R3097" t="str">
        <f t="shared" si="412"/>
        <v/>
      </c>
    </row>
    <row r="3098" spans="2:18">
      <c r="C3098" t="str">
        <f t="shared" si="413"/>
        <v>NL</v>
      </c>
      <c r="D3098" s="36">
        <v>7</v>
      </c>
      <c r="E3098">
        <v>10</v>
      </c>
      <c r="F3098" s="366">
        <f t="shared" si="405"/>
        <v>217</v>
      </c>
      <c r="G3098" s="97">
        <v>640</v>
      </c>
      <c r="H3098" s="367">
        <f t="shared" si="410"/>
        <v>857</v>
      </c>
      <c r="I3098" s="368">
        <f t="shared" si="411"/>
        <v>0</v>
      </c>
      <c r="J3098">
        <v>2492</v>
      </c>
      <c r="K3098" s="367">
        <f t="shared" si="414"/>
        <v>1780</v>
      </c>
      <c r="L3098" s="607">
        <v>0.15000000000000002</v>
      </c>
      <c r="M3098">
        <v>4.5999999999999996</v>
      </c>
      <c r="N3098" s="381">
        <v>15</v>
      </c>
      <c r="O3098">
        <v>7</v>
      </c>
      <c r="P3098" t="s">
        <v>512</v>
      </c>
      <c r="Q3098" s="97" t="str">
        <f t="shared" si="408"/>
        <v/>
      </c>
      <c r="R3098" t="str">
        <f t="shared" si="412"/>
        <v/>
      </c>
    </row>
    <row r="3099" spans="2:18">
      <c r="C3099" t="str">
        <f t="shared" si="413"/>
        <v>NL</v>
      </c>
      <c r="D3099" s="36">
        <v>8</v>
      </c>
      <c r="E3099">
        <v>15</v>
      </c>
      <c r="F3099" s="366">
        <f t="shared" si="405"/>
        <v>325.5</v>
      </c>
      <c r="G3099" s="97">
        <v>720</v>
      </c>
      <c r="H3099" s="367">
        <f t="shared" si="410"/>
        <v>1045.5</v>
      </c>
      <c r="I3099" s="368">
        <f t="shared" si="411"/>
        <v>0</v>
      </c>
      <c r="J3099">
        <v>2802</v>
      </c>
      <c r="K3099" s="367">
        <f t="shared" si="414"/>
        <v>2001.4285714285716</v>
      </c>
      <c r="L3099" s="607">
        <v>0.27</v>
      </c>
      <c r="M3099">
        <v>4.8999999999999995</v>
      </c>
      <c r="N3099" s="381">
        <v>20</v>
      </c>
      <c r="O3099">
        <v>3</v>
      </c>
      <c r="P3099" t="s">
        <v>514</v>
      </c>
      <c r="Q3099" s="97" t="str">
        <f t="shared" si="408"/>
        <v/>
      </c>
      <c r="R3099" t="str">
        <f t="shared" si="412"/>
        <v/>
      </c>
    </row>
    <row r="3100" spans="2:18">
      <c r="C3100" t="str">
        <f t="shared" si="413"/>
        <v>NL</v>
      </c>
      <c r="D3100" s="36">
        <v>9</v>
      </c>
      <c r="E3100">
        <v>15</v>
      </c>
      <c r="F3100" s="366">
        <f t="shared" si="405"/>
        <v>325.5</v>
      </c>
      <c r="G3100" s="97">
        <v>790</v>
      </c>
      <c r="H3100" s="367">
        <f t="shared" si="410"/>
        <v>1115.5</v>
      </c>
      <c r="I3100" s="368">
        <f t="shared" si="411"/>
        <v>0</v>
      </c>
      <c r="J3100">
        <v>3074</v>
      </c>
      <c r="K3100" s="367">
        <f t="shared" si="414"/>
        <v>2195.7142857142858</v>
      </c>
      <c r="L3100" s="607">
        <v>0.96</v>
      </c>
      <c r="M3100">
        <v>4.8999999999999995</v>
      </c>
      <c r="N3100" s="381">
        <v>27</v>
      </c>
      <c r="O3100">
        <v>3</v>
      </c>
      <c r="P3100" t="s">
        <v>513</v>
      </c>
      <c r="Q3100" s="97" t="str">
        <f t="shared" si="408"/>
        <v/>
      </c>
      <c r="R3100" t="str">
        <f t="shared" si="412"/>
        <v/>
      </c>
    </row>
    <row r="3101" spans="2:18">
      <c r="C3101" t="str">
        <f t="shared" si="413"/>
        <v/>
      </c>
      <c r="D3101" s="36">
        <v>10</v>
      </c>
      <c r="E3101">
        <v>15</v>
      </c>
      <c r="F3101" s="366">
        <f t="shared" si="405"/>
        <v>325.5</v>
      </c>
      <c r="G3101" s="97">
        <v>822</v>
      </c>
      <c r="H3101" s="367">
        <f t="shared" si="410"/>
        <v>1147.5</v>
      </c>
      <c r="I3101" s="368">
        <f t="shared" si="411"/>
        <v>0</v>
      </c>
      <c r="J3101">
        <v>3197</v>
      </c>
      <c r="K3101" s="367">
        <f t="shared" si="414"/>
        <v>2283.5714285714284</v>
      </c>
      <c r="L3101" s="607">
        <v>0.47000000000000003</v>
      </c>
      <c r="M3101">
        <v>5</v>
      </c>
      <c r="N3101" s="381">
        <v>22</v>
      </c>
      <c r="O3101">
        <v>4</v>
      </c>
      <c r="P3101" t="s">
        <v>513</v>
      </c>
      <c r="Q3101" s="97" t="str">
        <f t="shared" si="408"/>
        <v/>
      </c>
      <c r="R3101" t="str">
        <f t="shared" si="412"/>
        <v/>
      </c>
    </row>
    <row r="3102" spans="2:18">
      <c r="C3102" t="str">
        <f t="shared" si="413"/>
        <v>NL</v>
      </c>
      <c r="D3102" s="36">
        <v>11</v>
      </c>
      <c r="E3102">
        <v>15</v>
      </c>
      <c r="F3102" s="366">
        <f t="shared" si="405"/>
        <v>325.5</v>
      </c>
      <c r="G3102" s="97">
        <v>837</v>
      </c>
      <c r="H3102" s="367">
        <f t="shared" si="410"/>
        <v>1162.5</v>
      </c>
      <c r="I3102" s="368">
        <f t="shared" si="411"/>
        <v>0</v>
      </c>
      <c r="J3102">
        <v>3257</v>
      </c>
      <c r="K3102" s="367">
        <f t="shared" si="414"/>
        <v>2326.4285714285716</v>
      </c>
      <c r="L3102" s="607">
        <v>0.28000000000000003</v>
      </c>
      <c r="M3102">
        <v>4.6999999999999993</v>
      </c>
      <c r="N3102" s="381">
        <v>18</v>
      </c>
      <c r="O3102">
        <v>5</v>
      </c>
      <c r="P3102" t="s">
        <v>513</v>
      </c>
      <c r="Q3102" s="97" t="str">
        <f t="shared" si="408"/>
        <v/>
      </c>
      <c r="R3102" t="str">
        <f t="shared" si="412"/>
        <v/>
      </c>
    </row>
    <row r="3103" spans="2:18">
      <c r="C3103" t="str">
        <f t="shared" si="413"/>
        <v>NL</v>
      </c>
      <c r="D3103" s="36">
        <v>12</v>
      </c>
      <c r="E3103">
        <v>15</v>
      </c>
      <c r="F3103" s="366">
        <f t="shared" si="405"/>
        <v>325.5</v>
      </c>
      <c r="G3103" s="97">
        <v>895</v>
      </c>
      <c r="H3103" s="367">
        <f t="shared" si="410"/>
        <v>1220.5</v>
      </c>
      <c r="I3103" s="368">
        <f t="shared" si="411"/>
        <v>0</v>
      </c>
      <c r="J3103">
        <v>3482</v>
      </c>
      <c r="K3103" s="367">
        <f t="shared" si="414"/>
        <v>2487.1428571428573</v>
      </c>
      <c r="L3103" s="607">
        <v>0.71</v>
      </c>
      <c r="M3103">
        <v>4.6999999999999993</v>
      </c>
      <c r="N3103" s="381">
        <v>26</v>
      </c>
      <c r="O3103">
        <v>5</v>
      </c>
      <c r="P3103" t="s">
        <v>512</v>
      </c>
      <c r="Q3103" s="97" t="str">
        <f t="shared" si="408"/>
        <v/>
      </c>
      <c r="R3103" t="str">
        <f t="shared" si="412"/>
        <v/>
      </c>
    </row>
    <row r="3104" spans="2:18">
      <c r="C3104" t="str">
        <f t="shared" si="413"/>
        <v/>
      </c>
      <c r="D3104" s="36">
        <v>13</v>
      </c>
      <c r="E3104">
        <v>15</v>
      </c>
      <c r="F3104" s="366">
        <f t="shared" si="405"/>
        <v>325.5</v>
      </c>
      <c r="G3104" s="97">
        <v>848</v>
      </c>
      <c r="H3104" s="367">
        <f t="shared" si="410"/>
        <v>1173.5</v>
      </c>
      <c r="I3104" s="368">
        <f t="shared" si="411"/>
        <v>0</v>
      </c>
      <c r="J3104">
        <v>3300</v>
      </c>
      <c r="K3104" s="367">
        <f t="shared" si="414"/>
        <v>2357.1428571428573</v>
      </c>
      <c r="L3104" s="607">
        <v>0.18000000000000002</v>
      </c>
      <c r="M3104">
        <v>4.6999999999999993</v>
      </c>
      <c r="N3104" s="381">
        <v>15</v>
      </c>
      <c r="O3104">
        <v>6</v>
      </c>
      <c r="P3104" t="s">
        <v>513</v>
      </c>
      <c r="Q3104" s="97" t="str">
        <f t="shared" si="408"/>
        <v/>
      </c>
      <c r="R3104" t="str">
        <f t="shared" si="412"/>
        <v/>
      </c>
    </row>
    <row r="3105" spans="3:18">
      <c r="C3105" t="str">
        <f t="shared" si="413"/>
        <v/>
      </c>
      <c r="D3105" s="36">
        <v>14</v>
      </c>
      <c r="E3105">
        <v>15</v>
      </c>
      <c r="F3105" s="366">
        <f t="shared" si="405"/>
        <v>325.5</v>
      </c>
      <c r="G3105" s="97">
        <v>911</v>
      </c>
      <c r="H3105" s="367">
        <f t="shared" si="410"/>
        <v>1236.5</v>
      </c>
      <c r="I3105" s="368">
        <f t="shared" si="411"/>
        <v>0</v>
      </c>
      <c r="J3105">
        <v>3544</v>
      </c>
      <c r="K3105" s="367">
        <f t="shared" si="414"/>
        <v>2531.4285714285716</v>
      </c>
      <c r="L3105" s="607">
        <v>0.47000000000000003</v>
      </c>
      <c r="M3105">
        <v>4.6999999999999993</v>
      </c>
      <c r="N3105" s="381">
        <v>23</v>
      </c>
      <c r="O3105">
        <v>6</v>
      </c>
      <c r="P3105" t="s">
        <v>512</v>
      </c>
      <c r="Q3105" s="97" t="str">
        <f t="shared" si="408"/>
        <v/>
      </c>
      <c r="R3105" t="str">
        <f t="shared" si="412"/>
        <v/>
      </c>
    </row>
    <row r="3106" spans="3:18">
      <c r="C3106" t="str">
        <f t="shared" si="413"/>
        <v>NL</v>
      </c>
      <c r="D3106" s="36">
        <v>15</v>
      </c>
      <c r="E3106">
        <v>15</v>
      </c>
      <c r="F3106" s="366">
        <f t="shared" si="405"/>
        <v>325.5</v>
      </c>
      <c r="G3106" s="97">
        <v>856</v>
      </c>
      <c r="H3106" s="367">
        <f t="shared" si="410"/>
        <v>1181.5</v>
      </c>
      <c r="I3106" s="368">
        <f t="shared" si="411"/>
        <v>0</v>
      </c>
      <c r="J3106">
        <v>3331</v>
      </c>
      <c r="K3106" s="367">
        <f t="shared" si="414"/>
        <v>2379.2857142857142</v>
      </c>
      <c r="L3106" s="607">
        <v>0.13</v>
      </c>
      <c r="M3106">
        <v>4.5999999999999996</v>
      </c>
      <c r="N3106" s="381">
        <v>15</v>
      </c>
      <c r="O3106">
        <v>7</v>
      </c>
      <c r="P3106" t="s">
        <v>513</v>
      </c>
      <c r="Q3106" s="97" t="str">
        <f t="shared" si="408"/>
        <v/>
      </c>
      <c r="R3106" t="str">
        <f t="shared" si="412"/>
        <v/>
      </c>
    </row>
    <row r="3107" spans="3:18">
      <c r="C3107" t="str">
        <f t="shared" si="413"/>
        <v>NL</v>
      </c>
      <c r="D3107" s="36">
        <v>16</v>
      </c>
      <c r="E3107">
        <v>15</v>
      </c>
      <c r="F3107" s="366">
        <f t="shared" si="405"/>
        <v>325.5</v>
      </c>
      <c r="G3107" s="97">
        <v>917</v>
      </c>
      <c r="H3107" s="367">
        <f t="shared" si="410"/>
        <v>1242.5</v>
      </c>
      <c r="I3107" s="368">
        <f t="shared" si="411"/>
        <v>0</v>
      </c>
      <c r="J3107">
        <v>3569</v>
      </c>
      <c r="K3107" s="367">
        <f t="shared" si="414"/>
        <v>2549.2857142857142</v>
      </c>
      <c r="L3107" s="607">
        <v>0.33</v>
      </c>
      <c r="M3107">
        <v>4.5999999999999996</v>
      </c>
      <c r="N3107" s="381">
        <v>20</v>
      </c>
      <c r="O3107">
        <v>7</v>
      </c>
      <c r="P3107" t="s">
        <v>512</v>
      </c>
      <c r="Q3107" s="97" t="str">
        <f t="shared" si="408"/>
        <v/>
      </c>
      <c r="R3107" t="str">
        <f t="shared" si="412"/>
        <v/>
      </c>
    </row>
    <row r="3108" spans="3:18">
      <c r="C3108" t="str">
        <f t="shared" si="413"/>
        <v/>
      </c>
      <c r="D3108" s="36">
        <v>17</v>
      </c>
      <c r="E3108">
        <v>15</v>
      </c>
      <c r="F3108" s="366">
        <f t="shared" si="405"/>
        <v>325.5</v>
      </c>
      <c r="G3108" s="97">
        <v>926</v>
      </c>
      <c r="H3108" s="367">
        <f t="shared" si="410"/>
        <v>1251.5</v>
      </c>
      <c r="I3108" s="368">
        <f t="shared" si="411"/>
        <v>0</v>
      </c>
      <c r="J3108">
        <v>3601</v>
      </c>
      <c r="K3108" s="367">
        <f t="shared" si="414"/>
        <v>2572.1428571428573</v>
      </c>
      <c r="L3108" s="607">
        <v>0.25</v>
      </c>
      <c r="M3108">
        <v>4.5</v>
      </c>
      <c r="N3108" s="381">
        <v>18</v>
      </c>
      <c r="O3108">
        <v>8</v>
      </c>
      <c r="P3108" t="s">
        <v>512</v>
      </c>
      <c r="Q3108" s="97" t="str">
        <f t="shared" si="408"/>
        <v/>
      </c>
      <c r="R3108" t="str">
        <f t="shared" si="412"/>
        <v/>
      </c>
    </row>
    <row r="3109" spans="3:18">
      <c r="C3109" t="str">
        <f t="shared" si="413"/>
        <v>NL</v>
      </c>
      <c r="D3109" s="36">
        <v>18</v>
      </c>
      <c r="E3109">
        <v>20</v>
      </c>
      <c r="F3109" s="366">
        <f t="shared" si="405"/>
        <v>434</v>
      </c>
      <c r="G3109" s="97">
        <v>807</v>
      </c>
      <c r="H3109" s="367">
        <f t="shared" si="410"/>
        <v>1241</v>
      </c>
      <c r="I3109" s="368">
        <f t="shared" si="411"/>
        <v>0</v>
      </c>
      <c r="J3109">
        <v>3142</v>
      </c>
      <c r="K3109" s="367">
        <f t="shared" si="414"/>
        <v>2244.2857142857142</v>
      </c>
      <c r="L3109" s="607">
        <v>0.13</v>
      </c>
      <c r="M3109">
        <v>4.8999999999999995</v>
      </c>
      <c r="N3109" s="381">
        <v>15</v>
      </c>
      <c r="O3109">
        <v>3</v>
      </c>
      <c r="P3109" t="s">
        <v>515</v>
      </c>
      <c r="Q3109" s="97" t="str">
        <f t="shared" si="408"/>
        <v/>
      </c>
      <c r="R3109" t="str">
        <f t="shared" si="412"/>
        <v/>
      </c>
    </row>
    <row r="3110" spans="3:18">
      <c r="C3110" t="str">
        <f t="shared" si="413"/>
        <v>NL</v>
      </c>
      <c r="D3110" s="36">
        <v>19</v>
      </c>
      <c r="E3110">
        <v>20</v>
      </c>
      <c r="F3110" s="366">
        <f t="shared" si="405"/>
        <v>434</v>
      </c>
      <c r="G3110" s="97">
        <v>913</v>
      </c>
      <c r="H3110" s="367">
        <f t="shared" si="410"/>
        <v>1347</v>
      </c>
      <c r="I3110" s="368">
        <f t="shared" si="411"/>
        <v>0</v>
      </c>
      <c r="J3110">
        <v>3550</v>
      </c>
      <c r="K3110" s="367">
        <f t="shared" si="414"/>
        <v>2535.7142857142858</v>
      </c>
      <c r="L3110" s="607">
        <v>0.48</v>
      </c>
      <c r="M3110">
        <v>4.8999999999999995</v>
      </c>
      <c r="N3110" s="381">
        <v>24</v>
      </c>
      <c r="O3110">
        <v>3</v>
      </c>
      <c r="P3110" t="s">
        <v>514</v>
      </c>
      <c r="Q3110" s="97" t="str">
        <f t="shared" si="408"/>
        <v/>
      </c>
      <c r="R3110" t="str">
        <f t="shared" si="412"/>
        <v/>
      </c>
    </row>
    <row r="3111" spans="3:18">
      <c r="C3111" t="str">
        <f t="shared" si="413"/>
        <v/>
      </c>
      <c r="D3111" s="36">
        <v>20</v>
      </c>
      <c r="E3111">
        <v>20</v>
      </c>
      <c r="F3111" s="366">
        <f t="shared" si="405"/>
        <v>434</v>
      </c>
      <c r="G3111" s="97">
        <v>950</v>
      </c>
      <c r="H3111" s="367">
        <f t="shared" si="410"/>
        <v>1384</v>
      </c>
      <c r="I3111" s="368">
        <f t="shared" si="411"/>
        <v>0</v>
      </c>
      <c r="J3111">
        <v>3697</v>
      </c>
      <c r="K3111" s="367">
        <f t="shared" si="414"/>
        <v>2640.7142857142858</v>
      </c>
      <c r="L3111" s="607">
        <v>0.23</v>
      </c>
      <c r="M3111">
        <v>5</v>
      </c>
      <c r="N3111" s="381">
        <v>19</v>
      </c>
      <c r="O3111">
        <v>4</v>
      </c>
      <c r="P3111" t="s">
        <v>514</v>
      </c>
      <c r="Q3111" s="97" t="str">
        <f t="shared" si="408"/>
        <v/>
      </c>
      <c r="R3111" t="str">
        <f t="shared" si="412"/>
        <v/>
      </c>
    </row>
    <row r="3112" spans="3:18">
      <c r="C3112" t="str">
        <f t="shared" si="413"/>
        <v/>
      </c>
      <c r="D3112" s="36">
        <v>21</v>
      </c>
      <c r="E3112">
        <v>20</v>
      </c>
      <c r="F3112" s="366">
        <f t="shared" si="405"/>
        <v>434</v>
      </c>
      <c r="G3112" s="97">
        <v>1039</v>
      </c>
      <c r="H3112" s="367">
        <f t="shared" si="410"/>
        <v>1473</v>
      </c>
      <c r="I3112" s="368">
        <f t="shared" si="411"/>
        <v>0</v>
      </c>
      <c r="J3112">
        <v>4043</v>
      </c>
      <c r="K3112" s="367">
        <f t="shared" si="414"/>
        <v>2887.8571428571431</v>
      </c>
      <c r="L3112" s="607">
        <v>0.82000000000000006</v>
      </c>
      <c r="M3112">
        <v>5</v>
      </c>
      <c r="N3112" s="381">
        <v>25</v>
      </c>
      <c r="O3112">
        <v>4</v>
      </c>
      <c r="P3112" t="s">
        <v>513</v>
      </c>
      <c r="Q3112" s="97" t="str">
        <f t="shared" si="408"/>
        <v/>
      </c>
      <c r="R3112" t="str">
        <f t="shared" si="412"/>
        <v/>
      </c>
    </row>
    <row r="3113" spans="3:18">
      <c r="C3113" t="str">
        <f t="shared" si="413"/>
        <v>NL</v>
      </c>
      <c r="D3113" s="36">
        <v>22</v>
      </c>
      <c r="E3113">
        <v>20</v>
      </c>
      <c r="F3113" s="366">
        <f t="shared" si="405"/>
        <v>434</v>
      </c>
      <c r="G3113" s="97">
        <v>969</v>
      </c>
      <c r="H3113" s="367">
        <f t="shared" si="410"/>
        <v>1403</v>
      </c>
      <c r="I3113" s="368">
        <f t="shared" si="411"/>
        <v>0</v>
      </c>
      <c r="J3113">
        <v>3769</v>
      </c>
      <c r="K3113" s="367">
        <f t="shared" si="414"/>
        <v>2692.1428571428573</v>
      </c>
      <c r="L3113" s="607">
        <v>0.14000000000000001</v>
      </c>
      <c r="M3113">
        <v>4.6999999999999993</v>
      </c>
      <c r="N3113" s="381">
        <v>15</v>
      </c>
      <c r="O3113">
        <v>5</v>
      </c>
      <c r="P3113" t="s">
        <v>514</v>
      </c>
      <c r="Q3113" s="97" t="str">
        <f t="shared" si="408"/>
        <v/>
      </c>
      <c r="R3113" t="str">
        <f t="shared" si="412"/>
        <v/>
      </c>
    </row>
    <row r="3114" spans="3:18">
      <c r="C3114" t="str">
        <f t="shared" si="413"/>
        <v>NL</v>
      </c>
      <c r="D3114" s="36">
        <v>23</v>
      </c>
      <c r="E3114">
        <v>20</v>
      </c>
      <c r="F3114" s="366">
        <f t="shared" si="405"/>
        <v>434</v>
      </c>
      <c r="G3114" s="97">
        <v>1063</v>
      </c>
      <c r="H3114" s="367">
        <f t="shared" si="410"/>
        <v>1497</v>
      </c>
      <c r="I3114" s="368">
        <f t="shared" si="411"/>
        <v>0</v>
      </c>
      <c r="J3114">
        <v>4137</v>
      </c>
      <c r="K3114" s="367">
        <f t="shared" si="414"/>
        <v>2955</v>
      </c>
      <c r="L3114" s="607">
        <v>0.49</v>
      </c>
      <c r="M3114">
        <v>4.6999999999999993</v>
      </c>
      <c r="N3114" s="381">
        <v>22</v>
      </c>
      <c r="O3114">
        <v>5</v>
      </c>
      <c r="P3114" t="s">
        <v>513</v>
      </c>
      <c r="Q3114" s="97" t="str">
        <f t="shared" si="408"/>
        <v/>
      </c>
      <c r="R3114" t="str">
        <f t="shared" si="412"/>
        <v/>
      </c>
    </row>
    <row r="3115" spans="3:18">
      <c r="C3115" t="str">
        <f t="shared" si="413"/>
        <v/>
      </c>
      <c r="D3115" s="36">
        <v>24</v>
      </c>
      <c r="E3115">
        <v>20</v>
      </c>
      <c r="F3115" s="366">
        <f t="shared" si="405"/>
        <v>434</v>
      </c>
      <c r="G3115" s="97">
        <v>1083</v>
      </c>
      <c r="H3115" s="367">
        <f t="shared" si="410"/>
        <v>1517</v>
      </c>
      <c r="I3115" s="368">
        <f t="shared" si="411"/>
        <v>0</v>
      </c>
      <c r="J3115">
        <v>4213</v>
      </c>
      <c r="K3115" s="367">
        <f t="shared" si="414"/>
        <v>3009.2857142857142</v>
      </c>
      <c r="L3115" s="607">
        <v>0.32</v>
      </c>
      <c r="M3115">
        <v>4.6999999999999993</v>
      </c>
      <c r="N3115" s="381">
        <v>19</v>
      </c>
      <c r="O3115">
        <v>6</v>
      </c>
      <c r="P3115" t="s">
        <v>513</v>
      </c>
      <c r="Q3115" s="97" t="str">
        <f t="shared" si="408"/>
        <v/>
      </c>
      <c r="R3115" t="str">
        <f t="shared" si="412"/>
        <v/>
      </c>
    </row>
    <row r="3116" spans="3:18">
      <c r="C3116" t="str">
        <f t="shared" si="413"/>
        <v/>
      </c>
      <c r="D3116" s="36">
        <v>25</v>
      </c>
      <c r="E3116">
        <v>20</v>
      </c>
      <c r="F3116" s="366">
        <f t="shared" si="405"/>
        <v>434</v>
      </c>
      <c r="G3116" s="97">
        <v>1157</v>
      </c>
      <c r="H3116" s="367">
        <f t="shared" si="410"/>
        <v>1591</v>
      </c>
      <c r="I3116" s="368">
        <f t="shared" si="411"/>
        <v>0</v>
      </c>
      <c r="J3116">
        <v>4502</v>
      </c>
      <c r="K3116" s="367">
        <f t="shared" si="414"/>
        <v>3215.7142857142858</v>
      </c>
      <c r="L3116" s="607">
        <v>0.82000000000000006</v>
      </c>
      <c r="M3116">
        <v>4.6999999999999993</v>
      </c>
      <c r="N3116" s="381">
        <v>26</v>
      </c>
      <c r="O3116">
        <v>6</v>
      </c>
      <c r="P3116" t="s">
        <v>512</v>
      </c>
      <c r="Q3116" s="97" t="str">
        <f t="shared" si="408"/>
        <v/>
      </c>
      <c r="R3116" t="str">
        <f t="shared" si="412"/>
        <v/>
      </c>
    </row>
    <row r="3117" spans="3:18">
      <c r="C3117" t="str">
        <f t="shared" si="413"/>
        <v>NL</v>
      </c>
      <c r="D3117" s="36">
        <v>26</v>
      </c>
      <c r="E3117">
        <v>20</v>
      </c>
      <c r="F3117" s="366">
        <f t="shared" si="405"/>
        <v>434</v>
      </c>
      <c r="G3117" s="97">
        <v>1093</v>
      </c>
      <c r="H3117" s="367">
        <f t="shared" si="410"/>
        <v>1527</v>
      </c>
      <c r="I3117" s="368">
        <f t="shared" si="411"/>
        <v>0</v>
      </c>
      <c r="J3117">
        <v>4250</v>
      </c>
      <c r="K3117" s="367">
        <f t="shared" si="414"/>
        <v>3035.7142857142858</v>
      </c>
      <c r="L3117" s="607">
        <v>0.23</v>
      </c>
      <c r="M3117">
        <v>4.5999999999999996</v>
      </c>
      <c r="N3117" s="381">
        <v>17</v>
      </c>
      <c r="O3117">
        <v>7</v>
      </c>
      <c r="P3117" t="s">
        <v>513</v>
      </c>
      <c r="Q3117" s="97" t="str">
        <f t="shared" si="408"/>
        <v/>
      </c>
      <c r="R3117" t="str">
        <f t="shared" si="412"/>
        <v/>
      </c>
    </row>
    <row r="3118" spans="3:18">
      <c r="C3118" t="str">
        <f t="shared" si="413"/>
        <v>NL</v>
      </c>
      <c r="D3118" s="36">
        <v>27</v>
      </c>
      <c r="E3118">
        <v>20</v>
      </c>
      <c r="F3118" s="366">
        <f t="shared" si="405"/>
        <v>434</v>
      </c>
      <c r="G3118" s="97">
        <v>1168</v>
      </c>
      <c r="H3118" s="367">
        <f t="shared" si="410"/>
        <v>1602</v>
      </c>
      <c r="I3118" s="368">
        <f t="shared" si="411"/>
        <v>0</v>
      </c>
      <c r="J3118">
        <v>4545</v>
      </c>
      <c r="K3118" s="367">
        <f t="shared" si="414"/>
        <v>3246.4285714285716</v>
      </c>
      <c r="L3118" s="607">
        <v>0.57999999999999996</v>
      </c>
      <c r="M3118">
        <v>4.5999999999999996</v>
      </c>
      <c r="N3118" s="381">
        <v>24</v>
      </c>
      <c r="O3118">
        <v>7</v>
      </c>
      <c r="P3118" t="s">
        <v>512</v>
      </c>
      <c r="Q3118" s="97" t="str">
        <f t="shared" si="408"/>
        <v/>
      </c>
      <c r="R3118" t="str">
        <f t="shared" si="412"/>
        <v/>
      </c>
    </row>
    <row r="3119" spans="3:18">
      <c r="C3119" t="str">
        <f t="shared" si="413"/>
        <v/>
      </c>
      <c r="D3119" s="36">
        <v>28</v>
      </c>
      <c r="E3119">
        <v>20</v>
      </c>
      <c r="F3119" s="366">
        <f t="shared" si="405"/>
        <v>434</v>
      </c>
      <c r="G3119" s="97">
        <v>1100</v>
      </c>
      <c r="H3119" s="367">
        <f t="shared" si="410"/>
        <v>1534</v>
      </c>
      <c r="I3119" s="368">
        <f t="shared" si="411"/>
        <v>0</v>
      </c>
      <c r="J3119">
        <v>4280</v>
      </c>
      <c r="K3119" s="367">
        <f t="shared" si="414"/>
        <v>3057.1428571428573</v>
      </c>
      <c r="L3119" s="607">
        <v>0.17</v>
      </c>
      <c r="M3119">
        <v>4.5</v>
      </c>
      <c r="N3119" s="381">
        <v>15</v>
      </c>
      <c r="O3119">
        <v>8</v>
      </c>
      <c r="P3119" t="s">
        <v>513</v>
      </c>
      <c r="Q3119" s="97" t="str">
        <f t="shared" si="408"/>
        <v/>
      </c>
      <c r="R3119" t="str">
        <f t="shared" si="412"/>
        <v/>
      </c>
    </row>
    <row r="3120" spans="3:18">
      <c r="C3120" t="str">
        <f t="shared" si="413"/>
        <v/>
      </c>
      <c r="D3120" s="36">
        <v>29</v>
      </c>
      <c r="E3120">
        <v>20</v>
      </c>
      <c r="F3120" s="366">
        <f t="shared" si="405"/>
        <v>434</v>
      </c>
      <c r="G3120" s="97">
        <v>1177</v>
      </c>
      <c r="H3120" s="367">
        <f t="shared" si="410"/>
        <v>1611</v>
      </c>
      <c r="I3120" s="368">
        <f t="shared" si="411"/>
        <v>0</v>
      </c>
      <c r="J3120">
        <v>4577</v>
      </c>
      <c r="K3120" s="367">
        <f t="shared" si="414"/>
        <v>3269.2857142857142</v>
      </c>
      <c r="L3120" s="607">
        <v>0.43</v>
      </c>
      <c r="M3120">
        <v>4.5</v>
      </c>
      <c r="N3120" s="381">
        <v>22</v>
      </c>
      <c r="O3120">
        <v>8</v>
      </c>
      <c r="P3120" t="s">
        <v>512</v>
      </c>
      <c r="Q3120" s="97" t="str">
        <f t="shared" si="408"/>
        <v/>
      </c>
      <c r="R3120" t="str">
        <f t="shared" si="412"/>
        <v/>
      </c>
    </row>
    <row r="3121" spans="3:18">
      <c r="C3121" t="str">
        <f t="shared" si="413"/>
        <v>NL</v>
      </c>
      <c r="D3121" s="36">
        <v>30</v>
      </c>
      <c r="E3121">
        <v>25</v>
      </c>
      <c r="F3121" s="366">
        <f t="shared" si="405"/>
        <v>542.5</v>
      </c>
      <c r="G3121" s="97">
        <v>968</v>
      </c>
      <c r="H3121" s="367">
        <f t="shared" si="410"/>
        <v>1510.5</v>
      </c>
      <c r="I3121" s="368">
        <f t="shared" si="411"/>
        <v>0</v>
      </c>
      <c r="J3121">
        <v>3766</v>
      </c>
      <c r="K3121" s="367">
        <f t="shared" si="414"/>
        <v>2690</v>
      </c>
      <c r="L3121" s="607">
        <v>0.2</v>
      </c>
      <c r="M3121">
        <v>4.8999999999999995</v>
      </c>
      <c r="N3121" s="381">
        <v>17</v>
      </c>
      <c r="O3121">
        <v>3</v>
      </c>
      <c r="P3121" t="s">
        <v>515</v>
      </c>
      <c r="Q3121" s="97" t="str">
        <f t="shared" si="408"/>
        <v/>
      </c>
      <c r="R3121" t="str">
        <f t="shared" si="412"/>
        <v/>
      </c>
    </row>
    <row r="3122" spans="3:18">
      <c r="C3122" t="str">
        <f t="shared" si="413"/>
        <v>NL</v>
      </c>
      <c r="D3122" s="36">
        <v>31</v>
      </c>
      <c r="E3122">
        <v>25</v>
      </c>
      <c r="F3122" s="366">
        <f t="shared" si="405"/>
        <v>542.5</v>
      </c>
      <c r="G3122" s="97">
        <v>1088</v>
      </c>
      <c r="H3122" s="367">
        <f t="shared" si="410"/>
        <v>1630.5</v>
      </c>
      <c r="I3122" s="368">
        <f t="shared" si="411"/>
        <v>0</v>
      </c>
      <c r="J3122">
        <v>4232</v>
      </c>
      <c r="K3122" s="367">
        <f t="shared" si="414"/>
        <v>3022.8571428571431</v>
      </c>
      <c r="L3122" s="607">
        <v>0.74</v>
      </c>
      <c r="M3122">
        <v>4.8999999999999995</v>
      </c>
      <c r="N3122" s="381">
        <v>27</v>
      </c>
      <c r="O3122">
        <v>3</v>
      </c>
      <c r="P3122" t="s">
        <v>514</v>
      </c>
      <c r="Q3122" s="97" t="str">
        <f t="shared" si="408"/>
        <v/>
      </c>
      <c r="R3122" t="str">
        <f t="shared" si="412"/>
        <v/>
      </c>
    </row>
    <row r="3123" spans="3:18">
      <c r="C3123" t="str">
        <f t="shared" si="413"/>
        <v/>
      </c>
      <c r="D3123" s="36">
        <v>32</v>
      </c>
      <c r="E3123">
        <v>25</v>
      </c>
      <c r="F3123" s="366">
        <f t="shared" ref="F3123:F3186" si="415">1.085*($A$2-$B$2)*E3123*$T$7</f>
        <v>542.5</v>
      </c>
      <c r="G3123" s="97">
        <v>1140</v>
      </c>
      <c r="H3123" s="367">
        <f t="shared" si="410"/>
        <v>1682.5</v>
      </c>
      <c r="I3123" s="368">
        <f t="shared" si="411"/>
        <v>0</v>
      </c>
      <c r="J3123">
        <v>4433</v>
      </c>
      <c r="K3123" s="367">
        <f t="shared" si="414"/>
        <v>3166.4285714285716</v>
      </c>
      <c r="L3123" s="607">
        <v>0.36</v>
      </c>
      <c r="M3123">
        <v>5</v>
      </c>
      <c r="N3123" s="381">
        <v>22</v>
      </c>
      <c r="O3123">
        <v>4</v>
      </c>
      <c r="P3123" t="s">
        <v>514</v>
      </c>
      <c r="Q3123" s="97" t="str">
        <f t="shared" si="408"/>
        <v/>
      </c>
      <c r="R3123" t="str">
        <f t="shared" si="412"/>
        <v/>
      </c>
    </row>
    <row r="3124" spans="3:18">
      <c r="C3124" t="str">
        <f t="shared" si="413"/>
        <v>NL</v>
      </c>
      <c r="D3124" s="36">
        <v>33</v>
      </c>
      <c r="E3124">
        <v>25</v>
      </c>
      <c r="F3124" s="366">
        <f t="shared" si="415"/>
        <v>542.5</v>
      </c>
      <c r="G3124" s="97">
        <v>1166</v>
      </c>
      <c r="H3124" s="367">
        <f t="shared" si="410"/>
        <v>1708.5</v>
      </c>
      <c r="I3124" s="368">
        <f t="shared" si="411"/>
        <v>0</v>
      </c>
      <c r="J3124">
        <v>4536</v>
      </c>
      <c r="K3124" s="367">
        <f t="shared" si="414"/>
        <v>3240</v>
      </c>
      <c r="L3124" s="607">
        <v>0.22</v>
      </c>
      <c r="M3124">
        <v>4.6999999999999993</v>
      </c>
      <c r="N3124" s="381">
        <v>18</v>
      </c>
      <c r="O3124">
        <v>5</v>
      </c>
      <c r="P3124" t="s">
        <v>514</v>
      </c>
      <c r="Q3124" s="97" t="str">
        <f t="shared" si="408"/>
        <v/>
      </c>
      <c r="R3124" t="str">
        <f t="shared" si="412"/>
        <v/>
      </c>
    </row>
    <row r="3125" spans="3:18">
      <c r="C3125" t="str">
        <f t="shared" si="413"/>
        <v>NL</v>
      </c>
      <c r="D3125" s="36">
        <v>34</v>
      </c>
      <c r="E3125">
        <v>25</v>
      </c>
      <c r="F3125" s="366">
        <f t="shared" si="415"/>
        <v>542.5</v>
      </c>
      <c r="G3125" s="97">
        <v>1271</v>
      </c>
      <c r="H3125" s="367">
        <f t="shared" si="410"/>
        <v>1813.5</v>
      </c>
      <c r="I3125" s="368">
        <f t="shared" si="411"/>
        <v>0</v>
      </c>
      <c r="J3125">
        <v>4945</v>
      </c>
      <c r="K3125" s="367">
        <f t="shared" si="414"/>
        <v>3532.1428571428573</v>
      </c>
      <c r="L3125" s="607">
        <v>0.76</v>
      </c>
      <c r="M3125">
        <v>4.6999999999999993</v>
      </c>
      <c r="N3125" s="381">
        <v>25</v>
      </c>
      <c r="O3125">
        <v>5</v>
      </c>
      <c r="P3125" t="s">
        <v>513</v>
      </c>
      <c r="Q3125" s="97" t="str">
        <f t="shared" si="408"/>
        <v/>
      </c>
      <c r="R3125" t="str">
        <f t="shared" si="412"/>
        <v/>
      </c>
    </row>
    <row r="3126" spans="3:18">
      <c r="C3126" t="str">
        <f t="shared" si="413"/>
        <v/>
      </c>
      <c r="D3126" s="36">
        <v>35</v>
      </c>
      <c r="E3126">
        <v>25</v>
      </c>
      <c r="F3126" s="366">
        <f t="shared" si="415"/>
        <v>542.5</v>
      </c>
      <c r="G3126" s="97">
        <v>1188</v>
      </c>
      <c r="H3126" s="367">
        <f t="shared" si="410"/>
        <v>1730.5</v>
      </c>
      <c r="I3126" s="368">
        <f t="shared" si="411"/>
        <v>0</v>
      </c>
      <c r="J3126">
        <v>4621</v>
      </c>
      <c r="K3126" s="367">
        <f t="shared" si="414"/>
        <v>3300.7142857142858</v>
      </c>
      <c r="L3126" s="607">
        <v>0.15000000000000002</v>
      </c>
      <c r="M3126">
        <v>4.6999999999999993</v>
      </c>
      <c r="N3126" s="381">
        <v>15</v>
      </c>
      <c r="O3126">
        <v>6</v>
      </c>
      <c r="P3126" t="s">
        <v>514</v>
      </c>
      <c r="Q3126" s="97" t="str">
        <f t="shared" si="408"/>
        <v/>
      </c>
      <c r="R3126" t="str">
        <f t="shared" si="412"/>
        <v/>
      </c>
    </row>
    <row r="3127" spans="3:18">
      <c r="C3127" t="str">
        <f t="shared" si="413"/>
        <v/>
      </c>
      <c r="D3127" s="36">
        <v>36</v>
      </c>
      <c r="E3127">
        <v>25</v>
      </c>
      <c r="F3127" s="366">
        <f t="shared" si="415"/>
        <v>542.5</v>
      </c>
      <c r="G3127" s="97">
        <v>1298</v>
      </c>
      <c r="H3127" s="367">
        <f t="shared" si="410"/>
        <v>1840.5</v>
      </c>
      <c r="I3127" s="368">
        <f t="shared" si="411"/>
        <v>0</v>
      </c>
      <c r="J3127">
        <v>5051</v>
      </c>
      <c r="K3127" s="367">
        <f t="shared" si="414"/>
        <v>3607.8571428571431</v>
      </c>
      <c r="L3127" s="607">
        <v>0.5</v>
      </c>
      <c r="M3127">
        <v>4.6999999999999993</v>
      </c>
      <c r="N3127" s="381">
        <v>22</v>
      </c>
      <c r="O3127">
        <v>6</v>
      </c>
      <c r="P3127" t="s">
        <v>513</v>
      </c>
      <c r="Q3127" s="97" t="str">
        <f t="shared" si="408"/>
        <v/>
      </c>
      <c r="R3127" t="str">
        <f t="shared" si="412"/>
        <v/>
      </c>
    </row>
    <row r="3128" spans="3:18">
      <c r="C3128" t="str">
        <f t="shared" si="413"/>
        <v>NL</v>
      </c>
      <c r="D3128" s="36">
        <v>37</v>
      </c>
      <c r="E3128">
        <v>25</v>
      </c>
      <c r="F3128" s="366">
        <f t="shared" si="415"/>
        <v>542.5</v>
      </c>
      <c r="G3128" s="97">
        <v>1311</v>
      </c>
      <c r="H3128" s="367">
        <f t="shared" si="410"/>
        <v>1853.5</v>
      </c>
      <c r="I3128" s="368">
        <f t="shared" si="411"/>
        <v>0</v>
      </c>
      <c r="J3128">
        <v>5101</v>
      </c>
      <c r="K3128" s="367">
        <f t="shared" si="414"/>
        <v>3643.5714285714284</v>
      </c>
      <c r="L3128" s="607">
        <v>0.36</v>
      </c>
      <c r="M3128">
        <v>4.5999999999999996</v>
      </c>
      <c r="N3128" s="381">
        <v>20</v>
      </c>
      <c r="O3128">
        <v>7</v>
      </c>
      <c r="P3128" t="s">
        <v>513</v>
      </c>
      <c r="Q3128" s="97" t="str">
        <f t="shared" si="408"/>
        <v/>
      </c>
      <c r="R3128" t="str">
        <f t="shared" si="412"/>
        <v/>
      </c>
    </row>
    <row r="3129" spans="3:18">
      <c r="C3129" t="str">
        <f t="shared" si="413"/>
        <v>NL</v>
      </c>
      <c r="D3129" s="36">
        <v>38</v>
      </c>
      <c r="E3129">
        <v>25</v>
      </c>
      <c r="F3129" s="366">
        <f t="shared" si="415"/>
        <v>542.5</v>
      </c>
      <c r="G3129" s="97">
        <v>1397</v>
      </c>
      <c r="H3129" s="367">
        <f t="shared" si="410"/>
        <v>1939.5</v>
      </c>
      <c r="I3129" s="368">
        <f t="shared" si="411"/>
        <v>0</v>
      </c>
      <c r="J3129">
        <v>5435</v>
      </c>
      <c r="K3129" s="367">
        <f t="shared" si="414"/>
        <v>3882.1428571428573</v>
      </c>
      <c r="L3129" s="607">
        <v>0.91</v>
      </c>
      <c r="M3129">
        <v>4.5999999999999996</v>
      </c>
      <c r="N3129" s="381">
        <v>27</v>
      </c>
      <c r="O3129">
        <v>7</v>
      </c>
      <c r="P3129" t="s">
        <v>512</v>
      </c>
      <c r="Q3129" s="97" t="str">
        <f t="shared" si="408"/>
        <v/>
      </c>
      <c r="R3129" t="str">
        <f t="shared" si="412"/>
        <v/>
      </c>
    </row>
    <row r="3130" spans="3:18">
      <c r="C3130" t="str">
        <f t="shared" si="413"/>
        <v/>
      </c>
      <c r="D3130" s="36">
        <v>39</v>
      </c>
      <c r="E3130">
        <v>25</v>
      </c>
      <c r="F3130" s="366">
        <f t="shared" si="415"/>
        <v>542.5</v>
      </c>
      <c r="G3130" s="97">
        <v>1326</v>
      </c>
      <c r="H3130" s="367">
        <f t="shared" si="410"/>
        <v>1868.5</v>
      </c>
      <c r="I3130" s="368">
        <f t="shared" si="411"/>
        <v>0</v>
      </c>
      <c r="J3130">
        <v>5157</v>
      </c>
      <c r="K3130" s="367">
        <f t="shared" si="414"/>
        <v>3683.5714285714284</v>
      </c>
      <c r="L3130" s="607">
        <v>0.27</v>
      </c>
      <c r="M3130">
        <v>4.5</v>
      </c>
      <c r="N3130" s="381">
        <v>18</v>
      </c>
      <c r="O3130">
        <v>8</v>
      </c>
      <c r="P3130" t="s">
        <v>513</v>
      </c>
      <c r="Q3130" s="97" t="str">
        <f t="shared" si="408"/>
        <v/>
      </c>
      <c r="R3130" t="str">
        <f t="shared" si="412"/>
        <v/>
      </c>
    </row>
    <row r="3131" spans="3:18">
      <c r="C3131" t="str">
        <f t="shared" si="413"/>
        <v/>
      </c>
      <c r="D3131" s="36">
        <v>40</v>
      </c>
      <c r="E3131">
        <v>25</v>
      </c>
      <c r="F3131" s="366">
        <f t="shared" si="415"/>
        <v>542.5</v>
      </c>
      <c r="G3131" s="97">
        <v>1407</v>
      </c>
      <c r="H3131" s="367">
        <f t="shared" si="410"/>
        <v>1949.5</v>
      </c>
      <c r="I3131" s="368">
        <f t="shared" si="411"/>
        <v>0</v>
      </c>
      <c r="J3131">
        <v>5475</v>
      </c>
      <c r="K3131" s="367">
        <f t="shared" si="414"/>
        <v>3910.7142857142858</v>
      </c>
      <c r="L3131" s="607">
        <v>0.67</v>
      </c>
      <c r="M3131">
        <v>4.5</v>
      </c>
      <c r="N3131" s="381">
        <v>25</v>
      </c>
      <c r="O3131">
        <v>8</v>
      </c>
      <c r="P3131" t="s">
        <v>512</v>
      </c>
      <c r="Q3131" s="97" t="str">
        <f t="shared" si="408"/>
        <v/>
      </c>
      <c r="R3131" t="str">
        <f t="shared" si="412"/>
        <v/>
      </c>
    </row>
    <row r="3132" spans="3:18">
      <c r="C3132" t="str">
        <f t="shared" si="413"/>
        <v>NL</v>
      </c>
      <c r="D3132" s="36">
        <v>41</v>
      </c>
      <c r="E3132">
        <v>30</v>
      </c>
      <c r="F3132" s="366">
        <f t="shared" si="415"/>
        <v>651</v>
      </c>
      <c r="G3132" s="97">
        <v>1117</v>
      </c>
      <c r="H3132" s="367">
        <f t="shared" si="410"/>
        <v>1768</v>
      </c>
      <c r="I3132" s="368">
        <f t="shared" si="411"/>
        <v>0</v>
      </c>
      <c r="J3132">
        <v>4346</v>
      </c>
      <c r="K3132" s="367">
        <f t="shared" si="414"/>
        <v>3104.2857142857142</v>
      </c>
      <c r="L3132" s="607">
        <v>0.29000000000000004</v>
      </c>
      <c r="M3132">
        <v>4.8999999999999995</v>
      </c>
      <c r="N3132" s="381">
        <v>19</v>
      </c>
      <c r="O3132">
        <v>3</v>
      </c>
      <c r="P3132" t="s">
        <v>515</v>
      </c>
      <c r="Q3132" s="97" t="str">
        <f t="shared" si="408"/>
        <v/>
      </c>
      <c r="R3132" t="str">
        <f t="shared" si="412"/>
        <v/>
      </c>
    </row>
    <row r="3133" spans="3:18">
      <c r="C3133" t="str">
        <f t="shared" si="413"/>
        <v>NL</v>
      </c>
      <c r="D3133" s="36">
        <v>42</v>
      </c>
      <c r="E3133">
        <v>30</v>
      </c>
      <c r="F3133" s="366">
        <f t="shared" si="415"/>
        <v>651</v>
      </c>
      <c r="G3133" s="97">
        <v>1249</v>
      </c>
      <c r="H3133" s="367">
        <f t="shared" si="410"/>
        <v>1900</v>
      </c>
      <c r="I3133" s="368">
        <f t="shared" si="411"/>
        <v>0</v>
      </c>
      <c r="J3133">
        <v>4860</v>
      </c>
      <c r="K3133" s="367">
        <f t="shared" si="414"/>
        <v>3471.4285714285716</v>
      </c>
      <c r="L3133" s="607">
        <v>1.07</v>
      </c>
      <c r="M3133">
        <v>4.8999999999999995</v>
      </c>
      <c r="N3133" s="381">
        <v>29</v>
      </c>
      <c r="O3133">
        <v>3</v>
      </c>
      <c r="P3133" t="s">
        <v>514</v>
      </c>
      <c r="Q3133" s="97" t="str">
        <f t="shared" si="408"/>
        <v/>
      </c>
      <c r="R3133" t="str">
        <f t="shared" si="412"/>
        <v/>
      </c>
    </row>
    <row r="3134" spans="3:18">
      <c r="C3134" t="str">
        <f t="shared" si="413"/>
        <v/>
      </c>
      <c r="D3134" s="36">
        <v>43</v>
      </c>
      <c r="E3134">
        <v>30</v>
      </c>
      <c r="F3134" s="366">
        <f t="shared" si="415"/>
        <v>651</v>
      </c>
      <c r="G3134" s="97">
        <v>1170</v>
      </c>
      <c r="H3134" s="367">
        <f t="shared" si="410"/>
        <v>1821</v>
      </c>
      <c r="I3134" s="368">
        <f t="shared" si="411"/>
        <v>0</v>
      </c>
      <c r="J3134">
        <v>4552</v>
      </c>
      <c r="K3134" s="367">
        <f t="shared" si="414"/>
        <v>3251.4285714285716</v>
      </c>
      <c r="L3134" s="607">
        <v>0.16</v>
      </c>
      <c r="M3134">
        <v>5</v>
      </c>
      <c r="N3134" s="381">
        <v>16</v>
      </c>
      <c r="O3134">
        <v>4</v>
      </c>
      <c r="P3134" t="s">
        <v>515</v>
      </c>
      <c r="Q3134" s="97" t="str">
        <f t="shared" si="408"/>
        <v/>
      </c>
      <c r="R3134" t="str">
        <f t="shared" si="412"/>
        <v/>
      </c>
    </row>
    <row r="3135" spans="3:18">
      <c r="C3135" t="str">
        <f t="shared" si="413"/>
        <v/>
      </c>
      <c r="D3135" s="36">
        <v>44</v>
      </c>
      <c r="E3135">
        <v>30</v>
      </c>
      <c r="F3135" s="366">
        <f t="shared" si="415"/>
        <v>651</v>
      </c>
      <c r="G3135" s="97">
        <v>1316</v>
      </c>
      <c r="H3135" s="367">
        <f t="shared" si="410"/>
        <v>1967</v>
      </c>
      <c r="I3135" s="368">
        <f t="shared" si="411"/>
        <v>0</v>
      </c>
      <c r="J3135">
        <v>5118</v>
      </c>
      <c r="K3135" s="367">
        <f t="shared" si="414"/>
        <v>3655.7142857142858</v>
      </c>
      <c r="L3135" s="607">
        <v>0.52</v>
      </c>
      <c r="M3135">
        <v>5</v>
      </c>
      <c r="N3135" s="381">
        <v>24</v>
      </c>
      <c r="O3135">
        <v>4</v>
      </c>
      <c r="P3135" t="s">
        <v>514</v>
      </c>
      <c r="Q3135" s="97" t="str">
        <f t="shared" ref="Q3135:Q3198" si="416">IF(AND(H3135+1&gt;$E$4,L3135&lt;$L$4+0.01,M3135&lt;$M$4+0.01,K3135+1&gt;$F$4,E3135+1&gt;$J$4,N3135&lt;$K$4+1,O3135&lt;$P$4+1,C3135=""),D3135,"")</f>
        <v/>
      </c>
      <c r="R3135" t="str">
        <f t="shared" si="412"/>
        <v/>
      </c>
    </row>
    <row r="3136" spans="3:18">
      <c r="C3136" t="str">
        <f t="shared" si="413"/>
        <v>NL</v>
      </c>
      <c r="D3136" s="36">
        <v>45</v>
      </c>
      <c r="E3136">
        <v>30</v>
      </c>
      <c r="F3136" s="366">
        <f t="shared" si="415"/>
        <v>651</v>
      </c>
      <c r="G3136" s="97">
        <v>1350</v>
      </c>
      <c r="H3136" s="367">
        <f t="shared" si="410"/>
        <v>2001</v>
      </c>
      <c r="I3136" s="368">
        <f t="shared" si="411"/>
        <v>0</v>
      </c>
      <c r="J3136">
        <v>5250</v>
      </c>
      <c r="K3136" s="367">
        <f t="shared" si="414"/>
        <v>3750</v>
      </c>
      <c r="L3136" s="607">
        <v>0.31</v>
      </c>
      <c r="M3136">
        <v>4.6999999999999993</v>
      </c>
      <c r="N3136" s="381">
        <v>20</v>
      </c>
      <c r="O3136">
        <v>5</v>
      </c>
      <c r="P3136" t="s">
        <v>514</v>
      </c>
      <c r="Q3136" s="97" t="str">
        <f t="shared" si="416"/>
        <v/>
      </c>
      <c r="R3136" t="str">
        <f t="shared" si="412"/>
        <v/>
      </c>
    </row>
    <row r="3137" spans="3:18">
      <c r="C3137" t="str">
        <f t="shared" si="413"/>
        <v>NL</v>
      </c>
      <c r="D3137" s="36">
        <v>46</v>
      </c>
      <c r="E3137">
        <v>30</v>
      </c>
      <c r="F3137" s="366">
        <f t="shared" si="415"/>
        <v>651</v>
      </c>
      <c r="G3137" s="97">
        <v>1462</v>
      </c>
      <c r="H3137" s="367">
        <f t="shared" si="410"/>
        <v>2113</v>
      </c>
      <c r="I3137" s="368">
        <f t="shared" si="411"/>
        <v>0</v>
      </c>
      <c r="J3137">
        <v>5689</v>
      </c>
      <c r="K3137" s="367">
        <f t="shared" si="414"/>
        <v>4063.5714285714284</v>
      </c>
      <c r="L3137" s="607">
        <v>1.0900000000000001</v>
      </c>
      <c r="M3137">
        <v>4.6999999999999993</v>
      </c>
      <c r="N3137" s="381">
        <v>27</v>
      </c>
      <c r="O3137">
        <v>5</v>
      </c>
      <c r="P3137" t="s">
        <v>513</v>
      </c>
      <c r="Q3137" s="97" t="str">
        <f t="shared" si="416"/>
        <v/>
      </c>
      <c r="R3137" t="str">
        <f t="shared" si="412"/>
        <v/>
      </c>
    </row>
    <row r="3138" spans="3:18">
      <c r="C3138" t="str">
        <f t="shared" si="413"/>
        <v/>
      </c>
      <c r="D3138" s="36">
        <v>47</v>
      </c>
      <c r="E3138">
        <v>30</v>
      </c>
      <c r="F3138" s="366">
        <f t="shared" si="415"/>
        <v>651</v>
      </c>
      <c r="G3138" s="97">
        <v>1378</v>
      </c>
      <c r="H3138" s="367">
        <f t="shared" si="410"/>
        <v>2029</v>
      </c>
      <c r="I3138" s="368">
        <f t="shared" si="411"/>
        <v>0</v>
      </c>
      <c r="J3138">
        <v>5362</v>
      </c>
      <c r="K3138" s="367">
        <f t="shared" si="414"/>
        <v>3830</v>
      </c>
      <c r="L3138" s="607">
        <v>0.21000000000000002</v>
      </c>
      <c r="M3138">
        <v>4.6999999999999993</v>
      </c>
      <c r="N3138" s="381">
        <v>18</v>
      </c>
      <c r="O3138">
        <v>6</v>
      </c>
      <c r="P3138" t="s">
        <v>514</v>
      </c>
      <c r="Q3138" s="97" t="str">
        <f t="shared" si="416"/>
        <v/>
      </c>
      <c r="R3138" t="str">
        <f t="shared" si="412"/>
        <v/>
      </c>
    </row>
    <row r="3139" spans="3:18">
      <c r="C3139" t="str">
        <f t="shared" si="413"/>
        <v/>
      </c>
      <c r="D3139" s="36">
        <v>48</v>
      </c>
      <c r="E3139">
        <v>30</v>
      </c>
      <c r="F3139" s="366">
        <f t="shared" si="415"/>
        <v>651</v>
      </c>
      <c r="G3139" s="97">
        <v>1497</v>
      </c>
      <c r="H3139" s="367">
        <f t="shared" si="410"/>
        <v>2148</v>
      </c>
      <c r="I3139" s="368">
        <f t="shared" si="411"/>
        <v>0</v>
      </c>
      <c r="J3139">
        <v>5825</v>
      </c>
      <c r="K3139" s="367">
        <f t="shared" si="414"/>
        <v>4160.7142857142862</v>
      </c>
      <c r="L3139" s="607">
        <v>0.72</v>
      </c>
      <c r="M3139">
        <v>4.6999999999999993</v>
      </c>
      <c r="N3139" s="381">
        <v>24</v>
      </c>
      <c r="O3139">
        <v>6</v>
      </c>
      <c r="P3139" t="s">
        <v>513</v>
      </c>
      <c r="Q3139" s="97" t="str">
        <f t="shared" si="416"/>
        <v/>
      </c>
      <c r="R3139" t="str">
        <f t="shared" si="412"/>
        <v/>
      </c>
    </row>
    <row r="3140" spans="3:18">
      <c r="C3140" t="str">
        <f t="shared" si="413"/>
        <v>NL</v>
      </c>
      <c r="D3140" s="36">
        <v>49</v>
      </c>
      <c r="E3140">
        <v>30</v>
      </c>
      <c r="F3140" s="366">
        <f t="shared" si="415"/>
        <v>651</v>
      </c>
      <c r="G3140" s="97">
        <v>1391</v>
      </c>
      <c r="H3140" s="367">
        <f t="shared" si="410"/>
        <v>2042</v>
      </c>
      <c r="I3140" s="368">
        <f t="shared" si="411"/>
        <v>0</v>
      </c>
      <c r="J3140">
        <v>5413</v>
      </c>
      <c r="K3140" s="367">
        <f t="shared" si="414"/>
        <v>3866.4285714285716</v>
      </c>
      <c r="L3140" s="607">
        <v>0.15000000000000002</v>
      </c>
      <c r="M3140">
        <v>4.5999999999999996</v>
      </c>
      <c r="N3140" s="381">
        <v>16</v>
      </c>
      <c r="O3140">
        <v>7</v>
      </c>
      <c r="P3140" t="s">
        <v>514</v>
      </c>
      <c r="Q3140" s="97" t="str">
        <f t="shared" si="416"/>
        <v/>
      </c>
      <c r="R3140" t="str">
        <f t="shared" si="412"/>
        <v/>
      </c>
    </row>
    <row r="3141" spans="3:18">
      <c r="C3141" t="str">
        <f t="shared" si="413"/>
        <v>NL</v>
      </c>
      <c r="D3141" s="36">
        <v>50</v>
      </c>
      <c r="E3141">
        <v>30</v>
      </c>
      <c r="F3141" s="366">
        <f t="shared" si="415"/>
        <v>651</v>
      </c>
      <c r="G3141" s="97">
        <v>1514</v>
      </c>
      <c r="H3141" s="367">
        <f t="shared" si="410"/>
        <v>2165</v>
      </c>
      <c r="I3141" s="368">
        <f t="shared" si="411"/>
        <v>0</v>
      </c>
      <c r="J3141">
        <v>5891</v>
      </c>
      <c r="K3141" s="367">
        <f t="shared" si="414"/>
        <v>4207.8571428571431</v>
      </c>
      <c r="L3141" s="607">
        <v>0.51</v>
      </c>
      <c r="M3141">
        <v>4.5999999999999996</v>
      </c>
      <c r="N3141" s="381">
        <v>22</v>
      </c>
      <c r="O3141">
        <v>7</v>
      </c>
      <c r="P3141" t="s">
        <v>513</v>
      </c>
      <c r="Q3141" s="97" t="str">
        <f t="shared" si="416"/>
        <v/>
      </c>
      <c r="R3141" t="str">
        <f t="shared" si="412"/>
        <v/>
      </c>
    </row>
    <row r="3142" spans="3:18">
      <c r="C3142" t="str">
        <f t="shared" si="413"/>
        <v/>
      </c>
      <c r="D3142" s="36">
        <v>51</v>
      </c>
      <c r="E3142">
        <v>30</v>
      </c>
      <c r="F3142" s="366">
        <f t="shared" si="415"/>
        <v>651</v>
      </c>
      <c r="G3142" s="97">
        <v>1528</v>
      </c>
      <c r="H3142" s="367">
        <f t="shared" si="410"/>
        <v>2179</v>
      </c>
      <c r="I3142" s="368">
        <f t="shared" si="411"/>
        <v>0</v>
      </c>
      <c r="J3142">
        <v>5944</v>
      </c>
      <c r="K3142" s="367">
        <f t="shared" si="414"/>
        <v>4245.7142857142862</v>
      </c>
      <c r="L3142" s="607">
        <v>0.38</v>
      </c>
      <c r="M3142">
        <v>4.5</v>
      </c>
      <c r="N3142" s="381">
        <v>20</v>
      </c>
      <c r="O3142">
        <v>8</v>
      </c>
      <c r="P3142" t="s">
        <v>513</v>
      </c>
      <c r="Q3142" s="97" t="str">
        <f t="shared" si="416"/>
        <v/>
      </c>
      <c r="R3142" t="str">
        <f t="shared" si="412"/>
        <v/>
      </c>
    </row>
    <row r="3143" spans="3:18">
      <c r="C3143" t="str">
        <f t="shared" si="413"/>
        <v/>
      </c>
      <c r="D3143" s="36">
        <v>52</v>
      </c>
      <c r="E3143">
        <v>30</v>
      </c>
      <c r="F3143" s="366">
        <f t="shared" si="415"/>
        <v>651</v>
      </c>
      <c r="G3143" s="97">
        <v>1620</v>
      </c>
      <c r="H3143" s="367">
        <f t="shared" si="410"/>
        <v>2271</v>
      </c>
      <c r="I3143" s="368">
        <f t="shared" si="411"/>
        <v>0</v>
      </c>
      <c r="J3143">
        <v>6303</v>
      </c>
      <c r="K3143" s="367">
        <f t="shared" si="414"/>
        <v>4502.1428571428569</v>
      </c>
      <c r="L3143" s="607">
        <v>0.97</v>
      </c>
      <c r="M3143">
        <v>4.5</v>
      </c>
      <c r="N3143" s="381">
        <v>27</v>
      </c>
      <c r="O3143">
        <v>8</v>
      </c>
      <c r="P3143" t="s">
        <v>512</v>
      </c>
      <c r="Q3143" s="97" t="str">
        <f t="shared" si="416"/>
        <v/>
      </c>
      <c r="R3143" t="str">
        <f t="shared" si="412"/>
        <v/>
      </c>
    </row>
    <row r="3144" spans="3:18">
      <c r="C3144" t="str">
        <f t="shared" si="413"/>
        <v>NL</v>
      </c>
      <c r="D3144" s="36">
        <v>53</v>
      </c>
      <c r="E3144">
        <v>35</v>
      </c>
      <c r="F3144" s="366">
        <f t="shared" si="415"/>
        <v>759.5</v>
      </c>
      <c r="G3144" s="97">
        <v>1256</v>
      </c>
      <c r="H3144" s="367">
        <f t="shared" si="410"/>
        <v>2015.5</v>
      </c>
      <c r="I3144" s="368">
        <f t="shared" si="411"/>
        <v>0</v>
      </c>
      <c r="J3144">
        <v>4885</v>
      </c>
      <c r="K3144" s="367">
        <f t="shared" si="414"/>
        <v>3489.2857142857142</v>
      </c>
      <c r="L3144" s="607">
        <v>0.39</v>
      </c>
      <c r="M3144">
        <v>4.8999999999999995</v>
      </c>
      <c r="N3144" s="381">
        <v>21</v>
      </c>
      <c r="O3144">
        <v>3</v>
      </c>
      <c r="P3144" t="s">
        <v>515</v>
      </c>
      <c r="Q3144" s="97" t="str">
        <f t="shared" si="416"/>
        <v/>
      </c>
      <c r="R3144" t="str">
        <f t="shared" si="412"/>
        <v/>
      </c>
    </row>
    <row r="3145" spans="3:18">
      <c r="C3145" t="str">
        <f t="shared" si="413"/>
        <v/>
      </c>
      <c r="D3145" s="36">
        <v>54</v>
      </c>
      <c r="E3145">
        <v>35</v>
      </c>
      <c r="F3145" s="366">
        <f t="shared" si="415"/>
        <v>759.5</v>
      </c>
      <c r="G3145" s="97">
        <v>1321</v>
      </c>
      <c r="H3145" s="367">
        <f t="shared" si="410"/>
        <v>2080.5</v>
      </c>
      <c r="I3145" s="368">
        <f t="shared" si="411"/>
        <v>0</v>
      </c>
      <c r="J3145">
        <v>5140</v>
      </c>
      <c r="K3145" s="367">
        <f t="shared" si="414"/>
        <v>3671.4285714285716</v>
      </c>
      <c r="L3145" s="607">
        <v>0.21000000000000002</v>
      </c>
      <c r="M3145">
        <v>5</v>
      </c>
      <c r="N3145" s="381">
        <v>18</v>
      </c>
      <c r="O3145">
        <v>4</v>
      </c>
      <c r="P3145" t="s">
        <v>515</v>
      </c>
      <c r="Q3145" s="97" t="str">
        <f t="shared" si="416"/>
        <v/>
      </c>
      <c r="R3145" t="str">
        <f t="shared" si="412"/>
        <v/>
      </c>
    </row>
    <row r="3146" spans="3:18">
      <c r="C3146" t="str">
        <f t="shared" si="413"/>
        <v/>
      </c>
      <c r="D3146" s="36">
        <v>55</v>
      </c>
      <c r="E3146">
        <v>35</v>
      </c>
      <c r="F3146" s="366">
        <f t="shared" si="415"/>
        <v>759.5</v>
      </c>
      <c r="G3146" s="97">
        <v>1480</v>
      </c>
      <c r="H3146" s="367">
        <f t="shared" si="410"/>
        <v>2239.5</v>
      </c>
      <c r="I3146" s="368">
        <f t="shared" si="411"/>
        <v>0</v>
      </c>
      <c r="J3146">
        <v>5757</v>
      </c>
      <c r="K3146" s="367">
        <f t="shared" si="414"/>
        <v>4112.1428571428569</v>
      </c>
      <c r="L3146" s="607">
        <v>0.71</v>
      </c>
      <c r="M3146">
        <v>5</v>
      </c>
      <c r="N3146" s="381">
        <v>26</v>
      </c>
      <c r="O3146">
        <v>4</v>
      </c>
      <c r="P3146" t="s">
        <v>514</v>
      </c>
      <c r="Q3146" s="97" t="str">
        <f t="shared" si="416"/>
        <v/>
      </c>
      <c r="R3146" t="str">
        <f t="shared" si="412"/>
        <v/>
      </c>
    </row>
    <row r="3147" spans="3:18">
      <c r="C3147" t="str">
        <f t="shared" si="413"/>
        <v>NL</v>
      </c>
      <c r="D3147" s="36">
        <v>56</v>
      </c>
      <c r="E3147">
        <v>35</v>
      </c>
      <c r="F3147" s="366">
        <f t="shared" si="415"/>
        <v>759.5</v>
      </c>
      <c r="G3147" s="97">
        <v>1521</v>
      </c>
      <c r="H3147" s="367">
        <f t="shared" si="410"/>
        <v>2280.5</v>
      </c>
      <c r="I3147" s="368">
        <f t="shared" si="411"/>
        <v>0</v>
      </c>
      <c r="J3147">
        <v>5916</v>
      </c>
      <c r="K3147" s="367">
        <f t="shared" si="414"/>
        <v>4225.7142857142862</v>
      </c>
      <c r="L3147" s="607">
        <v>0.42</v>
      </c>
      <c r="M3147">
        <v>4.6999999999999993</v>
      </c>
      <c r="N3147" s="381">
        <v>22</v>
      </c>
      <c r="O3147">
        <v>5</v>
      </c>
      <c r="P3147" t="s">
        <v>514</v>
      </c>
      <c r="Q3147" s="97" t="str">
        <f t="shared" si="416"/>
        <v/>
      </c>
      <c r="R3147" t="str">
        <f t="shared" si="412"/>
        <v/>
      </c>
    </row>
    <row r="3148" spans="3:18">
      <c r="C3148" t="str">
        <f t="shared" si="413"/>
        <v/>
      </c>
      <c r="D3148" s="36">
        <v>57</v>
      </c>
      <c r="E3148">
        <v>35</v>
      </c>
      <c r="F3148" s="366">
        <f t="shared" si="415"/>
        <v>759.5</v>
      </c>
      <c r="G3148" s="97">
        <v>1557</v>
      </c>
      <c r="H3148" s="367">
        <f t="shared" si="410"/>
        <v>2316.5</v>
      </c>
      <c r="I3148" s="368">
        <f t="shared" si="411"/>
        <v>0</v>
      </c>
      <c r="J3148">
        <v>6058</v>
      </c>
      <c r="K3148" s="367">
        <f t="shared" si="414"/>
        <v>4327.1428571428569</v>
      </c>
      <c r="L3148" s="607">
        <v>0.28000000000000003</v>
      </c>
      <c r="M3148">
        <v>4.6999999999999993</v>
      </c>
      <c r="N3148" s="381">
        <v>20</v>
      </c>
      <c r="O3148">
        <v>6</v>
      </c>
      <c r="P3148" t="s">
        <v>514</v>
      </c>
      <c r="Q3148" s="97" t="str">
        <f t="shared" si="416"/>
        <v/>
      </c>
      <c r="R3148" t="str">
        <f t="shared" si="412"/>
        <v/>
      </c>
    </row>
    <row r="3149" spans="3:18">
      <c r="C3149" t="str">
        <f t="shared" si="413"/>
        <v/>
      </c>
      <c r="D3149" s="36">
        <v>58</v>
      </c>
      <c r="E3149">
        <v>35</v>
      </c>
      <c r="F3149" s="366">
        <f t="shared" si="415"/>
        <v>759.5</v>
      </c>
      <c r="G3149" s="97">
        <v>1682</v>
      </c>
      <c r="H3149" s="367">
        <f t="shared" si="410"/>
        <v>2441.5</v>
      </c>
      <c r="I3149" s="368">
        <f t="shared" si="411"/>
        <v>0</v>
      </c>
      <c r="J3149">
        <v>6543</v>
      </c>
      <c r="K3149" s="367">
        <f t="shared" si="414"/>
        <v>4673.5714285714284</v>
      </c>
      <c r="L3149" s="607">
        <v>0.98</v>
      </c>
      <c r="M3149">
        <v>4.6999999999999993</v>
      </c>
      <c r="N3149" s="381">
        <v>26</v>
      </c>
      <c r="O3149">
        <v>6</v>
      </c>
      <c r="P3149" t="s">
        <v>513</v>
      </c>
      <c r="Q3149" s="97" t="str">
        <f t="shared" si="416"/>
        <v/>
      </c>
      <c r="R3149" t="str">
        <f t="shared" si="412"/>
        <v/>
      </c>
    </row>
    <row r="3150" spans="3:18">
      <c r="C3150" t="str">
        <f t="shared" si="413"/>
        <v>NL</v>
      </c>
      <c r="D3150" s="36">
        <v>59</v>
      </c>
      <c r="E3150">
        <v>35</v>
      </c>
      <c r="F3150" s="366">
        <f t="shared" si="415"/>
        <v>759.5</v>
      </c>
      <c r="G3150" s="97">
        <v>1574</v>
      </c>
      <c r="H3150" s="367">
        <f t="shared" si="410"/>
        <v>2333.5</v>
      </c>
      <c r="I3150" s="368">
        <f t="shared" si="411"/>
        <v>0</v>
      </c>
      <c r="J3150">
        <v>6124</v>
      </c>
      <c r="K3150" s="367">
        <f t="shared" si="414"/>
        <v>4374.2857142857147</v>
      </c>
      <c r="L3150" s="607">
        <v>0.2</v>
      </c>
      <c r="M3150">
        <v>4.5999999999999996</v>
      </c>
      <c r="N3150" s="381">
        <v>18</v>
      </c>
      <c r="O3150">
        <v>7</v>
      </c>
      <c r="P3150" t="s">
        <v>514</v>
      </c>
      <c r="Q3150" s="97" t="str">
        <f t="shared" si="416"/>
        <v/>
      </c>
      <c r="R3150" t="str">
        <f t="shared" si="412"/>
        <v/>
      </c>
    </row>
    <row r="3151" spans="3:18">
      <c r="C3151" t="str">
        <f t="shared" si="413"/>
        <v>NL</v>
      </c>
      <c r="D3151" s="36">
        <v>60</v>
      </c>
      <c r="E3151">
        <v>35</v>
      </c>
      <c r="F3151" s="366">
        <f t="shared" si="415"/>
        <v>759.5</v>
      </c>
      <c r="G3151" s="97">
        <v>1704</v>
      </c>
      <c r="H3151" s="367">
        <f t="shared" si="410"/>
        <v>2463.5</v>
      </c>
      <c r="I3151" s="368">
        <f t="shared" si="411"/>
        <v>0</v>
      </c>
      <c r="J3151">
        <v>6627</v>
      </c>
      <c r="K3151" s="367">
        <f t="shared" si="414"/>
        <v>4733.5714285714284</v>
      </c>
      <c r="L3151" s="607">
        <v>0.69000000000000006</v>
      </c>
      <c r="M3151">
        <v>4.5999999999999996</v>
      </c>
      <c r="N3151" s="381">
        <v>24</v>
      </c>
      <c r="O3151">
        <v>7</v>
      </c>
      <c r="P3151" t="s">
        <v>513</v>
      </c>
      <c r="Q3151" s="97" t="str">
        <f t="shared" si="416"/>
        <v/>
      </c>
      <c r="R3151" t="str">
        <f t="shared" si="412"/>
        <v/>
      </c>
    </row>
    <row r="3152" spans="3:18">
      <c r="C3152" t="str">
        <f t="shared" si="413"/>
        <v/>
      </c>
      <c r="D3152" s="36">
        <v>61</v>
      </c>
      <c r="E3152">
        <v>35</v>
      </c>
      <c r="F3152" s="366">
        <f t="shared" si="415"/>
        <v>759.5</v>
      </c>
      <c r="G3152" s="97">
        <v>1586</v>
      </c>
      <c r="H3152" s="367">
        <f t="shared" si="410"/>
        <v>2345.5</v>
      </c>
      <c r="I3152" s="368">
        <f t="shared" si="411"/>
        <v>0</v>
      </c>
      <c r="J3152">
        <v>6170</v>
      </c>
      <c r="K3152" s="367">
        <f t="shared" si="414"/>
        <v>4407.1428571428569</v>
      </c>
      <c r="L3152" s="607">
        <v>0.16</v>
      </c>
      <c r="M3152">
        <v>4.5</v>
      </c>
      <c r="N3152" s="381">
        <v>16</v>
      </c>
      <c r="O3152">
        <v>8</v>
      </c>
      <c r="P3152" t="s">
        <v>514</v>
      </c>
      <c r="Q3152" s="97" t="str">
        <f t="shared" si="416"/>
        <v/>
      </c>
      <c r="R3152" t="str">
        <f t="shared" si="412"/>
        <v/>
      </c>
    </row>
    <row r="3153" spans="3:18">
      <c r="C3153" t="str">
        <f t="shared" si="413"/>
        <v/>
      </c>
      <c r="D3153" s="36">
        <v>62</v>
      </c>
      <c r="E3153">
        <v>35</v>
      </c>
      <c r="F3153" s="366">
        <f t="shared" si="415"/>
        <v>759.5</v>
      </c>
      <c r="G3153" s="97">
        <v>1718</v>
      </c>
      <c r="H3153" s="367">
        <f t="shared" si="410"/>
        <v>2477.5</v>
      </c>
      <c r="I3153" s="368">
        <f t="shared" si="411"/>
        <v>0</v>
      </c>
      <c r="J3153">
        <v>6684</v>
      </c>
      <c r="K3153" s="367">
        <f t="shared" si="414"/>
        <v>4774.2857142857147</v>
      </c>
      <c r="L3153" s="607">
        <v>0.52</v>
      </c>
      <c r="M3153">
        <v>4.5</v>
      </c>
      <c r="N3153" s="381">
        <v>22</v>
      </c>
      <c r="O3153">
        <v>8</v>
      </c>
      <c r="P3153" t="s">
        <v>513</v>
      </c>
      <c r="Q3153" s="97" t="str">
        <f t="shared" si="416"/>
        <v/>
      </c>
      <c r="R3153" t="str">
        <f t="shared" si="412"/>
        <v/>
      </c>
    </row>
    <row r="3154" spans="3:18">
      <c r="C3154" t="str">
        <f t="shared" si="413"/>
        <v>NL</v>
      </c>
      <c r="D3154" s="36">
        <v>63</v>
      </c>
      <c r="E3154">
        <v>40</v>
      </c>
      <c r="F3154" s="366">
        <f t="shared" si="415"/>
        <v>868</v>
      </c>
      <c r="G3154" s="97">
        <v>1386</v>
      </c>
      <c r="H3154" s="367">
        <f t="shared" si="410"/>
        <v>2254</v>
      </c>
      <c r="I3154" s="368">
        <f t="shared" si="411"/>
        <v>0</v>
      </c>
      <c r="J3154">
        <v>5393</v>
      </c>
      <c r="K3154" s="367">
        <f t="shared" si="414"/>
        <v>3852.1428571428573</v>
      </c>
      <c r="L3154" s="607">
        <v>0.51</v>
      </c>
      <c r="M3154">
        <v>4.8999999999999995</v>
      </c>
      <c r="N3154" s="381">
        <v>23</v>
      </c>
      <c r="O3154">
        <v>3</v>
      </c>
      <c r="P3154" t="s">
        <v>515</v>
      </c>
      <c r="Q3154" s="97" t="str">
        <f t="shared" si="416"/>
        <v/>
      </c>
      <c r="R3154" t="str">
        <f t="shared" si="412"/>
        <v/>
      </c>
    </row>
    <row r="3155" spans="3:18">
      <c r="C3155" t="str">
        <f t="shared" si="413"/>
        <v/>
      </c>
      <c r="D3155" s="36">
        <v>64</v>
      </c>
      <c r="E3155">
        <v>40</v>
      </c>
      <c r="F3155" s="366">
        <f t="shared" si="415"/>
        <v>868</v>
      </c>
      <c r="G3155" s="97">
        <v>1464</v>
      </c>
      <c r="H3155" s="367">
        <f t="shared" si="410"/>
        <v>2332</v>
      </c>
      <c r="I3155" s="368">
        <f t="shared" si="411"/>
        <v>0</v>
      </c>
      <c r="J3155">
        <v>5696</v>
      </c>
      <c r="K3155" s="367">
        <f t="shared" si="414"/>
        <v>4068.5714285714284</v>
      </c>
      <c r="L3155" s="607">
        <v>0.28000000000000003</v>
      </c>
      <c r="M3155">
        <v>5</v>
      </c>
      <c r="N3155" s="381">
        <v>20</v>
      </c>
      <c r="O3155">
        <v>4</v>
      </c>
      <c r="P3155" t="s">
        <v>515</v>
      </c>
      <c r="Q3155" s="97" t="str">
        <f t="shared" si="416"/>
        <v/>
      </c>
      <c r="R3155" t="str">
        <f t="shared" si="412"/>
        <v/>
      </c>
    </row>
    <row r="3156" spans="3:18">
      <c r="C3156" t="str">
        <f t="shared" si="413"/>
        <v/>
      </c>
      <c r="D3156" s="36">
        <v>65</v>
      </c>
      <c r="E3156">
        <v>40</v>
      </c>
      <c r="F3156" s="366">
        <f t="shared" si="415"/>
        <v>868</v>
      </c>
      <c r="G3156" s="97">
        <v>1633</v>
      </c>
      <c r="H3156" s="367">
        <f t="shared" si="410"/>
        <v>2501</v>
      </c>
      <c r="I3156" s="368">
        <f t="shared" si="411"/>
        <v>0</v>
      </c>
      <c r="J3156">
        <v>6351</v>
      </c>
      <c r="K3156" s="367">
        <f t="shared" si="414"/>
        <v>4536.4285714285716</v>
      </c>
      <c r="L3156" s="607">
        <v>0.92</v>
      </c>
      <c r="M3156">
        <v>5</v>
      </c>
      <c r="N3156" s="381">
        <v>28</v>
      </c>
      <c r="O3156">
        <v>4</v>
      </c>
      <c r="P3156" t="s">
        <v>514</v>
      </c>
      <c r="Q3156" s="97" t="str">
        <f t="shared" si="416"/>
        <v/>
      </c>
      <c r="R3156" t="str">
        <f t="shared" si="412"/>
        <v/>
      </c>
    </row>
    <row r="3157" spans="3:18">
      <c r="C3157" t="str">
        <f t="shared" si="413"/>
        <v>NL</v>
      </c>
      <c r="D3157" s="36">
        <v>66</v>
      </c>
      <c r="E3157">
        <v>40</v>
      </c>
      <c r="F3157" s="366">
        <f t="shared" si="415"/>
        <v>868</v>
      </c>
      <c r="G3157" s="97">
        <v>1505</v>
      </c>
      <c r="H3157" s="367">
        <f t="shared" ref="H3157:H3220" si="417">(G3157*$U$7)+F3157</f>
        <v>2373</v>
      </c>
      <c r="I3157" s="368">
        <f t="shared" ref="I3157:I3220" si="418">1.085*($C$2-$D$2)*E3157*$T$7</f>
        <v>0</v>
      </c>
      <c r="J3157">
        <v>5853</v>
      </c>
      <c r="K3157" s="367">
        <f t="shared" si="414"/>
        <v>4180.7142857142862</v>
      </c>
      <c r="L3157" s="607">
        <v>0.18000000000000002</v>
      </c>
      <c r="M3157">
        <v>4.6999999999999993</v>
      </c>
      <c r="N3157" s="381">
        <v>18</v>
      </c>
      <c r="O3157">
        <v>5</v>
      </c>
      <c r="P3157" t="s">
        <v>515</v>
      </c>
      <c r="Q3157" s="97" t="str">
        <f t="shared" si="416"/>
        <v/>
      </c>
      <c r="R3157" t="str">
        <f t="shared" ref="R3157:R3220" si="419">IF(Q3157="","",IF(AND(O3157&lt;$X$28,E3157&gt;$U$28,E3157&lt;$Q$4+$U$28+1),D3157,""))</f>
        <v/>
      </c>
    </row>
    <row r="3158" spans="3:18">
      <c r="C3158" t="str">
        <f t="shared" ref="C3158:C3221" si="420">IF(OR($O$4=0,O3158-$O$4=0),IF(AND(ISEVEN(O3158)=FALSE,$N$4="Even"),"NL",""),"NL")</f>
        <v>NL</v>
      </c>
      <c r="D3158" s="36">
        <v>67</v>
      </c>
      <c r="E3158">
        <v>40</v>
      </c>
      <c r="F3158" s="366">
        <f t="shared" si="415"/>
        <v>868</v>
      </c>
      <c r="G3158" s="97">
        <v>1681</v>
      </c>
      <c r="H3158" s="367">
        <f t="shared" si="417"/>
        <v>2549</v>
      </c>
      <c r="I3158" s="368">
        <f t="shared" si="418"/>
        <v>0</v>
      </c>
      <c r="J3158">
        <v>6540</v>
      </c>
      <c r="K3158" s="367">
        <f t="shared" ref="K3158:K3221" si="421">(J3158*$V$7)-I3158</f>
        <v>4671.4285714285716</v>
      </c>
      <c r="L3158" s="607">
        <v>0.55000000000000004</v>
      </c>
      <c r="M3158">
        <v>4.6999999999999993</v>
      </c>
      <c r="N3158" s="381">
        <v>24</v>
      </c>
      <c r="O3158">
        <v>5</v>
      </c>
      <c r="P3158" t="s">
        <v>514</v>
      </c>
      <c r="Q3158" s="97" t="str">
        <f t="shared" si="416"/>
        <v/>
      </c>
      <c r="R3158" t="str">
        <f t="shared" si="419"/>
        <v/>
      </c>
    </row>
    <row r="3159" spans="3:18">
      <c r="C3159" t="str">
        <f t="shared" si="420"/>
        <v/>
      </c>
      <c r="D3159" s="36">
        <v>68</v>
      </c>
      <c r="E3159">
        <v>40</v>
      </c>
      <c r="F3159" s="366">
        <f t="shared" si="415"/>
        <v>868</v>
      </c>
      <c r="G3159" s="97">
        <v>1723</v>
      </c>
      <c r="H3159" s="367">
        <f t="shared" si="417"/>
        <v>2591</v>
      </c>
      <c r="I3159" s="368">
        <f t="shared" si="418"/>
        <v>0</v>
      </c>
      <c r="J3159">
        <v>6702</v>
      </c>
      <c r="K3159" s="367">
        <f t="shared" si="421"/>
        <v>4787.1428571428569</v>
      </c>
      <c r="L3159" s="607">
        <v>0.37</v>
      </c>
      <c r="M3159">
        <v>4.6999999999999993</v>
      </c>
      <c r="N3159" s="381">
        <v>21</v>
      </c>
      <c r="O3159">
        <v>6</v>
      </c>
      <c r="P3159" t="s">
        <v>514</v>
      </c>
      <c r="Q3159" s="97" t="str">
        <f t="shared" si="416"/>
        <v/>
      </c>
      <c r="R3159" t="str">
        <f t="shared" si="419"/>
        <v/>
      </c>
    </row>
    <row r="3160" spans="3:18">
      <c r="C3160" t="str">
        <f t="shared" si="420"/>
        <v>NL</v>
      </c>
      <c r="D3160" s="36">
        <v>69</v>
      </c>
      <c r="E3160">
        <v>40</v>
      </c>
      <c r="F3160" s="366">
        <f t="shared" si="415"/>
        <v>868</v>
      </c>
      <c r="G3160" s="97">
        <v>1744</v>
      </c>
      <c r="H3160" s="367">
        <f t="shared" si="417"/>
        <v>2612</v>
      </c>
      <c r="I3160" s="368">
        <f t="shared" si="418"/>
        <v>0</v>
      </c>
      <c r="J3160">
        <v>6785</v>
      </c>
      <c r="K3160" s="367">
        <f t="shared" si="421"/>
        <v>4846.4285714285716</v>
      </c>
      <c r="L3160" s="607">
        <v>0.26</v>
      </c>
      <c r="M3160">
        <v>4.5999999999999996</v>
      </c>
      <c r="N3160" s="381">
        <v>19</v>
      </c>
      <c r="O3160">
        <v>7</v>
      </c>
      <c r="P3160" t="s">
        <v>514</v>
      </c>
      <c r="Q3160" s="97" t="str">
        <f t="shared" si="416"/>
        <v/>
      </c>
      <c r="R3160" t="str">
        <f t="shared" si="419"/>
        <v/>
      </c>
    </row>
    <row r="3161" spans="3:18">
      <c r="C3161" t="str">
        <f t="shared" si="420"/>
        <v>NL</v>
      </c>
      <c r="D3161" s="36">
        <v>70</v>
      </c>
      <c r="E3161">
        <v>40</v>
      </c>
      <c r="F3161" s="366">
        <f t="shared" si="415"/>
        <v>868</v>
      </c>
      <c r="G3161" s="97">
        <v>1880</v>
      </c>
      <c r="H3161" s="367">
        <f t="shared" si="417"/>
        <v>2748</v>
      </c>
      <c r="I3161" s="368">
        <f t="shared" si="418"/>
        <v>0</v>
      </c>
      <c r="J3161">
        <v>7312</v>
      </c>
      <c r="K3161" s="367">
        <f t="shared" si="421"/>
        <v>5222.8571428571431</v>
      </c>
      <c r="L3161" s="607">
        <v>0.9</v>
      </c>
      <c r="M3161">
        <v>4.5999999999999996</v>
      </c>
      <c r="N3161" s="381">
        <v>26</v>
      </c>
      <c r="O3161">
        <v>7</v>
      </c>
      <c r="P3161" t="s">
        <v>513</v>
      </c>
      <c r="Q3161" s="97" t="str">
        <f t="shared" si="416"/>
        <v/>
      </c>
      <c r="R3161" t="str">
        <f t="shared" si="419"/>
        <v/>
      </c>
    </row>
    <row r="3162" spans="3:18">
      <c r="C3162" t="str">
        <f t="shared" si="420"/>
        <v/>
      </c>
      <c r="D3162" s="36">
        <v>71</v>
      </c>
      <c r="E3162">
        <v>40</v>
      </c>
      <c r="F3162" s="366">
        <f t="shared" si="415"/>
        <v>868</v>
      </c>
      <c r="G3162" s="97">
        <v>1761</v>
      </c>
      <c r="H3162" s="367">
        <f t="shared" si="417"/>
        <v>2629</v>
      </c>
      <c r="I3162" s="368">
        <f t="shared" si="418"/>
        <v>0</v>
      </c>
      <c r="J3162">
        <v>6850</v>
      </c>
      <c r="K3162" s="367">
        <f t="shared" si="421"/>
        <v>4892.8571428571431</v>
      </c>
      <c r="L3162" s="607">
        <v>0.2</v>
      </c>
      <c r="M3162">
        <v>4.5</v>
      </c>
      <c r="N3162" s="381">
        <v>18</v>
      </c>
      <c r="O3162">
        <v>8</v>
      </c>
      <c r="P3162" t="s">
        <v>514</v>
      </c>
      <c r="Q3162" s="97" t="str">
        <f t="shared" si="416"/>
        <v/>
      </c>
      <c r="R3162" t="str">
        <f t="shared" si="419"/>
        <v/>
      </c>
    </row>
    <row r="3163" spans="3:18">
      <c r="C3163" t="str">
        <f t="shared" si="420"/>
        <v/>
      </c>
      <c r="D3163" s="36">
        <v>72</v>
      </c>
      <c r="E3163">
        <v>40</v>
      </c>
      <c r="F3163" s="366">
        <f t="shared" si="415"/>
        <v>868</v>
      </c>
      <c r="G3163" s="97">
        <v>1898</v>
      </c>
      <c r="H3163" s="367">
        <f t="shared" si="417"/>
        <v>2766</v>
      </c>
      <c r="I3163" s="368">
        <f t="shared" si="418"/>
        <v>0</v>
      </c>
      <c r="J3163">
        <v>7382</v>
      </c>
      <c r="K3163" s="367">
        <f t="shared" si="421"/>
        <v>5272.8571428571431</v>
      </c>
      <c r="L3163" s="607">
        <v>0.68</v>
      </c>
      <c r="M3163">
        <v>4.5</v>
      </c>
      <c r="N3163" s="381">
        <v>24</v>
      </c>
      <c r="O3163">
        <v>8</v>
      </c>
      <c r="P3163" t="s">
        <v>513</v>
      </c>
      <c r="Q3163" s="97" t="str">
        <f t="shared" si="416"/>
        <v/>
      </c>
      <c r="R3163" t="str">
        <f t="shared" si="419"/>
        <v/>
      </c>
    </row>
    <row r="3164" spans="3:18">
      <c r="C3164" t="str">
        <f t="shared" si="420"/>
        <v>NL</v>
      </c>
      <c r="D3164" s="36">
        <v>73</v>
      </c>
      <c r="E3164">
        <v>45</v>
      </c>
      <c r="F3164" s="366">
        <f t="shared" si="415"/>
        <v>976.5</v>
      </c>
      <c r="G3164" s="97">
        <v>1509</v>
      </c>
      <c r="H3164" s="367">
        <f t="shared" si="417"/>
        <v>2485.5</v>
      </c>
      <c r="I3164" s="368">
        <f t="shared" si="418"/>
        <v>0</v>
      </c>
      <c r="J3164">
        <v>5871</v>
      </c>
      <c r="K3164" s="367">
        <f t="shared" si="421"/>
        <v>4193.5714285714284</v>
      </c>
      <c r="L3164" s="607">
        <v>0.65</v>
      </c>
      <c r="M3164">
        <v>4.8999999999999995</v>
      </c>
      <c r="N3164" s="381">
        <v>25</v>
      </c>
      <c r="O3164">
        <v>3</v>
      </c>
      <c r="P3164" t="s">
        <v>515</v>
      </c>
      <c r="Q3164" s="97" t="str">
        <f t="shared" si="416"/>
        <v/>
      </c>
      <c r="R3164" t="str">
        <f t="shared" si="419"/>
        <v/>
      </c>
    </row>
    <row r="3165" spans="3:18">
      <c r="C3165" t="str">
        <f t="shared" si="420"/>
        <v/>
      </c>
      <c r="D3165" s="36">
        <v>74</v>
      </c>
      <c r="E3165">
        <v>45</v>
      </c>
      <c r="F3165" s="366">
        <f t="shared" si="415"/>
        <v>976.5</v>
      </c>
      <c r="G3165" s="97">
        <v>1599</v>
      </c>
      <c r="H3165" s="367">
        <f t="shared" si="417"/>
        <v>2575.5</v>
      </c>
      <c r="I3165" s="368">
        <f t="shared" si="418"/>
        <v>0</v>
      </c>
      <c r="J3165">
        <v>6221</v>
      </c>
      <c r="K3165" s="367">
        <f t="shared" si="421"/>
        <v>4443.5714285714284</v>
      </c>
      <c r="L3165" s="607">
        <v>0.35000000000000003</v>
      </c>
      <c r="M3165">
        <v>5</v>
      </c>
      <c r="N3165" s="381">
        <v>22</v>
      </c>
      <c r="O3165">
        <v>4</v>
      </c>
      <c r="P3165" t="s">
        <v>515</v>
      </c>
      <c r="Q3165" s="97" t="str">
        <f t="shared" si="416"/>
        <v/>
      </c>
      <c r="R3165" t="str">
        <f t="shared" si="419"/>
        <v/>
      </c>
    </row>
    <row r="3166" spans="3:18">
      <c r="C3166" t="str">
        <f t="shared" si="420"/>
        <v>NL</v>
      </c>
      <c r="D3166" s="36">
        <v>75</v>
      </c>
      <c r="E3166">
        <v>45</v>
      </c>
      <c r="F3166" s="366">
        <f t="shared" si="415"/>
        <v>976.5</v>
      </c>
      <c r="G3166" s="97">
        <v>1645</v>
      </c>
      <c r="H3166" s="367">
        <f t="shared" si="417"/>
        <v>2621.5</v>
      </c>
      <c r="I3166" s="368">
        <f t="shared" si="418"/>
        <v>0</v>
      </c>
      <c r="J3166">
        <v>6398</v>
      </c>
      <c r="K3166" s="367">
        <f t="shared" si="421"/>
        <v>4570</v>
      </c>
      <c r="L3166" s="607">
        <v>0.23</v>
      </c>
      <c r="M3166">
        <v>4.6999999999999993</v>
      </c>
      <c r="N3166" s="381">
        <v>19</v>
      </c>
      <c r="O3166">
        <v>5</v>
      </c>
      <c r="P3166" t="s">
        <v>515</v>
      </c>
      <c r="Q3166" s="97" t="str">
        <f t="shared" si="416"/>
        <v/>
      </c>
      <c r="R3166" t="str">
        <f t="shared" si="419"/>
        <v/>
      </c>
    </row>
    <row r="3167" spans="3:18">
      <c r="C3167" t="str">
        <f t="shared" si="420"/>
        <v>NL</v>
      </c>
      <c r="D3167" s="36">
        <v>76</v>
      </c>
      <c r="E3167">
        <v>45</v>
      </c>
      <c r="F3167" s="366">
        <f t="shared" si="415"/>
        <v>976.5</v>
      </c>
      <c r="G3167" s="97">
        <v>1833</v>
      </c>
      <c r="H3167" s="367">
        <f t="shared" si="417"/>
        <v>2809.5</v>
      </c>
      <c r="I3167" s="368">
        <f t="shared" si="418"/>
        <v>0</v>
      </c>
      <c r="J3167">
        <v>7130</v>
      </c>
      <c r="K3167" s="367">
        <f t="shared" si="421"/>
        <v>5092.8571428571431</v>
      </c>
      <c r="L3167" s="607">
        <v>0.69000000000000006</v>
      </c>
      <c r="M3167">
        <v>4.6999999999999993</v>
      </c>
      <c r="N3167" s="381">
        <v>26</v>
      </c>
      <c r="O3167">
        <v>5</v>
      </c>
      <c r="P3167" t="s">
        <v>514</v>
      </c>
      <c r="Q3167" s="97" t="str">
        <f t="shared" si="416"/>
        <v/>
      </c>
      <c r="R3167" t="str">
        <f t="shared" si="419"/>
        <v/>
      </c>
    </row>
    <row r="3168" spans="3:18">
      <c r="C3168" t="str">
        <f t="shared" si="420"/>
        <v/>
      </c>
      <c r="D3168" s="36">
        <v>77</v>
      </c>
      <c r="E3168">
        <v>45</v>
      </c>
      <c r="F3168" s="366">
        <f t="shared" si="415"/>
        <v>976.5</v>
      </c>
      <c r="G3168" s="97">
        <v>1684</v>
      </c>
      <c r="H3168" s="367">
        <f t="shared" si="417"/>
        <v>2660.5</v>
      </c>
      <c r="I3168" s="368">
        <f t="shared" si="418"/>
        <v>0</v>
      </c>
      <c r="J3168">
        <v>6551</v>
      </c>
      <c r="K3168" s="367">
        <f t="shared" si="421"/>
        <v>4679.2857142857147</v>
      </c>
      <c r="L3168" s="607">
        <v>0.16</v>
      </c>
      <c r="M3168">
        <v>4.6999999999999993</v>
      </c>
      <c r="N3168" s="381">
        <v>18</v>
      </c>
      <c r="O3168">
        <v>6</v>
      </c>
      <c r="P3168" t="s">
        <v>515</v>
      </c>
      <c r="Q3168" s="97" t="str">
        <f t="shared" si="416"/>
        <v/>
      </c>
      <c r="R3168" t="str">
        <f t="shared" si="419"/>
        <v/>
      </c>
    </row>
    <row r="3169" spans="3:18">
      <c r="C3169" t="str">
        <f t="shared" si="420"/>
        <v/>
      </c>
      <c r="D3169" s="36">
        <v>78</v>
      </c>
      <c r="E3169">
        <v>45</v>
      </c>
      <c r="F3169" s="366">
        <f t="shared" si="415"/>
        <v>976.5</v>
      </c>
      <c r="G3169" s="97">
        <v>1880</v>
      </c>
      <c r="H3169" s="367">
        <f t="shared" si="417"/>
        <v>2856.5</v>
      </c>
      <c r="I3169" s="368">
        <f t="shared" si="418"/>
        <v>0</v>
      </c>
      <c r="J3169">
        <v>7311</v>
      </c>
      <c r="K3169" s="367">
        <f t="shared" si="421"/>
        <v>5222.1428571428569</v>
      </c>
      <c r="L3169" s="607">
        <v>0.46</v>
      </c>
      <c r="M3169">
        <v>4.6999999999999993</v>
      </c>
      <c r="N3169" s="381">
        <v>23</v>
      </c>
      <c r="O3169">
        <v>6</v>
      </c>
      <c r="P3169" t="s">
        <v>514</v>
      </c>
      <c r="Q3169" s="97" t="str">
        <f t="shared" si="416"/>
        <v/>
      </c>
      <c r="R3169" t="str">
        <f t="shared" si="419"/>
        <v/>
      </c>
    </row>
    <row r="3170" spans="3:18">
      <c r="C3170" t="str">
        <f t="shared" si="420"/>
        <v>NL</v>
      </c>
      <c r="D3170" s="36">
        <v>79</v>
      </c>
      <c r="E3170">
        <v>45</v>
      </c>
      <c r="F3170" s="366">
        <f t="shared" si="415"/>
        <v>976.5</v>
      </c>
      <c r="G3170" s="97">
        <v>1904</v>
      </c>
      <c r="H3170" s="367">
        <f t="shared" si="417"/>
        <v>2880.5</v>
      </c>
      <c r="I3170" s="368">
        <f t="shared" si="418"/>
        <v>0</v>
      </c>
      <c r="J3170">
        <v>7405</v>
      </c>
      <c r="K3170" s="367">
        <f t="shared" si="421"/>
        <v>5289.2857142857147</v>
      </c>
      <c r="L3170" s="607">
        <v>0.33</v>
      </c>
      <c r="M3170">
        <v>4.5999999999999996</v>
      </c>
      <c r="N3170" s="381">
        <v>21</v>
      </c>
      <c r="O3170">
        <v>7</v>
      </c>
      <c r="P3170" t="s">
        <v>514</v>
      </c>
      <c r="Q3170" s="97" t="str">
        <f t="shared" si="416"/>
        <v/>
      </c>
      <c r="R3170" t="str">
        <f t="shared" si="419"/>
        <v/>
      </c>
    </row>
    <row r="3171" spans="3:18">
      <c r="C3171" t="str">
        <f t="shared" si="420"/>
        <v/>
      </c>
      <c r="D3171" s="36">
        <v>80</v>
      </c>
      <c r="E3171">
        <v>45</v>
      </c>
      <c r="F3171" s="366">
        <f t="shared" si="415"/>
        <v>976.5</v>
      </c>
      <c r="G3171" s="97">
        <v>1922</v>
      </c>
      <c r="H3171" s="367">
        <f t="shared" si="417"/>
        <v>2898.5</v>
      </c>
      <c r="I3171" s="368">
        <f t="shared" si="418"/>
        <v>0</v>
      </c>
      <c r="J3171">
        <v>7477</v>
      </c>
      <c r="K3171" s="367">
        <f t="shared" si="421"/>
        <v>5340.7142857142862</v>
      </c>
      <c r="L3171" s="607">
        <v>0.25</v>
      </c>
      <c r="M3171">
        <v>4.5</v>
      </c>
      <c r="N3171" s="381">
        <v>19</v>
      </c>
      <c r="O3171">
        <v>8</v>
      </c>
      <c r="P3171" t="s">
        <v>514</v>
      </c>
      <c r="Q3171" s="97" t="str">
        <f t="shared" si="416"/>
        <v/>
      </c>
      <c r="R3171" t="str">
        <f t="shared" si="419"/>
        <v/>
      </c>
    </row>
    <row r="3172" spans="3:18">
      <c r="C3172" t="str">
        <f t="shared" si="420"/>
        <v/>
      </c>
      <c r="D3172" s="36">
        <v>81</v>
      </c>
      <c r="E3172">
        <v>45</v>
      </c>
      <c r="F3172" s="366">
        <f t="shared" si="415"/>
        <v>976.5</v>
      </c>
      <c r="G3172" s="97">
        <v>2063</v>
      </c>
      <c r="H3172" s="367">
        <f t="shared" si="417"/>
        <v>3039.5</v>
      </c>
      <c r="I3172" s="368">
        <f t="shared" si="418"/>
        <v>0</v>
      </c>
      <c r="J3172">
        <v>8026</v>
      </c>
      <c r="K3172" s="367">
        <f t="shared" si="421"/>
        <v>5732.8571428571431</v>
      </c>
      <c r="L3172" s="607">
        <v>0.86</v>
      </c>
      <c r="M3172">
        <v>4.5</v>
      </c>
      <c r="N3172" s="381">
        <v>25</v>
      </c>
      <c r="O3172">
        <v>8</v>
      </c>
      <c r="P3172" t="s">
        <v>513</v>
      </c>
      <c r="Q3172" s="97" t="str">
        <f t="shared" si="416"/>
        <v/>
      </c>
      <c r="R3172" t="str">
        <f t="shared" si="419"/>
        <v/>
      </c>
    </row>
    <row r="3173" spans="3:18">
      <c r="C3173" t="str">
        <f t="shared" si="420"/>
        <v>NL</v>
      </c>
      <c r="D3173" s="36">
        <v>82</v>
      </c>
      <c r="E3173">
        <v>50</v>
      </c>
      <c r="F3173" s="366">
        <f t="shared" si="415"/>
        <v>1085</v>
      </c>
      <c r="G3173" s="97">
        <v>1625</v>
      </c>
      <c r="H3173" s="367">
        <f t="shared" si="417"/>
        <v>2710</v>
      </c>
      <c r="I3173" s="368">
        <f t="shared" si="418"/>
        <v>0</v>
      </c>
      <c r="J3173">
        <v>6321</v>
      </c>
      <c r="K3173" s="367">
        <f t="shared" si="421"/>
        <v>4515</v>
      </c>
      <c r="L3173" s="607">
        <v>0.8</v>
      </c>
      <c r="M3173">
        <v>4.8999999999999995</v>
      </c>
      <c r="N3173" s="381">
        <v>26</v>
      </c>
      <c r="O3173">
        <v>3</v>
      </c>
      <c r="P3173" t="s">
        <v>515</v>
      </c>
      <c r="Q3173" s="97" t="str">
        <f t="shared" si="416"/>
        <v/>
      </c>
      <c r="R3173" t="str">
        <f t="shared" si="419"/>
        <v/>
      </c>
    </row>
    <row r="3174" spans="3:18">
      <c r="C3174" t="str">
        <f t="shared" si="420"/>
        <v/>
      </c>
      <c r="D3174" s="36">
        <v>83</v>
      </c>
      <c r="E3174">
        <v>50</v>
      </c>
      <c r="F3174" s="366">
        <f t="shared" si="415"/>
        <v>1085</v>
      </c>
      <c r="G3174" s="97">
        <v>1727</v>
      </c>
      <c r="H3174" s="367">
        <f t="shared" si="417"/>
        <v>2812</v>
      </c>
      <c r="I3174" s="368">
        <f t="shared" si="418"/>
        <v>0</v>
      </c>
      <c r="J3174">
        <v>6718</v>
      </c>
      <c r="K3174" s="367">
        <f t="shared" si="421"/>
        <v>4798.5714285714284</v>
      </c>
      <c r="L3174" s="607">
        <v>0.43</v>
      </c>
      <c r="M3174">
        <v>5</v>
      </c>
      <c r="N3174" s="381">
        <v>23</v>
      </c>
      <c r="O3174">
        <v>4</v>
      </c>
      <c r="P3174" t="s">
        <v>515</v>
      </c>
      <c r="Q3174" s="97" t="str">
        <f t="shared" si="416"/>
        <v/>
      </c>
      <c r="R3174" t="str">
        <f t="shared" si="419"/>
        <v/>
      </c>
    </row>
    <row r="3175" spans="3:18">
      <c r="C3175" t="str">
        <f t="shared" si="420"/>
        <v>NL</v>
      </c>
      <c r="D3175" s="36">
        <v>84</v>
      </c>
      <c r="E3175">
        <v>50</v>
      </c>
      <c r="F3175" s="366">
        <f t="shared" si="415"/>
        <v>1085</v>
      </c>
      <c r="G3175" s="97">
        <v>1779</v>
      </c>
      <c r="H3175" s="367">
        <f t="shared" si="417"/>
        <v>2864</v>
      </c>
      <c r="I3175" s="368">
        <f t="shared" si="418"/>
        <v>0</v>
      </c>
      <c r="J3175">
        <v>6919</v>
      </c>
      <c r="K3175" s="367">
        <f t="shared" si="421"/>
        <v>4942.1428571428569</v>
      </c>
      <c r="L3175" s="607">
        <v>0.28000000000000003</v>
      </c>
      <c r="M3175">
        <v>4.6999999999999993</v>
      </c>
      <c r="N3175" s="381">
        <v>21</v>
      </c>
      <c r="O3175">
        <v>5</v>
      </c>
      <c r="P3175" t="s">
        <v>515</v>
      </c>
      <c r="Q3175" s="97" t="str">
        <f t="shared" si="416"/>
        <v/>
      </c>
      <c r="R3175" t="str">
        <f t="shared" si="419"/>
        <v/>
      </c>
    </row>
    <row r="3176" spans="3:18">
      <c r="C3176" t="str">
        <f t="shared" si="420"/>
        <v>NL</v>
      </c>
      <c r="D3176" s="36">
        <v>85</v>
      </c>
      <c r="E3176">
        <v>50</v>
      </c>
      <c r="F3176" s="366">
        <f t="shared" si="415"/>
        <v>1085</v>
      </c>
      <c r="G3176" s="97">
        <v>1976</v>
      </c>
      <c r="H3176" s="367">
        <f t="shared" si="417"/>
        <v>3061</v>
      </c>
      <c r="I3176" s="368">
        <f t="shared" si="418"/>
        <v>0</v>
      </c>
      <c r="J3176">
        <v>7687</v>
      </c>
      <c r="K3176" s="367">
        <f t="shared" si="421"/>
        <v>5490.7142857142862</v>
      </c>
      <c r="L3176" s="607">
        <v>0.85</v>
      </c>
      <c r="M3176">
        <v>4.6999999999999993</v>
      </c>
      <c r="N3176" s="381">
        <v>27</v>
      </c>
      <c r="O3176">
        <v>5</v>
      </c>
      <c r="P3176" t="s">
        <v>514</v>
      </c>
      <c r="Q3176" s="97" t="str">
        <f t="shared" si="416"/>
        <v/>
      </c>
      <c r="R3176" t="str">
        <f t="shared" si="419"/>
        <v/>
      </c>
    </row>
    <row r="3177" spans="3:18">
      <c r="C3177" t="str">
        <f t="shared" si="420"/>
        <v/>
      </c>
      <c r="D3177" s="36">
        <v>86</v>
      </c>
      <c r="E3177">
        <v>50</v>
      </c>
      <c r="F3177" s="366">
        <f t="shared" si="415"/>
        <v>1085</v>
      </c>
      <c r="G3177" s="97">
        <v>1825</v>
      </c>
      <c r="H3177" s="367">
        <f t="shared" si="417"/>
        <v>2910</v>
      </c>
      <c r="I3177" s="368">
        <f t="shared" si="418"/>
        <v>0</v>
      </c>
      <c r="J3177">
        <v>7099</v>
      </c>
      <c r="K3177" s="367">
        <f t="shared" si="421"/>
        <v>5070.7142857142862</v>
      </c>
      <c r="L3177" s="607">
        <v>0.2</v>
      </c>
      <c r="M3177">
        <v>4.6999999999999993</v>
      </c>
      <c r="N3177" s="381">
        <v>19</v>
      </c>
      <c r="O3177">
        <v>6</v>
      </c>
      <c r="P3177" t="s">
        <v>515</v>
      </c>
      <c r="Q3177" s="97" t="str">
        <f t="shared" si="416"/>
        <v/>
      </c>
      <c r="R3177" t="str">
        <f t="shared" si="419"/>
        <v/>
      </c>
    </row>
    <row r="3178" spans="3:18">
      <c r="C3178" t="str">
        <f t="shared" si="420"/>
        <v/>
      </c>
      <c r="D3178" s="36">
        <v>87</v>
      </c>
      <c r="E3178">
        <v>50</v>
      </c>
      <c r="F3178" s="366">
        <f t="shared" si="415"/>
        <v>1085</v>
      </c>
      <c r="G3178" s="97">
        <v>2028</v>
      </c>
      <c r="H3178" s="367">
        <f t="shared" si="417"/>
        <v>3113</v>
      </c>
      <c r="I3178" s="368">
        <f t="shared" si="418"/>
        <v>0</v>
      </c>
      <c r="J3178">
        <v>7889</v>
      </c>
      <c r="K3178" s="367">
        <f t="shared" si="421"/>
        <v>5635</v>
      </c>
      <c r="L3178" s="607">
        <v>0.57000000000000006</v>
      </c>
      <c r="M3178">
        <v>4.6999999999999993</v>
      </c>
      <c r="N3178" s="381">
        <v>24</v>
      </c>
      <c r="O3178">
        <v>6</v>
      </c>
      <c r="P3178" t="s">
        <v>514</v>
      </c>
      <c r="Q3178" s="97">
        <f t="shared" si="416"/>
        <v>87</v>
      </c>
      <c r="R3178" t="str">
        <f t="shared" si="419"/>
        <v/>
      </c>
    </row>
    <row r="3179" spans="3:18">
      <c r="C3179" t="str">
        <f t="shared" si="420"/>
        <v>NL</v>
      </c>
      <c r="D3179" s="36">
        <v>88</v>
      </c>
      <c r="E3179">
        <v>50</v>
      </c>
      <c r="F3179" s="366">
        <f t="shared" si="415"/>
        <v>1085</v>
      </c>
      <c r="G3179" s="97">
        <v>2057</v>
      </c>
      <c r="H3179" s="367">
        <f t="shared" si="417"/>
        <v>3142</v>
      </c>
      <c r="I3179" s="368">
        <f t="shared" si="418"/>
        <v>0</v>
      </c>
      <c r="J3179">
        <v>7999</v>
      </c>
      <c r="K3179" s="367">
        <f t="shared" si="421"/>
        <v>5713.5714285714284</v>
      </c>
      <c r="L3179" s="607">
        <v>0.41000000000000003</v>
      </c>
      <c r="M3179">
        <v>4.5999999999999996</v>
      </c>
      <c r="N3179" s="381">
        <v>22</v>
      </c>
      <c r="O3179">
        <v>7</v>
      </c>
      <c r="P3179" t="s">
        <v>514</v>
      </c>
      <c r="Q3179" s="97" t="str">
        <f t="shared" si="416"/>
        <v/>
      </c>
      <c r="R3179" t="str">
        <f t="shared" si="419"/>
        <v/>
      </c>
    </row>
    <row r="3180" spans="3:18">
      <c r="C3180" t="str">
        <f t="shared" si="420"/>
        <v/>
      </c>
      <c r="D3180" s="36">
        <v>89</v>
      </c>
      <c r="E3180">
        <v>50</v>
      </c>
      <c r="F3180" s="366">
        <f t="shared" si="415"/>
        <v>1085</v>
      </c>
      <c r="G3180" s="97">
        <v>2076</v>
      </c>
      <c r="H3180" s="367">
        <f t="shared" si="417"/>
        <v>3161</v>
      </c>
      <c r="I3180" s="368">
        <f t="shared" si="418"/>
        <v>0</v>
      </c>
      <c r="J3180">
        <v>8076</v>
      </c>
      <c r="K3180" s="367">
        <f t="shared" si="421"/>
        <v>5768.5714285714284</v>
      </c>
      <c r="L3180" s="607">
        <v>0.31</v>
      </c>
      <c r="M3180">
        <v>4.5</v>
      </c>
      <c r="N3180" s="381">
        <v>20</v>
      </c>
      <c r="O3180">
        <v>8</v>
      </c>
      <c r="P3180" t="s">
        <v>514</v>
      </c>
      <c r="Q3180" s="97">
        <f t="shared" si="416"/>
        <v>89</v>
      </c>
      <c r="R3180" t="str">
        <f t="shared" si="419"/>
        <v/>
      </c>
    </row>
    <row r="3181" spans="3:18">
      <c r="C3181" t="str">
        <f t="shared" si="420"/>
        <v/>
      </c>
      <c r="D3181" s="36">
        <v>90</v>
      </c>
      <c r="E3181">
        <v>50</v>
      </c>
      <c r="F3181" s="366">
        <f t="shared" si="415"/>
        <v>1085</v>
      </c>
      <c r="G3181" s="97">
        <v>2218</v>
      </c>
      <c r="H3181" s="367">
        <f t="shared" si="417"/>
        <v>3303</v>
      </c>
      <c r="I3181" s="368">
        <f t="shared" si="418"/>
        <v>0</v>
      </c>
      <c r="J3181">
        <v>8626</v>
      </c>
      <c r="K3181" s="367">
        <f t="shared" si="421"/>
        <v>6161.4285714285716</v>
      </c>
      <c r="L3181" s="607">
        <v>1.05</v>
      </c>
      <c r="M3181">
        <v>4.5</v>
      </c>
      <c r="N3181" s="381">
        <v>27</v>
      </c>
      <c r="O3181">
        <v>8</v>
      </c>
      <c r="P3181" t="s">
        <v>513</v>
      </c>
      <c r="Q3181" s="97" t="str">
        <f t="shared" si="416"/>
        <v/>
      </c>
      <c r="R3181" t="str">
        <f t="shared" si="419"/>
        <v/>
      </c>
    </row>
    <row r="3182" spans="3:18">
      <c r="C3182" t="str">
        <f t="shared" si="420"/>
        <v>NL</v>
      </c>
      <c r="D3182" s="36">
        <v>91</v>
      </c>
      <c r="E3182">
        <v>55</v>
      </c>
      <c r="F3182" s="366">
        <f t="shared" si="415"/>
        <v>1193.5</v>
      </c>
      <c r="G3182" s="97">
        <v>1708</v>
      </c>
      <c r="H3182" s="367">
        <f t="shared" si="417"/>
        <v>2901.5</v>
      </c>
      <c r="I3182" s="368">
        <f t="shared" si="418"/>
        <v>0</v>
      </c>
      <c r="J3182">
        <v>6642</v>
      </c>
      <c r="K3182" s="367">
        <f t="shared" si="421"/>
        <v>4744.2857142857147</v>
      </c>
      <c r="L3182" s="607">
        <v>0.96</v>
      </c>
      <c r="M3182">
        <v>4.8999999999999995</v>
      </c>
      <c r="N3182" s="381">
        <v>27</v>
      </c>
      <c r="O3182">
        <v>3</v>
      </c>
      <c r="P3182" t="s">
        <v>515</v>
      </c>
      <c r="Q3182" s="97" t="str">
        <f t="shared" si="416"/>
        <v/>
      </c>
      <c r="R3182" t="str">
        <f t="shared" si="419"/>
        <v/>
      </c>
    </row>
    <row r="3183" spans="3:18">
      <c r="C3183" t="str">
        <f t="shared" si="420"/>
        <v/>
      </c>
      <c r="D3183" s="36">
        <v>92</v>
      </c>
      <c r="E3183">
        <v>55</v>
      </c>
      <c r="F3183" s="366">
        <f t="shared" si="415"/>
        <v>1193.5</v>
      </c>
      <c r="G3183" s="97">
        <v>1849</v>
      </c>
      <c r="H3183" s="367">
        <f t="shared" si="417"/>
        <v>3042.5</v>
      </c>
      <c r="I3183" s="368">
        <f t="shared" si="418"/>
        <v>0</v>
      </c>
      <c r="J3183">
        <v>7192</v>
      </c>
      <c r="K3183" s="367">
        <f t="shared" si="421"/>
        <v>5137.1428571428569</v>
      </c>
      <c r="L3183" s="607">
        <v>0.52</v>
      </c>
      <c r="M3183">
        <v>5</v>
      </c>
      <c r="N3183" s="381">
        <v>24</v>
      </c>
      <c r="O3183">
        <v>4</v>
      </c>
      <c r="P3183" t="s">
        <v>515</v>
      </c>
      <c r="Q3183" s="97">
        <f t="shared" si="416"/>
        <v>92</v>
      </c>
      <c r="R3183">
        <f t="shared" si="419"/>
        <v>92</v>
      </c>
    </row>
    <row r="3184" spans="3:18">
      <c r="C3184" t="str">
        <f t="shared" si="420"/>
        <v>NL</v>
      </c>
      <c r="D3184" s="36">
        <v>93</v>
      </c>
      <c r="E3184">
        <v>55</v>
      </c>
      <c r="F3184" s="366">
        <f t="shared" si="415"/>
        <v>1193.5</v>
      </c>
      <c r="G3184" s="97">
        <v>1907</v>
      </c>
      <c r="H3184" s="367">
        <f t="shared" si="417"/>
        <v>3100.5</v>
      </c>
      <c r="I3184" s="368">
        <f t="shared" si="418"/>
        <v>0</v>
      </c>
      <c r="J3184">
        <v>7416</v>
      </c>
      <c r="K3184" s="367">
        <f t="shared" si="421"/>
        <v>5297.1428571428569</v>
      </c>
      <c r="L3184" s="607">
        <v>0.33</v>
      </c>
      <c r="M3184">
        <v>4.6999999999999993</v>
      </c>
      <c r="N3184" s="381">
        <v>22</v>
      </c>
      <c r="O3184">
        <v>5</v>
      </c>
      <c r="P3184" t="s">
        <v>515</v>
      </c>
      <c r="Q3184" s="97" t="str">
        <f t="shared" si="416"/>
        <v/>
      </c>
      <c r="R3184" t="str">
        <f t="shared" si="419"/>
        <v/>
      </c>
    </row>
    <row r="3185" spans="3:18">
      <c r="C3185" t="str">
        <f t="shared" si="420"/>
        <v>NL</v>
      </c>
      <c r="D3185" s="36">
        <v>94</v>
      </c>
      <c r="E3185">
        <v>55</v>
      </c>
      <c r="F3185" s="366">
        <f t="shared" si="415"/>
        <v>1193.5</v>
      </c>
      <c r="G3185" s="97">
        <v>2112</v>
      </c>
      <c r="H3185" s="367">
        <f t="shared" si="417"/>
        <v>3305.5</v>
      </c>
      <c r="I3185" s="368">
        <f t="shared" si="418"/>
        <v>0</v>
      </c>
      <c r="J3185">
        <v>8216</v>
      </c>
      <c r="K3185" s="367">
        <f t="shared" si="421"/>
        <v>5868.5714285714284</v>
      </c>
      <c r="L3185" s="607">
        <v>1.03</v>
      </c>
      <c r="M3185">
        <v>4.6999999999999993</v>
      </c>
      <c r="N3185" s="381">
        <v>28</v>
      </c>
      <c r="O3185">
        <v>5</v>
      </c>
      <c r="P3185" t="s">
        <v>514</v>
      </c>
      <c r="Q3185" s="97" t="str">
        <f t="shared" si="416"/>
        <v/>
      </c>
      <c r="R3185" t="str">
        <f t="shared" si="419"/>
        <v/>
      </c>
    </row>
    <row r="3186" spans="3:18">
      <c r="C3186" t="str">
        <f t="shared" si="420"/>
        <v/>
      </c>
      <c r="D3186" s="36">
        <v>95</v>
      </c>
      <c r="E3186">
        <v>55</v>
      </c>
      <c r="F3186" s="366">
        <f t="shared" si="415"/>
        <v>1193.5</v>
      </c>
      <c r="G3186" s="97">
        <v>1956</v>
      </c>
      <c r="H3186" s="367">
        <f t="shared" si="417"/>
        <v>3149.5</v>
      </c>
      <c r="I3186" s="368">
        <f t="shared" si="418"/>
        <v>0</v>
      </c>
      <c r="J3186">
        <v>7609</v>
      </c>
      <c r="K3186" s="367">
        <f t="shared" si="421"/>
        <v>5435</v>
      </c>
      <c r="L3186" s="607">
        <v>0.24000000000000002</v>
      </c>
      <c r="M3186">
        <v>4.6999999999999993</v>
      </c>
      <c r="N3186" s="381">
        <v>20</v>
      </c>
      <c r="O3186">
        <v>6</v>
      </c>
      <c r="P3186" t="s">
        <v>515</v>
      </c>
      <c r="Q3186" s="97">
        <f t="shared" si="416"/>
        <v>95</v>
      </c>
      <c r="R3186" t="str">
        <f t="shared" si="419"/>
        <v/>
      </c>
    </row>
    <row r="3187" spans="3:18">
      <c r="C3187" t="str">
        <f t="shared" si="420"/>
        <v/>
      </c>
      <c r="D3187" s="36">
        <v>96</v>
      </c>
      <c r="E3187">
        <v>55</v>
      </c>
      <c r="F3187" s="366">
        <f t="shared" ref="F3187:F3250" si="422">1.085*($A$2-$B$2)*E3187*$T$7</f>
        <v>1193.5</v>
      </c>
      <c r="G3187" s="97">
        <v>2170</v>
      </c>
      <c r="H3187" s="367">
        <f t="shared" si="417"/>
        <v>3363.5</v>
      </c>
      <c r="I3187" s="368">
        <f t="shared" si="418"/>
        <v>0</v>
      </c>
      <c r="J3187">
        <v>8439</v>
      </c>
      <c r="K3187" s="367">
        <f t="shared" si="421"/>
        <v>6027.8571428571431</v>
      </c>
      <c r="L3187" s="607">
        <v>0.69000000000000006</v>
      </c>
      <c r="M3187">
        <v>4.6999999999999993</v>
      </c>
      <c r="N3187" s="381">
        <v>26</v>
      </c>
      <c r="O3187">
        <v>6</v>
      </c>
      <c r="P3187" t="s">
        <v>514</v>
      </c>
      <c r="Q3187" s="97">
        <f t="shared" si="416"/>
        <v>96</v>
      </c>
      <c r="R3187" t="str">
        <f t="shared" si="419"/>
        <v/>
      </c>
    </row>
    <row r="3188" spans="3:18">
      <c r="C3188" t="str">
        <f t="shared" si="420"/>
        <v>NL</v>
      </c>
      <c r="D3188" s="36">
        <v>97</v>
      </c>
      <c r="E3188">
        <v>55</v>
      </c>
      <c r="F3188" s="366">
        <f t="shared" si="422"/>
        <v>1193.5</v>
      </c>
      <c r="G3188" s="97">
        <v>1981</v>
      </c>
      <c r="H3188" s="367">
        <f t="shared" si="417"/>
        <v>3174.5</v>
      </c>
      <c r="I3188" s="368">
        <f t="shared" si="418"/>
        <v>0</v>
      </c>
      <c r="J3188">
        <v>7707</v>
      </c>
      <c r="K3188" s="367">
        <f t="shared" si="421"/>
        <v>5505</v>
      </c>
      <c r="L3188" s="607">
        <v>0.18000000000000002</v>
      </c>
      <c r="M3188">
        <v>4.5999999999999996</v>
      </c>
      <c r="N3188" s="381">
        <v>19</v>
      </c>
      <c r="O3188">
        <v>7</v>
      </c>
      <c r="P3188" t="s">
        <v>515</v>
      </c>
      <c r="Q3188" s="97" t="str">
        <f t="shared" si="416"/>
        <v/>
      </c>
      <c r="R3188" t="str">
        <f t="shared" si="419"/>
        <v/>
      </c>
    </row>
    <row r="3189" spans="3:18">
      <c r="C3189" t="str">
        <f t="shared" si="420"/>
        <v>NL</v>
      </c>
      <c r="D3189" s="36">
        <v>98</v>
      </c>
      <c r="E3189">
        <v>55</v>
      </c>
      <c r="F3189" s="366">
        <f t="shared" si="422"/>
        <v>1193.5</v>
      </c>
      <c r="G3189" s="97">
        <v>2200</v>
      </c>
      <c r="H3189" s="367">
        <f t="shared" si="417"/>
        <v>3393.5</v>
      </c>
      <c r="I3189" s="368">
        <f t="shared" si="418"/>
        <v>0</v>
      </c>
      <c r="J3189">
        <v>8557</v>
      </c>
      <c r="K3189" s="367">
        <f t="shared" si="421"/>
        <v>6112.1428571428569</v>
      </c>
      <c r="L3189" s="607">
        <v>0.5</v>
      </c>
      <c r="M3189">
        <v>4.5999999999999996</v>
      </c>
      <c r="N3189" s="381">
        <v>23</v>
      </c>
      <c r="O3189">
        <v>7</v>
      </c>
      <c r="P3189" t="s">
        <v>514</v>
      </c>
      <c r="Q3189" s="97" t="str">
        <f t="shared" si="416"/>
        <v/>
      </c>
      <c r="R3189" t="str">
        <f t="shared" si="419"/>
        <v/>
      </c>
    </row>
    <row r="3190" spans="3:18">
      <c r="C3190" t="str">
        <f t="shared" si="420"/>
        <v/>
      </c>
      <c r="D3190" s="36">
        <v>99</v>
      </c>
      <c r="E3190">
        <v>55</v>
      </c>
      <c r="F3190" s="366">
        <f t="shared" si="422"/>
        <v>1193.5</v>
      </c>
      <c r="G3190" s="97">
        <v>2222</v>
      </c>
      <c r="H3190" s="367">
        <f t="shared" si="417"/>
        <v>3415.5</v>
      </c>
      <c r="I3190" s="368">
        <f t="shared" si="418"/>
        <v>0</v>
      </c>
      <c r="J3190">
        <v>8643</v>
      </c>
      <c r="K3190" s="367">
        <f t="shared" si="421"/>
        <v>6173.5714285714284</v>
      </c>
      <c r="L3190" s="607">
        <v>0.38</v>
      </c>
      <c r="M3190">
        <v>4.5</v>
      </c>
      <c r="N3190" s="381">
        <v>22</v>
      </c>
      <c r="O3190">
        <v>8</v>
      </c>
      <c r="P3190" t="s">
        <v>514</v>
      </c>
      <c r="Q3190" s="97">
        <f t="shared" si="416"/>
        <v>99</v>
      </c>
      <c r="R3190" t="str">
        <f t="shared" si="419"/>
        <v/>
      </c>
    </row>
    <row r="3191" spans="3:18">
      <c r="C3191" t="str">
        <f t="shared" si="420"/>
        <v/>
      </c>
      <c r="D3191" s="36">
        <v>100</v>
      </c>
      <c r="E3191">
        <v>60</v>
      </c>
      <c r="F3191" s="366">
        <f t="shared" si="422"/>
        <v>1302</v>
      </c>
      <c r="G3191" s="97">
        <v>1965</v>
      </c>
      <c r="H3191" s="367">
        <f t="shared" si="417"/>
        <v>3267</v>
      </c>
      <c r="I3191" s="368">
        <f t="shared" si="418"/>
        <v>0</v>
      </c>
      <c r="J3191">
        <v>7643</v>
      </c>
      <c r="K3191" s="367">
        <f t="shared" si="421"/>
        <v>5459.2857142857147</v>
      </c>
      <c r="L3191" s="607">
        <v>0.62</v>
      </c>
      <c r="M3191">
        <v>5</v>
      </c>
      <c r="N3191" s="381">
        <v>25</v>
      </c>
      <c r="O3191">
        <v>4</v>
      </c>
      <c r="P3191" t="s">
        <v>515</v>
      </c>
      <c r="Q3191" s="97">
        <f t="shared" si="416"/>
        <v>100</v>
      </c>
      <c r="R3191" t="str">
        <f t="shared" si="419"/>
        <v/>
      </c>
    </row>
    <row r="3192" spans="3:18">
      <c r="C3192" t="str">
        <f t="shared" si="420"/>
        <v>NL</v>
      </c>
      <c r="D3192" s="36">
        <v>101</v>
      </c>
      <c r="E3192">
        <v>60</v>
      </c>
      <c r="F3192" s="366">
        <f t="shared" si="422"/>
        <v>1302</v>
      </c>
      <c r="G3192" s="97">
        <v>2029</v>
      </c>
      <c r="H3192" s="367">
        <f t="shared" si="417"/>
        <v>3331</v>
      </c>
      <c r="I3192" s="368">
        <f t="shared" si="418"/>
        <v>0</v>
      </c>
      <c r="J3192">
        <v>7893</v>
      </c>
      <c r="K3192" s="367">
        <f t="shared" si="421"/>
        <v>5637.8571428571431</v>
      </c>
      <c r="L3192" s="607">
        <v>0.4</v>
      </c>
      <c r="M3192">
        <v>4.6999999999999993</v>
      </c>
      <c r="N3192" s="381">
        <v>23</v>
      </c>
      <c r="O3192">
        <v>5</v>
      </c>
      <c r="P3192" t="s">
        <v>515</v>
      </c>
      <c r="Q3192" s="97" t="str">
        <f t="shared" si="416"/>
        <v/>
      </c>
      <c r="R3192" t="str">
        <f t="shared" si="419"/>
        <v/>
      </c>
    </row>
    <row r="3193" spans="3:18">
      <c r="C3193" t="str">
        <f t="shared" si="420"/>
        <v/>
      </c>
      <c r="D3193" s="36">
        <v>102</v>
      </c>
      <c r="E3193">
        <v>60</v>
      </c>
      <c r="F3193" s="366">
        <f t="shared" si="422"/>
        <v>1302</v>
      </c>
      <c r="G3193" s="97">
        <v>2083</v>
      </c>
      <c r="H3193" s="367">
        <f t="shared" si="417"/>
        <v>3385</v>
      </c>
      <c r="I3193" s="368">
        <f t="shared" si="418"/>
        <v>0</v>
      </c>
      <c r="J3193">
        <v>8100</v>
      </c>
      <c r="K3193" s="367">
        <f t="shared" si="421"/>
        <v>5785.7142857142862</v>
      </c>
      <c r="L3193" s="607">
        <v>0.28000000000000003</v>
      </c>
      <c r="M3193">
        <v>4.6999999999999993</v>
      </c>
      <c r="N3193" s="381">
        <v>21</v>
      </c>
      <c r="O3193">
        <v>6</v>
      </c>
      <c r="P3193" t="s">
        <v>515</v>
      </c>
      <c r="Q3193" s="97">
        <f t="shared" si="416"/>
        <v>102</v>
      </c>
      <c r="R3193" t="str">
        <f t="shared" si="419"/>
        <v/>
      </c>
    </row>
    <row r="3194" spans="3:18">
      <c r="C3194" t="str">
        <f t="shared" si="420"/>
        <v/>
      </c>
      <c r="D3194" s="36">
        <v>103</v>
      </c>
      <c r="E3194">
        <v>60</v>
      </c>
      <c r="F3194" s="366">
        <f t="shared" si="422"/>
        <v>1302</v>
      </c>
      <c r="G3194" s="97">
        <v>2303</v>
      </c>
      <c r="H3194" s="367">
        <f t="shared" si="417"/>
        <v>3605</v>
      </c>
      <c r="I3194" s="368">
        <f t="shared" si="418"/>
        <v>0</v>
      </c>
      <c r="J3194">
        <v>8959</v>
      </c>
      <c r="K3194" s="367">
        <f t="shared" si="421"/>
        <v>6399.2857142857147</v>
      </c>
      <c r="L3194" s="607">
        <v>0.82000000000000006</v>
      </c>
      <c r="M3194">
        <v>4.6999999999999993</v>
      </c>
      <c r="N3194" s="381">
        <v>27</v>
      </c>
      <c r="O3194">
        <v>6</v>
      </c>
      <c r="P3194" t="s">
        <v>514</v>
      </c>
      <c r="Q3194" s="97" t="str">
        <f t="shared" si="416"/>
        <v/>
      </c>
      <c r="R3194" t="str">
        <f t="shared" si="419"/>
        <v/>
      </c>
    </row>
    <row r="3195" spans="3:18">
      <c r="C3195" t="str">
        <f t="shared" si="420"/>
        <v>NL</v>
      </c>
      <c r="D3195" s="36">
        <v>104</v>
      </c>
      <c r="E3195">
        <v>60</v>
      </c>
      <c r="F3195" s="366">
        <f t="shared" si="422"/>
        <v>1302</v>
      </c>
      <c r="G3195" s="97">
        <v>2112</v>
      </c>
      <c r="H3195" s="367">
        <f t="shared" si="417"/>
        <v>3414</v>
      </c>
      <c r="I3195" s="368">
        <f t="shared" si="418"/>
        <v>0</v>
      </c>
      <c r="J3195">
        <v>8213</v>
      </c>
      <c r="K3195" s="367">
        <f t="shared" si="421"/>
        <v>5866.4285714285716</v>
      </c>
      <c r="L3195" s="607">
        <v>0.21000000000000002</v>
      </c>
      <c r="M3195">
        <v>4.5999999999999996</v>
      </c>
      <c r="N3195" s="381">
        <v>20</v>
      </c>
      <c r="O3195">
        <v>7</v>
      </c>
      <c r="P3195" t="s">
        <v>515</v>
      </c>
      <c r="Q3195" s="97" t="str">
        <f t="shared" si="416"/>
        <v/>
      </c>
      <c r="R3195" t="str">
        <f t="shared" si="419"/>
        <v/>
      </c>
    </row>
    <row r="3196" spans="3:18">
      <c r="C3196" t="str">
        <f t="shared" si="420"/>
        <v>NL</v>
      </c>
      <c r="D3196" s="36">
        <v>105</v>
      </c>
      <c r="E3196">
        <v>60</v>
      </c>
      <c r="F3196" s="366">
        <f t="shared" si="422"/>
        <v>1302</v>
      </c>
      <c r="G3196" s="97">
        <v>2336</v>
      </c>
      <c r="H3196" s="367">
        <f t="shared" si="417"/>
        <v>3638</v>
      </c>
      <c r="I3196" s="368">
        <f t="shared" si="418"/>
        <v>0</v>
      </c>
      <c r="J3196">
        <v>9084</v>
      </c>
      <c r="K3196" s="367">
        <f t="shared" si="421"/>
        <v>6488.5714285714284</v>
      </c>
      <c r="L3196" s="607">
        <v>0.59</v>
      </c>
      <c r="M3196">
        <v>4.5999999999999996</v>
      </c>
      <c r="N3196" s="381">
        <v>25</v>
      </c>
      <c r="O3196">
        <v>7</v>
      </c>
      <c r="P3196" t="s">
        <v>514</v>
      </c>
      <c r="Q3196" s="97" t="str">
        <f t="shared" si="416"/>
        <v/>
      </c>
      <c r="R3196" t="str">
        <f t="shared" si="419"/>
        <v/>
      </c>
    </row>
    <row r="3197" spans="3:18">
      <c r="C3197" t="str">
        <f t="shared" si="420"/>
        <v/>
      </c>
      <c r="D3197" s="36">
        <v>106</v>
      </c>
      <c r="E3197">
        <v>60</v>
      </c>
      <c r="F3197" s="366">
        <f t="shared" si="422"/>
        <v>1302</v>
      </c>
      <c r="G3197" s="97">
        <v>2132</v>
      </c>
      <c r="H3197" s="367">
        <f t="shared" si="417"/>
        <v>3434</v>
      </c>
      <c r="I3197" s="368">
        <f t="shared" si="418"/>
        <v>0</v>
      </c>
      <c r="J3197">
        <v>8292</v>
      </c>
      <c r="K3197" s="367">
        <f t="shared" si="421"/>
        <v>5922.8571428571431</v>
      </c>
      <c r="L3197" s="607">
        <v>0.17</v>
      </c>
      <c r="M3197">
        <v>4.5</v>
      </c>
      <c r="N3197" s="381">
        <v>19</v>
      </c>
      <c r="O3197">
        <v>8</v>
      </c>
      <c r="P3197" t="s">
        <v>515</v>
      </c>
      <c r="Q3197" s="97">
        <f t="shared" si="416"/>
        <v>106</v>
      </c>
      <c r="R3197" t="str">
        <f t="shared" si="419"/>
        <v/>
      </c>
    </row>
    <row r="3198" spans="3:18">
      <c r="C3198" t="str">
        <f t="shared" si="420"/>
        <v/>
      </c>
      <c r="D3198" s="36">
        <v>107</v>
      </c>
      <c r="E3198">
        <v>60</v>
      </c>
      <c r="F3198" s="366">
        <f t="shared" si="422"/>
        <v>1302</v>
      </c>
      <c r="G3198" s="97">
        <v>2359</v>
      </c>
      <c r="H3198" s="367">
        <f t="shared" si="417"/>
        <v>3661</v>
      </c>
      <c r="I3198" s="368">
        <f t="shared" si="418"/>
        <v>0</v>
      </c>
      <c r="J3198">
        <v>9174</v>
      </c>
      <c r="K3198" s="367">
        <f t="shared" si="421"/>
        <v>6552.8571428571431</v>
      </c>
      <c r="L3198" s="607">
        <v>0.45</v>
      </c>
      <c r="M3198">
        <v>4.5</v>
      </c>
      <c r="N3198" s="381">
        <v>23</v>
      </c>
      <c r="O3198">
        <v>8</v>
      </c>
      <c r="P3198" t="s">
        <v>514</v>
      </c>
      <c r="Q3198" s="97">
        <f t="shared" si="416"/>
        <v>107</v>
      </c>
      <c r="R3198" t="str">
        <f t="shared" si="419"/>
        <v/>
      </c>
    </row>
    <row r="3199" spans="3:18">
      <c r="C3199" t="str">
        <f t="shared" si="420"/>
        <v/>
      </c>
      <c r="D3199" s="36">
        <v>108</v>
      </c>
      <c r="E3199">
        <v>65</v>
      </c>
      <c r="F3199" s="366">
        <f t="shared" si="422"/>
        <v>1410.5</v>
      </c>
      <c r="G3199" s="97">
        <v>2076</v>
      </c>
      <c r="H3199" s="367">
        <f t="shared" si="417"/>
        <v>3486.5</v>
      </c>
      <c r="I3199" s="368">
        <f t="shared" si="418"/>
        <v>0</v>
      </c>
      <c r="J3199">
        <v>8075</v>
      </c>
      <c r="K3199" s="367">
        <f t="shared" si="421"/>
        <v>5767.8571428571431</v>
      </c>
      <c r="L3199" s="607">
        <v>0.73</v>
      </c>
      <c r="M3199">
        <v>5</v>
      </c>
      <c r="N3199" s="381">
        <v>26</v>
      </c>
      <c r="O3199">
        <v>4</v>
      </c>
      <c r="P3199" t="s">
        <v>515</v>
      </c>
      <c r="Q3199" s="97" t="str">
        <f t="shared" ref="Q3199:Q3262" si="423">IF(AND(H3199+1&gt;$E$4,L3199&lt;$L$4+0.01,M3199&lt;$M$4+0.01,K3199+1&gt;$F$4,E3199+1&gt;$J$4,N3199&lt;$K$4+1,O3199&lt;$P$4+1,C3199=""),D3199,"")</f>
        <v/>
      </c>
      <c r="R3199" t="str">
        <f t="shared" si="419"/>
        <v/>
      </c>
    </row>
    <row r="3200" spans="3:18">
      <c r="C3200" t="str">
        <f t="shared" si="420"/>
        <v>NL</v>
      </c>
      <c r="D3200" s="36">
        <v>109</v>
      </c>
      <c r="E3200">
        <v>65</v>
      </c>
      <c r="F3200" s="366">
        <f t="shared" si="422"/>
        <v>1410.5</v>
      </c>
      <c r="G3200" s="97">
        <v>2146</v>
      </c>
      <c r="H3200" s="367">
        <f t="shared" si="417"/>
        <v>3556.5</v>
      </c>
      <c r="I3200" s="368">
        <f t="shared" si="418"/>
        <v>0</v>
      </c>
      <c r="J3200">
        <v>8346</v>
      </c>
      <c r="K3200" s="367">
        <f t="shared" si="421"/>
        <v>5961.4285714285716</v>
      </c>
      <c r="L3200" s="607">
        <v>0.46</v>
      </c>
      <c r="M3200">
        <v>4.6999999999999993</v>
      </c>
      <c r="N3200" s="381">
        <v>24</v>
      </c>
      <c r="O3200">
        <v>5</v>
      </c>
      <c r="P3200" t="s">
        <v>515</v>
      </c>
      <c r="Q3200" s="97" t="str">
        <f t="shared" si="423"/>
        <v/>
      </c>
      <c r="R3200" t="str">
        <f t="shared" si="419"/>
        <v/>
      </c>
    </row>
    <row r="3201" spans="3:18">
      <c r="C3201" t="str">
        <f t="shared" si="420"/>
        <v/>
      </c>
      <c r="D3201" s="36">
        <v>110</v>
      </c>
      <c r="E3201">
        <v>65</v>
      </c>
      <c r="F3201" s="366">
        <f t="shared" si="422"/>
        <v>1410.5</v>
      </c>
      <c r="G3201" s="97">
        <v>2205</v>
      </c>
      <c r="H3201" s="367">
        <f t="shared" si="417"/>
        <v>3615.5</v>
      </c>
      <c r="I3201" s="368">
        <f t="shared" si="418"/>
        <v>0</v>
      </c>
      <c r="J3201">
        <v>8576</v>
      </c>
      <c r="K3201" s="367">
        <f t="shared" si="421"/>
        <v>6125.7142857142862</v>
      </c>
      <c r="L3201" s="607">
        <v>0.33</v>
      </c>
      <c r="M3201">
        <v>4.6999999999999993</v>
      </c>
      <c r="N3201" s="381">
        <v>22</v>
      </c>
      <c r="O3201">
        <v>6</v>
      </c>
      <c r="P3201" t="s">
        <v>515</v>
      </c>
      <c r="Q3201" s="97">
        <f t="shared" si="423"/>
        <v>110</v>
      </c>
      <c r="R3201" t="str">
        <f t="shared" si="419"/>
        <v/>
      </c>
    </row>
    <row r="3202" spans="3:18">
      <c r="C3202" t="str">
        <f t="shared" si="420"/>
        <v/>
      </c>
      <c r="D3202" s="36">
        <v>111</v>
      </c>
      <c r="E3202">
        <v>65</v>
      </c>
      <c r="F3202" s="366">
        <f t="shared" si="422"/>
        <v>1410.5</v>
      </c>
      <c r="G3202" s="97">
        <v>2430</v>
      </c>
      <c r="H3202" s="367">
        <f t="shared" si="417"/>
        <v>3840.5</v>
      </c>
      <c r="I3202" s="368">
        <f t="shared" si="418"/>
        <v>0</v>
      </c>
      <c r="J3202">
        <v>9452</v>
      </c>
      <c r="K3202" s="367">
        <f t="shared" si="421"/>
        <v>6751.4285714285716</v>
      </c>
      <c r="L3202" s="607">
        <v>0.96</v>
      </c>
      <c r="M3202">
        <v>4.6999999999999993</v>
      </c>
      <c r="N3202" s="381">
        <v>28</v>
      </c>
      <c r="O3202">
        <v>6</v>
      </c>
      <c r="P3202" t="s">
        <v>514</v>
      </c>
      <c r="Q3202" s="97" t="str">
        <f t="shared" si="423"/>
        <v/>
      </c>
      <c r="R3202" t="str">
        <f t="shared" si="419"/>
        <v/>
      </c>
    </row>
    <row r="3203" spans="3:18">
      <c r="C3203" t="str">
        <f t="shared" si="420"/>
        <v>NL</v>
      </c>
      <c r="D3203" s="36">
        <v>112</v>
      </c>
      <c r="E3203">
        <v>65</v>
      </c>
      <c r="F3203" s="366">
        <f t="shared" si="422"/>
        <v>1410.5</v>
      </c>
      <c r="G3203" s="97">
        <v>2234</v>
      </c>
      <c r="H3203" s="367">
        <f t="shared" si="417"/>
        <v>3644.5</v>
      </c>
      <c r="I3203" s="368">
        <f t="shared" si="418"/>
        <v>0</v>
      </c>
      <c r="J3203">
        <v>8691</v>
      </c>
      <c r="K3203" s="367">
        <f t="shared" si="421"/>
        <v>6207.8571428571431</v>
      </c>
      <c r="L3203" s="607">
        <v>0.25</v>
      </c>
      <c r="M3203">
        <v>4.5999999999999996</v>
      </c>
      <c r="N3203" s="381">
        <v>21</v>
      </c>
      <c r="O3203">
        <v>7</v>
      </c>
      <c r="P3203" t="s">
        <v>515</v>
      </c>
      <c r="Q3203" s="97" t="str">
        <f t="shared" si="423"/>
        <v/>
      </c>
      <c r="R3203" t="str">
        <f t="shared" si="419"/>
        <v/>
      </c>
    </row>
    <row r="3204" spans="3:18">
      <c r="C3204" t="str">
        <f t="shared" si="420"/>
        <v>NL</v>
      </c>
      <c r="D3204" s="36">
        <v>113</v>
      </c>
      <c r="E3204">
        <v>65</v>
      </c>
      <c r="F3204" s="366">
        <f t="shared" si="422"/>
        <v>1410.5</v>
      </c>
      <c r="G3204" s="97">
        <v>2466</v>
      </c>
      <c r="H3204" s="367">
        <f t="shared" si="417"/>
        <v>3876.5</v>
      </c>
      <c r="I3204" s="368">
        <f t="shared" si="418"/>
        <v>0</v>
      </c>
      <c r="J3204">
        <v>9592</v>
      </c>
      <c r="K3204" s="367">
        <f t="shared" si="421"/>
        <v>6851.4285714285716</v>
      </c>
      <c r="L3204" s="607">
        <v>0.69000000000000006</v>
      </c>
      <c r="M3204">
        <v>4.5999999999999996</v>
      </c>
      <c r="N3204" s="381">
        <v>26</v>
      </c>
      <c r="O3204">
        <v>7</v>
      </c>
      <c r="P3204" t="s">
        <v>514</v>
      </c>
      <c r="Q3204" s="97" t="str">
        <f t="shared" si="423"/>
        <v/>
      </c>
      <c r="R3204" t="str">
        <f t="shared" si="419"/>
        <v/>
      </c>
    </row>
    <row r="3205" spans="3:18">
      <c r="C3205" t="str">
        <f t="shared" si="420"/>
        <v/>
      </c>
      <c r="D3205" s="36">
        <v>114</v>
      </c>
      <c r="E3205">
        <v>65</v>
      </c>
      <c r="F3205" s="366">
        <f t="shared" si="422"/>
        <v>1410.5</v>
      </c>
      <c r="G3205" s="97">
        <v>2257</v>
      </c>
      <c r="H3205" s="367">
        <f t="shared" si="417"/>
        <v>3667.5</v>
      </c>
      <c r="I3205" s="368">
        <f t="shared" si="418"/>
        <v>0</v>
      </c>
      <c r="J3205">
        <v>8778</v>
      </c>
      <c r="K3205" s="367">
        <f t="shared" si="421"/>
        <v>6270</v>
      </c>
      <c r="L3205" s="607">
        <v>0.2</v>
      </c>
      <c r="M3205">
        <v>4.5</v>
      </c>
      <c r="N3205" s="381">
        <v>20</v>
      </c>
      <c r="O3205">
        <v>8</v>
      </c>
      <c r="P3205" t="s">
        <v>515</v>
      </c>
      <c r="Q3205" s="97">
        <f t="shared" si="423"/>
        <v>114</v>
      </c>
      <c r="R3205" t="str">
        <f t="shared" si="419"/>
        <v/>
      </c>
    </row>
    <row r="3206" spans="3:18">
      <c r="C3206" t="str">
        <f t="shared" si="420"/>
        <v/>
      </c>
      <c r="D3206" s="36">
        <v>115</v>
      </c>
      <c r="E3206">
        <v>65</v>
      </c>
      <c r="F3206" s="366">
        <f t="shared" si="422"/>
        <v>1410.5</v>
      </c>
      <c r="G3206" s="97">
        <v>2492</v>
      </c>
      <c r="H3206" s="367">
        <f t="shared" si="417"/>
        <v>3902.5</v>
      </c>
      <c r="I3206" s="368">
        <f t="shared" si="418"/>
        <v>0</v>
      </c>
      <c r="J3206">
        <v>9692</v>
      </c>
      <c r="K3206" s="367">
        <f t="shared" si="421"/>
        <v>6922.8571428571431</v>
      </c>
      <c r="L3206" s="607">
        <v>0.52</v>
      </c>
      <c r="M3206">
        <v>4.5</v>
      </c>
      <c r="N3206" s="381">
        <v>24</v>
      </c>
      <c r="O3206">
        <v>8</v>
      </c>
      <c r="P3206" t="s">
        <v>514</v>
      </c>
      <c r="Q3206" s="97">
        <f t="shared" si="423"/>
        <v>115</v>
      </c>
      <c r="R3206" t="str">
        <f t="shared" si="419"/>
        <v/>
      </c>
    </row>
    <row r="3207" spans="3:18">
      <c r="C3207" t="str">
        <f t="shared" si="420"/>
        <v/>
      </c>
      <c r="D3207" s="36">
        <v>116</v>
      </c>
      <c r="E3207">
        <v>70</v>
      </c>
      <c r="F3207" s="366">
        <f t="shared" si="422"/>
        <v>1519</v>
      </c>
      <c r="G3207" s="97">
        <v>2182</v>
      </c>
      <c r="H3207" s="367">
        <f t="shared" si="417"/>
        <v>3701</v>
      </c>
      <c r="I3207" s="368">
        <f t="shared" si="418"/>
        <v>0</v>
      </c>
      <c r="J3207">
        <v>8488</v>
      </c>
      <c r="K3207" s="367">
        <f t="shared" si="421"/>
        <v>6062.8571428571431</v>
      </c>
      <c r="L3207" s="607">
        <v>0.84</v>
      </c>
      <c r="M3207">
        <v>5</v>
      </c>
      <c r="N3207" s="381">
        <v>27</v>
      </c>
      <c r="O3207">
        <v>4</v>
      </c>
      <c r="P3207" t="s">
        <v>515</v>
      </c>
      <c r="Q3207" s="97" t="str">
        <f t="shared" si="423"/>
        <v/>
      </c>
      <c r="R3207" t="str">
        <f t="shared" si="419"/>
        <v/>
      </c>
    </row>
    <row r="3208" spans="3:18">
      <c r="C3208" t="str">
        <f t="shared" si="420"/>
        <v>NL</v>
      </c>
      <c r="D3208" s="36">
        <v>117</v>
      </c>
      <c r="E3208">
        <v>70</v>
      </c>
      <c r="F3208" s="366">
        <f t="shared" si="422"/>
        <v>1519</v>
      </c>
      <c r="G3208" s="97">
        <v>2257</v>
      </c>
      <c r="H3208" s="367">
        <f t="shared" si="417"/>
        <v>3776</v>
      </c>
      <c r="I3208" s="368">
        <f t="shared" si="418"/>
        <v>0</v>
      </c>
      <c r="J3208">
        <v>8777</v>
      </c>
      <c r="K3208" s="367">
        <f t="shared" si="421"/>
        <v>6269.2857142857147</v>
      </c>
      <c r="L3208" s="607">
        <v>0.54</v>
      </c>
      <c r="M3208">
        <v>4.6999999999999993</v>
      </c>
      <c r="N3208" s="381">
        <v>25</v>
      </c>
      <c r="O3208">
        <v>5</v>
      </c>
      <c r="P3208" t="s">
        <v>515</v>
      </c>
      <c r="Q3208" s="97" t="str">
        <f t="shared" si="423"/>
        <v/>
      </c>
      <c r="R3208" t="str">
        <f t="shared" si="419"/>
        <v/>
      </c>
    </row>
    <row r="3209" spans="3:18">
      <c r="C3209" t="str">
        <f t="shared" si="420"/>
        <v/>
      </c>
      <c r="D3209" s="36">
        <v>118</v>
      </c>
      <c r="E3209">
        <v>70</v>
      </c>
      <c r="F3209" s="366">
        <f t="shared" si="422"/>
        <v>1519</v>
      </c>
      <c r="G3209" s="97">
        <v>2319</v>
      </c>
      <c r="H3209" s="367">
        <f t="shared" si="417"/>
        <v>3838</v>
      </c>
      <c r="I3209" s="368">
        <f t="shared" si="418"/>
        <v>0</v>
      </c>
      <c r="J3209">
        <v>9021</v>
      </c>
      <c r="K3209" s="367">
        <f t="shared" si="421"/>
        <v>6443.5714285714284</v>
      </c>
      <c r="L3209" s="607">
        <v>0.38</v>
      </c>
      <c r="M3209">
        <v>4.6999999999999993</v>
      </c>
      <c r="N3209" s="381">
        <v>23</v>
      </c>
      <c r="O3209">
        <v>6</v>
      </c>
      <c r="P3209" t="s">
        <v>515</v>
      </c>
      <c r="Q3209" s="97">
        <f t="shared" si="423"/>
        <v>118</v>
      </c>
      <c r="R3209" t="str">
        <f t="shared" si="419"/>
        <v/>
      </c>
    </row>
    <row r="3210" spans="3:18">
      <c r="C3210" t="str">
        <f t="shared" si="420"/>
        <v/>
      </c>
      <c r="D3210" s="36">
        <v>119</v>
      </c>
      <c r="E3210">
        <v>70</v>
      </c>
      <c r="F3210" s="366">
        <f t="shared" si="422"/>
        <v>1519</v>
      </c>
      <c r="G3210" s="97">
        <v>2551</v>
      </c>
      <c r="H3210" s="367">
        <f t="shared" si="417"/>
        <v>4070</v>
      </c>
      <c r="I3210" s="368">
        <f t="shared" si="418"/>
        <v>0</v>
      </c>
      <c r="J3210">
        <v>9922</v>
      </c>
      <c r="K3210" s="367">
        <f t="shared" si="421"/>
        <v>7087.1428571428569</v>
      </c>
      <c r="L3210" s="607">
        <v>1.1100000000000001</v>
      </c>
      <c r="M3210">
        <v>4.6999999999999993</v>
      </c>
      <c r="N3210" s="381">
        <v>29</v>
      </c>
      <c r="O3210">
        <v>6</v>
      </c>
      <c r="P3210" t="s">
        <v>514</v>
      </c>
      <c r="Q3210" s="97" t="str">
        <f t="shared" si="423"/>
        <v/>
      </c>
      <c r="R3210" t="str">
        <f t="shared" si="419"/>
        <v/>
      </c>
    </row>
    <row r="3211" spans="3:18">
      <c r="C3211" t="str">
        <f t="shared" si="420"/>
        <v>NL</v>
      </c>
      <c r="D3211" s="36">
        <v>120</v>
      </c>
      <c r="E3211">
        <v>70</v>
      </c>
      <c r="F3211" s="366">
        <f t="shared" si="422"/>
        <v>1519</v>
      </c>
      <c r="G3211" s="97">
        <v>2353</v>
      </c>
      <c r="H3211" s="367">
        <f t="shared" si="417"/>
        <v>3872</v>
      </c>
      <c r="I3211" s="368">
        <f t="shared" si="418"/>
        <v>0</v>
      </c>
      <c r="J3211">
        <v>9151</v>
      </c>
      <c r="K3211" s="367">
        <f t="shared" si="421"/>
        <v>6536.4285714285716</v>
      </c>
      <c r="L3211" s="607">
        <v>0.29000000000000004</v>
      </c>
      <c r="M3211">
        <v>4.5999999999999996</v>
      </c>
      <c r="N3211" s="381">
        <v>22</v>
      </c>
      <c r="O3211">
        <v>7</v>
      </c>
      <c r="P3211" t="s">
        <v>515</v>
      </c>
      <c r="Q3211" s="97" t="str">
        <f t="shared" si="423"/>
        <v/>
      </c>
      <c r="R3211" t="str">
        <f t="shared" si="419"/>
        <v/>
      </c>
    </row>
    <row r="3212" spans="3:18">
      <c r="C3212" t="str">
        <f t="shared" si="420"/>
        <v>NL</v>
      </c>
      <c r="D3212" s="36">
        <v>121</v>
      </c>
      <c r="E3212">
        <v>70</v>
      </c>
      <c r="F3212" s="366">
        <f t="shared" si="422"/>
        <v>1519</v>
      </c>
      <c r="G3212" s="97">
        <v>2589</v>
      </c>
      <c r="H3212" s="367">
        <f t="shared" si="417"/>
        <v>4108</v>
      </c>
      <c r="I3212" s="368">
        <f t="shared" si="418"/>
        <v>0</v>
      </c>
      <c r="J3212">
        <v>10070</v>
      </c>
      <c r="K3212" s="367">
        <f t="shared" si="421"/>
        <v>7192.8571428571431</v>
      </c>
      <c r="L3212" s="607">
        <v>0.8</v>
      </c>
      <c r="M3212">
        <v>4.5999999999999996</v>
      </c>
      <c r="N3212" s="381">
        <v>27</v>
      </c>
      <c r="O3212">
        <v>7</v>
      </c>
      <c r="P3212" t="s">
        <v>514</v>
      </c>
      <c r="Q3212" s="97" t="str">
        <f t="shared" si="423"/>
        <v/>
      </c>
      <c r="R3212" t="str">
        <f t="shared" si="419"/>
        <v/>
      </c>
    </row>
    <row r="3213" spans="3:18">
      <c r="C3213" t="str">
        <f t="shared" si="420"/>
        <v/>
      </c>
      <c r="D3213" s="36">
        <v>122</v>
      </c>
      <c r="E3213">
        <v>70</v>
      </c>
      <c r="F3213" s="366">
        <f t="shared" si="422"/>
        <v>1519</v>
      </c>
      <c r="G3213" s="97">
        <v>2376</v>
      </c>
      <c r="H3213" s="367">
        <f t="shared" si="417"/>
        <v>3895</v>
      </c>
      <c r="I3213" s="368">
        <f t="shared" si="418"/>
        <v>0</v>
      </c>
      <c r="J3213">
        <v>9243</v>
      </c>
      <c r="K3213" s="367">
        <f t="shared" si="421"/>
        <v>6602.1428571428569</v>
      </c>
      <c r="L3213" s="607">
        <v>0.23</v>
      </c>
      <c r="M3213">
        <v>4.5</v>
      </c>
      <c r="N3213" s="381">
        <v>21</v>
      </c>
      <c r="O3213">
        <v>8</v>
      </c>
      <c r="P3213" t="s">
        <v>515</v>
      </c>
      <c r="Q3213" s="97">
        <f t="shared" si="423"/>
        <v>122</v>
      </c>
      <c r="R3213" t="str">
        <f t="shared" si="419"/>
        <v/>
      </c>
    </row>
    <row r="3214" spans="3:18">
      <c r="C3214" t="str">
        <f t="shared" si="420"/>
        <v/>
      </c>
      <c r="D3214" s="36">
        <v>123</v>
      </c>
      <c r="E3214">
        <v>70</v>
      </c>
      <c r="F3214" s="366">
        <f t="shared" si="422"/>
        <v>1519</v>
      </c>
      <c r="G3214" s="97">
        <v>2614</v>
      </c>
      <c r="H3214" s="367">
        <f t="shared" si="417"/>
        <v>4133</v>
      </c>
      <c r="I3214" s="368">
        <f t="shared" si="418"/>
        <v>0</v>
      </c>
      <c r="J3214">
        <v>10166</v>
      </c>
      <c r="K3214" s="367">
        <f t="shared" si="421"/>
        <v>7261.4285714285716</v>
      </c>
      <c r="L3214" s="607">
        <v>0.61</v>
      </c>
      <c r="M3214">
        <v>4.5</v>
      </c>
      <c r="N3214" s="381">
        <v>25</v>
      </c>
      <c r="O3214">
        <v>8</v>
      </c>
      <c r="P3214" t="s">
        <v>514</v>
      </c>
      <c r="Q3214" s="97">
        <f t="shared" si="423"/>
        <v>123</v>
      </c>
      <c r="R3214" t="str">
        <f t="shared" si="419"/>
        <v/>
      </c>
    </row>
    <row r="3215" spans="3:18">
      <c r="C3215" t="str">
        <f t="shared" si="420"/>
        <v/>
      </c>
      <c r="D3215" s="36">
        <v>124</v>
      </c>
      <c r="E3215">
        <v>75</v>
      </c>
      <c r="F3215" s="366">
        <f t="shared" si="422"/>
        <v>1627.5</v>
      </c>
      <c r="G3215" s="97">
        <v>2284</v>
      </c>
      <c r="H3215" s="367">
        <f t="shared" si="417"/>
        <v>3911.5</v>
      </c>
      <c r="I3215" s="368">
        <f t="shared" si="418"/>
        <v>0</v>
      </c>
      <c r="J3215">
        <v>8884</v>
      </c>
      <c r="K3215" s="367">
        <f t="shared" si="421"/>
        <v>6345.7142857142862</v>
      </c>
      <c r="L3215" s="607">
        <v>0.94000000000000006</v>
      </c>
      <c r="M3215">
        <v>5</v>
      </c>
      <c r="N3215" s="381">
        <v>28</v>
      </c>
      <c r="O3215">
        <v>4</v>
      </c>
      <c r="P3215" t="s">
        <v>515</v>
      </c>
      <c r="Q3215" s="97" t="str">
        <f t="shared" si="423"/>
        <v/>
      </c>
      <c r="R3215" t="str">
        <f t="shared" si="419"/>
        <v/>
      </c>
    </row>
    <row r="3216" spans="3:18">
      <c r="C3216" t="str">
        <f t="shared" si="420"/>
        <v>NL</v>
      </c>
      <c r="D3216" s="36">
        <v>125</v>
      </c>
      <c r="E3216">
        <v>75</v>
      </c>
      <c r="F3216" s="366">
        <f t="shared" si="422"/>
        <v>1627.5</v>
      </c>
      <c r="G3216" s="97">
        <v>2363</v>
      </c>
      <c r="H3216" s="367">
        <f t="shared" si="417"/>
        <v>3990.5</v>
      </c>
      <c r="I3216" s="368">
        <f t="shared" si="418"/>
        <v>0</v>
      </c>
      <c r="J3216">
        <v>9191</v>
      </c>
      <c r="K3216" s="367">
        <f t="shared" si="421"/>
        <v>6565</v>
      </c>
      <c r="L3216" s="607">
        <v>0.59</v>
      </c>
      <c r="M3216">
        <v>4.6999999999999993</v>
      </c>
      <c r="N3216" s="381">
        <v>26</v>
      </c>
      <c r="O3216">
        <v>5</v>
      </c>
      <c r="P3216" t="s">
        <v>515</v>
      </c>
      <c r="Q3216" s="97" t="str">
        <f t="shared" si="423"/>
        <v/>
      </c>
      <c r="R3216" t="str">
        <f t="shared" si="419"/>
        <v/>
      </c>
    </row>
    <row r="3217" spans="3:18">
      <c r="C3217" t="str">
        <f t="shared" si="420"/>
        <v/>
      </c>
      <c r="D3217" s="36">
        <v>126</v>
      </c>
      <c r="E3217">
        <v>75</v>
      </c>
      <c r="F3217" s="366">
        <f t="shared" si="422"/>
        <v>1627.5</v>
      </c>
      <c r="G3217" s="97">
        <v>2431</v>
      </c>
      <c r="H3217" s="367">
        <f t="shared" si="417"/>
        <v>4058.5</v>
      </c>
      <c r="I3217" s="368">
        <f t="shared" si="418"/>
        <v>0</v>
      </c>
      <c r="J3217">
        <v>9453</v>
      </c>
      <c r="K3217" s="367">
        <f t="shared" si="421"/>
        <v>6752.1428571428569</v>
      </c>
      <c r="L3217" s="607">
        <v>0.41000000000000003</v>
      </c>
      <c r="M3217">
        <v>4.6999999999999993</v>
      </c>
      <c r="N3217" s="381">
        <v>24</v>
      </c>
      <c r="O3217">
        <v>6</v>
      </c>
      <c r="P3217" t="s">
        <v>515</v>
      </c>
      <c r="Q3217" s="97">
        <f t="shared" si="423"/>
        <v>126</v>
      </c>
      <c r="R3217" t="str">
        <f t="shared" si="419"/>
        <v/>
      </c>
    </row>
    <row r="3218" spans="3:18">
      <c r="C3218" t="str">
        <f t="shared" si="420"/>
        <v>NL</v>
      </c>
      <c r="D3218" s="36">
        <v>127</v>
      </c>
      <c r="E3218">
        <v>75</v>
      </c>
      <c r="F3218" s="366">
        <f t="shared" si="422"/>
        <v>1627.5</v>
      </c>
      <c r="G3218" s="97">
        <v>2466</v>
      </c>
      <c r="H3218" s="367">
        <f t="shared" si="417"/>
        <v>4093.5</v>
      </c>
      <c r="I3218" s="368">
        <f t="shared" si="418"/>
        <v>0</v>
      </c>
      <c r="J3218">
        <v>9592</v>
      </c>
      <c r="K3218" s="367">
        <f t="shared" si="421"/>
        <v>6851.4285714285716</v>
      </c>
      <c r="L3218" s="607">
        <v>0.3</v>
      </c>
      <c r="M3218">
        <v>4.5999999999999996</v>
      </c>
      <c r="N3218" s="381">
        <v>22</v>
      </c>
      <c r="O3218">
        <v>7</v>
      </c>
      <c r="P3218" t="s">
        <v>515</v>
      </c>
      <c r="Q3218" s="97" t="str">
        <f t="shared" si="423"/>
        <v/>
      </c>
      <c r="R3218" t="str">
        <f t="shared" si="419"/>
        <v/>
      </c>
    </row>
    <row r="3219" spans="3:18">
      <c r="C3219" t="str">
        <f t="shared" si="420"/>
        <v>NL</v>
      </c>
      <c r="D3219" s="36">
        <v>128</v>
      </c>
      <c r="E3219">
        <v>75</v>
      </c>
      <c r="F3219" s="366">
        <f t="shared" si="422"/>
        <v>1627.5</v>
      </c>
      <c r="G3219" s="97">
        <v>2706</v>
      </c>
      <c r="H3219" s="367">
        <f t="shared" si="417"/>
        <v>4333.5</v>
      </c>
      <c r="I3219" s="368">
        <f t="shared" si="418"/>
        <v>0</v>
      </c>
      <c r="J3219">
        <v>10526</v>
      </c>
      <c r="K3219" s="367">
        <f t="shared" si="421"/>
        <v>7518.5714285714284</v>
      </c>
      <c r="L3219" s="607">
        <v>0.89</v>
      </c>
      <c r="M3219">
        <v>4.5999999999999996</v>
      </c>
      <c r="N3219" s="381">
        <v>27</v>
      </c>
      <c r="O3219">
        <v>7</v>
      </c>
      <c r="P3219" t="s">
        <v>514</v>
      </c>
      <c r="Q3219" s="97" t="str">
        <f t="shared" si="423"/>
        <v/>
      </c>
      <c r="R3219" t="str">
        <f t="shared" si="419"/>
        <v/>
      </c>
    </row>
    <row r="3220" spans="3:18">
      <c r="C3220" t="str">
        <f t="shared" si="420"/>
        <v/>
      </c>
      <c r="D3220" s="36">
        <v>129</v>
      </c>
      <c r="E3220">
        <v>75</v>
      </c>
      <c r="F3220" s="366">
        <f t="shared" si="422"/>
        <v>1627.5</v>
      </c>
      <c r="G3220" s="97">
        <v>2490</v>
      </c>
      <c r="H3220" s="367">
        <f t="shared" si="417"/>
        <v>4117.5</v>
      </c>
      <c r="I3220" s="368">
        <f t="shared" si="418"/>
        <v>0</v>
      </c>
      <c r="J3220">
        <v>9686</v>
      </c>
      <c r="K3220" s="367">
        <f t="shared" si="421"/>
        <v>6918.5714285714284</v>
      </c>
      <c r="L3220" s="607">
        <v>0.23</v>
      </c>
      <c r="M3220">
        <v>4.5</v>
      </c>
      <c r="N3220" s="381">
        <v>21</v>
      </c>
      <c r="O3220">
        <v>8</v>
      </c>
      <c r="P3220" t="s">
        <v>515</v>
      </c>
      <c r="Q3220" s="97">
        <f t="shared" si="423"/>
        <v>129</v>
      </c>
      <c r="R3220" t="str">
        <f t="shared" si="419"/>
        <v/>
      </c>
    </row>
    <row r="3221" spans="3:18">
      <c r="C3221" t="str">
        <f t="shared" si="420"/>
        <v/>
      </c>
      <c r="D3221" s="36">
        <v>130</v>
      </c>
      <c r="E3221">
        <v>75</v>
      </c>
      <c r="F3221" s="366">
        <f t="shared" si="422"/>
        <v>1627.5</v>
      </c>
      <c r="G3221" s="97">
        <v>2733</v>
      </c>
      <c r="H3221" s="367">
        <f t="shared" ref="H3221:H3275" si="424">(G3221*$U$7)+F3221</f>
        <v>4360.5</v>
      </c>
      <c r="I3221" s="368">
        <f t="shared" ref="I3221:I3275" si="425">1.085*($C$2-$D$2)*E3221*$T$7</f>
        <v>0</v>
      </c>
      <c r="J3221">
        <v>10631</v>
      </c>
      <c r="K3221" s="367">
        <f t="shared" si="421"/>
        <v>7593.5714285714284</v>
      </c>
      <c r="L3221" s="607">
        <v>0.67</v>
      </c>
      <c r="M3221">
        <v>4.5</v>
      </c>
      <c r="N3221" s="381">
        <v>25</v>
      </c>
      <c r="O3221">
        <v>8</v>
      </c>
      <c r="P3221" t="s">
        <v>514</v>
      </c>
      <c r="Q3221" s="97">
        <f t="shared" si="423"/>
        <v>130</v>
      </c>
      <c r="R3221" t="str">
        <f t="shared" ref="R3221:R3275" si="426">IF(Q3221="","",IF(AND(O3221&lt;$X$28,E3221&gt;$U$28,E3221&lt;$Q$4+$U$28+1),D3221,""))</f>
        <v/>
      </c>
    </row>
    <row r="3222" spans="3:18">
      <c r="C3222" t="str">
        <f t="shared" ref="C3222:C3285" si="427">IF(OR($O$4=0,O3222-$O$4=0),IF(AND(ISEVEN(O3222)=FALSE,$N$4="Even"),"NL",""),"NL")</f>
        <v/>
      </c>
      <c r="D3222" s="36">
        <v>131</v>
      </c>
      <c r="E3222">
        <v>80</v>
      </c>
      <c r="F3222" s="366">
        <f t="shared" si="422"/>
        <v>1736</v>
      </c>
      <c r="G3222" s="97">
        <v>2293</v>
      </c>
      <c r="H3222" s="367">
        <f t="shared" si="424"/>
        <v>4029</v>
      </c>
      <c r="I3222" s="368">
        <f t="shared" si="425"/>
        <v>0</v>
      </c>
      <c r="J3222">
        <v>8918</v>
      </c>
      <c r="K3222" s="367">
        <f t="shared" ref="K3222:K3285" si="428">(J3222*$V$7)-I3222</f>
        <v>6370</v>
      </c>
      <c r="L3222" s="607">
        <v>1.07</v>
      </c>
      <c r="M3222">
        <v>5</v>
      </c>
      <c r="N3222" s="381">
        <v>29</v>
      </c>
      <c r="O3222">
        <v>4</v>
      </c>
      <c r="P3222" t="s">
        <v>515</v>
      </c>
      <c r="Q3222" s="97" t="str">
        <f t="shared" si="423"/>
        <v/>
      </c>
      <c r="R3222" t="str">
        <f t="shared" si="426"/>
        <v/>
      </c>
    </row>
    <row r="3223" spans="3:18">
      <c r="C3223" t="str">
        <f t="shared" si="427"/>
        <v>NL</v>
      </c>
      <c r="D3223" s="36">
        <v>132</v>
      </c>
      <c r="E3223">
        <v>80</v>
      </c>
      <c r="F3223" s="366">
        <f t="shared" si="422"/>
        <v>1736</v>
      </c>
      <c r="G3223" s="97">
        <v>2465</v>
      </c>
      <c r="H3223" s="367">
        <f t="shared" si="424"/>
        <v>4201</v>
      </c>
      <c r="I3223" s="368">
        <f t="shared" si="425"/>
        <v>0</v>
      </c>
      <c r="J3223">
        <v>9589</v>
      </c>
      <c r="K3223" s="367">
        <f t="shared" si="428"/>
        <v>6849.2857142857147</v>
      </c>
      <c r="L3223" s="607">
        <v>0.67</v>
      </c>
      <c r="M3223">
        <v>4.6999999999999993</v>
      </c>
      <c r="N3223" s="381">
        <v>27</v>
      </c>
      <c r="O3223">
        <v>5</v>
      </c>
      <c r="P3223" t="s">
        <v>515</v>
      </c>
      <c r="Q3223" s="97" t="str">
        <f t="shared" si="423"/>
        <v/>
      </c>
      <c r="R3223" t="str">
        <f t="shared" si="426"/>
        <v/>
      </c>
    </row>
    <row r="3224" spans="3:18">
      <c r="C3224" t="str">
        <f t="shared" si="427"/>
        <v/>
      </c>
      <c r="D3224" s="36">
        <v>133</v>
      </c>
      <c r="E3224">
        <v>80</v>
      </c>
      <c r="F3224" s="366">
        <f t="shared" si="422"/>
        <v>1736</v>
      </c>
      <c r="G3224" s="97">
        <v>2538</v>
      </c>
      <c r="H3224" s="367">
        <f t="shared" si="424"/>
        <v>4274</v>
      </c>
      <c r="I3224" s="368">
        <f t="shared" si="425"/>
        <v>0</v>
      </c>
      <c r="J3224">
        <v>9872</v>
      </c>
      <c r="K3224" s="367">
        <f t="shared" si="428"/>
        <v>7051.4285714285716</v>
      </c>
      <c r="L3224" s="607">
        <v>0.46</v>
      </c>
      <c r="M3224">
        <v>4.6999999999999993</v>
      </c>
      <c r="N3224" s="381">
        <v>25</v>
      </c>
      <c r="O3224">
        <v>6</v>
      </c>
      <c r="P3224" t="s">
        <v>515</v>
      </c>
      <c r="Q3224" s="97">
        <f t="shared" si="423"/>
        <v>133</v>
      </c>
      <c r="R3224" t="str">
        <f t="shared" si="426"/>
        <v/>
      </c>
    </row>
    <row r="3225" spans="3:18">
      <c r="C3225" t="str">
        <f t="shared" si="427"/>
        <v>NL</v>
      </c>
      <c r="D3225" s="36">
        <v>134</v>
      </c>
      <c r="E3225">
        <v>80</v>
      </c>
      <c r="F3225" s="366">
        <f t="shared" si="422"/>
        <v>1736</v>
      </c>
      <c r="G3225" s="97">
        <v>2574</v>
      </c>
      <c r="H3225" s="367">
        <f t="shared" si="424"/>
        <v>4310</v>
      </c>
      <c r="I3225" s="368">
        <f t="shared" si="425"/>
        <v>0</v>
      </c>
      <c r="J3225">
        <v>10012</v>
      </c>
      <c r="K3225" s="367">
        <f t="shared" si="428"/>
        <v>7151.4285714285716</v>
      </c>
      <c r="L3225" s="607">
        <v>0.34</v>
      </c>
      <c r="M3225">
        <v>4.5999999999999996</v>
      </c>
      <c r="N3225" s="381">
        <v>23</v>
      </c>
      <c r="O3225">
        <v>7</v>
      </c>
      <c r="P3225" t="s">
        <v>515</v>
      </c>
      <c r="Q3225" s="97" t="str">
        <f t="shared" si="423"/>
        <v/>
      </c>
      <c r="R3225" t="str">
        <f t="shared" si="426"/>
        <v/>
      </c>
    </row>
    <row r="3226" spans="3:18">
      <c r="C3226" t="str">
        <f t="shared" si="427"/>
        <v>NL</v>
      </c>
      <c r="D3226" s="36">
        <v>135</v>
      </c>
      <c r="E3226">
        <v>80</v>
      </c>
      <c r="F3226" s="366">
        <f t="shared" si="422"/>
        <v>1736</v>
      </c>
      <c r="G3226" s="97">
        <v>2820</v>
      </c>
      <c r="H3226" s="367">
        <f t="shared" si="424"/>
        <v>4556</v>
      </c>
      <c r="I3226" s="368">
        <f t="shared" si="425"/>
        <v>0</v>
      </c>
      <c r="J3226">
        <v>10968</v>
      </c>
      <c r="K3226" s="367">
        <f t="shared" si="428"/>
        <v>7834.2857142857147</v>
      </c>
      <c r="L3226" s="607">
        <v>1.01</v>
      </c>
      <c r="M3226">
        <v>4.5999999999999996</v>
      </c>
      <c r="N3226" s="381">
        <v>28</v>
      </c>
      <c r="O3226">
        <v>7</v>
      </c>
      <c r="P3226" t="s">
        <v>514</v>
      </c>
      <c r="Q3226" s="97" t="str">
        <f t="shared" si="423"/>
        <v/>
      </c>
      <c r="R3226" t="str">
        <f t="shared" si="426"/>
        <v/>
      </c>
    </row>
    <row r="3227" spans="3:18">
      <c r="C3227" t="str">
        <f t="shared" si="427"/>
        <v/>
      </c>
      <c r="D3227" s="36">
        <v>136</v>
      </c>
      <c r="E3227">
        <v>80</v>
      </c>
      <c r="F3227" s="366">
        <f t="shared" si="422"/>
        <v>1736</v>
      </c>
      <c r="G3227" s="97">
        <v>2600</v>
      </c>
      <c r="H3227" s="367">
        <f t="shared" si="424"/>
        <v>4336</v>
      </c>
      <c r="I3227" s="368">
        <f t="shared" si="425"/>
        <v>0</v>
      </c>
      <c r="J3227">
        <v>10114</v>
      </c>
      <c r="K3227" s="367">
        <f t="shared" si="428"/>
        <v>7224.2857142857147</v>
      </c>
      <c r="L3227" s="607">
        <v>0.26</v>
      </c>
      <c r="M3227">
        <v>4.5</v>
      </c>
      <c r="N3227" s="381">
        <v>22</v>
      </c>
      <c r="O3227">
        <v>8</v>
      </c>
      <c r="P3227" t="s">
        <v>515</v>
      </c>
      <c r="Q3227" s="97">
        <f t="shared" si="423"/>
        <v>136</v>
      </c>
      <c r="R3227" t="str">
        <f t="shared" si="426"/>
        <v/>
      </c>
    </row>
    <row r="3228" spans="3:18">
      <c r="C3228" t="str">
        <f t="shared" si="427"/>
        <v/>
      </c>
      <c r="D3228" s="36">
        <v>137</v>
      </c>
      <c r="E3228">
        <v>80</v>
      </c>
      <c r="F3228" s="366">
        <f t="shared" si="422"/>
        <v>1736</v>
      </c>
      <c r="G3228" s="97">
        <v>2846</v>
      </c>
      <c r="H3228" s="367">
        <f t="shared" si="424"/>
        <v>4582</v>
      </c>
      <c r="I3228" s="368">
        <f t="shared" si="425"/>
        <v>0</v>
      </c>
      <c r="J3228">
        <v>11068</v>
      </c>
      <c r="K3228" s="367">
        <f t="shared" si="428"/>
        <v>7905.7142857142862</v>
      </c>
      <c r="L3228" s="607">
        <v>0.76</v>
      </c>
      <c r="M3228">
        <v>4.5</v>
      </c>
      <c r="N3228" s="381">
        <v>26</v>
      </c>
      <c r="O3228">
        <v>8</v>
      </c>
      <c r="P3228" t="s">
        <v>514</v>
      </c>
      <c r="Q3228" s="97" t="str">
        <f t="shared" si="423"/>
        <v/>
      </c>
      <c r="R3228" t="str">
        <f t="shared" si="426"/>
        <v/>
      </c>
    </row>
    <row r="3229" spans="3:18">
      <c r="C3229" t="str">
        <f t="shared" si="427"/>
        <v>NL</v>
      </c>
      <c r="D3229" s="36">
        <v>138</v>
      </c>
      <c r="E3229">
        <v>85</v>
      </c>
      <c r="F3229" s="366">
        <f t="shared" si="422"/>
        <v>1844.5</v>
      </c>
      <c r="G3229" s="97">
        <v>2564</v>
      </c>
      <c r="H3229" s="367">
        <f t="shared" si="424"/>
        <v>4408.5</v>
      </c>
      <c r="I3229" s="368">
        <f t="shared" si="425"/>
        <v>0</v>
      </c>
      <c r="J3229">
        <v>9974</v>
      </c>
      <c r="K3229" s="367">
        <f t="shared" si="428"/>
        <v>7124.2857142857147</v>
      </c>
      <c r="L3229" s="607">
        <v>0.75</v>
      </c>
      <c r="M3229">
        <v>4.6999999999999993</v>
      </c>
      <c r="N3229" s="381">
        <v>27</v>
      </c>
      <c r="O3229">
        <v>5</v>
      </c>
      <c r="P3229" t="s">
        <v>515</v>
      </c>
      <c r="Q3229" s="97" t="str">
        <f t="shared" si="423"/>
        <v/>
      </c>
      <c r="R3229" t="str">
        <f t="shared" si="426"/>
        <v/>
      </c>
    </row>
    <row r="3230" spans="3:18">
      <c r="C3230" t="str">
        <f t="shared" si="427"/>
        <v/>
      </c>
      <c r="D3230" s="36">
        <v>139</v>
      </c>
      <c r="E3230">
        <v>85</v>
      </c>
      <c r="F3230" s="366">
        <f t="shared" si="422"/>
        <v>1844.5</v>
      </c>
      <c r="G3230" s="97">
        <v>2640</v>
      </c>
      <c r="H3230" s="367">
        <f t="shared" si="424"/>
        <v>4484.5</v>
      </c>
      <c r="I3230" s="368">
        <f t="shared" si="425"/>
        <v>0</v>
      </c>
      <c r="J3230">
        <v>10267</v>
      </c>
      <c r="K3230" s="367">
        <f t="shared" si="428"/>
        <v>7333.5714285714284</v>
      </c>
      <c r="L3230" s="607">
        <v>0.52</v>
      </c>
      <c r="M3230">
        <v>4.6999999999999993</v>
      </c>
      <c r="N3230" s="381">
        <v>25</v>
      </c>
      <c r="O3230">
        <v>6</v>
      </c>
      <c r="P3230" t="s">
        <v>515</v>
      </c>
      <c r="Q3230" s="97">
        <f t="shared" si="423"/>
        <v>139</v>
      </c>
      <c r="R3230" t="str">
        <f t="shared" si="426"/>
        <v/>
      </c>
    </row>
    <row r="3231" spans="3:18">
      <c r="C3231" t="str">
        <f t="shared" si="427"/>
        <v>NL</v>
      </c>
      <c r="D3231" s="36">
        <v>140</v>
      </c>
      <c r="E3231">
        <v>85</v>
      </c>
      <c r="F3231" s="366">
        <f t="shared" si="422"/>
        <v>1844.5</v>
      </c>
      <c r="G3231" s="97">
        <v>2679</v>
      </c>
      <c r="H3231" s="367">
        <f t="shared" si="424"/>
        <v>4523.5</v>
      </c>
      <c r="I3231" s="368">
        <f t="shared" si="425"/>
        <v>0</v>
      </c>
      <c r="J3231">
        <v>10421</v>
      </c>
      <c r="K3231" s="367">
        <f t="shared" si="428"/>
        <v>7443.5714285714284</v>
      </c>
      <c r="L3231" s="607">
        <v>0.38</v>
      </c>
      <c r="M3231">
        <v>4.5999999999999996</v>
      </c>
      <c r="N3231" s="381">
        <v>24</v>
      </c>
      <c r="O3231">
        <v>7</v>
      </c>
      <c r="P3231" t="s">
        <v>515</v>
      </c>
      <c r="Q3231" s="97" t="str">
        <f t="shared" si="423"/>
        <v/>
      </c>
      <c r="R3231" t="str">
        <f t="shared" si="426"/>
        <v/>
      </c>
    </row>
    <row r="3232" spans="3:18">
      <c r="C3232" t="str">
        <f t="shared" si="427"/>
        <v/>
      </c>
      <c r="D3232" s="36">
        <v>141</v>
      </c>
      <c r="E3232">
        <v>85</v>
      </c>
      <c r="F3232" s="366">
        <f t="shared" si="422"/>
        <v>1844.5</v>
      </c>
      <c r="G3232" s="97">
        <v>2705</v>
      </c>
      <c r="H3232" s="367">
        <f t="shared" si="424"/>
        <v>4549.5</v>
      </c>
      <c r="I3232" s="368">
        <f t="shared" si="425"/>
        <v>0</v>
      </c>
      <c r="J3232">
        <v>10520</v>
      </c>
      <c r="K3232" s="367">
        <f t="shared" si="428"/>
        <v>7514.2857142857147</v>
      </c>
      <c r="L3232" s="607">
        <v>0.3</v>
      </c>
      <c r="M3232">
        <v>4.5</v>
      </c>
      <c r="N3232" s="381">
        <v>23</v>
      </c>
      <c r="O3232">
        <v>8</v>
      </c>
      <c r="P3232" t="s">
        <v>515</v>
      </c>
      <c r="Q3232" s="97">
        <f t="shared" si="423"/>
        <v>141</v>
      </c>
      <c r="R3232" t="str">
        <f t="shared" si="426"/>
        <v/>
      </c>
    </row>
    <row r="3233" spans="3:18">
      <c r="C3233" t="str">
        <f t="shared" si="427"/>
        <v/>
      </c>
      <c r="D3233" s="36">
        <v>142</v>
      </c>
      <c r="E3233">
        <v>85</v>
      </c>
      <c r="F3233" s="366">
        <f t="shared" si="422"/>
        <v>1844.5</v>
      </c>
      <c r="G3233" s="97">
        <v>2954</v>
      </c>
      <c r="H3233" s="367">
        <f t="shared" si="424"/>
        <v>4798.5</v>
      </c>
      <c r="I3233" s="368">
        <f t="shared" si="425"/>
        <v>0</v>
      </c>
      <c r="J3233">
        <v>11489</v>
      </c>
      <c r="K3233" s="367">
        <f t="shared" si="428"/>
        <v>8206.4285714285725</v>
      </c>
      <c r="L3233" s="607">
        <v>0.86</v>
      </c>
      <c r="M3233">
        <v>4.5</v>
      </c>
      <c r="N3233" s="381">
        <v>27</v>
      </c>
      <c r="O3233">
        <v>8</v>
      </c>
      <c r="P3233" t="s">
        <v>514</v>
      </c>
      <c r="Q3233" s="97" t="str">
        <f t="shared" si="423"/>
        <v/>
      </c>
      <c r="R3233" t="str">
        <f t="shared" si="426"/>
        <v/>
      </c>
    </row>
    <row r="3234" spans="3:18">
      <c r="C3234" t="str">
        <f t="shared" si="427"/>
        <v>NL</v>
      </c>
      <c r="D3234" s="36">
        <v>143</v>
      </c>
      <c r="E3234">
        <v>90</v>
      </c>
      <c r="F3234" s="366">
        <f t="shared" si="422"/>
        <v>1953</v>
      </c>
      <c r="G3234" s="97">
        <v>2659</v>
      </c>
      <c r="H3234" s="367">
        <f t="shared" si="424"/>
        <v>4612</v>
      </c>
      <c r="I3234" s="368">
        <f t="shared" si="425"/>
        <v>0</v>
      </c>
      <c r="J3234">
        <v>10342</v>
      </c>
      <c r="K3234" s="367">
        <f t="shared" si="428"/>
        <v>7387.1428571428569</v>
      </c>
      <c r="L3234" s="607">
        <v>0.85</v>
      </c>
      <c r="M3234">
        <v>4.6999999999999993</v>
      </c>
      <c r="N3234" s="381">
        <v>28</v>
      </c>
      <c r="O3234">
        <v>5</v>
      </c>
      <c r="P3234" t="s">
        <v>515</v>
      </c>
      <c r="Q3234" s="97" t="str">
        <f t="shared" si="423"/>
        <v/>
      </c>
      <c r="R3234" t="str">
        <f t="shared" si="426"/>
        <v/>
      </c>
    </row>
    <row r="3235" spans="3:18">
      <c r="C3235" t="str">
        <f t="shared" si="427"/>
        <v/>
      </c>
      <c r="D3235" s="36">
        <v>144</v>
      </c>
      <c r="E3235">
        <v>90</v>
      </c>
      <c r="F3235" s="366">
        <f t="shared" si="422"/>
        <v>1953</v>
      </c>
      <c r="G3235" s="97">
        <v>2738</v>
      </c>
      <c r="H3235" s="367">
        <f t="shared" si="424"/>
        <v>4691</v>
      </c>
      <c r="I3235" s="368">
        <f t="shared" si="425"/>
        <v>0</v>
      </c>
      <c r="J3235">
        <v>10651</v>
      </c>
      <c r="K3235" s="367">
        <f t="shared" si="428"/>
        <v>7607.8571428571431</v>
      </c>
      <c r="L3235" s="607">
        <v>0.57999999999999996</v>
      </c>
      <c r="M3235">
        <v>4.6999999999999993</v>
      </c>
      <c r="N3235" s="381">
        <v>26</v>
      </c>
      <c r="O3235">
        <v>6</v>
      </c>
      <c r="P3235" t="s">
        <v>515</v>
      </c>
      <c r="Q3235" s="97">
        <f t="shared" si="423"/>
        <v>144</v>
      </c>
      <c r="R3235" t="str">
        <f t="shared" si="426"/>
        <v/>
      </c>
    </row>
    <row r="3236" spans="3:18">
      <c r="C3236" t="str">
        <f t="shared" si="427"/>
        <v>NL</v>
      </c>
      <c r="D3236" s="36">
        <v>145</v>
      </c>
      <c r="E3236">
        <v>90</v>
      </c>
      <c r="F3236" s="366">
        <f t="shared" si="422"/>
        <v>1953</v>
      </c>
      <c r="G3236" s="97">
        <v>2779</v>
      </c>
      <c r="H3236" s="367">
        <f t="shared" si="424"/>
        <v>4732</v>
      </c>
      <c r="I3236" s="368">
        <f t="shared" si="425"/>
        <v>0</v>
      </c>
      <c r="J3236">
        <v>10808</v>
      </c>
      <c r="K3236" s="367">
        <f t="shared" si="428"/>
        <v>7720</v>
      </c>
      <c r="L3236" s="607">
        <v>0.43</v>
      </c>
      <c r="M3236">
        <v>4.5999999999999996</v>
      </c>
      <c r="N3236" s="381">
        <v>25</v>
      </c>
      <c r="O3236">
        <v>7</v>
      </c>
      <c r="P3236" t="s">
        <v>515</v>
      </c>
      <c r="Q3236" s="97" t="str">
        <f t="shared" si="423"/>
        <v/>
      </c>
      <c r="R3236" t="str">
        <f t="shared" si="426"/>
        <v/>
      </c>
    </row>
    <row r="3237" spans="3:18">
      <c r="C3237" t="str">
        <f t="shared" si="427"/>
        <v/>
      </c>
      <c r="D3237" s="36">
        <v>146</v>
      </c>
      <c r="E3237">
        <v>90</v>
      </c>
      <c r="F3237" s="366">
        <f t="shared" si="422"/>
        <v>1953</v>
      </c>
      <c r="G3237" s="97">
        <v>2807</v>
      </c>
      <c r="H3237" s="367">
        <f t="shared" si="424"/>
        <v>4760</v>
      </c>
      <c r="I3237" s="368">
        <f t="shared" si="425"/>
        <v>0</v>
      </c>
      <c r="J3237">
        <v>10916</v>
      </c>
      <c r="K3237" s="367">
        <f t="shared" si="428"/>
        <v>7797.1428571428569</v>
      </c>
      <c r="L3237" s="607">
        <v>0.33</v>
      </c>
      <c r="M3237">
        <v>4.5</v>
      </c>
      <c r="N3237" s="381">
        <v>23</v>
      </c>
      <c r="O3237">
        <v>8</v>
      </c>
      <c r="P3237" t="s">
        <v>515</v>
      </c>
      <c r="Q3237" s="97">
        <f t="shared" si="423"/>
        <v>146</v>
      </c>
      <c r="R3237" t="str">
        <f t="shared" si="426"/>
        <v/>
      </c>
    </row>
    <row r="3238" spans="3:18">
      <c r="C3238" t="str">
        <f t="shared" si="427"/>
        <v/>
      </c>
      <c r="D3238" s="36">
        <v>147</v>
      </c>
      <c r="E3238">
        <v>90</v>
      </c>
      <c r="F3238" s="366">
        <f t="shared" si="422"/>
        <v>1953</v>
      </c>
      <c r="G3238" s="97">
        <v>3058</v>
      </c>
      <c r="H3238" s="367">
        <f t="shared" si="424"/>
        <v>5011</v>
      </c>
      <c r="I3238" s="368">
        <f t="shared" si="425"/>
        <v>0</v>
      </c>
      <c r="J3238">
        <v>11895</v>
      </c>
      <c r="K3238" s="367">
        <f t="shared" si="428"/>
        <v>8496.4285714285725</v>
      </c>
      <c r="L3238" s="607">
        <v>0.96</v>
      </c>
      <c r="M3238">
        <v>4.5</v>
      </c>
      <c r="N3238" s="381">
        <v>28</v>
      </c>
      <c r="O3238">
        <v>8</v>
      </c>
      <c r="P3238" t="s">
        <v>514</v>
      </c>
      <c r="Q3238" s="97" t="str">
        <f t="shared" si="423"/>
        <v/>
      </c>
      <c r="R3238" t="str">
        <f t="shared" si="426"/>
        <v/>
      </c>
    </row>
    <row r="3239" spans="3:18">
      <c r="C3239" t="str">
        <f t="shared" si="427"/>
        <v>NL</v>
      </c>
      <c r="D3239" s="36">
        <v>148</v>
      </c>
      <c r="E3239">
        <v>95</v>
      </c>
      <c r="F3239" s="366">
        <f t="shared" si="422"/>
        <v>2061.5</v>
      </c>
      <c r="G3239" s="97">
        <v>2750</v>
      </c>
      <c r="H3239" s="367">
        <f t="shared" si="424"/>
        <v>4811.5</v>
      </c>
      <c r="I3239" s="368">
        <f t="shared" si="425"/>
        <v>0</v>
      </c>
      <c r="J3239">
        <v>10697</v>
      </c>
      <c r="K3239" s="367">
        <f t="shared" si="428"/>
        <v>7640.7142857142862</v>
      </c>
      <c r="L3239" s="607">
        <v>0.94000000000000006</v>
      </c>
      <c r="M3239">
        <v>4.6999999999999993</v>
      </c>
      <c r="N3239" s="381">
        <v>29</v>
      </c>
      <c r="O3239">
        <v>5</v>
      </c>
      <c r="P3239" t="s">
        <v>515</v>
      </c>
      <c r="Q3239" s="97" t="str">
        <f t="shared" si="423"/>
        <v/>
      </c>
      <c r="R3239" t="str">
        <f t="shared" si="426"/>
        <v/>
      </c>
    </row>
    <row r="3240" spans="3:18">
      <c r="C3240" t="str">
        <f t="shared" si="427"/>
        <v/>
      </c>
      <c r="D3240" s="36">
        <v>149</v>
      </c>
      <c r="E3240">
        <v>95</v>
      </c>
      <c r="F3240" s="366">
        <f t="shared" si="422"/>
        <v>2061.5</v>
      </c>
      <c r="G3240" s="97">
        <v>2834</v>
      </c>
      <c r="H3240" s="367">
        <f t="shared" si="424"/>
        <v>4895.5</v>
      </c>
      <c r="I3240" s="368">
        <f t="shared" si="425"/>
        <v>0</v>
      </c>
      <c r="J3240">
        <v>11022</v>
      </c>
      <c r="K3240" s="367">
        <f t="shared" si="428"/>
        <v>7872.8571428571431</v>
      </c>
      <c r="L3240" s="607">
        <v>0.65</v>
      </c>
      <c r="M3240">
        <v>4.6999999999999993</v>
      </c>
      <c r="N3240" s="381">
        <v>27</v>
      </c>
      <c r="O3240">
        <v>6</v>
      </c>
      <c r="P3240" t="s">
        <v>515</v>
      </c>
      <c r="Q3240" s="97">
        <f t="shared" si="423"/>
        <v>149</v>
      </c>
      <c r="R3240" t="str">
        <f t="shared" si="426"/>
        <v/>
      </c>
    </row>
    <row r="3241" spans="3:18">
      <c r="C3241" t="str">
        <f t="shared" si="427"/>
        <v>NL</v>
      </c>
      <c r="D3241" s="36">
        <v>150</v>
      </c>
      <c r="E3241">
        <v>95</v>
      </c>
      <c r="F3241" s="366">
        <f t="shared" si="422"/>
        <v>2061.5</v>
      </c>
      <c r="G3241" s="97">
        <v>2877</v>
      </c>
      <c r="H3241" s="367">
        <f t="shared" si="424"/>
        <v>4938.5</v>
      </c>
      <c r="I3241" s="368">
        <f t="shared" si="425"/>
        <v>0</v>
      </c>
      <c r="J3241">
        <v>11190</v>
      </c>
      <c r="K3241" s="367">
        <f t="shared" si="428"/>
        <v>7992.8571428571431</v>
      </c>
      <c r="L3241" s="607">
        <v>0.48</v>
      </c>
      <c r="M3241">
        <v>4.5999999999999996</v>
      </c>
      <c r="N3241" s="381">
        <v>25</v>
      </c>
      <c r="O3241">
        <v>7</v>
      </c>
      <c r="P3241" t="s">
        <v>515</v>
      </c>
      <c r="Q3241" s="97" t="str">
        <f t="shared" si="423"/>
        <v/>
      </c>
      <c r="R3241" t="str">
        <f t="shared" si="426"/>
        <v/>
      </c>
    </row>
    <row r="3242" spans="3:18">
      <c r="C3242" t="str">
        <f t="shared" si="427"/>
        <v/>
      </c>
      <c r="D3242" s="36">
        <v>151</v>
      </c>
      <c r="E3242">
        <v>95</v>
      </c>
      <c r="F3242" s="366">
        <f t="shared" si="422"/>
        <v>2061.5</v>
      </c>
      <c r="G3242" s="97">
        <v>2903</v>
      </c>
      <c r="H3242" s="367">
        <f t="shared" si="424"/>
        <v>4964.5</v>
      </c>
      <c r="I3242" s="368">
        <f t="shared" si="425"/>
        <v>0</v>
      </c>
      <c r="J3242">
        <v>11290</v>
      </c>
      <c r="K3242" s="367">
        <f t="shared" si="428"/>
        <v>8064.2857142857147</v>
      </c>
      <c r="L3242" s="607">
        <v>0.37</v>
      </c>
      <c r="M3242">
        <v>4.5</v>
      </c>
      <c r="N3242" s="381">
        <v>24</v>
      </c>
      <c r="O3242">
        <v>8</v>
      </c>
      <c r="P3242" t="s">
        <v>515</v>
      </c>
      <c r="Q3242" s="97">
        <f t="shared" si="423"/>
        <v>151</v>
      </c>
      <c r="R3242" t="str">
        <f t="shared" si="426"/>
        <v/>
      </c>
    </row>
    <row r="3243" spans="3:18">
      <c r="C3243" t="str">
        <f t="shared" si="427"/>
        <v/>
      </c>
      <c r="D3243" s="36">
        <v>152</v>
      </c>
      <c r="E3243">
        <v>95</v>
      </c>
      <c r="F3243" s="366">
        <f t="shared" si="422"/>
        <v>2061.5</v>
      </c>
      <c r="G3243" s="97">
        <v>3156</v>
      </c>
      <c r="H3243" s="367">
        <f t="shared" si="424"/>
        <v>5217.5</v>
      </c>
      <c r="I3243" s="368">
        <f t="shared" si="425"/>
        <v>0</v>
      </c>
      <c r="J3243">
        <v>12275</v>
      </c>
      <c r="K3243" s="367">
        <f t="shared" si="428"/>
        <v>8767.8571428571431</v>
      </c>
      <c r="L3243" s="607">
        <v>1.07</v>
      </c>
      <c r="M3243">
        <v>4.5</v>
      </c>
      <c r="N3243" s="381">
        <v>28</v>
      </c>
      <c r="O3243">
        <v>8</v>
      </c>
      <c r="P3243" t="s">
        <v>514</v>
      </c>
      <c r="Q3243" s="97" t="str">
        <f t="shared" si="423"/>
        <v/>
      </c>
      <c r="R3243" t="str">
        <f t="shared" si="426"/>
        <v/>
      </c>
    </row>
    <row r="3244" spans="3:18">
      <c r="C3244" t="str">
        <f t="shared" si="427"/>
        <v>NL</v>
      </c>
      <c r="D3244" s="36">
        <v>153</v>
      </c>
      <c r="E3244">
        <v>100</v>
      </c>
      <c r="F3244" s="366">
        <f t="shared" si="422"/>
        <v>2170</v>
      </c>
      <c r="G3244" s="97">
        <v>2789</v>
      </c>
      <c r="H3244" s="367">
        <f t="shared" si="424"/>
        <v>4959</v>
      </c>
      <c r="I3244" s="368">
        <f t="shared" si="425"/>
        <v>0</v>
      </c>
      <c r="J3244">
        <v>10847</v>
      </c>
      <c r="K3244" s="367">
        <f t="shared" si="428"/>
        <v>7747.8571428571431</v>
      </c>
      <c r="L3244" s="607">
        <v>1.04</v>
      </c>
      <c r="M3244">
        <v>4.6999999999999993</v>
      </c>
      <c r="N3244" s="381">
        <v>29</v>
      </c>
      <c r="O3244">
        <v>5</v>
      </c>
      <c r="P3244" t="s">
        <v>515</v>
      </c>
      <c r="Q3244" s="97" t="str">
        <f t="shared" si="423"/>
        <v/>
      </c>
      <c r="R3244" t="str">
        <f t="shared" si="426"/>
        <v/>
      </c>
    </row>
    <row r="3245" spans="3:18">
      <c r="C3245" t="str">
        <f t="shared" si="427"/>
        <v/>
      </c>
      <c r="D3245" s="36">
        <v>154</v>
      </c>
      <c r="E3245">
        <v>100</v>
      </c>
      <c r="F3245" s="366">
        <f t="shared" si="422"/>
        <v>2170</v>
      </c>
      <c r="G3245" s="97">
        <v>2925</v>
      </c>
      <c r="H3245" s="367">
        <f t="shared" si="424"/>
        <v>5095</v>
      </c>
      <c r="I3245" s="368">
        <f t="shared" si="425"/>
        <v>0</v>
      </c>
      <c r="J3245">
        <v>11375</v>
      </c>
      <c r="K3245" s="367">
        <f t="shared" si="428"/>
        <v>8125</v>
      </c>
      <c r="L3245" s="607">
        <v>0.72</v>
      </c>
      <c r="M3245">
        <v>4.6999999999999993</v>
      </c>
      <c r="N3245" s="381">
        <v>28</v>
      </c>
      <c r="O3245">
        <v>6</v>
      </c>
      <c r="P3245" t="s">
        <v>515</v>
      </c>
      <c r="Q3245" s="97" t="str">
        <f t="shared" si="423"/>
        <v/>
      </c>
      <c r="R3245" t="str">
        <f t="shared" si="426"/>
        <v/>
      </c>
    </row>
    <row r="3246" spans="3:18">
      <c r="C3246" t="str">
        <f t="shared" si="427"/>
        <v>NL</v>
      </c>
      <c r="D3246" s="36">
        <v>155</v>
      </c>
      <c r="E3246">
        <v>100</v>
      </c>
      <c r="F3246" s="366">
        <f t="shared" si="422"/>
        <v>2170</v>
      </c>
      <c r="G3246" s="97">
        <v>2969</v>
      </c>
      <c r="H3246" s="367">
        <f t="shared" si="424"/>
        <v>5139</v>
      </c>
      <c r="I3246" s="368">
        <f t="shared" si="425"/>
        <v>0</v>
      </c>
      <c r="J3246">
        <v>11546</v>
      </c>
      <c r="K3246" s="367">
        <f t="shared" si="428"/>
        <v>8247.1428571428569</v>
      </c>
      <c r="L3246" s="607">
        <v>0.53</v>
      </c>
      <c r="M3246">
        <v>4.5999999999999996</v>
      </c>
      <c r="N3246" s="381">
        <v>26</v>
      </c>
      <c r="O3246">
        <v>7</v>
      </c>
      <c r="P3246" t="s">
        <v>515</v>
      </c>
      <c r="Q3246" s="97" t="str">
        <f t="shared" si="423"/>
        <v/>
      </c>
      <c r="R3246" t="str">
        <f t="shared" si="426"/>
        <v/>
      </c>
    </row>
    <row r="3247" spans="3:18">
      <c r="C3247" t="str">
        <f t="shared" si="427"/>
        <v/>
      </c>
      <c r="D3247" s="36">
        <v>156</v>
      </c>
      <c r="E3247">
        <v>100</v>
      </c>
      <c r="F3247" s="366">
        <f t="shared" si="422"/>
        <v>2170</v>
      </c>
      <c r="G3247" s="97">
        <v>2997</v>
      </c>
      <c r="H3247" s="367">
        <f t="shared" si="424"/>
        <v>5167</v>
      </c>
      <c r="I3247" s="368">
        <f t="shared" si="425"/>
        <v>0</v>
      </c>
      <c r="J3247">
        <v>11657</v>
      </c>
      <c r="K3247" s="367">
        <f t="shared" si="428"/>
        <v>8326.4285714285725</v>
      </c>
      <c r="L3247" s="607">
        <v>0.41000000000000003</v>
      </c>
      <c r="M3247">
        <v>4.5</v>
      </c>
      <c r="N3247" s="381">
        <v>25</v>
      </c>
      <c r="O3247">
        <v>8</v>
      </c>
      <c r="P3247" t="s">
        <v>515</v>
      </c>
      <c r="Q3247" s="97">
        <f t="shared" si="423"/>
        <v>156</v>
      </c>
      <c r="R3247" t="str">
        <f t="shared" si="426"/>
        <v/>
      </c>
    </row>
    <row r="3248" spans="3:18">
      <c r="C3248" t="str">
        <f t="shared" si="427"/>
        <v/>
      </c>
      <c r="D3248" s="36">
        <v>157</v>
      </c>
      <c r="E3248">
        <v>105</v>
      </c>
      <c r="F3248" s="366">
        <f t="shared" si="422"/>
        <v>2278.5</v>
      </c>
      <c r="G3248" s="97">
        <v>3013</v>
      </c>
      <c r="H3248" s="367">
        <f t="shared" si="424"/>
        <v>5291.5</v>
      </c>
      <c r="I3248" s="368">
        <f t="shared" si="425"/>
        <v>0</v>
      </c>
      <c r="J3248">
        <v>11719</v>
      </c>
      <c r="K3248" s="367">
        <f t="shared" si="428"/>
        <v>8370.7142857142862</v>
      </c>
      <c r="L3248" s="607">
        <v>0.79</v>
      </c>
      <c r="M3248">
        <v>4.6999999999999993</v>
      </c>
      <c r="N3248" s="381">
        <v>28</v>
      </c>
      <c r="O3248">
        <v>6</v>
      </c>
      <c r="P3248" t="s">
        <v>515</v>
      </c>
      <c r="Q3248" s="97" t="str">
        <f t="shared" si="423"/>
        <v/>
      </c>
      <c r="R3248" t="str">
        <f t="shared" si="426"/>
        <v/>
      </c>
    </row>
    <row r="3249" spans="3:18">
      <c r="C3249" t="str">
        <f t="shared" si="427"/>
        <v>NL</v>
      </c>
      <c r="D3249" s="36">
        <v>158</v>
      </c>
      <c r="E3249">
        <v>105</v>
      </c>
      <c r="F3249" s="366">
        <f t="shared" si="422"/>
        <v>2278.5</v>
      </c>
      <c r="G3249" s="97">
        <v>3059</v>
      </c>
      <c r="H3249" s="367">
        <f t="shared" si="424"/>
        <v>5337.5</v>
      </c>
      <c r="I3249" s="368">
        <f t="shared" si="425"/>
        <v>0</v>
      </c>
      <c r="J3249">
        <v>11898</v>
      </c>
      <c r="K3249" s="367">
        <f t="shared" si="428"/>
        <v>8498.5714285714294</v>
      </c>
      <c r="L3249" s="607">
        <v>0.57999999999999996</v>
      </c>
      <c r="M3249">
        <v>4.5999999999999996</v>
      </c>
      <c r="N3249" s="381">
        <v>27</v>
      </c>
      <c r="O3249">
        <v>7</v>
      </c>
      <c r="P3249" t="s">
        <v>515</v>
      </c>
      <c r="Q3249" s="97" t="str">
        <f t="shared" si="423"/>
        <v/>
      </c>
      <c r="R3249" t="str">
        <f t="shared" si="426"/>
        <v/>
      </c>
    </row>
    <row r="3250" spans="3:18">
      <c r="C3250" t="str">
        <f t="shared" si="427"/>
        <v/>
      </c>
      <c r="D3250" s="36">
        <v>159</v>
      </c>
      <c r="E3250">
        <v>105</v>
      </c>
      <c r="F3250" s="366">
        <f t="shared" si="422"/>
        <v>2278.5</v>
      </c>
      <c r="G3250" s="97">
        <v>3087</v>
      </c>
      <c r="H3250" s="367">
        <f t="shared" si="424"/>
        <v>5365.5</v>
      </c>
      <c r="I3250" s="368">
        <f t="shared" si="425"/>
        <v>0</v>
      </c>
      <c r="J3250">
        <v>12005</v>
      </c>
      <c r="K3250" s="367">
        <f t="shared" si="428"/>
        <v>8575</v>
      </c>
      <c r="L3250" s="607">
        <v>0.45</v>
      </c>
      <c r="M3250">
        <v>4.5</v>
      </c>
      <c r="N3250" s="381">
        <v>25</v>
      </c>
      <c r="O3250">
        <v>8</v>
      </c>
      <c r="P3250" t="s">
        <v>515</v>
      </c>
      <c r="Q3250" s="97">
        <f t="shared" si="423"/>
        <v>159</v>
      </c>
      <c r="R3250" t="str">
        <f t="shared" si="426"/>
        <v/>
      </c>
    </row>
    <row r="3251" spans="3:18">
      <c r="C3251" t="str">
        <f t="shared" si="427"/>
        <v/>
      </c>
      <c r="D3251" s="36">
        <v>160</v>
      </c>
      <c r="E3251">
        <v>110</v>
      </c>
      <c r="F3251" s="366">
        <f t="shared" ref="F3251:F3314" si="429">1.085*($A$2-$B$2)*E3251*$T$7</f>
        <v>2387</v>
      </c>
      <c r="G3251" s="97">
        <v>3099</v>
      </c>
      <c r="H3251" s="367">
        <f t="shared" si="424"/>
        <v>5486</v>
      </c>
      <c r="I3251" s="368">
        <f t="shared" si="425"/>
        <v>0</v>
      </c>
      <c r="J3251">
        <v>12052</v>
      </c>
      <c r="K3251" s="367">
        <f t="shared" si="428"/>
        <v>8608.5714285714294</v>
      </c>
      <c r="L3251" s="607">
        <v>0.87</v>
      </c>
      <c r="M3251">
        <v>4.6999999999999993</v>
      </c>
      <c r="N3251" s="381">
        <v>29</v>
      </c>
      <c r="O3251">
        <v>6</v>
      </c>
      <c r="P3251" t="s">
        <v>515</v>
      </c>
      <c r="Q3251" s="97" t="str">
        <f t="shared" si="423"/>
        <v/>
      </c>
      <c r="R3251" t="str">
        <f t="shared" si="426"/>
        <v/>
      </c>
    </row>
    <row r="3252" spans="3:18">
      <c r="C3252" t="str">
        <f t="shared" si="427"/>
        <v>NL</v>
      </c>
      <c r="D3252" s="36">
        <v>161</v>
      </c>
      <c r="E3252">
        <v>110</v>
      </c>
      <c r="F3252" s="366">
        <f t="shared" si="429"/>
        <v>2387</v>
      </c>
      <c r="G3252" s="97">
        <v>3145</v>
      </c>
      <c r="H3252" s="367">
        <f t="shared" si="424"/>
        <v>5532</v>
      </c>
      <c r="I3252" s="368">
        <f t="shared" si="425"/>
        <v>0</v>
      </c>
      <c r="J3252">
        <v>12232</v>
      </c>
      <c r="K3252" s="367">
        <f t="shared" si="428"/>
        <v>8737.1428571428569</v>
      </c>
      <c r="L3252" s="607">
        <v>0.64</v>
      </c>
      <c r="M3252">
        <v>4.5999999999999996</v>
      </c>
      <c r="N3252" s="381">
        <v>27</v>
      </c>
      <c r="O3252">
        <v>7</v>
      </c>
      <c r="P3252" t="s">
        <v>515</v>
      </c>
      <c r="Q3252" s="97" t="str">
        <f t="shared" si="423"/>
        <v/>
      </c>
      <c r="R3252" t="str">
        <f t="shared" si="426"/>
        <v/>
      </c>
    </row>
    <row r="3253" spans="3:18">
      <c r="C3253" t="str">
        <f t="shared" si="427"/>
        <v/>
      </c>
      <c r="D3253" s="36">
        <v>162</v>
      </c>
      <c r="E3253">
        <v>110</v>
      </c>
      <c r="F3253" s="366">
        <f t="shared" si="429"/>
        <v>2387</v>
      </c>
      <c r="G3253" s="97">
        <v>3175</v>
      </c>
      <c r="H3253" s="367">
        <f t="shared" si="424"/>
        <v>5562</v>
      </c>
      <c r="I3253" s="368">
        <f t="shared" si="425"/>
        <v>0</v>
      </c>
      <c r="J3253">
        <v>12348</v>
      </c>
      <c r="K3253" s="367">
        <f t="shared" si="428"/>
        <v>8820</v>
      </c>
      <c r="L3253" s="607">
        <v>0.5</v>
      </c>
      <c r="M3253">
        <v>4.5</v>
      </c>
      <c r="N3253" s="381">
        <v>26</v>
      </c>
      <c r="O3253">
        <v>8</v>
      </c>
      <c r="P3253" t="s">
        <v>515</v>
      </c>
      <c r="Q3253" s="97">
        <f t="shared" si="423"/>
        <v>162</v>
      </c>
      <c r="R3253" t="str">
        <f t="shared" si="426"/>
        <v/>
      </c>
    </row>
    <row r="3254" spans="3:18">
      <c r="C3254" t="str">
        <f t="shared" si="427"/>
        <v/>
      </c>
      <c r="D3254" s="36">
        <v>163</v>
      </c>
      <c r="E3254">
        <v>115</v>
      </c>
      <c r="F3254" s="366">
        <f t="shared" si="429"/>
        <v>2495.5</v>
      </c>
      <c r="G3254" s="97">
        <v>3181</v>
      </c>
      <c r="H3254" s="367">
        <f t="shared" si="424"/>
        <v>5676.5</v>
      </c>
      <c r="I3254" s="368">
        <f t="shared" si="425"/>
        <v>0</v>
      </c>
      <c r="J3254">
        <v>12371</v>
      </c>
      <c r="K3254" s="367">
        <f t="shared" si="428"/>
        <v>8836.4285714285725</v>
      </c>
      <c r="L3254" s="607">
        <v>0.93</v>
      </c>
      <c r="M3254">
        <v>4.6999999999999993</v>
      </c>
      <c r="N3254" s="381">
        <v>29</v>
      </c>
      <c r="O3254">
        <v>6</v>
      </c>
      <c r="P3254" t="s">
        <v>515</v>
      </c>
      <c r="Q3254" s="97" t="str">
        <f t="shared" si="423"/>
        <v/>
      </c>
      <c r="R3254" t="str">
        <f t="shared" si="426"/>
        <v/>
      </c>
    </row>
    <row r="3255" spans="3:18">
      <c r="C3255" t="str">
        <f t="shared" si="427"/>
        <v>NL</v>
      </c>
      <c r="D3255" s="36">
        <v>164</v>
      </c>
      <c r="E3255">
        <v>115</v>
      </c>
      <c r="F3255" s="366">
        <f t="shared" si="429"/>
        <v>2495.5</v>
      </c>
      <c r="G3255" s="97">
        <v>3229</v>
      </c>
      <c r="H3255" s="367">
        <f t="shared" si="424"/>
        <v>5724.5</v>
      </c>
      <c r="I3255" s="368">
        <f t="shared" si="425"/>
        <v>0</v>
      </c>
      <c r="J3255">
        <v>12559</v>
      </c>
      <c r="K3255" s="367">
        <f t="shared" si="428"/>
        <v>8970.7142857142862</v>
      </c>
      <c r="L3255" s="607">
        <v>0.68</v>
      </c>
      <c r="M3255">
        <v>4.5999999999999996</v>
      </c>
      <c r="N3255" s="381">
        <v>28</v>
      </c>
      <c r="O3255">
        <v>7</v>
      </c>
      <c r="P3255" t="s">
        <v>515</v>
      </c>
      <c r="Q3255" s="97" t="str">
        <f t="shared" si="423"/>
        <v/>
      </c>
      <c r="R3255" t="str">
        <f t="shared" si="426"/>
        <v/>
      </c>
    </row>
    <row r="3256" spans="3:18">
      <c r="C3256" t="str">
        <f t="shared" si="427"/>
        <v/>
      </c>
      <c r="D3256" s="36">
        <v>165</v>
      </c>
      <c r="E3256">
        <v>115</v>
      </c>
      <c r="F3256" s="366">
        <f t="shared" si="429"/>
        <v>2495.5</v>
      </c>
      <c r="G3256" s="97">
        <v>3257</v>
      </c>
      <c r="H3256" s="367">
        <f t="shared" si="424"/>
        <v>5752.5</v>
      </c>
      <c r="I3256" s="368">
        <f t="shared" si="425"/>
        <v>0</v>
      </c>
      <c r="J3256">
        <v>12668</v>
      </c>
      <c r="K3256" s="367">
        <f t="shared" si="428"/>
        <v>9048.5714285714294</v>
      </c>
      <c r="L3256" s="607">
        <v>0.52</v>
      </c>
      <c r="M3256">
        <v>4.5</v>
      </c>
      <c r="N3256" s="381">
        <v>26</v>
      </c>
      <c r="O3256">
        <v>8</v>
      </c>
      <c r="P3256" t="s">
        <v>515</v>
      </c>
      <c r="Q3256" s="97">
        <f t="shared" si="423"/>
        <v>165</v>
      </c>
      <c r="R3256" t="str">
        <f t="shared" si="426"/>
        <v/>
      </c>
    </row>
    <row r="3257" spans="3:18">
      <c r="C3257" t="str">
        <f t="shared" si="427"/>
        <v/>
      </c>
      <c r="D3257" s="36">
        <v>166</v>
      </c>
      <c r="E3257">
        <v>120</v>
      </c>
      <c r="F3257" s="366">
        <f t="shared" si="429"/>
        <v>2604</v>
      </c>
      <c r="G3257" s="97">
        <v>3235</v>
      </c>
      <c r="H3257" s="367">
        <f t="shared" si="424"/>
        <v>5839</v>
      </c>
      <c r="I3257" s="368">
        <f t="shared" si="425"/>
        <v>0</v>
      </c>
      <c r="J3257">
        <v>12581</v>
      </c>
      <c r="K3257" s="367">
        <f t="shared" si="428"/>
        <v>8986.4285714285725</v>
      </c>
      <c r="L3257" s="607">
        <v>1.01</v>
      </c>
      <c r="M3257">
        <v>4.6999999999999993</v>
      </c>
      <c r="N3257" s="381">
        <v>30</v>
      </c>
      <c r="O3257">
        <v>6</v>
      </c>
      <c r="P3257" t="s">
        <v>515</v>
      </c>
      <c r="Q3257" s="97" t="str">
        <f t="shared" si="423"/>
        <v/>
      </c>
      <c r="R3257" t="str">
        <f t="shared" si="426"/>
        <v/>
      </c>
    </row>
    <row r="3258" spans="3:18">
      <c r="C3258" t="str">
        <f t="shared" si="427"/>
        <v>NL</v>
      </c>
      <c r="D3258" s="36">
        <v>167</v>
      </c>
      <c r="E3258">
        <v>120</v>
      </c>
      <c r="F3258" s="366">
        <f t="shared" si="429"/>
        <v>2604</v>
      </c>
      <c r="G3258" s="97">
        <v>3310</v>
      </c>
      <c r="H3258" s="367">
        <f t="shared" si="424"/>
        <v>5914</v>
      </c>
      <c r="I3258" s="368">
        <f t="shared" si="425"/>
        <v>0</v>
      </c>
      <c r="J3258">
        <v>12874</v>
      </c>
      <c r="K3258" s="367">
        <f t="shared" si="428"/>
        <v>9195.7142857142862</v>
      </c>
      <c r="L3258" s="607">
        <v>0.74</v>
      </c>
      <c r="M3258">
        <v>4.5999999999999996</v>
      </c>
      <c r="N3258" s="381">
        <v>28</v>
      </c>
      <c r="O3258">
        <v>7</v>
      </c>
      <c r="P3258" t="s">
        <v>515</v>
      </c>
      <c r="Q3258" s="97" t="str">
        <f t="shared" si="423"/>
        <v/>
      </c>
      <c r="R3258" t="str">
        <f t="shared" si="426"/>
        <v/>
      </c>
    </row>
    <row r="3259" spans="3:18">
      <c r="C3259" t="str">
        <f t="shared" si="427"/>
        <v/>
      </c>
      <c r="D3259" s="36">
        <v>168</v>
      </c>
      <c r="E3259">
        <v>120</v>
      </c>
      <c r="F3259" s="366">
        <f t="shared" si="429"/>
        <v>2604</v>
      </c>
      <c r="G3259" s="97">
        <v>3339</v>
      </c>
      <c r="H3259" s="367">
        <f t="shared" si="424"/>
        <v>5943</v>
      </c>
      <c r="I3259" s="368">
        <f t="shared" si="425"/>
        <v>0</v>
      </c>
      <c r="J3259">
        <v>12987</v>
      </c>
      <c r="K3259" s="367">
        <f t="shared" si="428"/>
        <v>9276.4285714285725</v>
      </c>
      <c r="L3259" s="607">
        <v>0.56000000000000005</v>
      </c>
      <c r="M3259">
        <v>4.5</v>
      </c>
      <c r="N3259" s="381">
        <v>27</v>
      </c>
      <c r="O3259">
        <v>8</v>
      </c>
      <c r="P3259" t="s">
        <v>515</v>
      </c>
      <c r="Q3259" s="97">
        <f t="shared" si="423"/>
        <v>168</v>
      </c>
      <c r="R3259" t="str">
        <f t="shared" si="426"/>
        <v/>
      </c>
    </row>
    <row r="3260" spans="3:18">
      <c r="C3260" t="str">
        <f t="shared" si="427"/>
        <v/>
      </c>
      <c r="D3260" s="36">
        <v>169</v>
      </c>
      <c r="E3260">
        <v>125</v>
      </c>
      <c r="F3260" s="366">
        <f t="shared" si="429"/>
        <v>2712.5</v>
      </c>
      <c r="G3260" s="97">
        <v>3235</v>
      </c>
      <c r="H3260" s="367">
        <f t="shared" si="424"/>
        <v>5947.5</v>
      </c>
      <c r="I3260" s="368">
        <f t="shared" si="425"/>
        <v>0</v>
      </c>
      <c r="J3260">
        <v>12581</v>
      </c>
      <c r="K3260" s="367">
        <f t="shared" si="428"/>
        <v>8986.4285714285725</v>
      </c>
      <c r="L3260" s="607">
        <v>1.0900000000000001</v>
      </c>
      <c r="M3260">
        <v>4.6999999999999993</v>
      </c>
      <c r="N3260" s="381">
        <v>30</v>
      </c>
      <c r="O3260">
        <v>6</v>
      </c>
      <c r="P3260" t="s">
        <v>515</v>
      </c>
      <c r="Q3260" s="97" t="str">
        <f t="shared" si="423"/>
        <v/>
      </c>
      <c r="R3260" t="str">
        <f t="shared" si="426"/>
        <v/>
      </c>
    </row>
    <row r="3261" spans="3:18">
      <c r="C3261" t="str">
        <f t="shared" si="427"/>
        <v>NL</v>
      </c>
      <c r="D3261" s="36">
        <v>170</v>
      </c>
      <c r="E3261">
        <v>125</v>
      </c>
      <c r="F3261" s="366">
        <f t="shared" si="429"/>
        <v>2712.5</v>
      </c>
      <c r="G3261" s="97">
        <v>3388</v>
      </c>
      <c r="H3261" s="367">
        <f t="shared" si="424"/>
        <v>6100.5</v>
      </c>
      <c r="I3261" s="368">
        <f t="shared" si="425"/>
        <v>0</v>
      </c>
      <c r="J3261">
        <v>13178</v>
      </c>
      <c r="K3261" s="367">
        <f t="shared" si="428"/>
        <v>9412.8571428571431</v>
      </c>
      <c r="L3261" s="607">
        <v>0.8</v>
      </c>
      <c r="M3261">
        <v>4.5999999999999996</v>
      </c>
      <c r="N3261" s="381">
        <v>29</v>
      </c>
      <c r="O3261">
        <v>7</v>
      </c>
      <c r="P3261" t="s">
        <v>515</v>
      </c>
      <c r="Q3261" s="97" t="str">
        <f t="shared" si="423"/>
        <v/>
      </c>
      <c r="R3261" t="str">
        <f t="shared" si="426"/>
        <v/>
      </c>
    </row>
    <row r="3262" spans="3:18">
      <c r="C3262" t="str">
        <f t="shared" si="427"/>
        <v/>
      </c>
      <c r="D3262" s="36">
        <v>171</v>
      </c>
      <c r="E3262">
        <v>125</v>
      </c>
      <c r="F3262" s="366">
        <f t="shared" si="429"/>
        <v>2712.5</v>
      </c>
      <c r="G3262" s="97">
        <v>3416</v>
      </c>
      <c r="H3262" s="367">
        <f t="shared" si="424"/>
        <v>6128.5</v>
      </c>
      <c r="I3262" s="368">
        <f t="shared" si="425"/>
        <v>0</v>
      </c>
      <c r="J3262">
        <v>13286</v>
      </c>
      <c r="K3262" s="367">
        <f t="shared" si="428"/>
        <v>9490</v>
      </c>
      <c r="L3262" s="607">
        <v>0.61</v>
      </c>
      <c r="M3262">
        <v>4.5</v>
      </c>
      <c r="N3262" s="381">
        <v>27</v>
      </c>
      <c r="O3262">
        <v>8</v>
      </c>
      <c r="P3262" t="s">
        <v>515</v>
      </c>
      <c r="Q3262" s="97">
        <f t="shared" si="423"/>
        <v>171</v>
      </c>
      <c r="R3262" t="str">
        <f t="shared" si="426"/>
        <v/>
      </c>
    </row>
    <row r="3263" spans="3:18">
      <c r="C3263" t="str">
        <f t="shared" si="427"/>
        <v>NL</v>
      </c>
      <c r="D3263" s="36">
        <v>172</v>
      </c>
      <c r="E3263">
        <v>130</v>
      </c>
      <c r="F3263" s="366">
        <f t="shared" si="429"/>
        <v>2821</v>
      </c>
      <c r="G3263" s="97">
        <v>3464</v>
      </c>
      <c r="H3263" s="367">
        <f t="shared" si="424"/>
        <v>6285</v>
      </c>
      <c r="I3263" s="368">
        <f t="shared" si="425"/>
        <v>0</v>
      </c>
      <c r="J3263">
        <v>13474</v>
      </c>
      <c r="K3263" s="367">
        <f t="shared" si="428"/>
        <v>9624.2857142857138</v>
      </c>
      <c r="L3263" s="607">
        <v>0.86</v>
      </c>
      <c r="M3263">
        <v>4.5999999999999996</v>
      </c>
      <c r="N3263" s="381">
        <v>29</v>
      </c>
      <c r="O3263">
        <v>7</v>
      </c>
      <c r="P3263" t="s">
        <v>515</v>
      </c>
      <c r="Q3263" s="97" t="str">
        <f t="shared" ref="Q3263:Q3277" si="430">IF(AND(H3263+1&gt;$E$4,L3263&lt;$L$4+0.01,M3263&lt;$M$4+0.01,K3263+1&gt;$F$4,E3263+1&gt;$J$4,N3263&lt;$K$4+1,O3263&lt;$P$4+1,C3263=""),D3263,"")</f>
        <v/>
      </c>
      <c r="R3263" t="str">
        <f t="shared" si="426"/>
        <v/>
      </c>
    </row>
    <row r="3264" spans="3:18">
      <c r="C3264" t="str">
        <f t="shared" si="427"/>
        <v/>
      </c>
      <c r="D3264" s="36">
        <v>173</v>
      </c>
      <c r="E3264">
        <v>130</v>
      </c>
      <c r="F3264" s="366">
        <f t="shared" si="429"/>
        <v>2821</v>
      </c>
      <c r="G3264" s="97">
        <v>3493</v>
      </c>
      <c r="H3264" s="367">
        <f t="shared" si="424"/>
        <v>6314</v>
      </c>
      <c r="I3264" s="368">
        <f t="shared" si="425"/>
        <v>0</v>
      </c>
      <c r="J3264">
        <v>13586</v>
      </c>
      <c r="K3264" s="367">
        <f t="shared" si="428"/>
        <v>9704.2857142857138</v>
      </c>
      <c r="L3264" s="607">
        <v>0.66</v>
      </c>
      <c r="M3264">
        <v>4.5</v>
      </c>
      <c r="N3264" s="381">
        <v>28</v>
      </c>
      <c r="O3264">
        <v>8</v>
      </c>
      <c r="P3264" t="s">
        <v>515</v>
      </c>
      <c r="Q3264" s="97">
        <f t="shared" si="430"/>
        <v>173</v>
      </c>
      <c r="R3264" t="str">
        <f t="shared" si="426"/>
        <v/>
      </c>
    </row>
    <row r="3265" spans="2:18">
      <c r="C3265" t="str">
        <f t="shared" si="427"/>
        <v>NL</v>
      </c>
      <c r="D3265" s="36">
        <v>174</v>
      </c>
      <c r="E3265">
        <v>135</v>
      </c>
      <c r="F3265" s="366">
        <f t="shared" si="429"/>
        <v>2929.5</v>
      </c>
      <c r="G3265" s="97">
        <v>3537</v>
      </c>
      <c r="H3265" s="367">
        <f t="shared" si="424"/>
        <v>6466.5</v>
      </c>
      <c r="I3265" s="368">
        <f t="shared" si="425"/>
        <v>0</v>
      </c>
      <c r="J3265">
        <v>13757</v>
      </c>
      <c r="K3265" s="367">
        <f t="shared" si="428"/>
        <v>9826.4285714285725</v>
      </c>
      <c r="L3265" s="607">
        <v>0.93</v>
      </c>
      <c r="M3265">
        <v>4.5999999999999996</v>
      </c>
      <c r="N3265" s="381">
        <v>30</v>
      </c>
      <c r="O3265">
        <v>7</v>
      </c>
      <c r="P3265" t="s">
        <v>515</v>
      </c>
      <c r="Q3265" s="97" t="str">
        <f t="shared" si="430"/>
        <v/>
      </c>
      <c r="R3265" t="str">
        <f t="shared" si="426"/>
        <v/>
      </c>
    </row>
    <row r="3266" spans="2:18">
      <c r="C3266" t="str">
        <f t="shared" si="427"/>
        <v/>
      </c>
      <c r="D3266" s="36">
        <v>175</v>
      </c>
      <c r="E3266">
        <v>135</v>
      </c>
      <c r="F3266" s="366">
        <f t="shared" si="429"/>
        <v>2929.5</v>
      </c>
      <c r="G3266" s="97">
        <v>3565</v>
      </c>
      <c r="H3266" s="367">
        <f t="shared" si="424"/>
        <v>6494.5</v>
      </c>
      <c r="I3266" s="368">
        <f t="shared" si="425"/>
        <v>0</v>
      </c>
      <c r="J3266">
        <v>13865</v>
      </c>
      <c r="K3266" s="367">
        <f t="shared" si="428"/>
        <v>9903.5714285714294</v>
      </c>
      <c r="L3266" s="607">
        <v>0.71</v>
      </c>
      <c r="M3266">
        <v>4.5</v>
      </c>
      <c r="N3266" s="381">
        <v>28</v>
      </c>
      <c r="O3266">
        <v>8</v>
      </c>
      <c r="P3266" t="s">
        <v>515</v>
      </c>
      <c r="Q3266" s="97">
        <f t="shared" si="430"/>
        <v>175</v>
      </c>
      <c r="R3266" t="str">
        <f t="shared" si="426"/>
        <v/>
      </c>
    </row>
    <row r="3267" spans="2:18">
      <c r="C3267" t="str">
        <f t="shared" si="427"/>
        <v>NL</v>
      </c>
      <c r="D3267" s="36">
        <v>176</v>
      </c>
      <c r="E3267">
        <v>140</v>
      </c>
      <c r="F3267" s="366">
        <f t="shared" si="429"/>
        <v>3038</v>
      </c>
      <c r="G3267" s="97">
        <v>3609</v>
      </c>
      <c r="H3267" s="367">
        <f t="shared" si="424"/>
        <v>6647</v>
      </c>
      <c r="I3267" s="368">
        <f t="shared" si="425"/>
        <v>0</v>
      </c>
      <c r="J3267">
        <v>14037</v>
      </c>
      <c r="K3267" s="367">
        <f t="shared" si="428"/>
        <v>10026.428571428572</v>
      </c>
      <c r="L3267" s="607">
        <v>1</v>
      </c>
      <c r="M3267">
        <v>4.5999999999999996</v>
      </c>
      <c r="N3267" s="381">
        <v>30</v>
      </c>
      <c r="O3267">
        <v>7</v>
      </c>
      <c r="P3267" t="s">
        <v>515</v>
      </c>
      <c r="Q3267" s="97" t="str">
        <f t="shared" si="430"/>
        <v/>
      </c>
      <c r="R3267" t="str">
        <f t="shared" si="426"/>
        <v/>
      </c>
    </row>
    <row r="3268" spans="2:18">
      <c r="C3268" t="str">
        <f t="shared" si="427"/>
        <v/>
      </c>
      <c r="D3268" s="36">
        <v>177</v>
      </c>
      <c r="E3268">
        <v>140</v>
      </c>
      <c r="F3268" s="366">
        <f t="shared" si="429"/>
        <v>3038</v>
      </c>
      <c r="G3268" s="97">
        <v>3637</v>
      </c>
      <c r="H3268" s="367">
        <f t="shared" si="424"/>
        <v>6675</v>
      </c>
      <c r="I3268" s="368">
        <f t="shared" si="425"/>
        <v>0</v>
      </c>
      <c r="J3268">
        <v>14145</v>
      </c>
      <c r="K3268" s="367">
        <f t="shared" si="428"/>
        <v>10103.571428571429</v>
      </c>
      <c r="L3268" s="607">
        <v>0.76</v>
      </c>
      <c r="M3268">
        <v>4.5</v>
      </c>
      <c r="N3268" s="381">
        <v>29</v>
      </c>
      <c r="O3268">
        <v>8</v>
      </c>
      <c r="P3268" t="s">
        <v>515</v>
      </c>
      <c r="Q3268" s="97" t="str">
        <f t="shared" si="430"/>
        <v/>
      </c>
      <c r="R3268" t="str">
        <f t="shared" si="426"/>
        <v/>
      </c>
    </row>
    <row r="3269" spans="2:18">
      <c r="C3269" t="str">
        <f t="shared" si="427"/>
        <v>NL</v>
      </c>
      <c r="D3269" s="36">
        <v>178</v>
      </c>
      <c r="E3269">
        <v>145</v>
      </c>
      <c r="F3269" s="366">
        <f t="shared" si="429"/>
        <v>3146.5</v>
      </c>
      <c r="G3269" s="97">
        <v>3609</v>
      </c>
      <c r="H3269" s="367">
        <f t="shared" si="424"/>
        <v>6755.5</v>
      </c>
      <c r="I3269" s="368">
        <f t="shared" si="425"/>
        <v>0</v>
      </c>
      <c r="J3269">
        <v>14038</v>
      </c>
      <c r="K3269" s="367">
        <f t="shared" si="428"/>
        <v>10027.142857142857</v>
      </c>
      <c r="L3269" s="607">
        <v>1.07</v>
      </c>
      <c r="M3269">
        <v>4.5999999999999996</v>
      </c>
      <c r="N3269" s="381">
        <v>31</v>
      </c>
      <c r="O3269">
        <v>7</v>
      </c>
      <c r="P3269" t="s">
        <v>515</v>
      </c>
      <c r="Q3269" s="97" t="str">
        <f t="shared" si="430"/>
        <v/>
      </c>
      <c r="R3269" t="str">
        <f t="shared" si="426"/>
        <v/>
      </c>
    </row>
    <row r="3270" spans="2:18">
      <c r="C3270" t="str">
        <f t="shared" si="427"/>
        <v/>
      </c>
      <c r="D3270" s="36">
        <v>179</v>
      </c>
      <c r="E3270">
        <v>145</v>
      </c>
      <c r="F3270" s="366">
        <f t="shared" si="429"/>
        <v>3146.5</v>
      </c>
      <c r="G3270" s="97">
        <v>3704</v>
      </c>
      <c r="H3270" s="367">
        <f t="shared" si="424"/>
        <v>6850.5</v>
      </c>
      <c r="I3270" s="368">
        <f t="shared" si="425"/>
        <v>0</v>
      </c>
      <c r="J3270">
        <v>14407</v>
      </c>
      <c r="K3270" s="367">
        <f t="shared" si="428"/>
        <v>10290.714285714286</v>
      </c>
      <c r="L3270" s="607">
        <v>0.82000000000000006</v>
      </c>
      <c r="M3270">
        <v>4.5</v>
      </c>
      <c r="N3270" s="381">
        <v>29</v>
      </c>
      <c r="O3270">
        <v>8</v>
      </c>
      <c r="P3270" t="s">
        <v>515</v>
      </c>
      <c r="Q3270" s="97" t="str">
        <f t="shared" si="430"/>
        <v/>
      </c>
      <c r="R3270" t="str">
        <f t="shared" si="426"/>
        <v/>
      </c>
    </row>
    <row r="3271" spans="2:18">
      <c r="C3271" t="str">
        <f t="shared" si="427"/>
        <v/>
      </c>
      <c r="D3271" s="36">
        <v>180</v>
      </c>
      <c r="E3271">
        <v>150</v>
      </c>
      <c r="F3271" s="366">
        <f t="shared" si="429"/>
        <v>3255</v>
      </c>
      <c r="G3271" s="97">
        <v>3771</v>
      </c>
      <c r="H3271" s="367">
        <f t="shared" si="424"/>
        <v>7026</v>
      </c>
      <c r="I3271" s="368">
        <f t="shared" si="425"/>
        <v>0</v>
      </c>
      <c r="J3271">
        <v>14668</v>
      </c>
      <c r="K3271" s="367">
        <f t="shared" si="428"/>
        <v>10477.142857142857</v>
      </c>
      <c r="L3271" s="607">
        <v>0.88</v>
      </c>
      <c r="M3271">
        <v>4.5</v>
      </c>
      <c r="N3271" s="381">
        <v>30</v>
      </c>
      <c r="O3271">
        <v>8</v>
      </c>
      <c r="P3271" t="s">
        <v>515</v>
      </c>
      <c r="Q3271" s="97" t="str">
        <f t="shared" si="430"/>
        <v/>
      </c>
      <c r="R3271" t="str">
        <f t="shared" si="426"/>
        <v/>
      </c>
    </row>
    <row r="3272" spans="2:18">
      <c r="C3272" t="str">
        <f t="shared" si="427"/>
        <v/>
      </c>
      <c r="D3272" s="36">
        <v>181</v>
      </c>
      <c r="E3272">
        <v>155</v>
      </c>
      <c r="F3272" s="366">
        <f t="shared" si="429"/>
        <v>3363.5</v>
      </c>
      <c r="G3272" s="97">
        <v>3835</v>
      </c>
      <c r="H3272" s="367">
        <f t="shared" si="424"/>
        <v>7198.5</v>
      </c>
      <c r="I3272" s="368">
        <f t="shared" si="425"/>
        <v>0</v>
      </c>
      <c r="J3272">
        <v>14917</v>
      </c>
      <c r="K3272" s="367">
        <f t="shared" si="428"/>
        <v>10655</v>
      </c>
      <c r="L3272" s="607">
        <v>0.94000000000000006</v>
      </c>
      <c r="M3272">
        <v>4.5</v>
      </c>
      <c r="N3272" s="381">
        <v>30</v>
      </c>
      <c r="O3272">
        <v>8</v>
      </c>
      <c r="P3272" t="s">
        <v>515</v>
      </c>
      <c r="Q3272" s="97" t="str">
        <f t="shared" si="430"/>
        <v/>
      </c>
      <c r="R3272" t="str">
        <f t="shared" si="426"/>
        <v/>
      </c>
    </row>
    <row r="3273" spans="2:18">
      <c r="C3273" t="str">
        <f t="shared" si="427"/>
        <v/>
      </c>
      <c r="D3273" s="36">
        <v>182</v>
      </c>
      <c r="E3273">
        <v>160</v>
      </c>
      <c r="F3273" s="366">
        <f t="shared" si="429"/>
        <v>3472</v>
      </c>
      <c r="G3273" s="97">
        <v>3899</v>
      </c>
      <c r="H3273" s="367">
        <f t="shared" si="424"/>
        <v>7371</v>
      </c>
      <c r="I3273" s="368">
        <f t="shared" si="425"/>
        <v>0</v>
      </c>
      <c r="J3273">
        <v>15163</v>
      </c>
      <c r="K3273" s="367">
        <f t="shared" si="428"/>
        <v>10830.714285714286</v>
      </c>
      <c r="L3273" s="607">
        <v>1</v>
      </c>
      <c r="M3273">
        <v>4.5</v>
      </c>
      <c r="N3273" s="381">
        <v>31</v>
      </c>
      <c r="O3273">
        <v>8</v>
      </c>
      <c r="P3273" t="s">
        <v>515</v>
      </c>
      <c r="Q3273" s="97" t="str">
        <f t="shared" si="430"/>
        <v/>
      </c>
      <c r="R3273" t="str">
        <f t="shared" si="426"/>
        <v/>
      </c>
    </row>
    <row r="3274" spans="2:18">
      <c r="C3274" t="str">
        <f t="shared" si="427"/>
        <v/>
      </c>
      <c r="D3274" s="36">
        <v>183</v>
      </c>
      <c r="E3274">
        <v>165</v>
      </c>
      <c r="F3274" s="366">
        <f t="shared" si="429"/>
        <v>3580.5</v>
      </c>
      <c r="G3274" s="97">
        <v>3914</v>
      </c>
      <c r="H3274" s="367">
        <f t="shared" si="424"/>
        <v>7494.5</v>
      </c>
      <c r="I3274" s="368">
        <f t="shared" si="425"/>
        <v>0</v>
      </c>
      <c r="J3274">
        <v>15222</v>
      </c>
      <c r="K3274" s="367">
        <f t="shared" si="428"/>
        <v>10872.857142857143</v>
      </c>
      <c r="L3274" s="607">
        <v>1.03</v>
      </c>
      <c r="M3274">
        <v>4.5</v>
      </c>
      <c r="N3274" s="381">
        <v>31</v>
      </c>
      <c r="O3274">
        <v>8</v>
      </c>
      <c r="P3274" t="s">
        <v>515</v>
      </c>
      <c r="Q3274" s="97" t="str">
        <f t="shared" si="430"/>
        <v/>
      </c>
      <c r="R3274" t="str">
        <f t="shared" si="426"/>
        <v/>
      </c>
    </row>
    <row r="3275" spans="2:18">
      <c r="B3275" s="582"/>
      <c r="C3275" t="str">
        <f t="shared" si="427"/>
        <v/>
      </c>
      <c r="D3275" s="36">
        <v>184</v>
      </c>
      <c r="E3275">
        <v>170</v>
      </c>
      <c r="F3275" s="366">
        <f t="shared" si="429"/>
        <v>3689</v>
      </c>
      <c r="G3275" s="97">
        <v>3914</v>
      </c>
      <c r="H3275" s="367">
        <f t="shared" si="424"/>
        <v>7603</v>
      </c>
      <c r="I3275" s="368">
        <f t="shared" si="425"/>
        <v>0</v>
      </c>
      <c r="J3275">
        <v>15222</v>
      </c>
      <c r="K3275" s="367">
        <f t="shared" si="428"/>
        <v>10872.857142857143</v>
      </c>
      <c r="L3275" s="607">
        <v>1.0900000000000001</v>
      </c>
      <c r="M3275">
        <v>4.5</v>
      </c>
      <c r="N3275" s="381">
        <v>31</v>
      </c>
      <c r="O3275">
        <v>8</v>
      </c>
      <c r="P3275" t="s">
        <v>515</v>
      </c>
      <c r="Q3275" s="97" t="str">
        <f t="shared" si="430"/>
        <v/>
      </c>
      <c r="R3275" t="str">
        <f t="shared" si="426"/>
        <v/>
      </c>
    </row>
    <row r="3276" spans="2:18">
      <c r="B3276" s="582"/>
    </row>
    <row r="3277" spans="2:18">
      <c r="C3277" t="str">
        <f t="shared" si="427"/>
        <v>NL</v>
      </c>
      <c r="D3277">
        <v>1</v>
      </c>
      <c r="E3277">
        <v>5</v>
      </c>
      <c r="F3277" s="366">
        <f t="shared" si="429"/>
        <v>108.5</v>
      </c>
      <c r="G3277" s="97">
        <v>307</v>
      </c>
      <c r="H3277" s="367">
        <f t="shared" ref="H3277" si="431">(G3277*$U$7)+F3277</f>
        <v>415.5</v>
      </c>
      <c r="I3277" s="368">
        <f t="shared" ref="I3277" si="432">1.085*($C$2-$D$2)*E3277*$T$7</f>
        <v>0</v>
      </c>
      <c r="J3277">
        <v>996</v>
      </c>
      <c r="K3277" s="367">
        <f t="shared" si="428"/>
        <v>711.42857142857144</v>
      </c>
      <c r="L3277">
        <v>0.3</v>
      </c>
      <c r="M3277">
        <v>4</v>
      </c>
      <c r="N3277">
        <v>21</v>
      </c>
      <c r="O3277">
        <v>3</v>
      </c>
      <c r="P3277" t="s">
        <v>512</v>
      </c>
      <c r="Q3277" s="97" t="str">
        <f t="shared" si="430"/>
        <v/>
      </c>
      <c r="R3277" t="str">
        <f>IF(Q3277="","",IF(AND(O3277&lt;$X$29,E3277&gt;$U$29,E3277&lt;$Q$4+$U$29+1),D3277,""))</f>
        <v/>
      </c>
    </row>
    <row r="3278" spans="2:18">
      <c r="C3278" t="str">
        <f t="shared" si="427"/>
        <v>NL</v>
      </c>
      <c r="D3278">
        <v>2</v>
      </c>
      <c r="E3278">
        <v>10</v>
      </c>
      <c r="F3278" s="366">
        <f t="shared" si="429"/>
        <v>217</v>
      </c>
      <c r="G3278" s="97">
        <v>528</v>
      </c>
      <c r="H3278" s="367">
        <f t="shared" ref="H3278:H3341" si="433">(G3278*$U$7)+F3278</f>
        <v>745</v>
      </c>
      <c r="I3278" s="368">
        <f t="shared" ref="I3278:I3341" si="434">1.085*($C$2-$D$2)*E3278*$T$7</f>
        <v>0</v>
      </c>
      <c r="J3278">
        <v>1712</v>
      </c>
      <c r="K3278" s="367">
        <f t="shared" si="428"/>
        <v>1222.8571428571429</v>
      </c>
      <c r="L3278">
        <v>0.43</v>
      </c>
      <c r="M3278">
        <v>4</v>
      </c>
      <c r="N3278">
        <v>22</v>
      </c>
      <c r="O3278">
        <v>3</v>
      </c>
      <c r="P3278" t="s">
        <v>513</v>
      </c>
      <c r="Q3278" s="97" t="str">
        <f t="shared" ref="Q3278:Q3341" si="435">IF(AND(H3278+1&gt;$E$4,L3278&lt;$L$4+0.01,M3278&lt;$M$4+0.01,K3278+1&gt;$F$4,E3278+1&gt;$J$4,N3278&lt;$K$4+1,O3278&lt;$P$4+1,C3278=""),D3278,"")</f>
        <v/>
      </c>
      <c r="R3278" t="str">
        <f t="shared" ref="R3278:R3341" si="436">IF(Q3278="","",IF(AND(O3278&lt;$X$29,E3278&gt;$U$29,E3278&lt;$Q$4+$U$29+1),D3278,""))</f>
        <v/>
      </c>
    </row>
    <row r="3279" spans="2:18">
      <c r="C3279" t="str">
        <f t="shared" si="427"/>
        <v/>
      </c>
      <c r="D3279">
        <v>3</v>
      </c>
      <c r="E3279">
        <v>10</v>
      </c>
      <c r="F3279" s="366">
        <f t="shared" si="429"/>
        <v>217</v>
      </c>
      <c r="G3279" s="97">
        <v>543</v>
      </c>
      <c r="H3279" s="367">
        <f t="shared" si="433"/>
        <v>760</v>
      </c>
      <c r="I3279" s="368">
        <f t="shared" si="434"/>
        <v>0</v>
      </c>
      <c r="J3279">
        <v>1766</v>
      </c>
      <c r="K3279" s="367">
        <f t="shared" si="428"/>
        <v>1261.4285714285716</v>
      </c>
      <c r="L3279">
        <v>0.21000000000000002</v>
      </c>
      <c r="M3279">
        <v>4.5999999999999996</v>
      </c>
      <c r="N3279">
        <v>16</v>
      </c>
      <c r="O3279">
        <v>4</v>
      </c>
      <c r="P3279" t="s">
        <v>513</v>
      </c>
      <c r="Q3279" s="97" t="str">
        <f t="shared" si="435"/>
        <v/>
      </c>
      <c r="R3279" t="str">
        <f t="shared" si="436"/>
        <v/>
      </c>
    </row>
    <row r="3280" spans="2:18">
      <c r="C3280" t="str">
        <f t="shared" si="427"/>
        <v/>
      </c>
      <c r="D3280">
        <v>4</v>
      </c>
      <c r="E3280">
        <v>10</v>
      </c>
      <c r="F3280" s="366">
        <f t="shared" si="429"/>
        <v>217</v>
      </c>
      <c r="G3280" s="97">
        <v>586</v>
      </c>
      <c r="H3280" s="367">
        <f t="shared" si="433"/>
        <v>803</v>
      </c>
      <c r="I3280" s="368">
        <f t="shared" si="434"/>
        <v>0</v>
      </c>
      <c r="J3280">
        <v>1905</v>
      </c>
      <c r="K3280" s="367">
        <f t="shared" si="428"/>
        <v>1360.7142857142858</v>
      </c>
      <c r="L3280">
        <v>0.55000000000000004</v>
      </c>
      <c r="M3280">
        <v>4.5999999999999996</v>
      </c>
      <c r="N3280">
        <v>24</v>
      </c>
      <c r="O3280">
        <v>4</v>
      </c>
      <c r="P3280" t="s">
        <v>512</v>
      </c>
      <c r="Q3280" s="97" t="str">
        <f t="shared" si="435"/>
        <v/>
      </c>
      <c r="R3280" t="str">
        <f t="shared" si="436"/>
        <v/>
      </c>
    </row>
    <row r="3281" spans="3:18">
      <c r="C3281" t="str">
        <f t="shared" si="427"/>
        <v>NL</v>
      </c>
      <c r="D3281">
        <v>5</v>
      </c>
      <c r="E3281">
        <v>10</v>
      </c>
      <c r="F3281" s="366">
        <f t="shared" si="429"/>
        <v>217</v>
      </c>
      <c r="G3281" s="97">
        <v>596</v>
      </c>
      <c r="H3281" s="367">
        <f t="shared" si="433"/>
        <v>813</v>
      </c>
      <c r="I3281" s="368">
        <f t="shared" si="434"/>
        <v>0</v>
      </c>
      <c r="J3281">
        <v>1941</v>
      </c>
      <c r="K3281" s="367">
        <f t="shared" si="428"/>
        <v>1386.4285714285716</v>
      </c>
      <c r="L3281">
        <v>0.32</v>
      </c>
      <c r="M3281">
        <v>5.0999999999999996</v>
      </c>
      <c r="N3281">
        <v>20</v>
      </c>
      <c r="O3281">
        <v>5</v>
      </c>
      <c r="P3281" t="s">
        <v>512</v>
      </c>
      <c r="Q3281" s="97" t="str">
        <f t="shared" si="435"/>
        <v/>
      </c>
      <c r="R3281" t="str">
        <f t="shared" si="436"/>
        <v/>
      </c>
    </row>
    <row r="3282" spans="3:18">
      <c r="C3282" t="str">
        <f t="shared" si="427"/>
        <v/>
      </c>
      <c r="D3282">
        <v>6</v>
      </c>
      <c r="E3282">
        <v>10</v>
      </c>
      <c r="F3282" s="366">
        <f t="shared" si="429"/>
        <v>217</v>
      </c>
      <c r="G3282" s="97">
        <v>603</v>
      </c>
      <c r="H3282" s="367">
        <f t="shared" si="433"/>
        <v>820</v>
      </c>
      <c r="I3282" s="368">
        <f t="shared" si="434"/>
        <v>0</v>
      </c>
      <c r="J3282">
        <v>1971</v>
      </c>
      <c r="K3282" s="367">
        <f t="shared" si="428"/>
        <v>1407.8571428571429</v>
      </c>
      <c r="L3282">
        <v>0.21000000000000002</v>
      </c>
      <c r="M3282">
        <v>4.5999999999999996</v>
      </c>
      <c r="N3282">
        <v>17</v>
      </c>
      <c r="O3282">
        <v>6</v>
      </c>
      <c r="P3282" t="s">
        <v>512</v>
      </c>
      <c r="Q3282" s="97" t="str">
        <f t="shared" si="435"/>
        <v/>
      </c>
      <c r="R3282" t="str">
        <f t="shared" si="436"/>
        <v/>
      </c>
    </row>
    <row r="3283" spans="3:18">
      <c r="C3283" t="str">
        <f t="shared" si="427"/>
        <v>NL</v>
      </c>
      <c r="D3283">
        <v>7</v>
      </c>
      <c r="E3283">
        <v>10</v>
      </c>
      <c r="F3283" s="366">
        <f t="shared" si="429"/>
        <v>217</v>
      </c>
      <c r="G3283" s="97">
        <v>605</v>
      </c>
      <c r="H3283" s="367">
        <f t="shared" si="433"/>
        <v>822</v>
      </c>
      <c r="I3283" s="368">
        <f t="shared" si="434"/>
        <v>0</v>
      </c>
      <c r="J3283">
        <v>1987</v>
      </c>
      <c r="K3283" s="367">
        <f t="shared" si="428"/>
        <v>1419.2857142857142</v>
      </c>
      <c r="L3283">
        <v>0.15000000000000002</v>
      </c>
      <c r="M3283">
        <v>4.6999999999999993</v>
      </c>
      <c r="N3283">
        <v>15</v>
      </c>
      <c r="O3283">
        <v>7</v>
      </c>
      <c r="P3283" t="s">
        <v>512</v>
      </c>
      <c r="Q3283" s="97" t="str">
        <f t="shared" si="435"/>
        <v/>
      </c>
      <c r="R3283" t="str">
        <f t="shared" si="436"/>
        <v/>
      </c>
    </row>
    <row r="3284" spans="3:18">
      <c r="C3284" t="str">
        <f t="shared" si="427"/>
        <v>NL</v>
      </c>
      <c r="D3284">
        <v>8</v>
      </c>
      <c r="E3284">
        <v>15</v>
      </c>
      <c r="F3284" s="366">
        <f t="shared" si="429"/>
        <v>325.5</v>
      </c>
      <c r="G3284" s="97">
        <v>677</v>
      </c>
      <c r="H3284" s="367">
        <f t="shared" si="433"/>
        <v>1002.5</v>
      </c>
      <c r="I3284" s="368">
        <f t="shared" si="434"/>
        <v>0</v>
      </c>
      <c r="J3284">
        <v>2194</v>
      </c>
      <c r="K3284" s="367">
        <f t="shared" si="428"/>
        <v>1567.1428571428571</v>
      </c>
      <c r="L3284">
        <v>0.27</v>
      </c>
      <c r="M3284">
        <v>4</v>
      </c>
      <c r="N3284">
        <v>20</v>
      </c>
      <c r="O3284">
        <v>3</v>
      </c>
      <c r="P3284" t="s">
        <v>514</v>
      </c>
      <c r="Q3284" s="97" t="str">
        <f t="shared" si="435"/>
        <v/>
      </c>
      <c r="R3284" t="str">
        <f t="shared" si="436"/>
        <v/>
      </c>
    </row>
    <row r="3285" spans="3:18">
      <c r="C3285" t="str">
        <f t="shared" si="427"/>
        <v>NL</v>
      </c>
      <c r="D3285">
        <v>9</v>
      </c>
      <c r="E3285">
        <v>15</v>
      </c>
      <c r="F3285" s="366">
        <f t="shared" si="429"/>
        <v>325.5</v>
      </c>
      <c r="G3285" s="97">
        <v>743</v>
      </c>
      <c r="H3285" s="367">
        <f t="shared" si="433"/>
        <v>1068.5</v>
      </c>
      <c r="I3285" s="368">
        <f t="shared" si="434"/>
        <v>0</v>
      </c>
      <c r="J3285">
        <v>2408</v>
      </c>
      <c r="K3285" s="367">
        <f t="shared" si="428"/>
        <v>1720</v>
      </c>
      <c r="L3285">
        <v>0.96</v>
      </c>
      <c r="M3285">
        <v>4</v>
      </c>
      <c r="N3285">
        <v>27</v>
      </c>
      <c r="O3285">
        <v>3</v>
      </c>
      <c r="P3285" t="s">
        <v>513</v>
      </c>
      <c r="Q3285" s="97" t="str">
        <f t="shared" si="435"/>
        <v/>
      </c>
      <c r="R3285" t="str">
        <f t="shared" si="436"/>
        <v/>
      </c>
    </row>
    <row r="3286" spans="3:18">
      <c r="C3286" t="str">
        <f t="shared" ref="C3286:C3349" si="437">IF(OR($O$4=0,O3286-$O$4=0),IF(AND(ISEVEN(O3286)=FALSE,$N$4="Even"),"NL",""),"NL")</f>
        <v/>
      </c>
      <c r="D3286">
        <v>10</v>
      </c>
      <c r="E3286">
        <v>15</v>
      </c>
      <c r="F3286" s="366">
        <f t="shared" si="429"/>
        <v>325.5</v>
      </c>
      <c r="G3286" s="97">
        <v>775</v>
      </c>
      <c r="H3286" s="367">
        <f t="shared" si="433"/>
        <v>1100.5</v>
      </c>
      <c r="I3286" s="368">
        <f t="shared" si="434"/>
        <v>0</v>
      </c>
      <c r="J3286">
        <v>2518</v>
      </c>
      <c r="K3286" s="367">
        <f t="shared" ref="K3286:K3349" si="438">(J3286*$V$7)-I3286</f>
        <v>1798.5714285714287</v>
      </c>
      <c r="L3286">
        <v>0.47000000000000003</v>
      </c>
      <c r="M3286">
        <v>4.5999999999999996</v>
      </c>
      <c r="N3286">
        <v>22</v>
      </c>
      <c r="O3286">
        <v>4</v>
      </c>
      <c r="P3286" t="s">
        <v>513</v>
      </c>
      <c r="Q3286" s="97" t="str">
        <f t="shared" si="435"/>
        <v/>
      </c>
      <c r="R3286" t="str">
        <f t="shared" si="436"/>
        <v/>
      </c>
    </row>
    <row r="3287" spans="3:18">
      <c r="C3287" t="str">
        <f t="shared" si="437"/>
        <v>NL</v>
      </c>
      <c r="D3287">
        <v>11</v>
      </c>
      <c r="E3287">
        <v>15</v>
      </c>
      <c r="F3287" s="366">
        <f t="shared" si="429"/>
        <v>325.5</v>
      </c>
      <c r="G3287" s="97">
        <v>793</v>
      </c>
      <c r="H3287" s="367">
        <f t="shared" si="433"/>
        <v>1118.5</v>
      </c>
      <c r="I3287" s="368">
        <f t="shared" si="434"/>
        <v>0</v>
      </c>
      <c r="J3287">
        <v>2584</v>
      </c>
      <c r="K3287" s="367">
        <f t="shared" si="438"/>
        <v>1845.7142857142858</v>
      </c>
      <c r="L3287">
        <v>0.28000000000000003</v>
      </c>
      <c r="M3287">
        <v>5.0999999999999996</v>
      </c>
      <c r="N3287">
        <v>18</v>
      </c>
      <c r="O3287">
        <v>5</v>
      </c>
      <c r="P3287" t="s">
        <v>513</v>
      </c>
      <c r="Q3287" s="97" t="str">
        <f t="shared" si="435"/>
        <v/>
      </c>
      <c r="R3287" t="str">
        <f t="shared" si="436"/>
        <v/>
      </c>
    </row>
    <row r="3288" spans="3:18">
      <c r="C3288" t="str">
        <f t="shared" si="437"/>
        <v>NL</v>
      </c>
      <c r="D3288">
        <v>12</v>
      </c>
      <c r="E3288">
        <v>15</v>
      </c>
      <c r="F3288" s="366">
        <f t="shared" si="429"/>
        <v>325.5</v>
      </c>
      <c r="G3288" s="97">
        <v>849</v>
      </c>
      <c r="H3288" s="367">
        <f t="shared" si="433"/>
        <v>1174.5</v>
      </c>
      <c r="I3288" s="368">
        <f t="shared" si="434"/>
        <v>0</v>
      </c>
      <c r="J3288">
        <v>2768</v>
      </c>
      <c r="K3288" s="367">
        <f t="shared" si="438"/>
        <v>1977.1428571428571</v>
      </c>
      <c r="L3288">
        <v>0.71</v>
      </c>
      <c r="M3288">
        <v>5.0999999999999996</v>
      </c>
      <c r="N3288">
        <v>26</v>
      </c>
      <c r="O3288">
        <v>5</v>
      </c>
      <c r="P3288" t="s">
        <v>512</v>
      </c>
      <c r="Q3288" s="97" t="str">
        <f t="shared" si="435"/>
        <v/>
      </c>
      <c r="R3288" t="str">
        <f t="shared" si="436"/>
        <v/>
      </c>
    </row>
    <row r="3289" spans="3:18">
      <c r="C3289" t="str">
        <f t="shared" si="437"/>
        <v/>
      </c>
      <c r="D3289">
        <v>13</v>
      </c>
      <c r="E3289">
        <v>15</v>
      </c>
      <c r="F3289" s="366">
        <f t="shared" si="429"/>
        <v>325.5</v>
      </c>
      <c r="G3289" s="97">
        <v>804</v>
      </c>
      <c r="H3289" s="367">
        <f t="shared" si="433"/>
        <v>1129.5</v>
      </c>
      <c r="I3289" s="368">
        <f t="shared" si="434"/>
        <v>0</v>
      </c>
      <c r="J3289">
        <v>2632</v>
      </c>
      <c r="K3289" s="367">
        <f t="shared" si="438"/>
        <v>1880</v>
      </c>
      <c r="L3289">
        <v>0.18000000000000002</v>
      </c>
      <c r="M3289">
        <v>4.5999999999999996</v>
      </c>
      <c r="N3289">
        <v>15</v>
      </c>
      <c r="O3289">
        <v>6</v>
      </c>
      <c r="P3289" t="s">
        <v>513</v>
      </c>
      <c r="Q3289" s="97" t="str">
        <f t="shared" si="435"/>
        <v/>
      </c>
      <c r="R3289" t="str">
        <f t="shared" si="436"/>
        <v/>
      </c>
    </row>
    <row r="3290" spans="3:18">
      <c r="C3290" t="str">
        <f t="shared" si="437"/>
        <v/>
      </c>
      <c r="D3290">
        <v>14</v>
      </c>
      <c r="E3290">
        <v>15</v>
      </c>
      <c r="F3290" s="366">
        <f t="shared" si="429"/>
        <v>325.5</v>
      </c>
      <c r="G3290" s="97">
        <v>864</v>
      </c>
      <c r="H3290" s="367">
        <f t="shared" si="433"/>
        <v>1189.5</v>
      </c>
      <c r="I3290" s="368">
        <f t="shared" si="434"/>
        <v>0</v>
      </c>
      <c r="J3290">
        <v>2833</v>
      </c>
      <c r="K3290" s="367">
        <f t="shared" si="438"/>
        <v>2023.5714285714287</v>
      </c>
      <c r="L3290">
        <v>0.47000000000000003</v>
      </c>
      <c r="M3290">
        <v>4.5999999999999996</v>
      </c>
      <c r="N3290">
        <v>23</v>
      </c>
      <c r="O3290">
        <v>6</v>
      </c>
      <c r="P3290" t="s">
        <v>512</v>
      </c>
      <c r="Q3290" s="97" t="str">
        <f t="shared" si="435"/>
        <v/>
      </c>
      <c r="R3290" t="str">
        <f t="shared" si="436"/>
        <v/>
      </c>
    </row>
    <row r="3291" spans="3:18">
      <c r="C3291" t="str">
        <f t="shared" si="437"/>
        <v>NL</v>
      </c>
      <c r="D3291">
        <v>15</v>
      </c>
      <c r="E3291">
        <v>15</v>
      </c>
      <c r="F3291" s="366">
        <f t="shared" si="429"/>
        <v>325.5</v>
      </c>
      <c r="G3291" s="97">
        <v>811</v>
      </c>
      <c r="H3291" s="367">
        <f t="shared" si="433"/>
        <v>1136.5</v>
      </c>
      <c r="I3291" s="368">
        <f t="shared" si="434"/>
        <v>0</v>
      </c>
      <c r="J3291">
        <v>2668</v>
      </c>
      <c r="K3291" s="367">
        <f t="shared" si="438"/>
        <v>1905.7142857142858</v>
      </c>
      <c r="L3291">
        <v>0.13</v>
      </c>
      <c r="M3291">
        <v>4.6999999999999993</v>
      </c>
      <c r="N3291">
        <v>15</v>
      </c>
      <c r="O3291">
        <v>7</v>
      </c>
      <c r="P3291" t="s">
        <v>513</v>
      </c>
      <c r="Q3291" s="97" t="str">
        <f t="shared" si="435"/>
        <v/>
      </c>
      <c r="R3291" t="str">
        <f t="shared" si="436"/>
        <v/>
      </c>
    </row>
    <row r="3292" spans="3:18">
      <c r="C3292" t="str">
        <f t="shared" si="437"/>
        <v>NL</v>
      </c>
      <c r="D3292">
        <v>16</v>
      </c>
      <c r="E3292">
        <v>15</v>
      </c>
      <c r="F3292" s="366">
        <f t="shared" si="429"/>
        <v>325.5</v>
      </c>
      <c r="G3292" s="97">
        <v>870</v>
      </c>
      <c r="H3292" s="367">
        <f t="shared" si="433"/>
        <v>1195.5</v>
      </c>
      <c r="I3292" s="368">
        <f t="shared" si="434"/>
        <v>0</v>
      </c>
      <c r="J3292">
        <v>2869</v>
      </c>
      <c r="K3292" s="367">
        <f t="shared" si="438"/>
        <v>2049.2857142857142</v>
      </c>
      <c r="L3292">
        <v>0.33</v>
      </c>
      <c r="M3292">
        <v>4.6999999999999993</v>
      </c>
      <c r="N3292">
        <v>20</v>
      </c>
      <c r="O3292">
        <v>7</v>
      </c>
      <c r="P3292" t="s">
        <v>512</v>
      </c>
      <c r="Q3292" s="97" t="str">
        <f t="shared" si="435"/>
        <v/>
      </c>
      <c r="R3292" t="str">
        <f t="shared" si="436"/>
        <v/>
      </c>
    </row>
    <row r="3293" spans="3:18">
      <c r="C3293" t="str">
        <f t="shared" si="437"/>
        <v/>
      </c>
      <c r="D3293">
        <v>17</v>
      </c>
      <c r="E3293">
        <v>15</v>
      </c>
      <c r="F3293" s="366">
        <f t="shared" si="429"/>
        <v>325.5</v>
      </c>
      <c r="G3293" s="97">
        <v>878</v>
      </c>
      <c r="H3293" s="367">
        <f t="shared" si="433"/>
        <v>1203.5</v>
      </c>
      <c r="I3293" s="368">
        <f t="shared" si="434"/>
        <v>0</v>
      </c>
      <c r="J3293">
        <v>2909</v>
      </c>
      <c r="K3293" s="367">
        <f t="shared" si="438"/>
        <v>2077.8571428571431</v>
      </c>
      <c r="L3293">
        <v>0.25</v>
      </c>
      <c r="M3293">
        <v>4.5999999999999996</v>
      </c>
      <c r="N3293">
        <v>18</v>
      </c>
      <c r="O3293">
        <v>8</v>
      </c>
      <c r="P3293" t="s">
        <v>512</v>
      </c>
      <c r="Q3293" s="97" t="str">
        <f t="shared" si="435"/>
        <v/>
      </c>
      <c r="R3293" t="str">
        <f t="shared" si="436"/>
        <v/>
      </c>
    </row>
    <row r="3294" spans="3:18">
      <c r="C3294" t="str">
        <f t="shared" si="437"/>
        <v>NL</v>
      </c>
      <c r="D3294">
        <v>18</v>
      </c>
      <c r="E3294">
        <v>20</v>
      </c>
      <c r="F3294" s="366">
        <f t="shared" si="429"/>
        <v>434</v>
      </c>
      <c r="G3294" s="97">
        <v>759</v>
      </c>
      <c r="H3294" s="367">
        <f t="shared" si="433"/>
        <v>1193</v>
      </c>
      <c r="I3294" s="368">
        <f t="shared" si="434"/>
        <v>0</v>
      </c>
      <c r="J3294">
        <v>2460</v>
      </c>
      <c r="K3294" s="367">
        <f t="shared" si="438"/>
        <v>1757.1428571428571</v>
      </c>
      <c r="L3294">
        <v>0.13</v>
      </c>
      <c r="M3294">
        <v>4</v>
      </c>
      <c r="N3294">
        <v>15</v>
      </c>
      <c r="O3294">
        <v>3</v>
      </c>
      <c r="P3294" t="s">
        <v>515</v>
      </c>
      <c r="Q3294" s="97" t="str">
        <f t="shared" si="435"/>
        <v/>
      </c>
      <c r="R3294" t="str">
        <f t="shared" si="436"/>
        <v/>
      </c>
    </row>
    <row r="3295" spans="3:18">
      <c r="C3295" t="str">
        <f t="shared" si="437"/>
        <v>NL</v>
      </c>
      <c r="D3295">
        <v>19</v>
      </c>
      <c r="E3295">
        <v>20</v>
      </c>
      <c r="F3295" s="366">
        <f t="shared" si="429"/>
        <v>434</v>
      </c>
      <c r="G3295" s="97">
        <v>858</v>
      </c>
      <c r="H3295" s="367">
        <f t="shared" si="433"/>
        <v>1292</v>
      </c>
      <c r="I3295" s="368">
        <f t="shared" si="434"/>
        <v>0</v>
      </c>
      <c r="J3295">
        <v>2782</v>
      </c>
      <c r="K3295" s="367">
        <f t="shared" si="438"/>
        <v>1987.1428571428571</v>
      </c>
      <c r="L3295">
        <v>0.48</v>
      </c>
      <c r="M3295">
        <v>4</v>
      </c>
      <c r="N3295">
        <v>24</v>
      </c>
      <c r="O3295">
        <v>3</v>
      </c>
      <c r="P3295" t="s">
        <v>514</v>
      </c>
      <c r="Q3295" s="97" t="str">
        <f t="shared" si="435"/>
        <v/>
      </c>
      <c r="R3295" t="str">
        <f t="shared" si="436"/>
        <v/>
      </c>
    </row>
    <row r="3296" spans="3:18">
      <c r="C3296" t="str">
        <f t="shared" si="437"/>
        <v/>
      </c>
      <c r="D3296">
        <v>20</v>
      </c>
      <c r="E3296">
        <v>20</v>
      </c>
      <c r="F3296" s="366">
        <f t="shared" si="429"/>
        <v>434</v>
      </c>
      <c r="G3296" s="97">
        <v>896</v>
      </c>
      <c r="H3296" s="367">
        <f t="shared" si="433"/>
        <v>1330</v>
      </c>
      <c r="I3296" s="368">
        <f t="shared" si="434"/>
        <v>0</v>
      </c>
      <c r="J3296">
        <v>2914</v>
      </c>
      <c r="K3296" s="367">
        <f t="shared" si="438"/>
        <v>2081.4285714285716</v>
      </c>
      <c r="L3296">
        <v>0.23</v>
      </c>
      <c r="M3296">
        <v>4.5999999999999996</v>
      </c>
      <c r="N3296">
        <v>19</v>
      </c>
      <c r="O3296">
        <v>4</v>
      </c>
      <c r="P3296" t="s">
        <v>514</v>
      </c>
      <c r="Q3296" s="97" t="str">
        <f t="shared" si="435"/>
        <v/>
      </c>
      <c r="R3296" t="str">
        <f t="shared" si="436"/>
        <v/>
      </c>
    </row>
    <row r="3297" spans="3:18">
      <c r="C3297" t="str">
        <f t="shared" si="437"/>
        <v/>
      </c>
      <c r="D3297">
        <v>21</v>
      </c>
      <c r="E3297">
        <v>20</v>
      </c>
      <c r="F3297" s="366">
        <f t="shared" si="429"/>
        <v>434</v>
      </c>
      <c r="G3297" s="97">
        <v>981</v>
      </c>
      <c r="H3297" s="367">
        <f t="shared" si="433"/>
        <v>1415</v>
      </c>
      <c r="I3297" s="368">
        <f t="shared" si="434"/>
        <v>0</v>
      </c>
      <c r="J3297">
        <v>3192</v>
      </c>
      <c r="K3297" s="367">
        <f t="shared" si="438"/>
        <v>2280</v>
      </c>
      <c r="L3297">
        <v>0.82000000000000006</v>
      </c>
      <c r="M3297">
        <v>4.5999999999999996</v>
      </c>
      <c r="N3297">
        <v>25</v>
      </c>
      <c r="O3297">
        <v>4</v>
      </c>
      <c r="P3297" t="s">
        <v>513</v>
      </c>
      <c r="Q3297" s="97" t="str">
        <f t="shared" si="435"/>
        <v/>
      </c>
      <c r="R3297" t="str">
        <f t="shared" si="436"/>
        <v/>
      </c>
    </row>
    <row r="3298" spans="3:18">
      <c r="C3298" t="str">
        <f t="shared" si="437"/>
        <v>NL</v>
      </c>
      <c r="D3298">
        <v>22</v>
      </c>
      <c r="E3298">
        <v>20</v>
      </c>
      <c r="F3298" s="366">
        <f t="shared" si="429"/>
        <v>434</v>
      </c>
      <c r="G3298" s="97">
        <v>919</v>
      </c>
      <c r="H3298" s="367">
        <f t="shared" si="433"/>
        <v>1353</v>
      </c>
      <c r="I3298" s="368">
        <f t="shared" si="434"/>
        <v>0</v>
      </c>
      <c r="J3298">
        <v>2995</v>
      </c>
      <c r="K3298" s="367">
        <f t="shared" si="438"/>
        <v>2139.2857142857142</v>
      </c>
      <c r="L3298">
        <v>0.14000000000000001</v>
      </c>
      <c r="M3298">
        <v>5.0999999999999996</v>
      </c>
      <c r="N3298">
        <v>15</v>
      </c>
      <c r="O3298">
        <v>5</v>
      </c>
      <c r="P3298" t="s">
        <v>514</v>
      </c>
      <c r="Q3298" s="97" t="str">
        <f t="shared" si="435"/>
        <v/>
      </c>
      <c r="R3298" t="str">
        <f t="shared" si="436"/>
        <v/>
      </c>
    </row>
    <row r="3299" spans="3:18">
      <c r="C3299" t="str">
        <f t="shared" si="437"/>
        <v>NL</v>
      </c>
      <c r="D3299">
        <v>23</v>
      </c>
      <c r="E3299">
        <v>20</v>
      </c>
      <c r="F3299" s="366">
        <f t="shared" si="429"/>
        <v>434</v>
      </c>
      <c r="G3299" s="97">
        <v>1010</v>
      </c>
      <c r="H3299" s="367">
        <f t="shared" si="433"/>
        <v>1444</v>
      </c>
      <c r="I3299" s="368">
        <f t="shared" si="434"/>
        <v>0</v>
      </c>
      <c r="J3299">
        <v>3298</v>
      </c>
      <c r="K3299" s="367">
        <f t="shared" si="438"/>
        <v>2355.7142857142858</v>
      </c>
      <c r="L3299">
        <v>0.49</v>
      </c>
      <c r="M3299">
        <v>5.0999999999999996</v>
      </c>
      <c r="N3299">
        <v>22</v>
      </c>
      <c r="O3299">
        <v>5</v>
      </c>
      <c r="P3299" t="s">
        <v>513</v>
      </c>
      <c r="Q3299" s="97" t="str">
        <f t="shared" si="435"/>
        <v/>
      </c>
      <c r="R3299" t="str">
        <f t="shared" si="436"/>
        <v/>
      </c>
    </row>
    <row r="3300" spans="3:18">
      <c r="C3300" t="str">
        <f t="shared" si="437"/>
        <v/>
      </c>
      <c r="D3300">
        <v>24</v>
      </c>
      <c r="E3300">
        <v>20</v>
      </c>
      <c r="F3300" s="366">
        <f t="shared" si="429"/>
        <v>434</v>
      </c>
      <c r="G3300" s="97">
        <v>1029</v>
      </c>
      <c r="H3300" s="367">
        <f t="shared" si="433"/>
        <v>1463</v>
      </c>
      <c r="I3300" s="368">
        <f t="shared" si="434"/>
        <v>0</v>
      </c>
      <c r="J3300">
        <v>3381</v>
      </c>
      <c r="K3300" s="367">
        <f t="shared" si="438"/>
        <v>2415</v>
      </c>
      <c r="L3300">
        <v>0.32</v>
      </c>
      <c r="M3300">
        <v>4.5999999999999996</v>
      </c>
      <c r="N3300">
        <v>19</v>
      </c>
      <c r="O3300">
        <v>6</v>
      </c>
      <c r="P3300" t="s">
        <v>513</v>
      </c>
      <c r="Q3300" s="97" t="str">
        <f t="shared" si="435"/>
        <v/>
      </c>
      <c r="R3300" t="str">
        <f t="shared" si="436"/>
        <v/>
      </c>
    </row>
    <row r="3301" spans="3:18">
      <c r="C3301" t="str">
        <f t="shared" si="437"/>
        <v/>
      </c>
      <c r="D3301">
        <v>25</v>
      </c>
      <c r="E3301">
        <v>20</v>
      </c>
      <c r="F3301" s="366">
        <f t="shared" si="429"/>
        <v>434</v>
      </c>
      <c r="G3301" s="97">
        <v>1101</v>
      </c>
      <c r="H3301" s="367">
        <f t="shared" si="433"/>
        <v>1535</v>
      </c>
      <c r="I3301" s="368">
        <f t="shared" si="434"/>
        <v>0</v>
      </c>
      <c r="J3301">
        <v>3623</v>
      </c>
      <c r="K3301" s="367">
        <f t="shared" si="438"/>
        <v>2587.8571428571431</v>
      </c>
      <c r="L3301">
        <v>0.82000000000000006</v>
      </c>
      <c r="M3301">
        <v>4.5999999999999996</v>
      </c>
      <c r="N3301">
        <v>26</v>
      </c>
      <c r="O3301">
        <v>6</v>
      </c>
      <c r="P3301" t="s">
        <v>512</v>
      </c>
      <c r="Q3301" s="97" t="str">
        <f t="shared" si="435"/>
        <v/>
      </c>
      <c r="R3301" t="str">
        <f t="shared" si="436"/>
        <v/>
      </c>
    </row>
    <row r="3302" spans="3:18">
      <c r="C3302" t="str">
        <f t="shared" si="437"/>
        <v>NL</v>
      </c>
      <c r="D3302">
        <v>26</v>
      </c>
      <c r="E3302">
        <v>20</v>
      </c>
      <c r="F3302" s="366">
        <f t="shared" si="429"/>
        <v>434</v>
      </c>
      <c r="G3302" s="97">
        <v>1038</v>
      </c>
      <c r="H3302" s="367">
        <f t="shared" si="433"/>
        <v>1472</v>
      </c>
      <c r="I3302" s="368">
        <f t="shared" si="434"/>
        <v>0</v>
      </c>
      <c r="J3302">
        <v>3431</v>
      </c>
      <c r="K3302" s="367">
        <f t="shared" si="438"/>
        <v>2450.7142857142858</v>
      </c>
      <c r="L3302">
        <v>0.23</v>
      </c>
      <c r="M3302">
        <v>4.6999999999999993</v>
      </c>
      <c r="N3302">
        <v>17</v>
      </c>
      <c r="O3302">
        <v>7</v>
      </c>
      <c r="P3302" t="s">
        <v>513</v>
      </c>
      <c r="Q3302" s="97" t="str">
        <f t="shared" si="435"/>
        <v/>
      </c>
      <c r="R3302" t="str">
        <f t="shared" si="436"/>
        <v/>
      </c>
    </row>
    <row r="3303" spans="3:18">
      <c r="C3303" t="str">
        <f t="shared" si="437"/>
        <v>NL</v>
      </c>
      <c r="D3303">
        <v>27</v>
      </c>
      <c r="E3303">
        <v>20</v>
      </c>
      <c r="F3303" s="366">
        <f t="shared" si="429"/>
        <v>434</v>
      </c>
      <c r="G3303" s="97">
        <v>1112</v>
      </c>
      <c r="H3303" s="367">
        <f t="shared" si="433"/>
        <v>1546</v>
      </c>
      <c r="I3303" s="368">
        <f t="shared" si="434"/>
        <v>0</v>
      </c>
      <c r="J3303">
        <v>3683</v>
      </c>
      <c r="K3303" s="367">
        <f t="shared" si="438"/>
        <v>2630.7142857142858</v>
      </c>
      <c r="L3303">
        <v>0.57999999999999996</v>
      </c>
      <c r="M3303">
        <v>4.6999999999999993</v>
      </c>
      <c r="N3303">
        <v>24</v>
      </c>
      <c r="O3303">
        <v>7</v>
      </c>
      <c r="P3303" t="s">
        <v>512</v>
      </c>
      <c r="Q3303" s="97" t="str">
        <f t="shared" si="435"/>
        <v/>
      </c>
      <c r="R3303" t="str">
        <f t="shared" si="436"/>
        <v/>
      </c>
    </row>
    <row r="3304" spans="3:18">
      <c r="C3304" t="str">
        <f t="shared" si="437"/>
        <v/>
      </c>
      <c r="D3304">
        <v>28</v>
      </c>
      <c r="E3304">
        <v>20</v>
      </c>
      <c r="F3304" s="366">
        <f t="shared" si="429"/>
        <v>434</v>
      </c>
      <c r="G3304" s="97">
        <v>1045</v>
      </c>
      <c r="H3304" s="367">
        <f t="shared" si="433"/>
        <v>1479</v>
      </c>
      <c r="I3304" s="368">
        <f t="shared" si="434"/>
        <v>0</v>
      </c>
      <c r="J3304">
        <v>3478</v>
      </c>
      <c r="K3304" s="367">
        <f t="shared" si="438"/>
        <v>2484.2857142857142</v>
      </c>
      <c r="L3304">
        <v>0.17</v>
      </c>
      <c r="M3304">
        <v>4.5999999999999996</v>
      </c>
      <c r="N3304">
        <v>15</v>
      </c>
      <c r="O3304">
        <v>8</v>
      </c>
      <c r="P3304" t="s">
        <v>513</v>
      </c>
      <c r="Q3304" s="97" t="str">
        <f t="shared" si="435"/>
        <v/>
      </c>
      <c r="R3304" t="str">
        <f t="shared" si="436"/>
        <v/>
      </c>
    </row>
    <row r="3305" spans="3:18">
      <c r="C3305" t="str">
        <f t="shared" si="437"/>
        <v/>
      </c>
      <c r="D3305">
        <v>29</v>
      </c>
      <c r="E3305">
        <v>20</v>
      </c>
      <c r="F3305" s="366">
        <f t="shared" si="429"/>
        <v>434</v>
      </c>
      <c r="G3305" s="97">
        <v>1120</v>
      </c>
      <c r="H3305" s="367">
        <f t="shared" si="433"/>
        <v>1554</v>
      </c>
      <c r="I3305" s="368">
        <f t="shared" si="434"/>
        <v>0</v>
      </c>
      <c r="J3305">
        <v>3738</v>
      </c>
      <c r="K3305" s="367">
        <f t="shared" si="438"/>
        <v>2670</v>
      </c>
      <c r="L3305">
        <v>0.43</v>
      </c>
      <c r="M3305">
        <v>4.5999999999999996</v>
      </c>
      <c r="N3305">
        <v>22</v>
      </c>
      <c r="O3305">
        <v>8</v>
      </c>
      <c r="P3305" t="s">
        <v>512</v>
      </c>
      <c r="Q3305" s="97" t="str">
        <f t="shared" si="435"/>
        <v/>
      </c>
      <c r="R3305" t="str">
        <f t="shared" si="436"/>
        <v/>
      </c>
    </row>
    <row r="3306" spans="3:18">
      <c r="C3306" t="str">
        <f t="shared" si="437"/>
        <v>NL</v>
      </c>
      <c r="D3306">
        <v>30</v>
      </c>
      <c r="E3306">
        <v>25</v>
      </c>
      <c r="F3306" s="366">
        <f t="shared" si="429"/>
        <v>542.5</v>
      </c>
      <c r="G3306" s="97">
        <v>911</v>
      </c>
      <c r="H3306" s="367">
        <f t="shared" si="433"/>
        <v>1453.5</v>
      </c>
      <c r="I3306" s="368">
        <f t="shared" si="434"/>
        <v>0</v>
      </c>
      <c r="J3306">
        <v>2952</v>
      </c>
      <c r="K3306" s="367">
        <f t="shared" si="438"/>
        <v>2108.5714285714284</v>
      </c>
      <c r="L3306">
        <v>0.2</v>
      </c>
      <c r="M3306">
        <v>4</v>
      </c>
      <c r="N3306">
        <v>17</v>
      </c>
      <c r="O3306">
        <v>3</v>
      </c>
      <c r="P3306" t="s">
        <v>515</v>
      </c>
      <c r="Q3306" s="97" t="str">
        <f t="shared" si="435"/>
        <v/>
      </c>
      <c r="R3306" t="str">
        <f t="shared" si="436"/>
        <v/>
      </c>
    </row>
    <row r="3307" spans="3:18">
      <c r="C3307" t="str">
        <f t="shared" si="437"/>
        <v>NL</v>
      </c>
      <c r="D3307">
        <v>31</v>
      </c>
      <c r="E3307">
        <v>25</v>
      </c>
      <c r="F3307" s="366">
        <f t="shared" si="429"/>
        <v>542.5</v>
      </c>
      <c r="G3307" s="97">
        <v>1024</v>
      </c>
      <c r="H3307" s="367">
        <f t="shared" si="433"/>
        <v>1566.5</v>
      </c>
      <c r="I3307" s="368">
        <f t="shared" si="434"/>
        <v>0</v>
      </c>
      <c r="J3307">
        <v>3319</v>
      </c>
      <c r="K3307" s="367">
        <f t="shared" si="438"/>
        <v>2370.7142857142858</v>
      </c>
      <c r="L3307">
        <v>0.74</v>
      </c>
      <c r="M3307">
        <v>4</v>
      </c>
      <c r="N3307">
        <v>27</v>
      </c>
      <c r="O3307">
        <v>3</v>
      </c>
      <c r="P3307" t="s">
        <v>514</v>
      </c>
      <c r="Q3307" s="97" t="str">
        <f t="shared" si="435"/>
        <v/>
      </c>
      <c r="R3307" t="str">
        <f t="shared" si="436"/>
        <v/>
      </c>
    </row>
    <row r="3308" spans="3:18">
      <c r="C3308" t="str">
        <f t="shared" si="437"/>
        <v/>
      </c>
      <c r="D3308">
        <v>32</v>
      </c>
      <c r="E3308">
        <v>25</v>
      </c>
      <c r="F3308" s="366">
        <f t="shared" si="429"/>
        <v>542.5</v>
      </c>
      <c r="G3308" s="97">
        <v>1076</v>
      </c>
      <c r="H3308" s="367">
        <f t="shared" si="433"/>
        <v>1618.5</v>
      </c>
      <c r="I3308" s="368">
        <f t="shared" si="434"/>
        <v>0</v>
      </c>
      <c r="J3308">
        <v>3501</v>
      </c>
      <c r="K3308" s="367">
        <f t="shared" si="438"/>
        <v>2500.7142857142858</v>
      </c>
      <c r="L3308">
        <v>0.36</v>
      </c>
      <c r="M3308">
        <v>4.5999999999999996</v>
      </c>
      <c r="N3308">
        <v>22</v>
      </c>
      <c r="O3308">
        <v>4</v>
      </c>
      <c r="P3308" t="s">
        <v>514</v>
      </c>
      <c r="Q3308" s="97" t="str">
        <f t="shared" si="435"/>
        <v/>
      </c>
      <c r="R3308" t="str">
        <f t="shared" si="436"/>
        <v/>
      </c>
    </row>
    <row r="3309" spans="3:18">
      <c r="C3309" t="str">
        <f t="shared" si="437"/>
        <v>NL</v>
      </c>
      <c r="D3309">
        <v>33</v>
      </c>
      <c r="E3309">
        <v>25</v>
      </c>
      <c r="F3309" s="366">
        <f t="shared" si="429"/>
        <v>542.5</v>
      </c>
      <c r="G3309" s="97">
        <v>1108</v>
      </c>
      <c r="H3309" s="367">
        <f t="shared" si="433"/>
        <v>1650.5</v>
      </c>
      <c r="I3309" s="368">
        <f t="shared" si="434"/>
        <v>0</v>
      </c>
      <c r="J3309">
        <v>3618</v>
      </c>
      <c r="K3309" s="367">
        <f t="shared" si="438"/>
        <v>2584.2857142857142</v>
      </c>
      <c r="L3309">
        <v>0.22</v>
      </c>
      <c r="M3309">
        <v>5.0999999999999996</v>
      </c>
      <c r="N3309">
        <v>18</v>
      </c>
      <c r="O3309">
        <v>5</v>
      </c>
      <c r="P3309" t="s">
        <v>514</v>
      </c>
      <c r="Q3309" s="97" t="str">
        <f t="shared" si="435"/>
        <v/>
      </c>
      <c r="R3309" t="str">
        <f t="shared" si="436"/>
        <v/>
      </c>
    </row>
    <row r="3310" spans="3:18">
      <c r="C3310" t="str">
        <f t="shared" si="437"/>
        <v>NL</v>
      </c>
      <c r="D3310">
        <v>34</v>
      </c>
      <c r="E3310">
        <v>25</v>
      </c>
      <c r="F3310" s="366">
        <f t="shared" si="429"/>
        <v>542.5</v>
      </c>
      <c r="G3310" s="97">
        <v>1212</v>
      </c>
      <c r="H3310" s="367">
        <f t="shared" si="433"/>
        <v>1754.5</v>
      </c>
      <c r="I3310" s="368">
        <f t="shared" si="434"/>
        <v>0</v>
      </c>
      <c r="J3310">
        <v>3960</v>
      </c>
      <c r="K3310" s="367">
        <f t="shared" si="438"/>
        <v>2828.5714285714284</v>
      </c>
      <c r="L3310">
        <v>0.76</v>
      </c>
      <c r="M3310">
        <v>5.0999999999999996</v>
      </c>
      <c r="N3310">
        <v>25</v>
      </c>
      <c r="O3310">
        <v>5</v>
      </c>
      <c r="P3310" t="s">
        <v>513</v>
      </c>
      <c r="Q3310" s="97" t="str">
        <f t="shared" si="435"/>
        <v/>
      </c>
      <c r="R3310" t="str">
        <f t="shared" si="436"/>
        <v/>
      </c>
    </row>
    <row r="3311" spans="3:18">
      <c r="C3311" t="str">
        <f t="shared" si="437"/>
        <v/>
      </c>
      <c r="D3311">
        <v>35</v>
      </c>
      <c r="E3311">
        <v>25</v>
      </c>
      <c r="F3311" s="366">
        <f t="shared" si="429"/>
        <v>542.5</v>
      </c>
      <c r="G3311" s="97">
        <v>1129</v>
      </c>
      <c r="H3311" s="367">
        <f t="shared" si="433"/>
        <v>1671.5</v>
      </c>
      <c r="I3311" s="368">
        <f t="shared" si="434"/>
        <v>0</v>
      </c>
      <c r="J3311">
        <v>3710</v>
      </c>
      <c r="K3311" s="367">
        <f t="shared" si="438"/>
        <v>2650</v>
      </c>
      <c r="L3311">
        <v>0.15000000000000002</v>
      </c>
      <c r="M3311">
        <v>4.5999999999999996</v>
      </c>
      <c r="N3311">
        <v>15</v>
      </c>
      <c r="O3311">
        <v>6</v>
      </c>
      <c r="P3311" t="s">
        <v>514</v>
      </c>
      <c r="Q3311" s="97" t="str">
        <f t="shared" si="435"/>
        <v/>
      </c>
      <c r="R3311" t="str">
        <f t="shared" si="436"/>
        <v/>
      </c>
    </row>
    <row r="3312" spans="3:18">
      <c r="C3312" t="str">
        <f t="shared" si="437"/>
        <v/>
      </c>
      <c r="D3312">
        <v>36</v>
      </c>
      <c r="E3312">
        <v>25</v>
      </c>
      <c r="F3312" s="366">
        <f t="shared" si="429"/>
        <v>542.5</v>
      </c>
      <c r="G3312" s="97">
        <v>1237</v>
      </c>
      <c r="H3312" s="367">
        <f t="shared" si="433"/>
        <v>1779.5</v>
      </c>
      <c r="I3312" s="368">
        <f t="shared" si="434"/>
        <v>0</v>
      </c>
      <c r="J3312">
        <v>4076</v>
      </c>
      <c r="K3312" s="367">
        <f t="shared" si="438"/>
        <v>2911.4285714285716</v>
      </c>
      <c r="L3312">
        <v>0.5</v>
      </c>
      <c r="M3312">
        <v>4.5999999999999996</v>
      </c>
      <c r="N3312">
        <v>22</v>
      </c>
      <c r="O3312">
        <v>6</v>
      </c>
      <c r="P3312" t="s">
        <v>513</v>
      </c>
      <c r="Q3312" s="97" t="str">
        <f t="shared" si="435"/>
        <v/>
      </c>
      <c r="R3312" t="str">
        <f t="shared" si="436"/>
        <v/>
      </c>
    </row>
    <row r="3313" spans="3:18">
      <c r="C3313" t="str">
        <f t="shared" si="437"/>
        <v>NL</v>
      </c>
      <c r="D3313">
        <v>37</v>
      </c>
      <c r="E3313">
        <v>25</v>
      </c>
      <c r="F3313" s="366">
        <f t="shared" si="429"/>
        <v>542.5</v>
      </c>
      <c r="G3313" s="97">
        <v>1249</v>
      </c>
      <c r="H3313" s="367">
        <f t="shared" si="433"/>
        <v>1791.5</v>
      </c>
      <c r="I3313" s="368">
        <f t="shared" si="434"/>
        <v>0</v>
      </c>
      <c r="J3313">
        <v>4148</v>
      </c>
      <c r="K3313" s="367">
        <f t="shared" si="438"/>
        <v>2962.8571428571431</v>
      </c>
      <c r="L3313">
        <v>0.36</v>
      </c>
      <c r="M3313">
        <v>4.6999999999999993</v>
      </c>
      <c r="N3313">
        <v>20</v>
      </c>
      <c r="O3313">
        <v>7</v>
      </c>
      <c r="P3313" t="s">
        <v>513</v>
      </c>
      <c r="Q3313" s="97" t="str">
        <f t="shared" si="435"/>
        <v/>
      </c>
      <c r="R3313" t="str">
        <f t="shared" si="436"/>
        <v/>
      </c>
    </row>
    <row r="3314" spans="3:18">
      <c r="C3314" t="str">
        <f t="shared" si="437"/>
        <v>NL</v>
      </c>
      <c r="D3314">
        <v>38</v>
      </c>
      <c r="E3314">
        <v>25</v>
      </c>
      <c r="F3314" s="366">
        <f t="shared" si="429"/>
        <v>542.5</v>
      </c>
      <c r="G3314" s="97">
        <v>1334</v>
      </c>
      <c r="H3314" s="367">
        <f t="shared" si="433"/>
        <v>1876.5</v>
      </c>
      <c r="I3314" s="368">
        <f t="shared" si="434"/>
        <v>0</v>
      </c>
      <c r="J3314">
        <v>4439</v>
      </c>
      <c r="K3314" s="367">
        <f t="shared" si="438"/>
        <v>3170.7142857142858</v>
      </c>
      <c r="L3314">
        <v>0.91</v>
      </c>
      <c r="M3314">
        <v>4.6999999999999993</v>
      </c>
      <c r="N3314">
        <v>27</v>
      </c>
      <c r="O3314">
        <v>7</v>
      </c>
      <c r="P3314" t="s">
        <v>512</v>
      </c>
      <c r="Q3314" s="97" t="str">
        <f t="shared" si="435"/>
        <v/>
      </c>
      <c r="R3314" t="str">
        <f t="shared" si="436"/>
        <v/>
      </c>
    </row>
    <row r="3315" spans="3:18">
      <c r="C3315" t="str">
        <f t="shared" si="437"/>
        <v/>
      </c>
      <c r="D3315">
        <v>39</v>
      </c>
      <c r="E3315">
        <v>25</v>
      </c>
      <c r="F3315" s="366">
        <f t="shared" ref="F3315:F3378" si="439">1.085*($A$2-$B$2)*E3315*$T$7</f>
        <v>542.5</v>
      </c>
      <c r="G3315" s="97">
        <v>1263</v>
      </c>
      <c r="H3315" s="367">
        <f t="shared" si="433"/>
        <v>1805.5</v>
      </c>
      <c r="I3315" s="368">
        <f t="shared" si="434"/>
        <v>0</v>
      </c>
      <c r="J3315">
        <v>4226</v>
      </c>
      <c r="K3315" s="367">
        <f t="shared" si="438"/>
        <v>3018.5714285714284</v>
      </c>
      <c r="L3315">
        <v>0.27</v>
      </c>
      <c r="M3315">
        <v>4.5999999999999996</v>
      </c>
      <c r="N3315">
        <v>18</v>
      </c>
      <c r="O3315">
        <v>8</v>
      </c>
      <c r="P3315" t="s">
        <v>513</v>
      </c>
      <c r="Q3315" s="97" t="str">
        <f t="shared" si="435"/>
        <v/>
      </c>
      <c r="R3315" t="str">
        <f t="shared" si="436"/>
        <v/>
      </c>
    </row>
    <row r="3316" spans="3:18">
      <c r="C3316" t="str">
        <f t="shared" si="437"/>
        <v/>
      </c>
      <c r="D3316">
        <v>40</v>
      </c>
      <c r="E3316">
        <v>25</v>
      </c>
      <c r="F3316" s="366">
        <f t="shared" si="439"/>
        <v>542.5</v>
      </c>
      <c r="G3316" s="97">
        <v>1344</v>
      </c>
      <c r="H3316" s="367">
        <f t="shared" si="433"/>
        <v>1886.5</v>
      </c>
      <c r="I3316" s="368">
        <f t="shared" si="434"/>
        <v>0</v>
      </c>
      <c r="J3316">
        <v>4514</v>
      </c>
      <c r="K3316" s="367">
        <f t="shared" si="438"/>
        <v>3224.2857142857142</v>
      </c>
      <c r="L3316">
        <v>0.67</v>
      </c>
      <c r="M3316">
        <v>4.5999999999999996</v>
      </c>
      <c r="N3316">
        <v>25</v>
      </c>
      <c r="O3316">
        <v>8</v>
      </c>
      <c r="P3316" t="s">
        <v>512</v>
      </c>
      <c r="Q3316" s="97" t="str">
        <f t="shared" si="435"/>
        <v/>
      </c>
      <c r="R3316" t="str">
        <f t="shared" si="436"/>
        <v/>
      </c>
    </row>
    <row r="3317" spans="3:18">
      <c r="C3317" t="str">
        <f t="shared" si="437"/>
        <v>NL</v>
      </c>
      <c r="D3317">
        <v>41</v>
      </c>
      <c r="E3317">
        <v>30</v>
      </c>
      <c r="F3317" s="366">
        <f t="shared" si="439"/>
        <v>651</v>
      </c>
      <c r="G3317" s="97">
        <v>1051</v>
      </c>
      <c r="H3317" s="367">
        <f t="shared" si="433"/>
        <v>1702</v>
      </c>
      <c r="I3317" s="368">
        <f t="shared" si="434"/>
        <v>0</v>
      </c>
      <c r="J3317">
        <v>3408</v>
      </c>
      <c r="K3317" s="367">
        <f t="shared" si="438"/>
        <v>2434.2857142857142</v>
      </c>
      <c r="L3317">
        <v>0.29000000000000004</v>
      </c>
      <c r="M3317">
        <v>4</v>
      </c>
      <c r="N3317">
        <v>19</v>
      </c>
      <c r="O3317">
        <v>3</v>
      </c>
      <c r="P3317" t="s">
        <v>515</v>
      </c>
      <c r="Q3317" s="97" t="str">
        <f t="shared" si="435"/>
        <v/>
      </c>
      <c r="R3317" t="str">
        <f t="shared" si="436"/>
        <v/>
      </c>
    </row>
    <row r="3318" spans="3:18">
      <c r="C3318" t="str">
        <f t="shared" si="437"/>
        <v>NL</v>
      </c>
      <c r="D3318">
        <v>42</v>
      </c>
      <c r="E3318">
        <v>30</v>
      </c>
      <c r="F3318" s="366">
        <f t="shared" si="439"/>
        <v>651</v>
      </c>
      <c r="G3318" s="97">
        <v>1177</v>
      </c>
      <c r="H3318" s="367">
        <f t="shared" si="433"/>
        <v>1828</v>
      </c>
      <c r="I3318" s="368">
        <f t="shared" si="434"/>
        <v>0</v>
      </c>
      <c r="J3318">
        <v>3815</v>
      </c>
      <c r="K3318" s="367">
        <f t="shared" si="438"/>
        <v>2725</v>
      </c>
      <c r="L3318">
        <v>1.07</v>
      </c>
      <c r="M3318">
        <v>4</v>
      </c>
      <c r="N3318">
        <v>29</v>
      </c>
      <c r="O3318">
        <v>3</v>
      </c>
      <c r="P3318" t="s">
        <v>514</v>
      </c>
      <c r="Q3318" s="97" t="str">
        <f t="shared" si="435"/>
        <v/>
      </c>
      <c r="R3318" t="str">
        <f t="shared" si="436"/>
        <v/>
      </c>
    </row>
    <row r="3319" spans="3:18">
      <c r="C3319" t="str">
        <f t="shared" si="437"/>
        <v/>
      </c>
      <c r="D3319">
        <v>43</v>
      </c>
      <c r="E3319">
        <v>30</v>
      </c>
      <c r="F3319" s="366">
        <f t="shared" si="439"/>
        <v>651</v>
      </c>
      <c r="G3319" s="97">
        <v>1105</v>
      </c>
      <c r="H3319" s="367">
        <f t="shared" si="433"/>
        <v>1756</v>
      </c>
      <c r="I3319" s="368">
        <f t="shared" si="434"/>
        <v>0</v>
      </c>
      <c r="J3319">
        <v>3595</v>
      </c>
      <c r="K3319" s="367">
        <f t="shared" si="438"/>
        <v>2567.8571428571431</v>
      </c>
      <c r="L3319">
        <v>0.16</v>
      </c>
      <c r="M3319">
        <v>4.5999999999999996</v>
      </c>
      <c r="N3319">
        <v>16</v>
      </c>
      <c r="O3319">
        <v>4</v>
      </c>
      <c r="P3319" t="s">
        <v>515</v>
      </c>
      <c r="Q3319" s="97" t="str">
        <f t="shared" si="435"/>
        <v/>
      </c>
      <c r="R3319" t="str">
        <f t="shared" si="436"/>
        <v/>
      </c>
    </row>
    <row r="3320" spans="3:18">
      <c r="C3320" t="str">
        <f t="shared" si="437"/>
        <v/>
      </c>
      <c r="D3320">
        <v>44</v>
      </c>
      <c r="E3320">
        <v>30</v>
      </c>
      <c r="F3320" s="366">
        <f t="shared" si="439"/>
        <v>651</v>
      </c>
      <c r="G3320" s="97">
        <v>1244</v>
      </c>
      <c r="H3320" s="367">
        <f t="shared" si="433"/>
        <v>1895</v>
      </c>
      <c r="I3320" s="368">
        <f t="shared" si="434"/>
        <v>0</v>
      </c>
      <c r="J3320">
        <v>4050</v>
      </c>
      <c r="K3320" s="367">
        <f t="shared" si="438"/>
        <v>2892.8571428571431</v>
      </c>
      <c r="L3320">
        <v>0.52</v>
      </c>
      <c r="M3320">
        <v>4.5999999999999996</v>
      </c>
      <c r="N3320">
        <v>24</v>
      </c>
      <c r="O3320">
        <v>4</v>
      </c>
      <c r="P3320" t="s">
        <v>514</v>
      </c>
      <c r="Q3320" s="97" t="str">
        <f t="shared" si="435"/>
        <v/>
      </c>
      <c r="R3320" t="str">
        <f t="shared" si="436"/>
        <v/>
      </c>
    </row>
    <row r="3321" spans="3:18">
      <c r="C3321" t="str">
        <f t="shared" si="437"/>
        <v>NL</v>
      </c>
      <c r="D3321">
        <v>45</v>
      </c>
      <c r="E3321">
        <v>30</v>
      </c>
      <c r="F3321" s="366">
        <f t="shared" si="439"/>
        <v>651</v>
      </c>
      <c r="G3321" s="97">
        <v>1286</v>
      </c>
      <c r="H3321" s="367">
        <f t="shared" si="433"/>
        <v>1937</v>
      </c>
      <c r="I3321" s="368">
        <f t="shared" si="434"/>
        <v>0</v>
      </c>
      <c r="J3321">
        <v>4202</v>
      </c>
      <c r="K3321" s="367">
        <f t="shared" si="438"/>
        <v>3001.4285714285716</v>
      </c>
      <c r="L3321">
        <v>0.31</v>
      </c>
      <c r="M3321">
        <v>5.0999999999999996</v>
      </c>
      <c r="N3321">
        <v>20</v>
      </c>
      <c r="O3321">
        <v>5</v>
      </c>
      <c r="P3321" t="s">
        <v>514</v>
      </c>
      <c r="Q3321" s="97" t="str">
        <f t="shared" si="435"/>
        <v/>
      </c>
      <c r="R3321" t="str">
        <f t="shared" si="436"/>
        <v/>
      </c>
    </row>
    <row r="3322" spans="3:18">
      <c r="C3322" t="str">
        <f t="shared" si="437"/>
        <v>NL</v>
      </c>
      <c r="D3322">
        <v>46</v>
      </c>
      <c r="E3322">
        <v>30</v>
      </c>
      <c r="F3322" s="366">
        <f t="shared" si="439"/>
        <v>651</v>
      </c>
      <c r="G3322" s="97">
        <v>1398</v>
      </c>
      <c r="H3322" s="367">
        <f t="shared" si="433"/>
        <v>2049</v>
      </c>
      <c r="I3322" s="368">
        <f t="shared" si="434"/>
        <v>0</v>
      </c>
      <c r="J3322">
        <v>4575</v>
      </c>
      <c r="K3322" s="367">
        <f t="shared" si="438"/>
        <v>3267.8571428571431</v>
      </c>
      <c r="L3322">
        <v>1.0900000000000001</v>
      </c>
      <c r="M3322">
        <v>5.0999999999999996</v>
      </c>
      <c r="N3322">
        <v>27</v>
      </c>
      <c r="O3322">
        <v>5</v>
      </c>
      <c r="P3322" t="s">
        <v>513</v>
      </c>
      <c r="Q3322" s="97" t="str">
        <f t="shared" si="435"/>
        <v/>
      </c>
      <c r="R3322" t="str">
        <f t="shared" si="436"/>
        <v/>
      </c>
    </row>
    <row r="3323" spans="3:18">
      <c r="C3323" t="str">
        <f t="shared" si="437"/>
        <v/>
      </c>
      <c r="D3323">
        <v>47</v>
      </c>
      <c r="E3323">
        <v>30</v>
      </c>
      <c r="F3323" s="366">
        <f t="shared" si="439"/>
        <v>651</v>
      </c>
      <c r="G3323" s="97">
        <v>1313</v>
      </c>
      <c r="H3323" s="367">
        <f t="shared" si="433"/>
        <v>1964</v>
      </c>
      <c r="I3323" s="368">
        <f t="shared" si="434"/>
        <v>0</v>
      </c>
      <c r="J3323">
        <v>4325</v>
      </c>
      <c r="K3323" s="367">
        <f t="shared" si="438"/>
        <v>3089.2857142857142</v>
      </c>
      <c r="L3323">
        <v>0.21000000000000002</v>
      </c>
      <c r="M3323">
        <v>4.5999999999999996</v>
      </c>
      <c r="N3323">
        <v>18</v>
      </c>
      <c r="O3323">
        <v>6</v>
      </c>
      <c r="P3323" t="s">
        <v>514</v>
      </c>
      <c r="Q3323" s="97" t="str">
        <f t="shared" si="435"/>
        <v/>
      </c>
      <c r="R3323" t="str">
        <f t="shared" si="436"/>
        <v/>
      </c>
    </row>
    <row r="3324" spans="3:18">
      <c r="C3324" t="str">
        <f t="shared" si="437"/>
        <v/>
      </c>
      <c r="D3324">
        <v>48</v>
      </c>
      <c r="E3324">
        <v>30</v>
      </c>
      <c r="F3324" s="366">
        <f t="shared" si="439"/>
        <v>651</v>
      </c>
      <c r="G3324" s="97">
        <v>1431</v>
      </c>
      <c r="H3324" s="367">
        <f t="shared" si="433"/>
        <v>2082</v>
      </c>
      <c r="I3324" s="368">
        <f t="shared" si="434"/>
        <v>0</v>
      </c>
      <c r="J3324">
        <v>4727</v>
      </c>
      <c r="K3324" s="367">
        <f t="shared" si="438"/>
        <v>3376.4285714285716</v>
      </c>
      <c r="L3324">
        <v>0.72</v>
      </c>
      <c r="M3324">
        <v>4.5999999999999996</v>
      </c>
      <c r="N3324">
        <v>24</v>
      </c>
      <c r="O3324">
        <v>6</v>
      </c>
      <c r="P3324" t="s">
        <v>513</v>
      </c>
      <c r="Q3324" s="97" t="str">
        <f t="shared" si="435"/>
        <v/>
      </c>
      <c r="R3324" t="str">
        <f t="shared" si="436"/>
        <v/>
      </c>
    </row>
    <row r="3325" spans="3:18">
      <c r="C3325" t="str">
        <f t="shared" si="437"/>
        <v>NL</v>
      </c>
      <c r="D3325">
        <v>49</v>
      </c>
      <c r="E3325">
        <v>30</v>
      </c>
      <c r="F3325" s="366">
        <f t="shared" si="439"/>
        <v>651</v>
      </c>
      <c r="G3325" s="97">
        <v>1325</v>
      </c>
      <c r="H3325" s="367">
        <f t="shared" si="433"/>
        <v>1976</v>
      </c>
      <c r="I3325" s="368">
        <f t="shared" si="434"/>
        <v>0</v>
      </c>
      <c r="J3325">
        <v>4398</v>
      </c>
      <c r="K3325" s="367">
        <f t="shared" si="438"/>
        <v>3141.4285714285716</v>
      </c>
      <c r="L3325">
        <v>0.15000000000000002</v>
      </c>
      <c r="M3325">
        <v>4.6999999999999993</v>
      </c>
      <c r="N3325">
        <v>16</v>
      </c>
      <c r="O3325">
        <v>7</v>
      </c>
      <c r="P3325" t="s">
        <v>514</v>
      </c>
      <c r="Q3325" s="97" t="str">
        <f t="shared" si="435"/>
        <v/>
      </c>
      <c r="R3325" t="str">
        <f t="shared" si="436"/>
        <v/>
      </c>
    </row>
    <row r="3326" spans="3:18">
      <c r="C3326" t="str">
        <f t="shared" si="437"/>
        <v>NL</v>
      </c>
      <c r="D3326">
        <v>50</v>
      </c>
      <c r="E3326">
        <v>30</v>
      </c>
      <c r="F3326" s="366">
        <f t="shared" si="439"/>
        <v>651</v>
      </c>
      <c r="G3326" s="97">
        <v>1447</v>
      </c>
      <c r="H3326" s="367">
        <f t="shared" si="433"/>
        <v>2098</v>
      </c>
      <c r="I3326" s="368">
        <f t="shared" si="434"/>
        <v>0</v>
      </c>
      <c r="J3326">
        <v>4823</v>
      </c>
      <c r="K3326" s="367">
        <f t="shared" si="438"/>
        <v>3445</v>
      </c>
      <c r="L3326">
        <v>0.51</v>
      </c>
      <c r="M3326">
        <v>4.6999999999999993</v>
      </c>
      <c r="N3326">
        <v>22</v>
      </c>
      <c r="O3326">
        <v>7</v>
      </c>
      <c r="P3326" t="s">
        <v>513</v>
      </c>
      <c r="Q3326" s="97" t="str">
        <f t="shared" si="435"/>
        <v/>
      </c>
      <c r="R3326" t="str">
        <f t="shared" si="436"/>
        <v/>
      </c>
    </row>
    <row r="3327" spans="3:18">
      <c r="C3327" t="str">
        <f t="shared" si="437"/>
        <v/>
      </c>
      <c r="D3327">
        <v>51</v>
      </c>
      <c r="E3327">
        <v>30</v>
      </c>
      <c r="F3327" s="366">
        <f t="shared" si="439"/>
        <v>651</v>
      </c>
      <c r="G3327" s="97">
        <v>1460</v>
      </c>
      <c r="H3327" s="367">
        <f t="shared" si="433"/>
        <v>2111</v>
      </c>
      <c r="I3327" s="368">
        <f t="shared" si="434"/>
        <v>0</v>
      </c>
      <c r="J3327">
        <v>4913</v>
      </c>
      <c r="K3327" s="367">
        <f t="shared" si="438"/>
        <v>3509.2857142857142</v>
      </c>
      <c r="L3327">
        <v>0.38</v>
      </c>
      <c r="M3327">
        <v>4.5999999999999996</v>
      </c>
      <c r="N3327">
        <v>20</v>
      </c>
      <c r="O3327">
        <v>8</v>
      </c>
      <c r="P3327" t="s">
        <v>513</v>
      </c>
      <c r="Q3327" s="97" t="str">
        <f t="shared" si="435"/>
        <v/>
      </c>
      <c r="R3327" t="str">
        <f t="shared" si="436"/>
        <v/>
      </c>
    </row>
    <row r="3328" spans="3:18">
      <c r="C3328" t="str">
        <f t="shared" si="437"/>
        <v/>
      </c>
      <c r="D3328">
        <v>52</v>
      </c>
      <c r="E3328">
        <v>30</v>
      </c>
      <c r="F3328" s="366">
        <f t="shared" si="439"/>
        <v>651</v>
      </c>
      <c r="G3328" s="97">
        <v>1552</v>
      </c>
      <c r="H3328" s="367">
        <f t="shared" si="433"/>
        <v>2203</v>
      </c>
      <c r="I3328" s="368">
        <f t="shared" si="434"/>
        <v>0</v>
      </c>
      <c r="J3328">
        <v>5243</v>
      </c>
      <c r="K3328" s="367">
        <f t="shared" si="438"/>
        <v>3745</v>
      </c>
      <c r="L3328">
        <v>0.97</v>
      </c>
      <c r="M3328">
        <v>4.5999999999999996</v>
      </c>
      <c r="N3328">
        <v>27</v>
      </c>
      <c r="O3328">
        <v>8</v>
      </c>
      <c r="P3328" t="s">
        <v>512</v>
      </c>
      <c r="Q3328" s="97" t="str">
        <f t="shared" si="435"/>
        <v/>
      </c>
      <c r="R3328" t="str">
        <f t="shared" si="436"/>
        <v/>
      </c>
    </row>
    <row r="3329" spans="3:18">
      <c r="C3329" t="str">
        <f t="shared" si="437"/>
        <v>NL</v>
      </c>
      <c r="D3329">
        <v>53</v>
      </c>
      <c r="E3329">
        <v>35</v>
      </c>
      <c r="F3329" s="366">
        <f t="shared" si="439"/>
        <v>759.5</v>
      </c>
      <c r="G3329" s="97">
        <v>1183</v>
      </c>
      <c r="H3329" s="367">
        <f t="shared" si="433"/>
        <v>1942.5</v>
      </c>
      <c r="I3329" s="368">
        <f t="shared" si="434"/>
        <v>0</v>
      </c>
      <c r="J3329">
        <v>3834</v>
      </c>
      <c r="K3329" s="367">
        <f t="shared" si="438"/>
        <v>2738.5714285714284</v>
      </c>
      <c r="L3329">
        <v>0.39</v>
      </c>
      <c r="M3329">
        <v>4</v>
      </c>
      <c r="N3329">
        <v>21</v>
      </c>
      <c r="O3329">
        <v>3</v>
      </c>
      <c r="P3329" t="s">
        <v>515</v>
      </c>
      <c r="Q3329" s="97" t="str">
        <f t="shared" si="435"/>
        <v/>
      </c>
      <c r="R3329" t="str">
        <f t="shared" si="436"/>
        <v/>
      </c>
    </row>
    <row r="3330" spans="3:18">
      <c r="C3330" t="str">
        <f t="shared" si="437"/>
        <v/>
      </c>
      <c r="D3330">
        <v>54</v>
      </c>
      <c r="E3330">
        <v>35</v>
      </c>
      <c r="F3330" s="366">
        <f t="shared" si="439"/>
        <v>759.5</v>
      </c>
      <c r="G3330" s="97">
        <v>1249</v>
      </c>
      <c r="H3330" s="367">
        <f t="shared" si="433"/>
        <v>2008.5</v>
      </c>
      <c r="I3330" s="368">
        <f t="shared" si="434"/>
        <v>0</v>
      </c>
      <c r="J3330">
        <v>4066</v>
      </c>
      <c r="K3330" s="367">
        <f t="shared" si="438"/>
        <v>2904.2857142857142</v>
      </c>
      <c r="L3330">
        <v>0.21000000000000002</v>
      </c>
      <c r="M3330">
        <v>4.5999999999999996</v>
      </c>
      <c r="N3330">
        <v>18</v>
      </c>
      <c r="O3330">
        <v>4</v>
      </c>
      <c r="P3330" t="s">
        <v>515</v>
      </c>
      <c r="Q3330" s="97" t="str">
        <f t="shared" si="435"/>
        <v/>
      </c>
      <c r="R3330" t="str">
        <f t="shared" si="436"/>
        <v/>
      </c>
    </row>
    <row r="3331" spans="3:18">
      <c r="C3331" t="str">
        <f t="shared" si="437"/>
        <v/>
      </c>
      <c r="D3331">
        <v>55</v>
      </c>
      <c r="E3331">
        <v>35</v>
      </c>
      <c r="F3331" s="366">
        <f t="shared" si="439"/>
        <v>759.5</v>
      </c>
      <c r="G3331" s="97">
        <v>1401</v>
      </c>
      <c r="H3331" s="367">
        <f t="shared" si="433"/>
        <v>2160.5</v>
      </c>
      <c r="I3331" s="368">
        <f t="shared" si="434"/>
        <v>0</v>
      </c>
      <c r="J3331">
        <v>4563</v>
      </c>
      <c r="K3331" s="367">
        <f t="shared" si="438"/>
        <v>3259.2857142857142</v>
      </c>
      <c r="L3331">
        <v>0.71</v>
      </c>
      <c r="M3331">
        <v>4.5999999999999996</v>
      </c>
      <c r="N3331">
        <v>26</v>
      </c>
      <c r="O3331">
        <v>4</v>
      </c>
      <c r="P3331" t="s">
        <v>514</v>
      </c>
      <c r="Q3331" s="97" t="str">
        <f t="shared" si="435"/>
        <v/>
      </c>
      <c r="R3331" t="str">
        <f t="shared" si="436"/>
        <v/>
      </c>
    </row>
    <row r="3332" spans="3:18">
      <c r="C3332" t="str">
        <f t="shared" si="437"/>
        <v>NL</v>
      </c>
      <c r="D3332">
        <v>56</v>
      </c>
      <c r="E3332">
        <v>35</v>
      </c>
      <c r="F3332" s="366">
        <f t="shared" si="439"/>
        <v>759.5</v>
      </c>
      <c r="G3332" s="97">
        <v>1453</v>
      </c>
      <c r="H3332" s="367">
        <f t="shared" si="433"/>
        <v>2212.5</v>
      </c>
      <c r="I3332" s="368">
        <f t="shared" si="434"/>
        <v>0</v>
      </c>
      <c r="J3332">
        <v>4753</v>
      </c>
      <c r="K3332" s="367">
        <f t="shared" si="438"/>
        <v>3395</v>
      </c>
      <c r="L3332">
        <v>0.42</v>
      </c>
      <c r="M3332">
        <v>5.0999999999999996</v>
      </c>
      <c r="N3332">
        <v>22</v>
      </c>
      <c r="O3332">
        <v>5</v>
      </c>
      <c r="P3332" t="s">
        <v>514</v>
      </c>
      <c r="Q3332" s="97" t="str">
        <f t="shared" si="435"/>
        <v/>
      </c>
      <c r="R3332" t="str">
        <f t="shared" si="436"/>
        <v/>
      </c>
    </row>
    <row r="3333" spans="3:18">
      <c r="C3333" t="str">
        <f t="shared" si="437"/>
        <v/>
      </c>
      <c r="D3333">
        <v>57</v>
      </c>
      <c r="E3333">
        <v>35</v>
      </c>
      <c r="F3333" s="366">
        <f t="shared" si="439"/>
        <v>759.5</v>
      </c>
      <c r="G3333" s="97">
        <v>1487</v>
      </c>
      <c r="H3333" s="367">
        <f t="shared" si="433"/>
        <v>2246.5</v>
      </c>
      <c r="I3333" s="368">
        <f t="shared" si="434"/>
        <v>0</v>
      </c>
      <c r="J3333">
        <v>4908</v>
      </c>
      <c r="K3333" s="367">
        <f t="shared" si="438"/>
        <v>3505.7142857142858</v>
      </c>
      <c r="L3333">
        <v>0.28000000000000003</v>
      </c>
      <c r="M3333">
        <v>4.5999999999999996</v>
      </c>
      <c r="N3333">
        <v>20</v>
      </c>
      <c r="O3333">
        <v>6</v>
      </c>
      <c r="P3333" t="s">
        <v>514</v>
      </c>
      <c r="Q3333" s="97" t="str">
        <f t="shared" si="435"/>
        <v/>
      </c>
      <c r="R3333" t="str">
        <f t="shared" si="436"/>
        <v/>
      </c>
    </row>
    <row r="3334" spans="3:18">
      <c r="C3334" t="str">
        <f t="shared" si="437"/>
        <v/>
      </c>
      <c r="D3334">
        <v>58</v>
      </c>
      <c r="E3334">
        <v>35</v>
      </c>
      <c r="F3334" s="366">
        <f t="shared" si="439"/>
        <v>759.5</v>
      </c>
      <c r="G3334" s="97">
        <v>1611</v>
      </c>
      <c r="H3334" s="367">
        <f t="shared" si="433"/>
        <v>2370.5</v>
      </c>
      <c r="I3334" s="368">
        <f t="shared" si="434"/>
        <v>0</v>
      </c>
      <c r="J3334">
        <v>5337</v>
      </c>
      <c r="K3334" s="367">
        <f t="shared" si="438"/>
        <v>3812.1428571428573</v>
      </c>
      <c r="L3334">
        <v>0.98</v>
      </c>
      <c r="M3334">
        <v>4.5999999999999996</v>
      </c>
      <c r="N3334">
        <v>26</v>
      </c>
      <c r="O3334">
        <v>6</v>
      </c>
      <c r="P3334" t="s">
        <v>513</v>
      </c>
      <c r="Q3334" s="97" t="str">
        <f t="shared" si="435"/>
        <v/>
      </c>
      <c r="R3334" t="str">
        <f t="shared" si="436"/>
        <v/>
      </c>
    </row>
    <row r="3335" spans="3:18">
      <c r="C3335" t="str">
        <f t="shared" si="437"/>
        <v>NL</v>
      </c>
      <c r="D3335">
        <v>59</v>
      </c>
      <c r="E3335">
        <v>35</v>
      </c>
      <c r="F3335" s="366">
        <f t="shared" si="439"/>
        <v>759.5</v>
      </c>
      <c r="G3335" s="97">
        <v>1503</v>
      </c>
      <c r="H3335" s="367">
        <f t="shared" si="433"/>
        <v>2262.5</v>
      </c>
      <c r="I3335" s="368">
        <f t="shared" si="434"/>
        <v>0</v>
      </c>
      <c r="J3335">
        <v>5004</v>
      </c>
      <c r="K3335" s="367">
        <f t="shared" si="438"/>
        <v>3574.2857142857142</v>
      </c>
      <c r="L3335">
        <v>0.2</v>
      </c>
      <c r="M3335">
        <v>4.6999999999999993</v>
      </c>
      <c r="N3335">
        <v>18</v>
      </c>
      <c r="O3335">
        <v>7</v>
      </c>
      <c r="P3335" t="s">
        <v>514</v>
      </c>
      <c r="Q3335" s="97" t="str">
        <f t="shared" si="435"/>
        <v/>
      </c>
      <c r="R3335" t="str">
        <f t="shared" si="436"/>
        <v/>
      </c>
    </row>
    <row r="3336" spans="3:18">
      <c r="C3336" t="str">
        <f t="shared" si="437"/>
        <v>NL</v>
      </c>
      <c r="D3336">
        <v>60</v>
      </c>
      <c r="E3336">
        <v>35</v>
      </c>
      <c r="F3336" s="366">
        <f t="shared" si="439"/>
        <v>759.5</v>
      </c>
      <c r="G3336" s="97">
        <v>1632</v>
      </c>
      <c r="H3336" s="367">
        <f t="shared" si="433"/>
        <v>2391.5</v>
      </c>
      <c r="I3336" s="368">
        <f t="shared" si="434"/>
        <v>0</v>
      </c>
      <c r="J3336">
        <v>5461</v>
      </c>
      <c r="K3336" s="367">
        <f t="shared" si="438"/>
        <v>3900.7142857142858</v>
      </c>
      <c r="L3336">
        <v>0.69000000000000006</v>
      </c>
      <c r="M3336">
        <v>4.6999999999999993</v>
      </c>
      <c r="N3336">
        <v>24</v>
      </c>
      <c r="O3336">
        <v>7</v>
      </c>
      <c r="P3336" t="s">
        <v>513</v>
      </c>
      <c r="Q3336" s="97" t="str">
        <f t="shared" si="435"/>
        <v/>
      </c>
      <c r="R3336" t="str">
        <f t="shared" si="436"/>
        <v/>
      </c>
    </row>
    <row r="3337" spans="3:18">
      <c r="C3337" t="str">
        <f t="shared" si="437"/>
        <v/>
      </c>
      <c r="D3337">
        <v>61</v>
      </c>
      <c r="E3337">
        <v>35</v>
      </c>
      <c r="F3337" s="366">
        <f t="shared" si="439"/>
        <v>759.5</v>
      </c>
      <c r="G3337" s="97">
        <v>1515</v>
      </c>
      <c r="H3337" s="367">
        <f t="shared" si="433"/>
        <v>2274.5</v>
      </c>
      <c r="I3337" s="368">
        <f t="shared" si="434"/>
        <v>0</v>
      </c>
      <c r="J3337">
        <v>5089</v>
      </c>
      <c r="K3337" s="367">
        <f t="shared" si="438"/>
        <v>3635</v>
      </c>
      <c r="L3337">
        <v>0.16</v>
      </c>
      <c r="M3337">
        <v>4.5999999999999996</v>
      </c>
      <c r="N3337">
        <v>16</v>
      </c>
      <c r="O3337">
        <v>8</v>
      </c>
      <c r="P3337" t="s">
        <v>514</v>
      </c>
      <c r="Q3337" s="97" t="str">
        <f t="shared" si="435"/>
        <v/>
      </c>
      <c r="R3337" t="str">
        <f t="shared" si="436"/>
        <v/>
      </c>
    </row>
    <row r="3338" spans="3:18">
      <c r="C3338" t="str">
        <f t="shared" si="437"/>
        <v/>
      </c>
      <c r="D3338">
        <v>62</v>
      </c>
      <c r="E3338">
        <v>35</v>
      </c>
      <c r="F3338" s="366">
        <f t="shared" si="439"/>
        <v>759.5</v>
      </c>
      <c r="G3338" s="97">
        <v>1646</v>
      </c>
      <c r="H3338" s="367">
        <f t="shared" si="433"/>
        <v>2405.5</v>
      </c>
      <c r="I3338" s="368">
        <f t="shared" si="434"/>
        <v>0</v>
      </c>
      <c r="J3338">
        <v>5568</v>
      </c>
      <c r="K3338" s="367">
        <f t="shared" si="438"/>
        <v>3977.1428571428573</v>
      </c>
      <c r="L3338">
        <v>0.52</v>
      </c>
      <c r="M3338">
        <v>4.5999999999999996</v>
      </c>
      <c r="N3338">
        <v>22</v>
      </c>
      <c r="O3338">
        <v>8</v>
      </c>
      <c r="P3338" t="s">
        <v>513</v>
      </c>
      <c r="Q3338" s="97" t="str">
        <f t="shared" si="435"/>
        <v/>
      </c>
      <c r="R3338" t="str">
        <f t="shared" si="436"/>
        <v/>
      </c>
    </row>
    <row r="3339" spans="3:18">
      <c r="C3339" t="str">
        <f t="shared" si="437"/>
        <v>NL</v>
      </c>
      <c r="D3339">
        <v>63</v>
      </c>
      <c r="E3339">
        <v>40</v>
      </c>
      <c r="F3339" s="366">
        <f t="shared" si="439"/>
        <v>868</v>
      </c>
      <c r="G3339" s="97">
        <v>1306</v>
      </c>
      <c r="H3339" s="367">
        <f t="shared" si="433"/>
        <v>2174</v>
      </c>
      <c r="I3339" s="368">
        <f t="shared" si="434"/>
        <v>0</v>
      </c>
      <c r="J3339">
        <v>4234</v>
      </c>
      <c r="K3339" s="367">
        <f t="shared" si="438"/>
        <v>3024.2857142857142</v>
      </c>
      <c r="L3339">
        <v>0.51</v>
      </c>
      <c r="M3339">
        <v>4</v>
      </c>
      <c r="N3339">
        <v>23</v>
      </c>
      <c r="O3339">
        <v>3</v>
      </c>
      <c r="P3339" t="s">
        <v>515</v>
      </c>
      <c r="Q3339" s="97" t="str">
        <f t="shared" si="435"/>
        <v/>
      </c>
      <c r="R3339" t="str">
        <f t="shared" si="436"/>
        <v/>
      </c>
    </row>
    <row r="3340" spans="3:18">
      <c r="C3340" t="str">
        <f t="shared" si="437"/>
        <v/>
      </c>
      <c r="D3340">
        <v>64</v>
      </c>
      <c r="E3340">
        <v>40</v>
      </c>
      <c r="F3340" s="366">
        <f t="shared" si="439"/>
        <v>868</v>
      </c>
      <c r="G3340" s="97">
        <v>1386</v>
      </c>
      <c r="H3340" s="367">
        <f t="shared" si="433"/>
        <v>2254</v>
      </c>
      <c r="I3340" s="368">
        <f t="shared" si="434"/>
        <v>0</v>
      </c>
      <c r="J3340">
        <v>4512</v>
      </c>
      <c r="K3340" s="367">
        <f t="shared" si="438"/>
        <v>3222.8571428571431</v>
      </c>
      <c r="L3340">
        <v>0.28000000000000003</v>
      </c>
      <c r="M3340">
        <v>4.5999999999999996</v>
      </c>
      <c r="N3340">
        <v>20</v>
      </c>
      <c r="O3340">
        <v>4</v>
      </c>
      <c r="P3340" t="s">
        <v>515</v>
      </c>
      <c r="Q3340" s="97" t="str">
        <f t="shared" si="435"/>
        <v/>
      </c>
      <c r="R3340" t="str">
        <f t="shared" si="436"/>
        <v/>
      </c>
    </row>
    <row r="3341" spans="3:18">
      <c r="C3341" t="str">
        <f t="shared" si="437"/>
        <v/>
      </c>
      <c r="D3341">
        <v>65</v>
      </c>
      <c r="E3341">
        <v>40</v>
      </c>
      <c r="F3341" s="366">
        <f t="shared" si="439"/>
        <v>868</v>
      </c>
      <c r="G3341" s="97">
        <v>1548</v>
      </c>
      <c r="H3341" s="367">
        <f t="shared" si="433"/>
        <v>2416</v>
      </c>
      <c r="I3341" s="368">
        <f t="shared" si="434"/>
        <v>0</v>
      </c>
      <c r="J3341">
        <v>5044</v>
      </c>
      <c r="K3341" s="367">
        <f t="shared" si="438"/>
        <v>3602.8571428571431</v>
      </c>
      <c r="L3341">
        <v>0.92</v>
      </c>
      <c r="M3341">
        <v>4.5999999999999996</v>
      </c>
      <c r="N3341">
        <v>28</v>
      </c>
      <c r="O3341">
        <v>4</v>
      </c>
      <c r="P3341" t="s">
        <v>514</v>
      </c>
      <c r="Q3341" s="97" t="str">
        <f t="shared" si="435"/>
        <v/>
      </c>
      <c r="R3341" t="str">
        <f t="shared" si="436"/>
        <v/>
      </c>
    </row>
    <row r="3342" spans="3:18">
      <c r="C3342" t="str">
        <f t="shared" si="437"/>
        <v>NL</v>
      </c>
      <c r="D3342">
        <v>66</v>
      </c>
      <c r="E3342">
        <v>40</v>
      </c>
      <c r="F3342" s="366">
        <f t="shared" si="439"/>
        <v>868</v>
      </c>
      <c r="G3342" s="97">
        <v>1436</v>
      </c>
      <c r="H3342" s="367">
        <f t="shared" ref="H3342:H3405" si="440">(G3342*$U$7)+F3342</f>
        <v>2304</v>
      </c>
      <c r="I3342" s="368">
        <f t="shared" ref="I3342:I3405" si="441">1.085*($C$2-$D$2)*E3342*$T$7</f>
        <v>0</v>
      </c>
      <c r="J3342">
        <v>4697</v>
      </c>
      <c r="K3342" s="367">
        <f t="shared" si="438"/>
        <v>3355</v>
      </c>
      <c r="L3342">
        <v>0.18000000000000002</v>
      </c>
      <c r="M3342">
        <v>5.0999999999999996</v>
      </c>
      <c r="N3342">
        <v>18</v>
      </c>
      <c r="O3342">
        <v>5</v>
      </c>
      <c r="P3342" t="s">
        <v>515</v>
      </c>
      <c r="Q3342" s="97" t="str">
        <f t="shared" ref="Q3342:Q3405" si="442">IF(AND(H3342+1&gt;$E$4,L3342&lt;$L$4+0.01,M3342&lt;$M$4+0.01,K3342+1&gt;$F$4,E3342+1&gt;$J$4,N3342&lt;$K$4+1,O3342&lt;$P$4+1,C3342=""),D3342,"")</f>
        <v/>
      </c>
      <c r="R3342" t="str">
        <f t="shared" ref="R3342:R3405" si="443">IF(Q3342="","",IF(AND(O3342&lt;$X$29,E3342&gt;$U$29,E3342&lt;$Q$4+$U$29+1),D3342,""))</f>
        <v/>
      </c>
    </row>
    <row r="3343" spans="3:18">
      <c r="C3343" t="str">
        <f t="shared" si="437"/>
        <v>NL</v>
      </c>
      <c r="D3343">
        <v>67</v>
      </c>
      <c r="E3343">
        <v>40</v>
      </c>
      <c r="F3343" s="366">
        <f t="shared" si="439"/>
        <v>868</v>
      </c>
      <c r="G3343" s="97">
        <v>1610</v>
      </c>
      <c r="H3343" s="367">
        <f t="shared" si="440"/>
        <v>2478</v>
      </c>
      <c r="I3343" s="368">
        <f t="shared" si="441"/>
        <v>0</v>
      </c>
      <c r="J3343">
        <v>5272</v>
      </c>
      <c r="K3343" s="367">
        <f t="shared" si="438"/>
        <v>3765.7142857142858</v>
      </c>
      <c r="L3343">
        <v>0.55000000000000004</v>
      </c>
      <c r="M3343">
        <v>5.0999999999999996</v>
      </c>
      <c r="N3343">
        <v>24</v>
      </c>
      <c r="O3343">
        <v>5</v>
      </c>
      <c r="P3343" t="s">
        <v>514</v>
      </c>
      <c r="Q3343" s="97" t="str">
        <f t="shared" si="442"/>
        <v/>
      </c>
      <c r="R3343" t="str">
        <f t="shared" si="443"/>
        <v/>
      </c>
    </row>
    <row r="3344" spans="3:18">
      <c r="C3344" t="str">
        <f t="shared" si="437"/>
        <v/>
      </c>
      <c r="D3344">
        <v>68</v>
      </c>
      <c r="E3344">
        <v>40</v>
      </c>
      <c r="F3344" s="366">
        <f t="shared" si="439"/>
        <v>868</v>
      </c>
      <c r="G3344" s="97">
        <v>1649</v>
      </c>
      <c r="H3344" s="367">
        <f t="shared" si="440"/>
        <v>2517</v>
      </c>
      <c r="I3344" s="368">
        <f t="shared" si="441"/>
        <v>0</v>
      </c>
      <c r="J3344">
        <v>5454</v>
      </c>
      <c r="K3344" s="367">
        <f t="shared" si="438"/>
        <v>3895.7142857142858</v>
      </c>
      <c r="L3344">
        <v>0.37</v>
      </c>
      <c r="M3344">
        <v>4.5999999999999996</v>
      </c>
      <c r="N3344">
        <v>21</v>
      </c>
      <c r="O3344">
        <v>6</v>
      </c>
      <c r="P3344" t="s">
        <v>514</v>
      </c>
      <c r="Q3344" s="97" t="str">
        <f t="shared" si="442"/>
        <v/>
      </c>
      <c r="R3344" t="str">
        <f t="shared" si="443"/>
        <v/>
      </c>
    </row>
    <row r="3345" spans="3:18">
      <c r="C3345" t="str">
        <f t="shared" si="437"/>
        <v>NL</v>
      </c>
      <c r="D3345">
        <v>69</v>
      </c>
      <c r="E3345">
        <v>40</v>
      </c>
      <c r="F3345" s="366">
        <f t="shared" si="439"/>
        <v>868</v>
      </c>
      <c r="G3345" s="97">
        <v>1669</v>
      </c>
      <c r="H3345" s="367">
        <f t="shared" si="440"/>
        <v>2537</v>
      </c>
      <c r="I3345" s="368">
        <f t="shared" si="441"/>
        <v>0</v>
      </c>
      <c r="J3345">
        <v>5575</v>
      </c>
      <c r="K3345" s="367">
        <f t="shared" si="438"/>
        <v>3982.1428571428573</v>
      </c>
      <c r="L3345">
        <v>0.26</v>
      </c>
      <c r="M3345">
        <v>4.6999999999999993</v>
      </c>
      <c r="N3345">
        <v>19</v>
      </c>
      <c r="O3345">
        <v>7</v>
      </c>
      <c r="P3345" t="s">
        <v>514</v>
      </c>
      <c r="Q3345" s="97" t="str">
        <f t="shared" si="442"/>
        <v/>
      </c>
      <c r="R3345" t="str">
        <f t="shared" si="443"/>
        <v/>
      </c>
    </row>
    <row r="3346" spans="3:18">
      <c r="C3346" t="str">
        <f t="shared" si="437"/>
        <v>NL</v>
      </c>
      <c r="D3346">
        <v>70</v>
      </c>
      <c r="E3346">
        <v>40</v>
      </c>
      <c r="F3346" s="366">
        <f t="shared" si="439"/>
        <v>868</v>
      </c>
      <c r="G3346" s="97">
        <v>1805</v>
      </c>
      <c r="H3346" s="367">
        <f t="shared" si="440"/>
        <v>2673</v>
      </c>
      <c r="I3346" s="368">
        <f t="shared" si="441"/>
        <v>0</v>
      </c>
      <c r="J3346">
        <v>6064</v>
      </c>
      <c r="K3346" s="367">
        <f t="shared" si="438"/>
        <v>4331.4285714285716</v>
      </c>
      <c r="L3346">
        <v>0.9</v>
      </c>
      <c r="M3346">
        <v>4.6999999999999993</v>
      </c>
      <c r="N3346">
        <v>26</v>
      </c>
      <c r="O3346">
        <v>7</v>
      </c>
      <c r="P3346" t="s">
        <v>513</v>
      </c>
      <c r="Q3346" s="97" t="str">
        <f t="shared" si="442"/>
        <v/>
      </c>
      <c r="R3346" t="str">
        <f t="shared" si="443"/>
        <v/>
      </c>
    </row>
    <row r="3347" spans="3:18">
      <c r="C3347" t="str">
        <f t="shared" si="437"/>
        <v/>
      </c>
      <c r="D3347">
        <v>71</v>
      </c>
      <c r="E3347">
        <v>40</v>
      </c>
      <c r="F3347" s="366">
        <f t="shared" si="439"/>
        <v>868</v>
      </c>
      <c r="G3347" s="97">
        <v>1685</v>
      </c>
      <c r="H3347" s="367">
        <f t="shared" si="440"/>
        <v>2553</v>
      </c>
      <c r="I3347" s="368">
        <f t="shared" si="441"/>
        <v>0</v>
      </c>
      <c r="J3347">
        <v>5685</v>
      </c>
      <c r="K3347" s="367">
        <f t="shared" si="438"/>
        <v>4060.7142857142858</v>
      </c>
      <c r="L3347">
        <v>0.2</v>
      </c>
      <c r="M3347">
        <v>4.5999999999999996</v>
      </c>
      <c r="N3347">
        <v>18</v>
      </c>
      <c r="O3347">
        <v>8</v>
      </c>
      <c r="P3347" t="s">
        <v>514</v>
      </c>
      <c r="Q3347" s="97" t="str">
        <f t="shared" si="442"/>
        <v/>
      </c>
      <c r="R3347" t="str">
        <f t="shared" si="443"/>
        <v/>
      </c>
    </row>
    <row r="3348" spans="3:18">
      <c r="C3348" t="str">
        <f t="shared" si="437"/>
        <v/>
      </c>
      <c r="D3348">
        <v>72</v>
      </c>
      <c r="E3348">
        <v>40</v>
      </c>
      <c r="F3348" s="366">
        <f t="shared" si="439"/>
        <v>868</v>
      </c>
      <c r="G3348" s="97">
        <v>1823</v>
      </c>
      <c r="H3348" s="367">
        <f t="shared" si="440"/>
        <v>2691</v>
      </c>
      <c r="I3348" s="368">
        <f t="shared" si="441"/>
        <v>0</v>
      </c>
      <c r="J3348">
        <v>6195</v>
      </c>
      <c r="K3348" s="367">
        <f t="shared" si="438"/>
        <v>4425</v>
      </c>
      <c r="L3348">
        <v>0.68</v>
      </c>
      <c r="M3348">
        <v>4.5999999999999996</v>
      </c>
      <c r="N3348">
        <v>24</v>
      </c>
      <c r="O3348">
        <v>8</v>
      </c>
      <c r="P3348" t="s">
        <v>513</v>
      </c>
      <c r="Q3348" s="97" t="str">
        <f t="shared" si="442"/>
        <v/>
      </c>
      <c r="R3348" t="str">
        <f t="shared" si="443"/>
        <v/>
      </c>
    </row>
    <row r="3349" spans="3:18">
      <c r="C3349" t="str">
        <f t="shared" si="437"/>
        <v>NL</v>
      </c>
      <c r="D3349">
        <v>73</v>
      </c>
      <c r="E3349">
        <v>45</v>
      </c>
      <c r="F3349" s="366">
        <f t="shared" si="439"/>
        <v>976.5</v>
      </c>
      <c r="G3349" s="97">
        <v>1423</v>
      </c>
      <c r="H3349" s="367">
        <f t="shared" si="440"/>
        <v>2399.5</v>
      </c>
      <c r="I3349" s="368">
        <f t="shared" si="441"/>
        <v>0</v>
      </c>
      <c r="J3349">
        <v>4612</v>
      </c>
      <c r="K3349" s="367">
        <f t="shared" si="438"/>
        <v>3294.2857142857142</v>
      </c>
      <c r="L3349">
        <v>0.65</v>
      </c>
      <c r="M3349">
        <v>4</v>
      </c>
      <c r="N3349">
        <v>25</v>
      </c>
      <c r="O3349">
        <v>3</v>
      </c>
      <c r="P3349" t="s">
        <v>515</v>
      </c>
      <c r="Q3349" s="97" t="str">
        <f t="shared" si="442"/>
        <v/>
      </c>
      <c r="R3349" t="str">
        <f t="shared" si="443"/>
        <v/>
      </c>
    </row>
    <row r="3350" spans="3:18">
      <c r="C3350" t="str">
        <f t="shared" ref="C3350:C3413" si="444">IF(OR($O$4=0,O3350-$O$4=0),IF(AND(ISEVEN(O3350)=FALSE,$N$4="Even"),"NL",""),"NL")</f>
        <v/>
      </c>
      <c r="D3350">
        <v>74</v>
      </c>
      <c r="E3350">
        <v>45</v>
      </c>
      <c r="F3350" s="366">
        <f t="shared" si="439"/>
        <v>976.5</v>
      </c>
      <c r="G3350" s="97">
        <v>1515</v>
      </c>
      <c r="H3350" s="367">
        <f t="shared" si="440"/>
        <v>2491.5</v>
      </c>
      <c r="I3350" s="368">
        <f t="shared" si="441"/>
        <v>0</v>
      </c>
      <c r="J3350">
        <v>4935</v>
      </c>
      <c r="K3350" s="367">
        <f t="shared" ref="K3350:K3413" si="445">(J3350*$V$7)-I3350</f>
        <v>3525</v>
      </c>
      <c r="L3350">
        <v>0.35000000000000003</v>
      </c>
      <c r="M3350">
        <v>4.5999999999999996</v>
      </c>
      <c r="N3350">
        <v>22</v>
      </c>
      <c r="O3350">
        <v>4</v>
      </c>
      <c r="P3350" t="s">
        <v>515</v>
      </c>
      <c r="Q3350" s="97" t="str">
        <f t="shared" si="442"/>
        <v/>
      </c>
      <c r="R3350" t="str">
        <f t="shared" si="443"/>
        <v/>
      </c>
    </row>
    <row r="3351" spans="3:18">
      <c r="C3351" t="str">
        <f t="shared" si="444"/>
        <v>NL</v>
      </c>
      <c r="D3351">
        <v>75</v>
      </c>
      <c r="E3351">
        <v>45</v>
      </c>
      <c r="F3351" s="366">
        <f t="shared" si="439"/>
        <v>976.5</v>
      </c>
      <c r="G3351" s="97">
        <v>1573</v>
      </c>
      <c r="H3351" s="367">
        <f t="shared" si="440"/>
        <v>2549.5</v>
      </c>
      <c r="I3351" s="368">
        <f t="shared" si="441"/>
        <v>0</v>
      </c>
      <c r="J3351">
        <v>5149</v>
      </c>
      <c r="K3351" s="367">
        <f t="shared" si="445"/>
        <v>3677.8571428571431</v>
      </c>
      <c r="L3351">
        <v>0.23</v>
      </c>
      <c r="M3351">
        <v>5.0999999999999996</v>
      </c>
      <c r="N3351">
        <v>19</v>
      </c>
      <c r="O3351">
        <v>5</v>
      </c>
      <c r="P3351" t="s">
        <v>515</v>
      </c>
      <c r="Q3351" s="97" t="str">
        <f t="shared" si="442"/>
        <v/>
      </c>
      <c r="R3351" t="str">
        <f t="shared" si="443"/>
        <v/>
      </c>
    </row>
    <row r="3352" spans="3:18">
      <c r="C3352" t="str">
        <f t="shared" si="444"/>
        <v>NL</v>
      </c>
      <c r="D3352">
        <v>76</v>
      </c>
      <c r="E3352">
        <v>45</v>
      </c>
      <c r="F3352" s="366">
        <f t="shared" si="439"/>
        <v>976.5</v>
      </c>
      <c r="G3352" s="97">
        <v>1758</v>
      </c>
      <c r="H3352" s="367">
        <f t="shared" si="440"/>
        <v>2734.5</v>
      </c>
      <c r="I3352" s="368">
        <f t="shared" si="441"/>
        <v>0</v>
      </c>
      <c r="J3352">
        <v>5766</v>
      </c>
      <c r="K3352" s="367">
        <f t="shared" si="445"/>
        <v>4118.5714285714284</v>
      </c>
      <c r="L3352">
        <v>0.69000000000000006</v>
      </c>
      <c r="M3352">
        <v>5.0999999999999996</v>
      </c>
      <c r="N3352">
        <v>26</v>
      </c>
      <c r="O3352">
        <v>5</v>
      </c>
      <c r="P3352" t="s">
        <v>514</v>
      </c>
      <c r="Q3352" s="97" t="str">
        <f t="shared" si="442"/>
        <v/>
      </c>
      <c r="R3352" t="str">
        <f t="shared" si="443"/>
        <v/>
      </c>
    </row>
    <row r="3353" spans="3:18">
      <c r="C3353" t="str">
        <f t="shared" si="444"/>
        <v/>
      </c>
      <c r="D3353">
        <v>77</v>
      </c>
      <c r="E3353">
        <v>45</v>
      </c>
      <c r="F3353" s="366">
        <f t="shared" si="439"/>
        <v>976.5</v>
      </c>
      <c r="G3353" s="97">
        <v>1610</v>
      </c>
      <c r="H3353" s="367">
        <f t="shared" si="440"/>
        <v>2586.5</v>
      </c>
      <c r="I3353" s="368">
        <f t="shared" si="441"/>
        <v>0</v>
      </c>
      <c r="J3353">
        <v>5320</v>
      </c>
      <c r="K3353" s="367">
        <f t="shared" si="445"/>
        <v>3800</v>
      </c>
      <c r="L3353">
        <v>0.16</v>
      </c>
      <c r="M3353">
        <v>4.5999999999999996</v>
      </c>
      <c r="N3353">
        <v>18</v>
      </c>
      <c r="O3353">
        <v>6</v>
      </c>
      <c r="P3353" t="s">
        <v>515</v>
      </c>
      <c r="Q3353" s="97" t="str">
        <f t="shared" si="442"/>
        <v/>
      </c>
      <c r="R3353" t="str">
        <f t="shared" si="443"/>
        <v/>
      </c>
    </row>
    <row r="3354" spans="3:18">
      <c r="C3354" t="str">
        <f t="shared" si="444"/>
        <v/>
      </c>
      <c r="D3354">
        <v>78</v>
      </c>
      <c r="E3354">
        <v>45</v>
      </c>
      <c r="F3354" s="366">
        <f t="shared" si="439"/>
        <v>976.5</v>
      </c>
      <c r="G3354" s="97">
        <v>1802</v>
      </c>
      <c r="H3354" s="367">
        <f t="shared" si="440"/>
        <v>2778.5</v>
      </c>
      <c r="I3354" s="368">
        <f t="shared" si="441"/>
        <v>0</v>
      </c>
      <c r="J3354">
        <v>5975</v>
      </c>
      <c r="K3354" s="367">
        <f t="shared" si="445"/>
        <v>4267.8571428571431</v>
      </c>
      <c r="L3354">
        <v>0.46</v>
      </c>
      <c r="M3354">
        <v>4.5999999999999996</v>
      </c>
      <c r="N3354">
        <v>23</v>
      </c>
      <c r="O3354">
        <v>6</v>
      </c>
      <c r="P3354" t="s">
        <v>514</v>
      </c>
      <c r="Q3354" s="97" t="str">
        <f t="shared" si="442"/>
        <v/>
      </c>
      <c r="R3354" t="str">
        <f t="shared" si="443"/>
        <v/>
      </c>
    </row>
    <row r="3355" spans="3:18">
      <c r="C3355" t="str">
        <f t="shared" si="444"/>
        <v>NL</v>
      </c>
      <c r="D3355">
        <v>79</v>
      </c>
      <c r="E3355">
        <v>45</v>
      </c>
      <c r="F3355" s="366">
        <f t="shared" si="439"/>
        <v>976.5</v>
      </c>
      <c r="G3355" s="97">
        <v>1825</v>
      </c>
      <c r="H3355" s="367">
        <f t="shared" si="440"/>
        <v>2801.5</v>
      </c>
      <c r="I3355" s="368">
        <f t="shared" si="441"/>
        <v>0</v>
      </c>
      <c r="J3355">
        <v>6117</v>
      </c>
      <c r="K3355" s="367">
        <f t="shared" si="445"/>
        <v>4369.2857142857147</v>
      </c>
      <c r="L3355">
        <v>0.33</v>
      </c>
      <c r="M3355">
        <v>4.6999999999999993</v>
      </c>
      <c r="N3355">
        <v>21</v>
      </c>
      <c r="O3355">
        <v>7</v>
      </c>
      <c r="P3355" t="s">
        <v>514</v>
      </c>
      <c r="Q3355" s="97" t="str">
        <f t="shared" si="442"/>
        <v/>
      </c>
      <c r="R3355" t="str">
        <f t="shared" si="443"/>
        <v/>
      </c>
    </row>
    <row r="3356" spans="3:18">
      <c r="C3356" t="str">
        <f t="shared" si="444"/>
        <v/>
      </c>
      <c r="D3356">
        <v>80</v>
      </c>
      <c r="E3356">
        <v>45</v>
      </c>
      <c r="F3356" s="366">
        <f t="shared" si="439"/>
        <v>976.5</v>
      </c>
      <c r="G3356" s="97">
        <v>1843</v>
      </c>
      <c r="H3356" s="367">
        <f t="shared" si="440"/>
        <v>2819.5</v>
      </c>
      <c r="I3356" s="368">
        <f t="shared" si="441"/>
        <v>0</v>
      </c>
      <c r="J3356">
        <v>6245</v>
      </c>
      <c r="K3356" s="367">
        <f t="shared" si="445"/>
        <v>4460.7142857142862</v>
      </c>
      <c r="L3356">
        <v>0.25</v>
      </c>
      <c r="M3356">
        <v>4.5999999999999996</v>
      </c>
      <c r="N3356">
        <v>19</v>
      </c>
      <c r="O3356">
        <v>8</v>
      </c>
      <c r="P3356" t="s">
        <v>514</v>
      </c>
      <c r="Q3356" s="97" t="str">
        <f t="shared" si="442"/>
        <v/>
      </c>
      <c r="R3356" t="str">
        <f t="shared" si="443"/>
        <v/>
      </c>
    </row>
    <row r="3357" spans="3:18">
      <c r="C3357" t="str">
        <f t="shared" si="444"/>
        <v/>
      </c>
      <c r="D3357">
        <v>81</v>
      </c>
      <c r="E3357">
        <v>45</v>
      </c>
      <c r="F3357" s="366">
        <f t="shared" si="439"/>
        <v>976.5</v>
      </c>
      <c r="G3357" s="97">
        <v>1987</v>
      </c>
      <c r="H3357" s="367">
        <f t="shared" si="440"/>
        <v>2963.5</v>
      </c>
      <c r="I3357" s="368">
        <f t="shared" si="441"/>
        <v>0</v>
      </c>
      <c r="J3357">
        <v>6786</v>
      </c>
      <c r="K3357" s="367">
        <f t="shared" si="445"/>
        <v>4847.1428571428569</v>
      </c>
      <c r="L3357">
        <v>0.86</v>
      </c>
      <c r="M3357">
        <v>4.5999999999999996</v>
      </c>
      <c r="N3357">
        <v>25</v>
      </c>
      <c r="O3357">
        <v>8</v>
      </c>
      <c r="P3357" t="s">
        <v>513</v>
      </c>
      <c r="Q3357" s="97" t="str">
        <f t="shared" si="442"/>
        <v/>
      </c>
      <c r="R3357" t="str">
        <f t="shared" si="443"/>
        <v/>
      </c>
    </row>
    <row r="3358" spans="3:18">
      <c r="C3358" t="str">
        <f t="shared" si="444"/>
        <v>NL</v>
      </c>
      <c r="D3358">
        <v>82</v>
      </c>
      <c r="E3358">
        <v>50</v>
      </c>
      <c r="F3358" s="366">
        <f t="shared" si="439"/>
        <v>1085</v>
      </c>
      <c r="G3358" s="97">
        <v>1533</v>
      </c>
      <c r="H3358" s="367">
        <f t="shared" si="440"/>
        <v>2618</v>
      </c>
      <c r="I3358" s="368">
        <f t="shared" si="441"/>
        <v>0</v>
      </c>
      <c r="J3358">
        <v>4968</v>
      </c>
      <c r="K3358" s="367">
        <f t="shared" si="445"/>
        <v>3548.5714285714284</v>
      </c>
      <c r="L3358">
        <v>0.8</v>
      </c>
      <c r="M3358">
        <v>4</v>
      </c>
      <c r="N3358">
        <v>26</v>
      </c>
      <c r="O3358">
        <v>3</v>
      </c>
      <c r="P3358" t="s">
        <v>515</v>
      </c>
      <c r="Q3358" s="97" t="str">
        <f t="shared" si="442"/>
        <v/>
      </c>
      <c r="R3358" t="str">
        <f t="shared" si="443"/>
        <v/>
      </c>
    </row>
    <row r="3359" spans="3:18">
      <c r="C3359" t="str">
        <f t="shared" si="444"/>
        <v/>
      </c>
      <c r="D3359">
        <v>83</v>
      </c>
      <c r="E3359">
        <v>50</v>
      </c>
      <c r="F3359" s="366">
        <f t="shared" si="439"/>
        <v>1085</v>
      </c>
      <c r="G3359" s="97">
        <v>1637</v>
      </c>
      <c r="H3359" s="367">
        <f t="shared" si="440"/>
        <v>2722</v>
      </c>
      <c r="I3359" s="368">
        <f t="shared" si="441"/>
        <v>0</v>
      </c>
      <c r="J3359">
        <v>5337</v>
      </c>
      <c r="K3359" s="367">
        <f t="shared" si="445"/>
        <v>3812.1428571428573</v>
      </c>
      <c r="L3359">
        <v>0.43</v>
      </c>
      <c r="M3359">
        <v>4.5999999999999996</v>
      </c>
      <c r="N3359">
        <v>23</v>
      </c>
      <c r="O3359">
        <v>4</v>
      </c>
      <c r="P3359" t="s">
        <v>515</v>
      </c>
      <c r="Q3359" s="97" t="str">
        <f t="shared" si="442"/>
        <v/>
      </c>
      <c r="R3359" t="str">
        <f t="shared" si="443"/>
        <v/>
      </c>
    </row>
    <row r="3360" spans="3:18">
      <c r="C3360" t="str">
        <f t="shared" si="444"/>
        <v>NL</v>
      </c>
      <c r="D3360">
        <v>84</v>
      </c>
      <c r="E3360">
        <v>50</v>
      </c>
      <c r="F3360" s="366">
        <f t="shared" si="439"/>
        <v>1085</v>
      </c>
      <c r="G3360" s="97">
        <v>1704</v>
      </c>
      <c r="H3360" s="367">
        <f t="shared" si="440"/>
        <v>2789</v>
      </c>
      <c r="I3360" s="368">
        <f t="shared" si="441"/>
        <v>0</v>
      </c>
      <c r="J3360">
        <v>5584</v>
      </c>
      <c r="K3360" s="367">
        <f t="shared" si="445"/>
        <v>3988.5714285714284</v>
      </c>
      <c r="L3360">
        <v>0.28000000000000003</v>
      </c>
      <c r="M3360">
        <v>5.0999999999999996</v>
      </c>
      <c r="N3360">
        <v>21</v>
      </c>
      <c r="O3360">
        <v>5</v>
      </c>
      <c r="P3360" t="s">
        <v>515</v>
      </c>
      <c r="Q3360" s="97" t="str">
        <f t="shared" si="442"/>
        <v/>
      </c>
      <c r="R3360" t="str">
        <f t="shared" si="443"/>
        <v/>
      </c>
    </row>
    <row r="3361" spans="3:18">
      <c r="C3361" t="str">
        <f t="shared" si="444"/>
        <v>NL</v>
      </c>
      <c r="D3361">
        <v>85</v>
      </c>
      <c r="E3361">
        <v>50</v>
      </c>
      <c r="F3361" s="366">
        <f t="shared" si="439"/>
        <v>1085</v>
      </c>
      <c r="G3361" s="97">
        <v>1899</v>
      </c>
      <c r="H3361" s="367">
        <f t="shared" si="440"/>
        <v>2984</v>
      </c>
      <c r="I3361" s="368">
        <f t="shared" si="441"/>
        <v>0</v>
      </c>
      <c r="J3361">
        <v>6234</v>
      </c>
      <c r="K3361" s="367">
        <f t="shared" si="445"/>
        <v>4452.8571428571431</v>
      </c>
      <c r="L3361">
        <v>0.85</v>
      </c>
      <c r="M3361">
        <v>5.0999999999999996</v>
      </c>
      <c r="N3361">
        <v>27</v>
      </c>
      <c r="O3361">
        <v>5</v>
      </c>
      <c r="P3361" t="s">
        <v>514</v>
      </c>
      <c r="Q3361" s="97" t="str">
        <f t="shared" si="442"/>
        <v/>
      </c>
      <c r="R3361" t="str">
        <f t="shared" si="443"/>
        <v/>
      </c>
    </row>
    <row r="3362" spans="3:18">
      <c r="C3362" t="str">
        <f t="shared" si="444"/>
        <v/>
      </c>
      <c r="D3362">
        <v>86</v>
      </c>
      <c r="E3362">
        <v>50</v>
      </c>
      <c r="F3362" s="366">
        <f t="shared" si="439"/>
        <v>1085</v>
      </c>
      <c r="G3362" s="97">
        <v>1747</v>
      </c>
      <c r="H3362" s="367">
        <f t="shared" si="440"/>
        <v>2832</v>
      </c>
      <c r="I3362" s="368">
        <f t="shared" si="441"/>
        <v>0</v>
      </c>
      <c r="J3362">
        <v>5785</v>
      </c>
      <c r="K3362" s="367">
        <f t="shared" si="445"/>
        <v>4132.1428571428569</v>
      </c>
      <c r="L3362">
        <v>0.2</v>
      </c>
      <c r="M3362">
        <v>4.5999999999999996</v>
      </c>
      <c r="N3362">
        <v>19</v>
      </c>
      <c r="O3362">
        <v>6</v>
      </c>
      <c r="P3362" t="s">
        <v>515</v>
      </c>
      <c r="Q3362" s="97" t="str">
        <f t="shared" si="442"/>
        <v/>
      </c>
      <c r="R3362" t="str">
        <f t="shared" si="443"/>
        <v/>
      </c>
    </row>
    <row r="3363" spans="3:18">
      <c r="C3363" t="str">
        <f t="shared" si="444"/>
        <v/>
      </c>
      <c r="D3363">
        <v>87</v>
      </c>
      <c r="E3363">
        <v>50</v>
      </c>
      <c r="F3363" s="366">
        <f t="shared" si="439"/>
        <v>1085</v>
      </c>
      <c r="G3363" s="97">
        <v>1948</v>
      </c>
      <c r="H3363" s="367">
        <f t="shared" si="440"/>
        <v>3033</v>
      </c>
      <c r="I3363" s="368">
        <f t="shared" si="441"/>
        <v>0</v>
      </c>
      <c r="J3363">
        <v>6474</v>
      </c>
      <c r="K3363" s="367">
        <f t="shared" si="445"/>
        <v>4624.2857142857147</v>
      </c>
      <c r="L3363">
        <v>0.57000000000000006</v>
      </c>
      <c r="M3363">
        <v>4.5999999999999996</v>
      </c>
      <c r="N3363">
        <v>24</v>
      </c>
      <c r="O3363">
        <v>6</v>
      </c>
      <c r="P3363" t="s">
        <v>514</v>
      </c>
      <c r="Q3363" s="97">
        <f t="shared" si="442"/>
        <v>87</v>
      </c>
      <c r="R3363" t="str">
        <f t="shared" si="443"/>
        <v/>
      </c>
    </row>
    <row r="3364" spans="3:18">
      <c r="C3364" t="str">
        <f t="shared" si="444"/>
        <v>NL</v>
      </c>
      <c r="D3364">
        <v>88</v>
      </c>
      <c r="E3364">
        <v>50</v>
      </c>
      <c r="F3364" s="366">
        <f t="shared" si="439"/>
        <v>1085</v>
      </c>
      <c r="G3364" s="97">
        <v>1975</v>
      </c>
      <c r="H3364" s="367">
        <f t="shared" si="440"/>
        <v>3060</v>
      </c>
      <c r="I3364" s="368">
        <f t="shared" si="441"/>
        <v>0</v>
      </c>
      <c r="J3364">
        <v>6641</v>
      </c>
      <c r="K3364" s="367">
        <f t="shared" si="445"/>
        <v>4743.5714285714284</v>
      </c>
      <c r="L3364">
        <v>0.41000000000000003</v>
      </c>
      <c r="M3364">
        <v>4.6999999999999993</v>
      </c>
      <c r="N3364">
        <v>22</v>
      </c>
      <c r="O3364">
        <v>7</v>
      </c>
      <c r="P3364" t="s">
        <v>514</v>
      </c>
      <c r="Q3364" s="97" t="str">
        <f t="shared" si="442"/>
        <v/>
      </c>
      <c r="R3364" t="str">
        <f t="shared" si="443"/>
        <v/>
      </c>
    </row>
    <row r="3365" spans="3:18">
      <c r="C3365" t="str">
        <f t="shared" si="444"/>
        <v/>
      </c>
      <c r="D3365">
        <v>89</v>
      </c>
      <c r="E3365">
        <v>50</v>
      </c>
      <c r="F3365" s="366">
        <f t="shared" si="439"/>
        <v>1085</v>
      </c>
      <c r="G3365" s="97">
        <v>1995</v>
      </c>
      <c r="H3365" s="367">
        <f t="shared" si="440"/>
        <v>3080</v>
      </c>
      <c r="I3365" s="368">
        <f t="shared" si="441"/>
        <v>0</v>
      </c>
      <c r="J3365">
        <v>6787</v>
      </c>
      <c r="K3365" s="367">
        <f t="shared" si="445"/>
        <v>4847.8571428571431</v>
      </c>
      <c r="L3365">
        <v>0.31</v>
      </c>
      <c r="M3365">
        <v>4.5999999999999996</v>
      </c>
      <c r="N3365">
        <v>20</v>
      </c>
      <c r="O3365">
        <v>8</v>
      </c>
      <c r="P3365" t="s">
        <v>514</v>
      </c>
      <c r="Q3365" s="97">
        <f t="shared" si="442"/>
        <v>89</v>
      </c>
      <c r="R3365" t="str">
        <f t="shared" si="443"/>
        <v/>
      </c>
    </row>
    <row r="3366" spans="3:18">
      <c r="C3366" t="str">
        <f t="shared" si="444"/>
        <v/>
      </c>
      <c r="D3366">
        <v>90</v>
      </c>
      <c r="E3366">
        <v>50</v>
      </c>
      <c r="F3366" s="366">
        <f t="shared" si="439"/>
        <v>1085</v>
      </c>
      <c r="G3366" s="97">
        <v>2140</v>
      </c>
      <c r="H3366" s="367">
        <f t="shared" si="440"/>
        <v>3225</v>
      </c>
      <c r="I3366" s="368">
        <f t="shared" si="441"/>
        <v>0</v>
      </c>
      <c r="J3366">
        <v>7345</v>
      </c>
      <c r="K3366" s="367">
        <f t="shared" si="445"/>
        <v>5246.4285714285716</v>
      </c>
      <c r="L3366">
        <v>1.05</v>
      </c>
      <c r="M3366">
        <v>4.5999999999999996</v>
      </c>
      <c r="N3366">
        <v>27</v>
      </c>
      <c r="O3366">
        <v>8</v>
      </c>
      <c r="P3366" t="s">
        <v>513</v>
      </c>
      <c r="Q3366" s="97" t="str">
        <f t="shared" si="442"/>
        <v/>
      </c>
      <c r="R3366" t="str">
        <f t="shared" si="443"/>
        <v/>
      </c>
    </row>
    <row r="3367" spans="3:18">
      <c r="C3367" t="str">
        <f t="shared" si="444"/>
        <v>NL</v>
      </c>
      <c r="D3367">
        <v>91</v>
      </c>
      <c r="E3367">
        <v>55</v>
      </c>
      <c r="F3367" s="366">
        <f t="shared" si="439"/>
        <v>1193.5</v>
      </c>
      <c r="G3367" s="97">
        <v>1611</v>
      </c>
      <c r="H3367" s="367">
        <f t="shared" si="440"/>
        <v>2804.5</v>
      </c>
      <c r="I3367" s="368">
        <f t="shared" si="441"/>
        <v>0</v>
      </c>
      <c r="J3367">
        <v>5222</v>
      </c>
      <c r="K3367" s="367">
        <f t="shared" si="445"/>
        <v>3730</v>
      </c>
      <c r="L3367">
        <v>0.96</v>
      </c>
      <c r="M3367">
        <v>4</v>
      </c>
      <c r="N3367">
        <v>27</v>
      </c>
      <c r="O3367">
        <v>3</v>
      </c>
      <c r="P3367" t="s">
        <v>515</v>
      </c>
      <c r="Q3367" s="97" t="str">
        <f t="shared" si="442"/>
        <v/>
      </c>
      <c r="R3367" t="str">
        <f t="shared" si="443"/>
        <v/>
      </c>
    </row>
    <row r="3368" spans="3:18">
      <c r="C3368" t="str">
        <f t="shared" si="444"/>
        <v/>
      </c>
      <c r="D3368">
        <v>92</v>
      </c>
      <c r="E3368">
        <v>55</v>
      </c>
      <c r="F3368" s="366">
        <f t="shared" si="439"/>
        <v>1193.5</v>
      </c>
      <c r="G3368" s="97">
        <v>1755</v>
      </c>
      <c r="H3368" s="367">
        <f t="shared" si="440"/>
        <v>2948.5</v>
      </c>
      <c r="I3368" s="368">
        <f t="shared" si="441"/>
        <v>0</v>
      </c>
      <c r="J3368">
        <v>5722</v>
      </c>
      <c r="K3368" s="367">
        <f t="shared" si="445"/>
        <v>4087.1428571428573</v>
      </c>
      <c r="L3368">
        <v>0.52</v>
      </c>
      <c r="M3368">
        <v>4.5999999999999996</v>
      </c>
      <c r="N3368">
        <v>24</v>
      </c>
      <c r="O3368">
        <v>4</v>
      </c>
      <c r="P3368" t="s">
        <v>515</v>
      </c>
      <c r="Q3368" s="97" t="str">
        <f t="shared" si="442"/>
        <v/>
      </c>
      <c r="R3368" t="str">
        <f t="shared" si="443"/>
        <v/>
      </c>
    </row>
    <row r="3369" spans="3:18">
      <c r="C3369" t="str">
        <f t="shared" si="444"/>
        <v>NL</v>
      </c>
      <c r="D3369">
        <v>93</v>
      </c>
      <c r="E3369">
        <v>55</v>
      </c>
      <c r="F3369" s="366">
        <f t="shared" si="439"/>
        <v>1193.5</v>
      </c>
      <c r="G3369" s="97">
        <v>1830</v>
      </c>
      <c r="H3369" s="367">
        <f t="shared" si="440"/>
        <v>3023.5</v>
      </c>
      <c r="I3369" s="368">
        <f t="shared" si="441"/>
        <v>0</v>
      </c>
      <c r="J3369">
        <v>6001</v>
      </c>
      <c r="K3369" s="367">
        <f t="shared" si="445"/>
        <v>4286.4285714285716</v>
      </c>
      <c r="L3369">
        <v>0.33</v>
      </c>
      <c r="M3369">
        <v>5.0999999999999996</v>
      </c>
      <c r="N3369">
        <v>22</v>
      </c>
      <c r="O3369">
        <v>5</v>
      </c>
      <c r="P3369" t="s">
        <v>515</v>
      </c>
      <c r="Q3369" s="97" t="str">
        <f t="shared" si="442"/>
        <v/>
      </c>
      <c r="R3369" t="str">
        <f t="shared" si="443"/>
        <v/>
      </c>
    </row>
    <row r="3370" spans="3:18">
      <c r="C3370" t="str">
        <f t="shared" si="444"/>
        <v>NL</v>
      </c>
      <c r="D3370">
        <v>94</v>
      </c>
      <c r="E3370">
        <v>55</v>
      </c>
      <c r="F3370" s="366">
        <f t="shared" si="439"/>
        <v>1193.5</v>
      </c>
      <c r="G3370" s="97">
        <v>2034</v>
      </c>
      <c r="H3370" s="367">
        <f t="shared" si="440"/>
        <v>3227.5</v>
      </c>
      <c r="I3370" s="368">
        <f t="shared" si="441"/>
        <v>0</v>
      </c>
      <c r="J3370">
        <v>6682</v>
      </c>
      <c r="K3370" s="367">
        <f t="shared" si="445"/>
        <v>4772.8571428571431</v>
      </c>
      <c r="L3370">
        <v>1.03</v>
      </c>
      <c r="M3370">
        <v>5.0999999999999996</v>
      </c>
      <c r="N3370">
        <v>28</v>
      </c>
      <c r="O3370">
        <v>5</v>
      </c>
      <c r="P3370" t="s">
        <v>514</v>
      </c>
      <c r="Q3370" s="97" t="str">
        <f t="shared" si="442"/>
        <v/>
      </c>
      <c r="R3370" t="str">
        <f t="shared" si="443"/>
        <v/>
      </c>
    </row>
    <row r="3371" spans="3:18">
      <c r="C3371" t="str">
        <f t="shared" si="444"/>
        <v/>
      </c>
      <c r="D3371">
        <v>95</v>
      </c>
      <c r="E3371">
        <v>55</v>
      </c>
      <c r="F3371" s="366">
        <f t="shared" si="439"/>
        <v>1193.5</v>
      </c>
      <c r="G3371" s="97">
        <v>1876</v>
      </c>
      <c r="H3371" s="367">
        <f t="shared" si="440"/>
        <v>3069.5</v>
      </c>
      <c r="I3371" s="368">
        <f t="shared" si="441"/>
        <v>0</v>
      </c>
      <c r="J3371">
        <v>6222</v>
      </c>
      <c r="K3371" s="367">
        <f t="shared" si="445"/>
        <v>4444.2857142857147</v>
      </c>
      <c r="L3371">
        <v>0.24000000000000002</v>
      </c>
      <c r="M3371">
        <v>4.5999999999999996</v>
      </c>
      <c r="N3371">
        <v>20</v>
      </c>
      <c r="O3371">
        <v>6</v>
      </c>
      <c r="P3371" t="s">
        <v>515</v>
      </c>
      <c r="Q3371" s="97">
        <f t="shared" si="442"/>
        <v>95</v>
      </c>
      <c r="R3371" t="str">
        <f t="shared" si="443"/>
        <v/>
      </c>
    </row>
    <row r="3372" spans="3:18">
      <c r="C3372" t="str">
        <f t="shared" si="444"/>
        <v/>
      </c>
      <c r="D3372">
        <v>96</v>
      </c>
      <c r="E3372">
        <v>55</v>
      </c>
      <c r="F3372" s="366">
        <f t="shared" si="439"/>
        <v>1193.5</v>
      </c>
      <c r="G3372" s="97">
        <v>2088</v>
      </c>
      <c r="H3372" s="367">
        <f t="shared" si="440"/>
        <v>3281.5</v>
      </c>
      <c r="I3372" s="368">
        <f t="shared" si="441"/>
        <v>0</v>
      </c>
      <c r="J3372">
        <v>6952</v>
      </c>
      <c r="K3372" s="367">
        <f t="shared" si="445"/>
        <v>4965.7142857142862</v>
      </c>
      <c r="L3372">
        <v>0.69000000000000006</v>
      </c>
      <c r="M3372">
        <v>4.5999999999999996</v>
      </c>
      <c r="N3372">
        <v>26</v>
      </c>
      <c r="O3372">
        <v>6</v>
      </c>
      <c r="P3372" t="s">
        <v>514</v>
      </c>
      <c r="Q3372" s="97">
        <f t="shared" si="442"/>
        <v>96</v>
      </c>
      <c r="R3372" t="str">
        <f t="shared" si="443"/>
        <v/>
      </c>
    </row>
    <row r="3373" spans="3:18">
      <c r="C3373" t="str">
        <f t="shared" si="444"/>
        <v>NL</v>
      </c>
      <c r="D3373">
        <v>97</v>
      </c>
      <c r="E3373">
        <v>55</v>
      </c>
      <c r="F3373" s="366">
        <f t="shared" si="439"/>
        <v>1193.5</v>
      </c>
      <c r="G3373" s="97">
        <v>1900</v>
      </c>
      <c r="H3373" s="367">
        <f t="shared" si="440"/>
        <v>3093.5</v>
      </c>
      <c r="I3373" s="368">
        <f t="shared" si="441"/>
        <v>0</v>
      </c>
      <c r="J3373">
        <v>6372</v>
      </c>
      <c r="K3373" s="367">
        <f t="shared" si="445"/>
        <v>4551.4285714285716</v>
      </c>
      <c r="L3373">
        <v>0.18000000000000002</v>
      </c>
      <c r="M3373">
        <v>4.6999999999999993</v>
      </c>
      <c r="N3373">
        <v>19</v>
      </c>
      <c r="O3373">
        <v>7</v>
      </c>
      <c r="P3373" t="s">
        <v>515</v>
      </c>
      <c r="Q3373" s="97" t="str">
        <f t="shared" si="442"/>
        <v/>
      </c>
      <c r="R3373" t="str">
        <f t="shared" si="443"/>
        <v/>
      </c>
    </row>
    <row r="3374" spans="3:18">
      <c r="C3374" t="str">
        <f t="shared" si="444"/>
        <v>NL</v>
      </c>
      <c r="D3374">
        <v>98</v>
      </c>
      <c r="E3374">
        <v>55</v>
      </c>
      <c r="F3374" s="366">
        <f t="shared" si="439"/>
        <v>1193.5</v>
      </c>
      <c r="G3374" s="97">
        <v>2117</v>
      </c>
      <c r="H3374" s="367">
        <f t="shared" si="440"/>
        <v>3310.5</v>
      </c>
      <c r="I3374" s="368">
        <f t="shared" si="441"/>
        <v>0</v>
      </c>
      <c r="J3374">
        <v>7139</v>
      </c>
      <c r="K3374" s="367">
        <f t="shared" si="445"/>
        <v>5099.2857142857147</v>
      </c>
      <c r="L3374">
        <v>0.5</v>
      </c>
      <c r="M3374">
        <v>4.6999999999999993</v>
      </c>
      <c r="N3374">
        <v>23</v>
      </c>
      <c r="O3374">
        <v>7</v>
      </c>
      <c r="P3374" t="s">
        <v>514</v>
      </c>
      <c r="Q3374" s="97" t="str">
        <f t="shared" si="442"/>
        <v/>
      </c>
      <c r="R3374" t="str">
        <f t="shared" si="443"/>
        <v/>
      </c>
    </row>
    <row r="3375" spans="3:18">
      <c r="C3375" t="str">
        <f t="shared" si="444"/>
        <v/>
      </c>
      <c r="D3375">
        <v>99</v>
      </c>
      <c r="E3375">
        <v>55</v>
      </c>
      <c r="F3375" s="366">
        <f t="shared" si="439"/>
        <v>1193.5</v>
      </c>
      <c r="G3375" s="97">
        <v>2140</v>
      </c>
      <c r="H3375" s="367">
        <f t="shared" si="440"/>
        <v>3333.5</v>
      </c>
      <c r="I3375" s="368">
        <f t="shared" si="441"/>
        <v>0</v>
      </c>
      <c r="J3375">
        <v>7308</v>
      </c>
      <c r="K3375" s="367">
        <f t="shared" si="445"/>
        <v>5220</v>
      </c>
      <c r="L3375">
        <v>0.38</v>
      </c>
      <c r="M3375">
        <v>4.5999999999999996</v>
      </c>
      <c r="N3375">
        <v>22</v>
      </c>
      <c r="O3375">
        <v>8</v>
      </c>
      <c r="P3375" t="s">
        <v>514</v>
      </c>
      <c r="Q3375" s="97">
        <f t="shared" si="442"/>
        <v>99</v>
      </c>
      <c r="R3375" t="str">
        <f t="shared" si="443"/>
        <v/>
      </c>
    </row>
    <row r="3376" spans="3:18">
      <c r="C3376" t="str">
        <f t="shared" si="444"/>
        <v/>
      </c>
      <c r="D3376">
        <v>100</v>
      </c>
      <c r="E3376">
        <v>60</v>
      </c>
      <c r="F3376" s="366">
        <f t="shared" si="439"/>
        <v>1302</v>
      </c>
      <c r="G3376" s="97">
        <v>1867</v>
      </c>
      <c r="H3376" s="367">
        <f t="shared" si="440"/>
        <v>3169</v>
      </c>
      <c r="I3376" s="368">
        <f t="shared" si="441"/>
        <v>0</v>
      </c>
      <c r="J3376">
        <v>6089</v>
      </c>
      <c r="K3376" s="367">
        <f t="shared" si="445"/>
        <v>4349.2857142857147</v>
      </c>
      <c r="L3376">
        <v>0.62</v>
      </c>
      <c r="M3376">
        <v>4.5999999999999996</v>
      </c>
      <c r="N3376">
        <v>25</v>
      </c>
      <c r="O3376">
        <v>4</v>
      </c>
      <c r="P3376" t="s">
        <v>515</v>
      </c>
      <c r="Q3376" s="97">
        <f t="shared" si="442"/>
        <v>100</v>
      </c>
      <c r="R3376" t="str">
        <f t="shared" si="443"/>
        <v/>
      </c>
    </row>
    <row r="3377" spans="3:18">
      <c r="C3377" t="str">
        <f t="shared" si="444"/>
        <v>NL</v>
      </c>
      <c r="D3377">
        <v>101</v>
      </c>
      <c r="E3377">
        <v>60</v>
      </c>
      <c r="F3377" s="366">
        <f t="shared" si="439"/>
        <v>1302</v>
      </c>
      <c r="G3377" s="97">
        <v>1950</v>
      </c>
      <c r="H3377" s="367">
        <f t="shared" si="440"/>
        <v>3252</v>
      </c>
      <c r="I3377" s="368">
        <f t="shared" si="441"/>
        <v>0</v>
      </c>
      <c r="J3377">
        <v>6401</v>
      </c>
      <c r="K3377" s="367">
        <f t="shared" si="445"/>
        <v>4572.1428571428569</v>
      </c>
      <c r="L3377">
        <v>0.4</v>
      </c>
      <c r="M3377">
        <v>5.0999999999999996</v>
      </c>
      <c r="N3377">
        <v>23</v>
      </c>
      <c r="O3377">
        <v>5</v>
      </c>
      <c r="P3377" t="s">
        <v>515</v>
      </c>
      <c r="Q3377" s="97" t="str">
        <f t="shared" si="442"/>
        <v/>
      </c>
      <c r="R3377" t="str">
        <f t="shared" si="443"/>
        <v/>
      </c>
    </row>
    <row r="3378" spans="3:18">
      <c r="C3378" t="str">
        <f t="shared" si="444"/>
        <v/>
      </c>
      <c r="D3378">
        <v>102</v>
      </c>
      <c r="E3378">
        <v>60</v>
      </c>
      <c r="F3378" s="366">
        <f t="shared" si="439"/>
        <v>1302</v>
      </c>
      <c r="G3378" s="97">
        <v>2000</v>
      </c>
      <c r="H3378" s="367">
        <f t="shared" si="440"/>
        <v>3302</v>
      </c>
      <c r="I3378" s="368">
        <f t="shared" si="441"/>
        <v>0</v>
      </c>
      <c r="J3378">
        <v>6647</v>
      </c>
      <c r="K3378" s="367">
        <f t="shared" si="445"/>
        <v>4747.8571428571431</v>
      </c>
      <c r="L3378">
        <v>0.28000000000000003</v>
      </c>
      <c r="M3378">
        <v>4.5999999999999996</v>
      </c>
      <c r="N3378">
        <v>21</v>
      </c>
      <c r="O3378">
        <v>6</v>
      </c>
      <c r="P3378" t="s">
        <v>515</v>
      </c>
      <c r="Q3378" s="97">
        <f t="shared" si="442"/>
        <v>102</v>
      </c>
      <c r="R3378" t="str">
        <f t="shared" si="443"/>
        <v/>
      </c>
    </row>
    <row r="3379" spans="3:18">
      <c r="C3379" t="str">
        <f t="shared" si="444"/>
        <v/>
      </c>
      <c r="D3379">
        <v>103</v>
      </c>
      <c r="E3379">
        <v>60</v>
      </c>
      <c r="F3379" s="366">
        <f t="shared" ref="F3379:F3442" si="446">1.085*($A$2-$B$2)*E3379*$T$7</f>
        <v>1302</v>
      </c>
      <c r="G3379" s="97">
        <v>2221</v>
      </c>
      <c r="H3379" s="367">
        <f t="shared" si="440"/>
        <v>3523</v>
      </c>
      <c r="I3379" s="368">
        <f t="shared" si="441"/>
        <v>0</v>
      </c>
      <c r="J3379">
        <v>7407</v>
      </c>
      <c r="K3379" s="367">
        <f t="shared" si="445"/>
        <v>5290.7142857142862</v>
      </c>
      <c r="L3379">
        <v>0.82000000000000006</v>
      </c>
      <c r="M3379">
        <v>4.5999999999999996</v>
      </c>
      <c r="N3379">
        <v>27</v>
      </c>
      <c r="O3379">
        <v>6</v>
      </c>
      <c r="P3379" t="s">
        <v>514</v>
      </c>
      <c r="Q3379" s="97" t="str">
        <f t="shared" si="442"/>
        <v/>
      </c>
      <c r="R3379" t="str">
        <f t="shared" si="443"/>
        <v/>
      </c>
    </row>
    <row r="3380" spans="3:18">
      <c r="C3380" t="str">
        <f t="shared" si="444"/>
        <v>NL</v>
      </c>
      <c r="D3380">
        <v>104</v>
      </c>
      <c r="E3380">
        <v>60</v>
      </c>
      <c r="F3380" s="366">
        <f t="shared" si="446"/>
        <v>1302</v>
      </c>
      <c r="G3380" s="97">
        <v>2028</v>
      </c>
      <c r="H3380" s="367">
        <f t="shared" si="440"/>
        <v>3330</v>
      </c>
      <c r="I3380" s="368">
        <f t="shared" si="441"/>
        <v>0</v>
      </c>
      <c r="J3380">
        <v>6819</v>
      </c>
      <c r="K3380" s="367">
        <f t="shared" si="445"/>
        <v>4870.7142857142862</v>
      </c>
      <c r="L3380">
        <v>0.21000000000000002</v>
      </c>
      <c r="M3380">
        <v>4.6999999999999993</v>
      </c>
      <c r="N3380">
        <v>20</v>
      </c>
      <c r="O3380">
        <v>7</v>
      </c>
      <c r="P3380" t="s">
        <v>515</v>
      </c>
      <c r="Q3380" s="97" t="str">
        <f t="shared" si="442"/>
        <v/>
      </c>
      <c r="R3380" t="str">
        <f t="shared" si="443"/>
        <v/>
      </c>
    </row>
    <row r="3381" spans="3:18">
      <c r="C3381" t="str">
        <f t="shared" si="444"/>
        <v>NL</v>
      </c>
      <c r="D3381">
        <v>105</v>
      </c>
      <c r="E3381">
        <v>60</v>
      </c>
      <c r="F3381" s="366">
        <f t="shared" si="446"/>
        <v>1302</v>
      </c>
      <c r="G3381" s="97">
        <v>2252</v>
      </c>
      <c r="H3381" s="367">
        <f t="shared" si="440"/>
        <v>3554</v>
      </c>
      <c r="I3381" s="368">
        <f t="shared" si="441"/>
        <v>0</v>
      </c>
      <c r="J3381">
        <v>7615</v>
      </c>
      <c r="K3381" s="367">
        <f t="shared" si="445"/>
        <v>5439.2857142857147</v>
      </c>
      <c r="L3381">
        <v>0.59</v>
      </c>
      <c r="M3381">
        <v>4.6999999999999993</v>
      </c>
      <c r="N3381">
        <v>25</v>
      </c>
      <c r="O3381">
        <v>7</v>
      </c>
      <c r="P3381" t="s">
        <v>514</v>
      </c>
      <c r="Q3381" s="97" t="str">
        <f t="shared" si="442"/>
        <v/>
      </c>
      <c r="R3381" t="str">
        <f t="shared" si="443"/>
        <v/>
      </c>
    </row>
    <row r="3382" spans="3:18">
      <c r="C3382" t="str">
        <f t="shared" si="444"/>
        <v/>
      </c>
      <c r="D3382">
        <v>106</v>
      </c>
      <c r="E3382">
        <v>60</v>
      </c>
      <c r="F3382" s="366">
        <f t="shared" si="446"/>
        <v>1302</v>
      </c>
      <c r="G3382" s="97">
        <v>2049</v>
      </c>
      <c r="H3382" s="367">
        <f t="shared" si="440"/>
        <v>3351</v>
      </c>
      <c r="I3382" s="368">
        <f t="shared" si="441"/>
        <v>0</v>
      </c>
      <c r="J3382">
        <v>6969</v>
      </c>
      <c r="K3382" s="367">
        <f t="shared" si="445"/>
        <v>4977.8571428571431</v>
      </c>
      <c r="L3382">
        <v>0.17</v>
      </c>
      <c r="M3382">
        <v>4.5999999999999996</v>
      </c>
      <c r="N3382">
        <v>19</v>
      </c>
      <c r="O3382">
        <v>8</v>
      </c>
      <c r="P3382" t="s">
        <v>515</v>
      </c>
      <c r="Q3382" s="97">
        <f t="shared" si="442"/>
        <v>106</v>
      </c>
      <c r="R3382" t="str">
        <f t="shared" si="443"/>
        <v/>
      </c>
    </row>
    <row r="3383" spans="3:18">
      <c r="C3383" t="str">
        <f t="shared" si="444"/>
        <v/>
      </c>
      <c r="D3383">
        <v>107</v>
      </c>
      <c r="E3383">
        <v>60</v>
      </c>
      <c r="F3383" s="366">
        <f t="shared" si="446"/>
        <v>1302</v>
      </c>
      <c r="G3383" s="97">
        <v>2275</v>
      </c>
      <c r="H3383" s="367">
        <f t="shared" si="440"/>
        <v>3577</v>
      </c>
      <c r="I3383" s="368">
        <f t="shared" si="441"/>
        <v>0</v>
      </c>
      <c r="J3383">
        <v>7802</v>
      </c>
      <c r="K3383" s="367">
        <f t="shared" si="445"/>
        <v>5572.8571428571431</v>
      </c>
      <c r="L3383">
        <v>0.45</v>
      </c>
      <c r="M3383">
        <v>4.5999999999999996</v>
      </c>
      <c r="N3383">
        <v>23</v>
      </c>
      <c r="O3383">
        <v>8</v>
      </c>
      <c r="P3383" t="s">
        <v>514</v>
      </c>
      <c r="Q3383" s="97">
        <f t="shared" si="442"/>
        <v>107</v>
      </c>
      <c r="R3383" t="str">
        <f t="shared" si="443"/>
        <v/>
      </c>
    </row>
    <row r="3384" spans="3:18">
      <c r="C3384" t="str">
        <f t="shared" si="444"/>
        <v/>
      </c>
      <c r="D3384">
        <v>108</v>
      </c>
      <c r="E3384">
        <v>65</v>
      </c>
      <c r="F3384" s="366">
        <f t="shared" si="446"/>
        <v>1410.5</v>
      </c>
      <c r="G3384" s="97">
        <v>1973</v>
      </c>
      <c r="H3384" s="367">
        <f t="shared" si="440"/>
        <v>3383.5</v>
      </c>
      <c r="I3384" s="368">
        <f t="shared" si="441"/>
        <v>0</v>
      </c>
      <c r="J3384">
        <v>6440</v>
      </c>
      <c r="K3384" s="367">
        <f t="shared" si="445"/>
        <v>4600</v>
      </c>
      <c r="L3384">
        <v>0.73</v>
      </c>
      <c r="M3384">
        <v>4.5999999999999996</v>
      </c>
      <c r="N3384">
        <v>26</v>
      </c>
      <c r="O3384">
        <v>4</v>
      </c>
      <c r="P3384" t="s">
        <v>515</v>
      </c>
      <c r="Q3384" s="97" t="str">
        <f t="shared" si="442"/>
        <v/>
      </c>
      <c r="R3384" t="str">
        <f t="shared" si="443"/>
        <v/>
      </c>
    </row>
    <row r="3385" spans="3:18">
      <c r="C3385" t="str">
        <f t="shared" si="444"/>
        <v>NL</v>
      </c>
      <c r="D3385">
        <v>109</v>
      </c>
      <c r="E3385">
        <v>65</v>
      </c>
      <c r="F3385" s="366">
        <f t="shared" si="446"/>
        <v>1410.5</v>
      </c>
      <c r="G3385" s="97">
        <v>2066</v>
      </c>
      <c r="H3385" s="367">
        <f t="shared" si="440"/>
        <v>3476.5</v>
      </c>
      <c r="I3385" s="368">
        <f t="shared" si="441"/>
        <v>0</v>
      </c>
      <c r="J3385">
        <v>6785</v>
      </c>
      <c r="K3385" s="367">
        <f t="shared" si="445"/>
        <v>4846.4285714285716</v>
      </c>
      <c r="L3385">
        <v>0.46</v>
      </c>
      <c r="M3385">
        <v>5.0999999999999996</v>
      </c>
      <c r="N3385">
        <v>24</v>
      </c>
      <c r="O3385">
        <v>5</v>
      </c>
      <c r="P3385" t="s">
        <v>515</v>
      </c>
      <c r="Q3385" s="97" t="str">
        <f t="shared" si="442"/>
        <v/>
      </c>
      <c r="R3385" t="str">
        <f t="shared" si="443"/>
        <v/>
      </c>
    </row>
    <row r="3386" spans="3:18">
      <c r="C3386" t="str">
        <f t="shared" si="444"/>
        <v/>
      </c>
      <c r="D3386">
        <v>110</v>
      </c>
      <c r="E3386">
        <v>65</v>
      </c>
      <c r="F3386" s="366">
        <f t="shared" si="446"/>
        <v>1410.5</v>
      </c>
      <c r="G3386" s="97">
        <v>2121</v>
      </c>
      <c r="H3386" s="367">
        <f t="shared" si="440"/>
        <v>3531.5</v>
      </c>
      <c r="I3386" s="368">
        <f t="shared" si="441"/>
        <v>0</v>
      </c>
      <c r="J3386">
        <v>7061</v>
      </c>
      <c r="K3386" s="367">
        <f t="shared" si="445"/>
        <v>5043.5714285714284</v>
      </c>
      <c r="L3386">
        <v>0.33</v>
      </c>
      <c r="M3386">
        <v>4.5999999999999996</v>
      </c>
      <c r="N3386">
        <v>22</v>
      </c>
      <c r="O3386">
        <v>6</v>
      </c>
      <c r="P3386" t="s">
        <v>515</v>
      </c>
      <c r="Q3386" s="97">
        <f t="shared" si="442"/>
        <v>110</v>
      </c>
      <c r="R3386" t="str">
        <f t="shared" si="443"/>
        <v/>
      </c>
    </row>
    <row r="3387" spans="3:18">
      <c r="C3387" t="str">
        <f t="shared" si="444"/>
        <v/>
      </c>
      <c r="D3387">
        <v>111</v>
      </c>
      <c r="E3387">
        <v>65</v>
      </c>
      <c r="F3387" s="366">
        <f t="shared" si="446"/>
        <v>1410.5</v>
      </c>
      <c r="G3387" s="97">
        <v>2347</v>
      </c>
      <c r="H3387" s="367">
        <f t="shared" si="440"/>
        <v>3757.5</v>
      </c>
      <c r="I3387" s="368">
        <f t="shared" si="441"/>
        <v>0</v>
      </c>
      <c r="J3387">
        <v>7843</v>
      </c>
      <c r="K3387" s="367">
        <f t="shared" si="445"/>
        <v>5602.1428571428569</v>
      </c>
      <c r="L3387">
        <v>0.96</v>
      </c>
      <c r="M3387">
        <v>4.5999999999999996</v>
      </c>
      <c r="N3387">
        <v>28</v>
      </c>
      <c r="O3387">
        <v>6</v>
      </c>
      <c r="P3387" t="s">
        <v>514</v>
      </c>
      <c r="Q3387" s="97" t="str">
        <f t="shared" si="442"/>
        <v/>
      </c>
      <c r="R3387" t="str">
        <f t="shared" si="443"/>
        <v/>
      </c>
    </row>
    <row r="3388" spans="3:18">
      <c r="C3388" t="str">
        <f t="shared" si="444"/>
        <v>NL</v>
      </c>
      <c r="D3388">
        <v>112</v>
      </c>
      <c r="E3388">
        <v>65</v>
      </c>
      <c r="F3388" s="366">
        <f t="shared" si="446"/>
        <v>1410.5</v>
      </c>
      <c r="G3388" s="97">
        <v>2150</v>
      </c>
      <c r="H3388" s="367">
        <f t="shared" si="440"/>
        <v>3560.5</v>
      </c>
      <c r="I3388" s="368">
        <f t="shared" si="441"/>
        <v>0</v>
      </c>
      <c r="J3388">
        <v>7245</v>
      </c>
      <c r="K3388" s="367">
        <f t="shared" si="445"/>
        <v>5175</v>
      </c>
      <c r="L3388">
        <v>0.25</v>
      </c>
      <c r="M3388">
        <v>4.6999999999999993</v>
      </c>
      <c r="N3388">
        <v>21</v>
      </c>
      <c r="O3388">
        <v>7</v>
      </c>
      <c r="P3388" t="s">
        <v>515</v>
      </c>
      <c r="Q3388" s="97" t="str">
        <f t="shared" si="442"/>
        <v/>
      </c>
      <c r="R3388" t="str">
        <f t="shared" si="443"/>
        <v/>
      </c>
    </row>
    <row r="3389" spans="3:18">
      <c r="C3389" t="str">
        <f t="shared" si="444"/>
        <v>NL</v>
      </c>
      <c r="D3389">
        <v>113</v>
      </c>
      <c r="E3389">
        <v>65</v>
      </c>
      <c r="F3389" s="366">
        <f t="shared" si="446"/>
        <v>1410.5</v>
      </c>
      <c r="G3389" s="97">
        <v>2382</v>
      </c>
      <c r="H3389" s="367">
        <f t="shared" si="440"/>
        <v>3792.5</v>
      </c>
      <c r="I3389" s="368">
        <f t="shared" si="441"/>
        <v>0</v>
      </c>
      <c r="J3389">
        <v>8077</v>
      </c>
      <c r="K3389" s="367">
        <f t="shared" si="445"/>
        <v>5769.2857142857147</v>
      </c>
      <c r="L3389">
        <v>0.69000000000000006</v>
      </c>
      <c r="M3389">
        <v>4.6999999999999993</v>
      </c>
      <c r="N3389">
        <v>26</v>
      </c>
      <c r="O3389">
        <v>7</v>
      </c>
      <c r="P3389" t="s">
        <v>514</v>
      </c>
      <c r="Q3389" s="97" t="str">
        <f t="shared" si="442"/>
        <v/>
      </c>
      <c r="R3389" t="str">
        <f t="shared" si="443"/>
        <v/>
      </c>
    </row>
    <row r="3390" spans="3:18">
      <c r="C3390" t="str">
        <f t="shared" si="444"/>
        <v/>
      </c>
      <c r="D3390">
        <v>114</v>
      </c>
      <c r="E3390">
        <v>65</v>
      </c>
      <c r="F3390" s="366">
        <f t="shared" si="446"/>
        <v>1410.5</v>
      </c>
      <c r="G3390" s="97">
        <v>2172</v>
      </c>
      <c r="H3390" s="367">
        <f t="shared" si="440"/>
        <v>3582.5</v>
      </c>
      <c r="I3390" s="368">
        <f t="shared" si="441"/>
        <v>0</v>
      </c>
      <c r="J3390">
        <v>7415</v>
      </c>
      <c r="K3390" s="367">
        <f t="shared" si="445"/>
        <v>5296.4285714285716</v>
      </c>
      <c r="L3390">
        <v>0.2</v>
      </c>
      <c r="M3390">
        <v>4.5999999999999996</v>
      </c>
      <c r="N3390">
        <v>20</v>
      </c>
      <c r="O3390">
        <v>8</v>
      </c>
      <c r="P3390" t="s">
        <v>515</v>
      </c>
      <c r="Q3390" s="97">
        <f t="shared" si="442"/>
        <v>114</v>
      </c>
      <c r="R3390" t="str">
        <f t="shared" si="443"/>
        <v/>
      </c>
    </row>
    <row r="3391" spans="3:18">
      <c r="C3391" t="str">
        <f t="shared" si="444"/>
        <v/>
      </c>
      <c r="D3391">
        <v>115</v>
      </c>
      <c r="E3391">
        <v>65</v>
      </c>
      <c r="F3391" s="366">
        <f t="shared" si="446"/>
        <v>1410.5</v>
      </c>
      <c r="G3391" s="97">
        <v>2408</v>
      </c>
      <c r="H3391" s="367">
        <f t="shared" si="440"/>
        <v>3818.5</v>
      </c>
      <c r="I3391" s="368">
        <f t="shared" si="441"/>
        <v>0</v>
      </c>
      <c r="J3391">
        <v>8286</v>
      </c>
      <c r="K3391" s="367">
        <f t="shared" si="445"/>
        <v>5918.5714285714284</v>
      </c>
      <c r="L3391">
        <v>0.52</v>
      </c>
      <c r="M3391">
        <v>4.5999999999999996</v>
      </c>
      <c r="N3391">
        <v>24</v>
      </c>
      <c r="O3391">
        <v>8</v>
      </c>
      <c r="P3391" t="s">
        <v>514</v>
      </c>
      <c r="Q3391" s="97">
        <f t="shared" si="442"/>
        <v>115</v>
      </c>
      <c r="R3391" t="str">
        <f t="shared" si="443"/>
        <v/>
      </c>
    </row>
    <row r="3392" spans="3:18">
      <c r="C3392" t="str">
        <f t="shared" si="444"/>
        <v/>
      </c>
      <c r="D3392">
        <v>116</v>
      </c>
      <c r="E3392">
        <v>70</v>
      </c>
      <c r="F3392" s="366">
        <f t="shared" si="446"/>
        <v>1519</v>
      </c>
      <c r="G3392" s="97">
        <v>2076</v>
      </c>
      <c r="H3392" s="367">
        <f t="shared" si="440"/>
        <v>3595</v>
      </c>
      <c r="I3392" s="368">
        <f t="shared" si="441"/>
        <v>0</v>
      </c>
      <c r="J3392">
        <v>6778</v>
      </c>
      <c r="K3392" s="367">
        <f t="shared" si="445"/>
        <v>4841.4285714285716</v>
      </c>
      <c r="L3392">
        <v>0.84</v>
      </c>
      <c r="M3392">
        <v>4.5999999999999996</v>
      </c>
      <c r="N3392">
        <v>27</v>
      </c>
      <c r="O3392">
        <v>4</v>
      </c>
      <c r="P3392" t="s">
        <v>515</v>
      </c>
      <c r="Q3392" s="97" t="str">
        <f t="shared" si="442"/>
        <v/>
      </c>
      <c r="R3392" t="str">
        <f t="shared" si="443"/>
        <v/>
      </c>
    </row>
    <row r="3393" spans="3:18">
      <c r="C3393" t="str">
        <f t="shared" si="444"/>
        <v>NL</v>
      </c>
      <c r="D3393">
        <v>117</v>
      </c>
      <c r="E3393">
        <v>70</v>
      </c>
      <c r="F3393" s="366">
        <f t="shared" si="446"/>
        <v>1519</v>
      </c>
      <c r="G3393" s="97">
        <v>2176</v>
      </c>
      <c r="H3393" s="367">
        <f t="shared" si="440"/>
        <v>3695</v>
      </c>
      <c r="I3393" s="368">
        <f t="shared" si="441"/>
        <v>0</v>
      </c>
      <c r="J3393">
        <v>7152</v>
      </c>
      <c r="K3393" s="367">
        <f t="shared" si="445"/>
        <v>5108.5714285714284</v>
      </c>
      <c r="L3393">
        <v>0.54</v>
      </c>
      <c r="M3393">
        <v>5.0999999999999996</v>
      </c>
      <c r="N3393">
        <v>25</v>
      </c>
      <c r="O3393">
        <v>5</v>
      </c>
      <c r="P3393" t="s">
        <v>515</v>
      </c>
      <c r="Q3393" s="97" t="str">
        <f t="shared" si="442"/>
        <v/>
      </c>
      <c r="R3393" t="str">
        <f t="shared" si="443"/>
        <v/>
      </c>
    </row>
    <row r="3394" spans="3:18">
      <c r="C3394" t="str">
        <f t="shared" si="444"/>
        <v/>
      </c>
      <c r="D3394">
        <v>118</v>
      </c>
      <c r="E3394">
        <v>70</v>
      </c>
      <c r="F3394" s="366">
        <f t="shared" si="446"/>
        <v>1519</v>
      </c>
      <c r="G3394" s="97">
        <v>2235</v>
      </c>
      <c r="H3394" s="367">
        <f t="shared" si="440"/>
        <v>3754</v>
      </c>
      <c r="I3394" s="368">
        <f t="shared" si="441"/>
        <v>0</v>
      </c>
      <c r="J3394">
        <v>7450</v>
      </c>
      <c r="K3394" s="367">
        <f t="shared" si="445"/>
        <v>5321.4285714285716</v>
      </c>
      <c r="L3394">
        <v>0.38</v>
      </c>
      <c r="M3394">
        <v>4.5999999999999996</v>
      </c>
      <c r="N3394">
        <v>23</v>
      </c>
      <c r="O3394">
        <v>6</v>
      </c>
      <c r="P3394" t="s">
        <v>515</v>
      </c>
      <c r="Q3394" s="97">
        <f t="shared" si="442"/>
        <v>118</v>
      </c>
      <c r="R3394" t="str">
        <f t="shared" si="443"/>
        <v/>
      </c>
    </row>
    <row r="3395" spans="3:18">
      <c r="C3395" t="str">
        <f t="shared" si="444"/>
        <v/>
      </c>
      <c r="D3395">
        <v>119</v>
      </c>
      <c r="E3395">
        <v>70</v>
      </c>
      <c r="F3395" s="366">
        <f t="shared" si="446"/>
        <v>1519</v>
      </c>
      <c r="G3395" s="97">
        <v>2467</v>
      </c>
      <c r="H3395" s="367">
        <f t="shared" si="440"/>
        <v>3986</v>
      </c>
      <c r="I3395" s="368">
        <f t="shared" si="441"/>
        <v>0</v>
      </c>
      <c r="J3395">
        <v>8261</v>
      </c>
      <c r="K3395" s="367">
        <f t="shared" si="445"/>
        <v>5900.7142857142862</v>
      </c>
      <c r="L3395">
        <v>1.1100000000000001</v>
      </c>
      <c r="M3395">
        <v>4.5999999999999996</v>
      </c>
      <c r="N3395">
        <v>29</v>
      </c>
      <c r="O3395">
        <v>6</v>
      </c>
      <c r="P3395" t="s">
        <v>514</v>
      </c>
      <c r="Q3395" s="97" t="str">
        <f t="shared" si="442"/>
        <v/>
      </c>
      <c r="R3395" t="str">
        <f t="shared" si="443"/>
        <v/>
      </c>
    </row>
    <row r="3396" spans="3:18">
      <c r="C3396" t="str">
        <f t="shared" si="444"/>
        <v>NL</v>
      </c>
      <c r="D3396">
        <v>120</v>
      </c>
      <c r="E3396">
        <v>70</v>
      </c>
      <c r="F3396" s="366">
        <f t="shared" si="446"/>
        <v>1519</v>
      </c>
      <c r="G3396" s="97">
        <v>2267</v>
      </c>
      <c r="H3396" s="367">
        <f t="shared" si="440"/>
        <v>3786</v>
      </c>
      <c r="I3396" s="368">
        <f t="shared" si="441"/>
        <v>0</v>
      </c>
      <c r="J3396">
        <v>7659</v>
      </c>
      <c r="K3396" s="367">
        <f t="shared" si="445"/>
        <v>5470.7142857142862</v>
      </c>
      <c r="L3396">
        <v>0.29000000000000004</v>
      </c>
      <c r="M3396">
        <v>4.6999999999999993</v>
      </c>
      <c r="N3396">
        <v>22</v>
      </c>
      <c r="O3396">
        <v>7</v>
      </c>
      <c r="P3396" t="s">
        <v>515</v>
      </c>
      <c r="Q3396" s="97" t="str">
        <f t="shared" si="442"/>
        <v/>
      </c>
      <c r="R3396" t="str">
        <f t="shared" si="443"/>
        <v/>
      </c>
    </row>
    <row r="3397" spans="3:18">
      <c r="C3397" t="str">
        <f t="shared" si="444"/>
        <v>NL</v>
      </c>
      <c r="D3397">
        <v>121</v>
      </c>
      <c r="E3397">
        <v>70</v>
      </c>
      <c r="F3397" s="366">
        <f t="shared" si="446"/>
        <v>1519</v>
      </c>
      <c r="G3397" s="97">
        <v>2505</v>
      </c>
      <c r="H3397" s="367">
        <f t="shared" si="440"/>
        <v>4024</v>
      </c>
      <c r="I3397" s="368">
        <f t="shared" si="441"/>
        <v>0</v>
      </c>
      <c r="J3397">
        <v>8517</v>
      </c>
      <c r="K3397" s="367">
        <f t="shared" si="445"/>
        <v>6083.5714285714284</v>
      </c>
      <c r="L3397">
        <v>0.8</v>
      </c>
      <c r="M3397">
        <v>4.6999999999999993</v>
      </c>
      <c r="N3397">
        <v>27</v>
      </c>
      <c r="O3397">
        <v>7</v>
      </c>
      <c r="P3397" t="s">
        <v>514</v>
      </c>
      <c r="Q3397" s="97" t="str">
        <f t="shared" si="442"/>
        <v/>
      </c>
      <c r="R3397" t="str">
        <f t="shared" si="443"/>
        <v/>
      </c>
    </row>
    <row r="3398" spans="3:18">
      <c r="C3398" t="str">
        <f t="shared" si="444"/>
        <v/>
      </c>
      <c r="D3398">
        <v>122</v>
      </c>
      <c r="E3398">
        <v>70</v>
      </c>
      <c r="F3398" s="366">
        <f t="shared" si="446"/>
        <v>1519</v>
      </c>
      <c r="G3398" s="97">
        <v>2291</v>
      </c>
      <c r="H3398" s="367">
        <f t="shared" si="440"/>
        <v>3810</v>
      </c>
      <c r="I3398" s="368">
        <f t="shared" si="441"/>
        <v>0</v>
      </c>
      <c r="J3398">
        <v>7845</v>
      </c>
      <c r="K3398" s="367">
        <f t="shared" si="445"/>
        <v>5603.5714285714284</v>
      </c>
      <c r="L3398">
        <v>0.23</v>
      </c>
      <c r="M3398">
        <v>4.5999999999999996</v>
      </c>
      <c r="N3398">
        <v>21</v>
      </c>
      <c r="O3398">
        <v>8</v>
      </c>
      <c r="P3398" t="s">
        <v>515</v>
      </c>
      <c r="Q3398" s="97">
        <f t="shared" si="442"/>
        <v>122</v>
      </c>
      <c r="R3398" t="str">
        <f t="shared" si="443"/>
        <v/>
      </c>
    </row>
    <row r="3399" spans="3:18">
      <c r="C3399" t="str">
        <f t="shared" si="444"/>
        <v/>
      </c>
      <c r="D3399">
        <v>123</v>
      </c>
      <c r="E3399">
        <v>70</v>
      </c>
      <c r="F3399" s="366">
        <f t="shared" si="446"/>
        <v>1519</v>
      </c>
      <c r="G3399" s="97">
        <v>2531</v>
      </c>
      <c r="H3399" s="367">
        <f t="shared" si="440"/>
        <v>4050</v>
      </c>
      <c r="I3399" s="368">
        <f t="shared" si="441"/>
        <v>0</v>
      </c>
      <c r="J3399">
        <v>8739</v>
      </c>
      <c r="K3399" s="367">
        <f t="shared" si="445"/>
        <v>6242.1428571428569</v>
      </c>
      <c r="L3399">
        <v>0.61</v>
      </c>
      <c r="M3399">
        <v>4.5999999999999996</v>
      </c>
      <c r="N3399">
        <v>25</v>
      </c>
      <c r="O3399">
        <v>8</v>
      </c>
      <c r="P3399" t="s">
        <v>514</v>
      </c>
      <c r="Q3399" s="97">
        <f t="shared" si="442"/>
        <v>123</v>
      </c>
      <c r="R3399" t="str">
        <f t="shared" si="443"/>
        <v/>
      </c>
    </row>
    <row r="3400" spans="3:18">
      <c r="C3400" t="str">
        <f t="shared" si="444"/>
        <v/>
      </c>
      <c r="D3400">
        <v>124</v>
      </c>
      <c r="E3400">
        <v>75</v>
      </c>
      <c r="F3400" s="366">
        <f t="shared" si="446"/>
        <v>1627.5</v>
      </c>
      <c r="G3400" s="97">
        <v>2175</v>
      </c>
      <c r="H3400" s="367">
        <f t="shared" si="440"/>
        <v>3802.5</v>
      </c>
      <c r="I3400" s="368">
        <f t="shared" si="441"/>
        <v>0</v>
      </c>
      <c r="J3400">
        <v>7102</v>
      </c>
      <c r="K3400" s="367">
        <f t="shared" si="445"/>
        <v>5072.8571428571431</v>
      </c>
      <c r="L3400">
        <v>0.94000000000000006</v>
      </c>
      <c r="M3400">
        <v>4.5999999999999996</v>
      </c>
      <c r="N3400">
        <v>28</v>
      </c>
      <c r="O3400">
        <v>4</v>
      </c>
      <c r="P3400" t="s">
        <v>515</v>
      </c>
      <c r="Q3400" s="97" t="str">
        <f t="shared" si="442"/>
        <v/>
      </c>
      <c r="R3400" t="str">
        <f t="shared" si="443"/>
        <v/>
      </c>
    </row>
    <row r="3401" spans="3:18">
      <c r="C3401" t="str">
        <f t="shared" si="444"/>
        <v>NL</v>
      </c>
      <c r="D3401">
        <v>125</v>
      </c>
      <c r="E3401">
        <v>75</v>
      </c>
      <c r="F3401" s="366">
        <f t="shared" si="446"/>
        <v>1627.5</v>
      </c>
      <c r="G3401" s="97">
        <v>2282</v>
      </c>
      <c r="H3401" s="367">
        <f t="shared" si="440"/>
        <v>3909.5</v>
      </c>
      <c r="I3401" s="368">
        <f t="shared" si="441"/>
        <v>0</v>
      </c>
      <c r="J3401">
        <v>7507</v>
      </c>
      <c r="K3401" s="367">
        <f t="shared" si="445"/>
        <v>5362.1428571428569</v>
      </c>
      <c r="L3401">
        <v>0.59</v>
      </c>
      <c r="M3401">
        <v>5.0999999999999996</v>
      </c>
      <c r="N3401">
        <v>26</v>
      </c>
      <c r="O3401">
        <v>5</v>
      </c>
      <c r="P3401" t="s">
        <v>515</v>
      </c>
      <c r="Q3401" s="97" t="str">
        <f t="shared" si="442"/>
        <v/>
      </c>
      <c r="R3401" t="str">
        <f t="shared" si="443"/>
        <v/>
      </c>
    </row>
    <row r="3402" spans="3:18">
      <c r="C3402" t="str">
        <f t="shared" si="444"/>
        <v/>
      </c>
      <c r="D3402">
        <v>126</v>
      </c>
      <c r="E3402">
        <v>75</v>
      </c>
      <c r="F3402" s="366">
        <f t="shared" si="446"/>
        <v>1627.5</v>
      </c>
      <c r="G3402" s="97">
        <v>2345</v>
      </c>
      <c r="H3402" s="367">
        <f t="shared" si="440"/>
        <v>3972.5</v>
      </c>
      <c r="I3402" s="368">
        <f t="shared" si="441"/>
        <v>0</v>
      </c>
      <c r="J3402">
        <v>7830</v>
      </c>
      <c r="K3402" s="367">
        <f t="shared" si="445"/>
        <v>5592.8571428571431</v>
      </c>
      <c r="L3402">
        <v>0.41000000000000003</v>
      </c>
      <c r="M3402">
        <v>4.5999999999999996</v>
      </c>
      <c r="N3402">
        <v>24</v>
      </c>
      <c r="O3402">
        <v>6</v>
      </c>
      <c r="P3402" t="s">
        <v>515</v>
      </c>
      <c r="Q3402" s="97">
        <f t="shared" si="442"/>
        <v>126</v>
      </c>
      <c r="R3402" t="str">
        <f t="shared" si="443"/>
        <v/>
      </c>
    </row>
    <row r="3403" spans="3:18">
      <c r="C3403" t="str">
        <f t="shared" si="444"/>
        <v>NL</v>
      </c>
      <c r="D3403">
        <v>127</v>
      </c>
      <c r="E3403">
        <v>75</v>
      </c>
      <c r="F3403" s="366">
        <f t="shared" si="446"/>
        <v>1627.5</v>
      </c>
      <c r="G3403" s="97">
        <v>2380</v>
      </c>
      <c r="H3403" s="367">
        <f t="shared" si="440"/>
        <v>4007.5</v>
      </c>
      <c r="I3403" s="368">
        <f t="shared" si="441"/>
        <v>0</v>
      </c>
      <c r="J3403">
        <v>8059</v>
      </c>
      <c r="K3403" s="367">
        <f t="shared" si="445"/>
        <v>5756.4285714285716</v>
      </c>
      <c r="L3403">
        <v>0.3</v>
      </c>
      <c r="M3403">
        <v>4.6999999999999993</v>
      </c>
      <c r="N3403">
        <v>22</v>
      </c>
      <c r="O3403">
        <v>7</v>
      </c>
      <c r="P3403" t="s">
        <v>515</v>
      </c>
      <c r="Q3403" s="97" t="str">
        <f t="shared" si="442"/>
        <v/>
      </c>
      <c r="R3403" t="str">
        <f t="shared" si="443"/>
        <v/>
      </c>
    </row>
    <row r="3404" spans="3:18">
      <c r="C3404" t="str">
        <f t="shared" si="444"/>
        <v>NL</v>
      </c>
      <c r="D3404">
        <v>128</v>
      </c>
      <c r="E3404">
        <v>75</v>
      </c>
      <c r="F3404" s="366">
        <f t="shared" si="446"/>
        <v>1627.5</v>
      </c>
      <c r="G3404" s="97">
        <v>2623</v>
      </c>
      <c r="H3404" s="367">
        <f t="shared" si="440"/>
        <v>4250.5</v>
      </c>
      <c r="I3404" s="368">
        <f t="shared" si="441"/>
        <v>0</v>
      </c>
      <c r="J3404">
        <v>8941</v>
      </c>
      <c r="K3404" s="367">
        <f t="shared" si="445"/>
        <v>6386.4285714285716</v>
      </c>
      <c r="L3404">
        <v>0.89</v>
      </c>
      <c r="M3404">
        <v>4.6999999999999993</v>
      </c>
      <c r="N3404">
        <v>27</v>
      </c>
      <c r="O3404">
        <v>7</v>
      </c>
      <c r="P3404" t="s">
        <v>514</v>
      </c>
      <c r="Q3404" s="97" t="str">
        <f t="shared" si="442"/>
        <v/>
      </c>
      <c r="R3404" t="str">
        <f t="shared" si="443"/>
        <v/>
      </c>
    </row>
    <row r="3405" spans="3:18">
      <c r="C3405" t="str">
        <f t="shared" si="444"/>
        <v/>
      </c>
      <c r="D3405">
        <v>129</v>
      </c>
      <c r="E3405">
        <v>75</v>
      </c>
      <c r="F3405" s="366">
        <f t="shared" si="446"/>
        <v>1627.5</v>
      </c>
      <c r="G3405" s="97">
        <v>2404</v>
      </c>
      <c r="H3405" s="367">
        <f t="shared" si="440"/>
        <v>4031.5</v>
      </c>
      <c r="I3405" s="368">
        <f t="shared" si="441"/>
        <v>0</v>
      </c>
      <c r="J3405">
        <v>8260</v>
      </c>
      <c r="K3405" s="367">
        <f t="shared" si="445"/>
        <v>5900</v>
      </c>
      <c r="L3405">
        <v>0.23</v>
      </c>
      <c r="M3405">
        <v>4.5999999999999996</v>
      </c>
      <c r="N3405">
        <v>21</v>
      </c>
      <c r="O3405">
        <v>8</v>
      </c>
      <c r="P3405" t="s">
        <v>515</v>
      </c>
      <c r="Q3405" s="97">
        <f t="shared" si="442"/>
        <v>129</v>
      </c>
      <c r="R3405" t="str">
        <f t="shared" si="443"/>
        <v/>
      </c>
    </row>
    <row r="3406" spans="3:18">
      <c r="C3406" t="str">
        <f t="shared" si="444"/>
        <v/>
      </c>
      <c r="D3406">
        <v>130</v>
      </c>
      <c r="E3406">
        <v>75</v>
      </c>
      <c r="F3406" s="366">
        <f t="shared" si="446"/>
        <v>1627.5</v>
      </c>
      <c r="G3406" s="97">
        <v>2651</v>
      </c>
      <c r="H3406" s="367">
        <f t="shared" ref="H3406:H3460" si="447">(G3406*$U$7)+F3406</f>
        <v>4278.5</v>
      </c>
      <c r="I3406" s="368">
        <f t="shared" ref="I3406:I3460" si="448">1.085*($C$2-$D$2)*E3406*$T$7</f>
        <v>0</v>
      </c>
      <c r="J3406">
        <v>9186</v>
      </c>
      <c r="K3406" s="367">
        <f t="shared" si="445"/>
        <v>6561.4285714285716</v>
      </c>
      <c r="L3406">
        <v>0.67</v>
      </c>
      <c r="M3406">
        <v>4.5999999999999996</v>
      </c>
      <c r="N3406">
        <v>25</v>
      </c>
      <c r="O3406">
        <v>8</v>
      </c>
      <c r="P3406" t="s">
        <v>514</v>
      </c>
      <c r="Q3406" s="97">
        <f t="shared" ref="Q3406:Q3460" si="449">IF(AND(H3406+1&gt;$E$4,L3406&lt;$L$4+0.01,M3406&lt;$M$4+0.01,K3406+1&gt;$F$4,E3406+1&gt;$J$4,N3406&lt;$K$4+1,O3406&lt;$P$4+1,C3406=""),D3406,"")</f>
        <v>130</v>
      </c>
      <c r="R3406" t="str">
        <f t="shared" ref="R3406:R3460" si="450">IF(Q3406="","",IF(AND(O3406&lt;$X$29,E3406&gt;$U$29,E3406&lt;$Q$4+$U$29+1),D3406,""))</f>
        <v/>
      </c>
    </row>
    <row r="3407" spans="3:18">
      <c r="C3407" t="str">
        <f t="shared" si="444"/>
        <v/>
      </c>
      <c r="D3407">
        <v>131</v>
      </c>
      <c r="E3407">
        <v>80</v>
      </c>
      <c r="F3407" s="366">
        <f t="shared" si="446"/>
        <v>1736</v>
      </c>
      <c r="G3407" s="97">
        <v>2183</v>
      </c>
      <c r="H3407" s="367">
        <f t="shared" si="447"/>
        <v>3919</v>
      </c>
      <c r="I3407" s="368">
        <f t="shared" si="448"/>
        <v>0</v>
      </c>
      <c r="J3407">
        <v>7130</v>
      </c>
      <c r="K3407" s="367">
        <f t="shared" si="445"/>
        <v>5092.8571428571431</v>
      </c>
      <c r="L3407">
        <v>1.07</v>
      </c>
      <c r="M3407">
        <v>4.5999999999999996</v>
      </c>
      <c r="N3407">
        <v>29</v>
      </c>
      <c r="O3407">
        <v>4</v>
      </c>
      <c r="P3407" t="s">
        <v>515</v>
      </c>
      <c r="Q3407" s="97" t="str">
        <f t="shared" si="449"/>
        <v/>
      </c>
      <c r="R3407" t="str">
        <f t="shared" si="450"/>
        <v/>
      </c>
    </row>
    <row r="3408" spans="3:18">
      <c r="C3408" t="str">
        <f t="shared" si="444"/>
        <v>NL</v>
      </c>
      <c r="D3408">
        <v>132</v>
      </c>
      <c r="E3408">
        <v>80</v>
      </c>
      <c r="F3408" s="366">
        <f t="shared" si="446"/>
        <v>1736</v>
      </c>
      <c r="G3408" s="97">
        <v>2384</v>
      </c>
      <c r="H3408" s="367">
        <f t="shared" si="447"/>
        <v>4120</v>
      </c>
      <c r="I3408" s="368">
        <f t="shared" si="448"/>
        <v>0</v>
      </c>
      <c r="J3408">
        <v>7850</v>
      </c>
      <c r="K3408" s="367">
        <f t="shared" si="445"/>
        <v>5607.1428571428569</v>
      </c>
      <c r="L3408">
        <v>0.67</v>
      </c>
      <c r="M3408">
        <v>5.0999999999999996</v>
      </c>
      <c r="N3408">
        <v>27</v>
      </c>
      <c r="O3408">
        <v>5</v>
      </c>
      <c r="P3408" t="s">
        <v>515</v>
      </c>
      <c r="Q3408" s="97" t="str">
        <f t="shared" si="449"/>
        <v/>
      </c>
      <c r="R3408" t="str">
        <f t="shared" si="450"/>
        <v/>
      </c>
    </row>
    <row r="3409" spans="3:18">
      <c r="C3409" t="str">
        <f t="shared" si="444"/>
        <v/>
      </c>
      <c r="D3409">
        <v>133</v>
      </c>
      <c r="E3409">
        <v>80</v>
      </c>
      <c r="F3409" s="366">
        <f t="shared" si="446"/>
        <v>1736</v>
      </c>
      <c r="G3409" s="97">
        <v>2452</v>
      </c>
      <c r="H3409" s="367">
        <f t="shared" si="447"/>
        <v>4188</v>
      </c>
      <c r="I3409" s="368">
        <f t="shared" si="448"/>
        <v>0</v>
      </c>
      <c r="J3409">
        <v>8201</v>
      </c>
      <c r="K3409" s="367">
        <f t="shared" si="445"/>
        <v>5857.8571428571431</v>
      </c>
      <c r="L3409">
        <v>0.46</v>
      </c>
      <c r="M3409">
        <v>4.5999999999999996</v>
      </c>
      <c r="N3409">
        <v>25</v>
      </c>
      <c r="O3409">
        <v>6</v>
      </c>
      <c r="P3409" t="s">
        <v>515</v>
      </c>
      <c r="Q3409" s="97">
        <f t="shared" si="449"/>
        <v>133</v>
      </c>
      <c r="R3409" t="str">
        <f t="shared" si="450"/>
        <v/>
      </c>
    </row>
    <row r="3410" spans="3:18">
      <c r="C3410" t="str">
        <f t="shared" si="444"/>
        <v>NL</v>
      </c>
      <c r="D3410">
        <v>134</v>
      </c>
      <c r="E3410">
        <v>80</v>
      </c>
      <c r="F3410" s="366">
        <f t="shared" si="446"/>
        <v>1736</v>
      </c>
      <c r="G3410" s="97">
        <v>2488</v>
      </c>
      <c r="H3410" s="367">
        <f t="shared" si="447"/>
        <v>4224</v>
      </c>
      <c r="I3410" s="368">
        <f t="shared" si="448"/>
        <v>0</v>
      </c>
      <c r="J3410">
        <v>8444</v>
      </c>
      <c r="K3410" s="367">
        <f t="shared" si="445"/>
        <v>6031.4285714285716</v>
      </c>
      <c r="L3410">
        <v>0.34</v>
      </c>
      <c r="M3410">
        <v>4.6999999999999993</v>
      </c>
      <c r="N3410">
        <v>23</v>
      </c>
      <c r="O3410">
        <v>7</v>
      </c>
      <c r="P3410" t="s">
        <v>515</v>
      </c>
      <c r="Q3410" s="97" t="str">
        <f t="shared" si="449"/>
        <v/>
      </c>
      <c r="R3410" t="str">
        <f t="shared" si="450"/>
        <v/>
      </c>
    </row>
    <row r="3411" spans="3:18">
      <c r="C3411" t="str">
        <f t="shared" si="444"/>
        <v>NL</v>
      </c>
      <c r="D3411">
        <v>135</v>
      </c>
      <c r="E3411">
        <v>80</v>
      </c>
      <c r="F3411" s="366">
        <f t="shared" si="446"/>
        <v>1736</v>
      </c>
      <c r="G3411" s="97">
        <v>2737</v>
      </c>
      <c r="H3411" s="367">
        <f t="shared" si="447"/>
        <v>4473</v>
      </c>
      <c r="I3411" s="368">
        <f t="shared" si="448"/>
        <v>0</v>
      </c>
      <c r="J3411">
        <v>9353</v>
      </c>
      <c r="K3411" s="367">
        <f t="shared" si="445"/>
        <v>6680.7142857142862</v>
      </c>
      <c r="L3411">
        <v>1.01</v>
      </c>
      <c r="M3411">
        <v>4.6999999999999993</v>
      </c>
      <c r="N3411">
        <v>28</v>
      </c>
      <c r="O3411">
        <v>7</v>
      </c>
      <c r="P3411" t="s">
        <v>514</v>
      </c>
      <c r="Q3411" s="97" t="str">
        <f t="shared" si="449"/>
        <v/>
      </c>
      <c r="R3411" t="str">
        <f t="shared" si="450"/>
        <v/>
      </c>
    </row>
    <row r="3412" spans="3:18">
      <c r="C3412" t="str">
        <f t="shared" si="444"/>
        <v/>
      </c>
      <c r="D3412">
        <v>136</v>
      </c>
      <c r="E3412">
        <v>80</v>
      </c>
      <c r="F3412" s="366">
        <f t="shared" si="446"/>
        <v>1736</v>
      </c>
      <c r="G3412" s="97">
        <v>2514</v>
      </c>
      <c r="H3412" s="367">
        <f t="shared" si="447"/>
        <v>4250</v>
      </c>
      <c r="I3412" s="368">
        <f t="shared" si="448"/>
        <v>0</v>
      </c>
      <c r="J3412">
        <v>8663</v>
      </c>
      <c r="K3412" s="367">
        <f t="shared" si="445"/>
        <v>6187.8571428571431</v>
      </c>
      <c r="L3412">
        <v>0.26</v>
      </c>
      <c r="M3412">
        <v>4.5999999999999996</v>
      </c>
      <c r="N3412">
        <v>22</v>
      </c>
      <c r="O3412">
        <v>8</v>
      </c>
      <c r="P3412" t="s">
        <v>515</v>
      </c>
      <c r="Q3412" s="97">
        <f t="shared" si="449"/>
        <v>136</v>
      </c>
      <c r="R3412" t="str">
        <f t="shared" si="450"/>
        <v/>
      </c>
    </row>
    <row r="3413" spans="3:18">
      <c r="C3413" t="str">
        <f t="shared" si="444"/>
        <v/>
      </c>
      <c r="D3413">
        <v>137</v>
      </c>
      <c r="E3413">
        <v>80</v>
      </c>
      <c r="F3413" s="366">
        <f t="shared" si="446"/>
        <v>1736</v>
      </c>
      <c r="G3413" s="97">
        <v>2765</v>
      </c>
      <c r="H3413" s="367">
        <f t="shared" si="447"/>
        <v>4501</v>
      </c>
      <c r="I3413" s="368">
        <f t="shared" si="448"/>
        <v>0</v>
      </c>
      <c r="J3413">
        <v>9613</v>
      </c>
      <c r="K3413" s="367">
        <f t="shared" si="445"/>
        <v>6866.4285714285716</v>
      </c>
      <c r="L3413">
        <v>0.76</v>
      </c>
      <c r="M3413">
        <v>4.5999999999999996</v>
      </c>
      <c r="N3413">
        <v>26</v>
      </c>
      <c r="O3413">
        <v>8</v>
      </c>
      <c r="P3413" t="s">
        <v>514</v>
      </c>
      <c r="Q3413" s="97" t="str">
        <f t="shared" si="449"/>
        <v/>
      </c>
      <c r="R3413" t="str">
        <f t="shared" si="450"/>
        <v/>
      </c>
    </row>
    <row r="3414" spans="3:18">
      <c r="C3414" t="str">
        <f t="shared" ref="C3414:C3477" si="451">IF(OR($O$4=0,O3414-$O$4=0),IF(AND(ISEVEN(O3414)=FALSE,$N$4="Even"),"NL",""),"NL")</f>
        <v>NL</v>
      </c>
      <c r="D3414">
        <v>138</v>
      </c>
      <c r="E3414">
        <v>85</v>
      </c>
      <c r="F3414" s="366">
        <f t="shared" si="446"/>
        <v>1844.5</v>
      </c>
      <c r="G3414" s="97">
        <v>2483</v>
      </c>
      <c r="H3414" s="367">
        <f t="shared" si="447"/>
        <v>4327.5</v>
      </c>
      <c r="I3414" s="368">
        <f t="shared" si="448"/>
        <v>0</v>
      </c>
      <c r="J3414">
        <v>8181</v>
      </c>
      <c r="K3414" s="367">
        <f t="shared" ref="K3414:K3477" si="452">(J3414*$V$7)-I3414</f>
        <v>5843.5714285714284</v>
      </c>
      <c r="L3414">
        <v>0.75</v>
      </c>
      <c r="M3414">
        <v>5.0999999999999996</v>
      </c>
      <c r="N3414">
        <v>27</v>
      </c>
      <c r="O3414">
        <v>5</v>
      </c>
      <c r="P3414" t="s">
        <v>515</v>
      </c>
      <c r="Q3414" s="97" t="str">
        <f t="shared" si="449"/>
        <v/>
      </c>
      <c r="R3414" t="str">
        <f t="shared" si="450"/>
        <v/>
      </c>
    </row>
    <row r="3415" spans="3:18">
      <c r="C3415" t="str">
        <f t="shared" si="451"/>
        <v/>
      </c>
      <c r="D3415">
        <v>139</v>
      </c>
      <c r="E3415">
        <v>85</v>
      </c>
      <c r="F3415" s="366">
        <f t="shared" si="446"/>
        <v>1844.5</v>
      </c>
      <c r="G3415" s="97">
        <v>2554</v>
      </c>
      <c r="H3415" s="367">
        <f t="shared" si="447"/>
        <v>4398.5</v>
      </c>
      <c r="I3415" s="368">
        <f t="shared" si="448"/>
        <v>0</v>
      </c>
      <c r="J3415">
        <v>8553</v>
      </c>
      <c r="K3415" s="367">
        <f t="shared" si="452"/>
        <v>6109.2857142857147</v>
      </c>
      <c r="L3415">
        <v>0.52</v>
      </c>
      <c r="M3415">
        <v>4.5999999999999996</v>
      </c>
      <c r="N3415">
        <v>25</v>
      </c>
      <c r="O3415">
        <v>6</v>
      </c>
      <c r="P3415" t="s">
        <v>515</v>
      </c>
      <c r="Q3415" s="97">
        <f t="shared" si="449"/>
        <v>139</v>
      </c>
      <c r="R3415" t="str">
        <f t="shared" si="450"/>
        <v/>
      </c>
    </row>
    <row r="3416" spans="3:18">
      <c r="C3416" t="str">
        <f t="shared" si="451"/>
        <v>NL</v>
      </c>
      <c r="D3416">
        <v>140</v>
      </c>
      <c r="E3416">
        <v>85</v>
      </c>
      <c r="F3416" s="366">
        <f t="shared" si="446"/>
        <v>1844.5</v>
      </c>
      <c r="G3416" s="97">
        <v>2593</v>
      </c>
      <c r="H3416" s="367">
        <f t="shared" si="447"/>
        <v>4437.5</v>
      </c>
      <c r="I3416" s="368">
        <f t="shared" si="448"/>
        <v>0</v>
      </c>
      <c r="J3416">
        <v>8821</v>
      </c>
      <c r="K3416" s="367">
        <f t="shared" si="452"/>
        <v>6300.7142857142862</v>
      </c>
      <c r="L3416">
        <v>0.38</v>
      </c>
      <c r="M3416">
        <v>4.6999999999999993</v>
      </c>
      <c r="N3416">
        <v>24</v>
      </c>
      <c r="O3416">
        <v>7</v>
      </c>
      <c r="P3416" t="s">
        <v>515</v>
      </c>
      <c r="Q3416" s="97" t="str">
        <f t="shared" si="449"/>
        <v/>
      </c>
      <c r="R3416" t="str">
        <f t="shared" si="450"/>
        <v/>
      </c>
    </row>
    <row r="3417" spans="3:18">
      <c r="C3417" t="str">
        <f t="shared" si="451"/>
        <v/>
      </c>
      <c r="D3417">
        <v>141</v>
      </c>
      <c r="E3417">
        <v>85</v>
      </c>
      <c r="F3417" s="366">
        <f t="shared" si="446"/>
        <v>1844.5</v>
      </c>
      <c r="G3417" s="97">
        <v>2619</v>
      </c>
      <c r="H3417" s="367">
        <f t="shared" si="447"/>
        <v>4463.5</v>
      </c>
      <c r="I3417" s="368">
        <f t="shared" si="448"/>
        <v>0</v>
      </c>
      <c r="J3417">
        <v>9051</v>
      </c>
      <c r="K3417" s="367">
        <f t="shared" si="452"/>
        <v>6465</v>
      </c>
      <c r="L3417">
        <v>0.3</v>
      </c>
      <c r="M3417">
        <v>4.5999999999999996</v>
      </c>
      <c r="N3417">
        <v>23</v>
      </c>
      <c r="O3417">
        <v>8</v>
      </c>
      <c r="P3417" t="s">
        <v>515</v>
      </c>
      <c r="Q3417" s="97">
        <f t="shared" si="449"/>
        <v>141</v>
      </c>
      <c r="R3417" t="str">
        <f t="shared" si="450"/>
        <v/>
      </c>
    </row>
    <row r="3418" spans="3:18">
      <c r="C3418" t="str">
        <f t="shared" si="451"/>
        <v/>
      </c>
      <c r="D3418">
        <v>142</v>
      </c>
      <c r="E3418">
        <v>85</v>
      </c>
      <c r="F3418" s="366">
        <f t="shared" si="446"/>
        <v>1844.5</v>
      </c>
      <c r="G3418" s="97">
        <v>2874</v>
      </c>
      <c r="H3418" s="367">
        <f t="shared" si="447"/>
        <v>4718.5</v>
      </c>
      <c r="I3418" s="368">
        <f t="shared" si="448"/>
        <v>0</v>
      </c>
      <c r="J3418">
        <v>10026</v>
      </c>
      <c r="K3418" s="367">
        <f t="shared" si="452"/>
        <v>7161.4285714285716</v>
      </c>
      <c r="L3418">
        <v>0.86</v>
      </c>
      <c r="M3418">
        <v>4.5999999999999996</v>
      </c>
      <c r="N3418">
        <v>27</v>
      </c>
      <c r="O3418">
        <v>8</v>
      </c>
      <c r="P3418" t="s">
        <v>514</v>
      </c>
      <c r="Q3418" s="97" t="str">
        <f t="shared" si="449"/>
        <v/>
      </c>
      <c r="R3418" t="str">
        <f t="shared" si="450"/>
        <v/>
      </c>
    </row>
    <row r="3419" spans="3:18">
      <c r="C3419" t="str">
        <f t="shared" si="451"/>
        <v>NL</v>
      </c>
      <c r="D3419">
        <v>143</v>
      </c>
      <c r="E3419">
        <v>90</v>
      </c>
      <c r="F3419" s="366">
        <f t="shared" si="446"/>
        <v>1953</v>
      </c>
      <c r="G3419" s="97">
        <v>2578</v>
      </c>
      <c r="H3419" s="367">
        <f t="shared" si="447"/>
        <v>4531</v>
      </c>
      <c r="I3419" s="368">
        <f t="shared" si="448"/>
        <v>0</v>
      </c>
      <c r="J3419">
        <v>8500</v>
      </c>
      <c r="K3419" s="367">
        <f t="shared" si="452"/>
        <v>6071.4285714285716</v>
      </c>
      <c r="L3419">
        <v>0.85</v>
      </c>
      <c r="M3419">
        <v>5.0999999999999996</v>
      </c>
      <c r="N3419">
        <v>28</v>
      </c>
      <c r="O3419">
        <v>5</v>
      </c>
      <c r="P3419" t="s">
        <v>515</v>
      </c>
      <c r="Q3419" s="97" t="str">
        <f t="shared" si="449"/>
        <v/>
      </c>
      <c r="R3419" t="str">
        <f t="shared" si="450"/>
        <v/>
      </c>
    </row>
    <row r="3420" spans="3:18">
      <c r="C3420" t="str">
        <f t="shared" si="451"/>
        <v/>
      </c>
      <c r="D3420">
        <v>144</v>
      </c>
      <c r="E3420">
        <v>90</v>
      </c>
      <c r="F3420" s="366">
        <f t="shared" si="446"/>
        <v>1953</v>
      </c>
      <c r="G3420" s="97">
        <v>2653</v>
      </c>
      <c r="H3420" s="367">
        <f t="shared" si="447"/>
        <v>4606</v>
      </c>
      <c r="I3420" s="368">
        <f t="shared" si="448"/>
        <v>0</v>
      </c>
      <c r="J3420">
        <v>8896</v>
      </c>
      <c r="K3420" s="367">
        <f t="shared" si="452"/>
        <v>6354.2857142857147</v>
      </c>
      <c r="L3420">
        <v>0.57999999999999996</v>
      </c>
      <c r="M3420">
        <v>4.5999999999999996</v>
      </c>
      <c r="N3420">
        <v>26</v>
      </c>
      <c r="O3420">
        <v>6</v>
      </c>
      <c r="P3420" t="s">
        <v>515</v>
      </c>
      <c r="Q3420" s="97">
        <f t="shared" si="449"/>
        <v>144</v>
      </c>
      <c r="R3420" t="str">
        <f t="shared" si="450"/>
        <v/>
      </c>
    </row>
    <row r="3421" spans="3:18">
      <c r="C3421" t="str">
        <f t="shared" si="451"/>
        <v>NL</v>
      </c>
      <c r="D3421">
        <v>145</v>
      </c>
      <c r="E3421">
        <v>90</v>
      </c>
      <c r="F3421" s="366">
        <f t="shared" si="446"/>
        <v>1953</v>
      </c>
      <c r="G3421" s="97">
        <v>2693</v>
      </c>
      <c r="H3421" s="367">
        <f t="shared" si="447"/>
        <v>4646</v>
      </c>
      <c r="I3421" s="368">
        <f t="shared" si="448"/>
        <v>0</v>
      </c>
      <c r="J3421">
        <v>9180</v>
      </c>
      <c r="K3421" s="367">
        <f t="shared" si="452"/>
        <v>6557.1428571428569</v>
      </c>
      <c r="L3421">
        <v>0.43</v>
      </c>
      <c r="M3421">
        <v>4.6999999999999993</v>
      </c>
      <c r="N3421">
        <v>25</v>
      </c>
      <c r="O3421">
        <v>7</v>
      </c>
      <c r="P3421" t="s">
        <v>515</v>
      </c>
      <c r="Q3421" s="97" t="str">
        <f t="shared" si="449"/>
        <v/>
      </c>
      <c r="R3421" t="str">
        <f t="shared" si="450"/>
        <v/>
      </c>
    </row>
    <row r="3422" spans="3:18">
      <c r="C3422" t="str">
        <f t="shared" si="451"/>
        <v/>
      </c>
      <c r="D3422">
        <v>146</v>
      </c>
      <c r="E3422">
        <v>90</v>
      </c>
      <c r="F3422" s="366">
        <f t="shared" si="446"/>
        <v>1953</v>
      </c>
      <c r="G3422" s="97">
        <v>2722</v>
      </c>
      <c r="H3422" s="367">
        <f t="shared" si="447"/>
        <v>4675</v>
      </c>
      <c r="I3422" s="368">
        <f t="shared" si="448"/>
        <v>0</v>
      </c>
      <c r="J3422">
        <v>9432</v>
      </c>
      <c r="K3422" s="367">
        <f t="shared" si="452"/>
        <v>6737.1428571428569</v>
      </c>
      <c r="L3422">
        <v>0.33</v>
      </c>
      <c r="M3422">
        <v>4.5999999999999996</v>
      </c>
      <c r="N3422">
        <v>23</v>
      </c>
      <c r="O3422">
        <v>8</v>
      </c>
      <c r="P3422" t="s">
        <v>515</v>
      </c>
      <c r="Q3422" s="97">
        <f t="shared" si="449"/>
        <v>146</v>
      </c>
      <c r="R3422" t="str">
        <f t="shared" si="450"/>
        <v/>
      </c>
    </row>
    <row r="3423" spans="3:18">
      <c r="C3423" t="str">
        <f t="shared" si="451"/>
        <v/>
      </c>
      <c r="D3423">
        <v>147</v>
      </c>
      <c r="E3423">
        <v>90</v>
      </c>
      <c r="F3423" s="366">
        <f t="shared" si="446"/>
        <v>1953</v>
      </c>
      <c r="G3423" s="97">
        <v>2980</v>
      </c>
      <c r="H3423" s="367">
        <f t="shared" si="447"/>
        <v>4933</v>
      </c>
      <c r="I3423" s="368">
        <f t="shared" si="448"/>
        <v>0</v>
      </c>
      <c r="J3423">
        <v>10429</v>
      </c>
      <c r="K3423" s="367">
        <f t="shared" si="452"/>
        <v>7449.2857142857147</v>
      </c>
      <c r="L3423">
        <v>0.96</v>
      </c>
      <c r="M3423">
        <v>4.5999999999999996</v>
      </c>
      <c r="N3423">
        <v>28</v>
      </c>
      <c r="O3423">
        <v>8</v>
      </c>
      <c r="P3423" t="s">
        <v>514</v>
      </c>
      <c r="Q3423" s="97" t="str">
        <f t="shared" si="449"/>
        <v/>
      </c>
      <c r="R3423" t="str">
        <f t="shared" si="450"/>
        <v/>
      </c>
    </row>
    <row r="3424" spans="3:18">
      <c r="C3424" t="str">
        <f t="shared" si="451"/>
        <v>NL</v>
      </c>
      <c r="D3424">
        <v>148</v>
      </c>
      <c r="E3424">
        <v>95</v>
      </c>
      <c r="F3424" s="366">
        <f t="shared" si="446"/>
        <v>2061.5</v>
      </c>
      <c r="G3424" s="97">
        <v>2670</v>
      </c>
      <c r="H3424" s="367">
        <f t="shared" si="447"/>
        <v>4731.5</v>
      </c>
      <c r="I3424" s="368">
        <f t="shared" si="448"/>
        <v>0</v>
      </c>
      <c r="J3424">
        <v>8808</v>
      </c>
      <c r="K3424" s="367">
        <f t="shared" si="452"/>
        <v>6291.4285714285716</v>
      </c>
      <c r="L3424">
        <v>0.94000000000000006</v>
      </c>
      <c r="M3424">
        <v>5.0999999999999996</v>
      </c>
      <c r="N3424">
        <v>29</v>
      </c>
      <c r="O3424">
        <v>5</v>
      </c>
      <c r="P3424" t="s">
        <v>515</v>
      </c>
      <c r="Q3424" s="97" t="str">
        <f t="shared" si="449"/>
        <v/>
      </c>
      <c r="R3424" t="str">
        <f t="shared" si="450"/>
        <v/>
      </c>
    </row>
    <row r="3425" spans="3:18">
      <c r="C3425" t="str">
        <f t="shared" si="451"/>
        <v/>
      </c>
      <c r="D3425">
        <v>149</v>
      </c>
      <c r="E3425">
        <v>95</v>
      </c>
      <c r="F3425" s="366">
        <f t="shared" si="446"/>
        <v>2061.5</v>
      </c>
      <c r="G3425" s="97">
        <v>2749</v>
      </c>
      <c r="H3425" s="367">
        <f t="shared" si="447"/>
        <v>4810.5</v>
      </c>
      <c r="I3425" s="368">
        <f t="shared" si="448"/>
        <v>0</v>
      </c>
      <c r="J3425">
        <v>9231</v>
      </c>
      <c r="K3425" s="367">
        <f t="shared" si="452"/>
        <v>6593.5714285714284</v>
      </c>
      <c r="L3425">
        <v>0.65</v>
      </c>
      <c r="M3425">
        <v>4.5999999999999996</v>
      </c>
      <c r="N3425">
        <v>27</v>
      </c>
      <c r="O3425">
        <v>6</v>
      </c>
      <c r="P3425" t="s">
        <v>515</v>
      </c>
      <c r="Q3425" s="97">
        <f t="shared" si="449"/>
        <v>149</v>
      </c>
      <c r="R3425" t="str">
        <f t="shared" si="450"/>
        <v/>
      </c>
    </row>
    <row r="3426" spans="3:18">
      <c r="C3426" t="str">
        <f t="shared" si="451"/>
        <v>NL</v>
      </c>
      <c r="D3426">
        <v>150</v>
      </c>
      <c r="E3426">
        <v>95</v>
      </c>
      <c r="F3426" s="366">
        <f t="shared" si="446"/>
        <v>2061.5</v>
      </c>
      <c r="G3426" s="97">
        <v>2792</v>
      </c>
      <c r="H3426" s="367">
        <f t="shared" si="447"/>
        <v>4853.5</v>
      </c>
      <c r="I3426" s="368">
        <f t="shared" si="448"/>
        <v>0</v>
      </c>
      <c r="J3426">
        <v>9536</v>
      </c>
      <c r="K3426" s="367">
        <f t="shared" si="452"/>
        <v>6811.4285714285716</v>
      </c>
      <c r="L3426">
        <v>0.48</v>
      </c>
      <c r="M3426">
        <v>4.6999999999999993</v>
      </c>
      <c r="N3426">
        <v>25</v>
      </c>
      <c r="O3426">
        <v>7</v>
      </c>
      <c r="P3426" t="s">
        <v>515</v>
      </c>
      <c r="Q3426" s="97" t="str">
        <f t="shared" si="449"/>
        <v/>
      </c>
      <c r="R3426" t="str">
        <f t="shared" si="450"/>
        <v/>
      </c>
    </row>
    <row r="3427" spans="3:18">
      <c r="C3427" t="str">
        <f t="shared" si="451"/>
        <v/>
      </c>
      <c r="D3427">
        <v>151</v>
      </c>
      <c r="E3427">
        <v>95</v>
      </c>
      <c r="F3427" s="366">
        <f t="shared" si="446"/>
        <v>2061.5</v>
      </c>
      <c r="G3427" s="97">
        <v>2819</v>
      </c>
      <c r="H3427" s="367">
        <f t="shared" si="447"/>
        <v>4880.5</v>
      </c>
      <c r="I3427" s="368">
        <f t="shared" si="448"/>
        <v>0</v>
      </c>
      <c r="J3427">
        <v>9797</v>
      </c>
      <c r="K3427" s="367">
        <f t="shared" si="452"/>
        <v>6997.8571428571431</v>
      </c>
      <c r="L3427">
        <v>0.37</v>
      </c>
      <c r="M3427">
        <v>4.5999999999999996</v>
      </c>
      <c r="N3427">
        <v>24</v>
      </c>
      <c r="O3427">
        <v>8</v>
      </c>
      <c r="P3427" t="s">
        <v>515</v>
      </c>
      <c r="Q3427" s="97">
        <f t="shared" si="449"/>
        <v>151</v>
      </c>
      <c r="R3427" t="str">
        <f t="shared" si="450"/>
        <v/>
      </c>
    </row>
    <row r="3428" spans="3:18">
      <c r="C3428" t="str">
        <f t="shared" si="451"/>
        <v/>
      </c>
      <c r="D3428">
        <v>152</v>
      </c>
      <c r="E3428">
        <v>95</v>
      </c>
      <c r="F3428" s="366">
        <f t="shared" si="446"/>
        <v>2061.5</v>
      </c>
      <c r="G3428" s="97">
        <v>3081</v>
      </c>
      <c r="H3428" s="367">
        <f t="shared" si="447"/>
        <v>5142.5</v>
      </c>
      <c r="I3428" s="368">
        <f t="shared" si="448"/>
        <v>0</v>
      </c>
      <c r="J3428">
        <v>10812</v>
      </c>
      <c r="K3428" s="367">
        <f t="shared" si="452"/>
        <v>7722.8571428571431</v>
      </c>
      <c r="L3428">
        <v>1.07</v>
      </c>
      <c r="M3428">
        <v>4.5999999999999996</v>
      </c>
      <c r="N3428">
        <v>28</v>
      </c>
      <c r="O3428">
        <v>8</v>
      </c>
      <c r="P3428" t="s">
        <v>514</v>
      </c>
      <c r="Q3428" s="97" t="str">
        <f t="shared" si="449"/>
        <v/>
      </c>
      <c r="R3428" t="str">
        <f t="shared" si="450"/>
        <v/>
      </c>
    </row>
    <row r="3429" spans="3:18">
      <c r="C3429" t="str">
        <f t="shared" si="451"/>
        <v>NL</v>
      </c>
      <c r="D3429">
        <v>153</v>
      </c>
      <c r="E3429">
        <v>100</v>
      </c>
      <c r="F3429" s="366">
        <f t="shared" si="446"/>
        <v>2170</v>
      </c>
      <c r="G3429" s="97">
        <v>2709</v>
      </c>
      <c r="H3429" s="367">
        <f t="shared" si="447"/>
        <v>4879</v>
      </c>
      <c r="I3429" s="368">
        <f t="shared" si="448"/>
        <v>0</v>
      </c>
      <c r="J3429">
        <v>8939</v>
      </c>
      <c r="K3429" s="367">
        <f t="shared" si="452"/>
        <v>6385</v>
      </c>
      <c r="L3429">
        <v>1.04</v>
      </c>
      <c r="M3429">
        <v>5.0999999999999996</v>
      </c>
      <c r="N3429">
        <v>29</v>
      </c>
      <c r="O3429">
        <v>5</v>
      </c>
      <c r="P3429" t="s">
        <v>515</v>
      </c>
      <c r="Q3429" s="97" t="str">
        <f t="shared" si="449"/>
        <v/>
      </c>
      <c r="R3429" t="str">
        <f t="shared" si="450"/>
        <v/>
      </c>
    </row>
    <row r="3430" spans="3:18">
      <c r="C3430" t="str">
        <f t="shared" si="451"/>
        <v/>
      </c>
      <c r="D3430">
        <v>154</v>
      </c>
      <c r="E3430">
        <v>100</v>
      </c>
      <c r="F3430" s="366">
        <f t="shared" si="446"/>
        <v>2170</v>
      </c>
      <c r="G3430" s="97">
        <v>2840</v>
      </c>
      <c r="H3430" s="367">
        <f t="shared" si="447"/>
        <v>5010</v>
      </c>
      <c r="I3430" s="368">
        <f t="shared" si="448"/>
        <v>0</v>
      </c>
      <c r="J3430">
        <v>9552</v>
      </c>
      <c r="K3430" s="367">
        <f t="shared" si="452"/>
        <v>6822.8571428571431</v>
      </c>
      <c r="L3430">
        <v>0.72</v>
      </c>
      <c r="M3430">
        <v>4.5999999999999996</v>
      </c>
      <c r="N3430">
        <v>28</v>
      </c>
      <c r="O3430">
        <v>6</v>
      </c>
      <c r="P3430" t="s">
        <v>515</v>
      </c>
      <c r="Q3430" s="97" t="str">
        <f t="shared" si="449"/>
        <v/>
      </c>
      <c r="R3430" t="str">
        <f t="shared" si="450"/>
        <v/>
      </c>
    </row>
    <row r="3431" spans="3:18">
      <c r="C3431" t="str">
        <f t="shared" si="451"/>
        <v>NL</v>
      </c>
      <c r="D3431">
        <v>155</v>
      </c>
      <c r="E3431">
        <v>100</v>
      </c>
      <c r="F3431" s="366">
        <f t="shared" si="446"/>
        <v>2170</v>
      </c>
      <c r="G3431" s="97">
        <v>2885</v>
      </c>
      <c r="H3431" s="367">
        <f t="shared" si="447"/>
        <v>5055</v>
      </c>
      <c r="I3431" s="368">
        <f t="shared" si="448"/>
        <v>0</v>
      </c>
      <c r="J3431">
        <v>9873</v>
      </c>
      <c r="K3431" s="367">
        <f t="shared" si="452"/>
        <v>7052.1428571428569</v>
      </c>
      <c r="L3431">
        <v>0.53</v>
      </c>
      <c r="M3431">
        <v>4.6999999999999993</v>
      </c>
      <c r="N3431">
        <v>26</v>
      </c>
      <c r="O3431">
        <v>7</v>
      </c>
      <c r="P3431" t="s">
        <v>515</v>
      </c>
      <c r="Q3431" s="97" t="str">
        <f t="shared" si="449"/>
        <v/>
      </c>
      <c r="R3431" t="str">
        <f t="shared" si="450"/>
        <v/>
      </c>
    </row>
    <row r="3432" spans="3:18">
      <c r="C3432" t="str">
        <f t="shared" si="451"/>
        <v/>
      </c>
      <c r="D3432">
        <v>156</v>
      </c>
      <c r="E3432">
        <v>100</v>
      </c>
      <c r="F3432" s="366">
        <f t="shared" si="446"/>
        <v>2170</v>
      </c>
      <c r="G3432" s="97">
        <v>2915</v>
      </c>
      <c r="H3432" s="367">
        <f t="shared" si="447"/>
        <v>5085</v>
      </c>
      <c r="I3432" s="368">
        <f t="shared" si="448"/>
        <v>0</v>
      </c>
      <c r="J3432">
        <v>10157</v>
      </c>
      <c r="K3432" s="367">
        <f t="shared" si="452"/>
        <v>7255</v>
      </c>
      <c r="L3432">
        <v>0.41000000000000003</v>
      </c>
      <c r="M3432">
        <v>4.5999999999999996</v>
      </c>
      <c r="N3432">
        <v>25</v>
      </c>
      <c r="O3432">
        <v>8</v>
      </c>
      <c r="P3432" t="s">
        <v>515</v>
      </c>
      <c r="Q3432" s="97">
        <f t="shared" si="449"/>
        <v>156</v>
      </c>
      <c r="R3432" t="str">
        <f t="shared" si="450"/>
        <v/>
      </c>
    </row>
    <row r="3433" spans="3:18">
      <c r="C3433" t="str">
        <f t="shared" si="451"/>
        <v/>
      </c>
      <c r="D3433">
        <v>157</v>
      </c>
      <c r="E3433">
        <v>105</v>
      </c>
      <c r="F3433" s="366">
        <f t="shared" si="446"/>
        <v>2278.5</v>
      </c>
      <c r="G3433" s="97">
        <v>2929</v>
      </c>
      <c r="H3433" s="367">
        <f t="shared" si="447"/>
        <v>5207.5</v>
      </c>
      <c r="I3433" s="368">
        <f t="shared" si="448"/>
        <v>0</v>
      </c>
      <c r="J3433">
        <v>9866</v>
      </c>
      <c r="K3433" s="367">
        <f t="shared" si="452"/>
        <v>7047.1428571428569</v>
      </c>
      <c r="L3433">
        <v>0.79</v>
      </c>
      <c r="M3433">
        <v>4.5999999999999996</v>
      </c>
      <c r="N3433">
        <v>28</v>
      </c>
      <c r="O3433">
        <v>6</v>
      </c>
      <c r="P3433" t="s">
        <v>515</v>
      </c>
      <c r="Q3433" s="97" t="str">
        <f t="shared" si="449"/>
        <v/>
      </c>
      <c r="R3433" t="str">
        <f t="shared" si="450"/>
        <v/>
      </c>
    </row>
    <row r="3434" spans="3:18">
      <c r="C3434" t="str">
        <f t="shared" si="451"/>
        <v>NL</v>
      </c>
      <c r="D3434">
        <v>158</v>
      </c>
      <c r="E3434">
        <v>105</v>
      </c>
      <c r="F3434" s="366">
        <f t="shared" si="446"/>
        <v>2278.5</v>
      </c>
      <c r="G3434" s="97">
        <v>2977</v>
      </c>
      <c r="H3434" s="367">
        <f t="shared" si="447"/>
        <v>5255.5</v>
      </c>
      <c r="I3434" s="368">
        <f t="shared" si="448"/>
        <v>0</v>
      </c>
      <c r="J3434">
        <v>10206</v>
      </c>
      <c r="K3434" s="367">
        <f t="shared" si="452"/>
        <v>7290</v>
      </c>
      <c r="L3434">
        <v>0.57999999999999996</v>
      </c>
      <c r="M3434">
        <v>4.6999999999999993</v>
      </c>
      <c r="N3434">
        <v>27</v>
      </c>
      <c r="O3434">
        <v>7</v>
      </c>
      <c r="P3434" t="s">
        <v>515</v>
      </c>
      <c r="Q3434" s="97" t="str">
        <f t="shared" si="449"/>
        <v/>
      </c>
      <c r="R3434" t="str">
        <f t="shared" si="450"/>
        <v/>
      </c>
    </row>
    <row r="3435" spans="3:18">
      <c r="C3435" t="str">
        <f t="shared" si="451"/>
        <v/>
      </c>
      <c r="D3435">
        <v>159</v>
      </c>
      <c r="E3435">
        <v>105</v>
      </c>
      <c r="F3435" s="366">
        <f t="shared" si="446"/>
        <v>2278.5</v>
      </c>
      <c r="G3435" s="97">
        <v>3006</v>
      </c>
      <c r="H3435" s="367">
        <f t="shared" si="447"/>
        <v>5284.5</v>
      </c>
      <c r="I3435" s="368">
        <f t="shared" si="448"/>
        <v>0</v>
      </c>
      <c r="J3435">
        <v>10501</v>
      </c>
      <c r="K3435" s="367">
        <f t="shared" si="452"/>
        <v>7500.7142857142862</v>
      </c>
      <c r="L3435">
        <v>0.45</v>
      </c>
      <c r="M3435">
        <v>4.5999999999999996</v>
      </c>
      <c r="N3435">
        <v>25</v>
      </c>
      <c r="O3435">
        <v>8</v>
      </c>
      <c r="P3435" t="s">
        <v>515</v>
      </c>
      <c r="Q3435" s="97">
        <f t="shared" si="449"/>
        <v>159</v>
      </c>
      <c r="R3435" t="str">
        <f t="shared" si="450"/>
        <v/>
      </c>
    </row>
    <row r="3436" spans="3:18">
      <c r="C3436" t="str">
        <f t="shared" si="451"/>
        <v/>
      </c>
      <c r="D3436">
        <v>160</v>
      </c>
      <c r="E3436">
        <v>110</v>
      </c>
      <c r="F3436" s="366">
        <f t="shared" si="446"/>
        <v>2387</v>
      </c>
      <c r="G3436" s="97">
        <v>3016</v>
      </c>
      <c r="H3436" s="367">
        <f t="shared" si="447"/>
        <v>5403</v>
      </c>
      <c r="I3436" s="368">
        <f t="shared" si="448"/>
        <v>0</v>
      </c>
      <c r="J3436">
        <v>10171</v>
      </c>
      <c r="K3436" s="367">
        <f t="shared" si="452"/>
        <v>7265</v>
      </c>
      <c r="L3436">
        <v>0.87</v>
      </c>
      <c r="M3436">
        <v>4.5999999999999996</v>
      </c>
      <c r="N3436">
        <v>29</v>
      </c>
      <c r="O3436">
        <v>6</v>
      </c>
      <c r="P3436" t="s">
        <v>515</v>
      </c>
      <c r="Q3436" s="97" t="str">
        <f t="shared" si="449"/>
        <v/>
      </c>
      <c r="R3436" t="str">
        <f t="shared" si="450"/>
        <v/>
      </c>
    </row>
    <row r="3437" spans="3:18">
      <c r="C3437" t="str">
        <f t="shared" si="451"/>
        <v>NL</v>
      </c>
      <c r="D3437">
        <v>161</v>
      </c>
      <c r="E3437">
        <v>110</v>
      </c>
      <c r="F3437" s="366">
        <f t="shared" si="446"/>
        <v>2387</v>
      </c>
      <c r="G3437" s="97">
        <v>3064</v>
      </c>
      <c r="H3437" s="367">
        <f t="shared" si="447"/>
        <v>5451</v>
      </c>
      <c r="I3437" s="368">
        <f t="shared" si="448"/>
        <v>0</v>
      </c>
      <c r="J3437">
        <v>10526</v>
      </c>
      <c r="K3437" s="367">
        <f t="shared" si="452"/>
        <v>7518.5714285714284</v>
      </c>
      <c r="L3437">
        <v>0.64</v>
      </c>
      <c r="M3437">
        <v>4.6999999999999993</v>
      </c>
      <c r="N3437">
        <v>27</v>
      </c>
      <c r="O3437">
        <v>7</v>
      </c>
      <c r="P3437" t="s">
        <v>515</v>
      </c>
      <c r="Q3437" s="97" t="str">
        <f t="shared" si="449"/>
        <v/>
      </c>
      <c r="R3437" t="str">
        <f t="shared" si="450"/>
        <v/>
      </c>
    </row>
    <row r="3438" spans="3:18">
      <c r="C3438" t="str">
        <f t="shared" si="451"/>
        <v/>
      </c>
      <c r="D3438">
        <v>162</v>
      </c>
      <c r="E3438">
        <v>110</v>
      </c>
      <c r="F3438" s="366">
        <f t="shared" si="446"/>
        <v>2387</v>
      </c>
      <c r="G3438" s="97">
        <v>3096</v>
      </c>
      <c r="H3438" s="367">
        <f t="shared" si="447"/>
        <v>5483</v>
      </c>
      <c r="I3438" s="368">
        <f t="shared" si="448"/>
        <v>0</v>
      </c>
      <c r="J3438">
        <v>10843</v>
      </c>
      <c r="K3438" s="367">
        <f t="shared" si="452"/>
        <v>7745</v>
      </c>
      <c r="L3438">
        <v>0.5</v>
      </c>
      <c r="M3438">
        <v>4.5999999999999996</v>
      </c>
      <c r="N3438">
        <v>26</v>
      </c>
      <c r="O3438">
        <v>8</v>
      </c>
      <c r="P3438" t="s">
        <v>515</v>
      </c>
      <c r="Q3438" s="97">
        <f t="shared" si="449"/>
        <v>162</v>
      </c>
      <c r="R3438" t="str">
        <f t="shared" si="450"/>
        <v/>
      </c>
    </row>
    <row r="3439" spans="3:18">
      <c r="C3439" t="str">
        <f t="shared" si="451"/>
        <v/>
      </c>
      <c r="D3439">
        <v>163</v>
      </c>
      <c r="E3439">
        <v>115</v>
      </c>
      <c r="F3439" s="366">
        <f t="shared" si="446"/>
        <v>2495.5</v>
      </c>
      <c r="G3439" s="97">
        <v>3099</v>
      </c>
      <c r="H3439" s="367">
        <f t="shared" si="447"/>
        <v>5594.5</v>
      </c>
      <c r="I3439" s="368">
        <f t="shared" si="448"/>
        <v>0</v>
      </c>
      <c r="J3439">
        <v>10465</v>
      </c>
      <c r="K3439" s="367">
        <f t="shared" si="452"/>
        <v>7475</v>
      </c>
      <c r="L3439">
        <v>0.93</v>
      </c>
      <c r="M3439">
        <v>4.5999999999999996</v>
      </c>
      <c r="N3439">
        <v>29</v>
      </c>
      <c r="O3439">
        <v>6</v>
      </c>
      <c r="P3439" t="s">
        <v>515</v>
      </c>
      <c r="Q3439" s="97" t="str">
        <f t="shared" si="449"/>
        <v/>
      </c>
      <c r="R3439" t="str">
        <f t="shared" si="450"/>
        <v/>
      </c>
    </row>
    <row r="3440" spans="3:18">
      <c r="C3440" t="str">
        <f t="shared" si="451"/>
        <v>NL</v>
      </c>
      <c r="D3440">
        <v>164</v>
      </c>
      <c r="E3440">
        <v>115</v>
      </c>
      <c r="F3440" s="366">
        <f t="shared" si="446"/>
        <v>2495.5</v>
      </c>
      <c r="G3440" s="97">
        <v>3149</v>
      </c>
      <c r="H3440" s="367">
        <f t="shared" si="447"/>
        <v>5644.5</v>
      </c>
      <c r="I3440" s="368">
        <f t="shared" si="448"/>
        <v>0</v>
      </c>
      <c r="J3440">
        <v>10840</v>
      </c>
      <c r="K3440" s="367">
        <f t="shared" si="452"/>
        <v>7742.8571428571431</v>
      </c>
      <c r="L3440">
        <v>0.68</v>
      </c>
      <c r="M3440">
        <v>4.6999999999999993</v>
      </c>
      <c r="N3440">
        <v>28</v>
      </c>
      <c r="O3440">
        <v>7</v>
      </c>
      <c r="P3440" t="s">
        <v>515</v>
      </c>
      <c r="Q3440" s="97" t="str">
        <f t="shared" si="449"/>
        <v/>
      </c>
      <c r="R3440" t="str">
        <f t="shared" si="450"/>
        <v/>
      </c>
    </row>
    <row r="3441" spans="3:18">
      <c r="C3441" t="str">
        <f t="shared" si="451"/>
        <v/>
      </c>
      <c r="D3441">
        <v>165</v>
      </c>
      <c r="E3441">
        <v>115</v>
      </c>
      <c r="F3441" s="366">
        <f t="shared" si="446"/>
        <v>2495.5</v>
      </c>
      <c r="G3441" s="97">
        <v>3180</v>
      </c>
      <c r="H3441" s="367">
        <f t="shared" si="447"/>
        <v>5675.5</v>
      </c>
      <c r="I3441" s="368">
        <f t="shared" si="448"/>
        <v>0</v>
      </c>
      <c r="J3441">
        <v>11167</v>
      </c>
      <c r="K3441" s="367">
        <f t="shared" si="452"/>
        <v>7976.4285714285716</v>
      </c>
      <c r="L3441">
        <v>0.52</v>
      </c>
      <c r="M3441">
        <v>4.5999999999999996</v>
      </c>
      <c r="N3441">
        <v>26</v>
      </c>
      <c r="O3441">
        <v>8</v>
      </c>
      <c r="P3441" t="s">
        <v>515</v>
      </c>
      <c r="Q3441" s="97">
        <f t="shared" si="449"/>
        <v>165</v>
      </c>
      <c r="R3441" t="str">
        <f t="shared" si="450"/>
        <v/>
      </c>
    </row>
    <row r="3442" spans="3:18">
      <c r="C3442" t="str">
        <f t="shared" si="451"/>
        <v/>
      </c>
      <c r="D3442">
        <v>166</v>
      </c>
      <c r="E3442">
        <v>120</v>
      </c>
      <c r="F3442" s="366">
        <f t="shared" si="446"/>
        <v>2604</v>
      </c>
      <c r="G3442" s="97">
        <v>3154</v>
      </c>
      <c r="H3442" s="367">
        <f t="shared" si="447"/>
        <v>5758</v>
      </c>
      <c r="I3442" s="368">
        <f t="shared" si="448"/>
        <v>0</v>
      </c>
      <c r="J3442">
        <v>10659</v>
      </c>
      <c r="K3442" s="367">
        <f t="shared" si="452"/>
        <v>7613.5714285714284</v>
      </c>
      <c r="L3442">
        <v>1.01</v>
      </c>
      <c r="M3442">
        <v>4.5999999999999996</v>
      </c>
      <c r="N3442">
        <v>30</v>
      </c>
      <c r="O3442">
        <v>6</v>
      </c>
      <c r="P3442" t="s">
        <v>515</v>
      </c>
      <c r="Q3442" s="97" t="str">
        <f t="shared" si="449"/>
        <v/>
      </c>
      <c r="R3442" t="str">
        <f t="shared" si="450"/>
        <v/>
      </c>
    </row>
    <row r="3443" spans="3:18">
      <c r="C3443" t="str">
        <f t="shared" si="451"/>
        <v>NL</v>
      </c>
      <c r="D3443">
        <v>167</v>
      </c>
      <c r="E3443">
        <v>120</v>
      </c>
      <c r="F3443" s="366">
        <f t="shared" ref="F3443:F3506" si="453">1.085*($A$2-$B$2)*E3443*$T$7</f>
        <v>2604</v>
      </c>
      <c r="G3443" s="97">
        <v>3232</v>
      </c>
      <c r="H3443" s="367">
        <f t="shared" si="447"/>
        <v>5836</v>
      </c>
      <c r="I3443" s="368">
        <f t="shared" si="448"/>
        <v>0</v>
      </c>
      <c r="J3443">
        <v>11145</v>
      </c>
      <c r="K3443" s="367">
        <f t="shared" si="452"/>
        <v>7960.7142857142862</v>
      </c>
      <c r="L3443">
        <v>0.74</v>
      </c>
      <c r="M3443">
        <v>4.6999999999999993</v>
      </c>
      <c r="N3443">
        <v>28</v>
      </c>
      <c r="O3443">
        <v>7</v>
      </c>
      <c r="P3443" t="s">
        <v>515</v>
      </c>
      <c r="Q3443" s="97" t="str">
        <f t="shared" si="449"/>
        <v/>
      </c>
      <c r="R3443" t="str">
        <f t="shared" si="450"/>
        <v/>
      </c>
    </row>
    <row r="3444" spans="3:18">
      <c r="C3444" t="str">
        <f t="shared" si="451"/>
        <v/>
      </c>
      <c r="D3444">
        <v>168</v>
      </c>
      <c r="E3444">
        <v>120</v>
      </c>
      <c r="F3444" s="366">
        <f t="shared" si="453"/>
        <v>2604</v>
      </c>
      <c r="G3444" s="97">
        <v>3264</v>
      </c>
      <c r="H3444" s="367">
        <f t="shared" si="447"/>
        <v>5868</v>
      </c>
      <c r="I3444" s="368">
        <f t="shared" si="448"/>
        <v>0</v>
      </c>
      <c r="J3444">
        <v>11490</v>
      </c>
      <c r="K3444" s="367">
        <f t="shared" si="452"/>
        <v>8207.1428571428569</v>
      </c>
      <c r="L3444">
        <v>0.56000000000000005</v>
      </c>
      <c r="M3444">
        <v>4.5999999999999996</v>
      </c>
      <c r="N3444">
        <v>27</v>
      </c>
      <c r="O3444">
        <v>8</v>
      </c>
      <c r="P3444" t="s">
        <v>515</v>
      </c>
      <c r="Q3444" s="97">
        <f t="shared" si="449"/>
        <v>168</v>
      </c>
      <c r="R3444" t="str">
        <f t="shared" si="450"/>
        <v/>
      </c>
    </row>
    <row r="3445" spans="3:18">
      <c r="C3445" t="str">
        <f t="shared" si="451"/>
        <v/>
      </c>
      <c r="D3445">
        <v>169</v>
      </c>
      <c r="E3445">
        <v>125</v>
      </c>
      <c r="F3445" s="366">
        <f t="shared" si="453"/>
        <v>2712.5</v>
      </c>
      <c r="G3445" s="97">
        <v>3154</v>
      </c>
      <c r="H3445" s="367">
        <f t="shared" si="447"/>
        <v>5866.5</v>
      </c>
      <c r="I3445" s="368">
        <f t="shared" si="448"/>
        <v>0</v>
      </c>
      <c r="J3445">
        <v>10659</v>
      </c>
      <c r="K3445" s="367">
        <f t="shared" si="452"/>
        <v>7613.5714285714284</v>
      </c>
      <c r="L3445">
        <v>1.0900000000000001</v>
      </c>
      <c r="M3445">
        <v>4.5999999999999996</v>
      </c>
      <c r="N3445">
        <v>30</v>
      </c>
      <c r="O3445">
        <v>6</v>
      </c>
      <c r="P3445" t="s">
        <v>515</v>
      </c>
      <c r="Q3445" s="97" t="str">
        <f t="shared" si="449"/>
        <v/>
      </c>
      <c r="R3445" t="str">
        <f t="shared" si="450"/>
        <v/>
      </c>
    </row>
    <row r="3446" spans="3:18">
      <c r="C3446" t="str">
        <f t="shared" si="451"/>
        <v>NL</v>
      </c>
      <c r="D3446">
        <v>170</v>
      </c>
      <c r="E3446">
        <v>125</v>
      </c>
      <c r="F3446" s="366">
        <f t="shared" si="453"/>
        <v>2712.5</v>
      </c>
      <c r="G3446" s="97">
        <v>3312</v>
      </c>
      <c r="H3446" s="367">
        <f t="shared" si="447"/>
        <v>6024.5</v>
      </c>
      <c r="I3446" s="368">
        <f t="shared" si="448"/>
        <v>0</v>
      </c>
      <c r="J3446">
        <v>11441</v>
      </c>
      <c r="K3446" s="367">
        <f t="shared" si="452"/>
        <v>8172.1428571428569</v>
      </c>
      <c r="L3446">
        <v>0.8</v>
      </c>
      <c r="M3446">
        <v>4.6999999999999993</v>
      </c>
      <c r="N3446">
        <v>29</v>
      </c>
      <c r="O3446">
        <v>7</v>
      </c>
      <c r="P3446" t="s">
        <v>515</v>
      </c>
      <c r="Q3446" s="97" t="str">
        <f t="shared" si="449"/>
        <v/>
      </c>
      <c r="R3446" t="str">
        <f t="shared" si="450"/>
        <v/>
      </c>
    </row>
    <row r="3447" spans="3:18">
      <c r="C3447" t="str">
        <f t="shared" si="451"/>
        <v/>
      </c>
      <c r="D3447">
        <v>171</v>
      </c>
      <c r="E3447">
        <v>125</v>
      </c>
      <c r="F3447" s="366">
        <f t="shared" si="453"/>
        <v>2712.5</v>
      </c>
      <c r="G3447" s="97">
        <v>3344</v>
      </c>
      <c r="H3447" s="367">
        <f t="shared" si="447"/>
        <v>6056.5</v>
      </c>
      <c r="I3447" s="368">
        <f t="shared" si="448"/>
        <v>0</v>
      </c>
      <c r="J3447">
        <v>11798</v>
      </c>
      <c r="K3447" s="367">
        <f t="shared" si="452"/>
        <v>8427.1428571428569</v>
      </c>
      <c r="L3447">
        <v>0.61</v>
      </c>
      <c r="M3447">
        <v>4.5999999999999996</v>
      </c>
      <c r="N3447">
        <v>27</v>
      </c>
      <c r="O3447">
        <v>8</v>
      </c>
      <c r="P3447" t="s">
        <v>515</v>
      </c>
      <c r="Q3447" s="97">
        <f t="shared" si="449"/>
        <v>171</v>
      </c>
      <c r="R3447" t="str">
        <f t="shared" si="450"/>
        <v/>
      </c>
    </row>
    <row r="3448" spans="3:18">
      <c r="C3448" t="str">
        <f t="shared" si="451"/>
        <v>NL</v>
      </c>
      <c r="D3448">
        <v>172</v>
      </c>
      <c r="E3448">
        <v>130</v>
      </c>
      <c r="F3448" s="366">
        <f t="shared" si="453"/>
        <v>2821</v>
      </c>
      <c r="G3448" s="97">
        <v>3390</v>
      </c>
      <c r="H3448" s="367">
        <f t="shared" si="447"/>
        <v>6211</v>
      </c>
      <c r="I3448" s="368">
        <f t="shared" si="448"/>
        <v>0</v>
      </c>
      <c r="J3448">
        <v>11731</v>
      </c>
      <c r="K3448" s="367">
        <f t="shared" si="452"/>
        <v>8379.2857142857138</v>
      </c>
      <c r="L3448">
        <v>0.86</v>
      </c>
      <c r="M3448">
        <v>4.6999999999999993</v>
      </c>
      <c r="N3448">
        <v>29</v>
      </c>
      <c r="O3448">
        <v>7</v>
      </c>
      <c r="P3448" t="s">
        <v>515</v>
      </c>
      <c r="Q3448" s="97" t="str">
        <f t="shared" si="449"/>
        <v/>
      </c>
      <c r="R3448" t="str">
        <f t="shared" si="450"/>
        <v/>
      </c>
    </row>
    <row r="3449" spans="3:18">
      <c r="C3449" t="str">
        <f t="shared" si="451"/>
        <v/>
      </c>
      <c r="D3449">
        <v>173</v>
      </c>
      <c r="E3449">
        <v>130</v>
      </c>
      <c r="F3449" s="366">
        <f t="shared" si="453"/>
        <v>2821</v>
      </c>
      <c r="G3449" s="97">
        <v>3423</v>
      </c>
      <c r="H3449" s="367">
        <f t="shared" si="447"/>
        <v>6244</v>
      </c>
      <c r="I3449" s="368">
        <f t="shared" si="448"/>
        <v>0</v>
      </c>
      <c r="J3449">
        <v>12106</v>
      </c>
      <c r="K3449" s="367">
        <f t="shared" si="452"/>
        <v>8647.1428571428569</v>
      </c>
      <c r="L3449">
        <v>0.66</v>
      </c>
      <c r="M3449">
        <v>4.5999999999999996</v>
      </c>
      <c r="N3449">
        <v>28</v>
      </c>
      <c r="O3449">
        <v>8</v>
      </c>
      <c r="P3449" t="s">
        <v>515</v>
      </c>
      <c r="Q3449" s="97">
        <f t="shared" si="449"/>
        <v>173</v>
      </c>
      <c r="R3449" t="str">
        <f t="shared" si="450"/>
        <v/>
      </c>
    </row>
    <row r="3450" spans="3:18">
      <c r="C3450" t="str">
        <f t="shared" si="451"/>
        <v>NL</v>
      </c>
      <c r="D3450">
        <v>174</v>
      </c>
      <c r="E3450">
        <v>135</v>
      </c>
      <c r="F3450" s="366">
        <f t="shared" si="453"/>
        <v>2929.5</v>
      </c>
      <c r="G3450" s="97">
        <v>3465</v>
      </c>
      <c r="H3450" s="367">
        <f t="shared" si="447"/>
        <v>6394.5</v>
      </c>
      <c r="I3450" s="368">
        <f t="shared" si="448"/>
        <v>0</v>
      </c>
      <c r="J3450">
        <v>12011</v>
      </c>
      <c r="K3450" s="367">
        <f t="shared" si="452"/>
        <v>8579.2857142857138</v>
      </c>
      <c r="L3450">
        <v>0.93</v>
      </c>
      <c r="M3450">
        <v>4.6999999999999993</v>
      </c>
      <c r="N3450">
        <v>30</v>
      </c>
      <c r="O3450">
        <v>7</v>
      </c>
      <c r="P3450" t="s">
        <v>515</v>
      </c>
      <c r="Q3450" s="97" t="str">
        <f t="shared" si="449"/>
        <v/>
      </c>
      <c r="R3450" t="str">
        <f t="shared" si="450"/>
        <v/>
      </c>
    </row>
    <row r="3451" spans="3:18">
      <c r="C3451" t="str">
        <f t="shared" si="451"/>
        <v/>
      </c>
      <c r="D3451">
        <v>175</v>
      </c>
      <c r="E3451">
        <v>135</v>
      </c>
      <c r="F3451" s="366">
        <f t="shared" si="453"/>
        <v>2929.5</v>
      </c>
      <c r="G3451" s="97">
        <v>3497</v>
      </c>
      <c r="H3451" s="367">
        <f t="shared" si="447"/>
        <v>6426.5</v>
      </c>
      <c r="I3451" s="368">
        <f t="shared" si="448"/>
        <v>0</v>
      </c>
      <c r="J3451">
        <v>12397</v>
      </c>
      <c r="K3451" s="367">
        <f t="shared" si="452"/>
        <v>8855</v>
      </c>
      <c r="L3451">
        <v>0.71</v>
      </c>
      <c r="M3451">
        <v>4.5999999999999996</v>
      </c>
      <c r="N3451">
        <v>28</v>
      </c>
      <c r="O3451">
        <v>8</v>
      </c>
      <c r="P3451" t="s">
        <v>515</v>
      </c>
      <c r="Q3451" s="97">
        <f t="shared" si="449"/>
        <v>175</v>
      </c>
      <c r="R3451" t="str">
        <f t="shared" si="450"/>
        <v/>
      </c>
    </row>
    <row r="3452" spans="3:18">
      <c r="C3452" t="str">
        <f t="shared" si="451"/>
        <v>NL</v>
      </c>
      <c r="D3452">
        <v>176</v>
      </c>
      <c r="E3452">
        <v>140</v>
      </c>
      <c r="F3452" s="366">
        <f t="shared" si="453"/>
        <v>3038</v>
      </c>
      <c r="G3452" s="97">
        <v>3539</v>
      </c>
      <c r="H3452" s="367">
        <f t="shared" si="447"/>
        <v>6577</v>
      </c>
      <c r="I3452" s="368">
        <f t="shared" si="448"/>
        <v>0</v>
      </c>
      <c r="J3452">
        <v>12289</v>
      </c>
      <c r="K3452" s="367">
        <f t="shared" si="452"/>
        <v>8777.8571428571431</v>
      </c>
      <c r="L3452">
        <v>1</v>
      </c>
      <c r="M3452">
        <v>4.6999999999999993</v>
      </c>
      <c r="N3452">
        <v>30</v>
      </c>
      <c r="O3452">
        <v>7</v>
      </c>
      <c r="P3452" t="s">
        <v>515</v>
      </c>
      <c r="Q3452" s="97" t="str">
        <f t="shared" si="449"/>
        <v/>
      </c>
      <c r="R3452" t="str">
        <f t="shared" si="450"/>
        <v/>
      </c>
    </row>
    <row r="3453" spans="3:18">
      <c r="C3453" t="str">
        <f t="shared" si="451"/>
        <v/>
      </c>
      <c r="D3453">
        <v>177</v>
      </c>
      <c r="E3453">
        <v>140</v>
      </c>
      <c r="F3453" s="366">
        <f t="shared" si="453"/>
        <v>3038</v>
      </c>
      <c r="G3453" s="97">
        <v>3572</v>
      </c>
      <c r="H3453" s="367">
        <f t="shared" si="447"/>
        <v>6610</v>
      </c>
      <c r="I3453" s="368">
        <f t="shared" si="448"/>
        <v>0</v>
      </c>
      <c r="J3453">
        <v>12689</v>
      </c>
      <c r="K3453" s="367">
        <f t="shared" si="452"/>
        <v>9063.5714285714294</v>
      </c>
      <c r="L3453">
        <v>0.76</v>
      </c>
      <c r="M3453">
        <v>4.5999999999999996</v>
      </c>
      <c r="N3453">
        <v>29</v>
      </c>
      <c r="O3453">
        <v>8</v>
      </c>
      <c r="P3453" t="s">
        <v>515</v>
      </c>
      <c r="Q3453" s="97" t="str">
        <f t="shared" si="449"/>
        <v/>
      </c>
      <c r="R3453" t="str">
        <f t="shared" si="450"/>
        <v/>
      </c>
    </row>
    <row r="3454" spans="3:18">
      <c r="C3454" t="str">
        <f t="shared" si="451"/>
        <v>NL</v>
      </c>
      <c r="D3454">
        <v>178</v>
      </c>
      <c r="E3454">
        <v>145</v>
      </c>
      <c r="F3454" s="366">
        <f t="shared" si="453"/>
        <v>3146.5</v>
      </c>
      <c r="G3454" s="97">
        <v>3540</v>
      </c>
      <c r="H3454" s="367">
        <f t="shared" si="447"/>
        <v>6686.5</v>
      </c>
      <c r="I3454" s="368">
        <f t="shared" si="448"/>
        <v>0</v>
      </c>
      <c r="J3454">
        <v>12290</v>
      </c>
      <c r="K3454" s="367">
        <f t="shared" si="452"/>
        <v>8778.5714285714294</v>
      </c>
      <c r="L3454">
        <v>1.07</v>
      </c>
      <c r="M3454">
        <v>4.6999999999999993</v>
      </c>
      <c r="N3454">
        <v>31</v>
      </c>
      <c r="O3454">
        <v>7</v>
      </c>
      <c r="P3454" t="s">
        <v>515</v>
      </c>
      <c r="Q3454" s="97" t="str">
        <f t="shared" si="449"/>
        <v/>
      </c>
      <c r="R3454" t="str">
        <f t="shared" si="450"/>
        <v/>
      </c>
    </row>
    <row r="3455" spans="3:18">
      <c r="C3455" t="str">
        <f t="shared" si="451"/>
        <v/>
      </c>
      <c r="D3455">
        <v>179</v>
      </c>
      <c r="E3455">
        <v>145</v>
      </c>
      <c r="F3455" s="366">
        <f t="shared" si="453"/>
        <v>3146.5</v>
      </c>
      <c r="G3455" s="97">
        <v>3642</v>
      </c>
      <c r="H3455" s="367">
        <f t="shared" si="447"/>
        <v>6788.5</v>
      </c>
      <c r="I3455" s="368">
        <f t="shared" si="448"/>
        <v>0</v>
      </c>
      <c r="J3455">
        <v>12968</v>
      </c>
      <c r="K3455" s="367">
        <f t="shared" si="452"/>
        <v>9262.8571428571431</v>
      </c>
      <c r="L3455">
        <v>0.82000000000000006</v>
      </c>
      <c r="M3455">
        <v>4.5999999999999996</v>
      </c>
      <c r="N3455">
        <v>29</v>
      </c>
      <c r="O3455">
        <v>8</v>
      </c>
      <c r="P3455" t="s">
        <v>515</v>
      </c>
      <c r="Q3455" s="97" t="str">
        <f t="shared" si="449"/>
        <v/>
      </c>
      <c r="R3455" t="str">
        <f t="shared" si="450"/>
        <v/>
      </c>
    </row>
    <row r="3456" spans="3:18">
      <c r="C3456" t="str">
        <f t="shared" si="451"/>
        <v/>
      </c>
      <c r="D3456">
        <v>180</v>
      </c>
      <c r="E3456">
        <v>150</v>
      </c>
      <c r="F3456" s="366">
        <f t="shared" si="453"/>
        <v>3255</v>
      </c>
      <c r="G3456" s="97">
        <v>3712</v>
      </c>
      <c r="H3456" s="367">
        <f t="shared" si="447"/>
        <v>6967</v>
      </c>
      <c r="I3456" s="368">
        <f t="shared" si="448"/>
        <v>0</v>
      </c>
      <c r="J3456">
        <v>13246</v>
      </c>
      <c r="K3456" s="367">
        <f t="shared" si="452"/>
        <v>9461.4285714285725</v>
      </c>
      <c r="L3456">
        <v>0.88</v>
      </c>
      <c r="M3456">
        <v>4.5999999999999996</v>
      </c>
      <c r="N3456">
        <v>30</v>
      </c>
      <c r="O3456">
        <v>8</v>
      </c>
      <c r="P3456" t="s">
        <v>515</v>
      </c>
      <c r="Q3456" s="97" t="str">
        <f t="shared" si="449"/>
        <v/>
      </c>
      <c r="R3456" t="str">
        <f t="shared" si="450"/>
        <v/>
      </c>
    </row>
    <row r="3457" spans="2:18">
      <c r="C3457" t="str">
        <f t="shared" si="451"/>
        <v/>
      </c>
      <c r="D3457">
        <v>181</v>
      </c>
      <c r="E3457">
        <v>155</v>
      </c>
      <c r="F3457" s="366">
        <f t="shared" si="453"/>
        <v>3363.5</v>
      </c>
      <c r="G3457" s="97">
        <v>3779</v>
      </c>
      <c r="H3457" s="367">
        <f t="shared" si="447"/>
        <v>7142.5</v>
      </c>
      <c r="I3457" s="368">
        <f t="shared" si="448"/>
        <v>0</v>
      </c>
      <c r="J3457">
        <v>13512</v>
      </c>
      <c r="K3457" s="367">
        <f t="shared" si="452"/>
        <v>9651.4285714285725</v>
      </c>
      <c r="L3457">
        <v>0.94000000000000006</v>
      </c>
      <c r="M3457">
        <v>4.5999999999999996</v>
      </c>
      <c r="N3457">
        <v>30</v>
      </c>
      <c r="O3457">
        <v>8</v>
      </c>
      <c r="P3457" t="s">
        <v>515</v>
      </c>
      <c r="Q3457" s="97" t="str">
        <f t="shared" si="449"/>
        <v/>
      </c>
      <c r="R3457" t="str">
        <f t="shared" si="450"/>
        <v/>
      </c>
    </row>
    <row r="3458" spans="2:18">
      <c r="C3458" t="str">
        <f t="shared" si="451"/>
        <v/>
      </c>
      <c r="D3458">
        <v>182</v>
      </c>
      <c r="E3458">
        <v>160</v>
      </c>
      <c r="F3458" s="366">
        <f t="shared" si="453"/>
        <v>3472</v>
      </c>
      <c r="G3458" s="97">
        <v>3845</v>
      </c>
      <c r="H3458" s="367">
        <f t="shared" si="447"/>
        <v>7317</v>
      </c>
      <c r="I3458" s="368">
        <f t="shared" si="448"/>
        <v>0</v>
      </c>
      <c r="J3458">
        <v>13776</v>
      </c>
      <c r="K3458" s="367">
        <f t="shared" si="452"/>
        <v>9840</v>
      </c>
      <c r="L3458">
        <v>1</v>
      </c>
      <c r="M3458">
        <v>4.5999999999999996</v>
      </c>
      <c r="N3458">
        <v>31</v>
      </c>
      <c r="O3458">
        <v>8</v>
      </c>
      <c r="P3458" t="s">
        <v>515</v>
      </c>
      <c r="Q3458" s="97" t="str">
        <f t="shared" si="449"/>
        <v/>
      </c>
      <c r="R3458" t="str">
        <f t="shared" si="450"/>
        <v/>
      </c>
    </row>
    <row r="3459" spans="2:18">
      <c r="C3459" t="str">
        <f t="shared" si="451"/>
        <v/>
      </c>
      <c r="D3459">
        <v>183</v>
      </c>
      <c r="E3459">
        <v>165</v>
      </c>
      <c r="F3459" s="366">
        <f t="shared" si="453"/>
        <v>3580.5</v>
      </c>
      <c r="G3459" s="97">
        <v>3861</v>
      </c>
      <c r="H3459" s="367">
        <f t="shared" si="447"/>
        <v>7441.5</v>
      </c>
      <c r="I3459" s="368">
        <f t="shared" si="448"/>
        <v>0</v>
      </c>
      <c r="J3459">
        <v>13840</v>
      </c>
      <c r="K3459" s="367">
        <f t="shared" si="452"/>
        <v>9885.7142857142862</v>
      </c>
      <c r="L3459">
        <v>1.03</v>
      </c>
      <c r="M3459">
        <v>4.5999999999999996</v>
      </c>
      <c r="N3459">
        <v>31</v>
      </c>
      <c r="O3459">
        <v>8</v>
      </c>
      <c r="P3459" t="s">
        <v>515</v>
      </c>
      <c r="Q3459" s="97" t="str">
        <f t="shared" si="449"/>
        <v/>
      </c>
      <c r="R3459" t="str">
        <f t="shared" si="450"/>
        <v/>
      </c>
    </row>
    <row r="3460" spans="2:18">
      <c r="C3460" t="str">
        <f t="shared" si="451"/>
        <v/>
      </c>
      <c r="D3460">
        <v>184</v>
      </c>
      <c r="E3460">
        <v>170</v>
      </c>
      <c r="F3460" s="366">
        <f t="shared" si="453"/>
        <v>3689</v>
      </c>
      <c r="G3460" s="97">
        <v>3861</v>
      </c>
      <c r="H3460" s="367">
        <f t="shared" si="447"/>
        <v>7550</v>
      </c>
      <c r="I3460" s="368">
        <f t="shared" si="448"/>
        <v>0</v>
      </c>
      <c r="J3460">
        <v>13840</v>
      </c>
      <c r="K3460" s="367">
        <f t="shared" si="452"/>
        <v>9885.7142857142862</v>
      </c>
      <c r="L3460">
        <v>1.0900000000000001</v>
      </c>
      <c r="M3460">
        <v>4.5999999999999996</v>
      </c>
      <c r="N3460">
        <v>31</v>
      </c>
      <c r="O3460">
        <v>8</v>
      </c>
      <c r="P3460" t="s">
        <v>515</v>
      </c>
      <c r="Q3460" s="97" t="str">
        <f t="shared" si="449"/>
        <v/>
      </c>
      <c r="R3460" t="str">
        <f t="shared" si="450"/>
        <v/>
      </c>
    </row>
    <row r="3461" spans="2:18">
      <c r="B3461" s="582"/>
    </row>
    <row r="3462" spans="2:18">
      <c r="B3462" s="582"/>
      <c r="C3462" t="str">
        <f t="shared" si="451"/>
        <v/>
      </c>
      <c r="D3462">
        <v>1</v>
      </c>
      <c r="E3462">
        <v>5</v>
      </c>
      <c r="F3462" s="366">
        <f t="shared" si="453"/>
        <v>108.5</v>
      </c>
      <c r="G3462" s="97">
        <v>324</v>
      </c>
      <c r="H3462" s="367">
        <f t="shared" ref="H3462" si="454">(G3462*$U$7)+F3462</f>
        <v>432.5</v>
      </c>
      <c r="I3462" s="368">
        <f t="shared" ref="I3462" si="455">1.085*($C$2-$D$2)*E3462*$T$7</f>
        <v>0</v>
      </c>
      <c r="J3462">
        <v>1262</v>
      </c>
      <c r="K3462" s="367">
        <f t="shared" si="452"/>
        <v>901.42857142857144</v>
      </c>
      <c r="L3462" s="607">
        <v>0.21000000000000002</v>
      </c>
      <c r="M3462">
        <v>2.1</v>
      </c>
      <c r="N3462" s="381">
        <v>19</v>
      </c>
      <c r="O3462">
        <v>2</v>
      </c>
      <c r="P3462" t="s">
        <v>512</v>
      </c>
      <c r="Q3462" s="97" t="str">
        <f t="shared" ref="Q3462" si="456">IF(AND(H3462+1&gt;$E$4,L3462&lt;$L$4+0.01,M3462&lt;$M$4+0.01,K3462+1&gt;$F$4,E3462+1&gt;$J$4,N3462&lt;$K$4+1,O3462&lt;$P$4+1,C3462=""),D3462,"")</f>
        <v/>
      </c>
      <c r="R3462" t="str">
        <f>IF(Q3462="","",IF(AND(O3462&lt;$X$30,E3462&gt;$U$30,E3462&lt;$Q$4+$U$30+1),D3462,""))</f>
        <v/>
      </c>
    </row>
    <row r="3463" spans="2:18">
      <c r="C3463" t="str">
        <f t="shared" si="451"/>
        <v/>
      </c>
      <c r="D3463">
        <v>2</v>
      </c>
      <c r="E3463">
        <v>10</v>
      </c>
      <c r="F3463" s="366">
        <f t="shared" si="453"/>
        <v>217</v>
      </c>
      <c r="G3463" s="97">
        <v>697</v>
      </c>
      <c r="H3463" s="367">
        <f t="shared" ref="H3463:H3526" si="457">(G3463*$U$7)+F3463</f>
        <v>914</v>
      </c>
      <c r="I3463" s="368">
        <f t="shared" ref="I3463:I3526" si="458">1.085*($C$2-$D$2)*E3463*$T$7</f>
        <v>0</v>
      </c>
      <c r="J3463">
        <v>2711</v>
      </c>
      <c r="K3463" s="367">
        <f t="shared" si="452"/>
        <v>1936.4285714285716</v>
      </c>
      <c r="L3463" s="607">
        <v>0.31</v>
      </c>
      <c r="M3463">
        <v>2.1</v>
      </c>
      <c r="N3463" s="381">
        <v>19</v>
      </c>
      <c r="O3463">
        <v>2</v>
      </c>
      <c r="P3463" t="s">
        <v>513</v>
      </c>
      <c r="Q3463" s="97" t="str">
        <f t="shared" ref="Q3463:Q3526" si="459">IF(AND(H3463+1&gt;$E$4,L3463&lt;$L$4+0.01,M3463&lt;$M$4+0.01,K3463+1&gt;$F$4,E3463+1&gt;$J$4,N3463&lt;$K$4+1,O3463&lt;$P$4+1,C3463=""),D3463,"")</f>
        <v/>
      </c>
      <c r="R3463" t="str">
        <f t="shared" ref="R3463:R3526" si="460">IF(Q3463="","",IF(AND(O3463&lt;$X$30,E3463&gt;$U$30,E3463&lt;$Q$4+$U$30+1),D3463,""))</f>
        <v/>
      </c>
    </row>
    <row r="3464" spans="2:18">
      <c r="C3464" t="str">
        <f t="shared" si="451"/>
        <v/>
      </c>
      <c r="D3464">
        <v>3</v>
      </c>
      <c r="E3464">
        <v>10</v>
      </c>
      <c r="F3464" s="366">
        <f t="shared" si="453"/>
        <v>217</v>
      </c>
      <c r="G3464" s="97">
        <v>602</v>
      </c>
      <c r="H3464" s="367">
        <f t="shared" si="457"/>
        <v>819</v>
      </c>
      <c r="I3464" s="368">
        <f t="shared" si="458"/>
        <v>0</v>
      </c>
      <c r="J3464">
        <v>2343</v>
      </c>
      <c r="K3464" s="367">
        <f t="shared" si="452"/>
        <v>1673.5714285714287</v>
      </c>
      <c r="L3464" s="607">
        <v>0.82000000000000006</v>
      </c>
      <c r="M3464">
        <v>2.1</v>
      </c>
      <c r="N3464" s="381">
        <v>27</v>
      </c>
      <c r="O3464">
        <v>2</v>
      </c>
      <c r="P3464" t="s">
        <v>512</v>
      </c>
      <c r="Q3464" s="97" t="str">
        <f t="shared" si="459"/>
        <v/>
      </c>
      <c r="R3464" t="str">
        <f t="shared" si="460"/>
        <v/>
      </c>
    </row>
    <row r="3465" spans="2:18">
      <c r="C3465" t="str">
        <f t="shared" si="451"/>
        <v/>
      </c>
      <c r="D3465">
        <v>4</v>
      </c>
      <c r="E3465">
        <v>15</v>
      </c>
      <c r="F3465" s="366">
        <f t="shared" si="453"/>
        <v>325.5</v>
      </c>
      <c r="G3465" s="97">
        <v>992</v>
      </c>
      <c r="H3465" s="367">
        <f t="shared" si="457"/>
        <v>1317.5</v>
      </c>
      <c r="I3465" s="368">
        <f t="shared" si="458"/>
        <v>0</v>
      </c>
      <c r="J3465">
        <v>3858</v>
      </c>
      <c r="K3465" s="367">
        <f t="shared" si="452"/>
        <v>2755.7142857142858</v>
      </c>
      <c r="L3465" s="607">
        <v>0.69000000000000006</v>
      </c>
      <c r="M3465">
        <v>2.1</v>
      </c>
      <c r="N3465" s="381">
        <v>24</v>
      </c>
      <c r="O3465">
        <v>2</v>
      </c>
      <c r="P3465" t="s">
        <v>513</v>
      </c>
      <c r="Q3465" s="97" t="str">
        <f t="shared" si="459"/>
        <v/>
      </c>
      <c r="R3465" t="str">
        <f t="shared" si="460"/>
        <v/>
      </c>
    </row>
    <row r="3466" spans="2:18">
      <c r="C3466" t="str">
        <f t="shared" si="451"/>
        <v/>
      </c>
      <c r="D3466">
        <v>5</v>
      </c>
      <c r="E3466">
        <v>15</v>
      </c>
      <c r="F3466" s="366">
        <f t="shared" si="453"/>
        <v>325.5</v>
      </c>
      <c r="G3466" s="97">
        <v>749</v>
      </c>
      <c r="H3466" s="367">
        <f t="shared" si="457"/>
        <v>1074.5</v>
      </c>
      <c r="I3466" s="368">
        <f t="shared" si="458"/>
        <v>0</v>
      </c>
      <c r="J3466">
        <v>2915</v>
      </c>
      <c r="K3466" s="367">
        <f t="shared" si="452"/>
        <v>2082.1428571428573</v>
      </c>
      <c r="L3466" s="607">
        <v>0.2</v>
      </c>
      <c r="M3466">
        <v>2.1</v>
      </c>
      <c r="N3466" s="381">
        <v>18</v>
      </c>
      <c r="O3466">
        <v>2</v>
      </c>
      <c r="P3466" t="s">
        <v>514</v>
      </c>
      <c r="Q3466" s="97" t="str">
        <f t="shared" si="459"/>
        <v/>
      </c>
      <c r="R3466" t="str">
        <f t="shared" si="460"/>
        <v/>
      </c>
    </row>
    <row r="3467" spans="2:18">
      <c r="C3467" t="str">
        <f t="shared" si="451"/>
        <v/>
      </c>
      <c r="D3467">
        <v>6</v>
      </c>
      <c r="E3467">
        <v>15</v>
      </c>
      <c r="F3467" s="366">
        <f t="shared" si="453"/>
        <v>325.5</v>
      </c>
      <c r="G3467" s="97">
        <v>938</v>
      </c>
      <c r="H3467" s="367">
        <f t="shared" si="457"/>
        <v>1263.5</v>
      </c>
      <c r="I3467" s="368">
        <f t="shared" si="458"/>
        <v>0</v>
      </c>
      <c r="J3467">
        <v>3647</v>
      </c>
      <c r="K3467" s="367">
        <f t="shared" si="452"/>
        <v>2605</v>
      </c>
      <c r="L3467" s="607">
        <v>0.29000000000000004</v>
      </c>
      <c r="M3467">
        <v>3.9</v>
      </c>
      <c r="N3467" s="381">
        <v>19</v>
      </c>
      <c r="O3467">
        <v>4</v>
      </c>
      <c r="P3467" t="s">
        <v>512</v>
      </c>
      <c r="Q3467" s="97" t="str">
        <f t="shared" si="459"/>
        <v/>
      </c>
      <c r="R3467" t="str">
        <f t="shared" si="460"/>
        <v/>
      </c>
    </row>
    <row r="3468" spans="2:18">
      <c r="C3468" t="str">
        <f t="shared" si="451"/>
        <v/>
      </c>
      <c r="D3468">
        <v>7</v>
      </c>
      <c r="E3468">
        <v>20</v>
      </c>
      <c r="F3468" s="366">
        <f t="shared" si="453"/>
        <v>434</v>
      </c>
      <c r="G3468" s="97">
        <v>967</v>
      </c>
      <c r="H3468" s="367">
        <f t="shared" si="457"/>
        <v>1401</v>
      </c>
      <c r="I3468" s="368">
        <f t="shared" si="458"/>
        <v>0</v>
      </c>
      <c r="J3468">
        <v>3762</v>
      </c>
      <c r="K3468" s="367">
        <f t="shared" si="452"/>
        <v>2687.1428571428573</v>
      </c>
      <c r="L3468" s="607">
        <v>0.34</v>
      </c>
      <c r="M3468">
        <v>2.1</v>
      </c>
      <c r="N3468" s="381">
        <v>21</v>
      </c>
      <c r="O3468">
        <v>2</v>
      </c>
      <c r="P3468" t="s">
        <v>514</v>
      </c>
      <c r="Q3468" s="97" t="str">
        <f t="shared" si="459"/>
        <v/>
      </c>
      <c r="R3468" t="str">
        <f t="shared" si="460"/>
        <v/>
      </c>
    </row>
    <row r="3469" spans="2:18">
      <c r="C3469" t="str">
        <f t="shared" si="451"/>
        <v/>
      </c>
      <c r="D3469">
        <v>8</v>
      </c>
      <c r="E3469">
        <v>20</v>
      </c>
      <c r="F3469" s="366">
        <f t="shared" si="453"/>
        <v>434</v>
      </c>
      <c r="G3469" s="97">
        <v>1396</v>
      </c>
      <c r="H3469" s="367">
        <f t="shared" si="457"/>
        <v>1830</v>
      </c>
      <c r="I3469" s="368">
        <f t="shared" si="458"/>
        <v>0</v>
      </c>
      <c r="J3469">
        <v>5431</v>
      </c>
      <c r="K3469" s="367">
        <f t="shared" si="452"/>
        <v>3879.2857142857142</v>
      </c>
      <c r="L3469" s="607">
        <v>0.2</v>
      </c>
      <c r="M3469">
        <v>3.9</v>
      </c>
      <c r="N3469" s="381">
        <v>16</v>
      </c>
      <c r="O3469">
        <v>4</v>
      </c>
      <c r="P3469" t="s">
        <v>513</v>
      </c>
      <c r="Q3469" s="97" t="str">
        <f t="shared" si="459"/>
        <v/>
      </c>
      <c r="R3469" t="str">
        <f t="shared" si="460"/>
        <v/>
      </c>
    </row>
    <row r="3470" spans="2:18">
      <c r="C3470" t="str">
        <f t="shared" si="451"/>
        <v/>
      </c>
      <c r="D3470">
        <v>9</v>
      </c>
      <c r="E3470">
        <v>20</v>
      </c>
      <c r="F3470" s="366">
        <f t="shared" si="453"/>
        <v>434</v>
      </c>
      <c r="G3470" s="97">
        <v>1208</v>
      </c>
      <c r="H3470" s="367">
        <f t="shared" si="457"/>
        <v>1642</v>
      </c>
      <c r="I3470" s="368">
        <f t="shared" si="458"/>
        <v>0</v>
      </c>
      <c r="J3470">
        <v>4699</v>
      </c>
      <c r="K3470" s="367">
        <f t="shared" si="452"/>
        <v>3356.4285714285716</v>
      </c>
      <c r="L3470" s="607">
        <v>0.51</v>
      </c>
      <c r="M3470">
        <v>3.9</v>
      </c>
      <c r="N3470" s="381">
        <v>23</v>
      </c>
      <c r="O3470">
        <v>4</v>
      </c>
      <c r="P3470" t="s">
        <v>512</v>
      </c>
      <c r="Q3470" s="97" t="str">
        <f t="shared" si="459"/>
        <v/>
      </c>
      <c r="R3470" t="str">
        <f t="shared" si="460"/>
        <v/>
      </c>
    </row>
    <row r="3471" spans="2:18">
      <c r="C3471" t="str">
        <f t="shared" si="451"/>
        <v/>
      </c>
      <c r="D3471">
        <v>10</v>
      </c>
      <c r="E3471">
        <v>20</v>
      </c>
      <c r="F3471" s="366">
        <f t="shared" si="453"/>
        <v>434</v>
      </c>
      <c r="G3471" s="97">
        <v>1261</v>
      </c>
      <c r="H3471" s="367">
        <f t="shared" si="457"/>
        <v>1695</v>
      </c>
      <c r="I3471" s="368">
        <f t="shared" si="458"/>
        <v>0</v>
      </c>
      <c r="J3471">
        <v>4906</v>
      </c>
      <c r="K3471" s="367">
        <f t="shared" si="452"/>
        <v>3504.2857142857142</v>
      </c>
      <c r="L3471" s="607">
        <v>0.2</v>
      </c>
      <c r="M3471">
        <v>5.6</v>
      </c>
      <c r="N3471" s="381">
        <v>17</v>
      </c>
      <c r="O3471">
        <v>6</v>
      </c>
      <c r="P3471" t="s">
        <v>512</v>
      </c>
      <c r="Q3471" s="97" t="str">
        <f t="shared" si="459"/>
        <v/>
      </c>
      <c r="R3471" t="str">
        <f t="shared" si="460"/>
        <v/>
      </c>
    </row>
    <row r="3472" spans="2:18">
      <c r="C3472" t="str">
        <f t="shared" si="451"/>
        <v/>
      </c>
      <c r="D3472">
        <v>11</v>
      </c>
      <c r="E3472">
        <v>25</v>
      </c>
      <c r="F3472" s="366">
        <f t="shared" si="453"/>
        <v>542.5</v>
      </c>
      <c r="G3472" s="97">
        <v>1172</v>
      </c>
      <c r="H3472" s="367">
        <f t="shared" si="457"/>
        <v>1714.5</v>
      </c>
      <c r="I3472" s="368">
        <f t="shared" si="458"/>
        <v>0</v>
      </c>
      <c r="J3472">
        <v>4560</v>
      </c>
      <c r="K3472" s="367">
        <f t="shared" si="452"/>
        <v>3257.1428571428573</v>
      </c>
      <c r="L3472" s="607">
        <v>0.53</v>
      </c>
      <c r="M3472">
        <v>2.1</v>
      </c>
      <c r="N3472" s="381">
        <v>24</v>
      </c>
      <c r="O3472">
        <v>2</v>
      </c>
      <c r="P3472" t="s">
        <v>514</v>
      </c>
      <c r="Q3472" s="97" t="str">
        <f t="shared" si="459"/>
        <v/>
      </c>
      <c r="R3472" t="str">
        <f t="shared" si="460"/>
        <v/>
      </c>
    </row>
    <row r="3473" spans="3:18">
      <c r="C3473" t="str">
        <f t="shared" si="451"/>
        <v/>
      </c>
      <c r="D3473">
        <v>12</v>
      </c>
      <c r="E3473">
        <v>25</v>
      </c>
      <c r="F3473" s="366">
        <f t="shared" si="453"/>
        <v>542.5</v>
      </c>
      <c r="G3473" s="97">
        <v>1022</v>
      </c>
      <c r="H3473" s="367">
        <f t="shared" si="457"/>
        <v>1564.5</v>
      </c>
      <c r="I3473" s="368">
        <f t="shared" si="458"/>
        <v>0</v>
      </c>
      <c r="J3473">
        <v>3974</v>
      </c>
      <c r="K3473" s="367">
        <f t="shared" si="452"/>
        <v>2838.5714285714284</v>
      </c>
      <c r="L3473" s="607">
        <v>0.15000000000000002</v>
      </c>
      <c r="M3473">
        <v>2.1</v>
      </c>
      <c r="N3473" s="381">
        <v>16</v>
      </c>
      <c r="O3473">
        <v>2</v>
      </c>
      <c r="P3473" t="s">
        <v>515</v>
      </c>
      <c r="Q3473" s="97" t="str">
        <f t="shared" si="459"/>
        <v/>
      </c>
      <c r="R3473" t="str">
        <f t="shared" si="460"/>
        <v/>
      </c>
    </row>
    <row r="3474" spans="3:18">
      <c r="C3474" t="str">
        <f t="shared" si="451"/>
        <v/>
      </c>
      <c r="D3474">
        <v>13</v>
      </c>
      <c r="E3474">
        <v>25</v>
      </c>
      <c r="F3474" s="366">
        <f t="shared" si="453"/>
        <v>542.5</v>
      </c>
      <c r="G3474" s="97">
        <v>1700</v>
      </c>
      <c r="H3474" s="367">
        <f t="shared" si="457"/>
        <v>2242.5</v>
      </c>
      <c r="I3474" s="368">
        <f t="shared" si="458"/>
        <v>0</v>
      </c>
      <c r="J3474">
        <v>6613</v>
      </c>
      <c r="K3474" s="367">
        <f t="shared" si="452"/>
        <v>4723.5714285714284</v>
      </c>
      <c r="L3474" s="607">
        <v>0.31</v>
      </c>
      <c r="M3474">
        <v>3.9</v>
      </c>
      <c r="N3474" s="381">
        <v>19</v>
      </c>
      <c r="O3474">
        <v>4</v>
      </c>
      <c r="P3474" t="s">
        <v>513</v>
      </c>
      <c r="Q3474" s="97" t="str">
        <f t="shared" si="459"/>
        <v/>
      </c>
      <c r="R3474" t="str">
        <f t="shared" si="460"/>
        <v/>
      </c>
    </row>
    <row r="3475" spans="3:18">
      <c r="C3475" t="str">
        <f t="shared" si="451"/>
        <v/>
      </c>
      <c r="D3475">
        <v>14</v>
      </c>
      <c r="E3475">
        <v>25</v>
      </c>
      <c r="F3475" s="366">
        <f t="shared" si="453"/>
        <v>542.5</v>
      </c>
      <c r="G3475" s="97">
        <v>1460</v>
      </c>
      <c r="H3475" s="367">
        <f t="shared" si="457"/>
        <v>2002.5</v>
      </c>
      <c r="I3475" s="368">
        <f t="shared" si="458"/>
        <v>0</v>
      </c>
      <c r="J3475">
        <v>5680</v>
      </c>
      <c r="K3475" s="367">
        <f t="shared" si="452"/>
        <v>4057.1428571428573</v>
      </c>
      <c r="L3475" s="607">
        <v>0.8</v>
      </c>
      <c r="M3475">
        <v>3.9</v>
      </c>
      <c r="N3475" s="381">
        <v>26</v>
      </c>
      <c r="O3475">
        <v>4</v>
      </c>
      <c r="P3475" t="s">
        <v>512</v>
      </c>
      <c r="Q3475" s="97" t="str">
        <f t="shared" si="459"/>
        <v/>
      </c>
      <c r="R3475" t="str">
        <f t="shared" si="460"/>
        <v/>
      </c>
    </row>
    <row r="3476" spans="3:18">
      <c r="C3476" t="str">
        <f t="shared" si="451"/>
        <v/>
      </c>
      <c r="D3476">
        <v>15</v>
      </c>
      <c r="E3476">
        <v>25</v>
      </c>
      <c r="F3476" s="366">
        <f t="shared" si="453"/>
        <v>542.5</v>
      </c>
      <c r="G3476" s="97">
        <v>1773</v>
      </c>
      <c r="H3476" s="367">
        <f t="shared" si="457"/>
        <v>2315.5</v>
      </c>
      <c r="I3476" s="368">
        <f t="shared" si="458"/>
        <v>0</v>
      </c>
      <c r="J3476">
        <v>6895</v>
      </c>
      <c r="K3476" s="367">
        <f t="shared" si="452"/>
        <v>4925</v>
      </c>
      <c r="L3476" s="607">
        <v>0.13</v>
      </c>
      <c r="M3476">
        <v>5.6</v>
      </c>
      <c r="N3476" s="381">
        <v>15</v>
      </c>
      <c r="O3476">
        <v>6</v>
      </c>
      <c r="P3476" t="s">
        <v>513</v>
      </c>
      <c r="Q3476" s="97" t="str">
        <f t="shared" si="459"/>
        <v/>
      </c>
      <c r="R3476" t="str">
        <f t="shared" si="460"/>
        <v/>
      </c>
    </row>
    <row r="3477" spans="3:18">
      <c r="C3477" t="str">
        <f t="shared" si="451"/>
        <v/>
      </c>
      <c r="D3477">
        <v>16</v>
      </c>
      <c r="E3477">
        <v>25</v>
      </c>
      <c r="F3477" s="366">
        <f t="shared" si="453"/>
        <v>542.5</v>
      </c>
      <c r="G3477" s="97">
        <v>1534</v>
      </c>
      <c r="H3477" s="367">
        <f t="shared" si="457"/>
        <v>2076.5</v>
      </c>
      <c r="I3477" s="368">
        <f t="shared" si="458"/>
        <v>0</v>
      </c>
      <c r="J3477">
        <v>5969</v>
      </c>
      <c r="K3477" s="367">
        <f t="shared" si="452"/>
        <v>4263.5714285714284</v>
      </c>
      <c r="L3477" s="607">
        <v>0.31</v>
      </c>
      <c r="M3477">
        <v>5.6</v>
      </c>
      <c r="N3477" s="381">
        <v>20</v>
      </c>
      <c r="O3477">
        <v>6</v>
      </c>
      <c r="P3477" t="s">
        <v>512</v>
      </c>
      <c r="Q3477" s="97" t="str">
        <f t="shared" si="459"/>
        <v/>
      </c>
      <c r="R3477" t="str">
        <f t="shared" si="460"/>
        <v/>
      </c>
    </row>
    <row r="3478" spans="3:18">
      <c r="C3478" t="str">
        <f t="shared" ref="C3478:C3541" si="461">IF(OR($O$4=0,O3478-$O$4=0),IF(AND(ISEVEN(O3478)=FALSE,$N$4="Even"),"NL",""),"NL")</f>
        <v/>
      </c>
      <c r="D3478">
        <v>17</v>
      </c>
      <c r="E3478">
        <v>25</v>
      </c>
      <c r="F3478" s="366">
        <f t="shared" si="453"/>
        <v>542.5</v>
      </c>
      <c r="G3478" s="97">
        <v>1573</v>
      </c>
      <c r="H3478" s="367">
        <f t="shared" si="457"/>
        <v>2115.5</v>
      </c>
      <c r="I3478" s="368">
        <f t="shared" si="458"/>
        <v>0</v>
      </c>
      <c r="J3478">
        <v>6118</v>
      </c>
      <c r="K3478" s="367">
        <f t="shared" ref="K3478:K3541" si="462">(J3478*$V$7)-I3478</f>
        <v>4370</v>
      </c>
      <c r="L3478" s="607">
        <v>0.17</v>
      </c>
      <c r="M3478">
        <v>7.3999999999999995</v>
      </c>
      <c r="N3478" s="381">
        <v>16</v>
      </c>
      <c r="O3478">
        <v>8</v>
      </c>
      <c r="P3478" t="s">
        <v>512</v>
      </c>
      <c r="Q3478" s="97" t="str">
        <f t="shared" si="459"/>
        <v/>
      </c>
      <c r="R3478" t="str">
        <f t="shared" si="460"/>
        <v/>
      </c>
    </row>
    <row r="3479" spans="3:18">
      <c r="C3479" t="str">
        <f t="shared" si="461"/>
        <v/>
      </c>
      <c r="D3479">
        <v>18</v>
      </c>
      <c r="E3479">
        <v>30</v>
      </c>
      <c r="F3479" s="366">
        <f t="shared" si="453"/>
        <v>651</v>
      </c>
      <c r="G3479" s="97">
        <v>1366</v>
      </c>
      <c r="H3479" s="367">
        <f t="shared" si="457"/>
        <v>2017</v>
      </c>
      <c r="I3479" s="368">
        <f t="shared" si="458"/>
        <v>0</v>
      </c>
      <c r="J3479">
        <v>5312</v>
      </c>
      <c r="K3479" s="367">
        <f t="shared" si="462"/>
        <v>3794.2857142857142</v>
      </c>
      <c r="L3479" s="607">
        <v>0.77</v>
      </c>
      <c r="M3479">
        <v>2.1</v>
      </c>
      <c r="N3479" s="381">
        <v>27</v>
      </c>
      <c r="O3479">
        <v>2</v>
      </c>
      <c r="P3479" t="s">
        <v>514</v>
      </c>
      <c r="Q3479" s="97" t="str">
        <f t="shared" si="459"/>
        <v/>
      </c>
      <c r="R3479" t="str">
        <f t="shared" si="460"/>
        <v/>
      </c>
    </row>
    <row r="3480" spans="3:18">
      <c r="C3480" t="str">
        <f t="shared" si="461"/>
        <v/>
      </c>
      <c r="D3480">
        <v>19</v>
      </c>
      <c r="E3480">
        <v>30</v>
      </c>
      <c r="F3480" s="366">
        <f t="shared" si="453"/>
        <v>651</v>
      </c>
      <c r="G3480" s="97">
        <v>1195</v>
      </c>
      <c r="H3480" s="367">
        <f t="shared" si="457"/>
        <v>1846</v>
      </c>
      <c r="I3480" s="368">
        <f t="shared" si="458"/>
        <v>0</v>
      </c>
      <c r="J3480">
        <v>4647</v>
      </c>
      <c r="K3480" s="367">
        <f t="shared" si="462"/>
        <v>3319.2857142857142</v>
      </c>
      <c r="L3480" s="607">
        <v>0.22</v>
      </c>
      <c r="M3480">
        <v>2.1</v>
      </c>
      <c r="N3480" s="381">
        <v>18</v>
      </c>
      <c r="O3480">
        <v>2</v>
      </c>
      <c r="P3480" t="s">
        <v>515</v>
      </c>
      <c r="Q3480" s="97" t="str">
        <f t="shared" si="459"/>
        <v/>
      </c>
      <c r="R3480" t="str">
        <f t="shared" si="460"/>
        <v/>
      </c>
    </row>
    <row r="3481" spans="3:18">
      <c r="C3481" t="str">
        <f t="shared" si="461"/>
        <v/>
      </c>
      <c r="D3481">
        <v>20</v>
      </c>
      <c r="E3481">
        <v>30</v>
      </c>
      <c r="F3481" s="366">
        <f t="shared" si="453"/>
        <v>651</v>
      </c>
      <c r="G3481" s="97">
        <v>1990</v>
      </c>
      <c r="H3481" s="367">
        <f t="shared" si="457"/>
        <v>2641</v>
      </c>
      <c r="I3481" s="368">
        <f t="shared" si="458"/>
        <v>0</v>
      </c>
      <c r="J3481">
        <v>7740</v>
      </c>
      <c r="K3481" s="367">
        <f t="shared" si="462"/>
        <v>5528.5714285714284</v>
      </c>
      <c r="L3481" s="607">
        <v>0.45</v>
      </c>
      <c r="M3481">
        <v>3.9</v>
      </c>
      <c r="N3481" s="381">
        <v>21</v>
      </c>
      <c r="O3481">
        <v>4</v>
      </c>
      <c r="P3481" t="s">
        <v>513</v>
      </c>
      <c r="Q3481" s="97" t="str">
        <f t="shared" si="459"/>
        <v/>
      </c>
      <c r="R3481" t="str">
        <f t="shared" si="460"/>
        <v/>
      </c>
    </row>
    <row r="3482" spans="3:18">
      <c r="C3482" t="str">
        <f t="shared" si="461"/>
        <v/>
      </c>
      <c r="D3482">
        <v>21</v>
      </c>
      <c r="E3482">
        <v>30</v>
      </c>
      <c r="F3482" s="366">
        <f t="shared" si="453"/>
        <v>651</v>
      </c>
      <c r="G3482" s="97">
        <v>1502</v>
      </c>
      <c r="H3482" s="367">
        <f t="shared" si="457"/>
        <v>2153</v>
      </c>
      <c r="I3482" s="368">
        <f t="shared" si="458"/>
        <v>0</v>
      </c>
      <c r="J3482">
        <v>5842</v>
      </c>
      <c r="K3482" s="367">
        <f t="shared" si="462"/>
        <v>4172.8571428571431</v>
      </c>
      <c r="L3482" s="607">
        <v>0.13</v>
      </c>
      <c r="M3482">
        <v>3.9</v>
      </c>
      <c r="N3482" s="381">
        <v>15</v>
      </c>
      <c r="O3482">
        <v>4</v>
      </c>
      <c r="P3482" t="s">
        <v>514</v>
      </c>
      <c r="Q3482" s="97" t="str">
        <f t="shared" si="459"/>
        <v/>
      </c>
      <c r="R3482" t="str">
        <f t="shared" si="460"/>
        <v/>
      </c>
    </row>
    <row r="3483" spans="3:18">
      <c r="C3483" t="str">
        <f t="shared" si="461"/>
        <v/>
      </c>
      <c r="D3483">
        <v>22</v>
      </c>
      <c r="E3483">
        <v>30</v>
      </c>
      <c r="F3483" s="366">
        <f t="shared" si="453"/>
        <v>651</v>
      </c>
      <c r="G3483" s="97">
        <v>2081</v>
      </c>
      <c r="H3483" s="367">
        <f t="shared" si="457"/>
        <v>2732</v>
      </c>
      <c r="I3483" s="368">
        <f t="shared" si="458"/>
        <v>0</v>
      </c>
      <c r="J3483">
        <v>8094</v>
      </c>
      <c r="K3483" s="367">
        <f t="shared" si="462"/>
        <v>5781.4285714285716</v>
      </c>
      <c r="L3483" s="607">
        <v>0.18000000000000002</v>
      </c>
      <c r="M3483">
        <v>5.6</v>
      </c>
      <c r="N3483" s="381">
        <v>16</v>
      </c>
      <c r="O3483">
        <v>6</v>
      </c>
      <c r="P3483" t="s">
        <v>513</v>
      </c>
      <c r="Q3483" s="97" t="str">
        <f t="shared" si="459"/>
        <v/>
      </c>
      <c r="R3483" t="str">
        <f t="shared" si="460"/>
        <v/>
      </c>
    </row>
    <row r="3484" spans="3:18">
      <c r="C3484" t="str">
        <f t="shared" si="461"/>
        <v/>
      </c>
      <c r="D3484">
        <v>23</v>
      </c>
      <c r="E3484">
        <v>30</v>
      </c>
      <c r="F3484" s="366">
        <f t="shared" si="453"/>
        <v>651</v>
      </c>
      <c r="G3484" s="97">
        <v>1796</v>
      </c>
      <c r="H3484" s="367">
        <f t="shared" si="457"/>
        <v>2447</v>
      </c>
      <c r="I3484" s="368">
        <f t="shared" si="458"/>
        <v>0</v>
      </c>
      <c r="J3484">
        <v>6988</v>
      </c>
      <c r="K3484" s="367">
        <f t="shared" si="462"/>
        <v>4991.4285714285716</v>
      </c>
      <c r="L3484" s="607">
        <v>0.45</v>
      </c>
      <c r="M3484">
        <v>5.6</v>
      </c>
      <c r="N3484" s="381">
        <v>23</v>
      </c>
      <c r="O3484">
        <v>6</v>
      </c>
      <c r="P3484" t="s">
        <v>512</v>
      </c>
      <c r="Q3484" s="97" t="str">
        <f t="shared" si="459"/>
        <v/>
      </c>
      <c r="R3484" t="str">
        <f t="shared" si="460"/>
        <v/>
      </c>
    </row>
    <row r="3485" spans="3:18">
      <c r="C3485" t="str">
        <f t="shared" si="461"/>
        <v/>
      </c>
      <c r="D3485">
        <v>24</v>
      </c>
      <c r="E3485">
        <v>30</v>
      </c>
      <c r="F3485" s="366">
        <f t="shared" si="453"/>
        <v>651</v>
      </c>
      <c r="G3485" s="97">
        <v>1847</v>
      </c>
      <c r="H3485" s="367">
        <f t="shared" si="457"/>
        <v>2498</v>
      </c>
      <c r="I3485" s="368">
        <f t="shared" si="458"/>
        <v>0</v>
      </c>
      <c r="J3485">
        <v>7184</v>
      </c>
      <c r="K3485" s="367">
        <f t="shared" si="462"/>
        <v>5131.4285714285716</v>
      </c>
      <c r="L3485" s="607">
        <v>0.24000000000000002</v>
      </c>
      <c r="M3485">
        <v>7.3999999999999995</v>
      </c>
      <c r="N3485" s="381">
        <v>19</v>
      </c>
      <c r="O3485">
        <v>8</v>
      </c>
      <c r="P3485" t="s">
        <v>512</v>
      </c>
      <c r="Q3485" s="97" t="str">
        <f t="shared" si="459"/>
        <v/>
      </c>
      <c r="R3485" t="str">
        <f t="shared" si="460"/>
        <v/>
      </c>
    </row>
    <row r="3486" spans="3:18">
      <c r="C3486" t="str">
        <f t="shared" si="461"/>
        <v/>
      </c>
      <c r="D3486">
        <v>25</v>
      </c>
      <c r="E3486">
        <v>35</v>
      </c>
      <c r="F3486" s="366">
        <f t="shared" si="453"/>
        <v>759.5</v>
      </c>
      <c r="G3486" s="97">
        <v>1548</v>
      </c>
      <c r="H3486" s="367">
        <f t="shared" si="457"/>
        <v>2307.5</v>
      </c>
      <c r="I3486" s="368">
        <f t="shared" si="458"/>
        <v>0</v>
      </c>
      <c r="J3486">
        <v>6023</v>
      </c>
      <c r="K3486" s="367">
        <f t="shared" si="462"/>
        <v>4302.1428571428569</v>
      </c>
      <c r="L3486" s="607">
        <v>1.04</v>
      </c>
      <c r="M3486">
        <v>2.1</v>
      </c>
      <c r="N3486" s="381">
        <v>29</v>
      </c>
      <c r="O3486">
        <v>2</v>
      </c>
      <c r="P3486" t="s">
        <v>514</v>
      </c>
      <c r="Q3486" s="97" t="str">
        <f t="shared" si="459"/>
        <v/>
      </c>
      <c r="R3486" t="str">
        <f t="shared" si="460"/>
        <v/>
      </c>
    </row>
    <row r="3487" spans="3:18">
      <c r="C3487" t="str">
        <f t="shared" si="461"/>
        <v/>
      </c>
      <c r="D3487">
        <v>26</v>
      </c>
      <c r="E3487">
        <v>35</v>
      </c>
      <c r="F3487" s="366">
        <f t="shared" si="453"/>
        <v>759.5</v>
      </c>
      <c r="G3487" s="97">
        <v>1358</v>
      </c>
      <c r="H3487" s="367">
        <f t="shared" si="457"/>
        <v>2117.5</v>
      </c>
      <c r="I3487" s="368">
        <f t="shared" si="458"/>
        <v>0</v>
      </c>
      <c r="J3487">
        <v>5284</v>
      </c>
      <c r="K3487" s="367">
        <f t="shared" si="462"/>
        <v>3774.2857142857142</v>
      </c>
      <c r="L3487" s="607">
        <v>0.3</v>
      </c>
      <c r="M3487">
        <v>2.1</v>
      </c>
      <c r="N3487" s="381">
        <v>20</v>
      </c>
      <c r="O3487">
        <v>2</v>
      </c>
      <c r="P3487" t="s">
        <v>515</v>
      </c>
      <c r="Q3487" s="97" t="str">
        <f t="shared" si="459"/>
        <v/>
      </c>
      <c r="R3487" t="str">
        <f t="shared" si="460"/>
        <v/>
      </c>
    </row>
    <row r="3488" spans="3:18">
      <c r="C3488" t="str">
        <f t="shared" si="461"/>
        <v/>
      </c>
      <c r="D3488">
        <v>27</v>
      </c>
      <c r="E3488">
        <v>35</v>
      </c>
      <c r="F3488" s="366">
        <f t="shared" si="453"/>
        <v>759.5</v>
      </c>
      <c r="G3488" s="97">
        <v>2264</v>
      </c>
      <c r="H3488" s="367">
        <f t="shared" si="457"/>
        <v>3023.5</v>
      </c>
      <c r="I3488" s="368">
        <f t="shared" si="458"/>
        <v>0</v>
      </c>
      <c r="J3488">
        <v>8804</v>
      </c>
      <c r="K3488" s="367">
        <f t="shared" si="462"/>
        <v>6288.5714285714284</v>
      </c>
      <c r="L3488" s="607">
        <v>0.61</v>
      </c>
      <c r="M3488">
        <v>3.9</v>
      </c>
      <c r="N3488" s="381">
        <v>23</v>
      </c>
      <c r="O3488">
        <v>4</v>
      </c>
      <c r="P3488" t="s">
        <v>513</v>
      </c>
      <c r="Q3488" s="97">
        <f t="shared" si="459"/>
        <v>27</v>
      </c>
      <c r="R3488" t="str">
        <f t="shared" si="460"/>
        <v/>
      </c>
    </row>
    <row r="3489" spans="3:18">
      <c r="C3489" t="str">
        <f t="shared" si="461"/>
        <v/>
      </c>
      <c r="D3489">
        <v>28</v>
      </c>
      <c r="E3489">
        <v>35</v>
      </c>
      <c r="F3489" s="366">
        <f t="shared" si="453"/>
        <v>759.5</v>
      </c>
      <c r="G3489" s="97">
        <v>1724</v>
      </c>
      <c r="H3489" s="367">
        <f t="shared" si="457"/>
        <v>2483.5</v>
      </c>
      <c r="I3489" s="368">
        <f t="shared" si="458"/>
        <v>0</v>
      </c>
      <c r="J3489">
        <v>6707</v>
      </c>
      <c r="K3489" s="367">
        <f t="shared" si="462"/>
        <v>4790.7142857142862</v>
      </c>
      <c r="L3489" s="607">
        <v>0.18000000000000002</v>
      </c>
      <c r="M3489">
        <v>3.9</v>
      </c>
      <c r="N3489" s="381">
        <v>17</v>
      </c>
      <c r="O3489">
        <v>4</v>
      </c>
      <c r="P3489" t="s">
        <v>514</v>
      </c>
      <c r="Q3489" s="97" t="str">
        <f t="shared" si="459"/>
        <v/>
      </c>
      <c r="R3489" t="str">
        <f t="shared" si="460"/>
        <v/>
      </c>
    </row>
    <row r="3490" spans="3:18">
      <c r="C3490" t="str">
        <f t="shared" si="461"/>
        <v/>
      </c>
      <c r="D3490">
        <v>29</v>
      </c>
      <c r="E3490">
        <v>35</v>
      </c>
      <c r="F3490" s="366">
        <f t="shared" si="453"/>
        <v>759.5</v>
      </c>
      <c r="G3490" s="97">
        <v>2387</v>
      </c>
      <c r="H3490" s="367">
        <f t="shared" si="457"/>
        <v>3146.5</v>
      </c>
      <c r="I3490" s="368">
        <f t="shared" si="458"/>
        <v>0</v>
      </c>
      <c r="J3490">
        <v>9283</v>
      </c>
      <c r="K3490" s="367">
        <f t="shared" si="462"/>
        <v>6630.7142857142862</v>
      </c>
      <c r="L3490" s="607">
        <v>0.25</v>
      </c>
      <c r="M3490">
        <v>5.6</v>
      </c>
      <c r="N3490" s="381">
        <v>18</v>
      </c>
      <c r="O3490">
        <v>6</v>
      </c>
      <c r="P3490" t="s">
        <v>513</v>
      </c>
      <c r="Q3490" s="97">
        <f t="shared" si="459"/>
        <v>29</v>
      </c>
      <c r="R3490" t="str">
        <f t="shared" si="460"/>
        <v/>
      </c>
    </row>
    <row r="3491" spans="3:18">
      <c r="C3491" t="str">
        <f t="shared" si="461"/>
        <v/>
      </c>
      <c r="D3491">
        <v>30</v>
      </c>
      <c r="E3491">
        <v>35</v>
      </c>
      <c r="F3491" s="366">
        <f t="shared" si="453"/>
        <v>759.5</v>
      </c>
      <c r="G3491" s="97">
        <v>2049</v>
      </c>
      <c r="H3491" s="367">
        <f t="shared" si="457"/>
        <v>2808.5</v>
      </c>
      <c r="I3491" s="368">
        <f t="shared" si="458"/>
        <v>0</v>
      </c>
      <c r="J3491">
        <v>7971</v>
      </c>
      <c r="K3491" s="367">
        <f t="shared" si="462"/>
        <v>5693.5714285714284</v>
      </c>
      <c r="L3491" s="607">
        <v>0.61</v>
      </c>
      <c r="M3491">
        <v>5.6</v>
      </c>
      <c r="N3491" s="381">
        <v>25</v>
      </c>
      <c r="O3491">
        <v>6</v>
      </c>
      <c r="P3491" t="s">
        <v>512</v>
      </c>
      <c r="Q3491" s="97" t="str">
        <f t="shared" si="459"/>
        <v/>
      </c>
      <c r="R3491" t="str">
        <f t="shared" si="460"/>
        <v/>
      </c>
    </row>
    <row r="3492" spans="3:18">
      <c r="C3492" t="str">
        <f t="shared" si="461"/>
        <v/>
      </c>
      <c r="D3492">
        <v>31</v>
      </c>
      <c r="E3492">
        <v>35</v>
      </c>
      <c r="F3492" s="366">
        <f t="shared" si="453"/>
        <v>759.5</v>
      </c>
      <c r="G3492" s="97">
        <v>2451</v>
      </c>
      <c r="H3492" s="367">
        <f t="shared" si="457"/>
        <v>3210.5</v>
      </c>
      <c r="I3492" s="368">
        <f t="shared" si="458"/>
        <v>0</v>
      </c>
      <c r="J3492">
        <v>9531</v>
      </c>
      <c r="K3492" s="367">
        <f t="shared" si="462"/>
        <v>6807.8571428571431</v>
      </c>
      <c r="L3492" s="607">
        <v>0.14000000000000001</v>
      </c>
      <c r="M3492">
        <v>7.3999999999999995</v>
      </c>
      <c r="N3492" s="381">
        <v>15</v>
      </c>
      <c r="O3492">
        <v>8</v>
      </c>
      <c r="P3492" t="s">
        <v>513</v>
      </c>
      <c r="Q3492" s="97">
        <f t="shared" si="459"/>
        <v>31</v>
      </c>
      <c r="R3492" t="str">
        <f t="shared" si="460"/>
        <v/>
      </c>
    </row>
    <row r="3493" spans="3:18">
      <c r="C3493" t="str">
        <f t="shared" si="461"/>
        <v/>
      </c>
      <c r="D3493">
        <v>32</v>
      </c>
      <c r="E3493">
        <v>35</v>
      </c>
      <c r="F3493" s="366">
        <f t="shared" si="453"/>
        <v>759.5</v>
      </c>
      <c r="G3493" s="97">
        <v>2114</v>
      </c>
      <c r="H3493" s="367">
        <f t="shared" si="457"/>
        <v>2873.5</v>
      </c>
      <c r="I3493" s="368">
        <f t="shared" si="458"/>
        <v>0</v>
      </c>
      <c r="J3493">
        <v>8221</v>
      </c>
      <c r="K3493" s="367">
        <f t="shared" si="462"/>
        <v>5872.1428571428569</v>
      </c>
      <c r="L3493" s="607">
        <v>0.33</v>
      </c>
      <c r="M3493">
        <v>7.3999999999999995</v>
      </c>
      <c r="N3493" s="381">
        <v>21</v>
      </c>
      <c r="O3493">
        <v>8</v>
      </c>
      <c r="P3493" t="s">
        <v>512</v>
      </c>
      <c r="Q3493" s="97" t="str">
        <f t="shared" si="459"/>
        <v/>
      </c>
      <c r="R3493" t="str">
        <f t="shared" si="460"/>
        <v/>
      </c>
    </row>
    <row r="3494" spans="3:18">
      <c r="C3494" t="str">
        <f t="shared" si="461"/>
        <v/>
      </c>
      <c r="D3494">
        <v>33</v>
      </c>
      <c r="E3494">
        <v>40</v>
      </c>
      <c r="F3494" s="366">
        <f t="shared" si="453"/>
        <v>868</v>
      </c>
      <c r="G3494" s="97">
        <v>1515</v>
      </c>
      <c r="H3494" s="367">
        <f t="shared" si="457"/>
        <v>2383</v>
      </c>
      <c r="I3494" s="368">
        <f t="shared" si="458"/>
        <v>0</v>
      </c>
      <c r="J3494">
        <v>5893</v>
      </c>
      <c r="K3494" s="367">
        <f t="shared" si="462"/>
        <v>4209.2857142857147</v>
      </c>
      <c r="L3494" s="607">
        <v>0.39</v>
      </c>
      <c r="M3494">
        <v>2.1</v>
      </c>
      <c r="N3494" s="381">
        <v>22</v>
      </c>
      <c r="O3494">
        <v>2</v>
      </c>
      <c r="P3494" t="s">
        <v>515</v>
      </c>
      <c r="Q3494" s="97" t="str">
        <f t="shared" si="459"/>
        <v/>
      </c>
      <c r="R3494" t="str">
        <f t="shared" si="460"/>
        <v/>
      </c>
    </row>
    <row r="3495" spans="3:18">
      <c r="C3495" t="str">
        <f t="shared" si="461"/>
        <v/>
      </c>
      <c r="D3495">
        <v>34</v>
      </c>
      <c r="E3495">
        <v>40</v>
      </c>
      <c r="F3495" s="366">
        <f t="shared" si="453"/>
        <v>868</v>
      </c>
      <c r="G3495" s="97">
        <v>2524</v>
      </c>
      <c r="H3495" s="367">
        <f t="shared" si="457"/>
        <v>3392</v>
      </c>
      <c r="I3495" s="368">
        <f t="shared" si="458"/>
        <v>0</v>
      </c>
      <c r="J3495">
        <v>9817</v>
      </c>
      <c r="K3495" s="367">
        <f t="shared" si="462"/>
        <v>7012.1428571428569</v>
      </c>
      <c r="L3495" s="607">
        <v>0.8</v>
      </c>
      <c r="M3495">
        <v>3.9</v>
      </c>
      <c r="N3495" s="381">
        <v>25</v>
      </c>
      <c r="O3495">
        <v>4</v>
      </c>
      <c r="P3495" t="s">
        <v>513</v>
      </c>
      <c r="Q3495" s="97" t="str">
        <f t="shared" si="459"/>
        <v/>
      </c>
      <c r="R3495" t="str">
        <f t="shared" si="460"/>
        <v/>
      </c>
    </row>
    <row r="3496" spans="3:18">
      <c r="C3496" t="str">
        <f t="shared" si="461"/>
        <v/>
      </c>
      <c r="D3496">
        <v>35</v>
      </c>
      <c r="E3496">
        <v>40</v>
      </c>
      <c r="F3496" s="366">
        <f t="shared" si="453"/>
        <v>868</v>
      </c>
      <c r="G3496" s="97">
        <v>1940</v>
      </c>
      <c r="H3496" s="367">
        <f t="shared" si="457"/>
        <v>2808</v>
      </c>
      <c r="I3496" s="368">
        <f t="shared" si="458"/>
        <v>0</v>
      </c>
      <c r="J3496">
        <v>7547</v>
      </c>
      <c r="K3496" s="367">
        <f t="shared" si="462"/>
        <v>5390.7142857142862</v>
      </c>
      <c r="L3496" s="607">
        <v>0.23</v>
      </c>
      <c r="M3496">
        <v>3.9</v>
      </c>
      <c r="N3496" s="381">
        <v>19</v>
      </c>
      <c r="O3496">
        <v>4</v>
      </c>
      <c r="P3496" t="s">
        <v>514</v>
      </c>
      <c r="Q3496" s="97" t="str">
        <f t="shared" si="459"/>
        <v/>
      </c>
      <c r="R3496" t="str">
        <f t="shared" si="460"/>
        <v/>
      </c>
    </row>
    <row r="3497" spans="3:18">
      <c r="C3497" t="str">
        <f t="shared" si="461"/>
        <v/>
      </c>
      <c r="D3497">
        <v>36</v>
      </c>
      <c r="E3497">
        <v>40</v>
      </c>
      <c r="F3497" s="366">
        <f t="shared" si="453"/>
        <v>868</v>
      </c>
      <c r="G3497" s="97">
        <v>2673</v>
      </c>
      <c r="H3497" s="367">
        <f t="shared" si="457"/>
        <v>3541</v>
      </c>
      <c r="I3497" s="368">
        <f t="shared" si="458"/>
        <v>0</v>
      </c>
      <c r="J3497">
        <v>10396</v>
      </c>
      <c r="K3497" s="367">
        <f t="shared" si="462"/>
        <v>7425.7142857142862</v>
      </c>
      <c r="L3497" s="607">
        <v>0.32</v>
      </c>
      <c r="M3497">
        <v>5.6</v>
      </c>
      <c r="N3497" s="381">
        <v>19</v>
      </c>
      <c r="O3497">
        <v>6</v>
      </c>
      <c r="P3497" t="s">
        <v>513</v>
      </c>
      <c r="Q3497" s="97">
        <f t="shared" si="459"/>
        <v>36</v>
      </c>
      <c r="R3497" t="str">
        <f t="shared" si="460"/>
        <v/>
      </c>
    </row>
    <row r="3498" spans="3:18">
      <c r="C3498" t="str">
        <f t="shared" si="461"/>
        <v/>
      </c>
      <c r="D3498">
        <v>37</v>
      </c>
      <c r="E3498">
        <v>40</v>
      </c>
      <c r="F3498" s="366">
        <f t="shared" si="453"/>
        <v>868</v>
      </c>
      <c r="G3498" s="97">
        <v>2285</v>
      </c>
      <c r="H3498" s="367">
        <f t="shared" si="457"/>
        <v>3153</v>
      </c>
      <c r="I3498" s="368">
        <f t="shared" si="458"/>
        <v>0</v>
      </c>
      <c r="J3498">
        <v>8889</v>
      </c>
      <c r="K3498" s="367">
        <f t="shared" si="462"/>
        <v>6349.2857142857147</v>
      </c>
      <c r="L3498" s="607">
        <v>0.8</v>
      </c>
      <c r="M3498">
        <v>5.6</v>
      </c>
      <c r="N3498" s="381">
        <v>26</v>
      </c>
      <c r="O3498">
        <v>6</v>
      </c>
      <c r="P3498" t="s">
        <v>512</v>
      </c>
      <c r="Q3498" s="97" t="str">
        <f t="shared" si="459"/>
        <v/>
      </c>
      <c r="R3498" t="str">
        <f t="shared" si="460"/>
        <v/>
      </c>
    </row>
    <row r="3499" spans="3:18">
      <c r="C3499" t="str">
        <f t="shared" si="461"/>
        <v/>
      </c>
      <c r="D3499">
        <v>38</v>
      </c>
      <c r="E3499">
        <v>40</v>
      </c>
      <c r="F3499" s="366">
        <f t="shared" si="453"/>
        <v>868</v>
      </c>
      <c r="G3499" s="97">
        <v>2749</v>
      </c>
      <c r="H3499" s="367">
        <f t="shared" si="457"/>
        <v>3617</v>
      </c>
      <c r="I3499" s="368">
        <f t="shared" si="458"/>
        <v>0</v>
      </c>
      <c r="J3499">
        <v>10691</v>
      </c>
      <c r="K3499" s="367">
        <f t="shared" si="462"/>
        <v>7636.4285714285716</v>
      </c>
      <c r="L3499" s="607">
        <v>0.18000000000000002</v>
      </c>
      <c r="M3499">
        <v>7.3999999999999995</v>
      </c>
      <c r="N3499" s="381">
        <v>16</v>
      </c>
      <c r="O3499">
        <v>8</v>
      </c>
      <c r="P3499" t="s">
        <v>513</v>
      </c>
      <c r="Q3499" s="97">
        <f t="shared" si="459"/>
        <v>38</v>
      </c>
      <c r="R3499" t="str">
        <f t="shared" si="460"/>
        <v/>
      </c>
    </row>
    <row r="3500" spans="3:18">
      <c r="C3500" t="str">
        <f t="shared" si="461"/>
        <v/>
      </c>
      <c r="D3500">
        <v>39</v>
      </c>
      <c r="E3500">
        <v>40</v>
      </c>
      <c r="F3500" s="366">
        <f t="shared" si="453"/>
        <v>868</v>
      </c>
      <c r="G3500" s="97">
        <v>2367</v>
      </c>
      <c r="H3500" s="367">
        <f t="shared" si="457"/>
        <v>3235</v>
      </c>
      <c r="I3500" s="368">
        <f t="shared" si="458"/>
        <v>0</v>
      </c>
      <c r="J3500">
        <v>9208</v>
      </c>
      <c r="K3500" s="367">
        <f t="shared" si="462"/>
        <v>6577.1428571428569</v>
      </c>
      <c r="L3500" s="607">
        <v>0.43</v>
      </c>
      <c r="M3500">
        <v>7.3999999999999995</v>
      </c>
      <c r="N3500" s="381">
        <v>22</v>
      </c>
      <c r="O3500">
        <v>8</v>
      </c>
      <c r="P3500" t="s">
        <v>512</v>
      </c>
      <c r="Q3500" s="97">
        <f t="shared" si="459"/>
        <v>39</v>
      </c>
      <c r="R3500" t="str">
        <f t="shared" si="460"/>
        <v/>
      </c>
    </row>
    <row r="3501" spans="3:18">
      <c r="C3501" t="str">
        <f t="shared" si="461"/>
        <v/>
      </c>
      <c r="D3501">
        <v>40</v>
      </c>
      <c r="E3501">
        <v>45</v>
      </c>
      <c r="F3501" s="366">
        <f t="shared" si="453"/>
        <v>976.5</v>
      </c>
      <c r="G3501" s="97">
        <v>1665</v>
      </c>
      <c r="H3501" s="367">
        <f t="shared" si="457"/>
        <v>2641.5</v>
      </c>
      <c r="I3501" s="368">
        <f t="shared" si="458"/>
        <v>0</v>
      </c>
      <c r="J3501">
        <v>6475</v>
      </c>
      <c r="K3501" s="367">
        <f t="shared" si="462"/>
        <v>4625</v>
      </c>
      <c r="L3501" s="607">
        <v>0.49</v>
      </c>
      <c r="M3501">
        <v>2.1</v>
      </c>
      <c r="N3501" s="381">
        <v>23</v>
      </c>
      <c r="O3501">
        <v>2</v>
      </c>
      <c r="P3501" t="s">
        <v>515</v>
      </c>
      <c r="Q3501" s="97" t="str">
        <f t="shared" si="459"/>
        <v/>
      </c>
      <c r="R3501" t="str">
        <f t="shared" si="460"/>
        <v/>
      </c>
    </row>
    <row r="3502" spans="3:18">
      <c r="C3502" t="str">
        <f t="shared" si="461"/>
        <v/>
      </c>
      <c r="D3502">
        <v>41</v>
      </c>
      <c r="E3502">
        <v>45</v>
      </c>
      <c r="F3502" s="366">
        <f t="shared" si="453"/>
        <v>976.5</v>
      </c>
      <c r="G3502" s="97">
        <v>2775</v>
      </c>
      <c r="H3502" s="367">
        <f t="shared" si="457"/>
        <v>3751.5</v>
      </c>
      <c r="I3502" s="368">
        <f t="shared" si="458"/>
        <v>0</v>
      </c>
      <c r="J3502">
        <v>10792</v>
      </c>
      <c r="K3502" s="367">
        <f t="shared" si="462"/>
        <v>7708.5714285714284</v>
      </c>
      <c r="L3502" s="607">
        <v>1.01</v>
      </c>
      <c r="M3502">
        <v>3.9</v>
      </c>
      <c r="N3502" s="381">
        <v>26</v>
      </c>
      <c r="O3502">
        <v>4</v>
      </c>
      <c r="P3502" t="s">
        <v>513</v>
      </c>
      <c r="Q3502" s="97" t="str">
        <f t="shared" si="459"/>
        <v/>
      </c>
      <c r="R3502" t="str">
        <f t="shared" si="460"/>
        <v/>
      </c>
    </row>
    <row r="3503" spans="3:18">
      <c r="C3503" t="str">
        <f t="shared" si="461"/>
        <v/>
      </c>
      <c r="D3503">
        <v>42</v>
      </c>
      <c r="E3503">
        <v>45</v>
      </c>
      <c r="F3503" s="366">
        <f t="shared" si="453"/>
        <v>976.5</v>
      </c>
      <c r="G3503" s="97">
        <v>2148</v>
      </c>
      <c r="H3503" s="367">
        <f t="shared" si="457"/>
        <v>3124.5</v>
      </c>
      <c r="I3503" s="368">
        <f t="shared" si="458"/>
        <v>0</v>
      </c>
      <c r="J3503">
        <v>8354</v>
      </c>
      <c r="K3503" s="367">
        <f t="shared" si="462"/>
        <v>5967.1428571428569</v>
      </c>
      <c r="L3503" s="607">
        <v>0.3</v>
      </c>
      <c r="M3503">
        <v>3.9</v>
      </c>
      <c r="N3503" s="381">
        <v>20</v>
      </c>
      <c r="O3503">
        <v>4</v>
      </c>
      <c r="P3503" t="s">
        <v>514</v>
      </c>
      <c r="Q3503" s="97">
        <f t="shared" si="459"/>
        <v>42</v>
      </c>
      <c r="R3503" t="str">
        <f t="shared" si="460"/>
        <v/>
      </c>
    </row>
    <row r="3504" spans="3:18">
      <c r="C3504" t="str">
        <f t="shared" si="461"/>
        <v/>
      </c>
      <c r="D3504">
        <v>43</v>
      </c>
      <c r="E3504">
        <v>45</v>
      </c>
      <c r="F3504" s="366">
        <f t="shared" si="453"/>
        <v>976.5</v>
      </c>
      <c r="G3504" s="97">
        <v>2956</v>
      </c>
      <c r="H3504" s="367">
        <f t="shared" si="457"/>
        <v>3932.5</v>
      </c>
      <c r="I3504" s="368">
        <f t="shared" si="458"/>
        <v>0</v>
      </c>
      <c r="J3504">
        <v>11497</v>
      </c>
      <c r="K3504" s="367">
        <f t="shared" si="462"/>
        <v>8212.1428571428569</v>
      </c>
      <c r="L3504" s="607">
        <v>0.41000000000000003</v>
      </c>
      <c r="M3504">
        <v>5.6</v>
      </c>
      <c r="N3504" s="381">
        <v>21</v>
      </c>
      <c r="O3504">
        <v>6</v>
      </c>
      <c r="P3504" t="s">
        <v>513</v>
      </c>
      <c r="Q3504" s="97">
        <f t="shared" si="459"/>
        <v>43</v>
      </c>
      <c r="R3504" t="str">
        <f t="shared" si="460"/>
        <v/>
      </c>
    </row>
    <row r="3505" spans="3:18">
      <c r="C3505" t="str">
        <f t="shared" si="461"/>
        <v/>
      </c>
      <c r="D3505">
        <v>44</v>
      </c>
      <c r="E3505">
        <v>45</v>
      </c>
      <c r="F3505" s="366">
        <f t="shared" si="453"/>
        <v>976.5</v>
      </c>
      <c r="G3505" s="97">
        <v>2515</v>
      </c>
      <c r="H3505" s="367">
        <f t="shared" si="457"/>
        <v>3491.5</v>
      </c>
      <c r="I3505" s="368">
        <f t="shared" si="458"/>
        <v>0</v>
      </c>
      <c r="J3505">
        <v>9780</v>
      </c>
      <c r="K3505" s="367">
        <f t="shared" si="462"/>
        <v>6985.7142857142862</v>
      </c>
      <c r="L3505" s="607">
        <v>1.01</v>
      </c>
      <c r="M3505">
        <v>5.6</v>
      </c>
      <c r="N3505" s="381">
        <v>28</v>
      </c>
      <c r="O3505">
        <v>6</v>
      </c>
      <c r="P3505" t="s">
        <v>512</v>
      </c>
      <c r="Q3505" s="97" t="str">
        <f t="shared" si="459"/>
        <v/>
      </c>
      <c r="R3505" t="str">
        <f t="shared" si="460"/>
        <v/>
      </c>
    </row>
    <row r="3506" spans="3:18">
      <c r="C3506" t="str">
        <f t="shared" si="461"/>
        <v/>
      </c>
      <c r="D3506">
        <v>45</v>
      </c>
      <c r="E3506">
        <v>45</v>
      </c>
      <c r="F3506" s="366">
        <f t="shared" si="453"/>
        <v>976.5</v>
      </c>
      <c r="G3506" s="97">
        <v>3047</v>
      </c>
      <c r="H3506" s="367">
        <f t="shared" si="457"/>
        <v>4023.5</v>
      </c>
      <c r="I3506" s="368">
        <f t="shared" si="458"/>
        <v>0</v>
      </c>
      <c r="J3506">
        <v>11851</v>
      </c>
      <c r="K3506" s="367">
        <f t="shared" si="462"/>
        <v>8465</v>
      </c>
      <c r="L3506" s="607">
        <v>0.23</v>
      </c>
      <c r="M3506">
        <v>7.3999999999999995</v>
      </c>
      <c r="N3506" s="381">
        <v>17</v>
      </c>
      <c r="O3506">
        <v>8</v>
      </c>
      <c r="P3506" t="s">
        <v>513</v>
      </c>
      <c r="Q3506" s="97">
        <f t="shared" si="459"/>
        <v>45</v>
      </c>
      <c r="R3506" t="str">
        <f t="shared" si="460"/>
        <v/>
      </c>
    </row>
    <row r="3507" spans="3:18">
      <c r="C3507" t="str">
        <f t="shared" si="461"/>
        <v/>
      </c>
      <c r="D3507">
        <v>46</v>
      </c>
      <c r="E3507">
        <v>45</v>
      </c>
      <c r="F3507" s="366">
        <f t="shared" ref="F3507:F3570" si="463">1.085*($A$2-$B$2)*E3507*$T$7</f>
        <v>976.5</v>
      </c>
      <c r="G3507" s="97">
        <v>2612</v>
      </c>
      <c r="H3507" s="367">
        <f t="shared" si="457"/>
        <v>3588.5</v>
      </c>
      <c r="I3507" s="368">
        <f t="shared" si="458"/>
        <v>0</v>
      </c>
      <c r="J3507">
        <v>10160</v>
      </c>
      <c r="K3507" s="367">
        <f t="shared" si="462"/>
        <v>7257.1428571428569</v>
      </c>
      <c r="L3507" s="607">
        <v>0.54</v>
      </c>
      <c r="M3507">
        <v>7.3999999999999995</v>
      </c>
      <c r="N3507" s="381">
        <v>24</v>
      </c>
      <c r="O3507">
        <v>8</v>
      </c>
      <c r="P3507" t="s">
        <v>512</v>
      </c>
      <c r="Q3507" s="97">
        <f t="shared" si="459"/>
        <v>46</v>
      </c>
      <c r="R3507" t="str">
        <f t="shared" si="460"/>
        <v/>
      </c>
    </row>
    <row r="3508" spans="3:18">
      <c r="C3508" t="str">
        <f t="shared" si="461"/>
        <v/>
      </c>
      <c r="D3508">
        <v>47</v>
      </c>
      <c r="E3508">
        <v>50</v>
      </c>
      <c r="F3508" s="366">
        <f t="shared" si="463"/>
        <v>1085</v>
      </c>
      <c r="G3508" s="97">
        <v>1809</v>
      </c>
      <c r="H3508" s="367">
        <f t="shared" si="457"/>
        <v>2894</v>
      </c>
      <c r="I3508" s="368">
        <f t="shared" si="458"/>
        <v>0</v>
      </c>
      <c r="J3508">
        <v>7035</v>
      </c>
      <c r="K3508" s="367">
        <f t="shared" si="462"/>
        <v>5025</v>
      </c>
      <c r="L3508" s="607">
        <v>0.6</v>
      </c>
      <c r="M3508">
        <v>2.1</v>
      </c>
      <c r="N3508" s="381">
        <v>25</v>
      </c>
      <c r="O3508">
        <v>2</v>
      </c>
      <c r="P3508" t="s">
        <v>515</v>
      </c>
      <c r="Q3508" s="97" t="str">
        <f t="shared" si="459"/>
        <v/>
      </c>
      <c r="R3508" t="str">
        <f t="shared" si="460"/>
        <v/>
      </c>
    </row>
    <row r="3509" spans="3:18">
      <c r="C3509" t="str">
        <f t="shared" si="461"/>
        <v/>
      </c>
      <c r="D3509">
        <v>48</v>
      </c>
      <c r="E3509">
        <v>50</v>
      </c>
      <c r="F3509" s="366">
        <f t="shared" si="463"/>
        <v>1085</v>
      </c>
      <c r="G3509" s="97">
        <v>2352</v>
      </c>
      <c r="H3509" s="367">
        <f t="shared" si="457"/>
        <v>3437</v>
      </c>
      <c r="I3509" s="368">
        <f t="shared" si="458"/>
        <v>0</v>
      </c>
      <c r="J3509">
        <v>9147</v>
      </c>
      <c r="K3509" s="367">
        <f t="shared" si="462"/>
        <v>6533.5714285714284</v>
      </c>
      <c r="L3509" s="607">
        <v>0.36</v>
      </c>
      <c r="M3509">
        <v>3.9</v>
      </c>
      <c r="N3509" s="381">
        <v>21</v>
      </c>
      <c r="O3509">
        <v>4</v>
      </c>
      <c r="P3509" t="s">
        <v>514</v>
      </c>
      <c r="Q3509" s="97">
        <f t="shared" si="459"/>
        <v>48</v>
      </c>
      <c r="R3509" t="str">
        <f t="shared" si="460"/>
        <v/>
      </c>
    </row>
    <row r="3510" spans="3:18">
      <c r="C3510" t="str">
        <f t="shared" si="461"/>
        <v/>
      </c>
      <c r="D3510">
        <v>49</v>
      </c>
      <c r="E3510">
        <v>50</v>
      </c>
      <c r="F3510" s="366">
        <f t="shared" si="463"/>
        <v>1085</v>
      </c>
      <c r="G3510" s="97">
        <v>3223</v>
      </c>
      <c r="H3510" s="367">
        <f t="shared" si="457"/>
        <v>4308</v>
      </c>
      <c r="I3510" s="368">
        <f t="shared" si="458"/>
        <v>0</v>
      </c>
      <c r="J3510">
        <v>12536</v>
      </c>
      <c r="K3510" s="367">
        <f t="shared" si="462"/>
        <v>8954.2857142857138</v>
      </c>
      <c r="L3510" s="607">
        <v>0.5</v>
      </c>
      <c r="M3510">
        <v>5.6</v>
      </c>
      <c r="N3510" s="381">
        <v>22</v>
      </c>
      <c r="O3510">
        <v>6</v>
      </c>
      <c r="P3510" t="s">
        <v>513</v>
      </c>
      <c r="Q3510" s="97">
        <f t="shared" si="459"/>
        <v>49</v>
      </c>
      <c r="R3510" t="str">
        <f t="shared" si="460"/>
        <v/>
      </c>
    </row>
    <row r="3511" spans="3:18">
      <c r="C3511" t="str">
        <f t="shared" si="461"/>
        <v/>
      </c>
      <c r="D3511">
        <v>50</v>
      </c>
      <c r="E3511">
        <v>50</v>
      </c>
      <c r="F3511" s="366">
        <f t="shared" si="463"/>
        <v>1085</v>
      </c>
      <c r="G3511" s="97">
        <v>2459</v>
      </c>
      <c r="H3511" s="367">
        <f t="shared" si="457"/>
        <v>3544</v>
      </c>
      <c r="I3511" s="368">
        <f t="shared" si="458"/>
        <v>0</v>
      </c>
      <c r="J3511">
        <v>9565</v>
      </c>
      <c r="K3511" s="367">
        <f t="shared" si="462"/>
        <v>6832.1428571428569</v>
      </c>
      <c r="L3511" s="607">
        <v>0.16</v>
      </c>
      <c r="M3511">
        <v>5.6</v>
      </c>
      <c r="N3511" s="381">
        <v>16</v>
      </c>
      <c r="O3511">
        <v>6</v>
      </c>
      <c r="P3511" t="s">
        <v>514</v>
      </c>
      <c r="Q3511" s="97">
        <f t="shared" si="459"/>
        <v>50</v>
      </c>
      <c r="R3511" t="str">
        <f t="shared" si="460"/>
        <v/>
      </c>
    </row>
    <row r="3512" spans="3:18">
      <c r="C3512" t="str">
        <f t="shared" si="461"/>
        <v/>
      </c>
      <c r="D3512">
        <v>51</v>
      </c>
      <c r="E3512">
        <v>50</v>
      </c>
      <c r="F3512" s="366">
        <f t="shared" si="463"/>
        <v>1085</v>
      </c>
      <c r="G3512" s="97">
        <v>3338</v>
      </c>
      <c r="H3512" s="367">
        <f t="shared" si="457"/>
        <v>4423</v>
      </c>
      <c r="I3512" s="368">
        <f t="shared" si="458"/>
        <v>0</v>
      </c>
      <c r="J3512">
        <v>12984</v>
      </c>
      <c r="K3512" s="367">
        <f t="shared" si="462"/>
        <v>9274.2857142857138</v>
      </c>
      <c r="L3512" s="607">
        <v>0.28000000000000003</v>
      </c>
      <c r="M3512">
        <v>7.3999999999999995</v>
      </c>
      <c r="N3512" s="381">
        <v>19</v>
      </c>
      <c r="O3512">
        <v>8</v>
      </c>
      <c r="P3512" t="s">
        <v>513</v>
      </c>
      <c r="Q3512" s="97">
        <f t="shared" si="459"/>
        <v>51</v>
      </c>
      <c r="R3512" t="str">
        <f t="shared" si="460"/>
        <v/>
      </c>
    </row>
    <row r="3513" spans="3:18">
      <c r="C3513" t="str">
        <f t="shared" si="461"/>
        <v/>
      </c>
      <c r="D3513">
        <v>52</v>
      </c>
      <c r="E3513">
        <v>50</v>
      </c>
      <c r="F3513" s="366">
        <f t="shared" si="463"/>
        <v>1085</v>
      </c>
      <c r="G3513" s="97">
        <v>2851</v>
      </c>
      <c r="H3513" s="367">
        <f t="shared" si="457"/>
        <v>3936</v>
      </c>
      <c r="I3513" s="368">
        <f t="shared" si="458"/>
        <v>0</v>
      </c>
      <c r="J3513">
        <v>11088</v>
      </c>
      <c r="K3513" s="367">
        <f t="shared" si="462"/>
        <v>7920</v>
      </c>
      <c r="L3513" s="607">
        <v>0.67</v>
      </c>
      <c r="M3513">
        <v>7.3999999999999995</v>
      </c>
      <c r="N3513" s="381">
        <v>25</v>
      </c>
      <c r="O3513">
        <v>8</v>
      </c>
      <c r="P3513" t="s">
        <v>512</v>
      </c>
      <c r="Q3513" s="97">
        <f t="shared" si="459"/>
        <v>52</v>
      </c>
      <c r="R3513" t="str">
        <f t="shared" si="460"/>
        <v/>
      </c>
    </row>
    <row r="3514" spans="3:18">
      <c r="C3514" t="str">
        <f t="shared" si="461"/>
        <v/>
      </c>
      <c r="D3514">
        <v>53</v>
      </c>
      <c r="E3514">
        <v>55</v>
      </c>
      <c r="F3514" s="366">
        <f t="shared" si="463"/>
        <v>1193.5</v>
      </c>
      <c r="G3514" s="97">
        <v>1947</v>
      </c>
      <c r="H3514" s="367">
        <f t="shared" si="457"/>
        <v>3140.5</v>
      </c>
      <c r="I3514" s="368">
        <f t="shared" si="458"/>
        <v>0</v>
      </c>
      <c r="J3514">
        <v>7575</v>
      </c>
      <c r="K3514" s="367">
        <f t="shared" si="462"/>
        <v>5410.7142857142862</v>
      </c>
      <c r="L3514" s="607">
        <v>0.73</v>
      </c>
      <c r="M3514">
        <v>2.1</v>
      </c>
      <c r="N3514" s="381">
        <v>26</v>
      </c>
      <c r="O3514">
        <v>2</v>
      </c>
      <c r="P3514" t="s">
        <v>515</v>
      </c>
      <c r="Q3514" s="97" t="str">
        <f t="shared" si="459"/>
        <v/>
      </c>
      <c r="R3514" t="str">
        <f t="shared" si="460"/>
        <v/>
      </c>
    </row>
    <row r="3515" spans="3:18">
      <c r="C3515" t="str">
        <f t="shared" si="461"/>
        <v/>
      </c>
      <c r="D3515">
        <v>54</v>
      </c>
      <c r="E3515">
        <v>55</v>
      </c>
      <c r="F3515" s="366">
        <f t="shared" si="463"/>
        <v>1193.5</v>
      </c>
      <c r="G3515" s="97">
        <v>2546</v>
      </c>
      <c r="H3515" s="367">
        <f t="shared" si="457"/>
        <v>3739.5</v>
      </c>
      <c r="I3515" s="368">
        <f t="shared" si="458"/>
        <v>0</v>
      </c>
      <c r="J3515">
        <v>9902</v>
      </c>
      <c r="K3515" s="367">
        <f t="shared" si="462"/>
        <v>7072.8571428571431</v>
      </c>
      <c r="L3515" s="607">
        <v>0.44</v>
      </c>
      <c r="M3515">
        <v>3.9</v>
      </c>
      <c r="N3515" s="381">
        <v>23</v>
      </c>
      <c r="O3515">
        <v>4</v>
      </c>
      <c r="P3515" t="s">
        <v>514</v>
      </c>
      <c r="Q3515" s="97">
        <f t="shared" si="459"/>
        <v>54</v>
      </c>
      <c r="R3515" t="str">
        <f t="shared" si="460"/>
        <v/>
      </c>
    </row>
    <row r="3516" spans="3:18">
      <c r="C3516" t="str">
        <f t="shared" si="461"/>
        <v/>
      </c>
      <c r="D3516">
        <v>55</v>
      </c>
      <c r="E3516">
        <v>55</v>
      </c>
      <c r="F3516" s="366">
        <f t="shared" si="463"/>
        <v>1193.5</v>
      </c>
      <c r="G3516" s="97">
        <v>2225</v>
      </c>
      <c r="H3516" s="367">
        <f t="shared" si="457"/>
        <v>3418.5</v>
      </c>
      <c r="I3516" s="368">
        <f t="shared" si="458"/>
        <v>0</v>
      </c>
      <c r="J3516">
        <v>8653</v>
      </c>
      <c r="K3516" s="367">
        <f t="shared" si="462"/>
        <v>6180.7142857142862</v>
      </c>
      <c r="L3516" s="607">
        <v>0.16</v>
      </c>
      <c r="M3516">
        <v>3.9</v>
      </c>
      <c r="N3516" s="381">
        <v>18</v>
      </c>
      <c r="O3516">
        <v>4</v>
      </c>
      <c r="P3516" t="s">
        <v>515</v>
      </c>
      <c r="Q3516" s="97">
        <f t="shared" si="459"/>
        <v>55</v>
      </c>
      <c r="R3516" t="str">
        <f t="shared" si="460"/>
        <v/>
      </c>
    </row>
    <row r="3517" spans="3:18">
      <c r="C3517" t="str">
        <f t="shared" si="461"/>
        <v/>
      </c>
      <c r="D3517">
        <v>56</v>
      </c>
      <c r="E3517">
        <v>55</v>
      </c>
      <c r="F3517" s="366">
        <f t="shared" si="463"/>
        <v>1193.5</v>
      </c>
      <c r="G3517" s="97">
        <v>3487</v>
      </c>
      <c r="H3517" s="367">
        <f t="shared" si="457"/>
        <v>4680.5</v>
      </c>
      <c r="I3517" s="368">
        <f t="shared" si="458"/>
        <v>0</v>
      </c>
      <c r="J3517">
        <v>13562</v>
      </c>
      <c r="K3517" s="367">
        <f t="shared" si="462"/>
        <v>9687.1428571428569</v>
      </c>
      <c r="L3517" s="607">
        <v>0.61</v>
      </c>
      <c r="M3517">
        <v>5.6</v>
      </c>
      <c r="N3517" s="381">
        <v>23</v>
      </c>
      <c r="O3517">
        <v>6</v>
      </c>
      <c r="P3517" t="s">
        <v>513</v>
      </c>
      <c r="Q3517" s="97">
        <f t="shared" si="459"/>
        <v>56</v>
      </c>
      <c r="R3517" t="str">
        <f t="shared" si="460"/>
        <v/>
      </c>
    </row>
    <row r="3518" spans="3:18">
      <c r="C3518" t="str">
        <f t="shared" si="461"/>
        <v/>
      </c>
      <c r="D3518">
        <v>57</v>
      </c>
      <c r="E3518">
        <v>55</v>
      </c>
      <c r="F3518" s="366">
        <f t="shared" si="463"/>
        <v>1193.5</v>
      </c>
      <c r="G3518" s="97">
        <v>2676</v>
      </c>
      <c r="H3518" s="367">
        <f t="shared" si="457"/>
        <v>3869.5</v>
      </c>
      <c r="I3518" s="368">
        <f t="shared" si="458"/>
        <v>0</v>
      </c>
      <c r="J3518">
        <v>10409</v>
      </c>
      <c r="K3518" s="367">
        <f t="shared" si="462"/>
        <v>7435</v>
      </c>
      <c r="L3518" s="607">
        <v>0.19</v>
      </c>
      <c r="M3518">
        <v>5.6</v>
      </c>
      <c r="N3518" s="381">
        <v>17</v>
      </c>
      <c r="O3518">
        <v>6</v>
      </c>
      <c r="P3518" t="s">
        <v>514</v>
      </c>
      <c r="Q3518" s="97">
        <f t="shared" si="459"/>
        <v>57</v>
      </c>
      <c r="R3518" t="str">
        <f t="shared" si="460"/>
        <v/>
      </c>
    </row>
    <row r="3519" spans="3:18">
      <c r="C3519" t="str">
        <f t="shared" si="461"/>
        <v/>
      </c>
      <c r="D3519">
        <v>58</v>
      </c>
      <c r="E3519">
        <v>55</v>
      </c>
      <c r="F3519" s="366">
        <f t="shared" si="463"/>
        <v>1193.5</v>
      </c>
      <c r="G3519" s="97">
        <v>3612</v>
      </c>
      <c r="H3519" s="367">
        <f t="shared" si="457"/>
        <v>4805.5</v>
      </c>
      <c r="I3519" s="368">
        <f t="shared" si="458"/>
        <v>0</v>
      </c>
      <c r="J3519">
        <v>14049</v>
      </c>
      <c r="K3519" s="367">
        <f t="shared" si="462"/>
        <v>10035</v>
      </c>
      <c r="L3519" s="607">
        <v>0.33</v>
      </c>
      <c r="M3519">
        <v>7.3999999999999995</v>
      </c>
      <c r="N3519" s="381">
        <v>20</v>
      </c>
      <c r="O3519">
        <v>8</v>
      </c>
      <c r="P3519" t="s">
        <v>513</v>
      </c>
      <c r="Q3519" s="97">
        <f t="shared" si="459"/>
        <v>58</v>
      </c>
      <c r="R3519" t="str">
        <f t="shared" si="460"/>
        <v/>
      </c>
    </row>
    <row r="3520" spans="3:18">
      <c r="C3520" t="str">
        <f t="shared" si="461"/>
        <v/>
      </c>
      <c r="D3520">
        <v>59</v>
      </c>
      <c r="E3520">
        <v>55</v>
      </c>
      <c r="F3520" s="366">
        <f t="shared" si="463"/>
        <v>1193.5</v>
      </c>
      <c r="G3520" s="97">
        <v>3082</v>
      </c>
      <c r="H3520" s="367">
        <f t="shared" si="457"/>
        <v>4275.5</v>
      </c>
      <c r="I3520" s="368">
        <f t="shared" si="458"/>
        <v>0</v>
      </c>
      <c r="J3520">
        <v>11989</v>
      </c>
      <c r="K3520" s="367">
        <f t="shared" si="462"/>
        <v>8563.5714285714294</v>
      </c>
      <c r="L3520" s="607">
        <v>0.8</v>
      </c>
      <c r="M3520">
        <v>7.3999999999999995</v>
      </c>
      <c r="N3520" s="381">
        <v>27</v>
      </c>
      <c r="O3520">
        <v>8</v>
      </c>
      <c r="P3520" t="s">
        <v>512</v>
      </c>
      <c r="Q3520" s="97" t="str">
        <f t="shared" si="459"/>
        <v/>
      </c>
      <c r="R3520" t="str">
        <f t="shared" si="460"/>
        <v/>
      </c>
    </row>
    <row r="3521" spans="3:18">
      <c r="C3521" t="str">
        <f t="shared" si="461"/>
        <v/>
      </c>
      <c r="D3521">
        <v>60</v>
      </c>
      <c r="E3521">
        <v>60</v>
      </c>
      <c r="F3521" s="366">
        <f t="shared" si="463"/>
        <v>1302</v>
      </c>
      <c r="G3521" s="97">
        <v>2082</v>
      </c>
      <c r="H3521" s="367">
        <f t="shared" si="457"/>
        <v>3384</v>
      </c>
      <c r="I3521" s="368">
        <f t="shared" si="458"/>
        <v>0</v>
      </c>
      <c r="J3521">
        <v>8097</v>
      </c>
      <c r="K3521" s="367">
        <f t="shared" si="462"/>
        <v>5783.5714285714284</v>
      </c>
      <c r="L3521" s="607">
        <v>0.86</v>
      </c>
      <c r="M3521">
        <v>2.1</v>
      </c>
      <c r="N3521" s="381">
        <v>27</v>
      </c>
      <c r="O3521">
        <v>2</v>
      </c>
      <c r="P3521" t="s">
        <v>515</v>
      </c>
      <c r="Q3521" s="97" t="str">
        <f t="shared" si="459"/>
        <v/>
      </c>
      <c r="R3521" t="str">
        <f t="shared" si="460"/>
        <v/>
      </c>
    </row>
    <row r="3522" spans="3:18">
      <c r="C3522" t="str">
        <f t="shared" si="461"/>
        <v/>
      </c>
      <c r="D3522">
        <v>61</v>
      </c>
      <c r="E3522">
        <v>60</v>
      </c>
      <c r="F3522" s="366">
        <f t="shared" si="463"/>
        <v>1302</v>
      </c>
      <c r="G3522" s="97">
        <v>2739</v>
      </c>
      <c r="H3522" s="367">
        <f t="shared" si="457"/>
        <v>4041</v>
      </c>
      <c r="I3522" s="368">
        <f t="shared" si="458"/>
        <v>0</v>
      </c>
      <c r="J3522">
        <v>10652</v>
      </c>
      <c r="K3522" s="367">
        <f t="shared" si="462"/>
        <v>7608.5714285714284</v>
      </c>
      <c r="L3522" s="607">
        <v>0.52</v>
      </c>
      <c r="M3522">
        <v>3.9</v>
      </c>
      <c r="N3522" s="381">
        <v>24</v>
      </c>
      <c r="O3522">
        <v>4</v>
      </c>
      <c r="P3522" t="s">
        <v>514</v>
      </c>
      <c r="Q3522" s="97">
        <f t="shared" si="459"/>
        <v>61</v>
      </c>
      <c r="R3522" t="str">
        <f t="shared" si="460"/>
        <v/>
      </c>
    </row>
    <row r="3523" spans="3:18">
      <c r="C3523" t="str">
        <f t="shared" si="461"/>
        <v/>
      </c>
      <c r="D3523">
        <v>62</v>
      </c>
      <c r="E3523">
        <v>60</v>
      </c>
      <c r="F3523" s="366">
        <f t="shared" si="463"/>
        <v>1302</v>
      </c>
      <c r="G3523" s="97">
        <v>2395</v>
      </c>
      <c r="H3523" s="367">
        <f t="shared" si="457"/>
        <v>3697</v>
      </c>
      <c r="I3523" s="368">
        <f t="shared" si="458"/>
        <v>0</v>
      </c>
      <c r="J3523">
        <v>9315</v>
      </c>
      <c r="K3523" s="367">
        <f t="shared" si="462"/>
        <v>6653.5714285714284</v>
      </c>
      <c r="L3523" s="607">
        <v>0.19</v>
      </c>
      <c r="M3523">
        <v>3.9</v>
      </c>
      <c r="N3523" s="381">
        <v>19</v>
      </c>
      <c r="O3523">
        <v>4</v>
      </c>
      <c r="P3523" t="s">
        <v>515</v>
      </c>
      <c r="Q3523" s="97">
        <f t="shared" si="459"/>
        <v>62</v>
      </c>
      <c r="R3523" t="str">
        <f t="shared" si="460"/>
        <v/>
      </c>
    </row>
    <row r="3524" spans="3:18">
      <c r="C3524" t="str">
        <f t="shared" si="461"/>
        <v/>
      </c>
      <c r="D3524">
        <v>63</v>
      </c>
      <c r="E3524">
        <v>60</v>
      </c>
      <c r="F3524" s="366">
        <f t="shared" si="463"/>
        <v>1302</v>
      </c>
      <c r="G3524" s="97">
        <v>3738</v>
      </c>
      <c r="H3524" s="367">
        <f t="shared" si="457"/>
        <v>5040</v>
      </c>
      <c r="I3524" s="368">
        <f t="shared" si="458"/>
        <v>0</v>
      </c>
      <c r="J3524">
        <v>14537</v>
      </c>
      <c r="K3524" s="367">
        <f t="shared" si="462"/>
        <v>10383.571428571429</v>
      </c>
      <c r="L3524" s="607">
        <v>0.72</v>
      </c>
      <c r="M3524">
        <v>5.6</v>
      </c>
      <c r="N3524" s="381">
        <v>25</v>
      </c>
      <c r="O3524">
        <v>6</v>
      </c>
      <c r="P3524" t="s">
        <v>513</v>
      </c>
      <c r="Q3524" s="97" t="str">
        <f t="shared" si="459"/>
        <v/>
      </c>
      <c r="R3524" t="str">
        <f t="shared" si="460"/>
        <v/>
      </c>
    </row>
    <row r="3525" spans="3:18">
      <c r="C3525" t="str">
        <f t="shared" si="461"/>
        <v/>
      </c>
      <c r="D3525">
        <v>64</v>
      </c>
      <c r="E3525">
        <v>60</v>
      </c>
      <c r="F3525" s="366">
        <f t="shared" si="463"/>
        <v>1302</v>
      </c>
      <c r="G3525" s="97">
        <v>2891</v>
      </c>
      <c r="H3525" s="367">
        <f t="shared" si="457"/>
        <v>4193</v>
      </c>
      <c r="I3525" s="368">
        <f t="shared" si="458"/>
        <v>0</v>
      </c>
      <c r="J3525">
        <v>11245</v>
      </c>
      <c r="K3525" s="367">
        <f t="shared" si="462"/>
        <v>8032.1428571428569</v>
      </c>
      <c r="L3525" s="607">
        <v>0.23</v>
      </c>
      <c r="M3525">
        <v>5.6</v>
      </c>
      <c r="N3525" s="381">
        <v>19</v>
      </c>
      <c r="O3525">
        <v>6</v>
      </c>
      <c r="P3525" t="s">
        <v>514</v>
      </c>
      <c r="Q3525" s="97">
        <f t="shared" si="459"/>
        <v>64</v>
      </c>
      <c r="R3525" t="str">
        <f t="shared" si="460"/>
        <v/>
      </c>
    </row>
    <row r="3526" spans="3:18">
      <c r="C3526" t="str">
        <f t="shared" si="461"/>
        <v/>
      </c>
      <c r="D3526">
        <v>65</v>
      </c>
      <c r="E3526">
        <v>60</v>
      </c>
      <c r="F3526" s="366">
        <f t="shared" si="463"/>
        <v>1302</v>
      </c>
      <c r="G3526" s="97">
        <v>3886</v>
      </c>
      <c r="H3526" s="367">
        <f t="shared" si="457"/>
        <v>5188</v>
      </c>
      <c r="I3526" s="368">
        <f t="shared" si="458"/>
        <v>0</v>
      </c>
      <c r="J3526">
        <v>15114</v>
      </c>
      <c r="K3526" s="367">
        <f t="shared" si="462"/>
        <v>10795.714285714286</v>
      </c>
      <c r="L3526" s="607">
        <v>0.4</v>
      </c>
      <c r="M3526">
        <v>7.3999999999999995</v>
      </c>
      <c r="N3526" s="381">
        <v>21</v>
      </c>
      <c r="O3526">
        <v>8</v>
      </c>
      <c r="P3526" t="s">
        <v>513</v>
      </c>
      <c r="Q3526" s="97">
        <f t="shared" si="459"/>
        <v>65</v>
      </c>
      <c r="R3526" t="str">
        <f t="shared" si="460"/>
        <v/>
      </c>
    </row>
    <row r="3527" spans="3:18">
      <c r="C3527" t="str">
        <f t="shared" si="461"/>
        <v/>
      </c>
      <c r="D3527">
        <v>66</v>
      </c>
      <c r="E3527">
        <v>60</v>
      </c>
      <c r="F3527" s="366">
        <f t="shared" si="463"/>
        <v>1302</v>
      </c>
      <c r="G3527" s="97">
        <v>3305</v>
      </c>
      <c r="H3527" s="367">
        <f t="shared" ref="H3527:H3590" si="464">(G3527*$U$7)+F3527</f>
        <v>4607</v>
      </c>
      <c r="I3527" s="368">
        <f t="shared" ref="I3527:I3590" si="465">1.085*($C$2-$D$2)*E3527*$T$7</f>
        <v>0</v>
      </c>
      <c r="J3527">
        <v>12856</v>
      </c>
      <c r="K3527" s="367">
        <f t="shared" si="462"/>
        <v>9182.8571428571431</v>
      </c>
      <c r="L3527" s="607">
        <v>0.96</v>
      </c>
      <c r="M3527">
        <v>7.3999999999999995</v>
      </c>
      <c r="N3527" s="381">
        <v>28</v>
      </c>
      <c r="O3527">
        <v>8</v>
      </c>
      <c r="P3527" t="s">
        <v>512</v>
      </c>
      <c r="Q3527" s="97" t="str">
        <f t="shared" ref="Q3527:Q3590" si="466">IF(AND(H3527+1&gt;$E$4,L3527&lt;$L$4+0.01,M3527&lt;$M$4+0.01,K3527+1&gt;$F$4,E3527+1&gt;$J$4,N3527&lt;$K$4+1,O3527&lt;$P$4+1,C3527=""),D3527,"")</f>
        <v/>
      </c>
      <c r="R3527" t="str">
        <f t="shared" ref="R3527:R3590" si="467">IF(Q3527="","",IF(AND(O3527&lt;$X$30,E3527&gt;$U$30,E3527&lt;$Q$4+$U$30+1),D3527,""))</f>
        <v/>
      </c>
    </row>
    <row r="3528" spans="3:18">
      <c r="C3528" t="str">
        <f t="shared" si="461"/>
        <v/>
      </c>
      <c r="D3528">
        <v>67</v>
      </c>
      <c r="E3528">
        <v>65</v>
      </c>
      <c r="F3528" s="366">
        <f t="shared" si="463"/>
        <v>1410.5</v>
      </c>
      <c r="G3528" s="97">
        <v>2211</v>
      </c>
      <c r="H3528" s="367">
        <f t="shared" si="464"/>
        <v>3621.5</v>
      </c>
      <c r="I3528" s="368">
        <f t="shared" si="465"/>
        <v>0</v>
      </c>
      <c r="J3528">
        <v>8599</v>
      </c>
      <c r="K3528" s="367">
        <f t="shared" si="462"/>
        <v>6142.1428571428569</v>
      </c>
      <c r="L3528" s="607">
        <v>1.01</v>
      </c>
      <c r="M3528">
        <v>2.1</v>
      </c>
      <c r="N3528" s="381">
        <v>28</v>
      </c>
      <c r="O3528">
        <v>2</v>
      </c>
      <c r="P3528" t="s">
        <v>515</v>
      </c>
      <c r="Q3528" s="97" t="str">
        <f t="shared" si="466"/>
        <v/>
      </c>
      <c r="R3528" t="str">
        <f t="shared" si="467"/>
        <v/>
      </c>
    </row>
    <row r="3529" spans="3:18">
      <c r="C3529" t="str">
        <f t="shared" si="461"/>
        <v/>
      </c>
      <c r="D3529">
        <v>68</v>
      </c>
      <c r="E3529">
        <v>65</v>
      </c>
      <c r="F3529" s="366">
        <f t="shared" si="463"/>
        <v>1410.5</v>
      </c>
      <c r="G3529" s="97">
        <v>2922</v>
      </c>
      <c r="H3529" s="367">
        <f t="shared" si="464"/>
        <v>4332.5</v>
      </c>
      <c r="I3529" s="368">
        <f t="shared" si="465"/>
        <v>0</v>
      </c>
      <c r="J3529">
        <v>11365</v>
      </c>
      <c r="K3529" s="367">
        <f t="shared" si="462"/>
        <v>8117.8571428571431</v>
      </c>
      <c r="L3529" s="607">
        <v>0.61</v>
      </c>
      <c r="M3529">
        <v>3.9</v>
      </c>
      <c r="N3529" s="381">
        <v>25</v>
      </c>
      <c r="O3529">
        <v>4</v>
      </c>
      <c r="P3529" t="s">
        <v>514</v>
      </c>
      <c r="Q3529" s="97">
        <f t="shared" si="466"/>
        <v>68</v>
      </c>
      <c r="R3529" t="str">
        <f t="shared" si="467"/>
        <v/>
      </c>
    </row>
    <row r="3530" spans="3:18">
      <c r="C3530" t="str">
        <f t="shared" si="461"/>
        <v/>
      </c>
      <c r="D3530">
        <v>69</v>
      </c>
      <c r="E3530">
        <v>65</v>
      </c>
      <c r="F3530" s="366">
        <f t="shared" si="463"/>
        <v>1410.5</v>
      </c>
      <c r="G3530" s="97">
        <v>2560</v>
      </c>
      <c r="H3530" s="367">
        <f t="shared" si="464"/>
        <v>3970.5</v>
      </c>
      <c r="I3530" s="368">
        <f t="shared" si="465"/>
        <v>0</v>
      </c>
      <c r="J3530">
        <v>9958</v>
      </c>
      <c r="K3530" s="367">
        <f t="shared" si="462"/>
        <v>7112.8571428571431</v>
      </c>
      <c r="L3530" s="607">
        <v>0.22</v>
      </c>
      <c r="M3530">
        <v>3.9</v>
      </c>
      <c r="N3530" s="381">
        <v>20</v>
      </c>
      <c r="O3530">
        <v>4</v>
      </c>
      <c r="P3530" t="s">
        <v>515</v>
      </c>
      <c r="Q3530" s="97">
        <f t="shared" si="466"/>
        <v>69</v>
      </c>
      <c r="R3530" t="str">
        <f t="shared" si="467"/>
        <v/>
      </c>
    </row>
    <row r="3531" spans="3:18">
      <c r="C3531" t="str">
        <f t="shared" si="461"/>
        <v/>
      </c>
      <c r="D3531">
        <v>70</v>
      </c>
      <c r="E3531">
        <v>65</v>
      </c>
      <c r="F3531" s="366">
        <f t="shared" si="463"/>
        <v>1410.5</v>
      </c>
      <c r="G3531" s="97">
        <v>3985</v>
      </c>
      <c r="H3531" s="367">
        <f t="shared" si="464"/>
        <v>5395.5</v>
      </c>
      <c r="I3531" s="368">
        <f t="shared" si="465"/>
        <v>0</v>
      </c>
      <c r="J3531">
        <v>15499</v>
      </c>
      <c r="K3531" s="367">
        <f t="shared" si="462"/>
        <v>11070.714285714286</v>
      </c>
      <c r="L3531" s="607">
        <v>0.84</v>
      </c>
      <c r="M3531">
        <v>5.6</v>
      </c>
      <c r="N3531" s="381">
        <v>26</v>
      </c>
      <c r="O3531">
        <v>6</v>
      </c>
      <c r="P3531" t="s">
        <v>513</v>
      </c>
      <c r="Q3531" s="97" t="str">
        <f t="shared" si="466"/>
        <v/>
      </c>
      <c r="R3531" t="str">
        <f t="shared" si="467"/>
        <v/>
      </c>
    </row>
    <row r="3532" spans="3:18">
      <c r="C3532" t="str">
        <f t="shared" si="461"/>
        <v/>
      </c>
      <c r="D3532">
        <v>71</v>
      </c>
      <c r="E3532">
        <v>65</v>
      </c>
      <c r="F3532" s="366">
        <f t="shared" si="463"/>
        <v>1410.5</v>
      </c>
      <c r="G3532" s="97">
        <v>3092</v>
      </c>
      <c r="H3532" s="367">
        <f t="shared" si="464"/>
        <v>4502.5</v>
      </c>
      <c r="I3532" s="368">
        <f t="shared" si="465"/>
        <v>0</v>
      </c>
      <c r="J3532">
        <v>12026</v>
      </c>
      <c r="K3532" s="367">
        <f t="shared" si="462"/>
        <v>8590</v>
      </c>
      <c r="L3532" s="607">
        <v>0.26</v>
      </c>
      <c r="M3532">
        <v>5.6</v>
      </c>
      <c r="N3532" s="381">
        <v>20</v>
      </c>
      <c r="O3532">
        <v>6</v>
      </c>
      <c r="P3532" t="s">
        <v>514</v>
      </c>
      <c r="Q3532" s="97">
        <f t="shared" si="466"/>
        <v>71</v>
      </c>
      <c r="R3532" t="str">
        <f t="shared" si="467"/>
        <v/>
      </c>
    </row>
    <row r="3533" spans="3:18">
      <c r="C3533" t="str">
        <f t="shared" si="461"/>
        <v/>
      </c>
      <c r="D3533">
        <v>72</v>
      </c>
      <c r="E3533">
        <v>65</v>
      </c>
      <c r="F3533" s="366">
        <f t="shared" si="463"/>
        <v>1410.5</v>
      </c>
      <c r="G3533" s="97">
        <v>4153</v>
      </c>
      <c r="H3533" s="367">
        <f t="shared" si="464"/>
        <v>5563.5</v>
      </c>
      <c r="I3533" s="368">
        <f t="shared" si="465"/>
        <v>0</v>
      </c>
      <c r="J3533">
        <v>16151</v>
      </c>
      <c r="K3533" s="367">
        <f t="shared" si="462"/>
        <v>11536.428571428572</v>
      </c>
      <c r="L3533" s="607">
        <v>0.47000000000000003</v>
      </c>
      <c r="M3533">
        <v>7.3999999999999995</v>
      </c>
      <c r="N3533" s="381">
        <v>22</v>
      </c>
      <c r="O3533">
        <v>8</v>
      </c>
      <c r="P3533" t="s">
        <v>513</v>
      </c>
      <c r="Q3533" s="97">
        <f t="shared" si="466"/>
        <v>72</v>
      </c>
      <c r="R3533" t="str">
        <f t="shared" si="467"/>
        <v/>
      </c>
    </row>
    <row r="3534" spans="3:18">
      <c r="C3534" t="str">
        <f t="shared" si="461"/>
        <v/>
      </c>
      <c r="D3534">
        <v>73</v>
      </c>
      <c r="E3534">
        <v>65</v>
      </c>
      <c r="F3534" s="366">
        <f t="shared" si="463"/>
        <v>1410.5</v>
      </c>
      <c r="G3534" s="97">
        <v>3512</v>
      </c>
      <c r="H3534" s="367">
        <f t="shared" si="464"/>
        <v>4922.5</v>
      </c>
      <c r="I3534" s="368">
        <f t="shared" si="465"/>
        <v>0</v>
      </c>
      <c r="J3534">
        <v>13660</v>
      </c>
      <c r="K3534" s="367">
        <f t="shared" si="462"/>
        <v>9757.1428571428569</v>
      </c>
      <c r="L3534" s="607">
        <v>1.1200000000000001</v>
      </c>
      <c r="M3534">
        <v>7.3999999999999995</v>
      </c>
      <c r="N3534" s="381">
        <v>29</v>
      </c>
      <c r="O3534">
        <v>8</v>
      </c>
      <c r="P3534" t="s">
        <v>512</v>
      </c>
      <c r="Q3534" s="97" t="str">
        <f t="shared" si="466"/>
        <v/>
      </c>
      <c r="R3534" t="str">
        <f t="shared" si="467"/>
        <v/>
      </c>
    </row>
    <row r="3535" spans="3:18">
      <c r="C3535" t="str">
        <f t="shared" si="461"/>
        <v/>
      </c>
      <c r="D3535">
        <v>74</v>
      </c>
      <c r="E3535">
        <v>65</v>
      </c>
      <c r="F3535" s="366">
        <f t="shared" si="463"/>
        <v>1410.5</v>
      </c>
      <c r="G3535" s="97">
        <v>3178</v>
      </c>
      <c r="H3535" s="367">
        <f t="shared" si="464"/>
        <v>4588.5</v>
      </c>
      <c r="I3535" s="368">
        <f t="shared" si="465"/>
        <v>0</v>
      </c>
      <c r="J3535">
        <v>12361</v>
      </c>
      <c r="K3535" s="367">
        <f t="shared" si="462"/>
        <v>8829.2857142857138</v>
      </c>
      <c r="L3535" s="607">
        <v>0.16</v>
      </c>
      <c r="M3535">
        <v>7.3999999999999995</v>
      </c>
      <c r="N3535" s="381">
        <v>17</v>
      </c>
      <c r="O3535">
        <v>8</v>
      </c>
      <c r="P3535" t="s">
        <v>514</v>
      </c>
      <c r="Q3535" s="97">
        <f t="shared" si="466"/>
        <v>74</v>
      </c>
      <c r="R3535" t="str">
        <f t="shared" si="467"/>
        <v/>
      </c>
    </row>
    <row r="3536" spans="3:18">
      <c r="C3536" t="str">
        <f t="shared" si="461"/>
        <v/>
      </c>
      <c r="D3536">
        <v>75</v>
      </c>
      <c r="E3536">
        <v>70</v>
      </c>
      <c r="F3536" s="366">
        <f t="shared" si="463"/>
        <v>1519</v>
      </c>
      <c r="G3536" s="97">
        <v>3105</v>
      </c>
      <c r="H3536" s="367">
        <f t="shared" si="464"/>
        <v>4624</v>
      </c>
      <c r="I3536" s="368">
        <f t="shared" si="465"/>
        <v>0</v>
      </c>
      <c r="J3536">
        <v>12077</v>
      </c>
      <c r="K3536" s="367">
        <f t="shared" si="462"/>
        <v>8626.4285714285725</v>
      </c>
      <c r="L3536" s="607">
        <v>0.71</v>
      </c>
      <c r="M3536">
        <v>3.9</v>
      </c>
      <c r="N3536" s="381">
        <v>26</v>
      </c>
      <c r="O3536">
        <v>4</v>
      </c>
      <c r="P3536" t="s">
        <v>514</v>
      </c>
      <c r="Q3536" s="97">
        <f t="shared" si="466"/>
        <v>75</v>
      </c>
      <c r="R3536" t="str">
        <f t="shared" si="467"/>
        <v/>
      </c>
    </row>
    <row r="3537" spans="3:18">
      <c r="C3537" t="str">
        <f t="shared" si="461"/>
        <v/>
      </c>
      <c r="D3537">
        <v>76</v>
      </c>
      <c r="E3537">
        <v>70</v>
      </c>
      <c r="F3537" s="366">
        <f t="shared" si="463"/>
        <v>1519</v>
      </c>
      <c r="G3537" s="97">
        <v>2725</v>
      </c>
      <c r="H3537" s="367">
        <f t="shared" si="464"/>
        <v>4244</v>
      </c>
      <c r="I3537" s="368">
        <f t="shared" si="465"/>
        <v>0</v>
      </c>
      <c r="J3537">
        <v>10600</v>
      </c>
      <c r="K3537" s="367">
        <f t="shared" si="462"/>
        <v>7571.4285714285716</v>
      </c>
      <c r="L3537" s="607">
        <v>0.26</v>
      </c>
      <c r="M3537">
        <v>3.9</v>
      </c>
      <c r="N3537" s="381">
        <v>21</v>
      </c>
      <c r="O3537">
        <v>4</v>
      </c>
      <c r="P3537" t="s">
        <v>515</v>
      </c>
      <c r="Q3537" s="97">
        <f t="shared" si="466"/>
        <v>76</v>
      </c>
      <c r="R3537" t="str">
        <f t="shared" si="467"/>
        <v/>
      </c>
    </row>
    <row r="3538" spans="3:18">
      <c r="C3538" t="str">
        <f t="shared" si="461"/>
        <v/>
      </c>
      <c r="D3538">
        <v>77</v>
      </c>
      <c r="E3538">
        <v>70</v>
      </c>
      <c r="F3538" s="366">
        <f t="shared" si="463"/>
        <v>1519</v>
      </c>
      <c r="G3538" s="97">
        <v>4221</v>
      </c>
      <c r="H3538" s="367">
        <f t="shared" si="464"/>
        <v>5740</v>
      </c>
      <c r="I3538" s="368">
        <f t="shared" si="465"/>
        <v>0</v>
      </c>
      <c r="J3538">
        <v>16416</v>
      </c>
      <c r="K3538" s="367">
        <f t="shared" si="462"/>
        <v>11725.714285714286</v>
      </c>
      <c r="L3538" s="607">
        <v>0.98</v>
      </c>
      <c r="M3538">
        <v>5.6</v>
      </c>
      <c r="N3538" s="381">
        <v>27</v>
      </c>
      <c r="O3538">
        <v>6</v>
      </c>
      <c r="P3538" t="s">
        <v>513</v>
      </c>
      <c r="Q3538" s="97" t="str">
        <f t="shared" si="466"/>
        <v/>
      </c>
      <c r="R3538" t="str">
        <f t="shared" si="467"/>
        <v/>
      </c>
    </row>
    <row r="3539" spans="3:18">
      <c r="C3539" t="str">
        <f t="shared" si="461"/>
        <v/>
      </c>
      <c r="D3539">
        <v>78</v>
      </c>
      <c r="E3539">
        <v>70</v>
      </c>
      <c r="F3539" s="366">
        <f t="shared" si="463"/>
        <v>1519</v>
      </c>
      <c r="G3539" s="97">
        <v>3293</v>
      </c>
      <c r="H3539" s="367">
        <f t="shared" si="464"/>
        <v>4812</v>
      </c>
      <c r="I3539" s="368">
        <f t="shared" si="465"/>
        <v>0</v>
      </c>
      <c r="J3539">
        <v>12806</v>
      </c>
      <c r="K3539" s="367">
        <f t="shared" si="462"/>
        <v>9147.1428571428569</v>
      </c>
      <c r="L3539" s="607">
        <v>0.3</v>
      </c>
      <c r="M3539">
        <v>5.6</v>
      </c>
      <c r="N3539" s="381">
        <v>21</v>
      </c>
      <c r="O3539">
        <v>6</v>
      </c>
      <c r="P3539" t="s">
        <v>514</v>
      </c>
      <c r="Q3539" s="97">
        <f t="shared" si="466"/>
        <v>78</v>
      </c>
      <c r="R3539" t="str">
        <f t="shared" si="467"/>
        <v/>
      </c>
    </row>
    <row r="3540" spans="3:18">
      <c r="C3540" t="str">
        <f t="shared" si="461"/>
        <v/>
      </c>
      <c r="D3540">
        <v>79</v>
      </c>
      <c r="E3540">
        <v>70</v>
      </c>
      <c r="F3540" s="366">
        <f t="shared" si="463"/>
        <v>1519</v>
      </c>
      <c r="G3540" s="97">
        <v>4412</v>
      </c>
      <c r="H3540" s="367">
        <f t="shared" si="464"/>
        <v>5931</v>
      </c>
      <c r="I3540" s="368">
        <f t="shared" si="465"/>
        <v>0</v>
      </c>
      <c r="J3540">
        <v>17158</v>
      </c>
      <c r="K3540" s="367">
        <f t="shared" si="462"/>
        <v>12255.714285714286</v>
      </c>
      <c r="L3540" s="607">
        <v>0.54</v>
      </c>
      <c r="M3540">
        <v>7.3999999999999995</v>
      </c>
      <c r="N3540" s="381">
        <v>23</v>
      </c>
      <c r="O3540">
        <v>8</v>
      </c>
      <c r="P3540" t="s">
        <v>513</v>
      </c>
      <c r="Q3540" s="97">
        <f t="shared" si="466"/>
        <v>79</v>
      </c>
      <c r="R3540" t="str">
        <f t="shared" si="467"/>
        <v/>
      </c>
    </row>
    <row r="3541" spans="3:18">
      <c r="C3541" t="str">
        <f t="shared" si="461"/>
        <v/>
      </c>
      <c r="D3541">
        <v>80</v>
      </c>
      <c r="E3541">
        <v>70</v>
      </c>
      <c r="F3541" s="366">
        <f t="shared" si="463"/>
        <v>1519</v>
      </c>
      <c r="G3541" s="97">
        <v>3390</v>
      </c>
      <c r="H3541" s="367">
        <f t="shared" si="464"/>
        <v>4909</v>
      </c>
      <c r="I3541" s="368">
        <f t="shared" si="465"/>
        <v>0</v>
      </c>
      <c r="J3541">
        <v>13183</v>
      </c>
      <c r="K3541" s="367">
        <f t="shared" si="462"/>
        <v>9416.4285714285725</v>
      </c>
      <c r="L3541" s="607">
        <v>0.18000000000000002</v>
      </c>
      <c r="M3541">
        <v>7.3999999999999995</v>
      </c>
      <c r="N3541" s="381">
        <v>18</v>
      </c>
      <c r="O3541">
        <v>8</v>
      </c>
      <c r="P3541" t="s">
        <v>514</v>
      </c>
      <c r="Q3541" s="97">
        <f t="shared" si="466"/>
        <v>80</v>
      </c>
      <c r="R3541" t="str">
        <f t="shared" si="467"/>
        <v/>
      </c>
    </row>
    <row r="3542" spans="3:18">
      <c r="C3542" t="str">
        <f t="shared" ref="C3542:C3605" si="468">IF(OR($O$4=0,O3542-$O$4=0),IF(AND(ISEVEN(O3542)=FALSE,$N$4="Even"),"NL",""),"NL")</f>
        <v/>
      </c>
      <c r="D3542">
        <v>81</v>
      </c>
      <c r="E3542">
        <v>75</v>
      </c>
      <c r="F3542" s="366">
        <f t="shared" si="463"/>
        <v>1627.5</v>
      </c>
      <c r="G3542" s="97">
        <v>3279</v>
      </c>
      <c r="H3542" s="367">
        <f t="shared" si="464"/>
        <v>4906.5</v>
      </c>
      <c r="I3542" s="368">
        <f t="shared" si="465"/>
        <v>0</v>
      </c>
      <c r="J3542">
        <v>12754</v>
      </c>
      <c r="K3542" s="367">
        <f t="shared" ref="K3542:K3605" si="469">(J3542*$V$7)-I3542</f>
        <v>9110</v>
      </c>
      <c r="L3542" s="607">
        <v>0.78</v>
      </c>
      <c r="M3542">
        <v>3.9</v>
      </c>
      <c r="N3542" s="381">
        <v>26</v>
      </c>
      <c r="O3542">
        <v>4</v>
      </c>
      <c r="P3542" t="s">
        <v>514</v>
      </c>
      <c r="Q3542" s="97" t="str">
        <f t="shared" si="466"/>
        <v/>
      </c>
      <c r="R3542" t="str">
        <f t="shared" si="467"/>
        <v/>
      </c>
    </row>
    <row r="3543" spans="3:18">
      <c r="C3543" t="str">
        <f t="shared" si="468"/>
        <v/>
      </c>
      <c r="D3543">
        <v>82</v>
      </c>
      <c r="E3543">
        <v>75</v>
      </c>
      <c r="F3543" s="366">
        <f t="shared" si="463"/>
        <v>1627.5</v>
      </c>
      <c r="G3543" s="97">
        <v>2881</v>
      </c>
      <c r="H3543" s="367">
        <f t="shared" si="464"/>
        <v>4508.5</v>
      </c>
      <c r="I3543" s="368">
        <f t="shared" si="465"/>
        <v>0</v>
      </c>
      <c r="J3543">
        <v>11206</v>
      </c>
      <c r="K3543" s="367">
        <f t="shared" si="469"/>
        <v>8004.2857142857147</v>
      </c>
      <c r="L3543" s="607">
        <v>0.27</v>
      </c>
      <c r="M3543">
        <v>3.9</v>
      </c>
      <c r="N3543" s="381">
        <v>22</v>
      </c>
      <c r="O3543">
        <v>4</v>
      </c>
      <c r="P3543" t="s">
        <v>515</v>
      </c>
      <c r="Q3543" s="97">
        <f t="shared" si="466"/>
        <v>82</v>
      </c>
      <c r="R3543" t="str">
        <f t="shared" si="467"/>
        <v/>
      </c>
    </row>
    <row r="3544" spans="3:18">
      <c r="C3544" t="str">
        <f t="shared" si="468"/>
        <v/>
      </c>
      <c r="D3544">
        <v>83</v>
      </c>
      <c r="E3544">
        <v>75</v>
      </c>
      <c r="F3544" s="366">
        <f t="shared" si="463"/>
        <v>1627.5</v>
      </c>
      <c r="G3544" s="97">
        <v>4453</v>
      </c>
      <c r="H3544" s="367">
        <f t="shared" si="464"/>
        <v>6080.5</v>
      </c>
      <c r="I3544" s="368">
        <f t="shared" si="465"/>
        <v>0</v>
      </c>
      <c r="J3544">
        <v>17319</v>
      </c>
      <c r="K3544" s="367">
        <f t="shared" si="469"/>
        <v>12370.714285714286</v>
      </c>
      <c r="L3544" s="607">
        <v>1.0900000000000001</v>
      </c>
      <c r="M3544">
        <v>5.6</v>
      </c>
      <c r="N3544" s="381">
        <v>27</v>
      </c>
      <c r="O3544">
        <v>6</v>
      </c>
      <c r="P3544" t="s">
        <v>513</v>
      </c>
      <c r="Q3544" s="97" t="str">
        <f t="shared" si="466"/>
        <v/>
      </c>
      <c r="R3544" t="str">
        <f t="shared" si="467"/>
        <v/>
      </c>
    </row>
    <row r="3545" spans="3:18">
      <c r="C3545" t="str">
        <f t="shared" si="468"/>
        <v/>
      </c>
      <c r="D3545">
        <v>84</v>
      </c>
      <c r="E3545">
        <v>75</v>
      </c>
      <c r="F3545" s="366">
        <f t="shared" si="463"/>
        <v>1627.5</v>
      </c>
      <c r="G3545" s="97">
        <v>3493</v>
      </c>
      <c r="H3545" s="367">
        <f t="shared" si="464"/>
        <v>5120.5</v>
      </c>
      <c r="I3545" s="368">
        <f t="shared" si="465"/>
        <v>0</v>
      </c>
      <c r="J3545">
        <v>13587</v>
      </c>
      <c r="K3545" s="367">
        <f t="shared" si="469"/>
        <v>9705</v>
      </c>
      <c r="L3545" s="607">
        <v>0.32</v>
      </c>
      <c r="M3545">
        <v>5.6</v>
      </c>
      <c r="N3545" s="381">
        <v>21</v>
      </c>
      <c r="O3545">
        <v>6</v>
      </c>
      <c r="P3545" t="s">
        <v>514</v>
      </c>
      <c r="Q3545" s="97">
        <f t="shared" si="466"/>
        <v>84</v>
      </c>
      <c r="R3545" t="str">
        <f t="shared" si="467"/>
        <v/>
      </c>
    </row>
    <row r="3546" spans="3:18">
      <c r="C3546" t="str">
        <f t="shared" si="468"/>
        <v/>
      </c>
      <c r="D3546">
        <v>85</v>
      </c>
      <c r="E3546">
        <v>75</v>
      </c>
      <c r="F3546" s="366">
        <f t="shared" si="463"/>
        <v>1627.5</v>
      </c>
      <c r="G3546" s="97">
        <v>4671</v>
      </c>
      <c r="H3546" s="367">
        <f t="shared" si="464"/>
        <v>6298.5</v>
      </c>
      <c r="I3546" s="368">
        <f t="shared" si="465"/>
        <v>0</v>
      </c>
      <c r="J3546">
        <v>18166</v>
      </c>
      <c r="K3546" s="367">
        <f t="shared" si="469"/>
        <v>12975.714285714286</v>
      </c>
      <c r="L3546" s="607">
        <v>0.59</v>
      </c>
      <c r="M3546">
        <v>7.3999999999999995</v>
      </c>
      <c r="N3546" s="381">
        <v>24</v>
      </c>
      <c r="O3546">
        <v>8</v>
      </c>
      <c r="P3546" t="s">
        <v>513</v>
      </c>
      <c r="Q3546" s="97">
        <f t="shared" si="466"/>
        <v>85</v>
      </c>
      <c r="R3546" t="str">
        <f t="shared" si="467"/>
        <v/>
      </c>
    </row>
    <row r="3547" spans="3:18">
      <c r="C3547" t="str">
        <f t="shared" si="468"/>
        <v/>
      </c>
      <c r="D3547">
        <v>86</v>
      </c>
      <c r="E3547">
        <v>75</v>
      </c>
      <c r="F3547" s="366">
        <f t="shared" si="463"/>
        <v>1627.5</v>
      </c>
      <c r="G3547" s="97">
        <v>3601</v>
      </c>
      <c r="H3547" s="367">
        <f t="shared" si="464"/>
        <v>5228.5</v>
      </c>
      <c r="I3547" s="368">
        <f t="shared" si="465"/>
        <v>0</v>
      </c>
      <c r="J3547">
        <v>14006</v>
      </c>
      <c r="K3547" s="367">
        <f t="shared" si="469"/>
        <v>10004.285714285714</v>
      </c>
      <c r="L3547" s="607">
        <v>0.18000000000000002</v>
      </c>
      <c r="M3547">
        <v>7.3999999999999995</v>
      </c>
      <c r="N3547" s="381">
        <v>17</v>
      </c>
      <c r="O3547">
        <v>8</v>
      </c>
      <c r="P3547" t="s">
        <v>514</v>
      </c>
      <c r="Q3547" s="97">
        <f t="shared" si="466"/>
        <v>86</v>
      </c>
      <c r="R3547" t="str">
        <f t="shared" si="467"/>
        <v/>
      </c>
    </row>
    <row r="3548" spans="3:18">
      <c r="C3548" t="str">
        <f t="shared" si="468"/>
        <v/>
      </c>
      <c r="D3548">
        <v>87</v>
      </c>
      <c r="E3548">
        <v>80</v>
      </c>
      <c r="F3548" s="366">
        <f t="shared" si="463"/>
        <v>1736</v>
      </c>
      <c r="G3548" s="97">
        <v>3453</v>
      </c>
      <c r="H3548" s="367">
        <f t="shared" si="464"/>
        <v>5189</v>
      </c>
      <c r="I3548" s="368">
        <f t="shared" si="465"/>
        <v>0</v>
      </c>
      <c r="J3548">
        <v>13429</v>
      </c>
      <c r="K3548" s="367">
        <f t="shared" si="469"/>
        <v>9592.1428571428569</v>
      </c>
      <c r="L3548" s="607">
        <v>0.89</v>
      </c>
      <c r="M3548">
        <v>3.9</v>
      </c>
      <c r="N3548" s="381">
        <v>27</v>
      </c>
      <c r="O3548">
        <v>4</v>
      </c>
      <c r="P3548" t="s">
        <v>514</v>
      </c>
      <c r="Q3548" s="97" t="str">
        <f t="shared" si="466"/>
        <v/>
      </c>
      <c r="R3548" t="str">
        <f t="shared" si="467"/>
        <v/>
      </c>
    </row>
    <row r="3549" spans="3:18">
      <c r="C3549" t="str">
        <f t="shared" si="468"/>
        <v/>
      </c>
      <c r="D3549">
        <v>88</v>
      </c>
      <c r="E3549">
        <v>80</v>
      </c>
      <c r="F3549" s="366">
        <f t="shared" si="463"/>
        <v>1736</v>
      </c>
      <c r="G3549" s="97">
        <v>3037</v>
      </c>
      <c r="H3549" s="367">
        <f t="shared" si="464"/>
        <v>4773</v>
      </c>
      <c r="I3549" s="368">
        <f t="shared" si="465"/>
        <v>0</v>
      </c>
      <c r="J3549">
        <v>11813</v>
      </c>
      <c r="K3549" s="367">
        <f t="shared" si="469"/>
        <v>8437.8571428571431</v>
      </c>
      <c r="L3549" s="607">
        <v>0.31</v>
      </c>
      <c r="M3549">
        <v>3.9</v>
      </c>
      <c r="N3549" s="381">
        <v>22</v>
      </c>
      <c r="O3549">
        <v>4</v>
      </c>
      <c r="P3549" t="s">
        <v>515</v>
      </c>
      <c r="Q3549" s="97">
        <f t="shared" si="466"/>
        <v>88</v>
      </c>
      <c r="R3549" t="str">
        <f t="shared" si="467"/>
        <v/>
      </c>
    </row>
    <row r="3550" spans="3:18">
      <c r="C3550" t="str">
        <f t="shared" si="468"/>
        <v/>
      </c>
      <c r="D3550">
        <v>89</v>
      </c>
      <c r="E3550">
        <v>80</v>
      </c>
      <c r="F3550" s="366">
        <f t="shared" si="463"/>
        <v>1736</v>
      </c>
      <c r="G3550" s="97">
        <v>3684</v>
      </c>
      <c r="H3550" s="367">
        <f t="shared" si="464"/>
        <v>5420</v>
      </c>
      <c r="I3550" s="368">
        <f t="shared" si="465"/>
        <v>0</v>
      </c>
      <c r="J3550">
        <v>14330</v>
      </c>
      <c r="K3550" s="367">
        <f t="shared" si="469"/>
        <v>10235.714285714286</v>
      </c>
      <c r="L3550" s="607">
        <v>0.37</v>
      </c>
      <c r="M3550">
        <v>5.6</v>
      </c>
      <c r="N3550" s="381">
        <v>22</v>
      </c>
      <c r="O3550">
        <v>6</v>
      </c>
      <c r="P3550" t="s">
        <v>514</v>
      </c>
      <c r="Q3550" s="97">
        <f t="shared" si="466"/>
        <v>89</v>
      </c>
      <c r="R3550" t="str">
        <f t="shared" si="467"/>
        <v/>
      </c>
    </row>
    <row r="3551" spans="3:18">
      <c r="C3551" t="str">
        <f t="shared" si="468"/>
        <v/>
      </c>
      <c r="D3551">
        <v>90</v>
      </c>
      <c r="E3551">
        <v>80</v>
      </c>
      <c r="F3551" s="366">
        <f t="shared" si="463"/>
        <v>1736</v>
      </c>
      <c r="G3551" s="97">
        <v>4910</v>
      </c>
      <c r="H3551" s="367">
        <f t="shared" si="464"/>
        <v>6646</v>
      </c>
      <c r="I3551" s="368">
        <f t="shared" si="465"/>
        <v>0</v>
      </c>
      <c r="J3551">
        <v>19095</v>
      </c>
      <c r="K3551" s="367">
        <f t="shared" si="469"/>
        <v>13639.285714285714</v>
      </c>
      <c r="L3551" s="607">
        <v>0.67</v>
      </c>
      <c r="M3551">
        <v>7.3999999999999995</v>
      </c>
      <c r="N3551" s="381">
        <v>25</v>
      </c>
      <c r="O3551">
        <v>8</v>
      </c>
      <c r="P3551" t="s">
        <v>513</v>
      </c>
      <c r="Q3551" s="97">
        <f t="shared" si="466"/>
        <v>90</v>
      </c>
      <c r="R3551" t="str">
        <f t="shared" si="467"/>
        <v/>
      </c>
    </row>
    <row r="3552" spans="3:18">
      <c r="C3552" t="str">
        <f t="shared" si="468"/>
        <v/>
      </c>
      <c r="D3552">
        <v>91</v>
      </c>
      <c r="E3552">
        <v>80</v>
      </c>
      <c r="F3552" s="366">
        <f t="shared" si="463"/>
        <v>1736</v>
      </c>
      <c r="G3552" s="97">
        <v>3813</v>
      </c>
      <c r="H3552" s="367">
        <f t="shared" si="464"/>
        <v>5549</v>
      </c>
      <c r="I3552" s="368">
        <f t="shared" si="465"/>
        <v>0</v>
      </c>
      <c r="J3552">
        <v>14828</v>
      </c>
      <c r="K3552" s="367">
        <f t="shared" si="469"/>
        <v>10591.428571428572</v>
      </c>
      <c r="L3552" s="607">
        <v>0.21000000000000002</v>
      </c>
      <c r="M3552">
        <v>7.3999999999999995</v>
      </c>
      <c r="N3552" s="381">
        <v>18</v>
      </c>
      <c r="O3552">
        <v>8</v>
      </c>
      <c r="P3552" t="s">
        <v>514</v>
      </c>
      <c r="Q3552" s="97">
        <f t="shared" si="466"/>
        <v>91</v>
      </c>
      <c r="R3552" t="str">
        <f t="shared" si="467"/>
        <v/>
      </c>
    </row>
    <row r="3553" spans="3:18">
      <c r="C3553" t="str">
        <f t="shared" si="468"/>
        <v/>
      </c>
      <c r="D3553">
        <v>92</v>
      </c>
      <c r="E3553">
        <v>85</v>
      </c>
      <c r="F3553" s="366">
        <f t="shared" si="463"/>
        <v>1844.5</v>
      </c>
      <c r="G3553" s="97">
        <v>3620</v>
      </c>
      <c r="H3553" s="367">
        <f t="shared" si="464"/>
        <v>5464.5</v>
      </c>
      <c r="I3553" s="368">
        <f t="shared" si="465"/>
        <v>0</v>
      </c>
      <c r="J3553">
        <v>14078</v>
      </c>
      <c r="K3553" s="367">
        <f t="shared" si="469"/>
        <v>10055.714285714286</v>
      </c>
      <c r="L3553" s="607">
        <v>1.01</v>
      </c>
      <c r="M3553">
        <v>3.9</v>
      </c>
      <c r="N3553" s="381">
        <v>28</v>
      </c>
      <c r="O3553">
        <v>4</v>
      </c>
      <c r="P3553" t="s">
        <v>514</v>
      </c>
      <c r="Q3553" s="97" t="str">
        <f t="shared" si="466"/>
        <v/>
      </c>
      <c r="R3553" t="str">
        <f t="shared" si="467"/>
        <v/>
      </c>
    </row>
    <row r="3554" spans="3:18">
      <c r="C3554" t="str">
        <f t="shared" si="468"/>
        <v/>
      </c>
      <c r="D3554">
        <v>93</v>
      </c>
      <c r="E3554">
        <v>85</v>
      </c>
      <c r="F3554" s="366">
        <f t="shared" si="463"/>
        <v>1844.5</v>
      </c>
      <c r="G3554" s="97">
        <v>3189</v>
      </c>
      <c r="H3554" s="367">
        <f t="shared" si="464"/>
        <v>5033.5</v>
      </c>
      <c r="I3554" s="368">
        <f t="shared" si="465"/>
        <v>0</v>
      </c>
      <c r="J3554">
        <v>12404</v>
      </c>
      <c r="K3554" s="367">
        <f t="shared" si="469"/>
        <v>8860</v>
      </c>
      <c r="L3554" s="607">
        <v>0.34</v>
      </c>
      <c r="M3554">
        <v>3.9</v>
      </c>
      <c r="N3554" s="381">
        <v>23</v>
      </c>
      <c r="O3554">
        <v>4</v>
      </c>
      <c r="P3554" t="s">
        <v>515</v>
      </c>
      <c r="Q3554" s="97">
        <f t="shared" si="466"/>
        <v>93</v>
      </c>
      <c r="R3554" t="str">
        <f t="shared" si="467"/>
        <v/>
      </c>
    </row>
    <row r="3555" spans="3:18">
      <c r="C3555" t="str">
        <f t="shared" si="468"/>
        <v/>
      </c>
      <c r="D3555">
        <v>94</v>
      </c>
      <c r="E3555">
        <v>85</v>
      </c>
      <c r="F3555" s="366">
        <f t="shared" si="463"/>
        <v>1844.5</v>
      </c>
      <c r="G3555" s="97">
        <v>3872</v>
      </c>
      <c r="H3555" s="367">
        <f t="shared" si="464"/>
        <v>5716.5</v>
      </c>
      <c r="I3555" s="368">
        <f t="shared" si="465"/>
        <v>0</v>
      </c>
      <c r="J3555">
        <v>15058</v>
      </c>
      <c r="K3555" s="367">
        <f t="shared" si="469"/>
        <v>10755.714285714286</v>
      </c>
      <c r="L3555" s="607">
        <v>0.41000000000000003</v>
      </c>
      <c r="M3555">
        <v>5.6</v>
      </c>
      <c r="N3555" s="381">
        <v>23</v>
      </c>
      <c r="O3555">
        <v>6</v>
      </c>
      <c r="P3555" t="s">
        <v>514</v>
      </c>
      <c r="Q3555" s="97">
        <f t="shared" si="466"/>
        <v>94</v>
      </c>
      <c r="R3555" t="str">
        <f t="shared" si="467"/>
        <v/>
      </c>
    </row>
    <row r="3556" spans="3:18">
      <c r="C3556" t="str">
        <f t="shared" si="468"/>
        <v/>
      </c>
      <c r="D3556">
        <v>95</v>
      </c>
      <c r="E3556">
        <v>85</v>
      </c>
      <c r="F3556" s="366">
        <f t="shared" si="463"/>
        <v>1844.5</v>
      </c>
      <c r="G3556" s="97">
        <v>3389</v>
      </c>
      <c r="H3556" s="367">
        <f t="shared" si="464"/>
        <v>5233.5</v>
      </c>
      <c r="I3556" s="368">
        <f t="shared" si="465"/>
        <v>0</v>
      </c>
      <c r="J3556">
        <v>13182</v>
      </c>
      <c r="K3556" s="367">
        <f t="shared" si="469"/>
        <v>9415.7142857142862</v>
      </c>
      <c r="L3556" s="607">
        <v>0.16</v>
      </c>
      <c r="M3556">
        <v>5.6</v>
      </c>
      <c r="N3556" s="381">
        <v>19</v>
      </c>
      <c r="O3556">
        <v>6</v>
      </c>
      <c r="P3556" t="s">
        <v>515</v>
      </c>
      <c r="Q3556" s="97">
        <f t="shared" si="466"/>
        <v>95</v>
      </c>
      <c r="R3556" t="str">
        <f t="shared" si="467"/>
        <v/>
      </c>
    </row>
    <row r="3557" spans="3:18">
      <c r="C3557" t="str">
        <f t="shared" si="468"/>
        <v/>
      </c>
      <c r="D3557">
        <v>96</v>
      </c>
      <c r="E3557">
        <v>85</v>
      </c>
      <c r="F3557" s="366">
        <f t="shared" si="463"/>
        <v>1844.5</v>
      </c>
      <c r="G3557" s="97">
        <v>5141</v>
      </c>
      <c r="H3557" s="367">
        <f t="shared" si="464"/>
        <v>6985.5</v>
      </c>
      <c r="I3557" s="368">
        <f t="shared" si="465"/>
        <v>0</v>
      </c>
      <c r="J3557">
        <v>19994</v>
      </c>
      <c r="K3557" s="367">
        <f t="shared" si="469"/>
        <v>14281.428571428572</v>
      </c>
      <c r="L3557" s="607">
        <v>0.76</v>
      </c>
      <c r="M3557">
        <v>7.3999999999999995</v>
      </c>
      <c r="N3557" s="381">
        <v>25</v>
      </c>
      <c r="O3557">
        <v>8</v>
      </c>
      <c r="P3557" t="s">
        <v>513</v>
      </c>
      <c r="Q3557" s="97" t="str">
        <f t="shared" si="466"/>
        <v/>
      </c>
      <c r="R3557" t="str">
        <f t="shared" si="467"/>
        <v/>
      </c>
    </row>
    <row r="3558" spans="3:18">
      <c r="C3558" t="str">
        <f t="shared" si="468"/>
        <v/>
      </c>
      <c r="D3558">
        <v>97</v>
      </c>
      <c r="E3558">
        <v>85</v>
      </c>
      <c r="F3558" s="366">
        <f t="shared" si="463"/>
        <v>1844.5</v>
      </c>
      <c r="G3558" s="97">
        <v>4010</v>
      </c>
      <c r="H3558" s="367">
        <f t="shared" si="464"/>
        <v>5854.5</v>
      </c>
      <c r="I3558" s="368">
        <f t="shared" si="465"/>
        <v>0</v>
      </c>
      <c r="J3558">
        <v>15597</v>
      </c>
      <c r="K3558" s="367">
        <f t="shared" si="469"/>
        <v>11140.714285714286</v>
      </c>
      <c r="L3558" s="607">
        <v>0.23</v>
      </c>
      <c r="M3558">
        <v>7.3999999999999995</v>
      </c>
      <c r="N3558" s="381">
        <v>19</v>
      </c>
      <c r="O3558">
        <v>8</v>
      </c>
      <c r="P3558" t="s">
        <v>514</v>
      </c>
      <c r="Q3558" s="97">
        <f t="shared" si="466"/>
        <v>97</v>
      </c>
      <c r="R3558" t="str">
        <f t="shared" si="467"/>
        <v/>
      </c>
    </row>
    <row r="3559" spans="3:18">
      <c r="C3559" t="str">
        <f t="shared" si="468"/>
        <v/>
      </c>
      <c r="D3559">
        <v>98</v>
      </c>
      <c r="E3559">
        <v>90</v>
      </c>
      <c r="F3559" s="366">
        <f t="shared" si="463"/>
        <v>1953</v>
      </c>
      <c r="G3559" s="97">
        <v>3337</v>
      </c>
      <c r="H3559" s="367">
        <f t="shared" si="464"/>
        <v>5290</v>
      </c>
      <c r="I3559" s="368">
        <f t="shared" si="465"/>
        <v>0</v>
      </c>
      <c r="J3559">
        <v>12979</v>
      </c>
      <c r="K3559" s="367">
        <f t="shared" si="469"/>
        <v>9270.7142857142862</v>
      </c>
      <c r="L3559" s="607">
        <v>0.38</v>
      </c>
      <c r="M3559">
        <v>3.9</v>
      </c>
      <c r="N3559" s="381">
        <v>24</v>
      </c>
      <c r="O3559">
        <v>4</v>
      </c>
      <c r="P3559" t="s">
        <v>515</v>
      </c>
      <c r="Q3559" s="97">
        <f t="shared" si="466"/>
        <v>98</v>
      </c>
      <c r="R3559" t="str">
        <f t="shared" si="467"/>
        <v/>
      </c>
    </row>
    <row r="3560" spans="3:18">
      <c r="C3560" t="str">
        <f t="shared" si="468"/>
        <v/>
      </c>
      <c r="D3560">
        <v>99</v>
      </c>
      <c r="E3560">
        <v>90</v>
      </c>
      <c r="F3560" s="366">
        <f t="shared" si="463"/>
        <v>1953</v>
      </c>
      <c r="G3560" s="97">
        <v>4059</v>
      </c>
      <c r="H3560" s="367">
        <f t="shared" si="464"/>
        <v>6012</v>
      </c>
      <c r="I3560" s="368">
        <f t="shared" si="465"/>
        <v>0</v>
      </c>
      <c r="J3560">
        <v>15786</v>
      </c>
      <c r="K3560" s="367">
        <f t="shared" si="469"/>
        <v>11275.714285714286</v>
      </c>
      <c r="L3560" s="607">
        <v>0.46</v>
      </c>
      <c r="M3560">
        <v>5.6</v>
      </c>
      <c r="N3560" s="381">
        <v>23</v>
      </c>
      <c r="O3560">
        <v>6</v>
      </c>
      <c r="P3560" t="s">
        <v>514</v>
      </c>
      <c r="Q3560" s="97">
        <f t="shared" si="466"/>
        <v>99</v>
      </c>
      <c r="R3560" t="str">
        <f t="shared" si="467"/>
        <v/>
      </c>
    </row>
    <row r="3561" spans="3:18">
      <c r="C3561" t="str">
        <f t="shared" si="468"/>
        <v/>
      </c>
      <c r="D3561">
        <v>100</v>
      </c>
      <c r="E3561">
        <v>90</v>
      </c>
      <c r="F3561" s="366">
        <f t="shared" si="463"/>
        <v>1953</v>
      </c>
      <c r="G3561" s="97">
        <v>3560</v>
      </c>
      <c r="H3561" s="367">
        <f t="shared" si="464"/>
        <v>5513</v>
      </c>
      <c r="I3561" s="368">
        <f t="shared" si="465"/>
        <v>0</v>
      </c>
      <c r="J3561">
        <v>13844</v>
      </c>
      <c r="K3561" s="367">
        <f t="shared" si="469"/>
        <v>9888.5714285714294</v>
      </c>
      <c r="L3561" s="607">
        <v>0.18000000000000002</v>
      </c>
      <c r="M3561">
        <v>5.6</v>
      </c>
      <c r="N3561" s="381">
        <v>20</v>
      </c>
      <c r="O3561">
        <v>6</v>
      </c>
      <c r="P3561" t="s">
        <v>515</v>
      </c>
      <c r="Q3561" s="97">
        <f t="shared" si="466"/>
        <v>100</v>
      </c>
      <c r="R3561" t="str">
        <f t="shared" si="467"/>
        <v/>
      </c>
    </row>
    <row r="3562" spans="3:18">
      <c r="C3562" t="str">
        <f t="shared" si="468"/>
        <v/>
      </c>
      <c r="D3562">
        <v>101</v>
      </c>
      <c r="E3562">
        <v>90</v>
      </c>
      <c r="F3562" s="366">
        <f t="shared" si="463"/>
        <v>1953</v>
      </c>
      <c r="G3562" s="97">
        <v>5372</v>
      </c>
      <c r="H3562" s="367">
        <f t="shared" si="464"/>
        <v>7325</v>
      </c>
      <c r="I3562" s="368">
        <f t="shared" si="465"/>
        <v>0</v>
      </c>
      <c r="J3562">
        <v>20893</v>
      </c>
      <c r="K3562" s="367">
        <f t="shared" si="469"/>
        <v>14923.571428571429</v>
      </c>
      <c r="L3562" s="607">
        <v>0.85</v>
      </c>
      <c r="M3562">
        <v>7.3999999999999995</v>
      </c>
      <c r="N3562" s="381">
        <v>26</v>
      </c>
      <c r="O3562">
        <v>8</v>
      </c>
      <c r="P3562" t="s">
        <v>513</v>
      </c>
      <c r="Q3562" s="97" t="str">
        <f t="shared" si="466"/>
        <v/>
      </c>
      <c r="R3562" t="str">
        <f t="shared" si="467"/>
        <v/>
      </c>
    </row>
    <row r="3563" spans="3:18">
      <c r="C3563" t="str">
        <f t="shared" si="468"/>
        <v/>
      </c>
      <c r="D3563">
        <v>102</v>
      </c>
      <c r="E3563">
        <v>90</v>
      </c>
      <c r="F3563" s="366">
        <f t="shared" si="463"/>
        <v>1953</v>
      </c>
      <c r="G3563" s="97">
        <v>4204</v>
      </c>
      <c r="H3563" s="367">
        <f t="shared" si="464"/>
        <v>6157</v>
      </c>
      <c r="I3563" s="368">
        <f t="shared" si="465"/>
        <v>0</v>
      </c>
      <c r="J3563">
        <v>16352</v>
      </c>
      <c r="K3563" s="367">
        <f t="shared" si="469"/>
        <v>11680</v>
      </c>
      <c r="L3563" s="607">
        <v>0.26</v>
      </c>
      <c r="M3563">
        <v>7.3999999999999995</v>
      </c>
      <c r="N3563" s="381">
        <v>20</v>
      </c>
      <c r="O3563">
        <v>8</v>
      </c>
      <c r="P3563" t="s">
        <v>514</v>
      </c>
      <c r="Q3563" s="97">
        <f t="shared" si="466"/>
        <v>102</v>
      </c>
      <c r="R3563" t="str">
        <f t="shared" si="467"/>
        <v/>
      </c>
    </row>
    <row r="3564" spans="3:18">
      <c r="C3564" t="str">
        <f t="shared" si="468"/>
        <v/>
      </c>
      <c r="D3564">
        <v>103</v>
      </c>
      <c r="E3564">
        <v>95</v>
      </c>
      <c r="F3564" s="366">
        <f t="shared" si="463"/>
        <v>2061.5</v>
      </c>
      <c r="G3564" s="97">
        <v>3485</v>
      </c>
      <c r="H3564" s="367">
        <f t="shared" si="464"/>
        <v>5546.5</v>
      </c>
      <c r="I3564" s="368">
        <f t="shared" si="465"/>
        <v>0</v>
      </c>
      <c r="J3564">
        <v>13554</v>
      </c>
      <c r="K3564" s="367">
        <f t="shared" si="469"/>
        <v>9681.4285714285725</v>
      </c>
      <c r="L3564" s="607">
        <v>0.43</v>
      </c>
      <c r="M3564">
        <v>3.9</v>
      </c>
      <c r="N3564" s="381">
        <v>25</v>
      </c>
      <c r="O3564">
        <v>4</v>
      </c>
      <c r="P3564" t="s">
        <v>515</v>
      </c>
      <c r="Q3564" s="97">
        <f t="shared" si="466"/>
        <v>103</v>
      </c>
      <c r="R3564" t="str">
        <f t="shared" si="467"/>
        <v/>
      </c>
    </row>
    <row r="3565" spans="3:18">
      <c r="C3565" t="str">
        <f t="shared" si="468"/>
        <v/>
      </c>
      <c r="D3565">
        <v>104</v>
      </c>
      <c r="E3565">
        <v>95</v>
      </c>
      <c r="F3565" s="366">
        <f t="shared" si="463"/>
        <v>2061.5</v>
      </c>
      <c r="G3565" s="97">
        <v>4242</v>
      </c>
      <c r="H3565" s="367">
        <f t="shared" si="464"/>
        <v>6303.5</v>
      </c>
      <c r="I3565" s="368">
        <f t="shared" si="465"/>
        <v>0</v>
      </c>
      <c r="J3565">
        <v>16498</v>
      </c>
      <c r="K3565" s="367">
        <f t="shared" si="469"/>
        <v>11784.285714285714</v>
      </c>
      <c r="L3565" s="607">
        <v>0.51</v>
      </c>
      <c r="M3565">
        <v>5.6</v>
      </c>
      <c r="N3565" s="381">
        <v>24</v>
      </c>
      <c r="O3565">
        <v>6</v>
      </c>
      <c r="P3565" t="s">
        <v>514</v>
      </c>
      <c r="Q3565" s="97">
        <f t="shared" si="466"/>
        <v>104</v>
      </c>
      <c r="R3565" t="str">
        <f t="shared" si="467"/>
        <v/>
      </c>
    </row>
    <row r="3566" spans="3:18">
      <c r="C3566" t="str">
        <f t="shared" si="468"/>
        <v/>
      </c>
      <c r="D3566">
        <v>105</v>
      </c>
      <c r="E3566">
        <v>95</v>
      </c>
      <c r="F3566" s="366">
        <f t="shared" si="463"/>
        <v>2061.5</v>
      </c>
      <c r="G3566" s="97">
        <v>3719</v>
      </c>
      <c r="H3566" s="367">
        <f t="shared" si="464"/>
        <v>5780.5</v>
      </c>
      <c r="I3566" s="368">
        <f t="shared" si="465"/>
        <v>0</v>
      </c>
      <c r="J3566">
        <v>14465</v>
      </c>
      <c r="K3566" s="367">
        <f t="shared" si="469"/>
        <v>10332.142857142857</v>
      </c>
      <c r="L3566" s="607">
        <v>0.2</v>
      </c>
      <c r="M3566">
        <v>5.6</v>
      </c>
      <c r="N3566" s="381">
        <v>20</v>
      </c>
      <c r="O3566">
        <v>6</v>
      </c>
      <c r="P3566" t="s">
        <v>515</v>
      </c>
      <c r="Q3566" s="97">
        <f t="shared" si="466"/>
        <v>105</v>
      </c>
      <c r="R3566" t="str">
        <f t="shared" si="467"/>
        <v/>
      </c>
    </row>
    <row r="3567" spans="3:18">
      <c r="C3567" t="str">
        <f t="shared" si="468"/>
        <v/>
      </c>
      <c r="D3567">
        <v>106</v>
      </c>
      <c r="E3567">
        <v>95</v>
      </c>
      <c r="F3567" s="366">
        <f t="shared" si="463"/>
        <v>2061.5</v>
      </c>
      <c r="G3567" s="97">
        <v>5593</v>
      </c>
      <c r="H3567" s="367">
        <f t="shared" si="464"/>
        <v>7654.5</v>
      </c>
      <c r="I3567" s="368">
        <f t="shared" si="465"/>
        <v>0</v>
      </c>
      <c r="J3567">
        <v>21753</v>
      </c>
      <c r="K3567" s="367">
        <f t="shared" si="469"/>
        <v>15537.857142857143</v>
      </c>
      <c r="L3567" s="607">
        <v>0.94000000000000006</v>
      </c>
      <c r="M3567">
        <v>7.3999999999999995</v>
      </c>
      <c r="N3567" s="381">
        <v>27</v>
      </c>
      <c r="O3567">
        <v>8</v>
      </c>
      <c r="P3567" t="s">
        <v>513</v>
      </c>
      <c r="Q3567" s="97" t="str">
        <f t="shared" si="466"/>
        <v/>
      </c>
      <c r="R3567" t="str">
        <f t="shared" si="467"/>
        <v/>
      </c>
    </row>
    <row r="3568" spans="3:18">
      <c r="C3568" t="str">
        <f t="shared" si="468"/>
        <v/>
      </c>
      <c r="D3568">
        <v>107</v>
      </c>
      <c r="E3568">
        <v>95</v>
      </c>
      <c r="F3568" s="366">
        <f t="shared" si="463"/>
        <v>2061.5</v>
      </c>
      <c r="G3568" s="97">
        <v>4399</v>
      </c>
      <c r="H3568" s="367">
        <f t="shared" si="464"/>
        <v>6460.5</v>
      </c>
      <c r="I3568" s="368">
        <f t="shared" si="465"/>
        <v>0</v>
      </c>
      <c r="J3568">
        <v>17107</v>
      </c>
      <c r="K3568" s="367">
        <f t="shared" si="469"/>
        <v>12219.285714285714</v>
      </c>
      <c r="L3568" s="607">
        <v>0.29000000000000004</v>
      </c>
      <c r="M3568">
        <v>7.3999999999999995</v>
      </c>
      <c r="N3568" s="381">
        <v>21</v>
      </c>
      <c r="O3568">
        <v>8</v>
      </c>
      <c r="P3568" t="s">
        <v>514</v>
      </c>
      <c r="Q3568" s="97">
        <f t="shared" si="466"/>
        <v>107</v>
      </c>
      <c r="R3568" t="str">
        <f t="shared" si="467"/>
        <v/>
      </c>
    </row>
    <row r="3569" spans="3:18">
      <c r="C3569" t="str">
        <f t="shared" si="468"/>
        <v/>
      </c>
      <c r="D3569">
        <v>108</v>
      </c>
      <c r="E3569">
        <v>100</v>
      </c>
      <c r="F3569" s="366">
        <f t="shared" si="463"/>
        <v>2170</v>
      </c>
      <c r="G3569" s="97">
        <v>3626</v>
      </c>
      <c r="H3569" s="367">
        <f t="shared" si="464"/>
        <v>5796</v>
      </c>
      <c r="I3569" s="368">
        <f t="shared" si="465"/>
        <v>0</v>
      </c>
      <c r="J3569">
        <v>14102</v>
      </c>
      <c r="K3569" s="367">
        <f t="shared" si="469"/>
        <v>10072.857142857143</v>
      </c>
      <c r="L3569" s="607">
        <v>0.47000000000000003</v>
      </c>
      <c r="M3569">
        <v>3.9</v>
      </c>
      <c r="N3569" s="381">
        <v>25</v>
      </c>
      <c r="O3569">
        <v>4</v>
      </c>
      <c r="P3569" t="s">
        <v>515</v>
      </c>
      <c r="Q3569" s="97">
        <f t="shared" si="466"/>
        <v>108</v>
      </c>
      <c r="R3569" t="str">
        <f t="shared" si="467"/>
        <v/>
      </c>
    </row>
    <row r="3570" spans="3:18">
      <c r="C3570" t="str">
        <f t="shared" si="468"/>
        <v/>
      </c>
      <c r="D3570">
        <v>109</v>
      </c>
      <c r="E3570">
        <v>100</v>
      </c>
      <c r="F3570" s="366">
        <f t="shared" si="463"/>
        <v>2170</v>
      </c>
      <c r="G3570" s="97">
        <v>4417</v>
      </c>
      <c r="H3570" s="367">
        <f t="shared" si="464"/>
        <v>6587</v>
      </c>
      <c r="I3570" s="368">
        <f t="shared" si="465"/>
        <v>0</v>
      </c>
      <c r="J3570">
        <v>17180</v>
      </c>
      <c r="K3570" s="367">
        <f t="shared" si="469"/>
        <v>12271.428571428572</v>
      </c>
      <c r="L3570" s="607">
        <v>0.57000000000000006</v>
      </c>
      <c r="M3570">
        <v>5.6</v>
      </c>
      <c r="N3570" s="381">
        <v>25</v>
      </c>
      <c r="O3570">
        <v>6</v>
      </c>
      <c r="P3570" t="s">
        <v>514</v>
      </c>
      <c r="Q3570" s="97">
        <f t="shared" si="466"/>
        <v>109</v>
      </c>
      <c r="R3570" t="str">
        <f t="shared" si="467"/>
        <v/>
      </c>
    </row>
    <row r="3571" spans="3:18">
      <c r="C3571" t="str">
        <f t="shared" si="468"/>
        <v/>
      </c>
      <c r="D3571">
        <v>110</v>
      </c>
      <c r="E3571">
        <v>100</v>
      </c>
      <c r="F3571" s="366">
        <f t="shared" ref="F3571:F3634" si="470">1.085*($A$2-$B$2)*E3571*$T$7</f>
        <v>2170</v>
      </c>
      <c r="G3571" s="97">
        <v>3879</v>
      </c>
      <c r="H3571" s="367">
        <f t="shared" si="464"/>
        <v>6049</v>
      </c>
      <c r="I3571" s="368">
        <f t="shared" si="465"/>
        <v>0</v>
      </c>
      <c r="J3571">
        <v>15085</v>
      </c>
      <c r="K3571" s="367">
        <f t="shared" si="469"/>
        <v>10775</v>
      </c>
      <c r="L3571" s="607">
        <v>0.22</v>
      </c>
      <c r="M3571">
        <v>5.6</v>
      </c>
      <c r="N3571" s="381">
        <v>21</v>
      </c>
      <c r="O3571">
        <v>6</v>
      </c>
      <c r="P3571" t="s">
        <v>515</v>
      </c>
      <c r="Q3571" s="97">
        <f t="shared" si="466"/>
        <v>110</v>
      </c>
      <c r="R3571" t="str">
        <f t="shared" si="467"/>
        <v/>
      </c>
    </row>
    <row r="3572" spans="3:18">
      <c r="C3572" t="str">
        <f t="shared" si="468"/>
        <v/>
      </c>
      <c r="D3572">
        <v>111</v>
      </c>
      <c r="E3572">
        <v>100</v>
      </c>
      <c r="F3572" s="366">
        <f t="shared" si="470"/>
        <v>2170</v>
      </c>
      <c r="G3572" s="97">
        <v>5814</v>
      </c>
      <c r="H3572" s="367">
        <f t="shared" si="464"/>
        <v>7984</v>
      </c>
      <c r="I3572" s="368">
        <f t="shared" si="465"/>
        <v>0</v>
      </c>
      <c r="J3572">
        <v>22610</v>
      </c>
      <c r="K3572" s="367">
        <f t="shared" si="469"/>
        <v>16150</v>
      </c>
      <c r="L3572" s="607">
        <v>1.05</v>
      </c>
      <c r="M3572">
        <v>7.3999999999999995</v>
      </c>
      <c r="N3572" s="381">
        <v>27</v>
      </c>
      <c r="O3572">
        <v>8</v>
      </c>
      <c r="P3572" t="s">
        <v>513</v>
      </c>
      <c r="Q3572" s="97" t="str">
        <f t="shared" si="466"/>
        <v/>
      </c>
      <c r="R3572" t="str">
        <f t="shared" si="467"/>
        <v/>
      </c>
    </row>
    <row r="3573" spans="3:18">
      <c r="C3573" t="str">
        <f t="shared" si="468"/>
        <v/>
      </c>
      <c r="D3573">
        <v>112</v>
      </c>
      <c r="E3573">
        <v>100</v>
      </c>
      <c r="F3573" s="366">
        <f t="shared" si="470"/>
        <v>2170</v>
      </c>
      <c r="G3573" s="97">
        <v>4593</v>
      </c>
      <c r="H3573" s="367">
        <f t="shared" si="464"/>
        <v>6763</v>
      </c>
      <c r="I3573" s="368">
        <f t="shared" si="465"/>
        <v>0</v>
      </c>
      <c r="J3573">
        <v>17862</v>
      </c>
      <c r="K3573" s="367">
        <f t="shared" si="469"/>
        <v>12758.571428571429</v>
      </c>
      <c r="L3573" s="607">
        <v>0.32</v>
      </c>
      <c r="M3573">
        <v>7.3999999999999995</v>
      </c>
      <c r="N3573" s="381">
        <v>21</v>
      </c>
      <c r="O3573">
        <v>8</v>
      </c>
      <c r="P3573" t="s">
        <v>514</v>
      </c>
      <c r="Q3573" s="97">
        <f t="shared" si="466"/>
        <v>112</v>
      </c>
      <c r="R3573" t="str">
        <f t="shared" si="467"/>
        <v/>
      </c>
    </row>
    <row r="3574" spans="3:18">
      <c r="C3574" t="str">
        <f t="shared" si="468"/>
        <v/>
      </c>
      <c r="D3574">
        <v>113</v>
      </c>
      <c r="E3574">
        <v>105</v>
      </c>
      <c r="F3574" s="366">
        <f t="shared" si="470"/>
        <v>2278.5</v>
      </c>
      <c r="G3574" s="97">
        <v>3766</v>
      </c>
      <c r="H3574" s="367">
        <f t="shared" si="464"/>
        <v>6044.5</v>
      </c>
      <c r="I3574" s="368">
        <f t="shared" si="465"/>
        <v>0</v>
      </c>
      <c r="J3574">
        <v>14648</v>
      </c>
      <c r="K3574" s="367">
        <f t="shared" si="469"/>
        <v>10462.857142857143</v>
      </c>
      <c r="L3574" s="607">
        <v>0.52</v>
      </c>
      <c r="M3574">
        <v>3.9</v>
      </c>
      <c r="N3574" s="381">
        <v>26</v>
      </c>
      <c r="O3574">
        <v>4</v>
      </c>
      <c r="P3574" t="s">
        <v>515</v>
      </c>
      <c r="Q3574" s="97">
        <f t="shared" si="466"/>
        <v>113</v>
      </c>
      <c r="R3574" t="str">
        <f t="shared" si="467"/>
        <v/>
      </c>
    </row>
    <row r="3575" spans="3:18">
      <c r="C3575" t="str">
        <f t="shared" si="468"/>
        <v/>
      </c>
      <c r="D3575">
        <v>114</v>
      </c>
      <c r="E3575">
        <v>105</v>
      </c>
      <c r="F3575" s="366">
        <f t="shared" si="470"/>
        <v>2278.5</v>
      </c>
      <c r="G3575" s="97">
        <v>4593</v>
      </c>
      <c r="H3575" s="367">
        <f t="shared" si="464"/>
        <v>6871.5</v>
      </c>
      <c r="I3575" s="368">
        <f t="shared" si="465"/>
        <v>0</v>
      </c>
      <c r="J3575">
        <v>17862</v>
      </c>
      <c r="K3575" s="367">
        <f t="shared" si="469"/>
        <v>12758.571428571429</v>
      </c>
      <c r="L3575" s="607">
        <v>0.63</v>
      </c>
      <c r="M3575">
        <v>5.6</v>
      </c>
      <c r="N3575" s="381">
        <v>25</v>
      </c>
      <c r="O3575">
        <v>6</v>
      </c>
      <c r="P3575" t="s">
        <v>514</v>
      </c>
      <c r="Q3575" s="97">
        <f t="shared" si="466"/>
        <v>114</v>
      </c>
      <c r="R3575" t="str">
        <f t="shared" si="467"/>
        <v/>
      </c>
    </row>
    <row r="3576" spans="3:18">
      <c r="C3576" t="str">
        <f t="shared" si="468"/>
        <v/>
      </c>
      <c r="D3576">
        <v>115</v>
      </c>
      <c r="E3576">
        <v>105</v>
      </c>
      <c r="F3576" s="366">
        <f t="shared" si="470"/>
        <v>2278.5</v>
      </c>
      <c r="G3576" s="97">
        <v>4038</v>
      </c>
      <c r="H3576" s="367">
        <f t="shared" si="464"/>
        <v>6316.5</v>
      </c>
      <c r="I3576" s="368">
        <f t="shared" si="465"/>
        <v>0</v>
      </c>
      <c r="J3576">
        <v>15705</v>
      </c>
      <c r="K3576" s="367">
        <f t="shared" si="469"/>
        <v>11217.857142857143</v>
      </c>
      <c r="L3576" s="607">
        <v>0.24000000000000002</v>
      </c>
      <c r="M3576">
        <v>5.6</v>
      </c>
      <c r="N3576" s="381">
        <v>22</v>
      </c>
      <c r="O3576">
        <v>6</v>
      </c>
      <c r="P3576" t="s">
        <v>515</v>
      </c>
      <c r="Q3576" s="97">
        <f t="shared" si="466"/>
        <v>115</v>
      </c>
      <c r="R3576" t="str">
        <f t="shared" si="467"/>
        <v/>
      </c>
    </row>
    <row r="3577" spans="3:18">
      <c r="C3577" t="str">
        <f t="shared" si="468"/>
        <v/>
      </c>
      <c r="D3577">
        <v>116</v>
      </c>
      <c r="E3577">
        <v>105</v>
      </c>
      <c r="F3577" s="366">
        <f t="shared" si="470"/>
        <v>2278.5</v>
      </c>
      <c r="G3577" s="97">
        <v>4785</v>
      </c>
      <c r="H3577" s="367">
        <f t="shared" si="464"/>
        <v>7063.5</v>
      </c>
      <c r="I3577" s="368">
        <f t="shared" si="465"/>
        <v>0</v>
      </c>
      <c r="J3577">
        <v>18611</v>
      </c>
      <c r="K3577" s="367">
        <f t="shared" si="469"/>
        <v>13293.571428571429</v>
      </c>
      <c r="L3577" s="607">
        <v>0.35000000000000003</v>
      </c>
      <c r="M3577">
        <v>7.3999999999999995</v>
      </c>
      <c r="N3577" s="381">
        <v>22</v>
      </c>
      <c r="O3577">
        <v>8</v>
      </c>
      <c r="P3577" t="s">
        <v>514</v>
      </c>
      <c r="Q3577" s="97">
        <f t="shared" si="466"/>
        <v>116</v>
      </c>
      <c r="R3577" t="str">
        <f t="shared" si="467"/>
        <v/>
      </c>
    </row>
    <row r="3578" spans="3:18">
      <c r="C3578" t="str">
        <f t="shared" si="468"/>
        <v/>
      </c>
      <c r="D3578">
        <v>117</v>
      </c>
      <c r="E3578">
        <v>110</v>
      </c>
      <c r="F3578" s="366">
        <f t="shared" si="470"/>
        <v>2387</v>
      </c>
      <c r="G3578" s="97">
        <v>3904</v>
      </c>
      <c r="H3578" s="367">
        <f t="shared" si="464"/>
        <v>6291</v>
      </c>
      <c r="I3578" s="368">
        <f t="shared" si="465"/>
        <v>0</v>
      </c>
      <c r="J3578">
        <v>15184</v>
      </c>
      <c r="K3578" s="367">
        <f t="shared" si="469"/>
        <v>10845.714285714286</v>
      </c>
      <c r="L3578" s="607">
        <v>0.57000000000000006</v>
      </c>
      <c r="M3578">
        <v>3.9</v>
      </c>
      <c r="N3578" s="381">
        <v>27</v>
      </c>
      <c r="O3578">
        <v>4</v>
      </c>
      <c r="P3578" t="s">
        <v>515</v>
      </c>
      <c r="Q3578" s="97">
        <f t="shared" si="466"/>
        <v>117</v>
      </c>
      <c r="R3578" t="str">
        <f t="shared" si="467"/>
        <v/>
      </c>
    </row>
    <row r="3579" spans="3:18">
      <c r="C3579" t="str">
        <f t="shared" si="468"/>
        <v/>
      </c>
      <c r="D3579">
        <v>118</v>
      </c>
      <c r="E3579">
        <v>110</v>
      </c>
      <c r="F3579" s="366">
        <f t="shared" si="470"/>
        <v>2387</v>
      </c>
      <c r="G3579" s="97">
        <v>4768</v>
      </c>
      <c r="H3579" s="367">
        <f t="shared" si="464"/>
        <v>7155</v>
      </c>
      <c r="I3579" s="368">
        <f t="shared" si="465"/>
        <v>0</v>
      </c>
      <c r="J3579">
        <v>18544</v>
      </c>
      <c r="K3579" s="367">
        <f t="shared" si="469"/>
        <v>13245.714285714286</v>
      </c>
      <c r="L3579" s="607">
        <v>0.69000000000000006</v>
      </c>
      <c r="M3579">
        <v>5.6</v>
      </c>
      <c r="N3579" s="381">
        <v>26</v>
      </c>
      <c r="O3579">
        <v>6</v>
      </c>
      <c r="P3579" t="s">
        <v>514</v>
      </c>
      <c r="Q3579" s="97">
        <f t="shared" si="466"/>
        <v>118</v>
      </c>
      <c r="R3579" t="str">
        <f t="shared" si="467"/>
        <v/>
      </c>
    </row>
    <row r="3580" spans="3:18">
      <c r="C3580" t="str">
        <f t="shared" si="468"/>
        <v/>
      </c>
      <c r="D3580">
        <v>119</v>
      </c>
      <c r="E3580">
        <v>110</v>
      </c>
      <c r="F3580" s="366">
        <f t="shared" si="470"/>
        <v>2387</v>
      </c>
      <c r="G3580" s="97">
        <v>4197</v>
      </c>
      <c r="H3580" s="367">
        <f t="shared" si="464"/>
        <v>6584</v>
      </c>
      <c r="I3580" s="368">
        <f t="shared" si="465"/>
        <v>0</v>
      </c>
      <c r="J3580">
        <v>16322</v>
      </c>
      <c r="K3580" s="367">
        <f t="shared" si="469"/>
        <v>11658.571428571429</v>
      </c>
      <c r="L3580" s="607">
        <v>0.26</v>
      </c>
      <c r="M3580">
        <v>5.6</v>
      </c>
      <c r="N3580" s="381">
        <v>22</v>
      </c>
      <c r="O3580">
        <v>6</v>
      </c>
      <c r="P3580" t="s">
        <v>515</v>
      </c>
      <c r="Q3580" s="97">
        <f t="shared" si="466"/>
        <v>119</v>
      </c>
      <c r="R3580" t="str">
        <f t="shared" si="467"/>
        <v/>
      </c>
    </row>
    <row r="3581" spans="3:18">
      <c r="C3581" t="str">
        <f t="shared" si="468"/>
        <v/>
      </c>
      <c r="D3581">
        <v>120</v>
      </c>
      <c r="E3581">
        <v>110</v>
      </c>
      <c r="F3581" s="366">
        <f t="shared" si="470"/>
        <v>2387</v>
      </c>
      <c r="G3581" s="97">
        <v>4969</v>
      </c>
      <c r="H3581" s="367">
        <f t="shared" si="464"/>
        <v>7356</v>
      </c>
      <c r="I3581" s="368">
        <f t="shared" si="465"/>
        <v>0</v>
      </c>
      <c r="J3581">
        <v>19325</v>
      </c>
      <c r="K3581" s="367">
        <f t="shared" si="469"/>
        <v>13803.571428571429</v>
      </c>
      <c r="L3581" s="607">
        <v>0.39</v>
      </c>
      <c r="M3581">
        <v>7.3999999999999995</v>
      </c>
      <c r="N3581" s="381">
        <v>22</v>
      </c>
      <c r="O3581">
        <v>8</v>
      </c>
      <c r="P3581" t="s">
        <v>514</v>
      </c>
      <c r="Q3581" s="97">
        <f t="shared" si="466"/>
        <v>120</v>
      </c>
      <c r="R3581" t="str">
        <f t="shared" si="467"/>
        <v/>
      </c>
    </row>
    <row r="3582" spans="3:18">
      <c r="C3582" t="str">
        <f t="shared" si="468"/>
        <v/>
      </c>
      <c r="D3582">
        <v>121</v>
      </c>
      <c r="E3582">
        <v>115</v>
      </c>
      <c r="F3582" s="366">
        <f t="shared" si="470"/>
        <v>2495.5</v>
      </c>
      <c r="G3582" s="97">
        <v>4038</v>
      </c>
      <c r="H3582" s="367">
        <f t="shared" si="464"/>
        <v>6533.5</v>
      </c>
      <c r="I3582" s="368">
        <f t="shared" si="465"/>
        <v>0</v>
      </c>
      <c r="J3582">
        <v>15703</v>
      </c>
      <c r="K3582" s="367">
        <f t="shared" si="469"/>
        <v>11216.428571428572</v>
      </c>
      <c r="L3582" s="607">
        <v>0.6</v>
      </c>
      <c r="M3582">
        <v>3.9</v>
      </c>
      <c r="N3582" s="381">
        <v>27</v>
      </c>
      <c r="O3582">
        <v>4</v>
      </c>
      <c r="P3582" t="s">
        <v>515</v>
      </c>
      <c r="Q3582" s="97">
        <f t="shared" si="466"/>
        <v>121</v>
      </c>
      <c r="R3582" t="str">
        <f t="shared" si="467"/>
        <v/>
      </c>
    </row>
    <row r="3583" spans="3:18">
      <c r="C3583" t="str">
        <f t="shared" si="468"/>
        <v/>
      </c>
      <c r="D3583">
        <v>122</v>
      </c>
      <c r="E3583">
        <v>115</v>
      </c>
      <c r="F3583" s="366">
        <f t="shared" si="470"/>
        <v>2495.5</v>
      </c>
      <c r="G3583" s="97">
        <v>4933</v>
      </c>
      <c r="H3583" s="367">
        <f t="shared" si="464"/>
        <v>7428.5</v>
      </c>
      <c r="I3583" s="368">
        <f t="shared" si="465"/>
        <v>0</v>
      </c>
      <c r="J3583">
        <v>19187</v>
      </c>
      <c r="K3583" s="367">
        <f t="shared" si="469"/>
        <v>13705</v>
      </c>
      <c r="L3583" s="607">
        <v>0.73</v>
      </c>
      <c r="M3583">
        <v>5.6</v>
      </c>
      <c r="N3583" s="381">
        <v>26</v>
      </c>
      <c r="O3583">
        <v>6</v>
      </c>
      <c r="P3583" t="s">
        <v>514</v>
      </c>
      <c r="Q3583" s="97" t="str">
        <f t="shared" si="466"/>
        <v/>
      </c>
      <c r="R3583" t="str">
        <f t="shared" si="467"/>
        <v/>
      </c>
    </row>
    <row r="3584" spans="3:18">
      <c r="C3584" t="str">
        <f t="shared" si="468"/>
        <v/>
      </c>
      <c r="D3584">
        <v>123</v>
      </c>
      <c r="E3584">
        <v>115</v>
      </c>
      <c r="F3584" s="366">
        <f t="shared" si="470"/>
        <v>2495.5</v>
      </c>
      <c r="G3584" s="97">
        <v>4346</v>
      </c>
      <c r="H3584" s="367">
        <f t="shared" si="464"/>
        <v>6841.5</v>
      </c>
      <c r="I3584" s="368">
        <f t="shared" si="465"/>
        <v>0</v>
      </c>
      <c r="J3584">
        <v>16902</v>
      </c>
      <c r="K3584" s="367">
        <f t="shared" si="469"/>
        <v>12072.857142857143</v>
      </c>
      <c r="L3584" s="607">
        <v>0.26</v>
      </c>
      <c r="M3584">
        <v>5.6</v>
      </c>
      <c r="N3584" s="381">
        <v>23</v>
      </c>
      <c r="O3584">
        <v>6</v>
      </c>
      <c r="P3584" t="s">
        <v>515</v>
      </c>
      <c r="Q3584" s="97">
        <f t="shared" si="466"/>
        <v>123</v>
      </c>
      <c r="R3584" t="str">
        <f t="shared" si="467"/>
        <v/>
      </c>
    </row>
    <row r="3585" spans="3:18">
      <c r="C3585" t="str">
        <f t="shared" si="468"/>
        <v/>
      </c>
      <c r="D3585">
        <v>124</v>
      </c>
      <c r="E3585">
        <v>115</v>
      </c>
      <c r="F3585" s="366">
        <f t="shared" si="470"/>
        <v>2495.5</v>
      </c>
      <c r="G3585" s="97">
        <v>5153</v>
      </c>
      <c r="H3585" s="367">
        <f t="shared" si="464"/>
        <v>7648.5</v>
      </c>
      <c r="I3585" s="368">
        <f t="shared" si="465"/>
        <v>0</v>
      </c>
      <c r="J3585">
        <v>20040</v>
      </c>
      <c r="K3585" s="367">
        <f t="shared" si="469"/>
        <v>14314.285714285714</v>
      </c>
      <c r="L3585" s="607">
        <v>0.4</v>
      </c>
      <c r="M3585">
        <v>7.3999999999999995</v>
      </c>
      <c r="N3585" s="381">
        <v>23</v>
      </c>
      <c r="O3585">
        <v>8</v>
      </c>
      <c r="P3585" t="s">
        <v>514</v>
      </c>
      <c r="Q3585" s="97">
        <f t="shared" si="466"/>
        <v>124</v>
      </c>
      <c r="R3585" t="str">
        <f t="shared" si="467"/>
        <v/>
      </c>
    </row>
    <row r="3586" spans="3:18">
      <c r="C3586" t="str">
        <f t="shared" si="468"/>
        <v/>
      </c>
      <c r="D3586">
        <v>125</v>
      </c>
      <c r="E3586">
        <v>120</v>
      </c>
      <c r="F3586" s="366">
        <f t="shared" si="470"/>
        <v>2604</v>
      </c>
      <c r="G3586" s="97">
        <v>4171</v>
      </c>
      <c r="H3586" s="367">
        <f t="shared" si="464"/>
        <v>6775</v>
      </c>
      <c r="I3586" s="368">
        <f t="shared" si="465"/>
        <v>0</v>
      </c>
      <c r="J3586">
        <v>16223</v>
      </c>
      <c r="K3586" s="367">
        <f t="shared" si="469"/>
        <v>11587.857142857143</v>
      </c>
      <c r="L3586" s="607">
        <v>0.65</v>
      </c>
      <c r="M3586">
        <v>3.9</v>
      </c>
      <c r="N3586" s="381">
        <v>28</v>
      </c>
      <c r="O3586">
        <v>4</v>
      </c>
      <c r="P3586" t="s">
        <v>515</v>
      </c>
      <c r="Q3586" s="97">
        <f t="shared" si="466"/>
        <v>125</v>
      </c>
      <c r="R3586" t="str">
        <f t="shared" si="467"/>
        <v/>
      </c>
    </row>
    <row r="3587" spans="3:18">
      <c r="C3587" t="str">
        <f t="shared" si="468"/>
        <v/>
      </c>
      <c r="D3587">
        <v>126</v>
      </c>
      <c r="E3587">
        <v>120</v>
      </c>
      <c r="F3587" s="366">
        <f t="shared" si="470"/>
        <v>2604</v>
      </c>
      <c r="G3587" s="97">
        <v>5098</v>
      </c>
      <c r="H3587" s="367">
        <f t="shared" si="464"/>
        <v>7702</v>
      </c>
      <c r="I3587" s="368">
        <f t="shared" si="465"/>
        <v>0</v>
      </c>
      <c r="J3587">
        <v>19828</v>
      </c>
      <c r="K3587" s="367">
        <f t="shared" si="469"/>
        <v>14162.857142857143</v>
      </c>
      <c r="L3587" s="607">
        <v>0.79</v>
      </c>
      <c r="M3587">
        <v>5.6</v>
      </c>
      <c r="N3587" s="381">
        <v>27</v>
      </c>
      <c r="O3587">
        <v>6</v>
      </c>
      <c r="P3587" t="s">
        <v>514</v>
      </c>
      <c r="Q3587" s="97" t="str">
        <f t="shared" si="466"/>
        <v/>
      </c>
      <c r="R3587" t="str">
        <f t="shared" si="467"/>
        <v/>
      </c>
    </row>
    <row r="3588" spans="3:18">
      <c r="C3588" t="str">
        <f t="shared" si="468"/>
        <v/>
      </c>
      <c r="D3588">
        <v>127</v>
      </c>
      <c r="E3588">
        <v>120</v>
      </c>
      <c r="F3588" s="366">
        <f t="shared" si="470"/>
        <v>2604</v>
      </c>
      <c r="G3588" s="97">
        <v>4495</v>
      </c>
      <c r="H3588" s="367">
        <f t="shared" si="464"/>
        <v>7099</v>
      </c>
      <c r="I3588" s="368">
        <f t="shared" si="465"/>
        <v>0</v>
      </c>
      <c r="J3588">
        <v>17483</v>
      </c>
      <c r="K3588" s="367">
        <f t="shared" si="469"/>
        <v>12487.857142857143</v>
      </c>
      <c r="L3588" s="607">
        <v>0.28000000000000003</v>
      </c>
      <c r="M3588">
        <v>5.6</v>
      </c>
      <c r="N3588" s="381">
        <v>23</v>
      </c>
      <c r="O3588">
        <v>6</v>
      </c>
      <c r="P3588" t="s">
        <v>515</v>
      </c>
      <c r="Q3588" s="97">
        <f t="shared" si="466"/>
        <v>127</v>
      </c>
      <c r="R3588" t="str">
        <f t="shared" si="467"/>
        <v/>
      </c>
    </row>
    <row r="3589" spans="3:18">
      <c r="C3589" t="str">
        <f t="shared" si="468"/>
        <v/>
      </c>
      <c r="D3589">
        <v>128</v>
      </c>
      <c r="E3589">
        <v>120</v>
      </c>
      <c r="F3589" s="366">
        <f t="shared" si="470"/>
        <v>2604</v>
      </c>
      <c r="G3589" s="97">
        <v>5337</v>
      </c>
      <c r="H3589" s="367">
        <f t="shared" si="464"/>
        <v>7941</v>
      </c>
      <c r="I3589" s="368">
        <f t="shared" si="465"/>
        <v>0</v>
      </c>
      <c r="J3589">
        <v>20755</v>
      </c>
      <c r="K3589" s="367">
        <f t="shared" si="469"/>
        <v>14825</v>
      </c>
      <c r="L3589" s="607">
        <v>0.43</v>
      </c>
      <c r="M3589">
        <v>7.3999999999999995</v>
      </c>
      <c r="N3589" s="381">
        <v>23</v>
      </c>
      <c r="O3589">
        <v>8</v>
      </c>
      <c r="P3589" t="s">
        <v>514</v>
      </c>
      <c r="Q3589" s="97">
        <f t="shared" si="466"/>
        <v>128</v>
      </c>
      <c r="R3589" t="str">
        <f t="shared" si="467"/>
        <v/>
      </c>
    </row>
    <row r="3590" spans="3:18">
      <c r="C3590" t="str">
        <f t="shared" si="468"/>
        <v/>
      </c>
      <c r="D3590">
        <v>129</v>
      </c>
      <c r="E3590">
        <v>120</v>
      </c>
      <c r="F3590" s="366">
        <f t="shared" si="470"/>
        <v>2604</v>
      </c>
      <c r="G3590" s="97">
        <v>4679</v>
      </c>
      <c r="H3590" s="367">
        <f t="shared" si="464"/>
        <v>7283</v>
      </c>
      <c r="I3590" s="368">
        <f t="shared" si="465"/>
        <v>0</v>
      </c>
      <c r="J3590">
        <v>18198</v>
      </c>
      <c r="K3590" s="367">
        <f t="shared" si="469"/>
        <v>12998.571428571429</v>
      </c>
      <c r="L3590" s="607">
        <v>0.17</v>
      </c>
      <c r="M3590">
        <v>7.3999999999999995</v>
      </c>
      <c r="N3590" s="381">
        <v>20</v>
      </c>
      <c r="O3590">
        <v>8</v>
      </c>
      <c r="P3590" t="s">
        <v>515</v>
      </c>
      <c r="Q3590" s="97">
        <f t="shared" si="466"/>
        <v>129</v>
      </c>
      <c r="R3590" t="str">
        <f t="shared" si="467"/>
        <v/>
      </c>
    </row>
    <row r="3591" spans="3:18">
      <c r="C3591" t="str">
        <f t="shared" si="468"/>
        <v/>
      </c>
      <c r="D3591">
        <v>130</v>
      </c>
      <c r="E3591">
        <v>125</v>
      </c>
      <c r="F3591" s="366">
        <f t="shared" si="470"/>
        <v>2712.5</v>
      </c>
      <c r="G3591" s="97">
        <v>4299</v>
      </c>
      <c r="H3591" s="367">
        <f t="shared" ref="H3591:H3654" si="471">(G3591*$U$7)+F3591</f>
        <v>7011.5</v>
      </c>
      <c r="I3591" s="368">
        <f t="shared" ref="I3591:I3654" si="472">1.085*($C$2-$D$2)*E3591*$T$7</f>
        <v>0</v>
      </c>
      <c r="J3591">
        <v>16721</v>
      </c>
      <c r="K3591" s="367">
        <f t="shared" si="469"/>
        <v>11943.571428571429</v>
      </c>
      <c r="L3591" s="607">
        <v>0.71</v>
      </c>
      <c r="M3591">
        <v>3.9</v>
      </c>
      <c r="N3591" s="381">
        <v>28</v>
      </c>
      <c r="O3591">
        <v>4</v>
      </c>
      <c r="P3591" t="s">
        <v>515</v>
      </c>
      <c r="Q3591" s="97">
        <f t="shared" ref="Q3591:Q3654" si="473">IF(AND(H3591+1&gt;$E$4,L3591&lt;$L$4+0.01,M3591&lt;$M$4+0.01,K3591+1&gt;$F$4,E3591+1&gt;$J$4,N3591&lt;$K$4+1,O3591&lt;$P$4+1,C3591=""),D3591,"")</f>
        <v>130</v>
      </c>
      <c r="R3591" t="str">
        <f t="shared" ref="R3591:R3654" si="474">IF(Q3591="","",IF(AND(O3591&lt;$X$30,E3591&gt;$U$30,E3591&lt;$Q$4+$U$30+1),D3591,""))</f>
        <v/>
      </c>
    </row>
    <row r="3592" spans="3:18">
      <c r="C3592" t="str">
        <f t="shared" si="468"/>
        <v/>
      </c>
      <c r="D3592">
        <v>131</v>
      </c>
      <c r="E3592">
        <v>125</v>
      </c>
      <c r="F3592" s="366">
        <f t="shared" si="470"/>
        <v>2712.5</v>
      </c>
      <c r="G3592" s="97">
        <v>5263</v>
      </c>
      <c r="H3592" s="367">
        <f t="shared" si="471"/>
        <v>7975.5</v>
      </c>
      <c r="I3592" s="368">
        <f t="shared" si="472"/>
        <v>0</v>
      </c>
      <c r="J3592">
        <v>20468</v>
      </c>
      <c r="K3592" s="367">
        <f t="shared" si="469"/>
        <v>14620</v>
      </c>
      <c r="L3592" s="607">
        <v>0.86</v>
      </c>
      <c r="M3592">
        <v>5.6</v>
      </c>
      <c r="N3592" s="381">
        <v>27</v>
      </c>
      <c r="O3592">
        <v>6</v>
      </c>
      <c r="P3592" t="s">
        <v>514</v>
      </c>
      <c r="Q3592" s="97" t="str">
        <f t="shared" si="473"/>
        <v/>
      </c>
      <c r="R3592" t="str">
        <f t="shared" si="474"/>
        <v/>
      </c>
    </row>
    <row r="3593" spans="3:18">
      <c r="C3593" t="str">
        <f t="shared" si="468"/>
        <v/>
      </c>
      <c r="D3593">
        <v>132</v>
      </c>
      <c r="E3593">
        <v>125</v>
      </c>
      <c r="F3593" s="366">
        <f t="shared" si="470"/>
        <v>2712.5</v>
      </c>
      <c r="G3593" s="97">
        <v>4645</v>
      </c>
      <c r="H3593" s="367">
        <f t="shared" si="471"/>
        <v>7357.5</v>
      </c>
      <c r="I3593" s="368">
        <f t="shared" si="472"/>
        <v>0</v>
      </c>
      <c r="J3593">
        <v>18064</v>
      </c>
      <c r="K3593" s="367">
        <f t="shared" si="469"/>
        <v>12902.857142857143</v>
      </c>
      <c r="L3593" s="607">
        <v>0.31</v>
      </c>
      <c r="M3593">
        <v>5.6</v>
      </c>
      <c r="N3593" s="381">
        <v>24</v>
      </c>
      <c r="O3593">
        <v>6</v>
      </c>
      <c r="P3593" t="s">
        <v>515</v>
      </c>
      <c r="Q3593" s="97">
        <f t="shared" si="473"/>
        <v>132</v>
      </c>
      <c r="R3593" t="str">
        <f t="shared" si="474"/>
        <v/>
      </c>
    </row>
    <row r="3594" spans="3:18">
      <c r="C3594" t="str">
        <f t="shared" si="468"/>
        <v/>
      </c>
      <c r="D3594">
        <v>133</v>
      </c>
      <c r="E3594">
        <v>125</v>
      </c>
      <c r="F3594" s="366">
        <f t="shared" si="470"/>
        <v>2712.5</v>
      </c>
      <c r="G3594" s="97">
        <v>5520</v>
      </c>
      <c r="H3594" s="367">
        <f t="shared" si="471"/>
        <v>8232.5</v>
      </c>
      <c r="I3594" s="368">
        <f t="shared" si="472"/>
        <v>0</v>
      </c>
      <c r="J3594">
        <v>21469</v>
      </c>
      <c r="K3594" s="367">
        <f t="shared" si="469"/>
        <v>15335</v>
      </c>
      <c r="L3594" s="607">
        <v>0.47000000000000003</v>
      </c>
      <c r="M3594">
        <v>7.3999999999999995</v>
      </c>
      <c r="N3594" s="381">
        <v>24</v>
      </c>
      <c r="O3594">
        <v>8</v>
      </c>
      <c r="P3594" t="s">
        <v>514</v>
      </c>
      <c r="Q3594" s="97">
        <f t="shared" si="473"/>
        <v>133</v>
      </c>
      <c r="R3594" t="str">
        <f t="shared" si="474"/>
        <v/>
      </c>
    </row>
    <row r="3595" spans="3:18">
      <c r="C3595" t="str">
        <f t="shared" si="468"/>
        <v/>
      </c>
      <c r="D3595">
        <v>134</v>
      </c>
      <c r="E3595">
        <v>125</v>
      </c>
      <c r="F3595" s="366">
        <f t="shared" si="470"/>
        <v>2712.5</v>
      </c>
      <c r="G3595" s="97">
        <v>4840</v>
      </c>
      <c r="H3595" s="367">
        <f t="shared" si="471"/>
        <v>7552.5</v>
      </c>
      <c r="I3595" s="368">
        <f t="shared" si="472"/>
        <v>0</v>
      </c>
      <c r="J3595">
        <v>18823</v>
      </c>
      <c r="K3595" s="367">
        <f t="shared" si="469"/>
        <v>13445</v>
      </c>
      <c r="L3595" s="607">
        <v>0.18000000000000002</v>
      </c>
      <c r="M3595">
        <v>7.3999999999999995</v>
      </c>
      <c r="N3595" s="381">
        <v>21</v>
      </c>
      <c r="O3595">
        <v>8</v>
      </c>
      <c r="P3595" t="s">
        <v>515</v>
      </c>
      <c r="Q3595" s="97">
        <f t="shared" si="473"/>
        <v>134</v>
      </c>
      <c r="R3595" t="str">
        <f t="shared" si="474"/>
        <v/>
      </c>
    </row>
    <row r="3596" spans="3:18">
      <c r="C3596" t="str">
        <f t="shared" si="468"/>
        <v/>
      </c>
      <c r="D3596">
        <v>135</v>
      </c>
      <c r="E3596">
        <v>130</v>
      </c>
      <c r="F3596" s="366">
        <f t="shared" si="470"/>
        <v>2821</v>
      </c>
      <c r="G3596" s="97">
        <v>4427</v>
      </c>
      <c r="H3596" s="367">
        <f t="shared" si="471"/>
        <v>7248</v>
      </c>
      <c r="I3596" s="368">
        <f t="shared" si="472"/>
        <v>0</v>
      </c>
      <c r="J3596">
        <v>17216</v>
      </c>
      <c r="K3596" s="367">
        <f t="shared" si="469"/>
        <v>12297.142857142857</v>
      </c>
      <c r="L3596" s="607">
        <v>0.77</v>
      </c>
      <c r="M3596">
        <v>3.9</v>
      </c>
      <c r="N3596" s="381">
        <v>29</v>
      </c>
      <c r="O3596">
        <v>4</v>
      </c>
      <c r="P3596" t="s">
        <v>515</v>
      </c>
      <c r="Q3596" s="97" t="str">
        <f t="shared" si="473"/>
        <v/>
      </c>
      <c r="R3596" t="str">
        <f t="shared" si="474"/>
        <v/>
      </c>
    </row>
    <row r="3597" spans="3:18">
      <c r="C3597" t="str">
        <f t="shared" si="468"/>
        <v/>
      </c>
      <c r="D3597">
        <v>136</v>
      </c>
      <c r="E3597">
        <v>130</v>
      </c>
      <c r="F3597" s="366">
        <f t="shared" si="470"/>
        <v>2821</v>
      </c>
      <c r="G3597" s="97">
        <v>5423</v>
      </c>
      <c r="H3597" s="367">
        <f t="shared" si="471"/>
        <v>8244</v>
      </c>
      <c r="I3597" s="368">
        <f t="shared" si="472"/>
        <v>0</v>
      </c>
      <c r="J3597">
        <v>21091</v>
      </c>
      <c r="K3597" s="367">
        <f t="shared" si="469"/>
        <v>15065</v>
      </c>
      <c r="L3597" s="607">
        <v>0.93</v>
      </c>
      <c r="M3597">
        <v>5.6</v>
      </c>
      <c r="N3597" s="381">
        <v>28</v>
      </c>
      <c r="O3597">
        <v>6</v>
      </c>
      <c r="P3597" t="s">
        <v>514</v>
      </c>
      <c r="Q3597" s="97" t="str">
        <f t="shared" si="473"/>
        <v/>
      </c>
      <c r="R3597" t="str">
        <f t="shared" si="474"/>
        <v/>
      </c>
    </row>
    <row r="3598" spans="3:18">
      <c r="C3598" t="str">
        <f t="shared" si="468"/>
        <v/>
      </c>
      <c r="D3598">
        <v>137</v>
      </c>
      <c r="E3598">
        <v>130</v>
      </c>
      <c r="F3598" s="366">
        <f t="shared" si="470"/>
        <v>2821</v>
      </c>
      <c r="G3598" s="97">
        <v>4793</v>
      </c>
      <c r="H3598" s="367">
        <f t="shared" si="471"/>
        <v>7614</v>
      </c>
      <c r="I3598" s="368">
        <f t="shared" si="472"/>
        <v>0</v>
      </c>
      <c r="J3598">
        <v>18642</v>
      </c>
      <c r="K3598" s="367">
        <f t="shared" si="469"/>
        <v>13315.714285714286</v>
      </c>
      <c r="L3598" s="607">
        <v>0.33</v>
      </c>
      <c r="M3598">
        <v>5.6</v>
      </c>
      <c r="N3598" s="381">
        <v>24</v>
      </c>
      <c r="O3598">
        <v>6</v>
      </c>
      <c r="P3598" t="s">
        <v>515</v>
      </c>
      <c r="Q3598" s="97">
        <f t="shared" si="473"/>
        <v>137</v>
      </c>
      <c r="R3598" t="str">
        <f t="shared" si="474"/>
        <v/>
      </c>
    </row>
    <row r="3599" spans="3:18">
      <c r="C3599" t="str">
        <f t="shared" si="468"/>
        <v/>
      </c>
      <c r="D3599">
        <v>138</v>
      </c>
      <c r="E3599">
        <v>130</v>
      </c>
      <c r="F3599" s="366">
        <f t="shared" si="470"/>
        <v>2821</v>
      </c>
      <c r="G3599" s="97">
        <v>5693</v>
      </c>
      <c r="H3599" s="367">
        <f t="shared" si="471"/>
        <v>8514</v>
      </c>
      <c r="I3599" s="368">
        <f t="shared" si="472"/>
        <v>0</v>
      </c>
      <c r="J3599">
        <v>22142</v>
      </c>
      <c r="K3599" s="367">
        <f t="shared" si="469"/>
        <v>15815.714285714286</v>
      </c>
      <c r="L3599" s="607">
        <v>0.51</v>
      </c>
      <c r="M3599">
        <v>7.3999999999999995</v>
      </c>
      <c r="N3599" s="381">
        <v>24</v>
      </c>
      <c r="O3599">
        <v>8</v>
      </c>
      <c r="P3599" t="s">
        <v>514</v>
      </c>
      <c r="Q3599" s="97">
        <f t="shared" si="473"/>
        <v>138</v>
      </c>
      <c r="R3599" t="str">
        <f t="shared" si="474"/>
        <v/>
      </c>
    </row>
    <row r="3600" spans="3:18">
      <c r="C3600" t="str">
        <f t="shared" si="468"/>
        <v/>
      </c>
      <c r="D3600">
        <v>139</v>
      </c>
      <c r="E3600">
        <v>130</v>
      </c>
      <c r="F3600" s="366">
        <f t="shared" si="470"/>
        <v>2821</v>
      </c>
      <c r="G3600" s="97">
        <v>4996</v>
      </c>
      <c r="H3600" s="367">
        <f t="shared" si="471"/>
        <v>7817</v>
      </c>
      <c r="I3600" s="368">
        <f t="shared" si="472"/>
        <v>0</v>
      </c>
      <c r="J3600">
        <v>19431</v>
      </c>
      <c r="K3600" s="367">
        <f t="shared" si="469"/>
        <v>13879.285714285714</v>
      </c>
      <c r="L3600" s="607">
        <v>0.19</v>
      </c>
      <c r="M3600">
        <v>7.3999999999999995</v>
      </c>
      <c r="N3600" s="381">
        <v>22</v>
      </c>
      <c r="O3600">
        <v>8</v>
      </c>
      <c r="P3600" t="s">
        <v>515</v>
      </c>
      <c r="Q3600" s="97">
        <f t="shared" si="473"/>
        <v>139</v>
      </c>
      <c r="R3600" t="str">
        <f t="shared" si="474"/>
        <v/>
      </c>
    </row>
    <row r="3601" spans="3:18">
      <c r="C3601" t="str">
        <f t="shared" si="468"/>
        <v/>
      </c>
      <c r="D3601">
        <v>140</v>
      </c>
      <c r="E3601">
        <v>135</v>
      </c>
      <c r="F3601" s="366">
        <f t="shared" si="470"/>
        <v>2929.5</v>
      </c>
      <c r="G3601" s="97">
        <v>4552</v>
      </c>
      <c r="H3601" s="367">
        <f t="shared" si="471"/>
        <v>7481.5</v>
      </c>
      <c r="I3601" s="368">
        <f t="shared" si="472"/>
        <v>0</v>
      </c>
      <c r="J3601">
        <v>17704</v>
      </c>
      <c r="K3601" s="367">
        <f t="shared" si="469"/>
        <v>12645.714285714286</v>
      </c>
      <c r="L3601" s="607">
        <v>0.83</v>
      </c>
      <c r="M3601">
        <v>3.9</v>
      </c>
      <c r="N3601" s="381">
        <v>29</v>
      </c>
      <c r="O3601">
        <v>4</v>
      </c>
      <c r="P3601" t="s">
        <v>515</v>
      </c>
      <c r="Q3601" s="97" t="str">
        <f t="shared" si="473"/>
        <v/>
      </c>
      <c r="R3601" t="str">
        <f t="shared" si="474"/>
        <v/>
      </c>
    </row>
    <row r="3602" spans="3:18">
      <c r="C3602" t="str">
        <f t="shared" si="468"/>
        <v/>
      </c>
      <c r="D3602">
        <v>141</v>
      </c>
      <c r="E3602">
        <v>135</v>
      </c>
      <c r="F3602" s="366">
        <f t="shared" si="470"/>
        <v>2929.5</v>
      </c>
      <c r="G3602" s="97">
        <v>5579</v>
      </c>
      <c r="H3602" s="367">
        <f t="shared" si="471"/>
        <v>8508.5</v>
      </c>
      <c r="I3602" s="368">
        <f t="shared" si="472"/>
        <v>0</v>
      </c>
      <c r="J3602">
        <v>21697</v>
      </c>
      <c r="K3602" s="367">
        <f t="shared" si="469"/>
        <v>15497.857142857143</v>
      </c>
      <c r="L3602" s="607">
        <v>1</v>
      </c>
      <c r="M3602">
        <v>5.6</v>
      </c>
      <c r="N3602" s="381">
        <v>28</v>
      </c>
      <c r="O3602">
        <v>6</v>
      </c>
      <c r="P3602" t="s">
        <v>514</v>
      </c>
      <c r="Q3602" s="97" t="str">
        <f t="shared" si="473"/>
        <v/>
      </c>
      <c r="R3602" t="str">
        <f t="shared" si="474"/>
        <v/>
      </c>
    </row>
    <row r="3603" spans="3:18">
      <c r="C3603" t="str">
        <f t="shared" si="468"/>
        <v/>
      </c>
      <c r="D3603">
        <v>142</v>
      </c>
      <c r="E3603">
        <v>135</v>
      </c>
      <c r="F3603" s="366">
        <f t="shared" si="470"/>
        <v>2929.5</v>
      </c>
      <c r="G3603" s="97">
        <v>4933</v>
      </c>
      <c r="H3603" s="367">
        <f t="shared" si="471"/>
        <v>7862.5</v>
      </c>
      <c r="I3603" s="368">
        <f t="shared" si="472"/>
        <v>0</v>
      </c>
      <c r="J3603">
        <v>19187</v>
      </c>
      <c r="K3603" s="367">
        <f t="shared" si="469"/>
        <v>13705</v>
      </c>
      <c r="L3603" s="607">
        <v>0.36</v>
      </c>
      <c r="M3603">
        <v>5.6</v>
      </c>
      <c r="N3603" s="381">
        <v>25</v>
      </c>
      <c r="O3603">
        <v>6</v>
      </c>
      <c r="P3603" t="s">
        <v>515</v>
      </c>
      <c r="Q3603" s="97">
        <f t="shared" si="473"/>
        <v>142</v>
      </c>
      <c r="R3603" t="str">
        <f t="shared" si="474"/>
        <v/>
      </c>
    </row>
    <row r="3604" spans="3:18">
      <c r="C3604" t="str">
        <f t="shared" si="468"/>
        <v/>
      </c>
      <c r="D3604">
        <v>143</v>
      </c>
      <c r="E3604">
        <v>135</v>
      </c>
      <c r="F3604" s="366">
        <f t="shared" si="470"/>
        <v>2929.5</v>
      </c>
      <c r="G3604" s="97">
        <v>5857</v>
      </c>
      <c r="H3604" s="367">
        <f t="shared" si="471"/>
        <v>8786.5</v>
      </c>
      <c r="I3604" s="368">
        <f t="shared" si="472"/>
        <v>0</v>
      </c>
      <c r="J3604">
        <v>22780</v>
      </c>
      <c r="K3604" s="367">
        <f t="shared" si="469"/>
        <v>16271.428571428572</v>
      </c>
      <c r="L3604" s="607">
        <v>0.55000000000000004</v>
      </c>
      <c r="M3604">
        <v>7.3999999999999995</v>
      </c>
      <c r="N3604" s="381">
        <v>25</v>
      </c>
      <c r="O3604">
        <v>8</v>
      </c>
      <c r="P3604" t="s">
        <v>514</v>
      </c>
      <c r="Q3604" s="97">
        <f t="shared" si="473"/>
        <v>143</v>
      </c>
      <c r="R3604" t="str">
        <f t="shared" si="474"/>
        <v/>
      </c>
    </row>
    <row r="3605" spans="3:18">
      <c r="C3605" t="str">
        <f t="shared" si="468"/>
        <v/>
      </c>
      <c r="D3605">
        <v>144</v>
      </c>
      <c r="E3605">
        <v>135</v>
      </c>
      <c r="F3605" s="366">
        <f t="shared" si="470"/>
        <v>2929.5</v>
      </c>
      <c r="G3605" s="97">
        <v>5153</v>
      </c>
      <c r="H3605" s="367">
        <f t="shared" si="471"/>
        <v>8082.5</v>
      </c>
      <c r="I3605" s="368">
        <f t="shared" si="472"/>
        <v>0</v>
      </c>
      <c r="J3605">
        <v>20040</v>
      </c>
      <c r="K3605" s="367">
        <f t="shared" si="469"/>
        <v>14314.285714285714</v>
      </c>
      <c r="L3605" s="607">
        <v>0.21000000000000002</v>
      </c>
      <c r="M3605">
        <v>7.3999999999999995</v>
      </c>
      <c r="N3605" s="381">
        <v>22</v>
      </c>
      <c r="O3605">
        <v>8</v>
      </c>
      <c r="P3605" t="s">
        <v>515</v>
      </c>
      <c r="Q3605" s="97">
        <f t="shared" si="473"/>
        <v>144</v>
      </c>
      <c r="R3605" t="str">
        <f t="shared" si="474"/>
        <v/>
      </c>
    </row>
    <row r="3606" spans="3:18">
      <c r="C3606" t="str">
        <f t="shared" ref="C3606:C3669" si="475">IF(OR($O$4=0,O3606-$O$4=0),IF(AND(ISEVEN(O3606)=FALSE,$N$4="Even"),"NL",""),"NL")</f>
        <v/>
      </c>
      <c r="D3606">
        <v>145</v>
      </c>
      <c r="E3606">
        <v>140</v>
      </c>
      <c r="F3606" s="366">
        <f t="shared" si="470"/>
        <v>3038</v>
      </c>
      <c r="G3606" s="97">
        <v>4674</v>
      </c>
      <c r="H3606" s="367">
        <f t="shared" si="471"/>
        <v>7712</v>
      </c>
      <c r="I3606" s="368">
        <f t="shared" si="472"/>
        <v>0</v>
      </c>
      <c r="J3606">
        <v>18179</v>
      </c>
      <c r="K3606" s="367">
        <f t="shared" ref="K3606:K3669" si="476">(J3606*$V$7)-I3606</f>
        <v>12985</v>
      </c>
      <c r="L3606" s="607">
        <v>0.89</v>
      </c>
      <c r="M3606">
        <v>3.9</v>
      </c>
      <c r="N3606" s="381">
        <v>30</v>
      </c>
      <c r="O3606">
        <v>4</v>
      </c>
      <c r="P3606" t="s">
        <v>515</v>
      </c>
      <c r="Q3606" s="97" t="str">
        <f t="shared" si="473"/>
        <v/>
      </c>
      <c r="R3606" t="str">
        <f t="shared" si="474"/>
        <v/>
      </c>
    </row>
    <row r="3607" spans="3:18">
      <c r="C3607" t="str">
        <f t="shared" si="475"/>
        <v/>
      </c>
      <c r="D3607">
        <v>146</v>
      </c>
      <c r="E3607">
        <v>140</v>
      </c>
      <c r="F3607" s="366">
        <f t="shared" si="470"/>
        <v>3038</v>
      </c>
      <c r="G3607" s="97">
        <v>5735</v>
      </c>
      <c r="H3607" s="367">
        <f t="shared" si="471"/>
        <v>8773</v>
      </c>
      <c r="I3607" s="368">
        <f t="shared" si="472"/>
        <v>0</v>
      </c>
      <c r="J3607">
        <v>22304</v>
      </c>
      <c r="K3607" s="367">
        <f t="shared" si="476"/>
        <v>15931.428571428572</v>
      </c>
      <c r="L3607" s="607">
        <v>1.07</v>
      </c>
      <c r="M3607">
        <v>5.6</v>
      </c>
      <c r="N3607" s="381">
        <v>29</v>
      </c>
      <c r="O3607">
        <v>6</v>
      </c>
      <c r="P3607" t="s">
        <v>514</v>
      </c>
      <c r="Q3607" s="97" t="str">
        <f t="shared" si="473"/>
        <v/>
      </c>
      <c r="R3607" t="str">
        <f t="shared" si="474"/>
        <v/>
      </c>
    </row>
    <row r="3608" spans="3:18">
      <c r="C3608" t="str">
        <f t="shared" si="475"/>
        <v/>
      </c>
      <c r="D3608">
        <v>147</v>
      </c>
      <c r="E3608">
        <v>140</v>
      </c>
      <c r="F3608" s="366">
        <f t="shared" si="470"/>
        <v>3038</v>
      </c>
      <c r="G3608" s="97">
        <v>5074</v>
      </c>
      <c r="H3608" s="367">
        <f t="shared" si="471"/>
        <v>8112</v>
      </c>
      <c r="I3608" s="368">
        <f t="shared" si="472"/>
        <v>0</v>
      </c>
      <c r="J3608">
        <v>19733</v>
      </c>
      <c r="K3608" s="367">
        <f t="shared" si="476"/>
        <v>14095</v>
      </c>
      <c r="L3608" s="607">
        <v>0.38</v>
      </c>
      <c r="M3608">
        <v>5.6</v>
      </c>
      <c r="N3608" s="381">
        <v>25</v>
      </c>
      <c r="O3608">
        <v>6</v>
      </c>
      <c r="P3608" t="s">
        <v>515</v>
      </c>
      <c r="Q3608" s="97">
        <f t="shared" si="473"/>
        <v>147</v>
      </c>
      <c r="R3608" t="str">
        <f t="shared" si="474"/>
        <v/>
      </c>
    </row>
    <row r="3609" spans="3:18">
      <c r="C3609" t="str">
        <f t="shared" si="475"/>
        <v/>
      </c>
      <c r="D3609">
        <v>148</v>
      </c>
      <c r="E3609">
        <v>140</v>
      </c>
      <c r="F3609" s="366">
        <f t="shared" si="470"/>
        <v>3038</v>
      </c>
      <c r="G3609" s="97">
        <v>6022</v>
      </c>
      <c r="H3609" s="367">
        <f t="shared" si="471"/>
        <v>9060</v>
      </c>
      <c r="I3609" s="368">
        <f t="shared" si="472"/>
        <v>0</v>
      </c>
      <c r="J3609">
        <v>23417</v>
      </c>
      <c r="K3609" s="367">
        <f t="shared" si="476"/>
        <v>16726.428571428572</v>
      </c>
      <c r="L3609" s="607">
        <v>0.59</v>
      </c>
      <c r="M3609">
        <v>7.3999999999999995</v>
      </c>
      <c r="N3609" s="381">
        <v>25</v>
      </c>
      <c r="O3609">
        <v>8</v>
      </c>
      <c r="P3609" t="s">
        <v>514</v>
      </c>
      <c r="Q3609" s="97">
        <f t="shared" si="473"/>
        <v>148</v>
      </c>
      <c r="R3609" t="str">
        <f t="shared" si="474"/>
        <v/>
      </c>
    </row>
    <row r="3610" spans="3:18">
      <c r="C3610" t="str">
        <f t="shared" si="475"/>
        <v/>
      </c>
      <c r="D3610">
        <v>149</v>
      </c>
      <c r="E3610">
        <v>140</v>
      </c>
      <c r="F3610" s="366">
        <f t="shared" si="470"/>
        <v>3038</v>
      </c>
      <c r="G3610" s="97">
        <v>5309</v>
      </c>
      <c r="H3610" s="367">
        <f t="shared" si="471"/>
        <v>8347</v>
      </c>
      <c r="I3610" s="368">
        <f t="shared" si="472"/>
        <v>0</v>
      </c>
      <c r="J3610">
        <v>20649</v>
      </c>
      <c r="K3610" s="367">
        <f t="shared" si="476"/>
        <v>14749.285714285714</v>
      </c>
      <c r="L3610" s="607">
        <v>0.22</v>
      </c>
      <c r="M3610">
        <v>7.3999999999999995</v>
      </c>
      <c r="N3610" s="381">
        <v>22</v>
      </c>
      <c r="O3610">
        <v>8</v>
      </c>
      <c r="P3610" t="s">
        <v>515</v>
      </c>
      <c r="Q3610" s="97">
        <f t="shared" si="473"/>
        <v>149</v>
      </c>
      <c r="R3610" t="str">
        <f t="shared" si="474"/>
        <v/>
      </c>
    </row>
    <row r="3611" spans="3:18">
      <c r="C3611" t="str">
        <f t="shared" si="475"/>
        <v/>
      </c>
      <c r="D3611">
        <v>150</v>
      </c>
      <c r="E3611">
        <v>145</v>
      </c>
      <c r="F3611" s="366">
        <f t="shared" si="470"/>
        <v>3146.5</v>
      </c>
      <c r="G3611" s="97">
        <v>4797</v>
      </c>
      <c r="H3611" s="367">
        <f t="shared" si="471"/>
        <v>7943.5</v>
      </c>
      <c r="I3611" s="368">
        <f t="shared" si="472"/>
        <v>0</v>
      </c>
      <c r="J3611">
        <v>18655</v>
      </c>
      <c r="K3611" s="367">
        <f t="shared" si="476"/>
        <v>13325</v>
      </c>
      <c r="L3611" s="607">
        <v>0.95</v>
      </c>
      <c r="M3611">
        <v>3.9</v>
      </c>
      <c r="N3611" s="381">
        <v>30</v>
      </c>
      <c r="O3611">
        <v>4</v>
      </c>
      <c r="P3611" t="s">
        <v>515</v>
      </c>
      <c r="Q3611" s="97" t="str">
        <f t="shared" si="473"/>
        <v/>
      </c>
      <c r="R3611" t="str">
        <f t="shared" si="474"/>
        <v/>
      </c>
    </row>
    <row r="3612" spans="3:18">
      <c r="C3612" t="str">
        <f t="shared" si="475"/>
        <v/>
      </c>
      <c r="D3612">
        <v>151</v>
      </c>
      <c r="E3612">
        <v>145</v>
      </c>
      <c r="F3612" s="366">
        <f t="shared" si="470"/>
        <v>3146.5</v>
      </c>
      <c r="G3612" s="97">
        <v>5214</v>
      </c>
      <c r="H3612" s="367">
        <f t="shared" si="471"/>
        <v>8360.5</v>
      </c>
      <c r="I3612" s="368">
        <f t="shared" si="472"/>
        <v>0</v>
      </c>
      <c r="J3612">
        <v>20279</v>
      </c>
      <c r="K3612" s="367">
        <f t="shared" si="476"/>
        <v>14485</v>
      </c>
      <c r="L3612" s="607">
        <v>0.41000000000000003</v>
      </c>
      <c r="M3612">
        <v>5.6</v>
      </c>
      <c r="N3612" s="381">
        <v>26</v>
      </c>
      <c r="O3612">
        <v>6</v>
      </c>
      <c r="P3612" t="s">
        <v>515</v>
      </c>
      <c r="Q3612" s="97">
        <f t="shared" si="473"/>
        <v>151</v>
      </c>
      <c r="R3612" t="str">
        <f t="shared" si="474"/>
        <v/>
      </c>
    </row>
    <row r="3613" spans="3:18">
      <c r="C3613" t="str">
        <f t="shared" si="475"/>
        <v/>
      </c>
      <c r="D3613">
        <v>152</v>
      </c>
      <c r="E3613">
        <v>145</v>
      </c>
      <c r="F3613" s="366">
        <f t="shared" si="470"/>
        <v>3146.5</v>
      </c>
      <c r="G3613" s="97">
        <v>6185</v>
      </c>
      <c r="H3613" s="367">
        <f t="shared" si="471"/>
        <v>9331.5</v>
      </c>
      <c r="I3613" s="368">
        <f t="shared" si="472"/>
        <v>0</v>
      </c>
      <c r="J3613">
        <v>24055</v>
      </c>
      <c r="K3613" s="367">
        <f t="shared" si="476"/>
        <v>17182.142857142859</v>
      </c>
      <c r="L3613" s="607">
        <v>0.63</v>
      </c>
      <c r="M3613">
        <v>7.3999999999999995</v>
      </c>
      <c r="N3613" s="381">
        <v>26</v>
      </c>
      <c r="O3613">
        <v>8</v>
      </c>
      <c r="P3613" t="s">
        <v>514</v>
      </c>
      <c r="Q3613" s="97">
        <f t="shared" si="473"/>
        <v>152</v>
      </c>
      <c r="R3613" t="str">
        <f t="shared" si="474"/>
        <v/>
      </c>
    </row>
    <row r="3614" spans="3:18">
      <c r="C3614" t="str">
        <f t="shared" si="475"/>
        <v/>
      </c>
      <c r="D3614">
        <v>153</v>
      </c>
      <c r="E3614">
        <v>145</v>
      </c>
      <c r="F3614" s="366">
        <f t="shared" si="470"/>
        <v>3146.5</v>
      </c>
      <c r="G3614" s="97">
        <v>5466</v>
      </c>
      <c r="H3614" s="367">
        <f t="shared" si="471"/>
        <v>8612.5</v>
      </c>
      <c r="I3614" s="368">
        <f t="shared" si="472"/>
        <v>0</v>
      </c>
      <c r="J3614">
        <v>21258</v>
      </c>
      <c r="K3614" s="367">
        <f t="shared" si="476"/>
        <v>15184.285714285714</v>
      </c>
      <c r="L3614" s="607">
        <v>0.24000000000000002</v>
      </c>
      <c r="M3614">
        <v>7.3999999999999995</v>
      </c>
      <c r="N3614" s="381">
        <v>23</v>
      </c>
      <c r="O3614">
        <v>8</v>
      </c>
      <c r="P3614" t="s">
        <v>515</v>
      </c>
      <c r="Q3614" s="97">
        <f t="shared" si="473"/>
        <v>153</v>
      </c>
      <c r="R3614" t="str">
        <f t="shared" si="474"/>
        <v/>
      </c>
    </row>
    <row r="3615" spans="3:18">
      <c r="C3615" t="str">
        <f t="shared" si="475"/>
        <v/>
      </c>
      <c r="D3615">
        <v>154</v>
      </c>
      <c r="E3615">
        <v>150</v>
      </c>
      <c r="F3615" s="366">
        <f t="shared" si="470"/>
        <v>3255</v>
      </c>
      <c r="G3615" s="97">
        <v>4915</v>
      </c>
      <c r="H3615" s="367">
        <f t="shared" si="471"/>
        <v>8170</v>
      </c>
      <c r="I3615" s="368">
        <f t="shared" si="472"/>
        <v>0</v>
      </c>
      <c r="J3615">
        <v>19114</v>
      </c>
      <c r="K3615" s="367">
        <f t="shared" si="476"/>
        <v>13652.857142857143</v>
      </c>
      <c r="L3615" s="607">
        <v>1.02</v>
      </c>
      <c r="M3615">
        <v>3.9</v>
      </c>
      <c r="N3615" s="381">
        <v>31</v>
      </c>
      <c r="O3615">
        <v>4</v>
      </c>
      <c r="P3615" t="s">
        <v>515</v>
      </c>
      <c r="Q3615" s="97" t="str">
        <f t="shared" si="473"/>
        <v/>
      </c>
      <c r="R3615" t="str">
        <f t="shared" si="474"/>
        <v/>
      </c>
    </row>
    <row r="3616" spans="3:18">
      <c r="C3616" t="str">
        <f t="shared" si="475"/>
        <v/>
      </c>
      <c r="D3616">
        <v>155</v>
      </c>
      <c r="E3616">
        <v>150</v>
      </c>
      <c r="F3616" s="366">
        <f t="shared" si="470"/>
        <v>3255</v>
      </c>
      <c r="G3616" s="97">
        <v>5354</v>
      </c>
      <c r="H3616" s="367">
        <f t="shared" si="471"/>
        <v>8609</v>
      </c>
      <c r="I3616" s="368">
        <f t="shared" si="472"/>
        <v>0</v>
      </c>
      <c r="J3616">
        <v>20821</v>
      </c>
      <c r="K3616" s="367">
        <f t="shared" si="476"/>
        <v>14872.142857142857</v>
      </c>
      <c r="L3616" s="607">
        <v>0.44</v>
      </c>
      <c r="M3616">
        <v>5.6</v>
      </c>
      <c r="N3616" s="381">
        <v>26</v>
      </c>
      <c r="O3616">
        <v>6</v>
      </c>
      <c r="P3616" t="s">
        <v>515</v>
      </c>
      <c r="Q3616" s="97">
        <f t="shared" si="473"/>
        <v>155</v>
      </c>
      <c r="R3616" t="str">
        <f t="shared" si="474"/>
        <v/>
      </c>
    </row>
    <row r="3617" spans="3:18">
      <c r="C3617" t="str">
        <f t="shared" si="475"/>
        <v/>
      </c>
      <c r="D3617">
        <v>156</v>
      </c>
      <c r="E3617">
        <v>150</v>
      </c>
      <c r="F3617" s="366">
        <f t="shared" si="470"/>
        <v>3255</v>
      </c>
      <c r="G3617" s="97">
        <v>6349</v>
      </c>
      <c r="H3617" s="367">
        <f t="shared" si="471"/>
        <v>9604</v>
      </c>
      <c r="I3617" s="368">
        <f t="shared" si="472"/>
        <v>0</v>
      </c>
      <c r="J3617">
        <v>24692</v>
      </c>
      <c r="K3617" s="367">
        <f t="shared" si="476"/>
        <v>17637.142857142859</v>
      </c>
      <c r="L3617" s="607">
        <v>0.67</v>
      </c>
      <c r="M3617">
        <v>7.3999999999999995</v>
      </c>
      <c r="N3617" s="381">
        <v>26</v>
      </c>
      <c r="O3617">
        <v>8</v>
      </c>
      <c r="P3617" t="s">
        <v>514</v>
      </c>
      <c r="Q3617" s="97">
        <f t="shared" si="473"/>
        <v>156</v>
      </c>
      <c r="R3617" t="str">
        <f t="shared" si="474"/>
        <v/>
      </c>
    </row>
    <row r="3618" spans="3:18">
      <c r="C3618" t="str">
        <f t="shared" si="475"/>
        <v/>
      </c>
      <c r="D3618">
        <v>157</v>
      </c>
      <c r="E3618">
        <v>150</v>
      </c>
      <c r="F3618" s="366">
        <f t="shared" si="470"/>
        <v>3255</v>
      </c>
      <c r="G3618" s="97">
        <v>5621</v>
      </c>
      <c r="H3618" s="367">
        <f t="shared" si="471"/>
        <v>8876</v>
      </c>
      <c r="I3618" s="368">
        <f t="shared" si="472"/>
        <v>0</v>
      </c>
      <c r="J3618">
        <v>21859</v>
      </c>
      <c r="K3618" s="367">
        <f t="shared" si="476"/>
        <v>15613.571428571429</v>
      </c>
      <c r="L3618" s="607">
        <v>0.26</v>
      </c>
      <c r="M3618">
        <v>7.3999999999999995</v>
      </c>
      <c r="N3618" s="381">
        <v>23</v>
      </c>
      <c r="O3618">
        <v>8</v>
      </c>
      <c r="P3618" t="s">
        <v>515</v>
      </c>
      <c r="Q3618" s="97">
        <f t="shared" si="473"/>
        <v>157</v>
      </c>
      <c r="R3618" t="str">
        <f t="shared" si="474"/>
        <v/>
      </c>
    </row>
    <row r="3619" spans="3:18">
      <c r="C3619" t="str">
        <f t="shared" si="475"/>
        <v/>
      </c>
      <c r="D3619">
        <v>158</v>
      </c>
      <c r="E3619">
        <v>155</v>
      </c>
      <c r="F3619" s="366">
        <f t="shared" si="470"/>
        <v>3363.5</v>
      </c>
      <c r="G3619" s="97">
        <v>5032</v>
      </c>
      <c r="H3619" s="367">
        <f t="shared" si="471"/>
        <v>8395.5</v>
      </c>
      <c r="I3619" s="368">
        <f t="shared" si="472"/>
        <v>0</v>
      </c>
      <c r="J3619">
        <v>19570</v>
      </c>
      <c r="K3619" s="367">
        <f t="shared" si="476"/>
        <v>13978.571428571429</v>
      </c>
      <c r="L3619" s="607">
        <v>1.0900000000000001</v>
      </c>
      <c r="M3619">
        <v>3.9</v>
      </c>
      <c r="N3619" s="381">
        <v>31</v>
      </c>
      <c r="O3619">
        <v>4</v>
      </c>
      <c r="P3619" t="s">
        <v>515</v>
      </c>
      <c r="Q3619" s="97" t="str">
        <f t="shared" si="473"/>
        <v/>
      </c>
      <c r="R3619" t="str">
        <f t="shared" si="474"/>
        <v/>
      </c>
    </row>
    <row r="3620" spans="3:18">
      <c r="C3620" t="str">
        <f t="shared" si="475"/>
        <v/>
      </c>
      <c r="D3620">
        <v>159</v>
      </c>
      <c r="E3620">
        <v>155</v>
      </c>
      <c r="F3620" s="366">
        <f t="shared" si="470"/>
        <v>3363.5</v>
      </c>
      <c r="G3620" s="97">
        <v>5487</v>
      </c>
      <c r="H3620" s="367">
        <f t="shared" si="471"/>
        <v>8850.5</v>
      </c>
      <c r="I3620" s="368">
        <f t="shared" si="472"/>
        <v>0</v>
      </c>
      <c r="J3620">
        <v>21338</v>
      </c>
      <c r="K3620" s="367">
        <f t="shared" si="476"/>
        <v>15241.428571428572</v>
      </c>
      <c r="L3620" s="607">
        <v>0.47000000000000003</v>
      </c>
      <c r="M3620">
        <v>5.6</v>
      </c>
      <c r="N3620" s="381">
        <v>27</v>
      </c>
      <c r="O3620">
        <v>6</v>
      </c>
      <c r="P3620" t="s">
        <v>515</v>
      </c>
      <c r="Q3620" s="97">
        <f t="shared" si="473"/>
        <v>159</v>
      </c>
      <c r="R3620" t="str">
        <f t="shared" si="474"/>
        <v/>
      </c>
    </row>
    <row r="3621" spans="3:18">
      <c r="C3621" t="str">
        <f t="shared" si="475"/>
        <v/>
      </c>
      <c r="D3621">
        <v>160</v>
      </c>
      <c r="E3621">
        <v>155</v>
      </c>
      <c r="F3621" s="366">
        <f t="shared" si="470"/>
        <v>3363.5</v>
      </c>
      <c r="G3621" s="97">
        <v>6506</v>
      </c>
      <c r="H3621" s="367">
        <f t="shared" si="471"/>
        <v>9869.5</v>
      </c>
      <c r="I3621" s="368">
        <f t="shared" si="472"/>
        <v>0</v>
      </c>
      <c r="J3621">
        <v>25303</v>
      </c>
      <c r="K3621" s="367">
        <f t="shared" si="476"/>
        <v>18073.571428571428</v>
      </c>
      <c r="L3621" s="607">
        <v>0.72</v>
      </c>
      <c r="M3621">
        <v>7.3999999999999995</v>
      </c>
      <c r="N3621" s="381">
        <v>27</v>
      </c>
      <c r="O3621">
        <v>8</v>
      </c>
      <c r="P3621" t="s">
        <v>514</v>
      </c>
      <c r="Q3621" s="97" t="str">
        <f t="shared" si="473"/>
        <v/>
      </c>
      <c r="R3621" t="str">
        <f t="shared" si="474"/>
        <v/>
      </c>
    </row>
    <row r="3622" spans="3:18">
      <c r="C3622" t="str">
        <f t="shared" si="475"/>
        <v/>
      </c>
      <c r="D3622">
        <v>161</v>
      </c>
      <c r="E3622">
        <v>155</v>
      </c>
      <c r="F3622" s="366">
        <f t="shared" si="470"/>
        <v>3363.5</v>
      </c>
      <c r="G3622" s="97">
        <v>5760</v>
      </c>
      <c r="H3622" s="367">
        <f t="shared" si="471"/>
        <v>9123.5</v>
      </c>
      <c r="I3622" s="368">
        <f t="shared" si="472"/>
        <v>0</v>
      </c>
      <c r="J3622">
        <v>22402</v>
      </c>
      <c r="K3622" s="367">
        <f t="shared" si="476"/>
        <v>16001.428571428572</v>
      </c>
      <c r="L3622" s="607">
        <v>0.27</v>
      </c>
      <c r="M3622">
        <v>7.3999999999999995</v>
      </c>
      <c r="N3622" s="381">
        <v>24</v>
      </c>
      <c r="O3622">
        <v>8</v>
      </c>
      <c r="P3622" t="s">
        <v>515</v>
      </c>
      <c r="Q3622" s="97">
        <f t="shared" si="473"/>
        <v>161</v>
      </c>
      <c r="R3622" t="str">
        <f t="shared" si="474"/>
        <v/>
      </c>
    </row>
    <row r="3623" spans="3:18">
      <c r="C3623" t="str">
        <f t="shared" si="475"/>
        <v/>
      </c>
      <c r="D3623">
        <v>162</v>
      </c>
      <c r="E3623">
        <v>160</v>
      </c>
      <c r="F3623" s="366">
        <f t="shared" si="470"/>
        <v>3472</v>
      </c>
      <c r="G3623" s="97">
        <v>5619</v>
      </c>
      <c r="H3623" s="367">
        <f t="shared" si="471"/>
        <v>9091</v>
      </c>
      <c r="I3623" s="368">
        <f t="shared" si="472"/>
        <v>0</v>
      </c>
      <c r="J3623">
        <v>21855</v>
      </c>
      <c r="K3623" s="367">
        <f t="shared" si="476"/>
        <v>15610.714285714286</v>
      </c>
      <c r="L3623" s="607">
        <v>0.5</v>
      </c>
      <c r="M3623">
        <v>5.6</v>
      </c>
      <c r="N3623" s="381">
        <v>27</v>
      </c>
      <c r="O3623">
        <v>6</v>
      </c>
      <c r="P3623" t="s">
        <v>515</v>
      </c>
      <c r="Q3623" s="97">
        <f t="shared" si="473"/>
        <v>162</v>
      </c>
      <c r="R3623" t="str">
        <f t="shared" si="474"/>
        <v/>
      </c>
    </row>
    <row r="3624" spans="3:18">
      <c r="C3624" t="str">
        <f t="shared" si="475"/>
        <v/>
      </c>
      <c r="D3624">
        <v>163</v>
      </c>
      <c r="E3624">
        <v>160</v>
      </c>
      <c r="F3624" s="366">
        <f t="shared" si="470"/>
        <v>3472</v>
      </c>
      <c r="G3624" s="97">
        <v>6662</v>
      </c>
      <c r="H3624" s="367">
        <f t="shared" si="471"/>
        <v>10134</v>
      </c>
      <c r="I3624" s="368">
        <f t="shared" si="472"/>
        <v>0</v>
      </c>
      <c r="J3624">
        <v>25911</v>
      </c>
      <c r="K3624" s="367">
        <f t="shared" si="476"/>
        <v>18507.857142857145</v>
      </c>
      <c r="L3624" s="607">
        <v>0.76</v>
      </c>
      <c r="M3624">
        <v>7.3999999999999995</v>
      </c>
      <c r="N3624" s="381">
        <v>27</v>
      </c>
      <c r="O3624">
        <v>8</v>
      </c>
      <c r="P3624" t="s">
        <v>514</v>
      </c>
      <c r="Q3624" s="97" t="str">
        <f t="shared" si="473"/>
        <v/>
      </c>
      <c r="R3624" t="str">
        <f t="shared" si="474"/>
        <v/>
      </c>
    </row>
    <row r="3625" spans="3:18">
      <c r="C3625" t="str">
        <f t="shared" si="475"/>
        <v/>
      </c>
      <c r="D3625">
        <v>164</v>
      </c>
      <c r="E3625">
        <v>160</v>
      </c>
      <c r="F3625" s="366">
        <f t="shared" si="470"/>
        <v>3472</v>
      </c>
      <c r="G3625" s="97">
        <v>5900</v>
      </c>
      <c r="H3625" s="367">
        <f t="shared" si="471"/>
        <v>9372</v>
      </c>
      <c r="I3625" s="368">
        <f t="shared" si="472"/>
        <v>0</v>
      </c>
      <c r="J3625">
        <v>22945</v>
      </c>
      <c r="K3625" s="367">
        <f t="shared" si="476"/>
        <v>16389.285714285714</v>
      </c>
      <c r="L3625" s="607">
        <v>0.29000000000000004</v>
      </c>
      <c r="M3625">
        <v>7.3999999999999995</v>
      </c>
      <c r="N3625" s="381">
        <v>24</v>
      </c>
      <c r="O3625">
        <v>8</v>
      </c>
      <c r="P3625" t="s">
        <v>515</v>
      </c>
      <c r="Q3625" s="97">
        <f t="shared" si="473"/>
        <v>164</v>
      </c>
      <c r="R3625" t="str">
        <f t="shared" si="474"/>
        <v/>
      </c>
    </row>
    <row r="3626" spans="3:18">
      <c r="C3626" t="str">
        <f t="shared" si="475"/>
        <v/>
      </c>
      <c r="D3626">
        <v>165</v>
      </c>
      <c r="E3626">
        <v>165</v>
      </c>
      <c r="F3626" s="366">
        <f t="shared" si="470"/>
        <v>3580.5</v>
      </c>
      <c r="G3626" s="97">
        <v>5752</v>
      </c>
      <c r="H3626" s="367">
        <f t="shared" si="471"/>
        <v>9332.5</v>
      </c>
      <c r="I3626" s="368">
        <f t="shared" si="472"/>
        <v>0</v>
      </c>
      <c r="J3626">
        <v>22372</v>
      </c>
      <c r="K3626" s="367">
        <f t="shared" si="476"/>
        <v>15980</v>
      </c>
      <c r="L3626" s="607">
        <v>0.5</v>
      </c>
      <c r="M3626">
        <v>5.6</v>
      </c>
      <c r="N3626" s="381">
        <v>27</v>
      </c>
      <c r="O3626">
        <v>6</v>
      </c>
      <c r="P3626" t="s">
        <v>515</v>
      </c>
      <c r="Q3626" s="97">
        <f t="shared" si="473"/>
        <v>165</v>
      </c>
      <c r="R3626" t="str">
        <f t="shared" si="474"/>
        <v/>
      </c>
    </row>
    <row r="3627" spans="3:18">
      <c r="C3627" t="str">
        <f t="shared" si="475"/>
        <v/>
      </c>
      <c r="D3627">
        <v>166</v>
      </c>
      <c r="E3627">
        <v>165</v>
      </c>
      <c r="F3627" s="366">
        <f t="shared" si="470"/>
        <v>3580.5</v>
      </c>
      <c r="G3627" s="97">
        <v>6819</v>
      </c>
      <c r="H3627" s="367">
        <f t="shared" si="471"/>
        <v>10399.5</v>
      </c>
      <c r="I3627" s="368">
        <f t="shared" si="472"/>
        <v>0</v>
      </c>
      <c r="J3627">
        <v>26518</v>
      </c>
      <c r="K3627" s="367">
        <f t="shared" si="476"/>
        <v>18941.428571428572</v>
      </c>
      <c r="L3627" s="607">
        <v>0.78</v>
      </c>
      <c r="M3627">
        <v>7.3999999999999995</v>
      </c>
      <c r="N3627" s="381">
        <v>28</v>
      </c>
      <c r="O3627">
        <v>8</v>
      </c>
      <c r="P3627" t="s">
        <v>514</v>
      </c>
      <c r="Q3627" s="97" t="str">
        <f t="shared" si="473"/>
        <v/>
      </c>
      <c r="R3627" t="str">
        <f t="shared" si="474"/>
        <v/>
      </c>
    </row>
    <row r="3628" spans="3:18">
      <c r="C3628" t="str">
        <f t="shared" si="475"/>
        <v/>
      </c>
      <c r="D3628">
        <v>167</v>
      </c>
      <c r="E3628">
        <v>165</v>
      </c>
      <c r="F3628" s="366">
        <f t="shared" si="470"/>
        <v>3580.5</v>
      </c>
      <c r="G3628" s="97">
        <v>6039</v>
      </c>
      <c r="H3628" s="367">
        <f t="shared" si="471"/>
        <v>9619.5</v>
      </c>
      <c r="I3628" s="368">
        <f t="shared" si="472"/>
        <v>0</v>
      </c>
      <c r="J3628">
        <v>23488</v>
      </c>
      <c r="K3628" s="367">
        <f t="shared" si="476"/>
        <v>16777.142857142859</v>
      </c>
      <c r="L3628" s="607">
        <v>0.28000000000000003</v>
      </c>
      <c r="M3628">
        <v>7.3999999999999995</v>
      </c>
      <c r="N3628" s="381">
        <v>25</v>
      </c>
      <c r="O3628">
        <v>8</v>
      </c>
      <c r="P3628" t="s">
        <v>515</v>
      </c>
      <c r="Q3628" s="97">
        <f t="shared" si="473"/>
        <v>167</v>
      </c>
      <c r="R3628" t="str">
        <f t="shared" si="474"/>
        <v/>
      </c>
    </row>
    <row r="3629" spans="3:18">
      <c r="C3629" t="str">
        <f t="shared" si="475"/>
        <v/>
      </c>
      <c r="D3629">
        <v>168</v>
      </c>
      <c r="E3629">
        <v>170</v>
      </c>
      <c r="F3629" s="366">
        <f t="shared" si="470"/>
        <v>3689</v>
      </c>
      <c r="G3629" s="97">
        <v>5884</v>
      </c>
      <c r="H3629" s="367">
        <f t="shared" si="471"/>
        <v>9573</v>
      </c>
      <c r="I3629" s="368">
        <f t="shared" si="472"/>
        <v>0</v>
      </c>
      <c r="J3629">
        <v>22885</v>
      </c>
      <c r="K3629" s="367">
        <f t="shared" si="476"/>
        <v>16346.428571428572</v>
      </c>
      <c r="L3629" s="607">
        <v>0.53</v>
      </c>
      <c r="M3629">
        <v>5.6</v>
      </c>
      <c r="N3629" s="381">
        <v>28</v>
      </c>
      <c r="O3629">
        <v>6</v>
      </c>
      <c r="P3629" t="s">
        <v>515</v>
      </c>
      <c r="Q3629" s="97">
        <f t="shared" si="473"/>
        <v>168</v>
      </c>
      <c r="R3629" t="str">
        <f t="shared" si="474"/>
        <v/>
      </c>
    </row>
    <row r="3630" spans="3:18">
      <c r="C3630" t="str">
        <f t="shared" si="475"/>
        <v/>
      </c>
      <c r="D3630">
        <v>169</v>
      </c>
      <c r="E3630">
        <v>170</v>
      </c>
      <c r="F3630" s="366">
        <f t="shared" si="470"/>
        <v>3689</v>
      </c>
      <c r="G3630" s="97">
        <v>6975</v>
      </c>
      <c r="H3630" s="367">
        <f t="shared" si="471"/>
        <v>10664</v>
      </c>
      <c r="I3630" s="368">
        <f t="shared" si="472"/>
        <v>0</v>
      </c>
      <c r="J3630">
        <v>27126</v>
      </c>
      <c r="K3630" s="367">
        <f t="shared" si="476"/>
        <v>19375.714285714286</v>
      </c>
      <c r="L3630" s="607">
        <v>0.83</v>
      </c>
      <c r="M3630">
        <v>7.3999999999999995</v>
      </c>
      <c r="N3630" s="381">
        <v>28</v>
      </c>
      <c r="O3630">
        <v>8</v>
      </c>
      <c r="P3630" t="s">
        <v>514</v>
      </c>
      <c r="Q3630" s="97" t="str">
        <f t="shared" si="473"/>
        <v/>
      </c>
      <c r="R3630" t="str">
        <f t="shared" si="474"/>
        <v/>
      </c>
    </row>
    <row r="3631" spans="3:18">
      <c r="C3631" t="str">
        <f t="shared" si="475"/>
        <v/>
      </c>
      <c r="D3631">
        <v>170</v>
      </c>
      <c r="E3631">
        <v>170</v>
      </c>
      <c r="F3631" s="366">
        <f t="shared" si="470"/>
        <v>3689</v>
      </c>
      <c r="G3631" s="97">
        <v>6179</v>
      </c>
      <c r="H3631" s="367">
        <f t="shared" si="471"/>
        <v>9868</v>
      </c>
      <c r="I3631" s="368">
        <f t="shared" si="472"/>
        <v>0</v>
      </c>
      <c r="J3631">
        <v>24031</v>
      </c>
      <c r="K3631" s="367">
        <f t="shared" si="476"/>
        <v>17165</v>
      </c>
      <c r="L3631" s="607">
        <v>0.3</v>
      </c>
      <c r="M3631">
        <v>7.3999999999999995</v>
      </c>
      <c r="N3631" s="381">
        <v>25</v>
      </c>
      <c r="O3631">
        <v>8</v>
      </c>
      <c r="P3631" t="s">
        <v>515</v>
      </c>
      <c r="Q3631" s="97">
        <f t="shared" si="473"/>
        <v>170</v>
      </c>
      <c r="R3631" t="str">
        <f t="shared" si="474"/>
        <v/>
      </c>
    </row>
    <row r="3632" spans="3:18">
      <c r="C3632" t="str">
        <f t="shared" si="475"/>
        <v/>
      </c>
      <c r="D3632">
        <v>171</v>
      </c>
      <c r="E3632">
        <v>175</v>
      </c>
      <c r="F3632" s="366">
        <f t="shared" si="470"/>
        <v>3797.5</v>
      </c>
      <c r="G3632" s="97">
        <v>6009</v>
      </c>
      <c r="H3632" s="367">
        <f t="shared" si="471"/>
        <v>9806.5</v>
      </c>
      <c r="I3632" s="368">
        <f t="shared" si="472"/>
        <v>0</v>
      </c>
      <c r="J3632">
        <v>23371</v>
      </c>
      <c r="K3632" s="367">
        <f t="shared" si="476"/>
        <v>16693.571428571428</v>
      </c>
      <c r="L3632" s="607">
        <v>0.56000000000000005</v>
      </c>
      <c r="M3632">
        <v>5.6</v>
      </c>
      <c r="N3632" s="381">
        <v>28</v>
      </c>
      <c r="O3632">
        <v>6</v>
      </c>
      <c r="P3632" t="s">
        <v>515</v>
      </c>
      <c r="Q3632" s="97">
        <f t="shared" si="473"/>
        <v>171</v>
      </c>
      <c r="R3632" t="str">
        <f t="shared" si="474"/>
        <v/>
      </c>
    </row>
    <row r="3633" spans="3:18">
      <c r="C3633" t="str">
        <f t="shared" si="475"/>
        <v/>
      </c>
      <c r="D3633">
        <v>172</v>
      </c>
      <c r="E3633">
        <v>175</v>
      </c>
      <c r="F3633" s="366">
        <f t="shared" si="470"/>
        <v>3797.5</v>
      </c>
      <c r="G3633" s="97">
        <v>7128</v>
      </c>
      <c r="H3633" s="367">
        <f t="shared" si="471"/>
        <v>10925.5</v>
      </c>
      <c r="I3633" s="368">
        <f t="shared" si="472"/>
        <v>0</v>
      </c>
      <c r="J3633">
        <v>27723</v>
      </c>
      <c r="K3633" s="367">
        <f t="shared" si="476"/>
        <v>19802.142857142859</v>
      </c>
      <c r="L3633" s="607">
        <v>0.88</v>
      </c>
      <c r="M3633">
        <v>7.3999999999999995</v>
      </c>
      <c r="N3633" s="381">
        <v>28</v>
      </c>
      <c r="O3633">
        <v>8</v>
      </c>
      <c r="P3633" t="s">
        <v>514</v>
      </c>
      <c r="Q3633" s="97" t="str">
        <f t="shared" si="473"/>
        <v/>
      </c>
      <c r="R3633" t="str">
        <f t="shared" si="474"/>
        <v/>
      </c>
    </row>
    <row r="3634" spans="3:18">
      <c r="C3634" t="str">
        <f t="shared" si="475"/>
        <v/>
      </c>
      <c r="D3634">
        <v>173</v>
      </c>
      <c r="E3634">
        <v>175</v>
      </c>
      <c r="F3634" s="366">
        <f t="shared" si="470"/>
        <v>3797.5</v>
      </c>
      <c r="G3634" s="97">
        <v>6319</v>
      </c>
      <c r="H3634" s="367">
        <f t="shared" si="471"/>
        <v>10116.5</v>
      </c>
      <c r="I3634" s="368">
        <f t="shared" si="472"/>
        <v>0</v>
      </c>
      <c r="J3634">
        <v>24574</v>
      </c>
      <c r="K3634" s="367">
        <f t="shared" si="476"/>
        <v>17552.857142857145</v>
      </c>
      <c r="L3634" s="607">
        <v>0.31</v>
      </c>
      <c r="M3634">
        <v>7.3999999999999995</v>
      </c>
      <c r="N3634" s="381">
        <v>25</v>
      </c>
      <c r="O3634">
        <v>8</v>
      </c>
      <c r="P3634" t="s">
        <v>515</v>
      </c>
      <c r="Q3634" s="97">
        <f t="shared" si="473"/>
        <v>173</v>
      </c>
      <c r="R3634" t="str">
        <f t="shared" si="474"/>
        <v/>
      </c>
    </row>
    <row r="3635" spans="3:18">
      <c r="C3635" t="str">
        <f t="shared" si="475"/>
        <v/>
      </c>
      <c r="D3635">
        <v>174</v>
      </c>
      <c r="E3635">
        <v>180</v>
      </c>
      <c r="F3635" s="366">
        <f t="shared" ref="F3635:F3698" si="477">1.085*($A$2-$B$2)*E3635*$T$7</f>
        <v>3906</v>
      </c>
      <c r="G3635" s="97">
        <v>6134</v>
      </c>
      <c r="H3635" s="367">
        <f t="shared" si="471"/>
        <v>10040</v>
      </c>
      <c r="I3635" s="368">
        <f t="shared" si="472"/>
        <v>0</v>
      </c>
      <c r="J3635">
        <v>23858</v>
      </c>
      <c r="K3635" s="367">
        <f t="shared" si="476"/>
        <v>17041.428571428572</v>
      </c>
      <c r="L3635" s="607">
        <v>0.6</v>
      </c>
      <c r="M3635">
        <v>5.6</v>
      </c>
      <c r="N3635" s="381">
        <v>29</v>
      </c>
      <c r="O3635">
        <v>6</v>
      </c>
      <c r="P3635" t="s">
        <v>515</v>
      </c>
      <c r="Q3635" s="97">
        <f t="shared" si="473"/>
        <v>174</v>
      </c>
      <c r="R3635" t="str">
        <f t="shared" si="474"/>
        <v/>
      </c>
    </row>
    <row r="3636" spans="3:18">
      <c r="C3636" t="str">
        <f t="shared" si="475"/>
        <v/>
      </c>
      <c r="D3636">
        <v>175</v>
      </c>
      <c r="E3636">
        <v>180</v>
      </c>
      <c r="F3636" s="366">
        <f t="shared" si="477"/>
        <v>3906</v>
      </c>
      <c r="G3636" s="97">
        <v>7275</v>
      </c>
      <c r="H3636" s="367">
        <f t="shared" si="471"/>
        <v>11181</v>
      </c>
      <c r="I3636" s="368">
        <f t="shared" si="472"/>
        <v>0</v>
      </c>
      <c r="J3636">
        <v>28292</v>
      </c>
      <c r="K3636" s="367">
        <f t="shared" si="476"/>
        <v>20208.571428571428</v>
      </c>
      <c r="L3636" s="607">
        <v>0.93</v>
      </c>
      <c r="M3636">
        <v>7.3999999999999995</v>
      </c>
      <c r="N3636" s="381">
        <v>29</v>
      </c>
      <c r="O3636">
        <v>8</v>
      </c>
      <c r="P3636" t="s">
        <v>514</v>
      </c>
      <c r="Q3636" s="97" t="str">
        <f t="shared" si="473"/>
        <v/>
      </c>
      <c r="R3636" t="str">
        <f t="shared" si="474"/>
        <v/>
      </c>
    </row>
    <row r="3637" spans="3:18">
      <c r="C3637" t="str">
        <f t="shared" si="475"/>
        <v/>
      </c>
      <c r="D3637">
        <v>176</v>
      </c>
      <c r="E3637">
        <v>180</v>
      </c>
      <c r="F3637" s="366">
        <f t="shared" si="477"/>
        <v>3906</v>
      </c>
      <c r="G3637" s="97">
        <v>6454</v>
      </c>
      <c r="H3637" s="367">
        <f t="shared" si="471"/>
        <v>10360</v>
      </c>
      <c r="I3637" s="368">
        <f t="shared" si="472"/>
        <v>0</v>
      </c>
      <c r="J3637">
        <v>25100</v>
      </c>
      <c r="K3637" s="367">
        <f t="shared" si="476"/>
        <v>17928.571428571428</v>
      </c>
      <c r="L3637" s="607">
        <v>0.33</v>
      </c>
      <c r="M3637">
        <v>7.3999999999999995</v>
      </c>
      <c r="N3637" s="381">
        <v>26</v>
      </c>
      <c r="O3637">
        <v>8</v>
      </c>
      <c r="P3637" t="s">
        <v>515</v>
      </c>
      <c r="Q3637" s="97">
        <f t="shared" si="473"/>
        <v>176</v>
      </c>
      <c r="R3637" t="str">
        <f t="shared" si="474"/>
        <v/>
      </c>
    </row>
    <row r="3638" spans="3:18">
      <c r="C3638" t="str">
        <f t="shared" si="475"/>
        <v/>
      </c>
      <c r="D3638">
        <v>177</v>
      </c>
      <c r="E3638">
        <v>185</v>
      </c>
      <c r="F3638" s="366">
        <f t="shared" si="477"/>
        <v>4014.5</v>
      </c>
      <c r="G3638" s="97">
        <v>6260</v>
      </c>
      <c r="H3638" s="367">
        <f t="shared" si="471"/>
        <v>10274.5</v>
      </c>
      <c r="I3638" s="368">
        <f t="shared" si="472"/>
        <v>0</v>
      </c>
      <c r="J3638">
        <v>24344</v>
      </c>
      <c r="K3638" s="367">
        <f t="shared" si="476"/>
        <v>17388.571428571428</v>
      </c>
      <c r="L3638" s="607">
        <v>0.63</v>
      </c>
      <c r="M3638">
        <v>5.6</v>
      </c>
      <c r="N3638" s="381">
        <v>29</v>
      </c>
      <c r="O3638">
        <v>6</v>
      </c>
      <c r="P3638" t="s">
        <v>515</v>
      </c>
      <c r="Q3638" s="97">
        <f t="shared" si="473"/>
        <v>177</v>
      </c>
      <c r="R3638" t="str">
        <f t="shared" si="474"/>
        <v/>
      </c>
    </row>
    <row r="3639" spans="3:18">
      <c r="C3639" t="str">
        <f t="shared" si="475"/>
        <v/>
      </c>
      <c r="D3639">
        <v>178</v>
      </c>
      <c r="E3639">
        <v>185</v>
      </c>
      <c r="F3639" s="366">
        <f t="shared" si="477"/>
        <v>4014.5</v>
      </c>
      <c r="G3639" s="97">
        <v>7421</v>
      </c>
      <c r="H3639" s="367">
        <f t="shared" si="471"/>
        <v>11435.5</v>
      </c>
      <c r="I3639" s="368">
        <f t="shared" si="472"/>
        <v>0</v>
      </c>
      <c r="J3639">
        <v>28862</v>
      </c>
      <c r="K3639" s="367">
        <f t="shared" si="476"/>
        <v>20615.714285714286</v>
      </c>
      <c r="L3639" s="607">
        <v>0.98</v>
      </c>
      <c r="M3639">
        <v>7.3999999999999995</v>
      </c>
      <c r="N3639" s="381">
        <v>29</v>
      </c>
      <c r="O3639">
        <v>8</v>
      </c>
      <c r="P3639" t="s">
        <v>514</v>
      </c>
      <c r="Q3639" s="97" t="str">
        <f t="shared" si="473"/>
        <v/>
      </c>
      <c r="R3639" t="str">
        <f t="shared" si="474"/>
        <v/>
      </c>
    </row>
    <row r="3640" spans="3:18">
      <c r="C3640" t="str">
        <f t="shared" si="475"/>
        <v/>
      </c>
      <c r="D3640">
        <v>179</v>
      </c>
      <c r="E3640">
        <v>185</v>
      </c>
      <c r="F3640" s="366">
        <f t="shared" si="477"/>
        <v>4014.5</v>
      </c>
      <c r="G3640" s="97">
        <v>6587</v>
      </c>
      <c r="H3640" s="367">
        <f t="shared" si="471"/>
        <v>10601.5</v>
      </c>
      <c r="I3640" s="368">
        <f t="shared" si="472"/>
        <v>0</v>
      </c>
      <c r="J3640">
        <v>25618</v>
      </c>
      <c r="K3640" s="367">
        <f t="shared" si="476"/>
        <v>18298.571428571428</v>
      </c>
      <c r="L3640" s="607">
        <v>0.35000000000000003</v>
      </c>
      <c r="M3640">
        <v>7.3999999999999995</v>
      </c>
      <c r="N3640" s="381">
        <v>26</v>
      </c>
      <c r="O3640">
        <v>8</v>
      </c>
      <c r="P3640" t="s">
        <v>515</v>
      </c>
      <c r="Q3640" s="97">
        <f t="shared" si="473"/>
        <v>179</v>
      </c>
      <c r="R3640" t="str">
        <f t="shared" si="474"/>
        <v/>
      </c>
    </row>
    <row r="3641" spans="3:18">
      <c r="C3641" t="str">
        <f t="shared" si="475"/>
        <v/>
      </c>
      <c r="D3641">
        <v>180</v>
      </c>
      <c r="E3641">
        <v>190</v>
      </c>
      <c r="F3641" s="366">
        <f t="shared" si="477"/>
        <v>4123</v>
      </c>
      <c r="G3641" s="97">
        <v>6384</v>
      </c>
      <c r="H3641" s="367">
        <f t="shared" si="471"/>
        <v>10507</v>
      </c>
      <c r="I3641" s="368">
        <f t="shared" si="472"/>
        <v>0</v>
      </c>
      <c r="J3641">
        <v>24827</v>
      </c>
      <c r="K3641" s="367">
        <f t="shared" si="476"/>
        <v>17733.571428571428</v>
      </c>
      <c r="L3641" s="607">
        <v>0.66</v>
      </c>
      <c r="M3641">
        <v>5.6</v>
      </c>
      <c r="N3641" s="381">
        <v>29</v>
      </c>
      <c r="O3641">
        <v>6</v>
      </c>
      <c r="P3641" t="s">
        <v>515</v>
      </c>
      <c r="Q3641" s="97">
        <f t="shared" si="473"/>
        <v>180</v>
      </c>
      <c r="R3641" t="str">
        <f t="shared" si="474"/>
        <v/>
      </c>
    </row>
    <row r="3642" spans="3:18">
      <c r="C3642" t="str">
        <f t="shared" si="475"/>
        <v/>
      </c>
      <c r="D3642">
        <v>181</v>
      </c>
      <c r="E3642">
        <v>190</v>
      </c>
      <c r="F3642" s="366">
        <f t="shared" si="477"/>
        <v>4123</v>
      </c>
      <c r="G3642" s="97">
        <v>7568</v>
      </c>
      <c r="H3642" s="367">
        <f t="shared" si="471"/>
        <v>11691</v>
      </c>
      <c r="I3642" s="368">
        <f t="shared" si="472"/>
        <v>0</v>
      </c>
      <c r="J3642">
        <v>29431</v>
      </c>
      <c r="K3642" s="367">
        <f t="shared" si="476"/>
        <v>21022.142857142859</v>
      </c>
      <c r="L3642" s="607">
        <v>1.04</v>
      </c>
      <c r="M3642">
        <v>7.3999999999999995</v>
      </c>
      <c r="N3642" s="381">
        <v>29</v>
      </c>
      <c r="O3642">
        <v>8</v>
      </c>
      <c r="P3642" t="s">
        <v>514</v>
      </c>
      <c r="Q3642" s="97" t="str">
        <f t="shared" si="473"/>
        <v/>
      </c>
      <c r="R3642" t="str">
        <f t="shared" si="474"/>
        <v/>
      </c>
    </row>
    <row r="3643" spans="3:18">
      <c r="C3643" t="str">
        <f t="shared" si="475"/>
        <v/>
      </c>
      <c r="D3643">
        <v>182</v>
      </c>
      <c r="E3643">
        <v>190</v>
      </c>
      <c r="F3643" s="366">
        <f t="shared" si="477"/>
        <v>4123</v>
      </c>
      <c r="G3643" s="97">
        <v>6720</v>
      </c>
      <c r="H3643" s="367">
        <f t="shared" si="471"/>
        <v>10843</v>
      </c>
      <c r="I3643" s="368">
        <f t="shared" si="472"/>
        <v>0</v>
      </c>
      <c r="J3643">
        <v>26136</v>
      </c>
      <c r="K3643" s="367">
        <f t="shared" si="476"/>
        <v>18668.571428571428</v>
      </c>
      <c r="L3643" s="607">
        <v>0.37</v>
      </c>
      <c r="M3643">
        <v>7.3999999999999995</v>
      </c>
      <c r="N3643" s="381">
        <v>26</v>
      </c>
      <c r="O3643">
        <v>8</v>
      </c>
      <c r="P3643" t="s">
        <v>515</v>
      </c>
      <c r="Q3643" s="97">
        <f t="shared" si="473"/>
        <v>182</v>
      </c>
      <c r="R3643" t="str">
        <f t="shared" si="474"/>
        <v/>
      </c>
    </row>
    <row r="3644" spans="3:18">
      <c r="C3644" t="str">
        <f t="shared" si="475"/>
        <v/>
      </c>
      <c r="D3644">
        <v>183</v>
      </c>
      <c r="E3644">
        <v>195</v>
      </c>
      <c r="F3644" s="366">
        <f t="shared" si="477"/>
        <v>4231.5</v>
      </c>
      <c r="G3644" s="97">
        <v>6503</v>
      </c>
      <c r="H3644" s="367">
        <f t="shared" si="471"/>
        <v>10734.5</v>
      </c>
      <c r="I3644" s="368">
        <f t="shared" si="472"/>
        <v>0</v>
      </c>
      <c r="J3644">
        <v>25291</v>
      </c>
      <c r="K3644" s="367">
        <f t="shared" si="476"/>
        <v>18065</v>
      </c>
      <c r="L3644" s="607">
        <v>0.7</v>
      </c>
      <c r="M3644">
        <v>5.6</v>
      </c>
      <c r="N3644" s="381">
        <v>30</v>
      </c>
      <c r="O3644">
        <v>6</v>
      </c>
      <c r="P3644" t="s">
        <v>515</v>
      </c>
      <c r="Q3644" s="97">
        <f t="shared" si="473"/>
        <v>183</v>
      </c>
      <c r="R3644" t="str">
        <f t="shared" si="474"/>
        <v/>
      </c>
    </row>
    <row r="3645" spans="3:18">
      <c r="C3645" t="str">
        <f t="shared" si="475"/>
        <v/>
      </c>
      <c r="D3645">
        <v>184</v>
      </c>
      <c r="E3645">
        <v>195</v>
      </c>
      <c r="F3645" s="366">
        <f t="shared" si="477"/>
        <v>4231.5</v>
      </c>
      <c r="G3645" s="97">
        <v>7714</v>
      </c>
      <c r="H3645" s="367">
        <f t="shared" si="471"/>
        <v>11945.5</v>
      </c>
      <c r="I3645" s="368">
        <f t="shared" si="472"/>
        <v>0</v>
      </c>
      <c r="J3645">
        <v>30000</v>
      </c>
      <c r="K3645" s="367">
        <f t="shared" si="476"/>
        <v>21428.571428571428</v>
      </c>
      <c r="L3645" s="607">
        <v>1.0900000000000001</v>
      </c>
      <c r="M3645">
        <v>7.3999999999999995</v>
      </c>
      <c r="N3645" s="381">
        <v>30</v>
      </c>
      <c r="O3645">
        <v>8</v>
      </c>
      <c r="P3645" t="s">
        <v>514</v>
      </c>
      <c r="Q3645" s="97" t="str">
        <f t="shared" si="473"/>
        <v/>
      </c>
      <c r="R3645" t="str">
        <f t="shared" si="474"/>
        <v/>
      </c>
    </row>
    <row r="3646" spans="3:18">
      <c r="C3646" t="str">
        <f t="shared" si="475"/>
        <v/>
      </c>
      <c r="D3646">
        <v>185</v>
      </c>
      <c r="E3646">
        <v>195</v>
      </c>
      <c r="F3646" s="366">
        <f t="shared" si="477"/>
        <v>4231.5</v>
      </c>
      <c r="G3646" s="97">
        <v>6853</v>
      </c>
      <c r="H3646" s="367">
        <f t="shared" si="471"/>
        <v>11084.5</v>
      </c>
      <c r="I3646" s="368">
        <f t="shared" si="472"/>
        <v>0</v>
      </c>
      <c r="J3646">
        <v>26653</v>
      </c>
      <c r="K3646" s="367">
        <f t="shared" si="476"/>
        <v>19037.857142857145</v>
      </c>
      <c r="L3646" s="607">
        <v>0.39</v>
      </c>
      <c r="M3646">
        <v>7.3999999999999995</v>
      </c>
      <c r="N3646" s="381">
        <v>27</v>
      </c>
      <c r="O3646">
        <v>8</v>
      </c>
      <c r="P3646" t="s">
        <v>515</v>
      </c>
      <c r="Q3646" s="97">
        <f t="shared" si="473"/>
        <v>185</v>
      </c>
      <c r="R3646" t="str">
        <f t="shared" si="474"/>
        <v/>
      </c>
    </row>
    <row r="3647" spans="3:18">
      <c r="C3647" t="str">
        <f t="shared" si="475"/>
        <v/>
      </c>
      <c r="D3647">
        <v>186</v>
      </c>
      <c r="E3647">
        <v>200</v>
      </c>
      <c r="F3647" s="366">
        <f t="shared" si="477"/>
        <v>4340</v>
      </c>
      <c r="G3647" s="97">
        <v>6622</v>
      </c>
      <c r="H3647" s="367">
        <f t="shared" si="471"/>
        <v>10962</v>
      </c>
      <c r="I3647" s="368">
        <f t="shared" si="472"/>
        <v>0</v>
      </c>
      <c r="J3647">
        <v>25755</v>
      </c>
      <c r="K3647" s="367">
        <f t="shared" si="476"/>
        <v>18396.428571428572</v>
      </c>
      <c r="L3647" s="607">
        <v>0.74</v>
      </c>
      <c r="M3647">
        <v>5.6</v>
      </c>
      <c r="N3647" s="381">
        <v>30</v>
      </c>
      <c r="O3647">
        <v>6</v>
      </c>
      <c r="P3647" t="s">
        <v>515</v>
      </c>
      <c r="Q3647" s="97" t="str">
        <f t="shared" si="473"/>
        <v/>
      </c>
      <c r="R3647" t="str">
        <f t="shared" si="474"/>
        <v/>
      </c>
    </row>
    <row r="3648" spans="3:18">
      <c r="C3648" t="str">
        <f t="shared" si="475"/>
        <v/>
      </c>
      <c r="D3648">
        <v>187</v>
      </c>
      <c r="E3648">
        <v>200</v>
      </c>
      <c r="F3648" s="366">
        <f t="shared" si="477"/>
        <v>4340</v>
      </c>
      <c r="G3648" s="97">
        <v>6986</v>
      </c>
      <c r="H3648" s="367">
        <f t="shared" si="471"/>
        <v>11326</v>
      </c>
      <c r="I3648" s="368">
        <f t="shared" si="472"/>
        <v>0</v>
      </c>
      <c r="J3648">
        <v>27171</v>
      </c>
      <c r="K3648" s="367">
        <f t="shared" si="476"/>
        <v>19407.857142857145</v>
      </c>
      <c r="L3648" s="607">
        <v>0.41000000000000003</v>
      </c>
      <c r="M3648">
        <v>7.3999999999999995</v>
      </c>
      <c r="N3648" s="381">
        <v>27</v>
      </c>
      <c r="O3648">
        <v>8</v>
      </c>
      <c r="P3648" t="s">
        <v>515</v>
      </c>
      <c r="Q3648" s="97">
        <f t="shared" si="473"/>
        <v>187</v>
      </c>
      <c r="R3648" t="str">
        <f t="shared" si="474"/>
        <v/>
      </c>
    </row>
    <row r="3649" spans="3:18">
      <c r="C3649" t="str">
        <f t="shared" si="475"/>
        <v/>
      </c>
      <c r="D3649">
        <v>188</v>
      </c>
      <c r="E3649">
        <v>205</v>
      </c>
      <c r="F3649" s="366">
        <f t="shared" si="477"/>
        <v>4448.5</v>
      </c>
      <c r="G3649" s="97">
        <v>6742</v>
      </c>
      <c r="H3649" s="367">
        <f t="shared" si="471"/>
        <v>11190.5</v>
      </c>
      <c r="I3649" s="368">
        <f t="shared" si="472"/>
        <v>0</v>
      </c>
      <c r="J3649">
        <v>26219</v>
      </c>
      <c r="K3649" s="367">
        <f t="shared" si="476"/>
        <v>18727.857142857145</v>
      </c>
      <c r="L3649" s="607">
        <v>0.77</v>
      </c>
      <c r="M3649">
        <v>5.6</v>
      </c>
      <c r="N3649" s="381">
        <v>30</v>
      </c>
      <c r="O3649">
        <v>6</v>
      </c>
      <c r="P3649" t="s">
        <v>515</v>
      </c>
      <c r="Q3649" s="97" t="str">
        <f t="shared" si="473"/>
        <v/>
      </c>
      <c r="R3649" t="str">
        <f t="shared" si="474"/>
        <v/>
      </c>
    </row>
    <row r="3650" spans="3:18">
      <c r="C3650" t="str">
        <f t="shared" si="475"/>
        <v/>
      </c>
      <c r="D3650">
        <v>189</v>
      </c>
      <c r="E3650">
        <v>205</v>
      </c>
      <c r="F3650" s="366">
        <f t="shared" si="477"/>
        <v>4448.5</v>
      </c>
      <c r="G3650" s="97">
        <v>7118</v>
      </c>
      <c r="H3650" s="367">
        <f t="shared" si="471"/>
        <v>11566.5</v>
      </c>
      <c r="I3650" s="368">
        <f t="shared" si="472"/>
        <v>0</v>
      </c>
      <c r="J3650">
        <v>27681</v>
      </c>
      <c r="K3650" s="367">
        <f t="shared" si="476"/>
        <v>19772.142857142859</v>
      </c>
      <c r="L3650" s="607">
        <v>0.43</v>
      </c>
      <c r="M3650">
        <v>7.3999999999999995</v>
      </c>
      <c r="N3650" s="381">
        <v>27</v>
      </c>
      <c r="O3650">
        <v>8</v>
      </c>
      <c r="P3650" t="s">
        <v>515</v>
      </c>
      <c r="Q3650" s="97">
        <f t="shared" si="473"/>
        <v>189</v>
      </c>
      <c r="R3650" t="str">
        <f t="shared" si="474"/>
        <v/>
      </c>
    </row>
    <row r="3651" spans="3:18">
      <c r="C3651" t="str">
        <f t="shared" si="475"/>
        <v/>
      </c>
      <c r="D3651">
        <v>190</v>
      </c>
      <c r="E3651">
        <v>210</v>
      </c>
      <c r="F3651" s="366">
        <f t="shared" si="477"/>
        <v>4557</v>
      </c>
      <c r="G3651" s="97">
        <v>6860</v>
      </c>
      <c r="H3651" s="367">
        <f t="shared" si="471"/>
        <v>11417</v>
      </c>
      <c r="I3651" s="368">
        <f t="shared" si="472"/>
        <v>0</v>
      </c>
      <c r="J3651">
        <v>26679</v>
      </c>
      <c r="K3651" s="367">
        <f t="shared" si="476"/>
        <v>19056.428571428572</v>
      </c>
      <c r="L3651" s="607">
        <v>0.81</v>
      </c>
      <c r="M3651">
        <v>5.6</v>
      </c>
      <c r="N3651" s="381">
        <v>31</v>
      </c>
      <c r="O3651">
        <v>6</v>
      </c>
      <c r="P3651" t="s">
        <v>515</v>
      </c>
      <c r="Q3651" s="97" t="str">
        <f t="shared" si="473"/>
        <v/>
      </c>
      <c r="R3651" t="str">
        <f t="shared" si="474"/>
        <v/>
      </c>
    </row>
    <row r="3652" spans="3:18">
      <c r="C3652" t="str">
        <f t="shared" si="475"/>
        <v/>
      </c>
      <c r="D3652">
        <v>191</v>
      </c>
      <c r="E3652">
        <v>210</v>
      </c>
      <c r="F3652" s="366">
        <f t="shared" si="477"/>
        <v>4557</v>
      </c>
      <c r="G3652" s="97">
        <v>7242</v>
      </c>
      <c r="H3652" s="367">
        <f t="shared" si="471"/>
        <v>11799</v>
      </c>
      <c r="I3652" s="368">
        <f t="shared" si="472"/>
        <v>0</v>
      </c>
      <c r="J3652">
        <v>28166</v>
      </c>
      <c r="K3652" s="367">
        <f t="shared" si="476"/>
        <v>20118.571428571428</v>
      </c>
      <c r="L3652" s="607">
        <v>0.45</v>
      </c>
      <c r="M3652">
        <v>7.3999999999999995</v>
      </c>
      <c r="N3652" s="381">
        <v>28</v>
      </c>
      <c r="O3652">
        <v>8</v>
      </c>
      <c r="P3652" t="s">
        <v>515</v>
      </c>
      <c r="Q3652" s="97">
        <f t="shared" si="473"/>
        <v>191</v>
      </c>
      <c r="R3652" t="str">
        <f t="shared" si="474"/>
        <v/>
      </c>
    </row>
    <row r="3653" spans="3:18">
      <c r="C3653" t="str">
        <f t="shared" si="475"/>
        <v/>
      </c>
      <c r="D3653">
        <v>192</v>
      </c>
      <c r="E3653">
        <v>215</v>
      </c>
      <c r="F3653" s="366">
        <f t="shared" si="477"/>
        <v>4665.5</v>
      </c>
      <c r="G3653" s="97">
        <v>6973</v>
      </c>
      <c r="H3653" s="367">
        <f t="shared" si="471"/>
        <v>11638.5</v>
      </c>
      <c r="I3653" s="368">
        <f t="shared" si="472"/>
        <v>0</v>
      </c>
      <c r="J3653">
        <v>27118</v>
      </c>
      <c r="K3653" s="367">
        <f t="shared" si="476"/>
        <v>19370</v>
      </c>
      <c r="L3653" s="607">
        <v>0.85</v>
      </c>
      <c r="M3653">
        <v>5.6</v>
      </c>
      <c r="N3653" s="381">
        <v>31</v>
      </c>
      <c r="O3653">
        <v>6</v>
      </c>
      <c r="P3653" t="s">
        <v>515</v>
      </c>
      <c r="Q3653" s="97" t="str">
        <f t="shared" si="473"/>
        <v/>
      </c>
      <c r="R3653" t="str">
        <f t="shared" si="474"/>
        <v/>
      </c>
    </row>
    <row r="3654" spans="3:18">
      <c r="C3654" t="str">
        <f t="shared" si="475"/>
        <v/>
      </c>
      <c r="D3654">
        <v>193</v>
      </c>
      <c r="E3654">
        <v>215</v>
      </c>
      <c r="F3654" s="366">
        <f t="shared" si="477"/>
        <v>4665.5</v>
      </c>
      <c r="G3654" s="97">
        <v>7367</v>
      </c>
      <c r="H3654" s="367">
        <f t="shared" si="471"/>
        <v>12032.5</v>
      </c>
      <c r="I3654" s="368">
        <f t="shared" si="472"/>
        <v>0</v>
      </c>
      <c r="J3654">
        <v>28651</v>
      </c>
      <c r="K3654" s="367">
        <f t="shared" si="476"/>
        <v>20465</v>
      </c>
      <c r="L3654" s="607">
        <v>0.47000000000000003</v>
      </c>
      <c r="M3654">
        <v>7.3999999999999995</v>
      </c>
      <c r="N3654" s="381">
        <v>28</v>
      </c>
      <c r="O3654">
        <v>8</v>
      </c>
      <c r="P3654" t="s">
        <v>515</v>
      </c>
      <c r="Q3654" s="97">
        <f t="shared" si="473"/>
        <v>193</v>
      </c>
      <c r="R3654" t="str">
        <f t="shared" si="474"/>
        <v/>
      </c>
    </row>
    <row r="3655" spans="3:18">
      <c r="C3655" t="str">
        <f t="shared" si="475"/>
        <v/>
      </c>
      <c r="D3655">
        <v>194</v>
      </c>
      <c r="E3655">
        <v>220</v>
      </c>
      <c r="F3655" s="366">
        <f t="shared" si="477"/>
        <v>4774</v>
      </c>
      <c r="G3655" s="97">
        <v>7086</v>
      </c>
      <c r="H3655" s="367">
        <f t="shared" ref="H3655:H3684" si="478">(G3655*$U$7)+F3655</f>
        <v>11860</v>
      </c>
      <c r="I3655" s="368">
        <f t="shared" ref="I3655:I3684" si="479">1.085*($C$2-$D$2)*E3655*$T$7</f>
        <v>0</v>
      </c>
      <c r="J3655">
        <v>27558</v>
      </c>
      <c r="K3655" s="367">
        <f t="shared" si="476"/>
        <v>19684.285714285714</v>
      </c>
      <c r="L3655" s="607">
        <v>0.89</v>
      </c>
      <c r="M3655">
        <v>5.6</v>
      </c>
      <c r="N3655" s="381">
        <v>32</v>
      </c>
      <c r="O3655">
        <v>6</v>
      </c>
      <c r="P3655" t="s">
        <v>515</v>
      </c>
      <c r="Q3655" s="97" t="str">
        <f t="shared" ref="Q3655:Q3686" si="480">IF(AND(H3655+1&gt;$E$4,L3655&lt;$L$4+0.01,M3655&lt;$M$4+0.01,K3655+1&gt;$F$4,E3655+1&gt;$J$4,N3655&lt;$K$4+1,O3655&lt;$P$4+1,C3655=""),D3655,"")</f>
        <v/>
      </c>
      <c r="R3655" t="str">
        <f t="shared" ref="R3655:R3684" si="481">IF(Q3655="","",IF(AND(O3655&lt;$X$30,E3655&gt;$U$30,E3655&lt;$Q$4+$U$30+1),D3655,""))</f>
        <v/>
      </c>
    </row>
    <row r="3656" spans="3:18">
      <c r="C3656" t="str">
        <f t="shared" si="475"/>
        <v/>
      </c>
      <c r="D3656">
        <v>195</v>
      </c>
      <c r="E3656">
        <v>220</v>
      </c>
      <c r="F3656" s="366">
        <f t="shared" si="477"/>
        <v>4774</v>
      </c>
      <c r="G3656" s="97">
        <v>7492</v>
      </c>
      <c r="H3656" s="367">
        <f t="shared" si="478"/>
        <v>12266</v>
      </c>
      <c r="I3656" s="368">
        <f t="shared" si="479"/>
        <v>0</v>
      </c>
      <c r="J3656">
        <v>29136</v>
      </c>
      <c r="K3656" s="367">
        <f t="shared" si="476"/>
        <v>20811.428571428572</v>
      </c>
      <c r="L3656" s="607">
        <v>0.49</v>
      </c>
      <c r="M3656">
        <v>7.3999999999999995</v>
      </c>
      <c r="N3656" s="381">
        <v>29</v>
      </c>
      <c r="O3656">
        <v>8</v>
      </c>
      <c r="P3656" t="s">
        <v>515</v>
      </c>
      <c r="Q3656" s="97">
        <f t="shared" si="480"/>
        <v>195</v>
      </c>
      <c r="R3656" t="str">
        <f t="shared" si="481"/>
        <v/>
      </c>
    </row>
    <row r="3657" spans="3:18">
      <c r="C3657" t="str">
        <f t="shared" si="475"/>
        <v/>
      </c>
      <c r="D3657">
        <v>196</v>
      </c>
      <c r="E3657">
        <v>225</v>
      </c>
      <c r="F3657" s="366">
        <f t="shared" si="477"/>
        <v>4882.5</v>
      </c>
      <c r="G3657" s="97">
        <v>7199</v>
      </c>
      <c r="H3657" s="367">
        <f t="shared" si="478"/>
        <v>12081.5</v>
      </c>
      <c r="I3657" s="368">
        <f t="shared" si="479"/>
        <v>0</v>
      </c>
      <c r="J3657">
        <v>27997</v>
      </c>
      <c r="K3657" s="367">
        <f t="shared" si="476"/>
        <v>19997.857142857145</v>
      </c>
      <c r="L3657" s="607">
        <v>0.93</v>
      </c>
      <c r="M3657">
        <v>5.6</v>
      </c>
      <c r="N3657" s="381">
        <v>32</v>
      </c>
      <c r="O3657">
        <v>6</v>
      </c>
      <c r="P3657" t="s">
        <v>515</v>
      </c>
      <c r="Q3657" s="97" t="str">
        <f t="shared" si="480"/>
        <v/>
      </c>
      <c r="R3657" t="str">
        <f t="shared" si="481"/>
        <v/>
      </c>
    </row>
    <row r="3658" spans="3:18">
      <c r="C3658" t="str">
        <f t="shared" si="475"/>
        <v/>
      </c>
      <c r="D3658">
        <v>197</v>
      </c>
      <c r="E3658">
        <v>225</v>
      </c>
      <c r="F3658" s="366">
        <f t="shared" si="477"/>
        <v>4882.5</v>
      </c>
      <c r="G3658" s="97">
        <v>7616</v>
      </c>
      <c r="H3658" s="367">
        <f t="shared" si="478"/>
        <v>12498.5</v>
      </c>
      <c r="I3658" s="368">
        <f t="shared" si="479"/>
        <v>0</v>
      </c>
      <c r="J3658">
        <v>29621</v>
      </c>
      <c r="K3658" s="367">
        <f t="shared" si="476"/>
        <v>21157.857142857145</v>
      </c>
      <c r="L3658" s="607">
        <v>0.52</v>
      </c>
      <c r="M3658">
        <v>7.3999999999999995</v>
      </c>
      <c r="N3658" s="381">
        <v>29</v>
      </c>
      <c r="O3658">
        <v>8</v>
      </c>
      <c r="P3658" t="s">
        <v>515</v>
      </c>
      <c r="Q3658" s="97">
        <f t="shared" si="480"/>
        <v>197</v>
      </c>
      <c r="R3658" t="str">
        <f t="shared" si="481"/>
        <v/>
      </c>
    </row>
    <row r="3659" spans="3:18">
      <c r="C3659" t="str">
        <f t="shared" si="475"/>
        <v/>
      </c>
      <c r="D3659">
        <v>198</v>
      </c>
      <c r="E3659">
        <v>230</v>
      </c>
      <c r="F3659" s="366">
        <f t="shared" si="477"/>
        <v>4991</v>
      </c>
      <c r="G3659" s="97">
        <v>7311</v>
      </c>
      <c r="H3659" s="367">
        <f t="shared" si="478"/>
        <v>12302</v>
      </c>
      <c r="I3659" s="368">
        <f t="shared" si="479"/>
        <v>0</v>
      </c>
      <c r="J3659">
        <v>28433</v>
      </c>
      <c r="K3659" s="367">
        <f t="shared" si="476"/>
        <v>20309.285714285714</v>
      </c>
      <c r="L3659" s="607">
        <v>0.97</v>
      </c>
      <c r="M3659">
        <v>5.6</v>
      </c>
      <c r="N3659" s="381">
        <v>32</v>
      </c>
      <c r="O3659">
        <v>6</v>
      </c>
      <c r="P3659" t="s">
        <v>515</v>
      </c>
      <c r="Q3659" s="97" t="str">
        <f t="shared" si="480"/>
        <v/>
      </c>
      <c r="R3659" t="str">
        <f t="shared" si="481"/>
        <v/>
      </c>
    </row>
    <row r="3660" spans="3:18">
      <c r="C3660" t="str">
        <f t="shared" si="475"/>
        <v/>
      </c>
      <c r="D3660">
        <v>199</v>
      </c>
      <c r="E3660">
        <v>230</v>
      </c>
      <c r="F3660" s="366">
        <f t="shared" si="477"/>
        <v>4991</v>
      </c>
      <c r="G3660" s="97">
        <v>7741</v>
      </c>
      <c r="H3660" s="367">
        <f t="shared" si="478"/>
        <v>12732</v>
      </c>
      <c r="I3660" s="368">
        <f t="shared" si="479"/>
        <v>0</v>
      </c>
      <c r="J3660">
        <v>30106</v>
      </c>
      <c r="K3660" s="367">
        <f t="shared" si="476"/>
        <v>21504.285714285714</v>
      </c>
      <c r="L3660" s="607">
        <v>0.54</v>
      </c>
      <c r="M3660">
        <v>7.3999999999999995</v>
      </c>
      <c r="N3660" s="381">
        <v>30</v>
      </c>
      <c r="O3660">
        <v>8</v>
      </c>
      <c r="P3660" t="s">
        <v>515</v>
      </c>
      <c r="Q3660" s="97">
        <f t="shared" si="480"/>
        <v>199</v>
      </c>
      <c r="R3660" t="str">
        <f t="shared" si="481"/>
        <v/>
      </c>
    </row>
    <row r="3661" spans="3:18">
      <c r="C3661" t="str">
        <f t="shared" si="475"/>
        <v/>
      </c>
      <c r="D3661">
        <v>200</v>
      </c>
      <c r="E3661">
        <v>235</v>
      </c>
      <c r="F3661" s="366">
        <f t="shared" si="477"/>
        <v>5099.5</v>
      </c>
      <c r="G3661" s="97">
        <v>7419</v>
      </c>
      <c r="H3661" s="367">
        <f t="shared" si="478"/>
        <v>12518.5</v>
      </c>
      <c r="I3661" s="368">
        <f t="shared" si="479"/>
        <v>0</v>
      </c>
      <c r="J3661">
        <v>28852</v>
      </c>
      <c r="K3661" s="367">
        <f t="shared" si="476"/>
        <v>20608.571428571428</v>
      </c>
      <c r="L3661" s="607">
        <v>1.01</v>
      </c>
      <c r="M3661">
        <v>5.6</v>
      </c>
      <c r="N3661" s="381">
        <v>33</v>
      </c>
      <c r="O3661">
        <v>6</v>
      </c>
      <c r="P3661" t="s">
        <v>515</v>
      </c>
      <c r="Q3661" s="97" t="str">
        <f t="shared" si="480"/>
        <v/>
      </c>
      <c r="R3661" t="str">
        <f t="shared" si="481"/>
        <v/>
      </c>
    </row>
    <row r="3662" spans="3:18">
      <c r="C3662" t="str">
        <f t="shared" si="475"/>
        <v/>
      </c>
      <c r="D3662">
        <v>201</v>
      </c>
      <c r="E3662">
        <v>235</v>
      </c>
      <c r="F3662" s="366">
        <f t="shared" si="477"/>
        <v>5099.5</v>
      </c>
      <c r="G3662" s="97">
        <v>7860</v>
      </c>
      <c r="H3662" s="367">
        <f t="shared" si="478"/>
        <v>12959.5</v>
      </c>
      <c r="I3662" s="368">
        <f t="shared" si="479"/>
        <v>0</v>
      </c>
      <c r="J3662">
        <v>30569</v>
      </c>
      <c r="K3662" s="367">
        <f t="shared" si="476"/>
        <v>21835</v>
      </c>
      <c r="L3662" s="607">
        <v>0.56000000000000005</v>
      </c>
      <c r="M3662">
        <v>7.3999999999999995</v>
      </c>
      <c r="N3662" s="381">
        <v>30</v>
      </c>
      <c r="O3662">
        <v>8</v>
      </c>
      <c r="P3662" t="s">
        <v>515</v>
      </c>
      <c r="Q3662" s="97">
        <f t="shared" si="480"/>
        <v>201</v>
      </c>
      <c r="R3662" t="str">
        <f t="shared" si="481"/>
        <v/>
      </c>
    </row>
    <row r="3663" spans="3:18">
      <c r="C3663" t="str">
        <f t="shared" si="475"/>
        <v/>
      </c>
      <c r="D3663">
        <v>202</v>
      </c>
      <c r="E3663">
        <v>240</v>
      </c>
      <c r="F3663" s="366">
        <f t="shared" si="477"/>
        <v>5208</v>
      </c>
      <c r="G3663" s="97">
        <v>7527</v>
      </c>
      <c r="H3663" s="367">
        <f t="shared" si="478"/>
        <v>12735</v>
      </c>
      <c r="I3663" s="368">
        <f t="shared" si="479"/>
        <v>0</v>
      </c>
      <c r="J3663">
        <v>29271</v>
      </c>
      <c r="K3663" s="367">
        <f t="shared" si="476"/>
        <v>20907.857142857145</v>
      </c>
      <c r="L3663" s="607">
        <v>1.06</v>
      </c>
      <c r="M3663">
        <v>5.6</v>
      </c>
      <c r="N3663" s="381">
        <v>33</v>
      </c>
      <c r="O3663">
        <v>6</v>
      </c>
      <c r="P3663" t="s">
        <v>515</v>
      </c>
      <c r="Q3663" s="97" t="str">
        <f t="shared" si="480"/>
        <v/>
      </c>
      <c r="R3663" t="str">
        <f t="shared" si="481"/>
        <v/>
      </c>
    </row>
    <row r="3664" spans="3:18">
      <c r="C3664" t="str">
        <f t="shared" si="475"/>
        <v/>
      </c>
      <c r="D3664">
        <v>203</v>
      </c>
      <c r="E3664">
        <v>240</v>
      </c>
      <c r="F3664" s="366">
        <f t="shared" si="477"/>
        <v>5208</v>
      </c>
      <c r="G3664" s="97">
        <v>7978</v>
      </c>
      <c r="H3664" s="367">
        <f t="shared" si="478"/>
        <v>13186</v>
      </c>
      <c r="I3664" s="368">
        <f t="shared" si="479"/>
        <v>0</v>
      </c>
      <c r="J3664">
        <v>31027</v>
      </c>
      <c r="K3664" s="367">
        <f t="shared" si="476"/>
        <v>22162.142857142859</v>
      </c>
      <c r="L3664" s="607">
        <v>0.59</v>
      </c>
      <c r="M3664">
        <v>7.3999999999999995</v>
      </c>
      <c r="N3664" s="381">
        <v>31</v>
      </c>
      <c r="O3664">
        <v>8</v>
      </c>
      <c r="P3664" t="s">
        <v>515</v>
      </c>
      <c r="Q3664" s="97">
        <f t="shared" si="480"/>
        <v>203</v>
      </c>
      <c r="R3664" t="str">
        <f t="shared" si="481"/>
        <v/>
      </c>
    </row>
    <row r="3665" spans="3:18">
      <c r="C3665" t="str">
        <f t="shared" si="475"/>
        <v/>
      </c>
      <c r="D3665">
        <v>204</v>
      </c>
      <c r="E3665">
        <v>245</v>
      </c>
      <c r="F3665" s="366">
        <f t="shared" si="477"/>
        <v>5316.5</v>
      </c>
      <c r="G3665" s="97">
        <v>7634</v>
      </c>
      <c r="H3665" s="367">
        <f t="shared" si="478"/>
        <v>12950.5</v>
      </c>
      <c r="I3665" s="368">
        <f t="shared" si="479"/>
        <v>0</v>
      </c>
      <c r="J3665">
        <v>29691</v>
      </c>
      <c r="K3665" s="367">
        <f t="shared" si="476"/>
        <v>21207.857142857145</v>
      </c>
      <c r="L3665" s="607">
        <v>1.1000000000000001</v>
      </c>
      <c r="M3665">
        <v>5.6</v>
      </c>
      <c r="N3665" s="381">
        <v>34</v>
      </c>
      <c r="O3665">
        <v>6</v>
      </c>
      <c r="P3665" t="s">
        <v>515</v>
      </c>
      <c r="Q3665" s="97" t="str">
        <f t="shared" si="480"/>
        <v/>
      </c>
      <c r="R3665" t="str">
        <f t="shared" si="481"/>
        <v/>
      </c>
    </row>
    <row r="3666" spans="3:18">
      <c r="C3666" t="str">
        <f t="shared" si="475"/>
        <v/>
      </c>
      <c r="D3666">
        <v>205</v>
      </c>
      <c r="E3666">
        <v>245</v>
      </c>
      <c r="F3666" s="366">
        <f t="shared" si="477"/>
        <v>5316.5</v>
      </c>
      <c r="G3666" s="97">
        <v>8096</v>
      </c>
      <c r="H3666" s="367">
        <f t="shared" si="478"/>
        <v>13412.5</v>
      </c>
      <c r="I3666" s="368">
        <f t="shared" si="479"/>
        <v>0</v>
      </c>
      <c r="J3666">
        <v>31484</v>
      </c>
      <c r="K3666" s="367">
        <f t="shared" si="476"/>
        <v>22488.571428571428</v>
      </c>
      <c r="L3666" s="607">
        <v>0.61</v>
      </c>
      <c r="M3666">
        <v>7.3999999999999995</v>
      </c>
      <c r="N3666" s="381">
        <v>31</v>
      </c>
      <c r="O3666">
        <v>8</v>
      </c>
      <c r="P3666" t="s">
        <v>515</v>
      </c>
      <c r="Q3666" s="97">
        <f t="shared" si="480"/>
        <v>205</v>
      </c>
      <c r="R3666" t="str">
        <f t="shared" si="481"/>
        <v/>
      </c>
    </row>
    <row r="3667" spans="3:18">
      <c r="C3667" t="str">
        <f t="shared" si="475"/>
        <v/>
      </c>
      <c r="D3667">
        <v>206</v>
      </c>
      <c r="E3667">
        <v>250</v>
      </c>
      <c r="F3667" s="366">
        <f t="shared" si="477"/>
        <v>5425</v>
      </c>
      <c r="G3667" s="97">
        <v>8213</v>
      </c>
      <c r="H3667" s="367">
        <f t="shared" si="478"/>
        <v>13638</v>
      </c>
      <c r="I3667" s="368">
        <f t="shared" si="479"/>
        <v>0</v>
      </c>
      <c r="J3667">
        <v>31942</v>
      </c>
      <c r="K3667" s="367">
        <f t="shared" si="476"/>
        <v>22815.714285714286</v>
      </c>
      <c r="L3667" s="607">
        <v>0.64</v>
      </c>
      <c r="M3667">
        <v>7.3999999999999995</v>
      </c>
      <c r="N3667" s="381">
        <v>32</v>
      </c>
      <c r="O3667">
        <v>8</v>
      </c>
      <c r="P3667" t="s">
        <v>515</v>
      </c>
      <c r="Q3667" s="97">
        <f t="shared" si="480"/>
        <v>206</v>
      </c>
      <c r="R3667" t="str">
        <f t="shared" si="481"/>
        <v/>
      </c>
    </row>
    <row r="3668" spans="3:18">
      <c r="C3668" t="str">
        <f t="shared" si="475"/>
        <v/>
      </c>
      <c r="D3668">
        <v>207</v>
      </c>
      <c r="E3668">
        <v>255</v>
      </c>
      <c r="F3668" s="366">
        <f t="shared" si="477"/>
        <v>5533.5</v>
      </c>
      <c r="G3668" s="97">
        <v>8331</v>
      </c>
      <c r="H3668" s="367">
        <f t="shared" si="478"/>
        <v>13864.5</v>
      </c>
      <c r="I3668" s="368">
        <f t="shared" si="479"/>
        <v>0</v>
      </c>
      <c r="J3668">
        <v>32400</v>
      </c>
      <c r="K3668" s="367">
        <f t="shared" si="476"/>
        <v>23142.857142857145</v>
      </c>
      <c r="L3668" s="607">
        <v>0.66</v>
      </c>
      <c r="M3668">
        <v>7.3999999999999995</v>
      </c>
      <c r="N3668" s="381">
        <v>33</v>
      </c>
      <c r="O3668">
        <v>8</v>
      </c>
      <c r="P3668" t="s">
        <v>515</v>
      </c>
      <c r="Q3668" s="97">
        <f t="shared" si="480"/>
        <v>207</v>
      </c>
      <c r="R3668" t="str">
        <f t="shared" si="481"/>
        <v/>
      </c>
    </row>
    <row r="3669" spans="3:18">
      <c r="C3669" t="str">
        <f t="shared" si="475"/>
        <v/>
      </c>
      <c r="D3669">
        <v>208</v>
      </c>
      <c r="E3669">
        <v>260</v>
      </c>
      <c r="F3669" s="366">
        <f t="shared" si="477"/>
        <v>5642</v>
      </c>
      <c r="G3669" s="97">
        <v>8446</v>
      </c>
      <c r="H3669" s="367">
        <f t="shared" si="478"/>
        <v>14088</v>
      </c>
      <c r="I3669" s="368">
        <f t="shared" si="479"/>
        <v>0</v>
      </c>
      <c r="J3669">
        <v>32848</v>
      </c>
      <c r="K3669" s="367">
        <f t="shared" si="476"/>
        <v>23462.857142857145</v>
      </c>
      <c r="L3669" s="607">
        <v>0.69000000000000006</v>
      </c>
      <c r="M3669">
        <v>7.3999999999999995</v>
      </c>
      <c r="N3669" s="381">
        <v>33</v>
      </c>
      <c r="O3669">
        <v>8</v>
      </c>
      <c r="P3669" t="s">
        <v>515</v>
      </c>
      <c r="Q3669" s="97">
        <f t="shared" si="480"/>
        <v>208</v>
      </c>
      <c r="R3669" t="str">
        <f t="shared" si="481"/>
        <v/>
      </c>
    </row>
    <row r="3670" spans="3:18">
      <c r="C3670" t="str">
        <f t="shared" ref="C3670:C3733" si="482">IF(OR($O$4=0,O3670-$O$4=0),IF(AND(ISEVEN(O3670)=FALSE,$N$4="Even"),"NL",""),"NL")</f>
        <v/>
      </c>
      <c r="D3670">
        <v>209</v>
      </c>
      <c r="E3670">
        <v>265</v>
      </c>
      <c r="F3670" s="366">
        <f t="shared" si="477"/>
        <v>5750.5</v>
      </c>
      <c r="G3670" s="97">
        <v>8557</v>
      </c>
      <c r="H3670" s="367">
        <f t="shared" si="478"/>
        <v>14307.5</v>
      </c>
      <c r="I3670" s="368">
        <f t="shared" si="479"/>
        <v>0</v>
      </c>
      <c r="J3670">
        <v>33280</v>
      </c>
      <c r="K3670" s="367">
        <f t="shared" ref="K3670:K3733" si="483">(J3670*$V$7)-I3670</f>
        <v>23771.428571428572</v>
      </c>
      <c r="L3670" s="607">
        <v>0.71</v>
      </c>
      <c r="M3670">
        <v>7.3999999999999995</v>
      </c>
      <c r="N3670" s="381">
        <v>34</v>
      </c>
      <c r="O3670">
        <v>8</v>
      </c>
      <c r="P3670" t="s">
        <v>515</v>
      </c>
      <c r="Q3670" s="97">
        <f t="shared" si="480"/>
        <v>209</v>
      </c>
      <c r="R3670" t="str">
        <f t="shared" si="481"/>
        <v/>
      </c>
    </row>
    <row r="3671" spans="3:18">
      <c r="C3671" t="str">
        <f t="shared" si="482"/>
        <v/>
      </c>
      <c r="D3671">
        <v>210</v>
      </c>
      <c r="E3671">
        <v>270</v>
      </c>
      <c r="F3671" s="366">
        <f t="shared" si="477"/>
        <v>5859</v>
      </c>
      <c r="G3671" s="97">
        <v>8668</v>
      </c>
      <c r="H3671" s="367">
        <f t="shared" si="478"/>
        <v>14527</v>
      </c>
      <c r="I3671" s="368">
        <f t="shared" si="479"/>
        <v>0</v>
      </c>
      <c r="J3671">
        <v>33712</v>
      </c>
      <c r="K3671" s="367">
        <f t="shared" si="483"/>
        <v>24080</v>
      </c>
      <c r="L3671" s="607">
        <v>0.74</v>
      </c>
      <c r="M3671">
        <v>7.3999999999999995</v>
      </c>
      <c r="N3671" s="381">
        <v>35</v>
      </c>
      <c r="O3671">
        <v>8</v>
      </c>
      <c r="P3671" t="s">
        <v>515</v>
      </c>
      <c r="Q3671" s="97" t="str">
        <f t="shared" si="480"/>
        <v/>
      </c>
      <c r="R3671" t="str">
        <f t="shared" si="481"/>
        <v/>
      </c>
    </row>
    <row r="3672" spans="3:18">
      <c r="C3672" t="str">
        <f t="shared" si="482"/>
        <v/>
      </c>
      <c r="D3672">
        <v>211</v>
      </c>
      <c r="E3672">
        <v>275</v>
      </c>
      <c r="F3672" s="366">
        <f t="shared" si="477"/>
        <v>5967.5</v>
      </c>
      <c r="G3672" s="97">
        <v>8780</v>
      </c>
      <c r="H3672" s="367">
        <f t="shared" si="478"/>
        <v>14747.5</v>
      </c>
      <c r="I3672" s="368">
        <f t="shared" si="479"/>
        <v>0</v>
      </c>
      <c r="J3672">
        <v>34144</v>
      </c>
      <c r="K3672" s="367">
        <f t="shared" si="483"/>
        <v>24388.571428571428</v>
      </c>
      <c r="L3672" s="607">
        <v>0.77</v>
      </c>
      <c r="M3672">
        <v>7.3999999999999995</v>
      </c>
      <c r="N3672" s="381">
        <v>36</v>
      </c>
      <c r="O3672">
        <v>8</v>
      </c>
      <c r="P3672" t="s">
        <v>515</v>
      </c>
      <c r="Q3672" s="97" t="str">
        <f t="shared" si="480"/>
        <v/>
      </c>
      <c r="R3672" t="str">
        <f t="shared" si="481"/>
        <v/>
      </c>
    </row>
    <row r="3673" spans="3:18">
      <c r="C3673" t="str">
        <f t="shared" si="482"/>
        <v/>
      </c>
      <c r="D3673">
        <v>212</v>
      </c>
      <c r="E3673">
        <v>280</v>
      </c>
      <c r="F3673" s="366">
        <f t="shared" si="477"/>
        <v>6076</v>
      </c>
      <c r="G3673" s="97">
        <v>8891</v>
      </c>
      <c r="H3673" s="367">
        <f t="shared" si="478"/>
        <v>14967</v>
      </c>
      <c r="I3673" s="368">
        <f t="shared" si="479"/>
        <v>0</v>
      </c>
      <c r="J3673">
        <v>34576</v>
      </c>
      <c r="K3673" s="367">
        <f t="shared" si="483"/>
        <v>24697.142857142859</v>
      </c>
      <c r="L3673" s="607">
        <v>0.8</v>
      </c>
      <c r="M3673">
        <v>7.3999999999999995</v>
      </c>
      <c r="N3673" s="381">
        <v>36</v>
      </c>
      <c r="O3673">
        <v>8</v>
      </c>
      <c r="P3673" t="s">
        <v>515</v>
      </c>
      <c r="Q3673" s="97" t="str">
        <f t="shared" si="480"/>
        <v/>
      </c>
      <c r="R3673" t="str">
        <f t="shared" si="481"/>
        <v/>
      </c>
    </row>
    <row r="3674" spans="3:18">
      <c r="C3674" t="str">
        <f t="shared" si="482"/>
        <v/>
      </c>
      <c r="D3674">
        <v>213</v>
      </c>
      <c r="E3674">
        <v>285</v>
      </c>
      <c r="F3674" s="366">
        <f t="shared" si="477"/>
        <v>6184.5</v>
      </c>
      <c r="G3674" s="97">
        <v>9002</v>
      </c>
      <c r="H3674" s="367">
        <f t="shared" si="478"/>
        <v>15186.5</v>
      </c>
      <c r="I3674" s="368">
        <f t="shared" si="479"/>
        <v>0</v>
      </c>
      <c r="J3674">
        <v>35009</v>
      </c>
      <c r="K3674" s="367">
        <f t="shared" si="483"/>
        <v>25006.428571428572</v>
      </c>
      <c r="L3674" s="607">
        <v>0.82000000000000006</v>
      </c>
      <c r="M3674">
        <v>7.3999999999999995</v>
      </c>
      <c r="N3674" s="381">
        <v>37</v>
      </c>
      <c r="O3674">
        <v>8</v>
      </c>
      <c r="P3674" t="s">
        <v>515</v>
      </c>
      <c r="Q3674" s="97" t="str">
        <f t="shared" si="480"/>
        <v/>
      </c>
      <c r="R3674" t="str">
        <f t="shared" si="481"/>
        <v/>
      </c>
    </row>
    <row r="3675" spans="3:18">
      <c r="C3675" t="str">
        <f t="shared" si="482"/>
        <v/>
      </c>
      <c r="D3675">
        <v>214</v>
      </c>
      <c r="E3675">
        <v>290</v>
      </c>
      <c r="F3675" s="366">
        <f t="shared" si="477"/>
        <v>6293</v>
      </c>
      <c r="G3675" s="97">
        <v>9107</v>
      </c>
      <c r="H3675" s="367">
        <f t="shared" si="478"/>
        <v>15400</v>
      </c>
      <c r="I3675" s="368">
        <f t="shared" si="479"/>
        <v>0</v>
      </c>
      <c r="J3675">
        <v>35417</v>
      </c>
      <c r="K3675" s="367">
        <f t="shared" si="483"/>
        <v>25297.857142857145</v>
      </c>
      <c r="L3675" s="607">
        <v>0.85</v>
      </c>
      <c r="M3675">
        <v>7.3999999999999995</v>
      </c>
      <c r="N3675" s="381">
        <v>38</v>
      </c>
      <c r="O3675">
        <v>8</v>
      </c>
      <c r="P3675" t="s">
        <v>515</v>
      </c>
      <c r="Q3675" s="97" t="str">
        <f t="shared" si="480"/>
        <v/>
      </c>
      <c r="R3675" t="str">
        <f t="shared" si="481"/>
        <v/>
      </c>
    </row>
    <row r="3676" spans="3:18">
      <c r="C3676" t="str">
        <f t="shared" si="482"/>
        <v/>
      </c>
      <c r="D3676">
        <v>215</v>
      </c>
      <c r="E3676">
        <v>295</v>
      </c>
      <c r="F3676" s="366">
        <f t="shared" si="477"/>
        <v>6401.5</v>
      </c>
      <c r="G3676" s="97">
        <v>9212</v>
      </c>
      <c r="H3676" s="367">
        <f t="shared" si="478"/>
        <v>15613.5</v>
      </c>
      <c r="I3676" s="368">
        <f t="shared" si="479"/>
        <v>0</v>
      </c>
      <c r="J3676">
        <v>35824</v>
      </c>
      <c r="K3676" s="367">
        <f t="shared" si="483"/>
        <v>25588.571428571428</v>
      </c>
      <c r="L3676" s="607">
        <v>0.88</v>
      </c>
      <c r="M3676">
        <v>7.3999999999999995</v>
      </c>
      <c r="N3676" s="381">
        <v>38</v>
      </c>
      <c r="O3676">
        <v>8</v>
      </c>
      <c r="P3676" t="s">
        <v>515</v>
      </c>
      <c r="Q3676" s="97" t="str">
        <f t="shared" si="480"/>
        <v/>
      </c>
      <c r="R3676" t="str">
        <f t="shared" si="481"/>
        <v/>
      </c>
    </row>
    <row r="3677" spans="3:18">
      <c r="C3677" t="str">
        <f t="shared" si="482"/>
        <v/>
      </c>
      <c r="D3677">
        <v>216</v>
      </c>
      <c r="E3677">
        <v>300</v>
      </c>
      <c r="F3677" s="366">
        <f t="shared" si="477"/>
        <v>6510</v>
      </c>
      <c r="G3677" s="97">
        <v>9316</v>
      </c>
      <c r="H3677" s="367">
        <f t="shared" si="478"/>
        <v>15826</v>
      </c>
      <c r="I3677" s="368">
        <f t="shared" si="479"/>
        <v>0</v>
      </c>
      <c r="J3677">
        <v>36231</v>
      </c>
      <c r="K3677" s="367">
        <f t="shared" si="483"/>
        <v>25879.285714285714</v>
      </c>
      <c r="L3677" s="607">
        <v>0.91</v>
      </c>
      <c r="M3677">
        <v>7.3999999999999995</v>
      </c>
      <c r="N3677" s="381">
        <v>39</v>
      </c>
      <c r="O3677">
        <v>8</v>
      </c>
      <c r="P3677" t="s">
        <v>515</v>
      </c>
      <c r="Q3677" s="97" t="str">
        <f t="shared" si="480"/>
        <v/>
      </c>
      <c r="R3677" t="str">
        <f t="shared" si="481"/>
        <v/>
      </c>
    </row>
    <row r="3678" spans="3:18">
      <c r="C3678" t="str">
        <f t="shared" si="482"/>
        <v/>
      </c>
      <c r="D3678">
        <v>217</v>
      </c>
      <c r="E3678">
        <v>305</v>
      </c>
      <c r="F3678" s="366">
        <f t="shared" si="477"/>
        <v>6618.5</v>
      </c>
      <c r="G3678" s="97">
        <v>9421</v>
      </c>
      <c r="H3678" s="367">
        <f t="shared" si="478"/>
        <v>16039.5</v>
      </c>
      <c r="I3678" s="368">
        <f t="shared" si="479"/>
        <v>0</v>
      </c>
      <c r="J3678">
        <v>36638</v>
      </c>
      <c r="K3678" s="367">
        <f t="shared" si="483"/>
        <v>26170</v>
      </c>
      <c r="L3678" s="607">
        <v>0.93</v>
      </c>
      <c r="M3678">
        <v>7.3999999999999995</v>
      </c>
      <c r="N3678" s="381">
        <v>40</v>
      </c>
      <c r="O3678">
        <v>8</v>
      </c>
      <c r="P3678" t="s">
        <v>515</v>
      </c>
      <c r="Q3678" s="97" t="str">
        <f t="shared" si="480"/>
        <v/>
      </c>
      <c r="R3678" t="str">
        <f t="shared" si="481"/>
        <v/>
      </c>
    </row>
    <row r="3679" spans="3:18">
      <c r="C3679" t="str">
        <f t="shared" si="482"/>
        <v/>
      </c>
      <c r="D3679">
        <v>218</v>
      </c>
      <c r="E3679">
        <v>310</v>
      </c>
      <c r="F3679" s="366">
        <f t="shared" si="477"/>
        <v>6727</v>
      </c>
      <c r="G3679" s="97">
        <v>9526</v>
      </c>
      <c r="H3679" s="367">
        <f t="shared" si="478"/>
        <v>16253</v>
      </c>
      <c r="I3679" s="368">
        <f t="shared" si="479"/>
        <v>0</v>
      </c>
      <c r="J3679">
        <v>37046</v>
      </c>
      <c r="K3679" s="367">
        <f t="shared" si="483"/>
        <v>26461.428571428572</v>
      </c>
      <c r="L3679" s="607">
        <v>0.96</v>
      </c>
      <c r="M3679">
        <v>7.3999999999999995</v>
      </c>
      <c r="N3679" s="381">
        <v>40</v>
      </c>
      <c r="O3679">
        <v>8</v>
      </c>
      <c r="P3679" t="s">
        <v>515</v>
      </c>
      <c r="Q3679" s="97" t="str">
        <f t="shared" si="480"/>
        <v/>
      </c>
      <c r="R3679" t="str">
        <f t="shared" si="481"/>
        <v/>
      </c>
    </row>
    <row r="3680" spans="3:18">
      <c r="C3680" t="str">
        <f t="shared" si="482"/>
        <v/>
      </c>
      <c r="D3680">
        <v>219</v>
      </c>
      <c r="E3680">
        <v>315</v>
      </c>
      <c r="F3680" s="366">
        <f t="shared" si="477"/>
        <v>6835.5</v>
      </c>
      <c r="G3680" s="97">
        <v>9628</v>
      </c>
      <c r="H3680" s="367">
        <f t="shared" si="478"/>
        <v>16463.5</v>
      </c>
      <c r="I3680" s="368">
        <f t="shared" si="479"/>
        <v>0</v>
      </c>
      <c r="J3680">
        <v>37443</v>
      </c>
      <c r="K3680" s="367">
        <f t="shared" si="483"/>
        <v>26745</v>
      </c>
      <c r="L3680" s="607">
        <v>0.99</v>
      </c>
      <c r="M3680">
        <v>7.3999999999999995</v>
      </c>
      <c r="N3680" s="381">
        <v>41</v>
      </c>
      <c r="O3680">
        <v>8</v>
      </c>
      <c r="P3680" t="s">
        <v>515</v>
      </c>
      <c r="Q3680" s="97" t="str">
        <f t="shared" si="480"/>
        <v/>
      </c>
      <c r="R3680" t="str">
        <f t="shared" si="481"/>
        <v/>
      </c>
    </row>
    <row r="3681" spans="2:18">
      <c r="C3681" t="str">
        <f t="shared" si="482"/>
        <v/>
      </c>
      <c r="D3681">
        <v>220</v>
      </c>
      <c r="E3681">
        <v>320</v>
      </c>
      <c r="F3681" s="366">
        <f t="shared" si="477"/>
        <v>6944</v>
      </c>
      <c r="G3681" s="97">
        <v>9727</v>
      </c>
      <c r="H3681" s="367">
        <f t="shared" si="478"/>
        <v>16671</v>
      </c>
      <c r="I3681" s="368">
        <f t="shared" si="479"/>
        <v>0</v>
      </c>
      <c r="J3681">
        <v>37830</v>
      </c>
      <c r="K3681" s="367">
        <f t="shared" si="483"/>
        <v>27021.428571428572</v>
      </c>
      <c r="L3681" s="607">
        <v>1.02</v>
      </c>
      <c r="M3681">
        <v>7.3999999999999995</v>
      </c>
      <c r="N3681" s="381">
        <v>42</v>
      </c>
      <c r="O3681">
        <v>8</v>
      </c>
      <c r="P3681" t="s">
        <v>515</v>
      </c>
      <c r="Q3681" s="97" t="str">
        <f t="shared" si="480"/>
        <v/>
      </c>
      <c r="R3681" t="str">
        <f t="shared" si="481"/>
        <v/>
      </c>
    </row>
    <row r="3682" spans="2:18">
      <c r="C3682" t="str">
        <f t="shared" si="482"/>
        <v/>
      </c>
      <c r="D3682">
        <v>221</v>
      </c>
      <c r="E3682">
        <v>325</v>
      </c>
      <c r="F3682" s="366">
        <f t="shared" si="477"/>
        <v>7052.5</v>
      </c>
      <c r="G3682" s="97">
        <v>9827</v>
      </c>
      <c r="H3682" s="367">
        <f t="shared" si="478"/>
        <v>16879.5</v>
      </c>
      <c r="I3682" s="368">
        <f t="shared" si="479"/>
        <v>0</v>
      </c>
      <c r="J3682">
        <v>38218</v>
      </c>
      <c r="K3682" s="367">
        <f t="shared" si="483"/>
        <v>27298.571428571428</v>
      </c>
      <c r="L3682" s="607">
        <v>1.06</v>
      </c>
      <c r="M3682">
        <v>7.3999999999999995</v>
      </c>
      <c r="N3682" s="381">
        <v>42</v>
      </c>
      <c r="O3682">
        <v>8</v>
      </c>
      <c r="P3682" t="s">
        <v>515</v>
      </c>
      <c r="Q3682" s="97" t="str">
        <f t="shared" si="480"/>
        <v/>
      </c>
      <c r="R3682" t="str">
        <f t="shared" si="481"/>
        <v/>
      </c>
    </row>
    <row r="3683" spans="2:18">
      <c r="C3683" t="str">
        <f t="shared" si="482"/>
        <v/>
      </c>
      <c r="D3683">
        <v>222</v>
      </c>
      <c r="E3683">
        <v>330</v>
      </c>
      <c r="F3683" s="366">
        <f t="shared" si="477"/>
        <v>7161</v>
      </c>
      <c r="G3683" s="97">
        <v>9927</v>
      </c>
      <c r="H3683" s="367">
        <f t="shared" si="478"/>
        <v>17088</v>
      </c>
      <c r="I3683" s="368">
        <f t="shared" si="479"/>
        <v>0</v>
      </c>
      <c r="J3683">
        <v>38605</v>
      </c>
      <c r="K3683" s="367">
        <f t="shared" si="483"/>
        <v>27575</v>
      </c>
      <c r="L3683" s="607">
        <v>1.0900000000000001</v>
      </c>
      <c r="M3683">
        <v>7.3999999999999995</v>
      </c>
      <c r="N3683" s="381">
        <v>43</v>
      </c>
      <c r="O3683">
        <v>8</v>
      </c>
      <c r="P3683" t="s">
        <v>515</v>
      </c>
      <c r="Q3683" s="97" t="str">
        <f t="shared" si="480"/>
        <v/>
      </c>
      <c r="R3683" t="str">
        <f t="shared" si="481"/>
        <v/>
      </c>
    </row>
    <row r="3684" spans="2:18">
      <c r="C3684" t="str">
        <f t="shared" si="482"/>
        <v/>
      </c>
      <c r="D3684">
        <v>223</v>
      </c>
      <c r="E3684">
        <v>335</v>
      </c>
      <c r="F3684" s="366">
        <f t="shared" si="477"/>
        <v>7269.5</v>
      </c>
      <c r="G3684" s="97">
        <v>10026</v>
      </c>
      <c r="H3684" s="367">
        <f t="shared" si="478"/>
        <v>17295.5</v>
      </c>
      <c r="I3684" s="368">
        <f t="shared" si="479"/>
        <v>0</v>
      </c>
      <c r="J3684">
        <v>38993</v>
      </c>
      <c r="K3684" s="367">
        <f t="shared" si="483"/>
        <v>27852.142857142859</v>
      </c>
      <c r="L3684" s="607">
        <v>1.1200000000000001</v>
      </c>
      <c r="M3684">
        <v>7.3999999999999995</v>
      </c>
      <c r="N3684" s="381">
        <v>43</v>
      </c>
      <c r="O3684">
        <v>8</v>
      </c>
      <c r="P3684" t="s">
        <v>515</v>
      </c>
      <c r="Q3684" s="97" t="str">
        <f t="shared" si="480"/>
        <v/>
      </c>
      <c r="R3684" t="str">
        <f t="shared" si="481"/>
        <v/>
      </c>
    </row>
    <row r="3685" spans="2:18">
      <c r="B3685" s="582"/>
    </row>
    <row r="3686" spans="2:18">
      <c r="B3686" s="582"/>
      <c r="C3686" t="str">
        <f t="shared" si="482"/>
        <v/>
      </c>
      <c r="D3686">
        <v>1</v>
      </c>
      <c r="E3686">
        <v>5</v>
      </c>
      <c r="F3686" s="366">
        <f t="shared" si="477"/>
        <v>108.5</v>
      </c>
      <c r="G3686" s="97">
        <v>304</v>
      </c>
      <c r="H3686" s="367">
        <f t="shared" ref="H3686" si="484">(G3686*$U$7)+F3686</f>
        <v>412.5</v>
      </c>
      <c r="I3686" s="368">
        <f t="shared" ref="I3686" si="485">1.085*($C$2-$D$2)*E3686*$T$7</f>
        <v>0</v>
      </c>
      <c r="J3686">
        <v>946</v>
      </c>
      <c r="K3686" s="367">
        <f t="shared" si="483"/>
        <v>675.71428571428578</v>
      </c>
      <c r="L3686">
        <v>0.21000000000000002</v>
      </c>
      <c r="M3686">
        <v>1.6</v>
      </c>
      <c r="N3686">
        <v>19</v>
      </c>
      <c r="O3686">
        <v>2</v>
      </c>
      <c r="P3686" t="s">
        <v>512</v>
      </c>
      <c r="Q3686" s="97" t="str">
        <f t="shared" si="480"/>
        <v/>
      </c>
      <c r="R3686" t="str">
        <f>IF(Q3686="","",IF(AND(O3686&lt;$X$31,E3686&gt;$U$31,E3686&lt;$Q$4+$U$31+1),D3686,""))</f>
        <v/>
      </c>
    </row>
    <row r="3687" spans="2:18">
      <c r="C3687" t="str">
        <f t="shared" si="482"/>
        <v/>
      </c>
      <c r="D3687">
        <v>2</v>
      </c>
      <c r="E3687">
        <v>10</v>
      </c>
      <c r="F3687" s="366">
        <f t="shared" si="477"/>
        <v>217</v>
      </c>
      <c r="G3687" s="97">
        <v>653</v>
      </c>
      <c r="H3687" s="367">
        <f t="shared" ref="H3687:H3750" si="486">(G3687*$U$7)+F3687</f>
        <v>870</v>
      </c>
      <c r="I3687" s="368">
        <f t="shared" ref="I3687:I3750" si="487">1.085*($C$2-$D$2)*E3687*$T$7</f>
        <v>0</v>
      </c>
      <c r="J3687">
        <v>2033</v>
      </c>
      <c r="K3687" s="367">
        <f t="shared" si="483"/>
        <v>1452.1428571428571</v>
      </c>
      <c r="L3687">
        <v>0.31</v>
      </c>
      <c r="M3687">
        <v>1.6</v>
      </c>
      <c r="N3687">
        <v>19</v>
      </c>
      <c r="O3687">
        <v>2</v>
      </c>
      <c r="P3687" t="s">
        <v>513</v>
      </c>
      <c r="Q3687" s="97" t="str">
        <f t="shared" ref="Q3687:Q3750" si="488">IF(AND(H3687+1&gt;$E$4,L3687&lt;$L$4+0.01,M3687&lt;$M$4+0.01,K3687+1&gt;$F$4,E3687+1&gt;$J$4,N3687&lt;$K$4+1,O3687&lt;$P$4+1,C3687=""),D3687,"")</f>
        <v/>
      </c>
      <c r="R3687" t="str">
        <f t="shared" ref="R3687:R3750" si="489">IF(Q3687="","",IF(AND(O3687&lt;$X$31,E3687&gt;$U$31,E3687&lt;$Q$4+$U$31+1),D3687,""))</f>
        <v/>
      </c>
    </row>
    <row r="3688" spans="2:18">
      <c r="C3688" t="str">
        <f t="shared" si="482"/>
        <v/>
      </c>
      <c r="D3688">
        <v>3</v>
      </c>
      <c r="E3688">
        <v>10</v>
      </c>
      <c r="F3688" s="366">
        <f t="shared" si="477"/>
        <v>217</v>
      </c>
      <c r="G3688" s="97">
        <v>565</v>
      </c>
      <c r="H3688" s="367">
        <f t="shared" si="486"/>
        <v>782</v>
      </c>
      <c r="I3688" s="368">
        <f t="shared" si="487"/>
        <v>0</v>
      </c>
      <c r="J3688">
        <v>1757</v>
      </c>
      <c r="K3688" s="367">
        <f t="shared" si="483"/>
        <v>1255</v>
      </c>
      <c r="L3688">
        <v>0.82000000000000006</v>
      </c>
      <c r="M3688">
        <v>1.6</v>
      </c>
      <c r="N3688">
        <v>27</v>
      </c>
      <c r="O3688">
        <v>2</v>
      </c>
      <c r="P3688" t="s">
        <v>512</v>
      </c>
      <c r="Q3688" s="97" t="str">
        <f t="shared" si="488"/>
        <v/>
      </c>
      <c r="R3688" t="str">
        <f t="shared" si="489"/>
        <v/>
      </c>
    </row>
    <row r="3689" spans="2:18">
      <c r="C3689" t="str">
        <f t="shared" si="482"/>
        <v/>
      </c>
      <c r="D3689">
        <v>4</v>
      </c>
      <c r="E3689">
        <v>15</v>
      </c>
      <c r="F3689" s="366">
        <f t="shared" si="477"/>
        <v>325.5</v>
      </c>
      <c r="G3689" s="97">
        <v>930</v>
      </c>
      <c r="H3689" s="367">
        <f t="shared" si="486"/>
        <v>1255.5</v>
      </c>
      <c r="I3689" s="368">
        <f t="shared" si="487"/>
        <v>0</v>
      </c>
      <c r="J3689">
        <v>2894</v>
      </c>
      <c r="K3689" s="367">
        <f t="shared" si="483"/>
        <v>2067.1428571428573</v>
      </c>
      <c r="L3689">
        <v>0.69000000000000006</v>
      </c>
      <c r="M3689">
        <v>1.6</v>
      </c>
      <c r="N3689">
        <v>24</v>
      </c>
      <c r="O3689">
        <v>2</v>
      </c>
      <c r="P3689" t="s">
        <v>513</v>
      </c>
      <c r="Q3689" s="97" t="str">
        <f t="shared" si="488"/>
        <v/>
      </c>
      <c r="R3689" t="str">
        <f t="shared" si="489"/>
        <v/>
      </c>
    </row>
    <row r="3690" spans="2:18">
      <c r="C3690" t="str">
        <f t="shared" si="482"/>
        <v/>
      </c>
      <c r="D3690">
        <v>5</v>
      </c>
      <c r="E3690">
        <v>15</v>
      </c>
      <c r="F3690" s="366">
        <f t="shared" si="477"/>
        <v>325.5</v>
      </c>
      <c r="G3690" s="97">
        <v>702</v>
      </c>
      <c r="H3690" s="367">
        <f t="shared" si="486"/>
        <v>1027.5</v>
      </c>
      <c r="I3690" s="368">
        <f t="shared" si="487"/>
        <v>0</v>
      </c>
      <c r="J3690">
        <v>2186</v>
      </c>
      <c r="K3690" s="367">
        <f t="shared" si="483"/>
        <v>1561.4285714285716</v>
      </c>
      <c r="L3690">
        <v>0.2</v>
      </c>
      <c r="M3690">
        <v>1.6</v>
      </c>
      <c r="N3690">
        <v>18</v>
      </c>
      <c r="O3690">
        <v>2</v>
      </c>
      <c r="P3690" t="s">
        <v>514</v>
      </c>
      <c r="Q3690" s="97" t="str">
        <f t="shared" si="488"/>
        <v/>
      </c>
      <c r="R3690" t="str">
        <f t="shared" si="489"/>
        <v/>
      </c>
    </row>
    <row r="3691" spans="2:18">
      <c r="C3691" t="str">
        <f t="shared" si="482"/>
        <v/>
      </c>
      <c r="D3691">
        <v>6</v>
      </c>
      <c r="E3691">
        <v>15</v>
      </c>
      <c r="F3691" s="366">
        <f t="shared" si="477"/>
        <v>325.5</v>
      </c>
      <c r="G3691" s="97">
        <v>879</v>
      </c>
      <c r="H3691" s="367">
        <f t="shared" si="486"/>
        <v>1204.5</v>
      </c>
      <c r="I3691" s="368">
        <f t="shared" si="487"/>
        <v>0</v>
      </c>
      <c r="J3691">
        <v>2735</v>
      </c>
      <c r="K3691" s="367">
        <f t="shared" si="483"/>
        <v>1953.5714285714287</v>
      </c>
      <c r="L3691">
        <v>0.29000000000000004</v>
      </c>
      <c r="M3691">
        <v>2.9</v>
      </c>
      <c r="N3691">
        <v>19</v>
      </c>
      <c r="O3691">
        <v>4</v>
      </c>
      <c r="P3691" t="s">
        <v>512</v>
      </c>
      <c r="Q3691" s="97" t="str">
        <f t="shared" si="488"/>
        <v/>
      </c>
      <c r="R3691" t="str">
        <f t="shared" si="489"/>
        <v/>
      </c>
    </row>
    <row r="3692" spans="2:18">
      <c r="C3692" t="str">
        <f t="shared" si="482"/>
        <v/>
      </c>
      <c r="D3692">
        <v>7</v>
      </c>
      <c r="E3692">
        <v>20</v>
      </c>
      <c r="F3692" s="366">
        <f t="shared" si="477"/>
        <v>434</v>
      </c>
      <c r="G3692" s="97">
        <v>906</v>
      </c>
      <c r="H3692" s="367">
        <f t="shared" si="486"/>
        <v>1340</v>
      </c>
      <c r="I3692" s="368">
        <f t="shared" si="487"/>
        <v>0</v>
      </c>
      <c r="J3692">
        <v>2821</v>
      </c>
      <c r="K3692" s="367">
        <f t="shared" si="483"/>
        <v>2015</v>
      </c>
      <c r="L3692">
        <v>0.34</v>
      </c>
      <c r="M3692">
        <v>1.6</v>
      </c>
      <c r="N3692">
        <v>21</v>
      </c>
      <c r="O3692">
        <v>2</v>
      </c>
      <c r="P3692" t="s">
        <v>514</v>
      </c>
      <c r="Q3692" s="97" t="str">
        <f t="shared" si="488"/>
        <v/>
      </c>
      <c r="R3692" t="str">
        <f t="shared" si="489"/>
        <v/>
      </c>
    </row>
    <row r="3693" spans="2:18">
      <c r="C3693" t="str">
        <f t="shared" si="482"/>
        <v/>
      </c>
      <c r="D3693">
        <v>8</v>
      </c>
      <c r="E3693">
        <v>20</v>
      </c>
      <c r="F3693" s="366">
        <f t="shared" si="477"/>
        <v>434</v>
      </c>
      <c r="G3693" s="97">
        <v>1309</v>
      </c>
      <c r="H3693" s="367">
        <f t="shared" si="486"/>
        <v>1743</v>
      </c>
      <c r="I3693" s="368">
        <f t="shared" si="487"/>
        <v>0</v>
      </c>
      <c r="J3693">
        <v>4073</v>
      </c>
      <c r="K3693" s="367">
        <f t="shared" si="483"/>
        <v>2909.2857142857142</v>
      </c>
      <c r="L3693">
        <v>0.2</v>
      </c>
      <c r="M3693">
        <v>2.9</v>
      </c>
      <c r="N3693">
        <v>16</v>
      </c>
      <c r="O3693">
        <v>4</v>
      </c>
      <c r="P3693" t="s">
        <v>513</v>
      </c>
      <c r="Q3693" s="97" t="str">
        <f t="shared" si="488"/>
        <v/>
      </c>
      <c r="R3693" t="str">
        <f t="shared" si="489"/>
        <v/>
      </c>
    </row>
    <row r="3694" spans="2:18">
      <c r="C3694" t="str">
        <f t="shared" si="482"/>
        <v/>
      </c>
      <c r="D3694">
        <v>9</v>
      </c>
      <c r="E3694">
        <v>20</v>
      </c>
      <c r="F3694" s="366">
        <f t="shared" si="477"/>
        <v>434</v>
      </c>
      <c r="G3694" s="97">
        <v>1132</v>
      </c>
      <c r="H3694" s="367">
        <f t="shared" si="486"/>
        <v>1566</v>
      </c>
      <c r="I3694" s="368">
        <f t="shared" si="487"/>
        <v>0</v>
      </c>
      <c r="J3694">
        <v>3524</v>
      </c>
      <c r="K3694" s="367">
        <f t="shared" si="483"/>
        <v>2517.1428571428573</v>
      </c>
      <c r="L3694">
        <v>0.51</v>
      </c>
      <c r="M3694">
        <v>2.9</v>
      </c>
      <c r="N3694">
        <v>23</v>
      </c>
      <c r="O3694">
        <v>4</v>
      </c>
      <c r="P3694" t="s">
        <v>512</v>
      </c>
      <c r="Q3694" s="97" t="str">
        <f t="shared" si="488"/>
        <v/>
      </c>
      <c r="R3694" t="str">
        <f t="shared" si="489"/>
        <v/>
      </c>
    </row>
    <row r="3695" spans="2:18">
      <c r="C3695" t="str">
        <f t="shared" si="482"/>
        <v/>
      </c>
      <c r="D3695">
        <v>10</v>
      </c>
      <c r="E3695">
        <v>20</v>
      </c>
      <c r="F3695" s="366">
        <f t="shared" si="477"/>
        <v>434</v>
      </c>
      <c r="G3695" s="97">
        <v>1182</v>
      </c>
      <c r="H3695" s="367">
        <f t="shared" si="486"/>
        <v>1616</v>
      </c>
      <c r="I3695" s="368">
        <f t="shared" si="487"/>
        <v>0</v>
      </c>
      <c r="J3695">
        <v>3679</v>
      </c>
      <c r="K3695" s="367">
        <f t="shared" si="483"/>
        <v>2627.8571428571431</v>
      </c>
      <c r="L3695">
        <v>0.2</v>
      </c>
      <c r="M3695">
        <v>4.1999999999999993</v>
      </c>
      <c r="N3695">
        <v>17</v>
      </c>
      <c r="O3695">
        <v>6</v>
      </c>
      <c r="P3695" t="s">
        <v>512</v>
      </c>
      <c r="Q3695" s="97" t="str">
        <f t="shared" si="488"/>
        <v/>
      </c>
      <c r="R3695" t="str">
        <f t="shared" si="489"/>
        <v/>
      </c>
    </row>
    <row r="3696" spans="2:18">
      <c r="C3696" t="str">
        <f t="shared" si="482"/>
        <v/>
      </c>
      <c r="D3696">
        <v>11</v>
      </c>
      <c r="E3696">
        <v>25</v>
      </c>
      <c r="F3696" s="366">
        <f t="shared" si="477"/>
        <v>542.5</v>
      </c>
      <c r="G3696" s="97">
        <v>1099</v>
      </c>
      <c r="H3696" s="367">
        <f t="shared" si="486"/>
        <v>1641.5</v>
      </c>
      <c r="I3696" s="368">
        <f t="shared" si="487"/>
        <v>0</v>
      </c>
      <c r="J3696">
        <v>3420</v>
      </c>
      <c r="K3696" s="367">
        <f t="shared" si="483"/>
        <v>2442.8571428571431</v>
      </c>
      <c r="L3696">
        <v>0.53</v>
      </c>
      <c r="M3696">
        <v>1.6</v>
      </c>
      <c r="N3696">
        <v>24</v>
      </c>
      <c r="O3696">
        <v>2</v>
      </c>
      <c r="P3696" t="s">
        <v>514</v>
      </c>
      <c r="Q3696" s="97" t="str">
        <f t="shared" si="488"/>
        <v/>
      </c>
      <c r="R3696" t="str">
        <f t="shared" si="489"/>
        <v/>
      </c>
    </row>
    <row r="3697" spans="3:18">
      <c r="C3697" t="str">
        <f t="shared" si="482"/>
        <v/>
      </c>
      <c r="D3697">
        <v>12</v>
      </c>
      <c r="E3697">
        <v>25</v>
      </c>
      <c r="F3697" s="366">
        <f t="shared" si="477"/>
        <v>542.5</v>
      </c>
      <c r="G3697" s="97">
        <v>958</v>
      </c>
      <c r="H3697" s="367">
        <f t="shared" si="486"/>
        <v>1500.5</v>
      </c>
      <c r="I3697" s="368">
        <f t="shared" si="487"/>
        <v>0</v>
      </c>
      <c r="J3697">
        <v>2981</v>
      </c>
      <c r="K3697" s="367">
        <f t="shared" si="483"/>
        <v>2129.2857142857142</v>
      </c>
      <c r="L3697">
        <v>0.15000000000000002</v>
      </c>
      <c r="M3697">
        <v>1.6</v>
      </c>
      <c r="N3697">
        <v>16</v>
      </c>
      <c r="O3697">
        <v>2</v>
      </c>
      <c r="P3697" t="s">
        <v>515</v>
      </c>
      <c r="Q3697" s="97" t="str">
        <f t="shared" si="488"/>
        <v/>
      </c>
      <c r="R3697" t="str">
        <f t="shared" si="489"/>
        <v/>
      </c>
    </row>
    <row r="3698" spans="3:18">
      <c r="C3698" t="str">
        <f t="shared" si="482"/>
        <v/>
      </c>
      <c r="D3698">
        <v>13</v>
      </c>
      <c r="E3698">
        <v>25</v>
      </c>
      <c r="F3698" s="366">
        <f t="shared" si="477"/>
        <v>542.5</v>
      </c>
      <c r="G3698" s="97">
        <v>1594</v>
      </c>
      <c r="H3698" s="367">
        <f t="shared" si="486"/>
        <v>2136.5</v>
      </c>
      <c r="I3698" s="368">
        <f t="shared" si="487"/>
        <v>0</v>
      </c>
      <c r="J3698">
        <v>4960</v>
      </c>
      <c r="K3698" s="367">
        <f t="shared" si="483"/>
        <v>3542.8571428571431</v>
      </c>
      <c r="L3698">
        <v>0.31</v>
      </c>
      <c r="M3698">
        <v>2.9</v>
      </c>
      <c r="N3698">
        <v>19</v>
      </c>
      <c r="O3698">
        <v>4</v>
      </c>
      <c r="P3698" t="s">
        <v>513</v>
      </c>
      <c r="Q3698" s="97" t="str">
        <f t="shared" si="488"/>
        <v/>
      </c>
      <c r="R3698" t="str">
        <f t="shared" si="489"/>
        <v/>
      </c>
    </row>
    <row r="3699" spans="3:18">
      <c r="C3699" t="str">
        <f t="shared" si="482"/>
        <v/>
      </c>
      <c r="D3699">
        <v>14</v>
      </c>
      <c r="E3699">
        <v>25</v>
      </c>
      <c r="F3699" s="366">
        <f t="shared" ref="F3699:F3762" si="490">1.085*($A$2-$B$2)*E3699*$T$7</f>
        <v>542.5</v>
      </c>
      <c r="G3699" s="97">
        <v>1369</v>
      </c>
      <c r="H3699" s="367">
        <f t="shared" si="486"/>
        <v>1911.5</v>
      </c>
      <c r="I3699" s="368">
        <f t="shared" si="487"/>
        <v>0</v>
      </c>
      <c r="J3699">
        <v>4260</v>
      </c>
      <c r="K3699" s="367">
        <f t="shared" si="483"/>
        <v>3042.8571428571431</v>
      </c>
      <c r="L3699">
        <v>0.8</v>
      </c>
      <c r="M3699">
        <v>2.9</v>
      </c>
      <c r="N3699">
        <v>26</v>
      </c>
      <c r="O3699">
        <v>4</v>
      </c>
      <c r="P3699" t="s">
        <v>512</v>
      </c>
      <c r="Q3699" s="97" t="str">
        <f t="shared" si="488"/>
        <v/>
      </c>
      <c r="R3699" t="str">
        <f t="shared" si="489"/>
        <v/>
      </c>
    </row>
    <row r="3700" spans="3:18">
      <c r="C3700" t="str">
        <f t="shared" si="482"/>
        <v/>
      </c>
      <c r="D3700">
        <v>15</v>
      </c>
      <c r="E3700">
        <v>25</v>
      </c>
      <c r="F3700" s="366">
        <f t="shared" si="490"/>
        <v>542.5</v>
      </c>
      <c r="G3700" s="97">
        <v>1662</v>
      </c>
      <c r="H3700" s="367">
        <f t="shared" si="486"/>
        <v>2204.5</v>
      </c>
      <c r="I3700" s="368">
        <f t="shared" si="487"/>
        <v>0</v>
      </c>
      <c r="J3700">
        <v>5171</v>
      </c>
      <c r="K3700" s="367">
        <f t="shared" si="483"/>
        <v>3693.5714285714284</v>
      </c>
      <c r="L3700">
        <v>0.13</v>
      </c>
      <c r="M3700">
        <v>4.1999999999999993</v>
      </c>
      <c r="N3700">
        <v>15</v>
      </c>
      <c r="O3700">
        <v>6</v>
      </c>
      <c r="P3700" t="s">
        <v>513</v>
      </c>
      <c r="Q3700" s="97" t="str">
        <f t="shared" si="488"/>
        <v/>
      </c>
      <c r="R3700" t="str">
        <f t="shared" si="489"/>
        <v/>
      </c>
    </row>
    <row r="3701" spans="3:18">
      <c r="C3701" t="str">
        <f t="shared" si="482"/>
        <v/>
      </c>
      <c r="D3701">
        <v>16</v>
      </c>
      <c r="E3701">
        <v>25</v>
      </c>
      <c r="F3701" s="366">
        <f t="shared" si="490"/>
        <v>542.5</v>
      </c>
      <c r="G3701" s="97">
        <v>1439</v>
      </c>
      <c r="H3701" s="367">
        <f t="shared" si="486"/>
        <v>1981.5</v>
      </c>
      <c r="I3701" s="368">
        <f t="shared" si="487"/>
        <v>0</v>
      </c>
      <c r="J3701">
        <v>4477</v>
      </c>
      <c r="K3701" s="367">
        <f t="shared" si="483"/>
        <v>3197.8571428571431</v>
      </c>
      <c r="L3701">
        <v>0.31</v>
      </c>
      <c r="M3701">
        <v>4.1999999999999993</v>
      </c>
      <c r="N3701">
        <v>20</v>
      </c>
      <c r="O3701">
        <v>6</v>
      </c>
      <c r="P3701" t="s">
        <v>512</v>
      </c>
      <c r="Q3701" s="97" t="str">
        <f t="shared" si="488"/>
        <v/>
      </c>
      <c r="R3701" t="str">
        <f t="shared" si="489"/>
        <v/>
      </c>
    </row>
    <row r="3702" spans="3:18">
      <c r="C3702" t="str">
        <f t="shared" si="482"/>
        <v/>
      </c>
      <c r="D3702">
        <v>17</v>
      </c>
      <c r="E3702">
        <v>25</v>
      </c>
      <c r="F3702" s="366">
        <f t="shared" si="490"/>
        <v>542.5</v>
      </c>
      <c r="G3702" s="97">
        <v>1474</v>
      </c>
      <c r="H3702" s="367">
        <f t="shared" si="486"/>
        <v>2016.5</v>
      </c>
      <c r="I3702" s="368">
        <f t="shared" si="487"/>
        <v>0</v>
      </c>
      <c r="J3702">
        <v>4588</v>
      </c>
      <c r="K3702" s="367">
        <f t="shared" si="483"/>
        <v>3277.1428571428573</v>
      </c>
      <c r="L3702">
        <v>0.17</v>
      </c>
      <c r="M3702">
        <v>5.5</v>
      </c>
      <c r="N3702">
        <v>16</v>
      </c>
      <c r="O3702">
        <v>8</v>
      </c>
      <c r="P3702" t="s">
        <v>512</v>
      </c>
      <c r="Q3702" s="97" t="str">
        <f t="shared" si="488"/>
        <v/>
      </c>
      <c r="R3702" t="str">
        <f t="shared" si="489"/>
        <v/>
      </c>
    </row>
    <row r="3703" spans="3:18">
      <c r="C3703" t="str">
        <f t="shared" si="482"/>
        <v/>
      </c>
      <c r="D3703">
        <v>18</v>
      </c>
      <c r="E3703">
        <v>30</v>
      </c>
      <c r="F3703" s="366">
        <f t="shared" si="490"/>
        <v>651</v>
      </c>
      <c r="G3703" s="97">
        <v>1280</v>
      </c>
      <c r="H3703" s="367">
        <f t="shared" si="486"/>
        <v>1931</v>
      </c>
      <c r="I3703" s="368">
        <f t="shared" si="487"/>
        <v>0</v>
      </c>
      <c r="J3703">
        <v>3984</v>
      </c>
      <c r="K3703" s="367">
        <f t="shared" si="483"/>
        <v>2845.7142857142858</v>
      </c>
      <c r="L3703">
        <v>0.77</v>
      </c>
      <c r="M3703">
        <v>1.6</v>
      </c>
      <c r="N3703">
        <v>27</v>
      </c>
      <c r="O3703">
        <v>2</v>
      </c>
      <c r="P3703" t="s">
        <v>514</v>
      </c>
      <c r="Q3703" s="97" t="str">
        <f t="shared" si="488"/>
        <v/>
      </c>
      <c r="R3703" t="str">
        <f t="shared" si="489"/>
        <v/>
      </c>
    </row>
    <row r="3704" spans="3:18">
      <c r="C3704" t="str">
        <f t="shared" si="482"/>
        <v/>
      </c>
      <c r="D3704">
        <v>19</v>
      </c>
      <c r="E3704">
        <v>30</v>
      </c>
      <c r="F3704" s="366">
        <f t="shared" si="490"/>
        <v>651</v>
      </c>
      <c r="G3704" s="97">
        <v>1120</v>
      </c>
      <c r="H3704" s="367">
        <f t="shared" si="486"/>
        <v>1771</v>
      </c>
      <c r="I3704" s="368">
        <f t="shared" si="487"/>
        <v>0</v>
      </c>
      <c r="J3704">
        <v>3485</v>
      </c>
      <c r="K3704" s="367">
        <f t="shared" si="483"/>
        <v>2489.2857142857142</v>
      </c>
      <c r="L3704">
        <v>0.22</v>
      </c>
      <c r="M3704">
        <v>1.6</v>
      </c>
      <c r="N3704">
        <v>18</v>
      </c>
      <c r="O3704">
        <v>2</v>
      </c>
      <c r="P3704" t="s">
        <v>515</v>
      </c>
      <c r="Q3704" s="97" t="str">
        <f t="shared" si="488"/>
        <v/>
      </c>
      <c r="R3704" t="str">
        <f t="shared" si="489"/>
        <v/>
      </c>
    </row>
    <row r="3705" spans="3:18">
      <c r="C3705" t="str">
        <f t="shared" si="482"/>
        <v/>
      </c>
      <c r="D3705">
        <v>20</v>
      </c>
      <c r="E3705">
        <v>30</v>
      </c>
      <c r="F3705" s="366">
        <f t="shared" si="490"/>
        <v>651</v>
      </c>
      <c r="G3705" s="97">
        <v>1865</v>
      </c>
      <c r="H3705" s="367">
        <f t="shared" si="486"/>
        <v>2516</v>
      </c>
      <c r="I3705" s="368">
        <f t="shared" si="487"/>
        <v>0</v>
      </c>
      <c r="J3705">
        <v>5805</v>
      </c>
      <c r="K3705" s="367">
        <f t="shared" si="483"/>
        <v>4146.4285714285716</v>
      </c>
      <c r="L3705">
        <v>0.45</v>
      </c>
      <c r="M3705">
        <v>2.9</v>
      </c>
      <c r="N3705">
        <v>21</v>
      </c>
      <c r="O3705">
        <v>4</v>
      </c>
      <c r="P3705" t="s">
        <v>513</v>
      </c>
      <c r="Q3705" s="97" t="str">
        <f t="shared" si="488"/>
        <v/>
      </c>
      <c r="R3705" t="str">
        <f t="shared" si="489"/>
        <v/>
      </c>
    </row>
    <row r="3706" spans="3:18">
      <c r="C3706" t="str">
        <f t="shared" si="482"/>
        <v/>
      </c>
      <c r="D3706">
        <v>21</v>
      </c>
      <c r="E3706">
        <v>30</v>
      </c>
      <c r="F3706" s="366">
        <f t="shared" si="490"/>
        <v>651</v>
      </c>
      <c r="G3706" s="97">
        <v>1408</v>
      </c>
      <c r="H3706" s="367">
        <f t="shared" si="486"/>
        <v>2059</v>
      </c>
      <c r="I3706" s="368">
        <f t="shared" si="487"/>
        <v>0</v>
      </c>
      <c r="J3706">
        <v>4382</v>
      </c>
      <c r="K3706" s="367">
        <f t="shared" si="483"/>
        <v>3130</v>
      </c>
      <c r="L3706">
        <v>0.13</v>
      </c>
      <c r="M3706">
        <v>2.9</v>
      </c>
      <c r="N3706">
        <v>15</v>
      </c>
      <c r="O3706">
        <v>4</v>
      </c>
      <c r="P3706" t="s">
        <v>514</v>
      </c>
      <c r="Q3706" s="97" t="str">
        <f t="shared" si="488"/>
        <v/>
      </c>
      <c r="R3706" t="str">
        <f t="shared" si="489"/>
        <v/>
      </c>
    </row>
    <row r="3707" spans="3:18">
      <c r="C3707" t="str">
        <f t="shared" si="482"/>
        <v/>
      </c>
      <c r="D3707">
        <v>22</v>
      </c>
      <c r="E3707">
        <v>30</v>
      </c>
      <c r="F3707" s="366">
        <f t="shared" si="490"/>
        <v>651</v>
      </c>
      <c r="G3707" s="97">
        <v>1951</v>
      </c>
      <c r="H3707" s="367">
        <f t="shared" si="486"/>
        <v>2602</v>
      </c>
      <c r="I3707" s="368">
        <f t="shared" si="487"/>
        <v>0</v>
      </c>
      <c r="J3707">
        <v>6070</v>
      </c>
      <c r="K3707" s="367">
        <f t="shared" si="483"/>
        <v>4335.7142857142862</v>
      </c>
      <c r="L3707">
        <v>0.18000000000000002</v>
      </c>
      <c r="M3707">
        <v>4.1999999999999993</v>
      </c>
      <c r="N3707">
        <v>16</v>
      </c>
      <c r="O3707">
        <v>6</v>
      </c>
      <c r="P3707" t="s">
        <v>513</v>
      </c>
      <c r="Q3707" s="97" t="str">
        <f t="shared" si="488"/>
        <v/>
      </c>
      <c r="R3707" t="str">
        <f t="shared" si="489"/>
        <v/>
      </c>
    </row>
    <row r="3708" spans="3:18">
      <c r="C3708" t="str">
        <f t="shared" si="482"/>
        <v/>
      </c>
      <c r="D3708">
        <v>23</v>
      </c>
      <c r="E3708">
        <v>30</v>
      </c>
      <c r="F3708" s="366">
        <f t="shared" si="490"/>
        <v>651</v>
      </c>
      <c r="G3708" s="97">
        <v>1684</v>
      </c>
      <c r="H3708" s="367">
        <f t="shared" si="486"/>
        <v>2335</v>
      </c>
      <c r="I3708" s="368">
        <f t="shared" si="487"/>
        <v>0</v>
      </c>
      <c r="J3708">
        <v>5241</v>
      </c>
      <c r="K3708" s="367">
        <f t="shared" si="483"/>
        <v>3743.5714285714284</v>
      </c>
      <c r="L3708">
        <v>0.45</v>
      </c>
      <c r="M3708">
        <v>4.1999999999999993</v>
      </c>
      <c r="N3708">
        <v>23</v>
      </c>
      <c r="O3708">
        <v>6</v>
      </c>
      <c r="P3708" t="s">
        <v>512</v>
      </c>
      <c r="Q3708" s="97" t="str">
        <f t="shared" si="488"/>
        <v/>
      </c>
      <c r="R3708" t="str">
        <f t="shared" si="489"/>
        <v/>
      </c>
    </row>
    <row r="3709" spans="3:18">
      <c r="C3709" t="str">
        <f t="shared" si="482"/>
        <v/>
      </c>
      <c r="D3709">
        <v>24</v>
      </c>
      <c r="E3709">
        <v>30</v>
      </c>
      <c r="F3709" s="366">
        <f t="shared" si="490"/>
        <v>651</v>
      </c>
      <c r="G3709" s="97">
        <v>1731</v>
      </c>
      <c r="H3709" s="367">
        <f t="shared" si="486"/>
        <v>2382</v>
      </c>
      <c r="I3709" s="368">
        <f t="shared" si="487"/>
        <v>0</v>
      </c>
      <c r="J3709">
        <v>5388</v>
      </c>
      <c r="K3709" s="367">
        <f t="shared" si="483"/>
        <v>3848.5714285714284</v>
      </c>
      <c r="L3709">
        <v>0.24000000000000002</v>
      </c>
      <c r="M3709">
        <v>5.5</v>
      </c>
      <c r="N3709">
        <v>19</v>
      </c>
      <c r="O3709">
        <v>8</v>
      </c>
      <c r="P3709" t="s">
        <v>512</v>
      </c>
      <c r="Q3709" s="97" t="str">
        <f t="shared" si="488"/>
        <v/>
      </c>
      <c r="R3709" t="str">
        <f t="shared" si="489"/>
        <v/>
      </c>
    </row>
    <row r="3710" spans="3:18">
      <c r="C3710" t="str">
        <f t="shared" si="482"/>
        <v/>
      </c>
      <c r="D3710">
        <v>25</v>
      </c>
      <c r="E3710">
        <v>35</v>
      </c>
      <c r="F3710" s="366">
        <f t="shared" si="490"/>
        <v>759.5</v>
      </c>
      <c r="G3710" s="97">
        <v>1452</v>
      </c>
      <c r="H3710" s="367">
        <f t="shared" si="486"/>
        <v>2211.5</v>
      </c>
      <c r="I3710" s="368">
        <f t="shared" si="487"/>
        <v>0</v>
      </c>
      <c r="J3710">
        <v>4517</v>
      </c>
      <c r="K3710" s="367">
        <f t="shared" si="483"/>
        <v>3226.4285714285716</v>
      </c>
      <c r="L3710">
        <v>1.04</v>
      </c>
      <c r="M3710">
        <v>1.6</v>
      </c>
      <c r="N3710">
        <v>29</v>
      </c>
      <c r="O3710">
        <v>2</v>
      </c>
      <c r="P3710" t="s">
        <v>514</v>
      </c>
      <c r="Q3710" s="97" t="str">
        <f t="shared" si="488"/>
        <v/>
      </c>
      <c r="R3710" t="str">
        <f t="shared" si="489"/>
        <v/>
      </c>
    </row>
    <row r="3711" spans="3:18">
      <c r="C3711" t="str">
        <f t="shared" si="482"/>
        <v/>
      </c>
      <c r="D3711">
        <v>26</v>
      </c>
      <c r="E3711">
        <v>35</v>
      </c>
      <c r="F3711" s="366">
        <f t="shared" si="490"/>
        <v>759.5</v>
      </c>
      <c r="G3711" s="97">
        <v>1274</v>
      </c>
      <c r="H3711" s="367">
        <f t="shared" si="486"/>
        <v>2033.5</v>
      </c>
      <c r="I3711" s="368">
        <f t="shared" si="487"/>
        <v>0</v>
      </c>
      <c r="J3711">
        <v>3963</v>
      </c>
      <c r="K3711" s="367">
        <f t="shared" si="483"/>
        <v>2830.7142857142858</v>
      </c>
      <c r="L3711">
        <v>0.3</v>
      </c>
      <c r="M3711">
        <v>1.6</v>
      </c>
      <c r="N3711">
        <v>20</v>
      </c>
      <c r="O3711">
        <v>2</v>
      </c>
      <c r="P3711" t="s">
        <v>515</v>
      </c>
      <c r="Q3711" s="97" t="str">
        <f t="shared" si="488"/>
        <v/>
      </c>
      <c r="R3711" t="str">
        <f t="shared" si="489"/>
        <v/>
      </c>
    </row>
    <row r="3712" spans="3:18">
      <c r="C3712" t="str">
        <f t="shared" si="482"/>
        <v/>
      </c>
      <c r="D3712">
        <v>27</v>
      </c>
      <c r="E3712">
        <v>35</v>
      </c>
      <c r="F3712" s="366">
        <f t="shared" si="490"/>
        <v>759.5</v>
      </c>
      <c r="G3712" s="97">
        <v>2122</v>
      </c>
      <c r="H3712" s="367">
        <f t="shared" si="486"/>
        <v>2881.5</v>
      </c>
      <c r="I3712" s="368">
        <f t="shared" si="487"/>
        <v>0</v>
      </c>
      <c r="J3712">
        <v>6603</v>
      </c>
      <c r="K3712" s="367">
        <f t="shared" si="483"/>
        <v>4716.4285714285716</v>
      </c>
      <c r="L3712">
        <v>0.61</v>
      </c>
      <c r="M3712">
        <v>2.9</v>
      </c>
      <c r="N3712">
        <v>23</v>
      </c>
      <c r="O3712">
        <v>4</v>
      </c>
      <c r="P3712" t="s">
        <v>513</v>
      </c>
      <c r="Q3712" s="97" t="str">
        <f t="shared" si="488"/>
        <v/>
      </c>
      <c r="R3712" t="str">
        <f t="shared" si="489"/>
        <v/>
      </c>
    </row>
    <row r="3713" spans="3:18">
      <c r="C3713" t="str">
        <f t="shared" si="482"/>
        <v/>
      </c>
      <c r="D3713">
        <v>28</v>
      </c>
      <c r="E3713">
        <v>35</v>
      </c>
      <c r="F3713" s="366">
        <f t="shared" si="490"/>
        <v>759.5</v>
      </c>
      <c r="G3713" s="97">
        <v>1616</v>
      </c>
      <c r="H3713" s="367">
        <f t="shared" si="486"/>
        <v>2375.5</v>
      </c>
      <c r="I3713" s="368">
        <f t="shared" si="487"/>
        <v>0</v>
      </c>
      <c r="J3713">
        <v>5030</v>
      </c>
      <c r="K3713" s="367">
        <f t="shared" si="483"/>
        <v>3592.8571428571431</v>
      </c>
      <c r="L3713">
        <v>0.18000000000000002</v>
      </c>
      <c r="M3713">
        <v>2.9</v>
      </c>
      <c r="N3713">
        <v>17</v>
      </c>
      <c r="O3713">
        <v>4</v>
      </c>
      <c r="P3713" t="s">
        <v>514</v>
      </c>
      <c r="Q3713" s="97" t="str">
        <f t="shared" si="488"/>
        <v/>
      </c>
      <c r="R3713" t="str">
        <f t="shared" si="489"/>
        <v/>
      </c>
    </row>
    <row r="3714" spans="3:18">
      <c r="C3714" t="str">
        <f t="shared" si="482"/>
        <v/>
      </c>
      <c r="D3714">
        <v>29</v>
      </c>
      <c r="E3714">
        <v>35</v>
      </c>
      <c r="F3714" s="366">
        <f t="shared" si="490"/>
        <v>759.5</v>
      </c>
      <c r="G3714" s="97">
        <v>2238</v>
      </c>
      <c r="H3714" s="367">
        <f t="shared" si="486"/>
        <v>2997.5</v>
      </c>
      <c r="I3714" s="368">
        <f t="shared" si="487"/>
        <v>0</v>
      </c>
      <c r="J3714">
        <v>6962</v>
      </c>
      <c r="K3714" s="367">
        <f t="shared" si="483"/>
        <v>4972.8571428571431</v>
      </c>
      <c r="L3714">
        <v>0.25</v>
      </c>
      <c r="M3714">
        <v>4.1999999999999993</v>
      </c>
      <c r="N3714">
        <v>18</v>
      </c>
      <c r="O3714">
        <v>6</v>
      </c>
      <c r="P3714" t="s">
        <v>513</v>
      </c>
      <c r="Q3714" s="97" t="str">
        <f t="shared" si="488"/>
        <v/>
      </c>
      <c r="R3714" t="str">
        <f t="shared" si="489"/>
        <v/>
      </c>
    </row>
    <row r="3715" spans="3:18">
      <c r="C3715" t="str">
        <f t="shared" si="482"/>
        <v/>
      </c>
      <c r="D3715">
        <v>30</v>
      </c>
      <c r="E3715">
        <v>35</v>
      </c>
      <c r="F3715" s="366">
        <f t="shared" si="490"/>
        <v>759.5</v>
      </c>
      <c r="G3715" s="97">
        <v>1921</v>
      </c>
      <c r="H3715" s="367">
        <f t="shared" si="486"/>
        <v>2680.5</v>
      </c>
      <c r="I3715" s="368">
        <f t="shared" si="487"/>
        <v>0</v>
      </c>
      <c r="J3715">
        <v>5978</v>
      </c>
      <c r="K3715" s="367">
        <f t="shared" si="483"/>
        <v>4270</v>
      </c>
      <c r="L3715">
        <v>0.61</v>
      </c>
      <c r="M3715">
        <v>4.1999999999999993</v>
      </c>
      <c r="N3715">
        <v>25</v>
      </c>
      <c r="O3715">
        <v>6</v>
      </c>
      <c r="P3715" t="s">
        <v>512</v>
      </c>
      <c r="Q3715" s="97" t="str">
        <f t="shared" si="488"/>
        <v/>
      </c>
      <c r="R3715" t="str">
        <f t="shared" si="489"/>
        <v/>
      </c>
    </row>
    <row r="3716" spans="3:18">
      <c r="C3716" t="str">
        <f t="shared" si="482"/>
        <v/>
      </c>
      <c r="D3716">
        <v>31</v>
      </c>
      <c r="E3716">
        <v>35</v>
      </c>
      <c r="F3716" s="366">
        <f t="shared" si="490"/>
        <v>759.5</v>
      </c>
      <c r="G3716" s="97">
        <v>2297</v>
      </c>
      <c r="H3716" s="367">
        <f t="shared" si="486"/>
        <v>3056.5</v>
      </c>
      <c r="I3716" s="368">
        <f t="shared" si="487"/>
        <v>0</v>
      </c>
      <c r="J3716">
        <v>7148</v>
      </c>
      <c r="K3716" s="367">
        <f t="shared" si="483"/>
        <v>5105.7142857142862</v>
      </c>
      <c r="L3716">
        <v>0.14000000000000001</v>
      </c>
      <c r="M3716">
        <v>5.5</v>
      </c>
      <c r="N3716">
        <v>15</v>
      </c>
      <c r="O3716">
        <v>8</v>
      </c>
      <c r="P3716" t="s">
        <v>513</v>
      </c>
      <c r="Q3716" s="97">
        <f t="shared" si="488"/>
        <v>31</v>
      </c>
      <c r="R3716" t="str">
        <f t="shared" si="489"/>
        <v/>
      </c>
    </row>
    <row r="3717" spans="3:18">
      <c r="C3717" t="str">
        <f t="shared" si="482"/>
        <v/>
      </c>
      <c r="D3717">
        <v>32</v>
      </c>
      <c r="E3717">
        <v>35</v>
      </c>
      <c r="F3717" s="366">
        <f t="shared" si="490"/>
        <v>759.5</v>
      </c>
      <c r="G3717" s="97">
        <v>1981</v>
      </c>
      <c r="H3717" s="367">
        <f t="shared" si="486"/>
        <v>2740.5</v>
      </c>
      <c r="I3717" s="368">
        <f t="shared" si="487"/>
        <v>0</v>
      </c>
      <c r="J3717">
        <v>6165</v>
      </c>
      <c r="K3717" s="367">
        <f t="shared" si="483"/>
        <v>4403.5714285714284</v>
      </c>
      <c r="L3717">
        <v>0.33</v>
      </c>
      <c r="M3717">
        <v>5.5</v>
      </c>
      <c r="N3717">
        <v>21</v>
      </c>
      <c r="O3717">
        <v>8</v>
      </c>
      <c r="P3717" t="s">
        <v>512</v>
      </c>
      <c r="Q3717" s="97" t="str">
        <f t="shared" si="488"/>
        <v/>
      </c>
      <c r="R3717" t="str">
        <f t="shared" si="489"/>
        <v/>
      </c>
    </row>
    <row r="3718" spans="3:18">
      <c r="C3718" t="str">
        <f t="shared" si="482"/>
        <v/>
      </c>
      <c r="D3718">
        <v>33</v>
      </c>
      <c r="E3718">
        <v>40</v>
      </c>
      <c r="F3718" s="366">
        <f t="shared" si="490"/>
        <v>868</v>
      </c>
      <c r="G3718" s="97">
        <v>1420</v>
      </c>
      <c r="H3718" s="367">
        <f t="shared" si="486"/>
        <v>2288</v>
      </c>
      <c r="I3718" s="368">
        <f t="shared" si="487"/>
        <v>0</v>
      </c>
      <c r="J3718">
        <v>4420</v>
      </c>
      <c r="K3718" s="367">
        <f t="shared" si="483"/>
        <v>3157.1428571428573</v>
      </c>
      <c r="L3718">
        <v>0.39</v>
      </c>
      <c r="M3718">
        <v>1.6</v>
      </c>
      <c r="N3718">
        <v>22</v>
      </c>
      <c r="O3718">
        <v>2</v>
      </c>
      <c r="P3718" t="s">
        <v>515</v>
      </c>
      <c r="Q3718" s="97" t="str">
        <f t="shared" si="488"/>
        <v/>
      </c>
      <c r="R3718" t="str">
        <f t="shared" si="489"/>
        <v/>
      </c>
    </row>
    <row r="3719" spans="3:18">
      <c r="C3719" t="str">
        <f t="shared" si="482"/>
        <v/>
      </c>
      <c r="D3719">
        <v>34</v>
      </c>
      <c r="E3719">
        <v>40</v>
      </c>
      <c r="F3719" s="366">
        <f t="shared" si="490"/>
        <v>868</v>
      </c>
      <c r="G3719" s="97">
        <v>2366</v>
      </c>
      <c r="H3719" s="367">
        <f t="shared" si="486"/>
        <v>3234</v>
      </c>
      <c r="I3719" s="368">
        <f t="shared" si="487"/>
        <v>0</v>
      </c>
      <c r="J3719">
        <v>7363</v>
      </c>
      <c r="K3719" s="367">
        <f t="shared" si="483"/>
        <v>5259.2857142857147</v>
      </c>
      <c r="L3719">
        <v>0.8</v>
      </c>
      <c r="M3719">
        <v>2.9</v>
      </c>
      <c r="N3719">
        <v>25</v>
      </c>
      <c r="O3719">
        <v>4</v>
      </c>
      <c r="P3719" t="s">
        <v>513</v>
      </c>
      <c r="Q3719" s="97" t="str">
        <f t="shared" si="488"/>
        <v/>
      </c>
      <c r="R3719" t="str">
        <f t="shared" si="489"/>
        <v/>
      </c>
    </row>
    <row r="3720" spans="3:18">
      <c r="C3720" t="str">
        <f t="shared" si="482"/>
        <v/>
      </c>
      <c r="D3720">
        <v>35</v>
      </c>
      <c r="E3720">
        <v>40</v>
      </c>
      <c r="F3720" s="366">
        <f t="shared" si="490"/>
        <v>868</v>
      </c>
      <c r="G3720" s="97">
        <v>1819</v>
      </c>
      <c r="H3720" s="367">
        <f t="shared" si="486"/>
        <v>2687</v>
      </c>
      <c r="I3720" s="368">
        <f t="shared" si="487"/>
        <v>0</v>
      </c>
      <c r="J3720">
        <v>5660</v>
      </c>
      <c r="K3720" s="367">
        <f t="shared" si="483"/>
        <v>4042.8571428571431</v>
      </c>
      <c r="L3720">
        <v>0.23</v>
      </c>
      <c r="M3720">
        <v>2.9</v>
      </c>
      <c r="N3720">
        <v>19</v>
      </c>
      <c r="O3720">
        <v>4</v>
      </c>
      <c r="P3720" t="s">
        <v>514</v>
      </c>
      <c r="Q3720" s="97" t="str">
        <f t="shared" si="488"/>
        <v/>
      </c>
      <c r="R3720" t="str">
        <f t="shared" si="489"/>
        <v/>
      </c>
    </row>
    <row r="3721" spans="3:18">
      <c r="C3721" t="str">
        <f t="shared" si="482"/>
        <v/>
      </c>
      <c r="D3721">
        <v>36</v>
      </c>
      <c r="E3721">
        <v>40</v>
      </c>
      <c r="F3721" s="366">
        <f t="shared" si="490"/>
        <v>868</v>
      </c>
      <c r="G3721" s="97">
        <v>2506</v>
      </c>
      <c r="H3721" s="367">
        <f t="shared" si="486"/>
        <v>3374</v>
      </c>
      <c r="I3721" s="368">
        <f t="shared" si="487"/>
        <v>0</v>
      </c>
      <c r="J3721">
        <v>7797</v>
      </c>
      <c r="K3721" s="367">
        <f t="shared" si="483"/>
        <v>5569.2857142857147</v>
      </c>
      <c r="L3721">
        <v>0.32</v>
      </c>
      <c r="M3721">
        <v>4.1999999999999993</v>
      </c>
      <c r="N3721">
        <v>19</v>
      </c>
      <c r="O3721">
        <v>6</v>
      </c>
      <c r="P3721" t="s">
        <v>513</v>
      </c>
      <c r="Q3721" s="97">
        <f t="shared" si="488"/>
        <v>36</v>
      </c>
      <c r="R3721">
        <f t="shared" si="489"/>
        <v>36</v>
      </c>
    </row>
    <row r="3722" spans="3:18">
      <c r="C3722" t="str">
        <f t="shared" si="482"/>
        <v/>
      </c>
      <c r="D3722">
        <v>37</v>
      </c>
      <c r="E3722">
        <v>40</v>
      </c>
      <c r="F3722" s="366">
        <f t="shared" si="490"/>
        <v>868</v>
      </c>
      <c r="G3722" s="97">
        <v>2143</v>
      </c>
      <c r="H3722" s="367">
        <f t="shared" si="486"/>
        <v>3011</v>
      </c>
      <c r="I3722" s="368">
        <f t="shared" si="487"/>
        <v>0</v>
      </c>
      <c r="J3722">
        <v>6667</v>
      </c>
      <c r="K3722" s="367">
        <f t="shared" si="483"/>
        <v>4762.1428571428569</v>
      </c>
      <c r="L3722">
        <v>0.8</v>
      </c>
      <c r="M3722">
        <v>4.1999999999999993</v>
      </c>
      <c r="N3722">
        <v>26</v>
      </c>
      <c r="O3722">
        <v>6</v>
      </c>
      <c r="P3722" t="s">
        <v>512</v>
      </c>
      <c r="Q3722" s="97" t="str">
        <f t="shared" si="488"/>
        <v/>
      </c>
      <c r="R3722" t="str">
        <f t="shared" si="489"/>
        <v/>
      </c>
    </row>
    <row r="3723" spans="3:18">
      <c r="C3723" t="str">
        <f t="shared" si="482"/>
        <v/>
      </c>
      <c r="D3723">
        <v>38</v>
      </c>
      <c r="E3723">
        <v>40</v>
      </c>
      <c r="F3723" s="366">
        <f t="shared" si="490"/>
        <v>868</v>
      </c>
      <c r="G3723" s="97">
        <v>2577</v>
      </c>
      <c r="H3723" s="367">
        <f t="shared" si="486"/>
        <v>3445</v>
      </c>
      <c r="I3723" s="368">
        <f t="shared" si="487"/>
        <v>0</v>
      </c>
      <c r="J3723">
        <v>8018</v>
      </c>
      <c r="K3723" s="367">
        <f t="shared" si="483"/>
        <v>5727.1428571428569</v>
      </c>
      <c r="L3723">
        <v>0.18000000000000002</v>
      </c>
      <c r="M3723">
        <v>5.5</v>
      </c>
      <c r="N3723">
        <v>16</v>
      </c>
      <c r="O3723">
        <v>8</v>
      </c>
      <c r="P3723" t="s">
        <v>513</v>
      </c>
      <c r="Q3723" s="97">
        <f t="shared" si="488"/>
        <v>38</v>
      </c>
      <c r="R3723" t="str">
        <f t="shared" si="489"/>
        <v/>
      </c>
    </row>
    <row r="3724" spans="3:18">
      <c r="C3724" t="str">
        <f t="shared" si="482"/>
        <v/>
      </c>
      <c r="D3724">
        <v>39</v>
      </c>
      <c r="E3724">
        <v>40</v>
      </c>
      <c r="F3724" s="366">
        <f t="shared" si="490"/>
        <v>868</v>
      </c>
      <c r="G3724" s="97">
        <v>2219</v>
      </c>
      <c r="H3724" s="367">
        <f t="shared" si="486"/>
        <v>3087</v>
      </c>
      <c r="I3724" s="368">
        <f t="shared" si="487"/>
        <v>0</v>
      </c>
      <c r="J3724">
        <v>6906</v>
      </c>
      <c r="K3724" s="367">
        <f t="shared" si="483"/>
        <v>4932.8571428571431</v>
      </c>
      <c r="L3724">
        <v>0.43</v>
      </c>
      <c r="M3724">
        <v>5.5</v>
      </c>
      <c r="N3724">
        <v>22</v>
      </c>
      <c r="O3724">
        <v>8</v>
      </c>
      <c r="P3724" t="s">
        <v>512</v>
      </c>
      <c r="Q3724" s="97">
        <f t="shared" si="488"/>
        <v>39</v>
      </c>
      <c r="R3724" t="str">
        <f t="shared" si="489"/>
        <v/>
      </c>
    </row>
    <row r="3725" spans="3:18">
      <c r="C3725" t="str">
        <f t="shared" si="482"/>
        <v/>
      </c>
      <c r="D3725">
        <v>40</v>
      </c>
      <c r="E3725">
        <v>45</v>
      </c>
      <c r="F3725" s="366">
        <f t="shared" si="490"/>
        <v>976.5</v>
      </c>
      <c r="G3725" s="97">
        <v>1561</v>
      </c>
      <c r="H3725" s="367">
        <f t="shared" si="486"/>
        <v>2537.5</v>
      </c>
      <c r="I3725" s="368">
        <f t="shared" si="487"/>
        <v>0</v>
      </c>
      <c r="J3725">
        <v>4856</v>
      </c>
      <c r="K3725" s="367">
        <f t="shared" si="483"/>
        <v>3468.5714285714284</v>
      </c>
      <c r="L3725">
        <v>0.49</v>
      </c>
      <c r="M3725">
        <v>1.6</v>
      </c>
      <c r="N3725">
        <v>23</v>
      </c>
      <c r="O3725">
        <v>2</v>
      </c>
      <c r="P3725" t="s">
        <v>515</v>
      </c>
      <c r="Q3725" s="97" t="str">
        <f t="shared" si="488"/>
        <v/>
      </c>
      <c r="R3725" t="str">
        <f t="shared" si="489"/>
        <v/>
      </c>
    </row>
    <row r="3726" spans="3:18">
      <c r="C3726" t="str">
        <f t="shared" si="482"/>
        <v/>
      </c>
      <c r="D3726">
        <v>41</v>
      </c>
      <c r="E3726">
        <v>45</v>
      </c>
      <c r="F3726" s="366">
        <f t="shared" si="490"/>
        <v>976.5</v>
      </c>
      <c r="G3726" s="97">
        <v>2601</v>
      </c>
      <c r="H3726" s="367">
        <f t="shared" si="486"/>
        <v>3577.5</v>
      </c>
      <c r="I3726" s="368">
        <f t="shared" si="487"/>
        <v>0</v>
      </c>
      <c r="J3726">
        <v>8094</v>
      </c>
      <c r="K3726" s="367">
        <f t="shared" si="483"/>
        <v>5781.4285714285716</v>
      </c>
      <c r="L3726">
        <v>1.01</v>
      </c>
      <c r="M3726">
        <v>2.9</v>
      </c>
      <c r="N3726">
        <v>26</v>
      </c>
      <c r="O3726">
        <v>4</v>
      </c>
      <c r="P3726" t="s">
        <v>513</v>
      </c>
      <c r="Q3726" s="97" t="str">
        <f t="shared" si="488"/>
        <v/>
      </c>
      <c r="R3726" t="str">
        <f t="shared" si="489"/>
        <v/>
      </c>
    </row>
    <row r="3727" spans="3:18">
      <c r="C3727" t="str">
        <f t="shared" si="482"/>
        <v/>
      </c>
      <c r="D3727">
        <v>42</v>
      </c>
      <c r="E3727">
        <v>45</v>
      </c>
      <c r="F3727" s="366">
        <f t="shared" si="490"/>
        <v>976.5</v>
      </c>
      <c r="G3727" s="97">
        <v>2014</v>
      </c>
      <c r="H3727" s="367">
        <f t="shared" si="486"/>
        <v>2990.5</v>
      </c>
      <c r="I3727" s="368">
        <f t="shared" si="487"/>
        <v>0</v>
      </c>
      <c r="J3727">
        <v>6265</v>
      </c>
      <c r="K3727" s="367">
        <f t="shared" si="483"/>
        <v>4475</v>
      </c>
      <c r="L3727">
        <v>0.3</v>
      </c>
      <c r="M3727">
        <v>2.9</v>
      </c>
      <c r="N3727">
        <v>20</v>
      </c>
      <c r="O3727">
        <v>4</v>
      </c>
      <c r="P3727" t="s">
        <v>514</v>
      </c>
      <c r="Q3727" s="97" t="str">
        <f t="shared" si="488"/>
        <v/>
      </c>
      <c r="R3727" t="str">
        <f t="shared" si="489"/>
        <v/>
      </c>
    </row>
    <row r="3728" spans="3:18">
      <c r="C3728" t="str">
        <f t="shared" si="482"/>
        <v/>
      </c>
      <c r="D3728">
        <v>43</v>
      </c>
      <c r="E3728">
        <v>45</v>
      </c>
      <c r="F3728" s="366">
        <f t="shared" si="490"/>
        <v>976.5</v>
      </c>
      <c r="G3728" s="97">
        <v>2771</v>
      </c>
      <c r="H3728" s="367">
        <f t="shared" si="486"/>
        <v>3747.5</v>
      </c>
      <c r="I3728" s="368">
        <f t="shared" si="487"/>
        <v>0</v>
      </c>
      <c r="J3728">
        <v>8622</v>
      </c>
      <c r="K3728" s="367">
        <f t="shared" si="483"/>
        <v>6158.5714285714284</v>
      </c>
      <c r="L3728">
        <v>0.41000000000000003</v>
      </c>
      <c r="M3728">
        <v>4.1999999999999993</v>
      </c>
      <c r="N3728">
        <v>21</v>
      </c>
      <c r="O3728">
        <v>6</v>
      </c>
      <c r="P3728" t="s">
        <v>513</v>
      </c>
      <c r="Q3728" s="97">
        <f t="shared" si="488"/>
        <v>43</v>
      </c>
      <c r="R3728" t="str">
        <f t="shared" si="489"/>
        <v/>
      </c>
    </row>
    <row r="3729" spans="3:18">
      <c r="C3729" t="str">
        <f t="shared" si="482"/>
        <v/>
      </c>
      <c r="D3729">
        <v>44</v>
      </c>
      <c r="E3729">
        <v>45</v>
      </c>
      <c r="F3729" s="366">
        <f t="shared" si="490"/>
        <v>976.5</v>
      </c>
      <c r="G3729" s="97">
        <v>2357</v>
      </c>
      <c r="H3729" s="367">
        <f t="shared" si="486"/>
        <v>3333.5</v>
      </c>
      <c r="I3729" s="368">
        <f t="shared" si="487"/>
        <v>0</v>
      </c>
      <c r="J3729">
        <v>7335</v>
      </c>
      <c r="K3729" s="367">
        <f t="shared" si="483"/>
        <v>5239.2857142857147</v>
      </c>
      <c r="L3729">
        <v>1.01</v>
      </c>
      <c r="M3729">
        <v>4.1999999999999993</v>
      </c>
      <c r="N3729">
        <v>28</v>
      </c>
      <c r="O3729">
        <v>6</v>
      </c>
      <c r="P3729" t="s">
        <v>512</v>
      </c>
      <c r="Q3729" s="97" t="str">
        <f t="shared" si="488"/>
        <v/>
      </c>
      <c r="R3729" t="str">
        <f t="shared" si="489"/>
        <v/>
      </c>
    </row>
    <row r="3730" spans="3:18">
      <c r="C3730" t="str">
        <f t="shared" si="482"/>
        <v/>
      </c>
      <c r="D3730">
        <v>45</v>
      </c>
      <c r="E3730">
        <v>45</v>
      </c>
      <c r="F3730" s="366">
        <f t="shared" si="490"/>
        <v>976.5</v>
      </c>
      <c r="G3730" s="97">
        <v>2857</v>
      </c>
      <c r="H3730" s="367">
        <f t="shared" si="486"/>
        <v>3833.5</v>
      </c>
      <c r="I3730" s="368">
        <f t="shared" si="487"/>
        <v>0</v>
      </c>
      <c r="J3730">
        <v>8888</v>
      </c>
      <c r="K3730" s="367">
        <f t="shared" si="483"/>
        <v>6348.5714285714284</v>
      </c>
      <c r="L3730">
        <v>0.23</v>
      </c>
      <c r="M3730">
        <v>5.5</v>
      </c>
      <c r="N3730">
        <v>17</v>
      </c>
      <c r="O3730">
        <v>8</v>
      </c>
      <c r="P3730" t="s">
        <v>513</v>
      </c>
      <c r="Q3730" s="97">
        <f t="shared" si="488"/>
        <v>45</v>
      </c>
      <c r="R3730" t="str">
        <f t="shared" si="489"/>
        <v/>
      </c>
    </row>
    <row r="3731" spans="3:18">
      <c r="C3731" t="str">
        <f t="shared" si="482"/>
        <v/>
      </c>
      <c r="D3731">
        <v>46</v>
      </c>
      <c r="E3731">
        <v>45</v>
      </c>
      <c r="F3731" s="366">
        <f t="shared" si="490"/>
        <v>976.5</v>
      </c>
      <c r="G3731" s="97">
        <v>2449</v>
      </c>
      <c r="H3731" s="367">
        <f t="shared" si="486"/>
        <v>3425.5</v>
      </c>
      <c r="I3731" s="368">
        <f t="shared" si="487"/>
        <v>0</v>
      </c>
      <c r="J3731">
        <v>7620</v>
      </c>
      <c r="K3731" s="367">
        <f t="shared" si="483"/>
        <v>5442.8571428571431</v>
      </c>
      <c r="L3731">
        <v>0.54</v>
      </c>
      <c r="M3731">
        <v>5.5</v>
      </c>
      <c r="N3731">
        <v>24</v>
      </c>
      <c r="O3731">
        <v>8</v>
      </c>
      <c r="P3731" t="s">
        <v>512</v>
      </c>
      <c r="Q3731" s="97">
        <f t="shared" si="488"/>
        <v>46</v>
      </c>
      <c r="R3731" t="str">
        <f t="shared" si="489"/>
        <v/>
      </c>
    </row>
    <row r="3732" spans="3:18">
      <c r="C3732" t="str">
        <f t="shared" si="482"/>
        <v/>
      </c>
      <c r="D3732">
        <v>47</v>
      </c>
      <c r="E3732">
        <v>50</v>
      </c>
      <c r="F3732" s="366">
        <f t="shared" si="490"/>
        <v>1085</v>
      </c>
      <c r="G3732" s="97">
        <v>1696</v>
      </c>
      <c r="H3732" s="367">
        <f t="shared" si="486"/>
        <v>2781</v>
      </c>
      <c r="I3732" s="368">
        <f t="shared" si="487"/>
        <v>0</v>
      </c>
      <c r="J3732">
        <v>5276</v>
      </c>
      <c r="K3732" s="367">
        <f t="shared" si="483"/>
        <v>3768.5714285714284</v>
      </c>
      <c r="L3732">
        <v>0.6</v>
      </c>
      <c r="M3732">
        <v>1.6</v>
      </c>
      <c r="N3732">
        <v>25</v>
      </c>
      <c r="O3732">
        <v>2</v>
      </c>
      <c r="P3732" t="s">
        <v>515</v>
      </c>
      <c r="Q3732" s="97" t="str">
        <f t="shared" si="488"/>
        <v/>
      </c>
      <c r="R3732" t="str">
        <f t="shared" si="489"/>
        <v/>
      </c>
    </row>
    <row r="3733" spans="3:18">
      <c r="C3733" t="str">
        <f t="shared" si="482"/>
        <v/>
      </c>
      <c r="D3733">
        <v>48</v>
      </c>
      <c r="E3733">
        <v>50</v>
      </c>
      <c r="F3733" s="366">
        <f t="shared" si="490"/>
        <v>1085</v>
      </c>
      <c r="G3733" s="97">
        <v>2205</v>
      </c>
      <c r="H3733" s="367">
        <f t="shared" si="486"/>
        <v>3290</v>
      </c>
      <c r="I3733" s="368">
        <f t="shared" si="487"/>
        <v>0</v>
      </c>
      <c r="J3733">
        <v>6860</v>
      </c>
      <c r="K3733" s="367">
        <f t="shared" si="483"/>
        <v>4900</v>
      </c>
      <c r="L3733">
        <v>0.36</v>
      </c>
      <c r="M3733">
        <v>2.9</v>
      </c>
      <c r="N3733">
        <v>21</v>
      </c>
      <c r="O3733">
        <v>4</v>
      </c>
      <c r="P3733" t="s">
        <v>514</v>
      </c>
      <c r="Q3733" s="97">
        <f t="shared" si="488"/>
        <v>48</v>
      </c>
      <c r="R3733" t="str">
        <f t="shared" si="489"/>
        <v/>
      </c>
    </row>
    <row r="3734" spans="3:18">
      <c r="C3734" t="str">
        <f t="shared" ref="C3734:C3797" si="491">IF(OR($O$4=0,O3734-$O$4=0),IF(AND(ISEVEN(O3734)=FALSE,$N$4="Even"),"NL",""),"NL")</f>
        <v/>
      </c>
      <c r="D3734">
        <v>49</v>
      </c>
      <c r="E3734">
        <v>50</v>
      </c>
      <c r="F3734" s="366">
        <f t="shared" si="490"/>
        <v>1085</v>
      </c>
      <c r="G3734" s="97">
        <v>3022</v>
      </c>
      <c r="H3734" s="367">
        <f t="shared" si="486"/>
        <v>4107</v>
      </c>
      <c r="I3734" s="368">
        <f t="shared" si="487"/>
        <v>0</v>
      </c>
      <c r="J3734">
        <v>9402</v>
      </c>
      <c r="K3734" s="367">
        <f t="shared" ref="K3734:K3797" si="492">(J3734*$V$7)-I3734</f>
        <v>6715.7142857142862</v>
      </c>
      <c r="L3734">
        <v>0.5</v>
      </c>
      <c r="M3734">
        <v>4.1999999999999993</v>
      </c>
      <c r="N3734">
        <v>22</v>
      </c>
      <c r="O3734">
        <v>6</v>
      </c>
      <c r="P3734" t="s">
        <v>513</v>
      </c>
      <c r="Q3734" s="97">
        <f t="shared" si="488"/>
        <v>49</v>
      </c>
      <c r="R3734" t="str">
        <f t="shared" si="489"/>
        <v/>
      </c>
    </row>
    <row r="3735" spans="3:18">
      <c r="C3735" t="str">
        <f t="shared" si="491"/>
        <v/>
      </c>
      <c r="D3735">
        <v>50</v>
      </c>
      <c r="E3735">
        <v>50</v>
      </c>
      <c r="F3735" s="366">
        <f t="shared" si="490"/>
        <v>1085</v>
      </c>
      <c r="G3735" s="97">
        <v>2306</v>
      </c>
      <c r="H3735" s="367">
        <f t="shared" si="486"/>
        <v>3391</v>
      </c>
      <c r="I3735" s="368">
        <f t="shared" si="487"/>
        <v>0</v>
      </c>
      <c r="J3735">
        <v>7174</v>
      </c>
      <c r="K3735" s="367">
        <f t="shared" si="492"/>
        <v>5124.2857142857147</v>
      </c>
      <c r="L3735">
        <v>0.16</v>
      </c>
      <c r="M3735">
        <v>4.1999999999999993</v>
      </c>
      <c r="N3735">
        <v>16</v>
      </c>
      <c r="O3735">
        <v>6</v>
      </c>
      <c r="P3735" t="s">
        <v>514</v>
      </c>
      <c r="Q3735" s="97">
        <f t="shared" si="488"/>
        <v>50</v>
      </c>
      <c r="R3735" t="str">
        <f t="shared" si="489"/>
        <v/>
      </c>
    </row>
    <row r="3736" spans="3:18">
      <c r="C3736" t="str">
        <f t="shared" si="491"/>
        <v/>
      </c>
      <c r="D3736">
        <v>51</v>
      </c>
      <c r="E3736">
        <v>50</v>
      </c>
      <c r="F3736" s="366">
        <f t="shared" si="490"/>
        <v>1085</v>
      </c>
      <c r="G3736" s="97">
        <v>3130</v>
      </c>
      <c r="H3736" s="367">
        <f t="shared" si="486"/>
        <v>4215</v>
      </c>
      <c r="I3736" s="368">
        <f t="shared" si="487"/>
        <v>0</v>
      </c>
      <c r="J3736">
        <v>9738</v>
      </c>
      <c r="K3736" s="367">
        <f t="shared" si="492"/>
        <v>6955.7142857142862</v>
      </c>
      <c r="L3736">
        <v>0.28000000000000003</v>
      </c>
      <c r="M3736">
        <v>5.5</v>
      </c>
      <c r="N3736">
        <v>19</v>
      </c>
      <c r="O3736">
        <v>8</v>
      </c>
      <c r="P3736" t="s">
        <v>513</v>
      </c>
      <c r="Q3736" s="97">
        <f t="shared" si="488"/>
        <v>51</v>
      </c>
      <c r="R3736" t="str">
        <f t="shared" si="489"/>
        <v/>
      </c>
    </row>
    <row r="3737" spans="3:18">
      <c r="C3737" t="str">
        <f t="shared" si="491"/>
        <v/>
      </c>
      <c r="D3737">
        <v>52</v>
      </c>
      <c r="E3737">
        <v>50</v>
      </c>
      <c r="F3737" s="366">
        <f t="shared" si="490"/>
        <v>1085</v>
      </c>
      <c r="G3737" s="97">
        <v>2673</v>
      </c>
      <c r="H3737" s="367">
        <f t="shared" si="486"/>
        <v>3758</v>
      </c>
      <c r="I3737" s="368">
        <f t="shared" si="487"/>
        <v>0</v>
      </c>
      <c r="J3737">
        <v>8316</v>
      </c>
      <c r="K3737" s="367">
        <f t="shared" si="492"/>
        <v>5940</v>
      </c>
      <c r="L3737">
        <v>0.67</v>
      </c>
      <c r="M3737">
        <v>5.5</v>
      </c>
      <c r="N3737">
        <v>25</v>
      </c>
      <c r="O3737">
        <v>8</v>
      </c>
      <c r="P3737" t="s">
        <v>512</v>
      </c>
      <c r="Q3737" s="97">
        <f t="shared" si="488"/>
        <v>52</v>
      </c>
      <c r="R3737" t="str">
        <f t="shared" si="489"/>
        <v/>
      </c>
    </row>
    <row r="3738" spans="3:18">
      <c r="C3738" t="str">
        <f t="shared" si="491"/>
        <v/>
      </c>
      <c r="D3738">
        <v>53</v>
      </c>
      <c r="E3738">
        <v>55</v>
      </c>
      <c r="F3738" s="366">
        <f t="shared" si="490"/>
        <v>1193.5</v>
      </c>
      <c r="G3738" s="97">
        <v>1826</v>
      </c>
      <c r="H3738" s="367">
        <f t="shared" si="486"/>
        <v>3019.5</v>
      </c>
      <c r="I3738" s="368">
        <f t="shared" si="487"/>
        <v>0</v>
      </c>
      <c r="J3738">
        <v>5681</v>
      </c>
      <c r="K3738" s="367">
        <f t="shared" si="492"/>
        <v>4057.8571428571431</v>
      </c>
      <c r="L3738">
        <v>0.73</v>
      </c>
      <c r="M3738">
        <v>1.6</v>
      </c>
      <c r="N3738">
        <v>26</v>
      </c>
      <c r="O3738">
        <v>2</v>
      </c>
      <c r="P3738" t="s">
        <v>515</v>
      </c>
      <c r="Q3738" s="97" t="str">
        <f t="shared" si="488"/>
        <v/>
      </c>
      <c r="R3738" t="str">
        <f t="shared" si="489"/>
        <v/>
      </c>
    </row>
    <row r="3739" spans="3:18">
      <c r="C3739" t="str">
        <f t="shared" si="491"/>
        <v/>
      </c>
      <c r="D3739">
        <v>54</v>
      </c>
      <c r="E3739">
        <v>55</v>
      </c>
      <c r="F3739" s="366">
        <f t="shared" si="490"/>
        <v>1193.5</v>
      </c>
      <c r="G3739" s="97">
        <v>2387</v>
      </c>
      <c r="H3739" s="367">
        <f t="shared" si="486"/>
        <v>3580.5</v>
      </c>
      <c r="I3739" s="368">
        <f t="shared" si="487"/>
        <v>0</v>
      </c>
      <c r="J3739">
        <v>7426</v>
      </c>
      <c r="K3739" s="367">
        <f t="shared" si="492"/>
        <v>5304.2857142857147</v>
      </c>
      <c r="L3739">
        <v>0.44</v>
      </c>
      <c r="M3739">
        <v>2.9</v>
      </c>
      <c r="N3739">
        <v>23</v>
      </c>
      <c r="O3739">
        <v>4</v>
      </c>
      <c r="P3739" t="s">
        <v>514</v>
      </c>
      <c r="Q3739" s="97">
        <f t="shared" si="488"/>
        <v>54</v>
      </c>
      <c r="R3739" t="str">
        <f t="shared" si="489"/>
        <v/>
      </c>
    </row>
    <row r="3740" spans="3:18">
      <c r="C3740" t="str">
        <f t="shared" si="491"/>
        <v/>
      </c>
      <c r="D3740">
        <v>55</v>
      </c>
      <c r="E3740">
        <v>55</v>
      </c>
      <c r="F3740" s="366">
        <f t="shared" si="490"/>
        <v>1193.5</v>
      </c>
      <c r="G3740" s="97">
        <v>2086</v>
      </c>
      <c r="H3740" s="367">
        <f t="shared" si="486"/>
        <v>3279.5</v>
      </c>
      <c r="I3740" s="368">
        <f t="shared" si="487"/>
        <v>0</v>
      </c>
      <c r="J3740">
        <v>6490</v>
      </c>
      <c r="K3740" s="367">
        <f t="shared" si="492"/>
        <v>4635.7142857142862</v>
      </c>
      <c r="L3740">
        <v>0.16</v>
      </c>
      <c r="M3740">
        <v>2.9</v>
      </c>
      <c r="N3740">
        <v>18</v>
      </c>
      <c r="O3740">
        <v>4</v>
      </c>
      <c r="P3740" t="s">
        <v>515</v>
      </c>
      <c r="Q3740" s="97">
        <f t="shared" si="488"/>
        <v>55</v>
      </c>
      <c r="R3740" t="str">
        <f t="shared" si="489"/>
        <v/>
      </c>
    </row>
    <row r="3741" spans="3:18">
      <c r="C3741" t="str">
        <f t="shared" si="491"/>
        <v/>
      </c>
      <c r="D3741">
        <v>56</v>
      </c>
      <c r="E3741">
        <v>55</v>
      </c>
      <c r="F3741" s="366">
        <f t="shared" si="490"/>
        <v>1193.5</v>
      </c>
      <c r="G3741" s="97">
        <v>3269</v>
      </c>
      <c r="H3741" s="367">
        <f t="shared" si="486"/>
        <v>4462.5</v>
      </c>
      <c r="I3741" s="368">
        <f t="shared" si="487"/>
        <v>0</v>
      </c>
      <c r="J3741">
        <v>10172</v>
      </c>
      <c r="K3741" s="367">
        <f t="shared" si="492"/>
        <v>7265.7142857142862</v>
      </c>
      <c r="L3741">
        <v>0.61</v>
      </c>
      <c r="M3741">
        <v>4.1999999999999993</v>
      </c>
      <c r="N3741">
        <v>23</v>
      </c>
      <c r="O3741">
        <v>6</v>
      </c>
      <c r="P3741" t="s">
        <v>513</v>
      </c>
      <c r="Q3741" s="97">
        <f t="shared" si="488"/>
        <v>56</v>
      </c>
      <c r="R3741" t="str">
        <f t="shared" si="489"/>
        <v/>
      </c>
    </row>
    <row r="3742" spans="3:18">
      <c r="C3742" t="str">
        <f t="shared" si="491"/>
        <v/>
      </c>
      <c r="D3742">
        <v>57</v>
      </c>
      <c r="E3742">
        <v>55</v>
      </c>
      <c r="F3742" s="366">
        <f t="shared" si="490"/>
        <v>1193.5</v>
      </c>
      <c r="G3742" s="97">
        <v>2509</v>
      </c>
      <c r="H3742" s="367">
        <f t="shared" si="486"/>
        <v>3702.5</v>
      </c>
      <c r="I3742" s="368">
        <f t="shared" si="487"/>
        <v>0</v>
      </c>
      <c r="J3742">
        <v>7807</v>
      </c>
      <c r="K3742" s="367">
        <f t="shared" si="492"/>
        <v>5576.4285714285716</v>
      </c>
      <c r="L3742">
        <v>0.19</v>
      </c>
      <c r="M3742">
        <v>4.1999999999999993</v>
      </c>
      <c r="N3742">
        <v>17</v>
      </c>
      <c r="O3742">
        <v>6</v>
      </c>
      <c r="P3742" t="s">
        <v>514</v>
      </c>
      <c r="Q3742" s="97">
        <f t="shared" si="488"/>
        <v>57</v>
      </c>
      <c r="R3742" t="str">
        <f t="shared" si="489"/>
        <v/>
      </c>
    </row>
    <row r="3743" spans="3:18">
      <c r="C3743" t="str">
        <f t="shared" si="491"/>
        <v/>
      </c>
      <c r="D3743">
        <v>58</v>
      </c>
      <c r="E3743">
        <v>55</v>
      </c>
      <c r="F3743" s="366">
        <f t="shared" si="490"/>
        <v>1193.5</v>
      </c>
      <c r="G3743" s="97">
        <v>3387</v>
      </c>
      <c r="H3743" s="367">
        <f t="shared" si="486"/>
        <v>4580.5</v>
      </c>
      <c r="I3743" s="368">
        <f t="shared" si="487"/>
        <v>0</v>
      </c>
      <c r="J3743">
        <v>10537</v>
      </c>
      <c r="K3743" s="367">
        <f t="shared" si="492"/>
        <v>7526.4285714285716</v>
      </c>
      <c r="L3743">
        <v>0.33</v>
      </c>
      <c r="M3743">
        <v>5.5</v>
      </c>
      <c r="N3743">
        <v>20</v>
      </c>
      <c r="O3743">
        <v>8</v>
      </c>
      <c r="P3743" t="s">
        <v>513</v>
      </c>
      <c r="Q3743" s="97">
        <f t="shared" si="488"/>
        <v>58</v>
      </c>
      <c r="R3743" t="str">
        <f t="shared" si="489"/>
        <v/>
      </c>
    </row>
    <row r="3744" spans="3:18">
      <c r="C3744" t="str">
        <f t="shared" si="491"/>
        <v/>
      </c>
      <c r="D3744">
        <v>59</v>
      </c>
      <c r="E3744">
        <v>55</v>
      </c>
      <c r="F3744" s="366">
        <f t="shared" si="490"/>
        <v>1193.5</v>
      </c>
      <c r="G3744" s="97">
        <v>2890</v>
      </c>
      <c r="H3744" s="367">
        <f t="shared" si="486"/>
        <v>4083.5</v>
      </c>
      <c r="I3744" s="368">
        <f t="shared" si="487"/>
        <v>0</v>
      </c>
      <c r="J3744">
        <v>8992</v>
      </c>
      <c r="K3744" s="367">
        <f t="shared" si="492"/>
        <v>6422.8571428571431</v>
      </c>
      <c r="L3744">
        <v>0.8</v>
      </c>
      <c r="M3744">
        <v>5.5</v>
      </c>
      <c r="N3744">
        <v>27</v>
      </c>
      <c r="O3744">
        <v>8</v>
      </c>
      <c r="P3744" t="s">
        <v>512</v>
      </c>
      <c r="Q3744" s="97" t="str">
        <f t="shared" si="488"/>
        <v/>
      </c>
      <c r="R3744" t="str">
        <f t="shared" si="489"/>
        <v/>
      </c>
    </row>
    <row r="3745" spans="3:18">
      <c r="C3745" t="str">
        <f t="shared" si="491"/>
        <v/>
      </c>
      <c r="D3745">
        <v>60</v>
      </c>
      <c r="E3745">
        <v>60</v>
      </c>
      <c r="F3745" s="366">
        <f t="shared" si="490"/>
        <v>1302</v>
      </c>
      <c r="G3745" s="97">
        <v>1952</v>
      </c>
      <c r="H3745" s="367">
        <f t="shared" si="486"/>
        <v>3254</v>
      </c>
      <c r="I3745" s="368">
        <f t="shared" si="487"/>
        <v>0</v>
      </c>
      <c r="J3745">
        <v>6073</v>
      </c>
      <c r="K3745" s="367">
        <f t="shared" si="492"/>
        <v>4337.8571428571431</v>
      </c>
      <c r="L3745">
        <v>0.86</v>
      </c>
      <c r="M3745">
        <v>1.6</v>
      </c>
      <c r="N3745">
        <v>27</v>
      </c>
      <c r="O3745">
        <v>2</v>
      </c>
      <c r="P3745" t="s">
        <v>515</v>
      </c>
      <c r="Q3745" s="97" t="str">
        <f t="shared" si="488"/>
        <v/>
      </c>
      <c r="R3745" t="str">
        <f t="shared" si="489"/>
        <v/>
      </c>
    </row>
    <row r="3746" spans="3:18">
      <c r="C3746" t="str">
        <f t="shared" si="491"/>
        <v/>
      </c>
      <c r="D3746">
        <v>61</v>
      </c>
      <c r="E3746">
        <v>60</v>
      </c>
      <c r="F3746" s="366">
        <f t="shared" si="490"/>
        <v>1302</v>
      </c>
      <c r="G3746" s="97">
        <v>2568</v>
      </c>
      <c r="H3746" s="367">
        <f t="shared" si="486"/>
        <v>3870</v>
      </c>
      <c r="I3746" s="368">
        <f t="shared" si="487"/>
        <v>0</v>
      </c>
      <c r="J3746">
        <v>7989</v>
      </c>
      <c r="K3746" s="367">
        <f t="shared" si="492"/>
        <v>5706.4285714285716</v>
      </c>
      <c r="L3746">
        <v>0.52</v>
      </c>
      <c r="M3746">
        <v>2.9</v>
      </c>
      <c r="N3746">
        <v>24</v>
      </c>
      <c r="O3746">
        <v>4</v>
      </c>
      <c r="P3746" t="s">
        <v>514</v>
      </c>
      <c r="Q3746" s="97">
        <f t="shared" si="488"/>
        <v>61</v>
      </c>
      <c r="R3746" t="str">
        <f t="shared" si="489"/>
        <v/>
      </c>
    </row>
    <row r="3747" spans="3:18">
      <c r="C3747" t="str">
        <f t="shared" si="491"/>
        <v/>
      </c>
      <c r="D3747">
        <v>62</v>
      </c>
      <c r="E3747">
        <v>60</v>
      </c>
      <c r="F3747" s="366">
        <f t="shared" si="490"/>
        <v>1302</v>
      </c>
      <c r="G3747" s="97">
        <v>2245</v>
      </c>
      <c r="H3747" s="367">
        <f t="shared" si="486"/>
        <v>3547</v>
      </c>
      <c r="I3747" s="368">
        <f t="shared" si="487"/>
        <v>0</v>
      </c>
      <c r="J3747">
        <v>6986</v>
      </c>
      <c r="K3747" s="367">
        <f t="shared" si="492"/>
        <v>4990</v>
      </c>
      <c r="L3747">
        <v>0.19</v>
      </c>
      <c r="M3747">
        <v>2.9</v>
      </c>
      <c r="N3747">
        <v>19</v>
      </c>
      <c r="O3747">
        <v>4</v>
      </c>
      <c r="P3747" t="s">
        <v>515</v>
      </c>
      <c r="Q3747" s="97">
        <f t="shared" si="488"/>
        <v>62</v>
      </c>
      <c r="R3747" t="str">
        <f t="shared" si="489"/>
        <v/>
      </c>
    </row>
    <row r="3748" spans="3:18">
      <c r="C3748" t="str">
        <f t="shared" si="491"/>
        <v/>
      </c>
      <c r="D3748">
        <v>63</v>
      </c>
      <c r="E3748">
        <v>60</v>
      </c>
      <c r="F3748" s="366">
        <f t="shared" si="490"/>
        <v>1302</v>
      </c>
      <c r="G3748" s="97">
        <v>3504</v>
      </c>
      <c r="H3748" s="367">
        <f t="shared" si="486"/>
        <v>4806</v>
      </c>
      <c r="I3748" s="368">
        <f t="shared" si="487"/>
        <v>0</v>
      </c>
      <c r="J3748">
        <v>10903</v>
      </c>
      <c r="K3748" s="367">
        <f t="shared" si="492"/>
        <v>7787.8571428571431</v>
      </c>
      <c r="L3748">
        <v>0.72</v>
      </c>
      <c r="M3748">
        <v>4.1999999999999993</v>
      </c>
      <c r="N3748">
        <v>25</v>
      </c>
      <c r="O3748">
        <v>6</v>
      </c>
      <c r="P3748" t="s">
        <v>513</v>
      </c>
      <c r="Q3748" s="97" t="str">
        <f t="shared" si="488"/>
        <v/>
      </c>
      <c r="R3748" t="str">
        <f t="shared" si="489"/>
        <v/>
      </c>
    </row>
    <row r="3749" spans="3:18">
      <c r="C3749" t="str">
        <f t="shared" si="491"/>
        <v/>
      </c>
      <c r="D3749">
        <v>64</v>
      </c>
      <c r="E3749">
        <v>60</v>
      </c>
      <c r="F3749" s="366">
        <f t="shared" si="490"/>
        <v>1302</v>
      </c>
      <c r="G3749" s="97">
        <v>2710</v>
      </c>
      <c r="H3749" s="367">
        <f t="shared" si="486"/>
        <v>4012</v>
      </c>
      <c r="I3749" s="368">
        <f t="shared" si="487"/>
        <v>0</v>
      </c>
      <c r="J3749">
        <v>8434</v>
      </c>
      <c r="K3749" s="367">
        <f t="shared" si="492"/>
        <v>6024.2857142857147</v>
      </c>
      <c r="L3749">
        <v>0.23</v>
      </c>
      <c r="M3749">
        <v>4.1999999999999993</v>
      </c>
      <c r="N3749">
        <v>19</v>
      </c>
      <c r="O3749">
        <v>6</v>
      </c>
      <c r="P3749" t="s">
        <v>514</v>
      </c>
      <c r="Q3749" s="97">
        <f t="shared" si="488"/>
        <v>64</v>
      </c>
      <c r="R3749" t="str">
        <f t="shared" si="489"/>
        <v/>
      </c>
    </row>
    <row r="3750" spans="3:18">
      <c r="C3750" t="str">
        <f t="shared" si="491"/>
        <v/>
      </c>
      <c r="D3750">
        <v>65</v>
      </c>
      <c r="E3750">
        <v>60</v>
      </c>
      <c r="F3750" s="366">
        <f t="shared" si="490"/>
        <v>1302</v>
      </c>
      <c r="G3750" s="97">
        <v>3643</v>
      </c>
      <c r="H3750" s="367">
        <f t="shared" si="486"/>
        <v>4945</v>
      </c>
      <c r="I3750" s="368">
        <f t="shared" si="487"/>
        <v>0</v>
      </c>
      <c r="J3750">
        <v>11336</v>
      </c>
      <c r="K3750" s="367">
        <f t="shared" si="492"/>
        <v>8097.1428571428569</v>
      </c>
      <c r="L3750">
        <v>0.4</v>
      </c>
      <c r="M3750">
        <v>5.5</v>
      </c>
      <c r="N3750">
        <v>21</v>
      </c>
      <c r="O3750">
        <v>8</v>
      </c>
      <c r="P3750" t="s">
        <v>513</v>
      </c>
      <c r="Q3750" s="97">
        <f t="shared" si="488"/>
        <v>65</v>
      </c>
      <c r="R3750" t="str">
        <f t="shared" si="489"/>
        <v/>
      </c>
    </row>
    <row r="3751" spans="3:18">
      <c r="C3751" t="str">
        <f t="shared" si="491"/>
        <v/>
      </c>
      <c r="D3751">
        <v>66</v>
      </c>
      <c r="E3751">
        <v>60</v>
      </c>
      <c r="F3751" s="366">
        <f t="shared" si="490"/>
        <v>1302</v>
      </c>
      <c r="G3751" s="97">
        <v>3099</v>
      </c>
      <c r="H3751" s="367">
        <f t="shared" ref="H3751:H3814" si="493">(G3751*$U$7)+F3751</f>
        <v>4401</v>
      </c>
      <c r="I3751" s="368">
        <f t="shared" ref="I3751:I3814" si="494">1.085*($C$2-$D$2)*E3751*$T$7</f>
        <v>0</v>
      </c>
      <c r="J3751">
        <v>9642</v>
      </c>
      <c r="K3751" s="367">
        <f t="shared" si="492"/>
        <v>6887.1428571428569</v>
      </c>
      <c r="L3751">
        <v>0.96</v>
      </c>
      <c r="M3751">
        <v>5.5</v>
      </c>
      <c r="N3751">
        <v>28</v>
      </c>
      <c r="O3751">
        <v>8</v>
      </c>
      <c r="P3751" t="s">
        <v>512</v>
      </c>
      <c r="Q3751" s="97" t="str">
        <f t="shared" ref="Q3751:Q3814" si="495">IF(AND(H3751+1&gt;$E$4,L3751&lt;$L$4+0.01,M3751&lt;$M$4+0.01,K3751+1&gt;$F$4,E3751+1&gt;$J$4,N3751&lt;$K$4+1,O3751&lt;$P$4+1,C3751=""),D3751,"")</f>
        <v/>
      </c>
      <c r="R3751" t="str">
        <f t="shared" ref="R3751:R3814" si="496">IF(Q3751="","",IF(AND(O3751&lt;$X$31,E3751&gt;$U$31,E3751&lt;$Q$4+$U$31+1),D3751,""))</f>
        <v/>
      </c>
    </row>
    <row r="3752" spans="3:18">
      <c r="C3752" t="str">
        <f t="shared" si="491"/>
        <v/>
      </c>
      <c r="D3752">
        <v>67</v>
      </c>
      <c r="E3752">
        <v>65</v>
      </c>
      <c r="F3752" s="366">
        <f t="shared" si="490"/>
        <v>1410.5</v>
      </c>
      <c r="G3752" s="97">
        <v>2073</v>
      </c>
      <c r="H3752" s="367">
        <f t="shared" si="493"/>
        <v>3483.5</v>
      </c>
      <c r="I3752" s="368">
        <f t="shared" si="494"/>
        <v>0</v>
      </c>
      <c r="J3752">
        <v>6449</v>
      </c>
      <c r="K3752" s="367">
        <f t="shared" si="492"/>
        <v>4606.4285714285716</v>
      </c>
      <c r="L3752">
        <v>1.01</v>
      </c>
      <c r="M3752">
        <v>1.6</v>
      </c>
      <c r="N3752">
        <v>28</v>
      </c>
      <c r="O3752">
        <v>2</v>
      </c>
      <c r="P3752" t="s">
        <v>515</v>
      </c>
      <c r="Q3752" s="97" t="str">
        <f t="shared" si="495"/>
        <v/>
      </c>
      <c r="R3752" t="str">
        <f t="shared" si="496"/>
        <v/>
      </c>
    </row>
    <row r="3753" spans="3:18">
      <c r="C3753" t="str">
        <f t="shared" si="491"/>
        <v/>
      </c>
      <c r="D3753">
        <v>68</v>
      </c>
      <c r="E3753">
        <v>65</v>
      </c>
      <c r="F3753" s="366">
        <f t="shared" si="490"/>
        <v>1410.5</v>
      </c>
      <c r="G3753" s="97">
        <v>2739</v>
      </c>
      <c r="H3753" s="367">
        <f t="shared" si="493"/>
        <v>4149.5</v>
      </c>
      <c r="I3753" s="368">
        <f t="shared" si="494"/>
        <v>0</v>
      </c>
      <c r="J3753">
        <v>8523</v>
      </c>
      <c r="K3753" s="367">
        <f t="shared" si="492"/>
        <v>6087.8571428571431</v>
      </c>
      <c r="L3753">
        <v>0.61</v>
      </c>
      <c r="M3753">
        <v>2.9</v>
      </c>
      <c r="N3753">
        <v>25</v>
      </c>
      <c r="O3753">
        <v>4</v>
      </c>
      <c r="P3753" t="s">
        <v>514</v>
      </c>
      <c r="Q3753" s="97">
        <f t="shared" si="495"/>
        <v>68</v>
      </c>
      <c r="R3753" t="str">
        <f t="shared" si="496"/>
        <v/>
      </c>
    </row>
    <row r="3754" spans="3:18">
      <c r="C3754" t="str">
        <f t="shared" si="491"/>
        <v/>
      </c>
      <c r="D3754">
        <v>69</v>
      </c>
      <c r="E3754">
        <v>65</v>
      </c>
      <c r="F3754" s="366">
        <f t="shared" si="490"/>
        <v>1410.5</v>
      </c>
      <c r="G3754" s="97">
        <v>2400</v>
      </c>
      <c r="H3754" s="367">
        <f t="shared" si="493"/>
        <v>3810.5</v>
      </c>
      <c r="I3754" s="368">
        <f t="shared" si="494"/>
        <v>0</v>
      </c>
      <c r="J3754">
        <v>7468</v>
      </c>
      <c r="K3754" s="367">
        <f t="shared" si="492"/>
        <v>5334.2857142857147</v>
      </c>
      <c r="L3754">
        <v>0.22</v>
      </c>
      <c r="M3754">
        <v>2.9</v>
      </c>
      <c r="N3754">
        <v>20</v>
      </c>
      <c r="O3754">
        <v>4</v>
      </c>
      <c r="P3754" t="s">
        <v>515</v>
      </c>
      <c r="Q3754" s="97">
        <f t="shared" si="495"/>
        <v>69</v>
      </c>
      <c r="R3754" t="str">
        <f t="shared" si="496"/>
        <v/>
      </c>
    </row>
    <row r="3755" spans="3:18">
      <c r="C3755" t="str">
        <f t="shared" si="491"/>
        <v/>
      </c>
      <c r="D3755">
        <v>70</v>
      </c>
      <c r="E3755">
        <v>65</v>
      </c>
      <c r="F3755" s="366">
        <f t="shared" si="490"/>
        <v>1410.5</v>
      </c>
      <c r="G3755" s="97">
        <v>3736</v>
      </c>
      <c r="H3755" s="367">
        <f t="shared" si="493"/>
        <v>5146.5</v>
      </c>
      <c r="I3755" s="368">
        <f t="shared" si="494"/>
        <v>0</v>
      </c>
      <c r="J3755">
        <v>11624</v>
      </c>
      <c r="K3755" s="367">
        <f t="shared" si="492"/>
        <v>8302.8571428571431</v>
      </c>
      <c r="L3755">
        <v>0.84</v>
      </c>
      <c r="M3755">
        <v>4.1999999999999993</v>
      </c>
      <c r="N3755">
        <v>26</v>
      </c>
      <c r="O3755">
        <v>6</v>
      </c>
      <c r="P3755" t="s">
        <v>513</v>
      </c>
      <c r="Q3755" s="97" t="str">
        <f t="shared" si="495"/>
        <v/>
      </c>
      <c r="R3755" t="str">
        <f t="shared" si="496"/>
        <v/>
      </c>
    </row>
    <row r="3756" spans="3:18">
      <c r="C3756" t="str">
        <f t="shared" si="491"/>
        <v/>
      </c>
      <c r="D3756">
        <v>71</v>
      </c>
      <c r="E3756">
        <v>65</v>
      </c>
      <c r="F3756" s="366">
        <f t="shared" si="490"/>
        <v>1410.5</v>
      </c>
      <c r="G3756" s="97">
        <v>2899</v>
      </c>
      <c r="H3756" s="367">
        <f t="shared" si="493"/>
        <v>4309.5</v>
      </c>
      <c r="I3756" s="368">
        <f t="shared" si="494"/>
        <v>0</v>
      </c>
      <c r="J3756">
        <v>9019</v>
      </c>
      <c r="K3756" s="367">
        <f t="shared" si="492"/>
        <v>6442.1428571428569</v>
      </c>
      <c r="L3756">
        <v>0.26</v>
      </c>
      <c r="M3756">
        <v>4.1999999999999993</v>
      </c>
      <c r="N3756">
        <v>20</v>
      </c>
      <c r="O3756">
        <v>6</v>
      </c>
      <c r="P3756" t="s">
        <v>514</v>
      </c>
      <c r="Q3756" s="97">
        <f t="shared" si="495"/>
        <v>71</v>
      </c>
      <c r="R3756" t="str">
        <f t="shared" si="496"/>
        <v/>
      </c>
    </row>
    <row r="3757" spans="3:18">
      <c r="C3757" t="str">
        <f t="shared" si="491"/>
        <v/>
      </c>
      <c r="D3757">
        <v>72</v>
      </c>
      <c r="E3757">
        <v>65</v>
      </c>
      <c r="F3757" s="366">
        <f t="shared" si="490"/>
        <v>1410.5</v>
      </c>
      <c r="G3757" s="97">
        <v>3893</v>
      </c>
      <c r="H3757" s="367">
        <f t="shared" si="493"/>
        <v>5303.5</v>
      </c>
      <c r="I3757" s="368">
        <f t="shared" si="494"/>
        <v>0</v>
      </c>
      <c r="J3757">
        <v>12113</v>
      </c>
      <c r="K3757" s="367">
        <f t="shared" si="492"/>
        <v>8652.1428571428569</v>
      </c>
      <c r="L3757">
        <v>0.47000000000000003</v>
      </c>
      <c r="M3757">
        <v>5.5</v>
      </c>
      <c r="N3757">
        <v>22</v>
      </c>
      <c r="O3757">
        <v>8</v>
      </c>
      <c r="P3757" t="s">
        <v>513</v>
      </c>
      <c r="Q3757" s="97">
        <f t="shared" si="495"/>
        <v>72</v>
      </c>
      <c r="R3757" t="str">
        <f t="shared" si="496"/>
        <v/>
      </c>
    </row>
    <row r="3758" spans="3:18">
      <c r="C3758" t="str">
        <f t="shared" si="491"/>
        <v/>
      </c>
      <c r="D3758">
        <v>73</v>
      </c>
      <c r="E3758">
        <v>65</v>
      </c>
      <c r="F3758" s="366">
        <f t="shared" si="490"/>
        <v>1410.5</v>
      </c>
      <c r="G3758" s="97">
        <v>3293</v>
      </c>
      <c r="H3758" s="367">
        <f t="shared" si="493"/>
        <v>4703.5</v>
      </c>
      <c r="I3758" s="368">
        <f t="shared" si="494"/>
        <v>0</v>
      </c>
      <c r="J3758">
        <v>10245</v>
      </c>
      <c r="K3758" s="367">
        <f t="shared" si="492"/>
        <v>7317.8571428571431</v>
      </c>
      <c r="L3758">
        <v>1.1200000000000001</v>
      </c>
      <c r="M3758">
        <v>5.5</v>
      </c>
      <c r="N3758">
        <v>29</v>
      </c>
      <c r="O3758">
        <v>8</v>
      </c>
      <c r="P3758" t="s">
        <v>512</v>
      </c>
      <c r="Q3758" s="97" t="str">
        <f t="shared" si="495"/>
        <v/>
      </c>
      <c r="R3758" t="str">
        <f t="shared" si="496"/>
        <v/>
      </c>
    </row>
    <row r="3759" spans="3:18">
      <c r="C3759" t="str">
        <f t="shared" si="491"/>
        <v/>
      </c>
      <c r="D3759">
        <v>74</v>
      </c>
      <c r="E3759">
        <v>65</v>
      </c>
      <c r="F3759" s="366">
        <f t="shared" si="490"/>
        <v>1410.5</v>
      </c>
      <c r="G3759" s="97">
        <v>2980</v>
      </c>
      <c r="H3759" s="367">
        <f t="shared" si="493"/>
        <v>4390.5</v>
      </c>
      <c r="I3759" s="368">
        <f t="shared" si="494"/>
        <v>0</v>
      </c>
      <c r="J3759">
        <v>9271</v>
      </c>
      <c r="K3759" s="367">
        <f t="shared" si="492"/>
        <v>6622.1428571428569</v>
      </c>
      <c r="L3759">
        <v>0.16</v>
      </c>
      <c r="M3759">
        <v>5.5</v>
      </c>
      <c r="N3759">
        <v>17</v>
      </c>
      <c r="O3759">
        <v>8</v>
      </c>
      <c r="P3759" t="s">
        <v>514</v>
      </c>
      <c r="Q3759" s="97">
        <f t="shared" si="495"/>
        <v>74</v>
      </c>
      <c r="R3759" t="str">
        <f t="shared" si="496"/>
        <v/>
      </c>
    </row>
    <row r="3760" spans="3:18">
      <c r="C3760" t="str">
        <f t="shared" si="491"/>
        <v/>
      </c>
      <c r="D3760">
        <v>75</v>
      </c>
      <c r="E3760">
        <v>70</v>
      </c>
      <c r="F3760" s="366">
        <f t="shared" si="490"/>
        <v>1519</v>
      </c>
      <c r="G3760" s="97">
        <v>2911</v>
      </c>
      <c r="H3760" s="367">
        <f t="shared" si="493"/>
        <v>4430</v>
      </c>
      <c r="I3760" s="368">
        <f t="shared" si="494"/>
        <v>0</v>
      </c>
      <c r="J3760">
        <v>9058</v>
      </c>
      <c r="K3760" s="367">
        <f t="shared" si="492"/>
        <v>6470</v>
      </c>
      <c r="L3760">
        <v>0.71</v>
      </c>
      <c r="M3760">
        <v>2.9</v>
      </c>
      <c r="N3760">
        <v>26</v>
      </c>
      <c r="O3760">
        <v>4</v>
      </c>
      <c r="P3760" t="s">
        <v>514</v>
      </c>
      <c r="Q3760" s="97">
        <f t="shared" si="495"/>
        <v>75</v>
      </c>
      <c r="R3760" t="str">
        <f t="shared" si="496"/>
        <v/>
      </c>
    </row>
    <row r="3761" spans="3:18">
      <c r="C3761" t="str">
        <f t="shared" si="491"/>
        <v/>
      </c>
      <c r="D3761">
        <v>76</v>
      </c>
      <c r="E3761">
        <v>70</v>
      </c>
      <c r="F3761" s="366">
        <f t="shared" si="490"/>
        <v>1519</v>
      </c>
      <c r="G3761" s="97">
        <v>2555</v>
      </c>
      <c r="H3761" s="367">
        <f t="shared" si="493"/>
        <v>4074</v>
      </c>
      <c r="I3761" s="368">
        <f t="shared" si="494"/>
        <v>0</v>
      </c>
      <c r="J3761">
        <v>7950</v>
      </c>
      <c r="K3761" s="367">
        <f t="shared" si="492"/>
        <v>5678.5714285714284</v>
      </c>
      <c r="L3761">
        <v>0.26</v>
      </c>
      <c r="M3761">
        <v>2.9</v>
      </c>
      <c r="N3761">
        <v>21</v>
      </c>
      <c r="O3761">
        <v>4</v>
      </c>
      <c r="P3761" t="s">
        <v>515</v>
      </c>
      <c r="Q3761" s="97">
        <f t="shared" si="495"/>
        <v>76</v>
      </c>
      <c r="R3761" t="str">
        <f t="shared" si="496"/>
        <v/>
      </c>
    </row>
    <row r="3762" spans="3:18">
      <c r="C3762" t="str">
        <f t="shared" si="491"/>
        <v/>
      </c>
      <c r="D3762">
        <v>77</v>
      </c>
      <c r="E3762">
        <v>70</v>
      </c>
      <c r="F3762" s="366">
        <f t="shared" si="490"/>
        <v>1519</v>
      </c>
      <c r="G3762" s="97">
        <v>3957</v>
      </c>
      <c r="H3762" s="367">
        <f t="shared" si="493"/>
        <v>5476</v>
      </c>
      <c r="I3762" s="368">
        <f t="shared" si="494"/>
        <v>0</v>
      </c>
      <c r="J3762">
        <v>12312</v>
      </c>
      <c r="K3762" s="367">
        <f t="shared" si="492"/>
        <v>8794.2857142857138</v>
      </c>
      <c r="L3762">
        <v>0.98</v>
      </c>
      <c r="M3762">
        <v>4.1999999999999993</v>
      </c>
      <c r="N3762">
        <v>27</v>
      </c>
      <c r="O3762">
        <v>6</v>
      </c>
      <c r="P3762" t="s">
        <v>513</v>
      </c>
      <c r="Q3762" s="97" t="str">
        <f t="shared" si="495"/>
        <v/>
      </c>
      <c r="R3762" t="str">
        <f t="shared" si="496"/>
        <v/>
      </c>
    </row>
    <row r="3763" spans="3:18">
      <c r="C3763" t="str">
        <f t="shared" si="491"/>
        <v/>
      </c>
      <c r="D3763">
        <v>78</v>
      </c>
      <c r="E3763">
        <v>70</v>
      </c>
      <c r="F3763" s="366">
        <f t="shared" ref="F3763:F3826" si="497">1.085*($A$2-$B$2)*E3763*$T$7</f>
        <v>1519</v>
      </c>
      <c r="G3763" s="97">
        <v>3087</v>
      </c>
      <c r="H3763" s="367">
        <f t="shared" si="493"/>
        <v>4606</v>
      </c>
      <c r="I3763" s="368">
        <f t="shared" si="494"/>
        <v>0</v>
      </c>
      <c r="J3763">
        <v>9605</v>
      </c>
      <c r="K3763" s="367">
        <f t="shared" si="492"/>
        <v>6860.7142857142862</v>
      </c>
      <c r="L3763">
        <v>0.3</v>
      </c>
      <c r="M3763">
        <v>4.1999999999999993</v>
      </c>
      <c r="N3763">
        <v>21</v>
      </c>
      <c r="O3763">
        <v>6</v>
      </c>
      <c r="P3763" t="s">
        <v>514</v>
      </c>
      <c r="Q3763" s="97">
        <f t="shared" si="495"/>
        <v>78</v>
      </c>
      <c r="R3763" t="str">
        <f t="shared" si="496"/>
        <v/>
      </c>
    </row>
    <row r="3764" spans="3:18">
      <c r="C3764" t="str">
        <f t="shared" si="491"/>
        <v/>
      </c>
      <c r="D3764">
        <v>79</v>
      </c>
      <c r="E3764">
        <v>70</v>
      </c>
      <c r="F3764" s="366">
        <f t="shared" si="497"/>
        <v>1519</v>
      </c>
      <c r="G3764" s="97">
        <v>4136</v>
      </c>
      <c r="H3764" s="367">
        <f t="shared" si="493"/>
        <v>5655</v>
      </c>
      <c r="I3764" s="368">
        <f t="shared" si="494"/>
        <v>0</v>
      </c>
      <c r="J3764">
        <v>12869</v>
      </c>
      <c r="K3764" s="367">
        <f t="shared" si="492"/>
        <v>9192.1428571428569</v>
      </c>
      <c r="L3764">
        <v>0.54</v>
      </c>
      <c r="M3764">
        <v>5.5</v>
      </c>
      <c r="N3764">
        <v>23</v>
      </c>
      <c r="O3764">
        <v>8</v>
      </c>
      <c r="P3764" t="s">
        <v>513</v>
      </c>
      <c r="Q3764" s="97">
        <f t="shared" si="495"/>
        <v>79</v>
      </c>
      <c r="R3764" t="str">
        <f t="shared" si="496"/>
        <v/>
      </c>
    </row>
    <row r="3765" spans="3:18">
      <c r="C3765" t="str">
        <f t="shared" si="491"/>
        <v/>
      </c>
      <c r="D3765">
        <v>80</v>
      </c>
      <c r="E3765">
        <v>70</v>
      </c>
      <c r="F3765" s="366">
        <f t="shared" si="497"/>
        <v>1519</v>
      </c>
      <c r="G3765" s="97">
        <v>3178</v>
      </c>
      <c r="H3765" s="367">
        <f t="shared" si="493"/>
        <v>4697</v>
      </c>
      <c r="I3765" s="368">
        <f t="shared" si="494"/>
        <v>0</v>
      </c>
      <c r="J3765">
        <v>9887</v>
      </c>
      <c r="K3765" s="367">
        <f t="shared" si="492"/>
        <v>7062.1428571428569</v>
      </c>
      <c r="L3765">
        <v>0.18000000000000002</v>
      </c>
      <c r="M3765">
        <v>5.5</v>
      </c>
      <c r="N3765">
        <v>18</v>
      </c>
      <c r="O3765">
        <v>8</v>
      </c>
      <c r="P3765" t="s">
        <v>514</v>
      </c>
      <c r="Q3765" s="97">
        <f t="shared" si="495"/>
        <v>80</v>
      </c>
      <c r="R3765" t="str">
        <f t="shared" si="496"/>
        <v/>
      </c>
    </row>
    <row r="3766" spans="3:18">
      <c r="C3766" t="str">
        <f t="shared" si="491"/>
        <v/>
      </c>
      <c r="D3766">
        <v>81</v>
      </c>
      <c r="E3766">
        <v>75</v>
      </c>
      <c r="F3766" s="366">
        <f t="shared" si="497"/>
        <v>1627.5</v>
      </c>
      <c r="G3766" s="97">
        <v>3074</v>
      </c>
      <c r="H3766" s="367">
        <f t="shared" si="493"/>
        <v>4701.5</v>
      </c>
      <c r="I3766" s="368">
        <f t="shared" si="494"/>
        <v>0</v>
      </c>
      <c r="J3766">
        <v>9566</v>
      </c>
      <c r="K3766" s="367">
        <f t="shared" si="492"/>
        <v>6832.8571428571431</v>
      </c>
      <c r="L3766">
        <v>0.78</v>
      </c>
      <c r="M3766">
        <v>2.9</v>
      </c>
      <c r="N3766">
        <v>26</v>
      </c>
      <c r="O3766">
        <v>4</v>
      </c>
      <c r="P3766" t="s">
        <v>514</v>
      </c>
      <c r="Q3766" s="97" t="str">
        <f t="shared" si="495"/>
        <v/>
      </c>
      <c r="R3766" t="str">
        <f t="shared" si="496"/>
        <v/>
      </c>
    </row>
    <row r="3767" spans="3:18">
      <c r="C3767" t="str">
        <f t="shared" si="491"/>
        <v/>
      </c>
      <c r="D3767">
        <v>82</v>
      </c>
      <c r="E3767">
        <v>75</v>
      </c>
      <c r="F3767" s="366">
        <f t="shared" si="497"/>
        <v>1627.5</v>
      </c>
      <c r="G3767" s="97">
        <v>2701</v>
      </c>
      <c r="H3767" s="367">
        <f t="shared" si="493"/>
        <v>4328.5</v>
      </c>
      <c r="I3767" s="368">
        <f t="shared" si="494"/>
        <v>0</v>
      </c>
      <c r="J3767">
        <v>8405</v>
      </c>
      <c r="K3767" s="367">
        <f t="shared" si="492"/>
        <v>6003.5714285714284</v>
      </c>
      <c r="L3767">
        <v>0.27</v>
      </c>
      <c r="M3767">
        <v>2.9</v>
      </c>
      <c r="N3767">
        <v>22</v>
      </c>
      <c r="O3767">
        <v>4</v>
      </c>
      <c r="P3767" t="s">
        <v>515</v>
      </c>
      <c r="Q3767" s="97">
        <f t="shared" si="495"/>
        <v>82</v>
      </c>
      <c r="R3767" t="str">
        <f t="shared" si="496"/>
        <v/>
      </c>
    </row>
    <row r="3768" spans="3:18">
      <c r="C3768" t="str">
        <f t="shared" si="491"/>
        <v/>
      </c>
      <c r="D3768">
        <v>83</v>
      </c>
      <c r="E3768">
        <v>75</v>
      </c>
      <c r="F3768" s="366">
        <f t="shared" si="497"/>
        <v>1627.5</v>
      </c>
      <c r="G3768" s="97">
        <v>4175</v>
      </c>
      <c r="H3768" s="367">
        <f t="shared" si="493"/>
        <v>5802.5</v>
      </c>
      <c r="I3768" s="368">
        <f t="shared" si="494"/>
        <v>0</v>
      </c>
      <c r="J3768">
        <v>12989</v>
      </c>
      <c r="K3768" s="367">
        <f t="shared" si="492"/>
        <v>9277.8571428571431</v>
      </c>
      <c r="L3768">
        <v>1.0900000000000001</v>
      </c>
      <c r="M3768">
        <v>4.1999999999999993</v>
      </c>
      <c r="N3768">
        <v>27</v>
      </c>
      <c r="O3768">
        <v>6</v>
      </c>
      <c r="P3768" t="s">
        <v>513</v>
      </c>
      <c r="Q3768" s="97" t="str">
        <f t="shared" si="495"/>
        <v/>
      </c>
      <c r="R3768" t="str">
        <f t="shared" si="496"/>
        <v/>
      </c>
    </row>
    <row r="3769" spans="3:18">
      <c r="C3769" t="str">
        <f t="shared" si="491"/>
        <v/>
      </c>
      <c r="D3769">
        <v>84</v>
      </c>
      <c r="E3769">
        <v>75</v>
      </c>
      <c r="F3769" s="366">
        <f t="shared" si="497"/>
        <v>1627.5</v>
      </c>
      <c r="G3769" s="97">
        <v>3275</v>
      </c>
      <c r="H3769" s="367">
        <f t="shared" si="493"/>
        <v>4902.5</v>
      </c>
      <c r="I3769" s="368">
        <f t="shared" si="494"/>
        <v>0</v>
      </c>
      <c r="J3769">
        <v>10190</v>
      </c>
      <c r="K3769" s="367">
        <f t="shared" si="492"/>
        <v>7278.5714285714284</v>
      </c>
      <c r="L3769">
        <v>0.32</v>
      </c>
      <c r="M3769">
        <v>4.1999999999999993</v>
      </c>
      <c r="N3769">
        <v>21</v>
      </c>
      <c r="O3769">
        <v>6</v>
      </c>
      <c r="P3769" t="s">
        <v>514</v>
      </c>
      <c r="Q3769" s="97">
        <f t="shared" si="495"/>
        <v>84</v>
      </c>
      <c r="R3769" t="str">
        <f t="shared" si="496"/>
        <v/>
      </c>
    </row>
    <row r="3770" spans="3:18">
      <c r="C3770" t="str">
        <f t="shared" si="491"/>
        <v/>
      </c>
      <c r="D3770">
        <v>85</v>
      </c>
      <c r="E3770">
        <v>75</v>
      </c>
      <c r="F3770" s="366">
        <f t="shared" si="497"/>
        <v>1627.5</v>
      </c>
      <c r="G3770" s="97">
        <v>4379</v>
      </c>
      <c r="H3770" s="367">
        <f t="shared" si="493"/>
        <v>6006.5</v>
      </c>
      <c r="I3770" s="368">
        <f t="shared" si="494"/>
        <v>0</v>
      </c>
      <c r="J3770">
        <v>13625</v>
      </c>
      <c r="K3770" s="367">
        <f t="shared" si="492"/>
        <v>9732.1428571428569</v>
      </c>
      <c r="L3770">
        <v>0.59</v>
      </c>
      <c r="M3770">
        <v>5.5</v>
      </c>
      <c r="N3770">
        <v>24</v>
      </c>
      <c r="O3770">
        <v>8</v>
      </c>
      <c r="P3770" t="s">
        <v>513</v>
      </c>
      <c r="Q3770" s="97">
        <f t="shared" si="495"/>
        <v>85</v>
      </c>
      <c r="R3770" t="str">
        <f t="shared" si="496"/>
        <v/>
      </c>
    </row>
    <row r="3771" spans="3:18">
      <c r="C3771" t="str">
        <f t="shared" si="491"/>
        <v/>
      </c>
      <c r="D3771">
        <v>86</v>
      </c>
      <c r="E3771">
        <v>75</v>
      </c>
      <c r="F3771" s="366">
        <f t="shared" si="497"/>
        <v>1627.5</v>
      </c>
      <c r="G3771" s="97">
        <v>3376</v>
      </c>
      <c r="H3771" s="367">
        <f t="shared" si="493"/>
        <v>5003.5</v>
      </c>
      <c r="I3771" s="368">
        <f t="shared" si="494"/>
        <v>0</v>
      </c>
      <c r="J3771">
        <v>10504</v>
      </c>
      <c r="K3771" s="367">
        <f t="shared" si="492"/>
        <v>7502.8571428571431</v>
      </c>
      <c r="L3771">
        <v>0.18000000000000002</v>
      </c>
      <c r="M3771">
        <v>5.5</v>
      </c>
      <c r="N3771">
        <v>17</v>
      </c>
      <c r="O3771">
        <v>8</v>
      </c>
      <c r="P3771" t="s">
        <v>514</v>
      </c>
      <c r="Q3771" s="97">
        <f t="shared" si="495"/>
        <v>86</v>
      </c>
      <c r="R3771" t="str">
        <f t="shared" si="496"/>
        <v/>
      </c>
    </row>
    <row r="3772" spans="3:18">
      <c r="C3772" t="str">
        <f t="shared" si="491"/>
        <v/>
      </c>
      <c r="D3772">
        <v>87</v>
      </c>
      <c r="E3772">
        <v>80</v>
      </c>
      <c r="F3772" s="366">
        <f t="shared" si="497"/>
        <v>1736</v>
      </c>
      <c r="G3772" s="97">
        <v>3237</v>
      </c>
      <c r="H3772" s="367">
        <f t="shared" si="493"/>
        <v>4973</v>
      </c>
      <c r="I3772" s="368">
        <f t="shared" si="494"/>
        <v>0</v>
      </c>
      <c r="J3772">
        <v>10072</v>
      </c>
      <c r="K3772" s="367">
        <f t="shared" si="492"/>
        <v>7194.2857142857147</v>
      </c>
      <c r="L3772">
        <v>0.89</v>
      </c>
      <c r="M3772">
        <v>2.9</v>
      </c>
      <c r="N3772">
        <v>27</v>
      </c>
      <c r="O3772">
        <v>4</v>
      </c>
      <c r="P3772" t="s">
        <v>514</v>
      </c>
      <c r="Q3772" s="97" t="str">
        <f t="shared" si="495"/>
        <v/>
      </c>
      <c r="R3772" t="str">
        <f t="shared" si="496"/>
        <v/>
      </c>
    </row>
    <row r="3773" spans="3:18">
      <c r="C3773" t="str">
        <f t="shared" si="491"/>
        <v/>
      </c>
      <c r="D3773">
        <v>88</v>
      </c>
      <c r="E3773">
        <v>80</v>
      </c>
      <c r="F3773" s="366">
        <f t="shared" si="497"/>
        <v>1736</v>
      </c>
      <c r="G3773" s="97">
        <v>2847</v>
      </c>
      <c r="H3773" s="367">
        <f t="shared" si="493"/>
        <v>4583</v>
      </c>
      <c r="I3773" s="368">
        <f t="shared" si="494"/>
        <v>0</v>
      </c>
      <c r="J3773">
        <v>8860</v>
      </c>
      <c r="K3773" s="367">
        <f t="shared" si="492"/>
        <v>6328.5714285714284</v>
      </c>
      <c r="L3773">
        <v>0.31</v>
      </c>
      <c r="M3773">
        <v>2.9</v>
      </c>
      <c r="N3773">
        <v>22</v>
      </c>
      <c r="O3773">
        <v>4</v>
      </c>
      <c r="P3773" t="s">
        <v>515</v>
      </c>
      <c r="Q3773" s="97">
        <f t="shared" si="495"/>
        <v>88</v>
      </c>
      <c r="R3773" t="str">
        <f t="shared" si="496"/>
        <v/>
      </c>
    </row>
    <row r="3774" spans="3:18">
      <c r="C3774" t="str">
        <f t="shared" si="491"/>
        <v/>
      </c>
      <c r="D3774">
        <v>89</v>
      </c>
      <c r="E3774">
        <v>80</v>
      </c>
      <c r="F3774" s="366">
        <f t="shared" si="497"/>
        <v>1736</v>
      </c>
      <c r="G3774" s="97">
        <v>3454</v>
      </c>
      <c r="H3774" s="367">
        <f t="shared" si="493"/>
        <v>5190</v>
      </c>
      <c r="I3774" s="368">
        <f t="shared" si="494"/>
        <v>0</v>
      </c>
      <c r="J3774">
        <v>10747</v>
      </c>
      <c r="K3774" s="367">
        <f t="shared" si="492"/>
        <v>7676.4285714285716</v>
      </c>
      <c r="L3774">
        <v>0.37</v>
      </c>
      <c r="M3774">
        <v>4.1999999999999993</v>
      </c>
      <c r="N3774">
        <v>22</v>
      </c>
      <c r="O3774">
        <v>6</v>
      </c>
      <c r="P3774" t="s">
        <v>514</v>
      </c>
      <c r="Q3774" s="97">
        <f t="shared" si="495"/>
        <v>89</v>
      </c>
      <c r="R3774" t="str">
        <f t="shared" si="496"/>
        <v/>
      </c>
    </row>
    <row r="3775" spans="3:18">
      <c r="C3775" t="str">
        <f t="shared" si="491"/>
        <v/>
      </c>
      <c r="D3775">
        <v>90</v>
      </c>
      <c r="E3775">
        <v>80</v>
      </c>
      <c r="F3775" s="366">
        <f t="shared" si="497"/>
        <v>1736</v>
      </c>
      <c r="G3775" s="97">
        <v>4603</v>
      </c>
      <c r="H3775" s="367">
        <f t="shared" si="493"/>
        <v>6339</v>
      </c>
      <c r="I3775" s="368">
        <f t="shared" si="494"/>
        <v>0</v>
      </c>
      <c r="J3775">
        <v>14321</v>
      </c>
      <c r="K3775" s="367">
        <f t="shared" si="492"/>
        <v>10229.285714285714</v>
      </c>
      <c r="L3775">
        <v>0.67</v>
      </c>
      <c r="M3775">
        <v>5.5</v>
      </c>
      <c r="N3775">
        <v>25</v>
      </c>
      <c r="O3775">
        <v>8</v>
      </c>
      <c r="P3775" t="s">
        <v>513</v>
      </c>
      <c r="Q3775" s="97">
        <f t="shared" si="495"/>
        <v>90</v>
      </c>
      <c r="R3775" t="str">
        <f t="shared" si="496"/>
        <v/>
      </c>
    </row>
    <row r="3776" spans="3:18">
      <c r="C3776" t="str">
        <f t="shared" si="491"/>
        <v/>
      </c>
      <c r="D3776">
        <v>91</v>
      </c>
      <c r="E3776">
        <v>80</v>
      </c>
      <c r="F3776" s="366">
        <f t="shared" si="497"/>
        <v>1736</v>
      </c>
      <c r="G3776" s="97">
        <v>3574</v>
      </c>
      <c r="H3776" s="367">
        <f t="shared" si="493"/>
        <v>5310</v>
      </c>
      <c r="I3776" s="368">
        <f t="shared" si="494"/>
        <v>0</v>
      </c>
      <c r="J3776">
        <v>11121</v>
      </c>
      <c r="K3776" s="367">
        <f t="shared" si="492"/>
        <v>7943.5714285714284</v>
      </c>
      <c r="L3776">
        <v>0.21000000000000002</v>
      </c>
      <c r="M3776">
        <v>5.5</v>
      </c>
      <c r="N3776">
        <v>18</v>
      </c>
      <c r="O3776">
        <v>8</v>
      </c>
      <c r="P3776" t="s">
        <v>514</v>
      </c>
      <c r="Q3776" s="97">
        <f t="shared" si="495"/>
        <v>91</v>
      </c>
      <c r="R3776" t="str">
        <f t="shared" si="496"/>
        <v/>
      </c>
    </row>
    <row r="3777" spans="3:18">
      <c r="C3777" t="str">
        <f t="shared" si="491"/>
        <v/>
      </c>
      <c r="D3777">
        <v>92</v>
      </c>
      <c r="E3777">
        <v>85</v>
      </c>
      <c r="F3777" s="366">
        <f t="shared" si="497"/>
        <v>1844.5</v>
      </c>
      <c r="G3777" s="97">
        <v>3393</v>
      </c>
      <c r="H3777" s="367">
        <f t="shared" si="493"/>
        <v>5237.5</v>
      </c>
      <c r="I3777" s="368">
        <f t="shared" si="494"/>
        <v>0</v>
      </c>
      <c r="J3777">
        <v>10559</v>
      </c>
      <c r="K3777" s="367">
        <f t="shared" si="492"/>
        <v>7542.1428571428569</v>
      </c>
      <c r="L3777">
        <v>1.01</v>
      </c>
      <c r="M3777">
        <v>2.9</v>
      </c>
      <c r="N3777">
        <v>28</v>
      </c>
      <c r="O3777">
        <v>4</v>
      </c>
      <c r="P3777" t="s">
        <v>514</v>
      </c>
      <c r="Q3777" s="97" t="str">
        <f t="shared" si="495"/>
        <v/>
      </c>
      <c r="R3777" t="str">
        <f t="shared" si="496"/>
        <v/>
      </c>
    </row>
    <row r="3778" spans="3:18">
      <c r="C3778" t="str">
        <f t="shared" si="491"/>
        <v/>
      </c>
      <c r="D3778">
        <v>93</v>
      </c>
      <c r="E3778">
        <v>85</v>
      </c>
      <c r="F3778" s="366">
        <f t="shared" si="497"/>
        <v>1844.5</v>
      </c>
      <c r="G3778" s="97">
        <v>2990</v>
      </c>
      <c r="H3778" s="367">
        <f t="shared" si="493"/>
        <v>4834.5</v>
      </c>
      <c r="I3778" s="368">
        <f t="shared" si="494"/>
        <v>0</v>
      </c>
      <c r="J3778">
        <v>9303</v>
      </c>
      <c r="K3778" s="367">
        <f t="shared" si="492"/>
        <v>6645</v>
      </c>
      <c r="L3778">
        <v>0.34</v>
      </c>
      <c r="M3778">
        <v>2.9</v>
      </c>
      <c r="N3778">
        <v>23</v>
      </c>
      <c r="O3778">
        <v>4</v>
      </c>
      <c r="P3778" t="s">
        <v>515</v>
      </c>
      <c r="Q3778" s="97">
        <f t="shared" si="495"/>
        <v>93</v>
      </c>
      <c r="R3778" t="str">
        <f t="shared" si="496"/>
        <v/>
      </c>
    </row>
    <row r="3779" spans="3:18">
      <c r="C3779" t="str">
        <f t="shared" si="491"/>
        <v/>
      </c>
      <c r="D3779">
        <v>94</v>
      </c>
      <c r="E3779">
        <v>85</v>
      </c>
      <c r="F3779" s="366">
        <f t="shared" si="497"/>
        <v>1844.5</v>
      </c>
      <c r="G3779" s="97">
        <v>3630</v>
      </c>
      <c r="H3779" s="367">
        <f t="shared" si="493"/>
        <v>5474.5</v>
      </c>
      <c r="I3779" s="368">
        <f t="shared" si="494"/>
        <v>0</v>
      </c>
      <c r="J3779">
        <v>11293</v>
      </c>
      <c r="K3779" s="367">
        <f t="shared" si="492"/>
        <v>8066.4285714285716</v>
      </c>
      <c r="L3779">
        <v>0.41000000000000003</v>
      </c>
      <c r="M3779">
        <v>4.1999999999999993</v>
      </c>
      <c r="N3779">
        <v>23</v>
      </c>
      <c r="O3779">
        <v>6</v>
      </c>
      <c r="P3779" t="s">
        <v>514</v>
      </c>
      <c r="Q3779" s="97">
        <f t="shared" si="495"/>
        <v>94</v>
      </c>
      <c r="R3779" t="str">
        <f t="shared" si="496"/>
        <v/>
      </c>
    </row>
    <row r="3780" spans="3:18">
      <c r="C3780" t="str">
        <f t="shared" si="491"/>
        <v/>
      </c>
      <c r="D3780">
        <v>95</v>
      </c>
      <c r="E3780">
        <v>85</v>
      </c>
      <c r="F3780" s="366">
        <f t="shared" si="497"/>
        <v>1844.5</v>
      </c>
      <c r="G3780" s="97">
        <v>3178</v>
      </c>
      <c r="H3780" s="367">
        <f t="shared" si="493"/>
        <v>5022.5</v>
      </c>
      <c r="I3780" s="368">
        <f t="shared" si="494"/>
        <v>0</v>
      </c>
      <c r="J3780">
        <v>9887</v>
      </c>
      <c r="K3780" s="367">
        <f t="shared" si="492"/>
        <v>7062.1428571428569</v>
      </c>
      <c r="L3780">
        <v>0.16</v>
      </c>
      <c r="M3780">
        <v>4.1999999999999993</v>
      </c>
      <c r="N3780">
        <v>19</v>
      </c>
      <c r="O3780">
        <v>6</v>
      </c>
      <c r="P3780" t="s">
        <v>515</v>
      </c>
      <c r="Q3780" s="97">
        <f t="shared" si="495"/>
        <v>95</v>
      </c>
      <c r="R3780" t="str">
        <f t="shared" si="496"/>
        <v/>
      </c>
    </row>
    <row r="3781" spans="3:18">
      <c r="C3781" t="str">
        <f t="shared" si="491"/>
        <v/>
      </c>
      <c r="D3781">
        <v>96</v>
      </c>
      <c r="E3781">
        <v>85</v>
      </c>
      <c r="F3781" s="366">
        <f t="shared" si="497"/>
        <v>1844.5</v>
      </c>
      <c r="G3781" s="97">
        <v>4820</v>
      </c>
      <c r="H3781" s="367">
        <f t="shared" si="493"/>
        <v>6664.5</v>
      </c>
      <c r="I3781" s="368">
        <f t="shared" si="494"/>
        <v>0</v>
      </c>
      <c r="J3781">
        <v>14996</v>
      </c>
      <c r="K3781" s="367">
        <f t="shared" si="492"/>
        <v>10711.428571428572</v>
      </c>
      <c r="L3781">
        <v>0.76</v>
      </c>
      <c r="M3781">
        <v>5.5</v>
      </c>
      <c r="N3781">
        <v>25</v>
      </c>
      <c r="O3781">
        <v>8</v>
      </c>
      <c r="P3781" t="s">
        <v>513</v>
      </c>
      <c r="Q3781" s="97" t="str">
        <f t="shared" si="495"/>
        <v/>
      </c>
      <c r="R3781" t="str">
        <f t="shared" si="496"/>
        <v/>
      </c>
    </row>
    <row r="3782" spans="3:18">
      <c r="C3782" t="str">
        <f t="shared" si="491"/>
        <v/>
      </c>
      <c r="D3782">
        <v>97</v>
      </c>
      <c r="E3782">
        <v>85</v>
      </c>
      <c r="F3782" s="366">
        <f t="shared" si="497"/>
        <v>1844.5</v>
      </c>
      <c r="G3782" s="97">
        <v>3760</v>
      </c>
      <c r="H3782" s="367">
        <f t="shared" si="493"/>
        <v>5604.5</v>
      </c>
      <c r="I3782" s="368">
        <f t="shared" si="494"/>
        <v>0</v>
      </c>
      <c r="J3782">
        <v>11698</v>
      </c>
      <c r="K3782" s="367">
        <f t="shared" si="492"/>
        <v>8355.7142857142862</v>
      </c>
      <c r="L3782">
        <v>0.23</v>
      </c>
      <c r="M3782">
        <v>5.5</v>
      </c>
      <c r="N3782">
        <v>19</v>
      </c>
      <c r="O3782">
        <v>8</v>
      </c>
      <c r="P3782" t="s">
        <v>514</v>
      </c>
      <c r="Q3782" s="97">
        <f t="shared" si="495"/>
        <v>97</v>
      </c>
      <c r="R3782" t="str">
        <f t="shared" si="496"/>
        <v/>
      </c>
    </row>
    <row r="3783" spans="3:18">
      <c r="C3783" t="str">
        <f t="shared" si="491"/>
        <v/>
      </c>
      <c r="D3783">
        <v>98</v>
      </c>
      <c r="E3783">
        <v>90</v>
      </c>
      <c r="F3783" s="366">
        <f t="shared" si="497"/>
        <v>1953</v>
      </c>
      <c r="G3783" s="97">
        <v>3129</v>
      </c>
      <c r="H3783" s="367">
        <f t="shared" si="493"/>
        <v>5082</v>
      </c>
      <c r="I3783" s="368">
        <f t="shared" si="494"/>
        <v>0</v>
      </c>
      <c r="J3783">
        <v>9734</v>
      </c>
      <c r="K3783" s="367">
        <f t="shared" si="492"/>
        <v>6952.8571428571431</v>
      </c>
      <c r="L3783">
        <v>0.38</v>
      </c>
      <c r="M3783">
        <v>2.9</v>
      </c>
      <c r="N3783">
        <v>24</v>
      </c>
      <c r="O3783">
        <v>4</v>
      </c>
      <c r="P3783" t="s">
        <v>515</v>
      </c>
      <c r="Q3783" s="97">
        <f t="shared" si="495"/>
        <v>98</v>
      </c>
      <c r="R3783" t="str">
        <f t="shared" si="496"/>
        <v/>
      </c>
    </row>
    <row r="3784" spans="3:18">
      <c r="C3784" t="str">
        <f t="shared" si="491"/>
        <v/>
      </c>
      <c r="D3784">
        <v>99</v>
      </c>
      <c r="E3784">
        <v>90</v>
      </c>
      <c r="F3784" s="366">
        <f t="shared" si="497"/>
        <v>1953</v>
      </c>
      <c r="G3784" s="97">
        <v>3805</v>
      </c>
      <c r="H3784" s="367">
        <f t="shared" si="493"/>
        <v>5758</v>
      </c>
      <c r="I3784" s="368">
        <f t="shared" si="494"/>
        <v>0</v>
      </c>
      <c r="J3784">
        <v>11839</v>
      </c>
      <c r="K3784" s="367">
        <f t="shared" si="492"/>
        <v>8456.4285714285725</v>
      </c>
      <c r="L3784">
        <v>0.46</v>
      </c>
      <c r="M3784">
        <v>4.1999999999999993</v>
      </c>
      <c r="N3784">
        <v>23</v>
      </c>
      <c r="O3784">
        <v>6</v>
      </c>
      <c r="P3784" t="s">
        <v>514</v>
      </c>
      <c r="Q3784" s="97">
        <f t="shared" si="495"/>
        <v>99</v>
      </c>
      <c r="R3784" t="str">
        <f t="shared" si="496"/>
        <v/>
      </c>
    </row>
    <row r="3785" spans="3:18">
      <c r="C3785" t="str">
        <f t="shared" si="491"/>
        <v/>
      </c>
      <c r="D3785">
        <v>100</v>
      </c>
      <c r="E3785">
        <v>90</v>
      </c>
      <c r="F3785" s="366">
        <f t="shared" si="497"/>
        <v>1953</v>
      </c>
      <c r="G3785" s="97">
        <v>3337</v>
      </c>
      <c r="H3785" s="367">
        <f t="shared" si="493"/>
        <v>5290</v>
      </c>
      <c r="I3785" s="368">
        <f t="shared" si="494"/>
        <v>0</v>
      </c>
      <c r="J3785">
        <v>10383</v>
      </c>
      <c r="K3785" s="367">
        <f t="shared" si="492"/>
        <v>7416.4285714285716</v>
      </c>
      <c r="L3785">
        <v>0.18000000000000002</v>
      </c>
      <c r="M3785">
        <v>4.1999999999999993</v>
      </c>
      <c r="N3785">
        <v>20</v>
      </c>
      <c r="O3785">
        <v>6</v>
      </c>
      <c r="P3785" t="s">
        <v>515</v>
      </c>
      <c r="Q3785" s="97">
        <f t="shared" si="495"/>
        <v>100</v>
      </c>
      <c r="R3785" t="str">
        <f t="shared" si="496"/>
        <v/>
      </c>
    </row>
    <row r="3786" spans="3:18">
      <c r="C3786" t="str">
        <f t="shared" si="491"/>
        <v/>
      </c>
      <c r="D3786">
        <v>101</v>
      </c>
      <c r="E3786">
        <v>90</v>
      </c>
      <c r="F3786" s="366">
        <f t="shared" si="497"/>
        <v>1953</v>
      </c>
      <c r="G3786" s="97">
        <v>5036</v>
      </c>
      <c r="H3786" s="367">
        <f t="shared" si="493"/>
        <v>6989</v>
      </c>
      <c r="I3786" s="368">
        <f t="shared" si="494"/>
        <v>0</v>
      </c>
      <c r="J3786">
        <v>15670</v>
      </c>
      <c r="K3786" s="367">
        <f t="shared" si="492"/>
        <v>11192.857142857143</v>
      </c>
      <c r="L3786">
        <v>0.85</v>
      </c>
      <c r="M3786">
        <v>5.5</v>
      </c>
      <c r="N3786">
        <v>26</v>
      </c>
      <c r="O3786">
        <v>8</v>
      </c>
      <c r="P3786" t="s">
        <v>513</v>
      </c>
      <c r="Q3786" s="97" t="str">
        <f t="shared" si="495"/>
        <v/>
      </c>
      <c r="R3786" t="str">
        <f t="shared" si="496"/>
        <v/>
      </c>
    </row>
    <row r="3787" spans="3:18">
      <c r="C3787" t="str">
        <f t="shared" si="491"/>
        <v/>
      </c>
      <c r="D3787">
        <v>102</v>
      </c>
      <c r="E3787">
        <v>90</v>
      </c>
      <c r="F3787" s="366">
        <f t="shared" si="497"/>
        <v>1953</v>
      </c>
      <c r="G3787" s="97">
        <v>3942</v>
      </c>
      <c r="H3787" s="367">
        <f t="shared" si="493"/>
        <v>5895</v>
      </c>
      <c r="I3787" s="368">
        <f t="shared" si="494"/>
        <v>0</v>
      </c>
      <c r="J3787">
        <v>12264</v>
      </c>
      <c r="K3787" s="367">
        <f t="shared" si="492"/>
        <v>8760</v>
      </c>
      <c r="L3787">
        <v>0.26</v>
      </c>
      <c r="M3787">
        <v>5.5</v>
      </c>
      <c r="N3787">
        <v>20</v>
      </c>
      <c r="O3787">
        <v>8</v>
      </c>
      <c r="P3787" t="s">
        <v>514</v>
      </c>
      <c r="Q3787" s="97">
        <f t="shared" si="495"/>
        <v>102</v>
      </c>
      <c r="R3787" t="str">
        <f t="shared" si="496"/>
        <v/>
      </c>
    </row>
    <row r="3788" spans="3:18">
      <c r="C3788" t="str">
        <f t="shared" si="491"/>
        <v/>
      </c>
      <c r="D3788">
        <v>103</v>
      </c>
      <c r="E3788">
        <v>95</v>
      </c>
      <c r="F3788" s="366">
        <f t="shared" si="497"/>
        <v>2061.5</v>
      </c>
      <c r="G3788" s="97">
        <v>3267</v>
      </c>
      <c r="H3788" s="367">
        <f t="shared" si="493"/>
        <v>5328.5</v>
      </c>
      <c r="I3788" s="368">
        <f t="shared" si="494"/>
        <v>0</v>
      </c>
      <c r="J3788">
        <v>10166</v>
      </c>
      <c r="K3788" s="367">
        <f t="shared" si="492"/>
        <v>7261.4285714285716</v>
      </c>
      <c r="L3788">
        <v>0.43</v>
      </c>
      <c r="M3788">
        <v>2.9</v>
      </c>
      <c r="N3788">
        <v>25</v>
      </c>
      <c r="O3788">
        <v>4</v>
      </c>
      <c r="P3788" t="s">
        <v>515</v>
      </c>
      <c r="Q3788" s="97">
        <f t="shared" si="495"/>
        <v>103</v>
      </c>
      <c r="R3788" t="str">
        <f t="shared" si="496"/>
        <v/>
      </c>
    </row>
    <row r="3789" spans="3:18">
      <c r="C3789" t="str">
        <f t="shared" si="491"/>
        <v/>
      </c>
      <c r="D3789">
        <v>104</v>
      </c>
      <c r="E3789">
        <v>95</v>
      </c>
      <c r="F3789" s="366">
        <f t="shared" si="497"/>
        <v>2061.5</v>
      </c>
      <c r="G3789" s="97">
        <v>3977</v>
      </c>
      <c r="H3789" s="367">
        <f t="shared" si="493"/>
        <v>6038.5</v>
      </c>
      <c r="I3789" s="368">
        <f t="shared" si="494"/>
        <v>0</v>
      </c>
      <c r="J3789">
        <v>12374</v>
      </c>
      <c r="K3789" s="367">
        <f t="shared" si="492"/>
        <v>8838.5714285714294</v>
      </c>
      <c r="L3789">
        <v>0.51</v>
      </c>
      <c r="M3789">
        <v>4.1999999999999993</v>
      </c>
      <c r="N3789">
        <v>24</v>
      </c>
      <c r="O3789">
        <v>6</v>
      </c>
      <c r="P3789" t="s">
        <v>514</v>
      </c>
      <c r="Q3789" s="97">
        <f t="shared" si="495"/>
        <v>104</v>
      </c>
      <c r="R3789" t="str">
        <f t="shared" si="496"/>
        <v/>
      </c>
    </row>
    <row r="3790" spans="3:18">
      <c r="C3790" t="str">
        <f t="shared" si="491"/>
        <v/>
      </c>
      <c r="D3790">
        <v>105</v>
      </c>
      <c r="E3790">
        <v>95</v>
      </c>
      <c r="F3790" s="366">
        <f t="shared" si="497"/>
        <v>2061.5</v>
      </c>
      <c r="G3790" s="97">
        <v>3487</v>
      </c>
      <c r="H3790" s="367">
        <f t="shared" si="493"/>
        <v>5548.5</v>
      </c>
      <c r="I3790" s="368">
        <f t="shared" si="494"/>
        <v>0</v>
      </c>
      <c r="J3790">
        <v>10848</v>
      </c>
      <c r="K3790" s="367">
        <f t="shared" si="492"/>
        <v>7748.5714285714284</v>
      </c>
      <c r="L3790">
        <v>0.2</v>
      </c>
      <c r="M3790">
        <v>4.1999999999999993</v>
      </c>
      <c r="N3790">
        <v>20</v>
      </c>
      <c r="O3790">
        <v>6</v>
      </c>
      <c r="P3790" t="s">
        <v>515</v>
      </c>
      <c r="Q3790" s="97">
        <f t="shared" si="495"/>
        <v>105</v>
      </c>
      <c r="R3790" t="str">
        <f t="shared" si="496"/>
        <v/>
      </c>
    </row>
    <row r="3791" spans="3:18">
      <c r="C3791" t="str">
        <f t="shared" si="491"/>
        <v/>
      </c>
      <c r="D3791">
        <v>106</v>
      </c>
      <c r="E3791">
        <v>95</v>
      </c>
      <c r="F3791" s="366">
        <f t="shared" si="497"/>
        <v>2061.5</v>
      </c>
      <c r="G3791" s="97">
        <v>5244</v>
      </c>
      <c r="H3791" s="367">
        <f t="shared" si="493"/>
        <v>7305.5</v>
      </c>
      <c r="I3791" s="368">
        <f t="shared" si="494"/>
        <v>0</v>
      </c>
      <c r="J3791">
        <v>16315</v>
      </c>
      <c r="K3791" s="367">
        <f t="shared" si="492"/>
        <v>11653.571428571429</v>
      </c>
      <c r="L3791">
        <v>0.94000000000000006</v>
      </c>
      <c r="M3791">
        <v>5.5</v>
      </c>
      <c r="N3791">
        <v>27</v>
      </c>
      <c r="O3791">
        <v>8</v>
      </c>
      <c r="P3791" t="s">
        <v>513</v>
      </c>
      <c r="Q3791" s="97" t="str">
        <f t="shared" si="495"/>
        <v/>
      </c>
      <c r="R3791" t="str">
        <f t="shared" si="496"/>
        <v/>
      </c>
    </row>
    <row r="3792" spans="3:18">
      <c r="C3792" t="str">
        <f t="shared" si="491"/>
        <v/>
      </c>
      <c r="D3792">
        <v>107</v>
      </c>
      <c r="E3792">
        <v>95</v>
      </c>
      <c r="F3792" s="366">
        <f t="shared" si="497"/>
        <v>2061.5</v>
      </c>
      <c r="G3792" s="97">
        <v>4124</v>
      </c>
      <c r="H3792" s="367">
        <f t="shared" si="493"/>
        <v>6185.5</v>
      </c>
      <c r="I3792" s="368">
        <f t="shared" si="494"/>
        <v>0</v>
      </c>
      <c r="J3792">
        <v>12830</v>
      </c>
      <c r="K3792" s="367">
        <f t="shared" si="492"/>
        <v>9164.2857142857138</v>
      </c>
      <c r="L3792">
        <v>0.29000000000000004</v>
      </c>
      <c r="M3792">
        <v>5.5</v>
      </c>
      <c r="N3792">
        <v>21</v>
      </c>
      <c r="O3792">
        <v>8</v>
      </c>
      <c r="P3792" t="s">
        <v>514</v>
      </c>
      <c r="Q3792" s="97">
        <f t="shared" si="495"/>
        <v>107</v>
      </c>
      <c r="R3792" t="str">
        <f t="shared" si="496"/>
        <v/>
      </c>
    </row>
    <row r="3793" spans="3:18">
      <c r="C3793" t="str">
        <f t="shared" si="491"/>
        <v/>
      </c>
      <c r="D3793">
        <v>108</v>
      </c>
      <c r="E3793">
        <v>100</v>
      </c>
      <c r="F3793" s="366">
        <f t="shared" si="497"/>
        <v>2170</v>
      </c>
      <c r="G3793" s="97">
        <v>3399</v>
      </c>
      <c r="H3793" s="367">
        <f t="shared" si="493"/>
        <v>5569</v>
      </c>
      <c r="I3793" s="368">
        <f t="shared" si="494"/>
        <v>0</v>
      </c>
      <c r="J3793">
        <v>10576</v>
      </c>
      <c r="K3793" s="367">
        <f t="shared" si="492"/>
        <v>7554.2857142857147</v>
      </c>
      <c r="L3793">
        <v>0.47000000000000003</v>
      </c>
      <c r="M3793">
        <v>2.9</v>
      </c>
      <c r="N3793">
        <v>25</v>
      </c>
      <c r="O3793">
        <v>4</v>
      </c>
      <c r="P3793" t="s">
        <v>515</v>
      </c>
      <c r="Q3793" s="97">
        <f t="shared" si="495"/>
        <v>108</v>
      </c>
      <c r="R3793" t="str">
        <f t="shared" si="496"/>
        <v/>
      </c>
    </row>
    <row r="3794" spans="3:18">
      <c r="C3794" t="str">
        <f t="shared" si="491"/>
        <v/>
      </c>
      <c r="D3794">
        <v>109</v>
      </c>
      <c r="E3794">
        <v>100</v>
      </c>
      <c r="F3794" s="366">
        <f t="shared" si="497"/>
        <v>2170</v>
      </c>
      <c r="G3794" s="97">
        <v>4141</v>
      </c>
      <c r="H3794" s="367">
        <f t="shared" si="493"/>
        <v>6311</v>
      </c>
      <c r="I3794" s="368">
        <f t="shared" si="494"/>
        <v>0</v>
      </c>
      <c r="J3794">
        <v>12885</v>
      </c>
      <c r="K3794" s="367">
        <f t="shared" si="492"/>
        <v>9203.5714285714294</v>
      </c>
      <c r="L3794">
        <v>0.57000000000000006</v>
      </c>
      <c r="M3794">
        <v>4.1999999999999993</v>
      </c>
      <c r="N3794">
        <v>25</v>
      </c>
      <c r="O3794">
        <v>6</v>
      </c>
      <c r="P3794" t="s">
        <v>514</v>
      </c>
      <c r="Q3794" s="97">
        <f t="shared" si="495"/>
        <v>109</v>
      </c>
      <c r="R3794" t="str">
        <f t="shared" si="496"/>
        <v/>
      </c>
    </row>
    <row r="3795" spans="3:18">
      <c r="C3795" t="str">
        <f t="shared" si="491"/>
        <v/>
      </c>
      <c r="D3795">
        <v>110</v>
      </c>
      <c r="E3795">
        <v>100</v>
      </c>
      <c r="F3795" s="366">
        <f t="shared" si="497"/>
        <v>2170</v>
      </c>
      <c r="G3795" s="97">
        <v>3636</v>
      </c>
      <c r="H3795" s="367">
        <f t="shared" si="493"/>
        <v>5806</v>
      </c>
      <c r="I3795" s="368">
        <f t="shared" si="494"/>
        <v>0</v>
      </c>
      <c r="J3795">
        <v>11313</v>
      </c>
      <c r="K3795" s="367">
        <f t="shared" si="492"/>
        <v>8080.7142857142862</v>
      </c>
      <c r="L3795">
        <v>0.22</v>
      </c>
      <c r="M3795">
        <v>4.1999999999999993</v>
      </c>
      <c r="N3795">
        <v>21</v>
      </c>
      <c r="O3795">
        <v>6</v>
      </c>
      <c r="P3795" t="s">
        <v>515</v>
      </c>
      <c r="Q3795" s="97">
        <f t="shared" si="495"/>
        <v>110</v>
      </c>
      <c r="R3795" t="str">
        <f t="shared" si="496"/>
        <v/>
      </c>
    </row>
    <row r="3796" spans="3:18">
      <c r="C3796" t="str">
        <f t="shared" si="491"/>
        <v/>
      </c>
      <c r="D3796">
        <v>111</v>
      </c>
      <c r="E3796">
        <v>100</v>
      </c>
      <c r="F3796" s="366">
        <f t="shared" si="497"/>
        <v>2170</v>
      </c>
      <c r="G3796" s="97">
        <v>5450</v>
      </c>
      <c r="H3796" s="367">
        <f t="shared" si="493"/>
        <v>7620</v>
      </c>
      <c r="I3796" s="368">
        <f t="shared" si="494"/>
        <v>0</v>
      </c>
      <c r="J3796">
        <v>16957</v>
      </c>
      <c r="K3796" s="367">
        <f t="shared" si="492"/>
        <v>12112.142857142857</v>
      </c>
      <c r="L3796">
        <v>1.05</v>
      </c>
      <c r="M3796">
        <v>5.5</v>
      </c>
      <c r="N3796">
        <v>27</v>
      </c>
      <c r="O3796">
        <v>8</v>
      </c>
      <c r="P3796" t="s">
        <v>513</v>
      </c>
      <c r="Q3796" s="97" t="str">
        <f t="shared" si="495"/>
        <v/>
      </c>
      <c r="R3796" t="str">
        <f t="shared" si="496"/>
        <v/>
      </c>
    </row>
    <row r="3797" spans="3:18">
      <c r="C3797" t="str">
        <f t="shared" si="491"/>
        <v/>
      </c>
      <c r="D3797">
        <v>112</v>
      </c>
      <c r="E3797">
        <v>100</v>
      </c>
      <c r="F3797" s="366">
        <f t="shared" si="497"/>
        <v>2170</v>
      </c>
      <c r="G3797" s="97">
        <v>4306</v>
      </c>
      <c r="H3797" s="367">
        <f t="shared" si="493"/>
        <v>6476</v>
      </c>
      <c r="I3797" s="368">
        <f t="shared" si="494"/>
        <v>0</v>
      </c>
      <c r="J3797">
        <v>13397</v>
      </c>
      <c r="K3797" s="367">
        <f t="shared" si="492"/>
        <v>9569.2857142857138</v>
      </c>
      <c r="L3797">
        <v>0.32</v>
      </c>
      <c r="M3797">
        <v>5.5</v>
      </c>
      <c r="N3797">
        <v>21</v>
      </c>
      <c r="O3797">
        <v>8</v>
      </c>
      <c r="P3797" t="s">
        <v>514</v>
      </c>
      <c r="Q3797" s="97">
        <f t="shared" si="495"/>
        <v>112</v>
      </c>
      <c r="R3797" t="str">
        <f t="shared" si="496"/>
        <v/>
      </c>
    </row>
    <row r="3798" spans="3:18">
      <c r="C3798" t="str">
        <f t="shared" ref="C3798:C3861" si="498">IF(OR($O$4=0,O3798-$O$4=0),IF(AND(ISEVEN(O3798)=FALSE,$N$4="Even"),"NL",""),"NL")</f>
        <v/>
      </c>
      <c r="D3798">
        <v>113</v>
      </c>
      <c r="E3798">
        <v>105</v>
      </c>
      <c r="F3798" s="366">
        <f t="shared" si="497"/>
        <v>2278.5</v>
      </c>
      <c r="G3798" s="97">
        <v>3531</v>
      </c>
      <c r="H3798" s="367">
        <f t="shared" si="493"/>
        <v>5809.5</v>
      </c>
      <c r="I3798" s="368">
        <f t="shared" si="494"/>
        <v>0</v>
      </c>
      <c r="J3798">
        <v>10986</v>
      </c>
      <c r="K3798" s="367">
        <f t="shared" ref="K3798:K3861" si="499">(J3798*$V$7)-I3798</f>
        <v>7847.1428571428569</v>
      </c>
      <c r="L3798">
        <v>0.52</v>
      </c>
      <c r="M3798">
        <v>2.9</v>
      </c>
      <c r="N3798">
        <v>26</v>
      </c>
      <c r="O3798">
        <v>4</v>
      </c>
      <c r="P3798" t="s">
        <v>515</v>
      </c>
      <c r="Q3798" s="97">
        <f t="shared" si="495"/>
        <v>113</v>
      </c>
      <c r="R3798" t="str">
        <f t="shared" si="496"/>
        <v/>
      </c>
    </row>
    <row r="3799" spans="3:18">
      <c r="C3799" t="str">
        <f t="shared" si="498"/>
        <v/>
      </c>
      <c r="D3799">
        <v>114</v>
      </c>
      <c r="E3799">
        <v>105</v>
      </c>
      <c r="F3799" s="366">
        <f t="shared" si="497"/>
        <v>2278.5</v>
      </c>
      <c r="G3799" s="97">
        <v>4306</v>
      </c>
      <c r="H3799" s="367">
        <f t="shared" si="493"/>
        <v>6584.5</v>
      </c>
      <c r="I3799" s="368">
        <f t="shared" si="494"/>
        <v>0</v>
      </c>
      <c r="J3799">
        <v>13396</v>
      </c>
      <c r="K3799" s="367">
        <f t="shared" si="499"/>
        <v>9568.5714285714294</v>
      </c>
      <c r="L3799">
        <v>0.63</v>
      </c>
      <c r="M3799">
        <v>4.1999999999999993</v>
      </c>
      <c r="N3799">
        <v>25</v>
      </c>
      <c r="O3799">
        <v>6</v>
      </c>
      <c r="P3799" t="s">
        <v>514</v>
      </c>
      <c r="Q3799" s="97">
        <f t="shared" si="495"/>
        <v>114</v>
      </c>
      <c r="R3799" t="str">
        <f t="shared" si="496"/>
        <v/>
      </c>
    </row>
    <row r="3800" spans="3:18">
      <c r="C3800" t="str">
        <f t="shared" si="498"/>
        <v/>
      </c>
      <c r="D3800">
        <v>115</v>
      </c>
      <c r="E3800">
        <v>105</v>
      </c>
      <c r="F3800" s="366">
        <f t="shared" si="497"/>
        <v>2278.5</v>
      </c>
      <c r="G3800" s="97">
        <v>3786</v>
      </c>
      <c r="H3800" s="367">
        <f t="shared" si="493"/>
        <v>6064.5</v>
      </c>
      <c r="I3800" s="368">
        <f t="shared" si="494"/>
        <v>0</v>
      </c>
      <c r="J3800">
        <v>11778</v>
      </c>
      <c r="K3800" s="367">
        <f t="shared" si="499"/>
        <v>8412.8571428571431</v>
      </c>
      <c r="L3800">
        <v>0.24000000000000002</v>
      </c>
      <c r="M3800">
        <v>4.1999999999999993</v>
      </c>
      <c r="N3800">
        <v>22</v>
      </c>
      <c r="O3800">
        <v>6</v>
      </c>
      <c r="P3800" t="s">
        <v>515</v>
      </c>
      <c r="Q3800" s="97">
        <f t="shared" si="495"/>
        <v>115</v>
      </c>
      <c r="R3800" t="str">
        <f t="shared" si="496"/>
        <v/>
      </c>
    </row>
    <row r="3801" spans="3:18">
      <c r="C3801" t="str">
        <f t="shared" si="498"/>
        <v/>
      </c>
      <c r="D3801">
        <v>116</v>
      </c>
      <c r="E3801">
        <v>105</v>
      </c>
      <c r="F3801" s="366">
        <f t="shared" si="497"/>
        <v>2278.5</v>
      </c>
      <c r="G3801" s="97">
        <v>4486</v>
      </c>
      <c r="H3801" s="367">
        <f t="shared" si="493"/>
        <v>6764.5</v>
      </c>
      <c r="I3801" s="368">
        <f t="shared" si="494"/>
        <v>0</v>
      </c>
      <c r="J3801">
        <v>13958</v>
      </c>
      <c r="K3801" s="367">
        <f t="shared" si="499"/>
        <v>9970</v>
      </c>
      <c r="L3801">
        <v>0.35000000000000003</v>
      </c>
      <c r="M3801">
        <v>5.5</v>
      </c>
      <c r="N3801">
        <v>22</v>
      </c>
      <c r="O3801">
        <v>8</v>
      </c>
      <c r="P3801" t="s">
        <v>514</v>
      </c>
      <c r="Q3801" s="97">
        <f t="shared" si="495"/>
        <v>116</v>
      </c>
      <c r="R3801" t="str">
        <f t="shared" si="496"/>
        <v/>
      </c>
    </row>
    <row r="3802" spans="3:18">
      <c r="C3802" t="str">
        <f t="shared" si="498"/>
        <v/>
      </c>
      <c r="D3802">
        <v>117</v>
      </c>
      <c r="E3802">
        <v>110</v>
      </c>
      <c r="F3802" s="366">
        <f t="shared" si="497"/>
        <v>2387</v>
      </c>
      <c r="G3802" s="97">
        <v>3660</v>
      </c>
      <c r="H3802" s="367">
        <f t="shared" si="493"/>
        <v>6047</v>
      </c>
      <c r="I3802" s="368">
        <f t="shared" si="494"/>
        <v>0</v>
      </c>
      <c r="J3802">
        <v>11388</v>
      </c>
      <c r="K3802" s="367">
        <f t="shared" si="499"/>
        <v>8134.2857142857147</v>
      </c>
      <c r="L3802">
        <v>0.57000000000000006</v>
      </c>
      <c r="M3802">
        <v>2.9</v>
      </c>
      <c r="N3802">
        <v>27</v>
      </c>
      <c r="O3802">
        <v>4</v>
      </c>
      <c r="P3802" t="s">
        <v>515</v>
      </c>
      <c r="Q3802" s="97">
        <f t="shared" si="495"/>
        <v>117</v>
      </c>
      <c r="R3802" t="str">
        <f t="shared" si="496"/>
        <v/>
      </c>
    </row>
    <row r="3803" spans="3:18">
      <c r="C3803" t="str">
        <f t="shared" si="498"/>
        <v/>
      </c>
      <c r="D3803">
        <v>118</v>
      </c>
      <c r="E3803">
        <v>110</v>
      </c>
      <c r="F3803" s="366">
        <f t="shared" si="497"/>
        <v>2387</v>
      </c>
      <c r="G3803" s="97">
        <v>4470</v>
      </c>
      <c r="H3803" s="367">
        <f t="shared" si="493"/>
        <v>6857</v>
      </c>
      <c r="I3803" s="368">
        <f t="shared" si="494"/>
        <v>0</v>
      </c>
      <c r="J3803">
        <v>13908</v>
      </c>
      <c r="K3803" s="367">
        <f t="shared" si="499"/>
        <v>9934.2857142857138</v>
      </c>
      <c r="L3803">
        <v>0.69000000000000006</v>
      </c>
      <c r="M3803">
        <v>4.1999999999999993</v>
      </c>
      <c r="N3803">
        <v>26</v>
      </c>
      <c r="O3803">
        <v>6</v>
      </c>
      <c r="P3803" t="s">
        <v>514</v>
      </c>
      <c r="Q3803" s="97">
        <f t="shared" si="495"/>
        <v>118</v>
      </c>
      <c r="R3803" t="str">
        <f t="shared" si="496"/>
        <v/>
      </c>
    </row>
    <row r="3804" spans="3:18">
      <c r="C3804" t="str">
        <f t="shared" si="498"/>
        <v/>
      </c>
      <c r="D3804">
        <v>119</v>
      </c>
      <c r="E3804">
        <v>110</v>
      </c>
      <c r="F3804" s="366">
        <f t="shared" si="497"/>
        <v>2387</v>
      </c>
      <c r="G3804" s="97">
        <v>3934</v>
      </c>
      <c r="H3804" s="367">
        <f t="shared" si="493"/>
        <v>6321</v>
      </c>
      <c r="I3804" s="368">
        <f t="shared" si="494"/>
        <v>0</v>
      </c>
      <c r="J3804">
        <v>12241</v>
      </c>
      <c r="K3804" s="367">
        <f t="shared" si="499"/>
        <v>8743.5714285714294</v>
      </c>
      <c r="L3804">
        <v>0.26</v>
      </c>
      <c r="M3804">
        <v>4.1999999999999993</v>
      </c>
      <c r="N3804">
        <v>22</v>
      </c>
      <c r="O3804">
        <v>6</v>
      </c>
      <c r="P3804" t="s">
        <v>515</v>
      </c>
      <c r="Q3804" s="97">
        <f t="shared" si="495"/>
        <v>119</v>
      </c>
      <c r="R3804" t="str">
        <f t="shared" si="496"/>
        <v/>
      </c>
    </row>
    <row r="3805" spans="3:18">
      <c r="C3805" t="str">
        <f t="shared" si="498"/>
        <v/>
      </c>
      <c r="D3805">
        <v>120</v>
      </c>
      <c r="E3805">
        <v>110</v>
      </c>
      <c r="F3805" s="366">
        <f t="shared" si="497"/>
        <v>2387</v>
      </c>
      <c r="G3805" s="97">
        <v>4658</v>
      </c>
      <c r="H3805" s="367">
        <f t="shared" si="493"/>
        <v>7045</v>
      </c>
      <c r="I3805" s="368">
        <f t="shared" si="494"/>
        <v>0</v>
      </c>
      <c r="J3805">
        <v>14494</v>
      </c>
      <c r="K3805" s="367">
        <f t="shared" si="499"/>
        <v>10352.857142857143</v>
      </c>
      <c r="L3805">
        <v>0.39</v>
      </c>
      <c r="M3805">
        <v>5.5</v>
      </c>
      <c r="N3805">
        <v>22</v>
      </c>
      <c r="O3805">
        <v>8</v>
      </c>
      <c r="P3805" t="s">
        <v>514</v>
      </c>
      <c r="Q3805" s="97">
        <f t="shared" si="495"/>
        <v>120</v>
      </c>
      <c r="R3805" t="str">
        <f t="shared" si="496"/>
        <v/>
      </c>
    </row>
    <row r="3806" spans="3:18">
      <c r="C3806" t="str">
        <f t="shared" si="498"/>
        <v/>
      </c>
      <c r="D3806">
        <v>121</v>
      </c>
      <c r="E3806">
        <v>115</v>
      </c>
      <c r="F3806" s="366">
        <f t="shared" si="497"/>
        <v>2495.5</v>
      </c>
      <c r="G3806" s="97">
        <v>3785</v>
      </c>
      <c r="H3806" s="367">
        <f t="shared" si="493"/>
        <v>6280.5</v>
      </c>
      <c r="I3806" s="368">
        <f t="shared" si="494"/>
        <v>0</v>
      </c>
      <c r="J3806">
        <v>11777</v>
      </c>
      <c r="K3806" s="367">
        <f t="shared" si="499"/>
        <v>8412.1428571428569</v>
      </c>
      <c r="L3806">
        <v>0.6</v>
      </c>
      <c r="M3806">
        <v>2.9</v>
      </c>
      <c r="N3806">
        <v>27</v>
      </c>
      <c r="O3806">
        <v>4</v>
      </c>
      <c r="P3806" t="s">
        <v>515</v>
      </c>
      <c r="Q3806" s="97">
        <f t="shared" si="495"/>
        <v>121</v>
      </c>
      <c r="R3806" t="str">
        <f t="shared" si="496"/>
        <v/>
      </c>
    </row>
    <row r="3807" spans="3:18">
      <c r="C3807" t="str">
        <f t="shared" si="498"/>
        <v/>
      </c>
      <c r="D3807">
        <v>122</v>
      </c>
      <c r="E3807">
        <v>115</v>
      </c>
      <c r="F3807" s="366">
        <f t="shared" si="497"/>
        <v>2495.5</v>
      </c>
      <c r="G3807" s="97">
        <v>4625</v>
      </c>
      <c r="H3807" s="367">
        <f t="shared" si="493"/>
        <v>7120.5</v>
      </c>
      <c r="I3807" s="368">
        <f t="shared" si="494"/>
        <v>0</v>
      </c>
      <c r="J3807">
        <v>14390</v>
      </c>
      <c r="K3807" s="367">
        <f t="shared" si="499"/>
        <v>10278.571428571429</v>
      </c>
      <c r="L3807">
        <v>0.73</v>
      </c>
      <c r="M3807">
        <v>4.1999999999999993</v>
      </c>
      <c r="N3807">
        <v>26</v>
      </c>
      <c r="O3807">
        <v>6</v>
      </c>
      <c r="P3807" t="s">
        <v>514</v>
      </c>
      <c r="Q3807" s="97" t="str">
        <f t="shared" si="495"/>
        <v/>
      </c>
      <c r="R3807" t="str">
        <f t="shared" si="496"/>
        <v/>
      </c>
    </row>
    <row r="3808" spans="3:18">
      <c r="C3808" t="str">
        <f t="shared" si="498"/>
        <v/>
      </c>
      <c r="D3808">
        <v>123</v>
      </c>
      <c r="E3808">
        <v>115</v>
      </c>
      <c r="F3808" s="366">
        <f t="shared" si="497"/>
        <v>2495.5</v>
      </c>
      <c r="G3808" s="97">
        <v>4074</v>
      </c>
      <c r="H3808" s="367">
        <f t="shared" si="493"/>
        <v>6569.5</v>
      </c>
      <c r="I3808" s="368">
        <f t="shared" si="494"/>
        <v>0</v>
      </c>
      <c r="J3808">
        <v>12677</v>
      </c>
      <c r="K3808" s="367">
        <f t="shared" si="499"/>
        <v>9055</v>
      </c>
      <c r="L3808">
        <v>0.26</v>
      </c>
      <c r="M3808">
        <v>4.1999999999999993</v>
      </c>
      <c r="N3808">
        <v>23</v>
      </c>
      <c r="O3808">
        <v>6</v>
      </c>
      <c r="P3808" t="s">
        <v>515</v>
      </c>
      <c r="Q3808" s="97">
        <f t="shared" si="495"/>
        <v>123</v>
      </c>
      <c r="R3808" t="str">
        <f t="shared" si="496"/>
        <v/>
      </c>
    </row>
    <row r="3809" spans="3:18">
      <c r="C3809" t="str">
        <f t="shared" si="498"/>
        <v/>
      </c>
      <c r="D3809">
        <v>124</v>
      </c>
      <c r="E3809">
        <v>115</v>
      </c>
      <c r="F3809" s="366">
        <f t="shared" si="497"/>
        <v>2495.5</v>
      </c>
      <c r="G3809" s="97">
        <v>4831</v>
      </c>
      <c r="H3809" s="367">
        <f t="shared" si="493"/>
        <v>7326.5</v>
      </c>
      <c r="I3809" s="368">
        <f t="shared" si="494"/>
        <v>0</v>
      </c>
      <c r="J3809">
        <v>15030</v>
      </c>
      <c r="K3809" s="367">
        <f t="shared" si="499"/>
        <v>10735.714285714286</v>
      </c>
      <c r="L3809">
        <v>0.4</v>
      </c>
      <c r="M3809">
        <v>5.5</v>
      </c>
      <c r="N3809">
        <v>23</v>
      </c>
      <c r="O3809">
        <v>8</v>
      </c>
      <c r="P3809" t="s">
        <v>514</v>
      </c>
      <c r="Q3809" s="97">
        <f t="shared" si="495"/>
        <v>124</v>
      </c>
      <c r="R3809" t="str">
        <f t="shared" si="496"/>
        <v/>
      </c>
    </row>
    <row r="3810" spans="3:18">
      <c r="C3810" t="str">
        <f t="shared" si="498"/>
        <v/>
      </c>
      <c r="D3810">
        <v>125</v>
      </c>
      <c r="E3810">
        <v>120</v>
      </c>
      <c r="F3810" s="366">
        <f t="shared" si="497"/>
        <v>2604</v>
      </c>
      <c r="G3810" s="97">
        <v>3911</v>
      </c>
      <c r="H3810" s="367">
        <f t="shared" si="493"/>
        <v>6515</v>
      </c>
      <c r="I3810" s="368">
        <f t="shared" si="494"/>
        <v>0</v>
      </c>
      <c r="J3810">
        <v>12167</v>
      </c>
      <c r="K3810" s="367">
        <f t="shared" si="499"/>
        <v>8690.7142857142862</v>
      </c>
      <c r="L3810">
        <v>0.65</v>
      </c>
      <c r="M3810">
        <v>2.9</v>
      </c>
      <c r="N3810">
        <v>28</v>
      </c>
      <c r="O3810">
        <v>4</v>
      </c>
      <c r="P3810" t="s">
        <v>515</v>
      </c>
      <c r="Q3810" s="97">
        <f t="shared" si="495"/>
        <v>125</v>
      </c>
      <c r="R3810" t="str">
        <f t="shared" si="496"/>
        <v/>
      </c>
    </row>
    <row r="3811" spans="3:18">
      <c r="C3811" t="str">
        <f t="shared" si="498"/>
        <v/>
      </c>
      <c r="D3811">
        <v>126</v>
      </c>
      <c r="E3811">
        <v>120</v>
      </c>
      <c r="F3811" s="366">
        <f t="shared" si="497"/>
        <v>2604</v>
      </c>
      <c r="G3811" s="97">
        <v>4780</v>
      </c>
      <c r="H3811" s="367">
        <f t="shared" si="493"/>
        <v>7384</v>
      </c>
      <c r="I3811" s="368">
        <f t="shared" si="494"/>
        <v>0</v>
      </c>
      <c r="J3811">
        <v>14871</v>
      </c>
      <c r="K3811" s="367">
        <f t="shared" si="499"/>
        <v>10622.142857142857</v>
      </c>
      <c r="L3811">
        <v>0.79</v>
      </c>
      <c r="M3811">
        <v>4.1999999999999993</v>
      </c>
      <c r="N3811">
        <v>27</v>
      </c>
      <c r="O3811">
        <v>6</v>
      </c>
      <c r="P3811" t="s">
        <v>514</v>
      </c>
      <c r="Q3811" s="97" t="str">
        <f t="shared" si="495"/>
        <v/>
      </c>
      <c r="R3811" t="str">
        <f t="shared" si="496"/>
        <v/>
      </c>
    </row>
    <row r="3812" spans="3:18">
      <c r="C3812" t="str">
        <f t="shared" si="498"/>
        <v/>
      </c>
      <c r="D3812">
        <v>127</v>
      </c>
      <c r="E3812">
        <v>120</v>
      </c>
      <c r="F3812" s="366">
        <f t="shared" si="497"/>
        <v>2604</v>
      </c>
      <c r="G3812" s="97">
        <v>4214</v>
      </c>
      <c r="H3812" s="367">
        <f t="shared" si="493"/>
        <v>6818</v>
      </c>
      <c r="I3812" s="368">
        <f t="shared" si="494"/>
        <v>0</v>
      </c>
      <c r="J3812">
        <v>13112</v>
      </c>
      <c r="K3812" s="367">
        <f t="shared" si="499"/>
        <v>9365.7142857142862</v>
      </c>
      <c r="L3812">
        <v>0.28000000000000003</v>
      </c>
      <c r="M3812">
        <v>4.1999999999999993</v>
      </c>
      <c r="N3812">
        <v>23</v>
      </c>
      <c r="O3812">
        <v>6</v>
      </c>
      <c r="P3812" t="s">
        <v>515</v>
      </c>
      <c r="Q3812" s="97">
        <f t="shared" si="495"/>
        <v>127</v>
      </c>
      <c r="R3812" t="str">
        <f t="shared" si="496"/>
        <v/>
      </c>
    </row>
    <row r="3813" spans="3:18">
      <c r="C3813" t="str">
        <f t="shared" si="498"/>
        <v/>
      </c>
      <c r="D3813">
        <v>128</v>
      </c>
      <c r="E3813">
        <v>120</v>
      </c>
      <c r="F3813" s="366">
        <f t="shared" si="497"/>
        <v>2604</v>
      </c>
      <c r="G3813" s="97">
        <v>5003</v>
      </c>
      <c r="H3813" s="367">
        <f t="shared" si="493"/>
        <v>7607</v>
      </c>
      <c r="I3813" s="368">
        <f t="shared" si="494"/>
        <v>0</v>
      </c>
      <c r="J3813">
        <v>15566</v>
      </c>
      <c r="K3813" s="367">
        <f t="shared" si="499"/>
        <v>11118.571428571429</v>
      </c>
      <c r="L3813">
        <v>0.43</v>
      </c>
      <c r="M3813">
        <v>5.5</v>
      </c>
      <c r="N3813">
        <v>23</v>
      </c>
      <c r="O3813">
        <v>8</v>
      </c>
      <c r="P3813" t="s">
        <v>514</v>
      </c>
      <c r="Q3813" s="97">
        <f t="shared" si="495"/>
        <v>128</v>
      </c>
      <c r="R3813" t="str">
        <f t="shared" si="496"/>
        <v/>
      </c>
    </row>
    <row r="3814" spans="3:18">
      <c r="C3814" t="str">
        <f t="shared" si="498"/>
        <v/>
      </c>
      <c r="D3814">
        <v>129</v>
      </c>
      <c r="E3814">
        <v>120</v>
      </c>
      <c r="F3814" s="366">
        <f t="shared" si="497"/>
        <v>2604</v>
      </c>
      <c r="G3814" s="97">
        <v>4387</v>
      </c>
      <c r="H3814" s="367">
        <f t="shared" si="493"/>
        <v>6991</v>
      </c>
      <c r="I3814" s="368">
        <f t="shared" si="494"/>
        <v>0</v>
      </c>
      <c r="J3814">
        <v>13648</v>
      </c>
      <c r="K3814" s="367">
        <f t="shared" si="499"/>
        <v>9748.5714285714294</v>
      </c>
      <c r="L3814">
        <v>0.17</v>
      </c>
      <c r="M3814">
        <v>5.5</v>
      </c>
      <c r="N3814">
        <v>20</v>
      </c>
      <c r="O3814">
        <v>8</v>
      </c>
      <c r="P3814" t="s">
        <v>515</v>
      </c>
      <c r="Q3814" s="97">
        <f t="shared" si="495"/>
        <v>129</v>
      </c>
      <c r="R3814" t="str">
        <f t="shared" si="496"/>
        <v/>
      </c>
    </row>
    <row r="3815" spans="3:18">
      <c r="C3815" t="str">
        <f t="shared" si="498"/>
        <v/>
      </c>
      <c r="D3815">
        <v>130</v>
      </c>
      <c r="E3815">
        <v>125</v>
      </c>
      <c r="F3815" s="366">
        <f t="shared" si="497"/>
        <v>2712.5</v>
      </c>
      <c r="G3815" s="97">
        <v>4031</v>
      </c>
      <c r="H3815" s="367">
        <f t="shared" ref="H3815:H3878" si="500">(G3815*$U$7)+F3815</f>
        <v>6743.5</v>
      </c>
      <c r="I3815" s="368">
        <f t="shared" ref="I3815:I3878" si="501">1.085*($C$2-$D$2)*E3815*$T$7</f>
        <v>0</v>
      </c>
      <c r="J3815">
        <v>12541</v>
      </c>
      <c r="K3815" s="367">
        <f t="shared" si="499"/>
        <v>8957.8571428571431</v>
      </c>
      <c r="L3815">
        <v>0.71</v>
      </c>
      <c r="M3815">
        <v>2.9</v>
      </c>
      <c r="N3815">
        <v>28</v>
      </c>
      <c r="O3815">
        <v>4</v>
      </c>
      <c r="P3815" t="s">
        <v>515</v>
      </c>
      <c r="Q3815" s="97">
        <f t="shared" ref="Q3815:Q3878" si="502">IF(AND(H3815+1&gt;$E$4,L3815&lt;$L$4+0.01,M3815&lt;$M$4+0.01,K3815+1&gt;$F$4,E3815+1&gt;$J$4,N3815&lt;$K$4+1,O3815&lt;$P$4+1,C3815=""),D3815,"")</f>
        <v>130</v>
      </c>
      <c r="R3815" t="str">
        <f t="shared" ref="R3815:R3878" si="503">IF(Q3815="","",IF(AND(O3815&lt;$X$31,E3815&gt;$U$31,E3815&lt;$Q$4+$U$31+1),D3815,""))</f>
        <v/>
      </c>
    </row>
    <row r="3816" spans="3:18">
      <c r="C3816" t="str">
        <f t="shared" si="498"/>
        <v/>
      </c>
      <c r="D3816">
        <v>131</v>
      </c>
      <c r="E3816">
        <v>125</v>
      </c>
      <c r="F3816" s="366">
        <f t="shared" si="497"/>
        <v>2712.5</v>
      </c>
      <c r="G3816" s="97">
        <v>4934</v>
      </c>
      <c r="H3816" s="367">
        <f t="shared" si="500"/>
        <v>7646.5</v>
      </c>
      <c r="I3816" s="368">
        <f t="shared" si="501"/>
        <v>0</v>
      </c>
      <c r="J3816">
        <v>15351</v>
      </c>
      <c r="K3816" s="367">
        <f t="shared" si="499"/>
        <v>10965</v>
      </c>
      <c r="L3816">
        <v>0.86</v>
      </c>
      <c r="M3816">
        <v>4.1999999999999993</v>
      </c>
      <c r="N3816">
        <v>27</v>
      </c>
      <c r="O3816">
        <v>6</v>
      </c>
      <c r="P3816" t="s">
        <v>514</v>
      </c>
      <c r="Q3816" s="97" t="str">
        <f t="shared" si="502"/>
        <v/>
      </c>
      <c r="R3816" t="str">
        <f t="shared" si="503"/>
        <v/>
      </c>
    </row>
    <row r="3817" spans="3:18">
      <c r="C3817" t="str">
        <f t="shared" si="498"/>
        <v/>
      </c>
      <c r="D3817">
        <v>132</v>
      </c>
      <c r="E3817">
        <v>125</v>
      </c>
      <c r="F3817" s="366">
        <f t="shared" si="497"/>
        <v>2712.5</v>
      </c>
      <c r="G3817" s="97">
        <v>4354</v>
      </c>
      <c r="H3817" s="367">
        <f t="shared" si="500"/>
        <v>7066.5</v>
      </c>
      <c r="I3817" s="368">
        <f t="shared" si="501"/>
        <v>0</v>
      </c>
      <c r="J3817">
        <v>13548</v>
      </c>
      <c r="K3817" s="367">
        <f t="shared" si="499"/>
        <v>9677.1428571428569</v>
      </c>
      <c r="L3817">
        <v>0.31</v>
      </c>
      <c r="M3817">
        <v>4.1999999999999993</v>
      </c>
      <c r="N3817">
        <v>24</v>
      </c>
      <c r="O3817">
        <v>6</v>
      </c>
      <c r="P3817" t="s">
        <v>515</v>
      </c>
      <c r="Q3817" s="97">
        <f t="shared" si="502"/>
        <v>132</v>
      </c>
      <c r="R3817" t="str">
        <f t="shared" si="503"/>
        <v/>
      </c>
    </row>
    <row r="3818" spans="3:18">
      <c r="C3818" t="str">
        <f t="shared" si="498"/>
        <v/>
      </c>
      <c r="D3818">
        <v>133</v>
      </c>
      <c r="E3818">
        <v>125</v>
      </c>
      <c r="F3818" s="366">
        <f t="shared" si="497"/>
        <v>2712.5</v>
      </c>
      <c r="G3818" s="97">
        <v>5175</v>
      </c>
      <c r="H3818" s="367">
        <f t="shared" si="500"/>
        <v>7887.5</v>
      </c>
      <c r="I3818" s="368">
        <f t="shared" si="501"/>
        <v>0</v>
      </c>
      <c r="J3818">
        <v>16102</v>
      </c>
      <c r="K3818" s="367">
        <f t="shared" si="499"/>
        <v>11501.428571428572</v>
      </c>
      <c r="L3818">
        <v>0.47000000000000003</v>
      </c>
      <c r="M3818">
        <v>5.5</v>
      </c>
      <c r="N3818">
        <v>24</v>
      </c>
      <c r="O3818">
        <v>8</v>
      </c>
      <c r="P3818" t="s">
        <v>514</v>
      </c>
      <c r="Q3818" s="97">
        <f t="shared" si="502"/>
        <v>133</v>
      </c>
      <c r="R3818" t="str">
        <f t="shared" si="503"/>
        <v/>
      </c>
    </row>
    <row r="3819" spans="3:18">
      <c r="C3819" t="str">
        <f t="shared" si="498"/>
        <v/>
      </c>
      <c r="D3819">
        <v>134</v>
      </c>
      <c r="E3819">
        <v>125</v>
      </c>
      <c r="F3819" s="366">
        <f t="shared" si="497"/>
        <v>2712.5</v>
      </c>
      <c r="G3819" s="97">
        <v>4537</v>
      </c>
      <c r="H3819" s="367">
        <f t="shared" si="500"/>
        <v>7249.5</v>
      </c>
      <c r="I3819" s="368">
        <f t="shared" si="501"/>
        <v>0</v>
      </c>
      <c r="J3819">
        <v>14117</v>
      </c>
      <c r="K3819" s="367">
        <f t="shared" si="499"/>
        <v>10083.571428571429</v>
      </c>
      <c r="L3819">
        <v>0.18000000000000002</v>
      </c>
      <c r="M3819">
        <v>5.5</v>
      </c>
      <c r="N3819">
        <v>21</v>
      </c>
      <c r="O3819">
        <v>8</v>
      </c>
      <c r="P3819" t="s">
        <v>515</v>
      </c>
      <c r="Q3819" s="97">
        <f t="shared" si="502"/>
        <v>134</v>
      </c>
      <c r="R3819" t="str">
        <f t="shared" si="503"/>
        <v/>
      </c>
    </row>
    <row r="3820" spans="3:18">
      <c r="C3820" t="str">
        <f t="shared" si="498"/>
        <v/>
      </c>
      <c r="D3820">
        <v>135</v>
      </c>
      <c r="E3820">
        <v>130</v>
      </c>
      <c r="F3820" s="366">
        <f t="shared" si="497"/>
        <v>2821</v>
      </c>
      <c r="G3820" s="97">
        <v>4150</v>
      </c>
      <c r="H3820" s="367">
        <f t="shared" si="500"/>
        <v>6971</v>
      </c>
      <c r="I3820" s="368">
        <f t="shared" si="501"/>
        <v>0</v>
      </c>
      <c r="J3820">
        <v>12912</v>
      </c>
      <c r="K3820" s="367">
        <f t="shared" si="499"/>
        <v>9222.8571428571431</v>
      </c>
      <c r="L3820">
        <v>0.77</v>
      </c>
      <c r="M3820">
        <v>2.9</v>
      </c>
      <c r="N3820">
        <v>29</v>
      </c>
      <c r="O3820">
        <v>4</v>
      </c>
      <c r="P3820" t="s">
        <v>515</v>
      </c>
      <c r="Q3820" s="97" t="str">
        <f t="shared" si="502"/>
        <v/>
      </c>
      <c r="R3820" t="str">
        <f t="shared" si="503"/>
        <v/>
      </c>
    </row>
    <row r="3821" spans="3:18">
      <c r="C3821" t="str">
        <f t="shared" si="498"/>
        <v/>
      </c>
      <c r="D3821">
        <v>136</v>
      </c>
      <c r="E3821">
        <v>130</v>
      </c>
      <c r="F3821" s="366">
        <f t="shared" si="497"/>
        <v>2821</v>
      </c>
      <c r="G3821" s="97">
        <v>5084</v>
      </c>
      <c r="H3821" s="367">
        <f t="shared" si="500"/>
        <v>7905</v>
      </c>
      <c r="I3821" s="368">
        <f t="shared" si="501"/>
        <v>0</v>
      </c>
      <c r="J3821">
        <v>15818</v>
      </c>
      <c r="K3821" s="367">
        <f t="shared" si="499"/>
        <v>11298.571428571429</v>
      </c>
      <c r="L3821">
        <v>0.93</v>
      </c>
      <c r="M3821">
        <v>4.1999999999999993</v>
      </c>
      <c r="N3821">
        <v>28</v>
      </c>
      <c r="O3821">
        <v>6</v>
      </c>
      <c r="P3821" t="s">
        <v>514</v>
      </c>
      <c r="Q3821" s="97" t="str">
        <f t="shared" si="502"/>
        <v/>
      </c>
      <c r="R3821" t="str">
        <f t="shared" si="503"/>
        <v/>
      </c>
    </row>
    <row r="3822" spans="3:18">
      <c r="C3822" t="str">
        <f t="shared" si="498"/>
        <v/>
      </c>
      <c r="D3822">
        <v>137</v>
      </c>
      <c r="E3822">
        <v>130</v>
      </c>
      <c r="F3822" s="366">
        <f t="shared" si="497"/>
        <v>2821</v>
      </c>
      <c r="G3822" s="97">
        <v>4494</v>
      </c>
      <c r="H3822" s="367">
        <f t="shared" si="500"/>
        <v>7315</v>
      </c>
      <c r="I3822" s="368">
        <f t="shared" si="501"/>
        <v>0</v>
      </c>
      <c r="J3822">
        <v>13981</v>
      </c>
      <c r="K3822" s="367">
        <f t="shared" si="499"/>
        <v>9986.4285714285725</v>
      </c>
      <c r="L3822">
        <v>0.33</v>
      </c>
      <c r="M3822">
        <v>4.1999999999999993</v>
      </c>
      <c r="N3822">
        <v>24</v>
      </c>
      <c r="O3822">
        <v>6</v>
      </c>
      <c r="P3822" t="s">
        <v>515</v>
      </c>
      <c r="Q3822" s="97">
        <f t="shared" si="502"/>
        <v>137</v>
      </c>
      <c r="R3822" t="str">
        <f t="shared" si="503"/>
        <v/>
      </c>
    </row>
    <row r="3823" spans="3:18">
      <c r="C3823" t="str">
        <f t="shared" si="498"/>
        <v/>
      </c>
      <c r="D3823">
        <v>138</v>
      </c>
      <c r="E3823">
        <v>130</v>
      </c>
      <c r="F3823" s="366">
        <f t="shared" si="497"/>
        <v>2821</v>
      </c>
      <c r="G3823" s="97">
        <v>5338</v>
      </c>
      <c r="H3823" s="367">
        <f t="shared" si="500"/>
        <v>8159</v>
      </c>
      <c r="I3823" s="368">
        <f t="shared" si="501"/>
        <v>0</v>
      </c>
      <c r="J3823">
        <v>16607</v>
      </c>
      <c r="K3823" s="367">
        <f t="shared" si="499"/>
        <v>11862.142857142857</v>
      </c>
      <c r="L3823">
        <v>0.51</v>
      </c>
      <c r="M3823">
        <v>5.5</v>
      </c>
      <c r="N3823">
        <v>24</v>
      </c>
      <c r="O3823">
        <v>8</v>
      </c>
      <c r="P3823" t="s">
        <v>514</v>
      </c>
      <c r="Q3823" s="97">
        <f t="shared" si="502"/>
        <v>138</v>
      </c>
      <c r="R3823" t="str">
        <f t="shared" si="503"/>
        <v/>
      </c>
    </row>
    <row r="3824" spans="3:18">
      <c r="C3824" t="str">
        <f t="shared" si="498"/>
        <v/>
      </c>
      <c r="D3824">
        <v>139</v>
      </c>
      <c r="E3824">
        <v>130</v>
      </c>
      <c r="F3824" s="366">
        <f t="shared" si="497"/>
        <v>2821</v>
      </c>
      <c r="G3824" s="97">
        <v>4684</v>
      </c>
      <c r="H3824" s="367">
        <f t="shared" si="500"/>
        <v>7505</v>
      </c>
      <c r="I3824" s="368">
        <f t="shared" si="501"/>
        <v>0</v>
      </c>
      <c r="J3824">
        <v>14573</v>
      </c>
      <c r="K3824" s="367">
        <f t="shared" si="499"/>
        <v>10409.285714285714</v>
      </c>
      <c r="L3824">
        <v>0.19</v>
      </c>
      <c r="M3824">
        <v>5.5</v>
      </c>
      <c r="N3824">
        <v>22</v>
      </c>
      <c r="O3824">
        <v>8</v>
      </c>
      <c r="P3824" t="s">
        <v>515</v>
      </c>
      <c r="Q3824" s="97">
        <f t="shared" si="502"/>
        <v>139</v>
      </c>
      <c r="R3824" t="str">
        <f t="shared" si="503"/>
        <v/>
      </c>
    </row>
    <row r="3825" spans="3:18">
      <c r="C3825" t="str">
        <f t="shared" si="498"/>
        <v/>
      </c>
      <c r="D3825">
        <v>140</v>
      </c>
      <c r="E3825">
        <v>135</v>
      </c>
      <c r="F3825" s="366">
        <f t="shared" si="497"/>
        <v>2929.5</v>
      </c>
      <c r="G3825" s="97">
        <v>4268</v>
      </c>
      <c r="H3825" s="367">
        <f t="shared" si="500"/>
        <v>7197.5</v>
      </c>
      <c r="I3825" s="368">
        <f t="shared" si="501"/>
        <v>0</v>
      </c>
      <c r="J3825">
        <v>13278</v>
      </c>
      <c r="K3825" s="367">
        <f t="shared" si="499"/>
        <v>9484.2857142857138</v>
      </c>
      <c r="L3825">
        <v>0.83</v>
      </c>
      <c r="M3825">
        <v>2.9</v>
      </c>
      <c r="N3825">
        <v>29</v>
      </c>
      <c r="O3825">
        <v>4</v>
      </c>
      <c r="P3825" t="s">
        <v>515</v>
      </c>
      <c r="Q3825" s="97" t="str">
        <f t="shared" si="502"/>
        <v/>
      </c>
      <c r="R3825" t="str">
        <f t="shared" si="503"/>
        <v/>
      </c>
    </row>
    <row r="3826" spans="3:18">
      <c r="C3826" t="str">
        <f t="shared" si="498"/>
        <v/>
      </c>
      <c r="D3826">
        <v>141</v>
      </c>
      <c r="E3826">
        <v>135</v>
      </c>
      <c r="F3826" s="366">
        <f t="shared" si="497"/>
        <v>2929.5</v>
      </c>
      <c r="G3826" s="97">
        <v>5230</v>
      </c>
      <c r="H3826" s="367">
        <f t="shared" si="500"/>
        <v>8159.5</v>
      </c>
      <c r="I3826" s="368">
        <f t="shared" si="501"/>
        <v>0</v>
      </c>
      <c r="J3826">
        <v>16273</v>
      </c>
      <c r="K3826" s="367">
        <f t="shared" si="499"/>
        <v>11623.571428571429</v>
      </c>
      <c r="L3826">
        <v>1</v>
      </c>
      <c r="M3826">
        <v>4.1999999999999993</v>
      </c>
      <c r="N3826">
        <v>28</v>
      </c>
      <c r="O3826">
        <v>6</v>
      </c>
      <c r="P3826" t="s">
        <v>514</v>
      </c>
      <c r="Q3826" s="97" t="str">
        <f t="shared" si="502"/>
        <v/>
      </c>
      <c r="R3826" t="str">
        <f t="shared" si="503"/>
        <v/>
      </c>
    </row>
    <row r="3827" spans="3:18">
      <c r="C3827" t="str">
        <f t="shared" si="498"/>
        <v/>
      </c>
      <c r="D3827">
        <v>142</v>
      </c>
      <c r="E3827">
        <v>135</v>
      </c>
      <c r="F3827" s="366">
        <f t="shared" ref="F3827:F3890" si="504">1.085*($A$2-$B$2)*E3827*$T$7</f>
        <v>2929.5</v>
      </c>
      <c r="G3827" s="97">
        <v>4625</v>
      </c>
      <c r="H3827" s="367">
        <f t="shared" si="500"/>
        <v>7554.5</v>
      </c>
      <c r="I3827" s="368">
        <f t="shared" si="501"/>
        <v>0</v>
      </c>
      <c r="J3827">
        <v>14390</v>
      </c>
      <c r="K3827" s="367">
        <f t="shared" si="499"/>
        <v>10278.571428571429</v>
      </c>
      <c r="L3827">
        <v>0.36</v>
      </c>
      <c r="M3827">
        <v>4.1999999999999993</v>
      </c>
      <c r="N3827">
        <v>25</v>
      </c>
      <c r="O3827">
        <v>6</v>
      </c>
      <c r="P3827" t="s">
        <v>515</v>
      </c>
      <c r="Q3827" s="97">
        <f t="shared" si="502"/>
        <v>142</v>
      </c>
      <c r="R3827" t="str">
        <f t="shared" si="503"/>
        <v/>
      </c>
    </row>
    <row r="3828" spans="3:18">
      <c r="C3828" t="str">
        <f t="shared" si="498"/>
        <v/>
      </c>
      <c r="D3828">
        <v>143</v>
      </c>
      <c r="E3828">
        <v>135</v>
      </c>
      <c r="F3828" s="366">
        <f t="shared" si="504"/>
        <v>2929.5</v>
      </c>
      <c r="G3828" s="97">
        <v>5491</v>
      </c>
      <c r="H3828" s="367">
        <f t="shared" si="500"/>
        <v>8420.5</v>
      </c>
      <c r="I3828" s="368">
        <f t="shared" si="501"/>
        <v>0</v>
      </c>
      <c r="J3828">
        <v>17085</v>
      </c>
      <c r="K3828" s="367">
        <f t="shared" si="499"/>
        <v>12203.571428571429</v>
      </c>
      <c r="L3828">
        <v>0.55000000000000004</v>
      </c>
      <c r="M3828">
        <v>5.5</v>
      </c>
      <c r="N3828">
        <v>25</v>
      </c>
      <c r="O3828">
        <v>8</v>
      </c>
      <c r="P3828" t="s">
        <v>514</v>
      </c>
      <c r="Q3828" s="97">
        <f t="shared" si="502"/>
        <v>143</v>
      </c>
      <c r="R3828" t="str">
        <f t="shared" si="503"/>
        <v/>
      </c>
    </row>
    <row r="3829" spans="3:18">
      <c r="C3829" t="str">
        <f t="shared" si="498"/>
        <v/>
      </c>
      <c r="D3829">
        <v>144</v>
      </c>
      <c r="E3829">
        <v>135</v>
      </c>
      <c r="F3829" s="366">
        <f t="shared" si="504"/>
        <v>2929.5</v>
      </c>
      <c r="G3829" s="97">
        <v>4831</v>
      </c>
      <c r="H3829" s="367">
        <f t="shared" si="500"/>
        <v>7760.5</v>
      </c>
      <c r="I3829" s="368">
        <f t="shared" si="501"/>
        <v>0</v>
      </c>
      <c r="J3829">
        <v>15030</v>
      </c>
      <c r="K3829" s="367">
        <f t="shared" si="499"/>
        <v>10735.714285714286</v>
      </c>
      <c r="L3829">
        <v>0.21000000000000002</v>
      </c>
      <c r="M3829">
        <v>5.5</v>
      </c>
      <c r="N3829">
        <v>22</v>
      </c>
      <c r="O3829">
        <v>8</v>
      </c>
      <c r="P3829" t="s">
        <v>515</v>
      </c>
      <c r="Q3829" s="97">
        <f t="shared" si="502"/>
        <v>144</v>
      </c>
      <c r="R3829" t="str">
        <f t="shared" si="503"/>
        <v/>
      </c>
    </row>
    <row r="3830" spans="3:18">
      <c r="C3830" t="str">
        <f t="shared" si="498"/>
        <v/>
      </c>
      <c r="D3830">
        <v>145</v>
      </c>
      <c r="E3830">
        <v>140</v>
      </c>
      <c r="F3830" s="366">
        <f t="shared" si="504"/>
        <v>3038</v>
      </c>
      <c r="G3830" s="97">
        <v>4382</v>
      </c>
      <c r="H3830" s="367">
        <f t="shared" si="500"/>
        <v>7420</v>
      </c>
      <c r="I3830" s="368">
        <f t="shared" si="501"/>
        <v>0</v>
      </c>
      <c r="J3830">
        <v>13634</v>
      </c>
      <c r="K3830" s="367">
        <f t="shared" si="499"/>
        <v>9738.5714285714294</v>
      </c>
      <c r="L3830">
        <v>0.89</v>
      </c>
      <c r="M3830">
        <v>2.9</v>
      </c>
      <c r="N3830">
        <v>30</v>
      </c>
      <c r="O3830">
        <v>4</v>
      </c>
      <c r="P3830" t="s">
        <v>515</v>
      </c>
      <c r="Q3830" s="97" t="str">
        <f t="shared" si="502"/>
        <v/>
      </c>
      <c r="R3830" t="str">
        <f t="shared" si="503"/>
        <v/>
      </c>
    </row>
    <row r="3831" spans="3:18">
      <c r="C3831" t="str">
        <f t="shared" si="498"/>
        <v/>
      </c>
      <c r="D3831">
        <v>146</v>
      </c>
      <c r="E3831">
        <v>140</v>
      </c>
      <c r="F3831" s="366">
        <f t="shared" si="504"/>
        <v>3038</v>
      </c>
      <c r="G3831" s="97">
        <v>5377</v>
      </c>
      <c r="H3831" s="367">
        <f t="shared" si="500"/>
        <v>8415</v>
      </c>
      <c r="I3831" s="368">
        <f t="shared" si="501"/>
        <v>0</v>
      </c>
      <c r="J3831">
        <v>16728</v>
      </c>
      <c r="K3831" s="367">
        <f t="shared" si="499"/>
        <v>11948.571428571429</v>
      </c>
      <c r="L3831">
        <v>1.07</v>
      </c>
      <c r="M3831">
        <v>4.1999999999999993</v>
      </c>
      <c r="N3831">
        <v>29</v>
      </c>
      <c r="O3831">
        <v>6</v>
      </c>
      <c r="P3831" t="s">
        <v>514</v>
      </c>
      <c r="Q3831" s="97" t="str">
        <f t="shared" si="502"/>
        <v/>
      </c>
      <c r="R3831" t="str">
        <f t="shared" si="503"/>
        <v/>
      </c>
    </row>
    <row r="3832" spans="3:18">
      <c r="C3832" t="str">
        <f t="shared" si="498"/>
        <v/>
      </c>
      <c r="D3832">
        <v>147</v>
      </c>
      <c r="E3832">
        <v>140</v>
      </c>
      <c r="F3832" s="366">
        <f t="shared" si="504"/>
        <v>3038</v>
      </c>
      <c r="G3832" s="97">
        <v>4757</v>
      </c>
      <c r="H3832" s="367">
        <f t="shared" si="500"/>
        <v>7795</v>
      </c>
      <c r="I3832" s="368">
        <f t="shared" si="501"/>
        <v>0</v>
      </c>
      <c r="J3832">
        <v>14800</v>
      </c>
      <c r="K3832" s="367">
        <f t="shared" si="499"/>
        <v>10571.428571428572</v>
      </c>
      <c r="L3832">
        <v>0.38</v>
      </c>
      <c r="M3832">
        <v>4.1999999999999993</v>
      </c>
      <c r="N3832">
        <v>25</v>
      </c>
      <c r="O3832">
        <v>6</v>
      </c>
      <c r="P3832" t="s">
        <v>515</v>
      </c>
      <c r="Q3832" s="97">
        <f t="shared" si="502"/>
        <v>147</v>
      </c>
      <c r="R3832" t="str">
        <f t="shared" si="503"/>
        <v/>
      </c>
    </row>
    <row r="3833" spans="3:18">
      <c r="C3833" t="str">
        <f t="shared" si="498"/>
        <v/>
      </c>
      <c r="D3833">
        <v>148</v>
      </c>
      <c r="E3833">
        <v>140</v>
      </c>
      <c r="F3833" s="366">
        <f t="shared" si="504"/>
        <v>3038</v>
      </c>
      <c r="G3833" s="97">
        <v>5645</v>
      </c>
      <c r="H3833" s="367">
        <f t="shared" si="500"/>
        <v>8683</v>
      </c>
      <c r="I3833" s="368">
        <f t="shared" si="501"/>
        <v>0</v>
      </c>
      <c r="J3833">
        <v>17563</v>
      </c>
      <c r="K3833" s="367">
        <f t="shared" si="499"/>
        <v>12545</v>
      </c>
      <c r="L3833">
        <v>0.59</v>
      </c>
      <c r="M3833">
        <v>5.5</v>
      </c>
      <c r="N3833">
        <v>25</v>
      </c>
      <c r="O3833">
        <v>8</v>
      </c>
      <c r="P3833" t="s">
        <v>514</v>
      </c>
      <c r="Q3833" s="97">
        <f t="shared" si="502"/>
        <v>148</v>
      </c>
      <c r="R3833" t="str">
        <f t="shared" si="503"/>
        <v/>
      </c>
    </row>
    <row r="3834" spans="3:18">
      <c r="C3834" t="str">
        <f t="shared" si="498"/>
        <v/>
      </c>
      <c r="D3834">
        <v>149</v>
      </c>
      <c r="E3834">
        <v>140</v>
      </c>
      <c r="F3834" s="366">
        <f t="shared" si="504"/>
        <v>3038</v>
      </c>
      <c r="G3834" s="97">
        <v>4977</v>
      </c>
      <c r="H3834" s="367">
        <f t="shared" si="500"/>
        <v>8015</v>
      </c>
      <c r="I3834" s="368">
        <f t="shared" si="501"/>
        <v>0</v>
      </c>
      <c r="J3834">
        <v>15487</v>
      </c>
      <c r="K3834" s="367">
        <f t="shared" si="499"/>
        <v>11062.142857142857</v>
      </c>
      <c r="L3834">
        <v>0.22</v>
      </c>
      <c r="M3834">
        <v>5.5</v>
      </c>
      <c r="N3834">
        <v>22</v>
      </c>
      <c r="O3834">
        <v>8</v>
      </c>
      <c r="P3834" t="s">
        <v>515</v>
      </c>
      <c r="Q3834" s="97">
        <f t="shared" si="502"/>
        <v>149</v>
      </c>
      <c r="R3834" t="str">
        <f t="shared" si="503"/>
        <v/>
      </c>
    </row>
    <row r="3835" spans="3:18">
      <c r="C3835" t="str">
        <f t="shared" si="498"/>
        <v/>
      </c>
      <c r="D3835">
        <v>150</v>
      </c>
      <c r="E3835">
        <v>145</v>
      </c>
      <c r="F3835" s="366">
        <f t="shared" si="504"/>
        <v>3146.5</v>
      </c>
      <c r="G3835" s="97">
        <v>4497</v>
      </c>
      <c r="H3835" s="367">
        <f t="shared" si="500"/>
        <v>7643.5</v>
      </c>
      <c r="I3835" s="368">
        <f t="shared" si="501"/>
        <v>0</v>
      </c>
      <c r="J3835">
        <v>13991</v>
      </c>
      <c r="K3835" s="367">
        <f t="shared" si="499"/>
        <v>9993.5714285714294</v>
      </c>
      <c r="L3835">
        <v>0.95</v>
      </c>
      <c r="M3835">
        <v>2.9</v>
      </c>
      <c r="N3835">
        <v>30</v>
      </c>
      <c r="O3835">
        <v>4</v>
      </c>
      <c r="P3835" t="s">
        <v>515</v>
      </c>
      <c r="Q3835" s="97" t="str">
        <f t="shared" si="502"/>
        <v/>
      </c>
      <c r="R3835" t="str">
        <f t="shared" si="503"/>
        <v/>
      </c>
    </row>
    <row r="3836" spans="3:18">
      <c r="C3836" t="str">
        <f t="shared" si="498"/>
        <v/>
      </c>
      <c r="D3836">
        <v>151</v>
      </c>
      <c r="E3836">
        <v>145</v>
      </c>
      <c r="F3836" s="366">
        <f t="shared" si="504"/>
        <v>3146.5</v>
      </c>
      <c r="G3836" s="97">
        <v>4888</v>
      </c>
      <c r="H3836" s="367">
        <f t="shared" si="500"/>
        <v>8034.5</v>
      </c>
      <c r="I3836" s="368">
        <f t="shared" si="501"/>
        <v>0</v>
      </c>
      <c r="J3836">
        <v>15209</v>
      </c>
      <c r="K3836" s="367">
        <f t="shared" si="499"/>
        <v>10863.571428571429</v>
      </c>
      <c r="L3836">
        <v>0.41000000000000003</v>
      </c>
      <c r="M3836">
        <v>4.1999999999999993</v>
      </c>
      <c r="N3836">
        <v>26</v>
      </c>
      <c r="O3836">
        <v>6</v>
      </c>
      <c r="P3836" t="s">
        <v>515</v>
      </c>
      <c r="Q3836" s="97">
        <f t="shared" si="502"/>
        <v>151</v>
      </c>
      <c r="R3836" t="str">
        <f t="shared" si="503"/>
        <v/>
      </c>
    </row>
    <row r="3837" spans="3:18">
      <c r="C3837" t="str">
        <f t="shared" si="498"/>
        <v/>
      </c>
      <c r="D3837">
        <v>152</v>
      </c>
      <c r="E3837">
        <v>145</v>
      </c>
      <c r="F3837" s="366">
        <f t="shared" si="504"/>
        <v>3146.5</v>
      </c>
      <c r="G3837" s="97">
        <v>5799</v>
      </c>
      <c r="H3837" s="367">
        <f t="shared" si="500"/>
        <v>8945.5</v>
      </c>
      <c r="I3837" s="368">
        <f t="shared" si="501"/>
        <v>0</v>
      </c>
      <c r="J3837">
        <v>18041</v>
      </c>
      <c r="K3837" s="367">
        <f t="shared" si="499"/>
        <v>12886.428571428572</v>
      </c>
      <c r="L3837">
        <v>0.63</v>
      </c>
      <c r="M3837">
        <v>5.5</v>
      </c>
      <c r="N3837">
        <v>26</v>
      </c>
      <c r="O3837">
        <v>8</v>
      </c>
      <c r="P3837" t="s">
        <v>514</v>
      </c>
      <c r="Q3837" s="97">
        <f t="shared" si="502"/>
        <v>152</v>
      </c>
      <c r="R3837" t="str">
        <f t="shared" si="503"/>
        <v/>
      </c>
    </row>
    <row r="3838" spans="3:18">
      <c r="C3838" t="str">
        <f t="shared" si="498"/>
        <v/>
      </c>
      <c r="D3838">
        <v>153</v>
      </c>
      <c r="E3838">
        <v>145</v>
      </c>
      <c r="F3838" s="366">
        <f t="shared" si="504"/>
        <v>3146.5</v>
      </c>
      <c r="G3838" s="97">
        <v>5124</v>
      </c>
      <c r="H3838" s="367">
        <f t="shared" si="500"/>
        <v>8270.5</v>
      </c>
      <c r="I3838" s="368">
        <f t="shared" si="501"/>
        <v>0</v>
      </c>
      <c r="J3838">
        <v>15943</v>
      </c>
      <c r="K3838" s="367">
        <f t="shared" si="499"/>
        <v>11387.857142857143</v>
      </c>
      <c r="L3838">
        <v>0.24000000000000002</v>
      </c>
      <c r="M3838">
        <v>5.5</v>
      </c>
      <c r="N3838">
        <v>23</v>
      </c>
      <c r="O3838">
        <v>8</v>
      </c>
      <c r="P3838" t="s">
        <v>515</v>
      </c>
      <c r="Q3838" s="97">
        <f t="shared" si="502"/>
        <v>153</v>
      </c>
      <c r="R3838" t="str">
        <f t="shared" si="503"/>
        <v/>
      </c>
    </row>
    <row r="3839" spans="3:18">
      <c r="C3839" t="str">
        <f t="shared" si="498"/>
        <v/>
      </c>
      <c r="D3839">
        <v>154</v>
      </c>
      <c r="E3839">
        <v>150</v>
      </c>
      <c r="F3839" s="366">
        <f t="shared" si="504"/>
        <v>3255</v>
      </c>
      <c r="G3839" s="97">
        <v>4607</v>
      </c>
      <c r="H3839" s="367">
        <f t="shared" si="500"/>
        <v>7862</v>
      </c>
      <c r="I3839" s="368">
        <f t="shared" si="501"/>
        <v>0</v>
      </c>
      <c r="J3839">
        <v>14335</v>
      </c>
      <c r="K3839" s="367">
        <f t="shared" si="499"/>
        <v>10239.285714285714</v>
      </c>
      <c r="L3839">
        <v>1.02</v>
      </c>
      <c r="M3839">
        <v>2.9</v>
      </c>
      <c r="N3839">
        <v>31</v>
      </c>
      <c r="O3839">
        <v>4</v>
      </c>
      <c r="P3839" t="s">
        <v>515</v>
      </c>
      <c r="Q3839" s="97" t="str">
        <f t="shared" si="502"/>
        <v/>
      </c>
      <c r="R3839" t="str">
        <f t="shared" si="503"/>
        <v/>
      </c>
    </row>
    <row r="3840" spans="3:18">
      <c r="C3840" t="str">
        <f t="shared" si="498"/>
        <v/>
      </c>
      <c r="D3840">
        <v>155</v>
      </c>
      <c r="E3840">
        <v>150</v>
      </c>
      <c r="F3840" s="366">
        <f t="shared" si="504"/>
        <v>3255</v>
      </c>
      <c r="G3840" s="97">
        <v>5019</v>
      </c>
      <c r="H3840" s="367">
        <f t="shared" si="500"/>
        <v>8274</v>
      </c>
      <c r="I3840" s="368">
        <f t="shared" si="501"/>
        <v>0</v>
      </c>
      <c r="J3840">
        <v>15616</v>
      </c>
      <c r="K3840" s="367">
        <f t="shared" si="499"/>
        <v>11154.285714285714</v>
      </c>
      <c r="L3840">
        <v>0.44</v>
      </c>
      <c r="M3840">
        <v>4.1999999999999993</v>
      </c>
      <c r="N3840">
        <v>26</v>
      </c>
      <c r="O3840">
        <v>6</v>
      </c>
      <c r="P3840" t="s">
        <v>515</v>
      </c>
      <c r="Q3840" s="97">
        <f t="shared" si="502"/>
        <v>155</v>
      </c>
      <c r="R3840" t="str">
        <f t="shared" si="503"/>
        <v/>
      </c>
    </row>
    <row r="3841" spans="3:18">
      <c r="C3841" t="str">
        <f t="shared" si="498"/>
        <v/>
      </c>
      <c r="D3841">
        <v>156</v>
      </c>
      <c r="E3841">
        <v>150</v>
      </c>
      <c r="F3841" s="366">
        <f t="shared" si="504"/>
        <v>3255</v>
      </c>
      <c r="G3841" s="97">
        <v>5952</v>
      </c>
      <c r="H3841" s="367">
        <f t="shared" si="500"/>
        <v>9207</v>
      </c>
      <c r="I3841" s="368">
        <f t="shared" si="501"/>
        <v>0</v>
      </c>
      <c r="J3841">
        <v>18519</v>
      </c>
      <c r="K3841" s="367">
        <f t="shared" si="499"/>
        <v>13227.857142857143</v>
      </c>
      <c r="L3841">
        <v>0.67</v>
      </c>
      <c r="M3841">
        <v>5.5</v>
      </c>
      <c r="N3841">
        <v>26</v>
      </c>
      <c r="O3841">
        <v>8</v>
      </c>
      <c r="P3841" t="s">
        <v>514</v>
      </c>
      <c r="Q3841" s="97">
        <f t="shared" si="502"/>
        <v>156</v>
      </c>
      <c r="R3841" t="str">
        <f t="shared" si="503"/>
        <v/>
      </c>
    </row>
    <row r="3842" spans="3:18">
      <c r="C3842" t="str">
        <f t="shared" si="498"/>
        <v/>
      </c>
      <c r="D3842">
        <v>157</v>
      </c>
      <c r="E3842">
        <v>150</v>
      </c>
      <c r="F3842" s="366">
        <f t="shared" si="504"/>
        <v>3255</v>
      </c>
      <c r="G3842" s="97">
        <v>5269</v>
      </c>
      <c r="H3842" s="367">
        <f t="shared" si="500"/>
        <v>8524</v>
      </c>
      <c r="I3842" s="368">
        <f t="shared" si="501"/>
        <v>0</v>
      </c>
      <c r="J3842">
        <v>16394</v>
      </c>
      <c r="K3842" s="367">
        <f t="shared" si="499"/>
        <v>11710</v>
      </c>
      <c r="L3842">
        <v>0.26</v>
      </c>
      <c r="M3842">
        <v>5.5</v>
      </c>
      <c r="N3842">
        <v>23</v>
      </c>
      <c r="O3842">
        <v>8</v>
      </c>
      <c r="P3842" t="s">
        <v>515</v>
      </c>
      <c r="Q3842" s="97">
        <f t="shared" si="502"/>
        <v>157</v>
      </c>
      <c r="R3842" t="str">
        <f t="shared" si="503"/>
        <v/>
      </c>
    </row>
    <row r="3843" spans="3:18">
      <c r="C3843" t="str">
        <f t="shared" si="498"/>
        <v/>
      </c>
      <c r="D3843">
        <v>158</v>
      </c>
      <c r="E3843">
        <v>155</v>
      </c>
      <c r="F3843" s="366">
        <f t="shared" si="504"/>
        <v>3363.5</v>
      </c>
      <c r="G3843" s="97">
        <v>4717</v>
      </c>
      <c r="H3843" s="367">
        <f t="shared" si="500"/>
        <v>8080.5</v>
      </c>
      <c r="I3843" s="368">
        <f t="shared" si="501"/>
        <v>0</v>
      </c>
      <c r="J3843">
        <v>14677</v>
      </c>
      <c r="K3843" s="367">
        <f t="shared" si="499"/>
        <v>10483.571428571429</v>
      </c>
      <c r="L3843">
        <v>1.0900000000000001</v>
      </c>
      <c r="M3843">
        <v>2.9</v>
      </c>
      <c r="N3843">
        <v>31</v>
      </c>
      <c r="O3843">
        <v>4</v>
      </c>
      <c r="P3843" t="s">
        <v>515</v>
      </c>
      <c r="Q3843" s="97" t="str">
        <f t="shared" si="502"/>
        <v/>
      </c>
      <c r="R3843" t="str">
        <f t="shared" si="503"/>
        <v/>
      </c>
    </row>
    <row r="3844" spans="3:18">
      <c r="C3844" t="str">
        <f t="shared" si="498"/>
        <v/>
      </c>
      <c r="D3844">
        <v>159</v>
      </c>
      <c r="E3844">
        <v>155</v>
      </c>
      <c r="F3844" s="366">
        <f t="shared" si="504"/>
        <v>3363.5</v>
      </c>
      <c r="G3844" s="97">
        <v>5144</v>
      </c>
      <c r="H3844" s="367">
        <f t="shared" si="500"/>
        <v>8507.5</v>
      </c>
      <c r="I3844" s="368">
        <f t="shared" si="501"/>
        <v>0</v>
      </c>
      <c r="J3844">
        <v>16003</v>
      </c>
      <c r="K3844" s="367">
        <f t="shared" si="499"/>
        <v>11430.714285714286</v>
      </c>
      <c r="L3844">
        <v>0.47000000000000003</v>
      </c>
      <c r="M3844">
        <v>4.1999999999999993</v>
      </c>
      <c r="N3844">
        <v>27</v>
      </c>
      <c r="O3844">
        <v>6</v>
      </c>
      <c r="P3844" t="s">
        <v>515</v>
      </c>
      <c r="Q3844" s="97">
        <f t="shared" si="502"/>
        <v>159</v>
      </c>
      <c r="R3844" t="str">
        <f t="shared" si="503"/>
        <v/>
      </c>
    </row>
    <row r="3845" spans="3:18">
      <c r="C3845" t="str">
        <f t="shared" si="498"/>
        <v/>
      </c>
      <c r="D3845">
        <v>160</v>
      </c>
      <c r="E3845">
        <v>155</v>
      </c>
      <c r="F3845" s="366">
        <f t="shared" si="504"/>
        <v>3363.5</v>
      </c>
      <c r="G3845" s="97">
        <v>6099</v>
      </c>
      <c r="H3845" s="367">
        <f t="shared" si="500"/>
        <v>9462.5</v>
      </c>
      <c r="I3845" s="368">
        <f t="shared" si="501"/>
        <v>0</v>
      </c>
      <c r="J3845">
        <v>18977</v>
      </c>
      <c r="K3845" s="367">
        <f t="shared" si="499"/>
        <v>13555</v>
      </c>
      <c r="L3845">
        <v>0.72</v>
      </c>
      <c r="M3845">
        <v>5.5</v>
      </c>
      <c r="N3845">
        <v>27</v>
      </c>
      <c r="O3845">
        <v>8</v>
      </c>
      <c r="P3845" t="s">
        <v>514</v>
      </c>
      <c r="Q3845" s="97" t="str">
        <f t="shared" si="502"/>
        <v/>
      </c>
      <c r="R3845" t="str">
        <f t="shared" si="503"/>
        <v/>
      </c>
    </row>
    <row r="3846" spans="3:18">
      <c r="C3846" t="str">
        <f t="shared" si="498"/>
        <v/>
      </c>
      <c r="D3846">
        <v>161</v>
      </c>
      <c r="E3846">
        <v>155</v>
      </c>
      <c r="F3846" s="366">
        <f t="shared" si="504"/>
        <v>3363.5</v>
      </c>
      <c r="G3846" s="97">
        <v>5400</v>
      </c>
      <c r="H3846" s="367">
        <f t="shared" si="500"/>
        <v>8763.5</v>
      </c>
      <c r="I3846" s="368">
        <f t="shared" si="501"/>
        <v>0</v>
      </c>
      <c r="J3846">
        <v>16801</v>
      </c>
      <c r="K3846" s="367">
        <f t="shared" si="499"/>
        <v>12000.714285714286</v>
      </c>
      <c r="L3846">
        <v>0.27</v>
      </c>
      <c r="M3846">
        <v>5.5</v>
      </c>
      <c r="N3846">
        <v>24</v>
      </c>
      <c r="O3846">
        <v>8</v>
      </c>
      <c r="P3846" t="s">
        <v>515</v>
      </c>
      <c r="Q3846" s="97">
        <f t="shared" si="502"/>
        <v>161</v>
      </c>
      <c r="R3846" t="str">
        <f t="shared" si="503"/>
        <v/>
      </c>
    </row>
    <row r="3847" spans="3:18">
      <c r="C3847" t="str">
        <f t="shared" si="498"/>
        <v/>
      </c>
      <c r="D3847">
        <v>162</v>
      </c>
      <c r="E3847">
        <v>160</v>
      </c>
      <c r="F3847" s="366">
        <f t="shared" si="504"/>
        <v>3472</v>
      </c>
      <c r="G3847" s="97">
        <v>5268</v>
      </c>
      <c r="H3847" s="367">
        <f t="shared" si="500"/>
        <v>8740</v>
      </c>
      <c r="I3847" s="368">
        <f t="shared" si="501"/>
        <v>0</v>
      </c>
      <c r="J3847">
        <v>16391</v>
      </c>
      <c r="K3847" s="367">
        <f t="shared" si="499"/>
        <v>11707.857142857143</v>
      </c>
      <c r="L3847">
        <v>0.5</v>
      </c>
      <c r="M3847">
        <v>4.1999999999999993</v>
      </c>
      <c r="N3847">
        <v>27</v>
      </c>
      <c r="O3847">
        <v>6</v>
      </c>
      <c r="P3847" t="s">
        <v>515</v>
      </c>
      <c r="Q3847" s="97">
        <f t="shared" si="502"/>
        <v>162</v>
      </c>
      <c r="R3847" t="str">
        <f t="shared" si="503"/>
        <v/>
      </c>
    </row>
    <row r="3848" spans="3:18">
      <c r="C3848" t="str">
        <f t="shared" si="498"/>
        <v/>
      </c>
      <c r="D3848">
        <v>163</v>
      </c>
      <c r="E3848">
        <v>160</v>
      </c>
      <c r="F3848" s="366">
        <f t="shared" si="504"/>
        <v>3472</v>
      </c>
      <c r="G3848" s="97">
        <v>6246</v>
      </c>
      <c r="H3848" s="367">
        <f t="shared" si="500"/>
        <v>9718</v>
      </c>
      <c r="I3848" s="368">
        <f t="shared" si="501"/>
        <v>0</v>
      </c>
      <c r="J3848">
        <v>19433</v>
      </c>
      <c r="K3848" s="367">
        <f t="shared" si="499"/>
        <v>13880.714285714286</v>
      </c>
      <c r="L3848">
        <v>0.76</v>
      </c>
      <c r="M3848">
        <v>5.5</v>
      </c>
      <c r="N3848">
        <v>27</v>
      </c>
      <c r="O3848">
        <v>8</v>
      </c>
      <c r="P3848" t="s">
        <v>514</v>
      </c>
      <c r="Q3848" s="97" t="str">
        <f t="shared" si="502"/>
        <v/>
      </c>
      <c r="R3848" t="str">
        <f t="shared" si="503"/>
        <v/>
      </c>
    </row>
    <row r="3849" spans="3:18">
      <c r="C3849" t="str">
        <f t="shared" si="498"/>
        <v/>
      </c>
      <c r="D3849">
        <v>164</v>
      </c>
      <c r="E3849">
        <v>160</v>
      </c>
      <c r="F3849" s="366">
        <f t="shared" si="504"/>
        <v>3472</v>
      </c>
      <c r="G3849" s="97">
        <v>5531</v>
      </c>
      <c r="H3849" s="367">
        <f t="shared" si="500"/>
        <v>9003</v>
      </c>
      <c r="I3849" s="368">
        <f t="shared" si="501"/>
        <v>0</v>
      </c>
      <c r="J3849">
        <v>17209</v>
      </c>
      <c r="K3849" s="367">
        <f t="shared" si="499"/>
        <v>12292.142857142857</v>
      </c>
      <c r="L3849">
        <v>0.29000000000000004</v>
      </c>
      <c r="M3849">
        <v>5.5</v>
      </c>
      <c r="N3849">
        <v>24</v>
      </c>
      <c r="O3849">
        <v>8</v>
      </c>
      <c r="P3849" t="s">
        <v>515</v>
      </c>
      <c r="Q3849" s="97">
        <f t="shared" si="502"/>
        <v>164</v>
      </c>
      <c r="R3849" t="str">
        <f t="shared" si="503"/>
        <v/>
      </c>
    </row>
    <row r="3850" spans="3:18">
      <c r="C3850" t="str">
        <f t="shared" si="498"/>
        <v/>
      </c>
      <c r="D3850">
        <v>165</v>
      </c>
      <c r="E3850">
        <v>165</v>
      </c>
      <c r="F3850" s="366">
        <f t="shared" si="504"/>
        <v>3580.5</v>
      </c>
      <c r="G3850" s="97">
        <v>5393</v>
      </c>
      <c r="H3850" s="367">
        <f t="shared" si="500"/>
        <v>8973.5</v>
      </c>
      <c r="I3850" s="368">
        <f t="shared" si="501"/>
        <v>0</v>
      </c>
      <c r="J3850">
        <v>16779</v>
      </c>
      <c r="K3850" s="367">
        <f t="shared" si="499"/>
        <v>11985</v>
      </c>
      <c r="L3850">
        <v>0.5</v>
      </c>
      <c r="M3850">
        <v>4.1999999999999993</v>
      </c>
      <c r="N3850">
        <v>27</v>
      </c>
      <c r="O3850">
        <v>6</v>
      </c>
      <c r="P3850" t="s">
        <v>515</v>
      </c>
      <c r="Q3850" s="97">
        <f t="shared" si="502"/>
        <v>165</v>
      </c>
      <c r="R3850" t="str">
        <f t="shared" si="503"/>
        <v/>
      </c>
    </row>
    <row r="3851" spans="3:18">
      <c r="C3851" t="str">
        <f t="shared" si="498"/>
        <v/>
      </c>
      <c r="D3851">
        <v>166</v>
      </c>
      <c r="E3851">
        <v>165</v>
      </c>
      <c r="F3851" s="366">
        <f t="shared" si="504"/>
        <v>3580.5</v>
      </c>
      <c r="G3851" s="97">
        <v>6392</v>
      </c>
      <c r="H3851" s="367">
        <f t="shared" si="500"/>
        <v>9972.5</v>
      </c>
      <c r="I3851" s="368">
        <f t="shared" si="501"/>
        <v>0</v>
      </c>
      <c r="J3851">
        <v>19889</v>
      </c>
      <c r="K3851" s="367">
        <f t="shared" si="499"/>
        <v>14206.428571428572</v>
      </c>
      <c r="L3851">
        <v>0.78</v>
      </c>
      <c r="M3851">
        <v>5.5</v>
      </c>
      <c r="N3851">
        <v>28</v>
      </c>
      <c r="O3851">
        <v>8</v>
      </c>
      <c r="P3851" t="s">
        <v>514</v>
      </c>
      <c r="Q3851" s="97" t="str">
        <f t="shared" si="502"/>
        <v/>
      </c>
      <c r="R3851" t="str">
        <f t="shared" si="503"/>
        <v/>
      </c>
    </row>
    <row r="3852" spans="3:18">
      <c r="C3852" t="str">
        <f t="shared" si="498"/>
        <v/>
      </c>
      <c r="D3852">
        <v>167</v>
      </c>
      <c r="E3852">
        <v>165</v>
      </c>
      <c r="F3852" s="366">
        <f t="shared" si="504"/>
        <v>3580.5</v>
      </c>
      <c r="G3852" s="97">
        <v>5662</v>
      </c>
      <c r="H3852" s="367">
        <f t="shared" si="500"/>
        <v>9242.5</v>
      </c>
      <c r="I3852" s="368">
        <f t="shared" si="501"/>
        <v>0</v>
      </c>
      <c r="J3852">
        <v>17616</v>
      </c>
      <c r="K3852" s="367">
        <f t="shared" si="499"/>
        <v>12582.857142857143</v>
      </c>
      <c r="L3852">
        <v>0.28000000000000003</v>
      </c>
      <c r="M3852">
        <v>5.5</v>
      </c>
      <c r="N3852">
        <v>25</v>
      </c>
      <c r="O3852">
        <v>8</v>
      </c>
      <c r="P3852" t="s">
        <v>515</v>
      </c>
      <c r="Q3852" s="97">
        <f t="shared" si="502"/>
        <v>167</v>
      </c>
      <c r="R3852" t="str">
        <f t="shared" si="503"/>
        <v/>
      </c>
    </row>
    <row r="3853" spans="3:18">
      <c r="C3853" t="str">
        <f t="shared" si="498"/>
        <v/>
      </c>
      <c r="D3853">
        <v>168</v>
      </c>
      <c r="E3853">
        <v>170</v>
      </c>
      <c r="F3853" s="366">
        <f t="shared" si="504"/>
        <v>3689</v>
      </c>
      <c r="G3853" s="97">
        <v>5516</v>
      </c>
      <c r="H3853" s="367">
        <f t="shared" si="500"/>
        <v>9205</v>
      </c>
      <c r="I3853" s="368">
        <f t="shared" si="501"/>
        <v>0</v>
      </c>
      <c r="J3853">
        <v>17163</v>
      </c>
      <c r="K3853" s="367">
        <f t="shared" si="499"/>
        <v>12259.285714285714</v>
      </c>
      <c r="L3853">
        <v>0.53</v>
      </c>
      <c r="M3853">
        <v>4.1999999999999993</v>
      </c>
      <c r="N3853">
        <v>28</v>
      </c>
      <c r="O3853">
        <v>6</v>
      </c>
      <c r="P3853" t="s">
        <v>515</v>
      </c>
      <c r="Q3853" s="97">
        <f t="shared" si="502"/>
        <v>168</v>
      </c>
      <c r="R3853" t="str">
        <f t="shared" si="503"/>
        <v/>
      </c>
    </row>
    <row r="3854" spans="3:18">
      <c r="C3854" t="str">
        <f t="shared" si="498"/>
        <v/>
      </c>
      <c r="D3854">
        <v>169</v>
      </c>
      <c r="E3854">
        <v>170</v>
      </c>
      <c r="F3854" s="366">
        <f t="shared" si="504"/>
        <v>3689</v>
      </c>
      <c r="G3854" s="97">
        <v>6539</v>
      </c>
      <c r="H3854" s="367">
        <f t="shared" si="500"/>
        <v>10228</v>
      </c>
      <c r="I3854" s="368">
        <f t="shared" si="501"/>
        <v>0</v>
      </c>
      <c r="J3854">
        <v>20344</v>
      </c>
      <c r="K3854" s="367">
        <f t="shared" si="499"/>
        <v>14531.428571428572</v>
      </c>
      <c r="L3854">
        <v>0.83</v>
      </c>
      <c r="M3854">
        <v>5.5</v>
      </c>
      <c r="N3854">
        <v>28</v>
      </c>
      <c r="O3854">
        <v>8</v>
      </c>
      <c r="P3854" t="s">
        <v>514</v>
      </c>
      <c r="Q3854" s="97" t="str">
        <f t="shared" si="502"/>
        <v/>
      </c>
      <c r="R3854" t="str">
        <f t="shared" si="503"/>
        <v/>
      </c>
    </row>
    <row r="3855" spans="3:18">
      <c r="C3855" t="str">
        <f t="shared" si="498"/>
        <v/>
      </c>
      <c r="D3855">
        <v>170</v>
      </c>
      <c r="E3855">
        <v>170</v>
      </c>
      <c r="F3855" s="366">
        <f t="shared" si="504"/>
        <v>3689</v>
      </c>
      <c r="G3855" s="97">
        <v>5793</v>
      </c>
      <c r="H3855" s="367">
        <f t="shared" si="500"/>
        <v>9482</v>
      </c>
      <c r="I3855" s="368">
        <f t="shared" si="501"/>
        <v>0</v>
      </c>
      <c r="J3855">
        <v>18023</v>
      </c>
      <c r="K3855" s="367">
        <f t="shared" si="499"/>
        <v>12873.571428571429</v>
      </c>
      <c r="L3855">
        <v>0.3</v>
      </c>
      <c r="M3855">
        <v>5.5</v>
      </c>
      <c r="N3855">
        <v>25</v>
      </c>
      <c r="O3855">
        <v>8</v>
      </c>
      <c r="P3855" t="s">
        <v>515</v>
      </c>
      <c r="Q3855" s="97">
        <f t="shared" si="502"/>
        <v>170</v>
      </c>
      <c r="R3855" t="str">
        <f t="shared" si="503"/>
        <v/>
      </c>
    </row>
    <row r="3856" spans="3:18">
      <c r="C3856" t="str">
        <f t="shared" si="498"/>
        <v/>
      </c>
      <c r="D3856">
        <v>171</v>
      </c>
      <c r="E3856">
        <v>175</v>
      </c>
      <c r="F3856" s="366">
        <f t="shared" si="504"/>
        <v>3797.5</v>
      </c>
      <c r="G3856" s="97">
        <v>5634</v>
      </c>
      <c r="H3856" s="367">
        <f t="shared" si="500"/>
        <v>9431.5</v>
      </c>
      <c r="I3856" s="368">
        <f t="shared" si="501"/>
        <v>0</v>
      </c>
      <c r="J3856">
        <v>17528</v>
      </c>
      <c r="K3856" s="367">
        <f t="shared" si="499"/>
        <v>12520</v>
      </c>
      <c r="L3856">
        <v>0.56000000000000005</v>
      </c>
      <c r="M3856">
        <v>4.1999999999999993</v>
      </c>
      <c r="N3856">
        <v>28</v>
      </c>
      <c r="O3856">
        <v>6</v>
      </c>
      <c r="P3856" t="s">
        <v>515</v>
      </c>
      <c r="Q3856" s="97">
        <f t="shared" si="502"/>
        <v>171</v>
      </c>
      <c r="R3856" t="str">
        <f t="shared" si="503"/>
        <v/>
      </c>
    </row>
    <row r="3857" spans="3:18">
      <c r="C3857" t="str">
        <f t="shared" si="498"/>
        <v/>
      </c>
      <c r="D3857">
        <v>172</v>
      </c>
      <c r="E3857">
        <v>175</v>
      </c>
      <c r="F3857" s="366">
        <f t="shared" si="504"/>
        <v>3797.5</v>
      </c>
      <c r="G3857" s="97">
        <v>6683</v>
      </c>
      <c r="H3857" s="367">
        <f t="shared" si="500"/>
        <v>10480.5</v>
      </c>
      <c r="I3857" s="368">
        <f t="shared" si="501"/>
        <v>0</v>
      </c>
      <c r="J3857">
        <v>20792</v>
      </c>
      <c r="K3857" s="367">
        <f t="shared" si="499"/>
        <v>14851.428571428572</v>
      </c>
      <c r="L3857">
        <v>0.88</v>
      </c>
      <c r="M3857">
        <v>5.5</v>
      </c>
      <c r="N3857">
        <v>28</v>
      </c>
      <c r="O3857">
        <v>8</v>
      </c>
      <c r="P3857" t="s">
        <v>514</v>
      </c>
      <c r="Q3857" s="97" t="str">
        <f t="shared" si="502"/>
        <v/>
      </c>
      <c r="R3857" t="str">
        <f t="shared" si="503"/>
        <v/>
      </c>
    </row>
    <row r="3858" spans="3:18">
      <c r="C3858" t="str">
        <f t="shared" si="498"/>
        <v/>
      </c>
      <c r="D3858">
        <v>173</v>
      </c>
      <c r="E3858">
        <v>175</v>
      </c>
      <c r="F3858" s="366">
        <f t="shared" si="504"/>
        <v>3797.5</v>
      </c>
      <c r="G3858" s="97">
        <v>5924</v>
      </c>
      <c r="H3858" s="367">
        <f t="shared" si="500"/>
        <v>9721.5</v>
      </c>
      <c r="I3858" s="368">
        <f t="shared" si="501"/>
        <v>0</v>
      </c>
      <c r="J3858">
        <v>18431</v>
      </c>
      <c r="K3858" s="367">
        <f t="shared" si="499"/>
        <v>13165</v>
      </c>
      <c r="L3858">
        <v>0.31</v>
      </c>
      <c r="M3858">
        <v>5.5</v>
      </c>
      <c r="N3858">
        <v>25</v>
      </c>
      <c r="O3858">
        <v>8</v>
      </c>
      <c r="P3858" t="s">
        <v>515</v>
      </c>
      <c r="Q3858" s="97">
        <f t="shared" si="502"/>
        <v>173</v>
      </c>
      <c r="R3858" t="str">
        <f t="shared" si="503"/>
        <v/>
      </c>
    </row>
    <row r="3859" spans="3:18">
      <c r="C3859" t="str">
        <f t="shared" si="498"/>
        <v/>
      </c>
      <c r="D3859">
        <v>174</v>
      </c>
      <c r="E3859">
        <v>180</v>
      </c>
      <c r="F3859" s="366">
        <f t="shared" si="504"/>
        <v>3906</v>
      </c>
      <c r="G3859" s="97">
        <v>5751</v>
      </c>
      <c r="H3859" s="367">
        <f t="shared" si="500"/>
        <v>9657</v>
      </c>
      <c r="I3859" s="368">
        <f t="shared" si="501"/>
        <v>0</v>
      </c>
      <c r="J3859">
        <v>17893</v>
      </c>
      <c r="K3859" s="367">
        <f t="shared" si="499"/>
        <v>12780.714285714286</v>
      </c>
      <c r="L3859">
        <v>0.6</v>
      </c>
      <c r="M3859">
        <v>4.1999999999999993</v>
      </c>
      <c r="N3859">
        <v>29</v>
      </c>
      <c r="O3859">
        <v>6</v>
      </c>
      <c r="P3859" t="s">
        <v>515</v>
      </c>
      <c r="Q3859" s="97">
        <f t="shared" si="502"/>
        <v>174</v>
      </c>
      <c r="R3859" t="str">
        <f t="shared" si="503"/>
        <v/>
      </c>
    </row>
    <row r="3860" spans="3:18">
      <c r="C3860" t="str">
        <f t="shared" si="498"/>
        <v/>
      </c>
      <c r="D3860">
        <v>175</v>
      </c>
      <c r="E3860">
        <v>180</v>
      </c>
      <c r="F3860" s="366">
        <f t="shared" si="504"/>
        <v>3906</v>
      </c>
      <c r="G3860" s="97">
        <v>6820</v>
      </c>
      <c r="H3860" s="367">
        <f t="shared" si="500"/>
        <v>10726</v>
      </c>
      <c r="I3860" s="368">
        <f t="shared" si="501"/>
        <v>0</v>
      </c>
      <c r="J3860">
        <v>21219</v>
      </c>
      <c r="K3860" s="367">
        <f t="shared" si="499"/>
        <v>15156.428571428572</v>
      </c>
      <c r="L3860">
        <v>0.93</v>
      </c>
      <c r="M3860">
        <v>5.5</v>
      </c>
      <c r="N3860">
        <v>29</v>
      </c>
      <c r="O3860">
        <v>8</v>
      </c>
      <c r="P3860" t="s">
        <v>514</v>
      </c>
      <c r="Q3860" s="97" t="str">
        <f t="shared" si="502"/>
        <v/>
      </c>
      <c r="R3860" t="str">
        <f t="shared" si="503"/>
        <v/>
      </c>
    </row>
    <row r="3861" spans="3:18">
      <c r="C3861" t="str">
        <f t="shared" si="498"/>
        <v/>
      </c>
      <c r="D3861">
        <v>176</v>
      </c>
      <c r="E3861">
        <v>180</v>
      </c>
      <c r="F3861" s="366">
        <f t="shared" si="504"/>
        <v>3906</v>
      </c>
      <c r="G3861" s="97">
        <v>6051</v>
      </c>
      <c r="H3861" s="367">
        <f t="shared" si="500"/>
        <v>9957</v>
      </c>
      <c r="I3861" s="368">
        <f t="shared" si="501"/>
        <v>0</v>
      </c>
      <c r="J3861">
        <v>18825</v>
      </c>
      <c r="K3861" s="367">
        <f t="shared" si="499"/>
        <v>13446.428571428572</v>
      </c>
      <c r="L3861">
        <v>0.33</v>
      </c>
      <c r="M3861">
        <v>5.5</v>
      </c>
      <c r="N3861">
        <v>26</v>
      </c>
      <c r="O3861">
        <v>8</v>
      </c>
      <c r="P3861" t="s">
        <v>515</v>
      </c>
      <c r="Q3861" s="97">
        <f t="shared" si="502"/>
        <v>176</v>
      </c>
      <c r="R3861" t="str">
        <f t="shared" si="503"/>
        <v/>
      </c>
    </row>
    <row r="3862" spans="3:18">
      <c r="C3862" t="str">
        <f t="shared" ref="C3862:C3925" si="505">IF(OR($O$4=0,O3862-$O$4=0),IF(AND(ISEVEN(O3862)=FALSE,$N$4="Even"),"NL",""),"NL")</f>
        <v/>
      </c>
      <c r="D3862">
        <v>177</v>
      </c>
      <c r="E3862">
        <v>185</v>
      </c>
      <c r="F3862" s="366">
        <f t="shared" si="504"/>
        <v>4014.5</v>
      </c>
      <c r="G3862" s="97">
        <v>5868</v>
      </c>
      <c r="H3862" s="367">
        <f t="shared" si="500"/>
        <v>9882.5</v>
      </c>
      <c r="I3862" s="368">
        <f t="shared" si="501"/>
        <v>0</v>
      </c>
      <c r="J3862">
        <v>18258</v>
      </c>
      <c r="K3862" s="367">
        <f t="shared" ref="K3862:K3910" si="506">(J3862*$V$7)-I3862</f>
        <v>13041.428571428572</v>
      </c>
      <c r="L3862">
        <v>0.63</v>
      </c>
      <c r="M3862">
        <v>4.1999999999999993</v>
      </c>
      <c r="N3862">
        <v>29</v>
      </c>
      <c r="O3862">
        <v>6</v>
      </c>
      <c r="P3862" t="s">
        <v>515</v>
      </c>
      <c r="Q3862" s="97">
        <f t="shared" si="502"/>
        <v>177</v>
      </c>
      <c r="R3862" t="str">
        <f t="shared" si="503"/>
        <v/>
      </c>
    </row>
    <row r="3863" spans="3:18">
      <c r="C3863" t="str">
        <f t="shared" si="505"/>
        <v/>
      </c>
      <c r="D3863">
        <v>178</v>
      </c>
      <c r="E3863">
        <v>185</v>
      </c>
      <c r="F3863" s="366">
        <f t="shared" si="504"/>
        <v>4014.5</v>
      </c>
      <c r="G3863" s="97">
        <v>6957</v>
      </c>
      <c r="H3863" s="367">
        <f t="shared" si="500"/>
        <v>10971.5</v>
      </c>
      <c r="I3863" s="368">
        <f t="shared" si="501"/>
        <v>0</v>
      </c>
      <c r="J3863">
        <v>21646</v>
      </c>
      <c r="K3863" s="367">
        <f t="shared" si="506"/>
        <v>15461.428571428572</v>
      </c>
      <c r="L3863">
        <v>0.98</v>
      </c>
      <c r="M3863">
        <v>5.5</v>
      </c>
      <c r="N3863">
        <v>29</v>
      </c>
      <c r="O3863">
        <v>8</v>
      </c>
      <c r="P3863" t="s">
        <v>514</v>
      </c>
      <c r="Q3863" s="97" t="str">
        <f t="shared" si="502"/>
        <v/>
      </c>
      <c r="R3863" t="str">
        <f t="shared" si="503"/>
        <v/>
      </c>
    </row>
    <row r="3864" spans="3:18">
      <c r="C3864" t="str">
        <f t="shared" si="505"/>
        <v/>
      </c>
      <c r="D3864">
        <v>179</v>
      </c>
      <c r="E3864">
        <v>185</v>
      </c>
      <c r="F3864" s="366">
        <f t="shared" si="504"/>
        <v>4014.5</v>
      </c>
      <c r="G3864" s="97">
        <v>6175</v>
      </c>
      <c r="H3864" s="367">
        <f t="shared" si="500"/>
        <v>10189.5</v>
      </c>
      <c r="I3864" s="368">
        <f t="shared" si="501"/>
        <v>0</v>
      </c>
      <c r="J3864">
        <v>19213</v>
      </c>
      <c r="K3864" s="367">
        <f t="shared" si="506"/>
        <v>13723.571428571429</v>
      </c>
      <c r="L3864">
        <v>0.35000000000000003</v>
      </c>
      <c r="M3864">
        <v>5.5</v>
      </c>
      <c r="N3864">
        <v>26</v>
      </c>
      <c r="O3864">
        <v>8</v>
      </c>
      <c r="P3864" t="s">
        <v>515</v>
      </c>
      <c r="Q3864" s="97">
        <f t="shared" si="502"/>
        <v>179</v>
      </c>
      <c r="R3864" t="str">
        <f t="shared" si="503"/>
        <v/>
      </c>
    </row>
    <row r="3865" spans="3:18">
      <c r="C3865" t="str">
        <f t="shared" si="505"/>
        <v/>
      </c>
      <c r="D3865">
        <v>180</v>
      </c>
      <c r="E3865">
        <v>190</v>
      </c>
      <c r="F3865" s="366">
        <f t="shared" si="504"/>
        <v>4123</v>
      </c>
      <c r="G3865" s="97">
        <v>5985</v>
      </c>
      <c r="H3865" s="367">
        <f t="shared" si="500"/>
        <v>10108</v>
      </c>
      <c r="I3865" s="368">
        <f t="shared" si="501"/>
        <v>0</v>
      </c>
      <c r="J3865">
        <v>18620</v>
      </c>
      <c r="K3865" s="367">
        <f t="shared" si="506"/>
        <v>13300</v>
      </c>
      <c r="L3865">
        <v>0.66</v>
      </c>
      <c r="M3865">
        <v>4.1999999999999993</v>
      </c>
      <c r="N3865">
        <v>29</v>
      </c>
      <c r="O3865">
        <v>6</v>
      </c>
      <c r="P3865" t="s">
        <v>515</v>
      </c>
      <c r="Q3865" s="97">
        <f t="shared" si="502"/>
        <v>180</v>
      </c>
      <c r="R3865" t="str">
        <f t="shared" si="503"/>
        <v/>
      </c>
    </row>
    <row r="3866" spans="3:18">
      <c r="C3866" t="str">
        <f t="shared" si="505"/>
        <v/>
      </c>
      <c r="D3866">
        <v>181</v>
      </c>
      <c r="E3866">
        <v>190</v>
      </c>
      <c r="F3866" s="366">
        <f t="shared" si="504"/>
        <v>4123</v>
      </c>
      <c r="G3866" s="97">
        <v>7095</v>
      </c>
      <c r="H3866" s="367">
        <f t="shared" si="500"/>
        <v>11218</v>
      </c>
      <c r="I3866" s="368">
        <f t="shared" si="501"/>
        <v>0</v>
      </c>
      <c r="J3866">
        <v>22073</v>
      </c>
      <c r="K3866" s="367">
        <f t="shared" si="506"/>
        <v>15766.428571428572</v>
      </c>
      <c r="L3866">
        <v>1.04</v>
      </c>
      <c r="M3866">
        <v>5.5</v>
      </c>
      <c r="N3866">
        <v>29</v>
      </c>
      <c r="O3866">
        <v>8</v>
      </c>
      <c r="P3866" t="s">
        <v>514</v>
      </c>
      <c r="Q3866" s="97" t="str">
        <f t="shared" si="502"/>
        <v/>
      </c>
      <c r="R3866" t="str">
        <f t="shared" si="503"/>
        <v/>
      </c>
    </row>
    <row r="3867" spans="3:18">
      <c r="C3867" t="str">
        <f t="shared" si="505"/>
        <v/>
      </c>
      <c r="D3867">
        <v>182</v>
      </c>
      <c r="E3867">
        <v>190</v>
      </c>
      <c r="F3867" s="366">
        <f t="shared" si="504"/>
        <v>4123</v>
      </c>
      <c r="G3867" s="97">
        <v>6300</v>
      </c>
      <c r="H3867" s="367">
        <f t="shared" si="500"/>
        <v>10423</v>
      </c>
      <c r="I3867" s="368">
        <f t="shared" si="501"/>
        <v>0</v>
      </c>
      <c r="J3867">
        <v>19602</v>
      </c>
      <c r="K3867" s="367">
        <f t="shared" si="506"/>
        <v>14001.428571428572</v>
      </c>
      <c r="L3867">
        <v>0.37</v>
      </c>
      <c r="M3867">
        <v>5.5</v>
      </c>
      <c r="N3867">
        <v>26</v>
      </c>
      <c r="O3867">
        <v>8</v>
      </c>
      <c r="P3867" t="s">
        <v>515</v>
      </c>
      <c r="Q3867" s="97">
        <f t="shared" si="502"/>
        <v>182</v>
      </c>
      <c r="R3867" t="str">
        <f t="shared" si="503"/>
        <v/>
      </c>
    </row>
    <row r="3868" spans="3:18">
      <c r="C3868" t="str">
        <f t="shared" si="505"/>
        <v/>
      </c>
      <c r="D3868">
        <v>183</v>
      </c>
      <c r="E3868">
        <v>195</v>
      </c>
      <c r="F3868" s="366">
        <f t="shared" si="504"/>
        <v>4231.5</v>
      </c>
      <c r="G3868" s="97">
        <v>6097</v>
      </c>
      <c r="H3868" s="367">
        <f t="shared" si="500"/>
        <v>10328.5</v>
      </c>
      <c r="I3868" s="368">
        <f t="shared" si="501"/>
        <v>0</v>
      </c>
      <c r="J3868">
        <v>18968</v>
      </c>
      <c r="K3868" s="367">
        <f t="shared" si="506"/>
        <v>13548.571428571429</v>
      </c>
      <c r="L3868">
        <v>0.7</v>
      </c>
      <c r="M3868">
        <v>4.1999999999999993</v>
      </c>
      <c r="N3868">
        <v>30</v>
      </c>
      <c r="O3868">
        <v>6</v>
      </c>
      <c r="P3868" t="s">
        <v>515</v>
      </c>
      <c r="Q3868" s="97">
        <f t="shared" si="502"/>
        <v>183</v>
      </c>
      <c r="R3868" t="str">
        <f t="shared" si="503"/>
        <v/>
      </c>
    </row>
    <row r="3869" spans="3:18">
      <c r="C3869" t="str">
        <f t="shared" si="505"/>
        <v/>
      </c>
      <c r="D3869">
        <v>184</v>
      </c>
      <c r="E3869">
        <v>195</v>
      </c>
      <c r="F3869" s="366">
        <f t="shared" si="504"/>
        <v>4231.5</v>
      </c>
      <c r="G3869" s="97">
        <v>7232</v>
      </c>
      <c r="H3869" s="367">
        <f t="shared" si="500"/>
        <v>11463.5</v>
      </c>
      <c r="I3869" s="368">
        <f t="shared" si="501"/>
        <v>0</v>
      </c>
      <c r="J3869">
        <v>22500</v>
      </c>
      <c r="K3869" s="367">
        <f t="shared" si="506"/>
        <v>16071.428571428572</v>
      </c>
      <c r="L3869">
        <v>1.0900000000000001</v>
      </c>
      <c r="M3869">
        <v>5.5</v>
      </c>
      <c r="N3869">
        <v>30</v>
      </c>
      <c r="O3869">
        <v>8</v>
      </c>
      <c r="P3869" t="s">
        <v>514</v>
      </c>
      <c r="Q3869" s="97" t="str">
        <f t="shared" si="502"/>
        <v/>
      </c>
      <c r="R3869" t="str">
        <f t="shared" si="503"/>
        <v/>
      </c>
    </row>
    <row r="3870" spans="3:18">
      <c r="C3870" t="str">
        <f t="shared" si="505"/>
        <v/>
      </c>
      <c r="D3870">
        <v>185</v>
      </c>
      <c r="E3870">
        <v>195</v>
      </c>
      <c r="F3870" s="366">
        <f t="shared" si="504"/>
        <v>4231.5</v>
      </c>
      <c r="G3870" s="97">
        <v>6425</v>
      </c>
      <c r="H3870" s="367">
        <f t="shared" si="500"/>
        <v>10656.5</v>
      </c>
      <c r="I3870" s="368">
        <f t="shared" si="501"/>
        <v>0</v>
      </c>
      <c r="J3870">
        <v>19990</v>
      </c>
      <c r="K3870" s="367">
        <f t="shared" si="506"/>
        <v>14278.571428571429</v>
      </c>
      <c r="L3870">
        <v>0.39</v>
      </c>
      <c r="M3870">
        <v>5.5</v>
      </c>
      <c r="N3870">
        <v>27</v>
      </c>
      <c r="O3870">
        <v>8</v>
      </c>
      <c r="P3870" t="s">
        <v>515</v>
      </c>
      <c r="Q3870" s="97">
        <f t="shared" si="502"/>
        <v>185</v>
      </c>
      <c r="R3870" t="str">
        <f t="shared" si="503"/>
        <v/>
      </c>
    </row>
    <row r="3871" spans="3:18">
      <c r="C3871" t="str">
        <f t="shared" si="505"/>
        <v/>
      </c>
      <c r="D3871">
        <v>186</v>
      </c>
      <c r="E3871">
        <v>200</v>
      </c>
      <c r="F3871" s="366">
        <f t="shared" si="504"/>
        <v>4340</v>
      </c>
      <c r="G3871" s="97">
        <v>6208</v>
      </c>
      <c r="H3871" s="367">
        <f t="shared" si="500"/>
        <v>10548</v>
      </c>
      <c r="I3871" s="368">
        <f t="shared" si="501"/>
        <v>0</v>
      </c>
      <c r="J3871">
        <v>19316</v>
      </c>
      <c r="K3871" s="367">
        <f t="shared" si="506"/>
        <v>13797.142857142857</v>
      </c>
      <c r="L3871">
        <v>0.74</v>
      </c>
      <c r="M3871">
        <v>4.1999999999999993</v>
      </c>
      <c r="N3871">
        <v>30</v>
      </c>
      <c r="O3871">
        <v>6</v>
      </c>
      <c r="P3871" t="s">
        <v>515</v>
      </c>
      <c r="Q3871" s="97" t="str">
        <f t="shared" si="502"/>
        <v/>
      </c>
      <c r="R3871" t="str">
        <f t="shared" si="503"/>
        <v/>
      </c>
    </row>
    <row r="3872" spans="3:18">
      <c r="C3872" t="str">
        <f t="shared" si="505"/>
        <v/>
      </c>
      <c r="D3872">
        <v>187</v>
      </c>
      <c r="E3872">
        <v>200</v>
      </c>
      <c r="F3872" s="366">
        <f t="shared" si="504"/>
        <v>4340</v>
      </c>
      <c r="G3872" s="97">
        <v>6550</v>
      </c>
      <c r="H3872" s="367">
        <f t="shared" si="500"/>
        <v>10890</v>
      </c>
      <c r="I3872" s="368">
        <f t="shared" si="501"/>
        <v>0</v>
      </c>
      <c r="J3872">
        <v>20378</v>
      </c>
      <c r="K3872" s="367">
        <f t="shared" si="506"/>
        <v>14555.714285714286</v>
      </c>
      <c r="L3872">
        <v>0.41000000000000003</v>
      </c>
      <c r="M3872">
        <v>5.5</v>
      </c>
      <c r="N3872">
        <v>27</v>
      </c>
      <c r="O3872">
        <v>8</v>
      </c>
      <c r="P3872" t="s">
        <v>515</v>
      </c>
      <c r="Q3872" s="97">
        <f t="shared" si="502"/>
        <v>187</v>
      </c>
      <c r="R3872" t="str">
        <f t="shared" si="503"/>
        <v/>
      </c>
    </row>
    <row r="3873" spans="3:18">
      <c r="C3873" t="str">
        <f t="shared" si="505"/>
        <v/>
      </c>
      <c r="D3873">
        <v>188</v>
      </c>
      <c r="E3873">
        <v>205</v>
      </c>
      <c r="F3873" s="366">
        <f t="shared" si="504"/>
        <v>4448.5</v>
      </c>
      <c r="G3873" s="97">
        <v>6320</v>
      </c>
      <c r="H3873" s="367">
        <f t="shared" si="500"/>
        <v>10768.5</v>
      </c>
      <c r="I3873" s="368">
        <f t="shared" si="501"/>
        <v>0</v>
      </c>
      <c r="J3873">
        <v>19664</v>
      </c>
      <c r="K3873" s="367">
        <f t="shared" si="506"/>
        <v>14045.714285714286</v>
      </c>
      <c r="L3873">
        <v>0.77</v>
      </c>
      <c r="M3873">
        <v>4.1999999999999993</v>
      </c>
      <c r="N3873">
        <v>30</v>
      </c>
      <c r="O3873">
        <v>6</v>
      </c>
      <c r="P3873" t="s">
        <v>515</v>
      </c>
      <c r="Q3873" s="97" t="str">
        <f t="shared" si="502"/>
        <v/>
      </c>
      <c r="R3873" t="str">
        <f t="shared" si="503"/>
        <v/>
      </c>
    </row>
    <row r="3874" spans="3:18">
      <c r="C3874" t="str">
        <f t="shared" si="505"/>
        <v/>
      </c>
      <c r="D3874">
        <v>189</v>
      </c>
      <c r="E3874">
        <v>205</v>
      </c>
      <c r="F3874" s="366">
        <f t="shared" si="504"/>
        <v>4448.5</v>
      </c>
      <c r="G3874" s="97">
        <v>6673</v>
      </c>
      <c r="H3874" s="367">
        <f t="shared" si="500"/>
        <v>11121.5</v>
      </c>
      <c r="I3874" s="368">
        <f t="shared" si="501"/>
        <v>0</v>
      </c>
      <c r="J3874">
        <v>20761</v>
      </c>
      <c r="K3874" s="367">
        <f t="shared" si="506"/>
        <v>14829.285714285714</v>
      </c>
      <c r="L3874">
        <v>0.43</v>
      </c>
      <c r="M3874">
        <v>5.5</v>
      </c>
      <c r="N3874">
        <v>27</v>
      </c>
      <c r="O3874">
        <v>8</v>
      </c>
      <c r="P3874" t="s">
        <v>515</v>
      </c>
      <c r="Q3874" s="97">
        <f t="shared" si="502"/>
        <v>189</v>
      </c>
      <c r="R3874" t="str">
        <f t="shared" si="503"/>
        <v/>
      </c>
    </row>
    <row r="3875" spans="3:18">
      <c r="C3875" t="str">
        <f t="shared" si="505"/>
        <v/>
      </c>
      <c r="D3875">
        <v>190</v>
      </c>
      <c r="E3875">
        <v>210</v>
      </c>
      <c r="F3875" s="366">
        <f t="shared" si="504"/>
        <v>4557</v>
      </c>
      <c r="G3875" s="97">
        <v>6431</v>
      </c>
      <c r="H3875" s="367">
        <f t="shared" si="500"/>
        <v>10988</v>
      </c>
      <c r="I3875" s="368">
        <f t="shared" si="501"/>
        <v>0</v>
      </c>
      <c r="J3875">
        <v>20009</v>
      </c>
      <c r="K3875" s="367">
        <f t="shared" si="506"/>
        <v>14292.142857142857</v>
      </c>
      <c r="L3875">
        <v>0.81</v>
      </c>
      <c r="M3875">
        <v>4.1999999999999993</v>
      </c>
      <c r="N3875">
        <v>31</v>
      </c>
      <c r="O3875">
        <v>6</v>
      </c>
      <c r="P3875" t="s">
        <v>515</v>
      </c>
      <c r="Q3875" s="97" t="str">
        <f t="shared" si="502"/>
        <v/>
      </c>
      <c r="R3875" t="str">
        <f t="shared" si="503"/>
        <v/>
      </c>
    </row>
    <row r="3876" spans="3:18">
      <c r="C3876" t="str">
        <f t="shared" si="505"/>
        <v/>
      </c>
      <c r="D3876">
        <v>191</v>
      </c>
      <c r="E3876">
        <v>210</v>
      </c>
      <c r="F3876" s="366">
        <f t="shared" si="504"/>
        <v>4557</v>
      </c>
      <c r="G3876" s="97">
        <v>6790</v>
      </c>
      <c r="H3876" s="367">
        <f t="shared" si="500"/>
        <v>11347</v>
      </c>
      <c r="I3876" s="368">
        <f t="shared" si="501"/>
        <v>0</v>
      </c>
      <c r="J3876">
        <v>21124</v>
      </c>
      <c r="K3876" s="367">
        <f t="shared" si="506"/>
        <v>15088.571428571429</v>
      </c>
      <c r="L3876">
        <v>0.45</v>
      </c>
      <c r="M3876">
        <v>5.5</v>
      </c>
      <c r="N3876">
        <v>28</v>
      </c>
      <c r="O3876">
        <v>8</v>
      </c>
      <c r="P3876" t="s">
        <v>515</v>
      </c>
      <c r="Q3876" s="97">
        <f t="shared" si="502"/>
        <v>191</v>
      </c>
      <c r="R3876" t="str">
        <f t="shared" si="503"/>
        <v/>
      </c>
    </row>
    <row r="3877" spans="3:18">
      <c r="C3877" t="str">
        <f t="shared" si="505"/>
        <v/>
      </c>
      <c r="D3877">
        <v>192</v>
      </c>
      <c r="E3877">
        <v>215</v>
      </c>
      <c r="F3877" s="366">
        <f t="shared" si="504"/>
        <v>4665.5</v>
      </c>
      <c r="G3877" s="97">
        <v>6537</v>
      </c>
      <c r="H3877" s="367">
        <f t="shared" si="500"/>
        <v>11202.5</v>
      </c>
      <c r="I3877" s="368">
        <f t="shared" si="501"/>
        <v>0</v>
      </c>
      <c r="J3877">
        <v>20339</v>
      </c>
      <c r="K3877" s="367">
        <f t="shared" si="506"/>
        <v>14527.857142857143</v>
      </c>
      <c r="L3877">
        <v>0.85</v>
      </c>
      <c r="M3877">
        <v>4.1999999999999993</v>
      </c>
      <c r="N3877">
        <v>31</v>
      </c>
      <c r="O3877">
        <v>6</v>
      </c>
      <c r="P3877" t="s">
        <v>515</v>
      </c>
      <c r="Q3877" s="97" t="str">
        <f t="shared" si="502"/>
        <v/>
      </c>
      <c r="R3877" t="str">
        <f t="shared" si="503"/>
        <v/>
      </c>
    </row>
    <row r="3878" spans="3:18">
      <c r="C3878" t="str">
        <f t="shared" si="505"/>
        <v/>
      </c>
      <c r="D3878">
        <v>193</v>
      </c>
      <c r="E3878">
        <v>215</v>
      </c>
      <c r="F3878" s="366">
        <f t="shared" si="504"/>
        <v>4665.5</v>
      </c>
      <c r="G3878" s="97">
        <v>6907</v>
      </c>
      <c r="H3878" s="367">
        <f t="shared" si="500"/>
        <v>11572.5</v>
      </c>
      <c r="I3878" s="368">
        <f t="shared" si="501"/>
        <v>0</v>
      </c>
      <c r="J3878">
        <v>21488</v>
      </c>
      <c r="K3878" s="367">
        <f t="shared" si="506"/>
        <v>15348.571428571429</v>
      </c>
      <c r="L3878">
        <v>0.47000000000000003</v>
      </c>
      <c r="M3878">
        <v>5.5</v>
      </c>
      <c r="N3878">
        <v>28</v>
      </c>
      <c r="O3878">
        <v>8</v>
      </c>
      <c r="P3878" t="s">
        <v>515</v>
      </c>
      <c r="Q3878" s="97">
        <f t="shared" si="502"/>
        <v>193</v>
      </c>
      <c r="R3878" t="str">
        <f t="shared" si="503"/>
        <v/>
      </c>
    </row>
    <row r="3879" spans="3:18">
      <c r="C3879" t="str">
        <f t="shared" si="505"/>
        <v/>
      </c>
      <c r="D3879">
        <v>194</v>
      </c>
      <c r="E3879">
        <v>220</v>
      </c>
      <c r="F3879" s="366">
        <f t="shared" si="504"/>
        <v>4774</v>
      </c>
      <c r="G3879" s="97">
        <v>6643</v>
      </c>
      <c r="H3879" s="367">
        <f t="shared" ref="H3879:H3910" si="507">(G3879*$U$7)+F3879</f>
        <v>11417</v>
      </c>
      <c r="I3879" s="368">
        <f t="shared" ref="I3879:I3910" si="508">1.085*($C$2-$D$2)*E3879*$T$7</f>
        <v>0</v>
      </c>
      <c r="J3879">
        <v>20668</v>
      </c>
      <c r="K3879" s="367">
        <f t="shared" si="506"/>
        <v>14762.857142857143</v>
      </c>
      <c r="L3879">
        <v>0.89</v>
      </c>
      <c r="M3879">
        <v>4.1999999999999993</v>
      </c>
      <c r="N3879">
        <v>32</v>
      </c>
      <c r="O3879">
        <v>6</v>
      </c>
      <c r="P3879" t="s">
        <v>515</v>
      </c>
      <c r="Q3879" s="97" t="str">
        <f t="shared" ref="Q3879:Q3910" si="509">IF(AND(H3879+1&gt;$E$4,L3879&lt;$L$4+0.01,M3879&lt;$M$4+0.01,K3879+1&gt;$F$4,E3879+1&gt;$J$4,N3879&lt;$K$4+1,O3879&lt;$P$4+1,C3879=""),D3879,"")</f>
        <v/>
      </c>
      <c r="R3879" t="str">
        <f t="shared" ref="R3879:R3908" si="510">IF(Q3879="","",IF(AND(O3879&lt;$X$31,E3879&gt;$U$31,E3879&lt;$Q$4+$U$31+1),D3879,""))</f>
        <v/>
      </c>
    </row>
    <row r="3880" spans="3:18">
      <c r="C3880" t="str">
        <f t="shared" si="505"/>
        <v/>
      </c>
      <c r="D3880">
        <v>195</v>
      </c>
      <c r="E3880">
        <v>220</v>
      </c>
      <c r="F3880" s="366">
        <f t="shared" si="504"/>
        <v>4774</v>
      </c>
      <c r="G3880" s="97">
        <v>7023</v>
      </c>
      <c r="H3880" s="367">
        <f t="shared" si="507"/>
        <v>11797</v>
      </c>
      <c r="I3880" s="368">
        <f t="shared" si="508"/>
        <v>0</v>
      </c>
      <c r="J3880">
        <v>21852</v>
      </c>
      <c r="K3880" s="367">
        <f t="shared" si="506"/>
        <v>15608.571428571429</v>
      </c>
      <c r="L3880">
        <v>0.49</v>
      </c>
      <c r="M3880">
        <v>5.5</v>
      </c>
      <c r="N3880">
        <v>29</v>
      </c>
      <c r="O3880">
        <v>8</v>
      </c>
      <c r="P3880" t="s">
        <v>515</v>
      </c>
      <c r="Q3880" s="97">
        <f t="shared" si="509"/>
        <v>195</v>
      </c>
      <c r="R3880" t="str">
        <f t="shared" si="510"/>
        <v/>
      </c>
    </row>
    <row r="3881" spans="3:18">
      <c r="C3881" t="str">
        <f t="shared" si="505"/>
        <v/>
      </c>
      <c r="D3881">
        <v>196</v>
      </c>
      <c r="E3881">
        <v>225</v>
      </c>
      <c r="F3881" s="366">
        <f t="shared" si="504"/>
        <v>4882.5</v>
      </c>
      <c r="G3881" s="97">
        <v>6749</v>
      </c>
      <c r="H3881" s="367">
        <f t="shared" si="507"/>
        <v>11631.5</v>
      </c>
      <c r="I3881" s="368">
        <f t="shared" si="508"/>
        <v>0</v>
      </c>
      <c r="J3881">
        <v>20998</v>
      </c>
      <c r="K3881" s="367">
        <f t="shared" si="506"/>
        <v>14998.571428571429</v>
      </c>
      <c r="L3881">
        <v>0.93</v>
      </c>
      <c r="M3881">
        <v>4.1999999999999993</v>
      </c>
      <c r="N3881">
        <v>32</v>
      </c>
      <c r="O3881">
        <v>6</v>
      </c>
      <c r="P3881" t="s">
        <v>515</v>
      </c>
      <c r="Q3881" s="97" t="str">
        <f t="shared" si="509"/>
        <v/>
      </c>
      <c r="R3881" t="str">
        <f t="shared" si="510"/>
        <v/>
      </c>
    </row>
    <row r="3882" spans="3:18">
      <c r="C3882" t="str">
        <f t="shared" si="505"/>
        <v/>
      </c>
      <c r="D3882">
        <v>197</v>
      </c>
      <c r="E3882">
        <v>225</v>
      </c>
      <c r="F3882" s="366">
        <f t="shared" si="504"/>
        <v>4882.5</v>
      </c>
      <c r="G3882" s="97">
        <v>7140</v>
      </c>
      <c r="H3882" s="367">
        <f t="shared" si="507"/>
        <v>12022.5</v>
      </c>
      <c r="I3882" s="368">
        <f t="shared" si="508"/>
        <v>0</v>
      </c>
      <c r="J3882">
        <v>22216</v>
      </c>
      <c r="K3882" s="367">
        <f t="shared" si="506"/>
        <v>15868.571428571429</v>
      </c>
      <c r="L3882">
        <v>0.52</v>
      </c>
      <c r="M3882">
        <v>5.5</v>
      </c>
      <c r="N3882">
        <v>29</v>
      </c>
      <c r="O3882">
        <v>8</v>
      </c>
      <c r="P3882" t="s">
        <v>515</v>
      </c>
      <c r="Q3882" s="97">
        <f t="shared" si="509"/>
        <v>197</v>
      </c>
      <c r="R3882" t="str">
        <f t="shared" si="510"/>
        <v/>
      </c>
    </row>
    <row r="3883" spans="3:18">
      <c r="C3883" t="str">
        <f t="shared" si="505"/>
        <v/>
      </c>
      <c r="D3883">
        <v>198</v>
      </c>
      <c r="E3883">
        <v>230</v>
      </c>
      <c r="F3883" s="366">
        <f t="shared" si="504"/>
        <v>4991</v>
      </c>
      <c r="G3883" s="97">
        <v>6854</v>
      </c>
      <c r="H3883" s="367">
        <f t="shared" si="507"/>
        <v>11845</v>
      </c>
      <c r="I3883" s="368">
        <f t="shared" si="508"/>
        <v>0</v>
      </c>
      <c r="J3883">
        <v>21325</v>
      </c>
      <c r="K3883" s="367">
        <f t="shared" si="506"/>
        <v>15232.142857142857</v>
      </c>
      <c r="L3883">
        <v>0.97</v>
      </c>
      <c r="M3883">
        <v>4.1999999999999993</v>
      </c>
      <c r="N3883">
        <v>32</v>
      </c>
      <c r="O3883">
        <v>6</v>
      </c>
      <c r="P3883" t="s">
        <v>515</v>
      </c>
      <c r="Q3883" s="97" t="str">
        <f t="shared" si="509"/>
        <v/>
      </c>
      <c r="R3883" t="str">
        <f t="shared" si="510"/>
        <v/>
      </c>
    </row>
    <row r="3884" spans="3:18">
      <c r="C3884" t="str">
        <f t="shared" si="505"/>
        <v/>
      </c>
      <c r="D3884">
        <v>199</v>
      </c>
      <c r="E3884">
        <v>230</v>
      </c>
      <c r="F3884" s="366">
        <f t="shared" si="504"/>
        <v>4991</v>
      </c>
      <c r="G3884" s="97">
        <v>7257</v>
      </c>
      <c r="H3884" s="367">
        <f t="shared" si="507"/>
        <v>12248</v>
      </c>
      <c r="I3884" s="368">
        <f t="shared" si="508"/>
        <v>0</v>
      </c>
      <c r="J3884">
        <v>22579</v>
      </c>
      <c r="K3884" s="367">
        <f t="shared" si="506"/>
        <v>16127.857142857143</v>
      </c>
      <c r="L3884">
        <v>0.54</v>
      </c>
      <c r="M3884">
        <v>5.5</v>
      </c>
      <c r="N3884">
        <v>30</v>
      </c>
      <c r="O3884">
        <v>8</v>
      </c>
      <c r="P3884" t="s">
        <v>515</v>
      </c>
      <c r="Q3884" s="97">
        <f t="shared" si="509"/>
        <v>199</v>
      </c>
      <c r="R3884" t="str">
        <f t="shared" si="510"/>
        <v/>
      </c>
    </row>
    <row r="3885" spans="3:18">
      <c r="C3885" t="str">
        <f t="shared" si="505"/>
        <v/>
      </c>
      <c r="D3885">
        <v>200</v>
      </c>
      <c r="E3885">
        <v>235</v>
      </c>
      <c r="F3885" s="366">
        <f t="shared" si="504"/>
        <v>5099.5</v>
      </c>
      <c r="G3885" s="97">
        <v>6955</v>
      </c>
      <c r="H3885" s="367">
        <f t="shared" si="507"/>
        <v>12054.5</v>
      </c>
      <c r="I3885" s="368">
        <f t="shared" si="508"/>
        <v>0</v>
      </c>
      <c r="J3885">
        <v>21639</v>
      </c>
      <c r="K3885" s="367">
        <f t="shared" si="506"/>
        <v>15456.428571428572</v>
      </c>
      <c r="L3885">
        <v>1.01</v>
      </c>
      <c r="M3885">
        <v>4.1999999999999993</v>
      </c>
      <c r="N3885">
        <v>33</v>
      </c>
      <c r="O3885">
        <v>6</v>
      </c>
      <c r="P3885" t="s">
        <v>515</v>
      </c>
      <c r="Q3885" s="97" t="str">
        <f t="shared" si="509"/>
        <v/>
      </c>
      <c r="R3885" t="str">
        <f t="shared" si="510"/>
        <v/>
      </c>
    </row>
    <row r="3886" spans="3:18">
      <c r="C3886" t="str">
        <f t="shared" si="505"/>
        <v/>
      </c>
      <c r="D3886">
        <v>201</v>
      </c>
      <c r="E3886">
        <v>235</v>
      </c>
      <c r="F3886" s="366">
        <f t="shared" si="504"/>
        <v>5099.5</v>
      </c>
      <c r="G3886" s="97">
        <v>7369</v>
      </c>
      <c r="H3886" s="367">
        <f t="shared" si="507"/>
        <v>12468.5</v>
      </c>
      <c r="I3886" s="368">
        <f t="shared" si="508"/>
        <v>0</v>
      </c>
      <c r="J3886">
        <v>22927</v>
      </c>
      <c r="K3886" s="367">
        <f t="shared" si="506"/>
        <v>16376.428571428572</v>
      </c>
      <c r="L3886">
        <v>0.56000000000000005</v>
      </c>
      <c r="M3886">
        <v>5.5</v>
      </c>
      <c r="N3886">
        <v>30</v>
      </c>
      <c r="O3886">
        <v>8</v>
      </c>
      <c r="P3886" t="s">
        <v>515</v>
      </c>
      <c r="Q3886" s="97">
        <f t="shared" si="509"/>
        <v>201</v>
      </c>
      <c r="R3886" t="str">
        <f t="shared" si="510"/>
        <v/>
      </c>
    </row>
    <row r="3887" spans="3:18">
      <c r="C3887" t="str">
        <f t="shared" si="505"/>
        <v/>
      </c>
      <c r="D3887">
        <v>202</v>
      </c>
      <c r="E3887">
        <v>240</v>
      </c>
      <c r="F3887" s="366">
        <f t="shared" si="504"/>
        <v>5208</v>
      </c>
      <c r="G3887" s="97">
        <v>7056</v>
      </c>
      <c r="H3887" s="367">
        <f t="shared" si="507"/>
        <v>12264</v>
      </c>
      <c r="I3887" s="368">
        <f t="shared" si="508"/>
        <v>0</v>
      </c>
      <c r="J3887">
        <v>21953</v>
      </c>
      <c r="K3887" s="367">
        <f t="shared" si="506"/>
        <v>15680.714285714286</v>
      </c>
      <c r="L3887">
        <v>1.06</v>
      </c>
      <c r="M3887">
        <v>4.1999999999999993</v>
      </c>
      <c r="N3887">
        <v>33</v>
      </c>
      <c r="O3887">
        <v>6</v>
      </c>
      <c r="P3887" t="s">
        <v>515</v>
      </c>
      <c r="Q3887" s="97" t="str">
        <f t="shared" si="509"/>
        <v/>
      </c>
      <c r="R3887" t="str">
        <f t="shared" si="510"/>
        <v/>
      </c>
    </row>
    <row r="3888" spans="3:18">
      <c r="C3888" t="str">
        <f t="shared" si="505"/>
        <v/>
      </c>
      <c r="D3888">
        <v>203</v>
      </c>
      <c r="E3888">
        <v>240</v>
      </c>
      <c r="F3888" s="366">
        <f t="shared" si="504"/>
        <v>5208</v>
      </c>
      <c r="G3888" s="97">
        <v>7479</v>
      </c>
      <c r="H3888" s="367">
        <f t="shared" si="507"/>
        <v>12687</v>
      </c>
      <c r="I3888" s="368">
        <f t="shared" si="508"/>
        <v>0</v>
      </c>
      <c r="J3888">
        <v>23270</v>
      </c>
      <c r="K3888" s="367">
        <f t="shared" si="506"/>
        <v>16621.428571428572</v>
      </c>
      <c r="L3888">
        <v>0.59</v>
      </c>
      <c r="M3888">
        <v>5.5</v>
      </c>
      <c r="N3888">
        <v>31</v>
      </c>
      <c r="O3888">
        <v>8</v>
      </c>
      <c r="P3888" t="s">
        <v>515</v>
      </c>
      <c r="Q3888" s="97">
        <f t="shared" si="509"/>
        <v>203</v>
      </c>
      <c r="R3888" t="str">
        <f t="shared" si="510"/>
        <v/>
      </c>
    </row>
    <row r="3889" spans="3:18">
      <c r="C3889" t="str">
        <f t="shared" si="505"/>
        <v/>
      </c>
      <c r="D3889">
        <v>204</v>
      </c>
      <c r="E3889">
        <v>245</v>
      </c>
      <c r="F3889" s="366">
        <f t="shared" si="504"/>
        <v>5316.5</v>
      </c>
      <c r="G3889" s="97">
        <v>7157</v>
      </c>
      <c r="H3889" s="367">
        <f t="shared" si="507"/>
        <v>12473.5</v>
      </c>
      <c r="I3889" s="368">
        <f t="shared" si="508"/>
        <v>0</v>
      </c>
      <c r="J3889">
        <v>22268</v>
      </c>
      <c r="K3889" s="367">
        <f t="shared" si="506"/>
        <v>15905.714285714286</v>
      </c>
      <c r="L3889">
        <v>1.1000000000000001</v>
      </c>
      <c r="M3889">
        <v>4.1999999999999993</v>
      </c>
      <c r="N3889">
        <v>34</v>
      </c>
      <c r="O3889">
        <v>6</v>
      </c>
      <c r="P3889" t="s">
        <v>515</v>
      </c>
      <c r="Q3889" s="97" t="str">
        <f t="shared" si="509"/>
        <v/>
      </c>
      <c r="R3889" t="str">
        <f t="shared" si="510"/>
        <v/>
      </c>
    </row>
    <row r="3890" spans="3:18">
      <c r="C3890" t="str">
        <f t="shared" si="505"/>
        <v/>
      </c>
      <c r="D3890">
        <v>205</v>
      </c>
      <c r="E3890">
        <v>245</v>
      </c>
      <c r="F3890" s="366">
        <f t="shared" si="504"/>
        <v>5316.5</v>
      </c>
      <c r="G3890" s="97">
        <v>7590</v>
      </c>
      <c r="H3890" s="367">
        <f t="shared" si="507"/>
        <v>12906.5</v>
      </c>
      <c r="I3890" s="368">
        <f t="shared" si="508"/>
        <v>0</v>
      </c>
      <c r="J3890">
        <v>23613</v>
      </c>
      <c r="K3890" s="367">
        <f t="shared" si="506"/>
        <v>16866.428571428572</v>
      </c>
      <c r="L3890">
        <v>0.61</v>
      </c>
      <c r="M3890">
        <v>5.5</v>
      </c>
      <c r="N3890">
        <v>31</v>
      </c>
      <c r="O3890">
        <v>8</v>
      </c>
      <c r="P3890" t="s">
        <v>515</v>
      </c>
      <c r="Q3890" s="97">
        <f t="shared" si="509"/>
        <v>205</v>
      </c>
      <c r="R3890" t="str">
        <f t="shared" si="510"/>
        <v/>
      </c>
    </row>
    <row r="3891" spans="3:18">
      <c r="C3891" t="str">
        <f t="shared" si="505"/>
        <v/>
      </c>
      <c r="D3891">
        <v>206</v>
      </c>
      <c r="E3891">
        <v>250</v>
      </c>
      <c r="F3891" s="366">
        <f t="shared" ref="F3891:F3910" si="511">1.085*($A$2-$B$2)*E3891*$T$7</f>
        <v>5425</v>
      </c>
      <c r="G3891" s="97">
        <v>7700</v>
      </c>
      <c r="H3891" s="367">
        <f t="shared" si="507"/>
        <v>13125</v>
      </c>
      <c r="I3891" s="368">
        <f t="shared" si="508"/>
        <v>0</v>
      </c>
      <c r="J3891">
        <v>23956</v>
      </c>
      <c r="K3891" s="367">
        <f t="shared" si="506"/>
        <v>17111.428571428572</v>
      </c>
      <c r="L3891">
        <v>0.64</v>
      </c>
      <c r="M3891">
        <v>5.5</v>
      </c>
      <c r="N3891">
        <v>32</v>
      </c>
      <c r="O3891">
        <v>8</v>
      </c>
      <c r="P3891" t="s">
        <v>515</v>
      </c>
      <c r="Q3891" s="97">
        <f t="shared" si="509"/>
        <v>206</v>
      </c>
      <c r="R3891" t="str">
        <f t="shared" si="510"/>
        <v/>
      </c>
    </row>
    <row r="3892" spans="3:18">
      <c r="C3892" t="str">
        <f t="shared" si="505"/>
        <v/>
      </c>
      <c r="D3892">
        <v>207</v>
      </c>
      <c r="E3892">
        <v>255</v>
      </c>
      <c r="F3892" s="366">
        <f t="shared" si="511"/>
        <v>5533.5</v>
      </c>
      <c r="G3892" s="97">
        <v>7810</v>
      </c>
      <c r="H3892" s="367">
        <f t="shared" si="507"/>
        <v>13343.5</v>
      </c>
      <c r="I3892" s="368">
        <f t="shared" si="508"/>
        <v>0</v>
      </c>
      <c r="J3892">
        <v>24300</v>
      </c>
      <c r="K3892" s="367">
        <f t="shared" si="506"/>
        <v>17357.142857142859</v>
      </c>
      <c r="L3892">
        <v>0.66</v>
      </c>
      <c r="M3892">
        <v>5.5</v>
      </c>
      <c r="N3892">
        <v>33</v>
      </c>
      <c r="O3892">
        <v>8</v>
      </c>
      <c r="P3892" t="s">
        <v>515</v>
      </c>
      <c r="Q3892" s="97">
        <f t="shared" si="509"/>
        <v>207</v>
      </c>
      <c r="R3892" t="str">
        <f t="shared" si="510"/>
        <v/>
      </c>
    </row>
    <row r="3893" spans="3:18">
      <c r="C3893" t="str">
        <f t="shared" si="505"/>
        <v/>
      </c>
      <c r="D3893">
        <v>208</v>
      </c>
      <c r="E3893">
        <v>260</v>
      </c>
      <c r="F3893" s="366">
        <f t="shared" si="511"/>
        <v>5642</v>
      </c>
      <c r="G3893" s="97">
        <v>7918</v>
      </c>
      <c r="H3893" s="367">
        <f t="shared" si="507"/>
        <v>13560</v>
      </c>
      <c r="I3893" s="368">
        <f t="shared" si="508"/>
        <v>0</v>
      </c>
      <c r="J3893">
        <v>24636</v>
      </c>
      <c r="K3893" s="367">
        <f t="shared" si="506"/>
        <v>17597.142857142859</v>
      </c>
      <c r="L3893">
        <v>0.69000000000000006</v>
      </c>
      <c r="M3893">
        <v>5.5</v>
      </c>
      <c r="N3893">
        <v>33</v>
      </c>
      <c r="O3893">
        <v>8</v>
      </c>
      <c r="P3893" t="s">
        <v>515</v>
      </c>
      <c r="Q3893" s="97">
        <f t="shared" si="509"/>
        <v>208</v>
      </c>
      <c r="R3893" t="str">
        <f t="shared" si="510"/>
        <v/>
      </c>
    </row>
    <row r="3894" spans="3:18">
      <c r="C3894" t="str">
        <f t="shared" si="505"/>
        <v/>
      </c>
      <c r="D3894">
        <v>209</v>
      </c>
      <c r="E3894">
        <v>265</v>
      </c>
      <c r="F3894" s="366">
        <f t="shared" si="511"/>
        <v>5750.5</v>
      </c>
      <c r="G3894" s="97">
        <v>8022</v>
      </c>
      <c r="H3894" s="367">
        <f t="shared" si="507"/>
        <v>13772.5</v>
      </c>
      <c r="I3894" s="368">
        <f t="shared" si="508"/>
        <v>0</v>
      </c>
      <c r="J3894">
        <v>24960</v>
      </c>
      <c r="K3894" s="367">
        <f t="shared" si="506"/>
        <v>17828.571428571428</v>
      </c>
      <c r="L3894">
        <v>0.71</v>
      </c>
      <c r="M3894">
        <v>5.5</v>
      </c>
      <c r="N3894">
        <v>34</v>
      </c>
      <c r="O3894">
        <v>8</v>
      </c>
      <c r="P3894" t="s">
        <v>515</v>
      </c>
      <c r="Q3894" s="97">
        <f t="shared" si="509"/>
        <v>209</v>
      </c>
      <c r="R3894" t="str">
        <f t="shared" si="510"/>
        <v/>
      </c>
    </row>
    <row r="3895" spans="3:18">
      <c r="C3895" t="str">
        <f t="shared" si="505"/>
        <v/>
      </c>
      <c r="D3895">
        <v>210</v>
      </c>
      <c r="E3895">
        <v>270</v>
      </c>
      <c r="F3895" s="366">
        <f t="shared" si="511"/>
        <v>5859</v>
      </c>
      <c r="G3895" s="97">
        <v>8127</v>
      </c>
      <c r="H3895" s="367">
        <f t="shared" si="507"/>
        <v>13986</v>
      </c>
      <c r="I3895" s="368">
        <f t="shared" si="508"/>
        <v>0</v>
      </c>
      <c r="J3895">
        <v>25284</v>
      </c>
      <c r="K3895" s="367">
        <f t="shared" si="506"/>
        <v>18060</v>
      </c>
      <c r="L3895">
        <v>0.74</v>
      </c>
      <c r="M3895">
        <v>5.5</v>
      </c>
      <c r="N3895">
        <v>35</v>
      </c>
      <c r="O3895">
        <v>8</v>
      </c>
      <c r="P3895" t="s">
        <v>515</v>
      </c>
      <c r="Q3895" s="97" t="str">
        <f t="shared" si="509"/>
        <v/>
      </c>
      <c r="R3895" t="str">
        <f t="shared" si="510"/>
        <v/>
      </c>
    </row>
    <row r="3896" spans="3:18">
      <c r="C3896" t="str">
        <f t="shared" si="505"/>
        <v/>
      </c>
      <c r="D3896">
        <v>211</v>
      </c>
      <c r="E3896">
        <v>275</v>
      </c>
      <c r="F3896" s="366">
        <f t="shared" si="511"/>
        <v>5967.5</v>
      </c>
      <c r="G3896" s="97">
        <v>8231</v>
      </c>
      <c r="H3896" s="367">
        <f t="shared" si="507"/>
        <v>14198.5</v>
      </c>
      <c r="I3896" s="368">
        <f t="shared" si="508"/>
        <v>0</v>
      </c>
      <c r="J3896">
        <v>25608</v>
      </c>
      <c r="K3896" s="367">
        <f t="shared" si="506"/>
        <v>18291.428571428572</v>
      </c>
      <c r="L3896">
        <v>0.77</v>
      </c>
      <c r="M3896">
        <v>5.5</v>
      </c>
      <c r="N3896">
        <v>36</v>
      </c>
      <c r="O3896">
        <v>8</v>
      </c>
      <c r="P3896" t="s">
        <v>515</v>
      </c>
      <c r="Q3896" s="97" t="str">
        <f t="shared" si="509"/>
        <v/>
      </c>
      <c r="R3896" t="str">
        <f t="shared" si="510"/>
        <v/>
      </c>
    </row>
    <row r="3897" spans="3:18">
      <c r="C3897" t="str">
        <f t="shared" si="505"/>
        <v/>
      </c>
      <c r="D3897">
        <v>212</v>
      </c>
      <c r="E3897">
        <v>280</v>
      </c>
      <c r="F3897" s="366">
        <f t="shared" si="511"/>
        <v>6076</v>
      </c>
      <c r="G3897" s="97">
        <v>8335</v>
      </c>
      <c r="H3897" s="367">
        <f t="shared" si="507"/>
        <v>14411</v>
      </c>
      <c r="I3897" s="368">
        <f t="shared" si="508"/>
        <v>0</v>
      </c>
      <c r="J3897">
        <v>25932</v>
      </c>
      <c r="K3897" s="367">
        <f t="shared" si="506"/>
        <v>18522.857142857145</v>
      </c>
      <c r="L3897">
        <v>0.8</v>
      </c>
      <c r="M3897">
        <v>5.5</v>
      </c>
      <c r="N3897">
        <v>36</v>
      </c>
      <c r="O3897">
        <v>8</v>
      </c>
      <c r="P3897" t="s">
        <v>515</v>
      </c>
      <c r="Q3897" s="97" t="str">
        <f t="shared" si="509"/>
        <v/>
      </c>
      <c r="R3897" t="str">
        <f t="shared" si="510"/>
        <v/>
      </c>
    </row>
    <row r="3898" spans="3:18">
      <c r="C3898" t="str">
        <f t="shared" si="505"/>
        <v/>
      </c>
      <c r="D3898">
        <v>213</v>
      </c>
      <c r="E3898">
        <v>285</v>
      </c>
      <c r="F3898" s="366">
        <f t="shared" si="511"/>
        <v>6184.5</v>
      </c>
      <c r="G3898" s="97">
        <v>8439</v>
      </c>
      <c r="H3898" s="367">
        <f t="shared" si="507"/>
        <v>14623.5</v>
      </c>
      <c r="I3898" s="368">
        <f t="shared" si="508"/>
        <v>0</v>
      </c>
      <c r="J3898">
        <v>26256</v>
      </c>
      <c r="K3898" s="367">
        <f t="shared" si="506"/>
        <v>18754.285714285714</v>
      </c>
      <c r="L3898">
        <v>0.82000000000000006</v>
      </c>
      <c r="M3898">
        <v>5.5</v>
      </c>
      <c r="N3898">
        <v>37</v>
      </c>
      <c r="O3898">
        <v>8</v>
      </c>
      <c r="P3898" t="s">
        <v>515</v>
      </c>
      <c r="Q3898" s="97" t="str">
        <f t="shared" si="509"/>
        <v/>
      </c>
      <c r="R3898" t="str">
        <f t="shared" si="510"/>
        <v/>
      </c>
    </row>
    <row r="3899" spans="3:18">
      <c r="C3899" t="str">
        <f t="shared" si="505"/>
        <v/>
      </c>
      <c r="D3899">
        <v>214</v>
      </c>
      <c r="E3899">
        <v>290</v>
      </c>
      <c r="F3899" s="366">
        <f t="shared" si="511"/>
        <v>6293</v>
      </c>
      <c r="G3899" s="97">
        <v>8538</v>
      </c>
      <c r="H3899" s="367">
        <f t="shared" si="507"/>
        <v>14831</v>
      </c>
      <c r="I3899" s="368">
        <f t="shared" si="508"/>
        <v>0</v>
      </c>
      <c r="J3899">
        <v>26563</v>
      </c>
      <c r="K3899" s="367">
        <f t="shared" si="506"/>
        <v>18973.571428571428</v>
      </c>
      <c r="L3899">
        <v>0.85</v>
      </c>
      <c r="M3899">
        <v>5.5</v>
      </c>
      <c r="N3899">
        <v>38</v>
      </c>
      <c r="O3899">
        <v>8</v>
      </c>
      <c r="P3899" t="s">
        <v>515</v>
      </c>
      <c r="Q3899" s="97" t="str">
        <f t="shared" si="509"/>
        <v/>
      </c>
      <c r="R3899" t="str">
        <f t="shared" si="510"/>
        <v/>
      </c>
    </row>
    <row r="3900" spans="3:18">
      <c r="C3900" t="str">
        <f t="shared" si="505"/>
        <v/>
      </c>
      <c r="D3900">
        <v>215</v>
      </c>
      <c r="E3900">
        <v>295</v>
      </c>
      <c r="F3900" s="366">
        <f t="shared" si="511"/>
        <v>6401.5</v>
      </c>
      <c r="G3900" s="97">
        <v>8636</v>
      </c>
      <c r="H3900" s="367">
        <f t="shared" si="507"/>
        <v>15037.5</v>
      </c>
      <c r="I3900" s="368">
        <f t="shared" si="508"/>
        <v>0</v>
      </c>
      <c r="J3900">
        <v>26868</v>
      </c>
      <c r="K3900" s="367">
        <f t="shared" si="506"/>
        <v>19191.428571428572</v>
      </c>
      <c r="L3900">
        <v>0.88</v>
      </c>
      <c r="M3900">
        <v>5.5</v>
      </c>
      <c r="N3900">
        <v>38</v>
      </c>
      <c r="O3900">
        <v>8</v>
      </c>
      <c r="P3900" t="s">
        <v>515</v>
      </c>
      <c r="Q3900" s="97" t="str">
        <f t="shared" si="509"/>
        <v/>
      </c>
      <c r="R3900" t="str">
        <f t="shared" si="510"/>
        <v/>
      </c>
    </row>
    <row r="3901" spans="3:18">
      <c r="C3901" t="str">
        <f t="shared" si="505"/>
        <v/>
      </c>
      <c r="D3901">
        <v>216</v>
      </c>
      <c r="E3901">
        <v>300</v>
      </c>
      <c r="F3901" s="366">
        <f t="shared" si="511"/>
        <v>6510</v>
      </c>
      <c r="G3901" s="97">
        <v>8734</v>
      </c>
      <c r="H3901" s="367">
        <f t="shared" si="507"/>
        <v>15244</v>
      </c>
      <c r="I3901" s="368">
        <f t="shared" si="508"/>
        <v>0</v>
      </c>
      <c r="J3901">
        <v>27173</v>
      </c>
      <c r="K3901" s="367">
        <f t="shared" si="506"/>
        <v>19409.285714285714</v>
      </c>
      <c r="L3901">
        <v>0.91</v>
      </c>
      <c r="M3901">
        <v>5.5</v>
      </c>
      <c r="N3901">
        <v>39</v>
      </c>
      <c r="O3901">
        <v>8</v>
      </c>
      <c r="P3901" t="s">
        <v>515</v>
      </c>
      <c r="Q3901" s="97" t="str">
        <f t="shared" si="509"/>
        <v/>
      </c>
      <c r="R3901" t="str">
        <f t="shared" si="510"/>
        <v/>
      </c>
    </row>
    <row r="3902" spans="3:18">
      <c r="C3902" t="str">
        <f t="shared" si="505"/>
        <v/>
      </c>
      <c r="D3902">
        <v>217</v>
      </c>
      <c r="E3902">
        <v>305</v>
      </c>
      <c r="F3902" s="366">
        <f t="shared" si="511"/>
        <v>6618.5</v>
      </c>
      <c r="G3902" s="97">
        <v>8832</v>
      </c>
      <c r="H3902" s="367">
        <f t="shared" si="507"/>
        <v>15450.5</v>
      </c>
      <c r="I3902" s="368">
        <f t="shared" si="508"/>
        <v>0</v>
      </c>
      <c r="J3902">
        <v>27479</v>
      </c>
      <c r="K3902" s="367">
        <f t="shared" si="506"/>
        <v>19627.857142857145</v>
      </c>
      <c r="L3902">
        <v>0.93</v>
      </c>
      <c r="M3902">
        <v>5.5</v>
      </c>
      <c r="N3902">
        <v>40</v>
      </c>
      <c r="O3902">
        <v>8</v>
      </c>
      <c r="P3902" t="s">
        <v>515</v>
      </c>
      <c r="Q3902" s="97" t="str">
        <f t="shared" si="509"/>
        <v/>
      </c>
      <c r="R3902" t="str">
        <f t="shared" si="510"/>
        <v/>
      </c>
    </row>
    <row r="3903" spans="3:18">
      <c r="C3903" t="str">
        <f t="shared" si="505"/>
        <v/>
      </c>
      <c r="D3903">
        <v>218</v>
      </c>
      <c r="E3903">
        <v>310</v>
      </c>
      <c r="F3903" s="366">
        <f t="shared" si="511"/>
        <v>6727</v>
      </c>
      <c r="G3903" s="97">
        <v>8930</v>
      </c>
      <c r="H3903" s="367">
        <f t="shared" si="507"/>
        <v>15657</v>
      </c>
      <c r="I3903" s="368">
        <f t="shared" si="508"/>
        <v>0</v>
      </c>
      <c r="J3903">
        <v>27784</v>
      </c>
      <c r="K3903" s="367">
        <f t="shared" si="506"/>
        <v>19845.714285714286</v>
      </c>
      <c r="L3903">
        <v>0.96</v>
      </c>
      <c r="M3903">
        <v>5.5</v>
      </c>
      <c r="N3903">
        <v>40</v>
      </c>
      <c r="O3903">
        <v>8</v>
      </c>
      <c r="P3903" t="s">
        <v>515</v>
      </c>
      <c r="Q3903" s="97" t="str">
        <f t="shared" si="509"/>
        <v/>
      </c>
      <c r="R3903" t="str">
        <f t="shared" si="510"/>
        <v/>
      </c>
    </row>
    <row r="3904" spans="3:18">
      <c r="C3904" t="str">
        <f t="shared" si="505"/>
        <v/>
      </c>
      <c r="D3904">
        <v>219</v>
      </c>
      <c r="E3904">
        <v>315</v>
      </c>
      <c r="F3904" s="366">
        <f t="shared" si="511"/>
        <v>6835.5</v>
      </c>
      <c r="G3904" s="97">
        <v>9026</v>
      </c>
      <c r="H3904" s="367">
        <f t="shared" si="507"/>
        <v>15861.5</v>
      </c>
      <c r="I3904" s="368">
        <f t="shared" si="508"/>
        <v>0</v>
      </c>
      <c r="J3904">
        <v>28082</v>
      </c>
      <c r="K3904" s="367">
        <f t="shared" si="506"/>
        <v>20058.571428571428</v>
      </c>
      <c r="L3904">
        <v>0.99</v>
      </c>
      <c r="M3904">
        <v>5.5</v>
      </c>
      <c r="N3904">
        <v>41</v>
      </c>
      <c r="O3904">
        <v>8</v>
      </c>
      <c r="P3904" t="s">
        <v>515</v>
      </c>
      <c r="Q3904" s="97" t="str">
        <f t="shared" si="509"/>
        <v/>
      </c>
      <c r="R3904" t="str">
        <f t="shared" si="510"/>
        <v/>
      </c>
    </row>
    <row r="3905" spans="2:18">
      <c r="C3905" t="str">
        <f t="shared" si="505"/>
        <v/>
      </c>
      <c r="D3905">
        <v>220</v>
      </c>
      <c r="E3905">
        <v>320</v>
      </c>
      <c r="F3905" s="366">
        <f t="shared" si="511"/>
        <v>6944</v>
      </c>
      <c r="G3905" s="97">
        <v>9119</v>
      </c>
      <c r="H3905" s="367">
        <f t="shared" si="507"/>
        <v>16063</v>
      </c>
      <c r="I3905" s="368">
        <f t="shared" si="508"/>
        <v>0</v>
      </c>
      <c r="J3905">
        <v>28373</v>
      </c>
      <c r="K3905" s="367">
        <f t="shared" si="506"/>
        <v>20266.428571428572</v>
      </c>
      <c r="L3905">
        <v>1.02</v>
      </c>
      <c r="M3905">
        <v>5.5</v>
      </c>
      <c r="N3905">
        <v>42</v>
      </c>
      <c r="O3905">
        <v>8</v>
      </c>
      <c r="P3905" t="s">
        <v>515</v>
      </c>
      <c r="Q3905" s="97" t="str">
        <f t="shared" si="509"/>
        <v/>
      </c>
      <c r="R3905" t="str">
        <f t="shared" si="510"/>
        <v/>
      </c>
    </row>
    <row r="3906" spans="2:18">
      <c r="C3906" t="str">
        <f t="shared" si="505"/>
        <v/>
      </c>
      <c r="D3906">
        <v>221</v>
      </c>
      <c r="E3906">
        <v>325</v>
      </c>
      <c r="F3906" s="366">
        <f t="shared" si="511"/>
        <v>7052.5</v>
      </c>
      <c r="G3906" s="97">
        <v>9213</v>
      </c>
      <c r="H3906" s="367">
        <f t="shared" si="507"/>
        <v>16265.5</v>
      </c>
      <c r="I3906" s="368">
        <f t="shared" si="508"/>
        <v>0</v>
      </c>
      <c r="J3906">
        <v>28663</v>
      </c>
      <c r="K3906" s="367">
        <f t="shared" si="506"/>
        <v>20473.571428571428</v>
      </c>
      <c r="L3906">
        <v>1.06</v>
      </c>
      <c r="M3906">
        <v>5.5</v>
      </c>
      <c r="N3906">
        <v>42</v>
      </c>
      <c r="O3906">
        <v>8</v>
      </c>
      <c r="P3906" t="s">
        <v>515</v>
      </c>
      <c r="Q3906" s="97" t="str">
        <f t="shared" si="509"/>
        <v/>
      </c>
      <c r="R3906" t="str">
        <f t="shared" si="510"/>
        <v/>
      </c>
    </row>
    <row r="3907" spans="2:18">
      <c r="C3907" t="str">
        <f t="shared" si="505"/>
        <v/>
      </c>
      <c r="D3907">
        <v>222</v>
      </c>
      <c r="E3907">
        <v>330</v>
      </c>
      <c r="F3907" s="366">
        <f t="shared" si="511"/>
        <v>7161</v>
      </c>
      <c r="G3907" s="97">
        <v>9306</v>
      </c>
      <c r="H3907" s="367">
        <f t="shared" si="507"/>
        <v>16467</v>
      </c>
      <c r="I3907" s="368">
        <f t="shared" si="508"/>
        <v>0</v>
      </c>
      <c r="J3907">
        <v>28954</v>
      </c>
      <c r="K3907" s="367">
        <f t="shared" si="506"/>
        <v>20681.428571428572</v>
      </c>
      <c r="L3907">
        <v>1.0900000000000001</v>
      </c>
      <c r="M3907">
        <v>5.5</v>
      </c>
      <c r="N3907">
        <v>43</v>
      </c>
      <c r="O3907">
        <v>8</v>
      </c>
      <c r="P3907" t="s">
        <v>515</v>
      </c>
      <c r="Q3907" s="97" t="str">
        <f t="shared" si="509"/>
        <v/>
      </c>
      <c r="R3907" t="str">
        <f t="shared" si="510"/>
        <v/>
      </c>
    </row>
    <row r="3908" spans="2:18">
      <c r="C3908" t="str">
        <f t="shared" si="505"/>
        <v/>
      </c>
      <c r="D3908">
        <v>223</v>
      </c>
      <c r="E3908">
        <v>335</v>
      </c>
      <c r="F3908" s="366">
        <f t="shared" si="511"/>
        <v>7269.5</v>
      </c>
      <c r="G3908" s="97">
        <v>9400</v>
      </c>
      <c r="H3908" s="367">
        <f t="shared" si="507"/>
        <v>16669.5</v>
      </c>
      <c r="I3908" s="368">
        <f t="shared" si="508"/>
        <v>0</v>
      </c>
      <c r="J3908">
        <v>29244</v>
      </c>
      <c r="K3908" s="367">
        <f t="shared" si="506"/>
        <v>20888.571428571428</v>
      </c>
      <c r="L3908">
        <v>1.1200000000000001</v>
      </c>
      <c r="M3908">
        <v>5.5</v>
      </c>
      <c r="N3908">
        <v>43</v>
      </c>
      <c r="O3908">
        <v>8</v>
      </c>
      <c r="P3908" t="s">
        <v>515</v>
      </c>
      <c r="Q3908" s="97" t="str">
        <f t="shared" si="509"/>
        <v/>
      </c>
      <c r="R3908" t="str">
        <f t="shared" si="510"/>
        <v/>
      </c>
    </row>
    <row r="3909" spans="2:18">
      <c r="B3909" s="582"/>
    </row>
    <row r="3910" spans="2:18">
      <c r="B3910" s="582"/>
      <c r="C3910" t="str">
        <f t="shared" si="505"/>
        <v/>
      </c>
      <c r="D3910">
        <v>1</v>
      </c>
      <c r="E3910">
        <v>10</v>
      </c>
      <c r="F3910" s="366">
        <f t="shared" si="511"/>
        <v>217</v>
      </c>
      <c r="G3910" s="97">
        <v>517</v>
      </c>
      <c r="H3910" s="367">
        <f t="shared" si="507"/>
        <v>734</v>
      </c>
      <c r="I3910" s="368">
        <f t="shared" si="508"/>
        <v>0</v>
      </c>
      <c r="J3910">
        <v>2048</v>
      </c>
      <c r="K3910" s="367">
        <f t="shared" si="506"/>
        <v>1462.8571428571429</v>
      </c>
      <c r="L3910" s="607">
        <v>0.26</v>
      </c>
      <c r="M3910">
        <v>3.4</v>
      </c>
      <c r="N3910" s="381">
        <v>15</v>
      </c>
      <c r="O3910">
        <v>2</v>
      </c>
      <c r="P3910" t="s">
        <v>513</v>
      </c>
      <c r="Q3910" s="97" t="str">
        <f t="shared" si="509"/>
        <v/>
      </c>
      <c r="R3910" t="str">
        <f>IF(Q3910="","",IF(AND(O3910&lt;$X$36,E3910&gt;$U$36,E3910&lt;$Q$4+$U$36+1),D3910,""))</f>
        <v/>
      </c>
    </row>
    <row r="3911" spans="2:18">
      <c r="C3911" t="str">
        <f t="shared" si="505"/>
        <v/>
      </c>
      <c r="D3911">
        <v>2</v>
      </c>
      <c r="E3911">
        <v>10</v>
      </c>
      <c r="F3911" s="366">
        <f t="shared" ref="F3911:F3974" si="512">1.085*($A$2-$B$2)*E3911*$T$7</f>
        <v>217</v>
      </c>
      <c r="G3911" s="97">
        <v>567</v>
      </c>
      <c r="H3911" s="367">
        <f t="shared" ref="H3911:H3974" si="513">(G3911*$U$7)+F3911</f>
        <v>784</v>
      </c>
      <c r="I3911" s="368">
        <f t="shared" ref="I3911:I3974" si="514">1.085*($C$2-$D$2)*E3911*$T$7</f>
        <v>0</v>
      </c>
      <c r="J3911">
        <v>2247</v>
      </c>
      <c r="K3911" s="367">
        <f t="shared" ref="K3911:K3974" si="515">(J3911*$V$7)-I3911</f>
        <v>1605</v>
      </c>
      <c r="L3911" s="607">
        <v>0.61</v>
      </c>
      <c r="M3911">
        <v>3.4</v>
      </c>
      <c r="N3911" s="381">
        <v>18</v>
      </c>
      <c r="O3911">
        <v>2</v>
      </c>
      <c r="P3911" t="s">
        <v>512</v>
      </c>
      <c r="Q3911" s="97" t="str">
        <f t="shared" ref="Q3911:Q3974" si="516">IF(AND(H3911+1&gt;$E$4,L3911&lt;$L$4+0.01,M3911&lt;$M$4+0.01,K3911+1&gt;$F$4,E3911+1&gt;$J$4,N3911&lt;$K$4+1,O3911&lt;$P$4+1,C3911=""),D3911,"")</f>
        <v/>
      </c>
      <c r="R3911" t="str">
        <f t="shared" ref="R3911:R3974" si="517">IF(Q3911="","",IF(AND(O3911&lt;$X$36,E3911&gt;$U$36,E3911&lt;$Q$4+$U$36+1),D3911,""))</f>
        <v/>
      </c>
    </row>
    <row r="3912" spans="2:18">
      <c r="C3912" t="str">
        <f t="shared" si="505"/>
        <v>NL</v>
      </c>
      <c r="D3912">
        <v>3</v>
      </c>
      <c r="E3912">
        <v>10</v>
      </c>
      <c r="F3912" s="366">
        <f t="shared" si="512"/>
        <v>217</v>
      </c>
      <c r="G3912" s="97">
        <v>622</v>
      </c>
      <c r="H3912" s="367">
        <f t="shared" si="513"/>
        <v>839</v>
      </c>
      <c r="I3912" s="368">
        <f t="shared" si="514"/>
        <v>0</v>
      </c>
      <c r="J3912">
        <v>2464</v>
      </c>
      <c r="K3912" s="367">
        <f t="shared" si="515"/>
        <v>1760</v>
      </c>
      <c r="L3912" s="607">
        <v>0.21000000000000002</v>
      </c>
      <c r="M3912">
        <v>4.8</v>
      </c>
      <c r="N3912" s="381">
        <v>15</v>
      </c>
      <c r="O3912">
        <v>3</v>
      </c>
      <c r="P3912" t="s">
        <v>512</v>
      </c>
      <c r="Q3912" s="97" t="str">
        <f t="shared" si="516"/>
        <v/>
      </c>
      <c r="R3912" t="str">
        <f t="shared" si="517"/>
        <v/>
      </c>
    </row>
    <row r="3913" spans="2:18">
      <c r="C3913" t="str">
        <f t="shared" si="505"/>
        <v/>
      </c>
      <c r="D3913">
        <v>4</v>
      </c>
      <c r="E3913">
        <v>15</v>
      </c>
      <c r="F3913" s="366">
        <f t="shared" si="512"/>
        <v>325.5</v>
      </c>
      <c r="G3913" s="97">
        <v>516</v>
      </c>
      <c r="H3913" s="367">
        <f t="shared" si="513"/>
        <v>841.5</v>
      </c>
      <c r="I3913" s="368">
        <f t="shared" si="514"/>
        <v>0</v>
      </c>
      <c r="J3913">
        <v>2043</v>
      </c>
      <c r="K3913" s="367">
        <f t="shared" si="515"/>
        <v>1459.2857142857142</v>
      </c>
      <c r="L3913" s="607">
        <v>0.17</v>
      </c>
      <c r="M3913">
        <v>3.4</v>
      </c>
      <c r="N3913" s="381">
        <v>15</v>
      </c>
      <c r="O3913">
        <v>2</v>
      </c>
      <c r="P3913" t="s">
        <v>514</v>
      </c>
      <c r="Q3913" s="97" t="str">
        <f t="shared" si="516"/>
        <v/>
      </c>
      <c r="R3913" t="str">
        <f t="shared" si="517"/>
        <v/>
      </c>
    </row>
    <row r="3914" spans="2:18">
      <c r="C3914" t="str">
        <f t="shared" si="505"/>
        <v/>
      </c>
      <c r="D3914">
        <v>5</v>
      </c>
      <c r="E3914">
        <v>15</v>
      </c>
      <c r="F3914" s="366">
        <f t="shared" si="512"/>
        <v>325.5</v>
      </c>
      <c r="G3914" s="97">
        <v>712</v>
      </c>
      <c r="H3914" s="367">
        <f t="shared" si="513"/>
        <v>1037.5</v>
      </c>
      <c r="I3914" s="368">
        <f t="shared" si="514"/>
        <v>0</v>
      </c>
      <c r="J3914">
        <v>2820</v>
      </c>
      <c r="K3914" s="367">
        <f t="shared" si="515"/>
        <v>2014.2857142857142</v>
      </c>
      <c r="L3914" s="607">
        <v>0.57000000000000006</v>
      </c>
      <c r="M3914">
        <v>3.4</v>
      </c>
      <c r="N3914" s="381">
        <v>18</v>
      </c>
      <c r="O3914">
        <v>2</v>
      </c>
      <c r="P3914" t="s">
        <v>513</v>
      </c>
      <c r="Q3914" s="97" t="str">
        <f t="shared" si="516"/>
        <v/>
      </c>
      <c r="R3914" t="str">
        <f t="shared" si="517"/>
        <v/>
      </c>
    </row>
    <row r="3915" spans="2:18">
      <c r="C3915" t="str">
        <f t="shared" si="505"/>
        <v>NL</v>
      </c>
      <c r="D3915">
        <v>6</v>
      </c>
      <c r="E3915">
        <v>15</v>
      </c>
      <c r="F3915" s="366">
        <f t="shared" si="512"/>
        <v>325.5</v>
      </c>
      <c r="G3915" s="97">
        <v>786</v>
      </c>
      <c r="H3915" s="367">
        <f t="shared" si="513"/>
        <v>1111.5</v>
      </c>
      <c r="I3915" s="368">
        <f t="shared" si="514"/>
        <v>0</v>
      </c>
      <c r="J3915">
        <v>3113</v>
      </c>
      <c r="K3915" s="367">
        <f t="shared" si="515"/>
        <v>2223.5714285714284</v>
      </c>
      <c r="L3915" s="607">
        <v>0.2</v>
      </c>
      <c r="M3915">
        <v>4.8</v>
      </c>
      <c r="N3915" s="381">
        <v>15</v>
      </c>
      <c r="O3915">
        <v>3</v>
      </c>
      <c r="P3915" t="s">
        <v>513</v>
      </c>
      <c r="Q3915" s="97" t="str">
        <f t="shared" si="516"/>
        <v/>
      </c>
      <c r="R3915" t="str">
        <f t="shared" si="517"/>
        <v/>
      </c>
    </row>
    <row r="3916" spans="2:18">
      <c r="C3916" t="str">
        <f t="shared" si="505"/>
        <v>NL</v>
      </c>
      <c r="D3916">
        <v>7</v>
      </c>
      <c r="E3916">
        <v>15</v>
      </c>
      <c r="F3916" s="366">
        <f t="shared" si="512"/>
        <v>325.5</v>
      </c>
      <c r="G3916" s="97">
        <v>864</v>
      </c>
      <c r="H3916" s="367">
        <f t="shared" si="513"/>
        <v>1189.5</v>
      </c>
      <c r="I3916" s="368">
        <f t="shared" si="514"/>
        <v>0</v>
      </c>
      <c r="J3916">
        <v>3419</v>
      </c>
      <c r="K3916" s="367">
        <f t="shared" si="515"/>
        <v>2442.1428571428573</v>
      </c>
      <c r="L3916" s="607">
        <v>0.47000000000000003</v>
      </c>
      <c r="M3916">
        <v>4.8</v>
      </c>
      <c r="N3916" s="381">
        <v>18</v>
      </c>
      <c r="O3916">
        <v>3</v>
      </c>
      <c r="P3916" t="s">
        <v>512</v>
      </c>
      <c r="Q3916" s="97" t="str">
        <f t="shared" si="516"/>
        <v/>
      </c>
      <c r="R3916" t="str">
        <f t="shared" si="517"/>
        <v/>
      </c>
    </row>
    <row r="3917" spans="2:18">
      <c r="C3917" t="str">
        <f t="shared" si="505"/>
        <v/>
      </c>
      <c r="D3917">
        <v>8</v>
      </c>
      <c r="E3917">
        <v>15</v>
      </c>
      <c r="F3917" s="366">
        <f t="shared" si="512"/>
        <v>325.5</v>
      </c>
      <c r="G3917" s="97">
        <v>913</v>
      </c>
      <c r="H3917" s="367">
        <f t="shared" si="513"/>
        <v>1238.5</v>
      </c>
      <c r="I3917" s="368">
        <f t="shared" si="514"/>
        <v>0</v>
      </c>
      <c r="J3917">
        <v>3614</v>
      </c>
      <c r="K3917" s="367">
        <f t="shared" si="515"/>
        <v>2581.4285714285716</v>
      </c>
      <c r="L3917" s="607">
        <v>0.24000000000000002</v>
      </c>
      <c r="M3917">
        <v>6.1</v>
      </c>
      <c r="N3917" s="381">
        <v>15</v>
      </c>
      <c r="O3917">
        <v>4</v>
      </c>
      <c r="P3917" t="s">
        <v>512</v>
      </c>
      <c r="Q3917" s="97" t="str">
        <f t="shared" si="516"/>
        <v/>
      </c>
      <c r="R3917" t="str">
        <f t="shared" si="517"/>
        <v/>
      </c>
    </row>
    <row r="3918" spans="2:18">
      <c r="C3918" t="str">
        <f t="shared" si="505"/>
        <v>NL</v>
      </c>
      <c r="D3918">
        <v>9</v>
      </c>
      <c r="E3918">
        <v>15</v>
      </c>
      <c r="F3918" s="366">
        <f t="shared" si="512"/>
        <v>325.5</v>
      </c>
      <c r="G3918" s="97">
        <v>1058</v>
      </c>
      <c r="H3918" s="367">
        <f t="shared" si="513"/>
        <v>1383.5</v>
      </c>
      <c r="I3918" s="368">
        <f t="shared" si="514"/>
        <v>0</v>
      </c>
      <c r="J3918">
        <v>4187</v>
      </c>
      <c r="K3918" s="367">
        <f t="shared" si="515"/>
        <v>2990.7142857142858</v>
      </c>
      <c r="L3918" s="607">
        <v>0.15000000000000002</v>
      </c>
      <c r="M3918">
        <v>7.3999999999999995</v>
      </c>
      <c r="N3918" s="381">
        <v>15</v>
      </c>
      <c r="O3918">
        <v>5</v>
      </c>
      <c r="P3918" t="s">
        <v>512</v>
      </c>
      <c r="Q3918" s="97" t="str">
        <f t="shared" si="516"/>
        <v/>
      </c>
      <c r="R3918" t="str">
        <f t="shared" si="517"/>
        <v/>
      </c>
    </row>
    <row r="3919" spans="2:18">
      <c r="C3919" t="str">
        <f t="shared" si="505"/>
        <v/>
      </c>
      <c r="D3919">
        <v>10</v>
      </c>
      <c r="E3919">
        <v>20</v>
      </c>
      <c r="F3919" s="366">
        <f t="shared" si="512"/>
        <v>434</v>
      </c>
      <c r="G3919" s="97">
        <v>647</v>
      </c>
      <c r="H3919" s="367">
        <f t="shared" si="513"/>
        <v>1081</v>
      </c>
      <c r="I3919" s="368">
        <f t="shared" si="514"/>
        <v>0</v>
      </c>
      <c r="J3919">
        <v>2563</v>
      </c>
      <c r="K3919" s="367">
        <f t="shared" si="515"/>
        <v>1830.7142857142858</v>
      </c>
      <c r="L3919" s="607">
        <v>0.3</v>
      </c>
      <c r="M3919">
        <v>3.4</v>
      </c>
      <c r="N3919" s="381">
        <v>16</v>
      </c>
      <c r="O3919">
        <v>2</v>
      </c>
      <c r="P3919" t="s">
        <v>514</v>
      </c>
      <c r="Q3919" s="97" t="str">
        <f t="shared" si="516"/>
        <v/>
      </c>
      <c r="R3919" t="str">
        <f t="shared" si="517"/>
        <v/>
      </c>
    </row>
    <row r="3920" spans="2:18">
      <c r="C3920" t="str">
        <f t="shared" si="505"/>
        <v/>
      </c>
      <c r="D3920">
        <v>11</v>
      </c>
      <c r="E3920">
        <v>20</v>
      </c>
      <c r="F3920" s="366">
        <f t="shared" si="512"/>
        <v>434</v>
      </c>
      <c r="G3920" s="97">
        <v>881</v>
      </c>
      <c r="H3920" s="367">
        <f t="shared" si="513"/>
        <v>1315</v>
      </c>
      <c r="I3920" s="368">
        <f t="shared" si="514"/>
        <v>0</v>
      </c>
      <c r="J3920">
        <v>3487</v>
      </c>
      <c r="K3920" s="367">
        <f t="shared" si="515"/>
        <v>2490.7142857142858</v>
      </c>
      <c r="L3920" s="607">
        <v>1.01</v>
      </c>
      <c r="M3920">
        <v>3.4</v>
      </c>
      <c r="N3920" s="381">
        <v>22</v>
      </c>
      <c r="O3920">
        <v>2</v>
      </c>
      <c r="P3920" t="s">
        <v>513</v>
      </c>
      <c r="Q3920" s="97" t="str">
        <f t="shared" si="516"/>
        <v/>
      </c>
      <c r="R3920" t="str">
        <f t="shared" si="517"/>
        <v/>
      </c>
    </row>
    <row r="3921" spans="3:18">
      <c r="C3921" t="str">
        <f t="shared" si="505"/>
        <v>NL</v>
      </c>
      <c r="D3921">
        <v>12</v>
      </c>
      <c r="E3921">
        <v>20</v>
      </c>
      <c r="F3921" s="366">
        <f t="shared" si="512"/>
        <v>434</v>
      </c>
      <c r="G3921" s="97">
        <v>991</v>
      </c>
      <c r="H3921" s="367">
        <f t="shared" si="513"/>
        <v>1425</v>
      </c>
      <c r="I3921" s="368">
        <f t="shared" si="514"/>
        <v>0</v>
      </c>
      <c r="J3921">
        <v>3922</v>
      </c>
      <c r="K3921" s="367">
        <f t="shared" si="515"/>
        <v>2801.4285714285716</v>
      </c>
      <c r="L3921" s="607">
        <v>0.35000000000000003</v>
      </c>
      <c r="M3921">
        <v>4.8</v>
      </c>
      <c r="N3921" s="381">
        <v>16</v>
      </c>
      <c r="O3921">
        <v>3</v>
      </c>
      <c r="P3921" t="s">
        <v>513</v>
      </c>
      <c r="Q3921" s="97" t="str">
        <f t="shared" si="516"/>
        <v/>
      </c>
      <c r="R3921" t="str">
        <f t="shared" si="517"/>
        <v/>
      </c>
    </row>
    <row r="3922" spans="3:18">
      <c r="C3922" t="str">
        <f t="shared" si="505"/>
        <v>NL</v>
      </c>
      <c r="D3922">
        <v>13</v>
      </c>
      <c r="E3922">
        <v>20</v>
      </c>
      <c r="F3922" s="366">
        <f t="shared" si="512"/>
        <v>434</v>
      </c>
      <c r="G3922" s="97">
        <v>1081</v>
      </c>
      <c r="H3922" s="367">
        <f t="shared" si="513"/>
        <v>1515</v>
      </c>
      <c r="I3922" s="368">
        <f t="shared" si="514"/>
        <v>0</v>
      </c>
      <c r="J3922">
        <v>4279</v>
      </c>
      <c r="K3922" s="367">
        <f t="shared" si="515"/>
        <v>3056.4285714285716</v>
      </c>
      <c r="L3922" s="607">
        <v>0.84</v>
      </c>
      <c r="M3922">
        <v>4.8</v>
      </c>
      <c r="N3922" s="381">
        <v>21</v>
      </c>
      <c r="O3922">
        <v>3</v>
      </c>
      <c r="P3922" t="s">
        <v>512</v>
      </c>
      <c r="Q3922" s="97" t="str">
        <f t="shared" si="516"/>
        <v/>
      </c>
      <c r="R3922" t="str">
        <f t="shared" si="517"/>
        <v/>
      </c>
    </row>
    <row r="3923" spans="3:18">
      <c r="C3923" t="str">
        <f t="shared" si="505"/>
        <v/>
      </c>
      <c r="D3923">
        <v>14</v>
      </c>
      <c r="E3923">
        <v>20</v>
      </c>
      <c r="F3923" s="366">
        <f t="shared" si="512"/>
        <v>434</v>
      </c>
      <c r="G3923" s="97">
        <v>1049</v>
      </c>
      <c r="H3923" s="367">
        <f t="shared" si="513"/>
        <v>1483</v>
      </c>
      <c r="I3923" s="368">
        <f t="shared" si="514"/>
        <v>0</v>
      </c>
      <c r="J3923">
        <v>4153</v>
      </c>
      <c r="K3923" s="367">
        <f t="shared" si="515"/>
        <v>2966.4285714285716</v>
      </c>
      <c r="L3923" s="607">
        <v>0.18000000000000002</v>
      </c>
      <c r="M3923">
        <v>6.1</v>
      </c>
      <c r="N3923" s="381">
        <v>15</v>
      </c>
      <c r="O3923">
        <v>4</v>
      </c>
      <c r="P3923" t="s">
        <v>513</v>
      </c>
      <c r="Q3923" s="97" t="str">
        <f t="shared" si="516"/>
        <v/>
      </c>
      <c r="R3923" t="str">
        <f t="shared" si="517"/>
        <v/>
      </c>
    </row>
    <row r="3924" spans="3:18">
      <c r="C3924" t="str">
        <f t="shared" si="505"/>
        <v/>
      </c>
      <c r="D3924">
        <v>15</v>
      </c>
      <c r="E3924">
        <v>20</v>
      </c>
      <c r="F3924" s="366">
        <f t="shared" si="512"/>
        <v>434</v>
      </c>
      <c r="G3924" s="97">
        <v>1151</v>
      </c>
      <c r="H3924" s="367">
        <f t="shared" si="513"/>
        <v>1585</v>
      </c>
      <c r="I3924" s="368">
        <f t="shared" si="514"/>
        <v>0</v>
      </c>
      <c r="J3924">
        <v>4555</v>
      </c>
      <c r="K3924" s="367">
        <f t="shared" si="515"/>
        <v>3253.5714285714284</v>
      </c>
      <c r="L3924" s="607">
        <v>0.42</v>
      </c>
      <c r="M3924">
        <v>6.1</v>
      </c>
      <c r="N3924" s="381">
        <v>18</v>
      </c>
      <c r="O3924">
        <v>4</v>
      </c>
      <c r="P3924" t="s">
        <v>512</v>
      </c>
      <c r="Q3924" s="97" t="str">
        <f t="shared" si="516"/>
        <v/>
      </c>
      <c r="R3924" t="str">
        <f t="shared" si="517"/>
        <v/>
      </c>
    </row>
    <row r="3925" spans="3:18">
      <c r="C3925" t="str">
        <f t="shared" si="505"/>
        <v>NL</v>
      </c>
      <c r="D3925">
        <v>16</v>
      </c>
      <c r="E3925">
        <v>20</v>
      </c>
      <c r="F3925" s="366">
        <f t="shared" si="512"/>
        <v>434</v>
      </c>
      <c r="G3925" s="97">
        <v>1321</v>
      </c>
      <c r="H3925" s="367">
        <f t="shared" si="513"/>
        <v>1755</v>
      </c>
      <c r="I3925" s="368">
        <f t="shared" si="514"/>
        <v>0</v>
      </c>
      <c r="J3925">
        <v>5231</v>
      </c>
      <c r="K3925" s="367">
        <f t="shared" si="515"/>
        <v>3736.4285714285716</v>
      </c>
      <c r="L3925" s="607">
        <v>0.27</v>
      </c>
      <c r="M3925">
        <v>7.3999999999999995</v>
      </c>
      <c r="N3925" s="381">
        <v>16</v>
      </c>
      <c r="O3925">
        <v>5</v>
      </c>
      <c r="P3925" t="s">
        <v>512</v>
      </c>
      <c r="Q3925" s="97" t="str">
        <f t="shared" si="516"/>
        <v/>
      </c>
      <c r="R3925" t="str">
        <f t="shared" si="517"/>
        <v/>
      </c>
    </row>
    <row r="3926" spans="3:18">
      <c r="C3926" t="str">
        <f t="shared" ref="C3926:C3989" si="518">IF(OR($O$4=0,O3926-$O$4=0),IF(AND(ISEVEN(O3926)=FALSE,$N$4="Even"),"NL",""),"NL")</f>
        <v/>
      </c>
      <c r="D3926">
        <v>17</v>
      </c>
      <c r="E3926">
        <v>20</v>
      </c>
      <c r="F3926" s="366">
        <f t="shared" si="512"/>
        <v>434</v>
      </c>
      <c r="G3926" s="97">
        <v>1258</v>
      </c>
      <c r="H3926" s="367">
        <f t="shared" si="513"/>
        <v>1692</v>
      </c>
      <c r="I3926" s="368">
        <f t="shared" si="514"/>
        <v>0</v>
      </c>
      <c r="J3926">
        <v>4979</v>
      </c>
      <c r="K3926" s="367">
        <f t="shared" si="515"/>
        <v>3556.4285714285716</v>
      </c>
      <c r="L3926" s="607">
        <v>0.19</v>
      </c>
      <c r="M3926">
        <v>8.6999999999999993</v>
      </c>
      <c r="N3926" s="381">
        <v>16</v>
      </c>
      <c r="O3926">
        <v>6</v>
      </c>
      <c r="P3926" t="s">
        <v>512</v>
      </c>
      <c r="Q3926" s="97" t="str">
        <f t="shared" si="516"/>
        <v/>
      </c>
      <c r="R3926" t="str">
        <f t="shared" si="517"/>
        <v/>
      </c>
    </row>
    <row r="3927" spans="3:18">
      <c r="C3927" t="str">
        <f t="shared" si="518"/>
        <v>NL</v>
      </c>
      <c r="D3927">
        <v>18</v>
      </c>
      <c r="E3927">
        <v>20</v>
      </c>
      <c r="F3927" s="366">
        <f t="shared" si="512"/>
        <v>434</v>
      </c>
      <c r="G3927" s="97">
        <v>1693</v>
      </c>
      <c r="H3927" s="367">
        <f t="shared" si="513"/>
        <v>2127</v>
      </c>
      <c r="I3927" s="368">
        <f t="shared" si="514"/>
        <v>0</v>
      </c>
      <c r="J3927">
        <v>6701</v>
      </c>
      <c r="K3927" s="367">
        <f t="shared" si="515"/>
        <v>4786.4285714285716</v>
      </c>
      <c r="L3927" s="607">
        <v>0.14000000000000001</v>
      </c>
      <c r="M3927">
        <v>1.3</v>
      </c>
      <c r="N3927" s="381">
        <v>15</v>
      </c>
      <c r="O3927">
        <v>7</v>
      </c>
      <c r="P3927" t="s">
        <v>512</v>
      </c>
      <c r="Q3927" s="97" t="str">
        <f t="shared" si="516"/>
        <v/>
      </c>
      <c r="R3927" t="str">
        <f t="shared" si="517"/>
        <v/>
      </c>
    </row>
    <row r="3928" spans="3:18">
      <c r="C3928" t="str">
        <f t="shared" si="518"/>
        <v/>
      </c>
      <c r="D3928">
        <v>19</v>
      </c>
      <c r="E3928">
        <v>25</v>
      </c>
      <c r="F3928" s="366">
        <f t="shared" si="512"/>
        <v>542.5</v>
      </c>
      <c r="G3928" s="97">
        <v>769</v>
      </c>
      <c r="H3928" s="367">
        <f t="shared" si="513"/>
        <v>1311.5</v>
      </c>
      <c r="I3928" s="368">
        <f t="shared" si="514"/>
        <v>0</v>
      </c>
      <c r="J3928">
        <v>3043</v>
      </c>
      <c r="K3928" s="367">
        <f t="shared" si="515"/>
        <v>2173.5714285714284</v>
      </c>
      <c r="L3928" s="607">
        <v>0.47000000000000003</v>
      </c>
      <c r="M3928">
        <v>3.4</v>
      </c>
      <c r="N3928" s="381">
        <v>19</v>
      </c>
      <c r="O3928">
        <v>2</v>
      </c>
      <c r="P3928" t="s">
        <v>514</v>
      </c>
      <c r="Q3928" s="97" t="str">
        <f t="shared" si="516"/>
        <v/>
      </c>
      <c r="R3928" t="str">
        <f t="shared" si="517"/>
        <v/>
      </c>
    </row>
    <row r="3929" spans="3:18">
      <c r="C3929" t="str">
        <f t="shared" si="518"/>
        <v>NL</v>
      </c>
      <c r="D3929">
        <v>20</v>
      </c>
      <c r="E3929">
        <v>25</v>
      </c>
      <c r="F3929" s="366">
        <f t="shared" si="512"/>
        <v>542.5</v>
      </c>
      <c r="G3929" s="97">
        <v>856</v>
      </c>
      <c r="H3929" s="367">
        <f t="shared" si="513"/>
        <v>1398.5</v>
      </c>
      <c r="I3929" s="368">
        <f t="shared" si="514"/>
        <v>0</v>
      </c>
      <c r="J3929">
        <v>3389</v>
      </c>
      <c r="K3929" s="367">
        <f t="shared" si="515"/>
        <v>2420.7142857142858</v>
      </c>
      <c r="L3929" s="607">
        <v>0.16</v>
      </c>
      <c r="M3929">
        <v>4.8</v>
      </c>
      <c r="N3929" s="381">
        <v>15</v>
      </c>
      <c r="O3929">
        <v>3</v>
      </c>
      <c r="P3929" t="s">
        <v>514</v>
      </c>
      <c r="Q3929" s="97" t="str">
        <f t="shared" si="516"/>
        <v/>
      </c>
      <c r="R3929" t="str">
        <f t="shared" si="517"/>
        <v/>
      </c>
    </row>
    <row r="3930" spans="3:18">
      <c r="C3930" t="str">
        <f t="shared" si="518"/>
        <v>NL</v>
      </c>
      <c r="D3930">
        <v>21</v>
      </c>
      <c r="E3930">
        <v>25</v>
      </c>
      <c r="F3930" s="366">
        <f t="shared" si="512"/>
        <v>542.5</v>
      </c>
      <c r="G3930" s="97">
        <v>1178</v>
      </c>
      <c r="H3930" s="367">
        <f t="shared" si="513"/>
        <v>1720.5</v>
      </c>
      <c r="I3930" s="368">
        <f t="shared" si="514"/>
        <v>0</v>
      </c>
      <c r="J3930">
        <v>4664</v>
      </c>
      <c r="K3930" s="367">
        <f t="shared" si="515"/>
        <v>3331.4285714285716</v>
      </c>
      <c r="L3930" s="607">
        <v>0.55000000000000004</v>
      </c>
      <c r="M3930">
        <v>4.8</v>
      </c>
      <c r="N3930" s="381">
        <v>19</v>
      </c>
      <c r="O3930">
        <v>3</v>
      </c>
      <c r="P3930" t="s">
        <v>513</v>
      </c>
      <c r="Q3930" s="97" t="str">
        <f t="shared" si="516"/>
        <v/>
      </c>
      <c r="R3930" t="str">
        <f t="shared" si="517"/>
        <v/>
      </c>
    </row>
    <row r="3931" spans="3:18">
      <c r="C3931" t="str">
        <f t="shared" si="518"/>
        <v/>
      </c>
      <c r="D3931">
        <v>22</v>
      </c>
      <c r="E3931">
        <v>25</v>
      </c>
      <c r="F3931" s="366">
        <f t="shared" si="512"/>
        <v>542.5</v>
      </c>
      <c r="G3931" s="97">
        <v>1262</v>
      </c>
      <c r="H3931" s="367">
        <f t="shared" si="513"/>
        <v>1804.5</v>
      </c>
      <c r="I3931" s="368">
        <f t="shared" si="514"/>
        <v>0</v>
      </c>
      <c r="J3931">
        <v>4995</v>
      </c>
      <c r="K3931" s="367">
        <f t="shared" si="515"/>
        <v>3567.8571428571431</v>
      </c>
      <c r="L3931" s="607">
        <v>0.28000000000000003</v>
      </c>
      <c r="M3931">
        <v>6.1</v>
      </c>
      <c r="N3931" s="381">
        <v>15</v>
      </c>
      <c r="O3931">
        <v>4</v>
      </c>
      <c r="P3931" t="s">
        <v>513</v>
      </c>
      <c r="Q3931" s="97" t="str">
        <f t="shared" si="516"/>
        <v/>
      </c>
      <c r="R3931" t="str">
        <f t="shared" si="517"/>
        <v/>
      </c>
    </row>
    <row r="3932" spans="3:18">
      <c r="C3932" t="str">
        <f t="shared" si="518"/>
        <v/>
      </c>
      <c r="D3932">
        <v>23</v>
      </c>
      <c r="E3932">
        <v>25</v>
      </c>
      <c r="F3932" s="366">
        <f t="shared" si="512"/>
        <v>542.5</v>
      </c>
      <c r="G3932" s="97">
        <v>1374</v>
      </c>
      <c r="H3932" s="367">
        <f t="shared" si="513"/>
        <v>1916.5</v>
      </c>
      <c r="I3932" s="368">
        <f t="shared" si="514"/>
        <v>0</v>
      </c>
      <c r="J3932">
        <v>5439</v>
      </c>
      <c r="K3932" s="367">
        <f t="shared" si="515"/>
        <v>3885</v>
      </c>
      <c r="L3932" s="607">
        <v>0.66</v>
      </c>
      <c r="M3932">
        <v>6.1</v>
      </c>
      <c r="N3932" s="381">
        <v>21</v>
      </c>
      <c r="O3932">
        <v>4</v>
      </c>
      <c r="P3932" t="s">
        <v>512</v>
      </c>
      <c r="Q3932" s="97" t="str">
        <f t="shared" si="516"/>
        <v/>
      </c>
      <c r="R3932" t="str">
        <f t="shared" si="517"/>
        <v/>
      </c>
    </row>
    <row r="3933" spans="3:18">
      <c r="C3933" t="str">
        <f t="shared" si="518"/>
        <v>NL</v>
      </c>
      <c r="D3933">
        <v>24</v>
      </c>
      <c r="E3933">
        <v>25</v>
      </c>
      <c r="F3933" s="366">
        <f t="shared" si="512"/>
        <v>542.5</v>
      </c>
      <c r="G3933" s="97">
        <v>1422</v>
      </c>
      <c r="H3933" s="367">
        <f t="shared" si="513"/>
        <v>1964.5</v>
      </c>
      <c r="I3933" s="368">
        <f t="shared" si="514"/>
        <v>0</v>
      </c>
      <c r="J3933">
        <v>5627</v>
      </c>
      <c r="K3933" s="367">
        <f t="shared" si="515"/>
        <v>4019.2857142857142</v>
      </c>
      <c r="L3933" s="607">
        <v>0.18000000000000002</v>
      </c>
      <c r="M3933">
        <v>7.3999999999999995</v>
      </c>
      <c r="N3933" s="381">
        <v>15</v>
      </c>
      <c r="O3933">
        <v>5</v>
      </c>
      <c r="P3933" t="s">
        <v>513</v>
      </c>
      <c r="Q3933" s="97" t="str">
        <f t="shared" si="516"/>
        <v/>
      </c>
      <c r="R3933" t="str">
        <f t="shared" si="517"/>
        <v/>
      </c>
    </row>
    <row r="3934" spans="3:18">
      <c r="C3934" t="str">
        <f t="shared" si="518"/>
        <v>NL</v>
      </c>
      <c r="D3934">
        <v>25</v>
      </c>
      <c r="E3934">
        <v>25</v>
      </c>
      <c r="F3934" s="366">
        <f t="shared" si="512"/>
        <v>542.5</v>
      </c>
      <c r="G3934" s="97">
        <v>1585</v>
      </c>
      <c r="H3934" s="367">
        <f t="shared" si="513"/>
        <v>2127.5</v>
      </c>
      <c r="I3934" s="368">
        <f t="shared" si="514"/>
        <v>0</v>
      </c>
      <c r="J3934">
        <v>6274</v>
      </c>
      <c r="K3934" s="367">
        <f t="shared" si="515"/>
        <v>4481.4285714285716</v>
      </c>
      <c r="L3934" s="607">
        <v>0.42</v>
      </c>
      <c r="M3934">
        <v>7.3999999999999995</v>
      </c>
      <c r="N3934" s="381">
        <v>19</v>
      </c>
      <c r="O3934">
        <v>5</v>
      </c>
      <c r="P3934" t="s">
        <v>512</v>
      </c>
      <c r="Q3934" s="97" t="str">
        <f t="shared" si="516"/>
        <v/>
      </c>
      <c r="R3934" t="str">
        <f t="shared" si="517"/>
        <v/>
      </c>
    </row>
    <row r="3935" spans="3:18">
      <c r="C3935" t="str">
        <f t="shared" si="518"/>
        <v/>
      </c>
      <c r="D3935">
        <v>26</v>
      </c>
      <c r="E3935">
        <v>25</v>
      </c>
      <c r="F3935" s="366">
        <f t="shared" si="512"/>
        <v>542.5</v>
      </c>
      <c r="G3935" s="97">
        <v>1490</v>
      </c>
      <c r="H3935" s="367">
        <f t="shared" si="513"/>
        <v>2032.5</v>
      </c>
      <c r="I3935" s="368">
        <f t="shared" si="514"/>
        <v>0</v>
      </c>
      <c r="J3935">
        <v>5898</v>
      </c>
      <c r="K3935" s="367">
        <f t="shared" si="515"/>
        <v>4212.8571428571431</v>
      </c>
      <c r="L3935" s="607">
        <v>0.3</v>
      </c>
      <c r="M3935">
        <v>8.6999999999999993</v>
      </c>
      <c r="N3935" s="381">
        <v>18</v>
      </c>
      <c r="O3935">
        <v>6</v>
      </c>
      <c r="P3935" t="s">
        <v>512</v>
      </c>
      <c r="Q3935" s="97" t="str">
        <f t="shared" si="516"/>
        <v/>
      </c>
      <c r="R3935" t="str">
        <f t="shared" si="517"/>
        <v/>
      </c>
    </row>
    <row r="3936" spans="3:18">
      <c r="C3936" t="str">
        <f t="shared" si="518"/>
        <v>NL</v>
      </c>
      <c r="D3936">
        <v>27</v>
      </c>
      <c r="E3936">
        <v>25</v>
      </c>
      <c r="F3936" s="366">
        <f t="shared" si="512"/>
        <v>542.5</v>
      </c>
      <c r="G3936" s="97">
        <v>2011</v>
      </c>
      <c r="H3936" s="367">
        <f t="shared" si="513"/>
        <v>2553.5</v>
      </c>
      <c r="I3936" s="368">
        <f t="shared" si="514"/>
        <v>0</v>
      </c>
      <c r="J3936">
        <v>7961</v>
      </c>
      <c r="K3936" s="367">
        <f t="shared" si="515"/>
        <v>5686.4285714285716</v>
      </c>
      <c r="L3936" s="607">
        <v>0.22</v>
      </c>
      <c r="M3936">
        <v>1.3</v>
      </c>
      <c r="N3936" s="381">
        <v>18</v>
      </c>
      <c r="O3936">
        <v>7</v>
      </c>
      <c r="P3936" t="s">
        <v>512</v>
      </c>
      <c r="Q3936" s="97" t="str">
        <f t="shared" si="516"/>
        <v/>
      </c>
      <c r="R3936" t="str">
        <f t="shared" si="517"/>
        <v/>
      </c>
    </row>
    <row r="3937" spans="3:18">
      <c r="C3937" t="str">
        <f t="shared" si="518"/>
        <v/>
      </c>
      <c r="D3937">
        <v>28</v>
      </c>
      <c r="E3937">
        <v>25</v>
      </c>
      <c r="F3937" s="366">
        <f t="shared" si="512"/>
        <v>542.5</v>
      </c>
      <c r="G3937" s="97">
        <v>1748</v>
      </c>
      <c r="H3937" s="367">
        <f t="shared" si="513"/>
        <v>2290.5</v>
      </c>
      <c r="I3937" s="368">
        <f t="shared" si="514"/>
        <v>0</v>
      </c>
      <c r="J3937">
        <v>6917</v>
      </c>
      <c r="K3937" s="367">
        <f t="shared" si="515"/>
        <v>4940.7142857142862</v>
      </c>
      <c r="L3937" s="607">
        <v>0.17</v>
      </c>
      <c r="M3937">
        <v>2.8000000000000003</v>
      </c>
      <c r="N3937" s="381">
        <v>17</v>
      </c>
      <c r="O3937">
        <v>8</v>
      </c>
      <c r="P3937" t="s">
        <v>512</v>
      </c>
      <c r="Q3937" s="97" t="str">
        <f t="shared" si="516"/>
        <v/>
      </c>
      <c r="R3937" t="str">
        <f t="shared" si="517"/>
        <v/>
      </c>
    </row>
    <row r="3938" spans="3:18">
      <c r="C3938" t="str">
        <f t="shared" si="518"/>
        <v/>
      </c>
      <c r="D3938">
        <v>29</v>
      </c>
      <c r="E3938">
        <v>30</v>
      </c>
      <c r="F3938" s="366">
        <f t="shared" si="512"/>
        <v>651</v>
      </c>
      <c r="G3938" s="97">
        <v>634</v>
      </c>
      <c r="H3938" s="367">
        <f t="shared" si="513"/>
        <v>1285</v>
      </c>
      <c r="I3938" s="368">
        <f t="shared" si="514"/>
        <v>0</v>
      </c>
      <c r="J3938">
        <v>2509</v>
      </c>
      <c r="K3938" s="367">
        <f t="shared" si="515"/>
        <v>1792.1428571428571</v>
      </c>
      <c r="L3938" s="607">
        <v>0.22</v>
      </c>
      <c r="M3938">
        <v>3.4</v>
      </c>
      <c r="N3938" s="381">
        <v>16</v>
      </c>
      <c r="O3938">
        <v>2</v>
      </c>
      <c r="P3938" t="s">
        <v>515</v>
      </c>
      <c r="Q3938" s="97" t="str">
        <f t="shared" si="516"/>
        <v/>
      </c>
      <c r="R3938" t="str">
        <f t="shared" si="517"/>
        <v/>
      </c>
    </row>
    <row r="3939" spans="3:18">
      <c r="C3939" t="str">
        <f t="shared" si="518"/>
        <v/>
      </c>
      <c r="D3939">
        <v>30</v>
      </c>
      <c r="E3939">
        <v>30</v>
      </c>
      <c r="F3939" s="366">
        <f t="shared" si="512"/>
        <v>651</v>
      </c>
      <c r="G3939" s="97">
        <v>881</v>
      </c>
      <c r="H3939" s="367">
        <f t="shared" si="513"/>
        <v>1532</v>
      </c>
      <c r="I3939" s="368">
        <f t="shared" si="514"/>
        <v>0</v>
      </c>
      <c r="J3939">
        <v>3486</v>
      </c>
      <c r="K3939" s="367">
        <f t="shared" si="515"/>
        <v>2490</v>
      </c>
      <c r="L3939" s="607">
        <v>0.67</v>
      </c>
      <c r="M3939">
        <v>3.4</v>
      </c>
      <c r="N3939" s="381">
        <v>22</v>
      </c>
      <c r="O3939">
        <v>2</v>
      </c>
      <c r="P3939" t="s">
        <v>514</v>
      </c>
      <c r="Q3939" s="97" t="str">
        <f t="shared" si="516"/>
        <v/>
      </c>
      <c r="R3939" t="str">
        <f t="shared" si="517"/>
        <v/>
      </c>
    </row>
    <row r="3940" spans="3:18">
      <c r="C3940" t="str">
        <f t="shared" si="518"/>
        <v>NL</v>
      </c>
      <c r="D3940">
        <v>31</v>
      </c>
      <c r="E3940">
        <v>30</v>
      </c>
      <c r="F3940" s="366">
        <f t="shared" si="512"/>
        <v>651</v>
      </c>
      <c r="G3940" s="97">
        <v>989</v>
      </c>
      <c r="H3940" s="367">
        <f t="shared" si="513"/>
        <v>1640</v>
      </c>
      <c r="I3940" s="368">
        <f t="shared" si="514"/>
        <v>0</v>
      </c>
      <c r="J3940">
        <v>3917</v>
      </c>
      <c r="K3940" s="367">
        <f t="shared" si="515"/>
        <v>2797.8571428571431</v>
      </c>
      <c r="L3940" s="607">
        <v>0.24000000000000002</v>
      </c>
      <c r="M3940">
        <v>4.8</v>
      </c>
      <c r="N3940" s="381">
        <v>16</v>
      </c>
      <c r="O3940">
        <v>3</v>
      </c>
      <c r="P3940" t="s">
        <v>514</v>
      </c>
      <c r="Q3940" s="97" t="str">
        <f t="shared" si="516"/>
        <v/>
      </c>
      <c r="R3940" t="str">
        <f t="shared" si="517"/>
        <v/>
      </c>
    </row>
    <row r="3941" spans="3:18">
      <c r="C3941" t="str">
        <f t="shared" si="518"/>
        <v>NL</v>
      </c>
      <c r="D3941">
        <v>32</v>
      </c>
      <c r="E3941">
        <v>30</v>
      </c>
      <c r="F3941" s="366">
        <f t="shared" si="512"/>
        <v>651</v>
      </c>
      <c r="G3941" s="97">
        <v>1345</v>
      </c>
      <c r="H3941" s="367">
        <f t="shared" si="513"/>
        <v>1996</v>
      </c>
      <c r="I3941" s="368">
        <f t="shared" si="514"/>
        <v>0</v>
      </c>
      <c r="J3941">
        <v>5324</v>
      </c>
      <c r="K3941" s="367">
        <f t="shared" si="515"/>
        <v>3802.8571428571431</v>
      </c>
      <c r="L3941" s="607">
        <v>0.79</v>
      </c>
      <c r="M3941">
        <v>4.8</v>
      </c>
      <c r="N3941" s="381">
        <v>21</v>
      </c>
      <c r="O3941">
        <v>3</v>
      </c>
      <c r="P3941" t="s">
        <v>513</v>
      </c>
      <c r="Q3941" s="97" t="str">
        <f t="shared" si="516"/>
        <v/>
      </c>
      <c r="R3941" t="str">
        <f t="shared" si="517"/>
        <v/>
      </c>
    </row>
    <row r="3942" spans="3:18">
      <c r="C3942" t="str">
        <f t="shared" si="518"/>
        <v/>
      </c>
      <c r="D3942">
        <v>33</v>
      </c>
      <c r="E3942">
        <v>30</v>
      </c>
      <c r="F3942" s="366">
        <f t="shared" si="512"/>
        <v>651</v>
      </c>
      <c r="G3942" s="97">
        <v>1447</v>
      </c>
      <c r="H3942" s="367">
        <f t="shared" si="513"/>
        <v>2098</v>
      </c>
      <c r="I3942" s="368">
        <f t="shared" si="514"/>
        <v>0</v>
      </c>
      <c r="J3942">
        <v>5726</v>
      </c>
      <c r="K3942" s="367">
        <f t="shared" si="515"/>
        <v>4090</v>
      </c>
      <c r="L3942" s="607">
        <v>0.4</v>
      </c>
      <c r="M3942">
        <v>6.1</v>
      </c>
      <c r="N3942" s="381">
        <v>17</v>
      </c>
      <c r="O3942">
        <v>4</v>
      </c>
      <c r="P3942" t="s">
        <v>513</v>
      </c>
      <c r="Q3942" s="97" t="str">
        <f t="shared" si="516"/>
        <v/>
      </c>
      <c r="R3942" t="str">
        <f t="shared" si="517"/>
        <v/>
      </c>
    </row>
    <row r="3943" spans="3:18">
      <c r="C3943" t="str">
        <f t="shared" si="518"/>
        <v/>
      </c>
      <c r="D3943">
        <v>34</v>
      </c>
      <c r="E3943">
        <v>30</v>
      </c>
      <c r="F3943" s="366">
        <f t="shared" si="512"/>
        <v>651</v>
      </c>
      <c r="G3943" s="97">
        <v>1579</v>
      </c>
      <c r="H3943" s="367">
        <f t="shared" si="513"/>
        <v>2230</v>
      </c>
      <c r="I3943" s="368">
        <f t="shared" si="514"/>
        <v>0</v>
      </c>
      <c r="J3943">
        <v>6250</v>
      </c>
      <c r="K3943" s="367">
        <f t="shared" si="515"/>
        <v>4464.2857142857147</v>
      </c>
      <c r="L3943" s="607">
        <v>0.94000000000000006</v>
      </c>
      <c r="M3943">
        <v>6.1</v>
      </c>
      <c r="N3943" s="381">
        <v>23</v>
      </c>
      <c r="O3943">
        <v>4</v>
      </c>
      <c r="P3943" t="s">
        <v>512</v>
      </c>
      <c r="Q3943" s="97" t="str">
        <f t="shared" si="516"/>
        <v/>
      </c>
      <c r="R3943" t="str">
        <f t="shared" si="517"/>
        <v/>
      </c>
    </row>
    <row r="3944" spans="3:18">
      <c r="C3944" t="str">
        <f t="shared" si="518"/>
        <v>NL</v>
      </c>
      <c r="D3944">
        <v>35</v>
      </c>
      <c r="E3944">
        <v>30</v>
      </c>
      <c r="F3944" s="366">
        <f t="shared" si="512"/>
        <v>651</v>
      </c>
      <c r="G3944" s="97">
        <v>1649</v>
      </c>
      <c r="H3944" s="367">
        <f t="shared" si="513"/>
        <v>2300</v>
      </c>
      <c r="I3944" s="368">
        <f t="shared" si="514"/>
        <v>0</v>
      </c>
      <c r="J3944">
        <v>6526</v>
      </c>
      <c r="K3944" s="367">
        <f t="shared" si="515"/>
        <v>4661.4285714285716</v>
      </c>
      <c r="L3944" s="607">
        <v>0.25</v>
      </c>
      <c r="M3944">
        <v>7.3999999999999995</v>
      </c>
      <c r="N3944" s="381">
        <v>16</v>
      </c>
      <c r="O3944">
        <v>5</v>
      </c>
      <c r="P3944" t="s">
        <v>513</v>
      </c>
      <c r="Q3944" s="97" t="str">
        <f t="shared" si="516"/>
        <v/>
      </c>
      <c r="R3944" t="str">
        <f t="shared" si="517"/>
        <v/>
      </c>
    </row>
    <row r="3945" spans="3:18">
      <c r="C3945" t="str">
        <f t="shared" si="518"/>
        <v>NL</v>
      </c>
      <c r="D3945">
        <v>36</v>
      </c>
      <c r="E3945">
        <v>30</v>
      </c>
      <c r="F3945" s="366">
        <f t="shared" si="512"/>
        <v>651</v>
      </c>
      <c r="G3945" s="97">
        <v>1820</v>
      </c>
      <c r="H3945" s="367">
        <f t="shared" si="513"/>
        <v>2471</v>
      </c>
      <c r="I3945" s="368">
        <f t="shared" si="514"/>
        <v>0</v>
      </c>
      <c r="J3945">
        <v>7203</v>
      </c>
      <c r="K3945" s="367">
        <f t="shared" si="515"/>
        <v>5145</v>
      </c>
      <c r="L3945" s="607">
        <v>0.6</v>
      </c>
      <c r="M3945">
        <v>7.3999999999999995</v>
      </c>
      <c r="N3945" s="381">
        <v>22</v>
      </c>
      <c r="O3945">
        <v>5</v>
      </c>
      <c r="P3945" t="s">
        <v>512</v>
      </c>
      <c r="Q3945" s="97" t="str">
        <f t="shared" si="516"/>
        <v/>
      </c>
      <c r="R3945" t="str">
        <f t="shared" si="517"/>
        <v/>
      </c>
    </row>
    <row r="3946" spans="3:18">
      <c r="C3946" t="str">
        <f t="shared" si="518"/>
        <v/>
      </c>
      <c r="D3946">
        <v>37</v>
      </c>
      <c r="E3946">
        <v>30</v>
      </c>
      <c r="F3946" s="366">
        <f t="shared" si="512"/>
        <v>651</v>
      </c>
      <c r="G3946" s="97">
        <v>1573</v>
      </c>
      <c r="H3946" s="367">
        <f t="shared" si="513"/>
        <v>2224</v>
      </c>
      <c r="I3946" s="368">
        <f t="shared" si="514"/>
        <v>0</v>
      </c>
      <c r="J3946">
        <v>6226</v>
      </c>
      <c r="K3946" s="367">
        <f t="shared" si="515"/>
        <v>4447.1428571428569</v>
      </c>
      <c r="L3946" s="607">
        <v>0.18000000000000002</v>
      </c>
      <c r="M3946">
        <v>8.6999999999999993</v>
      </c>
      <c r="N3946" s="381">
        <v>15</v>
      </c>
      <c r="O3946">
        <v>6</v>
      </c>
      <c r="P3946" t="s">
        <v>513</v>
      </c>
      <c r="Q3946" s="97" t="str">
        <f t="shared" si="516"/>
        <v/>
      </c>
      <c r="R3946" t="str">
        <f t="shared" si="517"/>
        <v/>
      </c>
    </row>
    <row r="3947" spans="3:18">
      <c r="C3947" t="str">
        <f t="shared" si="518"/>
        <v/>
      </c>
      <c r="D3947">
        <v>38</v>
      </c>
      <c r="E3947">
        <v>30</v>
      </c>
      <c r="F3947" s="366">
        <f t="shared" si="512"/>
        <v>651</v>
      </c>
      <c r="G3947" s="97">
        <v>1722</v>
      </c>
      <c r="H3947" s="367">
        <f t="shared" si="513"/>
        <v>2373</v>
      </c>
      <c r="I3947" s="368">
        <f t="shared" si="514"/>
        <v>0</v>
      </c>
      <c r="J3947">
        <v>6817</v>
      </c>
      <c r="K3947" s="367">
        <f t="shared" si="515"/>
        <v>4869.2857142857147</v>
      </c>
      <c r="L3947" s="607">
        <v>0.42</v>
      </c>
      <c r="M3947">
        <v>8.6999999999999993</v>
      </c>
      <c r="N3947" s="381">
        <v>21</v>
      </c>
      <c r="O3947">
        <v>6</v>
      </c>
      <c r="P3947" t="s">
        <v>512</v>
      </c>
      <c r="Q3947" s="97" t="str">
        <f t="shared" si="516"/>
        <v/>
      </c>
      <c r="R3947" t="str">
        <f t="shared" si="517"/>
        <v/>
      </c>
    </row>
    <row r="3948" spans="3:18">
      <c r="C3948" t="str">
        <f t="shared" si="518"/>
        <v>NL</v>
      </c>
      <c r="D3948">
        <v>39</v>
      </c>
      <c r="E3948">
        <v>30</v>
      </c>
      <c r="F3948" s="366">
        <f t="shared" si="512"/>
        <v>651</v>
      </c>
      <c r="G3948" s="97">
        <v>2330</v>
      </c>
      <c r="H3948" s="367">
        <f t="shared" si="513"/>
        <v>2981</v>
      </c>
      <c r="I3948" s="368">
        <f t="shared" si="514"/>
        <v>0</v>
      </c>
      <c r="J3948">
        <v>9221</v>
      </c>
      <c r="K3948" s="367">
        <f t="shared" si="515"/>
        <v>6586.4285714285716</v>
      </c>
      <c r="L3948" s="607">
        <v>0.31</v>
      </c>
      <c r="M3948">
        <v>1.3</v>
      </c>
      <c r="N3948" s="381">
        <v>20</v>
      </c>
      <c r="O3948">
        <v>7</v>
      </c>
      <c r="P3948" t="s">
        <v>512</v>
      </c>
      <c r="Q3948" s="97" t="str">
        <f t="shared" si="516"/>
        <v/>
      </c>
      <c r="R3948" t="str">
        <f t="shared" si="517"/>
        <v/>
      </c>
    </row>
    <row r="3949" spans="3:18">
      <c r="C3949" t="str">
        <f t="shared" si="518"/>
        <v/>
      </c>
      <c r="D3949">
        <v>40</v>
      </c>
      <c r="E3949">
        <v>30</v>
      </c>
      <c r="F3949" s="366">
        <f t="shared" si="512"/>
        <v>651</v>
      </c>
      <c r="G3949" s="97">
        <v>1996</v>
      </c>
      <c r="H3949" s="367">
        <f t="shared" si="513"/>
        <v>2647</v>
      </c>
      <c r="I3949" s="368">
        <f t="shared" si="514"/>
        <v>0</v>
      </c>
      <c r="J3949">
        <v>7899</v>
      </c>
      <c r="K3949" s="367">
        <f t="shared" si="515"/>
        <v>5642.1428571428569</v>
      </c>
      <c r="L3949" s="607">
        <v>0.24000000000000002</v>
      </c>
      <c r="M3949">
        <v>2.8000000000000003</v>
      </c>
      <c r="N3949" s="381">
        <v>19</v>
      </c>
      <c r="O3949">
        <v>8</v>
      </c>
      <c r="P3949" t="s">
        <v>512</v>
      </c>
      <c r="Q3949" s="97" t="str">
        <f t="shared" si="516"/>
        <v/>
      </c>
      <c r="R3949" t="str">
        <f t="shared" si="517"/>
        <v/>
      </c>
    </row>
    <row r="3950" spans="3:18">
      <c r="C3950" t="str">
        <f t="shared" si="518"/>
        <v>NL</v>
      </c>
      <c r="D3950">
        <v>41</v>
      </c>
      <c r="E3950">
        <v>30</v>
      </c>
      <c r="F3950" s="366">
        <f t="shared" si="512"/>
        <v>651</v>
      </c>
      <c r="G3950" s="97">
        <v>2720</v>
      </c>
      <c r="H3950" s="367">
        <f t="shared" si="513"/>
        <v>3371</v>
      </c>
      <c r="I3950" s="368">
        <f t="shared" si="514"/>
        <v>0</v>
      </c>
      <c r="J3950">
        <v>10764</v>
      </c>
      <c r="K3950" s="367">
        <f t="shared" si="515"/>
        <v>7688.5714285714284</v>
      </c>
      <c r="L3950" s="607">
        <v>0.2</v>
      </c>
      <c r="M3950">
        <v>1.7000000000000002</v>
      </c>
      <c r="N3950" s="381">
        <v>19</v>
      </c>
      <c r="O3950">
        <v>9</v>
      </c>
      <c r="P3950" t="s">
        <v>512</v>
      </c>
      <c r="Q3950" s="97" t="str">
        <f t="shared" si="516"/>
        <v/>
      </c>
      <c r="R3950" t="str">
        <f t="shared" si="517"/>
        <v/>
      </c>
    </row>
    <row r="3951" spans="3:18">
      <c r="C3951" t="str">
        <f t="shared" si="518"/>
        <v/>
      </c>
      <c r="D3951">
        <v>42</v>
      </c>
      <c r="E3951">
        <v>30</v>
      </c>
      <c r="F3951" s="366">
        <f t="shared" si="512"/>
        <v>651</v>
      </c>
      <c r="G3951" s="97">
        <v>2861</v>
      </c>
      <c r="H3951" s="367">
        <f t="shared" si="513"/>
        <v>3512</v>
      </c>
      <c r="I3951" s="368">
        <f t="shared" si="514"/>
        <v>0</v>
      </c>
      <c r="J3951">
        <v>11325</v>
      </c>
      <c r="K3951" s="367">
        <f t="shared" si="515"/>
        <v>8089.2857142857147</v>
      </c>
      <c r="L3951" s="607">
        <v>0.16</v>
      </c>
      <c r="M3951">
        <v>3.7</v>
      </c>
      <c r="N3951" s="381">
        <v>18</v>
      </c>
      <c r="O3951">
        <v>10</v>
      </c>
      <c r="P3951" t="s">
        <v>512</v>
      </c>
      <c r="Q3951" s="97" t="str">
        <f t="shared" si="516"/>
        <v/>
      </c>
      <c r="R3951" t="str">
        <f t="shared" si="517"/>
        <v/>
      </c>
    </row>
    <row r="3952" spans="3:18">
      <c r="C3952" t="str">
        <f t="shared" si="518"/>
        <v/>
      </c>
      <c r="D3952">
        <v>43</v>
      </c>
      <c r="E3952">
        <v>30</v>
      </c>
      <c r="F3952" s="366">
        <f t="shared" si="512"/>
        <v>651</v>
      </c>
      <c r="G3952" s="97">
        <v>2861</v>
      </c>
      <c r="H3952" s="367">
        <f t="shared" si="513"/>
        <v>3512</v>
      </c>
      <c r="I3952" s="368">
        <f t="shared" si="514"/>
        <v>0</v>
      </c>
      <c r="J3952">
        <v>11325</v>
      </c>
      <c r="K3952" s="367">
        <f t="shared" si="515"/>
        <v>8089.2857142857147</v>
      </c>
      <c r="L3952" s="607">
        <v>0.16</v>
      </c>
      <c r="M3952">
        <v>3.7</v>
      </c>
      <c r="N3952" s="381">
        <v>18</v>
      </c>
      <c r="O3952">
        <v>10</v>
      </c>
      <c r="P3952" t="s">
        <v>512</v>
      </c>
      <c r="Q3952" s="97" t="str">
        <f t="shared" si="516"/>
        <v/>
      </c>
      <c r="R3952" t="str">
        <f t="shared" si="517"/>
        <v/>
      </c>
    </row>
    <row r="3953" spans="3:18">
      <c r="C3953" t="str">
        <f t="shared" si="518"/>
        <v/>
      </c>
      <c r="D3953">
        <v>44</v>
      </c>
      <c r="E3953">
        <v>35</v>
      </c>
      <c r="F3953" s="366">
        <f t="shared" si="512"/>
        <v>759.5</v>
      </c>
      <c r="G3953" s="97">
        <v>715</v>
      </c>
      <c r="H3953" s="367">
        <f t="shared" si="513"/>
        <v>1474.5</v>
      </c>
      <c r="I3953" s="368">
        <f t="shared" si="514"/>
        <v>0</v>
      </c>
      <c r="J3953">
        <v>2830</v>
      </c>
      <c r="K3953" s="367">
        <f t="shared" si="515"/>
        <v>2021.4285714285716</v>
      </c>
      <c r="L3953" s="607">
        <v>0.29000000000000004</v>
      </c>
      <c r="M3953">
        <v>3.4</v>
      </c>
      <c r="N3953" s="381">
        <v>18</v>
      </c>
      <c r="O3953">
        <v>2</v>
      </c>
      <c r="P3953" t="s">
        <v>515</v>
      </c>
      <c r="Q3953" s="97" t="str">
        <f t="shared" si="516"/>
        <v/>
      </c>
      <c r="R3953" t="str">
        <f t="shared" si="517"/>
        <v/>
      </c>
    </row>
    <row r="3954" spans="3:18">
      <c r="C3954" t="str">
        <f t="shared" si="518"/>
        <v/>
      </c>
      <c r="D3954">
        <v>45</v>
      </c>
      <c r="E3954">
        <v>35</v>
      </c>
      <c r="F3954" s="366">
        <f t="shared" si="512"/>
        <v>759.5</v>
      </c>
      <c r="G3954" s="97">
        <v>983</v>
      </c>
      <c r="H3954" s="367">
        <f t="shared" si="513"/>
        <v>1742.5</v>
      </c>
      <c r="I3954" s="368">
        <f t="shared" si="514"/>
        <v>0</v>
      </c>
      <c r="J3954">
        <v>3892</v>
      </c>
      <c r="K3954" s="367">
        <f t="shared" si="515"/>
        <v>2780</v>
      </c>
      <c r="L3954" s="607">
        <v>0.91</v>
      </c>
      <c r="M3954">
        <v>3.4</v>
      </c>
      <c r="N3954" s="381">
        <v>24</v>
      </c>
      <c r="O3954">
        <v>2</v>
      </c>
      <c r="P3954" t="s">
        <v>514</v>
      </c>
      <c r="Q3954" s="97" t="str">
        <f t="shared" si="516"/>
        <v/>
      </c>
      <c r="R3954" t="str">
        <f t="shared" si="517"/>
        <v/>
      </c>
    </row>
    <row r="3955" spans="3:18">
      <c r="C3955" t="str">
        <f t="shared" si="518"/>
        <v>NL</v>
      </c>
      <c r="D3955">
        <v>46</v>
      </c>
      <c r="E3955">
        <v>35</v>
      </c>
      <c r="F3955" s="366">
        <f t="shared" si="512"/>
        <v>759.5</v>
      </c>
      <c r="G3955" s="97">
        <v>1114</v>
      </c>
      <c r="H3955" s="367">
        <f t="shared" si="513"/>
        <v>1873.5</v>
      </c>
      <c r="I3955" s="368">
        <f t="shared" si="514"/>
        <v>0</v>
      </c>
      <c r="J3955">
        <v>4409</v>
      </c>
      <c r="K3955" s="367">
        <f t="shared" si="515"/>
        <v>3149.2857142857142</v>
      </c>
      <c r="L3955" s="607">
        <v>0.32</v>
      </c>
      <c r="M3955">
        <v>4.8</v>
      </c>
      <c r="N3955" s="381">
        <v>18</v>
      </c>
      <c r="O3955">
        <v>3</v>
      </c>
      <c r="P3955" t="s">
        <v>514</v>
      </c>
      <c r="Q3955" s="97" t="str">
        <f t="shared" si="516"/>
        <v/>
      </c>
      <c r="R3955" t="str">
        <f t="shared" si="517"/>
        <v/>
      </c>
    </row>
    <row r="3956" spans="3:18">
      <c r="C3956" t="str">
        <f t="shared" si="518"/>
        <v>NL</v>
      </c>
      <c r="D3956">
        <v>47</v>
      </c>
      <c r="E3956">
        <v>35</v>
      </c>
      <c r="F3956" s="366">
        <f t="shared" si="512"/>
        <v>759.5</v>
      </c>
      <c r="G3956" s="97">
        <v>1503</v>
      </c>
      <c r="H3956" s="367">
        <f t="shared" si="513"/>
        <v>2262.5</v>
      </c>
      <c r="I3956" s="368">
        <f t="shared" si="514"/>
        <v>0</v>
      </c>
      <c r="J3956">
        <v>5950</v>
      </c>
      <c r="K3956" s="367">
        <f t="shared" si="515"/>
        <v>4250</v>
      </c>
      <c r="L3956" s="607">
        <v>1.07</v>
      </c>
      <c r="M3956">
        <v>4.8</v>
      </c>
      <c r="N3956" s="381">
        <v>23</v>
      </c>
      <c r="O3956">
        <v>3</v>
      </c>
      <c r="P3956" t="s">
        <v>513</v>
      </c>
      <c r="Q3956" s="97" t="str">
        <f t="shared" si="516"/>
        <v/>
      </c>
      <c r="R3956" t="str">
        <f t="shared" si="517"/>
        <v/>
      </c>
    </row>
    <row r="3957" spans="3:18">
      <c r="C3957" t="str">
        <f t="shared" si="518"/>
        <v/>
      </c>
      <c r="D3957">
        <v>48</v>
      </c>
      <c r="E3957">
        <v>35</v>
      </c>
      <c r="F3957" s="366">
        <f t="shared" si="512"/>
        <v>759.5</v>
      </c>
      <c r="G3957" s="97">
        <v>1188</v>
      </c>
      <c r="H3957" s="367">
        <f t="shared" si="513"/>
        <v>1947.5</v>
      </c>
      <c r="I3957" s="368">
        <f t="shared" si="514"/>
        <v>0</v>
      </c>
      <c r="J3957">
        <v>4702</v>
      </c>
      <c r="K3957" s="367">
        <f t="shared" si="515"/>
        <v>3358.5714285714284</v>
      </c>
      <c r="L3957" s="607">
        <v>0.16</v>
      </c>
      <c r="M3957">
        <v>6.1</v>
      </c>
      <c r="N3957" s="381">
        <v>15</v>
      </c>
      <c r="O3957">
        <v>4</v>
      </c>
      <c r="P3957" t="s">
        <v>514</v>
      </c>
      <c r="Q3957" s="97" t="str">
        <f t="shared" si="516"/>
        <v/>
      </c>
      <c r="R3957" t="str">
        <f t="shared" si="517"/>
        <v/>
      </c>
    </row>
    <row r="3958" spans="3:18">
      <c r="C3958" t="str">
        <f t="shared" si="518"/>
        <v/>
      </c>
      <c r="D3958">
        <v>49</v>
      </c>
      <c r="E3958">
        <v>35</v>
      </c>
      <c r="F3958" s="366">
        <f t="shared" si="512"/>
        <v>759.5</v>
      </c>
      <c r="G3958" s="97">
        <v>1630</v>
      </c>
      <c r="H3958" s="367">
        <f t="shared" si="513"/>
        <v>2389.5</v>
      </c>
      <c r="I3958" s="368">
        <f t="shared" si="514"/>
        <v>0</v>
      </c>
      <c r="J3958">
        <v>6452</v>
      </c>
      <c r="K3958" s="367">
        <f t="shared" si="515"/>
        <v>4608.5714285714284</v>
      </c>
      <c r="L3958" s="607">
        <v>0.54</v>
      </c>
      <c r="M3958">
        <v>6.1</v>
      </c>
      <c r="N3958" s="381">
        <v>19</v>
      </c>
      <c r="O3958">
        <v>4</v>
      </c>
      <c r="P3958" t="s">
        <v>513</v>
      </c>
      <c r="Q3958" s="97" t="str">
        <f t="shared" si="516"/>
        <v/>
      </c>
      <c r="R3958" t="str">
        <f t="shared" si="517"/>
        <v/>
      </c>
    </row>
    <row r="3959" spans="3:18">
      <c r="C3959" t="str">
        <f t="shared" si="518"/>
        <v>NL</v>
      </c>
      <c r="D3959">
        <v>50</v>
      </c>
      <c r="E3959">
        <v>35</v>
      </c>
      <c r="F3959" s="366">
        <f t="shared" si="512"/>
        <v>759.5</v>
      </c>
      <c r="G3959" s="97">
        <v>1848</v>
      </c>
      <c r="H3959" s="367">
        <f t="shared" si="513"/>
        <v>2607.5</v>
      </c>
      <c r="I3959" s="368">
        <f t="shared" si="514"/>
        <v>0</v>
      </c>
      <c r="J3959">
        <v>7316</v>
      </c>
      <c r="K3959" s="367">
        <f t="shared" si="515"/>
        <v>5225.7142857142862</v>
      </c>
      <c r="L3959" s="607">
        <v>0.34</v>
      </c>
      <c r="M3959">
        <v>7.3999999999999995</v>
      </c>
      <c r="N3959" s="381">
        <v>18</v>
      </c>
      <c r="O3959">
        <v>5</v>
      </c>
      <c r="P3959" t="s">
        <v>513</v>
      </c>
      <c r="Q3959" s="97" t="str">
        <f t="shared" si="516"/>
        <v/>
      </c>
      <c r="R3959" t="str">
        <f t="shared" si="517"/>
        <v/>
      </c>
    </row>
    <row r="3960" spans="3:18">
      <c r="C3960" t="str">
        <f t="shared" si="518"/>
        <v>NL</v>
      </c>
      <c r="D3960">
        <v>51</v>
      </c>
      <c r="E3960">
        <v>35</v>
      </c>
      <c r="F3960" s="366">
        <f t="shared" si="512"/>
        <v>759.5</v>
      </c>
      <c r="G3960" s="97">
        <v>2047</v>
      </c>
      <c r="H3960" s="367">
        <f t="shared" si="513"/>
        <v>2806.5</v>
      </c>
      <c r="I3960" s="368">
        <f t="shared" si="514"/>
        <v>0</v>
      </c>
      <c r="J3960">
        <v>8102</v>
      </c>
      <c r="K3960" s="367">
        <f t="shared" si="515"/>
        <v>5787.1428571428569</v>
      </c>
      <c r="L3960" s="607">
        <v>0.81</v>
      </c>
      <c r="M3960">
        <v>7.3999999999999995</v>
      </c>
      <c r="N3960" s="381">
        <v>24</v>
      </c>
      <c r="O3960">
        <v>5</v>
      </c>
      <c r="P3960" t="s">
        <v>512</v>
      </c>
      <c r="Q3960" s="97" t="str">
        <f t="shared" si="516"/>
        <v/>
      </c>
      <c r="R3960" t="str">
        <f t="shared" si="517"/>
        <v/>
      </c>
    </row>
    <row r="3961" spans="3:18">
      <c r="C3961" t="str">
        <f t="shared" si="518"/>
        <v/>
      </c>
      <c r="D3961">
        <v>52</v>
      </c>
      <c r="E3961">
        <v>35</v>
      </c>
      <c r="F3961" s="366">
        <f t="shared" si="512"/>
        <v>759.5</v>
      </c>
      <c r="G3961" s="97">
        <v>1781</v>
      </c>
      <c r="H3961" s="367">
        <f t="shared" si="513"/>
        <v>2540.5</v>
      </c>
      <c r="I3961" s="368">
        <f t="shared" si="514"/>
        <v>0</v>
      </c>
      <c r="J3961">
        <v>7049</v>
      </c>
      <c r="K3961" s="367">
        <f t="shared" si="515"/>
        <v>5035</v>
      </c>
      <c r="L3961" s="607">
        <v>0.24000000000000002</v>
      </c>
      <c r="M3961">
        <v>8.6999999999999993</v>
      </c>
      <c r="N3961" s="381">
        <v>17</v>
      </c>
      <c r="O3961">
        <v>6</v>
      </c>
      <c r="P3961" t="s">
        <v>513</v>
      </c>
      <c r="Q3961" s="97" t="str">
        <f t="shared" si="516"/>
        <v/>
      </c>
      <c r="R3961" t="str">
        <f t="shared" si="517"/>
        <v/>
      </c>
    </row>
    <row r="3962" spans="3:18">
      <c r="C3962" t="str">
        <f t="shared" si="518"/>
        <v/>
      </c>
      <c r="D3962">
        <v>53</v>
      </c>
      <c r="E3962">
        <v>35</v>
      </c>
      <c r="F3962" s="366">
        <f t="shared" si="512"/>
        <v>759.5</v>
      </c>
      <c r="G3962" s="97">
        <v>1954</v>
      </c>
      <c r="H3962" s="367">
        <f t="shared" si="513"/>
        <v>2713.5</v>
      </c>
      <c r="I3962" s="368">
        <f t="shared" si="514"/>
        <v>0</v>
      </c>
      <c r="J3962">
        <v>7736</v>
      </c>
      <c r="K3962" s="367">
        <f t="shared" si="515"/>
        <v>5525.7142857142862</v>
      </c>
      <c r="L3962" s="607">
        <v>0.57999999999999996</v>
      </c>
      <c r="M3962">
        <v>8.6999999999999993</v>
      </c>
      <c r="N3962" s="381">
        <v>23</v>
      </c>
      <c r="O3962">
        <v>6</v>
      </c>
      <c r="P3962" t="s">
        <v>512</v>
      </c>
      <c r="Q3962" s="97" t="str">
        <f t="shared" si="516"/>
        <v/>
      </c>
      <c r="R3962" t="str">
        <f t="shared" si="517"/>
        <v/>
      </c>
    </row>
    <row r="3963" spans="3:18">
      <c r="C3963" t="str">
        <f t="shared" si="518"/>
        <v>NL</v>
      </c>
      <c r="D3963">
        <v>54</v>
      </c>
      <c r="E3963">
        <v>35</v>
      </c>
      <c r="F3963" s="366">
        <f t="shared" si="512"/>
        <v>759.5</v>
      </c>
      <c r="G3963" s="97">
        <v>2436</v>
      </c>
      <c r="H3963" s="367">
        <f t="shared" si="513"/>
        <v>3195.5</v>
      </c>
      <c r="I3963" s="368">
        <f t="shared" si="514"/>
        <v>0</v>
      </c>
      <c r="J3963">
        <v>9641</v>
      </c>
      <c r="K3963" s="367">
        <f t="shared" si="515"/>
        <v>6886.4285714285716</v>
      </c>
      <c r="L3963" s="607">
        <v>0.18000000000000002</v>
      </c>
      <c r="M3963">
        <v>1.3</v>
      </c>
      <c r="N3963" s="381">
        <v>17</v>
      </c>
      <c r="O3963">
        <v>7</v>
      </c>
      <c r="P3963" t="s">
        <v>513</v>
      </c>
      <c r="Q3963" s="97" t="str">
        <f t="shared" si="516"/>
        <v/>
      </c>
      <c r="R3963" t="str">
        <f t="shared" si="517"/>
        <v/>
      </c>
    </row>
    <row r="3964" spans="3:18">
      <c r="C3964" t="str">
        <f t="shared" si="518"/>
        <v>NL</v>
      </c>
      <c r="D3964">
        <v>55</v>
      </c>
      <c r="E3964">
        <v>35</v>
      </c>
      <c r="F3964" s="366">
        <f t="shared" si="512"/>
        <v>759.5</v>
      </c>
      <c r="G3964" s="97">
        <v>2623</v>
      </c>
      <c r="H3964" s="367">
        <f t="shared" si="513"/>
        <v>3382.5</v>
      </c>
      <c r="I3964" s="368">
        <f t="shared" si="514"/>
        <v>0</v>
      </c>
      <c r="J3964">
        <v>10380</v>
      </c>
      <c r="K3964" s="367">
        <f t="shared" si="515"/>
        <v>7414.2857142857147</v>
      </c>
      <c r="L3964" s="607">
        <v>0.43</v>
      </c>
      <c r="M3964">
        <v>1.3</v>
      </c>
      <c r="N3964" s="381">
        <v>22</v>
      </c>
      <c r="O3964">
        <v>7</v>
      </c>
      <c r="P3964" t="s">
        <v>512</v>
      </c>
      <c r="Q3964" s="97" t="str">
        <f t="shared" si="516"/>
        <v/>
      </c>
      <c r="R3964" t="str">
        <f t="shared" si="517"/>
        <v/>
      </c>
    </row>
    <row r="3965" spans="3:18">
      <c r="C3965" t="str">
        <f t="shared" si="518"/>
        <v/>
      </c>
      <c r="D3965">
        <v>56</v>
      </c>
      <c r="E3965">
        <v>35</v>
      </c>
      <c r="F3965" s="366">
        <f t="shared" si="512"/>
        <v>759.5</v>
      </c>
      <c r="G3965" s="97">
        <v>2081</v>
      </c>
      <c r="H3965" s="367">
        <f t="shared" si="513"/>
        <v>2840.5</v>
      </c>
      <c r="I3965" s="368">
        <f t="shared" si="514"/>
        <v>0</v>
      </c>
      <c r="J3965">
        <v>8236</v>
      </c>
      <c r="K3965" s="367">
        <f t="shared" si="515"/>
        <v>5882.8571428571431</v>
      </c>
      <c r="L3965" s="607">
        <v>0.14000000000000001</v>
      </c>
      <c r="M3965">
        <v>2.8000000000000003</v>
      </c>
      <c r="N3965" s="381">
        <v>16</v>
      </c>
      <c r="O3965">
        <v>8</v>
      </c>
      <c r="P3965" t="s">
        <v>513</v>
      </c>
      <c r="Q3965" s="97" t="str">
        <f t="shared" si="516"/>
        <v/>
      </c>
      <c r="R3965" t="str">
        <f t="shared" si="517"/>
        <v/>
      </c>
    </row>
    <row r="3966" spans="3:18">
      <c r="C3966" t="str">
        <f t="shared" si="518"/>
        <v/>
      </c>
      <c r="D3966">
        <v>57</v>
      </c>
      <c r="E3966">
        <v>35</v>
      </c>
      <c r="F3966" s="366">
        <f t="shared" si="512"/>
        <v>759.5</v>
      </c>
      <c r="G3966" s="97">
        <v>2244</v>
      </c>
      <c r="H3966" s="367">
        <f t="shared" si="513"/>
        <v>3003.5</v>
      </c>
      <c r="I3966" s="368">
        <f t="shared" si="514"/>
        <v>0</v>
      </c>
      <c r="J3966">
        <v>8880</v>
      </c>
      <c r="K3966" s="367">
        <f t="shared" si="515"/>
        <v>6342.8571428571431</v>
      </c>
      <c r="L3966" s="607">
        <v>0.33</v>
      </c>
      <c r="M3966">
        <v>2.8000000000000003</v>
      </c>
      <c r="N3966" s="381">
        <v>21</v>
      </c>
      <c r="O3966">
        <v>8</v>
      </c>
      <c r="P3966" t="s">
        <v>512</v>
      </c>
      <c r="Q3966" s="97">
        <f t="shared" si="516"/>
        <v>57</v>
      </c>
      <c r="R3966" t="str">
        <f t="shared" si="517"/>
        <v/>
      </c>
    </row>
    <row r="3967" spans="3:18">
      <c r="C3967" t="str">
        <f t="shared" si="518"/>
        <v>NL</v>
      </c>
      <c r="D3967">
        <v>58</v>
      </c>
      <c r="E3967">
        <v>35</v>
      </c>
      <c r="F3967" s="366">
        <f t="shared" si="512"/>
        <v>759.5</v>
      </c>
      <c r="G3967" s="97">
        <v>3072</v>
      </c>
      <c r="H3967" s="367">
        <f t="shared" si="513"/>
        <v>3831.5</v>
      </c>
      <c r="I3967" s="368">
        <f t="shared" si="514"/>
        <v>0</v>
      </c>
      <c r="J3967">
        <v>12158</v>
      </c>
      <c r="K3967" s="367">
        <f t="shared" si="515"/>
        <v>8684.2857142857138</v>
      </c>
      <c r="L3967" s="607">
        <v>0.27</v>
      </c>
      <c r="M3967">
        <v>1.7000000000000002</v>
      </c>
      <c r="N3967" s="381">
        <v>21</v>
      </c>
      <c r="O3967">
        <v>9</v>
      </c>
      <c r="P3967" t="s">
        <v>512</v>
      </c>
      <c r="Q3967" s="97" t="str">
        <f t="shared" si="516"/>
        <v/>
      </c>
      <c r="R3967" t="str">
        <f t="shared" si="517"/>
        <v/>
      </c>
    </row>
    <row r="3968" spans="3:18">
      <c r="C3968" t="str">
        <f t="shared" si="518"/>
        <v/>
      </c>
      <c r="D3968">
        <v>59</v>
      </c>
      <c r="E3968">
        <v>35</v>
      </c>
      <c r="F3968" s="366">
        <f t="shared" si="512"/>
        <v>759.5</v>
      </c>
      <c r="G3968" s="97">
        <v>3220</v>
      </c>
      <c r="H3968" s="367">
        <f t="shared" si="513"/>
        <v>3979.5</v>
      </c>
      <c r="I3968" s="368">
        <f t="shared" si="514"/>
        <v>0</v>
      </c>
      <c r="J3968">
        <v>12742</v>
      </c>
      <c r="K3968" s="367">
        <f t="shared" si="515"/>
        <v>9101.4285714285725</v>
      </c>
      <c r="L3968" s="607">
        <v>0.22</v>
      </c>
      <c r="M3968">
        <v>3.7</v>
      </c>
      <c r="N3968" s="381">
        <v>20</v>
      </c>
      <c r="O3968">
        <v>10</v>
      </c>
      <c r="P3968" t="s">
        <v>512</v>
      </c>
      <c r="Q3968" s="97" t="str">
        <f t="shared" si="516"/>
        <v/>
      </c>
      <c r="R3968" t="str">
        <f t="shared" si="517"/>
        <v/>
      </c>
    </row>
    <row r="3969" spans="3:18">
      <c r="C3969" t="str">
        <f t="shared" si="518"/>
        <v/>
      </c>
      <c r="D3969">
        <v>60</v>
      </c>
      <c r="E3969">
        <v>35</v>
      </c>
      <c r="F3969" s="366">
        <f t="shared" si="512"/>
        <v>759.5</v>
      </c>
      <c r="G3969" s="97">
        <v>3220</v>
      </c>
      <c r="H3969" s="367">
        <f t="shared" si="513"/>
        <v>3979.5</v>
      </c>
      <c r="I3969" s="368">
        <f t="shared" si="514"/>
        <v>0</v>
      </c>
      <c r="J3969">
        <v>12742</v>
      </c>
      <c r="K3969" s="367">
        <f t="shared" si="515"/>
        <v>9101.4285714285725</v>
      </c>
      <c r="L3969" s="607">
        <v>0.22</v>
      </c>
      <c r="M3969">
        <v>3.7</v>
      </c>
      <c r="N3969" s="381">
        <v>20</v>
      </c>
      <c r="O3969">
        <v>10</v>
      </c>
      <c r="P3969" t="s">
        <v>512</v>
      </c>
      <c r="Q3969" s="97" t="str">
        <f t="shared" si="516"/>
        <v/>
      </c>
      <c r="R3969" t="str">
        <f t="shared" si="517"/>
        <v/>
      </c>
    </row>
    <row r="3970" spans="3:18">
      <c r="C3970" t="str">
        <f t="shared" si="518"/>
        <v/>
      </c>
      <c r="D3970">
        <v>61</v>
      </c>
      <c r="E3970">
        <v>40</v>
      </c>
      <c r="F3970" s="366">
        <f t="shared" si="512"/>
        <v>868</v>
      </c>
      <c r="G3970" s="97">
        <v>793</v>
      </c>
      <c r="H3970" s="367">
        <f t="shared" si="513"/>
        <v>1661</v>
      </c>
      <c r="I3970" s="368">
        <f t="shared" si="514"/>
        <v>0</v>
      </c>
      <c r="J3970">
        <v>3140</v>
      </c>
      <c r="K3970" s="367">
        <f t="shared" si="515"/>
        <v>2242.8571428571431</v>
      </c>
      <c r="L3970" s="607">
        <v>0.38</v>
      </c>
      <c r="M3970">
        <v>3.4</v>
      </c>
      <c r="N3970" s="381">
        <v>20</v>
      </c>
      <c r="O3970">
        <v>2</v>
      </c>
      <c r="P3970" t="s">
        <v>515</v>
      </c>
      <c r="Q3970" s="97" t="str">
        <f t="shared" si="516"/>
        <v/>
      </c>
      <c r="R3970" t="str">
        <f t="shared" si="517"/>
        <v/>
      </c>
    </row>
    <row r="3971" spans="3:18">
      <c r="C3971" t="str">
        <f t="shared" si="518"/>
        <v/>
      </c>
      <c r="D3971">
        <v>62</v>
      </c>
      <c r="E3971">
        <v>40</v>
      </c>
      <c r="F3971" s="366">
        <f t="shared" si="512"/>
        <v>868</v>
      </c>
      <c r="G3971" s="97">
        <v>1079</v>
      </c>
      <c r="H3971" s="367">
        <f t="shared" si="513"/>
        <v>1947</v>
      </c>
      <c r="I3971" s="368">
        <f t="shared" si="514"/>
        <v>0</v>
      </c>
      <c r="J3971">
        <v>4272</v>
      </c>
      <c r="K3971" s="367">
        <f t="shared" si="515"/>
        <v>3051.4285714285716</v>
      </c>
      <c r="L3971" s="607">
        <v>1.19</v>
      </c>
      <c r="M3971">
        <v>3.4</v>
      </c>
      <c r="N3971" s="381">
        <v>25</v>
      </c>
      <c r="O3971">
        <v>2</v>
      </c>
      <c r="P3971" t="s">
        <v>514</v>
      </c>
      <c r="Q3971" s="97" t="str">
        <f t="shared" si="516"/>
        <v/>
      </c>
      <c r="R3971" t="str">
        <f t="shared" si="517"/>
        <v/>
      </c>
    </row>
    <row r="3972" spans="3:18">
      <c r="C3972" t="str">
        <f t="shared" si="518"/>
        <v>NL</v>
      </c>
      <c r="D3972">
        <v>63</v>
      </c>
      <c r="E3972">
        <v>40</v>
      </c>
      <c r="F3972" s="366">
        <f t="shared" si="512"/>
        <v>868</v>
      </c>
      <c r="G3972" s="97">
        <v>1233</v>
      </c>
      <c r="H3972" s="367">
        <f t="shared" si="513"/>
        <v>2101</v>
      </c>
      <c r="I3972" s="368">
        <f t="shared" si="514"/>
        <v>0</v>
      </c>
      <c r="J3972">
        <v>4882</v>
      </c>
      <c r="K3972" s="367">
        <f t="shared" si="515"/>
        <v>3487.1428571428573</v>
      </c>
      <c r="L3972" s="607">
        <v>0.41000000000000003</v>
      </c>
      <c r="M3972">
        <v>4.8</v>
      </c>
      <c r="N3972" s="381">
        <v>20</v>
      </c>
      <c r="O3972">
        <v>3</v>
      </c>
      <c r="P3972" t="s">
        <v>514</v>
      </c>
      <c r="Q3972" s="97" t="str">
        <f t="shared" si="516"/>
        <v/>
      </c>
      <c r="R3972" t="str">
        <f t="shared" si="517"/>
        <v/>
      </c>
    </row>
    <row r="3973" spans="3:18">
      <c r="C3973" t="str">
        <f t="shared" si="518"/>
        <v/>
      </c>
      <c r="D3973">
        <v>64</v>
      </c>
      <c r="E3973">
        <v>40</v>
      </c>
      <c r="F3973" s="366">
        <f t="shared" si="512"/>
        <v>868</v>
      </c>
      <c r="G3973" s="97">
        <v>1323</v>
      </c>
      <c r="H3973" s="367">
        <f t="shared" si="513"/>
        <v>2191</v>
      </c>
      <c r="I3973" s="368">
        <f t="shared" si="514"/>
        <v>0</v>
      </c>
      <c r="J3973">
        <v>5236</v>
      </c>
      <c r="K3973" s="367">
        <f t="shared" si="515"/>
        <v>3740</v>
      </c>
      <c r="L3973" s="607">
        <v>0.21000000000000002</v>
      </c>
      <c r="M3973">
        <v>6.1</v>
      </c>
      <c r="N3973" s="381">
        <v>16</v>
      </c>
      <c r="O3973">
        <v>4</v>
      </c>
      <c r="P3973" t="s">
        <v>514</v>
      </c>
      <c r="Q3973" s="97" t="str">
        <f t="shared" si="516"/>
        <v/>
      </c>
      <c r="R3973" t="str">
        <f t="shared" si="517"/>
        <v/>
      </c>
    </row>
    <row r="3974" spans="3:18">
      <c r="C3974" t="str">
        <f t="shared" si="518"/>
        <v/>
      </c>
      <c r="D3974">
        <v>65</v>
      </c>
      <c r="E3974">
        <v>40</v>
      </c>
      <c r="F3974" s="366">
        <f t="shared" si="512"/>
        <v>868</v>
      </c>
      <c r="G3974" s="97">
        <v>1794</v>
      </c>
      <c r="H3974" s="367">
        <f t="shared" si="513"/>
        <v>2662</v>
      </c>
      <c r="I3974" s="368">
        <f t="shared" si="514"/>
        <v>0</v>
      </c>
      <c r="J3974">
        <v>7101</v>
      </c>
      <c r="K3974" s="367">
        <f t="shared" si="515"/>
        <v>5072.1428571428569</v>
      </c>
      <c r="L3974" s="607">
        <v>0.7</v>
      </c>
      <c r="M3974">
        <v>6.1</v>
      </c>
      <c r="N3974" s="381">
        <v>21</v>
      </c>
      <c r="O3974">
        <v>4</v>
      </c>
      <c r="P3974" t="s">
        <v>513</v>
      </c>
      <c r="Q3974" s="97" t="str">
        <f t="shared" si="516"/>
        <v/>
      </c>
      <c r="R3974" t="str">
        <f t="shared" si="517"/>
        <v/>
      </c>
    </row>
    <row r="3975" spans="3:18">
      <c r="C3975" t="str">
        <f t="shared" si="518"/>
        <v>NL</v>
      </c>
      <c r="D3975">
        <v>66</v>
      </c>
      <c r="E3975">
        <v>40</v>
      </c>
      <c r="F3975" s="366">
        <f t="shared" ref="F3975:F4038" si="519">1.085*($A$2-$B$2)*E3975*$T$7</f>
        <v>868</v>
      </c>
      <c r="G3975" s="97">
        <v>2048</v>
      </c>
      <c r="H3975" s="367">
        <f t="shared" ref="H3975:H4038" si="520">(G3975*$U$7)+F3975</f>
        <v>2916</v>
      </c>
      <c r="I3975" s="368">
        <f t="shared" ref="I3975:I4038" si="521">1.085*($C$2-$D$2)*E3975*$T$7</f>
        <v>0</v>
      </c>
      <c r="J3975">
        <v>8105</v>
      </c>
      <c r="K3975" s="367">
        <f t="shared" ref="K3975:K4038" si="522">(J3975*$V$7)-I3975</f>
        <v>5789.2857142857147</v>
      </c>
      <c r="L3975" s="607">
        <v>0.45</v>
      </c>
      <c r="M3975">
        <v>7.3999999999999995</v>
      </c>
      <c r="N3975" s="381">
        <v>20</v>
      </c>
      <c r="O3975">
        <v>5</v>
      </c>
      <c r="P3975" t="s">
        <v>513</v>
      </c>
      <c r="Q3975" s="97" t="str">
        <f t="shared" ref="Q3975:Q4038" si="523">IF(AND(H3975+1&gt;$E$4,L3975&lt;$L$4+0.01,M3975&lt;$M$4+0.01,K3975+1&gt;$F$4,E3975+1&gt;$J$4,N3975&lt;$K$4+1,O3975&lt;$P$4+1,C3975=""),D3975,"")</f>
        <v/>
      </c>
      <c r="R3975" t="str">
        <f t="shared" ref="R3975:R4038" si="524">IF(Q3975="","",IF(AND(O3975&lt;$X$36,E3975&gt;$U$36,E3975&lt;$Q$4+$U$36+1),D3975,""))</f>
        <v/>
      </c>
    </row>
    <row r="3976" spans="3:18">
      <c r="C3976" t="str">
        <f t="shared" si="518"/>
        <v/>
      </c>
      <c r="D3976">
        <v>67</v>
      </c>
      <c r="E3976">
        <v>40</v>
      </c>
      <c r="F3976" s="366">
        <f t="shared" si="519"/>
        <v>868</v>
      </c>
      <c r="G3976" s="97">
        <v>1986</v>
      </c>
      <c r="H3976" s="367">
        <f t="shared" si="520"/>
        <v>2854</v>
      </c>
      <c r="I3976" s="368">
        <f t="shared" si="521"/>
        <v>0</v>
      </c>
      <c r="J3976">
        <v>7859</v>
      </c>
      <c r="K3976" s="367">
        <f t="shared" si="522"/>
        <v>5613.5714285714284</v>
      </c>
      <c r="L3976" s="607">
        <v>0.32</v>
      </c>
      <c r="M3976">
        <v>8.6999999999999993</v>
      </c>
      <c r="N3976" s="381">
        <v>19</v>
      </c>
      <c r="O3976">
        <v>6</v>
      </c>
      <c r="P3976" t="s">
        <v>513</v>
      </c>
      <c r="Q3976" s="97" t="str">
        <f t="shared" si="523"/>
        <v/>
      </c>
      <c r="R3976" t="str">
        <f t="shared" si="524"/>
        <v/>
      </c>
    </row>
    <row r="3977" spans="3:18">
      <c r="C3977" t="str">
        <f t="shared" si="518"/>
        <v/>
      </c>
      <c r="D3977">
        <v>68</v>
      </c>
      <c r="E3977">
        <v>40</v>
      </c>
      <c r="F3977" s="366">
        <f t="shared" si="519"/>
        <v>868</v>
      </c>
      <c r="G3977" s="97">
        <v>2159</v>
      </c>
      <c r="H3977" s="367">
        <f t="shared" si="520"/>
        <v>3027</v>
      </c>
      <c r="I3977" s="368">
        <f t="shared" si="521"/>
        <v>0</v>
      </c>
      <c r="J3977">
        <v>8544</v>
      </c>
      <c r="K3977" s="367">
        <f t="shared" si="522"/>
        <v>6102.8571428571431</v>
      </c>
      <c r="L3977" s="607">
        <v>0.75</v>
      </c>
      <c r="M3977">
        <v>8.6999999999999993</v>
      </c>
      <c r="N3977" s="381">
        <v>25</v>
      </c>
      <c r="O3977">
        <v>6</v>
      </c>
      <c r="P3977" t="s">
        <v>512</v>
      </c>
      <c r="Q3977" s="97" t="str">
        <f t="shared" si="523"/>
        <v/>
      </c>
      <c r="R3977" t="str">
        <f t="shared" si="524"/>
        <v/>
      </c>
    </row>
    <row r="3978" spans="3:18">
      <c r="C3978" t="str">
        <f t="shared" si="518"/>
        <v>NL</v>
      </c>
      <c r="D3978">
        <v>69</v>
      </c>
      <c r="E3978">
        <v>40</v>
      </c>
      <c r="F3978" s="366">
        <f t="shared" si="519"/>
        <v>868</v>
      </c>
      <c r="G3978" s="97">
        <v>2687</v>
      </c>
      <c r="H3978" s="367">
        <f t="shared" si="520"/>
        <v>3555</v>
      </c>
      <c r="I3978" s="368">
        <f t="shared" si="521"/>
        <v>0</v>
      </c>
      <c r="J3978">
        <v>10636</v>
      </c>
      <c r="K3978" s="367">
        <f t="shared" si="522"/>
        <v>7597.1428571428569</v>
      </c>
      <c r="L3978" s="607">
        <v>0.24000000000000002</v>
      </c>
      <c r="M3978">
        <v>1.3</v>
      </c>
      <c r="N3978" s="381">
        <v>18</v>
      </c>
      <c r="O3978">
        <v>7</v>
      </c>
      <c r="P3978" t="s">
        <v>513</v>
      </c>
      <c r="Q3978" s="97" t="str">
        <f t="shared" si="523"/>
        <v/>
      </c>
      <c r="R3978" t="str">
        <f t="shared" si="524"/>
        <v/>
      </c>
    </row>
    <row r="3979" spans="3:18">
      <c r="C3979" t="str">
        <f t="shared" si="518"/>
        <v>NL</v>
      </c>
      <c r="D3979">
        <v>70</v>
      </c>
      <c r="E3979">
        <v>40</v>
      </c>
      <c r="F3979" s="366">
        <f t="shared" si="519"/>
        <v>868</v>
      </c>
      <c r="G3979" s="97">
        <v>2894</v>
      </c>
      <c r="H3979" s="367">
        <f t="shared" si="520"/>
        <v>3762</v>
      </c>
      <c r="I3979" s="368">
        <f t="shared" si="521"/>
        <v>0</v>
      </c>
      <c r="J3979">
        <v>11455</v>
      </c>
      <c r="K3979" s="367">
        <f t="shared" si="522"/>
        <v>8182.1428571428569</v>
      </c>
      <c r="L3979" s="607">
        <v>0.55000000000000004</v>
      </c>
      <c r="M3979">
        <v>1.3</v>
      </c>
      <c r="N3979" s="381">
        <v>24</v>
      </c>
      <c r="O3979">
        <v>7</v>
      </c>
      <c r="P3979" t="s">
        <v>512</v>
      </c>
      <c r="Q3979" s="97" t="str">
        <f t="shared" si="523"/>
        <v/>
      </c>
      <c r="R3979" t="str">
        <f t="shared" si="524"/>
        <v/>
      </c>
    </row>
    <row r="3980" spans="3:18">
      <c r="C3980" t="str">
        <f t="shared" si="518"/>
        <v/>
      </c>
      <c r="D3980">
        <v>71</v>
      </c>
      <c r="E3980">
        <v>40</v>
      </c>
      <c r="F3980" s="366">
        <f t="shared" si="519"/>
        <v>868</v>
      </c>
      <c r="G3980" s="97">
        <v>2306</v>
      </c>
      <c r="H3980" s="367">
        <f t="shared" si="520"/>
        <v>3174</v>
      </c>
      <c r="I3980" s="368">
        <f t="shared" si="521"/>
        <v>0</v>
      </c>
      <c r="J3980">
        <v>9125</v>
      </c>
      <c r="K3980" s="367">
        <f t="shared" si="522"/>
        <v>6517.8571428571431</v>
      </c>
      <c r="L3980" s="607">
        <v>0.19</v>
      </c>
      <c r="M3980">
        <v>2.8000000000000003</v>
      </c>
      <c r="N3980" s="381">
        <v>18</v>
      </c>
      <c r="O3980">
        <v>8</v>
      </c>
      <c r="P3980" t="s">
        <v>513</v>
      </c>
      <c r="Q3980" s="97">
        <f t="shared" si="523"/>
        <v>71</v>
      </c>
      <c r="R3980" t="str">
        <f t="shared" si="524"/>
        <v/>
      </c>
    </row>
    <row r="3981" spans="3:18">
      <c r="C3981" t="str">
        <f t="shared" si="518"/>
        <v/>
      </c>
      <c r="D3981">
        <v>72</v>
      </c>
      <c r="E3981">
        <v>40</v>
      </c>
      <c r="F3981" s="366">
        <f t="shared" si="519"/>
        <v>868</v>
      </c>
      <c r="G3981" s="97">
        <v>2492</v>
      </c>
      <c r="H3981" s="367">
        <f t="shared" si="520"/>
        <v>3360</v>
      </c>
      <c r="I3981" s="368">
        <f t="shared" si="521"/>
        <v>0</v>
      </c>
      <c r="J3981">
        <v>9861</v>
      </c>
      <c r="K3981" s="367">
        <f t="shared" si="522"/>
        <v>7043.5714285714284</v>
      </c>
      <c r="L3981" s="607">
        <v>0.43</v>
      </c>
      <c r="M3981">
        <v>2.8000000000000003</v>
      </c>
      <c r="N3981" s="381">
        <v>23</v>
      </c>
      <c r="O3981">
        <v>8</v>
      </c>
      <c r="P3981" t="s">
        <v>512</v>
      </c>
      <c r="Q3981" s="97">
        <f t="shared" si="523"/>
        <v>72</v>
      </c>
      <c r="R3981" t="str">
        <f t="shared" si="524"/>
        <v/>
      </c>
    </row>
    <row r="3982" spans="3:18">
      <c r="C3982" t="str">
        <f t="shared" si="518"/>
        <v>NL</v>
      </c>
      <c r="D3982">
        <v>73</v>
      </c>
      <c r="E3982">
        <v>40</v>
      </c>
      <c r="F3982" s="366">
        <f t="shared" si="519"/>
        <v>868</v>
      </c>
      <c r="G3982" s="97">
        <v>3168</v>
      </c>
      <c r="H3982" s="367">
        <f t="shared" si="520"/>
        <v>4036</v>
      </c>
      <c r="I3982" s="368">
        <f t="shared" si="521"/>
        <v>0</v>
      </c>
      <c r="J3982">
        <v>12538</v>
      </c>
      <c r="K3982" s="367">
        <f t="shared" si="522"/>
        <v>8955.7142857142862</v>
      </c>
      <c r="L3982" s="607">
        <v>0.15000000000000002</v>
      </c>
      <c r="M3982">
        <v>1.7000000000000002</v>
      </c>
      <c r="N3982" s="381">
        <v>17</v>
      </c>
      <c r="O3982">
        <v>9</v>
      </c>
      <c r="P3982" t="s">
        <v>513</v>
      </c>
      <c r="Q3982" s="97" t="str">
        <f t="shared" si="523"/>
        <v/>
      </c>
      <c r="R3982" t="str">
        <f t="shared" si="524"/>
        <v/>
      </c>
    </row>
    <row r="3983" spans="3:18">
      <c r="C3983" t="str">
        <f t="shared" si="518"/>
        <v>NL</v>
      </c>
      <c r="D3983">
        <v>74</v>
      </c>
      <c r="E3983">
        <v>40</v>
      </c>
      <c r="F3983" s="366">
        <f t="shared" si="519"/>
        <v>868</v>
      </c>
      <c r="G3983" s="97">
        <v>3424</v>
      </c>
      <c r="H3983" s="367">
        <f t="shared" si="520"/>
        <v>4292</v>
      </c>
      <c r="I3983" s="368">
        <f t="shared" si="521"/>
        <v>0</v>
      </c>
      <c r="J3983">
        <v>13552</v>
      </c>
      <c r="K3983" s="367">
        <f t="shared" si="522"/>
        <v>9680</v>
      </c>
      <c r="L3983" s="607">
        <v>0.35000000000000003</v>
      </c>
      <c r="M3983">
        <v>1.7000000000000002</v>
      </c>
      <c r="N3983" s="381">
        <v>22</v>
      </c>
      <c r="O3983">
        <v>9</v>
      </c>
      <c r="P3983" t="s">
        <v>512</v>
      </c>
      <c r="Q3983" s="97" t="str">
        <f t="shared" si="523"/>
        <v/>
      </c>
      <c r="R3983" t="str">
        <f t="shared" si="524"/>
        <v/>
      </c>
    </row>
    <row r="3984" spans="3:18">
      <c r="C3984" t="str">
        <f t="shared" si="518"/>
        <v/>
      </c>
      <c r="D3984">
        <v>75</v>
      </c>
      <c r="E3984">
        <v>40</v>
      </c>
      <c r="F3984" s="366">
        <f t="shared" si="519"/>
        <v>868</v>
      </c>
      <c r="G3984" s="97">
        <v>3578</v>
      </c>
      <c r="H3984" s="367">
        <f t="shared" si="520"/>
        <v>4446</v>
      </c>
      <c r="I3984" s="368">
        <f t="shared" si="521"/>
        <v>0</v>
      </c>
      <c r="J3984">
        <v>14160</v>
      </c>
      <c r="K3984" s="367">
        <f t="shared" si="522"/>
        <v>10114.285714285714</v>
      </c>
      <c r="L3984" s="607">
        <v>0.29000000000000004</v>
      </c>
      <c r="M3984">
        <v>3.7</v>
      </c>
      <c r="N3984" s="381">
        <v>22</v>
      </c>
      <c r="O3984">
        <v>10</v>
      </c>
      <c r="P3984" t="s">
        <v>512</v>
      </c>
      <c r="Q3984" s="97" t="str">
        <f t="shared" si="523"/>
        <v/>
      </c>
      <c r="R3984" t="str">
        <f t="shared" si="524"/>
        <v/>
      </c>
    </row>
    <row r="3985" spans="3:18">
      <c r="C3985" t="str">
        <f t="shared" si="518"/>
        <v/>
      </c>
      <c r="D3985">
        <v>76</v>
      </c>
      <c r="E3985">
        <v>40</v>
      </c>
      <c r="F3985" s="366">
        <f t="shared" si="519"/>
        <v>868</v>
      </c>
      <c r="G3985" s="97">
        <v>3578</v>
      </c>
      <c r="H3985" s="367">
        <f t="shared" si="520"/>
        <v>4446</v>
      </c>
      <c r="I3985" s="368">
        <f t="shared" si="521"/>
        <v>0</v>
      </c>
      <c r="J3985">
        <v>14160</v>
      </c>
      <c r="K3985" s="367">
        <f t="shared" si="522"/>
        <v>10114.285714285714</v>
      </c>
      <c r="L3985" s="607">
        <v>0.29000000000000004</v>
      </c>
      <c r="M3985">
        <v>3.7</v>
      </c>
      <c r="N3985" s="381">
        <v>22</v>
      </c>
      <c r="O3985">
        <v>10</v>
      </c>
      <c r="P3985" t="s">
        <v>512</v>
      </c>
      <c r="Q3985" s="97" t="str">
        <f t="shared" si="523"/>
        <v/>
      </c>
      <c r="R3985" t="str">
        <f t="shared" si="524"/>
        <v/>
      </c>
    </row>
    <row r="3986" spans="3:18">
      <c r="C3986" t="str">
        <f t="shared" si="518"/>
        <v/>
      </c>
      <c r="D3986">
        <v>77</v>
      </c>
      <c r="E3986">
        <v>45</v>
      </c>
      <c r="F3986" s="366">
        <f t="shared" si="519"/>
        <v>976.5</v>
      </c>
      <c r="G3986" s="97">
        <v>869</v>
      </c>
      <c r="H3986" s="367">
        <f t="shared" si="520"/>
        <v>1845.5</v>
      </c>
      <c r="I3986" s="368">
        <f t="shared" si="521"/>
        <v>0</v>
      </c>
      <c r="J3986">
        <v>3442</v>
      </c>
      <c r="K3986" s="367">
        <f t="shared" si="522"/>
        <v>2458.5714285714284</v>
      </c>
      <c r="L3986" s="607">
        <v>0.48</v>
      </c>
      <c r="M3986">
        <v>3.4</v>
      </c>
      <c r="N3986" s="381">
        <v>22</v>
      </c>
      <c r="O3986">
        <v>2</v>
      </c>
      <c r="P3986" t="s">
        <v>515</v>
      </c>
      <c r="Q3986" s="97" t="str">
        <f t="shared" si="523"/>
        <v/>
      </c>
      <c r="R3986" t="str">
        <f t="shared" si="524"/>
        <v/>
      </c>
    </row>
    <row r="3987" spans="3:18">
      <c r="C3987" t="str">
        <f t="shared" si="518"/>
        <v>NL</v>
      </c>
      <c r="D3987">
        <v>78</v>
      </c>
      <c r="E3987">
        <v>45</v>
      </c>
      <c r="F3987" s="366">
        <f t="shared" si="519"/>
        <v>976.5</v>
      </c>
      <c r="G3987" s="97">
        <v>963</v>
      </c>
      <c r="H3987" s="367">
        <f t="shared" si="520"/>
        <v>1939.5</v>
      </c>
      <c r="I3987" s="368">
        <f t="shared" si="521"/>
        <v>0</v>
      </c>
      <c r="J3987">
        <v>3812</v>
      </c>
      <c r="K3987" s="367">
        <f t="shared" si="522"/>
        <v>2722.8571428571431</v>
      </c>
      <c r="L3987" s="607">
        <v>0.17</v>
      </c>
      <c r="M3987">
        <v>4.8</v>
      </c>
      <c r="N3987" s="381">
        <v>16</v>
      </c>
      <c r="O3987">
        <v>3</v>
      </c>
      <c r="P3987" t="s">
        <v>515</v>
      </c>
      <c r="Q3987" s="97" t="str">
        <f t="shared" si="523"/>
        <v/>
      </c>
      <c r="R3987" t="str">
        <f t="shared" si="524"/>
        <v/>
      </c>
    </row>
    <row r="3988" spans="3:18">
      <c r="C3988" t="str">
        <f t="shared" si="518"/>
        <v>NL</v>
      </c>
      <c r="D3988">
        <v>79</v>
      </c>
      <c r="E3988">
        <v>45</v>
      </c>
      <c r="F3988" s="366">
        <f t="shared" si="519"/>
        <v>976.5</v>
      </c>
      <c r="G3988" s="97">
        <v>1344</v>
      </c>
      <c r="H3988" s="367">
        <f t="shared" si="520"/>
        <v>2320.5</v>
      </c>
      <c r="I3988" s="368">
        <f t="shared" si="521"/>
        <v>0</v>
      </c>
      <c r="J3988">
        <v>5319</v>
      </c>
      <c r="K3988" s="367">
        <f t="shared" si="522"/>
        <v>3799.2857142857142</v>
      </c>
      <c r="L3988" s="607">
        <v>0.52</v>
      </c>
      <c r="M3988">
        <v>4.8</v>
      </c>
      <c r="N3988" s="381">
        <v>21</v>
      </c>
      <c r="O3988">
        <v>3</v>
      </c>
      <c r="P3988" t="s">
        <v>514</v>
      </c>
      <c r="Q3988" s="97" t="str">
        <f t="shared" si="523"/>
        <v/>
      </c>
      <c r="R3988" t="str">
        <f t="shared" si="524"/>
        <v/>
      </c>
    </row>
    <row r="3989" spans="3:18">
      <c r="C3989" t="str">
        <f t="shared" si="518"/>
        <v/>
      </c>
      <c r="D3989">
        <v>80</v>
      </c>
      <c r="E3989">
        <v>45</v>
      </c>
      <c r="F3989" s="366">
        <f t="shared" si="519"/>
        <v>976.5</v>
      </c>
      <c r="G3989" s="97">
        <v>1445</v>
      </c>
      <c r="H3989" s="367">
        <f t="shared" si="520"/>
        <v>2421.5</v>
      </c>
      <c r="I3989" s="368">
        <f t="shared" si="521"/>
        <v>0</v>
      </c>
      <c r="J3989">
        <v>5718</v>
      </c>
      <c r="K3989" s="367">
        <f t="shared" si="522"/>
        <v>4084.2857142857142</v>
      </c>
      <c r="L3989" s="607">
        <v>0.27</v>
      </c>
      <c r="M3989">
        <v>6.1</v>
      </c>
      <c r="N3989" s="381">
        <v>18</v>
      </c>
      <c r="O3989">
        <v>4</v>
      </c>
      <c r="P3989" t="s">
        <v>514</v>
      </c>
      <c r="Q3989" s="97" t="str">
        <f t="shared" si="523"/>
        <v/>
      </c>
      <c r="R3989" t="str">
        <f t="shared" si="524"/>
        <v/>
      </c>
    </row>
    <row r="3990" spans="3:18">
      <c r="C3990" t="str">
        <f t="shared" ref="C3990:C4053" si="525">IF(OR($O$4=0,O3990-$O$4=0),IF(AND(ISEVEN(O3990)=FALSE,$N$4="Even"),"NL",""),"NL")</f>
        <v/>
      </c>
      <c r="D3990">
        <v>81</v>
      </c>
      <c r="E3990">
        <v>45</v>
      </c>
      <c r="F3990" s="366">
        <f t="shared" si="519"/>
        <v>976.5</v>
      </c>
      <c r="G3990" s="97">
        <v>1957</v>
      </c>
      <c r="H3990" s="367">
        <f t="shared" si="520"/>
        <v>2933.5</v>
      </c>
      <c r="I3990" s="368">
        <f t="shared" si="521"/>
        <v>0</v>
      </c>
      <c r="J3990">
        <v>7746</v>
      </c>
      <c r="K3990" s="367">
        <f t="shared" si="522"/>
        <v>5532.8571428571431</v>
      </c>
      <c r="L3990" s="607">
        <v>0.89</v>
      </c>
      <c r="M3990">
        <v>6.1</v>
      </c>
      <c r="N3990" s="381">
        <v>23</v>
      </c>
      <c r="O3990">
        <v>4</v>
      </c>
      <c r="P3990" t="s">
        <v>513</v>
      </c>
      <c r="Q3990" s="97" t="str">
        <f t="shared" si="523"/>
        <v/>
      </c>
      <c r="R3990" t="str">
        <f t="shared" si="524"/>
        <v/>
      </c>
    </row>
    <row r="3991" spans="3:18">
      <c r="C3991" t="str">
        <f t="shared" si="525"/>
        <v>NL</v>
      </c>
      <c r="D3991">
        <v>82</v>
      </c>
      <c r="E3991">
        <v>45</v>
      </c>
      <c r="F3991" s="366">
        <f t="shared" si="519"/>
        <v>976.5</v>
      </c>
      <c r="G3991" s="97">
        <v>1706</v>
      </c>
      <c r="H3991" s="367">
        <f t="shared" si="520"/>
        <v>2682.5</v>
      </c>
      <c r="I3991" s="368">
        <f t="shared" si="521"/>
        <v>0</v>
      </c>
      <c r="J3991">
        <v>6754</v>
      </c>
      <c r="K3991" s="367">
        <f t="shared" si="522"/>
        <v>4824.2857142857147</v>
      </c>
      <c r="L3991" s="607">
        <v>0.17</v>
      </c>
      <c r="M3991">
        <v>7.3999999999999995</v>
      </c>
      <c r="N3991" s="381">
        <v>16</v>
      </c>
      <c r="O3991">
        <v>5</v>
      </c>
      <c r="P3991" t="s">
        <v>514</v>
      </c>
      <c r="Q3991" s="97" t="str">
        <f t="shared" si="523"/>
        <v/>
      </c>
      <c r="R3991" t="str">
        <f t="shared" si="524"/>
        <v/>
      </c>
    </row>
    <row r="3992" spans="3:18">
      <c r="C3992" t="str">
        <f t="shared" si="525"/>
        <v>NL</v>
      </c>
      <c r="D3992">
        <v>83</v>
      </c>
      <c r="E3992">
        <v>45</v>
      </c>
      <c r="F3992" s="366">
        <f t="shared" si="519"/>
        <v>976.5</v>
      </c>
      <c r="G3992" s="97">
        <v>2229</v>
      </c>
      <c r="H3992" s="367">
        <f t="shared" si="520"/>
        <v>3205.5</v>
      </c>
      <c r="I3992" s="368">
        <f t="shared" si="521"/>
        <v>0</v>
      </c>
      <c r="J3992">
        <v>8823</v>
      </c>
      <c r="K3992" s="367">
        <f t="shared" si="522"/>
        <v>6302.1428571428569</v>
      </c>
      <c r="L3992" s="607">
        <v>0.56000000000000005</v>
      </c>
      <c r="M3992">
        <v>7.3999999999999995</v>
      </c>
      <c r="N3992" s="381">
        <v>21</v>
      </c>
      <c r="O3992">
        <v>5</v>
      </c>
      <c r="P3992" t="s">
        <v>513</v>
      </c>
      <c r="Q3992" s="97" t="str">
        <f t="shared" si="523"/>
        <v/>
      </c>
      <c r="R3992" t="str">
        <f t="shared" si="524"/>
        <v/>
      </c>
    </row>
    <row r="3993" spans="3:18">
      <c r="C3993" t="str">
        <f t="shared" si="525"/>
        <v/>
      </c>
      <c r="D3993">
        <v>84</v>
      </c>
      <c r="E3993">
        <v>45</v>
      </c>
      <c r="F3993" s="366">
        <f t="shared" si="519"/>
        <v>976.5</v>
      </c>
      <c r="G3993" s="97">
        <v>2164</v>
      </c>
      <c r="H3993" s="367">
        <f t="shared" si="520"/>
        <v>3140.5</v>
      </c>
      <c r="I3993" s="368">
        <f t="shared" si="521"/>
        <v>0</v>
      </c>
      <c r="J3993">
        <v>8565</v>
      </c>
      <c r="K3993" s="367">
        <f t="shared" si="522"/>
        <v>6117.8571428571431</v>
      </c>
      <c r="L3993" s="607">
        <v>0.4</v>
      </c>
      <c r="M3993">
        <v>8.6999999999999993</v>
      </c>
      <c r="N3993" s="381">
        <v>21</v>
      </c>
      <c r="O3993">
        <v>6</v>
      </c>
      <c r="P3993" t="s">
        <v>513</v>
      </c>
      <c r="Q3993" s="97">
        <f t="shared" si="523"/>
        <v>84</v>
      </c>
      <c r="R3993" t="str">
        <f t="shared" si="524"/>
        <v/>
      </c>
    </row>
    <row r="3994" spans="3:18">
      <c r="C3994" t="str">
        <f t="shared" si="525"/>
        <v/>
      </c>
      <c r="D3994">
        <v>85</v>
      </c>
      <c r="E3994">
        <v>45</v>
      </c>
      <c r="F3994" s="366">
        <f t="shared" si="519"/>
        <v>976.5</v>
      </c>
      <c r="G3994" s="97">
        <v>2358</v>
      </c>
      <c r="H3994" s="367">
        <f t="shared" si="520"/>
        <v>3334.5</v>
      </c>
      <c r="I3994" s="368">
        <f t="shared" si="521"/>
        <v>0</v>
      </c>
      <c r="J3994">
        <v>9332</v>
      </c>
      <c r="K3994" s="367">
        <f t="shared" si="522"/>
        <v>6665.7142857142862</v>
      </c>
      <c r="L3994" s="607">
        <v>0.95</v>
      </c>
      <c r="M3994">
        <v>8.6999999999999993</v>
      </c>
      <c r="N3994" s="381">
        <v>26</v>
      </c>
      <c r="O3994">
        <v>6</v>
      </c>
      <c r="P3994" t="s">
        <v>512</v>
      </c>
      <c r="Q3994" s="97" t="str">
        <f t="shared" si="523"/>
        <v/>
      </c>
      <c r="R3994" t="str">
        <f t="shared" si="524"/>
        <v/>
      </c>
    </row>
    <row r="3995" spans="3:18">
      <c r="C3995" t="str">
        <f t="shared" si="525"/>
        <v>NL</v>
      </c>
      <c r="D3995">
        <v>86</v>
      </c>
      <c r="E3995">
        <v>45</v>
      </c>
      <c r="F3995" s="366">
        <f t="shared" si="519"/>
        <v>976.5</v>
      </c>
      <c r="G3995" s="97">
        <v>2933</v>
      </c>
      <c r="H3995" s="367">
        <f t="shared" si="520"/>
        <v>3909.5</v>
      </c>
      <c r="I3995" s="368">
        <f t="shared" si="521"/>
        <v>0</v>
      </c>
      <c r="J3995">
        <v>11608</v>
      </c>
      <c r="K3995" s="367">
        <f t="shared" si="522"/>
        <v>8291.4285714285725</v>
      </c>
      <c r="L3995" s="607">
        <v>0.3</v>
      </c>
      <c r="M3995">
        <v>1.3</v>
      </c>
      <c r="N3995" s="381">
        <v>20</v>
      </c>
      <c r="O3995">
        <v>7</v>
      </c>
      <c r="P3995" t="s">
        <v>513</v>
      </c>
      <c r="Q3995" s="97" t="str">
        <f t="shared" si="523"/>
        <v/>
      </c>
      <c r="R3995" t="str">
        <f t="shared" si="524"/>
        <v/>
      </c>
    </row>
    <row r="3996" spans="3:18">
      <c r="C3996" t="str">
        <f t="shared" si="525"/>
        <v>NL</v>
      </c>
      <c r="D3996">
        <v>87</v>
      </c>
      <c r="E3996">
        <v>45</v>
      </c>
      <c r="F3996" s="366">
        <f t="shared" si="519"/>
        <v>976.5</v>
      </c>
      <c r="G3996" s="97">
        <v>3166</v>
      </c>
      <c r="H3996" s="367">
        <f t="shared" si="520"/>
        <v>4142.5</v>
      </c>
      <c r="I3996" s="368">
        <f t="shared" si="521"/>
        <v>0</v>
      </c>
      <c r="J3996">
        <v>12530</v>
      </c>
      <c r="K3996" s="367">
        <f t="shared" si="522"/>
        <v>8950</v>
      </c>
      <c r="L3996" s="607">
        <v>0.7</v>
      </c>
      <c r="M3996">
        <v>1.3</v>
      </c>
      <c r="N3996" s="381">
        <v>25</v>
      </c>
      <c r="O3996">
        <v>7</v>
      </c>
      <c r="P3996" t="s">
        <v>512</v>
      </c>
      <c r="Q3996" s="97" t="str">
        <f t="shared" si="523"/>
        <v/>
      </c>
      <c r="R3996" t="str">
        <f t="shared" si="524"/>
        <v/>
      </c>
    </row>
    <row r="3997" spans="3:18">
      <c r="C3997" t="str">
        <f t="shared" si="525"/>
        <v/>
      </c>
      <c r="D3997">
        <v>88</v>
      </c>
      <c r="E3997">
        <v>45</v>
      </c>
      <c r="F3997" s="366">
        <f t="shared" si="519"/>
        <v>976.5</v>
      </c>
      <c r="G3997" s="97">
        <v>2530</v>
      </c>
      <c r="H3997" s="367">
        <f t="shared" si="520"/>
        <v>3506.5</v>
      </c>
      <c r="I3997" s="368">
        <f t="shared" si="521"/>
        <v>0</v>
      </c>
      <c r="J3997">
        <v>10014</v>
      </c>
      <c r="K3997" s="367">
        <f t="shared" si="522"/>
        <v>7152.8571428571431</v>
      </c>
      <c r="L3997" s="607">
        <v>0.23</v>
      </c>
      <c r="M3997">
        <v>2.8000000000000003</v>
      </c>
      <c r="N3997" s="381">
        <v>19</v>
      </c>
      <c r="O3997">
        <v>8</v>
      </c>
      <c r="P3997" t="s">
        <v>513</v>
      </c>
      <c r="Q3997" s="97">
        <f t="shared" si="523"/>
        <v>88</v>
      </c>
      <c r="R3997" t="str">
        <f t="shared" si="524"/>
        <v/>
      </c>
    </row>
    <row r="3998" spans="3:18">
      <c r="C3998" t="str">
        <f t="shared" si="525"/>
        <v/>
      </c>
      <c r="D3998">
        <v>89</v>
      </c>
      <c r="E3998">
        <v>45</v>
      </c>
      <c r="F3998" s="366">
        <f t="shared" si="519"/>
        <v>976.5</v>
      </c>
      <c r="G3998" s="97">
        <v>2740</v>
      </c>
      <c r="H3998" s="367">
        <f t="shared" si="520"/>
        <v>3716.5</v>
      </c>
      <c r="I3998" s="368">
        <f t="shared" si="521"/>
        <v>0</v>
      </c>
      <c r="J3998">
        <v>10842</v>
      </c>
      <c r="K3998" s="367">
        <f t="shared" si="522"/>
        <v>7744.2857142857147</v>
      </c>
      <c r="L3998" s="607">
        <v>0.54</v>
      </c>
      <c r="M3998">
        <v>2.8000000000000003</v>
      </c>
      <c r="N3998" s="381">
        <v>24</v>
      </c>
      <c r="O3998">
        <v>8</v>
      </c>
      <c r="P3998" t="s">
        <v>512</v>
      </c>
      <c r="Q3998" s="97">
        <f t="shared" si="523"/>
        <v>89</v>
      </c>
      <c r="R3998" t="str">
        <f t="shared" si="524"/>
        <v/>
      </c>
    </row>
    <row r="3999" spans="3:18">
      <c r="C3999" t="str">
        <f t="shared" si="525"/>
        <v>NL</v>
      </c>
      <c r="D3999">
        <v>90</v>
      </c>
      <c r="E3999">
        <v>45</v>
      </c>
      <c r="F3999" s="366">
        <f t="shared" si="519"/>
        <v>976.5</v>
      </c>
      <c r="G3999" s="97">
        <v>3481</v>
      </c>
      <c r="H3999" s="367">
        <f t="shared" si="520"/>
        <v>4457.5</v>
      </c>
      <c r="I3999" s="368">
        <f t="shared" si="521"/>
        <v>0</v>
      </c>
      <c r="J3999">
        <v>13775</v>
      </c>
      <c r="K3999" s="367">
        <f t="shared" si="522"/>
        <v>9839.2857142857138</v>
      </c>
      <c r="L3999" s="607">
        <v>0.19</v>
      </c>
      <c r="M3999">
        <v>1.7000000000000002</v>
      </c>
      <c r="N3999" s="381">
        <v>19</v>
      </c>
      <c r="O3999">
        <v>9</v>
      </c>
      <c r="P3999" t="s">
        <v>513</v>
      </c>
      <c r="Q3999" s="97" t="str">
        <f t="shared" si="523"/>
        <v/>
      </c>
      <c r="R3999" t="str">
        <f t="shared" si="524"/>
        <v/>
      </c>
    </row>
    <row r="4000" spans="3:18">
      <c r="C4000" t="str">
        <f t="shared" si="525"/>
        <v>NL</v>
      </c>
      <c r="D4000">
        <v>91</v>
      </c>
      <c r="E4000">
        <v>45</v>
      </c>
      <c r="F4000" s="366">
        <f t="shared" si="519"/>
        <v>976.5</v>
      </c>
      <c r="G4000" s="97">
        <v>3724</v>
      </c>
      <c r="H4000" s="367">
        <f t="shared" si="520"/>
        <v>4700.5</v>
      </c>
      <c r="I4000" s="368">
        <f t="shared" si="521"/>
        <v>0</v>
      </c>
      <c r="J4000">
        <v>14738</v>
      </c>
      <c r="K4000" s="367">
        <f t="shared" si="522"/>
        <v>10527.142857142857</v>
      </c>
      <c r="L4000" s="607">
        <v>0.44</v>
      </c>
      <c r="M4000">
        <v>1.7000000000000002</v>
      </c>
      <c r="N4000" s="381">
        <v>24</v>
      </c>
      <c r="O4000">
        <v>9</v>
      </c>
      <c r="P4000" t="s">
        <v>512</v>
      </c>
      <c r="Q4000" s="97" t="str">
        <f t="shared" si="523"/>
        <v/>
      </c>
      <c r="R4000" t="str">
        <f t="shared" si="524"/>
        <v/>
      </c>
    </row>
    <row r="4001" spans="3:18">
      <c r="C4001" t="str">
        <f t="shared" si="525"/>
        <v/>
      </c>
      <c r="D4001">
        <v>92</v>
      </c>
      <c r="E4001">
        <v>45</v>
      </c>
      <c r="F4001" s="366">
        <f t="shared" si="519"/>
        <v>976.5</v>
      </c>
      <c r="G4001" s="97">
        <v>3643</v>
      </c>
      <c r="H4001" s="367">
        <f t="shared" si="520"/>
        <v>4619.5</v>
      </c>
      <c r="I4001" s="368">
        <f t="shared" si="521"/>
        <v>0</v>
      </c>
      <c r="J4001">
        <v>14417</v>
      </c>
      <c r="K4001" s="367">
        <f t="shared" si="522"/>
        <v>10297.857142857143</v>
      </c>
      <c r="L4001" s="607">
        <v>0.16</v>
      </c>
      <c r="M4001">
        <v>3.7</v>
      </c>
      <c r="N4001" s="381">
        <v>19</v>
      </c>
      <c r="O4001">
        <v>10</v>
      </c>
      <c r="P4001" t="s">
        <v>513</v>
      </c>
      <c r="Q4001" s="97" t="str">
        <f t="shared" si="523"/>
        <v/>
      </c>
      <c r="R4001" t="str">
        <f t="shared" si="524"/>
        <v/>
      </c>
    </row>
    <row r="4002" spans="3:18">
      <c r="C4002" t="str">
        <f t="shared" si="525"/>
        <v/>
      </c>
      <c r="D4002">
        <v>93</v>
      </c>
      <c r="E4002">
        <v>45</v>
      </c>
      <c r="F4002" s="366">
        <f t="shared" si="519"/>
        <v>976.5</v>
      </c>
      <c r="G4002" s="97">
        <v>3936</v>
      </c>
      <c r="H4002" s="367">
        <f t="shared" si="520"/>
        <v>4912.5</v>
      </c>
      <c r="I4002" s="368">
        <f t="shared" si="521"/>
        <v>0</v>
      </c>
      <c r="J4002">
        <v>15577</v>
      </c>
      <c r="K4002" s="367">
        <f t="shared" si="522"/>
        <v>11126.428571428572</v>
      </c>
      <c r="L4002" s="607">
        <v>0.36</v>
      </c>
      <c r="M4002">
        <v>3.7</v>
      </c>
      <c r="N4002" s="381">
        <v>24</v>
      </c>
      <c r="O4002">
        <v>10</v>
      </c>
      <c r="P4002" t="s">
        <v>512</v>
      </c>
      <c r="Q4002" s="97" t="str">
        <f t="shared" si="523"/>
        <v/>
      </c>
      <c r="R4002" t="str">
        <f t="shared" si="524"/>
        <v/>
      </c>
    </row>
    <row r="4003" spans="3:18">
      <c r="C4003" t="str">
        <f t="shared" si="525"/>
        <v/>
      </c>
      <c r="D4003">
        <v>94</v>
      </c>
      <c r="E4003">
        <v>45</v>
      </c>
      <c r="F4003" s="366">
        <f t="shared" si="519"/>
        <v>976.5</v>
      </c>
      <c r="G4003" s="97">
        <v>3936</v>
      </c>
      <c r="H4003" s="367">
        <f t="shared" si="520"/>
        <v>4912.5</v>
      </c>
      <c r="I4003" s="368">
        <f t="shared" si="521"/>
        <v>0</v>
      </c>
      <c r="J4003">
        <v>15577</v>
      </c>
      <c r="K4003" s="367">
        <f t="shared" si="522"/>
        <v>11126.428571428572</v>
      </c>
      <c r="L4003" s="607">
        <v>0.36</v>
      </c>
      <c r="M4003">
        <v>3.7</v>
      </c>
      <c r="N4003" s="381">
        <v>24</v>
      </c>
      <c r="O4003">
        <v>10</v>
      </c>
      <c r="P4003" t="s">
        <v>512</v>
      </c>
      <c r="Q4003" s="97" t="str">
        <f t="shared" si="523"/>
        <v/>
      </c>
      <c r="R4003" t="str">
        <f t="shared" si="524"/>
        <v/>
      </c>
    </row>
    <row r="4004" spans="3:18">
      <c r="C4004" t="str">
        <f t="shared" si="525"/>
        <v/>
      </c>
      <c r="D4004">
        <v>95</v>
      </c>
      <c r="E4004">
        <v>50</v>
      </c>
      <c r="F4004" s="366">
        <f t="shared" si="519"/>
        <v>1085</v>
      </c>
      <c r="G4004" s="97">
        <v>939</v>
      </c>
      <c r="H4004" s="367">
        <f t="shared" si="520"/>
        <v>2024</v>
      </c>
      <c r="I4004" s="368">
        <f t="shared" si="521"/>
        <v>0</v>
      </c>
      <c r="J4004">
        <v>3718</v>
      </c>
      <c r="K4004" s="367">
        <f t="shared" si="522"/>
        <v>2655.7142857142858</v>
      </c>
      <c r="L4004" s="607">
        <v>0.6</v>
      </c>
      <c r="M4004">
        <v>3.4</v>
      </c>
      <c r="N4004" s="381">
        <v>23</v>
      </c>
      <c r="O4004">
        <v>2</v>
      </c>
      <c r="P4004" t="s">
        <v>515</v>
      </c>
      <c r="Q4004" s="97" t="str">
        <f t="shared" si="523"/>
        <v/>
      </c>
      <c r="R4004" t="str">
        <f t="shared" si="524"/>
        <v/>
      </c>
    </row>
    <row r="4005" spans="3:18">
      <c r="C4005" t="str">
        <f t="shared" si="525"/>
        <v>NL</v>
      </c>
      <c r="D4005">
        <v>96</v>
      </c>
      <c r="E4005">
        <v>50</v>
      </c>
      <c r="F4005" s="366">
        <f t="shared" si="519"/>
        <v>1085</v>
      </c>
      <c r="G4005" s="97">
        <v>1052</v>
      </c>
      <c r="H4005" s="367">
        <f t="shared" si="520"/>
        <v>2137</v>
      </c>
      <c r="I4005" s="368">
        <f t="shared" si="521"/>
        <v>0</v>
      </c>
      <c r="J4005">
        <v>4163</v>
      </c>
      <c r="K4005" s="367">
        <f t="shared" si="522"/>
        <v>2973.5714285714284</v>
      </c>
      <c r="L4005" s="607">
        <v>0.21000000000000002</v>
      </c>
      <c r="M4005">
        <v>4.8</v>
      </c>
      <c r="N4005" s="381">
        <v>18</v>
      </c>
      <c r="O4005">
        <v>3</v>
      </c>
      <c r="P4005" t="s">
        <v>515</v>
      </c>
      <c r="Q4005" s="97" t="str">
        <f t="shared" si="523"/>
        <v/>
      </c>
      <c r="R4005" t="str">
        <f t="shared" si="524"/>
        <v/>
      </c>
    </row>
    <row r="4006" spans="3:18">
      <c r="C4006" t="str">
        <f t="shared" si="525"/>
        <v>NL</v>
      </c>
      <c r="D4006">
        <v>97</v>
      </c>
      <c r="E4006">
        <v>50</v>
      </c>
      <c r="F4006" s="366">
        <f t="shared" si="519"/>
        <v>1085</v>
      </c>
      <c r="G4006" s="97">
        <v>1453</v>
      </c>
      <c r="H4006" s="367">
        <f t="shared" si="520"/>
        <v>2538</v>
      </c>
      <c r="I4006" s="368">
        <f t="shared" si="521"/>
        <v>0</v>
      </c>
      <c r="J4006">
        <v>5749</v>
      </c>
      <c r="K4006" s="367">
        <f t="shared" si="522"/>
        <v>4106.4285714285716</v>
      </c>
      <c r="L4006" s="607">
        <v>0.64</v>
      </c>
      <c r="M4006">
        <v>4.8</v>
      </c>
      <c r="N4006" s="381">
        <v>23</v>
      </c>
      <c r="O4006">
        <v>3</v>
      </c>
      <c r="P4006" t="s">
        <v>514</v>
      </c>
      <c r="Q4006" s="97" t="str">
        <f t="shared" si="523"/>
        <v/>
      </c>
      <c r="R4006" t="str">
        <f t="shared" si="524"/>
        <v/>
      </c>
    </row>
    <row r="4007" spans="3:18">
      <c r="C4007" t="str">
        <f t="shared" si="525"/>
        <v/>
      </c>
      <c r="D4007">
        <v>98</v>
      </c>
      <c r="E4007">
        <v>50</v>
      </c>
      <c r="F4007" s="366">
        <f t="shared" si="519"/>
        <v>1085</v>
      </c>
      <c r="G4007" s="97">
        <v>1566</v>
      </c>
      <c r="H4007" s="367">
        <f t="shared" si="520"/>
        <v>2651</v>
      </c>
      <c r="I4007" s="368">
        <f t="shared" si="521"/>
        <v>0</v>
      </c>
      <c r="J4007">
        <v>6199</v>
      </c>
      <c r="K4007" s="367">
        <f t="shared" si="522"/>
        <v>4427.8571428571431</v>
      </c>
      <c r="L4007" s="607">
        <v>0.33</v>
      </c>
      <c r="M4007">
        <v>6.1</v>
      </c>
      <c r="N4007" s="381">
        <v>19</v>
      </c>
      <c r="O4007">
        <v>4</v>
      </c>
      <c r="P4007" t="s">
        <v>514</v>
      </c>
      <c r="Q4007" s="97" t="str">
        <f t="shared" si="523"/>
        <v/>
      </c>
      <c r="R4007" t="str">
        <f t="shared" si="524"/>
        <v/>
      </c>
    </row>
    <row r="4008" spans="3:18">
      <c r="C4008" t="str">
        <f t="shared" si="525"/>
        <v>NL</v>
      </c>
      <c r="D4008">
        <v>99</v>
      </c>
      <c r="E4008">
        <v>50</v>
      </c>
      <c r="F4008" s="366">
        <f t="shared" si="519"/>
        <v>1085</v>
      </c>
      <c r="G4008" s="97">
        <v>1845</v>
      </c>
      <c r="H4008" s="367">
        <f t="shared" si="520"/>
        <v>2930</v>
      </c>
      <c r="I4008" s="368">
        <f t="shared" si="521"/>
        <v>0</v>
      </c>
      <c r="J4008">
        <v>7303</v>
      </c>
      <c r="K4008" s="367">
        <f t="shared" si="522"/>
        <v>5216.4285714285716</v>
      </c>
      <c r="L4008" s="607">
        <v>0.21000000000000002</v>
      </c>
      <c r="M4008">
        <v>7.3999999999999995</v>
      </c>
      <c r="N4008" s="381">
        <v>18</v>
      </c>
      <c r="O4008">
        <v>5</v>
      </c>
      <c r="P4008" t="s">
        <v>514</v>
      </c>
      <c r="Q4008" s="97" t="str">
        <f t="shared" si="523"/>
        <v/>
      </c>
      <c r="R4008" t="str">
        <f t="shared" si="524"/>
        <v/>
      </c>
    </row>
    <row r="4009" spans="3:18">
      <c r="C4009" t="str">
        <f t="shared" si="525"/>
        <v>NL</v>
      </c>
      <c r="D4009">
        <v>100</v>
      </c>
      <c r="E4009">
        <v>50</v>
      </c>
      <c r="F4009" s="366">
        <f t="shared" si="519"/>
        <v>1085</v>
      </c>
      <c r="G4009" s="97">
        <v>2406</v>
      </c>
      <c r="H4009" s="367">
        <f t="shared" si="520"/>
        <v>3491</v>
      </c>
      <c r="I4009" s="368">
        <f t="shared" si="521"/>
        <v>0</v>
      </c>
      <c r="J4009">
        <v>9523</v>
      </c>
      <c r="K4009" s="367">
        <f t="shared" si="522"/>
        <v>6802.1428571428569</v>
      </c>
      <c r="L4009" s="607">
        <v>0.69000000000000006</v>
      </c>
      <c r="M4009">
        <v>7.3999999999999995</v>
      </c>
      <c r="N4009" s="381">
        <v>23</v>
      </c>
      <c r="O4009">
        <v>5</v>
      </c>
      <c r="P4009" t="s">
        <v>513</v>
      </c>
      <c r="Q4009" s="97" t="str">
        <f t="shared" si="523"/>
        <v/>
      </c>
      <c r="R4009" t="str">
        <f t="shared" si="524"/>
        <v/>
      </c>
    </row>
    <row r="4010" spans="3:18">
      <c r="C4010" t="str">
        <f t="shared" si="525"/>
        <v/>
      </c>
      <c r="D4010">
        <v>101</v>
      </c>
      <c r="E4010">
        <v>50</v>
      </c>
      <c r="F4010" s="366">
        <f t="shared" si="519"/>
        <v>1085</v>
      </c>
      <c r="G4010" s="97">
        <v>1708</v>
      </c>
      <c r="H4010" s="367">
        <f t="shared" si="520"/>
        <v>2793</v>
      </c>
      <c r="I4010" s="368">
        <f t="shared" si="521"/>
        <v>0</v>
      </c>
      <c r="J4010">
        <v>6759</v>
      </c>
      <c r="K4010" s="367">
        <f t="shared" si="522"/>
        <v>4827.8571428571431</v>
      </c>
      <c r="L4010" s="607">
        <v>0.15000000000000002</v>
      </c>
      <c r="M4010">
        <v>8.6999999999999993</v>
      </c>
      <c r="N4010" s="381">
        <v>17</v>
      </c>
      <c r="O4010">
        <v>6</v>
      </c>
      <c r="P4010" t="s">
        <v>514</v>
      </c>
      <c r="Q4010" s="97" t="str">
        <f t="shared" si="523"/>
        <v/>
      </c>
      <c r="R4010" t="str">
        <f t="shared" si="524"/>
        <v/>
      </c>
    </row>
    <row r="4011" spans="3:18">
      <c r="C4011" t="str">
        <f t="shared" si="525"/>
        <v/>
      </c>
      <c r="D4011">
        <v>102</v>
      </c>
      <c r="E4011">
        <v>50</v>
      </c>
      <c r="F4011" s="366">
        <f t="shared" si="519"/>
        <v>1085</v>
      </c>
      <c r="G4011" s="97">
        <v>2342</v>
      </c>
      <c r="H4011" s="367">
        <f t="shared" si="520"/>
        <v>3427</v>
      </c>
      <c r="I4011" s="368">
        <f t="shared" si="521"/>
        <v>0</v>
      </c>
      <c r="J4011">
        <v>9271</v>
      </c>
      <c r="K4011" s="367">
        <f t="shared" si="522"/>
        <v>6622.1428571428569</v>
      </c>
      <c r="L4011" s="607">
        <v>0.49</v>
      </c>
      <c r="M4011">
        <v>8.6999999999999993</v>
      </c>
      <c r="N4011" s="381">
        <v>22</v>
      </c>
      <c r="O4011">
        <v>6</v>
      </c>
      <c r="P4011" t="s">
        <v>513</v>
      </c>
      <c r="Q4011" s="97">
        <f t="shared" si="523"/>
        <v>102</v>
      </c>
      <c r="R4011" t="str">
        <f t="shared" si="524"/>
        <v/>
      </c>
    </row>
    <row r="4012" spans="3:18">
      <c r="C4012" t="str">
        <f t="shared" si="525"/>
        <v>NL</v>
      </c>
      <c r="D4012">
        <v>103</v>
      </c>
      <c r="E4012">
        <v>50</v>
      </c>
      <c r="F4012" s="366">
        <f t="shared" si="519"/>
        <v>1085</v>
      </c>
      <c r="G4012" s="97">
        <v>3178</v>
      </c>
      <c r="H4012" s="367">
        <f t="shared" si="520"/>
        <v>4263</v>
      </c>
      <c r="I4012" s="368">
        <f t="shared" si="521"/>
        <v>0</v>
      </c>
      <c r="J4012">
        <v>12579</v>
      </c>
      <c r="K4012" s="367">
        <f t="shared" si="522"/>
        <v>8985</v>
      </c>
      <c r="L4012" s="607">
        <v>0.37</v>
      </c>
      <c r="M4012">
        <v>1.3</v>
      </c>
      <c r="N4012" s="381">
        <v>21</v>
      </c>
      <c r="O4012">
        <v>7</v>
      </c>
      <c r="P4012" t="s">
        <v>513</v>
      </c>
      <c r="Q4012" s="97" t="str">
        <f t="shared" si="523"/>
        <v/>
      </c>
      <c r="R4012" t="str">
        <f t="shared" si="524"/>
        <v/>
      </c>
    </row>
    <row r="4013" spans="3:18">
      <c r="C4013" t="str">
        <f t="shared" si="525"/>
        <v>NL</v>
      </c>
      <c r="D4013">
        <v>104</v>
      </c>
      <c r="E4013">
        <v>50</v>
      </c>
      <c r="F4013" s="366">
        <f t="shared" si="519"/>
        <v>1085</v>
      </c>
      <c r="G4013" s="97">
        <v>3406</v>
      </c>
      <c r="H4013" s="367">
        <f t="shared" si="520"/>
        <v>4491</v>
      </c>
      <c r="I4013" s="368">
        <f t="shared" si="521"/>
        <v>0</v>
      </c>
      <c r="J4013">
        <v>13480</v>
      </c>
      <c r="K4013" s="367">
        <f t="shared" si="522"/>
        <v>9628.5714285714294</v>
      </c>
      <c r="L4013" s="607">
        <v>0.86</v>
      </c>
      <c r="M4013">
        <v>1.3</v>
      </c>
      <c r="N4013" s="381">
        <v>26</v>
      </c>
      <c r="O4013">
        <v>7</v>
      </c>
      <c r="P4013" t="s">
        <v>512</v>
      </c>
      <c r="Q4013" s="97" t="str">
        <f t="shared" si="523"/>
        <v/>
      </c>
      <c r="R4013" t="str">
        <f t="shared" si="524"/>
        <v/>
      </c>
    </row>
    <row r="4014" spans="3:18">
      <c r="C4014" t="str">
        <f t="shared" si="525"/>
        <v/>
      </c>
      <c r="D4014">
        <v>105</v>
      </c>
      <c r="E4014">
        <v>50</v>
      </c>
      <c r="F4014" s="366">
        <f t="shared" si="519"/>
        <v>1085</v>
      </c>
      <c r="G4014" s="97">
        <v>2755</v>
      </c>
      <c r="H4014" s="367">
        <f t="shared" si="520"/>
        <v>3840</v>
      </c>
      <c r="I4014" s="368">
        <f t="shared" si="521"/>
        <v>0</v>
      </c>
      <c r="J4014">
        <v>10904</v>
      </c>
      <c r="K4014" s="367">
        <f t="shared" si="522"/>
        <v>7788.5714285714284</v>
      </c>
      <c r="L4014" s="607">
        <v>0.29000000000000004</v>
      </c>
      <c r="M4014">
        <v>2.8000000000000003</v>
      </c>
      <c r="N4014" s="381">
        <v>21</v>
      </c>
      <c r="O4014">
        <v>8</v>
      </c>
      <c r="P4014" t="s">
        <v>513</v>
      </c>
      <c r="Q4014" s="97">
        <f t="shared" si="523"/>
        <v>105</v>
      </c>
      <c r="R4014" t="str">
        <f t="shared" si="524"/>
        <v/>
      </c>
    </row>
    <row r="4015" spans="3:18">
      <c r="C4015" t="str">
        <f t="shared" si="525"/>
        <v/>
      </c>
      <c r="D4015">
        <v>106</v>
      </c>
      <c r="E4015">
        <v>50</v>
      </c>
      <c r="F4015" s="366">
        <f t="shared" si="519"/>
        <v>1085</v>
      </c>
      <c r="G4015" s="97">
        <v>2979</v>
      </c>
      <c r="H4015" s="367">
        <f t="shared" si="520"/>
        <v>4064</v>
      </c>
      <c r="I4015" s="368">
        <f t="shared" si="521"/>
        <v>0</v>
      </c>
      <c r="J4015">
        <v>11789</v>
      </c>
      <c r="K4015" s="367">
        <f t="shared" si="522"/>
        <v>8420.7142857142862</v>
      </c>
      <c r="L4015" s="607">
        <v>0.67</v>
      </c>
      <c r="M4015">
        <v>2.8000000000000003</v>
      </c>
      <c r="N4015" s="381">
        <v>26</v>
      </c>
      <c r="O4015">
        <v>8</v>
      </c>
      <c r="P4015" t="s">
        <v>512</v>
      </c>
      <c r="Q4015" s="97">
        <f t="shared" si="523"/>
        <v>106</v>
      </c>
      <c r="R4015" t="str">
        <f t="shared" si="524"/>
        <v/>
      </c>
    </row>
    <row r="4016" spans="3:18">
      <c r="C4016" t="str">
        <f t="shared" si="525"/>
        <v>NL</v>
      </c>
      <c r="D4016">
        <v>107</v>
      </c>
      <c r="E4016">
        <v>50</v>
      </c>
      <c r="F4016" s="366">
        <f t="shared" si="519"/>
        <v>1085</v>
      </c>
      <c r="G4016" s="97">
        <v>3751</v>
      </c>
      <c r="H4016" s="367">
        <f t="shared" si="520"/>
        <v>4836</v>
      </c>
      <c r="I4016" s="368">
        <f t="shared" si="521"/>
        <v>0</v>
      </c>
      <c r="J4016">
        <v>14845</v>
      </c>
      <c r="K4016" s="367">
        <f t="shared" si="522"/>
        <v>10603.571428571429</v>
      </c>
      <c r="L4016" s="607">
        <v>0.23</v>
      </c>
      <c r="M4016">
        <v>1.7000000000000002</v>
      </c>
      <c r="N4016" s="381">
        <v>20</v>
      </c>
      <c r="O4016">
        <v>9</v>
      </c>
      <c r="P4016" t="s">
        <v>513</v>
      </c>
      <c r="Q4016" s="97" t="str">
        <f t="shared" si="523"/>
        <v/>
      </c>
      <c r="R4016" t="str">
        <f t="shared" si="524"/>
        <v/>
      </c>
    </row>
    <row r="4017" spans="3:18">
      <c r="C4017" t="str">
        <f t="shared" si="525"/>
        <v>NL</v>
      </c>
      <c r="D4017">
        <v>108</v>
      </c>
      <c r="E4017">
        <v>50</v>
      </c>
      <c r="F4017" s="366">
        <f t="shared" si="519"/>
        <v>1085</v>
      </c>
      <c r="G4017" s="97">
        <v>4021</v>
      </c>
      <c r="H4017" s="367">
        <f t="shared" si="520"/>
        <v>5106</v>
      </c>
      <c r="I4017" s="368">
        <f t="shared" si="521"/>
        <v>0</v>
      </c>
      <c r="J4017">
        <v>15915</v>
      </c>
      <c r="K4017" s="367">
        <f t="shared" si="522"/>
        <v>11367.857142857143</v>
      </c>
      <c r="L4017" s="607">
        <v>0.54</v>
      </c>
      <c r="M4017">
        <v>1.7000000000000002</v>
      </c>
      <c r="N4017" s="381">
        <v>25</v>
      </c>
      <c r="O4017">
        <v>9</v>
      </c>
      <c r="P4017" t="s">
        <v>512</v>
      </c>
      <c r="Q4017" s="97" t="str">
        <f t="shared" si="523"/>
        <v/>
      </c>
      <c r="R4017" t="str">
        <f t="shared" si="524"/>
        <v/>
      </c>
    </row>
    <row r="4018" spans="3:18">
      <c r="C4018" t="str">
        <f t="shared" si="525"/>
        <v/>
      </c>
      <c r="D4018">
        <v>109</v>
      </c>
      <c r="E4018">
        <v>50</v>
      </c>
      <c r="F4018" s="366">
        <f t="shared" si="519"/>
        <v>1085</v>
      </c>
      <c r="G4018" s="97">
        <v>3963</v>
      </c>
      <c r="H4018" s="367">
        <f t="shared" si="520"/>
        <v>5048</v>
      </c>
      <c r="I4018" s="368">
        <f t="shared" si="521"/>
        <v>0</v>
      </c>
      <c r="J4018">
        <v>15686</v>
      </c>
      <c r="K4018" s="367">
        <f t="shared" si="522"/>
        <v>11204.285714285714</v>
      </c>
      <c r="L4018" s="607">
        <v>0.2</v>
      </c>
      <c r="M4018">
        <v>3.7</v>
      </c>
      <c r="N4018" s="381">
        <v>20</v>
      </c>
      <c r="O4018">
        <v>10</v>
      </c>
      <c r="P4018" t="s">
        <v>513</v>
      </c>
      <c r="Q4018" s="97" t="str">
        <f t="shared" si="523"/>
        <v/>
      </c>
      <c r="R4018" t="str">
        <f t="shared" si="524"/>
        <v/>
      </c>
    </row>
    <row r="4019" spans="3:18">
      <c r="C4019" t="str">
        <f t="shared" si="525"/>
        <v/>
      </c>
      <c r="D4019">
        <v>110</v>
      </c>
      <c r="E4019">
        <v>50</v>
      </c>
      <c r="F4019" s="366">
        <f t="shared" si="519"/>
        <v>1085</v>
      </c>
      <c r="G4019" s="97">
        <v>4238</v>
      </c>
      <c r="H4019" s="367">
        <f t="shared" si="520"/>
        <v>5323</v>
      </c>
      <c r="I4019" s="368">
        <f t="shared" si="521"/>
        <v>0</v>
      </c>
      <c r="J4019">
        <v>16771</v>
      </c>
      <c r="K4019" s="367">
        <f t="shared" si="522"/>
        <v>11979.285714285714</v>
      </c>
      <c r="L4019" s="607">
        <v>0.45</v>
      </c>
      <c r="M4019">
        <v>3.7</v>
      </c>
      <c r="N4019" s="381">
        <v>25</v>
      </c>
      <c r="O4019">
        <v>10</v>
      </c>
      <c r="P4019" t="s">
        <v>512</v>
      </c>
      <c r="Q4019" s="97" t="str">
        <f t="shared" si="523"/>
        <v/>
      </c>
      <c r="R4019" t="str">
        <f t="shared" si="524"/>
        <v/>
      </c>
    </row>
    <row r="4020" spans="3:18">
      <c r="C4020" t="str">
        <f t="shared" si="525"/>
        <v/>
      </c>
      <c r="D4020">
        <v>111</v>
      </c>
      <c r="E4020">
        <v>50</v>
      </c>
      <c r="F4020" s="366">
        <f t="shared" si="519"/>
        <v>1085</v>
      </c>
      <c r="G4020" s="97">
        <v>4238</v>
      </c>
      <c r="H4020" s="367">
        <f t="shared" si="520"/>
        <v>5323</v>
      </c>
      <c r="I4020" s="368">
        <f t="shared" si="521"/>
        <v>0</v>
      </c>
      <c r="J4020">
        <v>16771</v>
      </c>
      <c r="K4020" s="367">
        <f t="shared" si="522"/>
        <v>11979.285714285714</v>
      </c>
      <c r="L4020" s="607">
        <v>0.45</v>
      </c>
      <c r="M4020">
        <v>3.7</v>
      </c>
      <c r="N4020" s="381">
        <v>25</v>
      </c>
      <c r="O4020">
        <v>10</v>
      </c>
      <c r="P4020" t="s">
        <v>512</v>
      </c>
      <c r="Q4020" s="97" t="str">
        <f t="shared" si="523"/>
        <v/>
      </c>
      <c r="R4020" t="str">
        <f t="shared" si="524"/>
        <v/>
      </c>
    </row>
    <row r="4021" spans="3:18">
      <c r="C4021" t="str">
        <f t="shared" si="525"/>
        <v/>
      </c>
      <c r="D4021">
        <v>112</v>
      </c>
      <c r="E4021">
        <v>55</v>
      </c>
      <c r="F4021" s="366">
        <f t="shared" si="519"/>
        <v>1193.5</v>
      </c>
      <c r="G4021" s="97">
        <v>1009</v>
      </c>
      <c r="H4021" s="367">
        <f t="shared" si="520"/>
        <v>2202.5</v>
      </c>
      <c r="I4021" s="368">
        <f t="shared" si="521"/>
        <v>0</v>
      </c>
      <c r="J4021">
        <v>3995</v>
      </c>
      <c r="K4021" s="367">
        <f t="shared" si="522"/>
        <v>2853.5714285714284</v>
      </c>
      <c r="L4021" s="607">
        <v>0.72</v>
      </c>
      <c r="M4021">
        <v>3.4</v>
      </c>
      <c r="N4021" s="381">
        <v>24</v>
      </c>
      <c r="O4021">
        <v>2</v>
      </c>
      <c r="P4021" t="s">
        <v>515</v>
      </c>
      <c r="Q4021" s="97" t="str">
        <f t="shared" si="523"/>
        <v/>
      </c>
      <c r="R4021" t="str">
        <f t="shared" si="524"/>
        <v/>
      </c>
    </row>
    <row r="4022" spans="3:18">
      <c r="C4022" t="str">
        <f t="shared" si="525"/>
        <v>NL</v>
      </c>
      <c r="D4022">
        <v>113</v>
      </c>
      <c r="E4022">
        <v>55</v>
      </c>
      <c r="F4022" s="366">
        <f t="shared" si="519"/>
        <v>1193.5</v>
      </c>
      <c r="G4022" s="97">
        <v>1133</v>
      </c>
      <c r="H4022" s="367">
        <f t="shared" si="520"/>
        <v>2326.5</v>
      </c>
      <c r="I4022" s="368">
        <f t="shared" si="521"/>
        <v>0</v>
      </c>
      <c r="J4022">
        <v>4486</v>
      </c>
      <c r="K4022" s="367">
        <f t="shared" si="522"/>
        <v>3204.2857142857142</v>
      </c>
      <c r="L4022" s="607">
        <v>0.25</v>
      </c>
      <c r="M4022">
        <v>4.8</v>
      </c>
      <c r="N4022" s="381">
        <v>19</v>
      </c>
      <c r="O4022">
        <v>3</v>
      </c>
      <c r="P4022" t="s">
        <v>515</v>
      </c>
      <c r="Q4022" s="97" t="str">
        <f t="shared" si="523"/>
        <v/>
      </c>
      <c r="R4022" t="str">
        <f t="shared" si="524"/>
        <v/>
      </c>
    </row>
    <row r="4023" spans="3:18">
      <c r="C4023" t="str">
        <f t="shared" si="525"/>
        <v>NL</v>
      </c>
      <c r="D4023">
        <v>114</v>
      </c>
      <c r="E4023">
        <v>55</v>
      </c>
      <c r="F4023" s="366">
        <f t="shared" si="519"/>
        <v>1193.5</v>
      </c>
      <c r="G4023" s="97">
        <v>1553</v>
      </c>
      <c r="H4023" s="367">
        <f t="shared" si="520"/>
        <v>2746.5</v>
      </c>
      <c r="I4023" s="368">
        <f t="shared" si="521"/>
        <v>0</v>
      </c>
      <c r="J4023">
        <v>6146</v>
      </c>
      <c r="K4023" s="367">
        <f t="shared" si="522"/>
        <v>4390</v>
      </c>
      <c r="L4023" s="607">
        <v>0.78</v>
      </c>
      <c r="M4023">
        <v>4.8</v>
      </c>
      <c r="N4023" s="381">
        <v>24</v>
      </c>
      <c r="O4023">
        <v>3</v>
      </c>
      <c r="P4023" t="s">
        <v>514</v>
      </c>
      <c r="Q4023" s="97" t="str">
        <f t="shared" si="523"/>
        <v/>
      </c>
      <c r="R4023" t="str">
        <f t="shared" si="524"/>
        <v/>
      </c>
    </row>
    <row r="4024" spans="3:18">
      <c r="C4024" t="str">
        <f t="shared" si="525"/>
        <v/>
      </c>
      <c r="D4024">
        <v>115</v>
      </c>
      <c r="E4024">
        <v>55</v>
      </c>
      <c r="F4024" s="366">
        <f t="shared" si="519"/>
        <v>1193.5</v>
      </c>
      <c r="G4024" s="97">
        <v>1685</v>
      </c>
      <c r="H4024" s="367">
        <f t="shared" si="520"/>
        <v>2878.5</v>
      </c>
      <c r="I4024" s="368">
        <f t="shared" si="521"/>
        <v>0</v>
      </c>
      <c r="J4024">
        <v>6668</v>
      </c>
      <c r="K4024" s="367">
        <f t="shared" si="522"/>
        <v>4762.8571428571431</v>
      </c>
      <c r="L4024" s="607">
        <v>0.39</v>
      </c>
      <c r="M4024">
        <v>6.1</v>
      </c>
      <c r="N4024" s="381">
        <v>20</v>
      </c>
      <c r="O4024">
        <v>4</v>
      </c>
      <c r="P4024" t="s">
        <v>514</v>
      </c>
      <c r="Q4024" s="97" t="str">
        <f t="shared" si="523"/>
        <v/>
      </c>
      <c r="R4024" t="str">
        <f t="shared" si="524"/>
        <v/>
      </c>
    </row>
    <row r="4025" spans="3:18">
      <c r="C4025" t="str">
        <f t="shared" si="525"/>
        <v>NL</v>
      </c>
      <c r="D4025">
        <v>116</v>
      </c>
      <c r="E4025">
        <v>55</v>
      </c>
      <c r="F4025" s="366">
        <f t="shared" si="519"/>
        <v>1193.5</v>
      </c>
      <c r="G4025" s="97">
        <v>1984</v>
      </c>
      <c r="H4025" s="367">
        <f t="shared" si="520"/>
        <v>3177.5</v>
      </c>
      <c r="I4025" s="368">
        <f t="shared" si="521"/>
        <v>0</v>
      </c>
      <c r="J4025">
        <v>7852</v>
      </c>
      <c r="K4025" s="367">
        <f t="shared" si="522"/>
        <v>5608.5714285714284</v>
      </c>
      <c r="L4025" s="607">
        <v>0.25</v>
      </c>
      <c r="M4025">
        <v>7.3999999999999995</v>
      </c>
      <c r="N4025" s="381">
        <v>19</v>
      </c>
      <c r="O4025">
        <v>5</v>
      </c>
      <c r="P4025" t="s">
        <v>514</v>
      </c>
      <c r="Q4025" s="97" t="str">
        <f t="shared" si="523"/>
        <v/>
      </c>
      <c r="R4025" t="str">
        <f t="shared" si="524"/>
        <v/>
      </c>
    </row>
    <row r="4026" spans="3:18">
      <c r="C4026" t="str">
        <f t="shared" si="525"/>
        <v>NL</v>
      </c>
      <c r="D4026">
        <v>117</v>
      </c>
      <c r="E4026">
        <v>55</v>
      </c>
      <c r="F4026" s="366">
        <f t="shared" si="519"/>
        <v>1193.5</v>
      </c>
      <c r="G4026" s="97">
        <v>2575</v>
      </c>
      <c r="H4026" s="367">
        <f t="shared" si="520"/>
        <v>3768.5</v>
      </c>
      <c r="I4026" s="368">
        <f t="shared" si="521"/>
        <v>0</v>
      </c>
      <c r="J4026">
        <v>10191</v>
      </c>
      <c r="K4026" s="367">
        <f t="shared" si="522"/>
        <v>7279.2857142857147</v>
      </c>
      <c r="L4026" s="607">
        <v>0.84</v>
      </c>
      <c r="M4026">
        <v>7.3999999999999995</v>
      </c>
      <c r="N4026" s="381">
        <v>24</v>
      </c>
      <c r="O4026">
        <v>5</v>
      </c>
      <c r="P4026" t="s">
        <v>513</v>
      </c>
      <c r="Q4026" s="97" t="str">
        <f t="shared" si="523"/>
        <v/>
      </c>
      <c r="R4026" t="str">
        <f t="shared" si="524"/>
        <v/>
      </c>
    </row>
    <row r="4027" spans="3:18">
      <c r="C4027" t="str">
        <f t="shared" si="525"/>
        <v/>
      </c>
      <c r="D4027">
        <v>118</v>
      </c>
      <c r="E4027">
        <v>55</v>
      </c>
      <c r="F4027" s="366">
        <f t="shared" si="519"/>
        <v>1193.5</v>
      </c>
      <c r="G4027" s="97">
        <v>1846</v>
      </c>
      <c r="H4027" s="367">
        <f t="shared" si="520"/>
        <v>3039.5</v>
      </c>
      <c r="I4027" s="368">
        <f t="shared" si="521"/>
        <v>0</v>
      </c>
      <c r="J4027">
        <v>7305</v>
      </c>
      <c r="K4027" s="367">
        <f t="shared" si="522"/>
        <v>5217.8571428571431</v>
      </c>
      <c r="L4027" s="607">
        <v>0.18000000000000002</v>
      </c>
      <c r="M4027">
        <v>8.6999999999999993</v>
      </c>
      <c r="N4027" s="381">
        <v>18</v>
      </c>
      <c r="O4027">
        <v>6</v>
      </c>
      <c r="P4027" t="s">
        <v>514</v>
      </c>
      <c r="Q4027" s="97">
        <f t="shared" si="523"/>
        <v>118</v>
      </c>
      <c r="R4027" t="str">
        <f t="shared" si="524"/>
        <v/>
      </c>
    </row>
    <row r="4028" spans="3:18">
      <c r="C4028" t="str">
        <f t="shared" si="525"/>
        <v/>
      </c>
      <c r="D4028">
        <v>119</v>
      </c>
      <c r="E4028">
        <v>55</v>
      </c>
      <c r="F4028" s="366">
        <f t="shared" si="519"/>
        <v>1193.5</v>
      </c>
      <c r="G4028" s="97">
        <v>2521</v>
      </c>
      <c r="H4028" s="367">
        <f t="shared" si="520"/>
        <v>3714.5</v>
      </c>
      <c r="I4028" s="368">
        <f t="shared" si="521"/>
        <v>0</v>
      </c>
      <c r="J4028">
        <v>9977</v>
      </c>
      <c r="K4028" s="367">
        <f t="shared" si="522"/>
        <v>7126.4285714285716</v>
      </c>
      <c r="L4028" s="607">
        <v>0.59</v>
      </c>
      <c r="M4028">
        <v>8.6999999999999993</v>
      </c>
      <c r="N4028" s="381">
        <v>23</v>
      </c>
      <c r="O4028">
        <v>6</v>
      </c>
      <c r="P4028" t="s">
        <v>513</v>
      </c>
      <c r="Q4028" s="97">
        <f t="shared" si="523"/>
        <v>119</v>
      </c>
      <c r="R4028" t="str">
        <f t="shared" si="524"/>
        <v/>
      </c>
    </row>
    <row r="4029" spans="3:18">
      <c r="C4029" t="str">
        <f t="shared" si="525"/>
        <v>NL</v>
      </c>
      <c r="D4029">
        <v>120</v>
      </c>
      <c r="E4029">
        <v>55</v>
      </c>
      <c r="F4029" s="366">
        <f t="shared" si="519"/>
        <v>1193.5</v>
      </c>
      <c r="G4029" s="97">
        <v>3395</v>
      </c>
      <c r="H4029" s="367">
        <f t="shared" si="520"/>
        <v>4588.5</v>
      </c>
      <c r="I4029" s="368">
        <f t="shared" si="521"/>
        <v>0</v>
      </c>
      <c r="J4029">
        <v>13434</v>
      </c>
      <c r="K4029" s="367">
        <f t="shared" si="522"/>
        <v>9595.7142857142862</v>
      </c>
      <c r="L4029" s="607">
        <v>0.44</v>
      </c>
      <c r="M4029">
        <v>1.3</v>
      </c>
      <c r="N4029" s="381">
        <v>22</v>
      </c>
      <c r="O4029">
        <v>7</v>
      </c>
      <c r="P4029" t="s">
        <v>513</v>
      </c>
      <c r="Q4029" s="97" t="str">
        <f t="shared" si="523"/>
        <v/>
      </c>
      <c r="R4029" t="str">
        <f t="shared" si="524"/>
        <v/>
      </c>
    </row>
    <row r="4030" spans="3:18">
      <c r="C4030" t="str">
        <f t="shared" si="525"/>
        <v>NL</v>
      </c>
      <c r="D4030">
        <v>121</v>
      </c>
      <c r="E4030">
        <v>55</v>
      </c>
      <c r="F4030" s="366">
        <f t="shared" si="519"/>
        <v>1193.5</v>
      </c>
      <c r="G4030" s="97">
        <v>3645</v>
      </c>
      <c r="H4030" s="367">
        <f t="shared" si="520"/>
        <v>4838.5</v>
      </c>
      <c r="I4030" s="368">
        <f t="shared" si="521"/>
        <v>0</v>
      </c>
      <c r="J4030">
        <v>14425</v>
      </c>
      <c r="K4030" s="367">
        <f t="shared" si="522"/>
        <v>10303.571428571429</v>
      </c>
      <c r="L4030" s="607">
        <v>1.04</v>
      </c>
      <c r="M4030">
        <v>1.3</v>
      </c>
      <c r="N4030" s="381">
        <v>28</v>
      </c>
      <c r="O4030">
        <v>7</v>
      </c>
      <c r="P4030" t="s">
        <v>512</v>
      </c>
      <c r="Q4030" s="97" t="str">
        <f t="shared" si="523"/>
        <v/>
      </c>
      <c r="R4030" t="str">
        <f t="shared" si="524"/>
        <v/>
      </c>
    </row>
    <row r="4031" spans="3:18">
      <c r="C4031" t="str">
        <f t="shared" si="525"/>
        <v/>
      </c>
      <c r="D4031">
        <v>122</v>
      </c>
      <c r="E4031">
        <v>55</v>
      </c>
      <c r="F4031" s="366">
        <f t="shared" si="519"/>
        <v>1193.5</v>
      </c>
      <c r="G4031" s="97">
        <v>2972</v>
      </c>
      <c r="H4031" s="367">
        <f t="shared" si="520"/>
        <v>4165.5</v>
      </c>
      <c r="I4031" s="368">
        <f t="shared" si="521"/>
        <v>0</v>
      </c>
      <c r="J4031">
        <v>11763</v>
      </c>
      <c r="K4031" s="367">
        <f t="shared" si="522"/>
        <v>8402.1428571428569</v>
      </c>
      <c r="L4031" s="607">
        <v>0.35000000000000003</v>
      </c>
      <c r="M4031">
        <v>2.8000000000000003</v>
      </c>
      <c r="N4031" s="381">
        <v>22</v>
      </c>
      <c r="O4031">
        <v>8</v>
      </c>
      <c r="P4031" t="s">
        <v>513</v>
      </c>
      <c r="Q4031" s="97">
        <f t="shared" si="523"/>
        <v>122</v>
      </c>
      <c r="R4031" t="str">
        <f t="shared" si="524"/>
        <v/>
      </c>
    </row>
    <row r="4032" spans="3:18">
      <c r="C4032" t="str">
        <f t="shared" si="525"/>
        <v/>
      </c>
      <c r="D4032">
        <v>123</v>
      </c>
      <c r="E4032">
        <v>55</v>
      </c>
      <c r="F4032" s="366">
        <f t="shared" si="519"/>
        <v>1193.5</v>
      </c>
      <c r="G4032" s="97">
        <v>3190</v>
      </c>
      <c r="H4032" s="367">
        <f t="shared" si="520"/>
        <v>4383.5</v>
      </c>
      <c r="I4032" s="368">
        <f t="shared" si="521"/>
        <v>0</v>
      </c>
      <c r="J4032">
        <v>12625</v>
      </c>
      <c r="K4032" s="367">
        <f t="shared" si="522"/>
        <v>9017.8571428571431</v>
      </c>
      <c r="L4032" s="607">
        <v>0.81</v>
      </c>
      <c r="M4032">
        <v>2.8000000000000003</v>
      </c>
      <c r="N4032" s="381">
        <v>27</v>
      </c>
      <c r="O4032">
        <v>8</v>
      </c>
      <c r="P4032" t="s">
        <v>512</v>
      </c>
      <c r="Q4032" s="97" t="str">
        <f t="shared" si="523"/>
        <v/>
      </c>
      <c r="R4032" t="str">
        <f t="shared" si="524"/>
        <v/>
      </c>
    </row>
    <row r="4033" spans="3:18">
      <c r="C4033" t="str">
        <f t="shared" si="525"/>
        <v>NL</v>
      </c>
      <c r="D4033">
        <v>124</v>
      </c>
      <c r="E4033">
        <v>55</v>
      </c>
      <c r="F4033" s="366">
        <f t="shared" si="519"/>
        <v>1193.5</v>
      </c>
      <c r="G4033" s="97">
        <v>4021</v>
      </c>
      <c r="H4033" s="367">
        <f t="shared" si="520"/>
        <v>5214.5</v>
      </c>
      <c r="I4033" s="368">
        <f t="shared" si="521"/>
        <v>0</v>
      </c>
      <c r="J4033">
        <v>15915</v>
      </c>
      <c r="K4033" s="367">
        <f t="shared" si="522"/>
        <v>11367.857142857143</v>
      </c>
      <c r="L4033" s="607">
        <v>0.28000000000000003</v>
      </c>
      <c r="M4033">
        <v>1.7000000000000002</v>
      </c>
      <c r="N4033" s="381">
        <v>22</v>
      </c>
      <c r="O4033">
        <v>9</v>
      </c>
      <c r="P4033" t="s">
        <v>513</v>
      </c>
      <c r="Q4033" s="97" t="str">
        <f t="shared" si="523"/>
        <v/>
      </c>
      <c r="R4033" t="str">
        <f t="shared" si="524"/>
        <v/>
      </c>
    </row>
    <row r="4034" spans="3:18">
      <c r="C4034" t="str">
        <f t="shared" si="525"/>
        <v>NL</v>
      </c>
      <c r="D4034">
        <v>125</v>
      </c>
      <c r="E4034">
        <v>55</v>
      </c>
      <c r="F4034" s="366">
        <f t="shared" si="519"/>
        <v>1193.5</v>
      </c>
      <c r="G4034" s="97">
        <v>4319</v>
      </c>
      <c r="H4034" s="367">
        <f t="shared" si="520"/>
        <v>5512.5</v>
      </c>
      <c r="I4034" s="368">
        <f t="shared" si="521"/>
        <v>0</v>
      </c>
      <c r="J4034">
        <v>17092</v>
      </c>
      <c r="K4034" s="367">
        <f t="shared" si="522"/>
        <v>12208.571428571429</v>
      </c>
      <c r="L4034" s="607">
        <v>0.65</v>
      </c>
      <c r="M4034">
        <v>1.7000000000000002</v>
      </c>
      <c r="N4034" s="381">
        <v>26</v>
      </c>
      <c r="O4034">
        <v>9</v>
      </c>
      <c r="P4034" t="s">
        <v>512</v>
      </c>
      <c r="Q4034" s="97" t="str">
        <f t="shared" si="523"/>
        <v/>
      </c>
      <c r="R4034" t="str">
        <f t="shared" si="524"/>
        <v/>
      </c>
    </row>
    <row r="4035" spans="3:18">
      <c r="C4035" t="str">
        <f t="shared" si="525"/>
        <v/>
      </c>
      <c r="D4035">
        <v>126</v>
      </c>
      <c r="E4035">
        <v>55</v>
      </c>
      <c r="F4035" s="366">
        <f t="shared" si="519"/>
        <v>1193.5</v>
      </c>
      <c r="G4035" s="97">
        <v>4238</v>
      </c>
      <c r="H4035" s="367">
        <f t="shared" si="520"/>
        <v>5431.5</v>
      </c>
      <c r="I4035" s="368">
        <f t="shared" si="521"/>
        <v>0</v>
      </c>
      <c r="J4035">
        <v>16771</v>
      </c>
      <c r="K4035" s="367">
        <f t="shared" si="522"/>
        <v>11979.285714285714</v>
      </c>
      <c r="L4035" s="607">
        <v>0.24000000000000002</v>
      </c>
      <c r="M4035">
        <v>3.7</v>
      </c>
      <c r="N4035" s="381">
        <v>21</v>
      </c>
      <c r="O4035">
        <v>10</v>
      </c>
      <c r="P4035" t="s">
        <v>513</v>
      </c>
      <c r="Q4035" s="97" t="str">
        <f t="shared" si="523"/>
        <v/>
      </c>
      <c r="R4035" t="str">
        <f t="shared" si="524"/>
        <v/>
      </c>
    </row>
    <row r="4036" spans="3:18">
      <c r="C4036" t="str">
        <f t="shared" si="525"/>
        <v/>
      </c>
      <c r="D4036">
        <v>127</v>
      </c>
      <c r="E4036">
        <v>55</v>
      </c>
      <c r="F4036" s="366">
        <f t="shared" si="519"/>
        <v>1193.5</v>
      </c>
      <c r="G4036" s="97">
        <v>4539</v>
      </c>
      <c r="H4036" s="367">
        <f t="shared" si="520"/>
        <v>5732.5</v>
      </c>
      <c r="I4036" s="368">
        <f t="shared" si="521"/>
        <v>0</v>
      </c>
      <c r="J4036">
        <v>17965</v>
      </c>
      <c r="K4036" s="367">
        <f t="shared" si="522"/>
        <v>12832.142857142857</v>
      </c>
      <c r="L4036" s="607">
        <v>0.54</v>
      </c>
      <c r="M4036">
        <v>3.7</v>
      </c>
      <c r="N4036" s="381">
        <v>26</v>
      </c>
      <c r="O4036">
        <v>10</v>
      </c>
      <c r="P4036" t="s">
        <v>512</v>
      </c>
      <c r="Q4036" s="97" t="str">
        <f t="shared" si="523"/>
        <v/>
      </c>
      <c r="R4036" t="str">
        <f t="shared" si="524"/>
        <v/>
      </c>
    </row>
    <row r="4037" spans="3:18">
      <c r="C4037" t="str">
        <f t="shared" si="525"/>
        <v/>
      </c>
      <c r="D4037">
        <v>128</v>
      </c>
      <c r="E4037">
        <v>55</v>
      </c>
      <c r="F4037" s="366">
        <f t="shared" si="519"/>
        <v>1193.5</v>
      </c>
      <c r="G4037" s="97">
        <v>4539</v>
      </c>
      <c r="H4037" s="367">
        <f t="shared" si="520"/>
        <v>5732.5</v>
      </c>
      <c r="I4037" s="368">
        <f t="shared" si="521"/>
        <v>0</v>
      </c>
      <c r="J4037">
        <v>17965</v>
      </c>
      <c r="K4037" s="367">
        <f t="shared" si="522"/>
        <v>12832.142857142857</v>
      </c>
      <c r="L4037" s="607">
        <v>0.54</v>
      </c>
      <c r="M4037">
        <v>3.7</v>
      </c>
      <c r="N4037" s="381">
        <v>26</v>
      </c>
      <c r="O4037">
        <v>10</v>
      </c>
      <c r="P4037" t="s">
        <v>512</v>
      </c>
      <c r="Q4037" s="97" t="str">
        <f t="shared" si="523"/>
        <v/>
      </c>
      <c r="R4037" t="str">
        <f t="shared" si="524"/>
        <v/>
      </c>
    </row>
    <row r="4038" spans="3:18">
      <c r="C4038" t="str">
        <f t="shared" si="525"/>
        <v/>
      </c>
      <c r="D4038">
        <v>129</v>
      </c>
      <c r="E4038">
        <v>60</v>
      </c>
      <c r="F4038" s="366">
        <f t="shared" si="519"/>
        <v>1302</v>
      </c>
      <c r="G4038" s="97">
        <v>1074</v>
      </c>
      <c r="H4038" s="367">
        <f t="shared" si="520"/>
        <v>2376</v>
      </c>
      <c r="I4038" s="368">
        <f t="shared" si="521"/>
        <v>0</v>
      </c>
      <c r="J4038">
        <v>4252</v>
      </c>
      <c r="K4038" s="367">
        <f t="shared" si="522"/>
        <v>3037.1428571428573</v>
      </c>
      <c r="L4038" s="607">
        <v>0.86</v>
      </c>
      <c r="M4038">
        <v>3.4</v>
      </c>
      <c r="N4038" s="381">
        <v>25</v>
      </c>
      <c r="O4038">
        <v>2</v>
      </c>
      <c r="P4038" t="s">
        <v>515</v>
      </c>
      <c r="Q4038" s="97" t="str">
        <f t="shared" si="523"/>
        <v/>
      </c>
      <c r="R4038" t="str">
        <f t="shared" si="524"/>
        <v/>
      </c>
    </row>
    <row r="4039" spans="3:18">
      <c r="C4039" t="str">
        <f t="shared" si="525"/>
        <v>NL</v>
      </c>
      <c r="D4039">
        <v>130</v>
      </c>
      <c r="E4039">
        <v>60</v>
      </c>
      <c r="F4039" s="366">
        <f t="shared" ref="F4039:F4102" si="526">1.085*($A$2-$B$2)*E4039*$T$7</f>
        <v>1302</v>
      </c>
      <c r="G4039" s="97">
        <v>1210</v>
      </c>
      <c r="H4039" s="367">
        <f t="shared" ref="H4039:H4102" si="527">(G4039*$U$7)+F4039</f>
        <v>2512</v>
      </c>
      <c r="I4039" s="368">
        <f t="shared" ref="I4039:I4102" si="528">1.085*($C$2-$D$2)*E4039*$T$7</f>
        <v>0</v>
      </c>
      <c r="J4039">
        <v>4791</v>
      </c>
      <c r="K4039" s="367">
        <f t="shared" ref="K4039:K4102" si="529">(J4039*$V$7)-I4039</f>
        <v>3422.1428571428573</v>
      </c>
      <c r="L4039" s="607">
        <v>0.3</v>
      </c>
      <c r="M4039">
        <v>4.8</v>
      </c>
      <c r="N4039" s="381">
        <v>20</v>
      </c>
      <c r="O4039">
        <v>3</v>
      </c>
      <c r="P4039" t="s">
        <v>515</v>
      </c>
      <c r="Q4039" s="97" t="str">
        <f t="shared" ref="Q4039:Q4102" si="530">IF(AND(H4039+1&gt;$E$4,L4039&lt;$L$4+0.01,M4039&lt;$M$4+0.01,K4039+1&gt;$F$4,E4039+1&gt;$J$4,N4039&lt;$K$4+1,O4039&lt;$P$4+1,C4039=""),D4039,"")</f>
        <v/>
      </c>
      <c r="R4039" t="str">
        <f t="shared" ref="R4039:R4102" si="531">IF(Q4039="","",IF(AND(O4039&lt;$X$36,E4039&gt;$U$36,E4039&lt;$Q$4+$U$36+1),D4039,""))</f>
        <v/>
      </c>
    </row>
    <row r="4040" spans="3:18">
      <c r="C4040" t="str">
        <f t="shared" si="525"/>
        <v>NL</v>
      </c>
      <c r="D4040">
        <v>131</v>
      </c>
      <c r="E4040">
        <v>60</v>
      </c>
      <c r="F4040" s="366">
        <f t="shared" si="526"/>
        <v>1302</v>
      </c>
      <c r="G4040" s="97">
        <v>1653</v>
      </c>
      <c r="H4040" s="367">
        <f t="shared" si="527"/>
        <v>2955</v>
      </c>
      <c r="I4040" s="368">
        <f t="shared" si="528"/>
        <v>0</v>
      </c>
      <c r="J4040">
        <v>6543</v>
      </c>
      <c r="K4040" s="367">
        <f t="shared" si="529"/>
        <v>4673.5714285714284</v>
      </c>
      <c r="L4040" s="607">
        <v>0.93</v>
      </c>
      <c r="M4040">
        <v>4.8</v>
      </c>
      <c r="N4040" s="381">
        <v>25</v>
      </c>
      <c r="O4040">
        <v>3</v>
      </c>
      <c r="P4040" t="s">
        <v>514</v>
      </c>
      <c r="Q4040" s="97" t="str">
        <f t="shared" si="530"/>
        <v/>
      </c>
      <c r="R4040" t="str">
        <f t="shared" si="531"/>
        <v/>
      </c>
    </row>
    <row r="4041" spans="3:18">
      <c r="C4041" t="str">
        <f t="shared" si="525"/>
        <v/>
      </c>
      <c r="D4041">
        <v>132</v>
      </c>
      <c r="E4041">
        <v>60</v>
      </c>
      <c r="F4041" s="366">
        <f t="shared" si="526"/>
        <v>1302</v>
      </c>
      <c r="G4041" s="97">
        <v>1284</v>
      </c>
      <c r="H4041" s="367">
        <f t="shared" si="527"/>
        <v>2586</v>
      </c>
      <c r="I4041" s="368">
        <f t="shared" si="528"/>
        <v>0</v>
      </c>
      <c r="J4041">
        <v>5082</v>
      </c>
      <c r="K4041" s="367">
        <f t="shared" si="529"/>
        <v>3630</v>
      </c>
      <c r="L4041" s="607">
        <v>0.16</v>
      </c>
      <c r="M4041">
        <v>6.1</v>
      </c>
      <c r="N4041" s="381">
        <v>17</v>
      </c>
      <c r="O4041">
        <v>4</v>
      </c>
      <c r="P4041" t="s">
        <v>515</v>
      </c>
      <c r="Q4041" s="97" t="str">
        <f t="shared" si="530"/>
        <v/>
      </c>
      <c r="R4041" t="str">
        <f t="shared" si="531"/>
        <v/>
      </c>
    </row>
    <row r="4042" spans="3:18">
      <c r="C4042" t="str">
        <f t="shared" si="525"/>
        <v/>
      </c>
      <c r="D4042">
        <v>133</v>
      </c>
      <c r="E4042">
        <v>60</v>
      </c>
      <c r="F4042" s="366">
        <f t="shared" si="526"/>
        <v>1302</v>
      </c>
      <c r="G4042" s="97">
        <v>1793</v>
      </c>
      <c r="H4042" s="367">
        <f t="shared" si="527"/>
        <v>3095</v>
      </c>
      <c r="I4042" s="368">
        <f t="shared" si="528"/>
        <v>0</v>
      </c>
      <c r="J4042">
        <v>7096</v>
      </c>
      <c r="K4042" s="367">
        <f t="shared" si="529"/>
        <v>5068.5714285714284</v>
      </c>
      <c r="L4042" s="607">
        <v>0.47000000000000003</v>
      </c>
      <c r="M4042">
        <v>6.1</v>
      </c>
      <c r="N4042" s="381">
        <v>21</v>
      </c>
      <c r="O4042">
        <v>4</v>
      </c>
      <c r="P4042" t="s">
        <v>514</v>
      </c>
      <c r="Q4042" s="97">
        <f t="shared" si="530"/>
        <v>133</v>
      </c>
      <c r="R4042" t="str">
        <f t="shared" si="531"/>
        <v/>
      </c>
    </row>
    <row r="4043" spans="3:18">
      <c r="C4043" t="str">
        <f t="shared" si="525"/>
        <v>NL</v>
      </c>
      <c r="D4043">
        <v>134</v>
      </c>
      <c r="E4043">
        <v>60</v>
      </c>
      <c r="F4043" s="366">
        <f t="shared" si="526"/>
        <v>1302</v>
      </c>
      <c r="G4043" s="97">
        <v>2122</v>
      </c>
      <c r="H4043" s="367">
        <f t="shared" si="527"/>
        <v>3424</v>
      </c>
      <c r="I4043" s="368">
        <f t="shared" si="528"/>
        <v>0</v>
      </c>
      <c r="J4043">
        <v>8397</v>
      </c>
      <c r="K4043" s="367">
        <f t="shared" si="529"/>
        <v>5997.8571428571431</v>
      </c>
      <c r="L4043" s="607">
        <v>0.3</v>
      </c>
      <c r="M4043">
        <v>7.3999999999999995</v>
      </c>
      <c r="N4043" s="381">
        <v>20</v>
      </c>
      <c r="O4043">
        <v>5</v>
      </c>
      <c r="P4043" t="s">
        <v>514</v>
      </c>
      <c r="Q4043" s="97" t="str">
        <f t="shared" si="530"/>
        <v/>
      </c>
      <c r="R4043" t="str">
        <f t="shared" si="531"/>
        <v/>
      </c>
    </row>
    <row r="4044" spans="3:18">
      <c r="C4044" t="str">
        <f t="shared" si="525"/>
        <v>NL</v>
      </c>
      <c r="D4044">
        <v>135</v>
      </c>
      <c r="E4044">
        <v>60</v>
      </c>
      <c r="F4044" s="366">
        <f t="shared" si="526"/>
        <v>1302</v>
      </c>
      <c r="G4044" s="97">
        <v>2734</v>
      </c>
      <c r="H4044" s="367">
        <f t="shared" si="527"/>
        <v>4036</v>
      </c>
      <c r="I4044" s="368">
        <f t="shared" si="528"/>
        <v>0</v>
      </c>
      <c r="J4044">
        <v>10821</v>
      </c>
      <c r="K4044" s="367">
        <f t="shared" si="529"/>
        <v>7729.2857142857147</v>
      </c>
      <c r="L4044" s="607">
        <v>1</v>
      </c>
      <c r="M4044">
        <v>7.3999999999999995</v>
      </c>
      <c r="N4044" s="381">
        <v>25</v>
      </c>
      <c r="O4044">
        <v>5</v>
      </c>
      <c r="P4044" t="s">
        <v>513</v>
      </c>
      <c r="Q4044" s="97" t="str">
        <f t="shared" si="530"/>
        <v/>
      </c>
      <c r="R4044" t="str">
        <f t="shared" si="531"/>
        <v/>
      </c>
    </row>
    <row r="4045" spans="3:18">
      <c r="C4045" t="str">
        <f t="shared" si="525"/>
        <v/>
      </c>
      <c r="D4045">
        <v>136</v>
      </c>
      <c r="E4045">
        <v>60</v>
      </c>
      <c r="F4045" s="366">
        <f t="shared" si="526"/>
        <v>1302</v>
      </c>
      <c r="G4045" s="97">
        <v>1983</v>
      </c>
      <c r="H4045" s="367">
        <f t="shared" si="527"/>
        <v>3285</v>
      </c>
      <c r="I4045" s="368">
        <f t="shared" si="528"/>
        <v>0</v>
      </c>
      <c r="J4045">
        <v>7850</v>
      </c>
      <c r="K4045" s="367">
        <f t="shared" si="529"/>
        <v>5607.1428571428569</v>
      </c>
      <c r="L4045" s="607">
        <v>0.21000000000000002</v>
      </c>
      <c r="M4045">
        <v>8.6999999999999993</v>
      </c>
      <c r="N4045" s="381">
        <v>20</v>
      </c>
      <c r="O4045">
        <v>6</v>
      </c>
      <c r="P4045" t="s">
        <v>514</v>
      </c>
      <c r="Q4045" s="97">
        <f t="shared" si="530"/>
        <v>136</v>
      </c>
      <c r="R4045" t="str">
        <f t="shared" si="531"/>
        <v/>
      </c>
    </row>
    <row r="4046" spans="3:18">
      <c r="C4046" t="str">
        <f t="shared" si="525"/>
        <v/>
      </c>
      <c r="D4046">
        <v>137</v>
      </c>
      <c r="E4046">
        <v>60</v>
      </c>
      <c r="F4046" s="366">
        <f t="shared" si="526"/>
        <v>1302</v>
      </c>
      <c r="G4046" s="97">
        <v>2679</v>
      </c>
      <c r="H4046" s="367">
        <f t="shared" si="527"/>
        <v>3981</v>
      </c>
      <c r="I4046" s="368">
        <f t="shared" si="528"/>
        <v>0</v>
      </c>
      <c r="J4046">
        <v>10604</v>
      </c>
      <c r="K4046" s="367">
        <f t="shared" si="529"/>
        <v>7574.2857142857147</v>
      </c>
      <c r="L4046" s="607">
        <v>0.71</v>
      </c>
      <c r="M4046">
        <v>8.6999999999999993</v>
      </c>
      <c r="N4046" s="381">
        <v>24</v>
      </c>
      <c r="O4046">
        <v>6</v>
      </c>
      <c r="P4046" t="s">
        <v>513</v>
      </c>
      <c r="Q4046" s="97">
        <f t="shared" si="530"/>
        <v>137</v>
      </c>
      <c r="R4046" t="str">
        <f t="shared" si="531"/>
        <v/>
      </c>
    </row>
    <row r="4047" spans="3:18">
      <c r="C4047" t="str">
        <f t="shared" si="525"/>
        <v>NL</v>
      </c>
      <c r="D4047">
        <v>138</v>
      </c>
      <c r="E4047">
        <v>60</v>
      </c>
      <c r="F4047" s="366">
        <f t="shared" si="526"/>
        <v>1302</v>
      </c>
      <c r="G4047" s="97">
        <v>2739</v>
      </c>
      <c r="H4047" s="367">
        <f t="shared" si="527"/>
        <v>4041</v>
      </c>
      <c r="I4047" s="368">
        <f t="shared" si="528"/>
        <v>0</v>
      </c>
      <c r="J4047">
        <v>10841</v>
      </c>
      <c r="K4047" s="367">
        <f t="shared" si="529"/>
        <v>7743.5714285714284</v>
      </c>
      <c r="L4047" s="607">
        <v>0.16</v>
      </c>
      <c r="M4047">
        <v>1.3</v>
      </c>
      <c r="N4047" s="381">
        <v>19</v>
      </c>
      <c r="O4047">
        <v>7</v>
      </c>
      <c r="P4047" t="s">
        <v>514</v>
      </c>
      <c r="Q4047" s="97" t="str">
        <f t="shared" si="530"/>
        <v/>
      </c>
      <c r="R4047" t="str">
        <f t="shared" si="531"/>
        <v/>
      </c>
    </row>
    <row r="4048" spans="3:18">
      <c r="C4048" t="str">
        <f t="shared" si="525"/>
        <v>NL</v>
      </c>
      <c r="D4048">
        <v>139</v>
      </c>
      <c r="E4048">
        <v>60</v>
      </c>
      <c r="F4048" s="366">
        <f t="shared" si="526"/>
        <v>1302</v>
      </c>
      <c r="G4048" s="97">
        <v>3611</v>
      </c>
      <c r="H4048" s="367">
        <f t="shared" si="527"/>
        <v>4913</v>
      </c>
      <c r="I4048" s="368">
        <f t="shared" si="528"/>
        <v>0</v>
      </c>
      <c r="J4048">
        <v>14290</v>
      </c>
      <c r="K4048" s="367">
        <f t="shared" si="529"/>
        <v>10207.142857142857</v>
      </c>
      <c r="L4048" s="607">
        <v>0.53</v>
      </c>
      <c r="M4048">
        <v>1.3</v>
      </c>
      <c r="N4048" s="381">
        <v>24</v>
      </c>
      <c r="O4048">
        <v>7</v>
      </c>
      <c r="P4048" t="s">
        <v>513</v>
      </c>
      <c r="Q4048" s="97" t="str">
        <f t="shared" si="530"/>
        <v/>
      </c>
      <c r="R4048" t="str">
        <f t="shared" si="531"/>
        <v/>
      </c>
    </row>
    <row r="4049" spans="3:18">
      <c r="C4049" t="str">
        <f t="shared" si="525"/>
        <v/>
      </c>
      <c r="D4049">
        <v>140</v>
      </c>
      <c r="E4049">
        <v>60</v>
      </c>
      <c r="F4049" s="366">
        <f t="shared" si="526"/>
        <v>1302</v>
      </c>
      <c r="G4049" s="97">
        <v>3164</v>
      </c>
      <c r="H4049" s="367">
        <f t="shared" si="527"/>
        <v>4466</v>
      </c>
      <c r="I4049" s="368">
        <f t="shared" si="528"/>
        <v>0</v>
      </c>
      <c r="J4049">
        <v>12521</v>
      </c>
      <c r="K4049" s="367">
        <f t="shared" si="529"/>
        <v>8943.5714285714294</v>
      </c>
      <c r="L4049" s="607">
        <v>0.41000000000000003</v>
      </c>
      <c r="M4049">
        <v>2.8000000000000003</v>
      </c>
      <c r="N4049" s="381">
        <v>23</v>
      </c>
      <c r="O4049">
        <v>8</v>
      </c>
      <c r="P4049" t="s">
        <v>513</v>
      </c>
      <c r="Q4049" s="97">
        <f t="shared" si="530"/>
        <v>140</v>
      </c>
      <c r="R4049" t="str">
        <f t="shared" si="531"/>
        <v/>
      </c>
    </row>
    <row r="4050" spans="3:18">
      <c r="C4050" t="str">
        <f t="shared" si="525"/>
        <v/>
      </c>
      <c r="D4050">
        <v>141</v>
      </c>
      <c r="E4050">
        <v>60</v>
      </c>
      <c r="F4050" s="366">
        <f t="shared" si="526"/>
        <v>1302</v>
      </c>
      <c r="G4050" s="97">
        <v>3401</v>
      </c>
      <c r="H4050" s="367">
        <f t="shared" si="527"/>
        <v>4703</v>
      </c>
      <c r="I4050" s="368">
        <f t="shared" si="528"/>
        <v>0</v>
      </c>
      <c r="J4050">
        <v>13461</v>
      </c>
      <c r="K4050" s="367">
        <f t="shared" si="529"/>
        <v>9615</v>
      </c>
      <c r="L4050" s="607">
        <v>0.96</v>
      </c>
      <c r="M4050">
        <v>2.8000000000000003</v>
      </c>
      <c r="N4050" s="381">
        <v>28</v>
      </c>
      <c r="O4050">
        <v>8</v>
      </c>
      <c r="P4050" t="s">
        <v>512</v>
      </c>
      <c r="Q4050" s="97" t="str">
        <f t="shared" si="530"/>
        <v/>
      </c>
      <c r="R4050" t="str">
        <f t="shared" si="531"/>
        <v/>
      </c>
    </row>
    <row r="4051" spans="3:18">
      <c r="C4051" t="str">
        <f t="shared" si="525"/>
        <v>NL</v>
      </c>
      <c r="D4051">
        <v>142</v>
      </c>
      <c r="E4051">
        <v>60</v>
      </c>
      <c r="F4051" s="366">
        <f t="shared" si="526"/>
        <v>1302</v>
      </c>
      <c r="G4051" s="97">
        <v>4292</v>
      </c>
      <c r="H4051" s="367">
        <f t="shared" si="527"/>
        <v>5594</v>
      </c>
      <c r="I4051" s="368">
        <f t="shared" si="528"/>
        <v>0</v>
      </c>
      <c r="J4051">
        <v>16985</v>
      </c>
      <c r="K4051" s="367">
        <f t="shared" si="529"/>
        <v>12132.142857142857</v>
      </c>
      <c r="L4051" s="607">
        <v>0.33</v>
      </c>
      <c r="M4051">
        <v>1.7000000000000002</v>
      </c>
      <c r="N4051" s="381">
        <v>23</v>
      </c>
      <c r="O4051">
        <v>9</v>
      </c>
      <c r="P4051" t="s">
        <v>513</v>
      </c>
      <c r="Q4051" s="97" t="str">
        <f t="shared" si="530"/>
        <v/>
      </c>
      <c r="R4051" t="str">
        <f t="shared" si="531"/>
        <v/>
      </c>
    </row>
    <row r="4052" spans="3:18">
      <c r="C4052" t="str">
        <f t="shared" si="525"/>
        <v>NL</v>
      </c>
      <c r="D4052">
        <v>143</v>
      </c>
      <c r="E4052">
        <v>60</v>
      </c>
      <c r="F4052" s="366">
        <f t="shared" si="526"/>
        <v>1302</v>
      </c>
      <c r="G4052" s="97">
        <v>4588</v>
      </c>
      <c r="H4052" s="367">
        <f t="shared" si="527"/>
        <v>5890</v>
      </c>
      <c r="I4052" s="368">
        <f t="shared" si="528"/>
        <v>0</v>
      </c>
      <c r="J4052">
        <v>18157</v>
      </c>
      <c r="K4052" s="367">
        <f t="shared" si="529"/>
        <v>12969.285714285714</v>
      </c>
      <c r="L4052" s="607">
        <v>0.78</v>
      </c>
      <c r="M4052">
        <v>1.7000000000000002</v>
      </c>
      <c r="N4052" s="381">
        <v>28</v>
      </c>
      <c r="O4052">
        <v>9</v>
      </c>
      <c r="P4052" t="s">
        <v>512</v>
      </c>
      <c r="Q4052" s="97" t="str">
        <f t="shared" si="530"/>
        <v/>
      </c>
      <c r="R4052" t="str">
        <f t="shared" si="531"/>
        <v/>
      </c>
    </row>
    <row r="4053" spans="3:18">
      <c r="C4053" t="str">
        <f t="shared" si="525"/>
        <v/>
      </c>
      <c r="D4053">
        <v>144</v>
      </c>
      <c r="E4053">
        <v>60</v>
      </c>
      <c r="F4053" s="366">
        <f t="shared" si="526"/>
        <v>1302</v>
      </c>
      <c r="G4053" s="97">
        <v>4512</v>
      </c>
      <c r="H4053" s="367">
        <f t="shared" si="527"/>
        <v>5814</v>
      </c>
      <c r="I4053" s="368">
        <f t="shared" si="528"/>
        <v>0</v>
      </c>
      <c r="J4053">
        <v>17857</v>
      </c>
      <c r="K4053" s="367">
        <f t="shared" si="529"/>
        <v>12755</v>
      </c>
      <c r="L4053" s="607">
        <v>0.28000000000000003</v>
      </c>
      <c r="M4053">
        <v>3.7</v>
      </c>
      <c r="N4053" s="381">
        <v>22</v>
      </c>
      <c r="O4053">
        <v>10</v>
      </c>
      <c r="P4053" t="s">
        <v>513</v>
      </c>
      <c r="Q4053" s="97" t="str">
        <f t="shared" si="530"/>
        <v/>
      </c>
      <c r="R4053" t="str">
        <f t="shared" si="531"/>
        <v/>
      </c>
    </row>
    <row r="4054" spans="3:18">
      <c r="C4054" t="str">
        <f t="shared" ref="C4054:C4117" si="532">IF(OR($O$4=0,O4054-$O$4=0),IF(AND(ISEVEN(O4054)=FALSE,$N$4="Even"),"NL",""),"NL")</f>
        <v/>
      </c>
      <c r="D4054">
        <v>145</v>
      </c>
      <c r="E4054">
        <v>60</v>
      </c>
      <c r="F4054" s="366">
        <f t="shared" si="526"/>
        <v>1302</v>
      </c>
      <c r="G4054" s="97">
        <v>4841</v>
      </c>
      <c r="H4054" s="367">
        <f t="shared" si="527"/>
        <v>6143</v>
      </c>
      <c r="I4054" s="368">
        <f t="shared" si="528"/>
        <v>0</v>
      </c>
      <c r="J4054">
        <v>19159</v>
      </c>
      <c r="K4054" s="367">
        <f t="shared" si="529"/>
        <v>13685</v>
      </c>
      <c r="L4054" s="607">
        <v>0.64</v>
      </c>
      <c r="M4054">
        <v>3.7</v>
      </c>
      <c r="N4054" s="381">
        <v>27</v>
      </c>
      <c r="O4054">
        <v>10</v>
      </c>
      <c r="P4054" t="s">
        <v>512</v>
      </c>
      <c r="Q4054" s="97" t="str">
        <f t="shared" si="530"/>
        <v/>
      </c>
      <c r="R4054" t="str">
        <f t="shared" si="531"/>
        <v/>
      </c>
    </row>
    <row r="4055" spans="3:18">
      <c r="C4055" t="str">
        <f t="shared" si="532"/>
        <v/>
      </c>
      <c r="D4055">
        <v>146</v>
      </c>
      <c r="E4055">
        <v>60</v>
      </c>
      <c r="F4055" s="366">
        <f t="shared" si="526"/>
        <v>1302</v>
      </c>
      <c r="G4055" s="97">
        <v>4841</v>
      </c>
      <c r="H4055" s="367">
        <f t="shared" si="527"/>
        <v>6143</v>
      </c>
      <c r="I4055" s="368">
        <f t="shared" si="528"/>
        <v>0</v>
      </c>
      <c r="J4055">
        <v>19159</v>
      </c>
      <c r="K4055" s="367">
        <f t="shared" si="529"/>
        <v>13685</v>
      </c>
      <c r="L4055" s="607">
        <v>0.64</v>
      </c>
      <c r="M4055">
        <v>3.7</v>
      </c>
      <c r="N4055" s="381">
        <v>27</v>
      </c>
      <c r="O4055">
        <v>10</v>
      </c>
      <c r="P4055" t="s">
        <v>512</v>
      </c>
      <c r="Q4055" s="97" t="str">
        <f t="shared" si="530"/>
        <v/>
      </c>
      <c r="R4055" t="str">
        <f t="shared" si="531"/>
        <v/>
      </c>
    </row>
    <row r="4056" spans="3:18">
      <c r="C4056" t="str">
        <f t="shared" si="532"/>
        <v/>
      </c>
      <c r="D4056">
        <v>147</v>
      </c>
      <c r="E4056">
        <v>65</v>
      </c>
      <c r="F4056" s="366">
        <f t="shared" si="526"/>
        <v>1410.5</v>
      </c>
      <c r="G4056" s="97">
        <v>1138</v>
      </c>
      <c r="H4056" s="367">
        <f t="shared" si="527"/>
        <v>2548.5</v>
      </c>
      <c r="I4056" s="368">
        <f t="shared" si="528"/>
        <v>0</v>
      </c>
      <c r="J4056">
        <v>4503</v>
      </c>
      <c r="K4056" s="367">
        <f t="shared" si="529"/>
        <v>3216.4285714285716</v>
      </c>
      <c r="L4056" s="607">
        <v>1</v>
      </c>
      <c r="M4056">
        <v>3.4</v>
      </c>
      <c r="N4056" s="381">
        <v>26</v>
      </c>
      <c r="O4056">
        <v>2</v>
      </c>
      <c r="P4056" t="s">
        <v>515</v>
      </c>
      <c r="Q4056" s="97" t="str">
        <f t="shared" si="530"/>
        <v/>
      </c>
      <c r="R4056" t="str">
        <f t="shared" si="531"/>
        <v/>
      </c>
    </row>
    <row r="4057" spans="3:18">
      <c r="C4057" t="str">
        <f t="shared" si="532"/>
        <v>NL</v>
      </c>
      <c r="D4057">
        <v>148</v>
      </c>
      <c r="E4057">
        <v>65</v>
      </c>
      <c r="F4057" s="366">
        <f t="shared" si="526"/>
        <v>1410.5</v>
      </c>
      <c r="G4057" s="97">
        <v>1287</v>
      </c>
      <c r="H4057" s="367">
        <f t="shared" si="527"/>
        <v>2697.5</v>
      </c>
      <c r="I4057" s="368">
        <f t="shared" si="528"/>
        <v>0</v>
      </c>
      <c r="J4057">
        <v>5096</v>
      </c>
      <c r="K4057" s="367">
        <f t="shared" si="529"/>
        <v>3640</v>
      </c>
      <c r="L4057" s="607">
        <v>0.35000000000000003</v>
      </c>
      <c r="M4057">
        <v>4.8</v>
      </c>
      <c r="N4057" s="381">
        <v>21</v>
      </c>
      <c r="O4057">
        <v>3</v>
      </c>
      <c r="P4057" t="s">
        <v>515</v>
      </c>
      <c r="Q4057" s="97" t="str">
        <f t="shared" si="530"/>
        <v/>
      </c>
      <c r="R4057" t="str">
        <f t="shared" si="531"/>
        <v/>
      </c>
    </row>
    <row r="4058" spans="3:18">
      <c r="C4058" t="str">
        <f t="shared" si="532"/>
        <v/>
      </c>
      <c r="D4058">
        <v>149</v>
      </c>
      <c r="E4058">
        <v>65</v>
      </c>
      <c r="F4058" s="366">
        <f t="shared" si="526"/>
        <v>1410.5</v>
      </c>
      <c r="G4058" s="97">
        <v>1371</v>
      </c>
      <c r="H4058" s="367">
        <f t="shared" si="527"/>
        <v>2781.5</v>
      </c>
      <c r="I4058" s="368">
        <f t="shared" si="528"/>
        <v>0</v>
      </c>
      <c r="J4058">
        <v>5428</v>
      </c>
      <c r="K4058" s="367">
        <f t="shared" si="529"/>
        <v>3877.1428571428573</v>
      </c>
      <c r="L4058" s="607">
        <v>0.18000000000000002</v>
      </c>
      <c r="M4058">
        <v>6.1</v>
      </c>
      <c r="N4058" s="381">
        <v>18</v>
      </c>
      <c r="O4058">
        <v>4</v>
      </c>
      <c r="P4058" t="s">
        <v>515</v>
      </c>
      <c r="Q4058" s="97" t="str">
        <f t="shared" si="530"/>
        <v/>
      </c>
      <c r="R4058" t="str">
        <f t="shared" si="531"/>
        <v/>
      </c>
    </row>
    <row r="4059" spans="3:18">
      <c r="C4059" t="str">
        <f t="shared" si="532"/>
        <v/>
      </c>
      <c r="D4059">
        <v>150</v>
      </c>
      <c r="E4059">
        <v>65</v>
      </c>
      <c r="F4059" s="366">
        <f t="shared" si="526"/>
        <v>1410.5</v>
      </c>
      <c r="G4059" s="97">
        <v>1901</v>
      </c>
      <c r="H4059" s="367">
        <f t="shared" si="527"/>
        <v>3311.5</v>
      </c>
      <c r="I4059" s="368">
        <f t="shared" si="528"/>
        <v>0</v>
      </c>
      <c r="J4059">
        <v>7523</v>
      </c>
      <c r="K4059" s="367">
        <f t="shared" si="529"/>
        <v>5373.5714285714284</v>
      </c>
      <c r="L4059" s="607">
        <v>0.55000000000000004</v>
      </c>
      <c r="M4059">
        <v>6.1</v>
      </c>
      <c r="N4059" s="381">
        <v>22</v>
      </c>
      <c r="O4059">
        <v>4</v>
      </c>
      <c r="P4059" t="s">
        <v>514</v>
      </c>
      <c r="Q4059" s="97">
        <f t="shared" si="530"/>
        <v>150</v>
      </c>
      <c r="R4059" t="str">
        <f t="shared" si="531"/>
        <v/>
      </c>
    </row>
    <row r="4060" spans="3:18">
      <c r="C4060" t="str">
        <f t="shared" si="532"/>
        <v>NL</v>
      </c>
      <c r="D4060">
        <v>151</v>
      </c>
      <c r="E4060">
        <v>65</v>
      </c>
      <c r="F4060" s="366">
        <f t="shared" si="526"/>
        <v>1410.5</v>
      </c>
      <c r="G4060" s="97">
        <v>2245</v>
      </c>
      <c r="H4060" s="367">
        <f t="shared" si="527"/>
        <v>3655.5</v>
      </c>
      <c r="I4060" s="368">
        <f t="shared" si="528"/>
        <v>0</v>
      </c>
      <c r="J4060">
        <v>8884</v>
      </c>
      <c r="K4060" s="367">
        <f t="shared" si="529"/>
        <v>6345.7142857142862</v>
      </c>
      <c r="L4060" s="607">
        <v>0.35000000000000003</v>
      </c>
      <c r="M4060">
        <v>7.3999999999999995</v>
      </c>
      <c r="N4060" s="381">
        <v>21</v>
      </c>
      <c r="O4060">
        <v>5</v>
      </c>
      <c r="P4060" t="s">
        <v>514</v>
      </c>
      <c r="Q4060" s="97" t="str">
        <f t="shared" si="530"/>
        <v/>
      </c>
      <c r="R4060" t="str">
        <f t="shared" si="531"/>
        <v/>
      </c>
    </row>
    <row r="4061" spans="3:18">
      <c r="C4061" t="str">
        <f t="shared" si="532"/>
        <v/>
      </c>
      <c r="D4061">
        <v>152</v>
      </c>
      <c r="E4061">
        <v>65</v>
      </c>
      <c r="F4061" s="366">
        <f t="shared" si="526"/>
        <v>1410.5</v>
      </c>
      <c r="G4061" s="97">
        <v>2103</v>
      </c>
      <c r="H4061" s="367">
        <f t="shared" si="527"/>
        <v>3513.5</v>
      </c>
      <c r="I4061" s="368">
        <f t="shared" si="528"/>
        <v>0</v>
      </c>
      <c r="J4061">
        <v>8322</v>
      </c>
      <c r="K4061" s="367">
        <f t="shared" si="529"/>
        <v>5944.2857142857147</v>
      </c>
      <c r="L4061" s="607">
        <v>0.25</v>
      </c>
      <c r="M4061">
        <v>8.6999999999999993</v>
      </c>
      <c r="N4061" s="381">
        <v>21</v>
      </c>
      <c r="O4061">
        <v>6</v>
      </c>
      <c r="P4061" t="s">
        <v>514</v>
      </c>
      <c r="Q4061" s="97">
        <f t="shared" si="530"/>
        <v>152</v>
      </c>
      <c r="R4061" t="str">
        <f t="shared" si="531"/>
        <v/>
      </c>
    </row>
    <row r="4062" spans="3:18">
      <c r="C4062" t="str">
        <f t="shared" si="532"/>
        <v/>
      </c>
      <c r="D4062">
        <v>153</v>
      </c>
      <c r="E4062">
        <v>65</v>
      </c>
      <c r="F4062" s="366">
        <f t="shared" si="526"/>
        <v>1410.5</v>
      </c>
      <c r="G4062" s="97">
        <v>2837</v>
      </c>
      <c r="H4062" s="367">
        <f t="shared" si="527"/>
        <v>4247.5</v>
      </c>
      <c r="I4062" s="368">
        <f t="shared" si="528"/>
        <v>0</v>
      </c>
      <c r="J4062">
        <v>11226</v>
      </c>
      <c r="K4062" s="367">
        <f t="shared" si="529"/>
        <v>8018.5714285714284</v>
      </c>
      <c r="L4062" s="607">
        <v>0.83</v>
      </c>
      <c r="M4062">
        <v>8.6999999999999993</v>
      </c>
      <c r="N4062" s="381">
        <v>25</v>
      </c>
      <c r="O4062">
        <v>6</v>
      </c>
      <c r="P4062" t="s">
        <v>513</v>
      </c>
      <c r="Q4062" s="97" t="str">
        <f t="shared" si="530"/>
        <v/>
      </c>
      <c r="R4062" t="str">
        <f t="shared" si="531"/>
        <v/>
      </c>
    </row>
    <row r="4063" spans="3:18">
      <c r="C4063" t="str">
        <f t="shared" si="532"/>
        <v>NL</v>
      </c>
      <c r="D4063">
        <v>154</v>
      </c>
      <c r="E4063">
        <v>65</v>
      </c>
      <c r="F4063" s="366">
        <f t="shared" si="526"/>
        <v>1410.5</v>
      </c>
      <c r="G4063" s="97">
        <v>2907</v>
      </c>
      <c r="H4063" s="367">
        <f t="shared" si="527"/>
        <v>4317.5</v>
      </c>
      <c r="I4063" s="368">
        <f t="shared" si="528"/>
        <v>0</v>
      </c>
      <c r="J4063">
        <v>11506</v>
      </c>
      <c r="K4063" s="367">
        <f t="shared" si="529"/>
        <v>8218.5714285714294</v>
      </c>
      <c r="L4063" s="607">
        <v>0.19</v>
      </c>
      <c r="M4063">
        <v>1.3</v>
      </c>
      <c r="N4063" s="381">
        <v>20</v>
      </c>
      <c r="O4063">
        <v>7</v>
      </c>
      <c r="P4063" t="s">
        <v>514</v>
      </c>
      <c r="Q4063" s="97" t="str">
        <f t="shared" si="530"/>
        <v/>
      </c>
      <c r="R4063" t="str">
        <f t="shared" si="531"/>
        <v/>
      </c>
    </row>
    <row r="4064" spans="3:18">
      <c r="C4064" t="str">
        <f t="shared" si="532"/>
        <v>NL</v>
      </c>
      <c r="D4064">
        <v>155</v>
      </c>
      <c r="E4064">
        <v>65</v>
      </c>
      <c r="F4064" s="366">
        <f t="shared" si="526"/>
        <v>1410.5</v>
      </c>
      <c r="G4064" s="97">
        <v>3823</v>
      </c>
      <c r="H4064" s="367">
        <f t="shared" si="527"/>
        <v>5233.5</v>
      </c>
      <c r="I4064" s="368">
        <f t="shared" si="528"/>
        <v>0</v>
      </c>
      <c r="J4064">
        <v>15130</v>
      </c>
      <c r="K4064" s="367">
        <f t="shared" si="529"/>
        <v>10807.142857142857</v>
      </c>
      <c r="L4064" s="607">
        <v>0.62</v>
      </c>
      <c r="M4064">
        <v>1.3</v>
      </c>
      <c r="N4064" s="381">
        <v>25</v>
      </c>
      <c r="O4064">
        <v>7</v>
      </c>
      <c r="P4064" t="s">
        <v>513</v>
      </c>
      <c r="Q4064" s="97" t="str">
        <f t="shared" si="530"/>
        <v/>
      </c>
      <c r="R4064" t="str">
        <f t="shared" si="531"/>
        <v/>
      </c>
    </row>
    <row r="4065" spans="3:18">
      <c r="C4065" t="str">
        <f t="shared" si="532"/>
        <v/>
      </c>
      <c r="D4065">
        <v>156</v>
      </c>
      <c r="E4065">
        <v>65</v>
      </c>
      <c r="F4065" s="366">
        <f t="shared" si="526"/>
        <v>1410.5</v>
      </c>
      <c r="G4065" s="97">
        <v>3355</v>
      </c>
      <c r="H4065" s="367">
        <f t="shared" si="527"/>
        <v>4765.5</v>
      </c>
      <c r="I4065" s="368">
        <f t="shared" si="528"/>
        <v>0</v>
      </c>
      <c r="J4065">
        <v>13278</v>
      </c>
      <c r="K4065" s="367">
        <f t="shared" si="529"/>
        <v>9484.2857142857138</v>
      </c>
      <c r="L4065" s="607">
        <v>0.48</v>
      </c>
      <c r="M4065">
        <v>2.8000000000000003</v>
      </c>
      <c r="N4065" s="381">
        <v>24</v>
      </c>
      <c r="O4065">
        <v>8</v>
      </c>
      <c r="P4065" t="s">
        <v>513</v>
      </c>
      <c r="Q4065" s="97">
        <f t="shared" si="530"/>
        <v>156</v>
      </c>
      <c r="R4065" t="str">
        <f t="shared" si="531"/>
        <v/>
      </c>
    </row>
    <row r="4066" spans="3:18">
      <c r="C4066" t="str">
        <f t="shared" si="532"/>
        <v>NL</v>
      </c>
      <c r="D4066">
        <v>157</v>
      </c>
      <c r="E4066">
        <v>65</v>
      </c>
      <c r="F4066" s="366">
        <f t="shared" si="526"/>
        <v>1410.5</v>
      </c>
      <c r="G4066" s="97">
        <v>4541</v>
      </c>
      <c r="H4066" s="367">
        <f t="shared" si="527"/>
        <v>5951.5</v>
      </c>
      <c r="I4066" s="368">
        <f t="shared" si="528"/>
        <v>0</v>
      </c>
      <c r="J4066">
        <v>17971</v>
      </c>
      <c r="K4066" s="367">
        <f t="shared" si="529"/>
        <v>12836.428571428572</v>
      </c>
      <c r="L4066" s="607">
        <v>0.39</v>
      </c>
      <c r="M4066">
        <v>1.7000000000000002</v>
      </c>
      <c r="N4066" s="381">
        <v>24</v>
      </c>
      <c r="O4066">
        <v>9</v>
      </c>
      <c r="P4066" t="s">
        <v>513</v>
      </c>
      <c r="Q4066" s="97" t="str">
        <f t="shared" si="530"/>
        <v/>
      </c>
      <c r="R4066" t="str">
        <f t="shared" si="531"/>
        <v/>
      </c>
    </row>
    <row r="4067" spans="3:18">
      <c r="C4067" t="str">
        <f t="shared" si="532"/>
        <v>NL</v>
      </c>
      <c r="D4067">
        <v>158</v>
      </c>
      <c r="E4067">
        <v>65</v>
      </c>
      <c r="F4067" s="366">
        <f t="shared" si="526"/>
        <v>1410.5</v>
      </c>
      <c r="G4067" s="97">
        <v>4847</v>
      </c>
      <c r="H4067" s="367">
        <f t="shared" si="527"/>
        <v>6257.5</v>
      </c>
      <c r="I4067" s="368">
        <f t="shared" si="528"/>
        <v>0</v>
      </c>
      <c r="J4067">
        <v>19183</v>
      </c>
      <c r="K4067" s="367">
        <f t="shared" si="529"/>
        <v>13702.142857142857</v>
      </c>
      <c r="L4067" s="607">
        <v>0.91</v>
      </c>
      <c r="M4067">
        <v>1.7000000000000002</v>
      </c>
      <c r="N4067" s="381">
        <v>29</v>
      </c>
      <c r="O4067">
        <v>9</v>
      </c>
      <c r="P4067" t="s">
        <v>512</v>
      </c>
      <c r="Q4067" s="97" t="str">
        <f t="shared" si="530"/>
        <v/>
      </c>
      <c r="R4067" t="str">
        <f t="shared" si="531"/>
        <v/>
      </c>
    </row>
    <row r="4068" spans="3:18">
      <c r="C4068" t="str">
        <f t="shared" si="532"/>
        <v/>
      </c>
      <c r="D4068">
        <v>159</v>
      </c>
      <c r="E4068">
        <v>65</v>
      </c>
      <c r="F4068" s="366">
        <f t="shared" si="526"/>
        <v>1410.5</v>
      </c>
      <c r="G4068" s="97">
        <v>4786</v>
      </c>
      <c r="H4068" s="367">
        <f t="shared" si="527"/>
        <v>6196.5</v>
      </c>
      <c r="I4068" s="368">
        <f t="shared" si="528"/>
        <v>0</v>
      </c>
      <c r="J4068">
        <v>18942</v>
      </c>
      <c r="K4068" s="367">
        <f t="shared" si="529"/>
        <v>13530</v>
      </c>
      <c r="L4068" s="607">
        <v>0.33</v>
      </c>
      <c r="M4068">
        <v>3.7</v>
      </c>
      <c r="N4068" s="381">
        <v>24</v>
      </c>
      <c r="O4068">
        <v>10</v>
      </c>
      <c r="P4068" t="s">
        <v>513</v>
      </c>
      <c r="Q4068" s="97" t="str">
        <f t="shared" si="530"/>
        <v/>
      </c>
      <c r="R4068" t="str">
        <f t="shared" si="531"/>
        <v/>
      </c>
    </row>
    <row r="4069" spans="3:18">
      <c r="C4069" t="str">
        <f t="shared" si="532"/>
        <v/>
      </c>
      <c r="D4069">
        <v>160</v>
      </c>
      <c r="E4069">
        <v>65</v>
      </c>
      <c r="F4069" s="366">
        <f t="shared" si="526"/>
        <v>1410.5</v>
      </c>
      <c r="G4069" s="97">
        <v>5127</v>
      </c>
      <c r="H4069" s="367">
        <f t="shared" si="527"/>
        <v>6537.5</v>
      </c>
      <c r="I4069" s="368">
        <f t="shared" si="528"/>
        <v>0</v>
      </c>
      <c r="J4069">
        <v>20290</v>
      </c>
      <c r="K4069" s="367">
        <f t="shared" si="529"/>
        <v>14492.857142857143</v>
      </c>
      <c r="L4069" s="607">
        <v>0.75</v>
      </c>
      <c r="M4069">
        <v>3.7</v>
      </c>
      <c r="N4069" s="381">
        <v>28</v>
      </c>
      <c r="O4069">
        <v>10</v>
      </c>
      <c r="P4069" t="s">
        <v>512</v>
      </c>
      <c r="Q4069" s="97" t="str">
        <f t="shared" si="530"/>
        <v/>
      </c>
      <c r="R4069" t="str">
        <f t="shared" si="531"/>
        <v/>
      </c>
    </row>
    <row r="4070" spans="3:18">
      <c r="C4070" t="str">
        <f t="shared" si="532"/>
        <v/>
      </c>
      <c r="D4070">
        <v>161</v>
      </c>
      <c r="E4070">
        <v>65</v>
      </c>
      <c r="F4070" s="366">
        <f t="shared" si="526"/>
        <v>1410.5</v>
      </c>
      <c r="G4070" s="97">
        <v>5127</v>
      </c>
      <c r="H4070" s="367">
        <f t="shared" si="527"/>
        <v>6537.5</v>
      </c>
      <c r="I4070" s="368">
        <f t="shared" si="528"/>
        <v>0</v>
      </c>
      <c r="J4070">
        <v>20290</v>
      </c>
      <c r="K4070" s="367">
        <f t="shared" si="529"/>
        <v>14492.857142857143</v>
      </c>
      <c r="L4070" s="607">
        <v>0.75</v>
      </c>
      <c r="M4070">
        <v>3.7</v>
      </c>
      <c r="N4070" s="381">
        <v>28</v>
      </c>
      <c r="O4070">
        <v>10</v>
      </c>
      <c r="P4070" t="s">
        <v>512</v>
      </c>
      <c r="Q4070" s="97" t="str">
        <f t="shared" si="530"/>
        <v/>
      </c>
      <c r="R4070" t="str">
        <f t="shared" si="531"/>
        <v/>
      </c>
    </row>
    <row r="4071" spans="3:18">
      <c r="C4071" t="str">
        <f t="shared" si="532"/>
        <v/>
      </c>
      <c r="D4071">
        <v>162</v>
      </c>
      <c r="E4071">
        <v>70</v>
      </c>
      <c r="F4071" s="366">
        <f t="shared" si="526"/>
        <v>1519</v>
      </c>
      <c r="G4071" s="97">
        <v>1200</v>
      </c>
      <c r="H4071" s="367">
        <f t="shared" si="527"/>
        <v>2719</v>
      </c>
      <c r="I4071" s="368">
        <f t="shared" si="528"/>
        <v>0</v>
      </c>
      <c r="J4071">
        <v>4749</v>
      </c>
      <c r="K4071" s="367">
        <f t="shared" si="529"/>
        <v>3392.1428571428573</v>
      </c>
      <c r="L4071" s="607">
        <v>1.1599999999999999</v>
      </c>
      <c r="M4071">
        <v>3.4</v>
      </c>
      <c r="N4071" s="381">
        <v>27</v>
      </c>
      <c r="O4071">
        <v>2</v>
      </c>
      <c r="P4071" t="s">
        <v>515</v>
      </c>
      <c r="Q4071" s="97" t="str">
        <f t="shared" si="530"/>
        <v/>
      </c>
      <c r="R4071" t="str">
        <f t="shared" si="531"/>
        <v/>
      </c>
    </row>
    <row r="4072" spans="3:18">
      <c r="C4072" t="str">
        <f t="shared" si="532"/>
        <v>NL</v>
      </c>
      <c r="D4072">
        <v>163</v>
      </c>
      <c r="E4072">
        <v>70</v>
      </c>
      <c r="F4072" s="366">
        <f t="shared" si="526"/>
        <v>1519</v>
      </c>
      <c r="G4072" s="97">
        <v>1364</v>
      </c>
      <c r="H4072" s="367">
        <f t="shared" si="527"/>
        <v>2883</v>
      </c>
      <c r="I4072" s="368">
        <f t="shared" si="528"/>
        <v>0</v>
      </c>
      <c r="J4072">
        <v>5400</v>
      </c>
      <c r="K4072" s="367">
        <f t="shared" si="529"/>
        <v>3857.1428571428573</v>
      </c>
      <c r="L4072" s="607">
        <v>0.41000000000000003</v>
      </c>
      <c r="M4072">
        <v>4.8</v>
      </c>
      <c r="N4072" s="381">
        <v>22</v>
      </c>
      <c r="O4072">
        <v>3</v>
      </c>
      <c r="P4072" t="s">
        <v>515</v>
      </c>
      <c r="Q4072" s="97" t="str">
        <f t="shared" si="530"/>
        <v/>
      </c>
      <c r="R4072" t="str">
        <f t="shared" si="531"/>
        <v/>
      </c>
    </row>
    <row r="4073" spans="3:18">
      <c r="C4073" t="str">
        <f t="shared" si="532"/>
        <v/>
      </c>
      <c r="D4073">
        <v>164</v>
      </c>
      <c r="E4073">
        <v>70</v>
      </c>
      <c r="F4073" s="366">
        <f t="shared" si="526"/>
        <v>1519</v>
      </c>
      <c r="G4073" s="97">
        <v>1459</v>
      </c>
      <c r="H4073" s="367">
        <f t="shared" si="527"/>
        <v>2978</v>
      </c>
      <c r="I4073" s="368">
        <f t="shared" si="528"/>
        <v>0</v>
      </c>
      <c r="J4073">
        <v>5774</v>
      </c>
      <c r="K4073" s="367">
        <f t="shared" si="529"/>
        <v>4124.2857142857147</v>
      </c>
      <c r="L4073" s="607">
        <v>0.21000000000000002</v>
      </c>
      <c r="M4073">
        <v>6.1</v>
      </c>
      <c r="N4073" s="381">
        <v>19</v>
      </c>
      <c r="O4073">
        <v>4</v>
      </c>
      <c r="P4073" t="s">
        <v>515</v>
      </c>
      <c r="Q4073" s="97" t="str">
        <f t="shared" si="530"/>
        <v/>
      </c>
      <c r="R4073" t="str">
        <f t="shared" si="531"/>
        <v/>
      </c>
    </row>
    <row r="4074" spans="3:18">
      <c r="C4074" t="str">
        <f t="shared" si="532"/>
        <v/>
      </c>
      <c r="D4074">
        <v>165</v>
      </c>
      <c r="E4074">
        <v>70</v>
      </c>
      <c r="F4074" s="366">
        <f t="shared" si="526"/>
        <v>1519</v>
      </c>
      <c r="G4074" s="97">
        <v>2007</v>
      </c>
      <c r="H4074" s="367">
        <f t="shared" si="527"/>
        <v>3526</v>
      </c>
      <c r="I4074" s="368">
        <f t="shared" si="528"/>
        <v>0</v>
      </c>
      <c r="J4074">
        <v>7945</v>
      </c>
      <c r="K4074" s="367">
        <f t="shared" si="529"/>
        <v>5675</v>
      </c>
      <c r="L4074" s="607">
        <v>0.64</v>
      </c>
      <c r="M4074">
        <v>6.1</v>
      </c>
      <c r="N4074" s="381">
        <v>23</v>
      </c>
      <c r="O4074">
        <v>4</v>
      </c>
      <c r="P4074" t="s">
        <v>514</v>
      </c>
      <c r="Q4074" s="97">
        <f t="shared" si="530"/>
        <v>165</v>
      </c>
      <c r="R4074" t="str">
        <f t="shared" si="531"/>
        <v/>
      </c>
    </row>
    <row r="4075" spans="3:18">
      <c r="C4075" t="str">
        <f t="shared" si="532"/>
        <v>NL</v>
      </c>
      <c r="D4075">
        <v>166</v>
      </c>
      <c r="E4075">
        <v>70</v>
      </c>
      <c r="F4075" s="366">
        <f t="shared" si="526"/>
        <v>1519</v>
      </c>
      <c r="G4075" s="97">
        <v>2368</v>
      </c>
      <c r="H4075" s="367">
        <f t="shared" si="527"/>
        <v>3887</v>
      </c>
      <c r="I4075" s="368">
        <f t="shared" si="528"/>
        <v>0</v>
      </c>
      <c r="J4075">
        <v>9371</v>
      </c>
      <c r="K4075" s="367">
        <f t="shared" si="529"/>
        <v>6693.5714285714284</v>
      </c>
      <c r="L4075" s="607">
        <v>0.41000000000000003</v>
      </c>
      <c r="M4075">
        <v>7.3999999999999995</v>
      </c>
      <c r="N4075" s="381">
        <v>22</v>
      </c>
      <c r="O4075">
        <v>5</v>
      </c>
      <c r="P4075" t="s">
        <v>514</v>
      </c>
      <c r="Q4075" s="97" t="str">
        <f t="shared" si="530"/>
        <v/>
      </c>
      <c r="R4075" t="str">
        <f t="shared" si="531"/>
        <v/>
      </c>
    </row>
    <row r="4076" spans="3:18">
      <c r="C4076" t="str">
        <f t="shared" si="532"/>
        <v/>
      </c>
      <c r="D4076">
        <v>167</v>
      </c>
      <c r="E4076">
        <v>70</v>
      </c>
      <c r="F4076" s="366">
        <f t="shared" si="526"/>
        <v>1519</v>
      </c>
      <c r="G4076" s="97">
        <v>2221</v>
      </c>
      <c r="H4076" s="367">
        <f t="shared" si="527"/>
        <v>3740</v>
      </c>
      <c r="I4076" s="368">
        <f t="shared" si="528"/>
        <v>0</v>
      </c>
      <c r="J4076">
        <v>8790</v>
      </c>
      <c r="K4076" s="367">
        <f t="shared" si="529"/>
        <v>6278.5714285714284</v>
      </c>
      <c r="L4076" s="607">
        <v>0.29000000000000004</v>
      </c>
      <c r="M4076">
        <v>8.6999999999999993</v>
      </c>
      <c r="N4076" s="381">
        <v>22</v>
      </c>
      <c r="O4076">
        <v>6</v>
      </c>
      <c r="P4076" t="s">
        <v>514</v>
      </c>
      <c r="Q4076" s="97">
        <f t="shared" si="530"/>
        <v>167</v>
      </c>
      <c r="R4076" t="str">
        <f t="shared" si="531"/>
        <v/>
      </c>
    </row>
    <row r="4077" spans="3:18">
      <c r="C4077" t="str">
        <f t="shared" si="532"/>
        <v/>
      </c>
      <c r="D4077">
        <v>168</v>
      </c>
      <c r="E4077">
        <v>70</v>
      </c>
      <c r="F4077" s="366">
        <f t="shared" si="526"/>
        <v>1519</v>
      </c>
      <c r="G4077" s="97">
        <v>2994</v>
      </c>
      <c r="H4077" s="367">
        <f t="shared" si="527"/>
        <v>4513</v>
      </c>
      <c r="I4077" s="368">
        <f t="shared" si="528"/>
        <v>0</v>
      </c>
      <c r="J4077">
        <v>11849</v>
      </c>
      <c r="K4077" s="367">
        <f t="shared" si="529"/>
        <v>8463.5714285714294</v>
      </c>
      <c r="L4077" s="607">
        <v>0.96</v>
      </c>
      <c r="M4077">
        <v>8.6999999999999993</v>
      </c>
      <c r="N4077" s="381">
        <v>26</v>
      </c>
      <c r="O4077">
        <v>6</v>
      </c>
      <c r="P4077" t="s">
        <v>513</v>
      </c>
      <c r="Q4077" s="97" t="str">
        <f t="shared" si="530"/>
        <v/>
      </c>
      <c r="R4077" t="str">
        <f t="shared" si="531"/>
        <v/>
      </c>
    </row>
    <row r="4078" spans="3:18">
      <c r="C4078" t="str">
        <f t="shared" si="532"/>
        <v>NL</v>
      </c>
      <c r="D4078">
        <v>169</v>
      </c>
      <c r="E4078">
        <v>70</v>
      </c>
      <c r="F4078" s="366">
        <f t="shared" si="526"/>
        <v>1519</v>
      </c>
      <c r="G4078" s="97">
        <v>3075</v>
      </c>
      <c r="H4078" s="367">
        <f t="shared" si="527"/>
        <v>4594</v>
      </c>
      <c r="I4078" s="368">
        <f t="shared" si="528"/>
        <v>0</v>
      </c>
      <c r="J4078">
        <v>12171</v>
      </c>
      <c r="K4078" s="367">
        <f t="shared" si="529"/>
        <v>8693.5714285714294</v>
      </c>
      <c r="L4078" s="607">
        <v>0.22</v>
      </c>
      <c r="M4078">
        <v>1.3</v>
      </c>
      <c r="N4078" s="381">
        <v>21</v>
      </c>
      <c r="O4078">
        <v>7</v>
      </c>
      <c r="P4078" t="s">
        <v>514</v>
      </c>
      <c r="Q4078" s="97" t="str">
        <f t="shared" si="530"/>
        <v/>
      </c>
      <c r="R4078" t="str">
        <f t="shared" si="531"/>
        <v/>
      </c>
    </row>
    <row r="4079" spans="3:18">
      <c r="C4079" t="str">
        <f t="shared" si="532"/>
        <v>NL</v>
      </c>
      <c r="D4079">
        <v>170</v>
      </c>
      <c r="E4079">
        <v>70</v>
      </c>
      <c r="F4079" s="366">
        <f t="shared" si="526"/>
        <v>1519</v>
      </c>
      <c r="G4079" s="97">
        <v>4016</v>
      </c>
      <c r="H4079" s="367">
        <f t="shared" si="527"/>
        <v>5535</v>
      </c>
      <c r="I4079" s="368">
        <f t="shared" si="528"/>
        <v>0</v>
      </c>
      <c r="J4079">
        <v>15894</v>
      </c>
      <c r="K4079" s="367">
        <f t="shared" si="529"/>
        <v>11352.857142857143</v>
      </c>
      <c r="L4079" s="607">
        <v>0.71</v>
      </c>
      <c r="M4079">
        <v>1.3</v>
      </c>
      <c r="N4079" s="381">
        <v>26</v>
      </c>
      <c r="O4079">
        <v>7</v>
      </c>
      <c r="P4079" t="s">
        <v>513</v>
      </c>
      <c r="Q4079" s="97" t="str">
        <f t="shared" si="530"/>
        <v/>
      </c>
      <c r="R4079" t="str">
        <f t="shared" si="531"/>
        <v/>
      </c>
    </row>
    <row r="4080" spans="3:18">
      <c r="C4080" t="str">
        <f t="shared" si="532"/>
        <v/>
      </c>
      <c r="D4080">
        <v>171</v>
      </c>
      <c r="E4080">
        <v>70</v>
      </c>
      <c r="F4080" s="366">
        <f t="shared" si="526"/>
        <v>1519</v>
      </c>
      <c r="G4080" s="97">
        <v>2569</v>
      </c>
      <c r="H4080" s="367">
        <f t="shared" si="527"/>
        <v>4088</v>
      </c>
      <c r="I4080" s="368">
        <f t="shared" si="528"/>
        <v>0</v>
      </c>
      <c r="J4080">
        <v>10168</v>
      </c>
      <c r="K4080" s="367">
        <f t="shared" si="529"/>
        <v>7262.8571428571431</v>
      </c>
      <c r="L4080" s="607">
        <v>0.18000000000000002</v>
      </c>
      <c r="M4080">
        <v>2.8000000000000003</v>
      </c>
      <c r="N4080" s="381">
        <v>21</v>
      </c>
      <c r="O4080">
        <v>8</v>
      </c>
      <c r="P4080" t="s">
        <v>514</v>
      </c>
      <c r="Q4080" s="97">
        <f t="shared" si="530"/>
        <v>171</v>
      </c>
      <c r="R4080" t="str">
        <f t="shared" si="531"/>
        <v/>
      </c>
    </row>
    <row r="4081" spans="3:18">
      <c r="C4081" t="str">
        <f t="shared" si="532"/>
        <v/>
      </c>
      <c r="D4081">
        <v>172</v>
      </c>
      <c r="E4081">
        <v>70</v>
      </c>
      <c r="F4081" s="366">
        <f t="shared" si="526"/>
        <v>1519</v>
      </c>
      <c r="G4081" s="97">
        <v>3546</v>
      </c>
      <c r="H4081" s="367">
        <f t="shared" si="527"/>
        <v>5065</v>
      </c>
      <c r="I4081" s="368">
        <f t="shared" si="528"/>
        <v>0</v>
      </c>
      <c r="J4081">
        <v>14036</v>
      </c>
      <c r="K4081" s="367">
        <f t="shared" si="529"/>
        <v>10025.714285714286</v>
      </c>
      <c r="L4081" s="607">
        <v>0.56000000000000005</v>
      </c>
      <c r="M4081">
        <v>2.8000000000000003</v>
      </c>
      <c r="N4081" s="381">
        <v>25</v>
      </c>
      <c r="O4081">
        <v>8</v>
      </c>
      <c r="P4081" t="s">
        <v>513</v>
      </c>
      <c r="Q4081" s="97">
        <f t="shared" si="530"/>
        <v>172</v>
      </c>
      <c r="R4081" t="str">
        <f t="shared" si="531"/>
        <v/>
      </c>
    </row>
    <row r="4082" spans="3:18">
      <c r="C4082" t="str">
        <f t="shared" si="532"/>
        <v>NL</v>
      </c>
      <c r="D4082">
        <v>173</v>
      </c>
      <c r="E4082">
        <v>70</v>
      </c>
      <c r="F4082" s="366">
        <f t="shared" si="526"/>
        <v>1519</v>
      </c>
      <c r="G4082" s="97">
        <v>4776</v>
      </c>
      <c r="H4082" s="367">
        <f t="shared" si="527"/>
        <v>6295</v>
      </c>
      <c r="I4082" s="368">
        <f t="shared" si="528"/>
        <v>0</v>
      </c>
      <c r="J4082">
        <v>18903</v>
      </c>
      <c r="K4082" s="367">
        <f t="shared" si="529"/>
        <v>13502.142857142857</v>
      </c>
      <c r="L4082" s="607">
        <v>0.45</v>
      </c>
      <c r="M4082">
        <v>1.7000000000000002</v>
      </c>
      <c r="N4082" s="381">
        <v>25</v>
      </c>
      <c r="O4082">
        <v>9</v>
      </c>
      <c r="P4082" t="s">
        <v>513</v>
      </c>
      <c r="Q4082" s="97" t="str">
        <f t="shared" si="530"/>
        <v/>
      </c>
      <c r="R4082" t="str">
        <f t="shared" si="531"/>
        <v/>
      </c>
    </row>
    <row r="4083" spans="3:18">
      <c r="C4083" t="str">
        <f t="shared" si="532"/>
        <v>NL</v>
      </c>
      <c r="D4083">
        <v>174</v>
      </c>
      <c r="E4083">
        <v>70</v>
      </c>
      <c r="F4083" s="366">
        <f t="shared" si="526"/>
        <v>1519</v>
      </c>
      <c r="G4083" s="97">
        <v>5106</v>
      </c>
      <c r="H4083" s="367">
        <f t="shared" si="527"/>
        <v>6625</v>
      </c>
      <c r="I4083" s="368">
        <f t="shared" si="528"/>
        <v>0</v>
      </c>
      <c r="J4083">
        <v>20208</v>
      </c>
      <c r="K4083" s="367">
        <f t="shared" si="529"/>
        <v>14434.285714285714</v>
      </c>
      <c r="L4083" s="607">
        <v>1.05</v>
      </c>
      <c r="M4083">
        <v>1.7000000000000002</v>
      </c>
      <c r="N4083" s="381">
        <v>30</v>
      </c>
      <c r="O4083">
        <v>9</v>
      </c>
      <c r="P4083" t="s">
        <v>512</v>
      </c>
      <c r="Q4083" s="97" t="str">
        <f t="shared" si="530"/>
        <v/>
      </c>
      <c r="R4083" t="str">
        <f t="shared" si="531"/>
        <v/>
      </c>
    </row>
    <row r="4084" spans="3:18">
      <c r="C4084" t="str">
        <f t="shared" si="532"/>
        <v/>
      </c>
      <c r="D4084">
        <v>175</v>
      </c>
      <c r="E4084">
        <v>70</v>
      </c>
      <c r="F4084" s="366">
        <f t="shared" si="526"/>
        <v>1519</v>
      </c>
      <c r="G4084" s="97">
        <v>5056</v>
      </c>
      <c r="H4084" s="367">
        <f t="shared" si="527"/>
        <v>6575</v>
      </c>
      <c r="I4084" s="368">
        <f t="shared" si="528"/>
        <v>0</v>
      </c>
      <c r="J4084">
        <v>20007</v>
      </c>
      <c r="K4084" s="367">
        <f t="shared" si="529"/>
        <v>14290.714285714286</v>
      </c>
      <c r="L4084" s="607">
        <v>0.38</v>
      </c>
      <c r="M4084">
        <v>3.7</v>
      </c>
      <c r="N4084" s="381">
        <v>24</v>
      </c>
      <c r="O4084">
        <v>10</v>
      </c>
      <c r="P4084" t="s">
        <v>513</v>
      </c>
      <c r="Q4084" s="97" t="str">
        <f t="shared" si="530"/>
        <v/>
      </c>
      <c r="R4084" t="str">
        <f t="shared" si="531"/>
        <v/>
      </c>
    </row>
    <row r="4085" spans="3:18">
      <c r="C4085" t="str">
        <f t="shared" si="532"/>
        <v/>
      </c>
      <c r="D4085">
        <v>176</v>
      </c>
      <c r="E4085">
        <v>70</v>
      </c>
      <c r="F4085" s="366">
        <f t="shared" si="526"/>
        <v>1519</v>
      </c>
      <c r="G4085" s="97">
        <v>5389</v>
      </c>
      <c r="H4085" s="367">
        <f t="shared" si="527"/>
        <v>6908</v>
      </c>
      <c r="I4085" s="368">
        <f t="shared" si="528"/>
        <v>0</v>
      </c>
      <c r="J4085">
        <v>21327</v>
      </c>
      <c r="K4085" s="367">
        <f t="shared" si="529"/>
        <v>15233.571428571429</v>
      </c>
      <c r="L4085" s="607">
        <v>0.87</v>
      </c>
      <c r="M4085">
        <v>3.7</v>
      </c>
      <c r="N4085" s="381">
        <v>29</v>
      </c>
      <c r="O4085">
        <v>10</v>
      </c>
      <c r="P4085" t="s">
        <v>512</v>
      </c>
      <c r="Q4085" s="97" t="str">
        <f t="shared" si="530"/>
        <v/>
      </c>
      <c r="R4085" t="str">
        <f t="shared" si="531"/>
        <v/>
      </c>
    </row>
    <row r="4086" spans="3:18">
      <c r="C4086" t="str">
        <f t="shared" si="532"/>
        <v/>
      </c>
      <c r="D4086">
        <v>177</v>
      </c>
      <c r="E4086">
        <v>70</v>
      </c>
      <c r="F4086" s="366">
        <f t="shared" si="526"/>
        <v>1519</v>
      </c>
      <c r="G4086" s="97">
        <v>5389</v>
      </c>
      <c r="H4086" s="367">
        <f t="shared" si="527"/>
        <v>6908</v>
      </c>
      <c r="I4086" s="368">
        <f t="shared" si="528"/>
        <v>0</v>
      </c>
      <c r="J4086">
        <v>21327</v>
      </c>
      <c r="K4086" s="367">
        <f t="shared" si="529"/>
        <v>15233.571428571429</v>
      </c>
      <c r="L4086" s="607">
        <v>0.87</v>
      </c>
      <c r="M4086">
        <v>3.7</v>
      </c>
      <c r="N4086" s="381">
        <v>29</v>
      </c>
      <c r="O4086">
        <v>10</v>
      </c>
      <c r="P4086" t="s">
        <v>512</v>
      </c>
      <c r="Q4086" s="97" t="str">
        <f t="shared" si="530"/>
        <v/>
      </c>
      <c r="R4086" t="str">
        <f t="shared" si="531"/>
        <v/>
      </c>
    </row>
    <row r="4087" spans="3:18">
      <c r="C4087" t="str">
        <f t="shared" si="532"/>
        <v/>
      </c>
      <c r="D4087">
        <v>178</v>
      </c>
      <c r="E4087">
        <v>75</v>
      </c>
      <c r="F4087" s="366">
        <f t="shared" si="526"/>
        <v>1627.5</v>
      </c>
      <c r="G4087" s="97">
        <v>1258</v>
      </c>
      <c r="H4087" s="367">
        <f t="shared" si="527"/>
        <v>2885.5</v>
      </c>
      <c r="I4087" s="368">
        <f t="shared" si="528"/>
        <v>0</v>
      </c>
      <c r="J4087">
        <v>4980</v>
      </c>
      <c r="K4087" s="367">
        <f t="shared" si="529"/>
        <v>3557.1428571428573</v>
      </c>
      <c r="L4087" s="607">
        <v>1.33</v>
      </c>
      <c r="M4087">
        <v>3.4</v>
      </c>
      <c r="N4087" s="381">
        <v>28</v>
      </c>
      <c r="O4087">
        <v>2</v>
      </c>
      <c r="P4087" t="s">
        <v>515</v>
      </c>
      <c r="Q4087" s="97" t="str">
        <f t="shared" si="530"/>
        <v/>
      </c>
      <c r="R4087" t="str">
        <f t="shared" si="531"/>
        <v/>
      </c>
    </row>
    <row r="4088" spans="3:18">
      <c r="C4088" t="str">
        <f t="shared" si="532"/>
        <v>NL</v>
      </c>
      <c r="D4088">
        <v>179</v>
      </c>
      <c r="E4088">
        <v>75</v>
      </c>
      <c r="F4088" s="366">
        <f t="shared" si="526"/>
        <v>1627.5</v>
      </c>
      <c r="G4088" s="97">
        <v>1437</v>
      </c>
      <c r="H4088" s="367">
        <f t="shared" si="527"/>
        <v>3064.5</v>
      </c>
      <c r="I4088" s="368">
        <f t="shared" si="528"/>
        <v>0</v>
      </c>
      <c r="J4088">
        <v>5690</v>
      </c>
      <c r="K4088" s="367">
        <f t="shared" si="529"/>
        <v>4064.2857142857142</v>
      </c>
      <c r="L4088" s="607">
        <v>0.46</v>
      </c>
      <c r="M4088">
        <v>4.8</v>
      </c>
      <c r="N4088" s="381">
        <v>23</v>
      </c>
      <c r="O4088">
        <v>3</v>
      </c>
      <c r="P4088" t="s">
        <v>515</v>
      </c>
      <c r="Q4088" s="97" t="str">
        <f t="shared" si="530"/>
        <v/>
      </c>
      <c r="R4088" t="str">
        <f t="shared" si="531"/>
        <v/>
      </c>
    </row>
    <row r="4089" spans="3:18">
      <c r="C4089" t="str">
        <f t="shared" si="532"/>
        <v/>
      </c>
      <c r="D4089">
        <v>180</v>
      </c>
      <c r="E4089">
        <v>75</v>
      </c>
      <c r="F4089" s="366">
        <f t="shared" si="526"/>
        <v>1627.5</v>
      </c>
      <c r="G4089" s="97">
        <v>1541</v>
      </c>
      <c r="H4089" s="367">
        <f t="shared" si="527"/>
        <v>3168.5</v>
      </c>
      <c r="I4089" s="368">
        <f t="shared" si="528"/>
        <v>0</v>
      </c>
      <c r="J4089">
        <v>6101</v>
      </c>
      <c r="K4089" s="367">
        <f t="shared" si="529"/>
        <v>4357.8571428571431</v>
      </c>
      <c r="L4089" s="607">
        <v>0.24000000000000002</v>
      </c>
      <c r="M4089">
        <v>6.1</v>
      </c>
      <c r="N4089" s="381">
        <v>19</v>
      </c>
      <c r="O4089">
        <v>4</v>
      </c>
      <c r="P4089" t="s">
        <v>515</v>
      </c>
      <c r="Q4089" s="97">
        <f t="shared" si="530"/>
        <v>180</v>
      </c>
      <c r="R4089" t="str">
        <f t="shared" si="531"/>
        <v/>
      </c>
    </row>
    <row r="4090" spans="3:18">
      <c r="C4090" t="str">
        <f t="shared" si="532"/>
        <v/>
      </c>
      <c r="D4090">
        <v>181</v>
      </c>
      <c r="E4090">
        <v>75</v>
      </c>
      <c r="F4090" s="366">
        <f t="shared" si="526"/>
        <v>1627.5</v>
      </c>
      <c r="G4090" s="97">
        <v>2105</v>
      </c>
      <c r="H4090" s="367">
        <f t="shared" si="527"/>
        <v>3732.5</v>
      </c>
      <c r="I4090" s="368">
        <f t="shared" si="528"/>
        <v>0</v>
      </c>
      <c r="J4090">
        <v>8333</v>
      </c>
      <c r="K4090" s="367">
        <f t="shared" si="529"/>
        <v>5952.1428571428569</v>
      </c>
      <c r="L4090" s="607">
        <v>0.72</v>
      </c>
      <c r="M4090">
        <v>6.1</v>
      </c>
      <c r="N4090" s="381">
        <v>24</v>
      </c>
      <c r="O4090">
        <v>4</v>
      </c>
      <c r="P4090" t="s">
        <v>514</v>
      </c>
      <c r="Q4090" s="97" t="str">
        <f t="shared" si="530"/>
        <v/>
      </c>
      <c r="R4090" t="str">
        <f t="shared" si="531"/>
        <v/>
      </c>
    </row>
    <row r="4091" spans="3:18">
      <c r="C4091" t="str">
        <f t="shared" si="532"/>
        <v>NL</v>
      </c>
      <c r="D4091">
        <v>182</v>
      </c>
      <c r="E4091">
        <v>75</v>
      </c>
      <c r="F4091" s="366">
        <f t="shared" si="526"/>
        <v>1627.5</v>
      </c>
      <c r="G4091" s="97">
        <v>1865</v>
      </c>
      <c r="H4091" s="367">
        <f t="shared" si="527"/>
        <v>3492.5</v>
      </c>
      <c r="I4091" s="368">
        <f t="shared" si="528"/>
        <v>0</v>
      </c>
      <c r="J4091">
        <v>7381</v>
      </c>
      <c r="K4091" s="367">
        <f t="shared" si="529"/>
        <v>5272.1428571428569</v>
      </c>
      <c r="L4091" s="607">
        <v>0.15000000000000002</v>
      </c>
      <c r="M4091">
        <v>7.3999999999999995</v>
      </c>
      <c r="N4091" s="381">
        <v>18</v>
      </c>
      <c r="O4091">
        <v>5</v>
      </c>
      <c r="P4091" t="s">
        <v>515</v>
      </c>
      <c r="Q4091" s="97" t="str">
        <f t="shared" si="530"/>
        <v/>
      </c>
      <c r="R4091" t="str">
        <f t="shared" si="531"/>
        <v/>
      </c>
    </row>
    <row r="4092" spans="3:18">
      <c r="C4092" t="str">
        <f t="shared" si="532"/>
        <v>NL</v>
      </c>
      <c r="D4092">
        <v>183</v>
      </c>
      <c r="E4092">
        <v>75</v>
      </c>
      <c r="F4092" s="366">
        <f t="shared" si="526"/>
        <v>1627.5</v>
      </c>
      <c r="G4092" s="97">
        <v>2491</v>
      </c>
      <c r="H4092" s="367">
        <f t="shared" si="527"/>
        <v>4118.5</v>
      </c>
      <c r="I4092" s="368">
        <f t="shared" si="528"/>
        <v>0</v>
      </c>
      <c r="J4092">
        <v>9858</v>
      </c>
      <c r="K4092" s="367">
        <f t="shared" si="529"/>
        <v>7041.4285714285716</v>
      </c>
      <c r="L4092" s="607">
        <v>0.46</v>
      </c>
      <c r="M4092">
        <v>7.3999999999999995</v>
      </c>
      <c r="N4092" s="381">
        <v>23</v>
      </c>
      <c r="O4092">
        <v>5</v>
      </c>
      <c r="P4092" t="s">
        <v>514</v>
      </c>
      <c r="Q4092" s="97" t="str">
        <f t="shared" si="530"/>
        <v/>
      </c>
      <c r="R4092" t="str">
        <f t="shared" si="531"/>
        <v/>
      </c>
    </row>
    <row r="4093" spans="3:18">
      <c r="C4093" t="str">
        <f t="shared" si="532"/>
        <v/>
      </c>
      <c r="D4093">
        <v>184</v>
      </c>
      <c r="E4093">
        <v>75</v>
      </c>
      <c r="F4093" s="366">
        <f t="shared" si="526"/>
        <v>1627.5</v>
      </c>
      <c r="G4093" s="97">
        <v>2339</v>
      </c>
      <c r="H4093" s="367">
        <f t="shared" si="527"/>
        <v>3966.5</v>
      </c>
      <c r="I4093" s="368">
        <f t="shared" si="528"/>
        <v>0</v>
      </c>
      <c r="J4093">
        <v>9258</v>
      </c>
      <c r="K4093" s="367">
        <f t="shared" si="529"/>
        <v>6612.8571428571431</v>
      </c>
      <c r="L4093" s="607">
        <v>0.33</v>
      </c>
      <c r="M4093">
        <v>8.6999999999999993</v>
      </c>
      <c r="N4093" s="381">
        <v>22</v>
      </c>
      <c r="O4093">
        <v>6</v>
      </c>
      <c r="P4093" t="s">
        <v>514</v>
      </c>
      <c r="Q4093" s="97">
        <f t="shared" si="530"/>
        <v>184</v>
      </c>
      <c r="R4093" t="str">
        <f t="shared" si="531"/>
        <v/>
      </c>
    </row>
    <row r="4094" spans="3:18">
      <c r="C4094" t="str">
        <f t="shared" si="532"/>
        <v/>
      </c>
      <c r="D4094">
        <v>185</v>
      </c>
      <c r="E4094">
        <v>75</v>
      </c>
      <c r="F4094" s="366">
        <f t="shared" si="526"/>
        <v>1627.5</v>
      </c>
      <c r="G4094" s="97">
        <v>3138</v>
      </c>
      <c r="H4094" s="367">
        <f t="shared" si="527"/>
        <v>4765.5</v>
      </c>
      <c r="I4094" s="368">
        <f t="shared" si="528"/>
        <v>0</v>
      </c>
      <c r="J4094">
        <v>12420</v>
      </c>
      <c r="K4094" s="367">
        <f t="shared" si="529"/>
        <v>8871.4285714285725</v>
      </c>
      <c r="L4094" s="607">
        <v>1.0900000000000001</v>
      </c>
      <c r="M4094">
        <v>8.6999999999999993</v>
      </c>
      <c r="N4094" s="381">
        <v>27</v>
      </c>
      <c r="O4094">
        <v>6</v>
      </c>
      <c r="P4094" t="s">
        <v>513</v>
      </c>
      <c r="Q4094" s="97" t="str">
        <f t="shared" si="530"/>
        <v/>
      </c>
      <c r="R4094" t="str">
        <f t="shared" si="531"/>
        <v/>
      </c>
    </row>
    <row r="4095" spans="3:18">
      <c r="C4095" t="str">
        <f t="shared" si="532"/>
        <v>NL</v>
      </c>
      <c r="D4095">
        <v>186</v>
      </c>
      <c r="E4095">
        <v>75</v>
      </c>
      <c r="F4095" s="366">
        <f t="shared" si="526"/>
        <v>1627.5</v>
      </c>
      <c r="G4095" s="97">
        <v>3235</v>
      </c>
      <c r="H4095" s="367">
        <f t="shared" si="527"/>
        <v>4862.5</v>
      </c>
      <c r="I4095" s="368">
        <f t="shared" si="528"/>
        <v>0</v>
      </c>
      <c r="J4095">
        <v>12804</v>
      </c>
      <c r="K4095" s="367">
        <f t="shared" si="529"/>
        <v>9145.7142857142862</v>
      </c>
      <c r="L4095" s="607">
        <v>0.25</v>
      </c>
      <c r="M4095">
        <v>1.3</v>
      </c>
      <c r="N4095" s="381">
        <v>22</v>
      </c>
      <c r="O4095">
        <v>7</v>
      </c>
      <c r="P4095" t="s">
        <v>514</v>
      </c>
      <c r="Q4095" s="97" t="str">
        <f t="shared" si="530"/>
        <v/>
      </c>
      <c r="R4095" t="str">
        <f t="shared" si="531"/>
        <v/>
      </c>
    </row>
    <row r="4096" spans="3:18">
      <c r="C4096" t="str">
        <f t="shared" si="532"/>
        <v>NL</v>
      </c>
      <c r="D4096">
        <v>187</v>
      </c>
      <c r="E4096">
        <v>75</v>
      </c>
      <c r="F4096" s="366">
        <f t="shared" si="526"/>
        <v>1627.5</v>
      </c>
      <c r="G4096" s="97">
        <v>4209</v>
      </c>
      <c r="H4096" s="367">
        <f t="shared" si="527"/>
        <v>5836.5</v>
      </c>
      <c r="I4096" s="368">
        <f t="shared" si="528"/>
        <v>0</v>
      </c>
      <c r="J4096">
        <v>16658</v>
      </c>
      <c r="K4096" s="367">
        <f t="shared" si="529"/>
        <v>11898.571428571429</v>
      </c>
      <c r="L4096" s="607">
        <v>0.81</v>
      </c>
      <c r="M4096">
        <v>1.3</v>
      </c>
      <c r="N4096" s="381">
        <v>26</v>
      </c>
      <c r="O4096">
        <v>7</v>
      </c>
      <c r="P4096" t="s">
        <v>513</v>
      </c>
      <c r="Q4096" s="97" t="str">
        <f t="shared" si="530"/>
        <v/>
      </c>
      <c r="R4096" t="str">
        <f t="shared" si="531"/>
        <v/>
      </c>
    </row>
    <row r="4097" spans="3:18">
      <c r="C4097" t="str">
        <f t="shared" si="532"/>
        <v/>
      </c>
      <c r="D4097">
        <v>188</v>
      </c>
      <c r="E4097">
        <v>75</v>
      </c>
      <c r="F4097" s="366">
        <f t="shared" si="526"/>
        <v>1627.5</v>
      </c>
      <c r="G4097" s="97">
        <v>2716</v>
      </c>
      <c r="H4097" s="367">
        <f t="shared" si="527"/>
        <v>4343.5</v>
      </c>
      <c r="I4097" s="368">
        <f t="shared" si="528"/>
        <v>0</v>
      </c>
      <c r="J4097">
        <v>10750</v>
      </c>
      <c r="K4097" s="367">
        <f t="shared" si="529"/>
        <v>7678.5714285714284</v>
      </c>
      <c r="L4097" s="607">
        <v>0.2</v>
      </c>
      <c r="M4097">
        <v>2.8000000000000003</v>
      </c>
      <c r="N4097" s="381">
        <v>21</v>
      </c>
      <c r="O4097">
        <v>8</v>
      </c>
      <c r="P4097" t="s">
        <v>514</v>
      </c>
      <c r="Q4097" s="97">
        <f t="shared" si="530"/>
        <v>188</v>
      </c>
      <c r="R4097" t="str">
        <f t="shared" si="531"/>
        <v/>
      </c>
    </row>
    <row r="4098" spans="3:18">
      <c r="C4098" t="str">
        <f t="shared" si="532"/>
        <v/>
      </c>
      <c r="D4098">
        <v>189</v>
      </c>
      <c r="E4098">
        <v>75</v>
      </c>
      <c r="F4098" s="366">
        <f t="shared" si="526"/>
        <v>1627.5</v>
      </c>
      <c r="G4098" s="97">
        <v>3738</v>
      </c>
      <c r="H4098" s="367">
        <f t="shared" si="527"/>
        <v>5365.5</v>
      </c>
      <c r="I4098" s="368">
        <f t="shared" si="528"/>
        <v>0</v>
      </c>
      <c r="J4098">
        <v>14793</v>
      </c>
      <c r="K4098" s="367">
        <f t="shared" si="529"/>
        <v>10566.428571428572</v>
      </c>
      <c r="L4098" s="607">
        <v>0.63</v>
      </c>
      <c r="M4098">
        <v>2.8000000000000003</v>
      </c>
      <c r="N4098" s="381">
        <v>26</v>
      </c>
      <c r="O4098">
        <v>8</v>
      </c>
      <c r="P4098" t="s">
        <v>513</v>
      </c>
      <c r="Q4098" s="97">
        <f t="shared" si="530"/>
        <v>189</v>
      </c>
      <c r="R4098" t="str">
        <f t="shared" si="531"/>
        <v/>
      </c>
    </row>
    <row r="4099" spans="3:18">
      <c r="C4099" t="str">
        <f t="shared" si="532"/>
        <v>NL</v>
      </c>
      <c r="D4099">
        <v>190</v>
      </c>
      <c r="E4099">
        <v>75</v>
      </c>
      <c r="F4099" s="366">
        <f t="shared" si="526"/>
        <v>1627.5</v>
      </c>
      <c r="G4099" s="97">
        <v>3785</v>
      </c>
      <c r="H4099" s="367">
        <f t="shared" si="527"/>
        <v>5412.5</v>
      </c>
      <c r="I4099" s="368">
        <f t="shared" si="528"/>
        <v>0</v>
      </c>
      <c r="J4099">
        <v>14979</v>
      </c>
      <c r="K4099" s="367">
        <f t="shared" si="529"/>
        <v>10699.285714285714</v>
      </c>
      <c r="L4099" s="607">
        <v>0.16</v>
      </c>
      <c r="M4099">
        <v>1.7000000000000002</v>
      </c>
      <c r="N4099" s="381">
        <v>22</v>
      </c>
      <c r="O4099">
        <v>9</v>
      </c>
      <c r="P4099" t="s">
        <v>514</v>
      </c>
      <c r="Q4099" s="97" t="str">
        <f t="shared" si="530"/>
        <v/>
      </c>
      <c r="R4099" t="str">
        <f t="shared" si="531"/>
        <v/>
      </c>
    </row>
    <row r="4100" spans="3:18">
      <c r="C4100" t="str">
        <f t="shared" si="532"/>
        <v>NL</v>
      </c>
      <c r="D4100">
        <v>191</v>
      </c>
      <c r="E4100">
        <v>75</v>
      </c>
      <c r="F4100" s="366">
        <f t="shared" si="526"/>
        <v>1627.5</v>
      </c>
      <c r="G4100" s="97">
        <v>5012</v>
      </c>
      <c r="H4100" s="367">
        <f t="shared" si="527"/>
        <v>6639.5</v>
      </c>
      <c r="I4100" s="368">
        <f t="shared" si="528"/>
        <v>0</v>
      </c>
      <c r="J4100">
        <v>19835</v>
      </c>
      <c r="K4100" s="367">
        <f t="shared" si="529"/>
        <v>14167.857142857143</v>
      </c>
      <c r="L4100" s="607">
        <v>0.51</v>
      </c>
      <c r="M4100">
        <v>1.7000000000000002</v>
      </c>
      <c r="N4100" s="381">
        <v>25</v>
      </c>
      <c r="O4100">
        <v>9</v>
      </c>
      <c r="P4100" t="s">
        <v>513</v>
      </c>
      <c r="Q4100" s="97" t="str">
        <f t="shared" si="530"/>
        <v/>
      </c>
      <c r="R4100" t="str">
        <f t="shared" si="531"/>
        <v/>
      </c>
    </row>
    <row r="4101" spans="3:18">
      <c r="C4101" t="str">
        <f t="shared" si="532"/>
        <v/>
      </c>
      <c r="D4101">
        <v>192</v>
      </c>
      <c r="E4101">
        <v>75</v>
      </c>
      <c r="F4101" s="366">
        <f t="shared" si="526"/>
        <v>1627.5</v>
      </c>
      <c r="G4101" s="97">
        <v>5294</v>
      </c>
      <c r="H4101" s="367">
        <f t="shared" si="527"/>
        <v>6921.5</v>
      </c>
      <c r="I4101" s="368">
        <f t="shared" si="528"/>
        <v>0</v>
      </c>
      <c r="J4101">
        <v>20950</v>
      </c>
      <c r="K4101" s="367">
        <f t="shared" si="529"/>
        <v>14964.285714285714</v>
      </c>
      <c r="L4101" s="607">
        <v>0.43</v>
      </c>
      <c r="M4101">
        <v>3.7</v>
      </c>
      <c r="N4101" s="381">
        <v>25</v>
      </c>
      <c r="O4101">
        <v>10</v>
      </c>
      <c r="P4101" t="s">
        <v>513</v>
      </c>
      <c r="Q4101" s="97" t="str">
        <f t="shared" si="530"/>
        <v/>
      </c>
      <c r="R4101" t="str">
        <f t="shared" si="531"/>
        <v/>
      </c>
    </row>
    <row r="4102" spans="3:18">
      <c r="C4102" t="str">
        <f t="shared" si="532"/>
        <v/>
      </c>
      <c r="D4102">
        <v>193</v>
      </c>
      <c r="E4102">
        <v>75</v>
      </c>
      <c r="F4102" s="366">
        <f t="shared" si="526"/>
        <v>1627.5</v>
      </c>
      <c r="G4102" s="97">
        <v>5651</v>
      </c>
      <c r="H4102" s="367">
        <f t="shared" si="527"/>
        <v>7278.5</v>
      </c>
      <c r="I4102" s="368">
        <f t="shared" si="528"/>
        <v>0</v>
      </c>
      <c r="J4102">
        <v>22364</v>
      </c>
      <c r="K4102" s="367">
        <f t="shared" si="529"/>
        <v>15974.285714285714</v>
      </c>
      <c r="L4102" s="607">
        <v>0.99</v>
      </c>
      <c r="M4102">
        <v>3.7</v>
      </c>
      <c r="N4102" s="381">
        <v>30</v>
      </c>
      <c r="O4102">
        <v>10</v>
      </c>
      <c r="P4102" t="s">
        <v>512</v>
      </c>
      <c r="Q4102" s="97" t="str">
        <f t="shared" si="530"/>
        <v/>
      </c>
      <c r="R4102" t="str">
        <f t="shared" si="531"/>
        <v/>
      </c>
    </row>
    <row r="4103" spans="3:18">
      <c r="C4103" t="str">
        <f t="shared" si="532"/>
        <v/>
      </c>
      <c r="D4103">
        <v>194</v>
      </c>
      <c r="E4103">
        <v>75</v>
      </c>
      <c r="F4103" s="366">
        <f t="shared" ref="F4103:F4166" si="533">1.085*($A$2-$B$2)*E4103*$T$7</f>
        <v>1627.5</v>
      </c>
      <c r="G4103" s="97">
        <v>5651</v>
      </c>
      <c r="H4103" s="367">
        <f t="shared" ref="H4103:H4166" si="534">(G4103*$U$7)+F4103</f>
        <v>7278.5</v>
      </c>
      <c r="I4103" s="368">
        <f t="shared" ref="I4103:I4166" si="535">1.085*($C$2-$D$2)*E4103*$T$7</f>
        <v>0</v>
      </c>
      <c r="J4103">
        <v>22364</v>
      </c>
      <c r="K4103" s="367">
        <f t="shared" ref="K4103:K4166" si="536">(J4103*$V$7)-I4103</f>
        <v>15974.285714285714</v>
      </c>
      <c r="L4103" s="607">
        <v>0.99</v>
      </c>
      <c r="M4103">
        <v>3.7</v>
      </c>
      <c r="N4103" s="381">
        <v>30</v>
      </c>
      <c r="O4103">
        <v>10</v>
      </c>
      <c r="P4103" t="s">
        <v>512</v>
      </c>
      <c r="Q4103" s="97" t="str">
        <f t="shared" ref="Q4103:Q4166" si="537">IF(AND(H4103+1&gt;$E$4,L4103&lt;$L$4+0.01,M4103&lt;$M$4+0.01,K4103+1&gt;$F$4,E4103+1&gt;$J$4,N4103&lt;$K$4+1,O4103&lt;$P$4+1,C4103=""),D4103,"")</f>
        <v/>
      </c>
      <c r="R4103" t="str">
        <f t="shared" ref="R4103:R4166" si="538">IF(Q4103="","",IF(AND(O4103&lt;$X$36,E4103&gt;$U$36,E4103&lt;$Q$4+$U$36+1),D4103,""))</f>
        <v/>
      </c>
    </row>
    <row r="4104" spans="3:18">
      <c r="C4104" t="str">
        <f t="shared" si="532"/>
        <v>NL</v>
      </c>
      <c r="D4104">
        <v>195</v>
      </c>
      <c r="E4104">
        <v>80</v>
      </c>
      <c r="F4104" s="366">
        <f t="shared" si="533"/>
        <v>1736</v>
      </c>
      <c r="G4104" s="97">
        <v>1506</v>
      </c>
      <c r="H4104" s="367">
        <f t="shared" si="534"/>
        <v>3242</v>
      </c>
      <c r="I4104" s="368">
        <f t="shared" si="535"/>
        <v>0</v>
      </c>
      <c r="J4104">
        <v>5960</v>
      </c>
      <c r="K4104" s="367">
        <f t="shared" si="536"/>
        <v>4257.1428571428569</v>
      </c>
      <c r="L4104" s="607">
        <v>0.52</v>
      </c>
      <c r="M4104">
        <v>4.8</v>
      </c>
      <c r="N4104" s="381">
        <v>23</v>
      </c>
      <c r="O4104">
        <v>3</v>
      </c>
      <c r="P4104" t="s">
        <v>515</v>
      </c>
      <c r="Q4104" s="97" t="str">
        <f t="shared" si="537"/>
        <v/>
      </c>
      <c r="R4104" t="str">
        <f t="shared" si="538"/>
        <v/>
      </c>
    </row>
    <row r="4105" spans="3:18">
      <c r="C4105" t="str">
        <f t="shared" si="532"/>
        <v/>
      </c>
      <c r="D4105">
        <v>196</v>
      </c>
      <c r="E4105">
        <v>80</v>
      </c>
      <c r="F4105" s="366">
        <f t="shared" si="533"/>
        <v>1736</v>
      </c>
      <c r="G4105" s="97">
        <v>1617</v>
      </c>
      <c r="H4105" s="367">
        <f t="shared" si="534"/>
        <v>3353</v>
      </c>
      <c r="I4105" s="368">
        <f t="shared" si="535"/>
        <v>0</v>
      </c>
      <c r="J4105">
        <v>6399</v>
      </c>
      <c r="K4105" s="367">
        <f t="shared" si="536"/>
        <v>4570.7142857142862</v>
      </c>
      <c r="L4105" s="607">
        <v>0.27</v>
      </c>
      <c r="M4105">
        <v>6.1</v>
      </c>
      <c r="N4105" s="381">
        <v>20</v>
      </c>
      <c r="O4105">
        <v>4</v>
      </c>
      <c r="P4105" t="s">
        <v>515</v>
      </c>
      <c r="Q4105" s="97">
        <f t="shared" si="537"/>
        <v>196</v>
      </c>
      <c r="R4105" t="str">
        <f t="shared" si="538"/>
        <v/>
      </c>
    </row>
    <row r="4106" spans="3:18">
      <c r="C4106" t="str">
        <f t="shared" si="532"/>
        <v/>
      </c>
      <c r="D4106">
        <v>197</v>
      </c>
      <c r="E4106">
        <v>80</v>
      </c>
      <c r="F4106" s="366">
        <f t="shared" si="533"/>
        <v>1736</v>
      </c>
      <c r="G4106" s="97">
        <v>2203</v>
      </c>
      <c r="H4106" s="367">
        <f t="shared" si="534"/>
        <v>3939</v>
      </c>
      <c r="I4106" s="368">
        <f t="shared" si="535"/>
        <v>0</v>
      </c>
      <c r="J4106">
        <v>8721</v>
      </c>
      <c r="K4106" s="367">
        <f t="shared" si="536"/>
        <v>6229.2857142857147</v>
      </c>
      <c r="L4106" s="607">
        <v>0.82000000000000006</v>
      </c>
      <c r="M4106">
        <v>6.1</v>
      </c>
      <c r="N4106" s="381">
        <v>25</v>
      </c>
      <c r="O4106">
        <v>4</v>
      </c>
      <c r="P4106" t="s">
        <v>514</v>
      </c>
      <c r="Q4106" s="97" t="str">
        <f t="shared" si="537"/>
        <v/>
      </c>
      <c r="R4106" t="str">
        <f t="shared" si="538"/>
        <v/>
      </c>
    </row>
    <row r="4107" spans="3:18">
      <c r="C4107" t="str">
        <f t="shared" si="532"/>
        <v>NL</v>
      </c>
      <c r="D4107">
        <v>198</v>
      </c>
      <c r="E4107">
        <v>80</v>
      </c>
      <c r="F4107" s="366">
        <f t="shared" si="533"/>
        <v>1736</v>
      </c>
      <c r="G4107" s="97">
        <v>1963</v>
      </c>
      <c r="H4107" s="367">
        <f t="shared" si="534"/>
        <v>3699</v>
      </c>
      <c r="I4107" s="368">
        <f t="shared" si="535"/>
        <v>0</v>
      </c>
      <c r="J4107">
        <v>7769</v>
      </c>
      <c r="K4107" s="367">
        <f t="shared" si="536"/>
        <v>5549.2857142857147</v>
      </c>
      <c r="L4107" s="607">
        <v>0.17</v>
      </c>
      <c r="M4107">
        <v>7.3999999999999995</v>
      </c>
      <c r="N4107" s="381">
        <v>19</v>
      </c>
      <c r="O4107">
        <v>5</v>
      </c>
      <c r="P4107" t="s">
        <v>515</v>
      </c>
      <c r="Q4107" s="97" t="str">
        <f t="shared" si="537"/>
        <v/>
      </c>
      <c r="R4107" t="str">
        <f t="shared" si="538"/>
        <v/>
      </c>
    </row>
    <row r="4108" spans="3:18">
      <c r="C4108" t="str">
        <f t="shared" si="532"/>
        <v>NL</v>
      </c>
      <c r="D4108">
        <v>199</v>
      </c>
      <c r="E4108">
        <v>80</v>
      </c>
      <c r="F4108" s="366">
        <f t="shared" si="533"/>
        <v>1736</v>
      </c>
      <c r="G4108" s="97">
        <v>2606</v>
      </c>
      <c r="H4108" s="367">
        <f t="shared" si="534"/>
        <v>4342</v>
      </c>
      <c r="I4108" s="368">
        <f t="shared" si="535"/>
        <v>0</v>
      </c>
      <c r="J4108">
        <v>10313</v>
      </c>
      <c r="K4108" s="367">
        <f t="shared" si="536"/>
        <v>7366.4285714285716</v>
      </c>
      <c r="L4108" s="607">
        <v>0.52</v>
      </c>
      <c r="M4108">
        <v>7.3999999999999995</v>
      </c>
      <c r="N4108" s="381">
        <v>24</v>
      </c>
      <c r="O4108">
        <v>5</v>
      </c>
      <c r="P4108" t="s">
        <v>514</v>
      </c>
      <c r="Q4108" s="97" t="str">
        <f t="shared" si="537"/>
        <v/>
      </c>
      <c r="R4108" t="str">
        <f t="shared" si="538"/>
        <v/>
      </c>
    </row>
    <row r="4109" spans="3:18">
      <c r="C4109" t="str">
        <f t="shared" si="532"/>
        <v/>
      </c>
      <c r="D4109">
        <v>200</v>
      </c>
      <c r="E4109">
        <v>80</v>
      </c>
      <c r="F4109" s="366">
        <f t="shared" si="533"/>
        <v>1736</v>
      </c>
      <c r="G4109" s="97">
        <v>2458</v>
      </c>
      <c r="H4109" s="367">
        <f t="shared" si="534"/>
        <v>4194</v>
      </c>
      <c r="I4109" s="368">
        <f t="shared" si="535"/>
        <v>0</v>
      </c>
      <c r="J4109">
        <v>9726</v>
      </c>
      <c r="K4109" s="367">
        <f t="shared" si="536"/>
        <v>6947.1428571428569</v>
      </c>
      <c r="L4109" s="607">
        <v>0.37</v>
      </c>
      <c r="M4109">
        <v>8.6999999999999993</v>
      </c>
      <c r="N4109" s="381">
        <v>23</v>
      </c>
      <c r="O4109">
        <v>6</v>
      </c>
      <c r="P4109" t="s">
        <v>514</v>
      </c>
      <c r="Q4109" s="97">
        <f t="shared" si="537"/>
        <v>200</v>
      </c>
      <c r="R4109" t="str">
        <f t="shared" si="538"/>
        <v/>
      </c>
    </row>
    <row r="4110" spans="3:18">
      <c r="C4110" t="str">
        <f t="shared" si="532"/>
        <v>NL</v>
      </c>
      <c r="D4110">
        <v>201</v>
      </c>
      <c r="E4110">
        <v>80</v>
      </c>
      <c r="F4110" s="366">
        <f t="shared" si="533"/>
        <v>1736</v>
      </c>
      <c r="G4110" s="97">
        <v>3383</v>
      </c>
      <c r="H4110" s="367">
        <f t="shared" si="534"/>
        <v>5119</v>
      </c>
      <c r="I4110" s="368">
        <f t="shared" si="535"/>
        <v>0</v>
      </c>
      <c r="J4110">
        <v>13389</v>
      </c>
      <c r="K4110" s="367">
        <f t="shared" si="536"/>
        <v>9563.5714285714294</v>
      </c>
      <c r="L4110" s="607">
        <v>0.28000000000000003</v>
      </c>
      <c r="M4110">
        <v>1.3</v>
      </c>
      <c r="N4110" s="381">
        <v>22</v>
      </c>
      <c r="O4110">
        <v>7</v>
      </c>
      <c r="P4110" t="s">
        <v>514</v>
      </c>
      <c r="Q4110" s="97" t="str">
        <f t="shared" si="537"/>
        <v/>
      </c>
      <c r="R4110" t="str">
        <f t="shared" si="538"/>
        <v/>
      </c>
    </row>
    <row r="4111" spans="3:18">
      <c r="C4111" t="str">
        <f t="shared" si="532"/>
        <v>NL</v>
      </c>
      <c r="D4111">
        <v>202</v>
      </c>
      <c r="E4111">
        <v>80</v>
      </c>
      <c r="F4111" s="366">
        <f t="shared" si="533"/>
        <v>1736</v>
      </c>
      <c r="G4111" s="97">
        <v>4396</v>
      </c>
      <c r="H4111" s="367">
        <f t="shared" si="534"/>
        <v>6132</v>
      </c>
      <c r="I4111" s="368">
        <f t="shared" si="535"/>
        <v>0</v>
      </c>
      <c r="J4111">
        <v>17399</v>
      </c>
      <c r="K4111" s="367">
        <f t="shared" si="536"/>
        <v>12427.857142857143</v>
      </c>
      <c r="L4111" s="607">
        <v>0.92</v>
      </c>
      <c r="M4111">
        <v>1.3</v>
      </c>
      <c r="N4111" s="381">
        <v>27</v>
      </c>
      <c r="O4111">
        <v>7</v>
      </c>
      <c r="P4111" t="s">
        <v>513</v>
      </c>
      <c r="Q4111" s="97" t="str">
        <f t="shared" si="537"/>
        <v/>
      </c>
      <c r="R4111" t="str">
        <f t="shared" si="538"/>
        <v/>
      </c>
    </row>
    <row r="4112" spans="3:18">
      <c r="C4112" t="str">
        <f t="shared" si="532"/>
        <v/>
      </c>
      <c r="D4112">
        <v>203</v>
      </c>
      <c r="E4112">
        <v>80</v>
      </c>
      <c r="F4112" s="366">
        <f t="shared" si="533"/>
        <v>1736</v>
      </c>
      <c r="G4112" s="97">
        <v>2863</v>
      </c>
      <c r="H4112" s="367">
        <f t="shared" si="534"/>
        <v>4599</v>
      </c>
      <c r="I4112" s="368">
        <f t="shared" si="535"/>
        <v>0</v>
      </c>
      <c r="J4112">
        <v>11333</v>
      </c>
      <c r="K4112" s="367">
        <f t="shared" si="536"/>
        <v>8095</v>
      </c>
      <c r="L4112" s="607">
        <v>0.22</v>
      </c>
      <c r="M4112">
        <v>2.8000000000000003</v>
      </c>
      <c r="N4112" s="381">
        <v>22</v>
      </c>
      <c r="O4112">
        <v>8</v>
      </c>
      <c r="P4112" t="s">
        <v>514</v>
      </c>
      <c r="Q4112" s="97">
        <f t="shared" si="537"/>
        <v>203</v>
      </c>
      <c r="R4112" t="str">
        <f t="shared" si="538"/>
        <v/>
      </c>
    </row>
    <row r="4113" spans="3:18">
      <c r="C4113" t="str">
        <f t="shared" si="532"/>
        <v/>
      </c>
      <c r="D4113">
        <v>204</v>
      </c>
      <c r="E4113">
        <v>80</v>
      </c>
      <c r="F4113" s="366">
        <f t="shared" si="533"/>
        <v>1736</v>
      </c>
      <c r="G4113" s="97">
        <v>3907</v>
      </c>
      <c r="H4113" s="367">
        <f t="shared" si="534"/>
        <v>5643</v>
      </c>
      <c r="I4113" s="368">
        <f t="shared" si="535"/>
        <v>0</v>
      </c>
      <c r="J4113">
        <v>15462</v>
      </c>
      <c r="K4113" s="367">
        <f t="shared" si="536"/>
        <v>11044.285714285714</v>
      </c>
      <c r="L4113" s="607">
        <v>0.72</v>
      </c>
      <c r="M4113">
        <v>2.8000000000000003</v>
      </c>
      <c r="N4113" s="381">
        <v>26</v>
      </c>
      <c r="O4113">
        <v>8</v>
      </c>
      <c r="P4113" t="s">
        <v>513</v>
      </c>
      <c r="Q4113" s="97" t="str">
        <f t="shared" si="537"/>
        <v/>
      </c>
      <c r="R4113" t="str">
        <f t="shared" si="538"/>
        <v/>
      </c>
    </row>
    <row r="4114" spans="3:18">
      <c r="C4114" t="str">
        <f t="shared" si="532"/>
        <v>NL</v>
      </c>
      <c r="D4114">
        <v>205</v>
      </c>
      <c r="E4114">
        <v>80</v>
      </c>
      <c r="F4114" s="366">
        <f t="shared" si="533"/>
        <v>1736</v>
      </c>
      <c r="G4114" s="97">
        <v>3967</v>
      </c>
      <c r="H4114" s="367">
        <f t="shared" si="534"/>
        <v>5703</v>
      </c>
      <c r="I4114" s="368">
        <f t="shared" si="535"/>
        <v>0</v>
      </c>
      <c r="J4114">
        <v>15701</v>
      </c>
      <c r="K4114" s="367">
        <f t="shared" si="536"/>
        <v>11215</v>
      </c>
      <c r="L4114" s="607">
        <v>0.19</v>
      </c>
      <c r="M4114">
        <v>1.7000000000000002</v>
      </c>
      <c r="N4114" s="381">
        <v>22</v>
      </c>
      <c r="O4114">
        <v>9</v>
      </c>
      <c r="P4114" t="s">
        <v>514</v>
      </c>
      <c r="Q4114" s="97" t="str">
        <f t="shared" si="537"/>
        <v/>
      </c>
      <c r="R4114" t="str">
        <f t="shared" si="538"/>
        <v/>
      </c>
    </row>
    <row r="4115" spans="3:18">
      <c r="C4115" t="str">
        <f t="shared" si="532"/>
        <v>NL</v>
      </c>
      <c r="D4115">
        <v>206</v>
      </c>
      <c r="E4115">
        <v>80</v>
      </c>
      <c r="F4115" s="366">
        <f t="shared" si="533"/>
        <v>1736</v>
      </c>
      <c r="G4115" s="97">
        <v>5246</v>
      </c>
      <c r="H4115" s="367">
        <f t="shared" si="534"/>
        <v>6982</v>
      </c>
      <c r="I4115" s="368">
        <f t="shared" si="535"/>
        <v>0</v>
      </c>
      <c r="J4115">
        <v>20760</v>
      </c>
      <c r="K4115" s="367">
        <f t="shared" si="536"/>
        <v>14828.571428571429</v>
      </c>
      <c r="L4115" s="607">
        <v>0.57999999999999996</v>
      </c>
      <c r="M4115">
        <v>1.7000000000000002</v>
      </c>
      <c r="N4115" s="381">
        <v>26</v>
      </c>
      <c r="O4115">
        <v>9</v>
      </c>
      <c r="P4115" t="s">
        <v>513</v>
      </c>
      <c r="Q4115" s="97" t="str">
        <f t="shared" si="537"/>
        <v/>
      </c>
      <c r="R4115" t="str">
        <f t="shared" si="538"/>
        <v/>
      </c>
    </row>
    <row r="4116" spans="3:18">
      <c r="C4116" t="str">
        <f t="shared" si="532"/>
        <v/>
      </c>
      <c r="D4116">
        <v>207</v>
      </c>
      <c r="E4116">
        <v>80</v>
      </c>
      <c r="F4116" s="366">
        <f t="shared" si="533"/>
        <v>1736</v>
      </c>
      <c r="G4116" s="97">
        <v>5532</v>
      </c>
      <c r="H4116" s="367">
        <f t="shared" si="534"/>
        <v>7268</v>
      </c>
      <c r="I4116" s="368">
        <f t="shared" si="535"/>
        <v>0</v>
      </c>
      <c r="J4116">
        <v>21893</v>
      </c>
      <c r="K4116" s="367">
        <f t="shared" si="536"/>
        <v>15637.857142857143</v>
      </c>
      <c r="L4116" s="607">
        <v>0.48</v>
      </c>
      <c r="M4116">
        <v>3.7</v>
      </c>
      <c r="N4116" s="381">
        <v>26</v>
      </c>
      <c r="O4116">
        <v>10</v>
      </c>
      <c r="P4116" t="s">
        <v>513</v>
      </c>
      <c r="Q4116" s="97" t="str">
        <f t="shared" si="537"/>
        <v/>
      </c>
      <c r="R4116" t="str">
        <f t="shared" si="538"/>
        <v/>
      </c>
    </row>
    <row r="4117" spans="3:18">
      <c r="C4117" t="str">
        <f t="shared" si="532"/>
        <v/>
      </c>
      <c r="D4117">
        <v>208</v>
      </c>
      <c r="E4117">
        <v>80</v>
      </c>
      <c r="F4117" s="366">
        <f t="shared" si="533"/>
        <v>1736</v>
      </c>
      <c r="G4117" s="97">
        <v>5913</v>
      </c>
      <c r="H4117" s="367">
        <f t="shared" si="534"/>
        <v>7649</v>
      </c>
      <c r="I4117" s="368">
        <f t="shared" si="535"/>
        <v>0</v>
      </c>
      <c r="J4117">
        <v>23401</v>
      </c>
      <c r="K4117" s="367">
        <f t="shared" si="536"/>
        <v>16715</v>
      </c>
      <c r="L4117" s="607">
        <v>1.1300000000000001</v>
      </c>
      <c r="M4117">
        <v>3.7</v>
      </c>
      <c r="N4117" s="381">
        <v>31</v>
      </c>
      <c r="O4117">
        <v>10</v>
      </c>
      <c r="P4117" t="s">
        <v>512</v>
      </c>
      <c r="Q4117" s="97" t="str">
        <f t="shared" si="537"/>
        <v/>
      </c>
      <c r="R4117" t="str">
        <f t="shared" si="538"/>
        <v/>
      </c>
    </row>
    <row r="4118" spans="3:18">
      <c r="C4118" t="str">
        <f t="shared" ref="C4118:C4181" si="539">IF(OR($O$4=0,O4118-$O$4=0),IF(AND(ISEVEN(O4118)=FALSE,$N$4="Even"),"NL",""),"NL")</f>
        <v/>
      </c>
      <c r="D4118">
        <v>209</v>
      </c>
      <c r="E4118">
        <v>80</v>
      </c>
      <c r="F4118" s="366">
        <f t="shared" si="533"/>
        <v>1736</v>
      </c>
      <c r="G4118" s="97">
        <v>5913</v>
      </c>
      <c r="H4118" s="367">
        <f t="shared" si="534"/>
        <v>7649</v>
      </c>
      <c r="I4118" s="368">
        <f t="shared" si="535"/>
        <v>0</v>
      </c>
      <c r="J4118">
        <v>23401</v>
      </c>
      <c r="K4118" s="367">
        <f t="shared" si="536"/>
        <v>16715</v>
      </c>
      <c r="L4118" s="607">
        <v>1.1300000000000001</v>
      </c>
      <c r="M4118">
        <v>3.7</v>
      </c>
      <c r="N4118" s="381">
        <v>31</v>
      </c>
      <c r="O4118">
        <v>10</v>
      </c>
      <c r="P4118" t="s">
        <v>512</v>
      </c>
      <c r="Q4118" s="97" t="str">
        <f t="shared" si="537"/>
        <v/>
      </c>
      <c r="R4118" t="str">
        <f t="shared" si="538"/>
        <v/>
      </c>
    </row>
    <row r="4119" spans="3:18">
      <c r="C4119" t="str">
        <f t="shared" si="539"/>
        <v>NL</v>
      </c>
      <c r="D4119">
        <v>210</v>
      </c>
      <c r="E4119">
        <v>85</v>
      </c>
      <c r="F4119" s="366">
        <f t="shared" si="533"/>
        <v>1844.5</v>
      </c>
      <c r="G4119" s="97">
        <v>1574</v>
      </c>
      <c r="H4119" s="367">
        <f t="shared" si="534"/>
        <v>3418.5</v>
      </c>
      <c r="I4119" s="368">
        <f t="shared" si="535"/>
        <v>0</v>
      </c>
      <c r="J4119">
        <v>6230</v>
      </c>
      <c r="K4119" s="367">
        <f t="shared" si="536"/>
        <v>4450</v>
      </c>
      <c r="L4119" s="607">
        <v>0.59</v>
      </c>
      <c r="M4119">
        <v>4.8</v>
      </c>
      <c r="N4119" s="381">
        <v>24</v>
      </c>
      <c r="O4119">
        <v>3</v>
      </c>
      <c r="P4119" t="s">
        <v>515</v>
      </c>
      <c r="Q4119" s="97" t="str">
        <f t="shared" si="537"/>
        <v/>
      </c>
      <c r="R4119" t="str">
        <f t="shared" si="538"/>
        <v/>
      </c>
    </row>
    <row r="4120" spans="3:18">
      <c r="C4120" t="str">
        <f t="shared" si="539"/>
        <v/>
      </c>
      <c r="D4120">
        <v>211</v>
      </c>
      <c r="E4120">
        <v>85</v>
      </c>
      <c r="F4120" s="366">
        <f t="shared" si="533"/>
        <v>1844.5</v>
      </c>
      <c r="G4120" s="97">
        <v>1692</v>
      </c>
      <c r="H4120" s="367">
        <f t="shared" si="534"/>
        <v>3536.5</v>
      </c>
      <c r="I4120" s="368">
        <f t="shared" si="535"/>
        <v>0</v>
      </c>
      <c r="J4120">
        <v>6697</v>
      </c>
      <c r="K4120" s="367">
        <f t="shared" si="536"/>
        <v>4783.5714285714284</v>
      </c>
      <c r="L4120" s="607">
        <v>0.3</v>
      </c>
      <c r="M4120">
        <v>6.1</v>
      </c>
      <c r="N4120" s="381">
        <v>21</v>
      </c>
      <c r="O4120">
        <v>4</v>
      </c>
      <c r="P4120" t="s">
        <v>515</v>
      </c>
      <c r="Q4120" s="97">
        <f t="shared" si="537"/>
        <v>211</v>
      </c>
      <c r="R4120" t="str">
        <f t="shared" si="538"/>
        <v/>
      </c>
    </row>
    <row r="4121" spans="3:18">
      <c r="C4121" t="str">
        <f t="shared" si="539"/>
        <v/>
      </c>
      <c r="D4121">
        <v>212</v>
      </c>
      <c r="E4121">
        <v>85</v>
      </c>
      <c r="F4121" s="366">
        <f t="shared" si="533"/>
        <v>1844.5</v>
      </c>
      <c r="G4121" s="97">
        <v>2301</v>
      </c>
      <c r="H4121" s="367">
        <f t="shared" si="534"/>
        <v>4145.5</v>
      </c>
      <c r="I4121" s="368">
        <f t="shared" si="535"/>
        <v>0</v>
      </c>
      <c r="J4121">
        <v>9106</v>
      </c>
      <c r="K4121" s="367">
        <f t="shared" si="536"/>
        <v>6504.2857142857147</v>
      </c>
      <c r="L4121" s="607">
        <v>0.93</v>
      </c>
      <c r="M4121">
        <v>6.1</v>
      </c>
      <c r="N4121" s="381">
        <v>26</v>
      </c>
      <c r="O4121">
        <v>4</v>
      </c>
      <c r="P4121" t="s">
        <v>514</v>
      </c>
      <c r="Q4121" s="97" t="str">
        <f t="shared" si="537"/>
        <v/>
      </c>
      <c r="R4121" t="str">
        <f t="shared" si="538"/>
        <v/>
      </c>
    </row>
    <row r="4122" spans="3:18">
      <c r="C4122" t="str">
        <f t="shared" si="539"/>
        <v>NL</v>
      </c>
      <c r="D4122">
        <v>213</v>
      </c>
      <c r="E4122">
        <v>85</v>
      </c>
      <c r="F4122" s="366">
        <f t="shared" si="533"/>
        <v>1844.5</v>
      </c>
      <c r="G4122" s="97">
        <v>2052</v>
      </c>
      <c r="H4122" s="367">
        <f t="shared" si="534"/>
        <v>3896.5</v>
      </c>
      <c r="I4122" s="368">
        <f t="shared" si="535"/>
        <v>0</v>
      </c>
      <c r="J4122">
        <v>8122</v>
      </c>
      <c r="K4122" s="367">
        <f t="shared" si="536"/>
        <v>5801.4285714285716</v>
      </c>
      <c r="L4122" s="607">
        <v>0.19</v>
      </c>
      <c r="M4122">
        <v>7.3999999999999995</v>
      </c>
      <c r="N4122" s="381">
        <v>19</v>
      </c>
      <c r="O4122">
        <v>5</v>
      </c>
      <c r="P4122" t="s">
        <v>515</v>
      </c>
      <c r="Q4122" s="97" t="str">
        <f t="shared" si="537"/>
        <v/>
      </c>
      <c r="R4122" t="str">
        <f t="shared" si="538"/>
        <v/>
      </c>
    </row>
    <row r="4123" spans="3:18">
      <c r="C4123" t="str">
        <f t="shared" si="539"/>
        <v>NL</v>
      </c>
      <c r="D4123">
        <v>214</v>
      </c>
      <c r="E4123">
        <v>85</v>
      </c>
      <c r="F4123" s="366">
        <f t="shared" si="533"/>
        <v>1844.5</v>
      </c>
      <c r="G4123" s="97">
        <v>2716</v>
      </c>
      <c r="H4123" s="367">
        <f t="shared" si="534"/>
        <v>4560.5</v>
      </c>
      <c r="I4123" s="368">
        <f t="shared" si="535"/>
        <v>0</v>
      </c>
      <c r="J4123">
        <v>10751</v>
      </c>
      <c r="K4123" s="367">
        <f t="shared" si="536"/>
        <v>7679.2857142857147</v>
      </c>
      <c r="L4123" s="607">
        <v>0.59</v>
      </c>
      <c r="M4123">
        <v>7.3999999999999995</v>
      </c>
      <c r="N4123" s="381">
        <v>24</v>
      </c>
      <c r="O4123">
        <v>5</v>
      </c>
      <c r="P4123" t="s">
        <v>514</v>
      </c>
      <c r="Q4123" s="97" t="str">
        <f t="shared" si="537"/>
        <v/>
      </c>
      <c r="R4123" t="str">
        <f t="shared" si="538"/>
        <v/>
      </c>
    </row>
    <row r="4124" spans="3:18">
      <c r="C4124" t="str">
        <f t="shared" si="539"/>
        <v/>
      </c>
      <c r="D4124">
        <v>215</v>
      </c>
      <c r="E4124">
        <v>85</v>
      </c>
      <c r="F4124" s="366">
        <f t="shared" si="533"/>
        <v>1844.5</v>
      </c>
      <c r="G4124" s="97">
        <v>2574</v>
      </c>
      <c r="H4124" s="367">
        <f t="shared" si="534"/>
        <v>4418.5</v>
      </c>
      <c r="I4124" s="368">
        <f t="shared" si="535"/>
        <v>0</v>
      </c>
      <c r="J4124">
        <v>10187</v>
      </c>
      <c r="K4124" s="367">
        <f t="shared" si="536"/>
        <v>7276.4285714285716</v>
      </c>
      <c r="L4124" s="607">
        <v>0.42</v>
      </c>
      <c r="M4124">
        <v>8.6999999999999993</v>
      </c>
      <c r="N4124" s="381">
        <v>24</v>
      </c>
      <c r="O4124">
        <v>6</v>
      </c>
      <c r="P4124" t="s">
        <v>514</v>
      </c>
      <c r="Q4124" s="97">
        <f t="shared" si="537"/>
        <v>215</v>
      </c>
      <c r="R4124" t="str">
        <f t="shared" si="538"/>
        <v/>
      </c>
    </row>
    <row r="4125" spans="3:18">
      <c r="C4125" t="str">
        <f t="shared" si="539"/>
        <v>NL</v>
      </c>
      <c r="D4125">
        <v>216</v>
      </c>
      <c r="E4125">
        <v>85</v>
      </c>
      <c r="F4125" s="366">
        <f t="shared" si="533"/>
        <v>1844.5</v>
      </c>
      <c r="G4125" s="97">
        <v>3531</v>
      </c>
      <c r="H4125" s="367">
        <f t="shared" si="534"/>
        <v>5375.5</v>
      </c>
      <c r="I4125" s="368">
        <f t="shared" si="535"/>
        <v>0</v>
      </c>
      <c r="J4125">
        <v>13975</v>
      </c>
      <c r="K4125" s="367">
        <f t="shared" si="536"/>
        <v>9982.1428571428569</v>
      </c>
      <c r="L4125" s="607">
        <v>0.32</v>
      </c>
      <c r="M4125">
        <v>1.3</v>
      </c>
      <c r="N4125" s="381">
        <v>23</v>
      </c>
      <c r="O4125">
        <v>7</v>
      </c>
      <c r="P4125" t="s">
        <v>514</v>
      </c>
      <c r="Q4125" s="97" t="str">
        <f t="shared" si="537"/>
        <v/>
      </c>
      <c r="R4125" t="str">
        <f t="shared" si="538"/>
        <v/>
      </c>
    </row>
    <row r="4126" spans="3:18">
      <c r="C4126" t="str">
        <f t="shared" si="539"/>
        <v>NL</v>
      </c>
      <c r="D4126">
        <v>217</v>
      </c>
      <c r="E4126">
        <v>85</v>
      </c>
      <c r="F4126" s="366">
        <f t="shared" si="533"/>
        <v>1844.5</v>
      </c>
      <c r="G4126" s="97">
        <v>4571</v>
      </c>
      <c r="H4126" s="367">
        <f t="shared" si="534"/>
        <v>6415.5</v>
      </c>
      <c r="I4126" s="368">
        <f t="shared" si="535"/>
        <v>0</v>
      </c>
      <c r="J4126">
        <v>18090</v>
      </c>
      <c r="K4126" s="367">
        <f t="shared" si="536"/>
        <v>12921.428571428572</v>
      </c>
      <c r="L4126" s="607">
        <v>1.04</v>
      </c>
      <c r="M4126">
        <v>1.3</v>
      </c>
      <c r="N4126" s="381">
        <v>28</v>
      </c>
      <c r="O4126">
        <v>7</v>
      </c>
      <c r="P4126" t="s">
        <v>513</v>
      </c>
      <c r="Q4126" s="97" t="str">
        <f t="shared" si="537"/>
        <v/>
      </c>
      <c r="R4126" t="str">
        <f t="shared" si="538"/>
        <v/>
      </c>
    </row>
    <row r="4127" spans="3:18">
      <c r="C4127" t="str">
        <f t="shared" si="539"/>
        <v/>
      </c>
      <c r="D4127">
        <v>218</v>
      </c>
      <c r="E4127">
        <v>85</v>
      </c>
      <c r="F4127" s="366">
        <f t="shared" si="533"/>
        <v>1844.5</v>
      </c>
      <c r="G4127" s="97">
        <v>2999</v>
      </c>
      <c r="H4127" s="367">
        <f t="shared" si="534"/>
        <v>4843.5</v>
      </c>
      <c r="I4127" s="368">
        <f t="shared" si="535"/>
        <v>0</v>
      </c>
      <c r="J4127">
        <v>11868</v>
      </c>
      <c r="K4127" s="367">
        <f t="shared" si="536"/>
        <v>8477.1428571428569</v>
      </c>
      <c r="L4127" s="607">
        <v>0.25</v>
      </c>
      <c r="M4127">
        <v>2.8000000000000003</v>
      </c>
      <c r="N4127" s="381">
        <v>23</v>
      </c>
      <c r="O4127">
        <v>8</v>
      </c>
      <c r="P4127" t="s">
        <v>514</v>
      </c>
      <c r="Q4127" s="97">
        <f t="shared" si="537"/>
        <v>218</v>
      </c>
      <c r="R4127" t="str">
        <f t="shared" si="538"/>
        <v/>
      </c>
    </row>
    <row r="4128" spans="3:18">
      <c r="C4128" t="str">
        <f t="shared" si="539"/>
        <v/>
      </c>
      <c r="D4128">
        <v>219</v>
      </c>
      <c r="E4128">
        <v>85</v>
      </c>
      <c r="F4128" s="366">
        <f t="shared" si="533"/>
        <v>1844.5</v>
      </c>
      <c r="G4128" s="97">
        <v>4074</v>
      </c>
      <c r="H4128" s="367">
        <f t="shared" si="534"/>
        <v>5918.5</v>
      </c>
      <c r="I4128" s="368">
        <f t="shared" si="535"/>
        <v>0</v>
      </c>
      <c r="J4128">
        <v>16122</v>
      </c>
      <c r="K4128" s="367">
        <f t="shared" si="536"/>
        <v>11515.714285714286</v>
      </c>
      <c r="L4128" s="607">
        <v>0.81</v>
      </c>
      <c r="M4128">
        <v>2.8000000000000003</v>
      </c>
      <c r="N4128" s="381">
        <v>27</v>
      </c>
      <c r="O4128">
        <v>8</v>
      </c>
      <c r="P4128" t="s">
        <v>513</v>
      </c>
      <c r="Q4128" s="97" t="str">
        <f t="shared" si="537"/>
        <v/>
      </c>
      <c r="R4128" t="str">
        <f t="shared" si="538"/>
        <v/>
      </c>
    </row>
    <row r="4129" spans="3:18">
      <c r="C4129" t="str">
        <f t="shared" si="539"/>
        <v>NL</v>
      </c>
      <c r="D4129">
        <v>220</v>
      </c>
      <c r="E4129">
        <v>85</v>
      </c>
      <c r="F4129" s="366">
        <f t="shared" si="533"/>
        <v>1844.5</v>
      </c>
      <c r="G4129" s="97">
        <v>4150</v>
      </c>
      <c r="H4129" s="367">
        <f t="shared" si="534"/>
        <v>5994.5</v>
      </c>
      <c r="I4129" s="368">
        <f t="shared" si="535"/>
        <v>0</v>
      </c>
      <c r="J4129">
        <v>16423</v>
      </c>
      <c r="K4129" s="367">
        <f t="shared" si="536"/>
        <v>11730.714285714286</v>
      </c>
      <c r="L4129" s="607">
        <v>0.21000000000000002</v>
      </c>
      <c r="M4129">
        <v>1.7000000000000002</v>
      </c>
      <c r="N4129" s="381">
        <v>23</v>
      </c>
      <c r="O4129">
        <v>9</v>
      </c>
      <c r="P4129" t="s">
        <v>514</v>
      </c>
      <c r="Q4129" s="97" t="str">
        <f t="shared" si="537"/>
        <v/>
      </c>
      <c r="R4129" t="str">
        <f t="shared" si="538"/>
        <v/>
      </c>
    </row>
    <row r="4130" spans="3:18">
      <c r="C4130" t="str">
        <f t="shared" si="539"/>
        <v>NL</v>
      </c>
      <c r="D4130">
        <v>221</v>
      </c>
      <c r="E4130">
        <v>85</v>
      </c>
      <c r="F4130" s="366">
        <f t="shared" si="533"/>
        <v>1844.5</v>
      </c>
      <c r="G4130" s="97">
        <v>5455</v>
      </c>
      <c r="H4130" s="367">
        <f t="shared" si="534"/>
        <v>7299.5</v>
      </c>
      <c r="I4130" s="368">
        <f t="shared" si="535"/>
        <v>0</v>
      </c>
      <c r="J4130">
        <v>21589</v>
      </c>
      <c r="K4130" s="367">
        <f t="shared" si="536"/>
        <v>15420.714285714286</v>
      </c>
      <c r="L4130" s="607">
        <v>0.66</v>
      </c>
      <c r="M4130">
        <v>1.7000000000000002</v>
      </c>
      <c r="N4130" s="381">
        <v>27</v>
      </c>
      <c r="O4130">
        <v>9</v>
      </c>
      <c r="P4130" t="s">
        <v>513</v>
      </c>
      <c r="Q4130" s="97" t="str">
        <f t="shared" si="537"/>
        <v/>
      </c>
      <c r="R4130" t="str">
        <f t="shared" si="538"/>
        <v/>
      </c>
    </row>
    <row r="4131" spans="3:18">
      <c r="C4131" t="str">
        <f t="shared" si="539"/>
        <v/>
      </c>
      <c r="D4131">
        <v>222</v>
      </c>
      <c r="E4131">
        <v>85</v>
      </c>
      <c r="F4131" s="366">
        <f t="shared" si="533"/>
        <v>1844.5</v>
      </c>
      <c r="G4131" s="97">
        <v>4368</v>
      </c>
      <c r="H4131" s="367">
        <f t="shared" si="534"/>
        <v>6212.5</v>
      </c>
      <c r="I4131" s="368">
        <f t="shared" si="535"/>
        <v>0</v>
      </c>
      <c r="J4131">
        <v>17287</v>
      </c>
      <c r="K4131" s="367">
        <f t="shared" si="536"/>
        <v>12347.857142857143</v>
      </c>
      <c r="L4131" s="607">
        <v>0.18000000000000002</v>
      </c>
      <c r="M4131">
        <v>3.7</v>
      </c>
      <c r="N4131" s="381">
        <v>23</v>
      </c>
      <c r="O4131">
        <v>10</v>
      </c>
      <c r="P4131" t="s">
        <v>514</v>
      </c>
      <c r="Q4131" s="97" t="str">
        <f t="shared" si="537"/>
        <v/>
      </c>
      <c r="R4131" t="str">
        <f t="shared" si="538"/>
        <v/>
      </c>
    </row>
    <row r="4132" spans="3:18">
      <c r="C4132" t="str">
        <f t="shared" si="539"/>
        <v/>
      </c>
      <c r="D4132">
        <v>223</v>
      </c>
      <c r="E4132">
        <v>85</v>
      </c>
      <c r="F4132" s="366">
        <f t="shared" si="533"/>
        <v>1844.5</v>
      </c>
      <c r="G4132" s="97">
        <v>5770</v>
      </c>
      <c r="H4132" s="367">
        <f t="shared" si="534"/>
        <v>7614.5</v>
      </c>
      <c r="I4132" s="368">
        <f t="shared" si="535"/>
        <v>0</v>
      </c>
      <c r="J4132">
        <v>22836</v>
      </c>
      <c r="K4132" s="367">
        <f t="shared" si="536"/>
        <v>16311.428571428572</v>
      </c>
      <c r="L4132" s="607">
        <v>0.55000000000000004</v>
      </c>
      <c r="M4132">
        <v>3.7</v>
      </c>
      <c r="N4132" s="381">
        <v>27</v>
      </c>
      <c r="O4132">
        <v>10</v>
      </c>
      <c r="P4132" t="s">
        <v>513</v>
      </c>
      <c r="Q4132" s="97" t="str">
        <f t="shared" si="537"/>
        <v/>
      </c>
      <c r="R4132" t="str">
        <f t="shared" si="538"/>
        <v/>
      </c>
    </row>
    <row r="4133" spans="3:18">
      <c r="C4133" t="str">
        <f t="shared" si="539"/>
        <v>NL</v>
      </c>
      <c r="D4133">
        <v>224</v>
      </c>
      <c r="E4133">
        <v>90</v>
      </c>
      <c r="F4133" s="366">
        <f t="shared" si="533"/>
        <v>1953</v>
      </c>
      <c r="G4133" s="97">
        <v>1642</v>
      </c>
      <c r="H4133" s="367">
        <f t="shared" si="534"/>
        <v>3595</v>
      </c>
      <c r="I4133" s="368">
        <f t="shared" si="535"/>
        <v>0</v>
      </c>
      <c r="J4133">
        <v>6501</v>
      </c>
      <c r="K4133" s="367">
        <f t="shared" si="536"/>
        <v>4643.5714285714284</v>
      </c>
      <c r="L4133" s="607">
        <v>0.66</v>
      </c>
      <c r="M4133">
        <v>4.8</v>
      </c>
      <c r="N4133" s="381">
        <v>25</v>
      </c>
      <c r="O4133">
        <v>3</v>
      </c>
      <c r="P4133" t="s">
        <v>515</v>
      </c>
      <c r="Q4133" s="97" t="str">
        <f t="shared" si="537"/>
        <v/>
      </c>
      <c r="R4133" t="str">
        <f t="shared" si="538"/>
        <v/>
      </c>
    </row>
    <row r="4134" spans="3:18">
      <c r="C4134" t="str">
        <f t="shared" si="539"/>
        <v/>
      </c>
      <c r="D4134">
        <v>225</v>
      </c>
      <c r="E4134">
        <v>90</v>
      </c>
      <c r="F4134" s="366">
        <f t="shared" si="533"/>
        <v>1953</v>
      </c>
      <c r="G4134" s="97">
        <v>1767</v>
      </c>
      <c r="H4134" s="367">
        <f t="shared" si="534"/>
        <v>3720</v>
      </c>
      <c r="I4134" s="368">
        <f t="shared" si="535"/>
        <v>0</v>
      </c>
      <c r="J4134">
        <v>6995</v>
      </c>
      <c r="K4134" s="367">
        <f t="shared" si="536"/>
        <v>4996.4285714285716</v>
      </c>
      <c r="L4134" s="607">
        <v>0.34</v>
      </c>
      <c r="M4134">
        <v>6.1</v>
      </c>
      <c r="N4134" s="381">
        <v>21</v>
      </c>
      <c r="O4134">
        <v>4</v>
      </c>
      <c r="P4134" t="s">
        <v>515</v>
      </c>
      <c r="Q4134" s="97">
        <f t="shared" si="537"/>
        <v>225</v>
      </c>
      <c r="R4134" t="str">
        <f t="shared" si="538"/>
        <v/>
      </c>
    </row>
    <row r="4135" spans="3:18">
      <c r="C4135" t="str">
        <f t="shared" si="539"/>
        <v/>
      </c>
      <c r="D4135">
        <v>226</v>
      </c>
      <c r="E4135">
        <v>90</v>
      </c>
      <c r="F4135" s="366">
        <f t="shared" si="533"/>
        <v>1953</v>
      </c>
      <c r="G4135" s="97">
        <v>2390</v>
      </c>
      <c r="H4135" s="367">
        <f t="shared" si="534"/>
        <v>4343</v>
      </c>
      <c r="I4135" s="368">
        <f t="shared" si="535"/>
        <v>0</v>
      </c>
      <c r="J4135">
        <v>9458</v>
      </c>
      <c r="K4135" s="367">
        <f t="shared" si="536"/>
        <v>6755.7142857142862</v>
      </c>
      <c r="L4135" s="607">
        <v>1.04</v>
      </c>
      <c r="M4135">
        <v>6.1</v>
      </c>
      <c r="N4135" s="381">
        <v>26</v>
      </c>
      <c r="O4135">
        <v>4</v>
      </c>
      <c r="P4135" t="s">
        <v>514</v>
      </c>
      <c r="Q4135" s="97" t="str">
        <f t="shared" si="537"/>
        <v/>
      </c>
      <c r="R4135" t="str">
        <f t="shared" si="538"/>
        <v/>
      </c>
    </row>
    <row r="4136" spans="3:18">
      <c r="C4136" t="str">
        <f t="shared" si="539"/>
        <v>NL</v>
      </c>
      <c r="D4136">
        <v>227</v>
      </c>
      <c r="E4136">
        <v>90</v>
      </c>
      <c r="F4136" s="366">
        <f t="shared" si="533"/>
        <v>1953</v>
      </c>
      <c r="G4136" s="97">
        <v>2141</v>
      </c>
      <c r="H4136" s="367">
        <f t="shared" si="534"/>
        <v>4094</v>
      </c>
      <c r="I4136" s="368">
        <f t="shared" si="535"/>
        <v>0</v>
      </c>
      <c r="J4136">
        <v>8474</v>
      </c>
      <c r="K4136" s="367">
        <f t="shared" si="536"/>
        <v>6052.8571428571431</v>
      </c>
      <c r="L4136" s="607">
        <v>0.22</v>
      </c>
      <c r="M4136">
        <v>7.3999999999999995</v>
      </c>
      <c r="N4136" s="381">
        <v>20</v>
      </c>
      <c r="O4136">
        <v>5</v>
      </c>
      <c r="P4136" t="s">
        <v>515</v>
      </c>
      <c r="Q4136" s="97" t="str">
        <f t="shared" si="537"/>
        <v/>
      </c>
      <c r="R4136" t="str">
        <f t="shared" si="538"/>
        <v/>
      </c>
    </row>
    <row r="4137" spans="3:18">
      <c r="C4137" t="str">
        <f t="shared" si="539"/>
        <v>NL</v>
      </c>
      <c r="D4137">
        <v>228</v>
      </c>
      <c r="E4137">
        <v>90</v>
      </c>
      <c r="F4137" s="366">
        <f t="shared" si="533"/>
        <v>1953</v>
      </c>
      <c r="G4137" s="97">
        <v>2827</v>
      </c>
      <c r="H4137" s="367">
        <f t="shared" si="534"/>
        <v>4780</v>
      </c>
      <c r="I4137" s="368">
        <f t="shared" si="535"/>
        <v>0</v>
      </c>
      <c r="J4137">
        <v>11189</v>
      </c>
      <c r="K4137" s="367">
        <f t="shared" si="536"/>
        <v>7992.1428571428569</v>
      </c>
      <c r="L4137" s="607">
        <v>0.66</v>
      </c>
      <c r="M4137">
        <v>7.3999999999999995</v>
      </c>
      <c r="N4137" s="381">
        <v>25</v>
      </c>
      <c r="O4137">
        <v>5</v>
      </c>
      <c r="P4137" t="s">
        <v>514</v>
      </c>
      <c r="Q4137" s="97" t="str">
        <f t="shared" si="537"/>
        <v/>
      </c>
      <c r="R4137" t="str">
        <f t="shared" si="538"/>
        <v/>
      </c>
    </row>
    <row r="4138" spans="3:18">
      <c r="C4138" t="str">
        <f t="shared" si="539"/>
        <v/>
      </c>
      <c r="D4138">
        <v>229</v>
      </c>
      <c r="E4138">
        <v>90</v>
      </c>
      <c r="F4138" s="366">
        <f t="shared" si="533"/>
        <v>1953</v>
      </c>
      <c r="G4138" s="97">
        <v>1924</v>
      </c>
      <c r="H4138" s="367">
        <f t="shared" si="534"/>
        <v>3877</v>
      </c>
      <c r="I4138" s="368">
        <f t="shared" si="535"/>
        <v>0</v>
      </c>
      <c r="J4138">
        <v>7615</v>
      </c>
      <c r="K4138" s="367">
        <f t="shared" si="536"/>
        <v>5439.2857142857147</v>
      </c>
      <c r="L4138" s="607">
        <v>0.15000000000000002</v>
      </c>
      <c r="M4138">
        <v>8.6999999999999993</v>
      </c>
      <c r="N4138" s="381">
        <v>20</v>
      </c>
      <c r="O4138">
        <v>6</v>
      </c>
      <c r="P4138" t="s">
        <v>515</v>
      </c>
      <c r="Q4138" s="97">
        <f t="shared" si="537"/>
        <v>229</v>
      </c>
      <c r="R4138" t="str">
        <f t="shared" si="538"/>
        <v/>
      </c>
    </row>
    <row r="4139" spans="3:18">
      <c r="C4139" t="str">
        <f t="shared" si="539"/>
        <v/>
      </c>
      <c r="D4139">
        <v>230</v>
      </c>
      <c r="E4139">
        <v>90</v>
      </c>
      <c r="F4139" s="366">
        <f t="shared" si="533"/>
        <v>1953</v>
      </c>
      <c r="G4139" s="97">
        <v>2678</v>
      </c>
      <c r="H4139" s="367">
        <f t="shared" si="534"/>
        <v>4631</v>
      </c>
      <c r="I4139" s="368">
        <f t="shared" si="535"/>
        <v>0</v>
      </c>
      <c r="J4139">
        <v>10600</v>
      </c>
      <c r="K4139" s="367">
        <f t="shared" si="536"/>
        <v>7571.4285714285716</v>
      </c>
      <c r="L4139" s="607">
        <v>0.47000000000000003</v>
      </c>
      <c r="M4139">
        <v>8.6999999999999993</v>
      </c>
      <c r="N4139" s="381">
        <v>24</v>
      </c>
      <c r="O4139">
        <v>6</v>
      </c>
      <c r="P4139" t="s">
        <v>514</v>
      </c>
      <c r="Q4139" s="97">
        <f t="shared" si="537"/>
        <v>230</v>
      </c>
      <c r="R4139" t="str">
        <f t="shared" si="538"/>
        <v/>
      </c>
    </row>
    <row r="4140" spans="3:18">
      <c r="C4140" t="str">
        <f t="shared" si="539"/>
        <v>NL</v>
      </c>
      <c r="D4140">
        <v>231</v>
      </c>
      <c r="E4140">
        <v>90</v>
      </c>
      <c r="F4140" s="366">
        <f t="shared" si="533"/>
        <v>1953</v>
      </c>
      <c r="G4140" s="97">
        <v>3679</v>
      </c>
      <c r="H4140" s="367">
        <f t="shared" si="534"/>
        <v>5632</v>
      </c>
      <c r="I4140" s="368">
        <f t="shared" si="535"/>
        <v>0</v>
      </c>
      <c r="J4140">
        <v>14560</v>
      </c>
      <c r="K4140" s="367">
        <f t="shared" si="536"/>
        <v>10400</v>
      </c>
      <c r="L4140" s="607">
        <v>0.35000000000000003</v>
      </c>
      <c r="M4140">
        <v>1.3</v>
      </c>
      <c r="N4140" s="381">
        <v>24</v>
      </c>
      <c r="O4140">
        <v>7</v>
      </c>
      <c r="P4140" t="s">
        <v>514</v>
      </c>
      <c r="Q4140" s="97" t="str">
        <f t="shared" si="537"/>
        <v/>
      </c>
      <c r="R4140" t="str">
        <f t="shared" si="538"/>
        <v/>
      </c>
    </row>
    <row r="4141" spans="3:18">
      <c r="C4141" t="str">
        <f t="shared" si="539"/>
        <v/>
      </c>
      <c r="D4141">
        <v>232</v>
      </c>
      <c r="E4141">
        <v>90</v>
      </c>
      <c r="F4141" s="366">
        <f t="shared" si="533"/>
        <v>1953</v>
      </c>
      <c r="G4141" s="97">
        <v>3124</v>
      </c>
      <c r="H4141" s="367">
        <f t="shared" si="534"/>
        <v>5077</v>
      </c>
      <c r="I4141" s="368">
        <f t="shared" si="535"/>
        <v>0</v>
      </c>
      <c r="J4141">
        <v>12364</v>
      </c>
      <c r="K4141" s="367">
        <f t="shared" si="536"/>
        <v>8831.4285714285725</v>
      </c>
      <c r="L4141" s="607">
        <v>0.28000000000000003</v>
      </c>
      <c r="M4141">
        <v>2.8000000000000003</v>
      </c>
      <c r="N4141" s="381">
        <v>24</v>
      </c>
      <c r="O4141">
        <v>8</v>
      </c>
      <c r="P4141" t="s">
        <v>514</v>
      </c>
      <c r="Q4141" s="97">
        <f t="shared" si="537"/>
        <v>232</v>
      </c>
      <c r="R4141" t="str">
        <f t="shared" si="538"/>
        <v/>
      </c>
    </row>
    <row r="4142" spans="3:18">
      <c r="C4142" t="str">
        <f t="shared" si="539"/>
        <v/>
      </c>
      <c r="D4142">
        <v>233</v>
      </c>
      <c r="E4142">
        <v>90</v>
      </c>
      <c r="F4142" s="366">
        <f t="shared" si="533"/>
        <v>1953</v>
      </c>
      <c r="G4142" s="97">
        <v>4240</v>
      </c>
      <c r="H4142" s="367">
        <f t="shared" si="534"/>
        <v>6193</v>
      </c>
      <c r="I4142" s="368">
        <f t="shared" si="535"/>
        <v>0</v>
      </c>
      <c r="J4142">
        <v>16782</v>
      </c>
      <c r="K4142" s="367">
        <f t="shared" si="536"/>
        <v>11987.142857142857</v>
      </c>
      <c r="L4142" s="607">
        <v>0.91</v>
      </c>
      <c r="M4142">
        <v>2.8000000000000003</v>
      </c>
      <c r="N4142" s="381">
        <v>28</v>
      </c>
      <c r="O4142">
        <v>8</v>
      </c>
      <c r="P4142" t="s">
        <v>513</v>
      </c>
      <c r="Q4142" s="97" t="str">
        <f t="shared" si="537"/>
        <v/>
      </c>
      <c r="R4142" t="str">
        <f t="shared" si="538"/>
        <v/>
      </c>
    </row>
    <row r="4143" spans="3:18">
      <c r="C4143" t="str">
        <f t="shared" si="539"/>
        <v>NL</v>
      </c>
      <c r="D4143">
        <v>234</v>
      </c>
      <c r="E4143">
        <v>90</v>
      </c>
      <c r="F4143" s="366">
        <f t="shared" si="533"/>
        <v>1953</v>
      </c>
      <c r="G4143" s="97">
        <v>4332</v>
      </c>
      <c r="H4143" s="367">
        <f t="shared" si="534"/>
        <v>6285</v>
      </c>
      <c r="I4143" s="368">
        <f t="shared" si="535"/>
        <v>0</v>
      </c>
      <c r="J4143">
        <v>17145</v>
      </c>
      <c r="K4143" s="367">
        <f t="shared" si="536"/>
        <v>12246.428571428572</v>
      </c>
      <c r="L4143" s="607">
        <v>0.23</v>
      </c>
      <c r="M4143">
        <v>1.7000000000000002</v>
      </c>
      <c r="N4143" s="381">
        <v>24</v>
      </c>
      <c r="O4143">
        <v>9</v>
      </c>
      <c r="P4143" t="s">
        <v>514</v>
      </c>
      <c r="Q4143" s="97" t="str">
        <f t="shared" si="537"/>
        <v/>
      </c>
      <c r="R4143" t="str">
        <f t="shared" si="538"/>
        <v/>
      </c>
    </row>
    <row r="4144" spans="3:18">
      <c r="C4144" t="str">
        <f t="shared" si="539"/>
        <v>NL</v>
      </c>
      <c r="D4144">
        <v>235</v>
      </c>
      <c r="E4144">
        <v>90</v>
      </c>
      <c r="F4144" s="366">
        <f t="shared" si="533"/>
        <v>1953</v>
      </c>
      <c r="G4144" s="97">
        <v>5665</v>
      </c>
      <c r="H4144" s="367">
        <f t="shared" si="534"/>
        <v>7618</v>
      </c>
      <c r="I4144" s="368">
        <f t="shared" si="535"/>
        <v>0</v>
      </c>
      <c r="J4144">
        <v>22418</v>
      </c>
      <c r="K4144" s="367">
        <f t="shared" si="536"/>
        <v>16012.857142857143</v>
      </c>
      <c r="L4144" s="607">
        <v>0.74</v>
      </c>
      <c r="M4144">
        <v>1.7000000000000002</v>
      </c>
      <c r="N4144" s="381">
        <v>28</v>
      </c>
      <c r="O4144">
        <v>9</v>
      </c>
      <c r="P4144" t="s">
        <v>513</v>
      </c>
      <c r="Q4144" s="97" t="str">
        <f t="shared" si="537"/>
        <v/>
      </c>
      <c r="R4144" t="str">
        <f t="shared" si="538"/>
        <v/>
      </c>
    </row>
    <row r="4145" spans="3:18">
      <c r="C4145" t="str">
        <f t="shared" si="539"/>
        <v/>
      </c>
      <c r="D4145">
        <v>236</v>
      </c>
      <c r="E4145">
        <v>90</v>
      </c>
      <c r="F4145" s="366">
        <f t="shared" si="533"/>
        <v>1953</v>
      </c>
      <c r="G4145" s="97">
        <v>4553</v>
      </c>
      <c r="H4145" s="367">
        <f t="shared" si="534"/>
        <v>6506</v>
      </c>
      <c r="I4145" s="368">
        <f t="shared" si="535"/>
        <v>0</v>
      </c>
      <c r="J4145">
        <v>18019</v>
      </c>
      <c r="K4145" s="367">
        <f t="shared" si="536"/>
        <v>12870.714285714286</v>
      </c>
      <c r="L4145" s="607">
        <v>0.2</v>
      </c>
      <c r="M4145">
        <v>3.7</v>
      </c>
      <c r="N4145" s="381">
        <v>24</v>
      </c>
      <c r="O4145">
        <v>10</v>
      </c>
      <c r="P4145" t="s">
        <v>514</v>
      </c>
      <c r="Q4145" s="97" t="str">
        <f t="shared" si="537"/>
        <v/>
      </c>
      <c r="R4145" t="str">
        <f t="shared" si="538"/>
        <v/>
      </c>
    </row>
    <row r="4146" spans="3:18">
      <c r="C4146" t="str">
        <f t="shared" si="539"/>
        <v/>
      </c>
      <c r="D4146">
        <v>237</v>
      </c>
      <c r="E4146">
        <v>90</v>
      </c>
      <c r="F4146" s="366">
        <f t="shared" si="533"/>
        <v>1953</v>
      </c>
      <c r="G4146" s="97">
        <v>6004</v>
      </c>
      <c r="H4146" s="367">
        <f t="shared" si="534"/>
        <v>7957</v>
      </c>
      <c r="I4146" s="368">
        <f t="shared" si="535"/>
        <v>0</v>
      </c>
      <c r="J4146">
        <v>23759</v>
      </c>
      <c r="K4146" s="367">
        <f t="shared" si="536"/>
        <v>16970.714285714286</v>
      </c>
      <c r="L4146" s="607">
        <v>0.61</v>
      </c>
      <c r="M4146">
        <v>3.7</v>
      </c>
      <c r="N4146" s="381">
        <v>27</v>
      </c>
      <c r="O4146">
        <v>10</v>
      </c>
      <c r="P4146" t="s">
        <v>513</v>
      </c>
      <c r="Q4146" s="97" t="str">
        <f t="shared" si="537"/>
        <v/>
      </c>
      <c r="R4146" t="str">
        <f t="shared" si="538"/>
        <v/>
      </c>
    </row>
    <row r="4147" spans="3:18">
      <c r="C4147" t="str">
        <f t="shared" si="539"/>
        <v>NL</v>
      </c>
      <c r="D4147">
        <v>238</v>
      </c>
      <c r="E4147">
        <v>95</v>
      </c>
      <c r="F4147" s="366">
        <f t="shared" si="533"/>
        <v>2061.5</v>
      </c>
      <c r="G4147" s="97">
        <v>1709</v>
      </c>
      <c r="H4147" s="367">
        <f t="shared" si="534"/>
        <v>3770.5</v>
      </c>
      <c r="I4147" s="368">
        <f t="shared" si="535"/>
        <v>0</v>
      </c>
      <c r="J4147">
        <v>6764</v>
      </c>
      <c r="K4147" s="367">
        <f t="shared" si="536"/>
        <v>4831.4285714285716</v>
      </c>
      <c r="L4147" s="607">
        <v>0.74</v>
      </c>
      <c r="M4147">
        <v>4.8</v>
      </c>
      <c r="N4147" s="381">
        <v>26</v>
      </c>
      <c r="O4147">
        <v>3</v>
      </c>
      <c r="P4147" t="s">
        <v>515</v>
      </c>
      <c r="Q4147" s="97" t="str">
        <f t="shared" si="537"/>
        <v/>
      </c>
      <c r="R4147" t="str">
        <f t="shared" si="538"/>
        <v/>
      </c>
    </row>
    <row r="4148" spans="3:18">
      <c r="C4148" t="str">
        <f t="shared" si="539"/>
        <v/>
      </c>
      <c r="D4148">
        <v>239</v>
      </c>
      <c r="E4148">
        <v>95</v>
      </c>
      <c r="F4148" s="366">
        <f t="shared" si="533"/>
        <v>2061.5</v>
      </c>
      <c r="G4148" s="97">
        <v>1843</v>
      </c>
      <c r="H4148" s="367">
        <f t="shared" si="534"/>
        <v>3904.5</v>
      </c>
      <c r="I4148" s="368">
        <f t="shared" si="535"/>
        <v>0</v>
      </c>
      <c r="J4148">
        <v>7293</v>
      </c>
      <c r="K4148" s="367">
        <f t="shared" si="536"/>
        <v>5209.2857142857147</v>
      </c>
      <c r="L4148" s="607">
        <v>0.37</v>
      </c>
      <c r="M4148">
        <v>6.1</v>
      </c>
      <c r="N4148" s="381">
        <v>22</v>
      </c>
      <c r="O4148">
        <v>4</v>
      </c>
      <c r="P4148" t="s">
        <v>515</v>
      </c>
      <c r="Q4148" s="97">
        <f t="shared" si="537"/>
        <v>239</v>
      </c>
      <c r="R4148" t="str">
        <f t="shared" si="538"/>
        <v/>
      </c>
    </row>
    <row r="4149" spans="3:18">
      <c r="C4149" t="str">
        <f t="shared" si="539"/>
        <v>NL</v>
      </c>
      <c r="D4149">
        <v>240</v>
      </c>
      <c r="E4149">
        <v>95</v>
      </c>
      <c r="F4149" s="366">
        <f t="shared" si="533"/>
        <v>2061.5</v>
      </c>
      <c r="G4149" s="97">
        <v>2230</v>
      </c>
      <c r="H4149" s="367">
        <f t="shared" si="534"/>
        <v>4291.5</v>
      </c>
      <c r="I4149" s="368">
        <f t="shared" si="535"/>
        <v>0</v>
      </c>
      <c r="J4149">
        <v>8827</v>
      </c>
      <c r="K4149" s="367">
        <f t="shared" si="536"/>
        <v>6305</v>
      </c>
      <c r="L4149" s="607">
        <v>0.24000000000000002</v>
      </c>
      <c r="M4149">
        <v>7.3999999999999995</v>
      </c>
      <c r="N4149" s="381">
        <v>21</v>
      </c>
      <c r="O4149">
        <v>5</v>
      </c>
      <c r="P4149" t="s">
        <v>515</v>
      </c>
      <c r="Q4149" s="97" t="str">
        <f t="shared" si="537"/>
        <v/>
      </c>
      <c r="R4149" t="str">
        <f t="shared" si="538"/>
        <v/>
      </c>
    </row>
    <row r="4150" spans="3:18">
      <c r="C4150" t="str">
        <f t="shared" si="539"/>
        <v>NL</v>
      </c>
      <c r="D4150">
        <v>241</v>
      </c>
      <c r="E4150">
        <v>95</v>
      </c>
      <c r="F4150" s="366">
        <f t="shared" si="533"/>
        <v>2061.5</v>
      </c>
      <c r="G4150" s="97">
        <v>2935</v>
      </c>
      <c r="H4150" s="367">
        <f t="shared" si="534"/>
        <v>4996.5</v>
      </c>
      <c r="I4150" s="368">
        <f t="shared" si="535"/>
        <v>0</v>
      </c>
      <c r="J4150">
        <v>11618</v>
      </c>
      <c r="K4150" s="367">
        <f t="shared" si="536"/>
        <v>8298.5714285714294</v>
      </c>
      <c r="L4150" s="607">
        <v>0.74</v>
      </c>
      <c r="M4150">
        <v>7.3999999999999995</v>
      </c>
      <c r="N4150" s="381">
        <v>26</v>
      </c>
      <c r="O4150">
        <v>5</v>
      </c>
      <c r="P4150" t="s">
        <v>514</v>
      </c>
      <c r="Q4150" s="97" t="str">
        <f t="shared" si="537"/>
        <v/>
      </c>
      <c r="R4150" t="str">
        <f t="shared" si="538"/>
        <v/>
      </c>
    </row>
    <row r="4151" spans="3:18">
      <c r="C4151" t="str">
        <f t="shared" si="539"/>
        <v/>
      </c>
      <c r="D4151">
        <v>242</v>
      </c>
      <c r="E4151">
        <v>95</v>
      </c>
      <c r="F4151" s="366">
        <f t="shared" si="533"/>
        <v>2061.5</v>
      </c>
      <c r="G4151" s="97">
        <v>2009</v>
      </c>
      <c r="H4151" s="367">
        <f t="shared" si="534"/>
        <v>4070.5</v>
      </c>
      <c r="I4151" s="368">
        <f t="shared" si="535"/>
        <v>0</v>
      </c>
      <c r="J4151">
        <v>7952</v>
      </c>
      <c r="K4151" s="367">
        <f t="shared" si="536"/>
        <v>5680</v>
      </c>
      <c r="L4151" s="607">
        <v>0.17</v>
      </c>
      <c r="M4151">
        <v>8.6999999999999993</v>
      </c>
      <c r="N4151" s="381">
        <v>20</v>
      </c>
      <c r="O4151">
        <v>6</v>
      </c>
      <c r="P4151" t="s">
        <v>515</v>
      </c>
      <c r="Q4151" s="97">
        <f t="shared" si="537"/>
        <v>242</v>
      </c>
      <c r="R4151" t="str">
        <f t="shared" si="538"/>
        <v/>
      </c>
    </row>
    <row r="4152" spans="3:18">
      <c r="C4152" t="str">
        <f t="shared" si="539"/>
        <v/>
      </c>
      <c r="D4152">
        <v>243</v>
      </c>
      <c r="E4152">
        <v>95</v>
      </c>
      <c r="F4152" s="366">
        <f t="shared" si="533"/>
        <v>2061.5</v>
      </c>
      <c r="G4152" s="97">
        <v>2783</v>
      </c>
      <c r="H4152" s="367">
        <f t="shared" si="534"/>
        <v>4844.5</v>
      </c>
      <c r="I4152" s="368">
        <f t="shared" si="535"/>
        <v>0</v>
      </c>
      <c r="J4152">
        <v>11013</v>
      </c>
      <c r="K4152" s="367">
        <f t="shared" si="536"/>
        <v>7866.4285714285716</v>
      </c>
      <c r="L4152" s="607">
        <v>0.52</v>
      </c>
      <c r="M4152">
        <v>8.6999999999999993</v>
      </c>
      <c r="N4152" s="381">
        <v>25</v>
      </c>
      <c r="O4152">
        <v>6</v>
      </c>
      <c r="P4152" t="s">
        <v>514</v>
      </c>
      <c r="Q4152" s="97">
        <f t="shared" si="537"/>
        <v>243</v>
      </c>
      <c r="R4152" t="str">
        <f t="shared" si="538"/>
        <v/>
      </c>
    </row>
    <row r="4153" spans="3:18">
      <c r="C4153" t="str">
        <f t="shared" si="539"/>
        <v>NL</v>
      </c>
      <c r="D4153">
        <v>244</v>
      </c>
      <c r="E4153">
        <v>95</v>
      </c>
      <c r="F4153" s="366">
        <f t="shared" si="533"/>
        <v>2061.5</v>
      </c>
      <c r="G4153" s="97">
        <v>3823</v>
      </c>
      <c r="H4153" s="367">
        <f t="shared" si="534"/>
        <v>5884.5</v>
      </c>
      <c r="I4153" s="368">
        <f t="shared" si="535"/>
        <v>0</v>
      </c>
      <c r="J4153">
        <v>15130</v>
      </c>
      <c r="K4153" s="367">
        <f t="shared" si="536"/>
        <v>10807.142857142857</v>
      </c>
      <c r="L4153" s="607">
        <v>0.39</v>
      </c>
      <c r="M4153">
        <v>1.3</v>
      </c>
      <c r="N4153" s="381">
        <v>25</v>
      </c>
      <c r="O4153">
        <v>7</v>
      </c>
      <c r="P4153" t="s">
        <v>514</v>
      </c>
      <c r="Q4153" s="97" t="str">
        <f t="shared" si="537"/>
        <v/>
      </c>
      <c r="R4153" t="str">
        <f t="shared" si="538"/>
        <v/>
      </c>
    </row>
    <row r="4154" spans="3:18">
      <c r="C4154" t="str">
        <f t="shared" si="539"/>
        <v/>
      </c>
      <c r="D4154">
        <v>245</v>
      </c>
      <c r="E4154">
        <v>95</v>
      </c>
      <c r="F4154" s="366">
        <f t="shared" si="533"/>
        <v>2061.5</v>
      </c>
      <c r="G4154" s="97">
        <v>3249</v>
      </c>
      <c r="H4154" s="367">
        <f t="shared" si="534"/>
        <v>5310.5</v>
      </c>
      <c r="I4154" s="368">
        <f t="shared" si="535"/>
        <v>0</v>
      </c>
      <c r="J4154">
        <v>12860</v>
      </c>
      <c r="K4154" s="367">
        <f t="shared" si="536"/>
        <v>9185.7142857142862</v>
      </c>
      <c r="L4154" s="607">
        <v>0.31</v>
      </c>
      <c r="M4154">
        <v>2.8000000000000003</v>
      </c>
      <c r="N4154" s="381">
        <v>25</v>
      </c>
      <c r="O4154">
        <v>8</v>
      </c>
      <c r="P4154" t="s">
        <v>514</v>
      </c>
      <c r="Q4154" s="97">
        <f t="shared" si="537"/>
        <v>245</v>
      </c>
      <c r="R4154" t="str">
        <f t="shared" si="538"/>
        <v/>
      </c>
    </row>
    <row r="4155" spans="3:18">
      <c r="C4155" t="str">
        <f t="shared" si="539"/>
        <v/>
      </c>
      <c r="D4155">
        <v>246</v>
      </c>
      <c r="E4155">
        <v>95</v>
      </c>
      <c r="F4155" s="366">
        <f t="shared" si="533"/>
        <v>2061.5</v>
      </c>
      <c r="G4155" s="97">
        <v>4407</v>
      </c>
      <c r="H4155" s="367">
        <f t="shared" si="534"/>
        <v>6468.5</v>
      </c>
      <c r="I4155" s="368">
        <f t="shared" si="535"/>
        <v>0</v>
      </c>
      <c r="J4155">
        <v>17442</v>
      </c>
      <c r="K4155" s="367">
        <f t="shared" si="536"/>
        <v>12458.571428571429</v>
      </c>
      <c r="L4155" s="607">
        <v>1.01</v>
      </c>
      <c r="M4155">
        <v>2.8000000000000003</v>
      </c>
      <c r="N4155" s="381">
        <v>29</v>
      </c>
      <c r="O4155">
        <v>8</v>
      </c>
      <c r="P4155" t="s">
        <v>513</v>
      </c>
      <c r="Q4155" s="97" t="str">
        <f t="shared" si="537"/>
        <v/>
      </c>
      <c r="R4155" t="str">
        <f t="shared" si="538"/>
        <v/>
      </c>
    </row>
    <row r="4156" spans="3:18">
      <c r="C4156" t="str">
        <f t="shared" si="539"/>
        <v>NL</v>
      </c>
      <c r="D4156">
        <v>247</v>
      </c>
      <c r="E4156">
        <v>95</v>
      </c>
      <c r="F4156" s="366">
        <f t="shared" si="533"/>
        <v>2061.5</v>
      </c>
      <c r="G4156" s="97">
        <v>4500</v>
      </c>
      <c r="H4156" s="367">
        <f t="shared" si="534"/>
        <v>6561.5</v>
      </c>
      <c r="I4156" s="368">
        <f t="shared" si="535"/>
        <v>0</v>
      </c>
      <c r="J4156">
        <v>17808</v>
      </c>
      <c r="K4156" s="367">
        <f t="shared" si="536"/>
        <v>12720</v>
      </c>
      <c r="L4156" s="607">
        <v>0.26</v>
      </c>
      <c r="M4156">
        <v>1.7000000000000002</v>
      </c>
      <c r="N4156" s="381">
        <v>25</v>
      </c>
      <c r="O4156">
        <v>9</v>
      </c>
      <c r="P4156" t="s">
        <v>514</v>
      </c>
      <c r="Q4156" s="97" t="str">
        <f t="shared" si="537"/>
        <v/>
      </c>
      <c r="R4156" t="str">
        <f t="shared" si="538"/>
        <v/>
      </c>
    </row>
    <row r="4157" spans="3:18">
      <c r="C4157" t="str">
        <f t="shared" si="539"/>
        <v>NL</v>
      </c>
      <c r="D4157">
        <v>248</v>
      </c>
      <c r="E4157">
        <v>95</v>
      </c>
      <c r="F4157" s="366">
        <f t="shared" si="533"/>
        <v>2061.5</v>
      </c>
      <c r="G4157" s="97">
        <v>5874</v>
      </c>
      <c r="H4157" s="367">
        <f t="shared" si="534"/>
        <v>7935.5</v>
      </c>
      <c r="I4157" s="368">
        <f t="shared" si="535"/>
        <v>0</v>
      </c>
      <c r="J4157">
        <v>23247</v>
      </c>
      <c r="K4157" s="367">
        <f t="shared" si="536"/>
        <v>16605</v>
      </c>
      <c r="L4157" s="607">
        <v>0.82000000000000006</v>
      </c>
      <c r="M4157">
        <v>1.7000000000000002</v>
      </c>
      <c r="N4157" s="381">
        <v>28</v>
      </c>
      <c r="O4157">
        <v>9</v>
      </c>
      <c r="P4157" t="s">
        <v>513</v>
      </c>
      <c r="Q4157" s="97" t="str">
        <f t="shared" si="537"/>
        <v/>
      </c>
      <c r="R4157" t="str">
        <f t="shared" si="538"/>
        <v/>
      </c>
    </row>
    <row r="4158" spans="3:18">
      <c r="C4158" t="str">
        <f t="shared" si="539"/>
        <v/>
      </c>
      <c r="D4158">
        <v>249</v>
      </c>
      <c r="E4158">
        <v>95</v>
      </c>
      <c r="F4158" s="366">
        <f t="shared" si="533"/>
        <v>2061.5</v>
      </c>
      <c r="G4158" s="97">
        <v>4738</v>
      </c>
      <c r="H4158" s="367">
        <f t="shared" si="534"/>
        <v>6799.5</v>
      </c>
      <c r="I4158" s="368">
        <f t="shared" si="535"/>
        <v>0</v>
      </c>
      <c r="J4158">
        <v>18752</v>
      </c>
      <c r="K4158" s="367">
        <f t="shared" si="536"/>
        <v>13394.285714285714</v>
      </c>
      <c r="L4158" s="607">
        <v>0.22</v>
      </c>
      <c r="M4158">
        <v>3.7</v>
      </c>
      <c r="N4158" s="381">
        <v>25</v>
      </c>
      <c r="O4158">
        <v>10</v>
      </c>
      <c r="P4158" t="s">
        <v>514</v>
      </c>
      <c r="Q4158" s="97" t="str">
        <f t="shared" si="537"/>
        <v/>
      </c>
      <c r="R4158" t="str">
        <f t="shared" si="538"/>
        <v/>
      </c>
    </row>
    <row r="4159" spans="3:18">
      <c r="C4159" t="str">
        <f t="shared" si="539"/>
        <v/>
      </c>
      <c r="D4159">
        <v>250</v>
      </c>
      <c r="E4159">
        <v>95</v>
      </c>
      <c r="F4159" s="366">
        <f t="shared" si="533"/>
        <v>2061.5</v>
      </c>
      <c r="G4159" s="97">
        <v>6214</v>
      </c>
      <c r="H4159" s="367">
        <f t="shared" si="534"/>
        <v>8275.5</v>
      </c>
      <c r="I4159" s="368">
        <f t="shared" si="535"/>
        <v>0</v>
      </c>
      <c r="J4159">
        <v>24592</v>
      </c>
      <c r="K4159" s="367">
        <f t="shared" si="536"/>
        <v>17565.714285714286</v>
      </c>
      <c r="L4159" s="607">
        <v>0.68</v>
      </c>
      <c r="M4159">
        <v>3.7</v>
      </c>
      <c r="N4159" s="381">
        <v>28</v>
      </c>
      <c r="O4159">
        <v>10</v>
      </c>
      <c r="P4159" t="s">
        <v>513</v>
      </c>
      <c r="Q4159" s="97" t="str">
        <f t="shared" si="537"/>
        <v/>
      </c>
      <c r="R4159" t="str">
        <f t="shared" si="538"/>
        <v/>
      </c>
    </row>
    <row r="4160" spans="3:18">
      <c r="C4160" t="str">
        <f t="shared" si="539"/>
        <v>NL</v>
      </c>
      <c r="D4160">
        <v>251</v>
      </c>
      <c r="E4160">
        <v>100</v>
      </c>
      <c r="F4160" s="366">
        <f t="shared" si="533"/>
        <v>2170</v>
      </c>
      <c r="G4160" s="97">
        <v>1771</v>
      </c>
      <c r="H4160" s="367">
        <f t="shared" si="534"/>
        <v>3941</v>
      </c>
      <c r="I4160" s="368">
        <f t="shared" si="535"/>
        <v>0</v>
      </c>
      <c r="J4160">
        <v>7010</v>
      </c>
      <c r="K4160" s="367">
        <f t="shared" si="536"/>
        <v>5007.1428571428569</v>
      </c>
      <c r="L4160" s="607">
        <v>0.82000000000000006</v>
      </c>
      <c r="M4160">
        <v>4.8</v>
      </c>
      <c r="N4160" s="381">
        <v>26</v>
      </c>
      <c r="O4160">
        <v>3</v>
      </c>
      <c r="P4160" t="s">
        <v>515</v>
      </c>
      <c r="Q4160" s="97" t="str">
        <f t="shared" si="537"/>
        <v/>
      </c>
      <c r="R4160" t="str">
        <f t="shared" si="538"/>
        <v/>
      </c>
    </row>
    <row r="4161" spans="3:18">
      <c r="C4161" t="str">
        <f t="shared" si="539"/>
        <v/>
      </c>
      <c r="D4161">
        <v>252</v>
      </c>
      <c r="E4161">
        <v>100</v>
      </c>
      <c r="F4161" s="366">
        <f t="shared" si="533"/>
        <v>2170</v>
      </c>
      <c r="G4161" s="97">
        <v>1918</v>
      </c>
      <c r="H4161" s="367">
        <f t="shared" si="534"/>
        <v>4088</v>
      </c>
      <c r="I4161" s="368">
        <f t="shared" si="535"/>
        <v>0</v>
      </c>
      <c r="J4161">
        <v>7592</v>
      </c>
      <c r="K4161" s="367">
        <f t="shared" si="536"/>
        <v>5422.8571428571431</v>
      </c>
      <c r="L4161" s="607">
        <v>0.41000000000000003</v>
      </c>
      <c r="M4161">
        <v>6.1</v>
      </c>
      <c r="N4161" s="381">
        <v>23</v>
      </c>
      <c r="O4161">
        <v>4</v>
      </c>
      <c r="P4161" t="s">
        <v>515</v>
      </c>
      <c r="Q4161" s="97">
        <f t="shared" si="537"/>
        <v>252</v>
      </c>
      <c r="R4161" t="str">
        <f t="shared" si="538"/>
        <v/>
      </c>
    </row>
    <row r="4162" spans="3:18">
      <c r="C4162" t="str">
        <f t="shared" si="539"/>
        <v>NL</v>
      </c>
      <c r="D4162">
        <v>253</v>
      </c>
      <c r="E4162">
        <v>100</v>
      </c>
      <c r="F4162" s="366">
        <f t="shared" si="533"/>
        <v>2170</v>
      </c>
      <c r="G4162" s="97">
        <v>2319</v>
      </c>
      <c r="H4162" s="367">
        <f t="shared" si="534"/>
        <v>4489</v>
      </c>
      <c r="I4162" s="368">
        <f t="shared" si="535"/>
        <v>0</v>
      </c>
      <c r="J4162">
        <v>9179</v>
      </c>
      <c r="K4162" s="367">
        <f t="shared" si="536"/>
        <v>6556.4285714285716</v>
      </c>
      <c r="L4162" s="607">
        <v>0.27</v>
      </c>
      <c r="M4162">
        <v>7.3999999999999995</v>
      </c>
      <c r="N4162" s="381">
        <v>21</v>
      </c>
      <c r="O4162">
        <v>5</v>
      </c>
      <c r="P4162" t="s">
        <v>515</v>
      </c>
      <c r="Q4162" s="97" t="str">
        <f t="shared" si="537"/>
        <v/>
      </c>
      <c r="R4162" t="str">
        <f t="shared" si="538"/>
        <v/>
      </c>
    </row>
    <row r="4163" spans="3:18">
      <c r="C4163" t="str">
        <f t="shared" si="539"/>
        <v>NL</v>
      </c>
      <c r="D4163">
        <v>254</v>
      </c>
      <c r="E4163">
        <v>100</v>
      </c>
      <c r="F4163" s="366">
        <f t="shared" si="533"/>
        <v>2170</v>
      </c>
      <c r="G4163" s="97">
        <v>3036</v>
      </c>
      <c r="H4163" s="367">
        <f t="shared" si="534"/>
        <v>5206</v>
      </c>
      <c r="I4163" s="368">
        <f t="shared" si="535"/>
        <v>0</v>
      </c>
      <c r="J4163">
        <v>12016</v>
      </c>
      <c r="K4163" s="367">
        <f t="shared" si="536"/>
        <v>8582.8571428571431</v>
      </c>
      <c r="L4163" s="607">
        <v>0.81</v>
      </c>
      <c r="M4163">
        <v>7.3999999999999995</v>
      </c>
      <c r="N4163" s="381">
        <v>26</v>
      </c>
      <c r="O4163">
        <v>5</v>
      </c>
      <c r="P4163" t="s">
        <v>514</v>
      </c>
      <c r="Q4163" s="97" t="str">
        <f t="shared" si="537"/>
        <v/>
      </c>
      <c r="R4163" t="str">
        <f t="shared" si="538"/>
        <v/>
      </c>
    </row>
    <row r="4164" spans="3:18">
      <c r="C4164" t="str">
        <f t="shared" si="539"/>
        <v/>
      </c>
      <c r="D4164">
        <v>255</v>
      </c>
      <c r="E4164">
        <v>100</v>
      </c>
      <c r="F4164" s="366">
        <f t="shared" si="533"/>
        <v>2170</v>
      </c>
      <c r="G4164" s="97">
        <v>2095</v>
      </c>
      <c r="H4164" s="367">
        <f t="shared" si="534"/>
        <v>4265</v>
      </c>
      <c r="I4164" s="368">
        <f t="shared" si="535"/>
        <v>0</v>
      </c>
      <c r="J4164">
        <v>8290</v>
      </c>
      <c r="K4164" s="367">
        <f t="shared" si="536"/>
        <v>5921.4285714285716</v>
      </c>
      <c r="L4164" s="607">
        <v>0.19</v>
      </c>
      <c r="M4164">
        <v>8.6999999999999993</v>
      </c>
      <c r="N4164" s="381">
        <v>21</v>
      </c>
      <c r="O4164">
        <v>6</v>
      </c>
      <c r="P4164" t="s">
        <v>515</v>
      </c>
      <c r="Q4164" s="97">
        <f t="shared" si="537"/>
        <v>255</v>
      </c>
      <c r="R4164" t="str">
        <f t="shared" si="538"/>
        <v/>
      </c>
    </row>
    <row r="4165" spans="3:18">
      <c r="C4165" t="str">
        <f t="shared" si="539"/>
        <v/>
      </c>
      <c r="D4165">
        <v>256</v>
      </c>
      <c r="E4165">
        <v>100</v>
      </c>
      <c r="F4165" s="366">
        <f t="shared" si="533"/>
        <v>2170</v>
      </c>
      <c r="G4165" s="97">
        <v>2887</v>
      </c>
      <c r="H4165" s="367">
        <f t="shared" si="534"/>
        <v>5057</v>
      </c>
      <c r="I4165" s="368">
        <f t="shared" si="535"/>
        <v>0</v>
      </c>
      <c r="J4165">
        <v>11425</v>
      </c>
      <c r="K4165" s="367">
        <f t="shared" si="536"/>
        <v>8160.7142857142862</v>
      </c>
      <c r="L4165" s="607">
        <v>0.57999999999999996</v>
      </c>
      <c r="M4165">
        <v>8.6999999999999993</v>
      </c>
      <c r="N4165" s="381">
        <v>26</v>
      </c>
      <c r="O4165">
        <v>6</v>
      </c>
      <c r="P4165" t="s">
        <v>514</v>
      </c>
      <c r="Q4165" s="97">
        <f t="shared" si="537"/>
        <v>256</v>
      </c>
      <c r="R4165" t="str">
        <f t="shared" si="538"/>
        <v/>
      </c>
    </row>
    <row r="4166" spans="3:18">
      <c r="C4166" t="str">
        <f t="shared" si="539"/>
        <v>NL</v>
      </c>
      <c r="D4166">
        <v>257</v>
      </c>
      <c r="E4166">
        <v>100</v>
      </c>
      <c r="F4166" s="366">
        <f t="shared" si="533"/>
        <v>2170</v>
      </c>
      <c r="G4166" s="97">
        <v>3955</v>
      </c>
      <c r="H4166" s="367">
        <f t="shared" si="534"/>
        <v>6125</v>
      </c>
      <c r="I4166" s="368">
        <f t="shared" si="535"/>
        <v>0</v>
      </c>
      <c r="J4166">
        <v>15653</v>
      </c>
      <c r="K4166" s="367">
        <f t="shared" si="536"/>
        <v>11180.714285714286</v>
      </c>
      <c r="L4166" s="607">
        <v>0.44</v>
      </c>
      <c r="M4166">
        <v>1.3</v>
      </c>
      <c r="N4166" s="381">
        <v>25</v>
      </c>
      <c r="O4166">
        <v>7</v>
      </c>
      <c r="P4166" t="s">
        <v>514</v>
      </c>
      <c r="Q4166" s="97" t="str">
        <f t="shared" si="537"/>
        <v/>
      </c>
      <c r="R4166" t="str">
        <f t="shared" si="538"/>
        <v/>
      </c>
    </row>
    <row r="4167" spans="3:18">
      <c r="C4167" t="str">
        <f t="shared" si="539"/>
        <v/>
      </c>
      <c r="D4167">
        <v>258</v>
      </c>
      <c r="E4167">
        <v>100</v>
      </c>
      <c r="F4167" s="366">
        <f t="shared" ref="F4167:F4230" si="540">1.085*($A$2-$B$2)*E4167*$T$7</f>
        <v>2170</v>
      </c>
      <c r="G4167" s="97">
        <v>3375</v>
      </c>
      <c r="H4167" s="367">
        <f t="shared" ref="H4167:H4230" si="541">(G4167*$U$7)+F4167</f>
        <v>5545</v>
      </c>
      <c r="I4167" s="368">
        <f t="shared" ref="I4167:I4230" si="542">1.085*($C$2-$D$2)*E4167*$T$7</f>
        <v>0</v>
      </c>
      <c r="J4167">
        <v>13357</v>
      </c>
      <c r="K4167" s="367">
        <f t="shared" ref="K4167:K4230" si="543">(J4167*$V$7)-I4167</f>
        <v>9540.7142857142862</v>
      </c>
      <c r="L4167" s="607">
        <v>0.35000000000000003</v>
      </c>
      <c r="M4167">
        <v>2.8000000000000003</v>
      </c>
      <c r="N4167" s="381">
        <v>25</v>
      </c>
      <c r="O4167">
        <v>8</v>
      </c>
      <c r="P4167" t="s">
        <v>514</v>
      </c>
      <c r="Q4167" s="97">
        <f t="shared" ref="Q4167:Q4230" si="544">IF(AND(H4167+1&gt;$E$4,L4167&lt;$L$4+0.01,M4167&lt;$M$4+0.01,K4167+1&gt;$F$4,E4167+1&gt;$J$4,N4167&lt;$K$4+1,O4167&lt;$P$4+1,C4167=""),D4167,"")</f>
        <v>258</v>
      </c>
      <c r="R4167" t="str">
        <f t="shared" ref="R4167:R4230" si="545">IF(Q4167="","",IF(AND(O4167&lt;$X$36,E4167&gt;$U$36,E4167&lt;$Q$4+$U$36+1),D4167,""))</f>
        <v/>
      </c>
    </row>
    <row r="4168" spans="3:18">
      <c r="C4168" t="str">
        <f t="shared" si="539"/>
        <v/>
      </c>
      <c r="D4168">
        <v>259</v>
      </c>
      <c r="E4168">
        <v>100</v>
      </c>
      <c r="F4168" s="366">
        <f t="shared" si="540"/>
        <v>2170</v>
      </c>
      <c r="G4168" s="97">
        <v>4563</v>
      </c>
      <c r="H4168" s="367">
        <f t="shared" si="541"/>
        <v>6733</v>
      </c>
      <c r="I4168" s="368">
        <f t="shared" si="542"/>
        <v>0</v>
      </c>
      <c r="J4168">
        <v>18059</v>
      </c>
      <c r="K4168" s="367">
        <f t="shared" si="543"/>
        <v>12899.285714285714</v>
      </c>
      <c r="L4168" s="607">
        <v>1.1200000000000001</v>
      </c>
      <c r="M4168">
        <v>2.8000000000000003</v>
      </c>
      <c r="N4168" s="381">
        <v>29</v>
      </c>
      <c r="O4168">
        <v>8</v>
      </c>
      <c r="P4168" t="s">
        <v>513</v>
      </c>
      <c r="Q4168" s="97" t="str">
        <f t="shared" si="544"/>
        <v/>
      </c>
      <c r="R4168" t="str">
        <f t="shared" si="545"/>
        <v/>
      </c>
    </row>
    <row r="4169" spans="3:18">
      <c r="C4169" t="str">
        <f t="shared" si="539"/>
        <v>NL</v>
      </c>
      <c r="D4169">
        <v>260</v>
      </c>
      <c r="E4169">
        <v>100</v>
      </c>
      <c r="F4169" s="366">
        <f t="shared" si="540"/>
        <v>2170</v>
      </c>
      <c r="G4169" s="97">
        <v>4659</v>
      </c>
      <c r="H4169" s="367">
        <f t="shared" si="541"/>
        <v>6829</v>
      </c>
      <c r="I4169" s="368">
        <f t="shared" si="542"/>
        <v>0</v>
      </c>
      <c r="J4169">
        <v>18437</v>
      </c>
      <c r="K4169" s="367">
        <f t="shared" si="543"/>
        <v>13169.285714285714</v>
      </c>
      <c r="L4169" s="607">
        <v>0.29000000000000004</v>
      </c>
      <c r="M4169">
        <v>1.7000000000000002</v>
      </c>
      <c r="N4169" s="381">
        <v>25</v>
      </c>
      <c r="O4169">
        <v>9</v>
      </c>
      <c r="P4169" t="s">
        <v>514</v>
      </c>
      <c r="Q4169" s="97" t="str">
        <f t="shared" si="544"/>
        <v/>
      </c>
      <c r="R4169" t="str">
        <f t="shared" si="545"/>
        <v/>
      </c>
    </row>
    <row r="4170" spans="3:18">
      <c r="C4170" t="str">
        <f t="shared" si="539"/>
        <v>NL</v>
      </c>
      <c r="D4170">
        <v>261</v>
      </c>
      <c r="E4170">
        <v>100</v>
      </c>
      <c r="F4170" s="366">
        <f t="shared" si="540"/>
        <v>2170</v>
      </c>
      <c r="G4170" s="97">
        <v>6072</v>
      </c>
      <c r="H4170" s="367">
        <f t="shared" si="541"/>
        <v>8242</v>
      </c>
      <c r="I4170" s="368">
        <f t="shared" si="542"/>
        <v>0</v>
      </c>
      <c r="J4170">
        <v>24031</v>
      </c>
      <c r="K4170" s="367">
        <f t="shared" si="543"/>
        <v>17165</v>
      </c>
      <c r="L4170" s="607">
        <v>0.91</v>
      </c>
      <c r="M4170">
        <v>1.7000000000000002</v>
      </c>
      <c r="N4170" s="381">
        <v>29</v>
      </c>
      <c r="O4170">
        <v>9</v>
      </c>
      <c r="P4170" t="s">
        <v>513</v>
      </c>
      <c r="Q4170" s="97" t="str">
        <f t="shared" si="544"/>
        <v/>
      </c>
      <c r="R4170" t="str">
        <f t="shared" si="545"/>
        <v/>
      </c>
    </row>
    <row r="4171" spans="3:18">
      <c r="C4171" t="str">
        <f t="shared" si="539"/>
        <v/>
      </c>
      <c r="D4171">
        <v>262</v>
      </c>
      <c r="E4171">
        <v>100</v>
      </c>
      <c r="F4171" s="366">
        <f t="shared" si="540"/>
        <v>2170</v>
      </c>
      <c r="G4171" s="97">
        <v>4923</v>
      </c>
      <c r="H4171" s="367">
        <f t="shared" si="541"/>
        <v>7093</v>
      </c>
      <c r="I4171" s="368">
        <f t="shared" si="542"/>
        <v>0</v>
      </c>
      <c r="J4171">
        <v>19485</v>
      </c>
      <c r="K4171" s="367">
        <f t="shared" si="543"/>
        <v>13917.857142857143</v>
      </c>
      <c r="L4171" s="607">
        <v>0.24000000000000002</v>
      </c>
      <c r="M4171">
        <v>3.7</v>
      </c>
      <c r="N4171" s="381">
        <v>26</v>
      </c>
      <c r="O4171">
        <v>10</v>
      </c>
      <c r="P4171" t="s">
        <v>514</v>
      </c>
      <c r="Q4171" s="97" t="str">
        <f t="shared" si="544"/>
        <v/>
      </c>
      <c r="R4171" t="str">
        <f t="shared" si="545"/>
        <v/>
      </c>
    </row>
    <row r="4172" spans="3:18">
      <c r="C4172" t="str">
        <f t="shared" si="539"/>
        <v/>
      </c>
      <c r="D4172">
        <v>263</v>
      </c>
      <c r="E4172">
        <v>100</v>
      </c>
      <c r="F4172" s="366">
        <f t="shared" si="540"/>
        <v>2170</v>
      </c>
      <c r="G4172" s="97">
        <v>6425</v>
      </c>
      <c r="H4172" s="367">
        <f t="shared" si="541"/>
        <v>8595</v>
      </c>
      <c r="I4172" s="368">
        <f t="shared" si="542"/>
        <v>0</v>
      </c>
      <c r="J4172">
        <v>25425</v>
      </c>
      <c r="K4172" s="367">
        <f t="shared" si="543"/>
        <v>18160.714285714286</v>
      </c>
      <c r="L4172" s="607">
        <v>0.75</v>
      </c>
      <c r="M4172">
        <v>3.7</v>
      </c>
      <c r="N4172" s="381">
        <v>29</v>
      </c>
      <c r="O4172">
        <v>10</v>
      </c>
      <c r="P4172" t="s">
        <v>513</v>
      </c>
      <c r="Q4172" s="97" t="str">
        <f t="shared" si="544"/>
        <v/>
      </c>
      <c r="R4172" t="str">
        <f t="shared" si="545"/>
        <v/>
      </c>
    </row>
    <row r="4173" spans="3:18">
      <c r="C4173" t="str">
        <f t="shared" si="539"/>
        <v>NL</v>
      </c>
      <c r="D4173">
        <v>264</v>
      </c>
      <c r="E4173">
        <v>105</v>
      </c>
      <c r="F4173" s="366">
        <f t="shared" si="540"/>
        <v>2278.5</v>
      </c>
      <c r="G4173" s="97">
        <v>1833</v>
      </c>
      <c r="H4173" s="367">
        <f t="shared" si="541"/>
        <v>4111.5</v>
      </c>
      <c r="I4173" s="368">
        <f t="shared" si="542"/>
        <v>0</v>
      </c>
      <c r="J4173">
        <v>7255</v>
      </c>
      <c r="K4173" s="367">
        <f t="shared" si="543"/>
        <v>5182.1428571428569</v>
      </c>
      <c r="L4173" s="607">
        <v>0.9</v>
      </c>
      <c r="M4173">
        <v>4.8</v>
      </c>
      <c r="N4173" s="381">
        <v>27</v>
      </c>
      <c r="O4173">
        <v>3</v>
      </c>
      <c r="P4173" t="s">
        <v>515</v>
      </c>
      <c r="Q4173" s="97" t="str">
        <f t="shared" si="544"/>
        <v/>
      </c>
      <c r="R4173" t="str">
        <f t="shared" si="545"/>
        <v/>
      </c>
    </row>
    <row r="4174" spans="3:18">
      <c r="C4174" t="str">
        <f t="shared" si="539"/>
        <v/>
      </c>
      <c r="D4174">
        <v>265</v>
      </c>
      <c r="E4174">
        <v>105</v>
      </c>
      <c r="F4174" s="366">
        <f t="shared" si="540"/>
        <v>2278.5</v>
      </c>
      <c r="G4174" s="97">
        <v>1989</v>
      </c>
      <c r="H4174" s="367">
        <f t="shared" si="541"/>
        <v>4267.5</v>
      </c>
      <c r="I4174" s="368">
        <f t="shared" si="542"/>
        <v>0</v>
      </c>
      <c r="J4174">
        <v>7871</v>
      </c>
      <c r="K4174" s="367">
        <f t="shared" si="543"/>
        <v>5622.1428571428569</v>
      </c>
      <c r="L4174" s="607">
        <v>0.46</v>
      </c>
      <c r="M4174">
        <v>6.1</v>
      </c>
      <c r="N4174" s="381">
        <v>23</v>
      </c>
      <c r="O4174">
        <v>4</v>
      </c>
      <c r="P4174" t="s">
        <v>515</v>
      </c>
      <c r="Q4174" s="97">
        <f t="shared" si="544"/>
        <v>265</v>
      </c>
      <c r="R4174" t="str">
        <f t="shared" si="545"/>
        <v/>
      </c>
    </row>
    <row r="4175" spans="3:18">
      <c r="C4175" t="str">
        <f t="shared" si="539"/>
        <v>NL</v>
      </c>
      <c r="D4175">
        <v>266</v>
      </c>
      <c r="E4175">
        <v>105</v>
      </c>
      <c r="F4175" s="366">
        <f t="shared" si="540"/>
        <v>2278.5</v>
      </c>
      <c r="G4175" s="97">
        <v>2408</v>
      </c>
      <c r="H4175" s="367">
        <f t="shared" si="541"/>
        <v>4686.5</v>
      </c>
      <c r="I4175" s="368">
        <f t="shared" si="542"/>
        <v>0</v>
      </c>
      <c r="J4175">
        <v>9532</v>
      </c>
      <c r="K4175" s="367">
        <f t="shared" si="543"/>
        <v>6808.5714285714284</v>
      </c>
      <c r="L4175" s="607">
        <v>0.29000000000000004</v>
      </c>
      <c r="M4175">
        <v>7.3999999999999995</v>
      </c>
      <c r="N4175" s="381">
        <v>22</v>
      </c>
      <c r="O4175">
        <v>5</v>
      </c>
      <c r="P4175" t="s">
        <v>515</v>
      </c>
      <c r="Q4175" s="97" t="str">
        <f t="shared" si="544"/>
        <v/>
      </c>
      <c r="R4175" t="str">
        <f t="shared" si="545"/>
        <v/>
      </c>
    </row>
    <row r="4176" spans="3:18">
      <c r="C4176" t="str">
        <f t="shared" si="539"/>
        <v>NL</v>
      </c>
      <c r="D4176">
        <v>267</v>
      </c>
      <c r="E4176">
        <v>105</v>
      </c>
      <c r="F4176" s="366">
        <f t="shared" si="540"/>
        <v>2278.5</v>
      </c>
      <c r="G4176" s="97">
        <v>3137</v>
      </c>
      <c r="H4176" s="367">
        <f t="shared" si="541"/>
        <v>5415.5</v>
      </c>
      <c r="I4176" s="368">
        <f t="shared" si="542"/>
        <v>0</v>
      </c>
      <c r="J4176">
        <v>12415</v>
      </c>
      <c r="K4176" s="367">
        <f t="shared" si="543"/>
        <v>8867.8571428571431</v>
      </c>
      <c r="L4176" s="607">
        <v>0.9</v>
      </c>
      <c r="M4176">
        <v>7.3999999999999995</v>
      </c>
      <c r="N4176" s="381">
        <v>27</v>
      </c>
      <c r="O4176">
        <v>5</v>
      </c>
      <c r="P4176" t="s">
        <v>514</v>
      </c>
      <c r="Q4176" s="97" t="str">
        <f t="shared" si="544"/>
        <v/>
      </c>
      <c r="R4176" t="str">
        <f t="shared" si="545"/>
        <v/>
      </c>
    </row>
    <row r="4177" spans="3:18">
      <c r="C4177" t="str">
        <f t="shared" si="539"/>
        <v/>
      </c>
      <c r="D4177">
        <v>268</v>
      </c>
      <c r="E4177">
        <v>105</v>
      </c>
      <c r="F4177" s="366">
        <f t="shared" si="540"/>
        <v>2278.5</v>
      </c>
      <c r="G4177" s="97">
        <v>2180</v>
      </c>
      <c r="H4177" s="367">
        <f t="shared" si="541"/>
        <v>4458.5</v>
      </c>
      <c r="I4177" s="368">
        <f t="shared" si="542"/>
        <v>0</v>
      </c>
      <c r="J4177">
        <v>8628</v>
      </c>
      <c r="K4177" s="367">
        <f t="shared" si="543"/>
        <v>6162.8571428571431</v>
      </c>
      <c r="L4177" s="607">
        <v>0.21000000000000002</v>
      </c>
      <c r="M4177">
        <v>8.6999999999999993</v>
      </c>
      <c r="N4177" s="381">
        <v>22</v>
      </c>
      <c r="O4177">
        <v>6</v>
      </c>
      <c r="P4177" t="s">
        <v>515</v>
      </c>
      <c r="Q4177" s="97">
        <f t="shared" si="544"/>
        <v>268</v>
      </c>
      <c r="R4177" t="str">
        <f t="shared" si="545"/>
        <v/>
      </c>
    </row>
    <row r="4178" spans="3:18">
      <c r="C4178" t="str">
        <f t="shared" si="539"/>
        <v/>
      </c>
      <c r="D4178">
        <v>269</v>
      </c>
      <c r="E4178">
        <v>105</v>
      </c>
      <c r="F4178" s="366">
        <f t="shared" si="540"/>
        <v>2278.5</v>
      </c>
      <c r="G4178" s="97">
        <v>2991</v>
      </c>
      <c r="H4178" s="367">
        <f t="shared" si="541"/>
        <v>5269.5</v>
      </c>
      <c r="I4178" s="368">
        <f t="shared" si="542"/>
        <v>0</v>
      </c>
      <c r="J4178">
        <v>11838</v>
      </c>
      <c r="K4178" s="367">
        <f t="shared" si="543"/>
        <v>8455.7142857142862</v>
      </c>
      <c r="L4178" s="607">
        <v>0.64</v>
      </c>
      <c r="M4178">
        <v>8.6999999999999993</v>
      </c>
      <c r="N4178" s="381">
        <v>26</v>
      </c>
      <c r="O4178">
        <v>6</v>
      </c>
      <c r="P4178" t="s">
        <v>514</v>
      </c>
      <c r="Q4178" s="97">
        <f t="shared" si="544"/>
        <v>269</v>
      </c>
      <c r="R4178" t="str">
        <f t="shared" si="545"/>
        <v/>
      </c>
    </row>
    <row r="4179" spans="3:18">
      <c r="C4179" t="str">
        <f t="shared" si="539"/>
        <v>NL</v>
      </c>
      <c r="D4179">
        <v>270</v>
      </c>
      <c r="E4179">
        <v>105</v>
      </c>
      <c r="F4179" s="366">
        <f t="shared" si="540"/>
        <v>2278.5</v>
      </c>
      <c r="G4179" s="97">
        <v>2914</v>
      </c>
      <c r="H4179" s="367">
        <f t="shared" si="541"/>
        <v>5192.5</v>
      </c>
      <c r="I4179" s="368">
        <f t="shared" si="542"/>
        <v>0</v>
      </c>
      <c r="J4179">
        <v>11533</v>
      </c>
      <c r="K4179" s="367">
        <f t="shared" si="543"/>
        <v>8237.8571428571431</v>
      </c>
      <c r="L4179" s="607">
        <v>0.16</v>
      </c>
      <c r="M4179">
        <v>1.3</v>
      </c>
      <c r="N4179" s="381">
        <v>21</v>
      </c>
      <c r="O4179">
        <v>7</v>
      </c>
      <c r="P4179" t="s">
        <v>515</v>
      </c>
      <c r="Q4179" s="97" t="str">
        <f t="shared" si="544"/>
        <v/>
      </c>
      <c r="R4179" t="str">
        <f t="shared" si="545"/>
        <v/>
      </c>
    </row>
    <row r="4180" spans="3:18">
      <c r="C4180" t="str">
        <f t="shared" si="539"/>
        <v>NL</v>
      </c>
      <c r="D4180">
        <v>271</v>
      </c>
      <c r="E4180">
        <v>105</v>
      </c>
      <c r="F4180" s="366">
        <f t="shared" si="540"/>
        <v>2278.5</v>
      </c>
      <c r="G4180" s="97">
        <v>4087</v>
      </c>
      <c r="H4180" s="367">
        <f t="shared" si="541"/>
        <v>6365.5</v>
      </c>
      <c r="I4180" s="368">
        <f t="shared" si="542"/>
        <v>0</v>
      </c>
      <c r="J4180">
        <v>16175</v>
      </c>
      <c r="K4180" s="367">
        <f t="shared" si="543"/>
        <v>11553.571428571429</v>
      </c>
      <c r="L4180" s="607">
        <v>0.48</v>
      </c>
      <c r="M4180">
        <v>1.3</v>
      </c>
      <c r="N4180" s="381">
        <v>26</v>
      </c>
      <c r="O4180">
        <v>7</v>
      </c>
      <c r="P4180" t="s">
        <v>514</v>
      </c>
      <c r="Q4180" s="97" t="str">
        <f t="shared" si="544"/>
        <v/>
      </c>
      <c r="R4180" t="str">
        <f t="shared" si="545"/>
        <v/>
      </c>
    </row>
    <row r="4181" spans="3:18">
      <c r="C4181" t="str">
        <f t="shared" si="539"/>
        <v/>
      </c>
      <c r="D4181">
        <v>272</v>
      </c>
      <c r="E4181">
        <v>105</v>
      </c>
      <c r="F4181" s="366">
        <f t="shared" si="540"/>
        <v>2278.5</v>
      </c>
      <c r="G4181" s="97">
        <v>3500</v>
      </c>
      <c r="H4181" s="367">
        <f t="shared" si="541"/>
        <v>5778.5</v>
      </c>
      <c r="I4181" s="368">
        <f t="shared" si="542"/>
        <v>0</v>
      </c>
      <c r="J4181">
        <v>13853</v>
      </c>
      <c r="K4181" s="367">
        <f t="shared" si="543"/>
        <v>9895</v>
      </c>
      <c r="L4181" s="607">
        <v>0.38</v>
      </c>
      <c r="M4181">
        <v>2.8000000000000003</v>
      </c>
      <c r="N4181" s="381">
        <v>26</v>
      </c>
      <c r="O4181">
        <v>8</v>
      </c>
      <c r="P4181" t="s">
        <v>514</v>
      </c>
      <c r="Q4181" s="97">
        <f t="shared" si="544"/>
        <v>272</v>
      </c>
      <c r="R4181" t="str">
        <f t="shared" si="545"/>
        <v/>
      </c>
    </row>
    <row r="4182" spans="3:18">
      <c r="C4182" t="str">
        <f t="shared" ref="C4182:C4245" si="546">IF(OR($O$4=0,O4182-$O$4=0),IF(AND(ISEVEN(O4182)=FALSE,$N$4="Even"),"NL",""),"NL")</f>
        <v>NL</v>
      </c>
      <c r="D4182">
        <v>273</v>
      </c>
      <c r="E4182">
        <v>105</v>
      </c>
      <c r="F4182" s="366">
        <f t="shared" si="540"/>
        <v>2278.5</v>
      </c>
      <c r="G4182" s="97">
        <v>4818</v>
      </c>
      <c r="H4182" s="367">
        <f t="shared" si="541"/>
        <v>7096.5</v>
      </c>
      <c r="I4182" s="368">
        <f t="shared" si="542"/>
        <v>0</v>
      </c>
      <c r="J4182">
        <v>19066</v>
      </c>
      <c r="K4182" s="367">
        <f t="shared" si="543"/>
        <v>13618.571428571429</v>
      </c>
      <c r="L4182" s="607">
        <v>0.32</v>
      </c>
      <c r="M4182">
        <v>1.7000000000000002</v>
      </c>
      <c r="N4182" s="381">
        <v>26</v>
      </c>
      <c r="O4182">
        <v>9</v>
      </c>
      <c r="P4182" t="s">
        <v>514</v>
      </c>
      <c r="Q4182" s="97" t="str">
        <f t="shared" si="544"/>
        <v/>
      </c>
      <c r="R4182" t="str">
        <f t="shared" si="545"/>
        <v/>
      </c>
    </row>
    <row r="4183" spans="3:18">
      <c r="C4183" t="str">
        <f t="shared" si="546"/>
        <v>NL</v>
      </c>
      <c r="D4183">
        <v>274</v>
      </c>
      <c r="E4183">
        <v>105</v>
      </c>
      <c r="F4183" s="366">
        <f t="shared" si="540"/>
        <v>2278.5</v>
      </c>
      <c r="G4183" s="97">
        <v>6261</v>
      </c>
      <c r="H4183" s="367">
        <f t="shared" si="541"/>
        <v>8539.5</v>
      </c>
      <c r="I4183" s="368">
        <f t="shared" si="542"/>
        <v>0</v>
      </c>
      <c r="J4183">
        <v>24776</v>
      </c>
      <c r="K4183" s="367">
        <f t="shared" si="543"/>
        <v>17697.142857142859</v>
      </c>
      <c r="L4183" s="607">
        <v>1</v>
      </c>
      <c r="M4183">
        <v>1.7000000000000002</v>
      </c>
      <c r="N4183" s="381">
        <v>30</v>
      </c>
      <c r="O4183">
        <v>9</v>
      </c>
      <c r="P4183" t="s">
        <v>513</v>
      </c>
      <c r="Q4183" s="97" t="str">
        <f t="shared" si="544"/>
        <v/>
      </c>
      <c r="R4183" t="str">
        <f t="shared" si="545"/>
        <v/>
      </c>
    </row>
    <row r="4184" spans="3:18">
      <c r="C4184" t="str">
        <f t="shared" si="546"/>
        <v/>
      </c>
      <c r="D4184">
        <v>275</v>
      </c>
      <c r="E4184">
        <v>105</v>
      </c>
      <c r="F4184" s="366">
        <f t="shared" si="540"/>
        <v>2278.5</v>
      </c>
      <c r="G4184" s="97">
        <v>5097</v>
      </c>
      <c r="H4184" s="367">
        <f t="shared" si="541"/>
        <v>7375.5</v>
      </c>
      <c r="I4184" s="368">
        <f t="shared" si="542"/>
        <v>0</v>
      </c>
      <c r="J4184">
        <v>20172</v>
      </c>
      <c r="K4184" s="367">
        <f t="shared" si="543"/>
        <v>14408.571428571429</v>
      </c>
      <c r="L4184" s="607">
        <v>0.27</v>
      </c>
      <c r="M4184">
        <v>3.7</v>
      </c>
      <c r="N4184" s="381">
        <v>26</v>
      </c>
      <c r="O4184">
        <v>10</v>
      </c>
      <c r="P4184" t="s">
        <v>514</v>
      </c>
      <c r="Q4184" s="97" t="str">
        <f t="shared" si="544"/>
        <v/>
      </c>
      <c r="R4184" t="str">
        <f t="shared" si="545"/>
        <v/>
      </c>
    </row>
    <row r="4185" spans="3:18">
      <c r="C4185" t="str">
        <f t="shared" si="546"/>
        <v/>
      </c>
      <c r="D4185">
        <v>276</v>
      </c>
      <c r="E4185">
        <v>105</v>
      </c>
      <c r="F4185" s="366">
        <f t="shared" si="540"/>
        <v>2278.5</v>
      </c>
      <c r="G4185" s="97">
        <v>6635</v>
      </c>
      <c r="H4185" s="367">
        <f t="shared" si="541"/>
        <v>8913.5</v>
      </c>
      <c r="I4185" s="368">
        <f t="shared" si="542"/>
        <v>0</v>
      </c>
      <c r="J4185">
        <v>26258</v>
      </c>
      <c r="K4185" s="367">
        <f t="shared" si="543"/>
        <v>18755.714285714286</v>
      </c>
      <c r="L4185" s="607">
        <v>0.83</v>
      </c>
      <c r="M4185">
        <v>3.7</v>
      </c>
      <c r="N4185" s="381">
        <v>29</v>
      </c>
      <c r="O4185">
        <v>10</v>
      </c>
      <c r="P4185" t="s">
        <v>513</v>
      </c>
      <c r="Q4185" s="97" t="str">
        <f t="shared" si="544"/>
        <v/>
      </c>
      <c r="R4185" t="str">
        <f t="shared" si="545"/>
        <v/>
      </c>
    </row>
    <row r="4186" spans="3:18">
      <c r="C4186" t="str">
        <f t="shared" si="546"/>
        <v>NL</v>
      </c>
      <c r="D4186">
        <v>277</v>
      </c>
      <c r="E4186">
        <v>110</v>
      </c>
      <c r="F4186" s="366">
        <f t="shared" si="540"/>
        <v>2387</v>
      </c>
      <c r="G4186" s="97">
        <v>1895</v>
      </c>
      <c r="H4186" s="367">
        <f t="shared" si="541"/>
        <v>4282</v>
      </c>
      <c r="I4186" s="368">
        <f t="shared" si="542"/>
        <v>0</v>
      </c>
      <c r="J4186">
        <v>7501</v>
      </c>
      <c r="K4186" s="367">
        <f t="shared" si="543"/>
        <v>5357.8571428571431</v>
      </c>
      <c r="L4186" s="607">
        <v>0.99</v>
      </c>
      <c r="M4186">
        <v>4.8</v>
      </c>
      <c r="N4186" s="381">
        <v>27</v>
      </c>
      <c r="O4186">
        <v>3</v>
      </c>
      <c r="P4186" t="s">
        <v>515</v>
      </c>
      <c r="Q4186" s="97" t="str">
        <f t="shared" si="544"/>
        <v/>
      </c>
      <c r="R4186" t="str">
        <f t="shared" si="545"/>
        <v/>
      </c>
    </row>
    <row r="4187" spans="3:18">
      <c r="C4187" t="str">
        <f t="shared" si="546"/>
        <v/>
      </c>
      <c r="D4187">
        <v>278</v>
      </c>
      <c r="E4187">
        <v>110</v>
      </c>
      <c r="F4187" s="366">
        <f t="shared" si="540"/>
        <v>2387</v>
      </c>
      <c r="G4187" s="97">
        <v>2056</v>
      </c>
      <c r="H4187" s="367">
        <f t="shared" si="541"/>
        <v>4443</v>
      </c>
      <c r="I4187" s="368">
        <f t="shared" si="542"/>
        <v>0</v>
      </c>
      <c r="J4187">
        <v>8136</v>
      </c>
      <c r="K4187" s="367">
        <f t="shared" si="543"/>
        <v>5811.4285714285716</v>
      </c>
      <c r="L4187" s="607">
        <v>0.5</v>
      </c>
      <c r="M4187">
        <v>6.1</v>
      </c>
      <c r="N4187" s="381">
        <v>24</v>
      </c>
      <c r="O4187">
        <v>4</v>
      </c>
      <c r="P4187" t="s">
        <v>515</v>
      </c>
      <c r="Q4187" s="97">
        <f t="shared" si="544"/>
        <v>278</v>
      </c>
      <c r="R4187" t="str">
        <f t="shared" si="545"/>
        <v/>
      </c>
    </row>
    <row r="4188" spans="3:18">
      <c r="C4188" t="str">
        <f t="shared" si="546"/>
        <v>NL</v>
      </c>
      <c r="D4188">
        <v>279</v>
      </c>
      <c r="E4188">
        <v>110</v>
      </c>
      <c r="F4188" s="366">
        <f t="shared" si="540"/>
        <v>2387</v>
      </c>
      <c r="G4188" s="97">
        <v>2496</v>
      </c>
      <c r="H4188" s="367">
        <f t="shared" si="541"/>
        <v>4883</v>
      </c>
      <c r="I4188" s="368">
        <f t="shared" si="542"/>
        <v>0</v>
      </c>
      <c r="J4188">
        <v>9879</v>
      </c>
      <c r="K4188" s="367">
        <f t="shared" si="543"/>
        <v>7056.4285714285716</v>
      </c>
      <c r="L4188" s="607">
        <v>0.32</v>
      </c>
      <c r="M4188">
        <v>7.3999999999999995</v>
      </c>
      <c r="N4188" s="381">
        <v>23</v>
      </c>
      <c r="O4188">
        <v>5</v>
      </c>
      <c r="P4188" t="s">
        <v>515</v>
      </c>
      <c r="Q4188" s="97" t="str">
        <f t="shared" si="544"/>
        <v/>
      </c>
      <c r="R4188" t="str">
        <f t="shared" si="545"/>
        <v/>
      </c>
    </row>
    <row r="4189" spans="3:18">
      <c r="C4189" t="str">
        <f t="shared" si="546"/>
        <v>NL</v>
      </c>
      <c r="D4189">
        <v>280</v>
      </c>
      <c r="E4189">
        <v>110</v>
      </c>
      <c r="F4189" s="366">
        <f t="shared" si="540"/>
        <v>2387</v>
      </c>
      <c r="G4189" s="97">
        <v>3238</v>
      </c>
      <c r="H4189" s="367">
        <f t="shared" si="541"/>
        <v>5625</v>
      </c>
      <c r="I4189" s="368">
        <f t="shared" si="542"/>
        <v>0</v>
      </c>
      <c r="J4189">
        <v>12813</v>
      </c>
      <c r="K4189" s="367">
        <f t="shared" si="543"/>
        <v>9152.1428571428569</v>
      </c>
      <c r="L4189" s="607">
        <v>0.98</v>
      </c>
      <c r="M4189">
        <v>7.3999999999999995</v>
      </c>
      <c r="N4189" s="381">
        <v>28</v>
      </c>
      <c r="O4189">
        <v>5</v>
      </c>
      <c r="P4189" t="s">
        <v>514</v>
      </c>
      <c r="Q4189" s="97" t="str">
        <f t="shared" si="544"/>
        <v/>
      </c>
      <c r="R4189" t="str">
        <f t="shared" si="545"/>
        <v/>
      </c>
    </row>
    <row r="4190" spans="3:18">
      <c r="C4190" t="str">
        <f t="shared" si="546"/>
        <v/>
      </c>
      <c r="D4190">
        <v>281</v>
      </c>
      <c r="E4190">
        <v>110</v>
      </c>
      <c r="F4190" s="366">
        <f t="shared" si="540"/>
        <v>2387</v>
      </c>
      <c r="G4190" s="97">
        <v>2265</v>
      </c>
      <c r="H4190" s="367">
        <f t="shared" si="541"/>
        <v>4652</v>
      </c>
      <c r="I4190" s="368">
        <f t="shared" si="542"/>
        <v>0</v>
      </c>
      <c r="J4190">
        <v>8966</v>
      </c>
      <c r="K4190" s="367">
        <f t="shared" si="543"/>
        <v>6404.2857142857147</v>
      </c>
      <c r="L4190" s="607">
        <v>0.23</v>
      </c>
      <c r="M4190">
        <v>8.6999999999999993</v>
      </c>
      <c r="N4190" s="381">
        <v>22</v>
      </c>
      <c r="O4190">
        <v>6</v>
      </c>
      <c r="P4190" t="s">
        <v>515</v>
      </c>
      <c r="Q4190" s="97">
        <f t="shared" si="544"/>
        <v>281</v>
      </c>
      <c r="R4190" t="str">
        <f t="shared" si="545"/>
        <v/>
      </c>
    </row>
    <row r="4191" spans="3:18">
      <c r="C4191" t="str">
        <f t="shared" si="546"/>
        <v/>
      </c>
      <c r="D4191">
        <v>282</v>
      </c>
      <c r="E4191">
        <v>110</v>
      </c>
      <c r="F4191" s="366">
        <f t="shared" si="540"/>
        <v>2387</v>
      </c>
      <c r="G4191" s="97">
        <v>3092</v>
      </c>
      <c r="H4191" s="367">
        <f t="shared" si="541"/>
        <v>5479</v>
      </c>
      <c r="I4191" s="368">
        <f t="shared" si="542"/>
        <v>0</v>
      </c>
      <c r="J4191">
        <v>12237</v>
      </c>
      <c r="K4191" s="367">
        <f t="shared" si="543"/>
        <v>8740.7142857142862</v>
      </c>
      <c r="L4191" s="607">
        <v>0.7</v>
      </c>
      <c r="M4191">
        <v>8.6999999999999993</v>
      </c>
      <c r="N4191" s="381">
        <v>27</v>
      </c>
      <c r="O4191">
        <v>6</v>
      </c>
      <c r="P4191" t="s">
        <v>514</v>
      </c>
      <c r="Q4191" s="97">
        <f t="shared" si="544"/>
        <v>282</v>
      </c>
      <c r="R4191" t="str">
        <f t="shared" si="545"/>
        <v/>
      </c>
    </row>
    <row r="4192" spans="3:18">
      <c r="C4192" t="str">
        <f t="shared" si="546"/>
        <v>NL</v>
      </c>
      <c r="D4192">
        <v>283</v>
      </c>
      <c r="E4192">
        <v>110</v>
      </c>
      <c r="F4192" s="366">
        <f t="shared" si="540"/>
        <v>2387</v>
      </c>
      <c r="G4192" s="97">
        <v>3015</v>
      </c>
      <c r="H4192" s="367">
        <f t="shared" si="541"/>
        <v>5402</v>
      </c>
      <c r="I4192" s="368">
        <f t="shared" si="542"/>
        <v>0</v>
      </c>
      <c r="J4192">
        <v>11931</v>
      </c>
      <c r="K4192" s="367">
        <f t="shared" si="543"/>
        <v>8522.1428571428569</v>
      </c>
      <c r="L4192" s="607">
        <v>0.18000000000000002</v>
      </c>
      <c r="M4192">
        <v>1.3</v>
      </c>
      <c r="N4192" s="381">
        <v>22</v>
      </c>
      <c r="O4192">
        <v>7</v>
      </c>
      <c r="P4192" t="s">
        <v>515</v>
      </c>
      <c r="Q4192" s="97" t="str">
        <f t="shared" si="544"/>
        <v/>
      </c>
      <c r="R4192" t="str">
        <f t="shared" si="545"/>
        <v/>
      </c>
    </row>
    <row r="4193" spans="3:18">
      <c r="C4193" t="str">
        <f t="shared" si="546"/>
        <v>NL</v>
      </c>
      <c r="D4193">
        <v>284</v>
      </c>
      <c r="E4193">
        <v>110</v>
      </c>
      <c r="F4193" s="366">
        <f t="shared" si="540"/>
        <v>2387</v>
      </c>
      <c r="G4193" s="97">
        <v>4219</v>
      </c>
      <c r="H4193" s="367">
        <f t="shared" si="541"/>
        <v>6606</v>
      </c>
      <c r="I4193" s="368">
        <f t="shared" si="542"/>
        <v>0</v>
      </c>
      <c r="J4193">
        <v>16698</v>
      </c>
      <c r="K4193" s="367">
        <f t="shared" si="543"/>
        <v>11927.142857142857</v>
      </c>
      <c r="L4193" s="607">
        <v>0.53</v>
      </c>
      <c r="M4193">
        <v>1.3</v>
      </c>
      <c r="N4193" s="381">
        <v>27</v>
      </c>
      <c r="O4193">
        <v>7</v>
      </c>
      <c r="P4193" t="s">
        <v>514</v>
      </c>
      <c r="Q4193" s="97" t="str">
        <f t="shared" si="544"/>
        <v/>
      </c>
      <c r="R4193" t="str">
        <f t="shared" si="545"/>
        <v/>
      </c>
    </row>
    <row r="4194" spans="3:18">
      <c r="C4194" t="str">
        <f t="shared" si="546"/>
        <v/>
      </c>
      <c r="D4194">
        <v>285</v>
      </c>
      <c r="E4194">
        <v>110</v>
      </c>
      <c r="F4194" s="366">
        <f t="shared" si="540"/>
        <v>2387</v>
      </c>
      <c r="G4194" s="97">
        <v>3626</v>
      </c>
      <c r="H4194" s="367">
        <f t="shared" si="541"/>
        <v>6013</v>
      </c>
      <c r="I4194" s="368">
        <f t="shared" si="542"/>
        <v>0</v>
      </c>
      <c r="J4194">
        <v>14349</v>
      </c>
      <c r="K4194" s="367">
        <f t="shared" si="543"/>
        <v>10249.285714285714</v>
      </c>
      <c r="L4194" s="607">
        <v>0.42</v>
      </c>
      <c r="M4194">
        <v>2.8000000000000003</v>
      </c>
      <c r="N4194" s="381">
        <v>26</v>
      </c>
      <c r="O4194">
        <v>8</v>
      </c>
      <c r="P4194" t="s">
        <v>514</v>
      </c>
      <c r="Q4194" s="97">
        <f t="shared" si="544"/>
        <v>285</v>
      </c>
      <c r="R4194" t="str">
        <f t="shared" si="545"/>
        <v/>
      </c>
    </row>
    <row r="4195" spans="3:18">
      <c r="C4195" t="str">
        <f t="shared" si="546"/>
        <v>NL</v>
      </c>
      <c r="D4195">
        <v>286</v>
      </c>
      <c r="E4195">
        <v>110</v>
      </c>
      <c r="F4195" s="366">
        <f t="shared" si="540"/>
        <v>2387</v>
      </c>
      <c r="G4195" s="97">
        <v>4977</v>
      </c>
      <c r="H4195" s="367">
        <f t="shared" si="541"/>
        <v>7364</v>
      </c>
      <c r="I4195" s="368">
        <f t="shared" si="542"/>
        <v>0</v>
      </c>
      <c r="J4195">
        <v>19695</v>
      </c>
      <c r="K4195" s="367">
        <f t="shared" si="543"/>
        <v>14067.857142857143</v>
      </c>
      <c r="L4195" s="607">
        <v>0.35000000000000003</v>
      </c>
      <c r="M4195">
        <v>1.7000000000000002</v>
      </c>
      <c r="N4195" s="381">
        <v>27</v>
      </c>
      <c r="O4195">
        <v>9</v>
      </c>
      <c r="P4195" t="s">
        <v>514</v>
      </c>
      <c r="Q4195" s="97" t="str">
        <f t="shared" si="544"/>
        <v/>
      </c>
      <c r="R4195" t="str">
        <f t="shared" si="545"/>
        <v/>
      </c>
    </row>
    <row r="4196" spans="3:18">
      <c r="C4196" t="str">
        <f t="shared" si="546"/>
        <v>NL</v>
      </c>
      <c r="D4196">
        <v>287</v>
      </c>
      <c r="E4196">
        <v>110</v>
      </c>
      <c r="F4196" s="366">
        <f t="shared" si="540"/>
        <v>2387</v>
      </c>
      <c r="G4196" s="97">
        <v>6449</v>
      </c>
      <c r="H4196" s="367">
        <f t="shared" si="541"/>
        <v>8836</v>
      </c>
      <c r="I4196" s="368">
        <f t="shared" si="542"/>
        <v>0</v>
      </c>
      <c r="J4196">
        <v>25520</v>
      </c>
      <c r="K4196" s="367">
        <f t="shared" si="543"/>
        <v>18228.571428571428</v>
      </c>
      <c r="L4196" s="607">
        <v>1.1000000000000001</v>
      </c>
      <c r="M4196">
        <v>1.7000000000000002</v>
      </c>
      <c r="N4196" s="381">
        <v>30</v>
      </c>
      <c r="O4196">
        <v>9</v>
      </c>
      <c r="P4196" t="s">
        <v>513</v>
      </c>
      <c r="Q4196" s="97" t="str">
        <f t="shared" si="544"/>
        <v/>
      </c>
      <c r="R4196" t="str">
        <f t="shared" si="545"/>
        <v/>
      </c>
    </row>
    <row r="4197" spans="3:18">
      <c r="C4197" t="str">
        <f t="shared" si="546"/>
        <v/>
      </c>
      <c r="D4197">
        <v>288</v>
      </c>
      <c r="E4197">
        <v>110</v>
      </c>
      <c r="F4197" s="366">
        <f t="shared" si="540"/>
        <v>2387</v>
      </c>
      <c r="G4197" s="97">
        <v>5258</v>
      </c>
      <c r="H4197" s="367">
        <f t="shared" si="541"/>
        <v>7645</v>
      </c>
      <c r="I4197" s="368">
        <f t="shared" si="542"/>
        <v>0</v>
      </c>
      <c r="J4197">
        <v>20809</v>
      </c>
      <c r="K4197" s="367">
        <f t="shared" si="543"/>
        <v>14863.571428571429</v>
      </c>
      <c r="L4197" s="607">
        <v>0.29000000000000004</v>
      </c>
      <c r="M4197">
        <v>3.7</v>
      </c>
      <c r="N4197" s="381">
        <v>27</v>
      </c>
      <c r="O4197">
        <v>10</v>
      </c>
      <c r="P4197" t="s">
        <v>514</v>
      </c>
      <c r="Q4197" s="97" t="str">
        <f t="shared" si="544"/>
        <v/>
      </c>
      <c r="R4197" t="str">
        <f t="shared" si="545"/>
        <v/>
      </c>
    </row>
    <row r="4198" spans="3:18">
      <c r="C4198" t="str">
        <f t="shared" si="546"/>
        <v/>
      </c>
      <c r="D4198">
        <v>289</v>
      </c>
      <c r="E4198">
        <v>110</v>
      </c>
      <c r="F4198" s="366">
        <f t="shared" si="540"/>
        <v>2387</v>
      </c>
      <c r="G4198" s="97">
        <v>6841</v>
      </c>
      <c r="H4198" s="367">
        <f t="shared" si="541"/>
        <v>9228</v>
      </c>
      <c r="I4198" s="368">
        <f t="shared" si="542"/>
        <v>0</v>
      </c>
      <c r="J4198">
        <v>27073</v>
      </c>
      <c r="K4198" s="367">
        <f t="shared" si="543"/>
        <v>19337.857142857145</v>
      </c>
      <c r="L4198" s="607">
        <v>0.91</v>
      </c>
      <c r="M4198">
        <v>3.7</v>
      </c>
      <c r="N4198" s="381">
        <v>30</v>
      </c>
      <c r="O4198">
        <v>10</v>
      </c>
      <c r="P4198" t="s">
        <v>513</v>
      </c>
      <c r="Q4198" s="97" t="str">
        <f t="shared" si="544"/>
        <v/>
      </c>
      <c r="R4198" t="str">
        <f t="shared" si="545"/>
        <v/>
      </c>
    </row>
    <row r="4199" spans="3:18">
      <c r="C4199" t="str">
        <f t="shared" si="546"/>
        <v>NL</v>
      </c>
      <c r="D4199">
        <v>290</v>
      </c>
      <c r="E4199">
        <v>115</v>
      </c>
      <c r="F4199" s="366">
        <f t="shared" si="540"/>
        <v>2495.5</v>
      </c>
      <c r="G4199" s="97">
        <v>1957</v>
      </c>
      <c r="H4199" s="367">
        <f t="shared" si="541"/>
        <v>4452.5</v>
      </c>
      <c r="I4199" s="368">
        <f t="shared" si="542"/>
        <v>0</v>
      </c>
      <c r="J4199">
        <v>7744</v>
      </c>
      <c r="K4199" s="367">
        <f t="shared" si="543"/>
        <v>5531.4285714285716</v>
      </c>
      <c r="L4199" s="607">
        <v>1.08</v>
      </c>
      <c r="M4199">
        <v>4.8</v>
      </c>
      <c r="N4199" s="381">
        <v>28</v>
      </c>
      <c r="O4199">
        <v>3</v>
      </c>
      <c r="P4199" t="s">
        <v>515</v>
      </c>
      <c r="Q4199" s="97" t="str">
        <f t="shared" si="544"/>
        <v/>
      </c>
      <c r="R4199" t="str">
        <f t="shared" si="545"/>
        <v/>
      </c>
    </row>
    <row r="4200" spans="3:18">
      <c r="C4200" t="str">
        <f t="shared" si="546"/>
        <v/>
      </c>
      <c r="D4200">
        <v>291</v>
      </c>
      <c r="E4200">
        <v>115</v>
      </c>
      <c r="F4200" s="366">
        <f t="shared" si="540"/>
        <v>2495.5</v>
      </c>
      <c r="G4200" s="97">
        <v>2123</v>
      </c>
      <c r="H4200" s="367">
        <f t="shared" si="541"/>
        <v>4618.5</v>
      </c>
      <c r="I4200" s="368">
        <f t="shared" si="542"/>
        <v>0</v>
      </c>
      <c r="J4200">
        <v>8401</v>
      </c>
      <c r="K4200" s="367">
        <f t="shared" si="543"/>
        <v>6000.7142857142862</v>
      </c>
      <c r="L4200" s="607">
        <v>0.54</v>
      </c>
      <c r="M4200">
        <v>6.1</v>
      </c>
      <c r="N4200" s="381">
        <v>24</v>
      </c>
      <c r="O4200">
        <v>4</v>
      </c>
      <c r="P4200" t="s">
        <v>515</v>
      </c>
      <c r="Q4200" s="97">
        <f t="shared" si="544"/>
        <v>291</v>
      </c>
      <c r="R4200" t="str">
        <f t="shared" si="545"/>
        <v/>
      </c>
    </row>
    <row r="4201" spans="3:18">
      <c r="C4201" t="str">
        <f t="shared" si="546"/>
        <v>NL</v>
      </c>
      <c r="D4201">
        <v>292</v>
      </c>
      <c r="E4201">
        <v>115</v>
      </c>
      <c r="F4201" s="366">
        <f t="shared" si="540"/>
        <v>2495.5</v>
      </c>
      <c r="G4201" s="97">
        <v>2575</v>
      </c>
      <c r="H4201" s="367">
        <f t="shared" si="541"/>
        <v>5070.5</v>
      </c>
      <c r="I4201" s="368">
        <f t="shared" si="542"/>
        <v>0</v>
      </c>
      <c r="J4201">
        <v>10192</v>
      </c>
      <c r="K4201" s="367">
        <f t="shared" si="543"/>
        <v>7280</v>
      </c>
      <c r="L4201" s="607">
        <v>0.35000000000000003</v>
      </c>
      <c r="M4201">
        <v>7.3999999999999995</v>
      </c>
      <c r="N4201" s="381">
        <v>23</v>
      </c>
      <c r="O4201">
        <v>5</v>
      </c>
      <c r="P4201" t="s">
        <v>515</v>
      </c>
      <c r="Q4201" s="97" t="str">
        <f t="shared" si="544"/>
        <v/>
      </c>
      <c r="R4201" t="str">
        <f t="shared" si="545"/>
        <v/>
      </c>
    </row>
    <row r="4202" spans="3:18">
      <c r="C4202" t="str">
        <f t="shared" si="546"/>
        <v>NL</v>
      </c>
      <c r="D4202">
        <v>293</v>
      </c>
      <c r="E4202">
        <v>115</v>
      </c>
      <c r="F4202" s="366">
        <f t="shared" si="540"/>
        <v>2495.5</v>
      </c>
      <c r="G4202" s="97">
        <v>3332</v>
      </c>
      <c r="H4202" s="367">
        <f t="shared" si="541"/>
        <v>5827.5</v>
      </c>
      <c r="I4202" s="368">
        <f t="shared" si="542"/>
        <v>0</v>
      </c>
      <c r="J4202">
        <v>13187</v>
      </c>
      <c r="K4202" s="367">
        <f t="shared" si="543"/>
        <v>9419.2857142857138</v>
      </c>
      <c r="L4202" s="607">
        <v>1.07</v>
      </c>
      <c r="M4202">
        <v>7.3999999999999995</v>
      </c>
      <c r="N4202" s="381">
        <v>28</v>
      </c>
      <c r="O4202">
        <v>5</v>
      </c>
      <c r="P4202" t="s">
        <v>514</v>
      </c>
      <c r="Q4202" s="97" t="str">
        <f t="shared" si="544"/>
        <v/>
      </c>
      <c r="R4202" t="str">
        <f t="shared" si="545"/>
        <v/>
      </c>
    </row>
    <row r="4203" spans="3:18">
      <c r="C4203" t="str">
        <f t="shared" si="546"/>
        <v/>
      </c>
      <c r="D4203">
        <v>294</v>
      </c>
      <c r="E4203">
        <v>115</v>
      </c>
      <c r="F4203" s="366">
        <f t="shared" si="540"/>
        <v>2495.5</v>
      </c>
      <c r="G4203" s="97">
        <v>2349</v>
      </c>
      <c r="H4203" s="367">
        <f t="shared" si="541"/>
        <v>4844.5</v>
      </c>
      <c r="I4203" s="368">
        <f t="shared" si="542"/>
        <v>0</v>
      </c>
      <c r="J4203">
        <v>9299</v>
      </c>
      <c r="K4203" s="367">
        <f t="shared" si="543"/>
        <v>6642.1428571428569</v>
      </c>
      <c r="L4203" s="607">
        <v>0.25</v>
      </c>
      <c r="M4203">
        <v>8.6999999999999993</v>
      </c>
      <c r="N4203" s="381">
        <v>22</v>
      </c>
      <c r="O4203">
        <v>6</v>
      </c>
      <c r="P4203" t="s">
        <v>515</v>
      </c>
      <c r="Q4203" s="97">
        <f t="shared" si="544"/>
        <v>294</v>
      </c>
      <c r="R4203" t="str">
        <f t="shared" si="545"/>
        <v/>
      </c>
    </row>
    <row r="4204" spans="3:18">
      <c r="C4204" t="str">
        <f t="shared" si="546"/>
        <v/>
      </c>
      <c r="D4204">
        <v>295</v>
      </c>
      <c r="E4204">
        <v>115</v>
      </c>
      <c r="F4204" s="366">
        <f t="shared" si="540"/>
        <v>2495.5</v>
      </c>
      <c r="G4204" s="97">
        <v>3185</v>
      </c>
      <c r="H4204" s="367">
        <f t="shared" si="541"/>
        <v>5680.5</v>
      </c>
      <c r="I4204" s="368">
        <f t="shared" si="542"/>
        <v>0</v>
      </c>
      <c r="J4204">
        <v>12607</v>
      </c>
      <c r="K4204" s="367">
        <f t="shared" si="543"/>
        <v>9005</v>
      </c>
      <c r="L4204" s="607">
        <v>0.76</v>
      </c>
      <c r="M4204">
        <v>8.6999999999999993</v>
      </c>
      <c r="N4204" s="381">
        <v>27</v>
      </c>
      <c r="O4204">
        <v>6</v>
      </c>
      <c r="P4204" t="s">
        <v>514</v>
      </c>
      <c r="Q4204" s="97" t="str">
        <f t="shared" si="544"/>
        <v/>
      </c>
      <c r="R4204" t="str">
        <f t="shared" si="545"/>
        <v/>
      </c>
    </row>
    <row r="4205" spans="3:18">
      <c r="C4205" t="str">
        <f t="shared" si="546"/>
        <v>NL</v>
      </c>
      <c r="D4205">
        <v>296</v>
      </c>
      <c r="E4205">
        <v>115</v>
      </c>
      <c r="F4205" s="366">
        <f t="shared" si="540"/>
        <v>2495.5</v>
      </c>
      <c r="G4205" s="97">
        <v>3115</v>
      </c>
      <c r="H4205" s="367">
        <f t="shared" si="541"/>
        <v>5610.5</v>
      </c>
      <c r="I4205" s="368">
        <f t="shared" si="542"/>
        <v>0</v>
      </c>
      <c r="J4205">
        <v>12330</v>
      </c>
      <c r="K4205" s="367">
        <f t="shared" si="543"/>
        <v>8807.1428571428569</v>
      </c>
      <c r="L4205" s="607">
        <v>0.19</v>
      </c>
      <c r="M4205">
        <v>1.3</v>
      </c>
      <c r="N4205" s="381">
        <v>22</v>
      </c>
      <c r="O4205">
        <v>7</v>
      </c>
      <c r="P4205" t="s">
        <v>515</v>
      </c>
      <c r="Q4205" s="97" t="str">
        <f t="shared" si="544"/>
        <v/>
      </c>
      <c r="R4205" t="str">
        <f t="shared" si="545"/>
        <v/>
      </c>
    </row>
    <row r="4206" spans="3:18">
      <c r="C4206" t="str">
        <f t="shared" si="546"/>
        <v>NL</v>
      </c>
      <c r="D4206">
        <v>297</v>
      </c>
      <c r="E4206">
        <v>115</v>
      </c>
      <c r="F4206" s="366">
        <f t="shared" si="540"/>
        <v>2495.5</v>
      </c>
      <c r="G4206" s="97">
        <v>4350</v>
      </c>
      <c r="H4206" s="367">
        <f t="shared" si="541"/>
        <v>6845.5</v>
      </c>
      <c r="I4206" s="368">
        <f t="shared" si="542"/>
        <v>0</v>
      </c>
      <c r="J4206">
        <v>17217</v>
      </c>
      <c r="K4206" s="367">
        <f t="shared" si="543"/>
        <v>12297.857142857143</v>
      </c>
      <c r="L4206" s="607">
        <v>0.57000000000000006</v>
      </c>
      <c r="M4206">
        <v>1.3</v>
      </c>
      <c r="N4206" s="381">
        <v>27</v>
      </c>
      <c r="O4206">
        <v>7</v>
      </c>
      <c r="P4206" t="s">
        <v>514</v>
      </c>
      <c r="Q4206" s="97" t="str">
        <f t="shared" si="544"/>
        <v/>
      </c>
      <c r="R4206" t="str">
        <f t="shared" si="545"/>
        <v/>
      </c>
    </row>
    <row r="4207" spans="3:18">
      <c r="C4207" t="str">
        <f t="shared" si="546"/>
        <v/>
      </c>
      <c r="D4207">
        <v>298</v>
      </c>
      <c r="E4207">
        <v>115</v>
      </c>
      <c r="F4207" s="366">
        <f t="shared" si="540"/>
        <v>2495.5</v>
      </c>
      <c r="G4207" s="97">
        <v>3751</v>
      </c>
      <c r="H4207" s="367">
        <f t="shared" si="541"/>
        <v>6246.5</v>
      </c>
      <c r="I4207" s="368">
        <f t="shared" si="542"/>
        <v>0</v>
      </c>
      <c r="J4207">
        <v>14845</v>
      </c>
      <c r="K4207" s="367">
        <f t="shared" si="543"/>
        <v>10603.571428571429</v>
      </c>
      <c r="L4207" s="607">
        <v>0.46</v>
      </c>
      <c r="M4207">
        <v>2.8000000000000003</v>
      </c>
      <c r="N4207" s="381">
        <v>27</v>
      </c>
      <c r="O4207">
        <v>8</v>
      </c>
      <c r="P4207" t="s">
        <v>514</v>
      </c>
      <c r="Q4207" s="97">
        <f t="shared" si="544"/>
        <v>298</v>
      </c>
      <c r="R4207" t="str">
        <f t="shared" si="545"/>
        <v/>
      </c>
    </row>
    <row r="4208" spans="3:18">
      <c r="C4208" t="str">
        <f t="shared" si="546"/>
        <v>NL</v>
      </c>
      <c r="D4208">
        <v>299</v>
      </c>
      <c r="E4208">
        <v>115</v>
      </c>
      <c r="F4208" s="366">
        <f t="shared" si="540"/>
        <v>2495.5</v>
      </c>
      <c r="G4208" s="97">
        <v>5136</v>
      </c>
      <c r="H4208" s="367">
        <f t="shared" si="541"/>
        <v>7631.5</v>
      </c>
      <c r="I4208" s="368">
        <f t="shared" si="542"/>
        <v>0</v>
      </c>
      <c r="J4208">
        <v>20325</v>
      </c>
      <c r="K4208" s="367">
        <f t="shared" si="543"/>
        <v>14517.857142857143</v>
      </c>
      <c r="L4208" s="607">
        <v>0.38</v>
      </c>
      <c r="M4208">
        <v>1.7000000000000002</v>
      </c>
      <c r="N4208" s="381">
        <v>27</v>
      </c>
      <c r="O4208">
        <v>9</v>
      </c>
      <c r="P4208" t="s">
        <v>514</v>
      </c>
      <c r="Q4208" s="97" t="str">
        <f t="shared" si="544"/>
        <v/>
      </c>
      <c r="R4208" t="str">
        <f t="shared" si="545"/>
        <v/>
      </c>
    </row>
    <row r="4209" spans="3:18">
      <c r="C4209" t="str">
        <f t="shared" si="546"/>
        <v>NL</v>
      </c>
      <c r="D4209">
        <v>300</v>
      </c>
      <c r="E4209">
        <v>115</v>
      </c>
      <c r="F4209" s="366">
        <f t="shared" si="540"/>
        <v>2495.5</v>
      </c>
      <c r="G4209" s="97">
        <v>6637</v>
      </c>
      <c r="H4209" s="367">
        <f t="shared" si="541"/>
        <v>9132.5</v>
      </c>
      <c r="I4209" s="368">
        <f t="shared" si="542"/>
        <v>0</v>
      </c>
      <c r="J4209">
        <v>26265</v>
      </c>
      <c r="K4209" s="367">
        <f t="shared" si="543"/>
        <v>18760.714285714286</v>
      </c>
      <c r="L4209" s="607">
        <v>1.2</v>
      </c>
      <c r="M4209">
        <v>1.7000000000000002</v>
      </c>
      <c r="N4209" s="381">
        <v>31</v>
      </c>
      <c r="O4209">
        <v>9</v>
      </c>
      <c r="P4209" t="s">
        <v>513</v>
      </c>
      <c r="Q4209" s="97" t="str">
        <f t="shared" si="544"/>
        <v/>
      </c>
      <c r="R4209" t="str">
        <f t="shared" si="545"/>
        <v/>
      </c>
    </row>
    <row r="4210" spans="3:18">
      <c r="C4210" t="str">
        <f t="shared" si="546"/>
        <v/>
      </c>
      <c r="D4210">
        <v>301</v>
      </c>
      <c r="E4210">
        <v>115</v>
      </c>
      <c r="F4210" s="366">
        <f t="shared" si="540"/>
        <v>2495.5</v>
      </c>
      <c r="G4210" s="97">
        <v>5419</v>
      </c>
      <c r="H4210" s="367">
        <f t="shared" si="541"/>
        <v>7914.5</v>
      </c>
      <c r="I4210" s="368">
        <f t="shared" si="542"/>
        <v>0</v>
      </c>
      <c r="J4210">
        <v>21445</v>
      </c>
      <c r="K4210" s="367">
        <f t="shared" si="543"/>
        <v>15317.857142857143</v>
      </c>
      <c r="L4210" s="607">
        <v>0.32</v>
      </c>
      <c r="M4210">
        <v>3.7</v>
      </c>
      <c r="N4210" s="381">
        <v>27</v>
      </c>
      <c r="O4210">
        <v>10</v>
      </c>
      <c r="P4210" t="s">
        <v>514</v>
      </c>
      <c r="Q4210" s="97" t="str">
        <f t="shared" si="544"/>
        <v/>
      </c>
      <c r="R4210" t="str">
        <f t="shared" si="545"/>
        <v/>
      </c>
    </row>
    <row r="4211" spans="3:18">
      <c r="C4211" t="str">
        <f t="shared" si="546"/>
        <v/>
      </c>
      <c r="D4211">
        <v>302</v>
      </c>
      <c r="E4211">
        <v>115</v>
      </c>
      <c r="F4211" s="366">
        <f t="shared" si="540"/>
        <v>2495.5</v>
      </c>
      <c r="G4211" s="97">
        <v>7030</v>
      </c>
      <c r="H4211" s="367">
        <f t="shared" si="541"/>
        <v>9525.5</v>
      </c>
      <c r="I4211" s="368">
        <f t="shared" si="542"/>
        <v>0</v>
      </c>
      <c r="J4211">
        <v>27821</v>
      </c>
      <c r="K4211" s="367">
        <f t="shared" si="543"/>
        <v>19872.142857142859</v>
      </c>
      <c r="L4211" s="607">
        <v>0.99</v>
      </c>
      <c r="M4211">
        <v>3.7</v>
      </c>
      <c r="N4211" s="381">
        <v>30</v>
      </c>
      <c r="O4211">
        <v>10</v>
      </c>
      <c r="P4211" t="s">
        <v>513</v>
      </c>
      <c r="Q4211" s="97" t="str">
        <f t="shared" si="544"/>
        <v/>
      </c>
      <c r="R4211" t="str">
        <f t="shared" si="545"/>
        <v/>
      </c>
    </row>
    <row r="4212" spans="3:18">
      <c r="C4212" t="str">
        <f t="shared" si="546"/>
        <v/>
      </c>
      <c r="D4212">
        <v>303</v>
      </c>
      <c r="E4212">
        <v>120</v>
      </c>
      <c r="F4212" s="366">
        <f t="shared" si="540"/>
        <v>2604</v>
      </c>
      <c r="G4212" s="97">
        <v>2189</v>
      </c>
      <c r="H4212" s="367">
        <f t="shared" si="541"/>
        <v>4793</v>
      </c>
      <c r="I4212" s="368">
        <f t="shared" si="542"/>
        <v>0</v>
      </c>
      <c r="J4212">
        <v>8666</v>
      </c>
      <c r="K4212" s="367">
        <f t="shared" si="543"/>
        <v>6190</v>
      </c>
      <c r="L4212" s="607">
        <v>0.59</v>
      </c>
      <c r="M4212">
        <v>6.1</v>
      </c>
      <c r="N4212" s="381">
        <v>25</v>
      </c>
      <c r="O4212">
        <v>4</v>
      </c>
      <c r="P4212" t="s">
        <v>515</v>
      </c>
      <c r="Q4212" s="97">
        <f t="shared" si="544"/>
        <v>303</v>
      </c>
      <c r="R4212" t="str">
        <f t="shared" si="545"/>
        <v/>
      </c>
    </row>
    <row r="4213" spans="3:18">
      <c r="C4213" t="str">
        <f t="shared" si="546"/>
        <v>NL</v>
      </c>
      <c r="D4213">
        <v>304</v>
      </c>
      <c r="E4213">
        <v>120</v>
      </c>
      <c r="F4213" s="366">
        <f t="shared" si="540"/>
        <v>2604</v>
      </c>
      <c r="G4213" s="97">
        <v>2654</v>
      </c>
      <c r="H4213" s="367">
        <f t="shared" si="541"/>
        <v>5258</v>
      </c>
      <c r="I4213" s="368">
        <f t="shared" si="542"/>
        <v>0</v>
      </c>
      <c r="J4213">
        <v>10504</v>
      </c>
      <c r="K4213" s="367">
        <f t="shared" si="543"/>
        <v>7502.8571428571431</v>
      </c>
      <c r="L4213" s="607">
        <v>0.38</v>
      </c>
      <c r="M4213">
        <v>7.3999999999999995</v>
      </c>
      <c r="N4213" s="381">
        <v>24</v>
      </c>
      <c r="O4213">
        <v>5</v>
      </c>
      <c r="P4213" t="s">
        <v>515</v>
      </c>
      <c r="Q4213" s="97" t="str">
        <f t="shared" si="544"/>
        <v/>
      </c>
      <c r="R4213" t="str">
        <f t="shared" si="545"/>
        <v/>
      </c>
    </row>
    <row r="4214" spans="3:18">
      <c r="C4214" t="str">
        <f t="shared" si="546"/>
        <v/>
      </c>
      <c r="D4214">
        <v>305</v>
      </c>
      <c r="E4214">
        <v>120</v>
      </c>
      <c r="F4214" s="366">
        <f t="shared" si="540"/>
        <v>2604</v>
      </c>
      <c r="G4214" s="97">
        <v>2423</v>
      </c>
      <c r="H4214" s="367">
        <f t="shared" si="541"/>
        <v>5027</v>
      </c>
      <c r="I4214" s="368">
        <f t="shared" si="542"/>
        <v>0</v>
      </c>
      <c r="J4214">
        <v>9588</v>
      </c>
      <c r="K4214" s="367">
        <f t="shared" si="543"/>
        <v>6848.5714285714284</v>
      </c>
      <c r="L4214" s="607">
        <v>0.27</v>
      </c>
      <c r="M4214">
        <v>8.6999999999999993</v>
      </c>
      <c r="N4214" s="381">
        <v>23</v>
      </c>
      <c r="O4214">
        <v>6</v>
      </c>
      <c r="P4214" t="s">
        <v>515</v>
      </c>
      <c r="Q4214" s="97">
        <f t="shared" si="544"/>
        <v>305</v>
      </c>
      <c r="R4214" t="str">
        <f t="shared" si="545"/>
        <v/>
      </c>
    </row>
    <row r="4215" spans="3:18">
      <c r="C4215" t="str">
        <f t="shared" si="546"/>
        <v/>
      </c>
      <c r="D4215">
        <v>306</v>
      </c>
      <c r="E4215">
        <v>120</v>
      </c>
      <c r="F4215" s="366">
        <f t="shared" si="540"/>
        <v>2604</v>
      </c>
      <c r="G4215" s="97">
        <v>3279</v>
      </c>
      <c r="H4215" s="367">
        <f t="shared" si="541"/>
        <v>5883</v>
      </c>
      <c r="I4215" s="368">
        <f t="shared" si="542"/>
        <v>0</v>
      </c>
      <c r="J4215">
        <v>12976</v>
      </c>
      <c r="K4215" s="367">
        <f t="shared" si="543"/>
        <v>9268.5714285714294</v>
      </c>
      <c r="L4215" s="607">
        <v>0.83</v>
      </c>
      <c r="M4215">
        <v>8.6999999999999993</v>
      </c>
      <c r="N4215" s="381">
        <v>28</v>
      </c>
      <c r="O4215">
        <v>6</v>
      </c>
      <c r="P4215" t="s">
        <v>514</v>
      </c>
      <c r="Q4215" s="97" t="str">
        <f t="shared" si="544"/>
        <v/>
      </c>
      <c r="R4215" t="str">
        <f t="shared" si="545"/>
        <v/>
      </c>
    </row>
    <row r="4216" spans="3:18">
      <c r="C4216" t="str">
        <f t="shared" si="546"/>
        <v>NL</v>
      </c>
      <c r="D4216">
        <v>307</v>
      </c>
      <c r="E4216">
        <v>120</v>
      </c>
      <c r="F4216" s="366">
        <f t="shared" si="540"/>
        <v>2604</v>
      </c>
      <c r="G4216" s="97">
        <v>3216</v>
      </c>
      <c r="H4216" s="367">
        <f t="shared" si="541"/>
        <v>5820</v>
      </c>
      <c r="I4216" s="368">
        <f t="shared" si="542"/>
        <v>0</v>
      </c>
      <c r="J4216">
        <v>12728</v>
      </c>
      <c r="K4216" s="367">
        <f t="shared" si="543"/>
        <v>9091.4285714285725</v>
      </c>
      <c r="L4216" s="607">
        <v>0.21000000000000002</v>
      </c>
      <c r="M4216">
        <v>1.3</v>
      </c>
      <c r="N4216" s="381">
        <v>23</v>
      </c>
      <c r="O4216">
        <v>7</v>
      </c>
      <c r="P4216" t="s">
        <v>515</v>
      </c>
      <c r="Q4216" s="97" t="str">
        <f t="shared" si="544"/>
        <v/>
      </c>
      <c r="R4216" t="str">
        <f t="shared" si="545"/>
        <v/>
      </c>
    </row>
    <row r="4217" spans="3:18">
      <c r="C4217" t="str">
        <f t="shared" si="546"/>
        <v>NL</v>
      </c>
      <c r="D4217">
        <v>308</v>
      </c>
      <c r="E4217">
        <v>120</v>
      </c>
      <c r="F4217" s="366">
        <f t="shared" si="540"/>
        <v>2604</v>
      </c>
      <c r="G4217" s="97">
        <v>4470</v>
      </c>
      <c r="H4217" s="367">
        <f t="shared" si="541"/>
        <v>7074</v>
      </c>
      <c r="I4217" s="368">
        <f t="shared" si="542"/>
        <v>0</v>
      </c>
      <c r="J4217">
        <v>17690</v>
      </c>
      <c r="K4217" s="367">
        <f t="shared" si="543"/>
        <v>12635.714285714286</v>
      </c>
      <c r="L4217" s="607">
        <v>0.62</v>
      </c>
      <c r="M4217">
        <v>1.3</v>
      </c>
      <c r="N4217" s="381">
        <v>28</v>
      </c>
      <c r="O4217">
        <v>7</v>
      </c>
      <c r="P4217" t="s">
        <v>514</v>
      </c>
      <c r="Q4217" s="97" t="str">
        <f t="shared" si="544"/>
        <v/>
      </c>
      <c r="R4217" t="str">
        <f t="shared" si="545"/>
        <v/>
      </c>
    </row>
    <row r="4218" spans="3:18">
      <c r="C4218" t="str">
        <f t="shared" si="546"/>
        <v/>
      </c>
      <c r="D4218">
        <v>309</v>
      </c>
      <c r="E4218">
        <v>120</v>
      </c>
      <c r="F4218" s="366">
        <f t="shared" si="540"/>
        <v>2604</v>
      </c>
      <c r="G4218" s="97">
        <v>2546</v>
      </c>
      <c r="H4218" s="367">
        <f t="shared" si="541"/>
        <v>5150</v>
      </c>
      <c r="I4218" s="368">
        <f t="shared" si="542"/>
        <v>0</v>
      </c>
      <c r="J4218">
        <v>10076</v>
      </c>
      <c r="K4218" s="367">
        <f t="shared" si="543"/>
        <v>7197.1428571428569</v>
      </c>
      <c r="L4218" s="607">
        <v>0.16</v>
      </c>
      <c r="M4218">
        <v>2.8000000000000003</v>
      </c>
      <c r="N4218" s="381">
        <v>23</v>
      </c>
      <c r="O4218">
        <v>8</v>
      </c>
      <c r="P4218" t="s">
        <v>515</v>
      </c>
      <c r="Q4218" s="97">
        <f t="shared" si="544"/>
        <v>309</v>
      </c>
      <c r="R4218" t="str">
        <f t="shared" si="545"/>
        <v/>
      </c>
    </row>
    <row r="4219" spans="3:18">
      <c r="C4219" t="str">
        <f t="shared" si="546"/>
        <v/>
      </c>
      <c r="D4219">
        <v>310</v>
      </c>
      <c r="E4219">
        <v>120</v>
      </c>
      <c r="F4219" s="366">
        <f t="shared" si="540"/>
        <v>2604</v>
      </c>
      <c r="G4219" s="97">
        <v>3861</v>
      </c>
      <c r="H4219" s="367">
        <f t="shared" si="541"/>
        <v>6465</v>
      </c>
      <c r="I4219" s="368">
        <f t="shared" si="542"/>
        <v>0</v>
      </c>
      <c r="J4219">
        <v>15279</v>
      </c>
      <c r="K4219" s="367">
        <f t="shared" si="543"/>
        <v>10913.571428571429</v>
      </c>
      <c r="L4219" s="607">
        <v>0.5</v>
      </c>
      <c r="M4219">
        <v>2.8000000000000003</v>
      </c>
      <c r="N4219" s="381">
        <v>27</v>
      </c>
      <c r="O4219">
        <v>8</v>
      </c>
      <c r="P4219" t="s">
        <v>514</v>
      </c>
      <c r="Q4219" s="97">
        <f t="shared" si="544"/>
        <v>310</v>
      </c>
      <c r="R4219" t="str">
        <f t="shared" si="545"/>
        <v/>
      </c>
    </row>
    <row r="4220" spans="3:18">
      <c r="C4220" t="str">
        <f t="shared" si="546"/>
        <v>NL</v>
      </c>
      <c r="D4220">
        <v>311</v>
      </c>
      <c r="E4220">
        <v>120</v>
      </c>
      <c r="F4220" s="366">
        <f t="shared" si="540"/>
        <v>2604</v>
      </c>
      <c r="G4220" s="97">
        <v>5288</v>
      </c>
      <c r="H4220" s="367">
        <f t="shared" si="541"/>
        <v>7892</v>
      </c>
      <c r="I4220" s="368">
        <f t="shared" si="542"/>
        <v>0</v>
      </c>
      <c r="J4220">
        <v>20926</v>
      </c>
      <c r="K4220" s="367">
        <f t="shared" si="543"/>
        <v>14947.142857142857</v>
      </c>
      <c r="L4220" s="607">
        <v>0.41000000000000003</v>
      </c>
      <c r="M4220">
        <v>1.7000000000000002</v>
      </c>
      <c r="N4220" s="381">
        <v>28</v>
      </c>
      <c r="O4220">
        <v>9</v>
      </c>
      <c r="P4220" t="s">
        <v>514</v>
      </c>
      <c r="Q4220" s="97" t="str">
        <f t="shared" si="544"/>
        <v/>
      </c>
      <c r="R4220" t="str">
        <f t="shared" si="545"/>
        <v/>
      </c>
    </row>
    <row r="4221" spans="3:18">
      <c r="C4221" t="str">
        <f t="shared" si="546"/>
        <v/>
      </c>
      <c r="D4221">
        <v>312</v>
      </c>
      <c r="E4221">
        <v>120</v>
      </c>
      <c r="F4221" s="366">
        <f t="shared" si="540"/>
        <v>2604</v>
      </c>
      <c r="G4221" s="97">
        <v>5580</v>
      </c>
      <c r="H4221" s="367">
        <f t="shared" si="541"/>
        <v>8184</v>
      </c>
      <c r="I4221" s="368">
        <f t="shared" si="542"/>
        <v>0</v>
      </c>
      <c r="J4221">
        <v>22081</v>
      </c>
      <c r="K4221" s="367">
        <f t="shared" si="543"/>
        <v>15772.142857142857</v>
      </c>
      <c r="L4221" s="607">
        <v>0.35000000000000003</v>
      </c>
      <c r="M4221">
        <v>3.7</v>
      </c>
      <c r="N4221" s="381">
        <v>28</v>
      </c>
      <c r="O4221">
        <v>10</v>
      </c>
      <c r="P4221" t="s">
        <v>514</v>
      </c>
      <c r="Q4221" s="97" t="str">
        <f t="shared" si="544"/>
        <v/>
      </c>
      <c r="R4221" t="str">
        <f t="shared" si="545"/>
        <v/>
      </c>
    </row>
    <row r="4222" spans="3:18">
      <c r="C4222" t="str">
        <f t="shared" si="546"/>
        <v/>
      </c>
      <c r="D4222">
        <v>313</v>
      </c>
      <c r="E4222">
        <v>120</v>
      </c>
      <c r="F4222" s="366">
        <f t="shared" si="540"/>
        <v>2604</v>
      </c>
      <c r="G4222" s="97">
        <v>7219</v>
      </c>
      <c r="H4222" s="367">
        <f t="shared" si="541"/>
        <v>9823</v>
      </c>
      <c r="I4222" s="368">
        <f t="shared" si="542"/>
        <v>0</v>
      </c>
      <c r="J4222">
        <v>28569</v>
      </c>
      <c r="K4222" s="367">
        <f t="shared" si="543"/>
        <v>20406.428571428572</v>
      </c>
      <c r="L4222" s="607">
        <v>1.08</v>
      </c>
      <c r="M4222">
        <v>3.7</v>
      </c>
      <c r="N4222" s="381">
        <v>31</v>
      </c>
      <c r="O4222">
        <v>10</v>
      </c>
      <c r="P4222" t="s">
        <v>513</v>
      </c>
      <c r="Q4222" s="97" t="str">
        <f t="shared" si="544"/>
        <v/>
      </c>
      <c r="R4222" t="str">
        <f t="shared" si="545"/>
        <v/>
      </c>
    </row>
    <row r="4223" spans="3:18">
      <c r="C4223" t="str">
        <f t="shared" si="546"/>
        <v/>
      </c>
      <c r="D4223">
        <v>314</v>
      </c>
      <c r="E4223">
        <v>125</v>
      </c>
      <c r="F4223" s="366">
        <f t="shared" si="540"/>
        <v>2712.5</v>
      </c>
      <c r="G4223" s="97">
        <v>2256</v>
      </c>
      <c r="H4223" s="367">
        <f t="shared" si="541"/>
        <v>4968.5</v>
      </c>
      <c r="I4223" s="368">
        <f t="shared" si="542"/>
        <v>0</v>
      </c>
      <c r="J4223">
        <v>8931</v>
      </c>
      <c r="K4223" s="367">
        <f t="shared" si="543"/>
        <v>6379.2857142857147</v>
      </c>
      <c r="L4223" s="607">
        <v>0.64</v>
      </c>
      <c r="M4223">
        <v>6.1</v>
      </c>
      <c r="N4223" s="381">
        <v>25</v>
      </c>
      <c r="O4223">
        <v>4</v>
      </c>
      <c r="P4223" t="s">
        <v>515</v>
      </c>
      <c r="Q4223" s="97">
        <f t="shared" si="544"/>
        <v>314</v>
      </c>
      <c r="R4223" t="str">
        <f t="shared" si="545"/>
        <v/>
      </c>
    </row>
    <row r="4224" spans="3:18">
      <c r="C4224" t="str">
        <f t="shared" si="546"/>
        <v>NL</v>
      </c>
      <c r="D4224">
        <v>315</v>
      </c>
      <c r="E4224">
        <v>125</v>
      </c>
      <c r="F4224" s="366">
        <f t="shared" si="540"/>
        <v>2712.5</v>
      </c>
      <c r="G4224" s="97">
        <v>2733</v>
      </c>
      <c r="H4224" s="367">
        <f t="shared" si="541"/>
        <v>5445.5</v>
      </c>
      <c r="I4224" s="368">
        <f t="shared" si="542"/>
        <v>0</v>
      </c>
      <c r="J4224">
        <v>10817</v>
      </c>
      <c r="K4224" s="367">
        <f t="shared" si="543"/>
        <v>7726.4285714285716</v>
      </c>
      <c r="L4224" s="607">
        <v>0.41000000000000003</v>
      </c>
      <c r="M4224">
        <v>7.3999999999999995</v>
      </c>
      <c r="N4224" s="381">
        <v>24</v>
      </c>
      <c r="O4224">
        <v>5</v>
      </c>
      <c r="P4224" t="s">
        <v>515</v>
      </c>
      <c r="Q4224" s="97" t="str">
        <f t="shared" si="544"/>
        <v/>
      </c>
      <c r="R4224" t="str">
        <f t="shared" si="545"/>
        <v/>
      </c>
    </row>
    <row r="4225" spans="3:18">
      <c r="C4225" t="str">
        <f t="shared" si="546"/>
        <v/>
      </c>
      <c r="D4225">
        <v>316</v>
      </c>
      <c r="E4225">
        <v>125</v>
      </c>
      <c r="F4225" s="366">
        <f t="shared" si="540"/>
        <v>2712.5</v>
      </c>
      <c r="G4225" s="97">
        <v>2496</v>
      </c>
      <c r="H4225" s="367">
        <f t="shared" si="541"/>
        <v>5208.5</v>
      </c>
      <c r="I4225" s="368">
        <f t="shared" si="542"/>
        <v>0</v>
      </c>
      <c r="J4225">
        <v>9878</v>
      </c>
      <c r="K4225" s="367">
        <f t="shared" si="543"/>
        <v>7055.7142857142862</v>
      </c>
      <c r="L4225" s="607">
        <v>0.29000000000000004</v>
      </c>
      <c r="M4225">
        <v>8.6999999999999993</v>
      </c>
      <c r="N4225" s="381">
        <v>24</v>
      </c>
      <c r="O4225">
        <v>6</v>
      </c>
      <c r="P4225" t="s">
        <v>515</v>
      </c>
      <c r="Q4225" s="97">
        <f t="shared" si="544"/>
        <v>316</v>
      </c>
      <c r="R4225" t="str">
        <f t="shared" si="545"/>
        <v/>
      </c>
    </row>
    <row r="4226" spans="3:18">
      <c r="C4226" t="str">
        <f t="shared" si="546"/>
        <v/>
      </c>
      <c r="D4226">
        <v>317</v>
      </c>
      <c r="E4226">
        <v>125</v>
      </c>
      <c r="F4226" s="366">
        <f t="shared" si="540"/>
        <v>2712.5</v>
      </c>
      <c r="G4226" s="97">
        <v>3372</v>
      </c>
      <c r="H4226" s="367">
        <f t="shared" si="541"/>
        <v>6084.5</v>
      </c>
      <c r="I4226" s="368">
        <f t="shared" si="542"/>
        <v>0</v>
      </c>
      <c r="J4226">
        <v>13345</v>
      </c>
      <c r="K4226" s="367">
        <f t="shared" si="543"/>
        <v>9532.1428571428569</v>
      </c>
      <c r="L4226" s="607">
        <v>0.9</v>
      </c>
      <c r="M4226">
        <v>8.6999999999999993</v>
      </c>
      <c r="N4226" s="381">
        <v>29</v>
      </c>
      <c r="O4226">
        <v>6</v>
      </c>
      <c r="P4226" t="s">
        <v>514</v>
      </c>
      <c r="Q4226" s="97" t="str">
        <f t="shared" si="544"/>
        <v/>
      </c>
      <c r="R4226" t="str">
        <f t="shared" si="545"/>
        <v/>
      </c>
    </row>
    <row r="4227" spans="3:18">
      <c r="C4227" t="str">
        <f t="shared" si="546"/>
        <v>NL</v>
      </c>
      <c r="D4227">
        <v>318</v>
      </c>
      <c r="E4227">
        <v>125</v>
      </c>
      <c r="F4227" s="366">
        <f t="shared" si="540"/>
        <v>2712.5</v>
      </c>
      <c r="G4227" s="97">
        <v>3317</v>
      </c>
      <c r="H4227" s="367">
        <f t="shared" si="541"/>
        <v>6029.5</v>
      </c>
      <c r="I4227" s="368">
        <f t="shared" si="542"/>
        <v>0</v>
      </c>
      <c r="J4227">
        <v>13126</v>
      </c>
      <c r="K4227" s="367">
        <f t="shared" si="543"/>
        <v>9375.7142857142862</v>
      </c>
      <c r="L4227" s="607">
        <v>0.22</v>
      </c>
      <c r="M4227">
        <v>1.3</v>
      </c>
      <c r="N4227" s="381">
        <v>23</v>
      </c>
      <c r="O4227">
        <v>7</v>
      </c>
      <c r="P4227" t="s">
        <v>515</v>
      </c>
      <c r="Q4227" s="97" t="str">
        <f t="shared" si="544"/>
        <v/>
      </c>
      <c r="R4227" t="str">
        <f t="shared" si="545"/>
        <v/>
      </c>
    </row>
    <row r="4228" spans="3:18">
      <c r="C4228" t="str">
        <f t="shared" si="546"/>
        <v>NL</v>
      </c>
      <c r="D4228">
        <v>319</v>
      </c>
      <c r="E4228">
        <v>125</v>
      </c>
      <c r="F4228" s="366">
        <f t="shared" si="540"/>
        <v>2712.5</v>
      </c>
      <c r="G4228" s="97">
        <v>4590</v>
      </c>
      <c r="H4228" s="367">
        <f t="shared" si="541"/>
        <v>7302.5</v>
      </c>
      <c r="I4228" s="368">
        <f t="shared" si="542"/>
        <v>0</v>
      </c>
      <c r="J4228">
        <v>18163</v>
      </c>
      <c r="K4228" s="367">
        <f t="shared" si="543"/>
        <v>12973.571428571429</v>
      </c>
      <c r="L4228" s="607">
        <v>0.68</v>
      </c>
      <c r="M4228">
        <v>1.3</v>
      </c>
      <c r="N4228" s="381">
        <v>28</v>
      </c>
      <c r="O4228">
        <v>7</v>
      </c>
      <c r="P4228" t="s">
        <v>514</v>
      </c>
      <c r="Q4228" s="97" t="str">
        <f t="shared" si="544"/>
        <v/>
      </c>
      <c r="R4228" t="str">
        <f t="shared" si="545"/>
        <v/>
      </c>
    </row>
    <row r="4229" spans="3:18">
      <c r="C4229" t="str">
        <f t="shared" si="546"/>
        <v/>
      </c>
      <c r="D4229">
        <v>320</v>
      </c>
      <c r="E4229">
        <v>125</v>
      </c>
      <c r="F4229" s="366">
        <f t="shared" si="540"/>
        <v>2712.5</v>
      </c>
      <c r="G4229" s="97">
        <v>2629</v>
      </c>
      <c r="H4229" s="367">
        <f t="shared" si="541"/>
        <v>5341.5</v>
      </c>
      <c r="I4229" s="368">
        <f t="shared" si="542"/>
        <v>0</v>
      </c>
      <c r="J4229">
        <v>10406</v>
      </c>
      <c r="K4229" s="367">
        <f t="shared" si="543"/>
        <v>7432.8571428571431</v>
      </c>
      <c r="L4229" s="607">
        <v>0.18000000000000002</v>
      </c>
      <c r="M4229">
        <v>2.8000000000000003</v>
      </c>
      <c r="N4229" s="381">
        <v>23</v>
      </c>
      <c r="O4229">
        <v>8</v>
      </c>
      <c r="P4229" t="s">
        <v>515</v>
      </c>
      <c r="Q4229" s="97">
        <f t="shared" si="544"/>
        <v>320</v>
      </c>
      <c r="R4229" t="str">
        <f t="shared" si="545"/>
        <v/>
      </c>
    </row>
    <row r="4230" spans="3:18">
      <c r="C4230" t="str">
        <f t="shared" si="546"/>
        <v/>
      </c>
      <c r="D4230">
        <v>321</v>
      </c>
      <c r="E4230">
        <v>125</v>
      </c>
      <c r="F4230" s="366">
        <f t="shared" si="540"/>
        <v>2712.5</v>
      </c>
      <c r="G4230" s="97">
        <v>3970</v>
      </c>
      <c r="H4230" s="367">
        <f t="shared" si="541"/>
        <v>6682.5</v>
      </c>
      <c r="I4230" s="368">
        <f t="shared" si="542"/>
        <v>0</v>
      </c>
      <c r="J4230">
        <v>15712</v>
      </c>
      <c r="K4230" s="367">
        <f t="shared" si="543"/>
        <v>11222.857142857143</v>
      </c>
      <c r="L4230" s="607">
        <v>0.54</v>
      </c>
      <c r="M4230">
        <v>2.8000000000000003</v>
      </c>
      <c r="N4230" s="381">
        <v>28</v>
      </c>
      <c r="O4230">
        <v>8</v>
      </c>
      <c r="P4230" t="s">
        <v>514</v>
      </c>
      <c r="Q4230" s="97">
        <f t="shared" si="544"/>
        <v>321</v>
      </c>
      <c r="R4230" t="str">
        <f t="shared" si="545"/>
        <v/>
      </c>
    </row>
    <row r="4231" spans="3:18">
      <c r="C4231" t="str">
        <f t="shared" si="546"/>
        <v>NL</v>
      </c>
      <c r="D4231">
        <v>322</v>
      </c>
      <c r="E4231">
        <v>125</v>
      </c>
      <c r="F4231" s="366">
        <f t="shared" ref="F4231:F4294" si="547">1.085*($A$2-$B$2)*E4231*$T$7</f>
        <v>2712.5</v>
      </c>
      <c r="G4231" s="97">
        <v>5429</v>
      </c>
      <c r="H4231" s="367">
        <f t="shared" ref="H4231:H4294" si="548">(G4231*$U$7)+F4231</f>
        <v>8141.5</v>
      </c>
      <c r="I4231" s="368">
        <f t="shared" ref="I4231:I4294" si="549">1.085*($C$2-$D$2)*E4231*$T$7</f>
        <v>0</v>
      </c>
      <c r="J4231">
        <v>21486</v>
      </c>
      <c r="K4231" s="367">
        <f t="shared" ref="K4231:K4294" si="550">(J4231*$V$7)-I4231</f>
        <v>15347.142857142857</v>
      </c>
      <c r="L4231" s="607">
        <v>0.44</v>
      </c>
      <c r="M4231">
        <v>1.7000000000000002</v>
      </c>
      <c r="N4231" s="381">
        <v>28</v>
      </c>
      <c r="O4231">
        <v>9</v>
      </c>
      <c r="P4231" t="s">
        <v>514</v>
      </c>
      <c r="Q4231" s="97" t="str">
        <f t="shared" ref="Q4231:Q4294" si="551">IF(AND(H4231+1&gt;$E$4,L4231&lt;$L$4+0.01,M4231&lt;$M$4+0.01,K4231+1&gt;$F$4,E4231+1&gt;$J$4,N4231&lt;$K$4+1,O4231&lt;$P$4+1,C4231=""),D4231,"")</f>
        <v/>
      </c>
      <c r="R4231" t="str">
        <f t="shared" ref="R4231:R4294" si="552">IF(Q4231="","",IF(AND(O4231&lt;$X$36,E4231&gt;$U$36,E4231&lt;$Q$4+$U$36+1),D4231,""))</f>
        <v/>
      </c>
    </row>
    <row r="4232" spans="3:18">
      <c r="C4232" t="str">
        <f t="shared" si="546"/>
        <v/>
      </c>
      <c r="D4232">
        <v>323</v>
      </c>
      <c r="E4232">
        <v>125</v>
      </c>
      <c r="F4232" s="366">
        <f t="shared" si="547"/>
        <v>2712.5</v>
      </c>
      <c r="G4232" s="97">
        <v>5740</v>
      </c>
      <c r="H4232" s="367">
        <f t="shared" si="548"/>
        <v>8452.5</v>
      </c>
      <c r="I4232" s="368">
        <f t="shared" si="549"/>
        <v>0</v>
      </c>
      <c r="J4232">
        <v>22718</v>
      </c>
      <c r="K4232" s="367">
        <f t="shared" si="550"/>
        <v>16227.142857142857</v>
      </c>
      <c r="L4232" s="607">
        <v>0.38</v>
      </c>
      <c r="M4232">
        <v>3.7</v>
      </c>
      <c r="N4232" s="381">
        <v>28</v>
      </c>
      <c r="O4232">
        <v>10</v>
      </c>
      <c r="P4232" t="s">
        <v>514</v>
      </c>
      <c r="Q4232" s="97" t="str">
        <f t="shared" si="551"/>
        <v/>
      </c>
      <c r="R4232" t="str">
        <f t="shared" si="552"/>
        <v/>
      </c>
    </row>
    <row r="4233" spans="3:18">
      <c r="C4233" t="str">
        <f t="shared" si="546"/>
        <v/>
      </c>
      <c r="D4233">
        <v>324</v>
      </c>
      <c r="E4233">
        <v>125</v>
      </c>
      <c r="F4233" s="366">
        <f t="shared" si="547"/>
        <v>2712.5</v>
      </c>
      <c r="G4233" s="97">
        <v>7408</v>
      </c>
      <c r="H4233" s="367">
        <f t="shared" si="548"/>
        <v>10120.5</v>
      </c>
      <c r="I4233" s="368">
        <f t="shared" si="549"/>
        <v>0</v>
      </c>
      <c r="J4233">
        <v>29317</v>
      </c>
      <c r="K4233" s="367">
        <f t="shared" si="550"/>
        <v>20940.714285714286</v>
      </c>
      <c r="L4233" s="607">
        <v>1.17</v>
      </c>
      <c r="M4233">
        <v>3.7</v>
      </c>
      <c r="N4233" s="381">
        <v>32</v>
      </c>
      <c r="O4233">
        <v>10</v>
      </c>
      <c r="P4233" t="s">
        <v>513</v>
      </c>
      <c r="Q4233" s="97" t="str">
        <f t="shared" si="551"/>
        <v/>
      </c>
      <c r="R4233" t="str">
        <f t="shared" si="552"/>
        <v/>
      </c>
    </row>
    <row r="4234" spans="3:18">
      <c r="C4234" t="str">
        <f t="shared" si="546"/>
        <v/>
      </c>
      <c r="D4234">
        <v>325</v>
      </c>
      <c r="E4234">
        <v>130</v>
      </c>
      <c r="F4234" s="366">
        <f t="shared" si="547"/>
        <v>2821</v>
      </c>
      <c r="G4234" s="97">
        <v>2323</v>
      </c>
      <c r="H4234" s="367">
        <f t="shared" si="548"/>
        <v>5144</v>
      </c>
      <c r="I4234" s="368">
        <f t="shared" si="549"/>
        <v>0</v>
      </c>
      <c r="J4234">
        <v>9195</v>
      </c>
      <c r="K4234" s="367">
        <f t="shared" si="550"/>
        <v>6567.8571428571431</v>
      </c>
      <c r="L4234" s="607">
        <v>0.69000000000000006</v>
      </c>
      <c r="M4234">
        <v>6.1</v>
      </c>
      <c r="N4234" s="381">
        <v>26</v>
      </c>
      <c r="O4234">
        <v>4</v>
      </c>
      <c r="P4234" t="s">
        <v>515</v>
      </c>
      <c r="Q4234" s="97">
        <f t="shared" si="551"/>
        <v>325</v>
      </c>
      <c r="R4234" t="str">
        <f t="shared" si="552"/>
        <v/>
      </c>
    </row>
    <row r="4235" spans="3:18">
      <c r="C4235" t="str">
        <f t="shared" si="546"/>
        <v>NL</v>
      </c>
      <c r="D4235">
        <v>326</v>
      </c>
      <c r="E4235">
        <v>130</v>
      </c>
      <c r="F4235" s="366">
        <f t="shared" si="547"/>
        <v>2821</v>
      </c>
      <c r="G4235" s="97">
        <v>2812</v>
      </c>
      <c r="H4235" s="367">
        <f t="shared" si="548"/>
        <v>5633</v>
      </c>
      <c r="I4235" s="368">
        <f t="shared" si="549"/>
        <v>0</v>
      </c>
      <c r="J4235">
        <v>11129</v>
      </c>
      <c r="K4235" s="367">
        <f t="shared" si="550"/>
        <v>7949.2857142857147</v>
      </c>
      <c r="L4235" s="607">
        <v>0.44</v>
      </c>
      <c r="M4235">
        <v>7.3999999999999995</v>
      </c>
      <c r="N4235" s="381">
        <v>25</v>
      </c>
      <c r="O4235">
        <v>5</v>
      </c>
      <c r="P4235" t="s">
        <v>515</v>
      </c>
      <c r="Q4235" s="97" t="str">
        <f t="shared" si="551"/>
        <v/>
      </c>
      <c r="R4235" t="str">
        <f t="shared" si="552"/>
        <v/>
      </c>
    </row>
    <row r="4236" spans="3:18">
      <c r="C4236" t="str">
        <f t="shared" si="546"/>
        <v/>
      </c>
      <c r="D4236">
        <v>327</v>
      </c>
      <c r="E4236">
        <v>130</v>
      </c>
      <c r="F4236" s="366">
        <f t="shared" si="547"/>
        <v>2821</v>
      </c>
      <c r="G4236" s="97">
        <v>2569</v>
      </c>
      <c r="H4236" s="367">
        <f t="shared" si="548"/>
        <v>5390</v>
      </c>
      <c r="I4236" s="368">
        <f t="shared" si="549"/>
        <v>0</v>
      </c>
      <c r="J4236">
        <v>10168</v>
      </c>
      <c r="K4236" s="367">
        <f t="shared" si="550"/>
        <v>7262.8571428571431</v>
      </c>
      <c r="L4236" s="607">
        <v>0.32</v>
      </c>
      <c r="M4236">
        <v>8.6999999999999993</v>
      </c>
      <c r="N4236" s="381">
        <v>24</v>
      </c>
      <c r="O4236">
        <v>6</v>
      </c>
      <c r="P4236" t="s">
        <v>515</v>
      </c>
      <c r="Q4236" s="97">
        <f t="shared" si="551"/>
        <v>327</v>
      </c>
      <c r="R4236" t="str">
        <f t="shared" si="552"/>
        <v/>
      </c>
    </row>
    <row r="4237" spans="3:18">
      <c r="C4237" t="str">
        <f t="shared" si="546"/>
        <v/>
      </c>
      <c r="D4237">
        <v>328</v>
      </c>
      <c r="E4237">
        <v>130</v>
      </c>
      <c r="F4237" s="366">
        <f t="shared" si="547"/>
        <v>2821</v>
      </c>
      <c r="G4237" s="97">
        <v>3465</v>
      </c>
      <c r="H4237" s="367">
        <f t="shared" si="548"/>
        <v>6286</v>
      </c>
      <c r="I4237" s="368">
        <f t="shared" si="549"/>
        <v>0</v>
      </c>
      <c r="J4237">
        <v>13715</v>
      </c>
      <c r="K4237" s="367">
        <f t="shared" si="550"/>
        <v>9796.4285714285725</v>
      </c>
      <c r="L4237" s="607">
        <v>0.97</v>
      </c>
      <c r="M4237">
        <v>8.6999999999999993</v>
      </c>
      <c r="N4237" s="381">
        <v>29</v>
      </c>
      <c r="O4237">
        <v>6</v>
      </c>
      <c r="P4237" t="s">
        <v>514</v>
      </c>
      <c r="Q4237" s="97" t="str">
        <f t="shared" si="551"/>
        <v/>
      </c>
      <c r="R4237" t="str">
        <f t="shared" si="552"/>
        <v/>
      </c>
    </row>
    <row r="4238" spans="3:18">
      <c r="C4238" t="str">
        <f t="shared" si="546"/>
        <v>NL</v>
      </c>
      <c r="D4238">
        <v>329</v>
      </c>
      <c r="E4238">
        <v>130</v>
      </c>
      <c r="F4238" s="366">
        <f t="shared" si="547"/>
        <v>2821</v>
      </c>
      <c r="G4238" s="97">
        <v>3417</v>
      </c>
      <c r="H4238" s="367">
        <f t="shared" si="548"/>
        <v>6238</v>
      </c>
      <c r="I4238" s="368">
        <f t="shared" si="549"/>
        <v>0</v>
      </c>
      <c r="J4238">
        <v>13524</v>
      </c>
      <c r="K4238" s="367">
        <f t="shared" si="550"/>
        <v>9660</v>
      </c>
      <c r="L4238" s="607">
        <v>0.24000000000000002</v>
      </c>
      <c r="M4238">
        <v>1.3</v>
      </c>
      <c r="N4238" s="381">
        <v>24</v>
      </c>
      <c r="O4238">
        <v>7</v>
      </c>
      <c r="P4238" t="s">
        <v>515</v>
      </c>
      <c r="Q4238" s="97" t="str">
        <f t="shared" si="551"/>
        <v/>
      </c>
      <c r="R4238" t="str">
        <f t="shared" si="552"/>
        <v/>
      </c>
    </row>
    <row r="4239" spans="3:18">
      <c r="C4239" t="str">
        <f t="shared" si="546"/>
        <v>NL</v>
      </c>
      <c r="D4239">
        <v>330</v>
      </c>
      <c r="E4239">
        <v>130</v>
      </c>
      <c r="F4239" s="366">
        <f t="shared" si="547"/>
        <v>2821</v>
      </c>
      <c r="G4239" s="97">
        <v>4709</v>
      </c>
      <c r="H4239" s="367">
        <f t="shared" si="548"/>
        <v>7530</v>
      </c>
      <c r="I4239" s="368">
        <f t="shared" si="549"/>
        <v>0</v>
      </c>
      <c r="J4239">
        <v>18636</v>
      </c>
      <c r="K4239" s="367">
        <f t="shared" si="550"/>
        <v>13311.428571428572</v>
      </c>
      <c r="L4239" s="607">
        <v>0.73</v>
      </c>
      <c r="M4239">
        <v>1.3</v>
      </c>
      <c r="N4239" s="381">
        <v>29</v>
      </c>
      <c r="O4239">
        <v>7</v>
      </c>
      <c r="P4239" t="s">
        <v>514</v>
      </c>
      <c r="Q4239" s="97" t="str">
        <f t="shared" si="551"/>
        <v/>
      </c>
      <c r="R4239" t="str">
        <f t="shared" si="552"/>
        <v/>
      </c>
    </row>
    <row r="4240" spans="3:18">
      <c r="C4240" t="str">
        <f t="shared" si="546"/>
        <v/>
      </c>
      <c r="D4240">
        <v>331</v>
      </c>
      <c r="E4240">
        <v>130</v>
      </c>
      <c r="F4240" s="366">
        <f t="shared" si="547"/>
        <v>2821</v>
      </c>
      <c r="G4240" s="97">
        <v>2712</v>
      </c>
      <c r="H4240" s="367">
        <f t="shared" si="548"/>
        <v>5533</v>
      </c>
      <c r="I4240" s="368">
        <f t="shared" si="549"/>
        <v>0</v>
      </c>
      <c r="J4240">
        <v>10735</v>
      </c>
      <c r="K4240" s="367">
        <f t="shared" si="550"/>
        <v>7667.8571428571431</v>
      </c>
      <c r="L4240" s="607">
        <v>0.19</v>
      </c>
      <c r="M4240">
        <v>2.8000000000000003</v>
      </c>
      <c r="N4240" s="381">
        <v>24</v>
      </c>
      <c r="O4240">
        <v>8</v>
      </c>
      <c r="P4240" t="s">
        <v>515</v>
      </c>
      <c r="Q4240" s="97">
        <f t="shared" si="551"/>
        <v>331</v>
      </c>
      <c r="R4240" t="str">
        <f t="shared" si="552"/>
        <v/>
      </c>
    </row>
    <row r="4241" spans="3:18">
      <c r="C4241" t="str">
        <f t="shared" si="546"/>
        <v/>
      </c>
      <c r="D4241">
        <v>332</v>
      </c>
      <c r="E4241">
        <v>130</v>
      </c>
      <c r="F4241" s="366">
        <f t="shared" si="547"/>
        <v>2821</v>
      </c>
      <c r="G4241" s="97">
        <v>4079</v>
      </c>
      <c r="H4241" s="367">
        <f t="shared" si="548"/>
        <v>6900</v>
      </c>
      <c r="I4241" s="368">
        <f t="shared" si="549"/>
        <v>0</v>
      </c>
      <c r="J4241">
        <v>16144</v>
      </c>
      <c r="K4241" s="367">
        <f t="shared" si="550"/>
        <v>11531.428571428572</v>
      </c>
      <c r="L4241" s="607">
        <v>0.57999999999999996</v>
      </c>
      <c r="M4241">
        <v>2.8000000000000003</v>
      </c>
      <c r="N4241" s="381">
        <v>28</v>
      </c>
      <c r="O4241">
        <v>8</v>
      </c>
      <c r="P4241" t="s">
        <v>514</v>
      </c>
      <c r="Q4241" s="97">
        <f t="shared" si="551"/>
        <v>332</v>
      </c>
      <c r="R4241" t="str">
        <f t="shared" si="552"/>
        <v/>
      </c>
    </row>
    <row r="4242" spans="3:18">
      <c r="C4242" t="str">
        <f t="shared" si="546"/>
        <v>NL</v>
      </c>
      <c r="D4242">
        <v>333</v>
      </c>
      <c r="E4242">
        <v>130</v>
      </c>
      <c r="F4242" s="366">
        <f t="shared" si="547"/>
        <v>2821</v>
      </c>
      <c r="G4242" s="97">
        <v>5571</v>
      </c>
      <c r="H4242" s="367">
        <f t="shared" si="548"/>
        <v>8392</v>
      </c>
      <c r="I4242" s="368">
        <f t="shared" si="549"/>
        <v>0</v>
      </c>
      <c r="J4242">
        <v>22045</v>
      </c>
      <c r="K4242" s="367">
        <f t="shared" si="550"/>
        <v>15746.428571428572</v>
      </c>
      <c r="L4242" s="607">
        <v>0.48</v>
      </c>
      <c r="M4242">
        <v>1.7000000000000002</v>
      </c>
      <c r="N4242" s="381">
        <v>29</v>
      </c>
      <c r="O4242">
        <v>9</v>
      </c>
      <c r="P4242" t="s">
        <v>514</v>
      </c>
      <c r="Q4242" s="97" t="str">
        <f t="shared" si="551"/>
        <v/>
      </c>
      <c r="R4242" t="str">
        <f t="shared" si="552"/>
        <v/>
      </c>
    </row>
    <row r="4243" spans="3:18">
      <c r="C4243" t="str">
        <f t="shared" si="546"/>
        <v/>
      </c>
      <c r="D4243">
        <v>334</v>
      </c>
      <c r="E4243">
        <v>130</v>
      </c>
      <c r="F4243" s="366">
        <f t="shared" si="547"/>
        <v>2821</v>
      </c>
      <c r="G4243" s="97">
        <v>5901</v>
      </c>
      <c r="H4243" s="367">
        <f t="shared" si="548"/>
        <v>8722</v>
      </c>
      <c r="I4243" s="368">
        <f t="shared" si="549"/>
        <v>0</v>
      </c>
      <c r="J4243">
        <v>23354</v>
      </c>
      <c r="K4243" s="367">
        <f t="shared" si="550"/>
        <v>16681.428571428572</v>
      </c>
      <c r="L4243" s="607">
        <v>0.41000000000000003</v>
      </c>
      <c r="M4243">
        <v>3.7</v>
      </c>
      <c r="N4243" s="381">
        <v>29</v>
      </c>
      <c r="O4243">
        <v>10</v>
      </c>
      <c r="P4243" t="s">
        <v>514</v>
      </c>
      <c r="Q4243" s="97" t="str">
        <f t="shared" si="551"/>
        <v/>
      </c>
      <c r="R4243" t="str">
        <f t="shared" si="552"/>
        <v/>
      </c>
    </row>
    <row r="4244" spans="3:18">
      <c r="C4244" t="str">
        <f t="shared" si="546"/>
        <v/>
      </c>
      <c r="D4244">
        <v>335</v>
      </c>
      <c r="E4244">
        <v>135</v>
      </c>
      <c r="F4244" s="366">
        <f t="shared" si="547"/>
        <v>2929.5</v>
      </c>
      <c r="G4244" s="97">
        <v>2386</v>
      </c>
      <c r="H4244" s="367">
        <f t="shared" si="548"/>
        <v>5315.5</v>
      </c>
      <c r="I4244" s="368">
        <f t="shared" si="549"/>
        <v>0</v>
      </c>
      <c r="J4244">
        <v>9443</v>
      </c>
      <c r="K4244" s="367">
        <f t="shared" si="550"/>
        <v>6745</v>
      </c>
      <c r="L4244" s="607">
        <v>0.75</v>
      </c>
      <c r="M4244">
        <v>6.1</v>
      </c>
      <c r="N4244" s="381">
        <v>26</v>
      </c>
      <c r="O4244">
        <v>4</v>
      </c>
      <c r="P4244" t="s">
        <v>515</v>
      </c>
      <c r="Q4244" s="97" t="str">
        <f t="shared" si="551"/>
        <v/>
      </c>
      <c r="R4244" t="str">
        <f t="shared" si="552"/>
        <v/>
      </c>
    </row>
    <row r="4245" spans="3:18">
      <c r="C4245" t="str">
        <f t="shared" si="546"/>
        <v>NL</v>
      </c>
      <c r="D4245">
        <v>336</v>
      </c>
      <c r="E4245">
        <v>135</v>
      </c>
      <c r="F4245" s="366">
        <f t="shared" si="547"/>
        <v>2929.5</v>
      </c>
      <c r="G4245" s="97">
        <v>2891</v>
      </c>
      <c r="H4245" s="367">
        <f t="shared" si="548"/>
        <v>5820.5</v>
      </c>
      <c r="I4245" s="368">
        <f t="shared" si="549"/>
        <v>0</v>
      </c>
      <c r="J4245">
        <v>11441</v>
      </c>
      <c r="K4245" s="367">
        <f t="shared" si="550"/>
        <v>8172.1428571428569</v>
      </c>
      <c r="L4245" s="607">
        <v>0.48</v>
      </c>
      <c r="M4245">
        <v>7.3999999999999995</v>
      </c>
      <c r="N4245" s="381">
        <v>25</v>
      </c>
      <c r="O4245">
        <v>5</v>
      </c>
      <c r="P4245" t="s">
        <v>515</v>
      </c>
      <c r="Q4245" s="97" t="str">
        <f t="shared" si="551"/>
        <v/>
      </c>
      <c r="R4245" t="str">
        <f t="shared" si="552"/>
        <v/>
      </c>
    </row>
    <row r="4246" spans="3:18">
      <c r="C4246" t="str">
        <f t="shared" ref="C4246:C4309" si="553">IF(OR($O$4=0,O4246-$O$4=0),IF(AND(ISEVEN(O4246)=FALSE,$N$4="Even"),"NL",""),"NL")</f>
        <v/>
      </c>
      <c r="D4246">
        <v>337</v>
      </c>
      <c r="E4246">
        <v>135</v>
      </c>
      <c r="F4246" s="366">
        <f t="shared" si="547"/>
        <v>2929.5</v>
      </c>
      <c r="G4246" s="97">
        <v>2642</v>
      </c>
      <c r="H4246" s="367">
        <f t="shared" si="548"/>
        <v>5571.5</v>
      </c>
      <c r="I4246" s="368">
        <f t="shared" si="549"/>
        <v>0</v>
      </c>
      <c r="J4246">
        <v>10458</v>
      </c>
      <c r="K4246" s="367">
        <f t="shared" si="550"/>
        <v>7470</v>
      </c>
      <c r="L4246" s="607">
        <v>0.34</v>
      </c>
      <c r="M4246">
        <v>8.6999999999999993</v>
      </c>
      <c r="N4246" s="381">
        <v>25</v>
      </c>
      <c r="O4246">
        <v>6</v>
      </c>
      <c r="P4246" t="s">
        <v>515</v>
      </c>
      <c r="Q4246" s="97">
        <f t="shared" si="551"/>
        <v>337</v>
      </c>
      <c r="R4246" t="str">
        <f t="shared" si="552"/>
        <v/>
      </c>
    </row>
    <row r="4247" spans="3:18">
      <c r="C4247" t="str">
        <f t="shared" si="553"/>
        <v/>
      </c>
      <c r="D4247">
        <v>338</v>
      </c>
      <c r="E4247">
        <v>135</v>
      </c>
      <c r="F4247" s="366">
        <f t="shared" si="547"/>
        <v>2929.5</v>
      </c>
      <c r="G4247" s="97">
        <v>3555</v>
      </c>
      <c r="H4247" s="367">
        <f t="shared" si="548"/>
        <v>6484.5</v>
      </c>
      <c r="I4247" s="368">
        <f t="shared" si="549"/>
        <v>0</v>
      </c>
      <c r="J4247">
        <v>14068</v>
      </c>
      <c r="K4247" s="367">
        <f t="shared" si="550"/>
        <v>10048.571428571429</v>
      </c>
      <c r="L4247" s="607">
        <v>1.04</v>
      </c>
      <c r="M4247">
        <v>8.6999999999999993</v>
      </c>
      <c r="N4247" s="381">
        <v>30</v>
      </c>
      <c r="O4247">
        <v>6</v>
      </c>
      <c r="P4247" t="s">
        <v>514</v>
      </c>
      <c r="Q4247" s="97" t="str">
        <f t="shared" si="551"/>
        <v/>
      </c>
      <c r="R4247" t="str">
        <f t="shared" si="552"/>
        <v/>
      </c>
    </row>
    <row r="4248" spans="3:18">
      <c r="C4248" t="str">
        <f t="shared" si="553"/>
        <v>NL</v>
      </c>
      <c r="D4248">
        <v>339</v>
      </c>
      <c r="E4248">
        <v>135</v>
      </c>
      <c r="F4248" s="366">
        <f t="shared" si="547"/>
        <v>2929.5</v>
      </c>
      <c r="G4248" s="97">
        <v>3518</v>
      </c>
      <c r="H4248" s="367">
        <f t="shared" si="548"/>
        <v>6447.5</v>
      </c>
      <c r="I4248" s="368">
        <f t="shared" si="549"/>
        <v>0</v>
      </c>
      <c r="J4248">
        <v>13922</v>
      </c>
      <c r="K4248" s="367">
        <f t="shared" si="550"/>
        <v>9944.2857142857138</v>
      </c>
      <c r="L4248" s="607">
        <v>0.26</v>
      </c>
      <c r="M4248">
        <v>1.3</v>
      </c>
      <c r="N4248" s="381">
        <v>24</v>
      </c>
      <c r="O4248">
        <v>7</v>
      </c>
      <c r="P4248" t="s">
        <v>515</v>
      </c>
      <c r="Q4248" s="97" t="str">
        <f t="shared" si="551"/>
        <v/>
      </c>
      <c r="R4248" t="str">
        <f t="shared" si="552"/>
        <v/>
      </c>
    </row>
    <row r="4249" spans="3:18">
      <c r="C4249" t="str">
        <f t="shared" si="553"/>
        <v>NL</v>
      </c>
      <c r="D4249">
        <v>340</v>
      </c>
      <c r="E4249">
        <v>135</v>
      </c>
      <c r="F4249" s="366">
        <f t="shared" si="547"/>
        <v>2929.5</v>
      </c>
      <c r="G4249" s="97">
        <v>4829</v>
      </c>
      <c r="H4249" s="367">
        <f t="shared" si="548"/>
        <v>7758.5</v>
      </c>
      <c r="I4249" s="368">
        <f t="shared" si="549"/>
        <v>0</v>
      </c>
      <c r="J4249">
        <v>19110</v>
      </c>
      <c r="K4249" s="367">
        <f t="shared" si="550"/>
        <v>13650</v>
      </c>
      <c r="L4249" s="607">
        <v>0.79</v>
      </c>
      <c r="M4249">
        <v>1.3</v>
      </c>
      <c r="N4249" s="381">
        <v>29</v>
      </c>
      <c r="O4249">
        <v>7</v>
      </c>
      <c r="P4249" t="s">
        <v>514</v>
      </c>
      <c r="Q4249" s="97" t="str">
        <f t="shared" si="551"/>
        <v/>
      </c>
      <c r="R4249" t="str">
        <f t="shared" si="552"/>
        <v/>
      </c>
    </row>
    <row r="4250" spans="3:18">
      <c r="C4250" t="str">
        <f t="shared" si="553"/>
        <v/>
      </c>
      <c r="D4250">
        <v>341</v>
      </c>
      <c r="E4250">
        <v>135</v>
      </c>
      <c r="F4250" s="366">
        <f t="shared" si="547"/>
        <v>2929.5</v>
      </c>
      <c r="G4250" s="97">
        <v>2796</v>
      </c>
      <c r="H4250" s="367">
        <f t="shared" si="548"/>
        <v>5725.5</v>
      </c>
      <c r="I4250" s="368">
        <f t="shared" si="549"/>
        <v>0</v>
      </c>
      <c r="J4250">
        <v>11065</v>
      </c>
      <c r="K4250" s="367">
        <f t="shared" si="550"/>
        <v>7903.5714285714284</v>
      </c>
      <c r="L4250" s="607">
        <v>0.21000000000000002</v>
      </c>
      <c r="M4250">
        <v>2.8000000000000003</v>
      </c>
      <c r="N4250" s="381">
        <v>24</v>
      </c>
      <c r="O4250">
        <v>8</v>
      </c>
      <c r="P4250" t="s">
        <v>515</v>
      </c>
      <c r="Q4250" s="97">
        <f t="shared" si="551"/>
        <v>341</v>
      </c>
      <c r="R4250" t="str">
        <f t="shared" si="552"/>
        <v/>
      </c>
    </row>
    <row r="4251" spans="3:18">
      <c r="C4251" t="str">
        <f t="shared" si="553"/>
        <v/>
      </c>
      <c r="D4251">
        <v>342</v>
      </c>
      <c r="E4251">
        <v>135</v>
      </c>
      <c r="F4251" s="366">
        <f t="shared" si="547"/>
        <v>2929.5</v>
      </c>
      <c r="G4251" s="97">
        <v>4189</v>
      </c>
      <c r="H4251" s="367">
        <f t="shared" si="548"/>
        <v>7118.5</v>
      </c>
      <c r="I4251" s="368">
        <f t="shared" si="549"/>
        <v>0</v>
      </c>
      <c r="J4251">
        <v>16577</v>
      </c>
      <c r="K4251" s="367">
        <f t="shared" si="550"/>
        <v>11840.714285714286</v>
      </c>
      <c r="L4251" s="607">
        <v>0.63</v>
      </c>
      <c r="M4251">
        <v>2.8000000000000003</v>
      </c>
      <c r="N4251" s="381">
        <v>29</v>
      </c>
      <c r="O4251">
        <v>8</v>
      </c>
      <c r="P4251" t="s">
        <v>514</v>
      </c>
      <c r="Q4251" s="97">
        <f t="shared" si="551"/>
        <v>342</v>
      </c>
      <c r="R4251" t="str">
        <f t="shared" si="552"/>
        <v/>
      </c>
    </row>
    <row r="4252" spans="3:18">
      <c r="C4252" t="str">
        <f t="shared" si="553"/>
        <v>NL</v>
      </c>
      <c r="D4252">
        <v>343</v>
      </c>
      <c r="E4252">
        <v>135</v>
      </c>
      <c r="F4252" s="366">
        <f t="shared" si="547"/>
        <v>2929.5</v>
      </c>
      <c r="G4252" s="97">
        <v>3714</v>
      </c>
      <c r="H4252" s="367">
        <f t="shared" si="548"/>
        <v>6643.5</v>
      </c>
      <c r="I4252" s="368">
        <f t="shared" si="549"/>
        <v>0</v>
      </c>
      <c r="J4252">
        <v>14698</v>
      </c>
      <c r="K4252" s="367">
        <f t="shared" si="550"/>
        <v>10498.571428571429</v>
      </c>
      <c r="L4252" s="607">
        <v>0.17</v>
      </c>
      <c r="M4252">
        <v>1.7000000000000002</v>
      </c>
      <c r="N4252" s="381">
        <v>24</v>
      </c>
      <c r="O4252">
        <v>9</v>
      </c>
      <c r="P4252" t="s">
        <v>515</v>
      </c>
      <c r="Q4252" s="97" t="str">
        <f t="shared" si="551"/>
        <v/>
      </c>
      <c r="R4252" t="str">
        <f t="shared" si="552"/>
        <v/>
      </c>
    </row>
    <row r="4253" spans="3:18">
      <c r="C4253" t="str">
        <f t="shared" si="553"/>
        <v>NL</v>
      </c>
      <c r="D4253">
        <v>344</v>
      </c>
      <c r="E4253">
        <v>135</v>
      </c>
      <c r="F4253" s="366">
        <f t="shared" si="547"/>
        <v>2929.5</v>
      </c>
      <c r="G4253" s="97">
        <v>5712</v>
      </c>
      <c r="H4253" s="367">
        <f t="shared" si="548"/>
        <v>8641.5</v>
      </c>
      <c r="I4253" s="368">
        <f t="shared" si="549"/>
        <v>0</v>
      </c>
      <c r="J4253">
        <v>22605</v>
      </c>
      <c r="K4253" s="367">
        <f t="shared" si="550"/>
        <v>16146.428571428572</v>
      </c>
      <c r="L4253" s="607">
        <v>0.52</v>
      </c>
      <c r="M4253">
        <v>1.7000000000000002</v>
      </c>
      <c r="N4253" s="381">
        <v>29</v>
      </c>
      <c r="O4253">
        <v>9</v>
      </c>
      <c r="P4253" t="s">
        <v>514</v>
      </c>
      <c r="Q4253" s="97" t="str">
        <f t="shared" si="551"/>
        <v/>
      </c>
      <c r="R4253" t="str">
        <f t="shared" si="552"/>
        <v/>
      </c>
    </row>
    <row r="4254" spans="3:18">
      <c r="C4254" t="str">
        <f t="shared" si="553"/>
        <v/>
      </c>
      <c r="D4254">
        <v>345</v>
      </c>
      <c r="E4254">
        <v>135</v>
      </c>
      <c r="F4254" s="366">
        <f t="shared" si="547"/>
        <v>2929.5</v>
      </c>
      <c r="G4254" s="97">
        <v>6051</v>
      </c>
      <c r="H4254" s="367">
        <f t="shared" si="548"/>
        <v>8980.5</v>
      </c>
      <c r="I4254" s="368">
        <f t="shared" si="549"/>
        <v>0</v>
      </c>
      <c r="J4254">
        <v>23946</v>
      </c>
      <c r="K4254" s="367">
        <f t="shared" si="550"/>
        <v>17104.285714285714</v>
      </c>
      <c r="L4254" s="607">
        <v>0.44</v>
      </c>
      <c r="M4254">
        <v>3.7</v>
      </c>
      <c r="N4254" s="381">
        <v>29</v>
      </c>
      <c r="O4254">
        <v>10</v>
      </c>
      <c r="P4254" t="s">
        <v>514</v>
      </c>
      <c r="Q4254" s="97" t="str">
        <f t="shared" si="551"/>
        <v/>
      </c>
      <c r="R4254" t="str">
        <f t="shared" si="552"/>
        <v/>
      </c>
    </row>
    <row r="4255" spans="3:18">
      <c r="C4255" t="str">
        <f t="shared" si="553"/>
        <v/>
      </c>
      <c r="D4255">
        <v>346</v>
      </c>
      <c r="E4255">
        <v>140</v>
      </c>
      <c r="F4255" s="366">
        <f t="shared" si="547"/>
        <v>3038</v>
      </c>
      <c r="G4255" s="97">
        <v>2447</v>
      </c>
      <c r="H4255" s="367">
        <f t="shared" si="548"/>
        <v>5485</v>
      </c>
      <c r="I4255" s="368">
        <f t="shared" si="549"/>
        <v>0</v>
      </c>
      <c r="J4255">
        <v>9683</v>
      </c>
      <c r="K4255" s="367">
        <f t="shared" si="550"/>
        <v>6916.4285714285716</v>
      </c>
      <c r="L4255" s="607">
        <v>0.8</v>
      </c>
      <c r="M4255">
        <v>6.1</v>
      </c>
      <c r="N4255" s="381">
        <v>27</v>
      </c>
      <c r="O4255">
        <v>4</v>
      </c>
      <c r="P4255" t="s">
        <v>515</v>
      </c>
      <c r="Q4255" s="97" t="str">
        <f t="shared" si="551"/>
        <v/>
      </c>
      <c r="R4255" t="str">
        <f t="shared" si="552"/>
        <v/>
      </c>
    </row>
    <row r="4256" spans="3:18">
      <c r="C4256" t="str">
        <f t="shared" si="553"/>
        <v>NL</v>
      </c>
      <c r="D4256">
        <v>347</v>
      </c>
      <c r="E4256">
        <v>140</v>
      </c>
      <c r="F4256" s="366">
        <f t="shared" si="547"/>
        <v>3038</v>
      </c>
      <c r="G4256" s="97">
        <v>2970</v>
      </c>
      <c r="H4256" s="367">
        <f t="shared" si="548"/>
        <v>6008</v>
      </c>
      <c r="I4256" s="368">
        <f t="shared" si="549"/>
        <v>0</v>
      </c>
      <c r="J4256">
        <v>11754</v>
      </c>
      <c r="K4256" s="367">
        <f t="shared" si="550"/>
        <v>8395.7142857142862</v>
      </c>
      <c r="L4256" s="607">
        <v>0.51</v>
      </c>
      <c r="M4256">
        <v>7.3999999999999995</v>
      </c>
      <c r="N4256" s="381">
        <v>26</v>
      </c>
      <c r="O4256">
        <v>5</v>
      </c>
      <c r="P4256" t="s">
        <v>515</v>
      </c>
      <c r="Q4256" s="97" t="str">
        <f t="shared" si="551"/>
        <v/>
      </c>
      <c r="R4256" t="str">
        <f t="shared" si="552"/>
        <v/>
      </c>
    </row>
    <row r="4257" spans="3:18">
      <c r="C4257" t="str">
        <f t="shared" si="553"/>
        <v/>
      </c>
      <c r="D4257">
        <v>348</v>
      </c>
      <c r="E4257">
        <v>140</v>
      </c>
      <c r="F4257" s="366">
        <f t="shared" si="547"/>
        <v>3038</v>
      </c>
      <c r="G4257" s="97">
        <v>2716</v>
      </c>
      <c r="H4257" s="367">
        <f t="shared" si="548"/>
        <v>5754</v>
      </c>
      <c r="I4257" s="368">
        <f t="shared" si="549"/>
        <v>0</v>
      </c>
      <c r="J4257">
        <v>10747</v>
      </c>
      <c r="K4257" s="367">
        <f t="shared" si="550"/>
        <v>7676.4285714285716</v>
      </c>
      <c r="L4257" s="607">
        <v>0.36</v>
      </c>
      <c r="M4257">
        <v>8.6999999999999993</v>
      </c>
      <c r="N4257" s="381">
        <v>25</v>
      </c>
      <c r="O4257">
        <v>6</v>
      </c>
      <c r="P4257" t="s">
        <v>515</v>
      </c>
      <c r="Q4257" s="97">
        <f t="shared" si="551"/>
        <v>348</v>
      </c>
      <c r="R4257" t="str">
        <f t="shared" si="552"/>
        <v/>
      </c>
    </row>
    <row r="4258" spans="3:18">
      <c r="C4258" t="str">
        <f t="shared" si="553"/>
        <v/>
      </c>
      <c r="D4258">
        <v>349</v>
      </c>
      <c r="E4258">
        <v>140</v>
      </c>
      <c r="F4258" s="366">
        <f t="shared" si="547"/>
        <v>3038</v>
      </c>
      <c r="G4258" s="97">
        <v>3639</v>
      </c>
      <c r="H4258" s="367">
        <f t="shared" si="548"/>
        <v>6677</v>
      </c>
      <c r="I4258" s="368">
        <f t="shared" si="549"/>
        <v>0</v>
      </c>
      <c r="J4258">
        <v>14403</v>
      </c>
      <c r="K4258" s="367">
        <f t="shared" si="550"/>
        <v>10287.857142857143</v>
      </c>
      <c r="L4258" s="607">
        <v>1.1200000000000001</v>
      </c>
      <c r="M4258">
        <v>8.6999999999999993</v>
      </c>
      <c r="N4258" s="381">
        <v>30</v>
      </c>
      <c r="O4258">
        <v>6</v>
      </c>
      <c r="P4258" t="s">
        <v>514</v>
      </c>
      <c r="Q4258" s="97" t="str">
        <f t="shared" si="551"/>
        <v/>
      </c>
      <c r="R4258" t="str">
        <f t="shared" si="552"/>
        <v/>
      </c>
    </row>
    <row r="4259" spans="3:18">
      <c r="C4259" t="str">
        <f t="shared" si="553"/>
        <v>NL</v>
      </c>
      <c r="D4259">
        <v>350</v>
      </c>
      <c r="E4259">
        <v>140</v>
      </c>
      <c r="F4259" s="366">
        <f t="shared" si="547"/>
        <v>3038</v>
      </c>
      <c r="G4259" s="97">
        <v>3607</v>
      </c>
      <c r="H4259" s="367">
        <f t="shared" si="548"/>
        <v>6645</v>
      </c>
      <c r="I4259" s="368">
        <f t="shared" si="549"/>
        <v>0</v>
      </c>
      <c r="J4259">
        <v>14277</v>
      </c>
      <c r="K4259" s="367">
        <f t="shared" si="550"/>
        <v>10197.857142857143</v>
      </c>
      <c r="L4259" s="607">
        <v>0.28000000000000003</v>
      </c>
      <c r="M4259">
        <v>1.3</v>
      </c>
      <c r="N4259" s="381">
        <v>25</v>
      </c>
      <c r="O4259">
        <v>7</v>
      </c>
      <c r="P4259" t="s">
        <v>515</v>
      </c>
      <c r="Q4259" s="97" t="str">
        <f t="shared" si="551"/>
        <v/>
      </c>
      <c r="R4259" t="str">
        <f t="shared" si="552"/>
        <v/>
      </c>
    </row>
    <row r="4260" spans="3:18">
      <c r="C4260" t="str">
        <f t="shared" si="553"/>
        <v>NL</v>
      </c>
      <c r="D4260">
        <v>351</v>
      </c>
      <c r="E4260">
        <v>140</v>
      </c>
      <c r="F4260" s="366">
        <f t="shared" si="547"/>
        <v>3038</v>
      </c>
      <c r="G4260" s="97">
        <v>4939</v>
      </c>
      <c r="H4260" s="367">
        <f t="shared" si="548"/>
        <v>7977</v>
      </c>
      <c r="I4260" s="368">
        <f t="shared" si="549"/>
        <v>0</v>
      </c>
      <c r="J4260">
        <v>19546</v>
      </c>
      <c r="K4260" s="367">
        <f t="shared" si="550"/>
        <v>13961.428571428572</v>
      </c>
      <c r="L4260" s="607">
        <v>0.85</v>
      </c>
      <c r="M4260">
        <v>1.3</v>
      </c>
      <c r="N4260" s="381">
        <v>30</v>
      </c>
      <c r="O4260">
        <v>7</v>
      </c>
      <c r="P4260" t="s">
        <v>514</v>
      </c>
      <c r="Q4260" s="97" t="str">
        <f t="shared" si="551"/>
        <v/>
      </c>
      <c r="R4260" t="str">
        <f t="shared" si="552"/>
        <v/>
      </c>
    </row>
    <row r="4261" spans="3:18">
      <c r="C4261" t="str">
        <f t="shared" si="553"/>
        <v/>
      </c>
      <c r="D4261">
        <v>352</v>
      </c>
      <c r="E4261">
        <v>140</v>
      </c>
      <c r="F4261" s="366">
        <f t="shared" si="547"/>
        <v>3038</v>
      </c>
      <c r="G4261" s="97">
        <v>2879</v>
      </c>
      <c r="H4261" s="367">
        <f t="shared" si="548"/>
        <v>5917</v>
      </c>
      <c r="I4261" s="368">
        <f t="shared" si="549"/>
        <v>0</v>
      </c>
      <c r="J4261">
        <v>11395</v>
      </c>
      <c r="K4261" s="367">
        <f t="shared" si="550"/>
        <v>8139.2857142857147</v>
      </c>
      <c r="L4261" s="607">
        <v>0.22</v>
      </c>
      <c r="M4261">
        <v>2.8000000000000003</v>
      </c>
      <c r="N4261" s="381">
        <v>25</v>
      </c>
      <c r="O4261">
        <v>8</v>
      </c>
      <c r="P4261" t="s">
        <v>515</v>
      </c>
      <c r="Q4261" s="97">
        <f t="shared" si="551"/>
        <v>352</v>
      </c>
      <c r="R4261" t="str">
        <f t="shared" si="552"/>
        <v/>
      </c>
    </row>
    <row r="4262" spans="3:18">
      <c r="C4262" t="str">
        <f t="shared" si="553"/>
        <v/>
      </c>
      <c r="D4262">
        <v>353</v>
      </c>
      <c r="E4262">
        <v>140</v>
      </c>
      <c r="F4262" s="366">
        <f t="shared" si="547"/>
        <v>3038</v>
      </c>
      <c r="G4262" s="97">
        <v>4298</v>
      </c>
      <c r="H4262" s="367">
        <f t="shared" si="548"/>
        <v>7336</v>
      </c>
      <c r="I4262" s="368">
        <f t="shared" si="549"/>
        <v>0</v>
      </c>
      <c r="J4262">
        <v>17010</v>
      </c>
      <c r="K4262" s="367">
        <f t="shared" si="550"/>
        <v>12150</v>
      </c>
      <c r="L4262" s="607">
        <v>0.67</v>
      </c>
      <c r="M4262">
        <v>2.8000000000000003</v>
      </c>
      <c r="N4262" s="381">
        <v>29</v>
      </c>
      <c r="O4262">
        <v>8</v>
      </c>
      <c r="P4262" t="s">
        <v>514</v>
      </c>
      <c r="Q4262" s="97">
        <f t="shared" si="551"/>
        <v>353</v>
      </c>
      <c r="R4262" t="str">
        <f t="shared" si="552"/>
        <v/>
      </c>
    </row>
    <row r="4263" spans="3:18">
      <c r="C4263" t="str">
        <f t="shared" si="553"/>
        <v>NL</v>
      </c>
      <c r="D4263">
        <v>354</v>
      </c>
      <c r="E4263">
        <v>140</v>
      </c>
      <c r="F4263" s="366">
        <f t="shared" si="547"/>
        <v>3038</v>
      </c>
      <c r="G4263" s="97">
        <v>3811</v>
      </c>
      <c r="H4263" s="367">
        <f t="shared" si="548"/>
        <v>6849</v>
      </c>
      <c r="I4263" s="368">
        <f t="shared" si="549"/>
        <v>0</v>
      </c>
      <c r="J4263">
        <v>15084</v>
      </c>
      <c r="K4263" s="367">
        <f t="shared" si="550"/>
        <v>10774.285714285714</v>
      </c>
      <c r="L4263" s="607">
        <v>0.18000000000000002</v>
      </c>
      <c r="M4263">
        <v>1.7000000000000002</v>
      </c>
      <c r="N4263" s="381">
        <v>25</v>
      </c>
      <c r="O4263">
        <v>9</v>
      </c>
      <c r="P4263" t="s">
        <v>515</v>
      </c>
      <c r="Q4263" s="97" t="str">
        <f t="shared" si="551"/>
        <v/>
      </c>
      <c r="R4263" t="str">
        <f t="shared" si="552"/>
        <v/>
      </c>
    </row>
    <row r="4264" spans="3:18">
      <c r="C4264" t="str">
        <f t="shared" si="553"/>
        <v>NL</v>
      </c>
      <c r="D4264">
        <v>355</v>
      </c>
      <c r="E4264">
        <v>140</v>
      </c>
      <c r="F4264" s="366">
        <f t="shared" si="547"/>
        <v>3038</v>
      </c>
      <c r="G4264" s="97">
        <v>5853</v>
      </c>
      <c r="H4264" s="367">
        <f t="shared" si="548"/>
        <v>8891</v>
      </c>
      <c r="I4264" s="368">
        <f t="shared" si="549"/>
        <v>0</v>
      </c>
      <c r="J4264">
        <v>23164</v>
      </c>
      <c r="K4264" s="367">
        <f t="shared" si="550"/>
        <v>16545.714285714286</v>
      </c>
      <c r="L4264" s="607">
        <v>0.56000000000000005</v>
      </c>
      <c r="M4264">
        <v>1.7000000000000002</v>
      </c>
      <c r="N4264" s="381">
        <v>29</v>
      </c>
      <c r="O4264">
        <v>9</v>
      </c>
      <c r="P4264" t="s">
        <v>514</v>
      </c>
      <c r="Q4264" s="97" t="str">
        <f t="shared" si="551"/>
        <v/>
      </c>
      <c r="R4264" t="str">
        <f t="shared" si="552"/>
        <v/>
      </c>
    </row>
    <row r="4265" spans="3:18">
      <c r="C4265" t="str">
        <f t="shared" si="553"/>
        <v/>
      </c>
      <c r="D4265">
        <v>356</v>
      </c>
      <c r="E4265">
        <v>140</v>
      </c>
      <c r="F4265" s="366">
        <f t="shared" si="547"/>
        <v>3038</v>
      </c>
      <c r="G4265" s="97">
        <v>6193</v>
      </c>
      <c r="H4265" s="367">
        <f t="shared" si="548"/>
        <v>9231</v>
      </c>
      <c r="I4265" s="368">
        <f t="shared" si="549"/>
        <v>0</v>
      </c>
      <c r="J4265">
        <v>24508</v>
      </c>
      <c r="K4265" s="367">
        <f t="shared" si="550"/>
        <v>17505.714285714286</v>
      </c>
      <c r="L4265" s="607">
        <v>0.47000000000000003</v>
      </c>
      <c r="M4265">
        <v>3.7</v>
      </c>
      <c r="N4265" s="381">
        <v>30</v>
      </c>
      <c r="O4265">
        <v>10</v>
      </c>
      <c r="P4265" t="s">
        <v>514</v>
      </c>
      <c r="Q4265" s="97" t="str">
        <f t="shared" si="551"/>
        <v/>
      </c>
      <c r="R4265" t="str">
        <f t="shared" si="552"/>
        <v/>
      </c>
    </row>
    <row r="4266" spans="3:18">
      <c r="C4266" t="str">
        <f t="shared" si="553"/>
        <v/>
      </c>
      <c r="D4266">
        <v>357</v>
      </c>
      <c r="E4266">
        <v>145</v>
      </c>
      <c r="F4266" s="366">
        <f t="shared" si="547"/>
        <v>3146.5</v>
      </c>
      <c r="G4266" s="97">
        <v>2507</v>
      </c>
      <c r="H4266" s="367">
        <f t="shared" si="548"/>
        <v>5653.5</v>
      </c>
      <c r="I4266" s="368">
        <f t="shared" si="549"/>
        <v>0</v>
      </c>
      <c r="J4266">
        <v>9924</v>
      </c>
      <c r="K4266" s="367">
        <f t="shared" si="550"/>
        <v>7088.5714285714284</v>
      </c>
      <c r="L4266" s="607">
        <v>0.86</v>
      </c>
      <c r="M4266">
        <v>6.1</v>
      </c>
      <c r="N4266" s="381">
        <v>27</v>
      </c>
      <c r="O4266">
        <v>4</v>
      </c>
      <c r="P4266" t="s">
        <v>515</v>
      </c>
      <c r="Q4266" s="97" t="str">
        <f t="shared" si="551"/>
        <v/>
      </c>
      <c r="R4266" t="str">
        <f t="shared" si="552"/>
        <v/>
      </c>
    </row>
    <row r="4267" spans="3:18">
      <c r="C4267" t="str">
        <f t="shared" si="553"/>
        <v>NL</v>
      </c>
      <c r="D4267">
        <v>358</v>
      </c>
      <c r="E4267">
        <v>145</v>
      </c>
      <c r="F4267" s="366">
        <f t="shared" si="547"/>
        <v>3146.5</v>
      </c>
      <c r="G4267" s="97">
        <v>3042</v>
      </c>
      <c r="H4267" s="367">
        <f t="shared" si="548"/>
        <v>6188.5</v>
      </c>
      <c r="I4267" s="368">
        <f t="shared" si="549"/>
        <v>0</v>
      </c>
      <c r="J4267">
        <v>12039</v>
      </c>
      <c r="K4267" s="367">
        <f t="shared" si="550"/>
        <v>8599.2857142857138</v>
      </c>
      <c r="L4267" s="607">
        <v>0.55000000000000004</v>
      </c>
      <c r="M4267">
        <v>7.3999999999999995</v>
      </c>
      <c r="N4267" s="381">
        <v>26</v>
      </c>
      <c r="O4267">
        <v>5</v>
      </c>
      <c r="P4267" t="s">
        <v>515</v>
      </c>
      <c r="Q4267" s="97" t="str">
        <f t="shared" si="551"/>
        <v/>
      </c>
      <c r="R4267" t="str">
        <f t="shared" si="552"/>
        <v/>
      </c>
    </row>
    <row r="4268" spans="3:18">
      <c r="C4268" t="str">
        <f t="shared" si="553"/>
        <v/>
      </c>
      <c r="D4268">
        <v>359</v>
      </c>
      <c r="E4268">
        <v>145</v>
      </c>
      <c r="F4268" s="366">
        <f t="shared" si="547"/>
        <v>3146.5</v>
      </c>
      <c r="G4268" s="97">
        <v>2789</v>
      </c>
      <c r="H4268" s="367">
        <f t="shared" si="548"/>
        <v>5935.5</v>
      </c>
      <c r="I4268" s="368">
        <f t="shared" si="549"/>
        <v>0</v>
      </c>
      <c r="J4268">
        <v>11037</v>
      </c>
      <c r="K4268" s="367">
        <f t="shared" si="550"/>
        <v>7883.5714285714284</v>
      </c>
      <c r="L4268" s="607">
        <v>0.39</v>
      </c>
      <c r="M4268">
        <v>8.6999999999999993</v>
      </c>
      <c r="N4268" s="381">
        <v>25</v>
      </c>
      <c r="O4268">
        <v>6</v>
      </c>
      <c r="P4268" t="s">
        <v>515</v>
      </c>
      <c r="Q4268" s="97">
        <f t="shared" si="551"/>
        <v>359</v>
      </c>
      <c r="R4268" t="str">
        <f t="shared" si="552"/>
        <v/>
      </c>
    </row>
    <row r="4269" spans="3:18">
      <c r="C4269" t="str">
        <f t="shared" si="553"/>
        <v>NL</v>
      </c>
      <c r="D4269">
        <v>360</v>
      </c>
      <c r="E4269">
        <v>145</v>
      </c>
      <c r="F4269" s="366">
        <f t="shared" si="547"/>
        <v>3146.5</v>
      </c>
      <c r="G4269" s="97">
        <v>3696</v>
      </c>
      <c r="H4269" s="367">
        <f t="shared" si="548"/>
        <v>6842.5</v>
      </c>
      <c r="I4269" s="368">
        <f t="shared" si="549"/>
        <v>0</v>
      </c>
      <c r="J4269">
        <v>14627</v>
      </c>
      <c r="K4269" s="367">
        <f t="shared" si="550"/>
        <v>10447.857142857143</v>
      </c>
      <c r="L4269" s="607">
        <v>0.3</v>
      </c>
      <c r="M4269">
        <v>1.3</v>
      </c>
      <c r="N4269" s="381">
        <v>25</v>
      </c>
      <c r="O4269">
        <v>7</v>
      </c>
      <c r="P4269" t="s">
        <v>515</v>
      </c>
      <c r="Q4269" s="97" t="str">
        <f t="shared" si="551"/>
        <v/>
      </c>
      <c r="R4269" t="str">
        <f t="shared" si="552"/>
        <v/>
      </c>
    </row>
    <row r="4270" spans="3:18">
      <c r="C4270" t="str">
        <f t="shared" si="553"/>
        <v>NL</v>
      </c>
      <c r="D4270">
        <v>361</v>
      </c>
      <c r="E4270">
        <v>145</v>
      </c>
      <c r="F4270" s="366">
        <f t="shared" si="547"/>
        <v>3146.5</v>
      </c>
      <c r="G4270" s="97">
        <v>5048</v>
      </c>
      <c r="H4270" s="367">
        <f t="shared" si="548"/>
        <v>8194.5</v>
      </c>
      <c r="I4270" s="368">
        <f t="shared" si="549"/>
        <v>0</v>
      </c>
      <c r="J4270">
        <v>19979</v>
      </c>
      <c r="K4270" s="367">
        <f t="shared" si="550"/>
        <v>14270.714285714286</v>
      </c>
      <c r="L4270" s="607">
        <v>0.91</v>
      </c>
      <c r="M4270">
        <v>1.3</v>
      </c>
      <c r="N4270" s="381">
        <v>30</v>
      </c>
      <c r="O4270">
        <v>7</v>
      </c>
      <c r="P4270" t="s">
        <v>514</v>
      </c>
      <c r="Q4270" s="97" t="str">
        <f t="shared" si="551"/>
        <v/>
      </c>
      <c r="R4270" t="str">
        <f t="shared" si="552"/>
        <v/>
      </c>
    </row>
    <row r="4271" spans="3:18">
      <c r="C4271" t="str">
        <f t="shared" si="553"/>
        <v/>
      </c>
      <c r="D4271">
        <v>362</v>
      </c>
      <c r="E4271">
        <v>145</v>
      </c>
      <c r="F4271" s="366">
        <f t="shared" si="547"/>
        <v>3146.5</v>
      </c>
      <c r="G4271" s="97">
        <v>2962</v>
      </c>
      <c r="H4271" s="367">
        <f t="shared" si="548"/>
        <v>6108.5</v>
      </c>
      <c r="I4271" s="368">
        <f t="shared" si="549"/>
        <v>0</v>
      </c>
      <c r="J4271">
        <v>11724</v>
      </c>
      <c r="K4271" s="367">
        <f t="shared" si="550"/>
        <v>8374.2857142857138</v>
      </c>
      <c r="L4271" s="607">
        <v>0.24000000000000002</v>
      </c>
      <c r="M4271">
        <v>2.8000000000000003</v>
      </c>
      <c r="N4271" s="381">
        <v>25</v>
      </c>
      <c r="O4271">
        <v>8</v>
      </c>
      <c r="P4271" t="s">
        <v>515</v>
      </c>
      <c r="Q4271" s="97">
        <f t="shared" si="551"/>
        <v>362</v>
      </c>
      <c r="R4271" t="str">
        <f t="shared" si="552"/>
        <v/>
      </c>
    </row>
    <row r="4272" spans="3:18">
      <c r="C4272" t="str">
        <f t="shared" si="553"/>
        <v/>
      </c>
      <c r="D4272">
        <v>363</v>
      </c>
      <c r="E4272">
        <v>145</v>
      </c>
      <c r="F4272" s="366">
        <f t="shared" si="547"/>
        <v>3146.5</v>
      </c>
      <c r="G4272" s="97">
        <v>4407</v>
      </c>
      <c r="H4272" s="367">
        <f t="shared" si="548"/>
        <v>7553.5</v>
      </c>
      <c r="I4272" s="368">
        <f t="shared" si="549"/>
        <v>0</v>
      </c>
      <c r="J4272">
        <v>17442</v>
      </c>
      <c r="K4272" s="367">
        <f t="shared" si="550"/>
        <v>12458.571428571429</v>
      </c>
      <c r="L4272" s="607">
        <v>0.72</v>
      </c>
      <c r="M4272">
        <v>2.8000000000000003</v>
      </c>
      <c r="N4272" s="381">
        <v>30</v>
      </c>
      <c r="O4272">
        <v>8</v>
      </c>
      <c r="P4272" t="s">
        <v>514</v>
      </c>
      <c r="Q4272" s="97" t="str">
        <f t="shared" si="551"/>
        <v/>
      </c>
      <c r="R4272" t="str">
        <f t="shared" si="552"/>
        <v/>
      </c>
    </row>
    <row r="4273" spans="3:18">
      <c r="C4273" t="str">
        <f t="shared" si="553"/>
        <v>NL</v>
      </c>
      <c r="D4273">
        <v>364</v>
      </c>
      <c r="E4273">
        <v>145</v>
      </c>
      <c r="F4273" s="366">
        <f t="shared" si="547"/>
        <v>3146.5</v>
      </c>
      <c r="G4273" s="97">
        <v>3909</v>
      </c>
      <c r="H4273" s="367">
        <f t="shared" si="548"/>
        <v>7055.5</v>
      </c>
      <c r="I4273" s="368">
        <f t="shared" si="549"/>
        <v>0</v>
      </c>
      <c r="J4273">
        <v>15470</v>
      </c>
      <c r="K4273" s="367">
        <f t="shared" si="550"/>
        <v>11050</v>
      </c>
      <c r="L4273" s="607">
        <v>0.2</v>
      </c>
      <c r="M4273">
        <v>1.7000000000000002</v>
      </c>
      <c r="N4273" s="381">
        <v>25</v>
      </c>
      <c r="O4273">
        <v>9</v>
      </c>
      <c r="P4273" t="s">
        <v>515</v>
      </c>
      <c r="Q4273" s="97" t="str">
        <f t="shared" si="551"/>
        <v/>
      </c>
      <c r="R4273" t="str">
        <f t="shared" si="552"/>
        <v/>
      </c>
    </row>
    <row r="4274" spans="3:18">
      <c r="C4274" t="str">
        <f t="shared" si="553"/>
        <v>NL</v>
      </c>
      <c r="D4274">
        <v>365</v>
      </c>
      <c r="E4274">
        <v>145</v>
      </c>
      <c r="F4274" s="366">
        <f t="shared" si="547"/>
        <v>3146.5</v>
      </c>
      <c r="G4274" s="97">
        <v>5992</v>
      </c>
      <c r="H4274" s="367">
        <f t="shared" si="548"/>
        <v>9138.5</v>
      </c>
      <c r="I4274" s="368">
        <f t="shared" si="549"/>
        <v>0</v>
      </c>
      <c r="J4274">
        <v>23715</v>
      </c>
      <c r="K4274" s="367">
        <f t="shared" si="550"/>
        <v>16939.285714285714</v>
      </c>
      <c r="L4274" s="607">
        <v>0.6</v>
      </c>
      <c r="M4274">
        <v>1.7000000000000002</v>
      </c>
      <c r="N4274" s="381">
        <v>30</v>
      </c>
      <c r="O4274">
        <v>9</v>
      </c>
      <c r="P4274" t="s">
        <v>514</v>
      </c>
      <c r="Q4274" s="97" t="str">
        <f t="shared" si="551"/>
        <v/>
      </c>
      <c r="R4274" t="str">
        <f t="shared" si="552"/>
        <v/>
      </c>
    </row>
    <row r="4275" spans="3:18">
      <c r="C4275" t="str">
        <f t="shared" si="553"/>
        <v/>
      </c>
      <c r="D4275">
        <v>366</v>
      </c>
      <c r="E4275">
        <v>145</v>
      </c>
      <c r="F4275" s="366">
        <f t="shared" si="547"/>
        <v>3146.5</v>
      </c>
      <c r="G4275" s="97">
        <v>6335</v>
      </c>
      <c r="H4275" s="367">
        <f t="shared" si="548"/>
        <v>9481.5</v>
      </c>
      <c r="I4275" s="368">
        <f t="shared" si="549"/>
        <v>0</v>
      </c>
      <c r="J4275">
        <v>25071</v>
      </c>
      <c r="K4275" s="367">
        <f t="shared" si="550"/>
        <v>17907.857142857145</v>
      </c>
      <c r="L4275" s="607">
        <v>0.51</v>
      </c>
      <c r="M4275">
        <v>3.7</v>
      </c>
      <c r="N4275" s="381">
        <v>30</v>
      </c>
      <c r="O4275">
        <v>10</v>
      </c>
      <c r="P4275" t="s">
        <v>514</v>
      </c>
      <c r="Q4275" s="97" t="str">
        <f t="shared" si="551"/>
        <v/>
      </c>
      <c r="R4275" t="str">
        <f t="shared" si="552"/>
        <v/>
      </c>
    </row>
    <row r="4276" spans="3:18">
      <c r="C4276" t="str">
        <f t="shared" si="553"/>
        <v/>
      </c>
      <c r="D4276">
        <v>367</v>
      </c>
      <c r="E4276">
        <v>150</v>
      </c>
      <c r="F4276" s="366">
        <f t="shared" si="547"/>
        <v>3255</v>
      </c>
      <c r="G4276" s="97">
        <v>2568</v>
      </c>
      <c r="H4276" s="367">
        <f t="shared" si="548"/>
        <v>5823</v>
      </c>
      <c r="I4276" s="368">
        <f t="shared" si="549"/>
        <v>0</v>
      </c>
      <c r="J4276">
        <v>10164</v>
      </c>
      <c r="K4276" s="367">
        <f t="shared" si="550"/>
        <v>7260</v>
      </c>
      <c r="L4276" s="607">
        <v>0.92</v>
      </c>
      <c r="M4276">
        <v>6.1</v>
      </c>
      <c r="N4276" s="381">
        <v>28</v>
      </c>
      <c r="O4276">
        <v>4</v>
      </c>
      <c r="P4276" t="s">
        <v>515</v>
      </c>
      <c r="Q4276" s="97" t="str">
        <f t="shared" si="551"/>
        <v/>
      </c>
      <c r="R4276" t="str">
        <f t="shared" si="552"/>
        <v/>
      </c>
    </row>
    <row r="4277" spans="3:18">
      <c r="C4277" t="str">
        <f t="shared" si="553"/>
        <v>NL</v>
      </c>
      <c r="D4277">
        <v>368</v>
      </c>
      <c r="E4277">
        <v>150</v>
      </c>
      <c r="F4277" s="366">
        <f t="shared" si="547"/>
        <v>3255</v>
      </c>
      <c r="G4277" s="97">
        <v>3113</v>
      </c>
      <c r="H4277" s="367">
        <f t="shared" si="548"/>
        <v>6368</v>
      </c>
      <c r="I4277" s="368">
        <f t="shared" si="549"/>
        <v>0</v>
      </c>
      <c r="J4277">
        <v>12320</v>
      </c>
      <c r="K4277" s="367">
        <f t="shared" si="550"/>
        <v>8800</v>
      </c>
      <c r="L4277" s="607">
        <v>0.59</v>
      </c>
      <c r="M4277">
        <v>7.3999999999999995</v>
      </c>
      <c r="N4277" s="381">
        <v>27</v>
      </c>
      <c r="O4277">
        <v>5</v>
      </c>
      <c r="P4277" t="s">
        <v>515</v>
      </c>
      <c r="Q4277" s="97" t="str">
        <f t="shared" si="551"/>
        <v/>
      </c>
      <c r="R4277" t="str">
        <f t="shared" si="552"/>
        <v/>
      </c>
    </row>
    <row r="4278" spans="3:18">
      <c r="C4278" t="str">
        <f t="shared" si="553"/>
        <v/>
      </c>
      <c r="D4278">
        <v>369</v>
      </c>
      <c r="E4278">
        <v>150</v>
      </c>
      <c r="F4278" s="366">
        <f t="shared" si="547"/>
        <v>3255</v>
      </c>
      <c r="G4278" s="97">
        <v>2862</v>
      </c>
      <c r="H4278" s="367">
        <f t="shared" si="548"/>
        <v>6117</v>
      </c>
      <c r="I4278" s="368">
        <f t="shared" si="549"/>
        <v>0</v>
      </c>
      <c r="J4278">
        <v>11327</v>
      </c>
      <c r="K4278" s="367">
        <f t="shared" si="550"/>
        <v>8090.7142857142862</v>
      </c>
      <c r="L4278" s="607">
        <v>0.42</v>
      </c>
      <c r="M4278">
        <v>8.6999999999999993</v>
      </c>
      <c r="N4278" s="381">
        <v>26</v>
      </c>
      <c r="O4278">
        <v>6</v>
      </c>
      <c r="P4278" t="s">
        <v>515</v>
      </c>
      <c r="Q4278" s="97">
        <f t="shared" si="551"/>
        <v>369</v>
      </c>
      <c r="R4278" t="str">
        <f t="shared" si="552"/>
        <v/>
      </c>
    </row>
    <row r="4279" spans="3:18">
      <c r="C4279" t="str">
        <f t="shared" si="553"/>
        <v>NL</v>
      </c>
      <c r="D4279">
        <v>370</v>
      </c>
      <c r="E4279">
        <v>150</v>
      </c>
      <c r="F4279" s="366">
        <f t="shared" si="547"/>
        <v>3255</v>
      </c>
      <c r="G4279" s="97">
        <v>3784</v>
      </c>
      <c r="H4279" s="367">
        <f t="shared" si="548"/>
        <v>7039</v>
      </c>
      <c r="I4279" s="368">
        <f t="shared" si="549"/>
        <v>0</v>
      </c>
      <c r="J4279">
        <v>14977</v>
      </c>
      <c r="K4279" s="367">
        <f t="shared" si="550"/>
        <v>10697.857142857143</v>
      </c>
      <c r="L4279" s="607">
        <v>0.32</v>
      </c>
      <c r="M4279">
        <v>1.3</v>
      </c>
      <c r="N4279" s="381">
        <v>26</v>
      </c>
      <c r="O4279">
        <v>7</v>
      </c>
      <c r="P4279" t="s">
        <v>515</v>
      </c>
      <c r="Q4279" s="97" t="str">
        <f t="shared" si="551"/>
        <v/>
      </c>
      <c r="R4279" t="str">
        <f t="shared" si="552"/>
        <v/>
      </c>
    </row>
    <row r="4280" spans="3:18">
      <c r="C4280" t="str">
        <f t="shared" si="553"/>
        <v>NL</v>
      </c>
      <c r="D4280">
        <v>371</v>
      </c>
      <c r="E4280">
        <v>150</v>
      </c>
      <c r="F4280" s="366">
        <f t="shared" si="547"/>
        <v>3255</v>
      </c>
      <c r="G4280" s="97">
        <v>5158</v>
      </c>
      <c r="H4280" s="367">
        <f t="shared" si="548"/>
        <v>8413</v>
      </c>
      <c r="I4280" s="368">
        <f t="shared" si="549"/>
        <v>0</v>
      </c>
      <c r="J4280">
        <v>20411</v>
      </c>
      <c r="K4280" s="367">
        <f t="shared" si="550"/>
        <v>14579.285714285714</v>
      </c>
      <c r="L4280" s="607">
        <v>0.97</v>
      </c>
      <c r="M4280">
        <v>1.3</v>
      </c>
      <c r="N4280" s="381">
        <v>30</v>
      </c>
      <c r="O4280">
        <v>7</v>
      </c>
      <c r="P4280" t="s">
        <v>514</v>
      </c>
      <c r="Q4280" s="97" t="str">
        <f t="shared" si="551"/>
        <v/>
      </c>
      <c r="R4280" t="str">
        <f t="shared" si="552"/>
        <v/>
      </c>
    </row>
    <row r="4281" spans="3:18">
      <c r="C4281" t="str">
        <f t="shared" si="553"/>
        <v/>
      </c>
      <c r="D4281">
        <v>372</v>
      </c>
      <c r="E4281">
        <v>150</v>
      </c>
      <c r="F4281" s="366">
        <f t="shared" si="547"/>
        <v>3255</v>
      </c>
      <c r="G4281" s="97">
        <v>3046</v>
      </c>
      <c r="H4281" s="367">
        <f t="shared" si="548"/>
        <v>6301</v>
      </c>
      <c r="I4281" s="368">
        <f t="shared" si="549"/>
        <v>0</v>
      </c>
      <c r="J4281">
        <v>12054</v>
      </c>
      <c r="K4281" s="367">
        <f t="shared" si="550"/>
        <v>8610</v>
      </c>
      <c r="L4281" s="607">
        <v>0.25</v>
      </c>
      <c r="M4281">
        <v>2.8000000000000003</v>
      </c>
      <c r="N4281" s="381">
        <v>26</v>
      </c>
      <c r="O4281">
        <v>8</v>
      </c>
      <c r="P4281" t="s">
        <v>515</v>
      </c>
      <c r="Q4281" s="97">
        <f t="shared" si="551"/>
        <v>372</v>
      </c>
      <c r="R4281" t="str">
        <f t="shared" si="552"/>
        <v/>
      </c>
    </row>
    <row r="4282" spans="3:18">
      <c r="C4282" t="str">
        <f t="shared" si="553"/>
        <v/>
      </c>
      <c r="D4282">
        <v>373</v>
      </c>
      <c r="E4282">
        <v>150</v>
      </c>
      <c r="F4282" s="366">
        <f t="shared" si="547"/>
        <v>3255</v>
      </c>
      <c r="G4282" s="97">
        <v>4512</v>
      </c>
      <c r="H4282" s="367">
        <f t="shared" si="548"/>
        <v>7767</v>
      </c>
      <c r="I4282" s="368">
        <f t="shared" si="549"/>
        <v>0</v>
      </c>
      <c r="J4282">
        <v>17856</v>
      </c>
      <c r="K4282" s="367">
        <f t="shared" si="550"/>
        <v>12754.285714285714</v>
      </c>
      <c r="L4282" s="607">
        <v>0.77</v>
      </c>
      <c r="M4282">
        <v>2.8000000000000003</v>
      </c>
      <c r="N4282" s="381">
        <v>30</v>
      </c>
      <c r="O4282">
        <v>8</v>
      </c>
      <c r="P4282" t="s">
        <v>514</v>
      </c>
      <c r="Q4282" s="97" t="str">
        <f t="shared" si="551"/>
        <v/>
      </c>
      <c r="R4282" t="str">
        <f t="shared" si="552"/>
        <v/>
      </c>
    </row>
    <row r="4283" spans="3:18">
      <c r="C4283" t="str">
        <f t="shared" si="553"/>
        <v>NL</v>
      </c>
      <c r="D4283">
        <v>374</v>
      </c>
      <c r="E4283">
        <v>150</v>
      </c>
      <c r="F4283" s="366">
        <f t="shared" si="547"/>
        <v>3255</v>
      </c>
      <c r="G4283" s="97">
        <v>4006</v>
      </c>
      <c r="H4283" s="367">
        <f t="shared" si="548"/>
        <v>7261</v>
      </c>
      <c r="I4283" s="368">
        <f t="shared" si="549"/>
        <v>0</v>
      </c>
      <c r="J4283">
        <v>15856</v>
      </c>
      <c r="K4283" s="367">
        <f t="shared" si="550"/>
        <v>11325.714285714286</v>
      </c>
      <c r="L4283" s="607">
        <v>0.21000000000000002</v>
      </c>
      <c r="M4283">
        <v>1.7000000000000002</v>
      </c>
      <c r="N4283" s="381">
        <v>26</v>
      </c>
      <c r="O4283">
        <v>9</v>
      </c>
      <c r="P4283" t="s">
        <v>515</v>
      </c>
      <c r="Q4283" s="97" t="str">
        <f t="shared" si="551"/>
        <v/>
      </c>
      <c r="R4283" t="str">
        <f t="shared" si="552"/>
        <v/>
      </c>
    </row>
    <row r="4284" spans="3:18">
      <c r="C4284" t="str">
        <f t="shared" si="553"/>
        <v>NL</v>
      </c>
      <c r="D4284">
        <v>375</v>
      </c>
      <c r="E4284">
        <v>150</v>
      </c>
      <c r="F4284" s="366">
        <f t="shared" si="547"/>
        <v>3255</v>
      </c>
      <c r="G4284" s="97">
        <v>6119</v>
      </c>
      <c r="H4284" s="367">
        <f t="shared" si="548"/>
        <v>9374</v>
      </c>
      <c r="I4284" s="368">
        <f t="shared" si="549"/>
        <v>0</v>
      </c>
      <c r="J4284">
        <v>24218</v>
      </c>
      <c r="K4284" s="367">
        <f t="shared" si="550"/>
        <v>17298.571428571428</v>
      </c>
      <c r="L4284" s="607">
        <v>0.64</v>
      </c>
      <c r="M4284">
        <v>1.7000000000000002</v>
      </c>
      <c r="N4284" s="381">
        <v>30</v>
      </c>
      <c r="O4284">
        <v>9</v>
      </c>
      <c r="P4284" t="s">
        <v>514</v>
      </c>
      <c r="Q4284" s="97" t="str">
        <f t="shared" si="551"/>
        <v/>
      </c>
      <c r="R4284" t="str">
        <f t="shared" si="552"/>
        <v/>
      </c>
    </row>
    <row r="4285" spans="3:18">
      <c r="C4285" t="str">
        <f t="shared" si="553"/>
        <v/>
      </c>
      <c r="D4285">
        <v>376</v>
      </c>
      <c r="E4285">
        <v>150</v>
      </c>
      <c r="F4285" s="366">
        <f t="shared" si="547"/>
        <v>3255</v>
      </c>
      <c r="G4285" s="97">
        <v>6477</v>
      </c>
      <c r="H4285" s="367">
        <f t="shared" si="548"/>
        <v>9732</v>
      </c>
      <c r="I4285" s="368">
        <f t="shared" si="549"/>
        <v>0</v>
      </c>
      <c r="J4285">
        <v>25633</v>
      </c>
      <c r="K4285" s="367">
        <f t="shared" si="550"/>
        <v>18309.285714285714</v>
      </c>
      <c r="L4285" s="607">
        <v>0.54</v>
      </c>
      <c r="M4285">
        <v>3.7</v>
      </c>
      <c r="N4285" s="381">
        <v>31</v>
      </c>
      <c r="O4285">
        <v>10</v>
      </c>
      <c r="P4285" t="s">
        <v>514</v>
      </c>
      <c r="Q4285" s="97" t="str">
        <f t="shared" si="551"/>
        <v/>
      </c>
      <c r="R4285" t="str">
        <f t="shared" si="552"/>
        <v/>
      </c>
    </row>
    <row r="4286" spans="3:18">
      <c r="C4286" t="str">
        <f t="shared" si="553"/>
        <v/>
      </c>
      <c r="D4286">
        <v>377</v>
      </c>
      <c r="E4286">
        <v>155</v>
      </c>
      <c r="F4286" s="366">
        <f t="shared" si="547"/>
        <v>3363.5</v>
      </c>
      <c r="G4286" s="97">
        <v>2629</v>
      </c>
      <c r="H4286" s="367">
        <f t="shared" si="548"/>
        <v>5992.5</v>
      </c>
      <c r="I4286" s="368">
        <f t="shared" si="549"/>
        <v>0</v>
      </c>
      <c r="J4286">
        <v>10405</v>
      </c>
      <c r="K4286" s="367">
        <f t="shared" si="550"/>
        <v>7432.1428571428569</v>
      </c>
      <c r="L4286" s="607">
        <v>0.98</v>
      </c>
      <c r="M4286">
        <v>6.1</v>
      </c>
      <c r="N4286" s="381">
        <v>28</v>
      </c>
      <c r="O4286">
        <v>4</v>
      </c>
      <c r="P4286" t="s">
        <v>515</v>
      </c>
      <c r="Q4286" s="97" t="str">
        <f t="shared" si="551"/>
        <v/>
      </c>
      <c r="R4286" t="str">
        <f t="shared" si="552"/>
        <v/>
      </c>
    </row>
    <row r="4287" spans="3:18">
      <c r="C4287" t="str">
        <f t="shared" si="553"/>
        <v>NL</v>
      </c>
      <c r="D4287">
        <v>378</v>
      </c>
      <c r="E4287">
        <v>155</v>
      </c>
      <c r="F4287" s="366">
        <f t="shared" si="547"/>
        <v>3363.5</v>
      </c>
      <c r="G4287" s="97">
        <v>3184</v>
      </c>
      <c r="H4287" s="367">
        <f t="shared" si="548"/>
        <v>6547.5</v>
      </c>
      <c r="I4287" s="368">
        <f t="shared" si="549"/>
        <v>0</v>
      </c>
      <c r="J4287">
        <v>12601</v>
      </c>
      <c r="K4287" s="367">
        <f t="shared" si="550"/>
        <v>9000.7142857142862</v>
      </c>
      <c r="L4287" s="607">
        <v>0.63</v>
      </c>
      <c r="M4287">
        <v>7.3999999999999995</v>
      </c>
      <c r="N4287" s="381">
        <v>27</v>
      </c>
      <c r="O4287">
        <v>5</v>
      </c>
      <c r="P4287" t="s">
        <v>515</v>
      </c>
      <c r="Q4287" s="97" t="str">
        <f t="shared" si="551"/>
        <v/>
      </c>
      <c r="R4287" t="str">
        <f t="shared" si="552"/>
        <v/>
      </c>
    </row>
    <row r="4288" spans="3:18">
      <c r="C4288" t="str">
        <f t="shared" si="553"/>
        <v/>
      </c>
      <c r="D4288">
        <v>379</v>
      </c>
      <c r="E4288">
        <v>155</v>
      </c>
      <c r="F4288" s="366">
        <f t="shared" si="547"/>
        <v>3363.5</v>
      </c>
      <c r="G4288" s="97">
        <v>2935</v>
      </c>
      <c r="H4288" s="367">
        <f t="shared" si="548"/>
        <v>6298.5</v>
      </c>
      <c r="I4288" s="368">
        <f t="shared" si="549"/>
        <v>0</v>
      </c>
      <c r="J4288">
        <v>11617</v>
      </c>
      <c r="K4288" s="367">
        <f t="shared" si="550"/>
        <v>8297.8571428571431</v>
      </c>
      <c r="L4288" s="607">
        <v>0.45</v>
      </c>
      <c r="M4288">
        <v>8.6999999999999993</v>
      </c>
      <c r="N4288" s="381">
        <v>26</v>
      </c>
      <c r="O4288">
        <v>6</v>
      </c>
      <c r="P4288" t="s">
        <v>515</v>
      </c>
      <c r="Q4288" s="97">
        <f t="shared" si="551"/>
        <v>379</v>
      </c>
      <c r="R4288" t="str">
        <f t="shared" si="552"/>
        <v/>
      </c>
    </row>
    <row r="4289" spans="3:18">
      <c r="C4289" t="str">
        <f t="shared" si="553"/>
        <v>NL</v>
      </c>
      <c r="D4289">
        <v>380</v>
      </c>
      <c r="E4289">
        <v>155</v>
      </c>
      <c r="F4289" s="366">
        <f t="shared" si="547"/>
        <v>3363.5</v>
      </c>
      <c r="G4289" s="97">
        <v>3873</v>
      </c>
      <c r="H4289" s="367">
        <f t="shared" si="548"/>
        <v>7236.5</v>
      </c>
      <c r="I4289" s="368">
        <f t="shared" si="549"/>
        <v>0</v>
      </c>
      <c r="J4289">
        <v>15327</v>
      </c>
      <c r="K4289" s="367">
        <f t="shared" si="550"/>
        <v>10947.857142857143</v>
      </c>
      <c r="L4289" s="607">
        <v>0.34</v>
      </c>
      <c r="M4289">
        <v>1.3</v>
      </c>
      <c r="N4289" s="381">
        <v>26</v>
      </c>
      <c r="O4289">
        <v>7</v>
      </c>
      <c r="P4289" t="s">
        <v>515</v>
      </c>
      <c r="Q4289" s="97" t="str">
        <f t="shared" si="551"/>
        <v/>
      </c>
      <c r="R4289" t="str">
        <f t="shared" si="552"/>
        <v/>
      </c>
    </row>
    <row r="4290" spans="3:18">
      <c r="C4290" t="str">
        <f t="shared" si="553"/>
        <v>NL</v>
      </c>
      <c r="D4290">
        <v>381</v>
      </c>
      <c r="E4290">
        <v>155</v>
      </c>
      <c r="F4290" s="366">
        <f t="shared" si="547"/>
        <v>3363.5</v>
      </c>
      <c r="G4290" s="97">
        <v>5267</v>
      </c>
      <c r="H4290" s="367">
        <f t="shared" si="548"/>
        <v>8630.5</v>
      </c>
      <c r="I4290" s="368">
        <f t="shared" si="549"/>
        <v>0</v>
      </c>
      <c r="J4290">
        <v>20844</v>
      </c>
      <c r="K4290" s="367">
        <f t="shared" si="550"/>
        <v>14888.571428571429</v>
      </c>
      <c r="L4290" s="607">
        <v>1.04</v>
      </c>
      <c r="M4290">
        <v>1.3</v>
      </c>
      <c r="N4290" s="381">
        <v>31</v>
      </c>
      <c r="O4290">
        <v>7</v>
      </c>
      <c r="P4290" t="s">
        <v>514</v>
      </c>
      <c r="Q4290" s="97" t="str">
        <f t="shared" si="551"/>
        <v/>
      </c>
      <c r="R4290" t="str">
        <f t="shared" si="552"/>
        <v/>
      </c>
    </row>
    <row r="4291" spans="3:18">
      <c r="C4291" t="str">
        <f t="shared" si="553"/>
        <v/>
      </c>
      <c r="D4291">
        <v>382</v>
      </c>
      <c r="E4291">
        <v>155</v>
      </c>
      <c r="F4291" s="366">
        <f t="shared" si="547"/>
        <v>3363.5</v>
      </c>
      <c r="G4291" s="97">
        <v>3129</v>
      </c>
      <c r="H4291" s="367">
        <f t="shared" si="548"/>
        <v>6492.5</v>
      </c>
      <c r="I4291" s="368">
        <f t="shared" si="549"/>
        <v>0</v>
      </c>
      <c r="J4291">
        <v>12384</v>
      </c>
      <c r="K4291" s="367">
        <f t="shared" si="550"/>
        <v>8845.7142857142862</v>
      </c>
      <c r="L4291" s="607">
        <v>0.27</v>
      </c>
      <c r="M4291">
        <v>2.8000000000000003</v>
      </c>
      <c r="N4291" s="381">
        <v>26</v>
      </c>
      <c r="O4291">
        <v>8</v>
      </c>
      <c r="P4291" t="s">
        <v>515</v>
      </c>
      <c r="Q4291" s="97">
        <f t="shared" si="551"/>
        <v>382</v>
      </c>
      <c r="R4291" t="str">
        <f t="shared" si="552"/>
        <v/>
      </c>
    </row>
    <row r="4292" spans="3:18">
      <c r="C4292" t="str">
        <f t="shared" si="553"/>
        <v/>
      </c>
      <c r="D4292">
        <v>383</v>
      </c>
      <c r="E4292">
        <v>155</v>
      </c>
      <c r="F4292" s="366">
        <f t="shared" si="547"/>
        <v>3363.5</v>
      </c>
      <c r="G4292" s="97">
        <v>4609</v>
      </c>
      <c r="H4292" s="367">
        <f t="shared" si="548"/>
        <v>7972.5</v>
      </c>
      <c r="I4292" s="368">
        <f t="shared" si="549"/>
        <v>0</v>
      </c>
      <c r="J4292">
        <v>18242</v>
      </c>
      <c r="K4292" s="367">
        <f t="shared" si="550"/>
        <v>13030</v>
      </c>
      <c r="L4292" s="607">
        <v>0.83</v>
      </c>
      <c r="M4292">
        <v>2.8000000000000003</v>
      </c>
      <c r="N4292" s="381">
        <v>31</v>
      </c>
      <c r="O4292">
        <v>8</v>
      </c>
      <c r="P4292" t="s">
        <v>514</v>
      </c>
      <c r="Q4292" s="97" t="str">
        <f t="shared" si="551"/>
        <v/>
      </c>
      <c r="R4292" t="str">
        <f t="shared" si="552"/>
        <v/>
      </c>
    </row>
    <row r="4293" spans="3:18">
      <c r="C4293" t="str">
        <f t="shared" si="553"/>
        <v>NL</v>
      </c>
      <c r="D4293">
        <v>384</v>
      </c>
      <c r="E4293">
        <v>155</v>
      </c>
      <c r="F4293" s="366">
        <f t="shared" si="547"/>
        <v>3363.5</v>
      </c>
      <c r="G4293" s="97">
        <v>4104</v>
      </c>
      <c r="H4293" s="367">
        <f t="shared" si="548"/>
        <v>7467.5</v>
      </c>
      <c r="I4293" s="368">
        <f t="shared" si="549"/>
        <v>0</v>
      </c>
      <c r="J4293">
        <v>16242</v>
      </c>
      <c r="K4293" s="367">
        <f t="shared" si="550"/>
        <v>11601.428571428572</v>
      </c>
      <c r="L4293" s="607">
        <v>0.23</v>
      </c>
      <c r="M4293">
        <v>1.7000000000000002</v>
      </c>
      <c r="N4293" s="381">
        <v>26</v>
      </c>
      <c r="O4293">
        <v>9</v>
      </c>
      <c r="P4293" t="s">
        <v>515</v>
      </c>
      <c r="Q4293" s="97" t="str">
        <f t="shared" si="551"/>
        <v/>
      </c>
      <c r="R4293" t="str">
        <f t="shared" si="552"/>
        <v/>
      </c>
    </row>
    <row r="4294" spans="3:18">
      <c r="C4294" t="str">
        <f t="shared" si="553"/>
        <v>NL</v>
      </c>
      <c r="D4294">
        <v>385</v>
      </c>
      <c r="E4294">
        <v>155</v>
      </c>
      <c r="F4294" s="366">
        <f t="shared" si="547"/>
        <v>3363.5</v>
      </c>
      <c r="G4294" s="97">
        <v>6246</v>
      </c>
      <c r="H4294" s="367">
        <f t="shared" si="548"/>
        <v>9609.5</v>
      </c>
      <c r="I4294" s="368">
        <f t="shared" si="549"/>
        <v>0</v>
      </c>
      <c r="J4294">
        <v>24720</v>
      </c>
      <c r="K4294" s="367">
        <f t="shared" si="550"/>
        <v>17657.142857142859</v>
      </c>
      <c r="L4294" s="607">
        <v>0.68</v>
      </c>
      <c r="M4294">
        <v>1.7000000000000002</v>
      </c>
      <c r="N4294" s="381">
        <v>31</v>
      </c>
      <c r="O4294">
        <v>9</v>
      </c>
      <c r="P4294" t="s">
        <v>514</v>
      </c>
      <c r="Q4294" s="97" t="str">
        <f t="shared" si="551"/>
        <v/>
      </c>
      <c r="R4294" t="str">
        <f t="shared" si="552"/>
        <v/>
      </c>
    </row>
    <row r="4295" spans="3:18">
      <c r="C4295" t="str">
        <f t="shared" si="553"/>
        <v/>
      </c>
      <c r="D4295">
        <v>386</v>
      </c>
      <c r="E4295">
        <v>155</v>
      </c>
      <c r="F4295" s="366">
        <f t="shared" ref="F4295:F4358" si="554">1.085*($A$2-$B$2)*E4295*$T$7</f>
        <v>3363.5</v>
      </c>
      <c r="G4295" s="97">
        <v>4197</v>
      </c>
      <c r="H4295" s="367">
        <f t="shared" ref="H4295:H4358" si="555">(G4295*$U$7)+F4295</f>
        <v>7560.5</v>
      </c>
      <c r="I4295" s="368">
        <f t="shared" ref="I4295:I4358" si="556">1.085*($C$2-$D$2)*E4295*$T$7</f>
        <v>0</v>
      </c>
      <c r="J4295">
        <v>16608</v>
      </c>
      <c r="K4295" s="367">
        <f t="shared" ref="K4295:K4358" si="557">(J4295*$V$7)-I4295</f>
        <v>11862.857142857143</v>
      </c>
      <c r="L4295" s="607">
        <v>0.19</v>
      </c>
      <c r="M4295">
        <v>3.7</v>
      </c>
      <c r="N4295" s="381">
        <v>27</v>
      </c>
      <c r="O4295">
        <v>10</v>
      </c>
      <c r="P4295" t="s">
        <v>515</v>
      </c>
      <c r="Q4295" s="97" t="str">
        <f t="shared" ref="Q4295:Q4358" si="558">IF(AND(H4295+1&gt;$E$4,L4295&lt;$L$4+0.01,M4295&lt;$M$4+0.01,K4295+1&gt;$F$4,E4295+1&gt;$J$4,N4295&lt;$K$4+1,O4295&lt;$P$4+1,C4295=""),D4295,"")</f>
        <v/>
      </c>
      <c r="R4295" t="str">
        <f t="shared" ref="R4295:R4358" si="559">IF(Q4295="","",IF(AND(O4295&lt;$X$36,E4295&gt;$U$36,E4295&lt;$Q$4+$U$36+1),D4295,""))</f>
        <v/>
      </c>
    </row>
    <row r="4296" spans="3:18">
      <c r="C4296" t="str">
        <f t="shared" si="553"/>
        <v/>
      </c>
      <c r="D4296">
        <v>387</v>
      </c>
      <c r="E4296">
        <v>155</v>
      </c>
      <c r="F4296" s="366">
        <f t="shared" si="554"/>
        <v>3363.5</v>
      </c>
      <c r="G4296" s="97">
        <v>6619</v>
      </c>
      <c r="H4296" s="367">
        <f t="shared" si="555"/>
        <v>9982.5</v>
      </c>
      <c r="I4296" s="368">
        <f t="shared" si="556"/>
        <v>0</v>
      </c>
      <c r="J4296">
        <v>26196</v>
      </c>
      <c r="K4296" s="367">
        <f t="shared" si="557"/>
        <v>18711.428571428572</v>
      </c>
      <c r="L4296" s="607">
        <v>0.57999999999999996</v>
      </c>
      <c r="M4296">
        <v>3.7</v>
      </c>
      <c r="N4296" s="381">
        <v>31</v>
      </c>
      <c r="O4296">
        <v>10</v>
      </c>
      <c r="P4296" t="s">
        <v>514</v>
      </c>
      <c r="Q4296" s="97" t="str">
        <f t="shared" si="558"/>
        <v/>
      </c>
      <c r="R4296" t="str">
        <f t="shared" si="559"/>
        <v/>
      </c>
    </row>
    <row r="4297" spans="3:18">
      <c r="C4297" t="str">
        <f t="shared" si="553"/>
        <v>NL</v>
      </c>
      <c r="D4297">
        <v>388</v>
      </c>
      <c r="E4297">
        <v>160</v>
      </c>
      <c r="F4297" s="366">
        <f t="shared" si="554"/>
        <v>3472</v>
      </c>
      <c r="G4297" s="97">
        <v>3255</v>
      </c>
      <c r="H4297" s="367">
        <f t="shared" si="555"/>
        <v>6727</v>
      </c>
      <c r="I4297" s="368">
        <f t="shared" si="556"/>
        <v>0</v>
      </c>
      <c r="J4297">
        <v>12883</v>
      </c>
      <c r="K4297" s="367">
        <f t="shared" si="557"/>
        <v>9202.1428571428569</v>
      </c>
      <c r="L4297" s="607">
        <v>0.67</v>
      </c>
      <c r="M4297">
        <v>7.3999999999999995</v>
      </c>
      <c r="N4297" s="381">
        <v>27</v>
      </c>
      <c r="O4297">
        <v>5</v>
      </c>
      <c r="P4297" t="s">
        <v>515</v>
      </c>
      <c r="Q4297" s="97" t="str">
        <f t="shared" si="558"/>
        <v/>
      </c>
      <c r="R4297" t="str">
        <f t="shared" si="559"/>
        <v/>
      </c>
    </row>
    <row r="4298" spans="3:18">
      <c r="C4298" t="str">
        <f t="shared" si="553"/>
        <v/>
      </c>
      <c r="D4298">
        <v>389</v>
      </c>
      <c r="E4298">
        <v>160</v>
      </c>
      <c r="F4298" s="366">
        <f t="shared" si="554"/>
        <v>3472</v>
      </c>
      <c r="G4298" s="97">
        <v>3008</v>
      </c>
      <c r="H4298" s="367">
        <f t="shared" si="555"/>
        <v>6480</v>
      </c>
      <c r="I4298" s="368">
        <f t="shared" si="556"/>
        <v>0</v>
      </c>
      <c r="J4298">
        <v>11907</v>
      </c>
      <c r="K4298" s="367">
        <f t="shared" si="557"/>
        <v>8505</v>
      </c>
      <c r="L4298" s="607">
        <v>0.48</v>
      </c>
      <c r="M4298">
        <v>8.6999999999999993</v>
      </c>
      <c r="N4298" s="381">
        <v>27</v>
      </c>
      <c r="O4298">
        <v>6</v>
      </c>
      <c r="P4298" t="s">
        <v>515</v>
      </c>
      <c r="Q4298" s="97">
        <f t="shared" si="558"/>
        <v>389</v>
      </c>
      <c r="R4298" t="str">
        <f t="shared" si="559"/>
        <v/>
      </c>
    </row>
    <row r="4299" spans="3:18">
      <c r="C4299" t="str">
        <f t="shared" si="553"/>
        <v>NL</v>
      </c>
      <c r="D4299">
        <v>390</v>
      </c>
      <c r="E4299">
        <v>160</v>
      </c>
      <c r="F4299" s="366">
        <f t="shared" si="554"/>
        <v>3472</v>
      </c>
      <c r="G4299" s="97">
        <v>3961</v>
      </c>
      <c r="H4299" s="367">
        <f t="shared" si="555"/>
        <v>7433</v>
      </c>
      <c r="I4299" s="368">
        <f t="shared" si="556"/>
        <v>0</v>
      </c>
      <c r="J4299">
        <v>15678</v>
      </c>
      <c r="K4299" s="367">
        <f t="shared" si="557"/>
        <v>11198.571428571429</v>
      </c>
      <c r="L4299" s="607">
        <v>0.36</v>
      </c>
      <c r="M4299">
        <v>1.3</v>
      </c>
      <c r="N4299" s="381">
        <v>26</v>
      </c>
      <c r="O4299">
        <v>7</v>
      </c>
      <c r="P4299" t="s">
        <v>515</v>
      </c>
      <c r="Q4299" s="97" t="str">
        <f t="shared" si="558"/>
        <v/>
      </c>
      <c r="R4299" t="str">
        <f t="shared" si="559"/>
        <v/>
      </c>
    </row>
    <row r="4300" spans="3:18">
      <c r="C4300" t="str">
        <f t="shared" si="553"/>
        <v>NL</v>
      </c>
      <c r="D4300">
        <v>391</v>
      </c>
      <c r="E4300">
        <v>160</v>
      </c>
      <c r="F4300" s="366">
        <f t="shared" si="554"/>
        <v>3472</v>
      </c>
      <c r="G4300" s="97">
        <v>5370</v>
      </c>
      <c r="H4300" s="367">
        <f t="shared" si="555"/>
        <v>8842</v>
      </c>
      <c r="I4300" s="368">
        <f t="shared" si="556"/>
        <v>0</v>
      </c>
      <c r="J4300">
        <v>21253</v>
      </c>
      <c r="K4300" s="367">
        <f t="shared" si="557"/>
        <v>15180.714285714286</v>
      </c>
      <c r="L4300" s="607">
        <v>1.1100000000000001</v>
      </c>
      <c r="M4300">
        <v>1.3</v>
      </c>
      <c r="N4300" s="381">
        <v>31</v>
      </c>
      <c r="O4300">
        <v>7</v>
      </c>
      <c r="P4300" t="s">
        <v>514</v>
      </c>
      <c r="Q4300" s="97" t="str">
        <f t="shared" si="558"/>
        <v/>
      </c>
      <c r="R4300" t="str">
        <f t="shared" si="559"/>
        <v/>
      </c>
    </row>
    <row r="4301" spans="3:18">
      <c r="C4301" t="str">
        <f t="shared" si="553"/>
        <v/>
      </c>
      <c r="D4301">
        <v>392</v>
      </c>
      <c r="E4301">
        <v>160</v>
      </c>
      <c r="F4301" s="366">
        <f t="shared" si="554"/>
        <v>3472</v>
      </c>
      <c r="G4301" s="97">
        <v>3203</v>
      </c>
      <c r="H4301" s="367">
        <f t="shared" si="555"/>
        <v>6675</v>
      </c>
      <c r="I4301" s="368">
        <f t="shared" si="556"/>
        <v>0</v>
      </c>
      <c r="J4301">
        <v>12677</v>
      </c>
      <c r="K4301" s="367">
        <f t="shared" si="557"/>
        <v>9055</v>
      </c>
      <c r="L4301" s="607">
        <v>0.29000000000000004</v>
      </c>
      <c r="M4301">
        <v>2.8000000000000003</v>
      </c>
      <c r="N4301" s="381">
        <v>26</v>
      </c>
      <c r="O4301">
        <v>8</v>
      </c>
      <c r="P4301" t="s">
        <v>515</v>
      </c>
      <c r="Q4301" s="97">
        <f t="shared" si="558"/>
        <v>392</v>
      </c>
      <c r="R4301" t="str">
        <f t="shared" si="559"/>
        <v/>
      </c>
    </row>
    <row r="4302" spans="3:18">
      <c r="C4302" t="str">
        <f t="shared" si="553"/>
        <v/>
      </c>
      <c r="D4302">
        <v>393</v>
      </c>
      <c r="E4302">
        <v>160</v>
      </c>
      <c r="F4302" s="366">
        <f t="shared" si="554"/>
        <v>3472</v>
      </c>
      <c r="G4302" s="97">
        <v>4707</v>
      </c>
      <c r="H4302" s="367">
        <f t="shared" si="555"/>
        <v>8179</v>
      </c>
      <c r="I4302" s="368">
        <f t="shared" si="556"/>
        <v>0</v>
      </c>
      <c r="J4302">
        <v>18627</v>
      </c>
      <c r="K4302" s="367">
        <f t="shared" si="557"/>
        <v>13305</v>
      </c>
      <c r="L4302" s="607">
        <v>0.88</v>
      </c>
      <c r="M4302">
        <v>2.8000000000000003</v>
      </c>
      <c r="N4302" s="381">
        <v>31</v>
      </c>
      <c r="O4302">
        <v>8</v>
      </c>
      <c r="P4302" t="s">
        <v>514</v>
      </c>
      <c r="Q4302" s="97" t="str">
        <f t="shared" si="558"/>
        <v/>
      </c>
      <c r="R4302" t="str">
        <f t="shared" si="559"/>
        <v/>
      </c>
    </row>
    <row r="4303" spans="3:18">
      <c r="C4303" t="str">
        <f t="shared" si="553"/>
        <v>NL</v>
      </c>
      <c r="D4303">
        <v>394</v>
      </c>
      <c r="E4303">
        <v>160</v>
      </c>
      <c r="F4303" s="366">
        <f t="shared" si="554"/>
        <v>3472</v>
      </c>
      <c r="G4303" s="97">
        <v>4202</v>
      </c>
      <c r="H4303" s="367">
        <f t="shared" si="555"/>
        <v>7674</v>
      </c>
      <c r="I4303" s="368">
        <f t="shared" si="556"/>
        <v>0</v>
      </c>
      <c r="J4303">
        <v>16628</v>
      </c>
      <c r="K4303" s="367">
        <f t="shared" si="557"/>
        <v>11877.142857142857</v>
      </c>
      <c r="L4303" s="607">
        <v>0.24000000000000002</v>
      </c>
      <c r="M4303">
        <v>1.7000000000000002</v>
      </c>
      <c r="N4303" s="381">
        <v>27</v>
      </c>
      <c r="O4303">
        <v>9</v>
      </c>
      <c r="P4303" t="s">
        <v>515</v>
      </c>
      <c r="Q4303" s="97" t="str">
        <f t="shared" si="558"/>
        <v/>
      </c>
      <c r="R4303" t="str">
        <f t="shared" si="559"/>
        <v/>
      </c>
    </row>
    <row r="4304" spans="3:18">
      <c r="C4304" t="str">
        <f t="shared" si="553"/>
        <v>NL</v>
      </c>
      <c r="D4304">
        <v>395</v>
      </c>
      <c r="E4304">
        <v>160</v>
      </c>
      <c r="F4304" s="366">
        <f t="shared" si="554"/>
        <v>3472</v>
      </c>
      <c r="G4304" s="97">
        <v>6373</v>
      </c>
      <c r="H4304" s="367">
        <f t="shared" si="555"/>
        <v>9845</v>
      </c>
      <c r="I4304" s="368">
        <f t="shared" si="556"/>
        <v>0</v>
      </c>
      <c r="J4304">
        <v>25223</v>
      </c>
      <c r="K4304" s="367">
        <f t="shared" si="557"/>
        <v>18016.428571428572</v>
      </c>
      <c r="L4304" s="607">
        <v>0.72</v>
      </c>
      <c r="M4304">
        <v>1.7000000000000002</v>
      </c>
      <c r="N4304" s="381">
        <v>31</v>
      </c>
      <c r="O4304">
        <v>9</v>
      </c>
      <c r="P4304" t="s">
        <v>514</v>
      </c>
      <c r="Q4304" s="97" t="str">
        <f t="shared" si="558"/>
        <v/>
      </c>
      <c r="R4304" t="str">
        <f t="shared" si="559"/>
        <v/>
      </c>
    </row>
    <row r="4305" spans="3:18">
      <c r="C4305" t="str">
        <f t="shared" si="553"/>
        <v/>
      </c>
      <c r="D4305">
        <v>396</v>
      </c>
      <c r="E4305">
        <v>160</v>
      </c>
      <c r="F4305" s="366">
        <f t="shared" si="554"/>
        <v>3472</v>
      </c>
      <c r="G4305" s="97">
        <v>4293</v>
      </c>
      <c r="H4305" s="367">
        <f t="shared" si="555"/>
        <v>7765</v>
      </c>
      <c r="I4305" s="368">
        <f t="shared" si="556"/>
        <v>0</v>
      </c>
      <c r="J4305">
        <v>16988</v>
      </c>
      <c r="K4305" s="367">
        <f t="shared" si="557"/>
        <v>12134.285714285714</v>
      </c>
      <c r="L4305" s="607">
        <v>0.21000000000000002</v>
      </c>
      <c r="M4305">
        <v>3.7</v>
      </c>
      <c r="N4305" s="381">
        <v>27</v>
      </c>
      <c r="O4305">
        <v>10</v>
      </c>
      <c r="P4305" t="s">
        <v>515</v>
      </c>
      <c r="Q4305" s="97" t="str">
        <f t="shared" si="558"/>
        <v/>
      </c>
      <c r="R4305" t="str">
        <f t="shared" si="559"/>
        <v/>
      </c>
    </row>
    <row r="4306" spans="3:18">
      <c r="C4306" t="str">
        <f t="shared" si="553"/>
        <v/>
      </c>
      <c r="D4306">
        <v>397</v>
      </c>
      <c r="E4306">
        <v>160</v>
      </c>
      <c r="F4306" s="366">
        <f t="shared" si="554"/>
        <v>3472</v>
      </c>
      <c r="G4306" s="97">
        <v>6761</v>
      </c>
      <c r="H4306" s="367">
        <f t="shared" si="555"/>
        <v>10233</v>
      </c>
      <c r="I4306" s="368">
        <f t="shared" si="556"/>
        <v>0</v>
      </c>
      <c r="J4306">
        <v>26758</v>
      </c>
      <c r="K4306" s="367">
        <f t="shared" si="557"/>
        <v>19112.857142857145</v>
      </c>
      <c r="L4306" s="607">
        <v>0.61</v>
      </c>
      <c r="M4306">
        <v>3.7</v>
      </c>
      <c r="N4306" s="381">
        <v>31</v>
      </c>
      <c r="O4306">
        <v>10</v>
      </c>
      <c r="P4306" t="s">
        <v>514</v>
      </c>
      <c r="Q4306" s="97" t="str">
        <f t="shared" si="558"/>
        <v/>
      </c>
      <c r="R4306" t="str">
        <f t="shared" si="559"/>
        <v/>
      </c>
    </row>
    <row r="4307" spans="3:18">
      <c r="C4307" t="str">
        <f t="shared" si="553"/>
        <v>NL</v>
      </c>
      <c r="D4307">
        <v>398</v>
      </c>
      <c r="E4307">
        <v>165</v>
      </c>
      <c r="F4307" s="366">
        <f t="shared" si="554"/>
        <v>3580.5</v>
      </c>
      <c r="G4307" s="97">
        <v>3326</v>
      </c>
      <c r="H4307" s="367">
        <f t="shared" si="555"/>
        <v>6906.5</v>
      </c>
      <c r="I4307" s="368">
        <f t="shared" si="556"/>
        <v>0</v>
      </c>
      <c r="J4307">
        <v>13164</v>
      </c>
      <c r="K4307" s="367">
        <f t="shared" si="557"/>
        <v>9402.8571428571431</v>
      </c>
      <c r="L4307" s="607">
        <v>0.71</v>
      </c>
      <c r="M4307">
        <v>7.3999999999999995</v>
      </c>
      <c r="N4307" s="381">
        <v>28</v>
      </c>
      <c r="O4307">
        <v>5</v>
      </c>
      <c r="P4307" t="s">
        <v>515</v>
      </c>
      <c r="Q4307" s="97" t="str">
        <f t="shared" si="558"/>
        <v/>
      </c>
      <c r="R4307" t="str">
        <f t="shared" si="559"/>
        <v/>
      </c>
    </row>
    <row r="4308" spans="3:18">
      <c r="C4308" t="str">
        <f t="shared" si="553"/>
        <v/>
      </c>
      <c r="D4308">
        <v>399</v>
      </c>
      <c r="E4308">
        <v>165</v>
      </c>
      <c r="F4308" s="366">
        <f t="shared" si="554"/>
        <v>3580.5</v>
      </c>
      <c r="G4308" s="97">
        <v>3074</v>
      </c>
      <c r="H4308" s="367">
        <f t="shared" si="555"/>
        <v>6654.5</v>
      </c>
      <c r="I4308" s="368">
        <f t="shared" si="556"/>
        <v>0</v>
      </c>
      <c r="J4308">
        <v>12164</v>
      </c>
      <c r="K4308" s="367">
        <f t="shared" si="557"/>
        <v>8688.5714285714294</v>
      </c>
      <c r="L4308" s="607">
        <v>0.5</v>
      </c>
      <c r="M4308">
        <v>8.6999999999999993</v>
      </c>
      <c r="N4308" s="381">
        <v>27</v>
      </c>
      <c r="O4308">
        <v>6</v>
      </c>
      <c r="P4308" t="s">
        <v>515</v>
      </c>
      <c r="Q4308" s="97">
        <f t="shared" si="558"/>
        <v>399</v>
      </c>
      <c r="R4308" t="str">
        <f t="shared" si="559"/>
        <v/>
      </c>
    </row>
    <row r="4309" spans="3:18">
      <c r="C4309" t="str">
        <f t="shared" si="553"/>
        <v>NL</v>
      </c>
      <c r="D4309">
        <v>400</v>
      </c>
      <c r="E4309">
        <v>165</v>
      </c>
      <c r="F4309" s="366">
        <f t="shared" si="554"/>
        <v>3580.5</v>
      </c>
      <c r="G4309" s="97">
        <v>4050</v>
      </c>
      <c r="H4309" s="367">
        <f t="shared" si="555"/>
        <v>7630.5</v>
      </c>
      <c r="I4309" s="368">
        <f t="shared" si="556"/>
        <v>0</v>
      </c>
      <c r="J4309">
        <v>16028</v>
      </c>
      <c r="K4309" s="367">
        <f t="shared" si="557"/>
        <v>11448.571428571429</v>
      </c>
      <c r="L4309" s="607">
        <v>0.38</v>
      </c>
      <c r="M4309">
        <v>1.3</v>
      </c>
      <c r="N4309" s="381">
        <v>27</v>
      </c>
      <c r="O4309">
        <v>7</v>
      </c>
      <c r="P4309" t="s">
        <v>515</v>
      </c>
      <c r="Q4309" s="97" t="str">
        <f t="shared" si="558"/>
        <v/>
      </c>
      <c r="R4309" t="str">
        <f t="shared" si="559"/>
        <v/>
      </c>
    </row>
    <row r="4310" spans="3:18">
      <c r="C4310" t="str">
        <f t="shared" ref="C4310:C4373" si="560">IF(OR($O$4=0,O4310-$O$4=0),IF(AND(ISEVEN(O4310)=FALSE,$N$4="Even"),"NL",""),"NL")</f>
        <v>NL</v>
      </c>
      <c r="D4310">
        <v>401</v>
      </c>
      <c r="E4310">
        <v>165</v>
      </c>
      <c r="F4310" s="366">
        <f t="shared" si="554"/>
        <v>3580.5</v>
      </c>
      <c r="G4310" s="97">
        <v>5471</v>
      </c>
      <c r="H4310" s="367">
        <f t="shared" si="555"/>
        <v>9051.5</v>
      </c>
      <c r="I4310" s="368">
        <f t="shared" si="556"/>
        <v>0</v>
      </c>
      <c r="J4310">
        <v>21653</v>
      </c>
      <c r="K4310" s="367">
        <f t="shared" si="557"/>
        <v>15466.428571428572</v>
      </c>
      <c r="L4310" s="607">
        <v>1.18</v>
      </c>
      <c r="M4310">
        <v>1.3</v>
      </c>
      <c r="N4310" s="381">
        <v>32</v>
      </c>
      <c r="O4310">
        <v>7</v>
      </c>
      <c r="P4310" t="s">
        <v>514</v>
      </c>
      <c r="Q4310" s="97" t="str">
        <f t="shared" si="558"/>
        <v/>
      </c>
      <c r="R4310" t="str">
        <f t="shared" si="559"/>
        <v/>
      </c>
    </row>
    <row r="4311" spans="3:18">
      <c r="C4311" t="str">
        <f t="shared" si="560"/>
        <v/>
      </c>
      <c r="D4311">
        <v>402</v>
      </c>
      <c r="E4311">
        <v>165</v>
      </c>
      <c r="F4311" s="366">
        <f t="shared" si="554"/>
        <v>3580.5</v>
      </c>
      <c r="G4311" s="97">
        <v>3274</v>
      </c>
      <c r="H4311" s="367">
        <f t="shared" si="555"/>
        <v>6854.5</v>
      </c>
      <c r="I4311" s="368">
        <f t="shared" si="556"/>
        <v>0</v>
      </c>
      <c r="J4311">
        <v>12958</v>
      </c>
      <c r="K4311" s="367">
        <f t="shared" si="557"/>
        <v>9255.7142857142862</v>
      </c>
      <c r="L4311" s="607">
        <v>0.31</v>
      </c>
      <c r="M4311">
        <v>2.8000000000000003</v>
      </c>
      <c r="N4311" s="381">
        <v>27</v>
      </c>
      <c r="O4311">
        <v>8</v>
      </c>
      <c r="P4311" t="s">
        <v>515</v>
      </c>
      <c r="Q4311" s="97">
        <f t="shared" si="558"/>
        <v>402</v>
      </c>
      <c r="R4311" t="str">
        <f t="shared" si="559"/>
        <v/>
      </c>
    </row>
    <row r="4312" spans="3:18">
      <c r="C4312" t="str">
        <f t="shared" si="560"/>
        <v/>
      </c>
      <c r="D4312">
        <v>403</v>
      </c>
      <c r="E4312">
        <v>165</v>
      </c>
      <c r="F4312" s="366">
        <f t="shared" si="554"/>
        <v>3580.5</v>
      </c>
      <c r="G4312" s="97">
        <v>4804</v>
      </c>
      <c r="H4312" s="367">
        <f t="shared" si="555"/>
        <v>8384.5</v>
      </c>
      <c r="I4312" s="368">
        <f t="shared" si="556"/>
        <v>0</v>
      </c>
      <c r="J4312">
        <v>19013</v>
      </c>
      <c r="K4312" s="367">
        <f t="shared" si="557"/>
        <v>13580.714285714286</v>
      </c>
      <c r="L4312" s="607">
        <v>0.93</v>
      </c>
      <c r="M4312">
        <v>2.8000000000000003</v>
      </c>
      <c r="N4312" s="381">
        <v>32</v>
      </c>
      <c r="O4312">
        <v>8</v>
      </c>
      <c r="P4312" t="s">
        <v>514</v>
      </c>
      <c r="Q4312" s="97" t="str">
        <f t="shared" si="558"/>
        <v/>
      </c>
      <c r="R4312" t="str">
        <f t="shared" si="559"/>
        <v/>
      </c>
    </row>
    <row r="4313" spans="3:18">
      <c r="C4313" t="str">
        <f t="shared" si="560"/>
        <v>NL</v>
      </c>
      <c r="D4313">
        <v>404</v>
      </c>
      <c r="E4313">
        <v>165</v>
      </c>
      <c r="F4313" s="366">
        <f t="shared" si="554"/>
        <v>3580.5</v>
      </c>
      <c r="G4313" s="97">
        <v>4299</v>
      </c>
      <c r="H4313" s="367">
        <f t="shared" si="555"/>
        <v>7879.5</v>
      </c>
      <c r="I4313" s="368">
        <f t="shared" si="556"/>
        <v>0</v>
      </c>
      <c r="J4313">
        <v>17014</v>
      </c>
      <c r="K4313" s="367">
        <f t="shared" si="557"/>
        <v>12152.857142857143</v>
      </c>
      <c r="L4313" s="607">
        <v>0.25</v>
      </c>
      <c r="M4313">
        <v>1.7000000000000002</v>
      </c>
      <c r="N4313" s="381">
        <v>27</v>
      </c>
      <c r="O4313">
        <v>9</v>
      </c>
      <c r="P4313" t="s">
        <v>515</v>
      </c>
      <c r="Q4313" s="97" t="str">
        <f t="shared" si="558"/>
        <v/>
      </c>
      <c r="R4313" t="str">
        <f t="shared" si="559"/>
        <v/>
      </c>
    </row>
    <row r="4314" spans="3:18">
      <c r="C4314" t="str">
        <f t="shared" si="560"/>
        <v>NL</v>
      </c>
      <c r="D4314">
        <v>405</v>
      </c>
      <c r="E4314">
        <v>165</v>
      </c>
      <c r="F4314" s="366">
        <f t="shared" si="554"/>
        <v>3580.5</v>
      </c>
      <c r="G4314" s="97">
        <v>6500</v>
      </c>
      <c r="H4314" s="367">
        <f t="shared" si="555"/>
        <v>10080.5</v>
      </c>
      <c r="I4314" s="368">
        <f t="shared" si="556"/>
        <v>0</v>
      </c>
      <c r="J4314">
        <v>25725</v>
      </c>
      <c r="K4314" s="367">
        <f t="shared" si="557"/>
        <v>18375</v>
      </c>
      <c r="L4314" s="607">
        <v>0.77</v>
      </c>
      <c r="M4314">
        <v>1.7000000000000002</v>
      </c>
      <c r="N4314" s="381">
        <v>32</v>
      </c>
      <c r="O4314">
        <v>9</v>
      </c>
      <c r="P4314" t="s">
        <v>514</v>
      </c>
      <c r="Q4314" s="97" t="str">
        <f t="shared" si="558"/>
        <v/>
      </c>
      <c r="R4314" t="str">
        <f t="shared" si="559"/>
        <v/>
      </c>
    </row>
    <row r="4315" spans="3:18">
      <c r="C4315" t="str">
        <f t="shared" si="560"/>
        <v/>
      </c>
      <c r="D4315">
        <v>406</v>
      </c>
      <c r="E4315">
        <v>165</v>
      </c>
      <c r="F4315" s="366">
        <f t="shared" si="554"/>
        <v>3580.5</v>
      </c>
      <c r="G4315" s="97">
        <v>4389</v>
      </c>
      <c r="H4315" s="367">
        <f t="shared" si="555"/>
        <v>7969.5</v>
      </c>
      <c r="I4315" s="368">
        <f t="shared" si="556"/>
        <v>0</v>
      </c>
      <c r="J4315">
        <v>17368</v>
      </c>
      <c r="K4315" s="367">
        <f t="shared" si="557"/>
        <v>12405.714285714286</v>
      </c>
      <c r="L4315" s="607">
        <v>0.22</v>
      </c>
      <c r="M4315">
        <v>3.7</v>
      </c>
      <c r="N4315" s="381">
        <v>27</v>
      </c>
      <c r="O4315">
        <v>10</v>
      </c>
      <c r="P4315" t="s">
        <v>515</v>
      </c>
      <c r="Q4315" s="97" t="str">
        <f t="shared" si="558"/>
        <v/>
      </c>
      <c r="R4315" t="str">
        <f t="shared" si="559"/>
        <v/>
      </c>
    </row>
    <row r="4316" spans="3:18">
      <c r="C4316" t="str">
        <f t="shared" si="560"/>
        <v/>
      </c>
      <c r="D4316">
        <v>407</v>
      </c>
      <c r="E4316">
        <v>165</v>
      </c>
      <c r="F4316" s="366">
        <f t="shared" si="554"/>
        <v>3580.5</v>
      </c>
      <c r="G4316" s="97">
        <v>6893</v>
      </c>
      <c r="H4316" s="367">
        <f t="shared" si="555"/>
        <v>10473.5</v>
      </c>
      <c r="I4316" s="368">
        <f t="shared" si="556"/>
        <v>0</v>
      </c>
      <c r="J4316">
        <v>27278</v>
      </c>
      <c r="K4316" s="367">
        <f t="shared" si="557"/>
        <v>19484.285714285714</v>
      </c>
      <c r="L4316" s="607">
        <v>0.65</v>
      </c>
      <c r="M4316">
        <v>3.7</v>
      </c>
      <c r="N4316" s="381">
        <v>32</v>
      </c>
      <c r="O4316">
        <v>10</v>
      </c>
      <c r="P4316" t="s">
        <v>514</v>
      </c>
      <c r="Q4316" s="97" t="str">
        <f t="shared" si="558"/>
        <v/>
      </c>
      <c r="R4316" t="str">
        <f t="shared" si="559"/>
        <v/>
      </c>
    </row>
    <row r="4317" spans="3:18">
      <c r="C4317" t="str">
        <f t="shared" si="560"/>
        <v>NL</v>
      </c>
      <c r="D4317">
        <v>408</v>
      </c>
      <c r="E4317">
        <v>170</v>
      </c>
      <c r="F4317" s="366">
        <f t="shared" si="554"/>
        <v>3689</v>
      </c>
      <c r="G4317" s="97">
        <v>3397</v>
      </c>
      <c r="H4317" s="367">
        <f t="shared" si="555"/>
        <v>7086</v>
      </c>
      <c r="I4317" s="368">
        <f t="shared" si="556"/>
        <v>0</v>
      </c>
      <c r="J4317">
        <v>13445</v>
      </c>
      <c r="K4317" s="367">
        <f t="shared" si="557"/>
        <v>9603.5714285714294</v>
      </c>
      <c r="L4317" s="607">
        <v>0.75</v>
      </c>
      <c r="M4317">
        <v>7.3999999999999995</v>
      </c>
      <c r="N4317" s="381">
        <v>28</v>
      </c>
      <c r="O4317">
        <v>5</v>
      </c>
      <c r="P4317" t="s">
        <v>515</v>
      </c>
      <c r="Q4317" s="97" t="str">
        <f t="shared" si="558"/>
        <v/>
      </c>
      <c r="R4317" t="str">
        <f t="shared" si="559"/>
        <v/>
      </c>
    </row>
    <row r="4318" spans="3:18">
      <c r="C4318" t="str">
        <f t="shared" si="560"/>
        <v/>
      </c>
      <c r="D4318">
        <v>409</v>
      </c>
      <c r="E4318">
        <v>170</v>
      </c>
      <c r="F4318" s="366">
        <f t="shared" si="554"/>
        <v>3689</v>
      </c>
      <c r="G4318" s="97">
        <v>3138</v>
      </c>
      <c r="H4318" s="367">
        <f t="shared" si="555"/>
        <v>6827</v>
      </c>
      <c r="I4318" s="368">
        <f t="shared" si="556"/>
        <v>0</v>
      </c>
      <c r="J4318">
        <v>12420</v>
      </c>
      <c r="K4318" s="367">
        <f t="shared" si="557"/>
        <v>8871.4285714285725</v>
      </c>
      <c r="L4318" s="607">
        <v>0.54</v>
      </c>
      <c r="M4318">
        <v>8.6999999999999993</v>
      </c>
      <c r="N4318" s="381">
        <v>28</v>
      </c>
      <c r="O4318">
        <v>6</v>
      </c>
      <c r="P4318" t="s">
        <v>515</v>
      </c>
      <c r="Q4318" s="97">
        <f t="shared" si="558"/>
        <v>409</v>
      </c>
      <c r="R4318" t="str">
        <f t="shared" si="559"/>
        <v/>
      </c>
    </row>
    <row r="4319" spans="3:18">
      <c r="C4319" t="str">
        <f t="shared" si="560"/>
        <v>NL</v>
      </c>
      <c r="D4319">
        <v>410</v>
      </c>
      <c r="E4319">
        <v>170</v>
      </c>
      <c r="F4319" s="366">
        <f t="shared" si="554"/>
        <v>3689</v>
      </c>
      <c r="G4319" s="97">
        <v>4138</v>
      </c>
      <c r="H4319" s="367">
        <f t="shared" si="555"/>
        <v>7827</v>
      </c>
      <c r="I4319" s="368">
        <f t="shared" si="556"/>
        <v>0</v>
      </c>
      <c r="J4319">
        <v>16378</v>
      </c>
      <c r="K4319" s="367">
        <f t="shared" si="557"/>
        <v>11698.571428571429</v>
      </c>
      <c r="L4319" s="607">
        <v>0.41000000000000003</v>
      </c>
      <c r="M4319">
        <v>1.3</v>
      </c>
      <c r="N4319" s="381">
        <v>27</v>
      </c>
      <c r="O4319">
        <v>7</v>
      </c>
      <c r="P4319" t="s">
        <v>515</v>
      </c>
      <c r="Q4319" s="97" t="str">
        <f t="shared" si="558"/>
        <v/>
      </c>
      <c r="R4319" t="str">
        <f t="shared" si="559"/>
        <v/>
      </c>
    </row>
    <row r="4320" spans="3:18">
      <c r="C4320" t="str">
        <f t="shared" si="560"/>
        <v/>
      </c>
      <c r="D4320">
        <v>411</v>
      </c>
      <c r="E4320">
        <v>170</v>
      </c>
      <c r="F4320" s="366">
        <f t="shared" si="554"/>
        <v>3689</v>
      </c>
      <c r="G4320" s="97">
        <v>3345</v>
      </c>
      <c r="H4320" s="367">
        <f t="shared" si="555"/>
        <v>7034</v>
      </c>
      <c r="I4320" s="368">
        <f t="shared" si="556"/>
        <v>0</v>
      </c>
      <c r="J4320">
        <v>13239</v>
      </c>
      <c r="K4320" s="367">
        <f t="shared" si="557"/>
        <v>9456.4285714285725</v>
      </c>
      <c r="L4320" s="607">
        <v>0.33</v>
      </c>
      <c r="M4320">
        <v>2.8000000000000003</v>
      </c>
      <c r="N4320" s="381">
        <v>27</v>
      </c>
      <c r="O4320">
        <v>8</v>
      </c>
      <c r="P4320" t="s">
        <v>515</v>
      </c>
      <c r="Q4320" s="97">
        <f t="shared" si="558"/>
        <v>411</v>
      </c>
      <c r="R4320" t="str">
        <f t="shared" si="559"/>
        <v/>
      </c>
    </row>
    <row r="4321" spans="3:18">
      <c r="C4321" t="str">
        <f t="shared" si="560"/>
        <v/>
      </c>
      <c r="D4321">
        <v>412</v>
      </c>
      <c r="E4321">
        <v>170</v>
      </c>
      <c r="F4321" s="366">
        <f t="shared" si="554"/>
        <v>3689</v>
      </c>
      <c r="G4321" s="97">
        <v>4902</v>
      </c>
      <c r="H4321" s="367">
        <f t="shared" si="555"/>
        <v>8591</v>
      </c>
      <c r="I4321" s="368">
        <f t="shared" si="556"/>
        <v>0</v>
      </c>
      <c r="J4321">
        <v>19399</v>
      </c>
      <c r="K4321" s="367">
        <f t="shared" si="557"/>
        <v>13856.428571428572</v>
      </c>
      <c r="L4321" s="607">
        <v>0.99</v>
      </c>
      <c r="M4321">
        <v>2.8000000000000003</v>
      </c>
      <c r="N4321" s="381">
        <v>32</v>
      </c>
      <c r="O4321">
        <v>8</v>
      </c>
      <c r="P4321" t="s">
        <v>514</v>
      </c>
      <c r="Q4321" s="97" t="str">
        <f t="shared" si="558"/>
        <v/>
      </c>
      <c r="R4321" t="str">
        <f t="shared" si="559"/>
        <v/>
      </c>
    </row>
    <row r="4322" spans="3:18">
      <c r="C4322" t="str">
        <f t="shared" si="560"/>
        <v>NL</v>
      </c>
      <c r="D4322">
        <v>413</v>
      </c>
      <c r="E4322">
        <v>170</v>
      </c>
      <c r="F4322" s="366">
        <f t="shared" si="554"/>
        <v>3689</v>
      </c>
      <c r="G4322" s="97">
        <v>4397</v>
      </c>
      <c r="H4322" s="367">
        <f t="shared" si="555"/>
        <v>8086</v>
      </c>
      <c r="I4322" s="368">
        <f t="shared" si="556"/>
        <v>0</v>
      </c>
      <c r="J4322">
        <v>17400</v>
      </c>
      <c r="K4322" s="367">
        <f t="shared" si="557"/>
        <v>12428.571428571429</v>
      </c>
      <c r="L4322" s="607">
        <v>0.27</v>
      </c>
      <c r="M4322">
        <v>1.7000000000000002</v>
      </c>
      <c r="N4322" s="381">
        <v>27</v>
      </c>
      <c r="O4322">
        <v>9</v>
      </c>
      <c r="P4322" t="s">
        <v>515</v>
      </c>
      <c r="Q4322" s="97" t="str">
        <f t="shared" si="558"/>
        <v/>
      </c>
      <c r="R4322" t="str">
        <f t="shared" si="559"/>
        <v/>
      </c>
    </row>
    <row r="4323" spans="3:18">
      <c r="C4323" t="str">
        <f t="shared" si="560"/>
        <v>NL</v>
      </c>
      <c r="D4323">
        <v>414</v>
      </c>
      <c r="E4323">
        <v>170</v>
      </c>
      <c r="F4323" s="366">
        <f t="shared" si="554"/>
        <v>3689</v>
      </c>
      <c r="G4323" s="97">
        <v>6627</v>
      </c>
      <c r="H4323" s="367">
        <f t="shared" si="555"/>
        <v>10316</v>
      </c>
      <c r="I4323" s="368">
        <f t="shared" si="556"/>
        <v>0</v>
      </c>
      <c r="J4323">
        <v>26228</v>
      </c>
      <c r="K4323" s="367">
        <f t="shared" si="557"/>
        <v>18734.285714285714</v>
      </c>
      <c r="L4323" s="607">
        <v>0.82000000000000006</v>
      </c>
      <c r="M4323">
        <v>1.7000000000000002</v>
      </c>
      <c r="N4323" s="381">
        <v>32</v>
      </c>
      <c r="O4323">
        <v>9</v>
      </c>
      <c r="P4323" t="s">
        <v>514</v>
      </c>
      <c r="Q4323" s="97" t="str">
        <f t="shared" si="558"/>
        <v/>
      </c>
      <c r="R4323" t="str">
        <f t="shared" si="559"/>
        <v/>
      </c>
    </row>
    <row r="4324" spans="3:18">
      <c r="C4324" t="str">
        <f t="shared" si="560"/>
        <v/>
      </c>
      <c r="D4324">
        <v>415</v>
      </c>
      <c r="E4324">
        <v>170</v>
      </c>
      <c r="F4324" s="366">
        <f t="shared" si="554"/>
        <v>3689</v>
      </c>
      <c r="G4324" s="97">
        <v>4485</v>
      </c>
      <c r="H4324" s="367">
        <f t="shared" si="555"/>
        <v>8174</v>
      </c>
      <c r="I4324" s="368">
        <f t="shared" si="556"/>
        <v>0</v>
      </c>
      <c r="J4324">
        <v>17748</v>
      </c>
      <c r="K4324" s="367">
        <f t="shared" si="557"/>
        <v>12677.142857142857</v>
      </c>
      <c r="L4324" s="607">
        <v>0.23</v>
      </c>
      <c r="M4324">
        <v>3.7</v>
      </c>
      <c r="N4324" s="381">
        <v>28</v>
      </c>
      <c r="O4324">
        <v>10</v>
      </c>
      <c r="P4324" t="s">
        <v>515</v>
      </c>
      <c r="Q4324" s="97" t="str">
        <f t="shared" si="558"/>
        <v/>
      </c>
      <c r="R4324" t="str">
        <f t="shared" si="559"/>
        <v/>
      </c>
    </row>
    <row r="4325" spans="3:18">
      <c r="C4325" t="str">
        <f t="shared" si="560"/>
        <v/>
      </c>
      <c r="D4325">
        <v>416</v>
      </c>
      <c r="E4325">
        <v>170</v>
      </c>
      <c r="F4325" s="366">
        <f t="shared" si="554"/>
        <v>3689</v>
      </c>
      <c r="G4325" s="97">
        <v>7021</v>
      </c>
      <c r="H4325" s="367">
        <f t="shared" si="555"/>
        <v>10710</v>
      </c>
      <c r="I4325" s="368">
        <f t="shared" si="556"/>
        <v>0</v>
      </c>
      <c r="J4325">
        <v>27783</v>
      </c>
      <c r="K4325" s="367">
        <f t="shared" si="557"/>
        <v>19845</v>
      </c>
      <c r="L4325" s="607">
        <v>0.69000000000000006</v>
      </c>
      <c r="M4325">
        <v>3.7</v>
      </c>
      <c r="N4325" s="381">
        <v>32</v>
      </c>
      <c r="O4325">
        <v>10</v>
      </c>
      <c r="P4325" t="s">
        <v>514</v>
      </c>
      <c r="Q4325" s="97" t="str">
        <f t="shared" si="558"/>
        <v/>
      </c>
      <c r="R4325" t="str">
        <f t="shared" si="559"/>
        <v/>
      </c>
    </row>
    <row r="4326" spans="3:18">
      <c r="C4326" t="str">
        <f t="shared" si="560"/>
        <v>NL</v>
      </c>
      <c r="D4326">
        <v>417</v>
      </c>
      <c r="E4326">
        <v>175</v>
      </c>
      <c r="F4326" s="366">
        <f t="shared" si="554"/>
        <v>3797.5</v>
      </c>
      <c r="G4326" s="97">
        <v>3464</v>
      </c>
      <c r="H4326" s="367">
        <f t="shared" si="555"/>
        <v>7261.5</v>
      </c>
      <c r="I4326" s="368">
        <f t="shared" si="556"/>
        <v>0</v>
      </c>
      <c r="J4326">
        <v>13711</v>
      </c>
      <c r="K4326" s="367">
        <f t="shared" si="557"/>
        <v>9793.5714285714294</v>
      </c>
      <c r="L4326" s="607">
        <v>0.8</v>
      </c>
      <c r="M4326">
        <v>7.3999999999999995</v>
      </c>
      <c r="N4326" s="381">
        <v>29</v>
      </c>
      <c r="O4326">
        <v>5</v>
      </c>
      <c r="P4326" t="s">
        <v>515</v>
      </c>
      <c r="Q4326" s="97" t="str">
        <f t="shared" si="558"/>
        <v/>
      </c>
      <c r="R4326" t="str">
        <f t="shared" si="559"/>
        <v/>
      </c>
    </row>
    <row r="4327" spans="3:18">
      <c r="C4327" t="str">
        <f t="shared" si="560"/>
        <v/>
      </c>
      <c r="D4327">
        <v>418</v>
      </c>
      <c r="E4327">
        <v>175</v>
      </c>
      <c r="F4327" s="366">
        <f t="shared" si="554"/>
        <v>3797.5</v>
      </c>
      <c r="G4327" s="97">
        <v>3203</v>
      </c>
      <c r="H4327" s="367">
        <f t="shared" si="555"/>
        <v>7000.5</v>
      </c>
      <c r="I4327" s="368">
        <f t="shared" si="556"/>
        <v>0</v>
      </c>
      <c r="J4327">
        <v>12675</v>
      </c>
      <c r="K4327" s="367">
        <f t="shared" si="557"/>
        <v>9053.5714285714294</v>
      </c>
      <c r="L4327" s="607">
        <v>0.57000000000000006</v>
      </c>
      <c r="M4327">
        <v>8.6999999999999993</v>
      </c>
      <c r="N4327" s="381">
        <v>28</v>
      </c>
      <c r="O4327">
        <v>6</v>
      </c>
      <c r="P4327" t="s">
        <v>515</v>
      </c>
      <c r="Q4327" s="97">
        <f t="shared" si="558"/>
        <v>418</v>
      </c>
      <c r="R4327" t="str">
        <f t="shared" si="559"/>
        <v/>
      </c>
    </row>
    <row r="4328" spans="3:18">
      <c r="C4328" t="str">
        <f t="shared" si="560"/>
        <v>NL</v>
      </c>
      <c r="D4328">
        <v>419</v>
      </c>
      <c r="E4328">
        <v>175</v>
      </c>
      <c r="F4328" s="366">
        <f t="shared" si="554"/>
        <v>3797.5</v>
      </c>
      <c r="G4328" s="97">
        <v>4225</v>
      </c>
      <c r="H4328" s="367">
        <f t="shared" si="555"/>
        <v>8022.5</v>
      </c>
      <c r="I4328" s="368">
        <f t="shared" si="556"/>
        <v>0</v>
      </c>
      <c r="J4328">
        <v>16722</v>
      </c>
      <c r="K4328" s="367">
        <f t="shared" si="557"/>
        <v>11944.285714285714</v>
      </c>
      <c r="L4328" s="607">
        <v>0.43</v>
      </c>
      <c r="M4328">
        <v>1.3</v>
      </c>
      <c r="N4328" s="381">
        <v>28</v>
      </c>
      <c r="O4328">
        <v>7</v>
      </c>
      <c r="P4328" t="s">
        <v>515</v>
      </c>
      <c r="Q4328" s="97" t="str">
        <f t="shared" si="558"/>
        <v/>
      </c>
      <c r="R4328" t="str">
        <f t="shared" si="559"/>
        <v/>
      </c>
    </row>
    <row r="4329" spans="3:18">
      <c r="C4329" t="str">
        <f t="shared" si="560"/>
        <v/>
      </c>
      <c r="D4329">
        <v>420</v>
      </c>
      <c r="E4329">
        <v>175</v>
      </c>
      <c r="F4329" s="366">
        <f t="shared" si="554"/>
        <v>3797.5</v>
      </c>
      <c r="G4329" s="97">
        <v>3416</v>
      </c>
      <c r="H4329" s="367">
        <f t="shared" si="555"/>
        <v>7213.5</v>
      </c>
      <c r="I4329" s="368">
        <f t="shared" si="556"/>
        <v>0</v>
      </c>
      <c r="J4329">
        <v>13519</v>
      </c>
      <c r="K4329" s="367">
        <f t="shared" si="557"/>
        <v>9656.4285714285725</v>
      </c>
      <c r="L4329" s="607">
        <v>0.35000000000000003</v>
      </c>
      <c r="M4329">
        <v>2.8000000000000003</v>
      </c>
      <c r="N4329" s="381">
        <v>28</v>
      </c>
      <c r="O4329">
        <v>8</v>
      </c>
      <c r="P4329" t="s">
        <v>515</v>
      </c>
      <c r="Q4329" s="97">
        <f t="shared" si="558"/>
        <v>420</v>
      </c>
      <c r="R4329" t="str">
        <f t="shared" si="559"/>
        <v/>
      </c>
    </row>
    <row r="4330" spans="3:18">
      <c r="C4330" t="str">
        <f t="shared" si="560"/>
        <v/>
      </c>
      <c r="D4330">
        <v>421</v>
      </c>
      <c r="E4330">
        <v>175</v>
      </c>
      <c r="F4330" s="366">
        <f t="shared" si="554"/>
        <v>3797.5</v>
      </c>
      <c r="G4330" s="97">
        <v>4999</v>
      </c>
      <c r="H4330" s="367">
        <f t="shared" si="555"/>
        <v>8796.5</v>
      </c>
      <c r="I4330" s="368">
        <f t="shared" si="556"/>
        <v>0</v>
      </c>
      <c r="J4330">
        <v>19785</v>
      </c>
      <c r="K4330" s="367">
        <f t="shared" si="557"/>
        <v>14132.142857142857</v>
      </c>
      <c r="L4330" s="607">
        <v>1.05</v>
      </c>
      <c r="M4330">
        <v>2.8000000000000003</v>
      </c>
      <c r="N4330" s="381">
        <v>32</v>
      </c>
      <c r="O4330">
        <v>8</v>
      </c>
      <c r="P4330" t="s">
        <v>514</v>
      </c>
      <c r="Q4330" s="97" t="str">
        <f t="shared" si="558"/>
        <v/>
      </c>
      <c r="R4330" t="str">
        <f t="shared" si="559"/>
        <v/>
      </c>
    </row>
    <row r="4331" spans="3:18">
      <c r="C4331" t="str">
        <f t="shared" si="560"/>
        <v>NL</v>
      </c>
      <c r="D4331">
        <v>422</v>
      </c>
      <c r="E4331">
        <v>175</v>
      </c>
      <c r="F4331" s="366">
        <f t="shared" si="554"/>
        <v>3797.5</v>
      </c>
      <c r="G4331" s="97">
        <v>4494</v>
      </c>
      <c r="H4331" s="367">
        <f t="shared" si="555"/>
        <v>8291.5</v>
      </c>
      <c r="I4331" s="368">
        <f t="shared" si="556"/>
        <v>0</v>
      </c>
      <c r="J4331">
        <v>17786</v>
      </c>
      <c r="K4331" s="367">
        <f t="shared" si="557"/>
        <v>12704.285714285714</v>
      </c>
      <c r="L4331" s="607">
        <v>0.29000000000000004</v>
      </c>
      <c r="M4331">
        <v>1.7000000000000002</v>
      </c>
      <c r="N4331" s="381">
        <v>28</v>
      </c>
      <c r="O4331">
        <v>9</v>
      </c>
      <c r="P4331" t="s">
        <v>515</v>
      </c>
      <c r="Q4331" s="97" t="str">
        <f t="shared" si="558"/>
        <v/>
      </c>
      <c r="R4331" t="str">
        <f t="shared" si="559"/>
        <v/>
      </c>
    </row>
    <row r="4332" spans="3:18">
      <c r="C4332" t="str">
        <f t="shared" si="560"/>
        <v>NL</v>
      </c>
      <c r="D4332">
        <v>423</v>
      </c>
      <c r="E4332">
        <v>175</v>
      </c>
      <c r="F4332" s="366">
        <f t="shared" si="554"/>
        <v>3797.5</v>
      </c>
      <c r="G4332" s="97">
        <v>6744</v>
      </c>
      <c r="H4332" s="367">
        <f t="shared" si="555"/>
        <v>10541.5</v>
      </c>
      <c r="I4332" s="368">
        <f t="shared" si="556"/>
        <v>0</v>
      </c>
      <c r="J4332">
        <v>26690</v>
      </c>
      <c r="K4332" s="367">
        <f t="shared" si="557"/>
        <v>19064.285714285714</v>
      </c>
      <c r="L4332" s="607">
        <v>0.87</v>
      </c>
      <c r="M4332">
        <v>1.7000000000000002</v>
      </c>
      <c r="N4332" s="381">
        <v>32</v>
      </c>
      <c r="O4332">
        <v>9</v>
      </c>
      <c r="P4332" t="s">
        <v>514</v>
      </c>
      <c r="Q4332" s="97" t="str">
        <f t="shared" si="558"/>
        <v/>
      </c>
      <c r="R4332" t="str">
        <f t="shared" si="559"/>
        <v/>
      </c>
    </row>
    <row r="4333" spans="3:18">
      <c r="C4333" t="str">
        <f t="shared" si="560"/>
        <v/>
      </c>
      <c r="D4333">
        <v>424</v>
      </c>
      <c r="E4333">
        <v>175</v>
      </c>
      <c r="F4333" s="366">
        <f t="shared" si="554"/>
        <v>3797.5</v>
      </c>
      <c r="G4333" s="97">
        <v>4581</v>
      </c>
      <c r="H4333" s="367">
        <f t="shared" si="555"/>
        <v>8378.5</v>
      </c>
      <c r="I4333" s="368">
        <f t="shared" si="556"/>
        <v>0</v>
      </c>
      <c r="J4333">
        <v>18128</v>
      </c>
      <c r="K4333" s="367">
        <f t="shared" si="557"/>
        <v>12948.571428571429</v>
      </c>
      <c r="L4333" s="607">
        <v>0.24000000000000002</v>
      </c>
      <c r="M4333">
        <v>3.7</v>
      </c>
      <c r="N4333" s="381">
        <v>28</v>
      </c>
      <c r="O4333">
        <v>10</v>
      </c>
      <c r="P4333" t="s">
        <v>515</v>
      </c>
      <c r="Q4333" s="97" t="str">
        <f t="shared" si="558"/>
        <v/>
      </c>
      <c r="R4333" t="str">
        <f t="shared" si="559"/>
        <v/>
      </c>
    </row>
    <row r="4334" spans="3:18">
      <c r="C4334" t="str">
        <f t="shared" si="560"/>
        <v/>
      </c>
      <c r="D4334">
        <v>425</v>
      </c>
      <c r="E4334">
        <v>175</v>
      </c>
      <c r="F4334" s="366">
        <f t="shared" si="554"/>
        <v>3797.5</v>
      </c>
      <c r="G4334" s="97">
        <v>7148</v>
      </c>
      <c r="H4334" s="367">
        <f t="shared" si="555"/>
        <v>10945.5</v>
      </c>
      <c r="I4334" s="368">
        <f t="shared" si="556"/>
        <v>0</v>
      </c>
      <c r="J4334">
        <v>28288</v>
      </c>
      <c r="K4334" s="367">
        <f t="shared" si="557"/>
        <v>20205.714285714286</v>
      </c>
      <c r="L4334" s="607">
        <v>0.73</v>
      </c>
      <c r="M4334">
        <v>3.7</v>
      </c>
      <c r="N4334" s="381">
        <v>33</v>
      </c>
      <c r="O4334">
        <v>10</v>
      </c>
      <c r="P4334" t="s">
        <v>514</v>
      </c>
      <c r="Q4334" s="97" t="str">
        <f t="shared" si="558"/>
        <v/>
      </c>
      <c r="R4334" t="str">
        <f t="shared" si="559"/>
        <v/>
      </c>
    </row>
    <row r="4335" spans="3:18">
      <c r="C4335" t="str">
        <f t="shared" si="560"/>
        <v>NL</v>
      </c>
      <c r="D4335">
        <v>426</v>
      </c>
      <c r="E4335">
        <v>180</v>
      </c>
      <c r="F4335" s="366">
        <f t="shared" si="554"/>
        <v>3906</v>
      </c>
      <c r="G4335" s="97">
        <v>3529</v>
      </c>
      <c r="H4335" s="367">
        <f t="shared" si="555"/>
        <v>7435</v>
      </c>
      <c r="I4335" s="368">
        <f t="shared" si="556"/>
        <v>0</v>
      </c>
      <c r="J4335">
        <v>13966</v>
      </c>
      <c r="K4335" s="367">
        <f t="shared" si="557"/>
        <v>9975.7142857142862</v>
      </c>
      <c r="L4335" s="607">
        <v>0.85</v>
      </c>
      <c r="M4335">
        <v>7.3999999999999995</v>
      </c>
      <c r="N4335" s="381">
        <v>29</v>
      </c>
      <c r="O4335">
        <v>5</v>
      </c>
      <c r="P4335" t="s">
        <v>515</v>
      </c>
      <c r="Q4335" s="97" t="str">
        <f t="shared" si="558"/>
        <v/>
      </c>
      <c r="R4335" t="str">
        <f t="shared" si="559"/>
        <v/>
      </c>
    </row>
    <row r="4336" spans="3:18">
      <c r="C4336" t="str">
        <f t="shared" si="560"/>
        <v/>
      </c>
      <c r="D4336">
        <v>427</v>
      </c>
      <c r="E4336">
        <v>180</v>
      </c>
      <c r="F4336" s="366">
        <f t="shared" si="554"/>
        <v>3906</v>
      </c>
      <c r="G4336" s="97">
        <v>3267</v>
      </c>
      <c r="H4336" s="367">
        <f t="shared" si="555"/>
        <v>7173</v>
      </c>
      <c r="I4336" s="368">
        <f t="shared" si="556"/>
        <v>0</v>
      </c>
      <c r="J4336">
        <v>12931</v>
      </c>
      <c r="K4336" s="367">
        <f t="shared" si="557"/>
        <v>9236.4285714285725</v>
      </c>
      <c r="L4336" s="607">
        <v>0.6</v>
      </c>
      <c r="M4336">
        <v>8.6999999999999993</v>
      </c>
      <c r="N4336" s="381">
        <v>28</v>
      </c>
      <c r="O4336">
        <v>6</v>
      </c>
      <c r="P4336" t="s">
        <v>515</v>
      </c>
      <c r="Q4336" s="97">
        <f t="shared" si="558"/>
        <v>427</v>
      </c>
      <c r="R4336" t="str">
        <f t="shared" si="559"/>
        <v/>
      </c>
    </row>
    <row r="4337" spans="3:18">
      <c r="C4337" t="str">
        <f t="shared" si="560"/>
        <v>NL</v>
      </c>
      <c r="D4337">
        <v>428</v>
      </c>
      <c r="E4337">
        <v>180</v>
      </c>
      <c r="F4337" s="366">
        <f t="shared" si="554"/>
        <v>3906</v>
      </c>
      <c r="G4337" s="97">
        <v>4304</v>
      </c>
      <c r="H4337" s="367">
        <f t="shared" si="555"/>
        <v>8210</v>
      </c>
      <c r="I4337" s="368">
        <f t="shared" si="556"/>
        <v>0</v>
      </c>
      <c r="J4337">
        <v>17035</v>
      </c>
      <c r="K4337" s="367">
        <f t="shared" si="557"/>
        <v>12167.857142857143</v>
      </c>
      <c r="L4337" s="607">
        <v>0.46</v>
      </c>
      <c r="M4337">
        <v>1.3</v>
      </c>
      <c r="N4337" s="381">
        <v>28</v>
      </c>
      <c r="O4337">
        <v>7</v>
      </c>
      <c r="P4337" t="s">
        <v>515</v>
      </c>
      <c r="Q4337" s="97" t="str">
        <f t="shared" si="558"/>
        <v/>
      </c>
      <c r="R4337" t="str">
        <f t="shared" si="559"/>
        <v/>
      </c>
    </row>
    <row r="4338" spans="3:18">
      <c r="C4338" t="str">
        <f t="shared" si="560"/>
        <v/>
      </c>
      <c r="D4338">
        <v>429</v>
      </c>
      <c r="E4338">
        <v>180</v>
      </c>
      <c r="F4338" s="366">
        <f t="shared" si="554"/>
        <v>3906</v>
      </c>
      <c r="G4338" s="97">
        <v>3487</v>
      </c>
      <c r="H4338" s="367">
        <f t="shared" si="555"/>
        <v>7393</v>
      </c>
      <c r="I4338" s="368">
        <f t="shared" si="556"/>
        <v>0</v>
      </c>
      <c r="J4338">
        <v>13800</v>
      </c>
      <c r="K4338" s="367">
        <f t="shared" si="557"/>
        <v>9857.1428571428569</v>
      </c>
      <c r="L4338" s="607">
        <v>0.36</v>
      </c>
      <c r="M4338">
        <v>2.8000000000000003</v>
      </c>
      <c r="N4338" s="381">
        <v>28</v>
      </c>
      <c r="O4338">
        <v>8</v>
      </c>
      <c r="P4338" t="s">
        <v>515</v>
      </c>
      <c r="Q4338" s="97">
        <f t="shared" si="558"/>
        <v>429</v>
      </c>
      <c r="R4338" t="str">
        <f t="shared" si="559"/>
        <v/>
      </c>
    </row>
    <row r="4339" spans="3:18">
      <c r="C4339" t="str">
        <f t="shared" si="560"/>
        <v/>
      </c>
      <c r="D4339">
        <v>430</v>
      </c>
      <c r="E4339">
        <v>180</v>
      </c>
      <c r="F4339" s="366">
        <f t="shared" si="554"/>
        <v>3906</v>
      </c>
      <c r="G4339" s="97">
        <v>5097</v>
      </c>
      <c r="H4339" s="367">
        <f t="shared" si="555"/>
        <v>9003</v>
      </c>
      <c r="I4339" s="368">
        <f t="shared" si="556"/>
        <v>0</v>
      </c>
      <c r="J4339">
        <v>20170</v>
      </c>
      <c r="K4339" s="367">
        <f t="shared" si="557"/>
        <v>14407.142857142857</v>
      </c>
      <c r="L4339" s="607">
        <v>1.1100000000000001</v>
      </c>
      <c r="M4339">
        <v>2.8000000000000003</v>
      </c>
      <c r="N4339" s="381">
        <v>33</v>
      </c>
      <c r="O4339">
        <v>8</v>
      </c>
      <c r="P4339" t="s">
        <v>514</v>
      </c>
      <c r="Q4339" s="97" t="str">
        <f t="shared" si="558"/>
        <v/>
      </c>
      <c r="R4339" t="str">
        <f t="shared" si="559"/>
        <v/>
      </c>
    </row>
    <row r="4340" spans="3:18">
      <c r="C4340" t="str">
        <f t="shared" si="560"/>
        <v>NL</v>
      </c>
      <c r="D4340">
        <v>431</v>
      </c>
      <c r="E4340">
        <v>180</v>
      </c>
      <c r="F4340" s="366">
        <f t="shared" si="554"/>
        <v>3906</v>
      </c>
      <c r="G4340" s="97">
        <v>4584</v>
      </c>
      <c r="H4340" s="367">
        <f t="shared" si="555"/>
        <v>8490</v>
      </c>
      <c r="I4340" s="368">
        <f t="shared" si="556"/>
        <v>0</v>
      </c>
      <c r="J4340">
        <v>18142</v>
      </c>
      <c r="K4340" s="367">
        <f t="shared" si="557"/>
        <v>12958.571428571429</v>
      </c>
      <c r="L4340" s="607">
        <v>0.3</v>
      </c>
      <c r="M4340">
        <v>1.7000000000000002</v>
      </c>
      <c r="N4340" s="381">
        <v>28</v>
      </c>
      <c r="O4340">
        <v>9</v>
      </c>
      <c r="P4340" t="s">
        <v>515</v>
      </c>
      <c r="Q4340" s="97" t="str">
        <f t="shared" si="558"/>
        <v/>
      </c>
      <c r="R4340" t="str">
        <f t="shared" si="559"/>
        <v/>
      </c>
    </row>
    <row r="4341" spans="3:18">
      <c r="C4341" t="str">
        <f t="shared" si="560"/>
        <v>NL</v>
      </c>
      <c r="D4341">
        <v>432</v>
      </c>
      <c r="E4341">
        <v>180</v>
      </c>
      <c r="F4341" s="366">
        <f t="shared" si="554"/>
        <v>3906</v>
      </c>
      <c r="G4341" s="97">
        <v>6860</v>
      </c>
      <c r="H4341" s="367">
        <f t="shared" si="555"/>
        <v>10766</v>
      </c>
      <c r="I4341" s="368">
        <f t="shared" si="556"/>
        <v>0</v>
      </c>
      <c r="J4341">
        <v>27148</v>
      </c>
      <c r="K4341" s="367">
        <f t="shared" si="557"/>
        <v>19391.428571428572</v>
      </c>
      <c r="L4341" s="607">
        <v>0.92</v>
      </c>
      <c r="M4341">
        <v>1.7000000000000002</v>
      </c>
      <c r="N4341" s="381">
        <v>33</v>
      </c>
      <c r="O4341">
        <v>9</v>
      </c>
      <c r="P4341" t="s">
        <v>514</v>
      </c>
      <c r="Q4341" s="97" t="str">
        <f t="shared" si="558"/>
        <v/>
      </c>
      <c r="R4341" t="str">
        <f t="shared" si="559"/>
        <v/>
      </c>
    </row>
    <row r="4342" spans="3:18">
      <c r="C4342" t="str">
        <f t="shared" si="560"/>
        <v/>
      </c>
      <c r="D4342">
        <v>433</v>
      </c>
      <c r="E4342">
        <v>180</v>
      </c>
      <c r="F4342" s="366">
        <f t="shared" si="554"/>
        <v>3906</v>
      </c>
      <c r="G4342" s="97">
        <v>4677</v>
      </c>
      <c r="H4342" s="367">
        <f t="shared" si="555"/>
        <v>8583</v>
      </c>
      <c r="I4342" s="368">
        <f t="shared" si="556"/>
        <v>0</v>
      </c>
      <c r="J4342">
        <v>18508</v>
      </c>
      <c r="K4342" s="367">
        <f t="shared" si="557"/>
        <v>13220</v>
      </c>
      <c r="L4342" s="607">
        <v>0.26</v>
      </c>
      <c r="M4342">
        <v>3.7</v>
      </c>
      <c r="N4342" s="381">
        <v>28</v>
      </c>
      <c r="O4342">
        <v>10</v>
      </c>
      <c r="P4342" t="s">
        <v>515</v>
      </c>
      <c r="Q4342" s="97" t="str">
        <f t="shared" si="558"/>
        <v/>
      </c>
      <c r="R4342" t="str">
        <f t="shared" si="559"/>
        <v/>
      </c>
    </row>
    <row r="4343" spans="3:18">
      <c r="C4343" t="str">
        <f t="shared" si="560"/>
        <v/>
      </c>
      <c r="D4343">
        <v>434</v>
      </c>
      <c r="E4343">
        <v>180</v>
      </c>
      <c r="F4343" s="366">
        <f t="shared" si="554"/>
        <v>3906</v>
      </c>
      <c r="G4343" s="97">
        <v>7276</v>
      </c>
      <c r="H4343" s="367">
        <f t="shared" si="555"/>
        <v>11182</v>
      </c>
      <c r="I4343" s="368">
        <f t="shared" si="556"/>
        <v>0</v>
      </c>
      <c r="J4343">
        <v>28793</v>
      </c>
      <c r="K4343" s="367">
        <f t="shared" si="557"/>
        <v>20566.428571428572</v>
      </c>
      <c r="L4343" s="607">
        <v>0.78</v>
      </c>
      <c r="M4343">
        <v>3.7</v>
      </c>
      <c r="N4343" s="381">
        <v>33</v>
      </c>
      <c r="O4343">
        <v>10</v>
      </c>
      <c r="P4343" t="s">
        <v>514</v>
      </c>
      <c r="Q4343" s="97" t="str">
        <f t="shared" si="558"/>
        <v/>
      </c>
      <c r="R4343" t="str">
        <f t="shared" si="559"/>
        <v/>
      </c>
    </row>
    <row r="4344" spans="3:18">
      <c r="C4344" t="str">
        <f t="shared" si="560"/>
        <v>NL</v>
      </c>
      <c r="D4344">
        <v>435</v>
      </c>
      <c r="E4344">
        <v>185</v>
      </c>
      <c r="F4344" s="366">
        <f t="shared" si="554"/>
        <v>4014.5</v>
      </c>
      <c r="G4344" s="97">
        <v>3594</v>
      </c>
      <c r="H4344" s="367">
        <f t="shared" si="555"/>
        <v>7608.5</v>
      </c>
      <c r="I4344" s="368">
        <f t="shared" si="556"/>
        <v>0</v>
      </c>
      <c r="J4344">
        <v>14222</v>
      </c>
      <c r="K4344" s="367">
        <f t="shared" si="557"/>
        <v>10158.571428571429</v>
      </c>
      <c r="L4344" s="607">
        <v>0.89</v>
      </c>
      <c r="M4344">
        <v>7.3999999999999995</v>
      </c>
      <c r="N4344" s="381">
        <v>29</v>
      </c>
      <c r="O4344">
        <v>5</v>
      </c>
      <c r="P4344" t="s">
        <v>515</v>
      </c>
      <c r="Q4344" s="97" t="str">
        <f t="shared" si="558"/>
        <v/>
      </c>
      <c r="R4344" t="str">
        <f t="shared" si="559"/>
        <v/>
      </c>
    </row>
    <row r="4345" spans="3:18">
      <c r="C4345" t="str">
        <f t="shared" si="560"/>
        <v/>
      </c>
      <c r="D4345">
        <v>436</v>
      </c>
      <c r="E4345">
        <v>185</v>
      </c>
      <c r="F4345" s="366">
        <f t="shared" si="554"/>
        <v>4014.5</v>
      </c>
      <c r="G4345" s="97">
        <v>3332</v>
      </c>
      <c r="H4345" s="367">
        <f t="shared" si="555"/>
        <v>7346.5</v>
      </c>
      <c r="I4345" s="368">
        <f t="shared" si="556"/>
        <v>0</v>
      </c>
      <c r="J4345">
        <v>13186</v>
      </c>
      <c r="K4345" s="367">
        <f t="shared" si="557"/>
        <v>9418.5714285714294</v>
      </c>
      <c r="L4345" s="607">
        <v>0.63</v>
      </c>
      <c r="M4345">
        <v>8.6999999999999993</v>
      </c>
      <c r="N4345" s="381">
        <v>29</v>
      </c>
      <c r="O4345">
        <v>6</v>
      </c>
      <c r="P4345" t="s">
        <v>515</v>
      </c>
      <c r="Q4345" s="97">
        <f t="shared" si="558"/>
        <v>436</v>
      </c>
      <c r="R4345" t="str">
        <f t="shared" si="559"/>
        <v/>
      </c>
    </row>
    <row r="4346" spans="3:18">
      <c r="C4346" t="str">
        <f t="shared" si="560"/>
        <v>NL</v>
      </c>
      <c r="D4346">
        <v>437</v>
      </c>
      <c r="E4346">
        <v>185</v>
      </c>
      <c r="F4346" s="366">
        <f t="shared" si="554"/>
        <v>4014.5</v>
      </c>
      <c r="G4346" s="97">
        <v>4383</v>
      </c>
      <c r="H4346" s="367">
        <f t="shared" si="555"/>
        <v>8397.5</v>
      </c>
      <c r="I4346" s="368">
        <f t="shared" si="556"/>
        <v>0</v>
      </c>
      <c r="J4346">
        <v>17347</v>
      </c>
      <c r="K4346" s="367">
        <f t="shared" si="557"/>
        <v>12390.714285714286</v>
      </c>
      <c r="L4346" s="607">
        <v>0.48</v>
      </c>
      <c r="M4346">
        <v>1.3</v>
      </c>
      <c r="N4346" s="381">
        <v>28</v>
      </c>
      <c r="O4346">
        <v>7</v>
      </c>
      <c r="P4346" t="s">
        <v>515</v>
      </c>
      <c r="Q4346" s="97" t="str">
        <f t="shared" si="558"/>
        <v/>
      </c>
      <c r="R4346" t="str">
        <f t="shared" si="559"/>
        <v/>
      </c>
    </row>
    <row r="4347" spans="3:18">
      <c r="C4347" t="str">
        <f t="shared" si="560"/>
        <v/>
      </c>
      <c r="D4347">
        <v>438</v>
      </c>
      <c r="E4347">
        <v>185</v>
      </c>
      <c r="F4347" s="366">
        <f t="shared" si="554"/>
        <v>4014.5</v>
      </c>
      <c r="G4347" s="97">
        <v>3558</v>
      </c>
      <c r="H4347" s="367">
        <f t="shared" si="555"/>
        <v>7572.5</v>
      </c>
      <c r="I4347" s="368">
        <f t="shared" si="556"/>
        <v>0</v>
      </c>
      <c r="J4347">
        <v>14081</v>
      </c>
      <c r="K4347" s="367">
        <f t="shared" si="557"/>
        <v>10057.857142857143</v>
      </c>
      <c r="L4347" s="607">
        <v>0.39</v>
      </c>
      <c r="M4347">
        <v>2.8000000000000003</v>
      </c>
      <c r="N4347" s="381">
        <v>28</v>
      </c>
      <c r="O4347">
        <v>8</v>
      </c>
      <c r="P4347" t="s">
        <v>515</v>
      </c>
      <c r="Q4347" s="97">
        <f t="shared" si="558"/>
        <v>438</v>
      </c>
      <c r="R4347" t="str">
        <f t="shared" si="559"/>
        <v/>
      </c>
    </row>
    <row r="4348" spans="3:18">
      <c r="C4348" t="str">
        <f t="shared" si="560"/>
        <v/>
      </c>
      <c r="D4348">
        <v>439</v>
      </c>
      <c r="E4348">
        <v>185</v>
      </c>
      <c r="F4348" s="366">
        <f t="shared" si="554"/>
        <v>4014.5</v>
      </c>
      <c r="G4348" s="97">
        <v>5186</v>
      </c>
      <c r="H4348" s="367">
        <f t="shared" si="555"/>
        <v>9200.5</v>
      </c>
      <c r="I4348" s="368">
        <f t="shared" si="556"/>
        <v>0</v>
      </c>
      <c r="J4348">
        <v>20525</v>
      </c>
      <c r="K4348" s="367">
        <f t="shared" si="557"/>
        <v>14660.714285714286</v>
      </c>
      <c r="L4348" s="607">
        <v>1.17</v>
      </c>
      <c r="M4348">
        <v>2.8000000000000003</v>
      </c>
      <c r="N4348" s="381">
        <v>33</v>
      </c>
      <c r="O4348">
        <v>8</v>
      </c>
      <c r="P4348" t="s">
        <v>514</v>
      </c>
      <c r="Q4348" s="97" t="str">
        <f t="shared" si="558"/>
        <v/>
      </c>
      <c r="R4348" t="str">
        <f t="shared" si="559"/>
        <v/>
      </c>
    </row>
    <row r="4349" spans="3:18">
      <c r="C4349" t="str">
        <f t="shared" si="560"/>
        <v>NL</v>
      </c>
      <c r="D4349">
        <v>440</v>
      </c>
      <c r="E4349">
        <v>185</v>
      </c>
      <c r="F4349" s="366">
        <f t="shared" si="554"/>
        <v>4014.5</v>
      </c>
      <c r="G4349" s="97">
        <v>4669</v>
      </c>
      <c r="H4349" s="367">
        <f t="shared" si="555"/>
        <v>8683.5</v>
      </c>
      <c r="I4349" s="368">
        <f t="shared" si="556"/>
        <v>0</v>
      </c>
      <c r="J4349">
        <v>18479</v>
      </c>
      <c r="K4349" s="367">
        <f t="shared" si="557"/>
        <v>13199.285714285714</v>
      </c>
      <c r="L4349" s="607">
        <v>0.32</v>
      </c>
      <c r="M4349">
        <v>1.7000000000000002</v>
      </c>
      <c r="N4349" s="381">
        <v>28</v>
      </c>
      <c r="O4349">
        <v>9</v>
      </c>
      <c r="P4349" t="s">
        <v>515</v>
      </c>
      <c r="Q4349" s="97" t="str">
        <f t="shared" si="558"/>
        <v/>
      </c>
      <c r="R4349" t="str">
        <f t="shared" si="559"/>
        <v/>
      </c>
    </row>
    <row r="4350" spans="3:18">
      <c r="C4350" t="str">
        <f t="shared" si="560"/>
        <v>NL</v>
      </c>
      <c r="D4350">
        <v>441</v>
      </c>
      <c r="E4350">
        <v>185</v>
      </c>
      <c r="F4350" s="366">
        <f t="shared" si="554"/>
        <v>4014.5</v>
      </c>
      <c r="G4350" s="97">
        <v>6976</v>
      </c>
      <c r="H4350" s="367">
        <f t="shared" si="555"/>
        <v>10990.5</v>
      </c>
      <c r="I4350" s="368">
        <f t="shared" si="556"/>
        <v>0</v>
      </c>
      <c r="J4350">
        <v>27606</v>
      </c>
      <c r="K4350" s="367">
        <f t="shared" si="557"/>
        <v>19718.571428571428</v>
      </c>
      <c r="L4350" s="607">
        <v>0.97</v>
      </c>
      <c r="M4350">
        <v>1.7000000000000002</v>
      </c>
      <c r="N4350" s="381">
        <v>33</v>
      </c>
      <c r="O4350">
        <v>9</v>
      </c>
      <c r="P4350" t="s">
        <v>514</v>
      </c>
      <c r="Q4350" s="97" t="str">
        <f t="shared" si="558"/>
        <v/>
      </c>
      <c r="R4350" t="str">
        <f t="shared" si="559"/>
        <v/>
      </c>
    </row>
    <row r="4351" spans="3:18">
      <c r="C4351" t="str">
        <f t="shared" si="560"/>
        <v/>
      </c>
      <c r="D4351">
        <v>442</v>
      </c>
      <c r="E4351">
        <v>185</v>
      </c>
      <c r="F4351" s="366">
        <f t="shared" si="554"/>
        <v>4014.5</v>
      </c>
      <c r="G4351" s="97">
        <v>4773</v>
      </c>
      <c r="H4351" s="367">
        <f t="shared" si="555"/>
        <v>8787.5</v>
      </c>
      <c r="I4351" s="368">
        <f t="shared" si="556"/>
        <v>0</v>
      </c>
      <c r="J4351">
        <v>18888</v>
      </c>
      <c r="K4351" s="367">
        <f t="shared" si="557"/>
        <v>13491.428571428572</v>
      </c>
      <c r="L4351" s="607">
        <v>0.27</v>
      </c>
      <c r="M4351">
        <v>3.7</v>
      </c>
      <c r="N4351" s="381">
        <v>29</v>
      </c>
      <c r="O4351">
        <v>10</v>
      </c>
      <c r="P4351" t="s">
        <v>515</v>
      </c>
      <c r="Q4351" s="97" t="str">
        <f t="shared" si="558"/>
        <v/>
      </c>
      <c r="R4351" t="str">
        <f t="shared" si="559"/>
        <v/>
      </c>
    </row>
    <row r="4352" spans="3:18">
      <c r="C4352" t="str">
        <f t="shared" si="560"/>
        <v/>
      </c>
      <c r="D4352">
        <v>443</v>
      </c>
      <c r="E4352">
        <v>185</v>
      </c>
      <c r="F4352" s="366">
        <f t="shared" si="554"/>
        <v>4014.5</v>
      </c>
      <c r="G4352" s="97">
        <v>7403</v>
      </c>
      <c r="H4352" s="367">
        <f t="shared" si="555"/>
        <v>11417.5</v>
      </c>
      <c r="I4352" s="368">
        <f t="shared" si="556"/>
        <v>0</v>
      </c>
      <c r="J4352">
        <v>29298</v>
      </c>
      <c r="K4352" s="367">
        <f t="shared" si="557"/>
        <v>20927.142857142859</v>
      </c>
      <c r="L4352" s="607">
        <v>0.82000000000000006</v>
      </c>
      <c r="M4352">
        <v>3.7</v>
      </c>
      <c r="N4352" s="381">
        <v>33</v>
      </c>
      <c r="O4352">
        <v>10</v>
      </c>
      <c r="P4352" t="s">
        <v>514</v>
      </c>
      <c r="Q4352" s="97" t="str">
        <f t="shared" si="558"/>
        <v/>
      </c>
      <c r="R4352" t="str">
        <f t="shared" si="559"/>
        <v/>
      </c>
    </row>
    <row r="4353" spans="3:18">
      <c r="C4353" t="str">
        <f t="shared" si="560"/>
        <v>NL</v>
      </c>
      <c r="D4353">
        <v>444</v>
      </c>
      <c r="E4353">
        <v>190</v>
      </c>
      <c r="F4353" s="366">
        <f t="shared" si="554"/>
        <v>4123</v>
      </c>
      <c r="G4353" s="97">
        <v>3658</v>
      </c>
      <c r="H4353" s="367">
        <f t="shared" si="555"/>
        <v>7781</v>
      </c>
      <c r="I4353" s="368">
        <f t="shared" si="556"/>
        <v>0</v>
      </c>
      <c r="J4353">
        <v>14478</v>
      </c>
      <c r="K4353" s="367">
        <f t="shared" si="557"/>
        <v>10341.428571428572</v>
      </c>
      <c r="L4353" s="607">
        <v>0.94000000000000006</v>
      </c>
      <c r="M4353">
        <v>7.3999999999999995</v>
      </c>
      <c r="N4353" s="381">
        <v>30</v>
      </c>
      <c r="O4353">
        <v>5</v>
      </c>
      <c r="P4353" t="s">
        <v>515</v>
      </c>
      <c r="Q4353" s="97" t="str">
        <f t="shared" si="558"/>
        <v/>
      </c>
      <c r="R4353" t="str">
        <f t="shared" si="559"/>
        <v/>
      </c>
    </row>
    <row r="4354" spans="3:18">
      <c r="C4354" t="str">
        <f t="shared" si="560"/>
        <v/>
      </c>
      <c r="D4354">
        <v>445</v>
      </c>
      <c r="E4354">
        <v>190</v>
      </c>
      <c r="F4354" s="366">
        <f t="shared" si="554"/>
        <v>4123</v>
      </c>
      <c r="G4354" s="97">
        <v>3396</v>
      </c>
      <c r="H4354" s="367">
        <f t="shared" si="555"/>
        <v>7519</v>
      </c>
      <c r="I4354" s="368">
        <f t="shared" si="556"/>
        <v>0</v>
      </c>
      <c r="J4354">
        <v>13442</v>
      </c>
      <c r="K4354" s="367">
        <f t="shared" si="557"/>
        <v>9601.4285714285725</v>
      </c>
      <c r="L4354" s="607">
        <v>0.67</v>
      </c>
      <c r="M4354">
        <v>8.6999999999999993</v>
      </c>
      <c r="N4354" s="381">
        <v>29</v>
      </c>
      <c r="O4354">
        <v>6</v>
      </c>
      <c r="P4354" t="s">
        <v>515</v>
      </c>
      <c r="Q4354" s="97">
        <f t="shared" si="558"/>
        <v>445</v>
      </c>
      <c r="R4354" t="str">
        <f t="shared" si="559"/>
        <v/>
      </c>
    </row>
    <row r="4355" spans="3:18">
      <c r="C4355" t="str">
        <f t="shared" si="560"/>
        <v>NL</v>
      </c>
      <c r="D4355">
        <v>446</v>
      </c>
      <c r="E4355">
        <v>190</v>
      </c>
      <c r="F4355" s="366">
        <f t="shared" si="554"/>
        <v>4123</v>
      </c>
      <c r="G4355" s="97">
        <v>4462</v>
      </c>
      <c r="H4355" s="367">
        <f t="shared" si="555"/>
        <v>8585</v>
      </c>
      <c r="I4355" s="368">
        <f t="shared" si="556"/>
        <v>0</v>
      </c>
      <c r="J4355">
        <v>17660</v>
      </c>
      <c r="K4355" s="367">
        <f t="shared" si="557"/>
        <v>12614.285714285714</v>
      </c>
      <c r="L4355" s="607">
        <v>0.51</v>
      </c>
      <c r="M4355">
        <v>1.3</v>
      </c>
      <c r="N4355" s="381">
        <v>29</v>
      </c>
      <c r="O4355">
        <v>7</v>
      </c>
      <c r="P4355" t="s">
        <v>515</v>
      </c>
      <c r="Q4355" s="97" t="str">
        <f t="shared" si="558"/>
        <v/>
      </c>
      <c r="R4355" t="str">
        <f t="shared" si="559"/>
        <v/>
      </c>
    </row>
    <row r="4356" spans="3:18">
      <c r="C4356" t="str">
        <f t="shared" si="560"/>
        <v/>
      </c>
      <c r="D4356">
        <v>447</v>
      </c>
      <c r="E4356">
        <v>190</v>
      </c>
      <c r="F4356" s="366">
        <f t="shared" si="554"/>
        <v>4123</v>
      </c>
      <c r="G4356" s="97">
        <v>3629</v>
      </c>
      <c r="H4356" s="367">
        <f t="shared" si="555"/>
        <v>7752</v>
      </c>
      <c r="I4356" s="368">
        <f t="shared" si="556"/>
        <v>0</v>
      </c>
      <c r="J4356">
        <v>14362</v>
      </c>
      <c r="K4356" s="367">
        <f t="shared" si="557"/>
        <v>10258.571428571429</v>
      </c>
      <c r="L4356" s="607">
        <v>0.41000000000000003</v>
      </c>
      <c r="M4356">
        <v>2.8000000000000003</v>
      </c>
      <c r="N4356" s="381">
        <v>29</v>
      </c>
      <c r="O4356">
        <v>8</v>
      </c>
      <c r="P4356" t="s">
        <v>515</v>
      </c>
      <c r="Q4356" s="97">
        <f t="shared" si="558"/>
        <v>447</v>
      </c>
      <c r="R4356" t="str">
        <f t="shared" si="559"/>
        <v/>
      </c>
    </row>
    <row r="4357" spans="3:18">
      <c r="C4357" t="str">
        <f t="shared" si="560"/>
        <v>NL</v>
      </c>
      <c r="D4357">
        <v>448</v>
      </c>
      <c r="E4357">
        <v>190</v>
      </c>
      <c r="F4357" s="366">
        <f t="shared" si="554"/>
        <v>4123</v>
      </c>
      <c r="G4357" s="97">
        <v>4754</v>
      </c>
      <c r="H4357" s="367">
        <f t="shared" si="555"/>
        <v>8877</v>
      </c>
      <c r="I4357" s="368">
        <f t="shared" si="556"/>
        <v>0</v>
      </c>
      <c r="J4357">
        <v>18815</v>
      </c>
      <c r="K4357" s="367">
        <f t="shared" si="557"/>
        <v>13439.285714285714</v>
      </c>
      <c r="L4357" s="607">
        <v>0.34</v>
      </c>
      <c r="M4357">
        <v>1.7000000000000002</v>
      </c>
      <c r="N4357" s="381">
        <v>29</v>
      </c>
      <c r="O4357">
        <v>9</v>
      </c>
      <c r="P4357" t="s">
        <v>515</v>
      </c>
      <c r="Q4357" s="97" t="str">
        <f t="shared" si="558"/>
        <v/>
      </c>
      <c r="R4357" t="str">
        <f t="shared" si="559"/>
        <v/>
      </c>
    </row>
    <row r="4358" spans="3:18">
      <c r="C4358" t="str">
        <f t="shared" si="560"/>
        <v>NL</v>
      </c>
      <c r="D4358">
        <v>449</v>
      </c>
      <c r="E4358">
        <v>190</v>
      </c>
      <c r="F4358" s="366">
        <f t="shared" si="554"/>
        <v>4123</v>
      </c>
      <c r="G4358" s="97">
        <v>7092</v>
      </c>
      <c r="H4358" s="367">
        <f t="shared" si="555"/>
        <v>11215</v>
      </c>
      <c r="I4358" s="368">
        <f t="shared" si="556"/>
        <v>0</v>
      </c>
      <c r="J4358">
        <v>28064</v>
      </c>
      <c r="K4358" s="367">
        <f t="shared" si="557"/>
        <v>20045.714285714286</v>
      </c>
      <c r="L4358" s="607">
        <v>1.02</v>
      </c>
      <c r="M4358">
        <v>1.7000000000000002</v>
      </c>
      <c r="N4358" s="381">
        <v>33</v>
      </c>
      <c r="O4358">
        <v>9</v>
      </c>
      <c r="P4358" t="s">
        <v>514</v>
      </c>
      <c r="Q4358" s="97" t="str">
        <f t="shared" si="558"/>
        <v/>
      </c>
      <c r="R4358" t="str">
        <f t="shared" si="559"/>
        <v/>
      </c>
    </row>
    <row r="4359" spans="3:18">
      <c r="C4359" t="str">
        <f t="shared" si="560"/>
        <v/>
      </c>
      <c r="D4359">
        <v>450</v>
      </c>
      <c r="E4359">
        <v>190</v>
      </c>
      <c r="F4359" s="366">
        <f t="shared" ref="F4359:F4489" si="561">1.085*($A$2-$B$2)*E4359*$T$7</f>
        <v>4123</v>
      </c>
      <c r="G4359" s="97">
        <v>4869</v>
      </c>
      <c r="H4359" s="367">
        <f t="shared" ref="H4359:H4489" si="562">(G4359*$U$7)+F4359</f>
        <v>8992</v>
      </c>
      <c r="I4359" s="368">
        <f t="shared" ref="I4359:I4489" si="563">1.085*($C$2-$D$2)*E4359*$T$7</f>
        <v>0</v>
      </c>
      <c r="J4359">
        <v>19268</v>
      </c>
      <c r="K4359" s="367">
        <f t="shared" ref="K4359:K4489" si="564">(J4359*$V$7)-I4359</f>
        <v>13762.857142857143</v>
      </c>
      <c r="L4359" s="607">
        <v>0.29000000000000004</v>
      </c>
      <c r="M4359">
        <v>3.7</v>
      </c>
      <c r="N4359" s="381">
        <v>29</v>
      </c>
      <c r="O4359">
        <v>10</v>
      </c>
      <c r="P4359" t="s">
        <v>515</v>
      </c>
      <c r="Q4359" s="97" t="str">
        <f t="shared" ref="Q4359:Q4389" si="565">IF(AND(H4359+1&gt;$E$4,L4359&lt;$L$4+0.01,M4359&lt;$M$4+0.01,K4359+1&gt;$F$4,E4359+1&gt;$J$4,N4359&lt;$K$4+1,O4359&lt;$P$4+1,C4359=""),D4359,"")</f>
        <v/>
      </c>
      <c r="R4359" t="str">
        <f t="shared" ref="R4359:R4389" si="566">IF(Q4359="","",IF(AND(O4359&lt;$X$36,E4359&gt;$U$36,E4359&lt;$Q$4+$U$36+1),D4359,""))</f>
        <v/>
      </c>
    </row>
    <row r="4360" spans="3:18">
      <c r="C4360" t="str">
        <f t="shared" si="560"/>
        <v/>
      </c>
      <c r="D4360">
        <v>451</v>
      </c>
      <c r="E4360">
        <v>190</v>
      </c>
      <c r="F4360" s="366">
        <f t="shared" si="561"/>
        <v>4123</v>
      </c>
      <c r="G4360" s="97">
        <v>7531</v>
      </c>
      <c r="H4360" s="367">
        <f t="shared" si="562"/>
        <v>11654</v>
      </c>
      <c r="I4360" s="368">
        <f t="shared" si="563"/>
        <v>0</v>
      </c>
      <c r="J4360">
        <v>29803</v>
      </c>
      <c r="K4360" s="367">
        <f t="shared" si="564"/>
        <v>21287.857142857145</v>
      </c>
      <c r="L4360" s="607">
        <v>0.86</v>
      </c>
      <c r="M4360">
        <v>3.7</v>
      </c>
      <c r="N4360" s="381">
        <v>34</v>
      </c>
      <c r="O4360">
        <v>10</v>
      </c>
      <c r="P4360" t="s">
        <v>514</v>
      </c>
      <c r="Q4360" s="97" t="str">
        <f t="shared" si="565"/>
        <v/>
      </c>
      <c r="R4360" t="str">
        <f t="shared" si="566"/>
        <v/>
      </c>
    </row>
    <row r="4361" spans="3:18">
      <c r="C4361" t="str">
        <f t="shared" si="560"/>
        <v>NL</v>
      </c>
      <c r="D4361">
        <v>452</v>
      </c>
      <c r="E4361">
        <v>195</v>
      </c>
      <c r="F4361" s="366">
        <f t="shared" si="561"/>
        <v>4231.5</v>
      </c>
      <c r="G4361" s="97">
        <v>3723</v>
      </c>
      <c r="H4361" s="367">
        <f t="shared" si="562"/>
        <v>7954.5</v>
      </c>
      <c r="I4361" s="368">
        <f t="shared" si="563"/>
        <v>0</v>
      </c>
      <c r="J4361">
        <v>14734</v>
      </c>
      <c r="K4361" s="367">
        <f t="shared" si="564"/>
        <v>10524.285714285714</v>
      </c>
      <c r="L4361" s="607">
        <v>0.99</v>
      </c>
      <c r="M4361">
        <v>7.3999999999999995</v>
      </c>
      <c r="N4361" s="381">
        <v>30</v>
      </c>
      <c r="O4361">
        <v>5</v>
      </c>
      <c r="P4361" t="s">
        <v>515</v>
      </c>
      <c r="Q4361" s="97" t="str">
        <f t="shared" si="565"/>
        <v/>
      </c>
      <c r="R4361" t="str">
        <f t="shared" si="566"/>
        <v/>
      </c>
    </row>
    <row r="4362" spans="3:18">
      <c r="C4362" t="str">
        <f t="shared" si="560"/>
        <v/>
      </c>
      <c r="D4362">
        <v>453</v>
      </c>
      <c r="E4362">
        <v>195</v>
      </c>
      <c r="F4362" s="366">
        <f t="shared" si="561"/>
        <v>4231.5</v>
      </c>
      <c r="G4362" s="97">
        <v>3461</v>
      </c>
      <c r="H4362" s="367">
        <f t="shared" si="562"/>
        <v>7692.5</v>
      </c>
      <c r="I4362" s="368">
        <f t="shared" si="563"/>
        <v>0</v>
      </c>
      <c r="J4362">
        <v>13697</v>
      </c>
      <c r="K4362" s="367">
        <f t="shared" si="564"/>
        <v>9783.5714285714294</v>
      </c>
      <c r="L4362" s="607">
        <v>0.7</v>
      </c>
      <c r="M4362">
        <v>8.6999999999999993</v>
      </c>
      <c r="N4362" s="381">
        <v>29</v>
      </c>
      <c r="O4362">
        <v>6</v>
      </c>
      <c r="P4362" t="s">
        <v>515</v>
      </c>
      <c r="Q4362" s="97">
        <f t="shared" si="565"/>
        <v>453</v>
      </c>
      <c r="R4362" t="str">
        <f t="shared" si="566"/>
        <v/>
      </c>
    </row>
    <row r="4363" spans="3:18">
      <c r="C4363" t="str">
        <f t="shared" si="560"/>
        <v>NL</v>
      </c>
      <c r="D4363">
        <v>454</v>
      </c>
      <c r="E4363">
        <v>195</v>
      </c>
      <c r="F4363" s="366">
        <f t="shared" si="561"/>
        <v>4231.5</v>
      </c>
      <c r="G4363" s="97">
        <v>4541</v>
      </c>
      <c r="H4363" s="367">
        <f t="shared" si="562"/>
        <v>8772.5</v>
      </c>
      <c r="I4363" s="368">
        <f t="shared" si="563"/>
        <v>0</v>
      </c>
      <c r="J4363">
        <v>17973</v>
      </c>
      <c r="K4363" s="367">
        <f t="shared" si="564"/>
        <v>12837.857142857143</v>
      </c>
      <c r="L4363" s="607">
        <v>0.53</v>
      </c>
      <c r="M4363">
        <v>1.3</v>
      </c>
      <c r="N4363" s="381">
        <v>29</v>
      </c>
      <c r="O4363">
        <v>7</v>
      </c>
      <c r="P4363" t="s">
        <v>515</v>
      </c>
      <c r="Q4363" s="97" t="str">
        <f t="shared" si="565"/>
        <v/>
      </c>
      <c r="R4363" t="str">
        <f t="shared" si="566"/>
        <v/>
      </c>
    </row>
    <row r="4364" spans="3:18">
      <c r="C4364" t="str">
        <f t="shared" si="560"/>
        <v/>
      </c>
      <c r="D4364">
        <v>455</v>
      </c>
      <c r="E4364">
        <v>195</v>
      </c>
      <c r="F4364" s="366">
        <f t="shared" si="561"/>
        <v>4231.5</v>
      </c>
      <c r="G4364" s="97">
        <v>3700</v>
      </c>
      <c r="H4364" s="367">
        <f t="shared" si="562"/>
        <v>7931.5</v>
      </c>
      <c r="I4364" s="368">
        <f t="shared" si="563"/>
        <v>0</v>
      </c>
      <c r="J4364">
        <v>14643</v>
      </c>
      <c r="K4364" s="367">
        <f t="shared" si="564"/>
        <v>10459.285714285714</v>
      </c>
      <c r="L4364" s="607">
        <v>0.43</v>
      </c>
      <c r="M4364">
        <v>2.8000000000000003</v>
      </c>
      <c r="N4364" s="381">
        <v>29</v>
      </c>
      <c r="O4364">
        <v>8</v>
      </c>
      <c r="P4364" t="s">
        <v>515</v>
      </c>
      <c r="Q4364" s="97">
        <f t="shared" si="565"/>
        <v>455</v>
      </c>
      <c r="R4364" t="str">
        <f t="shared" si="566"/>
        <v/>
      </c>
    </row>
    <row r="4365" spans="3:18">
      <c r="C4365" t="str">
        <f t="shared" si="560"/>
        <v>NL</v>
      </c>
      <c r="D4365">
        <v>456</v>
      </c>
      <c r="E4365">
        <v>195</v>
      </c>
      <c r="F4365" s="366">
        <f t="shared" si="561"/>
        <v>4231.5</v>
      </c>
      <c r="G4365" s="97">
        <v>4839</v>
      </c>
      <c r="H4365" s="367">
        <f t="shared" si="562"/>
        <v>9070.5</v>
      </c>
      <c r="I4365" s="368">
        <f t="shared" si="563"/>
        <v>0</v>
      </c>
      <c r="J4365">
        <v>19151</v>
      </c>
      <c r="K4365" s="367">
        <f t="shared" si="564"/>
        <v>13679.285714285714</v>
      </c>
      <c r="L4365" s="607">
        <v>0.35000000000000003</v>
      </c>
      <c r="M4365">
        <v>1.7000000000000002</v>
      </c>
      <c r="N4365" s="381">
        <v>29</v>
      </c>
      <c r="O4365">
        <v>9</v>
      </c>
      <c r="P4365" t="s">
        <v>515</v>
      </c>
      <c r="Q4365" s="97" t="str">
        <f t="shared" si="565"/>
        <v/>
      </c>
      <c r="R4365" t="str">
        <f t="shared" si="566"/>
        <v/>
      </c>
    </row>
    <row r="4366" spans="3:18">
      <c r="C4366" t="str">
        <f t="shared" si="560"/>
        <v>NL</v>
      </c>
      <c r="D4366">
        <v>457</v>
      </c>
      <c r="E4366">
        <v>195</v>
      </c>
      <c r="F4366" s="366">
        <f t="shared" si="561"/>
        <v>4231.5</v>
      </c>
      <c r="G4366" s="97">
        <v>7207</v>
      </c>
      <c r="H4366" s="367">
        <f t="shared" si="562"/>
        <v>11438.5</v>
      </c>
      <c r="I4366" s="368">
        <f t="shared" si="563"/>
        <v>0</v>
      </c>
      <c r="J4366">
        <v>28523</v>
      </c>
      <c r="K4366" s="367">
        <f t="shared" si="564"/>
        <v>20373.571428571428</v>
      </c>
      <c r="L4366" s="607">
        <v>1.07</v>
      </c>
      <c r="M4366">
        <v>1.7000000000000002</v>
      </c>
      <c r="N4366" s="381">
        <v>34</v>
      </c>
      <c r="O4366">
        <v>9</v>
      </c>
      <c r="P4366" t="s">
        <v>514</v>
      </c>
      <c r="Q4366" s="97" t="str">
        <f t="shared" si="565"/>
        <v/>
      </c>
      <c r="R4366" t="str">
        <f t="shared" si="566"/>
        <v/>
      </c>
    </row>
    <row r="4367" spans="3:18">
      <c r="C4367" t="str">
        <f t="shared" si="560"/>
        <v/>
      </c>
      <c r="D4367">
        <v>458</v>
      </c>
      <c r="E4367">
        <v>195</v>
      </c>
      <c r="F4367" s="366">
        <f t="shared" si="561"/>
        <v>4231.5</v>
      </c>
      <c r="G4367" s="97">
        <v>4965</v>
      </c>
      <c r="H4367" s="367">
        <f t="shared" si="562"/>
        <v>9196.5</v>
      </c>
      <c r="I4367" s="368">
        <f t="shared" si="563"/>
        <v>0</v>
      </c>
      <c r="J4367">
        <v>19648</v>
      </c>
      <c r="K4367" s="367">
        <f t="shared" si="564"/>
        <v>14034.285714285714</v>
      </c>
      <c r="L4367" s="607">
        <v>0.3</v>
      </c>
      <c r="M4367">
        <v>3.7</v>
      </c>
      <c r="N4367" s="381">
        <v>29</v>
      </c>
      <c r="O4367">
        <v>10</v>
      </c>
      <c r="P4367" t="s">
        <v>515</v>
      </c>
      <c r="Q4367" s="97" t="str">
        <f t="shared" si="565"/>
        <v/>
      </c>
      <c r="R4367" t="str">
        <f t="shared" si="566"/>
        <v/>
      </c>
    </row>
    <row r="4368" spans="3:18">
      <c r="C4368" t="str">
        <f t="shared" si="560"/>
        <v/>
      </c>
      <c r="D4368">
        <v>459</v>
      </c>
      <c r="E4368">
        <v>195</v>
      </c>
      <c r="F4368" s="366">
        <f t="shared" si="561"/>
        <v>4231.5</v>
      </c>
      <c r="G4368" s="97">
        <v>7648</v>
      </c>
      <c r="H4368" s="367">
        <f t="shared" si="562"/>
        <v>11879.5</v>
      </c>
      <c r="I4368" s="368">
        <f t="shared" si="563"/>
        <v>0</v>
      </c>
      <c r="J4368">
        <v>30267</v>
      </c>
      <c r="K4368" s="367">
        <f t="shared" si="564"/>
        <v>21619.285714285714</v>
      </c>
      <c r="L4368" s="607">
        <v>0.91</v>
      </c>
      <c r="M4368">
        <v>3.7</v>
      </c>
      <c r="N4368" s="381">
        <v>34</v>
      </c>
      <c r="O4368">
        <v>10</v>
      </c>
      <c r="P4368" t="s">
        <v>514</v>
      </c>
      <c r="Q4368" s="97" t="str">
        <f t="shared" si="565"/>
        <v/>
      </c>
      <c r="R4368" t="str">
        <f t="shared" si="566"/>
        <v/>
      </c>
    </row>
    <row r="4369" spans="3:18">
      <c r="C4369" t="str">
        <f t="shared" si="560"/>
        <v/>
      </c>
      <c r="D4369">
        <v>460</v>
      </c>
      <c r="E4369">
        <v>200</v>
      </c>
      <c r="F4369" s="366">
        <f t="shared" si="561"/>
        <v>4340</v>
      </c>
      <c r="G4369" s="97">
        <v>3525</v>
      </c>
      <c r="H4369" s="367">
        <f t="shared" si="562"/>
        <v>7865</v>
      </c>
      <c r="I4369" s="368">
        <f t="shared" si="563"/>
        <v>0</v>
      </c>
      <c r="J4369">
        <v>13953</v>
      </c>
      <c r="K4369" s="367">
        <f t="shared" si="564"/>
        <v>9966.4285714285725</v>
      </c>
      <c r="L4369" s="607">
        <v>0.74</v>
      </c>
      <c r="M4369">
        <v>8.6999999999999993</v>
      </c>
      <c r="N4369" s="381">
        <v>30</v>
      </c>
      <c r="O4369">
        <v>6</v>
      </c>
      <c r="P4369" t="s">
        <v>515</v>
      </c>
      <c r="Q4369" s="97" t="str">
        <f t="shared" si="565"/>
        <v/>
      </c>
      <c r="R4369" t="str">
        <f t="shared" si="566"/>
        <v/>
      </c>
    </row>
    <row r="4370" spans="3:18">
      <c r="C4370" t="str">
        <f t="shared" si="560"/>
        <v>NL</v>
      </c>
      <c r="D4370">
        <v>461</v>
      </c>
      <c r="E4370">
        <v>200</v>
      </c>
      <c r="F4370" s="366">
        <f t="shared" si="561"/>
        <v>4340</v>
      </c>
      <c r="G4370" s="97">
        <v>4620</v>
      </c>
      <c r="H4370" s="367">
        <f t="shared" si="562"/>
        <v>8960</v>
      </c>
      <c r="I4370" s="368">
        <f t="shared" si="563"/>
        <v>0</v>
      </c>
      <c r="J4370">
        <v>18285</v>
      </c>
      <c r="K4370" s="367">
        <f t="shared" si="564"/>
        <v>13060.714285714286</v>
      </c>
      <c r="L4370" s="607">
        <v>0.56000000000000005</v>
      </c>
      <c r="M4370">
        <v>1.3</v>
      </c>
      <c r="N4370" s="381">
        <v>29</v>
      </c>
      <c r="O4370">
        <v>7</v>
      </c>
      <c r="P4370" t="s">
        <v>515</v>
      </c>
      <c r="Q4370" s="97" t="str">
        <f t="shared" si="565"/>
        <v/>
      </c>
      <c r="R4370" t="str">
        <f t="shared" si="566"/>
        <v/>
      </c>
    </row>
    <row r="4371" spans="3:18">
      <c r="C4371" t="str">
        <f t="shared" si="560"/>
        <v/>
      </c>
      <c r="D4371">
        <v>462</v>
      </c>
      <c r="E4371">
        <v>200</v>
      </c>
      <c r="F4371" s="366">
        <f t="shared" si="561"/>
        <v>4340</v>
      </c>
      <c r="G4371" s="97">
        <v>3771</v>
      </c>
      <c r="H4371" s="367">
        <f t="shared" si="562"/>
        <v>8111</v>
      </c>
      <c r="I4371" s="368">
        <f t="shared" si="563"/>
        <v>0</v>
      </c>
      <c r="J4371">
        <v>14924</v>
      </c>
      <c r="K4371" s="367">
        <f t="shared" si="564"/>
        <v>10660</v>
      </c>
      <c r="L4371" s="607">
        <v>0.45</v>
      </c>
      <c r="M4371">
        <v>2.8000000000000003</v>
      </c>
      <c r="N4371" s="381">
        <v>29</v>
      </c>
      <c r="O4371">
        <v>8</v>
      </c>
      <c r="P4371" t="s">
        <v>515</v>
      </c>
      <c r="Q4371" s="97">
        <f t="shared" si="565"/>
        <v>462</v>
      </c>
      <c r="R4371" t="str">
        <f t="shared" si="566"/>
        <v/>
      </c>
    </row>
    <row r="4372" spans="3:18">
      <c r="C4372" t="str">
        <f t="shared" si="560"/>
        <v>NL</v>
      </c>
      <c r="D4372">
        <v>463</v>
      </c>
      <c r="E4372">
        <v>200</v>
      </c>
      <c r="F4372" s="366">
        <f t="shared" si="561"/>
        <v>4340</v>
      </c>
      <c r="G4372" s="97">
        <v>4924</v>
      </c>
      <c r="H4372" s="367">
        <f t="shared" si="562"/>
        <v>9264</v>
      </c>
      <c r="I4372" s="368">
        <f t="shared" si="563"/>
        <v>0</v>
      </c>
      <c r="J4372">
        <v>19488</v>
      </c>
      <c r="K4372" s="367">
        <f t="shared" si="564"/>
        <v>13920</v>
      </c>
      <c r="L4372" s="607">
        <v>0.37</v>
      </c>
      <c r="M4372">
        <v>1.7000000000000002</v>
      </c>
      <c r="N4372" s="381">
        <v>29</v>
      </c>
      <c r="O4372">
        <v>9</v>
      </c>
      <c r="P4372" t="s">
        <v>515</v>
      </c>
      <c r="Q4372" s="97" t="str">
        <f t="shared" si="565"/>
        <v/>
      </c>
      <c r="R4372" t="str">
        <f t="shared" si="566"/>
        <v/>
      </c>
    </row>
    <row r="4373" spans="3:18">
      <c r="C4373" t="str">
        <f t="shared" si="560"/>
        <v>NL</v>
      </c>
      <c r="D4373">
        <v>464</v>
      </c>
      <c r="E4373">
        <v>200</v>
      </c>
      <c r="F4373" s="366">
        <f t="shared" si="561"/>
        <v>4340</v>
      </c>
      <c r="G4373" s="97">
        <v>7316</v>
      </c>
      <c r="H4373" s="367">
        <f t="shared" si="562"/>
        <v>11656</v>
      </c>
      <c r="I4373" s="368">
        <f t="shared" si="563"/>
        <v>0</v>
      </c>
      <c r="J4373">
        <v>28954</v>
      </c>
      <c r="K4373" s="367">
        <f t="shared" si="564"/>
        <v>20681.428571428572</v>
      </c>
      <c r="L4373" s="607">
        <v>1.1300000000000001</v>
      </c>
      <c r="M4373">
        <v>1.7000000000000002</v>
      </c>
      <c r="N4373" s="381">
        <v>34</v>
      </c>
      <c r="O4373">
        <v>9</v>
      </c>
      <c r="P4373" t="s">
        <v>514</v>
      </c>
      <c r="Q4373" s="97" t="str">
        <f t="shared" si="565"/>
        <v/>
      </c>
      <c r="R4373" t="str">
        <f t="shared" si="566"/>
        <v/>
      </c>
    </row>
    <row r="4374" spans="3:18">
      <c r="C4374" t="str">
        <f t="shared" ref="C4374:C4535" si="567">IF(OR($O$4=0,O4374-$O$4=0),IF(AND(ISEVEN(O4374)=FALSE,$N$4="Even"),"NL",""),"NL")</f>
        <v/>
      </c>
      <c r="D4374">
        <v>465</v>
      </c>
      <c r="E4374">
        <v>200</v>
      </c>
      <c r="F4374" s="366">
        <f t="shared" si="561"/>
        <v>4340</v>
      </c>
      <c r="G4374" s="97">
        <v>5056</v>
      </c>
      <c r="H4374" s="367">
        <f t="shared" si="562"/>
        <v>9396</v>
      </c>
      <c r="I4374" s="368">
        <f t="shared" si="563"/>
        <v>0</v>
      </c>
      <c r="J4374">
        <v>20007</v>
      </c>
      <c r="K4374" s="367">
        <f t="shared" si="564"/>
        <v>14290.714285714286</v>
      </c>
      <c r="L4374" s="607">
        <v>0.32</v>
      </c>
      <c r="M4374">
        <v>3.7</v>
      </c>
      <c r="N4374" s="381">
        <v>30</v>
      </c>
      <c r="O4374">
        <v>10</v>
      </c>
      <c r="P4374" t="s">
        <v>515</v>
      </c>
      <c r="Q4374" s="97" t="str">
        <f t="shared" si="565"/>
        <v/>
      </c>
      <c r="R4374" t="str">
        <f t="shared" si="566"/>
        <v/>
      </c>
    </row>
    <row r="4375" spans="3:18">
      <c r="C4375" t="str">
        <f t="shared" si="567"/>
        <v/>
      </c>
      <c r="D4375">
        <v>466</v>
      </c>
      <c r="E4375">
        <v>200</v>
      </c>
      <c r="F4375" s="366">
        <f t="shared" si="561"/>
        <v>4340</v>
      </c>
      <c r="G4375" s="97">
        <v>7764</v>
      </c>
      <c r="H4375" s="367">
        <f t="shared" si="562"/>
        <v>12104</v>
      </c>
      <c r="I4375" s="368">
        <f t="shared" si="563"/>
        <v>0</v>
      </c>
      <c r="J4375">
        <v>30724</v>
      </c>
      <c r="K4375" s="367">
        <f t="shared" si="564"/>
        <v>21945.714285714286</v>
      </c>
      <c r="L4375" s="607">
        <v>0.96</v>
      </c>
      <c r="M4375">
        <v>3.7</v>
      </c>
      <c r="N4375" s="381">
        <v>34</v>
      </c>
      <c r="O4375">
        <v>10</v>
      </c>
      <c r="P4375" t="s">
        <v>514</v>
      </c>
      <c r="Q4375" s="97" t="str">
        <f t="shared" si="565"/>
        <v/>
      </c>
      <c r="R4375" t="str">
        <f t="shared" si="566"/>
        <v/>
      </c>
    </row>
    <row r="4376" spans="3:18">
      <c r="C4376" t="str">
        <f t="shared" si="567"/>
        <v/>
      </c>
      <c r="D4376">
        <v>467</v>
      </c>
      <c r="E4376">
        <v>205</v>
      </c>
      <c r="F4376" s="366">
        <f t="shared" si="561"/>
        <v>4448.5</v>
      </c>
      <c r="G4376" s="97">
        <v>3590</v>
      </c>
      <c r="H4376" s="367">
        <f t="shared" si="562"/>
        <v>8038.5</v>
      </c>
      <c r="I4376" s="368">
        <f t="shared" si="563"/>
        <v>0</v>
      </c>
      <c r="J4376">
        <v>14208</v>
      </c>
      <c r="K4376" s="367">
        <f t="shared" si="564"/>
        <v>10148.571428571429</v>
      </c>
      <c r="L4376" s="607">
        <v>0.78</v>
      </c>
      <c r="M4376">
        <v>8.6999999999999993</v>
      </c>
      <c r="N4376" s="381">
        <v>30</v>
      </c>
      <c r="O4376">
        <v>6</v>
      </c>
      <c r="P4376" t="s">
        <v>515</v>
      </c>
      <c r="Q4376" s="97" t="str">
        <f t="shared" si="565"/>
        <v/>
      </c>
      <c r="R4376" t="str">
        <f t="shared" si="566"/>
        <v/>
      </c>
    </row>
    <row r="4377" spans="3:18">
      <c r="C4377" t="str">
        <f t="shared" si="567"/>
        <v>NL</v>
      </c>
      <c r="D4377">
        <v>468</v>
      </c>
      <c r="E4377">
        <v>205</v>
      </c>
      <c r="F4377" s="366">
        <f t="shared" si="561"/>
        <v>4448.5</v>
      </c>
      <c r="G4377" s="97">
        <v>4699</v>
      </c>
      <c r="H4377" s="367">
        <f t="shared" si="562"/>
        <v>9147.5</v>
      </c>
      <c r="I4377" s="368">
        <f t="shared" si="563"/>
        <v>0</v>
      </c>
      <c r="J4377">
        <v>18598</v>
      </c>
      <c r="K4377" s="367">
        <f t="shared" si="564"/>
        <v>13284.285714285714</v>
      </c>
      <c r="L4377" s="607">
        <v>0.59</v>
      </c>
      <c r="M4377">
        <v>1.3</v>
      </c>
      <c r="N4377" s="381">
        <v>30</v>
      </c>
      <c r="O4377">
        <v>7</v>
      </c>
      <c r="P4377" t="s">
        <v>515</v>
      </c>
      <c r="Q4377" s="97" t="str">
        <f t="shared" si="565"/>
        <v/>
      </c>
      <c r="R4377" t="str">
        <f t="shared" si="566"/>
        <v/>
      </c>
    </row>
    <row r="4378" spans="3:18">
      <c r="C4378" t="str">
        <f t="shared" si="567"/>
        <v/>
      </c>
      <c r="D4378">
        <v>469</v>
      </c>
      <c r="E4378">
        <v>205</v>
      </c>
      <c r="F4378" s="366">
        <f t="shared" si="561"/>
        <v>4448.5</v>
      </c>
      <c r="G4378" s="97">
        <v>3842</v>
      </c>
      <c r="H4378" s="367">
        <f t="shared" si="562"/>
        <v>8290.5</v>
      </c>
      <c r="I4378" s="368">
        <f t="shared" si="563"/>
        <v>0</v>
      </c>
      <c r="J4378">
        <v>15204</v>
      </c>
      <c r="K4378" s="367">
        <f t="shared" si="564"/>
        <v>10860</v>
      </c>
      <c r="L4378" s="607">
        <v>0.47000000000000003</v>
      </c>
      <c r="M4378">
        <v>2.8000000000000003</v>
      </c>
      <c r="N4378" s="381">
        <v>30</v>
      </c>
      <c r="O4378">
        <v>8</v>
      </c>
      <c r="P4378" t="s">
        <v>515</v>
      </c>
      <c r="Q4378" s="97">
        <f t="shared" si="565"/>
        <v>469</v>
      </c>
      <c r="R4378" t="str">
        <f t="shared" si="566"/>
        <v/>
      </c>
    </row>
    <row r="4379" spans="3:18">
      <c r="C4379" t="str">
        <f t="shared" si="567"/>
        <v>NL</v>
      </c>
      <c r="D4379">
        <v>470</v>
      </c>
      <c r="E4379">
        <v>205</v>
      </c>
      <c r="F4379" s="366">
        <f t="shared" si="561"/>
        <v>4448.5</v>
      </c>
      <c r="G4379" s="97">
        <v>5009</v>
      </c>
      <c r="H4379" s="367">
        <f t="shared" si="562"/>
        <v>9457.5</v>
      </c>
      <c r="I4379" s="368">
        <f t="shared" si="563"/>
        <v>0</v>
      </c>
      <c r="J4379">
        <v>19824</v>
      </c>
      <c r="K4379" s="367">
        <f t="shared" si="564"/>
        <v>14160</v>
      </c>
      <c r="L4379" s="607">
        <v>0.39</v>
      </c>
      <c r="M4379">
        <v>1.7000000000000002</v>
      </c>
      <c r="N4379" s="381">
        <v>30</v>
      </c>
      <c r="O4379">
        <v>9</v>
      </c>
      <c r="P4379" t="s">
        <v>515</v>
      </c>
      <c r="Q4379" s="97" t="str">
        <f t="shared" si="565"/>
        <v/>
      </c>
      <c r="R4379" t="str">
        <f t="shared" si="566"/>
        <v/>
      </c>
    </row>
    <row r="4380" spans="3:18">
      <c r="C4380" t="str">
        <f t="shared" si="567"/>
        <v>NL</v>
      </c>
      <c r="D4380">
        <v>471</v>
      </c>
      <c r="E4380">
        <v>205</v>
      </c>
      <c r="F4380" s="366">
        <f t="shared" si="561"/>
        <v>4448.5</v>
      </c>
      <c r="G4380" s="97">
        <v>7422</v>
      </c>
      <c r="H4380" s="367">
        <f t="shared" si="562"/>
        <v>11870.5</v>
      </c>
      <c r="I4380" s="368">
        <f t="shared" si="563"/>
        <v>0</v>
      </c>
      <c r="J4380">
        <v>29372</v>
      </c>
      <c r="K4380" s="367">
        <f t="shared" si="564"/>
        <v>20980</v>
      </c>
      <c r="L4380" s="607">
        <v>1.19</v>
      </c>
      <c r="M4380">
        <v>1.7000000000000002</v>
      </c>
      <c r="N4380" s="381">
        <v>34</v>
      </c>
      <c r="O4380">
        <v>9</v>
      </c>
      <c r="P4380" t="s">
        <v>514</v>
      </c>
      <c r="Q4380" s="97" t="str">
        <f t="shared" si="565"/>
        <v/>
      </c>
      <c r="R4380" t="str">
        <f t="shared" si="566"/>
        <v/>
      </c>
    </row>
    <row r="4381" spans="3:18">
      <c r="C4381" t="str">
        <f t="shared" si="567"/>
        <v/>
      </c>
      <c r="D4381">
        <v>472</v>
      </c>
      <c r="E4381">
        <v>205</v>
      </c>
      <c r="F4381" s="366">
        <f t="shared" si="561"/>
        <v>4448.5</v>
      </c>
      <c r="G4381" s="97">
        <v>5139</v>
      </c>
      <c r="H4381" s="367">
        <f t="shared" si="562"/>
        <v>9587.5</v>
      </c>
      <c r="I4381" s="368">
        <f t="shared" si="563"/>
        <v>0</v>
      </c>
      <c r="J4381">
        <v>20337</v>
      </c>
      <c r="K4381" s="367">
        <f t="shared" si="564"/>
        <v>14526.428571428572</v>
      </c>
      <c r="L4381" s="607">
        <v>0.33</v>
      </c>
      <c r="M4381">
        <v>3.7</v>
      </c>
      <c r="N4381" s="381">
        <v>30</v>
      </c>
      <c r="O4381">
        <v>10</v>
      </c>
      <c r="P4381" t="s">
        <v>515</v>
      </c>
      <c r="Q4381" s="97" t="str">
        <f t="shared" si="565"/>
        <v/>
      </c>
      <c r="R4381" t="str">
        <f t="shared" si="566"/>
        <v/>
      </c>
    </row>
    <row r="4382" spans="3:18">
      <c r="C4382" t="str">
        <f t="shared" si="567"/>
        <v/>
      </c>
      <c r="D4382">
        <v>473</v>
      </c>
      <c r="E4382">
        <v>205</v>
      </c>
      <c r="F4382" s="366">
        <f t="shared" si="561"/>
        <v>4448.5</v>
      </c>
      <c r="G4382" s="97">
        <v>7879</v>
      </c>
      <c r="H4382" s="367">
        <f t="shared" si="562"/>
        <v>12327.5</v>
      </c>
      <c r="I4382" s="368">
        <f t="shared" si="563"/>
        <v>0</v>
      </c>
      <c r="J4382">
        <v>31181</v>
      </c>
      <c r="K4382" s="367">
        <f t="shared" si="564"/>
        <v>22272.142857142859</v>
      </c>
      <c r="L4382" s="607">
        <v>1.01</v>
      </c>
      <c r="M4382">
        <v>3.7</v>
      </c>
      <c r="N4382" s="381">
        <v>35</v>
      </c>
      <c r="O4382">
        <v>10</v>
      </c>
      <c r="P4382" t="s">
        <v>514</v>
      </c>
      <c r="Q4382" s="97" t="str">
        <f t="shared" si="565"/>
        <v/>
      </c>
      <c r="R4382" t="str">
        <f t="shared" si="566"/>
        <v/>
      </c>
    </row>
    <row r="4383" spans="3:18">
      <c r="C4383" t="str">
        <f t="shared" si="567"/>
        <v/>
      </c>
      <c r="D4383">
        <v>474</v>
      </c>
      <c r="E4383">
        <v>210</v>
      </c>
      <c r="F4383" s="366">
        <f t="shared" si="561"/>
        <v>4557</v>
      </c>
      <c r="G4383" s="97">
        <v>3649</v>
      </c>
      <c r="H4383" s="367">
        <f t="shared" si="562"/>
        <v>8206</v>
      </c>
      <c r="I4383" s="368">
        <f t="shared" si="563"/>
        <v>0</v>
      </c>
      <c r="J4383">
        <v>14443</v>
      </c>
      <c r="K4383" s="367">
        <f t="shared" si="564"/>
        <v>10316.428571428572</v>
      </c>
      <c r="L4383" s="607">
        <v>0.81</v>
      </c>
      <c r="M4383">
        <v>8.6999999999999993</v>
      </c>
      <c r="N4383" s="381">
        <v>30</v>
      </c>
      <c r="O4383">
        <v>6</v>
      </c>
      <c r="P4383" t="s">
        <v>515</v>
      </c>
      <c r="Q4383" s="97" t="str">
        <f t="shared" si="565"/>
        <v/>
      </c>
      <c r="R4383" t="str">
        <f t="shared" si="566"/>
        <v/>
      </c>
    </row>
    <row r="4384" spans="3:18">
      <c r="C4384" t="str">
        <f t="shared" si="567"/>
        <v>NL</v>
      </c>
      <c r="D4384">
        <v>475</v>
      </c>
      <c r="E4384">
        <v>210</v>
      </c>
      <c r="F4384" s="366">
        <f t="shared" si="561"/>
        <v>4557</v>
      </c>
      <c r="G4384" s="97">
        <v>4778</v>
      </c>
      <c r="H4384" s="367">
        <f t="shared" si="562"/>
        <v>9335</v>
      </c>
      <c r="I4384" s="368">
        <f t="shared" si="563"/>
        <v>0</v>
      </c>
      <c r="J4384">
        <v>18910</v>
      </c>
      <c r="K4384" s="367">
        <f t="shared" si="564"/>
        <v>13507.142857142857</v>
      </c>
      <c r="L4384" s="607">
        <v>0.62</v>
      </c>
      <c r="M4384">
        <v>1.3</v>
      </c>
      <c r="N4384" s="381">
        <v>30</v>
      </c>
      <c r="O4384">
        <v>7</v>
      </c>
      <c r="P4384" t="s">
        <v>515</v>
      </c>
      <c r="Q4384" s="97" t="str">
        <f t="shared" si="565"/>
        <v/>
      </c>
      <c r="R4384" t="str">
        <f t="shared" si="566"/>
        <v/>
      </c>
    </row>
    <row r="4385" spans="3:18">
      <c r="C4385" t="str">
        <f t="shared" si="567"/>
        <v/>
      </c>
      <c r="D4385">
        <v>476</v>
      </c>
      <c r="E4385">
        <v>210</v>
      </c>
      <c r="F4385" s="366">
        <f t="shared" si="561"/>
        <v>4557</v>
      </c>
      <c r="G4385" s="97">
        <v>3913</v>
      </c>
      <c r="H4385" s="367">
        <f t="shared" si="562"/>
        <v>8470</v>
      </c>
      <c r="I4385" s="368">
        <f t="shared" si="563"/>
        <v>0</v>
      </c>
      <c r="J4385">
        <v>15485</v>
      </c>
      <c r="K4385" s="367">
        <f t="shared" si="564"/>
        <v>11060.714285714286</v>
      </c>
      <c r="L4385" s="607">
        <v>0.49</v>
      </c>
      <c r="M4385">
        <v>2.8000000000000003</v>
      </c>
      <c r="N4385" s="381">
        <v>30</v>
      </c>
      <c r="O4385">
        <v>8</v>
      </c>
      <c r="P4385" t="s">
        <v>515</v>
      </c>
      <c r="Q4385" s="97">
        <f t="shared" si="565"/>
        <v>476</v>
      </c>
      <c r="R4385" t="str">
        <f t="shared" si="566"/>
        <v/>
      </c>
    </row>
    <row r="4386" spans="3:18">
      <c r="C4386" t="str">
        <f t="shared" si="567"/>
        <v>NL</v>
      </c>
      <c r="D4386">
        <v>477</v>
      </c>
      <c r="E4386">
        <v>210</v>
      </c>
      <c r="F4386" s="366">
        <f t="shared" si="561"/>
        <v>4557</v>
      </c>
      <c r="G4386" s="97">
        <v>5094</v>
      </c>
      <c r="H4386" s="367">
        <f t="shared" si="562"/>
        <v>9651</v>
      </c>
      <c r="I4386" s="368">
        <f t="shared" si="563"/>
        <v>0</v>
      </c>
      <c r="J4386">
        <v>20160</v>
      </c>
      <c r="K4386" s="367">
        <f t="shared" si="564"/>
        <v>14400</v>
      </c>
      <c r="L4386" s="607">
        <v>0.41000000000000003</v>
      </c>
      <c r="M4386">
        <v>1.7000000000000002</v>
      </c>
      <c r="N4386" s="381">
        <v>30</v>
      </c>
      <c r="O4386">
        <v>9</v>
      </c>
      <c r="P4386" t="s">
        <v>515</v>
      </c>
      <c r="Q4386" s="97" t="str">
        <f t="shared" si="565"/>
        <v/>
      </c>
      <c r="R4386" t="str">
        <f t="shared" si="566"/>
        <v/>
      </c>
    </row>
    <row r="4387" spans="3:18">
      <c r="C4387" t="str">
        <f t="shared" si="567"/>
        <v>NL</v>
      </c>
      <c r="D4387">
        <v>478</v>
      </c>
      <c r="E4387">
        <v>210</v>
      </c>
      <c r="F4387" s="366">
        <f t="shared" si="561"/>
        <v>4557</v>
      </c>
      <c r="G4387" s="97">
        <v>7528</v>
      </c>
      <c r="H4387" s="367">
        <f t="shared" si="562"/>
        <v>12085</v>
      </c>
      <c r="I4387" s="368">
        <f t="shared" si="563"/>
        <v>0</v>
      </c>
      <c r="J4387">
        <v>29790</v>
      </c>
      <c r="K4387" s="367">
        <f t="shared" si="564"/>
        <v>21278.571428571428</v>
      </c>
      <c r="L4387" s="607">
        <v>1.24</v>
      </c>
      <c r="M4387">
        <v>1.7000000000000002</v>
      </c>
      <c r="N4387" s="381">
        <v>35</v>
      </c>
      <c r="O4387">
        <v>9</v>
      </c>
      <c r="P4387" t="s">
        <v>514</v>
      </c>
      <c r="Q4387" s="97" t="str">
        <f t="shared" si="565"/>
        <v/>
      </c>
      <c r="R4387" t="str">
        <f t="shared" si="566"/>
        <v/>
      </c>
    </row>
    <row r="4388" spans="3:18">
      <c r="C4388" t="str">
        <f t="shared" si="567"/>
        <v/>
      </c>
      <c r="D4388">
        <v>479</v>
      </c>
      <c r="E4388">
        <v>210</v>
      </c>
      <c r="F4388" s="366">
        <f t="shared" si="561"/>
        <v>4557</v>
      </c>
      <c r="G4388" s="97">
        <v>5222</v>
      </c>
      <c r="H4388" s="367">
        <f t="shared" si="562"/>
        <v>9779</v>
      </c>
      <c r="I4388" s="368">
        <f t="shared" si="563"/>
        <v>0</v>
      </c>
      <c r="J4388">
        <v>20667</v>
      </c>
      <c r="K4388" s="367">
        <f t="shared" si="564"/>
        <v>14762.142857142857</v>
      </c>
      <c r="L4388" s="607">
        <v>0.35000000000000003</v>
      </c>
      <c r="M4388">
        <v>3.7</v>
      </c>
      <c r="N4388" s="381">
        <v>30</v>
      </c>
      <c r="O4388">
        <v>10</v>
      </c>
      <c r="P4388" t="s">
        <v>515</v>
      </c>
      <c r="Q4388" s="97" t="str">
        <f t="shared" si="565"/>
        <v/>
      </c>
      <c r="R4388" t="str">
        <f t="shared" si="566"/>
        <v/>
      </c>
    </row>
    <row r="4389" spans="3:18">
      <c r="C4389" t="str">
        <f t="shared" si="567"/>
        <v/>
      </c>
      <c r="D4389">
        <v>480</v>
      </c>
      <c r="E4389">
        <v>210</v>
      </c>
      <c r="F4389" s="366">
        <f t="shared" si="561"/>
        <v>4557</v>
      </c>
      <c r="G4389" s="97">
        <v>7995</v>
      </c>
      <c r="H4389" s="367">
        <f t="shared" si="562"/>
        <v>12552</v>
      </c>
      <c r="I4389" s="368">
        <f t="shared" si="563"/>
        <v>0</v>
      </c>
      <c r="J4389">
        <v>31639</v>
      </c>
      <c r="K4389" s="367">
        <f t="shared" si="564"/>
        <v>22599.285714285714</v>
      </c>
      <c r="L4389" s="607">
        <v>1.05</v>
      </c>
      <c r="M4389">
        <v>3.7</v>
      </c>
      <c r="N4389" s="381">
        <v>35</v>
      </c>
      <c r="O4389">
        <v>10</v>
      </c>
      <c r="P4389" t="s">
        <v>514</v>
      </c>
      <c r="Q4389" s="97" t="str">
        <f t="shared" si="565"/>
        <v/>
      </c>
      <c r="R4389" t="str">
        <f t="shared" si="566"/>
        <v/>
      </c>
    </row>
    <row r="4390" spans="3:18">
      <c r="C4390" t="str">
        <f t="shared" si="567"/>
        <v/>
      </c>
      <c r="D4390">
        <f>D4389+1</f>
        <v>481</v>
      </c>
      <c r="E4390">
        <v>215</v>
      </c>
      <c r="F4390" s="366">
        <f t="shared" si="561"/>
        <v>4665.5</v>
      </c>
      <c r="G4390" s="97">
        <v>3707</v>
      </c>
      <c r="H4390" s="367">
        <f t="shared" ref="H4390:H4453" si="568">(G4390*$U$7)+F4390</f>
        <v>8372.5</v>
      </c>
      <c r="I4390" s="368">
        <f t="shared" ref="I4390:I4453" si="569">1.085*($C$2-$D$2)*E4390*$T$7</f>
        <v>0</v>
      </c>
      <c r="J4390">
        <v>14671</v>
      </c>
      <c r="K4390" s="367">
        <f t="shared" si="564"/>
        <v>10479.285714285714</v>
      </c>
      <c r="L4390" s="607">
        <v>0.85</v>
      </c>
      <c r="M4390">
        <v>8.6999999999999993</v>
      </c>
      <c r="N4390" s="381">
        <v>31</v>
      </c>
      <c r="O4390">
        <v>6</v>
      </c>
      <c r="P4390" t="s">
        <v>515</v>
      </c>
      <c r="Q4390" s="97" t="str">
        <f t="shared" ref="Q4390:Q4453" si="570">IF(AND(H4390+1&gt;$E$4,L4390&lt;$L$4+0.01,M4390&lt;$M$4+0.01,K4390+1&gt;$F$4,E4390+1&gt;$J$4,N4390&lt;$K$4+1,O4390&lt;$P$4+1,C4390=""),D4390,"")</f>
        <v/>
      </c>
      <c r="R4390" t="str">
        <f t="shared" ref="R4390:R4453" si="571">IF(Q4390="","",IF(AND(O4390&lt;$X$36,E4390&gt;$U$36,E4390&lt;$Q$4+$U$36+1),D4390,""))</f>
        <v/>
      </c>
    </row>
    <row r="4391" spans="3:18">
      <c r="C4391" t="str">
        <f t="shared" si="567"/>
        <v>NL</v>
      </c>
      <c r="D4391">
        <f t="shared" ref="D4391:D4454" si="572">D4390+1</f>
        <v>482</v>
      </c>
      <c r="E4391">
        <v>215</v>
      </c>
      <c r="F4391" s="366">
        <f t="shared" si="561"/>
        <v>4665.5</v>
      </c>
      <c r="G4391" s="97">
        <v>4854</v>
      </c>
      <c r="H4391" s="367">
        <f t="shared" si="568"/>
        <v>9519.5</v>
      </c>
      <c r="I4391" s="368">
        <f t="shared" si="569"/>
        <v>0</v>
      </c>
      <c r="J4391">
        <v>19211</v>
      </c>
      <c r="K4391" s="367">
        <f t="shared" si="564"/>
        <v>13722.142857142857</v>
      </c>
      <c r="L4391" s="607">
        <v>0.65</v>
      </c>
      <c r="M4391">
        <v>1.3</v>
      </c>
      <c r="N4391" s="381">
        <v>30</v>
      </c>
      <c r="O4391">
        <v>7</v>
      </c>
      <c r="P4391" t="s">
        <v>515</v>
      </c>
      <c r="Q4391" s="97" t="str">
        <f t="shared" si="570"/>
        <v/>
      </c>
      <c r="R4391" t="str">
        <f t="shared" si="571"/>
        <v/>
      </c>
    </row>
    <row r="4392" spans="3:18">
      <c r="C4392" t="str">
        <f t="shared" si="567"/>
        <v/>
      </c>
      <c r="D4392">
        <f t="shared" si="572"/>
        <v>483</v>
      </c>
      <c r="E4392">
        <v>215</v>
      </c>
      <c r="F4392" s="366">
        <f t="shared" si="561"/>
        <v>4665.5</v>
      </c>
      <c r="G4392" s="97">
        <v>3984</v>
      </c>
      <c r="H4392" s="367">
        <f t="shared" si="568"/>
        <v>8649.5</v>
      </c>
      <c r="I4392" s="368">
        <f t="shared" si="569"/>
        <v>0</v>
      </c>
      <c r="J4392">
        <v>15766</v>
      </c>
      <c r="K4392" s="367">
        <f t="shared" si="564"/>
        <v>11261.428571428572</v>
      </c>
      <c r="L4392" s="607">
        <v>0.52</v>
      </c>
      <c r="M4392">
        <v>2.8000000000000003</v>
      </c>
      <c r="N4392" s="381">
        <v>30</v>
      </c>
      <c r="O4392">
        <v>8</v>
      </c>
      <c r="P4392" t="s">
        <v>515</v>
      </c>
      <c r="Q4392" s="97">
        <f t="shared" si="570"/>
        <v>483</v>
      </c>
      <c r="R4392" t="str">
        <f t="shared" si="571"/>
        <v/>
      </c>
    </row>
    <row r="4393" spans="3:18">
      <c r="C4393" t="str">
        <f t="shared" si="567"/>
        <v>NL</v>
      </c>
      <c r="D4393">
        <f t="shared" si="572"/>
        <v>484</v>
      </c>
      <c r="E4393">
        <v>215</v>
      </c>
      <c r="F4393" s="366">
        <f t="shared" si="561"/>
        <v>4665.5</v>
      </c>
      <c r="G4393" s="97">
        <v>5179</v>
      </c>
      <c r="H4393" s="367">
        <f t="shared" si="568"/>
        <v>9844.5</v>
      </c>
      <c r="I4393" s="368">
        <f t="shared" si="569"/>
        <v>0</v>
      </c>
      <c r="J4393">
        <v>20497</v>
      </c>
      <c r="K4393" s="367">
        <f t="shared" si="564"/>
        <v>14640.714285714286</v>
      </c>
      <c r="L4393" s="607">
        <v>0.43</v>
      </c>
      <c r="M4393">
        <v>1.7000000000000002</v>
      </c>
      <c r="N4393" s="381">
        <v>31</v>
      </c>
      <c r="O4393">
        <v>9</v>
      </c>
      <c r="P4393" t="s">
        <v>515</v>
      </c>
      <c r="Q4393" s="97" t="str">
        <f t="shared" si="570"/>
        <v/>
      </c>
      <c r="R4393" t="str">
        <f t="shared" si="571"/>
        <v/>
      </c>
    </row>
    <row r="4394" spans="3:18">
      <c r="C4394" t="str">
        <f t="shared" si="567"/>
        <v/>
      </c>
      <c r="D4394">
        <f t="shared" si="572"/>
        <v>485</v>
      </c>
      <c r="E4394">
        <v>215</v>
      </c>
      <c r="F4394" s="366">
        <f t="shared" si="561"/>
        <v>4665.5</v>
      </c>
      <c r="G4394" s="97">
        <v>5306</v>
      </c>
      <c r="H4394" s="367">
        <f t="shared" si="568"/>
        <v>9971.5</v>
      </c>
      <c r="I4394" s="368">
        <f t="shared" si="569"/>
        <v>0</v>
      </c>
      <c r="J4394">
        <v>20997</v>
      </c>
      <c r="K4394" s="367">
        <f t="shared" si="564"/>
        <v>14997.857142857143</v>
      </c>
      <c r="L4394" s="607">
        <v>0.37</v>
      </c>
      <c r="M4394">
        <v>3.7</v>
      </c>
      <c r="N4394" s="381">
        <v>31</v>
      </c>
      <c r="O4394">
        <v>10</v>
      </c>
      <c r="P4394" t="s">
        <v>515</v>
      </c>
      <c r="Q4394" s="97" t="str">
        <f t="shared" si="570"/>
        <v/>
      </c>
      <c r="R4394" t="str">
        <f t="shared" si="571"/>
        <v/>
      </c>
    </row>
    <row r="4395" spans="3:18">
      <c r="C4395" t="str">
        <f t="shared" si="567"/>
        <v/>
      </c>
      <c r="D4395">
        <f t="shared" si="572"/>
        <v>486</v>
      </c>
      <c r="E4395">
        <v>215</v>
      </c>
      <c r="F4395" s="366">
        <f t="shared" si="561"/>
        <v>4665.5</v>
      </c>
      <c r="G4395" s="97">
        <v>8110</v>
      </c>
      <c r="H4395" s="367">
        <f t="shared" si="568"/>
        <v>12775.5</v>
      </c>
      <c r="I4395" s="368">
        <f t="shared" si="569"/>
        <v>0</v>
      </c>
      <c r="J4395">
        <v>32096</v>
      </c>
      <c r="K4395" s="367">
        <f t="shared" si="564"/>
        <v>22925.714285714286</v>
      </c>
      <c r="L4395" s="607">
        <v>1.1100000000000001</v>
      </c>
      <c r="M4395">
        <v>3.7</v>
      </c>
      <c r="N4395" s="381">
        <v>35</v>
      </c>
      <c r="O4395">
        <v>10</v>
      </c>
      <c r="P4395" t="s">
        <v>514</v>
      </c>
      <c r="Q4395" s="97" t="str">
        <f t="shared" si="570"/>
        <v/>
      </c>
      <c r="R4395" t="str">
        <f t="shared" si="571"/>
        <v/>
      </c>
    </row>
    <row r="4396" spans="3:18">
      <c r="C4396" t="str">
        <f t="shared" si="567"/>
        <v/>
      </c>
      <c r="D4396">
        <f t="shared" si="572"/>
        <v>487</v>
      </c>
      <c r="E4396">
        <v>220</v>
      </c>
      <c r="F4396" s="366">
        <f t="shared" si="561"/>
        <v>4774</v>
      </c>
      <c r="G4396" s="97">
        <v>3765</v>
      </c>
      <c r="H4396" s="367">
        <f t="shared" si="568"/>
        <v>8539</v>
      </c>
      <c r="I4396" s="368">
        <f t="shared" si="569"/>
        <v>0</v>
      </c>
      <c r="J4396">
        <v>14900</v>
      </c>
      <c r="K4396" s="367">
        <f t="shared" si="564"/>
        <v>10642.857142857143</v>
      </c>
      <c r="L4396" s="607">
        <v>0.89</v>
      </c>
      <c r="M4396">
        <v>8.6999999999999993</v>
      </c>
      <c r="N4396" s="381">
        <v>31</v>
      </c>
      <c r="O4396">
        <v>6</v>
      </c>
      <c r="P4396" t="s">
        <v>515</v>
      </c>
      <c r="Q4396" s="97" t="str">
        <f t="shared" si="570"/>
        <v/>
      </c>
      <c r="R4396" t="str">
        <f t="shared" si="571"/>
        <v/>
      </c>
    </row>
    <row r="4397" spans="3:18">
      <c r="C4397" t="str">
        <f t="shared" si="567"/>
        <v>NL</v>
      </c>
      <c r="D4397">
        <f t="shared" si="572"/>
        <v>488</v>
      </c>
      <c r="E4397">
        <v>220</v>
      </c>
      <c r="F4397" s="366">
        <f t="shared" si="561"/>
        <v>4774</v>
      </c>
      <c r="G4397" s="97">
        <v>4926</v>
      </c>
      <c r="H4397" s="367">
        <f t="shared" si="568"/>
        <v>9700</v>
      </c>
      <c r="I4397" s="368">
        <f t="shared" si="569"/>
        <v>0</v>
      </c>
      <c r="J4397">
        <v>19494</v>
      </c>
      <c r="K4397" s="367">
        <f t="shared" si="564"/>
        <v>13924.285714285714</v>
      </c>
      <c r="L4397" s="607">
        <v>0.68</v>
      </c>
      <c r="M4397">
        <v>1.3</v>
      </c>
      <c r="N4397" s="381">
        <v>31</v>
      </c>
      <c r="O4397">
        <v>7</v>
      </c>
      <c r="P4397" t="s">
        <v>515</v>
      </c>
      <c r="Q4397" s="97" t="str">
        <f t="shared" si="570"/>
        <v/>
      </c>
      <c r="R4397" t="str">
        <f t="shared" si="571"/>
        <v/>
      </c>
    </row>
    <row r="4398" spans="3:18">
      <c r="C4398" t="str">
        <f t="shared" si="567"/>
        <v/>
      </c>
      <c r="D4398">
        <f t="shared" si="572"/>
        <v>489</v>
      </c>
      <c r="E4398">
        <v>220</v>
      </c>
      <c r="F4398" s="366">
        <f t="shared" si="561"/>
        <v>4774</v>
      </c>
      <c r="G4398" s="97">
        <v>4052</v>
      </c>
      <c r="H4398" s="367">
        <f t="shared" si="568"/>
        <v>8826</v>
      </c>
      <c r="I4398" s="368">
        <f t="shared" si="569"/>
        <v>0</v>
      </c>
      <c r="J4398">
        <v>16038</v>
      </c>
      <c r="K4398" s="367">
        <f t="shared" si="564"/>
        <v>11455.714285714286</v>
      </c>
      <c r="L4398" s="607">
        <v>0.54</v>
      </c>
      <c r="M4398">
        <v>2.8000000000000003</v>
      </c>
      <c r="N4398" s="381">
        <v>31</v>
      </c>
      <c r="O4398">
        <v>8</v>
      </c>
      <c r="P4398" t="s">
        <v>515</v>
      </c>
      <c r="Q4398" s="97">
        <f t="shared" si="570"/>
        <v>489</v>
      </c>
      <c r="R4398" t="str">
        <f t="shared" si="571"/>
        <v/>
      </c>
    </row>
    <row r="4399" spans="3:18">
      <c r="C4399" t="str">
        <f t="shared" si="567"/>
        <v>NL</v>
      </c>
      <c r="D4399">
        <f t="shared" si="572"/>
        <v>490</v>
      </c>
      <c r="E4399">
        <v>220</v>
      </c>
      <c r="F4399" s="366">
        <f t="shared" si="561"/>
        <v>4774</v>
      </c>
      <c r="G4399" s="97">
        <v>5264</v>
      </c>
      <c r="H4399" s="367">
        <f t="shared" si="568"/>
        <v>10038</v>
      </c>
      <c r="I4399" s="368">
        <f t="shared" si="569"/>
        <v>0</v>
      </c>
      <c r="J4399">
        <v>20833</v>
      </c>
      <c r="K4399" s="367">
        <f t="shared" si="564"/>
        <v>14880.714285714286</v>
      </c>
      <c r="L4399" s="607">
        <v>0.45</v>
      </c>
      <c r="M4399">
        <v>1.7000000000000002</v>
      </c>
      <c r="N4399" s="381">
        <v>31</v>
      </c>
      <c r="O4399">
        <v>9</v>
      </c>
      <c r="P4399" t="s">
        <v>515</v>
      </c>
      <c r="Q4399" s="97" t="str">
        <f t="shared" si="570"/>
        <v/>
      </c>
      <c r="R4399" t="str">
        <f t="shared" si="571"/>
        <v/>
      </c>
    </row>
    <row r="4400" spans="3:18">
      <c r="C4400" t="str">
        <f t="shared" si="567"/>
        <v/>
      </c>
      <c r="D4400">
        <f t="shared" si="572"/>
        <v>491</v>
      </c>
      <c r="E4400">
        <v>220</v>
      </c>
      <c r="F4400" s="366">
        <f t="shared" si="561"/>
        <v>4774</v>
      </c>
      <c r="G4400" s="97">
        <v>5389</v>
      </c>
      <c r="H4400" s="367">
        <f t="shared" si="568"/>
        <v>10163</v>
      </c>
      <c r="I4400" s="368">
        <f t="shared" si="569"/>
        <v>0</v>
      </c>
      <c r="J4400">
        <v>21327</v>
      </c>
      <c r="K4400" s="367">
        <f t="shared" si="564"/>
        <v>15233.571428571429</v>
      </c>
      <c r="L4400" s="607">
        <v>0.38</v>
      </c>
      <c r="M4400">
        <v>3.7</v>
      </c>
      <c r="N4400" s="381">
        <v>31</v>
      </c>
      <c r="O4400">
        <v>10</v>
      </c>
      <c r="P4400" t="s">
        <v>515</v>
      </c>
      <c r="Q4400" s="97" t="str">
        <f t="shared" si="570"/>
        <v/>
      </c>
      <c r="R4400" t="str">
        <f t="shared" si="571"/>
        <v/>
      </c>
    </row>
    <row r="4401" spans="3:18">
      <c r="C4401" t="str">
        <f t="shared" si="567"/>
        <v/>
      </c>
      <c r="D4401">
        <f t="shared" si="572"/>
        <v>492</v>
      </c>
      <c r="E4401">
        <v>220</v>
      </c>
      <c r="F4401" s="366">
        <f t="shared" si="561"/>
        <v>4774</v>
      </c>
      <c r="G4401" s="97">
        <v>8226</v>
      </c>
      <c r="H4401" s="367">
        <f t="shared" si="568"/>
        <v>13000</v>
      </c>
      <c r="I4401" s="368">
        <f t="shared" si="569"/>
        <v>0</v>
      </c>
      <c r="J4401">
        <v>32553</v>
      </c>
      <c r="K4401" s="367">
        <f t="shared" si="564"/>
        <v>23252.142857142859</v>
      </c>
      <c r="L4401" s="607">
        <v>1.1599999999999999</v>
      </c>
      <c r="M4401">
        <v>3.7</v>
      </c>
      <c r="N4401" s="381">
        <v>36</v>
      </c>
      <c r="O4401">
        <v>10</v>
      </c>
      <c r="P4401" t="s">
        <v>514</v>
      </c>
      <c r="Q4401" s="97" t="str">
        <f t="shared" si="570"/>
        <v/>
      </c>
      <c r="R4401" t="str">
        <f t="shared" si="571"/>
        <v/>
      </c>
    </row>
    <row r="4402" spans="3:18">
      <c r="C4402" t="str">
        <f t="shared" si="567"/>
        <v/>
      </c>
      <c r="D4402">
        <f t="shared" si="572"/>
        <v>493</v>
      </c>
      <c r="E4402">
        <v>225</v>
      </c>
      <c r="F4402" s="366">
        <f t="shared" si="561"/>
        <v>4882.5</v>
      </c>
      <c r="G4402" s="97">
        <v>3823</v>
      </c>
      <c r="H4402" s="367">
        <f t="shared" si="568"/>
        <v>8705.5</v>
      </c>
      <c r="I4402" s="368">
        <f t="shared" si="569"/>
        <v>0</v>
      </c>
      <c r="J4402">
        <v>15129</v>
      </c>
      <c r="K4402" s="367">
        <f t="shared" si="564"/>
        <v>10806.428571428572</v>
      </c>
      <c r="L4402" s="607">
        <v>0.93</v>
      </c>
      <c r="M4402">
        <v>8.6999999999999993</v>
      </c>
      <c r="N4402" s="381">
        <v>32</v>
      </c>
      <c r="O4402">
        <v>6</v>
      </c>
      <c r="P4402" t="s">
        <v>515</v>
      </c>
      <c r="Q4402" s="97" t="str">
        <f t="shared" si="570"/>
        <v/>
      </c>
      <c r="R4402" t="str">
        <f t="shared" si="571"/>
        <v/>
      </c>
    </row>
    <row r="4403" spans="3:18">
      <c r="C4403" t="str">
        <f t="shared" si="567"/>
        <v>NL</v>
      </c>
      <c r="D4403">
        <f t="shared" si="572"/>
        <v>494</v>
      </c>
      <c r="E4403">
        <v>225</v>
      </c>
      <c r="F4403" s="366">
        <f t="shared" si="561"/>
        <v>4882.5</v>
      </c>
      <c r="G4403" s="97">
        <v>4997</v>
      </c>
      <c r="H4403" s="367">
        <f t="shared" si="568"/>
        <v>9879.5</v>
      </c>
      <c r="I4403" s="368">
        <f t="shared" si="569"/>
        <v>0</v>
      </c>
      <c r="J4403">
        <v>19777</v>
      </c>
      <c r="K4403" s="367">
        <f t="shared" si="564"/>
        <v>14126.428571428572</v>
      </c>
      <c r="L4403" s="607">
        <v>0.71</v>
      </c>
      <c r="M4403">
        <v>1.3</v>
      </c>
      <c r="N4403" s="381">
        <v>31</v>
      </c>
      <c r="O4403">
        <v>7</v>
      </c>
      <c r="P4403" t="s">
        <v>515</v>
      </c>
      <c r="Q4403" s="97" t="str">
        <f t="shared" si="570"/>
        <v/>
      </c>
      <c r="R4403" t="str">
        <f t="shared" si="571"/>
        <v/>
      </c>
    </row>
    <row r="4404" spans="3:18">
      <c r="C4404" t="str">
        <f t="shared" si="567"/>
        <v/>
      </c>
      <c r="D4404">
        <f t="shared" si="572"/>
        <v>495</v>
      </c>
      <c r="E4404">
        <v>225</v>
      </c>
      <c r="F4404" s="366">
        <f t="shared" si="561"/>
        <v>4882.5</v>
      </c>
      <c r="G4404" s="97">
        <v>4114</v>
      </c>
      <c r="H4404" s="367">
        <f t="shared" si="568"/>
        <v>8996.5</v>
      </c>
      <c r="I4404" s="368">
        <f t="shared" si="569"/>
        <v>0</v>
      </c>
      <c r="J4404">
        <v>16283</v>
      </c>
      <c r="K4404" s="367">
        <f t="shared" si="564"/>
        <v>11630.714285714286</v>
      </c>
      <c r="L4404" s="607">
        <v>0.57000000000000006</v>
      </c>
      <c r="M4404">
        <v>2.8000000000000003</v>
      </c>
      <c r="N4404" s="381">
        <v>31</v>
      </c>
      <c r="O4404">
        <v>8</v>
      </c>
      <c r="P4404" t="s">
        <v>515</v>
      </c>
      <c r="Q4404" s="97">
        <f t="shared" si="570"/>
        <v>495</v>
      </c>
      <c r="R4404" t="str">
        <f t="shared" si="571"/>
        <v/>
      </c>
    </row>
    <row r="4405" spans="3:18">
      <c r="C4405" t="str">
        <f t="shared" si="567"/>
        <v>NL</v>
      </c>
      <c r="D4405">
        <f t="shared" si="572"/>
        <v>496</v>
      </c>
      <c r="E4405">
        <v>225</v>
      </c>
      <c r="F4405" s="366">
        <f t="shared" si="561"/>
        <v>4882.5</v>
      </c>
      <c r="G4405" s="97">
        <v>5349</v>
      </c>
      <c r="H4405" s="367">
        <f t="shared" si="568"/>
        <v>10231.5</v>
      </c>
      <c r="I4405" s="368">
        <f t="shared" si="569"/>
        <v>0</v>
      </c>
      <c r="J4405">
        <v>21170</v>
      </c>
      <c r="K4405" s="367">
        <f t="shared" si="564"/>
        <v>15121.428571428572</v>
      </c>
      <c r="L4405" s="607">
        <v>0.47000000000000003</v>
      </c>
      <c r="M4405">
        <v>1.7000000000000002</v>
      </c>
      <c r="N4405" s="381">
        <v>32</v>
      </c>
      <c r="O4405">
        <v>9</v>
      </c>
      <c r="P4405" t="s">
        <v>515</v>
      </c>
      <c r="Q4405" s="97" t="str">
        <f t="shared" si="570"/>
        <v/>
      </c>
      <c r="R4405" t="str">
        <f t="shared" si="571"/>
        <v/>
      </c>
    </row>
    <row r="4406" spans="3:18">
      <c r="C4406" t="str">
        <f t="shared" si="567"/>
        <v/>
      </c>
      <c r="D4406">
        <f t="shared" si="572"/>
        <v>497</v>
      </c>
      <c r="E4406">
        <v>225</v>
      </c>
      <c r="F4406" s="366">
        <f t="shared" si="561"/>
        <v>4882.5</v>
      </c>
      <c r="G4406" s="97">
        <v>5472</v>
      </c>
      <c r="H4406" s="367">
        <f t="shared" si="568"/>
        <v>10354.5</v>
      </c>
      <c r="I4406" s="368">
        <f t="shared" si="569"/>
        <v>0</v>
      </c>
      <c r="J4406">
        <v>21657</v>
      </c>
      <c r="K4406" s="367">
        <f t="shared" si="564"/>
        <v>15469.285714285714</v>
      </c>
      <c r="L4406" s="607">
        <v>0.4</v>
      </c>
      <c r="M4406">
        <v>3.7</v>
      </c>
      <c r="N4406" s="381">
        <v>32</v>
      </c>
      <c r="O4406">
        <v>10</v>
      </c>
      <c r="P4406" t="s">
        <v>515</v>
      </c>
      <c r="Q4406" s="97" t="str">
        <f t="shared" si="570"/>
        <v/>
      </c>
      <c r="R4406" t="str">
        <f t="shared" si="571"/>
        <v/>
      </c>
    </row>
    <row r="4407" spans="3:18">
      <c r="C4407" t="str">
        <f t="shared" si="567"/>
        <v/>
      </c>
      <c r="D4407">
        <f t="shared" si="572"/>
        <v>498</v>
      </c>
      <c r="E4407">
        <v>225</v>
      </c>
      <c r="F4407" s="366">
        <f t="shared" si="561"/>
        <v>4882.5</v>
      </c>
      <c r="G4407" s="97">
        <v>8331</v>
      </c>
      <c r="H4407" s="367">
        <f t="shared" si="568"/>
        <v>13213.5</v>
      </c>
      <c r="I4407" s="368">
        <f t="shared" si="569"/>
        <v>0</v>
      </c>
      <c r="J4407">
        <v>32971</v>
      </c>
      <c r="K4407" s="367">
        <f t="shared" si="564"/>
        <v>23550.714285714286</v>
      </c>
      <c r="L4407" s="607">
        <v>1.21</v>
      </c>
      <c r="M4407">
        <v>3.7</v>
      </c>
      <c r="N4407" s="381">
        <v>36</v>
      </c>
      <c r="O4407">
        <v>10</v>
      </c>
      <c r="P4407" t="s">
        <v>514</v>
      </c>
      <c r="Q4407" s="97" t="str">
        <f t="shared" si="570"/>
        <v/>
      </c>
      <c r="R4407" t="str">
        <f t="shared" si="571"/>
        <v/>
      </c>
    </row>
    <row r="4408" spans="3:18">
      <c r="C4408" t="str">
        <f t="shared" si="567"/>
        <v/>
      </c>
      <c r="D4408">
        <f t="shared" si="572"/>
        <v>499</v>
      </c>
      <c r="E4408">
        <v>230</v>
      </c>
      <c r="F4408" s="366">
        <f t="shared" si="561"/>
        <v>4991</v>
      </c>
      <c r="G4408" s="97">
        <v>3881</v>
      </c>
      <c r="H4408" s="367">
        <f t="shared" si="568"/>
        <v>8872</v>
      </c>
      <c r="I4408" s="368">
        <f t="shared" si="569"/>
        <v>0</v>
      </c>
      <c r="J4408">
        <v>15358</v>
      </c>
      <c r="K4408" s="367">
        <f t="shared" si="564"/>
        <v>10970</v>
      </c>
      <c r="L4408" s="607">
        <v>0.98</v>
      </c>
      <c r="M4408">
        <v>8.6999999999999993</v>
      </c>
      <c r="N4408" s="381">
        <v>32</v>
      </c>
      <c r="O4408">
        <v>6</v>
      </c>
      <c r="P4408" t="s">
        <v>515</v>
      </c>
      <c r="Q4408" s="97" t="str">
        <f t="shared" si="570"/>
        <v/>
      </c>
      <c r="R4408" t="str">
        <f t="shared" si="571"/>
        <v/>
      </c>
    </row>
    <row r="4409" spans="3:18">
      <c r="C4409" t="str">
        <f t="shared" si="567"/>
        <v>NL</v>
      </c>
      <c r="D4409">
        <f t="shared" si="572"/>
        <v>500</v>
      </c>
      <c r="E4409">
        <v>230</v>
      </c>
      <c r="F4409" s="366">
        <f t="shared" si="561"/>
        <v>4991</v>
      </c>
      <c r="G4409" s="97">
        <v>5069</v>
      </c>
      <c r="H4409" s="367">
        <f t="shared" si="568"/>
        <v>10060</v>
      </c>
      <c r="I4409" s="368">
        <f t="shared" si="569"/>
        <v>0</v>
      </c>
      <c r="J4409">
        <v>20060</v>
      </c>
      <c r="K4409" s="367">
        <f t="shared" si="564"/>
        <v>14328.571428571429</v>
      </c>
      <c r="L4409" s="607">
        <v>0.74</v>
      </c>
      <c r="M4409">
        <v>1.3</v>
      </c>
      <c r="N4409" s="381">
        <v>32</v>
      </c>
      <c r="O4409">
        <v>7</v>
      </c>
      <c r="P4409" t="s">
        <v>515</v>
      </c>
      <c r="Q4409" s="97" t="str">
        <f t="shared" si="570"/>
        <v/>
      </c>
      <c r="R4409" t="str">
        <f t="shared" si="571"/>
        <v/>
      </c>
    </row>
    <row r="4410" spans="3:18">
      <c r="C4410" t="str">
        <f t="shared" si="567"/>
        <v/>
      </c>
      <c r="D4410">
        <f t="shared" si="572"/>
        <v>501</v>
      </c>
      <c r="E4410">
        <v>230</v>
      </c>
      <c r="F4410" s="366">
        <f t="shared" si="561"/>
        <v>4991</v>
      </c>
      <c r="G4410" s="97">
        <v>4176</v>
      </c>
      <c r="H4410" s="367">
        <f t="shared" si="568"/>
        <v>9167</v>
      </c>
      <c r="I4410" s="368">
        <f t="shared" si="569"/>
        <v>0</v>
      </c>
      <c r="J4410">
        <v>16528</v>
      </c>
      <c r="K4410" s="367">
        <f t="shared" si="564"/>
        <v>11805.714285714286</v>
      </c>
      <c r="L4410" s="607">
        <v>0.59</v>
      </c>
      <c r="M4410">
        <v>2.8000000000000003</v>
      </c>
      <c r="N4410" s="381">
        <v>32</v>
      </c>
      <c r="O4410">
        <v>8</v>
      </c>
      <c r="P4410" t="s">
        <v>515</v>
      </c>
      <c r="Q4410" s="97">
        <f t="shared" si="570"/>
        <v>501</v>
      </c>
      <c r="R4410" t="str">
        <f t="shared" si="571"/>
        <v/>
      </c>
    </row>
    <row r="4411" spans="3:18">
      <c r="C4411" t="str">
        <f t="shared" si="567"/>
        <v>NL</v>
      </c>
      <c r="D4411">
        <f t="shared" si="572"/>
        <v>502</v>
      </c>
      <c r="E4411">
        <v>230</v>
      </c>
      <c r="F4411" s="366">
        <f t="shared" si="561"/>
        <v>4991</v>
      </c>
      <c r="G4411" s="97">
        <v>5430</v>
      </c>
      <c r="H4411" s="367">
        <f t="shared" si="568"/>
        <v>10421</v>
      </c>
      <c r="I4411" s="368">
        <f t="shared" si="569"/>
        <v>0</v>
      </c>
      <c r="J4411">
        <v>21488</v>
      </c>
      <c r="K4411" s="367">
        <f t="shared" si="564"/>
        <v>15348.571428571429</v>
      </c>
      <c r="L4411" s="607">
        <v>0.49</v>
      </c>
      <c r="M4411">
        <v>1.7000000000000002</v>
      </c>
      <c r="N4411" s="381">
        <v>32</v>
      </c>
      <c r="O4411">
        <v>9</v>
      </c>
      <c r="P4411" t="s">
        <v>515</v>
      </c>
      <c r="Q4411" s="97" t="str">
        <f t="shared" si="570"/>
        <v/>
      </c>
      <c r="R4411" t="str">
        <f t="shared" si="571"/>
        <v/>
      </c>
    </row>
    <row r="4412" spans="3:18">
      <c r="C4412" t="str">
        <f t="shared" si="567"/>
        <v/>
      </c>
      <c r="D4412">
        <f t="shared" si="572"/>
        <v>503</v>
      </c>
      <c r="E4412">
        <v>230</v>
      </c>
      <c r="F4412" s="366">
        <f t="shared" si="561"/>
        <v>4991</v>
      </c>
      <c r="G4412" s="97">
        <v>5556</v>
      </c>
      <c r="H4412" s="367">
        <f t="shared" si="568"/>
        <v>10547</v>
      </c>
      <c r="I4412" s="368">
        <f t="shared" si="569"/>
        <v>0</v>
      </c>
      <c r="J4412">
        <v>21987</v>
      </c>
      <c r="K4412" s="367">
        <f t="shared" si="564"/>
        <v>15705</v>
      </c>
      <c r="L4412" s="607">
        <v>0.42</v>
      </c>
      <c r="M4412">
        <v>3.7</v>
      </c>
      <c r="N4412" s="381">
        <v>32</v>
      </c>
      <c r="O4412">
        <v>10</v>
      </c>
      <c r="P4412" t="s">
        <v>515</v>
      </c>
      <c r="Q4412" s="97" t="str">
        <f t="shared" si="570"/>
        <v/>
      </c>
      <c r="R4412" t="str">
        <f t="shared" si="571"/>
        <v/>
      </c>
    </row>
    <row r="4413" spans="3:18">
      <c r="C4413" t="str">
        <f t="shared" si="567"/>
        <v/>
      </c>
      <c r="D4413">
        <f t="shared" si="572"/>
        <v>504</v>
      </c>
      <c r="E4413">
        <v>230</v>
      </c>
      <c r="F4413" s="366">
        <f t="shared" si="561"/>
        <v>4991</v>
      </c>
      <c r="G4413" s="97">
        <v>8437</v>
      </c>
      <c r="H4413" s="367">
        <f t="shared" si="568"/>
        <v>13428</v>
      </c>
      <c r="I4413" s="368">
        <f t="shared" si="569"/>
        <v>0</v>
      </c>
      <c r="J4413">
        <v>33388</v>
      </c>
      <c r="K4413" s="367">
        <f t="shared" si="564"/>
        <v>23848.571428571428</v>
      </c>
      <c r="L4413" s="607">
        <v>1.26</v>
      </c>
      <c r="M4413">
        <v>3.7</v>
      </c>
      <c r="N4413" s="381">
        <v>36</v>
      </c>
      <c r="O4413">
        <v>10</v>
      </c>
      <c r="P4413" t="s">
        <v>514</v>
      </c>
      <c r="Q4413" s="97" t="str">
        <f t="shared" si="570"/>
        <v/>
      </c>
      <c r="R4413" t="str">
        <f t="shared" si="571"/>
        <v/>
      </c>
    </row>
    <row r="4414" spans="3:18">
      <c r="C4414" t="str">
        <f t="shared" si="567"/>
        <v/>
      </c>
      <c r="D4414">
        <f t="shared" si="572"/>
        <v>505</v>
      </c>
      <c r="E4414">
        <v>235</v>
      </c>
      <c r="F4414" s="366">
        <f t="shared" si="561"/>
        <v>5099.5</v>
      </c>
      <c r="G4414" s="97">
        <v>3938</v>
      </c>
      <c r="H4414" s="367">
        <f t="shared" si="568"/>
        <v>9037.5</v>
      </c>
      <c r="I4414" s="368">
        <f t="shared" si="569"/>
        <v>0</v>
      </c>
      <c r="J4414">
        <v>15586</v>
      </c>
      <c r="K4414" s="367">
        <f t="shared" si="564"/>
        <v>11132.857142857143</v>
      </c>
      <c r="L4414" s="607">
        <v>1.02</v>
      </c>
      <c r="M4414">
        <v>8.6999999999999993</v>
      </c>
      <c r="N4414" s="381">
        <v>33</v>
      </c>
      <c r="O4414">
        <v>6</v>
      </c>
      <c r="P4414" t="s">
        <v>515</v>
      </c>
      <c r="Q4414" s="97" t="str">
        <f t="shared" si="570"/>
        <v/>
      </c>
      <c r="R4414" t="str">
        <f t="shared" si="571"/>
        <v/>
      </c>
    </row>
    <row r="4415" spans="3:18">
      <c r="C4415" t="str">
        <f t="shared" si="567"/>
        <v>NL</v>
      </c>
      <c r="D4415">
        <f t="shared" si="572"/>
        <v>506</v>
      </c>
      <c r="E4415">
        <v>235</v>
      </c>
      <c r="F4415" s="366">
        <f t="shared" si="561"/>
        <v>5099.5</v>
      </c>
      <c r="G4415" s="97">
        <v>5140</v>
      </c>
      <c r="H4415" s="367">
        <f t="shared" si="568"/>
        <v>10239.5</v>
      </c>
      <c r="I4415" s="368">
        <f t="shared" si="569"/>
        <v>0</v>
      </c>
      <c r="J4415">
        <v>20343</v>
      </c>
      <c r="K4415" s="367">
        <f t="shared" si="564"/>
        <v>14530.714285714286</v>
      </c>
      <c r="L4415" s="607">
        <v>0.77</v>
      </c>
      <c r="M4415">
        <v>1.3</v>
      </c>
      <c r="N4415" s="381">
        <v>32</v>
      </c>
      <c r="O4415">
        <v>7</v>
      </c>
      <c r="P4415" t="s">
        <v>515</v>
      </c>
      <c r="Q4415" s="97" t="str">
        <f t="shared" si="570"/>
        <v/>
      </c>
      <c r="R4415" t="str">
        <f t="shared" si="571"/>
        <v/>
      </c>
    </row>
    <row r="4416" spans="3:18">
      <c r="C4416" t="str">
        <f t="shared" si="567"/>
        <v/>
      </c>
      <c r="D4416">
        <f t="shared" si="572"/>
        <v>507</v>
      </c>
      <c r="E4416">
        <v>235</v>
      </c>
      <c r="F4416" s="366">
        <f t="shared" si="561"/>
        <v>5099.5</v>
      </c>
      <c r="G4416" s="97">
        <v>4238</v>
      </c>
      <c r="H4416" s="367">
        <f t="shared" si="568"/>
        <v>9337.5</v>
      </c>
      <c r="I4416" s="368">
        <f t="shared" si="569"/>
        <v>0</v>
      </c>
      <c r="J4416">
        <v>16772</v>
      </c>
      <c r="K4416" s="367">
        <f t="shared" si="564"/>
        <v>11980</v>
      </c>
      <c r="L4416" s="607">
        <v>0.62</v>
      </c>
      <c r="M4416">
        <v>2.8000000000000003</v>
      </c>
      <c r="N4416" s="381">
        <v>32</v>
      </c>
      <c r="O4416">
        <v>8</v>
      </c>
      <c r="P4416" t="s">
        <v>515</v>
      </c>
      <c r="Q4416" s="97">
        <f t="shared" si="570"/>
        <v>507</v>
      </c>
      <c r="R4416" t="str">
        <f t="shared" si="571"/>
        <v/>
      </c>
    </row>
    <row r="4417" spans="3:18">
      <c r="C4417" t="str">
        <f t="shared" si="567"/>
        <v>NL</v>
      </c>
      <c r="D4417">
        <f t="shared" si="572"/>
        <v>508</v>
      </c>
      <c r="E4417">
        <v>235</v>
      </c>
      <c r="F4417" s="366">
        <f t="shared" si="561"/>
        <v>5099.5</v>
      </c>
      <c r="G4417" s="97">
        <v>5505</v>
      </c>
      <c r="H4417" s="367">
        <f t="shared" si="568"/>
        <v>10604.5</v>
      </c>
      <c r="I4417" s="368">
        <f t="shared" si="569"/>
        <v>0</v>
      </c>
      <c r="J4417">
        <v>21787</v>
      </c>
      <c r="K4417" s="367">
        <f t="shared" si="564"/>
        <v>15562.142857142857</v>
      </c>
      <c r="L4417" s="607">
        <v>0.51</v>
      </c>
      <c r="M4417">
        <v>1.7000000000000002</v>
      </c>
      <c r="N4417" s="381">
        <v>33</v>
      </c>
      <c r="O4417">
        <v>9</v>
      </c>
      <c r="P4417" t="s">
        <v>515</v>
      </c>
      <c r="Q4417" s="97" t="str">
        <f t="shared" si="570"/>
        <v/>
      </c>
      <c r="R4417" t="str">
        <f t="shared" si="571"/>
        <v/>
      </c>
    </row>
    <row r="4418" spans="3:18">
      <c r="C4418" t="str">
        <f t="shared" si="567"/>
        <v/>
      </c>
      <c r="D4418">
        <f t="shared" si="572"/>
        <v>509</v>
      </c>
      <c r="E4418">
        <v>235</v>
      </c>
      <c r="F4418" s="366">
        <f t="shared" si="561"/>
        <v>5099.5</v>
      </c>
      <c r="G4418" s="97">
        <v>5639</v>
      </c>
      <c r="H4418" s="367">
        <f t="shared" si="568"/>
        <v>10738.5</v>
      </c>
      <c r="I4418" s="368">
        <f t="shared" si="569"/>
        <v>0</v>
      </c>
      <c r="J4418">
        <v>22317</v>
      </c>
      <c r="K4418" s="367">
        <f t="shared" si="564"/>
        <v>15940.714285714286</v>
      </c>
      <c r="L4418" s="607">
        <v>0.44</v>
      </c>
      <c r="M4418">
        <v>3.7</v>
      </c>
      <c r="N4418" s="381">
        <v>33</v>
      </c>
      <c r="O4418">
        <v>10</v>
      </c>
      <c r="P4418" t="s">
        <v>515</v>
      </c>
      <c r="Q4418" s="97" t="str">
        <f t="shared" si="570"/>
        <v/>
      </c>
      <c r="R4418" t="str">
        <f t="shared" si="571"/>
        <v/>
      </c>
    </row>
    <row r="4419" spans="3:18">
      <c r="C4419" t="str">
        <f t="shared" si="567"/>
        <v/>
      </c>
      <c r="D4419">
        <f t="shared" si="572"/>
        <v>510</v>
      </c>
      <c r="E4419">
        <v>235</v>
      </c>
      <c r="F4419" s="366">
        <f t="shared" si="561"/>
        <v>5099.5</v>
      </c>
      <c r="G4419" s="97">
        <v>8542</v>
      </c>
      <c r="H4419" s="367">
        <f t="shared" si="568"/>
        <v>13641.5</v>
      </c>
      <c r="I4419" s="368">
        <f t="shared" si="569"/>
        <v>0</v>
      </c>
      <c r="J4419">
        <v>33806</v>
      </c>
      <c r="K4419" s="367">
        <f t="shared" si="564"/>
        <v>24147.142857142859</v>
      </c>
      <c r="L4419" s="607">
        <v>1.32</v>
      </c>
      <c r="M4419">
        <v>3.7</v>
      </c>
      <c r="N4419" s="381">
        <v>36</v>
      </c>
      <c r="O4419">
        <v>10</v>
      </c>
      <c r="P4419" t="s">
        <v>514</v>
      </c>
      <c r="Q4419" s="97" t="str">
        <f t="shared" si="570"/>
        <v/>
      </c>
      <c r="R4419" t="str">
        <f t="shared" si="571"/>
        <v/>
      </c>
    </row>
    <row r="4420" spans="3:18">
      <c r="C4420" t="str">
        <f t="shared" si="567"/>
        <v>NL</v>
      </c>
      <c r="D4420">
        <f t="shared" si="572"/>
        <v>511</v>
      </c>
      <c r="E4420">
        <v>240</v>
      </c>
      <c r="F4420" s="366">
        <f t="shared" si="561"/>
        <v>5208</v>
      </c>
      <c r="G4420" s="97">
        <v>5212</v>
      </c>
      <c r="H4420" s="367">
        <f t="shared" si="568"/>
        <v>10420</v>
      </c>
      <c r="I4420" s="368">
        <f t="shared" si="569"/>
        <v>0</v>
      </c>
      <c r="J4420">
        <v>20626</v>
      </c>
      <c r="K4420" s="367">
        <f t="shared" si="564"/>
        <v>14732.857142857143</v>
      </c>
      <c r="L4420" s="607">
        <v>0.81</v>
      </c>
      <c r="M4420">
        <v>1.3</v>
      </c>
      <c r="N4420" s="381">
        <v>33</v>
      </c>
      <c r="O4420">
        <v>7</v>
      </c>
      <c r="P4420" t="s">
        <v>515</v>
      </c>
      <c r="Q4420" s="97" t="str">
        <f t="shared" si="570"/>
        <v/>
      </c>
      <c r="R4420" t="str">
        <f t="shared" si="571"/>
        <v/>
      </c>
    </row>
    <row r="4421" spans="3:18">
      <c r="C4421" t="str">
        <f t="shared" si="567"/>
        <v/>
      </c>
      <c r="D4421">
        <f t="shared" si="572"/>
        <v>512</v>
      </c>
      <c r="E4421">
        <v>240</v>
      </c>
      <c r="F4421" s="366">
        <f t="shared" si="561"/>
        <v>5208</v>
      </c>
      <c r="G4421" s="97">
        <v>4300</v>
      </c>
      <c r="H4421" s="367">
        <f t="shared" si="568"/>
        <v>9508</v>
      </c>
      <c r="I4421" s="368">
        <f t="shared" si="569"/>
        <v>0</v>
      </c>
      <c r="J4421">
        <v>17017</v>
      </c>
      <c r="K4421" s="367">
        <f t="shared" si="564"/>
        <v>12155</v>
      </c>
      <c r="L4421" s="607">
        <v>0.64</v>
      </c>
      <c r="M4421">
        <v>2.8000000000000003</v>
      </c>
      <c r="N4421" s="381">
        <v>33</v>
      </c>
      <c r="O4421">
        <v>8</v>
      </c>
      <c r="P4421" t="s">
        <v>515</v>
      </c>
      <c r="Q4421" s="97">
        <f t="shared" si="570"/>
        <v>512</v>
      </c>
      <c r="R4421" t="str">
        <f t="shared" si="571"/>
        <v/>
      </c>
    </row>
    <row r="4422" spans="3:18">
      <c r="C4422" t="str">
        <f t="shared" si="567"/>
        <v>NL</v>
      </c>
      <c r="D4422">
        <f t="shared" si="572"/>
        <v>513</v>
      </c>
      <c r="E4422">
        <v>240</v>
      </c>
      <c r="F4422" s="366">
        <f t="shared" si="561"/>
        <v>5208</v>
      </c>
      <c r="G4422" s="97">
        <v>5581</v>
      </c>
      <c r="H4422" s="367">
        <f t="shared" si="568"/>
        <v>10789</v>
      </c>
      <c r="I4422" s="368">
        <f t="shared" si="569"/>
        <v>0</v>
      </c>
      <c r="J4422">
        <v>22086</v>
      </c>
      <c r="K4422" s="367">
        <f t="shared" si="564"/>
        <v>15775.714285714286</v>
      </c>
      <c r="L4422" s="607">
        <v>0.53</v>
      </c>
      <c r="M4422">
        <v>1.7000000000000002</v>
      </c>
      <c r="N4422" s="381">
        <v>33</v>
      </c>
      <c r="O4422">
        <v>9</v>
      </c>
      <c r="P4422" t="s">
        <v>515</v>
      </c>
      <c r="Q4422" s="97" t="str">
        <f t="shared" si="570"/>
        <v/>
      </c>
      <c r="R4422" t="str">
        <f t="shared" si="571"/>
        <v/>
      </c>
    </row>
    <row r="4423" spans="3:18">
      <c r="C4423" t="str">
        <f t="shared" si="567"/>
        <v/>
      </c>
      <c r="D4423">
        <f t="shared" si="572"/>
        <v>514</v>
      </c>
      <c r="E4423">
        <v>240</v>
      </c>
      <c r="F4423" s="366">
        <f t="shared" si="561"/>
        <v>5208</v>
      </c>
      <c r="G4423" s="97">
        <v>5723</v>
      </c>
      <c r="H4423" s="367">
        <f t="shared" si="568"/>
        <v>10931</v>
      </c>
      <c r="I4423" s="368">
        <f t="shared" si="569"/>
        <v>0</v>
      </c>
      <c r="J4423">
        <v>22647</v>
      </c>
      <c r="K4423" s="367">
        <f t="shared" si="564"/>
        <v>16176.428571428572</v>
      </c>
      <c r="L4423" s="607">
        <v>0.46</v>
      </c>
      <c r="M4423">
        <v>3.7</v>
      </c>
      <c r="N4423" s="381">
        <v>33</v>
      </c>
      <c r="O4423">
        <v>10</v>
      </c>
      <c r="P4423" t="s">
        <v>515</v>
      </c>
      <c r="Q4423" s="97" t="str">
        <f t="shared" si="570"/>
        <v/>
      </c>
      <c r="R4423" t="str">
        <f t="shared" si="571"/>
        <v/>
      </c>
    </row>
    <row r="4424" spans="3:18">
      <c r="C4424" t="str">
        <f t="shared" si="567"/>
        <v>NL</v>
      </c>
      <c r="D4424">
        <f t="shared" si="572"/>
        <v>515</v>
      </c>
      <c r="E4424">
        <v>245</v>
      </c>
      <c r="F4424" s="366">
        <f t="shared" si="561"/>
        <v>5316.5</v>
      </c>
      <c r="G4424" s="97">
        <v>5283</v>
      </c>
      <c r="H4424" s="367">
        <f t="shared" si="568"/>
        <v>10599.5</v>
      </c>
      <c r="I4424" s="368">
        <f t="shared" si="569"/>
        <v>0</v>
      </c>
      <c r="J4424">
        <v>20909</v>
      </c>
      <c r="K4424" s="367">
        <f t="shared" si="564"/>
        <v>14935</v>
      </c>
      <c r="L4424" s="607">
        <v>0.84</v>
      </c>
      <c r="M4424">
        <v>1.3</v>
      </c>
      <c r="N4424" s="381">
        <v>33</v>
      </c>
      <c r="O4424">
        <v>7</v>
      </c>
      <c r="P4424" t="s">
        <v>515</v>
      </c>
      <c r="Q4424" s="97" t="str">
        <f t="shared" si="570"/>
        <v/>
      </c>
      <c r="R4424" t="str">
        <f t="shared" si="571"/>
        <v/>
      </c>
    </row>
    <row r="4425" spans="3:18">
      <c r="C4425" t="str">
        <f t="shared" si="567"/>
        <v/>
      </c>
      <c r="D4425">
        <f t="shared" si="572"/>
        <v>516</v>
      </c>
      <c r="E4425">
        <v>245</v>
      </c>
      <c r="F4425" s="366">
        <f t="shared" si="561"/>
        <v>5316.5</v>
      </c>
      <c r="G4425" s="97">
        <v>4362</v>
      </c>
      <c r="H4425" s="367">
        <f t="shared" si="568"/>
        <v>9678.5</v>
      </c>
      <c r="I4425" s="368">
        <f t="shared" si="569"/>
        <v>0</v>
      </c>
      <c r="J4425">
        <v>17262</v>
      </c>
      <c r="K4425" s="367">
        <f t="shared" si="564"/>
        <v>12330</v>
      </c>
      <c r="L4425" s="607">
        <v>0.67</v>
      </c>
      <c r="M4425">
        <v>2.8000000000000003</v>
      </c>
      <c r="N4425" s="381">
        <v>33</v>
      </c>
      <c r="O4425">
        <v>8</v>
      </c>
      <c r="P4425" t="s">
        <v>515</v>
      </c>
      <c r="Q4425" s="97">
        <f t="shared" si="570"/>
        <v>516</v>
      </c>
      <c r="R4425" t="str">
        <f t="shared" si="571"/>
        <v/>
      </c>
    </row>
    <row r="4426" spans="3:18">
      <c r="C4426" t="str">
        <f t="shared" si="567"/>
        <v>NL</v>
      </c>
      <c r="D4426">
        <f t="shared" si="572"/>
        <v>517</v>
      </c>
      <c r="E4426">
        <v>245</v>
      </c>
      <c r="F4426" s="366">
        <f t="shared" si="561"/>
        <v>5316.5</v>
      </c>
      <c r="G4426" s="97">
        <v>5656</v>
      </c>
      <c r="H4426" s="367">
        <f t="shared" si="568"/>
        <v>10972.5</v>
      </c>
      <c r="I4426" s="368">
        <f t="shared" si="569"/>
        <v>0</v>
      </c>
      <c r="J4426">
        <v>22385</v>
      </c>
      <c r="K4426" s="367">
        <f t="shared" si="564"/>
        <v>15989.285714285714</v>
      </c>
      <c r="L4426" s="607">
        <v>0.56000000000000005</v>
      </c>
      <c r="M4426">
        <v>1.7000000000000002</v>
      </c>
      <c r="N4426" s="381">
        <v>33</v>
      </c>
      <c r="O4426">
        <v>9</v>
      </c>
      <c r="P4426" t="s">
        <v>515</v>
      </c>
      <c r="Q4426" s="97" t="str">
        <f t="shared" si="570"/>
        <v/>
      </c>
      <c r="R4426" t="str">
        <f t="shared" si="571"/>
        <v/>
      </c>
    </row>
    <row r="4427" spans="3:18">
      <c r="C4427" t="str">
        <f t="shared" si="567"/>
        <v/>
      </c>
      <c r="D4427">
        <f t="shared" si="572"/>
        <v>518</v>
      </c>
      <c r="E4427">
        <v>245</v>
      </c>
      <c r="F4427" s="366">
        <f t="shared" si="561"/>
        <v>5316.5</v>
      </c>
      <c r="G4427" s="97">
        <v>5806</v>
      </c>
      <c r="H4427" s="367">
        <f t="shared" si="568"/>
        <v>11122.5</v>
      </c>
      <c r="I4427" s="368">
        <f t="shared" si="569"/>
        <v>0</v>
      </c>
      <c r="J4427">
        <v>22977</v>
      </c>
      <c r="K4427" s="367">
        <f t="shared" si="564"/>
        <v>16412.142857142859</v>
      </c>
      <c r="L4427" s="607">
        <v>0.47000000000000003</v>
      </c>
      <c r="M4427">
        <v>3.7</v>
      </c>
      <c r="N4427" s="381">
        <v>34</v>
      </c>
      <c r="O4427">
        <v>10</v>
      </c>
      <c r="P4427" t="s">
        <v>515</v>
      </c>
      <c r="Q4427" s="97" t="str">
        <f t="shared" si="570"/>
        <v/>
      </c>
      <c r="R4427" t="str">
        <f t="shared" si="571"/>
        <v/>
      </c>
    </row>
    <row r="4428" spans="3:18">
      <c r="C4428" t="str">
        <f t="shared" si="567"/>
        <v>NL</v>
      </c>
      <c r="D4428">
        <f t="shared" si="572"/>
        <v>519</v>
      </c>
      <c r="E4428">
        <v>250</v>
      </c>
      <c r="F4428" s="366">
        <f t="shared" si="561"/>
        <v>5425</v>
      </c>
      <c r="G4428" s="97">
        <v>5355</v>
      </c>
      <c r="H4428" s="367">
        <f t="shared" si="568"/>
        <v>10780</v>
      </c>
      <c r="I4428" s="368">
        <f t="shared" si="569"/>
        <v>0</v>
      </c>
      <c r="J4428">
        <v>21192</v>
      </c>
      <c r="K4428" s="367">
        <f t="shared" si="564"/>
        <v>15137.142857142857</v>
      </c>
      <c r="L4428" s="607">
        <v>0.88</v>
      </c>
      <c r="M4428">
        <v>1.3</v>
      </c>
      <c r="N4428" s="381">
        <v>34</v>
      </c>
      <c r="O4428">
        <v>7</v>
      </c>
      <c r="P4428" t="s">
        <v>515</v>
      </c>
      <c r="Q4428" s="97" t="str">
        <f t="shared" si="570"/>
        <v/>
      </c>
      <c r="R4428" t="str">
        <f t="shared" si="571"/>
        <v/>
      </c>
    </row>
    <row r="4429" spans="3:18">
      <c r="C4429" t="str">
        <f t="shared" si="567"/>
        <v/>
      </c>
      <c r="D4429">
        <f t="shared" si="572"/>
        <v>520</v>
      </c>
      <c r="E4429">
        <v>250</v>
      </c>
      <c r="F4429" s="366">
        <f t="shared" si="561"/>
        <v>5425</v>
      </c>
      <c r="G4429" s="97">
        <v>4424</v>
      </c>
      <c r="H4429" s="367">
        <f t="shared" si="568"/>
        <v>9849</v>
      </c>
      <c r="I4429" s="368">
        <f t="shared" si="569"/>
        <v>0</v>
      </c>
      <c r="J4429">
        <v>17507</v>
      </c>
      <c r="K4429" s="367">
        <f t="shared" si="564"/>
        <v>12505</v>
      </c>
      <c r="L4429" s="607">
        <v>0.7</v>
      </c>
      <c r="M4429">
        <v>2.8000000000000003</v>
      </c>
      <c r="N4429" s="381">
        <v>34</v>
      </c>
      <c r="O4429">
        <v>8</v>
      </c>
      <c r="P4429" t="s">
        <v>515</v>
      </c>
      <c r="Q4429" s="97">
        <f t="shared" si="570"/>
        <v>520</v>
      </c>
      <c r="R4429" t="str">
        <f t="shared" si="571"/>
        <v/>
      </c>
    </row>
    <row r="4430" spans="3:18">
      <c r="C4430" t="str">
        <f t="shared" si="567"/>
        <v>NL</v>
      </c>
      <c r="D4430">
        <f t="shared" si="572"/>
        <v>521</v>
      </c>
      <c r="E4430">
        <v>250</v>
      </c>
      <c r="F4430" s="366">
        <f t="shared" si="561"/>
        <v>5425</v>
      </c>
      <c r="G4430" s="97">
        <v>5732</v>
      </c>
      <c r="H4430" s="367">
        <f t="shared" si="568"/>
        <v>11157</v>
      </c>
      <c r="I4430" s="368">
        <f t="shared" si="569"/>
        <v>0</v>
      </c>
      <c r="J4430">
        <v>22684</v>
      </c>
      <c r="K4430" s="367">
        <f t="shared" si="564"/>
        <v>16202.857142857143</v>
      </c>
      <c r="L4430" s="607">
        <v>0.57999999999999996</v>
      </c>
      <c r="M4430">
        <v>1.7000000000000002</v>
      </c>
      <c r="N4430" s="381">
        <v>34</v>
      </c>
      <c r="O4430">
        <v>9</v>
      </c>
      <c r="P4430" t="s">
        <v>515</v>
      </c>
      <c r="Q4430" s="97" t="str">
        <f t="shared" si="570"/>
        <v/>
      </c>
      <c r="R4430" t="str">
        <f t="shared" si="571"/>
        <v/>
      </c>
    </row>
    <row r="4431" spans="3:18">
      <c r="C4431" t="str">
        <f t="shared" si="567"/>
        <v/>
      </c>
      <c r="D4431">
        <f t="shared" si="572"/>
        <v>522</v>
      </c>
      <c r="E4431">
        <v>250</v>
      </c>
      <c r="F4431" s="366">
        <f t="shared" si="561"/>
        <v>5425</v>
      </c>
      <c r="G4431" s="97">
        <v>5889</v>
      </c>
      <c r="H4431" s="367">
        <f t="shared" si="568"/>
        <v>11314</v>
      </c>
      <c r="I4431" s="368">
        <f t="shared" si="569"/>
        <v>0</v>
      </c>
      <c r="J4431">
        <v>23307</v>
      </c>
      <c r="K4431" s="367">
        <f t="shared" si="564"/>
        <v>16647.857142857145</v>
      </c>
      <c r="L4431" s="607">
        <v>0.49</v>
      </c>
      <c r="M4431">
        <v>3.7</v>
      </c>
      <c r="N4431" s="381">
        <v>35</v>
      </c>
      <c r="O4431">
        <v>10</v>
      </c>
      <c r="P4431" t="s">
        <v>515</v>
      </c>
      <c r="Q4431" s="97" t="str">
        <f t="shared" si="570"/>
        <v/>
      </c>
      <c r="R4431" t="str">
        <f t="shared" si="571"/>
        <v/>
      </c>
    </row>
    <row r="4432" spans="3:18">
      <c r="C4432" t="str">
        <f t="shared" si="567"/>
        <v>NL</v>
      </c>
      <c r="D4432">
        <f t="shared" si="572"/>
        <v>523</v>
      </c>
      <c r="E4432">
        <v>255</v>
      </c>
      <c r="F4432" s="366">
        <f t="shared" si="561"/>
        <v>5533.5</v>
      </c>
      <c r="G4432" s="97">
        <v>5422</v>
      </c>
      <c r="H4432" s="367">
        <f t="shared" si="568"/>
        <v>10955.5</v>
      </c>
      <c r="I4432" s="368">
        <f t="shared" si="569"/>
        <v>0</v>
      </c>
      <c r="J4432">
        <v>21459</v>
      </c>
      <c r="K4432" s="367">
        <f t="shared" si="564"/>
        <v>15327.857142857143</v>
      </c>
      <c r="L4432" s="607">
        <v>0.91</v>
      </c>
      <c r="M4432">
        <v>1.3</v>
      </c>
      <c r="N4432" s="381">
        <v>35</v>
      </c>
      <c r="O4432">
        <v>7</v>
      </c>
      <c r="P4432" t="s">
        <v>515</v>
      </c>
      <c r="Q4432" s="97" t="str">
        <f t="shared" si="570"/>
        <v/>
      </c>
      <c r="R4432" t="str">
        <f t="shared" si="571"/>
        <v/>
      </c>
    </row>
    <row r="4433" spans="3:18">
      <c r="C4433" t="str">
        <f t="shared" si="567"/>
        <v/>
      </c>
      <c r="D4433">
        <f t="shared" si="572"/>
        <v>524</v>
      </c>
      <c r="E4433">
        <v>255</v>
      </c>
      <c r="F4433" s="366">
        <f t="shared" si="561"/>
        <v>5533.5</v>
      </c>
      <c r="G4433" s="97">
        <v>4485</v>
      </c>
      <c r="H4433" s="367">
        <f t="shared" si="568"/>
        <v>10018.5</v>
      </c>
      <c r="I4433" s="368">
        <f t="shared" si="569"/>
        <v>0</v>
      </c>
      <c r="J4433">
        <v>17751</v>
      </c>
      <c r="K4433" s="367">
        <f t="shared" si="564"/>
        <v>12679.285714285714</v>
      </c>
      <c r="L4433" s="607">
        <v>0.73</v>
      </c>
      <c r="M4433">
        <v>2.8000000000000003</v>
      </c>
      <c r="N4433" s="381">
        <v>35</v>
      </c>
      <c r="O4433">
        <v>8</v>
      </c>
      <c r="P4433" t="s">
        <v>515</v>
      </c>
      <c r="Q4433" s="97" t="str">
        <f t="shared" si="570"/>
        <v/>
      </c>
      <c r="R4433" t="str">
        <f t="shared" si="571"/>
        <v/>
      </c>
    </row>
    <row r="4434" spans="3:18">
      <c r="C4434" t="str">
        <f t="shared" si="567"/>
        <v>NL</v>
      </c>
      <c r="D4434">
        <f t="shared" si="572"/>
        <v>525</v>
      </c>
      <c r="E4434">
        <v>255</v>
      </c>
      <c r="F4434" s="366">
        <f t="shared" si="561"/>
        <v>5533.5</v>
      </c>
      <c r="G4434" s="97">
        <v>5808</v>
      </c>
      <c r="H4434" s="367">
        <f t="shared" si="568"/>
        <v>11341.5</v>
      </c>
      <c r="I4434" s="368">
        <f t="shared" si="569"/>
        <v>0</v>
      </c>
      <c r="J4434">
        <v>22983</v>
      </c>
      <c r="K4434" s="367">
        <f t="shared" si="564"/>
        <v>16416.428571428572</v>
      </c>
      <c r="L4434" s="607">
        <v>0.6</v>
      </c>
      <c r="M4434">
        <v>1.7000000000000002</v>
      </c>
      <c r="N4434" s="381">
        <v>35</v>
      </c>
      <c r="O4434">
        <v>9</v>
      </c>
      <c r="P4434" t="s">
        <v>515</v>
      </c>
      <c r="Q4434" s="97" t="str">
        <f t="shared" si="570"/>
        <v/>
      </c>
      <c r="R4434" t="str">
        <f t="shared" si="571"/>
        <v/>
      </c>
    </row>
    <row r="4435" spans="3:18">
      <c r="C4435" t="str">
        <f t="shared" si="567"/>
        <v/>
      </c>
      <c r="D4435">
        <f t="shared" si="572"/>
        <v>526</v>
      </c>
      <c r="E4435">
        <v>255</v>
      </c>
      <c r="F4435" s="366">
        <f t="shared" si="561"/>
        <v>5533.5</v>
      </c>
      <c r="G4435" s="97">
        <v>5972</v>
      </c>
      <c r="H4435" s="367">
        <f t="shared" si="568"/>
        <v>11505.5</v>
      </c>
      <c r="I4435" s="368">
        <f t="shared" si="569"/>
        <v>0</v>
      </c>
      <c r="J4435">
        <v>23634</v>
      </c>
      <c r="K4435" s="367">
        <f t="shared" si="564"/>
        <v>16881.428571428572</v>
      </c>
      <c r="L4435" s="607">
        <v>0.51</v>
      </c>
      <c r="M4435">
        <v>3.7</v>
      </c>
      <c r="N4435" s="381">
        <v>35</v>
      </c>
      <c r="O4435">
        <v>10</v>
      </c>
      <c r="P4435" t="s">
        <v>515</v>
      </c>
      <c r="Q4435" s="97" t="str">
        <f t="shared" si="570"/>
        <v/>
      </c>
      <c r="R4435" t="str">
        <f t="shared" si="571"/>
        <v/>
      </c>
    </row>
    <row r="4436" spans="3:18">
      <c r="C4436" t="str">
        <f t="shared" si="567"/>
        <v>NL</v>
      </c>
      <c r="D4436">
        <f t="shared" si="572"/>
        <v>527</v>
      </c>
      <c r="E4436">
        <v>260</v>
      </c>
      <c r="F4436" s="366">
        <f t="shared" si="561"/>
        <v>5642</v>
      </c>
      <c r="G4436" s="97">
        <v>5488</v>
      </c>
      <c r="H4436" s="367">
        <f t="shared" si="568"/>
        <v>11130</v>
      </c>
      <c r="I4436" s="368">
        <f t="shared" si="569"/>
        <v>0</v>
      </c>
      <c r="J4436">
        <v>21718</v>
      </c>
      <c r="K4436" s="367">
        <f t="shared" si="564"/>
        <v>15512.857142857143</v>
      </c>
      <c r="L4436" s="607">
        <v>0.95</v>
      </c>
      <c r="M4436">
        <v>1.3</v>
      </c>
      <c r="N4436" s="381">
        <v>36</v>
      </c>
      <c r="O4436">
        <v>7</v>
      </c>
      <c r="P4436" t="s">
        <v>515</v>
      </c>
      <c r="Q4436" s="97" t="str">
        <f t="shared" si="570"/>
        <v/>
      </c>
      <c r="R4436" t="str">
        <f t="shared" si="571"/>
        <v/>
      </c>
    </row>
    <row r="4437" spans="3:18">
      <c r="C4437" t="str">
        <f t="shared" si="567"/>
        <v/>
      </c>
      <c r="D4437">
        <f t="shared" si="572"/>
        <v>528</v>
      </c>
      <c r="E4437">
        <v>260</v>
      </c>
      <c r="F4437" s="366">
        <f t="shared" si="561"/>
        <v>5642</v>
      </c>
      <c r="G4437" s="97">
        <v>4547</v>
      </c>
      <c r="H4437" s="367">
        <f t="shared" si="568"/>
        <v>10189</v>
      </c>
      <c r="I4437" s="368">
        <f t="shared" si="569"/>
        <v>0</v>
      </c>
      <c r="J4437">
        <v>17996</v>
      </c>
      <c r="K4437" s="367">
        <f t="shared" si="564"/>
        <v>12854.285714285714</v>
      </c>
      <c r="L4437" s="607">
        <v>0.76</v>
      </c>
      <c r="M4437">
        <v>2.8000000000000003</v>
      </c>
      <c r="N4437" s="381">
        <v>36</v>
      </c>
      <c r="O4437">
        <v>8</v>
      </c>
      <c r="P4437" t="s">
        <v>515</v>
      </c>
      <c r="Q4437" s="97" t="str">
        <f t="shared" si="570"/>
        <v/>
      </c>
      <c r="R4437" t="str">
        <f t="shared" si="571"/>
        <v/>
      </c>
    </row>
    <row r="4438" spans="3:18">
      <c r="C4438" t="str">
        <f t="shared" si="567"/>
        <v>NL</v>
      </c>
      <c r="D4438">
        <f t="shared" si="572"/>
        <v>529</v>
      </c>
      <c r="E4438">
        <v>260</v>
      </c>
      <c r="F4438" s="366">
        <f t="shared" si="561"/>
        <v>5642</v>
      </c>
      <c r="G4438" s="97">
        <v>5883</v>
      </c>
      <c r="H4438" s="367">
        <f t="shared" si="568"/>
        <v>11525</v>
      </c>
      <c r="I4438" s="368">
        <f t="shared" si="569"/>
        <v>0</v>
      </c>
      <c r="J4438">
        <v>23282</v>
      </c>
      <c r="K4438" s="367">
        <f t="shared" si="564"/>
        <v>16630</v>
      </c>
      <c r="L4438" s="607">
        <v>0.63</v>
      </c>
      <c r="M4438">
        <v>1.7000000000000002</v>
      </c>
      <c r="N4438" s="381">
        <v>36</v>
      </c>
      <c r="O4438">
        <v>9</v>
      </c>
      <c r="P4438" t="s">
        <v>515</v>
      </c>
      <c r="Q4438" s="97" t="str">
        <f t="shared" si="570"/>
        <v/>
      </c>
      <c r="R4438" t="str">
        <f t="shared" si="571"/>
        <v/>
      </c>
    </row>
    <row r="4439" spans="3:18">
      <c r="C4439" t="str">
        <f t="shared" si="567"/>
        <v/>
      </c>
      <c r="D4439">
        <f t="shared" si="572"/>
        <v>530</v>
      </c>
      <c r="E4439">
        <v>260</v>
      </c>
      <c r="F4439" s="366">
        <f t="shared" si="561"/>
        <v>5642</v>
      </c>
      <c r="G4439" s="97">
        <v>6046</v>
      </c>
      <c r="H4439" s="367">
        <f t="shared" si="568"/>
        <v>11688</v>
      </c>
      <c r="I4439" s="368">
        <f t="shared" si="569"/>
        <v>0</v>
      </c>
      <c r="J4439">
        <v>23925</v>
      </c>
      <c r="K4439" s="367">
        <f t="shared" si="564"/>
        <v>17089.285714285714</v>
      </c>
      <c r="L4439" s="607">
        <v>0.53</v>
      </c>
      <c r="M4439">
        <v>3.7</v>
      </c>
      <c r="N4439" s="381">
        <v>36</v>
      </c>
      <c r="O4439">
        <v>10</v>
      </c>
      <c r="P4439" t="s">
        <v>515</v>
      </c>
      <c r="Q4439" s="97" t="str">
        <f t="shared" si="570"/>
        <v/>
      </c>
      <c r="R4439" t="str">
        <f t="shared" si="571"/>
        <v/>
      </c>
    </row>
    <row r="4440" spans="3:18">
      <c r="C4440" t="str">
        <f t="shared" si="567"/>
        <v>NL</v>
      </c>
      <c r="D4440">
        <f t="shared" si="572"/>
        <v>531</v>
      </c>
      <c r="E4440">
        <v>265</v>
      </c>
      <c r="F4440" s="366">
        <f t="shared" si="561"/>
        <v>5750.5</v>
      </c>
      <c r="G4440" s="97">
        <v>5553</v>
      </c>
      <c r="H4440" s="367">
        <f t="shared" si="568"/>
        <v>11303.5</v>
      </c>
      <c r="I4440" s="368">
        <f t="shared" si="569"/>
        <v>0</v>
      </c>
      <c r="J4440">
        <v>21977</v>
      </c>
      <c r="K4440" s="367">
        <f t="shared" si="564"/>
        <v>15697.857142857143</v>
      </c>
      <c r="L4440" s="607">
        <v>0.98</v>
      </c>
      <c r="M4440">
        <v>1.3</v>
      </c>
      <c r="N4440" s="381">
        <v>36</v>
      </c>
      <c r="O4440">
        <v>7</v>
      </c>
      <c r="P4440" t="s">
        <v>515</v>
      </c>
      <c r="Q4440" s="97" t="str">
        <f t="shared" si="570"/>
        <v/>
      </c>
      <c r="R4440" t="str">
        <f t="shared" si="571"/>
        <v/>
      </c>
    </row>
    <row r="4441" spans="3:18">
      <c r="C4441" t="str">
        <f t="shared" si="567"/>
        <v/>
      </c>
      <c r="D4441">
        <f t="shared" si="572"/>
        <v>532</v>
      </c>
      <c r="E4441">
        <v>265</v>
      </c>
      <c r="F4441" s="366">
        <f t="shared" si="561"/>
        <v>5750.5</v>
      </c>
      <c r="G4441" s="97">
        <v>4609</v>
      </c>
      <c r="H4441" s="367">
        <f t="shared" si="568"/>
        <v>10359.5</v>
      </c>
      <c r="I4441" s="368">
        <f t="shared" si="569"/>
        <v>0</v>
      </c>
      <c r="J4441">
        <v>18241</v>
      </c>
      <c r="K4441" s="367">
        <f t="shared" si="564"/>
        <v>13029.285714285714</v>
      </c>
      <c r="L4441" s="607">
        <v>0.78</v>
      </c>
      <c r="M4441">
        <v>2.8000000000000003</v>
      </c>
      <c r="N4441" s="381">
        <v>36</v>
      </c>
      <c r="O4441">
        <v>8</v>
      </c>
      <c r="P4441" t="s">
        <v>515</v>
      </c>
      <c r="Q4441" s="97" t="str">
        <f t="shared" si="570"/>
        <v/>
      </c>
      <c r="R4441" t="str">
        <f t="shared" si="571"/>
        <v/>
      </c>
    </row>
    <row r="4442" spans="3:18">
      <c r="C4442" t="str">
        <f t="shared" si="567"/>
        <v>NL</v>
      </c>
      <c r="D4442">
        <f t="shared" si="572"/>
        <v>533</v>
      </c>
      <c r="E4442">
        <v>265</v>
      </c>
      <c r="F4442" s="366">
        <f t="shared" si="561"/>
        <v>5750.5</v>
      </c>
      <c r="G4442" s="97">
        <v>5959</v>
      </c>
      <c r="H4442" s="367">
        <f t="shared" si="568"/>
        <v>11709.5</v>
      </c>
      <c r="I4442" s="368">
        <f t="shared" si="569"/>
        <v>0</v>
      </c>
      <c r="J4442">
        <v>23582</v>
      </c>
      <c r="K4442" s="367">
        <f t="shared" si="564"/>
        <v>16844.285714285714</v>
      </c>
      <c r="L4442" s="607">
        <v>0.65</v>
      </c>
      <c r="M4442">
        <v>1.7000000000000002</v>
      </c>
      <c r="N4442" s="381">
        <v>36</v>
      </c>
      <c r="O4442">
        <v>9</v>
      </c>
      <c r="P4442" t="s">
        <v>515</v>
      </c>
      <c r="Q4442" s="97" t="str">
        <f t="shared" si="570"/>
        <v/>
      </c>
      <c r="R4442" t="str">
        <f t="shared" si="571"/>
        <v/>
      </c>
    </row>
    <row r="4443" spans="3:18">
      <c r="C4443" t="str">
        <f t="shared" si="567"/>
        <v/>
      </c>
      <c r="D4443">
        <f t="shared" si="572"/>
        <v>534</v>
      </c>
      <c r="E4443">
        <v>265</v>
      </c>
      <c r="F4443" s="366">
        <f t="shared" si="561"/>
        <v>5750.5</v>
      </c>
      <c r="G4443" s="97">
        <v>6119</v>
      </c>
      <c r="H4443" s="367">
        <f t="shared" si="568"/>
        <v>11869.5</v>
      </c>
      <c r="I4443" s="368">
        <f t="shared" si="569"/>
        <v>0</v>
      </c>
      <c r="J4443">
        <v>24217</v>
      </c>
      <c r="K4443" s="367">
        <f t="shared" si="564"/>
        <v>17297.857142857145</v>
      </c>
      <c r="L4443" s="607">
        <v>0.55000000000000004</v>
      </c>
      <c r="M4443">
        <v>3.7</v>
      </c>
      <c r="N4443" s="381">
        <v>37</v>
      </c>
      <c r="O4443">
        <v>10</v>
      </c>
      <c r="P4443" t="s">
        <v>515</v>
      </c>
      <c r="Q4443" s="97" t="str">
        <f t="shared" si="570"/>
        <v/>
      </c>
      <c r="R4443" t="str">
        <f t="shared" si="571"/>
        <v/>
      </c>
    </row>
    <row r="4444" spans="3:18">
      <c r="C4444" t="str">
        <f t="shared" si="567"/>
        <v>NL</v>
      </c>
      <c r="D4444">
        <f t="shared" si="572"/>
        <v>535</v>
      </c>
      <c r="E4444">
        <v>270</v>
      </c>
      <c r="F4444" s="366">
        <f t="shared" si="561"/>
        <v>5859</v>
      </c>
      <c r="G4444" s="97">
        <v>5619</v>
      </c>
      <c r="H4444" s="367">
        <f t="shared" si="568"/>
        <v>11478</v>
      </c>
      <c r="I4444" s="368">
        <f t="shared" si="569"/>
        <v>0</v>
      </c>
      <c r="J4444">
        <v>22235</v>
      </c>
      <c r="K4444" s="367">
        <f t="shared" si="564"/>
        <v>15882.142857142857</v>
      </c>
      <c r="L4444" s="607">
        <v>1.02</v>
      </c>
      <c r="M4444">
        <v>1.3</v>
      </c>
      <c r="N4444" s="381">
        <v>37</v>
      </c>
      <c r="O4444">
        <v>7</v>
      </c>
      <c r="P4444" t="s">
        <v>515</v>
      </c>
      <c r="Q4444" s="97" t="str">
        <f t="shared" si="570"/>
        <v/>
      </c>
      <c r="R4444" t="str">
        <f t="shared" si="571"/>
        <v/>
      </c>
    </row>
    <row r="4445" spans="3:18">
      <c r="C4445" t="str">
        <f t="shared" si="567"/>
        <v/>
      </c>
      <c r="D4445">
        <f t="shared" si="572"/>
        <v>536</v>
      </c>
      <c r="E4445">
        <v>270</v>
      </c>
      <c r="F4445" s="366">
        <f t="shared" si="561"/>
        <v>5859</v>
      </c>
      <c r="G4445" s="97">
        <v>4671</v>
      </c>
      <c r="H4445" s="367">
        <f t="shared" si="568"/>
        <v>10530</v>
      </c>
      <c r="I4445" s="368">
        <f t="shared" si="569"/>
        <v>0</v>
      </c>
      <c r="J4445">
        <v>18486</v>
      </c>
      <c r="K4445" s="367">
        <f t="shared" si="564"/>
        <v>13204.285714285714</v>
      </c>
      <c r="L4445" s="607">
        <v>0.81</v>
      </c>
      <c r="M4445">
        <v>2.8000000000000003</v>
      </c>
      <c r="N4445" s="381">
        <v>37</v>
      </c>
      <c r="O4445">
        <v>8</v>
      </c>
      <c r="P4445" t="s">
        <v>515</v>
      </c>
      <c r="Q4445" s="97" t="str">
        <f t="shared" si="570"/>
        <v/>
      </c>
      <c r="R4445" t="str">
        <f t="shared" si="571"/>
        <v/>
      </c>
    </row>
    <row r="4446" spans="3:18">
      <c r="C4446" t="str">
        <f t="shared" si="567"/>
        <v>NL</v>
      </c>
      <c r="D4446">
        <f t="shared" si="572"/>
        <v>537</v>
      </c>
      <c r="E4446">
        <v>270</v>
      </c>
      <c r="F4446" s="366">
        <f t="shared" si="561"/>
        <v>5859</v>
      </c>
      <c r="G4446" s="97">
        <v>6034</v>
      </c>
      <c r="H4446" s="367">
        <f t="shared" si="568"/>
        <v>11893</v>
      </c>
      <c r="I4446" s="368">
        <f t="shared" si="569"/>
        <v>0</v>
      </c>
      <c r="J4446">
        <v>23881</v>
      </c>
      <c r="K4446" s="367">
        <f t="shared" si="564"/>
        <v>17057.857142857145</v>
      </c>
      <c r="L4446" s="607">
        <v>0.67</v>
      </c>
      <c r="M4446">
        <v>1.7000000000000002</v>
      </c>
      <c r="N4446" s="381">
        <v>37</v>
      </c>
      <c r="O4446">
        <v>9</v>
      </c>
      <c r="P4446" t="s">
        <v>515</v>
      </c>
      <c r="Q4446" s="97" t="str">
        <f t="shared" si="570"/>
        <v/>
      </c>
      <c r="R4446" t="str">
        <f t="shared" si="571"/>
        <v/>
      </c>
    </row>
    <row r="4447" spans="3:18">
      <c r="C4447" t="str">
        <f t="shared" si="567"/>
        <v/>
      </c>
      <c r="D4447">
        <f t="shared" si="572"/>
        <v>538</v>
      </c>
      <c r="E4447">
        <v>270</v>
      </c>
      <c r="F4447" s="366">
        <f t="shared" si="561"/>
        <v>5859</v>
      </c>
      <c r="G4447" s="97">
        <v>6193</v>
      </c>
      <c r="H4447" s="367">
        <f t="shared" si="568"/>
        <v>12052</v>
      </c>
      <c r="I4447" s="368">
        <f t="shared" si="569"/>
        <v>0</v>
      </c>
      <c r="J4447">
        <v>24508</v>
      </c>
      <c r="K4447" s="367">
        <f t="shared" si="564"/>
        <v>17505.714285714286</v>
      </c>
      <c r="L4447" s="607">
        <v>0.57000000000000006</v>
      </c>
      <c r="M4447">
        <v>3.7</v>
      </c>
      <c r="N4447" s="381">
        <v>38</v>
      </c>
      <c r="O4447">
        <v>10</v>
      </c>
      <c r="P4447" t="s">
        <v>515</v>
      </c>
      <c r="Q4447" s="97" t="str">
        <f t="shared" si="570"/>
        <v/>
      </c>
      <c r="R4447" t="str">
        <f t="shared" si="571"/>
        <v/>
      </c>
    </row>
    <row r="4448" spans="3:18">
      <c r="C4448" t="str">
        <f t="shared" si="567"/>
        <v/>
      </c>
      <c r="D4448">
        <f t="shared" si="572"/>
        <v>539</v>
      </c>
      <c r="E4448">
        <v>275</v>
      </c>
      <c r="F4448" s="366">
        <f t="shared" si="561"/>
        <v>5967.5</v>
      </c>
      <c r="G4448" s="97">
        <v>4733</v>
      </c>
      <c r="H4448" s="367">
        <f t="shared" si="568"/>
        <v>10700.5</v>
      </c>
      <c r="I4448" s="368">
        <f t="shared" si="569"/>
        <v>0</v>
      </c>
      <c r="J4448">
        <v>18730</v>
      </c>
      <c r="K4448" s="367">
        <f t="shared" si="564"/>
        <v>13378.571428571429</v>
      </c>
      <c r="L4448" s="607">
        <v>0.84</v>
      </c>
      <c r="M4448">
        <v>2.8000000000000003</v>
      </c>
      <c r="N4448" s="381">
        <v>38</v>
      </c>
      <c r="O4448">
        <v>8</v>
      </c>
      <c r="P4448" t="s">
        <v>515</v>
      </c>
      <c r="Q4448" s="97" t="str">
        <f t="shared" si="570"/>
        <v/>
      </c>
      <c r="R4448" t="str">
        <f t="shared" si="571"/>
        <v/>
      </c>
    </row>
    <row r="4449" spans="3:18">
      <c r="C4449" t="str">
        <f t="shared" si="567"/>
        <v>NL</v>
      </c>
      <c r="D4449">
        <f t="shared" si="572"/>
        <v>540</v>
      </c>
      <c r="E4449">
        <v>275</v>
      </c>
      <c r="F4449" s="366">
        <f t="shared" si="561"/>
        <v>5967.5</v>
      </c>
      <c r="G4449" s="97">
        <v>6110</v>
      </c>
      <c r="H4449" s="367">
        <f t="shared" si="568"/>
        <v>12077.5</v>
      </c>
      <c r="I4449" s="368">
        <f t="shared" si="569"/>
        <v>0</v>
      </c>
      <c r="J4449">
        <v>24180</v>
      </c>
      <c r="K4449" s="367">
        <f t="shared" si="564"/>
        <v>17271.428571428572</v>
      </c>
      <c r="L4449" s="607">
        <v>0.7</v>
      </c>
      <c r="M4449">
        <v>1.7000000000000002</v>
      </c>
      <c r="N4449" s="381">
        <v>38</v>
      </c>
      <c r="O4449">
        <v>9</v>
      </c>
      <c r="P4449" t="s">
        <v>515</v>
      </c>
      <c r="Q4449" s="97" t="str">
        <f t="shared" si="570"/>
        <v/>
      </c>
      <c r="R4449" t="str">
        <f t="shared" si="571"/>
        <v/>
      </c>
    </row>
    <row r="4450" spans="3:18">
      <c r="C4450" t="str">
        <f t="shared" si="567"/>
        <v/>
      </c>
      <c r="D4450">
        <f t="shared" si="572"/>
        <v>541</v>
      </c>
      <c r="E4450">
        <v>275</v>
      </c>
      <c r="F4450" s="366">
        <f t="shared" si="561"/>
        <v>5967.5</v>
      </c>
      <c r="G4450" s="97">
        <v>6267</v>
      </c>
      <c r="H4450" s="367">
        <f t="shared" si="568"/>
        <v>12234.5</v>
      </c>
      <c r="I4450" s="368">
        <f t="shared" si="569"/>
        <v>0</v>
      </c>
      <c r="J4450">
        <v>24800</v>
      </c>
      <c r="K4450" s="367">
        <f t="shared" si="564"/>
        <v>17714.285714285714</v>
      </c>
      <c r="L4450" s="607">
        <v>0.6</v>
      </c>
      <c r="M4450">
        <v>3.7</v>
      </c>
      <c r="N4450" s="381">
        <v>38</v>
      </c>
      <c r="O4450">
        <v>10</v>
      </c>
      <c r="P4450" t="s">
        <v>515</v>
      </c>
      <c r="Q4450" s="97" t="str">
        <f t="shared" si="570"/>
        <v/>
      </c>
      <c r="R4450" t="str">
        <f t="shared" si="571"/>
        <v/>
      </c>
    </row>
    <row r="4451" spans="3:18">
      <c r="C4451" t="str">
        <f t="shared" si="567"/>
        <v/>
      </c>
      <c r="D4451">
        <f t="shared" si="572"/>
        <v>542</v>
      </c>
      <c r="E4451">
        <v>280</v>
      </c>
      <c r="F4451" s="366">
        <f t="shared" si="561"/>
        <v>6076</v>
      </c>
      <c r="G4451" s="97">
        <v>4795</v>
      </c>
      <c r="H4451" s="367">
        <f t="shared" si="568"/>
        <v>10871</v>
      </c>
      <c r="I4451" s="368">
        <f t="shared" si="569"/>
        <v>0</v>
      </c>
      <c r="J4451">
        <v>18975</v>
      </c>
      <c r="K4451" s="367">
        <f t="shared" si="564"/>
        <v>13553.571428571429</v>
      </c>
      <c r="L4451" s="607">
        <v>0.88</v>
      </c>
      <c r="M4451">
        <v>2.8000000000000003</v>
      </c>
      <c r="N4451" s="381">
        <v>38</v>
      </c>
      <c r="O4451">
        <v>8</v>
      </c>
      <c r="P4451" t="s">
        <v>515</v>
      </c>
      <c r="Q4451" s="97" t="str">
        <f t="shared" si="570"/>
        <v/>
      </c>
      <c r="R4451" t="str">
        <f t="shared" si="571"/>
        <v/>
      </c>
    </row>
    <row r="4452" spans="3:18">
      <c r="C4452" t="str">
        <f t="shared" si="567"/>
        <v>NL</v>
      </c>
      <c r="D4452">
        <f t="shared" si="572"/>
        <v>543</v>
      </c>
      <c r="E4452">
        <v>280</v>
      </c>
      <c r="F4452" s="366">
        <f t="shared" si="561"/>
        <v>6076</v>
      </c>
      <c r="G4452" s="97">
        <v>6183</v>
      </c>
      <c r="H4452" s="367">
        <f t="shared" si="568"/>
        <v>12259</v>
      </c>
      <c r="I4452" s="368">
        <f t="shared" si="569"/>
        <v>0</v>
      </c>
      <c r="J4452">
        <v>24468</v>
      </c>
      <c r="K4452" s="367">
        <f t="shared" si="564"/>
        <v>17477.142857142859</v>
      </c>
      <c r="L4452" s="607">
        <v>0.72</v>
      </c>
      <c r="M4452">
        <v>1.7000000000000002</v>
      </c>
      <c r="N4452" s="381">
        <v>39</v>
      </c>
      <c r="O4452">
        <v>9</v>
      </c>
      <c r="P4452" t="s">
        <v>515</v>
      </c>
      <c r="Q4452" s="97" t="str">
        <f t="shared" si="570"/>
        <v/>
      </c>
      <c r="R4452" t="str">
        <f t="shared" si="571"/>
        <v/>
      </c>
    </row>
    <row r="4453" spans="3:18">
      <c r="C4453" t="str">
        <f t="shared" si="567"/>
        <v/>
      </c>
      <c r="D4453">
        <f t="shared" si="572"/>
        <v>544</v>
      </c>
      <c r="E4453">
        <v>280</v>
      </c>
      <c r="F4453" s="366">
        <f t="shared" si="561"/>
        <v>6076</v>
      </c>
      <c r="G4453" s="97">
        <v>6340</v>
      </c>
      <c r="H4453" s="367">
        <f t="shared" si="568"/>
        <v>12416</v>
      </c>
      <c r="I4453" s="368">
        <f t="shared" si="569"/>
        <v>0</v>
      </c>
      <c r="J4453">
        <v>25092</v>
      </c>
      <c r="K4453" s="367">
        <f t="shared" si="564"/>
        <v>17922.857142857145</v>
      </c>
      <c r="L4453" s="607">
        <v>0.62</v>
      </c>
      <c r="M4453">
        <v>3.7</v>
      </c>
      <c r="N4453" s="381">
        <v>39</v>
      </c>
      <c r="O4453">
        <v>10</v>
      </c>
      <c r="P4453" t="s">
        <v>515</v>
      </c>
      <c r="Q4453" s="97" t="str">
        <f t="shared" si="570"/>
        <v/>
      </c>
      <c r="R4453" t="str">
        <f t="shared" si="571"/>
        <v/>
      </c>
    </row>
    <row r="4454" spans="3:18">
      <c r="C4454" t="str">
        <f t="shared" si="567"/>
        <v/>
      </c>
      <c r="D4454">
        <f t="shared" si="572"/>
        <v>545</v>
      </c>
      <c r="E4454">
        <v>285</v>
      </c>
      <c r="F4454" s="366">
        <f t="shared" si="561"/>
        <v>6184.5</v>
      </c>
      <c r="G4454" s="97">
        <v>4852</v>
      </c>
      <c r="H4454" s="367">
        <f t="shared" ref="H4454:H4487" si="573">(G4454*$U$7)+F4454</f>
        <v>11036.5</v>
      </c>
      <c r="I4454" s="368">
        <f t="shared" ref="I4454:I4487" si="574">1.085*($C$2-$D$2)*E4454*$T$7</f>
        <v>0</v>
      </c>
      <c r="J4454">
        <v>19200</v>
      </c>
      <c r="K4454" s="367">
        <f t="shared" si="564"/>
        <v>13714.285714285714</v>
      </c>
      <c r="L4454" s="607">
        <v>0.91</v>
      </c>
      <c r="M4454">
        <v>2.8000000000000003</v>
      </c>
      <c r="N4454" s="381">
        <v>39</v>
      </c>
      <c r="O4454">
        <v>8</v>
      </c>
      <c r="P4454" t="s">
        <v>515</v>
      </c>
      <c r="Q4454" s="97" t="str">
        <f t="shared" ref="Q4454:Q4487" si="575">IF(AND(H4454+1&gt;$E$4,L4454&lt;$L$4+0.01,M4454&lt;$M$4+0.01,K4454+1&gt;$F$4,E4454+1&gt;$J$4,N4454&lt;$K$4+1,O4454&lt;$P$4+1,C4454=""),D4454,"")</f>
        <v/>
      </c>
      <c r="R4454" t="str">
        <f t="shared" ref="R4454:R4487" si="576">IF(Q4454="","",IF(AND(O4454&lt;$X$36,E4454&gt;$U$36,E4454&lt;$Q$4+$U$36+1),D4454,""))</f>
        <v/>
      </c>
    </row>
    <row r="4455" spans="3:18">
      <c r="C4455" t="str">
        <f t="shared" si="567"/>
        <v>NL</v>
      </c>
      <c r="D4455">
        <f t="shared" ref="D4455:D4487" si="577">D4454+1</f>
        <v>546</v>
      </c>
      <c r="E4455">
        <v>285</v>
      </c>
      <c r="F4455" s="366">
        <f t="shared" si="561"/>
        <v>6184.5</v>
      </c>
      <c r="G4455" s="97">
        <v>6251</v>
      </c>
      <c r="H4455" s="367">
        <f t="shared" si="573"/>
        <v>12435.5</v>
      </c>
      <c r="I4455" s="368">
        <f t="shared" si="574"/>
        <v>0</v>
      </c>
      <c r="J4455">
        <v>24736</v>
      </c>
      <c r="K4455" s="367">
        <f t="shared" si="564"/>
        <v>17668.571428571428</v>
      </c>
      <c r="L4455" s="607">
        <v>0.75</v>
      </c>
      <c r="M4455">
        <v>1.7000000000000002</v>
      </c>
      <c r="N4455" s="381">
        <v>39</v>
      </c>
      <c r="O4455">
        <v>9</v>
      </c>
      <c r="P4455" t="s">
        <v>515</v>
      </c>
      <c r="Q4455" s="97" t="str">
        <f t="shared" si="575"/>
        <v/>
      </c>
      <c r="R4455" t="str">
        <f t="shared" si="576"/>
        <v/>
      </c>
    </row>
    <row r="4456" spans="3:18">
      <c r="C4456" t="str">
        <f t="shared" si="567"/>
        <v/>
      </c>
      <c r="D4456">
        <f t="shared" si="577"/>
        <v>547</v>
      </c>
      <c r="E4456">
        <v>285</v>
      </c>
      <c r="F4456" s="366">
        <f t="shared" si="561"/>
        <v>6184.5</v>
      </c>
      <c r="G4456" s="97">
        <v>6414</v>
      </c>
      <c r="H4456" s="367">
        <f t="shared" si="573"/>
        <v>12598.5</v>
      </c>
      <c r="I4456" s="368">
        <f t="shared" si="574"/>
        <v>0</v>
      </c>
      <c r="J4456">
        <v>25383</v>
      </c>
      <c r="K4456" s="367">
        <f t="shared" si="564"/>
        <v>18130.714285714286</v>
      </c>
      <c r="L4456" s="607">
        <v>0.64</v>
      </c>
      <c r="M4456">
        <v>3.7</v>
      </c>
      <c r="N4456" s="381">
        <v>40</v>
      </c>
      <c r="O4456">
        <v>10</v>
      </c>
      <c r="P4456" t="s">
        <v>515</v>
      </c>
      <c r="Q4456" s="97" t="str">
        <f t="shared" si="575"/>
        <v/>
      </c>
      <c r="R4456" t="str">
        <f t="shared" si="576"/>
        <v/>
      </c>
    </row>
    <row r="4457" spans="3:18">
      <c r="C4457" t="str">
        <f t="shared" si="567"/>
        <v/>
      </c>
      <c r="D4457">
        <f t="shared" si="577"/>
        <v>548</v>
      </c>
      <c r="E4457">
        <v>290</v>
      </c>
      <c r="F4457" s="366">
        <f t="shared" si="561"/>
        <v>6293</v>
      </c>
      <c r="G4457" s="97">
        <v>4907</v>
      </c>
      <c r="H4457" s="367">
        <f t="shared" si="573"/>
        <v>11200</v>
      </c>
      <c r="I4457" s="368">
        <f t="shared" si="574"/>
        <v>0</v>
      </c>
      <c r="J4457">
        <v>19418</v>
      </c>
      <c r="K4457" s="367">
        <f t="shared" si="564"/>
        <v>13870</v>
      </c>
      <c r="L4457" s="607">
        <v>0.94000000000000006</v>
      </c>
      <c r="M4457">
        <v>2.8000000000000003</v>
      </c>
      <c r="N4457" s="381">
        <v>40</v>
      </c>
      <c r="O4457">
        <v>8</v>
      </c>
      <c r="P4457" t="s">
        <v>515</v>
      </c>
      <c r="Q4457" s="97" t="str">
        <f t="shared" si="575"/>
        <v/>
      </c>
      <c r="R4457" t="str">
        <f t="shared" si="576"/>
        <v/>
      </c>
    </row>
    <row r="4458" spans="3:18">
      <c r="C4458" t="str">
        <f t="shared" si="567"/>
        <v>NL</v>
      </c>
      <c r="D4458">
        <f t="shared" si="577"/>
        <v>549</v>
      </c>
      <c r="E4458">
        <v>290</v>
      </c>
      <c r="F4458" s="366">
        <f t="shared" si="561"/>
        <v>6293</v>
      </c>
      <c r="G4458" s="97">
        <v>6318</v>
      </c>
      <c r="H4458" s="367">
        <f t="shared" si="573"/>
        <v>12611</v>
      </c>
      <c r="I4458" s="368">
        <f t="shared" si="574"/>
        <v>0</v>
      </c>
      <c r="J4458">
        <v>25005</v>
      </c>
      <c r="K4458" s="367">
        <f t="shared" si="564"/>
        <v>17860.714285714286</v>
      </c>
      <c r="L4458" s="607">
        <v>0.78</v>
      </c>
      <c r="M4458">
        <v>1.7000000000000002</v>
      </c>
      <c r="N4458" s="381">
        <v>40</v>
      </c>
      <c r="O4458">
        <v>9</v>
      </c>
      <c r="P4458" t="s">
        <v>515</v>
      </c>
      <c r="Q4458" s="97" t="str">
        <f t="shared" si="575"/>
        <v/>
      </c>
      <c r="R4458" t="str">
        <f t="shared" si="576"/>
        <v/>
      </c>
    </row>
    <row r="4459" spans="3:18">
      <c r="C4459" t="str">
        <f t="shared" si="567"/>
        <v/>
      </c>
      <c r="D4459">
        <f t="shared" si="577"/>
        <v>550</v>
      </c>
      <c r="E4459">
        <v>290</v>
      </c>
      <c r="F4459" s="366">
        <f t="shared" si="561"/>
        <v>6293</v>
      </c>
      <c r="G4459" s="97">
        <v>6488</v>
      </c>
      <c r="H4459" s="367">
        <f t="shared" si="573"/>
        <v>12781</v>
      </c>
      <c r="I4459" s="368">
        <f t="shared" si="574"/>
        <v>0</v>
      </c>
      <c r="J4459">
        <v>25675</v>
      </c>
      <c r="K4459" s="367">
        <f t="shared" si="564"/>
        <v>18339.285714285714</v>
      </c>
      <c r="L4459" s="607">
        <v>0.66</v>
      </c>
      <c r="M4459">
        <v>3.7</v>
      </c>
      <c r="N4459" s="381">
        <v>40</v>
      </c>
      <c r="O4459">
        <v>10</v>
      </c>
      <c r="P4459" t="s">
        <v>515</v>
      </c>
      <c r="Q4459" s="97" t="str">
        <f t="shared" si="575"/>
        <v/>
      </c>
      <c r="R4459" t="str">
        <f t="shared" si="576"/>
        <v/>
      </c>
    </row>
    <row r="4460" spans="3:18">
      <c r="C4460" t="str">
        <f t="shared" si="567"/>
        <v/>
      </c>
      <c r="D4460">
        <f t="shared" si="577"/>
        <v>551</v>
      </c>
      <c r="E4460">
        <v>295</v>
      </c>
      <c r="F4460" s="366">
        <f t="shared" si="561"/>
        <v>6401.5</v>
      </c>
      <c r="G4460" s="97">
        <v>4962</v>
      </c>
      <c r="H4460" s="367">
        <f t="shared" si="573"/>
        <v>11363.5</v>
      </c>
      <c r="I4460" s="368">
        <f t="shared" si="574"/>
        <v>0</v>
      </c>
      <c r="J4460">
        <v>19637</v>
      </c>
      <c r="K4460" s="367">
        <f t="shared" si="564"/>
        <v>14026.428571428572</v>
      </c>
      <c r="L4460" s="607">
        <v>0.97</v>
      </c>
      <c r="M4460">
        <v>2.8000000000000003</v>
      </c>
      <c r="N4460" s="381">
        <v>41</v>
      </c>
      <c r="O4460">
        <v>8</v>
      </c>
      <c r="P4460" t="s">
        <v>515</v>
      </c>
      <c r="Q4460" s="97" t="str">
        <f t="shared" si="575"/>
        <v/>
      </c>
      <c r="R4460" t="str">
        <f t="shared" si="576"/>
        <v/>
      </c>
    </row>
    <row r="4461" spans="3:18">
      <c r="C4461" t="str">
        <f t="shared" si="567"/>
        <v>NL</v>
      </c>
      <c r="D4461">
        <f t="shared" si="577"/>
        <v>552</v>
      </c>
      <c r="E4461">
        <v>295</v>
      </c>
      <c r="F4461" s="366">
        <f t="shared" si="561"/>
        <v>6401.5</v>
      </c>
      <c r="G4461" s="97">
        <v>6386</v>
      </c>
      <c r="H4461" s="367">
        <f t="shared" si="573"/>
        <v>12787.5</v>
      </c>
      <c r="I4461" s="368">
        <f t="shared" si="574"/>
        <v>0</v>
      </c>
      <c r="J4461">
        <v>25274</v>
      </c>
      <c r="K4461" s="367">
        <f t="shared" si="564"/>
        <v>18052.857142857145</v>
      </c>
      <c r="L4461" s="607">
        <v>0.8</v>
      </c>
      <c r="M4461">
        <v>1.7000000000000002</v>
      </c>
      <c r="N4461" s="381">
        <v>41</v>
      </c>
      <c r="O4461">
        <v>9</v>
      </c>
      <c r="P4461" t="s">
        <v>515</v>
      </c>
      <c r="Q4461" s="97" t="str">
        <f t="shared" si="575"/>
        <v/>
      </c>
      <c r="R4461" t="str">
        <f t="shared" si="576"/>
        <v/>
      </c>
    </row>
    <row r="4462" spans="3:18">
      <c r="C4462" t="str">
        <f t="shared" si="567"/>
        <v/>
      </c>
      <c r="D4462">
        <f t="shared" si="577"/>
        <v>553</v>
      </c>
      <c r="E4462">
        <v>295</v>
      </c>
      <c r="F4462" s="366">
        <f t="shared" si="561"/>
        <v>6401.5</v>
      </c>
      <c r="G4462" s="97">
        <v>6561</v>
      </c>
      <c r="H4462" s="367">
        <f t="shared" si="573"/>
        <v>12962.5</v>
      </c>
      <c r="I4462" s="368">
        <f t="shared" si="574"/>
        <v>0</v>
      </c>
      <c r="J4462">
        <v>25967</v>
      </c>
      <c r="K4462" s="367">
        <f t="shared" si="564"/>
        <v>18547.857142857145</v>
      </c>
      <c r="L4462" s="607">
        <v>0.69000000000000006</v>
      </c>
      <c r="M4462">
        <v>3.7</v>
      </c>
      <c r="N4462" s="381">
        <v>41</v>
      </c>
      <c r="O4462">
        <v>10</v>
      </c>
      <c r="P4462" t="s">
        <v>515</v>
      </c>
      <c r="Q4462" s="97" t="str">
        <f t="shared" si="575"/>
        <v/>
      </c>
      <c r="R4462" t="str">
        <f t="shared" si="576"/>
        <v/>
      </c>
    </row>
    <row r="4463" spans="3:18">
      <c r="C4463" t="str">
        <f t="shared" si="567"/>
        <v/>
      </c>
      <c r="D4463">
        <f t="shared" si="577"/>
        <v>554</v>
      </c>
      <c r="E4463">
        <v>300</v>
      </c>
      <c r="F4463" s="366">
        <f t="shared" si="561"/>
        <v>6510</v>
      </c>
      <c r="G4463" s="97">
        <v>5017</v>
      </c>
      <c r="H4463" s="367">
        <f t="shared" si="573"/>
        <v>11527</v>
      </c>
      <c r="I4463" s="368">
        <f t="shared" si="574"/>
        <v>0</v>
      </c>
      <c r="J4463">
        <v>19855</v>
      </c>
      <c r="K4463" s="367">
        <f t="shared" si="564"/>
        <v>14182.142857142857</v>
      </c>
      <c r="L4463" s="607">
        <v>1</v>
      </c>
      <c r="M4463">
        <v>2.8000000000000003</v>
      </c>
      <c r="N4463" s="381">
        <v>41</v>
      </c>
      <c r="O4463">
        <v>8</v>
      </c>
      <c r="P4463" t="s">
        <v>515</v>
      </c>
      <c r="Q4463" s="97" t="str">
        <f t="shared" si="575"/>
        <v/>
      </c>
      <c r="R4463" t="str">
        <f t="shared" si="576"/>
        <v/>
      </c>
    </row>
    <row r="4464" spans="3:18">
      <c r="C4464" t="str">
        <f t="shared" si="567"/>
        <v>NL</v>
      </c>
      <c r="D4464">
        <f t="shared" si="577"/>
        <v>555</v>
      </c>
      <c r="E4464">
        <v>300</v>
      </c>
      <c r="F4464" s="366">
        <f t="shared" si="561"/>
        <v>6510</v>
      </c>
      <c r="G4464" s="97">
        <v>6454</v>
      </c>
      <c r="H4464" s="367">
        <f t="shared" si="573"/>
        <v>12964</v>
      </c>
      <c r="I4464" s="368">
        <f t="shared" si="574"/>
        <v>0</v>
      </c>
      <c r="J4464">
        <v>25542</v>
      </c>
      <c r="K4464" s="367">
        <f t="shared" si="564"/>
        <v>18244.285714285714</v>
      </c>
      <c r="L4464" s="607">
        <v>0.83</v>
      </c>
      <c r="M4464">
        <v>1.7000000000000002</v>
      </c>
      <c r="N4464" s="381">
        <v>41</v>
      </c>
      <c r="O4464">
        <v>9</v>
      </c>
      <c r="P4464" t="s">
        <v>515</v>
      </c>
      <c r="Q4464" s="97" t="str">
        <f t="shared" si="575"/>
        <v/>
      </c>
      <c r="R4464" t="str">
        <f t="shared" si="576"/>
        <v/>
      </c>
    </row>
    <row r="4465" spans="3:18">
      <c r="C4465" t="str">
        <f t="shared" si="567"/>
        <v/>
      </c>
      <c r="D4465">
        <f t="shared" si="577"/>
        <v>556</v>
      </c>
      <c r="E4465">
        <v>300</v>
      </c>
      <c r="F4465" s="366">
        <f t="shared" si="561"/>
        <v>6510</v>
      </c>
      <c r="G4465" s="97">
        <v>6635</v>
      </c>
      <c r="H4465" s="367">
        <f t="shared" si="573"/>
        <v>13145</v>
      </c>
      <c r="I4465" s="368">
        <f t="shared" si="574"/>
        <v>0</v>
      </c>
      <c r="J4465">
        <v>26258</v>
      </c>
      <c r="K4465" s="367">
        <f t="shared" si="564"/>
        <v>18755.714285714286</v>
      </c>
      <c r="L4465" s="607">
        <v>0.71</v>
      </c>
      <c r="M4465">
        <v>3.7</v>
      </c>
      <c r="N4465" s="381">
        <v>42</v>
      </c>
      <c r="O4465">
        <v>10</v>
      </c>
      <c r="P4465" t="s">
        <v>515</v>
      </c>
      <c r="Q4465" s="97" t="str">
        <f t="shared" si="575"/>
        <v/>
      </c>
      <c r="R4465" t="str">
        <f t="shared" si="576"/>
        <v/>
      </c>
    </row>
    <row r="4466" spans="3:18">
      <c r="C4466" t="str">
        <f t="shared" si="567"/>
        <v/>
      </c>
      <c r="D4466">
        <f t="shared" si="577"/>
        <v>557</v>
      </c>
      <c r="E4466">
        <v>305</v>
      </c>
      <c r="F4466" s="366">
        <f t="shared" si="561"/>
        <v>6618.5</v>
      </c>
      <c r="G4466" s="97">
        <v>5072</v>
      </c>
      <c r="H4466" s="367">
        <f t="shared" si="573"/>
        <v>11690.5</v>
      </c>
      <c r="I4466" s="368">
        <f t="shared" si="574"/>
        <v>0</v>
      </c>
      <c r="J4466">
        <v>20073</v>
      </c>
      <c r="K4466" s="367">
        <f t="shared" si="564"/>
        <v>14337.857142857143</v>
      </c>
      <c r="L4466" s="607">
        <v>1.04</v>
      </c>
      <c r="M4466">
        <v>2.8000000000000003</v>
      </c>
      <c r="N4466" s="381">
        <v>42</v>
      </c>
      <c r="O4466">
        <v>8</v>
      </c>
      <c r="P4466" t="s">
        <v>515</v>
      </c>
      <c r="Q4466" s="97" t="str">
        <f t="shared" si="575"/>
        <v/>
      </c>
      <c r="R4466" t="str">
        <f t="shared" si="576"/>
        <v/>
      </c>
    </row>
    <row r="4467" spans="3:18">
      <c r="C4467" t="str">
        <f t="shared" si="567"/>
        <v>NL</v>
      </c>
      <c r="D4467">
        <f t="shared" si="577"/>
        <v>558</v>
      </c>
      <c r="E4467">
        <v>305</v>
      </c>
      <c r="F4467" s="366">
        <f t="shared" si="561"/>
        <v>6618.5</v>
      </c>
      <c r="G4467" s="97">
        <v>6522</v>
      </c>
      <c r="H4467" s="367">
        <f t="shared" si="573"/>
        <v>13140.5</v>
      </c>
      <c r="I4467" s="368">
        <f t="shared" si="574"/>
        <v>0</v>
      </c>
      <c r="J4467">
        <v>25811</v>
      </c>
      <c r="K4467" s="367">
        <f t="shared" si="564"/>
        <v>18436.428571428572</v>
      </c>
      <c r="L4467" s="607">
        <v>0.86</v>
      </c>
      <c r="M4467">
        <v>1.7000000000000002</v>
      </c>
      <c r="N4467" s="381">
        <v>42</v>
      </c>
      <c r="O4467">
        <v>9</v>
      </c>
      <c r="P4467" t="s">
        <v>515</v>
      </c>
      <c r="Q4467" s="97" t="str">
        <f t="shared" si="575"/>
        <v/>
      </c>
      <c r="R4467" t="str">
        <f t="shared" si="576"/>
        <v/>
      </c>
    </row>
    <row r="4468" spans="3:18">
      <c r="C4468" t="str">
        <f t="shared" si="567"/>
        <v/>
      </c>
      <c r="D4468">
        <f t="shared" si="577"/>
        <v>559</v>
      </c>
      <c r="E4468">
        <v>305</v>
      </c>
      <c r="F4468" s="366">
        <f t="shared" si="561"/>
        <v>6618.5</v>
      </c>
      <c r="G4468" s="97">
        <v>6709</v>
      </c>
      <c r="H4468" s="367">
        <f t="shared" si="573"/>
        <v>13327.5</v>
      </c>
      <c r="I4468" s="368">
        <f t="shared" si="574"/>
        <v>0</v>
      </c>
      <c r="J4468">
        <v>26550</v>
      </c>
      <c r="K4468" s="367">
        <f t="shared" si="564"/>
        <v>18964.285714285714</v>
      </c>
      <c r="L4468" s="607">
        <v>0.73</v>
      </c>
      <c r="M4468">
        <v>3.7</v>
      </c>
      <c r="N4468" s="381">
        <v>42</v>
      </c>
      <c r="O4468">
        <v>10</v>
      </c>
      <c r="P4468" t="s">
        <v>515</v>
      </c>
      <c r="Q4468" s="97" t="str">
        <f t="shared" si="575"/>
        <v/>
      </c>
      <c r="R4468" t="str">
        <f t="shared" si="576"/>
        <v/>
      </c>
    </row>
    <row r="4469" spans="3:18">
      <c r="C4469" t="str">
        <f t="shared" si="567"/>
        <v>NL</v>
      </c>
      <c r="D4469">
        <f t="shared" si="577"/>
        <v>560</v>
      </c>
      <c r="E4469">
        <v>310</v>
      </c>
      <c r="F4469" s="366">
        <f t="shared" si="561"/>
        <v>6727</v>
      </c>
      <c r="G4469" s="97">
        <v>6590</v>
      </c>
      <c r="H4469" s="367">
        <f t="shared" si="573"/>
        <v>13317</v>
      </c>
      <c r="I4469" s="368">
        <f t="shared" si="574"/>
        <v>0</v>
      </c>
      <c r="J4469">
        <v>26079</v>
      </c>
      <c r="K4469" s="367">
        <f t="shared" si="564"/>
        <v>18627.857142857145</v>
      </c>
      <c r="L4469" s="607">
        <v>0.89</v>
      </c>
      <c r="M4469">
        <v>1.7000000000000002</v>
      </c>
      <c r="N4469" s="381">
        <v>43</v>
      </c>
      <c r="O4469">
        <v>9</v>
      </c>
      <c r="P4469" t="s">
        <v>515</v>
      </c>
      <c r="Q4469" s="97" t="str">
        <f t="shared" si="575"/>
        <v/>
      </c>
      <c r="R4469" t="str">
        <f t="shared" si="576"/>
        <v/>
      </c>
    </row>
    <row r="4470" spans="3:18">
      <c r="C4470" t="str">
        <f t="shared" si="567"/>
        <v/>
      </c>
      <c r="D4470">
        <f t="shared" si="577"/>
        <v>561</v>
      </c>
      <c r="E4470">
        <v>310</v>
      </c>
      <c r="F4470" s="366">
        <f t="shared" si="561"/>
        <v>6727</v>
      </c>
      <c r="G4470" s="97">
        <v>6783</v>
      </c>
      <c r="H4470" s="367">
        <f t="shared" si="573"/>
        <v>13510</v>
      </c>
      <c r="I4470" s="368">
        <f t="shared" si="574"/>
        <v>0</v>
      </c>
      <c r="J4470">
        <v>26841</v>
      </c>
      <c r="K4470" s="367">
        <f t="shared" si="564"/>
        <v>19172.142857142859</v>
      </c>
      <c r="L4470" s="607">
        <v>0.76</v>
      </c>
      <c r="M4470">
        <v>3.7</v>
      </c>
      <c r="N4470" s="381">
        <v>43</v>
      </c>
      <c r="O4470">
        <v>10</v>
      </c>
      <c r="P4470" t="s">
        <v>515</v>
      </c>
      <c r="Q4470" s="97" t="str">
        <f t="shared" si="575"/>
        <v/>
      </c>
      <c r="R4470" t="str">
        <f t="shared" si="576"/>
        <v/>
      </c>
    </row>
    <row r="4471" spans="3:18">
      <c r="C4471" t="str">
        <f t="shared" si="567"/>
        <v>NL</v>
      </c>
      <c r="D4471">
        <f t="shared" si="577"/>
        <v>562</v>
      </c>
      <c r="E4471">
        <v>315</v>
      </c>
      <c r="F4471" s="366">
        <f t="shared" si="561"/>
        <v>6835.5</v>
      </c>
      <c r="G4471" s="97">
        <v>6658</v>
      </c>
      <c r="H4471" s="367">
        <f t="shared" si="573"/>
        <v>13493.5</v>
      </c>
      <c r="I4471" s="368">
        <f t="shared" si="574"/>
        <v>0</v>
      </c>
      <c r="J4471">
        <v>26348</v>
      </c>
      <c r="K4471" s="367">
        <f t="shared" si="564"/>
        <v>18820</v>
      </c>
      <c r="L4471" s="607">
        <v>0.92</v>
      </c>
      <c r="M4471">
        <v>1.7000000000000002</v>
      </c>
      <c r="N4471" s="381">
        <v>43</v>
      </c>
      <c r="O4471">
        <v>9</v>
      </c>
      <c r="P4471" t="s">
        <v>515</v>
      </c>
      <c r="Q4471" s="97" t="str">
        <f t="shared" si="575"/>
        <v/>
      </c>
      <c r="R4471" t="str">
        <f t="shared" si="576"/>
        <v/>
      </c>
    </row>
    <row r="4472" spans="3:18">
      <c r="C4472" t="str">
        <f t="shared" si="567"/>
        <v/>
      </c>
      <c r="D4472">
        <f t="shared" si="577"/>
        <v>563</v>
      </c>
      <c r="E4472">
        <v>315</v>
      </c>
      <c r="F4472" s="366">
        <f t="shared" si="561"/>
        <v>6835.5</v>
      </c>
      <c r="G4472" s="97">
        <v>6850</v>
      </c>
      <c r="H4472" s="367">
        <f t="shared" si="573"/>
        <v>13685.5</v>
      </c>
      <c r="I4472" s="368">
        <f t="shared" si="574"/>
        <v>0</v>
      </c>
      <c r="J4472">
        <v>27110</v>
      </c>
      <c r="K4472" s="367">
        <f t="shared" si="564"/>
        <v>19364.285714285714</v>
      </c>
      <c r="L4472" s="607">
        <v>0.78</v>
      </c>
      <c r="M4472">
        <v>3.7</v>
      </c>
      <c r="N4472" s="381">
        <v>44</v>
      </c>
      <c r="O4472">
        <v>10</v>
      </c>
      <c r="P4472" t="s">
        <v>515</v>
      </c>
      <c r="Q4472" s="97" t="str">
        <f t="shared" si="575"/>
        <v/>
      </c>
      <c r="R4472" t="str">
        <f t="shared" si="576"/>
        <v/>
      </c>
    </row>
    <row r="4473" spans="3:18">
      <c r="C4473" t="str">
        <f t="shared" si="567"/>
        <v>NL</v>
      </c>
      <c r="D4473">
        <f t="shared" si="577"/>
        <v>564</v>
      </c>
      <c r="E4473">
        <v>320</v>
      </c>
      <c r="F4473" s="366">
        <f t="shared" si="561"/>
        <v>6944</v>
      </c>
      <c r="G4473" s="97">
        <v>6726</v>
      </c>
      <c r="H4473" s="367">
        <f t="shared" si="573"/>
        <v>13670</v>
      </c>
      <c r="I4473" s="368">
        <f t="shared" si="574"/>
        <v>0</v>
      </c>
      <c r="J4473">
        <v>26617</v>
      </c>
      <c r="K4473" s="367">
        <f t="shared" si="564"/>
        <v>19012.142857142859</v>
      </c>
      <c r="L4473" s="607">
        <v>0.94000000000000006</v>
      </c>
      <c r="M4473">
        <v>1.7000000000000002</v>
      </c>
      <c r="N4473" s="381">
        <v>44</v>
      </c>
      <c r="O4473">
        <v>9</v>
      </c>
      <c r="P4473" t="s">
        <v>515</v>
      </c>
      <c r="Q4473" s="97" t="str">
        <f t="shared" si="575"/>
        <v/>
      </c>
      <c r="R4473" t="str">
        <f t="shared" si="576"/>
        <v/>
      </c>
    </row>
    <row r="4474" spans="3:18">
      <c r="C4474" t="str">
        <f t="shared" si="567"/>
        <v/>
      </c>
      <c r="D4474">
        <f t="shared" si="577"/>
        <v>565</v>
      </c>
      <c r="E4474">
        <v>320</v>
      </c>
      <c r="F4474" s="366">
        <f t="shared" si="561"/>
        <v>6944</v>
      </c>
      <c r="G4474" s="97">
        <v>6917</v>
      </c>
      <c r="H4474" s="367">
        <f t="shared" si="573"/>
        <v>13861</v>
      </c>
      <c r="I4474" s="368">
        <f t="shared" si="574"/>
        <v>0</v>
      </c>
      <c r="J4474">
        <v>27372</v>
      </c>
      <c r="K4474" s="367">
        <f t="shared" si="564"/>
        <v>19551.428571428572</v>
      </c>
      <c r="L4474" s="607">
        <v>0.81</v>
      </c>
      <c r="M4474">
        <v>3.7</v>
      </c>
      <c r="N4474" s="381">
        <v>44</v>
      </c>
      <c r="O4474">
        <v>10</v>
      </c>
      <c r="P4474" t="s">
        <v>515</v>
      </c>
      <c r="Q4474" s="97" t="str">
        <f t="shared" si="575"/>
        <v/>
      </c>
      <c r="R4474" t="str">
        <f t="shared" si="576"/>
        <v/>
      </c>
    </row>
    <row r="4475" spans="3:18">
      <c r="C4475" t="str">
        <f t="shared" si="567"/>
        <v>NL</v>
      </c>
      <c r="D4475">
        <f t="shared" si="577"/>
        <v>566</v>
      </c>
      <c r="E4475">
        <v>325</v>
      </c>
      <c r="F4475" s="366">
        <f t="shared" si="561"/>
        <v>7052.5</v>
      </c>
      <c r="G4475" s="97">
        <v>6794</v>
      </c>
      <c r="H4475" s="367">
        <f t="shared" si="573"/>
        <v>13846.5</v>
      </c>
      <c r="I4475" s="368">
        <f t="shared" si="574"/>
        <v>0</v>
      </c>
      <c r="J4475">
        <v>26885</v>
      </c>
      <c r="K4475" s="367">
        <f t="shared" si="564"/>
        <v>19203.571428571428</v>
      </c>
      <c r="L4475" s="607">
        <v>0.97</v>
      </c>
      <c r="M4475">
        <v>1.7000000000000002</v>
      </c>
      <c r="N4475" s="381">
        <v>45</v>
      </c>
      <c r="O4475">
        <v>9</v>
      </c>
      <c r="P4475" t="s">
        <v>515</v>
      </c>
      <c r="Q4475" s="97" t="str">
        <f t="shared" si="575"/>
        <v/>
      </c>
      <c r="R4475" t="str">
        <f t="shared" si="576"/>
        <v/>
      </c>
    </row>
    <row r="4476" spans="3:18">
      <c r="C4476" t="str">
        <f t="shared" si="567"/>
        <v/>
      </c>
      <c r="D4476">
        <f t="shared" si="577"/>
        <v>567</v>
      </c>
      <c r="E4476">
        <v>325</v>
      </c>
      <c r="F4476" s="366">
        <f t="shared" si="561"/>
        <v>7052.5</v>
      </c>
      <c r="G4476" s="97">
        <v>6983</v>
      </c>
      <c r="H4476" s="367">
        <f t="shared" si="573"/>
        <v>14035.5</v>
      </c>
      <c r="I4476" s="368">
        <f t="shared" si="574"/>
        <v>0</v>
      </c>
      <c r="J4476">
        <v>27634</v>
      </c>
      <c r="K4476" s="367">
        <f t="shared" si="564"/>
        <v>19738.571428571428</v>
      </c>
      <c r="L4476" s="607">
        <v>0.83</v>
      </c>
      <c r="M4476">
        <v>3.7</v>
      </c>
      <c r="N4476" s="381">
        <v>45</v>
      </c>
      <c r="O4476">
        <v>10</v>
      </c>
      <c r="P4476" t="s">
        <v>515</v>
      </c>
      <c r="Q4476" s="97" t="str">
        <f t="shared" si="575"/>
        <v/>
      </c>
      <c r="R4476" t="str">
        <f t="shared" si="576"/>
        <v/>
      </c>
    </row>
    <row r="4477" spans="3:18">
      <c r="C4477" t="str">
        <f t="shared" si="567"/>
        <v>NL</v>
      </c>
      <c r="D4477">
        <f t="shared" si="577"/>
        <v>568</v>
      </c>
      <c r="E4477">
        <v>330</v>
      </c>
      <c r="F4477" s="366">
        <f t="shared" si="561"/>
        <v>7161</v>
      </c>
      <c r="G4477" s="97">
        <v>6860</v>
      </c>
      <c r="H4477" s="367">
        <f t="shared" si="573"/>
        <v>14021</v>
      </c>
      <c r="I4477" s="368">
        <f t="shared" si="574"/>
        <v>0</v>
      </c>
      <c r="J4477">
        <v>27148</v>
      </c>
      <c r="K4477" s="367">
        <f t="shared" si="564"/>
        <v>19391.428571428572</v>
      </c>
      <c r="L4477" s="607">
        <v>1</v>
      </c>
      <c r="M4477">
        <v>1.7000000000000002</v>
      </c>
      <c r="N4477" s="381">
        <v>45</v>
      </c>
      <c r="O4477">
        <v>9</v>
      </c>
      <c r="P4477" t="s">
        <v>515</v>
      </c>
      <c r="Q4477" s="97" t="str">
        <f t="shared" si="575"/>
        <v/>
      </c>
      <c r="R4477" t="str">
        <f t="shared" si="576"/>
        <v/>
      </c>
    </row>
    <row r="4478" spans="3:18">
      <c r="C4478" t="str">
        <f t="shared" si="567"/>
        <v/>
      </c>
      <c r="D4478">
        <f t="shared" si="577"/>
        <v>569</v>
      </c>
      <c r="E4478">
        <v>330</v>
      </c>
      <c r="F4478" s="366">
        <f t="shared" si="561"/>
        <v>7161</v>
      </c>
      <c r="G4478" s="97">
        <v>7049</v>
      </c>
      <c r="H4478" s="367">
        <f t="shared" si="573"/>
        <v>14210</v>
      </c>
      <c r="I4478" s="368">
        <f t="shared" si="574"/>
        <v>0</v>
      </c>
      <c r="J4478">
        <v>27896</v>
      </c>
      <c r="K4478" s="367">
        <f t="shared" si="564"/>
        <v>19925.714285714286</v>
      </c>
      <c r="L4478" s="607">
        <v>0.86</v>
      </c>
      <c r="M4478">
        <v>3.7</v>
      </c>
      <c r="N4478" s="381">
        <v>46</v>
      </c>
      <c r="O4478">
        <v>10</v>
      </c>
      <c r="P4478" t="s">
        <v>515</v>
      </c>
      <c r="Q4478" s="97" t="str">
        <f t="shared" si="575"/>
        <v/>
      </c>
      <c r="R4478" t="str">
        <f t="shared" si="576"/>
        <v/>
      </c>
    </row>
    <row r="4479" spans="3:18">
      <c r="C4479" t="str">
        <f t="shared" si="567"/>
        <v>NL</v>
      </c>
      <c r="D4479">
        <f t="shared" si="577"/>
        <v>570</v>
      </c>
      <c r="E4479">
        <v>335</v>
      </c>
      <c r="F4479" s="366">
        <f t="shared" si="561"/>
        <v>7269.5</v>
      </c>
      <c r="G4479" s="97">
        <v>6922</v>
      </c>
      <c r="H4479" s="367">
        <f t="shared" si="573"/>
        <v>14191.5</v>
      </c>
      <c r="I4479" s="368">
        <f t="shared" si="574"/>
        <v>0</v>
      </c>
      <c r="J4479">
        <v>27393</v>
      </c>
      <c r="K4479" s="367">
        <f t="shared" si="564"/>
        <v>19566.428571428572</v>
      </c>
      <c r="L4479" s="607">
        <v>1.03</v>
      </c>
      <c r="M4479">
        <v>1.7000000000000002</v>
      </c>
      <c r="N4479" s="381">
        <v>46</v>
      </c>
      <c r="O4479">
        <v>9</v>
      </c>
      <c r="P4479" t="s">
        <v>515</v>
      </c>
      <c r="Q4479" s="97" t="str">
        <f t="shared" si="575"/>
        <v/>
      </c>
      <c r="R4479" t="str">
        <f t="shared" si="576"/>
        <v/>
      </c>
    </row>
    <row r="4480" spans="3:18">
      <c r="C4480" t="str">
        <f t="shared" si="567"/>
        <v/>
      </c>
      <c r="D4480">
        <f t="shared" si="577"/>
        <v>571</v>
      </c>
      <c r="E4480">
        <v>335</v>
      </c>
      <c r="F4480" s="366">
        <f t="shared" si="561"/>
        <v>7269.5</v>
      </c>
      <c r="G4480" s="97">
        <v>7115</v>
      </c>
      <c r="H4480" s="367">
        <f t="shared" si="573"/>
        <v>14384.5</v>
      </c>
      <c r="I4480" s="368">
        <f t="shared" si="574"/>
        <v>0</v>
      </c>
      <c r="J4480">
        <v>28157</v>
      </c>
      <c r="K4480" s="367">
        <f t="shared" si="564"/>
        <v>20112.142857142859</v>
      </c>
      <c r="L4480" s="607">
        <v>0.88</v>
      </c>
      <c r="M4480">
        <v>3.7</v>
      </c>
      <c r="N4480" s="381">
        <v>46</v>
      </c>
      <c r="O4480">
        <v>10</v>
      </c>
      <c r="P4480" t="s">
        <v>515</v>
      </c>
      <c r="Q4480" s="97" t="str">
        <f t="shared" si="575"/>
        <v/>
      </c>
      <c r="R4480" t="str">
        <f t="shared" si="576"/>
        <v/>
      </c>
    </row>
    <row r="4481" spans="2:18">
      <c r="C4481" t="str">
        <f t="shared" si="567"/>
        <v/>
      </c>
      <c r="D4481">
        <f t="shared" si="577"/>
        <v>572</v>
      </c>
      <c r="E4481">
        <v>340</v>
      </c>
      <c r="F4481" s="366">
        <f t="shared" si="561"/>
        <v>7378</v>
      </c>
      <c r="G4481" s="97">
        <v>7181</v>
      </c>
      <c r="H4481" s="367">
        <f t="shared" si="573"/>
        <v>14559</v>
      </c>
      <c r="I4481" s="368">
        <f t="shared" si="574"/>
        <v>0</v>
      </c>
      <c r="J4481">
        <v>28419</v>
      </c>
      <c r="K4481" s="367">
        <f t="shared" si="564"/>
        <v>20299.285714285714</v>
      </c>
      <c r="L4481" s="607">
        <v>0.91</v>
      </c>
      <c r="M4481">
        <v>3.7</v>
      </c>
      <c r="N4481" s="381">
        <v>47</v>
      </c>
      <c r="O4481">
        <v>10</v>
      </c>
      <c r="P4481" t="s">
        <v>515</v>
      </c>
      <c r="Q4481" s="97" t="str">
        <f t="shared" si="575"/>
        <v/>
      </c>
      <c r="R4481" t="str">
        <f t="shared" si="576"/>
        <v/>
      </c>
    </row>
    <row r="4482" spans="2:18">
      <c r="C4482" t="str">
        <f t="shared" si="567"/>
        <v/>
      </c>
      <c r="D4482">
        <f t="shared" si="577"/>
        <v>573</v>
      </c>
      <c r="E4482">
        <v>345</v>
      </c>
      <c r="F4482" s="366">
        <f t="shared" si="561"/>
        <v>7486.5</v>
      </c>
      <c r="G4482" s="97">
        <v>7247</v>
      </c>
      <c r="H4482" s="367">
        <f t="shared" si="573"/>
        <v>14733.5</v>
      </c>
      <c r="I4482" s="368">
        <f t="shared" si="574"/>
        <v>0</v>
      </c>
      <c r="J4482">
        <v>28681</v>
      </c>
      <c r="K4482" s="367">
        <f t="shared" si="564"/>
        <v>20486.428571428572</v>
      </c>
      <c r="L4482" s="607">
        <v>0.94000000000000006</v>
      </c>
      <c r="M4482">
        <v>3.7</v>
      </c>
      <c r="N4482" s="381">
        <v>47</v>
      </c>
      <c r="O4482">
        <v>10</v>
      </c>
      <c r="P4482" t="s">
        <v>515</v>
      </c>
      <c r="Q4482" s="97" t="str">
        <f t="shared" si="575"/>
        <v/>
      </c>
      <c r="R4482" t="str">
        <f t="shared" si="576"/>
        <v/>
      </c>
    </row>
    <row r="4483" spans="2:18">
      <c r="C4483" t="str">
        <f t="shared" si="567"/>
        <v/>
      </c>
      <c r="D4483">
        <f t="shared" si="577"/>
        <v>574</v>
      </c>
      <c r="E4483">
        <v>350</v>
      </c>
      <c r="F4483" s="366">
        <f t="shared" si="561"/>
        <v>7595</v>
      </c>
      <c r="G4483" s="97">
        <v>7314</v>
      </c>
      <c r="H4483" s="367">
        <f t="shared" si="573"/>
        <v>14909</v>
      </c>
      <c r="I4483" s="368">
        <f t="shared" si="574"/>
        <v>0</v>
      </c>
      <c r="J4483">
        <v>28943</v>
      </c>
      <c r="K4483" s="367">
        <f t="shared" si="564"/>
        <v>20673.571428571428</v>
      </c>
      <c r="L4483" s="607">
        <v>0.96</v>
      </c>
      <c r="M4483">
        <v>3.7</v>
      </c>
      <c r="N4483" s="381">
        <v>48</v>
      </c>
      <c r="O4483">
        <v>10</v>
      </c>
      <c r="P4483" t="s">
        <v>515</v>
      </c>
      <c r="Q4483" s="97" t="str">
        <f t="shared" si="575"/>
        <v/>
      </c>
      <c r="R4483" t="str">
        <f t="shared" si="576"/>
        <v/>
      </c>
    </row>
    <row r="4484" spans="2:18">
      <c r="C4484" t="str">
        <f t="shared" si="567"/>
        <v/>
      </c>
      <c r="D4484">
        <f t="shared" si="577"/>
        <v>575</v>
      </c>
      <c r="E4484">
        <v>355</v>
      </c>
      <c r="F4484" s="366">
        <f t="shared" si="561"/>
        <v>7703.5</v>
      </c>
      <c r="G4484" s="97">
        <v>7380</v>
      </c>
      <c r="H4484" s="367">
        <f t="shared" si="573"/>
        <v>15083.5</v>
      </c>
      <c r="I4484" s="368">
        <f t="shared" si="574"/>
        <v>0</v>
      </c>
      <c r="J4484">
        <v>29205</v>
      </c>
      <c r="K4484" s="367">
        <f t="shared" si="564"/>
        <v>20860.714285714286</v>
      </c>
      <c r="L4484" s="607">
        <v>0.99</v>
      </c>
      <c r="M4484">
        <v>3.7</v>
      </c>
      <c r="N4484" s="381">
        <v>49</v>
      </c>
      <c r="O4484">
        <v>10</v>
      </c>
      <c r="P4484" t="s">
        <v>515</v>
      </c>
      <c r="Q4484" s="97" t="str">
        <f t="shared" si="575"/>
        <v/>
      </c>
      <c r="R4484" t="str">
        <f t="shared" si="576"/>
        <v/>
      </c>
    </row>
    <row r="4485" spans="2:18">
      <c r="C4485" t="str">
        <f t="shared" si="567"/>
        <v/>
      </c>
      <c r="D4485">
        <f t="shared" si="577"/>
        <v>576</v>
      </c>
      <c r="E4485">
        <v>360</v>
      </c>
      <c r="F4485" s="366">
        <f t="shared" si="561"/>
        <v>7812</v>
      </c>
      <c r="G4485" s="97">
        <v>7446</v>
      </c>
      <c r="H4485" s="367">
        <f t="shared" si="573"/>
        <v>15258</v>
      </c>
      <c r="I4485" s="368">
        <f t="shared" si="574"/>
        <v>0</v>
      </c>
      <c r="J4485">
        <v>29467</v>
      </c>
      <c r="K4485" s="367">
        <f t="shared" si="564"/>
        <v>21047.857142857145</v>
      </c>
      <c r="L4485" s="607">
        <v>1.02</v>
      </c>
      <c r="M4485">
        <v>3.7</v>
      </c>
      <c r="N4485" s="381">
        <v>49</v>
      </c>
      <c r="O4485">
        <v>10</v>
      </c>
      <c r="P4485" t="s">
        <v>515</v>
      </c>
      <c r="Q4485" s="97" t="str">
        <f t="shared" si="575"/>
        <v/>
      </c>
      <c r="R4485" t="str">
        <f t="shared" si="576"/>
        <v/>
      </c>
    </row>
    <row r="4486" spans="2:18">
      <c r="C4486" t="str">
        <f t="shared" si="567"/>
        <v/>
      </c>
      <c r="D4486">
        <f t="shared" si="577"/>
        <v>577</v>
      </c>
      <c r="E4486">
        <v>365</v>
      </c>
      <c r="F4486" s="366">
        <f t="shared" si="561"/>
        <v>7920.5</v>
      </c>
      <c r="G4486" s="97">
        <v>7512</v>
      </c>
      <c r="H4486" s="367">
        <f t="shared" si="573"/>
        <v>15432.5</v>
      </c>
      <c r="I4486" s="368">
        <f t="shared" si="574"/>
        <v>0</v>
      </c>
      <c r="J4486">
        <v>29728</v>
      </c>
      <c r="K4486" s="367">
        <f t="shared" si="564"/>
        <v>21234.285714285714</v>
      </c>
      <c r="L4486" s="607">
        <v>1.05</v>
      </c>
      <c r="M4486">
        <v>3.7</v>
      </c>
      <c r="N4486" s="381">
        <v>50</v>
      </c>
      <c r="O4486">
        <v>10</v>
      </c>
      <c r="P4486" t="s">
        <v>515</v>
      </c>
      <c r="Q4486" s="97" t="str">
        <f t="shared" si="575"/>
        <v/>
      </c>
      <c r="R4486" t="str">
        <f t="shared" si="576"/>
        <v/>
      </c>
    </row>
    <row r="4487" spans="2:18">
      <c r="C4487" t="str">
        <f t="shared" si="567"/>
        <v/>
      </c>
      <c r="D4487">
        <f t="shared" si="577"/>
        <v>578</v>
      </c>
      <c r="E4487">
        <v>370</v>
      </c>
      <c r="F4487" s="366">
        <f t="shared" si="561"/>
        <v>8029</v>
      </c>
      <c r="G4487" s="97">
        <v>7575</v>
      </c>
      <c r="H4487" s="367">
        <f t="shared" si="573"/>
        <v>15604</v>
      </c>
      <c r="I4487" s="368">
        <f t="shared" si="574"/>
        <v>0</v>
      </c>
      <c r="J4487">
        <v>29979</v>
      </c>
      <c r="K4487" s="367">
        <f t="shared" si="564"/>
        <v>21413.571428571428</v>
      </c>
      <c r="L4487" s="607">
        <v>1.07</v>
      </c>
      <c r="M4487">
        <v>3.7</v>
      </c>
      <c r="N4487" s="381">
        <v>50</v>
      </c>
      <c r="O4487">
        <v>10</v>
      </c>
      <c r="P4487" t="s">
        <v>515</v>
      </c>
      <c r="Q4487" s="97" t="str">
        <f t="shared" si="575"/>
        <v/>
      </c>
      <c r="R4487" t="str">
        <f t="shared" si="576"/>
        <v/>
      </c>
    </row>
    <row r="4488" spans="2:18">
      <c r="B4488" s="582"/>
      <c r="F4488" s="366"/>
      <c r="H4488" s="367"/>
      <c r="I4488" s="368"/>
      <c r="K4488" s="367"/>
      <c r="Q4488" s="97"/>
    </row>
    <row r="4489" spans="2:18">
      <c r="B4489" s="582"/>
      <c r="C4489" t="str">
        <f t="shared" si="567"/>
        <v/>
      </c>
      <c r="D4489">
        <v>1</v>
      </c>
      <c r="E4489">
        <v>10</v>
      </c>
      <c r="F4489" s="366">
        <f t="shared" si="561"/>
        <v>217</v>
      </c>
      <c r="G4489" s="97">
        <v>493</v>
      </c>
      <c r="H4489" s="367">
        <f t="shared" si="562"/>
        <v>710</v>
      </c>
      <c r="I4489" s="368">
        <f t="shared" si="563"/>
        <v>0</v>
      </c>
      <c r="J4489">
        <v>1244</v>
      </c>
      <c r="K4489" s="367">
        <f t="shared" si="564"/>
        <v>888.57142857142856</v>
      </c>
      <c r="L4489">
        <v>0.26</v>
      </c>
      <c r="M4489">
        <v>2.5</v>
      </c>
      <c r="N4489">
        <v>15</v>
      </c>
      <c r="O4489">
        <v>2</v>
      </c>
      <c r="P4489" t="s">
        <v>513</v>
      </c>
      <c r="Q4489" s="97" t="str">
        <f t="shared" ref="Q4489" si="578">IF(AND(H4489+1&gt;$E$4,L4489&lt;$L$4+0.01,M4489&lt;$M$4+0.01,K4489+1&gt;$F$4,E4489+1&gt;$J$4,N4489&lt;$K$4+1,O4489&lt;$P$4+1,C4489=""),D4489,"")</f>
        <v/>
      </c>
      <c r="R4489" t="str">
        <f>IF(Q4489="","",IF(AND(O4489&lt;$X$38,E4489&gt;$U$38,E4489&lt;$Q$4+$U$38+1),D4489,""))</f>
        <v/>
      </c>
    </row>
    <row r="4490" spans="2:18">
      <c r="C4490" t="str">
        <f t="shared" si="567"/>
        <v/>
      </c>
      <c r="D4490">
        <v>2</v>
      </c>
      <c r="E4490">
        <v>10</v>
      </c>
      <c r="F4490" s="366">
        <f t="shared" ref="F4490:F4553" si="579">1.085*($A$2-$B$2)*E4490*$T$7</f>
        <v>217</v>
      </c>
      <c r="G4490" s="97">
        <v>540</v>
      </c>
      <c r="H4490" s="367">
        <f t="shared" ref="H4490:H4553" si="580">(G4490*$U$7)+F4490</f>
        <v>757</v>
      </c>
      <c r="I4490" s="368">
        <f t="shared" ref="I4490:I4553" si="581">1.085*($C$2-$D$2)*E4490*$T$7</f>
        <v>0</v>
      </c>
      <c r="J4490">
        <v>1365</v>
      </c>
      <c r="K4490" s="367">
        <f t="shared" ref="K4490:K4553" si="582">(J4490*$V$7)-I4490</f>
        <v>975</v>
      </c>
      <c r="L4490">
        <v>0.61</v>
      </c>
      <c r="M4490">
        <v>2.5</v>
      </c>
      <c r="N4490">
        <v>18</v>
      </c>
      <c r="O4490">
        <v>2</v>
      </c>
      <c r="P4490" t="s">
        <v>512</v>
      </c>
      <c r="Q4490" s="97" t="str">
        <f t="shared" ref="Q4490:Q4553" si="583">IF(AND(H4490+1&gt;$E$4,L4490&lt;$L$4+0.01,M4490&lt;$M$4+0.01,K4490+1&gt;$F$4,E4490+1&gt;$J$4,N4490&lt;$K$4+1,O4490&lt;$P$4+1,C4490=""),D4490,"")</f>
        <v/>
      </c>
      <c r="R4490" t="str">
        <f t="shared" ref="R4490:R4553" si="584">IF(Q4490="","",IF(AND(O4490&lt;$X$38,E4490&gt;$U$38,E4490&lt;$Q$4+$U$38+1),D4490,""))</f>
        <v/>
      </c>
    </row>
    <row r="4491" spans="2:18">
      <c r="C4491" t="str">
        <f t="shared" si="567"/>
        <v>NL</v>
      </c>
      <c r="D4491">
        <v>3</v>
      </c>
      <c r="E4491">
        <v>10</v>
      </c>
      <c r="F4491" s="366">
        <f t="shared" si="579"/>
        <v>217</v>
      </c>
      <c r="G4491" s="97">
        <v>593</v>
      </c>
      <c r="H4491" s="367">
        <f t="shared" si="580"/>
        <v>810</v>
      </c>
      <c r="I4491" s="368">
        <f t="shared" si="581"/>
        <v>0</v>
      </c>
      <c r="J4491">
        <v>1496</v>
      </c>
      <c r="K4491" s="367">
        <f t="shared" si="582"/>
        <v>1068.5714285714287</v>
      </c>
      <c r="L4491">
        <v>0.21000000000000002</v>
      </c>
      <c r="M4491">
        <v>3.5</v>
      </c>
      <c r="N4491">
        <v>15</v>
      </c>
      <c r="O4491">
        <v>3</v>
      </c>
      <c r="P4491" t="s">
        <v>512</v>
      </c>
      <c r="Q4491" s="97" t="str">
        <f t="shared" si="583"/>
        <v/>
      </c>
      <c r="R4491" t="str">
        <f t="shared" si="584"/>
        <v/>
      </c>
    </row>
    <row r="4492" spans="2:18">
      <c r="C4492" t="str">
        <f t="shared" si="567"/>
        <v/>
      </c>
      <c r="D4492">
        <v>4</v>
      </c>
      <c r="E4492">
        <v>15</v>
      </c>
      <c r="F4492" s="366">
        <f t="shared" si="579"/>
        <v>325.5</v>
      </c>
      <c r="G4492" s="97">
        <v>491</v>
      </c>
      <c r="H4492" s="367">
        <f t="shared" si="580"/>
        <v>816.5</v>
      </c>
      <c r="I4492" s="368">
        <f t="shared" si="581"/>
        <v>0</v>
      </c>
      <c r="J4492">
        <v>1241</v>
      </c>
      <c r="K4492" s="367">
        <f t="shared" si="582"/>
        <v>886.42857142857144</v>
      </c>
      <c r="L4492">
        <v>0.17</v>
      </c>
      <c r="M4492">
        <v>2.5</v>
      </c>
      <c r="N4492">
        <v>15</v>
      </c>
      <c r="O4492">
        <v>2</v>
      </c>
      <c r="P4492" t="s">
        <v>514</v>
      </c>
      <c r="Q4492" s="97" t="str">
        <f t="shared" si="583"/>
        <v/>
      </c>
      <c r="R4492" t="str">
        <f t="shared" si="584"/>
        <v/>
      </c>
    </row>
    <row r="4493" spans="2:18">
      <c r="C4493" t="str">
        <f t="shared" si="567"/>
        <v/>
      </c>
      <c r="D4493">
        <v>5</v>
      </c>
      <c r="E4493">
        <v>15</v>
      </c>
      <c r="F4493" s="366">
        <f t="shared" si="579"/>
        <v>325.5</v>
      </c>
      <c r="G4493" s="97">
        <v>678</v>
      </c>
      <c r="H4493" s="367">
        <f t="shared" si="580"/>
        <v>1003.5</v>
      </c>
      <c r="I4493" s="368">
        <f t="shared" si="581"/>
        <v>0</v>
      </c>
      <c r="J4493">
        <v>1713</v>
      </c>
      <c r="K4493" s="367">
        <f t="shared" si="582"/>
        <v>1223.5714285714287</v>
      </c>
      <c r="L4493">
        <v>0.57000000000000006</v>
      </c>
      <c r="M4493">
        <v>2.5</v>
      </c>
      <c r="N4493">
        <v>18</v>
      </c>
      <c r="O4493">
        <v>2</v>
      </c>
      <c r="P4493" t="s">
        <v>513</v>
      </c>
      <c r="Q4493" s="97" t="str">
        <f t="shared" si="583"/>
        <v/>
      </c>
      <c r="R4493" t="str">
        <f t="shared" si="584"/>
        <v/>
      </c>
    </row>
    <row r="4494" spans="2:18">
      <c r="C4494" t="str">
        <f t="shared" si="567"/>
        <v>NL</v>
      </c>
      <c r="D4494">
        <v>6</v>
      </c>
      <c r="E4494">
        <v>15</v>
      </c>
      <c r="F4494" s="366">
        <f t="shared" si="579"/>
        <v>325.5</v>
      </c>
      <c r="G4494" s="97">
        <v>749</v>
      </c>
      <c r="H4494" s="367">
        <f t="shared" si="580"/>
        <v>1074.5</v>
      </c>
      <c r="I4494" s="368">
        <f t="shared" si="581"/>
        <v>0</v>
      </c>
      <c r="J4494">
        <v>1891</v>
      </c>
      <c r="K4494" s="367">
        <f t="shared" si="582"/>
        <v>1350.7142857142858</v>
      </c>
      <c r="L4494">
        <v>0.2</v>
      </c>
      <c r="M4494">
        <v>3.5</v>
      </c>
      <c r="N4494">
        <v>15</v>
      </c>
      <c r="O4494">
        <v>3</v>
      </c>
      <c r="P4494" t="s">
        <v>513</v>
      </c>
      <c r="Q4494" s="97" t="str">
        <f t="shared" si="583"/>
        <v/>
      </c>
      <c r="R4494" t="str">
        <f t="shared" si="584"/>
        <v/>
      </c>
    </row>
    <row r="4495" spans="2:18">
      <c r="C4495" t="str">
        <f t="shared" si="567"/>
        <v>NL</v>
      </c>
      <c r="D4495">
        <v>7</v>
      </c>
      <c r="E4495">
        <v>15</v>
      </c>
      <c r="F4495" s="366">
        <f t="shared" si="579"/>
        <v>325.5</v>
      </c>
      <c r="G4495" s="97">
        <v>823</v>
      </c>
      <c r="H4495" s="367">
        <f t="shared" si="580"/>
        <v>1148.5</v>
      </c>
      <c r="I4495" s="368">
        <f t="shared" si="581"/>
        <v>0</v>
      </c>
      <c r="J4495">
        <v>2077</v>
      </c>
      <c r="K4495" s="367">
        <f t="shared" si="582"/>
        <v>1483.5714285714287</v>
      </c>
      <c r="L4495">
        <v>0.47000000000000003</v>
      </c>
      <c r="M4495">
        <v>3.5</v>
      </c>
      <c r="N4495">
        <v>18</v>
      </c>
      <c r="O4495">
        <v>3</v>
      </c>
      <c r="P4495" t="s">
        <v>512</v>
      </c>
      <c r="Q4495" s="97" t="str">
        <f t="shared" si="583"/>
        <v/>
      </c>
      <c r="R4495" t="str">
        <f t="shared" si="584"/>
        <v/>
      </c>
    </row>
    <row r="4496" spans="2:18">
      <c r="C4496" t="str">
        <f t="shared" si="567"/>
        <v/>
      </c>
      <c r="D4496">
        <v>8</v>
      </c>
      <c r="E4496">
        <v>15</v>
      </c>
      <c r="F4496" s="366">
        <f t="shared" si="579"/>
        <v>325.5</v>
      </c>
      <c r="G4496" s="97">
        <v>869</v>
      </c>
      <c r="H4496" s="367">
        <f t="shared" si="580"/>
        <v>1194.5</v>
      </c>
      <c r="I4496" s="368">
        <f t="shared" si="581"/>
        <v>0</v>
      </c>
      <c r="J4496">
        <v>2195</v>
      </c>
      <c r="K4496" s="367">
        <f t="shared" si="582"/>
        <v>1567.8571428571429</v>
      </c>
      <c r="L4496">
        <v>0.24000000000000002</v>
      </c>
      <c r="M4496">
        <v>4.5</v>
      </c>
      <c r="N4496">
        <v>15</v>
      </c>
      <c r="O4496">
        <v>4</v>
      </c>
      <c r="P4496" t="s">
        <v>512</v>
      </c>
      <c r="Q4496" s="97" t="str">
        <f t="shared" si="583"/>
        <v/>
      </c>
      <c r="R4496" t="str">
        <f t="shared" si="584"/>
        <v/>
      </c>
    </row>
    <row r="4497" spans="3:18">
      <c r="C4497" t="str">
        <f t="shared" si="567"/>
        <v>NL</v>
      </c>
      <c r="D4497">
        <v>9</v>
      </c>
      <c r="E4497">
        <v>15</v>
      </c>
      <c r="F4497" s="366">
        <f t="shared" si="579"/>
        <v>325.5</v>
      </c>
      <c r="G4497" s="97">
        <v>1007</v>
      </c>
      <c r="H4497" s="367">
        <f t="shared" si="580"/>
        <v>1332.5</v>
      </c>
      <c r="I4497" s="368">
        <f t="shared" si="581"/>
        <v>0</v>
      </c>
      <c r="J4497">
        <v>2543</v>
      </c>
      <c r="K4497" s="367">
        <f t="shared" si="582"/>
        <v>1816.4285714285716</v>
      </c>
      <c r="L4497">
        <v>0.15000000000000002</v>
      </c>
      <c r="M4497">
        <v>5.5</v>
      </c>
      <c r="N4497">
        <v>15</v>
      </c>
      <c r="O4497">
        <v>5</v>
      </c>
      <c r="P4497" t="s">
        <v>512</v>
      </c>
      <c r="Q4497" s="97" t="str">
        <f t="shared" si="583"/>
        <v/>
      </c>
      <c r="R4497" t="str">
        <f t="shared" si="584"/>
        <v/>
      </c>
    </row>
    <row r="4498" spans="3:18">
      <c r="C4498" t="str">
        <f t="shared" si="567"/>
        <v/>
      </c>
      <c r="D4498">
        <v>10</v>
      </c>
      <c r="E4498">
        <v>20</v>
      </c>
      <c r="F4498" s="366">
        <f t="shared" si="579"/>
        <v>434</v>
      </c>
      <c r="G4498" s="97">
        <v>617</v>
      </c>
      <c r="H4498" s="367">
        <f t="shared" si="580"/>
        <v>1051</v>
      </c>
      <c r="I4498" s="368">
        <f t="shared" si="581"/>
        <v>0</v>
      </c>
      <c r="J4498">
        <v>1557</v>
      </c>
      <c r="K4498" s="367">
        <f t="shared" si="582"/>
        <v>1112.1428571428571</v>
      </c>
      <c r="L4498">
        <v>0.3</v>
      </c>
      <c r="M4498">
        <v>2.5</v>
      </c>
      <c r="N4498">
        <v>16</v>
      </c>
      <c r="O4498">
        <v>2</v>
      </c>
      <c r="P4498" t="s">
        <v>514</v>
      </c>
      <c r="Q4498" s="97" t="str">
        <f t="shared" si="583"/>
        <v/>
      </c>
      <c r="R4498" t="str">
        <f t="shared" si="584"/>
        <v/>
      </c>
    </row>
    <row r="4499" spans="3:18">
      <c r="C4499" t="str">
        <f t="shared" si="567"/>
        <v/>
      </c>
      <c r="D4499">
        <v>11</v>
      </c>
      <c r="E4499">
        <v>20</v>
      </c>
      <c r="F4499" s="366">
        <f t="shared" si="579"/>
        <v>434</v>
      </c>
      <c r="G4499" s="97">
        <v>839</v>
      </c>
      <c r="H4499" s="367">
        <f t="shared" si="580"/>
        <v>1273</v>
      </c>
      <c r="I4499" s="368">
        <f t="shared" si="581"/>
        <v>0</v>
      </c>
      <c r="J4499">
        <v>2118</v>
      </c>
      <c r="K4499" s="367">
        <f t="shared" si="582"/>
        <v>1512.8571428571429</v>
      </c>
      <c r="L4499">
        <v>1.01</v>
      </c>
      <c r="M4499">
        <v>2.5</v>
      </c>
      <c r="N4499">
        <v>22</v>
      </c>
      <c r="O4499">
        <v>2</v>
      </c>
      <c r="P4499" t="s">
        <v>513</v>
      </c>
      <c r="Q4499" s="97" t="str">
        <f t="shared" si="583"/>
        <v/>
      </c>
      <c r="R4499" t="str">
        <f t="shared" si="584"/>
        <v/>
      </c>
    </row>
    <row r="4500" spans="3:18">
      <c r="C4500" t="str">
        <f t="shared" si="567"/>
        <v>NL</v>
      </c>
      <c r="D4500">
        <v>12</v>
      </c>
      <c r="E4500">
        <v>20</v>
      </c>
      <c r="F4500" s="366">
        <f t="shared" si="579"/>
        <v>434</v>
      </c>
      <c r="G4500" s="97">
        <v>944</v>
      </c>
      <c r="H4500" s="367">
        <f t="shared" si="580"/>
        <v>1378</v>
      </c>
      <c r="I4500" s="368">
        <f t="shared" si="581"/>
        <v>0</v>
      </c>
      <c r="J4500">
        <v>2382</v>
      </c>
      <c r="K4500" s="367">
        <f t="shared" si="582"/>
        <v>1701.4285714285716</v>
      </c>
      <c r="L4500">
        <v>0.35000000000000003</v>
      </c>
      <c r="M4500">
        <v>3.5</v>
      </c>
      <c r="N4500">
        <v>16</v>
      </c>
      <c r="O4500">
        <v>3</v>
      </c>
      <c r="P4500" t="s">
        <v>513</v>
      </c>
      <c r="Q4500" s="97" t="str">
        <f t="shared" si="583"/>
        <v/>
      </c>
      <c r="R4500" t="str">
        <f t="shared" si="584"/>
        <v/>
      </c>
    </row>
    <row r="4501" spans="3:18">
      <c r="C4501" t="str">
        <f t="shared" si="567"/>
        <v>NL</v>
      </c>
      <c r="D4501">
        <v>13</v>
      </c>
      <c r="E4501">
        <v>20</v>
      </c>
      <c r="F4501" s="366">
        <f t="shared" si="579"/>
        <v>434</v>
      </c>
      <c r="G4501" s="97">
        <v>1030</v>
      </c>
      <c r="H4501" s="367">
        <f t="shared" si="580"/>
        <v>1464</v>
      </c>
      <c r="I4501" s="368">
        <f t="shared" si="581"/>
        <v>0</v>
      </c>
      <c r="J4501">
        <v>2599</v>
      </c>
      <c r="K4501" s="367">
        <f t="shared" si="582"/>
        <v>1856.4285714285716</v>
      </c>
      <c r="L4501">
        <v>0.84</v>
      </c>
      <c r="M4501">
        <v>3.5</v>
      </c>
      <c r="N4501">
        <v>21</v>
      </c>
      <c r="O4501">
        <v>3</v>
      </c>
      <c r="P4501" t="s">
        <v>512</v>
      </c>
      <c r="Q4501" s="97" t="str">
        <f t="shared" si="583"/>
        <v/>
      </c>
      <c r="R4501" t="str">
        <f t="shared" si="584"/>
        <v/>
      </c>
    </row>
    <row r="4502" spans="3:18">
      <c r="C4502" t="str">
        <f t="shared" si="567"/>
        <v/>
      </c>
      <c r="D4502">
        <v>14</v>
      </c>
      <c r="E4502">
        <v>20</v>
      </c>
      <c r="F4502" s="366">
        <f t="shared" si="579"/>
        <v>434</v>
      </c>
      <c r="G4502" s="97">
        <v>999</v>
      </c>
      <c r="H4502" s="367">
        <f t="shared" si="580"/>
        <v>1433</v>
      </c>
      <c r="I4502" s="368">
        <f t="shared" si="581"/>
        <v>0</v>
      </c>
      <c r="J4502">
        <v>2522</v>
      </c>
      <c r="K4502" s="367">
        <f t="shared" si="582"/>
        <v>1801.4285714285716</v>
      </c>
      <c r="L4502">
        <v>0.18000000000000002</v>
      </c>
      <c r="M4502">
        <v>4.5</v>
      </c>
      <c r="N4502">
        <v>15</v>
      </c>
      <c r="O4502">
        <v>4</v>
      </c>
      <c r="P4502" t="s">
        <v>513</v>
      </c>
      <c r="Q4502" s="97" t="str">
        <f t="shared" si="583"/>
        <v/>
      </c>
      <c r="R4502" t="str">
        <f t="shared" si="584"/>
        <v/>
      </c>
    </row>
    <row r="4503" spans="3:18">
      <c r="C4503" t="str">
        <f t="shared" si="567"/>
        <v/>
      </c>
      <c r="D4503">
        <v>15</v>
      </c>
      <c r="E4503">
        <v>20</v>
      </c>
      <c r="F4503" s="366">
        <f t="shared" si="579"/>
        <v>434</v>
      </c>
      <c r="G4503" s="97">
        <v>1096</v>
      </c>
      <c r="H4503" s="367">
        <f t="shared" si="580"/>
        <v>1530</v>
      </c>
      <c r="I4503" s="368">
        <f t="shared" si="581"/>
        <v>0</v>
      </c>
      <c r="J4503">
        <v>2767</v>
      </c>
      <c r="K4503" s="367">
        <f t="shared" si="582"/>
        <v>1976.4285714285716</v>
      </c>
      <c r="L4503">
        <v>0.42</v>
      </c>
      <c r="M4503">
        <v>4.5</v>
      </c>
      <c r="N4503">
        <v>18</v>
      </c>
      <c r="O4503">
        <v>4</v>
      </c>
      <c r="P4503" t="s">
        <v>512</v>
      </c>
      <c r="Q4503" s="97" t="str">
        <f t="shared" si="583"/>
        <v/>
      </c>
      <c r="R4503" t="str">
        <f t="shared" si="584"/>
        <v/>
      </c>
    </row>
    <row r="4504" spans="3:18">
      <c r="C4504" t="str">
        <f t="shared" si="567"/>
        <v>NL</v>
      </c>
      <c r="D4504">
        <v>16</v>
      </c>
      <c r="E4504">
        <v>20</v>
      </c>
      <c r="F4504" s="366">
        <f t="shared" si="579"/>
        <v>434</v>
      </c>
      <c r="G4504" s="97">
        <v>1259</v>
      </c>
      <c r="H4504" s="367">
        <f t="shared" si="580"/>
        <v>1693</v>
      </c>
      <c r="I4504" s="368">
        <f t="shared" si="581"/>
        <v>0</v>
      </c>
      <c r="J4504">
        <v>3177</v>
      </c>
      <c r="K4504" s="367">
        <f t="shared" si="582"/>
        <v>2269.2857142857142</v>
      </c>
      <c r="L4504">
        <v>0.27</v>
      </c>
      <c r="M4504">
        <v>5.5</v>
      </c>
      <c r="N4504">
        <v>16</v>
      </c>
      <c r="O4504">
        <v>5</v>
      </c>
      <c r="P4504" t="s">
        <v>512</v>
      </c>
      <c r="Q4504" s="97" t="str">
        <f t="shared" si="583"/>
        <v/>
      </c>
      <c r="R4504" t="str">
        <f t="shared" si="584"/>
        <v/>
      </c>
    </row>
    <row r="4505" spans="3:18">
      <c r="C4505" t="str">
        <f t="shared" si="567"/>
        <v/>
      </c>
      <c r="D4505">
        <v>17</v>
      </c>
      <c r="E4505">
        <v>20</v>
      </c>
      <c r="F4505" s="366">
        <f t="shared" si="579"/>
        <v>434</v>
      </c>
      <c r="G4505" s="97">
        <v>1198</v>
      </c>
      <c r="H4505" s="367">
        <f t="shared" si="580"/>
        <v>1632</v>
      </c>
      <c r="I4505" s="368">
        <f t="shared" si="581"/>
        <v>0</v>
      </c>
      <c r="J4505">
        <v>3025</v>
      </c>
      <c r="K4505" s="367">
        <f t="shared" si="582"/>
        <v>2160.7142857142858</v>
      </c>
      <c r="L4505">
        <v>0.19</v>
      </c>
      <c r="M4505">
        <v>6.6</v>
      </c>
      <c r="N4505">
        <v>16</v>
      </c>
      <c r="O4505">
        <v>6</v>
      </c>
      <c r="P4505" t="s">
        <v>512</v>
      </c>
      <c r="Q4505" s="97" t="str">
        <f t="shared" si="583"/>
        <v/>
      </c>
      <c r="R4505" t="str">
        <f t="shared" si="584"/>
        <v/>
      </c>
    </row>
    <row r="4506" spans="3:18">
      <c r="C4506" t="str">
        <f t="shared" si="567"/>
        <v>NL</v>
      </c>
      <c r="D4506">
        <v>18</v>
      </c>
      <c r="E4506">
        <v>20</v>
      </c>
      <c r="F4506" s="366">
        <f t="shared" si="579"/>
        <v>434</v>
      </c>
      <c r="G4506" s="97">
        <v>1613</v>
      </c>
      <c r="H4506" s="367">
        <f t="shared" si="580"/>
        <v>2047</v>
      </c>
      <c r="I4506" s="368">
        <f t="shared" si="581"/>
        <v>0</v>
      </c>
      <c r="J4506">
        <v>4071</v>
      </c>
      <c r="K4506" s="367">
        <f t="shared" si="582"/>
        <v>2907.8571428571431</v>
      </c>
      <c r="L4506">
        <v>0.14000000000000001</v>
      </c>
      <c r="M4506">
        <v>7.6</v>
      </c>
      <c r="N4506">
        <v>15</v>
      </c>
      <c r="O4506">
        <v>7</v>
      </c>
      <c r="P4506" t="s">
        <v>512</v>
      </c>
      <c r="Q4506" s="97" t="str">
        <f t="shared" si="583"/>
        <v/>
      </c>
      <c r="R4506" t="str">
        <f t="shared" si="584"/>
        <v/>
      </c>
    </row>
    <row r="4507" spans="3:18">
      <c r="C4507" t="str">
        <f t="shared" si="567"/>
        <v/>
      </c>
      <c r="D4507">
        <v>19</v>
      </c>
      <c r="E4507">
        <v>25</v>
      </c>
      <c r="F4507" s="366">
        <f t="shared" si="579"/>
        <v>542.5</v>
      </c>
      <c r="G4507" s="97">
        <v>732</v>
      </c>
      <c r="H4507" s="367">
        <f t="shared" si="580"/>
        <v>1274.5</v>
      </c>
      <c r="I4507" s="368">
        <f t="shared" si="581"/>
        <v>0</v>
      </c>
      <c r="J4507">
        <v>1848</v>
      </c>
      <c r="K4507" s="367">
        <f t="shared" si="582"/>
        <v>1320</v>
      </c>
      <c r="L4507">
        <v>0.47000000000000003</v>
      </c>
      <c r="M4507">
        <v>2.5</v>
      </c>
      <c r="N4507">
        <v>19</v>
      </c>
      <c r="O4507">
        <v>2</v>
      </c>
      <c r="P4507" t="s">
        <v>514</v>
      </c>
      <c r="Q4507" s="97" t="str">
        <f t="shared" si="583"/>
        <v/>
      </c>
      <c r="R4507" t="str">
        <f t="shared" si="584"/>
        <v/>
      </c>
    </row>
    <row r="4508" spans="3:18">
      <c r="C4508" t="str">
        <f t="shared" si="567"/>
        <v>NL</v>
      </c>
      <c r="D4508">
        <v>20</v>
      </c>
      <c r="E4508">
        <v>25</v>
      </c>
      <c r="F4508" s="366">
        <f t="shared" si="579"/>
        <v>542.5</v>
      </c>
      <c r="G4508" s="97">
        <v>815</v>
      </c>
      <c r="H4508" s="367">
        <f t="shared" si="580"/>
        <v>1357.5</v>
      </c>
      <c r="I4508" s="368">
        <f t="shared" si="581"/>
        <v>0</v>
      </c>
      <c r="J4508">
        <v>2059</v>
      </c>
      <c r="K4508" s="367">
        <f t="shared" si="582"/>
        <v>1470.7142857142858</v>
      </c>
      <c r="L4508">
        <v>0.16</v>
      </c>
      <c r="M4508">
        <v>3.5</v>
      </c>
      <c r="N4508">
        <v>15</v>
      </c>
      <c r="O4508">
        <v>3</v>
      </c>
      <c r="P4508" t="s">
        <v>514</v>
      </c>
      <c r="Q4508" s="97" t="str">
        <f t="shared" si="583"/>
        <v/>
      </c>
      <c r="R4508" t="str">
        <f t="shared" si="584"/>
        <v/>
      </c>
    </row>
    <row r="4509" spans="3:18">
      <c r="C4509" t="str">
        <f t="shared" si="567"/>
        <v>NL</v>
      </c>
      <c r="D4509">
        <v>21</v>
      </c>
      <c r="E4509">
        <v>25</v>
      </c>
      <c r="F4509" s="366">
        <f t="shared" si="579"/>
        <v>542.5</v>
      </c>
      <c r="G4509" s="97">
        <v>1122</v>
      </c>
      <c r="H4509" s="367">
        <f t="shared" si="580"/>
        <v>1664.5</v>
      </c>
      <c r="I4509" s="368">
        <f t="shared" si="581"/>
        <v>0</v>
      </c>
      <c r="J4509">
        <v>2833</v>
      </c>
      <c r="K4509" s="367">
        <f t="shared" si="582"/>
        <v>2023.5714285714287</v>
      </c>
      <c r="L4509">
        <v>0.55000000000000004</v>
      </c>
      <c r="M4509">
        <v>3.5</v>
      </c>
      <c r="N4509">
        <v>19</v>
      </c>
      <c r="O4509">
        <v>3</v>
      </c>
      <c r="P4509" t="s">
        <v>513</v>
      </c>
      <c r="Q4509" s="97" t="str">
        <f t="shared" si="583"/>
        <v/>
      </c>
      <c r="R4509" t="str">
        <f t="shared" si="584"/>
        <v/>
      </c>
    </row>
    <row r="4510" spans="3:18">
      <c r="C4510" t="str">
        <f t="shared" si="567"/>
        <v/>
      </c>
      <c r="D4510">
        <v>22</v>
      </c>
      <c r="E4510">
        <v>25</v>
      </c>
      <c r="F4510" s="366">
        <f t="shared" si="579"/>
        <v>542.5</v>
      </c>
      <c r="G4510" s="97">
        <v>1202</v>
      </c>
      <c r="H4510" s="367">
        <f t="shared" si="580"/>
        <v>1744.5</v>
      </c>
      <c r="I4510" s="368">
        <f t="shared" si="581"/>
        <v>0</v>
      </c>
      <c r="J4510">
        <v>3034</v>
      </c>
      <c r="K4510" s="367">
        <f t="shared" si="582"/>
        <v>2167.1428571428573</v>
      </c>
      <c r="L4510">
        <v>0.28000000000000003</v>
      </c>
      <c r="M4510">
        <v>4.5</v>
      </c>
      <c r="N4510">
        <v>15</v>
      </c>
      <c r="O4510">
        <v>4</v>
      </c>
      <c r="P4510" t="s">
        <v>513</v>
      </c>
      <c r="Q4510" s="97" t="str">
        <f t="shared" si="583"/>
        <v/>
      </c>
      <c r="R4510" t="str">
        <f t="shared" si="584"/>
        <v/>
      </c>
    </row>
    <row r="4511" spans="3:18">
      <c r="C4511" t="str">
        <f t="shared" si="567"/>
        <v/>
      </c>
      <c r="D4511">
        <v>23</v>
      </c>
      <c r="E4511">
        <v>25</v>
      </c>
      <c r="F4511" s="366">
        <f t="shared" si="579"/>
        <v>542.5</v>
      </c>
      <c r="G4511" s="97">
        <v>1309</v>
      </c>
      <c r="H4511" s="367">
        <f t="shared" si="580"/>
        <v>1851.5</v>
      </c>
      <c r="I4511" s="368">
        <f t="shared" si="581"/>
        <v>0</v>
      </c>
      <c r="J4511">
        <v>3304</v>
      </c>
      <c r="K4511" s="367">
        <f t="shared" si="582"/>
        <v>2360</v>
      </c>
      <c r="L4511">
        <v>0.66</v>
      </c>
      <c r="M4511">
        <v>4.5</v>
      </c>
      <c r="N4511">
        <v>21</v>
      </c>
      <c r="O4511">
        <v>4</v>
      </c>
      <c r="P4511" t="s">
        <v>512</v>
      </c>
      <c r="Q4511" s="97" t="str">
        <f t="shared" si="583"/>
        <v/>
      </c>
      <c r="R4511" t="str">
        <f t="shared" si="584"/>
        <v/>
      </c>
    </row>
    <row r="4512" spans="3:18">
      <c r="C4512" t="str">
        <f t="shared" si="567"/>
        <v>NL</v>
      </c>
      <c r="D4512">
        <v>24</v>
      </c>
      <c r="E4512">
        <v>25</v>
      </c>
      <c r="F4512" s="366">
        <f t="shared" si="579"/>
        <v>542.5</v>
      </c>
      <c r="G4512" s="97">
        <v>1354</v>
      </c>
      <c r="H4512" s="367">
        <f t="shared" si="580"/>
        <v>1896.5</v>
      </c>
      <c r="I4512" s="368">
        <f t="shared" si="581"/>
        <v>0</v>
      </c>
      <c r="J4512">
        <v>3418</v>
      </c>
      <c r="K4512" s="367">
        <f t="shared" si="582"/>
        <v>2441.4285714285716</v>
      </c>
      <c r="L4512">
        <v>0.18000000000000002</v>
      </c>
      <c r="M4512">
        <v>5.5</v>
      </c>
      <c r="N4512">
        <v>15</v>
      </c>
      <c r="O4512">
        <v>5</v>
      </c>
      <c r="P4512" t="s">
        <v>513</v>
      </c>
      <c r="Q4512" s="97" t="str">
        <f t="shared" si="583"/>
        <v/>
      </c>
      <c r="R4512" t="str">
        <f t="shared" si="584"/>
        <v/>
      </c>
    </row>
    <row r="4513" spans="3:18">
      <c r="C4513" t="str">
        <f t="shared" si="567"/>
        <v>NL</v>
      </c>
      <c r="D4513">
        <v>25</v>
      </c>
      <c r="E4513">
        <v>25</v>
      </c>
      <c r="F4513" s="366">
        <f t="shared" si="579"/>
        <v>542.5</v>
      </c>
      <c r="G4513" s="97">
        <v>1510</v>
      </c>
      <c r="H4513" s="367">
        <f t="shared" si="580"/>
        <v>2052.5</v>
      </c>
      <c r="I4513" s="368">
        <f t="shared" si="581"/>
        <v>0</v>
      </c>
      <c r="J4513">
        <v>3811</v>
      </c>
      <c r="K4513" s="367">
        <f t="shared" si="582"/>
        <v>2722.1428571428573</v>
      </c>
      <c r="L4513">
        <v>0.42</v>
      </c>
      <c r="M4513">
        <v>5.5</v>
      </c>
      <c r="N4513">
        <v>19</v>
      </c>
      <c r="O4513">
        <v>5</v>
      </c>
      <c r="P4513" t="s">
        <v>512</v>
      </c>
      <c r="Q4513" s="97" t="str">
        <f t="shared" si="583"/>
        <v/>
      </c>
      <c r="R4513" t="str">
        <f t="shared" si="584"/>
        <v/>
      </c>
    </row>
    <row r="4514" spans="3:18">
      <c r="C4514" t="str">
        <f t="shared" si="567"/>
        <v/>
      </c>
      <c r="D4514">
        <v>26</v>
      </c>
      <c r="E4514">
        <v>25</v>
      </c>
      <c r="F4514" s="366">
        <f t="shared" si="579"/>
        <v>542.5</v>
      </c>
      <c r="G4514" s="97">
        <v>1419</v>
      </c>
      <c r="H4514" s="367">
        <f t="shared" si="580"/>
        <v>1961.5</v>
      </c>
      <c r="I4514" s="368">
        <f t="shared" si="581"/>
        <v>0</v>
      </c>
      <c r="J4514">
        <v>3583</v>
      </c>
      <c r="K4514" s="367">
        <f t="shared" si="582"/>
        <v>2559.2857142857142</v>
      </c>
      <c r="L4514">
        <v>0.3</v>
      </c>
      <c r="M4514">
        <v>6.6</v>
      </c>
      <c r="N4514">
        <v>18</v>
      </c>
      <c r="O4514">
        <v>6</v>
      </c>
      <c r="P4514" t="s">
        <v>512</v>
      </c>
      <c r="Q4514" s="97" t="str">
        <f t="shared" si="583"/>
        <v/>
      </c>
      <c r="R4514" t="str">
        <f t="shared" si="584"/>
        <v/>
      </c>
    </row>
    <row r="4515" spans="3:18">
      <c r="C4515" t="str">
        <f t="shared" si="567"/>
        <v>NL</v>
      </c>
      <c r="D4515">
        <v>27</v>
      </c>
      <c r="E4515">
        <v>25</v>
      </c>
      <c r="F4515" s="366">
        <f t="shared" si="579"/>
        <v>542.5</v>
      </c>
      <c r="G4515" s="97">
        <v>1916</v>
      </c>
      <c r="H4515" s="367">
        <f t="shared" si="580"/>
        <v>2458.5</v>
      </c>
      <c r="I4515" s="368">
        <f t="shared" si="581"/>
        <v>0</v>
      </c>
      <c r="J4515">
        <v>4836</v>
      </c>
      <c r="K4515" s="367">
        <f t="shared" si="582"/>
        <v>3454.2857142857142</v>
      </c>
      <c r="L4515">
        <v>0.22</v>
      </c>
      <c r="M4515">
        <v>7.6</v>
      </c>
      <c r="N4515">
        <v>18</v>
      </c>
      <c r="O4515">
        <v>7</v>
      </c>
      <c r="P4515" t="s">
        <v>512</v>
      </c>
      <c r="Q4515" s="97" t="str">
        <f t="shared" si="583"/>
        <v/>
      </c>
      <c r="R4515" t="str">
        <f t="shared" si="584"/>
        <v/>
      </c>
    </row>
    <row r="4516" spans="3:18">
      <c r="C4516" t="str">
        <f t="shared" si="567"/>
        <v/>
      </c>
      <c r="D4516">
        <v>28</v>
      </c>
      <c r="E4516">
        <v>25</v>
      </c>
      <c r="F4516" s="366">
        <f t="shared" si="579"/>
        <v>542.5</v>
      </c>
      <c r="G4516" s="97">
        <v>1665</v>
      </c>
      <c r="H4516" s="367">
        <f t="shared" si="580"/>
        <v>2207.5</v>
      </c>
      <c r="I4516" s="368">
        <f t="shared" si="581"/>
        <v>0</v>
      </c>
      <c r="J4516">
        <v>4202</v>
      </c>
      <c r="K4516" s="367">
        <f t="shared" si="582"/>
        <v>3001.4285714285716</v>
      </c>
      <c r="L4516">
        <v>0.17</v>
      </c>
      <c r="M4516">
        <v>8.5</v>
      </c>
      <c r="N4516">
        <v>17</v>
      </c>
      <c r="O4516">
        <v>8</v>
      </c>
      <c r="P4516" t="s">
        <v>512</v>
      </c>
      <c r="Q4516" s="97" t="str">
        <f t="shared" si="583"/>
        <v/>
      </c>
      <c r="R4516" t="str">
        <f t="shared" si="584"/>
        <v/>
      </c>
    </row>
    <row r="4517" spans="3:18">
      <c r="C4517" t="str">
        <f t="shared" si="567"/>
        <v/>
      </c>
      <c r="D4517">
        <v>29</v>
      </c>
      <c r="E4517">
        <v>30</v>
      </c>
      <c r="F4517" s="366">
        <f t="shared" si="579"/>
        <v>651</v>
      </c>
      <c r="G4517" s="97">
        <v>603</v>
      </c>
      <c r="H4517" s="367">
        <f t="shared" si="580"/>
        <v>1254</v>
      </c>
      <c r="I4517" s="368">
        <f t="shared" si="581"/>
        <v>0</v>
      </c>
      <c r="J4517">
        <v>1524</v>
      </c>
      <c r="K4517" s="367">
        <f t="shared" si="582"/>
        <v>1088.5714285714287</v>
      </c>
      <c r="L4517">
        <v>0.22</v>
      </c>
      <c r="M4517">
        <v>2.5</v>
      </c>
      <c r="N4517">
        <v>16</v>
      </c>
      <c r="O4517">
        <v>2</v>
      </c>
      <c r="P4517" t="s">
        <v>515</v>
      </c>
      <c r="Q4517" s="97" t="str">
        <f t="shared" si="583"/>
        <v/>
      </c>
      <c r="R4517" t="str">
        <f t="shared" si="584"/>
        <v/>
      </c>
    </row>
    <row r="4518" spans="3:18">
      <c r="C4518" t="str">
        <f t="shared" si="567"/>
        <v/>
      </c>
      <c r="D4518">
        <v>30</v>
      </c>
      <c r="E4518">
        <v>30</v>
      </c>
      <c r="F4518" s="366">
        <f t="shared" si="579"/>
        <v>651</v>
      </c>
      <c r="G4518" s="97">
        <v>839</v>
      </c>
      <c r="H4518" s="367">
        <f t="shared" si="580"/>
        <v>1490</v>
      </c>
      <c r="I4518" s="368">
        <f t="shared" si="581"/>
        <v>0</v>
      </c>
      <c r="J4518">
        <v>2118</v>
      </c>
      <c r="K4518" s="367">
        <f t="shared" si="582"/>
        <v>1512.8571428571429</v>
      </c>
      <c r="L4518">
        <v>0.67</v>
      </c>
      <c r="M4518">
        <v>2.5</v>
      </c>
      <c r="N4518">
        <v>22</v>
      </c>
      <c r="O4518">
        <v>2</v>
      </c>
      <c r="P4518" t="s">
        <v>514</v>
      </c>
      <c r="Q4518" s="97" t="str">
        <f t="shared" si="583"/>
        <v/>
      </c>
      <c r="R4518" t="str">
        <f t="shared" si="584"/>
        <v/>
      </c>
    </row>
    <row r="4519" spans="3:18">
      <c r="C4519" t="str">
        <f t="shared" si="567"/>
        <v>NL</v>
      </c>
      <c r="D4519">
        <v>31</v>
      </c>
      <c r="E4519">
        <v>30</v>
      </c>
      <c r="F4519" s="366">
        <f t="shared" si="579"/>
        <v>651</v>
      </c>
      <c r="G4519" s="97">
        <v>942</v>
      </c>
      <c r="H4519" s="367">
        <f t="shared" si="580"/>
        <v>1593</v>
      </c>
      <c r="I4519" s="368">
        <f t="shared" si="581"/>
        <v>0</v>
      </c>
      <c r="J4519">
        <v>2379</v>
      </c>
      <c r="K4519" s="367">
        <f t="shared" si="582"/>
        <v>1699.2857142857142</v>
      </c>
      <c r="L4519">
        <v>0.24000000000000002</v>
      </c>
      <c r="M4519">
        <v>3.5</v>
      </c>
      <c r="N4519">
        <v>16</v>
      </c>
      <c r="O4519">
        <v>3</v>
      </c>
      <c r="P4519" t="s">
        <v>514</v>
      </c>
      <c r="Q4519" s="97" t="str">
        <f t="shared" si="583"/>
        <v/>
      </c>
      <c r="R4519" t="str">
        <f t="shared" si="584"/>
        <v/>
      </c>
    </row>
    <row r="4520" spans="3:18">
      <c r="C4520" t="str">
        <f t="shared" si="567"/>
        <v>NL</v>
      </c>
      <c r="D4520">
        <v>32</v>
      </c>
      <c r="E4520">
        <v>30</v>
      </c>
      <c r="F4520" s="366">
        <f t="shared" si="579"/>
        <v>651</v>
      </c>
      <c r="G4520" s="97">
        <v>1281</v>
      </c>
      <c r="H4520" s="367">
        <f t="shared" si="580"/>
        <v>1932</v>
      </c>
      <c r="I4520" s="368">
        <f t="shared" si="581"/>
        <v>0</v>
      </c>
      <c r="J4520">
        <v>3234</v>
      </c>
      <c r="K4520" s="367">
        <f t="shared" si="582"/>
        <v>2310</v>
      </c>
      <c r="L4520">
        <v>0.79</v>
      </c>
      <c r="M4520">
        <v>3.5</v>
      </c>
      <c r="N4520">
        <v>21</v>
      </c>
      <c r="O4520">
        <v>3</v>
      </c>
      <c r="P4520" t="s">
        <v>513</v>
      </c>
      <c r="Q4520" s="97" t="str">
        <f t="shared" si="583"/>
        <v/>
      </c>
      <c r="R4520" t="str">
        <f t="shared" si="584"/>
        <v/>
      </c>
    </row>
    <row r="4521" spans="3:18">
      <c r="C4521" t="str">
        <f t="shared" si="567"/>
        <v/>
      </c>
      <c r="D4521">
        <v>33</v>
      </c>
      <c r="E4521">
        <v>30</v>
      </c>
      <c r="F4521" s="366">
        <f t="shared" si="579"/>
        <v>651</v>
      </c>
      <c r="G4521" s="97">
        <v>1378</v>
      </c>
      <c r="H4521" s="367">
        <f t="shared" si="580"/>
        <v>2029</v>
      </c>
      <c r="I4521" s="368">
        <f t="shared" si="581"/>
        <v>0</v>
      </c>
      <c r="J4521">
        <v>3478</v>
      </c>
      <c r="K4521" s="367">
        <f t="shared" si="582"/>
        <v>2484.2857142857142</v>
      </c>
      <c r="L4521">
        <v>0.4</v>
      </c>
      <c r="M4521">
        <v>4.5</v>
      </c>
      <c r="N4521">
        <v>17</v>
      </c>
      <c r="O4521">
        <v>4</v>
      </c>
      <c r="P4521" t="s">
        <v>513</v>
      </c>
      <c r="Q4521" s="97" t="str">
        <f t="shared" si="583"/>
        <v/>
      </c>
      <c r="R4521" t="str">
        <f t="shared" si="584"/>
        <v/>
      </c>
    </row>
    <row r="4522" spans="3:18">
      <c r="C4522" t="str">
        <f t="shared" si="567"/>
        <v/>
      </c>
      <c r="D4522">
        <v>34</v>
      </c>
      <c r="E4522">
        <v>30</v>
      </c>
      <c r="F4522" s="366">
        <f t="shared" si="579"/>
        <v>651</v>
      </c>
      <c r="G4522" s="97">
        <v>1504</v>
      </c>
      <c r="H4522" s="367">
        <f t="shared" si="580"/>
        <v>2155</v>
      </c>
      <c r="I4522" s="368">
        <f t="shared" si="581"/>
        <v>0</v>
      </c>
      <c r="J4522">
        <v>3796</v>
      </c>
      <c r="K4522" s="367">
        <f t="shared" si="582"/>
        <v>2711.4285714285716</v>
      </c>
      <c r="L4522">
        <v>0.94000000000000006</v>
      </c>
      <c r="M4522">
        <v>4.5</v>
      </c>
      <c r="N4522">
        <v>23</v>
      </c>
      <c r="O4522">
        <v>4</v>
      </c>
      <c r="P4522" t="s">
        <v>512</v>
      </c>
      <c r="Q4522" s="97" t="str">
        <f t="shared" si="583"/>
        <v/>
      </c>
      <c r="R4522" t="str">
        <f t="shared" si="584"/>
        <v/>
      </c>
    </row>
    <row r="4523" spans="3:18">
      <c r="C4523" t="str">
        <f t="shared" si="567"/>
        <v>NL</v>
      </c>
      <c r="D4523">
        <v>35</v>
      </c>
      <c r="E4523">
        <v>30</v>
      </c>
      <c r="F4523" s="366">
        <f t="shared" si="579"/>
        <v>651</v>
      </c>
      <c r="G4523" s="97">
        <v>1570</v>
      </c>
      <c r="H4523" s="367">
        <f t="shared" si="580"/>
        <v>2221</v>
      </c>
      <c r="I4523" s="368">
        <f t="shared" si="581"/>
        <v>0</v>
      </c>
      <c r="J4523">
        <v>3964</v>
      </c>
      <c r="K4523" s="367">
        <f t="shared" si="582"/>
        <v>2831.4285714285716</v>
      </c>
      <c r="L4523">
        <v>0.25</v>
      </c>
      <c r="M4523">
        <v>5.5</v>
      </c>
      <c r="N4523">
        <v>16</v>
      </c>
      <c r="O4523">
        <v>5</v>
      </c>
      <c r="P4523" t="s">
        <v>513</v>
      </c>
      <c r="Q4523" s="97" t="str">
        <f t="shared" si="583"/>
        <v/>
      </c>
      <c r="R4523" t="str">
        <f t="shared" si="584"/>
        <v/>
      </c>
    </row>
    <row r="4524" spans="3:18">
      <c r="C4524" t="str">
        <f t="shared" si="567"/>
        <v>NL</v>
      </c>
      <c r="D4524">
        <v>36</v>
      </c>
      <c r="E4524">
        <v>30</v>
      </c>
      <c r="F4524" s="366">
        <f t="shared" si="579"/>
        <v>651</v>
      </c>
      <c r="G4524" s="97">
        <v>1733</v>
      </c>
      <c r="H4524" s="367">
        <f t="shared" si="580"/>
        <v>2384</v>
      </c>
      <c r="I4524" s="368">
        <f t="shared" si="581"/>
        <v>0</v>
      </c>
      <c r="J4524">
        <v>4375</v>
      </c>
      <c r="K4524" s="367">
        <f t="shared" si="582"/>
        <v>3125</v>
      </c>
      <c r="L4524">
        <v>0.6</v>
      </c>
      <c r="M4524">
        <v>5.5</v>
      </c>
      <c r="N4524">
        <v>22</v>
      </c>
      <c r="O4524">
        <v>5</v>
      </c>
      <c r="P4524" t="s">
        <v>512</v>
      </c>
      <c r="Q4524" s="97" t="str">
        <f t="shared" si="583"/>
        <v/>
      </c>
      <c r="R4524" t="str">
        <f t="shared" si="584"/>
        <v/>
      </c>
    </row>
    <row r="4525" spans="3:18">
      <c r="C4525" t="str">
        <f t="shared" si="567"/>
        <v/>
      </c>
      <c r="D4525">
        <v>37</v>
      </c>
      <c r="E4525">
        <v>30</v>
      </c>
      <c r="F4525" s="366">
        <f t="shared" si="579"/>
        <v>651</v>
      </c>
      <c r="G4525" s="97">
        <v>1498</v>
      </c>
      <c r="H4525" s="367">
        <f t="shared" si="580"/>
        <v>2149</v>
      </c>
      <c r="I4525" s="368">
        <f t="shared" si="581"/>
        <v>0</v>
      </c>
      <c r="J4525">
        <v>3782</v>
      </c>
      <c r="K4525" s="367">
        <f t="shared" si="582"/>
        <v>2701.4285714285716</v>
      </c>
      <c r="L4525">
        <v>0.18000000000000002</v>
      </c>
      <c r="M4525">
        <v>6.6</v>
      </c>
      <c r="N4525">
        <v>15</v>
      </c>
      <c r="O4525">
        <v>6</v>
      </c>
      <c r="P4525" t="s">
        <v>513</v>
      </c>
      <c r="Q4525" s="97" t="str">
        <f t="shared" si="583"/>
        <v/>
      </c>
      <c r="R4525" t="str">
        <f t="shared" si="584"/>
        <v/>
      </c>
    </row>
    <row r="4526" spans="3:18">
      <c r="C4526" t="str">
        <f t="shared" si="567"/>
        <v/>
      </c>
      <c r="D4526">
        <v>38</v>
      </c>
      <c r="E4526">
        <v>30</v>
      </c>
      <c r="F4526" s="366">
        <f t="shared" si="579"/>
        <v>651</v>
      </c>
      <c r="G4526" s="97">
        <v>1640</v>
      </c>
      <c r="H4526" s="367">
        <f t="shared" si="580"/>
        <v>2291</v>
      </c>
      <c r="I4526" s="368">
        <f t="shared" si="581"/>
        <v>0</v>
      </c>
      <c r="J4526">
        <v>4141</v>
      </c>
      <c r="K4526" s="367">
        <f t="shared" si="582"/>
        <v>2957.8571428571431</v>
      </c>
      <c r="L4526">
        <v>0.42</v>
      </c>
      <c r="M4526">
        <v>6.6</v>
      </c>
      <c r="N4526">
        <v>21</v>
      </c>
      <c r="O4526">
        <v>6</v>
      </c>
      <c r="P4526" t="s">
        <v>512</v>
      </c>
      <c r="Q4526" s="97" t="str">
        <f t="shared" si="583"/>
        <v/>
      </c>
      <c r="R4526" t="str">
        <f t="shared" si="584"/>
        <v/>
      </c>
    </row>
    <row r="4527" spans="3:18">
      <c r="C4527" t="str">
        <f t="shared" si="567"/>
        <v>NL</v>
      </c>
      <c r="D4527">
        <v>39</v>
      </c>
      <c r="E4527">
        <v>30</v>
      </c>
      <c r="F4527" s="366">
        <f t="shared" si="579"/>
        <v>651</v>
      </c>
      <c r="G4527" s="97">
        <v>2219</v>
      </c>
      <c r="H4527" s="367">
        <f t="shared" si="580"/>
        <v>2870</v>
      </c>
      <c r="I4527" s="368">
        <f t="shared" si="581"/>
        <v>0</v>
      </c>
      <c r="J4527">
        <v>5601</v>
      </c>
      <c r="K4527" s="367">
        <f t="shared" si="582"/>
        <v>4000.7142857142858</v>
      </c>
      <c r="L4527">
        <v>0.31</v>
      </c>
      <c r="M4527">
        <v>7.6</v>
      </c>
      <c r="N4527">
        <v>20</v>
      </c>
      <c r="O4527">
        <v>7</v>
      </c>
      <c r="P4527" t="s">
        <v>512</v>
      </c>
      <c r="Q4527" s="97" t="str">
        <f t="shared" si="583"/>
        <v/>
      </c>
      <c r="R4527" t="str">
        <f t="shared" si="584"/>
        <v/>
      </c>
    </row>
    <row r="4528" spans="3:18">
      <c r="C4528" t="str">
        <f t="shared" si="567"/>
        <v/>
      </c>
      <c r="D4528">
        <v>40</v>
      </c>
      <c r="E4528">
        <v>30</v>
      </c>
      <c r="F4528" s="366">
        <f t="shared" si="579"/>
        <v>651</v>
      </c>
      <c r="G4528" s="97">
        <v>1901</v>
      </c>
      <c r="H4528" s="367">
        <f t="shared" si="580"/>
        <v>2552</v>
      </c>
      <c r="I4528" s="368">
        <f t="shared" si="581"/>
        <v>0</v>
      </c>
      <c r="J4528">
        <v>4798</v>
      </c>
      <c r="K4528" s="367">
        <f t="shared" si="582"/>
        <v>3427.1428571428573</v>
      </c>
      <c r="L4528">
        <v>0.24000000000000002</v>
      </c>
      <c r="M4528">
        <v>8.5</v>
      </c>
      <c r="N4528">
        <v>19</v>
      </c>
      <c r="O4528">
        <v>8</v>
      </c>
      <c r="P4528" t="s">
        <v>512</v>
      </c>
      <c r="Q4528" s="97" t="str">
        <f t="shared" si="583"/>
        <v/>
      </c>
      <c r="R4528" t="str">
        <f t="shared" si="584"/>
        <v/>
      </c>
    </row>
    <row r="4529" spans="3:18">
      <c r="C4529" t="str">
        <f t="shared" si="567"/>
        <v>NL</v>
      </c>
      <c r="D4529">
        <v>41</v>
      </c>
      <c r="E4529">
        <v>30</v>
      </c>
      <c r="F4529" s="366">
        <f t="shared" si="579"/>
        <v>651</v>
      </c>
      <c r="G4529" s="97">
        <v>2591</v>
      </c>
      <c r="H4529" s="367">
        <f t="shared" si="580"/>
        <v>3242</v>
      </c>
      <c r="I4529" s="368">
        <f t="shared" si="581"/>
        <v>0</v>
      </c>
      <c r="J4529">
        <v>6539</v>
      </c>
      <c r="K4529" s="367">
        <f t="shared" si="582"/>
        <v>4670.7142857142862</v>
      </c>
      <c r="L4529">
        <v>0.2</v>
      </c>
      <c r="M4529">
        <v>9.6</v>
      </c>
      <c r="N4529">
        <v>19</v>
      </c>
      <c r="O4529">
        <v>9</v>
      </c>
      <c r="P4529" t="s">
        <v>512</v>
      </c>
      <c r="Q4529" s="97" t="str">
        <f t="shared" si="583"/>
        <v/>
      </c>
      <c r="R4529" t="str">
        <f t="shared" si="584"/>
        <v/>
      </c>
    </row>
    <row r="4530" spans="3:18">
      <c r="C4530" t="str">
        <f t="shared" si="567"/>
        <v/>
      </c>
      <c r="D4530">
        <v>42</v>
      </c>
      <c r="E4530">
        <v>30</v>
      </c>
      <c r="F4530" s="366">
        <f t="shared" si="579"/>
        <v>651</v>
      </c>
      <c r="G4530" s="97">
        <v>2725</v>
      </c>
      <c r="H4530" s="367">
        <f t="shared" si="580"/>
        <v>3376</v>
      </c>
      <c r="I4530" s="368">
        <f t="shared" si="581"/>
        <v>0</v>
      </c>
      <c r="J4530">
        <v>6879</v>
      </c>
      <c r="K4530" s="367">
        <f t="shared" si="582"/>
        <v>4913.5714285714284</v>
      </c>
      <c r="L4530">
        <v>0.16</v>
      </c>
      <c r="M4530">
        <v>1.4000000000000001</v>
      </c>
      <c r="N4530">
        <v>18</v>
      </c>
      <c r="O4530">
        <v>10</v>
      </c>
      <c r="P4530" t="s">
        <v>512</v>
      </c>
      <c r="Q4530" s="97" t="str">
        <f t="shared" si="583"/>
        <v/>
      </c>
      <c r="R4530" t="str">
        <f t="shared" si="584"/>
        <v/>
      </c>
    </row>
    <row r="4531" spans="3:18">
      <c r="C4531" t="str">
        <f t="shared" si="567"/>
        <v/>
      </c>
      <c r="D4531">
        <v>43</v>
      </c>
      <c r="E4531">
        <v>30</v>
      </c>
      <c r="F4531" s="366">
        <f t="shared" si="579"/>
        <v>651</v>
      </c>
      <c r="G4531" s="97">
        <v>2725</v>
      </c>
      <c r="H4531" s="367">
        <f t="shared" si="580"/>
        <v>3376</v>
      </c>
      <c r="I4531" s="368">
        <f t="shared" si="581"/>
        <v>0</v>
      </c>
      <c r="J4531">
        <v>6879</v>
      </c>
      <c r="K4531" s="367">
        <f t="shared" si="582"/>
        <v>4913.5714285714284</v>
      </c>
      <c r="L4531">
        <v>0.16</v>
      </c>
      <c r="M4531">
        <v>1.4000000000000001</v>
      </c>
      <c r="N4531">
        <v>18</v>
      </c>
      <c r="O4531">
        <v>10</v>
      </c>
      <c r="P4531" t="s">
        <v>512</v>
      </c>
      <c r="Q4531" s="97" t="str">
        <f t="shared" si="583"/>
        <v/>
      </c>
      <c r="R4531" t="str">
        <f t="shared" si="584"/>
        <v/>
      </c>
    </row>
    <row r="4532" spans="3:18">
      <c r="C4532" t="str">
        <f t="shared" si="567"/>
        <v/>
      </c>
      <c r="D4532">
        <v>44</v>
      </c>
      <c r="E4532">
        <v>35</v>
      </c>
      <c r="F4532" s="366">
        <f t="shared" si="579"/>
        <v>759.5</v>
      </c>
      <c r="G4532" s="97">
        <v>681</v>
      </c>
      <c r="H4532" s="367">
        <f t="shared" si="580"/>
        <v>1440.5</v>
      </c>
      <c r="I4532" s="368">
        <f t="shared" si="581"/>
        <v>0</v>
      </c>
      <c r="J4532">
        <v>1719</v>
      </c>
      <c r="K4532" s="367">
        <f t="shared" si="582"/>
        <v>1227.8571428571429</v>
      </c>
      <c r="L4532">
        <v>0.29000000000000004</v>
      </c>
      <c r="M4532">
        <v>2.5</v>
      </c>
      <c r="N4532">
        <v>18</v>
      </c>
      <c r="O4532">
        <v>2</v>
      </c>
      <c r="P4532" t="s">
        <v>515</v>
      </c>
      <c r="Q4532" s="97" t="str">
        <f t="shared" si="583"/>
        <v/>
      </c>
      <c r="R4532" t="str">
        <f t="shared" si="584"/>
        <v/>
      </c>
    </row>
    <row r="4533" spans="3:18">
      <c r="C4533" t="str">
        <f t="shared" si="567"/>
        <v/>
      </c>
      <c r="D4533">
        <v>45</v>
      </c>
      <c r="E4533">
        <v>35</v>
      </c>
      <c r="F4533" s="366">
        <f t="shared" si="579"/>
        <v>759.5</v>
      </c>
      <c r="G4533" s="97">
        <v>936</v>
      </c>
      <c r="H4533" s="367">
        <f t="shared" si="580"/>
        <v>1695.5</v>
      </c>
      <c r="I4533" s="368">
        <f t="shared" si="581"/>
        <v>0</v>
      </c>
      <c r="J4533">
        <v>2364</v>
      </c>
      <c r="K4533" s="367">
        <f t="shared" si="582"/>
        <v>1688.5714285714287</v>
      </c>
      <c r="L4533">
        <v>0.91</v>
      </c>
      <c r="M4533">
        <v>2.5</v>
      </c>
      <c r="N4533">
        <v>24</v>
      </c>
      <c r="O4533">
        <v>2</v>
      </c>
      <c r="P4533" t="s">
        <v>514</v>
      </c>
      <c r="Q4533" s="97" t="str">
        <f t="shared" si="583"/>
        <v/>
      </c>
      <c r="R4533" t="str">
        <f t="shared" si="584"/>
        <v/>
      </c>
    </row>
    <row r="4534" spans="3:18">
      <c r="C4534" t="str">
        <f t="shared" si="567"/>
        <v>NL</v>
      </c>
      <c r="D4534">
        <v>46</v>
      </c>
      <c r="E4534">
        <v>35</v>
      </c>
      <c r="F4534" s="366">
        <f t="shared" si="579"/>
        <v>759.5</v>
      </c>
      <c r="G4534" s="97">
        <v>1061</v>
      </c>
      <c r="H4534" s="367">
        <f t="shared" si="580"/>
        <v>1820.5</v>
      </c>
      <c r="I4534" s="368">
        <f t="shared" si="581"/>
        <v>0</v>
      </c>
      <c r="J4534">
        <v>2678</v>
      </c>
      <c r="K4534" s="367">
        <f t="shared" si="582"/>
        <v>1912.8571428571429</v>
      </c>
      <c r="L4534">
        <v>0.32</v>
      </c>
      <c r="M4534">
        <v>3.5</v>
      </c>
      <c r="N4534">
        <v>18</v>
      </c>
      <c r="O4534">
        <v>3</v>
      </c>
      <c r="P4534" t="s">
        <v>514</v>
      </c>
      <c r="Q4534" s="97" t="str">
        <f t="shared" si="583"/>
        <v/>
      </c>
      <c r="R4534" t="str">
        <f t="shared" si="584"/>
        <v/>
      </c>
    </row>
    <row r="4535" spans="3:18">
      <c r="C4535" t="str">
        <f t="shared" si="567"/>
        <v>NL</v>
      </c>
      <c r="D4535">
        <v>47</v>
      </c>
      <c r="E4535">
        <v>35</v>
      </c>
      <c r="F4535" s="366">
        <f t="shared" si="579"/>
        <v>759.5</v>
      </c>
      <c r="G4535" s="97">
        <v>1432</v>
      </c>
      <c r="H4535" s="367">
        <f t="shared" si="580"/>
        <v>2191.5</v>
      </c>
      <c r="I4535" s="368">
        <f t="shared" si="581"/>
        <v>0</v>
      </c>
      <c r="J4535">
        <v>3614</v>
      </c>
      <c r="K4535" s="367">
        <f t="shared" si="582"/>
        <v>2581.4285714285716</v>
      </c>
      <c r="L4535">
        <v>1.07</v>
      </c>
      <c r="M4535">
        <v>3.5</v>
      </c>
      <c r="N4535">
        <v>23</v>
      </c>
      <c r="O4535">
        <v>3</v>
      </c>
      <c r="P4535" t="s">
        <v>513</v>
      </c>
      <c r="Q4535" s="97" t="str">
        <f t="shared" si="583"/>
        <v/>
      </c>
      <c r="R4535" t="str">
        <f t="shared" si="584"/>
        <v/>
      </c>
    </row>
    <row r="4536" spans="3:18">
      <c r="C4536" t="str">
        <f t="shared" ref="C4536:C4599" si="585">IF(OR($O$4=0,O4536-$O$4=0),IF(AND(ISEVEN(O4536)=FALSE,$N$4="Even"),"NL",""),"NL")</f>
        <v/>
      </c>
      <c r="D4536">
        <v>48</v>
      </c>
      <c r="E4536">
        <v>35</v>
      </c>
      <c r="F4536" s="366">
        <f t="shared" si="579"/>
        <v>759.5</v>
      </c>
      <c r="G4536" s="97">
        <v>1131</v>
      </c>
      <c r="H4536" s="367">
        <f t="shared" si="580"/>
        <v>1890.5</v>
      </c>
      <c r="I4536" s="368">
        <f t="shared" si="581"/>
        <v>0</v>
      </c>
      <c r="J4536">
        <v>2856</v>
      </c>
      <c r="K4536" s="367">
        <f t="shared" si="582"/>
        <v>2040</v>
      </c>
      <c r="L4536">
        <v>0.16</v>
      </c>
      <c r="M4536">
        <v>4.5</v>
      </c>
      <c r="N4536">
        <v>15</v>
      </c>
      <c r="O4536">
        <v>4</v>
      </c>
      <c r="P4536" t="s">
        <v>514</v>
      </c>
      <c r="Q4536" s="97" t="str">
        <f t="shared" si="583"/>
        <v/>
      </c>
      <c r="R4536" t="str">
        <f t="shared" si="584"/>
        <v/>
      </c>
    </row>
    <row r="4537" spans="3:18">
      <c r="C4537" t="str">
        <f t="shared" si="585"/>
        <v/>
      </c>
      <c r="D4537">
        <v>49</v>
      </c>
      <c r="E4537">
        <v>35</v>
      </c>
      <c r="F4537" s="366">
        <f t="shared" si="579"/>
        <v>759.5</v>
      </c>
      <c r="G4537" s="97">
        <v>1553</v>
      </c>
      <c r="H4537" s="367">
        <f t="shared" si="580"/>
        <v>2312.5</v>
      </c>
      <c r="I4537" s="368">
        <f t="shared" si="581"/>
        <v>0</v>
      </c>
      <c r="J4537">
        <v>3919</v>
      </c>
      <c r="K4537" s="367">
        <f t="shared" si="582"/>
        <v>2799.2857142857142</v>
      </c>
      <c r="L4537">
        <v>0.54</v>
      </c>
      <c r="M4537">
        <v>4.5</v>
      </c>
      <c r="N4537">
        <v>19</v>
      </c>
      <c r="O4537">
        <v>4</v>
      </c>
      <c r="P4537" t="s">
        <v>513</v>
      </c>
      <c r="Q4537" s="97" t="str">
        <f t="shared" si="583"/>
        <v/>
      </c>
      <c r="R4537" t="str">
        <f t="shared" si="584"/>
        <v/>
      </c>
    </row>
    <row r="4538" spans="3:18">
      <c r="C4538" t="str">
        <f t="shared" si="585"/>
        <v>NL</v>
      </c>
      <c r="D4538">
        <v>50</v>
      </c>
      <c r="E4538">
        <v>35</v>
      </c>
      <c r="F4538" s="366">
        <f t="shared" si="579"/>
        <v>759.5</v>
      </c>
      <c r="G4538" s="97">
        <v>1760</v>
      </c>
      <c r="H4538" s="367">
        <f t="shared" si="580"/>
        <v>2519.5</v>
      </c>
      <c r="I4538" s="368">
        <f t="shared" si="581"/>
        <v>0</v>
      </c>
      <c r="J4538">
        <v>4444</v>
      </c>
      <c r="K4538" s="367">
        <f t="shared" si="582"/>
        <v>3174.2857142857142</v>
      </c>
      <c r="L4538">
        <v>0.34</v>
      </c>
      <c r="M4538">
        <v>5.5</v>
      </c>
      <c r="N4538">
        <v>18</v>
      </c>
      <c r="O4538">
        <v>5</v>
      </c>
      <c r="P4538" t="s">
        <v>513</v>
      </c>
      <c r="Q4538" s="97" t="str">
        <f t="shared" si="583"/>
        <v/>
      </c>
      <c r="R4538" t="str">
        <f t="shared" si="584"/>
        <v/>
      </c>
    </row>
    <row r="4539" spans="3:18">
      <c r="C4539" t="str">
        <f t="shared" si="585"/>
        <v>NL</v>
      </c>
      <c r="D4539">
        <v>51</v>
      </c>
      <c r="E4539">
        <v>35</v>
      </c>
      <c r="F4539" s="366">
        <f t="shared" si="579"/>
        <v>759.5</v>
      </c>
      <c r="G4539" s="97">
        <v>1950</v>
      </c>
      <c r="H4539" s="367">
        <f t="shared" si="580"/>
        <v>2709.5</v>
      </c>
      <c r="I4539" s="368">
        <f t="shared" si="581"/>
        <v>0</v>
      </c>
      <c r="J4539">
        <v>4922</v>
      </c>
      <c r="K4539" s="367">
        <f t="shared" si="582"/>
        <v>3515.7142857142858</v>
      </c>
      <c r="L4539">
        <v>0.81</v>
      </c>
      <c r="M4539">
        <v>5.5</v>
      </c>
      <c r="N4539">
        <v>24</v>
      </c>
      <c r="O4539">
        <v>5</v>
      </c>
      <c r="P4539" t="s">
        <v>512</v>
      </c>
      <c r="Q4539" s="97" t="str">
        <f t="shared" si="583"/>
        <v/>
      </c>
      <c r="R4539" t="str">
        <f t="shared" si="584"/>
        <v/>
      </c>
    </row>
    <row r="4540" spans="3:18">
      <c r="C4540" t="str">
        <f t="shared" si="585"/>
        <v/>
      </c>
      <c r="D4540">
        <v>52</v>
      </c>
      <c r="E4540">
        <v>35</v>
      </c>
      <c r="F4540" s="366">
        <f t="shared" si="579"/>
        <v>759.5</v>
      </c>
      <c r="G4540" s="97">
        <v>1696</v>
      </c>
      <c r="H4540" s="367">
        <f t="shared" si="580"/>
        <v>2455.5</v>
      </c>
      <c r="I4540" s="368">
        <f t="shared" si="581"/>
        <v>0</v>
      </c>
      <c r="J4540">
        <v>4282</v>
      </c>
      <c r="K4540" s="367">
        <f t="shared" si="582"/>
        <v>3058.5714285714284</v>
      </c>
      <c r="L4540">
        <v>0.24000000000000002</v>
      </c>
      <c r="M4540">
        <v>6.6</v>
      </c>
      <c r="N4540">
        <v>17</v>
      </c>
      <c r="O4540">
        <v>6</v>
      </c>
      <c r="P4540" t="s">
        <v>513</v>
      </c>
      <c r="Q4540" s="97" t="str">
        <f t="shared" si="583"/>
        <v/>
      </c>
      <c r="R4540" t="str">
        <f t="shared" si="584"/>
        <v/>
      </c>
    </row>
    <row r="4541" spans="3:18">
      <c r="C4541" t="str">
        <f t="shared" si="585"/>
        <v/>
      </c>
      <c r="D4541">
        <v>53</v>
      </c>
      <c r="E4541">
        <v>35</v>
      </c>
      <c r="F4541" s="366">
        <f t="shared" si="579"/>
        <v>759.5</v>
      </c>
      <c r="G4541" s="97">
        <v>1862</v>
      </c>
      <c r="H4541" s="367">
        <f t="shared" si="580"/>
        <v>2621.5</v>
      </c>
      <c r="I4541" s="368">
        <f t="shared" si="581"/>
        <v>0</v>
      </c>
      <c r="J4541">
        <v>4699</v>
      </c>
      <c r="K4541" s="367">
        <f t="shared" si="582"/>
        <v>3356.4285714285716</v>
      </c>
      <c r="L4541">
        <v>0.57999999999999996</v>
      </c>
      <c r="M4541">
        <v>6.6</v>
      </c>
      <c r="N4541">
        <v>23</v>
      </c>
      <c r="O4541">
        <v>6</v>
      </c>
      <c r="P4541" t="s">
        <v>512</v>
      </c>
      <c r="Q4541" s="97" t="str">
        <f t="shared" si="583"/>
        <v/>
      </c>
      <c r="R4541" t="str">
        <f t="shared" si="584"/>
        <v/>
      </c>
    </row>
    <row r="4542" spans="3:18">
      <c r="C4542" t="str">
        <f t="shared" si="585"/>
        <v>NL</v>
      </c>
      <c r="D4542">
        <v>54</v>
      </c>
      <c r="E4542">
        <v>35</v>
      </c>
      <c r="F4542" s="366">
        <f t="shared" si="579"/>
        <v>759.5</v>
      </c>
      <c r="G4542" s="97">
        <v>2320</v>
      </c>
      <c r="H4542" s="367">
        <f t="shared" si="580"/>
        <v>3079.5</v>
      </c>
      <c r="I4542" s="368">
        <f t="shared" si="581"/>
        <v>0</v>
      </c>
      <c r="J4542">
        <v>5857</v>
      </c>
      <c r="K4542" s="367">
        <f t="shared" si="582"/>
        <v>4183.5714285714284</v>
      </c>
      <c r="L4542">
        <v>0.18000000000000002</v>
      </c>
      <c r="M4542">
        <v>7.6</v>
      </c>
      <c r="N4542">
        <v>17</v>
      </c>
      <c r="O4542">
        <v>7</v>
      </c>
      <c r="P4542" t="s">
        <v>513</v>
      </c>
      <c r="Q4542" s="97" t="str">
        <f t="shared" si="583"/>
        <v/>
      </c>
      <c r="R4542" t="str">
        <f t="shared" si="584"/>
        <v/>
      </c>
    </row>
    <row r="4543" spans="3:18">
      <c r="C4543" t="str">
        <f t="shared" si="585"/>
        <v>NL</v>
      </c>
      <c r="D4543">
        <v>55</v>
      </c>
      <c r="E4543">
        <v>35</v>
      </c>
      <c r="F4543" s="366">
        <f t="shared" si="579"/>
        <v>759.5</v>
      </c>
      <c r="G4543" s="97">
        <v>2498</v>
      </c>
      <c r="H4543" s="367">
        <f t="shared" si="580"/>
        <v>3257.5</v>
      </c>
      <c r="I4543" s="368">
        <f t="shared" si="581"/>
        <v>0</v>
      </c>
      <c r="J4543">
        <v>6305</v>
      </c>
      <c r="K4543" s="367">
        <f t="shared" si="582"/>
        <v>4503.5714285714284</v>
      </c>
      <c r="L4543">
        <v>0.43</v>
      </c>
      <c r="M4543">
        <v>7.6</v>
      </c>
      <c r="N4543">
        <v>22</v>
      </c>
      <c r="O4543">
        <v>7</v>
      </c>
      <c r="P4543" t="s">
        <v>512</v>
      </c>
      <c r="Q4543" s="97" t="str">
        <f t="shared" si="583"/>
        <v/>
      </c>
      <c r="R4543" t="str">
        <f t="shared" si="584"/>
        <v/>
      </c>
    </row>
    <row r="4544" spans="3:18">
      <c r="C4544" t="str">
        <f t="shared" si="585"/>
        <v/>
      </c>
      <c r="D4544">
        <v>56</v>
      </c>
      <c r="E4544">
        <v>35</v>
      </c>
      <c r="F4544" s="366">
        <f t="shared" si="579"/>
        <v>759.5</v>
      </c>
      <c r="G4544" s="97">
        <v>1982</v>
      </c>
      <c r="H4544" s="367">
        <f t="shared" si="580"/>
        <v>2741.5</v>
      </c>
      <c r="I4544" s="368">
        <f t="shared" si="581"/>
        <v>0</v>
      </c>
      <c r="J4544">
        <v>5003</v>
      </c>
      <c r="K4544" s="367">
        <f t="shared" si="582"/>
        <v>3573.5714285714284</v>
      </c>
      <c r="L4544">
        <v>0.14000000000000001</v>
      </c>
      <c r="M4544">
        <v>8.5</v>
      </c>
      <c r="N4544">
        <v>16</v>
      </c>
      <c r="O4544">
        <v>8</v>
      </c>
      <c r="P4544" t="s">
        <v>513</v>
      </c>
      <c r="Q4544" s="97" t="str">
        <f t="shared" si="583"/>
        <v/>
      </c>
      <c r="R4544" t="str">
        <f t="shared" si="584"/>
        <v/>
      </c>
    </row>
    <row r="4545" spans="3:18">
      <c r="C4545" t="str">
        <f t="shared" si="585"/>
        <v/>
      </c>
      <c r="D4545">
        <v>57</v>
      </c>
      <c r="E4545">
        <v>35</v>
      </c>
      <c r="F4545" s="366">
        <f t="shared" si="579"/>
        <v>759.5</v>
      </c>
      <c r="G4545" s="97">
        <v>2137</v>
      </c>
      <c r="H4545" s="367">
        <f t="shared" si="580"/>
        <v>2896.5</v>
      </c>
      <c r="I4545" s="368">
        <f t="shared" si="581"/>
        <v>0</v>
      </c>
      <c r="J4545">
        <v>5394</v>
      </c>
      <c r="K4545" s="367">
        <f t="shared" si="582"/>
        <v>3852.8571428571431</v>
      </c>
      <c r="L4545">
        <v>0.33</v>
      </c>
      <c r="M4545">
        <v>8.5</v>
      </c>
      <c r="N4545">
        <v>21</v>
      </c>
      <c r="O4545">
        <v>8</v>
      </c>
      <c r="P4545" t="s">
        <v>512</v>
      </c>
      <c r="Q4545" s="97" t="str">
        <f t="shared" si="583"/>
        <v/>
      </c>
      <c r="R4545" t="str">
        <f t="shared" si="584"/>
        <v/>
      </c>
    </row>
    <row r="4546" spans="3:18">
      <c r="C4546" t="str">
        <f t="shared" si="585"/>
        <v>NL</v>
      </c>
      <c r="D4546">
        <v>58</v>
      </c>
      <c r="E4546">
        <v>35</v>
      </c>
      <c r="F4546" s="366">
        <f t="shared" si="579"/>
        <v>759.5</v>
      </c>
      <c r="G4546" s="97">
        <v>2926</v>
      </c>
      <c r="H4546" s="367">
        <f t="shared" si="580"/>
        <v>3685.5</v>
      </c>
      <c r="I4546" s="368">
        <f t="shared" si="581"/>
        <v>0</v>
      </c>
      <c r="J4546">
        <v>7385</v>
      </c>
      <c r="K4546" s="367">
        <f t="shared" si="582"/>
        <v>5275</v>
      </c>
      <c r="L4546">
        <v>0.27</v>
      </c>
      <c r="M4546">
        <v>9.6</v>
      </c>
      <c r="N4546">
        <v>21</v>
      </c>
      <c r="O4546">
        <v>9</v>
      </c>
      <c r="P4546" t="s">
        <v>512</v>
      </c>
      <c r="Q4546" s="97" t="str">
        <f t="shared" si="583"/>
        <v/>
      </c>
      <c r="R4546" t="str">
        <f t="shared" si="584"/>
        <v/>
      </c>
    </row>
    <row r="4547" spans="3:18">
      <c r="C4547" t="str">
        <f t="shared" si="585"/>
        <v/>
      </c>
      <c r="D4547">
        <v>59</v>
      </c>
      <c r="E4547">
        <v>35</v>
      </c>
      <c r="F4547" s="366">
        <f t="shared" si="579"/>
        <v>759.5</v>
      </c>
      <c r="G4547" s="97">
        <v>3067</v>
      </c>
      <c r="H4547" s="367">
        <f t="shared" si="580"/>
        <v>3826.5</v>
      </c>
      <c r="I4547" s="368">
        <f t="shared" si="581"/>
        <v>0</v>
      </c>
      <c r="J4547">
        <v>7740</v>
      </c>
      <c r="K4547" s="367">
        <f t="shared" si="582"/>
        <v>5528.5714285714284</v>
      </c>
      <c r="L4547">
        <v>0.22</v>
      </c>
      <c r="M4547">
        <v>1.4000000000000001</v>
      </c>
      <c r="N4547">
        <v>20</v>
      </c>
      <c r="O4547">
        <v>10</v>
      </c>
      <c r="P4547" t="s">
        <v>512</v>
      </c>
      <c r="Q4547" s="97" t="str">
        <f t="shared" si="583"/>
        <v/>
      </c>
      <c r="R4547" t="str">
        <f t="shared" si="584"/>
        <v/>
      </c>
    </row>
    <row r="4548" spans="3:18">
      <c r="C4548" t="str">
        <f t="shared" si="585"/>
        <v/>
      </c>
      <c r="D4548">
        <v>60</v>
      </c>
      <c r="E4548">
        <v>35</v>
      </c>
      <c r="F4548" s="366">
        <f t="shared" si="579"/>
        <v>759.5</v>
      </c>
      <c r="G4548" s="97">
        <v>3067</v>
      </c>
      <c r="H4548" s="367">
        <f t="shared" si="580"/>
        <v>3826.5</v>
      </c>
      <c r="I4548" s="368">
        <f t="shared" si="581"/>
        <v>0</v>
      </c>
      <c r="J4548">
        <v>7740</v>
      </c>
      <c r="K4548" s="367">
        <f t="shared" si="582"/>
        <v>5528.5714285714284</v>
      </c>
      <c r="L4548">
        <v>0.22</v>
      </c>
      <c r="M4548">
        <v>1.4000000000000001</v>
      </c>
      <c r="N4548">
        <v>20</v>
      </c>
      <c r="O4548">
        <v>10</v>
      </c>
      <c r="P4548" t="s">
        <v>512</v>
      </c>
      <c r="Q4548" s="97" t="str">
        <f t="shared" si="583"/>
        <v/>
      </c>
      <c r="R4548" t="str">
        <f t="shared" si="584"/>
        <v/>
      </c>
    </row>
    <row r="4549" spans="3:18">
      <c r="C4549" t="str">
        <f t="shared" si="585"/>
        <v/>
      </c>
      <c r="D4549">
        <v>61</v>
      </c>
      <c r="E4549">
        <v>40</v>
      </c>
      <c r="F4549" s="366">
        <f t="shared" si="579"/>
        <v>868</v>
      </c>
      <c r="G4549" s="97">
        <v>755</v>
      </c>
      <c r="H4549" s="367">
        <f t="shared" si="580"/>
        <v>1623</v>
      </c>
      <c r="I4549" s="368">
        <f t="shared" si="581"/>
        <v>0</v>
      </c>
      <c r="J4549">
        <v>1907</v>
      </c>
      <c r="K4549" s="367">
        <f t="shared" si="582"/>
        <v>1362.1428571428571</v>
      </c>
      <c r="L4549">
        <v>0.38</v>
      </c>
      <c r="M4549">
        <v>2.5</v>
      </c>
      <c r="N4549">
        <v>20</v>
      </c>
      <c r="O4549">
        <v>2</v>
      </c>
      <c r="P4549" t="s">
        <v>515</v>
      </c>
      <c r="Q4549" s="97" t="str">
        <f t="shared" si="583"/>
        <v/>
      </c>
      <c r="R4549" t="str">
        <f t="shared" si="584"/>
        <v/>
      </c>
    </row>
    <row r="4550" spans="3:18">
      <c r="C4550" t="str">
        <f t="shared" si="585"/>
        <v/>
      </c>
      <c r="D4550">
        <v>62</v>
      </c>
      <c r="E4550">
        <v>40</v>
      </c>
      <c r="F4550" s="366">
        <f t="shared" si="579"/>
        <v>868</v>
      </c>
      <c r="G4550" s="97">
        <v>1028</v>
      </c>
      <c r="H4550" s="367">
        <f t="shared" si="580"/>
        <v>1896</v>
      </c>
      <c r="I4550" s="368">
        <f t="shared" si="581"/>
        <v>0</v>
      </c>
      <c r="J4550">
        <v>2595</v>
      </c>
      <c r="K4550" s="367">
        <f t="shared" si="582"/>
        <v>1853.5714285714287</v>
      </c>
      <c r="L4550">
        <v>1.19</v>
      </c>
      <c r="M4550">
        <v>2.5</v>
      </c>
      <c r="N4550">
        <v>25</v>
      </c>
      <c r="O4550">
        <v>2</v>
      </c>
      <c r="P4550" t="s">
        <v>514</v>
      </c>
      <c r="Q4550" s="97" t="str">
        <f t="shared" si="583"/>
        <v/>
      </c>
      <c r="R4550" t="str">
        <f t="shared" si="584"/>
        <v/>
      </c>
    </row>
    <row r="4551" spans="3:18">
      <c r="C4551" t="str">
        <f t="shared" si="585"/>
        <v>NL</v>
      </c>
      <c r="D4551">
        <v>63</v>
      </c>
      <c r="E4551">
        <v>40</v>
      </c>
      <c r="F4551" s="366">
        <f t="shared" si="579"/>
        <v>868</v>
      </c>
      <c r="G4551" s="97">
        <v>1175</v>
      </c>
      <c r="H4551" s="367">
        <f t="shared" si="580"/>
        <v>2043</v>
      </c>
      <c r="I4551" s="368">
        <f t="shared" si="581"/>
        <v>0</v>
      </c>
      <c r="J4551">
        <v>2965</v>
      </c>
      <c r="K4551" s="367">
        <f t="shared" si="582"/>
        <v>2117.8571428571431</v>
      </c>
      <c r="L4551">
        <v>0.41000000000000003</v>
      </c>
      <c r="M4551">
        <v>3.5</v>
      </c>
      <c r="N4551">
        <v>20</v>
      </c>
      <c r="O4551">
        <v>3</v>
      </c>
      <c r="P4551" t="s">
        <v>514</v>
      </c>
      <c r="Q4551" s="97" t="str">
        <f t="shared" si="583"/>
        <v/>
      </c>
      <c r="R4551" t="str">
        <f t="shared" si="584"/>
        <v/>
      </c>
    </row>
    <row r="4552" spans="3:18">
      <c r="C4552" t="str">
        <f t="shared" si="585"/>
        <v/>
      </c>
      <c r="D4552">
        <v>64</v>
      </c>
      <c r="E4552">
        <v>40</v>
      </c>
      <c r="F4552" s="366">
        <f t="shared" si="579"/>
        <v>868</v>
      </c>
      <c r="G4552" s="97">
        <v>1260</v>
      </c>
      <c r="H4552" s="367">
        <f t="shared" si="580"/>
        <v>2128</v>
      </c>
      <c r="I4552" s="368">
        <f t="shared" si="581"/>
        <v>0</v>
      </c>
      <c r="J4552">
        <v>3181</v>
      </c>
      <c r="K4552" s="367">
        <f t="shared" si="582"/>
        <v>2272.1428571428573</v>
      </c>
      <c r="L4552">
        <v>0.21000000000000002</v>
      </c>
      <c r="M4552">
        <v>4.5</v>
      </c>
      <c r="N4552">
        <v>16</v>
      </c>
      <c r="O4552">
        <v>4</v>
      </c>
      <c r="P4552" t="s">
        <v>514</v>
      </c>
      <c r="Q4552" s="97" t="str">
        <f t="shared" si="583"/>
        <v/>
      </c>
      <c r="R4552" t="str">
        <f t="shared" si="584"/>
        <v/>
      </c>
    </row>
    <row r="4553" spans="3:18">
      <c r="C4553" t="str">
        <f t="shared" si="585"/>
        <v/>
      </c>
      <c r="D4553">
        <v>65</v>
      </c>
      <c r="E4553">
        <v>40</v>
      </c>
      <c r="F4553" s="366">
        <f t="shared" si="579"/>
        <v>868</v>
      </c>
      <c r="G4553" s="97">
        <v>1709</v>
      </c>
      <c r="H4553" s="367">
        <f t="shared" si="580"/>
        <v>2577</v>
      </c>
      <c r="I4553" s="368">
        <f t="shared" si="581"/>
        <v>0</v>
      </c>
      <c r="J4553">
        <v>4313</v>
      </c>
      <c r="K4553" s="367">
        <f t="shared" si="582"/>
        <v>3080.7142857142858</v>
      </c>
      <c r="L4553">
        <v>0.7</v>
      </c>
      <c r="M4553">
        <v>4.5</v>
      </c>
      <c r="N4553">
        <v>21</v>
      </c>
      <c r="O4553">
        <v>4</v>
      </c>
      <c r="P4553" t="s">
        <v>513</v>
      </c>
      <c r="Q4553" s="97" t="str">
        <f t="shared" si="583"/>
        <v/>
      </c>
      <c r="R4553" t="str">
        <f t="shared" si="584"/>
        <v/>
      </c>
    </row>
    <row r="4554" spans="3:18">
      <c r="C4554" t="str">
        <f t="shared" si="585"/>
        <v>NL</v>
      </c>
      <c r="D4554">
        <v>66</v>
      </c>
      <c r="E4554">
        <v>40</v>
      </c>
      <c r="F4554" s="366">
        <f t="shared" ref="F4554:F4617" si="586">1.085*($A$2-$B$2)*E4554*$T$7</f>
        <v>868</v>
      </c>
      <c r="G4554" s="97">
        <v>1951</v>
      </c>
      <c r="H4554" s="367">
        <f t="shared" ref="H4554:H4617" si="587">(G4554*$U$7)+F4554</f>
        <v>2819</v>
      </c>
      <c r="I4554" s="368">
        <f t="shared" ref="I4554:I4617" si="588">1.085*($C$2-$D$2)*E4554*$T$7</f>
        <v>0</v>
      </c>
      <c r="J4554">
        <v>4924</v>
      </c>
      <c r="K4554" s="367">
        <f t="shared" ref="K4554:K4617" si="589">(J4554*$V$7)-I4554</f>
        <v>3517.1428571428573</v>
      </c>
      <c r="L4554">
        <v>0.45</v>
      </c>
      <c r="M4554">
        <v>5.5</v>
      </c>
      <c r="N4554">
        <v>20</v>
      </c>
      <c r="O4554">
        <v>5</v>
      </c>
      <c r="P4554" t="s">
        <v>513</v>
      </c>
      <c r="Q4554" s="97" t="str">
        <f t="shared" ref="Q4554:Q4617" si="590">IF(AND(H4554+1&gt;$E$4,L4554&lt;$L$4+0.01,M4554&lt;$M$4+0.01,K4554+1&gt;$F$4,E4554+1&gt;$J$4,N4554&lt;$K$4+1,O4554&lt;$P$4+1,C4554=""),D4554,"")</f>
        <v/>
      </c>
      <c r="R4554" t="str">
        <f t="shared" ref="R4554:R4617" si="591">IF(Q4554="","",IF(AND(O4554&lt;$X$38,E4554&gt;$U$38,E4554&lt;$Q$4+$U$38+1),D4554,""))</f>
        <v/>
      </c>
    </row>
    <row r="4555" spans="3:18">
      <c r="C4555" t="str">
        <f t="shared" si="585"/>
        <v/>
      </c>
      <c r="D4555">
        <v>67</v>
      </c>
      <c r="E4555">
        <v>40</v>
      </c>
      <c r="F4555" s="366">
        <f t="shared" si="586"/>
        <v>868</v>
      </c>
      <c r="G4555" s="97">
        <v>1891</v>
      </c>
      <c r="H4555" s="367">
        <f t="shared" si="587"/>
        <v>2759</v>
      </c>
      <c r="I4555" s="368">
        <f t="shared" si="588"/>
        <v>0</v>
      </c>
      <c r="J4555">
        <v>4774</v>
      </c>
      <c r="K4555" s="367">
        <f t="shared" si="589"/>
        <v>3410</v>
      </c>
      <c r="L4555">
        <v>0.32</v>
      </c>
      <c r="M4555">
        <v>6.6</v>
      </c>
      <c r="N4555">
        <v>19</v>
      </c>
      <c r="O4555">
        <v>6</v>
      </c>
      <c r="P4555" t="s">
        <v>513</v>
      </c>
      <c r="Q4555" s="97" t="str">
        <f t="shared" si="590"/>
        <v/>
      </c>
      <c r="R4555" t="str">
        <f t="shared" si="591"/>
        <v/>
      </c>
    </row>
    <row r="4556" spans="3:18">
      <c r="C4556" t="str">
        <f t="shared" si="585"/>
        <v/>
      </c>
      <c r="D4556">
        <v>68</v>
      </c>
      <c r="E4556">
        <v>40</v>
      </c>
      <c r="F4556" s="366">
        <f t="shared" si="586"/>
        <v>868</v>
      </c>
      <c r="G4556" s="97">
        <v>2056</v>
      </c>
      <c r="H4556" s="367">
        <f t="shared" si="587"/>
        <v>2924</v>
      </c>
      <c r="I4556" s="368">
        <f t="shared" si="588"/>
        <v>0</v>
      </c>
      <c r="J4556">
        <v>5190</v>
      </c>
      <c r="K4556" s="367">
        <f t="shared" si="589"/>
        <v>3707.1428571428573</v>
      </c>
      <c r="L4556">
        <v>0.75</v>
      </c>
      <c r="M4556">
        <v>6.6</v>
      </c>
      <c r="N4556">
        <v>25</v>
      </c>
      <c r="O4556">
        <v>6</v>
      </c>
      <c r="P4556" t="s">
        <v>512</v>
      </c>
      <c r="Q4556" s="97" t="str">
        <f t="shared" si="590"/>
        <v/>
      </c>
      <c r="R4556" t="str">
        <f t="shared" si="591"/>
        <v/>
      </c>
    </row>
    <row r="4557" spans="3:18">
      <c r="C4557" t="str">
        <f t="shared" si="585"/>
        <v>NL</v>
      </c>
      <c r="D4557">
        <v>69</v>
      </c>
      <c r="E4557">
        <v>40</v>
      </c>
      <c r="F4557" s="366">
        <f t="shared" si="586"/>
        <v>868</v>
      </c>
      <c r="G4557" s="97">
        <v>2560</v>
      </c>
      <c r="H4557" s="367">
        <f t="shared" si="587"/>
        <v>3428</v>
      </c>
      <c r="I4557" s="368">
        <f t="shared" si="588"/>
        <v>0</v>
      </c>
      <c r="J4557">
        <v>6461</v>
      </c>
      <c r="K4557" s="367">
        <f t="shared" si="589"/>
        <v>4615</v>
      </c>
      <c r="L4557">
        <v>0.24000000000000002</v>
      </c>
      <c r="M4557">
        <v>7.6</v>
      </c>
      <c r="N4557">
        <v>18</v>
      </c>
      <c r="O4557">
        <v>7</v>
      </c>
      <c r="P4557" t="s">
        <v>513</v>
      </c>
      <c r="Q4557" s="97" t="str">
        <f t="shared" si="590"/>
        <v/>
      </c>
      <c r="R4557" t="str">
        <f t="shared" si="591"/>
        <v/>
      </c>
    </row>
    <row r="4558" spans="3:18">
      <c r="C4558" t="str">
        <f t="shared" si="585"/>
        <v>NL</v>
      </c>
      <c r="D4558">
        <v>70</v>
      </c>
      <c r="E4558">
        <v>40</v>
      </c>
      <c r="F4558" s="366">
        <f t="shared" si="586"/>
        <v>868</v>
      </c>
      <c r="G4558" s="97">
        <v>2757</v>
      </c>
      <c r="H4558" s="367">
        <f t="shared" si="587"/>
        <v>3625</v>
      </c>
      <c r="I4558" s="368">
        <f t="shared" si="588"/>
        <v>0</v>
      </c>
      <c r="J4558">
        <v>6958</v>
      </c>
      <c r="K4558" s="367">
        <f t="shared" si="589"/>
        <v>4970</v>
      </c>
      <c r="L4558">
        <v>0.55000000000000004</v>
      </c>
      <c r="M4558">
        <v>7.6</v>
      </c>
      <c r="N4558">
        <v>24</v>
      </c>
      <c r="O4558">
        <v>7</v>
      </c>
      <c r="P4558" t="s">
        <v>512</v>
      </c>
      <c r="Q4558" s="97" t="str">
        <f t="shared" si="590"/>
        <v/>
      </c>
      <c r="R4558" t="str">
        <f t="shared" si="591"/>
        <v/>
      </c>
    </row>
    <row r="4559" spans="3:18">
      <c r="C4559" t="str">
        <f t="shared" si="585"/>
        <v/>
      </c>
      <c r="D4559">
        <v>71</v>
      </c>
      <c r="E4559">
        <v>40</v>
      </c>
      <c r="F4559" s="366">
        <f t="shared" si="586"/>
        <v>868</v>
      </c>
      <c r="G4559" s="97">
        <v>2196</v>
      </c>
      <c r="H4559" s="367">
        <f t="shared" si="587"/>
        <v>3064</v>
      </c>
      <c r="I4559" s="368">
        <f t="shared" si="588"/>
        <v>0</v>
      </c>
      <c r="J4559">
        <v>5543</v>
      </c>
      <c r="K4559" s="367">
        <f t="shared" si="589"/>
        <v>3959.2857142857142</v>
      </c>
      <c r="L4559">
        <v>0.19</v>
      </c>
      <c r="M4559">
        <v>8.5</v>
      </c>
      <c r="N4559">
        <v>18</v>
      </c>
      <c r="O4559">
        <v>8</v>
      </c>
      <c r="P4559" t="s">
        <v>513</v>
      </c>
      <c r="Q4559" s="97">
        <f t="shared" si="590"/>
        <v>71</v>
      </c>
      <c r="R4559" t="str">
        <f t="shared" si="591"/>
        <v/>
      </c>
    </row>
    <row r="4560" spans="3:18">
      <c r="C4560" t="str">
        <f t="shared" si="585"/>
        <v/>
      </c>
      <c r="D4560">
        <v>72</v>
      </c>
      <c r="E4560">
        <v>40</v>
      </c>
      <c r="F4560" s="366">
        <f t="shared" si="586"/>
        <v>868</v>
      </c>
      <c r="G4560" s="97">
        <v>2373</v>
      </c>
      <c r="H4560" s="367">
        <f t="shared" si="587"/>
        <v>3241</v>
      </c>
      <c r="I4560" s="368">
        <f t="shared" si="588"/>
        <v>0</v>
      </c>
      <c r="J4560">
        <v>5990</v>
      </c>
      <c r="K4560" s="367">
        <f t="shared" si="589"/>
        <v>4278.5714285714284</v>
      </c>
      <c r="L4560">
        <v>0.43</v>
      </c>
      <c r="M4560">
        <v>8.5</v>
      </c>
      <c r="N4560">
        <v>23</v>
      </c>
      <c r="O4560">
        <v>8</v>
      </c>
      <c r="P4560" t="s">
        <v>512</v>
      </c>
      <c r="Q4560" s="97">
        <f t="shared" si="590"/>
        <v>72</v>
      </c>
      <c r="R4560" t="str">
        <f t="shared" si="591"/>
        <v/>
      </c>
    </row>
    <row r="4561" spans="3:18">
      <c r="C4561" t="str">
        <f t="shared" si="585"/>
        <v>NL</v>
      </c>
      <c r="D4561">
        <v>73</v>
      </c>
      <c r="E4561">
        <v>40</v>
      </c>
      <c r="F4561" s="366">
        <f t="shared" si="586"/>
        <v>868</v>
      </c>
      <c r="G4561" s="97">
        <v>3017</v>
      </c>
      <c r="H4561" s="367">
        <f t="shared" si="587"/>
        <v>3885</v>
      </c>
      <c r="I4561" s="368">
        <f t="shared" si="588"/>
        <v>0</v>
      </c>
      <c r="J4561">
        <v>7616</v>
      </c>
      <c r="K4561" s="367">
        <f t="shared" si="589"/>
        <v>5440</v>
      </c>
      <c r="L4561">
        <v>0.15000000000000002</v>
      </c>
      <c r="M4561">
        <v>9.6</v>
      </c>
      <c r="N4561">
        <v>17</v>
      </c>
      <c r="O4561">
        <v>9</v>
      </c>
      <c r="P4561" t="s">
        <v>513</v>
      </c>
      <c r="Q4561" s="97" t="str">
        <f t="shared" si="590"/>
        <v/>
      </c>
      <c r="R4561" t="str">
        <f t="shared" si="591"/>
        <v/>
      </c>
    </row>
    <row r="4562" spans="3:18">
      <c r="C4562" t="str">
        <f t="shared" si="585"/>
        <v>NL</v>
      </c>
      <c r="D4562">
        <v>74</v>
      </c>
      <c r="E4562">
        <v>40</v>
      </c>
      <c r="F4562" s="366">
        <f t="shared" si="586"/>
        <v>868</v>
      </c>
      <c r="G4562" s="97">
        <v>3261</v>
      </c>
      <c r="H4562" s="367">
        <f t="shared" si="587"/>
        <v>4129</v>
      </c>
      <c r="I4562" s="368">
        <f t="shared" si="588"/>
        <v>0</v>
      </c>
      <c r="J4562">
        <v>8232</v>
      </c>
      <c r="K4562" s="367">
        <f t="shared" si="589"/>
        <v>5880</v>
      </c>
      <c r="L4562">
        <v>0.35000000000000003</v>
      </c>
      <c r="M4562">
        <v>9.6</v>
      </c>
      <c r="N4562">
        <v>22</v>
      </c>
      <c r="O4562">
        <v>9</v>
      </c>
      <c r="P4562" t="s">
        <v>512</v>
      </c>
      <c r="Q4562" s="97" t="str">
        <f t="shared" si="590"/>
        <v/>
      </c>
      <c r="R4562" t="str">
        <f t="shared" si="591"/>
        <v/>
      </c>
    </row>
    <row r="4563" spans="3:18">
      <c r="C4563" t="str">
        <f t="shared" si="585"/>
        <v/>
      </c>
      <c r="D4563">
        <v>75</v>
      </c>
      <c r="E4563">
        <v>40</v>
      </c>
      <c r="F4563" s="366">
        <f t="shared" si="586"/>
        <v>868</v>
      </c>
      <c r="G4563" s="97">
        <v>3408</v>
      </c>
      <c r="H4563" s="367">
        <f t="shared" si="587"/>
        <v>4276</v>
      </c>
      <c r="I4563" s="368">
        <f t="shared" si="588"/>
        <v>0</v>
      </c>
      <c r="J4563">
        <v>8601</v>
      </c>
      <c r="K4563" s="367">
        <f t="shared" si="589"/>
        <v>6143.5714285714284</v>
      </c>
      <c r="L4563">
        <v>0.29000000000000004</v>
      </c>
      <c r="M4563">
        <v>1.4000000000000001</v>
      </c>
      <c r="N4563">
        <v>22</v>
      </c>
      <c r="O4563">
        <v>10</v>
      </c>
      <c r="P4563" t="s">
        <v>512</v>
      </c>
      <c r="Q4563" s="97" t="str">
        <f t="shared" si="590"/>
        <v/>
      </c>
      <c r="R4563" t="str">
        <f t="shared" si="591"/>
        <v/>
      </c>
    </row>
    <row r="4564" spans="3:18">
      <c r="C4564" t="str">
        <f t="shared" si="585"/>
        <v/>
      </c>
      <c r="D4564">
        <v>76</v>
      </c>
      <c r="E4564">
        <v>40</v>
      </c>
      <c r="F4564" s="366">
        <f t="shared" si="586"/>
        <v>868</v>
      </c>
      <c r="G4564" s="97">
        <v>3408</v>
      </c>
      <c r="H4564" s="367">
        <f t="shared" si="587"/>
        <v>4276</v>
      </c>
      <c r="I4564" s="368">
        <f t="shared" si="588"/>
        <v>0</v>
      </c>
      <c r="J4564">
        <v>8601</v>
      </c>
      <c r="K4564" s="367">
        <f t="shared" si="589"/>
        <v>6143.5714285714284</v>
      </c>
      <c r="L4564">
        <v>0.29000000000000004</v>
      </c>
      <c r="M4564">
        <v>1.4000000000000001</v>
      </c>
      <c r="N4564">
        <v>22</v>
      </c>
      <c r="O4564">
        <v>10</v>
      </c>
      <c r="P4564" t="s">
        <v>512</v>
      </c>
      <c r="Q4564" s="97" t="str">
        <f t="shared" si="590"/>
        <v/>
      </c>
      <c r="R4564" t="str">
        <f t="shared" si="591"/>
        <v/>
      </c>
    </row>
    <row r="4565" spans="3:18">
      <c r="C4565" t="str">
        <f t="shared" si="585"/>
        <v/>
      </c>
      <c r="D4565">
        <v>77</v>
      </c>
      <c r="E4565">
        <v>45</v>
      </c>
      <c r="F4565" s="366">
        <f t="shared" si="586"/>
        <v>976.5</v>
      </c>
      <c r="G4565" s="97">
        <v>828</v>
      </c>
      <c r="H4565" s="367">
        <f t="shared" si="587"/>
        <v>1804.5</v>
      </c>
      <c r="I4565" s="368">
        <f t="shared" si="588"/>
        <v>0</v>
      </c>
      <c r="J4565">
        <v>2091</v>
      </c>
      <c r="K4565" s="367">
        <f t="shared" si="589"/>
        <v>1493.5714285714287</v>
      </c>
      <c r="L4565">
        <v>0.48</v>
      </c>
      <c r="M4565">
        <v>2.5</v>
      </c>
      <c r="N4565">
        <v>22</v>
      </c>
      <c r="O4565">
        <v>2</v>
      </c>
      <c r="P4565" t="s">
        <v>515</v>
      </c>
      <c r="Q4565" s="97" t="str">
        <f t="shared" si="590"/>
        <v/>
      </c>
      <c r="R4565" t="str">
        <f t="shared" si="591"/>
        <v/>
      </c>
    </row>
    <row r="4566" spans="3:18">
      <c r="C4566" t="str">
        <f t="shared" si="585"/>
        <v>NL</v>
      </c>
      <c r="D4566">
        <v>78</v>
      </c>
      <c r="E4566">
        <v>45</v>
      </c>
      <c r="F4566" s="366">
        <f t="shared" si="586"/>
        <v>976.5</v>
      </c>
      <c r="G4566" s="97">
        <v>917</v>
      </c>
      <c r="H4566" s="367">
        <f t="shared" si="587"/>
        <v>1893.5</v>
      </c>
      <c r="I4566" s="368">
        <f t="shared" si="588"/>
        <v>0</v>
      </c>
      <c r="J4566">
        <v>2315</v>
      </c>
      <c r="K4566" s="367">
        <f t="shared" si="589"/>
        <v>1653.5714285714287</v>
      </c>
      <c r="L4566">
        <v>0.17</v>
      </c>
      <c r="M4566">
        <v>3.5</v>
      </c>
      <c r="N4566">
        <v>16</v>
      </c>
      <c r="O4566">
        <v>3</v>
      </c>
      <c r="P4566" t="s">
        <v>515</v>
      </c>
      <c r="Q4566" s="97" t="str">
        <f t="shared" si="590"/>
        <v/>
      </c>
      <c r="R4566" t="str">
        <f t="shared" si="591"/>
        <v/>
      </c>
    </row>
    <row r="4567" spans="3:18">
      <c r="C4567" t="str">
        <f t="shared" si="585"/>
        <v>NL</v>
      </c>
      <c r="D4567">
        <v>79</v>
      </c>
      <c r="E4567">
        <v>45</v>
      </c>
      <c r="F4567" s="366">
        <f t="shared" si="586"/>
        <v>976.5</v>
      </c>
      <c r="G4567" s="97">
        <v>1280</v>
      </c>
      <c r="H4567" s="367">
        <f t="shared" si="587"/>
        <v>2256.5</v>
      </c>
      <c r="I4567" s="368">
        <f t="shared" si="588"/>
        <v>0</v>
      </c>
      <c r="J4567">
        <v>3231</v>
      </c>
      <c r="K4567" s="367">
        <f t="shared" si="589"/>
        <v>2307.8571428571431</v>
      </c>
      <c r="L4567">
        <v>0.52</v>
      </c>
      <c r="M4567">
        <v>3.5</v>
      </c>
      <c r="N4567">
        <v>21</v>
      </c>
      <c r="O4567">
        <v>3</v>
      </c>
      <c r="P4567" t="s">
        <v>514</v>
      </c>
      <c r="Q4567" s="97" t="str">
        <f t="shared" si="590"/>
        <v/>
      </c>
      <c r="R4567" t="str">
        <f t="shared" si="591"/>
        <v/>
      </c>
    </row>
    <row r="4568" spans="3:18">
      <c r="C4568" t="str">
        <f t="shared" si="585"/>
        <v/>
      </c>
      <c r="D4568">
        <v>80</v>
      </c>
      <c r="E4568">
        <v>45</v>
      </c>
      <c r="F4568" s="366">
        <f t="shared" si="586"/>
        <v>976.5</v>
      </c>
      <c r="G4568" s="97">
        <v>1376</v>
      </c>
      <c r="H4568" s="367">
        <f t="shared" si="587"/>
        <v>2352.5</v>
      </c>
      <c r="I4568" s="368">
        <f t="shared" si="588"/>
        <v>0</v>
      </c>
      <c r="J4568">
        <v>3473</v>
      </c>
      <c r="K4568" s="367">
        <f t="shared" si="589"/>
        <v>2480.7142857142858</v>
      </c>
      <c r="L4568">
        <v>0.27</v>
      </c>
      <c r="M4568">
        <v>4.5</v>
      </c>
      <c r="N4568">
        <v>18</v>
      </c>
      <c r="O4568">
        <v>4</v>
      </c>
      <c r="P4568" t="s">
        <v>514</v>
      </c>
      <c r="Q4568" s="97" t="str">
        <f t="shared" si="590"/>
        <v/>
      </c>
      <c r="R4568" t="str">
        <f t="shared" si="591"/>
        <v/>
      </c>
    </row>
    <row r="4569" spans="3:18">
      <c r="C4569" t="str">
        <f t="shared" si="585"/>
        <v/>
      </c>
      <c r="D4569">
        <v>81</v>
      </c>
      <c r="E4569">
        <v>45</v>
      </c>
      <c r="F4569" s="366">
        <f t="shared" si="586"/>
        <v>976.5</v>
      </c>
      <c r="G4569" s="97">
        <v>1864</v>
      </c>
      <c r="H4569" s="367">
        <f t="shared" si="587"/>
        <v>2840.5</v>
      </c>
      <c r="I4569" s="368">
        <f t="shared" si="588"/>
        <v>0</v>
      </c>
      <c r="J4569">
        <v>4705</v>
      </c>
      <c r="K4569" s="367">
        <f t="shared" si="589"/>
        <v>3360.7142857142858</v>
      </c>
      <c r="L4569">
        <v>0.89</v>
      </c>
      <c r="M4569">
        <v>4.5</v>
      </c>
      <c r="N4569">
        <v>23</v>
      </c>
      <c r="O4569">
        <v>4</v>
      </c>
      <c r="P4569" t="s">
        <v>513</v>
      </c>
      <c r="Q4569" s="97" t="str">
        <f t="shared" si="590"/>
        <v/>
      </c>
      <c r="R4569" t="str">
        <f t="shared" si="591"/>
        <v/>
      </c>
    </row>
    <row r="4570" spans="3:18">
      <c r="C4570" t="str">
        <f t="shared" si="585"/>
        <v>NL</v>
      </c>
      <c r="D4570">
        <v>82</v>
      </c>
      <c r="E4570">
        <v>45</v>
      </c>
      <c r="F4570" s="366">
        <f t="shared" si="586"/>
        <v>976.5</v>
      </c>
      <c r="G4570" s="97">
        <v>1625</v>
      </c>
      <c r="H4570" s="367">
        <f t="shared" si="587"/>
        <v>2601.5</v>
      </c>
      <c r="I4570" s="368">
        <f t="shared" si="588"/>
        <v>0</v>
      </c>
      <c r="J4570">
        <v>4102</v>
      </c>
      <c r="K4570" s="367">
        <f t="shared" si="589"/>
        <v>2930</v>
      </c>
      <c r="L4570">
        <v>0.17</v>
      </c>
      <c r="M4570">
        <v>5.5</v>
      </c>
      <c r="N4570">
        <v>16</v>
      </c>
      <c r="O4570">
        <v>5</v>
      </c>
      <c r="P4570" t="s">
        <v>514</v>
      </c>
      <c r="Q4570" s="97" t="str">
        <f t="shared" si="590"/>
        <v/>
      </c>
      <c r="R4570" t="str">
        <f t="shared" si="591"/>
        <v/>
      </c>
    </row>
    <row r="4571" spans="3:18">
      <c r="C4571" t="str">
        <f t="shared" si="585"/>
        <v>NL</v>
      </c>
      <c r="D4571">
        <v>83</v>
      </c>
      <c r="E4571">
        <v>45</v>
      </c>
      <c r="F4571" s="366">
        <f t="shared" si="586"/>
        <v>976.5</v>
      </c>
      <c r="G4571" s="97">
        <v>2123</v>
      </c>
      <c r="H4571" s="367">
        <f t="shared" si="587"/>
        <v>3099.5</v>
      </c>
      <c r="I4571" s="368">
        <f t="shared" si="588"/>
        <v>0</v>
      </c>
      <c r="J4571">
        <v>5360</v>
      </c>
      <c r="K4571" s="367">
        <f t="shared" si="589"/>
        <v>3828.5714285714284</v>
      </c>
      <c r="L4571">
        <v>0.56000000000000005</v>
      </c>
      <c r="M4571">
        <v>5.5</v>
      </c>
      <c r="N4571">
        <v>21</v>
      </c>
      <c r="O4571">
        <v>5</v>
      </c>
      <c r="P4571" t="s">
        <v>513</v>
      </c>
      <c r="Q4571" s="97" t="str">
        <f t="shared" si="590"/>
        <v/>
      </c>
      <c r="R4571" t="str">
        <f t="shared" si="591"/>
        <v/>
      </c>
    </row>
    <row r="4572" spans="3:18">
      <c r="C4572" t="str">
        <f t="shared" si="585"/>
        <v/>
      </c>
      <c r="D4572">
        <v>84</v>
      </c>
      <c r="E4572">
        <v>45</v>
      </c>
      <c r="F4572" s="366">
        <f t="shared" si="586"/>
        <v>976.5</v>
      </c>
      <c r="G4572" s="97">
        <v>2061</v>
      </c>
      <c r="H4572" s="367">
        <f t="shared" si="587"/>
        <v>3037.5</v>
      </c>
      <c r="I4572" s="368">
        <f t="shared" si="588"/>
        <v>0</v>
      </c>
      <c r="J4572">
        <v>5203</v>
      </c>
      <c r="K4572" s="367">
        <f t="shared" si="589"/>
        <v>3716.4285714285716</v>
      </c>
      <c r="L4572">
        <v>0.4</v>
      </c>
      <c r="M4572">
        <v>6.6</v>
      </c>
      <c r="N4572">
        <v>21</v>
      </c>
      <c r="O4572">
        <v>6</v>
      </c>
      <c r="P4572" t="s">
        <v>513</v>
      </c>
      <c r="Q4572" s="97">
        <f t="shared" si="590"/>
        <v>84</v>
      </c>
      <c r="R4572">
        <f t="shared" si="591"/>
        <v>84</v>
      </c>
    </row>
    <row r="4573" spans="3:18">
      <c r="C4573" t="str">
        <f t="shared" si="585"/>
        <v/>
      </c>
      <c r="D4573">
        <v>85</v>
      </c>
      <c r="E4573">
        <v>45</v>
      </c>
      <c r="F4573" s="366">
        <f t="shared" si="586"/>
        <v>976.5</v>
      </c>
      <c r="G4573" s="97">
        <v>2246</v>
      </c>
      <c r="H4573" s="367">
        <f t="shared" si="587"/>
        <v>3222.5</v>
      </c>
      <c r="I4573" s="368">
        <f t="shared" si="588"/>
        <v>0</v>
      </c>
      <c r="J4573">
        <v>5669</v>
      </c>
      <c r="K4573" s="367">
        <f t="shared" si="589"/>
        <v>4049.2857142857142</v>
      </c>
      <c r="L4573">
        <v>0.95</v>
      </c>
      <c r="M4573">
        <v>6.6</v>
      </c>
      <c r="N4573">
        <v>26</v>
      </c>
      <c r="O4573">
        <v>6</v>
      </c>
      <c r="P4573" t="s">
        <v>512</v>
      </c>
      <c r="Q4573" s="97" t="str">
        <f t="shared" si="590"/>
        <v/>
      </c>
      <c r="R4573" t="str">
        <f t="shared" si="591"/>
        <v/>
      </c>
    </row>
    <row r="4574" spans="3:18">
      <c r="C4574" t="str">
        <f t="shared" si="585"/>
        <v>NL</v>
      </c>
      <c r="D4574">
        <v>86</v>
      </c>
      <c r="E4574">
        <v>45</v>
      </c>
      <c r="F4574" s="366">
        <f t="shared" si="586"/>
        <v>976.5</v>
      </c>
      <c r="G4574" s="97">
        <v>2794</v>
      </c>
      <c r="H4574" s="367">
        <f t="shared" si="587"/>
        <v>3770.5</v>
      </c>
      <c r="I4574" s="368">
        <f t="shared" si="588"/>
        <v>0</v>
      </c>
      <c r="J4574">
        <v>7052</v>
      </c>
      <c r="K4574" s="367">
        <f t="shared" si="589"/>
        <v>5037.1428571428569</v>
      </c>
      <c r="L4574">
        <v>0.3</v>
      </c>
      <c r="M4574">
        <v>7.6</v>
      </c>
      <c r="N4574">
        <v>20</v>
      </c>
      <c r="O4574">
        <v>7</v>
      </c>
      <c r="P4574" t="s">
        <v>513</v>
      </c>
      <c r="Q4574" s="97" t="str">
        <f t="shared" si="590"/>
        <v/>
      </c>
      <c r="R4574" t="str">
        <f t="shared" si="591"/>
        <v/>
      </c>
    </row>
    <row r="4575" spans="3:18">
      <c r="C4575" t="str">
        <f t="shared" si="585"/>
        <v>NL</v>
      </c>
      <c r="D4575">
        <v>87</v>
      </c>
      <c r="E4575">
        <v>45</v>
      </c>
      <c r="F4575" s="366">
        <f t="shared" si="586"/>
        <v>976.5</v>
      </c>
      <c r="G4575" s="97">
        <v>3015</v>
      </c>
      <c r="H4575" s="367">
        <f t="shared" si="587"/>
        <v>3991.5</v>
      </c>
      <c r="I4575" s="368">
        <f t="shared" si="588"/>
        <v>0</v>
      </c>
      <c r="J4575">
        <v>7611</v>
      </c>
      <c r="K4575" s="367">
        <f t="shared" si="589"/>
        <v>5436.4285714285716</v>
      </c>
      <c r="L4575">
        <v>0.7</v>
      </c>
      <c r="M4575">
        <v>7.6</v>
      </c>
      <c r="N4575">
        <v>25</v>
      </c>
      <c r="O4575">
        <v>7</v>
      </c>
      <c r="P4575" t="s">
        <v>512</v>
      </c>
      <c r="Q4575" s="97" t="str">
        <f t="shared" si="590"/>
        <v/>
      </c>
      <c r="R4575" t="str">
        <f t="shared" si="591"/>
        <v/>
      </c>
    </row>
    <row r="4576" spans="3:18">
      <c r="C4576" t="str">
        <f t="shared" si="585"/>
        <v/>
      </c>
      <c r="D4576">
        <v>88</v>
      </c>
      <c r="E4576">
        <v>45</v>
      </c>
      <c r="F4576" s="366">
        <f t="shared" si="586"/>
        <v>976.5</v>
      </c>
      <c r="G4576" s="97">
        <v>2410</v>
      </c>
      <c r="H4576" s="367">
        <f t="shared" si="587"/>
        <v>3386.5</v>
      </c>
      <c r="I4576" s="368">
        <f t="shared" si="588"/>
        <v>0</v>
      </c>
      <c r="J4576">
        <v>6083</v>
      </c>
      <c r="K4576" s="367">
        <f t="shared" si="589"/>
        <v>4345</v>
      </c>
      <c r="L4576">
        <v>0.23</v>
      </c>
      <c r="M4576">
        <v>8.5</v>
      </c>
      <c r="N4576">
        <v>19</v>
      </c>
      <c r="O4576">
        <v>8</v>
      </c>
      <c r="P4576" t="s">
        <v>513</v>
      </c>
      <c r="Q4576" s="97">
        <f t="shared" si="590"/>
        <v>88</v>
      </c>
      <c r="R4576" t="str">
        <f t="shared" si="591"/>
        <v/>
      </c>
    </row>
    <row r="4577" spans="3:18">
      <c r="C4577" t="str">
        <f t="shared" si="585"/>
        <v/>
      </c>
      <c r="D4577">
        <v>89</v>
      </c>
      <c r="E4577">
        <v>45</v>
      </c>
      <c r="F4577" s="366">
        <f t="shared" si="586"/>
        <v>976.5</v>
      </c>
      <c r="G4577" s="97">
        <v>2609</v>
      </c>
      <c r="H4577" s="367">
        <f t="shared" si="587"/>
        <v>3585.5</v>
      </c>
      <c r="I4577" s="368">
        <f t="shared" si="588"/>
        <v>0</v>
      </c>
      <c r="J4577">
        <v>6586</v>
      </c>
      <c r="K4577" s="367">
        <f t="shared" si="589"/>
        <v>4704.2857142857147</v>
      </c>
      <c r="L4577">
        <v>0.54</v>
      </c>
      <c r="M4577">
        <v>8.5</v>
      </c>
      <c r="N4577">
        <v>24</v>
      </c>
      <c r="O4577">
        <v>8</v>
      </c>
      <c r="P4577" t="s">
        <v>512</v>
      </c>
      <c r="Q4577" s="97">
        <f t="shared" si="590"/>
        <v>89</v>
      </c>
      <c r="R4577" t="str">
        <f t="shared" si="591"/>
        <v/>
      </c>
    </row>
    <row r="4578" spans="3:18">
      <c r="C4578" t="str">
        <f t="shared" si="585"/>
        <v>NL</v>
      </c>
      <c r="D4578">
        <v>90</v>
      </c>
      <c r="E4578">
        <v>45</v>
      </c>
      <c r="F4578" s="366">
        <f t="shared" si="586"/>
        <v>976.5</v>
      </c>
      <c r="G4578" s="97">
        <v>3315</v>
      </c>
      <c r="H4578" s="367">
        <f t="shared" si="587"/>
        <v>4291.5</v>
      </c>
      <c r="I4578" s="368">
        <f t="shared" si="588"/>
        <v>0</v>
      </c>
      <c r="J4578">
        <v>8368</v>
      </c>
      <c r="K4578" s="367">
        <f t="shared" si="589"/>
        <v>5977.1428571428569</v>
      </c>
      <c r="L4578">
        <v>0.19</v>
      </c>
      <c r="M4578">
        <v>9.6</v>
      </c>
      <c r="N4578">
        <v>19</v>
      </c>
      <c r="O4578">
        <v>9</v>
      </c>
      <c r="P4578" t="s">
        <v>513</v>
      </c>
      <c r="Q4578" s="97" t="str">
        <f t="shared" si="590"/>
        <v/>
      </c>
      <c r="R4578" t="str">
        <f t="shared" si="591"/>
        <v/>
      </c>
    </row>
    <row r="4579" spans="3:18">
      <c r="C4579" t="str">
        <f t="shared" si="585"/>
        <v>NL</v>
      </c>
      <c r="D4579">
        <v>91</v>
      </c>
      <c r="E4579">
        <v>45</v>
      </c>
      <c r="F4579" s="366">
        <f t="shared" si="586"/>
        <v>976.5</v>
      </c>
      <c r="G4579" s="97">
        <v>3547</v>
      </c>
      <c r="H4579" s="367">
        <f t="shared" si="587"/>
        <v>4523.5</v>
      </c>
      <c r="I4579" s="368">
        <f t="shared" si="588"/>
        <v>0</v>
      </c>
      <c r="J4579">
        <v>8953</v>
      </c>
      <c r="K4579" s="367">
        <f t="shared" si="589"/>
        <v>6395</v>
      </c>
      <c r="L4579">
        <v>0.44</v>
      </c>
      <c r="M4579">
        <v>9.6</v>
      </c>
      <c r="N4579">
        <v>24</v>
      </c>
      <c r="O4579">
        <v>9</v>
      </c>
      <c r="P4579" t="s">
        <v>512</v>
      </c>
      <c r="Q4579" s="97" t="str">
        <f t="shared" si="590"/>
        <v/>
      </c>
      <c r="R4579" t="str">
        <f t="shared" si="591"/>
        <v/>
      </c>
    </row>
    <row r="4580" spans="3:18">
      <c r="C4580" t="str">
        <f t="shared" si="585"/>
        <v/>
      </c>
      <c r="D4580">
        <v>92</v>
      </c>
      <c r="E4580">
        <v>45</v>
      </c>
      <c r="F4580" s="366">
        <f t="shared" si="586"/>
        <v>976.5</v>
      </c>
      <c r="G4580" s="97">
        <v>3470</v>
      </c>
      <c r="H4580" s="367">
        <f t="shared" si="587"/>
        <v>4446.5</v>
      </c>
      <c r="I4580" s="368">
        <f t="shared" si="588"/>
        <v>0</v>
      </c>
      <c r="J4580">
        <v>8758</v>
      </c>
      <c r="K4580" s="367">
        <f t="shared" si="589"/>
        <v>6255.7142857142862</v>
      </c>
      <c r="L4580">
        <v>0.16</v>
      </c>
      <c r="M4580">
        <v>1.4000000000000001</v>
      </c>
      <c r="N4580">
        <v>19</v>
      </c>
      <c r="O4580">
        <v>10</v>
      </c>
      <c r="P4580" t="s">
        <v>513</v>
      </c>
      <c r="Q4580" s="97" t="str">
        <f t="shared" si="590"/>
        <v/>
      </c>
      <c r="R4580" t="str">
        <f t="shared" si="591"/>
        <v/>
      </c>
    </row>
    <row r="4581" spans="3:18">
      <c r="C4581" t="str">
        <f t="shared" si="585"/>
        <v/>
      </c>
      <c r="D4581">
        <v>93</v>
      </c>
      <c r="E4581">
        <v>45</v>
      </c>
      <c r="F4581" s="366">
        <f t="shared" si="586"/>
        <v>976.5</v>
      </c>
      <c r="G4581" s="97">
        <v>3749</v>
      </c>
      <c r="H4581" s="367">
        <f t="shared" si="587"/>
        <v>4725.5</v>
      </c>
      <c r="I4581" s="368">
        <f t="shared" si="588"/>
        <v>0</v>
      </c>
      <c r="J4581">
        <v>9462</v>
      </c>
      <c r="K4581" s="367">
        <f t="shared" si="589"/>
        <v>6758.5714285714284</v>
      </c>
      <c r="L4581">
        <v>0.36</v>
      </c>
      <c r="M4581">
        <v>1.4000000000000001</v>
      </c>
      <c r="N4581">
        <v>24</v>
      </c>
      <c r="O4581">
        <v>10</v>
      </c>
      <c r="P4581" t="s">
        <v>512</v>
      </c>
      <c r="Q4581" s="97" t="str">
        <f t="shared" si="590"/>
        <v/>
      </c>
      <c r="R4581" t="str">
        <f t="shared" si="591"/>
        <v/>
      </c>
    </row>
    <row r="4582" spans="3:18">
      <c r="C4582" t="str">
        <f t="shared" si="585"/>
        <v/>
      </c>
      <c r="D4582">
        <v>94</v>
      </c>
      <c r="E4582">
        <v>45</v>
      </c>
      <c r="F4582" s="366">
        <f t="shared" si="586"/>
        <v>976.5</v>
      </c>
      <c r="G4582" s="97">
        <v>3749</v>
      </c>
      <c r="H4582" s="367">
        <f t="shared" si="587"/>
        <v>4725.5</v>
      </c>
      <c r="I4582" s="368">
        <f t="shared" si="588"/>
        <v>0</v>
      </c>
      <c r="J4582">
        <v>9462</v>
      </c>
      <c r="K4582" s="367">
        <f t="shared" si="589"/>
        <v>6758.5714285714284</v>
      </c>
      <c r="L4582">
        <v>0.36</v>
      </c>
      <c r="M4582">
        <v>1.4000000000000001</v>
      </c>
      <c r="N4582">
        <v>24</v>
      </c>
      <c r="O4582">
        <v>10</v>
      </c>
      <c r="P4582" t="s">
        <v>512</v>
      </c>
      <c r="Q4582" s="97" t="str">
        <f t="shared" si="590"/>
        <v/>
      </c>
      <c r="R4582" t="str">
        <f t="shared" si="591"/>
        <v/>
      </c>
    </row>
    <row r="4583" spans="3:18">
      <c r="C4583" t="str">
        <f t="shared" si="585"/>
        <v/>
      </c>
      <c r="D4583">
        <v>95</v>
      </c>
      <c r="E4583">
        <v>50</v>
      </c>
      <c r="F4583" s="366">
        <f t="shared" si="586"/>
        <v>1085</v>
      </c>
      <c r="G4583" s="97">
        <v>895</v>
      </c>
      <c r="H4583" s="367">
        <f t="shared" si="587"/>
        <v>1980</v>
      </c>
      <c r="I4583" s="368">
        <f t="shared" si="588"/>
        <v>0</v>
      </c>
      <c r="J4583">
        <v>2259</v>
      </c>
      <c r="K4583" s="367">
        <f t="shared" si="589"/>
        <v>1613.5714285714287</v>
      </c>
      <c r="L4583">
        <v>0.6</v>
      </c>
      <c r="M4583">
        <v>2.5</v>
      </c>
      <c r="N4583">
        <v>23</v>
      </c>
      <c r="O4583">
        <v>2</v>
      </c>
      <c r="P4583" t="s">
        <v>515</v>
      </c>
      <c r="Q4583" s="97" t="str">
        <f t="shared" si="590"/>
        <v/>
      </c>
      <c r="R4583" t="str">
        <f t="shared" si="591"/>
        <v/>
      </c>
    </row>
    <row r="4584" spans="3:18">
      <c r="C4584" t="str">
        <f t="shared" si="585"/>
        <v>NL</v>
      </c>
      <c r="D4584">
        <v>96</v>
      </c>
      <c r="E4584">
        <v>50</v>
      </c>
      <c r="F4584" s="366">
        <f t="shared" si="586"/>
        <v>1085</v>
      </c>
      <c r="G4584" s="97">
        <v>1002</v>
      </c>
      <c r="H4584" s="367">
        <f t="shared" si="587"/>
        <v>2087</v>
      </c>
      <c r="I4584" s="368">
        <f t="shared" si="588"/>
        <v>0</v>
      </c>
      <c r="J4584">
        <v>2529</v>
      </c>
      <c r="K4584" s="367">
        <f t="shared" si="589"/>
        <v>1806.4285714285716</v>
      </c>
      <c r="L4584">
        <v>0.21000000000000002</v>
      </c>
      <c r="M4584">
        <v>3.5</v>
      </c>
      <c r="N4584">
        <v>18</v>
      </c>
      <c r="O4584">
        <v>3</v>
      </c>
      <c r="P4584" t="s">
        <v>515</v>
      </c>
      <c r="Q4584" s="97" t="str">
        <f t="shared" si="590"/>
        <v/>
      </c>
      <c r="R4584" t="str">
        <f t="shared" si="591"/>
        <v/>
      </c>
    </row>
    <row r="4585" spans="3:18">
      <c r="C4585" t="str">
        <f t="shared" si="585"/>
        <v>NL</v>
      </c>
      <c r="D4585">
        <v>97</v>
      </c>
      <c r="E4585">
        <v>50</v>
      </c>
      <c r="F4585" s="366">
        <f t="shared" si="586"/>
        <v>1085</v>
      </c>
      <c r="G4585" s="97">
        <v>1383</v>
      </c>
      <c r="H4585" s="367">
        <f t="shared" si="587"/>
        <v>2468</v>
      </c>
      <c r="I4585" s="368">
        <f t="shared" si="588"/>
        <v>0</v>
      </c>
      <c r="J4585">
        <v>3492</v>
      </c>
      <c r="K4585" s="367">
        <f t="shared" si="589"/>
        <v>2494.2857142857142</v>
      </c>
      <c r="L4585">
        <v>0.64</v>
      </c>
      <c r="M4585">
        <v>3.5</v>
      </c>
      <c r="N4585">
        <v>23</v>
      </c>
      <c r="O4585">
        <v>3</v>
      </c>
      <c r="P4585" t="s">
        <v>514</v>
      </c>
      <c r="Q4585" s="97" t="str">
        <f t="shared" si="590"/>
        <v/>
      </c>
      <c r="R4585" t="str">
        <f t="shared" si="591"/>
        <v/>
      </c>
    </row>
    <row r="4586" spans="3:18">
      <c r="C4586" t="str">
        <f t="shared" si="585"/>
        <v/>
      </c>
      <c r="D4586">
        <v>98</v>
      </c>
      <c r="E4586">
        <v>50</v>
      </c>
      <c r="F4586" s="366">
        <f t="shared" si="586"/>
        <v>1085</v>
      </c>
      <c r="G4586" s="97">
        <v>1492</v>
      </c>
      <c r="H4586" s="367">
        <f t="shared" si="587"/>
        <v>2577</v>
      </c>
      <c r="I4586" s="368">
        <f t="shared" si="588"/>
        <v>0</v>
      </c>
      <c r="J4586">
        <v>3766</v>
      </c>
      <c r="K4586" s="367">
        <f t="shared" si="589"/>
        <v>2690</v>
      </c>
      <c r="L4586">
        <v>0.33</v>
      </c>
      <c r="M4586">
        <v>4.5</v>
      </c>
      <c r="N4586">
        <v>19</v>
      </c>
      <c r="O4586">
        <v>4</v>
      </c>
      <c r="P4586" t="s">
        <v>514</v>
      </c>
      <c r="Q4586" s="97" t="str">
        <f t="shared" si="590"/>
        <v/>
      </c>
      <c r="R4586" t="str">
        <f t="shared" si="591"/>
        <v/>
      </c>
    </row>
    <row r="4587" spans="3:18">
      <c r="C4587" t="str">
        <f t="shared" si="585"/>
        <v>NL</v>
      </c>
      <c r="D4587">
        <v>99</v>
      </c>
      <c r="E4587">
        <v>50</v>
      </c>
      <c r="F4587" s="366">
        <f t="shared" si="586"/>
        <v>1085</v>
      </c>
      <c r="G4587" s="97">
        <v>1757</v>
      </c>
      <c r="H4587" s="367">
        <f t="shared" si="587"/>
        <v>2842</v>
      </c>
      <c r="I4587" s="368">
        <f t="shared" si="588"/>
        <v>0</v>
      </c>
      <c r="J4587">
        <v>4436</v>
      </c>
      <c r="K4587" s="367">
        <f t="shared" si="589"/>
        <v>3168.5714285714284</v>
      </c>
      <c r="L4587">
        <v>0.21000000000000002</v>
      </c>
      <c r="M4587">
        <v>5.5</v>
      </c>
      <c r="N4587">
        <v>18</v>
      </c>
      <c r="O4587">
        <v>5</v>
      </c>
      <c r="P4587" t="s">
        <v>514</v>
      </c>
      <c r="Q4587" s="97" t="str">
        <f t="shared" si="590"/>
        <v/>
      </c>
      <c r="R4587" t="str">
        <f t="shared" si="591"/>
        <v/>
      </c>
    </row>
    <row r="4588" spans="3:18">
      <c r="C4588" t="str">
        <f t="shared" si="585"/>
        <v>NL</v>
      </c>
      <c r="D4588">
        <v>100</v>
      </c>
      <c r="E4588">
        <v>50</v>
      </c>
      <c r="F4588" s="366">
        <f t="shared" si="586"/>
        <v>1085</v>
      </c>
      <c r="G4588" s="97">
        <v>2292</v>
      </c>
      <c r="H4588" s="367">
        <f t="shared" si="587"/>
        <v>3377</v>
      </c>
      <c r="I4588" s="368">
        <f t="shared" si="588"/>
        <v>0</v>
      </c>
      <c r="J4588">
        <v>5785</v>
      </c>
      <c r="K4588" s="367">
        <f t="shared" si="589"/>
        <v>4132.1428571428569</v>
      </c>
      <c r="L4588">
        <v>0.69000000000000006</v>
      </c>
      <c r="M4588">
        <v>5.5</v>
      </c>
      <c r="N4588">
        <v>23</v>
      </c>
      <c r="O4588">
        <v>5</v>
      </c>
      <c r="P4588" t="s">
        <v>513</v>
      </c>
      <c r="Q4588" s="97" t="str">
        <f t="shared" si="590"/>
        <v/>
      </c>
      <c r="R4588" t="str">
        <f t="shared" si="591"/>
        <v/>
      </c>
    </row>
    <row r="4589" spans="3:18">
      <c r="C4589" t="str">
        <f t="shared" si="585"/>
        <v/>
      </c>
      <c r="D4589">
        <v>101</v>
      </c>
      <c r="E4589">
        <v>50</v>
      </c>
      <c r="F4589" s="366">
        <f t="shared" si="586"/>
        <v>1085</v>
      </c>
      <c r="G4589" s="97">
        <v>1627</v>
      </c>
      <c r="H4589" s="367">
        <f t="shared" si="587"/>
        <v>2712</v>
      </c>
      <c r="I4589" s="368">
        <f t="shared" si="588"/>
        <v>0</v>
      </c>
      <c r="J4589">
        <v>4106</v>
      </c>
      <c r="K4589" s="367">
        <f t="shared" si="589"/>
        <v>2932.8571428571431</v>
      </c>
      <c r="L4589">
        <v>0.15000000000000002</v>
      </c>
      <c r="M4589">
        <v>6.6</v>
      </c>
      <c r="N4589">
        <v>17</v>
      </c>
      <c r="O4589">
        <v>6</v>
      </c>
      <c r="P4589" t="s">
        <v>514</v>
      </c>
      <c r="Q4589" s="97" t="str">
        <f t="shared" si="590"/>
        <v/>
      </c>
      <c r="R4589" t="str">
        <f t="shared" si="591"/>
        <v/>
      </c>
    </row>
    <row r="4590" spans="3:18">
      <c r="C4590" t="str">
        <f t="shared" si="585"/>
        <v/>
      </c>
      <c r="D4590">
        <v>102</v>
      </c>
      <c r="E4590">
        <v>50</v>
      </c>
      <c r="F4590" s="366">
        <f t="shared" si="586"/>
        <v>1085</v>
      </c>
      <c r="G4590" s="97">
        <v>2231</v>
      </c>
      <c r="H4590" s="367">
        <f t="shared" si="587"/>
        <v>3316</v>
      </c>
      <c r="I4590" s="368">
        <f t="shared" si="588"/>
        <v>0</v>
      </c>
      <c r="J4590">
        <v>5632</v>
      </c>
      <c r="K4590" s="367">
        <f t="shared" si="589"/>
        <v>4022.8571428571431</v>
      </c>
      <c r="L4590">
        <v>0.49</v>
      </c>
      <c r="M4590">
        <v>6.6</v>
      </c>
      <c r="N4590">
        <v>22</v>
      </c>
      <c r="O4590">
        <v>6</v>
      </c>
      <c r="P4590" t="s">
        <v>513</v>
      </c>
      <c r="Q4590" s="97">
        <f t="shared" si="590"/>
        <v>102</v>
      </c>
      <c r="R4590" t="str">
        <f t="shared" si="591"/>
        <v/>
      </c>
    </row>
    <row r="4591" spans="3:18">
      <c r="C4591" t="str">
        <f t="shared" si="585"/>
        <v>NL</v>
      </c>
      <c r="D4591">
        <v>103</v>
      </c>
      <c r="E4591">
        <v>50</v>
      </c>
      <c r="F4591" s="366">
        <f t="shared" si="586"/>
        <v>1085</v>
      </c>
      <c r="G4591" s="97">
        <v>3027</v>
      </c>
      <c r="H4591" s="367">
        <f t="shared" si="587"/>
        <v>4112</v>
      </c>
      <c r="I4591" s="368">
        <f t="shared" si="588"/>
        <v>0</v>
      </c>
      <c r="J4591">
        <v>7641</v>
      </c>
      <c r="K4591" s="367">
        <f t="shared" si="589"/>
        <v>5457.8571428571431</v>
      </c>
      <c r="L4591">
        <v>0.37</v>
      </c>
      <c r="M4591">
        <v>7.6</v>
      </c>
      <c r="N4591">
        <v>21</v>
      </c>
      <c r="O4591">
        <v>7</v>
      </c>
      <c r="P4591" t="s">
        <v>513</v>
      </c>
      <c r="Q4591" s="97" t="str">
        <f t="shared" si="590"/>
        <v/>
      </c>
      <c r="R4591" t="str">
        <f t="shared" si="591"/>
        <v/>
      </c>
    </row>
    <row r="4592" spans="3:18">
      <c r="C4592" t="str">
        <f t="shared" si="585"/>
        <v>NL</v>
      </c>
      <c r="D4592">
        <v>104</v>
      </c>
      <c r="E4592">
        <v>50</v>
      </c>
      <c r="F4592" s="366">
        <f t="shared" si="586"/>
        <v>1085</v>
      </c>
      <c r="G4592" s="97">
        <v>3244</v>
      </c>
      <c r="H4592" s="367">
        <f t="shared" si="587"/>
        <v>4329</v>
      </c>
      <c r="I4592" s="368">
        <f t="shared" si="588"/>
        <v>0</v>
      </c>
      <c r="J4592">
        <v>8188</v>
      </c>
      <c r="K4592" s="367">
        <f t="shared" si="589"/>
        <v>5848.5714285714284</v>
      </c>
      <c r="L4592">
        <v>0.86</v>
      </c>
      <c r="M4592">
        <v>7.6</v>
      </c>
      <c r="N4592">
        <v>26</v>
      </c>
      <c r="O4592">
        <v>7</v>
      </c>
      <c r="P4592" t="s">
        <v>512</v>
      </c>
      <c r="Q4592" s="97" t="str">
        <f t="shared" si="590"/>
        <v/>
      </c>
      <c r="R4592" t="str">
        <f t="shared" si="591"/>
        <v/>
      </c>
    </row>
    <row r="4593" spans="3:18">
      <c r="C4593" t="str">
        <f t="shared" si="585"/>
        <v/>
      </c>
      <c r="D4593">
        <v>105</v>
      </c>
      <c r="E4593">
        <v>50</v>
      </c>
      <c r="F4593" s="366">
        <f t="shared" si="586"/>
        <v>1085</v>
      </c>
      <c r="G4593" s="97">
        <v>2624</v>
      </c>
      <c r="H4593" s="367">
        <f t="shared" si="587"/>
        <v>3709</v>
      </c>
      <c r="I4593" s="368">
        <f t="shared" si="588"/>
        <v>0</v>
      </c>
      <c r="J4593">
        <v>6623</v>
      </c>
      <c r="K4593" s="367">
        <f t="shared" si="589"/>
        <v>4730.7142857142862</v>
      </c>
      <c r="L4593">
        <v>0.29000000000000004</v>
      </c>
      <c r="M4593">
        <v>8.5</v>
      </c>
      <c r="N4593">
        <v>21</v>
      </c>
      <c r="O4593">
        <v>8</v>
      </c>
      <c r="P4593" t="s">
        <v>513</v>
      </c>
      <c r="Q4593" s="97">
        <f t="shared" si="590"/>
        <v>105</v>
      </c>
      <c r="R4593" t="str">
        <f t="shared" si="591"/>
        <v/>
      </c>
    </row>
    <row r="4594" spans="3:18">
      <c r="C4594" t="str">
        <f t="shared" si="585"/>
        <v/>
      </c>
      <c r="D4594">
        <v>106</v>
      </c>
      <c r="E4594">
        <v>50</v>
      </c>
      <c r="F4594" s="366">
        <f t="shared" si="586"/>
        <v>1085</v>
      </c>
      <c r="G4594" s="97">
        <v>2837</v>
      </c>
      <c r="H4594" s="367">
        <f t="shared" si="587"/>
        <v>3922</v>
      </c>
      <c r="I4594" s="368">
        <f t="shared" si="588"/>
        <v>0</v>
      </c>
      <c r="J4594">
        <v>7161</v>
      </c>
      <c r="K4594" s="367">
        <f t="shared" si="589"/>
        <v>5115</v>
      </c>
      <c r="L4594">
        <v>0.67</v>
      </c>
      <c r="M4594">
        <v>8.5</v>
      </c>
      <c r="N4594">
        <v>26</v>
      </c>
      <c r="O4594">
        <v>8</v>
      </c>
      <c r="P4594" t="s">
        <v>512</v>
      </c>
      <c r="Q4594" s="97">
        <f t="shared" si="590"/>
        <v>106</v>
      </c>
      <c r="R4594" t="str">
        <f t="shared" si="591"/>
        <v/>
      </c>
    </row>
    <row r="4595" spans="3:18">
      <c r="C4595" t="str">
        <f t="shared" si="585"/>
        <v>NL</v>
      </c>
      <c r="D4595">
        <v>107</v>
      </c>
      <c r="E4595">
        <v>50</v>
      </c>
      <c r="F4595" s="366">
        <f t="shared" si="586"/>
        <v>1085</v>
      </c>
      <c r="G4595" s="97">
        <v>3573</v>
      </c>
      <c r="H4595" s="367">
        <f t="shared" si="587"/>
        <v>4658</v>
      </c>
      <c r="I4595" s="368">
        <f t="shared" si="588"/>
        <v>0</v>
      </c>
      <c r="J4595">
        <v>9018</v>
      </c>
      <c r="K4595" s="367">
        <f t="shared" si="589"/>
        <v>6441.4285714285716</v>
      </c>
      <c r="L4595">
        <v>0.23</v>
      </c>
      <c r="M4595">
        <v>9.6</v>
      </c>
      <c r="N4595">
        <v>20</v>
      </c>
      <c r="O4595">
        <v>9</v>
      </c>
      <c r="P4595" t="s">
        <v>513</v>
      </c>
      <c r="Q4595" s="97" t="str">
        <f t="shared" si="590"/>
        <v/>
      </c>
      <c r="R4595" t="str">
        <f t="shared" si="591"/>
        <v/>
      </c>
    </row>
    <row r="4596" spans="3:18">
      <c r="C4596" t="str">
        <f t="shared" si="585"/>
        <v>NL</v>
      </c>
      <c r="D4596">
        <v>108</v>
      </c>
      <c r="E4596">
        <v>50</v>
      </c>
      <c r="F4596" s="366">
        <f t="shared" si="586"/>
        <v>1085</v>
      </c>
      <c r="G4596" s="97">
        <v>3830</v>
      </c>
      <c r="H4596" s="367">
        <f t="shared" si="587"/>
        <v>4915</v>
      </c>
      <c r="I4596" s="368">
        <f t="shared" si="588"/>
        <v>0</v>
      </c>
      <c r="J4596">
        <v>9668</v>
      </c>
      <c r="K4596" s="367">
        <f t="shared" si="589"/>
        <v>6905.7142857142862</v>
      </c>
      <c r="L4596">
        <v>0.54</v>
      </c>
      <c r="M4596">
        <v>9.6</v>
      </c>
      <c r="N4596">
        <v>25</v>
      </c>
      <c r="O4596">
        <v>9</v>
      </c>
      <c r="P4596" t="s">
        <v>512</v>
      </c>
      <c r="Q4596" s="97" t="str">
        <f t="shared" si="590"/>
        <v/>
      </c>
      <c r="R4596" t="str">
        <f t="shared" si="591"/>
        <v/>
      </c>
    </row>
    <row r="4597" spans="3:18">
      <c r="C4597" t="str">
        <f t="shared" si="585"/>
        <v/>
      </c>
      <c r="D4597">
        <v>109</v>
      </c>
      <c r="E4597">
        <v>50</v>
      </c>
      <c r="F4597" s="366">
        <f t="shared" si="586"/>
        <v>1085</v>
      </c>
      <c r="G4597" s="97">
        <v>3775</v>
      </c>
      <c r="H4597" s="367">
        <f t="shared" si="587"/>
        <v>4860</v>
      </c>
      <c r="I4597" s="368">
        <f t="shared" si="588"/>
        <v>0</v>
      </c>
      <c r="J4597">
        <v>9528</v>
      </c>
      <c r="K4597" s="367">
        <f t="shared" si="589"/>
        <v>6805.7142857142862</v>
      </c>
      <c r="L4597">
        <v>0.2</v>
      </c>
      <c r="M4597">
        <v>1.4000000000000001</v>
      </c>
      <c r="N4597">
        <v>20</v>
      </c>
      <c r="O4597">
        <v>10</v>
      </c>
      <c r="P4597" t="s">
        <v>513</v>
      </c>
      <c r="Q4597" s="97" t="str">
        <f t="shared" si="590"/>
        <v/>
      </c>
      <c r="R4597" t="str">
        <f t="shared" si="591"/>
        <v/>
      </c>
    </row>
    <row r="4598" spans="3:18">
      <c r="C4598" t="str">
        <f t="shared" si="585"/>
        <v/>
      </c>
      <c r="D4598">
        <v>110</v>
      </c>
      <c r="E4598">
        <v>50</v>
      </c>
      <c r="F4598" s="366">
        <f t="shared" si="586"/>
        <v>1085</v>
      </c>
      <c r="G4598" s="97">
        <v>4036</v>
      </c>
      <c r="H4598" s="367">
        <f t="shared" si="587"/>
        <v>5121</v>
      </c>
      <c r="I4598" s="368">
        <f t="shared" si="588"/>
        <v>0</v>
      </c>
      <c r="J4598">
        <v>10188</v>
      </c>
      <c r="K4598" s="367">
        <f t="shared" si="589"/>
        <v>7277.1428571428569</v>
      </c>
      <c r="L4598">
        <v>0.45</v>
      </c>
      <c r="M4598">
        <v>1.4000000000000001</v>
      </c>
      <c r="N4598">
        <v>25</v>
      </c>
      <c r="O4598">
        <v>10</v>
      </c>
      <c r="P4598" t="s">
        <v>512</v>
      </c>
      <c r="Q4598" s="97" t="str">
        <f t="shared" si="590"/>
        <v/>
      </c>
      <c r="R4598" t="str">
        <f t="shared" si="591"/>
        <v/>
      </c>
    </row>
    <row r="4599" spans="3:18">
      <c r="C4599" t="str">
        <f t="shared" si="585"/>
        <v/>
      </c>
      <c r="D4599">
        <v>111</v>
      </c>
      <c r="E4599">
        <v>50</v>
      </c>
      <c r="F4599" s="366">
        <f t="shared" si="586"/>
        <v>1085</v>
      </c>
      <c r="G4599" s="97">
        <v>4036</v>
      </c>
      <c r="H4599" s="367">
        <f t="shared" si="587"/>
        <v>5121</v>
      </c>
      <c r="I4599" s="368">
        <f t="shared" si="588"/>
        <v>0</v>
      </c>
      <c r="J4599">
        <v>10188</v>
      </c>
      <c r="K4599" s="367">
        <f t="shared" si="589"/>
        <v>7277.1428571428569</v>
      </c>
      <c r="L4599">
        <v>0.45</v>
      </c>
      <c r="M4599">
        <v>1.4000000000000001</v>
      </c>
      <c r="N4599">
        <v>25</v>
      </c>
      <c r="O4599">
        <v>10</v>
      </c>
      <c r="P4599" t="s">
        <v>512</v>
      </c>
      <c r="Q4599" s="97" t="str">
        <f t="shared" si="590"/>
        <v/>
      </c>
      <c r="R4599" t="str">
        <f t="shared" si="591"/>
        <v/>
      </c>
    </row>
    <row r="4600" spans="3:18">
      <c r="C4600" t="str">
        <f t="shared" ref="C4600:C4663" si="592">IF(OR($O$4=0,O4600-$O$4=0),IF(AND(ISEVEN(O4600)=FALSE,$N$4="Even"),"NL",""),"NL")</f>
        <v/>
      </c>
      <c r="D4600">
        <v>112</v>
      </c>
      <c r="E4600">
        <v>55</v>
      </c>
      <c r="F4600" s="366">
        <f t="shared" si="586"/>
        <v>1193.5</v>
      </c>
      <c r="G4600" s="97">
        <v>961</v>
      </c>
      <c r="H4600" s="367">
        <f t="shared" si="587"/>
        <v>2154.5</v>
      </c>
      <c r="I4600" s="368">
        <f t="shared" si="588"/>
        <v>0</v>
      </c>
      <c r="J4600">
        <v>2426</v>
      </c>
      <c r="K4600" s="367">
        <f t="shared" si="589"/>
        <v>1732.8571428571429</v>
      </c>
      <c r="L4600">
        <v>0.72</v>
      </c>
      <c r="M4600">
        <v>2.5</v>
      </c>
      <c r="N4600">
        <v>24</v>
      </c>
      <c r="O4600">
        <v>2</v>
      </c>
      <c r="P4600" t="s">
        <v>515</v>
      </c>
      <c r="Q4600" s="97" t="str">
        <f t="shared" si="590"/>
        <v/>
      </c>
      <c r="R4600" t="str">
        <f t="shared" si="591"/>
        <v/>
      </c>
    </row>
    <row r="4601" spans="3:18">
      <c r="C4601" t="str">
        <f t="shared" si="592"/>
        <v>NL</v>
      </c>
      <c r="D4601">
        <v>113</v>
      </c>
      <c r="E4601">
        <v>55</v>
      </c>
      <c r="F4601" s="366">
        <f t="shared" si="586"/>
        <v>1193.5</v>
      </c>
      <c r="G4601" s="97">
        <v>1079</v>
      </c>
      <c r="H4601" s="367">
        <f t="shared" si="587"/>
        <v>2272.5</v>
      </c>
      <c r="I4601" s="368">
        <f t="shared" si="588"/>
        <v>0</v>
      </c>
      <c r="J4601">
        <v>2725</v>
      </c>
      <c r="K4601" s="367">
        <f t="shared" si="589"/>
        <v>1946.4285714285716</v>
      </c>
      <c r="L4601">
        <v>0.25</v>
      </c>
      <c r="M4601">
        <v>3.5</v>
      </c>
      <c r="N4601">
        <v>19</v>
      </c>
      <c r="O4601">
        <v>3</v>
      </c>
      <c r="P4601" t="s">
        <v>515</v>
      </c>
      <c r="Q4601" s="97" t="str">
        <f t="shared" si="590"/>
        <v/>
      </c>
      <c r="R4601" t="str">
        <f t="shared" si="591"/>
        <v/>
      </c>
    </row>
    <row r="4602" spans="3:18">
      <c r="C4602" t="str">
        <f t="shared" si="592"/>
        <v>NL</v>
      </c>
      <c r="D4602">
        <v>114</v>
      </c>
      <c r="E4602">
        <v>55</v>
      </c>
      <c r="F4602" s="366">
        <f t="shared" si="586"/>
        <v>1193.5</v>
      </c>
      <c r="G4602" s="97">
        <v>1479</v>
      </c>
      <c r="H4602" s="367">
        <f t="shared" si="587"/>
        <v>2672.5</v>
      </c>
      <c r="I4602" s="368">
        <f t="shared" si="588"/>
        <v>0</v>
      </c>
      <c r="J4602">
        <v>3733</v>
      </c>
      <c r="K4602" s="367">
        <f t="shared" si="589"/>
        <v>2666.4285714285716</v>
      </c>
      <c r="L4602">
        <v>0.78</v>
      </c>
      <c r="M4602">
        <v>3.5</v>
      </c>
      <c r="N4602">
        <v>24</v>
      </c>
      <c r="O4602">
        <v>3</v>
      </c>
      <c r="P4602" t="s">
        <v>514</v>
      </c>
      <c r="Q4602" s="97" t="str">
        <f t="shared" si="590"/>
        <v/>
      </c>
      <c r="R4602" t="str">
        <f t="shared" si="591"/>
        <v/>
      </c>
    </row>
    <row r="4603" spans="3:18">
      <c r="C4603" t="str">
        <f t="shared" si="592"/>
        <v/>
      </c>
      <c r="D4603">
        <v>115</v>
      </c>
      <c r="E4603">
        <v>55</v>
      </c>
      <c r="F4603" s="366">
        <f t="shared" si="586"/>
        <v>1193.5</v>
      </c>
      <c r="G4603" s="97">
        <v>1605</v>
      </c>
      <c r="H4603" s="367">
        <f t="shared" si="587"/>
        <v>2798.5</v>
      </c>
      <c r="I4603" s="368">
        <f t="shared" si="588"/>
        <v>0</v>
      </c>
      <c r="J4603">
        <v>4050</v>
      </c>
      <c r="K4603" s="367">
        <f t="shared" si="589"/>
        <v>2892.8571428571431</v>
      </c>
      <c r="L4603">
        <v>0.39</v>
      </c>
      <c r="M4603">
        <v>4.5</v>
      </c>
      <c r="N4603">
        <v>20</v>
      </c>
      <c r="O4603">
        <v>4</v>
      </c>
      <c r="P4603" t="s">
        <v>514</v>
      </c>
      <c r="Q4603" s="97" t="str">
        <f t="shared" si="590"/>
        <v/>
      </c>
      <c r="R4603" t="str">
        <f t="shared" si="591"/>
        <v/>
      </c>
    </row>
    <row r="4604" spans="3:18">
      <c r="C4604" t="str">
        <f t="shared" si="592"/>
        <v>NL</v>
      </c>
      <c r="D4604">
        <v>116</v>
      </c>
      <c r="E4604">
        <v>55</v>
      </c>
      <c r="F4604" s="366">
        <f t="shared" si="586"/>
        <v>1193.5</v>
      </c>
      <c r="G4604" s="97">
        <v>1890</v>
      </c>
      <c r="H4604" s="367">
        <f t="shared" si="587"/>
        <v>3083.5</v>
      </c>
      <c r="I4604" s="368">
        <f t="shared" si="588"/>
        <v>0</v>
      </c>
      <c r="J4604">
        <v>4770</v>
      </c>
      <c r="K4604" s="367">
        <f t="shared" si="589"/>
        <v>3407.1428571428573</v>
      </c>
      <c r="L4604">
        <v>0.25</v>
      </c>
      <c r="M4604">
        <v>5.5</v>
      </c>
      <c r="N4604">
        <v>19</v>
      </c>
      <c r="O4604">
        <v>5</v>
      </c>
      <c r="P4604" t="s">
        <v>514</v>
      </c>
      <c r="Q4604" s="97" t="str">
        <f t="shared" si="590"/>
        <v/>
      </c>
      <c r="R4604" t="str">
        <f t="shared" si="591"/>
        <v/>
      </c>
    </row>
    <row r="4605" spans="3:18">
      <c r="C4605" t="str">
        <f t="shared" si="592"/>
        <v>NL</v>
      </c>
      <c r="D4605">
        <v>117</v>
      </c>
      <c r="E4605">
        <v>55</v>
      </c>
      <c r="F4605" s="366">
        <f t="shared" si="586"/>
        <v>1193.5</v>
      </c>
      <c r="G4605" s="97">
        <v>2453</v>
      </c>
      <c r="H4605" s="367">
        <f t="shared" si="587"/>
        <v>3646.5</v>
      </c>
      <c r="I4605" s="368">
        <f t="shared" si="588"/>
        <v>0</v>
      </c>
      <c r="J4605">
        <v>6191</v>
      </c>
      <c r="K4605" s="367">
        <f t="shared" si="589"/>
        <v>4422.1428571428569</v>
      </c>
      <c r="L4605">
        <v>0.84</v>
      </c>
      <c r="M4605">
        <v>5.5</v>
      </c>
      <c r="N4605">
        <v>24</v>
      </c>
      <c r="O4605">
        <v>5</v>
      </c>
      <c r="P4605" t="s">
        <v>513</v>
      </c>
      <c r="Q4605" s="97" t="str">
        <f t="shared" si="590"/>
        <v/>
      </c>
      <c r="R4605" t="str">
        <f t="shared" si="591"/>
        <v/>
      </c>
    </row>
    <row r="4606" spans="3:18">
      <c r="C4606" t="str">
        <f t="shared" si="592"/>
        <v/>
      </c>
      <c r="D4606">
        <v>118</v>
      </c>
      <c r="E4606">
        <v>55</v>
      </c>
      <c r="F4606" s="366">
        <f t="shared" si="586"/>
        <v>1193.5</v>
      </c>
      <c r="G4606" s="97">
        <v>1758</v>
      </c>
      <c r="H4606" s="367">
        <f t="shared" si="587"/>
        <v>2951.5</v>
      </c>
      <c r="I4606" s="368">
        <f t="shared" si="588"/>
        <v>0</v>
      </c>
      <c r="J4606">
        <v>4437</v>
      </c>
      <c r="K4606" s="367">
        <f t="shared" si="589"/>
        <v>3169.2857142857142</v>
      </c>
      <c r="L4606">
        <v>0.18000000000000002</v>
      </c>
      <c r="M4606">
        <v>6.6</v>
      </c>
      <c r="N4606">
        <v>18</v>
      </c>
      <c r="O4606">
        <v>6</v>
      </c>
      <c r="P4606" t="s">
        <v>514</v>
      </c>
      <c r="Q4606" s="97" t="str">
        <f t="shared" si="590"/>
        <v/>
      </c>
      <c r="R4606" t="str">
        <f t="shared" si="591"/>
        <v/>
      </c>
    </row>
    <row r="4607" spans="3:18">
      <c r="C4607" t="str">
        <f t="shared" si="592"/>
        <v/>
      </c>
      <c r="D4607">
        <v>119</v>
      </c>
      <c r="E4607">
        <v>55</v>
      </c>
      <c r="F4607" s="366">
        <f t="shared" si="586"/>
        <v>1193.5</v>
      </c>
      <c r="G4607" s="97">
        <v>2401</v>
      </c>
      <c r="H4607" s="367">
        <f t="shared" si="587"/>
        <v>3594.5</v>
      </c>
      <c r="I4607" s="368">
        <f t="shared" si="588"/>
        <v>0</v>
      </c>
      <c r="J4607">
        <v>6061</v>
      </c>
      <c r="K4607" s="367">
        <f t="shared" si="589"/>
        <v>4329.2857142857147</v>
      </c>
      <c r="L4607">
        <v>0.59</v>
      </c>
      <c r="M4607">
        <v>6.6</v>
      </c>
      <c r="N4607">
        <v>23</v>
      </c>
      <c r="O4607">
        <v>6</v>
      </c>
      <c r="P4607" t="s">
        <v>513</v>
      </c>
      <c r="Q4607" s="97">
        <f t="shared" si="590"/>
        <v>119</v>
      </c>
      <c r="R4607" t="str">
        <f t="shared" si="591"/>
        <v/>
      </c>
    </row>
    <row r="4608" spans="3:18">
      <c r="C4608" t="str">
        <f t="shared" si="592"/>
        <v>NL</v>
      </c>
      <c r="D4608">
        <v>120</v>
      </c>
      <c r="E4608">
        <v>55</v>
      </c>
      <c r="F4608" s="366">
        <f t="shared" si="586"/>
        <v>1193.5</v>
      </c>
      <c r="G4608" s="97">
        <v>3233</v>
      </c>
      <c r="H4608" s="367">
        <f t="shared" si="587"/>
        <v>4426.5</v>
      </c>
      <c r="I4608" s="368">
        <f t="shared" si="588"/>
        <v>0</v>
      </c>
      <c r="J4608">
        <v>8161</v>
      </c>
      <c r="K4608" s="367">
        <f t="shared" si="589"/>
        <v>5829.2857142857147</v>
      </c>
      <c r="L4608">
        <v>0.44</v>
      </c>
      <c r="M4608">
        <v>7.6</v>
      </c>
      <c r="N4608">
        <v>22</v>
      </c>
      <c r="O4608">
        <v>7</v>
      </c>
      <c r="P4608" t="s">
        <v>513</v>
      </c>
      <c r="Q4608" s="97" t="str">
        <f t="shared" si="590"/>
        <v/>
      </c>
      <c r="R4608" t="str">
        <f t="shared" si="591"/>
        <v/>
      </c>
    </row>
    <row r="4609" spans="3:18">
      <c r="C4609" t="str">
        <f t="shared" si="592"/>
        <v>NL</v>
      </c>
      <c r="D4609">
        <v>121</v>
      </c>
      <c r="E4609">
        <v>55</v>
      </c>
      <c r="F4609" s="366">
        <f t="shared" si="586"/>
        <v>1193.5</v>
      </c>
      <c r="G4609" s="97">
        <v>3472</v>
      </c>
      <c r="H4609" s="367">
        <f t="shared" si="587"/>
        <v>4665.5</v>
      </c>
      <c r="I4609" s="368">
        <f t="shared" si="588"/>
        <v>0</v>
      </c>
      <c r="J4609">
        <v>8762</v>
      </c>
      <c r="K4609" s="367">
        <f t="shared" si="589"/>
        <v>6258.5714285714284</v>
      </c>
      <c r="L4609">
        <v>1.04</v>
      </c>
      <c r="M4609">
        <v>7.6</v>
      </c>
      <c r="N4609">
        <v>28</v>
      </c>
      <c r="O4609">
        <v>7</v>
      </c>
      <c r="P4609" t="s">
        <v>512</v>
      </c>
      <c r="Q4609" s="97" t="str">
        <f t="shared" si="590"/>
        <v/>
      </c>
      <c r="R4609" t="str">
        <f t="shared" si="591"/>
        <v/>
      </c>
    </row>
    <row r="4610" spans="3:18">
      <c r="C4610" t="str">
        <f t="shared" si="592"/>
        <v/>
      </c>
      <c r="D4610">
        <v>122</v>
      </c>
      <c r="E4610">
        <v>55</v>
      </c>
      <c r="F4610" s="366">
        <f t="shared" si="586"/>
        <v>1193.5</v>
      </c>
      <c r="G4610" s="97">
        <v>2831</v>
      </c>
      <c r="H4610" s="367">
        <f t="shared" si="587"/>
        <v>4024.5</v>
      </c>
      <c r="I4610" s="368">
        <f t="shared" si="588"/>
        <v>0</v>
      </c>
      <c r="J4610">
        <v>7146</v>
      </c>
      <c r="K4610" s="367">
        <f t="shared" si="589"/>
        <v>5104.2857142857147</v>
      </c>
      <c r="L4610">
        <v>0.35000000000000003</v>
      </c>
      <c r="M4610">
        <v>8.5</v>
      </c>
      <c r="N4610">
        <v>22</v>
      </c>
      <c r="O4610">
        <v>8</v>
      </c>
      <c r="P4610" t="s">
        <v>513</v>
      </c>
      <c r="Q4610" s="97">
        <f t="shared" si="590"/>
        <v>122</v>
      </c>
      <c r="R4610" t="str">
        <f t="shared" si="591"/>
        <v/>
      </c>
    </row>
    <row r="4611" spans="3:18">
      <c r="C4611" t="str">
        <f t="shared" si="592"/>
        <v/>
      </c>
      <c r="D4611">
        <v>123</v>
      </c>
      <c r="E4611">
        <v>55</v>
      </c>
      <c r="F4611" s="366">
        <f t="shared" si="586"/>
        <v>1193.5</v>
      </c>
      <c r="G4611" s="97">
        <v>3038</v>
      </c>
      <c r="H4611" s="367">
        <f t="shared" si="587"/>
        <v>4231.5</v>
      </c>
      <c r="I4611" s="368">
        <f t="shared" si="588"/>
        <v>0</v>
      </c>
      <c r="J4611">
        <v>7669</v>
      </c>
      <c r="K4611" s="367">
        <f t="shared" si="589"/>
        <v>5477.8571428571431</v>
      </c>
      <c r="L4611">
        <v>0.81</v>
      </c>
      <c r="M4611">
        <v>8.5</v>
      </c>
      <c r="N4611">
        <v>27</v>
      </c>
      <c r="O4611">
        <v>8</v>
      </c>
      <c r="P4611" t="s">
        <v>512</v>
      </c>
      <c r="Q4611" s="97" t="str">
        <f t="shared" si="590"/>
        <v/>
      </c>
      <c r="R4611" t="str">
        <f t="shared" si="591"/>
        <v/>
      </c>
    </row>
    <row r="4612" spans="3:18">
      <c r="C4612" t="str">
        <f t="shared" si="592"/>
        <v>NL</v>
      </c>
      <c r="D4612">
        <v>124</v>
      </c>
      <c r="E4612">
        <v>55</v>
      </c>
      <c r="F4612" s="366">
        <f t="shared" si="586"/>
        <v>1193.5</v>
      </c>
      <c r="G4612" s="97">
        <v>3830</v>
      </c>
      <c r="H4612" s="367">
        <f t="shared" si="587"/>
        <v>5023.5</v>
      </c>
      <c r="I4612" s="368">
        <f t="shared" si="588"/>
        <v>0</v>
      </c>
      <c r="J4612">
        <v>9668</v>
      </c>
      <c r="K4612" s="367">
        <f t="shared" si="589"/>
        <v>6905.7142857142862</v>
      </c>
      <c r="L4612">
        <v>0.28000000000000003</v>
      </c>
      <c r="M4612">
        <v>9.6</v>
      </c>
      <c r="N4612">
        <v>22</v>
      </c>
      <c r="O4612">
        <v>9</v>
      </c>
      <c r="P4612" t="s">
        <v>513</v>
      </c>
      <c r="Q4612" s="97" t="str">
        <f t="shared" si="590"/>
        <v/>
      </c>
      <c r="R4612" t="str">
        <f t="shared" si="591"/>
        <v/>
      </c>
    </row>
    <row r="4613" spans="3:18">
      <c r="C4613" t="str">
        <f t="shared" si="592"/>
        <v>NL</v>
      </c>
      <c r="D4613">
        <v>125</v>
      </c>
      <c r="E4613">
        <v>55</v>
      </c>
      <c r="F4613" s="366">
        <f t="shared" si="586"/>
        <v>1193.5</v>
      </c>
      <c r="G4613" s="97">
        <v>4114</v>
      </c>
      <c r="H4613" s="367">
        <f t="shared" si="587"/>
        <v>5307.5</v>
      </c>
      <c r="I4613" s="368">
        <f t="shared" si="588"/>
        <v>0</v>
      </c>
      <c r="J4613">
        <v>10383</v>
      </c>
      <c r="K4613" s="367">
        <f t="shared" si="589"/>
        <v>7416.4285714285716</v>
      </c>
      <c r="L4613">
        <v>0.65</v>
      </c>
      <c r="M4613">
        <v>9.6</v>
      </c>
      <c r="N4613">
        <v>26</v>
      </c>
      <c r="O4613">
        <v>9</v>
      </c>
      <c r="P4613" t="s">
        <v>512</v>
      </c>
      <c r="Q4613" s="97" t="str">
        <f t="shared" si="590"/>
        <v/>
      </c>
      <c r="R4613" t="str">
        <f t="shared" si="591"/>
        <v/>
      </c>
    </row>
    <row r="4614" spans="3:18">
      <c r="C4614" t="str">
        <f t="shared" si="592"/>
        <v/>
      </c>
      <c r="D4614">
        <v>126</v>
      </c>
      <c r="E4614">
        <v>55</v>
      </c>
      <c r="F4614" s="366">
        <f t="shared" si="586"/>
        <v>1193.5</v>
      </c>
      <c r="G4614" s="97">
        <v>4036</v>
      </c>
      <c r="H4614" s="367">
        <f t="shared" si="587"/>
        <v>5229.5</v>
      </c>
      <c r="I4614" s="368">
        <f t="shared" si="588"/>
        <v>0</v>
      </c>
      <c r="J4614">
        <v>10188</v>
      </c>
      <c r="K4614" s="367">
        <f t="shared" si="589"/>
        <v>7277.1428571428569</v>
      </c>
      <c r="L4614">
        <v>0.24000000000000002</v>
      </c>
      <c r="M4614">
        <v>1.4000000000000001</v>
      </c>
      <c r="N4614">
        <v>21</v>
      </c>
      <c r="O4614">
        <v>10</v>
      </c>
      <c r="P4614" t="s">
        <v>513</v>
      </c>
      <c r="Q4614" s="97" t="str">
        <f t="shared" si="590"/>
        <v/>
      </c>
      <c r="R4614" t="str">
        <f t="shared" si="591"/>
        <v/>
      </c>
    </row>
    <row r="4615" spans="3:18">
      <c r="C4615" t="str">
        <f t="shared" si="592"/>
        <v/>
      </c>
      <c r="D4615">
        <v>127</v>
      </c>
      <c r="E4615">
        <v>55</v>
      </c>
      <c r="F4615" s="366">
        <f t="shared" si="586"/>
        <v>1193.5</v>
      </c>
      <c r="G4615" s="97">
        <v>4324</v>
      </c>
      <c r="H4615" s="367">
        <f t="shared" si="587"/>
        <v>5517.5</v>
      </c>
      <c r="I4615" s="368">
        <f t="shared" si="588"/>
        <v>0</v>
      </c>
      <c r="J4615">
        <v>10913</v>
      </c>
      <c r="K4615" s="367">
        <f t="shared" si="589"/>
        <v>7795</v>
      </c>
      <c r="L4615">
        <v>0.54</v>
      </c>
      <c r="M4615">
        <v>1.4000000000000001</v>
      </c>
      <c r="N4615">
        <v>26</v>
      </c>
      <c r="O4615">
        <v>10</v>
      </c>
      <c r="P4615" t="s">
        <v>512</v>
      </c>
      <c r="Q4615" s="97" t="str">
        <f t="shared" si="590"/>
        <v/>
      </c>
      <c r="R4615" t="str">
        <f t="shared" si="591"/>
        <v/>
      </c>
    </row>
    <row r="4616" spans="3:18">
      <c r="C4616" t="str">
        <f t="shared" si="592"/>
        <v/>
      </c>
      <c r="D4616">
        <v>128</v>
      </c>
      <c r="E4616">
        <v>55</v>
      </c>
      <c r="F4616" s="366">
        <f t="shared" si="586"/>
        <v>1193.5</v>
      </c>
      <c r="G4616" s="97">
        <v>4324</v>
      </c>
      <c r="H4616" s="367">
        <f t="shared" si="587"/>
        <v>5517.5</v>
      </c>
      <c r="I4616" s="368">
        <f t="shared" si="588"/>
        <v>0</v>
      </c>
      <c r="J4616">
        <v>10913</v>
      </c>
      <c r="K4616" s="367">
        <f t="shared" si="589"/>
        <v>7795</v>
      </c>
      <c r="L4616">
        <v>0.54</v>
      </c>
      <c r="M4616">
        <v>1.4000000000000001</v>
      </c>
      <c r="N4616">
        <v>26</v>
      </c>
      <c r="O4616">
        <v>10</v>
      </c>
      <c r="P4616" t="s">
        <v>512</v>
      </c>
      <c r="Q4616" s="97" t="str">
        <f t="shared" si="590"/>
        <v/>
      </c>
      <c r="R4616" t="str">
        <f t="shared" si="591"/>
        <v/>
      </c>
    </row>
    <row r="4617" spans="3:18">
      <c r="C4617" t="str">
        <f t="shared" si="592"/>
        <v/>
      </c>
      <c r="D4617">
        <v>129</v>
      </c>
      <c r="E4617">
        <v>60</v>
      </c>
      <c r="F4617" s="366">
        <f t="shared" si="586"/>
        <v>1302</v>
      </c>
      <c r="G4617" s="97">
        <v>1023</v>
      </c>
      <c r="H4617" s="367">
        <f t="shared" si="587"/>
        <v>2325</v>
      </c>
      <c r="I4617" s="368">
        <f t="shared" si="588"/>
        <v>0</v>
      </c>
      <c r="J4617">
        <v>2583</v>
      </c>
      <c r="K4617" s="367">
        <f t="shared" si="589"/>
        <v>1845</v>
      </c>
      <c r="L4617">
        <v>0.86</v>
      </c>
      <c r="M4617">
        <v>2.5</v>
      </c>
      <c r="N4617">
        <v>25</v>
      </c>
      <c r="O4617">
        <v>2</v>
      </c>
      <c r="P4617" t="s">
        <v>515</v>
      </c>
      <c r="Q4617" s="97" t="str">
        <f t="shared" si="590"/>
        <v/>
      </c>
      <c r="R4617" t="str">
        <f t="shared" si="591"/>
        <v/>
      </c>
    </row>
    <row r="4618" spans="3:18">
      <c r="C4618" t="str">
        <f t="shared" si="592"/>
        <v>NL</v>
      </c>
      <c r="D4618">
        <v>130</v>
      </c>
      <c r="E4618">
        <v>60</v>
      </c>
      <c r="F4618" s="366">
        <f t="shared" ref="F4618:F4681" si="593">1.085*($A$2-$B$2)*E4618*$T$7</f>
        <v>1302</v>
      </c>
      <c r="G4618" s="97">
        <v>1153</v>
      </c>
      <c r="H4618" s="367">
        <f t="shared" ref="H4618:H4681" si="594">(G4618*$U$7)+F4618</f>
        <v>2455</v>
      </c>
      <c r="I4618" s="368">
        <f t="shared" ref="I4618:I4681" si="595">1.085*($C$2-$D$2)*E4618*$T$7</f>
        <v>0</v>
      </c>
      <c r="J4618">
        <v>2910</v>
      </c>
      <c r="K4618" s="367">
        <f t="shared" ref="K4618:K4681" si="596">(J4618*$V$7)-I4618</f>
        <v>2078.5714285714284</v>
      </c>
      <c r="L4618">
        <v>0.3</v>
      </c>
      <c r="M4618">
        <v>3.5</v>
      </c>
      <c r="N4618">
        <v>20</v>
      </c>
      <c r="O4618">
        <v>3</v>
      </c>
      <c r="P4618" t="s">
        <v>515</v>
      </c>
      <c r="Q4618" s="97" t="str">
        <f t="shared" ref="Q4618:Q4681" si="597">IF(AND(H4618+1&gt;$E$4,L4618&lt;$L$4+0.01,M4618&lt;$M$4+0.01,K4618+1&gt;$F$4,E4618+1&gt;$J$4,N4618&lt;$K$4+1,O4618&lt;$P$4+1,C4618=""),D4618,"")</f>
        <v/>
      </c>
      <c r="R4618" t="str">
        <f t="shared" ref="R4618:R4681" si="598">IF(Q4618="","",IF(AND(O4618&lt;$X$38,E4618&gt;$U$38,E4618&lt;$Q$4+$U$38+1),D4618,""))</f>
        <v/>
      </c>
    </row>
    <row r="4619" spans="3:18">
      <c r="C4619" t="str">
        <f t="shared" si="592"/>
        <v>NL</v>
      </c>
      <c r="D4619">
        <v>131</v>
      </c>
      <c r="E4619">
        <v>60</v>
      </c>
      <c r="F4619" s="366">
        <f t="shared" si="593"/>
        <v>1302</v>
      </c>
      <c r="G4619" s="97">
        <v>1574</v>
      </c>
      <c r="H4619" s="367">
        <f t="shared" si="594"/>
        <v>2876</v>
      </c>
      <c r="I4619" s="368">
        <f t="shared" si="595"/>
        <v>0</v>
      </c>
      <c r="J4619">
        <v>3974</v>
      </c>
      <c r="K4619" s="367">
        <f t="shared" si="596"/>
        <v>2838.5714285714284</v>
      </c>
      <c r="L4619">
        <v>0.93</v>
      </c>
      <c r="M4619">
        <v>3.5</v>
      </c>
      <c r="N4619">
        <v>25</v>
      </c>
      <c r="O4619">
        <v>3</v>
      </c>
      <c r="P4619" t="s">
        <v>514</v>
      </c>
      <c r="Q4619" s="97" t="str">
        <f t="shared" si="597"/>
        <v/>
      </c>
      <c r="R4619" t="str">
        <f t="shared" si="598"/>
        <v/>
      </c>
    </row>
    <row r="4620" spans="3:18">
      <c r="C4620" t="str">
        <f t="shared" si="592"/>
        <v/>
      </c>
      <c r="D4620">
        <v>132</v>
      </c>
      <c r="E4620">
        <v>60</v>
      </c>
      <c r="F4620" s="366">
        <f t="shared" si="593"/>
        <v>1302</v>
      </c>
      <c r="G4620" s="97">
        <v>1223</v>
      </c>
      <c r="H4620" s="367">
        <f t="shared" si="594"/>
        <v>2525</v>
      </c>
      <c r="I4620" s="368">
        <f t="shared" si="595"/>
        <v>0</v>
      </c>
      <c r="J4620">
        <v>3087</v>
      </c>
      <c r="K4620" s="367">
        <f t="shared" si="596"/>
        <v>2205</v>
      </c>
      <c r="L4620">
        <v>0.16</v>
      </c>
      <c r="M4620">
        <v>4.5</v>
      </c>
      <c r="N4620">
        <v>17</v>
      </c>
      <c r="O4620">
        <v>4</v>
      </c>
      <c r="P4620" t="s">
        <v>515</v>
      </c>
      <c r="Q4620" s="97" t="str">
        <f t="shared" si="597"/>
        <v/>
      </c>
      <c r="R4620" t="str">
        <f t="shared" si="598"/>
        <v/>
      </c>
    </row>
    <row r="4621" spans="3:18">
      <c r="C4621" t="str">
        <f t="shared" si="592"/>
        <v/>
      </c>
      <c r="D4621">
        <v>133</v>
      </c>
      <c r="E4621">
        <v>60</v>
      </c>
      <c r="F4621" s="366">
        <f t="shared" si="593"/>
        <v>1302</v>
      </c>
      <c r="G4621" s="97">
        <v>1707</v>
      </c>
      <c r="H4621" s="367">
        <f t="shared" si="594"/>
        <v>3009</v>
      </c>
      <c r="I4621" s="368">
        <f t="shared" si="595"/>
        <v>0</v>
      </c>
      <c r="J4621">
        <v>4310</v>
      </c>
      <c r="K4621" s="367">
        <f t="shared" si="596"/>
        <v>3078.5714285714284</v>
      </c>
      <c r="L4621">
        <v>0.47000000000000003</v>
      </c>
      <c r="M4621">
        <v>4.5</v>
      </c>
      <c r="N4621">
        <v>21</v>
      </c>
      <c r="O4621">
        <v>4</v>
      </c>
      <c r="P4621" t="s">
        <v>514</v>
      </c>
      <c r="Q4621" s="97">
        <f t="shared" si="597"/>
        <v>133</v>
      </c>
      <c r="R4621" t="str">
        <f t="shared" si="598"/>
        <v/>
      </c>
    </row>
    <row r="4622" spans="3:18">
      <c r="C4622" t="str">
        <f t="shared" si="592"/>
        <v>NL</v>
      </c>
      <c r="D4622">
        <v>134</v>
      </c>
      <c r="E4622">
        <v>60</v>
      </c>
      <c r="F4622" s="366">
        <f t="shared" si="593"/>
        <v>1302</v>
      </c>
      <c r="G4622" s="97">
        <v>2021</v>
      </c>
      <c r="H4622" s="367">
        <f t="shared" si="594"/>
        <v>3323</v>
      </c>
      <c r="I4622" s="368">
        <f t="shared" si="595"/>
        <v>0</v>
      </c>
      <c r="J4622">
        <v>5101</v>
      </c>
      <c r="K4622" s="367">
        <f t="shared" si="596"/>
        <v>3643.5714285714284</v>
      </c>
      <c r="L4622">
        <v>0.3</v>
      </c>
      <c r="M4622">
        <v>5.5</v>
      </c>
      <c r="N4622">
        <v>20</v>
      </c>
      <c r="O4622">
        <v>5</v>
      </c>
      <c r="P4622" t="s">
        <v>514</v>
      </c>
      <c r="Q4622" s="97" t="str">
        <f t="shared" si="597"/>
        <v/>
      </c>
      <c r="R4622" t="str">
        <f t="shared" si="598"/>
        <v/>
      </c>
    </row>
    <row r="4623" spans="3:18">
      <c r="C4623" t="str">
        <f t="shared" si="592"/>
        <v>NL</v>
      </c>
      <c r="D4623">
        <v>135</v>
      </c>
      <c r="E4623">
        <v>60</v>
      </c>
      <c r="F4623" s="366">
        <f t="shared" si="593"/>
        <v>1302</v>
      </c>
      <c r="G4623" s="97">
        <v>2604</v>
      </c>
      <c r="H4623" s="367">
        <f t="shared" si="594"/>
        <v>3906</v>
      </c>
      <c r="I4623" s="368">
        <f t="shared" si="595"/>
        <v>0</v>
      </c>
      <c r="J4623">
        <v>6573</v>
      </c>
      <c r="K4623" s="367">
        <f t="shared" si="596"/>
        <v>4695</v>
      </c>
      <c r="L4623">
        <v>1</v>
      </c>
      <c r="M4623">
        <v>5.5</v>
      </c>
      <c r="N4623">
        <v>25</v>
      </c>
      <c r="O4623">
        <v>5</v>
      </c>
      <c r="P4623" t="s">
        <v>513</v>
      </c>
      <c r="Q4623" s="97" t="str">
        <f t="shared" si="597"/>
        <v/>
      </c>
      <c r="R4623" t="str">
        <f t="shared" si="598"/>
        <v/>
      </c>
    </row>
    <row r="4624" spans="3:18">
      <c r="C4624" t="str">
        <f t="shared" si="592"/>
        <v/>
      </c>
      <c r="D4624">
        <v>136</v>
      </c>
      <c r="E4624">
        <v>60</v>
      </c>
      <c r="F4624" s="366">
        <f t="shared" si="593"/>
        <v>1302</v>
      </c>
      <c r="G4624" s="97">
        <v>1889</v>
      </c>
      <c r="H4624" s="367">
        <f t="shared" si="594"/>
        <v>3191</v>
      </c>
      <c r="I4624" s="368">
        <f t="shared" si="595"/>
        <v>0</v>
      </c>
      <c r="J4624">
        <v>4769</v>
      </c>
      <c r="K4624" s="367">
        <f t="shared" si="596"/>
        <v>3406.4285714285716</v>
      </c>
      <c r="L4624">
        <v>0.21000000000000002</v>
      </c>
      <c r="M4624">
        <v>6.6</v>
      </c>
      <c r="N4624">
        <v>20</v>
      </c>
      <c r="O4624">
        <v>6</v>
      </c>
      <c r="P4624" t="s">
        <v>514</v>
      </c>
      <c r="Q4624" s="97">
        <f t="shared" si="597"/>
        <v>136</v>
      </c>
      <c r="R4624" t="str">
        <f t="shared" si="598"/>
        <v/>
      </c>
    </row>
    <row r="4625" spans="3:18">
      <c r="C4625" t="str">
        <f t="shared" si="592"/>
        <v/>
      </c>
      <c r="D4625">
        <v>137</v>
      </c>
      <c r="E4625">
        <v>60</v>
      </c>
      <c r="F4625" s="366">
        <f t="shared" si="593"/>
        <v>1302</v>
      </c>
      <c r="G4625" s="97">
        <v>2552</v>
      </c>
      <c r="H4625" s="367">
        <f t="shared" si="594"/>
        <v>3854</v>
      </c>
      <c r="I4625" s="368">
        <f t="shared" si="595"/>
        <v>0</v>
      </c>
      <c r="J4625">
        <v>6441</v>
      </c>
      <c r="K4625" s="367">
        <f t="shared" si="596"/>
        <v>4600.7142857142862</v>
      </c>
      <c r="L4625">
        <v>0.71</v>
      </c>
      <c r="M4625">
        <v>6.6</v>
      </c>
      <c r="N4625">
        <v>24</v>
      </c>
      <c r="O4625">
        <v>6</v>
      </c>
      <c r="P4625" t="s">
        <v>513</v>
      </c>
      <c r="Q4625" s="97">
        <f t="shared" si="597"/>
        <v>137</v>
      </c>
      <c r="R4625" t="str">
        <f t="shared" si="598"/>
        <v/>
      </c>
    </row>
    <row r="4626" spans="3:18">
      <c r="C4626" t="str">
        <f t="shared" si="592"/>
        <v>NL</v>
      </c>
      <c r="D4626">
        <v>138</v>
      </c>
      <c r="E4626">
        <v>60</v>
      </c>
      <c r="F4626" s="366">
        <f t="shared" si="593"/>
        <v>1302</v>
      </c>
      <c r="G4626" s="97">
        <v>2609</v>
      </c>
      <c r="H4626" s="367">
        <f t="shared" si="594"/>
        <v>3911</v>
      </c>
      <c r="I4626" s="368">
        <f t="shared" si="595"/>
        <v>0</v>
      </c>
      <c r="J4626">
        <v>6585</v>
      </c>
      <c r="K4626" s="367">
        <f t="shared" si="596"/>
        <v>4703.5714285714284</v>
      </c>
      <c r="L4626">
        <v>0.16</v>
      </c>
      <c r="M4626">
        <v>7.6</v>
      </c>
      <c r="N4626">
        <v>19</v>
      </c>
      <c r="O4626">
        <v>7</v>
      </c>
      <c r="P4626" t="s">
        <v>514</v>
      </c>
      <c r="Q4626" s="97" t="str">
        <f t="shared" si="597"/>
        <v/>
      </c>
      <c r="R4626" t="str">
        <f t="shared" si="598"/>
        <v/>
      </c>
    </row>
    <row r="4627" spans="3:18">
      <c r="C4627" t="str">
        <f t="shared" si="592"/>
        <v>NL</v>
      </c>
      <c r="D4627">
        <v>139</v>
      </c>
      <c r="E4627">
        <v>60</v>
      </c>
      <c r="F4627" s="366">
        <f t="shared" si="593"/>
        <v>1302</v>
      </c>
      <c r="G4627" s="97">
        <v>3439</v>
      </c>
      <c r="H4627" s="367">
        <f t="shared" si="594"/>
        <v>4741</v>
      </c>
      <c r="I4627" s="368">
        <f t="shared" si="595"/>
        <v>0</v>
      </c>
      <c r="J4627">
        <v>8680</v>
      </c>
      <c r="K4627" s="367">
        <f t="shared" si="596"/>
        <v>6200</v>
      </c>
      <c r="L4627">
        <v>0.53</v>
      </c>
      <c r="M4627">
        <v>7.6</v>
      </c>
      <c r="N4627">
        <v>24</v>
      </c>
      <c r="O4627">
        <v>7</v>
      </c>
      <c r="P4627" t="s">
        <v>513</v>
      </c>
      <c r="Q4627" s="97" t="str">
        <f t="shared" si="597"/>
        <v/>
      </c>
      <c r="R4627" t="str">
        <f t="shared" si="598"/>
        <v/>
      </c>
    </row>
    <row r="4628" spans="3:18">
      <c r="C4628" t="str">
        <f t="shared" si="592"/>
        <v/>
      </c>
      <c r="D4628">
        <v>140</v>
      </c>
      <c r="E4628">
        <v>60</v>
      </c>
      <c r="F4628" s="366">
        <f t="shared" si="593"/>
        <v>1302</v>
      </c>
      <c r="G4628" s="97">
        <v>3013</v>
      </c>
      <c r="H4628" s="367">
        <f t="shared" si="594"/>
        <v>4315</v>
      </c>
      <c r="I4628" s="368">
        <f t="shared" si="595"/>
        <v>0</v>
      </c>
      <c r="J4628">
        <v>7606</v>
      </c>
      <c r="K4628" s="367">
        <f t="shared" si="596"/>
        <v>5432.8571428571431</v>
      </c>
      <c r="L4628">
        <v>0.41000000000000003</v>
      </c>
      <c r="M4628">
        <v>8.5</v>
      </c>
      <c r="N4628">
        <v>23</v>
      </c>
      <c r="O4628">
        <v>8</v>
      </c>
      <c r="P4628" t="s">
        <v>513</v>
      </c>
      <c r="Q4628" s="97">
        <f t="shared" si="597"/>
        <v>140</v>
      </c>
      <c r="R4628" t="str">
        <f t="shared" si="598"/>
        <v/>
      </c>
    </row>
    <row r="4629" spans="3:18">
      <c r="C4629" t="str">
        <f t="shared" si="592"/>
        <v/>
      </c>
      <c r="D4629">
        <v>141</v>
      </c>
      <c r="E4629">
        <v>60</v>
      </c>
      <c r="F4629" s="366">
        <f t="shared" si="593"/>
        <v>1302</v>
      </c>
      <c r="G4629" s="97">
        <v>3240</v>
      </c>
      <c r="H4629" s="367">
        <f t="shared" si="594"/>
        <v>4542</v>
      </c>
      <c r="I4629" s="368">
        <f t="shared" si="595"/>
        <v>0</v>
      </c>
      <c r="J4629">
        <v>8177</v>
      </c>
      <c r="K4629" s="367">
        <f t="shared" si="596"/>
        <v>5840.7142857142862</v>
      </c>
      <c r="L4629">
        <v>0.96</v>
      </c>
      <c r="M4629">
        <v>8.5</v>
      </c>
      <c r="N4629">
        <v>28</v>
      </c>
      <c r="O4629">
        <v>8</v>
      </c>
      <c r="P4629" t="s">
        <v>512</v>
      </c>
      <c r="Q4629" s="97" t="str">
        <f t="shared" si="597"/>
        <v/>
      </c>
      <c r="R4629" t="str">
        <f t="shared" si="598"/>
        <v/>
      </c>
    </row>
    <row r="4630" spans="3:18">
      <c r="C4630" t="str">
        <f t="shared" si="592"/>
        <v>NL</v>
      </c>
      <c r="D4630">
        <v>142</v>
      </c>
      <c r="E4630">
        <v>60</v>
      </c>
      <c r="F4630" s="366">
        <f t="shared" si="593"/>
        <v>1302</v>
      </c>
      <c r="G4630" s="97">
        <v>4088</v>
      </c>
      <c r="H4630" s="367">
        <f t="shared" si="594"/>
        <v>5390</v>
      </c>
      <c r="I4630" s="368">
        <f t="shared" si="595"/>
        <v>0</v>
      </c>
      <c r="J4630">
        <v>10318</v>
      </c>
      <c r="K4630" s="367">
        <f t="shared" si="596"/>
        <v>7370</v>
      </c>
      <c r="L4630">
        <v>0.33</v>
      </c>
      <c r="M4630">
        <v>9.6</v>
      </c>
      <c r="N4630">
        <v>23</v>
      </c>
      <c r="O4630">
        <v>9</v>
      </c>
      <c r="P4630" t="s">
        <v>513</v>
      </c>
      <c r="Q4630" s="97" t="str">
        <f t="shared" si="597"/>
        <v/>
      </c>
      <c r="R4630" t="str">
        <f t="shared" si="598"/>
        <v/>
      </c>
    </row>
    <row r="4631" spans="3:18">
      <c r="C4631" t="str">
        <f t="shared" si="592"/>
        <v>NL</v>
      </c>
      <c r="D4631">
        <v>143</v>
      </c>
      <c r="E4631">
        <v>60</v>
      </c>
      <c r="F4631" s="366">
        <f t="shared" si="593"/>
        <v>1302</v>
      </c>
      <c r="G4631" s="97">
        <v>4370</v>
      </c>
      <c r="H4631" s="367">
        <f t="shared" si="594"/>
        <v>5672</v>
      </c>
      <c r="I4631" s="368">
        <f t="shared" si="595"/>
        <v>0</v>
      </c>
      <c r="J4631">
        <v>11030</v>
      </c>
      <c r="K4631" s="367">
        <f t="shared" si="596"/>
        <v>7878.5714285714284</v>
      </c>
      <c r="L4631">
        <v>0.78</v>
      </c>
      <c r="M4631">
        <v>9.6</v>
      </c>
      <c r="N4631">
        <v>28</v>
      </c>
      <c r="O4631">
        <v>9</v>
      </c>
      <c r="P4631" t="s">
        <v>512</v>
      </c>
      <c r="Q4631" s="97" t="str">
        <f t="shared" si="597"/>
        <v/>
      </c>
      <c r="R4631" t="str">
        <f t="shared" si="598"/>
        <v/>
      </c>
    </row>
    <row r="4632" spans="3:18">
      <c r="C4632" t="str">
        <f t="shared" si="592"/>
        <v/>
      </c>
      <c r="D4632">
        <v>144</v>
      </c>
      <c r="E4632">
        <v>60</v>
      </c>
      <c r="F4632" s="366">
        <f t="shared" si="593"/>
        <v>1302</v>
      </c>
      <c r="G4632" s="97">
        <v>4298</v>
      </c>
      <c r="H4632" s="367">
        <f t="shared" si="594"/>
        <v>5600</v>
      </c>
      <c r="I4632" s="368">
        <f t="shared" si="595"/>
        <v>0</v>
      </c>
      <c r="J4632">
        <v>10847</v>
      </c>
      <c r="K4632" s="367">
        <f t="shared" si="596"/>
        <v>7747.8571428571431</v>
      </c>
      <c r="L4632">
        <v>0.28000000000000003</v>
      </c>
      <c r="M4632">
        <v>1.4000000000000001</v>
      </c>
      <c r="N4632">
        <v>22</v>
      </c>
      <c r="O4632">
        <v>10</v>
      </c>
      <c r="P4632" t="s">
        <v>513</v>
      </c>
      <c r="Q4632" s="97" t="str">
        <f t="shared" si="597"/>
        <v/>
      </c>
      <c r="R4632" t="str">
        <f t="shared" si="598"/>
        <v/>
      </c>
    </row>
    <row r="4633" spans="3:18">
      <c r="C4633" t="str">
        <f t="shared" si="592"/>
        <v/>
      </c>
      <c r="D4633">
        <v>145</v>
      </c>
      <c r="E4633">
        <v>60</v>
      </c>
      <c r="F4633" s="366">
        <f t="shared" si="593"/>
        <v>1302</v>
      </c>
      <c r="G4633" s="97">
        <v>4611</v>
      </c>
      <c r="H4633" s="367">
        <f t="shared" si="594"/>
        <v>5913</v>
      </c>
      <c r="I4633" s="368">
        <f t="shared" si="595"/>
        <v>0</v>
      </c>
      <c r="J4633">
        <v>11638</v>
      </c>
      <c r="K4633" s="367">
        <f t="shared" si="596"/>
        <v>8312.8571428571431</v>
      </c>
      <c r="L4633">
        <v>0.64</v>
      </c>
      <c r="M4633">
        <v>1.4000000000000001</v>
      </c>
      <c r="N4633">
        <v>27</v>
      </c>
      <c r="O4633">
        <v>10</v>
      </c>
      <c r="P4633" t="s">
        <v>512</v>
      </c>
      <c r="Q4633" s="97" t="str">
        <f t="shared" si="597"/>
        <v/>
      </c>
      <c r="R4633" t="str">
        <f t="shared" si="598"/>
        <v/>
      </c>
    </row>
    <row r="4634" spans="3:18">
      <c r="C4634" t="str">
        <f t="shared" si="592"/>
        <v/>
      </c>
      <c r="D4634">
        <v>146</v>
      </c>
      <c r="E4634">
        <v>60</v>
      </c>
      <c r="F4634" s="366">
        <f t="shared" si="593"/>
        <v>1302</v>
      </c>
      <c r="G4634" s="97">
        <v>4611</v>
      </c>
      <c r="H4634" s="367">
        <f t="shared" si="594"/>
        <v>5913</v>
      </c>
      <c r="I4634" s="368">
        <f t="shared" si="595"/>
        <v>0</v>
      </c>
      <c r="J4634">
        <v>11638</v>
      </c>
      <c r="K4634" s="367">
        <f t="shared" si="596"/>
        <v>8312.8571428571431</v>
      </c>
      <c r="L4634">
        <v>0.64</v>
      </c>
      <c r="M4634">
        <v>1.4000000000000001</v>
      </c>
      <c r="N4634">
        <v>27</v>
      </c>
      <c r="O4634">
        <v>10</v>
      </c>
      <c r="P4634" t="s">
        <v>512</v>
      </c>
      <c r="Q4634" s="97" t="str">
        <f t="shared" si="597"/>
        <v/>
      </c>
      <c r="R4634" t="str">
        <f t="shared" si="598"/>
        <v/>
      </c>
    </row>
    <row r="4635" spans="3:18">
      <c r="C4635" t="str">
        <f t="shared" si="592"/>
        <v/>
      </c>
      <c r="D4635">
        <v>147</v>
      </c>
      <c r="E4635">
        <v>65</v>
      </c>
      <c r="F4635" s="366">
        <f t="shared" si="593"/>
        <v>1410.5</v>
      </c>
      <c r="G4635" s="97">
        <v>1084</v>
      </c>
      <c r="H4635" s="367">
        <f t="shared" si="594"/>
        <v>2494.5</v>
      </c>
      <c r="I4635" s="368">
        <f t="shared" si="595"/>
        <v>0</v>
      </c>
      <c r="J4635">
        <v>2735</v>
      </c>
      <c r="K4635" s="367">
        <f t="shared" si="596"/>
        <v>1953.5714285714287</v>
      </c>
      <c r="L4635">
        <v>1</v>
      </c>
      <c r="M4635">
        <v>2.5</v>
      </c>
      <c r="N4635">
        <v>26</v>
      </c>
      <c r="O4635">
        <v>2</v>
      </c>
      <c r="P4635" t="s">
        <v>515</v>
      </c>
      <c r="Q4635" s="97" t="str">
        <f t="shared" si="597"/>
        <v/>
      </c>
      <c r="R4635" t="str">
        <f t="shared" si="598"/>
        <v/>
      </c>
    </row>
    <row r="4636" spans="3:18">
      <c r="C4636" t="str">
        <f t="shared" si="592"/>
        <v>NL</v>
      </c>
      <c r="D4636">
        <v>148</v>
      </c>
      <c r="E4636">
        <v>65</v>
      </c>
      <c r="F4636" s="366">
        <f t="shared" si="593"/>
        <v>1410.5</v>
      </c>
      <c r="G4636" s="97">
        <v>1226</v>
      </c>
      <c r="H4636" s="367">
        <f t="shared" si="594"/>
        <v>2636.5</v>
      </c>
      <c r="I4636" s="368">
        <f t="shared" si="595"/>
        <v>0</v>
      </c>
      <c r="J4636">
        <v>3095</v>
      </c>
      <c r="K4636" s="367">
        <f t="shared" si="596"/>
        <v>2210.7142857142858</v>
      </c>
      <c r="L4636">
        <v>0.35000000000000003</v>
      </c>
      <c r="M4636">
        <v>3.5</v>
      </c>
      <c r="N4636">
        <v>21</v>
      </c>
      <c r="O4636">
        <v>3</v>
      </c>
      <c r="P4636" t="s">
        <v>515</v>
      </c>
      <c r="Q4636" s="97" t="str">
        <f t="shared" si="597"/>
        <v/>
      </c>
      <c r="R4636" t="str">
        <f t="shared" si="598"/>
        <v/>
      </c>
    </row>
    <row r="4637" spans="3:18">
      <c r="C4637" t="str">
        <f t="shared" si="592"/>
        <v/>
      </c>
      <c r="D4637">
        <v>149</v>
      </c>
      <c r="E4637">
        <v>65</v>
      </c>
      <c r="F4637" s="366">
        <f t="shared" si="593"/>
        <v>1410.5</v>
      </c>
      <c r="G4637" s="97">
        <v>1306</v>
      </c>
      <c r="H4637" s="367">
        <f t="shared" si="594"/>
        <v>2716.5</v>
      </c>
      <c r="I4637" s="368">
        <f t="shared" si="595"/>
        <v>0</v>
      </c>
      <c r="J4637">
        <v>3297</v>
      </c>
      <c r="K4637" s="367">
        <f t="shared" si="596"/>
        <v>2355</v>
      </c>
      <c r="L4637">
        <v>0.18000000000000002</v>
      </c>
      <c r="M4637">
        <v>4.5</v>
      </c>
      <c r="N4637">
        <v>18</v>
      </c>
      <c r="O4637">
        <v>4</v>
      </c>
      <c r="P4637" t="s">
        <v>515</v>
      </c>
      <c r="Q4637" s="97" t="str">
        <f t="shared" si="597"/>
        <v/>
      </c>
      <c r="R4637" t="str">
        <f t="shared" si="598"/>
        <v/>
      </c>
    </row>
    <row r="4638" spans="3:18">
      <c r="C4638" t="str">
        <f t="shared" si="592"/>
        <v/>
      </c>
      <c r="D4638">
        <v>150</v>
      </c>
      <c r="E4638">
        <v>65</v>
      </c>
      <c r="F4638" s="366">
        <f t="shared" si="593"/>
        <v>1410.5</v>
      </c>
      <c r="G4638" s="97">
        <v>1810</v>
      </c>
      <c r="H4638" s="367">
        <f t="shared" si="594"/>
        <v>3220.5</v>
      </c>
      <c r="I4638" s="368">
        <f t="shared" si="595"/>
        <v>0</v>
      </c>
      <c r="J4638">
        <v>4570</v>
      </c>
      <c r="K4638" s="367">
        <f t="shared" si="596"/>
        <v>3264.2857142857142</v>
      </c>
      <c r="L4638">
        <v>0.55000000000000004</v>
      </c>
      <c r="M4638">
        <v>4.5</v>
      </c>
      <c r="N4638">
        <v>22</v>
      </c>
      <c r="O4638">
        <v>4</v>
      </c>
      <c r="P4638" t="s">
        <v>514</v>
      </c>
      <c r="Q4638" s="97">
        <f t="shared" si="597"/>
        <v>150</v>
      </c>
      <c r="R4638" t="str">
        <f t="shared" si="598"/>
        <v/>
      </c>
    </row>
    <row r="4639" spans="3:18">
      <c r="C4639" t="str">
        <f t="shared" si="592"/>
        <v>NL</v>
      </c>
      <c r="D4639">
        <v>151</v>
      </c>
      <c r="E4639">
        <v>65</v>
      </c>
      <c r="F4639" s="366">
        <f t="shared" si="593"/>
        <v>1410.5</v>
      </c>
      <c r="G4639" s="97">
        <v>2138</v>
      </c>
      <c r="H4639" s="367">
        <f t="shared" si="594"/>
        <v>3548.5</v>
      </c>
      <c r="I4639" s="368">
        <f t="shared" si="595"/>
        <v>0</v>
      </c>
      <c r="J4639">
        <v>5397</v>
      </c>
      <c r="K4639" s="367">
        <f t="shared" si="596"/>
        <v>3855</v>
      </c>
      <c r="L4639">
        <v>0.35000000000000003</v>
      </c>
      <c r="M4639">
        <v>5.5</v>
      </c>
      <c r="N4639">
        <v>21</v>
      </c>
      <c r="O4639">
        <v>5</v>
      </c>
      <c r="P4639" t="s">
        <v>514</v>
      </c>
      <c r="Q4639" s="97" t="str">
        <f t="shared" si="597"/>
        <v/>
      </c>
      <c r="R4639" t="str">
        <f t="shared" si="598"/>
        <v/>
      </c>
    </row>
    <row r="4640" spans="3:18">
      <c r="C4640" t="str">
        <f t="shared" si="592"/>
        <v/>
      </c>
      <c r="D4640">
        <v>152</v>
      </c>
      <c r="E4640">
        <v>65</v>
      </c>
      <c r="F4640" s="366">
        <f t="shared" si="593"/>
        <v>1410.5</v>
      </c>
      <c r="G4640" s="97">
        <v>2003</v>
      </c>
      <c r="H4640" s="367">
        <f t="shared" si="594"/>
        <v>3413.5</v>
      </c>
      <c r="I4640" s="368">
        <f t="shared" si="595"/>
        <v>0</v>
      </c>
      <c r="J4640">
        <v>5055</v>
      </c>
      <c r="K4640" s="367">
        <f t="shared" si="596"/>
        <v>3610.7142857142858</v>
      </c>
      <c r="L4640">
        <v>0.25</v>
      </c>
      <c r="M4640">
        <v>6.6</v>
      </c>
      <c r="N4640">
        <v>21</v>
      </c>
      <c r="O4640">
        <v>6</v>
      </c>
      <c r="P4640" t="s">
        <v>514</v>
      </c>
      <c r="Q4640" s="97">
        <f t="shared" si="597"/>
        <v>152</v>
      </c>
      <c r="R4640" t="str">
        <f t="shared" si="598"/>
        <v/>
      </c>
    </row>
    <row r="4641" spans="3:18">
      <c r="C4641" t="str">
        <f t="shared" si="592"/>
        <v/>
      </c>
      <c r="D4641">
        <v>153</v>
      </c>
      <c r="E4641">
        <v>65</v>
      </c>
      <c r="F4641" s="366">
        <f t="shared" si="593"/>
        <v>1410.5</v>
      </c>
      <c r="G4641" s="97">
        <v>2702</v>
      </c>
      <c r="H4641" s="367">
        <f t="shared" si="594"/>
        <v>4112.5</v>
      </c>
      <c r="I4641" s="368">
        <f t="shared" si="595"/>
        <v>0</v>
      </c>
      <c r="J4641">
        <v>6820</v>
      </c>
      <c r="K4641" s="367">
        <f t="shared" si="596"/>
        <v>4871.4285714285716</v>
      </c>
      <c r="L4641">
        <v>0.83</v>
      </c>
      <c r="M4641">
        <v>6.6</v>
      </c>
      <c r="N4641">
        <v>25</v>
      </c>
      <c r="O4641">
        <v>6</v>
      </c>
      <c r="P4641" t="s">
        <v>513</v>
      </c>
      <c r="Q4641" s="97" t="str">
        <f t="shared" si="597"/>
        <v/>
      </c>
      <c r="R4641" t="str">
        <f t="shared" si="598"/>
        <v/>
      </c>
    </row>
    <row r="4642" spans="3:18">
      <c r="C4642" t="str">
        <f t="shared" si="592"/>
        <v>NL</v>
      </c>
      <c r="D4642">
        <v>154</v>
      </c>
      <c r="E4642">
        <v>65</v>
      </c>
      <c r="F4642" s="366">
        <f t="shared" si="593"/>
        <v>1410.5</v>
      </c>
      <c r="G4642" s="97">
        <v>2769</v>
      </c>
      <c r="H4642" s="367">
        <f t="shared" si="594"/>
        <v>4179.5</v>
      </c>
      <c r="I4642" s="368">
        <f t="shared" si="595"/>
        <v>0</v>
      </c>
      <c r="J4642">
        <v>6989</v>
      </c>
      <c r="K4642" s="367">
        <f t="shared" si="596"/>
        <v>4992.1428571428569</v>
      </c>
      <c r="L4642">
        <v>0.19</v>
      </c>
      <c r="M4642">
        <v>7.6</v>
      </c>
      <c r="N4642">
        <v>20</v>
      </c>
      <c r="O4642">
        <v>7</v>
      </c>
      <c r="P4642" t="s">
        <v>514</v>
      </c>
      <c r="Q4642" s="97" t="str">
        <f t="shared" si="597"/>
        <v/>
      </c>
      <c r="R4642" t="str">
        <f t="shared" si="598"/>
        <v/>
      </c>
    </row>
    <row r="4643" spans="3:18">
      <c r="C4643" t="str">
        <f t="shared" si="592"/>
        <v>NL</v>
      </c>
      <c r="D4643">
        <v>155</v>
      </c>
      <c r="E4643">
        <v>65</v>
      </c>
      <c r="F4643" s="366">
        <f t="shared" si="593"/>
        <v>1410.5</v>
      </c>
      <c r="G4643" s="97">
        <v>3641</v>
      </c>
      <c r="H4643" s="367">
        <f t="shared" si="594"/>
        <v>5051.5</v>
      </c>
      <c r="I4643" s="368">
        <f t="shared" si="595"/>
        <v>0</v>
      </c>
      <c r="J4643">
        <v>9191</v>
      </c>
      <c r="K4643" s="367">
        <f t="shared" si="596"/>
        <v>6565</v>
      </c>
      <c r="L4643">
        <v>0.62</v>
      </c>
      <c r="M4643">
        <v>7.6</v>
      </c>
      <c r="N4643">
        <v>25</v>
      </c>
      <c r="O4643">
        <v>7</v>
      </c>
      <c r="P4643" t="s">
        <v>513</v>
      </c>
      <c r="Q4643" s="97" t="str">
        <f t="shared" si="597"/>
        <v/>
      </c>
      <c r="R4643" t="str">
        <f t="shared" si="598"/>
        <v/>
      </c>
    </row>
    <row r="4644" spans="3:18">
      <c r="C4644" t="str">
        <f t="shared" si="592"/>
        <v/>
      </c>
      <c r="D4644">
        <v>156</v>
      </c>
      <c r="E4644">
        <v>65</v>
      </c>
      <c r="F4644" s="366">
        <f t="shared" si="593"/>
        <v>1410.5</v>
      </c>
      <c r="G4644" s="97">
        <v>3196</v>
      </c>
      <c r="H4644" s="367">
        <f t="shared" si="594"/>
        <v>4606.5</v>
      </c>
      <c r="I4644" s="368">
        <f t="shared" si="595"/>
        <v>0</v>
      </c>
      <c r="J4644">
        <v>8066</v>
      </c>
      <c r="K4644" s="367">
        <f t="shared" si="596"/>
        <v>5761.4285714285716</v>
      </c>
      <c r="L4644">
        <v>0.48</v>
      </c>
      <c r="M4644">
        <v>8.5</v>
      </c>
      <c r="N4644">
        <v>24</v>
      </c>
      <c r="O4644">
        <v>8</v>
      </c>
      <c r="P4644" t="s">
        <v>513</v>
      </c>
      <c r="Q4644" s="97">
        <f t="shared" si="597"/>
        <v>156</v>
      </c>
      <c r="R4644" t="str">
        <f t="shared" si="598"/>
        <v/>
      </c>
    </row>
    <row r="4645" spans="3:18">
      <c r="C4645" t="str">
        <f t="shared" si="592"/>
        <v>NL</v>
      </c>
      <c r="D4645">
        <v>157</v>
      </c>
      <c r="E4645">
        <v>65</v>
      </c>
      <c r="F4645" s="366">
        <f t="shared" si="593"/>
        <v>1410.5</v>
      </c>
      <c r="G4645" s="97">
        <v>4325</v>
      </c>
      <c r="H4645" s="367">
        <f t="shared" si="594"/>
        <v>5735.5</v>
      </c>
      <c r="I4645" s="368">
        <f t="shared" si="595"/>
        <v>0</v>
      </c>
      <c r="J4645">
        <v>10916</v>
      </c>
      <c r="K4645" s="367">
        <f t="shared" si="596"/>
        <v>7797.1428571428569</v>
      </c>
      <c r="L4645">
        <v>0.39</v>
      </c>
      <c r="M4645">
        <v>9.6</v>
      </c>
      <c r="N4645">
        <v>24</v>
      </c>
      <c r="O4645">
        <v>9</v>
      </c>
      <c r="P4645" t="s">
        <v>513</v>
      </c>
      <c r="Q4645" s="97" t="str">
        <f t="shared" si="597"/>
        <v/>
      </c>
      <c r="R4645" t="str">
        <f t="shared" si="598"/>
        <v/>
      </c>
    </row>
    <row r="4646" spans="3:18">
      <c r="C4646" t="str">
        <f t="shared" si="592"/>
        <v>NL</v>
      </c>
      <c r="D4646">
        <v>158</v>
      </c>
      <c r="E4646">
        <v>65</v>
      </c>
      <c r="F4646" s="366">
        <f t="shared" si="593"/>
        <v>1410.5</v>
      </c>
      <c r="G4646" s="97">
        <v>4617</v>
      </c>
      <c r="H4646" s="367">
        <f t="shared" si="594"/>
        <v>6027.5</v>
      </c>
      <c r="I4646" s="368">
        <f t="shared" si="595"/>
        <v>0</v>
      </c>
      <c r="J4646">
        <v>11653</v>
      </c>
      <c r="K4646" s="367">
        <f t="shared" si="596"/>
        <v>8323.5714285714294</v>
      </c>
      <c r="L4646">
        <v>0.91</v>
      </c>
      <c r="M4646">
        <v>9.6</v>
      </c>
      <c r="N4646">
        <v>29</v>
      </c>
      <c r="O4646">
        <v>9</v>
      </c>
      <c r="P4646" t="s">
        <v>512</v>
      </c>
      <c r="Q4646" s="97" t="str">
        <f t="shared" si="597"/>
        <v/>
      </c>
      <c r="R4646" t="str">
        <f t="shared" si="598"/>
        <v/>
      </c>
    </row>
    <row r="4647" spans="3:18">
      <c r="C4647" t="str">
        <f t="shared" si="592"/>
        <v/>
      </c>
      <c r="D4647">
        <v>159</v>
      </c>
      <c r="E4647">
        <v>65</v>
      </c>
      <c r="F4647" s="366">
        <f t="shared" si="593"/>
        <v>1410.5</v>
      </c>
      <c r="G4647" s="97">
        <v>4559</v>
      </c>
      <c r="H4647" s="367">
        <f t="shared" si="594"/>
        <v>5969.5</v>
      </c>
      <c r="I4647" s="368">
        <f t="shared" si="595"/>
        <v>0</v>
      </c>
      <c r="J4647">
        <v>11506</v>
      </c>
      <c r="K4647" s="367">
        <f t="shared" si="596"/>
        <v>8218.5714285714294</v>
      </c>
      <c r="L4647">
        <v>0.33</v>
      </c>
      <c r="M4647">
        <v>1.4000000000000001</v>
      </c>
      <c r="N4647">
        <v>24</v>
      </c>
      <c r="O4647">
        <v>10</v>
      </c>
      <c r="P4647" t="s">
        <v>513</v>
      </c>
      <c r="Q4647" s="97" t="str">
        <f t="shared" si="597"/>
        <v/>
      </c>
      <c r="R4647" t="str">
        <f t="shared" si="598"/>
        <v/>
      </c>
    </row>
    <row r="4648" spans="3:18">
      <c r="C4648" t="str">
        <f t="shared" si="592"/>
        <v/>
      </c>
      <c r="D4648">
        <v>160</v>
      </c>
      <c r="E4648">
        <v>65</v>
      </c>
      <c r="F4648" s="366">
        <f t="shared" si="593"/>
        <v>1410.5</v>
      </c>
      <c r="G4648" s="97">
        <v>4883</v>
      </c>
      <c r="H4648" s="367">
        <f t="shared" si="594"/>
        <v>6293.5</v>
      </c>
      <c r="I4648" s="368">
        <f t="shared" si="595"/>
        <v>0</v>
      </c>
      <c r="J4648">
        <v>12325</v>
      </c>
      <c r="K4648" s="367">
        <f t="shared" si="596"/>
        <v>8803.5714285714294</v>
      </c>
      <c r="L4648">
        <v>0.75</v>
      </c>
      <c r="M4648">
        <v>1.4000000000000001</v>
      </c>
      <c r="N4648">
        <v>28</v>
      </c>
      <c r="O4648">
        <v>10</v>
      </c>
      <c r="P4648" t="s">
        <v>512</v>
      </c>
      <c r="Q4648" s="97" t="str">
        <f t="shared" si="597"/>
        <v/>
      </c>
      <c r="R4648" t="str">
        <f t="shared" si="598"/>
        <v/>
      </c>
    </row>
    <row r="4649" spans="3:18">
      <c r="C4649" t="str">
        <f t="shared" si="592"/>
        <v/>
      </c>
      <c r="D4649">
        <v>161</v>
      </c>
      <c r="E4649">
        <v>65</v>
      </c>
      <c r="F4649" s="366">
        <f t="shared" si="593"/>
        <v>1410.5</v>
      </c>
      <c r="G4649" s="97">
        <v>4883</v>
      </c>
      <c r="H4649" s="367">
        <f t="shared" si="594"/>
        <v>6293.5</v>
      </c>
      <c r="I4649" s="368">
        <f t="shared" si="595"/>
        <v>0</v>
      </c>
      <c r="J4649">
        <v>12325</v>
      </c>
      <c r="K4649" s="367">
        <f t="shared" si="596"/>
        <v>8803.5714285714294</v>
      </c>
      <c r="L4649">
        <v>0.75</v>
      </c>
      <c r="M4649">
        <v>1.4000000000000001</v>
      </c>
      <c r="N4649">
        <v>28</v>
      </c>
      <c r="O4649">
        <v>10</v>
      </c>
      <c r="P4649" t="s">
        <v>512</v>
      </c>
      <c r="Q4649" s="97" t="str">
        <f t="shared" si="597"/>
        <v/>
      </c>
      <c r="R4649" t="str">
        <f t="shared" si="598"/>
        <v/>
      </c>
    </row>
    <row r="4650" spans="3:18">
      <c r="C4650" t="str">
        <f t="shared" si="592"/>
        <v/>
      </c>
      <c r="D4650">
        <v>162</v>
      </c>
      <c r="E4650">
        <v>70</v>
      </c>
      <c r="F4650" s="366">
        <f t="shared" si="593"/>
        <v>1519</v>
      </c>
      <c r="G4650" s="97">
        <v>1143</v>
      </c>
      <c r="H4650" s="367">
        <f t="shared" si="594"/>
        <v>2662</v>
      </c>
      <c r="I4650" s="368">
        <f t="shared" si="595"/>
        <v>0</v>
      </c>
      <c r="J4650">
        <v>2885</v>
      </c>
      <c r="K4650" s="367">
        <f t="shared" si="596"/>
        <v>2060.7142857142858</v>
      </c>
      <c r="L4650">
        <v>1.1599999999999999</v>
      </c>
      <c r="M4650">
        <v>2.5</v>
      </c>
      <c r="N4650">
        <v>27</v>
      </c>
      <c r="O4650">
        <v>2</v>
      </c>
      <c r="P4650" t="s">
        <v>515</v>
      </c>
      <c r="Q4650" s="97" t="str">
        <f t="shared" si="597"/>
        <v/>
      </c>
      <c r="R4650" t="str">
        <f t="shared" si="598"/>
        <v/>
      </c>
    </row>
    <row r="4651" spans="3:18">
      <c r="C4651" t="str">
        <f t="shared" si="592"/>
        <v>NL</v>
      </c>
      <c r="D4651">
        <v>163</v>
      </c>
      <c r="E4651">
        <v>70</v>
      </c>
      <c r="F4651" s="366">
        <f t="shared" si="593"/>
        <v>1519</v>
      </c>
      <c r="G4651" s="97">
        <v>1299</v>
      </c>
      <c r="H4651" s="367">
        <f t="shared" si="594"/>
        <v>2818</v>
      </c>
      <c r="I4651" s="368">
        <f t="shared" si="595"/>
        <v>0</v>
      </c>
      <c r="J4651">
        <v>3280</v>
      </c>
      <c r="K4651" s="367">
        <f t="shared" si="596"/>
        <v>2342.8571428571431</v>
      </c>
      <c r="L4651">
        <v>0.41000000000000003</v>
      </c>
      <c r="M4651">
        <v>3.5</v>
      </c>
      <c r="N4651">
        <v>22</v>
      </c>
      <c r="O4651">
        <v>3</v>
      </c>
      <c r="P4651" t="s">
        <v>515</v>
      </c>
      <c r="Q4651" s="97" t="str">
        <f t="shared" si="597"/>
        <v/>
      </c>
      <c r="R4651" t="str">
        <f t="shared" si="598"/>
        <v/>
      </c>
    </row>
    <row r="4652" spans="3:18">
      <c r="C4652" t="str">
        <f t="shared" si="592"/>
        <v/>
      </c>
      <c r="D4652">
        <v>164</v>
      </c>
      <c r="E4652">
        <v>70</v>
      </c>
      <c r="F4652" s="366">
        <f t="shared" si="593"/>
        <v>1519</v>
      </c>
      <c r="G4652" s="97">
        <v>1389</v>
      </c>
      <c r="H4652" s="367">
        <f t="shared" si="594"/>
        <v>2908</v>
      </c>
      <c r="I4652" s="368">
        <f t="shared" si="595"/>
        <v>0</v>
      </c>
      <c r="J4652">
        <v>3507</v>
      </c>
      <c r="K4652" s="367">
        <f t="shared" si="596"/>
        <v>2505</v>
      </c>
      <c r="L4652">
        <v>0.21000000000000002</v>
      </c>
      <c r="M4652">
        <v>4.5</v>
      </c>
      <c r="N4652">
        <v>19</v>
      </c>
      <c r="O4652">
        <v>4</v>
      </c>
      <c r="P4652" t="s">
        <v>515</v>
      </c>
      <c r="Q4652" s="97" t="str">
        <f t="shared" si="597"/>
        <v/>
      </c>
      <c r="R4652" t="str">
        <f t="shared" si="598"/>
        <v/>
      </c>
    </row>
    <row r="4653" spans="3:18">
      <c r="C4653" t="str">
        <f t="shared" si="592"/>
        <v/>
      </c>
      <c r="D4653">
        <v>165</v>
      </c>
      <c r="E4653">
        <v>70</v>
      </c>
      <c r="F4653" s="366">
        <f t="shared" si="593"/>
        <v>1519</v>
      </c>
      <c r="G4653" s="97">
        <v>1912</v>
      </c>
      <c r="H4653" s="367">
        <f t="shared" si="594"/>
        <v>3431</v>
      </c>
      <c r="I4653" s="368">
        <f t="shared" si="595"/>
        <v>0</v>
      </c>
      <c r="J4653">
        <v>4826</v>
      </c>
      <c r="K4653" s="367">
        <f t="shared" si="596"/>
        <v>3447.1428571428573</v>
      </c>
      <c r="L4653">
        <v>0.64</v>
      </c>
      <c r="M4653">
        <v>4.5</v>
      </c>
      <c r="N4653">
        <v>23</v>
      </c>
      <c r="O4653">
        <v>4</v>
      </c>
      <c r="P4653" t="s">
        <v>514</v>
      </c>
      <c r="Q4653" s="97">
        <f t="shared" si="597"/>
        <v>165</v>
      </c>
      <c r="R4653" t="str">
        <f t="shared" si="598"/>
        <v/>
      </c>
    </row>
    <row r="4654" spans="3:18">
      <c r="C4654" t="str">
        <f t="shared" si="592"/>
        <v>NL</v>
      </c>
      <c r="D4654">
        <v>166</v>
      </c>
      <c r="E4654">
        <v>70</v>
      </c>
      <c r="F4654" s="366">
        <f t="shared" si="593"/>
        <v>1519</v>
      </c>
      <c r="G4654" s="97">
        <v>2255</v>
      </c>
      <c r="H4654" s="367">
        <f t="shared" si="594"/>
        <v>3774</v>
      </c>
      <c r="I4654" s="368">
        <f t="shared" si="595"/>
        <v>0</v>
      </c>
      <c r="J4654">
        <v>5692</v>
      </c>
      <c r="K4654" s="367">
        <f t="shared" si="596"/>
        <v>4065.7142857142858</v>
      </c>
      <c r="L4654">
        <v>0.41000000000000003</v>
      </c>
      <c r="M4654">
        <v>5.5</v>
      </c>
      <c r="N4654">
        <v>22</v>
      </c>
      <c r="O4654">
        <v>5</v>
      </c>
      <c r="P4654" t="s">
        <v>514</v>
      </c>
      <c r="Q4654" s="97" t="str">
        <f t="shared" si="597"/>
        <v/>
      </c>
      <c r="R4654" t="str">
        <f t="shared" si="598"/>
        <v/>
      </c>
    </row>
    <row r="4655" spans="3:18">
      <c r="C4655" t="str">
        <f t="shared" si="592"/>
        <v/>
      </c>
      <c r="D4655">
        <v>167</v>
      </c>
      <c r="E4655">
        <v>70</v>
      </c>
      <c r="F4655" s="366">
        <f t="shared" si="593"/>
        <v>1519</v>
      </c>
      <c r="G4655" s="97">
        <v>2115</v>
      </c>
      <c r="H4655" s="367">
        <f t="shared" si="594"/>
        <v>3634</v>
      </c>
      <c r="I4655" s="368">
        <f t="shared" si="595"/>
        <v>0</v>
      </c>
      <c r="J4655">
        <v>5340</v>
      </c>
      <c r="K4655" s="367">
        <f t="shared" si="596"/>
        <v>3814.2857142857142</v>
      </c>
      <c r="L4655">
        <v>0.29000000000000004</v>
      </c>
      <c r="M4655">
        <v>6.6</v>
      </c>
      <c r="N4655">
        <v>22</v>
      </c>
      <c r="O4655">
        <v>6</v>
      </c>
      <c r="P4655" t="s">
        <v>514</v>
      </c>
      <c r="Q4655" s="97">
        <f t="shared" si="597"/>
        <v>167</v>
      </c>
      <c r="R4655" t="str">
        <f t="shared" si="598"/>
        <v/>
      </c>
    </row>
    <row r="4656" spans="3:18">
      <c r="C4656" t="str">
        <f t="shared" si="592"/>
        <v/>
      </c>
      <c r="D4656">
        <v>168</v>
      </c>
      <c r="E4656">
        <v>70</v>
      </c>
      <c r="F4656" s="366">
        <f t="shared" si="593"/>
        <v>1519</v>
      </c>
      <c r="G4656" s="97">
        <v>2852</v>
      </c>
      <c r="H4656" s="367">
        <f t="shared" si="594"/>
        <v>4371</v>
      </c>
      <c r="I4656" s="368">
        <f t="shared" si="595"/>
        <v>0</v>
      </c>
      <c r="J4656">
        <v>7198</v>
      </c>
      <c r="K4656" s="367">
        <f t="shared" si="596"/>
        <v>5141.4285714285716</v>
      </c>
      <c r="L4656">
        <v>0.96</v>
      </c>
      <c r="M4656">
        <v>6.6</v>
      </c>
      <c r="N4656">
        <v>26</v>
      </c>
      <c r="O4656">
        <v>6</v>
      </c>
      <c r="P4656" t="s">
        <v>513</v>
      </c>
      <c r="Q4656" s="97" t="str">
        <f t="shared" si="597"/>
        <v/>
      </c>
      <c r="R4656" t="str">
        <f t="shared" si="598"/>
        <v/>
      </c>
    </row>
    <row r="4657" spans="3:18">
      <c r="C4657" t="str">
        <f t="shared" si="592"/>
        <v>NL</v>
      </c>
      <c r="D4657">
        <v>169</v>
      </c>
      <c r="E4657">
        <v>70</v>
      </c>
      <c r="F4657" s="366">
        <f t="shared" si="593"/>
        <v>1519</v>
      </c>
      <c r="G4657" s="97">
        <v>2929</v>
      </c>
      <c r="H4657" s="367">
        <f t="shared" si="594"/>
        <v>4448</v>
      </c>
      <c r="I4657" s="368">
        <f t="shared" si="595"/>
        <v>0</v>
      </c>
      <c r="J4657">
        <v>7394</v>
      </c>
      <c r="K4657" s="367">
        <f t="shared" si="596"/>
        <v>5281.4285714285716</v>
      </c>
      <c r="L4657">
        <v>0.22</v>
      </c>
      <c r="M4657">
        <v>7.6</v>
      </c>
      <c r="N4657">
        <v>21</v>
      </c>
      <c r="O4657">
        <v>7</v>
      </c>
      <c r="P4657" t="s">
        <v>514</v>
      </c>
      <c r="Q4657" s="97" t="str">
        <f t="shared" si="597"/>
        <v/>
      </c>
      <c r="R4657" t="str">
        <f t="shared" si="598"/>
        <v/>
      </c>
    </row>
    <row r="4658" spans="3:18">
      <c r="C4658" t="str">
        <f t="shared" si="592"/>
        <v>NL</v>
      </c>
      <c r="D4658">
        <v>170</v>
      </c>
      <c r="E4658">
        <v>70</v>
      </c>
      <c r="F4658" s="366">
        <f t="shared" si="593"/>
        <v>1519</v>
      </c>
      <c r="G4658" s="97">
        <v>3825</v>
      </c>
      <c r="H4658" s="367">
        <f t="shared" si="594"/>
        <v>5344</v>
      </c>
      <c r="I4658" s="368">
        <f t="shared" si="595"/>
        <v>0</v>
      </c>
      <c r="J4658">
        <v>9655</v>
      </c>
      <c r="K4658" s="367">
        <f t="shared" si="596"/>
        <v>6896.4285714285716</v>
      </c>
      <c r="L4658">
        <v>0.71</v>
      </c>
      <c r="M4658">
        <v>7.6</v>
      </c>
      <c r="N4658">
        <v>26</v>
      </c>
      <c r="O4658">
        <v>7</v>
      </c>
      <c r="P4658" t="s">
        <v>513</v>
      </c>
      <c r="Q4658" s="97" t="str">
        <f t="shared" si="597"/>
        <v/>
      </c>
      <c r="R4658" t="str">
        <f t="shared" si="598"/>
        <v/>
      </c>
    </row>
    <row r="4659" spans="3:18">
      <c r="C4659" t="str">
        <f t="shared" si="592"/>
        <v/>
      </c>
      <c r="D4659">
        <v>171</v>
      </c>
      <c r="E4659">
        <v>70</v>
      </c>
      <c r="F4659" s="366">
        <f t="shared" si="593"/>
        <v>1519</v>
      </c>
      <c r="G4659" s="97">
        <v>2447</v>
      </c>
      <c r="H4659" s="367">
        <f t="shared" si="594"/>
        <v>3966</v>
      </c>
      <c r="I4659" s="368">
        <f t="shared" si="595"/>
        <v>0</v>
      </c>
      <c r="J4659">
        <v>6176</v>
      </c>
      <c r="K4659" s="367">
        <f t="shared" si="596"/>
        <v>4411.4285714285716</v>
      </c>
      <c r="L4659">
        <v>0.18000000000000002</v>
      </c>
      <c r="M4659">
        <v>8.5</v>
      </c>
      <c r="N4659">
        <v>21</v>
      </c>
      <c r="O4659">
        <v>8</v>
      </c>
      <c r="P4659" t="s">
        <v>514</v>
      </c>
      <c r="Q4659" s="97">
        <f t="shared" si="597"/>
        <v>171</v>
      </c>
      <c r="R4659" t="str">
        <f t="shared" si="598"/>
        <v/>
      </c>
    </row>
    <row r="4660" spans="3:18">
      <c r="C4660" t="str">
        <f t="shared" si="592"/>
        <v/>
      </c>
      <c r="D4660">
        <v>172</v>
      </c>
      <c r="E4660">
        <v>70</v>
      </c>
      <c r="F4660" s="366">
        <f t="shared" si="593"/>
        <v>1519</v>
      </c>
      <c r="G4660" s="97">
        <v>3378</v>
      </c>
      <c r="H4660" s="367">
        <f t="shared" si="594"/>
        <v>4897</v>
      </c>
      <c r="I4660" s="368">
        <f t="shared" si="595"/>
        <v>0</v>
      </c>
      <c r="J4660">
        <v>8526</v>
      </c>
      <c r="K4660" s="367">
        <f t="shared" si="596"/>
        <v>6090</v>
      </c>
      <c r="L4660">
        <v>0.56000000000000005</v>
      </c>
      <c r="M4660">
        <v>8.5</v>
      </c>
      <c r="N4660">
        <v>25</v>
      </c>
      <c r="O4660">
        <v>8</v>
      </c>
      <c r="P4660" t="s">
        <v>513</v>
      </c>
      <c r="Q4660" s="97">
        <f t="shared" si="597"/>
        <v>172</v>
      </c>
      <c r="R4660" t="str">
        <f t="shared" si="598"/>
        <v/>
      </c>
    </row>
    <row r="4661" spans="3:18">
      <c r="C4661" t="str">
        <f t="shared" si="592"/>
        <v>NL</v>
      </c>
      <c r="D4661">
        <v>173</v>
      </c>
      <c r="E4661">
        <v>70</v>
      </c>
      <c r="F4661" s="366">
        <f t="shared" si="593"/>
        <v>1519</v>
      </c>
      <c r="G4661" s="97">
        <v>4549</v>
      </c>
      <c r="H4661" s="367">
        <f t="shared" si="594"/>
        <v>6068</v>
      </c>
      <c r="I4661" s="368">
        <f t="shared" si="595"/>
        <v>0</v>
      </c>
      <c r="J4661">
        <v>11483</v>
      </c>
      <c r="K4661" s="367">
        <f t="shared" si="596"/>
        <v>8202.1428571428569</v>
      </c>
      <c r="L4661">
        <v>0.45</v>
      </c>
      <c r="M4661">
        <v>9.6</v>
      </c>
      <c r="N4661">
        <v>25</v>
      </c>
      <c r="O4661">
        <v>9</v>
      </c>
      <c r="P4661" t="s">
        <v>513</v>
      </c>
      <c r="Q4661" s="97" t="str">
        <f t="shared" si="597"/>
        <v/>
      </c>
      <c r="R4661" t="str">
        <f t="shared" si="598"/>
        <v/>
      </c>
    </row>
    <row r="4662" spans="3:18">
      <c r="C4662" t="str">
        <f t="shared" si="592"/>
        <v>NL</v>
      </c>
      <c r="D4662">
        <v>174</v>
      </c>
      <c r="E4662">
        <v>70</v>
      </c>
      <c r="F4662" s="366">
        <f t="shared" si="593"/>
        <v>1519</v>
      </c>
      <c r="G4662" s="97">
        <v>4864</v>
      </c>
      <c r="H4662" s="367">
        <f t="shared" si="594"/>
        <v>6383</v>
      </c>
      <c r="I4662" s="368">
        <f t="shared" si="595"/>
        <v>0</v>
      </c>
      <c r="J4662">
        <v>12276</v>
      </c>
      <c r="K4662" s="367">
        <f t="shared" si="596"/>
        <v>8768.5714285714294</v>
      </c>
      <c r="L4662">
        <v>1.05</v>
      </c>
      <c r="M4662">
        <v>9.6</v>
      </c>
      <c r="N4662">
        <v>30</v>
      </c>
      <c r="O4662">
        <v>9</v>
      </c>
      <c r="P4662" t="s">
        <v>512</v>
      </c>
      <c r="Q4662" s="97" t="str">
        <f t="shared" si="597"/>
        <v/>
      </c>
      <c r="R4662" t="str">
        <f t="shared" si="598"/>
        <v/>
      </c>
    </row>
    <row r="4663" spans="3:18">
      <c r="C4663" t="str">
        <f t="shared" si="592"/>
        <v/>
      </c>
      <c r="D4663">
        <v>175</v>
      </c>
      <c r="E4663">
        <v>70</v>
      </c>
      <c r="F4663" s="366">
        <f t="shared" si="593"/>
        <v>1519</v>
      </c>
      <c r="G4663" s="97">
        <v>4815</v>
      </c>
      <c r="H4663" s="367">
        <f t="shared" si="594"/>
        <v>6334</v>
      </c>
      <c r="I4663" s="368">
        <f t="shared" si="595"/>
        <v>0</v>
      </c>
      <c r="J4663">
        <v>12154</v>
      </c>
      <c r="K4663" s="367">
        <f t="shared" si="596"/>
        <v>8681.4285714285725</v>
      </c>
      <c r="L4663">
        <v>0.38</v>
      </c>
      <c r="M4663">
        <v>1.4000000000000001</v>
      </c>
      <c r="N4663">
        <v>24</v>
      </c>
      <c r="O4663">
        <v>10</v>
      </c>
      <c r="P4663" t="s">
        <v>513</v>
      </c>
      <c r="Q4663" s="97" t="str">
        <f t="shared" si="597"/>
        <v/>
      </c>
      <c r="R4663" t="str">
        <f t="shared" si="598"/>
        <v/>
      </c>
    </row>
    <row r="4664" spans="3:18">
      <c r="C4664" t="str">
        <f t="shared" ref="C4664:C4727" si="599">IF(OR($O$4=0,O4664-$O$4=0),IF(AND(ISEVEN(O4664)=FALSE,$N$4="Even"),"NL",""),"NL")</f>
        <v/>
      </c>
      <c r="D4664">
        <v>176</v>
      </c>
      <c r="E4664">
        <v>70</v>
      </c>
      <c r="F4664" s="366">
        <f t="shared" si="593"/>
        <v>1519</v>
      </c>
      <c r="G4664" s="97">
        <v>5133</v>
      </c>
      <c r="H4664" s="367">
        <f t="shared" si="594"/>
        <v>6652</v>
      </c>
      <c r="I4664" s="368">
        <f t="shared" si="595"/>
        <v>0</v>
      </c>
      <c r="J4664">
        <v>12955</v>
      </c>
      <c r="K4664" s="367">
        <f t="shared" si="596"/>
        <v>9253.5714285714294</v>
      </c>
      <c r="L4664">
        <v>0.87</v>
      </c>
      <c r="M4664">
        <v>1.4000000000000001</v>
      </c>
      <c r="N4664">
        <v>29</v>
      </c>
      <c r="O4664">
        <v>10</v>
      </c>
      <c r="P4664" t="s">
        <v>512</v>
      </c>
      <c r="Q4664" s="97" t="str">
        <f t="shared" si="597"/>
        <v/>
      </c>
      <c r="R4664" t="str">
        <f t="shared" si="598"/>
        <v/>
      </c>
    </row>
    <row r="4665" spans="3:18">
      <c r="C4665" t="str">
        <f t="shared" si="599"/>
        <v/>
      </c>
      <c r="D4665">
        <v>177</v>
      </c>
      <c r="E4665">
        <v>70</v>
      </c>
      <c r="F4665" s="366">
        <f t="shared" si="593"/>
        <v>1519</v>
      </c>
      <c r="G4665" s="97">
        <v>5133</v>
      </c>
      <c r="H4665" s="367">
        <f t="shared" si="594"/>
        <v>6652</v>
      </c>
      <c r="I4665" s="368">
        <f t="shared" si="595"/>
        <v>0</v>
      </c>
      <c r="J4665">
        <v>12955</v>
      </c>
      <c r="K4665" s="367">
        <f t="shared" si="596"/>
        <v>9253.5714285714294</v>
      </c>
      <c r="L4665">
        <v>0.87</v>
      </c>
      <c r="M4665">
        <v>1.4000000000000001</v>
      </c>
      <c r="N4665">
        <v>29</v>
      </c>
      <c r="O4665">
        <v>10</v>
      </c>
      <c r="P4665" t="s">
        <v>512</v>
      </c>
      <c r="Q4665" s="97" t="str">
        <f t="shared" si="597"/>
        <v/>
      </c>
      <c r="R4665" t="str">
        <f t="shared" si="598"/>
        <v/>
      </c>
    </row>
    <row r="4666" spans="3:18">
      <c r="C4666" t="str">
        <f t="shared" si="599"/>
        <v/>
      </c>
      <c r="D4666">
        <v>178</v>
      </c>
      <c r="E4666">
        <v>75</v>
      </c>
      <c r="F4666" s="366">
        <f t="shared" si="593"/>
        <v>1627.5</v>
      </c>
      <c r="G4666" s="97">
        <v>1198</v>
      </c>
      <c r="H4666" s="367">
        <f t="shared" si="594"/>
        <v>2825.5</v>
      </c>
      <c r="I4666" s="368">
        <f t="shared" si="595"/>
        <v>0</v>
      </c>
      <c r="J4666">
        <v>3025</v>
      </c>
      <c r="K4666" s="367">
        <f t="shared" si="596"/>
        <v>2160.7142857142858</v>
      </c>
      <c r="L4666">
        <v>1.33</v>
      </c>
      <c r="M4666">
        <v>2.5</v>
      </c>
      <c r="N4666">
        <v>28</v>
      </c>
      <c r="O4666">
        <v>2</v>
      </c>
      <c r="P4666" t="s">
        <v>515</v>
      </c>
      <c r="Q4666" s="97" t="str">
        <f t="shared" si="597"/>
        <v/>
      </c>
      <c r="R4666" t="str">
        <f t="shared" si="598"/>
        <v/>
      </c>
    </row>
    <row r="4667" spans="3:18">
      <c r="C4667" t="str">
        <f t="shared" si="599"/>
        <v>NL</v>
      </c>
      <c r="D4667">
        <v>179</v>
      </c>
      <c r="E4667">
        <v>75</v>
      </c>
      <c r="F4667" s="366">
        <f t="shared" si="593"/>
        <v>1627.5</v>
      </c>
      <c r="G4667" s="97">
        <v>1369</v>
      </c>
      <c r="H4667" s="367">
        <f t="shared" si="594"/>
        <v>2996.5</v>
      </c>
      <c r="I4667" s="368">
        <f t="shared" si="595"/>
        <v>0</v>
      </c>
      <c r="J4667">
        <v>3456</v>
      </c>
      <c r="K4667" s="367">
        <f t="shared" si="596"/>
        <v>2468.5714285714284</v>
      </c>
      <c r="L4667">
        <v>0.46</v>
      </c>
      <c r="M4667">
        <v>3.5</v>
      </c>
      <c r="N4667">
        <v>23</v>
      </c>
      <c r="O4667">
        <v>3</v>
      </c>
      <c r="P4667" t="s">
        <v>515</v>
      </c>
      <c r="Q4667" s="97" t="str">
        <f t="shared" si="597"/>
        <v/>
      </c>
      <c r="R4667" t="str">
        <f t="shared" si="598"/>
        <v/>
      </c>
    </row>
    <row r="4668" spans="3:18">
      <c r="C4668" t="str">
        <f t="shared" si="599"/>
        <v/>
      </c>
      <c r="D4668">
        <v>180</v>
      </c>
      <c r="E4668">
        <v>75</v>
      </c>
      <c r="F4668" s="366">
        <f t="shared" si="593"/>
        <v>1627.5</v>
      </c>
      <c r="G4668" s="97">
        <v>1468</v>
      </c>
      <c r="H4668" s="367">
        <f t="shared" si="594"/>
        <v>3095.5</v>
      </c>
      <c r="I4668" s="368">
        <f t="shared" si="595"/>
        <v>0</v>
      </c>
      <c r="J4668">
        <v>3706</v>
      </c>
      <c r="K4668" s="367">
        <f t="shared" si="596"/>
        <v>2647.1428571428573</v>
      </c>
      <c r="L4668">
        <v>0.24000000000000002</v>
      </c>
      <c r="M4668">
        <v>4.5</v>
      </c>
      <c r="N4668">
        <v>19</v>
      </c>
      <c r="O4668">
        <v>4</v>
      </c>
      <c r="P4668" t="s">
        <v>515</v>
      </c>
      <c r="Q4668" s="97">
        <f t="shared" si="597"/>
        <v>180</v>
      </c>
      <c r="R4668" t="str">
        <f t="shared" si="598"/>
        <v/>
      </c>
    </row>
    <row r="4669" spans="3:18">
      <c r="C4669" t="str">
        <f t="shared" si="599"/>
        <v/>
      </c>
      <c r="D4669">
        <v>181</v>
      </c>
      <c r="E4669">
        <v>75</v>
      </c>
      <c r="F4669" s="366">
        <f t="shared" si="593"/>
        <v>1627.5</v>
      </c>
      <c r="G4669" s="97">
        <v>2005</v>
      </c>
      <c r="H4669" s="367">
        <f t="shared" si="594"/>
        <v>3632.5</v>
      </c>
      <c r="I4669" s="368">
        <f t="shared" si="595"/>
        <v>0</v>
      </c>
      <c r="J4669">
        <v>5062</v>
      </c>
      <c r="K4669" s="367">
        <f t="shared" si="596"/>
        <v>3615.7142857142858</v>
      </c>
      <c r="L4669">
        <v>0.72</v>
      </c>
      <c r="M4669">
        <v>4.5</v>
      </c>
      <c r="N4669">
        <v>24</v>
      </c>
      <c r="O4669">
        <v>4</v>
      </c>
      <c r="P4669" t="s">
        <v>514</v>
      </c>
      <c r="Q4669" s="97" t="str">
        <f t="shared" si="597"/>
        <v/>
      </c>
      <c r="R4669" t="str">
        <f t="shared" si="598"/>
        <v/>
      </c>
    </row>
    <row r="4670" spans="3:18">
      <c r="C4670" t="str">
        <f t="shared" si="599"/>
        <v>NL</v>
      </c>
      <c r="D4670">
        <v>182</v>
      </c>
      <c r="E4670">
        <v>75</v>
      </c>
      <c r="F4670" s="366">
        <f t="shared" si="593"/>
        <v>1627.5</v>
      </c>
      <c r="G4670" s="97">
        <v>1776</v>
      </c>
      <c r="H4670" s="367">
        <f t="shared" si="594"/>
        <v>3403.5</v>
      </c>
      <c r="I4670" s="368">
        <f t="shared" si="595"/>
        <v>0</v>
      </c>
      <c r="J4670">
        <v>4484</v>
      </c>
      <c r="K4670" s="367">
        <f t="shared" si="596"/>
        <v>3202.8571428571431</v>
      </c>
      <c r="L4670">
        <v>0.15000000000000002</v>
      </c>
      <c r="M4670">
        <v>5.5</v>
      </c>
      <c r="N4670">
        <v>18</v>
      </c>
      <c r="O4670">
        <v>5</v>
      </c>
      <c r="P4670" t="s">
        <v>515</v>
      </c>
      <c r="Q4670" s="97" t="str">
        <f t="shared" si="597"/>
        <v/>
      </c>
      <c r="R4670" t="str">
        <f t="shared" si="598"/>
        <v/>
      </c>
    </row>
    <row r="4671" spans="3:18">
      <c r="C4671" t="str">
        <f t="shared" si="599"/>
        <v>NL</v>
      </c>
      <c r="D4671">
        <v>183</v>
      </c>
      <c r="E4671">
        <v>75</v>
      </c>
      <c r="F4671" s="366">
        <f t="shared" si="593"/>
        <v>1627.5</v>
      </c>
      <c r="G4671" s="97">
        <v>2372</v>
      </c>
      <c r="H4671" s="367">
        <f t="shared" si="594"/>
        <v>3999.5</v>
      </c>
      <c r="I4671" s="368">
        <f t="shared" si="595"/>
        <v>0</v>
      </c>
      <c r="J4671">
        <v>5988</v>
      </c>
      <c r="K4671" s="367">
        <f t="shared" si="596"/>
        <v>4277.1428571428569</v>
      </c>
      <c r="L4671">
        <v>0.46</v>
      </c>
      <c r="M4671">
        <v>5.5</v>
      </c>
      <c r="N4671">
        <v>23</v>
      </c>
      <c r="O4671">
        <v>5</v>
      </c>
      <c r="P4671" t="s">
        <v>514</v>
      </c>
      <c r="Q4671" s="97" t="str">
        <f t="shared" si="597"/>
        <v/>
      </c>
      <c r="R4671" t="str">
        <f t="shared" si="598"/>
        <v/>
      </c>
    </row>
    <row r="4672" spans="3:18">
      <c r="C4672" t="str">
        <f t="shared" si="599"/>
        <v/>
      </c>
      <c r="D4672">
        <v>184</v>
      </c>
      <c r="E4672">
        <v>75</v>
      </c>
      <c r="F4672" s="366">
        <f t="shared" si="593"/>
        <v>1627.5</v>
      </c>
      <c r="G4672" s="97">
        <v>2228</v>
      </c>
      <c r="H4672" s="367">
        <f t="shared" si="594"/>
        <v>3855.5</v>
      </c>
      <c r="I4672" s="368">
        <f t="shared" si="595"/>
        <v>0</v>
      </c>
      <c r="J4672">
        <v>5624</v>
      </c>
      <c r="K4672" s="367">
        <f t="shared" si="596"/>
        <v>4017.1428571428573</v>
      </c>
      <c r="L4672">
        <v>0.33</v>
      </c>
      <c r="M4672">
        <v>6.6</v>
      </c>
      <c r="N4672">
        <v>22</v>
      </c>
      <c r="O4672">
        <v>6</v>
      </c>
      <c r="P4672" t="s">
        <v>514</v>
      </c>
      <c r="Q4672" s="97">
        <f t="shared" si="597"/>
        <v>184</v>
      </c>
      <c r="R4672" t="str">
        <f t="shared" si="598"/>
        <v/>
      </c>
    </row>
    <row r="4673" spans="3:18">
      <c r="C4673" t="str">
        <f t="shared" si="599"/>
        <v/>
      </c>
      <c r="D4673">
        <v>185</v>
      </c>
      <c r="E4673">
        <v>75</v>
      </c>
      <c r="F4673" s="366">
        <f t="shared" si="593"/>
        <v>1627.5</v>
      </c>
      <c r="G4673" s="97">
        <v>2989</v>
      </c>
      <c r="H4673" s="367">
        <f t="shared" si="594"/>
        <v>4616.5</v>
      </c>
      <c r="I4673" s="368">
        <f t="shared" si="595"/>
        <v>0</v>
      </c>
      <c r="J4673">
        <v>7544</v>
      </c>
      <c r="K4673" s="367">
        <f t="shared" si="596"/>
        <v>5388.5714285714284</v>
      </c>
      <c r="L4673">
        <v>1.0900000000000001</v>
      </c>
      <c r="M4673">
        <v>6.6</v>
      </c>
      <c r="N4673">
        <v>27</v>
      </c>
      <c r="O4673">
        <v>6</v>
      </c>
      <c r="P4673" t="s">
        <v>513</v>
      </c>
      <c r="Q4673" s="97" t="str">
        <f t="shared" si="597"/>
        <v/>
      </c>
      <c r="R4673" t="str">
        <f t="shared" si="598"/>
        <v/>
      </c>
    </row>
    <row r="4674" spans="3:18">
      <c r="C4674" t="str">
        <f t="shared" si="599"/>
        <v>NL</v>
      </c>
      <c r="D4674">
        <v>186</v>
      </c>
      <c r="E4674">
        <v>75</v>
      </c>
      <c r="F4674" s="366">
        <f t="shared" si="593"/>
        <v>1627.5</v>
      </c>
      <c r="G4674" s="97">
        <v>3082</v>
      </c>
      <c r="H4674" s="367">
        <f t="shared" si="594"/>
        <v>4709.5</v>
      </c>
      <c r="I4674" s="368">
        <f t="shared" si="595"/>
        <v>0</v>
      </c>
      <c r="J4674">
        <v>7778</v>
      </c>
      <c r="K4674" s="367">
        <f t="shared" si="596"/>
        <v>5555.7142857142862</v>
      </c>
      <c r="L4674">
        <v>0.25</v>
      </c>
      <c r="M4674">
        <v>7.6</v>
      </c>
      <c r="N4674">
        <v>22</v>
      </c>
      <c r="O4674">
        <v>7</v>
      </c>
      <c r="P4674" t="s">
        <v>514</v>
      </c>
      <c r="Q4674" s="97" t="str">
        <f t="shared" si="597"/>
        <v/>
      </c>
      <c r="R4674" t="str">
        <f t="shared" si="598"/>
        <v/>
      </c>
    </row>
    <row r="4675" spans="3:18">
      <c r="C4675" t="str">
        <f t="shared" si="599"/>
        <v>NL</v>
      </c>
      <c r="D4675">
        <v>187</v>
      </c>
      <c r="E4675">
        <v>75</v>
      </c>
      <c r="F4675" s="366">
        <f t="shared" si="593"/>
        <v>1627.5</v>
      </c>
      <c r="G4675" s="97">
        <v>4009</v>
      </c>
      <c r="H4675" s="367">
        <f t="shared" si="594"/>
        <v>5636.5</v>
      </c>
      <c r="I4675" s="368">
        <f t="shared" si="595"/>
        <v>0</v>
      </c>
      <c r="J4675">
        <v>10119</v>
      </c>
      <c r="K4675" s="367">
        <f t="shared" si="596"/>
        <v>7227.8571428571431</v>
      </c>
      <c r="L4675">
        <v>0.81</v>
      </c>
      <c r="M4675">
        <v>7.6</v>
      </c>
      <c r="N4675">
        <v>26</v>
      </c>
      <c r="O4675">
        <v>7</v>
      </c>
      <c r="P4675" t="s">
        <v>513</v>
      </c>
      <c r="Q4675" s="97" t="str">
        <f t="shared" si="597"/>
        <v/>
      </c>
      <c r="R4675" t="str">
        <f t="shared" si="598"/>
        <v/>
      </c>
    </row>
    <row r="4676" spans="3:18">
      <c r="C4676" t="str">
        <f t="shared" si="599"/>
        <v/>
      </c>
      <c r="D4676">
        <v>188</v>
      </c>
      <c r="E4676">
        <v>75</v>
      </c>
      <c r="F4676" s="366">
        <f t="shared" si="593"/>
        <v>1627.5</v>
      </c>
      <c r="G4676" s="97">
        <v>2587</v>
      </c>
      <c r="H4676" s="367">
        <f t="shared" si="594"/>
        <v>4214.5</v>
      </c>
      <c r="I4676" s="368">
        <f t="shared" si="595"/>
        <v>0</v>
      </c>
      <c r="J4676">
        <v>6530</v>
      </c>
      <c r="K4676" s="367">
        <f t="shared" si="596"/>
        <v>4664.2857142857147</v>
      </c>
      <c r="L4676">
        <v>0.2</v>
      </c>
      <c r="M4676">
        <v>8.5</v>
      </c>
      <c r="N4676">
        <v>21</v>
      </c>
      <c r="O4676">
        <v>8</v>
      </c>
      <c r="P4676" t="s">
        <v>514</v>
      </c>
      <c r="Q4676" s="97">
        <f t="shared" si="597"/>
        <v>188</v>
      </c>
      <c r="R4676" t="str">
        <f t="shared" si="598"/>
        <v/>
      </c>
    </row>
    <row r="4677" spans="3:18">
      <c r="C4677" t="str">
        <f t="shared" si="599"/>
        <v/>
      </c>
      <c r="D4677">
        <v>189</v>
      </c>
      <c r="E4677">
        <v>75</v>
      </c>
      <c r="F4677" s="366">
        <f t="shared" si="593"/>
        <v>1627.5</v>
      </c>
      <c r="G4677" s="97">
        <v>3560</v>
      </c>
      <c r="H4677" s="367">
        <f t="shared" si="594"/>
        <v>5187.5</v>
      </c>
      <c r="I4677" s="368">
        <f t="shared" si="595"/>
        <v>0</v>
      </c>
      <c r="J4677">
        <v>8986</v>
      </c>
      <c r="K4677" s="367">
        <f t="shared" si="596"/>
        <v>6418.5714285714284</v>
      </c>
      <c r="L4677">
        <v>0.63</v>
      </c>
      <c r="M4677">
        <v>8.5</v>
      </c>
      <c r="N4677">
        <v>26</v>
      </c>
      <c r="O4677">
        <v>8</v>
      </c>
      <c r="P4677" t="s">
        <v>513</v>
      </c>
      <c r="Q4677" s="97">
        <f t="shared" si="597"/>
        <v>189</v>
      </c>
      <c r="R4677" t="str">
        <f t="shared" si="598"/>
        <v/>
      </c>
    </row>
    <row r="4678" spans="3:18">
      <c r="C4678" t="str">
        <f t="shared" si="599"/>
        <v>NL</v>
      </c>
      <c r="D4678">
        <v>190</v>
      </c>
      <c r="E4678">
        <v>75</v>
      </c>
      <c r="F4678" s="366">
        <f t="shared" si="593"/>
        <v>1627.5</v>
      </c>
      <c r="G4678" s="97">
        <v>3605</v>
      </c>
      <c r="H4678" s="367">
        <f t="shared" si="594"/>
        <v>5232.5</v>
      </c>
      <c r="I4678" s="368">
        <f t="shared" si="595"/>
        <v>0</v>
      </c>
      <c r="J4678">
        <v>9099</v>
      </c>
      <c r="K4678" s="367">
        <f t="shared" si="596"/>
        <v>6499.2857142857147</v>
      </c>
      <c r="L4678">
        <v>0.16</v>
      </c>
      <c r="M4678">
        <v>9.6</v>
      </c>
      <c r="N4678">
        <v>22</v>
      </c>
      <c r="O4678">
        <v>9</v>
      </c>
      <c r="P4678" t="s">
        <v>514</v>
      </c>
      <c r="Q4678" s="97" t="str">
        <f t="shared" si="597"/>
        <v/>
      </c>
      <c r="R4678" t="str">
        <f t="shared" si="598"/>
        <v/>
      </c>
    </row>
    <row r="4679" spans="3:18">
      <c r="C4679" t="str">
        <f t="shared" si="599"/>
        <v>NL</v>
      </c>
      <c r="D4679">
        <v>191</v>
      </c>
      <c r="E4679">
        <v>75</v>
      </c>
      <c r="F4679" s="366">
        <f t="shared" si="593"/>
        <v>1627.5</v>
      </c>
      <c r="G4679" s="97">
        <v>4774</v>
      </c>
      <c r="H4679" s="367">
        <f t="shared" si="594"/>
        <v>6401.5</v>
      </c>
      <c r="I4679" s="368">
        <f t="shared" si="595"/>
        <v>0</v>
      </c>
      <c r="J4679">
        <v>12049</v>
      </c>
      <c r="K4679" s="367">
        <f t="shared" si="596"/>
        <v>8606.4285714285725</v>
      </c>
      <c r="L4679">
        <v>0.51</v>
      </c>
      <c r="M4679">
        <v>9.6</v>
      </c>
      <c r="N4679">
        <v>25</v>
      </c>
      <c r="O4679">
        <v>9</v>
      </c>
      <c r="P4679" t="s">
        <v>513</v>
      </c>
      <c r="Q4679" s="97" t="str">
        <f t="shared" si="597"/>
        <v/>
      </c>
      <c r="R4679" t="str">
        <f t="shared" si="598"/>
        <v/>
      </c>
    </row>
    <row r="4680" spans="3:18">
      <c r="C4680" t="str">
        <f t="shared" si="599"/>
        <v/>
      </c>
      <c r="D4680">
        <v>192</v>
      </c>
      <c r="E4680">
        <v>75</v>
      </c>
      <c r="F4680" s="366">
        <f t="shared" si="593"/>
        <v>1627.5</v>
      </c>
      <c r="G4680" s="97">
        <v>5042</v>
      </c>
      <c r="H4680" s="367">
        <f t="shared" si="594"/>
        <v>6669.5</v>
      </c>
      <c r="I4680" s="368">
        <f t="shared" si="595"/>
        <v>0</v>
      </c>
      <c r="J4680">
        <v>12726</v>
      </c>
      <c r="K4680" s="367">
        <f t="shared" si="596"/>
        <v>9090</v>
      </c>
      <c r="L4680">
        <v>0.43</v>
      </c>
      <c r="M4680">
        <v>1.4000000000000001</v>
      </c>
      <c r="N4680">
        <v>25</v>
      </c>
      <c r="O4680">
        <v>10</v>
      </c>
      <c r="P4680" t="s">
        <v>513</v>
      </c>
      <c r="Q4680" s="97" t="str">
        <f t="shared" si="597"/>
        <v/>
      </c>
      <c r="R4680" t="str">
        <f t="shared" si="598"/>
        <v/>
      </c>
    </row>
    <row r="4681" spans="3:18">
      <c r="C4681" t="str">
        <f t="shared" si="599"/>
        <v/>
      </c>
      <c r="D4681">
        <v>193</v>
      </c>
      <c r="E4681">
        <v>75</v>
      </c>
      <c r="F4681" s="366">
        <f t="shared" si="593"/>
        <v>1627.5</v>
      </c>
      <c r="G4681" s="97">
        <v>5383</v>
      </c>
      <c r="H4681" s="367">
        <f t="shared" si="594"/>
        <v>7010.5</v>
      </c>
      <c r="I4681" s="368">
        <f t="shared" si="595"/>
        <v>0</v>
      </c>
      <c r="J4681">
        <v>13585</v>
      </c>
      <c r="K4681" s="367">
        <f t="shared" si="596"/>
        <v>9703.5714285714294</v>
      </c>
      <c r="L4681">
        <v>0.99</v>
      </c>
      <c r="M4681">
        <v>1.4000000000000001</v>
      </c>
      <c r="N4681">
        <v>30</v>
      </c>
      <c r="O4681">
        <v>10</v>
      </c>
      <c r="P4681" t="s">
        <v>512</v>
      </c>
      <c r="Q4681" s="97" t="str">
        <f t="shared" si="597"/>
        <v/>
      </c>
      <c r="R4681" t="str">
        <f t="shared" si="598"/>
        <v/>
      </c>
    </row>
    <row r="4682" spans="3:18">
      <c r="C4682" t="str">
        <f t="shared" si="599"/>
        <v/>
      </c>
      <c r="D4682">
        <v>194</v>
      </c>
      <c r="E4682">
        <v>75</v>
      </c>
      <c r="F4682" s="366">
        <f t="shared" ref="F4682:F4745" si="600">1.085*($A$2-$B$2)*E4682*$T$7</f>
        <v>1627.5</v>
      </c>
      <c r="G4682" s="97">
        <v>5383</v>
      </c>
      <c r="H4682" s="367">
        <f t="shared" ref="H4682:H4745" si="601">(G4682*$U$7)+F4682</f>
        <v>7010.5</v>
      </c>
      <c r="I4682" s="368">
        <f t="shared" ref="I4682:I4745" si="602">1.085*($C$2-$D$2)*E4682*$T$7</f>
        <v>0</v>
      </c>
      <c r="J4682">
        <v>13585</v>
      </c>
      <c r="K4682" s="367">
        <f t="shared" ref="K4682:K4745" si="603">(J4682*$V$7)-I4682</f>
        <v>9703.5714285714294</v>
      </c>
      <c r="L4682">
        <v>0.99</v>
      </c>
      <c r="M4682">
        <v>1.4000000000000001</v>
      </c>
      <c r="N4682">
        <v>30</v>
      </c>
      <c r="O4682">
        <v>10</v>
      </c>
      <c r="P4682" t="s">
        <v>512</v>
      </c>
      <c r="Q4682" s="97" t="str">
        <f t="shared" ref="Q4682:Q4745" si="604">IF(AND(H4682+1&gt;$E$4,L4682&lt;$L$4+0.01,M4682&lt;$M$4+0.01,K4682+1&gt;$F$4,E4682+1&gt;$J$4,N4682&lt;$K$4+1,O4682&lt;$P$4+1,C4682=""),D4682,"")</f>
        <v/>
      </c>
      <c r="R4682" t="str">
        <f t="shared" ref="R4682:R4745" si="605">IF(Q4682="","",IF(AND(O4682&lt;$X$38,E4682&gt;$U$38,E4682&lt;$Q$4+$U$38+1),D4682,""))</f>
        <v/>
      </c>
    </row>
    <row r="4683" spans="3:18">
      <c r="C4683" t="str">
        <f t="shared" si="599"/>
        <v>NL</v>
      </c>
      <c r="D4683">
        <v>195</v>
      </c>
      <c r="E4683">
        <v>80</v>
      </c>
      <c r="F4683" s="366">
        <f t="shared" si="600"/>
        <v>1736</v>
      </c>
      <c r="G4683" s="97">
        <v>1434</v>
      </c>
      <c r="H4683" s="367">
        <f t="shared" si="601"/>
        <v>3170</v>
      </c>
      <c r="I4683" s="368">
        <f t="shared" si="602"/>
        <v>0</v>
      </c>
      <c r="J4683">
        <v>3620</v>
      </c>
      <c r="K4683" s="367">
        <f t="shared" si="603"/>
        <v>2585.7142857142858</v>
      </c>
      <c r="L4683">
        <v>0.52</v>
      </c>
      <c r="M4683">
        <v>3.5</v>
      </c>
      <c r="N4683">
        <v>23</v>
      </c>
      <c r="O4683">
        <v>3</v>
      </c>
      <c r="P4683" t="s">
        <v>515</v>
      </c>
      <c r="Q4683" s="97" t="str">
        <f t="shared" si="604"/>
        <v/>
      </c>
      <c r="R4683" t="str">
        <f t="shared" si="605"/>
        <v/>
      </c>
    </row>
    <row r="4684" spans="3:18">
      <c r="C4684" t="str">
        <f t="shared" si="599"/>
        <v/>
      </c>
      <c r="D4684">
        <v>196</v>
      </c>
      <c r="E4684">
        <v>80</v>
      </c>
      <c r="F4684" s="366">
        <f t="shared" si="600"/>
        <v>1736</v>
      </c>
      <c r="G4684" s="97">
        <v>1540</v>
      </c>
      <c r="H4684" s="367">
        <f t="shared" si="601"/>
        <v>3276</v>
      </c>
      <c r="I4684" s="368">
        <f t="shared" si="602"/>
        <v>0</v>
      </c>
      <c r="J4684">
        <v>3887</v>
      </c>
      <c r="K4684" s="367">
        <f t="shared" si="603"/>
        <v>2776.4285714285716</v>
      </c>
      <c r="L4684">
        <v>0.27</v>
      </c>
      <c r="M4684">
        <v>4.5</v>
      </c>
      <c r="N4684">
        <v>20</v>
      </c>
      <c r="O4684">
        <v>4</v>
      </c>
      <c r="P4684" t="s">
        <v>515</v>
      </c>
      <c r="Q4684" s="97">
        <f t="shared" si="604"/>
        <v>196</v>
      </c>
      <c r="R4684" t="str">
        <f t="shared" si="605"/>
        <v/>
      </c>
    </row>
    <row r="4685" spans="3:18">
      <c r="C4685" t="str">
        <f t="shared" si="599"/>
        <v/>
      </c>
      <c r="D4685">
        <v>197</v>
      </c>
      <c r="E4685">
        <v>80</v>
      </c>
      <c r="F4685" s="366">
        <f t="shared" si="600"/>
        <v>1736</v>
      </c>
      <c r="G4685" s="97">
        <v>2099</v>
      </c>
      <c r="H4685" s="367">
        <f t="shared" si="601"/>
        <v>3835</v>
      </c>
      <c r="I4685" s="368">
        <f t="shared" si="602"/>
        <v>0</v>
      </c>
      <c r="J4685">
        <v>5298</v>
      </c>
      <c r="K4685" s="367">
        <f t="shared" si="603"/>
        <v>3784.2857142857142</v>
      </c>
      <c r="L4685">
        <v>0.82000000000000006</v>
      </c>
      <c r="M4685">
        <v>4.5</v>
      </c>
      <c r="N4685">
        <v>25</v>
      </c>
      <c r="O4685">
        <v>4</v>
      </c>
      <c r="P4685" t="s">
        <v>514</v>
      </c>
      <c r="Q4685" s="97" t="str">
        <f t="shared" si="604"/>
        <v/>
      </c>
      <c r="R4685" t="str">
        <f t="shared" si="605"/>
        <v/>
      </c>
    </row>
    <row r="4686" spans="3:18">
      <c r="C4686" t="str">
        <f t="shared" si="599"/>
        <v>NL</v>
      </c>
      <c r="D4686">
        <v>198</v>
      </c>
      <c r="E4686">
        <v>80</v>
      </c>
      <c r="F4686" s="366">
        <f t="shared" si="600"/>
        <v>1736</v>
      </c>
      <c r="G4686" s="97">
        <v>1870</v>
      </c>
      <c r="H4686" s="367">
        <f t="shared" si="601"/>
        <v>3606</v>
      </c>
      <c r="I4686" s="368">
        <f t="shared" si="602"/>
        <v>0</v>
      </c>
      <c r="J4686">
        <v>4719</v>
      </c>
      <c r="K4686" s="367">
        <f t="shared" si="603"/>
        <v>3370.7142857142858</v>
      </c>
      <c r="L4686">
        <v>0.17</v>
      </c>
      <c r="M4686">
        <v>5.5</v>
      </c>
      <c r="N4686">
        <v>19</v>
      </c>
      <c r="O4686">
        <v>5</v>
      </c>
      <c r="P4686" t="s">
        <v>515</v>
      </c>
      <c r="Q4686" s="97" t="str">
        <f t="shared" si="604"/>
        <v/>
      </c>
      <c r="R4686" t="str">
        <f t="shared" si="605"/>
        <v/>
      </c>
    </row>
    <row r="4687" spans="3:18">
      <c r="C4687" t="str">
        <f t="shared" si="599"/>
        <v>NL</v>
      </c>
      <c r="D4687">
        <v>199</v>
      </c>
      <c r="E4687">
        <v>80</v>
      </c>
      <c r="F4687" s="366">
        <f t="shared" si="600"/>
        <v>1736</v>
      </c>
      <c r="G4687" s="97">
        <v>2482</v>
      </c>
      <c r="H4687" s="367">
        <f t="shared" si="601"/>
        <v>4218</v>
      </c>
      <c r="I4687" s="368">
        <f t="shared" si="602"/>
        <v>0</v>
      </c>
      <c r="J4687">
        <v>6264</v>
      </c>
      <c r="K4687" s="367">
        <f t="shared" si="603"/>
        <v>4474.2857142857147</v>
      </c>
      <c r="L4687">
        <v>0.52</v>
      </c>
      <c r="M4687">
        <v>5.5</v>
      </c>
      <c r="N4687">
        <v>24</v>
      </c>
      <c r="O4687">
        <v>5</v>
      </c>
      <c r="P4687" t="s">
        <v>514</v>
      </c>
      <c r="Q4687" s="97" t="str">
        <f t="shared" si="604"/>
        <v/>
      </c>
      <c r="R4687" t="str">
        <f t="shared" si="605"/>
        <v/>
      </c>
    </row>
    <row r="4688" spans="3:18">
      <c r="C4688" t="str">
        <f t="shared" si="599"/>
        <v/>
      </c>
      <c r="D4688">
        <v>200</v>
      </c>
      <c r="E4688">
        <v>80</v>
      </c>
      <c r="F4688" s="366">
        <f t="shared" si="600"/>
        <v>1736</v>
      </c>
      <c r="G4688" s="97">
        <v>2341</v>
      </c>
      <c r="H4688" s="367">
        <f t="shared" si="601"/>
        <v>4077</v>
      </c>
      <c r="I4688" s="368">
        <f t="shared" si="602"/>
        <v>0</v>
      </c>
      <c r="J4688">
        <v>5908</v>
      </c>
      <c r="K4688" s="367">
        <f t="shared" si="603"/>
        <v>4220</v>
      </c>
      <c r="L4688">
        <v>0.37</v>
      </c>
      <c r="M4688">
        <v>6.6</v>
      </c>
      <c r="N4688">
        <v>23</v>
      </c>
      <c r="O4688">
        <v>6</v>
      </c>
      <c r="P4688" t="s">
        <v>514</v>
      </c>
      <c r="Q4688" s="97">
        <f t="shared" si="604"/>
        <v>200</v>
      </c>
      <c r="R4688" t="str">
        <f t="shared" si="605"/>
        <v/>
      </c>
    </row>
    <row r="4689" spans="3:18">
      <c r="C4689" t="str">
        <f t="shared" si="599"/>
        <v>NL</v>
      </c>
      <c r="D4689">
        <v>201</v>
      </c>
      <c r="E4689">
        <v>80</v>
      </c>
      <c r="F4689" s="366">
        <f t="shared" si="600"/>
        <v>1736</v>
      </c>
      <c r="G4689" s="97">
        <v>3222</v>
      </c>
      <c r="H4689" s="367">
        <f t="shared" si="601"/>
        <v>4958</v>
      </c>
      <c r="I4689" s="368">
        <f t="shared" si="602"/>
        <v>0</v>
      </c>
      <c r="J4689">
        <v>8133</v>
      </c>
      <c r="K4689" s="367">
        <f t="shared" si="603"/>
        <v>5809.2857142857147</v>
      </c>
      <c r="L4689">
        <v>0.28000000000000003</v>
      </c>
      <c r="M4689">
        <v>7.6</v>
      </c>
      <c r="N4689">
        <v>22</v>
      </c>
      <c r="O4689">
        <v>7</v>
      </c>
      <c r="P4689" t="s">
        <v>514</v>
      </c>
      <c r="Q4689" s="97" t="str">
        <f t="shared" si="604"/>
        <v/>
      </c>
      <c r="R4689" t="str">
        <f t="shared" si="605"/>
        <v/>
      </c>
    </row>
    <row r="4690" spans="3:18">
      <c r="C4690" t="str">
        <f t="shared" si="599"/>
        <v>NL</v>
      </c>
      <c r="D4690">
        <v>202</v>
      </c>
      <c r="E4690">
        <v>80</v>
      </c>
      <c r="F4690" s="366">
        <f t="shared" si="600"/>
        <v>1736</v>
      </c>
      <c r="G4690" s="97">
        <v>4187</v>
      </c>
      <c r="H4690" s="367">
        <f t="shared" si="601"/>
        <v>5923</v>
      </c>
      <c r="I4690" s="368">
        <f t="shared" si="602"/>
        <v>0</v>
      </c>
      <c r="J4690">
        <v>10569</v>
      </c>
      <c r="K4690" s="367">
        <f t="shared" si="603"/>
        <v>7549.2857142857147</v>
      </c>
      <c r="L4690">
        <v>0.92</v>
      </c>
      <c r="M4690">
        <v>7.6</v>
      </c>
      <c r="N4690">
        <v>27</v>
      </c>
      <c r="O4690">
        <v>7</v>
      </c>
      <c r="P4690" t="s">
        <v>513</v>
      </c>
      <c r="Q4690" s="97" t="str">
        <f t="shared" si="604"/>
        <v/>
      </c>
      <c r="R4690" t="str">
        <f t="shared" si="605"/>
        <v/>
      </c>
    </row>
    <row r="4691" spans="3:18">
      <c r="C4691" t="str">
        <f t="shared" si="599"/>
        <v/>
      </c>
      <c r="D4691">
        <v>203</v>
      </c>
      <c r="E4691">
        <v>80</v>
      </c>
      <c r="F4691" s="366">
        <f t="shared" si="600"/>
        <v>1736</v>
      </c>
      <c r="G4691" s="97">
        <v>2727</v>
      </c>
      <c r="H4691" s="367">
        <f t="shared" si="601"/>
        <v>4463</v>
      </c>
      <c r="I4691" s="368">
        <f t="shared" si="602"/>
        <v>0</v>
      </c>
      <c r="J4691">
        <v>6884</v>
      </c>
      <c r="K4691" s="367">
        <f t="shared" si="603"/>
        <v>4917.1428571428569</v>
      </c>
      <c r="L4691">
        <v>0.22</v>
      </c>
      <c r="M4691">
        <v>8.5</v>
      </c>
      <c r="N4691">
        <v>22</v>
      </c>
      <c r="O4691">
        <v>8</v>
      </c>
      <c r="P4691" t="s">
        <v>514</v>
      </c>
      <c r="Q4691" s="97">
        <f t="shared" si="604"/>
        <v>203</v>
      </c>
      <c r="R4691" t="str">
        <f t="shared" si="605"/>
        <v/>
      </c>
    </row>
    <row r="4692" spans="3:18">
      <c r="C4692" t="str">
        <f t="shared" si="599"/>
        <v/>
      </c>
      <c r="D4692">
        <v>204</v>
      </c>
      <c r="E4692">
        <v>80</v>
      </c>
      <c r="F4692" s="366">
        <f t="shared" si="600"/>
        <v>1736</v>
      </c>
      <c r="G4692" s="97">
        <v>3721</v>
      </c>
      <c r="H4692" s="367">
        <f t="shared" si="601"/>
        <v>5457</v>
      </c>
      <c r="I4692" s="368">
        <f t="shared" si="602"/>
        <v>0</v>
      </c>
      <c r="J4692">
        <v>9392</v>
      </c>
      <c r="K4692" s="367">
        <f t="shared" si="603"/>
        <v>6708.5714285714284</v>
      </c>
      <c r="L4692">
        <v>0.72</v>
      </c>
      <c r="M4692">
        <v>8.5</v>
      </c>
      <c r="N4692">
        <v>26</v>
      </c>
      <c r="O4692">
        <v>8</v>
      </c>
      <c r="P4692" t="s">
        <v>513</v>
      </c>
      <c r="Q4692" s="97" t="str">
        <f t="shared" si="604"/>
        <v/>
      </c>
      <c r="R4692" t="str">
        <f t="shared" si="605"/>
        <v/>
      </c>
    </row>
    <row r="4693" spans="3:18">
      <c r="C4693" t="str">
        <f t="shared" si="599"/>
        <v>NL</v>
      </c>
      <c r="D4693">
        <v>205</v>
      </c>
      <c r="E4693">
        <v>80</v>
      </c>
      <c r="F4693" s="366">
        <f t="shared" si="600"/>
        <v>1736</v>
      </c>
      <c r="G4693" s="97">
        <v>3779</v>
      </c>
      <c r="H4693" s="367">
        <f t="shared" si="601"/>
        <v>5515</v>
      </c>
      <c r="I4693" s="368">
        <f t="shared" si="602"/>
        <v>0</v>
      </c>
      <c r="J4693">
        <v>9538</v>
      </c>
      <c r="K4693" s="367">
        <f t="shared" si="603"/>
        <v>6812.8571428571431</v>
      </c>
      <c r="L4693">
        <v>0.19</v>
      </c>
      <c r="M4693">
        <v>9.6</v>
      </c>
      <c r="N4693">
        <v>22</v>
      </c>
      <c r="O4693">
        <v>9</v>
      </c>
      <c r="P4693" t="s">
        <v>514</v>
      </c>
      <c r="Q4693" s="97" t="str">
        <f t="shared" si="604"/>
        <v/>
      </c>
      <c r="R4693" t="str">
        <f t="shared" si="605"/>
        <v/>
      </c>
    </row>
    <row r="4694" spans="3:18">
      <c r="C4694" t="str">
        <f t="shared" si="599"/>
        <v>NL</v>
      </c>
      <c r="D4694">
        <v>206</v>
      </c>
      <c r="E4694">
        <v>80</v>
      </c>
      <c r="F4694" s="366">
        <f t="shared" si="600"/>
        <v>1736</v>
      </c>
      <c r="G4694" s="97">
        <v>4996</v>
      </c>
      <c r="H4694" s="367">
        <f t="shared" si="601"/>
        <v>6732</v>
      </c>
      <c r="I4694" s="368">
        <f t="shared" si="602"/>
        <v>0</v>
      </c>
      <c r="J4694">
        <v>12611</v>
      </c>
      <c r="K4694" s="367">
        <f t="shared" si="603"/>
        <v>9007.8571428571431</v>
      </c>
      <c r="L4694">
        <v>0.57999999999999996</v>
      </c>
      <c r="M4694">
        <v>9.6</v>
      </c>
      <c r="N4694">
        <v>26</v>
      </c>
      <c r="O4694">
        <v>9</v>
      </c>
      <c r="P4694" t="s">
        <v>513</v>
      </c>
      <c r="Q4694" s="97" t="str">
        <f t="shared" si="604"/>
        <v/>
      </c>
      <c r="R4694" t="str">
        <f t="shared" si="605"/>
        <v/>
      </c>
    </row>
    <row r="4695" spans="3:18">
      <c r="C4695" t="str">
        <f t="shared" si="599"/>
        <v/>
      </c>
      <c r="D4695">
        <v>207</v>
      </c>
      <c r="E4695">
        <v>80</v>
      </c>
      <c r="F4695" s="366">
        <f t="shared" si="600"/>
        <v>1736</v>
      </c>
      <c r="G4695" s="97">
        <v>5269</v>
      </c>
      <c r="H4695" s="367">
        <f t="shared" si="601"/>
        <v>7005</v>
      </c>
      <c r="I4695" s="368">
        <f t="shared" si="602"/>
        <v>0</v>
      </c>
      <c r="J4695">
        <v>13299</v>
      </c>
      <c r="K4695" s="367">
        <f t="shared" si="603"/>
        <v>9499.2857142857138</v>
      </c>
      <c r="L4695">
        <v>0.48</v>
      </c>
      <c r="M4695">
        <v>1.4000000000000001</v>
      </c>
      <c r="N4695">
        <v>26</v>
      </c>
      <c r="O4695">
        <v>10</v>
      </c>
      <c r="P4695" t="s">
        <v>513</v>
      </c>
      <c r="Q4695" s="97" t="str">
        <f t="shared" si="604"/>
        <v/>
      </c>
      <c r="R4695" t="str">
        <f t="shared" si="605"/>
        <v/>
      </c>
    </row>
    <row r="4696" spans="3:18">
      <c r="C4696" t="str">
        <f t="shared" si="599"/>
        <v/>
      </c>
      <c r="D4696">
        <v>208</v>
      </c>
      <c r="E4696">
        <v>80</v>
      </c>
      <c r="F4696" s="366">
        <f t="shared" si="600"/>
        <v>1736</v>
      </c>
      <c r="G4696" s="97">
        <v>5632</v>
      </c>
      <c r="H4696" s="367">
        <f t="shared" si="601"/>
        <v>7368</v>
      </c>
      <c r="I4696" s="368">
        <f t="shared" si="602"/>
        <v>0</v>
      </c>
      <c r="J4696">
        <v>14215</v>
      </c>
      <c r="K4696" s="367">
        <f t="shared" si="603"/>
        <v>10153.571428571429</v>
      </c>
      <c r="L4696">
        <v>1.1300000000000001</v>
      </c>
      <c r="M4696">
        <v>1.4000000000000001</v>
      </c>
      <c r="N4696">
        <v>31</v>
      </c>
      <c r="O4696">
        <v>10</v>
      </c>
      <c r="P4696" t="s">
        <v>512</v>
      </c>
      <c r="Q4696" s="97" t="str">
        <f t="shared" si="604"/>
        <v/>
      </c>
      <c r="R4696" t="str">
        <f t="shared" si="605"/>
        <v/>
      </c>
    </row>
    <row r="4697" spans="3:18">
      <c r="C4697" t="str">
        <f t="shared" si="599"/>
        <v/>
      </c>
      <c r="D4697">
        <v>209</v>
      </c>
      <c r="E4697">
        <v>80</v>
      </c>
      <c r="F4697" s="366">
        <f t="shared" si="600"/>
        <v>1736</v>
      </c>
      <c r="G4697" s="97">
        <v>5632</v>
      </c>
      <c r="H4697" s="367">
        <f t="shared" si="601"/>
        <v>7368</v>
      </c>
      <c r="I4697" s="368">
        <f t="shared" si="602"/>
        <v>0</v>
      </c>
      <c r="J4697">
        <v>14215</v>
      </c>
      <c r="K4697" s="367">
        <f t="shared" si="603"/>
        <v>10153.571428571429</v>
      </c>
      <c r="L4697">
        <v>1.1300000000000001</v>
      </c>
      <c r="M4697">
        <v>1.4000000000000001</v>
      </c>
      <c r="N4697">
        <v>31</v>
      </c>
      <c r="O4697">
        <v>10</v>
      </c>
      <c r="P4697" t="s">
        <v>512</v>
      </c>
      <c r="Q4697" s="97" t="str">
        <f t="shared" si="604"/>
        <v/>
      </c>
      <c r="R4697" t="str">
        <f t="shared" si="605"/>
        <v/>
      </c>
    </row>
    <row r="4698" spans="3:18">
      <c r="C4698" t="str">
        <f t="shared" si="599"/>
        <v>NL</v>
      </c>
      <c r="D4698">
        <v>210</v>
      </c>
      <c r="E4698">
        <v>85</v>
      </c>
      <c r="F4698" s="366">
        <f t="shared" si="600"/>
        <v>1844.5</v>
      </c>
      <c r="G4698" s="97">
        <v>1499</v>
      </c>
      <c r="H4698" s="367">
        <f t="shared" si="601"/>
        <v>3343.5</v>
      </c>
      <c r="I4698" s="368">
        <f t="shared" si="602"/>
        <v>0</v>
      </c>
      <c r="J4698">
        <v>3784</v>
      </c>
      <c r="K4698" s="367">
        <f t="shared" si="603"/>
        <v>2702.8571428571431</v>
      </c>
      <c r="L4698">
        <v>0.59</v>
      </c>
      <c r="M4698">
        <v>3.5</v>
      </c>
      <c r="N4698">
        <v>24</v>
      </c>
      <c r="O4698">
        <v>3</v>
      </c>
      <c r="P4698" t="s">
        <v>515</v>
      </c>
      <c r="Q4698" s="97" t="str">
        <f t="shared" si="604"/>
        <v/>
      </c>
      <c r="R4698" t="str">
        <f t="shared" si="605"/>
        <v/>
      </c>
    </row>
    <row r="4699" spans="3:18">
      <c r="C4699" t="str">
        <f t="shared" si="599"/>
        <v/>
      </c>
      <c r="D4699">
        <v>211</v>
      </c>
      <c r="E4699">
        <v>85</v>
      </c>
      <c r="F4699" s="366">
        <f t="shared" si="600"/>
        <v>1844.5</v>
      </c>
      <c r="G4699" s="97">
        <v>1612</v>
      </c>
      <c r="H4699" s="367">
        <f t="shared" si="601"/>
        <v>3456.5</v>
      </c>
      <c r="I4699" s="368">
        <f t="shared" si="602"/>
        <v>0</v>
      </c>
      <c r="J4699">
        <v>4068</v>
      </c>
      <c r="K4699" s="367">
        <f t="shared" si="603"/>
        <v>2905.7142857142858</v>
      </c>
      <c r="L4699">
        <v>0.3</v>
      </c>
      <c r="M4699">
        <v>4.5</v>
      </c>
      <c r="N4699">
        <v>21</v>
      </c>
      <c r="O4699">
        <v>4</v>
      </c>
      <c r="P4699" t="s">
        <v>515</v>
      </c>
      <c r="Q4699" s="97">
        <f t="shared" si="604"/>
        <v>211</v>
      </c>
      <c r="R4699" t="str">
        <f t="shared" si="605"/>
        <v/>
      </c>
    </row>
    <row r="4700" spans="3:18">
      <c r="C4700" t="str">
        <f t="shared" si="599"/>
        <v/>
      </c>
      <c r="D4700">
        <v>212</v>
      </c>
      <c r="E4700">
        <v>85</v>
      </c>
      <c r="F4700" s="366">
        <f t="shared" si="600"/>
        <v>1844.5</v>
      </c>
      <c r="G4700" s="97">
        <v>2191</v>
      </c>
      <c r="H4700" s="367">
        <f t="shared" si="601"/>
        <v>4035.5</v>
      </c>
      <c r="I4700" s="368">
        <f t="shared" si="602"/>
        <v>0</v>
      </c>
      <c r="J4700">
        <v>5531</v>
      </c>
      <c r="K4700" s="367">
        <f t="shared" si="603"/>
        <v>3950.7142857142858</v>
      </c>
      <c r="L4700">
        <v>0.93</v>
      </c>
      <c r="M4700">
        <v>4.5</v>
      </c>
      <c r="N4700">
        <v>26</v>
      </c>
      <c r="O4700">
        <v>4</v>
      </c>
      <c r="P4700" t="s">
        <v>514</v>
      </c>
      <c r="Q4700" s="97" t="str">
        <f t="shared" si="604"/>
        <v/>
      </c>
      <c r="R4700" t="str">
        <f t="shared" si="605"/>
        <v/>
      </c>
    </row>
    <row r="4701" spans="3:18">
      <c r="C4701" t="str">
        <f t="shared" si="599"/>
        <v>NL</v>
      </c>
      <c r="D4701">
        <v>213</v>
      </c>
      <c r="E4701">
        <v>85</v>
      </c>
      <c r="F4701" s="366">
        <f t="shared" si="600"/>
        <v>1844.5</v>
      </c>
      <c r="G4701" s="97">
        <v>1954</v>
      </c>
      <c r="H4701" s="367">
        <f t="shared" si="601"/>
        <v>3798.5</v>
      </c>
      <c r="I4701" s="368">
        <f t="shared" si="602"/>
        <v>0</v>
      </c>
      <c r="J4701">
        <v>4934</v>
      </c>
      <c r="K4701" s="367">
        <f t="shared" si="603"/>
        <v>3524.2857142857142</v>
      </c>
      <c r="L4701">
        <v>0.19</v>
      </c>
      <c r="M4701">
        <v>5.5</v>
      </c>
      <c r="N4701">
        <v>19</v>
      </c>
      <c r="O4701">
        <v>5</v>
      </c>
      <c r="P4701" t="s">
        <v>515</v>
      </c>
      <c r="Q4701" s="97" t="str">
        <f t="shared" si="604"/>
        <v/>
      </c>
      <c r="R4701" t="str">
        <f t="shared" si="605"/>
        <v/>
      </c>
    </row>
    <row r="4702" spans="3:18">
      <c r="C4702" t="str">
        <f t="shared" si="599"/>
        <v>NL</v>
      </c>
      <c r="D4702">
        <v>214</v>
      </c>
      <c r="E4702">
        <v>85</v>
      </c>
      <c r="F4702" s="366">
        <f t="shared" si="600"/>
        <v>1844.5</v>
      </c>
      <c r="G4702" s="97">
        <v>2587</v>
      </c>
      <c r="H4702" s="367">
        <f t="shared" si="601"/>
        <v>4431.5</v>
      </c>
      <c r="I4702" s="368">
        <f t="shared" si="602"/>
        <v>0</v>
      </c>
      <c r="J4702">
        <v>6531</v>
      </c>
      <c r="K4702" s="367">
        <f t="shared" si="603"/>
        <v>4665</v>
      </c>
      <c r="L4702">
        <v>0.59</v>
      </c>
      <c r="M4702">
        <v>5.5</v>
      </c>
      <c r="N4702">
        <v>24</v>
      </c>
      <c r="O4702">
        <v>5</v>
      </c>
      <c r="P4702" t="s">
        <v>514</v>
      </c>
      <c r="Q4702" s="97" t="str">
        <f t="shared" si="604"/>
        <v/>
      </c>
      <c r="R4702" t="str">
        <f t="shared" si="605"/>
        <v/>
      </c>
    </row>
    <row r="4703" spans="3:18">
      <c r="C4703" t="str">
        <f t="shared" si="599"/>
        <v/>
      </c>
      <c r="D4703">
        <v>215</v>
      </c>
      <c r="E4703">
        <v>85</v>
      </c>
      <c r="F4703" s="366">
        <f t="shared" si="600"/>
        <v>1844.5</v>
      </c>
      <c r="G4703" s="97">
        <v>2452</v>
      </c>
      <c r="H4703" s="367">
        <f t="shared" si="601"/>
        <v>4296.5</v>
      </c>
      <c r="I4703" s="368">
        <f t="shared" si="602"/>
        <v>0</v>
      </c>
      <c r="J4703">
        <v>6188</v>
      </c>
      <c r="K4703" s="367">
        <f t="shared" si="603"/>
        <v>4420</v>
      </c>
      <c r="L4703">
        <v>0.42</v>
      </c>
      <c r="M4703">
        <v>6.6</v>
      </c>
      <c r="N4703">
        <v>24</v>
      </c>
      <c r="O4703">
        <v>6</v>
      </c>
      <c r="P4703" t="s">
        <v>514</v>
      </c>
      <c r="Q4703" s="97">
        <f t="shared" si="604"/>
        <v>215</v>
      </c>
      <c r="R4703" t="str">
        <f t="shared" si="605"/>
        <v/>
      </c>
    </row>
    <row r="4704" spans="3:18">
      <c r="C4704" t="str">
        <f t="shared" si="599"/>
        <v>NL</v>
      </c>
      <c r="D4704">
        <v>216</v>
      </c>
      <c r="E4704">
        <v>85</v>
      </c>
      <c r="F4704" s="366">
        <f t="shared" si="600"/>
        <v>1844.5</v>
      </c>
      <c r="G4704" s="97">
        <v>3363</v>
      </c>
      <c r="H4704" s="367">
        <f t="shared" si="601"/>
        <v>5207.5</v>
      </c>
      <c r="I4704" s="368">
        <f t="shared" si="602"/>
        <v>0</v>
      </c>
      <c r="J4704">
        <v>8489</v>
      </c>
      <c r="K4704" s="367">
        <f t="shared" si="603"/>
        <v>6063.5714285714284</v>
      </c>
      <c r="L4704">
        <v>0.32</v>
      </c>
      <c r="M4704">
        <v>7.6</v>
      </c>
      <c r="N4704">
        <v>23</v>
      </c>
      <c r="O4704">
        <v>7</v>
      </c>
      <c r="P4704" t="s">
        <v>514</v>
      </c>
      <c r="Q4704" s="97" t="str">
        <f t="shared" si="604"/>
        <v/>
      </c>
      <c r="R4704" t="str">
        <f t="shared" si="605"/>
        <v/>
      </c>
    </row>
    <row r="4705" spans="3:18">
      <c r="C4705" t="str">
        <f t="shared" si="599"/>
        <v>NL</v>
      </c>
      <c r="D4705">
        <v>217</v>
      </c>
      <c r="E4705">
        <v>85</v>
      </c>
      <c r="F4705" s="366">
        <f t="shared" si="600"/>
        <v>1844.5</v>
      </c>
      <c r="G4705" s="97">
        <v>4354</v>
      </c>
      <c r="H4705" s="367">
        <f t="shared" si="601"/>
        <v>6198.5</v>
      </c>
      <c r="I4705" s="368">
        <f t="shared" si="602"/>
        <v>0</v>
      </c>
      <c r="J4705">
        <v>10989</v>
      </c>
      <c r="K4705" s="367">
        <f t="shared" si="603"/>
        <v>7849.2857142857147</v>
      </c>
      <c r="L4705">
        <v>1.04</v>
      </c>
      <c r="M4705">
        <v>7.6</v>
      </c>
      <c r="N4705">
        <v>28</v>
      </c>
      <c r="O4705">
        <v>7</v>
      </c>
      <c r="P4705" t="s">
        <v>513</v>
      </c>
      <c r="Q4705" s="97" t="str">
        <f t="shared" si="604"/>
        <v/>
      </c>
      <c r="R4705" t="str">
        <f t="shared" si="605"/>
        <v/>
      </c>
    </row>
    <row r="4706" spans="3:18">
      <c r="C4706" t="str">
        <f t="shared" si="599"/>
        <v/>
      </c>
      <c r="D4706">
        <v>218</v>
      </c>
      <c r="E4706">
        <v>85</v>
      </c>
      <c r="F4706" s="366">
        <f t="shared" si="600"/>
        <v>1844.5</v>
      </c>
      <c r="G4706" s="97">
        <v>2856</v>
      </c>
      <c r="H4706" s="367">
        <f t="shared" si="601"/>
        <v>4700.5</v>
      </c>
      <c r="I4706" s="368">
        <f t="shared" si="602"/>
        <v>0</v>
      </c>
      <c r="J4706">
        <v>7209</v>
      </c>
      <c r="K4706" s="367">
        <f t="shared" si="603"/>
        <v>5149.2857142857147</v>
      </c>
      <c r="L4706">
        <v>0.25</v>
      </c>
      <c r="M4706">
        <v>8.5</v>
      </c>
      <c r="N4706">
        <v>23</v>
      </c>
      <c r="O4706">
        <v>8</v>
      </c>
      <c r="P4706" t="s">
        <v>514</v>
      </c>
      <c r="Q4706" s="97">
        <f t="shared" si="604"/>
        <v>218</v>
      </c>
      <c r="R4706" t="str">
        <f t="shared" si="605"/>
        <v/>
      </c>
    </row>
    <row r="4707" spans="3:18">
      <c r="C4707" t="str">
        <f t="shared" si="599"/>
        <v/>
      </c>
      <c r="D4707">
        <v>219</v>
      </c>
      <c r="E4707">
        <v>85</v>
      </c>
      <c r="F4707" s="366">
        <f t="shared" si="600"/>
        <v>1844.5</v>
      </c>
      <c r="G4707" s="97">
        <v>3880</v>
      </c>
      <c r="H4707" s="367">
        <f t="shared" si="601"/>
        <v>5724.5</v>
      </c>
      <c r="I4707" s="368">
        <f t="shared" si="602"/>
        <v>0</v>
      </c>
      <c r="J4707">
        <v>9793</v>
      </c>
      <c r="K4707" s="367">
        <f t="shared" si="603"/>
        <v>6995</v>
      </c>
      <c r="L4707">
        <v>0.81</v>
      </c>
      <c r="M4707">
        <v>8.5</v>
      </c>
      <c r="N4707">
        <v>27</v>
      </c>
      <c r="O4707">
        <v>8</v>
      </c>
      <c r="P4707" t="s">
        <v>513</v>
      </c>
      <c r="Q4707" s="97" t="str">
        <f t="shared" si="604"/>
        <v/>
      </c>
      <c r="R4707" t="str">
        <f t="shared" si="605"/>
        <v/>
      </c>
    </row>
    <row r="4708" spans="3:18">
      <c r="C4708" t="str">
        <f t="shared" si="599"/>
        <v>NL</v>
      </c>
      <c r="D4708">
        <v>220</v>
      </c>
      <c r="E4708">
        <v>85</v>
      </c>
      <c r="F4708" s="366">
        <f t="shared" si="600"/>
        <v>1844.5</v>
      </c>
      <c r="G4708" s="97">
        <v>3953</v>
      </c>
      <c r="H4708" s="367">
        <f t="shared" si="601"/>
        <v>5797.5</v>
      </c>
      <c r="I4708" s="368">
        <f t="shared" si="602"/>
        <v>0</v>
      </c>
      <c r="J4708">
        <v>9976</v>
      </c>
      <c r="K4708" s="367">
        <f t="shared" si="603"/>
        <v>7125.7142857142862</v>
      </c>
      <c r="L4708">
        <v>0.21000000000000002</v>
      </c>
      <c r="M4708">
        <v>9.6</v>
      </c>
      <c r="N4708">
        <v>23</v>
      </c>
      <c r="O4708">
        <v>9</v>
      </c>
      <c r="P4708" t="s">
        <v>514</v>
      </c>
      <c r="Q4708" s="97" t="str">
        <f t="shared" si="604"/>
        <v/>
      </c>
      <c r="R4708" t="str">
        <f t="shared" si="605"/>
        <v/>
      </c>
    </row>
    <row r="4709" spans="3:18">
      <c r="C4709" t="str">
        <f t="shared" si="599"/>
        <v>NL</v>
      </c>
      <c r="D4709">
        <v>221</v>
      </c>
      <c r="E4709">
        <v>85</v>
      </c>
      <c r="F4709" s="366">
        <f t="shared" si="600"/>
        <v>1844.5</v>
      </c>
      <c r="G4709" s="97">
        <v>5196</v>
      </c>
      <c r="H4709" s="367">
        <f t="shared" si="601"/>
        <v>7040.5</v>
      </c>
      <c r="I4709" s="368">
        <f t="shared" si="602"/>
        <v>0</v>
      </c>
      <c r="J4709">
        <v>13114</v>
      </c>
      <c r="K4709" s="367">
        <f t="shared" si="603"/>
        <v>9367.1428571428569</v>
      </c>
      <c r="L4709">
        <v>0.66</v>
      </c>
      <c r="M4709">
        <v>9.6</v>
      </c>
      <c r="N4709">
        <v>27</v>
      </c>
      <c r="O4709">
        <v>9</v>
      </c>
      <c r="P4709" t="s">
        <v>513</v>
      </c>
      <c r="Q4709" s="97" t="str">
        <f t="shared" si="604"/>
        <v/>
      </c>
      <c r="R4709" t="str">
        <f t="shared" si="605"/>
        <v/>
      </c>
    </row>
    <row r="4710" spans="3:18">
      <c r="C4710" t="str">
        <f t="shared" si="599"/>
        <v/>
      </c>
      <c r="D4710">
        <v>222</v>
      </c>
      <c r="E4710">
        <v>85</v>
      </c>
      <c r="F4710" s="366">
        <f t="shared" si="600"/>
        <v>1844.5</v>
      </c>
      <c r="G4710" s="97">
        <v>4160</v>
      </c>
      <c r="H4710" s="367">
        <f t="shared" si="601"/>
        <v>6004.5</v>
      </c>
      <c r="I4710" s="368">
        <f t="shared" si="602"/>
        <v>0</v>
      </c>
      <c r="J4710">
        <v>10501</v>
      </c>
      <c r="K4710" s="367">
        <f t="shared" si="603"/>
        <v>7500.7142857142862</v>
      </c>
      <c r="L4710">
        <v>0.18000000000000002</v>
      </c>
      <c r="M4710">
        <v>1.4000000000000001</v>
      </c>
      <c r="N4710">
        <v>23</v>
      </c>
      <c r="O4710">
        <v>10</v>
      </c>
      <c r="P4710" t="s">
        <v>514</v>
      </c>
      <c r="Q4710" s="97" t="str">
        <f t="shared" si="604"/>
        <v/>
      </c>
      <c r="R4710" t="str">
        <f t="shared" si="605"/>
        <v/>
      </c>
    </row>
    <row r="4711" spans="3:18">
      <c r="C4711" t="str">
        <f t="shared" si="599"/>
        <v/>
      </c>
      <c r="D4711">
        <v>223</v>
      </c>
      <c r="E4711">
        <v>85</v>
      </c>
      <c r="F4711" s="366">
        <f t="shared" si="600"/>
        <v>1844.5</v>
      </c>
      <c r="G4711" s="97">
        <v>5496</v>
      </c>
      <c r="H4711" s="367">
        <f t="shared" si="601"/>
        <v>7340.5</v>
      </c>
      <c r="I4711" s="368">
        <f t="shared" si="602"/>
        <v>0</v>
      </c>
      <c r="J4711">
        <v>13872</v>
      </c>
      <c r="K4711" s="367">
        <f t="shared" si="603"/>
        <v>9908.5714285714294</v>
      </c>
      <c r="L4711">
        <v>0.55000000000000004</v>
      </c>
      <c r="M4711">
        <v>1.4000000000000001</v>
      </c>
      <c r="N4711">
        <v>27</v>
      </c>
      <c r="O4711">
        <v>10</v>
      </c>
      <c r="P4711" t="s">
        <v>513</v>
      </c>
      <c r="Q4711" s="97" t="str">
        <f t="shared" si="604"/>
        <v/>
      </c>
      <c r="R4711" t="str">
        <f t="shared" si="605"/>
        <v/>
      </c>
    </row>
    <row r="4712" spans="3:18">
      <c r="C4712" t="str">
        <f t="shared" si="599"/>
        <v>NL</v>
      </c>
      <c r="D4712">
        <v>224</v>
      </c>
      <c r="E4712">
        <v>90</v>
      </c>
      <c r="F4712" s="366">
        <f t="shared" si="600"/>
        <v>1953</v>
      </c>
      <c r="G4712" s="97">
        <v>1564</v>
      </c>
      <c r="H4712" s="367">
        <f t="shared" si="601"/>
        <v>3517</v>
      </c>
      <c r="I4712" s="368">
        <f t="shared" si="602"/>
        <v>0</v>
      </c>
      <c r="J4712">
        <v>3949</v>
      </c>
      <c r="K4712" s="367">
        <f t="shared" si="603"/>
        <v>2820.7142857142858</v>
      </c>
      <c r="L4712">
        <v>0.66</v>
      </c>
      <c r="M4712">
        <v>3.5</v>
      </c>
      <c r="N4712">
        <v>25</v>
      </c>
      <c r="O4712">
        <v>3</v>
      </c>
      <c r="P4712" t="s">
        <v>515</v>
      </c>
      <c r="Q4712" s="97" t="str">
        <f t="shared" si="604"/>
        <v/>
      </c>
      <c r="R4712" t="str">
        <f t="shared" si="605"/>
        <v/>
      </c>
    </row>
    <row r="4713" spans="3:18">
      <c r="C4713" t="str">
        <f t="shared" si="599"/>
        <v/>
      </c>
      <c r="D4713">
        <v>225</v>
      </c>
      <c r="E4713">
        <v>90</v>
      </c>
      <c r="F4713" s="366">
        <f t="shared" si="600"/>
        <v>1953</v>
      </c>
      <c r="G4713" s="97">
        <v>1683</v>
      </c>
      <c r="H4713" s="367">
        <f t="shared" si="601"/>
        <v>3636</v>
      </c>
      <c r="I4713" s="368">
        <f t="shared" si="602"/>
        <v>0</v>
      </c>
      <c r="J4713">
        <v>4249</v>
      </c>
      <c r="K4713" s="367">
        <f t="shared" si="603"/>
        <v>3035</v>
      </c>
      <c r="L4713">
        <v>0.34</v>
      </c>
      <c r="M4713">
        <v>4.5</v>
      </c>
      <c r="N4713">
        <v>21</v>
      </c>
      <c r="O4713">
        <v>4</v>
      </c>
      <c r="P4713" t="s">
        <v>515</v>
      </c>
      <c r="Q4713" s="97">
        <f t="shared" si="604"/>
        <v>225</v>
      </c>
      <c r="R4713" t="str">
        <f t="shared" si="605"/>
        <v/>
      </c>
    </row>
    <row r="4714" spans="3:18">
      <c r="C4714" t="str">
        <f t="shared" si="599"/>
        <v/>
      </c>
      <c r="D4714">
        <v>226</v>
      </c>
      <c r="E4714">
        <v>90</v>
      </c>
      <c r="F4714" s="366">
        <f t="shared" si="600"/>
        <v>1953</v>
      </c>
      <c r="G4714" s="97">
        <v>2276</v>
      </c>
      <c r="H4714" s="367">
        <f t="shared" si="601"/>
        <v>4229</v>
      </c>
      <c r="I4714" s="368">
        <f t="shared" si="602"/>
        <v>0</v>
      </c>
      <c r="J4714">
        <v>5745</v>
      </c>
      <c r="K4714" s="367">
        <f t="shared" si="603"/>
        <v>4103.5714285714284</v>
      </c>
      <c r="L4714">
        <v>1.04</v>
      </c>
      <c r="M4714">
        <v>4.5</v>
      </c>
      <c r="N4714">
        <v>26</v>
      </c>
      <c r="O4714">
        <v>4</v>
      </c>
      <c r="P4714" t="s">
        <v>514</v>
      </c>
      <c r="Q4714" s="97" t="str">
        <f t="shared" si="604"/>
        <v/>
      </c>
      <c r="R4714" t="str">
        <f t="shared" si="605"/>
        <v/>
      </c>
    </row>
    <row r="4715" spans="3:18">
      <c r="C4715" t="str">
        <f t="shared" si="599"/>
        <v>NL</v>
      </c>
      <c r="D4715">
        <v>227</v>
      </c>
      <c r="E4715">
        <v>90</v>
      </c>
      <c r="F4715" s="366">
        <f t="shared" si="600"/>
        <v>1953</v>
      </c>
      <c r="G4715" s="97">
        <v>2039</v>
      </c>
      <c r="H4715" s="367">
        <f t="shared" si="601"/>
        <v>3992</v>
      </c>
      <c r="I4715" s="368">
        <f t="shared" si="602"/>
        <v>0</v>
      </c>
      <c r="J4715">
        <v>5148</v>
      </c>
      <c r="K4715" s="367">
        <f t="shared" si="603"/>
        <v>3677.1428571428573</v>
      </c>
      <c r="L4715">
        <v>0.22</v>
      </c>
      <c r="M4715">
        <v>5.5</v>
      </c>
      <c r="N4715">
        <v>20</v>
      </c>
      <c r="O4715">
        <v>5</v>
      </c>
      <c r="P4715" t="s">
        <v>515</v>
      </c>
      <c r="Q4715" s="97" t="str">
        <f t="shared" si="604"/>
        <v/>
      </c>
      <c r="R4715" t="str">
        <f t="shared" si="605"/>
        <v/>
      </c>
    </row>
    <row r="4716" spans="3:18">
      <c r="C4716" t="str">
        <f t="shared" si="599"/>
        <v>NL</v>
      </c>
      <c r="D4716">
        <v>228</v>
      </c>
      <c r="E4716">
        <v>90</v>
      </c>
      <c r="F4716" s="366">
        <f t="shared" si="600"/>
        <v>1953</v>
      </c>
      <c r="G4716" s="97">
        <v>2693</v>
      </c>
      <c r="H4716" s="367">
        <f t="shared" si="601"/>
        <v>4646</v>
      </c>
      <c r="I4716" s="368">
        <f t="shared" si="602"/>
        <v>0</v>
      </c>
      <c r="J4716">
        <v>6797</v>
      </c>
      <c r="K4716" s="367">
        <f t="shared" si="603"/>
        <v>4855</v>
      </c>
      <c r="L4716">
        <v>0.66</v>
      </c>
      <c r="M4716">
        <v>5.5</v>
      </c>
      <c r="N4716">
        <v>25</v>
      </c>
      <c r="O4716">
        <v>5</v>
      </c>
      <c r="P4716" t="s">
        <v>514</v>
      </c>
      <c r="Q4716" s="97" t="str">
        <f t="shared" si="604"/>
        <v/>
      </c>
      <c r="R4716" t="str">
        <f t="shared" si="605"/>
        <v/>
      </c>
    </row>
    <row r="4717" spans="3:18">
      <c r="C4717" t="str">
        <f t="shared" si="599"/>
        <v/>
      </c>
      <c r="D4717">
        <v>229</v>
      </c>
      <c r="E4717">
        <v>90</v>
      </c>
      <c r="F4717" s="366">
        <f t="shared" si="600"/>
        <v>1953</v>
      </c>
      <c r="G4717" s="97">
        <v>1832</v>
      </c>
      <c r="H4717" s="367">
        <f t="shared" si="601"/>
        <v>3785</v>
      </c>
      <c r="I4717" s="368">
        <f t="shared" si="602"/>
        <v>0</v>
      </c>
      <c r="J4717">
        <v>4625</v>
      </c>
      <c r="K4717" s="367">
        <f t="shared" si="603"/>
        <v>3303.5714285714284</v>
      </c>
      <c r="L4717">
        <v>0.15000000000000002</v>
      </c>
      <c r="M4717">
        <v>6.6</v>
      </c>
      <c r="N4717">
        <v>20</v>
      </c>
      <c r="O4717">
        <v>6</v>
      </c>
      <c r="P4717" t="s">
        <v>515</v>
      </c>
      <c r="Q4717" s="97">
        <f t="shared" si="604"/>
        <v>229</v>
      </c>
      <c r="R4717" t="str">
        <f t="shared" si="605"/>
        <v/>
      </c>
    </row>
    <row r="4718" spans="3:18">
      <c r="C4718" t="str">
        <f t="shared" si="599"/>
        <v/>
      </c>
      <c r="D4718">
        <v>230</v>
      </c>
      <c r="E4718">
        <v>90</v>
      </c>
      <c r="F4718" s="366">
        <f t="shared" si="600"/>
        <v>1953</v>
      </c>
      <c r="G4718" s="97">
        <v>2551</v>
      </c>
      <c r="H4718" s="367">
        <f t="shared" si="601"/>
        <v>4504</v>
      </c>
      <c r="I4718" s="368">
        <f t="shared" si="602"/>
        <v>0</v>
      </c>
      <c r="J4718">
        <v>6439</v>
      </c>
      <c r="K4718" s="367">
        <f t="shared" si="603"/>
        <v>4599.2857142857147</v>
      </c>
      <c r="L4718">
        <v>0.47000000000000003</v>
      </c>
      <c r="M4718">
        <v>6.6</v>
      </c>
      <c r="N4718">
        <v>24</v>
      </c>
      <c r="O4718">
        <v>6</v>
      </c>
      <c r="P4718" t="s">
        <v>514</v>
      </c>
      <c r="Q4718" s="97">
        <f t="shared" si="604"/>
        <v>230</v>
      </c>
      <c r="R4718" t="str">
        <f t="shared" si="605"/>
        <v/>
      </c>
    </row>
    <row r="4719" spans="3:18">
      <c r="C4719" t="str">
        <f t="shared" si="599"/>
        <v>NL</v>
      </c>
      <c r="D4719">
        <v>231</v>
      </c>
      <c r="E4719">
        <v>90</v>
      </c>
      <c r="F4719" s="366">
        <f t="shared" si="600"/>
        <v>1953</v>
      </c>
      <c r="G4719" s="97">
        <v>3504</v>
      </c>
      <c r="H4719" s="367">
        <f t="shared" si="601"/>
        <v>5457</v>
      </c>
      <c r="I4719" s="368">
        <f t="shared" si="602"/>
        <v>0</v>
      </c>
      <c r="J4719">
        <v>8845</v>
      </c>
      <c r="K4719" s="367">
        <f t="shared" si="603"/>
        <v>6317.8571428571431</v>
      </c>
      <c r="L4719">
        <v>0.35000000000000003</v>
      </c>
      <c r="M4719">
        <v>7.6</v>
      </c>
      <c r="N4719">
        <v>24</v>
      </c>
      <c r="O4719">
        <v>7</v>
      </c>
      <c r="P4719" t="s">
        <v>514</v>
      </c>
      <c r="Q4719" s="97" t="str">
        <f t="shared" si="604"/>
        <v/>
      </c>
      <c r="R4719" t="str">
        <f t="shared" si="605"/>
        <v/>
      </c>
    </row>
    <row r="4720" spans="3:18">
      <c r="C4720" t="str">
        <f t="shared" si="599"/>
        <v/>
      </c>
      <c r="D4720">
        <v>232</v>
      </c>
      <c r="E4720">
        <v>90</v>
      </c>
      <c r="F4720" s="366">
        <f t="shared" si="600"/>
        <v>1953</v>
      </c>
      <c r="G4720" s="97">
        <v>2976</v>
      </c>
      <c r="H4720" s="367">
        <f t="shared" si="601"/>
        <v>4929</v>
      </c>
      <c r="I4720" s="368">
        <f t="shared" si="602"/>
        <v>0</v>
      </c>
      <c r="J4720">
        <v>7511</v>
      </c>
      <c r="K4720" s="367">
        <f t="shared" si="603"/>
        <v>5365</v>
      </c>
      <c r="L4720">
        <v>0.28000000000000003</v>
      </c>
      <c r="M4720">
        <v>8.5</v>
      </c>
      <c r="N4720">
        <v>24</v>
      </c>
      <c r="O4720">
        <v>8</v>
      </c>
      <c r="P4720" t="s">
        <v>514</v>
      </c>
      <c r="Q4720" s="97">
        <f t="shared" si="604"/>
        <v>232</v>
      </c>
      <c r="R4720" t="str">
        <f t="shared" si="605"/>
        <v/>
      </c>
    </row>
    <row r="4721" spans="3:18">
      <c r="C4721" t="str">
        <f t="shared" si="599"/>
        <v/>
      </c>
      <c r="D4721">
        <v>233</v>
      </c>
      <c r="E4721">
        <v>90</v>
      </c>
      <c r="F4721" s="366">
        <f t="shared" si="600"/>
        <v>1953</v>
      </c>
      <c r="G4721" s="97">
        <v>4039</v>
      </c>
      <c r="H4721" s="367">
        <f t="shared" si="601"/>
        <v>5992</v>
      </c>
      <c r="I4721" s="368">
        <f t="shared" si="602"/>
        <v>0</v>
      </c>
      <c r="J4721">
        <v>10194</v>
      </c>
      <c r="K4721" s="367">
        <f t="shared" si="603"/>
        <v>7281.4285714285716</v>
      </c>
      <c r="L4721">
        <v>0.91</v>
      </c>
      <c r="M4721">
        <v>8.5</v>
      </c>
      <c r="N4721">
        <v>28</v>
      </c>
      <c r="O4721">
        <v>8</v>
      </c>
      <c r="P4721" t="s">
        <v>513</v>
      </c>
      <c r="Q4721" s="97" t="str">
        <f t="shared" si="604"/>
        <v/>
      </c>
      <c r="R4721" t="str">
        <f t="shared" si="605"/>
        <v/>
      </c>
    </row>
    <row r="4722" spans="3:18">
      <c r="C4722" t="str">
        <f t="shared" si="599"/>
        <v>NL</v>
      </c>
      <c r="D4722">
        <v>234</v>
      </c>
      <c r="E4722">
        <v>90</v>
      </c>
      <c r="F4722" s="366">
        <f t="shared" si="600"/>
        <v>1953</v>
      </c>
      <c r="G4722" s="97">
        <v>4126</v>
      </c>
      <c r="H4722" s="367">
        <f t="shared" si="601"/>
        <v>6079</v>
      </c>
      <c r="I4722" s="368">
        <f t="shared" si="602"/>
        <v>0</v>
      </c>
      <c r="J4722">
        <v>10415</v>
      </c>
      <c r="K4722" s="367">
        <f t="shared" si="603"/>
        <v>7439.2857142857147</v>
      </c>
      <c r="L4722">
        <v>0.23</v>
      </c>
      <c r="M4722">
        <v>9.6</v>
      </c>
      <c r="N4722">
        <v>24</v>
      </c>
      <c r="O4722">
        <v>9</v>
      </c>
      <c r="P4722" t="s">
        <v>514</v>
      </c>
      <c r="Q4722" s="97" t="str">
        <f t="shared" si="604"/>
        <v/>
      </c>
      <c r="R4722" t="str">
        <f t="shared" si="605"/>
        <v/>
      </c>
    </row>
    <row r="4723" spans="3:18">
      <c r="C4723" t="str">
        <f t="shared" si="599"/>
        <v>NL</v>
      </c>
      <c r="D4723">
        <v>235</v>
      </c>
      <c r="E4723">
        <v>90</v>
      </c>
      <c r="F4723" s="366">
        <f t="shared" si="600"/>
        <v>1953</v>
      </c>
      <c r="G4723" s="97">
        <v>5396</v>
      </c>
      <c r="H4723" s="367">
        <f t="shared" si="601"/>
        <v>7349</v>
      </c>
      <c r="I4723" s="368">
        <f t="shared" si="602"/>
        <v>0</v>
      </c>
      <c r="J4723">
        <v>13618</v>
      </c>
      <c r="K4723" s="367">
        <f t="shared" si="603"/>
        <v>9727.1428571428569</v>
      </c>
      <c r="L4723">
        <v>0.74</v>
      </c>
      <c r="M4723">
        <v>9.6</v>
      </c>
      <c r="N4723">
        <v>28</v>
      </c>
      <c r="O4723">
        <v>9</v>
      </c>
      <c r="P4723" t="s">
        <v>513</v>
      </c>
      <c r="Q4723" s="97" t="str">
        <f t="shared" si="604"/>
        <v/>
      </c>
      <c r="R4723" t="str">
        <f t="shared" si="605"/>
        <v/>
      </c>
    </row>
    <row r="4724" spans="3:18">
      <c r="C4724" t="str">
        <f t="shared" si="599"/>
        <v/>
      </c>
      <c r="D4724">
        <v>236</v>
      </c>
      <c r="E4724">
        <v>90</v>
      </c>
      <c r="F4724" s="366">
        <f t="shared" si="600"/>
        <v>1953</v>
      </c>
      <c r="G4724" s="97">
        <v>4337</v>
      </c>
      <c r="H4724" s="367">
        <f t="shared" si="601"/>
        <v>6290</v>
      </c>
      <c r="I4724" s="368">
        <f t="shared" si="602"/>
        <v>0</v>
      </c>
      <c r="J4724">
        <v>10946</v>
      </c>
      <c r="K4724" s="367">
        <f t="shared" si="603"/>
        <v>7818.5714285714284</v>
      </c>
      <c r="L4724">
        <v>0.2</v>
      </c>
      <c r="M4724">
        <v>1.4000000000000001</v>
      </c>
      <c r="N4724">
        <v>24</v>
      </c>
      <c r="O4724">
        <v>10</v>
      </c>
      <c r="P4724" t="s">
        <v>514</v>
      </c>
      <c r="Q4724" s="97" t="str">
        <f t="shared" si="604"/>
        <v/>
      </c>
      <c r="R4724" t="str">
        <f t="shared" si="605"/>
        <v/>
      </c>
    </row>
    <row r="4725" spans="3:18">
      <c r="C4725" t="str">
        <f t="shared" si="599"/>
        <v/>
      </c>
      <c r="D4725">
        <v>237</v>
      </c>
      <c r="E4725">
        <v>90</v>
      </c>
      <c r="F4725" s="366">
        <f t="shared" si="600"/>
        <v>1953</v>
      </c>
      <c r="G4725" s="97">
        <v>5718</v>
      </c>
      <c r="H4725" s="367">
        <f t="shared" si="601"/>
        <v>7671</v>
      </c>
      <c r="I4725" s="368">
        <f t="shared" si="602"/>
        <v>0</v>
      </c>
      <c r="J4725">
        <v>14432</v>
      </c>
      <c r="K4725" s="367">
        <f t="shared" si="603"/>
        <v>10308.571428571429</v>
      </c>
      <c r="L4725">
        <v>0.61</v>
      </c>
      <c r="M4725">
        <v>1.4000000000000001</v>
      </c>
      <c r="N4725">
        <v>27</v>
      </c>
      <c r="O4725">
        <v>10</v>
      </c>
      <c r="P4725" t="s">
        <v>513</v>
      </c>
      <c r="Q4725" s="97" t="str">
        <f t="shared" si="604"/>
        <v/>
      </c>
      <c r="R4725" t="str">
        <f t="shared" si="605"/>
        <v/>
      </c>
    </row>
    <row r="4726" spans="3:18">
      <c r="C4726" t="str">
        <f t="shared" si="599"/>
        <v>NL</v>
      </c>
      <c r="D4726">
        <v>238</v>
      </c>
      <c r="E4726">
        <v>95</v>
      </c>
      <c r="F4726" s="366">
        <f t="shared" si="600"/>
        <v>2061.5</v>
      </c>
      <c r="G4726" s="97">
        <v>1628</v>
      </c>
      <c r="H4726" s="367">
        <f t="shared" si="601"/>
        <v>3689.5</v>
      </c>
      <c r="I4726" s="368">
        <f t="shared" si="602"/>
        <v>0</v>
      </c>
      <c r="J4726">
        <v>4109</v>
      </c>
      <c r="K4726" s="367">
        <f t="shared" si="603"/>
        <v>2935</v>
      </c>
      <c r="L4726">
        <v>0.74</v>
      </c>
      <c r="M4726">
        <v>3.5</v>
      </c>
      <c r="N4726">
        <v>26</v>
      </c>
      <c r="O4726">
        <v>3</v>
      </c>
      <c r="P4726" t="s">
        <v>515</v>
      </c>
      <c r="Q4726" s="97" t="str">
        <f t="shared" si="604"/>
        <v/>
      </c>
      <c r="R4726" t="str">
        <f t="shared" si="605"/>
        <v/>
      </c>
    </row>
    <row r="4727" spans="3:18">
      <c r="C4727" t="str">
        <f t="shared" si="599"/>
        <v/>
      </c>
      <c r="D4727">
        <v>239</v>
      </c>
      <c r="E4727">
        <v>95</v>
      </c>
      <c r="F4727" s="366">
        <f t="shared" si="600"/>
        <v>2061.5</v>
      </c>
      <c r="G4727" s="97">
        <v>1755</v>
      </c>
      <c r="H4727" s="367">
        <f t="shared" si="601"/>
        <v>3816.5</v>
      </c>
      <c r="I4727" s="368">
        <f t="shared" si="602"/>
        <v>0</v>
      </c>
      <c r="J4727">
        <v>4430</v>
      </c>
      <c r="K4727" s="367">
        <f t="shared" si="603"/>
        <v>3164.2857142857142</v>
      </c>
      <c r="L4727">
        <v>0.37</v>
      </c>
      <c r="M4727">
        <v>4.5</v>
      </c>
      <c r="N4727">
        <v>22</v>
      </c>
      <c r="O4727">
        <v>4</v>
      </c>
      <c r="P4727" t="s">
        <v>515</v>
      </c>
      <c r="Q4727" s="97">
        <f t="shared" si="604"/>
        <v>239</v>
      </c>
      <c r="R4727" t="str">
        <f t="shared" si="605"/>
        <v/>
      </c>
    </row>
    <row r="4728" spans="3:18">
      <c r="C4728" t="str">
        <f t="shared" ref="C4728:C4791" si="606">IF(OR($O$4=0,O4728-$O$4=0),IF(AND(ISEVEN(O4728)=FALSE,$N$4="Even"),"NL",""),"NL")</f>
        <v>NL</v>
      </c>
      <c r="D4728">
        <v>240</v>
      </c>
      <c r="E4728">
        <v>95</v>
      </c>
      <c r="F4728" s="366">
        <f t="shared" si="600"/>
        <v>2061.5</v>
      </c>
      <c r="G4728" s="97">
        <v>2124</v>
      </c>
      <c r="H4728" s="367">
        <f t="shared" si="601"/>
        <v>4185.5</v>
      </c>
      <c r="I4728" s="368">
        <f t="shared" si="602"/>
        <v>0</v>
      </c>
      <c r="J4728">
        <v>5362</v>
      </c>
      <c r="K4728" s="367">
        <f t="shared" si="603"/>
        <v>3830</v>
      </c>
      <c r="L4728">
        <v>0.24000000000000002</v>
      </c>
      <c r="M4728">
        <v>5.5</v>
      </c>
      <c r="N4728">
        <v>21</v>
      </c>
      <c r="O4728">
        <v>5</v>
      </c>
      <c r="P4728" t="s">
        <v>515</v>
      </c>
      <c r="Q4728" s="97" t="str">
        <f t="shared" si="604"/>
        <v/>
      </c>
      <c r="R4728" t="str">
        <f t="shared" si="605"/>
        <v/>
      </c>
    </row>
    <row r="4729" spans="3:18">
      <c r="C4729" t="str">
        <f t="shared" si="606"/>
        <v>NL</v>
      </c>
      <c r="D4729">
        <v>241</v>
      </c>
      <c r="E4729">
        <v>95</v>
      </c>
      <c r="F4729" s="366">
        <f t="shared" si="600"/>
        <v>2061.5</v>
      </c>
      <c r="G4729" s="97">
        <v>2796</v>
      </c>
      <c r="H4729" s="367">
        <f t="shared" si="601"/>
        <v>4857.5</v>
      </c>
      <c r="I4729" s="368">
        <f t="shared" si="602"/>
        <v>0</v>
      </c>
      <c r="J4729">
        <v>7057</v>
      </c>
      <c r="K4729" s="367">
        <f t="shared" si="603"/>
        <v>5040.7142857142862</v>
      </c>
      <c r="L4729">
        <v>0.74</v>
      </c>
      <c r="M4729">
        <v>5.5</v>
      </c>
      <c r="N4729">
        <v>26</v>
      </c>
      <c r="O4729">
        <v>5</v>
      </c>
      <c r="P4729" t="s">
        <v>514</v>
      </c>
      <c r="Q4729" s="97" t="str">
        <f t="shared" si="604"/>
        <v/>
      </c>
      <c r="R4729" t="str">
        <f t="shared" si="605"/>
        <v/>
      </c>
    </row>
    <row r="4730" spans="3:18">
      <c r="C4730" t="str">
        <f t="shared" si="606"/>
        <v/>
      </c>
      <c r="D4730">
        <v>242</v>
      </c>
      <c r="E4730">
        <v>95</v>
      </c>
      <c r="F4730" s="366">
        <f t="shared" si="600"/>
        <v>2061.5</v>
      </c>
      <c r="G4730" s="97">
        <v>1914</v>
      </c>
      <c r="H4730" s="367">
        <f t="shared" si="601"/>
        <v>3975.5</v>
      </c>
      <c r="I4730" s="368">
        <f t="shared" si="602"/>
        <v>0</v>
      </c>
      <c r="J4730">
        <v>4831</v>
      </c>
      <c r="K4730" s="367">
        <f t="shared" si="603"/>
        <v>3450.7142857142858</v>
      </c>
      <c r="L4730">
        <v>0.17</v>
      </c>
      <c r="M4730">
        <v>6.6</v>
      </c>
      <c r="N4730">
        <v>20</v>
      </c>
      <c r="O4730">
        <v>6</v>
      </c>
      <c r="P4730" t="s">
        <v>515</v>
      </c>
      <c r="Q4730" s="97">
        <f t="shared" si="604"/>
        <v>242</v>
      </c>
      <c r="R4730" t="str">
        <f t="shared" si="605"/>
        <v/>
      </c>
    </row>
    <row r="4731" spans="3:18">
      <c r="C4731" t="str">
        <f t="shared" si="606"/>
        <v/>
      </c>
      <c r="D4731">
        <v>243</v>
      </c>
      <c r="E4731">
        <v>95</v>
      </c>
      <c r="F4731" s="366">
        <f t="shared" si="600"/>
        <v>2061.5</v>
      </c>
      <c r="G4731" s="97">
        <v>2650</v>
      </c>
      <c r="H4731" s="367">
        <f t="shared" si="601"/>
        <v>4711.5</v>
      </c>
      <c r="I4731" s="368">
        <f t="shared" si="602"/>
        <v>0</v>
      </c>
      <c r="J4731">
        <v>6690</v>
      </c>
      <c r="K4731" s="367">
        <f t="shared" si="603"/>
        <v>4778.5714285714284</v>
      </c>
      <c r="L4731">
        <v>0.52</v>
      </c>
      <c r="M4731">
        <v>6.6</v>
      </c>
      <c r="N4731">
        <v>25</v>
      </c>
      <c r="O4731">
        <v>6</v>
      </c>
      <c r="P4731" t="s">
        <v>514</v>
      </c>
      <c r="Q4731" s="97">
        <f t="shared" si="604"/>
        <v>243</v>
      </c>
      <c r="R4731" t="str">
        <f t="shared" si="605"/>
        <v/>
      </c>
    </row>
    <row r="4732" spans="3:18">
      <c r="C4732" t="str">
        <f t="shared" si="606"/>
        <v>NL</v>
      </c>
      <c r="D4732">
        <v>244</v>
      </c>
      <c r="E4732">
        <v>95</v>
      </c>
      <c r="F4732" s="366">
        <f t="shared" si="600"/>
        <v>2061.5</v>
      </c>
      <c r="G4732" s="97">
        <v>3641</v>
      </c>
      <c r="H4732" s="367">
        <f t="shared" si="601"/>
        <v>5702.5</v>
      </c>
      <c r="I4732" s="368">
        <f t="shared" si="602"/>
        <v>0</v>
      </c>
      <c r="J4732">
        <v>9191</v>
      </c>
      <c r="K4732" s="367">
        <f t="shared" si="603"/>
        <v>6565</v>
      </c>
      <c r="L4732">
        <v>0.39</v>
      </c>
      <c r="M4732">
        <v>7.6</v>
      </c>
      <c r="N4732">
        <v>25</v>
      </c>
      <c r="O4732">
        <v>7</v>
      </c>
      <c r="P4732" t="s">
        <v>514</v>
      </c>
      <c r="Q4732" s="97" t="str">
        <f t="shared" si="604"/>
        <v/>
      </c>
      <c r="R4732" t="str">
        <f t="shared" si="605"/>
        <v/>
      </c>
    </row>
    <row r="4733" spans="3:18">
      <c r="C4733" t="str">
        <f t="shared" si="606"/>
        <v/>
      </c>
      <c r="D4733">
        <v>245</v>
      </c>
      <c r="E4733">
        <v>95</v>
      </c>
      <c r="F4733" s="366">
        <f t="shared" si="600"/>
        <v>2061.5</v>
      </c>
      <c r="G4733" s="97">
        <v>3095</v>
      </c>
      <c r="H4733" s="367">
        <f t="shared" si="601"/>
        <v>5156.5</v>
      </c>
      <c r="I4733" s="368">
        <f t="shared" si="602"/>
        <v>0</v>
      </c>
      <c r="J4733">
        <v>7812</v>
      </c>
      <c r="K4733" s="367">
        <f t="shared" si="603"/>
        <v>5580</v>
      </c>
      <c r="L4733">
        <v>0.31</v>
      </c>
      <c r="M4733">
        <v>8.5</v>
      </c>
      <c r="N4733">
        <v>25</v>
      </c>
      <c r="O4733">
        <v>8</v>
      </c>
      <c r="P4733" t="s">
        <v>514</v>
      </c>
      <c r="Q4733" s="97">
        <f t="shared" si="604"/>
        <v>245</v>
      </c>
      <c r="R4733" t="str">
        <f t="shared" si="605"/>
        <v/>
      </c>
    </row>
    <row r="4734" spans="3:18">
      <c r="C4734" t="str">
        <f t="shared" si="606"/>
        <v/>
      </c>
      <c r="D4734">
        <v>246</v>
      </c>
      <c r="E4734">
        <v>95</v>
      </c>
      <c r="F4734" s="366">
        <f t="shared" si="600"/>
        <v>2061.5</v>
      </c>
      <c r="G4734" s="97">
        <v>4198</v>
      </c>
      <c r="H4734" s="367">
        <f t="shared" si="601"/>
        <v>6259.5</v>
      </c>
      <c r="I4734" s="368">
        <f t="shared" si="602"/>
        <v>0</v>
      </c>
      <c r="J4734">
        <v>10595</v>
      </c>
      <c r="K4734" s="367">
        <f t="shared" si="603"/>
        <v>7567.8571428571431</v>
      </c>
      <c r="L4734">
        <v>1.01</v>
      </c>
      <c r="M4734">
        <v>8.5</v>
      </c>
      <c r="N4734">
        <v>29</v>
      </c>
      <c r="O4734">
        <v>8</v>
      </c>
      <c r="P4734" t="s">
        <v>513</v>
      </c>
      <c r="Q4734" s="97" t="str">
        <f t="shared" si="604"/>
        <v/>
      </c>
      <c r="R4734" t="str">
        <f t="shared" si="605"/>
        <v/>
      </c>
    </row>
    <row r="4735" spans="3:18">
      <c r="C4735" t="str">
        <f t="shared" si="606"/>
        <v>NL</v>
      </c>
      <c r="D4735">
        <v>247</v>
      </c>
      <c r="E4735">
        <v>95</v>
      </c>
      <c r="F4735" s="366">
        <f t="shared" si="600"/>
        <v>2061.5</v>
      </c>
      <c r="G4735" s="97">
        <v>4286</v>
      </c>
      <c r="H4735" s="367">
        <f t="shared" si="601"/>
        <v>6347.5</v>
      </c>
      <c r="I4735" s="368">
        <f t="shared" si="602"/>
        <v>0</v>
      </c>
      <c r="J4735">
        <v>10817</v>
      </c>
      <c r="K4735" s="367">
        <f t="shared" si="603"/>
        <v>7726.4285714285716</v>
      </c>
      <c r="L4735">
        <v>0.26</v>
      </c>
      <c r="M4735">
        <v>9.6</v>
      </c>
      <c r="N4735">
        <v>25</v>
      </c>
      <c r="O4735">
        <v>9</v>
      </c>
      <c r="P4735" t="s">
        <v>514</v>
      </c>
      <c r="Q4735" s="97" t="str">
        <f t="shared" si="604"/>
        <v/>
      </c>
      <c r="R4735" t="str">
        <f t="shared" si="605"/>
        <v/>
      </c>
    </row>
    <row r="4736" spans="3:18">
      <c r="C4736" t="str">
        <f t="shared" si="606"/>
        <v>NL</v>
      </c>
      <c r="D4736">
        <v>248</v>
      </c>
      <c r="E4736">
        <v>95</v>
      </c>
      <c r="F4736" s="366">
        <f t="shared" si="600"/>
        <v>2061.5</v>
      </c>
      <c r="G4736" s="97">
        <v>5595</v>
      </c>
      <c r="H4736" s="367">
        <f t="shared" si="601"/>
        <v>7656.5</v>
      </c>
      <c r="I4736" s="368">
        <f t="shared" si="602"/>
        <v>0</v>
      </c>
      <c r="J4736">
        <v>14122</v>
      </c>
      <c r="K4736" s="367">
        <f t="shared" si="603"/>
        <v>10087.142857142857</v>
      </c>
      <c r="L4736">
        <v>0.82000000000000006</v>
      </c>
      <c r="M4736">
        <v>9.6</v>
      </c>
      <c r="N4736">
        <v>28</v>
      </c>
      <c r="O4736">
        <v>9</v>
      </c>
      <c r="P4736" t="s">
        <v>513</v>
      </c>
      <c r="Q4736" s="97" t="str">
        <f t="shared" si="604"/>
        <v/>
      </c>
      <c r="R4736" t="str">
        <f t="shared" si="605"/>
        <v/>
      </c>
    </row>
    <row r="4737" spans="3:18">
      <c r="C4737" t="str">
        <f t="shared" si="606"/>
        <v/>
      </c>
      <c r="D4737">
        <v>249</v>
      </c>
      <c r="E4737">
        <v>95</v>
      </c>
      <c r="F4737" s="366">
        <f t="shared" si="600"/>
        <v>2061.5</v>
      </c>
      <c r="G4737" s="97">
        <v>4513</v>
      </c>
      <c r="H4737" s="367">
        <f t="shared" si="601"/>
        <v>6574.5</v>
      </c>
      <c r="I4737" s="368">
        <f t="shared" si="602"/>
        <v>0</v>
      </c>
      <c r="J4737">
        <v>11391</v>
      </c>
      <c r="K4737" s="367">
        <f t="shared" si="603"/>
        <v>8136.4285714285716</v>
      </c>
      <c r="L4737">
        <v>0.22</v>
      </c>
      <c r="M4737">
        <v>1.4000000000000001</v>
      </c>
      <c r="N4737">
        <v>25</v>
      </c>
      <c r="O4737">
        <v>10</v>
      </c>
      <c r="P4737" t="s">
        <v>514</v>
      </c>
      <c r="Q4737" s="97" t="str">
        <f t="shared" si="604"/>
        <v/>
      </c>
      <c r="R4737" t="str">
        <f t="shared" si="605"/>
        <v/>
      </c>
    </row>
    <row r="4738" spans="3:18">
      <c r="C4738" t="str">
        <f t="shared" si="606"/>
        <v/>
      </c>
      <c r="D4738">
        <v>250</v>
      </c>
      <c r="E4738">
        <v>95</v>
      </c>
      <c r="F4738" s="366">
        <f t="shared" si="600"/>
        <v>2061.5</v>
      </c>
      <c r="G4738" s="97">
        <v>5919</v>
      </c>
      <c r="H4738" s="367">
        <f t="shared" si="601"/>
        <v>7980.5</v>
      </c>
      <c r="I4738" s="368">
        <f t="shared" si="602"/>
        <v>0</v>
      </c>
      <c r="J4738">
        <v>14938</v>
      </c>
      <c r="K4738" s="367">
        <f t="shared" si="603"/>
        <v>10670</v>
      </c>
      <c r="L4738">
        <v>0.68</v>
      </c>
      <c r="M4738">
        <v>1.4000000000000001</v>
      </c>
      <c r="N4738">
        <v>28</v>
      </c>
      <c r="O4738">
        <v>10</v>
      </c>
      <c r="P4738" t="s">
        <v>513</v>
      </c>
      <c r="Q4738" s="97" t="str">
        <f t="shared" si="604"/>
        <v/>
      </c>
      <c r="R4738" t="str">
        <f t="shared" si="605"/>
        <v/>
      </c>
    </row>
    <row r="4739" spans="3:18">
      <c r="C4739" t="str">
        <f t="shared" si="606"/>
        <v>NL</v>
      </c>
      <c r="D4739">
        <v>251</v>
      </c>
      <c r="E4739">
        <v>100</v>
      </c>
      <c r="F4739" s="366">
        <f t="shared" si="600"/>
        <v>2170</v>
      </c>
      <c r="G4739" s="97">
        <v>1687</v>
      </c>
      <c r="H4739" s="367">
        <f t="shared" si="601"/>
        <v>3857</v>
      </c>
      <c r="I4739" s="368">
        <f t="shared" si="602"/>
        <v>0</v>
      </c>
      <c r="J4739">
        <v>4258</v>
      </c>
      <c r="K4739" s="367">
        <f t="shared" si="603"/>
        <v>3041.4285714285716</v>
      </c>
      <c r="L4739">
        <v>0.82000000000000006</v>
      </c>
      <c r="M4739">
        <v>3.5</v>
      </c>
      <c r="N4739">
        <v>26</v>
      </c>
      <c r="O4739">
        <v>3</v>
      </c>
      <c r="P4739" t="s">
        <v>515</v>
      </c>
      <c r="Q4739" s="97" t="str">
        <f t="shared" si="604"/>
        <v/>
      </c>
      <c r="R4739" t="str">
        <f t="shared" si="605"/>
        <v/>
      </c>
    </row>
    <row r="4740" spans="3:18">
      <c r="C4740" t="str">
        <f t="shared" si="606"/>
        <v/>
      </c>
      <c r="D4740">
        <v>252</v>
      </c>
      <c r="E4740">
        <v>100</v>
      </c>
      <c r="F4740" s="366">
        <f t="shared" si="600"/>
        <v>2170</v>
      </c>
      <c r="G4740" s="97">
        <v>1827</v>
      </c>
      <c r="H4740" s="367">
        <f t="shared" si="601"/>
        <v>3997</v>
      </c>
      <c r="I4740" s="368">
        <f t="shared" si="602"/>
        <v>0</v>
      </c>
      <c r="J4740">
        <v>4611</v>
      </c>
      <c r="K4740" s="367">
        <f t="shared" si="603"/>
        <v>3293.5714285714284</v>
      </c>
      <c r="L4740">
        <v>0.41000000000000003</v>
      </c>
      <c r="M4740">
        <v>4.5</v>
      </c>
      <c r="N4740">
        <v>23</v>
      </c>
      <c r="O4740">
        <v>4</v>
      </c>
      <c r="P4740" t="s">
        <v>515</v>
      </c>
      <c r="Q4740" s="97">
        <f t="shared" si="604"/>
        <v>252</v>
      </c>
      <c r="R4740" t="str">
        <f t="shared" si="605"/>
        <v/>
      </c>
    </row>
    <row r="4741" spans="3:18">
      <c r="C4741" t="str">
        <f t="shared" si="606"/>
        <v>NL</v>
      </c>
      <c r="D4741">
        <v>253</v>
      </c>
      <c r="E4741">
        <v>100</v>
      </c>
      <c r="F4741" s="366">
        <f t="shared" si="600"/>
        <v>2170</v>
      </c>
      <c r="G4741" s="97">
        <v>2209</v>
      </c>
      <c r="H4741" s="367">
        <f t="shared" si="601"/>
        <v>4379</v>
      </c>
      <c r="I4741" s="368">
        <f t="shared" si="602"/>
        <v>0</v>
      </c>
      <c r="J4741">
        <v>5576</v>
      </c>
      <c r="K4741" s="367">
        <f t="shared" si="603"/>
        <v>3982.8571428571431</v>
      </c>
      <c r="L4741">
        <v>0.27</v>
      </c>
      <c r="M4741">
        <v>5.5</v>
      </c>
      <c r="N4741">
        <v>21</v>
      </c>
      <c r="O4741">
        <v>5</v>
      </c>
      <c r="P4741" t="s">
        <v>515</v>
      </c>
      <c r="Q4741" s="97" t="str">
        <f t="shared" si="604"/>
        <v/>
      </c>
      <c r="R4741" t="str">
        <f t="shared" si="605"/>
        <v/>
      </c>
    </row>
    <row r="4742" spans="3:18">
      <c r="C4742" t="str">
        <f t="shared" si="606"/>
        <v>NL</v>
      </c>
      <c r="D4742">
        <v>254</v>
      </c>
      <c r="E4742">
        <v>100</v>
      </c>
      <c r="F4742" s="366">
        <f t="shared" si="600"/>
        <v>2170</v>
      </c>
      <c r="G4742" s="97">
        <v>2892</v>
      </c>
      <c r="H4742" s="367">
        <f t="shared" si="601"/>
        <v>5062</v>
      </c>
      <c r="I4742" s="368">
        <f t="shared" si="602"/>
        <v>0</v>
      </c>
      <c r="J4742">
        <v>7299</v>
      </c>
      <c r="K4742" s="367">
        <f t="shared" si="603"/>
        <v>5213.5714285714284</v>
      </c>
      <c r="L4742">
        <v>0.81</v>
      </c>
      <c r="M4742">
        <v>5.5</v>
      </c>
      <c r="N4742">
        <v>26</v>
      </c>
      <c r="O4742">
        <v>5</v>
      </c>
      <c r="P4742" t="s">
        <v>514</v>
      </c>
      <c r="Q4742" s="97" t="str">
        <f t="shared" si="604"/>
        <v/>
      </c>
      <c r="R4742" t="str">
        <f t="shared" si="605"/>
        <v/>
      </c>
    </row>
    <row r="4743" spans="3:18">
      <c r="C4743" t="str">
        <f t="shared" si="606"/>
        <v/>
      </c>
      <c r="D4743">
        <v>255</v>
      </c>
      <c r="E4743">
        <v>100</v>
      </c>
      <c r="F4743" s="366">
        <f t="shared" si="600"/>
        <v>2170</v>
      </c>
      <c r="G4743" s="97">
        <v>1995</v>
      </c>
      <c r="H4743" s="367">
        <f t="shared" si="601"/>
        <v>4165</v>
      </c>
      <c r="I4743" s="368">
        <f t="shared" si="602"/>
        <v>0</v>
      </c>
      <c r="J4743">
        <v>5036</v>
      </c>
      <c r="K4743" s="367">
        <f t="shared" si="603"/>
        <v>3597.1428571428573</v>
      </c>
      <c r="L4743">
        <v>0.19</v>
      </c>
      <c r="M4743">
        <v>6.6</v>
      </c>
      <c r="N4743">
        <v>21</v>
      </c>
      <c r="O4743">
        <v>6</v>
      </c>
      <c r="P4743" t="s">
        <v>515</v>
      </c>
      <c r="Q4743" s="97">
        <f t="shared" si="604"/>
        <v>255</v>
      </c>
      <c r="R4743" t="str">
        <f t="shared" si="605"/>
        <v/>
      </c>
    </row>
    <row r="4744" spans="3:18">
      <c r="C4744" t="str">
        <f t="shared" si="606"/>
        <v/>
      </c>
      <c r="D4744">
        <v>256</v>
      </c>
      <c r="E4744">
        <v>100</v>
      </c>
      <c r="F4744" s="366">
        <f t="shared" si="600"/>
        <v>2170</v>
      </c>
      <c r="G4744" s="97">
        <v>2750</v>
      </c>
      <c r="H4744" s="367">
        <f t="shared" si="601"/>
        <v>4920</v>
      </c>
      <c r="I4744" s="368">
        <f t="shared" si="602"/>
        <v>0</v>
      </c>
      <c r="J4744">
        <v>6940</v>
      </c>
      <c r="K4744" s="367">
        <f t="shared" si="603"/>
        <v>4957.1428571428569</v>
      </c>
      <c r="L4744">
        <v>0.57999999999999996</v>
      </c>
      <c r="M4744">
        <v>6.6</v>
      </c>
      <c r="N4744">
        <v>26</v>
      </c>
      <c r="O4744">
        <v>6</v>
      </c>
      <c r="P4744" t="s">
        <v>514</v>
      </c>
      <c r="Q4744" s="97">
        <f t="shared" si="604"/>
        <v>256</v>
      </c>
      <c r="R4744" t="str">
        <f t="shared" si="605"/>
        <v/>
      </c>
    </row>
    <row r="4745" spans="3:18">
      <c r="C4745" t="str">
        <f t="shared" si="606"/>
        <v>NL</v>
      </c>
      <c r="D4745">
        <v>257</v>
      </c>
      <c r="E4745">
        <v>100</v>
      </c>
      <c r="F4745" s="366">
        <f t="shared" si="600"/>
        <v>2170</v>
      </c>
      <c r="G4745" s="97">
        <v>3767</v>
      </c>
      <c r="H4745" s="367">
        <f t="shared" si="601"/>
        <v>5937</v>
      </c>
      <c r="I4745" s="368">
        <f t="shared" si="602"/>
        <v>0</v>
      </c>
      <c r="J4745">
        <v>9508</v>
      </c>
      <c r="K4745" s="367">
        <f t="shared" si="603"/>
        <v>6791.4285714285716</v>
      </c>
      <c r="L4745">
        <v>0.44</v>
      </c>
      <c r="M4745">
        <v>7.6</v>
      </c>
      <c r="N4745">
        <v>25</v>
      </c>
      <c r="O4745">
        <v>7</v>
      </c>
      <c r="P4745" t="s">
        <v>514</v>
      </c>
      <c r="Q4745" s="97" t="str">
        <f t="shared" si="604"/>
        <v/>
      </c>
      <c r="R4745" t="str">
        <f t="shared" si="605"/>
        <v/>
      </c>
    </row>
    <row r="4746" spans="3:18">
      <c r="C4746" t="str">
        <f t="shared" si="606"/>
        <v/>
      </c>
      <c r="D4746">
        <v>258</v>
      </c>
      <c r="E4746">
        <v>100</v>
      </c>
      <c r="F4746" s="366">
        <f t="shared" ref="F4746:F4809" si="607">1.085*($A$2-$B$2)*E4746*$T$7</f>
        <v>2170</v>
      </c>
      <c r="G4746" s="97">
        <v>3214</v>
      </c>
      <c r="H4746" s="367">
        <f t="shared" ref="H4746:H4809" si="608">(G4746*$U$7)+F4746</f>
        <v>5384</v>
      </c>
      <c r="I4746" s="368">
        <f t="shared" ref="I4746:I4809" si="609">1.085*($C$2-$D$2)*E4746*$T$7</f>
        <v>0</v>
      </c>
      <c r="J4746">
        <v>8113</v>
      </c>
      <c r="K4746" s="367">
        <f t="shared" ref="K4746:K4809" si="610">(J4746*$V$7)-I4746</f>
        <v>5795</v>
      </c>
      <c r="L4746">
        <v>0.35000000000000003</v>
      </c>
      <c r="M4746">
        <v>8.5</v>
      </c>
      <c r="N4746">
        <v>25</v>
      </c>
      <c r="O4746">
        <v>8</v>
      </c>
      <c r="P4746" t="s">
        <v>514</v>
      </c>
      <c r="Q4746" s="97">
        <f t="shared" ref="Q4746:Q4809" si="611">IF(AND(H4746+1&gt;$E$4,L4746&lt;$L$4+0.01,M4746&lt;$M$4+0.01,K4746+1&gt;$F$4,E4746+1&gt;$J$4,N4746&lt;$K$4+1,O4746&lt;$P$4+1,C4746=""),D4746,"")</f>
        <v>258</v>
      </c>
      <c r="R4746" t="str">
        <f t="shared" ref="R4746:R4809" si="612">IF(Q4746="","",IF(AND(O4746&lt;$X$38,E4746&gt;$U$38,E4746&lt;$Q$4+$U$38+1),D4746,""))</f>
        <v/>
      </c>
    </row>
    <row r="4747" spans="3:18">
      <c r="C4747" t="str">
        <f t="shared" si="606"/>
        <v/>
      </c>
      <c r="D4747">
        <v>259</v>
      </c>
      <c r="E4747">
        <v>100</v>
      </c>
      <c r="F4747" s="366">
        <f t="shared" si="607"/>
        <v>2170</v>
      </c>
      <c r="G4747" s="97">
        <v>4346</v>
      </c>
      <c r="H4747" s="367">
        <f t="shared" si="608"/>
        <v>6516</v>
      </c>
      <c r="I4747" s="368">
        <f t="shared" si="609"/>
        <v>0</v>
      </c>
      <c r="J4747">
        <v>10970</v>
      </c>
      <c r="K4747" s="367">
        <f t="shared" si="610"/>
        <v>7835.7142857142862</v>
      </c>
      <c r="L4747">
        <v>1.1200000000000001</v>
      </c>
      <c r="M4747">
        <v>8.5</v>
      </c>
      <c r="N4747">
        <v>29</v>
      </c>
      <c r="O4747">
        <v>8</v>
      </c>
      <c r="P4747" t="s">
        <v>513</v>
      </c>
      <c r="Q4747" s="97" t="str">
        <f t="shared" si="611"/>
        <v/>
      </c>
      <c r="R4747" t="str">
        <f t="shared" si="612"/>
        <v/>
      </c>
    </row>
    <row r="4748" spans="3:18">
      <c r="C4748" t="str">
        <f t="shared" si="606"/>
        <v>NL</v>
      </c>
      <c r="D4748">
        <v>260</v>
      </c>
      <c r="E4748">
        <v>100</v>
      </c>
      <c r="F4748" s="366">
        <f t="shared" si="607"/>
        <v>2170</v>
      </c>
      <c r="G4748" s="97">
        <v>4437</v>
      </c>
      <c r="H4748" s="367">
        <f t="shared" si="608"/>
        <v>6607</v>
      </c>
      <c r="I4748" s="368">
        <f t="shared" si="609"/>
        <v>0</v>
      </c>
      <c r="J4748">
        <v>11200</v>
      </c>
      <c r="K4748" s="367">
        <f t="shared" si="610"/>
        <v>8000</v>
      </c>
      <c r="L4748">
        <v>0.29000000000000004</v>
      </c>
      <c r="M4748">
        <v>9.6</v>
      </c>
      <c r="N4748">
        <v>25</v>
      </c>
      <c r="O4748">
        <v>9</v>
      </c>
      <c r="P4748" t="s">
        <v>514</v>
      </c>
      <c r="Q4748" s="97" t="str">
        <f t="shared" si="611"/>
        <v/>
      </c>
      <c r="R4748" t="str">
        <f t="shared" si="612"/>
        <v/>
      </c>
    </row>
    <row r="4749" spans="3:18">
      <c r="C4749" t="str">
        <f t="shared" si="606"/>
        <v>NL</v>
      </c>
      <c r="D4749">
        <v>261</v>
      </c>
      <c r="E4749">
        <v>100</v>
      </c>
      <c r="F4749" s="366">
        <f t="shared" si="607"/>
        <v>2170</v>
      </c>
      <c r="G4749" s="97">
        <v>5784</v>
      </c>
      <c r="H4749" s="367">
        <f t="shared" si="608"/>
        <v>7954</v>
      </c>
      <c r="I4749" s="368">
        <f t="shared" si="609"/>
        <v>0</v>
      </c>
      <c r="J4749">
        <v>14598</v>
      </c>
      <c r="K4749" s="367">
        <f t="shared" si="610"/>
        <v>10427.142857142857</v>
      </c>
      <c r="L4749">
        <v>0.91</v>
      </c>
      <c r="M4749">
        <v>9.6</v>
      </c>
      <c r="N4749">
        <v>29</v>
      </c>
      <c r="O4749">
        <v>9</v>
      </c>
      <c r="P4749" t="s">
        <v>513</v>
      </c>
      <c r="Q4749" s="97" t="str">
        <f t="shared" si="611"/>
        <v/>
      </c>
      <c r="R4749" t="str">
        <f t="shared" si="612"/>
        <v/>
      </c>
    </row>
    <row r="4750" spans="3:18">
      <c r="C4750" t="str">
        <f t="shared" si="606"/>
        <v/>
      </c>
      <c r="D4750">
        <v>262</v>
      </c>
      <c r="E4750">
        <v>100</v>
      </c>
      <c r="F4750" s="366">
        <f t="shared" si="607"/>
        <v>2170</v>
      </c>
      <c r="G4750" s="97">
        <v>4689</v>
      </c>
      <c r="H4750" s="367">
        <f t="shared" si="608"/>
        <v>6859</v>
      </c>
      <c r="I4750" s="368">
        <f t="shared" si="609"/>
        <v>0</v>
      </c>
      <c r="J4750">
        <v>11836</v>
      </c>
      <c r="K4750" s="367">
        <f t="shared" si="610"/>
        <v>8454.2857142857138</v>
      </c>
      <c r="L4750">
        <v>0.24000000000000002</v>
      </c>
      <c r="M4750">
        <v>1.4000000000000001</v>
      </c>
      <c r="N4750">
        <v>26</v>
      </c>
      <c r="O4750">
        <v>10</v>
      </c>
      <c r="P4750" t="s">
        <v>514</v>
      </c>
      <c r="Q4750" s="97" t="str">
        <f t="shared" si="611"/>
        <v/>
      </c>
      <c r="R4750" t="str">
        <f t="shared" si="612"/>
        <v/>
      </c>
    </row>
    <row r="4751" spans="3:18">
      <c r="C4751" t="str">
        <f t="shared" si="606"/>
        <v/>
      </c>
      <c r="D4751">
        <v>263</v>
      </c>
      <c r="E4751">
        <v>100</v>
      </c>
      <c r="F4751" s="366">
        <f t="shared" si="607"/>
        <v>2170</v>
      </c>
      <c r="G4751" s="97">
        <v>6119</v>
      </c>
      <c r="H4751" s="367">
        <f t="shared" si="608"/>
        <v>8289</v>
      </c>
      <c r="I4751" s="368">
        <f t="shared" si="609"/>
        <v>0</v>
      </c>
      <c r="J4751">
        <v>15445</v>
      </c>
      <c r="K4751" s="367">
        <f t="shared" si="610"/>
        <v>11032.142857142857</v>
      </c>
      <c r="L4751">
        <v>0.75</v>
      </c>
      <c r="M4751">
        <v>1.4000000000000001</v>
      </c>
      <c r="N4751">
        <v>29</v>
      </c>
      <c r="O4751">
        <v>10</v>
      </c>
      <c r="P4751" t="s">
        <v>513</v>
      </c>
      <c r="Q4751" s="97" t="str">
        <f t="shared" si="611"/>
        <v/>
      </c>
      <c r="R4751" t="str">
        <f t="shared" si="612"/>
        <v/>
      </c>
    </row>
    <row r="4752" spans="3:18">
      <c r="C4752" t="str">
        <f t="shared" si="606"/>
        <v>NL</v>
      </c>
      <c r="D4752">
        <v>264</v>
      </c>
      <c r="E4752">
        <v>105</v>
      </c>
      <c r="F4752" s="366">
        <f t="shared" si="607"/>
        <v>2278.5</v>
      </c>
      <c r="G4752" s="97">
        <v>1746</v>
      </c>
      <c r="H4752" s="367">
        <f t="shared" si="608"/>
        <v>4024.5</v>
      </c>
      <c r="I4752" s="368">
        <f t="shared" si="609"/>
        <v>0</v>
      </c>
      <c r="J4752">
        <v>4407</v>
      </c>
      <c r="K4752" s="367">
        <f t="shared" si="610"/>
        <v>3147.8571428571431</v>
      </c>
      <c r="L4752">
        <v>0.9</v>
      </c>
      <c r="M4752">
        <v>3.5</v>
      </c>
      <c r="N4752">
        <v>27</v>
      </c>
      <c r="O4752">
        <v>3</v>
      </c>
      <c r="P4752" t="s">
        <v>515</v>
      </c>
      <c r="Q4752" s="97" t="str">
        <f t="shared" si="611"/>
        <v/>
      </c>
      <c r="R4752" t="str">
        <f t="shared" si="612"/>
        <v/>
      </c>
    </row>
    <row r="4753" spans="3:18">
      <c r="C4753" t="str">
        <f t="shared" si="606"/>
        <v/>
      </c>
      <c r="D4753">
        <v>265</v>
      </c>
      <c r="E4753">
        <v>105</v>
      </c>
      <c r="F4753" s="366">
        <f t="shared" si="607"/>
        <v>2278.5</v>
      </c>
      <c r="G4753" s="97">
        <v>1894</v>
      </c>
      <c r="H4753" s="367">
        <f t="shared" si="608"/>
        <v>4172.5</v>
      </c>
      <c r="I4753" s="368">
        <f t="shared" si="609"/>
        <v>0</v>
      </c>
      <c r="J4753">
        <v>4781</v>
      </c>
      <c r="K4753" s="367">
        <f t="shared" si="610"/>
        <v>3415</v>
      </c>
      <c r="L4753">
        <v>0.46</v>
      </c>
      <c r="M4753">
        <v>4.5</v>
      </c>
      <c r="N4753">
        <v>23</v>
      </c>
      <c r="O4753">
        <v>4</v>
      </c>
      <c r="P4753" t="s">
        <v>515</v>
      </c>
      <c r="Q4753" s="97">
        <f t="shared" si="611"/>
        <v>265</v>
      </c>
      <c r="R4753" t="str">
        <f t="shared" si="612"/>
        <v/>
      </c>
    </row>
    <row r="4754" spans="3:18">
      <c r="C4754" t="str">
        <f t="shared" si="606"/>
        <v>NL</v>
      </c>
      <c r="D4754">
        <v>266</v>
      </c>
      <c r="E4754">
        <v>105</v>
      </c>
      <c r="F4754" s="366">
        <f t="shared" si="607"/>
        <v>2278.5</v>
      </c>
      <c r="G4754" s="97">
        <v>2294</v>
      </c>
      <c r="H4754" s="367">
        <f t="shared" si="608"/>
        <v>4572.5</v>
      </c>
      <c r="I4754" s="368">
        <f t="shared" si="609"/>
        <v>0</v>
      </c>
      <c r="J4754">
        <v>5790</v>
      </c>
      <c r="K4754" s="367">
        <f t="shared" si="610"/>
        <v>4135.7142857142862</v>
      </c>
      <c r="L4754">
        <v>0.29000000000000004</v>
      </c>
      <c r="M4754">
        <v>5.5</v>
      </c>
      <c r="N4754">
        <v>22</v>
      </c>
      <c r="O4754">
        <v>5</v>
      </c>
      <c r="P4754" t="s">
        <v>515</v>
      </c>
      <c r="Q4754" s="97" t="str">
        <f t="shared" si="611"/>
        <v/>
      </c>
      <c r="R4754" t="str">
        <f t="shared" si="612"/>
        <v/>
      </c>
    </row>
    <row r="4755" spans="3:18">
      <c r="C4755" t="str">
        <f t="shared" si="606"/>
        <v>NL</v>
      </c>
      <c r="D4755">
        <v>267</v>
      </c>
      <c r="E4755">
        <v>105</v>
      </c>
      <c r="F4755" s="366">
        <f t="shared" si="607"/>
        <v>2278.5</v>
      </c>
      <c r="G4755" s="97">
        <v>2988</v>
      </c>
      <c r="H4755" s="367">
        <f t="shared" si="608"/>
        <v>5266.5</v>
      </c>
      <c r="I4755" s="368">
        <f t="shared" si="609"/>
        <v>0</v>
      </c>
      <c r="J4755">
        <v>7541</v>
      </c>
      <c r="K4755" s="367">
        <f t="shared" si="610"/>
        <v>5386.4285714285716</v>
      </c>
      <c r="L4755">
        <v>0.9</v>
      </c>
      <c r="M4755">
        <v>5.5</v>
      </c>
      <c r="N4755">
        <v>27</v>
      </c>
      <c r="O4755">
        <v>5</v>
      </c>
      <c r="P4755" t="s">
        <v>514</v>
      </c>
      <c r="Q4755" s="97" t="str">
        <f t="shared" si="611"/>
        <v/>
      </c>
      <c r="R4755" t="str">
        <f t="shared" si="612"/>
        <v/>
      </c>
    </row>
    <row r="4756" spans="3:18">
      <c r="C4756" t="str">
        <f t="shared" si="606"/>
        <v/>
      </c>
      <c r="D4756">
        <v>268</v>
      </c>
      <c r="E4756">
        <v>105</v>
      </c>
      <c r="F4756" s="366">
        <f t="shared" si="607"/>
        <v>2278.5</v>
      </c>
      <c r="G4756" s="97">
        <v>2076</v>
      </c>
      <c r="H4756" s="367">
        <f t="shared" si="608"/>
        <v>4354.5</v>
      </c>
      <c r="I4756" s="368">
        <f t="shared" si="609"/>
        <v>0</v>
      </c>
      <c r="J4756">
        <v>5241</v>
      </c>
      <c r="K4756" s="367">
        <f t="shared" si="610"/>
        <v>3743.5714285714284</v>
      </c>
      <c r="L4756">
        <v>0.21000000000000002</v>
      </c>
      <c r="M4756">
        <v>6.6</v>
      </c>
      <c r="N4756">
        <v>22</v>
      </c>
      <c r="O4756">
        <v>6</v>
      </c>
      <c r="P4756" t="s">
        <v>515</v>
      </c>
      <c r="Q4756" s="97">
        <f t="shared" si="611"/>
        <v>268</v>
      </c>
      <c r="R4756" t="str">
        <f t="shared" si="612"/>
        <v/>
      </c>
    </row>
    <row r="4757" spans="3:18">
      <c r="C4757" t="str">
        <f t="shared" si="606"/>
        <v/>
      </c>
      <c r="D4757">
        <v>269</v>
      </c>
      <c r="E4757">
        <v>105</v>
      </c>
      <c r="F4757" s="366">
        <f t="shared" si="607"/>
        <v>2278.5</v>
      </c>
      <c r="G4757" s="97">
        <v>2849</v>
      </c>
      <c r="H4757" s="367">
        <f t="shared" si="608"/>
        <v>5127.5</v>
      </c>
      <c r="I4757" s="368">
        <f t="shared" si="609"/>
        <v>0</v>
      </c>
      <c r="J4757">
        <v>7191</v>
      </c>
      <c r="K4757" s="367">
        <f t="shared" si="610"/>
        <v>5136.4285714285716</v>
      </c>
      <c r="L4757">
        <v>0.64</v>
      </c>
      <c r="M4757">
        <v>6.6</v>
      </c>
      <c r="N4757">
        <v>26</v>
      </c>
      <c r="O4757">
        <v>6</v>
      </c>
      <c r="P4757" t="s">
        <v>514</v>
      </c>
      <c r="Q4757" s="97">
        <f t="shared" si="611"/>
        <v>269</v>
      </c>
      <c r="R4757" t="str">
        <f t="shared" si="612"/>
        <v/>
      </c>
    </row>
    <row r="4758" spans="3:18">
      <c r="C4758" t="str">
        <f t="shared" si="606"/>
        <v>NL</v>
      </c>
      <c r="D4758">
        <v>270</v>
      </c>
      <c r="E4758">
        <v>105</v>
      </c>
      <c r="F4758" s="366">
        <f t="shared" si="607"/>
        <v>2278.5</v>
      </c>
      <c r="G4758" s="97">
        <v>2776</v>
      </c>
      <c r="H4758" s="367">
        <f t="shared" si="608"/>
        <v>5054.5</v>
      </c>
      <c r="I4758" s="368">
        <f t="shared" si="609"/>
        <v>0</v>
      </c>
      <c r="J4758">
        <v>7006</v>
      </c>
      <c r="K4758" s="367">
        <f t="shared" si="610"/>
        <v>5004.2857142857147</v>
      </c>
      <c r="L4758">
        <v>0.16</v>
      </c>
      <c r="M4758">
        <v>7.6</v>
      </c>
      <c r="N4758">
        <v>21</v>
      </c>
      <c r="O4758">
        <v>7</v>
      </c>
      <c r="P4758" t="s">
        <v>515</v>
      </c>
      <c r="Q4758" s="97" t="str">
        <f t="shared" si="611"/>
        <v/>
      </c>
      <c r="R4758" t="str">
        <f t="shared" si="612"/>
        <v/>
      </c>
    </row>
    <row r="4759" spans="3:18">
      <c r="C4759" t="str">
        <f t="shared" si="606"/>
        <v>NL</v>
      </c>
      <c r="D4759">
        <v>271</v>
      </c>
      <c r="E4759">
        <v>105</v>
      </c>
      <c r="F4759" s="366">
        <f t="shared" si="607"/>
        <v>2278.5</v>
      </c>
      <c r="G4759" s="97">
        <v>3893</v>
      </c>
      <c r="H4759" s="367">
        <f t="shared" si="608"/>
        <v>6171.5</v>
      </c>
      <c r="I4759" s="368">
        <f t="shared" si="609"/>
        <v>0</v>
      </c>
      <c r="J4759">
        <v>9826</v>
      </c>
      <c r="K4759" s="367">
        <f t="shared" si="610"/>
        <v>7018.5714285714284</v>
      </c>
      <c r="L4759">
        <v>0.48</v>
      </c>
      <c r="M4759">
        <v>7.6</v>
      </c>
      <c r="N4759">
        <v>26</v>
      </c>
      <c r="O4759">
        <v>7</v>
      </c>
      <c r="P4759" t="s">
        <v>514</v>
      </c>
      <c r="Q4759" s="97" t="str">
        <f t="shared" si="611"/>
        <v/>
      </c>
      <c r="R4759" t="str">
        <f t="shared" si="612"/>
        <v/>
      </c>
    </row>
    <row r="4760" spans="3:18">
      <c r="C4760" t="str">
        <f t="shared" si="606"/>
        <v/>
      </c>
      <c r="D4760">
        <v>272</v>
      </c>
      <c r="E4760">
        <v>105</v>
      </c>
      <c r="F4760" s="366">
        <f t="shared" si="607"/>
        <v>2278.5</v>
      </c>
      <c r="G4760" s="97">
        <v>3334</v>
      </c>
      <c r="H4760" s="367">
        <f t="shared" si="608"/>
        <v>5612.5</v>
      </c>
      <c r="I4760" s="368">
        <f t="shared" si="609"/>
        <v>0</v>
      </c>
      <c r="J4760">
        <v>8415</v>
      </c>
      <c r="K4760" s="367">
        <f t="shared" si="610"/>
        <v>6010.7142857142862</v>
      </c>
      <c r="L4760">
        <v>0.38</v>
      </c>
      <c r="M4760">
        <v>8.5</v>
      </c>
      <c r="N4760">
        <v>26</v>
      </c>
      <c r="O4760">
        <v>8</v>
      </c>
      <c r="P4760" t="s">
        <v>514</v>
      </c>
      <c r="Q4760" s="97">
        <f t="shared" si="611"/>
        <v>272</v>
      </c>
      <c r="R4760" t="str">
        <f t="shared" si="612"/>
        <v/>
      </c>
    </row>
    <row r="4761" spans="3:18">
      <c r="C4761" t="str">
        <f t="shared" si="606"/>
        <v>NL</v>
      </c>
      <c r="D4761">
        <v>273</v>
      </c>
      <c r="E4761">
        <v>105</v>
      </c>
      <c r="F4761" s="366">
        <f t="shared" si="607"/>
        <v>2278.5</v>
      </c>
      <c r="G4761" s="97">
        <v>4589</v>
      </c>
      <c r="H4761" s="367">
        <f t="shared" si="608"/>
        <v>6867.5</v>
      </c>
      <c r="I4761" s="368">
        <f t="shared" si="609"/>
        <v>0</v>
      </c>
      <c r="J4761">
        <v>11582</v>
      </c>
      <c r="K4761" s="367">
        <f t="shared" si="610"/>
        <v>8272.8571428571431</v>
      </c>
      <c r="L4761">
        <v>0.32</v>
      </c>
      <c r="M4761">
        <v>9.6</v>
      </c>
      <c r="N4761">
        <v>26</v>
      </c>
      <c r="O4761">
        <v>9</v>
      </c>
      <c r="P4761" t="s">
        <v>514</v>
      </c>
      <c r="Q4761" s="97" t="str">
        <f t="shared" si="611"/>
        <v/>
      </c>
      <c r="R4761" t="str">
        <f t="shared" si="612"/>
        <v/>
      </c>
    </row>
    <row r="4762" spans="3:18">
      <c r="C4762" t="str">
        <f t="shared" si="606"/>
        <v>NL</v>
      </c>
      <c r="D4762">
        <v>274</v>
      </c>
      <c r="E4762">
        <v>105</v>
      </c>
      <c r="F4762" s="366">
        <f t="shared" si="607"/>
        <v>2278.5</v>
      </c>
      <c r="G4762" s="97">
        <v>5963</v>
      </c>
      <c r="H4762" s="367">
        <f t="shared" si="608"/>
        <v>8241.5</v>
      </c>
      <c r="I4762" s="368">
        <f t="shared" si="609"/>
        <v>0</v>
      </c>
      <c r="J4762">
        <v>15050</v>
      </c>
      <c r="K4762" s="367">
        <f t="shared" si="610"/>
        <v>10750</v>
      </c>
      <c r="L4762">
        <v>1</v>
      </c>
      <c r="M4762">
        <v>9.6</v>
      </c>
      <c r="N4762">
        <v>30</v>
      </c>
      <c r="O4762">
        <v>9</v>
      </c>
      <c r="P4762" t="s">
        <v>513</v>
      </c>
      <c r="Q4762" s="97" t="str">
        <f t="shared" si="611"/>
        <v/>
      </c>
      <c r="R4762" t="str">
        <f t="shared" si="612"/>
        <v/>
      </c>
    </row>
    <row r="4763" spans="3:18">
      <c r="C4763" t="str">
        <f t="shared" si="606"/>
        <v/>
      </c>
      <c r="D4763">
        <v>275</v>
      </c>
      <c r="E4763">
        <v>105</v>
      </c>
      <c r="F4763" s="366">
        <f t="shared" si="607"/>
        <v>2278.5</v>
      </c>
      <c r="G4763" s="97">
        <v>4855</v>
      </c>
      <c r="H4763" s="367">
        <f t="shared" si="608"/>
        <v>7133.5</v>
      </c>
      <c r="I4763" s="368">
        <f t="shared" si="609"/>
        <v>0</v>
      </c>
      <c r="J4763">
        <v>12254</v>
      </c>
      <c r="K4763" s="367">
        <f t="shared" si="610"/>
        <v>8752.8571428571431</v>
      </c>
      <c r="L4763">
        <v>0.27</v>
      </c>
      <c r="M4763">
        <v>1.4000000000000001</v>
      </c>
      <c r="N4763">
        <v>26</v>
      </c>
      <c r="O4763">
        <v>10</v>
      </c>
      <c r="P4763" t="s">
        <v>514</v>
      </c>
      <c r="Q4763" s="97" t="str">
        <f t="shared" si="611"/>
        <v/>
      </c>
      <c r="R4763" t="str">
        <f t="shared" si="612"/>
        <v/>
      </c>
    </row>
    <row r="4764" spans="3:18">
      <c r="C4764" t="str">
        <f t="shared" si="606"/>
        <v/>
      </c>
      <c r="D4764">
        <v>276</v>
      </c>
      <c r="E4764">
        <v>105</v>
      </c>
      <c r="F4764" s="366">
        <f t="shared" si="607"/>
        <v>2278.5</v>
      </c>
      <c r="G4764" s="97">
        <v>6320</v>
      </c>
      <c r="H4764" s="367">
        <f t="shared" si="608"/>
        <v>8598.5</v>
      </c>
      <c r="I4764" s="368">
        <f t="shared" si="609"/>
        <v>0</v>
      </c>
      <c r="J4764">
        <v>15951</v>
      </c>
      <c r="K4764" s="367">
        <f t="shared" si="610"/>
        <v>11393.571428571429</v>
      </c>
      <c r="L4764">
        <v>0.83</v>
      </c>
      <c r="M4764">
        <v>1.4000000000000001</v>
      </c>
      <c r="N4764">
        <v>29</v>
      </c>
      <c r="O4764">
        <v>10</v>
      </c>
      <c r="P4764" t="s">
        <v>513</v>
      </c>
      <c r="Q4764" s="97" t="str">
        <f t="shared" si="611"/>
        <v/>
      </c>
      <c r="R4764" t="str">
        <f t="shared" si="612"/>
        <v/>
      </c>
    </row>
    <row r="4765" spans="3:18">
      <c r="C4765" t="str">
        <f t="shared" si="606"/>
        <v>NL</v>
      </c>
      <c r="D4765">
        <v>277</v>
      </c>
      <c r="E4765">
        <v>110</v>
      </c>
      <c r="F4765" s="366">
        <f t="shared" si="607"/>
        <v>2387</v>
      </c>
      <c r="G4765" s="97">
        <v>1805</v>
      </c>
      <c r="H4765" s="367">
        <f t="shared" si="608"/>
        <v>4192</v>
      </c>
      <c r="I4765" s="368">
        <f t="shared" si="609"/>
        <v>0</v>
      </c>
      <c r="J4765">
        <v>4556</v>
      </c>
      <c r="K4765" s="367">
        <f t="shared" si="610"/>
        <v>3254.2857142857142</v>
      </c>
      <c r="L4765">
        <v>0.99</v>
      </c>
      <c r="M4765">
        <v>3.5</v>
      </c>
      <c r="N4765">
        <v>27</v>
      </c>
      <c r="O4765">
        <v>3</v>
      </c>
      <c r="P4765" t="s">
        <v>515</v>
      </c>
      <c r="Q4765" s="97" t="str">
        <f t="shared" si="611"/>
        <v/>
      </c>
      <c r="R4765" t="str">
        <f t="shared" si="612"/>
        <v/>
      </c>
    </row>
    <row r="4766" spans="3:18">
      <c r="C4766" t="str">
        <f t="shared" si="606"/>
        <v/>
      </c>
      <c r="D4766">
        <v>278</v>
      </c>
      <c r="E4766">
        <v>110</v>
      </c>
      <c r="F4766" s="366">
        <f t="shared" si="607"/>
        <v>2387</v>
      </c>
      <c r="G4766" s="97">
        <v>1958</v>
      </c>
      <c r="H4766" s="367">
        <f t="shared" si="608"/>
        <v>4345</v>
      </c>
      <c r="I4766" s="368">
        <f t="shared" si="609"/>
        <v>0</v>
      </c>
      <c r="J4766">
        <v>4942</v>
      </c>
      <c r="K4766" s="367">
        <f t="shared" si="610"/>
        <v>3530</v>
      </c>
      <c r="L4766">
        <v>0.5</v>
      </c>
      <c r="M4766">
        <v>4.5</v>
      </c>
      <c r="N4766">
        <v>24</v>
      </c>
      <c r="O4766">
        <v>4</v>
      </c>
      <c r="P4766" t="s">
        <v>515</v>
      </c>
      <c r="Q4766" s="97">
        <f t="shared" si="611"/>
        <v>278</v>
      </c>
      <c r="R4766" t="str">
        <f t="shared" si="612"/>
        <v/>
      </c>
    </row>
    <row r="4767" spans="3:18">
      <c r="C4767" t="str">
        <f t="shared" si="606"/>
        <v>NL</v>
      </c>
      <c r="D4767">
        <v>279</v>
      </c>
      <c r="E4767">
        <v>110</v>
      </c>
      <c r="F4767" s="366">
        <f t="shared" si="607"/>
        <v>2387</v>
      </c>
      <c r="G4767" s="97">
        <v>2378</v>
      </c>
      <c r="H4767" s="367">
        <f t="shared" si="608"/>
        <v>4765</v>
      </c>
      <c r="I4767" s="368">
        <f t="shared" si="609"/>
        <v>0</v>
      </c>
      <c r="J4767">
        <v>6001</v>
      </c>
      <c r="K4767" s="367">
        <f t="shared" si="610"/>
        <v>4286.4285714285716</v>
      </c>
      <c r="L4767">
        <v>0.32</v>
      </c>
      <c r="M4767">
        <v>5.5</v>
      </c>
      <c r="N4767">
        <v>23</v>
      </c>
      <c r="O4767">
        <v>5</v>
      </c>
      <c r="P4767" t="s">
        <v>515</v>
      </c>
      <c r="Q4767" s="97" t="str">
        <f t="shared" si="611"/>
        <v/>
      </c>
      <c r="R4767" t="str">
        <f t="shared" si="612"/>
        <v/>
      </c>
    </row>
    <row r="4768" spans="3:18">
      <c r="C4768" t="str">
        <f t="shared" si="606"/>
        <v>NL</v>
      </c>
      <c r="D4768">
        <v>280</v>
      </c>
      <c r="E4768">
        <v>110</v>
      </c>
      <c r="F4768" s="366">
        <f t="shared" si="607"/>
        <v>2387</v>
      </c>
      <c r="G4768" s="97">
        <v>3084</v>
      </c>
      <c r="H4768" s="367">
        <f t="shared" si="608"/>
        <v>5471</v>
      </c>
      <c r="I4768" s="368">
        <f t="shared" si="609"/>
        <v>0</v>
      </c>
      <c r="J4768">
        <v>7783</v>
      </c>
      <c r="K4768" s="367">
        <f t="shared" si="610"/>
        <v>5559.2857142857147</v>
      </c>
      <c r="L4768">
        <v>0.98</v>
      </c>
      <c r="M4768">
        <v>5.5</v>
      </c>
      <c r="N4768">
        <v>28</v>
      </c>
      <c r="O4768">
        <v>5</v>
      </c>
      <c r="P4768" t="s">
        <v>514</v>
      </c>
      <c r="Q4768" s="97" t="str">
        <f t="shared" si="611"/>
        <v/>
      </c>
      <c r="R4768" t="str">
        <f t="shared" si="612"/>
        <v/>
      </c>
    </row>
    <row r="4769" spans="3:18">
      <c r="C4769" t="str">
        <f t="shared" si="606"/>
        <v/>
      </c>
      <c r="D4769">
        <v>281</v>
      </c>
      <c r="E4769">
        <v>110</v>
      </c>
      <c r="F4769" s="366">
        <f t="shared" si="607"/>
        <v>2387</v>
      </c>
      <c r="G4769" s="97">
        <v>2158</v>
      </c>
      <c r="H4769" s="367">
        <f t="shared" si="608"/>
        <v>4545</v>
      </c>
      <c r="I4769" s="368">
        <f t="shared" si="609"/>
        <v>0</v>
      </c>
      <c r="J4769">
        <v>5446</v>
      </c>
      <c r="K4769" s="367">
        <f t="shared" si="610"/>
        <v>3890</v>
      </c>
      <c r="L4769">
        <v>0.23</v>
      </c>
      <c r="M4769">
        <v>6.6</v>
      </c>
      <c r="N4769">
        <v>22</v>
      </c>
      <c r="O4769">
        <v>6</v>
      </c>
      <c r="P4769" t="s">
        <v>515</v>
      </c>
      <c r="Q4769" s="97">
        <f t="shared" si="611"/>
        <v>281</v>
      </c>
      <c r="R4769" t="str">
        <f t="shared" si="612"/>
        <v/>
      </c>
    </row>
    <row r="4770" spans="3:18">
      <c r="C4770" t="str">
        <f t="shared" si="606"/>
        <v/>
      </c>
      <c r="D4770">
        <v>282</v>
      </c>
      <c r="E4770">
        <v>110</v>
      </c>
      <c r="F4770" s="366">
        <f t="shared" si="607"/>
        <v>2387</v>
      </c>
      <c r="G4770" s="97">
        <v>2945</v>
      </c>
      <c r="H4770" s="367">
        <f t="shared" si="608"/>
        <v>5332</v>
      </c>
      <c r="I4770" s="368">
        <f t="shared" si="609"/>
        <v>0</v>
      </c>
      <c r="J4770">
        <v>7434</v>
      </c>
      <c r="K4770" s="367">
        <f t="shared" si="610"/>
        <v>5310</v>
      </c>
      <c r="L4770">
        <v>0.7</v>
      </c>
      <c r="M4770">
        <v>6.6</v>
      </c>
      <c r="N4770">
        <v>27</v>
      </c>
      <c r="O4770">
        <v>6</v>
      </c>
      <c r="P4770" t="s">
        <v>514</v>
      </c>
      <c r="Q4770" s="97">
        <f t="shared" si="611"/>
        <v>282</v>
      </c>
      <c r="R4770" t="str">
        <f t="shared" si="612"/>
        <v/>
      </c>
    </row>
    <row r="4771" spans="3:18">
      <c r="C4771" t="str">
        <f t="shared" si="606"/>
        <v>NL</v>
      </c>
      <c r="D4771">
        <v>283</v>
      </c>
      <c r="E4771">
        <v>110</v>
      </c>
      <c r="F4771" s="366">
        <f t="shared" si="607"/>
        <v>2387</v>
      </c>
      <c r="G4771" s="97">
        <v>2871</v>
      </c>
      <c r="H4771" s="367">
        <f t="shared" si="608"/>
        <v>5258</v>
      </c>
      <c r="I4771" s="368">
        <f t="shared" si="609"/>
        <v>0</v>
      </c>
      <c r="J4771">
        <v>7248</v>
      </c>
      <c r="K4771" s="367">
        <f t="shared" si="610"/>
        <v>5177.1428571428569</v>
      </c>
      <c r="L4771">
        <v>0.18000000000000002</v>
      </c>
      <c r="M4771">
        <v>7.6</v>
      </c>
      <c r="N4771">
        <v>22</v>
      </c>
      <c r="O4771">
        <v>7</v>
      </c>
      <c r="P4771" t="s">
        <v>515</v>
      </c>
      <c r="Q4771" s="97" t="str">
        <f t="shared" si="611"/>
        <v/>
      </c>
      <c r="R4771" t="str">
        <f t="shared" si="612"/>
        <v/>
      </c>
    </row>
    <row r="4772" spans="3:18">
      <c r="C4772" t="str">
        <f t="shared" si="606"/>
        <v>NL</v>
      </c>
      <c r="D4772">
        <v>284</v>
      </c>
      <c r="E4772">
        <v>110</v>
      </c>
      <c r="F4772" s="366">
        <f t="shared" si="607"/>
        <v>2387</v>
      </c>
      <c r="G4772" s="97">
        <v>4019</v>
      </c>
      <c r="H4772" s="367">
        <f t="shared" si="608"/>
        <v>6406</v>
      </c>
      <c r="I4772" s="368">
        <f t="shared" si="609"/>
        <v>0</v>
      </c>
      <c r="J4772">
        <v>10143</v>
      </c>
      <c r="K4772" s="367">
        <f t="shared" si="610"/>
        <v>7245</v>
      </c>
      <c r="L4772">
        <v>0.53</v>
      </c>
      <c r="M4772">
        <v>7.6</v>
      </c>
      <c r="N4772">
        <v>27</v>
      </c>
      <c r="O4772">
        <v>7</v>
      </c>
      <c r="P4772" t="s">
        <v>514</v>
      </c>
      <c r="Q4772" s="97" t="str">
        <f t="shared" si="611"/>
        <v/>
      </c>
      <c r="R4772" t="str">
        <f t="shared" si="612"/>
        <v/>
      </c>
    </row>
    <row r="4773" spans="3:18">
      <c r="C4773" t="str">
        <f t="shared" si="606"/>
        <v/>
      </c>
      <c r="D4773">
        <v>285</v>
      </c>
      <c r="E4773">
        <v>110</v>
      </c>
      <c r="F4773" s="366">
        <f t="shared" si="607"/>
        <v>2387</v>
      </c>
      <c r="G4773" s="97">
        <v>3453</v>
      </c>
      <c r="H4773" s="367">
        <f t="shared" si="608"/>
        <v>5840</v>
      </c>
      <c r="I4773" s="368">
        <f t="shared" si="609"/>
        <v>0</v>
      </c>
      <c r="J4773">
        <v>8716</v>
      </c>
      <c r="K4773" s="367">
        <f t="shared" si="610"/>
        <v>6225.7142857142862</v>
      </c>
      <c r="L4773">
        <v>0.42</v>
      </c>
      <c r="M4773">
        <v>8.5</v>
      </c>
      <c r="N4773">
        <v>26</v>
      </c>
      <c r="O4773">
        <v>8</v>
      </c>
      <c r="P4773" t="s">
        <v>514</v>
      </c>
      <c r="Q4773" s="97">
        <f t="shared" si="611"/>
        <v>285</v>
      </c>
      <c r="R4773" t="str">
        <f t="shared" si="612"/>
        <v/>
      </c>
    </row>
    <row r="4774" spans="3:18">
      <c r="C4774" t="str">
        <f t="shared" si="606"/>
        <v>NL</v>
      </c>
      <c r="D4774">
        <v>286</v>
      </c>
      <c r="E4774">
        <v>110</v>
      </c>
      <c r="F4774" s="366">
        <f t="shared" si="607"/>
        <v>2387</v>
      </c>
      <c r="G4774" s="97">
        <v>4740</v>
      </c>
      <c r="H4774" s="367">
        <f t="shared" si="608"/>
        <v>7127</v>
      </c>
      <c r="I4774" s="368">
        <f t="shared" si="609"/>
        <v>0</v>
      </c>
      <c r="J4774">
        <v>11964</v>
      </c>
      <c r="K4774" s="367">
        <f t="shared" si="610"/>
        <v>8545.7142857142862</v>
      </c>
      <c r="L4774">
        <v>0.35000000000000003</v>
      </c>
      <c r="M4774">
        <v>9.6</v>
      </c>
      <c r="N4774">
        <v>27</v>
      </c>
      <c r="O4774">
        <v>9</v>
      </c>
      <c r="P4774" t="s">
        <v>514</v>
      </c>
      <c r="Q4774" s="97" t="str">
        <f t="shared" si="611"/>
        <v/>
      </c>
      <c r="R4774" t="str">
        <f t="shared" si="612"/>
        <v/>
      </c>
    </row>
    <row r="4775" spans="3:18">
      <c r="C4775" t="str">
        <f t="shared" si="606"/>
        <v>NL</v>
      </c>
      <c r="D4775">
        <v>287</v>
      </c>
      <c r="E4775">
        <v>110</v>
      </c>
      <c r="F4775" s="366">
        <f t="shared" si="607"/>
        <v>2387</v>
      </c>
      <c r="G4775" s="97">
        <v>6142</v>
      </c>
      <c r="H4775" s="367">
        <f t="shared" si="608"/>
        <v>8529</v>
      </c>
      <c r="I4775" s="368">
        <f t="shared" si="609"/>
        <v>0</v>
      </c>
      <c r="J4775">
        <v>15503</v>
      </c>
      <c r="K4775" s="367">
        <f t="shared" si="610"/>
        <v>11073.571428571429</v>
      </c>
      <c r="L4775">
        <v>1.1000000000000001</v>
      </c>
      <c r="M4775">
        <v>9.6</v>
      </c>
      <c r="N4775">
        <v>30</v>
      </c>
      <c r="O4775">
        <v>9</v>
      </c>
      <c r="P4775" t="s">
        <v>513</v>
      </c>
      <c r="Q4775" s="97" t="str">
        <f t="shared" si="611"/>
        <v/>
      </c>
      <c r="R4775" t="str">
        <f t="shared" si="612"/>
        <v/>
      </c>
    </row>
    <row r="4776" spans="3:18">
      <c r="C4776" t="str">
        <f t="shared" si="606"/>
        <v/>
      </c>
      <c r="D4776">
        <v>288</v>
      </c>
      <c r="E4776">
        <v>110</v>
      </c>
      <c r="F4776" s="366">
        <f t="shared" si="607"/>
        <v>2387</v>
      </c>
      <c r="G4776" s="97">
        <v>5008</v>
      </c>
      <c r="H4776" s="367">
        <f t="shared" si="608"/>
        <v>7395</v>
      </c>
      <c r="I4776" s="368">
        <f t="shared" si="609"/>
        <v>0</v>
      </c>
      <c r="J4776">
        <v>12640</v>
      </c>
      <c r="K4776" s="367">
        <f t="shared" si="610"/>
        <v>9028.5714285714294</v>
      </c>
      <c r="L4776">
        <v>0.29000000000000004</v>
      </c>
      <c r="M4776">
        <v>1.4000000000000001</v>
      </c>
      <c r="N4776">
        <v>27</v>
      </c>
      <c r="O4776">
        <v>10</v>
      </c>
      <c r="P4776" t="s">
        <v>514</v>
      </c>
      <c r="Q4776" s="97" t="str">
        <f t="shared" si="611"/>
        <v/>
      </c>
      <c r="R4776" t="str">
        <f t="shared" si="612"/>
        <v/>
      </c>
    </row>
    <row r="4777" spans="3:18">
      <c r="C4777" t="str">
        <f t="shared" si="606"/>
        <v/>
      </c>
      <c r="D4777">
        <v>289</v>
      </c>
      <c r="E4777">
        <v>110</v>
      </c>
      <c r="F4777" s="366">
        <f t="shared" si="607"/>
        <v>2387</v>
      </c>
      <c r="G4777" s="97">
        <v>6516</v>
      </c>
      <c r="H4777" s="367">
        <f t="shared" si="608"/>
        <v>8903</v>
      </c>
      <c r="I4777" s="368">
        <f t="shared" si="609"/>
        <v>0</v>
      </c>
      <c r="J4777">
        <v>16445</v>
      </c>
      <c r="K4777" s="367">
        <f t="shared" si="610"/>
        <v>11746.428571428572</v>
      </c>
      <c r="L4777">
        <v>0.91</v>
      </c>
      <c r="M4777">
        <v>1.4000000000000001</v>
      </c>
      <c r="N4777">
        <v>30</v>
      </c>
      <c r="O4777">
        <v>10</v>
      </c>
      <c r="P4777" t="s">
        <v>513</v>
      </c>
      <c r="Q4777" s="97" t="str">
        <f t="shared" si="611"/>
        <v/>
      </c>
      <c r="R4777" t="str">
        <f t="shared" si="612"/>
        <v/>
      </c>
    </row>
    <row r="4778" spans="3:18">
      <c r="C4778" t="str">
        <f t="shared" si="606"/>
        <v>NL</v>
      </c>
      <c r="D4778">
        <v>290</v>
      </c>
      <c r="E4778">
        <v>115</v>
      </c>
      <c r="F4778" s="366">
        <f t="shared" si="607"/>
        <v>2495.5</v>
      </c>
      <c r="G4778" s="97">
        <v>1864</v>
      </c>
      <c r="H4778" s="367">
        <f t="shared" si="608"/>
        <v>4359.5</v>
      </c>
      <c r="I4778" s="368">
        <f t="shared" si="609"/>
        <v>0</v>
      </c>
      <c r="J4778">
        <v>4704</v>
      </c>
      <c r="K4778" s="367">
        <f t="shared" si="610"/>
        <v>3360</v>
      </c>
      <c r="L4778">
        <v>1.08</v>
      </c>
      <c r="M4778">
        <v>3.5</v>
      </c>
      <c r="N4778">
        <v>28</v>
      </c>
      <c r="O4778">
        <v>3</v>
      </c>
      <c r="P4778" t="s">
        <v>515</v>
      </c>
      <c r="Q4778" s="97" t="str">
        <f t="shared" si="611"/>
        <v/>
      </c>
      <c r="R4778" t="str">
        <f t="shared" si="612"/>
        <v/>
      </c>
    </row>
    <row r="4779" spans="3:18">
      <c r="C4779" t="str">
        <f t="shared" si="606"/>
        <v/>
      </c>
      <c r="D4779">
        <v>291</v>
      </c>
      <c r="E4779">
        <v>115</v>
      </c>
      <c r="F4779" s="366">
        <f t="shared" si="607"/>
        <v>2495.5</v>
      </c>
      <c r="G4779" s="97">
        <v>2022</v>
      </c>
      <c r="H4779" s="367">
        <f t="shared" si="608"/>
        <v>4517.5</v>
      </c>
      <c r="I4779" s="368">
        <f t="shared" si="609"/>
        <v>0</v>
      </c>
      <c r="J4779">
        <v>5103</v>
      </c>
      <c r="K4779" s="367">
        <f t="shared" si="610"/>
        <v>3645</v>
      </c>
      <c r="L4779">
        <v>0.54</v>
      </c>
      <c r="M4779">
        <v>4.5</v>
      </c>
      <c r="N4779">
        <v>24</v>
      </c>
      <c r="O4779">
        <v>4</v>
      </c>
      <c r="P4779" t="s">
        <v>515</v>
      </c>
      <c r="Q4779" s="97">
        <f t="shared" si="611"/>
        <v>291</v>
      </c>
      <c r="R4779" t="str">
        <f t="shared" si="612"/>
        <v/>
      </c>
    </row>
    <row r="4780" spans="3:18">
      <c r="C4780" t="str">
        <f t="shared" si="606"/>
        <v>NL</v>
      </c>
      <c r="D4780">
        <v>292</v>
      </c>
      <c r="E4780">
        <v>115</v>
      </c>
      <c r="F4780" s="366">
        <f t="shared" si="607"/>
        <v>2495.5</v>
      </c>
      <c r="G4780" s="97">
        <v>2453</v>
      </c>
      <c r="H4780" s="367">
        <f t="shared" si="608"/>
        <v>4948.5</v>
      </c>
      <c r="I4780" s="368">
        <f t="shared" si="609"/>
        <v>0</v>
      </c>
      <c r="J4780">
        <v>6191</v>
      </c>
      <c r="K4780" s="367">
        <f t="shared" si="610"/>
        <v>4422.1428571428569</v>
      </c>
      <c r="L4780">
        <v>0.35000000000000003</v>
      </c>
      <c r="M4780">
        <v>5.5</v>
      </c>
      <c r="N4780">
        <v>23</v>
      </c>
      <c r="O4780">
        <v>5</v>
      </c>
      <c r="P4780" t="s">
        <v>515</v>
      </c>
      <c r="Q4780" s="97" t="str">
        <f t="shared" si="611"/>
        <v/>
      </c>
      <c r="R4780" t="str">
        <f t="shared" si="612"/>
        <v/>
      </c>
    </row>
    <row r="4781" spans="3:18">
      <c r="C4781" t="str">
        <f t="shared" si="606"/>
        <v>NL</v>
      </c>
      <c r="D4781">
        <v>293</v>
      </c>
      <c r="E4781">
        <v>115</v>
      </c>
      <c r="F4781" s="366">
        <f t="shared" si="607"/>
        <v>2495.5</v>
      </c>
      <c r="G4781" s="97">
        <v>3174</v>
      </c>
      <c r="H4781" s="367">
        <f t="shared" si="608"/>
        <v>5669.5</v>
      </c>
      <c r="I4781" s="368">
        <f t="shared" si="609"/>
        <v>0</v>
      </c>
      <c r="J4781">
        <v>8010</v>
      </c>
      <c r="K4781" s="367">
        <f t="shared" si="610"/>
        <v>5721.4285714285716</v>
      </c>
      <c r="L4781">
        <v>1.07</v>
      </c>
      <c r="M4781">
        <v>5.5</v>
      </c>
      <c r="N4781">
        <v>28</v>
      </c>
      <c r="O4781">
        <v>5</v>
      </c>
      <c r="P4781" t="s">
        <v>514</v>
      </c>
      <c r="Q4781" s="97" t="str">
        <f t="shared" si="611"/>
        <v/>
      </c>
      <c r="R4781" t="str">
        <f t="shared" si="612"/>
        <v/>
      </c>
    </row>
    <row r="4782" spans="3:18">
      <c r="C4782" t="str">
        <f t="shared" si="606"/>
        <v/>
      </c>
      <c r="D4782">
        <v>294</v>
      </c>
      <c r="E4782">
        <v>115</v>
      </c>
      <c r="F4782" s="366">
        <f t="shared" si="607"/>
        <v>2495.5</v>
      </c>
      <c r="G4782" s="97">
        <v>2238</v>
      </c>
      <c r="H4782" s="367">
        <f t="shared" si="608"/>
        <v>4733.5</v>
      </c>
      <c r="I4782" s="368">
        <f t="shared" si="609"/>
        <v>0</v>
      </c>
      <c r="J4782">
        <v>5648</v>
      </c>
      <c r="K4782" s="367">
        <f t="shared" si="610"/>
        <v>4034.2857142857142</v>
      </c>
      <c r="L4782">
        <v>0.25</v>
      </c>
      <c r="M4782">
        <v>6.6</v>
      </c>
      <c r="N4782">
        <v>22</v>
      </c>
      <c r="O4782">
        <v>6</v>
      </c>
      <c r="P4782" t="s">
        <v>515</v>
      </c>
      <c r="Q4782" s="97">
        <f t="shared" si="611"/>
        <v>294</v>
      </c>
      <c r="R4782" t="str">
        <f t="shared" si="612"/>
        <v/>
      </c>
    </row>
    <row r="4783" spans="3:18">
      <c r="C4783" t="str">
        <f t="shared" si="606"/>
        <v/>
      </c>
      <c r="D4783">
        <v>295</v>
      </c>
      <c r="E4783">
        <v>115</v>
      </c>
      <c r="F4783" s="366">
        <f t="shared" si="607"/>
        <v>2495.5</v>
      </c>
      <c r="G4783" s="97">
        <v>3034</v>
      </c>
      <c r="H4783" s="367">
        <f t="shared" si="608"/>
        <v>5529.5</v>
      </c>
      <c r="I4783" s="368">
        <f t="shared" si="609"/>
        <v>0</v>
      </c>
      <c r="J4783">
        <v>7658</v>
      </c>
      <c r="K4783" s="367">
        <f t="shared" si="610"/>
        <v>5470</v>
      </c>
      <c r="L4783">
        <v>0.76</v>
      </c>
      <c r="M4783">
        <v>6.6</v>
      </c>
      <c r="N4783">
        <v>27</v>
      </c>
      <c r="O4783">
        <v>6</v>
      </c>
      <c r="P4783" t="s">
        <v>514</v>
      </c>
      <c r="Q4783" s="97" t="str">
        <f t="shared" si="611"/>
        <v/>
      </c>
      <c r="R4783" t="str">
        <f t="shared" si="612"/>
        <v/>
      </c>
    </row>
    <row r="4784" spans="3:18">
      <c r="C4784" t="str">
        <f t="shared" si="606"/>
        <v>NL</v>
      </c>
      <c r="D4784">
        <v>296</v>
      </c>
      <c r="E4784">
        <v>115</v>
      </c>
      <c r="F4784" s="366">
        <f t="shared" si="607"/>
        <v>2495.5</v>
      </c>
      <c r="G4784" s="97">
        <v>2967</v>
      </c>
      <c r="H4784" s="367">
        <f t="shared" si="608"/>
        <v>5462.5</v>
      </c>
      <c r="I4784" s="368">
        <f t="shared" si="609"/>
        <v>0</v>
      </c>
      <c r="J4784">
        <v>7490</v>
      </c>
      <c r="K4784" s="367">
        <f t="shared" si="610"/>
        <v>5350</v>
      </c>
      <c r="L4784">
        <v>0.19</v>
      </c>
      <c r="M4784">
        <v>7.6</v>
      </c>
      <c r="N4784">
        <v>22</v>
      </c>
      <c r="O4784">
        <v>7</v>
      </c>
      <c r="P4784" t="s">
        <v>515</v>
      </c>
      <c r="Q4784" s="97" t="str">
        <f t="shared" si="611"/>
        <v/>
      </c>
      <c r="R4784" t="str">
        <f t="shared" si="612"/>
        <v/>
      </c>
    </row>
    <row r="4785" spans="3:18">
      <c r="C4785" t="str">
        <f t="shared" si="606"/>
        <v>NL</v>
      </c>
      <c r="D4785">
        <v>297</v>
      </c>
      <c r="E4785">
        <v>115</v>
      </c>
      <c r="F4785" s="366">
        <f t="shared" si="607"/>
        <v>2495.5</v>
      </c>
      <c r="G4785" s="97">
        <v>4144</v>
      </c>
      <c r="H4785" s="367">
        <f t="shared" si="608"/>
        <v>6639.5</v>
      </c>
      <c r="I4785" s="368">
        <f t="shared" si="609"/>
        <v>0</v>
      </c>
      <c r="J4785">
        <v>10458</v>
      </c>
      <c r="K4785" s="367">
        <f t="shared" si="610"/>
        <v>7470</v>
      </c>
      <c r="L4785">
        <v>0.57000000000000006</v>
      </c>
      <c r="M4785">
        <v>7.6</v>
      </c>
      <c r="N4785">
        <v>27</v>
      </c>
      <c r="O4785">
        <v>7</v>
      </c>
      <c r="P4785" t="s">
        <v>514</v>
      </c>
      <c r="Q4785" s="97" t="str">
        <f t="shared" si="611"/>
        <v/>
      </c>
      <c r="R4785" t="str">
        <f t="shared" si="612"/>
        <v/>
      </c>
    </row>
    <row r="4786" spans="3:18">
      <c r="C4786" t="str">
        <f t="shared" si="606"/>
        <v/>
      </c>
      <c r="D4786">
        <v>298</v>
      </c>
      <c r="E4786">
        <v>115</v>
      </c>
      <c r="F4786" s="366">
        <f t="shared" si="607"/>
        <v>2495.5</v>
      </c>
      <c r="G4786" s="97">
        <v>3573</v>
      </c>
      <c r="H4786" s="367">
        <f t="shared" si="608"/>
        <v>6068.5</v>
      </c>
      <c r="I4786" s="368">
        <f t="shared" si="609"/>
        <v>0</v>
      </c>
      <c r="J4786">
        <v>9018</v>
      </c>
      <c r="K4786" s="367">
        <f t="shared" si="610"/>
        <v>6441.4285714285716</v>
      </c>
      <c r="L4786">
        <v>0.46</v>
      </c>
      <c r="M4786">
        <v>8.5</v>
      </c>
      <c r="N4786">
        <v>27</v>
      </c>
      <c r="O4786">
        <v>8</v>
      </c>
      <c r="P4786" t="s">
        <v>514</v>
      </c>
      <c r="Q4786" s="97">
        <f t="shared" si="611"/>
        <v>298</v>
      </c>
      <c r="R4786" t="str">
        <f t="shared" si="612"/>
        <v/>
      </c>
    </row>
    <row r="4787" spans="3:18">
      <c r="C4787" t="str">
        <f t="shared" si="606"/>
        <v>NL</v>
      </c>
      <c r="D4787">
        <v>299</v>
      </c>
      <c r="E4787">
        <v>115</v>
      </c>
      <c r="F4787" s="366">
        <f t="shared" si="607"/>
        <v>2495.5</v>
      </c>
      <c r="G4787" s="97">
        <v>4892</v>
      </c>
      <c r="H4787" s="367">
        <f t="shared" si="608"/>
        <v>7387.5</v>
      </c>
      <c r="I4787" s="368">
        <f t="shared" si="609"/>
        <v>0</v>
      </c>
      <c r="J4787">
        <v>12346</v>
      </c>
      <c r="K4787" s="367">
        <f t="shared" si="610"/>
        <v>8818.5714285714294</v>
      </c>
      <c r="L4787">
        <v>0.38</v>
      </c>
      <c r="M4787">
        <v>9.6</v>
      </c>
      <c r="N4787">
        <v>27</v>
      </c>
      <c r="O4787">
        <v>9</v>
      </c>
      <c r="P4787" t="s">
        <v>514</v>
      </c>
      <c r="Q4787" s="97" t="str">
        <f t="shared" si="611"/>
        <v/>
      </c>
      <c r="R4787" t="str">
        <f t="shared" si="612"/>
        <v/>
      </c>
    </row>
    <row r="4788" spans="3:18">
      <c r="C4788" t="str">
        <f t="shared" si="606"/>
        <v>NL</v>
      </c>
      <c r="D4788">
        <v>300</v>
      </c>
      <c r="E4788">
        <v>115</v>
      </c>
      <c r="F4788" s="366">
        <f t="shared" si="607"/>
        <v>2495.5</v>
      </c>
      <c r="G4788" s="97">
        <v>6321</v>
      </c>
      <c r="H4788" s="367">
        <f t="shared" si="608"/>
        <v>8816.5</v>
      </c>
      <c r="I4788" s="368">
        <f t="shared" si="609"/>
        <v>0</v>
      </c>
      <c r="J4788">
        <v>15955</v>
      </c>
      <c r="K4788" s="367">
        <f t="shared" si="610"/>
        <v>11396.428571428572</v>
      </c>
      <c r="L4788">
        <v>1.2</v>
      </c>
      <c r="M4788">
        <v>9.6</v>
      </c>
      <c r="N4788">
        <v>31</v>
      </c>
      <c r="O4788">
        <v>9</v>
      </c>
      <c r="P4788" t="s">
        <v>513</v>
      </c>
      <c r="Q4788" s="97" t="str">
        <f t="shared" si="611"/>
        <v/>
      </c>
      <c r="R4788" t="str">
        <f t="shared" si="612"/>
        <v/>
      </c>
    </row>
    <row r="4789" spans="3:18">
      <c r="C4789" t="str">
        <f t="shared" si="606"/>
        <v/>
      </c>
      <c r="D4789">
        <v>301</v>
      </c>
      <c r="E4789">
        <v>115</v>
      </c>
      <c r="F4789" s="366">
        <f t="shared" si="607"/>
        <v>2495.5</v>
      </c>
      <c r="G4789" s="97">
        <v>5161</v>
      </c>
      <c r="H4789" s="367">
        <f t="shared" si="608"/>
        <v>7656.5</v>
      </c>
      <c r="I4789" s="368">
        <f t="shared" si="609"/>
        <v>0</v>
      </c>
      <c r="J4789">
        <v>13027</v>
      </c>
      <c r="K4789" s="367">
        <f t="shared" si="610"/>
        <v>9305</v>
      </c>
      <c r="L4789">
        <v>0.32</v>
      </c>
      <c r="M4789">
        <v>1.4000000000000001</v>
      </c>
      <c r="N4789">
        <v>27</v>
      </c>
      <c r="O4789">
        <v>10</v>
      </c>
      <c r="P4789" t="s">
        <v>514</v>
      </c>
      <c r="Q4789" s="97" t="str">
        <f t="shared" si="611"/>
        <v/>
      </c>
      <c r="R4789" t="str">
        <f t="shared" si="612"/>
        <v/>
      </c>
    </row>
    <row r="4790" spans="3:18">
      <c r="C4790" t="str">
        <f t="shared" si="606"/>
        <v/>
      </c>
      <c r="D4790">
        <v>302</v>
      </c>
      <c r="E4790">
        <v>115</v>
      </c>
      <c r="F4790" s="366">
        <f t="shared" si="607"/>
        <v>2495.5</v>
      </c>
      <c r="G4790" s="97">
        <v>6696</v>
      </c>
      <c r="H4790" s="367">
        <f t="shared" si="608"/>
        <v>9191.5</v>
      </c>
      <c r="I4790" s="368">
        <f t="shared" si="609"/>
        <v>0</v>
      </c>
      <c r="J4790">
        <v>16900</v>
      </c>
      <c r="K4790" s="367">
        <f t="shared" si="610"/>
        <v>12071.428571428572</v>
      </c>
      <c r="L4790">
        <v>0.99</v>
      </c>
      <c r="M4790">
        <v>1.4000000000000001</v>
      </c>
      <c r="N4790">
        <v>30</v>
      </c>
      <c r="O4790">
        <v>10</v>
      </c>
      <c r="P4790" t="s">
        <v>513</v>
      </c>
      <c r="Q4790" s="97" t="str">
        <f t="shared" si="611"/>
        <v/>
      </c>
      <c r="R4790" t="str">
        <f t="shared" si="612"/>
        <v/>
      </c>
    </row>
    <row r="4791" spans="3:18">
      <c r="C4791" t="str">
        <f t="shared" si="606"/>
        <v/>
      </c>
      <c r="D4791">
        <v>303</v>
      </c>
      <c r="E4791">
        <v>120</v>
      </c>
      <c r="F4791" s="366">
        <f t="shared" si="607"/>
        <v>2604</v>
      </c>
      <c r="G4791" s="97">
        <v>2085</v>
      </c>
      <c r="H4791" s="367">
        <f t="shared" si="608"/>
        <v>4689</v>
      </c>
      <c r="I4791" s="368">
        <f t="shared" si="609"/>
        <v>0</v>
      </c>
      <c r="J4791">
        <v>5264</v>
      </c>
      <c r="K4791" s="367">
        <f t="shared" si="610"/>
        <v>3760</v>
      </c>
      <c r="L4791">
        <v>0.59</v>
      </c>
      <c r="M4791">
        <v>4.5</v>
      </c>
      <c r="N4791">
        <v>25</v>
      </c>
      <c r="O4791">
        <v>4</v>
      </c>
      <c r="P4791" t="s">
        <v>515</v>
      </c>
      <c r="Q4791" s="97">
        <f t="shared" si="611"/>
        <v>303</v>
      </c>
      <c r="R4791" t="str">
        <f t="shared" si="612"/>
        <v/>
      </c>
    </row>
    <row r="4792" spans="3:18">
      <c r="C4792" t="str">
        <f t="shared" ref="C4792:C4855" si="613">IF(OR($O$4=0,O4792-$O$4=0),IF(AND(ISEVEN(O4792)=FALSE,$N$4="Even"),"NL",""),"NL")</f>
        <v>NL</v>
      </c>
      <c r="D4792">
        <v>304</v>
      </c>
      <c r="E4792">
        <v>120</v>
      </c>
      <c r="F4792" s="366">
        <f t="shared" si="607"/>
        <v>2604</v>
      </c>
      <c r="G4792" s="97">
        <v>2528</v>
      </c>
      <c r="H4792" s="367">
        <f t="shared" si="608"/>
        <v>5132</v>
      </c>
      <c r="I4792" s="368">
        <f t="shared" si="609"/>
        <v>0</v>
      </c>
      <c r="J4792">
        <v>6381</v>
      </c>
      <c r="K4792" s="367">
        <f t="shared" si="610"/>
        <v>4557.8571428571431</v>
      </c>
      <c r="L4792">
        <v>0.38</v>
      </c>
      <c r="M4792">
        <v>5.5</v>
      </c>
      <c r="N4792">
        <v>24</v>
      </c>
      <c r="O4792">
        <v>5</v>
      </c>
      <c r="P4792" t="s">
        <v>515</v>
      </c>
      <c r="Q4792" s="97" t="str">
        <f t="shared" si="611"/>
        <v/>
      </c>
      <c r="R4792" t="str">
        <f t="shared" si="612"/>
        <v/>
      </c>
    </row>
    <row r="4793" spans="3:18">
      <c r="C4793" t="str">
        <f t="shared" si="613"/>
        <v/>
      </c>
      <c r="D4793">
        <v>305</v>
      </c>
      <c r="E4793">
        <v>120</v>
      </c>
      <c r="F4793" s="366">
        <f t="shared" si="607"/>
        <v>2604</v>
      </c>
      <c r="G4793" s="97">
        <v>2307</v>
      </c>
      <c r="H4793" s="367">
        <f t="shared" si="608"/>
        <v>4911</v>
      </c>
      <c r="I4793" s="368">
        <f t="shared" si="609"/>
        <v>0</v>
      </c>
      <c r="J4793">
        <v>5824</v>
      </c>
      <c r="K4793" s="367">
        <f t="shared" si="610"/>
        <v>4160</v>
      </c>
      <c r="L4793">
        <v>0.27</v>
      </c>
      <c r="M4793">
        <v>6.6</v>
      </c>
      <c r="N4793">
        <v>23</v>
      </c>
      <c r="O4793">
        <v>6</v>
      </c>
      <c r="P4793" t="s">
        <v>515</v>
      </c>
      <c r="Q4793" s="97">
        <f t="shared" si="611"/>
        <v>305</v>
      </c>
      <c r="R4793" t="str">
        <f t="shared" si="612"/>
        <v/>
      </c>
    </row>
    <row r="4794" spans="3:18">
      <c r="C4794" t="str">
        <f t="shared" si="613"/>
        <v/>
      </c>
      <c r="D4794">
        <v>306</v>
      </c>
      <c r="E4794">
        <v>120</v>
      </c>
      <c r="F4794" s="366">
        <f t="shared" si="607"/>
        <v>2604</v>
      </c>
      <c r="G4794" s="97">
        <v>3123</v>
      </c>
      <c r="H4794" s="367">
        <f t="shared" si="608"/>
        <v>5727</v>
      </c>
      <c r="I4794" s="368">
        <f t="shared" si="609"/>
        <v>0</v>
      </c>
      <c r="J4794">
        <v>7882</v>
      </c>
      <c r="K4794" s="367">
        <f t="shared" si="610"/>
        <v>5630</v>
      </c>
      <c r="L4794">
        <v>0.83</v>
      </c>
      <c r="M4794">
        <v>6.6</v>
      </c>
      <c r="N4794">
        <v>28</v>
      </c>
      <c r="O4794">
        <v>6</v>
      </c>
      <c r="P4794" t="s">
        <v>514</v>
      </c>
      <c r="Q4794" s="97" t="str">
        <f t="shared" si="611"/>
        <v/>
      </c>
      <c r="R4794" t="str">
        <f t="shared" si="612"/>
        <v/>
      </c>
    </row>
    <row r="4795" spans="3:18">
      <c r="C4795" t="str">
        <f t="shared" si="613"/>
        <v>NL</v>
      </c>
      <c r="D4795">
        <v>307</v>
      </c>
      <c r="E4795">
        <v>120</v>
      </c>
      <c r="F4795" s="366">
        <f t="shared" si="607"/>
        <v>2604</v>
      </c>
      <c r="G4795" s="97">
        <v>3063</v>
      </c>
      <c r="H4795" s="367">
        <f t="shared" si="608"/>
        <v>5667</v>
      </c>
      <c r="I4795" s="368">
        <f t="shared" si="609"/>
        <v>0</v>
      </c>
      <c r="J4795">
        <v>7731</v>
      </c>
      <c r="K4795" s="367">
        <f t="shared" si="610"/>
        <v>5522.1428571428569</v>
      </c>
      <c r="L4795">
        <v>0.21000000000000002</v>
      </c>
      <c r="M4795">
        <v>7.6</v>
      </c>
      <c r="N4795">
        <v>23</v>
      </c>
      <c r="O4795">
        <v>7</v>
      </c>
      <c r="P4795" t="s">
        <v>515</v>
      </c>
      <c r="Q4795" s="97" t="str">
        <f t="shared" si="611"/>
        <v/>
      </c>
      <c r="R4795" t="str">
        <f t="shared" si="612"/>
        <v/>
      </c>
    </row>
    <row r="4796" spans="3:18">
      <c r="C4796" t="str">
        <f t="shared" si="613"/>
        <v>NL</v>
      </c>
      <c r="D4796">
        <v>308</v>
      </c>
      <c r="E4796">
        <v>120</v>
      </c>
      <c r="F4796" s="366">
        <f t="shared" si="607"/>
        <v>2604</v>
      </c>
      <c r="G4796" s="97">
        <v>4257</v>
      </c>
      <c r="H4796" s="367">
        <f t="shared" si="608"/>
        <v>6861</v>
      </c>
      <c r="I4796" s="368">
        <f t="shared" si="609"/>
        <v>0</v>
      </c>
      <c r="J4796">
        <v>10746</v>
      </c>
      <c r="K4796" s="367">
        <f t="shared" si="610"/>
        <v>7675.7142857142862</v>
      </c>
      <c r="L4796">
        <v>0.62</v>
      </c>
      <c r="M4796">
        <v>7.6</v>
      </c>
      <c r="N4796">
        <v>28</v>
      </c>
      <c r="O4796">
        <v>7</v>
      </c>
      <c r="P4796" t="s">
        <v>514</v>
      </c>
      <c r="Q4796" s="97" t="str">
        <f t="shared" si="611"/>
        <v/>
      </c>
      <c r="R4796" t="str">
        <f t="shared" si="612"/>
        <v/>
      </c>
    </row>
    <row r="4797" spans="3:18">
      <c r="C4797" t="str">
        <f t="shared" si="613"/>
        <v/>
      </c>
      <c r="D4797">
        <v>309</v>
      </c>
      <c r="E4797">
        <v>120</v>
      </c>
      <c r="F4797" s="366">
        <f t="shared" si="607"/>
        <v>2604</v>
      </c>
      <c r="G4797" s="97">
        <v>2425</v>
      </c>
      <c r="H4797" s="367">
        <f t="shared" si="608"/>
        <v>5029</v>
      </c>
      <c r="I4797" s="368">
        <f t="shared" si="609"/>
        <v>0</v>
      </c>
      <c r="J4797">
        <v>6121</v>
      </c>
      <c r="K4797" s="367">
        <f t="shared" si="610"/>
        <v>4372.1428571428569</v>
      </c>
      <c r="L4797">
        <v>0.16</v>
      </c>
      <c r="M4797">
        <v>8.5</v>
      </c>
      <c r="N4797">
        <v>23</v>
      </c>
      <c r="O4797">
        <v>8</v>
      </c>
      <c r="P4797" t="s">
        <v>515</v>
      </c>
      <c r="Q4797" s="97">
        <f t="shared" si="611"/>
        <v>309</v>
      </c>
      <c r="R4797" t="str">
        <f t="shared" si="612"/>
        <v/>
      </c>
    </row>
    <row r="4798" spans="3:18">
      <c r="C4798" t="str">
        <f t="shared" si="613"/>
        <v/>
      </c>
      <c r="D4798">
        <v>310</v>
      </c>
      <c r="E4798">
        <v>120</v>
      </c>
      <c r="F4798" s="366">
        <f t="shared" si="607"/>
        <v>2604</v>
      </c>
      <c r="G4798" s="97">
        <v>3677</v>
      </c>
      <c r="H4798" s="367">
        <f t="shared" si="608"/>
        <v>6281</v>
      </c>
      <c r="I4798" s="368">
        <f t="shared" si="609"/>
        <v>0</v>
      </c>
      <c r="J4798">
        <v>9282</v>
      </c>
      <c r="K4798" s="367">
        <f t="shared" si="610"/>
        <v>6630</v>
      </c>
      <c r="L4798">
        <v>0.5</v>
      </c>
      <c r="M4798">
        <v>8.5</v>
      </c>
      <c r="N4798">
        <v>27</v>
      </c>
      <c r="O4798">
        <v>8</v>
      </c>
      <c r="P4798" t="s">
        <v>514</v>
      </c>
      <c r="Q4798" s="97">
        <f t="shared" si="611"/>
        <v>310</v>
      </c>
      <c r="R4798" t="str">
        <f t="shared" si="612"/>
        <v/>
      </c>
    </row>
    <row r="4799" spans="3:18">
      <c r="C4799" t="str">
        <f t="shared" si="613"/>
        <v>NL</v>
      </c>
      <c r="D4799">
        <v>311</v>
      </c>
      <c r="E4799">
        <v>120</v>
      </c>
      <c r="F4799" s="366">
        <f t="shared" si="607"/>
        <v>2604</v>
      </c>
      <c r="G4799" s="97">
        <v>5036</v>
      </c>
      <c r="H4799" s="367">
        <f t="shared" si="608"/>
        <v>7640</v>
      </c>
      <c r="I4799" s="368">
        <f t="shared" si="609"/>
        <v>0</v>
      </c>
      <c r="J4799">
        <v>12712</v>
      </c>
      <c r="K4799" s="367">
        <f t="shared" si="610"/>
        <v>9080</v>
      </c>
      <c r="L4799">
        <v>0.41000000000000003</v>
      </c>
      <c r="M4799">
        <v>9.6</v>
      </c>
      <c r="N4799">
        <v>28</v>
      </c>
      <c r="O4799">
        <v>9</v>
      </c>
      <c r="P4799" t="s">
        <v>514</v>
      </c>
      <c r="Q4799" s="97" t="str">
        <f t="shared" si="611"/>
        <v/>
      </c>
      <c r="R4799" t="str">
        <f t="shared" si="612"/>
        <v/>
      </c>
    </row>
    <row r="4800" spans="3:18">
      <c r="C4800" t="str">
        <f t="shared" si="613"/>
        <v/>
      </c>
      <c r="D4800">
        <v>312</v>
      </c>
      <c r="E4800">
        <v>120</v>
      </c>
      <c r="F4800" s="366">
        <f t="shared" si="607"/>
        <v>2604</v>
      </c>
      <c r="G4800" s="97">
        <v>5314</v>
      </c>
      <c r="H4800" s="367">
        <f t="shared" si="608"/>
        <v>7918</v>
      </c>
      <c r="I4800" s="368">
        <f t="shared" si="609"/>
        <v>0</v>
      </c>
      <c r="J4800">
        <v>13414</v>
      </c>
      <c r="K4800" s="367">
        <f t="shared" si="610"/>
        <v>9581.4285714285725</v>
      </c>
      <c r="L4800">
        <v>0.35000000000000003</v>
      </c>
      <c r="M4800">
        <v>1.4000000000000001</v>
      </c>
      <c r="N4800">
        <v>28</v>
      </c>
      <c r="O4800">
        <v>10</v>
      </c>
      <c r="P4800" t="s">
        <v>514</v>
      </c>
      <c r="Q4800" s="97" t="str">
        <f t="shared" si="611"/>
        <v/>
      </c>
      <c r="R4800" t="str">
        <f t="shared" si="612"/>
        <v/>
      </c>
    </row>
    <row r="4801" spans="3:18">
      <c r="C4801" t="str">
        <f t="shared" si="613"/>
        <v/>
      </c>
      <c r="D4801">
        <v>313</v>
      </c>
      <c r="E4801">
        <v>120</v>
      </c>
      <c r="F4801" s="366">
        <f t="shared" si="607"/>
        <v>2604</v>
      </c>
      <c r="G4801" s="97">
        <v>6876</v>
      </c>
      <c r="H4801" s="367">
        <f t="shared" si="608"/>
        <v>9480</v>
      </c>
      <c r="I4801" s="368">
        <f t="shared" si="609"/>
        <v>0</v>
      </c>
      <c r="J4801">
        <v>17354</v>
      </c>
      <c r="K4801" s="367">
        <f t="shared" si="610"/>
        <v>12395.714285714286</v>
      </c>
      <c r="L4801">
        <v>1.08</v>
      </c>
      <c r="M4801">
        <v>1.4000000000000001</v>
      </c>
      <c r="N4801">
        <v>31</v>
      </c>
      <c r="O4801">
        <v>10</v>
      </c>
      <c r="P4801" t="s">
        <v>513</v>
      </c>
      <c r="Q4801" s="97" t="str">
        <f t="shared" si="611"/>
        <v/>
      </c>
      <c r="R4801" t="str">
        <f t="shared" si="612"/>
        <v/>
      </c>
    </row>
    <row r="4802" spans="3:18">
      <c r="C4802" t="str">
        <f t="shared" si="613"/>
        <v/>
      </c>
      <c r="D4802">
        <v>314</v>
      </c>
      <c r="E4802">
        <v>125</v>
      </c>
      <c r="F4802" s="366">
        <f t="shared" si="607"/>
        <v>2712.5</v>
      </c>
      <c r="G4802" s="97">
        <v>2149</v>
      </c>
      <c r="H4802" s="367">
        <f t="shared" si="608"/>
        <v>4861.5</v>
      </c>
      <c r="I4802" s="368">
        <f t="shared" si="609"/>
        <v>0</v>
      </c>
      <c r="J4802">
        <v>5425</v>
      </c>
      <c r="K4802" s="367">
        <f t="shared" si="610"/>
        <v>3875</v>
      </c>
      <c r="L4802">
        <v>0.64</v>
      </c>
      <c r="M4802">
        <v>4.5</v>
      </c>
      <c r="N4802">
        <v>25</v>
      </c>
      <c r="O4802">
        <v>4</v>
      </c>
      <c r="P4802" t="s">
        <v>515</v>
      </c>
      <c r="Q4802" s="97">
        <f t="shared" si="611"/>
        <v>314</v>
      </c>
      <c r="R4802" t="str">
        <f t="shared" si="612"/>
        <v/>
      </c>
    </row>
    <row r="4803" spans="3:18">
      <c r="C4803" t="str">
        <f t="shared" si="613"/>
        <v>NL</v>
      </c>
      <c r="D4803">
        <v>315</v>
      </c>
      <c r="E4803">
        <v>125</v>
      </c>
      <c r="F4803" s="366">
        <f t="shared" si="607"/>
        <v>2712.5</v>
      </c>
      <c r="G4803" s="97">
        <v>2603</v>
      </c>
      <c r="H4803" s="367">
        <f t="shared" si="608"/>
        <v>5315.5</v>
      </c>
      <c r="I4803" s="368">
        <f t="shared" si="609"/>
        <v>0</v>
      </c>
      <c r="J4803">
        <v>6570</v>
      </c>
      <c r="K4803" s="367">
        <f t="shared" si="610"/>
        <v>4692.8571428571431</v>
      </c>
      <c r="L4803">
        <v>0.41000000000000003</v>
      </c>
      <c r="M4803">
        <v>5.5</v>
      </c>
      <c r="N4803">
        <v>24</v>
      </c>
      <c r="O4803">
        <v>5</v>
      </c>
      <c r="P4803" t="s">
        <v>515</v>
      </c>
      <c r="Q4803" s="97" t="str">
        <f t="shared" si="611"/>
        <v/>
      </c>
      <c r="R4803" t="str">
        <f t="shared" si="612"/>
        <v/>
      </c>
    </row>
    <row r="4804" spans="3:18">
      <c r="C4804" t="str">
        <f t="shared" si="613"/>
        <v/>
      </c>
      <c r="D4804">
        <v>316</v>
      </c>
      <c r="E4804">
        <v>125</v>
      </c>
      <c r="F4804" s="366">
        <f t="shared" si="607"/>
        <v>2712.5</v>
      </c>
      <c r="G4804" s="97">
        <v>2377</v>
      </c>
      <c r="H4804" s="367">
        <f t="shared" si="608"/>
        <v>5089.5</v>
      </c>
      <c r="I4804" s="368">
        <f t="shared" si="609"/>
        <v>0</v>
      </c>
      <c r="J4804">
        <v>6000</v>
      </c>
      <c r="K4804" s="367">
        <f t="shared" si="610"/>
        <v>4285.7142857142862</v>
      </c>
      <c r="L4804">
        <v>0.29000000000000004</v>
      </c>
      <c r="M4804">
        <v>6.6</v>
      </c>
      <c r="N4804">
        <v>24</v>
      </c>
      <c r="O4804">
        <v>6</v>
      </c>
      <c r="P4804" t="s">
        <v>515</v>
      </c>
      <c r="Q4804" s="97">
        <f t="shared" si="611"/>
        <v>316</v>
      </c>
      <c r="R4804" t="str">
        <f t="shared" si="612"/>
        <v/>
      </c>
    </row>
    <row r="4805" spans="3:18">
      <c r="C4805" t="str">
        <f t="shared" si="613"/>
        <v/>
      </c>
      <c r="D4805">
        <v>317</v>
      </c>
      <c r="E4805">
        <v>125</v>
      </c>
      <c r="F4805" s="366">
        <f t="shared" si="607"/>
        <v>2712.5</v>
      </c>
      <c r="G4805" s="97">
        <v>3212</v>
      </c>
      <c r="H4805" s="367">
        <f t="shared" si="608"/>
        <v>5924.5</v>
      </c>
      <c r="I4805" s="368">
        <f t="shared" si="609"/>
        <v>0</v>
      </c>
      <c r="J4805">
        <v>8107</v>
      </c>
      <c r="K4805" s="367">
        <f t="shared" si="610"/>
        <v>5790.7142857142862</v>
      </c>
      <c r="L4805">
        <v>0.9</v>
      </c>
      <c r="M4805">
        <v>6.6</v>
      </c>
      <c r="N4805">
        <v>29</v>
      </c>
      <c r="O4805">
        <v>6</v>
      </c>
      <c r="P4805" t="s">
        <v>514</v>
      </c>
      <c r="Q4805" s="97" t="str">
        <f t="shared" si="611"/>
        <v/>
      </c>
      <c r="R4805" t="str">
        <f t="shared" si="612"/>
        <v/>
      </c>
    </row>
    <row r="4806" spans="3:18">
      <c r="C4806" t="str">
        <f t="shared" si="613"/>
        <v>NL</v>
      </c>
      <c r="D4806">
        <v>318</v>
      </c>
      <c r="E4806">
        <v>125</v>
      </c>
      <c r="F4806" s="366">
        <f t="shared" si="607"/>
        <v>2712.5</v>
      </c>
      <c r="G4806" s="97">
        <v>3159</v>
      </c>
      <c r="H4806" s="367">
        <f t="shared" si="608"/>
        <v>5871.5</v>
      </c>
      <c r="I4806" s="368">
        <f t="shared" si="609"/>
        <v>0</v>
      </c>
      <c r="J4806">
        <v>7973</v>
      </c>
      <c r="K4806" s="367">
        <f t="shared" si="610"/>
        <v>5695</v>
      </c>
      <c r="L4806">
        <v>0.22</v>
      </c>
      <c r="M4806">
        <v>7.6</v>
      </c>
      <c r="N4806">
        <v>23</v>
      </c>
      <c r="O4806">
        <v>7</v>
      </c>
      <c r="P4806" t="s">
        <v>515</v>
      </c>
      <c r="Q4806" s="97" t="str">
        <f t="shared" si="611"/>
        <v/>
      </c>
      <c r="R4806" t="str">
        <f t="shared" si="612"/>
        <v/>
      </c>
    </row>
    <row r="4807" spans="3:18">
      <c r="C4807" t="str">
        <f t="shared" si="613"/>
        <v>NL</v>
      </c>
      <c r="D4807">
        <v>319</v>
      </c>
      <c r="E4807">
        <v>125</v>
      </c>
      <c r="F4807" s="366">
        <f t="shared" si="607"/>
        <v>2712.5</v>
      </c>
      <c r="G4807" s="97">
        <v>4371</v>
      </c>
      <c r="H4807" s="367">
        <f t="shared" si="608"/>
        <v>7083.5</v>
      </c>
      <c r="I4807" s="368">
        <f t="shared" si="609"/>
        <v>0</v>
      </c>
      <c r="J4807">
        <v>11033</v>
      </c>
      <c r="K4807" s="367">
        <f t="shared" si="610"/>
        <v>7880.7142857142862</v>
      </c>
      <c r="L4807">
        <v>0.68</v>
      </c>
      <c r="M4807">
        <v>7.6</v>
      </c>
      <c r="N4807">
        <v>28</v>
      </c>
      <c r="O4807">
        <v>7</v>
      </c>
      <c r="P4807" t="s">
        <v>514</v>
      </c>
      <c r="Q4807" s="97" t="str">
        <f t="shared" si="611"/>
        <v/>
      </c>
      <c r="R4807" t="str">
        <f t="shared" si="612"/>
        <v/>
      </c>
    </row>
    <row r="4808" spans="3:18">
      <c r="C4808" t="str">
        <f t="shared" si="613"/>
        <v/>
      </c>
      <c r="D4808">
        <v>320</v>
      </c>
      <c r="E4808">
        <v>125</v>
      </c>
      <c r="F4808" s="366">
        <f t="shared" si="607"/>
        <v>2712.5</v>
      </c>
      <c r="G4808" s="97">
        <v>2504</v>
      </c>
      <c r="H4808" s="367">
        <f t="shared" si="608"/>
        <v>5216.5</v>
      </c>
      <c r="I4808" s="368">
        <f t="shared" si="609"/>
        <v>0</v>
      </c>
      <c r="J4808">
        <v>6321</v>
      </c>
      <c r="K4808" s="367">
        <f t="shared" si="610"/>
        <v>4515</v>
      </c>
      <c r="L4808">
        <v>0.18000000000000002</v>
      </c>
      <c r="M4808">
        <v>8.5</v>
      </c>
      <c r="N4808">
        <v>23</v>
      </c>
      <c r="O4808">
        <v>8</v>
      </c>
      <c r="P4808" t="s">
        <v>515</v>
      </c>
      <c r="Q4808" s="97">
        <f t="shared" si="611"/>
        <v>320</v>
      </c>
      <c r="R4808" t="str">
        <f t="shared" si="612"/>
        <v/>
      </c>
    </row>
    <row r="4809" spans="3:18">
      <c r="C4809" t="str">
        <f t="shared" si="613"/>
        <v/>
      </c>
      <c r="D4809">
        <v>321</v>
      </c>
      <c r="E4809">
        <v>125</v>
      </c>
      <c r="F4809" s="366">
        <f t="shared" si="607"/>
        <v>2712.5</v>
      </c>
      <c r="G4809" s="97">
        <v>3781</v>
      </c>
      <c r="H4809" s="367">
        <f t="shared" si="608"/>
        <v>6493.5</v>
      </c>
      <c r="I4809" s="368">
        <f t="shared" si="609"/>
        <v>0</v>
      </c>
      <c r="J4809">
        <v>9544</v>
      </c>
      <c r="K4809" s="367">
        <f t="shared" si="610"/>
        <v>6817.1428571428569</v>
      </c>
      <c r="L4809">
        <v>0.54</v>
      </c>
      <c r="M4809">
        <v>8.5</v>
      </c>
      <c r="N4809">
        <v>28</v>
      </c>
      <c r="O4809">
        <v>8</v>
      </c>
      <c r="P4809" t="s">
        <v>514</v>
      </c>
      <c r="Q4809" s="97">
        <f t="shared" si="611"/>
        <v>321</v>
      </c>
      <c r="R4809" t="str">
        <f t="shared" si="612"/>
        <v/>
      </c>
    </row>
    <row r="4810" spans="3:18">
      <c r="C4810" t="str">
        <f t="shared" si="613"/>
        <v>NL</v>
      </c>
      <c r="D4810">
        <v>322</v>
      </c>
      <c r="E4810">
        <v>125</v>
      </c>
      <c r="F4810" s="366">
        <f t="shared" ref="F4810:F4873" si="614">1.085*($A$2-$B$2)*E4810*$T$7</f>
        <v>2712.5</v>
      </c>
      <c r="G4810" s="97">
        <v>5171</v>
      </c>
      <c r="H4810" s="367">
        <f t="shared" ref="H4810:H4873" si="615">(G4810*$U$7)+F4810</f>
        <v>7883.5</v>
      </c>
      <c r="I4810" s="368">
        <f t="shared" ref="I4810:I4873" si="616">1.085*($C$2-$D$2)*E4810*$T$7</f>
        <v>0</v>
      </c>
      <c r="J4810">
        <v>13052</v>
      </c>
      <c r="K4810" s="367">
        <f t="shared" ref="K4810:K4873" si="617">(J4810*$V$7)-I4810</f>
        <v>9322.8571428571431</v>
      </c>
      <c r="L4810">
        <v>0.44</v>
      </c>
      <c r="M4810">
        <v>9.6</v>
      </c>
      <c r="N4810">
        <v>28</v>
      </c>
      <c r="O4810">
        <v>9</v>
      </c>
      <c r="P4810" t="s">
        <v>514</v>
      </c>
      <c r="Q4810" s="97" t="str">
        <f t="shared" ref="Q4810:Q4873" si="618">IF(AND(H4810+1&gt;$E$4,L4810&lt;$L$4+0.01,M4810&lt;$M$4+0.01,K4810+1&gt;$F$4,E4810+1&gt;$J$4,N4810&lt;$K$4+1,O4810&lt;$P$4+1,C4810=""),D4810,"")</f>
        <v/>
      </c>
      <c r="R4810" t="str">
        <f t="shared" ref="R4810:R4873" si="619">IF(Q4810="","",IF(AND(O4810&lt;$X$38,E4810&gt;$U$38,E4810&lt;$Q$4+$U$38+1),D4810,""))</f>
        <v/>
      </c>
    </row>
    <row r="4811" spans="3:18">
      <c r="C4811" t="str">
        <f t="shared" si="613"/>
        <v/>
      </c>
      <c r="D4811">
        <v>323</v>
      </c>
      <c r="E4811">
        <v>125</v>
      </c>
      <c r="F4811" s="366">
        <f t="shared" si="614"/>
        <v>2712.5</v>
      </c>
      <c r="G4811" s="97">
        <v>5468</v>
      </c>
      <c r="H4811" s="367">
        <f t="shared" si="615"/>
        <v>8180.5</v>
      </c>
      <c r="I4811" s="368">
        <f t="shared" si="616"/>
        <v>0</v>
      </c>
      <c r="J4811">
        <v>13800</v>
      </c>
      <c r="K4811" s="367">
        <f t="shared" si="617"/>
        <v>9857.1428571428569</v>
      </c>
      <c r="L4811">
        <v>0.38</v>
      </c>
      <c r="M4811">
        <v>1.4000000000000001</v>
      </c>
      <c r="N4811">
        <v>28</v>
      </c>
      <c r="O4811">
        <v>10</v>
      </c>
      <c r="P4811" t="s">
        <v>514</v>
      </c>
      <c r="Q4811" s="97" t="str">
        <f t="shared" si="618"/>
        <v/>
      </c>
      <c r="R4811" t="str">
        <f t="shared" si="619"/>
        <v/>
      </c>
    </row>
    <row r="4812" spans="3:18">
      <c r="C4812" t="str">
        <f t="shared" si="613"/>
        <v/>
      </c>
      <c r="D4812">
        <v>324</v>
      </c>
      <c r="E4812">
        <v>125</v>
      </c>
      <c r="F4812" s="366">
        <f t="shared" si="614"/>
        <v>2712.5</v>
      </c>
      <c r="G4812" s="97">
        <v>7056</v>
      </c>
      <c r="H4812" s="367">
        <f t="shared" si="615"/>
        <v>9768.5</v>
      </c>
      <c r="I4812" s="368">
        <f t="shared" si="616"/>
        <v>0</v>
      </c>
      <c r="J4812">
        <v>17809</v>
      </c>
      <c r="K4812" s="367">
        <f t="shared" si="617"/>
        <v>12720.714285714286</v>
      </c>
      <c r="L4812">
        <v>1.17</v>
      </c>
      <c r="M4812">
        <v>1.4000000000000001</v>
      </c>
      <c r="N4812">
        <v>32</v>
      </c>
      <c r="O4812">
        <v>10</v>
      </c>
      <c r="P4812" t="s">
        <v>513</v>
      </c>
      <c r="Q4812" s="97" t="str">
        <f t="shared" si="618"/>
        <v/>
      </c>
      <c r="R4812" t="str">
        <f t="shared" si="619"/>
        <v/>
      </c>
    </row>
    <row r="4813" spans="3:18">
      <c r="C4813" t="str">
        <f t="shared" si="613"/>
        <v/>
      </c>
      <c r="D4813">
        <v>325</v>
      </c>
      <c r="E4813">
        <v>130</v>
      </c>
      <c r="F4813" s="366">
        <f t="shared" si="614"/>
        <v>2821</v>
      </c>
      <c r="G4813" s="97">
        <v>2213</v>
      </c>
      <c r="H4813" s="367">
        <f t="shared" si="615"/>
        <v>5034</v>
      </c>
      <c r="I4813" s="368">
        <f t="shared" si="616"/>
        <v>0</v>
      </c>
      <c r="J4813">
        <v>5586</v>
      </c>
      <c r="K4813" s="367">
        <f t="shared" si="617"/>
        <v>3990</v>
      </c>
      <c r="L4813">
        <v>0.69000000000000006</v>
      </c>
      <c r="M4813">
        <v>4.5</v>
      </c>
      <c r="N4813">
        <v>26</v>
      </c>
      <c r="O4813">
        <v>4</v>
      </c>
      <c r="P4813" t="s">
        <v>515</v>
      </c>
      <c r="Q4813" s="97">
        <f t="shared" si="618"/>
        <v>325</v>
      </c>
      <c r="R4813" t="str">
        <f t="shared" si="619"/>
        <v/>
      </c>
    </row>
    <row r="4814" spans="3:18">
      <c r="C4814" t="str">
        <f t="shared" si="613"/>
        <v>NL</v>
      </c>
      <c r="D4814">
        <v>326</v>
      </c>
      <c r="E4814">
        <v>130</v>
      </c>
      <c r="F4814" s="366">
        <f t="shared" si="614"/>
        <v>2821</v>
      </c>
      <c r="G4814" s="97">
        <v>2678</v>
      </c>
      <c r="H4814" s="367">
        <f t="shared" si="615"/>
        <v>5499</v>
      </c>
      <c r="I4814" s="368">
        <f t="shared" si="616"/>
        <v>0</v>
      </c>
      <c r="J4814">
        <v>6760</v>
      </c>
      <c r="K4814" s="367">
        <f t="shared" si="617"/>
        <v>4828.5714285714284</v>
      </c>
      <c r="L4814">
        <v>0.44</v>
      </c>
      <c r="M4814">
        <v>5.5</v>
      </c>
      <c r="N4814">
        <v>25</v>
      </c>
      <c r="O4814">
        <v>5</v>
      </c>
      <c r="P4814" t="s">
        <v>515</v>
      </c>
      <c r="Q4814" s="97" t="str">
        <f t="shared" si="618"/>
        <v/>
      </c>
      <c r="R4814" t="str">
        <f t="shared" si="619"/>
        <v/>
      </c>
    </row>
    <row r="4815" spans="3:18">
      <c r="C4815" t="str">
        <f t="shared" si="613"/>
        <v/>
      </c>
      <c r="D4815">
        <v>327</v>
      </c>
      <c r="E4815">
        <v>130</v>
      </c>
      <c r="F4815" s="366">
        <f t="shared" si="614"/>
        <v>2821</v>
      </c>
      <c r="G4815" s="97">
        <v>2447</v>
      </c>
      <c r="H4815" s="367">
        <f t="shared" si="615"/>
        <v>5268</v>
      </c>
      <c r="I4815" s="368">
        <f t="shared" si="616"/>
        <v>0</v>
      </c>
      <c r="J4815">
        <v>6176</v>
      </c>
      <c r="K4815" s="367">
        <f t="shared" si="617"/>
        <v>4411.4285714285716</v>
      </c>
      <c r="L4815">
        <v>0.32</v>
      </c>
      <c r="M4815">
        <v>6.6</v>
      </c>
      <c r="N4815">
        <v>24</v>
      </c>
      <c r="O4815">
        <v>6</v>
      </c>
      <c r="P4815" t="s">
        <v>515</v>
      </c>
      <c r="Q4815" s="97">
        <f t="shared" si="618"/>
        <v>327</v>
      </c>
      <c r="R4815" t="str">
        <f t="shared" si="619"/>
        <v/>
      </c>
    </row>
    <row r="4816" spans="3:18">
      <c r="C4816" t="str">
        <f t="shared" si="613"/>
        <v/>
      </c>
      <c r="D4816">
        <v>328</v>
      </c>
      <c r="E4816">
        <v>130</v>
      </c>
      <c r="F4816" s="366">
        <f t="shared" si="614"/>
        <v>2821</v>
      </c>
      <c r="G4816" s="97">
        <v>3301</v>
      </c>
      <c r="H4816" s="367">
        <f t="shared" si="615"/>
        <v>6122</v>
      </c>
      <c r="I4816" s="368">
        <f t="shared" si="616"/>
        <v>0</v>
      </c>
      <c r="J4816">
        <v>8331</v>
      </c>
      <c r="K4816" s="367">
        <f t="shared" si="617"/>
        <v>5950.7142857142862</v>
      </c>
      <c r="L4816">
        <v>0.97</v>
      </c>
      <c r="M4816">
        <v>6.6</v>
      </c>
      <c r="N4816">
        <v>29</v>
      </c>
      <c r="O4816">
        <v>6</v>
      </c>
      <c r="P4816" t="s">
        <v>514</v>
      </c>
      <c r="Q4816" s="97" t="str">
        <f t="shared" si="618"/>
        <v/>
      </c>
      <c r="R4816" t="str">
        <f t="shared" si="619"/>
        <v/>
      </c>
    </row>
    <row r="4817" spans="3:18">
      <c r="C4817" t="str">
        <f t="shared" si="613"/>
        <v>NL</v>
      </c>
      <c r="D4817">
        <v>329</v>
      </c>
      <c r="E4817">
        <v>130</v>
      </c>
      <c r="F4817" s="366">
        <f t="shared" si="614"/>
        <v>2821</v>
      </c>
      <c r="G4817" s="97">
        <v>3255</v>
      </c>
      <c r="H4817" s="367">
        <f t="shared" si="615"/>
        <v>6076</v>
      </c>
      <c r="I4817" s="368">
        <f t="shared" si="616"/>
        <v>0</v>
      </c>
      <c r="J4817">
        <v>8215</v>
      </c>
      <c r="K4817" s="367">
        <f t="shared" si="617"/>
        <v>5867.8571428571431</v>
      </c>
      <c r="L4817">
        <v>0.24000000000000002</v>
      </c>
      <c r="M4817">
        <v>7.6</v>
      </c>
      <c r="N4817">
        <v>24</v>
      </c>
      <c r="O4817">
        <v>7</v>
      </c>
      <c r="P4817" t="s">
        <v>515</v>
      </c>
      <c r="Q4817" s="97" t="str">
        <f t="shared" si="618"/>
        <v/>
      </c>
      <c r="R4817" t="str">
        <f t="shared" si="619"/>
        <v/>
      </c>
    </row>
    <row r="4818" spans="3:18">
      <c r="C4818" t="str">
        <f t="shared" si="613"/>
        <v>NL</v>
      </c>
      <c r="D4818">
        <v>330</v>
      </c>
      <c r="E4818">
        <v>130</v>
      </c>
      <c r="F4818" s="366">
        <f t="shared" si="614"/>
        <v>2821</v>
      </c>
      <c r="G4818" s="97">
        <v>4485</v>
      </c>
      <c r="H4818" s="367">
        <f t="shared" si="615"/>
        <v>7306</v>
      </c>
      <c r="I4818" s="368">
        <f t="shared" si="616"/>
        <v>0</v>
      </c>
      <c r="J4818">
        <v>11321</v>
      </c>
      <c r="K4818" s="367">
        <f t="shared" si="617"/>
        <v>8086.4285714285716</v>
      </c>
      <c r="L4818">
        <v>0.73</v>
      </c>
      <c r="M4818">
        <v>7.6</v>
      </c>
      <c r="N4818">
        <v>29</v>
      </c>
      <c r="O4818">
        <v>7</v>
      </c>
      <c r="P4818" t="s">
        <v>514</v>
      </c>
      <c r="Q4818" s="97" t="str">
        <f t="shared" si="618"/>
        <v/>
      </c>
      <c r="R4818" t="str">
        <f t="shared" si="619"/>
        <v/>
      </c>
    </row>
    <row r="4819" spans="3:18">
      <c r="C4819" t="str">
        <f t="shared" si="613"/>
        <v/>
      </c>
      <c r="D4819">
        <v>331</v>
      </c>
      <c r="E4819">
        <v>130</v>
      </c>
      <c r="F4819" s="366">
        <f t="shared" si="614"/>
        <v>2821</v>
      </c>
      <c r="G4819" s="97">
        <v>2584</v>
      </c>
      <c r="H4819" s="367">
        <f t="shared" si="615"/>
        <v>5405</v>
      </c>
      <c r="I4819" s="368">
        <f t="shared" si="616"/>
        <v>0</v>
      </c>
      <c r="J4819">
        <v>6521</v>
      </c>
      <c r="K4819" s="367">
        <f t="shared" si="617"/>
        <v>4657.8571428571431</v>
      </c>
      <c r="L4819">
        <v>0.19</v>
      </c>
      <c r="M4819">
        <v>8.5</v>
      </c>
      <c r="N4819">
        <v>24</v>
      </c>
      <c r="O4819">
        <v>8</v>
      </c>
      <c r="P4819" t="s">
        <v>515</v>
      </c>
      <c r="Q4819" s="97">
        <f t="shared" si="618"/>
        <v>331</v>
      </c>
      <c r="R4819" t="str">
        <f t="shared" si="619"/>
        <v/>
      </c>
    </row>
    <row r="4820" spans="3:18">
      <c r="C4820" t="str">
        <f t="shared" si="613"/>
        <v/>
      </c>
      <c r="D4820">
        <v>332</v>
      </c>
      <c r="E4820">
        <v>130</v>
      </c>
      <c r="F4820" s="366">
        <f t="shared" si="614"/>
        <v>2821</v>
      </c>
      <c r="G4820" s="97">
        <v>3885</v>
      </c>
      <c r="H4820" s="367">
        <f t="shared" si="615"/>
        <v>6706</v>
      </c>
      <c r="I4820" s="368">
        <f t="shared" si="616"/>
        <v>0</v>
      </c>
      <c r="J4820">
        <v>9807</v>
      </c>
      <c r="K4820" s="367">
        <f t="shared" si="617"/>
        <v>7005</v>
      </c>
      <c r="L4820">
        <v>0.57999999999999996</v>
      </c>
      <c r="M4820">
        <v>8.5</v>
      </c>
      <c r="N4820">
        <v>28</v>
      </c>
      <c r="O4820">
        <v>8</v>
      </c>
      <c r="P4820" t="s">
        <v>514</v>
      </c>
      <c r="Q4820" s="97">
        <f t="shared" si="618"/>
        <v>332</v>
      </c>
      <c r="R4820" t="str">
        <f t="shared" si="619"/>
        <v/>
      </c>
    </row>
    <row r="4821" spans="3:18">
      <c r="C4821" t="str">
        <f t="shared" si="613"/>
        <v>NL</v>
      </c>
      <c r="D4821">
        <v>333</v>
      </c>
      <c r="E4821">
        <v>130</v>
      </c>
      <c r="F4821" s="366">
        <f t="shared" si="614"/>
        <v>2821</v>
      </c>
      <c r="G4821" s="97">
        <v>5306</v>
      </c>
      <c r="H4821" s="367">
        <f t="shared" si="615"/>
        <v>8127</v>
      </c>
      <c r="I4821" s="368">
        <f t="shared" si="616"/>
        <v>0</v>
      </c>
      <c r="J4821">
        <v>13391</v>
      </c>
      <c r="K4821" s="367">
        <f t="shared" si="617"/>
        <v>9565</v>
      </c>
      <c r="L4821">
        <v>0.48</v>
      </c>
      <c r="M4821">
        <v>9.6</v>
      </c>
      <c r="N4821">
        <v>29</v>
      </c>
      <c r="O4821">
        <v>9</v>
      </c>
      <c r="P4821" t="s">
        <v>514</v>
      </c>
      <c r="Q4821" s="97" t="str">
        <f t="shared" si="618"/>
        <v/>
      </c>
      <c r="R4821" t="str">
        <f t="shared" si="619"/>
        <v/>
      </c>
    </row>
    <row r="4822" spans="3:18">
      <c r="C4822" t="str">
        <f t="shared" si="613"/>
        <v/>
      </c>
      <c r="D4822">
        <v>334</v>
      </c>
      <c r="E4822">
        <v>130</v>
      </c>
      <c r="F4822" s="366">
        <f t="shared" si="614"/>
        <v>2821</v>
      </c>
      <c r="G4822" s="97">
        <v>5621</v>
      </c>
      <c r="H4822" s="367">
        <f t="shared" si="615"/>
        <v>8442</v>
      </c>
      <c r="I4822" s="368">
        <f t="shared" si="616"/>
        <v>0</v>
      </c>
      <c r="J4822">
        <v>14187</v>
      </c>
      <c r="K4822" s="367">
        <f t="shared" si="617"/>
        <v>10133.571428571429</v>
      </c>
      <c r="L4822">
        <v>0.41000000000000003</v>
      </c>
      <c r="M4822">
        <v>1.4000000000000001</v>
      </c>
      <c r="N4822">
        <v>29</v>
      </c>
      <c r="O4822">
        <v>10</v>
      </c>
      <c r="P4822" t="s">
        <v>514</v>
      </c>
      <c r="Q4822" s="97" t="str">
        <f t="shared" si="618"/>
        <v/>
      </c>
      <c r="R4822" t="str">
        <f t="shared" si="619"/>
        <v/>
      </c>
    </row>
    <row r="4823" spans="3:18">
      <c r="C4823" t="str">
        <f t="shared" si="613"/>
        <v/>
      </c>
      <c r="D4823">
        <v>335</v>
      </c>
      <c r="E4823">
        <v>135</v>
      </c>
      <c r="F4823" s="366">
        <f t="shared" si="614"/>
        <v>2929.5</v>
      </c>
      <c r="G4823" s="97">
        <v>2272</v>
      </c>
      <c r="H4823" s="367">
        <f t="shared" si="615"/>
        <v>5201.5</v>
      </c>
      <c r="I4823" s="368">
        <f t="shared" si="616"/>
        <v>0</v>
      </c>
      <c r="J4823">
        <v>5736</v>
      </c>
      <c r="K4823" s="367">
        <f t="shared" si="617"/>
        <v>4097.1428571428569</v>
      </c>
      <c r="L4823">
        <v>0.75</v>
      </c>
      <c r="M4823">
        <v>4.5</v>
      </c>
      <c r="N4823">
        <v>26</v>
      </c>
      <c r="O4823">
        <v>4</v>
      </c>
      <c r="P4823" t="s">
        <v>515</v>
      </c>
      <c r="Q4823" s="97" t="str">
        <f t="shared" si="618"/>
        <v/>
      </c>
      <c r="R4823" t="str">
        <f t="shared" si="619"/>
        <v/>
      </c>
    </row>
    <row r="4824" spans="3:18">
      <c r="C4824" t="str">
        <f t="shared" si="613"/>
        <v>NL</v>
      </c>
      <c r="D4824">
        <v>336</v>
      </c>
      <c r="E4824">
        <v>135</v>
      </c>
      <c r="F4824" s="366">
        <f t="shared" si="614"/>
        <v>2929.5</v>
      </c>
      <c r="G4824" s="97">
        <v>2753</v>
      </c>
      <c r="H4824" s="367">
        <f t="shared" si="615"/>
        <v>5682.5</v>
      </c>
      <c r="I4824" s="368">
        <f t="shared" si="616"/>
        <v>0</v>
      </c>
      <c r="J4824">
        <v>6950</v>
      </c>
      <c r="K4824" s="367">
        <f t="shared" si="617"/>
        <v>4964.2857142857147</v>
      </c>
      <c r="L4824">
        <v>0.48</v>
      </c>
      <c r="M4824">
        <v>5.5</v>
      </c>
      <c r="N4824">
        <v>25</v>
      </c>
      <c r="O4824">
        <v>5</v>
      </c>
      <c r="P4824" t="s">
        <v>515</v>
      </c>
      <c r="Q4824" s="97" t="str">
        <f t="shared" si="618"/>
        <v/>
      </c>
      <c r="R4824" t="str">
        <f t="shared" si="619"/>
        <v/>
      </c>
    </row>
    <row r="4825" spans="3:18">
      <c r="C4825" t="str">
        <f t="shared" si="613"/>
        <v/>
      </c>
      <c r="D4825">
        <v>337</v>
      </c>
      <c r="E4825">
        <v>135</v>
      </c>
      <c r="F4825" s="366">
        <f t="shared" si="614"/>
        <v>2929.5</v>
      </c>
      <c r="G4825" s="97">
        <v>2517</v>
      </c>
      <c r="H4825" s="367">
        <f t="shared" si="615"/>
        <v>5446.5</v>
      </c>
      <c r="I4825" s="368">
        <f t="shared" si="616"/>
        <v>0</v>
      </c>
      <c r="J4825">
        <v>6352</v>
      </c>
      <c r="K4825" s="367">
        <f t="shared" si="617"/>
        <v>4537.1428571428569</v>
      </c>
      <c r="L4825">
        <v>0.34</v>
      </c>
      <c r="M4825">
        <v>6.6</v>
      </c>
      <c r="N4825">
        <v>25</v>
      </c>
      <c r="O4825">
        <v>6</v>
      </c>
      <c r="P4825" t="s">
        <v>515</v>
      </c>
      <c r="Q4825" s="97">
        <f t="shared" si="618"/>
        <v>337</v>
      </c>
      <c r="R4825" t="str">
        <f t="shared" si="619"/>
        <v/>
      </c>
    </row>
    <row r="4826" spans="3:18">
      <c r="C4826" t="str">
        <f t="shared" si="613"/>
        <v/>
      </c>
      <c r="D4826">
        <v>338</v>
      </c>
      <c r="E4826">
        <v>135</v>
      </c>
      <c r="F4826" s="366">
        <f t="shared" si="614"/>
        <v>2929.5</v>
      </c>
      <c r="G4826" s="97">
        <v>3386</v>
      </c>
      <c r="H4826" s="367">
        <f t="shared" si="615"/>
        <v>6315.5</v>
      </c>
      <c r="I4826" s="368">
        <f t="shared" si="616"/>
        <v>0</v>
      </c>
      <c r="J4826">
        <v>8545</v>
      </c>
      <c r="K4826" s="367">
        <f t="shared" si="617"/>
        <v>6103.5714285714284</v>
      </c>
      <c r="L4826">
        <v>1.04</v>
      </c>
      <c r="M4826">
        <v>6.6</v>
      </c>
      <c r="N4826">
        <v>30</v>
      </c>
      <c r="O4826">
        <v>6</v>
      </c>
      <c r="P4826" t="s">
        <v>514</v>
      </c>
      <c r="Q4826" s="97" t="str">
        <f t="shared" si="618"/>
        <v/>
      </c>
      <c r="R4826" t="str">
        <f t="shared" si="619"/>
        <v/>
      </c>
    </row>
    <row r="4827" spans="3:18">
      <c r="C4827" t="str">
        <f t="shared" si="613"/>
        <v>NL</v>
      </c>
      <c r="D4827">
        <v>339</v>
      </c>
      <c r="E4827">
        <v>135</v>
      </c>
      <c r="F4827" s="366">
        <f t="shared" si="614"/>
        <v>2929.5</v>
      </c>
      <c r="G4827" s="97">
        <v>3351</v>
      </c>
      <c r="H4827" s="367">
        <f t="shared" si="615"/>
        <v>6280.5</v>
      </c>
      <c r="I4827" s="368">
        <f t="shared" si="616"/>
        <v>0</v>
      </c>
      <c r="J4827">
        <v>8457</v>
      </c>
      <c r="K4827" s="367">
        <f t="shared" si="617"/>
        <v>6040.7142857142862</v>
      </c>
      <c r="L4827">
        <v>0.26</v>
      </c>
      <c r="M4827">
        <v>7.6</v>
      </c>
      <c r="N4827">
        <v>24</v>
      </c>
      <c r="O4827">
        <v>7</v>
      </c>
      <c r="P4827" t="s">
        <v>515</v>
      </c>
      <c r="Q4827" s="97" t="str">
        <f t="shared" si="618"/>
        <v/>
      </c>
      <c r="R4827" t="str">
        <f t="shared" si="619"/>
        <v/>
      </c>
    </row>
    <row r="4828" spans="3:18">
      <c r="C4828" t="str">
        <f t="shared" si="613"/>
        <v>NL</v>
      </c>
      <c r="D4828">
        <v>340</v>
      </c>
      <c r="E4828">
        <v>135</v>
      </c>
      <c r="F4828" s="366">
        <f t="shared" si="614"/>
        <v>2929.5</v>
      </c>
      <c r="G4828" s="97">
        <v>4599</v>
      </c>
      <c r="H4828" s="367">
        <f t="shared" si="615"/>
        <v>7528.5</v>
      </c>
      <c r="I4828" s="368">
        <f t="shared" si="616"/>
        <v>0</v>
      </c>
      <c r="J4828">
        <v>11608</v>
      </c>
      <c r="K4828" s="367">
        <f t="shared" si="617"/>
        <v>8291.4285714285725</v>
      </c>
      <c r="L4828">
        <v>0.79</v>
      </c>
      <c r="M4828">
        <v>7.6</v>
      </c>
      <c r="N4828">
        <v>29</v>
      </c>
      <c r="O4828">
        <v>7</v>
      </c>
      <c r="P4828" t="s">
        <v>514</v>
      </c>
      <c r="Q4828" s="97" t="str">
        <f t="shared" si="618"/>
        <v/>
      </c>
      <c r="R4828" t="str">
        <f t="shared" si="619"/>
        <v/>
      </c>
    </row>
    <row r="4829" spans="3:18">
      <c r="C4829" t="str">
        <f t="shared" si="613"/>
        <v/>
      </c>
      <c r="D4829">
        <v>341</v>
      </c>
      <c r="E4829">
        <v>135</v>
      </c>
      <c r="F4829" s="366">
        <f t="shared" si="614"/>
        <v>2929.5</v>
      </c>
      <c r="G4829" s="97">
        <v>2663</v>
      </c>
      <c r="H4829" s="367">
        <f t="shared" si="615"/>
        <v>5592.5</v>
      </c>
      <c r="I4829" s="368">
        <f t="shared" si="616"/>
        <v>0</v>
      </c>
      <c r="J4829">
        <v>6721</v>
      </c>
      <c r="K4829" s="367">
        <f t="shared" si="617"/>
        <v>4800.7142857142862</v>
      </c>
      <c r="L4829">
        <v>0.21000000000000002</v>
      </c>
      <c r="M4829">
        <v>8.5</v>
      </c>
      <c r="N4829">
        <v>24</v>
      </c>
      <c r="O4829">
        <v>8</v>
      </c>
      <c r="P4829" t="s">
        <v>515</v>
      </c>
      <c r="Q4829" s="97">
        <f t="shared" si="618"/>
        <v>341</v>
      </c>
      <c r="R4829" t="str">
        <f t="shared" si="619"/>
        <v/>
      </c>
    </row>
    <row r="4830" spans="3:18">
      <c r="C4830" t="str">
        <f t="shared" si="613"/>
        <v/>
      </c>
      <c r="D4830">
        <v>342</v>
      </c>
      <c r="E4830">
        <v>135</v>
      </c>
      <c r="F4830" s="366">
        <f t="shared" si="614"/>
        <v>2929.5</v>
      </c>
      <c r="G4830" s="97">
        <v>3990</v>
      </c>
      <c r="H4830" s="367">
        <f t="shared" si="615"/>
        <v>6919.5</v>
      </c>
      <c r="I4830" s="368">
        <f t="shared" si="616"/>
        <v>0</v>
      </c>
      <c r="J4830">
        <v>10070</v>
      </c>
      <c r="K4830" s="367">
        <f t="shared" si="617"/>
        <v>7192.8571428571431</v>
      </c>
      <c r="L4830">
        <v>0.63</v>
      </c>
      <c r="M4830">
        <v>8.5</v>
      </c>
      <c r="N4830">
        <v>29</v>
      </c>
      <c r="O4830">
        <v>8</v>
      </c>
      <c r="P4830" t="s">
        <v>514</v>
      </c>
      <c r="Q4830" s="97">
        <f t="shared" si="618"/>
        <v>342</v>
      </c>
      <c r="R4830" t="str">
        <f t="shared" si="619"/>
        <v/>
      </c>
    </row>
    <row r="4831" spans="3:18">
      <c r="C4831" t="str">
        <f t="shared" si="613"/>
        <v>NL</v>
      </c>
      <c r="D4831">
        <v>343</v>
      </c>
      <c r="E4831">
        <v>135</v>
      </c>
      <c r="F4831" s="366">
        <f t="shared" si="614"/>
        <v>2929.5</v>
      </c>
      <c r="G4831" s="97">
        <v>3537</v>
      </c>
      <c r="H4831" s="367">
        <f t="shared" si="615"/>
        <v>6466.5</v>
      </c>
      <c r="I4831" s="368">
        <f t="shared" si="616"/>
        <v>0</v>
      </c>
      <c r="J4831">
        <v>8928</v>
      </c>
      <c r="K4831" s="367">
        <f t="shared" si="617"/>
        <v>6377.1428571428569</v>
      </c>
      <c r="L4831">
        <v>0.17</v>
      </c>
      <c r="M4831">
        <v>9.6</v>
      </c>
      <c r="N4831">
        <v>24</v>
      </c>
      <c r="O4831">
        <v>9</v>
      </c>
      <c r="P4831" t="s">
        <v>515</v>
      </c>
      <c r="Q4831" s="97" t="str">
        <f t="shared" si="618"/>
        <v/>
      </c>
      <c r="R4831" t="str">
        <f t="shared" si="619"/>
        <v/>
      </c>
    </row>
    <row r="4832" spans="3:18">
      <c r="C4832" t="str">
        <f t="shared" si="613"/>
        <v>NL</v>
      </c>
      <c r="D4832">
        <v>344</v>
      </c>
      <c r="E4832">
        <v>135</v>
      </c>
      <c r="F4832" s="366">
        <f t="shared" si="614"/>
        <v>2929.5</v>
      </c>
      <c r="G4832" s="97">
        <v>5440</v>
      </c>
      <c r="H4832" s="367">
        <f t="shared" si="615"/>
        <v>8369.5</v>
      </c>
      <c r="I4832" s="368">
        <f t="shared" si="616"/>
        <v>0</v>
      </c>
      <c r="J4832">
        <v>13731</v>
      </c>
      <c r="K4832" s="367">
        <f t="shared" si="617"/>
        <v>9807.8571428571431</v>
      </c>
      <c r="L4832">
        <v>0.52</v>
      </c>
      <c r="M4832">
        <v>9.6</v>
      </c>
      <c r="N4832">
        <v>29</v>
      </c>
      <c r="O4832">
        <v>9</v>
      </c>
      <c r="P4832" t="s">
        <v>514</v>
      </c>
      <c r="Q4832" s="97" t="str">
        <f t="shared" si="618"/>
        <v/>
      </c>
      <c r="R4832" t="str">
        <f t="shared" si="619"/>
        <v/>
      </c>
    </row>
    <row r="4833" spans="3:18">
      <c r="C4833" t="str">
        <f t="shared" si="613"/>
        <v/>
      </c>
      <c r="D4833">
        <v>345</v>
      </c>
      <c r="E4833">
        <v>135</v>
      </c>
      <c r="F4833" s="366">
        <f t="shared" si="614"/>
        <v>2929.5</v>
      </c>
      <c r="G4833" s="97">
        <v>5763</v>
      </c>
      <c r="H4833" s="367">
        <f t="shared" si="615"/>
        <v>8692.5</v>
      </c>
      <c r="I4833" s="368">
        <f t="shared" si="616"/>
        <v>0</v>
      </c>
      <c r="J4833">
        <v>14546</v>
      </c>
      <c r="K4833" s="367">
        <f t="shared" si="617"/>
        <v>10390</v>
      </c>
      <c r="L4833">
        <v>0.44</v>
      </c>
      <c r="M4833">
        <v>1.4000000000000001</v>
      </c>
      <c r="N4833">
        <v>29</v>
      </c>
      <c r="O4833">
        <v>10</v>
      </c>
      <c r="P4833" t="s">
        <v>514</v>
      </c>
      <c r="Q4833" s="97" t="str">
        <f t="shared" si="618"/>
        <v/>
      </c>
      <c r="R4833" t="str">
        <f t="shared" si="619"/>
        <v/>
      </c>
    </row>
    <row r="4834" spans="3:18">
      <c r="C4834" t="str">
        <f t="shared" si="613"/>
        <v/>
      </c>
      <c r="D4834">
        <v>346</v>
      </c>
      <c r="E4834">
        <v>140</v>
      </c>
      <c r="F4834" s="366">
        <f t="shared" si="614"/>
        <v>3038</v>
      </c>
      <c r="G4834" s="97">
        <v>2330</v>
      </c>
      <c r="H4834" s="367">
        <f t="shared" si="615"/>
        <v>5368</v>
      </c>
      <c r="I4834" s="368">
        <f t="shared" si="616"/>
        <v>0</v>
      </c>
      <c r="J4834">
        <v>5882</v>
      </c>
      <c r="K4834" s="367">
        <f t="shared" si="617"/>
        <v>4201.4285714285716</v>
      </c>
      <c r="L4834">
        <v>0.8</v>
      </c>
      <c r="M4834">
        <v>4.5</v>
      </c>
      <c r="N4834">
        <v>27</v>
      </c>
      <c r="O4834">
        <v>4</v>
      </c>
      <c r="P4834" t="s">
        <v>515</v>
      </c>
      <c r="Q4834" s="97" t="str">
        <f t="shared" si="618"/>
        <v/>
      </c>
      <c r="R4834" t="str">
        <f t="shared" si="619"/>
        <v/>
      </c>
    </row>
    <row r="4835" spans="3:18">
      <c r="C4835" t="str">
        <f t="shared" si="613"/>
        <v>NL</v>
      </c>
      <c r="D4835">
        <v>347</v>
      </c>
      <c r="E4835">
        <v>140</v>
      </c>
      <c r="F4835" s="366">
        <f t="shared" si="614"/>
        <v>3038</v>
      </c>
      <c r="G4835" s="97">
        <v>2829</v>
      </c>
      <c r="H4835" s="367">
        <f t="shared" si="615"/>
        <v>5867</v>
      </c>
      <c r="I4835" s="368">
        <f t="shared" si="616"/>
        <v>0</v>
      </c>
      <c r="J4835">
        <v>7140</v>
      </c>
      <c r="K4835" s="367">
        <f t="shared" si="617"/>
        <v>5100</v>
      </c>
      <c r="L4835">
        <v>0.51</v>
      </c>
      <c r="M4835">
        <v>5.5</v>
      </c>
      <c r="N4835">
        <v>26</v>
      </c>
      <c r="O4835">
        <v>5</v>
      </c>
      <c r="P4835" t="s">
        <v>515</v>
      </c>
      <c r="Q4835" s="97" t="str">
        <f t="shared" si="618"/>
        <v/>
      </c>
      <c r="R4835" t="str">
        <f t="shared" si="619"/>
        <v/>
      </c>
    </row>
    <row r="4836" spans="3:18">
      <c r="C4836" t="str">
        <f t="shared" si="613"/>
        <v/>
      </c>
      <c r="D4836">
        <v>348</v>
      </c>
      <c r="E4836">
        <v>140</v>
      </c>
      <c r="F4836" s="366">
        <f t="shared" si="614"/>
        <v>3038</v>
      </c>
      <c r="G4836" s="97">
        <v>2586</v>
      </c>
      <c r="H4836" s="367">
        <f t="shared" si="615"/>
        <v>5624</v>
      </c>
      <c r="I4836" s="368">
        <f t="shared" si="616"/>
        <v>0</v>
      </c>
      <c r="J4836">
        <v>6529</v>
      </c>
      <c r="K4836" s="367">
        <f t="shared" si="617"/>
        <v>4663.5714285714284</v>
      </c>
      <c r="L4836">
        <v>0.36</v>
      </c>
      <c r="M4836">
        <v>6.6</v>
      </c>
      <c r="N4836">
        <v>25</v>
      </c>
      <c r="O4836">
        <v>6</v>
      </c>
      <c r="P4836" t="s">
        <v>515</v>
      </c>
      <c r="Q4836" s="97">
        <f t="shared" si="618"/>
        <v>348</v>
      </c>
      <c r="R4836" t="str">
        <f t="shared" si="619"/>
        <v/>
      </c>
    </row>
    <row r="4837" spans="3:18">
      <c r="C4837" t="str">
        <f t="shared" si="613"/>
        <v/>
      </c>
      <c r="D4837">
        <v>349</v>
      </c>
      <c r="E4837">
        <v>140</v>
      </c>
      <c r="F4837" s="366">
        <f t="shared" si="614"/>
        <v>3038</v>
      </c>
      <c r="G4837" s="97">
        <v>3466</v>
      </c>
      <c r="H4837" s="367">
        <f t="shared" si="615"/>
        <v>6504</v>
      </c>
      <c r="I4837" s="368">
        <f t="shared" si="616"/>
        <v>0</v>
      </c>
      <c r="J4837">
        <v>8749</v>
      </c>
      <c r="K4837" s="367">
        <f t="shared" si="617"/>
        <v>6249.2857142857147</v>
      </c>
      <c r="L4837">
        <v>1.1200000000000001</v>
      </c>
      <c r="M4837">
        <v>6.6</v>
      </c>
      <c r="N4837">
        <v>30</v>
      </c>
      <c r="O4837">
        <v>6</v>
      </c>
      <c r="P4837" t="s">
        <v>514</v>
      </c>
      <c r="Q4837" s="97" t="str">
        <f t="shared" si="618"/>
        <v/>
      </c>
      <c r="R4837" t="str">
        <f t="shared" si="619"/>
        <v/>
      </c>
    </row>
    <row r="4838" spans="3:18">
      <c r="C4838" t="str">
        <f t="shared" si="613"/>
        <v>NL</v>
      </c>
      <c r="D4838">
        <v>350</v>
      </c>
      <c r="E4838">
        <v>140</v>
      </c>
      <c r="F4838" s="366">
        <f t="shared" si="614"/>
        <v>3038</v>
      </c>
      <c r="G4838" s="97">
        <v>3436</v>
      </c>
      <c r="H4838" s="367">
        <f t="shared" si="615"/>
        <v>6474</v>
      </c>
      <c r="I4838" s="368">
        <f t="shared" si="616"/>
        <v>0</v>
      </c>
      <c r="J4838">
        <v>8673</v>
      </c>
      <c r="K4838" s="367">
        <f t="shared" si="617"/>
        <v>6195</v>
      </c>
      <c r="L4838">
        <v>0.28000000000000003</v>
      </c>
      <c r="M4838">
        <v>7.6</v>
      </c>
      <c r="N4838">
        <v>25</v>
      </c>
      <c r="O4838">
        <v>7</v>
      </c>
      <c r="P4838" t="s">
        <v>515</v>
      </c>
      <c r="Q4838" s="97" t="str">
        <f t="shared" si="618"/>
        <v/>
      </c>
      <c r="R4838" t="str">
        <f t="shared" si="619"/>
        <v/>
      </c>
    </row>
    <row r="4839" spans="3:18">
      <c r="C4839" t="str">
        <f t="shared" si="613"/>
        <v>NL</v>
      </c>
      <c r="D4839">
        <v>351</v>
      </c>
      <c r="E4839">
        <v>140</v>
      </c>
      <c r="F4839" s="366">
        <f t="shared" si="614"/>
        <v>3038</v>
      </c>
      <c r="G4839" s="97">
        <v>4704</v>
      </c>
      <c r="H4839" s="367">
        <f t="shared" si="615"/>
        <v>7742</v>
      </c>
      <c r="I4839" s="368">
        <f t="shared" si="616"/>
        <v>0</v>
      </c>
      <c r="J4839">
        <v>11873</v>
      </c>
      <c r="K4839" s="367">
        <f t="shared" si="617"/>
        <v>8480.7142857142862</v>
      </c>
      <c r="L4839">
        <v>0.85</v>
      </c>
      <c r="M4839">
        <v>7.6</v>
      </c>
      <c r="N4839">
        <v>30</v>
      </c>
      <c r="O4839">
        <v>7</v>
      </c>
      <c r="P4839" t="s">
        <v>514</v>
      </c>
      <c r="Q4839" s="97" t="str">
        <f t="shared" si="618"/>
        <v/>
      </c>
      <c r="R4839" t="str">
        <f t="shared" si="619"/>
        <v/>
      </c>
    </row>
    <row r="4840" spans="3:18">
      <c r="C4840" t="str">
        <f t="shared" si="613"/>
        <v/>
      </c>
      <c r="D4840">
        <v>352</v>
      </c>
      <c r="E4840">
        <v>140</v>
      </c>
      <c r="F4840" s="366">
        <f t="shared" si="614"/>
        <v>3038</v>
      </c>
      <c r="G4840" s="97">
        <v>2742</v>
      </c>
      <c r="H4840" s="367">
        <f t="shared" si="615"/>
        <v>5780</v>
      </c>
      <c r="I4840" s="368">
        <f t="shared" si="616"/>
        <v>0</v>
      </c>
      <c r="J4840">
        <v>6922</v>
      </c>
      <c r="K4840" s="367">
        <f t="shared" si="617"/>
        <v>4944.2857142857147</v>
      </c>
      <c r="L4840">
        <v>0.22</v>
      </c>
      <c r="M4840">
        <v>8.5</v>
      </c>
      <c r="N4840">
        <v>25</v>
      </c>
      <c r="O4840">
        <v>8</v>
      </c>
      <c r="P4840" t="s">
        <v>515</v>
      </c>
      <c r="Q4840" s="97">
        <f t="shared" si="618"/>
        <v>352</v>
      </c>
      <c r="R4840" t="str">
        <f t="shared" si="619"/>
        <v/>
      </c>
    </row>
    <row r="4841" spans="3:18">
      <c r="C4841" t="str">
        <f t="shared" si="613"/>
        <v/>
      </c>
      <c r="D4841">
        <v>353</v>
      </c>
      <c r="E4841">
        <v>140</v>
      </c>
      <c r="F4841" s="366">
        <f t="shared" si="614"/>
        <v>3038</v>
      </c>
      <c r="G4841" s="97">
        <v>4094</v>
      </c>
      <c r="H4841" s="367">
        <f t="shared" si="615"/>
        <v>7132</v>
      </c>
      <c r="I4841" s="368">
        <f t="shared" si="616"/>
        <v>0</v>
      </c>
      <c r="J4841">
        <v>10332</v>
      </c>
      <c r="K4841" s="367">
        <f t="shared" si="617"/>
        <v>7380</v>
      </c>
      <c r="L4841">
        <v>0.67</v>
      </c>
      <c r="M4841">
        <v>8.5</v>
      </c>
      <c r="N4841">
        <v>29</v>
      </c>
      <c r="O4841">
        <v>8</v>
      </c>
      <c r="P4841" t="s">
        <v>514</v>
      </c>
      <c r="Q4841" s="97">
        <f t="shared" si="618"/>
        <v>353</v>
      </c>
      <c r="R4841" t="str">
        <f t="shared" si="619"/>
        <v/>
      </c>
    </row>
    <row r="4842" spans="3:18">
      <c r="C4842" t="str">
        <f t="shared" si="613"/>
        <v>NL</v>
      </c>
      <c r="D4842">
        <v>354</v>
      </c>
      <c r="E4842">
        <v>140</v>
      </c>
      <c r="F4842" s="366">
        <f t="shared" si="614"/>
        <v>3038</v>
      </c>
      <c r="G4842" s="97">
        <v>3630</v>
      </c>
      <c r="H4842" s="367">
        <f t="shared" si="615"/>
        <v>6668</v>
      </c>
      <c r="I4842" s="368">
        <f t="shared" si="616"/>
        <v>0</v>
      </c>
      <c r="J4842">
        <v>9163</v>
      </c>
      <c r="K4842" s="367">
        <f t="shared" si="617"/>
        <v>6545</v>
      </c>
      <c r="L4842">
        <v>0.18000000000000002</v>
      </c>
      <c r="M4842">
        <v>9.6</v>
      </c>
      <c r="N4842">
        <v>25</v>
      </c>
      <c r="O4842">
        <v>9</v>
      </c>
      <c r="P4842" t="s">
        <v>515</v>
      </c>
      <c r="Q4842" s="97" t="str">
        <f t="shared" si="618"/>
        <v/>
      </c>
      <c r="R4842" t="str">
        <f t="shared" si="619"/>
        <v/>
      </c>
    </row>
    <row r="4843" spans="3:18">
      <c r="C4843" t="str">
        <f t="shared" si="613"/>
        <v>NL</v>
      </c>
      <c r="D4843">
        <v>355</v>
      </c>
      <c r="E4843">
        <v>140</v>
      </c>
      <c r="F4843" s="366">
        <f t="shared" si="614"/>
        <v>3038</v>
      </c>
      <c r="G4843" s="97">
        <v>5575</v>
      </c>
      <c r="H4843" s="367">
        <f t="shared" si="615"/>
        <v>8613</v>
      </c>
      <c r="I4843" s="368">
        <f t="shared" si="616"/>
        <v>0</v>
      </c>
      <c r="J4843">
        <v>14071</v>
      </c>
      <c r="K4843" s="367">
        <f t="shared" si="617"/>
        <v>10050.714285714286</v>
      </c>
      <c r="L4843">
        <v>0.56000000000000005</v>
      </c>
      <c r="M4843">
        <v>9.6</v>
      </c>
      <c r="N4843">
        <v>29</v>
      </c>
      <c r="O4843">
        <v>9</v>
      </c>
      <c r="P4843" t="s">
        <v>514</v>
      </c>
      <c r="Q4843" s="97" t="str">
        <f t="shared" si="618"/>
        <v/>
      </c>
      <c r="R4843" t="str">
        <f t="shared" si="619"/>
        <v/>
      </c>
    </row>
    <row r="4844" spans="3:18">
      <c r="C4844" t="str">
        <f t="shared" si="613"/>
        <v/>
      </c>
      <c r="D4844">
        <v>356</v>
      </c>
      <c r="E4844">
        <v>140</v>
      </c>
      <c r="F4844" s="366">
        <f t="shared" si="614"/>
        <v>3038</v>
      </c>
      <c r="G4844" s="97">
        <v>5899</v>
      </c>
      <c r="H4844" s="367">
        <f t="shared" si="615"/>
        <v>8937</v>
      </c>
      <c r="I4844" s="368">
        <f t="shared" si="616"/>
        <v>0</v>
      </c>
      <c r="J4844">
        <v>14888</v>
      </c>
      <c r="K4844" s="367">
        <f t="shared" si="617"/>
        <v>10634.285714285714</v>
      </c>
      <c r="L4844">
        <v>0.47000000000000003</v>
      </c>
      <c r="M4844">
        <v>1.4000000000000001</v>
      </c>
      <c r="N4844">
        <v>30</v>
      </c>
      <c r="O4844">
        <v>10</v>
      </c>
      <c r="P4844" t="s">
        <v>514</v>
      </c>
      <c r="Q4844" s="97" t="str">
        <f t="shared" si="618"/>
        <v/>
      </c>
      <c r="R4844" t="str">
        <f t="shared" si="619"/>
        <v/>
      </c>
    </row>
    <row r="4845" spans="3:18">
      <c r="C4845" t="str">
        <f t="shared" si="613"/>
        <v/>
      </c>
      <c r="D4845">
        <v>357</v>
      </c>
      <c r="E4845">
        <v>145</v>
      </c>
      <c r="F4845" s="366">
        <f t="shared" si="614"/>
        <v>3146.5</v>
      </c>
      <c r="G4845" s="97">
        <v>2388</v>
      </c>
      <c r="H4845" s="367">
        <f t="shared" si="615"/>
        <v>5534.5</v>
      </c>
      <c r="I4845" s="368">
        <f t="shared" si="616"/>
        <v>0</v>
      </c>
      <c r="J4845">
        <v>6028</v>
      </c>
      <c r="K4845" s="367">
        <f t="shared" si="617"/>
        <v>4305.7142857142862</v>
      </c>
      <c r="L4845">
        <v>0.86</v>
      </c>
      <c r="M4845">
        <v>4.5</v>
      </c>
      <c r="N4845">
        <v>27</v>
      </c>
      <c r="O4845">
        <v>4</v>
      </c>
      <c r="P4845" t="s">
        <v>515</v>
      </c>
      <c r="Q4845" s="97" t="str">
        <f t="shared" si="618"/>
        <v/>
      </c>
      <c r="R4845" t="str">
        <f t="shared" si="619"/>
        <v/>
      </c>
    </row>
    <row r="4846" spans="3:18">
      <c r="C4846" t="str">
        <f t="shared" si="613"/>
        <v>NL</v>
      </c>
      <c r="D4846">
        <v>358</v>
      </c>
      <c r="E4846">
        <v>145</v>
      </c>
      <c r="F4846" s="366">
        <f t="shared" si="614"/>
        <v>3146.5</v>
      </c>
      <c r="G4846" s="97">
        <v>2897</v>
      </c>
      <c r="H4846" s="367">
        <f t="shared" si="615"/>
        <v>6043.5</v>
      </c>
      <c r="I4846" s="368">
        <f t="shared" si="616"/>
        <v>0</v>
      </c>
      <c r="J4846">
        <v>7313</v>
      </c>
      <c r="K4846" s="367">
        <f t="shared" si="617"/>
        <v>5223.5714285714284</v>
      </c>
      <c r="L4846">
        <v>0.55000000000000004</v>
      </c>
      <c r="M4846">
        <v>5.5</v>
      </c>
      <c r="N4846">
        <v>26</v>
      </c>
      <c r="O4846">
        <v>5</v>
      </c>
      <c r="P4846" t="s">
        <v>515</v>
      </c>
      <c r="Q4846" s="97" t="str">
        <f t="shared" si="618"/>
        <v/>
      </c>
      <c r="R4846" t="str">
        <f t="shared" si="619"/>
        <v/>
      </c>
    </row>
    <row r="4847" spans="3:18">
      <c r="C4847" t="str">
        <f t="shared" si="613"/>
        <v/>
      </c>
      <c r="D4847">
        <v>359</v>
      </c>
      <c r="E4847">
        <v>145</v>
      </c>
      <c r="F4847" s="366">
        <f t="shared" si="614"/>
        <v>3146.5</v>
      </c>
      <c r="G4847" s="97">
        <v>2656</v>
      </c>
      <c r="H4847" s="367">
        <f t="shared" si="615"/>
        <v>5802.5</v>
      </c>
      <c r="I4847" s="368">
        <f t="shared" si="616"/>
        <v>0</v>
      </c>
      <c r="J4847">
        <v>6705</v>
      </c>
      <c r="K4847" s="367">
        <f t="shared" si="617"/>
        <v>4789.2857142857147</v>
      </c>
      <c r="L4847">
        <v>0.39</v>
      </c>
      <c r="M4847">
        <v>6.6</v>
      </c>
      <c r="N4847">
        <v>25</v>
      </c>
      <c r="O4847">
        <v>6</v>
      </c>
      <c r="P4847" t="s">
        <v>515</v>
      </c>
      <c r="Q4847" s="97">
        <f t="shared" si="618"/>
        <v>359</v>
      </c>
      <c r="R4847" t="str">
        <f t="shared" si="619"/>
        <v/>
      </c>
    </row>
    <row r="4848" spans="3:18">
      <c r="C4848" t="str">
        <f t="shared" si="613"/>
        <v>NL</v>
      </c>
      <c r="D4848">
        <v>360</v>
      </c>
      <c r="E4848">
        <v>145</v>
      </c>
      <c r="F4848" s="366">
        <f t="shared" si="614"/>
        <v>3146.5</v>
      </c>
      <c r="G4848" s="97">
        <v>3520</v>
      </c>
      <c r="H4848" s="367">
        <f t="shared" si="615"/>
        <v>6666.5</v>
      </c>
      <c r="I4848" s="368">
        <f t="shared" si="616"/>
        <v>0</v>
      </c>
      <c r="J4848">
        <v>8885</v>
      </c>
      <c r="K4848" s="367">
        <f t="shared" si="617"/>
        <v>6346.4285714285716</v>
      </c>
      <c r="L4848">
        <v>0.3</v>
      </c>
      <c r="M4848">
        <v>7.6</v>
      </c>
      <c r="N4848">
        <v>25</v>
      </c>
      <c r="O4848">
        <v>7</v>
      </c>
      <c r="P4848" t="s">
        <v>515</v>
      </c>
      <c r="Q4848" s="97" t="str">
        <f t="shared" si="618"/>
        <v/>
      </c>
      <c r="R4848" t="str">
        <f t="shared" si="619"/>
        <v/>
      </c>
    </row>
    <row r="4849" spans="3:18">
      <c r="C4849" t="str">
        <f t="shared" si="613"/>
        <v>NL</v>
      </c>
      <c r="D4849">
        <v>361</v>
      </c>
      <c r="E4849">
        <v>145</v>
      </c>
      <c r="F4849" s="366">
        <f t="shared" si="614"/>
        <v>3146.5</v>
      </c>
      <c r="G4849" s="97">
        <v>4808</v>
      </c>
      <c r="H4849" s="367">
        <f t="shared" si="615"/>
        <v>7954.5</v>
      </c>
      <c r="I4849" s="368">
        <f t="shared" si="616"/>
        <v>0</v>
      </c>
      <c r="J4849">
        <v>12136</v>
      </c>
      <c r="K4849" s="367">
        <f t="shared" si="617"/>
        <v>8668.5714285714294</v>
      </c>
      <c r="L4849">
        <v>0.91</v>
      </c>
      <c r="M4849">
        <v>7.6</v>
      </c>
      <c r="N4849">
        <v>30</v>
      </c>
      <c r="O4849">
        <v>7</v>
      </c>
      <c r="P4849" t="s">
        <v>514</v>
      </c>
      <c r="Q4849" s="97" t="str">
        <f t="shared" si="618"/>
        <v/>
      </c>
      <c r="R4849" t="str">
        <f t="shared" si="619"/>
        <v/>
      </c>
    </row>
    <row r="4850" spans="3:18">
      <c r="C4850" t="str">
        <f t="shared" si="613"/>
        <v/>
      </c>
      <c r="D4850">
        <v>362</v>
      </c>
      <c r="E4850">
        <v>145</v>
      </c>
      <c r="F4850" s="366">
        <f t="shared" si="614"/>
        <v>3146.5</v>
      </c>
      <c r="G4850" s="97">
        <v>2822</v>
      </c>
      <c r="H4850" s="367">
        <f t="shared" si="615"/>
        <v>5968.5</v>
      </c>
      <c r="I4850" s="368">
        <f t="shared" si="616"/>
        <v>0</v>
      </c>
      <c r="J4850">
        <v>7122</v>
      </c>
      <c r="K4850" s="367">
        <f t="shared" si="617"/>
        <v>5087.1428571428569</v>
      </c>
      <c r="L4850">
        <v>0.24000000000000002</v>
      </c>
      <c r="M4850">
        <v>8.5</v>
      </c>
      <c r="N4850">
        <v>25</v>
      </c>
      <c r="O4850">
        <v>8</v>
      </c>
      <c r="P4850" t="s">
        <v>515</v>
      </c>
      <c r="Q4850" s="97">
        <f t="shared" si="618"/>
        <v>362</v>
      </c>
      <c r="R4850" t="str">
        <f t="shared" si="619"/>
        <v/>
      </c>
    </row>
    <row r="4851" spans="3:18">
      <c r="C4851" t="str">
        <f t="shared" si="613"/>
        <v/>
      </c>
      <c r="D4851">
        <v>363</v>
      </c>
      <c r="E4851">
        <v>145</v>
      </c>
      <c r="F4851" s="366">
        <f t="shared" si="614"/>
        <v>3146.5</v>
      </c>
      <c r="G4851" s="97">
        <v>4198</v>
      </c>
      <c r="H4851" s="367">
        <f t="shared" si="615"/>
        <v>7344.5</v>
      </c>
      <c r="I4851" s="368">
        <f t="shared" si="616"/>
        <v>0</v>
      </c>
      <c r="J4851">
        <v>10595</v>
      </c>
      <c r="K4851" s="367">
        <f t="shared" si="617"/>
        <v>7567.8571428571431</v>
      </c>
      <c r="L4851">
        <v>0.72</v>
      </c>
      <c r="M4851">
        <v>8.5</v>
      </c>
      <c r="N4851">
        <v>30</v>
      </c>
      <c r="O4851">
        <v>8</v>
      </c>
      <c r="P4851" t="s">
        <v>514</v>
      </c>
      <c r="Q4851" s="97" t="str">
        <f t="shared" si="618"/>
        <v/>
      </c>
      <c r="R4851" t="str">
        <f t="shared" si="619"/>
        <v/>
      </c>
    </row>
    <row r="4852" spans="3:18">
      <c r="C4852" t="str">
        <f t="shared" si="613"/>
        <v>NL</v>
      </c>
      <c r="D4852">
        <v>364</v>
      </c>
      <c r="E4852">
        <v>145</v>
      </c>
      <c r="F4852" s="366">
        <f t="shared" si="614"/>
        <v>3146.5</v>
      </c>
      <c r="G4852" s="97">
        <v>3723</v>
      </c>
      <c r="H4852" s="367">
        <f t="shared" si="615"/>
        <v>6869.5</v>
      </c>
      <c r="I4852" s="368">
        <f t="shared" si="616"/>
        <v>0</v>
      </c>
      <c r="J4852">
        <v>9397</v>
      </c>
      <c r="K4852" s="367">
        <f t="shared" si="617"/>
        <v>6712.1428571428569</v>
      </c>
      <c r="L4852">
        <v>0.2</v>
      </c>
      <c r="M4852">
        <v>9.6</v>
      </c>
      <c r="N4852">
        <v>25</v>
      </c>
      <c r="O4852">
        <v>9</v>
      </c>
      <c r="P4852" t="s">
        <v>515</v>
      </c>
      <c r="Q4852" s="97" t="str">
        <f t="shared" si="618"/>
        <v/>
      </c>
      <c r="R4852" t="str">
        <f t="shared" si="619"/>
        <v/>
      </c>
    </row>
    <row r="4853" spans="3:18">
      <c r="C4853" t="str">
        <f t="shared" si="613"/>
        <v>NL</v>
      </c>
      <c r="D4853">
        <v>365</v>
      </c>
      <c r="E4853">
        <v>145</v>
      </c>
      <c r="F4853" s="366">
        <f t="shared" si="614"/>
        <v>3146.5</v>
      </c>
      <c r="G4853" s="97">
        <v>5708</v>
      </c>
      <c r="H4853" s="367">
        <f t="shared" si="615"/>
        <v>8854.5</v>
      </c>
      <c r="I4853" s="368">
        <f t="shared" si="616"/>
        <v>0</v>
      </c>
      <c r="J4853">
        <v>14406</v>
      </c>
      <c r="K4853" s="367">
        <f t="shared" si="617"/>
        <v>10290</v>
      </c>
      <c r="L4853">
        <v>0.6</v>
      </c>
      <c r="M4853">
        <v>9.6</v>
      </c>
      <c r="N4853">
        <v>30</v>
      </c>
      <c r="O4853">
        <v>9</v>
      </c>
      <c r="P4853" t="s">
        <v>514</v>
      </c>
      <c r="Q4853" s="97" t="str">
        <f t="shared" si="618"/>
        <v/>
      </c>
      <c r="R4853" t="str">
        <f t="shared" si="619"/>
        <v/>
      </c>
    </row>
    <row r="4854" spans="3:18">
      <c r="C4854" t="str">
        <f t="shared" si="613"/>
        <v/>
      </c>
      <c r="D4854">
        <v>366</v>
      </c>
      <c r="E4854">
        <v>145</v>
      </c>
      <c r="F4854" s="366">
        <f t="shared" si="614"/>
        <v>3146.5</v>
      </c>
      <c r="G4854" s="97">
        <v>6034</v>
      </c>
      <c r="H4854" s="367">
        <f t="shared" si="615"/>
        <v>9180.5</v>
      </c>
      <c r="I4854" s="368">
        <f t="shared" si="616"/>
        <v>0</v>
      </c>
      <c r="J4854">
        <v>15229</v>
      </c>
      <c r="K4854" s="367">
        <f t="shared" si="617"/>
        <v>10877.857142857143</v>
      </c>
      <c r="L4854">
        <v>0.51</v>
      </c>
      <c r="M4854">
        <v>1.4000000000000001</v>
      </c>
      <c r="N4854">
        <v>30</v>
      </c>
      <c r="O4854">
        <v>10</v>
      </c>
      <c r="P4854" t="s">
        <v>514</v>
      </c>
      <c r="Q4854" s="97" t="str">
        <f t="shared" si="618"/>
        <v/>
      </c>
      <c r="R4854" t="str">
        <f t="shared" si="619"/>
        <v/>
      </c>
    </row>
    <row r="4855" spans="3:18">
      <c r="C4855" t="str">
        <f t="shared" si="613"/>
        <v/>
      </c>
      <c r="D4855">
        <v>367</v>
      </c>
      <c r="E4855">
        <v>150</v>
      </c>
      <c r="F4855" s="366">
        <f t="shared" si="614"/>
        <v>3255</v>
      </c>
      <c r="G4855" s="97">
        <v>2446</v>
      </c>
      <c r="H4855" s="367">
        <f t="shared" si="615"/>
        <v>5701</v>
      </c>
      <c r="I4855" s="368">
        <f t="shared" si="616"/>
        <v>0</v>
      </c>
      <c r="J4855">
        <v>6174</v>
      </c>
      <c r="K4855" s="367">
        <f t="shared" si="617"/>
        <v>4410</v>
      </c>
      <c r="L4855">
        <v>0.92</v>
      </c>
      <c r="M4855">
        <v>4.5</v>
      </c>
      <c r="N4855">
        <v>28</v>
      </c>
      <c r="O4855">
        <v>4</v>
      </c>
      <c r="P4855" t="s">
        <v>515</v>
      </c>
      <c r="Q4855" s="97" t="str">
        <f t="shared" si="618"/>
        <v/>
      </c>
      <c r="R4855" t="str">
        <f t="shared" si="619"/>
        <v/>
      </c>
    </row>
    <row r="4856" spans="3:18">
      <c r="C4856" t="str">
        <f t="shared" ref="C4856:C4919" si="620">IF(OR($O$4=0,O4856-$O$4=0),IF(AND(ISEVEN(O4856)=FALSE,$N$4="Even"),"NL",""),"NL")</f>
        <v>NL</v>
      </c>
      <c r="D4856">
        <v>368</v>
      </c>
      <c r="E4856">
        <v>150</v>
      </c>
      <c r="F4856" s="366">
        <f t="shared" si="614"/>
        <v>3255</v>
      </c>
      <c r="G4856" s="97">
        <v>2965</v>
      </c>
      <c r="H4856" s="367">
        <f t="shared" si="615"/>
        <v>6220</v>
      </c>
      <c r="I4856" s="368">
        <f t="shared" si="616"/>
        <v>0</v>
      </c>
      <c r="J4856">
        <v>7484</v>
      </c>
      <c r="K4856" s="367">
        <f t="shared" si="617"/>
        <v>5345.7142857142862</v>
      </c>
      <c r="L4856">
        <v>0.59</v>
      </c>
      <c r="M4856">
        <v>5.5</v>
      </c>
      <c r="N4856">
        <v>27</v>
      </c>
      <c r="O4856">
        <v>5</v>
      </c>
      <c r="P4856" t="s">
        <v>515</v>
      </c>
      <c r="Q4856" s="97" t="str">
        <f t="shared" si="618"/>
        <v/>
      </c>
      <c r="R4856" t="str">
        <f t="shared" si="619"/>
        <v/>
      </c>
    </row>
    <row r="4857" spans="3:18">
      <c r="C4857" t="str">
        <f t="shared" si="620"/>
        <v/>
      </c>
      <c r="D4857">
        <v>369</v>
      </c>
      <c r="E4857">
        <v>150</v>
      </c>
      <c r="F4857" s="366">
        <f t="shared" si="614"/>
        <v>3255</v>
      </c>
      <c r="G4857" s="97">
        <v>2726</v>
      </c>
      <c r="H4857" s="367">
        <f t="shared" si="615"/>
        <v>5981</v>
      </c>
      <c r="I4857" s="368">
        <f t="shared" si="616"/>
        <v>0</v>
      </c>
      <c r="J4857">
        <v>6881</v>
      </c>
      <c r="K4857" s="367">
        <f t="shared" si="617"/>
        <v>4915</v>
      </c>
      <c r="L4857">
        <v>0.42</v>
      </c>
      <c r="M4857">
        <v>6.6</v>
      </c>
      <c r="N4857">
        <v>26</v>
      </c>
      <c r="O4857">
        <v>6</v>
      </c>
      <c r="P4857" t="s">
        <v>515</v>
      </c>
      <c r="Q4857" s="97">
        <f t="shared" si="618"/>
        <v>369</v>
      </c>
      <c r="R4857" t="str">
        <f t="shared" si="619"/>
        <v/>
      </c>
    </row>
    <row r="4858" spans="3:18">
      <c r="C4858" t="str">
        <f t="shared" si="620"/>
        <v>NL</v>
      </c>
      <c r="D4858">
        <v>370</v>
      </c>
      <c r="E4858">
        <v>150</v>
      </c>
      <c r="F4858" s="366">
        <f t="shared" si="614"/>
        <v>3255</v>
      </c>
      <c r="G4858" s="97">
        <v>3605</v>
      </c>
      <c r="H4858" s="367">
        <f t="shared" si="615"/>
        <v>6860</v>
      </c>
      <c r="I4858" s="368">
        <f t="shared" si="616"/>
        <v>0</v>
      </c>
      <c r="J4858">
        <v>9098</v>
      </c>
      <c r="K4858" s="367">
        <f t="shared" si="617"/>
        <v>6498.5714285714284</v>
      </c>
      <c r="L4858">
        <v>0.32</v>
      </c>
      <c r="M4858">
        <v>7.6</v>
      </c>
      <c r="N4858">
        <v>26</v>
      </c>
      <c r="O4858">
        <v>7</v>
      </c>
      <c r="P4858" t="s">
        <v>515</v>
      </c>
      <c r="Q4858" s="97" t="str">
        <f t="shared" si="618"/>
        <v/>
      </c>
      <c r="R4858" t="str">
        <f t="shared" si="619"/>
        <v/>
      </c>
    </row>
    <row r="4859" spans="3:18">
      <c r="C4859" t="str">
        <f t="shared" si="620"/>
        <v>NL</v>
      </c>
      <c r="D4859">
        <v>371</v>
      </c>
      <c r="E4859">
        <v>150</v>
      </c>
      <c r="F4859" s="366">
        <f t="shared" si="614"/>
        <v>3255</v>
      </c>
      <c r="G4859" s="97">
        <v>4912</v>
      </c>
      <c r="H4859" s="367">
        <f t="shared" si="615"/>
        <v>8167</v>
      </c>
      <c r="I4859" s="368">
        <f t="shared" si="616"/>
        <v>0</v>
      </c>
      <c r="J4859">
        <v>12399</v>
      </c>
      <c r="K4859" s="367">
        <f t="shared" si="617"/>
        <v>8856.4285714285725</v>
      </c>
      <c r="L4859">
        <v>0.97</v>
      </c>
      <c r="M4859">
        <v>7.6</v>
      </c>
      <c r="N4859">
        <v>30</v>
      </c>
      <c r="O4859">
        <v>7</v>
      </c>
      <c r="P4859" t="s">
        <v>514</v>
      </c>
      <c r="Q4859" s="97" t="str">
        <f t="shared" si="618"/>
        <v/>
      </c>
      <c r="R4859" t="str">
        <f t="shared" si="619"/>
        <v/>
      </c>
    </row>
    <row r="4860" spans="3:18">
      <c r="C4860" t="str">
        <f t="shared" si="620"/>
        <v/>
      </c>
      <c r="D4860">
        <v>372</v>
      </c>
      <c r="E4860">
        <v>150</v>
      </c>
      <c r="F4860" s="366">
        <f t="shared" si="614"/>
        <v>3255</v>
      </c>
      <c r="G4860" s="97">
        <v>2901</v>
      </c>
      <c r="H4860" s="367">
        <f t="shared" si="615"/>
        <v>6156</v>
      </c>
      <c r="I4860" s="368">
        <f t="shared" si="616"/>
        <v>0</v>
      </c>
      <c r="J4860">
        <v>7322</v>
      </c>
      <c r="K4860" s="367">
        <f t="shared" si="617"/>
        <v>5230</v>
      </c>
      <c r="L4860">
        <v>0.25</v>
      </c>
      <c r="M4860">
        <v>8.5</v>
      </c>
      <c r="N4860">
        <v>26</v>
      </c>
      <c r="O4860">
        <v>8</v>
      </c>
      <c r="P4860" t="s">
        <v>515</v>
      </c>
      <c r="Q4860" s="97">
        <f t="shared" si="618"/>
        <v>372</v>
      </c>
      <c r="R4860" t="str">
        <f t="shared" si="619"/>
        <v/>
      </c>
    </row>
    <row r="4861" spans="3:18">
      <c r="C4861" t="str">
        <f t="shared" si="620"/>
        <v/>
      </c>
      <c r="D4861">
        <v>373</v>
      </c>
      <c r="E4861">
        <v>150</v>
      </c>
      <c r="F4861" s="366">
        <f t="shared" si="614"/>
        <v>3255</v>
      </c>
      <c r="G4861" s="97">
        <v>4297</v>
      </c>
      <c r="H4861" s="367">
        <f t="shared" si="615"/>
        <v>7552</v>
      </c>
      <c r="I4861" s="368">
        <f t="shared" si="616"/>
        <v>0</v>
      </c>
      <c r="J4861">
        <v>10847</v>
      </c>
      <c r="K4861" s="367">
        <f t="shared" si="617"/>
        <v>7747.8571428571431</v>
      </c>
      <c r="L4861">
        <v>0.77</v>
      </c>
      <c r="M4861">
        <v>8.5</v>
      </c>
      <c r="N4861">
        <v>30</v>
      </c>
      <c r="O4861">
        <v>8</v>
      </c>
      <c r="P4861" t="s">
        <v>514</v>
      </c>
      <c r="Q4861" s="97" t="str">
        <f t="shared" si="618"/>
        <v/>
      </c>
      <c r="R4861" t="str">
        <f t="shared" si="619"/>
        <v/>
      </c>
    </row>
    <row r="4862" spans="3:18">
      <c r="C4862" t="str">
        <f t="shared" si="620"/>
        <v>NL</v>
      </c>
      <c r="D4862">
        <v>374</v>
      </c>
      <c r="E4862">
        <v>150</v>
      </c>
      <c r="F4862" s="366">
        <f t="shared" si="614"/>
        <v>3255</v>
      </c>
      <c r="G4862" s="97">
        <v>3816</v>
      </c>
      <c r="H4862" s="367">
        <f t="shared" si="615"/>
        <v>7071</v>
      </c>
      <c r="I4862" s="368">
        <f t="shared" si="616"/>
        <v>0</v>
      </c>
      <c r="J4862">
        <v>9632</v>
      </c>
      <c r="K4862" s="367">
        <f t="shared" si="617"/>
        <v>6880</v>
      </c>
      <c r="L4862">
        <v>0.21000000000000002</v>
      </c>
      <c r="M4862">
        <v>9.6</v>
      </c>
      <c r="N4862">
        <v>26</v>
      </c>
      <c r="O4862">
        <v>9</v>
      </c>
      <c r="P4862" t="s">
        <v>515</v>
      </c>
      <c r="Q4862" s="97" t="str">
        <f t="shared" si="618"/>
        <v/>
      </c>
      <c r="R4862" t="str">
        <f t="shared" si="619"/>
        <v/>
      </c>
    </row>
    <row r="4863" spans="3:18">
      <c r="C4863" t="str">
        <f t="shared" si="620"/>
        <v>NL</v>
      </c>
      <c r="D4863">
        <v>375</v>
      </c>
      <c r="E4863">
        <v>150</v>
      </c>
      <c r="F4863" s="366">
        <f t="shared" si="614"/>
        <v>3255</v>
      </c>
      <c r="G4863" s="97">
        <v>5829</v>
      </c>
      <c r="H4863" s="367">
        <f t="shared" si="615"/>
        <v>9084</v>
      </c>
      <c r="I4863" s="368">
        <f t="shared" si="616"/>
        <v>0</v>
      </c>
      <c r="J4863">
        <v>14711</v>
      </c>
      <c r="K4863" s="367">
        <f t="shared" si="617"/>
        <v>10507.857142857143</v>
      </c>
      <c r="L4863">
        <v>0.64</v>
      </c>
      <c r="M4863">
        <v>9.6</v>
      </c>
      <c r="N4863">
        <v>30</v>
      </c>
      <c r="O4863">
        <v>9</v>
      </c>
      <c r="P4863" t="s">
        <v>514</v>
      </c>
      <c r="Q4863" s="97" t="str">
        <f t="shared" si="618"/>
        <v/>
      </c>
      <c r="R4863" t="str">
        <f t="shared" si="619"/>
        <v/>
      </c>
    </row>
    <row r="4864" spans="3:18">
      <c r="C4864" t="str">
        <f t="shared" si="620"/>
        <v/>
      </c>
      <c r="D4864">
        <v>376</v>
      </c>
      <c r="E4864">
        <v>150</v>
      </c>
      <c r="F4864" s="366">
        <f t="shared" si="614"/>
        <v>3255</v>
      </c>
      <c r="G4864" s="97">
        <v>6169</v>
      </c>
      <c r="H4864" s="367">
        <f t="shared" si="615"/>
        <v>9424</v>
      </c>
      <c r="I4864" s="368">
        <f t="shared" si="616"/>
        <v>0</v>
      </c>
      <c r="J4864">
        <v>15571</v>
      </c>
      <c r="K4864" s="367">
        <f t="shared" si="617"/>
        <v>11122.142857142857</v>
      </c>
      <c r="L4864">
        <v>0.54</v>
      </c>
      <c r="M4864">
        <v>1.4000000000000001</v>
      </c>
      <c r="N4864">
        <v>31</v>
      </c>
      <c r="O4864">
        <v>10</v>
      </c>
      <c r="P4864" t="s">
        <v>514</v>
      </c>
      <c r="Q4864" s="97" t="str">
        <f t="shared" si="618"/>
        <v/>
      </c>
      <c r="R4864" t="str">
        <f t="shared" si="619"/>
        <v/>
      </c>
    </row>
    <row r="4865" spans="3:18">
      <c r="C4865" t="str">
        <f t="shared" si="620"/>
        <v/>
      </c>
      <c r="D4865">
        <v>377</v>
      </c>
      <c r="E4865">
        <v>155</v>
      </c>
      <c r="F4865" s="366">
        <f t="shared" si="614"/>
        <v>3363.5</v>
      </c>
      <c r="G4865" s="97">
        <v>2504</v>
      </c>
      <c r="H4865" s="367">
        <f t="shared" si="615"/>
        <v>5867.5</v>
      </c>
      <c r="I4865" s="368">
        <f t="shared" si="616"/>
        <v>0</v>
      </c>
      <c r="J4865">
        <v>6320</v>
      </c>
      <c r="K4865" s="367">
        <f t="shared" si="617"/>
        <v>4514.2857142857147</v>
      </c>
      <c r="L4865">
        <v>0.98</v>
      </c>
      <c r="M4865">
        <v>4.5</v>
      </c>
      <c r="N4865">
        <v>28</v>
      </c>
      <c r="O4865">
        <v>4</v>
      </c>
      <c r="P4865" t="s">
        <v>515</v>
      </c>
      <c r="Q4865" s="97" t="str">
        <f t="shared" si="618"/>
        <v/>
      </c>
      <c r="R4865" t="str">
        <f t="shared" si="619"/>
        <v/>
      </c>
    </row>
    <row r="4866" spans="3:18">
      <c r="C4866" t="str">
        <f t="shared" si="620"/>
        <v>NL</v>
      </c>
      <c r="D4866">
        <v>378</v>
      </c>
      <c r="E4866">
        <v>155</v>
      </c>
      <c r="F4866" s="366">
        <f t="shared" si="614"/>
        <v>3363.5</v>
      </c>
      <c r="G4866" s="97">
        <v>3033</v>
      </c>
      <c r="H4866" s="367">
        <f t="shared" si="615"/>
        <v>6396.5</v>
      </c>
      <c r="I4866" s="368">
        <f t="shared" si="616"/>
        <v>0</v>
      </c>
      <c r="J4866">
        <v>7655</v>
      </c>
      <c r="K4866" s="367">
        <f t="shared" si="617"/>
        <v>5467.8571428571431</v>
      </c>
      <c r="L4866">
        <v>0.63</v>
      </c>
      <c r="M4866">
        <v>5.5</v>
      </c>
      <c r="N4866">
        <v>27</v>
      </c>
      <c r="O4866">
        <v>5</v>
      </c>
      <c r="P4866" t="s">
        <v>515</v>
      </c>
      <c r="Q4866" s="97" t="str">
        <f t="shared" si="618"/>
        <v/>
      </c>
      <c r="R4866" t="str">
        <f t="shared" si="619"/>
        <v/>
      </c>
    </row>
    <row r="4867" spans="3:18">
      <c r="C4867" t="str">
        <f t="shared" si="620"/>
        <v/>
      </c>
      <c r="D4867">
        <v>379</v>
      </c>
      <c r="E4867">
        <v>155</v>
      </c>
      <c r="F4867" s="366">
        <f t="shared" si="614"/>
        <v>3363.5</v>
      </c>
      <c r="G4867" s="97">
        <v>2796</v>
      </c>
      <c r="H4867" s="367">
        <f t="shared" si="615"/>
        <v>6159.5</v>
      </c>
      <c r="I4867" s="368">
        <f t="shared" si="616"/>
        <v>0</v>
      </c>
      <c r="J4867">
        <v>7057</v>
      </c>
      <c r="K4867" s="367">
        <f t="shared" si="617"/>
        <v>5040.7142857142862</v>
      </c>
      <c r="L4867">
        <v>0.45</v>
      </c>
      <c r="M4867">
        <v>6.6</v>
      </c>
      <c r="N4867">
        <v>26</v>
      </c>
      <c r="O4867">
        <v>6</v>
      </c>
      <c r="P4867" t="s">
        <v>515</v>
      </c>
      <c r="Q4867" s="97">
        <f t="shared" si="618"/>
        <v>379</v>
      </c>
      <c r="R4867" t="str">
        <f t="shared" si="619"/>
        <v/>
      </c>
    </row>
    <row r="4868" spans="3:18">
      <c r="C4868" t="str">
        <f t="shared" si="620"/>
        <v>NL</v>
      </c>
      <c r="D4868">
        <v>380</v>
      </c>
      <c r="E4868">
        <v>155</v>
      </c>
      <c r="F4868" s="366">
        <f t="shared" si="614"/>
        <v>3363.5</v>
      </c>
      <c r="G4868" s="97">
        <v>3689</v>
      </c>
      <c r="H4868" s="367">
        <f t="shared" si="615"/>
        <v>7052.5</v>
      </c>
      <c r="I4868" s="368">
        <f t="shared" si="616"/>
        <v>0</v>
      </c>
      <c r="J4868">
        <v>9311</v>
      </c>
      <c r="K4868" s="367">
        <f t="shared" si="617"/>
        <v>6650.7142857142862</v>
      </c>
      <c r="L4868">
        <v>0.34</v>
      </c>
      <c r="M4868">
        <v>7.6</v>
      </c>
      <c r="N4868">
        <v>26</v>
      </c>
      <c r="O4868">
        <v>7</v>
      </c>
      <c r="P4868" t="s">
        <v>515</v>
      </c>
      <c r="Q4868" s="97" t="str">
        <f t="shared" si="618"/>
        <v/>
      </c>
      <c r="R4868" t="str">
        <f t="shared" si="619"/>
        <v/>
      </c>
    </row>
    <row r="4869" spans="3:18">
      <c r="C4869" t="str">
        <f t="shared" si="620"/>
        <v>NL</v>
      </c>
      <c r="D4869">
        <v>381</v>
      </c>
      <c r="E4869">
        <v>155</v>
      </c>
      <c r="F4869" s="366">
        <f t="shared" si="614"/>
        <v>3363.5</v>
      </c>
      <c r="G4869" s="97">
        <v>5017</v>
      </c>
      <c r="H4869" s="367">
        <f t="shared" si="615"/>
        <v>8380.5</v>
      </c>
      <c r="I4869" s="368">
        <f t="shared" si="616"/>
        <v>0</v>
      </c>
      <c r="J4869">
        <v>12662</v>
      </c>
      <c r="K4869" s="367">
        <f t="shared" si="617"/>
        <v>9044.2857142857138</v>
      </c>
      <c r="L4869">
        <v>1.04</v>
      </c>
      <c r="M4869">
        <v>7.6</v>
      </c>
      <c r="N4869">
        <v>31</v>
      </c>
      <c r="O4869">
        <v>7</v>
      </c>
      <c r="P4869" t="s">
        <v>514</v>
      </c>
      <c r="Q4869" s="97" t="str">
        <f t="shared" si="618"/>
        <v/>
      </c>
      <c r="R4869" t="str">
        <f t="shared" si="619"/>
        <v/>
      </c>
    </row>
    <row r="4870" spans="3:18">
      <c r="C4870" t="str">
        <f t="shared" si="620"/>
        <v/>
      </c>
      <c r="D4870">
        <v>382</v>
      </c>
      <c r="E4870">
        <v>155</v>
      </c>
      <c r="F4870" s="366">
        <f t="shared" si="614"/>
        <v>3363.5</v>
      </c>
      <c r="G4870" s="97">
        <v>2980</v>
      </c>
      <c r="H4870" s="367">
        <f t="shared" si="615"/>
        <v>6343.5</v>
      </c>
      <c r="I4870" s="368">
        <f t="shared" si="616"/>
        <v>0</v>
      </c>
      <c r="J4870">
        <v>7523</v>
      </c>
      <c r="K4870" s="367">
        <f t="shared" si="617"/>
        <v>5373.5714285714284</v>
      </c>
      <c r="L4870">
        <v>0.27</v>
      </c>
      <c r="M4870">
        <v>8.5</v>
      </c>
      <c r="N4870">
        <v>26</v>
      </c>
      <c r="O4870">
        <v>8</v>
      </c>
      <c r="P4870" t="s">
        <v>515</v>
      </c>
      <c r="Q4870" s="97">
        <f t="shared" si="618"/>
        <v>382</v>
      </c>
      <c r="R4870" t="str">
        <f t="shared" si="619"/>
        <v/>
      </c>
    </row>
    <row r="4871" spans="3:18">
      <c r="C4871" t="str">
        <f t="shared" si="620"/>
        <v/>
      </c>
      <c r="D4871">
        <v>383</v>
      </c>
      <c r="E4871">
        <v>155</v>
      </c>
      <c r="F4871" s="366">
        <f t="shared" si="614"/>
        <v>3363.5</v>
      </c>
      <c r="G4871" s="97">
        <v>4390</v>
      </c>
      <c r="H4871" s="367">
        <f t="shared" si="615"/>
        <v>7753.5</v>
      </c>
      <c r="I4871" s="368">
        <f t="shared" si="616"/>
        <v>0</v>
      </c>
      <c r="J4871">
        <v>11081</v>
      </c>
      <c r="K4871" s="367">
        <f t="shared" si="617"/>
        <v>7915</v>
      </c>
      <c r="L4871">
        <v>0.83</v>
      </c>
      <c r="M4871">
        <v>8.5</v>
      </c>
      <c r="N4871">
        <v>31</v>
      </c>
      <c r="O4871">
        <v>8</v>
      </c>
      <c r="P4871" t="s">
        <v>514</v>
      </c>
      <c r="Q4871" s="97" t="str">
        <f t="shared" si="618"/>
        <v/>
      </c>
      <c r="R4871" t="str">
        <f t="shared" si="619"/>
        <v/>
      </c>
    </row>
    <row r="4872" spans="3:18">
      <c r="C4872" t="str">
        <f t="shared" si="620"/>
        <v>NL</v>
      </c>
      <c r="D4872">
        <v>384</v>
      </c>
      <c r="E4872">
        <v>155</v>
      </c>
      <c r="F4872" s="366">
        <f t="shared" si="614"/>
        <v>3363.5</v>
      </c>
      <c r="G4872" s="97">
        <v>3909</v>
      </c>
      <c r="H4872" s="367">
        <f t="shared" si="615"/>
        <v>7272.5</v>
      </c>
      <c r="I4872" s="368">
        <f t="shared" si="616"/>
        <v>0</v>
      </c>
      <c r="J4872">
        <v>9866</v>
      </c>
      <c r="K4872" s="367">
        <f t="shared" si="617"/>
        <v>7047.1428571428569</v>
      </c>
      <c r="L4872">
        <v>0.23</v>
      </c>
      <c r="M4872">
        <v>9.6</v>
      </c>
      <c r="N4872">
        <v>26</v>
      </c>
      <c r="O4872">
        <v>9</v>
      </c>
      <c r="P4872" t="s">
        <v>515</v>
      </c>
      <c r="Q4872" s="97" t="str">
        <f t="shared" si="618"/>
        <v/>
      </c>
      <c r="R4872" t="str">
        <f t="shared" si="619"/>
        <v/>
      </c>
    </row>
    <row r="4873" spans="3:18">
      <c r="C4873" t="str">
        <f t="shared" si="620"/>
        <v>NL</v>
      </c>
      <c r="D4873">
        <v>385</v>
      </c>
      <c r="E4873">
        <v>155</v>
      </c>
      <c r="F4873" s="366">
        <f t="shared" si="614"/>
        <v>3363.5</v>
      </c>
      <c r="G4873" s="97">
        <v>5950</v>
      </c>
      <c r="H4873" s="367">
        <f t="shared" si="615"/>
        <v>9313.5</v>
      </c>
      <c r="I4873" s="368">
        <f t="shared" si="616"/>
        <v>0</v>
      </c>
      <c r="J4873">
        <v>15016</v>
      </c>
      <c r="K4873" s="367">
        <f t="shared" si="617"/>
        <v>10725.714285714286</v>
      </c>
      <c r="L4873">
        <v>0.68</v>
      </c>
      <c r="M4873">
        <v>9.6</v>
      </c>
      <c r="N4873">
        <v>31</v>
      </c>
      <c r="O4873">
        <v>9</v>
      </c>
      <c r="P4873" t="s">
        <v>514</v>
      </c>
      <c r="Q4873" s="97" t="str">
        <f t="shared" si="618"/>
        <v/>
      </c>
      <c r="R4873" t="str">
        <f t="shared" si="619"/>
        <v/>
      </c>
    </row>
    <row r="4874" spans="3:18">
      <c r="C4874" t="str">
        <f t="shared" si="620"/>
        <v/>
      </c>
      <c r="D4874">
        <v>386</v>
      </c>
      <c r="E4874">
        <v>155</v>
      </c>
      <c r="F4874" s="366">
        <f t="shared" ref="F4874:F4937" si="621">1.085*($A$2-$B$2)*E4874*$T$7</f>
        <v>3363.5</v>
      </c>
      <c r="G4874" s="97">
        <v>3997</v>
      </c>
      <c r="H4874" s="367">
        <f t="shared" ref="H4874:H4937" si="622">(G4874*$U$7)+F4874</f>
        <v>7360.5</v>
      </c>
      <c r="I4874" s="368">
        <f t="shared" ref="I4874:I4937" si="623">1.085*($C$2-$D$2)*E4874*$T$7</f>
        <v>0</v>
      </c>
      <c r="J4874">
        <v>10089</v>
      </c>
      <c r="K4874" s="367">
        <f t="shared" ref="K4874:K4937" si="624">(J4874*$V$7)-I4874</f>
        <v>7206.4285714285716</v>
      </c>
      <c r="L4874">
        <v>0.19</v>
      </c>
      <c r="M4874">
        <v>1.4000000000000001</v>
      </c>
      <c r="N4874">
        <v>27</v>
      </c>
      <c r="O4874">
        <v>10</v>
      </c>
      <c r="P4874" t="s">
        <v>515</v>
      </c>
      <c r="Q4874" s="97" t="str">
        <f t="shared" ref="Q4874:Q4937" si="625">IF(AND(H4874+1&gt;$E$4,L4874&lt;$L$4+0.01,M4874&lt;$M$4+0.01,K4874+1&gt;$F$4,E4874+1&gt;$J$4,N4874&lt;$K$4+1,O4874&lt;$P$4+1,C4874=""),D4874,"")</f>
        <v/>
      </c>
      <c r="R4874" t="str">
        <f t="shared" ref="R4874:R4937" si="626">IF(Q4874="","",IF(AND(O4874&lt;$X$38,E4874&gt;$U$38,E4874&lt;$Q$4+$U$38+1),D4874,""))</f>
        <v/>
      </c>
    </row>
    <row r="4875" spans="3:18">
      <c r="C4875" t="str">
        <f t="shared" si="620"/>
        <v/>
      </c>
      <c r="D4875">
        <v>387</v>
      </c>
      <c r="E4875">
        <v>155</v>
      </c>
      <c r="F4875" s="366">
        <f t="shared" si="621"/>
        <v>3363.5</v>
      </c>
      <c r="G4875" s="97">
        <v>6305</v>
      </c>
      <c r="H4875" s="367">
        <f t="shared" si="622"/>
        <v>9668.5</v>
      </c>
      <c r="I4875" s="368">
        <f t="shared" si="623"/>
        <v>0</v>
      </c>
      <c r="J4875">
        <v>15913</v>
      </c>
      <c r="K4875" s="367">
        <f t="shared" si="624"/>
        <v>11366.428571428572</v>
      </c>
      <c r="L4875">
        <v>0.57999999999999996</v>
      </c>
      <c r="M4875">
        <v>1.4000000000000001</v>
      </c>
      <c r="N4875">
        <v>31</v>
      </c>
      <c r="O4875">
        <v>10</v>
      </c>
      <c r="P4875" t="s">
        <v>514</v>
      </c>
      <c r="Q4875" s="97" t="str">
        <f t="shared" si="625"/>
        <v/>
      </c>
      <c r="R4875" t="str">
        <f t="shared" si="626"/>
        <v/>
      </c>
    </row>
    <row r="4876" spans="3:18">
      <c r="C4876" t="str">
        <f t="shared" si="620"/>
        <v>NL</v>
      </c>
      <c r="D4876">
        <v>388</v>
      </c>
      <c r="E4876">
        <v>160</v>
      </c>
      <c r="F4876" s="366">
        <f t="shared" si="621"/>
        <v>3472</v>
      </c>
      <c r="G4876" s="97">
        <v>3100</v>
      </c>
      <c r="H4876" s="367">
        <f t="shared" si="622"/>
        <v>6572</v>
      </c>
      <c r="I4876" s="368">
        <f t="shared" si="623"/>
        <v>0</v>
      </c>
      <c r="J4876">
        <v>7826</v>
      </c>
      <c r="K4876" s="367">
        <f t="shared" si="624"/>
        <v>5590</v>
      </c>
      <c r="L4876">
        <v>0.67</v>
      </c>
      <c r="M4876">
        <v>5.5</v>
      </c>
      <c r="N4876">
        <v>27</v>
      </c>
      <c r="O4876">
        <v>5</v>
      </c>
      <c r="P4876" t="s">
        <v>515</v>
      </c>
      <c r="Q4876" s="97" t="str">
        <f t="shared" si="625"/>
        <v/>
      </c>
      <c r="R4876" t="str">
        <f t="shared" si="626"/>
        <v/>
      </c>
    </row>
    <row r="4877" spans="3:18">
      <c r="C4877" t="str">
        <f t="shared" si="620"/>
        <v/>
      </c>
      <c r="D4877">
        <v>389</v>
      </c>
      <c r="E4877">
        <v>160</v>
      </c>
      <c r="F4877" s="366">
        <f t="shared" si="621"/>
        <v>3472</v>
      </c>
      <c r="G4877" s="97">
        <v>2865</v>
      </c>
      <c r="H4877" s="367">
        <f t="shared" si="622"/>
        <v>6337</v>
      </c>
      <c r="I4877" s="368">
        <f t="shared" si="623"/>
        <v>0</v>
      </c>
      <c r="J4877">
        <v>7233</v>
      </c>
      <c r="K4877" s="367">
        <f t="shared" si="624"/>
        <v>5166.4285714285716</v>
      </c>
      <c r="L4877">
        <v>0.48</v>
      </c>
      <c r="M4877">
        <v>6.6</v>
      </c>
      <c r="N4877">
        <v>27</v>
      </c>
      <c r="O4877">
        <v>6</v>
      </c>
      <c r="P4877" t="s">
        <v>515</v>
      </c>
      <c r="Q4877" s="97">
        <f t="shared" si="625"/>
        <v>389</v>
      </c>
      <c r="R4877" t="str">
        <f t="shared" si="626"/>
        <v/>
      </c>
    </row>
    <row r="4878" spans="3:18">
      <c r="C4878" t="str">
        <f t="shared" si="620"/>
        <v>NL</v>
      </c>
      <c r="D4878">
        <v>390</v>
      </c>
      <c r="E4878">
        <v>160</v>
      </c>
      <c r="F4878" s="366">
        <f t="shared" si="621"/>
        <v>3472</v>
      </c>
      <c r="G4878" s="97">
        <v>3773</v>
      </c>
      <c r="H4878" s="367">
        <f t="shared" si="622"/>
        <v>7245</v>
      </c>
      <c r="I4878" s="368">
        <f t="shared" si="623"/>
        <v>0</v>
      </c>
      <c r="J4878">
        <v>9523</v>
      </c>
      <c r="K4878" s="367">
        <f t="shared" si="624"/>
        <v>6802.1428571428569</v>
      </c>
      <c r="L4878">
        <v>0.36</v>
      </c>
      <c r="M4878">
        <v>7.6</v>
      </c>
      <c r="N4878">
        <v>26</v>
      </c>
      <c r="O4878">
        <v>7</v>
      </c>
      <c r="P4878" t="s">
        <v>515</v>
      </c>
      <c r="Q4878" s="97" t="str">
        <f t="shared" si="625"/>
        <v/>
      </c>
      <c r="R4878" t="str">
        <f t="shared" si="626"/>
        <v/>
      </c>
    </row>
    <row r="4879" spans="3:18">
      <c r="C4879" t="str">
        <f t="shared" si="620"/>
        <v>NL</v>
      </c>
      <c r="D4879">
        <v>391</v>
      </c>
      <c r="E4879">
        <v>160</v>
      </c>
      <c r="F4879" s="366">
        <f t="shared" si="621"/>
        <v>3472</v>
      </c>
      <c r="G4879" s="97">
        <v>5115</v>
      </c>
      <c r="H4879" s="367">
        <f t="shared" si="622"/>
        <v>8587</v>
      </c>
      <c r="I4879" s="368">
        <f t="shared" si="623"/>
        <v>0</v>
      </c>
      <c r="J4879">
        <v>12910</v>
      </c>
      <c r="K4879" s="367">
        <f t="shared" si="624"/>
        <v>9221.4285714285725</v>
      </c>
      <c r="L4879">
        <v>1.1100000000000001</v>
      </c>
      <c r="M4879">
        <v>7.6</v>
      </c>
      <c r="N4879">
        <v>31</v>
      </c>
      <c r="O4879">
        <v>7</v>
      </c>
      <c r="P4879" t="s">
        <v>514</v>
      </c>
      <c r="Q4879" s="97" t="str">
        <f t="shared" si="625"/>
        <v/>
      </c>
      <c r="R4879" t="str">
        <f t="shared" si="626"/>
        <v/>
      </c>
    </row>
    <row r="4880" spans="3:18">
      <c r="C4880" t="str">
        <f t="shared" si="620"/>
        <v/>
      </c>
      <c r="D4880">
        <v>392</v>
      </c>
      <c r="E4880">
        <v>160</v>
      </c>
      <c r="F4880" s="366">
        <f t="shared" si="621"/>
        <v>3472</v>
      </c>
      <c r="G4880" s="97">
        <v>3051</v>
      </c>
      <c r="H4880" s="367">
        <f t="shared" si="622"/>
        <v>6523</v>
      </c>
      <c r="I4880" s="368">
        <f t="shared" si="623"/>
        <v>0</v>
      </c>
      <c r="J4880">
        <v>7701</v>
      </c>
      <c r="K4880" s="367">
        <f t="shared" si="624"/>
        <v>5500.7142857142862</v>
      </c>
      <c r="L4880">
        <v>0.29000000000000004</v>
      </c>
      <c r="M4880">
        <v>8.5</v>
      </c>
      <c r="N4880">
        <v>26</v>
      </c>
      <c r="O4880">
        <v>8</v>
      </c>
      <c r="P4880" t="s">
        <v>515</v>
      </c>
      <c r="Q4880" s="97">
        <f t="shared" si="625"/>
        <v>392</v>
      </c>
      <c r="R4880" t="str">
        <f t="shared" si="626"/>
        <v/>
      </c>
    </row>
    <row r="4881" spans="3:18">
      <c r="C4881" t="str">
        <f t="shared" si="620"/>
        <v/>
      </c>
      <c r="D4881">
        <v>393</v>
      </c>
      <c r="E4881">
        <v>160</v>
      </c>
      <c r="F4881" s="366">
        <f t="shared" si="621"/>
        <v>3472</v>
      </c>
      <c r="G4881" s="97">
        <v>4483</v>
      </c>
      <c r="H4881" s="367">
        <f t="shared" si="622"/>
        <v>7955</v>
      </c>
      <c r="I4881" s="368">
        <f t="shared" si="623"/>
        <v>0</v>
      </c>
      <c r="J4881">
        <v>11315</v>
      </c>
      <c r="K4881" s="367">
        <f t="shared" si="624"/>
        <v>8082.1428571428569</v>
      </c>
      <c r="L4881">
        <v>0.88</v>
      </c>
      <c r="M4881">
        <v>8.5</v>
      </c>
      <c r="N4881">
        <v>31</v>
      </c>
      <c r="O4881">
        <v>8</v>
      </c>
      <c r="P4881" t="s">
        <v>514</v>
      </c>
      <c r="Q4881" s="97" t="str">
        <f t="shared" si="625"/>
        <v/>
      </c>
      <c r="R4881" t="str">
        <f t="shared" si="626"/>
        <v/>
      </c>
    </row>
    <row r="4882" spans="3:18">
      <c r="C4882" t="str">
        <f t="shared" si="620"/>
        <v>NL</v>
      </c>
      <c r="D4882">
        <v>394</v>
      </c>
      <c r="E4882">
        <v>160</v>
      </c>
      <c r="F4882" s="366">
        <f t="shared" si="621"/>
        <v>3472</v>
      </c>
      <c r="G4882" s="97">
        <v>4002</v>
      </c>
      <c r="H4882" s="367">
        <f t="shared" si="622"/>
        <v>7474</v>
      </c>
      <c r="I4882" s="368">
        <f t="shared" si="623"/>
        <v>0</v>
      </c>
      <c r="J4882">
        <v>10101</v>
      </c>
      <c r="K4882" s="367">
        <f t="shared" si="624"/>
        <v>7215</v>
      </c>
      <c r="L4882">
        <v>0.24000000000000002</v>
      </c>
      <c r="M4882">
        <v>9.6</v>
      </c>
      <c r="N4882">
        <v>27</v>
      </c>
      <c r="O4882">
        <v>9</v>
      </c>
      <c r="P4882" t="s">
        <v>515</v>
      </c>
      <c r="Q4882" s="97" t="str">
        <f t="shared" si="625"/>
        <v/>
      </c>
      <c r="R4882" t="str">
        <f t="shared" si="626"/>
        <v/>
      </c>
    </row>
    <row r="4883" spans="3:18">
      <c r="C4883" t="str">
        <f t="shared" si="620"/>
        <v>NL</v>
      </c>
      <c r="D4883">
        <v>395</v>
      </c>
      <c r="E4883">
        <v>160</v>
      </c>
      <c r="F4883" s="366">
        <f t="shared" si="621"/>
        <v>3472</v>
      </c>
      <c r="G4883" s="97">
        <v>6071</v>
      </c>
      <c r="H4883" s="367">
        <f t="shared" si="622"/>
        <v>9543</v>
      </c>
      <c r="I4883" s="368">
        <f t="shared" si="623"/>
        <v>0</v>
      </c>
      <c r="J4883">
        <v>15322</v>
      </c>
      <c r="K4883" s="367">
        <f t="shared" si="624"/>
        <v>10944.285714285714</v>
      </c>
      <c r="L4883">
        <v>0.72</v>
      </c>
      <c r="M4883">
        <v>9.6</v>
      </c>
      <c r="N4883">
        <v>31</v>
      </c>
      <c r="O4883">
        <v>9</v>
      </c>
      <c r="P4883" t="s">
        <v>514</v>
      </c>
      <c r="Q4883" s="97" t="str">
        <f t="shared" si="625"/>
        <v/>
      </c>
      <c r="R4883" t="str">
        <f t="shared" si="626"/>
        <v/>
      </c>
    </row>
    <row r="4884" spans="3:18">
      <c r="C4884" t="str">
        <f t="shared" si="620"/>
        <v/>
      </c>
      <c r="D4884">
        <v>396</v>
      </c>
      <c r="E4884">
        <v>160</v>
      </c>
      <c r="F4884" s="366">
        <f t="shared" si="621"/>
        <v>3472</v>
      </c>
      <c r="G4884" s="97">
        <v>4089</v>
      </c>
      <c r="H4884" s="367">
        <f t="shared" si="622"/>
        <v>7561</v>
      </c>
      <c r="I4884" s="368">
        <f t="shared" si="623"/>
        <v>0</v>
      </c>
      <c r="J4884">
        <v>10320</v>
      </c>
      <c r="K4884" s="367">
        <f t="shared" si="624"/>
        <v>7371.4285714285716</v>
      </c>
      <c r="L4884">
        <v>0.21000000000000002</v>
      </c>
      <c r="M4884">
        <v>1.4000000000000001</v>
      </c>
      <c r="N4884">
        <v>27</v>
      </c>
      <c r="O4884">
        <v>10</v>
      </c>
      <c r="P4884" t="s">
        <v>515</v>
      </c>
      <c r="Q4884" s="97" t="str">
        <f t="shared" si="625"/>
        <v/>
      </c>
      <c r="R4884" t="str">
        <f t="shared" si="626"/>
        <v/>
      </c>
    </row>
    <row r="4885" spans="3:18">
      <c r="C4885" t="str">
        <f t="shared" si="620"/>
        <v/>
      </c>
      <c r="D4885">
        <v>397</v>
      </c>
      <c r="E4885">
        <v>160</v>
      </c>
      <c r="F4885" s="366">
        <f t="shared" si="621"/>
        <v>3472</v>
      </c>
      <c r="G4885" s="97">
        <v>6440</v>
      </c>
      <c r="H4885" s="367">
        <f t="shared" si="622"/>
        <v>9912</v>
      </c>
      <c r="I4885" s="368">
        <f t="shared" si="623"/>
        <v>0</v>
      </c>
      <c r="J4885">
        <v>16254</v>
      </c>
      <c r="K4885" s="367">
        <f t="shared" si="624"/>
        <v>11610</v>
      </c>
      <c r="L4885">
        <v>0.61</v>
      </c>
      <c r="M4885">
        <v>1.4000000000000001</v>
      </c>
      <c r="N4885">
        <v>31</v>
      </c>
      <c r="O4885">
        <v>10</v>
      </c>
      <c r="P4885" t="s">
        <v>514</v>
      </c>
      <c r="Q4885" s="97" t="str">
        <f t="shared" si="625"/>
        <v/>
      </c>
      <c r="R4885" t="str">
        <f t="shared" si="626"/>
        <v/>
      </c>
    </row>
    <row r="4886" spans="3:18">
      <c r="C4886" t="str">
        <f t="shared" si="620"/>
        <v>NL</v>
      </c>
      <c r="D4886">
        <v>398</v>
      </c>
      <c r="E4886">
        <v>165</v>
      </c>
      <c r="F4886" s="366">
        <f t="shared" si="621"/>
        <v>3580.5</v>
      </c>
      <c r="G4886" s="97">
        <v>3168</v>
      </c>
      <c r="H4886" s="367">
        <f t="shared" si="622"/>
        <v>6748.5</v>
      </c>
      <c r="I4886" s="368">
        <f t="shared" si="623"/>
        <v>0</v>
      </c>
      <c r="J4886">
        <v>7996</v>
      </c>
      <c r="K4886" s="367">
        <f t="shared" si="624"/>
        <v>5711.4285714285716</v>
      </c>
      <c r="L4886">
        <v>0.71</v>
      </c>
      <c r="M4886">
        <v>5.5</v>
      </c>
      <c r="N4886">
        <v>28</v>
      </c>
      <c r="O4886">
        <v>5</v>
      </c>
      <c r="P4886" t="s">
        <v>515</v>
      </c>
      <c r="Q4886" s="97" t="str">
        <f t="shared" si="625"/>
        <v/>
      </c>
      <c r="R4886" t="str">
        <f t="shared" si="626"/>
        <v/>
      </c>
    </row>
    <row r="4887" spans="3:18">
      <c r="C4887" t="str">
        <f t="shared" si="620"/>
        <v/>
      </c>
      <c r="D4887">
        <v>399</v>
      </c>
      <c r="E4887">
        <v>165</v>
      </c>
      <c r="F4887" s="366">
        <f t="shared" si="621"/>
        <v>3580.5</v>
      </c>
      <c r="G4887" s="97">
        <v>2927</v>
      </c>
      <c r="H4887" s="367">
        <f t="shared" si="622"/>
        <v>6507.5</v>
      </c>
      <c r="I4887" s="368">
        <f t="shared" si="623"/>
        <v>0</v>
      </c>
      <c r="J4887">
        <v>7389</v>
      </c>
      <c r="K4887" s="367">
        <f t="shared" si="624"/>
        <v>5277.8571428571431</v>
      </c>
      <c r="L4887">
        <v>0.5</v>
      </c>
      <c r="M4887">
        <v>6.6</v>
      </c>
      <c r="N4887">
        <v>27</v>
      </c>
      <c r="O4887">
        <v>6</v>
      </c>
      <c r="P4887" t="s">
        <v>515</v>
      </c>
      <c r="Q4887" s="97">
        <f t="shared" si="625"/>
        <v>399</v>
      </c>
      <c r="R4887" t="str">
        <f t="shared" si="626"/>
        <v/>
      </c>
    </row>
    <row r="4888" spans="3:18">
      <c r="C4888" t="str">
        <f t="shared" si="620"/>
        <v>NL</v>
      </c>
      <c r="D4888">
        <v>400</v>
      </c>
      <c r="E4888">
        <v>165</v>
      </c>
      <c r="F4888" s="366">
        <f t="shared" si="621"/>
        <v>3580.5</v>
      </c>
      <c r="G4888" s="97">
        <v>3857</v>
      </c>
      <c r="H4888" s="367">
        <f t="shared" si="622"/>
        <v>7437.5</v>
      </c>
      <c r="I4888" s="368">
        <f t="shared" si="623"/>
        <v>0</v>
      </c>
      <c r="J4888">
        <v>9736</v>
      </c>
      <c r="K4888" s="367">
        <f t="shared" si="624"/>
        <v>6954.2857142857147</v>
      </c>
      <c r="L4888">
        <v>0.38</v>
      </c>
      <c r="M4888">
        <v>7.6</v>
      </c>
      <c r="N4888">
        <v>27</v>
      </c>
      <c r="O4888">
        <v>7</v>
      </c>
      <c r="P4888" t="s">
        <v>515</v>
      </c>
      <c r="Q4888" s="97" t="str">
        <f t="shared" si="625"/>
        <v/>
      </c>
      <c r="R4888" t="str">
        <f t="shared" si="626"/>
        <v/>
      </c>
    </row>
    <row r="4889" spans="3:18">
      <c r="C4889" t="str">
        <f t="shared" si="620"/>
        <v>NL</v>
      </c>
      <c r="D4889">
        <v>401</v>
      </c>
      <c r="E4889">
        <v>165</v>
      </c>
      <c r="F4889" s="366">
        <f t="shared" si="621"/>
        <v>3580.5</v>
      </c>
      <c r="G4889" s="97">
        <v>5211</v>
      </c>
      <c r="H4889" s="367">
        <f t="shared" si="622"/>
        <v>8791.5</v>
      </c>
      <c r="I4889" s="368">
        <f t="shared" si="623"/>
        <v>0</v>
      </c>
      <c r="J4889">
        <v>13153</v>
      </c>
      <c r="K4889" s="367">
        <f t="shared" si="624"/>
        <v>9395</v>
      </c>
      <c r="L4889">
        <v>1.18</v>
      </c>
      <c r="M4889">
        <v>7.6</v>
      </c>
      <c r="N4889">
        <v>32</v>
      </c>
      <c r="O4889">
        <v>7</v>
      </c>
      <c r="P4889" t="s">
        <v>514</v>
      </c>
      <c r="Q4889" s="97" t="str">
        <f t="shared" si="625"/>
        <v/>
      </c>
      <c r="R4889" t="str">
        <f t="shared" si="626"/>
        <v/>
      </c>
    </row>
    <row r="4890" spans="3:18">
      <c r="C4890" t="str">
        <f t="shared" si="620"/>
        <v/>
      </c>
      <c r="D4890">
        <v>402</v>
      </c>
      <c r="E4890">
        <v>165</v>
      </c>
      <c r="F4890" s="366">
        <f t="shared" si="621"/>
        <v>3580.5</v>
      </c>
      <c r="G4890" s="97">
        <v>3118</v>
      </c>
      <c r="H4890" s="367">
        <f t="shared" si="622"/>
        <v>6698.5</v>
      </c>
      <c r="I4890" s="368">
        <f t="shared" si="623"/>
        <v>0</v>
      </c>
      <c r="J4890">
        <v>7871</v>
      </c>
      <c r="K4890" s="367">
        <f t="shared" si="624"/>
        <v>5622.1428571428569</v>
      </c>
      <c r="L4890">
        <v>0.31</v>
      </c>
      <c r="M4890">
        <v>8.5</v>
      </c>
      <c r="N4890">
        <v>27</v>
      </c>
      <c r="O4890">
        <v>8</v>
      </c>
      <c r="P4890" t="s">
        <v>515</v>
      </c>
      <c r="Q4890" s="97">
        <f t="shared" si="625"/>
        <v>402</v>
      </c>
      <c r="R4890" t="str">
        <f t="shared" si="626"/>
        <v/>
      </c>
    </row>
    <row r="4891" spans="3:18">
      <c r="C4891" t="str">
        <f t="shared" si="620"/>
        <v/>
      </c>
      <c r="D4891">
        <v>403</v>
      </c>
      <c r="E4891">
        <v>165</v>
      </c>
      <c r="F4891" s="366">
        <f t="shared" si="621"/>
        <v>3580.5</v>
      </c>
      <c r="G4891" s="97">
        <v>4576</v>
      </c>
      <c r="H4891" s="367">
        <f t="shared" si="622"/>
        <v>8156.5</v>
      </c>
      <c r="I4891" s="368">
        <f t="shared" si="623"/>
        <v>0</v>
      </c>
      <c r="J4891">
        <v>11550</v>
      </c>
      <c r="K4891" s="367">
        <f t="shared" si="624"/>
        <v>8250</v>
      </c>
      <c r="L4891">
        <v>0.93</v>
      </c>
      <c r="M4891">
        <v>8.5</v>
      </c>
      <c r="N4891">
        <v>32</v>
      </c>
      <c r="O4891">
        <v>8</v>
      </c>
      <c r="P4891" t="s">
        <v>514</v>
      </c>
      <c r="Q4891" s="97" t="str">
        <f t="shared" si="625"/>
        <v/>
      </c>
      <c r="R4891" t="str">
        <f t="shared" si="626"/>
        <v/>
      </c>
    </row>
    <row r="4892" spans="3:18">
      <c r="C4892" t="str">
        <f t="shared" si="620"/>
        <v>NL</v>
      </c>
      <c r="D4892">
        <v>404</v>
      </c>
      <c r="E4892">
        <v>165</v>
      </c>
      <c r="F4892" s="366">
        <f t="shared" si="621"/>
        <v>3580.5</v>
      </c>
      <c r="G4892" s="97">
        <v>4095</v>
      </c>
      <c r="H4892" s="367">
        <f t="shared" si="622"/>
        <v>7675.5</v>
      </c>
      <c r="I4892" s="368">
        <f t="shared" si="623"/>
        <v>0</v>
      </c>
      <c r="J4892">
        <v>10335</v>
      </c>
      <c r="K4892" s="367">
        <f t="shared" si="624"/>
        <v>7382.1428571428569</v>
      </c>
      <c r="L4892">
        <v>0.25</v>
      </c>
      <c r="M4892">
        <v>9.6</v>
      </c>
      <c r="N4892">
        <v>27</v>
      </c>
      <c r="O4892">
        <v>9</v>
      </c>
      <c r="P4892" t="s">
        <v>515</v>
      </c>
      <c r="Q4892" s="97" t="str">
        <f t="shared" si="625"/>
        <v/>
      </c>
      <c r="R4892" t="str">
        <f t="shared" si="626"/>
        <v/>
      </c>
    </row>
    <row r="4893" spans="3:18">
      <c r="C4893" t="str">
        <f t="shared" si="620"/>
        <v>NL</v>
      </c>
      <c r="D4893">
        <v>405</v>
      </c>
      <c r="E4893">
        <v>165</v>
      </c>
      <c r="F4893" s="366">
        <f t="shared" si="621"/>
        <v>3580.5</v>
      </c>
      <c r="G4893" s="97">
        <v>6192</v>
      </c>
      <c r="H4893" s="367">
        <f t="shared" si="622"/>
        <v>9772.5</v>
      </c>
      <c r="I4893" s="368">
        <f t="shared" si="623"/>
        <v>0</v>
      </c>
      <c r="J4893">
        <v>15627</v>
      </c>
      <c r="K4893" s="367">
        <f t="shared" si="624"/>
        <v>11162.142857142857</v>
      </c>
      <c r="L4893">
        <v>0.77</v>
      </c>
      <c r="M4893">
        <v>9.6</v>
      </c>
      <c r="N4893">
        <v>32</v>
      </c>
      <c r="O4893">
        <v>9</v>
      </c>
      <c r="P4893" t="s">
        <v>514</v>
      </c>
      <c r="Q4893" s="97" t="str">
        <f t="shared" si="625"/>
        <v/>
      </c>
      <c r="R4893" t="str">
        <f t="shared" si="626"/>
        <v/>
      </c>
    </row>
    <row r="4894" spans="3:18">
      <c r="C4894" t="str">
        <f t="shared" si="620"/>
        <v/>
      </c>
      <c r="D4894">
        <v>406</v>
      </c>
      <c r="E4894">
        <v>165</v>
      </c>
      <c r="F4894" s="366">
        <f t="shared" si="621"/>
        <v>3580.5</v>
      </c>
      <c r="G4894" s="97">
        <v>4180</v>
      </c>
      <c r="H4894" s="367">
        <f t="shared" si="622"/>
        <v>7760.5</v>
      </c>
      <c r="I4894" s="368">
        <f t="shared" si="623"/>
        <v>0</v>
      </c>
      <c r="J4894">
        <v>10550</v>
      </c>
      <c r="K4894" s="367">
        <f t="shared" si="624"/>
        <v>7535.7142857142862</v>
      </c>
      <c r="L4894">
        <v>0.22</v>
      </c>
      <c r="M4894">
        <v>1.4000000000000001</v>
      </c>
      <c r="N4894">
        <v>27</v>
      </c>
      <c r="O4894">
        <v>10</v>
      </c>
      <c r="P4894" t="s">
        <v>515</v>
      </c>
      <c r="Q4894" s="97" t="str">
        <f t="shared" si="625"/>
        <v/>
      </c>
      <c r="R4894" t="str">
        <f t="shared" si="626"/>
        <v/>
      </c>
    </row>
    <row r="4895" spans="3:18">
      <c r="C4895" t="str">
        <f t="shared" si="620"/>
        <v/>
      </c>
      <c r="D4895">
        <v>407</v>
      </c>
      <c r="E4895">
        <v>165</v>
      </c>
      <c r="F4895" s="366">
        <f t="shared" si="621"/>
        <v>3580.5</v>
      </c>
      <c r="G4895" s="97">
        <v>6565</v>
      </c>
      <c r="H4895" s="367">
        <f t="shared" si="622"/>
        <v>10145.5</v>
      </c>
      <c r="I4895" s="368">
        <f t="shared" si="623"/>
        <v>0</v>
      </c>
      <c r="J4895">
        <v>16570</v>
      </c>
      <c r="K4895" s="367">
        <f t="shared" si="624"/>
        <v>11835.714285714286</v>
      </c>
      <c r="L4895">
        <v>0.65</v>
      </c>
      <c r="M4895">
        <v>1.4000000000000001</v>
      </c>
      <c r="N4895">
        <v>32</v>
      </c>
      <c r="O4895">
        <v>10</v>
      </c>
      <c r="P4895" t="s">
        <v>514</v>
      </c>
      <c r="Q4895" s="97" t="str">
        <f t="shared" si="625"/>
        <v/>
      </c>
      <c r="R4895" t="str">
        <f t="shared" si="626"/>
        <v/>
      </c>
    </row>
    <row r="4896" spans="3:18">
      <c r="C4896" t="str">
        <f t="shared" si="620"/>
        <v>NL</v>
      </c>
      <c r="D4896">
        <v>408</v>
      </c>
      <c r="E4896">
        <v>170</v>
      </c>
      <c r="F4896" s="366">
        <f t="shared" si="621"/>
        <v>3689</v>
      </c>
      <c r="G4896" s="97">
        <v>3236</v>
      </c>
      <c r="H4896" s="367">
        <f t="shared" si="622"/>
        <v>6925</v>
      </c>
      <c r="I4896" s="368">
        <f t="shared" si="623"/>
        <v>0</v>
      </c>
      <c r="J4896">
        <v>8167</v>
      </c>
      <c r="K4896" s="367">
        <f t="shared" si="624"/>
        <v>5833.5714285714284</v>
      </c>
      <c r="L4896">
        <v>0.75</v>
      </c>
      <c r="M4896">
        <v>5.5</v>
      </c>
      <c r="N4896">
        <v>28</v>
      </c>
      <c r="O4896">
        <v>5</v>
      </c>
      <c r="P4896" t="s">
        <v>515</v>
      </c>
      <c r="Q4896" s="97" t="str">
        <f t="shared" si="625"/>
        <v/>
      </c>
      <c r="R4896" t="str">
        <f t="shared" si="626"/>
        <v/>
      </c>
    </row>
    <row r="4897" spans="3:18">
      <c r="C4897" t="str">
        <f t="shared" si="620"/>
        <v/>
      </c>
      <c r="D4897">
        <v>409</v>
      </c>
      <c r="E4897">
        <v>170</v>
      </c>
      <c r="F4897" s="366">
        <f t="shared" si="621"/>
        <v>3689</v>
      </c>
      <c r="G4897" s="97">
        <v>2989</v>
      </c>
      <c r="H4897" s="367">
        <f t="shared" si="622"/>
        <v>6678</v>
      </c>
      <c r="I4897" s="368">
        <f t="shared" si="623"/>
        <v>0</v>
      </c>
      <c r="J4897">
        <v>7544</v>
      </c>
      <c r="K4897" s="367">
        <f t="shared" si="624"/>
        <v>5388.5714285714284</v>
      </c>
      <c r="L4897">
        <v>0.54</v>
      </c>
      <c r="M4897">
        <v>6.6</v>
      </c>
      <c r="N4897">
        <v>28</v>
      </c>
      <c r="O4897">
        <v>6</v>
      </c>
      <c r="P4897" t="s">
        <v>515</v>
      </c>
      <c r="Q4897" s="97">
        <f t="shared" si="625"/>
        <v>409</v>
      </c>
      <c r="R4897" t="str">
        <f t="shared" si="626"/>
        <v/>
      </c>
    </row>
    <row r="4898" spans="3:18">
      <c r="C4898" t="str">
        <f t="shared" si="620"/>
        <v>NL</v>
      </c>
      <c r="D4898">
        <v>410</v>
      </c>
      <c r="E4898">
        <v>170</v>
      </c>
      <c r="F4898" s="366">
        <f t="shared" si="621"/>
        <v>3689</v>
      </c>
      <c r="G4898" s="97">
        <v>3942</v>
      </c>
      <c r="H4898" s="367">
        <f t="shared" si="622"/>
        <v>7631</v>
      </c>
      <c r="I4898" s="368">
        <f t="shared" si="623"/>
        <v>0</v>
      </c>
      <c r="J4898">
        <v>9949</v>
      </c>
      <c r="K4898" s="367">
        <f t="shared" si="624"/>
        <v>7106.4285714285716</v>
      </c>
      <c r="L4898">
        <v>0.41000000000000003</v>
      </c>
      <c r="M4898">
        <v>7.6</v>
      </c>
      <c r="N4898">
        <v>27</v>
      </c>
      <c r="O4898">
        <v>7</v>
      </c>
      <c r="P4898" t="s">
        <v>515</v>
      </c>
      <c r="Q4898" s="97" t="str">
        <f t="shared" si="625"/>
        <v/>
      </c>
      <c r="R4898" t="str">
        <f t="shared" si="626"/>
        <v/>
      </c>
    </row>
    <row r="4899" spans="3:18">
      <c r="C4899" t="str">
        <f t="shared" si="620"/>
        <v/>
      </c>
      <c r="D4899">
        <v>411</v>
      </c>
      <c r="E4899">
        <v>170</v>
      </c>
      <c r="F4899" s="366">
        <f t="shared" si="621"/>
        <v>3689</v>
      </c>
      <c r="G4899" s="97">
        <v>3186</v>
      </c>
      <c r="H4899" s="367">
        <f t="shared" si="622"/>
        <v>6875</v>
      </c>
      <c r="I4899" s="368">
        <f t="shared" si="623"/>
        <v>0</v>
      </c>
      <c r="J4899">
        <v>8042</v>
      </c>
      <c r="K4899" s="367">
        <f t="shared" si="624"/>
        <v>5744.2857142857147</v>
      </c>
      <c r="L4899">
        <v>0.33</v>
      </c>
      <c r="M4899">
        <v>8.5</v>
      </c>
      <c r="N4899">
        <v>27</v>
      </c>
      <c r="O4899">
        <v>8</v>
      </c>
      <c r="P4899" t="s">
        <v>515</v>
      </c>
      <c r="Q4899" s="97">
        <f t="shared" si="625"/>
        <v>411</v>
      </c>
      <c r="R4899" t="str">
        <f t="shared" si="626"/>
        <v/>
      </c>
    </row>
    <row r="4900" spans="3:18">
      <c r="C4900" t="str">
        <f t="shared" si="620"/>
        <v/>
      </c>
      <c r="D4900">
        <v>412</v>
      </c>
      <c r="E4900">
        <v>170</v>
      </c>
      <c r="F4900" s="366">
        <f t="shared" si="621"/>
        <v>3689</v>
      </c>
      <c r="G4900" s="97">
        <v>4669</v>
      </c>
      <c r="H4900" s="367">
        <f t="shared" si="622"/>
        <v>8358</v>
      </c>
      <c r="I4900" s="368">
        <f t="shared" si="623"/>
        <v>0</v>
      </c>
      <c r="J4900">
        <v>11784</v>
      </c>
      <c r="K4900" s="367">
        <f t="shared" si="624"/>
        <v>8417.1428571428569</v>
      </c>
      <c r="L4900">
        <v>0.99</v>
      </c>
      <c r="M4900">
        <v>8.5</v>
      </c>
      <c r="N4900">
        <v>32</v>
      </c>
      <c r="O4900">
        <v>8</v>
      </c>
      <c r="P4900" t="s">
        <v>514</v>
      </c>
      <c r="Q4900" s="97" t="str">
        <f t="shared" si="625"/>
        <v/>
      </c>
      <c r="R4900" t="str">
        <f t="shared" si="626"/>
        <v/>
      </c>
    </row>
    <row r="4901" spans="3:18">
      <c r="C4901" t="str">
        <f t="shared" si="620"/>
        <v>NL</v>
      </c>
      <c r="D4901">
        <v>413</v>
      </c>
      <c r="E4901">
        <v>170</v>
      </c>
      <c r="F4901" s="366">
        <f t="shared" si="621"/>
        <v>3689</v>
      </c>
      <c r="G4901" s="97">
        <v>4188</v>
      </c>
      <c r="H4901" s="367">
        <f t="shared" si="622"/>
        <v>7877</v>
      </c>
      <c r="I4901" s="368">
        <f t="shared" si="623"/>
        <v>0</v>
      </c>
      <c r="J4901">
        <v>10570</v>
      </c>
      <c r="K4901" s="367">
        <f t="shared" si="624"/>
        <v>7550</v>
      </c>
      <c r="L4901">
        <v>0.27</v>
      </c>
      <c r="M4901">
        <v>9.6</v>
      </c>
      <c r="N4901">
        <v>27</v>
      </c>
      <c r="O4901">
        <v>9</v>
      </c>
      <c r="P4901" t="s">
        <v>515</v>
      </c>
      <c r="Q4901" s="97" t="str">
        <f t="shared" si="625"/>
        <v/>
      </c>
      <c r="R4901" t="str">
        <f t="shared" si="626"/>
        <v/>
      </c>
    </row>
    <row r="4902" spans="3:18">
      <c r="C4902" t="str">
        <f t="shared" si="620"/>
        <v>NL</v>
      </c>
      <c r="D4902">
        <v>414</v>
      </c>
      <c r="E4902">
        <v>170</v>
      </c>
      <c r="F4902" s="366">
        <f t="shared" si="621"/>
        <v>3689</v>
      </c>
      <c r="G4902" s="97">
        <v>6312</v>
      </c>
      <c r="H4902" s="367">
        <f t="shared" si="622"/>
        <v>10001</v>
      </c>
      <c r="I4902" s="368">
        <f t="shared" si="623"/>
        <v>0</v>
      </c>
      <c r="J4902">
        <v>15932</v>
      </c>
      <c r="K4902" s="367">
        <f t="shared" si="624"/>
        <v>11380</v>
      </c>
      <c r="L4902">
        <v>0.82000000000000006</v>
      </c>
      <c r="M4902">
        <v>9.6</v>
      </c>
      <c r="N4902">
        <v>32</v>
      </c>
      <c r="O4902">
        <v>9</v>
      </c>
      <c r="P4902" t="s">
        <v>514</v>
      </c>
      <c r="Q4902" s="97" t="str">
        <f t="shared" si="625"/>
        <v/>
      </c>
      <c r="R4902" t="str">
        <f t="shared" si="626"/>
        <v/>
      </c>
    </row>
    <row r="4903" spans="3:18">
      <c r="C4903" t="str">
        <f t="shared" si="620"/>
        <v/>
      </c>
      <c r="D4903">
        <v>415</v>
      </c>
      <c r="E4903">
        <v>170</v>
      </c>
      <c r="F4903" s="366">
        <f t="shared" si="621"/>
        <v>3689</v>
      </c>
      <c r="G4903" s="97">
        <v>4271</v>
      </c>
      <c r="H4903" s="367">
        <f t="shared" si="622"/>
        <v>7960</v>
      </c>
      <c r="I4903" s="368">
        <f t="shared" si="623"/>
        <v>0</v>
      </c>
      <c r="J4903">
        <v>10781</v>
      </c>
      <c r="K4903" s="367">
        <f t="shared" si="624"/>
        <v>7700.7142857142862</v>
      </c>
      <c r="L4903">
        <v>0.23</v>
      </c>
      <c r="M4903">
        <v>1.4000000000000001</v>
      </c>
      <c r="N4903">
        <v>28</v>
      </c>
      <c r="O4903">
        <v>10</v>
      </c>
      <c r="P4903" t="s">
        <v>515</v>
      </c>
      <c r="Q4903" s="97" t="str">
        <f t="shared" si="625"/>
        <v/>
      </c>
      <c r="R4903" t="str">
        <f t="shared" si="626"/>
        <v/>
      </c>
    </row>
    <row r="4904" spans="3:18">
      <c r="C4904" t="str">
        <f t="shared" si="620"/>
        <v/>
      </c>
      <c r="D4904">
        <v>416</v>
      </c>
      <c r="E4904">
        <v>170</v>
      </c>
      <c r="F4904" s="366">
        <f t="shared" si="621"/>
        <v>3689</v>
      </c>
      <c r="G4904" s="97">
        <v>6687</v>
      </c>
      <c r="H4904" s="367">
        <f t="shared" si="622"/>
        <v>10376</v>
      </c>
      <c r="I4904" s="368">
        <f t="shared" si="623"/>
        <v>0</v>
      </c>
      <c r="J4904">
        <v>16877</v>
      </c>
      <c r="K4904" s="367">
        <f t="shared" si="624"/>
        <v>12055</v>
      </c>
      <c r="L4904">
        <v>0.69000000000000006</v>
      </c>
      <c r="M4904">
        <v>1.4000000000000001</v>
      </c>
      <c r="N4904">
        <v>32</v>
      </c>
      <c r="O4904">
        <v>10</v>
      </c>
      <c r="P4904" t="s">
        <v>514</v>
      </c>
      <c r="Q4904" s="97" t="str">
        <f t="shared" si="625"/>
        <v/>
      </c>
      <c r="R4904" t="str">
        <f t="shared" si="626"/>
        <v/>
      </c>
    </row>
    <row r="4905" spans="3:18">
      <c r="C4905" t="str">
        <f t="shared" si="620"/>
        <v>NL</v>
      </c>
      <c r="D4905">
        <v>417</v>
      </c>
      <c r="E4905">
        <v>175</v>
      </c>
      <c r="F4905" s="366">
        <f t="shared" si="621"/>
        <v>3797.5</v>
      </c>
      <c r="G4905" s="97">
        <v>3300</v>
      </c>
      <c r="H4905" s="367">
        <f t="shared" si="622"/>
        <v>7097.5</v>
      </c>
      <c r="I4905" s="368">
        <f t="shared" si="623"/>
        <v>0</v>
      </c>
      <c r="J4905">
        <v>8329</v>
      </c>
      <c r="K4905" s="367">
        <f t="shared" si="624"/>
        <v>5949.2857142857147</v>
      </c>
      <c r="L4905">
        <v>0.8</v>
      </c>
      <c r="M4905">
        <v>5.5</v>
      </c>
      <c r="N4905">
        <v>29</v>
      </c>
      <c r="O4905">
        <v>5</v>
      </c>
      <c r="P4905" t="s">
        <v>515</v>
      </c>
      <c r="Q4905" s="97" t="str">
        <f t="shared" si="625"/>
        <v/>
      </c>
      <c r="R4905" t="str">
        <f t="shared" si="626"/>
        <v/>
      </c>
    </row>
    <row r="4906" spans="3:18">
      <c r="C4906" t="str">
        <f t="shared" si="620"/>
        <v/>
      </c>
      <c r="D4906">
        <v>418</v>
      </c>
      <c r="E4906">
        <v>175</v>
      </c>
      <c r="F4906" s="366">
        <f t="shared" si="621"/>
        <v>3797.5</v>
      </c>
      <c r="G4906" s="97">
        <v>3050</v>
      </c>
      <c r="H4906" s="367">
        <f t="shared" si="622"/>
        <v>6847.5</v>
      </c>
      <c r="I4906" s="368">
        <f t="shared" si="623"/>
        <v>0</v>
      </c>
      <c r="J4906">
        <v>7699</v>
      </c>
      <c r="K4906" s="367">
        <f t="shared" si="624"/>
        <v>5499.2857142857147</v>
      </c>
      <c r="L4906">
        <v>0.57000000000000006</v>
      </c>
      <c r="M4906">
        <v>6.6</v>
      </c>
      <c r="N4906">
        <v>28</v>
      </c>
      <c r="O4906">
        <v>6</v>
      </c>
      <c r="P4906" t="s">
        <v>515</v>
      </c>
      <c r="Q4906" s="97">
        <f t="shared" si="625"/>
        <v>418</v>
      </c>
      <c r="R4906" t="str">
        <f t="shared" si="626"/>
        <v/>
      </c>
    </row>
    <row r="4907" spans="3:18">
      <c r="C4907" t="str">
        <f t="shared" si="620"/>
        <v>NL</v>
      </c>
      <c r="D4907">
        <v>419</v>
      </c>
      <c r="E4907">
        <v>175</v>
      </c>
      <c r="F4907" s="366">
        <f t="shared" si="621"/>
        <v>3797.5</v>
      </c>
      <c r="G4907" s="97">
        <v>4025</v>
      </c>
      <c r="H4907" s="367">
        <f t="shared" si="622"/>
        <v>7822.5</v>
      </c>
      <c r="I4907" s="368">
        <f t="shared" si="623"/>
        <v>0</v>
      </c>
      <c r="J4907">
        <v>10158</v>
      </c>
      <c r="K4907" s="367">
        <f t="shared" si="624"/>
        <v>7255.7142857142862</v>
      </c>
      <c r="L4907">
        <v>0.43</v>
      </c>
      <c r="M4907">
        <v>7.6</v>
      </c>
      <c r="N4907">
        <v>28</v>
      </c>
      <c r="O4907">
        <v>7</v>
      </c>
      <c r="P4907" t="s">
        <v>515</v>
      </c>
      <c r="Q4907" s="97" t="str">
        <f t="shared" si="625"/>
        <v/>
      </c>
      <c r="R4907" t="str">
        <f t="shared" si="626"/>
        <v/>
      </c>
    </row>
    <row r="4908" spans="3:18">
      <c r="C4908" t="str">
        <f t="shared" si="620"/>
        <v/>
      </c>
      <c r="D4908">
        <v>420</v>
      </c>
      <c r="E4908">
        <v>175</v>
      </c>
      <c r="F4908" s="366">
        <f t="shared" si="621"/>
        <v>3797.5</v>
      </c>
      <c r="G4908" s="97">
        <v>3254</v>
      </c>
      <c r="H4908" s="367">
        <f t="shared" si="622"/>
        <v>7051.5</v>
      </c>
      <c r="I4908" s="368">
        <f t="shared" si="623"/>
        <v>0</v>
      </c>
      <c r="J4908">
        <v>8212</v>
      </c>
      <c r="K4908" s="367">
        <f t="shared" si="624"/>
        <v>5865.7142857142862</v>
      </c>
      <c r="L4908">
        <v>0.35000000000000003</v>
      </c>
      <c r="M4908">
        <v>8.5</v>
      </c>
      <c r="N4908">
        <v>28</v>
      </c>
      <c r="O4908">
        <v>8</v>
      </c>
      <c r="P4908" t="s">
        <v>515</v>
      </c>
      <c r="Q4908" s="97">
        <f t="shared" si="625"/>
        <v>420</v>
      </c>
      <c r="R4908" t="str">
        <f t="shared" si="626"/>
        <v/>
      </c>
    </row>
    <row r="4909" spans="3:18">
      <c r="C4909" t="str">
        <f t="shared" si="620"/>
        <v/>
      </c>
      <c r="D4909">
        <v>421</v>
      </c>
      <c r="E4909">
        <v>175</v>
      </c>
      <c r="F4909" s="366">
        <f t="shared" si="621"/>
        <v>3797.5</v>
      </c>
      <c r="G4909" s="97">
        <v>4762</v>
      </c>
      <c r="H4909" s="367">
        <f t="shared" si="622"/>
        <v>8559.5</v>
      </c>
      <c r="I4909" s="368">
        <f t="shared" si="623"/>
        <v>0</v>
      </c>
      <c r="J4909">
        <v>12018</v>
      </c>
      <c r="K4909" s="367">
        <f t="shared" si="624"/>
        <v>8584.2857142857138</v>
      </c>
      <c r="L4909">
        <v>1.05</v>
      </c>
      <c r="M4909">
        <v>8.5</v>
      </c>
      <c r="N4909">
        <v>32</v>
      </c>
      <c r="O4909">
        <v>8</v>
      </c>
      <c r="P4909" t="s">
        <v>514</v>
      </c>
      <c r="Q4909" s="97" t="str">
        <f t="shared" si="625"/>
        <v/>
      </c>
      <c r="R4909" t="str">
        <f t="shared" si="626"/>
        <v/>
      </c>
    </row>
    <row r="4910" spans="3:18">
      <c r="C4910" t="str">
        <f t="shared" si="620"/>
        <v>NL</v>
      </c>
      <c r="D4910">
        <v>422</v>
      </c>
      <c r="E4910">
        <v>175</v>
      </c>
      <c r="F4910" s="366">
        <f t="shared" si="621"/>
        <v>3797.5</v>
      </c>
      <c r="G4910" s="97">
        <v>4281</v>
      </c>
      <c r="H4910" s="367">
        <f t="shared" si="622"/>
        <v>8078.5</v>
      </c>
      <c r="I4910" s="368">
        <f t="shared" si="623"/>
        <v>0</v>
      </c>
      <c r="J4910">
        <v>10804</v>
      </c>
      <c r="K4910" s="367">
        <f t="shared" si="624"/>
        <v>7717.1428571428569</v>
      </c>
      <c r="L4910">
        <v>0.29000000000000004</v>
      </c>
      <c r="M4910">
        <v>9.6</v>
      </c>
      <c r="N4910">
        <v>28</v>
      </c>
      <c r="O4910">
        <v>9</v>
      </c>
      <c r="P4910" t="s">
        <v>515</v>
      </c>
      <c r="Q4910" s="97" t="str">
        <f t="shared" si="625"/>
        <v/>
      </c>
      <c r="R4910" t="str">
        <f t="shared" si="626"/>
        <v/>
      </c>
    </row>
    <row r="4911" spans="3:18">
      <c r="C4911" t="str">
        <f t="shared" si="620"/>
        <v>NL</v>
      </c>
      <c r="D4911">
        <v>423</v>
      </c>
      <c r="E4911">
        <v>175</v>
      </c>
      <c r="F4911" s="366">
        <f t="shared" si="621"/>
        <v>3797.5</v>
      </c>
      <c r="G4911" s="97">
        <v>6424</v>
      </c>
      <c r="H4911" s="367">
        <f t="shared" si="622"/>
        <v>10221.5</v>
      </c>
      <c r="I4911" s="368">
        <f t="shared" si="623"/>
        <v>0</v>
      </c>
      <c r="J4911">
        <v>16213</v>
      </c>
      <c r="K4911" s="367">
        <f t="shared" si="624"/>
        <v>11580.714285714286</v>
      </c>
      <c r="L4911">
        <v>0.87</v>
      </c>
      <c r="M4911">
        <v>9.6</v>
      </c>
      <c r="N4911">
        <v>32</v>
      </c>
      <c r="O4911">
        <v>9</v>
      </c>
      <c r="P4911" t="s">
        <v>514</v>
      </c>
      <c r="Q4911" s="97" t="str">
        <f t="shared" si="625"/>
        <v/>
      </c>
      <c r="R4911" t="str">
        <f t="shared" si="626"/>
        <v/>
      </c>
    </row>
    <row r="4912" spans="3:18">
      <c r="C4912" t="str">
        <f t="shared" si="620"/>
        <v/>
      </c>
      <c r="D4912">
        <v>424</v>
      </c>
      <c r="E4912">
        <v>175</v>
      </c>
      <c r="F4912" s="366">
        <f t="shared" si="621"/>
        <v>3797.5</v>
      </c>
      <c r="G4912" s="97">
        <v>4363</v>
      </c>
      <c r="H4912" s="367">
        <f t="shared" si="622"/>
        <v>8160.5</v>
      </c>
      <c r="I4912" s="368">
        <f t="shared" si="623"/>
        <v>0</v>
      </c>
      <c r="J4912">
        <v>11012</v>
      </c>
      <c r="K4912" s="367">
        <f t="shared" si="624"/>
        <v>7865.7142857142862</v>
      </c>
      <c r="L4912">
        <v>0.24000000000000002</v>
      </c>
      <c r="M4912">
        <v>1.4000000000000001</v>
      </c>
      <c r="N4912">
        <v>28</v>
      </c>
      <c r="O4912">
        <v>10</v>
      </c>
      <c r="P4912" t="s">
        <v>515</v>
      </c>
      <c r="Q4912" s="97" t="str">
        <f t="shared" si="625"/>
        <v/>
      </c>
      <c r="R4912" t="str">
        <f t="shared" si="626"/>
        <v/>
      </c>
    </row>
    <row r="4913" spans="3:18">
      <c r="C4913" t="str">
        <f t="shared" si="620"/>
        <v/>
      </c>
      <c r="D4913">
        <v>425</v>
      </c>
      <c r="E4913">
        <v>175</v>
      </c>
      <c r="F4913" s="366">
        <f t="shared" si="621"/>
        <v>3797.5</v>
      </c>
      <c r="G4913" s="97">
        <v>6808</v>
      </c>
      <c r="H4913" s="367">
        <f t="shared" si="622"/>
        <v>10605.5</v>
      </c>
      <c r="I4913" s="368">
        <f t="shared" si="623"/>
        <v>0</v>
      </c>
      <c r="J4913">
        <v>17184</v>
      </c>
      <c r="K4913" s="367">
        <f t="shared" si="624"/>
        <v>12274.285714285714</v>
      </c>
      <c r="L4913">
        <v>0.73</v>
      </c>
      <c r="M4913">
        <v>1.4000000000000001</v>
      </c>
      <c r="N4913">
        <v>33</v>
      </c>
      <c r="O4913">
        <v>10</v>
      </c>
      <c r="P4913" t="s">
        <v>514</v>
      </c>
      <c r="Q4913" s="97" t="str">
        <f t="shared" si="625"/>
        <v/>
      </c>
      <c r="R4913" t="str">
        <f t="shared" si="626"/>
        <v/>
      </c>
    </row>
    <row r="4914" spans="3:18">
      <c r="C4914" t="str">
        <f t="shared" si="620"/>
        <v>NL</v>
      </c>
      <c r="D4914">
        <v>426</v>
      </c>
      <c r="E4914">
        <v>180</v>
      </c>
      <c r="F4914" s="366">
        <f t="shared" si="621"/>
        <v>3906</v>
      </c>
      <c r="G4914" s="97">
        <v>3361</v>
      </c>
      <c r="H4914" s="367">
        <f t="shared" si="622"/>
        <v>7267</v>
      </c>
      <c r="I4914" s="368">
        <f t="shared" si="623"/>
        <v>0</v>
      </c>
      <c r="J4914">
        <v>8484</v>
      </c>
      <c r="K4914" s="367">
        <f t="shared" si="624"/>
        <v>6060</v>
      </c>
      <c r="L4914">
        <v>0.85</v>
      </c>
      <c r="M4914">
        <v>5.5</v>
      </c>
      <c r="N4914">
        <v>29</v>
      </c>
      <c r="O4914">
        <v>5</v>
      </c>
      <c r="P4914" t="s">
        <v>515</v>
      </c>
      <c r="Q4914" s="97" t="str">
        <f t="shared" si="625"/>
        <v/>
      </c>
      <c r="R4914" t="str">
        <f t="shared" si="626"/>
        <v/>
      </c>
    </row>
    <row r="4915" spans="3:18">
      <c r="C4915" t="str">
        <f t="shared" si="620"/>
        <v/>
      </c>
      <c r="D4915">
        <v>427</v>
      </c>
      <c r="E4915">
        <v>180</v>
      </c>
      <c r="F4915" s="366">
        <f t="shared" si="621"/>
        <v>3906</v>
      </c>
      <c r="G4915" s="97">
        <v>3112</v>
      </c>
      <c r="H4915" s="367">
        <f t="shared" si="622"/>
        <v>7018</v>
      </c>
      <c r="I4915" s="368">
        <f t="shared" si="623"/>
        <v>0</v>
      </c>
      <c r="J4915">
        <v>7855</v>
      </c>
      <c r="K4915" s="367">
        <f t="shared" si="624"/>
        <v>5610.7142857142862</v>
      </c>
      <c r="L4915">
        <v>0.6</v>
      </c>
      <c r="M4915">
        <v>6.6</v>
      </c>
      <c r="N4915">
        <v>28</v>
      </c>
      <c r="O4915">
        <v>6</v>
      </c>
      <c r="P4915" t="s">
        <v>515</v>
      </c>
      <c r="Q4915" s="97">
        <f t="shared" si="625"/>
        <v>427</v>
      </c>
      <c r="R4915" t="str">
        <f t="shared" si="626"/>
        <v/>
      </c>
    </row>
    <row r="4916" spans="3:18">
      <c r="C4916" t="str">
        <f t="shared" si="620"/>
        <v>NL</v>
      </c>
      <c r="D4916">
        <v>428</v>
      </c>
      <c r="E4916">
        <v>180</v>
      </c>
      <c r="F4916" s="366">
        <f t="shared" si="621"/>
        <v>3906</v>
      </c>
      <c r="G4916" s="97">
        <v>4100</v>
      </c>
      <c r="H4916" s="367">
        <f t="shared" si="622"/>
        <v>8006</v>
      </c>
      <c r="I4916" s="368">
        <f t="shared" si="623"/>
        <v>0</v>
      </c>
      <c r="J4916">
        <v>10348</v>
      </c>
      <c r="K4916" s="367">
        <f t="shared" si="624"/>
        <v>7391.4285714285716</v>
      </c>
      <c r="L4916">
        <v>0.46</v>
      </c>
      <c r="M4916">
        <v>7.6</v>
      </c>
      <c r="N4916">
        <v>28</v>
      </c>
      <c r="O4916">
        <v>7</v>
      </c>
      <c r="P4916" t="s">
        <v>515</v>
      </c>
      <c r="Q4916" s="97" t="str">
        <f t="shared" si="625"/>
        <v/>
      </c>
      <c r="R4916" t="str">
        <f t="shared" si="626"/>
        <v/>
      </c>
    </row>
    <row r="4917" spans="3:18">
      <c r="C4917" t="str">
        <f t="shared" si="620"/>
        <v/>
      </c>
      <c r="D4917">
        <v>429</v>
      </c>
      <c r="E4917">
        <v>180</v>
      </c>
      <c r="F4917" s="366">
        <f t="shared" si="621"/>
        <v>3906</v>
      </c>
      <c r="G4917" s="97">
        <v>3321</v>
      </c>
      <c r="H4917" s="367">
        <f t="shared" si="622"/>
        <v>7227</v>
      </c>
      <c r="I4917" s="368">
        <f t="shared" si="623"/>
        <v>0</v>
      </c>
      <c r="J4917">
        <v>8383</v>
      </c>
      <c r="K4917" s="367">
        <f t="shared" si="624"/>
        <v>5987.8571428571431</v>
      </c>
      <c r="L4917">
        <v>0.36</v>
      </c>
      <c r="M4917">
        <v>8.5</v>
      </c>
      <c r="N4917">
        <v>28</v>
      </c>
      <c r="O4917">
        <v>8</v>
      </c>
      <c r="P4917" t="s">
        <v>515</v>
      </c>
      <c r="Q4917" s="97">
        <f t="shared" si="625"/>
        <v>429</v>
      </c>
      <c r="R4917" t="str">
        <f t="shared" si="626"/>
        <v/>
      </c>
    </row>
    <row r="4918" spans="3:18">
      <c r="C4918" t="str">
        <f t="shared" si="620"/>
        <v/>
      </c>
      <c r="D4918">
        <v>430</v>
      </c>
      <c r="E4918">
        <v>180</v>
      </c>
      <c r="F4918" s="366">
        <f t="shared" si="621"/>
        <v>3906</v>
      </c>
      <c r="G4918" s="97">
        <v>4854</v>
      </c>
      <c r="H4918" s="367">
        <f t="shared" si="622"/>
        <v>8760</v>
      </c>
      <c r="I4918" s="368">
        <f t="shared" si="623"/>
        <v>0</v>
      </c>
      <c r="J4918">
        <v>12253</v>
      </c>
      <c r="K4918" s="367">
        <f t="shared" si="624"/>
        <v>8752.1428571428569</v>
      </c>
      <c r="L4918">
        <v>1.1100000000000001</v>
      </c>
      <c r="M4918">
        <v>8.5</v>
      </c>
      <c r="N4918">
        <v>33</v>
      </c>
      <c r="O4918">
        <v>8</v>
      </c>
      <c r="P4918" t="s">
        <v>514</v>
      </c>
      <c r="Q4918" s="97" t="str">
        <f t="shared" si="625"/>
        <v/>
      </c>
      <c r="R4918" t="str">
        <f t="shared" si="626"/>
        <v/>
      </c>
    </row>
    <row r="4919" spans="3:18">
      <c r="C4919" t="str">
        <f t="shared" si="620"/>
        <v>NL</v>
      </c>
      <c r="D4919">
        <v>431</v>
      </c>
      <c r="E4919">
        <v>180</v>
      </c>
      <c r="F4919" s="366">
        <f t="shared" si="621"/>
        <v>3906</v>
      </c>
      <c r="G4919" s="97">
        <v>4366</v>
      </c>
      <c r="H4919" s="367">
        <f t="shared" si="622"/>
        <v>8272</v>
      </c>
      <c r="I4919" s="368">
        <f t="shared" si="623"/>
        <v>0</v>
      </c>
      <c r="J4919">
        <v>11021</v>
      </c>
      <c r="K4919" s="367">
        <f t="shared" si="624"/>
        <v>7872.1428571428569</v>
      </c>
      <c r="L4919">
        <v>0.3</v>
      </c>
      <c r="M4919">
        <v>9.6</v>
      </c>
      <c r="N4919">
        <v>28</v>
      </c>
      <c r="O4919">
        <v>9</v>
      </c>
      <c r="P4919" t="s">
        <v>515</v>
      </c>
      <c r="Q4919" s="97" t="str">
        <f t="shared" si="625"/>
        <v/>
      </c>
      <c r="R4919" t="str">
        <f t="shared" si="626"/>
        <v/>
      </c>
    </row>
    <row r="4920" spans="3:18">
      <c r="C4920" t="str">
        <f t="shared" ref="C4920:C5081" si="627">IF(OR($O$4=0,O4920-$O$4=0),IF(AND(ISEVEN(O4920)=FALSE,$N$4="Even"),"NL",""),"NL")</f>
        <v>NL</v>
      </c>
      <c r="D4920">
        <v>432</v>
      </c>
      <c r="E4920">
        <v>180</v>
      </c>
      <c r="F4920" s="366">
        <f t="shared" si="621"/>
        <v>3906</v>
      </c>
      <c r="G4920" s="97">
        <v>6534</v>
      </c>
      <c r="H4920" s="367">
        <f t="shared" si="622"/>
        <v>10440</v>
      </c>
      <c r="I4920" s="368">
        <f t="shared" si="623"/>
        <v>0</v>
      </c>
      <c r="J4920">
        <v>16491</v>
      </c>
      <c r="K4920" s="367">
        <f t="shared" si="624"/>
        <v>11779.285714285714</v>
      </c>
      <c r="L4920">
        <v>0.92</v>
      </c>
      <c r="M4920">
        <v>9.6</v>
      </c>
      <c r="N4920">
        <v>33</v>
      </c>
      <c r="O4920">
        <v>9</v>
      </c>
      <c r="P4920" t="s">
        <v>514</v>
      </c>
      <c r="Q4920" s="97" t="str">
        <f t="shared" si="625"/>
        <v/>
      </c>
      <c r="R4920" t="str">
        <f t="shared" si="626"/>
        <v/>
      </c>
    </row>
    <row r="4921" spans="3:18">
      <c r="C4921" t="str">
        <f t="shared" si="627"/>
        <v/>
      </c>
      <c r="D4921">
        <v>433</v>
      </c>
      <c r="E4921">
        <v>180</v>
      </c>
      <c r="F4921" s="366">
        <f t="shared" si="621"/>
        <v>3906</v>
      </c>
      <c r="G4921" s="97">
        <v>4454</v>
      </c>
      <c r="H4921" s="367">
        <f t="shared" si="622"/>
        <v>8360</v>
      </c>
      <c r="I4921" s="368">
        <f t="shared" si="623"/>
        <v>0</v>
      </c>
      <c r="J4921">
        <v>11243</v>
      </c>
      <c r="K4921" s="367">
        <f t="shared" si="624"/>
        <v>8030.7142857142862</v>
      </c>
      <c r="L4921">
        <v>0.26</v>
      </c>
      <c r="M4921">
        <v>1.4000000000000001</v>
      </c>
      <c r="N4921">
        <v>28</v>
      </c>
      <c r="O4921">
        <v>10</v>
      </c>
      <c r="P4921" t="s">
        <v>515</v>
      </c>
      <c r="Q4921" s="97" t="str">
        <f t="shared" si="625"/>
        <v/>
      </c>
      <c r="R4921" t="str">
        <f t="shared" si="626"/>
        <v/>
      </c>
    </row>
    <row r="4922" spans="3:18">
      <c r="C4922" t="str">
        <f t="shared" si="627"/>
        <v/>
      </c>
      <c r="D4922">
        <v>434</v>
      </c>
      <c r="E4922">
        <v>180</v>
      </c>
      <c r="F4922" s="366">
        <f t="shared" si="621"/>
        <v>3906</v>
      </c>
      <c r="G4922" s="97">
        <v>6930</v>
      </c>
      <c r="H4922" s="367">
        <f t="shared" si="622"/>
        <v>10836</v>
      </c>
      <c r="I4922" s="368">
        <f t="shared" si="623"/>
        <v>0</v>
      </c>
      <c r="J4922">
        <v>17491</v>
      </c>
      <c r="K4922" s="367">
        <f t="shared" si="624"/>
        <v>12493.571428571429</v>
      </c>
      <c r="L4922">
        <v>0.78</v>
      </c>
      <c r="M4922">
        <v>1.4000000000000001</v>
      </c>
      <c r="N4922">
        <v>33</v>
      </c>
      <c r="O4922">
        <v>10</v>
      </c>
      <c r="P4922" t="s">
        <v>514</v>
      </c>
      <c r="Q4922" s="97" t="str">
        <f t="shared" si="625"/>
        <v/>
      </c>
      <c r="R4922" t="str">
        <f t="shared" si="626"/>
        <v/>
      </c>
    </row>
    <row r="4923" spans="3:18">
      <c r="C4923" t="str">
        <f t="shared" si="627"/>
        <v>NL</v>
      </c>
      <c r="D4923">
        <v>435</v>
      </c>
      <c r="E4923">
        <v>185</v>
      </c>
      <c r="F4923" s="366">
        <f t="shared" si="621"/>
        <v>4014.5</v>
      </c>
      <c r="G4923" s="97">
        <v>3423</v>
      </c>
      <c r="H4923" s="367">
        <f t="shared" si="622"/>
        <v>7437.5</v>
      </c>
      <c r="I4923" s="368">
        <f t="shared" si="623"/>
        <v>0</v>
      </c>
      <c r="J4923">
        <v>8639</v>
      </c>
      <c r="K4923" s="367">
        <f t="shared" si="624"/>
        <v>6170.7142857142862</v>
      </c>
      <c r="L4923">
        <v>0.89</v>
      </c>
      <c r="M4923">
        <v>5.5</v>
      </c>
      <c r="N4923">
        <v>29</v>
      </c>
      <c r="O4923">
        <v>5</v>
      </c>
      <c r="P4923" t="s">
        <v>515</v>
      </c>
      <c r="Q4923" s="97" t="str">
        <f t="shared" si="625"/>
        <v/>
      </c>
      <c r="R4923" t="str">
        <f t="shared" si="626"/>
        <v/>
      </c>
    </row>
    <row r="4924" spans="3:18">
      <c r="C4924" t="str">
        <f t="shared" si="627"/>
        <v/>
      </c>
      <c r="D4924">
        <v>436</v>
      </c>
      <c r="E4924">
        <v>185</v>
      </c>
      <c r="F4924" s="366">
        <f t="shared" si="621"/>
        <v>4014.5</v>
      </c>
      <c r="G4924" s="97">
        <v>3173</v>
      </c>
      <c r="H4924" s="367">
        <f t="shared" si="622"/>
        <v>7187.5</v>
      </c>
      <c r="I4924" s="368">
        <f t="shared" si="623"/>
        <v>0</v>
      </c>
      <c r="J4924">
        <v>8010</v>
      </c>
      <c r="K4924" s="367">
        <f t="shared" si="624"/>
        <v>5721.4285714285716</v>
      </c>
      <c r="L4924">
        <v>0.63</v>
      </c>
      <c r="M4924">
        <v>6.6</v>
      </c>
      <c r="N4924">
        <v>29</v>
      </c>
      <c r="O4924">
        <v>6</v>
      </c>
      <c r="P4924" t="s">
        <v>515</v>
      </c>
      <c r="Q4924" s="97">
        <f t="shared" si="625"/>
        <v>436</v>
      </c>
      <c r="R4924" t="str">
        <f t="shared" si="626"/>
        <v/>
      </c>
    </row>
    <row r="4925" spans="3:18">
      <c r="C4925" t="str">
        <f t="shared" si="627"/>
        <v>NL</v>
      </c>
      <c r="D4925">
        <v>437</v>
      </c>
      <c r="E4925">
        <v>185</v>
      </c>
      <c r="F4925" s="366">
        <f t="shared" si="621"/>
        <v>4014.5</v>
      </c>
      <c r="G4925" s="97">
        <v>4175</v>
      </c>
      <c r="H4925" s="367">
        <f t="shared" si="622"/>
        <v>8189.5</v>
      </c>
      <c r="I4925" s="368">
        <f t="shared" si="623"/>
        <v>0</v>
      </c>
      <c r="J4925">
        <v>10538</v>
      </c>
      <c r="K4925" s="367">
        <f t="shared" si="624"/>
        <v>7527.1428571428569</v>
      </c>
      <c r="L4925">
        <v>0.48</v>
      </c>
      <c r="M4925">
        <v>7.6</v>
      </c>
      <c r="N4925">
        <v>28</v>
      </c>
      <c r="O4925">
        <v>7</v>
      </c>
      <c r="P4925" t="s">
        <v>515</v>
      </c>
      <c r="Q4925" s="97" t="str">
        <f t="shared" si="625"/>
        <v/>
      </c>
      <c r="R4925" t="str">
        <f t="shared" si="626"/>
        <v/>
      </c>
    </row>
    <row r="4926" spans="3:18">
      <c r="C4926" t="str">
        <f t="shared" si="627"/>
        <v/>
      </c>
      <c r="D4926">
        <v>438</v>
      </c>
      <c r="E4926">
        <v>185</v>
      </c>
      <c r="F4926" s="366">
        <f t="shared" si="621"/>
        <v>4014.5</v>
      </c>
      <c r="G4926" s="97">
        <v>3389</v>
      </c>
      <c r="H4926" s="367">
        <f t="shared" si="622"/>
        <v>7403.5</v>
      </c>
      <c r="I4926" s="368">
        <f t="shared" si="623"/>
        <v>0</v>
      </c>
      <c r="J4926">
        <v>8554</v>
      </c>
      <c r="K4926" s="367">
        <f t="shared" si="624"/>
        <v>6110</v>
      </c>
      <c r="L4926">
        <v>0.39</v>
      </c>
      <c r="M4926">
        <v>8.5</v>
      </c>
      <c r="N4926">
        <v>28</v>
      </c>
      <c r="O4926">
        <v>8</v>
      </c>
      <c r="P4926" t="s">
        <v>515</v>
      </c>
      <c r="Q4926" s="97">
        <f t="shared" si="625"/>
        <v>438</v>
      </c>
      <c r="R4926" t="str">
        <f t="shared" si="626"/>
        <v/>
      </c>
    </row>
    <row r="4927" spans="3:18">
      <c r="C4927" t="str">
        <f t="shared" si="627"/>
        <v/>
      </c>
      <c r="D4927">
        <v>439</v>
      </c>
      <c r="E4927">
        <v>185</v>
      </c>
      <c r="F4927" s="366">
        <f t="shared" si="621"/>
        <v>4014.5</v>
      </c>
      <c r="G4927" s="97">
        <v>4940</v>
      </c>
      <c r="H4927" s="367">
        <f t="shared" si="622"/>
        <v>8954.5</v>
      </c>
      <c r="I4927" s="368">
        <f t="shared" si="623"/>
        <v>0</v>
      </c>
      <c r="J4927">
        <v>12468</v>
      </c>
      <c r="K4927" s="367">
        <f t="shared" si="624"/>
        <v>8905.7142857142862</v>
      </c>
      <c r="L4927">
        <v>1.17</v>
      </c>
      <c r="M4927">
        <v>8.5</v>
      </c>
      <c r="N4927">
        <v>33</v>
      </c>
      <c r="O4927">
        <v>8</v>
      </c>
      <c r="P4927" t="s">
        <v>514</v>
      </c>
      <c r="Q4927" s="97" t="str">
        <f t="shared" si="625"/>
        <v/>
      </c>
      <c r="R4927" t="str">
        <f t="shared" si="626"/>
        <v/>
      </c>
    </row>
    <row r="4928" spans="3:18">
      <c r="C4928" t="str">
        <f t="shared" si="627"/>
        <v>NL</v>
      </c>
      <c r="D4928">
        <v>440</v>
      </c>
      <c r="E4928">
        <v>185</v>
      </c>
      <c r="F4928" s="366">
        <f t="shared" si="621"/>
        <v>4014.5</v>
      </c>
      <c r="G4928" s="97">
        <v>4447</v>
      </c>
      <c r="H4928" s="367">
        <f t="shared" si="622"/>
        <v>8461.5</v>
      </c>
      <c r="I4928" s="368">
        <f t="shared" si="623"/>
        <v>0</v>
      </c>
      <c r="J4928">
        <v>11225</v>
      </c>
      <c r="K4928" s="367">
        <f t="shared" si="624"/>
        <v>8017.8571428571431</v>
      </c>
      <c r="L4928">
        <v>0.32</v>
      </c>
      <c r="M4928">
        <v>9.6</v>
      </c>
      <c r="N4928">
        <v>28</v>
      </c>
      <c r="O4928">
        <v>9</v>
      </c>
      <c r="P4928" t="s">
        <v>515</v>
      </c>
      <c r="Q4928" s="97" t="str">
        <f t="shared" si="625"/>
        <v/>
      </c>
      <c r="R4928" t="str">
        <f t="shared" si="626"/>
        <v/>
      </c>
    </row>
    <row r="4929" spans="3:18">
      <c r="C4929" t="str">
        <f t="shared" si="627"/>
        <v>NL</v>
      </c>
      <c r="D4929">
        <v>441</v>
      </c>
      <c r="E4929">
        <v>185</v>
      </c>
      <c r="F4929" s="366">
        <f t="shared" si="621"/>
        <v>4014.5</v>
      </c>
      <c r="G4929" s="97">
        <v>6644</v>
      </c>
      <c r="H4929" s="367">
        <f t="shared" si="622"/>
        <v>10658.5</v>
      </c>
      <c r="I4929" s="368">
        <f t="shared" si="623"/>
        <v>0</v>
      </c>
      <c r="J4929">
        <v>16770</v>
      </c>
      <c r="K4929" s="367">
        <f t="shared" si="624"/>
        <v>11978.571428571429</v>
      </c>
      <c r="L4929">
        <v>0.97</v>
      </c>
      <c r="M4929">
        <v>9.6</v>
      </c>
      <c r="N4929">
        <v>33</v>
      </c>
      <c r="O4929">
        <v>9</v>
      </c>
      <c r="P4929" t="s">
        <v>514</v>
      </c>
      <c r="Q4929" s="97" t="str">
        <f t="shared" si="625"/>
        <v/>
      </c>
      <c r="R4929" t="str">
        <f t="shared" si="626"/>
        <v/>
      </c>
    </row>
    <row r="4930" spans="3:18">
      <c r="C4930" t="str">
        <f t="shared" si="627"/>
        <v/>
      </c>
      <c r="D4930">
        <v>442</v>
      </c>
      <c r="E4930">
        <v>185</v>
      </c>
      <c r="F4930" s="366">
        <f t="shared" si="621"/>
        <v>4014.5</v>
      </c>
      <c r="G4930" s="97">
        <v>4546</v>
      </c>
      <c r="H4930" s="367">
        <f t="shared" si="622"/>
        <v>8560.5</v>
      </c>
      <c r="I4930" s="368">
        <f t="shared" si="623"/>
        <v>0</v>
      </c>
      <c r="J4930">
        <v>11473</v>
      </c>
      <c r="K4930" s="367">
        <f t="shared" si="624"/>
        <v>8195</v>
      </c>
      <c r="L4930">
        <v>0.27</v>
      </c>
      <c r="M4930">
        <v>1.4000000000000001</v>
      </c>
      <c r="N4930">
        <v>29</v>
      </c>
      <c r="O4930">
        <v>10</v>
      </c>
      <c r="P4930" t="s">
        <v>515</v>
      </c>
      <c r="Q4930" s="97" t="str">
        <f t="shared" si="625"/>
        <v/>
      </c>
      <c r="R4930" t="str">
        <f t="shared" si="626"/>
        <v/>
      </c>
    </row>
    <row r="4931" spans="3:18">
      <c r="C4931" t="str">
        <f t="shared" si="627"/>
        <v/>
      </c>
      <c r="D4931">
        <v>443</v>
      </c>
      <c r="E4931">
        <v>185</v>
      </c>
      <c r="F4931" s="366">
        <f t="shared" si="621"/>
        <v>4014.5</v>
      </c>
      <c r="G4931" s="97">
        <v>7052</v>
      </c>
      <c r="H4931" s="367">
        <f t="shared" si="622"/>
        <v>11066.5</v>
      </c>
      <c r="I4931" s="368">
        <f t="shared" si="623"/>
        <v>0</v>
      </c>
      <c r="J4931">
        <v>17797</v>
      </c>
      <c r="K4931" s="367">
        <f t="shared" si="624"/>
        <v>12712.142857142857</v>
      </c>
      <c r="L4931">
        <v>0.82000000000000006</v>
      </c>
      <c r="M4931">
        <v>1.4000000000000001</v>
      </c>
      <c r="N4931">
        <v>33</v>
      </c>
      <c r="O4931">
        <v>10</v>
      </c>
      <c r="P4931" t="s">
        <v>514</v>
      </c>
      <c r="Q4931" s="97" t="str">
        <f t="shared" si="625"/>
        <v/>
      </c>
      <c r="R4931" t="str">
        <f t="shared" si="626"/>
        <v/>
      </c>
    </row>
    <row r="4932" spans="3:18">
      <c r="C4932" t="str">
        <f t="shared" si="627"/>
        <v>NL</v>
      </c>
      <c r="D4932">
        <v>444</v>
      </c>
      <c r="E4932">
        <v>190</v>
      </c>
      <c r="F4932" s="366">
        <f t="shared" si="621"/>
        <v>4123</v>
      </c>
      <c r="G4932" s="97">
        <v>3484</v>
      </c>
      <c r="H4932" s="367">
        <f t="shared" si="622"/>
        <v>7607</v>
      </c>
      <c r="I4932" s="368">
        <f t="shared" si="623"/>
        <v>0</v>
      </c>
      <c r="J4932">
        <v>8795</v>
      </c>
      <c r="K4932" s="367">
        <f t="shared" si="624"/>
        <v>6282.1428571428569</v>
      </c>
      <c r="L4932">
        <v>0.94000000000000006</v>
      </c>
      <c r="M4932">
        <v>5.5</v>
      </c>
      <c r="N4932">
        <v>30</v>
      </c>
      <c r="O4932">
        <v>5</v>
      </c>
      <c r="P4932" t="s">
        <v>515</v>
      </c>
      <c r="Q4932" s="97" t="str">
        <f t="shared" si="625"/>
        <v/>
      </c>
      <c r="R4932" t="str">
        <f t="shared" si="626"/>
        <v/>
      </c>
    </row>
    <row r="4933" spans="3:18">
      <c r="C4933" t="str">
        <f t="shared" si="627"/>
        <v/>
      </c>
      <c r="D4933">
        <v>445</v>
      </c>
      <c r="E4933">
        <v>190</v>
      </c>
      <c r="F4933" s="366">
        <f t="shared" si="621"/>
        <v>4123</v>
      </c>
      <c r="G4933" s="97">
        <v>3235</v>
      </c>
      <c r="H4933" s="367">
        <f t="shared" si="622"/>
        <v>7358</v>
      </c>
      <c r="I4933" s="368">
        <f t="shared" si="623"/>
        <v>0</v>
      </c>
      <c r="J4933">
        <v>8165</v>
      </c>
      <c r="K4933" s="367">
        <f t="shared" si="624"/>
        <v>5832.1428571428569</v>
      </c>
      <c r="L4933">
        <v>0.67</v>
      </c>
      <c r="M4933">
        <v>6.6</v>
      </c>
      <c r="N4933">
        <v>29</v>
      </c>
      <c r="O4933">
        <v>6</v>
      </c>
      <c r="P4933" t="s">
        <v>515</v>
      </c>
      <c r="Q4933" s="97">
        <f t="shared" si="625"/>
        <v>445</v>
      </c>
      <c r="R4933" t="str">
        <f t="shared" si="626"/>
        <v/>
      </c>
    </row>
    <row r="4934" spans="3:18">
      <c r="C4934" t="str">
        <f t="shared" si="627"/>
        <v>NL</v>
      </c>
      <c r="D4934">
        <v>446</v>
      </c>
      <c r="E4934">
        <v>190</v>
      </c>
      <c r="F4934" s="366">
        <f t="shared" si="621"/>
        <v>4123</v>
      </c>
      <c r="G4934" s="97">
        <v>4250</v>
      </c>
      <c r="H4934" s="367">
        <f t="shared" si="622"/>
        <v>8373</v>
      </c>
      <c r="I4934" s="368">
        <f t="shared" si="623"/>
        <v>0</v>
      </c>
      <c r="J4934">
        <v>10728</v>
      </c>
      <c r="K4934" s="367">
        <f t="shared" si="624"/>
        <v>7662.8571428571431</v>
      </c>
      <c r="L4934">
        <v>0.51</v>
      </c>
      <c r="M4934">
        <v>7.6</v>
      </c>
      <c r="N4934">
        <v>29</v>
      </c>
      <c r="O4934">
        <v>7</v>
      </c>
      <c r="P4934" t="s">
        <v>515</v>
      </c>
      <c r="Q4934" s="97" t="str">
        <f t="shared" si="625"/>
        <v/>
      </c>
      <c r="R4934" t="str">
        <f t="shared" si="626"/>
        <v/>
      </c>
    </row>
    <row r="4935" spans="3:18">
      <c r="C4935" t="str">
        <f t="shared" si="627"/>
        <v/>
      </c>
      <c r="D4935">
        <v>447</v>
      </c>
      <c r="E4935">
        <v>190</v>
      </c>
      <c r="F4935" s="366">
        <f t="shared" si="621"/>
        <v>4123</v>
      </c>
      <c r="G4935" s="97">
        <v>3456</v>
      </c>
      <c r="H4935" s="367">
        <f t="shared" si="622"/>
        <v>7579</v>
      </c>
      <c r="I4935" s="368">
        <f t="shared" si="623"/>
        <v>0</v>
      </c>
      <c r="J4935">
        <v>8724</v>
      </c>
      <c r="K4935" s="367">
        <f t="shared" si="624"/>
        <v>6231.4285714285716</v>
      </c>
      <c r="L4935">
        <v>0.41000000000000003</v>
      </c>
      <c r="M4935">
        <v>8.5</v>
      </c>
      <c r="N4935">
        <v>29</v>
      </c>
      <c r="O4935">
        <v>8</v>
      </c>
      <c r="P4935" t="s">
        <v>515</v>
      </c>
      <c r="Q4935" s="97">
        <f t="shared" si="625"/>
        <v>447</v>
      </c>
      <c r="R4935" t="str">
        <f t="shared" si="626"/>
        <v/>
      </c>
    </row>
    <row r="4936" spans="3:18">
      <c r="C4936" t="str">
        <f t="shared" si="627"/>
        <v>NL</v>
      </c>
      <c r="D4936">
        <v>448</v>
      </c>
      <c r="E4936">
        <v>190</v>
      </c>
      <c r="F4936" s="366">
        <f t="shared" si="621"/>
        <v>4123</v>
      </c>
      <c r="G4936" s="97">
        <v>4528</v>
      </c>
      <c r="H4936" s="367">
        <f t="shared" si="622"/>
        <v>8651</v>
      </c>
      <c r="I4936" s="368">
        <f t="shared" si="623"/>
        <v>0</v>
      </c>
      <c r="J4936">
        <v>11429</v>
      </c>
      <c r="K4936" s="367">
        <f t="shared" si="624"/>
        <v>8163.5714285714284</v>
      </c>
      <c r="L4936">
        <v>0.34</v>
      </c>
      <c r="M4936">
        <v>9.6</v>
      </c>
      <c r="N4936">
        <v>29</v>
      </c>
      <c r="O4936">
        <v>9</v>
      </c>
      <c r="P4936" t="s">
        <v>515</v>
      </c>
      <c r="Q4936" s="97" t="str">
        <f t="shared" si="625"/>
        <v/>
      </c>
      <c r="R4936" t="str">
        <f t="shared" si="626"/>
        <v/>
      </c>
    </row>
    <row r="4937" spans="3:18">
      <c r="C4937" t="str">
        <f t="shared" si="627"/>
        <v>NL</v>
      </c>
      <c r="D4937">
        <v>449</v>
      </c>
      <c r="E4937">
        <v>190</v>
      </c>
      <c r="F4937" s="366">
        <f t="shared" si="621"/>
        <v>4123</v>
      </c>
      <c r="G4937" s="97">
        <v>6755</v>
      </c>
      <c r="H4937" s="367">
        <f t="shared" si="622"/>
        <v>10878</v>
      </c>
      <c r="I4937" s="368">
        <f t="shared" si="623"/>
        <v>0</v>
      </c>
      <c r="J4937">
        <v>17048</v>
      </c>
      <c r="K4937" s="367">
        <f t="shared" si="624"/>
        <v>12177.142857142857</v>
      </c>
      <c r="L4937">
        <v>1.02</v>
      </c>
      <c r="M4937">
        <v>9.6</v>
      </c>
      <c r="N4937">
        <v>33</v>
      </c>
      <c r="O4937">
        <v>9</v>
      </c>
      <c r="P4937" t="s">
        <v>514</v>
      </c>
      <c r="Q4937" s="97" t="str">
        <f t="shared" si="625"/>
        <v/>
      </c>
      <c r="R4937" t="str">
        <f t="shared" si="626"/>
        <v/>
      </c>
    </row>
    <row r="4938" spans="3:18">
      <c r="C4938" t="str">
        <f t="shared" si="627"/>
        <v/>
      </c>
      <c r="D4938">
        <v>450</v>
      </c>
      <c r="E4938">
        <v>190</v>
      </c>
      <c r="F4938" s="366">
        <f t="shared" ref="F4938:F5068" si="628">1.085*($A$2-$B$2)*E4938*$T$7</f>
        <v>4123</v>
      </c>
      <c r="G4938" s="97">
        <v>4637</v>
      </c>
      <c r="H4938" s="367">
        <f t="shared" ref="H4938:H5001" si="629">(G4938*$U$7)+F4938</f>
        <v>8760</v>
      </c>
      <c r="I4938" s="368">
        <f t="shared" ref="I4938:I5001" si="630">1.085*($C$2-$D$2)*E4938*$T$7</f>
        <v>0</v>
      </c>
      <c r="J4938">
        <v>11704</v>
      </c>
      <c r="K4938" s="367">
        <f t="shared" ref="K4938:K5068" si="631">(J4938*$V$7)-I4938</f>
        <v>8360</v>
      </c>
      <c r="L4938">
        <v>0.29000000000000004</v>
      </c>
      <c r="M4938">
        <v>1.4000000000000001</v>
      </c>
      <c r="N4938">
        <v>29</v>
      </c>
      <c r="O4938">
        <v>10</v>
      </c>
      <c r="P4938" t="s">
        <v>515</v>
      </c>
      <c r="Q4938" s="97" t="str">
        <f t="shared" ref="Q4938:Q4968" si="632">IF(AND(H4938+1&gt;$E$4,L4938&lt;$L$4+0.01,M4938&lt;$M$4+0.01,K4938+1&gt;$F$4,E4938+1&gt;$J$4,N4938&lt;$K$4+1,O4938&lt;$P$4+1,C4938=""),D4938,"")</f>
        <v/>
      </c>
      <c r="R4938" t="str">
        <f t="shared" ref="R4938:R4968" si="633">IF(Q4938="","",IF(AND(O4938&lt;$X$38,E4938&gt;$U$38,E4938&lt;$Q$4+$U$38+1),D4938,""))</f>
        <v/>
      </c>
    </row>
    <row r="4939" spans="3:18">
      <c r="C4939" t="str">
        <f t="shared" si="627"/>
        <v/>
      </c>
      <c r="D4939">
        <v>451</v>
      </c>
      <c r="E4939">
        <v>190</v>
      </c>
      <c r="F4939" s="366">
        <f t="shared" si="628"/>
        <v>4123</v>
      </c>
      <c r="G4939" s="97">
        <v>7173</v>
      </c>
      <c r="H4939" s="367">
        <f t="shared" si="629"/>
        <v>11296</v>
      </c>
      <c r="I4939" s="368">
        <f t="shared" si="630"/>
        <v>0</v>
      </c>
      <c r="J4939">
        <v>18104</v>
      </c>
      <c r="K4939" s="367">
        <f t="shared" si="631"/>
        <v>12931.428571428572</v>
      </c>
      <c r="L4939">
        <v>0.86</v>
      </c>
      <c r="M4939">
        <v>1.4000000000000001</v>
      </c>
      <c r="N4939">
        <v>34</v>
      </c>
      <c r="O4939">
        <v>10</v>
      </c>
      <c r="P4939" t="s">
        <v>514</v>
      </c>
      <c r="Q4939" s="97" t="str">
        <f t="shared" si="632"/>
        <v/>
      </c>
      <c r="R4939" t="str">
        <f t="shared" si="633"/>
        <v/>
      </c>
    </row>
    <row r="4940" spans="3:18">
      <c r="C4940" t="str">
        <f t="shared" si="627"/>
        <v>NL</v>
      </c>
      <c r="D4940">
        <v>452</v>
      </c>
      <c r="E4940">
        <v>195</v>
      </c>
      <c r="F4940" s="366">
        <f t="shared" si="628"/>
        <v>4231.5</v>
      </c>
      <c r="G4940" s="97">
        <v>3546</v>
      </c>
      <c r="H4940" s="367">
        <f t="shared" si="629"/>
        <v>7777.5</v>
      </c>
      <c r="I4940" s="368">
        <f t="shared" si="630"/>
        <v>0</v>
      </c>
      <c r="J4940">
        <v>8950</v>
      </c>
      <c r="K4940" s="367">
        <f t="shared" si="631"/>
        <v>6392.8571428571431</v>
      </c>
      <c r="L4940">
        <v>0.99</v>
      </c>
      <c r="M4940">
        <v>5.5</v>
      </c>
      <c r="N4940">
        <v>30</v>
      </c>
      <c r="O4940">
        <v>5</v>
      </c>
      <c r="P4940" t="s">
        <v>515</v>
      </c>
      <c r="Q4940" s="97" t="str">
        <f t="shared" si="632"/>
        <v/>
      </c>
      <c r="R4940" t="str">
        <f t="shared" si="633"/>
        <v/>
      </c>
    </row>
    <row r="4941" spans="3:18">
      <c r="C4941" t="str">
        <f t="shared" si="627"/>
        <v/>
      </c>
      <c r="D4941">
        <v>453</v>
      </c>
      <c r="E4941">
        <v>195</v>
      </c>
      <c r="F4941" s="366">
        <f t="shared" si="628"/>
        <v>4231.5</v>
      </c>
      <c r="G4941" s="97">
        <v>3296</v>
      </c>
      <c r="H4941" s="367">
        <f t="shared" si="629"/>
        <v>7527.5</v>
      </c>
      <c r="I4941" s="368">
        <f t="shared" si="630"/>
        <v>0</v>
      </c>
      <c r="J4941">
        <v>8320</v>
      </c>
      <c r="K4941" s="367">
        <f t="shared" si="631"/>
        <v>5942.8571428571431</v>
      </c>
      <c r="L4941">
        <v>0.7</v>
      </c>
      <c r="M4941">
        <v>6.6</v>
      </c>
      <c r="N4941">
        <v>29</v>
      </c>
      <c r="O4941">
        <v>6</v>
      </c>
      <c r="P4941" t="s">
        <v>515</v>
      </c>
      <c r="Q4941" s="97">
        <f t="shared" si="632"/>
        <v>453</v>
      </c>
      <c r="R4941" t="str">
        <f t="shared" si="633"/>
        <v/>
      </c>
    </row>
    <row r="4942" spans="3:18">
      <c r="C4942" t="str">
        <f t="shared" si="627"/>
        <v>NL</v>
      </c>
      <c r="D4942">
        <v>454</v>
      </c>
      <c r="E4942">
        <v>195</v>
      </c>
      <c r="F4942" s="366">
        <f t="shared" si="628"/>
        <v>4231.5</v>
      </c>
      <c r="G4942" s="97">
        <v>4326</v>
      </c>
      <c r="H4942" s="367">
        <f t="shared" si="629"/>
        <v>8557.5</v>
      </c>
      <c r="I4942" s="368">
        <f t="shared" si="630"/>
        <v>0</v>
      </c>
      <c r="J4942">
        <v>10918</v>
      </c>
      <c r="K4942" s="367">
        <f t="shared" si="631"/>
        <v>7798.5714285714284</v>
      </c>
      <c r="L4942">
        <v>0.53</v>
      </c>
      <c r="M4942">
        <v>7.6</v>
      </c>
      <c r="N4942">
        <v>29</v>
      </c>
      <c r="O4942">
        <v>7</v>
      </c>
      <c r="P4942" t="s">
        <v>515</v>
      </c>
      <c r="Q4942" s="97" t="str">
        <f t="shared" si="632"/>
        <v/>
      </c>
      <c r="R4942" t="str">
        <f t="shared" si="633"/>
        <v/>
      </c>
    </row>
    <row r="4943" spans="3:18">
      <c r="C4943" t="str">
        <f t="shared" si="627"/>
        <v/>
      </c>
      <c r="D4943">
        <v>455</v>
      </c>
      <c r="E4943">
        <v>195</v>
      </c>
      <c r="F4943" s="366">
        <f t="shared" si="628"/>
        <v>4231.5</v>
      </c>
      <c r="G4943" s="97">
        <v>3524</v>
      </c>
      <c r="H4943" s="367">
        <f t="shared" si="629"/>
        <v>7755.5</v>
      </c>
      <c r="I4943" s="368">
        <f t="shared" si="630"/>
        <v>0</v>
      </c>
      <c r="J4943">
        <v>8895</v>
      </c>
      <c r="K4943" s="367">
        <f t="shared" si="631"/>
        <v>6353.5714285714284</v>
      </c>
      <c r="L4943">
        <v>0.43</v>
      </c>
      <c r="M4943">
        <v>8.5</v>
      </c>
      <c r="N4943">
        <v>29</v>
      </c>
      <c r="O4943">
        <v>8</v>
      </c>
      <c r="P4943" t="s">
        <v>515</v>
      </c>
      <c r="Q4943" s="97">
        <f t="shared" si="632"/>
        <v>455</v>
      </c>
      <c r="R4943" t="str">
        <f t="shared" si="633"/>
        <v/>
      </c>
    </row>
    <row r="4944" spans="3:18">
      <c r="C4944" t="str">
        <f t="shared" si="627"/>
        <v>NL</v>
      </c>
      <c r="D4944">
        <v>456</v>
      </c>
      <c r="E4944">
        <v>195</v>
      </c>
      <c r="F4944" s="366">
        <f t="shared" si="628"/>
        <v>4231.5</v>
      </c>
      <c r="G4944" s="97">
        <v>4609</v>
      </c>
      <c r="H4944" s="367">
        <f t="shared" si="629"/>
        <v>8840.5</v>
      </c>
      <c r="I4944" s="368">
        <f t="shared" si="630"/>
        <v>0</v>
      </c>
      <c r="J4944">
        <v>11634</v>
      </c>
      <c r="K4944" s="367">
        <f t="shared" si="631"/>
        <v>8310</v>
      </c>
      <c r="L4944">
        <v>0.35000000000000003</v>
      </c>
      <c r="M4944">
        <v>9.6</v>
      </c>
      <c r="N4944">
        <v>29</v>
      </c>
      <c r="O4944">
        <v>9</v>
      </c>
      <c r="P4944" t="s">
        <v>515</v>
      </c>
      <c r="Q4944" s="97" t="str">
        <f t="shared" si="632"/>
        <v/>
      </c>
      <c r="R4944" t="str">
        <f t="shared" si="633"/>
        <v/>
      </c>
    </row>
    <row r="4945" spans="3:18">
      <c r="C4945" t="str">
        <f t="shared" si="627"/>
        <v>NL</v>
      </c>
      <c r="D4945">
        <v>457</v>
      </c>
      <c r="E4945">
        <v>195</v>
      </c>
      <c r="F4945" s="366">
        <f t="shared" si="628"/>
        <v>4231.5</v>
      </c>
      <c r="G4945" s="97">
        <v>6865</v>
      </c>
      <c r="H4945" s="367">
        <f t="shared" si="629"/>
        <v>11096.5</v>
      </c>
      <c r="I4945" s="368">
        <f t="shared" si="630"/>
        <v>0</v>
      </c>
      <c r="J4945">
        <v>17326</v>
      </c>
      <c r="K4945" s="367">
        <f t="shared" si="631"/>
        <v>12375.714285714286</v>
      </c>
      <c r="L4945">
        <v>1.07</v>
      </c>
      <c r="M4945">
        <v>9.6</v>
      </c>
      <c r="N4945">
        <v>34</v>
      </c>
      <c r="O4945">
        <v>9</v>
      </c>
      <c r="P4945" t="s">
        <v>514</v>
      </c>
      <c r="Q4945" s="97" t="str">
        <f t="shared" si="632"/>
        <v/>
      </c>
      <c r="R4945" t="str">
        <f t="shared" si="633"/>
        <v/>
      </c>
    </row>
    <row r="4946" spans="3:18">
      <c r="C4946" t="str">
        <f t="shared" si="627"/>
        <v/>
      </c>
      <c r="D4946">
        <v>458</v>
      </c>
      <c r="E4946">
        <v>195</v>
      </c>
      <c r="F4946" s="366">
        <f t="shared" si="628"/>
        <v>4231.5</v>
      </c>
      <c r="G4946" s="97">
        <v>4729</v>
      </c>
      <c r="H4946" s="367">
        <f t="shared" si="629"/>
        <v>8960.5</v>
      </c>
      <c r="I4946" s="368">
        <f t="shared" si="630"/>
        <v>0</v>
      </c>
      <c r="J4946">
        <v>11935</v>
      </c>
      <c r="K4946" s="367">
        <f t="shared" si="631"/>
        <v>8525</v>
      </c>
      <c r="L4946">
        <v>0.3</v>
      </c>
      <c r="M4946">
        <v>1.4000000000000001</v>
      </c>
      <c r="N4946">
        <v>29</v>
      </c>
      <c r="O4946">
        <v>10</v>
      </c>
      <c r="P4946" t="s">
        <v>515</v>
      </c>
      <c r="Q4946" s="97" t="str">
        <f t="shared" si="632"/>
        <v/>
      </c>
      <c r="R4946" t="str">
        <f t="shared" si="633"/>
        <v/>
      </c>
    </row>
    <row r="4947" spans="3:18">
      <c r="C4947" t="str">
        <f t="shared" si="627"/>
        <v/>
      </c>
      <c r="D4947">
        <v>459</v>
      </c>
      <c r="E4947">
        <v>195</v>
      </c>
      <c r="F4947" s="366">
        <f t="shared" si="628"/>
        <v>4231.5</v>
      </c>
      <c r="G4947" s="97">
        <v>7285</v>
      </c>
      <c r="H4947" s="367">
        <f t="shared" si="629"/>
        <v>11516.5</v>
      </c>
      <c r="I4947" s="368">
        <f t="shared" si="630"/>
        <v>0</v>
      </c>
      <c r="J4947">
        <v>18386</v>
      </c>
      <c r="K4947" s="367">
        <f t="shared" si="631"/>
        <v>13132.857142857143</v>
      </c>
      <c r="L4947">
        <v>0.91</v>
      </c>
      <c r="M4947">
        <v>1.4000000000000001</v>
      </c>
      <c r="N4947">
        <v>34</v>
      </c>
      <c r="O4947">
        <v>10</v>
      </c>
      <c r="P4947" t="s">
        <v>514</v>
      </c>
      <c r="Q4947" s="97" t="str">
        <f t="shared" si="632"/>
        <v/>
      </c>
      <c r="R4947" t="str">
        <f t="shared" si="633"/>
        <v/>
      </c>
    </row>
    <row r="4948" spans="3:18">
      <c r="C4948" t="str">
        <f t="shared" si="627"/>
        <v/>
      </c>
      <c r="D4948">
        <v>460</v>
      </c>
      <c r="E4948">
        <v>200</v>
      </c>
      <c r="F4948" s="366">
        <f t="shared" si="628"/>
        <v>4340</v>
      </c>
      <c r="G4948" s="97">
        <v>3358</v>
      </c>
      <c r="H4948" s="367">
        <f t="shared" si="629"/>
        <v>7698</v>
      </c>
      <c r="I4948" s="368">
        <f t="shared" si="630"/>
        <v>0</v>
      </c>
      <c r="J4948">
        <v>8476</v>
      </c>
      <c r="K4948" s="367">
        <f t="shared" si="631"/>
        <v>6054.2857142857147</v>
      </c>
      <c r="L4948">
        <v>0.74</v>
      </c>
      <c r="M4948">
        <v>6.6</v>
      </c>
      <c r="N4948">
        <v>30</v>
      </c>
      <c r="O4948">
        <v>6</v>
      </c>
      <c r="P4948" t="s">
        <v>515</v>
      </c>
      <c r="Q4948" s="97" t="str">
        <f t="shared" si="632"/>
        <v/>
      </c>
      <c r="R4948" t="str">
        <f t="shared" si="633"/>
        <v/>
      </c>
    </row>
    <row r="4949" spans="3:18">
      <c r="C4949" t="str">
        <f t="shared" si="627"/>
        <v>NL</v>
      </c>
      <c r="D4949">
        <v>461</v>
      </c>
      <c r="E4949">
        <v>200</v>
      </c>
      <c r="F4949" s="366">
        <f t="shared" si="628"/>
        <v>4340</v>
      </c>
      <c r="G4949" s="97">
        <v>4401</v>
      </c>
      <c r="H4949" s="367">
        <f t="shared" si="629"/>
        <v>8741</v>
      </c>
      <c r="I4949" s="368">
        <f t="shared" si="630"/>
        <v>0</v>
      </c>
      <c r="J4949">
        <v>11107</v>
      </c>
      <c r="K4949" s="367">
        <f t="shared" si="631"/>
        <v>7933.5714285714284</v>
      </c>
      <c r="L4949">
        <v>0.56000000000000005</v>
      </c>
      <c r="M4949">
        <v>7.6</v>
      </c>
      <c r="N4949">
        <v>29</v>
      </c>
      <c r="O4949">
        <v>7</v>
      </c>
      <c r="P4949" t="s">
        <v>515</v>
      </c>
      <c r="Q4949" s="97" t="str">
        <f t="shared" si="632"/>
        <v/>
      </c>
      <c r="R4949" t="str">
        <f t="shared" si="633"/>
        <v/>
      </c>
    </row>
    <row r="4950" spans="3:18">
      <c r="C4950" t="str">
        <f t="shared" si="627"/>
        <v/>
      </c>
      <c r="D4950">
        <v>462</v>
      </c>
      <c r="E4950">
        <v>200</v>
      </c>
      <c r="F4950" s="366">
        <f t="shared" si="628"/>
        <v>4340</v>
      </c>
      <c r="G4950" s="97">
        <v>3592</v>
      </c>
      <c r="H4950" s="367">
        <f t="shared" si="629"/>
        <v>7932</v>
      </c>
      <c r="I4950" s="368">
        <f t="shared" si="630"/>
        <v>0</v>
      </c>
      <c r="J4950">
        <v>9065</v>
      </c>
      <c r="K4950" s="367">
        <f t="shared" si="631"/>
        <v>6475</v>
      </c>
      <c r="L4950">
        <v>0.45</v>
      </c>
      <c r="M4950">
        <v>8.5</v>
      </c>
      <c r="N4950">
        <v>29</v>
      </c>
      <c r="O4950">
        <v>8</v>
      </c>
      <c r="P4950" t="s">
        <v>515</v>
      </c>
      <c r="Q4950" s="97">
        <f t="shared" si="632"/>
        <v>462</v>
      </c>
      <c r="R4950" t="str">
        <f t="shared" si="633"/>
        <v/>
      </c>
    </row>
    <row r="4951" spans="3:18">
      <c r="C4951" t="str">
        <f t="shared" si="627"/>
        <v>NL</v>
      </c>
      <c r="D4951">
        <v>463</v>
      </c>
      <c r="E4951">
        <v>200</v>
      </c>
      <c r="F4951" s="366">
        <f t="shared" si="628"/>
        <v>4340</v>
      </c>
      <c r="G4951" s="97">
        <v>4690</v>
      </c>
      <c r="H4951" s="367">
        <f t="shared" si="629"/>
        <v>9030</v>
      </c>
      <c r="I4951" s="368">
        <f t="shared" si="630"/>
        <v>0</v>
      </c>
      <c r="J4951">
        <v>11838</v>
      </c>
      <c r="K4951" s="367">
        <f t="shared" si="631"/>
        <v>8455.7142857142862</v>
      </c>
      <c r="L4951">
        <v>0.37</v>
      </c>
      <c r="M4951">
        <v>9.6</v>
      </c>
      <c r="N4951">
        <v>29</v>
      </c>
      <c r="O4951">
        <v>9</v>
      </c>
      <c r="P4951" t="s">
        <v>515</v>
      </c>
      <c r="Q4951" s="97" t="str">
        <f t="shared" si="632"/>
        <v/>
      </c>
      <c r="R4951" t="str">
        <f t="shared" si="633"/>
        <v/>
      </c>
    </row>
    <row r="4952" spans="3:18">
      <c r="C4952" t="str">
        <f t="shared" si="627"/>
        <v>NL</v>
      </c>
      <c r="D4952">
        <v>464</v>
      </c>
      <c r="E4952">
        <v>200</v>
      </c>
      <c r="F4952" s="366">
        <f t="shared" si="628"/>
        <v>4340</v>
      </c>
      <c r="G4952" s="97">
        <v>6969</v>
      </c>
      <c r="H4952" s="367">
        <f t="shared" si="629"/>
        <v>11309</v>
      </c>
      <c r="I4952" s="368">
        <f t="shared" si="630"/>
        <v>0</v>
      </c>
      <c r="J4952">
        <v>17588</v>
      </c>
      <c r="K4952" s="367">
        <f t="shared" si="631"/>
        <v>12562.857142857143</v>
      </c>
      <c r="L4952">
        <v>1.1300000000000001</v>
      </c>
      <c r="M4952">
        <v>9.6</v>
      </c>
      <c r="N4952">
        <v>34</v>
      </c>
      <c r="O4952">
        <v>9</v>
      </c>
      <c r="P4952" t="s">
        <v>514</v>
      </c>
      <c r="Q4952" s="97" t="str">
        <f t="shared" si="632"/>
        <v/>
      </c>
      <c r="R4952" t="str">
        <f t="shared" si="633"/>
        <v/>
      </c>
    </row>
    <row r="4953" spans="3:18">
      <c r="C4953" t="str">
        <f t="shared" si="627"/>
        <v/>
      </c>
      <c r="D4953">
        <v>465</v>
      </c>
      <c r="E4953">
        <v>200</v>
      </c>
      <c r="F4953" s="366">
        <f t="shared" si="628"/>
        <v>4340</v>
      </c>
      <c r="G4953" s="97">
        <v>4815</v>
      </c>
      <c r="H4953" s="367">
        <f t="shared" si="629"/>
        <v>9155</v>
      </c>
      <c r="I4953" s="368">
        <f t="shared" si="630"/>
        <v>0</v>
      </c>
      <c r="J4953">
        <v>12154</v>
      </c>
      <c r="K4953" s="367">
        <f t="shared" si="631"/>
        <v>8681.4285714285725</v>
      </c>
      <c r="L4953">
        <v>0.32</v>
      </c>
      <c r="M4953">
        <v>1.4000000000000001</v>
      </c>
      <c r="N4953">
        <v>30</v>
      </c>
      <c r="O4953">
        <v>10</v>
      </c>
      <c r="P4953" t="s">
        <v>515</v>
      </c>
      <c r="Q4953" s="97" t="str">
        <f t="shared" si="632"/>
        <v/>
      </c>
      <c r="R4953" t="str">
        <f t="shared" si="633"/>
        <v/>
      </c>
    </row>
    <row r="4954" spans="3:18">
      <c r="C4954" t="str">
        <f t="shared" si="627"/>
        <v/>
      </c>
      <c r="D4954">
        <v>466</v>
      </c>
      <c r="E4954">
        <v>200</v>
      </c>
      <c r="F4954" s="366">
        <f t="shared" si="628"/>
        <v>4340</v>
      </c>
      <c r="G4954" s="97">
        <v>7395</v>
      </c>
      <c r="H4954" s="367">
        <f t="shared" si="629"/>
        <v>11735</v>
      </c>
      <c r="I4954" s="368">
        <f t="shared" si="630"/>
        <v>0</v>
      </c>
      <c r="J4954">
        <v>18664</v>
      </c>
      <c r="K4954" s="367">
        <f t="shared" si="631"/>
        <v>13331.428571428572</v>
      </c>
      <c r="L4954">
        <v>0.96</v>
      </c>
      <c r="M4954">
        <v>1.4000000000000001</v>
      </c>
      <c r="N4954">
        <v>34</v>
      </c>
      <c r="O4954">
        <v>10</v>
      </c>
      <c r="P4954" t="s">
        <v>514</v>
      </c>
      <c r="Q4954" s="97" t="str">
        <f t="shared" si="632"/>
        <v/>
      </c>
      <c r="R4954" t="str">
        <f t="shared" si="633"/>
        <v/>
      </c>
    </row>
    <row r="4955" spans="3:18">
      <c r="C4955" t="str">
        <f t="shared" si="627"/>
        <v/>
      </c>
      <c r="D4955">
        <v>467</v>
      </c>
      <c r="E4955">
        <v>205</v>
      </c>
      <c r="F4955" s="366">
        <f t="shared" si="628"/>
        <v>4448.5</v>
      </c>
      <c r="G4955" s="97">
        <v>3419</v>
      </c>
      <c r="H4955" s="367">
        <f t="shared" si="629"/>
        <v>7867.5</v>
      </c>
      <c r="I4955" s="368">
        <f t="shared" si="630"/>
        <v>0</v>
      </c>
      <c r="J4955">
        <v>8631</v>
      </c>
      <c r="K4955" s="367">
        <f t="shared" si="631"/>
        <v>6165</v>
      </c>
      <c r="L4955">
        <v>0.78</v>
      </c>
      <c r="M4955">
        <v>6.6</v>
      </c>
      <c r="N4955">
        <v>30</v>
      </c>
      <c r="O4955">
        <v>6</v>
      </c>
      <c r="P4955" t="s">
        <v>515</v>
      </c>
      <c r="Q4955" s="97" t="str">
        <f t="shared" si="632"/>
        <v/>
      </c>
      <c r="R4955" t="str">
        <f t="shared" si="633"/>
        <v/>
      </c>
    </row>
    <row r="4956" spans="3:18">
      <c r="C4956" t="str">
        <f t="shared" si="627"/>
        <v>NL</v>
      </c>
      <c r="D4956">
        <v>468</v>
      </c>
      <c r="E4956">
        <v>205</v>
      </c>
      <c r="F4956" s="366">
        <f t="shared" si="628"/>
        <v>4448.5</v>
      </c>
      <c r="G4956" s="97">
        <v>4476</v>
      </c>
      <c r="H4956" s="367">
        <f t="shared" si="629"/>
        <v>8924.5</v>
      </c>
      <c r="I4956" s="368">
        <f t="shared" si="630"/>
        <v>0</v>
      </c>
      <c r="J4956">
        <v>11297</v>
      </c>
      <c r="K4956" s="367">
        <f t="shared" si="631"/>
        <v>8069.2857142857147</v>
      </c>
      <c r="L4956">
        <v>0.59</v>
      </c>
      <c r="M4956">
        <v>7.6</v>
      </c>
      <c r="N4956">
        <v>30</v>
      </c>
      <c r="O4956">
        <v>7</v>
      </c>
      <c r="P4956" t="s">
        <v>515</v>
      </c>
      <c r="Q4956" s="97" t="str">
        <f t="shared" si="632"/>
        <v/>
      </c>
      <c r="R4956" t="str">
        <f t="shared" si="633"/>
        <v/>
      </c>
    </row>
    <row r="4957" spans="3:18">
      <c r="C4957" t="str">
        <f t="shared" si="627"/>
        <v/>
      </c>
      <c r="D4957">
        <v>469</v>
      </c>
      <c r="E4957">
        <v>205</v>
      </c>
      <c r="F4957" s="366">
        <f t="shared" si="628"/>
        <v>4448.5</v>
      </c>
      <c r="G4957" s="97">
        <v>3659</v>
      </c>
      <c r="H4957" s="367">
        <f t="shared" si="629"/>
        <v>8107.5</v>
      </c>
      <c r="I4957" s="368">
        <f t="shared" si="630"/>
        <v>0</v>
      </c>
      <c r="J4957">
        <v>9236</v>
      </c>
      <c r="K4957" s="367">
        <f t="shared" si="631"/>
        <v>6597.1428571428569</v>
      </c>
      <c r="L4957">
        <v>0.47000000000000003</v>
      </c>
      <c r="M4957">
        <v>8.5</v>
      </c>
      <c r="N4957">
        <v>30</v>
      </c>
      <c r="O4957">
        <v>8</v>
      </c>
      <c r="P4957" t="s">
        <v>515</v>
      </c>
      <c r="Q4957" s="97">
        <f t="shared" si="632"/>
        <v>469</v>
      </c>
      <c r="R4957" t="str">
        <f t="shared" si="633"/>
        <v/>
      </c>
    </row>
    <row r="4958" spans="3:18">
      <c r="C4958" t="str">
        <f t="shared" si="627"/>
        <v>NL</v>
      </c>
      <c r="D4958">
        <v>470</v>
      </c>
      <c r="E4958">
        <v>205</v>
      </c>
      <c r="F4958" s="366">
        <f t="shared" si="628"/>
        <v>4448.5</v>
      </c>
      <c r="G4958" s="97">
        <v>4771</v>
      </c>
      <c r="H4958" s="367">
        <f t="shared" si="629"/>
        <v>9219.5</v>
      </c>
      <c r="I4958" s="368">
        <f t="shared" si="630"/>
        <v>0</v>
      </c>
      <c r="J4958">
        <v>12042</v>
      </c>
      <c r="K4958" s="367">
        <f t="shared" si="631"/>
        <v>8601.4285714285725</v>
      </c>
      <c r="L4958">
        <v>0.39</v>
      </c>
      <c r="M4958">
        <v>9.6</v>
      </c>
      <c r="N4958">
        <v>30</v>
      </c>
      <c r="O4958">
        <v>9</v>
      </c>
      <c r="P4958" t="s">
        <v>515</v>
      </c>
      <c r="Q4958" s="97" t="str">
        <f t="shared" si="632"/>
        <v/>
      </c>
      <c r="R4958" t="str">
        <f t="shared" si="633"/>
        <v/>
      </c>
    </row>
    <row r="4959" spans="3:18">
      <c r="C4959" t="str">
        <f t="shared" si="627"/>
        <v>NL</v>
      </c>
      <c r="D4959">
        <v>471</v>
      </c>
      <c r="E4959">
        <v>205</v>
      </c>
      <c r="F4959" s="366">
        <f t="shared" si="628"/>
        <v>4448.5</v>
      </c>
      <c r="G4959" s="97">
        <v>7069</v>
      </c>
      <c r="H4959" s="367">
        <f t="shared" si="629"/>
        <v>11517.5</v>
      </c>
      <c r="I4959" s="368">
        <f t="shared" si="630"/>
        <v>0</v>
      </c>
      <c r="J4959">
        <v>17842</v>
      </c>
      <c r="K4959" s="367">
        <f t="shared" si="631"/>
        <v>12744.285714285714</v>
      </c>
      <c r="L4959">
        <v>1.19</v>
      </c>
      <c r="M4959">
        <v>9.6</v>
      </c>
      <c r="N4959">
        <v>34</v>
      </c>
      <c r="O4959">
        <v>9</v>
      </c>
      <c r="P4959" t="s">
        <v>514</v>
      </c>
      <c r="Q4959" s="97" t="str">
        <f t="shared" si="632"/>
        <v/>
      </c>
      <c r="R4959" t="str">
        <f t="shared" si="633"/>
        <v/>
      </c>
    </row>
    <row r="4960" spans="3:18">
      <c r="C4960" t="str">
        <f t="shared" si="627"/>
        <v/>
      </c>
      <c r="D4960">
        <v>472</v>
      </c>
      <c r="E4960">
        <v>205</v>
      </c>
      <c r="F4960" s="366">
        <f t="shared" si="628"/>
        <v>4448.5</v>
      </c>
      <c r="G4960" s="97">
        <v>4895</v>
      </c>
      <c r="H4960" s="367">
        <f t="shared" si="629"/>
        <v>9343.5</v>
      </c>
      <c r="I4960" s="368">
        <f t="shared" si="630"/>
        <v>0</v>
      </c>
      <c r="J4960">
        <v>12354</v>
      </c>
      <c r="K4960" s="367">
        <f t="shared" si="631"/>
        <v>8824.2857142857138</v>
      </c>
      <c r="L4960">
        <v>0.33</v>
      </c>
      <c r="M4960">
        <v>1.4000000000000001</v>
      </c>
      <c r="N4960">
        <v>30</v>
      </c>
      <c r="O4960">
        <v>10</v>
      </c>
      <c r="P4960" t="s">
        <v>515</v>
      </c>
      <c r="Q4960" s="97" t="str">
        <f t="shared" si="632"/>
        <v/>
      </c>
      <c r="R4960" t="str">
        <f t="shared" si="633"/>
        <v/>
      </c>
    </row>
    <row r="4961" spans="3:18">
      <c r="C4961" t="str">
        <f t="shared" si="627"/>
        <v/>
      </c>
      <c r="D4961">
        <v>473</v>
      </c>
      <c r="E4961">
        <v>205</v>
      </c>
      <c r="F4961" s="366">
        <f t="shared" si="628"/>
        <v>4448.5</v>
      </c>
      <c r="G4961" s="97">
        <v>7505</v>
      </c>
      <c r="H4961" s="367">
        <f t="shared" si="629"/>
        <v>11953.5</v>
      </c>
      <c r="I4961" s="368">
        <f t="shared" si="630"/>
        <v>0</v>
      </c>
      <c r="J4961">
        <v>18941</v>
      </c>
      <c r="K4961" s="367">
        <f t="shared" si="631"/>
        <v>13529.285714285714</v>
      </c>
      <c r="L4961">
        <v>1.01</v>
      </c>
      <c r="M4961">
        <v>1.4000000000000001</v>
      </c>
      <c r="N4961">
        <v>35</v>
      </c>
      <c r="O4961">
        <v>10</v>
      </c>
      <c r="P4961" t="s">
        <v>514</v>
      </c>
      <c r="Q4961" s="97" t="str">
        <f t="shared" si="632"/>
        <v/>
      </c>
      <c r="R4961" t="str">
        <f t="shared" si="633"/>
        <v/>
      </c>
    </row>
    <row r="4962" spans="3:18">
      <c r="C4962" t="str">
        <f t="shared" si="627"/>
        <v/>
      </c>
      <c r="D4962">
        <v>474</v>
      </c>
      <c r="E4962">
        <v>210</v>
      </c>
      <c r="F4962" s="366">
        <f t="shared" si="628"/>
        <v>4557</v>
      </c>
      <c r="G4962" s="97">
        <v>3476</v>
      </c>
      <c r="H4962" s="367">
        <f t="shared" si="629"/>
        <v>8033</v>
      </c>
      <c r="I4962" s="368">
        <f t="shared" si="630"/>
        <v>0</v>
      </c>
      <c r="J4962">
        <v>8773</v>
      </c>
      <c r="K4962" s="367">
        <f t="shared" si="631"/>
        <v>6266.4285714285716</v>
      </c>
      <c r="L4962">
        <v>0.81</v>
      </c>
      <c r="M4962">
        <v>6.6</v>
      </c>
      <c r="N4962">
        <v>30</v>
      </c>
      <c r="O4962">
        <v>6</v>
      </c>
      <c r="P4962" t="s">
        <v>515</v>
      </c>
      <c r="Q4962" s="97" t="str">
        <f t="shared" si="632"/>
        <v/>
      </c>
      <c r="R4962" t="str">
        <f t="shared" si="633"/>
        <v/>
      </c>
    </row>
    <row r="4963" spans="3:18">
      <c r="C4963" t="str">
        <f t="shared" si="627"/>
        <v>NL</v>
      </c>
      <c r="D4963">
        <v>475</v>
      </c>
      <c r="E4963">
        <v>210</v>
      </c>
      <c r="F4963" s="366">
        <f t="shared" si="628"/>
        <v>4557</v>
      </c>
      <c r="G4963" s="97">
        <v>4551</v>
      </c>
      <c r="H4963" s="367">
        <f t="shared" si="629"/>
        <v>9108</v>
      </c>
      <c r="I4963" s="368">
        <f t="shared" si="630"/>
        <v>0</v>
      </c>
      <c r="J4963">
        <v>11487</v>
      </c>
      <c r="K4963" s="367">
        <f t="shared" si="631"/>
        <v>8205</v>
      </c>
      <c r="L4963">
        <v>0.62</v>
      </c>
      <c r="M4963">
        <v>7.6</v>
      </c>
      <c r="N4963">
        <v>30</v>
      </c>
      <c r="O4963">
        <v>7</v>
      </c>
      <c r="P4963" t="s">
        <v>515</v>
      </c>
      <c r="Q4963" s="97" t="str">
        <f t="shared" si="632"/>
        <v/>
      </c>
      <c r="R4963" t="str">
        <f t="shared" si="633"/>
        <v/>
      </c>
    </row>
    <row r="4964" spans="3:18">
      <c r="C4964" t="str">
        <f t="shared" si="627"/>
        <v/>
      </c>
      <c r="D4964">
        <v>476</v>
      </c>
      <c r="E4964">
        <v>210</v>
      </c>
      <c r="F4964" s="366">
        <f t="shared" si="628"/>
        <v>4557</v>
      </c>
      <c r="G4964" s="97">
        <v>3727</v>
      </c>
      <c r="H4964" s="367">
        <f t="shared" si="629"/>
        <v>8284</v>
      </c>
      <c r="I4964" s="368">
        <f t="shared" si="630"/>
        <v>0</v>
      </c>
      <c r="J4964">
        <v>9407</v>
      </c>
      <c r="K4964" s="367">
        <f t="shared" si="631"/>
        <v>6719.2857142857147</v>
      </c>
      <c r="L4964">
        <v>0.49</v>
      </c>
      <c r="M4964">
        <v>8.5</v>
      </c>
      <c r="N4964">
        <v>30</v>
      </c>
      <c r="O4964">
        <v>8</v>
      </c>
      <c r="P4964" t="s">
        <v>515</v>
      </c>
      <c r="Q4964" s="97">
        <f t="shared" si="632"/>
        <v>476</v>
      </c>
      <c r="R4964" t="str">
        <f t="shared" si="633"/>
        <v/>
      </c>
    </row>
    <row r="4965" spans="3:18">
      <c r="C4965" t="str">
        <f t="shared" si="627"/>
        <v>NL</v>
      </c>
      <c r="D4965">
        <v>477</v>
      </c>
      <c r="E4965">
        <v>210</v>
      </c>
      <c r="F4965" s="366">
        <f t="shared" si="628"/>
        <v>4557</v>
      </c>
      <c r="G4965" s="97">
        <v>4852</v>
      </c>
      <c r="H4965" s="367">
        <f t="shared" si="629"/>
        <v>9409</v>
      </c>
      <c r="I4965" s="368">
        <f t="shared" si="630"/>
        <v>0</v>
      </c>
      <c r="J4965">
        <v>12247</v>
      </c>
      <c r="K4965" s="367">
        <f t="shared" si="631"/>
        <v>8747.8571428571431</v>
      </c>
      <c r="L4965">
        <v>0.41000000000000003</v>
      </c>
      <c r="M4965">
        <v>9.6</v>
      </c>
      <c r="N4965">
        <v>30</v>
      </c>
      <c r="O4965">
        <v>9</v>
      </c>
      <c r="P4965" t="s">
        <v>515</v>
      </c>
      <c r="Q4965" s="97" t="str">
        <f t="shared" si="632"/>
        <v/>
      </c>
      <c r="R4965" t="str">
        <f t="shared" si="633"/>
        <v/>
      </c>
    </row>
    <row r="4966" spans="3:18">
      <c r="C4966" t="str">
        <f t="shared" si="627"/>
        <v>NL</v>
      </c>
      <c r="D4966">
        <v>478</v>
      </c>
      <c r="E4966">
        <v>210</v>
      </c>
      <c r="F4966" s="366">
        <f t="shared" si="628"/>
        <v>4557</v>
      </c>
      <c r="G4966" s="97">
        <v>7170</v>
      </c>
      <c r="H4966" s="367">
        <f t="shared" si="629"/>
        <v>11727</v>
      </c>
      <c r="I4966" s="368">
        <f t="shared" si="630"/>
        <v>0</v>
      </c>
      <c r="J4966">
        <v>18096</v>
      </c>
      <c r="K4966" s="367">
        <f t="shared" si="631"/>
        <v>12925.714285714286</v>
      </c>
      <c r="L4966">
        <v>1.24</v>
      </c>
      <c r="M4966">
        <v>9.6</v>
      </c>
      <c r="N4966">
        <v>35</v>
      </c>
      <c r="O4966">
        <v>9</v>
      </c>
      <c r="P4966" t="s">
        <v>514</v>
      </c>
      <c r="Q4966" s="97" t="str">
        <f t="shared" si="632"/>
        <v/>
      </c>
      <c r="R4966" t="str">
        <f t="shared" si="633"/>
        <v/>
      </c>
    </row>
    <row r="4967" spans="3:18">
      <c r="C4967" t="str">
        <f t="shared" si="627"/>
        <v/>
      </c>
      <c r="D4967">
        <v>479</v>
      </c>
      <c r="E4967">
        <v>210</v>
      </c>
      <c r="F4967" s="366">
        <f t="shared" si="628"/>
        <v>4557</v>
      </c>
      <c r="G4967" s="97">
        <v>4974</v>
      </c>
      <c r="H4967" s="367">
        <f t="shared" si="629"/>
        <v>9531</v>
      </c>
      <c r="I4967" s="368">
        <f t="shared" si="630"/>
        <v>0</v>
      </c>
      <c r="J4967">
        <v>12555</v>
      </c>
      <c r="K4967" s="367">
        <f t="shared" si="631"/>
        <v>8967.8571428571431</v>
      </c>
      <c r="L4967">
        <v>0.35000000000000003</v>
      </c>
      <c r="M4967">
        <v>1.4000000000000001</v>
      </c>
      <c r="N4967">
        <v>30</v>
      </c>
      <c r="O4967">
        <v>10</v>
      </c>
      <c r="P4967" t="s">
        <v>515</v>
      </c>
      <c r="Q4967" s="97" t="str">
        <f t="shared" si="632"/>
        <v/>
      </c>
      <c r="R4967" t="str">
        <f t="shared" si="633"/>
        <v/>
      </c>
    </row>
    <row r="4968" spans="3:18">
      <c r="C4968" t="str">
        <f t="shared" si="627"/>
        <v/>
      </c>
      <c r="D4968">
        <v>480</v>
      </c>
      <c r="E4968">
        <v>210</v>
      </c>
      <c r="F4968" s="366">
        <f t="shared" si="628"/>
        <v>4557</v>
      </c>
      <c r="G4968" s="97">
        <v>7615</v>
      </c>
      <c r="H4968" s="367">
        <f t="shared" si="629"/>
        <v>12172</v>
      </c>
      <c r="I4968" s="368">
        <f t="shared" si="630"/>
        <v>0</v>
      </c>
      <c r="J4968">
        <v>19219</v>
      </c>
      <c r="K4968" s="367">
        <f t="shared" si="631"/>
        <v>13727.857142857143</v>
      </c>
      <c r="L4968">
        <v>1.05</v>
      </c>
      <c r="M4968">
        <v>1.4000000000000001</v>
      </c>
      <c r="N4968">
        <v>35</v>
      </c>
      <c r="O4968">
        <v>10</v>
      </c>
      <c r="P4968" t="s">
        <v>514</v>
      </c>
      <c r="Q4968" s="97" t="str">
        <f t="shared" si="632"/>
        <v/>
      </c>
      <c r="R4968" t="str">
        <f t="shared" si="633"/>
        <v/>
      </c>
    </row>
    <row r="4969" spans="3:18">
      <c r="C4969" t="str">
        <f t="shared" si="627"/>
        <v/>
      </c>
      <c r="D4969">
        <v>481</v>
      </c>
      <c r="E4969">
        <v>215</v>
      </c>
      <c r="F4969" s="366">
        <f t="shared" si="628"/>
        <v>4665.5</v>
      </c>
      <c r="G4969" s="97">
        <v>3531</v>
      </c>
      <c r="H4969" s="367">
        <f t="shared" si="629"/>
        <v>8196.5</v>
      </c>
      <c r="I4969" s="368">
        <f t="shared" si="630"/>
        <v>0</v>
      </c>
      <c r="J4969">
        <v>8912</v>
      </c>
      <c r="K4969" s="367">
        <f t="shared" si="631"/>
        <v>6365.7142857142862</v>
      </c>
      <c r="L4969">
        <v>0.85</v>
      </c>
      <c r="M4969">
        <v>6.6</v>
      </c>
      <c r="N4969">
        <v>31</v>
      </c>
      <c r="O4969">
        <v>6</v>
      </c>
      <c r="P4969" t="s">
        <v>515</v>
      </c>
      <c r="Q4969" s="97" t="str">
        <f t="shared" ref="Q4969:Q5032" si="634">IF(AND(H4969+1&gt;$E$4,L4969&lt;$L$4+0.01,M4969&lt;$M$4+0.01,K4969+1&gt;$F$4,E4969+1&gt;$J$4,N4969&lt;$K$4+1,O4969&lt;$P$4+1,C4969=""),D4969,"")</f>
        <v/>
      </c>
      <c r="R4969" t="str">
        <f t="shared" ref="R4969:R5032" si="635">IF(Q4969="","",IF(AND(O4969&lt;$X$38,E4969&gt;$U$38,E4969&lt;$Q$4+$U$38+1),D4969,""))</f>
        <v/>
      </c>
    </row>
    <row r="4970" spans="3:18">
      <c r="C4970" t="str">
        <f t="shared" si="627"/>
        <v>NL</v>
      </c>
      <c r="D4970">
        <v>482</v>
      </c>
      <c r="E4970">
        <v>215</v>
      </c>
      <c r="F4970" s="366">
        <f t="shared" si="628"/>
        <v>4665.5</v>
      </c>
      <c r="G4970" s="97">
        <v>4624</v>
      </c>
      <c r="H4970" s="367">
        <f t="shared" si="629"/>
        <v>9289.5</v>
      </c>
      <c r="I4970" s="368">
        <f t="shared" si="630"/>
        <v>0</v>
      </c>
      <c r="J4970">
        <v>11670</v>
      </c>
      <c r="K4970" s="367">
        <f t="shared" si="631"/>
        <v>8335.7142857142862</v>
      </c>
      <c r="L4970">
        <v>0.65</v>
      </c>
      <c r="M4970">
        <v>7.6</v>
      </c>
      <c r="N4970">
        <v>30</v>
      </c>
      <c r="O4970">
        <v>7</v>
      </c>
      <c r="P4970" t="s">
        <v>515</v>
      </c>
      <c r="Q4970" s="97" t="str">
        <f t="shared" si="634"/>
        <v/>
      </c>
      <c r="R4970" t="str">
        <f t="shared" si="635"/>
        <v/>
      </c>
    </row>
    <row r="4971" spans="3:18">
      <c r="C4971" t="str">
        <f t="shared" si="627"/>
        <v/>
      </c>
      <c r="D4971">
        <v>483</v>
      </c>
      <c r="E4971">
        <v>215</v>
      </c>
      <c r="F4971" s="366">
        <f t="shared" si="628"/>
        <v>4665.5</v>
      </c>
      <c r="G4971" s="97">
        <v>3794</v>
      </c>
      <c r="H4971" s="367">
        <f t="shared" si="629"/>
        <v>8459.5</v>
      </c>
      <c r="I4971" s="368">
        <f t="shared" si="630"/>
        <v>0</v>
      </c>
      <c r="J4971">
        <v>9577</v>
      </c>
      <c r="K4971" s="367">
        <f t="shared" si="631"/>
        <v>6840.7142857142862</v>
      </c>
      <c r="L4971">
        <v>0.52</v>
      </c>
      <c r="M4971">
        <v>8.5</v>
      </c>
      <c r="N4971">
        <v>30</v>
      </c>
      <c r="O4971">
        <v>8</v>
      </c>
      <c r="P4971" t="s">
        <v>515</v>
      </c>
      <c r="Q4971" s="97">
        <f t="shared" si="634"/>
        <v>483</v>
      </c>
      <c r="R4971" t="str">
        <f t="shared" si="635"/>
        <v/>
      </c>
    </row>
    <row r="4972" spans="3:18">
      <c r="C4972" t="str">
        <f t="shared" si="627"/>
        <v>NL</v>
      </c>
      <c r="D4972">
        <v>484</v>
      </c>
      <c r="E4972">
        <v>215</v>
      </c>
      <c r="F4972" s="366">
        <f t="shared" si="628"/>
        <v>4665.5</v>
      </c>
      <c r="G4972" s="97">
        <v>4933</v>
      </c>
      <c r="H4972" s="367">
        <f t="shared" si="629"/>
        <v>9598.5</v>
      </c>
      <c r="I4972" s="368">
        <f t="shared" si="630"/>
        <v>0</v>
      </c>
      <c r="J4972">
        <v>12451</v>
      </c>
      <c r="K4972" s="367">
        <f t="shared" si="631"/>
        <v>8893.5714285714294</v>
      </c>
      <c r="L4972">
        <v>0.43</v>
      </c>
      <c r="M4972">
        <v>9.6</v>
      </c>
      <c r="N4972">
        <v>31</v>
      </c>
      <c r="O4972">
        <v>9</v>
      </c>
      <c r="P4972" t="s">
        <v>515</v>
      </c>
      <c r="Q4972" s="97" t="str">
        <f t="shared" si="634"/>
        <v/>
      </c>
      <c r="R4972" t="str">
        <f t="shared" si="635"/>
        <v/>
      </c>
    </row>
    <row r="4973" spans="3:18">
      <c r="C4973" t="str">
        <f t="shared" si="627"/>
        <v/>
      </c>
      <c r="D4973">
        <v>485</v>
      </c>
      <c r="E4973">
        <v>215</v>
      </c>
      <c r="F4973" s="366">
        <f t="shared" si="628"/>
        <v>4665.5</v>
      </c>
      <c r="G4973" s="97">
        <v>5054</v>
      </c>
      <c r="H4973" s="367">
        <f t="shared" si="629"/>
        <v>9719.5</v>
      </c>
      <c r="I4973" s="368">
        <f t="shared" si="630"/>
        <v>0</v>
      </c>
      <c r="J4973">
        <v>12755</v>
      </c>
      <c r="K4973" s="367">
        <f t="shared" si="631"/>
        <v>9110.7142857142862</v>
      </c>
      <c r="L4973">
        <v>0.37</v>
      </c>
      <c r="M4973">
        <v>1.4000000000000001</v>
      </c>
      <c r="N4973">
        <v>31</v>
      </c>
      <c r="O4973">
        <v>10</v>
      </c>
      <c r="P4973" t="s">
        <v>515</v>
      </c>
      <c r="Q4973" s="97" t="str">
        <f t="shared" si="634"/>
        <v/>
      </c>
      <c r="R4973" t="str">
        <f t="shared" si="635"/>
        <v/>
      </c>
    </row>
    <row r="4974" spans="3:18">
      <c r="C4974" t="str">
        <f t="shared" si="627"/>
        <v/>
      </c>
      <c r="D4974">
        <v>486</v>
      </c>
      <c r="E4974">
        <v>215</v>
      </c>
      <c r="F4974" s="366">
        <f t="shared" si="628"/>
        <v>4665.5</v>
      </c>
      <c r="G4974" s="97">
        <v>7725</v>
      </c>
      <c r="H4974" s="367">
        <f t="shared" si="629"/>
        <v>12390.5</v>
      </c>
      <c r="I4974" s="368">
        <f t="shared" si="630"/>
        <v>0</v>
      </c>
      <c r="J4974">
        <v>19497</v>
      </c>
      <c r="K4974" s="367">
        <f t="shared" si="631"/>
        <v>13926.428571428572</v>
      </c>
      <c r="L4974">
        <v>1.1100000000000001</v>
      </c>
      <c r="M4974">
        <v>1.4000000000000001</v>
      </c>
      <c r="N4974">
        <v>35</v>
      </c>
      <c r="O4974">
        <v>10</v>
      </c>
      <c r="P4974" t="s">
        <v>514</v>
      </c>
      <c r="Q4974" s="97" t="str">
        <f t="shared" si="634"/>
        <v/>
      </c>
      <c r="R4974" t="str">
        <f t="shared" si="635"/>
        <v/>
      </c>
    </row>
    <row r="4975" spans="3:18">
      <c r="C4975" t="str">
        <f t="shared" si="627"/>
        <v/>
      </c>
      <c r="D4975">
        <v>487</v>
      </c>
      <c r="E4975">
        <v>220</v>
      </c>
      <c r="F4975" s="366">
        <f t="shared" si="628"/>
        <v>4774</v>
      </c>
      <c r="G4975" s="97">
        <v>3586</v>
      </c>
      <c r="H4975" s="367">
        <f t="shared" si="629"/>
        <v>8360</v>
      </c>
      <c r="I4975" s="368">
        <f t="shared" si="630"/>
        <v>0</v>
      </c>
      <c r="J4975">
        <v>9051</v>
      </c>
      <c r="K4975" s="367">
        <f t="shared" si="631"/>
        <v>6465</v>
      </c>
      <c r="L4975">
        <v>0.89</v>
      </c>
      <c r="M4975">
        <v>6.6</v>
      </c>
      <c r="N4975">
        <v>31</v>
      </c>
      <c r="O4975">
        <v>6</v>
      </c>
      <c r="P4975" t="s">
        <v>515</v>
      </c>
      <c r="Q4975" s="97" t="str">
        <f t="shared" si="634"/>
        <v/>
      </c>
      <c r="R4975" t="str">
        <f t="shared" si="635"/>
        <v/>
      </c>
    </row>
    <row r="4976" spans="3:18">
      <c r="C4976" t="str">
        <f t="shared" si="627"/>
        <v>NL</v>
      </c>
      <c r="D4976">
        <v>488</v>
      </c>
      <c r="E4976">
        <v>220</v>
      </c>
      <c r="F4976" s="366">
        <f t="shared" si="628"/>
        <v>4774</v>
      </c>
      <c r="G4976" s="97">
        <v>4692</v>
      </c>
      <c r="H4976" s="367">
        <f t="shared" si="629"/>
        <v>9466</v>
      </c>
      <c r="I4976" s="368">
        <f t="shared" si="630"/>
        <v>0</v>
      </c>
      <c r="J4976">
        <v>11842</v>
      </c>
      <c r="K4976" s="367">
        <f t="shared" si="631"/>
        <v>8458.5714285714294</v>
      </c>
      <c r="L4976">
        <v>0.68</v>
      </c>
      <c r="M4976">
        <v>7.6</v>
      </c>
      <c r="N4976">
        <v>31</v>
      </c>
      <c r="O4976">
        <v>7</v>
      </c>
      <c r="P4976" t="s">
        <v>515</v>
      </c>
      <c r="Q4976" s="97" t="str">
        <f t="shared" si="634"/>
        <v/>
      </c>
      <c r="R4976" t="str">
        <f t="shared" si="635"/>
        <v/>
      </c>
    </row>
    <row r="4977" spans="3:18">
      <c r="C4977" t="str">
        <f t="shared" si="627"/>
        <v/>
      </c>
      <c r="D4977">
        <v>489</v>
      </c>
      <c r="E4977">
        <v>220</v>
      </c>
      <c r="F4977" s="366">
        <f t="shared" si="628"/>
        <v>4774</v>
      </c>
      <c r="G4977" s="97">
        <v>3860</v>
      </c>
      <c r="H4977" s="367">
        <f t="shared" si="629"/>
        <v>8634</v>
      </c>
      <c r="I4977" s="368">
        <f t="shared" si="630"/>
        <v>0</v>
      </c>
      <c r="J4977">
        <v>9742</v>
      </c>
      <c r="K4977" s="367">
        <f t="shared" si="631"/>
        <v>6958.5714285714284</v>
      </c>
      <c r="L4977">
        <v>0.54</v>
      </c>
      <c r="M4977">
        <v>8.5</v>
      </c>
      <c r="N4977">
        <v>31</v>
      </c>
      <c r="O4977">
        <v>8</v>
      </c>
      <c r="P4977" t="s">
        <v>515</v>
      </c>
      <c r="Q4977" s="97">
        <f t="shared" si="634"/>
        <v>489</v>
      </c>
      <c r="R4977" t="str">
        <f t="shared" si="635"/>
        <v/>
      </c>
    </row>
    <row r="4978" spans="3:18">
      <c r="C4978" t="str">
        <f t="shared" si="627"/>
        <v>NL</v>
      </c>
      <c r="D4978">
        <v>490</v>
      </c>
      <c r="E4978">
        <v>220</v>
      </c>
      <c r="F4978" s="366">
        <f t="shared" si="628"/>
        <v>4774</v>
      </c>
      <c r="G4978" s="97">
        <v>5014</v>
      </c>
      <c r="H4978" s="367">
        <f t="shared" si="629"/>
        <v>9788</v>
      </c>
      <c r="I4978" s="368">
        <f t="shared" si="630"/>
        <v>0</v>
      </c>
      <c r="J4978">
        <v>12655</v>
      </c>
      <c r="K4978" s="367">
        <f t="shared" si="631"/>
        <v>9039.2857142857138</v>
      </c>
      <c r="L4978">
        <v>0.45</v>
      </c>
      <c r="M4978">
        <v>9.6</v>
      </c>
      <c r="N4978">
        <v>31</v>
      </c>
      <c r="O4978">
        <v>9</v>
      </c>
      <c r="P4978" t="s">
        <v>515</v>
      </c>
      <c r="Q4978" s="97" t="str">
        <f t="shared" si="634"/>
        <v/>
      </c>
      <c r="R4978" t="str">
        <f t="shared" si="635"/>
        <v/>
      </c>
    </row>
    <row r="4979" spans="3:18">
      <c r="C4979" t="str">
        <f t="shared" si="627"/>
        <v/>
      </c>
      <c r="D4979">
        <v>491</v>
      </c>
      <c r="E4979">
        <v>220</v>
      </c>
      <c r="F4979" s="366">
        <f t="shared" si="628"/>
        <v>4774</v>
      </c>
      <c r="G4979" s="97">
        <v>5133</v>
      </c>
      <c r="H4979" s="367">
        <f t="shared" si="629"/>
        <v>9907</v>
      </c>
      <c r="I4979" s="368">
        <f t="shared" si="630"/>
        <v>0</v>
      </c>
      <c r="J4979">
        <v>12955</v>
      </c>
      <c r="K4979" s="367">
        <f t="shared" si="631"/>
        <v>9253.5714285714294</v>
      </c>
      <c r="L4979">
        <v>0.38</v>
      </c>
      <c r="M4979">
        <v>1.4000000000000001</v>
      </c>
      <c r="N4979">
        <v>31</v>
      </c>
      <c r="O4979">
        <v>10</v>
      </c>
      <c r="P4979" t="s">
        <v>515</v>
      </c>
      <c r="Q4979" s="97" t="str">
        <f t="shared" si="634"/>
        <v/>
      </c>
      <c r="R4979" t="str">
        <f t="shared" si="635"/>
        <v/>
      </c>
    </row>
    <row r="4980" spans="3:18">
      <c r="C4980" t="str">
        <f t="shared" si="627"/>
        <v/>
      </c>
      <c r="D4980">
        <v>492</v>
      </c>
      <c r="E4980">
        <v>220</v>
      </c>
      <c r="F4980" s="366">
        <f t="shared" si="628"/>
        <v>4774</v>
      </c>
      <c r="G4980" s="97">
        <v>7835</v>
      </c>
      <c r="H4980" s="367">
        <f t="shared" si="629"/>
        <v>12609</v>
      </c>
      <c r="I4980" s="368">
        <f t="shared" si="630"/>
        <v>0</v>
      </c>
      <c r="J4980">
        <v>19775</v>
      </c>
      <c r="K4980" s="367">
        <f t="shared" si="631"/>
        <v>14125</v>
      </c>
      <c r="L4980">
        <v>1.1599999999999999</v>
      </c>
      <c r="M4980">
        <v>1.4000000000000001</v>
      </c>
      <c r="N4980">
        <v>36</v>
      </c>
      <c r="O4980">
        <v>10</v>
      </c>
      <c r="P4980" t="s">
        <v>514</v>
      </c>
      <c r="Q4980" s="97" t="str">
        <f t="shared" si="634"/>
        <v/>
      </c>
      <c r="R4980" t="str">
        <f t="shared" si="635"/>
        <v/>
      </c>
    </row>
    <row r="4981" spans="3:18">
      <c r="C4981" t="str">
        <f t="shared" si="627"/>
        <v/>
      </c>
      <c r="D4981">
        <v>493</v>
      </c>
      <c r="E4981">
        <v>225</v>
      </c>
      <c r="F4981" s="366">
        <f t="shared" si="628"/>
        <v>4882.5</v>
      </c>
      <c r="G4981" s="97">
        <v>3641</v>
      </c>
      <c r="H4981" s="367">
        <f t="shared" si="629"/>
        <v>8523.5</v>
      </c>
      <c r="I4981" s="368">
        <f t="shared" si="630"/>
        <v>0</v>
      </c>
      <c r="J4981">
        <v>9190</v>
      </c>
      <c r="K4981" s="367">
        <f t="shared" si="631"/>
        <v>6564.2857142857147</v>
      </c>
      <c r="L4981">
        <v>0.93</v>
      </c>
      <c r="M4981">
        <v>6.6</v>
      </c>
      <c r="N4981">
        <v>32</v>
      </c>
      <c r="O4981">
        <v>6</v>
      </c>
      <c r="P4981" t="s">
        <v>515</v>
      </c>
      <c r="Q4981" s="97" t="str">
        <f t="shared" si="634"/>
        <v/>
      </c>
      <c r="R4981" t="str">
        <f t="shared" si="635"/>
        <v/>
      </c>
    </row>
    <row r="4982" spans="3:18">
      <c r="C4982" t="str">
        <f t="shared" si="627"/>
        <v>NL</v>
      </c>
      <c r="D4982">
        <v>494</v>
      </c>
      <c r="E4982">
        <v>225</v>
      </c>
      <c r="F4982" s="366">
        <f t="shared" si="628"/>
        <v>4882.5</v>
      </c>
      <c r="G4982" s="97">
        <v>4760</v>
      </c>
      <c r="H4982" s="367">
        <f t="shared" si="629"/>
        <v>9642.5</v>
      </c>
      <c r="I4982" s="368">
        <f t="shared" si="630"/>
        <v>0</v>
      </c>
      <c r="J4982">
        <v>12014</v>
      </c>
      <c r="K4982" s="367">
        <f t="shared" si="631"/>
        <v>8581.4285714285725</v>
      </c>
      <c r="L4982">
        <v>0.71</v>
      </c>
      <c r="M4982">
        <v>7.6</v>
      </c>
      <c r="N4982">
        <v>31</v>
      </c>
      <c r="O4982">
        <v>7</v>
      </c>
      <c r="P4982" t="s">
        <v>515</v>
      </c>
      <c r="Q4982" s="97" t="str">
        <f t="shared" si="634"/>
        <v/>
      </c>
      <c r="R4982" t="str">
        <f t="shared" si="635"/>
        <v/>
      </c>
    </row>
    <row r="4983" spans="3:18">
      <c r="C4983" t="str">
        <f t="shared" si="627"/>
        <v/>
      </c>
      <c r="D4983">
        <v>495</v>
      </c>
      <c r="E4983">
        <v>225</v>
      </c>
      <c r="F4983" s="366">
        <f t="shared" si="628"/>
        <v>4882.5</v>
      </c>
      <c r="G4983" s="97">
        <v>3919</v>
      </c>
      <c r="H4983" s="367">
        <f t="shared" si="629"/>
        <v>8801.5</v>
      </c>
      <c r="I4983" s="368">
        <f t="shared" si="630"/>
        <v>0</v>
      </c>
      <c r="J4983">
        <v>9891</v>
      </c>
      <c r="K4983" s="367">
        <f t="shared" si="631"/>
        <v>7065</v>
      </c>
      <c r="L4983">
        <v>0.57000000000000006</v>
      </c>
      <c r="M4983">
        <v>8.5</v>
      </c>
      <c r="N4983">
        <v>31</v>
      </c>
      <c r="O4983">
        <v>8</v>
      </c>
      <c r="P4983" t="s">
        <v>515</v>
      </c>
      <c r="Q4983" s="97">
        <f t="shared" si="634"/>
        <v>495</v>
      </c>
      <c r="R4983" t="str">
        <f t="shared" si="635"/>
        <v/>
      </c>
    </row>
    <row r="4984" spans="3:18">
      <c r="C4984" t="str">
        <f t="shared" si="627"/>
        <v>NL</v>
      </c>
      <c r="D4984">
        <v>496</v>
      </c>
      <c r="E4984">
        <v>225</v>
      </c>
      <c r="F4984" s="366">
        <f t="shared" si="628"/>
        <v>4882.5</v>
      </c>
      <c r="G4984" s="97">
        <v>5095</v>
      </c>
      <c r="H4984" s="367">
        <f t="shared" si="629"/>
        <v>9977.5</v>
      </c>
      <c r="I4984" s="368">
        <f t="shared" si="630"/>
        <v>0</v>
      </c>
      <c r="J4984">
        <v>12860</v>
      </c>
      <c r="K4984" s="367">
        <f t="shared" si="631"/>
        <v>9185.7142857142862</v>
      </c>
      <c r="L4984">
        <v>0.47000000000000003</v>
      </c>
      <c r="M4984">
        <v>9.6</v>
      </c>
      <c r="N4984">
        <v>32</v>
      </c>
      <c r="O4984">
        <v>9</v>
      </c>
      <c r="P4984" t="s">
        <v>515</v>
      </c>
      <c r="Q4984" s="97" t="str">
        <f t="shared" si="634"/>
        <v/>
      </c>
      <c r="R4984" t="str">
        <f t="shared" si="635"/>
        <v/>
      </c>
    </row>
    <row r="4985" spans="3:18">
      <c r="C4985" t="str">
        <f t="shared" si="627"/>
        <v/>
      </c>
      <c r="D4985">
        <v>497</v>
      </c>
      <c r="E4985">
        <v>225</v>
      </c>
      <c r="F4985" s="366">
        <f t="shared" si="628"/>
        <v>4882.5</v>
      </c>
      <c r="G4985" s="97">
        <v>5212</v>
      </c>
      <c r="H4985" s="367">
        <f t="shared" si="629"/>
        <v>10094.5</v>
      </c>
      <c r="I4985" s="368">
        <f t="shared" si="630"/>
        <v>0</v>
      </c>
      <c r="J4985">
        <v>13156</v>
      </c>
      <c r="K4985" s="367">
        <f t="shared" si="631"/>
        <v>9397.1428571428569</v>
      </c>
      <c r="L4985">
        <v>0.4</v>
      </c>
      <c r="M4985">
        <v>1.4000000000000001</v>
      </c>
      <c r="N4985">
        <v>32</v>
      </c>
      <c r="O4985">
        <v>10</v>
      </c>
      <c r="P4985" t="s">
        <v>515</v>
      </c>
      <c r="Q4985" s="97" t="str">
        <f t="shared" si="634"/>
        <v/>
      </c>
      <c r="R4985" t="str">
        <f t="shared" si="635"/>
        <v/>
      </c>
    </row>
    <row r="4986" spans="3:18">
      <c r="C4986" t="str">
        <f t="shared" si="627"/>
        <v/>
      </c>
      <c r="D4986">
        <v>498</v>
      </c>
      <c r="E4986">
        <v>225</v>
      </c>
      <c r="F4986" s="366">
        <f t="shared" si="628"/>
        <v>4882.5</v>
      </c>
      <c r="G4986" s="97">
        <v>7935</v>
      </c>
      <c r="H4986" s="367">
        <f t="shared" si="629"/>
        <v>12817.5</v>
      </c>
      <c r="I4986" s="368">
        <f t="shared" si="630"/>
        <v>0</v>
      </c>
      <c r="J4986">
        <v>20028</v>
      </c>
      <c r="K4986" s="367">
        <f t="shared" si="631"/>
        <v>14305.714285714286</v>
      </c>
      <c r="L4986">
        <v>1.21</v>
      </c>
      <c r="M4986">
        <v>1.4000000000000001</v>
      </c>
      <c r="N4986">
        <v>36</v>
      </c>
      <c r="O4986">
        <v>10</v>
      </c>
      <c r="P4986" t="s">
        <v>514</v>
      </c>
      <c r="Q4986" s="97" t="str">
        <f t="shared" si="634"/>
        <v/>
      </c>
      <c r="R4986" t="str">
        <f t="shared" si="635"/>
        <v/>
      </c>
    </row>
    <row r="4987" spans="3:18">
      <c r="C4987" t="str">
        <f t="shared" si="627"/>
        <v/>
      </c>
      <c r="D4987">
        <v>499</v>
      </c>
      <c r="E4987">
        <v>230</v>
      </c>
      <c r="F4987" s="366">
        <f t="shared" si="628"/>
        <v>4991</v>
      </c>
      <c r="G4987" s="97">
        <v>3696</v>
      </c>
      <c r="H4987" s="367">
        <f t="shared" si="629"/>
        <v>8687</v>
      </c>
      <c r="I4987" s="368">
        <f t="shared" si="630"/>
        <v>0</v>
      </c>
      <c r="J4987">
        <v>9329</v>
      </c>
      <c r="K4987" s="367">
        <f t="shared" si="631"/>
        <v>6663.5714285714284</v>
      </c>
      <c r="L4987">
        <v>0.98</v>
      </c>
      <c r="M4987">
        <v>6.6</v>
      </c>
      <c r="N4987">
        <v>32</v>
      </c>
      <c r="O4987">
        <v>6</v>
      </c>
      <c r="P4987" t="s">
        <v>515</v>
      </c>
      <c r="Q4987" s="97" t="str">
        <f t="shared" si="634"/>
        <v/>
      </c>
      <c r="R4987" t="str">
        <f t="shared" si="635"/>
        <v/>
      </c>
    </row>
    <row r="4988" spans="3:18">
      <c r="C4988" t="str">
        <f t="shared" si="627"/>
        <v>NL</v>
      </c>
      <c r="D4988">
        <v>500</v>
      </c>
      <c r="E4988">
        <v>230</v>
      </c>
      <c r="F4988" s="366">
        <f t="shared" si="628"/>
        <v>4991</v>
      </c>
      <c r="G4988" s="97">
        <v>4828</v>
      </c>
      <c r="H4988" s="367">
        <f t="shared" si="629"/>
        <v>9819</v>
      </c>
      <c r="I4988" s="368">
        <f t="shared" si="630"/>
        <v>0</v>
      </c>
      <c r="J4988">
        <v>12186</v>
      </c>
      <c r="K4988" s="367">
        <f t="shared" si="631"/>
        <v>8704.2857142857138</v>
      </c>
      <c r="L4988">
        <v>0.74</v>
      </c>
      <c r="M4988">
        <v>7.6</v>
      </c>
      <c r="N4988">
        <v>32</v>
      </c>
      <c r="O4988">
        <v>7</v>
      </c>
      <c r="P4988" t="s">
        <v>515</v>
      </c>
      <c r="Q4988" s="97" t="str">
        <f t="shared" si="634"/>
        <v/>
      </c>
      <c r="R4988" t="str">
        <f t="shared" si="635"/>
        <v/>
      </c>
    </row>
    <row r="4989" spans="3:18">
      <c r="C4989" t="str">
        <f t="shared" si="627"/>
        <v/>
      </c>
      <c r="D4989">
        <v>501</v>
      </c>
      <c r="E4989">
        <v>230</v>
      </c>
      <c r="F4989" s="366">
        <f t="shared" si="628"/>
        <v>4991</v>
      </c>
      <c r="G4989" s="97">
        <v>3978</v>
      </c>
      <c r="H4989" s="367">
        <f t="shared" si="629"/>
        <v>8969</v>
      </c>
      <c r="I4989" s="368">
        <f t="shared" si="630"/>
        <v>0</v>
      </c>
      <c r="J4989">
        <v>10040</v>
      </c>
      <c r="K4989" s="367">
        <f t="shared" si="631"/>
        <v>7171.4285714285716</v>
      </c>
      <c r="L4989">
        <v>0.59</v>
      </c>
      <c r="M4989">
        <v>8.5</v>
      </c>
      <c r="N4989">
        <v>32</v>
      </c>
      <c r="O4989">
        <v>8</v>
      </c>
      <c r="P4989" t="s">
        <v>515</v>
      </c>
      <c r="Q4989" s="97">
        <f t="shared" si="634"/>
        <v>501</v>
      </c>
      <c r="R4989" t="str">
        <f t="shared" si="635"/>
        <v/>
      </c>
    </row>
    <row r="4990" spans="3:18">
      <c r="C4990" t="str">
        <f t="shared" si="627"/>
        <v>NL</v>
      </c>
      <c r="D4990">
        <v>502</v>
      </c>
      <c r="E4990">
        <v>230</v>
      </c>
      <c r="F4990" s="366">
        <f t="shared" si="628"/>
        <v>4991</v>
      </c>
      <c r="G4990" s="97">
        <v>5172</v>
      </c>
      <c r="H4990" s="367">
        <f t="shared" si="629"/>
        <v>10163</v>
      </c>
      <c r="I4990" s="368">
        <f t="shared" si="630"/>
        <v>0</v>
      </c>
      <c r="J4990">
        <v>13053</v>
      </c>
      <c r="K4990" s="367">
        <f t="shared" si="631"/>
        <v>9323.5714285714294</v>
      </c>
      <c r="L4990">
        <v>0.49</v>
      </c>
      <c r="M4990">
        <v>9.6</v>
      </c>
      <c r="N4990">
        <v>32</v>
      </c>
      <c r="O4990">
        <v>9</v>
      </c>
      <c r="P4990" t="s">
        <v>515</v>
      </c>
      <c r="Q4990" s="97" t="str">
        <f t="shared" si="634"/>
        <v/>
      </c>
      <c r="R4990" t="str">
        <f t="shared" si="635"/>
        <v/>
      </c>
    </row>
    <row r="4991" spans="3:18">
      <c r="C4991" t="str">
        <f t="shared" si="627"/>
        <v/>
      </c>
      <c r="D4991">
        <v>503</v>
      </c>
      <c r="E4991">
        <v>230</v>
      </c>
      <c r="F4991" s="366">
        <f t="shared" si="628"/>
        <v>4991</v>
      </c>
      <c r="G4991" s="97">
        <v>5292</v>
      </c>
      <c r="H4991" s="367">
        <f t="shared" si="629"/>
        <v>10283</v>
      </c>
      <c r="I4991" s="368">
        <f t="shared" si="630"/>
        <v>0</v>
      </c>
      <c r="J4991">
        <v>13356</v>
      </c>
      <c r="K4991" s="367">
        <f t="shared" si="631"/>
        <v>9540</v>
      </c>
      <c r="L4991">
        <v>0.42</v>
      </c>
      <c r="M4991">
        <v>1.4000000000000001</v>
      </c>
      <c r="N4991">
        <v>32</v>
      </c>
      <c r="O4991">
        <v>10</v>
      </c>
      <c r="P4991" t="s">
        <v>515</v>
      </c>
      <c r="Q4991" s="97" t="str">
        <f t="shared" si="634"/>
        <v/>
      </c>
      <c r="R4991" t="str">
        <f t="shared" si="635"/>
        <v/>
      </c>
    </row>
    <row r="4992" spans="3:18">
      <c r="C4992" t="str">
        <f t="shared" si="627"/>
        <v/>
      </c>
      <c r="D4992">
        <v>504</v>
      </c>
      <c r="E4992">
        <v>230</v>
      </c>
      <c r="F4992" s="366">
        <f t="shared" si="628"/>
        <v>4991</v>
      </c>
      <c r="G4992" s="97">
        <v>8036</v>
      </c>
      <c r="H4992" s="367">
        <f t="shared" si="629"/>
        <v>13027</v>
      </c>
      <c r="I4992" s="368">
        <f t="shared" si="630"/>
        <v>0</v>
      </c>
      <c r="J4992">
        <v>20282</v>
      </c>
      <c r="K4992" s="367">
        <f t="shared" si="631"/>
        <v>14487.142857142857</v>
      </c>
      <c r="L4992">
        <v>1.26</v>
      </c>
      <c r="M4992">
        <v>1.4000000000000001</v>
      </c>
      <c r="N4992">
        <v>36</v>
      </c>
      <c r="O4992">
        <v>10</v>
      </c>
      <c r="P4992" t="s">
        <v>514</v>
      </c>
      <c r="Q4992" s="97" t="str">
        <f t="shared" si="634"/>
        <v/>
      </c>
      <c r="R4992" t="str">
        <f t="shared" si="635"/>
        <v/>
      </c>
    </row>
    <row r="4993" spans="3:18">
      <c r="C4993" t="str">
        <f t="shared" si="627"/>
        <v/>
      </c>
      <c r="D4993">
        <v>505</v>
      </c>
      <c r="E4993">
        <v>235</v>
      </c>
      <c r="F4993" s="366">
        <f t="shared" si="628"/>
        <v>5099.5</v>
      </c>
      <c r="G4993" s="97">
        <v>3751</v>
      </c>
      <c r="H4993" s="367">
        <f t="shared" si="629"/>
        <v>8850.5</v>
      </c>
      <c r="I4993" s="368">
        <f t="shared" si="630"/>
        <v>0</v>
      </c>
      <c r="J4993">
        <v>9468</v>
      </c>
      <c r="K4993" s="367">
        <f t="shared" si="631"/>
        <v>6762.8571428571431</v>
      </c>
      <c r="L4993">
        <v>1.02</v>
      </c>
      <c r="M4993">
        <v>6.6</v>
      </c>
      <c r="N4993">
        <v>33</v>
      </c>
      <c r="O4993">
        <v>6</v>
      </c>
      <c r="P4993" t="s">
        <v>515</v>
      </c>
      <c r="Q4993" s="97" t="str">
        <f t="shared" si="634"/>
        <v/>
      </c>
      <c r="R4993" t="str">
        <f t="shared" si="635"/>
        <v/>
      </c>
    </row>
    <row r="4994" spans="3:18">
      <c r="C4994" t="str">
        <f t="shared" si="627"/>
        <v>NL</v>
      </c>
      <c r="D4994">
        <v>506</v>
      </c>
      <c r="E4994">
        <v>235</v>
      </c>
      <c r="F4994" s="366">
        <f t="shared" si="628"/>
        <v>5099.5</v>
      </c>
      <c r="G4994" s="97">
        <v>4896</v>
      </c>
      <c r="H4994" s="367">
        <f t="shared" si="629"/>
        <v>9995.5</v>
      </c>
      <c r="I4994" s="368">
        <f t="shared" si="630"/>
        <v>0</v>
      </c>
      <c r="J4994">
        <v>12358</v>
      </c>
      <c r="K4994" s="367">
        <f t="shared" si="631"/>
        <v>8827.1428571428569</v>
      </c>
      <c r="L4994">
        <v>0.77</v>
      </c>
      <c r="M4994">
        <v>7.6</v>
      </c>
      <c r="N4994">
        <v>32</v>
      </c>
      <c r="O4994">
        <v>7</v>
      </c>
      <c r="P4994" t="s">
        <v>515</v>
      </c>
      <c r="Q4994" s="97" t="str">
        <f t="shared" si="634"/>
        <v/>
      </c>
      <c r="R4994" t="str">
        <f t="shared" si="635"/>
        <v/>
      </c>
    </row>
    <row r="4995" spans="3:18">
      <c r="C4995" t="str">
        <f t="shared" si="627"/>
        <v/>
      </c>
      <c r="D4995">
        <v>507</v>
      </c>
      <c r="E4995">
        <v>235</v>
      </c>
      <c r="F4995" s="366">
        <f t="shared" si="628"/>
        <v>5099.5</v>
      </c>
      <c r="G4995" s="97">
        <v>4037</v>
      </c>
      <c r="H4995" s="367">
        <f t="shared" si="629"/>
        <v>9136.5</v>
      </c>
      <c r="I4995" s="368">
        <f t="shared" si="630"/>
        <v>0</v>
      </c>
      <c r="J4995">
        <v>10188</v>
      </c>
      <c r="K4995" s="367">
        <f t="shared" si="631"/>
        <v>7277.1428571428569</v>
      </c>
      <c r="L4995">
        <v>0.62</v>
      </c>
      <c r="M4995">
        <v>8.5</v>
      </c>
      <c r="N4995">
        <v>32</v>
      </c>
      <c r="O4995">
        <v>8</v>
      </c>
      <c r="P4995" t="s">
        <v>515</v>
      </c>
      <c r="Q4995" s="97">
        <f t="shared" si="634"/>
        <v>507</v>
      </c>
      <c r="R4995" t="str">
        <f t="shared" si="635"/>
        <v/>
      </c>
    </row>
    <row r="4996" spans="3:18">
      <c r="C4996" t="str">
        <f t="shared" si="627"/>
        <v>NL</v>
      </c>
      <c r="D4996">
        <v>508</v>
      </c>
      <c r="E4996">
        <v>235</v>
      </c>
      <c r="F4996" s="366">
        <f t="shared" si="628"/>
        <v>5099.5</v>
      </c>
      <c r="G4996" s="97">
        <v>5244</v>
      </c>
      <c r="H4996" s="367">
        <f t="shared" si="629"/>
        <v>10343.5</v>
      </c>
      <c r="I4996" s="368">
        <f t="shared" si="630"/>
        <v>0</v>
      </c>
      <c r="J4996">
        <v>13235</v>
      </c>
      <c r="K4996" s="367">
        <f t="shared" si="631"/>
        <v>9453.5714285714294</v>
      </c>
      <c r="L4996">
        <v>0.51</v>
      </c>
      <c r="M4996">
        <v>9.6</v>
      </c>
      <c r="N4996">
        <v>33</v>
      </c>
      <c r="O4996">
        <v>9</v>
      </c>
      <c r="P4996" t="s">
        <v>515</v>
      </c>
      <c r="Q4996" s="97" t="str">
        <f t="shared" si="634"/>
        <v/>
      </c>
      <c r="R4996" t="str">
        <f t="shared" si="635"/>
        <v/>
      </c>
    </row>
    <row r="4997" spans="3:18">
      <c r="C4997" t="str">
        <f t="shared" si="627"/>
        <v/>
      </c>
      <c r="D4997">
        <v>509</v>
      </c>
      <c r="E4997">
        <v>235</v>
      </c>
      <c r="F4997" s="366">
        <f t="shared" si="628"/>
        <v>5099.5</v>
      </c>
      <c r="G4997" s="97">
        <v>5371</v>
      </c>
      <c r="H4997" s="367">
        <f t="shared" si="629"/>
        <v>10470.5</v>
      </c>
      <c r="I4997" s="368">
        <f t="shared" si="630"/>
        <v>0</v>
      </c>
      <c r="J4997">
        <v>13557</v>
      </c>
      <c r="K4997" s="367">
        <f t="shared" si="631"/>
        <v>9683.5714285714294</v>
      </c>
      <c r="L4997">
        <v>0.44</v>
      </c>
      <c r="M4997">
        <v>1.4000000000000001</v>
      </c>
      <c r="N4997">
        <v>33</v>
      </c>
      <c r="O4997">
        <v>10</v>
      </c>
      <c r="P4997" t="s">
        <v>515</v>
      </c>
      <c r="Q4997" s="97" t="str">
        <f t="shared" si="634"/>
        <v/>
      </c>
      <c r="R4997" t="str">
        <f t="shared" si="635"/>
        <v/>
      </c>
    </row>
    <row r="4998" spans="3:18">
      <c r="C4998" t="str">
        <f t="shared" si="627"/>
        <v/>
      </c>
      <c r="D4998">
        <v>510</v>
      </c>
      <c r="E4998">
        <v>235</v>
      </c>
      <c r="F4998" s="366">
        <f t="shared" si="628"/>
        <v>5099.5</v>
      </c>
      <c r="G4998" s="97">
        <v>8136</v>
      </c>
      <c r="H4998" s="367">
        <f t="shared" si="629"/>
        <v>13235.5</v>
      </c>
      <c r="I4998" s="368">
        <f t="shared" si="630"/>
        <v>0</v>
      </c>
      <c r="J4998">
        <v>20536</v>
      </c>
      <c r="K4998" s="367">
        <f t="shared" si="631"/>
        <v>14668.571428571429</v>
      </c>
      <c r="L4998">
        <v>1.32</v>
      </c>
      <c r="M4998">
        <v>1.4000000000000001</v>
      </c>
      <c r="N4998">
        <v>36</v>
      </c>
      <c r="O4998">
        <v>10</v>
      </c>
      <c r="P4998" t="s">
        <v>514</v>
      </c>
      <c r="Q4998" s="97" t="str">
        <f t="shared" si="634"/>
        <v/>
      </c>
      <c r="R4998" t="str">
        <f t="shared" si="635"/>
        <v/>
      </c>
    </row>
    <row r="4999" spans="3:18">
      <c r="C4999" t="str">
        <f t="shared" si="627"/>
        <v>NL</v>
      </c>
      <c r="D4999">
        <v>511</v>
      </c>
      <c r="E4999">
        <v>240</v>
      </c>
      <c r="F4999" s="366">
        <f t="shared" si="628"/>
        <v>5208</v>
      </c>
      <c r="G4999" s="97">
        <v>4964</v>
      </c>
      <c r="H4999" s="367">
        <f t="shared" si="629"/>
        <v>10172</v>
      </c>
      <c r="I4999" s="368">
        <f t="shared" si="630"/>
        <v>0</v>
      </c>
      <c r="J4999">
        <v>12530</v>
      </c>
      <c r="K4999" s="367">
        <f t="shared" si="631"/>
        <v>8950</v>
      </c>
      <c r="L4999">
        <v>0.81</v>
      </c>
      <c r="M4999">
        <v>7.6</v>
      </c>
      <c r="N4999">
        <v>33</v>
      </c>
      <c r="O4999">
        <v>7</v>
      </c>
      <c r="P4999" t="s">
        <v>515</v>
      </c>
      <c r="Q4999" s="97" t="str">
        <f t="shared" si="634"/>
        <v/>
      </c>
      <c r="R4999" t="str">
        <f t="shared" si="635"/>
        <v/>
      </c>
    </row>
    <row r="5000" spans="3:18">
      <c r="C5000" t="str">
        <f t="shared" si="627"/>
        <v/>
      </c>
      <c r="D5000">
        <v>512</v>
      </c>
      <c r="E5000">
        <v>240</v>
      </c>
      <c r="F5000" s="366">
        <f t="shared" si="628"/>
        <v>5208</v>
      </c>
      <c r="G5000" s="97">
        <v>4096</v>
      </c>
      <c r="H5000" s="367">
        <f t="shared" si="629"/>
        <v>9304</v>
      </c>
      <c r="I5000" s="368">
        <f t="shared" si="630"/>
        <v>0</v>
      </c>
      <c r="J5000">
        <v>10337</v>
      </c>
      <c r="K5000" s="367">
        <f t="shared" si="631"/>
        <v>7383.5714285714284</v>
      </c>
      <c r="L5000">
        <v>0.64</v>
      </c>
      <c r="M5000">
        <v>8.5</v>
      </c>
      <c r="N5000">
        <v>33</v>
      </c>
      <c r="O5000">
        <v>8</v>
      </c>
      <c r="P5000" t="s">
        <v>515</v>
      </c>
      <c r="Q5000" s="97">
        <f t="shared" si="634"/>
        <v>512</v>
      </c>
      <c r="R5000" t="str">
        <f t="shared" si="635"/>
        <v/>
      </c>
    </row>
    <row r="5001" spans="3:18">
      <c r="C5001" t="str">
        <f t="shared" si="627"/>
        <v>NL</v>
      </c>
      <c r="D5001">
        <v>513</v>
      </c>
      <c r="E5001">
        <v>240</v>
      </c>
      <c r="F5001" s="366">
        <f t="shared" si="628"/>
        <v>5208</v>
      </c>
      <c r="G5001" s="97">
        <v>5316</v>
      </c>
      <c r="H5001" s="367">
        <f t="shared" si="629"/>
        <v>10524</v>
      </c>
      <c r="I5001" s="368">
        <f t="shared" si="630"/>
        <v>0</v>
      </c>
      <c r="J5001">
        <v>13416</v>
      </c>
      <c r="K5001" s="367">
        <f t="shared" si="631"/>
        <v>9582.8571428571431</v>
      </c>
      <c r="L5001">
        <v>0.53</v>
      </c>
      <c r="M5001">
        <v>9.6</v>
      </c>
      <c r="N5001">
        <v>33</v>
      </c>
      <c r="O5001">
        <v>9</v>
      </c>
      <c r="P5001" t="s">
        <v>515</v>
      </c>
      <c r="Q5001" s="97" t="str">
        <f t="shared" si="634"/>
        <v/>
      </c>
      <c r="R5001" t="str">
        <f t="shared" si="635"/>
        <v/>
      </c>
    </row>
    <row r="5002" spans="3:18">
      <c r="C5002" t="str">
        <f t="shared" si="627"/>
        <v/>
      </c>
      <c r="D5002">
        <v>514</v>
      </c>
      <c r="E5002">
        <v>240</v>
      </c>
      <c r="F5002" s="366">
        <f t="shared" si="628"/>
        <v>5208</v>
      </c>
      <c r="G5002" s="97">
        <v>5451</v>
      </c>
      <c r="H5002" s="367">
        <f t="shared" ref="H5002:H5065" si="636">(G5002*$U$7)+F5002</f>
        <v>10659</v>
      </c>
      <c r="I5002" s="368">
        <f t="shared" ref="I5002:I5065" si="637">1.085*($C$2-$D$2)*E5002*$T$7</f>
        <v>0</v>
      </c>
      <c r="J5002">
        <v>13757</v>
      </c>
      <c r="K5002" s="367">
        <f t="shared" si="631"/>
        <v>9826.4285714285725</v>
      </c>
      <c r="L5002">
        <v>0.46</v>
      </c>
      <c r="M5002">
        <v>1.4000000000000001</v>
      </c>
      <c r="N5002">
        <v>33</v>
      </c>
      <c r="O5002">
        <v>10</v>
      </c>
      <c r="P5002" t="s">
        <v>515</v>
      </c>
      <c r="Q5002" s="97" t="str">
        <f t="shared" si="634"/>
        <v/>
      </c>
      <c r="R5002" t="str">
        <f t="shared" si="635"/>
        <v/>
      </c>
    </row>
    <row r="5003" spans="3:18">
      <c r="C5003" t="str">
        <f t="shared" si="627"/>
        <v>NL</v>
      </c>
      <c r="D5003">
        <v>515</v>
      </c>
      <c r="E5003">
        <v>245</v>
      </c>
      <c r="F5003" s="366">
        <f t="shared" si="628"/>
        <v>5316.5</v>
      </c>
      <c r="G5003" s="97">
        <v>5032</v>
      </c>
      <c r="H5003" s="367">
        <f t="shared" si="636"/>
        <v>10348.5</v>
      </c>
      <c r="I5003" s="368">
        <f t="shared" si="637"/>
        <v>0</v>
      </c>
      <c r="J5003">
        <v>12701</v>
      </c>
      <c r="K5003" s="367">
        <f t="shared" si="631"/>
        <v>9072.1428571428569</v>
      </c>
      <c r="L5003">
        <v>0.84</v>
      </c>
      <c r="M5003">
        <v>7.6</v>
      </c>
      <c r="N5003">
        <v>33</v>
      </c>
      <c r="O5003">
        <v>7</v>
      </c>
      <c r="P5003" t="s">
        <v>515</v>
      </c>
      <c r="Q5003" s="97" t="str">
        <f t="shared" si="634"/>
        <v/>
      </c>
      <c r="R5003" t="str">
        <f t="shared" si="635"/>
        <v/>
      </c>
    </row>
    <row r="5004" spans="3:18">
      <c r="C5004" t="str">
        <f t="shared" si="627"/>
        <v/>
      </c>
      <c r="D5004">
        <v>516</v>
      </c>
      <c r="E5004">
        <v>245</v>
      </c>
      <c r="F5004" s="366">
        <f t="shared" si="628"/>
        <v>5316.5</v>
      </c>
      <c r="G5004" s="97">
        <v>4154</v>
      </c>
      <c r="H5004" s="367">
        <f t="shared" si="636"/>
        <v>9470.5</v>
      </c>
      <c r="I5004" s="368">
        <f t="shared" si="637"/>
        <v>0</v>
      </c>
      <c r="J5004">
        <v>10486</v>
      </c>
      <c r="K5004" s="367">
        <f t="shared" si="631"/>
        <v>7490</v>
      </c>
      <c r="L5004">
        <v>0.67</v>
      </c>
      <c r="M5004">
        <v>8.5</v>
      </c>
      <c r="N5004">
        <v>33</v>
      </c>
      <c r="O5004">
        <v>8</v>
      </c>
      <c r="P5004" t="s">
        <v>515</v>
      </c>
      <c r="Q5004" s="97">
        <f t="shared" si="634"/>
        <v>516</v>
      </c>
      <c r="R5004" t="str">
        <f t="shared" si="635"/>
        <v/>
      </c>
    </row>
    <row r="5005" spans="3:18">
      <c r="C5005" t="str">
        <f t="shared" si="627"/>
        <v>NL</v>
      </c>
      <c r="D5005">
        <v>517</v>
      </c>
      <c r="E5005">
        <v>245</v>
      </c>
      <c r="F5005" s="366">
        <f t="shared" si="628"/>
        <v>5316.5</v>
      </c>
      <c r="G5005" s="97">
        <v>5388</v>
      </c>
      <c r="H5005" s="367">
        <f t="shared" si="636"/>
        <v>10704.5</v>
      </c>
      <c r="I5005" s="368">
        <f t="shared" si="637"/>
        <v>0</v>
      </c>
      <c r="J5005">
        <v>13598</v>
      </c>
      <c r="K5005" s="367">
        <f t="shared" si="631"/>
        <v>9712.8571428571431</v>
      </c>
      <c r="L5005">
        <v>0.56000000000000005</v>
      </c>
      <c r="M5005">
        <v>9.6</v>
      </c>
      <c r="N5005">
        <v>33</v>
      </c>
      <c r="O5005">
        <v>9</v>
      </c>
      <c r="P5005" t="s">
        <v>515</v>
      </c>
      <c r="Q5005" s="97" t="str">
        <f t="shared" si="634"/>
        <v/>
      </c>
      <c r="R5005" t="str">
        <f t="shared" si="635"/>
        <v/>
      </c>
    </row>
    <row r="5006" spans="3:18">
      <c r="C5006" t="str">
        <f t="shared" si="627"/>
        <v/>
      </c>
      <c r="D5006">
        <v>518</v>
      </c>
      <c r="E5006">
        <v>245</v>
      </c>
      <c r="F5006" s="366">
        <f t="shared" si="628"/>
        <v>5316.5</v>
      </c>
      <c r="G5006" s="97">
        <v>5530</v>
      </c>
      <c r="H5006" s="367">
        <f t="shared" si="636"/>
        <v>10846.5</v>
      </c>
      <c r="I5006" s="368">
        <f t="shared" si="637"/>
        <v>0</v>
      </c>
      <c r="J5006">
        <v>13958</v>
      </c>
      <c r="K5006" s="367">
        <f t="shared" si="631"/>
        <v>9970</v>
      </c>
      <c r="L5006">
        <v>0.47000000000000003</v>
      </c>
      <c r="M5006">
        <v>1.4000000000000001</v>
      </c>
      <c r="N5006">
        <v>34</v>
      </c>
      <c r="O5006">
        <v>10</v>
      </c>
      <c r="P5006" t="s">
        <v>515</v>
      </c>
      <c r="Q5006" s="97" t="str">
        <f t="shared" si="634"/>
        <v/>
      </c>
      <c r="R5006" t="str">
        <f t="shared" si="635"/>
        <v/>
      </c>
    </row>
    <row r="5007" spans="3:18">
      <c r="C5007" t="str">
        <f t="shared" si="627"/>
        <v>NL</v>
      </c>
      <c r="D5007">
        <v>519</v>
      </c>
      <c r="E5007">
        <v>250</v>
      </c>
      <c r="F5007" s="366">
        <f t="shared" si="628"/>
        <v>5425</v>
      </c>
      <c r="G5007" s="97">
        <v>5100</v>
      </c>
      <c r="H5007" s="367">
        <f t="shared" si="636"/>
        <v>10525</v>
      </c>
      <c r="I5007" s="368">
        <f t="shared" si="637"/>
        <v>0</v>
      </c>
      <c r="J5007">
        <v>12873</v>
      </c>
      <c r="K5007" s="367">
        <f t="shared" si="631"/>
        <v>9195</v>
      </c>
      <c r="L5007">
        <v>0.88</v>
      </c>
      <c r="M5007">
        <v>7.6</v>
      </c>
      <c r="N5007">
        <v>34</v>
      </c>
      <c r="O5007">
        <v>7</v>
      </c>
      <c r="P5007" t="s">
        <v>515</v>
      </c>
      <c r="Q5007" s="97" t="str">
        <f t="shared" si="634"/>
        <v/>
      </c>
      <c r="R5007" t="str">
        <f t="shared" si="635"/>
        <v/>
      </c>
    </row>
    <row r="5008" spans="3:18">
      <c r="C5008" t="str">
        <f t="shared" si="627"/>
        <v/>
      </c>
      <c r="D5008">
        <v>520</v>
      </c>
      <c r="E5008">
        <v>250</v>
      </c>
      <c r="F5008" s="366">
        <f t="shared" si="628"/>
        <v>5425</v>
      </c>
      <c r="G5008" s="97">
        <v>4213</v>
      </c>
      <c r="H5008" s="367">
        <f t="shared" si="636"/>
        <v>9638</v>
      </c>
      <c r="I5008" s="368">
        <f t="shared" si="637"/>
        <v>0</v>
      </c>
      <c r="J5008">
        <v>10634</v>
      </c>
      <c r="K5008" s="367">
        <f t="shared" si="631"/>
        <v>7595.7142857142862</v>
      </c>
      <c r="L5008">
        <v>0.7</v>
      </c>
      <c r="M5008">
        <v>8.5</v>
      </c>
      <c r="N5008">
        <v>34</v>
      </c>
      <c r="O5008">
        <v>8</v>
      </c>
      <c r="P5008" t="s">
        <v>515</v>
      </c>
      <c r="Q5008" s="97">
        <f t="shared" si="634"/>
        <v>520</v>
      </c>
      <c r="R5008" t="str">
        <f t="shared" si="635"/>
        <v/>
      </c>
    </row>
    <row r="5009" spans="3:18">
      <c r="C5009" t="str">
        <f t="shared" si="627"/>
        <v>NL</v>
      </c>
      <c r="D5009">
        <v>521</v>
      </c>
      <c r="E5009">
        <v>250</v>
      </c>
      <c r="F5009" s="366">
        <f t="shared" si="628"/>
        <v>5425</v>
      </c>
      <c r="G5009" s="97">
        <v>5460</v>
      </c>
      <c r="H5009" s="367">
        <f t="shared" si="636"/>
        <v>10885</v>
      </c>
      <c r="I5009" s="368">
        <f t="shared" si="637"/>
        <v>0</v>
      </c>
      <c r="J5009">
        <v>13780</v>
      </c>
      <c r="K5009" s="367">
        <f t="shared" si="631"/>
        <v>9842.8571428571431</v>
      </c>
      <c r="L5009">
        <v>0.57999999999999996</v>
      </c>
      <c r="M5009">
        <v>9.6</v>
      </c>
      <c r="N5009">
        <v>34</v>
      </c>
      <c r="O5009">
        <v>9</v>
      </c>
      <c r="P5009" t="s">
        <v>515</v>
      </c>
      <c r="Q5009" s="97" t="str">
        <f t="shared" si="634"/>
        <v/>
      </c>
      <c r="R5009" t="str">
        <f t="shared" si="635"/>
        <v/>
      </c>
    </row>
    <row r="5010" spans="3:18">
      <c r="C5010" t="str">
        <f t="shared" si="627"/>
        <v/>
      </c>
      <c r="D5010">
        <v>522</v>
      </c>
      <c r="E5010">
        <v>250</v>
      </c>
      <c r="F5010" s="366">
        <f t="shared" si="628"/>
        <v>5425</v>
      </c>
      <c r="G5010" s="97">
        <v>5609</v>
      </c>
      <c r="H5010" s="367">
        <f t="shared" si="636"/>
        <v>11034</v>
      </c>
      <c r="I5010" s="368">
        <f t="shared" si="637"/>
        <v>0</v>
      </c>
      <c r="J5010">
        <v>14158</v>
      </c>
      <c r="K5010" s="367">
        <f t="shared" si="631"/>
        <v>10112.857142857143</v>
      </c>
      <c r="L5010">
        <v>0.49</v>
      </c>
      <c r="M5010">
        <v>1.4000000000000001</v>
      </c>
      <c r="N5010">
        <v>35</v>
      </c>
      <c r="O5010">
        <v>10</v>
      </c>
      <c r="P5010" t="s">
        <v>515</v>
      </c>
      <c r="Q5010" s="97" t="str">
        <f t="shared" si="634"/>
        <v/>
      </c>
      <c r="R5010" t="str">
        <f t="shared" si="635"/>
        <v/>
      </c>
    </row>
    <row r="5011" spans="3:18">
      <c r="C5011" t="str">
        <f t="shared" si="627"/>
        <v>NL</v>
      </c>
      <c r="D5011">
        <v>523</v>
      </c>
      <c r="E5011">
        <v>255</v>
      </c>
      <c r="F5011" s="366">
        <f t="shared" si="628"/>
        <v>5533.5</v>
      </c>
      <c r="G5011" s="97">
        <v>5165</v>
      </c>
      <c r="H5011" s="367">
        <f t="shared" si="636"/>
        <v>10698.5</v>
      </c>
      <c r="I5011" s="368">
        <f t="shared" si="637"/>
        <v>0</v>
      </c>
      <c r="J5011">
        <v>13035</v>
      </c>
      <c r="K5011" s="367">
        <f t="shared" si="631"/>
        <v>9310.7142857142862</v>
      </c>
      <c r="L5011">
        <v>0.91</v>
      </c>
      <c r="M5011">
        <v>7.6</v>
      </c>
      <c r="N5011">
        <v>35</v>
      </c>
      <c r="O5011">
        <v>7</v>
      </c>
      <c r="P5011" t="s">
        <v>515</v>
      </c>
      <c r="Q5011" s="97" t="str">
        <f t="shared" si="634"/>
        <v/>
      </c>
      <c r="R5011" t="str">
        <f t="shared" si="635"/>
        <v/>
      </c>
    </row>
    <row r="5012" spans="3:18">
      <c r="C5012" t="str">
        <f t="shared" si="627"/>
        <v/>
      </c>
      <c r="D5012">
        <v>524</v>
      </c>
      <c r="E5012">
        <v>255</v>
      </c>
      <c r="F5012" s="366">
        <f t="shared" si="628"/>
        <v>5533.5</v>
      </c>
      <c r="G5012" s="97">
        <v>4272</v>
      </c>
      <c r="H5012" s="367">
        <f t="shared" si="636"/>
        <v>9805.5</v>
      </c>
      <c r="I5012" s="368">
        <f t="shared" si="637"/>
        <v>0</v>
      </c>
      <c r="J5012">
        <v>10783</v>
      </c>
      <c r="K5012" s="367">
        <f t="shared" si="631"/>
        <v>7702.1428571428569</v>
      </c>
      <c r="L5012">
        <v>0.73</v>
      </c>
      <c r="M5012">
        <v>8.5</v>
      </c>
      <c r="N5012">
        <v>35</v>
      </c>
      <c r="O5012">
        <v>8</v>
      </c>
      <c r="P5012" t="s">
        <v>515</v>
      </c>
      <c r="Q5012" s="97" t="str">
        <f t="shared" si="634"/>
        <v/>
      </c>
      <c r="R5012" t="str">
        <f t="shared" si="635"/>
        <v/>
      </c>
    </row>
    <row r="5013" spans="3:18">
      <c r="C5013" t="str">
        <f t="shared" si="627"/>
        <v>NL</v>
      </c>
      <c r="D5013">
        <v>525</v>
      </c>
      <c r="E5013">
        <v>255</v>
      </c>
      <c r="F5013" s="366">
        <f t="shared" si="628"/>
        <v>5533.5</v>
      </c>
      <c r="G5013" s="97">
        <v>5532</v>
      </c>
      <c r="H5013" s="367">
        <f t="shared" si="636"/>
        <v>11065.5</v>
      </c>
      <c r="I5013" s="368">
        <f t="shared" si="637"/>
        <v>0</v>
      </c>
      <c r="J5013">
        <v>13961</v>
      </c>
      <c r="K5013" s="367">
        <f t="shared" si="631"/>
        <v>9972.1428571428569</v>
      </c>
      <c r="L5013">
        <v>0.6</v>
      </c>
      <c r="M5013">
        <v>9.6</v>
      </c>
      <c r="N5013">
        <v>35</v>
      </c>
      <c r="O5013">
        <v>9</v>
      </c>
      <c r="P5013" t="s">
        <v>515</v>
      </c>
      <c r="Q5013" s="97" t="str">
        <f t="shared" si="634"/>
        <v/>
      </c>
      <c r="R5013" t="str">
        <f t="shared" si="635"/>
        <v/>
      </c>
    </row>
    <row r="5014" spans="3:18">
      <c r="C5014" t="str">
        <f t="shared" si="627"/>
        <v/>
      </c>
      <c r="D5014">
        <v>526</v>
      </c>
      <c r="E5014">
        <v>255</v>
      </c>
      <c r="F5014" s="366">
        <f t="shared" si="628"/>
        <v>5533.5</v>
      </c>
      <c r="G5014" s="97">
        <v>5688</v>
      </c>
      <c r="H5014" s="367">
        <f t="shared" si="636"/>
        <v>11221.5</v>
      </c>
      <c r="I5014" s="368">
        <f t="shared" si="637"/>
        <v>0</v>
      </c>
      <c r="J5014">
        <v>14356</v>
      </c>
      <c r="K5014" s="367">
        <f t="shared" si="631"/>
        <v>10254.285714285714</v>
      </c>
      <c r="L5014">
        <v>0.51</v>
      </c>
      <c r="M5014">
        <v>1.4000000000000001</v>
      </c>
      <c r="N5014">
        <v>35</v>
      </c>
      <c r="O5014">
        <v>10</v>
      </c>
      <c r="P5014" t="s">
        <v>515</v>
      </c>
      <c r="Q5014" s="97" t="str">
        <f t="shared" si="634"/>
        <v/>
      </c>
      <c r="R5014" t="str">
        <f t="shared" si="635"/>
        <v/>
      </c>
    </row>
    <row r="5015" spans="3:18">
      <c r="C5015" t="str">
        <f t="shared" si="627"/>
        <v>NL</v>
      </c>
      <c r="D5015">
        <v>527</v>
      </c>
      <c r="E5015">
        <v>260</v>
      </c>
      <c r="F5015" s="366">
        <f t="shared" si="628"/>
        <v>5642</v>
      </c>
      <c r="G5015" s="97">
        <v>5227</v>
      </c>
      <c r="H5015" s="367">
        <f t="shared" si="636"/>
        <v>10869</v>
      </c>
      <c r="I5015" s="368">
        <f t="shared" si="637"/>
        <v>0</v>
      </c>
      <c r="J5015">
        <v>13193</v>
      </c>
      <c r="K5015" s="367">
        <f t="shared" si="631"/>
        <v>9423.5714285714294</v>
      </c>
      <c r="L5015">
        <v>0.95</v>
      </c>
      <c r="M5015">
        <v>7.6</v>
      </c>
      <c r="N5015">
        <v>36</v>
      </c>
      <c r="O5015">
        <v>7</v>
      </c>
      <c r="P5015" t="s">
        <v>515</v>
      </c>
      <c r="Q5015" s="97" t="str">
        <f t="shared" si="634"/>
        <v/>
      </c>
      <c r="R5015" t="str">
        <f t="shared" si="635"/>
        <v/>
      </c>
    </row>
    <row r="5016" spans="3:18">
      <c r="C5016" t="str">
        <f t="shared" si="627"/>
        <v/>
      </c>
      <c r="D5016">
        <v>528</v>
      </c>
      <c r="E5016">
        <v>260</v>
      </c>
      <c r="F5016" s="366">
        <f t="shared" si="628"/>
        <v>5642</v>
      </c>
      <c r="G5016" s="97">
        <v>4331</v>
      </c>
      <c r="H5016" s="367">
        <f t="shared" si="636"/>
        <v>9973</v>
      </c>
      <c r="I5016" s="368">
        <f t="shared" si="637"/>
        <v>0</v>
      </c>
      <c r="J5016">
        <v>10932</v>
      </c>
      <c r="K5016" s="367">
        <f t="shared" si="631"/>
        <v>7808.5714285714284</v>
      </c>
      <c r="L5016">
        <v>0.76</v>
      </c>
      <c r="M5016">
        <v>8.5</v>
      </c>
      <c r="N5016">
        <v>36</v>
      </c>
      <c r="O5016">
        <v>8</v>
      </c>
      <c r="P5016" t="s">
        <v>515</v>
      </c>
      <c r="Q5016" s="97" t="str">
        <f t="shared" si="634"/>
        <v/>
      </c>
      <c r="R5016" t="str">
        <f t="shared" si="635"/>
        <v/>
      </c>
    </row>
    <row r="5017" spans="3:18">
      <c r="C5017" t="str">
        <f t="shared" si="627"/>
        <v>NL</v>
      </c>
      <c r="D5017">
        <v>529</v>
      </c>
      <c r="E5017">
        <v>260</v>
      </c>
      <c r="F5017" s="366">
        <f t="shared" si="628"/>
        <v>5642</v>
      </c>
      <c r="G5017" s="97">
        <v>5604</v>
      </c>
      <c r="H5017" s="367">
        <f t="shared" si="636"/>
        <v>11246</v>
      </c>
      <c r="I5017" s="368">
        <f t="shared" si="637"/>
        <v>0</v>
      </c>
      <c r="J5017">
        <v>14143</v>
      </c>
      <c r="K5017" s="367">
        <f t="shared" si="631"/>
        <v>10102.142857142857</v>
      </c>
      <c r="L5017">
        <v>0.63</v>
      </c>
      <c r="M5017">
        <v>9.6</v>
      </c>
      <c r="N5017">
        <v>36</v>
      </c>
      <c r="O5017">
        <v>9</v>
      </c>
      <c r="P5017" t="s">
        <v>515</v>
      </c>
      <c r="Q5017" s="97" t="str">
        <f t="shared" si="634"/>
        <v/>
      </c>
      <c r="R5017" t="str">
        <f t="shared" si="635"/>
        <v/>
      </c>
    </row>
    <row r="5018" spans="3:18">
      <c r="C5018" t="str">
        <f t="shared" si="627"/>
        <v/>
      </c>
      <c r="D5018">
        <v>530</v>
      </c>
      <c r="E5018">
        <v>260</v>
      </c>
      <c r="F5018" s="366">
        <f t="shared" si="628"/>
        <v>5642</v>
      </c>
      <c r="G5018" s="97">
        <v>5758</v>
      </c>
      <c r="H5018" s="367">
        <f t="shared" si="636"/>
        <v>11400</v>
      </c>
      <c r="I5018" s="368">
        <f t="shared" si="637"/>
        <v>0</v>
      </c>
      <c r="J5018">
        <v>14534</v>
      </c>
      <c r="K5018" s="367">
        <f t="shared" si="631"/>
        <v>10381.428571428572</v>
      </c>
      <c r="L5018">
        <v>0.53</v>
      </c>
      <c r="M5018">
        <v>1.4000000000000001</v>
      </c>
      <c r="N5018">
        <v>36</v>
      </c>
      <c r="O5018">
        <v>10</v>
      </c>
      <c r="P5018" t="s">
        <v>515</v>
      </c>
      <c r="Q5018" s="97" t="str">
        <f t="shared" si="634"/>
        <v/>
      </c>
      <c r="R5018" t="str">
        <f t="shared" si="635"/>
        <v/>
      </c>
    </row>
    <row r="5019" spans="3:18">
      <c r="C5019" t="str">
        <f t="shared" si="627"/>
        <v>NL</v>
      </c>
      <c r="D5019">
        <v>531</v>
      </c>
      <c r="E5019">
        <v>265</v>
      </c>
      <c r="F5019" s="366">
        <f t="shared" si="628"/>
        <v>5750.5</v>
      </c>
      <c r="G5019" s="97">
        <v>5289</v>
      </c>
      <c r="H5019" s="367">
        <f t="shared" si="636"/>
        <v>11039.5</v>
      </c>
      <c r="I5019" s="368">
        <f t="shared" si="637"/>
        <v>0</v>
      </c>
      <c r="J5019">
        <v>13350</v>
      </c>
      <c r="K5019" s="367">
        <f t="shared" si="631"/>
        <v>9535.7142857142862</v>
      </c>
      <c r="L5019">
        <v>0.98</v>
      </c>
      <c r="M5019">
        <v>7.6</v>
      </c>
      <c r="N5019">
        <v>36</v>
      </c>
      <c r="O5019">
        <v>7</v>
      </c>
      <c r="P5019" t="s">
        <v>515</v>
      </c>
      <c r="Q5019" s="97" t="str">
        <f t="shared" si="634"/>
        <v/>
      </c>
      <c r="R5019" t="str">
        <f t="shared" si="635"/>
        <v/>
      </c>
    </row>
    <row r="5020" spans="3:18">
      <c r="C5020" t="str">
        <f t="shared" si="627"/>
        <v/>
      </c>
      <c r="D5020">
        <v>532</v>
      </c>
      <c r="E5020">
        <v>265</v>
      </c>
      <c r="F5020" s="366">
        <f t="shared" si="628"/>
        <v>5750.5</v>
      </c>
      <c r="G5020" s="97">
        <v>4390</v>
      </c>
      <c r="H5020" s="367">
        <f t="shared" si="636"/>
        <v>10140.5</v>
      </c>
      <c r="I5020" s="368">
        <f t="shared" si="637"/>
        <v>0</v>
      </c>
      <c r="J5020">
        <v>11080</v>
      </c>
      <c r="K5020" s="367">
        <f t="shared" si="631"/>
        <v>7914.2857142857147</v>
      </c>
      <c r="L5020">
        <v>0.78</v>
      </c>
      <c r="M5020">
        <v>8.5</v>
      </c>
      <c r="N5020">
        <v>36</v>
      </c>
      <c r="O5020">
        <v>8</v>
      </c>
      <c r="P5020" t="s">
        <v>515</v>
      </c>
      <c r="Q5020" s="97" t="str">
        <f t="shared" si="634"/>
        <v/>
      </c>
      <c r="R5020" t="str">
        <f t="shared" si="635"/>
        <v/>
      </c>
    </row>
    <row r="5021" spans="3:18">
      <c r="C5021" t="str">
        <f t="shared" si="627"/>
        <v>NL</v>
      </c>
      <c r="D5021">
        <v>533</v>
      </c>
      <c r="E5021">
        <v>265</v>
      </c>
      <c r="F5021" s="366">
        <f t="shared" si="628"/>
        <v>5750.5</v>
      </c>
      <c r="G5021" s="97">
        <v>5676</v>
      </c>
      <c r="H5021" s="367">
        <f t="shared" si="636"/>
        <v>11426.5</v>
      </c>
      <c r="I5021" s="368">
        <f t="shared" si="637"/>
        <v>0</v>
      </c>
      <c r="J5021">
        <v>14325</v>
      </c>
      <c r="K5021" s="367">
        <f t="shared" si="631"/>
        <v>10232.142857142857</v>
      </c>
      <c r="L5021">
        <v>0.65</v>
      </c>
      <c r="M5021">
        <v>9.6</v>
      </c>
      <c r="N5021">
        <v>36</v>
      </c>
      <c r="O5021">
        <v>9</v>
      </c>
      <c r="P5021" t="s">
        <v>515</v>
      </c>
      <c r="Q5021" s="97" t="str">
        <f t="shared" si="634"/>
        <v/>
      </c>
      <c r="R5021" t="str">
        <f t="shared" si="635"/>
        <v/>
      </c>
    </row>
    <row r="5022" spans="3:18">
      <c r="C5022" t="str">
        <f t="shared" si="627"/>
        <v/>
      </c>
      <c r="D5022">
        <v>534</v>
      </c>
      <c r="E5022">
        <v>265</v>
      </c>
      <c r="F5022" s="366">
        <f t="shared" si="628"/>
        <v>5750.5</v>
      </c>
      <c r="G5022" s="97">
        <v>5828</v>
      </c>
      <c r="H5022" s="367">
        <f t="shared" si="636"/>
        <v>11578.5</v>
      </c>
      <c r="I5022" s="368">
        <f t="shared" si="637"/>
        <v>0</v>
      </c>
      <c r="J5022">
        <v>14711</v>
      </c>
      <c r="K5022" s="367">
        <f t="shared" si="631"/>
        <v>10507.857142857143</v>
      </c>
      <c r="L5022">
        <v>0.55000000000000004</v>
      </c>
      <c r="M5022">
        <v>1.4000000000000001</v>
      </c>
      <c r="N5022">
        <v>37</v>
      </c>
      <c r="O5022">
        <v>10</v>
      </c>
      <c r="P5022" t="s">
        <v>515</v>
      </c>
      <c r="Q5022" s="97" t="str">
        <f t="shared" si="634"/>
        <v/>
      </c>
      <c r="R5022" t="str">
        <f t="shared" si="635"/>
        <v/>
      </c>
    </row>
    <row r="5023" spans="3:18">
      <c r="C5023" t="str">
        <f t="shared" si="627"/>
        <v>NL</v>
      </c>
      <c r="D5023">
        <v>535</v>
      </c>
      <c r="E5023">
        <v>270</v>
      </c>
      <c r="F5023" s="366">
        <f t="shared" si="628"/>
        <v>5859</v>
      </c>
      <c r="G5023" s="97">
        <v>5352</v>
      </c>
      <c r="H5023" s="367">
        <f t="shared" si="636"/>
        <v>11211</v>
      </c>
      <c r="I5023" s="368">
        <f t="shared" si="637"/>
        <v>0</v>
      </c>
      <c r="J5023">
        <v>13507</v>
      </c>
      <c r="K5023" s="367">
        <f t="shared" si="631"/>
        <v>9647.8571428571431</v>
      </c>
      <c r="L5023">
        <v>1.02</v>
      </c>
      <c r="M5023">
        <v>7.6</v>
      </c>
      <c r="N5023">
        <v>37</v>
      </c>
      <c r="O5023">
        <v>7</v>
      </c>
      <c r="P5023" t="s">
        <v>515</v>
      </c>
      <c r="Q5023" s="97" t="str">
        <f t="shared" si="634"/>
        <v/>
      </c>
      <c r="R5023" t="str">
        <f t="shared" si="635"/>
        <v/>
      </c>
    </row>
    <row r="5024" spans="3:18">
      <c r="C5024" t="str">
        <f t="shared" si="627"/>
        <v/>
      </c>
      <c r="D5024">
        <v>536</v>
      </c>
      <c r="E5024">
        <v>270</v>
      </c>
      <c r="F5024" s="366">
        <f t="shared" si="628"/>
        <v>5859</v>
      </c>
      <c r="G5024" s="97">
        <v>4449</v>
      </c>
      <c r="H5024" s="367">
        <f t="shared" si="636"/>
        <v>10308</v>
      </c>
      <c r="I5024" s="368">
        <f t="shared" si="637"/>
        <v>0</v>
      </c>
      <c r="J5024">
        <v>11229</v>
      </c>
      <c r="K5024" s="367">
        <f t="shared" si="631"/>
        <v>8020.7142857142862</v>
      </c>
      <c r="L5024">
        <v>0.81</v>
      </c>
      <c r="M5024">
        <v>8.5</v>
      </c>
      <c r="N5024">
        <v>37</v>
      </c>
      <c r="O5024">
        <v>8</v>
      </c>
      <c r="P5024" t="s">
        <v>515</v>
      </c>
      <c r="Q5024" s="97" t="str">
        <f t="shared" si="634"/>
        <v/>
      </c>
      <c r="R5024" t="str">
        <f t="shared" si="635"/>
        <v/>
      </c>
    </row>
    <row r="5025" spans="3:18">
      <c r="C5025" t="str">
        <f t="shared" si="627"/>
        <v>NL</v>
      </c>
      <c r="D5025">
        <v>537</v>
      </c>
      <c r="E5025">
        <v>270</v>
      </c>
      <c r="F5025" s="366">
        <f t="shared" si="628"/>
        <v>5859</v>
      </c>
      <c r="G5025" s="97">
        <v>5748</v>
      </c>
      <c r="H5025" s="367">
        <f t="shared" si="636"/>
        <v>11607</v>
      </c>
      <c r="I5025" s="368">
        <f t="shared" si="637"/>
        <v>0</v>
      </c>
      <c r="J5025">
        <v>14506</v>
      </c>
      <c r="K5025" s="367">
        <f t="shared" si="631"/>
        <v>10361.428571428572</v>
      </c>
      <c r="L5025">
        <v>0.67</v>
      </c>
      <c r="M5025">
        <v>9.6</v>
      </c>
      <c r="N5025">
        <v>37</v>
      </c>
      <c r="O5025">
        <v>9</v>
      </c>
      <c r="P5025" t="s">
        <v>515</v>
      </c>
      <c r="Q5025" s="97" t="str">
        <f t="shared" si="634"/>
        <v/>
      </c>
      <c r="R5025" t="str">
        <f t="shared" si="635"/>
        <v/>
      </c>
    </row>
    <row r="5026" spans="3:18">
      <c r="C5026" t="str">
        <f t="shared" si="627"/>
        <v/>
      </c>
      <c r="D5026">
        <v>538</v>
      </c>
      <c r="E5026">
        <v>270</v>
      </c>
      <c r="F5026" s="366">
        <f t="shared" si="628"/>
        <v>5859</v>
      </c>
      <c r="G5026" s="97">
        <v>5899</v>
      </c>
      <c r="H5026" s="367">
        <f t="shared" si="636"/>
        <v>11758</v>
      </c>
      <c r="I5026" s="368">
        <f t="shared" si="637"/>
        <v>0</v>
      </c>
      <c r="J5026">
        <v>14888</v>
      </c>
      <c r="K5026" s="367">
        <f t="shared" si="631"/>
        <v>10634.285714285714</v>
      </c>
      <c r="L5026">
        <v>0.57000000000000006</v>
      </c>
      <c r="M5026">
        <v>1.4000000000000001</v>
      </c>
      <c r="N5026">
        <v>38</v>
      </c>
      <c r="O5026">
        <v>10</v>
      </c>
      <c r="P5026" t="s">
        <v>515</v>
      </c>
      <c r="Q5026" s="97" t="str">
        <f t="shared" si="634"/>
        <v/>
      </c>
      <c r="R5026" t="str">
        <f t="shared" si="635"/>
        <v/>
      </c>
    </row>
    <row r="5027" spans="3:18">
      <c r="C5027" t="str">
        <f t="shared" si="627"/>
        <v/>
      </c>
      <c r="D5027">
        <v>539</v>
      </c>
      <c r="E5027">
        <v>275</v>
      </c>
      <c r="F5027" s="366">
        <f t="shared" si="628"/>
        <v>5967.5</v>
      </c>
      <c r="G5027" s="97">
        <v>4508</v>
      </c>
      <c r="H5027" s="367">
        <f t="shared" si="636"/>
        <v>10475.5</v>
      </c>
      <c r="I5027" s="368">
        <f t="shared" si="637"/>
        <v>0</v>
      </c>
      <c r="J5027">
        <v>11378</v>
      </c>
      <c r="K5027" s="367">
        <f t="shared" si="631"/>
        <v>8127.1428571428569</v>
      </c>
      <c r="L5027">
        <v>0.84</v>
      </c>
      <c r="M5027">
        <v>8.5</v>
      </c>
      <c r="N5027">
        <v>38</v>
      </c>
      <c r="O5027">
        <v>8</v>
      </c>
      <c r="P5027" t="s">
        <v>515</v>
      </c>
      <c r="Q5027" s="97" t="str">
        <f t="shared" si="634"/>
        <v/>
      </c>
      <c r="R5027" t="str">
        <f t="shared" si="635"/>
        <v/>
      </c>
    </row>
    <row r="5028" spans="3:18">
      <c r="C5028" t="str">
        <f t="shared" si="627"/>
        <v>NL</v>
      </c>
      <c r="D5028">
        <v>540</v>
      </c>
      <c r="E5028">
        <v>275</v>
      </c>
      <c r="F5028" s="366">
        <f t="shared" si="628"/>
        <v>5967.5</v>
      </c>
      <c r="G5028" s="97">
        <v>5820</v>
      </c>
      <c r="H5028" s="367">
        <f t="shared" si="636"/>
        <v>11787.5</v>
      </c>
      <c r="I5028" s="368">
        <f t="shared" si="637"/>
        <v>0</v>
      </c>
      <c r="J5028">
        <v>14688</v>
      </c>
      <c r="K5028" s="367">
        <f t="shared" si="631"/>
        <v>10491.428571428572</v>
      </c>
      <c r="L5028">
        <v>0.7</v>
      </c>
      <c r="M5028">
        <v>9.6</v>
      </c>
      <c r="N5028">
        <v>38</v>
      </c>
      <c r="O5028">
        <v>9</v>
      </c>
      <c r="P5028" t="s">
        <v>515</v>
      </c>
      <c r="Q5028" s="97" t="str">
        <f t="shared" si="634"/>
        <v/>
      </c>
      <c r="R5028" t="str">
        <f t="shared" si="635"/>
        <v/>
      </c>
    </row>
    <row r="5029" spans="3:18">
      <c r="C5029" t="str">
        <f t="shared" si="627"/>
        <v/>
      </c>
      <c r="D5029">
        <v>541</v>
      </c>
      <c r="E5029">
        <v>275</v>
      </c>
      <c r="F5029" s="366">
        <f t="shared" si="628"/>
        <v>5967.5</v>
      </c>
      <c r="G5029" s="97">
        <v>5969</v>
      </c>
      <c r="H5029" s="367">
        <f t="shared" si="636"/>
        <v>11936.5</v>
      </c>
      <c r="I5029" s="368">
        <f t="shared" si="637"/>
        <v>0</v>
      </c>
      <c r="J5029">
        <v>15065</v>
      </c>
      <c r="K5029" s="367">
        <f t="shared" si="631"/>
        <v>10760.714285714286</v>
      </c>
      <c r="L5029">
        <v>0.6</v>
      </c>
      <c r="M5029">
        <v>1.4000000000000001</v>
      </c>
      <c r="N5029">
        <v>38</v>
      </c>
      <c r="O5029">
        <v>10</v>
      </c>
      <c r="P5029" t="s">
        <v>515</v>
      </c>
      <c r="Q5029" s="97" t="str">
        <f t="shared" si="634"/>
        <v/>
      </c>
      <c r="R5029" t="str">
        <f t="shared" si="635"/>
        <v/>
      </c>
    </row>
    <row r="5030" spans="3:18">
      <c r="C5030" t="str">
        <f t="shared" si="627"/>
        <v/>
      </c>
      <c r="D5030">
        <v>542</v>
      </c>
      <c r="E5030">
        <v>280</v>
      </c>
      <c r="F5030" s="366">
        <f t="shared" si="628"/>
        <v>6076</v>
      </c>
      <c r="G5030" s="97">
        <v>4567</v>
      </c>
      <c r="H5030" s="367">
        <f t="shared" si="636"/>
        <v>10643</v>
      </c>
      <c r="I5030" s="368">
        <f t="shared" si="637"/>
        <v>0</v>
      </c>
      <c r="J5030">
        <v>11527</v>
      </c>
      <c r="K5030" s="367">
        <f t="shared" si="631"/>
        <v>8233.5714285714294</v>
      </c>
      <c r="L5030">
        <v>0.88</v>
      </c>
      <c r="M5030">
        <v>8.5</v>
      </c>
      <c r="N5030">
        <v>38</v>
      </c>
      <c r="O5030">
        <v>8</v>
      </c>
      <c r="P5030" t="s">
        <v>515</v>
      </c>
      <c r="Q5030" s="97" t="str">
        <f t="shared" si="634"/>
        <v/>
      </c>
      <c r="R5030" t="str">
        <f t="shared" si="635"/>
        <v/>
      </c>
    </row>
    <row r="5031" spans="3:18">
      <c r="C5031" t="str">
        <f t="shared" si="627"/>
        <v>NL</v>
      </c>
      <c r="D5031">
        <v>543</v>
      </c>
      <c r="E5031">
        <v>280</v>
      </c>
      <c r="F5031" s="366">
        <f t="shared" si="628"/>
        <v>6076</v>
      </c>
      <c r="G5031" s="97">
        <v>5889</v>
      </c>
      <c r="H5031" s="367">
        <f t="shared" si="636"/>
        <v>11965</v>
      </c>
      <c r="I5031" s="368">
        <f t="shared" si="637"/>
        <v>0</v>
      </c>
      <c r="J5031">
        <v>14863</v>
      </c>
      <c r="K5031" s="367">
        <f t="shared" si="631"/>
        <v>10616.428571428572</v>
      </c>
      <c r="L5031">
        <v>0.72</v>
      </c>
      <c r="M5031">
        <v>9.6</v>
      </c>
      <c r="N5031">
        <v>39</v>
      </c>
      <c r="O5031">
        <v>9</v>
      </c>
      <c r="P5031" t="s">
        <v>515</v>
      </c>
      <c r="Q5031" s="97" t="str">
        <f t="shared" si="634"/>
        <v/>
      </c>
      <c r="R5031" t="str">
        <f t="shared" si="635"/>
        <v/>
      </c>
    </row>
    <row r="5032" spans="3:18">
      <c r="C5032" t="str">
        <f t="shared" si="627"/>
        <v/>
      </c>
      <c r="D5032">
        <v>544</v>
      </c>
      <c r="E5032">
        <v>280</v>
      </c>
      <c r="F5032" s="366">
        <f t="shared" si="628"/>
        <v>6076</v>
      </c>
      <c r="G5032" s="97">
        <v>6039</v>
      </c>
      <c r="H5032" s="367">
        <f t="shared" si="636"/>
        <v>12115</v>
      </c>
      <c r="I5032" s="368">
        <f t="shared" si="637"/>
        <v>0</v>
      </c>
      <c r="J5032">
        <v>15242</v>
      </c>
      <c r="K5032" s="367">
        <f t="shared" si="631"/>
        <v>10887.142857142857</v>
      </c>
      <c r="L5032">
        <v>0.62</v>
      </c>
      <c r="M5032">
        <v>1.4000000000000001</v>
      </c>
      <c r="N5032">
        <v>39</v>
      </c>
      <c r="O5032">
        <v>10</v>
      </c>
      <c r="P5032" t="s">
        <v>515</v>
      </c>
      <c r="Q5032" s="97" t="str">
        <f t="shared" si="634"/>
        <v/>
      </c>
      <c r="R5032" t="str">
        <f t="shared" si="635"/>
        <v/>
      </c>
    </row>
    <row r="5033" spans="3:18">
      <c r="C5033" t="str">
        <f t="shared" si="627"/>
        <v/>
      </c>
      <c r="D5033">
        <v>545</v>
      </c>
      <c r="E5033">
        <v>285</v>
      </c>
      <c r="F5033" s="366">
        <f t="shared" si="628"/>
        <v>6184.5</v>
      </c>
      <c r="G5033" s="97">
        <v>4621</v>
      </c>
      <c r="H5033" s="367">
        <f t="shared" si="636"/>
        <v>10805.5</v>
      </c>
      <c r="I5033" s="368">
        <f t="shared" si="637"/>
        <v>0</v>
      </c>
      <c r="J5033">
        <v>11663</v>
      </c>
      <c r="K5033" s="367">
        <f t="shared" si="631"/>
        <v>8330.7142857142862</v>
      </c>
      <c r="L5033">
        <v>0.91</v>
      </c>
      <c r="M5033">
        <v>8.5</v>
      </c>
      <c r="N5033">
        <v>39</v>
      </c>
      <c r="O5033">
        <v>8</v>
      </c>
      <c r="P5033" t="s">
        <v>515</v>
      </c>
      <c r="Q5033" s="97" t="str">
        <f t="shared" ref="Q5033:Q5066" si="638">IF(AND(H5033+1&gt;$E$4,L5033&lt;$L$4+0.01,M5033&lt;$M$4+0.01,K5033+1&gt;$F$4,E5033+1&gt;$J$4,N5033&lt;$K$4+1,O5033&lt;$P$4+1,C5033=""),D5033,"")</f>
        <v/>
      </c>
      <c r="R5033" t="str">
        <f t="shared" ref="R5033:R5066" si="639">IF(Q5033="","",IF(AND(O5033&lt;$X$38,E5033&gt;$U$38,E5033&lt;$Q$4+$U$38+1),D5033,""))</f>
        <v/>
      </c>
    </row>
    <row r="5034" spans="3:18">
      <c r="C5034" t="str">
        <f t="shared" si="627"/>
        <v>NL</v>
      </c>
      <c r="D5034">
        <v>546</v>
      </c>
      <c r="E5034">
        <v>285</v>
      </c>
      <c r="F5034" s="366">
        <f t="shared" si="628"/>
        <v>6184.5</v>
      </c>
      <c r="G5034" s="97">
        <v>5953</v>
      </c>
      <c r="H5034" s="367">
        <f t="shared" si="636"/>
        <v>12137.5</v>
      </c>
      <c r="I5034" s="368">
        <f t="shared" si="637"/>
        <v>0</v>
      </c>
      <c r="J5034">
        <v>15026</v>
      </c>
      <c r="K5034" s="367">
        <f t="shared" si="631"/>
        <v>10732.857142857143</v>
      </c>
      <c r="L5034">
        <v>0.75</v>
      </c>
      <c r="M5034">
        <v>9.6</v>
      </c>
      <c r="N5034">
        <v>39</v>
      </c>
      <c r="O5034">
        <v>9</v>
      </c>
      <c r="P5034" t="s">
        <v>515</v>
      </c>
      <c r="Q5034" s="97" t="str">
        <f t="shared" si="638"/>
        <v/>
      </c>
      <c r="R5034" t="str">
        <f t="shared" si="639"/>
        <v/>
      </c>
    </row>
    <row r="5035" spans="3:18">
      <c r="C5035" t="str">
        <f t="shared" si="627"/>
        <v/>
      </c>
      <c r="D5035">
        <v>547</v>
      </c>
      <c r="E5035">
        <v>285</v>
      </c>
      <c r="F5035" s="366">
        <f t="shared" si="628"/>
        <v>6184.5</v>
      </c>
      <c r="G5035" s="97">
        <v>6109</v>
      </c>
      <c r="H5035" s="367">
        <f t="shared" si="636"/>
        <v>12293.5</v>
      </c>
      <c r="I5035" s="368">
        <f t="shared" si="637"/>
        <v>0</v>
      </c>
      <c r="J5035">
        <v>15419</v>
      </c>
      <c r="K5035" s="367">
        <f t="shared" si="631"/>
        <v>11013.571428571429</v>
      </c>
      <c r="L5035">
        <v>0.64</v>
      </c>
      <c r="M5035">
        <v>1.4000000000000001</v>
      </c>
      <c r="N5035">
        <v>40</v>
      </c>
      <c r="O5035">
        <v>10</v>
      </c>
      <c r="P5035" t="s">
        <v>515</v>
      </c>
      <c r="Q5035" s="97" t="str">
        <f t="shared" si="638"/>
        <v/>
      </c>
      <c r="R5035" t="str">
        <f t="shared" si="639"/>
        <v/>
      </c>
    </row>
    <row r="5036" spans="3:18">
      <c r="C5036" t="str">
        <f t="shared" si="627"/>
        <v/>
      </c>
      <c r="D5036">
        <v>548</v>
      </c>
      <c r="E5036">
        <v>290</v>
      </c>
      <c r="F5036" s="366">
        <f t="shared" si="628"/>
        <v>6293</v>
      </c>
      <c r="G5036" s="97">
        <v>4673</v>
      </c>
      <c r="H5036" s="367">
        <f t="shared" si="636"/>
        <v>10966</v>
      </c>
      <c r="I5036" s="368">
        <f t="shared" si="637"/>
        <v>0</v>
      </c>
      <c r="J5036">
        <v>11796</v>
      </c>
      <c r="K5036" s="367">
        <f t="shared" si="631"/>
        <v>8425.7142857142862</v>
      </c>
      <c r="L5036">
        <v>0.94000000000000006</v>
      </c>
      <c r="M5036">
        <v>8.5</v>
      </c>
      <c r="N5036">
        <v>40</v>
      </c>
      <c r="O5036">
        <v>8</v>
      </c>
      <c r="P5036" t="s">
        <v>515</v>
      </c>
      <c r="Q5036" s="97" t="str">
        <f t="shared" si="638"/>
        <v/>
      </c>
      <c r="R5036" t="str">
        <f t="shared" si="639"/>
        <v/>
      </c>
    </row>
    <row r="5037" spans="3:18">
      <c r="C5037" t="str">
        <f t="shared" si="627"/>
        <v>NL</v>
      </c>
      <c r="D5037">
        <v>549</v>
      </c>
      <c r="E5037">
        <v>290</v>
      </c>
      <c r="F5037" s="366">
        <f t="shared" si="628"/>
        <v>6293</v>
      </c>
      <c r="G5037" s="97">
        <v>6018</v>
      </c>
      <c r="H5037" s="367">
        <f t="shared" si="636"/>
        <v>12311</v>
      </c>
      <c r="I5037" s="368">
        <f t="shared" si="637"/>
        <v>0</v>
      </c>
      <c r="J5037">
        <v>15189</v>
      </c>
      <c r="K5037" s="367">
        <f t="shared" si="631"/>
        <v>10849.285714285714</v>
      </c>
      <c r="L5037">
        <v>0.78</v>
      </c>
      <c r="M5037">
        <v>9.6</v>
      </c>
      <c r="N5037">
        <v>40</v>
      </c>
      <c r="O5037">
        <v>9</v>
      </c>
      <c r="P5037" t="s">
        <v>515</v>
      </c>
      <c r="Q5037" s="97" t="str">
        <f t="shared" si="638"/>
        <v/>
      </c>
      <c r="R5037" t="str">
        <f t="shared" si="639"/>
        <v/>
      </c>
    </row>
    <row r="5038" spans="3:18">
      <c r="C5038" t="str">
        <f t="shared" si="627"/>
        <v/>
      </c>
      <c r="D5038">
        <v>550</v>
      </c>
      <c r="E5038">
        <v>290</v>
      </c>
      <c r="F5038" s="366">
        <f t="shared" si="628"/>
        <v>6293</v>
      </c>
      <c r="G5038" s="97">
        <v>6179</v>
      </c>
      <c r="H5038" s="367">
        <f t="shared" si="636"/>
        <v>12472</v>
      </c>
      <c r="I5038" s="368">
        <f t="shared" si="637"/>
        <v>0</v>
      </c>
      <c r="J5038">
        <v>15596</v>
      </c>
      <c r="K5038" s="367">
        <f t="shared" si="631"/>
        <v>11140</v>
      </c>
      <c r="L5038">
        <v>0.66</v>
      </c>
      <c r="M5038">
        <v>1.4000000000000001</v>
      </c>
      <c r="N5038">
        <v>40</v>
      </c>
      <c r="O5038">
        <v>10</v>
      </c>
      <c r="P5038" t="s">
        <v>515</v>
      </c>
      <c r="Q5038" s="97" t="str">
        <f t="shared" si="638"/>
        <v/>
      </c>
      <c r="R5038" t="str">
        <f t="shared" si="639"/>
        <v/>
      </c>
    </row>
    <row r="5039" spans="3:18">
      <c r="C5039" t="str">
        <f t="shared" si="627"/>
        <v/>
      </c>
      <c r="D5039">
        <v>551</v>
      </c>
      <c r="E5039">
        <v>295</v>
      </c>
      <c r="F5039" s="366">
        <f t="shared" si="628"/>
        <v>6401.5</v>
      </c>
      <c r="G5039" s="97">
        <v>4726</v>
      </c>
      <c r="H5039" s="367">
        <f t="shared" si="636"/>
        <v>11127.5</v>
      </c>
      <c r="I5039" s="368">
        <f t="shared" si="637"/>
        <v>0</v>
      </c>
      <c r="J5039">
        <v>11928</v>
      </c>
      <c r="K5039" s="367">
        <f t="shared" si="631"/>
        <v>8520</v>
      </c>
      <c r="L5039">
        <v>0.97</v>
      </c>
      <c r="M5039">
        <v>8.5</v>
      </c>
      <c r="N5039">
        <v>41</v>
      </c>
      <c r="O5039">
        <v>8</v>
      </c>
      <c r="P5039" t="s">
        <v>515</v>
      </c>
      <c r="Q5039" s="97" t="str">
        <f t="shared" si="638"/>
        <v/>
      </c>
      <c r="R5039" t="str">
        <f t="shared" si="639"/>
        <v/>
      </c>
    </row>
    <row r="5040" spans="3:18">
      <c r="C5040" t="str">
        <f t="shared" si="627"/>
        <v>NL</v>
      </c>
      <c r="D5040">
        <v>552</v>
      </c>
      <c r="E5040">
        <v>295</v>
      </c>
      <c r="F5040" s="366">
        <f t="shared" si="628"/>
        <v>6401.5</v>
      </c>
      <c r="G5040" s="97">
        <v>6083</v>
      </c>
      <c r="H5040" s="367">
        <f t="shared" si="636"/>
        <v>12484.5</v>
      </c>
      <c r="I5040" s="368">
        <f t="shared" si="637"/>
        <v>0</v>
      </c>
      <c r="J5040">
        <v>15353</v>
      </c>
      <c r="K5040" s="367">
        <f t="shared" si="631"/>
        <v>10966.428571428572</v>
      </c>
      <c r="L5040">
        <v>0.8</v>
      </c>
      <c r="M5040">
        <v>9.6</v>
      </c>
      <c r="N5040">
        <v>41</v>
      </c>
      <c r="O5040">
        <v>9</v>
      </c>
      <c r="P5040" t="s">
        <v>515</v>
      </c>
      <c r="Q5040" s="97" t="str">
        <f t="shared" si="638"/>
        <v/>
      </c>
      <c r="R5040" t="str">
        <f t="shared" si="639"/>
        <v/>
      </c>
    </row>
    <row r="5041" spans="3:18">
      <c r="C5041" t="str">
        <f t="shared" si="627"/>
        <v/>
      </c>
      <c r="D5041">
        <v>553</v>
      </c>
      <c r="E5041">
        <v>295</v>
      </c>
      <c r="F5041" s="366">
        <f t="shared" si="628"/>
        <v>6401.5</v>
      </c>
      <c r="G5041" s="97">
        <v>6250</v>
      </c>
      <c r="H5041" s="367">
        <f t="shared" si="636"/>
        <v>12651.5</v>
      </c>
      <c r="I5041" s="368">
        <f t="shared" si="637"/>
        <v>0</v>
      </c>
      <c r="J5041">
        <v>15774</v>
      </c>
      <c r="K5041" s="367">
        <f t="shared" si="631"/>
        <v>11267.142857142857</v>
      </c>
      <c r="L5041">
        <v>0.69000000000000006</v>
      </c>
      <c r="M5041">
        <v>1.4000000000000001</v>
      </c>
      <c r="N5041">
        <v>41</v>
      </c>
      <c r="O5041">
        <v>10</v>
      </c>
      <c r="P5041" t="s">
        <v>515</v>
      </c>
      <c r="Q5041" s="97" t="str">
        <f t="shared" si="638"/>
        <v/>
      </c>
      <c r="R5041" t="str">
        <f t="shared" si="639"/>
        <v/>
      </c>
    </row>
    <row r="5042" spans="3:18">
      <c r="C5042" t="str">
        <f t="shared" si="627"/>
        <v/>
      </c>
      <c r="D5042">
        <v>554</v>
      </c>
      <c r="E5042">
        <v>300</v>
      </c>
      <c r="F5042" s="366">
        <f t="shared" si="628"/>
        <v>6510</v>
      </c>
      <c r="G5042" s="97">
        <v>4779</v>
      </c>
      <c r="H5042" s="367">
        <f t="shared" si="636"/>
        <v>11289</v>
      </c>
      <c r="I5042" s="368">
        <f t="shared" si="637"/>
        <v>0</v>
      </c>
      <c r="J5042">
        <v>12061</v>
      </c>
      <c r="K5042" s="367">
        <f t="shared" si="631"/>
        <v>8615</v>
      </c>
      <c r="L5042">
        <v>1</v>
      </c>
      <c r="M5042">
        <v>8.5</v>
      </c>
      <c r="N5042">
        <v>41</v>
      </c>
      <c r="O5042">
        <v>8</v>
      </c>
      <c r="P5042" t="s">
        <v>515</v>
      </c>
      <c r="Q5042" s="97" t="str">
        <f t="shared" si="638"/>
        <v/>
      </c>
      <c r="R5042" t="str">
        <f t="shared" si="639"/>
        <v/>
      </c>
    </row>
    <row r="5043" spans="3:18">
      <c r="C5043" t="str">
        <f t="shared" si="627"/>
        <v>NL</v>
      </c>
      <c r="D5043">
        <v>555</v>
      </c>
      <c r="E5043">
        <v>300</v>
      </c>
      <c r="F5043" s="366">
        <f t="shared" si="628"/>
        <v>6510</v>
      </c>
      <c r="G5043" s="97">
        <v>6147</v>
      </c>
      <c r="H5043" s="367">
        <f t="shared" si="636"/>
        <v>12657</v>
      </c>
      <c r="I5043" s="368">
        <f t="shared" si="637"/>
        <v>0</v>
      </c>
      <c r="J5043">
        <v>15516</v>
      </c>
      <c r="K5043" s="367">
        <f t="shared" si="631"/>
        <v>11082.857142857143</v>
      </c>
      <c r="L5043">
        <v>0.83</v>
      </c>
      <c r="M5043">
        <v>9.6</v>
      </c>
      <c r="N5043">
        <v>41</v>
      </c>
      <c r="O5043">
        <v>9</v>
      </c>
      <c r="P5043" t="s">
        <v>515</v>
      </c>
      <c r="Q5043" s="97" t="str">
        <f t="shared" si="638"/>
        <v/>
      </c>
      <c r="R5043" t="str">
        <f t="shared" si="639"/>
        <v/>
      </c>
    </row>
    <row r="5044" spans="3:18">
      <c r="C5044" t="str">
        <f t="shared" si="627"/>
        <v/>
      </c>
      <c r="D5044">
        <v>556</v>
      </c>
      <c r="E5044">
        <v>300</v>
      </c>
      <c r="F5044" s="366">
        <f t="shared" si="628"/>
        <v>6510</v>
      </c>
      <c r="G5044" s="97">
        <v>6320</v>
      </c>
      <c r="H5044" s="367">
        <f t="shared" si="636"/>
        <v>12830</v>
      </c>
      <c r="I5044" s="368">
        <f t="shared" si="637"/>
        <v>0</v>
      </c>
      <c r="J5044">
        <v>15951</v>
      </c>
      <c r="K5044" s="367">
        <f t="shared" si="631"/>
        <v>11393.571428571429</v>
      </c>
      <c r="L5044">
        <v>0.71</v>
      </c>
      <c r="M5044">
        <v>1.4000000000000001</v>
      </c>
      <c r="N5044">
        <v>42</v>
      </c>
      <c r="O5044">
        <v>10</v>
      </c>
      <c r="P5044" t="s">
        <v>515</v>
      </c>
      <c r="Q5044" s="97" t="str">
        <f t="shared" si="638"/>
        <v/>
      </c>
      <c r="R5044" t="str">
        <f t="shared" si="639"/>
        <v/>
      </c>
    </row>
    <row r="5045" spans="3:18">
      <c r="C5045" t="str">
        <f t="shared" si="627"/>
        <v/>
      </c>
      <c r="D5045">
        <v>557</v>
      </c>
      <c r="E5045">
        <v>305</v>
      </c>
      <c r="F5045" s="366">
        <f t="shared" si="628"/>
        <v>6618.5</v>
      </c>
      <c r="G5045" s="97">
        <v>4831</v>
      </c>
      <c r="H5045" s="367">
        <f t="shared" si="636"/>
        <v>11449.5</v>
      </c>
      <c r="I5045" s="368">
        <f t="shared" si="637"/>
        <v>0</v>
      </c>
      <c r="J5045">
        <v>12194</v>
      </c>
      <c r="K5045" s="367">
        <f t="shared" si="631"/>
        <v>8710</v>
      </c>
      <c r="L5045">
        <v>1.04</v>
      </c>
      <c r="M5045">
        <v>8.5</v>
      </c>
      <c r="N5045">
        <v>42</v>
      </c>
      <c r="O5045">
        <v>8</v>
      </c>
      <c r="P5045" t="s">
        <v>515</v>
      </c>
      <c r="Q5045" s="97" t="str">
        <f t="shared" si="638"/>
        <v/>
      </c>
      <c r="R5045" t="str">
        <f t="shared" si="639"/>
        <v/>
      </c>
    </row>
    <row r="5046" spans="3:18">
      <c r="C5046" t="str">
        <f t="shared" si="627"/>
        <v>NL</v>
      </c>
      <c r="D5046">
        <v>558</v>
      </c>
      <c r="E5046">
        <v>305</v>
      </c>
      <c r="F5046" s="366">
        <f t="shared" si="628"/>
        <v>6618.5</v>
      </c>
      <c r="G5046" s="97">
        <v>6212</v>
      </c>
      <c r="H5046" s="367">
        <f t="shared" si="636"/>
        <v>12830.5</v>
      </c>
      <c r="I5046" s="368">
        <f t="shared" si="637"/>
        <v>0</v>
      </c>
      <c r="J5046">
        <v>15679</v>
      </c>
      <c r="K5046" s="367">
        <f t="shared" si="631"/>
        <v>11199.285714285714</v>
      </c>
      <c r="L5046">
        <v>0.86</v>
      </c>
      <c r="M5046">
        <v>9.6</v>
      </c>
      <c r="N5046">
        <v>42</v>
      </c>
      <c r="O5046">
        <v>9</v>
      </c>
      <c r="P5046" t="s">
        <v>515</v>
      </c>
      <c r="Q5046" s="97" t="str">
        <f t="shared" si="638"/>
        <v/>
      </c>
      <c r="R5046" t="str">
        <f t="shared" si="639"/>
        <v/>
      </c>
    </row>
    <row r="5047" spans="3:18">
      <c r="C5047" t="str">
        <f t="shared" si="627"/>
        <v/>
      </c>
      <c r="D5047">
        <v>559</v>
      </c>
      <c r="E5047">
        <v>305</v>
      </c>
      <c r="F5047" s="366">
        <f t="shared" si="628"/>
        <v>6618.5</v>
      </c>
      <c r="G5047" s="97">
        <v>6390</v>
      </c>
      <c r="H5047" s="367">
        <f t="shared" si="636"/>
        <v>13008.5</v>
      </c>
      <c r="I5047" s="368">
        <f t="shared" si="637"/>
        <v>0</v>
      </c>
      <c r="J5047">
        <v>16128</v>
      </c>
      <c r="K5047" s="367">
        <f t="shared" si="631"/>
        <v>11520</v>
      </c>
      <c r="L5047">
        <v>0.73</v>
      </c>
      <c r="M5047">
        <v>1.4000000000000001</v>
      </c>
      <c r="N5047">
        <v>42</v>
      </c>
      <c r="O5047">
        <v>10</v>
      </c>
      <c r="P5047" t="s">
        <v>515</v>
      </c>
      <c r="Q5047" s="97" t="str">
        <f t="shared" si="638"/>
        <v/>
      </c>
      <c r="R5047" t="str">
        <f t="shared" si="639"/>
        <v/>
      </c>
    </row>
    <row r="5048" spans="3:18">
      <c r="C5048" t="str">
        <f t="shared" si="627"/>
        <v>NL</v>
      </c>
      <c r="D5048">
        <v>560</v>
      </c>
      <c r="E5048">
        <v>310</v>
      </c>
      <c r="F5048" s="366">
        <f t="shared" si="628"/>
        <v>6727</v>
      </c>
      <c r="G5048" s="97">
        <v>6277</v>
      </c>
      <c r="H5048" s="367">
        <f t="shared" si="636"/>
        <v>13004</v>
      </c>
      <c r="I5048" s="368">
        <f t="shared" si="637"/>
        <v>0</v>
      </c>
      <c r="J5048">
        <v>15842</v>
      </c>
      <c r="K5048" s="367">
        <f t="shared" si="631"/>
        <v>11315.714285714286</v>
      </c>
      <c r="L5048">
        <v>0.89</v>
      </c>
      <c r="M5048">
        <v>9.6</v>
      </c>
      <c r="N5048">
        <v>43</v>
      </c>
      <c r="O5048">
        <v>9</v>
      </c>
      <c r="P5048" t="s">
        <v>515</v>
      </c>
      <c r="Q5048" s="97" t="str">
        <f t="shared" si="638"/>
        <v/>
      </c>
      <c r="R5048" t="str">
        <f t="shared" si="639"/>
        <v/>
      </c>
    </row>
    <row r="5049" spans="3:18">
      <c r="C5049" t="str">
        <f t="shared" si="627"/>
        <v/>
      </c>
      <c r="D5049">
        <v>561</v>
      </c>
      <c r="E5049">
        <v>310</v>
      </c>
      <c r="F5049" s="366">
        <f t="shared" si="628"/>
        <v>6727</v>
      </c>
      <c r="G5049" s="97">
        <v>6460</v>
      </c>
      <c r="H5049" s="367">
        <f t="shared" si="636"/>
        <v>13187</v>
      </c>
      <c r="I5049" s="368">
        <f t="shared" si="637"/>
        <v>0</v>
      </c>
      <c r="J5049">
        <v>16305</v>
      </c>
      <c r="K5049" s="367">
        <f t="shared" si="631"/>
        <v>11646.428571428572</v>
      </c>
      <c r="L5049">
        <v>0.76</v>
      </c>
      <c r="M5049">
        <v>1.4000000000000001</v>
      </c>
      <c r="N5049">
        <v>43</v>
      </c>
      <c r="O5049">
        <v>10</v>
      </c>
      <c r="P5049" t="s">
        <v>515</v>
      </c>
      <c r="Q5049" s="97" t="str">
        <f t="shared" si="638"/>
        <v/>
      </c>
      <c r="R5049" t="str">
        <f t="shared" si="639"/>
        <v/>
      </c>
    </row>
    <row r="5050" spans="3:18">
      <c r="C5050" t="str">
        <f t="shared" si="627"/>
        <v>NL</v>
      </c>
      <c r="D5050">
        <v>562</v>
      </c>
      <c r="E5050">
        <v>315</v>
      </c>
      <c r="F5050" s="366">
        <f t="shared" si="628"/>
        <v>6835.5</v>
      </c>
      <c r="G5050" s="97">
        <v>6341</v>
      </c>
      <c r="H5050" s="367">
        <f t="shared" si="636"/>
        <v>13176.5</v>
      </c>
      <c r="I5050" s="368">
        <f t="shared" si="637"/>
        <v>0</v>
      </c>
      <c r="J5050">
        <v>16005</v>
      </c>
      <c r="K5050" s="367">
        <f t="shared" si="631"/>
        <v>11432.142857142857</v>
      </c>
      <c r="L5050">
        <v>0.92</v>
      </c>
      <c r="M5050">
        <v>9.6</v>
      </c>
      <c r="N5050">
        <v>43</v>
      </c>
      <c r="O5050">
        <v>9</v>
      </c>
      <c r="P5050" t="s">
        <v>515</v>
      </c>
      <c r="Q5050" s="97" t="str">
        <f t="shared" si="638"/>
        <v/>
      </c>
      <c r="R5050" t="str">
        <f t="shared" si="639"/>
        <v/>
      </c>
    </row>
    <row r="5051" spans="3:18">
      <c r="C5051" t="str">
        <f t="shared" si="627"/>
        <v/>
      </c>
      <c r="D5051">
        <v>563</v>
      </c>
      <c r="E5051">
        <v>315</v>
      </c>
      <c r="F5051" s="366">
        <f t="shared" si="628"/>
        <v>6835.5</v>
      </c>
      <c r="G5051" s="97">
        <v>6525</v>
      </c>
      <c r="H5051" s="367">
        <f t="shared" si="636"/>
        <v>13360.5</v>
      </c>
      <c r="I5051" s="368">
        <f t="shared" si="637"/>
        <v>0</v>
      </c>
      <c r="J5051">
        <v>16468</v>
      </c>
      <c r="K5051" s="367">
        <f t="shared" si="631"/>
        <v>11762.857142857143</v>
      </c>
      <c r="L5051">
        <v>0.78</v>
      </c>
      <c r="M5051">
        <v>1.4000000000000001</v>
      </c>
      <c r="N5051">
        <v>44</v>
      </c>
      <c r="O5051">
        <v>10</v>
      </c>
      <c r="P5051" t="s">
        <v>515</v>
      </c>
      <c r="Q5051" s="97" t="str">
        <f t="shared" si="638"/>
        <v/>
      </c>
      <c r="R5051" t="str">
        <f t="shared" si="639"/>
        <v/>
      </c>
    </row>
    <row r="5052" spans="3:18">
      <c r="C5052" t="str">
        <f t="shared" si="627"/>
        <v>NL</v>
      </c>
      <c r="D5052">
        <v>564</v>
      </c>
      <c r="E5052">
        <v>320</v>
      </c>
      <c r="F5052" s="366">
        <f t="shared" si="628"/>
        <v>6944</v>
      </c>
      <c r="G5052" s="97">
        <v>6406</v>
      </c>
      <c r="H5052" s="367">
        <f t="shared" si="636"/>
        <v>13350</v>
      </c>
      <c r="I5052" s="368">
        <f t="shared" si="637"/>
        <v>0</v>
      </c>
      <c r="J5052">
        <v>16169</v>
      </c>
      <c r="K5052" s="367">
        <f t="shared" si="631"/>
        <v>11549.285714285714</v>
      </c>
      <c r="L5052">
        <v>0.94000000000000006</v>
      </c>
      <c r="M5052">
        <v>9.6</v>
      </c>
      <c r="N5052">
        <v>44</v>
      </c>
      <c r="O5052">
        <v>9</v>
      </c>
      <c r="P5052" t="s">
        <v>515</v>
      </c>
      <c r="Q5052" s="97" t="str">
        <f t="shared" si="638"/>
        <v/>
      </c>
      <c r="R5052" t="str">
        <f t="shared" si="639"/>
        <v/>
      </c>
    </row>
    <row r="5053" spans="3:18">
      <c r="C5053" t="str">
        <f t="shared" si="627"/>
        <v/>
      </c>
      <c r="D5053">
        <v>565</v>
      </c>
      <c r="E5053">
        <v>320</v>
      </c>
      <c r="F5053" s="366">
        <f t="shared" si="628"/>
        <v>6944</v>
      </c>
      <c r="G5053" s="97">
        <v>6588</v>
      </c>
      <c r="H5053" s="367">
        <f t="shared" si="636"/>
        <v>13532</v>
      </c>
      <c r="I5053" s="368">
        <f t="shared" si="637"/>
        <v>0</v>
      </c>
      <c r="J5053">
        <v>16627</v>
      </c>
      <c r="K5053" s="367">
        <f t="shared" si="631"/>
        <v>11876.428571428572</v>
      </c>
      <c r="L5053">
        <v>0.81</v>
      </c>
      <c r="M5053">
        <v>1.4000000000000001</v>
      </c>
      <c r="N5053">
        <v>44</v>
      </c>
      <c r="O5053">
        <v>10</v>
      </c>
      <c r="P5053" t="s">
        <v>515</v>
      </c>
      <c r="Q5053" s="97" t="str">
        <f t="shared" si="638"/>
        <v/>
      </c>
      <c r="R5053" t="str">
        <f t="shared" si="639"/>
        <v/>
      </c>
    </row>
    <row r="5054" spans="3:18">
      <c r="C5054" t="str">
        <f t="shared" si="627"/>
        <v>NL</v>
      </c>
      <c r="D5054">
        <v>566</v>
      </c>
      <c r="E5054">
        <v>325</v>
      </c>
      <c r="F5054" s="366">
        <f t="shared" si="628"/>
        <v>7052.5</v>
      </c>
      <c r="G5054" s="97">
        <v>6471</v>
      </c>
      <c r="H5054" s="367">
        <f t="shared" si="636"/>
        <v>13523.5</v>
      </c>
      <c r="I5054" s="368">
        <f t="shared" si="637"/>
        <v>0</v>
      </c>
      <c r="J5054">
        <v>16332</v>
      </c>
      <c r="K5054" s="367">
        <f t="shared" si="631"/>
        <v>11665.714285714286</v>
      </c>
      <c r="L5054">
        <v>0.97</v>
      </c>
      <c r="M5054">
        <v>9.6</v>
      </c>
      <c r="N5054">
        <v>45</v>
      </c>
      <c r="O5054">
        <v>9</v>
      </c>
      <c r="P5054" t="s">
        <v>515</v>
      </c>
      <c r="Q5054" s="97" t="str">
        <f t="shared" si="638"/>
        <v/>
      </c>
      <c r="R5054" t="str">
        <f t="shared" si="639"/>
        <v/>
      </c>
    </row>
    <row r="5055" spans="3:18">
      <c r="C5055" t="str">
        <f t="shared" si="627"/>
        <v/>
      </c>
      <c r="D5055">
        <v>567</v>
      </c>
      <c r="E5055">
        <v>325</v>
      </c>
      <c r="F5055" s="366">
        <f t="shared" si="628"/>
        <v>7052.5</v>
      </c>
      <c r="G5055" s="97">
        <v>6651</v>
      </c>
      <c r="H5055" s="367">
        <f t="shared" si="636"/>
        <v>13703.5</v>
      </c>
      <c r="I5055" s="368">
        <f t="shared" si="637"/>
        <v>0</v>
      </c>
      <c r="J5055">
        <v>16786</v>
      </c>
      <c r="K5055" s="367">
        <f t="shared" si="631"/>
        <v>11990</v>
      </c>
      <c r="L5055">
        <v>0.83</v>
      </c>
      <c r="M5055">
        <v>1.4000000000000001</v>
      </c>
      <c r="N5055">
        <v>45</v>
      </c>
      <c r="O5055">
        <v>10</v>
      </c>
      <c r="P5055" t="s">
        <v>515</v>
      </c>
      <c r="Q5055" s="97" t="str">
        <f t="shared" si="638"/>
        <v/>
      </c>
      <c r="R5055" t="str">
        <f t="shared" si="639"/>
        <v/>
      </c>
    </row>
    <row r="5056" spans="3:18">
      <c r="C5056" t="str">
        <f t="shared" si="627"/>
        <v>NL</v>
      </c>
      <c r="D5056">
        <v>568</v>
      </c>
      <c r="E5056">
        <v>330</v>
      </c>
      <c r="F5056" s="366">
        <f t="shared" si="628"/>
        <v>7161</v>
      </c>
      <c r="G5056" s="97">
        <v>6534</v>
      </c>
      <c r="H5056" s="367">
        <f t="shared" si="636"/>
        <v>13695</v>
      </c>
      <c r="I5056" s="368">
        <f t="shared" si="637"/>
        <v>0</v>
      </c>
      <c r="J5056">
        <v>16491</v>
      </c>
      <c r="K5056" s="367">
        <f t="shared" si="631"/>
        <v>11779.285714285714</v>
      </c>
      <c r="L5056">
        <v>1</v>
      </c>
      <c r="M5056">
        <v>9.6</v>
      </c>
      <c r="N5056">
        <v>45</v>
      </c>
      <c r="O5056">
        <v>9</v>
      </c>
      <c r="P5056" t="s">
        <v>515</v>
      </c>
      <c r="Q5056" s="97" t="str">
        <f t="shared" si="638"/>
        <v/>
      </c>
      <c r="R5056" t="str">
        <f t="shared" si="639"/>
        <v/>
      </c>
    </row>
    <row r="5057" spans="2:18">
      <c r="C5057" t="str">
        <f t="shared" si="627"/>
        <v/>
      </c>
      <c r="D5057">
        <v>569</v>
      </c>
      <c r="E5057">
        <v>330</v>
      </c>
      <c r="F5057" s="366">
        <f t="shared" si="628"/>
        <v>7161</v>
      </c>
      <c r="G5057" s="97">
        <v>6714</v>
      </c>
      <c r="H5057" s="367">
        <f t="shared" si="636"/>
        <v>13875</v>
      </c>
      <c r="I5057" s="368">
        <f t="shared" si="637"/>
        <v>0</v>
      </c>
      <c r="J5057">
        <v>16945</v>
      </c>
      <c r="K5057" s="367">
        <f t="shared" si="631"/>
        <v>12103.571428571429</v>
      </c>
      <c r="L5057">
        <v>0.86</v>
      </c>
      <c r="M5057">
        <v>1.4000000000000001</v>
      </c>
      <c r="N5057">
        <v>46</v>
      </c>
      <c r="O5057">
        <v>10</v>
      </c>
      <c r="P5057" t="s">
        <v>515</v>
      </c>
      <c r="Q5057" s="97" t="str">
        <f t="shared" si="638"/>
        <v/>
      </c>
      <c r="R5057" t="str">
        <f t="shared" si="639"/>
        <v/>
      </c>
    </row>
    <row r="5058" spans="2:18">
      <c r="C5058" t="str">
        <f t="shared" si="627"/>
        <v>NL</v>
      </c>
      <c r="D5058">
        <v>570</v>
      </c>
      <c r="E5058">
        <v>335</v>
      </c>
      <c r="F5058" s="366">
        <f t="shared" si="628"/>
        <v>7269.5</v>
      </c>
      <c r="G5058" s="97">
        <v>6593</v>
      </c>
      <c r="H5058" s="367">
        <f t="shared" si="636"/>
        <v>13862.5</v>
      </c>
      <c r="I5058" s="368">
        <f t="shared" si="637"/>
        <v>0</v>
      </c>
      <c r="J5058">
        <v>16640</v>
      </c>
      <c r="K5058" s="367">
        <f t="shared" si="631"/>
        <v>11885.714285714286</v>
      </c>
      <c r="L5058">
        <v>1.03</v>
      </c>
      <c r="M5058">
        <v>9.6</v>
      </c>
      <c r="N5058">
        <v>46</v>
      </c>
      <c r="O5058">
        <v>9</v>
      </c>
      <c r="P5058" t="s">
        <v>515</v>
      </c>
      <c r="Q5058" s="97" t="str">
        <f t="shared" si="638"/>
        <v/>
      </c>
      <c r="R5058" t="str">
        <f t="shared" si="639"/>
        <v/>
      </c>
    </row>
    <row r="5059" spans="2:18">
      <c r="C5059" t="str">
        <f t="shared" si="627"/>
        <v/>
      </c>
      <c r="D5059">
        <v>571</v>
      </c>
      <c r="E5059">
        <v>335</v>
      </c>
      <c r="F5059" s="366">
        <f t="shared" si="628"/>
        <v>7269.5</v>
      </c>
      <c r="G5059" s="97">
        <v>6777</v>
      </c>
      <c r="H5059" s="367">
        <f t="shared" si="636"/>
        <v>14046.5</v>
      </c>
      <c r="I5059" s="368">
        <f t="shared" si="637"/>
        <v>0</v>
      </c>
      <c r="J5059">
        <v>17104</v>
      </c>
      <c r="K5059" s="367">
        <f t="shared" si="631"/>
        <v>12217.142857142857</v>
      </c>
      <c r="L5059">
        <v>0.88</v>
      </c>
      <c r="M5059">
        <v>1.4000000000000001</v>
      </c>
      <c r="N5059">
        <v>46</v>
      </c>
      <c r="O5059">
        <v>10</v>
      </c>
      <c r="P5059" t="s">
        <v>515</v>
      </c>
      <c r="Q5059" s="97" t="str">
        <f t="shared" si="638"/>
        <v/>
      </c>
      <c r="R5059" t="str">
        <f t="shared" si="639"/>
        <v/>
      </c>
    </row>
    <row r="5060" spans="2:18">
      <c r="C5060" t="str">
        <f t="shared" si="627"/>
        <v/>
      </c>
      <c r="D5060">
        <v>572</v>
      </c>
      <c r="E5060">
        <v>340</v>
      </c>
      <c r="F5060" s="366">
        <f t="shared" si="628"/>
        <v>7378</v>
      </c>
      <c r="G5060" s="97">
        <v>6840</v>
      </c>
      <c r="H5060" s="367">
        <f t="shared" si="636"/>
        <v>14218</v>
      </c>
      <c r="I5060" s="368">
        <f t="shared" si="637"/>
        <v>0</v>
      </c>
      <c r="J5060">
        <v>17263</v>
      </c>
      <c r="K5060" s="367">
        <f t="shared" si="631"/>
        <v>12330.714285714286</v>
      </c>
      <c r="L5060">
        <v>0.91</v>
      </c>
      <c r="M5060">
        <v>1.4000000000000001</v>
      </c>
      <c r="N5060">
        <v>47</v>
      </c>
      <c r="O5060">
        <v>10</v>
      </c>
      <c r="P5060" t="s">
        <v>515</v>
      </c>
      <c r="Q5060" s="97" t="str">
        <f t="shared" si="638"/>
        <v/>
      </c>
      <c r="R5060" t="str">
        <f t="shared" si="639"/>
        <v/>
      </c>
    </row>
    <row r="5061" spans="2:18">
      <c r="C5061" t="str">
        <f t="shared" si="627"/>
        <v/>
      </c>
      <c r="D5061">
        <v>573</v>
      </c>
      <c r="E5061">
        <v>345</v>
      </c>
      <c r="F5061" s="366">
        <f t="shared" si="628"/>
        <v>7486.5</v>
      </c>
      <c r="G5061" s="97">
        <v>6903</v>
      </c>
      <c r="H5061" s="367">
        <f t="shared" si="636"/>
        <v>14389.5</v>
      </c>
      <c r="I5061" s="368">
        <f t="shared" si="637"/>
        <v>0</v>
      </c>
      <c r="J5061">
        <v>17423</v>
      </c>
      <c r="K5061" s="367">
        <f t="shared" si="631"/>
        <v>12445</v>
      </c>
      <c r="L5061">
        <v>0.94000000000000006</v>
      </c>
      <c r="M5061">
        <v>1.4000000000000001</v>
      </c>
      <c r="N5061">
        <v>47</v>
      </c>
      <c r="O5061">
        <v>10</v>
      </c>
      <c r="P5061" t="s">
        <v>515</v>
      </c>
      <c r="Q5061" s="97" t="str">
        <f t="shared" si="638"/>
        <v/>
      </c>
      <c r="R5061" t="str">
        <f t="shared" si="639"/>
        <v/>
      </c>
    </row>
    <row r="5062" spans="2:18">
      <c r="C5062" t="str">
        <f t="shared" si="627"/>
        <v/>
      </c>
      <c r="D5062">
        <v>574</v>
      </c>
      <c r="E5062">
        <v>350</v>
      </c>
      <c r="F5062" s="366">
        <f t="shared" si="628"/>
        <v>7595</v>
      </c>
      <c r="G5062" s="97">
        <v>6966</v>
      </c>
      <c r="H5062" s="367">
        <f t="shared" si="636"/>
        <v>14561</v>
      </c>
      <c r="I5062" s="368">
        <f t="shared" si="637"/>
        <v>0</v>
      </c>
      <c r="J5062">
        <v>17582</v>
      </c>
      <c r="K5062" s="367">
        <f t="shared" si="631"/>
        <v>12558.571428571429</v>
      </c>
      <c r="L5062">
        <v>0.96</v>
      </c>
      <c r="M5062">
        <v>1.4000000000000001</v>
      </c>
      <c r="N5062">
        <v>48</v>
      </c>
      <c r="O5062">
        <v>10</v>
      </c>
      <c r="P5062" t="s">
        <v>515</v>
      </c>
      <c r="Q5062" s="97" t="str">
        <f t="shared" si="638"/>
        <v/>
      </c>
      <c r="R5062" t="str">
        <f t="shared" si="639"/>
        <v/>
      </c>
    </row>
    <row r="5063" spans="2:18">
      <c r="C5063" t="str">
        <f t="shared" si="627"/>
        <v/>
      </c>
      <c r="D5063">
        <v>575</v>
      </c>
      <c r="E5063">
        <v>355</v>
      </c>
      <c r="F5063" s="366">
        <f t="shared" si="628"/>
        <v>7703.5</v>
      </c>
      <c r="G5063" s="97">
        <v>7029</v>
      </c>
      <c r="H5063" s="367">
        <f t="shared" si="636"/>
        <v>14732.5</v>
      </c>
      <c r="I5063" s="368">
        <f t="shared" si="637"/>
        <v>0</v>
      </c>
      <c r="J5063">
        <v>17741</v>
      </c>
      <c r="K5063" s="367">
        <f t="shared" si="631"/>
        <v>12672.142857142857</v>
      </c>
      <c r="L5063">
        <v>0.99</v>
      </c>
      <c r="M5063">
        <v>1.4000000000000001</v>
      </c>
      <c r="N5063">
        <v>49</v>
      </c>
      <c r="O5063">
        <v>10</v>
      </c>
      <c r="P5063" t="s">
        <v>515</v>
      </c>
      <c r="Q5063" s="97" t="str">
        <f t="shared" si="638"/>
        <v/>
      </c>
      <c r="R5063" t="str">
        <f t="shared" si="639"/>
        <v/>
      </c>
    </row>
    <row r="5064" spans="2:18">
      <c r="C5064" t="str">
        <f t="shared" si="627"/>
        <v/>
      </c>
      <c r="D5064">
        <v>576</v>
      </c>
      <c r="E5064">
        <v>360</v>
      </c>
      <c r="F5064" s="366">
        <f t="shared" si="628"/>
        <v>7812</v>
      </c>
      <c r="G5064" s="97">
        <v>7092</v>
      </c>
      <c r="H5064" s="367">
        <f t="shared" si="636"/>
        <v>14904</v>
      </c>
      <c r="I5064" s="368">
        <f t="shared" si="637"/>
        <v>0</v>
      </c>
      <c r="J5064">
        <v>17900</v>
      </c>
      <c r="K5064" s="367">
        <f t="shared" si="631"/>
        <v>12785.714285714286</v>
      </c>
      <c r="L5064">
        <v>1.02</v>
      </c>
      <c r="M5064">
        <v>1.4000000000000001</v>
      </c>
      <c r="N5064">
        <v>49</v>
      </c>
      <c r="O5064">
        <v>10</v>
      </c>
      <c r="P5064" t="s">
        <v>515</v>
      </c>
      <c r="Q5064" s="97" t="str">
        <f t="shared" si="638"/>
        <v/>
      </c>
      <c r="R5064" t="str">
        <f t="shared" si="639"/>
        <v/>
      </c>
    </row>
    <row r="5065" spans="2:18">
      <c r="C5065" t="str">
        <f t="shared" si="627"/>
        <v/>
      </c>
      <c r="D5065">
        <v>577</v>
      </c>
      <c r="E5065">
        <v>365</v>
      </c>
      <c r="F5065" s="366">
        <f t="shared" si="628"/>
        <v>7920.5</v>
      </c>
      <c r="G5065" s="97">
        <v>7155</v>
      </c>
      <c r="H5065" s="367">
        <f t="shared" si="636"/>
        <v>15075.5</v>
      </c>
      <c r="I5065" s="368">
        <f t="shared" si="637"/>
        <v>0</v>
      </c>
      <c r="J5065">
        <v>18059</v>
      </c>
      <c r="K5065" s="367">
        <f t="shared" si="631"/>
        <v>12899.285714285714</v>
      </c>
      <c r="L5065">
        <v>1.05</v>
      </c>
      <c r="M5065">
        <v>1.4000000000000001</v>
      </c>
      <c r="N5065">
        <v>50</v>
      </c>
      <c r="O5065">
        <v>10</v>
      </c>
      <c r="P5065" t="s">
        <v>515</v>
      </c>
      <c r="Q5065" s="97" t="str">
        <f t="shared" si="638"/>
        <v/>
      </c>
      <c r="R5065" t="str">
        <f t="shared" si="639"/>
        <v/>
      </c>
    </row>
    <row r="5066" spans="2:18">
      <c r="C5066" t="str">
        <f t="shared" si="627"/>
        <v/>
      </c>
      <c r="D5066">
        <v>578</v>
      </c>
      <c r="E5066">
        <v>370</v>
      </c>
      <c r="F5066" s="366">
        <f t="shared" si="628"/>
        <v>8029</v>
      </c>
      <c r="G5066" s="97">
        <v>7215</v>
      </c>
      <c r="H5066" s="367">
        <f t="shared" ref="H5066" si="640">(G5066*$U$7)+F5066</f>
        <v>15244</v>
      </c>
      <c r="I5066" s="368">
        <f t="shared" ref="I5066" si="641">1.085*($C$2-$D$2)*E5066*$T$7</f>
        <v>0</v>
      </c>
      <c r="J5066">
        <v>18211</v>
      </c>
      <c r="K5066" s="367">
        <f t="shared" si="631"/>
        <v>13007.857142857143</v>
      </c>
      <c r="L5066">
        <v>1.07</v>
      </c>
      <c r="M5066">
        <v>1.4000000000000001</v>
      </c>
      <c r="N5066">
        <v>50</v>
      </c>
      <c r="O5066">
        <v>10</v>
      </c>
      <c r="P5066" t="s">
        <v>515</v>
      </c>
      <c r="Q5066" s="97" t="str">
        <f t="shared" si="638"/>
        <v/>
      </c>
      <c r="R5066" t="str">
        <f t="shared" si="639"/>
        <v/>
      </c>
    </row>
    <row r="5067" spans="2:18">
      <c r="B5067" s="582"/>
    </row>
    <row r="5068" spans="2:18">
      <c r="B5068" s="582"/>
      <c r="C5068" t="str">
        <f t="shared" si="627"/>
        <v/>
      </c>
      <c r="D5068">
        <v>1</v>
      </c>
      <c r="E5068">
        <v>5</v>
      </c>
      <c r="F5068" s="366">
        <f t="shared" si="628"/>
        <v>108.5</v>
      </c>
      <c r="G5068" s="97">
        <v>263</v>
      </c>
      <c r="H5068" s="367">
        <f t="shared" ref="H5068" si="642">(G5068*$U$7)+F5068</f>
        <v>371.5</v>
      </c>
      <c r="I5068" s="368">
        <f t="shared" ref="I5068" si="643">1.085*($C$2-$D$2)*E5068*$T$7</f>
        <v>0</v>
      </c>
      <c r="J5068">
        <v>913</v>
      </c>
      <c r="K5068" s="367">
        <f t="shared" si="631"/>
        <v>652.14285714285711</v>
      </c>
      <c r="L5068" s="607">
        <v>0.23</v>
      </c>
      <c r="M5068">
        <v>3.4</v>
      </c>
      <c r="N5068" s="381">
        <v>15</v>
      </c>
      <c r="O5068">
        <v>2</v>
      </c>
      <c r="P5068" t="s">
        <v>513</v>
      </c>
      <c r="Q5068" s="97" t="str">
        <f t="shared" ref="Q5068" si="644">IF(AND(H5068+1&gt;$E$4,L5068&lt;$L$4+0.01,M5068&lt;$M$4+0.01,K5068+1&gt;$F$4,E5068+1&gt;$J$4,N5068&lt;$K$4+1,O5068&lt;$P$4+1,C5068=""),D5068,"")</f>
        <v/>
      </c>
      <c r="R5068" t="str">
        <f>IF(Q5068="","",IF(AND(O5068&lt;$X$37,E5068&gt;$U$37,E5068&lt;$Q$4+$U$37+1),D5068,""))</f>
        <v/>
      </c>
    </row>
    <row r="5069" spans="2:18">
      <c r="C5069" t="str">
        <f t="shared" si="627"/>
        <v/>
      </c>
      <c r="D5069">
        <v>2</v>
      </c>
      <c r="E5069">
        <v>5</v>
      </c>
      <c r="F5069" s="366">
        <f t="shared" ref="F5069:F5132" si="645">1.085*($A$2-$B$2)*E5069*$T$7</f>
        <v>108.5</v>
      </c>
      <c r="G5069" s="97">
        <v>286</v>
      </c>
      <c r="H5069" s="367">
        <f t="shared" ref="H5069:H5132" si="646">(G5069*$U$7)+F5069</f>
        <v>394.5</v>
      </c>
      <c r="I5069" s="368">
        <f t="shared" ref="I5069:I5132" si="647">1.085*($C$2-$D$2)*E5069*$T$7</f>
        <v>0</v>
      </c>
      <c r="J5069">
        <v>993</v>
      </c>
      <c r="K5069" s="367">
        <f t="shared" ref="K5069:K5132" si="648">(J5069*$V$7)-I5069</f>
        <v>709.28571428571433</v>
      </c>
      <c r="L5069" s="607">
        <v>0.55000000000000004</v>
      </c>
      <c r="M5069">
        <v>3.4</v>
      </c>
      <c r="N5069" s="381">
        <v>15</v>
      </c>
      <c r="O5069">
        <v>2</v>
      </c>
      <c r="P5069" t="s">
        <v>512</v>
      </c>
      <c r="Q5069" s="97" t="str">
        <f t="shared" ref="Q5069:Q5132" si="649">IF(AND(H5069+1&gt;$E$4,L5069&lt;$L$4+0.01,M5069&lt;$M$4+0.01,K5069+1&gt;$F$4,E5069+1&gt;$J$4,N5069&lt;$K$4+1,O5069&lt;$P$4+1,C5069=""),D5069,"")</f>
        <v/>
      </c>
      <c r="R5069" t="str">
        <f t="shared" ref="R5069:R5132" si="650">IF(Q5069="","",IF(AND(O5069&lt;$X$37,E5069&gt;$U$37,E5069&lt;$Q$4+$U$37+1),D5069,""))</f>
        <v/>
      </c>
    </row>
    <row r="5070" spans="2:18">
      <c r="C5070" t="str">
        <f t="shared" si="627"/>
        <v/>
      </c>
      <c r="D5070">
        <v>3</v>
      </c>
      <c r="E5070">
        <v>10</v>
      </c>
      <c r="F5070" s="366">
        <f t="shared" si="645"/>
        <v>217</v>
      </c>
      <c r="G5070" s="97">
        <v>325</v>
      </c>
      <c r="H5070" s="367">
        <f t="shared" si="646"/>
        <v>542</v>
      </c>
      <c r="I5070" s="368">
        <f t="shared" si="647"/>
        <v>0</v>
      </c>
      <c r="J5070">
        <v>1131</v>
      </c>
      <c r="K5070" s="367">
        <f t="shared" si="648"/>
        <v>807.85714285714289</v>
      </c>
      <c r="L5070" s="607">
        <v>0.27</v>
      </c>
      <c r="M5070">
        <v>3.4</v>
      </c>
      <c r="N5070" s="381">
        <v>15</v>
      </c>
      <c r="O5070">
        <v>2</v>
      </c>
      <c r="P5070" t="s">
        <v>514</v>
      </c>
      <c r="Q5070" s="97" t="str">
        <f t="shared" si="649"/>
        <v/>
      </c>
      <c r="R5070" t="str">
        <f t="shared" si="650"/>
        <v/>
      </c>
    </row>
    <row r="5071" spans="2:18">
      <c r="C5071" t="str">
        <f t="shared" si="627"/>
        <v>NL</v>
      </c>
      <c r="D5071">
        <v>4</v>
      </c>
      <c r="E5071">
        <v>10</v>
      </c>
      <c r="F5071" s="366">
        <f t="shared" si="645"/>
        <v>217</v>
      </c>
      <c r="G5071" s="97">
        <v>498</v>
      </c>
      <c r="H5071" s="367">
        <f t="shared" si="646"/>
        <v>715</v>
      </c>
      <c r="I5071" s="368">
        <f t="shared" si="647"/>
        <v>0</v>
      </c>
      <c r="J5071">
        <v>1730</v>
      </c>
      <c r="K5071" s="367">
        <f t="shared" si="648"/>
        <v>1235.7142857142858</v>
      </c>
      <c r="L5071" s="607">
        <v>0.32</v>
      </c>
      <c r="M5071">
        <v>4.8</v>
      </c>
      <c r="N5071" s="381">
        <v>15</v>
      </c>
      <c r="O5071">
        <v>3</v>
      </c>
      <c r="P5071" t="s">
        <v>513</v>
      </c>
      <c r="Q5071" s="97" t="str">
        <f t="shared" si="649"/>
        <v/>
      </c>
      <c r="R5071" t="str">
        <f t="shared" si="650"/>
        <v/>
      </c>
    </row>
    <row r="5072" spans="2:18">
      <c r="C5072" t="str">
        <f t="shared" si="627"/>
        <v>NL</v>
      </c>
      <c r="D5072">
        <v>5</v>
      </c>
      <c r="E5072">
        <v>10</v>
      </c>
      <c r="F5072" s="366">
        <f t="shared" si="645"/>
        <v>217</v>
      </c>
      <c r="G5072" s="97">
        <v>544</v>
      </c>
      <c r="H5072" s="367">
        <f t="shared" si="646"/>
        <v>761</v>
      </c>
      <c r="I5072" s="368">
        <f t="shared" si="647"/>
        <v>0</v>
      </c>
      <c r="J5072">
        <v>1888</v>
      </c>
      <c r="K5072" s="367">
        <f t="shared" si="648"/>
        <v>1348.5714285714287</v>
      </c>
      <c r="L5072" s="607">
        <v>0.76</v>
      </c>
      <c r="M5072">
        <v>4.8</v>
      </c>
      <c r="N5072" s="381">
        <v>17</v>
      </c>
      <c r="O5072">
        <v>3</v>
      </c>
      <c r="P5072" t="s">
        <v>512</v>
      </c>
      <c r="Q5072" s="97" t="str">
        <f t="shared" si="649"/>
        <v/>
      </c>
      <c r="R5072" t="str">
        <f t="shared" si="650"/>
        <v/>
      </c>
    </row>
    <row r="5073" spans="3:18">
      <c r="C5073" t="str">
        <f t="shared" si="627"/>
        <v/>
      </c>
      <c r="D5073">
        <v>6</v>
      </c>
      <c r="E5073">
        <v>10</v>
      </c>
      <c r="F5073" s="366">
        <f t="shared" si="645"/>
        <v>217</v>
      </c>
      <c r="G5073" s="97">
        <v>590</v>
      </c>
      <c r="H5073" s="367">
        <f t="shared" si="646"/>
        <v>807</v>
      </c>
      <c r="I5073" s="368">
        <f t="shared" si="647"/>
        <v>0</v>
      </c>
      <c r="J5073">
        <v>2049</v>
      </c>
      <c r="K5073" s="367">
        <f t="shared" si="648"/>
        <v>1463.5714285714287</v>
      </c>
      <c r="L5073" s="607">
        <v>0.38</v>
      </c>
      <c r="M5073">
        <v>6.1</v>
      </c>
      <c r="N5073" s="381">
        <v>15</v>
      </c>
      <c r="O5073">
        <v>4</v>
      </c>
      <c r="P5073" t="s">
        <v>512</v>
      </c>
      <c r="Q5073" s="97" t="str">
        <f t="shared" si="649"/>
        <v/>
      </c>
      <c r="R5073" t="str">
        <f t="shared" si="650"/>
        <v/>
      </c>
    </row>
    <row r="5074" spans="3:18">
      <c r="C5074" t="str">
        <f t="shared" si="627"/>
        <v>NL</v>
      </c>
      <c r="D5074">
        <v>7</v>
      </c>
      <c r="E5074">
        <v>10</v>
      </c>
      <c r="F5074" s="366">
        <f t="shared" si="645"/>
        <v>217</v>
      </c>
      <c r="G5074" s="97">
        <v>694</v>
      </c>
      <c r="H5074" s="367">
        <f t="shared" si="646"/>
        <v>911</v>
      </c>
      <c r="I5074" s="368">
        <f t="shared" si="647"/>
        <v>0</v>
      </c>
      <c r="J5074">
        <v>2410</v>
      </c>
      <c r="K5074" s="367">
        <f t="shared" si="648"/>
        <v>1721.4285714285716</v>
      </c>
      <c r="L5074" s="607">
        <v>0.24000000000000002</v>
      </c>
      <c r="M5074">
        <v>7.3999999999999995</v>
      </c>
      <c r="N5074" s="381">
        <v>15</v>
      </c>
      <c r="O5074">
        <v>5</v>
      </c>
      <c r="P5074" t="s">
        <v>512</v>
      </c>
      <c r="Q5074" s="97" t="str">
        <f t="shared" si="649"/>
        <v/>
      </c>
      <c r="R5074" t="str">
        <f t="shared" si="650"/>
        <v/>
      </c>
    </row>
    <row r="5075" spans="3:18">
      <c r="C5075" t="str">
        <f t="shared" si="627"/>
        <v/>
      </c>
      <c r="D5075">
        <v>8</v>
      </c>
      <c r="E5075">
        <v>10</v>
      </c>
      <c r="F5075" s="366">
        <f t="shared" si="645"/>
        <v>217</v>
      </c>
      <c r="G5075" s="97">
        <v>694</v>
      </c>
      <c r="H5075" s="367">
        <f t="shared" si="646"/>
        <v>911</v>
      </c>
      <c r="I5075" s="368">
        <f t="shared" si="647"/>
        <v>0</v>
      </c>
      <c r="J5075">
        <v>2409</v>
      </c>
      <c r="K5075" s="367">
        <f t="shared" si="648"/>
        <v>1720.7142857142858</v>
      </c>
      <c r="L5075" s="607">
        <v>0.17</v>
      </c>
      <c r="M5075">
        <v>8.6999999999999993</v>
      </c>
      <c r="N5075" s="381">
        <v>15</v>
      </c>
      <c r="O5075">
        <v>6</v>
      </c>
      <c r="P5075" t="s">
        <v>512</v>
      </c>
      <c r="Q5075" s="97" t="str">
        <f t="shared" si="649"/>
        <v/>
      </c>
      <c r="R5075" t="str">
        <f t="shared" si="650"/>
        <v/>
      </c>
    </row>
    <row r="5076" spans="3:18">
      <c r="C5076" t="str">
        <f t="shared" si="627"/>
        <v>NL</v>
      </c>
      <c r="D5076">
        <v>9</v>
      </c>
      <c r="E5076">
        <v>10</v>
      </c>
      <c r="F5076" s="366">
        <f t="shared" si="645"/>
        <v>217</v>
      </c>
      <c r="G5076" s="97">
        <v>923</v>
      </c>
      <c r="H5076" s="367">
        <f t="shared" si="646"/>
        <v>1140</v>
      </c>
      <c r="I5076" s="368">
        <f t="shared" si="647"/>
        <v>0</v>
      </c>
      <c r="J5076">
        <v>3205</v>
      </c>
      <c r="K5076" s="367">
        <f t="shared" si="648"/>
        <v>2289.2857142857142</v>
      </c>
      <c r="L5076" s="607">
        <v>0.13</v>
      </c>
      <c r="M5076">
        <v>1.3</v>
      </c>
      <c r="N5076" s="381">
        <v>15</v>
      </c>
      <c r="O5076">
        <v>7</v>
      </c>
      <c r="P5076" t="s">
        <v>512</v>
      </c>
      <c r="Q5076" s="97" t="str">
        <f t="shared" si="649"/>
        <v/>
      </c>
      <c r="R5076" t="str">
        <f t="shared" si="650"/>
        <v/>
      </c>
    </row>
    <row r="5077" spans="3:18">
      <c r="C5077" t="str">
        <f t="shared" si="627"/>
        <v/>
      </c>
      <c r="D5077">
        <v>10</v>
      </c>
      <c r="E5077">
        <v>15</v>
      </c>
      <c r="F5077" s="366">
        <f t="shared" si="645"/>
        <v>325.5</v>
      </c>
      <c r="G5077" s="97">
        <v>321</v>
      </c>
      <c r="H5077" s="367">
        <f t="shared" si="646"/>
        <v>646.5</v>
      </c>
      <c r="I5077" s="368">
        <f t="shared" si="647"/>
        <v>0</v>
      </c>
      <c r="J5077">
        <v>1114</v>
      </c>
      <c r="K5077" s="367">
        <f t="shared" si="648"/>
        <v>795.71428571428578</v>
      </c>
      <c r="L5077" s="607">
        <v>0.2</v>
      </c>
      <c r="M5077">
        <v>3.4</v>
      </c>
      <c r="N5077" s="381">
        <v>15</v>
      </c>
      <c r="O5077">
        <v>2</v>
      </c>
      <c r="P5077" t="s">
        <v>515</v>
      </c>
      <c r="Q5077" s="97" t="str">
        <f t="shared" si="649"/>
        <v/>
      </c>
      <c r="R5077" t="str">
        <f t="shared" si="650"/>
        <v/>
      </c>
    </row>
    <row r="5078" spans="3:18">
      <c r="C5078" t="str">
        <f t="shared" si="627"/>
        <v/>
      </c>
      <c r="D5078">
        <v>11</v>
      </c>
      <c r="E5078">
        <v>15</v>
      </c>
      <c r="F5078" s="366">
        <f t="shared" si="645"/>
        <v>325.5</v>
      </c>
      <c r="G5078" s="97">
        <v>451</v>
      </c>
      <c r="H5078" s="367">
        <f t="shared" si="646"/>
        <v>776.5</v>
      </c>
      <c r="I5078" s="368">
        <f t="shared" si="647"/>
        <v>0</v>
      </c>
      <c r="J5078">
        <v>1566</v>
      </c>
      <c r="K5078" s="367">
        <f t="shared" si="648"/>
        <v>1118.5714285714287</v>
      </c>
      <c r="L5078" s="607">
        <v>0.61</v>
      </c>
      <c r="M5078">
        <v>3.4</v>
      </c>
      <c r="N5078" s="381">
        <v>18</v>
      </c>
      <c r="O5078">
        <v>2</v>
      </c>
      <c r="P5078" t="s">
        <v>514</v>
      </c>
      <c r="Q5078" s="97" t="str">
        <f t="shared" si="649"/>
        <v/>
      </c>
      <c r="R5078" t="str">
        <f t="shared" si="650"/>
        <v/>
      </c>
    </row>
    <row r="5079" spans="3:18">
      <c r="C5079" t="str">
        <f t="shared" si="627"/>
        <v>NL</v>
      </c>
      <c r="D5079">
        <v>12</v>
      </c>
      <c r="E5079">
        <v>15</v>
      </c>
      <c r="F5079" s="366">
        <f t="shared" si="645"/>
        <v>325.5</v>
      </c>
      <c r="G5079" s="97">
        <v>498</v>
      </c>
      <c r="H5079" s="367">
        <f t="shared" si="646"/>
        <v>823.5</v>
      </c>
      <c r="I5079" s="368">
        <f t="shared" si="647"/>
        <v>0</v>
      </c>
      <c r="J5079">
        <v>1728</v>
      </c>
      <c r="K5079" s="367">
        <f t="shared" si="648"/>
        <v>1234.2857142857142</v>
      </c>
      <c r="L5079" s="607">
        <v>0.21000000000000002</v>
      </c>
      <c r="M5079">
        <v>4.8</v>
      </c>
      <c r="N5079" s="381">
        <v>15</v>
      </c>
      <c r="O5079">
        <v>3</v>
      </c>
      <c r="P5079" t="s">
        <v>514</v>
      </c>
      <c r="Q5079" s="97" t="str">
        <f t="shared" si="649"/>
        <v/>
      </c>
      <c r="R5079" t="str">
        <f t="shared" si="650"/>
        <v/>
      </c>
    </row>
    <row r="5080" spans="3:18">
      <c r="C5080" t="str">
        <f t="shared" si="627"/>
        <v>NL</v>
      </c>
      <c r="D5080">
        <v>13</v>
      </c>
      <c r="E5080">
        <v>15</v>
      </c>
      <c r="F5080" s="366">
        <f t="shared" si="645"/>
        <v>325.5</v>
      </c>
      <c r="G5080" s="97">
        <v>687</v>
      </c>
      <c r="H5080" s="367">
        <f t="shared" si="646"/>
        <v>1012.5</v>
      </c>
      <c r="I5080" s="368">
        <f t="shared" si="647"/>
        <v>0</v>
      </c>
      <c r="J5080">
        <v>2386</v>
      </c>
      <c r="K5080" s="367">
        <f t="shared" si="648"/>
        <v>1704.2857142857142</v>
      </c>
      <c r="L5080" s="607">
        <v>0.71</v>
      </c>
      <c r="M5080">
        <v>4.8</v>
      </c>
      <c r="N5080" s="381">
        <v>17</v>
      </c>
      <c r="O5080">
        <v>3</v>
      </c>
      <c r="P5080" t="s">
        <v>513</v>
      </c>
      <c r="Q5080" s="97" t="str">
        <f t="shared" si="649"/>
        <v/>
      </c>
      <c r="R5080" t="str">
        <f t="shared" si="650"/>
        <v/>
      </c>
    </row>
    <row r="5081" spans="3:18">
      <c r="C5081" t="str">
        <f t="shared" si="627"/>
        <v/>
      </c>
      <c r="D5081">
        <v>14</v>
      </c>
      <c r="E5081">
        <v>15</v>
      </c>
      <c r="F5081" s="366">
        <f t="shared" si="645"/>
        <v>325.5</v>
      </c>
      <c r="G5081" s="97">
        <v>731</v>
      </c>
      <c r="H5081" s="367">
        <f t="shared" si="646"/>
        <v>1056.5</v>
      </c>
      <c r="I5081" s="368">
        <f t="shared" si="647"/>
        <v>0</v>
      </c>
      <c r="J5081">
        <v>2537</v>
      </c>
      <c r="K5081" s="367">
        <f t="shared" si="648"/>
        <v>1812.1428571428571</v>
      </c>
      <c r="L5081" s="607">
        <v>0.36</v>
      </c>
      <c r="M5081">
        <v>6.1</v>
      </c>
      <c r="N5081" s="381">
        <v>15</v>
      </c>
      <c r="O5081">
        <v>4</v>
      </c>
      <c r="P5081" t="s">
        <v>513</v>
      </c>
      <c r="Q5081" s="97" t="str">
        <f t="shared" si="649"/>
        <v/>
      </c>
      <c r="R5081" t="str">
        <f t="shared" si="650"/>
        <v/>
      </c>
    </row>
    <row r="5082" spans="3:18">
      <c r="C5082" t="str">
        <f t="shared" ref="C5082:C5145" si="651">IF(OR($O$4=0,O5082-$O$4=0),IF(AND(ISEVEN(O5082)=FALSE,$N$4="Even"),"NL",""),"NL")</f>
        <v>NL</v>
      </c>
      <c r="D5082">
        <v>15</v>
      </c>
      <c r="E5082">
        <v>15</v>
      </c>
      <c r="F5082" s="366">
        <f t="shared" si="645"/>
        <v>325.5</v>
      </c>
      <c r="G5082" s="97">
        <v>838</v>
      </c>
      <c r="H5082" s="367">
        <f t="shared" si="646"/>
        <v>1163.5</v>
      </c>
      <c r="I5082" s="368">
        <f t="shared" si="647"/>
        <v>0</v>
      </c>
      <c r="J5082">
        <v>2909</v>
      </c>
      <c r="K5082" s="367">
        <f t="shared" si="648"/>
        <v>2077.8571428571431</v>
      </c>
      <c r="L5082" s="607">
        <v>0.23</v>
      </c>
      <c r="M5082">
        <v>7.3999999999999995</v>
      </c>
      <c r="N5082" s="381">
        <v>15</v>
      </c>
      <c r="O5082">
        <v>5</v>
      </c>
      <c r="P5082" t="s">
        <v>513</v>
      </c>
      <c r="Q5082" s="97" t="str">
        <f t="shared" si="649"/>
        <v/>
      </c>
      <c r="R5082" t="str">
        <f t="shared" si="650"/>
        <v/>
      </c>
    </row>
    <row r="5083" spans="3:18">
      <c r="C5083" t="str">
        <f t="shared" si="651"/>
        <v>NL</v>
      </c>
      <c r="D5083">
        <v>16</v>
      </c>
      <c r="E5083">
        <v>15</v>
      </c>
      <c r="F5083" s="366">
        <f t="shared" si="645"/>
        <v>325.5</v>
      </c>
      <c r="G5083" s="97">
        <v>924</v>
      </c>
      <c r="H5083" s="367">
        <f t="shared" si="646"/>
        <v>1249.5</v>
      </c>
      <c r="I5083" s="368">
        <f t="shared" si="647"/>
        <v>0</v>
      </c>
      <c r="J5083">
        <v>3210</v>
      </c>
      <c r="K5083" s="367">
        <f t="shared" si="648"/>
        <v>2292.8571428571431</v>
      </c>
      <c r="L5083" s="607">
        <v>0.54</v>
      </c>
      <c r="M5083">
        <v>7.3999999999999995</v>
      </c>
      <c r="N5083" s="381">
        <v>18</v>
      </c>
      <c r="O5083">
        <v>5</v>
      </c>
      <c r="P5083" t="s">
        <v>512</v>
      </c>
      <c r="Q5083" s="97" t="str">
        <f t="shared" si="649"/>
        <v/>
      </c>
      <c r="R5083" t="str">
        <f t="shared" si="650"/>
        <v/>
      </c>
    </row>
    <row r="5084" spans="3:18">
      <c r="C5084" t="str">
        <f t="shared" si="651"/>
        <v/>
      </c>
      <c r="D5084">
        <v>17</v>
      </c>
      <c r="E5084">
        <v>15</v>
      </c>
      <c r="F5084" s="366">
        <f t="shared" si="645"/>
        <v>325.5</v>
      </c>
      <c r="G5084" s="97">
        <v>830</v>
      </c>
      <c r="H5084" s="367">
        <f t="shared" si="646"/>
        <v>1155.5</v>
      </c>
      <c r="I5084" s="368">
        <f t="shared" si="647"/>
        <v>0</v>
      </c>
      <c r="J5084">
        <v>2880</v>
      </c>
      <c r="K5084" s="367">
        <f t="shared" si="648"/>
        <v>2057.1428571428573</v>
      </c>
      <c r="L5084" s="607">
        <v>0.16</v>
      </c>
      <c r="M5084">
        <v>8.6999999999999993</v>
      </c>
      <c r="N5084" s="381">
        <v>15</v>
      </c>
      <c r="O5084">
        <v>6</v>
      </c>
      <c r="P5084" t="s">
        <v>513</v>
      </c>
      <c r="Q5084" s="97" t="str">
        <f t="shared" si="649"/>
        <v/>
      </c>
      <c r="R5084" t="str">
        <f t="shared" si="650"/>
        <v/>
      </c>
    </row>
    <row r="5085" spans="3:18">
      <c r="C5085" t="str">
        <f t="shared" si="651"/>
        <v/>
      </c>
      <c r="D5085">
        <v>18</v>
      </c>
      <c r="E5085">
        <v>15</v>
      </c>
      <c r="F5085" s="366">
        <f t="shared" si="645"/>
        <v>325.5</v>
      </c>
      <c r="G5085" s="97">
        <v>896</v>
      </c>
      <c r="H5085" s="367">
        <f t="shared" si="646"/>
        <v>1221.5</v>
      </c>
      <c r="I5085" s="368">
        <f t="shared" si="647"/>
        <v>0</v>
      </c>
      <c r="J5085">
        <v>3113</v>
      </c>
      <c r="K5085" s="367">
        <f t="shared" si="648"/>
        <v>2223.5714285714284</v>
      </c>
      <c r="L5085" s="607">
        <v>0.38</v>
      </c>
      <c r="M5085">
        <v>8.6999999999999993</v>
      </c>
      <c r="N5085" s="381">
        <v>17</v>
      </c>
      <c r="O5085">
        <v>6</v>
      </c>
      <c r="P5085" t="s">
        <v>512</v>
      </c>
      <c r="Q5085" s="97" t="str">
        <f t="shared" si="649"/>
        <v/>
      </c>
      <c r="R5085" t="str">
        <f t="shared" si="650"/>
        <v/>
      </c>
    </row>
    <row r="5086" spans="3:18">
      <c r="C5086" t="str">
        <f t="shared" si="651"/>
        <v>NL</v>
      </c>
      <c r="D5086">
        <v>19</v>
      </c>
      <c r="E5086">
        <v>15</v>
      </c>
      <c r="F5086" s="366">
        <f t="shared" si="645"/>
        <v>325.5</v>
      </c>
      <c r="G5086" s="97">
        <v>1201</v>
      </c>
      <c r="H5086" s="367">
        <f t="shared" si="646"/>
        <v>1526.5</v>
      </c>
      <c r="I5086" s="368">
        <f t="shared" si="647"/>
        <v>0</v>
      </c>
      <c r="J5086">
        <v>4171</v>
      </c>
      <c r="K5086" s="367">
        <f t="shared" si="648"/>
        <v>2979.2857142857142</v>
      </c>
      <c r="L5086" s="607">
        <v>0.28000000000000003</v>
      </c>
      <c r="M5086">
        <v>1.3</v>
      </c>
      <c r="N5086" s="381">
        <v>16</v>
      </c>
      <c r="O5086">
        <v>7</v>
      </c>
      <c r="P5086" t="s">
        <v>512</v>
      </c>
      <c r="Q5086" s="97" t="str">
        <f t="shared" si="649"/>
        <v/>
      </c>
      <c r="R5086" t="str">
        <f t="shared" si="650"/>
        <v/>
      </c>
    </row>
    <row r="5087" spans="3:18">
      <c r="C5087" t="str">
        <f t="shared" si="651"/>
        <v/>
      </c>
      <c r="D5087">
        <v>20</v>
      </c>
      <c r="E5087">
        <v>15</v>
      </c>
      <c r="F5087" s="366">
        <f t="shared" si="645"/>
        <v>325.5</v>
      </c>
      <c r="G5087" s="97">
        <v>1094</v>
      </c>
      <c r="H5087" s="367">
        <f t="shared" si="646"/>
        <v>1419.5</v>
      </c>
      <c r="I5087" s="368">
        <f t="shared" si="647"/>
        <v>0</v>
      </c>
      <c r="J5087">
        <v>3798</v>
      </c>
      <c r="K5087" s="367">
        <f t="shared" si="648"/>
        <v>2712.8571428571431</v>
      </c>
      <c r="L5087" s="607">
        <v>0.22</v>
      </c>
      <c r="M5087">
        <v>2.8000000000000003</v>
      </c>
      <c r="N5087" s="381">
        <v>15</v>
      </c>
      <c r="O5087">
        <v>8</v>
      </c>
      <c r="P5087" t="s">
        <v>512</v>
      </c>
      <c r="Q5087" s="97" t="str">
        <f t="shared" si="649"/>
        <v/>
      </c>
      <c r="R5087" t="str">
        <f t="shared" si="650"/>
        <v/>
      </c>
    </row>
    <row r="5088" spans="3:18">
      <c r="C5088" t="str">
        <f t="shared" si="651"/>
        <v>NL</v>
      </c>
      <c r="D5088">
        <v>21</v>
      </c>
      <c r="E5088">
        <v>15</v>
      </c>
      <c r="F5088" s="366">
        <f t="shared" si="645"/>
        <v>325.5</v>
      </c>
      <c r="G5088" s="97">
        <v>1454</v>
      </c>
      <c r="H5088" s="367">
        <f t="shared" si="646"/>
        <v>1779.5</v>
      </c>
      <c r="I5088" s="368">
        <f t="shared" si="647"/>
        <v>0</v>
      </c>
      <c r="J5088">
        <v>5047</v>
      </c>
      <c r="K5088" s="367">
        <f t="shared" si="648"/>
        <v>3605</v>
      </c>
      <c r="L5088" s="607">
        <v>0.18000000000000002</v>
      </c>
      <c r="M5088">
        <v>1.7000000000000002</v>
      </c>
      <c r="N5088" s="381">
        <v>15</v>
      </c>
      <c r="O5088">
        <v>9</v>
      </c>
      <c r="P5088" t="s">
        <v>512</v>
      </c>
      <c r="Q5088" s="97" t="str">
        <f t="shared" si="649"/>
        <v/>
      </c>
      <c r="R5088" t="str">
        <f t="shared" si="650"/>
        <v/>
      </c>
    </row>
    <row r="5089" spans="3:18">
      <c r="C5089" t="str">
        <f t="shared" si="651"/>
        <v/>
      </c>
      <c r="D5089">
        <v>22</v>
      </c>
      <c r="E5089">
        <v>15</v>
      </c>
      <c r="F5089" s="366">
        <f t="shared" si="645"/>
        <v>325.5</v>
      </c>
      <c r="G5089" s="97">
        <v>1562</v>
      </c>
      <c r="H5089" s="367">
        <f t="shared" si="646"/>
        <v>1887.5</v>
      </c>
      <c r="I5089" s="368">
        <f t="shared" si="647"/>
        <v>0</v>
      </c>
      <c r="J5089">
        <v>5421</v>
      </c>
      <c r="K5089" s="367">
        <f t="shared" si="648"/>
        <v>3872.1428571428573</v>
      </c>
      <c r="L5089" s="607">
        <v>0.15000000000000002</v>
      </c>
      <c r="M5089">
        <v>3.7</v>
      </c>
      <c r="N5089" s="381">
        <v>15</v>
      </c>
      <c r="O5089">
        <v>10</v>
      </c>
      <c r="P5089" t="s">
        <v>512</v>
      </c>
      <c r="Q5089" s="97" t="str">
        <f t="shared" si="649"/>
        <v/>
      </c>
      <c r="R5089" t="str">
        <f t="shared" si="650"/>
        <v/>
      </c>
    </row>
    <row r="5090" spans="3:18">
      <c r="C5090" t="str">
        <f t="shared" si="651"/>
        <v/>
      </c>
      <c r="D5090">
        <v>23</v>
      </c>
      <c r="E5090">
        <v>20</v>
      </c>
      <c r="F5090" s="366">
        <f t="shared" si="645"/>
        <v>434</v>
      </c>
      <c r="G5090" s="97">
        <v>398</v>
      </c>
      <c r="H5090" s="367">
        <f t="shared" si="646"/>
        <v>832</v>
      </c>
      <c r="I5090" s="368">
        <f t="shared" si="647"/>
        <v>0</v>
      </c>
      <c r="J5090">
        <v>1384</v>
      </c>
      <c r="K5090" s="367">
        <f t="shared" si="648"/>
        <v>988.57142857142856</v>
      </c>
      <c r="L5090" s="607">
        <v>0.35000000000000003</v>
      </c>
      <c r="M5090">
        <v>3.4</v>
      </c>
      <c r="N5090" s="381">
        <v>16</v>
      </c>
      <c r="O5090">
        <v>2</v>
      </c>
      <c r="P5090" t="s">
        <v>515</v>
      </c>
      <c r="Q5090" s="97" t="str">
        <f t="shared" si="649"/>
        <v/>
      </c>
      <c r="R5090" t="str">
        <f t="shared" si="650"/>
        <v/>
      </c>
    </row>
    <row r="5091" spans="3:18">
      <c r="C5091" t="str">
        <f t="shared" si="651"/>
        <v>NL</v>
      </c>
      <c r="D5091">
        <v>24</v>
      </c>
      <c r="E5091">
        <v>20</v>
      </c>
      <c r="F5091" s="366">
        <f t="shared" si="645"/>
        <v>434</v>
      </c>
      <c r="G5091" s="97">
        <v>623</v>
      </c>
      <c r="H5091" s="367">
        <f t="shared" si="646"/>
        <v>1057</v>
      </c>
      <c r="I5091" s="368">
        <f t="shared" si="647"/>
        <v>0</v>
      </c>
      <c r="J5091">
        <v>2163</v>
      </c>
      <c r="K5091" s="367">
        <f t="shared" si="648"/>
        <v>1545</v>
      </c>
      <c r="L5091" s="607">
        <v>0.37</v>
      </c>
      <c r="M5091">
        <v>4.8</v>
      </c>
      <c r="N5091" s="381">
        <v>16</v>
      </c>
      <c r="O5091">
        <v>3</v>
      </c>
      <c r="P5091" t="s">
        <v>514</v>
      </c>
      <c r="Q5091" s="97" t="str">
        <f t="shared" si="649"/>
        <v/>
      </c>
      <c r="R5091" t="str">
        <f t="shared" si="650"/>
        <v/>
      </c>
    </row>
    <row r="5092" spans="3:18">
      <c r="C5092" t="str">
        <f t="shared" si="651"/>
        <v/>
      </c>
      <c r="D5092">
        <v>25</v>
      </c>
      <c r="E5092">
        <v>20</v>
      </c>
      <c r="F5092" s="366">
        <f t="shared" si="645"/>
        <v>434</v>
      </c>
      <c r="G5092" s="97">
        <v>668</v>
      </c>
      <c r="H5092" s="367">
        <f t="shared" si="646"/>
        <v>1102</v>
      </c>
      <c r="I5092" s="368">
        <f t="shared" si="647"/>
        <v>0</v>
      </c>
      <c r="J5092">
        <v>2319</v>
      </c>
      <c r="K5092" s="367">
        <f t="shared" si="648"/>
        <v>1656.4285714285716</v>
      </c>
      <c r="L5092" s="607">
        <v>0.19</v>
      </c>
      <c r="M5092">
        <v>6.1</v>
      </c>
      <c r="N5092" s="381">
        <v>15</v>
      </c>
      <c r="O5092">
        <v>4</v>
      </c>
      <c r="P5092" t="s">
        <v>514</v>
      </c>
      <c r="Q5092" s="97" t="str">
        <f t="shared" si="649"/>
        <v/>
      </c>
      <c r="R5092" t="str">
        <f t="shared" si="650"/>
        <v/>
      </c>
    </row>
    <row r="5093" spans="3:18">
      <c r="C5093" t="str">
        <f t="shared" si="651"/>
        <v/>
      </c>
      <c r="D5093">
        <v>26</v>
      </c>
      <c r="E5093">
        <v>20</v>
      </c>
      <c r="F5093" s="366">
        <f t="shared" si="645"/>
        <v>434</v>
      </c>
      <c r="G5093" s="97">
        <v>917</v>
      </c>
      <c r="H5093" s="367">
        <f t="shared" si="646"/>
        <v>1351</v>
      </c>
      <c r="I5093" s="368">
        <f t="shared" si="647"/>
        <v>0</v>
      </c>
      <c r="J5093">
        <v>3183</v>
      </c>
      <c r="K5093" s="367">
        <f t="shared" si="648"/>
        <v>2273.5714285714284</v>
      </c>
      <c r="L5093" s="607">
        <v>0.63</v>
      </c>
      <c r="M5093">
        <v>6.1</v>
      </c>
      <c r="N5093" s="381">
        <v>17</v>
      </c>
      <c r="O5093">
        <v>4</v>
      </c>
      <c r="P5093" t="s">
        <v>513</v>
      </c>
      <c r="Q5093" s="97" t="str">
        <f t="shared" si="649"/>
        <v/>
      </c>
      <c r="R5093" t="str">
        <f t="shared" si="650"/>
        <v/>
      </c>
    </row>
    <row r="5094" spans="3:18">
      <c r="C5094" t="str">
        <f t="shared" si="651"/>
        <v>NL</v>
      </c>
      <c r="D5094">
        <v>27</v>
      </c>
      <c r="E5094">
        <v>20</v>
      </c>
      <c r="F5094" s="366">
        <f t="shared" si="645"/>
        <v>434</v>
      </c>
      <c r="G5094" s="97">
        <v>1040</v>
      </c>
      <c r="H5094" s="367">
        <f t="shared" si="646"/>
        <v>1474</v>
      </c>
      <c r="I5094" s="368">
        <f t="shared" si="647"/>
        <v>0</v>
      </c>
      <c r="J5094">
        <v>3611</v>
      </c>
      <c r="K5094" s="367">
        <f t="shared" si="648"/>
        <v>2579.2857142857142</v>
      </c>
      <c r="L5094" s="607">
        <v>0.4</v>
      </c>
      <c r="M5094">
        <v>7.3999999999999995</v>
      </c>
      <c r="N5094" s="381">
        <v>16</v>
      </c>
      <c r="O5094">
        <v>5</v>
      </c>
      <c r="P5094" t="s">
        <v>513</v>
      </c>
      <c r="Q5094" s="97" t="str">
        <f t="shared" si="649"/>
        <v/>
      </c>
      <c r="R5094" t="str">
        <f t="shared" si="650"/>
        <v/>
      </c>
    </row>
    <row r="5095" spans="3:18">
      <c r="C5095" t="str">
        <f t="shared" si="651"/>
        <v/>
      </c>
      <c r="D5095">
        <v>28</v>
      </c>
      <c r="E5095">
        <v>20</v>
      </c>
      <c r="F5095" s="366">
        <f t="shared" si="645"/>
        <v>434</v>
      </c>
      <c r="G5095" s="97">
        <v>1011</v>
      </c>
      <c r="H5095" s="367">
        <f t="shared" si="646"/>
        <v>1445</v>
      </c>
      <c r="I5095" s="368">
        <f t="shared" si="647"/>
        <v>0</v>
      </c>
      <c r="J5095">
        <v>3511</v>
      </c>
      <c r="K5095" s="367">
        <f t="shared" si="648"/>
        <v>2507.8571428571431</v>
      </c>
      <c r="L5095" s="607">
        <v>0.29000000000000004</v>
      </c>
      <c r="M5095">
        <v>8.6999999999999993</v>
      </c>
      <c r="N5095" s="381">
        <v>15</v>
      </c>
      <c r="O5095">
        <v>6</v>
      </c>
      <c r="P5095" t="s">
        <v>513</v>
      </c>
      <c r="Q5095" s="97" t="str">
        <f t="shared" si="649"/>
        <v/>
      </c>
      <c r="R5095" t="str">
        <f t="shared" si="650"/>
        <v/>
      </c>
    </row>
    <row r="5096" spans="3:18">
      <c r="C5096" t="str">
        <f t="shared" si="651"/>
        <v/>
      </c>
      <c r="D5096">
        <v>29</v>
      </c>
      <c r="E5096">
        <v>20</v>
      </c>
      <c r="F5096" s="366">
        <f t="shared" si="645"/>
        <v>434</v>
      </c>
      <c r="G5096" s="97">
        <v>1099</v>
      </c>
      <c r="H5096" s="367">
        <f t="shared" si="646"/>
        <v>1533</v>
      </c>
      <c r="I5096" s="368">
        <f t="shared" si="647"/>
        <v>0</v>
      </c>
      <c r="J5096">
        <v>3817</v>
      </c>
      <c r="K5096" s="367">
        <f t="shared" si="648"/>
        <v>2726.4285714285716</v>
      </c>
      <c r="L5096" s="607">
        <v>0.68</v>
      </c>
      <c r="M5096">
        <v>8.6999999999999993</v>
      </c>
      <c r="N5096" s="381">
        <v>21</v>
      </c>
      <c r="O5096">
        <v>6</v>
      </c>
      <c r="P5096" t="s">
        <v>512</v>
      </c>
      <c r="Q5096" s="97" t="str">
        <f t="shared" si="649"/>
        <v/>
      </c>
      <c r="R5096" t="str">
        <f t="shared" si="650"/>
        <v/>
      </c>
    </row>
    <row r="5097" spans="3:18">
      <c r="C5097" t="str">
        <f t="shared" si="651"/>
        <v>NL</v>
      </c>
      <c r="D5097">
        <v>30</v>
      </c>
      <c r="E5097">
        <v>20</v>
      </c>
      <c r="F5097" s="366">
        <f t="shared" si="645"/>
        <v>434</v>
      </c>
      <c r="G5097" s="97">
        <v>1480</v>
      </c>
      <c r="H5097" s="367">
        <f t="shared" si="646"/>
        <v>1914</v>
      </c>
      <c r="I5097" s="368">
        <f t="shared" si="647"/>
        <v>0</v>
      </c>
      <c r="J5097">
        <v>5137</v>
      </c>
      <c r="K5097" s="367">
        <f t="shared" si="648"/>
        <v>3669.2857142857142</v>
      </c>
      <c r="L5097" s="607">
        <v>0.5</v>
      </c>
      <c r="M5097">
        <v>1.3</v>
      </c>
      <c r="N5097" s="381">
        <v>20</v>
      </c>
      <c r="O5097">
        <v>7</v>
      </c>
      <c r="P5097" t="s">
        <v>512</v>
      </c>
      <c r="Q5097" s="97" t="str">
        <f t="shared" si="649"/>
        <v/>
      </c>
      <c r="R5097" t="str">
        <f t="shared" si="650"/>
        <v/>
      </c>
    </row>
    <row r="5098" spans="3:18">
      <c r="C5098" t="str">
        <f t="shared" si="651"/>
        <v/>
      </c>
      <c r="D5098">
        <v>31</v>
      </c>
      <c r="E5098">
        <v>20</v>
      </c>
      <c r="F5098" s="366">
        <f t="shared" si="645"/>
        <v>434</v>
      </c>
      <c r="G5098" s="97">
        <v>1229</v>
      </c>
      <c r="H5098" s="367">
        <f t="shared" si="646"/>
        <v>1663</v>
      </c>
      <c r="I5098" s="368">
        <f t="shared" si="647"/>
        <v>0</v>
      </c>
      <c r="J5098">
        <v>4268</v>
      </c>
      <c r="K5098" s="367">
        <f t="shared" si="648"/>
        <v>3048.5714285714284</v>
      </c>
      <c r="L5098" s="607">
        <v>0.17</v>
      </c>
      <c r="M5098">
        <v>2.8000000000000003</v>
      </c>
      <c r="N5098" s="381">
        <v>15</v>
      </c>
      <c r="O5098">
        <v>8</v>
      </c>
      <c r="P5098" t="s">
        <v>513</v>
      </c>
      <c r="Q5098" s="97" t="str">
        <f t="shared" si="649"/>
        <v/>
      </c>
      <c r="R5098" t="str">
        <f t="shared" si="650"/>
        <v/>
      </c>
    </row>
    <row r="5099" spans="3:18">
      <c r="C5099" t="str">
        <f t="shared" si="651"/>
        <v/>
      </c>
      <c r="D5099">
        <v>32</v>
      </c>
      <c r="E5099">
        <v>20</v>
      </c>
      <c r="F5099" s="366">
        <f t="shared" si="645"/>
        <v>434</v>
      </c>
      <c r="G5099" s="97">
        <v>1311</v>
      </c>
      <c r="H5099" s="367">
        <f t="shared" si="646"/>
        <v>1745</v>
      </c>
      <c r="I5099" s="368">
        <f t="shared" si="647"/>
        <v>0</v>
      </c>
      <c r="J5099">
        <v>4551</v>
      </c>
      <c r="K5099" s="367">
        <f t="shared" si="648"/>
        <v>3250.7142857142858</v>
      </c>
      <c r="L5099" s="607">
        <v>0.39</v>
      </c>
      <c r="M5099">
        <v>2.8000000000000003</v>
      </c>
      <c r="N5099" s="381">
        <v>19</v>
      </c>
      <c r="O5099">
        <v>8</v>
      </c>
      <c r="P5099" t="s">
        <v>512</v>
      </c>
      <c r="Q5099" s="97" t="str">
        <f t="shared" si="649"/>
        <v/>
      </c>
      <c r="R5099" t="str">
        <f t="shared" si="650"/>
        <v/>
      </c>
    </row>
    <row r="5100" spans="3:18">
      <c r="C5100" t="str">
        <f t="shared" si="651"/>
        <v>NL</v>
      </c>
      <c r="D5100">
        <v>33</v>
      </c>
      <c r="E5100">
        <v>20</v>
      </c>
      <c r="F5100" s="366">
        <f t="shared" si="645"/>
        <v>434</v>
      </c>
      <c r="G5100" s="97">
        <v>1649</v>
      </c>
      <c r="H5100" s="367">
        <f t="shared" si="646"/>
        <v>2083</v>
      </c>
      <c r="I5100" s="368">
        <f t="shared" si="647"/>
        <v>0</v>
      </c>
      <c r="J5100">
        <v>5726</v>
      </c>
      <c r="K5100" s="367">
        <f t="shared" si="648"/>
        <v>4090</v>
      </c>
      <c r="L5100" s="607">
        <v>0.14000000000000001</v>
      </c>
      <c r="M5100">
        <v>1.7000000000000002</v>
      </c>
      <c r="N5100" s="381">
        <v>15</v>
      </c>
      <c r="O5100">
        <v>9</v>
      </c>
      <c r="P5100" t="s">
        <v>513</v>
      </c>
      <c r="Q5100" s="97" t="str">
        <f t="shared" si="649"/>
        <v/>
      </c>
      <c r="R5100" t="str">
        <f t="shared" si="650"/>
        <v/>
      </c>
    </row>
    <row r="5101" spans="3:18">
      <c r="C5101" t="str">
        <f t="shared" si="651"/>
        <v>NL</v>
      </c>
      <c r="D5101">
        <v>34</v>
      </c>
      <c r="E5101">
        <v>20</v>
      </c>
      <c r="F5101" s="366">
        <f t="shared" si="645"/>
        <v>434</v>
      </c>
      <c r="G5101" s="97">
        <v>1761</v>
      </c>
      <c r="H5101" s="367">
        <f t="shared" si="646"/>
        <v>2195</v>
      </c>
      <c r="I5101" s="368">
        <f t="shared" si="647"/>
        <v>0</v>
      </c>
      <c r="J5101">
        <v>6115</v>
      </c>
      <c r="K5101" s="367">
        <f t="shared" si="648"/>
        <v>4367.8571428571431</v>
      </c>
      <c r="L5101" s="607">
        <v>0.31</v>
      </c>
      <c r="M5101">
        <v>1.7000000000000002</v>
      </c>
      <c r="N5101" s="381">
        <v>18</v>
      </c>
      <c r="O5101">
        <v>9</v>
      </c>
      <c r="P5101" t="s">
        <v>512</v>
      </c>
      <c r="Q5101" s="97" t="str">
        <f t="shared" si="649"/>
        <v/>
      </c>
      <c r="R5101" t="str">
        <f t="shared" si="650"/>
        <v/>
      </c>
    </row>
    <row r="5102" spans="3:18">
      <c r="C5102" t="str">
        <f t="shared" si="651"/>
        <v/>
      </c>
      <c r="D5102">
        <v>35</v>
      </c>
      <c r="E5102">
        <v>20</v>
      </c>
      <c r="F5102" s="366">
        <f t="shared" si="645"/>
        <v>434</v>
      </c>
      <c r="G5102" s="97">
        <v>1875</v>
      </c>
      <c r="H5102" s="367">
        <f t="shared" si="646"/>
        <v>2309</v>
      </c>
      <c r="I5102" s="368">
        <f t="shared" si="647"/>
        <v>0</v>
      </c>
      <c r="J5102">
        <v>6508</v>
      </c>
      <c r="K5102" s="367">
        <f t="shared" si="648"/>
        <v>4648.5714285714284</v>
      </c>
      <c r="L5102" s="607">
        <v>0.26</v>
      </c>
      <c r="M5102">
        <v>3.7</v>
      </c>
      <c r="N5102" s="381">
        <v>18</v>
      </c>
      <c r="O5102">
        <v>10</v>
      </c>
      <c r="P5102" t="s">
        <v>512</v>
      </c>
      <c r="Q5102" s="97" t="str">
        <f t="shared" si="649"/>
        <v/>
      </c>
      <c r="R5102" t="str">
        <f t="shared" si="650"/>
        <v/>
      </c>
    </row>
    <row r="5103" spans="3:18">
      <c r="C5103" t="str">
        <f t="shared" si="651"/>
        <v/>
      </c>
      <c r="D5103">
        <v>36</v>
      </c>
      <c r="E5103">
        <v>25</v>
      </c>
      <c r="F5103" s="366">
        <f t="shared" si="645"/>
        <v>542.5</v>
      </c>
      <c r="G5103" s="97">
        <v>476</v>
      </c>
      <c r="H5103" s="367">
        <f t="shared" si="646"/>
        <v>1018.5</v>
      </c>
      <c r="I5103" s="368">
        <f t="shared" si="647"/>
        <v>0</v>
      </c>
      <c r="J5103">
        <v>1654</v>
      </c>
      <c r="K5103" s="367">
        <f t="shared" si="648"/>
        <v>1181.4285714285716</v>
      </c>
      <c r="L5103" s="607">
        <v>0.54</v>
      </c>
      <c r="M5103">
        <v>3.4</v>
      </c>
      <c r="N5103" s="381">
        <v>19</v>
      </c>
      <c r="O5103">
        <v>2</v>
      </c>
      <c r="P5103" t="s">
        <v>515</v>
      </c>
      <c r="Q5103" s="97" t="str">
        <f t="shared" si="649"/>
        <v/>
      </c>
      <c r="R5103" t="str">
        <f t="shared" si="650"/>
        <v/>
      </c>
    </row>
    <row r="5104" spans="3:18">
      <c r="C5104" t="str">
        <f t="shared" si="651"/>
        <v>NL</v>
      </c>
      <c r="D5104">
        <v>37</v>
      </c>
      <c r="E5104">
        <v>25</v>
      </c>
      <c r="F5104" s="366">
        <f t="shared" si="645"/>
        <v>542.5</v>
      </c>
      <c r="G5104" s="97">
        <v>531</v>
      </c>
      <c r="H5104" s="367">
        <f t="shared" si="646"/>
        <v>1073.5</v>
      </c>
      <c r="I5104" s="368">
        <f t="shared" si="647"/>
        <v>0</v>
      </c>
      <c r="J5104">
        <v>1845</v>
      </c>
      <c r="K5104" s="367">
        <f t="shared" si="648"/>
        <v>1317.8571428571429</v>
      </c>
      <c r="L5104" s="607">
        <v>0.19</v>
      </c>
      <c r="M5104">
        <v>4.8</v>
      </c>
      <c r="N5104" s="381">
        <v>15</v>
      </c>
      <c r="O5104">
        <v>3</v>
      </c>
      <c r="P5104" t="s">
        <v>515</v>
      </c>
      <c r="Q5104" s="97" t="str">
        <f t="shared" si="649"/>
        <v/>
      </c>
      <c r="R5104" t="str">
        <f t="shared" si="650"/>
        <v/>
      </c>
    </row>
    <row r="5105" spans="3:18">
      <c r="C5105" t="str">
        <f t="shared" si="651"/>
        <v>NL</v>
      </c>
      <c r="D5105">
        <v>38</v>
      </c>
      <c r="E5105">
        <v>25</v>
      </c>
      <c r="F5105" s="366">
        <f t="shared" si="645"/>
        <v>542.5</v>
      </c>
      <c r="G5105" s="97">
        <v>748</v>
      </c>
      <c r="H5105" s="367">
        <f t="shared" si="646"/>
        <v>1290.5</v>
      </c>
      <c r="I5105" s="368">
        <f t="shared" si="647"/>
        <v>0</v>
      </c>
      <c r="J5105">
        <v>2598</v>
      </c>
      <c r="K5105" s="367">
        <f t="shared" si="648"/>
        <v>1855.7142857142858</v>
      </c>
      <c r="L5105" s="607">
        <v>0.57999999999999996</v>
      </c>
      <c r="M5105">
        <v>4.8</v>
      </c>
      <c r="N5105" s="381">
        <v>19</v>
      </c>
      <c r="O5105">
        <v>3</v>
      </c>
      <c r="P5105" t="s">
        <v>514</v>
      </c>
      <c r="Q5105" s="97" t="str">
        <f t="shared" si="649"/>
        <v/>
      </c>
      <c r="R5105" t="str">
        <f t="shared" si="650"/>
        <v/>
      </c>
    </row>
    <row r="5106" spans="3:18">
      <c r="C5106" t="str">
        <f t="shared" si="651"/>
        <v/>
      </c>
      <c r="D5106">
        <v>39</v>
      </c>
      <c r="E5106">
        <v>25</v>
      </c>
      <c r="F5106" s="366">
        <f t="shared" si="645"/>
        <v>542.5</v>
      </c>
      <c r="G5106" s="97">
        <v>791</v>
      </c>
      <c r="H5106" s="367">
        <f t="shared" si="646"/>
        <v>1333.5</v>
      </c>
      <c r="I5106" s="368">
        <f t="shared" si="647"/>
        <v>0</v>
      </c>
      <c r="J5106">
        <v>2748</v>
      </c>
      <c r="K5106" s="367">
        <f t="shared" si="648"/>
        <v>1962.8571428571429</v>
      </c>
      <c r="L5106" s="607">
        <v>0.29000000000000004</v>
      </c>
      <c r="M5106">
        <v>6.1</v>
      </c>
      <c r="N5106" s="381">
        <v>15</v>
      </c>
      <c r="O5106">
        <v>4</v>
      </c>
      <c r="P5106" t="s">
        <v>514</v>
      </c>
      <c r="Q5106" s="97" t="str">
        <f t="shared" si="649"/>
        <v/>
      </c>
      <c r="R5106" t="str">
        <f t="shared" si="650"/>
        <v/>
      </c>
    </row>
    <row r="5107" spans="3:18">
      <c r="C5107" t="str">
        <f t="shared" si="651"/>
        <v>NL</v>
      </c>
      <c r="D5107">
        <v>40</v>
      </c>
      <c r="E5107">
        <v>25</v>
      </c>
      <c r="F5107" s="366">
        <f t="shared" si="645"/>
        <v>542.5</v>
      </c>
      <c r="G5107" s="97">
        <v>937</v>
      </c>
      <c r="H5107" s="367">
        <f t="shared" si="646"/>
        <v>1479.5</v>
      </c>
      <c r="I5107" s="368">
        <f t="shared" si="647"/>
        <v>0</v>
      </c>
      <c r="J5107">
        <v>3254</v>
      </c>
      <c r="K5107" s="367">
        <f t="shared" si="648"/>
        <v>2324.2857142857142</v>
      </c>
      <c r="L5107" s="607">
        <v>0.19</v>
      </c>
      <c r="M5107">
        <v>7.3999999999999995</v>
      </c>
      <c r="N5107" s="381">
        <v>15</v>
      </c>
      <c r="O5107">
        <v>5</v>
      </c>
      <c r="P5107" t="s">
        <v>514</v>
      </c>
      <c r="Q5107" s="97" t="str">
        <f t="shared" si="649"/>
        <v/>
      </c>
      <c r="R5107" t="str">
        <f t="shared" si="650"/>
        <v/>
      </c>
    </row>
    <row r="5108" spans="3:18">
      <c r="C5108" t="str">
        <f t="shared" si="651"/>
        <v>NL</v>
      </c>
      <c r="D5108">
        <v>41</v>
      </c>
      <c r="E5108">
        <v>25</v>
      </c>
      <c r="F5108" s="366">
        <f t="shared" si="645"/>
        <v>542.5</v>
      </c>
      <c r="G5108" s="97">
        <v>1242</v>
      </c>
      <c r="H5108" s="367">
        <f t="shared" si="646"/>
        <v>1784.5</v>
      </c>
      <c r="I5108" s="368">
        <f t="shared" si="647"/>
        <v>0</v>
      </c>
      <c r="J5108">
        <v>4314</v>
      </c>
      <c r="K5108" s="367">
        <f t="shared" si="648"/>
        <v>3081.4285714285716</v>
      </c>
      <c r="L5108" s="607">
        <v>0.63</v>
      </c>
      <c r="M5108">
        <v>7.3999999999999995</v>
      </c>
      <c r="N5108" s="381">
        <v>19</v>
      </c>
      <c r="O5108">
        <v>5</v>
      </c>
      <c r="P5108" t="s">
        <v>513</v>
      </c>
      <c r="Q5108" s="97" t="str">
        <f t="shared" si="649"/>
        <v/>
      </c>
      <c r="R5108" t="str">
        <f t="shared" si="650"/>
        <v/>
      </c>
    </row>
    <row r="5109" spans="3:18">
      <c r="C5109" t="str">
        <f t="shared" si="651"/>
        <v/>
      </c>
      <c r="D5109">
        <v>42</v>
      </c>
      <c r="E5109">
        <v>25</v>
      </c>
      <c r="F5109" s="366">
        <f t="shared" si="645"/>
        <v>542.5</v>
      </c>
      <c r="G5109" s="97">
        <v>890</v>
      </c>
      <c r="H5109" s="367">
        <f t="shared" si="646"/>
        <v>1432.5</v>
      </c>
      <c r="I5109" s="368">
        <f t="shared" si="647"/>
        <v>0</v>
      </c>
      <c r="J5109">
        <v>3091</v>
      </c>
      <c r="K5109" s="367">
        <f t="shared" si="648"/>
        <v>2207.8571428571431</v>
      </c>
      <c r="L5109" s="607">
        <v>0.13</v>
      </c>
      <c r="M5109">
        <v>8.6999999999999993</v>
      </c>
      <c r="N5109" s="381">
        <v>15</v>
      </c>
      <c r="O5109">
        <v>6</v>
      </c>
      <c r="P5109" t="s">
        <v>514</v>
      </c>
      <c r="Q5109" s="97" t="str">
        <f t="shared" si="649"/>
        <v/>
      </c>
      <c r="R5109" t="str">
        <f t="shared" si="650"/>
        <v/>
      </c>
    </row>
    <row r="5110" spans="3:18">
      <c r="C5110" t="str">
        <f t="shared" si="651"/>
        <v/>
      </c>
      <c r="D5110">
        <v>43</v>
      </c>
      <c r="E5110">
        <v>25</v>
      </c>
      <c r="F5110" s="366">
        <f t="shared" si="645"/>
        <v>542.5</v>
      </c>
      <c r="G5110" s="97">
        <v>1193</v>
      </c>
      <c r="H5110" s="367">
        <f t="shared" si="646"/>
        <v>1735.5</v>
      </c>
      <c r="I5110" s="368">
        <f t="shared" si="647"/>
        <v>0</v>
      </c>
      <c r="J5110">
        <v>4142</v>
      </c>
      <c r="K5110" s="367">
        <f t="shared" si="648"/>
        <v>2958.5714285714284</v>
      </c>
      <c r="L5110" s="607">
        <v>0.44</v>
      </c>
      <c r="M5110">
        <v>8.6999999999999993</v>
      </c>
      <c r="N5110" s="381">
        <v>18</v>
      </c>
      <c r="O5110">
        <v>6</v>
      </c>
      <c r="P5110" t="s">
        <v>513</v>
      </c>
      <c r="Q5110" s="97" t="str">
        <f t="shared" si="649"/>
        <v/>
      </c>
      <c r="R5110" t="str">
        <f t="shared" si="650"/>
        <v/>
      </c>
    </row>
    <row r="5111" spans="3:18">
      <c r="C5111" t="str">
        <f t="shared" si="651"/>
        <v>NL</v>
      </c>
      <c r="D5111">
        <v>44</v>
      </c>
      <c r="E5111">
        <v>25</v>
      </c>
      <c r="F5111" s="366">
        <f t="shared" si="645"/>
        <v>542.5</v>
      </c>
      <c r="G5111" s="97">
        <v>1758</v>
      </c>
      <c r="H5111" s="367">
        <f t="shared" si="646"/>
        <v>2300.5</v>
      </c>
      <c r="I5111" s="368">
        <f t="shared" si="647"/>
        <v>0</v>
      </c>
      <c r="J5111">
        <v>6103</v>
      </c>
      <c r="K5111" s="367">
        <f t="shared" si="648"/>
        <v>4359.2857142857147</v>
      </c>
      <c r="L5111" s="607">
        <v>0.78</v>
      </c>
      <c r="M5111">
        <v>1.3</v>
      </c>
      <c r="N5111" s="381">
        <v>22</v>
      </c>
      <c r="O5111">
        <v>7</v>
      </c>
      <c r="P5111" t="s">
        <v>512</v>
      </c>
      <c r="Q5111" s="97" t="str">
        <f t="shared" si="649"/>
        <v/>
      </c>
      <c r="R5111" t="str">
        <f t="shared" si="650"/>
        <v/>
      </c>
    </row>
    <row r="5112" spans="3:18">
      <c r="C5112" t="str">
        <f t="shared" si="651"/>
        <v/>
      </c>
      <c r="D5112">
        <v>45</v>
      </c>
      <c r="E5112">
        <v>25</v>
      </c>
      <c r="F5112" s="366">
        <f t="shared" si="645"/>
        <v>542.5</v>
      </c>
      <c r="G5112" s="97">
        <v>1426</v>
      </c>
      <c r="H5112" s="367">
        <f t="shared" si="646"/>
        <v>1968.5</v>
      </c>
      <c r="I5112" s="368">
        <f t="shared" si="647"/>
        <v>0</v>
      </c>
      <c r="J5112">
        <v>4950</v>
      </c>
      <c r="K5112" s="367">
        <f t="shared" si="648"/>
        <v>3535.7142857142858</v>
      </c>
      <c r="L5112" s="607">
        <v>0.26</v>
      </c>
      <c r="M5112">
        <v>2.8000000000000003</v>
      </c>
      <c r="N5112" s="381">
        <v>17</v>
      </c>
      <c r="O5112">
        <v>8</v>
      </c>
      <c r="P5112" t="s">
        <v>513</v>
      </c>
      <c r="Q5112" s="97" t="str">
        <f t="shared" si="649"/>
        <v/>
      </c>
      <c r="R5112" t="str">
        <f t="shared" si="650"/>
        <v/>
      </c>
    </row>
    <row r="5113" spans="3:18">
      <c r="C5113" t="str">
        <f t="shared" si="651"/>
        <v/>
      </c>
      <c r="D5113">
        <v>46</v>
      </c>
      <c r="E5113">
        <v>25</v>
      </c>
      <c r="F5113" s="366">
        <f t="shared" si="645"/>
        <v>542.5</v>
      </c>
      <c r="G5113" s="97">
        <v>1527</v>
      </c>
      <c r="H5113" s="367">
        <f t="shared" si="646"/>
        <v>2069.5</v>
      </c>
      <c r="I5113" s="368">
        <f t="shared" si="647"/>
        <v>0</v>
      </c>
      <c r="J5113">
        <v>5303</v>
      </c>
      <c r="K5113" s="367">
        <f t="shared" si="648"/>
        <v>3787.8571428571431</v>
      </c>
      <c r="L5113" s="607">
        <v>0.61</v>
      </c>
      <c r="M5113">
        <v>2.8000000000000003</v>
      </c>
      <c r="N5113" s="381">
        <v>22</v>
      </c>
      <c r="O5113">
        <v>8</v>
      </c>
      <c r="P5113" t="s">
        <v>512</v>
      </c>
      <c r="Q5113" s="97" t="str">
        <f t="shared" si="649"/>
        <v/>
      </c>
      <c r="R5113" t="str">
        <f t="shared" si="650"/>
        <v/>
      </c>
    </row>
    <row r="5114" spans="3:18">
      <c r="C5114" t="str">
        <f t="shared" si="651"/>
        <v>NL</v>
      </c>
      <c r="D5114">
        <v>47</v>
      </c>
      <c r="E5114">
        <v>25</v>
      </c>
      <c r="F5114" s="366">
        <f t="shared" si="645"/>
        <v>542.5</v>
      </c>
      <c r="G5114" s="97">
        <v>1929</v>
      </c>
      <c r="H5114" s="367">
        <f t="shared" si="646"/>
        <v>2471.5</v>
      </c>
      <c r="I5114" s="368">
        <f t="shared" si="647"/>
        <v>0</v>
      </c>
      <c r="J5114">
        <v>6698</v>
      </c>
      <c r="K5114" s="367">
        <f t="shared" si="648"/>
        <v>4784.2857142857147</v>
      </c>
      <c r="L5114" s="607">
        <v>0.21000000000000002</v>
      </c>
      <c r="M5114">
        <v>1.7000000000000002</v>
      </c>
      <c r="N5114" s="381">
        <v>16</v>
      </c>
      <c r="O5114">
        <v>9</v>
      </c>
      <c r="P5114" t="s">
        <v>513</v>
      </c>
      <c r="Q5114" s="97" t="str">
        <f t="shared" si="649"/>
        <v/>
      </c>
      <c r="R5114" t="str">
        <f t="shared" si="650"/>
        <v/>
      </c>
    </row>
    <row r="5115" spans="3:18">
      <c r="C5115" t="str">
        <f t="shared" si="651"/>
        <v>NL</v>
      </c>
      <c r="D5115">
        <v>48</v>
      </c>
      <c r="E5115">
        <v>25</v>
      </c>
      <c r="F5115" s="366">
        <f t="shared" si="645"/>
        <v>542.5</v>
      </c>
      <c r="G5115" s="97">
        <v>2069</v>
      </c>
      <c r="H5115" s="367">
        <f t="shared" si="646"/>
        <v>2611.5</v>
      </c>
      <c r="I5115" s="368">
        <f t="shared" si="647"/>
        <v>0</v>
      </c>
      <c r="J5115">
        <v>7183</v>
      </c>
      <c r="K5115" s="367">
        <f t="shared" si="648"/>
        <v>5130.7142857142862</v>
      </c>
      <c r="L5115" s="607">
        <v>0.49</v>
      </c>
      <c r="M5115">
        <v>1.7000000000000002</v>
      </c>
      <c r="N5115" s="381">
        <v>21</v>
      </c>
      <c r="O5115">
        <v>9</v>
      </c>
      <c r="P5115" t="s">
        <v>512</v>
      </c>
      <c r="Q5115" s="97" t="str">
        <f t="shared" si="649"/>
        <v/>
      </c>
      <c r="R5115" t="str">
        <f t="shared" si="650"/>
        <v/>
      </c>
    </row>
    <row r="5116" spans="3:18">
      <c r="C5116" t="str">
        <f t="shared" si="651"/>
        <v/>
      </c>
      <c r="D5116">
        <v>49</v>
      </c>
      <c r="E5116">
        <v>25</v>
      </c>
      <c r="F5116" s="366">
        <f t="shared" si="645"/>
        <v>542.5</v>
      </c>
      <c r="G5116" s="97">
        <v>2045</v>
      </c>
      <c r="H5116" s="367">
        <f t="shared" si="646"/>
        <v>2587.5</v>
      </c>
      <c r="I5116" s="368">
        <f t="shared" si="647"/>
        <v>0</v>
      </c>
      <c r="J5116">
        <v>7101</v>
      </c>
      <c r="K5116" s="367">
        <f t="shared" si="648"/>
        <v>5072.1428571428569</v>
      </c>
      <c r="L5116" s="607">
        <v>0.17</v>
      </c>
      <c r="M5116">
        <v>3.7</v>
      </c>
      <c r="N5116" s="381">
        <v>16</v>
      </c>
      <c r="O5116">
        <v>10</v>
      </c>
      <c r="P5116" t="s">
        <v>513</v>
      </c>
      <c r="Q5116" s="97" t="str">
        <f t="shared" si="649"/>
        <v/>
      </c>
      <c r="R5116" t="str">
        <f t="shared" si="650"/>
        <v/>
      </c>
    </row>
    <row r="5117" spans="3:18">
      <c r="C5117" t="str">
        <f t="shared" si="651"/>
        <v/>
      </c>
      <c r="D5117">
        <v>50</v>
      </c>
      <c r="E5117">
        <v>25</v>
      </c>
      <c r="F5117" s="366">
        <f t="shared" si="645"/>
        <v>542.5</v>
      </c>
      <c r="G5117" s="97">
        <v>2188</v>
      </c>
      <c r="H5117" s="367">
        <f t="shared" si="646"/>
        <v>2730.5</v>
      </c>
      <c r="I5117" s="368">
        <f t="shared" si="647"/>
        <v>0</v>
      </c>
      <c r="J5117">
        <v>7594</v>
      </c>
      <c r="K5117" s="367">
        <f t="shared" si="648"/>
        <v>5424.2857142857147</v>
      </c>
      <c r="L5117" s="607">
        <v>0.4</v>
      </c>
      <c r="M5117">
        <v>3.7</v>
      </c>
      <c r="N5117" s="381">
        <v>21</v>
      </c>
      <c r="O5117">
        <v>10</v>
      </c>
      <c r="P5117" t="s">
        <v>512</v>
      </c>
      <c r="Q5117" s="97" t="str">
        <f t="shared" si="649"/>
        <v/>
      </c>
      <c r="R5117" t="str">
        <f t="shared" si="650"/>
        <v/>
      </c>
    </row>
    <row r="5118" spans="3:18">
      <c r="C5118" t="str">
        <f t="shared" si="651"/>
        <v/>
      </c>
      <c r="D5118">
        <v>51</v>
      </c>
      <c r="E5118">
        <v>30</v>
      </c>
      <c r="F5118" s="366">
        <f t="shared" si="645"/>
        <v>651</v>
      </c>
      <c r="G5118" s="97">
        <v>554</v>
      </c>
      <c r="H5118" s="367">
        <f t="shared" si="646"/>
        <v>1205</v>
      </c>
      <c r="I5118" s="368">
        <f t="shared" si="647"/>
        <v>0</v>
      </c>
      <c r="J5118">
        <v>1923</v>
      </c>
      <c r="K5118" s="367">
        <f t="shared" si="648"/>
        <v>1373.5714285714287</v>
      </c>
      <c r="L5118" s="607">
        <v>0.77</v>
      </c>
      <c r="M5118">
        <v>3.4</v>
      </c>
      <c r="N5118" s="381">
        <v>21</v>
      </c>
      <c r="O5118">
        <v>2</v>
      </c>
      <c r="P5118" t="s">
        <v>515</v>
      </c>
      <c r="Q5118" s="97" t="str">
        <f t="shared" si="649"/>
        <v/>
      </c>
      <c r="R5118" t="str">
        <f t="shared" si="650"/>
        <v/>
      </c>
    </row>
    <row r="5119" spans="3:18">
      <c r="C5119" t="str">
        <f t="shared" si="651"/>
        <v>NL</v>
      </c>
      <c r="D5119">
        <v>52</v>
      </c>
      <c r="E5119">
        <v>30</v>
      </c>
      <c r="F5119" s="366">
        <f t="shared" si="645"/>
        <v>651</v>
      </c>
      <c r="G5119" s="97">
        <v>609</v>
      </c>
      <c r="H5119" s="367">
        <f t="shared" si="646"/>
        <v>1260</v>
      </c>
      <c r="I5119" s="368">
        <f t="shared" si="647"/>
        <v>0</v>
      </c>
      <c r="J5119">
        <v>2114</v>
      </c>
      <c r="K5119" s="367">
        <f t="shared" si="648"/>
        <v>1510</v>
      </c>
      <c r="L5119" s="607">
        <v>0.27</v>
      </c>
      <c r="M5119">
        <v>4.8</v>
      </c>
      <c r="N5119" s="381">
        <v>16</v>
      </c>
      <c r="O5119">
        <v>3</v>
      </c>
      <c r="P5119" t="s">
        <v>515</v>
      </c>
      <c r="Q5119" s="97" t="str">
        <f t="shared" si="649"/>
        <v/>
      </c>
      <c r="R5119" t="str">
        <f t="shared" si="650"/>
        <v/>
      </c>
    </row>
    <row r="5120" spans="3:18">
      <c r="C5120" t="str">
        <f t="shared" si="651"/>
        <v>NL</v>
      </c>
      <c r="D5120">
        <v>53</v>
      </c>
      <c r="E5120">
        <v>30</v>
      </c>
      <c r="F5120" s="366">
        <f t="shared" si="645"/>
        <v>651</v>
      </c>
      <c r="G5120" s="97">
        <v>865</v>
      </c>
      <c r="H5120" s="367">
        <f t="shared" si="646"/>
        <v>1516</v>
      </c>
      <c r="I5120" s="368">
        <f t="shared" si="647"/>
        <v>0</v>
      </c>
      <c r="J5120">
        <v>3002</v>
      </c>
      <c r="K5120" s="367">
        <f t="shared" si="648"/>
        <v>2144.2857142857142</v>
      </c>
      <c r="L5120" s="607">
        <v>0.84</v>
      </c>
      <c r="M5120">
        <v>4.8</v>
      </c>
      <c r="N5120" s="381">
        <v>21</v>
      </c>
      <c r="O5120">
        <v>3</v>
      </c>
      <c r="P5120" t="s">
        <v>514</v>
      </c>
      <c r="Q5120" s="97" t="str">
        <f t="shared" si="649"/>
        <v/>
      </c>
      <c r="R5120" t="str">
        <f t="shared" si="650"/>
        <v/>
      </c>
    </row>
    <row r="5121" spans="3:18">
      <c r="C5121" t="str">
        <f t="shared" si="651"/>
        <v/>
      </c>
      <c r="D5121">
        <v>54</v>
      </c>
      <c r="E5121">
        <v>30</v>
      </c>
      <c r="F5121" s="366">
        <f t="shared" si="645"/>
        <v>651</v>
      </c>
      <c r="G5121" s="97">
        <v>664</v>
      </c>
      <c r="H5121" s="367">
        <f t="shared" si="646"/>
        <v>1315</v>
      </c>
      <c r="I5121" s="368">
        <f t="shared" si="647"/>
        <v>0</v>
      </c>
      <c r="J5121">
        <v>2304</v>
      </c>
      <c r="K5121" s="367">
        <f t="shared" si="648"/>
        <v>1645.7142857142858</v>
      </c>
      <c r="L5121" s="607">
        <v>0.14000000000000001</v>
      </c>
      <c r="M5121">
        <v>6.1</v>
      </c>
      <c r="N5121" s="381">
        <v>15</v>
      </c>
      <c r="O5121">
        <v>4</v>
      </c>
      <c r="P5121" t="s">
        <v>515</v>
      </c>
      <c r="Q5121" s="97" t="str">
        <f t="shared" si="649"/>
        <v/>
      </c>
      <c r="R5121" t="str">
        <f t="shared" si="650"/>
        <v/>
      </c>
    </row>
    <row r="5122" spans="3:18">
      <c r="C5122" t="str">
        <f t="shared" si="651"/>
        <v/>
      </c>
      <c r="D5122">
        <v>55</v>
      </c>
      <c r="E5122">
        <v>30</v>
      </c>
      <c r="F5122" s="366">
        <f t="shared" si="645"/>
        <v>651</v>
      </c>
      <c r="G5122" s="97">
        <v>915</v>
      </c>
      <c r="H5122" s="367">
        <f t="shared" si="646"/>
        <v>1566</v>
      </c>
      <c r="I5122" s="368">
        <f t="shared" si="647"/>
        <v>0</v>
      </c>
      <c r="J5122">
        <v>3176</v>
      </c>
      <c r="K5122" s="367">
        <f t="shared" si="648"/>
        <v>2268.5714285714284</v>
      </c>
      <c r="L5122" s="607">
        <v>0.42</v>
      </c>
      <c r="M5122">
        <v>6.1</v>
      </c>
      <c r="N5122" s="381">
        <v>17</v>
      </c>
      <c r="O5122">
        <v>4</v>
      </c>
      <c r="P5122" t="s">
        <v>514</v>
      </c>
      <c r="Q5122" s="97" t="str">
        <f t="shared" si="649"/>
        <v/>
      </c>
      <c r="R5122" t="str">
        <f t="shared" si="650"/>
        <v/>
      </c>
    </row>
    <row r="5123" spans="3:18">
      <c r="C5123" t="str">
        <f t="shared" si="651"/>
        <v>NL</v>
      </c>
      <c r="D5123">
        <v>56</v>
      </c>
      <c r="E5123">
        <v>30</v>
      </c>
      <c r="F5123" s="366">
        <f t="shared" si="645"/>
        <v>651</v>
      </c>
      <c r="G5123" s="97">
        <v>1078</v>
      </c>
      <c r="H5123" s="367">
        <f t="shared" si="646"/>
        <v>1729</v>
      </c>
      <c r="I5123" s="368">
        <f t="shared" si="647"/>
        <v>0</v>
      </c>
      <c r="J5123">
        <v>3743</v>
      </c>
      <c r="K5123" s="367">
        <f t="shared" si="648"/>
        <v>2673.5714285714284</v>
      </c>
      <c r="L5123" s="607">
        <v>0.27</v>
      </c>
      <c r="M5123">
        <v>7.3999999999999995</v>
      </c>
      <c r="N5123" s="381">
        <v>16</v>
      </c>
      <c r="O5123">
        <v>5</v>
      </c>
      <c r="P5123" t="s">
        <v>514</v>
      </c>
      <c r="Q5123" s="97" t="str">
        <f t="shared" si="649"/>
        <v/>
      </c>
      <c r="R5123" t="str">
        <f t="shared" si="650"/>
        <v/>
      </c>
    </row>
    <row r="5124" spans="3:18">
      <c r="C5124" t="str">
        <f t="shared" si="651"/>
        <v>NL</v>
      </c>
      <c r="D5124">
        <v>57</v>
      </c>
      <c r="E5124">
        <v>30</v>
      </c>
      <c r="F5124" s="366">
        <f t="shared" si="645"/>
        <v>651</v>
      </c>
      <c r="G5124" s="97">
        <v>1441</v>
      </c>
      <c r="H5124" s="367">
        <f t="shared" si="646"/>
        <v>2092</v>
      </c>
      <c r="I5124" s="368">
        <f t="shared" si="647"/>
        <v>0</v>
      </c>
      <c r="J5124">
        <v>5003</v>
      </c>
      <c r="K5124" s="367">
        <f t="shared" si="648"/>
        <v>3573.5714285714284</v>
      </c>
      <c r="L5124" s="607">
        <v>0.9</v>
      </c>
      <c r="M5124">
        <v>7.3999999999999995</v>
      </c>
      <c r="N5124" s="381">
        <v>21</v>
      </c>
      <c r="O5124">
        <v>5</v>
      </c>
      <c r="P5124" t="s">
        <v>513</v>
      </c>
      <c r="Q5124" s="97" t="str">
        <f t="shared" si="649"/>
        <v/>
      </c>
      <c r="R5124" t="str">
        <f t="shared" si="650"/>
        <v/>
      </c>
    </row>
    <row r="5125" spans="3:18">
      <c r="C5125" t="str">
        <f t="shared" si="651"/>
        <v/>
      </c>
      <c r="D5125">
        <v>58</v>
      </c>
      <c r="E5125">
        <v>30</v>
      </c>
      <c r="F5125" s="366">
        <f t="shared" si="645"/>
        <v>651</v>
      </c>
      <c r="G5125" s="97">
        <v>1011</v>
      </c>
      <c r="H5125" s="367">
        <f t="shared" si="646"/>
        <v>1662</v>
      </c>
      <c r="I5125" s="368">
        <f t="shared" si="647"/>
        <v>0</v>
      </c>
      <c r="J5125">
        <v>3509</v>
      </c>
      <c r="K5125" s="367">
        <f t="shared" si="648"/>
        <v>2506.4285714285716</v>
      </c>
      <c r="L5125" s="607">
        <v>0.19</v>
      </c>
      <c r="M5125">
        <v>8.6999999999999993</v>
      </c>
      <c r="N5125" s="381">
        <v>15</v>
      </c>
      <c r="O5125">
        <v>6</v>
      </c>
      <c r="P5125" t="s">
        <v>514</v>
      </c>
      <c r="Q5125" s="97" t="str">
        <f t="shared" si="649"/>
        <v/>
      </c>
      <c r="R5125" t="str">
        <f t="shared" si="650"/>
        <v/>
      </c>
    </row>
    <row r="5126" spans="3:18">
      <c r="C5126" t="str">
        <f t="shared" si="651"/>
        <v/>
      </c>
      <c r="D5126">
        <v>59</v>
      </c>
      <c r="E5126">
        <v>30</v>
      </c>
      <c r="F5126" s="366">
        <f t="shared" si="645"/>
        <v>651</v>
      </c>
      <c r="G5126" s="97">
        <v>1375</v>
      </c>
      <c r="H5126" s="367">
        <f t="shared" si="646"/>
        <v>2026</v>
      </c>
      <c r="I5126" s="368">
        <f t="shared" si="647"/>
        <v>0</v>
      </c>
      <c r="J5126">
        <v>4773</v>
      </c>
      <c r="K5126" s="367">
        <f t="shared" si="648"/>
        <v>3409.2857142857142</v>
      </c>
      <c r="L5126" s="607">
        <v>0.64</v>
      </c>
      <c r="M5126">
        <v>8.6999999999999993</v>
      </c>
      <c r="N5126" s="381">
        <v>20</v>
      </c>
      <c r="O5126">
        <v>6</v>
      </c>
      <c r="P5126" t="s">
        <v>513</v>
      </c>
      <c r="Q5126" s="97" t="str">
        <f t="shared" si="649"/>
        <v/>
      </c>
      <c r="R5126" t="str">
        <f t="shared" si="650"/>
        <v/>
      </c>
    </row>
    <row r="5127" spans="3:18">
      <c r="C5127" t="str">
        <f t="shared" si="651"/>
        <v>NL</v>
      </c>
      <c r="D5127">
        <v>60</v>
      </c>
      <c r="E5127">
        <v>30</v>
      </c>
      <c r="F5127" s="366">
        <f t="shared" si="645"/>
        <v>651</v>
      </c>
      <c r="G5127" s="97">
        <v>1400</v>
      </c>
      <c r="H5127" s="367">
        <f t="shared" si="646"/>
        <v>2051</v>
      </c>
      <c r="I5127" s="368">
        <f t="shared" si="647"/>
        <v>0</v>
      </c>
      <c r="J5127">
        <v>4861</v>
      </c>
      <c r="K5127" s="367">
        <f t="shared" si="648"/>
        <v>3472.1428571428573</v>
      </c>
      <c r="L5127" s="607">
        <v>0.15000000000000002</v>
      </c>
      <c r="M5127">
        <v>1.3</v>
      </c>
      <c r="N5127" s="381">
        <v>15</v>
      </c>
      <c r="O5127">
        <v>7</v>
      </c>
      <c r="P5127" t="s">
        <v>514</v>
      </c>
      <c r="Q5127" s="97" t="str">
        <f t="shared" si="649"/>
        <v/>
      </c>
      <c r="R5127" t="str">
        <f t="shared" si="650"/>
        <v/>
      </c>
    </row>
    <row r="5128" spans="3:18">
      <c r="C5128" t="str">
        <f t="shared" si="651"/>
        <v>NL</v>
      </c>
      <c r="D5128">
        <v>61</v>
      </c>
      <c r="E5128">
        <v>30</v>
      </c>
      <c r="F5128" s="366">
        <f t="shared" si="645"/>
        <v>651</v>
      </c>
      <c r="G5128" s="97">
        <v>1877</v>
      </c>
      <c r="H5128" s="367">
        <f t="shared" si="646"/>
        <v>2528</v>
      </c>
      <c r="I5128" s="368">
        <f t="shared" si="647"/>
        <v>0</v>
      </c>
      <c r="J5128">
        <v>6517</v>
      </c>
      <c r="K5128" s="367">
        <f t="shared" si="648"/>
        <v>4655</v>
      </c>
      <c r="L5128" s="607">
        <v>0.47000000000000003</v>
      </c>
      <c r="M5128">
        <v>1.3</v>
      </c>
      <c r="N5128" s="381">
        <v>19</v>
      </c>
      <c r="O5128">
        <v>7</v>
      </c>
      <c r="P5128" t="s">
        <v>513</v>
      </c>
      <c r="Q5128" s="97" t="str">
        <f t="shared" si="649"/>
        <v/>
      </c>
      <c r="R5128" t="str">
        <f t="shared" si="650"/>
        <v/>
      </c>
    </row>
    <row r="5129" spans="3:18">
      <c r="C5129" t="str">
        <f t="shared" si="651"/>
        <v/>
      </c>
      <c r="D5129">
        <v>62</v>
      </c>
      <c r="E5129">
        <v>30</v>
      </c>
      <c r="F5129" s="366">
        <f t="shared" si="645"/>
        <v>651</v>
      </c>
      <c r="G5129" s="97">
        <v>1622</v>
      </c>
      <c r="H5129" s="367">
        <f t="shared" si="646"/>
        <v>2273</v>
      </c>
      <c r="I5129" s="368">
        <f t="shared" si="647"/>
        <v>0</v>
      </c>
      <c r="J5129">
        <v>5632</v>
      </c>
      <c r="K5129" s="367">
        <f t="shared" si="648"/>
        <v>4022.8571428571431</v>
      </c>
      <c r="L5129" s="607">
        <v>0.37</v>
      </c>
      <c r="M5129">
        <v>2.8000000000000003</v>
      </c>
      <c r="N5129" s="381">
        <v>19</v>
      </c>
      <c r="O5129">
        <v>8</v>
      </c>
      <c r="P5129" t="s">
        <v>513</v>
      </c>
      <c r="Q5129" s="97" t="str">
        <f t="shared" si="649"/>
        <v/>
      </c>
      <c r="R5129" t="str">
        <f t="shared" si="650"/>
        <v/>
      </c>
    </row>
    <row r="5130" spans="3:18">
      <c r="C5130" t="str">
        <f t="shared" si="651"/>
        <v/>
      </c>
      <c r="D5130">
        <v>63</v>
      </c>
      <c r="E5130">
        <v>30</v>
      </c>
      <c r="F5130" s="366">
        <f t="shared" si="645"/>
        <v>651</v>
      </c>
      <c r="G5130" s="97">
        <v>1744</v>
      </c>
      <c r="H5130" s="367">
        <f t="shared" si="646"/>
        <v>2395</v>
      </c>
      <c r="I5130" s="368">
        <f t="shared" si="647"/>
        <v>0</v>
      </c>
      <c r="J5130">
        <v>6055</v>
      </c>
      <c r="K5130" s="367">
        <f t="shared" si="648"/>
        <v>4325</v>
      </c>
      <c r="L5130" s="607">
        <v>0.87</v>
      </c>
      <c r="M5130">
        <v>2.8000000000000003</v>
      </c>
      <c r="N5130" s="381">
        <v>24</v>
      </c>
      <c r="O5130">
        <v>8</v>
      </c>
      <c r="P5130" t="s">
        <v>512</v>
      </c>
      <c r="Q5130" s="97" t="str">
        <f t="shared" si="649"/>
        <v/>
      </c>
      <c r="R5130" t="str">
        <f t="shared" si="650"/>
        <v/>
      </c>
    </row>
    <row r="5131" spans="3:18">
      <c r="C5131" t="str">
        <f t="shared" si="651"/>
        <v>NL</v>
      </c>
      <c r="D5131">
        <v>64</v>
      </c>
      <c r="E5131">
        <v>30</v>
      </c>
      <c r="F5131" s="366">
        <f t="shared" si="645"/>
        <v>651</v>
      </c>
      <c r="G5131" s="97">
        <v>2209</v>
      </c>
      <c r="H5131" s="367">
        <f t="shared" si="646"/>
        <v>2860</v>
      </c>
      <c r="I5131" s="368">
        <f t="shared" si="647"/>
        <v>0</v>
      </c>
      <c r="J5131">
        <v>7669</v>
      </c>
      <c r="K5131" s="367">
        <f t="shared" si="648"/>
        <v>5477.8571428571431</v>
      </c>
      <c r="L5131" s="607">
        <v>0.3</v>
      </c>
      <c r="M5131">
        <v>1.7000000000000002</v>
      </c>
      <c r="N5131" s="381">
        <v>18</v>
      </c>
      <c r="O5131">
        <v>9</v>
      </c>
      <c r="P5131" t="s">
        <v>513</v>
      </c>
      <c r="Q5131" s="97" t="str">
        <f t="shared" si="649"/>
        <v/>
      </c>
      <c r="R5131" t="str">
        <f t="shared" si="650"/>
        <v/>
      </c>
    </row>
    <row r="5132" spans="3:18">
      <c r="C5132" t="str">
        <f t="shared" si="651"/>
        <v>NL</v>
      </c>
      <c r="D5132">
        <v>65</v>
      </c>
      <c r="E5132">
        <v>30</v>
      </c>
      <c r="F5132" s="366">
        <f t="shared" si="645"/>
        <v>651</v>
      </c>
      <c r="G5132" s="97">
        <v>2377</v>
      </c>
      <c r="H5132" s="367">
        <f t="shared" si="646"/>
        <v>3028</v>
      </c>
      <c r="I5132" s="368">
        <f t="shared" si="647"/>
        <v>0</v>
      </c>
      <c r="J5132">
        <v>8252</v>
      </c>
      <c r="K5132" s="367">
        <f t="shared" si="648"/>
        <v>5894.2857142857147</v>
      </c>
      <c r="L5132" s="607">
        <v>0.7</v>
      </c>
      <c r="M5132">
        <v>1.7000000000000002</v>
      </c>
      <c r="N5132" s="381">
        <v>24</v>
      </c>
      <c r="O5132">
        <v>9</v>
      </c>
      <c r="P5132" t="s">
        <v>512</v>
      </c>
      <c r="Q5132" s="97" t="str">
        <f t="shared" si="649"/>
        <v/>
      </c>
      <c r="R5132" t="str">
        <f t="shared" si="650"/>
        <v/>
      </c>
    </row>
    <row r="5133" spans="3:18">
      <c r="C5133" t="str">
        <f t="shared" si="651"/>
        <v/>
      </c>
      <c r="D5133">
        <v>66</v>
      </c>
      <c r="E5133">
        <v>30</v>
      </c>
      <c r="F5133" s="366">
        <f t="shared" ref="F5133:F5196" si="652">1.085*($A$2-$B$2)*E5133*$T$7</f>
        <v>651</v>
      </c>
      <c r="G5133" s="97">
        <v>2330</v>
      </c>
      <c r="H5133" s="367">
        <f t="shared" ref="H5133:H5196" si="653">(G5133*$U$7)+F5133</f>
        <v>2981</v>
      </c>
      <c r="I5133" s="368">
        <f t="shared" ref="I5133:I5196" si="654">1.085*($C$2-$D$2)*E5133*$T$7</f>
        <v>0</v>
      </c>
      <c r="J5133">
        <v>8088</v>
      </c>
      <c r="K5133" s="367">
        <f t="shared" ref="K5133:K5196" si="655">(J5133*$V$7)-I5133</f>
        <v>5777.1428571428569</v>
      </c>
      <c r="L5133" s="607">
        <v>0.25</v>
      </c>
      <c r="M5133">
        <v>3.7</v>
      </c>
      <c r="N5133" s="381">
        <v>18</v>
      </c>
      <c r="O5133">
        <v>10</v>
      </c>
      <c r="P5133" t="s">
        <v>513</v>
      </c>
      <c r="Q5133" s="97" t="str">
        <f t="shared" ref="Q5133:Q5196" si="656">IF(AND(H5133+1&gt;$E$4,L5133&lt;$L$4+0.01,M5133&lt;$M$4+0.01,K5133+1&gt;$F$4,E5133+1&gt;$J$4,N5133&lt;$K$4+1,O5133&lt;$P$4+1,C5133=""),D5133,"")</f>
        <v/>
      </c>
      <c r="R5133" t="str">
        <f t="shared" ref="R5133:R5196" si="657">IF(Q5133="","",IF(AND(O5133&lt;$X$37,E5133&gt;$U$37,E5133&lt;$Q$4+$U$37+1),D5133,""))</f>
        <v/>
      </c>
    </row>
    <row r="5134" spans="3:18">
      <c r="C5134" t="str">
        <f t="shared" si="651"/>
        <v/>
      </c>
      <c r="D5134">
        <v>67</v>
      </c>
      <c r="E5134">
        <v>30</v>
      </c>
      <c r="F5134" s="366">
        <f t="shared" si="652"/>
        <v>651</v>
      </c>
      <c r="G5134" s="97">
        <v>2501</v>
      </c>
      <c r="H5134" s="367">
        <f t="shared" si="653"/>
        <v>3152</v>
      </c>
      <c r="I5134" s="368">
        <f t="shared" si="654"/>
        <v>0</v>
      </c>
      <c r="J5134">
        <v>8681</v>
      </c>
      <c r="K5134" s="367">
        <f t="shared" si="655"/>
        <v>6200.7142857142862</v>
      </c>
      <c r="L5134" s="607">
        <v>0.57999999999999996</v>
      </c>
      <c r="M5134">
        <v>3.7</v>
      </c>
      <c r="N5134" s="381">
        <v>23</v>
      </c>
      <c r="O5134">
        <v>10</v>
      </c>
      <c r="P5134" t="s">
        <v>512</v>
      </c>
      <c r="Q5134" s="97" t="str">
        <f t="shared" si="656"/>
        <v/>
      </c>
      <c r="R5134" t="str">
        <f t="shared" si="657"/>
        <v/>
      </c>
    </row>
    <row r="5135" spans="3:18">
      <c r="C5135" t="str">
        <f t="shared" si="651"/>
        <v/>
      </c>
      <c r="D5135">
        <v>68</v>
      </c>
      <c r="E5135">
        <v>35</v>
      </c>
      <c r="F5135" s="366">
        <f t="shared" si="652"/>
        <v>759.5</v>
      </c>
      <c r="G5135" s="97">
        <v>625</v>
      </c>
      <c r="H5135" s="367">
        <f t="shared" si="653"/>
        <v>1384.5</v>
      </c>
      <c r="I5135" s="368">
        <f t="shared" si="654"/>
        <v>0</v>
      </c>
      <c r="J5135">
        <v>2169</v>
      </c>
      <c r="K5135" s="367">
        <f t="shared" si="655"/>
        <v>1549.2857142857142</v>
      </c>
      <c r="L5135" s="607">
        <v>1.05</v>
      </c>
      <c r="M5135">
        <v>3.4</v>
      </c>
      <c r="N5135" s="381">
        <v>23</v>
      </c>
      <c r="O5135">
        <v>2</v>
      </c>
      <c r="P5135" t="s">
        <v>515</v>
      </c>
      <c r="Q5135" s="97" t="str">
        <f t="shared" si="656"/>
        <v/>
      </c>
      <c r="R5135" t="str">
        <f t="shared" si="657"/>
        <v/>
      </c>
    </row>
    <row r="5136" spans="3:18">
      <c r="C5136" t="str">
        <f t="shared" si="651"/>
        <v>NL</v>
      </c>
      <c r="D5136">
        <v>69</v>
      </c>
      <c r="E5136">
        <v>35</v>
      </c>
      <c r="F5136" s="366">
        <f t="shared" si="652"/>
        <v>759.5</v>
      </c>
      <c r="G5136" s="97">
        <v>686</v>
      </c>
      <c r="H5136" s="367">
        <f t="shared" si="653"/>
        <v>1445.5</v>
      </c>
      <c r="I5136" s="368">
        <f t="shared" si="654"/>
        <v>0</v>
      </c>
      <c r="J5136">
        <v>2383</v>
      </c>
      <c r="K5136" s="367">
        <f t="shared" si="655"/>
        <v>1702.1428571428571</v>
      </c>
      <c r="L5136" s="607">
        <v>0.37</v>
      </c>
      <c r="M5136">
        <v>4.8</v>
      </c>
      <c r="N5136" s="381">
        <v>18</v>
      </c>
      <c r="O5136">
        <v>3</v>
      </c>
      <c r="P5136" t="s">
        <v>515</v>
      </c>
      <c r="Q5136" s="97" t="str">
        <f t="shared" si="656"/>
        <v/>
      </c>
      <c r="R5136" t="str">
        <f t="shared" si="657"/>
        <v/>
      </c>
    </row>
    <row r="5137" spans="3:18">
      <c r="C5137" t="str">
        <f t="shared" si="651"/>
        <v/>
      </c>
      <c r="D5137">
        <v>70</v>
      </c>
      <c r="E5137">
        <v>35</v>
      </c>
      <c r="F5137" s="366">
        <f t="shared" si="652"/>
        <v>759.5</v>
      </c>
      <c r="G5137" s="97">
        <v>740</v>
      </c>
      <c r="H5137" s="367">
        <f t="shared" si="653"/>
        <v>1499.5</v>
      </c>
      <c r="I5137" s="368">
        <f t="shared" si="654"/>
        <v>0</v>
      </c>
      <c r="J5137">
        <v>2569</v>
      </c>
      <c r="K5137" s="367">
        <f t="shared" si="655"/>
        <v>1835</v>
      </c>
      <c r="L5137" s="607">
        <v>0.19</v>
      </c>
      <c r="M5137">
        <v>6.1</v>
      </c>
      <c r="N5137" s="381">
        <v>15</v>
      </c>
      <c r="O5137">
        <v>4</v>
      </c>
      <c r="P5137" t="s">
        <v>515</v>
      </c>
      <c r="Q5137" s="97" t="str">
        <f t="shared" si="656"/>
        <v/>
      </c>
      <c r="R5137" t="str">
        <f t="shared" si="657"/>
        <v/>
      </c>
    </row>
    <row r="5138" spans="3:18">
      <c r="C5138" t="str">
        <f t="shared" si="651"/>
        <v/>
      </c>
      <c r="D5138">
        <v>71</v>
      </c>
      <c r="E5138">
        <v>35</v>
      </c>
      <c r="F5138" s="366">
        <f t="shared" si="652"/>
        <v>759.5</v>
      </c>
      <c r="G5138" s="97">
        <v>1038</v>
      </c>
      <c r="H5138" s="367">
        <f t="shared" si="653"/>
        <v>1797.5</v>
      </c>
      <c r="I5138" s="368">
        <f t="shared" si="654"/>
        <v>0</v>
      </c>
      <c r="J5138">
        <v>3604</v>
      </c>
      <c r="K5138" s="367">
        <f t="shared" si="655"/>
        <v>2574.2857142857142</v>
      </c>
      <c r="L5138" s="607">
        <v>0.57000000000000006</v>
      </c>
      <c r="M5138">
        <v>6.1</v>
      </c>
      <c r="N5138" s="381">
        <v>19</v>
      </c>
      <c r="O5138">
        <v>4</v>
      </c>
      <c r="P5138" t="s">
        <v>514</v>
      </c>
      <c r="Q5138" s="97" t="str">
        <f t="shared" si="656"/>
        <v/>
      </c>
      <c r="R5138" t="str">
        <f t="shared" si="657"/>
        <v/>
      </c>
    </row>
    <row r="5139" spans="3:18">
      <c r="C5139" t="str">
        <f t="shared" si="651"/>
        <v>NL</v>
      </c>
      <c r="D5139">
        <v>72</v>
      </c>
      <c r="E5139">
        <v>35</v>
      </c>
      <c r="F5139" s="366">
        <f t="shared" si="652"/>
        <v>759.5</v>
      </c>
      <c r="G5139" s="97">
        <v>1219</v>
      </c>
      <c r="H5139" s="367">
        <f t="shared" si="653"/>
        <v>1978.5</v>
      </c>
      <c r="I5139" s="368">
        <f t="shared" si="654"/>
        <v>0</v>
      </c>
      <c r="J5139">
        <v>4232</v>
      </c>
      <c r="K5139" s="367">
        <f t="shared" si="655"/>
        <v>3022.8571428571431</v>
      </c>
      <c r="L5139" s="607">
        <v>0.36</v>
      </c>
      <c r="M5139">
        <v>7.3999999999999995</v>
      </c>
      <c r="N5139" s="381">
        <v>18</v>
      </c>
      <c r="O5139">
        <v>5</v>
      </c>
      <c r="P5139" t="s">
        <v>514</v>
      </c>
      <c r="Q5139" s="97" t="str">
        <f t="shared" si="656"/>
        <v/>
      </c>
      <c r="R5139" t="str">
        <f t="shared" si="657"/>
        <v/>
      </c>
    </row>
    <row r="5140" spans="3:18">
      <c r="C5140" t="str">
        <f t="shared" si="651"/>
        <v/>
      </c>
      <c r="D5140">
        <v>73</v>
      </c>
      <c r="E5140">
        <v>35</v>
      </c>
      <c r="F5140" s="366">
        <f t="shared" si="652"/>
        <v>759.5</v>
      </c>
      <c r="G5140" s="97">
        <v>1131</v>
      </c>
      <c r="H5140" s="367">
        <f t="shared" si="653"/>
        <v>1890.5</v>
      </c>
      <c r="I5140" s="368">
        <f t="shared" si="654"/>
        <v>0</v>
      </c>
      <c r="J5140">
        <v>3927</v>
      </c>
      <c r="K5140" s="367">
        <f t="shared" si="655"/>
        <v>2805</v>
      </c>
      <c r="L5140" s="607">
        <v>0.26</v>
      </c>
      <c r="M5140">
        <v>8.6999999999999993</v>
      </c>
      <c r="N5140" s="381">
        <v>17</v>
      </c>
      <c r="O5140">
        <v>6</v>
      </c>
      <c r="P5140" t="s">
        <v>514</v>
      </c>
      <c r="Q5140" s="97" t="str">
        <f t="shared" si="656"/>
        <v/>
      </c>
      <c r="R5140" t="str">
        <f t="shared" si="657"/>
        <v/>
      </c>
    </row>
    <row r="5141" spans="3:18">
      <c r="C5141" t="str">
        <f t="shared" si="651"/>
        <v/>
      </c>
      <c r="D5141">
        <v>74</v>
      </c>
      <c r="E5141">
        <v>35</v>
      </c>
      <c r="F5141" s="366">
        <f t="shared" si="652"/>
        <v>759.5</v>
      </c>
      <c r="G5141" s="97">
        <v>1556</v>
      </c>
      <c r="H5141" s="367">
        <f t="shared" si="653"/>
        <v>2315.5</v>
      </c>
      <c r="I5141" s="368">
        <f t="shared" si="654"/>
        <v>0</v>
      </c>
      <c r="J5141">
        <v>5403</v>
      </c>
      <c r="K5141" s="367">
        <f t="shared" si="655"/>
        <v>3859.2857142857142</v>
      </c>
      <c r="L5141" s="607">
        <v>0.87</v>
      </c>
      <c r="M5141">
        <v>8.6999999999999993</v>
      </c>
      <c r="N5141" s="381">
        <v>22</v>
      </c>
      <c r="O5141">
        <v>6</v>
      </c>
      <c r="P5141" t="s">
        <v>513</v>
      </c>
      <c r="Q5141" s="97" t="str">
        <f t="shared" si="656"/>
        <v/>
      </c>
      <c r="R5141" t="str">
        <f t="shared" si="657"/>
        <v/>
      </c>
    </row>
    <row r="5142" spans="3:18">
      <c r="C5142" t="str">
        <f t="shared" si="651"/>
        <v>NL</v>
      </c>
      <c r="D5142">
        <v>75</v>
      </c>
      <c r="E5142">
        <v>35</v>
      </c>
      <c r="F5142" s="366">
        <f t="shared" si="652"/>
        <v>759.5</v>
      </c>
      <c r="G5142" s="97">
        <v>1572</v>
      </c>
      <c r="H5142" s="367">
        <f t="shared" si="653"/>
        <v>2331.5</v>
      </c>
      <c r="I5142" s="368">
        <f t="shared" si="654"/>
        <v>0</v>
      </c>
      <c r="J5142">
        <v>5459</v>
      </c>
      <c r="K5142" s="367">
        <f t="shared" si="655"/>
        <v>3899.2857142857142</v>
      </c>
      <c r="L5142" s="607">
        <v>0.2</v>
      </c>
      <c r="M5142">
        <v>1.3</v>
      </c>
      <c r="N5142" s="381">
        <v>17</v>
      </c>
      <c r="O5142">
        <v>7</v>
      </c>
      <c r="P5142" t="s">
        <v>514</v>
      </c>
      <c r="Q5142" s="97" t="str">
        <f t="shared" si="656"/>
        <v/>
      </c>
      <c r="R5142" t="str">
        <f t="shared" si="657"/>
        <v/>
      </c>
    </row>
    <row r="5143" spans="3:18">
      <c r="C5143" t="str">
        <f t="shared" si="651"/>
        <v>NL</v>
      </c>
      <c r="D5143">
        <v>76</v>
      </c>
      <c r="E5143">
        <v>35</v>
      </c>
      <c r="F5143" s="366">
        <f t="shared" si="652"/>
        <v>759.5</v>
      </c>
      <c r="G5143" s="97">
        <v>2129</v>
      </c>
      <c r="H5143" s="367">
        <f t="shared" si="653"/>
        <v>2888.5</v>
      </c>
      <c r="I5143" s="368">
        <f t="shared" si="654"/>
        <v>0</v>
      </c>
      <c r="J5143">
        <v>7391</v>
      </c>
      <c r="K5143" s="367">
        <f t="shared" si="655"/>
        <v>5279.2857142857147</v>
      </c>
      <c r="L5143" s="607">
        <v>0.64</v>
      </c>
      <c r="M5143">
        <v>1.3</v>
      </c>
      <c r="N5143" s="381">
        <v>21</v>
      </c>
      <c r="O5143">
        <v>7</v>
      </c>
      <c r="P5143" t="s">
        <v>513</v>
      </c>
      <c r="Q5143" s="97" t="str">
        <f t="shared" si="656"/>
        <v/>
      </c>
      <c r="R5143" t="str">
        <f t="shared" si="657"/>
        <v/>
      </c>
    </row>
    <row r="5144" spans="3:18">
      <c r="C5144" t="str">
        <f t="shared" si="651"/>
        <v/>
      </c>
      <c r="D5144">
        <v>77</v>
      </c>
      <c r="E5144">
        <v>35</v>
      </c>
      <c r="F5144" s="366">
        <f t="shared" si="652"/>
        <v>759.5</v>
      </c>
      <c r="G5144" s="97">
        <v>1345</v>
      </c>
      <c r="H5144" s="367">
        <f t="shared" si="653"/>
        <v>2104.5</v>
      </c>
      <c r="I5144" s="368">
        <f t="shared" si="654"/>
        <v>0</v>
      </c>
      <c r="J5144">
        <v>4668</v>
      </c>
      <c r="K5144" s="367">
        <f t="shared" si="655"/>
        <v>3334.2857142857142</v>
      </c>
      <c r="L5144" s="607">
        <v>0.16</v>
      </c>
      <c r="M5144">
        <v>2.8000000000000003</v>
      </c>
      <c r="N5144" s="381">
        <v>17</v>
      </c>
      <c r="O5144">
        <v>8</v>
      </c>
      <c r="P5144" t="s">
        <v>514</v>
      </c>
      <c r="Q5144" s="97" t="str">
        <f t="shared" si="656"/>
        <v/>
      </c>
      <c r="R5144" t="str">
        <f t="shared" si="657"/>
        <v/>
      </c>
    </row>
    <row r="5145" spans="3:18">
      <c r="C5145" t="str">
        <f t="shared" si="651"/>
        <v/>
      </c>
      <c r="D5145">
        <v>78</v>
      </c>
      <c r="E5145">
        <v>35</v>
      </c>
      <c r="F5145" s="366">
        <f t="shared" si="652"/>
        <v>759.5</v>
      </c>
      <c r="G5145" s="97">
        <v>1819</v>
      </c>
      <c r="H5145" s="367">
        <f t="shared" si="653"/>
        <v>2578.5</v>
      </c>
      <c r="I5145" s="368">
        <f t="shared" si="654"/>
        <v>0</v>
      </c>
      <c r="J5145">
        <v>6313</v>
      </c>
      <c r="K5145" s="367">
        <f t="shared" si="655"/>
        <v>4509.2857142857147</v>
      </c>
      <c r="L5145" s="607">
        <v>0.5</v>
      </c>
      <c r="M5145">
        <v>2.8000000000000003</v>
      </c>
      <c r="N5145" s="381">
        <v>21</v>
      </c>
      <c r="O5145">
        <v>8</v>
      </c>
      <c r="P5145" t="s">
        <v>513</v>
      </c>
      <c r="Q5145" s="97" t="str">
        <f t="shared" si="656"/>
        <v/>
      </c>
      <c r="R5145" t="str">
        <f t="shared" si="657"/>
        <v/>
      </c>
    </row>
    <row r="5146" spans="3:18">
      <c r="C5146" t="str">
        <f t="shared" ref="C5146:C5209" si="658">IF(OR($O$4=0,O5146-$O$4=0),IF(AND(ISEVEN(O5146)=FALSE,$N$4="Even"),"NL",""),"NL")</f>
        <v>NL</v>
      </c>
      <c r="D5146">
        <v>79</v>
      </c>
      <c r="E5146">
        <v>35</v>
      </c>
      <c r="F5146" s="366">
        <f t="shared" si="652"/>
        <v>759.5</v>
      </c>
      <c r="G5146" s="97">
        <v>2489</v>
      </c>
      <c r="H5146" s="367">
        <f t="shared" si="653"/>
        <v>3248.5</v>
      </c>
      <c r="I5146" s="368">
        <f t="shared" si="654"/>
        <v>0</v>
      </c>
      <c r="J5146">
        <v>8640</v>
      </c>
      <c r="K5146" s="367">
        <f t="shared" si="655"/>
        <v>6171.4285714285716</v>
      </c>
      <c r="L5146" s="607">
        <v>0.41000000000000003</v>
      </c>
      <c r="M5146">
        <v>1.7000000000000002</v>
      </c>
      <c r="N5146" s="381">
        <v>20</v>
      </c>
      <c r="O5146">
        <v>9</v>
      </c>
      <c r="P5146" t="s">
        <v>513</v>
      </c>
      <c r="Q5146" s="97" t="str">
        <f t="shared" si="656"/>
        <v/>
      </c>
      <c r="R5146" t="str">
        <f t="shared" si="657"/>
        <v/>
      </c>
    </row>
    <row r="5147" spans="3:18">
      <c r="C5147" t="str">
        <f t="shared" si="658"/>
        <v>NL</v>
      </c>
      <c r="D5147">
        <v>80</v>
      </c>
      <c r="E5147">
        <v>35</v>
      </c>
      <c r="F5147" s="366">
        <f t="shared" si="652"/>
        <v>759.5</v>
      </c>
      <c r="G5147" s="97">
        <v>2685</v>
      </c>
      <c r="H5147" s="367">
        <f t="shared" si="653"/>
        <v>3444.5</v>
      </c>
      <c r="I5147" s="368">
        <f t="shared" si="654"/>
        <v>0</v>
      </c>
      <c r="J5147">
        <v>9320</v>
      </c>
      <c r="K5147" s="367">
        <f t="shared" si="655"/>
        <v>6657.1428571428569</v>
      </c>
      <c r="L5147" s="607">
        <v>0.95</v>
      </c>
      <c r="M5147">
        <v>1.7000000000000002</v>
      </c>
      <c r="N5147" s="381">
        <v>26</v>
      </c>
      <c r="O5147">
        <v>9</v>
      </c>
      <c r="P5147" t="s">
        <v>512</v>
      </c>
      <c r="Q5147" s="97" t="str">
        <f t="shared" si="656"/>
        <v/>
      </c>
      <c r="R5147" t="str">
        <f t="shared" si="657"/>
        <v/>
      </c>
    </row>
    <row r="5148" spans="3:18">
      <c r="C5148" t="str">
        <f t="shared" si="658"/>
        <v/>
      </c>
      <c r="D5148">
        <v>81</v>
      </c>
      <c r="E5148">
        <v>35</v>
      </c>
      <c r="F5148" s="366">
        <f t="shared" si="652"/>
        <v>759.5</v>
      </c>
      <c r="G5148" s="97">
        <v>2615</v>
      </c>
      <c r="H5148" s="367">
        <f t="shared" si="653"/>
        <v>3374.5</v>
      </c>
      <c r="I5148" s="368">
        <f t="shared" si="654"/>
        <v>0</v>
      </c>
      <c r="J5148">
        <v>9076</v>
      </c>
      <c r="K5148" s="367">
        <f t="shared" si="655"/>
        <v>6482.8571428571431</v>
      </c>
      <c r="L5148" s="607">
        <v>0.34</v>
      </c>
      <c r="M5148">
        <v>3.7</v>
      </c>
      <c r="N5148" s="381">
        <v>20</v>
      </c>
      <c r="O5148">
        <v>10</v>
      </c>
      <c r="P5148" t="s">
        <v>513</v>
      </c>
      <c r="Q5148" s="97" t="str">
        <f t="shared" si="656"/>
        <v/>
      </c>
      <c r="R5148" t="str">
        <f t="shared" si="657"/>
        <v/>
      </c>
    </row>
    <row r="5149" spans="3:18">
      <c r="C5149" t="str">
        <f t="shared" si="658"/>
        <v/>
      </c>
      <c r="D5149">
        <v>82</v>
      </c>
      <c r="E5149">
        <v>35</v>
      </c>
      <c r="F5149" s="366">
        <f t="shared" si="652"/>
        <v>759.5</v>
      </c>
      <c r="G5149" s="97">
        <v>2814</v>
      </c>
      <c r="H5149" s="367">
        <f t="shared" si="653"/>
        <v>3573.5</v>
      </c>
      <c r="I5149" s="368">
        <f t="shared" si="654"/>
        <v>0</v>
      </c>
      <c r="J5149">
        <v>9768</v>
      </c>
      <c r="K5149" s="367">
        <f t="shared" si="655"/>
        <v>6977.1428571428569</v>
      </c>
      <c r="L5149" s="607">
        <v>0.79</v>
      </c>
      <c r="M5149">
        <v>3.7</v>
      </c>
      <c r="N5149" s="381">
        <v>25</v>
      </c>
      <c r="O5149">
        <v>10</v>
      </c>
      <c r="P5149" t="s">
        <v>512</v>
      </c>
      <c r="Q5149" s="97" t="str">
        <f t="shared" si="656"/>
        <v/>
      </c>
      <c r="R5149" t="str">
        <f t="shared" si="657"/>
        <v/>
      </c>
    </row>
    <row r="5150" spans="3:18">
      <c r="C5150" t="str">
        <f t="shared" si="658"/>
        <v>NL</v>
      </c>
      <c r="D5150">
        <v>83</v>
      </c>
      <c r="E5150">
        <v>40</v>
      </c>
      <c r="F5150" s="366">
        <f t="shared" si="652"/>
        <v>868</v>
      </c>
      <c r="G5150" s="97">
        <v>764</v>
      </c>
      <c r="H5150" s="367">
        <f t="shared" si="653"/>
        <v>1632</v>
      </c>
      <c r="I5150" s="368">
        <f t="shared" si="654"/>
        <v>0</v>
      </c>
      <c r="J5150">
        <v>2653</v>
      </c>
      <c r="K5150" s="367">
        <f t="shared" si="655"/>
        <v>1895</v>
      </c>
      <c r="L5150" s="607">
        <v>0.48</v>
      </c>
      <c r="M5150">
        <v>4.8</v>
      </c>
      <c r="N5150" s="381">
        <v>19</v>
      </c>
      <c r="O5150">
        <v>3</v>
      </c>
      <c r="P5150" t="s">
        <v>515</v>
      </c>
      <c r="Q5150" s="97" t="str">
        <f t="shared" si="656"/>
        <v/>
      </c>
      <c r="R5150" t="str">
        <f t="shared" si="657"/>
        <v/>
      </c>
    </row>
    <row r="5151" spans="3:18">
      <c r="C5151" t="str">
        <f t="shared" si="658"/>
        <v/>
      </c>
      <c r="D5151">
        <v>84</v>
      </c>
      <c r="E5151">
        <v>40</v>
      </c>
      <c r="F5151" s="366">
        <f t="shared" si="652"/>
        <v>868</v>
      </c>
      <c r="G5151" s="97">
        <v>816</v>
      </c>
      <c r="H5151" s="367">
        <f t="shared" si="653"/>
        <v>1684</v>
      </c>
      <c r="I5151" s="368">
        <f t="shared" si="654"/>
        <v>0</v>
      </c>
      <c r="J5151">
        <v>2835</v>
      </c>
      <c r="K5151" s="367">
        <f t="shared" si="655"/>
        <v>2025</v>
      </c>
      <c r="L5151" s="607">
        <v>0.24000000000000002</v>
      </c>
      <c r="M5151">
        <v>6.1</v>
      </c>
      <c r="N5151" s="381">
        <v>16</v>
      </c>
      <c r="O5151">
        <v>4</v>
      </c>
      <c r="P5151" t="s">
        <v>515</v>
      </c>
      <c r="Q5151" s="97" t="str">
        <f t="shared" si="656"/>
        <v/>
      </c>
      <c r="R5151" t="str">
        <f t="shared" si="657"/>
        <v/>
      </c>
    </row>
    <row r="5152" spans="3:18">
      <c r="C5152" t="str">
        <f t="shared" si="658"/>
        <v/>
      </c>
      <c r="D5152">
        <v>85</v>
      </c>
      <c r="E5152">
        <v>40</v>
      </c>
      <c r="F5152" s="366">
        <f t="shared" si="652"/>
        <v>868</v>
      </c>
      <c r="G5152" s="97">
        <v>1156</v>
      </c>
      <c r="H5152" s="367">
        <f t="shared" si="653"/>
        <v>2024</v>
      </c>
      <c r="I5152" s="368">
        <f t="shared" si="654"/>
        <v>0</v>
      </c>
      <c r="J5152">
        <v>4014</v>
      </c>
      <c r="K5152" s="367">
        <f t="shared" si="655"/>
        <v>2867.1428571428573</v>
      </c>
      <c r="L5152" s="607">
        <v>0.75</v>
      </c>
      <c r="M5152">
        <v>6.1</v>
      </c>
      <c r="N5152" s="381">
        <v>21</v>
      </c>
      <c r="O5152">
        <v>4</v>
      </c>
      <c r="P5152" t="s">
        <v>514</v>
      </c>
      <c r="Q5152" s="97" t="str">
        <f t="shared" si="656"/>
        <v/>
      </c>
      <c r="R5152" t="str">
        <f t="shared" si="657"/>
        <v/>
      </c>
    </row>
    <row r="5153" spans="3:18">
      <c r="C5153" t="str">
        <f t="shared" si="658"/>
        <v>NL</v>
      </c>
      <c r="D5153">
        <v>86</v>
      </c>
      <c r="E5153">
        <v>40</v>
      </c>
      <c r="F5153" s="366">
        <f t="shared" si="652"/>
        <v>868</v>
      </c>
      <c r="G5153" s="97">
        <v>997</v>
      </c>
      <c r="H5153" s="367">
        <f t="shared" si="653"/>
        <v>1865</v>
      </c>
      <c r="I5153" s="368">
        <f t="shared" si="654"/>
        <v>0</v>
      </c>
      <c r="J5153">
        <v>3463</v>
      </c>
      <c r="K5153" s="367">
        <f t="shared" si="655"/>
        <v>2473.5714285714284</v>
      </c>
      <c r="L5153" s="607">
        <v>0.16</v>
      </c>
      <c r="M5153">
        <v>7.3999999999999995</v>
      </c>
      <c r="N5153" s="381">
        <v>15</v>
      </c>
      <c r="O5153">
        <v>5</v>
      </c>
      <c r="P5153" t="s">
        <v>515</v>
      </c>
      <c r="Q5153" s="97" t="str">
        <f t="shared" si="656"/>
        <v/>
      </c>
      <c r="R5153" t="str">
        <f t="shared" si="657"/>
        <v/>
      </c>
    </row>
    <row r="5154" spans="3:18">
      <c r="C5154" t="str">
        <f t="shared" si="658"/>
        <v>NL</v>
      </c>
      <c r="D5154">
        <v>87</v>
      </c>
      <c r="E5154">
        <v>40</v>
      </c>
      <c r="F5154" s="366">
        <f t="shared" si="652"/>
        <v>868</v>
      </c>
      <c r="G5154" s="97">
        <v>1360</v>
      </c>
      <c r="H5154" s="367">
        <f t="shared" si="653"/>
        <v>2228</v>
      </c>
      <c r="I5154" s="368">
        <f t="shared" si="654"/>
        <v>0</v>
      </c>
      <c r="J5154">
        <v>4721</v>
      </c>
      <c r="K5154" s="367">
        <f t="shared" si="655"/>
        <v>3372.1428571428573</v>
      </c>
      <c r="L5154" s="607">
        <v>0.47000000000000003</v>
      </c>
      <c r="M5154">
        <v>7.3999999999999995</v>
      </c>
      <c r="N5154" s="381">
        <v>20</v>
      </c>
      <c r="O5154">
        <v>5</v>
      </c>
      <c r="P5154" t="s">
        <v>514</v>
      </c>
      <c r="Q5154" s="97" t="str">
        <f t="shared" si="656"/>
        <v/>
      </c>
      <c r="R5154" t="str">
        <f t="shared" si="657"/>
        <v/>
      </c>
    </row>
    <row r="5155" spans="3:18">
      <c r="C5155" t="str">
        <f t="shared" si="658"/>
        <v/>
      </c>
      <c r="D5155">
        <v>88</v>
      </c>
      <c r="E5155">
        <v>40</v>
      </c>
      <c r="F5155" s="366">
        <f t="shared" si="652"/>
        <v>868</v>
      </c>
      <c r="G5155" s="97">
        <v>1252</v>
      </c>
      <c r="H5155" s="367">
        <f t="shared" si="653"/>
        <v>2120</v>
      </c>
      <c r="I5155" s="368">
        <f t="shared" si="654"/>
        <v>0</v>
      </c>
      <c r="J5155">
        <v>4345</v>
      </c>
      <c r="K5155" s="367">
        <f t="shared" si="655"/>
        <v>3103.5714285714284</v>
      </c>
      <c r="L5155" s="607">
        <v>0.34</v>
      </c>
      <c r="M5155">
        <v>8.6999999999999993</v>
      </c>
      <c r="N5155" s="381">
        <v>19</v>
      </c>
      <c r="O5155">
        <v>6</v>
      </c>
      <c r="P5155" t="s">
        <v>514</v>
      </c>
      <c r="Q5155" s="97" t="str">
        <f t="shared" si="656"/>
        <v/>
      </c>
      <c r="R5155" t="str">
        <f t="shared" si="657"/>
        <v/>
      </c>
    </row>
    <row r="5156" spans="3:18">
      <c r="C5156" t="str">
        <f t="shared" si="658"/>
        <v>NL</v>
      </c>
      <c r="D5156">
        <v>89</v>
      </c>
      <c r="E5156">
        <v>40</v>
      </c>
      <c r="F5156" s="366">
        <f t="shared" si="652"/>
        <v>868</v>
      </c>
      <c r="G5156" s="97">
        <v>1745</v>
      </c>
      <c r="H5156" s="367">
        <f t="shared" si="653"/>
        <v>2613</v>
      </c>
      <c r="I5156" s="368">
        <f t="shared" si="654"/>
        <v>0</v>
      </c>
      <c r="J5156">
        <v>6057</v>
      </c>
      <c r="K5156" s="367">
        <f t="shared" si="655"/>
        <v>4326.4285714285716</v>
      </c>
      <c r="L5156" s="607">
        <v>0.26</v>
      </c>
      <c r="M5156">
        <v>1.3</v>
      </c>
      <c r="N5156" s="381">
        <v>18</v>
      </c>
      <c r="O5156">
        <v>7</v>
      </c>
      <c r="P5156" t="s">
        <v>514</v>
      </c>
      <c r="Q5156" s="97" t="str">
        <f t="shared" si="656"/>
        <v/>
      </c>
      <c r="R5156" t="str">
        <f t="shared" si="657"/>
        <v/>
      </c>
    </row>
    <row r="5157" spans="3:18">
      <c r="C5157" t="str">
        <f t="shared" si="658"/>
        <v>NL</v>
      </c>
      <c r="D5157">
        <v>90</v>
      </c>
      <c r="E5157">
        <v>40</v>
      </c>
      <c r="F5157" s="366">
        <f t="shared" si="652"/>
        <v>868</v>
      </c>
      <c r="G5157" s="97">
        <v>2349</v>
      </c>
      <c r="H5157" s="367">
        <f t="shared" si="653"/>
        <v>3217</v>
      </c>
      <c r="I5157" s="368">
        <f t="shared" si="654"/>
        <v>0</v>
      </c>
      <c r="J5157">
        <v>8153</v>
      </c>
      <c r="K5157" s="367">
        <f t="shared" si="655"/>
        <v>5823.5714285714284</v>
      </c>
      <c r="L5157" s="607">
        <v>0.84</v>
      </c>
      <c r="M5157">
        <v>1.3</v>
      </c>
      <c r="N5157" s="381">
        <v>23</v>
      </c>
      <c r="O5157">
        <v>7</v>
      </c>
      <c r="P5157" t="s">
        <v>513</v>
      </c>
      <c r="Q5157" s="97" t="str">
        <f t="shared" si="656"/>
        <v/>
      </c>
      <c r="R5157" t="str">
        <f t="shared" si="657"/>
        <v/>
      </c>
    </row>
    <row r="5158" spans="3:18">
      <c r="C5158" t="str">
        <f t="shared" si="658"/>
        <v/>
      </c>
      <c r="D5158">
        <v>91</v>
      </c>
      <c r="E5158">
        <v>40</v>
      </c>
      <c r="F5158" s="366">
        <f t="shared" si="652"/>
        <v>868</v>
      </c>
      <c r="G5158" s="97">
        <v>1473</v>
      </c>
      <c r="H5158" s="367">
        <f t="shared" si="653"/>
        <v>2341</v>
      </c>
      <c r="I5158" s="368">
        <f t="shared" si="654"/>
        <v>0</v>
      </c>
      <c r="J5158">
        <v>5115</v>
      </c>
      <c r="K5158" s="367">
        <f t="shared" si="655"/>
        <v>3653.5714285714284</v>
      </c>
      <c r="L5158" s="607">
        <v>0.2</v>
      </c>
      <c r="M5158">
        <v>2.8000000000000003</v>
      </c>
      <c r="N5158" s="381">
        <v>18</v>
      </c>
      <c r="O5158">
        <v>8</v>
      </c>
      <c r="P5158" t="s">
        <v>514</v>
      </c>
      <c r="Q5158" s="97" t="str">
        <f t="shared" si="656"/>
        <v/>
      </c>
      <c r="R5158" t="str">
        <f t="shared" si="657"/>
        <v/>
      </c>
    </row>
    <row r="5159" spans="3:18">
      <c r="C5159" t="str">
        <f t="shared" si="658"/>
        <v/>
      </c>
      <c r="D5159">
        <v>92</v>
      </c>
      <c r="E5159">
        <v>40</v>
      </c>
      <c r="F5159" s="366">
        <f t="shared" si="652"/>
        <v>868</v>
      </c>
      <c r="G5159" s="97">
        <v>2015</v>
      </c>
      <c r="H5159" s="367">
        <f t="shared" si="653"/>
        <v>2883</v>
      </c>
      <c r="I5159" s="368">
        <f t="shared" si="654"/>
        <v>0</v>
      </c>
      <c r="J5159">
        <v>6995</v>
      </c>
      <c r="K5159" s="367">
        <f t="shared" si="655"/>
        <v>4996.4285714285716</v>
      </c>
      <c r="L5159" s="607">
        <v>0.65</v>
      </c>
      <c r="M5159">
        <v>2.8000000000000003</v>
      </c>
      <c r="N5159" s="381">
        <v>23</v>
      </c>
      <c r="O5159">
        <v>8</v>
      </c>
      <c r="P5159" t="s">
        <v>513</v>
      </c>
      <c r="Q5159" s="97" t="str">
        <f t="shared" si="656"/>
        <v/>
      </c>
      <c r="R5159" t="str">
        <f t="shared" si="657"/>
        <v/>
      </c>
    </row>
    <row r="5160" spans="3:18">
      <c r="C5160" t="str">
        <f t="shared" si="658"/>
        <v>NL</v>
      </c>
      <c r="D5160">
        <v>93</v>
      </c>
      <c r="E5160">
        <v>40</v>
      </c>
      <c r="F5160" s="366">
        <f t="shared" si="652"/>
        <v>868</v>
      </c>
      <c r="G5160" s="97">
        <v>2041</v>
      </c>
      <c r="H5160" s="367">
        <f t="shared" si="653"/>
        <v>2909</v>
      </c>
      <c r="I5160" s="368">
        <f t="shared" si="654"/>
        <v>0</v>
      </c>
      <c r="J5160">
        <v>7086</v>
      </c>
      <c r="K5160" s="367">
        <f t="shared" si="655"/>
        <v>5061.4285714285716</v>
      </c>
      <c r="L5160" s="607">
        <v>0.17</v>
      </c>
      <c r="M5160">
        <v>1.7000000000000002</v>
      </c>
      <c r="N5160" s="381">
        <v>18</v>
      </c>
      <c r="O5160">
        <v>9</v>
      </c>
      <c r="P5160" t="s">
        <v>514</v>
      </c>
      <c r="Q5160" s="97" t="str">
        <f t="shared" si="656"/>
        <v/>
      </c>
      <c r="R5160" t="str">
        <f t="shared" si="657"/>
        <v/>
      </c>
    </row>
    <row r="5161" spans="3:18">
      <c r="C5161" t="str">
        <f t="shared" si="658"/>
        <v>NL</v>
      </c>
      <c r="D5161">
        <v>94</v>
      </c>
      <c r="E5161">
        <v>40</v>
      </c>
      <c r="F5161" s="366">
        <f t="shared" si="652"/>
        <v>868</v>
      </c>
      <c r="G5161" s="97">
        <v>2769</v>
      </c>
      <c r="H5161" s="367">
        <f t="shared" si="653"/>
        <v>3637</v>
      </c>
      <c r="I5161" s="368">
        <f t="shared" si="654"/>
        <v>0</v>
      </c>
      <c r="J5161">
        <v>9611</v>
      </c>
      <c r="K5161" s="367">
        <f t="shared" si="655"/>
        <v>6865</v>
      </c>
      <c r="L5161" s="607">
        <v>0.53</v>
      </c>
      <c r="M5161">
        <v>1.7000000000000002</v>
      </c>
      <c r="N5161" s="381">
        <v>22</v>
      </c>
      <c r="O5161">
        <v>9</v>
      </c>
      <c r="P5161" t="s">
        <v>513</v>
      </c>
      <c r="Q5161" s="97" t="str">
        <f t="shared" si="656"/>
        <v/>
      </c>
      <c r="R5161" t="str">
        <f t="shared" si="657"/>
        <v/>
      </c>
    </row>
    <row r="5162" spans="3:18">
      <c r="C5162" t="str">
        <f t="shared" si="658"/>
        <v/>
      </c>
      <c r="D5162">
        <v>95</v>
      </c>
      <c r="E5162">
        <v>40</v>
      </c>
      <c r="F5162" s="366">
        <f t="shared" si="652"/>
        <v>868</v>
      </c>
      <c r="G5162" s="97">
        <v>2899</v>
      </c>
      <c r="H5162" s="367">
        <f t="shared" si="653"/>
        <v>3767</v>
      </c>
      <c r="I5162" s="368">
        <f t="shared" si="654"/>
        <v>0</v>
      </c>
      <c r="J5162">
        <v>10064</v>
      </c>
      <c r="K5162" s="367">
        <f t="shared" si="655"/>
        <v>7188.5714285714284</v>
      </c>
      <c r="L5162" s="607">
        <v>0.44</v>
      </c>
      <c r="M5162">
        <v>3.7</v>
      </c>
      <c r="N5162" s="381">
        <v>22</v>
      </c>
      <c r="O5162">
        <v>10</v>
      </c>
      <c r="P5162" t="s">
        <v>513</v>
      </c>
      <c r="Q5162" s="97" t="str">
        <f t="shared" si="656"/>
        <v/>
      </c>
      <c r="R5162" t="str">
        <f t="shared" si="657"/>
        <v/>
      </c>
    </row>
    <row r="5163" spans="3:18">
      <c r="C5163" t="str">
        <f t="shared" si="658"/>
        <v>NL</v>
      </c>
      <c r="D5163">
        <v>96</v>
      </c>
      <c r="E5163">
        <v>45</v>
      </c>
      <c r="F5163" s="366">
        <f t="shared" si="652"/>
        <v>976.5</v>
      </c>
      <c r="G5163" s="97">
        <v>841</v>
      </c>
      <c r="H5163" s="367">
        <f t="shared" si="653"/>
        <v>1817.5</v>
      </c>
      <c r="I5163" s="368">
        <f t="shared" si="654"/>
        <v>0</v>
      </c>
      <c r="J5163">
        <v>2922</v>
      </c>
      <c r="K5163" s="367">
        <f t="shared" si="655"/>
        <v>2087.1428571428573</v>
      </c>
      <c r="L5163" s="607">
        <v>0.6</v>
      </c>
      <c r="M5163">
        <v>4.8</v>
      </c>
      <c r="N5163" s="381">
        <v>21</v>
      </c>
      <c r="O5163">
        <v>3</v>
      </c>
      <c r="P5163" t="s">
        <v>515</v>
      </c>
      <c r="Q5163" s="97" t="str">
        <f t="shared" si="656"/>
        <v/>
      </c>
      <c r="R5163" t="str">
        <f t="shared" si="657"/>
        <v/>
      </c>
    </row>
    <row r="5164" spans="3:18">
      <c r="C5164" t="str">
        <f t="shared" si="658"/>
        <v/>
      </c>
      <c r="D5164">
        <v>97</v>
      </c>
      <c r="E5164">
        <v>45</v>
      </c>
      <c r="F5164" s="366">
        <f t="shared" si="652"/>
        <v>976.5</v>
      </c>
      <c r="G5164" s="97">
        <v>893</v>
      </c>
      <c r="H5164" s="367">
        <f t="shared" si="653"/>
        <v>1869.5</v>
      </c>
      <c r="I5164" s="368">
        <f t="shared" si="654"/>
        <v>0</v>
      </c>
      <c r="J5164">
        <v>3100</v>
      </c>
      <c r="K5164" s="367">
        <f t="shared" si="655"/>
        <v>2214.2857142857142</v>
      </c>
      <c r="L5164" s="607">
        <v>0.31</v>
      </c>
      <c r="M5164">
        <v>6.1</v>
      </c>
      <c r="N5164" s="381">
        <v>17</v>
      </c>
      <c r="O5164">
        <v>4</v>
      </c>
      <c r="P5164" t="s">
        <v>515</v>
      </c>
      <c r="Q5164" s="97" t="str">
        <f t="shared" si="656"/>
        <v/>
      </c>
      <c r="R5164" t="str">
        <f t="shared" si="657"/>
        <v/>
      </c>
    </row>
    <row r="5165" spans="3:18">
      <c r="C5165" t="str">
        <f t="shared" si="658"/>
        <v>NL</v>
      </c>
      <c r="D5165">
        <v>98</v>
      </c>
      <c r="E5165">
        <v>45</v>
      </c>
      <c r="F5165" s="366">
        <f t="shared" si="652"/>
        <v>976.5</v>
      </c>
      <c r="G5165" s="97">
        <v>1088</v>
      </c>
      <c r="H5165" s="367">
        <f t="shared" si="653"/>
        <v>2064.5</v>
      </c>
      <c r="I5165" s="368">
        <f t="shared" si="654"/>
        <v>0</v>
      </c>
      <c r="J5165">
        <v>3776</v>
      </c>
      <c r="K5165" s="367">
        <f t="shared" si="655"/>
        <v>2697.1428571428573</v>
      </c>
      <c r="L5165" s="607">
        <v>0.2</v>
      </c>
      <c r="M5165">
        <v>7.3999999999999995</v>
      </c>
      <c r="N5165" s="381">
        <v>16</v>
      </c>
      <c r="O5165">
        <v>5</v>
      </c>
      <c r="P5165" t="s">
        <v>515</v>
      </c>
      <c r="Q5165" s="97" t="str">
        <f t="shared" si="656"/>
        <v/>
      </c>
      <c r="R5165" t="str">
        <f t="shared" si="657"/>
        <v/>
      </c>
    </row>
    <row r="5166" spans="3:18">
      <c r="C5166" t="str">
        <f t="shared" si="658"/>
        <v>NL</v>
      </c>
      <c r="D5166">
        <v>99</v>
      </c>
      <c r="E5166">
        <v>45</v>
      </c>
      <c r="F5166" s="366">
        <f t="shared" si="652"/>
        <v>976.5</v>
      </c>
      <c r="G5166" s="97">
        <v>1491</v>
      </c>
      <c r="H5166" s="367">
        <f t="shared" si="653"/>
        <v>2467.5</v>
      </c>
      <c r="I5166" s="368">
        <f t="shared" si="654"/>
        <v>0</v>
      </c>
      <c r="J5166">
        <v>5177</v>
      </c>
      <c r="K5166" s="367">
        <f t="shared" si="655"/>
        <v>3697.8571428571431</v>
      </c>
      <c r="L5166" s="607">
        <v>0.6</v>
      </c>
      <c r="M5166">
        <v>7.3999999999999995</v>
      </c>
      <c r="N5166" s="381">
        <v>21</v>
      </c>
      <c r="O5166">
        <v>5</v>
      </c>
      <c r="P5166" t="s">
        <v>514</v>
      </c>
      <c r="Q5166" s="97" t="str">
        <f t="shared" si="656"/>
        <v/>
      </c>
      <c r="R5166" t="str">
        <f t="shared" si="657"/>
        <v/>
      </c>
    </row>
    <row r="5167" spans="3:18">
      <c r="C5167" t="str">
        <f t="shared" si="658"/>
        <v/>
      </c>
      <c r="D5167">
        <v>100</v>
      </c>
      <c r="E5167">
        <v>45</v>
      </c>
      <c r="F5167" s="366">
        <f t="shared" si="652"/>
        <v>976.5</v>
      </c>
      <c r="G5167" s="97">
        <v>1010</v>
      </c>
      <c r="H5167" s="367">
        <f t="shared" si="653"/>
        <v>1986.5</v>
      </c>
      <c r="I5167" s="368">
        <f t="shared" si="654"/>
        <v>0</v>
      </c>
      <c r="J5167">
        <v>3507</v>
      </c>
      <c r="K5167" s="367">
        <f t="shared" si="655"/>
        <v>2505</v>
      </c>
      <c r="L5167" s="607">
        <v>0.14000000000000001</v>
      </c>
      <c r="M5167">
        <v>8.6999999999999993</v>
      </c>
      <c r="N5167" s="381">
        <v>16</v>
      </c>
      <c r="O5167">
        <v>6</v>
      </c>
      <c r="P5167" t="s">
        <v>515</v>
      </c>
      <c r="Q5167" s="97" t="str">
        <f t="shared" si="656"/>
        <v/>
      </c>
      <c r="R5167" t="str">
        <f t="shared" si="657"/>
        <v/>
      </c>
    </row>
    <row r="5168" spans="3:18">
      <c r="C5168" t="str">
        <f t="shared" si="658"/>
        <v/>
      </c>
      <c r="D5168">
        <v>101</v>
      </c>
      <c r="E5168">
        <v>45</v>
      </c>
      <c r="F5168" s="366">
        <f t="shared" si="652"/>
        <v>976.5</v>
      </c>
      <c r="G5168" s="97">
        <v>1372</v>
      </c>
      <c r="H5168" s="367">
        <f t="shared" si="653"/>
        <v>2348.5</v>
      </c>
      <c r="I5168" s="368">
        <f t="shared" si="654"/>
        <v>0</v>
      </c>
      <c r="J5168">
        <v>4763</v>
      </c>
      <c r="K5168" s="367">
        <f t="shared" si="655"/>
        <v>3402.1428571428573</v>
      </c>
      <c r="L5168" s="607">
        <v>0.42</v>
      </c>
      <c r="M5168">
        <v>8.6999999999999993</v>
      </c>
      <c r="N5168" s="381">
        <v>20</v>
      </c>
      <c r="O5168">
        <v>6</v>
      </c>
      <c r="P5168" t="s">
        <v>514</v>
      </c>
      <c r="Q5168" s="97" t="str">
        <f t="shared" si="656"/>
        <v/>
      </c>
      <c r="R5168" t="str">
        <f t="shared" si="657"/>
        <v/>
      </c>
    </row>
    <row r="5169" spans="3:18">
      <c r="C5169" t="str">
        <f t="shared" si="658"/>
        <v>NL</v>
      </c>
      <c r="D5169">
        <v>102</v>
      </c>
      <c r="E5169">
        <v>45</v>
      </c>
      <c r="F5169" s="366">
        <f t="shared" si="652"/>
        <v>976.5</v>
      </c>
      <c r="G5169" s="97">
        <v>1917</v>
      </c>
      <c r="H5169" s="367">
        <f t="shared" si="653"/>
        <v>2893.5</v>
      </c>
      <c r="I5169" s="368">
        <f t="shared" si="654"/>
        <v>0</v>
      </c>
      <c r="J5169">
        <v>6655</v>
      </c>
      <c r="K5169" s="367">
        <f t="shared" si="655"/>
        <v>4753.5714285714284</v>
      </c>
      <c r="L5169" s="607">
        <v>0.32</v>
      </c>
      <c r="M5169">
        <v>1.3</v>
      </c>
      <c r="N5169" s="381">
        <v>20</v>
      </c>
      <c r="O5169">
        <v>7</v>
      </c>
      <c r="P5169" t="s">
        <v>514</v>
      </c>
      <c r="Q5169" s="97" t="str">
        <f t="shared" si="656"/>
        <v/>
      </c>
      <c r="R5169" t="str">
        <f t="shared" si="657"/>
        <v/>
      </c>
    </row>
    <row r="5170" spans="3:18">
      <c r="C5170" t="str">
        <f t="shared" si="658"/>
        <v/>
      </c>
      <c r="D5170">
        <v>103</v>
      </c>
      <c r="E5170">
        <v>45</v>
      </c>
      <c r="F5170" s="366">
        <f t="shared" si="652"/>
        <v>976.5</v>
      </c>
      <c r="G5170" s="97">
        <v>1602</v>
      </c>
      <c r="H5170" s="367">
        <f t="shared" si="653"/>
        <v>2578.5</v>
      </c>
      <c r="I5170" s="368">
        <f t="shared" si="654"/>
        <v>0</v>
      </c>
      <c r="J5170">
        <v>5561</v>
      </c>
      <c r="K5170" s="367">
        <f t="shared" si="655"/>
        <v>3972.1428571428573</v>
      </c>
      <c r="L5170" s="607">
        <v>0.26</v>
      </c>
      <c r="M5170">
        <v>2.8000000000000003</v>
      </c>
      <c r="N5170" s="381">
        <v>20</v>
      </c>
      <c r="O5170">
        <v>8</v>
      </c>
      <c r="P5170" t="s">
        <v>514</v>
      </c>
      <c r="Q5170" s="97" t="str">
        <f t="shared" si="656"/>
        <v/>
      </c>
      <c r="R5170" t="str">
        <f t="shared" si="657"/>
        <v/>
      </c>
    </row>
    <row r="5171" spans="3:18">
      <c r="C5171" t="str">
        <f t="shared" si="658"/>
        <v/>
      </c>
      <c r="D5171">
        <v>104</v>
      </c>
      <c r="E5171">
        <v>45</v>
      </c>
      <c r="F5171" s="366">
        <f t="shared" si="652"/>
        <v>976.5</v>
      </c>
      <c r="G5171" s="97">
        <v>2211</v>
      </c>
      <c r="H5171" s="367">
        <f t="shared" si="653"/>
        <v>3187.5</v>
      </c>
      <c r="I5171" s="368">
        <f t="shared" si="654"/>
        <v>0</v>
      </c>
      <c r="J5171">
        <v>7677</v>
      </c>
      <c r="K5171" s="367">
        <f t="shared" si="655"/>
        <v>5483.5714285714284</v>
      </c>
      <c r="L5171" s="607">
        <v>0.83</v>
      </c>
      <c r="M5171">
        <v>2.8000000000000003</v>
      </c>
      <c r="N5171" s="381">
        <v>24</v>
      </c>
      <c r="O5171">
        <v>8</v>
      </c>
      <c r="P5171" t="s">
        <v>513</v>
      </c>
      <c r="Q5171" s="97" t="str">
        <f t="shared" si="656"/>
        <v/>
      </c>
      <c r="R5171" t="str">
        <f t="shared" si="657"/>
        <v/>
      </c>
    </row>
    <row r="5172" spans="3:18">
      <c r="C5172" t="str">
        <f t="shared" si="658"/>
        <v>NL</v>
      </c>
      <c r="D5172">
        <v>105</v>
      </c>
      <c r="E5172">
        <v>45</v>
      </c>
      <c r="F5172" s="366">
        <f t="shared" si="652"/>
        <v>976.5</v>
      </c>
      <c r="G5172" s="97">
        <v>2230</v>
      </c>
      <c r="H5172" s="367">
        <f t="shared" si="653"/>
        <v>3206.5</v>
      </c>
      <c r="I5172" s="368">
        <f t="shared" si="654"/>
        <v>0</v>
      </c>
      <c r="J5172">
        <v>7742</v>
      </c>
      <c r="K5172" s="367">
        <f t="shared" si="655"/>
        <v>5530</v>
      </c>
      <c r="L5172" s="607">
        <v>0.21000000000000002</v>
      </c>
      <c r="M5172">
        <v>1.7000000000000002</v>
      </c>
      <c r="N5172" s="381">
        <v>20</v>
      </c>
      <c r="O5172">
        <v>9</v>
      </c>
      <c r="P5172" t="s">
        <v>514</v>
      </c>
      <c r="Q5172" s="97" t="str">
        <f t="shared" si="656"/>
        <v/>
      </c>
      <c r="R5172" t="str">
        <f t="shared" si="657"/>
        <v/>
      </c>
    </row>
    <row r="5173" spans="3:18">
      <c r="C5173" t="str">
        <f t="shared" si="658"/>
        <v>NL</v>
      </c>
      <c r="D5173">
        <v>106</v>
      </c>
      <c r="E5173">
        <v>45</v>
      </c>
      <c r="F5173" s="366">
        <f t="shared" si="652"/>
        <v>976.5</v>
      </c>
      <c r="G5173" s="97">
        <v>3042</v>
      </c>
      <c r="H5173" s="367">
        <f t="shared" si="653"/>
        <v>4018.5</v>
      </c>
      <c r="I5173" s="368">
        <f t="shared" si="654"/>
        <v>0</v>
      </c>
      <c r="J5173">
        <v>10560</v>
      </c>
      <c r="K5173" s="367">
        <f t="shared" si="655"/>
        <v>7542.8571428571431</v>
      </c>
      <c r="L5173" s="607">
        <v>0.67</v>
      </c>
      <c r="M5173">
        <v>1.7000000000000002</v>
      </c>
      <c r="N5173" s="381">
        <v>24</v>
      </c>
      <c r="O5173">
        <v>9</v>
      </c>
      <c r="P5173" t="s">
        <v>513</v>
      </c>
      <c r="Q5173" s="97" t="str">
        <f t="shared" si="656"/>
        <v/>
      </c>
      <c r="R5173" t="str">
        <f t="shared" si="657"/>
        <v/>
      </c>
    </row>
    <row r="5174" spans="3:18">
      <c r="C5174" t="str">
        <f t="shared" si="658"/>
        <v/>
      </c>
      <c r="D5174">
        <v>107</v>
      </c>
      <c r="E5174">
        <v>45</v>
      </c>
      <c r="F5174" s="366">
        <f t="shared" si="652"/>
        <v>976.5</v>
      </c>
      <c r="G5174" s="97">
        <v>2351</v>
      </c>
      <c r="H5174" s="367">
        <f t="shared" si="653"/>
        <v>3327.5</v>
      </c>
      <c r="I5174" s="368">
        <f t="shared" si="654"/>
        <v>0</v>
      </c>
      <c r="J5174">
        <v>8162</v>
      </c>
      <c r="K5174" s="367">
        <f t="shared" si="655"/>
        <v>5830</v>
      </c>
      <c r="L5174" s="607">
        <v>0.18000000000000002</v>
      </c>
      <c r="M5174">
        <v>3.7</v>
      </c>
      <c r="N5174" s="381">
        <v>20</v>
      </c>
      <c r="O5174">
        <v>10</v>
      </c>
      <c r="P5174" t="s">
        <v>514</v>
      </c>
      <c r="Q5174" s="97" t="str">
        <f t="shared" si="656"/>
        <v/>
      </c>
      <c r="R5174" t="str">
        <f t="shared" si="657"/>
        <v/>
      </c>
    </row>
    <row r="5175" spans="3:18">
      <c r="C5175" t="str">
        <f t="shared" si="658"/>
        <v/>
      </c>
      <c r="D5175">
        <v>108</v>
      </c>
      <c r="E5175">
        <v>45</v>
      </c>
      <c r="F5175" s="366">
        <f t="shared" si="652"/>
        <v>976.5</v>
      </c>
      <c r="G5175" s="97">
        <v>3184</v>
      </c>
      <c r="H5175" s="367">
        <f t="shared" si="653"/>
        <v>4160.5</v>
      </c>
      <c r="I5175" s="368">
        <f t="shared" si="654"/>
        <v>0</v>
      </c>
      <c r="J5175">
        <v>11052</v>
      </c>
      <c r="K5175" s="367">
        <f t="shared" si="655"/>
        <v>7894.2857142857147</v>
      </c>
      <c r="L5175" s="607">
        <v>0.56000000000000005</v>
      </c>
      <c r="M5175">
        <v>3.7</v>
      </c>
      <c r="N5175" s="381">
        <v>23</v>
      </c>
      <c r="O5175">
        <v>10</v>
      </c>
      <c r="P5175" t="s">
        <v>513</v>
      </c>
      <c r="Q5175" s="97" t="str">
        <f t="shared" si="656"/>
        <v/>
      </c>
      <c r="R5175" t="str">
        <f t="shared" si="657"/>
        <v/>
      </c>
    </row>
    <row r="5176" spans="3:18">
      <c r="C5176" t="str">
        <f t="shared" si="658"/>
        <v>NL</v>
      </c>
      <c r="D5176">
        <v>109</v>
      </c>
      <c r="E5176">
        <v>50</v>
      </c>
      <c r="F5176" s="366">
        <f t="shared" si="652"/>
        <v>1085</v>
      </c>
      <c r="G5176" s="97">
        <v>919</v>
      </c>
      <c r="H5176" s="367">
        <f t="shared" si="653"/>
        <v>2004</v>
      </c>
      <c r="I5176" s="368">
        <f t="shared" si="654"/>
        <v>0</v>
      </c>
      <c r="J5176">
        <v>3191</v>
      </c>
      <c r="K5176" s="367">
        <f t="shared" si="655"/>
        <v>2279.2857142857142</v>
      </c>
      <c r="L5176" s="607">
        <v>0.74</v>
      </c>
      <c r="M5176">
        <v>4.8</v>
      </c>
      <c r="N5176" s="381">
        <v>22</v>
      </c>
      <c r="O5176">
        <v>3</v>
      </c>
      <c r="P5176" t="s">
        <v>515</v>
      </c>
      <c r="Q5176" s="97" t="str">
        <f t="shared" si="656"/>
        <v/>
      </c>
      <c r="R5176" t="str">
        <f t="shared" si="657"/>
        <v/>
      </c>
    </row>
    <row r="5177" spans="3:18">
      <c r="C5177" t="str">
        <f t="shared" si="658"/>
        <v/>
      </c>
      <c r="D5177">
        <v>110</v>
      </c>
      <c r="E5177">
        <v>50</v>
      </c>
      <c r="F5177" s="366">
        <f t="shared" si="652"/>
        <v>1085</v>
      </c>
      <c r="G5177" s="97">
        <v>969</v>
      </c>
      <c r="H5177" s="367">
        <f t="shared" si="653"/>
        <v>2054</v>
      </c>
      <c r="I5177" s="368">
        <f t="shared" si="654"/>
        <v>0</v>
      </c>
      <c r="J5177">
        <v>3365</v>
      </c>
      <c r="K5177" s="367">
        <f t="shared" si="655"/>
        <v>2403.5714285714284</v>
      </c>
      <c r="L5177" s="607">
        <v>0.38</v>
      </c>
      <c r="M5177">
        <v>6.1</v>
      </c>
      <c r="N5177" s="381">
        <v>19</v>
      </c>
      <c r="O5177">
        <v>4</v>
      </c>
      <c r="P5177" t="s">
        <v>515</v>
      </c>
      <c r="Q5177" s="97" t="str">
        <f t="shared" si="656"/>
        <v/>
      </c>
      <c r="R5177" t="str">
        <f t="shared" si="657"/>
        <v/>
      </c>
    </row>
    <row r="5178" spans="3:18">
      <c r="C5178" t="str">
        <f t="shared" si="658"/>
        <v>NL</v>
      </c>
      <c r="D5178">
        <v>111</v>
      </c>
      <c r="E5178">
        <v>50</v>
      </c>
      <c r="F5178" s="366">
        <f t="shared" si="652"/>
        <v>1085</v>
      </c>
      <c r="G5178" s="97">
        <v>1178</v>
      </c>
      <c r="H5178" s="367">
        <f t="shared" si="653"/>
        <v>2263</v>
      </c>
      <c r="I5178" s="368">
        <f t="shared" si="654"/>
        <v>0</v>
      </c>
      <c r="J5178">
        <v>4090</v>
      </c>
      <c r="K5178" s="367">
        <f t="shared" si="655"/>
        <v>2921.4285714285716</v>
      </c>
      <c r="L5178" s="607">
        <v>0.24000000000000002</v>
      </c>
      <c r="M5178">
        <v>7.3999999999999995</v>
      </c>
      <c r="N5178" s="381">
        <v>17</v>
      </c>
      <c r="O5178">
        <v>5</v>
      </c>
      <c r="P5178" t="s">
        <v>515</v>
      </c>
      <c r="Q5178" s="97" t="str">
        <f t="shared" si="656"/>
        <v/>
      </c>
      <c r="R5178" t="str">
        <f t="shared" si="657"/>
        <v/>
      </c>
    </row>
    <row r="5179" spans="3:18">
      <c r="C5179" t="str">
        <f t="shared" si="658"/>
        <v>NL</v>
      </c>
      <c r="D5179">
        <v>112</v>
      </c>
      <c r="E5179">
        <v>50</v>
      </c>
      <c r="F5179" s="366">
        <f t="shared" si="652"/>
        <v>1085</v>
      </c>
      <c r="G5179" s="97">
        <v>1613</v>
      </c>
      <c r="H5179" s="367">
        <f t="shared" si="653"/>
        <v>2698</v>
      </c>
      <c r="I5179" s="368">
        <f t="shared" si="654"/>
        <v>0</v>
      </c>
      <c r="J5179">
        <v>5598</v>
      </c>
      <c r="K5179" s="367">
        <f t="shared" si="655"/>
        <v>3998.5714285714284</v>
      </c>
      <c r="L5179" s="607">
        <v>0.74</v>
      </c>
      <c r="M5179">
        <v>7.3999999999999995</v>
      </c>
      <c r="N5179" s="381">
        <v>22</v>
      </c>
      <c r="O5179">
        <v>5</v>
      </c>
      <c r="P5179" t="s">
        <v>514</v>
      </c>
      <c r="Q5179" s="97" t="str">
        <f t="shared" si="656"/>
        <v/>
      </c>
      <c r="R5179" t="str">
        <f t="shared" si="657"/>
        <v/>
      </c>
    </row>
    <row r="5180" spans="3:18">
      <c r="C5180" t="str">
        <f t="shared" si="658"/>
        <v/>
      </c>
      <c r="D5180">
        <v>113</v>
      </c>
      <c r="E5180">
        <v>50</v>
      </c>
      <c r="F5180" s="366">
        <f t="shared" si="652"/>
        <v>1085</v>
      </c>
      <c r="G5180" s="97">
        <v>1085</v>
      </c>
      <c r="H5180" s="367">
        <f t="shared" si="653"/>
        <v>2170</v>
      </c>
      <c r="I5180" s="368">
        <f t="shared" si="654"/>
        <v>0</v>
      </c>
      <c r="J5180">
        <v>3766</v>
      </c>
      <c r="K5180" s="367">
        <f t="shared" si="655"/>
        <v>2690</v>
      </c>
      <c r="L5180" s="607">
        <v>0.17</v>
      </c>
      <c r="M5180">
        <v>8.6999999999999993</v>
      </c>
      <c r="N5180" s="381">
        <v>17</v>
      </c>
      <c r="O5180">
        <v>6</v>
      </c>
      <c r="P5180" t="s">
        <v>515</v>
      </c>
      <c r="Q5180" s="97" t="str">
        <f t="shared" si="656"/>
        <v/>
      </c>
      <c r="R5180" t="str">
        <f t="shared" si="657"/>
        <v/>
      </c>
    </row>
    <row r="5181" spans="3:18">
      <c r="C5181" t="str">
        <f t="shared" si="658"/>
        <v/>
      </c>
      <c r="D5181">
        <v>114</v>
      </c>
      <c r="E5181">
        <v>50</v>
      </c>
      <c r="F5181" s="366">
        <f t="shared" si="652"/>
        <v>1085</v>
      </c>
      <c r="G5181" s="97">
        <v>1493</v>
      </c>
      <c r="H5181" s="367">
        <f t="shared" si="653"/>
        <v>2578</v>
      </c>
      <c r="I5181" s="368">
        <f t="shared" si="654"/>
        <v>0</v>
      </c>
      <c r="J5181">
        <v>5182</v>
      </c>
      <c r="K5181" s="367">
        <f t="shared" si="655"/>
        <v>3701.4285714285716</v>
      </c>
      <c r="L5181" s="607">
        <v>0.52</v>
      </c>
      <c r="M5181">
        <v>8.6999999999999993</v>
      </c>
      <c r="N5181" s="381">
        <v>22</v>
      </c>
      <c r="O5181">
        <v>6</v>
      </c>
      <c r="P5181" t="s">
        <v>514</v>
      </c>
      <c r="Q5181" s="97" t="str">
        <f t="shared" si="656"/>
        <v/>
      </c>
      <c r="R5181" t="str">
        <f t="shared" si="657"/>
        <v/>
      </c>
    </row>
    <row r="5182" spans="3:18">
      <c r="C5182" t="str">
        <f t="shared" si="658"/>
        <v>NL</v>
      </c>
      <c r="D5182">
        <v>115</v>
      </c>
      <c r="E5182">
        <v>50</v>
      </c>
      <c r="F5182" s="366">
        <f t="shared" si="652"/>
        <v>1085</v>
      </c>
      <c r="G5182" s="97">
        <v>2089</v>
      </c>
      <c r="H5182" s="367">
        <f t="shared" si="653"/>
        <v>3174</v>
      </c>
      <c r="I5182" s="368">
        <f t="shared" si="654"/>
        <v>0</v>
      </c>
      <c r="J5182">
        <v>7253</v>
      </c>
      <c r="K5182" s="367">
        <f t="shared" si="655"/>
        <v>5180.7142857142862</v>
      </c>
      <c r="L5182" s="607">
        <v>0.4</v>
      </c>
      <c r="M5182">
        <v>1.3</v>
      </c>
      <c r="N5182" s="381">
        <v>21</v>
      </c>
      <c r="O5182">
        <v>7</v>
      </c>
      <c r="P5182" t="s">
        <v>514</v>
      </c>
      <c r="Q5182" s="97" t="str">
        <f t="shared" si="656"/>
        <v/>
      </c>
      <c r="R5182" t="str">
        <f t="shared" si="657"/>
        <v/>
      </c>
    </row>
    <row r="5183" spans="3:18">
      <c r="C5183" t="str">
        <f t="shared" si="658"/>
        <v/>
      </c>
      <c r="D5183">
        <v>116</v>
      </c>
      <c r="E5183">
        <v>50</v>
      </c>
      <c r="F5183" s="366">
        <f t="shared" si="652"/>
        <v>1085</v>
      </c>
      <c r="G5183" s="97">
        <v>1731</v>
      </c>
      <c r="H5183" s="367">
        <f t="shared" si="653"/>
        <v>2816</v>
      </c>
      <c r="I5183" s="368">
        <f t="shared" si="654"/>
        <v>0</v>
      </c>
      <c r="J5183">
        <v>6008</v>
      </c>
      <c r="K5183" s="367">
        <f t="shared" si="655"/>
        <v>4291.4285714285716</v>
      </c>
      <c r="L5183" s="607">
        <v>0.32</v>
      </c>
      <c r="M5183">
        <v>2.8000000000000003</v>
      </c>
      <c r="N5183" s="381">
        <v>21</v>
      </c>
      <c r="O5183">
        <v>8</v>
      </c>
      <c r="P5183" t="s">
        <v>514</v>
      </c>
      <c r="Q5183" s="97" t="str">
        <f t="shared" si="656"/>
        <v/>
      </c>
      <c r="R5183" t="str">
        <f t="shared" si="657"/>
        <v/>
      </c>
    </row>
    <row r="5184" spans="3:18">
      <c r="C5184" t="str">
        <f t="shared" si="658"/>
        <v/>
      </c>
      <c r="D5184">
        <v>117</v>
      </c>
      <c r="E5184">
        <v>50</v>
      </c>
      <c r="F5184" s="366">
        <f t="shared" si="652"/>
        <v>1085</v>
      </c>
      <c r="G5184" s="97">
        <v>2408</v>
      </c>
      <c r="H5184" s="367">
        <f t="shared" si="653"/>
        <v>3493</v>
      </c>
      <c r="I5184" s="368">
        <f t="shared" si="654"/>
        <v>0</v>
      </c>
      <c r="J5184">
        <v>8358</v>
      </c>
      <c r="K5184" s="367">
        <f t="shared" si="655"/>
        <v>5970</v>
      </c>
      <c r="L5184" s="607">
        <v>1.02</v>
      </c>
      <c r="M5184">
        <v>2.8000000000000003</v>
      </c>
      <c r="N5184" s="381">
        <v>25</v>
      </c>
      <c r="O5184">
        <v>8</v>
      </c>
      <c r="P5184" t="s">
        <v>513</v>
      </c>
      <c r="Q5184" s="97" t="str">
        <f t="shared" si="656"/>
        <v/>
      </c>
      <c r="R5184" t="str">
        <f t="shared" si="657"/>
        <v/>
      </c>
    </row>
    <row r="5185" spans="3:18">
      <c r="C5185" t="str">
        <f t="shared" si="658"/>
        <v>NL</v>
      </c>
      <c r="D5185">
        <v>118</v>
      </c>
      <c r="E5185">
        <v>50</v>
      </c>
      <c r="F5185" s="366">
        <f t="shared" si="652"/>
        <v>1085</v>
      </c>
      <c r="G5185" s="97">
        <v>2419</v>
      </c>
      <c r="H5185" s="367">
        <f t="shared" si="653"/>
        <v>3504</v>
      </c>
      <c r="I5185" s="368">
        <f t="shared" si="654"/>
        <v>0</v>
      </c>
      <c r="J5185">
        <v>8397</v>
      </c>
      <c r="K5185" s="367">
        <f t="shared" si="655"/>
        <v>5997.8571428571431</v>
      </c>
      <c r="L5185" s="607">
        <v>0.26</v>
      </c>
      <c r="M5185">
        <v>1.7000000000000002</v>
      </c>
      <c r="N5185" s="381">
        <v>21</v>
      </c>
      <c r="O5185">
        <v>9</v>
      </c>
      <c r="P5185" t="s">
        <v>514</v>
      </c>
      <c r="Q5185" s="97" t="str">
        <f t="shared" si="656"/>
        <v/>
      </c>
      <c r="R5185" t="str">
        <f t="shared" si="657"/>
        <v/>
      </c>
    </row>
    <row r="5186" spans="3:18">
      <c r="C5186" t="str">
        <f t="shared" si="658"/>
        <v>NL</v>
      </c>
      <c r="D5186">
        <v>119</v>
      </c>
      <c r="E5186">
        <v>50</v>
      </c>
      <c r="F5186" s="366">
        <f t="shared" si="652"/>
        <v>1085</v>
      </c>
      <c r="G5186" s="97">
        <v>3278</v>
      </c>
      <c r="H5186" s="367">
        <f t="shared" si="653"/>
        <v>4363</v>
      </c>
      <c r="I5186" s="368">
        <f t="shared" si="654"/>
        <v>0</v>
      </c>
      <c r="J5186">
        <v>11380</v>
      </c>
      <c r="K5186" s="367">
        <f t="shared" si="655"/>
        <v>8128.5714285714284</v>
      </c>
      <c r="L5186" s="607">
        <v>0.82000000000000006</v>
      </c>
      <c r="M5186">
        <v>1.7000000000000002</v>
      </c>
      <c r="N5186" s="381">
        <v>25</v>
      </c>
      <c r="O5186">
        <v>9</v>
      </c>
      <c r="P5186" t="s">
        <v>513</v>
      </c>
      <c r="Q5186" s="97" t="str">
        <f t="shared" si="656"/>
        <v/>
      </c>
      <c r="R5186" t="str">
        <f t="shared" si="657"/>
        <v/>
      </c>
    </row>
    <row r="5187" spans="3:18">
      <c r="C5187" t="str">
        <f t="shared" si="658"/>
        <v/>
      </c>
      <c r="D5187">
        <v>120</v>
      </c>
      <c r="E5187">
        <v>50</v>
      </c>
      <c r="F5187" s="366">
        <f t="shared" si="652"/>
        <v>1085</v>
      </c>
      <c r="G5187" s="97">
        <v>2543</v>
      </c>
      <c r="H5187" s="367">
        <f t="shared" si="653"/>
        <v>3628</v>
      </c>
      <c r="I5187" s="368">
        <f t="shared" si="654"/>
        <v>0</v>
      </c>
      <c r="J5187">
        <v>8829</v>
      </c>
      <c r="K5187" s="367">
        <f t="shared" si="655"/>
        <v>6306.4285714285716</v>
      </c>
      <c r="L5187" s="607">
        <v>0.22</v>
      </c>
      <c r="M5187">
        <v>3.7</v>
      </c>
      <c r="N5187" s="381">
        <v>22</v>
      </c>
      <c r="O5187">
        <v>10</v>
      </c>
      <c r="P5187" t="s">
        <v>514</v>
      </c>
      <c r="Q5187" s="97" t="str">
        <f t="shared" si="656"/>
        <v/>
      </c>
      <c r="R5187" t="str">
        <f t="shared" si="657"/>
        <v/>
      </c>
    </row>
    <row r="5188" spans="3:18">
      <c r="C5188" t="str">
        <f t="shared" si="658"/>
        <v/>
      </c>
      <c r="D5188">
        <v>121</v>
      </c>
      <c r="E5188">
        <v>50</v>
      </c>
      <c r="F5188" s="366">
        <f t="shared" si="652"/>
        <v>1085</v>
      </c>
      <c r="G5188" s="97">
        <v>3464</v>
      </c>
      <c r="H5188" s="367">
        <f t="shared" si="653"/>
        <v>4549</v>
      </c>
      <c r="I5188" s="368">
        <f t="shared" si="654"/>
        <v>0</v>
      </c>
      <c r="J5188">
        <v>12024</v>
      </c>
      <c r="K5188" s="367">
        <f t="shared" si="655"/>
        <v>8588.5714285714294</v>
      </c>
      <c r="L5188" s="607">
        <v>0.68</v>
      </c>
      <c r="M5188">
        <v>3.7</v>
      </c>
      <c r="N5188" s="381">
        <v>25</v>
      </c>
      <c r="O5188">
        <v>10</v>
      </c>
      <c r="P5188" t="s">
        <v>513</v>
      </c>
      <c r="Q5188" s="97" t="str">
        <f t="shared" si="656"/>
        <v/>
      </c>
      <c r="R5188" t="str">
        <f t="shared" si="657"/>
        <v/>
      </c>
    </row>
    <row r="5189" spans="3:18">
      <c r="C5189" t="str">
        <f t="shared" si="658"/>
        <v>NL</v>
      </c>
      <c r="D5189">
        <v>122</v>
      </c>
      <c r="E5189">
        <v>55</v>
      </c>
      <c r="F5189" s="366">
        <f t="shared" si="652"/>
        <v>1193.5</v>
      </c>
      <c r="G5189" s="97">
        <v>990</v>
      </c>
      <c r="H5189" s="367">
        <f t="shared" si="653"/>
        <v>2183.5</v>
      </c>
      <c r="I5189" s="368">
        <f t="shared" si="654"/>
        <v>0</v>
      </c>
      <c r="J5189">
        <v>3439</v>
      </c>
      <c r="K5189" s="367">
        <f t="shared" si="655"/>
        <v>2456.4285714285716</v>
      </c>
      <c r="L5189" s="607">
        <v>0.9</v>
      </c>
      <c r="M5189">
        <v>4.8</v>
      </c>
      <c r="N5189" s="381">
        <v>24</v>
      </c>
      <c r="O5189">
        <v>3</v>
      </c>
      <c r="P5189" t="s">
        <v>515</v>
      </c>
      <c r="Q5189" s="97" t="str">
        <f t="shared" si="656"/>
        <v/>
      </c>
      <c r="R5189" t="str">
        <f t="shared" si="657"/>
        <v/>
      </c>
    </row>
    <row r="5190" spans="3:18">
      <c r="C5190" t="str">
        <f t="shared" si="658"/>
        <v/>
      </c>
      <c r="D5190">
        <v>123</v>
      </c>
      <c r="E5190">
        <v>55</v>
      </c>
      <c r="F5190" s="366">
        <f t="shared" si="652"/>
        <v>1193.5</v>
      </c>
      <c r="G5190" s="97">
        <v>1046</v>
      </c>
      <c r="H5190" s="367">
        <f t="shared" si="653"/>
        <v>2239.5</v>
      </c>
      <c r="I5190" s="368">
        <f t="shared" si="654"/>
        <v>0</v>
      </c>
      <c r="J5190">
        <v>3630</v>
      </c>
      <c r="K5190" s="367">
        <f t="shared" si="655"/>
        <v>2592.8571428571431</v>
      </c>
      <c r="L5190" s="607">
        <v>0.45</v>
      </c>
      <c r="M5190">
        <v>6.1</v>
      </c>
      <c r="N5190" s="381">
        <v>20</v>
      </c>
      <c r="O5190">
        <v>4</v>
      </c>
      <c r="P5190" t="s">
        <v>515</v>
      </c>
      <c r="Q5190" s="97" t="str">
        <f t="shared" si="656"/>
        <v/>
      </c>
      <c r="R5190" t="str">
        <f t="shared" si="657"/>
        <v/>
      </c>
    </row>
    <row r="5191" spans="3:18">
      <c r="C5191" t="str">
        <f t="shared" si="658"/>
        <v>NL</v>
      </c>
      <c r="D5191">
        <v>124</v>
      </c>
      <c r="E5191">
        <v>55</v>
      </c>
      <c r="F5191" s="366">
        <f t="shared" si="652"/>
        <v>1193.5</v>
      </c>
      <c r="G5191" s="97">
        <v>1268</v>
      </c>
      <c r="H5191" s="367">
        <f t="shared" si="653"/>
        <v>2461.5</v>
      </c>
      <c r="I5191" s="368">
        <f t="shared" si="654"/>
        <v>0</v>
      </c>
      <c r="J5191">
        <v>4404</v>
      </c>
      <c r="K5191" s="367">
        <f t="shared" si="655"/>
        <v>3145.7142857142858</v>
      </c>
      <c r="L5191" s="607">
        <v>0.29000000000000004</v>
      </c>
      <c r="M5191">
        <v>7.3999999999999995</v>
      </c>
      <c r="N5191" s="381">
        <v>19</v>
      </c>
      <c r="O5191">
        <v>5</v>
      </c>
      <c r="P5191" t="s">
        <v>515</v>
      </c>
      <c r="Q5191" s="97" t="str">
        <f t="shared" si="656"/>
        <v/>
      </c>
      <c r="R5191" t="str">
        <f t="shared" si="657"/>
        <v/>
      </c>
    </row>
    <row r="5192" spans="3:18">
      <c r="C5192" t="str">
        <f t="shared" si="658"/>
        <v>NL</v>
      </c>
      <c r="D5192">
        <v>125</v>
      </c>
      <c r="E5192">
        <v>55</v>
      </c>
      <c r="F5192" s="366">
        <f t="shared" si="652"/>
        <v>1193.5</v>
      </c>
      <c r="G5192" s="97">
        <v>1734</v>
      </c>
      <c r="H5192" s="367">
        <f t="shared" si="653"/>
        <v>2927.5</v>
      </c>
      <c r="I5192" s="368">
        <f t="shared" si="654"/>
        <v>0</v>
      </c>
      <c r="J5192">
        <v>6019</v>
      </c>
      <c r="K5192" s="367">
        <f t="shared" si="655"/>
        <v>4299.2857142857147</v>
      </c>
      <c r="L5192" s="607">
        <v>0.89</v>
      </c>
      <c r="M5192">
        <v>7.3999999999999995</v>
      </c>
      <c r="N5192" s="381">
        <v>24</v>
      </c>
      <c r="O5192">
        <v>5</v>
      </c>
      <c r="P5192" t="s">
        <v>514</v>
      </c>
      <c r="Q5192" s="97" t="str">
        <f t="shared" si="656"/>
        <v/>
      </c>
      <c r="R5192" t="str">
        <f t="shared" si="657"/>
        <v/>
      </c>
    </row>
    <row r="5193" spans="3:18">
      <c r="C5193" t="str">
        <f t="shared" si="658"/>
        <v/>
      </c>
      <c r="D5193">
        <v>126</v>
      </c>
      <c r="E5193">
        <v>55</v>
      </c>
      <c r="F5193" s="366">
        <f t="shared" si="652"/>
        <v>1193.5</v>
      </c>
      <c r="G5193" s="97">
        <v>1159</v>
      </c>
      <c r="H5193" s="367">
        <f t="shared" si="653"/>
        <v>2352.5</v>
      </c>
      <c r="I5193" s="368">
        <f t="shared" si="654"/>
        <v>0</v>
      </c>
      <c r="J5193">
        <v>4025</v>
      </c>
      <c r="K5193" s="367">
        <f t="shared" si="655"/>
        <v>2875</v>
      </c>
      <c r="L5193" s="607">
        <v>0.21000000000000002</v>
      </c>
      <c r="M5193">
        <v>8.6999999999999993</v>
      </c>
      <c r="N5193" s="381">
        <v>18</v>
      </c>
      <c r="O5193">
        <v>6</v>
      </c>
      <c r="P5193" t="s">
        <v>515</v>
      </c>
      <c r="Q5193" s="97" t="str">
        <f t="shared" si="656"/>
        <v/>
      </c>
      <c r="R5193" t="str">
        <f t="shared" si="657"/>
        <v/>
      </c>
    </row>
    <row r="5194" spans="3:18">
      <c r="C5194" t="str">
        <f t="shared" si="658"/>
        <v/>
      </c>
      <c r="D5194">
        <v>127</v>
      </c>
      <c r="E5194">
        <v>55</v>
      </c>
      <c r="F5194" s="366">
        <f t="shared" si="652"/>
        <v>1193.5</v>
      </c>
      <c r="G5194" s="97">
        <v>1613</v>
      </c>
      <c r="H5194" s="367">
        <f t="shared" si="653"/>
        <v>2806.5</v>
      </c>
      <c r="I5194" s="368">
        <f t="shared" si="654"/>
        <v>0</v>
      </c>
      <c r="J5194">
        <v>5600</v>
      </c>
      <c r="K5194" s="367">
        <f t="shared" si="655"/>
        <v>4000</v>
      </c>
      <c r="L5194" s="607">
        <v>0.63</v>
      </c>
      <c r="M5194">
        <v>8.6999999999999993</v>
      </c>
      <c r="N5194" s="381">
        <v>23</v>
      </c>
      <c r="O5194">
        <v>6</v>
      </c>
      <c r="P5194" t="s">
        <v>514</v>
      </c>
      <c r="Q5194" s="97" t="str">
        <f t="shared" si="656"/>
        <v/>
      </c>
      <c r="R5194" t="str">
        <f t="shared" si="657"/>
        <v/>
      </c>
    </row>
    <row r="5195" spans="3:18">
      <c r="C5195" t="str">
        <f t="shared" si="658"/>
        <v>NL</v>
      </c>
      <c r="D5195">
        <v>128</v>
      </c>
      <c r="E5195">
        <v>55</v>
      </c>
      <c r="F5195" s="366">
        <f t="shared" si="652"/>
        <v>1193.5</v>
      </c>
      <c r="G5195" s="97">
        <v>1541</v>
      </c>
      <c r="H5195" s="367">
        <f t="shared" si="653"/>
        <v>2734.5</v>
      </c>
      <c r="I5195" s="368">
        <f t="shared" si="654"/>
        <v>0</v>
      </c>
      <c r="J5195">
        <v>5350</v>
      </c>
      <c r="K5195" s="367">
        <f t="shared" si="655"/>
        <v>3821.4285714285716</v>
      </c>
      <c r="L5195" s="607">
        <v>0.16</v>
      </c>
      <c r="M5195">
        <v>1.3</v>
      </c>
      <c r="N5195" s="381">
        <v>18</v>
      </c>
      <c r="O5195">
        <v>7</v>
      </c>
      <c r="P5195" t="s">
        <v>515</v>
      </c>
      <c r="Q5195" s="97" t="str">
        <f t="shared" si="656"/>
        <v/>
      </c>
      <c r="R5195" t="str">
        <f t="shared" si="657"/>
        <v/>
      </c>
    </row>
    <row r="5196" spans="3:18">
      <c r="C5196" t="str">
        <f t="shared" si="658"/>
        <v>NL</v>
      </c>
      <c r="D5196">
        <v>129</v>
      </c>
      <c r="E5196">
        <v>55</v>
      </c>
      <c r="F5196" s="366">
        <f t="shared" si="652"/>
        <v>1193.5</v>
      </c>
      <c r="G5196" s="97">
        <v>2247</v>
      </c>
      <c r="H5196" s="367">
        <f t="shared" si="653"/>
        <v>3440.5</v>
      </c>
      <c r="I5196" s="368">
        <f t="shared" si="654"/>
        <v>0</v>
      </c>
      <c r="J5196">
        <v>7800</v>
      </c>
      <c r="K5196" s="367">
        <f t="shared" si="655"/>
        <v>5571.4285714285716</v>
      </c>
      <c r="L5196" s="607">
        <v>0.48</v>
      </c>
      <c r="M5196">
        <v>1.3</v>
      </c>
      <c r="N5196" s="381">
        <v>23</v>
      </c>
      <c r="O5196">
        <v>7</v>
      </c>
      <c r="P5196" t="s">
        <v>514</v>
      </c>
      <c r="Q5196" s="97" t="str">
        <f t="shared" si="656"/>
        <v/>
      </c>
      <c r="R5196" t="str">
        <f t="shared" si="657"/>
        <v/>
      </c>
    </row>
    <row r="5197" spans="3:18">
      <c r="C5197" t="str">
        <f t="shared" si="658"/>
        <v/>
      </c>
      <c r="D5197">
        <v>130</v>
      </c>
      <c r="E5197">
        <v>55</v>
      </c>
      <c r="F5197" s="366">
        <f t="shared" ref="F5197:F5260" si="659">1.085*($A$2-$B$2)*E5197*$T$7</f>
        <v>1193.5</v>
      </c>
      <c r="G5197" s="97">
        <v>1859</v>
      </c>
      <c r="H5197" s="367">
        <f t="shared" ref="H5197:H5260" si="660">(G5197*$U$7)+F5197</f>
        <v>3052.5</v>
      </c>
      <c r="I5197" s="368">
        <f t="shared" ref="I5197:I5260" si="661">1.085*($C$2-$D$2)*E5197*$T$7</f>
        <v>0</v>
      </c>
      <c r="J5197">
        <v>6454</v>
      </c>
      <c r="K5197" s="367">
        <f t="shared" ref="K5197:K5260" si="662">(J5197*$V$7)-I5197</f>
        <v>4610</v>
      </c>
      <c r="L5197" s="607">
        <v>0.38</v>
      </c>
      <c r="M5197">
        <v>2.8000000000000003</v>
      </c>
      <c r="N5197" s="381">
        <v>22</v>
      </c>
      <c r="O5197">
        <v>8</v>
      </c>
      <c r="P5197" t="s">
        <v>514</v>
      </c>
      <c r="Q5197" s="97">
        <f t="shared" ref="Q5197:Q5260" si="663">IF(AND(H5197+1&gt;$E$4,L5197&lt;$L$4+0.01,M5197&lt;$M$4+0.01,K5197+1&gt;$F$4,E5197+1&gt;$J$4,N5197&lt;$K$4+1,O5197&lt;$P$4+1,C5197=""),D5197,"")</f>
        <v>130</v>
      </c>
      <c r="R5197" t="str">
        <f t="shared" ref="R5197:R5260" si="664">IF(Q5197="","",IF(AND(O5197&lt;$X$37,E5197&gt;$U$37,E5197&lt;$Q$4+$U$37+1),D5197,""))</f>
        <v/>
      </c>
    </row>
    <row r="5198" spans="3:18">
      <c r="C5198" t="str">
        <f t="shared" si="658"/>
        <v>NL</v>
      </c>
      <c r="D5198">
        <v>131</v>
      </c>
      <c r="E5198">
        <v>55</v>
      </c>
      <c r="F5198" s="366">
        <f t="shared" si="659"/>
        <v>1193.5</v>
      </c>
      <c r="G5198" s="97">
        <v>2608</v>
      </c>
      <c r="H5198" s="367">
        <f t="shared" si="660"/>
        <v>3801.5</v>
      </c>
      <c r="I5198" s="368">
        <f t="shared" si="661"/>
        <v>0</v>
      </c>
      <c r="J5198">
        <v>9053</v>
      </c>
      <c r="K5198" s="367">
        <f t="shared" si="662"/>
        <v>6466.4285714285716</v>
      </c>
      <c r="L5198" s="607">
        <v>0.31</v>
      </c>
      <c r="M5198">
        <v>1.7000000000000002</v>
      </c>
      <c r="N5198" s="381">
        <v>23</v>
      </c>
      <c r="O5198">
        <v>9</v>
      </c>
      <c r="P5198" t="s">
        <v>514</v>
      </c>
      <c r="Q5198" s="97" t="str">
        <f t="shared" si="663"/>
        <v/>
      </c>
      <c r="R5198" t="str">
        <f t="shared" si="664"/>
        <v/>
      </c>
    </row>
    <row r="5199" spans="3:18">
      <c r="C5199" t="str">
        <f t="shared" si="658"/>
        <v>NL</v>
      </c>
      <c r="D5199">
        <v>132</v>
      </c>
      <c r="E5199">
        <v>55</v>
      </c>
      <c r="F5199" s="366">
        <f t="shared" si="659"/>
        <v>1193.5</v>
      </c>
      <c r="G5199" s="97">
        <v>3515</v>
      </c>
      <c r="H5199" s="367">
        <f t="shared" si="660"/>
        <v>4708.5</v>
      </c>
      <c r="I5199" s="368">
        <f t="shared" si="661"/>
        <v>0</v>
      </c>
      <c r="J5199">
        <v>12200</v>
      </c>
      <c r="K5199" s="367">
        <f t="shared" si="662"/>
        <v>8714.2857142857138</v>
      </c>
      <c r="L5199" s="607">
        <v>0.99</v>
      </c>
      <c r="M5199">
        <v>1.7000000000000002</v>
      </c>
      <c r="N5199" s="381">
        <v>26</v>
      </c>
      <c r="O5199">
        <v>9</v>
      </c>
      <c r="P5199" t="s">
        <v>513</v>
      </c>
      <c r="Q5199" s="97" t="str">
        <f t="shared" si="663"/>
        <v/>
      </c>
      <c r="R5199" t="str">
        <f t="shared" si="664"/>
        <v/>
      </c>
    </row>
    <row r="5200" spans="3:18">
      <c r="C5200" t="str">
        <f t="shared" si="658"/>
        <v/>
      </c>
      <c r="D5200">
        <v>133</v>
      </c>
      <c r="E5200">
        <v>55</v>
      </c>
      <c r="F5200" s="366">
        <f t="shared" si="659"/>
        <v>1193.5</v>
      </c>
      <c r="G5200" s="97">
        <v>2736</v>
      </c>
      <c r="H5200" s="367">
        <f t="shared" si="660"/>
        <v>3929.5</v>
      </c>
      <c r="I5200" s="368">
        <f t="shared" si="661"/>
        <v>0</v>
      </c>
      <c r="J5200">
        <v>9496</v>
      </c>
      <c r="K5200" s="367">
        <f t="shared" si="662"/>
        <v>6782.8571428571431</v>
      </c>
      <c r="L5200" s="607">
        <v>0.27</v>
      </c>
      <c r="M5200">
        <v>3.7</v>
      </c>
      <c r="N5200" s="381">
        <v>23</v>
      </c>
      <c r="O5200">
        <v>10</v>
      </c>
      <c r="P5200" t="s">
        <v>514</v>
      </c>
      <c r="Q5200" s="97" t="str">
        <f t="shared" si="663"/>
        <v/>
      </c>
      <c r="R5200" t="str">
        <f t="shared" si="664"/>
        <v/>
      </c>
    </row>
    <row r="5201" spans="3:18">
      <c r="C5201" t="str">
        <f t="shared" si="658"/>
        <v/>
      </c>
      <c r="D5201">
        <v>134</v>
      </c>
      <c r="E5201">
        <v>55</v>
      </c>
      <c r="F5201" s="366">
        <f t="shared" si="659"/>
        <v>1193.5</v>
      </c>
      <c r="G5201" s="97">
        <v>3704</v>
      </c>
      <c r="H5201" s="367">
        <f t="shared" si="660"/>
        <v>4897.5</v>
      </c>
      <c r="I5201" s="368">
        <f t="shared" si="661"/>
        <v>0</v>
      </c>
      <c r="J5201">
        <v>12856</v>
      </c>
      <c r="K5201" s="367">
        <f t="shared" si="662"/>
        <v>9182.8571428571431</v>
      </c>
      <c r="L5201" s="607">
        <v>0.83</v>
      </c>
      <c r="M5201">
        <v>3.7</v>
      </c>
      <c r="N5201" s="381">
        <v>26</v>
      </c>
      <c r="O5201">
        <v>10</v>
      </c>
      <c r="P5201" t="s">
        <v>513</v>
      </c>
      <c r="Q5201" s="97" t="str">
        <f t="shared" si="663"/>
        <v/>
      </c>
      <c r="R5201" t="str">
        <f t="shared" si="664"/>
        <v/>
      </c>
    </row>
    <row r="5202" spans="3:18">
      <c r="C5202" t="str">
        <f t="shared" si="658"/>
        <v>NL</v>
      </c>
      <c r="D5202">
        <v>135</v>
      </c>
      <c r="E5202">
        <v>60</v>
      </c>
      <c r="F5202" s="366">
        <f t="shared" si="659"/>
        <v>1302</v>
      </c>
      <c r="G5202" s="97">
        <v>1058</v>
      </c>
      <c r="H5202" s="367">
        <f t="shared" si="660"/>
        <v>2360</v>
      </c>
      <c r="I5202" s="368">
        <f t="shared" si="661"/>
        <v>0</v>
      </c>
      <c r="J5202">
        <v>3672</v>
      </c>
      <c r="K5202" s="367">
        <f t="shared" si="662"/>
        <v>2622.8571428571431</v>
      </c>
      <c r="L5202" s="607">
        <v>1.07</v>
      </c>
      <c r="M5202">
        <v>4.8</v>
      </c>
      <c r="N5202" s="381">
        <v>25</v>
      </c>
      <c r="O5202">
        <v>3</v>
      </c>
      <c r="P5202" t="s">
        <v>515</v>
      </c>
      <c r="Q5202" s="97" t="str">
        <f t="shared" si="663"/>
        <v/>
      </c>
      <c r="R5202" t="str">
        <f t="shared" si="664"/>
        <v/>
      </c>
    </row>
    <row r="5203" spans="3:18">
      <c r="C5203" t="str">
        <f t="shared" si="658"/>
        <v/>
      </c>
      <c r="D5203">
        <v>136</v>
      </c>
      <c r="E5203">
        <v>60</v>
      </c>
      <c r="F5203" s="366">
        <f t="shared" si="659"/>
        <v>1302</v>
      </c>
      <c r="G5203" s="97">
        <v>1122</v>
      </c>
      <c r="H5203" s="367">
        <f t="shared" si="660"/>
        <v>2424</v>
      </c>
      <c r="I5203" s="368">
        <f t="shared" si="661"/>
        <v>0</v>
      </c>
      <c r="J5203">
        <v>3896</v>
      </c>
      <c r="K5203" s="367">
        <f t="shared" si="662"/>
        <v>2782.8571428571431</v>
      </c>
      <c r="L5203" s="607">
        <v>0.54</v>
      </c>
      <c r="M5203">
        <v>6.1</v>
      </c>
      <c r="N5203" s="381">
        <v>21</v>
      </c>
      <c r="O5203">
        <v>4</v>
      </c>
      <c r="P5203" t="s">
        <v>515</v>
      </c>
      <c r="Q5203" s="97" t="str">
        <f t="shared" si="663"/>
        <v/>
      </c>
      <c r="R5203" t="str">
        <f t="shared" si="664"/>
        <v/>
      </c>
    </row>
    <row r="5204" spans="3:18">
      <c r="C5204" t="str">
        <f t="shared" si="658"/>
        <v>NL</v>
      </c>
      <c r="D5204">
        <v>137</v>
      </c>
      <c r="E5204">
        <v>60</v>
      </c>
      <c r="F5204" s="366">
        <f t="shared" si="659"/>
        <v>1302</v>
      </c>
      <c r="G5204" s="97">
        <v>1359</v>
      </c>
      <c r="H5204" s="367">
        <f t="shared" si="660"/>
        <v>2661</v>
      </c>
      <c r="I5204" s="368">
        <f t="shared" si="661"/>
        <v>0</v>
      </c>
      <c r="J5204">
        <v>4717</v>
      </c>
      <c r="K5204" s="367">
        <f t="shared" si="662"/>
        <v>3369.2857142857142</v>
      </c>
      <c r="L5204" s="607">
        <v>0.34</v>
      </c>
      <c r="M5204">
        <v>7.3999999999999995</v>
      </c>
      <c r="N5204" s="381">
        <v>20</v>
      </c>
      <c r="O5204">
        <v>5</v>
      </c>
      <c r="P5204" t="s">
        <v>515</v>
      </c>
      <c r="Q5204" s="97" t="str">
        <f t="shared" si="663"/>
        <v/>
      </c>
      <c r="R5204" t="str">
        <f t="shared" si="664"/>
        <v/>
      </c>
    </row>
    <row r="5205" spans="3:18">
      <c r="C5205" t="str">
        <f t="shared" si="658"/>
        <v/>
      </c>
      <c r="D5205">
        <v>138</v>
      </c>
      <c r="E5205">
        <v>60</v>
      </c>
      <c r="F5205" s="366">
        <f t="shared" si="659"/>
        <v>1302</v>
      </c>
      <c r="G5205" s="97">
        <v>1234</v>
      </c>
      <c r="H5205" s="367">
        <f t="shared" si="660"/>
        <v>2536</v>
      </c>
      <c r="I5205" s="368">
        <f t="shared" si="661"/>
        <v>0</v>
      </c>
      <c r="J5205">
        <v>4284</v>
      </c>
      <c r="K5205" s="367">
        <f t="shared" si="662"/>
        <v>3060</v>
      </c>
      <c r="L5205" s="607">
        <v>0.25</v>
      </c>
      <c r="M5205">
        <v>8.6999999999999993</v>
      </c>
      <c r="N5205" s="381">
        <v>19</v>
      </c>
      <c r="O5205">
        <v>6</v>
      </c>
      <c r="P5205" t="s">
        <v>515</v>
      </c>
      <c r="Q5205" s="97" t="str">
        <f t="shared" si="663"/>
        <v/>
      </c>
      <c r="R5205" t="str">
        <f t="shared" si="664"/>
        <v/>
      </c>
    </row>
    <row r="5206" spans="3:18">
      <c r="C5206" t="str">
        <f t="shared" si="658"/>
        <v/>
      </c>
      <c r="D5206">
        <v>139</v>
      </c>
      <c r="E5206">
        <v>60</v>
      </c>
      <c r="F5206" s="366">
        <f t="shared" si="659"/>
        <v>1302</v>
      </c>
      <c r="G5206" s="97">
        <v>1733</v>
      </c>
      <c r="H5206" s="367">
        <f t="shared" si="660"/>
        <v>3035</v>
      </c>
      <c r="I5206" s="368">
        <f t="shared" si="661"/>
        <v>0</v>
      </c>
      <c r="J5206">
        <v>6018</v>
      </c>
      <c r="K5206" s="367">
        <f t="shared" si="662"/>
        <v>4298.5714285714284</v>
      </c>
      <c r="L5206" s="607">
        <v>0.75</v>
      </c>
      <c r="M5206">
        <v>8.6999999999999993</v>
      </c>
      <c r="N5206" s="381">
        <v>24</v>
      </c>
      <c r="O5206">
        <v>6</v>
      </c>
      <c r="P5206" t="s">
        <v>514</v>
      </c>
      <c r="Q5206" s="97" t="str">
        <f t="shared" si="663"/>
        <v/>
      </c>
      <c r="R5206" t="str">
        <f t="shared" si="664"/>
        <v/>
      </c>
    </row>
    <row r="5207" spans="3:18">
      <c r="C5207" t="str">
        <f t="shared" si="658"/>
        <v>NL</v>
      </c>
      <c r="D5207">
        <v>140</v>
      </c>
      <c r="E5207">
        <v>60</v>
      </c>
      <c r="F5207" s="366">
        <f t="shared" si="659"/>
        <v>1302</v>
      </c>
      <c r="G5207" s="97">
        <v>1644</v>
      </c>
      <c r="H5207" s="367">
        <f t="shared" si="660"/>
        <v>2946</v>
      </c>
      <c r="I5207" s="368">
        <f t="shared" si="661"/>
        <v>0</v>
      </c>
      <c r="J5207">
        <v>5708</v>
      </c>
      <c r="K5207" s="367">
        <f t="shared" si="662"/>
        <v>4077.1428571428573</v>
      </c>
      <c r="L5207" s="607">
        <v>0.19</v>
      </c>
      <c r="M5207">
        <v>1.3</v>
      </c>
      <c r="N5207" s="381">
        <v>19</v>
      </c>
      <c r="O5207">
        <v>7</v>
      </c>
      <c r="P5207" t="s">
        <v>515</v>
      </c>
      <c r="Q5207" s="97" t="str">
        <f t="shared" si="663"/>
        <v/>
      </c>
      <c r="R5207" t="str">
        <f t="shared" si="664"/>
        <v/>
      </c>
    </row>
    <row r="5208" spans="3:18">
      <c r="C5208" t="str">
        <f t="shared" si="658"/>
        <v>NL</v>
      </c>
      <c r="D5208">
        <v>141</v>
      </c>
      <c r="E5208">
        <v>60</v>
      </c>
      <c r="F5208" s="366">
        <f t="shared" si="659"/>
        <v>1302</v>
      </c>
      <c r="G5208" s="97">
        <v>2394</v>
      </c>
      <c r="H5208" s="367">
        <f t="shared" si="660"/>
        <v>3696</v>
      </c>
      <c r="I5208" s="368">
        <f t="shared" si="661"/>
        <v>0</v>
      </c>
      <c r="J5208">
        <v>8310</v>
      </c>
      <c r="K5208" s="367">
        <f t="shared" si="662"/>
        <v>5935.7142857142862</v>
      </c>
      <c r="L5208" s="607">
        <v>0.57000000000000006</v>
      </c>
      <c r="M5208">
        <v>1.3</v>
      </c>
      <c r="N5208" s="381">
        <v>24</v>
      </c>
      <c r="O5208">
        <v>7</v>
      </c>
      <c r="P5208" t="s">
        <v>514</v>
      </c>
      <c r="Q5208" s="97" t="str">
        <f t="shared" si="663"/>
        <v/>
      </c>
      <c r="R5208" t="str">
        <f t="shared" si="664"/>
        <v/>
      </c>
    </row>
    <row r="5209" spans="3:18">
      <c r="C5209" t="str">
        <f t="shared" si="658"/>
        <v/>
      </c>
      <c r="D5209">
        <v>142</v>
      </c>
      <c r="E5209">
        <v>60</v>
      </c>
      <c r="F5209" s="366">
        <f t="shared" si="659"/>
        <v>1302</v>
      </c>
      <c r="G5209" s="97">
        <v>1351</v>
      </c>
      <c r="H5209" s="367">
        <f t="shared" si="660"/>
        <v>2653</v>
      </c>
      <c r="I5209" s="368">
        <f t="shared" si="661"/>
        <v>0</v>
      </c>
      <c r="J5209">
        <v>4691</v>
      </c>
      <c r="K5209" s="367">
        <f t="shared" si="662"/>
        <v>3350.7142857142858</v>
      </c>
      <c r="L5209" s="607">
        <v>0.15000000000000002</v>
      </c>
      <c r="M5209">
        <v>2.8000000000000003</v>
      </c>
      <c r="N5209" s="381">
        <v>19</v>
      </c>
      <c r="O5209">
        <v>8</v>
      </c>
      <c r="P5209" t="s">
        <v>515</v>
      </c>
      <c r="Q5209" s="97" t="str">
        <f t="shared" si="663"/>
        <v/>
      </c>
      <c r="R5209" t="str">
        <f t="shared" si="664"/>
        <v/>
      </c>
    </row>
    <row r="5210" spans="3:18">
      <c r="C5210" t="str">
        <f t="shared" ref="C5210:C5273" si="665">IF(OR($O$4=0,O5210-$O$4=0),IF(AND(ISEVEN(O5210)=FALSE,$N$4="Even"),"NL",""),"NL")</f>
        <v/>
      </c>
      <c r="D5210">
        <v>143</v>
      </c>
      <c r="E5210">
        <v>60</v>
      </c>
      <c r="F5210" s="366">
        <f t="shared" si="659"/>
        <v>1302</v>
      </c>
      <c r="G5210" s="97">
        <v>1988</v>
      </c>
      <c r="H5210" s="367">
        <f t="shared" si="660"/>
        <v>3290</v>
      </c>
      <c r="I5210" s="368">
        <f t="shared" si="661"/>
        <v>0</v>
      </c>
      <c r="J5210">
        <v>6901</v>
      </c>
      <c r="K5210" s="367">
        <f t="shared" si="662"/>
        <v>4929.2857142857147</v>
      </c>
      <c r="L5210" s="607">
        <v>0.45</v>
      </c>
      <c r="M5210">
        <v>2.8000000000000003</v>
      </c>
      <c r="N5210" s="381">
        <v>24</v>
      </c>
      <c r="O5210">
        <v>8</v>
      </c>
      <c r="P5210" t="s">
        <v>514</v>
      </c>
      <c r="Q5210" s="97">
        <f t="shared" si="663"/>
        <v>143</v>
      </c>
      <c r="R5210" t="str">
        <f t="shared" si="664"/>
        <v/>
      </c>
    </row>
    <row r="5211" spans="3:18">
      <c r="C5211" t="str">
        <f t="shared" si="665"/>
        <v>NL</v>
      </c>
      <c r="D5211">
        <v>144</v>
      </c>
      <c r="E5211">
        <v>60</v>
      </c>
      <c r="F5211" s="366">
        <f t="shared" si="659"/>
        <v>1302</v>
      </c>
      <c r="G5211" s="97">
        <v>2797</v>
      </c>
      <c r="H5211" s="367">
        <f t="shared" si="660"/>
        <v>4099</v>
      </c>
      <c r="I5211" s="368">
        <f t="shared" si="661"/>
        <v>0</v>
      </c>
      <c r="J5211">
        <v>9708</v>
      </c>
      <c r="K5211" s="367">
        <f t="shared" si="662"/>
        <v>6934.2857142857147</v>
      </c>
      <c r="L5211" s="607">
        <v>0.37</v>
      </c>
      <c r="M5211">
        <v>1.7000000000000002</v>
      </c>
      <c r="N5211" s="381">
        <v>24</v>
      </c>
      <c r="O5211">
        <v>9</v>
      </c>
      <c r="P5211" t="s">
        <v>514</v>
      </c>
      <c r="Q5211" s="97" t="str">
        <f t="shared" si="663"/>
        <v/>
      </c>
      <c r="R5211" t="str">
        <f t="shared" si="664"/>
        <v/>
      </c>
    </row>
    <row r="5212" spans="3:18">
      <c r="C5212" t="str">
        <f t="shared" si="665"/>
        <v/>
      </c>
      <c r="D5212">
        <v>145</v>
      </c>
      <c r="E5212">
        <v>60</v>
      </c>
      <c r="F5212" s="366">
        <f t="shared" si="659"/>
        <v>1302</v>
      </c>
      <c r="G5212" s="97">
        <v>2928</v>
      </c>
      <c r="H5212" s="367">
        <f t="shared" si="660"/>
        <v>4230</v>
      </c>
      <c r="I5212" s="368">
        <f t="shared" si="661"/>
        <v>0</v>
      </c>
      <c r="J5212">
        <v>10163</v>
      </c>
      <c r="K5212" s="367">
        <f t="shared" si="662"/>
        <v>7259.2857142857147</v>
      </c>
      <c r="L5212" s="607">
        <v>0.32</v>
      </c>
      <c r="M5212">
        <v>3.7</v>
      </c>
      <c r="N5212" s="381">
        <v>24</v>
      </c>
      <c r="O5212">
        <v>10</v>
      </c>
      <c r="P5212" t="s">
        <v>514</v>
      </c>
      <c r="Q5212" s="97" t="str">
        <f t="shared" si="663"/>
        <v/>
      </c>
      <c r="R5212" t="str">
        <f t="shared" si="664"/>
        <v/>
      </c>
    </row>
    <row r="5213" spans="3:18">
      <c r="C5213" t="str">
        <f t="shared" si="665"/>
        <v/>
      </c>
      <c r="D5213">
        <v>146</v>
      </c>
      <c r="E5213">
        <v>60</v>
      </c>
      <c r="F5213" s="366">
        <f t="shared" si="659"/>
        <v>1302</v>
      </c>
      <c r="G5213" s="97">
        <v>3943</v>
      </c>
      <c r="H5213" s="367">
        <f t="shared" si="660"/>
        <v>5245</v>
      </c>
      <c r="I5213" s="368">
        <f t="shared" si="661"/>
        <v>0</v>
      </c>
      <c r="J5213">
        <v>13688</v>
      </c>
      <c r="K5213" s="367">
        <f t="shared" si="662"/>
        <v>9777.1428571428569</v>
      </c>
      <c r="L5213" s="607">
        <v>0.98</v>
      </c>
      <c r="M5213">
        <v>3.7</v>
      </c>
      <c r="N5213" s="381">
        <v>27</v>
      </c>
      <c r="O5213">
        <v>10</v>
      </c>
      <c r="P5213" t="s">
        <v>513</v>
      </c>
      <c r="Q5213" s="97" t="str">
        <f t="shared" si="663"/>
        <v/>
      </c>
      <c r="R5213" t="str">
        <f t="shared" si="664"/>
        <v/>
      </c>
    </row>
    <row r="5214" spans="3:18">
      <c r="C5214" t="str">
        <f t="shared" si="665"/>
        <v/>
      </c>
      <c r="D5214">
        <v>147</v>
      </c>
      <c r="E5214">
        <v>65</v>
      </c>
      <c r="F5214" s="366">
        <f t="shared" si="659"/>
        <v>1410.5</v>
      </c>
      <c r="G5214" s="97">
        <v>1198</v>
      </c>
      <c r="H5214" s="367">
        <f t="shared" si="660"/>
        <v>2608.5</v>
      </c>
      <c r="I5214" s="368">
        <f t="shared" si="661"/>
        <v>0</v>
      </c>
      <c r="J5214">
        <v>4161</v>
      </c>
      <c r="K5214" s="367">
        <f t="shared" si="662"/>
        <v>2972.1428571428573</v>
      </c>
      <c r="L5214" s="607">
        <v>0.63</v>
      </c>
      <c r="M5214">
        <v>6.1</v>
      </c>
      <c r="N5214" s="381">
        <v>22</v>
      </c>
      <c r="O5214">
        <v>4</v>
      </c>
      <c r="P5214" t="s">
        <v>515</v>
      </c>
      <c r="Q5214" s="97" t="str">
        <f t="shared" si="663"/>
        <v/>
      </c>
      <c r="R5214" t="str">
        <f t="shared" si="664"/>
        <v/>
      </c>
    </row>
    <row r="5215" spans="3:18">
      <c r="C5215" t="str">
        <f t="shared" si="665"/>
        <v>NL</v>
      </c>
      <c r="D5215">
        <v>148</v>
      </c>
      <c r="E5215">
        <v>65</v>
      </c>
      <c r="F5215" s="366">
        <f t="shared" si="659"/>
        <v>1410.5</v>
      </c>
      <c r="G5215" s="97">
        <v>1449</v>
      </c>
      <c r="H5215" s="367">
        <f t="shared" si="660"/>
        <v>2859.5</v>
      </c>
      <c r="I5215" s="368">
        <f t="shared" si="661"/>
        <v>0</v>
      </c>
      <c r="J5215">
        <v>5031</v>
      </c>
      <c r="K5215" s="367">
        <f t="shared" si="662"/>
        <v>3593.5714285714284</v>
      </c>
      <c r="L5215" s="607">
        <v>0.4</v>
      </c>
      <c r="M5215">
        <v>7.3999999999999995</v>
      </c>
      <c r="N5215" s="381">
        <v>21</v>
      </c>
      <c r="O5215">
        <v>5</v>
      </c>
      <c r="P5215" t="s">
        <v>515</v>
      </c>
      <c r="Q5215" s="97" t="str">
        <f t="shared" si="663"/>
        <v/>
      </c>
      <c r="R5215" t="str">
        <f t="shared" si="664"/>
        <v/>
      </c>
    </row>
    <row r="5216" spans="3:18">
      <c r="C5216" t="str">
        <f t="shared" si="665"/>
        <v/>
      </c>
      <c r="D5216">
        <v>149</v>
      </c>
      <c r="E5216">
        <v>65</v>
      </c>
      <c r="F5216" s="366">
        <f t="shared" si="659"/>
        <v>1410.5</v>
      </c>
      <c r="G5216" s="97">
        <v>1308</v>
      </c>
      <c r="H5216" s="367">
        <f t="shared" si="660"/>
        <v>2718.5</v>
      </c>
      <c r="I5216" s="368">
        <f t="shared" si="661"/>
        <v>0</v>
      </c>
      <c r="J5216">
        <v>4543</v>
      </c>
      <c r="K5216" s="367">
        <f t="shared" si="662"/>
        <v>3245</v>
      </c>
      <c r="L5216" s="607">
        <v>0.29000000000000004</v>
      </c>
      <c r="M5216">
        <v>8.6999999999999993</v>
      </c>
      <c r="N5216" s="381">
        <v>20</v>
      </c>
      <c r="O5216">
        <v>6</v>
      </c>
      <c r="P5216" t="s">
        <v>515</v>
      </c>
      <c r="Q5216" s="97" t="str">
        <f t="shared" si="663"/>
        <v/>
      </c>
      <c r="R5216" t="str">
        <f t="shared" si="664"/>
        <v/>
      </c>
    </row>
    <row r="5217" spans="3:18">
      <c r="C5217" t="str">
        <f t="shared" si="665"/>
        <v/>
      </c>
      <c r="D5217">
        <v>150</v>
      </c>
      <c r="E5217">
        <v>65</v>
      </c>
      <c r="F5217" s="366">
        <f t="shared" si="659"/>
        <v>1410.5</v>
      </c>
      <c r="G5217" s="97">
        <v>1838</v>
      </c>
      <c r="H5217" s="367">
        <f t="shared" si="660"/>
        <v>3248.5</v>
      </c>
      <c r="I5217" s="368">
        <f t="shared" si="661"/>
        <v>0</v>
      </c>
      <c r="J5217">
        <v>6380</v>
      </c>
      <c r="K5217" s="367">
        <f t="shared" si="662"/>
        <v>4557.1428571428569</v>
      </c>
      <c r="L5217" s="607">
        <v>0.88</v>
      </c>
      <c r="M5217">
        <v>8.6999999999999993</v>
      </c>
      <c r="N5217" s="381">
        <v>25</v>
      </c>
      <c r="O5217">
        <v>6</v>
      </c>
      <c r="P5217" t="s">
        <v>514</v>
      </c>
      <c r="Q5217" s="97" t="str">
        <f t="shared" si="663"/>
        <v/>
      </c>
      <c r="R5217" t="str">
        <f t="shared" si="664"/>
        <v/>
      </c>
    </row>
    <row r="5218" spans="3:18">
      <c r="C5218" t="str">
        <f t="shared" si="665"/>
        <v>NL</v>
      </c>
      <c r="D5218">
        <v>151</v>
      </c>
      <c r="E5218">
        <v>65</v>
      </c>
      <c r="F5218" s="366">
        <f t="shared" si="659"/>
        <v>1410.5</v>
      </c>
      <c r="G5218" s="97">
        <v>1747</v>
      </c>
      <c r="H5218" s="367">
        <f t="shared" si="660"/>
        <v>3157.5</v>
      </c>
      <c r="I5218" s="368">
        <f t="shared" si="661"/>
        <v>0</v>
      </c>
      <c r="J5218">
        <v>6066</v>
      </c>
      <c r="K5218" s="367">
        <f t="shared" si="662"/>
        <v>4332.8571428571431</v>
      </c>
      <c r="L5218" s="607">
        <v>0.22</v>
      </c>
      <c r="M5218">
        <v>1.3</v>
      </c>
      <c r="N5218" s="381">
        <v>20</v>
      </c>
      <c r="O5218">
        <v>7</v>
      </c>
      <c r="P5218" t="s">
        <v>515</v>
      </c>
      <c r="Q5218" s="97" t="str">
        <f t="shared" si="663"/>
        <v/>
      </c>
      <c r="R5218" t="str">
        <f t="shared" si="664"/>
        <v/>
      </c>
    </row>
    <row r="5219" spans="3:18">
      <c r="C5219" t="str">
        <f t="shared" si="665"/>
        <v>NL</v>
      </c>
      <c r="D5219">
        <v>152</v>
      </c>
      <c r="E5219">
        <v>65</v>
      </c>
      <c r="F5219" s="366">
        <f t="shared" si="659"/>
        <v>1410.5</v>
      </c>
      <c r="G5219" s="97">
        <v>2541</v>
      </c>
      <c r="H5219" s="367">
        <f t="shared" si="660"/>
        <v>3951.5</v>
      </c>
      <c r="I5219" s="368">
        <f t="shared" si="661"/>
        <v>0</v>
      </c>
      <c r="J5219">
        <v>8820</v>
      </c>
      <c r="K5219" s="367">
        <f t="shared" si="662"/>
        <v>6300</v>
      </c>
      <c r="L5219" s="607">
        <v>0.67</v>
      </c>
      <c r="M5219">
        <v>1.3</v>
      </c>
      <c r="N5219" s="381">
        <v>25</v>
      </c>
      <c r="O5219">
        <v>7</v>
      </c>
      <c r="P5219" t="s">
        <v>514</v>
      </c>
      <c r="Q5219" s="97" t="str">
        <f t="shared" si="663"/>
        <v/>
      </c>
      <c r="R5219" t="str">
        <f t="shared" si="664"/>
        <v/>
      </c>
    </row>
    <row r="5220" spans="3:18">
      <c r="C5220" t="str">
        <f t="shared" si="665"/>
        <v/>
      </c>
      <c r="D5220">
        <v>153</v>
      </c>
      <c r="E5220">
        <v>65</v>
      </c>
      <c r="F5220" s="366">
        <f t="shared" si="659"/>
        <v>1410.5</v>
      </c>
      <c r="G5220" s="97">
        <v>1424</v>
      </c>
      <c r="H5220" s="367">
        <f t="shared" si="660"/>
        <v>2834.5</v>
      </c>
      <c r="I5220" s="368">
        <f t="shared" si="661"/>
        <v>0</v>
      </c>
      <c r="J5220">
        <v>4944</v>
      </c>
      <c r="K5220" s="367">
        <f t="shared" si="662"/>
        <v>3531.4285714285716</v>
      </c>
      <c r="L5220" s="607">
        <v>0.18000000000000002</v>
      </c>
      <c r="M5220">
        <v>2.8000000000000003</v>
      </c>
      <c r="N5220" s="381">
        <v>20</v>
      </c>
      <c r="O5220">
        <v>8</v>
      </c>
      <c r="P5220" t="s">
        <v>515</v>
      </c>
      <c r="Q5220" s="97" t="str">
        <f t="shared" si="663"/>
        <v/>
      </c>
      <c r="R5220" t="str">
        <f t="shared" si="664"/>
        <v/>
      </c>
    </row>
    <row r="5221" spans="3:18">
      <c r="C5221" t="str">
        <f t="shared" si="665"/>
        <v/>
      </c>
      <c r="D5221">
        <v>154</v>
      </c>
      <c r="E5221">
        <v>65</v>
      </c>
      <c r="F5221" s="366">
        <f t="shared" si="659"/>
        <v>1410.5</v>
      </c>
      <c r="G5221" s="97">
        <v>2117</v>
      </c>
      <c r="H5221" s="367">
        <f t="shared" si="660"/>
        <v>3527.5</v>
      </c>
      <c r="I5221" s="368">
        <f t="shared" si="661"/>
        <v>0</v>
      </c>
      <c r="J5221">
        <v>7348</v>
      </c>
      <c r="K5221" s="367">
        <f t="shared" si="662"/>
        <v>5248.5714285714284</v>
      </c>
      <c r="L5221" s="607">
        <v>0.53</v>
      </c>
      <c r="M5221">
        <v>2.8000000000000003</v>
      </c>
      <c r="N5221" s="381">
        <v>25</v>
      </c>
      <c r="O5221">
        <v>8</v>
      </c>
      <c r="P5221" t="s">
        <v>514</v>
      </c>
      <c r="Q5221" s="97">
        <f t="shared" si="663"/>
        <v>154</v>
      </c>
      <c r="R5221" t="str">
        <f t="shared" si="664"/>
        <v/>
      </c>
    </row>
    <row r="5222" spans="3:18">
      <c r="C5222" t="str">
        <f t="shared" si="665"/>
        <v>NL</v>
      </c>
      <c r="D5222">
        <v>155</v>
      </c>
      <c r="E5222">
        <v>65</v>
      </c>
      <c r="F5222" s="366">
        <f t="shared" si="659"/>
        <v>1410.5</v>
      </c>
      <c r="G5222" s="97">
        <v>2986</v>
      </c>
      <c r="H5222" s="367">
        <f t="shared" si="660"/>
        <v>4396.5</v>
      </c>
      <c r="I5222" s="368">
        <f t="shared" si="661"/>
        <v>0</v>
      </c>
      <c r="J5222">
        <v>10364</v>
      </c>
      <c r="K5222" s="367">
        <f t="shared" si="662"/>
        <v>7402.8571428571431</v>
      </c>
      <c r="L5222" s="607">
        <v>0.44</v>
      </c>
      <c r="M5222">
        <v>1.7000000000000002</v>
      </c>
      <c r="N5222" s="381">
        <v>25</v>
      </c>
      <c r="O5222">
        <v>9</v>
      </c>
      <c r="P5222" t="s">
        <v>514</v>
      </c>
      <c r="Q5222" s="97" t="str">
        <f t="shared" si="663"/>
        <v/>
      </c>
      <c r="R5222" t="str">
        <f t="shared" si="664"/>
        <v/>
      </c>
    </row>
    <row r="5223" spans="3:18">
      <c r="C5223" t="str">
        <f t="shared" si="665"/>
        <v/>
      </c>
      <c r="D5223">
        <v>156</v>
      </c>
      <c r="E5223">
        <v>65</v>
      </c>
      <c r="F5223" s="366">
        <f t="shared" si="659"/>
        <v>1410.5</v>
      </c>
      <c r="G5223" s="97">
        <v>3120</v>
      </c>
      <c r="H5223" s="367">
        <f t="shared" si="660"/>
        <v>4530.5</v>
      </c>
      <c r="I5223" s="368">
        <f t="shared" si="661"/>
        <v>0</v>
      </c>
      <c r="J5223">
        <v>10830</v>
      </c>
      <c r="K5223" s="367">
        <f t="shared" si="662"/>
        <v>7735.7142857142862</v>
      </c>
      <c r="L5223" s="607">
        <v>0.37</v>
      </c>
      <c r="M5223">
        <v>3.7</v>
      </c>
      <c r="N5223" s="381">
        <v>25</v>
      </c>
      <c r="O5223">
        <v>10</v>
      </c>
      <c r="P5223" t="s">
        <v>514</v>
      </c>
      <c r="Q5223" s="97" t="str">
        <f t="shared" si="663"/>
        <v/>
      </c>
      <c r="R5223" t="str">
        <f t="shared" si="664"/>
        <v/>
      </c>
    </row>
    <row r="5224" spans="3:18">
      <c r="C5224" t="str">
        <f t="shared" si="665"/>
        <v/>
      </c>
      <c r="D5224">
        <v>157</v>
      </c>
      <c r="E5224">
        <v>70</v>
      </c>
      <c r="F5224" s="366">
        <f t="shared" si="659"/>
        <v>1519</v>
      </c>
      <c r="G5224" s="97">
        <v>1275</v>
      </c>
      <c r="H5224" s="367">
        <f t="shared" si="660"/>
        <v>2794</v>
      </c>
      <c r="I5224" s="368">
        <f t="shared" si="661"/>
        <v>0</v>
      </c>
      <c r="J5224">
        <v>4426</v>
      </c>
      <c r="K5224" s="367">
        <f t="shared" si="662"/>
        <v>3161.4285714285716</v>
      </c>
      <c r="L5224" s="607">
        <v>0.73</v>
      </c>
      <c r="M5224">
        <v>6.1</v>
      </c>
      <c r="N5224" s="381">
        <v>23</v>
      </c>
      <c r="O5224">
        <v>4</v>
      </c>
      <c r="P5224" t="s">
        <v>515</v>
      </c>
      <c r="Q5224" s="97" t="str">
        <f t="shared" si="663"/>
        <v/>
      </c>
      <c r="R5224" t="str">
        <f t="shared" si="664"/>
        <v/>
      </c>
    </row>
    <row r="5225" spans="3:18">
      <c r="C5225" t="str">
        <f t="shared" si="665"/>
        <v>NL</v>
      </c>
      <c r="D5225">
        <v>158</v>
      </c>
      <c r="E5225">
        <v>70</v>
      </c>
      <c r="F5225" s="366">
        <f t="shared" si="659"/>
        <v>1519</v>
      </c>
      <c r="G5225" s="97">
        <v>1539</v>
      </c>
      <c r="H5225" s="367">
        <f t="shared" si="660"/>
        <v>3058</v>
      </c>
      <c r="I5225" s="368">
        <f t="shared" si="661"/>
        <v>0</v>
      </c>
      <c r="J5225">
        <v>5345</v>
      </c>
      <c r="K5225" s="367">
        <f t="shared" si="662"/>
        <v>3817.8571428571431</v>
      </c>
      <c r="L5225" s="607">
        <v>0.47000000000000003</v>
      </c>
      <c r="M5225">
        <v>7.3999999999999995</v>
      </c>
      <c r="N5225" s="381">
        <v>22</v>
      </c>
      <c r="O5225">
        <v>5</v>
      </c>
      <c r="P5225" t="s">
        <v>515</v>
      </c>
      <c r="Q5225" s="97" t="str">
        <f t="shared" si="663"/>
        <v/>
      </c>
      <c r="R5225" t="str">
        <f t="shared" si="664"/>
        <v/>
      </c>
    </row>
    <row r="5226" spans="3:18">
      <c r="C5226" t="str">
        <f t="shared" si="665"/>
        <v/>
      </c>
      <c r="D5226">
        <v>159</v>
      </c>
      <c r="E5226">
        <v>70</v>
      </c>
      <c r="F5226" s="366">
        <f t="shared" si="659"/>
        <v>1519</v>
      </c>
      <c r="G5226" s="97">
        <v>1383</v>
      </c>
      <c r="H5226" s="367">
        <f t="shared" si="660"/>
        <v>2902</v>
      </c>
      <c r="I5226" s="368">
        <f t="shared" si="661"/>
        <v>0</v>
      </c>
      <c r="J5226">
        <v>4801</v>
      </c>
      <c r="K5226" s="367">
        <f t="shared" si="662"/>
        <v>3429.2857142857142</v>
      </c>
      <c r="L5226" s="607">
        <v>0.33</v>
      </c>
      <c r="M5226">
        <v>8.6999999999999993</v>
      </c>
      <c r="N5226" s="381">
        <v>21</v>
      </c>
      <c r="O5226">
        <v>6</v>
      </c>
      <c r="P5226" t="s">
        <v>515</v>
      </c>
      <c r="Q5226" s="97" t="str">
        <f t="shared" si="663"/>
        <v/>
      </c>
      <c r="R5226" t="str">
        <f t="shared" si="664"/>
        <v/>
      </c>
    </row>
    <row r="5227" spans="3:18">
      <c r="C5227" t="str">
        <f t="shared" si="665"/>
        <v>NL</v>
      </c>
      <c r="D5227">
        <v>160</v>
      </c>
      <c r="E5227">
        <v>70</v>
      </c>
      <c r="F5227" s="366">
        <f t="shared" si="659"/>
        <v>1519</v>
      </c>
      <c r="G5227" s="97">
        <v>1850</v>
      </c>
      <c r="H5227" s="367">
        <f t="shared" si="660"/>
        <v>3369</v>
      </c>
      <c r="I5227" s="368">
        <f t="shared" si="661"/>
        <v>0</v>
      </c>
      <c r="J5227">
        <v>6423</v>
      </c>
      <c r="K5227" s="367">
        <f t="shared" si="662"/>
        <v>4587.8571428571431</v>
      </c>
      <c r="L5227" s="607">
        <v>0.25</v>
      </c>
      <c r="M5227">
        <v>1.3</v>
      </c>
      <c r="N5227" s="381">
        <v>21</v>
      </c>
      <c r="O5227">
        <v>7</v>
      </c>
      <c r="P5227" t="s">
        <v>515</v>
      </c>
      <c r="Q5227" s="97" t="str">
        <f t="shared" si="663"/>
        <v/>
      </c>
      <c r="R5227" t="str">
        <f t="shared" si="664"/>
        <v/>
      </c>
    </row>
    <row r="5228" spans="3:18">
      <c r="C5228" t="str">
        <f t="shared" si="665"/>
        <v>NL</v>
      </c>
      <c r="D5228">
        <v>161</v>
      </c>
      <c r="E5228">
        <v>70</v>
      </c>
      <c r="F5228" s="366">
        <f t="shared" si="659"/>
        <v>1519</v>
      </c>
      <c r="G5228" s="97">
        <v>2688</v>
      </c>
      <c r="H5228" s="367">
        <f t="shared" si="660"/>
        <v>4207</v>
      </c>
      <c r="I5228" s="368">
        <f t="shared" si="661"/>
        <v>0</v>
      </c>
      <c r="J5228">
        <v>9330</v>
      </c>
      <c r="K5228" s="367">
        <f t="shared" si="662"/>
        <v>6664.2857142857147</v>
      </c>
      <c r="L5228" s="607">
        <v>0.77</v>
      </c>
      <c r="M5228">
        <v>1.3</v>
      </c>
      <c r="N5228" s="381">
        <v>26</v>
      </c>
      <c r="O5228">
        <v>7</v>
      </c>
      <c r="P5228" t="s">
        <v>514</v>
      </c>
      <c r="Q5228" s="97" t="str">
        <f t="shared" si="663"/>
        <v/>
      </c>
      <c r="R5228" t="str">
        <f t="shared" si="664"/>
        <v/>
      </c>
    </row>
    <row r="5229" spans="3:18">
      <c r="C5229" t="str">
        <f t="shared" si="665"/>
        <v/>
      </c>
      <c r="D5229">
        <v>162</v>
      </c>
      <c r="E5229">
        <v>70</v>
      </c>
      <c r="F5229" s="366">
        <f t="shared" si="659"/>
        <v>1519</v>
      </c>
      <c r="G5229" s="97">
        <v>1497</v>
      </c>
      <c r="H5229" s="367">
        <f t="shared" si="660"/>
        <v>3016</v>
      </c>
      <c r="I5229" s="368">
        <f t="shared" si="661"/>
        <v>0</v>
      </c>
      <c r="J5229">
        <v>5196</v>
      </c>
      <c r="K5229" s="367">
        <f t="shared" si="662"/>
        <v>3711.4285714285716</v>
      </c>
      <c r="L5229" s="607">
        <v>0.2</v>
      </c>
      <c r="M5229">
        <v>2.8000000000000003</v>
      </c>
      <c r="N5229" s="381">
        <v>21</v>
      </c>
      <c r="O5229">
        <v>8</v>
      </c>
      <c r="P5229" t="s">
        <v>515</v>
      </c>
      <c r="Q5229" s="97">
        <f t="shared" si="663"/>
        <v>162</v>
      </c>
      <c r="R5229" t="str">
        <f t="shared" si="664"/>
        <v/>
      </c>
    </row>
    <row r="5230" spans="3:18">
      <c r="C5230" t="str">
        <f t="shared" si="665"/>
        <v/>
      </c>
      <c r="D5230">
        <v>163</v>
      </c>
      <c r="E5230">
        <v>70</v>
      </c>
      <c r="F5230" s="366">
        <f t="shared" si="659"/>
        <v>1519</v>
      </c>
      <c r="G5230" s="97">
        <v>2245</v>
      </c>
      <c r="H5230" s="367">
        <f t="shared" si="660"/>
        <v>3764</v>
      </c>
      <c r="I5230" s="368">
        <f t="shared" si="661"/>
        <v>0</v>
      </c>
      <c r="J5230">
        <v>7794</v>
      </c>
      <c r="K5230" s="367">
        <f t="shared" si="662"/>
        <v>5567.1428571428569</v>
      </c>
      <c r="L5230" s="607">
        <v>0.61</v>
      </c>
      <c r="M5230">
        <v>2.8000000000000003</v>
      </c>
      <c r="N5230" s="381">
        <v>26</v>
      </c>
      <c r="O5230">
        <v>8</v>
      </c>
      <c r="P5230" t="s">
        <v>514</v>
      </c>
      <c r="Q5230" s="97">
        <f t="shared" si="663"/>
        <v>163</v>
      </c>
      <c r="R5230" t="str">
        <f t="shared" si="664"/>
        <v/>
      </c>
    </row>
    <row r="5231" spans="3:18">
      <c r="C5231" t="str">
        <f t="shared" si="665"/>
        <v>NL</v>
      </c>
      <c r="D5231">
        <v>164</v>
      </c>
      <c r="E5231">
        <v>70</v>
      </c>
      <c r="F5231" s="366">
        <f t="shared" si="659"/>
        <v>1519</v>
      </c>
      <c r="G5231" s="97">
        <v>1960</v>
      </c>
      <c r="H5231" s="367">
        <f t="shared" si="660"/>
        <v>3479</v>
      </c>
      <c r="I5231" s="368">
        <f t="shared" si="661"/>
        <v>0</v>
      </c>
      <c r="J5231">
        <v>6805</v>
      </c>
      <c r="K5231" s="367">
        <f t="shared" si="662"/>
        <v>4860.7142857142862</v>
      </c>
      <c r="L5231" s="607">
        <v>0.17</v>
      </c>
      <c r="M5231">
        <v>1.7000000000000002</v>
      </c>
      <c r="N5231" s="381">
        <v>21</v>
      </c>
      <c r="O5231">
        <v>9</v>
      </c>
      <c r="P5231" t="s">
        <v>515</v>
      </c>
      <c r="Q5231" s="97" t="str">
        <f t="shared" si="663"/>
        <v/>
      </c>
      <c r="R5231" t="str">
        <f t="shared" si="664"/>
        <v/>
      </c>
    </row>
    <row r="5232" spans="3:18">
      <c r="C5232" t="str">
        <f t="shared" si="665"/>
        <v>NL</v>
      </c>
      <c r="D5232">
        <v>165</v>
      </c>
      <c r="E5232">
        <v>70</v>
      </c>
      <c r="F5232" s="366">
        <f t="shared" si="659"/>
        <v>1519</v>
      </c>
      <c r="G5232" s="97">
        <v>3148</v>
      </c>
      <c r="H5232" s="367">
        <f t="shared" si="660"/>
        <v>4667</v>
      </c>
      <c r="I5232" s="368">
        <f t="shared" si="661"/>
        <v>0</v>
      </c>
      <c r="J5232">
        <v>10929</v>
      </c>
      <c r="K5232" s="367">
        <f t="shared" si="662"/>
        <v>7806.4285714285716</v>
      </c>
      <c r="L5232" s="607">
        <v>0.51</v>
      </c>
      <c r="M5232">
        <v>1.7000000000000002</v>
      </c>
      <c r="N5232" s="381">
        <v>26</v>
      </c>
      <c r="O5232">
        <v>9</v>
      </c>
      <c r="P5232" t="s">
        <v>514</v>
      </c>
      <c r="Q5232" s="97" t="str">
        <f t="shared" si="663"/>
        <v/>
      </c>
      <c r="R5232" t="str">
        <f t="shared" si="664"/>
        <v/>
      </c>
    </row>
    <row r="5233" spans="3:18">
      <c r="C5233" t="str">
        <f t="shared" si="665"/>
        <v/>
      </c>
      <c r="D5233">
        <v>166</v>
      </c>
      <c r="E5233">
        <v>70</v>
      </c>
      <c r="F5233" s="366">
        <f t="shared" si="659"/>
        <v>1519</v>
      </c>
      <c r="G5233" s="97">
        <v>3312</v>
      </c>
      <c r="H5233" s="367">
        <f t="shared" si="660"/>
        <v>4831</v>
      </c>
      <c r="I5233" s="368">
        <f t="shared" si="661"/>
        <v>0</v>
      </c>
      <c r="J5233">
        <v>11497</v>
      </c>
      <c r="K5233" s="367">
        <f t="shared" si="662"/>
        <v>8212.1428571428569</v>
      </c>
      <c r="L5233" s="607">
        <v>0.43</v>
      </c>
      <c r="M5233">
        <v>3.7</v>
      </c>
      <c r="N5233" s="381">
        <v>26</v>
      </c>
      <c r="O5233">
        <v>10</v>
      </c>
      <c r="P5233" t="s">
        <v>514</v>
      </c>
      <c r="Q5233" s="97" t="str">
        <f t="shared" si="663"/>
        <v/>
      </c>
      <c r="R5233" t="str">
        <f t="shared" si="664"/>
        <v/>
      </c>
    </row>
    <row r="5234" spans="3:18">
      <c r="C5234" t="str">
        <f t="shared" si="665"/>
        <v/>
      </c>
      <c r="D5234">
        <v>167</v>
      </c>
      <c r="E5234">
        <v>75</v>
      </c>
      <c r="F5234" s="366">
        <f t="shared" si="659"/>
        <v>1627.5</v>
      </c>
      <c r="G5234" s="97">
        <v>1347</v>
      </c>
      <c r="H5234" s="367">
        <f t="shared" si="660"/>
        <v>2974.5</v>
      </c>
      <c r="I5234" s="368">
        <f t="shared" si="661"/>
        <v>0</v>
      </c>
      <c r="J5234">
        <v>4677</v>
      </c>
      <c r="K5234" s="367">
        <f t="shared" si="662"/>
        <v>3340.7142857142858</v>
      </c>
      <c r="L5234" s="607">
        <v>0.83</v>
      </c>
      <c r="M5234">
        <v>6.1</v>
      </c>
      <c r="N5234" s="381">
        <v>24</v>
      </c>
      <c r="O5234">
        <v>4</v>
      </c>
      <c r="P5234" t="s">
        <v>515</v>
      </c>
      <c r="Q5234" s="97" t="str">
        <f t="shared" si="663"/>
        <v/>
      </c>
      <c r="R5234" t="str">
        <f t="shared" si="664"/>
        <v/>
      </c>
    </row>
    <row r="5235" spans="3:18">
      <c r="C5235" t="str">
        <f t="shared" si="665"/>
        <v>NL</v>
      </c>
      <c r="D5235">
        <v>168</v>
      </c>
      <c r="E5235">
        <v>75</v>
      </c>
      <c r="F5235" s="366">
        <f t="shared" si="659"/>
        <v>1627.5</v>
      </c>
      <c r="G5235" s="97">
        <v>1630</v>
      </c>
      <c r="H5235" s="367">
        <f t="shared" si="660"/>
        <v>3257.5</v>
      </c>
      <c r="I5235" s="368">
        <f t="shared" si="661"/>
        <v>0</v>
      </c>
      <c r="J5235">
        <v>5658</v>
      </c>
      <c r="K5235" s="367">
        <f t="shared" si="662"/>
        <v>4041.4285714285716</v>
      </c>
      <c r="L5235" s="607">
        <v>0.53</v>
      </c>
      <c r="M5235">
        <v>7.3999999999999995</v>
      </c>
      <c r="N5235" s="381">
        <v>22</v>
      </c>
      <c r="O5235">
        <v>5</v>
      </c>
      <c r="P5235" t="s">
        <v>515</v>
      </c>
      <c r="Q5235" s="97" t="str">
        <f t="shared" si="663"/>
        <v/>
      </c>
      <c r="R5235" t="str">
        <f t="shared" si="664"/>
        <v/>
      </c>
    </row>
    <row r="5236" spans="3:18">
      <c r="C5236" t="str">
        <f t="shared" si="665"/>
        <v/>
      </c>
      <c r="D5236">
        <v>169</v>
      </c>
      <c r="E5236">
        <v>75</v>
      </c>
      <c r="F5236" s="366">
        <f t="shared" si="659"/>
        <v>1627.5</v>
      </c>
      <c r="G5236" s="97">
        <v>1458</v>
      </c>
      <c r="H5236" s="367">
        <f t="shared" si="660"/>
        <v>3085.5</v>
      </c>
      <c r="I5236" s="368">
        <f t="shared" si="661"/>
        <v>0</v>
      </c>
      <c r="J5236">
        <v>5060</v>
      </c>
      <c r="K5236" s="367">
        <f t="shared" si="662"/>
        <v>3614.2857142857142</v>
      </c>
      <c r="L5236" s="607">
        <v>0.38</v>
      </c>
      <c r="M5236">
        <v>8.6999999999999993</v>
      </c>
      <c r="N5236" s="381">
        <v>22</v>
      </c>
      <c r="O5236">
        <v>6</v>
      </c>
      <c r="P5236" t="s">
        <v>515</v>
      </c>
      <c r="Q5236" s="97">
        <f t="shared" si="663"/>
        <v>169</v>
      </c>
      <c r="R5236" t="str">
        <f t="shared" si="664"/>
        <v/>
      </c>
    </row>
    <row r="5237" spans="3:18">
      <c r="C5237" t="str">
        <f t="shared" si="665"/>
        <v>NL</v>
      </c>
      <c r="D5237">
        <v>170</v>
      </c>
      <c r="E5237">
        <v>75</v>
      </c>
      <c r="F5237" s="366">
        <f t="shared" si="659"/>
        <v>1627.5</v>
      </c>
      <c r="G5237" s="97">
        <v>1953</v>
      </c>
      <c r="H5237" s="367">
        <f t="shared" si="660"/>
        <v>3580.5</v>
      </c>
      <c r="I5237" s="368">
        <f t="shared" si="661"/>
        <v>0</v>
      </c>
      <c r="J5237">
        <v>6781</v>
      </c>
      <c r="K5237" s="367">
        <f t="shared" si="662"/>
        <v>4843.5714285714284</v>
      </c>
      <c r="L5237" s="607">
        <v>0.28000000000000003</v>
      </c>
      <c r="M5237">
        <v>1.3</v>
      </c>
      <c r="N5237" s="381">
        <v>21</v>
      </c>
      <c r="O5237">
        <v>7</v>
      </c>
      <c r="P5237" t="s">
        <v>515</v>
      </c>
      <c r="Q5237" s="97" t="str">
        <f t="shared" si="663"/>
        <v/>
      </c>
      <c r="R5237" t="str">
        <f t="shared" si="664"/>
        <v/>
      </c>
    </row>
    <row r="5238" spans="3:18">
      <c r="C5238" t="str">
        <f t="shared" si="665"/>
        <v>NL</v>
      </c>
      <c r="D5238">
        <v>171</v>
      </c>
      <c r="E5238">
        <v>75</v>
      </c>
      <c r="F5238" s="366">
        <f t="shared" si="659"/>
        <v>1627.5</v>
      </c>
      <c r="G5238" s="97">
        <v>2828</v>
      </c>
      <c r="H5238" s="367">
        <f t="shared" si="660"/>
        <v>4455.5</v>
      </c>
      <c r="I5238" s="368">
        <f t="shared" si="661"/>
        <v>0</v>
      </c>
      <c r="J5238">
        <v>9815</v>
      </c>
      <c r="K5238" s="367">
        <f t="shared" si="662"/>
        <v>7010.7142857142862</v>
      </c>
      <c r="L5238" s="607">
        <v>0.88</v>
      </c>
      <c r="M5238">
        <v>1.3</v>
      </c>
      <c r="N5238" s="381">
        <v>26</v>
      </c>
      <c r="O5238">
        <v>7</v>
      </c>
      <c r="P5238" t="s">
        <v>514</v>
      </c>
      <c r="Q5238" s="97" t="str">
        <f t="shared" si="663"/>
        <v/>
      </c>
      <c r="R5238" t="str">
        <f t="shared" si="664"/>
        <v/>
      </c>
    </row>
    <row r="5239" spans="3:18">
      <c r="C5239" t="str">
        <f t="shared" si="665"/>
        <v/>
      </c>
      <c r="D5239">
        <v>172</v>
      </c>
      <c r="E5239">
        <v>75</v>
      </c>
      <c r="F5239" s="366">
        <f t="shared" si="659"/>
        <v>1627.5</v>
      </c>
      <c r="G5239" s="97">
        <v>1570</v>
      </c>
      <c r="H5239" s="367">
        <f t="shared" si="660"/>
        <v>3197.5</v>
      </c>
      <c r="I5239" s="368">
        <f t="shared" si="661"/>
        <v>0</v>
      </c>
      <c r="J5239">
        <v>5449</v>
      </c>
      <c r="K5239" s="367">
        <f t="shared" si="662"/>
        <v>3892.1428571428573</v>
      </c>
      <c r="L5239" s="607">
        <v>0.23</v>
      </c>
      <c r="M5239">
        <v>2.8000000000000003</v>
      </c>
      <c r="N5239" s="381">
        <v>21</v>
      </c>
      <c r="O5239">
        <v>8</v>
      </c>
      <c r="P5239" t="s">
        <v>515</v>
      </c>
      <c r="Q5239" s="97">
        <f t="shared" si="663"/>
        <v>172</v>
      </c>
      <c r="R5239" t="str">
        <f t="shared" si="664"/>
        <v/>
      </c>
    </row>
    <row r="5240" spans="3:18">
      <c r="C5240" t="str">
        <f t="shared" si="665"/>
        <v/>
      </c>
      <c r="D5240">
        <v>173</v>
      </c>
      <c r="E5240">
        <v>75</v>
      </c>
      <c r="F5240" s="366">
        <f t="shared" si="659"/>
        <v>1627.5</v>
      </c>
      <c r="G5240" s="97">
        <v>2374</v>
      </c>
      <c r="H5240" s="367">
        <f t="shared" si="660"/>
        <v>4001.5</v>
      </c>
      <c r="I5240" s="368">
        <f t="shared" si="661"/>
        <v>0</v>
      </c>
      <c r="J5240">
        <v>8241</v>
      </c>
      <c r="K5240" s="367">
        <f t="shared" si="662"/>
        <v>5886.4285714285716</v>
      </c>
      <c r="L5240" s="607">
        <v>0.7</v>
      </c>
      <c r="M5240">
        <v>2.8000000000000003</v>
      </c>
      <c r="N5240" s="381">
        <v>26</v>
      </c>
      <c r="O5240">
        <v>8</v>
      </c>
      <c r="P5240" t="s">
        <v>514</v>
      </c>
      <c r="Q5240" s="97">
        <f t="shared" si="663"/>
        <v>173</v>
      </c>
      <c r="R5240" t="str">
        <f t="shared" si="664"/>
        <v/>
      </c>
    </row>
    <row r="5241" spans="3:18">
      <c r="C5241" t="str">
        <f t="shared" si="665"/>
        <v>NL</v>
      </c>
      <c r="D5241">
        <v>174</v>
      </c>
      <c r="E5241">
        <v>75</v>
      </c>
      <c r="F5241" s="366">
        <f t="shared" si="659"/>
        <v>1627.5</v>
      </c>
      <c r="G5241" s="97">
        <v>2061</v>
      </c>
      <c r="H5241" s="367">
        <f t="shared" si="660"/>
        <v>3688.5</v>
      </c>
      <c r="I5241" s="368">
        <f t="shared" si="661"/>
        <v>0</v>
      </c>
      <c r="J5241">
        <v>7155</v>
      </c>
      <c r="K5241" s="367">
        <f t="shared" si="662"/>
        <v>5110.7142857142862</v>
      </c>
      <c r="L5241" s="607">
        <v>0.19</v>
      </c>
      <c r="M5241">
        <v>1.7000000000000002</v>
      </c>
      <c r="N5241" s="381">
        <v>21</v>
      </c>
      <c r="O5241">
        <v>9</v>
      </c>
      <c r="P5241" t="s">
        <v>515</v>
      </c>
      <c r="Q5241" s="97" t="str">
        <f t="shared" si="663"/>
        <v/>
      </c>
      <c r="R5241" t="str">
        <f t="shared" si="664"/>
        <v/>
      </c>
    </row>
    <row r="5242" spans="3:18">
      <c r="C5242" t="str">
        <f t="shared" si="665"/>
        <v>NL</v>
      </c>
      <c r="D5242">
        <v>175</v>
      </c>
      <c r="E5242">
        <v>75</v>
      </c>
      <c r="F5242" s="366">
        <f t="shared" si="659"/>
        <v>1627.5</v>
      </c>
      <c r="G5242" s="97">
        <v>3308</v>
      </c>
      <c r="H5242" s="367">
        <f t="shared" si="660"/>
        <v>4935.5</v>
      </c>
      <c r="I5242" s="368">
        <f t="shared" si="661"/>
        <v>0</v>
      </c>
      <c r="J5242">
        <v>11482</v>
      </c>
      <c r="K5242" s="367">
        <f t="shared" si="662"/>
        <v>8201.4285714285725</v>
      </c>
      <c r="L5242" s="607">
        <v>0.57000000000000006</v>
      </c>
      <c r="M5242">
        <v>1.7000000000000002</v>
      </c>
      <c r="N5242" s="381">
        <v>26</v>
      </c>
      <c r="O5242">
        <v>9</v>
      </c>
      <c r="P5242" t="s">
        <v>514</v>
      </c>
      <c r="Q5242" s="97" t="str">
        <f t="shared" si="663"/>
        <v/>
      </c>
      <c r="R5242" t="str">
        <f t="shared" si="664"/>
        <v/>
      </c>
    </row>
    <row r="5243" spans="3:18">
      <c r="C5243" t="str">
        <f t="shared" si="665"/>
        <v/>
      </c>
      <c r="D5243">
        <v>176</v>
      </c>
      <c r="E5243">
        <v>75</v>
      </c>
      <c r="F5243" s="366">
        <f t="shared" si="659"/>
        <v>1627.5</v>
      </c>
      <c r="G5243" s="97">
        <v>3494</v>
      </c>
      <c r="H5243" s="367">
        <f t="shared" si="660"/>
        <v>5121.5</v>
      </c>
      <c r="I5243" s="368">
        <f t="shared" si="661"/>
        <v>0</v>
      </c>
      <c r="J5243">
        <v>12128</v>
      </c>
      <c r="K5243" s="367">
        <f t="shared" si="662"/>
        <v>8662.8571428571431</v>
      </c>
      <c r="L5243" s="607">
        <v>0.49</v>
      </c>
      <c r="M5243">
        <v>3.7</v>
      </c>
      <c r="N5243" s="381">
        <v>26</v>
      </c>
      <c r="O5243">
        <v>10</v>
      </c>
      <c r="P5243" t="s">
        <v>514</v>
      </c>
      <c r="Q5243" s="97" t="str">
        <f t="shared" si="663"/>
        <v/>
      </c>
      <c r="R5243" t="str">
        <f t="shared" si="664"/>
        <v/>
      </c>
    </row>
    <row r="5244" spans="3:18">
      <c r="C5244" t="str">
        <f t="shared" si="665"/>
        <v/>
      </c>
      <c r="D5244">
        <v>177</v>
      </c>
      <c r="E5244">
        <v>80</v>
      </c>
      <c r="F5244" s="366">
        <f t="shared" si="659"/>
        <v>1736</v>
      </c>
      <c r="G5244" s="97">
        <v>1413</v>
      </c>
      <c r="H5244" s="367">
        <f t="shared" si="660"/>
        <v>3149</v>
      </c>
      <c r="I5244" s="368">
        <f t="shared" si="661"/>
        <v>0</v>
      </c>
      <c r="J5244">
        <v>4905</v>
      </c>
      <c r="K5244" s="367">
        <f t="shared" si="662"/>
        <v>3503.5714285714284</v>
      </c>
      <c r="L5244" s="607">
        <v>0.95</v>
      </c>
      <c r="M5244">
        <v>6.1</v>
      </c>
      <c r="N5244" s="381">
        <v>25</v>
      </c>
      <c r="O5244">
        <v>4</v>
      </c>
      <c r="P5244" t="s">
        <v>515</v>
      </c>
      <c r="Q5244" s="97" t="str">
        <f t="shared" si="663"/>
        <v/>
      </c>
      <c r="R5244" t="str">
        <f t="shared" si="664"/>
        <v/>
      </c>
    </row>
    <row r="5245" spans="3:18">
      <c r="C5245" t="str">
        <f t="shared" si="665"/>
        <v>NL</v>
      </c>
      <c r="D5245">
        <v>178</v>
      </c>
      <c r="E5245">
        <v>80</v>
      </c>
      <c r="F5245" s="366">
        <f t="shared" si="659"/>
        <v>1736</v>
      </c>
      <c r="G5245" s="97">
        <v>1716</v>
      </c>
      <c r="H5245" s="367">
        <f t="shared" si="660"/>
        <v>3452</v>
      </c>
      <c r="I5245" s="368">
        <f t="shared" si="661"/>
        <v>0</v>
      </c>
      <c r="J5245">
        <v>5956</v>
      </c>
      <c r="K5245" s="367">
        <f t="shared" si="662"/>
        <v>4254.2857142857147</v>
      </c>
      <c r="L5245" s="607">
        <v>0.6</v>
      </c>
      <c r="M5245">
        <v>7.3999999999999995</v>
      </c>
      <c r="N5245" s="381">
        <v>23</v>
      </c>
      <c r="O5245">
        <v>5</v>
      </c>
      <c r="P5245" t="s">
        <v>515</v>
      </c>
      <c r="Q5245" s="97" t="str">
        <f t="shared" si="663"/>
        <v/>
      </c>
      <c r="R5245" t="str">
        <f t="shared" si="664"/>
        <v/>
      </c>
    </row>
    <row r="5246" spans="3:18">
      <c r="C5246" t="str">
        <f t="shared" si="665"/>
        <v/>
      </c>
      <c r="D5246">
        <v>179</v>
      </c>
      <c r="E5246">
        <v>80</v>
      </c>
      <c r="F5246" s="366">
        <f t="shared" si="659"/>
        <v>1736</v>
      </c>
      <c r="G5246" s="97">
        <v>1532</v>
      </c>
      <c r="H5246" s="367">
        <f t="shared" si="660"/>
        <v>3268</v>
      </c>
      <c r="I5246" s="368">
        <f t="shared" si="661"/>
        <v>0</v>
      </c>
      <c r="J5246">
        <v>5319</v>
      </c>
      <c r="K5246" s="367">
        <f t="shared" si="662"/>
        <v>3799.2857142857142</v>
      </c>
      <c r="L5246" s="607">
        <v>0.43</v>
      </c>
      <c r="M5246">
        <v>8.6999999999999993</v>
      </c>
      <c r="N5246" s="381">
        <v>23</v>
      </c>
      <c r="O5246">
        <v>6</v>
      </c>
      <c r="P5246" t="s">
        <v>515</v>
      </c>
      <c r="Q5246" s="97">
        <f t="shared" si="663"/>
        <v>179</v>
      </c>
      <c r="R5246" t="str">
        <f t="shared" si="664"/>
        <v/>
      </c>
    </row>
    <row r="5247" spans="3:18">
      <c r="C5247" t="str">
        <f t="shared" si="665"/>
        <v>NL</v>
      </c>
      <c r="D5247">
        <v>180</v>
      </c>
      <c r="E5247">
        <v>80</v>
      </c>
      <c r="F5247" s="366">
        <f t="shared" si="659"/>
        <v>1736</v>
      </c>
      <c r="G5247" s="97">
        <v>2056</v>
      </c>
      <c r="H5247" s="367">
        <f t="shared" si="660"/>
        <v>3792</v>
      </c>
      <c r="I5247" s="368">
        <f t="shared" si="661"/>
        <v>0</v>
      </c>
      <c r="J5247">
        <v>7139</v>
      </c>
      <c r="K5247" s="367">
        <f t="shared" si="662"/>
        <v>5099.2857142857147</v>
      </c>
      <c r="L5247" s="607">
        <v>0.32</v>
      </c>
      <c r="M5247">
        <v>1.3</v>
      </c>
      <c r="N5247" s="381">
        <v>22</v>
      </c>
      <c r="O5247">
        <v>7</v>
      </c>
      <c r="P5247" t="s">
        <v>515</v>
      </c>
      <c r="Q5247" s="97" t="str">
        <f t="shared" si="663"/>
        <v/>
      </c>
      <c r="R5247" t="str">
        <f t="shared" si="664"/>
        <v/>
      </c>
    </row>
    <row r="5248" spans="3:18">
      <c r="C5248" t="str">
        <f t="shared" si="665"/>
        <v>NL</v>
      </c>
      <c r="D5248">
        <v>181</v>
      </c>
      <c r="E5248">
        <v>80</v>
      </c>
      <c r="F5248" s="366">
        <f t="shared" si="659"/>
        <v>1736</v>
      </c>
      <c r="G5248" s="97">
        <v>2957</v>
      </c>
      <c r="H5248" s="367">
        <f t="shared" si="660"/>
        <v>4693</v>
      </c>
      <c r="I5248" s="368">
        <f t="shared" si="661"/>
        <v>0</v>
      </c>
      <c r="J5248">
        <v>10264</v>
      </c>
      <c r="K5248" s="367">
        <f t="shared" si="662"/>
        <v>7331.4285714285716</v>
      </c>
      <c r="L5248" s="607">
        <v>1</v>
      </c>
      <c r="M5248">
        <v>1.3</v>
      </c>
      <c r="N5248" s="381">
        <v>27</v>
      </c>
      <c r="O5248">
        <v>7</v>
      </c>
      <c r="P5248" t="s">
        <v>514</v>
      </c>
      <c r="Q5248" s="97" t="str">
        <f t="shared" si="663"/>
        <v/>
      </c>
      <c r="R5248" t="str">
        <f t="shared" si="664"/>
        <v/>
      </c>
    </row>
    <row r="5249" spans="3:18">
      <c r="C5249" t="str">
        <f t="shared" si="665"/>
        <v/>
      </c>
      <c r="D5249">
        <v>182</v>
      </c>
      <c r="E5249">
        <v>80</v>
      </c>
      <c r="F5249" s="366">
        <f t="shared" si="659"/>
        <v>1736</v>
      </c>
      <c r="G5249" s="97">
        <v>1642</v>
      </c>
      <c r="H5249" s="367">
        <f t="shared" si="660"/>
        <v>3378</v>
      </c>
      <c r="I5249" s="368">
        <f t="shared" si="661"/>
        <v>0</v>
      </c>
      <c r="J5249">
        <v>5702</v>
      </c>
      <c r="K5249" s="367">
        <f t="shared" si="662"/>
        <v>4072.8571428571431</v>
      </c>
      <c r="L5249" s="607">
        <v>0.26</v>
      </c>
      <c r="M5249">
        <v>2.8000000000000003</v>
      </c>
      <c r="N5249" s="381">
        <v>22</v>
      </c>
      <c r="O5249">
        <v>8</v>
      </c>
      <c r="P5249" t="s">
        <v>515</v>
      </c>
      <c r="Q5249" s="97">
        <f t="shared" si="663"/>
        <v>182</v>
      </c>
      <c r="R5249" t="str">
        <f t="shared" si="664"/>
        <v/>
      </c>
    </row>
    <row r="5250" spans="3:18">
      <c r="C5250" t="str">
        <f t="shared" si="665"/>
        <v/>
      </c>
      <c r="D5250">
        <v>183</v>
      </c>
      <c r="E5250">
        <v>80</v>
      </c>
      <c r="F5250" s="366">
        <f t="shared" si="659"/>
        <v>1736</v>
      </c>
      <c r="G5250" s="97">
        <v>2503</v>
      </c>
      <c r="H5250" s="367">
        <f t="shared" si="660"/>
        <v>4239</v>
      </c>
      <c r="I5250" s="368">
        <f t="shared" si="661"/>
        <v>0</v>
      </c>
      <c r="J5250">
        <v>8687</v>
      </c>
      <c r="K5250" s="367">
        <f t="shared" si="662"/>
        <v>6205</v>
      </c>
      <c r="L5250" s="607">
        <v>0.79</v>
      </c>
      <c r="M5250">
        <v>2.8000000000000003</v>
      </c>
      <c r="N5250" s="381">
        <v>27</v>
      </c>
      <c r="O5250">
        <v>8</v>
      </c>
      <c r="P5250" t="s">
        <v>514</v>
      </c>
      <c r="Q5250" s="97" t="str">
        <f t="shared" si="663"/>
        <v/>
      </c>
      <c r="R5250" t="str">
        <f t="shared" si="664"/>
        <v/>
      </c>
    </row>
    <row r="5251" spans="3:18">
      <c r="C5251" t="str">
        <f t="shared" si="665"/>
        <v>NL</v>
      </c>
      <c r="D5251">
        <v>184</v>
      </c>
      <c r="E5251">
        <v>80</v>
      </c>
      <c r="F5251" s="366">
        <f t="shared" si="659"/>
        <v>1736</v>
      </c>
      <c r="G5251" s="97">
        <v>2162</v>
      </c>
      <c r="H5251" s="367">
        <f t="shared" si="660"/>
        <v>3898</v>
      </c>
      <c r="I5251" s="368">
        <f t="shared" si="661"/>
        <v>0</v>
      </c>
      <c r="J5251">
        <v>7506</v>
      </c>
      <c r="K5251" s="367">
        <f t="shared" si="662"/>
        <v>5361.4285714285716</v>
      </c>
      <c r="L5251" s="607">
        <v>0.21000000000000002</v>
      </c>
      <c r="M5251">
        <v>1.7000000000000002</v>
      </c>
      <c r="N5251" s="381">
        <v>22</v>
      </c>
      <c r="O5251">
        <v>9</v>
      </c>
      <c r="P5251" t="s">
        <v>515</v>
      </c>
      <c r="Q5251" s="97" t="str">
        <f t="shared" si="663"/>
        <v/>
      </c>
      <c r="R5251" t="str">
        <f t="shared" si="664"/>
        <v/>
      </c>
    </row>
    <row r="5252" spans="3:18">
      <c r="C5252" t="str">
        <f t="shared" si="665"/>
        <v>NL</v>
      </c>
      <c r="D5252">
        <v>185</v>
      </c>
      <c r="E5252">
        <v>80</v>
      </c>
      <c r="F5252" s="366">
        <f t="shared" si="659"/>
        <v>1736</v>
      </c>
      <c r="G5252" s="97">
        <v>3467</v>
      </c>
      <c r="H5252" s="367">
        <f t="shared" si="660"/>
        <v>5203</v>
      </c>
      <c r="I5252" s="368">
        <f t="shared" si="661"/>
        <v>0</v>
      </c>
      <c r="J5252">
        <v>12036</v>
      </c>
      <c r="K5252" s="367">
        <f t="shared" si="662"/>
        <v>8597.1428571428569</v>
      </c>
      <c r="L5252" s="607">
        <v>0.65</v>
      </c>
      <c r="M5252">
        <v>1.7000000000000002</v>
      </c>
      <c r="N5252" s="381">
        <v>27</v>
      </c>
      <c r="O5252">
        <v>9</v>
      </c>
      <c r="P5252" t="s">
        <v>514</v>
      </c>
      <c r="Q5252" s="97" t="str">
        <f t="shared" si="663"/>
        <v/>
      </c>
      <c r="R5252" t="str">
        <f t="shared" si="664"/>
        <v/>
      </c>
    </row>
    <row r="5253" spans="3:18">
      <c r="C5253" t="str">
        <f t="shared" si="665"/>
        <v/>
      </c>
      <c r="D5253">
        <v>186</v>
      </c>
      <c r="E5253">
        <v>80</v>
      </c>
      <c r="F5253" s="366">
        <f t="shared" si="659"/>
        <v>1736</v>
      </c>
      <c r="G5253" s="97">
        <v>2216</v>
      </c>
      <c r="H5253" s="367">
        <f t="shared" si="660"/>
        <v>3952</v>
      </c>
      <c r="I5253" s="368">
        <f t="shared" si="661"/>
        <v>0</v>
      </c>
      <c r="J5253">
        <v>7693</v>
      </c>
      <c r="K5253" s="367">
        <f t="shared" si="662"/>
        <v>5495</v>
      </c>
      <c r="L5253" s="607">
        <v>0.18000000000000002</v>
      </c>
      <c r="M5253">
        <v>3.7</v>
      </c>
      <c r="N5253" s="381">
        <v>22</v>
      </c>
      <c r="O5253">
        <v>10</v>
      </c>
      <c r="P5253" t="s">
        <v>515</v>
      </c>
      <c r="Q5253" s="97" t="str">
        <f t="shared" si="663"/>
        <v/>
      </c>
      <c r="R5253" t="str">
        <f t="shared" si="664"/>
        <v/>
      </c>
    </row>
    <row r="5254" spans="3:18">
      <c r="C5254" t="str">
        <f t="shared" si="665"/>
        <v/>
      </c>
      <c r="D5254">
        <v>187</v>
      </c>
      <c r="E5254">
        <v>80</v>
      </c>
      <c r="F5254" s="366">
        <f t="shared" si="659"/>
        <v>1736</v>
      </c>
      <c r="G5254" s="97">
        <v>3656</v>
      </c>
      <c r="H5254" s="367">
        <f t="shared" si="660"/>
        <v>5392</v>
      </c>
      <c r="I5254" s="368">
        <f t="shared" si="661"/>
        <v>0</v>
      </c>
      <c r="J5254">
        <v>12690</v>
      </c>
      <c r="K5254" s="367">
        <f t="shared" si="662"/>
        <v>9064.2857142857138</v>
      </c>
      <c r="L5254" s="607">
        <v>0.55000000000000004</v>
      </c>
      <c r="M5254">
        <v>3.7</v>
      </c>
      <c r="N5254" s="381">
        <v>27</v>
      </c>
      <c r="O5254">
        <v>10</v>
      </c>
      <c r="P5254" t="s">
        <v>514</v>
      </c>
      <c r="Q5254" s="97" t="str">
        <f t="shared" si="663"/>
        <v/>
      </c>
      <c r="R5254" t="str">
        <f t="shared" si="664"/>
        <v/>
      </c>
    </row>
    <row r="5255" spans="3:18">
      <c r="C5255" t="str">
        <f t="shared" si="665"/>
        <v>NL</v>
      </c>
      <c r="D5255">
        <v>188</v>
      </c>
      <c r="E5255">
        <v>85</v>
      </c>
      <c r="F5255" s="366">
        <f t="shared" si="659"/>
        <v>1844.5</v>
      </c>
      <c r="G5255" s="97">
        <v>1793</v>
      </c>
      <c r="H5255" s="367">
        <f t="shared" si="660"/>
        <v>3637.5</v>
      </c>
      <c r="I5255" s="368">
        <f t="shared" si="661"/>
        <v>0</v>
      </c>
      <c r="J5255">
        <v>6226</v>
      </c>
      <c r="K5255" s="367">
        <f t="shared" si="662"/>
        <v>4447.1428571428569</v>
      </c>
      <c r="L5255" s="607">
        <v>0.68</v>
      </c>
      <c r="M5255">
        <v>7.3999999999999995</v>
      </c>
      <c r="N5255" s="381">
        <v>24</v>
      </c>
      <c r="O5255">
        <v>5</v>
      </c>
      <c r="P5255" t="s">
        <v>515</v>
      </c>
      <c r="Q5255" s="97" t="str">
        <f t="shared" si="663"/>
        <v/>
      </c>
      <c r="R5255" t="str">
        <f t="shared" si="664"/>
        <v/>
      </c>
    </row>
    <row r="5256" spans="3:18">
      <c r="C5256" t="str">
        <f t="shared" si="665"/>
        <v/>
      </c>
      <c r="D5256">
        <v>189</v>
      </c>
      <c r="E5256">
        <v>85</v>
      </c>
      <c r="F5256" s="366">
        <f t="shared" si="659"/>
        <v>1844.5</v>
      </c>
      <c r="G5256" s="97">
        <v>1607</v>
      </c>
      <c r="H5256" s="367">
        <f t="shared" si="660"/>
        <v>3451.5</v>
      </c>
      <c r="I5256" s="368">
        <f t="shared" si="661"/>
        <v>0</v>
      </c>
      <c r="J5256">
        <v>5578</v>
      </c>
      <c r="K5256" s="367">
        <f t="shared" si="662"/>
        <v>3984.2857142857142</v>
      </c>
      <c r="L5256" s="607">
        <v>0.48</v>
      </c>
      <c r="M5256">
        <v>8.6999999999999993</v>
      </c>
      <c r="N5256" s="381">
        <v>23</v>
      </c>
      <c r="O5256">
        <v>6</v>
      </c>
      <c r="P5256" t="s">
        <v>515</v>
      </c>
      <c r="Q5256" s="97">
        <f t="shared" si="663"/>
        <v>189</v>
      </c>
      <c r="R5256" t="str">
        <f t="shared" si="664"/>
        <v/>
      </c>
    </row>
    <row r="5257" spans="3:18">
      <c r="C5257" t="str">
        <f t="shared" si="665"/>
        <v>NL</v>
      </c>
      <c r="D5257">
        <v>190</v>
      </c>
      <c r="E5257">
        <v>85</v>
      </c>
      <c r="F5257" s="366">
        <f t="shared" si="659"/>
        <v>1844.5</v>
      </c>
      <c r="G5257" s="97">
        <v>2159</v>
      </c>
      <c r="H5257" s="367">
        <f t="shared" si="660"/>
        <v>4003.5</v>
      </c>
      <c r="I5257" s="368">
        <f t="shared" si="661"/>
        <v>0</v>
      </c>
      <c r="J5257">
        <v>7497</v>
      </c>
      <c r="K5257" s="367">
        <f t="shared" si="662"/>
        <v>5355</v>
      </c>
      <c r="L5257" s="607">
        <v>0.36</v>
      </c>
      <c r="M5257">
        <v>1.3</v>
      </c>
      <c r="N5257" s="381">
        <v>23</v>
      </c>
      <c r="O5257">
        <v>7</v>
      </c>
      <c r="P5257" t="s">
        <v>515</v>
      </c>
      <c r="Q5257" s="97" t="str">
        <f t="shared" si="663"/>
        <v/>
      </c>
      <c r="R5257" t="str">
        <f t="shared" si="664"/>
        <v/>
      </c>
    </row>
    <row r="5258" spans="3:18">
      <c r="C5258" t="str">
        <f t="shared" si="665"/>
        <v/>
      </c>
      <c r="D5258">
        <v>191</v>
      </c>
      <c r="E5258">
        <v>85</v>
      </c>
      <c r="F5258" s="366">
        <f t="shared" si="659"/>
        <v>1844.5</v>
      </c>
      <c r="G5258" s="97">
        <v>1715</v>
      </c>
      <c r="H5258" s="367">
        <f t="shared" si="660"/>
        <v>3559.5</v>
      </c>
      <c r="I5258" s="368">
        <f t="shared" si="661"/>
        <v>0</v>
      </c>
      <c r="J5258">
        <v>5955</v>
      </c>
      <c r="K5258" s="367">
        <f t="shared" si="662"/>
        <v>4253.5714285714284</v>
      </c>
      <c r="L5258" s="607">
        <v>0.29000000000000004</v>
      </c>
      <c r="M5258">
        <v>2.8000000000000003</v>
      </c>
      <c r="N5258" s="381">
        <v>23</v>
      </c>
      <c r="O5258">
        <v>8</v>
      </c>
      <c r="P5258" t="s">
        <v>515</v>
      </c>
      <c r="Q5258" s="97">
        <f t="shared" si="663"/>
        <v>191</v>
      </c>
      <c r="R5258" t="str">
        <f t="shared" si="664"/>
        <v/>
      </c>
    </row>
    <row r="5259" spans="3:18">
      <c r="C5259" t="str">
        <f t="shared" si="665"/>
        <v/>
      </c>
      <c r="D5259">
        <v>192</v>
      </c>
      <c r="E5259">
        <v>85</v>
      </c>
      <c r="F5259" s="366">
        <f t="shared" si="659"/>
        <v>1844.5</v>
      </c>
      <c r="G5259" s="97">
        <v>2621</v>
      </c>
      <c r="H5259" s="367">
        <f t="shared" si="660"/>
        <v>4465.5</v>
      </c>
      <c r="I5259" s="368">
        <f t="shared" si="661"/>
        <v>0</v>
      </c>
      <c r="J5259">
        <v>9098</v>
      </c>
      <c r="K5259" s="367">
        <f t="shared" si="662"/>
        <v>6498.5714285714284</v>
      </c>
      <c r="L5259" s="607">
        <v>0.89</v>
      </c>
      <c r="M5259">
        <v>2.8000000000000003</v>
      </c>
      <c r="N5259" s="381">
        <v>28</v>
      </c>
      <c r="O5259">
        <v>8</v>
      </c>
      <c r="P5259" t="s">
        <v>514</v>
      </c>
      <c r="Q5259" s="97" t="str">
        <f t="shared" si="663"/>
        <v/>
      </c>
      <c r="R5259" t="str">
        <f t="shared" si="664"/>
        <v/>
      </c>
    </row>
    <row r="5260" spans="3:18">
      <c r="C5260" t="str">
        <f t="shared" si="665"/>
        <v>NL</v>
      </c>
      <c r="D5260">
        <v>193</v>
      </c>
      <c r="E5260">
        <v>85</v>
      </c>
      <c r="F5260" s="366">
        <f t="shared" si="659"/>
        <v>1844.5</v>
      </c>
      <c r="G5260" s="97">
        <v>2263</v>
      </c>
      <c r="H5260" s="367">
        <f t="shared" si="660"/>
        <v>4107.5</v>
      </c>
      <c r="I5260" s="368">
        <f t="shared" si="661"/>
        <v>0</v>
      </c>
      <c r="J5260">
        <v>7856</v>
      </c>
      <c r="K5260" s="367">
        <f t="shared" si="662"/>
        <v>5611.4285714285716</v>
      </c>
      <c r="L5260" s="607">
        <v>0.24000000000000002</v>
      </c>
      <c r="M5260">
        <v>1.7000000000000002</v>
      </c>
      <c r="N5260" s="381">
        <v>23</v>
      </c>
      <c r="O5260">
        <v>9</v>
      </c>
      <c r="P5260" t="s">
        <v>515</v>
      </c>
      <c r="Q5260" s="97" t="str">
        <f t="shared" si="663"/>
        <v/>
      </c>
      <c r="R5260" t="str">
        <f t="shared" si="664"/>
        <v/>
      </c>
    </row>
    <row r="5261" spans="3:18">
      <c r="C5261" t="str">
        <f t="shared" si="665"/>
        <v>NL</v>
      </c>
      <c r="D5261">
        <v>194</v>
      </c>
      <c r="E5261">
        <v>85</v>
      </c>
      <c r="F5261" s="366">
        <f t="shared" ref="F5261:F5324" si="666">1.085*($A$2-$B$2)*E5261*$T$7</f>
        <v>1844.5</v>
      </c>
      <c r="G5261" s="97">
        <v>3627</v>
      </c>
      <c r="H5261" s="367">
        <f t="shared" ref="H5261:H5324" si="667">(G5261*$U$7)+F5261</f>
        <v>5471.5</v>
      </c>
      <c r="I5261" s="368">
        <f t="shared" ref="I5261:I5324" si="668">1.085*($C$2-$D$2)*E5261*$T$7</f>
        <v>0</v>
      </c>
      <c r="J5261">
        <v>12590</v>
      </c>
      <c r="K5261" s="367">
        <f t="shared" ref="K5261:K5324" si="669">(J5261*$V$7)-I5261</f>
        <v>8992.8571428571431</v>
      </c>
      <c r="L5261" s="607">
        <v>0.74</v>
      </c>
      <c r="M5261">
        <v>1.7000000000000002</v>
      </c>
      <c r="N5261" s="381">
        <v>28</v>
      </c>
      <c r="O5261">
        <v>9</v>
      </c>
      <c r="P5261" t="s">
        <v>514</v>
      </c>
      <c r="Q5261" s="97" t="str">
        <f t="shared" ref="Q5261:Q5324" si="670">IF(AND(H5261+1&gt;$E$4,L5261&lt;$L$4+0.01,M5261&lt;$M$4+0.01,K5261+1&gt;$F$4,E5261+1&gt;$J$4,N5261&lt;$K$4+1,O5261&lt;$P$4+1,C5261=""),D5261,"")</f>
        <v/>
      </c>
      <c r="R5261" t="str">
        <f t="shared" ref="R5261:R5324" si="671">IF(Q5261="","",IF(AND(O5261&lt;$X$37,E5261&gt;$U$37,E5261&lt;$Q$4+$U$37+1),D5261,""))</f>
        <v/>
      </c>
    </row>
    <row r="5262" spans="3:18">
      <c r="C5262" t="str">
        <f t="shared" si="665"/>
        <v/>
      </c>
      <c r="D5262">
        <v>195</v>
      </c>
      <c r="E5262">
        <v>85</v>
      </c>
      <c r="F5262" s="366">
        <f t="shared" si="666"/>
        <v>1844.5</v>
      </c>
      <c r="G5262" s="97">
        <v>2316</v>
      </c>
      <c r="H5262" s="367">
        <f t="shared" si="667"/>
        <v>4160.5</v>
      </c>
      <c r="I5262" s="368">
        <f t="shared" si="668"/>
        <v>0</v>
      </c>
      <c r="J5262">
        <v>8039</v>
      </c>
      <c r="K5262" s="367">
        <f t="shared" si="669"/>
        <v>5742.1428571428569</v>
      </c>
      <c r="L5262" s="607">
        <v>0.2</v>
      </c>
      <c r="M5262">
        <v>3.7</v>
      </c>
      <c r="N5262" s="381">
        <v>23</v>
      </c>
      <c r="O5262">
        <v>10</v>
      </c>
      <c r="P5262" t="s">
        <v>515</v>
      </c>
      <c r="Q5262" s="97" t="str">
        <f t="shared" si="670"/>
        <v/>
      </c>
      <c r="R5262" t="str">
        <f t="shared" si="671"/>
        <v/>
      </c>
    </row>
    <row r="5263" spans="3:18">
      <c r="C5263" t="str">
        <f t="shared" si="665"/>
        <v/>
      </c>
      <c r="D5263">
        <v>196</v>
      </c>
      <c r="E5263">
        <v>85</v>
      </c>
      <c r="F5263" s="366">
        <f t="shared" si="666"/>
        <v>1844.5</v>
      </c>
      <c r="G5263" s="97">
        <v>3818</v>
      </c>
      <c r="H5263" s="367">
        <f t="shared" si="667"/>
        <v>5662.5</v>
      </c>
      <c r="I5263" s="368">
        <f t="shared" si="668"/>
        <v>0</v>
      </c>
      <c r="J5263">
        <v>13252</v>
      </c>
      <c r="K5263" s="367">
        <f t="shared" si="669"/>
        <v>9465.7142857142862</v>
      </c>
      <c r="L5263" s="607">
        <v>0.62</v>
      </c>
      <c r="M5263">
        <v>3.7</v>
      </c>
      <c r="N5263" s="381">
        <v>28</v>
      </c>
      <c r="O5263">
        <v>10</v>
      </c>
      <c r="P5263" t="s">
        <v>514</v>
      </c>
      <c r="Q5263" s="97" t="str">
        <f t="shared" si="670"/>
        <v/>
      </c>
      <c r="R5263" t="str">
        <f t="shared" si="671"/>
        <v/>
      </c>
    </row>
    <row r="5264" spans="3:18">
      <c r="C5264" t="str">
        <f t="shared" si="665"/>
        <v>NL</v>
      </c>
      <c r="D5264">
        <v>197</v>
      </c>
      <c r="E5264">
        <v>90</v>
      </c>
      <c r="F5264" s="366">
        <f t="shared" si="666"/>
        <v>1953</v>
      </c>
      <c r="G5264" s="97">
        <v>1871</v>
      </c>
      <c r="H5264" s="367">
        <f t="shared" si="667"/>
        <v>3824</v>
      </c>
      <c r="I5264" s="368">
        <f t="shared" si="668"/>
        <v>0</v>
      </c>
      <c r="J5264">
        <v>6496</v>
      </c>
      <c r="K5264" s="367">
        <f t="shared" si="669"/>
        <v>4640</v>
      </c>
      <c r="L5264" s="607">
        <v>0.76</v>
      </c>
      <c r="M5264">
        <v>7.3999999999999995</v>
      </c>
      <c r="N5264" s="381">
        <v>25</v>
      </c>
      <c r="O5264">
        <v>5</v>
      </c>
      <c r="P5264" t="s">
        <v>515</v>
      </c>
      <c r="Q5264" s="97" t="str">
        <f t="shared" si="670"/>
        <v/>
      </c>
      <c r="R5264" t="str">
        <f t="shared" si="671"/>
        <v/>
      </c>
    </row>
    <row r="5265" spans="3:18">
      <c r="C5265" t="str">
        <f t="shared" si="665"/>
        <v/>
      </c>
      <c r="D5265">
        <v>198</v>
      </c>
      <c r="E5265">
        <v>90</v>
      </c>
      <c r="F5265" s="366">
        <f t="shared" si="666"/>
        <v>1953</v>
      </c>
      <c r="G5265" s="97">
        <v>1681</v>
      </c>
      <c r="H5265" s="367">
        <f t="shared" si="667"/>
        <v>3634</v>
      </c>
      <c r="I5265" s="368">
        <f t="shared" si="668"/>
        <v>0</v>
      </c>
      <c r="J5265">
        <v>5837</v>
      </c>
      <c r="K5265" s="367">
        <f t="shared" si="669"/>
        <v>4169.2857142857147</v>
      </c>
      <c r="L5265" s="607">
        <v>0.54</v>
      </c>
      <c r="M5265">
        <v>8.6999999999999993</v>
      </c>
      <c r="N5265" s="381">
        <v>24</v>
      </c>
      <c r="O5265">
        <v>6</v>
      </c>
      <c r="P5265" t="s">
        <v>515</v>
      </c>
      <c r="Q5265" s="97">
        <f t="shared" si="670"/>
        <v>198</v>
      </c>
      <c r="R5265" t="str">
        <f t="shared" si="671"/>
        <v/>
      </c>
    </row>
    <row r="5266" spans="3:18">
      <c r="C5266" t="str">
        <f t="shared" si="665"/>
        <v>NL</v>
      </c>
      <c r="D5266">
        <v>199</v>
      </c>
      <c r="E5266">
        <v>90</v>
      </c>
      <c r="F5266" s="366">
        <f t="shared" si="666"/>
        <v>1953</v>
      </c>
      <c r="G5266" s="97">
        <v>2263</v>
      </c>
      <c r="H5266" s="367">
        <f t="shared" si="667"/>
        <v>4216</v>
      </c>
      <c r="I5266" s="368">
        <f t="shared" si="668"/>
        <v>0</v>
      </c>
      <c r="J5266">
        <v>7854</v>
      </c>
      <c r="K5266" s="367">
        <f t="shared" si="669"/>
        <v>5610</v>
      </c>
      <c r="L5266" s="607">
        <v>0.41000000000000003</v>
      </c>
      <c r="M5266">
        <v>1.3</v>
      </c>
      <c r="N5266" s="381">
        <v>24</v>
      </c>
      <c r="O5266">
        <v>7</v>
      </c>
      <c r="P5266" t="s">
        <v>515</v>
      </c>
      <c r="Q5266" s="97" t="str">
        <f t="shared" si="670"/>
        <v/>
      </c>
      <c r="R5266" t="str">
        <f t="shared" si="671"/>
        <v/>
      </c>
    </row>
    <row r="5267" spans="3:18">
      <c r="C5267" t="str">
        <f t="shared" si="665"/>
        <v/>
      </c>
      <c r="D5267">
        <v>200</v>
      </c>
      <c r="E5267">
        <v>90</v>
      </c>
      <c r="F5267" s="366">
        <f t="shared" si="666"/>
        <v>1953</v>
      </c>
      <c r="G5267" s="97">
        <v>1788</v>
      </c>
      <c r="H5267" s="367">
        <f t="shared" si="667"/>
        <v>3741</v>
      </c>
      <c r="I5267" s="368">
        <f t="shared" si="668"/>
        <v>0</v>
      </c>
      <c r="J5267">
        <v>6207</v>
      </c>
      <c r="K5267" s="367">
        <f t="shared" si="669"/>
        <v>4433.5714285714284</v>
      </c>
      <c r="L5267" s="607">
        <v>0.32</v>
      </c>
      <c r="M5267">
        <v>2.8000000000000003</v>
      </c>
      <c r="N5267" s="381">
        <v>24</v>
      </c>
      <c r="O5267">
        <v>8</v>
      </c>
      <c r="P5267" t="s">
        <v>515</v>
      </c>
      <c r="Q5267" s="97">
        <f t="shared" si="670"/>
        <v>200</v>
      </c>
      <c r="R5267" t="str">
        <f t="shared" si="671"/>
        <v/>
      </c>
    </row>
    <row r="5268" spans="3:18">
      <c r="C5268" t="str">
        <f t="shared" si="665"/>
        <v/>
      </c>
      <c r="D5268">
        <v>201</v>
      </c>
      <c r="E5268">
        <v>90</v>
      </c>
      <c r="F5268" s="366">
        <f t="shared" si="666"/>
        <v>1953</v>
      </c>
      <c r="G5268" s="97">
        <v>2730</v>
      </c>
      <c r="H5268" s="367">
        <f t="shared" si="667"/>
        <v>4683</v>
      </c>
      <c r="I5268" s="368">
        <f t="shared" si="668"/>
        <v>0</v>
      </c>
      <c r="J5268">
        <v>9478</v>
      </c>
      <c r="K5268" s="367">
        <f t="shared" si="669"/>
        <v>6770</v>
      </c>
      <c r="L5268" s="607">
        <v>1</v>
      </c>
      <c r="M5268">
        <v>2.8000000000000003</v>
      </c>
      <c r="N5268" s="381">
        <v>29</v>
      </c>
      <c r="O5268">
        <v>8</v>
      </c>
      <c r="P5268" t="s">
        <v>514</v>
      </c>
      <c r="Q5268" s="97" t="str">
        <f t="shared" si="670"/>
        <v/>
      </c>
      <c r="R5268" t="str">
        <f t="shared" si="671"/>
        <v/>
      </c>
    </row>
    <row r="5269" spans="3:18">
      <c r="C5269" t="str">
        <f t="shared" si="665"/>
        <v>NL</v>
      </c>
      <c r="D5269">
        <v>202</v>
      </c>
      <c r="E5269">
        <v>90</v>
      </c>
      <c r="F5269" s="366">
        <f t="shared" si="666"/>
        <v>1953</v>
      </c>
      <c r="G5269" s="97">
        <v>2364</v>
      </c>
      <c r="H5269" s="367">
        <f t="shared" si="667"/>
        <v>4317</v>
      </c>
      <c r="I5269" s="368">
        <f t="shared" si="668"/>
        <v>0</v>
      </c>
      <c r="J5269">
        <v>8206</v>
      </c>
      <c r="K5269" s="367">
        <f t="shared" si="669"/>
        <v>5861.4285714285716</v>
      </c>
      <c r="L5269" s="607">
        <v>0.27</v>
      </c>
      <c r="M5269">
        <v>1.7000000000000002</v>
      </c>
      <c r="N5269" s="381">
        <v>24</v>
      </c>
      <c r="O5269">
        <v>9</v>
      </c>
      <c r="P5269" t="s">
        <v>515</v>
      </c>
      <c r="Q5269" s="97" t="str">
        <f t="shared" si="670"/>
        <v/>
      </c>
      <c r="R5269" t="str">
        <f t="shared" si="671"/>
        <v/>
      </c>
    </row>
    <row r="5270" spans="3:18">
      <c r="C5270" t="str">
        <f t="shared" si="665"/>
        <v>NL</v>
      </c>
      <c r="D5270">
        <v>203</v>
      </c>
      <c r="E5270">
        <v>90</v>
      </c>
      <c r="F5270" s="366">
        <f t="shared" si="666"/>
        <v>1953</v>
      </c>
      <c r="G5270" s="97">
        <v>3786</v>
      </c>
      <c r="H5270" s="367">
        <f t="shared" si="667"/>
        <v>5739</v>
      </c>
      <c r="I5270" s="368">
        <f t="shared" si="668"/>
        <v>0</v>
      </c>
      <c r="J5270">
        <v>13143</v>
      </c>
      <c r="K5270" s="367">
        <f t="shared" si="669"/>
        <v>9387.8571428571431</v>
      </c>
      <c r="L5270" s="607">
        <v>0.82000000000000006</v>
      </c>
      <c r="M5270">
        <v>1.7000000000000002</v>
      </c>
      <c r="N5270" s="381">
        <v>29</v>
      </c>
      <c r="O5270">
        <v>9</v>
      </c>
      <c r="P5270" t="s">
        <v>514</v>
      </c>
      <c r="Q5270" s="97" t="str">
        <f t="shared" si="670"/>
        <v/>
      </c>
      <c r="R5270" t="str">
        <f t="shared" si="671"/>
        <v/>
      </c>
    </row>
    <row r="5271" spans="3:18">
      <c r="C5271" t="str">
        <f t="shared" si="665"/>
        <v/>
      </c>
      <c r="D5271">
        <v>204</v>
      </c>
      <c r="E5271">
        <v>90</v>
      </c>
      <c r="F5271" s="366">
        <f t="shared" si="666"/>
        <v>1953</v>
      </c>
      <c r="G5271" s="97">
        <v>2415</v>
      </c>
      <c r="H5271" s="367">
        <f t="shared" si="667"/>
        <v>4368</v>
      </c>
      <c r="I5271" s="368">
        <f t="shared" si="668"/>
        <v>0</v>
      </c>
      <c r="J5271">
        <v>8385</v>
      </c>
      <c r="K5271" s="367">
        <f t="shared" si="669"/>
        <v>5989.2857142857147</v>
      </c>
      <c r="L5271" s="607">
        <v>0.23</v>
      </c>
      <c r="M5271">
        <v>3.7</v>
      </c>
      <c r="N5271" s="381">
        <v>24</v>
      </c>
      <c r="O5271">
        <v>10</v>
      </c>
      <c r="P5271" t="s">
        <v>515</v>
      </c>
      <c r="Q5271" s="97" t="str">
        <f t="shared" si="670"/>
        <v/>
      </c>
      <c r="R5271" t="str">
        <f t="shared" si="671"/>
        <v/>
      </c>
    </row>
    <row r="5272" spans="3:18">
      <c r="C5272" t="str">
        <f t="shared" si="665"/>
        <v/>
      </c>
      <c r="D5272">
        <v>205</v>
      </c>
      <c r="E5272">
        <v>90</v>
      </c>
      <c r="F5272" s="366">
        <f t="shared" si="666"/>
        <v>1953</v>
      </c>
      <c r="G5272" s="97">
        <v>3979</v>
      </c>
      <c r="H5272" s="367">
        <f t="shared" si="667"/>
        <v>5932</v>
      </c>
      <c r="I5272" s="368">
        <f t="shared" si="668"/>
        <v>0</v>
      </c>
      <c r="J5272">
        <v>13813</v>
      </c>
      <c r="K5272" s="367">
        <f t="shared" si="669"/>
        <v>9866.4285714285725</v>
      </c>
      <c r="L5272" s="607">
        <v>0.7</v>
      </c>
      <c r="M5272">
        <v>3.7</v>
      </c>
      <c r="N5272" s="381">
        <v>29</v>
      </c>
      <c r="O5272">
        <v>10</v>
      </c>
      <c r="P5272" t="s">
        <v>514</v>
      </c>
      <c r="Q5272" s="97" t="str">
        <f t="shared" si="670"/>
        <v/>
      </c>
      <c r="R5272" t="str">
        <f t="shared" si="671"/>
        <v/>
      </c>
    </row>
    <row r="5273" spans="3:18">
      <c r="C5273" t="str">
        <f t="shared" si="665"/>
        <v>NL</v>
      </c>
      <c r="D5273">
        <v>206</v>
      </c>
      <c r="E5273">
        <v>95</v>
      </c>
      <c r="F5273" s="366">
        <f t="shared" si="666"/>
        <v>2061.5</v>
      </c>
      <c r="G5273" s="97">
        <v>1949</v>
      </c>
      <c r="H5273" s="367">
        <f t="shared" si="667"/>
        <v>4010.5</v>
      </c>
      <c r="I5273" s="368">
        <f t="shared" si="668"/>
        <v>0</v>
      </c>
      <c r="J5273">
        <v>6766</v>
      </c>
      <c r="K5273" s="367">
        <f t="shared" si="669"/>
        <v>4832.8571428571431</v>
      </c>
      <c r="L5273" s="607">
        <v>0.85</v>
      </c>
      <c r="M5273">
        <v>7.3999999999999995</v>
      </c>
      <c r="N5273" s="381">
        <v>25</v>
      </c>
      <c r="O5273">
        <v>5</v>
      </c>
      <c r="P5273" t="s">
        <v>515</v>
      </c>
      <c r="Q5273" s="97" t="str">
        <f t="shared" si="670"/>
        <v/>
      </c>
      <c r="R5273" t="str">
        <f t="shared" si="671"/>
        <v/>
      </c>
    </row>
    <row r="5274" spans="3:18">
      <c r="C5274" t="str">
        <f t="shared" ref="C5274:C5337" si="672">IF(OR($O$4=0,O5274-$O$4=0),IF(AND(ISEVEN(O5274)=FALSE,$N$4="Even"),"NL",""),"NL")</f>
        <v/>
      </c>
      <c r="D5274">
        <v>207</v>
      </c>
      <c r="E5274">
        <v>95</v>
      </c>
      <c r="F5274" s="366">
        <f t="shared" si="666"/>
        <v>2061.5</v>
      </c>
      <c r="G5274" s="97">
        <v>1756</v>
      </c>
      <c r="H5274" s="367">
        <f t="shared" si="667"/>
        <v>3817.5</v>
      </c>
      <c r="I5274" s="368">
        <f t="shared" si="668"/>
        <v>0</v>
      </c>
      <c r="J5274">
        <v>6096</v>
      </c>
      <c r="K5274" s="367">
        <f t="shared" si="669"/>
        <v>4354.2857142857147</v>
      </c>
      <c r="L5274" s="607">
        <v>0.6</v>
      </c>
      <c r="M5274">
        <v>8.6999999999999993</v>
      </c>
      <c r="N5274" s="381">
        <v>25</v>
      </c>
      <c r="O5274">
        <v>6</v>
      </c>
      <c r="P5274" t="s">
        <v>515</v>
      </c>
      <c r="Q5274" s="97">
        <f t="shared" si="670"/>
        <v>207</v>
      </c>
      <c r="R5274" t="str">
        <f t="shared" si="671"/>
        <v/>
      </c>
    </row>
    <row r="5275" spans="3:18">
      <c r="C5275" t="str">
        <f t="shared" si="672"/>
        <v>NL</v>
      </c>
      <c r="D5275">
        <v>208</v>
      </c>
      <c r="E5275">
        <v>95</v>
      </c>
      <c r="F5275" s="366">
        <f t="shared" si="666"/>
        <v>2061.5</v>
      </c>
      <c r="G5275" s="97">
        <v>2366</v>
      </c>
      <c r="H5275" s="367">
        <f t="shared" si="667"/>
        <v>4427.5</v>
      </c>
      <c r="I5275" s="368">
        <f t="shared" si="668"/>
        <v>0</v>
      </c>
      <c r="J5275">
        <v>8212</v>
      </c>
      <c r="K5275" s="367">
        <f t="shared" si="669"/>
        <v>5865.7142857142862</v>
      </c>
      <c r="L5275" s="607">
        <v>0.45</v>
      </c>
      <c r="M5275">
        <v>1.3</v>
      </c>
      <c r="N5275" s="381">
        <v>24</v>
      </c>
      <c r="O5275">
        <v>7</v>
      </c>
      <c r="P5275" t="s">
        <v>515</v>
      </c>
      <c r="Q5275" s="97" t="str">
        <f t="shared" si="670"/>
        <v/>
      </c>
      <c r="R5275" t="str">
        <f t="shared" si="671"/>
        <v/>
      </c>
    </row>
    <row r="5276" spans="3:18">
      <c r="C5276" t="str">
        <f t="shared" si="672"/>
        <v/>
      </c>
      <c r="D5276">
        <v>209</v>
      </c>
      <c r="E5276">
        <v>95</v>
      </c>
      <c r="F5276" s="366">
        <f t="shared" si="666"/>
        <v>2061.5</v>
      </c>
      <c r="G5276" s="97">
        <v>1861</v>
      </c>
      <c r="H5276" s="367">
        <f t="shared" si="667"/>
        <v>3922.5</v>
      </c>
      <c r="I5276" s="368">
        <f t="shared" si="668"/>
        <v>0</v>
      </c>
      <c r="J5276">
        <v>6460</v>
      </c>
      <c r="K5276" s="367">
        <f t="shared" si="669"/>
        <v>4614.2857142857147</v>
      </c>
      <c r="L5276" s="607">
        <v>0.36</v>
      </c>
      <c r="M5276">
        <v>2.8000000000000003</v>
      </c>
      <c r="N5276" s="381">
        <v>24</v>
      </c>
      <c r="O5276">
        <v>8</v>
      </c>
      <c r="P5276" t="s">
        <v>515</v>
      </c>
      <c r="Q5276" s="97">
        <f t="shared" si="670"/>
        <v>209</v>
      </c>
      <c r="R5276" t="str">
        <f t="shared" si="671"/>
        <v/>
      </c>
    </row>
    <row r="5277" spans="3:18">
      <c r="C5277" t="str">
        <f t="shared" si="672"/>
        <v>NL</v>
      </c>
      <c r="D5277">
        <v>210</v>
      </c>
      <c r="E5277">
        <v>95</v>
      </c>
      <c r="F5277" s="366">
        <f t="shared" si="666"/>
        <v>2061.5</v>
      </c>
      <c r="G5277" s="97">
        <v>2465</v>
      </c>
      <c r="H5277" s="367">
        <f t="shared" si="667"/>
        <v>4526.5</v>
      </c>
      <c r="I5277" s="368">
        <f t="shared" si="668"/>
        <v>0</v>
      </c>
      <c r="J5277">
        <v>8557</v>
      </c>
      <c r="K5277" s="367">
        <f t="shared" si="669"/>
        <v>6112.1428571428569</v>
      </c>
      <c r="L5277" s="607">
        <v>0.3</v>
      </c>
      <c r="M5277">
        <v>1.7000000000000002</v>
      </c>
      <c r="N5277" s="381">
        <v>24</v>
      </c>
      <c r="O5277">
        <v>9</v>
      </c>
      <c r="P5277" t="s">
        <v>515</v>
      </c>
      <c r="Q5277" s="97" t="str">
        <f t="shared" si="670"/>
        <v/>
      </c>
      <c r="R5277" t="str">
        <f t="shared" si="671"/>
        <v/>
      </c>
    </row>
    <row r="5278" spans="3:18">
      <c r="C5278" t="str">
        <f t="shared" si="672"/>
        <v>NL</v>
      </c>
      <c r="D5278">
        <v>211</v>
      </c>
      <c r="E5278">
        <v>95</v>
      </c>
      <c r="F5278" s="366">
        <f t="shared" si="666"/>
        <v>2061.5</v>
      </c>
      <c r="G5278" s="97">
        <v>3933</v>
      </c>
      <c r="H5278" s="367">
        <f t="shared" si="667"/>
        <v>5994.5</v>
      </c>
      <c r="I5278" s="368">
        <f t="shared" si="668"/>
        <v>0</v>
      </c>
      <c r="J5278">
        <v>13651</v>
      </c>
      <c r="K5278" s="367">
        <f t="shared" si="669"/>
        <v>9750.7142857142862</v>
      </c>
      <c r="L5278" s="607">
        <v>0.92</v>
      </c>
      <c r="M5278">
        <v>1.7000000000000002</v>
      </c>
      <c r="N5278" s="381">
        <v>29</v>
      </c>
      <c r="O5278">
        <v>9</v>
      </c>
      <c r="P5278" t="s">
        <v>514</v>
      </c>
      <c r="Q5278" s="97" t="str">
        <f t="shared" si="670"/>
        <v/>
      </c>
      <c r="R5278" t="str">
        <f t="shared" si="671"/>
        <v/>
      </c>
    </row>
    <row r="5279" spans="3:18">
      <c r="C5279" t="str">
        <f t="shared" si="672"/>
        <v/>
      </c>
      <c r="D5279">
        <v>212</v>
      </c>
      <c r="E5279">
        <v>95</v>
      </c>
      <c r="F5279" s="366">
        <f t="shared" si="666"/>
        <v>2061.5</v>
      </c>
      <c r="G5279" s="97">
        <v>2515</v>
      </c>
      <c r="H5279" s="367">
        <f t="shared" si="667"/>
        <v>4576.5</v>
      </c>
      <c r="I5279" s="368">
        <f t="shared" si="668"/>
        <v>0</v>
      </c>
      <c r="J5279">
        <v>8730</v>
      </c>
      <c r="K5279" s="367">
        <f t="shared" si="669"/>
        <v>6235.7142857142862</v>
      </c>
      <c r="L5279" s="607">
        <v>0.25</v>
      </c>
      <c r="M5279">
        <v>3.7</v>
      </c>
      <c r="N5279" s="381">
        <v>25</v>
      </c>
      <c r="O5279">
        <v>10</v>
      </c>
      <c r="P5279" t="s">
        <v>515</v>
      </c>
      <c r="Q5279" s="97" t="str">
        <f t="shared" si="670"/>
        <v/>
      </c>
      <c r="R5279" t="str">
        <f t="shared" si="671"/>
        <v/>
      </c>
    </row>
    <row r="5280" spans="3:18">
      <c r="C5280" t="str">
        <f t="shared" si="672"/>
        <v/>
      </c>
      <c r="D5280">
        <v>213</v>
      </c>
      <c r="E5280">
        <v>95</v>
      </c>
      <c r="F5280" s="366">
        <f t="shared" si="666"/>
        <v>2061.5</v>
      </c>
      <c r="G5280" s="97">
        <v>4141</v>
      </c>
      <c r="H5280" s="367">
        <f t="shared" si="667"/>
        <v>6202.5</v>
      </c>
      <c r="I5280" s="368">
        <f t="shared" si="668"/>
        <v>0</v>
      </c>
      <c r="J5280">
        <v>14375</v>
      </c>
      <c r="K5280" s="367">
        <f t="shared" si="669"/>
        <v>10267.857142857143</v>
      </c>
      <c r="L5280" s="607">
        <v>0.78</v>
      </c>
      <c r="M5280">
        <v>3.7</v>
      </c>
      <c r="N5280" s="381">
        <v>30</v>
      </c>
      <c r="O5280">
        <v>10</v>
      </c>
      <c r="P5280" t="s">
        <v>514</v>
      </c>
      <c r="Q5280" s="97" t="str">
        <f t="shared" si="670"/>
        <v/>
      </c>
      <c r="R5280" t="str">
        <f t="shared" si="671"/>
        <v/>
      </c>
    </row>
    <row r="5281" spans="3:18">
      <c r="C5281" t="str">
        <f t="shared" si="672"/>
        <v>NL</v>
      </c>
      <c r="D5281">
        <v>214</v>
      </c>
      <c r="E5281">
        <v>100</v>
      </c>
      <c r="F5281" s="366">
        <f t="shared" si="666"/>
        <v>2170</v>
      </c>
      <c r="G5281" s="97">
        <v>2027</v>
      </c>
      <c r="H5281" s="367">
        <f t="shared" si="667"/>
        <v>4197</v>
      </c>
      <c r="I5281" s="368">
        <f t="shared" si="668"/>
        <v>0</v>
      </c>
      <c r="J5281">
        <v>7037</v>
      </c>
      <c r="K5281" s="367">
        <f t="shared" si="669"/>
        <v>5026.4285714285716</v>
      </c>
      <c r="L5281" s="607">
        <v>0.94000000000000006</v>
      </c>
      <c r="M5281">
        <v>7.3999999999999995</v>
      </c>
      <c r="N5281" s="381">
        <v>26</v>
      </c>
      <c r="O5281">
        <v>5</v>
      </c>
      <c r="P5281" t="s">
        <v>515</v>
      </c>
      <c r="Q5281" s="97" t="str">
        <f t="shared" si="670"/>
        <v/>
      </c>
      <c r="R5281" t="str">
        <f t="shared" si="671"/>
        <v/>
      </c>
    </row>
    <row r="5282" spans="3:18">
      <c r="C5282" t="str">
        <f t="shared" si="672"/>
        <v/>
      </c>
      <c r="D5282">
        <v>215</v>
      </c>
      <c r="E5282">
        <v>100</v>
      </c>
      <c r="F5282" s="366">
        <f t="shared" si="666"/>
        <v>2170</v>
      </c>
      <c r="G5282" s="97">
        <v>1831</v>
      </c>
      <c r="H5282" s="367">
        <f t="shared" si="667"/>
        <v>4001</v>
      </c>
      <c r="I5282" s="368">
        <f t="shared" si="668"/>
        <v>0</v>
      </c>
      <c r="J5282">
        <v>6355</v>
      </c>
      <c r="K5282" s="367">
        <f t="shared" si="669"/>
        <v>4539.2857142857147</v>
      </c>
      <c r="L5282" s="607">
        <v>0.66</v>
      </c>
      <c r="M5282">
        <v>8.6999999999999993</v>
      </c>
      <c r="N5282" s="381">
        <v>25</v>
      </c>
      <c r="O5282">
        <v>6</v>
      </c>
      <c r="P5282" t="s">
        <v>515</v>
      </c>
      <c r="Q5282" s="97">
        <f t="shared" si="670"/>
        <v>215</v>
      </c>
      <c r="R5282" t="str">
        <f t="shared" si="671"/>
        <v/>
      </c>
    </row>
    <row r="5283" spans="3:18">
      <c r="C5283" t="str">
        <f t="shared" si="672"/>
        <v>NL</v>
      </c>
      <c r="D5283">
        <v>216</v>
      </c>
      <c r="E5283">
        <v>100</v>
      </c>
      <c r="F5283" s="366">
        <f t="shared" si="666"/>
        <v>2170</v>
      </c>
      <c r="G5283" s="97">
        <v>2459</v>
      </c>
      <c r="H5283" s="367">
        <f t="shared" si="667"/>
        <v>4629</v>
      </c>
      <c r="I5283" s="368">
        <f t="shared" si="668"/>
        <v>0</v>
      </c>
      <c r="J5283">
        <v>8536</v>
      </c>
      <c r="K5283" s="367">
        <f t="shared" si="669"/>
        <v>6097.1428571428569</v>
      </c>
      <c r="L5283" s="607">
        <v>0.5</v>
      </c>
      <c r="M5283">
        <v>1.3</v>
      </c>
      <c r="N5283" s="381">
        <v>25</v>
      </c>
      <c r="O5283">
        <v>7</v>
      </c>
      <c r="P5283" t="s">
        <v>515</v>
      </c>
      <c r="Q5283" s="97" t="str">
        <f t="shared" si="670"/>
        <v/>
      </c>
      <c r="R5283" t="str">
        <f t="shared" si="671"/>
        <v/>
      </c>
    </row>
    <row r="5284" spans="3:18">
      <c r="C5284" t="str">
        <f t="shared" si="672"/>
        <v/>
      </c>
      <c r="D5284">
        <v>217</v>
      </c>
      <c r="E5284">
        <v>100</v>
      </c>
      <c r="F5284" s="366">
        <f t="shared" si="666"/>
        <v>2170</v>
      </c>
      <c r="G5284" s="97">
        <v>1934</v>
      </c>
      <c r="H5284" s="367">
        <f t="shared" si="667"/>
        <v>4104</v>
      </c>
      <c r="I5284" s="368">
        <f t="shared" si="668"/>
        <v>0</v>
      </c>
      <c r="J5284">
        <v>6713</v>
      </c>
      <c r="K5284" s="367">
        <f t="shared" si="669"/>
        <v>4795</v>
      </c>
      <c r="L5284" s="607">
        <v>0.4</v>
      </c>
      <c r="M5284">
        <v>2.8000000000000003</v>
      </c>
      <c r="N5284" s="381">
        <v>25</v>
      </c>
      <c r="O5284">
        <v>8</v>
      </c>
      <c r="P5284" t="s">
        <v>515</v>
      </c>
      <c r="Q5284" s="97">
        <f t="shared" si="670"/>
        <v>217</v>
      </c>
      <c r="R5284" t="str">
        <f t="shared" si="671"/>
        <v/>
      </c>
    </row>
    <row r="5285" spans="3:18">
      <c r="C5285" t="str">
        <f t="shared" si="672"/>
        <v>NL</v>
      </c>
      <c r="D5285">
        <v>218</v>
      </c>
      <c r="E5285">
        <v>100</v>
      </c>
      <c r="F5285" s="366">
        <f t="shared" si="666"/>
        <v>2170</v>
      </c>
      <c r="G5285" s="97">
        <v>2566</v>
      </c>
      <c r="H5285" s="367">
        <f t="shared" si="667"/>
        <v>4736</v>
      </c>
      <c r="I5285" s="368">
        <f t="shared" si="668"/>
        <v>0</v>
      </c>
      <c r="J5285">
        <v>8907</v>
      </c>
      <c r="K5285" s="367">
        <f t="shared" si="669"/>
        <v>6362.1428571428569</v>
      </c>
      <c r="L5285" s="607">
        <v>0.33</v>
      </c>
      <c r="M5285">
        <v>1.7000000000000002</v>
      </c>
      <c r="N5285" s="381">
        <v>25</v>
      </c>
      <c r="O5285">
        <v>9</v>
      </c>
      <c r="P5285" t="s">
        <v>515</v>
      </c>
      <c r="Q5285" s="97" t="str">
        <f t="shared" si="670"/>
        <v/>
      </c>
      <c r="R5285" t="str">
        <f t="shared" si="671"/>
        <v/>
      </c>
    </row>
    <row r="5286" spans="3:18">
      <c r="C5286" t="str">
        <f t="shared" si="672"/>
        <v>NL</v>
      </c>
      <c r="D5286">
        <v>219</v>
      </c>
      <c r="E5286">
        <v>100</v>
      </c>
      <c r="F5286" s="366">
        <f t="shared" si="666"/>
        <v>2170</v>
      </c>
      <c r="G5286" s="97">
        <v>4072</v>
      </c>
      <c r="H5286" s="367">
        <f t="shared" si="667"/>
        <v>6242</v>
      </c>
      <c r="I5286" s="368">
        <f t="shared" si="668"/>
        <v>0</v>
      </c>
      <c r="J5286">
        <v>14133</v>
      </c>
      <c r="K5286" s="367">
        <f t="shared" si="669"/>
        <v>10095</v>
      </c>
      <c r="L5286" s="607">
        <v>1.02</v>
      </c>
      <c r="M5286">
        <v>1.7000000000000002</v>
      </c>
      <c r="N5286" s="381">
        <v>30</v>
      </c>
      <c r="O5286">
        <v>9</v>
      </c>
      <c r="P5286" t="s">
        <v>514</v>
      </c>
      <c r="Q5286" s="97" t="str">
        <f t="shared" si="670"/>
        <v/>
      </c>
      <c r="R5286" t="str">
        <f t="shared" si="671"/>
        <v/>
      </c>
    </row>
    <row r="5287" spans="3:18">
      <c r="C5287" t="str">
        <f t="shared" si="672"/>
        <v/>
      </c>
      <c r="D5287">
        <v>220</v>
      </c>
      <c r="E5287">
        <v>100</v>
      </c>
      <c r="F5287" s="366">
        <f t="shared" si="666"/>
        <v>2170</v>
      </c>
      <c r="G5287" s="97">
        <v>2615</v>
      </c>
      <c r="H5287" s="367">
        <f t="shared" si="667"/>
        <v>4785</v>
      </c>
      <c r="I5287" s="368">
        <f t="shared" si="668"/>
        <v>0</v>
      </c>
      <c r="J5287">
        <v>9076</v>
      </c>
      <c r="K5287" s="367">
        <f t="shared" si="669"/>
        <v>6482.8571428571431</v>
      </c>
      <c r="L5287" s="607">
        <v>0.28000000000000003</v>
      </c>
      <c r="M5287">
        <v>3.7</v>
      </c>
      <c r="N5287" s="381">
        <v>25</v>
      </c>
      <c r="O5287">
        <v>10</v>
      </c>
      <c r="P5287" t="s">
        <v>515</v>
      </c>
      <c r="Q5287" s="97" t="str">
        <f t="shared" si="670"/>
        <v/>
      </c>
      <c r="R5287" t="str">
        <f t="shared" si="671"/>
        <v/>
      </c>
    </row>
    <row r="5288" spans="3:18">
      <c r="C5288" t="str">
        <f t="shared" si="672"/>
        <v/>
      </c>
      <c r="D5288">
        <v>221</v>
      </c>
      <c r="E5288">
        <v>100</v>
      </c>
      <c r="F5288" s="366">
        <f t="shared" si="666"/>
        <v>2170</v>
      </c>
      <c r="G5288" s="97">
        <v>4303</v>
      </c>
      <c r="H5288" s="367">
        <f t="shared" si="667"/>
        <v>6473</v>
      </c>
      <c r="I5288" s="368">
        <f t="shared" si="668"/>
        <v>0</v>
      </c>
      <c r="J5288">
        <v>14937</v>
      </c>
      <c r="K5288" s="367">
        <f t="shared" si="669"/>
        <v>10669.285714285714</v>
      </c>
      <c r="L5288" s="607">
        <v>0.86</v>
      </c>
      <c r="M5288">
        <v>3.7</v>
      </c>
      <c r="N5288" s="381">
        <v>30</v>
      </c>
      <c r="O5288">
        <v>10</v>
      </c>
      <c r="P5288" t="s">
        <v>514</v>
      </c>
      <c r="Q5288" s="97" t="str">
        <f t="shared" si="670"/>
        <v/>
      </c>
      <c r="R5288" t="str">
        <f t="shared" si="671"/>
        <v/>
      </c>
    </row>
    <row r="5289" spans="3:18">
      <c r="C5289" t="str">
        <f t="shared" si="672"/>
        <v/>
      </c>
      <c r="D5289">
        <v>222</v>
      </c>
      <c r="E5289">
        <v>105</v>
      </c>
      <c r="F5289" s="366">
        <f t="shared" si="666"/>
        <v>2278.5</v>
      </c>
      <c r="G5289" s="97">
        <v>1905</v>
      </c>
      <c r="H5289" s="367">
        <f t="shared" si="667"/>
        <v>4183.5</v>
      </c>
      <c r="I5289" s="368">
        <f t="shared" si="668"/>
        <v>0</v>
      </c>
      <c r="J5289">
        <v>6614</v>
      </c>
      <c r="K5289" s="367">
        <f t="shared" si="669"/>
        <v>4724.2857142857147</v>
      </c>
      <c r="L5289" s="607">
        <v>0.73</v>
      </c>
      <c r="M5289">
        <v>8.6999999999999993</v>
      </c>
      <c r="N5289" s="381">
        <v>26</v>
      </c>
      <c r="O5289">
        <v>6</v>
      </c>
      <c r="P5289" t="s">
        <v>515</v>
      </c>
      <c r="Q5289" s="97" t="str">
        <f t="shared" si="670"/>
        <v/>
      </c>
      <c r="R5289" t="str">
        <f t="shared" si="671"/>
        <v/>
      </c>
    </row>
    <row r="5290" spans="3:18">
      <c r="C5290" t="str">
        <f t="shared" si="672"/>
        <v>NL</v>
      </c>
      <c r="D5290">
        <v>223</v>
      </c>
      <c r="E5290">
        <v>105</v>
      </c>
      <c r="F5290" s="366">
        <f t="shared" si="666"/>
        <v>2278.5</v>
      </c>
      <c r="G5290" s="97">
        <v>2547</v>
      </c>
      <c r="H5290" s="367">
        <f t="shared" si="667"/>
        <v>4825.5</v>
      </c>
      <c r="I5290" s="368">
        <f t="shared" si="668"/>
        <v>0</v>
      </c>
      <c r="J5290">
        <v>8841</v>
      </c>
      <c r="K5290" s="367">
        <f t="shared" si="669"/>
        <v>6315</v>
      </c>
      <c r="L5290" s="607">
        <v>0.55000000000000004</v>
      </c>
      <c r="M5290">
        <v>1.3</v>
      </c>
      <c r="N5290" s="381">
        <v>26</v>
      </c>
      <c r="O5290">
        <v>7</v>
      </c>
      <c r="P5290" t="s">
        <v>515</v>
      </c>
      <c r="Q5290" s="97" t="str">
        <f t="shared" si="670"/>
        <v/>
      </c>
      <c r="R5290" t="str">
        <f t="shared" si="671"/>
        <v/>
      </c>
    </row>
    <row r="5291" spans="3:18">
      <c r="C5291" t="str">
        <f t="shared" si="672"/>
        <v/>
      </c>
      <c r="D5291">
        <v>224</v>
      </c>
      <c r="E5291">
        <v>105</v>
      </c>
      <c r="F5291" s="366">
        <f t="shared" si="666"/>
        <v>2278.5</v>
      </c>
      <c r="G5291" s="97">
        <v>2007</v>
      </c>
      <c r="H5291" s="367">
        <f t="shared" si="667"/>
        <v>4285.5</v>
      </c>
      <c r="I5291" s="368">
        <f t="shared" si="668"/>
        <v>0</v>
      </c>
      <c r="J5291">
        <v>6966</v>
      </c>
      <c r="K5291" s="367">
        <f t="shared" si="669"/>
        <v>4975.7142857142862</v>
      </c>
      <c r="L5291" s="607">
        <v>0.44</v>
      </c>
      <c r="M5291">
        <v>2.8000000000000003</v>
      </c>
      <c r="N5291" s="381">
        <v>26</v>
      </c>
      <c r="O5291">
        <v>8</v>
      </c>
      <c r="P5291" t="s">
        <v>515</v>
      </c>
      <c r="Q5291" s="97">
        <f t="shared" si="670"/>
        <v>224</v>
      </c>
      <c r="R5291" t="str">
        <f t="shared" si="671"/>
        <v/>
      </c>
    </row>
    <row r="5292" spans="3:18">
      <c r="C5292" t="str">
        <f t="shared" si="672"/>
        <v>NL</v>
      </c>
      <c r="D5292">
        <v>225</v>
      </c>
      <c r="E5292">
        <v>105</v>
      </c>
      <c r="F5292" s="366">
        <f t="shared" si="666"/>
        <v>2278.5</v>
      </c>
      <c r="G5292" s="97">
        <v>2667</v>
      </c>
      <c r="H5292" s="367">
        <f t="shared" si="667"/>
        <v>4945.5</v>
      </c>
      <c r="I5292" s="368">
        <f t="shared" si="668"/>
        <v>0</v>
      </c>
      <c r="J5292">
        <v>9258</v>
      </c>
      <c r="K5292" s="367">
        <f t="shared" si="669"/>
        <v>6612.8571428571431</v>
      </c>
      <c r="L5292" s="607">
        <v>0.36</v>
      </c>
      <c r="M5292">
        <v>1.7000000000000002</v>
      </c>
      <c r="N5292" s="381">
        <v>26</v>
      </c>
      <c r="O5292">
        <v>9</v>
      </c>
      <c r="P5292" t="s">
        <v>515</v>
      </c>
      <c r="Q5292" s="97" t="str">
        <f t="shared" si="670"/>
        <v/>
      </c>
      <c r="R5292" t="str">
        <f t="shared" si="671"/>
        <v/>
      </c>
    </row>
    <row r="5293" spans="3:18">
      <c r="C5293" t="str">
        <f t="shared" si="672"/>
        <v>NL</v>
      </c>
      <c r="D5293">
        <v>226</v>
      </c>
      <c r="E5293">
        <v>105</v>
      </c>
      <c r="F5293" s="366">
        <f t="shared" si="666"/>
        <v>2278.5</v>
      </c>
      <c r="G5293" s="97">
        <v>4211</v>
      </c>
      <c r="H5293" s="367">
        <f t="shared" si="667"/>
        <v>6489.5</v>
      </c>
      <c r="I5293" s="368">
        <f t="shared" si="668"/>
        <v>0</v>
      </c>
      <c r="J5293">
        <v>14616</v>
      </c>
      <c r="K5293" s="367">
        <f t="shared" si="669"/>
        <v>10440</v>
      </c>
      <c r="L5293" s="607">
        <v>1.1200000000000001</v>
      </c>
      <c r="M5293">
        <v>1.7000000000000002</v>
      </c>
      <c r="N5293" s="381">
        <v>31</v>
      </c>
      <c r="O5293">
        <v>9</v>
      </c>
      <c r="P5293" t="s">
        <v>514</v>
      </c>
      <c r="Q5293" s="97" t="str">
        <f t="shared" si="670"/>
        <v/>
      </c>
      <c r="R5293" t="str">
        <f t="shared" si="671"/>
        <v/>
      </c>
    </row>
    <row r="5294" spans="3:18">
      <c r="C5294" t="str">
        <f t="shared" si="672"/>
        <v/>
      </c>
      <c r="D5294">
        <v>227</v>
      </c>
      <c r="E5294">
        <v>105</v>
      </c>
      <c r="F5294" s="366">
        <f t="shared" si="666"/>
        <v>2278.5</v>
      </c>
      <c r="G5294" s="97">
        <v>2714</v>
      </c>
      <c r="H5294" s="367">
        <f t="shared" si="667"/>
        <v>4992.5</v>
      </c>
      <c r="I5294" s="368">
        <f t="shared" si="668"/>
        <v>0</v>
      </c>
      <c r="J5294">
        <v>9422</v>
      </c>
      <c r="K5294" s="367">
        <f t="shared" si="669"/>
        <v>6730</v>
      </c>
      <c r="L5294" s="607">
        <v>0.31</v>
      </c>
      <c r="M5294">
        <v>3.7</v>
      </c>
      <c r="N5294" s="381">
        <v>26</v>
      </c>
      <c r="O5294">
        <v>10</v>
      </c>
      <c r="P5294" t="s">
        <v>515</v>
      </c>
      <c r="Q5294" s="97" t="str">
        <f t="shared" si="670"/>
        <v/>
      </c>
      <c r="R5294" t="str">
        <f t="shared" si="671"/>
        <v/>
      </c>
    </row>
    <row r="5295" spans="3:18">
      <c r="C5295" t="str">
        <f t="shared" si="672"/>
        <v/>
      </c>
      <c r="D5295">
        <v>228</v>
      </c>
      <c r="E5295">
        <v>105</v>
      </c>
      <c r="F5295" s="366">
        <f t="shared" si="666"/>
        <v>2278.5</v>
      </c>
      <c r="G5295" s="97">
        <v>4455</v>
      </c>
      <c r="H5295" s="367">
        <f t="shared" si="667"/>
        <v>6733.5</v>
      </c>
      <c r="I5295" s="368">
        <f t="shared" si="668"/>
        <v>0</v>
      </c>
      <c r="J5295">
        <v>15464</v>
      </c>
      <c r="K5295" s="367">
        <f t="shared" si="669"/>
        <v>11045.714285714286</v>
      </c>
      <c r="L5295" s="607">
        <v>0.95</v>
      </c>
      <c r="M5295">
        <v>3.7</v>
      </c>
      <c r="N5295" s="381">
        <v>31</v>
      </c>
      <c r="O5295">
        <v>10</v>
      </c>
      <c r="P5295" t="s">
        <v>514</v>
      </c>
      <c r="Q5295" s="97" t="str">
        <f t="shared" si="670"/>
        <v/>
      </c>
      <c r="R5295" t="str">
        <f t="shared" si="671"/>
        <v/>
      </c>
    </row>
    <row r="5296" spans="3:18">
      <c r="C5296" t="str">
        <f t="shared" si="672"/>
        <v/>
      </c>
      <c r="D5296">
        <v>229</v>
      </c>
      <c r="E5296">
        <v>110</v>
      </c>
      <c r="F5296" s="366">
        <f t="shared" si="666"/>
        <v>2387</v>
      </c>
      <c r="G5296" s="97">
        <v>1980</v>
      </c>
      <c r="H5296" s="367">
        <f t="shared" si="667"/>
        <v>4367</v>
      </c>
      <c r="I5296" s="368">
        <f t="shared" si="668"/>
        <v>0</v>
      </c>
      <c r="J5296">
        <v>6873</v>
      </c>
      <c r="K5296" s="367">
        <f t="shared" si="669"/>
        <v>4909.2857142857147</v>
      </c>
      <c r="L5296" s="607">
        <v>0.8</v>
      </c>
      <c r="M5296">
        <v>8.6999999999999993</v>
      </c>
      <c r="N5296" s="381">
        <v>27</v>
      </c>
      <c r="O5296">
        <v>6</v>
      </c>
      <c r="P5296" t="s">
        <v>515</v>
      </c>
      <c r="Q5296" s="97" t="str">
        <f t="shared" si="670"/>
        <v/>
      </c>
      <c r="R5296" t="str">
        <f t="shared" si="671"/>
        <v/>
      </c>
    </row>
    <row r="5297" spans="3:18">
      <c r="C5297" t="str">
        <f t="shared" si="672"/>
        <v>NL</v>
      </c>
      <c r="D5297">
        <v>230</v>
      </c>
      <c r="E5297">
        <v>110</v>
      </c>
      <c r="F5297" s="366">
        <f t="shared" si="666"/>
        <v>2387</v>
      </c>
      <c r="G5297" s="97">
        <v>2635</v>
      </c>
      <c r="H5297" s="367">
        <f t="shared" si="667"/>
        <v>5022</v>
      </c>
      <c r="I5297" s="368">
        <f t="shared" si="668"/>
        <v>0</v>
      </c>
      <c r="J5297">
        <v>9146</v>
      </c>
      <c r="K5297" s="367">
        <f t="shared" si="669"/>
        <v>6532.8571428571431</v>
      </c>
      <c r="L5297" s="607">
        <v>0.61</v>
      </c>
      <c r="M5297">
        <v>1.3</v>
      </c>
      <c r="N5297" s="381">
        <v>26</v>
      </c>
      <c r="O5297">
        <v>7</v>
      </c>
      <c r="P5297" t="s">
        <v>515</v>
      </c>
      <c r="Q5297" s="97" t="str">
        <f t="shared" si="670"/>
        <v/>
      </c>
      <c r="R5297" t="str">
        <f t="shared" si="671"/>
        <v/>
      </c>
    </row>
    <row r="5298" spans="3:18">
      <c r="C5298" t="str">
        <f t="shared" si="672"/>
        <v/>
      </c>
      <c r="D5298">
        <v>231</v>
      </c>
      <c r="E5298">
        <v>110</v>
      </c>
      <c r="F5298" s="366">
        <f t="shared" si="666"/>
        <v>2387</v>
      </c>
      <c r="G5298" s="97">
        <v>2079</v>
      </c>
      <c r="H5298" s="367">
        <f t="shared" si="667"/>
        <v>4466</v>
      </c>
      <c r="I5298" s="368">
        <f t="shared" si="668"/>
        <v>0</v>
      </c>
      <c r="J5298">
        <v>7218</v>
      </c>
      <c r="K5298" s="367">
        <f t="shared" si="669"/>
        <v>5155.7142857142862</v>
      </c>
      <c r="L5298" s="607">
        <v>0.48</v>
      </c>
      <c r="M5298">
        <v>2.8000000000000003</v>
      </c>
      <c r="N5298" s="381">
        <v>26</v>
      </c>
      <c r="O5298">
        <v>8</v>
      </c>
      <c r="P5298" t="s">
        <v>515</v>
      </c>
      <c r="Q5298" s="97">
        <f t="shared" si="670"/>
        <v>231</v>
      </c>
      <c r="R5298" t="str">
        <f t="shared" si="671"/>
        <v/>
      </c>
    </row>
    <row r="5299" spans="3:18">
      <c r="C5299" t="str">
        <f t="shared" si="672"/>
        <v>NL</v>
      </c>
      <c r="D5299">
        <v>232</v>
      </c>
      <c r="E5299">
        <v>110</v>
      </c>
      <c r="F5299" s="366">
        <f t="shared" si="666"/>
        <v>2387</v>
      </c>
      <c r="G5299" s="97">
        <v>2768</v>
      </c>
      <c r="H5299" s="367">
        <f t="shared" si="667"/>
        <v>5155</v>
      </c>
      <c r="I5299" s="368">
        <f t="shared" si="668"/>
        <v>0</v>
      </c>
      <c r="J5299">
        <v>9608</v>
      </c>
      <c r="K5299" s="367">
        <f t="shared" si="669"/>
        <v>6862.8571428571431</v>
      </c>
      <c r="L5299" s="607">
        <v>0.4</v>
      </c>
      <c r="M5299">
        <v>1.7000000000000002</v>
      </c>
      <c r="N5299" s="381">
        <v>26</v>
      </c>
      <c r="O5299">
        <v>9</v>
      </c>
      <c r="P5299" t="s">
        <v>515</v>
      </c>
      <c r="Q5299" s="97" t="str">
        <f t="shared" si="670"/>
        <v/>
      </c>
      <c r="R5299" t="str">
        <f t="shared" si="671"/>
        <v/>
      </c>
    </row>
    <row r="5300" spans="3:18">
      <c r="C5300" t="str">
        <f t="shared" si="672"/>
        <v/>
      </c>
      <c r="D5300">
        <v>233</v>
      </c>
      <c r="E5300">
        <v>110</v>
      </c>
      <c r="F5300" s="366">
        <f t="shared" si="666"/>
        <v>2387</v>
      </c>
      <c r="G5300" s="97">
        <v>2814</v>
      </c>
      <c r="H5300" s="367">
        <f t="shared" si="667"/>
        <v>5201</v>
      </c>
      <c r="I5300" s="368">
        <f t="shared" si="668"/>
        <v>0</v>
      </c>
      <c r="J5300">
        <v>9768</v>
      </c>
      <c r="K5300" s="367">
        <f t="shared" si="669"/>
        <v>6977.1428571428569</v>
      </c>
      <c r="L5300" s="607">
        <v>0.34</v>
      </c>
      <c r="M5300">
        <v>3.7</v>
      </c>
      <c r="N5300" s="381">
        <v>26</v>
      </c>
      <c r="O5300">
        <v>10</v>
      </c>
      <c r="P5300" t="s">
        <v>515</v>
      </c>
      <c r="Q5300" s="97" t="str">
        <f t="shared" si="670"/>
        <v/>
      </c>
      <c r="R5300" t="str">
        <f t="shared" si="671"/>
        <v/>
      </c>
    </row>
    <row r="5301" spans="3:18">
      <c r="C5301" t="str">
        <f t="shared" si="672"/>
        <v/>
      </c>
      <c r="D5301">
        <v>234</v>
      </c>
      <c r="E5301">
        <v>110</v>
      </c>
      <c r="F5301" s="366">
        <f t="shared" si="666"/>
        <v>2387</v>
      </c>
      <c r="G5301" s="97">
        <v>4595</v>
      </c>
      <c r="H5301" s="367">
        <f t="shared" si="667"/>
        <v>6982</v>
      </c>
      <c r="I5301" s="368">
        <f t="shared" si="668"/>
        <v>0</v>
      </c>
      <c r="J5301">
        <v>15952</v>
      </c>
      <c r="K5301" s="367">
        <f t="shared" si="669"/>
        <v>11394.285714285714</v>
      </c>
      <c r="L5301" s="607">
        <v>1.04</v>
      </c>
      <c r="M5301">
        <v>3.7</v>
      </c>
      <c r="N5301" s="381">
        <v>31</v>
      </c>
      <c r="O5301">
        <v>10</v>
      </c>
      <c r="P5301" t="s">
        <v>514</v>
      </c>
      <c r="Q5301" s="97" t="str">
        <f t="shared" si="670"/>
        <v/>
      </c>
      <c r="R5301" t="str">
        <f t="shared" si="671"/>
        <v/>
      </c>
    </row>
    <row r="5302" spans="3:18">
      <c r="C5302" t="str">
        <f t="shared" si="672"/>
        <v/>
      </c>
      <c r="D5302">
        <v>235</v>
      </c>
      <c r="E5302">
        <v>115</v>
      </c>
      <c r="F5302" s="366">
        <f t="shared" si="666"/>
        <v>2495.5</v>
      </c>
      <c r="G5302" s="97">
        <v>2053</v>
      </c>
      <c r="H5302" s="367">
        <f t="shared" si="667"/>
        <v>4548.5</v>
      </c>
      <c r="I5302" s="368">
        <f t="shared" si="668"/>
        <v>0</v>
      </c>
      <c r="J5302">
        <v>7128</v>
      </c>
      <c r="K5302" s="367">
        <f t="shared" si="669"/>
        <v>5091.4285714285716</v>
      </c>
      <c r="L5302" s="607">
        <v>0.87</v>
      </c>
      <c r="M5302">
        <v>8.6999999999999993</v>
      </c>
      <c r="N5302" s="381">
        <v>27</v>
      </c>
      <c r="O5302">
        <v>6</v>
      </c>
      <c r="P5302" t="s">
        <v>515</v>
      </c>
      <c r="Q5302" s="97" t="str">
        <f t="shared" si="670"/>
        <v/>
      </c>
      <c r="R5302" t="str">
        <f t="shared" si="671"/>
        <v/>
      </c>
    </row>
    <row r="5303" spans="3:18">
      <c r="C5303" t="str">
        <f t="shared" si="672"/>
        <v>NL</v>
      </c>
      <c r="D5303">
        <v>236</v>
      </c>
      <c r="E5303">
        <v>115</v>
      </c>
      <c r="F5303" s="366">
        <f t="shared" si="666"/>
        <v>2495.5</v>
      </c>
      <c r="G5303" s="97">
        <v>2723</v>
      </c>
      <c r="H5303" s="367">
        <f t="shared" si="667"/>
        <v>5218.5</v>
      </c>
      <c r="I5303" s="368">
        <f t="shared" si="668"/>
        <v>0</v>
      </c>
      <c r="J5303">
        <v>9452</v>
      </c>
      <c r="K5303" s="367">
        <f t="shared" si="669"/>
        <v>6751.4285714285716</v>
      </c>
      <c r="L5303" s="607">
        <v>0.66</v>
      </c>
      <c r="M5303">
        <v>1.3</v>
      </c>
      <c r="N5303" s="381">
        <v>27</v>
      </c>
      <c r="O5303">
        <v>7</v>
      </c>
      <c r="P5303" t="s">
        <v>515</v>
      </c>
      <c r="Q5303" s="97" t="str">
        <f t="shared" si="670"/>
        <v/>
      </c>
      <c r="R5303" t="str">
        <f t="shared" si="671"/>
        <v/>
      </c>
    </row>
    <row r="5304" spans="3:18">
      <c r="C5304" t="str">
        <f t="shared" si="672"/>
        <v/>
      </c>
      <c r="D5304">
        <v>237</v>
      </c>
      <c r="E5304">
        <v>115</v>
      </c>
      <c r="F5304" s="366">
        <f t="shared" si="666"/>
        <v>2495.5</v>
      </c>
      <c r="G5304" s="97">
        <v>2152</v>
      </c>
      <c r="H5304" s="367">
        <f t="shared" si="667"/>
        <v>4647.5</v>
      </c>
      <c r="I5304" s="368">
        <f t="shared" si="668"/>
        <v>0</v>
      </c>
      <c r="J5304">
        <v>7471</v>
      </c>
      <c r="K5304" s="367">
        <f t="shared" si="669"/>
        <v>5336.4285714285716</v>
      </c>
      <c r="L5304" s="607">
        <v>0.53</v>
      </c>
      <c r="M5304">
        <v>2.8000000000000003</v>
      </c>
      <c r="N5304" s="381">
        <v>27</v>
      </c>
      <c r="O5304">
        <v>8</v>
      </c>
      <c r="P5304" t="s">
        <v>515</v>
      </c>
      <c r="Q5304" s="97">
        <f t="shared" si="670"/>
        <v>237</v>
      </c>
      <c r="R5304" t="str">
        <f t="shared" si="671"/>
        <v/>
      </c>
    </row>
    <row r="5305" spans="3:18">
      <c r="C5305" t="str">
        <f t="shared" si="672"/>
        <v>NL</v>
      </c>
      <c r="D5305">
        <v>238</v>
      </c>
      <c r="E5305">
        <v>115</v>
      </c>
      <c r="F5305" s="366">
        <f t="shared" si="666"/>
        <v>2495.5</v>
      </c>
      <c r="G5305" s="97">
        <v>2869</v>
      </c>
      <c r="H5305" s="367">
        <f t="shared" si="667"/>
        <v>5364.5</v>
      </c>
      <c r="I5305" s="368">
        <f t="shared" si="668"/>
        <v>0</v>
      </c>
      <c r="J5305">
        <v>9959</v>
      </c>
      <c r="K5305" s="367">
        <f t="shared" si="669"/>
        <v>7113.5714285714284</v>
      </c>
      <c r="L5305" s="607">
        <v>0.43</v>
      </c>
      <c r="M5305">
        <v>1.7000000000000002</v>
      </c>
      <c r="N5305" s="381">
        <v>27</v>
      </c>
      <c r="O5305">
        <v>9</v>
      </c>
      <c r="P5305" t="s">
        <v>515</v>
      </c>
      <c r="Q5305" s="97" t="str">
        <f t="shared" si="670"/>
        <v/>
      </c>
      <c r="R5305" t="str">
        <f t="shared" si="671"/>
        <v/>
      </c>
    </row>
    <row r="5306" spans="3:18">
      <c r="C5306" t="str">
        <f t="shared" si="672"/>
        <v/>
      </c>
      <c r="D5306">
        <v>239</v>
      </c>
      <c r="E5306">
        <v>115</v>
      </c>
      <c r="F5306" s="366">
        <f t="shared" si="666"/>
        <v>2495.5</v>
      </c>
      <c r="G5306" s="97">
        <v>2913</v>
      </c>
      <c r="H5306" s="367">
        <f t="shared" si="667"/>
        <v>5408.5</v>
      </c>
      <c r="I5306" s="368">
        <f t="shared" si="668"/>
        <v>0</v>
      </c>
      <c r="J5306">
        <v>10114</v>
      </c>
      <c r="K5306" s="367">
        <f t="shared" si="669"/>
        <v>7224.2857142857147</v>
      </c>
      <c r="L5306" s="607">
        <v>0.37</v>
      </c>
      <c r="M5306">
        <v>3.7</v>
      </c>
      <c r="N5306" s="381">
        <v>27</v>
      </c>
      <c r="O5306">
        <v>10</v>
      </c>
      <c r="P5306" t="s">
        <v>515</v>
      </c>
      <c r="Q5306" s="97" t="str">
        <f t="shared" si="670"/>
        <v/>
      </c>
      <c r="R5306" t="str">
        <f t="shared" si="671"/>
        <v/>
      </c>
    </row>
    <row r="5307" spans="3:18">
      <c r="C5307" t="str">
        <f t="shared" si="672"/>
        <v/>
      </c>
      <c r="D5307">
        <v>240</v>
      </c>
      <c r="E5307">
        <v>115</v>
      </c>
      <c r="F5307" s="366">
        <f t="shared" si="666"/>
        <v>2495.5</v>
      </c>
      <c r="G5307" s="97">
        <v>4736</v>
      </c>
      <c r="H5307" s="367">
        <f t="shared" si="667"/>
        <v>7231.5</v>
      </c>
      <c r="I5307" s="368">
        <f t="shared" si="668"/>
        <v>0</v>
      </c>
      <c r="J5307">
        <v>16439</v>
      </c>
      <c r="K5307" s="367">
        <f t="shared" si="669"/>
        <v>11742.142857142857</v>
      </c>
      <c r="L5307" s="607">
        <v>1.1300000000000001</v>
      </c>
      <c r="M5307">
        <v>3.7</v>
      </c>
      <c r="N5307" s="381">
        <v>32</v>
      </c>
      <c r="O5307">
        <v>10</v>
      </c>
      <c r="P5307" t="s">
        <v>514</v>
      </c>
      <c r="Q5307" s="97" t="str">
        <f t="shared" si="670"/>
        <v/>
      </c>
      <c r="R5307" t="str">
        <f t="shared" si="671"/>
        <v/>
      </c>
    </row>
    <row r="5308" spans="3:18">
      <c r="C5308" t="str">
        <f t="shared" si="672"/>
        <v/>
      </c>
      <c r="D5308">
        <v>241</v>
      </c>
      <c r="E5308">
        <v>120</v>
      </c>
      <c r="F5308" s="366">
        <f t="shared" si="666"/>
        <v>2604</v>
      </c>
      <c r="G5308" s="97">
        <v>2117</v>
      </c>
      <c r="H5308" s="367">
        <f t="shared" si="667"/>
        <v>4721</v>
      </c>
      <c r="I5308" s="368">
        <f t="shared" si="668"/>
        <v>0</v>
      </c>
      <c r="J5308">
        <v>7350</v>
      </c>
      <c r="K5308" s="367">
        <f t="shared" si="669"/>
        <v>5250</v>
      </c>
      <c r="L5308" s="607">
        <v>0.95</v>
      </c>
      <c r="M5308">
        <v>8.6999999999999993</v>
      </c>
      <c r="N5308" s="381">
        <v>28</v>
      </c>
      <c r="O5308">
        <v>6</v>
      </c>
      <c r="P5308" t="s">
        <v>515</v>
      </c>
      <c r="Q5308" s="97" t="str">
        <f t="shared" si="670"/>
        <v/>
      </c>
      <c r="R5308" t="str">
        <f t="shared" si="671"/>
        <v/>
      </c>
    </row>
    <row r="5309" spans="3:18">
      <c r="C5309" t="str">
        <f t="shared" si="672"/>
        <v>NL</v>
      </c>
      <c r="D5309">
        <v>242</v>
      </c>
      <c r="E5309">
        <v>120</v>
      </c>
      <c r="F5309" s="366">
        <f t="shared" si="666"/>
        <v>2604</v>
      </c>
      <c r="G5309" s="97">
        <v>2811</v>
      </c>
      <c r="H5309" s="367">
        <f t="shared" si="667"/>
        <v>5415</v>
      </c>
      <c r="I5309" s="368">
        <f t="shared" si="668"/>
        <v>0</v>
      </c>
      <c r="J5309">
        <v>9757</v>
      </c>
      <c r="K5309" s="367">
        <f t="shared" si="669"/>
        <v>6969.2857142857147</v>
      </c>
      <c r="L5309" s="607">
        <v>0.72</v>
      </c>
      <c r="M5309">
        <v>1.3</v>
      </c>
      <c r="N5309" s="381">
        <v>27</v>
      </c>
      <c r="O5309">
        <v>7</v>
      </c>
      <c r="P5309" t="s">
        <v>515</v>
      </c>
      <c r="Q5309" s="97" t="str">
        <f t="shared" si="670"/>
        <v/>
      </c>
      <c r="R5309" t="str">
        <f t="shared" si="671"/>
        <v/>
      </c>
    </row>
    <row r="5310" spans="3:18">
      <c r="C5310" t="str">
        <f t="shared" si="672"/>
        <v/>
      </c>
      <c r="D5310">
        <v>243</v>
      </c>
      <c r="E5310">
        <v>120</v>
      </c>
      <c r="F5310" s="366">
        <f t="shared" si="666"/>
        <v>2604</v>
      </c>
      <c r="G5310" s="97">
        <v>2225</v>
      </c>
      <c r="H5310" s="367">
        <f t="shared" si="667"/>
        <v>4829</v>
      </c>
      <c r="I5310" s="368">
        <f t="shared" si="668"/>
        <v>0</v>
      </c>
      <c r="J5310">
        <v>7724</v>
      </c>
      <c r="K5310" s="367">
        <f t="shared" si="669"/>
        <v>5517.1428571428569</v>
      </c>
      <c r="L5310" s="607">
        <v>0.57000000000000006</v>
      </c>
      <c r="M5310">
        <v>2.8000000000000003</v>
      </c>
      <c r="N5310" s="381">
        <v>27</v>
      </c>
      <c r="O5310">
        <v>8</v>
      </c>
      <c r="P5310" t="s">
        <v>515</v>
      </c>
      <c r="Q5310" s="97">
        <f t="shared" si="670"/>
        <v>243</v>
      </c>
      <c r="R5310" t="str">
        <f t="shared" si="671"/>
        <v/>
      </c>
    </row>
    <row r="5311" spans="3:18">
      <c r="C5311" t="str">
        <f t="shared" si="672"/>
        <v>NL</v>
      </c>
      <c r="D5311">
        <v>244</v>
      </c>
      <c r="E5311">
        <v>120</v>
      </c>
      <c r="F5311" s="366">
        <f t="shared" si="666"/>
        <v>2604</v>
      </c>
      <c r="G5311" s="97">
        <v>2970</v>
      </c>
      <c r="H5311" s="367">
        <f t="shared" si="667"/>
        <v>5574</v>
      </c>
      <c r="I5311" s="368">
        <f t="shared" si="668"/>
        <v>0</v>
      </c>
      <c r="J5311">
        <v>10309</v>
      </c>
      <c r="K5311" s="367">
        <f t="shared" si="669"/>
        <v>7363.5714285714284</v>
      </c>
      <c r="L5311" s="607">
        <v>0.47000000000000003</v>
      </c>
      <c r="M5311">
        <v>1.7000000000000002</v>
      </c>
      <c r="N5311" s="381">
        <v>27</v>
      </c>
      <c r="O5311">
        <v>9</v>
      </c>
      <c r="P5311" t="s">
        <v>515</v>
      </c>
      <c r="Q5311" s="97" t="str">
        <f t="shared" si="670"/>
        <v/>
      </c>
      <c r="R5311" t="str">
        <f t="shared" si="671"/>
        <v/>
      </c>
    </row>
    <row r="5312" spans="3:18">
      <c r="C5312" t="str">
        <f t="shared" si="672"/>
        <v/>
      </c>
      <c r="D5312">
        <v>245</v>
      </c>
      <c r="E5312">
        <v>120</v>
      </c>
      <c r="F5312" s="366">
        <f t="shared" si="666"/>
        <v>2604</v>
      </c>
      <c r="G5312" s="97">
        <v>3013</v>
      </c>
      <c r="H5312" s="367">
        <f t="shared" si="667"/>
        <v>5617</v>
      </c>
      <c r="I5312" s="368">
        <f t="shared" si="668"/>
        <v>0</v>
      </c>
      <c r="J5312">
        <v>10459</v>
      </c>
      <c r="K5312" s="367">
        <f t="shared" si="669"/>
        <v>7470.7142857142862</v>
      </c>
      <c r="L5312" s="607">
        <v>0.4</v>
      </c>
      <c r="M5312">
        <v>3.7</v>
      </c>
      <c r="N5312" s="381">
        <v>27</v>
      </c>
      <c r="O5312">
        <v>10</v>
      </c>
      <c r="P5312" t="s">
        <v>515</v>
      </c>
      <c r="Q5312" s="97" t="str">
        <f t="shared" si="670"/>
        <v/>
      </c>
      <c r="R5312" t="str">
        <f t="shared" si="671"/>
        <v/>
      </c>
    </row>
    <row r="5313" spans="3:18">
      <c r="C5313" t="str">
        <f t="shared" si="672"/>
        <v>NL</v>
      </c>
      <c r="D5313">
        <v>246</v>
      </c>
      <c r="E5313">
        <v>125</v>
      </c>
      <c r="F5313" s="366">
        <f t="shared" si="666"/>
        <v>2712.5</v>
      </c>
      <c r="G5313" s="97">
        <v>2899</v>
      </c>
      <c r="H5313" s="367">
        <f t="shared" si="667"/>
        <v>5611.5</v>
      </c>
      <c r="I5313" s="368">
        <f t="shared" si="668"/>
        <v>0</v>
      </c>
      <c r="J5313">
        <v>10062</v>
      </c>
      <c r="K5313" s="367">
        <f t="shared" si="669"/>
        <v>7187.1428571428569</v>
      </c>
      <c r="L5313" s="607">
        <v>0.78</v>
      </c>
      <c r="M5313">
        <v>1.3</v>
      </c>
      <c r="N5313" s="381">
        <v>28</v>
      </c>
      <c r="O5313">
        <v>7</v>
      </c>
      <c r="P5313" t="s">
        <v>515</v>
      </c>
      <c r="Q5313" s="97" t="str">
        <f t="shared" si="670"/>
        <v/>
      </c>
      <c r="R5313" t="str">
        <f t="shared" si="671"/>
        <v/>
      </c>
    </row>
    <row r="5314" spans="3:18">
      <c r="C5314" t="str">
        <f t="shared" si="672"/>
        <v/>
      </c>
      <c r="D5314">
        <v>247</v>
      </c>
      <c r="E5314">
        <v>125</v>
      </c>
      <c r="F5314" s="366">
        <f t="shared" si="666"/>
        <v>2712.5</v>
      </c>
      <c r="G5314" s="97">
        <v>2298</v>
      </c>
      <c r="H5314" s="367">
        <f t="shared" si="667"/>
        <v>5010.5</v>
      </c>
      <c r="I5314" s="368">
        <f t="shared" si="668"/>
        <v>0</v>
      </c>
      <c r="J5314">
        <v>7977</v>
      </c>
      <c r="K5314" s="367">
        <f t="shared" si="669"/>
        <v>5697.8571428571431</v>
      </c>
      <c r="L5314" s="607">
        <v>0.62</v>
      </c>
      <c r="M5314">
        <v>2.8000000000000003</v>
      </c>
      <c r="N5314" s="381">
        <v>28</v>
      </c>
      <c r="O5314">
        <v>8</v>
      </c>
      <c r="P5314" t="s">
        <v>515</v>
      </c>
      <c r="Q5314" s="97">
        <f t="shared" si="670"/>
        <v>247</v>
      </c>
      <c r="R5314" t="str">
        <f t="shared" si="671"/>
        <v/>
      </c>
    </row>
    <row r="5315" spans="3:18">
      <c r="C5315" t="str">
        <f t="shared" si="672"/>
        <v>NL</v>
      </c>
      <c r="D5315">
        <v>248</v>
      </c>
      <c r="E5315">
        <v>125</v>
      </c>
      <c r="F5315" s="366">
        <f t="shared" si="666"/>
        <v>2712.5</v>
      </c>
      <c r="G5315" s="97">
        <v>3071</v>
      </c>
      <c r="H5315" s="367">
        <f t="shared" si="667"/>
        <v>5783.5</v>
      </c>
      <c r="I5315" s="368">
        <f t="shared" si="668"/>
        <v>0</v>
      </c>
      <c r="J5315">
        <v>10659</v>
      </c>
      <c r="K5315" s="367">
        <f t="shared" si="669"/>
        <v>7613.5714285714284</v>
      </c>
      <c r="L5315" s="607">
        <v>0.51</v>
      </c>
      <c r="M5315">
        <v>1.7000000000000002</v>
      </c>
      <c r="N5315" s="381">
        <v>28</v>
      </c>
      <c r="O5315">
        <v>9</v>
      </c>
      <c r="P5315" t="s">
        <v>515</v>
      </c>
      <c r="Q5315" s="97" t="str">
        <f t="shared" si="670"/>
        <v/>
      </c>
      <c r="R5315" t="str">
        <f t="shared" si="671"/>
        <v/>
      </c>
    </row>
    <row r="5316" spans="3:18">
      <c r="C5316" t="str">
        <f t="shared" si="672"/>
        <v/>
      </c>
      <c r="D5316">
        <v>249</v>
      </c>
      <c r="E5316">
        <v>125</v>
      </c>
      <c r="F5316" s="366">
        <f t="shared" si="666"/>
        <v>2712.5</v>
      </c>
      <c r="G5316" s="97">
        <v>3113</v>
      </c>
      <c r="H5316" s="367">
        <f t="shared" si="667"/>
        <v>5825.5</v>
      </c>
      <c r="I5316" s="368">
        <f t="shared" si="668"/>
        <v>0</v>
      </c>
      <c r="J5316">
        <v>10805</v>
      </c>
      <c r="K5316" s="367">
        <f t="shared" si="669"/>
        <v>7717.8571428571431</v>
      </c>
      <c r="L5316" s="607">
        <v>0.43</v>
      </c>
      <c r="M5316">
        <v>3.7</v>
      </c>
      <c r="N5316" s="381">
        <v>28</v>
      </c>
      <c r="O5316">
        <v>10</v>
      </c>
      <c r="P5316" t="s">
        <v>515</v>
      </c>
      <c r="Q5316" s="97" t="str">
        <f t="shared" si="670"/>
        <v/>
      </c>
      <c r="R5316" t="str">
        <f t="shared" si="671"/>
        <v/>
      </c>
    </row>
    <row r="5317" spans="3:18">
      <c r="C5317" t="str">
        <f t="shared" si="672"/>
        <v>NL</v>
      </c>
      <c r="D5317">
        <v>250</v>
      </c>
      <c r="E5317">
        <v>130</v>
      </c>
      <c r="F5317" s="366">
        <f t="shared" si="666"/>
        <v>2821</v>
      </c>
      <c r="G5317" s="97">
        <v>2986</v>
      </c>
      <c r="H5317" s="367">
        <f t="shared" si="667"/>
        <v>5807</v>
      </c>
      <c r="I5317" s="368">
        <f t="shared" si="668"/>
        <v>0</v>
      </c>
      <c r="J5317">
        <v>10367</v>
      </c>
      <c r="K5317" s="367">
        <f t="shared" si="669"/>
        <v>7405</v>
      </c>
      <c r="L5317" s="607">
        <v>0.84</v>
      </c>
      <c r="M5317">
        <v>1.3</v>
      </c>
      <c r="N5317" s="381">
        <v>28</v>
      </c>
      <c r="O5317">
        <v>7</v>
      </c>
      <c r="P5317" t="s">
        <v>515</v>
      </c>
      <c r="Q5317" s="97" t="str">
        <f t="shared" si="670"/>
        <v/>
      </c>
      <c r="R5317" t="str">
        <f t="shared" si="671"/>
        <v/>
      </c>
    </row>
    <row r="5318" spans="3:18">
      <c r="C5318" t="str">
        <f t="shared" si="672"/>
        <v/>
      </c>
      <c r="D5318">
        <v>251</v>
      </c>
      <c r="E5318">
        <v>130</v>
      </c>
      <c r="F5318" s="366">
        <f t="shared" si="666"/>
        <v>2821</v>
      </c>
      <c r="G5318" s="97">
        <v>2371</v>
      </c>
      <c r="H5318" s="367">
        <f t="shared" si="667"/>
        <v>5192</v>
      </c>
      <c r="I5318" s="368">
        <f t="shared" si="668"/>
        <v>0</v>
      </c>
      <c r="J5318">
        <v>8229</v>
      </c>
      <c r="K5318" s="367">
        <f t="shared" si="669"/>
        <v>5877.8571428571431</v>
      </c>
      <c r="L5318" s="607">
        <v>0.67</v>
      </c>
      <c r="M5318">
        <v>2.8000000000000003</v>
      </c>
      <c r="N5318" s="381">
        <v>28</v>
      </c>
      <c r="O5318">
        <v>8</v>
      </c>
      <c r="P5318" t="s">
        <v>515</v>
      </c>
      <c r="Q5318" s="97">
        <f t="shared" si="670"/>
        <v>251</v>
      </c>
      <c r="R5318" t="str">
        <f t="shared" si="671"/>
        <v/>
      </c>
    </row>
    <row r="5319" spans="3:18">
      <c r="C5319" t="str">
        <f t="shared" si="672"/>
        <v>NL</v>
      </c>
      <c r="D5319">
        <v>252</v>
      </c>
      <c r="E5319">
        <v>130</v>
      </c>
      <c r="F5319" s="366">
        <f t="shared" si="666"/>
        <v>2821</v>
      </c>
      <c r="G5319" s="97">
        <v>3160</v>
      </c>
      <c r="H5319" s="367">
        <f t="shared" si="667"/>
        <v>5981</v>
      </c>
      <c r="I5319" s="368">
        <f t="shared" si="668"/>
        <v>0</v>
      </c>
      <c r="J5319">
        <v>10971</v>
      </c>
      <c r="K5319" s="367">
        <f t="shared" si="669"/>
        <v>7836.4285714285716</v>
      </c>
      <c r="L5319" s="607">
        <v>0.55000000000000004</v>
      </c>
      <c r="M5319">
        <v>1.7000000000000002</v>
      </c>
      <c r="N5319" s="381">
        <v>28</v>
      </c>
      <c r="O5319">
        <v>9</v>
      </c>
      <c r="P5319" t="s">
        <v>515</v>
      </c>
      <c r="Q5319" s="97" t="str">
        <f t="shared" si="670"/>
        <v/>
      </c>
      <c r="R5319" t="str">
        <f t="shared" si="671"/>
        <v/>
      </c>
    </row>
    <row r="5320" spans="3:18">
      <c r="C5320" t="str">
        <f t="shared" si="672"/>
        <v/>
      </c>
      <c r="D5320">
        <v>253</v>
      </c>
      <c r="E5320">
        <v>130</v>
      </c>
      <c r="F5320" s="366">
        <f t="shared" si="666"/>
        <v>2821</v>
      </c>
      <c r="G5320" s="97">
        <v>3212</v>
      </c>
      <c r="H5320" s="367">
        <f t="shared" si="667"/>
        <v>6033</v>
      </c>
      <c r="I5320" s="368">
        <f t="shared" si="668"/>
        <v>0</v>
      </c>
      <c r="J5320">
        <v>11151</v>
      </c>
      <c r="K5320" s="367">
        <f t="shared" si="669"/>
        <v>7965</v>
      </c>
      <c r="L5320" s="607">
        <v>0.47000000000000003</v>
      </c>
      <c r="M5320">
        <v>3.7</v>
      </c>
      <c r="N5320" s="381">
        <v>28</v>
      </c>
      <c r="O5320">
        <v>10</v>
      </c>
      <c r="P5320" t="s">
        <v>515</v>
      </c>
      <c r="Q5320" s="97" t="str">
        <f t="shared" si="670"/>
        <v/>
      </c>
      <c r="R5320" t="str">
        <f t="shared" si="671"/>
        <v/>
      </c>
    </row>
    <row r="5321" spans="3:18">
      <c r="C5321" t="str">
        <f t="shared" si="672"/>
        <v>NL</v>
      </c>
      <c r="D5321">
        <v>254</v>
      </c>
      <c r="E5321">
        <v>135</v>
      </c>
      <c r="F5321" s="366">
        <f t="shared" si="666"/>
        <v>2929.5</v>
      </c>
      <c r="G5321" s="97">
        <v>3074</v>
      </c>
      <c r="H5321" s="367">
        <f t="shared" si="667"/>
        <v>6003.5</v>
      </c>
      <c r="I5321" s="368">
        <f t="shared" si="668"/>
        <v>0</v>
      </c>
      <c r="J5321">
        <v>10672</v>
      </c>
      <c r="K5321" s="367">
        <f t="shared" si="669"/>
        <v>7622.8571428571431</v>
      </c>
      <c r="L5321" s="607">
        <v>0.91</v>
      </c>
      <c r="M5321">
        <v>1.3</v>
      </c>
      <c r="N5321" s="381">
        <v>29</v>
      </c>
      <c r="O5321">
        <v>7</v>
      </c>
      <c r="P5321" t="s">
        <v>515</v>
      </c>
      <c r="Q5321" s="97" t="str">
        <f t="shared" si="670"/>
        <v/>
      </c>
      <c r="R5321" t="str">
        <f t="shared" si="671"/>
        <v/>
      </c>
    </row>
    <row r="5322" spans="3:18">
      <c r="C5322" t="str">
        <f t="shared" si="672"/>
        <v/>
      </c>
      <c r="D5322">
        <v>255</v>
      </c>
      <c r="E5322">
        <v>135</v>
      </c>
      <c r="F5322" s="366">
        <f t="shared" si="666"/>
        <v>2929.5</v>
      </c>
      <c r="G5322" s="97">
        <v>2443</v>
      </c>
      <c r="H5322" s="367">
        <f t="shared" si="667"/>
        <v>5372.5</v>
      </c>
      <c r="I5322" s="368">
        <f t="shared" si="668"/>
        <v>0</v>
      </c>
      <c r="J5322">
        <v>8482</v>
      </c>
      <c r="K5322" s="367">
        <f t="shared" si="669"/>
        <v>6058.5714285714284</v>
      </c>
      <c r="L5322" s="607">
        <v>0.72</v>
      </c>
      <c r="M5322">
        <v>2.8000000000000003</v>
      </c>
      <c r="N5322" s="381">
        <v>29</v>
      </c>
      <c r="O5322">
        <v>8</v>
      </c>
      <c r="P5322" t="s">
        <v>515</v>
      </c>
      <c r="Q5322" s="97" t="str">
        <f t="shared" si="670"/>
        <v/>
      </c>
      <c r="R5322" t="str">
        <f t="shared" si="671"/>
        <v/>
      </c>
    </row>
    <row r="5323" spans="3:18">
      <c r="C5323" t="str">
        <f t="shared" si="672"/>
        <v>NL</v>
      </c>
      <c r="D5323">
        <v>256</v>
      </c>
      <c r="E5323">
        <v>135</v>
      </c>
      <c r="F5323" s="366">
        <f t="shared" si="666"/>
        <v>2929.5</v>
      </c>
      <c r="G5323" s="97">
        <v>3246</v>
      </c>
      <c r="H5323" s="367">
        <f t="shared" si="667"/>
        <v>6175.5</v>
      </c>
      <c r="I5323" s="368">
        <f t="shared" si="668"/>
        <v>0</v>
      </c>
      <c r="J5323">
        <v>11267</v>
      </c>
      <c r="K5323" s="367">
        <f t="shared" si="669"/>
        <v>8047.8571428571431</v>
      </c>
      <c r="L5323" s="607">
        <v>0.59</v>
      </c>
      <c r="M5323">
        <v>1.7000000000000002</v>
      </c>
      <c r="N5323" s="381">
        <v>29</v>
      </c>
      <c r="O5323">
        <v>9</v>
      </c>
      <c r="P5323" t="s">
        <v>515</v>
      </c>
      <c r="Q5323" s="97" t="str">
        <f t="shared" si="670"/>
        <v/>
      </c>
      <c r="R5323" t="str">
        <f t="shared" si="671"/>
        <v/>
      </c>
    </row>
    <row r="5324" spans="3:18">
      <c r="C5324" t="str">
        <f t="shared" si="672"/>
        <v/>
      </c>
      <c r="D5324">
        <v>257</v>
      </c>
      <c r="E5324">
        <v>135</v>
      </c>
      <c r="F5324" s="366">
        <f t="shared" si="666"/>
        <v>2929.5</v>
      </c>
      <c r="G5324" s="97">
        <v>3312</v>
      </c>
      <c r="H5324" s="367">
        <f t="shared" si="667"/>
        <v>6241.5</v>
      </c>
      <c r="I5324" s="368">
        <f t="shared" si="668"/>
        <v>0</v>
      </c>
      <c r="J5324">
        <v>11497</v>
      </c>
      <c r="K5324" s="367">
        <f t="shared" si="669"/>
        <v>8212.1428571428569</v>
      </c>
      <c r="L5324" s="607">
        <v>0.5</v>
      </c>
      <c r="M5324">
        <v>3.7</v>
      </c>
      <c r="N5324" s="381">
        <v>29</v>
      </c>
      <c r="O5324">
        <v>10</v>
      </c>
      <c r="P5324" t="s">
        <v>515</v>
      </c>
      <c r="Q5324" s="97" t="str">
        <f t="shared" si="670"/>
        <v/>
      </c>
      <c r="R5324" t="str">
        <f t="shared" si="671"/>
        <v/>
      </c>
    </row>
    <row r="5325" spans="3:18">
      <c r="C5325" t="str">
        <f t="shared" si="672"/>
        <v>NL</v>
      </c>
      <c r="D5325">
        <v>258</v>
      </c>
      <c r="E5325">
        <v>140</v>
      </c>
      <c r="F5325" s="366">
        <f t="shared" ref="F5325:F5350" si="673">1.085*($A$2-$B$2)*E5325*$T$7</f>
        <v>3038</v>
      </c>
      <c r="G5325" s="97">
        <v>3153</v>
      </c>
      <c r="H5325" s="367">
        <f t="shared" ref="H5325:H5350" si="674">(G5325*$U$7)+F5325</f>
        <v>6191</v>
      </c>
      <c r="I5325" s="368">
        <f t="shared" ref="I5325:I5350" si="675">1.085*($C$2-$D$2)*E5325*$T$7</f>
        <v>0</v>
      </c>
      <c r="J5325">
        <v>10944</v>
      </c>
      <c r="K5325" s="367">
        <f t="shared" ref="K5325:K5350" si="676">(J5325*$V$7)-I5325</f>
        <v>7817.1428571428569</v>
      </c>
      <c r="L5325" s="607">
        <v>0.98</v>
      </c>
      <c r="M5325">
        <v>1.3</v>
      </c>
      <c r="N5325" s="381">
        <v>29</v>
      </c>
      <c r="O5325">
        <v>7</v>
      </c>
      <c r="P5325" t="s">
        <v>515</v>
      </c>
      <c r="Q5325" s="97" t="str">
        <f t="shared" ref="Q5325:Q5350" si="677">IF(AND(H5325+1&gt;$E$4,L5325&lt;$L$4+0.01,M5325&lt;$M$4+0.01,K5325+1&gt;$F$4,E5325+1&gt;$J$4,N5325&lt;$K$4+1,O5325&lt;$P$4+1,C5325=""),D5325,"")</f>
        <v/>
      </c>
      <c r="R5325" t="str">
        <f t="shared" ref="R5325:R5350" si="678">IF(Q5325="","",IF(AND(O5325&lt;$X$37,E5325&gt;$U$37,E5325&lt;$Q$4+$U$37+1),D5325,""))</f>
        <v/>
      </c>
    </row>
    <row r="5326" spans="3:18">
      <c r="C5326" t="str">
        <f t="shared" si="672"/>
        <v/>
      </c>
      <c r="D5326">
        <v>259</v>
      </c>
      <c r="E5326">
        <v>140</v>
      </c>
      <c r="F5326" s="366">
        <f t="shared" si="673"/>
        <v>3038</v>
      </c>
      <c r="G5326" s="97">
        <v>2516</v>
      </c>
      <c r="H5326" s="367">
        <f t="shared" si="674"/>
        <v>5554</v>
      </c>
      <c r="I5326" s="368">
        <f t="shared" si="675"/>
        <v>0</v>
      </c>
      <c r="J5326">
        <v>8735</v>
      </c>
      <c r="K5326" s="367">
        <f t="shared" si="676"/>
        <v>6239.2857142857147</v>
      </c>
      <c r="L5326" s="607">
        <v>0.78</v>
      </c>
      <c r="M5326">
        <v>2.8000000000000003</v>
      </c>
      <c r="N5326" s="381">
        <v>29</v>
      </c>
      <c r="O5326">
        <v>8</v>
      </c>
      <c r="P5326" t="s">
        <v>515</v>
      </c>
      <c r="Q5326" s="97" t="str">
        <f t="shared" si="677"/>
        <v/>
      </c>
      <c r="R5326" t="str">
        <f t="shared" si="678"/>
        <v/>
      </c>
    </row>
    <row r="5327" spans="3:18">
      <c r="C5327" t="str">
        <f t="shared" si="672"/>
        <v>NL</v>
      </c>
      <c r="D5327">
        <v>260</v>
      </c>
      <c r="E5327">
        <v>140</v>
      </c>
      <c r="F5327" s="366">
        <f t="shared" si="673"/>
        <v>3038</v>
      </c>
      <c r="G5327" s="97">
        <v>3331</v>
      </c>
      <c r="H5327" s="367">
        <f t="shared" si="674"/>
        <v>6369</v>
      </c>
      <c r="I5327" s="368">
        <f t="shared" si="675"/>
        <v>0</v>
      </c>
      <c r="J5327">
        <v>11563</v>
      </c>
      <c r="K5327" s="367">
        <f t="shared" si="676"/>
        <v>8259.2857142857138</v>
      </c>
      <c r="L5327" s="607">
        <v>0.64</v>
      </c>
      <c r="M5327">
        <v>1.7000000000000002</v>
      </c>
      <c r="N5327" s="381">
        <v>29</v>
      </c>
      <c r="O5327">
        <v>9</v>
      </c>
      <c r="P5327" t="s">
        <v>515</v>
      </c>
      <c r="Q5327" s="97" t="str">
        <f t="shared" si="677"/>
        <v/>
      </c>
      <c r="R5327" t="str">
        <f t="shared" si="678"/>
        <v/>
      </c>
    </row>
    <row r="5328" spans="3:18">
      <c r="C5328" t="str">
        <f t="shared" si="672"/>
        <v/>
      </c>
      <c r="D5328">
        <v>261</v>
      </c>
      <c r="E5328">
        <v>140</v>
      </c>
      <c r="F5328" s="366">
        <f t="shared" si="673"/>
        <v>3038</v>
      </c>
      <c r="G5328" s="97">
        <v>3412</v>
      </c>
      <c r="H5328" s="367">
        <f t="shared" si="674"/>
        <v>6450</v>
      </c>
      <c r="I5328" s="368">
        <f t="shared" si="675"/>
        <v>0</v>
      </c>
      <c r="J5328">
        <v>11842</v>
      </c>
      <c r="K5328" s="367">
        <f t="shared" si="676"/>
        <v>8458.5714285714294</v>
      </c>
      <c r="L5328" s="607">
        <v>0.54</v>
      </c>
      <c r="M5328">
        <v>3.7</v>
      </c>
      <c r="N5328" s="381">
        <v>29</v>
      </c>
      <c r="O5328">
        <v>10</v>
      </c>
      <c r="P5328" t="s">
        <v>515</v>
      </c>
      <c r="Q5328" s="97" t="str">
        <f t="shared" si="677"/>
        <v/>
      </c>
      <c r="R5328" t="str">
        <f t="shared" si="678"/>
        <v/>
      </c>
    </row>
    <row r="5329" spans="3:18">
      <c r="C5329" t="str">
        <f t="shared" si="672"/>
        <v/>
      </c>
      <c r="D5329">
        <v>262</v>
      </c>
      <c r="E5329">
        <v>145</v>
      </c>
      <c r="F5329" s="366">
        <f t="shared" si="673"/>
        <v>3146.5</v>
      </c>
      <c r="G5329" s="97">
        <v>2589</v>
      </c>
      <c r="H5329" s="367">
        <f t="shared" si="674"/>
        <v>5735.5</v>
      </c>
      <c r="I5329" s="368">
        <f t="shared" si="675"/>
        <v>0</v>
      </c>
      <c r="J5329">
        <v>8988</v>
      </c>
      <c r="K5329" s="367">
        <f t="shared" si="676"/>
        <v>6420</v>
      </c>
      <c r="L5329" s="607">
        <v>0.83</v>
      </c>
      <c r="M5329">
        <v>2.8000000000000003</v>
      </c>
      <c r="N5329" s="381">
        <v>30</v>
      </c>
      <c r="O5329">
        <v>8</v>
      </c>
      <c r="P5329" t="s">
        <v>515</v>
      </c>
      <c r="Q5329" s="97" t="str">
        <f t="shared" si="677"/>
        <v/>
      </c>
      <c r="R5329" t="str">
        <f t="shared" si="678"/>
        <v/>
      </c>
    </row>
    <row r="5330" spans="3:18">
      <c r="C5330" t="str">
        <f t="shared" si="672"/>
        <v>NL</v>
      </c>
      <c r="D5330">
        <v>263</v>
      </c>
      <c r="E5330">
        <v>145</v>
      </c>
      <c r="F5330" s="366">
        <f t="shared" si="673"/>
        <v>3146.5</v>
      </c>
      <c r="G5330" s="97">
        <v>3416</v>
      </c>
      <c r="H5330" s="367">
        <f t="shared" si="674"/>
        <v>6562.5</v>
      </c>
      <c r="I5330" s="368">
        <f t="shared" si="675"/>
        <v>0</v>
      </c>
      <c r="J5330">
        <v>11859</v>
      </c>
      <c r="K5330" s="367">
        <f t="shared" si="676"/>
        <v>8470.7142857142862</v>
      </c>
      <c r="L5330" s="607">
        <v>0.68</v>
      </c>
      <c r="M5330">
        <v>1.7000000000000002</v>
      </c>
      <c r="N5330" s="381">
        <v>30</v>
      </c>
      <c r="O5330">
        <v>9</v>
      </c>
      <c r="P5330" t="s">
        <v>515</v>
      </c>
      <c r="Q5330" s="97" t="str">
        <f t="shared" si="677"/>
        <v/>
      </c>
      <c r="R5330" t="str">
        <f t="shared" si="678"/>
        <v/>
      </c>
    </row>
    <row r="5331" spans="3:18">
      <c r="C5331" t="str">
        <f t="shared" si="672"/>
        <v/>
      </c>
      <c r="D5331">
        <v>264</v>
      </c>
      <c r="E5331">
        <v>145</v>
      </c>
      <c r="F5331" s="366">
        <f t="shared" si="673"/>
        <v>3146.5</v>
      </c>
      <c r="G5331" s="97">
        <v>3500</v>
      </c>
      <c r="H5331" s="367">
        <f t="shared" si="674"/>
        <v>6646.5</v>
      </c>
      <c r="I5331" s="368">
        <f t="shared" si="675"/>
        <v>0</v>
      </c>
      <c r="J5331">
        <v>12149</v>
      </c>
      <c r="K5331" s="367">
        <f t="shared" si="676"/>
        <v>8677.8571428571431</v>
      </c>
      <c r="L5331" s="607">
        <v>0.57999999999999996</v>
      </c>
      <c r="M5331">
        <v>3.7</v>
      </c>
      <c r="N5331" s="381">
        <v>30</v>
      </c>
      <c r="O5331">
        <v>10</v>
      </c>
      <c r="P5331" t="s">
        <v>515</v>
      </c>
      <c r="Q5331" s="97" t="str">
        <f t="shared" si="677"/>
        <v/>
      </c>
      <c r="R5331" t="str">
        <f t="shared" si="678"/>
        <v/>
      </c>
    </row>
    <row r="5332" spans="3:18">
      <c r="C5332" t="str">
        <f t="shared" si="672"/>
        <v/>
      </c>
      <c r="D5332">
        <v>265</v>
      </c>
      <c r="E5332">
        <v>150</v>
      </c>
      <c r="F5332" s="366">
        <f t="shared" si="673"/>
        <v>3255</v>
      </c>
      <c r="G5332" s="97">
        <v>2662</v>
      </c>
      <c r="H5332" s="367">
        <f t="shared" si="674"/>
        <v>5917</v>
      </c>
      <c r="I5332" s="368">
        <f t="shared" si="675"/>
        <v>0</v>
      </c>
      <c r="J5332">
        <v>9240</v>
      </c>
      <c r="K5332" s="367">
        <f t="shared" si="676"/>
        <v>6600</v>
      </c>
      <c r="L5332" s="607">
        <v>0.89</v>
      </c>
      <c r="M5332">
        <v>2.8000000000000003</v>
      </c>
      <c r="N5332" s="381">
        <v>30</v>
      </c>
      <c r="O5332">
        <v>8</v>
      </c>
      <c r="P5332" t="s">
        <v>515</v>
      </c>
      <c r="Q5332" s="97" t="str">
        <f t="shared" si="677"/>
        <v/>
      </c>
      <c r="R5332" t="str">
        <f t="shared" si="678"/>
        <v/>
      </c>
    </row>
    <row r="5333" spans="3:18">
      <c r="C5333" t="str">
        <f t="shared" si="672"/>
        <v>NL</v>
      </c>
      <c r="D5333">
        <v>266</v>
      </c>
      <c r="E5333">
        <v>150</v>
      </c>
      <c r="F5333" s="366">
        <f t="shared" si="673"/>
        <v>3255</v>
      </c>
      <c r="G5333" s="97">
        <v>3502</v>
      </c>
      <c r="H5333" s="367">
        <f t="shared" si="674"/>
        <v>6757</v>
      </c>
      <c r="I5333" s="368">
        <f t="shared" si="675"/>
        <v>0</v>
      </c>
      <c r="J5333">
        <v>12155</v>
      </c>
      <c r="K5333" s="367">
        <f t="shared" si="676"/>
        <v>8682.1428571428569</v>
      </c>
      <c r="L5333" s="607">
        <v>0.73</v>
      </c>
      <c r="M5333">
        <v>1.7000000000000002</v>
      </c>
      <c r="N5333" s="381">
        <v>30</v>
      </c>
      <c r="O5333">
        <v>9</v>
      </c>
      <c r="P5333" t="s">
        <v>515</v>
      </c>
      <c r="Q5333" s="97" t="str">
        <f t="shared" si="677"/>
        <v/>
      </c>
      <c r="R5333" t="str">
        <f t="shared" si="678"/>
        <v/>
      </c>
    </row>
    <row r="5334" spans="3:18">
      <c r="C5334" t="str">
        <f t="shared" si="672"/>
        <v/>
      </c>
      <c r="D5334">
        <v>267</v>
      </c>
      <c r="E5334">
        <v>150</v>
      </c>
      <c r="F5334" s="366">
        <f t="shared" si="673"/>
        <v>3255</v>
      </c>
      <c r="G5334" s="97">
        <v>3584</v>
      </c>
      <c r="H5334" s="367">
        <f t="shared" si="674"/>
        <v>6839</v>
      </c>
      <c r="I5334" s="368">
        <f t="shared" si="675"/>
        <v>0</v>
      </c>
      <c r="J5334">
        <v>12440</v>
      </c>
      <c r="K5334" s="367">
        <f t="shared" si="676"/>
        <v>8885.7142857142862</v>
      </c>
      <c r="L5334" s="607">
        <v>0.62</v>
      </c>
      <c r="M5334">
        <v>3.7</v>
      </c>
      <c r="N5334" s="381">
        <v>30</v>
      </c>
      <c r="O5334">
        <v>10</v>
      </c>
      <c r="P5334" t="s">
        <v>515</v>
      </c>
      <c r="Q5334" s="97" t="str">
        <f t="shared" si="677"/>
        <v/>
      </c>
      <c r="R5334" t="str">
        <f t="shared" si="678"/>
        <v/>
      </c>
    </row>
    <row r="5335" spans="3:18">
      <c r="C5335" t="str">
        <f t="shared" si="672"/>
        <v/>
      </c>
      <c r="D5335">
        <v>268</v>
      </c>
      <c r="E5335">
        <v>155</v>
      </c>
      <c r="F5335" s="366">
        <f t="shared" si="673"/>
        <v>3363.5</v>
      </c>
      <c r="G5335" s="97">
        <v>2735</v>
      </c>
      <c r="H5335" s="367">
        <f t="shared" si="674"/>
        <v>6098.5</v>
      </c>
      <c r="I5335" s="368">
        <f t="shared" si="675"/>
        <v>0</v>
      </c>
      <c r="J5335">
        <v>9493</v>
      </c>
      <c r="K5335" s="367">
        <f t="shared" si="676"/>
        <v>6780.7142857142862</v>
      </c>
      <c r="L5335" s="607">
        <v>0.95</v>
      </c>
      <c r="M5335">
        <v>2.8000000000000003</v>
      </c>
      <c r="N5335" s="381">
        <v>30</v>
      </c>
      <c r="O5335">
        <v>8</v>
      </c>
      <c r="P5335" t="s">
        <v>515</v>
      </c>
      <c r="Q5335" s="97" t="str">
        <f t="shared" si="677"/>
        <v/>
      </c>
      <c r="R5335" t="str">
        <f t="shared" si="678"/>
        <v/>
      </c>
    </row>
    <row r="5336" spans="3:18">
      <c r="C5336" t="str">
        <f t="shared" si="672"/>
        <v>NL</v>
      </c>
      <c r="D5336">
        <v>269</v>
      </c>
      <c r="E5336">
        <v>155</v>
      </c>
      <c r="F5336" s="366">
        <f t="shared" si="673"/>
        <v>3363.5</v>
      </c>
      <c r="G5336" s="97">
        <v>3587</v>
      </c>
      <c r="H5336" s="367">
        <f t="shared" si="674"/>
        <v>6950.5</v>
      </c>
      <c r="I5336" s="368">
        <f t="shared" si="675"/>
        <v>0</v>
      </c>
      <c r="J5336">
        <v>12451</v>
      </c>
      <c r="K5336" s="367">
        <f t="shared" si="676"/>
        <v>8893.5714285714294</v>
      </c>
      <c r="L5336" s="607">
        <v>0.78</v>
      </c>
      <c r="M5336">
        <v>1.7000000000000002</v>
      </c>
      <c r="N5336" s="381">
        <v>31</v>
      </c>
      <c r="O5336">
        <v>9</v>
      </c>
      <c r="P5336" t="s">
        <v>515</v>
      </c>
      <c r="Q5336" s="97" t="str">
        <f t="shared" si="677"/>
        <v/>
      </c>
      <c r="R5336" t="str">
        <f t="shared" si="678"/>
        <v/>
      </c>
    </row>
    <row r="5337" spans="3:18">
      <c r="C5337" t="str">
        <f t="shared" si="672"/>
        <v/>
      </c>
      <c r="D5337">
        <v>270</v>
      </c>
      <c r="E5337">
        <v>155</v>
      </c>
      <c r="F5337" s="366">
        <f t="shared" si="673"/>
        <v>3363.5</v>
      </c>
      <c r="G5337" s="97">
        <v>3668</v>
      </c>
      <c r="H5337" s="367">
        <f t="shared" si="674"/>
        <v>7031.5</v>
      </c>
      <c r="I5337" s="368">
        <f t="shared" si="675"/>
        <v>0</v>
      </c>
      <c r="J5337">
        <v>12732</v>
      </c>
      <c r="K5337" s="367">
        <f t="shared" si="676"/>
        <v>9094.2857142857138</v>
      </c>
      <c r="L5337" s="607">
        <v>0.66</v>
      </c>
      <c r="M5337">
        <v>3.7</v>
      </c>
      <c r="N5337" s="381">
        <v>31</v>
      </c>
      <c r="O5337">
        <v>10</v>
      </c>
      <c r="P5337" t="s">
        <v>515</v>
      </c>
      <c r="Q5337" s="97" t="str">
        <f t="shared" si="677"/>
        <v/>
      </c>
      <c r="R5337" t="str">
        <f t="shared" si="678"/>
        <v/>
      </c>
    </row>
    <row r="5338" spans="3:18">
      <c r="C5338" t="str">
        <f t="shared" ref="C5338:C5352" si="679">IF(OR($O$4=0,O5338-$O$4=0),IF(AND(ISEVEN(O5338)=FALSE,$N$4="Even"),"NL",""),"NL")</f>
        <v/>
      </c>
      <c r="D5338">
        <v>271</v>
      </c>
      <c r="E5338">
        <v>160</v>
      </c>
      <c r="F5338" s="366">
        <f t="shared" si="673"/>
        <v>3472</v>
      </c>
      <c r="G5338" s="97">
        <v>2799</v>
      </c>
      <c r="H5338" s="367">
        <f t="shared" si="674"/>
        <v>6271</v>
      </c>
      <c r="I5338" s="368">
        <f t="shared" si="675"/>
        <v>0</v>
      </c>
      <c r="J5338">
        <v>9718</v>
      </c>
      <c r="K5338" s="367">
        <f t="shared" si="676"/>
        <v>6941.4285714285716</v>
      </c>
      <c r="L5338" s="607">
        <v>1.01</v>
      </c>
      <c r="M5338">
        <v>2.8000000000000003</v>
      </c>
      <c r="N5338" s="381">
        <v>31</v>
      </c>
      <c r="O5338">
        <v>8</v>
      </c>
      <c r="P5338" t="s">
        <v>515</v>
      </c>
      <c r="Q5338" s="97" t="str">
        <f t="shared" si="677"/>
        <v/>
      </c>
      <c r="R5338" t="str">
        <f t="shared" si="678"/>
        <v/>
      </c>
    </row>
    <row r="5339" spans="3:18">
      <c r="C5339" t="str">
        <f t="shared" si="679"/>
        <v>NL</v>
      </c>
      <c r="D5339">
        <v>272</v>
      </c>
      <c r="E5339">
        <v>160</v>
      </c>
      <c r="F5339" s="366">
        <f t="shared" si="673"/>
        <v>3472</v>
      </c>
      <c r="G5339" s="97">
        <v>3672</v>
      </c>
      <c r="H5339" s="367">
        <f t="shared" si="674"/>
        <v>7144</v>
      </c>
      <c r="I5339" s="368">
        <f t="shared" si="675"/>
        <v>0</v>
      </c>
      <c r="J5339">
        <v>12747</v>
      </c>
      <c r="K5339" s="367">
        <f t="shared" si="676"/>
        <v>9105</v>
      </c>
      <c r="L5339" s="607">
        <v>0.83</v>
      </c>
      <c r="M5339">
        <v>1.7000000000000002</v>
      </c>
      <c r="N5339" s="381">
        <v>31</v>
      </c>
      <c r="O5339">
        <v>9</v>
      </c>
      <c r="P5339" t="s">
        <v>515</v>
      </c>
      <c r="Q5339" s="97" t="str">
        <f t="shared" si="677"/>
        <v/>
      </c>
      <c r="R5339" t="str">
        <f t="shared" si="678"/>
        <v/>
      </c>
    </row>
    <row r="5340" spans="3:18">
      <c r="C5340" t="str">
        <f t="shared" si="679"/>
        <v/>
      </c>
      <c r="D5340">
        <v>273</v>
      </c>
      <c r="E5340">
        <v>160</v>
      </c>
      <c r="F5340" s="366">
        <f t="shared" si="673"/>
        <v>3472</v>
      </c>
      <c r="G5340" s="97">
        <v>3752</v>
      </c>
      <c r="H5340" s="367">
        <f t="shared" si="674"/>
        <v>7224</v>
      </c>
      <c r="I5340" s="368">
        <f t="shared" si="675"/>
        <v>0</v>
      </c>
      <c r="J5340">
        <v>13023</v>
      </c>
      <c r="K5340" s="367">
        <f t="shared" si="676"/>
        <v>9302.1428571428569</v>
      </c>
      <c r="L5340" s="607">
        <v>0.71</v>
      </c>
      <c r="M5340">
        <v>3.7</v>
      </c>
      <c r="N5340" s="381">
        <v>31</v>
      </c>
      <c r="O5340">
        <v>10</v>
      </c>
      <c r="P5340" t="s">
        <v>515</v>
      </c>
      <c r="Q5340" s="97" t="str">
        <f t="shared" si="677"/>
        <v/>
      </c>
      <c r="R5340" t="str">
        <f t="shared" si="678"/>
        <v/>
      </c>
    </row>
    <row r="5341" spans="3:18">
      <c r="C5341" t="str">
        <f t="shared" si="679"/>
        <v>NL</v>
      </c>
      <c r="D5341">
        <v>274</v>
      </c>
      <c r="E5341">
        <v>165</v>
      </c>
      <c r="F5341" s="366">
        <f t="shared" si="673"/>
        <v>3580.5</v>
      </c>
      <c r="G5341" s="97">
        <v>3757</v>
      </c>
      <c r="H5341" s="367">
        <f t="shared" si="674"/>
        <v>7337.5</v>
      </c>
      <c r="I5341" s="368">
        <f t="shared" si="675"/>
        <v>0</v>
      </c>
      <c r="J5341">
        <v>13042</v>
      </c>
      <c r="K5341" s="367">
        <f t="shared" si="676"/>
        <v>9315.7142857142862</v>
      </c>
      <c r="L5341" s="607">
        <v>0.89</v>
      </c>
      <c r="M5341">
        <v>1.7000000000000002</v>
      </c>
      <c r="N5341" s="381">
        <v>31</v>
      </c>
      <c r="O5341">
        <v>9</v>
      </c>
      <c r="P5341" t="s">
        <v>515</v>
      </c>
      <c r="Q5341" s="97" t="str">
        <f t="shared" si="677"/>
        <v/>
      </c>
      <c r="R5341" t="str">
        <f t="shared" si="678"/>
        <v/>
      </c>
    </row>
    <row r="5342" spans="3:18">
      <c r="C5342" t="str">
        <f t="shared" si="679"/>
        <v/>
      </c>
      <c r="D5342">
        <v>275</v>
      </c>
      <c r="E5342">
        <v>165</v>
      </c>
      <c r="F5342" s="366">
        <f t="shared" si="673"/>
        <v>3580.5</v>
      </c>
      <c r="G5342" s="97">
        <v>3836</v>
      </c>
      <c r="H5342" s="367">
        <f t="shared" si="674"/>
        <v>7416.5</v>
      </c>
      <c r="I5342" s="368">
        <f t="shared" si="675"/>
        <v>0</v>
      </c>
      <c r="J5342">
        <v>13314</v>
      </c>
      <c r="K5342" s="367">
        <f t="shared" si="676"/>
        <v>9510</v>
      </c>
      <c r="L5342" s="607">
        <v>0.75</v>
      </c>
      <c r="M5342">
        <v>3.7</v>
      </c>
      <c r="N5342" s="381">
        <v>32</v>
      </c>
      <c r="O5342">
        <v>10</v>
      </c>
      <c r="P5342" t="s">
        <v>515</v>
      </c>
      <c r="Q5342" s="97" t="str">
        <f t="shared" si="677"/>
        <v/>
      </c>
      <c r="R5342" t="str">
        <f t="shared" si="678"/>
        <v/>
      </c>
    </row>
    <row r="5343" spans="3:18">
      <c r="C5343" t="str">
        <f t="shared" si="679"/>
        <v>NL</v>
      </c>
      <c r="D5343">
        <v>276</v>
      </c>
      <c r="E5343">
        <v>170</v>
      </c>
      <c r="F5343" s="366">
        <f t="shared" si="673"/>
        <v>3689</v>
      </c>
      <c r="G5343" s="97">
        <v>3843</v>
      </c>
      <c r="H5343" s="367">
        <f t="shared" si="674"/>
        <v>7532</v>
      </c>
      <c r="I5343" s="368">
        <f t="shared" si="675"/>
        <v>0</v>
      </c>
      <c r="J5343">
        <v>13338</v>
      </c>
      <c r="K5343" s="367">
        <f t="shared" si="676"/>
        <v>9527.1428571428569</v>
      </c>
      <c r="L5343" s="607">
        <v>0.94000000000000006</v>
      </c>
      <c r="M5343">
        <v>1.7000000000000002</v>
      </c>
      <c r="N5343" s="381">
        <v>32</v>
      </c>
      <c r="O5343">
        <v>9</v>
      </c>
      <c r="P5343" t="s">
        <v>515</v>
      </c>
      <c r="Q5343" s="97" t="str">
        <f t="shared" si="677"/>
        <v/>
      </c>
      <c r="R5343" t="str">
        <f t="shared" si="678"/>
        <v/>
      </c>
    </row>
    <row r="5344" spans="3:18">
      <c r="C5344" t="str">
        <f t="shared" si="679"/>
        <v/>
      </c>
      <c r="D5344">
        <v>277</v>
      </c>
      <c r="E5344">
        <v>170</v>
      </c>
      <c r="F5344" s="366">
        <f t="shared" si="673"/>
        <v>3689</v>
      </c>
      <c r="G5344" s="97">
        <v>3919</v>
      </c>
      <c r="H5344" s="367">
        <f t="shared" si="674"/>
        <v>7608</v>
      </c>
      <c r="I5344" s="368">
        <f t="shared" si="675"/>
        <v>0</v>
      </c>
      <c r="J5344">
        <v>13605</v>
      </c>
      <c r="K5344" s="367">
        <f t="shared" si="676"/>
        <v>9717.8571428571431</v>
      </c>
      <c r="L5344" s="607">
        <v>0.8</v>
      </c>
      <c r="M5344">
        <v>3.7</v>
      </c>
      <c r="N5344" s="381">
        <v>32</v>
      </c>
      <c r="O5344">
        <v>10</v>
      </c>
      <c r="P5344" t="s">
        <v>515</v>
      </c>
      <c r="Q5344" s="97" t="str">
        <f t="shared" si="677"/>
        <v/>
      </c>
      <c r="R5344" t="str">
        <f t="shared" si="678"/>
        <v/>
      </c>
    </row>
    <row r="5345" spans="2:18">
      <c r="C5345" t="str">
        <f t="shared" si="679"/>
        <v>NL</v>
      </c>
      <c r="D5345">
        <v>278</v>
      </c>
      <c r="E5345">
        <v>175</v>
      </c>
      <c r="F5345" s="366">
        <f t="shared" si="673"/>
        <v>3797.5</v>
      </c>
      <c r="G5345" s="97">
        <v>3928</v>
      </c>
      <c r="H5345" s="367">
        <f t="shared" si="674"/>
        <v>7725.5</v>
      </c>
      <c r="I5345" s="368">
        <f t="shared" si="675"/>
        <v>0</v>
      </c>
      <c r="J5345">
        <v>13634</v>
      </c>
      <c r="K5345" s="367">
        <f t="shared" si="676"/>
        <v>9738.5714285714294</v>
      </c>
      <c r="L5345" s="607">
        <v>1</v>
      </c>
      <c r="M5345">
        <v>1.7000000000000002</v>
      </c>
      <c r="N5345" s="381">
        <v>32</v>
      </c>
      <c r="O5345">
        <v>9</v>
      </c>
      <c r="P5345" t="s">
        <v>515</v>
      </c>
      <c r="Q5345" s="97" t="str">
        <f t="shared" si="677"/>
        <v/>
      </c>
      <c r="R5345" t="str">
        <f t="shared" si="678"/>
        <v/>
      </c>
    </row>
    <row r="5346" spans="2:18">
      <c r="C5346" t="str">
        <f t="shared" si="679"/>
        <v/>
      </c>
      <c r="D5346">
        <v>279</v>
      </c>
      <c r="E5346">
        <v>175</v>
      </c>
      <c r="F5346" s="366">
        <f t="shared" si="673"/>
        <v>3797.5</v>
      </c>
      <c r="G5346" s="97">
        <v>4003</v>
      </c>
      <c r="H5346" s="367">
        <f t="shared" si="674"/>
        <v>7800.5</v>
      </c>
      <c r="I5346" s="368">
        <f t="shared" si="675"/>
        <v>0</v>
      </c>
      <c r="J5346">
        <v>13896</v>
      </c>
      <c r="K5346" s="367">
        <f t="shared" si="676"/>
        <v>9925.7142857142862</v>
      </c>
      <c r="L5346" s="607">
        <v>0.84</v>
      </c>
      <c r="M5346">
        <v>3.7</v>
      </c>
      <c r="N5346" s="381">
        <v>32</v>
      </c>
      <c r="O5346">
        <v>10</v>
      </c>
      <c r="P5346" t="s">
        <v>515</v>
      </c>
      <c r="Q5346" s="97" t="str">
        <f t="shared" si="677"/>
        <v/>
      </c>
      <c r="R5346" t="str">
        <f t="shared" si="678"/>
        <v/>
      </c>
    </row>
    <row r="5347" spans="2:18">
      <c r="C5347" t="str">
        <f t="shared" si="679"/>
        <v/>
      </c>
      <c r="D5347">
        <v>280</v>
      </c>
      <c r="E5347">
        <v>180</v>
      </c>
      <c r="F5347" s="366">
        <f t="shared" si="673"/>
        <v>3906</v>
      </c>
      <c r="G5347" s="97">
        <v>4087</v>
      </c>
      <c r="H5347" s="367">
        <f t="shared" si="674"/>
        <v>7993</v>
      </c>
      <c r="I5347" s="368">
        <f t="shared" si="675"/>
        <v>0</v>
      </c>
      <c r="J5347">
        <v>14188</v>
      </c>
      <c r="K5347" s="367">
        <f t="shared" si="676"/>
        <v>10134.285714285714</v>
      </c>
      <c r="L5347" s="607">
        <v>0.89</v>
      </c>
      <c r="M5347">
        <v>3.7</v>
      </c>
      <c r="N5347" s="381">
        <v>33</v>
      </c>
      <c r="O5347">
        <v>10</v>
      </c>
      <c r="P5347" t="s">
        <v>515</v>
      </c>
      <c r="Q5347" s="97" t="str">
        <f t="shared" si="677"/>
        <v/>
      </c>
      <c r="R5347" t="str">
        <f t="shared" si="678"/>
        <v/>
      </c>
    </row>
    <row r="5348" spans="2:18">
      <c r="C5348" t="str">
        <f t="shared" si="679"/>
        <v/>
      </c>
      <c r="D5348">
        <v>281</v>
      </c>
      <c r="E5348">
        <v>185</v>
      </c>
      <c r="F5348" s="366">
        <f t="shared" si="673"/>
        <v>4014.5</v>
      </c>
      <c r="G5348" s="97">
        <v>4171</v>
      </c>
      <c r="H5348" s="367">
        <f t="shared" si="674"/>
        <v>8185.5</v>
      </c>
      <c r="I5348" s="368">
        <f t="shared" si="675"/>
        <v>0</v>
      </c>
      <c r="J5348">
        <v>14479</v>
      </c>
      <c r="K5348" s="367">
        <f t="shared" si="676"/>
        <v>10342.142857142857</v>
      </c>
      <c r="L5348" s="607">
        <v>0.94000000000000006</v>
      </c>
      <c r="M5348">
        <v>3.7</v>
      </c>
      <c r="N5348" s="381">
        <v>33</v>
      </c>
      <c r="O5348">
        <v>10</v>
      </c>
      <c r="P5348" t="s">
        <v>515</v>
      </c>
      <c r="Q5348" s="97" t="str">
        <f t="shared" si="677"/>
        <v/>
      </c>
      <c r="R5348" t="str">
        <f t="shared" si="678"/>
        <v/>
      </c>
    </row>
    <row r="5349" spans="2:18">
      <c r="C5349" t="str">
        <f t="shared" si="679"/>
        <v/>
      </c>
      <c r="D5349">
        <v>282</v>
      </c>
      <c r="E5349">
        <v>190</v>
      </c>
      <c r="F5349" s="366">
        <f t="shared" si="673"/>
        <v>4123</v>
      </c>
      <c r="G5349" s="97">
        <v>4255</v>
      </c>
      <c r="H5349" s="367">
        <f t="shared" si="674"/>
        <v>8378</v>
      </c>
      <c r="I5349" s="368">
        <f t="shared" si="675"/>
        <v>0</v>
      </c>
      <c r="J5349">
        <v>14770</v>
      </c>
      <c r="K5349" s="367">
        <f t="shared" si="676"/>
        <v>10550</v>
      </c>
      <c r="L5349" s="607">
        <v>0.99</v>
      </c>
      <c r="M5349">
        <v>3.7</v>
      </c>
      <c r="N5349" s="381">
        <v>33</v>
      </c>
      <c r="O5349">
        <v>10</v>
      </c>
      <c r="P5349" t="s">
        <v>515</v>
      </c>
      <c r="Q5349" s="97" t="str">
        <f t="shared" si="677"/>
        <v/>
      </c>
      <c r="R5349" t="str">
        <f t="shared" si="678"/>
        <v/>
      </c>
    </row>
    <row r="5350" spans="2:18">
      <c r="C5350" t="str">
        <f t="shared" si="679"/>
        <v/>
      </c>
      <c r="D5350">
        <v>283</v>
      </c>
      <c r="E5350">
        <v>195</v>
      </c>
      <c r="F5350" s="366">
        <f t="shared" si="673"/>
        <v>4231.5</v>
      </c>
      <c r="G5350" s="97">
        <v>4339</v>
      </c>
      <c r="H5350" s="367">
        <f t="shared" si="674"/>
        <v>8570.5</v>
      </c>
      <c r="I5350" s="368">
        <f t="shared" si="675"/>
        <v>0</v>
      </c>
      <c r="J5350">
        <v>15061</v>
      </c>
      <c r="K5350" s="367">
        <f t="shared" si="676"/>
        <v>10757.857142857143</v>
      </c>
      <c r="L5350" s="607">
        <v>1.05</v>
      </c>
      <c r="M5350">
        <v>3.7</v>
      </c>
      <c r="N5350" s="381">
        <v>34</v>
      </c>
      <c r="O5350">
        <v>10</v>
      </c>
      <c r="P5350" t="s">
        <v>515</v>
      </c>
      <c r="Q5350" s="97" t="str">
        <f t="shared" si="677"/>
        <v/>
      </c>
      <c r="R5350" t="str">
        <f t="shared" si="678"/>
        <v/>
      </c>
    </row>
    <row r="5351" spans="2:18">
      <c r="B5351" s="582"/>
    </row>
    <row r="5352" spans="2:18">
      <c r="B5352" s="582"/>
      <c r="C5352" t="str">
        <f t="shared" si="679"/>
        <v/>
      </c>
      <c r="D5352">
        <v>1</v>
      </c>
      <c r="E5352">
        <v>5</v>
      </c>
      <c r="F5352" s="366">
        <f t="shared" ref="F5352" si="680">1.085*($A$2-$B$2)*E5352*$T$7</f>
        <v>108.5</v>
      </c>
      <c r="G5352" s="97">
        <v>218</v>
      </c>
      <c r="H5352" s="367">
        <f t="shared" ref="H5352" si="681">(G5352*$U$7)+F5352</f>
        <v>326.5</v>
      </c>
      <c r="I5352" s="368">
        <f t="shared" ref="I5352" si="682">1.085*($C$2-$D$2)*E5352*$T$7</f>
        <v>0</v>
      </c>
      <c r="J5352">
        <v>724</v>
      </c>
      <c r="K5352" s="367">
        <f t="shared" ref="K5352" si="683">(J5352*$V$7)-I5352</f>
        <v>517.14285714285711</v>
      </c>
      <c r="L5352">
        <v>0.23</v>
      </c>
      <c r="M5352">
        <v>2.5</v>
      </c>
      <c r="N5352">
        <v>15</v>
      </c>
      <c r="O5352">
        <v>2</v>
      </c>
      <c r="P5352" t="s">
        <v>513</v>
      </c>
      <c r="Q5352" s="97" t="str">
        <f t="shared" ref="Q5352" si="684">IF(AND(H5352+1&gt;$E$4,L5352&lt;$L$4+0.01,M5352&lt;$M$4+0.01,K5352+1&gt;$F$4,E5352+1&gt;$J$4,N5352&lt;$K$4+1,O5352&lt;$P$4+1,C5352=""),D5352,"")</f>
        <v/>
      </c>
      <c r="R5352" t="str">
        <f>IF(Q5352="","",IF(AND(O5352&lt;$X$39,E5352&gt;$U$39,E5352&lt;$Q$4+$U$39+1),D5352,""))</f>
        <v/>
      </c>
    </row>
    <row r="5353" spans="2:18">
      <c r="C5353" t="str">
        <f t="shared" ref="C5353:C5416" si="685">IF(OR($O$4=0,O5353-$O$4=0),IF(AND(ISEVEN(O5353)=FALSE,$N$4="Even"),"NL",""),"NL")</f>
        <v/>
      </c>
      <c r="D5353">
        <v>2</v>
      </c>
      <c r="E5353">
        <v>5</v>
      </c>
      <c r="F5353" s="366">
        <f t="shared" ref="F5353:F5416" si="686">1.085*($A$2-$B$2)*E5353*$T$7</f>
        <v>108.5</v>
      </c>
      <c r="G5353" s="97">
        <v>237</v>
      </c>
      <c r="H5353" s="367">
        <f t="shared" ref="H5353:H5416" si="687">(G5353*$U$7)+F5353</f>
        <v>345.5</v>
      </c>
      <c r="I5353" s="368">
        <f t="shared" ref="I5353:I5416" si="688">1.085*($C$2-$D$2)*E5353*$T$7</f>
        <v>0</v>
      </c>
      <c r="J5353">
        <v>787</v>
      </c>
      <c r="K5353" s="367">
        <f t="shared" ref="K5353:K5416" si="689">(J5353*$V$7)-I5353</f>
        <v>562.14285714285711</v>
      </c>
      <c r="L5353">
        <v>0.55000000000000004</v>
      </c>
      <c r="M5353">
        <v>2.5</v>
      </c>
      <c r="N5353">
        <v>15</v>
      </c>
      <c r="O5353">
        <v>2</v>
      </c>
      <c r="P5353" t="s">
        <v>512</v>
      </c>
      <c r="Q5353" s="97" t="str">
        <f t="shared" ref="Q5353:Q5416" si="690">IF(AND(H5353+1&gt;$E$4,L5353&lt;$L$4+0.01,M5353&lt;$M$4+0.01,K5353+1&gt;$F$4,E5353+1&gt;$J$4,N5353&lt;$K$4+1,O5353&lt;$P$4+1,C5353=""),D5353,"")</f>
        <v/>
      </c>
      <c r="R5353" t="str">
        <f t="shared" ref="R5353:R5416" si="691">IF(Q5353="","",IF(AND(O5353&lt;$X$39,E5353&gt;$U$39,E5353&lt;$Q$4+$U$39+1),D5353,""))</f>
        <v/>
      </c>
    </row>
    <row r="5354" spans="2:18">
      <c r="C5354" t="str">
        <f t="shared" si="685"/>
        <v/>
      </c>
      <c r="D5354">
        <v>3</v>
      </c>
      <c r="E5354">
        <v>10</v>
      </c>
      <c r="F5354" s="366">
        <f t="shared" si="686"/>
        <v>217</v>
      </c>
      <c r="G5354" s="97">
        <v>269</v>
      </c>
      <c r="H5354" s="367">
        <f t="shared" si="687"/>
        <v>486</v>
      </c>
      <c r="I5354" s="368">
        <f t="shared" si="688"/>
        <v>0</v>
      </c>
      <c r="J5354">
        <v>896</v>
      </c>
      <c r="K5354" s="367">
        <f t="shared" si="689"/>
        <v>640</v>
      </c>
      <c r="L5354">
        <v>0.27</v>
      </c>
      <c r="M5354">
        <v>2.5</v>
      </c>
      <c r="N5354">
        <v>15</v>
      </c>
      <c r="O5354">
        <v>2</v>
      </c>
      <c r="P5354" t="s">
        <v>514</v>
      </c>
      <c r="Q5354" s="97" t="str">
        <f t="shared" si="690"/>
        <v/>
      </c>
      <c r="R5354" t="str">
        <f t="shared" si="691"/>
        <v/>
      </c>
    </row>
    <row r="5355" spans="2:18">
      <c r="C5355" t="str">
        <f t="shared" si="685"/>
        <v>NL</v>
      </c>
      <c r="D5355">
        <v>4</v>
      </c>
      <c r="E5355">
        <v>10</v>
      </c>
      <c r="F5355" s="366">
        <f t="shared" si="686"/>
        <v>217</v>
      </c>
      <c r="G5355" s="97">
        <v>413</v>
      </c>
      <c r="H5355" s="367">
        <f t="shared" si="687"/>
        <v>630</v>
      </c>
      <c r="I5355" s="368">
        <f t="shared" si="688"/>
        <v>0</v>
      </c>
      <c r="J5355">
        <v>1371</v>
      </c>
      <c r="K5355" s="367">
        <f t="shared" si="689"/>
        <v>979.28571428571433</v>
      </c>
      <c r="L5355">
        <v>0.32</v>
      </c>
      <c r="M5355">
        <v>3.5</v>
      </c>
      <c r="N5355">
        <v>15</v>
      </c>
      <c r="O5355">
        <v>3</v>
      </c>
      <c r="P5355" t="s">
        <v>513</v>
      </c>
      <c r="Q5355" s="97" t="str">
        <f t="shared" si="690"/>
        <v/>
      </c>
      <c r="R5355" t="str">
        <f t="shared" si="691"/>
        <v/>
      </c>
    </row>
    <row r="5356" spans="2:18">
      <c r="C5356" t="str">
        <f t="shared" si="685"/>
        <v>NL</v>
      </c>
      <c r="D5356">
        <v>5</v>
      </c>
      <c r="E5356">
        <v>10</v>
      </c>
      <c r="F5356" s="366">
        <f t="shared" si="686"/>
        <v>217</v>
      </c>
      <c r="G5356" s="97">
        <v>450</v>
      </c>
      <c r="H5356" s="367">
        <f t="shared" si="687"/>
        <v>667</v>
      </c>
      <c r="I5356" s="368">
        <f t="shared" si="688"/>
        <v>0</v>
      </c>
      <c r="J5356">
        <v>1496</v>
      </c>
      <c r="K5356" s="367">
        <f t="shared" si="689"/>
        <v>1068.5714285714287</v>
      </c>
      <c r="L5356">
        <v>0.76</v>
      </c>
      <c r="M5356">
        <v>3.5</v>
      </c>
      <c r="N5356">
        <v>17</v>
      </c>
      <c r="O5356">
        <v>3</v>
      </c>
      <c r="P5356" t="s">
        <v>512</v>
      </c>
      <c r="Q5356" s="97" t="str">
        <f t="shared" si="690"/>
        <v/>
      </c>
      <c r="R5356" t="str">
        <f t="shared" si="691"/>
        <v/>
      </c>
    </row>
    <row r="5357" spans="2:18">
      <c r="C5357" t="str">
        <f t="shared" si="685"/>
        <v/>
      </c>
      <c r="D5357">
        <v>6</v>
      </c>
      <c r="E5357">
        <v>10</v>
      </c>
      <c r="F5357" s="366">
        <f t="shared" si="686"/>
        <v>217</v>
      </c>
      <c r="G5357" s="97">
        <v>489</v>
      </c>
      <c r="H5357" s="367">
        <f t="shared" si="687"/>
        <v>706</v>
      </c>
      <c r="I5357" s="368">
        <f t="shared" si="688"/>
        <v>0</v>
      </c>
      <c r="J5357">
        <v>1623</v>
      </c>
      <c r="K5357" s="367">
        <f t="shared" si="689"/>
        <v>1159.2857142857142</v>
      </c>
      <c r="L5357">
        <v>0.38</v>
      </c>
      <c r="M5357">
        <v>4.5</v>
      </c>
      <c r="N5357">
        <v>15</v>
      </c>
      <c r="O5357">
        <v>4</v>
      </c>
      <c r="P5357" t="s">
        <v>512</v>
      </c>
      <c r="Q5357" s="97" t="str">
        <f t="shared" si="690"/>
        <v/>
      </c>
      <c r="R5357" t="str">
        <f t="shared" si="691"/>
        <v/>
      </c>
    </row>
    <row r="5358" spans="2:18">
      <c r="C5358" t="str">
        <f t="shared" si="685"/>
        <v>NL</v>
      </c>
      <c r="D5358">
        <v>7</v>
      </c>
      <c r="E5358">
        <v>10</v>
      </c>
      <c r="F5358" s="366">
        <f t="shared" si="686"/>
        <v>217</v>
      </c>
      <c r="G5358" s="97">
        <v>575</v>
      </c>
      <c r="H5358" s="367">
        <f t="shared" si="687"/>
        <v>792</v>
      </c>
      <c r="I5358" s="368">
        <f t="shared" si="688"/>
        <v>0</v>
      </c>
      <c r="J5358">
        <v>1910</v>
      </c>
      <c r="K5358" s="367">
        <f t="shared" si="689"/>
        <v>1364.2857142857142</v>
      </c>
      <c r="L5358">
        <v>0.24000000000000002</v>
      </c>
      <c r="M5358">
        <v>5.5</v>
      </c>
      <c r="N5358">
        <v>15</v>
      </c>
      <c r="O5358">
        <v>5</v>
      </c>
      <c r="P5358" t="s">
        <v>512</v>
      </c>
      <c r="Q5358" s="97" t="str">
        <f t="shared" si="690"/>
        <v/>
      </c>
      <c r="R5358" t="str">
        <f t="shared" si="691"/>
        <v/>
      </c>
    </row>
    <row r="5359" spans="2:18">
      <c r="C5359" t="str">
        <f t="shared" si="685"/>
        <v/>
      </c>
      <c r="D5359">
        <v>8</v>
      </c>
      <c r="E5359">
        <v>10</v>
      </c>
      <c r="F5359" s="366">
        <f t="shared" si="686"/>
        <v>217</v>
      </c>
      <c r="G5359" s="97">
        <v>574</v>
      </c>
      <c r="H5359" s="367">
        <f t="shared" si="687"/>
        <v>791</v>
      </c>
      <c r="I5359" s="368">
        <f t="shared" si="688"/>
        <v>0</v>
      </c>
      <c r="J5359">
        <v>1909</v>
      </c>
      <c r="K5359" s="367">
        <f t="shared" si="689"/>
        <v>1363.5714285714287</v>
      </c>
      <c r="L5359">
        <v>0.17</v>
      </c>
      <c r="M5359">
        <v>6.6</v>
      </c>
      <c r="N5359">
        <v>15</v>
      </c>
      <c r="O5359">
        <v>6</v>
      </c>
      <c r="P5359" t="s">
        <v>512</v>
      </c>
      <c r="Q5359" s="97" t="str">
        <f t="shared" si="690"/>
        <v/>
      </c>
      <c r="R5359" t="str">
        <f t="shared" si="691"/>
        <v/>
      </c>
    </row>
    <row r="5360" spans="2:18">
      <c r="C5360" t="str">
        <f t="shared" si="685"/>
        <v>NL</v>
      </c>
      <c r="D5360">
        <v>9</v>
      </c>
      <c r="E5360">
        <v>10</v>
      </c>
      <c r="F5360" s="366">
        <f t="shared" si="686"/>
        <v>217</v>
      </c>
      <c r="G5360" s="97">
        <v>765</v>
      </c>
      <c r="H5360" s="367">
        <f t="shared" si="687"/>
        <v>982</v>
      </c>
      <c r="I5360" s="368">
        <f t="shared" si="688"/>
        <v>0</v>
      </c>
      <c r="J5360">
        <v>2540</v>
      </c>
      <c r="K5360" s="367">
        <f t="shared" si="689"/>
        <v>1814.2857142857142</v>
      </c>
      <c r="L5360">
        <v>0.13</v>
      </c>
      <c r="M5360">
        <v>7.6</v>
      </c>
      <c r="N5360">
        <v>15</v>
      </c>
      <c r="O5360">
        <v>7</v>
      </c>
      <c r="P5360" t="s">
        <v>512</v>
      </c>
      <c r="Q5360" s="97" t="str">
        <f t="shared" si="690"/>
        <v/>
      </c>
      <c r="R5360" t="str">
        <f t="shared" si="691"/>
        <v/>
      </c>
    </row>
    <row r="5361" spans="3:18">
      <c r="C5361" t="str">
        <f t="shared" si="685"/>
        <v/>
      </c>
      <c r="D5361">
        <v>10</v>
      </c>
      <c r="E5361">
        <v>15</v>
      </c>
      <c r="F5361" s="366">
        <f t="shared" si="686"/>
        <v>325.5</v>
      </c>
      <c r="G5361" s="97">
        <v>266</v>
      </c>
      <c r="H5361" s="367">
        <f t="shared" si="687"/>
        <v>591.5</v>
      </c>
      <c r="I5361" s="368">
        <f t="shared" si="688"/>
        <v>0</v>
      </c>
      <c r="J5361">
        <v>883</v>
      </c>
      <c r="K5361" s="367">
        <f t="shared" si="689"/>
        <v>630.71428571428578</v>
      </c>
      <c r="L5361">
        <v>0.2</v>
      </c>
      <c r="M5361">
        <v>2.5</v>
      </c>
      <c r="N5361">
        <v>15</v>
      </c>
      <c r="O5361">
        <v>2</v>
      </c>
      <c r="P5361" t="s">
        <v>515</v>
      </c>
      <c r="Q5361" s="97" t="str">
        <f t="shared" si="690"/>
        <v/>
      </c>
      <c r="R5361" t="str">
        <f t="shared" si="691"/>
        <v/>
      </c>
    </row>
    <row r="5362" spans="3:18">
      <c r="C5362" t="str">
        <f t="shared" si="685"/>
        <v/>
      </c>
      <c r="D5362">
        <v>11</v>
      </c>
      <c r="E5362">
        <v>15</v>
      </c>
      <c r="F5362" s="366">
        <f t="shared" si="686"/>
        <v>325.5</v>
      </c>
      <c r="G5362" s="97">
        <v>373</v>
      </c>
      <c r="H5362" s="367">
        <f t="shared" si="687"/>
        <v>698.5</v>
      </c>
      <c r="I5362" s="368">
        <f t="shared" si="688"/>
        <v>0</v>
      </c>
      <c r="J5362">
        <v>1241</v>
      </c>
      <c r="K5362" s="367">
        <f t="shared" si="689"/>
        <v>886.42857142857144</v>
      </c>
      <c r="L5362">
        <v>0.61</v>
      </c>
      <c r="M5362">
        <v>2.5</v>
      </c>
      <c r="N5362">
        <v>18</v>
      </c>
      <c r="O5362">
        <v>2</v>
      </c>
      <c r="P5362" t="s">
        <v>514</v>
      </c>
      <c r="Q5362" s="97" t="str">
        <f t="shared" si="690"/>
        <v/>
      </c>
      <c r="R5362" t="str">
        <f t="shared" si="691"/>
        <v/>
      </c>
    </row>
    <row r="5363" spans="3:18">
      <c r="C5363" t="str">
        <f t="shared" si="685"/>
        <v>NL</v>
      </c>
      <c r="D5363">
        <v>12</v>
      </c>
      <c r="E5363">
        <v>15</v>
      </c>
      <c r="F5363" s="366">
        <f t="shared" si="686"/>
        <v>325.5</v>
      </c>
      <c r="G5363" s="97">
        <v>412</v>
      </c>
      <c r="H5363" s="367">
        <f t="shared" si="687"/>
        <v>737.5</v>
      </c>
      <c r="I5363" s="368">
        <f t="shared" si="688"/>
        <v>0</v>
      </c>
      <c r="J5363">
        <v>1369</v>
      </c>
      <c r="K5363" s="367">
        <f t="shared" si="689"/>
        <v>977.85714285714289</v>
      </c>
      <c r="L5363">
        <v>0.21000000000000002</v>
      </c>
      <c r="M5363">
        <v>3.5</v>
      </c>
      <c r="N5363">
        <v>15</v>
      </c>
      <c r="O5363">
        <v>3</v>
      </c>
      <c r="P5363" t="s">
        <v>514</v>
      </c>
      <c r="Q5363" s="97" t="str">
        <f t="shared" si="690"/>
        <v/>
      </c>
      <c r="R5363" t="str">
        <f t="shared" si="691"/>
        <v/>
      </c>
    </row>
    <row r="5364" spans="3:18">
      <c r="C5364" t="str">
        <f t="shared" si="685"/>
        <v>NL</v>
      </c>
      <c r="D5364">
        <v>13</v>
      </c>
      <c r="E5364">
        <v>15</v>
      </c>
      <c r="F5364" s="366">
        <f t="shared" si="686"/>
        <v>325.5</v>
      </c>
      <c r="G5364" s="97">
        <v>569</v>
      </c>
      <c r="H5364" s="367">
        <f t="shared" si="687"/>
        <v>894.5</v>
      </c>
      <c r="I5364" s="368">
        <f t="shared" si="688"/>
        <v>0</v>
      </c>
      <c r="J5364">
        <v>1891</v>
      </c>
      <c r="K5364" s="367">
        <f t="shared" si="689"/>
        <v>1350.7142857142858</v>
      </c>
      <c r="L5364">
        <v>0.71</v>
      </c>
      <c r="M5364">
        <v>3.5</v>
      </c>
      <c r="N5364">
        <v>17</v>
      </c>
      <c r="O5364">
        <v>3</v>
      </c>
      <c r="P5364" t="s">
        <v>513</v>
      </c>
      <c r="Q5364" s="97" t="str">
        <f t="shared" si="690"/>
        <v/>
      </c>
      <c r="R5364" t="str">
        <f t="shared" si="691"/>
        <v/>
      </c>
    </row>
    <row r="5365" spans="3:18">
      <c r="C5365" t="str">
        <f t="shared" si="685"/>
        <v/>
      </c>
      <c r="D5365">
        <v>14</v>
      </c>
      <c r="E5365">
        <v>15</v>
      </c>
      <c r="F5365" s="366">
        <f t="shared" si="686"/>
        <v>325.5</v>
      </c>
      <c r="G5365" s="97">
        <v>605</v>
      </c>
      <c r="H5365" s="367">
        <f t="shared" si="687"/>
        <v>930.5</v>
      </c>
      <c r="I5365" s="368">
        <f t="shared" si="688"/>
        <v>0</v>
      </c>
      <c r="J5365">
        <v>2010</v>
      </c>
      <c r="K5365" s="367">
        <f t="shared" si="689"/>
        <v>1435.7142857142858</v>
      </c>
      <c r="L5365">
        <v>0.36</v>
      </c>
      <c r="M5365">
        <v>4.5</v>
      </c>
      <c r="N5365">
        <v>15</v>
      </c>
      <c r="O5365">
        <v>4</v>
      </c>
      <c r="P5365" t="s">
        <v>513</v>
      </c>
      <c r="Q5365" s="97" t="str">
        <f t="shared" si="690"/>
        <v/>
      </c>
      <c r="R5365" t="str">
        <f t="shared" si="691"/>
        <v/>
      </c>
    </row>
    <row r="5366" spans="3:18">
      <c r="C5366" t="str">
        <f t="shared" si="685"/>
        <v>NL</v>
      </c>
      <c r="D5366">
        <v>15</v>
      </c>
      <c r="E5366">
        <v>15</v>
      </c>
      <c r="F5366" s="366">
        <f t="shared" si="686"/>
        <v>325.5</v>
      </c>
      <c r="G5366" s="97">
        <v>694</v>
      </c>
      <c r="H5366" s="367">
        <f t="shared" si="687"/>
        <v>1019.5</v>
      </c>
      <c r="I5366" s="368">
        <f t="shared" si="688"/>
        <v>0</v>
      </c>
      <c r="J5366">
        <v>2305</v>
      </c>
      <c r="K5366" s="367">
        <f t="shared" si="689"/>
        <v>1646.4285714285716</v>
      </c>
      <c r="L5366">
        <v>0.23</v>
      </c>
      <c r="M5366">
        <v>5.5</v>
      </c>
      <c r="N5366">
        <v>15</v>
      </c>
      <c r="O5366">
        <v>5</v>
      </c>
      <c r="P5366" t="s">
        <v>513</v>
      </c>
      <c r="Q5366" s="97" t="str">
        <f t="shared" si="690"/>
        <v/>
      </c>
      <c r="R5366" t="str">
        <f t="shared" si="691"/>
        <v/>
      </c>
    </row>
    <row r="5367" spans="3:18">
      <c r="C5367" t="str">
        <f t="shared" si="685"/>
        <v>NL</v>
      </c>
      <c r="D5367">
        <v>16</v>
      </c>
      <c r="E5367">
        <v>15</v>
      </c>
      <c r="F5367" s="366">
        <f t="shared" si="686"/>
        <v>325.5</v>
      </c>
      <c r="G5367" s="97">
        <v>766</v>
      </c>
      <c r="H5367" s="367">
        <f t="shared" si="687"/>
        <v>1091.5</v>
      </c>
      <c r="I5367" s="368">
        <f t="shared" si="688"/>
        <v>0</v>
      </c>
      <c r="J5367">
        <v>2543</v>
      </c>
      <c r="K5367" s="367">
        <f t="shared" si="689"/>
        <v>1816.4285714285716</v>
      </c>
      <c r="L5367">
        <v>0.54</v>
      </c>
      <c r="M5367">
        <v>5.5</v>
      </c>
      <c r="N5367">
        <v>18</v>
      </c>
      <c r="O5367">
        <v>5</v>
      </c>
      <c r="P5367" t="s">
        <v>512</v>
      </c>
      <c r="Q5367" s="97" t="str">
        <f t="shared" si="690"/>
        <v/>
      </c>
      <c r="R5367" t="str">
        <f t="shared" si="691"/>
        <v/>
      </c>
    </row>
    <row r="5368" spans="3:18">
      <c r="C5368" t="str">
        <f t="shared" si="685"/>
        <v/>
      </c>
      <c r="D5368">
        <v>17</v>
      </c>
      <c r="E5368">
        <v>15</v>
      </c>
      <c r="F5368" s="366">
        <f t="shared" si="686"/>
        <v>325.5</v>
      </c>
      <c r="G5368" s="97">
        <v>687</v>
      </c>
      <c r="H5368" s="367">
        <f t="shared" si="687"/>
        <v>1012.5</v>
      </c>
      <c r="I5368" s="368">
        <f t="shared" si="688"/>
        <v>0</v>
      </c>
      <c r="J5368">
        <v>2282</v>
      </c>
      <c r="K5368" s="367">
        <f t="shared" si="689"/>
        <v>1630</v>
      </c>
      <c r="L5368">
        <v>0.16</v>
      </c>
      <c r="M5368">
        <v>6.6</v>
      </c>
      <c r="N5368">
        <v>15</v>
      </c>
      <c r="O5368">
        <v>6</v>
      </c>
      <c r="P5368" t="s">
        <v>513</v>
      </c>
      <c r="Q5368" s="97" t="str">
        <f t="shared" si="690"/>
        <v/>
      </c>
      <c r="R5368" t="str">
        <f t="shared" si="691"/>
        <v/>
      </c>
    </row>
    <row r="5369" spans="3:18">
      <c r="C5369" t="str">
        <f t="shared" si="685"/>
        <v/>
      </c>
      <c r="D5369">
        <v>18</v>
      </c>
      <c r="E5369">
        <v>15</v>
      </c>
      <c r="F5369" s="366">
        <f t="shared" si="686"/>
        <v>325.5</v>
      </c>
      <c r="G5369" s="97">
        <v>742</v>
      </c>
      <c r="H5369" s="367">
        <f t="shared" si="687"/>
        <v>1067.5</v>
      </c>
      <c r="I5369" s="368">
        <f t="shared" si="688"/>
        <v>0</v>
      </c>
      <c r="J5369">
        <v>2467</v>
      </c>
      <c r="K5369" s="367">
        <f t="shared" si="689"/>
        <v>1762.1428571428571</v>
      </c>
      <c r="L5369">
        <v>0.38</v>
      </c>
      <c r="M5369">
        <v>6.6</v>
      </c>
      <c r="N5369">
        <v>17</v>
      </c>
      <c r="O5369">
        <v>6</v>
      </c>
      <c r="P5369" t="s">
        <v>512</v>
      </c>
      <c r="Q5369" s="97" t="str">
        <f t="shared" si="690"/>
        <v/>
      </c>
      <c r="R5369" t="str">
        <f t="shared" si="691"/>
        <v/>
      </c>
    </row>
    <row r="5370" spans="3:18">
      <c r="C5370" t="str">
        <f t="shared" si="685"/>
        <v>NL</v>
      </c>
      <c r="D5370">
        <v>19</v>
      </c>
      <c r="E5370">
        <v>15</v>
      </c>
      <c r="F5370" s="366">
        <f t="shared" si="686"/>
        <v>325.5</v>
      </c>
      <c r="G5370" s="97">
        <v>995</v>
      </c>
      <c r="H5370" s="367">
        <f t="shared" si="687"/>
        <v>1320.5</v>
      </c>
      <c r="I5370" s="368">
        <f t="shared" si="688"/>
        <v>0</v>
      </c>
      <c r="J5370">
        <v>3305</v>
      </c>
      <c r="K5370" s="367">
        <f t="shared" si="689"/>
        <v>2360.7142857142858</v>
      </c>
      <c r="L5370">
        <v>0.28000000000000003</v>
      </c>
      <c r="M5370">
        <v>7.6</v>
      </c>
      <c r="N5370">
        <v>16</v>
      </c>
      <c r="O5370">
        <v>7</v>
      </c>
      <c r="P5370" t="s">
        <v>512</v>
      </c>
      <c r="Q5370" s="97" t="str">
        <f t="shared" si="690"/>
        <v/>
      </c>
      <c r="R5370" t="str">
        <f t="shared" si="691"/>
        <v/>
      </c>
    </row>
    <row r="5371" spans="3:18">
      <c r="C5371" t="str">
        <f t="shared" si="685"/>
        <v/>
      </c>
      <c r="D5371">
        <v>20</v>
      </c>
      <c r="E5371">
        <v>15</v>
      </c>
      <c r="F5371" s="366">
        <f t="shared" si="686"/>
        <v>325.5</v>
      </c>
      <c r="G5371" s="97">
        <v>906</v>
      </c>
      <c r="H5371" s="367">
        <f t="shared" si="687"/>
        <v>1231.5</v>
      </c>
      <c r="I5371" s="368">
        <f t="shared" si="688"/>
        <v>0</v>
      </c>
      <c r="J5371">
        <v>3010</v>
      </c>
      <c r="K5371" s="367">
        <f t="shared" si="689"/>
        <v>2150</v>
      </c>
      <c r="L5371">
        <v>0.22</v>
      </c>
      <c r="M5371">
        <v>8.5</v>
      </c>
      <c r="N5371">
        <v>15</v>
      </c>
      <c r="O5371">
        <v>8</v>
      </c>
      <c r="P5371" t="s">
        <v>512</v>
      </c>
      <c r="Q5371" s="97" t="str">
        <f t="shared" si="690"/>
        <v/>
      </c>
      <c r="R5371" t="str">
        <f t="shared" si="691"/>
        <v/>
      </c>
    </row>
    <row r="5372" spans="3:18">
      <c r="C5372" t="str">
        <f t="shared" si="685"/>
        <v>NL</v>
      </c>
      <c r="D5372">
        <v>21</v>
      </c>
      <c r="E5372">
        <v>15</v>
      </c>
      <c r="F5372" s="366">
        <f t="shared" si="686"/>
        <v>325.5</v>
      </c>
      <c r="G5372" s="97">
        <v>1204</v>
      </c>
      <c r="H5372" s="367">
        <f t="shared" si="687"/>
        <v>1529.5</v>
      </c>
      <c r="I5372" s="368">
        <f t="shared" si="688"/>
        <v>0</v>
      </c>
      <c r="J5372">
        <v>3999</v>
      </c>
      <c r="K5372" s="367">
        <f t="shared" si="689"/>
        <v>2856.4285714285716</v>
      </c>
      <c r="L5372">
        <v>0.18000000000000002</v>
      </c>
      <c r="M5372">
        <v>9.6</v>
      </c>
      <c r="N5372">
        <v>15</v>
      </c>
      <c r="O5372">
        <v>9</v>
      </c>
      <c r="P5372" t="s">
        <v>512</v>
      </c>
      <c r="Q5372" s="97" t="str">
        <f t="shared" si="690"/>
        <v/>
      </c>
      <c r="R5372" t="str">
        <f t="shared" si="691"/>
        <v/>
      </c>
    </row>
    <row r="5373" spans="3:18">
      <c r="C5373" t="str">
        <f t="shared" si="685"/>
        <v/>
      </c>
      <c r="D5373">
        <v>22</v>
      </c>
      <c r="E5373">
        <v>15</v>
      </c>
      <c r="F5373" s="366">
        <f t="shared" si="686"/>
        <v>325.5</v>
      </c>
      <c r="G5373" s="97">
        <v>1293</v>
      </c>
      <c r="H5373" s="367">
        <f t="shared" si="687"/>
        <v>1618.5</v>
      </c>
      <c r="I5373" s="368">
        <f t="shared" si="688"/>
        <v>0</v>
      </c>
      <c r="J5373">
        <v>4296</v>
      </c>
      <c r="K5373" s="367">
        <f t="shared" si="689"/>
        <v>3068.5714285714284</v>
      </c>
      <c r="L5373">
        <v>0.15000000000000002</v>
      </c>
      <c r="M5373">
        <v>1.4000000000000001</v>
      </c>
      <c r="N5373">
        <v>15</v>
      </c>
      <c r="O5373">
        <v>10</v>
      </c>
      <c r="P5373" t="s">
        <v>512</v>
      </c>
      <c r="Q5373" s="97" t="str">
        <f t="shared" si="690"/>
        <v/>
      </c>
      <c r="R5373" t="str">
        <f t="shared" si="691"/>
        <v/>
      </c>
    </row>
    <row r="5374" spans="3:18">
      <c r="C5374" t="str">
        <f t="shared" si="685"/>
        <v/>
      </c>
      <c r="D5374">
        <v>23</v>
      </c>
      <c r="E5374">
        <v>20</v>
      </c>
      <c r="F5374" s="366">
        <f t="shared" si="686"/>
        <v>434</v>
      </c>
      <c r="G5374" s="97">
        <v>330</v>
      </c>
      <c r="H5374" s="367">
        <f t="shared" si="687"/>
        <v>764</v>
      </c>
      <c r="I5374" s="368">
        <f t="shared" si="688"/>
        <v>0</v>
      </c>
      <c r="J5374">
        <v>1097</v>
      </c>
      <c r="K5374" s="367">
        <f t="shared" si="689"/>
        <v>783.57142857142856</v>
      </c>
      <c r="L5374">
        <v>0.35000000000000003</v>
      </c>
      <c r="M5374">
        <v>2.5</v>
      </c>
      <c r="N5374">
        <v>16</v>
      </c>
      <c r="O5374">
        <v>2</v>
      </c>
      <c r="P5374" t="s">
        <v>515</v>
      </c>
      <c r="Q5374" s="97" t="str">
        <f t="shared" si="690"/>
        <v/>
      </c>
      <c r="R5374" t="str">
        <f t="shared" si="691"/>
        <v/>
      </c>
    </row>
    <row r="5375" spans="3:18">
      <c r="C5375" t="str">
        <f t="shared" si="685"/>
        <v>NL</v>
      </c>
      <c r="D5375">
        <v>24</v>
      </c>
      <c r="E5375">
        <v>20</v>
      </c>
      <c r="F5375" s="366">
        <f t="shared" si="686"/>
        <v>434</v>
      </c>
      <c r="G5375" s="97">
        <v>516</v>
      </c>
      <c r="H5375" s="367">
        <f t="shared" si="687"/>
        <v>950</v>
      </c>
      <c r="I5375" s="368">
        <f t="shared" si="688"/>
        <v>0</v>
      </c>
      <c r="J5375">
        <v>1714</v>
      </c>
      <c r="K5375" s="367">
        <f t="shared" si="689"/>
        <v>1224.2857142857142</v>
      </c>
      <c r="L5375">
        <v>0.37</v>
      </c>
      <c r="M5375">
        <v>3.5</v>
      </c>
      <c r="N5375">
        <v>16</v>
      </c>
      <c r="O5375">
        <v>3</v>
      </c>
      <c r="P5375" t="s">
        <v>514</v>
      </c>
      <c r="Q5375" s="97" t="str">
        <f t="shared" si="690"/>
        <v/>
      </c>
      <c r="R5375" t="str">
        <f t="shared" si="691"/>
        <v/>
      </c>
    </row>
    <row r="5376" spans="3:18">
      <c r="C5376" t="str">
        <f t="shared" si="685"/>
        <v/>
      </c>
      <c r="D5376">
        <v>25</v>
      </c>
      <c r="E5376">
        <v>20</v>
      </c>
      <c r="F5376" s="366">
        <f t="shared" si="686"/>
        <v>434</v>
      </c>
      <c r="G5376" s="97">
        <v>553</v>
      </c>
      <c r="H5376" s="367">
        <f t="shared" si="687"/>
        <v>987</v>
      </c>
      <c r="I5376" s="368">
        <f t="shared" si="688"/>
        <v>0</v>
      </c>
      <c r="J5376">
        <v>1838</v>
      </c>
      <c r="K5376" s="367">
        <f t="shared" si="689"/>
        <v>1312.8571428571429</v>
      </c>
      <c r="L5376">
        <v>0.19</v>
      </c>
      <c r="M5376">
        <v>4.5</v>
      </c>
      <c r="N5376">
        <v>15</v>
      </c>
      <c r="O5376">
        <v>4</v>
      </c>
      <c r="P5376" t="s">
        <v>514</v>
      </c>
      <c r="Q5376" s="97" t="str">
        <f t="shared" si="690"/>
        <v/>
      </c>
      <c r="R5376" t="str">
        <f t="shared" si="691"/>
        <v/>
      </c>
    </row>
    <row r="5377" spans="3:18">
      <c r="C5377" t="str">
        <f t="shared" si="685"/>
        <v/>
      </c>
      <c r="D5377">
        <v>26</v>
      </c>
      <c r="E5377">
        <v>20</v>
      </c>
      <c r="F5377" s="366">
        <f t="shared" si="686"/>
        <v>434</v>
      </c>
      <c r="G5377" s="97">
        <v>759</v>
      </c>
      <c r="H5377" s="367">
        <f t="shared" si="687"/>
        <v>1193</v>
      </c>
      <c r="I5377" s="368">
        <f t="shared" si="688"/>
        <v>0</v>
      </c>
      <c r="J5377">
        <v>2522</v>
      </c>
      <c r="K5377" s="367">
        <f t="shared" si="689"/>
        <v>1801.4285714285716</v>
      </c>
      <c r="L5377">
        <v>0.63</v>
      </c>
      <c r="M5377">
        <v>4.5</v>
      </c>
      <c r="N5377">
        <v>17</v>
      </c>
      <c r="O5377">
        <v>4</v>
      </c>
      <c r="P5377" t="s">
        <v>513</v>
      </c>
      <c r="Q5377" s="97" t="str">
        <f t="shared" si="690"/>
        <v/>
      </c>
      <c r="R5377" t="str">
        <f t="shared" si="691"/>
        <v/>
      </c>
    </row>
    <row r="5378" spans="3:18">
      <c r="C5378" t="str">
        <f t="shared" si="685"/>
        <v>NL</v>
      </c>
      <c r="D5378">
        <v>27</v>
      </c>
      <c r="E5378">
        <v>20</v>
      </c>
      <c r="F5378" s="366">
        <f t="shared" si="686"/>
        <v>434</v>
      </c>
      <c r="G5378" s="97">
        <v>861</v>
      </c>
      <c r="H5378" s="367">
        <f t="shared" si="687"/>
        <v>1295</v>
      </c>
      <c r="I5378" s="368">
        <f t="shared" si="688"/>
        <v>0</v>
      </c>
      <c r="J5378">
        <v>2862</v>
      </c>
      <c r="K5378" s="367">
        <f t="shared" si="689"/>
        <v>2044.2857142857142</v>
      </c>
      <c r="L5378">
        <v>0.4</v>
      </c>
      <c r="M5378">
        <v>5.5</v>
      </c>
      <c r="N5378">
        <v>16</v>
      </c>
      <c r="O5378">
        <v>5</v>
      </c>
      <c r="P5378" t="s">
        <v>513</v>
      </c>
      <c r="Q5378" s="97" t="str">
        <f t="shared" si="690"/>
        <v/>
      </c>
      <c r="R5378" t="str">
        <f t="shared" si="691"/>
        <v/>
      </c>
    </row>
    <row r="5379" spans="3:18">
      <c r="C5379" t="str">
        <f t="shared" si="685"/>
        <v/>
      </c>
      <c r="D5379">
        <v>28</v>
      </c>
      <c r="E5379">
        <v>20</v>
      </c>
      <c r="F5379" s="366">
        <f t="shared" si="686"/>
        <v>434</v>
      </c>
      <c r="G5379" s="97">
        <v>838</v>
      </c>
      <c r="H5379" s="367">
        <f t="shared" si="687"/>
        <v>1272</v>
      </c>
      <c r="I5379" s="368">
        <f t="shared" si="688"/>
        <v>0</v>
      </c>
      <c r="J5379">
        <v>2782</v>
      </c>
      <c r="K5379" s="367">
        <f t="shared" si="689"/>
        <v>1987.1428571428571</v>
      </c>
      <c r="L5379">
        <v>0.29000000000000004</v>
      </c>
      <c r="M5379">
        <v>6.6</v>
      </c>
      <c r="N5379">
        <v>15</v>
      </c>
      <c r="O5379">
        <v>6</v>
      </c>
      <c r="P5379" t="s">
        <v>513</v>
      </c>
      <c r="Q5379" s="97" t="str">
        <f t="shared" si="690"/>
        <v/>
      </c>
      <c r="R5379" t="str">
        <f t="shared" si="691"/>
        <v/>
      </c>
    </row>
    <row r="5380" spans="3:18">
      <c r="C5380" t="str">
        <f t="shared" si="685"/>
        <v/>
      </c>
      <c r="D5380">
        <v>29</v>
      </c>
      <c r="E5380">
        <v>20</v>
      </c>
      <c r="F5380" s="366">
        <f t="shared" si="686"/>
        <v>434</v>
      </c>
      <c r="G5380" s="97">
        <v>911</v>
      </c>
      <c r="H5380" s="367">
        <f t="shared" si="687"/>
        <v>1345</v>
      </c>
      <c r="I5380" s="368">
        <f t="shared" si="688"/>
        <v>0</v>
      </c>
      <c r="J5380">
        <v>3025</v>
      </c>
      <c r="K5380" s="367">
        <f t="shared" si="689"/>
        <v>2160.7142857142858</v>
      </c>
      <c r="L5380">
        <v>0.68</v>
      </c>
      <c r="M5380">
        <v>6.6</v>
      </c>
      <c r="N5380">
        <v>21</v>
      </c>
      <c r="O5380">
        <v>6</v>
      </c>
      <c r="P5380" t="s">
        <v>512</v>
      </c>
      <c r="Q5380" s="97" t="str">
        <f t="shared" si="690"/>
        <v/>
      </c>
      <c r="R5380" t="str">
        <f t="shared" si="691"/>
        <v/>
      </c>
    </row>
    <row r="5381" spans="3:18">
      <c r="C5381" t="str">
        <f t="shared" si="685"/>
        <v>NL</v>
      </c>
      <c r="D5381">
        <v>30</v>
      </c>
      <c r="E5381">
        <v>20</v>
      </c>
      <c r="F5381" s="366">
        <f t="shared" si="686"/>
        <v>434</v>
      </c>
      <c r="G5381" s="97">
        <v>1226</v>
      </c>
      <c r="H5381" s="367">
        <f t="shared" si="687"/>
        <v>1660</v>
      </c>
      <c r="I5381" s="368">
        <f t="shared" si="688"/>
        <v>0</v>
      </c>
      <c r="J5381">
        <v>4071</v>
      </c>
      <c r="K5381" s="367">
        <f t="shared" si="689"/>
        <v>2907.8571428571431</v>
      </c>
      <c r="L5381">
        <v>0.5</v>
      </c>
      <c r="M5381">
        <v>7.6</v>
      </c>
      <c r="N5381">
        <v>20</v>
      </c>
      <c r="O5381">
        <v>7</v>
      </c>
      <c r="P5381" t="s">
        <v>512</v>
      </c>
      <c r="Q5381" s="97" t="str">
        <f t="shared" si="690"/>
        <v/>
      </c>
      <c r="R5381" t="str">
        <f t="shared" si="691"/>
        <v/>
      </c>
    </row>
    <row r="5382" spans="3:18">
      <c r="C5382" t="str">
        <f t="shared" si="685"/>
        <v/>
      </c>
      <c r="D5382">
        <v>31</v>
      </c>
      <c r="E5382">
        <v>20</v>
      </c>
      <c r="F5382" s="366">
        <f t="shared" si="686"/>
        <v>434</v>
      </c>
      <c r="G5382" s="97">
        <v>1018</v>
      </c>
      <c r="H5382" s="367">
        <f t="shared" si="687"/>
        <v>1452</v>
      </c>
      <c r="I5382" s="368">
        <f t="shared" si="688"/>
        <v>0</v>
      </c>
      <c r="J5382">
        <v>3382</v>
      </c>
      <c r="K5382" s="367">
        <f t="shared" si="689"/>
        <v>2415.7142857142858</v>
      </c>
      <c r="L5382">
        <v>0.17</v>
      </c>
      <c r="M5382">
        <v>8.5</v>
      </c>
      <c r="N5382">
        <v>15</v>
      </c>
      <c r="O5382">
        <v>8</v>
      </c>
      <c r="P5382" t="s">
        <v>513</v>
      </c>
      <c r="Q5382" s="97" t="str">
        <f t="shared" si="690"/>
        <v/>
      </c>
      <c r="R5382" t="str">
        <f t="shared" si="691"/>
        <v/>
      </c>
    </row>
    <row r="5383" spans="3:18">
      <c r="C5383" t="str">
        <f t="shared" si="685"/>
        <v/>
      </c>
      <c r="D5383">
        <v>32</v>
      </c>
      <c r="E5383">
        <v>20</v>
      </c>
      <c r="F5383" s="366">
        <f t="shared" si="686"/>
        <v>434</v>
      </c>
      <c r="G5383" s="97">
        <v>1086</v>
      </c>
      <c r="H5383" s="367">
        <f t="shared" si="687"/>
        <v>1520</v>
      </c>
      <c r="I5383" s="368">
        <f t="shared" si="688"/>
        <v>0</v>
      </c>
      <c r="J5383">
        <v>3606</v>
      </c>
      <c r="K5383" s="367">
        <f t="shared" si="689"/>
        <v>2575.7142857142858</v>
      </c>
      <c r="L5383">
        <v>0.39</v>
      </c>
      <c r="M5383">
        <v>8.5</v>
      </c>
      <c r="N5383">
        <v>19</v>
      </c>
      <c r="O5383">
        <v>8</v>
      </c>
      <c r="P5383" t="s">
        <v>512</v>
      </c>
      <c r="Q5383" s="97" t="str">
        <f t="shared" si="690"/>
        <v/>
      </c>
      <c r="R5383" t="str">
        <f t="shared" si="691"/>
        <v/>
      </c>
    </row>
    <row r="5384" spans="3:18">
      <c r="C5384" t="str">
        <f t="shared" si="685"/>
        <v>NL</v>
      </c>
      <c r="D5384">
        <v>33</v>
      </c>
      <c r="E5384">
        <v>20</v>
      </c>
      <c r="F5384" s="366">
        <f t="shared" si="686"/>
        <v>434</v>
      </c>
      <c r="G5384" s="97">
        <v>1366</v>
      </c>
      <c r="H5384" s="367">
        <f t="shared" si="687"/>
        <v>1800</v>
      </c>
      <c r="I5384" s="368">
        <f t="shared" si="688"/>
        <v>0</v>
      </c>
      <c r="J5384">
        <v>4538</v>
      </c>
      <c r="K5384" s="367">
        <f t="shared" si="689"/>
        <v>3241.4285714285716</v>
      </c>
      <c r="L5384">
        <v>0.14000000000000001</v>
      </c>
      <c r="M5384">
        <v>9.6</v>
      </c>
      <c r="N5384">
        <v>15</v>
      </c>
      <c r="O5384">
        <v>9</v>
      </c>
      <c r="P5384" t="s">
        <v>513</v>
      </c>
      <c r="Q5384" s="97" t="str">
        <f t="shared" si="690"/>
        <v/>
      </c>
      <c r="R5384" t="str">
        <f t="shared" si="691"/>
        <v/>
      </c>
    </row>
    <row r="5385" spans="3:18">
      <c r="C5385" t="str">
        <f t="shared" si="685"/>
        <v>NL</v>
      </c>
      <c r="D5385">
        <v>34</v>
      </c>
      <c r="E5385">
        <v>20</v>
      </c>
      <c r="F5385" s="366">
        <f t="shared" si="686"/>
        <v>434</v>
      </c>
      <c r="G5385" s="97">
        <v>1459</v>
      </c>
      <c r="H5385" s="367">
        <f t="shared" si="687"/>
        <v>1893</v>
      </c>
      <c r="I5385" s="368">
        <f t="shared" si="688"/>
        <v>0</v>
      </c>
      <c r="J5385">
        <v>4846</v>
      </c>
      <c r="K5385" s="367">
        <f t="shared" si="689"/>
        <v>3461.4285714285716</v>
      </c>
      <c r="L5385">
        <v>0.31</v>
      </c>
      <c r="M5385">
        <v>9.6</v>
      </c>
      <c r="N5385">
        <v>18</v>
      </c>
      <c r="O5385">
        <v>9</v>
      </c>
      <c r="P5385" t="s">
        <v>512</v>
      </c>
      <c r="Q5385" s="97" t="str">
        <f t="shared" si="690"/>
        <v/>
      </c>
      <c r="R5385" t="str">
        <f t="shared" si="691"/>
        <v/>
      </c>
    </row>
    <row r="5386" spans="3:18">
      <c r="C5386" t="str">
        <f t="shared" si="685"/>
        <v/>
      </c>
      <c r="D5386">
        <v>35</v>
      </c>
      <c r="E5386">
        <v>20</v>
      </c>
      <c r="F5386" s="366">
        <f t="shared" si="686"/>
        <v>434</v>
      </c>
      <c r="G5386" s="97">
        <v>1553</v>
      </c>
      <c r="H5386" s="367">
        <f t="shared" si="687"/>
        <v>1987</v>
      </c>
      <c r="I5386" s="368">
        <f t="shared" si="688"/>
        <v>0</v>
      </c>
      <c r="J5386">
        <v>5157</v>
      </c>
      <c r="K5386" s="367">
        <f t="shared" si="689"/>
        <v>3683.5714285714284</v>
      </c>
      <c r="L5386">
        <v>0.26</v>
      </c>
      <c r="M5386">
        <v>1.4000000000000001</v>
      </c>
      <c r="N5386">
        <v>18</v>
      </c>
      <c r="O5386">
        <v>10</v>
      </c>
      <c r="P5386" t="s">
        <v>512</v>
      </c>
      <c r="Q5386" s="97" t="str">
        <f t="shared" si="690"/>
        <v/>
      </c>
      <c r="R5386" t="str">
        <f t="shared" si="691"/>
        <v/>
      </c>
    </row>
    <row r="5387" spans="3:18">
      <c r="C5387" t="str">
        <f t="shared" si="685"/>
        <v/>
      </c>
      <c r="D5387">
        <v>36</v>
      </c>
      <c r="E5387">
        <v>25</v>
      </c>
      <c r="F5387" s="366">
        <f t="shared" si="686"/>
        <v>542.5</v>
      </c>
      <c r="G5387" s="97">
        <v>394</v>
      </c>
      <c r="H5387" s="367">
        <f t="shared" si="687"/>
        <v>936.5</v>
      </c>
      <c r="I5387" s="368">
        <f t="shared" si="688"/>
        <v>0</v>
      </c>
      <c r="J5387">
        <v>1310</v>
      </c>
      <c r="K5387" s="367">
        <f t="shared" si="689"/>
        <v>935.71428571428578</v>
      </c>
      <c r="L5387">
        <v>0.54</v>
      </c>
      <c r="M5387">
        <v>2.5</v>
      </c>
      <c r="N5387">
        <v>19</v>
      </c>
      <c r="O5387">
        <v>2</v>
      </c>
      <c r="P5387" t="s">
        <v>515</v>
      </c>
      <c r="Q5387" s="97" t="str">
        <f t="shared" si="690"/>
        <v/>
      </c>
      <c r="R5387" t="str">
        <f t="shared" si="691"/>
        <v/>
      </c>
    </row>
    <row r="5388" spans="3:18">
      <c r="C5388" t="str">
        <f t="shared" si="685"/>
        <v>NL</v>
      </c>
      <c r="D5388">
        <v>37</v>
      </c>
      <c r="E5388">
        <v>25</v>
      </c>
      <c r="F5388" s="366">
        <f t="shared" si="686"/>
        <v>542.5</v>
      </c>
      <c r="G5388" s="97">
        <v>440</v>
      </c>
      <c r="H5388" s="367">
        <f t="shared" si="687"/>
        <v>982.5</v>
      </c>
      <c r="I5388" s="368">
        <f t="shared" si="688"/>
        <v>0</v>
      </c>
      <c r="J5388">
        <v>1462</v>
      </c>
      <c r="K5388" s="367">
        <f t="shared" si="689"/>
        <v>1044.2857142857142</v>
      </c>
      <c r="L5388">
        <v>0.19</v>
      </c>
      <c r="M5388">
        <v>3.5</v>
      </c>
      <c r="N5388">
        <v>15</v>
      </c>
      <c r="O5388">
        <v>3</v>
      </c>
      <c r="P5388" t="s">
        <v>515</v>
      </c>
      <c r="Q5388" s="97" t="str">
        <f t="shared" si="690"/>
        <v/>
      </c>
      <c r="R5388" t="str">
        <f t="shared" si="691"/>
        <v/>
      </c>
    </row>
    <row r="5389" spans="3:18">
      <c r="C5389" t="str">
        <f t="shared" si="685"/>
        <v>NL</v>
      </c>
      <c r="D5389">
        <v>38</v>
      </c>
      <c r="E5389">
        <v>25</v>
      </c>
      <c r="F5389" s="366">
        <f t="shared" si="686"/>
        <v>542.5</v>
      </c>
      <c r="G5389" s="97">
        <v>620</v>
      </c>
      <c r="H5389" s="367">
        <f t="shared" si="687"/>
        <v>1162.5</v>
      </c>
      <c r="I5389" s="368">
        <f t="shared" si="688"/>
        <v>0</v>
      </c>
      <c r="J5389">
        <v>2059</v>
      </c>
      <c r="K5389" s="367">
        <f t="shared" si="689"/>
        <v>1470.7142857142858</v>
      </c>
      <c r="L5389">
        <v>0.57999999999999996</v>
      </c>
      <c r="M5389">
        <v>3.5</v>
      </c>
      <c r="N5389">
        <v>19</v>
      </c>
      <c r="O5389">
        <v>3</v>
      </c>
      <c r="P5389" t="s">
        <v>514</v>
      </c>
      <c r="Q5389" s="97" t="str">
        <f t="shared" si="690"/>
        <v/>
      </c>
      <c r="R5389" t="str">
        <f t="shared" si="691"/>
        <v/>
      </c>
    </row>
    <row r="5390" spans="3:18">
      <c r="C5390" t="str">
        <f t="shared" si="685"/>
        <v/>
      </c>
      <c r="D5390">
        <v>39</v>
      </c>
      <c r="E5390">
        <v>25</v>
      </c>
      <c r="F5390" s="366">
        <f t="shared" si="686"/>
        <v>542.5</v>
      </c>
      <c r="G5390" s="97">
        <v>655</v>
      </c>
      <c r="H5390" s="367">
        <f t="shared" si="687"/>
        <v>1197.5</v>
      </c>
      <c r="I5390" s="368">
        <f t="shared" si="688"/>
        <v>0</v>
      </c>
      <c r="J5390">
        <v>2177</v>
      </c>
      <c r="K5390" s="367">
        <f t="shared" si="689"/>
        <v>1555</v>
      </c>
      <c r="L5390">
        <v>0.29000000000000004</v>
      </c>
      <c r="M5390">
        <v>4.5</v>
      </c>
      <c r="N5390">
        <v>15</v>
      </c>
      <c r="O5390">
        <v>4</v>
      </c>
      <c r="P5390" t="s">
        <v>514</v>
      </c>
      <c r="Q5390" s="97" t="str">
        <f t="shared" si="690"/>
        <v/>
      </c>
      <c r="R5390" t="str">
        <f t="shared" si="691"/>
        <v/>
      </c>
    </row>
    <row r="5391" spans="3:18">
      <c r="C5391" t="str">
        <f t="shared" si="685"/>
        <v>NL</v>
      </c>
      <c r="D5391">
        <v>40</v>
      </c>
      <c r="E5391">
        <v>25</v>
      </c>
      <c r="F5391" s="366">
        <f t="shared" si="686"/>
        <v>542.5</v>
      </c>
      <c r="G5391" s="97">
        <v>776</v>
      </c>
      <c r="H5391" s="367">
        <f t="shared" si="687"/>
        <v>1318.5</v>
      </c>
      <c r="I5391" s="368">
        <f t="shared" si="688"/>
        <v>0</v>
      </c>
      <c r="J5391">
        <v>2579</v>
      </c>
      <c r="K5391" s="367">
        <f t="shared" si="689"/>
        <v>1842.1428571428571</v>
      </c>
      <c r="L5391">
        <v>0.19</v>
      </c>
      <c r="M5391">
        <v>5.5</v>
      </c>
      <c r="N5391">
        <v>15</v>
      </c>
      <c r="O5391">
        <v>5</v>
      </c>
      <c r="P5391" t="s">
        <v>514</v>
      </c>
      <c r="Q5391" s="97" t="str">
        <f t="shared" si="690"/>
        <v/>
      </c>
      <c r="R5391" t="str">
        <f t="shared" si="691"/>
        <v/>
      </c>
    </row>
    <row r="5392" spans="3:18">
      <c r="C5392" t="str">
        <f t="shared" si="685"/>
        <v>NL</v>
      </c>
      <c r="D5392">
        <v>41</v>
      </c>
      <c r="E5392">
        <v>25</v>
      </c>
      <c r="F5392" s="366">
        <f t="shared" si="686"/>
        <v>542.5</v>
      </c>
      <c r="G5392" s="97">
        <v>1029</v>
      </c>
      <c r="H5392" s="367">
        <f t="shared" si="687"/>
        <v>1571.5</v>
      </c>
      <c r="I5392" s="368">
        <f t="shared" si="688"/>
        <v>0</v>
      </c>
      <c r="J5392">
        <v>3418</v>
      </c>
      <c r="K5392" s="367">
        <f t="shared" si="689"/>
        <v>2441.4285714285716</v>
      </c>
      <c r="L5392">
        <v>0.63</v>
      </c>
      <c r="M5392">
        <v>5.5</v>
      </c>
      <c r="N5392">
        <v>19</v>
      </c>
      <c r="O5392">
        <v>5</v>
      </c>
      <c r="P5392" t="s">
        <v>513</v>
      </c>
      <c r="Q5392" s="97" t="str">
        <f t="shared" si="690"/>
        <v/>
      </c>
      <c r="R5392" t="str">
        <f t="shared" si="691"/>
        <v/>
      </c>
    </row>
    <row r="5393" spans="3:18">
      <c r="C5393" t="str">
        <f t="shared" si="685"/>
        <v/>
      </c>
      <c r="D5393">
        <v>42</v>
      </c>
      <c r="E5393">
        <v>25</v>
      </c>
      <c r="F5393" s="366">
        <f t="shared" si="686"/>
        <v>542.5</v>
      </c>
      <c r="G5393" s="97">
        <v>737</v>
      </c>
      <c r="H5393" s="367">
        <f t="shared" si="687"/>
        <v>1279.5</v>
      </c>
      <c r="I5393" s="368">
        <f t="shared" si="688"/>
        <v>0</v>
      </c>
      <c r="J5393">
        <v>2449</v>
      </c>
      <c r="K5393" s="367">
        <f t="shared" si="689"/>
        <v>1749.2857142857142</v>
      </c>
      <c r="L5393">
        <v>0.13</v>
      </c>
      <c r="M5393">
        <v>6.6</v>
      </c>
      <c r="N5393">
        <v>15</v>
      </c>
      <c r="O5393">
        <v>6</v>
      </c>
      <c r="P5393" t="s">
        <v>514</v>
      </c>
      <c r="Q5393" s="97" t="str">
        <f t="shared" si="690"/>
        <v/>
      </c>
      <c r="R5393" t="str">
        <f t="shared" si="691"/>
        <v/>
      </c>
    </row>
    <row r="5394" spans="3:18">
      <c r="C5394" t="str">
        <f t="shared" si="685"/>
        <v/>
      </c>
      <c r="D5394">
        <v>43</v>
      </c>
      <c r="E5394">
        <v>25</v>
      </c>
      <c r="F5394" s="366">
        <f t="shared" si="686"/>
        <v>542.5</v>
      </c>
      <c r="G5394" s="97">
        <v>988</v>
      </c>
      <c r="H5394" s="367">
        <f t="shared" si="687"/>
        <v>1530.5</v>
      </c>
      <c r="I5394" s="368">
        <f t="shared" si="688"/>
        <v>0</v>
      </c>
      <c r="J5394">
        <v>3282</v>
      </c>
      <c r="K5394" s="367">
        <f t="shared" si="689"/>
        <v>2344.2857142857142</v>
      </c>
      <c r="L5394">
        <v>0.44</v>
      </c>
      <c r="M5394">
        <v>6.6</v>
      </c>
      <c r="N5394">
        <v>18</v>
      </c>
      <c r="O5394">
        <v>6</v>
      </c>
      <c r="P5394" t="s">
        <v>513</v>
      </c>
      <c r="Q5394" s="97" t="str">
        <f t="shared" si="690"/>
        <v/>
      </c>
      <c r="R5394" t="str">
        <f t="shared" si="691"/>
        <v/>
      </c>
    </row>
    <row r="5395" spans="3:18">
      <c r="C5395" t="str">
        <f t="shared" si="685"/>
        <v>NL</v>
      </c>
      <c r="D5395">
        <v>44</v>
      </c>
      <c r="E5395">
        <v>25</v>
      </c>
      <c r="F5395" s="366">
        <f t="shared" si="686"/>
        <v>542.5</v>
      </c>
      <c r="G5395" s="97">
        <v>1456</v>
      </c>
      <c r="H5395" s="367">
        <f t="shared" si="687"/>
        <v>1998.5</v>
      </c>
      <c r="I5395" s="368">
        <f t="shared" si="688"/>
        <v>0</v>
      </c>
      <c r="J5395">
        <v>4836</v>
      </c>
      <c r="K5395" s="367">
        <f t="shared" si="689"/>
        <v>3454.2857142857142</v>
      </c>
      <c r="L5395">
        <v>0.78</v>
      </c>
      <c r="M5395">
        <v>7.6</v>
      </c>
      <c r="N5395">
        <v>22</v>
      </c>
      <c r="O5395">
        <v>7</v>
      </c>
      <c r="P5395" t="s">
        <v>512</v>
      </c>
      <c r="Q5395" s="97" t="str">
        <f t="shared" si="690"/>
        <v/>
      </c>
      <c r="R5395" t="str">
        <f t="shared" si="691"/>
        <v/>
      </c>
    </row>
    <row r="5396" spans="3:18">
      <c r="C5396" t="str">
        <f t="shared" si="685"/>
        <v/>
      </c>
      <c r="D5396">
        <v>45</v>
      </c>
      <c r="E5396">
        <v>25</v>
      </c>
      <c r="F5396" s="366">
        <f t="shared" si="686"/>
        <v>542.5</v>
      </c>
      <c r="G5396" s="97">
        <v>1181</v>
      </c>
      <c r="H5396" s="367">
        <f t="shared" si="687"/>
        <v>1723.5</v>
      </c>
      <c r="I5396" s="368">
        <f t="shared" si="688"/>
        <v>0</v>
      </c>
      <c r="J5396">
        <v>3923</v>
      </c>
      <c r="K5396" s="367">
        <f t="shared" si="689"/>
        <v>2802.1428571428573</v>
      </c>
      <c r="L5396">
        <v>0.26</v>
      </c>
      <c r="M5396">
        <v>8.5</v>
      </c>
      <c r="N5396">
        <v>17</v>
      </c>
      <c r="O5396">
        <v>8</v>
      </c>
      <c r="P5396" t="s">
        <v>513</v>
      </c>
      <c r="Q5396" s="97" t="str">
        <f t="shared" si="690"/>
        <v/>
      </c>
      <c r="R5396" t="str">
        <f t="shared" si="691"/>
        <v/>
      </c>
    </row>
    <row r="5397" spans="3:18">
      <c r="C5397" t="str">
        <f t="shared" si="685"/>
        <v/>
      </c>
      <c r="D5397">
        <v>46</v>
      </c>
      <c r="E5397">
        <v>25</v>
      </c>
      <c r="F5397" s="366">
        <f t="shared" si="686"/>
        <v>542.5</v>
      </c>
      <c r="G5397" s="97">
        <v>1265</v>
      </c>
      <c r="H5397" s="367">
        <f t="shared" si="687"/>
        <v>1807.5</v>
      </c>
      <c r="I5397" s="368">
        <f t="shared" si="688"/>
        <v>0</v>
      </c>
      <c r="J5397">
        <v>4202</v>
      </c>
      <c r="K5397" s="367">
        <f t="shared" si="689"/>
        <v>3001.4285714285716</v>
      </c>
      <c r="L5397">
        <v>0.61</v>
      </c>
      <c r="M5397">
        <v>8.5</v>
      </c>
      <c r="N5397">
        <v>22</v>
      </c>
      <c r="O5397">
        <v>8</v>
      </c>
      <c r="P5397" t="s">
        <v>512</v>
      </c>
      <c r="Q5397" s="97" t="str">
        <f t="shared" si="690"/>
        <v/>
      </c>
      <c r="R5397" t="str">
        <f t="shared" si="691"/>
        <v/>
      </c>
    </row>
    <row r="5398" spans="3:18">
      <c r="C5398" t="str">
        <f t="shared" si="685"/>
        <v>NL</v>
      </c>
      <c r="D5398">
        <v>47</v>
      </c>
      <c r="E5398">
        <v>25</v>
      </c>
      <c r="F5398" s="366">
        <f t="shared" si="686"/>
        <v>542.5</v>
      </c>
      <c r="G5398" s="97">
        <v>1598</v>
      </c>
      <c r="H5398" s="367">
        <f t="shared" si="687"/>
        <v>2140.5</v>
      </c>
      <c r="I5398" s="368">
        <f t="shared" si="688"/>
        <v>0</v>
      </c>
      <c r="J5398">
        <v>5307</v>
      </c>
      <c r="K5398" s="367">
        <f t="shared" si="689"/>
        <v>3790.7142857142858</v>
      </c>
      <c r="L5398">
        <v>0.21000000000000002</v>
      </c>
      <c r="M5398">
        <v>9.6</v>
      </c>
      <c r="N5398">
        <v>16</v>
      </c>
      <c r="O5398">
        <v>9</v>
      </c>
      <c r="P5398" t="s">
        <v>513</v>
      </c>
      <c r="Q5398" s="97" t="str">
        <f t="shared" si="690"/>
        <v/>
      </c>
      <c r="R5398" t="str">
        <f t="shared" si="691"/>
        <v/>
      </c>
    </row>
    <row r="5399" spans="3:18">
      <c r="C5399" t="str">
        <f t="shared" si="685"/>
        <v>NL</v>
      </c>
      <c r="D5399">
        <v>48</v>
      </c>
      <c r="E5399">
        <v>25</v>
      </c>
      <c r="F5399" s="366">
        <f t="shared" si="686"/>
        <v>542.5</v>
      </c>
      <c r="G5399" s="97">
        <v>1714</v>
      </c>
      <c r="H5399" s="367">
        <f t="shared" si="687"/>
        <v>2256.5</v>
      </c>
      <c r="I5399" s="368">
        <f t="shared" si="688"/>
        <v>0</v>
      </c>
      <c r="J5399">
        <v>5692</v>
      </c>
      <c r="K5399" s="367">
        <f t="shared" si="689"/>
        <v>4065.7142857142858</v>
      </c>
      <c r="L5399">
        <v>0.49</v>
      </c>
      <c r="M5399">
        <v>9.6</v>
      </c>
      <c r="N5399">
        <v>21</v>
      </c>
      <c r="O5399">
        <v>9</v>
      </c>
      <c r="P5399" t="s">
        <v>512</v>
      </c>
      <c r="Q5399" s="97" t="str">
        <f t="shared" si="690"/>
        <v/>
      </c>
      <c r="R5399" t="str">
        <f t="shared" si="691"/>
        <v/>
      </c>
    </row>
    <row r="5400" spans="3:18">
      <c r="C5400" t="str">
        <f t="shared" si="685"/>
        <v/>
      </c>
      <c r="D5400">
        <v>49</v>
      </c>
      <c r="E5400">
        <v>25</v>
      </c>
      <c r="F5400" s="366">
        <f t="shared" si="686"/>
        <v>542.5</v>
      </c>
      <c r="G5400" s="97">
        <v>1694</v>
      </c>
      <c r="H5400" s="367">
        <f t="shared" si="687"/>
        <v>2236.5</v>
      </c>
      <c r="I5400" s="368">
        <f t="shared" si="688"/>
        <v>0</v>
      </c>
      <c r="J5400">
        <v>5627</v>
      </c>
      <c r="K5400" s="367">
        <f t="shared" si="689"/>
        <v>4019.2857142857142</v>
      </c>
      <c r="L5400">
        <v>0.17</v>
      </c>
      <c r="M5400">
        <v>1.4000000000000001</v>
      </c>
      <c r="N5400">
        <v>16</v>
      </c>
      <c r="O5400">
        <v>10</v>
      </c>
      <c r="P5400" t="s">
        <v>513</v>
      </c>
      <c r="Q5400" s="97" t="str">
        <f t="shared" si="690"/>
        <v/>
      </c>
      <c r="R5400" t="str">
        <f t="shared" si="691"/>
        <v/>
      </c>
    </row>
    <row r="5401" spans="3:18">
      <c r="C5401" t="str">
        <f t="shared" si="685"/>
        <v/>
      </c>
      <c r="D5401">
        <v>50</v>
      </c>
      <c r="E5401">
        <v>25</v>
      </c>
      <c r="F5401" s="366">
        <f t="shared" si="686"/>
        <v>542.5</v>
      </c>
      <c r="G5401" s="97">
        <v>1812</v>
      </c>
      <c r="H5401" s="367">
        <f t="shared" si="687"/>
        <v>2354.5</v>
      </c>
      <c r="I5401" s="368">
        <f t="shared" si="688"/>
        <v>0</v>
      </c>
      <c r="J5401">
        <v>6018</v>
      </c>
      <c r="K5401" s="367">
        <f t="shared" si="689"/>
        <v>4298.5714285714284</v>
      </c>
      <c r="L5401">
        <v>0.4</v>
      </c>
      <c r="M5401">
        <v>1.4000000000000001</v>
      </c>
      <c r="N5401">
        <v>21</v>
      </c>
      <c r="O5401">
        <v>10</v>
      </c>
      <c r="P5401" t="s">
        <v>512</v>
      </c>
      <c r="Q5401" s="97" t="str">
        <f t="shared" si="690"/>
        <v/>
      </c>
      <c r="R5401" t="str">
        <f t="shared" si="691"/>
        <v/>
      </c>
    </row>
    <row r="5402" spans="3:18">
      <c r="C5402" t="str">
        <f t="shared" si="685"/>
        <v/>
      </c>
      <c r="D5402">
        <v>51</v>
      </c>
      <c r="E5402">
        <v>30</v>
      </c>
      <c r="F5402" s="366">
        <f t="shared" si="686"/>
        <v>651</v>
      </c>
      <c r="G5402" s="97">
        <v>459</v>
      </c>
      <c r="H5402" s="367">
        <f t="shared" si="687"/>
        <v>1110</v>
      </c>
      <c r="I5402" s="368">
        <f t="shared" si="688"/>
        <v>0</v>
      </c>
      <c r="J5402">
        <v>1524</v>
      </c>
      <c r="K5402" s="367">
        <f t="shared" si="689"/>
        <v>1088.5714285714287</v>
      </c>
      <c r="L5402">
        <v>0.77</v>
      </c>
      <c r="M5402">
        <v>2.5</v>
      </c>
      <c r="N5402">
        <v>21</v>
      </c>
      <c r="O5402">
        <v>2</v>
      </c>
      <c r="P5402" t="s">
        <v>515</v>
      </c>
      <c r="Q5402" s="97" t="str">
        <f t="shared" si="690"/>
        <v/>
      </c>
      <c r="R5402" t="str">
        <f t="shared" si="691"/>
        <v/>
      </c>
    </row>
    <row r="5403" spans="3:18">
      <c r="C5403" t="str">
        <f t="shared" si="685"/>
        <v>NL</v>
      </c>
      <c r="D5403">
        <v>52</v>
      </c>
      <c r="E5403">
        <v>30</v>
      </c>
      <c r="F5403" s="366">
        <f t="shared" si="686"/>
        <v>651</v>
      </c>
      <c r="G5403" s="97">
        <v>504</v>
      </c>
      <c r="H5403" s="367">
        <f t="shared" si="687"/>
        <v>1155</v>
      </c>
      <c r="I5403" s="368">
        <f t="shared" si="688"/>
        <v>0</v>
      </c>
      <c r="J5403">
        <v>1675</v>
      </c>
      <c r="K5403" s="367">
        <f t="shared" si="689"/>
        <v>1196.4285714285716</v>
      </c>
      <c r="L5403">
        <v>0.27</v>
      </c>
      <c r="M5403">
        <v>3.5</v>
      </c>
      <c r="N5403">
        <v>16</v>
      </c>
      <c r="O5403">
        <v>3</v>
      </c>
      <c r="P5403" t="s">
        <v>515</v>
      </c>
      <c r="Q5403" s="97" t="str">
        <f t="shared" si="690"/>
        <v/>
      </c>
      <c r="R5403" t="str">
        <f t="shared" si="691"/>
        <v/>
      </c>
    </row>
    <row r="5404" spans="3:18">
      <c r="C5404" t="str">
        <f t="shared" si="685"/>
        <v>NL</v>
      </c>
      <c r="D5404">
        <v>53</v>
      </c>
      <c r="E5404">
        <v>30</v>
      </c>
      <c r="F5404" s="366">
        <f t="shared" si="686"/>
        <v>651</v>
      </c>
      <c r="G5404" s="97">
        <v>716</v>
      </c>
      <c r="H5404" s="367">
        <f t="shared" si="687"/>
        <v>1367</v>
      </c>
      <c r="I5404" s="368">
        <f t="shared" si="688"/>
        <v>0</v>
      </c>
      <c r="J5404">
        <v>2379</v>
      </c>
      <c r="K5404" s="367">
        <f t="shared" si="689"/>
        <v>1699.2857142857142</v>
      </c>
      <c r="L5404">
        <v>0.84</v>
      </c>
      <c r="M5404">
        <v>3.5</v>
      </c>
      <c r="N5404">
        <v>21</v>
      </c>
      <c r="O5404">
        <v>3</v>
      </c>
      <c r="P5404" t="s">
        <v>514</v>
      </c>
      <c r="Q5404" s="97" t="str">
        <f t="shared" si="690"/>
        <v/>
      </c>
      <c r="R5404" t="str">
        <f t="shared" si="691"/>
        <v/>
      </c>
    </row>
    <row r="5405" spans="3:18">
      <c r="C5405" t="str">
        <f t="shared" si="685"/>
        <v/>
      </c>
      <c r="D5405">
        <v>54</v>
      </c>
      <c r="E5405">
        <v>30</v>
      </c>
      <c r="F5405" s="366">
        <f t="shared" si="686"/>
        <v>651</v>
      </c>
      <c r="G5405" s="97">
        <v>550</v>
      </c>
      <c r="H5405" s="367">
        <f t="shared" si="687"/>
        <v>1201</v>
      </c>
      <c r="I5405" s="368">
        <f t="shared" si="688"/>
        <v>0</v>
      </c>
      <c r="J5405">
        <v>1826</v>
      </c>
      <c r="K5405" s="367">
        <f t="shared" si="689"/>
        <v>1304.2857142857142</v>
      </c>
      <c r="L5405">
        <v>0.14000000000000001</v>
      </c>
      <c r="M5405">
        <v>4.5</v>
      </c>
      <c r="N5405">
        <v>15</v>
      </c>
      <c r="O5405">
        <v>4</v>
      </c>
      <c r="P5405" t="s">
        <v>515</v>
      </c>
      <c r="Q5405" s="97" t="str">
        <f t="shared" si="690"/>
        <v/>
      </c>
      <c r="R5405" t="str">
        <f t="shared" si="691"/>
        <v/>
      </c>
    </row>
    <row r="5406" spans="3:18">
      <c r="C5406" t="str">
        <f t="shared" si="685"/>
        <v/>
      </c>
      <c r="D5406">
        <v>55</v>
      </c>
      <c r="E5406">
        <v>30</v>
      </c>
      <c r="F5406" s="366">
        <f t="shared" si="686"/>
        <v>651</v>
      </c>
      <c r="G5406" s="97">
        <v>758</v>
      </c>
      <c r="H5406" s="367">
        <f t="shared" si="687"/>
        <v>1409</v>
      </c>
      <c r="I5406" s="368">
        <f t="shared" si="688"/>
        <v>0</v>
      </c>
      <c r="J5406">
        <v>2517</v>
      </c>
      <c r="K5406" s="367">
        <f t="shared" si="689"/>
        <v>1797.8571428571429</v>
      </c>
      <c r="L5406">
        <v>0.42</v>
      </c>
      <c r="M5406">
        <v>4.5</v>
      </c>
      <c r="N5406">
        <v>17</v>
      </c>
      <c r="O5406">
        <v>4</v>
      </c>
      <c r="P5406" t="s">
        <v>514</v>
      </c>
      <c r="Q5406" s="97" t="str">
        <f t="shared" si="690"/>
        <v/>
      </c>
      <c r="R5406" t="str">
        <f t="shared" si="691"/>
        <v/>
      </c>
    </row>
    <row r="5407" spans="3:18">
      <c r="C5407" t="str">
        <f t="shared" si="685"/>
        <v>NL</v>
      </c>
      <c r="D5407">
        <v>56</v>
      </c>
      <c r="E5407">
        <v>30</v>
      </c>
      <c r="F5407" s="366">
        <f t="shared" si="686"/>
        <v>651</v>
      </c>
      <c r="G5407" s="97">
        <v>893</v>
      </c>
      <c r="H5407" s="367">
        <f t="shared" si="687"/>
        <v>1544</v>
      </c>
      <c r="I5407" s="368">
        <f t="shared" si="688"/>
        <v>0</v>
      </c>
      <c r="J5407">
        <v>2966</v>
      </c>
      <c r="K5407" s="367">
        <f t="shared" si="689"/>
        <v>2118.5714285714284</v>
      </c>
      <c r="L5407">
        <v>0.27</v>
      </c>
      <c r="M5407">
        <v>5.5</v>
      </c>
      <c r="N5407">
        <v>16</v>
      </c>
      <c r="O5407">
        <v>5</v>
      </c>
      <c r="P5407" t="s">
        <v>514</v>
      </c>
      <c r="Q5407" s="97" t="str">
        <f t="shared" si="690"/>
        <v/>
      </c>
      <c r="R5407" t="str">
        <f t="shared" si="691"/>
        <v/>
      </c>
    </row>
    <row r="5408" spans="3:18">
      <c r="C5408" t="str">
        <f t="shared" si="685"/>
        <v>NL</v>
      </c>
      <c r="D5408">
        <v>57</v>
      </c>
      <c r="E5408">
        <v>30</v>
      </c>
      <c r="F5408" s="366">
        <f t="shared" si="686"/>
        <v>651</v>
      </c>
      <c r="G5408" s="97">
        <v>1193</v>
      </c>
      <c r="H5408" s="367">
        <f t="shared" si="687"/>
        <v>1844</v>
      </c>
      <c r="I5408" s="368">
        <f t="shared" si="688"/>
        <v>0</v>
      </c>
      <c r="J5408">
        <v>3964</v>
      </c>
      <c r="K5408" s="367">
        <f t="shared" si="689"/>
        <v>2831.4285714285716</v>
      </c>
      <c r="L5408">
        <v>0.9</v>
      </c>
      <c r="M5408">
        <v>5.5</v>
      </c>
      <c r="N5408">
        <v>21</v>
      </c>
      <c r="O5408">
        <v>5</v>
      </c>
      <c r="P5408" t="s">
        <v>513</v>
      </c>
      <c r="Q5408" s="97" t="str">
        <f t="shared" si="690"/>
        <v/>
      </c>
      <c r="R5408" t="str">
        <f t="shared" si="691"/>
        <v/>
      </c>
    </row>
    <row r="5409" spans="3:18">
      <c r="C5409" t="str">
        <f t="shared" si="685"/>
        <v/>
      </c>
      <c r="D5409">
        <v>58</v>
      </c>
      <c r="E5409">
        <v>30</v>
      </c>
      <c r="F5409" s="366">
        <f t="shared" si="686"/>
        <v>651</v>
      </c>
      <c r="G5409" s="97">
        <v>837</v>
      </c>
      <c r="H5409" s="367">
        <f t="shared" si="687"/>
        <v>1488</v>
      </c>
      <c r="I5409" s="368">
        <f t="shared" si="688"/>
        <v>0</v>
      </c>
      <c r="J5409">
        <v>2780</v>
      </c>
      <c r="K5409" s="367">
        <f t="shared" si="689"/>
        <v>1985.7142857142858</v>
      </c>
      <c r="L5409">
        <v>0.19</v>
      </c>
      <c r="M5409">
        <v>6.6</v>
      </c>
      <c r="N5409">
        <v>15</v>
      </c>
      <c r="O5409">
        <v>6</v>
      </c>
      <c r="P5409" t="s">
        <v>514</v>
      </c>
      <c r="Q5409" s="97" t="str">
        <f t="shared" si="690"/>
        <v/>
      </c>
      <c r="R5409" t="str">
        <f t="shared" si="691"/>
        <v/>
      </c>
    </row>
    <row r="5410" spans="3:18">
      <c r="C5410" t="str">
        <f t="shared" si="685"/>
        <v/>
      </c>
      <c r="D5410">
        <v>59</v>
      </c>
      <c r="E5410">
        <v>30</v>
      </c>
      <c r="F5410" s="366">
        <f t="shared" si="686"/>
        <v>651</v>
      </c>
      <c r="G5410" s="97">
        <v>1139</v>
      </c>
      <c r="H5410" s="367">
        <f t="shared" si="687"/>
        <v>1790</v>
      </c>
      <c r="I5410" s="368">
        <f t="shared" si="688"/>
        <v>0</v>
      </c>
      <c r="J5410">
        <v>3782</v>
      </c>
      <c r="K5410" s="367">
        <f t="shared" si="689"/>
        <v>2701.4285714285716</v>
      </c>
      <c r="L5410">
        <v>0.64</v>
      </c>
      <c r="M5410">
        <v>6.6</v>
      </c>
      <c r="N5410">
        <v>20</v>
      </c>
      <c r="O5410">
        <v>6</v>
      </c>
      <c r="P5410" t="s">
        <v>513</v>
      </c>
      <c r="Q5410" s="97" t="str">
        <f t="shared" si="690"/>
        <v/>
      </c>
      <c r="R5410" t="str">
        <f t="shared" si="691"/>
        <v/>
      </c>
    </row>
    <row r="5411" spans="3:18">
      <c r="C5411" t="str">
        <f t="shared" si="685"/>
        <v>NL</v>
      </c>
      <c r="D5411">
        <v>60</v>
      </c>
      <c r="E5411">
        <v>30</v>
      </c>
      <c r="F5411" s="366">
        <f t="shared" si="686"/>
        <v>651</v>
      </c>
      <c r="G5411" s="97">
        <v>1160</v>
      </c>
      <c r="H5411" s="367">
        <f t="shared" si="687"/>
        <v>1811</v>
      </c>
      <c r="I5411" s="368">
        <f t="shared" si="688"/>
        <v>0</v>
      </c>
      <c r="J5411">
        <v>3852</v>
      </c>
      <c r="K5411" s="367">
        <f t="shared" si="689"/>
        <v>2751.4285714285716</v>
      </c>
      <c r="L5411">
        <v>0.15000000000000002</v>
      </c>
      <c r="M5411">
        <v>7.6</v>
      </c>
      <c r="N5411">
        <v>15</v>
      </c>
      <c r="O5411">
        <v>7</v>
      </c>
      <c r="P5411" t="s">
        <v>514</v>
      </c>
      <c r="Q5411" s="97" t="str">
        <f t="shared" si="690"/>
        <v/>
      </c>
      <c r="R5411" t="str">
        <f t="shared" si="691"/>
        <v/>
      </c>
    </row>
    <row r="5412" spans="3:18">
      <c r="C5412" t="str">
        <f t="shared" si="685"/>
        <v>NL</v>
      </c>
      <c r="D5412">
        <v>61</v>
      </c>
      <c r="E5412">
        <v>30</v>
      </c>
      <c r="F5412" s="366">
        <f t="shared" si="686"/>
        <v>651</v>
      </c>
      <c r="G5412" s="97">
        <v>1555</v>
      </c>
      <c r="H5412" s="367">
        <f t="shared" si="687"/>
        <v>2206</v>
      </c>
      <c r="I5412" s="368">
        <f t="shared" si="688"/>
        <v>0</v>
      </c>
      <c r="J5412">
        <v>5164</v>
      </c>
      <c r="K5412" s="367">
        <f t="shared" si="689"/>
        <v>3688.5714285714284</v>
      </c>
      <c r="L5412">
        <v>0.47000000000000003</v>
      </c>
      <c r="M5412">
        <v>7.6</v>
      </c>
      <c r="N5412">
        <v>19</v>
      </c>
      <c r="O5412">
        <v>7</v>
      </c>
      <c r="P5412" t="s">
        <v>513</v>
      </c>
      <c r="Q5412" s="97" t="str">
        <f t="shared" si="690"/>
        <v/>
      </c>
      <c r="R5412" t="str">
        <f t="shared" si="691"/>
        <v/>
      </c>
    </row>
    <row r="5413" spans="3:18">
      <c r="C5413" t="str">
        <f t="shared" si="685"/>
        <v/>
      </c>
      <c r="D5413">
        <v>62</v>
      </c>
      <c r="E5413">
        <v>30</v>
      </c>
      <c r="F5413" s="366">
        <f t="shared" si="686"/>
        <v>651</v>
      </c>
      <c r="G5413" s="97">
        <v>1344</v>
      </c>
      <c r="H5413" s="367">
        <f t="shared" si="687"/>
        <v>1995</v>
      </c>
      <c r="I5413" s="368">
        <f t="shared" si="688"/>
        <v>0</v>
      </c>
      <c r="J5413">
        <v>4463</v>
      </c>
      <c r="K5413" s="367">
        <f t="shared" si="689"/>
        <v>3187.8571428571431</v>
      </c>
      <c r="L5413">
        <v>0.37</v>
      </c>
      <c r="M5413">
        <v>8.5</v>
      </c>
      <c r="N5413">
        <v>19</v>
      </c>
      <c r="O5413">
        <v>8</v>
      </c>
      <c r="P5413" t="s">
        <v>513</v>
      </c>
      <c r="Q5413" s="97" t="str">
        <f t="shared" si="690"/>
        <v/>
      </c>
      <c r="R5413" t="str">
        <f t="shared" si="691"/>
        <v/>
      </c>
    </row>
    <row r="5414" spans="3:18">
      <c r="C5414" t="str">
        <f t="shared" si="685"/>
        <v/>
      </c>
      <c r="D5414">
        <v>63</v>
      </c>
      <c r="E5414">
        <v>30</v>
      </c>
      <c r="F5414" s="366">
        <f t="shared" si="686"/>
        <v>651</v>
      </c>
      <c r="G5414" s="97">
        <v>1445</v>
      </c>
      <c r="H5414" s="367">
        <f t="shared" si="687"/>
        <v>2096</v>
      </c>
      <c r="I5414" s="368">
        <f t="shared" si="688"/>
        <v>0</v>
      </c>
      <c r="J5414">
        <v>4798</v>
      </c>
      <c r="K5414" s="367">
        <f t="shared" si="689"/>
        <v>3427.1428571428573</v>
      </c>
      <c r="L5414">
        <v>0.87</v>
      </c>
      <c r="M5414">
        <v>8.5</v>
      </c>
      <c r="N5414">
        <v>24</v>
      </c>
      <c r="O5414">
        <v>8</v>
      </c>
      <c r="P5414" t="s">
        <v>512</v>
      </c>
      <c r="Q5414" s="97" t="str">
        <f t="shared" si="690"/>
        <v/>
      </c>
      <c r="R5414" t="str">
        <f t="shared" si="691"/>
        <v/>
      </c>
    </row>
    <row r="5415" spans="3:18">
      <c r="C5415" t="str">
        <f t="shared" si="685"/>
        <v>NL</v>
      </c>
      <c r="D5415">
        <v>64</v>
      </c>
      <c r="E5415">
        <v>30</v>
      </c>
      <c r="F5415" s="366">
        <f t="shared" si="686"/>
        <v>651</v>
      </c>
      <c r="G5415" s="97">
        <v>1830</v>
      </c>
      <c r="H5415" s="367">
        <f t="shared" si="687"/>
        <v>2481</v>
      </c>
      <c r="I5415" s="368">
        <f t="shared" si="688"/>
        <v>0</v>
      </c>
      <c r="J5415">
        <v>6077</v>
      </c>
      <c r="K5415" s="367">
        <f t="shared" si="689"/>
        <v>4340.7142857142862</v>
      </c>
      <c r="L5415">
        <v>0.3</v>
      </c>
      <c r="M5415">
        <v>9.6</v>
      </c>
      <c r="N5415">
        <v>18</v>
      </c>
      <c r="O5415">
        <v>9</v>
      </c>
      <c r="P5415" t="s">
        <v>513</v>
      </c>
      <c r="Q5415" s="97" t="str">
        <f t="shared" si="690"/>
        <v/>
      </c>
      <c r="R5415" t="str">
        <f t="shared" si="691"/>
        <v/>
      </c>
    </row>
    <row r="5416" spans="3:18">
      <c r="C5416" t="str">
        <f t="shared" si="685"/>
        <v>NL</v>
      </c>
      <c r="D5416">
        <v>65</v>
      </c>
      <c r="E5416">
        <v>30</v>
      </c>
      <c r="F5416" s="366">
        <f t="shared" si="686"/>
        <v>651</v>
      </c>
      <c r="G5416" s="97">
        <v>1969</v>
      </c>
      <c r="H5416" s="367">
        <f t="shared" si="687"/>
        <v>2620</v>
      </c>
      <c r="I5416" s="368">
        <f t="shared" si="688"/>
        <v>0</v>
      </c>
      <c r="J5416">
        <v>6539</v>
      </c>
      <c r="K5416" s="367">
        <f t="shared" si="689"/>
        <v>4670.7142857142862</v>
      </c>
      <c r="L5416">
        <v>0.7</v>
      </c>
      <c r="M5416">
        <v>9.6</v>
      </c>
      <c r="N5416">
        <v>24</v>
      </c>
      <c r="O5416">
        <v>9</v>
      </c>
      <c r="P5416" t="s">
        <v>512</v>
      </c>
      <c r="Q5416" s="97" t="str">
        <f t="shared" si="690"/>
        <v/>
      </c>
      <c r="R5416" t="str">
        <f t="shared" si="691"/>
        <v/>
      </c>
    </row>
    <row r="5417" spans="3:18">
      <c r="C5417" t="str">
        <f t="shared" ref="C5417:C5480" si="692">IF(OR($O$4=0,O5417-$O$4=0),IF(AND(ISEVEN(O5417)=FALSE,$N$4="Even"),"NL",""),"NL")</f>
        <v/>
      </c>
      <c r="D5417">
        <v>66</v>
      </c>
      <c r="E5417">
        <v>30</v>
      </c>
      <c r="F5417" s="366">
        <f t="shared" ref="F5417:F5480" si="693">1.085*($A$2-$B$2)*E5417*$T$7</f>
        <v>651</v>
      </c>
      <c r="G5417" s="97">
        <v>1930</v>
      </c>
      <c r="H5417" s="367">
        <f t="shared" ref="H5417:H5480" si="694">(G5417*$U$7)+F5417</f>
        <v>2581</v>
      </c>
      <c r="I5417" s="368">
        <f t="shared" ref="I5417:I5480" si="695">1.085*($C$2-$D$2)*E5417*$T$7</f>
        <v>0</v>
      </c>
      <c r="J5417">
        <v>6409</v>
      </c>
      <c r="K5417" s="367">
        <f t="shared" ref="K5417:K5480" si="696">(J5417*$V$7)-I5417</f>
        <v>4577.8571428571431</v>
      </c>
      <c r="L5417">
        <v>0.25</v>
      </c>
      <c r="M5417">
        <v>1.4000000000000001</v>
      </c>
      <c r="N5417">
        <v>18</v>
      </c>
      <c r="O5417">
        <v>10</v>
      </c>
      <c r="P5417" t="s">
        <v>513</v>
      </c>
      <c r="Q5417" s="97" t="str">
        <f t="shared" ref="Q5417:Q5480" si="697">IF(AND(H5417+1&gt;$E$4,L5417&lt;$L$4+0.01,M5417&lt;$M$4+0.01,K5417+1&gt;$F$4,E5417+1&gt;$J$4,N5417&lt;$K$4+1,O5417&lt;$P$4+1,C5417=""),D5417,"")</f>
        <v/>
      </c>
      <c r="R5417" t="str">
        <f t="shared" ref="R5417:R5480" si="698">IF(Q5417="","",IF(AND(O5417&lt;$X$39,E5417&gt;$U$39,E5417&lt;$Q$4+$U$39+1),D5417,""))</f>
        <v/>
      </c>
    </row>
    <row r="5418" spans="3:18">
      <c r="C5418" t="str">
        <f t="shared" si="692"/>
        <v/>
      </c>
      <c r="D5418">
        <v>67</v>
      </c>
      <c r="E5418">
        <v>30</v>
      </c>
      <c r="F5418" s="366">
        <f t="shared" si="693"/>
        <v>651</v>
      </c>
      <c r="G5418" s="97">
        <v>2071</v>
      </c>
      <c r="H5418" s="367">
        <f t="shared" si="694"/>
        <v>2722</v>
      </c>
      <c r="I5418" s="368">
        <f t="shared" si="695"/>
        <v>0</v>
      </c>
      <c r="J5418">
        <v>6879</v>
      </c>
      <c r="K5418" s="367">
        <f t="shared" si="696"/>
        <v>4913.5714285714284</v>
      </c>
      <c r="L5418">
        <v>0.57999999999999996</v>
      </c>
      <c r="M5418">
        <v>1.4000000000000001</v>
      </c>
      <c r="N5418">
        <v>23</v>
      </c>
      <c r="O5418">
        <v>10</v>
      </c>
      <c r="P5418" t="s">
        <v>512</v>
      </c>
      <c r="Q5418" s="97" t="str">
        <f t="shared" si="697"/>
        <v/>
      </c>
      <c r="R5418" t="str">
        <f t="shared" si="698"/>
        <v/>
      </c>
    </row>
    <row r="5419" spans="3:18">
      <c r="C5419" t="str">
        <f t="shared" si="692"/>
        <v/>
      </c>
      <c r="D5419">
        <v>68</v>
      </c>
      <c r="E5419">
        <v>35</v>
      </c>
      <c r="F5419" s="366">
        <f t="shared" si="693"/>
        <v>759.5</v>
      </c>
      <c r="G5419" s="97">
        <v>517</v>
      </c>
      <c r="H5419" s="367">
        <f t="shared" si="694"/>
        <v>1276.5</v>
      </c>
      <c r="I5419" s="368">
        <f t="shared" si="695"/>
        <v>0</v>
      </c>
      <c r="J5419">
        <v>1719</v>
      </c>
      <c r="K5419" s="367">
        <f t="shared" si="696"/>
        <v>1227.8571428571429</v>
      </c>
      <c r="L5419">
        <v>1.05</v>
      </c>
      <c r="M5419">
        <v>2.5</v>
      </c>
      <c r="N5419">
        <v>23</v>
      </c>
      <c r="O5419">
        <v>2</v>
      </c>
      <c r="P5419" t="s">
        <v>515</v>
      </c>
      <c r="Q5419" s="97" t="str">
        <f t="shared" si="697"/>
        <v/>
      </c>
      <c r="R5419" t="str">
        <f t="shared" si="698"/>
        <v/>
      </c>
    </row>
    <row r="5420" spans="3:18">
      <c r="C5420" t="str">
        <f t="shared" si="692"/>
        <v>NL</v>
      </c>
      <c r="D5420">
        <v>69</v>
      </c>
      <c r="E5420">
        <v>35</v>
      </c>
      <c r="F5420" s="366">
        <f t="shared" si="693"/>
        <v>759.5</v>
      </c>
      <c r="G5420" s="97">
        <v>568</v>
      </c>
      <c r="H5420" s="367">
        <f t="shared" si="694"/>
        <v>1327.5</v>
      </c>
      <c r="I5420" s="368">
        <f t="shared" si="695"/>
        <v>0</v>
      </c>
      <c r="J5420">
        <v>1889</v>
      </c>
      <c r="K5420" s="367">
        <f t="shared" si="696"/>
        <v>1349.2857142857142</v>
      </c>
      <c r="L5420">
        <v>0.37</v>
      </c>
      <c r="M5420">
        <v>3.5</v>
      </c>
      <c r="N5420">
        <v>18</v>
      </c>
      <c r="O5420">
        <v>3</v>
      </c>
      <c r="P5420" t="s">
        <v>515</v>
      </c>
      <c r="Q5420" s="97" t="str">
        <f t="shared" si="697"/>
        <v/>
      </c>
      <c r="R5420" t="str">
        <f t="shared" si="698"/>
        <v/>
      </c>
    </row>
    <row r="5421" spans="3:18">
      <c r="C5421" t="str">
        <f t="shared" si="692"/>
        <v/>
      </c>
      <c r="D5421">
        <v>70</v>
      </c>
      <c r="E5421">
        <v>35</v>
      </c>
      <c r="F5421" s="366">
        <f t="shared" si="693"/>
        <v>759.5</v>
      </c>
      <c r="G5421" s="97">
        <v>613</v>
      </c>
      <c r="H5421" s="367">
        <f t="shared" si="694"/>
        <v>1372.5</v>
      </c>
      <c r="I5421" s="368">
        <f t="shared" si="695"/>
        <v>0</v>
      </c>
      <c r="J5421">
        <v>2036</v>
      </c>
      <c r="K5421" s="367">
        <f t="shared" si="696"/>
        <v>1454.2857142857142</v>
      </c>
      <c r="L5421">
        <v>0.19</v>
      </c>
      <c r="M5421">
        <v>4.5</v>
      </c>
      <c r="N5421">
        <v>15</v>
      </c>
      <c r="O5421">
        <v>4</v>
      </c>
      <c r="P5421" t="s">
        <v>515</v>
      </c>
      <c r="Q5421" s="97" t="str">
        <f t="shared" si="697"/>
        <v/>
      </c>
      <c r="R5421" t="str">
        <f t="shared" si="698"/>
        <v/>
      </c>
    </row>
    <row r="5422" spans="3:18">
      <c r="C5422" t="str">
        <f t="shared" si="692"/>
        <v/>
      </c>
      <c r="D5422">
        <v>71</v>
      </c>
      <c r="E5422">
        <v>35</v>
      </c>
      <c r="F5422" s="366">
        <f t="shared" si="693"/>
        <v>759.5</v>
      </c>
      <c r="G5422" s="97">
        <v>860</v>
      </c>
      <c r="H5422" s="367">
        <f t="shared" si="694"/>
        <v>1619.5</v>
      </c>
      <c r="I5422" s="368">
        <f t="shared" si="695"/>
        <v>0</v>
      </c>
      <c r="J5422">
        <v>2856</v>
      </c>
      <c r="K5422" s="367">
        <f t="shared" si="696"/>
        <v>2040</v>
      </c>
      <c r="L5422">
        <v>0.57000000000000006</v>
      </c>
      <c r="M5422">
        <v>4.5</v>
      </c>
      <c r="N5422">
        <v>19</v>
      </c>
      <c r="O5422">
        <v>4</v>
      </c>
      <c r="P5422" t="s">
        <v>514</v>
      </c>
      <c r="Q5422" s="97" t="str">
        <f t="shared" si="697"/>
        <v/>
      </c>
      <c r="R5422" t="str">
        <f t="shared" si="698"/>
        <v/>
      </c>
    </row>
    <row r="5423" spans="3:18">
      <c r="C5423" t="str">
        <f t="shared" si="692"/>
        <v>NL</v>
      </c>
      <c r="D5423">
        <v>72</v>
      </c>
      <c r="E5423">
        <v>35</v>
      </c>
      <c r="F5423" s="366">
        <f t="shared" si="693"/>
        <v>759.5</v>
      </c>
      <c r="G5423" s="97">
        <v>1010</v>
      </c>
      <c r="H5423" s="367">
        <f t="shared" si="694"/>
        <v>1769.5</v>
      </c>
      <c r="I5423" s="368">
        <f t="shared" si="695"/>
        <v>0</v>
      </c>
      <c r="J5423">
        <v>3353</v>
      </c>
      <c r="K5423" s="367">
        <f t="shared" si="696"/>
        <v>2395</v>
      </c>
      <c r="L5423">
        <v>0.36</v>
      </c>
      <c r="M5423">
        <v>5.5</v>
      </c>
      <c r="N5423">
        <v>18</v>
      </c>
      <c r="O5423">
        <v>5</v>
      </c>
      <c r="P5423" t="s">
        <v>514</v>
      </c>
      <c r="Q5423" s="97" t="str">
        <f t="shared" si="697"/>
        <v/>
      </c>
      <c r="R5423" t="str">
        <f t="shared" si="698"/>
        <v/>
      </c>
    </row>
    <row r="5424" spans="3:18">
      <c r="C5424" t="str">
        <f t="shared" si="692"/>
        <v/>
      </c>
      <c r="D5424">
        <v>73</v>
      </c>
      <c r="E5424">
        <v>35</v>
      </c>
      <c r="F5424" s="366">
        <f t="shared" si="693"/>
        <v>759.5</v>
      </c>
      <c r="G5424" s="97">
        <v>937</v>
      </c>
      <c r="H5424" s="367">
        <f t="shared" si="694"/>
        <v>1696.5</v>
      </c>
      <c r="I5424" s="368">
        <f t="shared" si="695"/>
        <v>0</v>
      </c>
      <c r="J5424">
        <v>3112</v>
      </c>
      <c r="K5424" s="367">
        <f t="shared" si="696"/>
        <v>2222.8571428571431</v>
      </c>
      <c r="L5424">
        <v>0.26</v>
      </c>
      <c r="M5424">
        <v>6.6</v>
      </c>
      <c r="N5424">
        <v>17</v>
      </c>
      <c r="O5424">
        <v>6</v>
      </c>
      <c r="P5424" t="s">
        <v>514</v>
      </c>
      <c r="Q5424" s="97" t="str">
        <f t="shared" si="697"/>
        <v/>
      </c>
      <c r="R5424" t="str">
        <f t="shared" si="698"/>
        <v/>
      </c>
    </row>
    <row r="5425" spans="3:18">
      <c r="C5425" t="str">
        <f t="shared" si="692"/>
        <v/>
      </c>
      <c r="D5425">
        <v>74</v>
      </c>
      <c r="E5425">
        <v>35</v>
      </c>
      <c r="F5425" s="366">
        <f t="shared" si="693"/>
        <v>759.5</v>
      </c>
      <c r="G5425" s="97">
        <v>1289</v>
      </c>
      <c r="H5425" s="367">
        <f t="shared" si="694"/>
        <v>2048.5</v>
      </c>
      <c r="I5425" s="368">
        <f t="shared" si="695"/>
        <v>0</v>
      </c>
      <c r="J5425">
        <v>4282</v>
      </c>
      <c r="K5425" s="367">
        <f t="shared" si="696"/>
        <v>3058.5714285714284</v>
      </c>
      <c r="L5425">
        <v>0.87</v>
      </c>
      <c r="M5425">
        <v>6.6</v>
      </c>
      <c r="N5425">
        <v>22</v>
      </c>
      <c r="O5425">
        <v>6</v>
      </c>
      <c r="P5425" t="s">
        <v>513</v>
      </c>
      <c r="Q5425" s="97" t="str">
        <f t="shared" si="697"/>
        <v/>
      </c>
      <c r="R5425" t="str">
        <f t="shared" si="698"/>
        <v/>
      </c>
    </row>
    <row r="5426" spans="3:18">
      <c r="C5426" t="str">
        <f t="shared" si="692"/>
        <v>NL</v>
      </c>
      <c r="D5426">
        <v>75</v>
      </c>
      <c r="E5426">
        <v>35</v>
      </c>
      <c r="F5426" s="366">
        <f t="shared" si="693"/>
        <v>759.5</v>
      </c>
      <c r="G5426" s="97">
        <v>1302</v>
      </c>
      <c r="H5426" s="367">
        <f t="shared" si="694"/>
        <v>2061.5</v>
      </c>
      <c r="I5426" s="368">
        <f t="shared" si="695"/>
        <v>0</v>
      </c>
      <c r="J5426">
        <v>4326</v>
      </c>
      <c r="K5426" s="367">
        <f t="shared" si="696"/>
        <v>3090</v>
      </c>
      <c r="L5426">
        <v>0.2</v>
      </c>
      <c r="M5426">
        <v>7.6</v>
      </c>
      <c r="N5426">
        <v>17</v>
      </c>
      <c r="O5426">
        <v>7</v>
      </c>
      <c r="P5426" t="s">
        <v>514</v>
      </c>
      <c r="Q5426" s="97" t="str">
        <f t="shared" si="697"/>
        <v/>
      </c>
      <c r="R5426" t="str">
        <f t="shared" si="698"/>
        <v/>
      </c>
    </row>
    <row r="5427" spans="3:18">
      <c r="C5427" t="str">
        <f t="shared" si="692"/>
        <v>NL</v>
      </c>
      <c r="D5427">
        <v>76</v>
      </c>
      <c r="E5427">
        <v>35</v>
      </c>
      <c r="F5427" s="366">
        <f t="shared" si="693"/>
        <v>759.5</v>
      </c>
      <c r="G5427" s="97">
        <v>1763</v>
      </c>
      <c r="H5427" s="367">
        <f t="shared" si="694"/>
        <v>2522.5</v>
      </c>
      <c r="I5427" s="368">
        <f t="shared" si="695"/>
        <v>0</v>
      </c>
      <c r="J5427">
        <v>5857</v>
      </c>
      <c r="K5427" s="367">
        <f t="shared" si="696"/>
        <v>4183.5714285714284</v>
      </c>
      <c r="L5427">
        <v>0.64</v>
      </c>
      <c r="M5427">
        <v>7.6</v>
      </c>
      <c r="N5427">
        <v>21</v>
      </c>
      <c r="O5427">
        <v>7</v>
      </c>
      <c r="P5427" t="s">
        <v>513</v>
      </c>
      <c r="Q5427" s="97" t="str">
        <f t="shared" si="697"/>
        <v/>
      </c>
      <c r="R5427" t="str">
        <f t="shared" si="698"/>
        <v/>
      </c>
    </row>
    <row r="5428" spans="3:18">
      <c r="C5428" t="str">
        <f t="shared" si="692"/>
        <v/>
      </c>
      <c r="D5428">
        <v>77</v>
      </c>
      <c r="E5428">
        <v>35</v>
      </c>
      <c r="F5428" s="366">
        <f t="shared" si="693"/>
        <v>759.5</v>
      </c>
      <c r="G5428" s="97">
        <v>1114</v>
      </c>
      <c r="H5428" s="367">
        <f t="shared" si="694"/>
        <v>1873.5</v>
      </c>
      <c r="I5428" s="368">
        <f t="shared" si="695"/>
        <v>0</v>
      </c>
      <c r="J5428">
        <v>3699</v>
      </c>
      <c r="K5428" s="367">
        <f t="shared" si="696"/>
        <v>2642.1428571428573</v>
      </c>
      <c r="L5428">
        <v>0.16</v>
      </c>
      <c r="M5428">
        <v>8.5</v>
      </c>
      <c r="N5428">
        <v>17</v>
      </c>
      <c r="O5428">
        <v>8</v>
      </c>
      <c r="P5428" t="s">
        <v>514</v>
      </c>
      <c r="Q5428" s="97" t="str">
        <f t="shared" si="697"/>
        <v/>
      </c>
      <c r="R5428" t="str">
        <f t="shared" si="698"/>
        <v/>
      </c>
    </row>
    <row r="5429" spans="3:18">
      <c r="C5429" t="str">
        <f t="shared" si="692"/>
        <v/>
      </c>
      <c r="D5429">
        <v>78</v>
      </c>
      <c r="E5429">
        <v>35</v>
      </c>
      <c r="F5429" s="366">
        <f t="shared" si="693"/>
        <v>759.5</v>
      </c>
      <c r="G5429" s="97">
        <v>1506</v>
      </c>
      <c r="H5429" s="367">
        <f t="shared" si="694"/>
        <v>2265.5</v>
      </c>
      <c r="I5429" s="368">
        <f t="shared" si="695"/>
        <v>0</v>
      </c>
      <c r="J5429">
        <v>5003</v>
      </c>
      <c r="K5429" s="367">
        <f t="shared" si="696"/>
        <v>3573.5714285714284</v>
      </c>
      <c r="L5429">
        <v>0.5</v>
      </c>
      <c r="M5429">
        <v>8.5</v>
      </c>
      <c r="N5429">
        <v>21</v>
      </c>
      <c r="O5429">
        <v>8</v>
      </c>
      <c r="P5429" t="s">
        <v>513</v>
      </c>
      <c r="Q5429" s="97" t="str">
        <f t="shared" si="697"/>
        <v/>
      </c>
      <c r="R5429" t="str">
        <f t="shared" si="698"/>
        <v/>
      </c>
    </row>
    <row r="5430" spans="3:18">
      <c r="C5430" t="str">
        <f t="shared" si="692"/>
        <v>NL</v>
      </c>
      <c r="D5430">
        <v>79</v>
      </c>
      <c r="E5430">
        <v>35</v>
      </c>
      <c r="F5430" s="366">
        <f t="shared" si="693"/>
        <v>759.5</v>
      </c>
      <c r="G5430" s="97">
        <v>2061</v>
      </c>
      <c r="H5430" s="367">
        <f t="shared" si="694"/>
        <v>2820.5</v>
      </c>
      <c r="I5430" s="368">
        <f t="shared" si="695"/>
        <v>0</v>
      </c>
      <c r="J5430">
        <v>6847</v>
      </c>
      <c r="K5430" s="367">
        <f t="shared" si="696"/>
        <v>4890.7142857142862</v>
      </c>
      <c r="L5430">
        <v>0.41000000000000003</v>
      </c>
      <c r="M5430">
        <v>9.6</v>
      </c>
      <c r="N5430">
        <v>20</v>
      </c>
      <c r="O5430">
        <v>9</v>
      </c>
      <c r="P5430" t="s">
        <v>513</v>
      </c>
      <c r="Q5430" s="97" t="str">
        <f t="shared" si="697"/>
        <v/>
      </c>
      <c r="R5430" t="str">
        <f t="shared" si="698"/>
        <v/>
      </c>
    </row>
    <row r="5431" spans="3:18">
      <c r="C5431" t="str">
        <f t="shared" si="692"/>
        <v>NL</v>
      </c>
      <c r="D5431">
        <v>80</v>
      </c>
      <c r="E5431">
        <v>35</v>
      </c>
      <c r="F5431" s="366">
        <f t="shared" si="693"/>
        <v>759.5</v>
      </c>
      <c r="G5431" s="97">
        <v>2224</v>
      </c>
      <c r="H5431" s="367">
        <f t="shared" si="694"/>
        <v>2983.5</v>
      </c>
      <c r="I5431" s="368">
        <f t="shared" si="695"/>
        <v>0</v>
      </c>
      <c r="J5431">
        <v>7385</v>
      </c>
      <c r="K5431" s="367">
        <f t="shared" si="696"/>
        <v>5275</v>
      </c>
      <c r="L5431">
        <v>0.95</v>
      </c>
      <c r="M5431">
        <v>9.6</v>
      </c>
      <c r="N5431">
        <v>26</v>
      </c>
      <c r="O5431">
        <v>9</v>
      </c>
      <c r="P5431" t="s">
        <v>512</v>
      </c>
      <c r="Q5431" s="97" t="str">
        <f t="shared" si="697"/>
        <v/>
      </c>
      <c r="R5431" t="str">
        <f t="shared" si="698"/>
        <v/>
      </c>
    </row>
    <row r="5432" spans="3:18">
      <c r="C5432" t="str">
        <f t="shared" si="692"/>
        <v/>
      </c>
      <c r="D5432">
        <v>81</v>
      </c>
      <c r="E5432">
        <v>35</v>
      </c>
      <c r="F5432" s="366">
        <f t="shared" si="693"/>
        <v>759.5</v>
      </c>
      <c r="G5432" s="97">
        <v>2166</v>
      </c>
      <c r="H5432" s="367">
        <f t="shared" si="694"/>
        <v>2925.5</v>
      </c>
      <c r="I5432" s="368">
        <f t="shared" si="695"/>
        <v>0</v>
      </c>
      <c r="J5432">
        <v>7192</v>
      </c>
      <c r="K5432" s="367">
        <f t="shared" si="696"/>
        <v>5137.1428571428569</v>
      </c>
      <c r="L5432">
        <v>0.34</v>
      </c>
      <c r="M5432">
        <v>1.4000000000000001</v>
      </c>
      <c r="N5432">
        <v>20</v>
      </c>
      <c r="O5432">
        <v>10</v>
      </c>
      <c r="P5432" t="s">
        <v>513</v>
      </c>
      <c r="Q5432" s="97" t="str">
        <f t="shared" si="697"/>
        <v/>
      </c>
      <c r="R5432" t="str">
        <f t="shared" si="698"/>
        <v/>
      </c>
    </row>
    <row r="5433" spans="3:18">
      <c r="C5433" t="str">
        <f t="shared" si="692"/>
        <v/>
      </c>
      <c r="D5433">
        <v>82</v>
      </c>
      <c r="E5433">
        <v>35</v>
      </c>
      <c r="F5433" s="366">
        <f t="shared" si="693"/>
        <v>759.5</v>
      </c>
      <c r="G5433" s="97">
        <v>2331</v>
      </c>
      <c r="H5433" s="367">
        <f t="shared" si="694"/>
        <v>3090.5</v>
      </c>
      <c r="I5433" s="368">
        <f t="shared" si="695"/>
        <v>0</v>
      </c>
      <c r="J5433">
        <v>7740</v>
      </c>
      <c r="K5433" s="367">
        <f t="shared" si="696"/>
        <v>5528.5714285714284</v>
      </c>
      <c r="L5433">
        <v>0.79</v>
      </c>
      <c r="M5433">
        <v>1.4000000000000001</v>
      </c>
      <c r="N5433">
        <v>25</v>
      </c>
      <c r="O5433">
        <v>10</v>
      </c>
      <c r="P5433" t="s">
        <v>512</v>
      </c>
      <c r="Q5433" s="97" t="str">
        <f t="shared" si="697"/>
        <v/>
      </c>
      <c r="R5433" t="str">
        <f t="shared" si="698"/>
        <v/>
      </c>
    </row>
    <row r="5434" spans="3:18">
      <c r="C5434" t="str">
        <f t="shared" si="692"/>
        <v>NL</v>
      </c>
      <c r="D5434">
        <v>83</v>
      </c>
      <c r="E5434">
        <v>40</v>
      </c>
      <c r="F5434" s="366">
        <f t="shared" si="693"/>
        <v>868</v>
      </c>
      <c r="G5434" s="97">
        <v>633</v>
      </c>
      <c r="H5434" s="367">
        <f t="shared" si="694"/>
        <v>1501</v>
      </c>
      <c r="I5434" s="368">
        <f t="shared" si="695"/>
        <v>0</v>
      </c>
      <c r="J5434">
        <v>2102</v>
      </c>
      <c r="K5434" s="367">
        <f t="shared" si="696"/>
        <v>1501.4285714285716</v>
      </c>
      <c r="L5434">
        <v>0.48</v>
      </c>
      <c r="M5434">
        <v>3.5</v>
      </c>
      <c r="N5434">
        <v>19</v>
      </c>
      <c r="O5434">
        <v>3</v>
      </c>
      <c r="P5434" t="s">
        <v>515</v>
      </c>
      <c r="Q5434" s="97" t="str">
        <f t="shared" si="697"/>
        <v/>
      </c>
      <c r="R5434" t="str">
        <f t="shared" si="698"/>
        <v/>
      </c>
    </row>
    <row r="5435" spans="3:18">
      <c r="C5435" t="str">
        <f t="shared" si="692"/>
        <v/>
      </c>
      <c r="D5435">
        <v>84</v>
      </c>
      <c r="E5435">
        <v>40</v>
      </c>
      <c r="F5435" s="366">
        <f t="shared" si="693"/>
        <v>868</v>
      </c>
      <c r="G5435" s="97">
        <v>676</v>
      </c>
      <c r="H5435" s="367">
        <f t="shared" si="694"/>
        <v>1544</v>
      </c>
      <c r="I5435" s="368">
        <f t="shared" si="695"/>
        <v>0</v>
      </c>
      <c r="J5435">
        <v>2246</v>
      </c>
      <c r="K5435" s="367">
        <f t="shared" si="696"/>
        <v>1604.2857142857142</v>
      </c>
      <c r="L5435">
        <v>0.24000000000000002</v>
      </c>
      <c r="M5435">
        <v>4.5</v>
      </c>
      <c r="N5435">
        <v>16</v>
      </c>
      <c r="O5435">
        <v>4</v>
      </c>
      <c r="P5435" t="s">
        <v>515</v>
      </c>
      <c r="Q5435" s="97" t="str">
        <f t="shared" si="697"/>
        <v/>
      </c>
      <c r="R5435" t="str">
        <f t="shared" si="698"/>
        <v/>
      </c>
    </row>
    <row r="5436" spans="3:18">
      <c r="C5436" t="str">
        <f t="shared" si="692"/>
        <v/>
      </c>
      <c r="D5436">
        <v>85</v>
      </c>
      <c r="E5436">
        <v>40</v>
      </c>
      <c r="F5436" s="366">
        <f t="shared" si="693"/>
        <v>868</v>
      </c>
      <c r="G5436" s="97">
        <v>958</v>
      </c>
      <c r="H5436" s="367">
        <f t="shared" si="694"/>
        <v>1826</v>
      </c>
      <c r="I5436" s="368">
        <f t="shared" si="695"/>
        <v>0</v>
      </c>
      <c r="J5436">
        <v>3181</v>
      </c>
      <c r="K5436" s="367">
        <f t="shared" si="696"/>
        <v>2272.1428571428573</v>
      </c>
      <c r="L5436">
        <v>0.75</v>
      </c>
      <c r="M5436">
        <v>4.5</v>
      </c>
      <c r="N5436">
        <v>21</v>
      </c>
      <c r="O5436">
        <v>4</v>
      </c>
      <c r="P5436" t="s">
        <v>514</v>
      </c>
      <c r="Q5436" s="97" t="str">
        <f t="shared" si="697"/>
        <v/>
      </c>
      <c r="R5436" t="str">
        <f t="shared" si="698"/>
        <v/>
      </c>
    </row>
    <row r="5437" spans="3:18">
      <c r="C5437" t="str">
        <f t="shared" si="692"/>
        <v>NL</v>
      </c>
      <c r="D5437">
        <v>86</v>
      </c>
      <c r="E5437">
        <v>40</v>
      </c>
      <c r="F5437" s="366">
        <f t="shared" si="693"/>
        <v>868</v>
      </c>
      <c r="G5437" s="97">
        <v>826</v>
      </c>
      <c r="H5437" s="367">
        <f t="shared" si="694"/>
        <v>1694</v>
      </c>
      <c r="I5437" s="368">
        <f t="shared" si="695"/>
        <v>0</v>
      </c>
      <c r="J5437">
        <v>2744</v>
      </c>
      <c r="K5437" s="367">
        <f t="shared" si="696"/>
        <v>1960</v>
      </c>
      <c r="L5437">
        <v>0.16</v>
      </c>
      <c r="M5437">
        <v>5.5</v>
      </c>
      <c r="N5437">
        <v>15</v>
      </c>
      <c r="O5437">
        <v>5</v>
      </c>
      <c r="P5437" t="s">
        <v>515</v>
      </c>
      <c r="Q5437" s="97" t="str">
        <f t="shared" si="697"/>
        <v/>
      </c>
      <c r="R5437" t="str">
        <f t="shared" si="698"/>
        <v/>
      </c>
    </row>
    <row r="5438" spans="3:18">
      <c r="C5438" t="str">
        <f t="shared" si="692"/>
        <v>NL</v>
      </c>
      <c r="D5438">
        <v>87</v>
      </c>
      <c r="E5438">
        <v>40</v>
      </c>
      <c r="F5438" s="366">
        <f t="shared" si="693"/>
        <v>868</v>
      </c>
      <c r="G5438" s="97">
        <v>1126</v>
      </c>
      <c r="H5438" s="367">
        <f t="shared" si="694"/>
        <v>1994</v>
      </c>
      <c r="I5438" s="368">
        <f t="shared" si="695"/>
        <v>0</v>
      </c>
      <c r="J5438">
        <v>3741</v>
      </c>
      <c r="K5438" s="367">
        <f t="shared" si="696"/>
        <v>2672.1428571428573</v>
      </c>
      <c r="L5438">
        <v>0.47000000000000003</v>
      </c>
      <c r="M5438">
        <v>5.5</v>
      </c>
      <c r="N5438">
        <v>20</v>
      </c>
      <c r="O5438">
        <v>5</v>
      </c>
      <c r="P5438" t="s">
        <v>514</v>
      </c>
      <c r="Q5438" s="97" t="str">
        <f t="shared" si="697"/>
        <v/>
      </c>
      <c r="R5438" t="str">
        <f t="shared" si="698"/>
        <v/>
      </c>
    </row>
    <row r="5439" spans="3:18">
      <c r="C5439" t="str">
        <f t="shared" si="692"/>
        <v/>
      </c>
      <c r="D5439">
        <v>88</v>
      </c>
      <c r="E5439">
        <v>40</v>
      </c>
      <c r="F5439" s="366">
        <f t="shared" si="693"/>
        <v>868</v>
      </c>
      <c r="G5439" s="97">
        <v>1037</v>
      </c>
      <c r="H5439" s="367">
        <f t="shared" si="694"/>
        <v>1905</v>
      </c>
      <c r="I5439" s="368">
        <f t="shared" si="695"/>
        <v>0</v>
      </c>
      <c r="J5439">
        <v>3443</v>
      </c>
      <c r="K5439" s="367">
        <f t="shared" si="696"/>
        <v>2459.2857142857142</v>
      </c>
      <c r="L5439">
        <v>0.34</v>
      </c>
      <c r="M5439">
        <v>6.6</v>
      </c>
      <c r="N5439">
        <v>19</v>
      </c>
      <c r="O5439">
        <v>6</v>
      </c>
      <c r="P5439" t="s">
        <v>514</v>
      </c>
      <c r="Q5439" s="97" t="str">
        <f t="shared" si="697"/>
        <v/>
      </c>
      <c r="R5439" t="str">
        <f t="shared" si="698"/>
        <v/>
      </c>
    </row>
    <row r="5440" spans="3:18">
      <c r="C5440" t="str">
        <f t="shared" si="692"/>
        <v>NL</v>
      </c>
      <c r="D5440">
        <v>89</v>
      </c>
      <c r="E5440">
        <v>40</v>
      </c>
      <c r="F5440" s="366">
        <f t="shared" si="693"/>
        <v>868</v>
      </c>
      <c r="G5440" s="97">
        <v>1445</v>
      </c>
      <c r="H5440" s="367">
        <f t="shared" si="694"/>
        <v>2313</v>
      </c>
      <c r="I5440" s="368">
        <f t="shared" si="695"/>
        <v>0</v>
      </c>
      <c r="J5440">
        <v>4800</v>
      </c>
      <c r="K5440" s="367">
        <f t="shared" si="696"/>
        <v>3428.5714285714284</v>
      </c>
      <c r="L5440">
        <v>0.26</v>
      </c>
      <c r="M5440">
        <v>7.6</v>
      </c>
      <c r="N5440">
        <v>18</v>
      </c>
      <c r="O5440">
        <v>7</v>
      </c>
      <c r="P5440" t="s">
        <v>514</v>
      </c>
      <c r="Q5440" s="97" t="str">
        <f t="shared" si="697"/>
        <v/>
      </c>
      <c r="R5440" t="str">
        <f t="shared" si="698"/>
        <v/>
      </c>
    </row>
    <row r="5441" spans="3:18">
      <c r="C5441" t="str">
        <f t="shared" si="692"/>
        <v>NL</v>
      </c>
      <c r="D5441">
        <v>90</v>
      </c>
      <c r="E5441">
        <v>40</v>
      </c>
      <c r="F5441" s="366">
        <f t="shared" si="693"/>
        <v>868</v>
      </c>
      <c r="G5441" s="97">
        <v>1945</v>
      </c>
      <c r="H5441" s="367">
        <f t="shared" si="694"/>
        <v>2813</v>
      </c>
      <c r="I5441" s="368">
        <f t="shared" si="695"/>
        <v>0</v>
      </c>
      <c r="J5441">
        <v>6461</v>
      </c>
      <c r="K5441" s="367">
        <f t="shared" si="696"/>
        <v>4615</v>
      </c>
      <c r="L5441">
        <v>0.84</v>
      </c>
      <c r="M5441">
        <v>7.6</v>
      </c>
      <c r="N5441">
        <v>23</v>
      </c>
      <c r="O5441">
        <v>7</v>
      </c>
      <c r="P5441" t="s">
        <v>513</v>
      </c>
      <c r="Q5441" s="97" t="str">
        <f t="shared" si="697"/>
        <v/>
      </c>
      <c r="R5441" t="str">
        <f t="shared" si="698"/>
        <v/>
      </c>
    </row>
    <row r="5442" spans="3:18">
      <c r="C5442" t="str">
        <f t="shared" si="692"/>
        <v/>
      </c>
      <c r="D5442">
        <v>91</v>
      </c>
      <c r="E5442">
        <v>40</v>
      </c>
      <c r="F5442" s="366">
        <f t="shared" si="693"/>
        <v>868</v>
      </c>
      <c r="G5442" s="97">
        <v>1220</v>
      </c>
      <c r="H5442" s="367">
        <f t="shared" si="694"/>
        <v>2088</v>
      </c>
      <c r="I5442" s="368">
        <f t="shared" si="695"/>
        <v>0</v>
      </c>
      <c r="J5442">
        <v>4053</v>
      </c>
      <c r="K5442" s="367">
        <f t="shared" si="696"/>
        <v>2895</v>
      </c>
      <c r="L5442">
        <v>0.2</v>
      </c>
      <c r="M5442">
        <v>8.5</v>
      </c>
      <c r="N5442">
        <v>18</v>
      </c>
      <c r="O5442">
        <v>8</v>
      </c>
      <c r="P5442" t="s">
        <v>514</v>
      </c>
      <c r="Q5442" s="97" t="str">
        <f t="shared" si="697"/>
        <v/>
      </c>
      <c r="R5442" t="str">
        <f t="shared" si="698"/>
        <v/>
      </c>
    </row>
    <row r="5443" spans="3:18">
      <c r="C5443" t="str">
        <f t="shared" si="692"/>
        <v/>
      </c>
      <c r="D5443">
        <v>92</v>
      </c>
      <c r="E5443">
        <v>40</v>
      </c>
      <c r="F5443" s="366">
        <f t="shared" si="693"/>
        <v>868</v>
      </c>
      <c r="G5443" s="97">
        <v>1669</v>
      </c>
      <c r="H5443" s="367">
        <f t="shared" si="694"/>
        <v>2537</v>
      </c>
      <c r="I5443" s="368">
        <f t="shared" si="695"/>
        <v>0</v>
      </c>
      <c r="J5443">
        <v>5543</v>
      </c>
      <c r="K5443" s="367">
        <f t="shared" si="696"/>
        <v>3959.2857142857142</v>
      </c>
      <c r="L5443">
        <v>0.65</v>
      </c>
      <c r="M5443">
        <v>8.5</v>
      </c>
      <c r="N5443">
        <v>23</v>
      </c>
      <c r="O5443">
        <v>8</v>
      </c>
      <c r="P5443" t="s">
        <v>513</v>
      </c>
      <c r="Q5443" s="97" t="str">
        <f t="shared" si="697"/>
        <v/>
      </c>
      <c r="R5443" t="str">
        <f t="shared" si="698"/>
        <v/>
      </c>
    </row>
    <row r="5444" spans="3:18">
      <c r="C5444" t="str">
        <f t="shared" si="692"/>
        <v>NL</v>
      </c>
      <c r="D5444">
        <v>93</v>
      </c>
      <c r="E5444">
        <v>40</v>
      </c>
      <c r="F5444" s="366">
        <f t="shared" si="693"/>
        <v>868</v>
      </c>
      <c r="G5444" s="97">
        <v>1691</v>
      </c>
      <c r="H5444" s="367">
        <f t="shared" si="694"/>
        <v>2559</v>
      </c>
      <c r="I5444" s="368">
        <f t="shared" si="695"/>
        <v>0</v>
      </c>
      <c r="J5444">
        <v>5615</v>
      </c>
      <c r="K5444" s="367">
        <f t="shared" si="696"/>
        <v>4010.7142857142858</v>
      </c>
      <c r="L5444">
        <v>0.17</v>
      </c>
      <c r="M5444">
        <v>9.6</v>
      </c>
      <c r="N5444">
        <v>18</v>
      </c>
      <c r="O5444">
        <v>9</v>
      </c>
      <c r="P5444" t="s">
        <v>514</v>
      </c>
      <c r="Q5444" s="97" t="str">
        <f t="shared" si="697"/>
        <v/>
      </c>
      <c r="R5444" t="str">
        <f t="shared" si="698"/>
        <v/>
      </c>
    </row>
    <row r="5445" spans="3:18">
      <c r="C5445" t="str">
        <f t="shared" si="692"/>
        <v>NL</v>
      </c>
      <c r="D5445">
        <v>94</v>
      </c>
      <c r="E5445">
        <v>40</v>
      </c>
      <c r="F5445" s="366">
        <f t="shared" si="693"/>
        <v>868</v>
      </c>
      <c r="G5445" s="97">
        <v>2293</v>
      </c>
      <c r="H5445" s="367">
        <f t="shared" si="694"/>
        <v>3161</v>
      </c>
      <c r="I5445" s="368">
        <f t="shared" si="695"/>
        <v>0</v>
      </c>
      <c r="J5445">
        <v>7616</v>
      </c>
      <c r="K5445" s="367">
        <f t="shared" si="696"/>
        <v>5440</v>
      </c>
      <c r="L5445">
        <v>0.53</v>
      </c>
      <c r="M5445">
        <v>9.6</v>
      </c>
      <c r="N5445">
        <v>22</v>
      </c>
      <c r="O5445">
        <v>9</v>
      </c>
      <c r="P5445" t="s">
        <v>513</v>
      </c>
      <c r="Q5445" s="97" t="str">
        <f t="shared" si="697"/>
        <v/>
      </c>
      <c r="R5445" t="str">
        <f t="shared" si="698"/>
        <v/>
      </c>
    </row>
    <row r="5446" spans="3:18">
      <c r="C5446" t="str">
        <f t="shared" si="692"/>
        <v/>
      </c>
      <c r="D5446">
        <v>95</v>
      </c>
      <c r="E5446">
        <v>40</v>
      </c>
      <c r="F5446" s="366">
        <f t="shared" si="693"/>
        <v>868</v>
      </c>
      <c r="G5446" s="97">
        <v>2401</v>
      </c>
      <c r="H5446" s="367">
        <f t="shared" si="694"/>
        <v>3269</v>
      </c>
      <c r="I5446" s="368">
        <f t="shared" si="695"/>
        <v>0</v>
      </c>
      <c r="J5446">
        <v>7975</v>
      </c>
      <c r="K5446" s="367">
        <f t="shared" si="696"/>
        <v>5696.4285714285716</v>
      </c>
      <c r="L5446">
        <v>0.44</v>
      </c>
      <c r="M5446">
        <v>1.4000000000000001</v>
      </c>
      <c r="N5446">
        <v>22</v>
      </c>
      <c r="O5446">
        <v>10</v>
      </c>
      <c r="P5446" t="s">
        <v>513</v>
      </c>
      <c r="Q5446" s="97" t="str">
        <f t="shared" si="697"/>
        <v/>
      </c>
      <c r="R5446" t="str">
        <f t="shared" si="698"/>
        <v/>
      </c>
    </row>
    <row r="5447" spans="3:18">
      <c r="C5447" t="str">
        <f t="shared" si="692"/>
        <v>NL</v>
      </c>
      <c r="D5447">
        <v>96</v>
      </c>
      <c r="E5447">
        <v>45</v>
      </c>
      <c r="F5447" s="366">
        <f t="shared" si="693"/>
        <v>976.5</v>
      </c>
      <c r="G5447" s="97">
        <v>697</v>
      </c>
      <c r="H5447" s="367">
        <f t="shared" si="694"/>
        <v>1673.5</v>
      </c>
      <c r="I5447" s="368">
        <f t="shared" si="695"/>
        <v>0</v>
      </c>
      <c r="J5447">
        <v>2315</v>
      </c>
      <c r="K5447" s="367">
        <f t="shared" si="696"/>
        <v>1653.5714285714287</v>
      </c>
      <c r="L5447">
        <v>0.6</v>
      </c>
      <c r="M5447">
        <v>3.5</v>
      </c>
      <c r="N5447">
        <v>21</v>
      </c>
      <c r="O5447">
        <v>3</v>
      </c>
      <c r="P5447" t="s">
        <v>515</v>
      </c>
      <c r="Q5447" s="97" t="str">
        <f t="shared" si="697"/>
        <v/>
      </c>
      <c r="R5447" t="str">
        <f t="shared" si="698"/>
        <v/>
      </c>
    </row>
    <row r="5448" spans="3:18">
      <c r="C5448" t="str">
        <f t="shared" si="692"/>
        <v/>
      </c>
      <c r="D5448">
        <v>97</v>
      </c>
      <c r="E5448">
        <v>45</v>
      </c>
      <c r="F5448" s="366">
        <f t="shared" si="693"/>
        <v>976.5</v>
      </c>
      <c r="G5448" s="97">
        <v>739</v>
      </c>
      <c r="H5448" s="367">
        <f t="shared" si="694"/>
        <v>1715.5</v>
      </c>
      <c r="I5448" s="368">
        <f t="shared" si="695"/>
        <v>0</v>
      </c>
      <c r="J5448">
        <v>2456</v>
      </c>
      <c r="K5448" s="367">
        <f t="shared" si="696"/>
        <v>1754.2857142857142</v>
      </c>
      <c r="L5448">
        <v>0.31</v>
      </c>
      <c r="M5448">
        <v>4.5</v>
      </c>
      <c r="N5448">
        <v>17</v>
      </c>
      <c r="O5448">
        <v>4</v>
      </c>
      <c r="P5448" t="s">
        <v>515</v>
      </c>
      <c r="Q5448" s="97" t="str">
        <f t="shared" si="697"/>
        <v/>
      </c>
      <c r="R5448" t="str">
        <f t="shared" si="698"/>
        <v/>
      </c>
    </row>
    <row r="5449" spans="3:18">
      <c r="C5449" t="str">
        <f t="shared" si="692"/>
        <v>NL</v>
      </c>
      <c r="D5449">
        <v>98</v>
      </c>
      <c r="E5449">
        <v>45</v>
      </c>
      <c r="F5449" s="366">
        <f t="shared" si="693"/>
        <v>976.5</v>
      </c>
      <c r="G5449" s="97">
        <v>901</v>
      </c>
      <c r="H5449" s="367">
        <f t="shared" si="694"/>
        <v>1877.5</v>
      </c>
      <c r="I5449" s="368">
        <f t="shared" si="695"/>
        <v>0</v>
      </c>
      <c r="J5449">
        <v>2992</v>
      </c>
      <c r="K5449" s="367">
        <f t="shared" si="696"/>
        <v>2137.1428571428573</v>
      </c>
      <c r="L5449">
        <v>0.2</v>
      </c>
      <c r="M5449">
        <v>5.5</v>
      </c>
      <c r="N5449">
        <v>16</v>
      </c>
      <c r="O5449">
        <v>5</v>
      </c>
      <c r="P5449" t="s">
        <v>515</v>
      </c>
      <c r="Q5449" s="97" t="str">
        <f t="shared" si="697"/>
        <v/>
      </c>
      <c r="R5449" t="str">
        <f t="shared" si="698"/>
        <v/>
      </c>
    </row>
    <row r="5450" spans="3:18">
      <c r="C5450" t="str">
        <f t="shared" si="692"/>
        <v>NL</v>
      </c>
      <c r="D5450">
        <v>99</v>
      </c>
      <c r="E5450">
        <v>45</v>
      </c>
      <c r="F5450" s="366">
        <f t="shared" si="693"/>
        <v>976.5</v>
      </c>
      <c r="G5450" s="97">
        <v>1235</v>
      </c>
      <c r="H5450" s="367">
        <f t="shared" si="694"/>
        <v>2211.5</v>
      </c>
      <c r="I5450" s="368">
        <f t="shared" si="695"/>
        <v>0</v>
      </c>
      <c r="J5450">
        <v>4102</v>
      </c>
      <c r="K5450" s="367">
        <f t="shared" si="696"/>
        <v>2930</v>
      </c>
      <c r="L5450">
        <v>0.6</v>
      </c>
      <c r="M5450">
        <v>5.5</v>
      </c>
      <c r="N5450">
        <v>21</v>
      </c>
      <c r="O5450">
        <v>5</v>
      </c>
      <c r="P5450" t="s">
        <v>514</v>
      </c>
      <c r="Q5450" s="97" t="str">
        <f t="shared" si="697"/>
        <v/>
      </c>
      <c r="R5450" t="str">
        <f t="shared" si="698"/>
        <v/>
      </c>
    </row>
    <row r="5451" spans="3:18">
      <c r="C5451" t="str">
        <f t="shared" si="692"/>
        <v/>
      </c>
      <c r="D5451">
        <v>100</v>
      </c>
      <c r="E5451">
        <v>45</v>
      </c>
      <c r="F5451" s="366">
        <f t="shared" si="693"/>
        <v>976.5</v>
      </c>
      <c r="G5451" s="97">
        <v>836</v>
      </c>
      <c r="H5451" s="367">
        <f t="shared" si="694"/>
        <v>1812.5</v>
      </c>
      <c r="I5451" s="368">
        <f t="shared" si="695"/>
        <v>0</v>
      </c>
      <c r="J5451">
        <v>2779</v>
      </c>
      <c r="K5451" s="367">
        <f t="shared" si="696"/>
        <v>1985</v>
      </c>
      <c r="L5451">
        <v>0.14000000000000001</v>
      </c>
      <c r="M5451">
        <v>6.6</v>
      </c>
      <c r="N5451">
        <v>16</v>
      </c>
      <c r="O5451">
        <v>6</v>
      </c>
      <c r="P5451" t="s">
        <v>515</v>
      </c>
      <c r="Q5451" s="97" t="str">
        <f t="shared" si="697"/>
        <v/>
      </c>
      <c r="R5451" t="str">
        <f t="shared" si="698"/>
        <v/>
      </c>
    </row>
    <row r="5452" spans="3:18">
      <c r="C5452" t="str">
        <f t="shared" si="692"/>
        <v/>
      </c>
      <c r="D5452">
        <v>101</v>
      </c>
      <c r="E5452">
        <v>45</v>
      </c>
      <c r="F5452" s="366">
        <f t="shared" si="693"/>
        <v>976.5</v>
      </c>
      <c r="G5452" s="97">
        <v>1136</v>
      </c>
      <c r="H5452" s="367">
        <f t="shared" si="694"/>
        <v>2112.5</v>
      </c>
      <c r="I5452" s="368">
        <f t="shared" si="695"/>
        <v>0</v>
      </c>
      <c r="J5452">
        <v>3775</v>
      </c>
      <c r="K5452" s="367">
        <f t="shared" si="696"/>
        <v>2696.4285714285716</v>
      </c>
      <c r="L5452">
        <v>0.42</v>
      </c>
      <c r="M5452">
        <v>6.6</v>
      </c>
      <c r="N5452">
        <v>20</v>
      </c>
      <c r="O5452">
        <v>6</v>
      </c>
      <c r="P5452" t="s">
        <v>514</v>
      </c>
      <c r="Q5452" s="97" t="str">
        <f t="shared" si="697"/>
        <v/>
      </c>
      <c r="R5452" t="str">
        <f t="shared" si="698"/>
        <v/>
      </c>
    </row>
    <row r="5453" spans="3:18">
      <c r="C5453" t="str">
        <f t="shared" si="692"/>
        <v>NL</v>
      </c>
      <c r="D5453">
        <v>102</v>
      </c>
      <c r="E5453">
        <v>45</v>
      </c>
      <c r="F5453" s="366">
        <f t="shared" si="693"/>
        <v>976.5</v>
      </c>
      <c r="G5453" s="97">
        <v>1588</v>
      </c>
      <c r="H5453" s="367">
        <f t="shared" si="694"/>
        <v>2564.5</v>
      </c>
      <c r="I5453" s="368">
        <f t="shared" si="695"/>
        <v>0</v>
      </c>
      <c r="J5453">
        <v>5273</v>
      </c>
      <c r="K5453" s="367">
        <f t="shared" si="696"/>
        <v>3766.4285714285716</v>
      </c>
      <c r="L5453">
        <v>0.32</v>
      </c>
      <c r="M5453">
        <v>7.6</v>
      </c>
      <c r="N5453">
        <v>20</v>
      </c>
      <c r="O5453">
        <v>7</v>
      </c>
      <c r="P5453" t="s">
        <v>514</v>
      </c>
      <c r="Q5453" s="97" t="str">
        <f t="shared" si="697"/>
        <v/>
      </c>
      <c r="R5453" t="str">
        <f t="shared" si="698"/>
        <v/>
      </c>
    </row>
    <row r="5454" spans="3:18">
      <c r="C5454" t="str">
        <f t="shared" si="692"/>
        <v/>
      </c>
      <c r="D5454">
        <v>103</v>
      </c>
      <c r="E5454">
        <v>45</v>
      </c>
      <c r="F5454" s="366">
        <f t="shared" si="693"/>
        <v>976.5</v>
      </c>
      <c r="G5454" s="97">
        <v>1327</v>
      </c>
      <c r="H5454" s="367">
        <f t="shared" si="694"/>
        <v>2303.5</v>
      </c>
      <c r="I5454" s="368">
        <f t="shared" si="695"/>
        <v>0</v>
      </c>
      <c r="J5454">
        <v>4407</v>
      </c>
      <c r="K5454" s="367">
        <f t="shared" si="696"/>
        <v>3147.8571428571431</v>
      </c>
      <c r="L5454">
        <v>0.26</v>
      </c>
      <c r="M5454">
        <v>8.5</v>
      </c>
      <c r="N5454">
        <v>20</v>
      </c>
      <c r="O5454">
        <v>8</v>
      </c>
      <c r="P5454" t="s">
        <v>514</v>
      </c>
      <c r="Q5454" s="97" t="str">
        <f t="shared" si="697"/>
        <v/>
      </c>
      <c r="R5454" t="str">
        <f t="shared" si="698"/>
        <v/>
      </c>
    </row>
    <row r="5455" spans="3:18">
      <c r="C5455" t="str">
        <f t="shared" si="692"/>
        <v/>
      </c>
      <c r="D5455">
        <v>104</v>
      </c>
      <c r="E5455">
        <v>45</v>
      </c>
      <c r="F5455" s="366">
        <f t="shared" si="693"/>
        <v>976.5</v>
      </c>
      <c r="G5455" s="97">
        <v>1832</v>
      </c>
      <c r="H5455" s="367">
        <f t="shared" si="694"/>
        <v>2808.5</v>
      </c>
      <c r="I5455" s="368">
        <f t="shared" si="695"/>
        <v>0</v>
      </c>
      <c r="J5455">
        <v>6083</v>
      </c>
      <c r="K5455" s="367">
        <f t="shared" si="696"/>
        <v>4345</v>
      </c>
      <c r="L5455">
        <v>0.83</v>
      </c>
      <c r="M5455">
        <v>8.5</v>
      </c>
      <c r="N5455">
        <v>24</v>
      </c>
      <c r="O5455">
        <v>8</v>
      </c>
      <c r="P5455" t="s">
        <v>513</v>
      </c>
      <c r="Q5455" s="97" t="str">
        <f t="shared" si="697"/>
        <v/>
      </c>
      <c r="R5455" t="str">
        <f t="shared" si="698"/>
        <v/>
      </c>
    </row>
    <row r="5456" spans="3:18">
      <c r="C5456" t="str">
        <f t="shared" si="692"/>
        <v>NL</v>
      </c>
      <c r="D5456">
        <v>105</v>
      </c>
      <c r="E5456">
        <v>45</v>
      </c>
      <c r="F5456" s="366">
        <f t="shared" si="693"/>
        <v>976.5</v>
      </c>
      <c r="G5456" s="97">
        <v>1847</v>
      </c>
      <c r="H5456" s="367">
        <f t="shared" si="694"/>
        <v>2823.5</v>
      </c>
      <c r="I5456" s="368">
        <f t="shared" si="695"/>
        <v>0</v>
      </c>
      <c r="J5456">
        <v>6135</v>
      </c>
      <c r="K5456" s="367">
        <f t="shared" si="696"/>
        <v>4382.1428571428569</v>
      </c>
      <c r="L5456">
        <v>0.21000000000000002</v>
      </c>
      <c r="M5456">
        <v>9.6</v>
      </c>
      <c r="N5456">
        <v>20</v>
      </c>
      <c r="O5456">
        <v>9</v>
      </c>
      <c r="P5456" t="s">
        <v>514</v>
      </c>
      <c r="Q5456" s="97" t="str">
        <f t="shared" si="697"/>
        <v/>
      </c>
      <c r="R5456" t="str">
        <f t="shared" si="698"/>
        <v/>
      </c>
    </row>
    <row r="5457" spans="3:18">
      <c r="C5457" t="str">
        <f t="shared" si="692"/>
        <v>NL</v>
      </c>
      <c r="D5457">
        <v>106</v>
      </c>
      <c r="E5457">
        <v>45</v>
      </c>
      <c r="F5457" s="366">
        <f t="shared" si="693"/>
        <v>976.5</v>
      </c>
      <c r="G5457" s="97">
        <v>2520</v>
      </c>
      <c r="H5457" s="367">
        <f t="shared" si="694"/>
        <v>3496.5</v>
      </c>
      <c r="I5457" s="368">
        <f t="shared" si="695"/>
        <v>0</v>
      </c>
      <c r="J5457">
        <v>8368</v>
      </c>
      <c r="K5457" s="367">
        <f t="shared" si="696"/>
        <v>5977.1428571428569</v>
      </c>
      <c r="L5457">
        <v>0.67</v>
      </c>
      <c r="M5457">
        <v>9.6</v>
      </c>
      <c r="N5457">
        <v>24</v>
      </c>
      <c r="O5457">
        <v>9</v>
      </c>
      <c r="P5457" t="s">
        <v>513</v>
      </c>
      <c r="Q5457" s="97" t="str">
        <f t="shared" si="697"/>
        <v/>
      </c>
      <c r="R5457" t="str">
        <f t="shared" si="698"/>
        <v/>
      </c>
    </row>
    <row r="5458" spans="3:18">
      <c r="C5458" t="str">
        <f t="shared" si="692"/>
        <v/>
      </c>
      <c r="D5458">
        <v>107</v>
      </c>
      <c r="E5458">
        <v>45</v>
      </c>
      <c r="F5458" s="366">
        <f t="shared" si="693"/>
        <v>976.5</v>
      </c>
      <c r="G5458" s="97">
        <v>1948</v>
      </c>
      <c r="H5458" s="367">
        <f t="shared" si="694"/>
        <v>2924.5</v>
      </c>
      <c r="I5458" s="368">
        <f t="shared" si="695"/>
        <v>0</v>
      </c>
      <c r="J5458">
        <v>6468</v>
      </c>
      <c r="K5458" s="367">
        <f t="shared" si="696"/>
        <v>4620</v>
      </c>
      <c r="L5458">
        <v>0.18000000000000002</v>
      </c>
      <c r="M5458">
        <v>1.4000000000000001</v>
      </c>
      <c r="N5458">
        <v>20</v>
      </c>
      <c r="O5458">
        <v>10</v>
      </c>
      <c r="P5458" t="s">
        <v>514</v>
      </c>
      <c r="Q5458" s="97" t="str">
        <f t="shared" si="697"/>
        <v/>
      </c>
      <c r="R5458" t="str">
        <f t="shared" si="698"/>
        <v/>
      </c>
    </row>
    <row r="5459" spans="3:18">
      <c r="C5459" t="str">
        <f t="shared" si="692"/>
        <v/>
      </c>
      <c r="D5459">
        <v>108</v>
      </c>
      <c r="E5459">
        <v>45</v>
      </c>
      <c r="F5459" s="366">
        <f t="shared" si="693"/>
        <v>976.5</v>
      </c>
      <c r="G5459" s="97">
        <v>2637</v>
      </c>
      <c r="H5459" s="367">
        <f t="shared" si="694"/>
        <v>3613.5</v>
      </c>
      <c r="I5459" s="368">
        <f t="shared" si="695"/>
        <v>0</v>
      </c>
      <c r="J5459">
        <v>8758</v>
      </c>
      <c r="K5459" s="367">
        <f t="shared" si="696"/>
        <v>6255.7142857142862</v>
      </c>
      <c r="L5459">
        <v>0.56000000000000005</v>
      </c>
      <c r="M5459">
        <v>1.4000000000000001</v>
      </c>
      <c r="N5459">
        <v>23</v>
      </c>
      <c r="O5459">
        <v>10</v>
      </c>
      <c r="P5459" t="s">
        <v>513</v>
      </c>
      <c r="Q5459" s="97" t="str">
        <f t="shared" si="697"/>
        <v/>
      </c>
      <c r="R5459" t="str">
        <f t="shared" si="698"/>
        <v/>
      </c>
    </row>
    <row r="5460" spans="3:18">
      <c r="C5460" t="str">
        <f t="shared" si="692"/>
        <v>NL</v>
      </c>
      <c r="D5460">
        <v>109</v>
      </c>
      <c r="E5460">
        <v>50</v>
      </c>
      <c r="F5460" s="366">
        <f t="shared" si="693"/>
        <v>1085</v>
      </c>
      <c r="G5460" s="97">
        <v>761</v>
      </c>
      <c r="H5460" s="367">
        <f t="shared" si="694"/>
        <v>1846</v>
      </c>
      <c r="I5460" s="368">
        <f t="shared" si="695"/>
        <v>0</v>
      </c>
      <c r="J5460">
        <v>2529</v>
      </c>
      <c r="K5460" s="367">
        <f t="shared" si="696"/>
        <v>1806.4285714285716</v>
      </c>
      <c r="L5460">
        <v>0.74</v>
      </c>
      <c r="M5460">
        <v>3.5</v>
      </c>
      <c r="N5460">
        <v>22</v>
      </c>
      <c r="O5460">
        <v>3</v>
      </c>
      <c r="P5460" t="s">
        <v>515</v>
      </c>
      <c r="Q5460" s="97" t="str">
        <f t="shared" si="697"/>
        <v/>
      </c>
      <c r="R5460" t="str">
        <f t="shared" si="698"/>
        <v/>
      </c>
    </row>
    <row r="5461" spans="3:18">
      <c r="C5461" t="str">
        <f t="shared" si="692"/>
        <v/>
      </c>
      <c r="D5461">
        <v>110</v>
      </c>
      <c r="E5461">
        <v>50</v>
      </c>
      <c r="F5461" s="366">
        <f t="shared" si="693"/>
        <v>1085</v>
      </c>
      <c r="G5461" s="97">
        <v>803</v>
      </c>
      <c r="H5461" s="367">
        <f t="shared" si="694"/>
        <v>1888</v>
      </c>
      <c r="I5461" s="368">
        <f t="shared" si="695"/>
        <v>0</v>
      </c>
      <c r="J5461">
        <v>2667</v>
      </c>
      <c r="K5461" s="367">
        <f t="shared" si="696"/>
        <v>1905</v>
      </c>
      <c r="L5461">
        <v>0.38</v>
      </c>
      <c r="M5461">
        <v>4.5</v>
      </c>
      <c r="N5461">
        <v>19</v>
      </c>
      <c r="O5461">
        <v>4</v>
      </c>
      <c r="P5461" t="s">
        <v>515</v>
      </c>
      <c r="Q5461" s="97" t="str">
        <f t="shared" si="697"/>
        <v/>
      </c>
      <c r="R5461" t="str">
        <f t="shared" si="698"/>
        <v/>
      </c>
    </row>
    <row r="5462" spans="3:18">
      <c r="C5462" t="str">
        <f t="shared" si="692"/>
        <v>NL</v>
      </c>
      <c r="D5462">
        <v>111</v>
      </c>
      <c r="E5462">
        <v>50</v>
      </c>
      <c r="F5462" s="366">
        <f t="shared" si="693"/>
        <v>1085</v>
      </c>
      <c r="G5462" s="97">
        <v>976</v>
      </c>
      <c r="H5462" s="367">
        <f t="shared" si="694"/>
        <v>2061</v>
      </c>
      <c r="I5462" s="368">
        <f t="shared" si="695"/>
        <v>0</v>
      </c>
      <c r="J5462">
        <v>3241</v>
      </c>
      <c r="K5462" s="367">
        <f t="shared" si="696"/>
        <v>2315</v>
      </c>
      <c r="L5462">
        <v>0.24000000000000002</v>
      </c>
      <c r="M5462">
        <v>5.5</v>
      </c>
      <c r="N5462">
        <v>17</v>
      </c>
      <c r="O5462">
        <v>5</v>
      </c>
      <c r="P5462" t="s">
        <v>515</v>
      </c>
      <c r="Q5462" s="97" t="str">
        <f t="shared" si="697"/>
        <v/>
      </c>
      <c r="R5462" t="str">
        <f t="shared" si="698"/>
        <v/>
      </c>
    </row>
    <row r="5463" spans="3:18">
      <c r="C5463" t="str">
        <f t="shared" si="692"/>
        <v>NL</v>
      </c>
      <c r="D5463">
        <v>112</v>
      </c>
      <c r="E5463">
        <v>50</v>
      </c>
      <c r="F5463" s="366">
        <f t="shared" si="693"/>
        <v>1085</v>
      </c>
      <c r="G5463" s="97">
        <v>1336</v>
      </c>
      <c r="H5463" s="367">
        <f t="shared" si="694"/>
        <v>2421</v>
      </c>
      <c r="I5463" s="368">
        <f t="shared" si="695"/>
        <v>0</v>
      </c>
      <c r="J5463">
        <v>4436</v>
      </c>
      <c r="K5463" s="367">
        <f t="shared" si="696"/>
        <v>3168.5714285714284</v>
      </c>
      <c r="L5463">
        <v>0.74</v>
      </c>
      <c r="M5463">
        <v>5.5</v>
      </c>
      <c r="N5463">
        <v>22</v>
      </c>
      <c r="O5463">
        <v>5</v>
      </c>
      <c r="P5463" t="s">
        <v>514</v>
      </c>
      <c r="Q5463" s="97" t="str">
        <f t="shared" si="697"/>
        <v/>
      </c>
      <c r="R5463" t="str">
        <f t="shared" si="698"/>
        <v/>
      </c>
    </row>
    <row r="5464" spans="3:18">
      <c r="C5464" t="str">
        <f t="shared" si="692"/>
        <v/>
      </c>
      <c r="D5464">
        <v>113</v>
      </c>
      <c r="E5464">
        <v>50</v>
      </c>
      <c r="F5464" s="366">
        <f t="shared" si="693"/>
        <v>1085</v>
      </c>
      <c r="G5464" s="97">
        <v>898</v>
      </c>
      <c r="H5464" s="367">
        <f t="shared" si="694"/>
        <v>1983</v>
      </c>
      <c r="I5464" s="368">
        <f t="shared" si="695"/>
        <v>0</v>
      </c>
      <c r="J5464">
        <v>2984</v>
      </c>
      <c r="K5464" s="367">
        <f t="shared" si="696"/>
        <v>2131.4285714285716</v>
      </c>
      <c r="L5464">
        <v>0.17</v>
      </c>
      <c r="M5464">
        <v>6.6</v>
      </c>
      <c r="N5464">
        <v>17</v>
      </c>
      <c r="O5464">
        <v>6</v>
      </c>
      <c r="P5464" t="s">
        <v>515</v>
      </c>
      <c r="Q5464" s="97" t="str">
        <f t="shared" si="697"/>
        <v/>
      </c>
      <c r="R5464" t="str">
        <f t="shared" si="698"/>
        <v/>
      </c>
    </row>
    <row r="5465" spans="3:18">
      <c r="C5465" t="str">
        <f t="shared" si="692"/>
        <v/>
      </c>
      <c r="D5465">
        <v>114</v>
      </c>
      <c r="E5465">
        <v>50</v>
      </c>
      <c r="F5465" s="366">
        <f t="shared" si="693"/>
        <v>1085</v>
      </c>
      <c r="G5465" s="97">
        <v>1236</v>
      </c>
      <c r="H5465" s="367">
        <f t="shared" si="694"/>
        <v>2321</v>
      </c>
      <c r="I5465" s="368">
        <f t="shared" si="695"/>
        <v>0</v>
      </c>
      <c r="J5465">
        <v>4106</v>
      </c>
      <c r="K5465" s="367">
        <f t="shared" si="696"/>
        <v>2932.8571428571431</v>
      </c>
      <c r="L5465">
        <v>0.52</v>
      </c>
      <c r="M5465">
        <v>6.6</v>
      </c>
      <c r="N5465">
        <v>22</v>
      </c>
      <c r="O5465">
        <v>6</v>
      </c>
      <c r="P5465" t="s">
        <v>514</v>
      </c>
      <c r="Q5465" s="97" t="str">
        <f t="shared" si="697"/>
        <v/>
      </c>
      <c r="R5465" t="str">
        <f t="shared" si="698"/>
        <v/>
      </c>
    </row>
    <row r="5466" spans="3:18">
      <c r="C5466" t="str">
        <f t="shared" si="692"/>
        <v>NL</v>
      </c>
      <c r="D5466">
        <v>115</v>
      </c>
      <c r="E5466">
        <v>50</v>
      </c>
      <c r="F5466" s="366">
        <f t="shared" si="693"/>
        <v>1085</v>
      </c>
      <c r="G5466" s="97">
        <v>1730</v>
      </c>
      <c r="H5466" s="367">
        <f t="shared" si="694"/>
        <v>2815</v>
      </c>
      <c r="I5466" s="368">
        <f t="shared" si="695"/>
        <v>0</v>
      </c>
      <c r="J5466">
        <v>5747</v>
      </c>
      <c r="K5466" s="367">
        <f t="shared" si="696"/>
        <v>4105</v>
      </c>
      <c r="L5466">
        <v>0.4</v>
      </c>
      <c r="M5466">
        <v>7.6</v>
      </c>
      <c r="N5466">
        <v>21</v>
      </c>
      <c r="O5466">
        <v>7</v>
      </c>
      <c r="P5466" t="s">
        <v>514</v>
      </c>
      <c r="Q5466" s="97" t="str">
        <f t="shared" si="697"/>
        <v/>
      </c>
      <c r="R5466" t="str">
        <f t="shared" si="698"/>
        <v/>
      </c>
    </row>
    <row r="5467" spans="3:18">
      <c r="C5467" t="str">
        <f t="shared" si="692"/>
        <v/>
      </c>
      <c r="D5467">
        <v>116</v>
      </c>
      <c r="E5467">
        <v>50</v>
      </c>
      <c r="F5467" s="366">
        <f t="shared" si="693"/>
        <v>1085</v>
      </c>
      <c r="G5467" s="97">
        <v>1433</v>
      </c>
      <c r="H5467" s="367">
        <f t="shared" si="694"/>
        <v>2518</v>
      </c>
      <c r="I5467" s="368">
        <f t="shared" si="695"/>
        <v>0</v>
      </c>
      <c r="J5467">
        <v>4761</v>
      </c>
      <c r="K5467" s="367">
        <f t="shared" si="696"/>
        <v>3400.7142857142858</v>
      </c>
      <c r="L5467">
        <v>0.32</v>
      </c>
      <c r="M5467">
        <v>8.5</v>
      </c>
      <c r="N5467">
        <v>21</v>
      </c>
      <c r="O5467">
        <v>8</v>
      </c>
      <c r="P5467" t="s">
        <v>514</v>
      </c>
      <c r="Q5467" s="97" t="str">
        <f t="shared" si="697"/>
        <v/>
      </c>
      <c r="R5467" t="str">
        <f t="shared" si="698"/>
        <v/>
      </c>
    </row>
    <row r="5468" spans="3:18">
      <c r="C5468" t="str">
        <f t="shared" si="692"/>
        <v/>
      </c>
      <c r="D5468">
        <v>117</v>
      </c>
      <c r="E5468">
        <v>50</v>
      </c>
      <c r="F5468" s="366">
        <f t="shared" si="693"/>
        <v>1085</v>
      </c>
      <c r="G5468" s="97">
        <v>1994</v>
      </c>
      <c r="H5468" s="367">
        <f t="shared" si="694"/>
        <v>3079</v>
      </c>
      <c r="I5468" s="368">
        <f t="shared" si="695"/>
        <v>0</v>
      </c>
      <c r="J5468">
        <v>6623</v>
      </c>
      <c r="K5468" s="367">
        <f t="shared" si="696"/>
        <v>4730.7142857142862</v>
      </c>
      <c r="L5468">
        <v>1.02</v>
      </c>
      <c r="M5468">
        <v>8.5</v>
      </c>
      <c r="N5468">
        <v>25</v>
      </c>
      <c r="O5468">
        <v>8</v>
      </c>
      <c r="P5468" t="s">
        <v>513</v>
      </c>
      <c r="Q5468" s="97" t="str">
        <f t="shared" si="697"/>
        <v/>
      </c>
      <c r="R5468" t="str">
        <f t="shared" si="698"/>
        <v/>
      </c>
    </row>
    <row r="5469" spans="3:18">
      <c r="C5469" t="str">
        <f t="shared" si="692"/>
        <v>NL</v>
      </c>
      <c r="D5469">
        <v>118</v>
      </c>
      <c r="E5469">
        <v>50</v>
      </c>
      <c r="F5469" s="366">
        <f t="shared" si="693"/>
        <v>1085</v>
      </c>
      <c r="G5469" s="97">
        <v>2004</v>
      </c>
      <c r="H5469" s="367">
        <f t="shared" si="694"/>
        <v>3089</v>
      </c>
      <c r="I5469" s="368">
        <f t="shared" si="695"/>
        <v>0</v>
      </c>
      <c r="J5469">
        <v>6654</v>
      </c>
      <c r="K5469" s="367">
        <f t="shared" si="696"/>
        <v>4752.8571428571431</v>
      </c>
      <c r="L5469">
        <v>0.26</v>
      </c>
      <c r="M5469">
        <v>9.6</v>
      </c>
      <c r="N5469">
        <v>21</v>
      </c>
      <c r="O5469">
        <v>9</v>
      </c>
      <c r="P5469" t="s">
        <v>514</v>
      </c>
      <c r="Q5469" s="97" t="str">
        <f t="shared" si="697"/>
        <v/>
      </c>
      <c r="R5469" t="str">
        <f t="shared" si="698"/>
        <v/>
      </c>
    </row>
    <row r="5470" spans="3:18">
      <c r="C5470" t="str">
        <f t="shared" si="692"/>
        <v>NL</v>
      </c>
      <c r="D5470">
        <v>119</v>
      </c>
      <c r="E5470">
        <v>50</v>
      </c>
      <c r="F5470" s="366">
        <f t="shared" si="693"/>
        <v>1085</v>
      </c>
      <c r="G5470" s="97">
        <v>2715</v>
      </c>
      <c r="H5470" s="367">
        <f t="shared" si="694"/>
        <v>3800</v>
      </c>
      <c r="I5470" s="368">
        <f t="shared" si="695"/>
        <v>0</v>
      </c>
      <c r="J5470">
        <v>9018</v>
      </c>
      <c r="K5470" s="367">
        <f t="shared" si="696"/>
        <v>6441.4285714285716</v>
      </c>
      <c r="L5470">
        <v>0.82000000000000006</v>
      </c>
      <c r="M5470">
        <v>9.6</v>
      </c>
      <c r="N5470">
        <v>25</v>
      </c>
      <c r="O5470">
        <v>9</v>
      </c>
      <c r="P5470" t="s">
        <v>513</v>
      </c>
      <c r="Q5470" s="97" t="str">
        <f t="shared" si="697"/>
        <v/>
      </c>
      <c r="R5470" t="str">
        <f t="shared" si="698"/>
        <v/>
      </c>
    </row>
    <row r="5471" spans="3:18">
      <c r="C5471" t="str">
        <f t="shared" si="692"/>
        <v/>
      </c>
      <c r="D5471">
        <v>120</v>
      </c>
      <c r="E5471">
        <v>50</v>
      </c>
      <c r="F5471" s="366">
        <f t="shared" si="693"/>
        <v>1085</v>
      </c>
      <c r="G5471" s="97">
        <v>2107</v>
      </c>
      <c r="H5471" s="367">
        <f t="shared" si="694"/>
        <v>3192</v>
      </c>
      <c r="I5471" s="368">
        <f t="shared" si="695"/>
        <v>0</v>
      </c>
      <c r="J5471">
        <v>6997</v>
      </c>
      <c r="K5471" s="367">
        <f t="shared" si="696"/>
        <v>4997.8571428571431</v>
      </c>
      <c r="L5471">
        <v>0.22</v>
      </c>
      <c r="M5471">
        <v>1.4000000000000001</v>
      </c>
      <c r="N5471">
        <v>22</v>
      </c>
      <c r="O5471">
        <v>10</v>
      </c>
      <c r="P5471" t="s">
        <v>514</v>
      </c>
      <c r="Q5471" s="97" t="str">
        <f t="shared" si="697"/>
        <v/>
      </c>
      <c r="R5471" t="str">
        <f t="shared" si="698"/>
        <v/>
      </c>
    </row>
    <row r="5472" spans="3:18">
      <c r="C5472" t="str">
        <f t="shared" si="692"/>
        <v/>
      </c>
      <c r="D5472">
        <v>121</v>
      </c>
      <c r="E5472">
        <v>50</v>
      </c>
      <c r="F5472" s="366">
        <f t="shared" si="693"/>
        <v>1085</v>
      </c>
      <c r="G5472" s="97">
        <v>2869</v>
      </c>
      <c r="H5472" s="367">
        <f t="shared" si="694"/>
        <v>3954</v>
      </c>
      <c r="I5472" s="368">
        <f t="shared" si="695"/>
        <v>0</v>
      </c>
      <c r="J5472">
        <v>9528</v>
      </c>
      <c r="K5472" s="367">
        <f t="shared" si="696"/>
        <v>6805.7142857142862</v>
      </c>
      <c r="L5472">
        <v>0.68</v>
      </c>
      <c r="M5472">
        <v>1.4000000000000001</v>
      </c>
      <c r="N5472">
        <v>25</v>
      </c>
      <c r="O5472">
        <v>10</v>
      </c>
      <c r="P5472" t="s">
        <v>513</v>
      </c>
      <c r="Q5472" s="97" t="str">
        <f t="shared" si="697"/>
        <v/>
      </c>
      <c r="R5472" t="str">
        <f t="shared" si="698"/>
        <v/>
      </c>
    </row>
    <row r="5473" spans="3:18">
      <c r="C5473" t="str">
        <f t="shared" si="692"/>
        <v>NL</v>
      </c>
      <c r="D5473">
        <v>122</v>
      </c>
      <c r="E5473">
        <v>55</v>
      </c>
      <c r="F5473" s="366">
        <f t="shared" si="693"/>
        <v>1193.5</v>
      </c>
      <c r="G5473" s="97">
        <v>820</v>
      </c>
      <c r="H5473" s="367">
        <f t="shared" si="694"/>
        <v>2013.5</v>
      </c>
      <c r="I5473" s="368">
        <f t="shared" si="695"/>
        <v>0</v>
      </c>
      <c r="J5473">
        <v>2725</v>
      </c>
      <c r="K5473" s="367">
        <f t="shared" si="696"/>
        <v>1946.4285714285716</v>
      </c>
      <c r="L5473">
        <v>0.9</v>
      </c>
      <c r="M5473">
        <v>3.5</v>
      </c>
      <c r="N5473">
        <v>24</v>
      </c>
      <c r="O5473">
        <v>3</v>
      </c>
      <c r="P5473" t="s">
        <v>515</v>
      </c>
      <c r="Q5473" s="97" t="str">
        <f t="shared" si="697"/>
        <v/>
      </c>
      <c r="R5473" t="str">
        <f t="shared" si="698"/>
        <v/>
      </c>
    </row>
    <row r="5474" spans="3:18">
      <c r="C5474" t="str">
        <f t="shared" si="692"/>
        <v/>
      </c>
      <c r="D5474">
        <v>123</v>
      </c>
      <c r="E5474">
        <v>55</v>
      </c>
      <c r="F5474" s="366">
        <f t="shared" si="693"/>
        <v>1193.5</v>
      </c>
      <c r="G5474" s="97">
        <v>866</v>
      </c>
      <c r="H5474" s="367">
        <f t="shared" si="694"/>
        <v>2059.5</v>
      </c>
      <c r="I5474" s="368">
        <f t="shared" si="695"/>
        <v>0</v>
      </c>
      <c r="J5474">
        <v>2877</v>
      </c>
      <c r="K5474" s="367">
        <f t="shared" si="696"/>
        <v>2055</v>
      </c>
      <c r="L5474">
        <v>0.45</v>
      </c>
      <c r="M5474">
        <v>4.5</v>
      </c>
      <c r="N5474">
        <v>20</v>
      </c>
      <c r="O5474">
        <v>4</v>
      </c>
      <c r="P5474" t="s">
        <v>515</v>
      </c>
      <c r="Q5474" s="97" t="str">
        <f t="shared" si="697"/>
        <v/>
      </c>
      <c r="R5474" t="str">
        <f t="shared" si="698"/>
        <v/>
      </c>
    </row>
    <row r="5475" spans="3:18">
      <c r="C5475" t="str">
        <f t="shared" si="692"/>
        <v>NL</v>
      </c>
      <c r="D5475">
        <v>124</v>
      </c>
      <c r="E5475">
        <v>55</v>
      </c>
      <c r="F5475" s="366">
        <f t="shared" si="693"/>
        <v>1193.5</v>
      </c>
      <c r="G5475" s="97">
        <v>1051</v>
      </c>
      <c r="H5475" s="367">
        <f t="shared" si="694"/>
        <v>2244.5</v>
      </c>
      <c r="I5475" s="368">
        <f t="shared" si="695"/>
        <v>0</v>
      </c>
      <c r="J5475">
        <v>3490</v>
      </c>
      <c r="K5475" s="367">
        <f t="shared" si="696"/>
        <v>2492.8571428571431</v>
      </c>
      <c r="L5475">
        <v>0.29000000000000004</v>
      </c>
      <c r="M5475">
        <v>5.5</v>
      </c>
      <c r="N5475">
        <v>19</v>
      </c>
      <c r="O5475">
        <v>5</v>
      </c>
      <c r="P5475" t="s">
        <v>515</v>
      </c>
      <c r="Q5475" s="97" t="str">
        <f t="shared" si="697"/>
        <v/>
      </c>
      <c r="R5475" t="str">
        <f t="shared" si="698"/>
        <v/>
      </c>
    </row>
    <row r="5476" spans="3:18">
      <c r="C5476" t="str">
        <f t="shared" si="692"/>
        <v>NL</v>
      </c>
      <c r="D5476">
        <v>125</v>
      </c>
      <c r="E5476">
        <v>55</v>
      </c>
      <c r="F5476" s="366">
        <f t="shared" si="693"/>
        <v>1193.5</v>
      </c>
      <c r="G5476" s="97">
        <v>1436</v>
      </c>
      <c r="H5476" s="367">
        <f t="shared" si="694"/>
        <v>2629.5</v>
      </c>
      <c r="I5476" s="368">
        <f t="shared" si="695"/>
        <v>0</v>
      </c>
      <c r="J5476">
        <v>4770</v>
      </c>
      <c r="K5476" s="367">
        <f t="shared" si="696"/>
        <v>3407.1428571428573</v>
      </c>
      <c r="L5476">
        <v>0.89</v>
      </c>
      <c r="M5476">
        <v>5.5</v>
      </c>
      <c r="N5476">
        <v>24</v>
      </c>
      <c r="O5476">
        <v>5</v>
      </c>
      <c r="P5476" t="s">
        <v>514</v>
      </c>
      <c r="Q5476" s="97" t="str">
        <f t="shared" si="697"/>
        <v/>
      </c>
      <c r="R5476" t="str">
        <f t="shared" si="698"/>
        <v/>
      </c>
    </row>
    <row r="5477" spans="3:18">
      <c r="C5477" t="str">
        <f t="shared" si="692"/>
        <v/>
      </c>
      <c r="D5477">
        <v>126</v>
      </c>
      <c r="E5477">
        <v>55</v>
      </c>
      <c r="F5477" s="366">
        <f t="shared" si="693"/>
        <v>1193.5</v>
      </c>
      <c r="G5477" s="97">
        <v>960</v>
      </c>
      <c r="H5477" s="367">
        <f t="shared" si="694"/>
        <v>2153.5</v>
      </c>
      <c r="I5477" s="368">
        <f t="shared" si="695"/>
        <v>0</v>
      </c>
      <c r="J5477">
        <v>3189</v>
      </c>
      <c r="K5477" s="367">
        <f t="shared" si="696"/>
        <v>2277.8571428571431</v>
      </c>
      <c r="L5477">
        <v>0.21000000000000002</v>
      </c>
      <c r="M5477">
        <v>6.6</v>
      </c>
      <c r="N5477">
        <v>18</v>
      </c>
      <c r="O5477">
        <v>6</v>
      </c>
      <c r="P5477" t="s">
        <v>515</v>
      </c>
      <c r="Q5477" s="97" t="str">
        <f t="shared" si="697"/>
        <v/>
      </c>
      <c r="R5477" t="str">
        <f t="shared" si="698"/>
        <v/>
      </c>
    </row>
    <row r="5478" spans="3:18">
      <c r="C5478" t="str">
        <f t="shared" si="692"/>
        <v/>
      </c>
      <c r="D5478">
        <v>127</v>
      </c>
      <c r="E5478">
        <v>55</v>
      </c>
      <c r="F5478" s="366">
        <f t="shared" si="693"/>
        <v>1193.5</v>
      </c>
      <c r="G5478" s="97">
        <v>1336</v>
      </c>
      <c r="H5478" s="367">
        <f t="shared" si="694"/>
        <v>2529.5</v>
      </c>
      <c r="I5478" s="368">
        <f t="shared" si="695"/>
        <v>0</v>
      </c>
      <c r="J5478">
        <v>4437</v>
      </c>
      <c r="K5478" s="367">
        <f t="shared" si="696"/>
        <v>3169.2857142857142</v>
      </c>
      <c r="L5478">
        <v>0.63</v>
      </c>
      <c r="M5478">
        <v>6.6</v>
      </c>
      <c r="N5478">
        <v>23</v>
      </c>
      <c r="O5478">
        <v>6</v>
      </c>
      <c r="P5478" t="s">
        <v>514</v>
      </c>
      <c r="Q5478" s="97" t="str">
        <f t="shared" si="697"/>
        <v/>
      </c>
      <c r="R5478" t="str">
        <f t="shared" si="698"/>
        <v/>
      </c>
    </row>
    <row r="5479" spans="3:18">
      <c r="C5479" t="str">
        <f t="shared" si="692"/>
        <v>NL</v>
      </c>
      <c r="D5479">
        <v>128</v>
      </c>
      <c r="E5479">
        <v>55</v>
      </c>
      <c r="F5479" s="366">
        <f t="shared" si="693"/>
        <v>1193.5</v>
      </c>
      <c r="G5479" s="97">
        <v>1276</v>
      </c>
      <c r="H5479" s="367">
        <f t="shared" si="694"/>
        <v>2469.5</v>
      </c>
      <c r="I5479" s="368">
        <f t="shared" si="695"/>
        <v>0</v>
      </c>
      <c r="J5479">
        <v>4240</v>
      </c>
      <c r="K5479" s="367">
        <f t="shared" si="696"/>
        <v>3028.5714285714284</v>
      </c>
      <c r="L5479">
        <v>0.16</v>
      </c>
      <c r="M5479">
        <v>7.6</v>
      </c>
      <c r="N5479">
        <v>18</v>
      </c>
      <c r="O5479">
        <v>7</v>
      </c>
      <c r="P5479" t="s">
        <v>515</v>
      </c>
      <c r="Q5479" s="97" t="str">
        <f t="shared" si="697"/>
        <v/>
      </c>
      <c r="R5479" t="str">
        <f t="shared" si="698"/>
        <v/>
      </c>
    </row>
    <row r="5480" spans="3:18">
      <c r="C5480" t="str">
        <f t="shared" si="692"/>
        <v>NL</v>
      </c>
      <c r="D5480">
        <v>129</v>
      </c>
      <c r="E5480">
        <v>55</v>
      </c>
      <c r="F5480" s="366">
        <f t="shared" si="693"/>
        <v>1193.5</v>
      </c>
      <c r="G5480" s="97">
        <v>1861</v>
      </c>
      <c r="H5480" s="367">
        <f t="shared" si="694"/>
        <v>3054.5</v>
      </c>
      <c r="I5480" s="368">
        <f t="shared" si="695"/>
        <v>0</v>
      </c>
      <c r="J5480">
        <v>6181</v>
      </c>
      <c r="K5480" s="367">
        <f t="shared" si="696"/>
        <v>4415</v>
      </c>
      <c r="L5480">
        <v>0.48</v>
      </c>
      <c r="M5480">
        <v>7.6</v>
      </c>
      <c r="N5480">
        <v>23</v>
      </c>
      <c r="O5480">
        <v>7</v>
      </c>
      <c r="P5480" t="s">
        <v>514</v>
      </c>
      <c r="Q5480" s="97" t="str">
        <f t="shared" si="697"/>
        <v/>
      </c>
      <c r="R5480" t="str">
        <f t="shared" si="698"/>
        <v/>
      </c>
    </row>
    <row r="5481" spans="3:18">
      <c r="C5481" t="str">
        <f t="shared" ref="C5481:C5544" si="699">IF(OR($O$4=0,O5481-$O$4=0),IF(AND(ISEVEN(O5481)=FALSE,$N$4="Even"),"NL",""),"NL")</f>
        <v/>
      </c>
      <c r="D5481">
        <v>130</v>
      </c>
      <c r="E5481">
        <v>55</v>
      </c>
      <c r="F5481" s="366">
        <f t="shared" ref="F5481:F5544" si="700">1.085*($A$2-$B$2)*E5481*$T$7</f>
        <v>1193.5</v>
      </c>
      <c r="G5481" s="97">
        <v>1540</v>
      </c>
      <c r="H5481" s="367">
        <f t="shared" ref="H5481:H5544" si="701">(G5481*$U$7)+F5481</f>
        <v>2733.5</v>
      </c>
      <c r="I5481" s="368">
        <f t="shared" ref="I5481:I5544" si="702">1.085*($C$2-$D$2)*E5481*$T$7</f>
        <v>0</v>
      </c>
      <c r="J5481">
        <v>5115</v>
      </c>
      <c r="K5481" s="367">
        <f t="shared" ref="K5481:K5544" si="703">(J5481*$V$7)-I5481</f>
        <v>3653.5714285714284</v>
      </c>
      <c r="L5481">
        <v>0.38</v>
      </c>
      <c r="M5481">
        <v>8.5</v>
      </c>
      <c r="N5481">
        <v>22</v>
      </c>
      <c r="O5481">
        <v>8</v>
      </c>
      <c r="P5481" t="s">
        <v>514</v>
      </c>
      <c r="Q5481" s="97" t="str">
        <f t="shared" ref="Q5481:Q5544" si="704">IF(AND(H5481+1&gt;$E$4,L5481&lt;$L$4+0.01,M5481&lt;$M$4+0.01,K5481+1&gt;$F$4,E5481+1&gt;$J$4,N5481&lt;$K$4+1,O5481&lt;$P$4+1,C5481=""),D5481,"")</f>
        <v/>
      </c>
      <c r="R5481" t="str">
        <f t="shared" ref="R5481:R5544" si="705">IF(Q5481="","",IF(AND(O5481&lt;$X$39,E5481&gt;$U$39,E5481&lt;$Q$4+$U$39+1),D5481,""))</f>
        <v/>
      </c>
    </row>
    <row r="5482" spans="3:18">
      <c r="C5482" t="str">
        <f t="shared" si="699"/>
        <v>NL</v>
      </c>
      <c r="D5482">
        <v>131</v>
      </c>
      <c r="E5482">
        <v>55</v>
      </c>
      <c r="F5482" s="366">
        <f t="shared" si="700"/>
        <v>1193.5</v>
      </c>
      <c r="G5482" s="97">
        <v>2160</v>
      </c>
      <c r="H5482" s="367">
        <f t="shared" si="701"/>
        <v>3353.5</v>
      </c>
      <c r="I5482" s="368">
        <f t="shared" si="702"/>
        <v>0</v>
      </c>
      <c r="J5482">
        <v>7174</v>
      </c>
      <c r="K5482" s="367">
        <f t="shared" si="703"/>
        <v>5124.2857142857147</v>
      </c>
      <c r="L5482">
        <v>0.31</v>
      </c>
      <c r="M5482">
        <v>9.6</v>
      </c>
      <c r="N5482">
        <v>23</v>
      </c>
      <c r="O5482">
        <v>9</v>
      </c>
      <c r="P5482" t="s">
        <v>514</v>
      </c>
      <c r="Q5482" s="97" t="str">
        <f t="shared" si="704"/>
        <v/>
      </c>
      <c r="R5482" t="str">
        <f t="shared" si="705"/>
        <v/>
      </c>
    </row>
    <row r="5483" spans="3:18">
      <c r="C5483" t="str">
        <f t="shared" si="699"/>
        <v>NL</v>
      </c>
      <c r="D5483">
        <v>132</v>
      </c>
      <c r="E5483">
        <v>55</v>
      </c>
      <c r="F5483" s="366">
        <f t="shared" si="700"/>
        <v>1193.5</v>
      </c>
      <c r="G5483" s="97">
        <v>2911</v>
      </c>
      <c r="H5483" s="367">
        <f t="shared" si="701"/>
        <v>4104.5</v>
      </c>
      <c r="I5483" s="368">
        <f t="shared" si="702"/>
        <v>0</v>
      </c>
      <c r="J5483">
        <v>9668</v>
      </c>
      <c r="K5483" s="367">
        <f t="shared" si="703"/>
        <v>6905.7142857142862</v>
      </c>
      <c r="L5483">
        <v>0.99</v>
      </c>
      <c r="M5483">
        <v>9.6</v>
      </c>
      <c r="N5483">
        <v>26</v>
      </c>
      <c r="O5483">
        <v>9</v>
      </c>
      <c r="P5483" t="s">
        <v>513</v>
      </c>
      <c r="Q5483" s="97" t="str">
        <f t="shared" si="704"/>
        <v/>
      </c>
      <c r="R5483" t="str">
        <f t="shared" si="705"/>
        <v/>
      </c>
    </row>
    <row r="5484" spans="3:18">
      <c r="C5484" t="str">
        <f t="shared" si="699"/>
        <v/>
      </c>
      <c r="D5484">
        <v>133</v>
      </c>
      <c r="E5484">
        <v>55</v>
      </c>
      <c r="F5484" s="366">
        <f t="shared" si="700"/>
        <v>1193.5</v>
      </c>
      <c r="G5484" s="97">
        <v>2266</v>
      </c>
      <c r="H5484" s="367">
        <f t="shared" si="701"/>
        <v>3459.5</v>
      </c>
      <c r="I5484" s="368">
        <f t="shared" si="702"/>
        <v>0</v>
      </c>
      <c r="J5484">
        <v>7525</v>
      </c>
      <c r="K5484" s="367">
        <f t="shared" si="703"/>
        <v>5375</v>
      </c>
      <c r="L5484">
        <v>0.27</v>
      </c>
      <c r="M5484">
        <v>1.4000000000000001</v>
      </c>
      <c r="N5484">
        <v>23</v>
      </c>
      <c r="O5484">
        <v>10</v>
      </c>
      <c r="P5484" t="s">
        <v>514</v>
      </c>
      <c r="Q5484" s="97" t="str">
        <f t="shared" si="704"/>
        <v/>
      </c>
      <c r="R5484" t="str">
        <f t="shared" si="705"/>
        <v/>
      </c>
    </row>
    <row r="5485" spans="3:18">
      <c r="C5485" t="str">
        <f t="shared" si="699"/>
        <v/>
      </c>
      <c r="D5485">
        <v>134</v>
      </c>
      <c r="E5485">
        <v>55</v>
      </c>
      <c r="F5485" s="366">
        <f t="shared" si="700"/>
        <v>1193.5</v>
      </c>
      <c r="G5485" s="97">
        <v>3068</v>
      </c>
      <c r="H5485" s="367">
        <f t="shared" si="701"/>
        <v>4261.5</v>
      </c>
      <c r="I5485" s="368">
        <f t="shared" si="702"/>
        <v>0</v>
      </c>
      <c r="J5485">
        <v>10188</v>
      </c>
      <c r="K5485" s="367">
        <f t="shared" si="703"/>
        <v>7277.1428571428569</v>
      </c>
      <c r="L5485">
        <v>0.83</v>
      </c>
      <c r="M5485">
        <v>1.4000000000000001</v>
      </c>
      <c r="N5485">
        <v>26</v>
      </c>
      <c r="O5485">
        <v>10</v>
      </c>
      <c r="P5485" t="s">
        <v>513</v>
      </c>
      <c r="Q5485" s="97" t="str">
        <f t="shared" si="704"/>
        <v/>
      </c>
      <c r="R5485" t="str">
        <f t="shared" si="705"/>
        <v/>
      </c>
    </row>
    <row r="5486" spans="3:18">
      <c r="C5486" t="str">
        <f t="shared" si="699"/>
        <v>NL</v>
      </c>
      <c r="D5486">
        <v>135</v>
      </c>
      <c r="E5486">
        <v>60</v>
      </c>
      <c r="F5486" s="366">
        <f t="shared" si="700"/>
        <v>1302</v>
      </c>
      <c r="G5486" s="97">
        <v>876</v>
      </c>
      <c r="H5486" s="367">
        <f t="shared" si="701"/>
        <v>2178</v>
      </c>
      <c r="I5486" s="368">
        <f t="shared" si="702"/>
        <v>0</v>
      </c>
      <c r="J5486">
        <v>2910</v>
      </c>
      <c r="K5486" s="367">
        <f t="shared" si="703"/>
        <v>2078.5714285714284</v>
      </c>
      <c r="L5486">
        <v>1.07</v>
      </c>
      <c r="M5486">
        <v>3.5</v>
      </c>
      <c r="N5486">
        <v>25</v>
      </c>
      <c r="O5486">
        <v>3</v>
      </c>
      <c r="P5486" t="s">
        <v>515</v>
      </c>
      <c r="Q5486" s="97" t="str">
        <f t="shared" si="704"/>
        <v/>
      </c>
      <c r="R5486" t="str">
        <f t="shared" si="705"/>
        <v/>
      </c>
    </row>
    <row r="5487" spans="3:18">
      <c r="C5487" t="str">
        <f t="shared" si="699"/>
        <v/>
      </c>
      <c r="D5487">
        <v>136</v>
      </c>
      <c r="E5487">
        <v>60</v>
      </c>
      <c r="F5487" s="366">
        <f t="shared" si="700"/>
        <v>1302</v>
      </c>
      <c r="G5487" s="97">
        <v>929</v>
      </c>
      <c r="H5487" s="367">
        <f t="shared" si="701"/>
        <v>2231</v>
      </c>
      <c r="I5487" s="368">
        <f t="shared" si="702"/>
        <v>0</v>
      </c>
      <c r="J5487">
        <v>3087</v>
      </c>
      <c r="K5487" s="367">
        <f t="shared" si="703"/>
        <v>2205</v>
      </c>
      <c r="L5487">
        <v>0.54</v>
      </c>
      <c r="M5487">
        <v>4.5</v>
      </c>
      <c r="N5487">
        <v>21</v>
      </c>
      <c r="O5487">
        <v>4</v>
      </c>
      <c r="P5487" t="s">
        <v>515</v>
      </c>
      <c r="Q5487" s="97" t="str">
        <f t="shared" si="704"/>
        <v/>
      </c>
      <c r="R5487" t="str">
        <f t="shared" si="705"/>
        <v/>
      </c>
    </row>
    <row r="5488" spans="3:18">
      <c r="C5488" t="str">
        <f t="shared" si="699"/>
        <v>NL</v>
      </c>
      <c r="D5488">
        <v>137</v>
      </c>
      <c r="E5488">
        <v>60</v>
      </c>
      <c r="F5488" s="366">
        <f t="shared" si="700"/>
        <v>1302</v>
      </c>
      <c r="G5488" s="97">
        <v>1125</v>
      </c>
      <c r="H5488" s="367">
        <f t="shared" si="701"/>
        <v>2427</v>
      </c>
      <c r="I5488" s="368">
        <f t="shared" si="702"/>
        <v>0</v>
      </c>
      <c r="J5488">
        <v>3738</v>
      </c>
      <c r="K5488" s="367">
        <f t="shared" si="703"/>
        <v>2670</v>
      </c>
      <c r="L5488">
        <v>0.34</v>
      </c>
      <c r="M5488">
        <v>5.5</v>
      </c>
      <c r="N5488">
        <v>20</v>
      </c>
      <c r="O5488">
        <v>5</v>
      </c>
      <c r="P5488" t="s">
        <v>515</v>
      </c>
      <c r="Q5488" s="97" t="str">
        <f t="shared" si="704"/>
        <v/>
      </c>
      <c r="R5488" t="str">
        <f t="shared" si="705"/>
        <v/>
      </c>
    </row>
    <row r="5489" spans="3:18">
      <c r="C5489" t="str">
        <f t="shared" si="699"/>
        <v/>
      </c>
      <c r="D5489">
        <v>138</v>
      </c>
      <c r="E5489">
        <v>60</v>
      </c>
      <c r="F5489" s="366">
        <f t="shared" si="700"/>
        <v>1302</v>
      </c>
      <c r="G5489" s="97">
        <v>1022</v>
      </c>
      <c r="H5489" s="367">
        <f t="shared" si="701"/>
        <v>2324</v>
      </c>
      <c r="I5489" s="368">
        <f t="shared" si="702"/>
        <v>0</v>
      </c>
      <c r="J5489">
        <v>3394</v>
      </c>
      <c r="K5489" s="367">
        <f t="shared" si="703"/>
        <v>2424.2857142857142</v>
      </c>
      <c r="L5489">
        <v>0.25</v>
      </c>
      <c r="M5489">
        <v>6.6</v>
      </c>
      <c r="N5489">
        <v>19</v>
      </c>
      <c r="O5489">
        <v>6</v>
      </c>
      <c r="P5489" t="s">
        <v>515</v>
      </c>
      <c r="Q5489" s="97" t="str">
        <f t="shared" si="704"/>
        <v/>
      </c>
      <c r="R5489" t="str">
        <f t="shared" si="705"/>
        <v/>
      </c>
    </row>
    <row r="5490" spans="3:18">
      <c r="C5490" t="str">
        <f t="shared" si="699"/>
        <v/>
      </c>
      <c r="D5490">
        <v>139</v>
      </c>
      <c r="E5490">
        <v>60</v>
      </c>
      <c r="F5490" s="366">
        <f t="shared" si="700"/>
        <v>1302</v>
      </c>
      <c r="G5490" s="97">
        <v>1436</v>
      </c>
      <c r="H5490" s="367">
        <f t="shared" si="701"/>
        <v>2738</v>
      </c>
      <c r="I5490" s="368">
        <f t="shared" si="702"/>
        <v>0</v>
      </c>
      <c r="J5490">
        <v>4769</v>
      </c>
      <c r="K5490" s="367">
        <f t="shared" si="703"/>
        <v>3406.4285714285716</v>
      </c>
      <c r="L5490">
        <v>0.75</v>
      </c>
      <c r="M5490">
        <v>6.6</v>
      </c>
      <c r="N5490">
        <v>24</v>
      </c>
      <c r="O5490">
        <v>6</v>
      </c>
      <c r="P5490" t="s">
        <v>514</v>
      </c>
      <c r="Q5490" s="97" t="str">
        <f t="shared" si="704"/>
        <v/>
      </c>
      <c r="R5490" t="str">
        <f t="shared" si="705"/>
        <v/>
      </c>
    </row>
    <row r="5491" spans="3:18">
      <c r="C5491" t="str">
        <f t="shared" si="699"/>
        <v>NL</v>
      </c>
      <c r="D5491">
        <v>140</v>
      </c>
      <c r="E5491">
        <v>60</v>
      </c>
      <c r="F5491" s="366">
        <f t="shared" si="700"/>
        <v>1302</v>
      </c>
      <c r="G5491" s="97">
        <v>1362</v>
      </c>
      <c r="H5491" s="367">
        <f t="shared" si="701"/>
        <v>2664</v>
      </c>
      <c r="I5491" s="368">
        <f t="shared" si="702"/>
        <v>0</v>
      </c>
      <c r="J5491">
        <v>4523</v>
      </c>
      <c r="K5491" s="367">
        <f t="shared" si="703"/>
        <v>3230.7142857142858</v>
      </c>
      <c r="L5491">
        <v>0.19</v>
      </c>
      <c r="M5491">
        <v>7.6</v>
      </c>
      <c r="N5491">
        <v>19</v>
      </c>
      <c r="O5491">
        <v>7</v>
      </c>
      <c r="P5491" t="s">
        <v>515</v>
      </c>
      <c r="Q5491" s="97" t="str">
        <f t="shared" si="704"/>
        <v/>
      </c>
      <c r="R5491" t="str">
        <f t="shared" si="705"/>
        <v/>
      </c>
    </row>
    <row r="5492" spans="3:18">
      <c r="C5492" t="str">
        <f t="shared" si="699"/>
        <v>NL</v>
      </c>
      <c r="D5492">
        <v>141</v>
      </c>
      <c r="E5492">
        <v>60</v>
      </c>
      <c r="F5492" s="366">
        <f t="shared" si="700"/>
        <v>1302</v>
      </c>
      <c r="G5492" s="97">
        <v>1983</v>
      </c>
      <c r="H5492" s="367">
        <f t="shared" si="701"/>
        <v>3285</v>
      </c>
      <c r="I5492" s="368">
        <f t="shared" si="702"/>
        <v>0</v>
      </c>
      <c r="J5492">
        <v>6585</v>
      </c>
      <c r="K5492" s="367">
        <f t="shared" si="703"/>
        <v>4703.5714285714284</v>
      </c>
      <c r="L5492">
        <v>0.57000000000000006</v>
      </c>
      <c r="M5492">
        <v>7.6</v>
      </c>
      <c r="N5492">
        <v>24</v>
      </c>
      <c r="O5492">
        <v>7</v>
      </c>
      <c r="P5492" t="s">
        <v>514</v>
      </c>
      <c r="Q5492" s="97" t="str">
        <f t="shared" si="704"/>
        <v/>
      </c>
      <c r="R5492" t="str">
        <f t="shared" si="705"/>
        <v/>
      </c>
    </row>
    <row r="5493" spans="3:18">
      <c r="C5493" t="str">
        <f t="shared" si="699"/>
        <v/>
      </c>
      <c r="D5493">
        <v>142</v>
      </c>
      <c r="E5493">
        <v>60</v>
      </c>
      <c r="F5493" s="366">
        <f t="shared" si="700"/>
        <v>1302</v>
      </c>
      <c r="G5493" s="97">
        <v>1119</v>
      </c>
      <c r="H5493" s="367">
        <f t="shared" si="701"/>
        <v>2421</v>
      </c>
      <c r="I5493" s="368">
        <f t="shared" si="702"/>
        <v>0</v>
      </c>
      <c r="J5493">
        <v>3717</v>
      </c>
      <c r="K5493" s="367">
        <f t="shared" si="703"/>
        <v>2655</v>
      </c>
      <c r="L5493">
        <v>0.15000000000000002</v>
      </c>
      <c r="M5493">
        <v>8.5</v>
      </c>
      <c r="N5493">
        <v>19</v>
      </c>
      <c r="O5493">
        <v>8</v>
      </c>
      <c r="P5493" t="s">
        <v>515</v>
      </c>
      <c r="Q5493" s="97" t="str">
        <f t="shared" si="704"/>
        <v/>
      </c>
      <c r="R5493" t="str">
        <f t="shared" si="705"/>
        <v/>
      </c>
    </row>
    <row r="5494" spans="3:18">
      <c r="C5494" t="str">
        <f t="shared" si="699"/>
        <v/>
      </c>
      <c r="D5494">
        <v>143</v>
      </c>
      <c r="E5494">
        <v>60</v>
      </c>
      <c r="F5494" s="366">
        <f t="shared" si="700"/>
        <v>1302</v>
      </c>
      <c r="G5494" s="97">
        <v>1646</v>
      </c>
      <c r="H5494" s="367">
        <f t="shared" si="701"/>
        <v>2948</v>
      </c>
      <c r="I5494" s="368">
        <f t="shared" si="702"/>
        <v>0</v>
      </c>
      <c r="J5494">
        <v>5469</v>
      </c>
      <c r="K5494" s="367">
        <f t="shared" si="703"/>
        <v>3906.4285714285716</v>
      </c>
      <c r="L5494">
        <v>0.45</v>
      </c>
      <c r="M5494">
        <v>8.5</v>
      </c>
      <c r="N5494">
        <v>24</v>
      </c>
      <c r="O5494">
        <v>8</v>
      </c>
      <c r="P5494" t="s">
        <v>514</v>
      </c>
      <c r="Q5494" s="97" t="str">
        <f t="shared" si="704"/>
        <v/>
      </c>
      <c r="R5494" t="str">
        <f t="shared" si="705"/>
        <v/>
      </c>
    </row>
    <row r="5495" spans="3:18">
      <c r="C5495" t="str">
        <f t="shared" si="699"/>
        <v>NL</v>
      </c>
      <c r="D5495">
        <v>144</v>
      </c>
      <c r="E5495">
        <v>60</v>
      </c>
      <c r="F5495" s="366">
        <f t="shared" si="700"/>
        <v>1302</v>
      </c>
      <c r="G5495" s="97">
        <v>2316</v>
      </c>
      <c r="H5495" s="367">
        <f t="shared" si="701"/>
        <v>3618</v>
      </c>
      <c r="I5495" s="368">
        <f t="shared" si="702"/>
        <v>0</v>
      </c>
      <c r="J5495">
        <v>7693</v>
      </c>
      <c r="K5495" s="367">
        <f t="shared" si="703"/>
        <v>5495</v>
      </c>
      <c r="L5495">
        <v>0.37</v>
      </c>
      <c r="M5495">
        <v>9.6</v>
      </c>
      <c r="N5495">
        <v>24</v>
      </c>
      <c r="O5495">
        <v>9</v>
      </c>
      <c r="P5495" t="s">
        <v>514</v>
      </c>
      <c r="Q5495" s="97" t="str">
        <f t="shared" si="704"/>
        <v/>
      </c>
      <c r="R5495" t="str">
        <f t="shared" si="705"/>
        <v/>
      </c>
    </row>
    <row r="5496" spans="3:18">
      <c r="C5496" t="str">
        <f t="shared" si="699"/>
        <v/>
      </c>
      <c r="D5496">
        <v>145</v>
      </c>
      <c r="E5496">
        <v>60</v>
      </c>
      <c r="F5496" s="366">
        <f t="shared" si="700"/>
        <v>1302</v>
      </c>
      <c r="G5496" s="97">
        <v>2425</v>
      </c>
      <c r="H5496" s="367">
        <f t="shared" si="701"/>
        <v>3727</v>
      </c>
      <c r="I5496" s="368">
        <f t="shared" si="702"/>
        <v>0</v>
      </c>
      <c r="J5496">
        <v>8053</v>
      </c>
      <c r="K5496" s="367">
        <f t="shared" si="703"/>
        <v>5752.1428571428569</v>
      </c>
      <c r="L5496">
        <v>0.32</v>
      </c>
      <c r="M5496">
        <v>1.4000000000000001</v>
      </c>
      <c r="N5496">
        <v>24</v>
      </c>
      <c r="O5496">
        <v>10</v>
      </c>
      <c r="P5496" t="s">
        <v>514</v>
      </c>
      <c r="Q5496" s="97" t="str">
        <f t="shared" si="704"/>
        <v/>
      </c>
      <c r="R5496" t="str">
        <f t="shared" si="705"/>
        <v/>
      </c>
    </row>
    <row r="5497" spans="3:18">
      <c r="C5497" t="str">
        <f t="shared" si="699"/>
        <v/>
      </c>
      <c r="D5497">
        <v>146</v>
      </c>
      <c r="E5497">
        <v>60</v>
      </c>
      <c r="F5497" s="366">
        <f t="shared" si="700"/>
        <v>1302</v>
      </c>
      <c r="G5497" s="97">
        <v>3266</v>
      </c>
      <c r="H5497" s="367">
        <f t="shared" si="701"/>
        <v>4568</v>
      </c>
      <c r="I5497" s="368">
        <f t="shared" si="702"/>
        <v>0</v>
      </c>
      <c r="J5497">
        <v>10847</v>
      </c>
      <c r="K5497" s="367">
        <f t="shared" si="703"/>
        <v>7747.8571428571431</v>
      </c>
      <c r="L5497">
        <v>0.98</v>
      </c>
      <c r="M5497">
        <v>1.4000000000000001</v>
      </c>
      <c r="N5497">
        <v>27</v>
      </c>
      <c r="O5497">
        <v>10</v>
      </c>
      <c r="P5497" t="s">
        <v>513</v>
      </c>
      <c r="Q5497" s="97" t="str">
        <f t="shared" si="704"/>
        <v/>
      </c>
      <c r="R5497" t="str">
        <f t="shared" si="705"/>
        <v/>
      </c>
    </row>
    <row r="5498" spans="3:18">
      <c r="C5498" t="str">
        <f t="shared" si="699"/>
        <v/>
      </c>
      <c r="D5498">
        <v>147</v>
      </c>
      <c r="E5498">
        <v>65</v>
      </c>
      <c r="F5498" s="366">
        <f t="shared" si="700"/>
        <v>1410.5</v>
      </c>
      <c r="G5498" s="97">
        <v>993</v>
      </c>
      <c r="H5498" s="367">
        <f t="shared" si="701"/>
        <v>2403.5</v>
      </c>
      <c r="I5498" s="368">
        <f t="shared" si="702"/>
        <v>0</v>
      </c>
      <c r="J5498">
        <v>3297</v>
      </c>
      <c r="K5498" s="367">
        <f t="shared" si="703"/>
        <v>2355</v>
      </c>
      <c r="L5498">
        <v>0.63</v>
      </c>
      <c r="M5498">
        <v>4.5</v>
      </c>
      <c r="N5498">
        <v>22</v>
      </c>
      <c r="O5498">
        <v>4</v>
      </c>
      <c r="P5498" t="s">
        <v>515</v>
      </c>
      <c r="Q5498" s="97" t="str">
        <f t="shared" si="704"/>
        <v/>
      </c>
      <c r="R5498" t="str">
        <f t="shared" si="705"/>
        <v/>
      </c>
    </row>
    <row r="5499" spans="3:18">
      <c r="C5499" t="str">
        <f t="shared" si="699"/>
        <v>NL</v>
      </c>
      <c r="D5499">
        <v>148</v>
      </c>
      <c r="E5499">
        <v>65</v>
      </c>
      <c r="F5499" s="366">
        <f t="shared" si="700"/>
        <v>1410.5</v>
      </c>
      <c r="G5499" s="97">
        <v>1200</v>
      </c>
      <c r="H5499" s="367">
        <f t="shared" si="701"/>
        <v>2610.5</v>
      </c>
      <c r="I5499" s="368">
        <f t="shared" si="702"/>
        <v>0</v>
      </c>
      <c r="J5499">
        <v>3987</v>
      </c>
      <c r="K5499" s="367">
        <f t="shared" si="703"/>
        <v>2847.8571428571431</v>
      </c>
      <c r="L5499">
        <v>0.4</v>
      </c>
      <c r="M5499">
        <v>5.5</v>
      </c>
      <c r="N5499">
        <v>21</v>
      </c>
      <c r="O5499">
        <v>5</v>
      </c>
      <c r="P5499" t="s">
        <v>515</v>
      </c>
      <c r="Q5499" s="97" t="str">
        <f t="shared" si="704"/>
        <v/>
      </c>
      <c r="R5499" t="str">
        <f t="shared" si="705"/>
        <v/>
      </c>
    </row>
    <row r="5500" spans="3:18">
      <c r="C5500" t="str">
        <f t="shared" si="699"/>
        <v/>
      </c>
      <c r="D5500">
        <v>149</v>
      </c>
      <c r="E5500">
        <v>65</v>
      </c>
      <c r="F5500" s="366">
        <f t="shared" si="700"/>
        <v>1410.5</v>
      </c>
      <c r="G5500" s="97">
        <v>1084</v>
      </c>
      <c r="H5500" s="367">
        <f t="shared" si="701"/>
        <v>2494.5</v>
      </c>
      <c r="I5500" s="368">
        <f t="shared" si="702"/>
        <v>0</v>
      </c>
      <c r="J5500">
        <v>3600</v>
      </c>
      <c r="K5500" s="367">
        <f t="shared" si="703"/>
        <v>2571.4285714285716</v>
      </c>
      <c r="L5500">
        <v>0.29000000000000004</v>
      </c>
      <c r="M5500">
        <v>6.6</v>
      </c>
      <c r="N5500">
        <v>20</v>
      </c>
      <c r="O5500">
        <v>6</v>
      </c>
      <c r="P5500" t="s">
        <v>515</v>
      </c>
      <c r="Q5500" s="97" t="str">
        <f t="shared" si="704"/>
        <v/>
      </c>
      <c r="R5500" t="str">
        <f t="shared" si="705"/>
        <v/>
      </c>
    </row>
    <row r="5501" spans="3:18">
      <c r="C5501" t="str">
        <f t="shared" si="699"/>
        <v/>
      </c>
      <c r="D5501">
        <v>150</v>
      </c>
      <c r="E5501">
        <v>65</v>
      </c>
      <c r="F5501" s="366">
        <f t="shared" si="700"/>
        <v>1410.5</v>
      </c>
      <c r="G5501" s="97">
        <v>1522</v>
      </c>
      <c r="H5501" s="367">
        <f t="shared" si="701"/>
        <v>2932.5</v>
      </c>
      <c r="I5501" s="368">
        <f t="shared" si="702"/>
        <v>0</v>
      </c>
      <c r="J5501">
        <v>5055</v>
      </c>
      <c r="K5501" s="367">
        <f t="shared" si="703"/>
        <v>3610.7142857142858</v>
      </c>
      <c r="L5501">
        <v>0.88</v>
      </c>
      <c r="M5501">
        <v>6.6</v>
      </c>
      <c r="N5501">
        <v>25</v>
      </c>
      <c r="O5501">
        <v>6</v>
      </c>
      <c r="P5501" t="s">
        <v>514</v>
      </c>
      <c r="Q5501" s="97" t="str">
        <f t="shared" si="704"/>
        <v/>
      </c>
      <c r="R5501" t="str">
        <f t="shared" si="705"/>
        <v/>
      </c>
    </row>
    <row r="5502" spans="3:18">
      <c r="C5502" t="str">
        <f t="shared" si="699"/>
        <v>NL</v>
      </c>
      <c r="D5502">
        <v>151</v>
      </c>
      <c r="E5502">
        <v>65</v>
      </c>
      <c r="F5502" s="366">
        <f t="shared" si="700"/>
        <v>1410.5</v>
      </c>
      <c r="G5502" s="97">
        <v>1447</v>
      </c>
      <c r="H5502" s="367">
        <f t="shared" si="701"/>
        <v>2857.5</v>
      </c>
      <c r="I5502" s="368">
        <f t="shared" si="702"/>
        <v>0</v>
      </c>
      <c r="J5502">
        <v>4806</v>
      </c>
      <c r="K5502" s="367">
        <f t="shared" si="703"/>
        <v>3432.8571428571431</v>
      </c>
      <c r="L5502">
        <v>0.22</v>
      </c>
      <c r="M5502">
        <v>7.6</v>
      </c>
      <c r="N5502">
        <v>20</v>
      </c>
      <c r="O5502">
        <v>7</v>
      </c>
      <c r="P5502" t="s">
        <v>515</v>
      </c>
      <c r="Q5502" s="97" t="str">
        <f t="shared" si="704"/>
        <v/>
      </c>
      <c r="R5502" t="str">
        <f t="shared" si="705"/>
        <v/>
      </c>
    </row>
    <row r="5503" spans="3:18">
      <c r="C5503" t="str">
        <f t="shared" si="699"/>
        <v>NL</v>
      </c>
      <c r="D5503">
        <v>152</v>
      </c>
      <c r="E5503">
        <v>65</v>
      </c>
      <c r="F5503" s="366">
        <f t="shared" si="700"/>
        <v>1410.5</v>
      </c>
      <c r="G5503" s="97">
        <v>2104</v>
      </c>
      <c r="H5503" s="367">
        <f t="shared" si="701"/>
        <v>3514.5</v>
      </c>
      <c r="I5503" s="368">
        <f t="shared" si="702"/>
        <v>0</v>
      </c>
      <c r="J5503">
        <v>6989</v>
      </c>
      <c r="K5503" s="367">
        <f t="shared" si="703"/>
        <v>4992.1428571428569</v>
      </c>
      <c r="L5503">
        <v>0.67</v>
      </c>
      <c r="M5503">
        <v>7.6</v>
      </c>
      <c r="N5503">
        <v>25</v>
      </c>
      <c r="O5503">
        <v>7</v>
      </c>
      <c r="P5503" t="s">
        <v>514</v>
      </c>
      <c r="Q5503" s="97" t="str">
        <f t="shared" si="704"/>
        <v/>
      </c>
      <c r="R5503" t="str">
        <f t="shared" si="705"/>
        <v/>
      </c>
    </row>
    <row r="5504" spans="3:18">
      <c r="C5504" t="str">
        <f t="shared" si="699"/>
        <v/>
      </c>
      <c r="D5504">
        <v>153</v>
      </c>
      <c r="E5504">
        <v>65</v>
      </c>
      <c r="F5504" s="366">
        <f t="shared" si="700"/>
        <v>1410.5</v>
      </c>
      <c r="G5504" s="97">
        <v>1179</v>
      </c>
      <c r="H5504" s="367">
        <f t="shared" si="701"/>
        <v>2589.5</v>
      </c>
      <c r="I5504" s="368">
        <f t="shared" si="702"/>
        <v>0</v>
      </c>
      <c r="J5504">
        <v>3917</v>
      </c>
      <c r="K5504" s="367">
        <f t="shared" si="703"/>
        <v>2797.8571428571431</v>
      </c>
      <c r="L5504">
        <v>0.18000000000000002</v>
      </c>
      <c r="M5504">
        <v>8.5</v>
      </c>
      <c r="N5504">
        <v>20</v>
      </c>
      <c r="O5504">
        <v>8</v>
      </c>
      <c r="P5504" t="s">
        <v>515</v>
      </c>
      <c r="Q5504" s="97" t="str">
        <f t="shared" si="704"/>
        <v/>
      </c>
      <c r="R5504" t="str">
        <f t="shared" si="705"/>
        <v/>
      </c>
    </row>
    <row r="5505" spans="3:18">
      <c r="C5505" t="str">
        <f t="shared" si="699"/>
        <v/>
      </c>
      <c r="D5505">
        <v>154</v>
      </c>
      <c r="E5505">
        <v>65</v>
      </c>
      <c r="F5505" s="366">
        <f t="shared" si="700"/>
        <v>1410.5</v>
      </c>
      <c r="G5505" s="97">
        <v>1753</v>
      </c>
      <c r="H5505" s="367">
        <f t="shared" si="701"/>
        <v>3163.5</v>
      </c>
      <c r="I5505" s="368">
        <f t="shared" si="702"/>
        <v>0</v>
      </c>
      <c r="J5505">
        <v>5822</v>
      </c>
      <c r="K5505" s="367">
        <f t="shared" si="703"/>
        <v>4158.5714285714284</v>
      </c>
      <c r="L5505">
        <v>0.53</v>
      </c>
      <c r="M5505">
        <v>8.5</v>
      </c>
      <c r="N5505">
        <v>25</v>
      </c>
      <c r="O5505">
        <v>8</v>
      </c>
      <c r="P5505" t="s">
        <v>514</v>
      </c>
      <c r="Q5505" s="97">
        <f t="shared" si="704"/>
        <v>154</v>
      </c>
      <c r="R5505" t="str">
        <f t="shared" si="705"/>
        <v/>
      </c>
    </row>
    <row r="5506" spans="3:18">
      <c r="C5506" t="str">
        <f t="shared" si="699"/>
        <v>NL</v>
      </c>
      <c r="D5506">
        <v>155</v>
      </c>
      <c r="E5506">
        <v>65</v>
      </c>
      <c r="F5506" s="366">
        <f t="shared" si="700"/>
        <v>1410.5</v>
      </c>
      <c r="G5506" s="97">
        <v>2473</v>
      </c>
      <c r="H5506" s="367">
        <f t="shared" si="701"/>
        <v>3883.5</v>
      </c>
      <c r="I5506" s="368">
        <f t="shared" si="702"/>
        <v>0</v>
      </c>
      <c r="J5506">
        <v>8213</v>
      </c>
      <c r="K5506" s="367">
        <f t="shared" si="703"/>
        <v>5866.4285714285716</v>
      </c>
      <c r="L5506">
        <v>0.44</v>
      </c>
      <c r="M5506">
        <v>9.6</v>
      </c>
      <c r="N5506">
        <v>25</v>
      </c>
      <c r="O5506">
        <v>9</v>
      </c>
      <c r="P5506" t="s">
        <v>514</v>
      </c>
      <c r="Q5506" s="97" t="str">
        <f t="shared" si="704"/>
        <v/>
      </c>
      <c r="R5506" t="str">
        <f t="shared" si="705"/>
        <v/>
      </c>
    </row>
    <row r="5507" spans="3:18">
      <c r="C5507" t="str">
        <f t="shared" si="699"/>
        <v/>
      </c>
      <c r="D5507">
        <v>156</v>
      </c>
      <c r="E5507">
        <v>65</v>
      </c>
      <c r="F5507" s="366">
        <f t="shared" si="700"/>
        <v>1410.5</v>
      </c>
      <c r="G5507" s="97">
        <v>2584</v>
      </c>
      <c r="H5507" s="367">
        <f t="shared" si="701"/>
        <v>3994.5</v>
      </c>
      <c r="I5507" s="368">
        <f t="shared" si="702"/>
        <v>0</v>
      </c>
      <c r="J5507">
        <v>8582</v>
      </c>
      <c r="K5507" s="367">
        <f t="shared" si="703"/>
        <v>6130</v>
      </c>
      <c r="L5507">
        <v>0.37</v>
      </c>
      <c r="M5507">
        <v>1.4000000000000001</v>
      </c>
      <c r="N5507">
        <v>25</v>
      </c>
      <c r="O5507">
        <v>10</v>
      </c>
      <c r="P5507" t="s">
        <v>514</v>
      </c>
      <c r="Q5507" s="97" t="str">
        <f t="shared" si="704"/>
        <v/>
      </c>
      <c r="R5507" t="str">
        <f t="shared" si="705"/>
        <v/>
      </c>
    </row>
    <row r="5508" spans="3:18">
      <c r="C5508" t="str">
        <f t="shared" si="699"/>
        <v/>
      </c>
      <c r="D5508">
        <v>157</v>
      </c>
      <c r="E5508">
        <v>70</v>
      </c>
      <c r="F5508" s="366">
        <f t="shared" si="700"/>
        <v>1519</v>
      </c>
      <c r="G5508" s="97">
        <v>1056</v>
      </c>
      <c r="H5508" s="367">
        <f t="shared" si="701"/>
        <v>2575</v>
      </c>
      <c r="I5508" s="368">
        <f t="shared" si="702"/>
        <v>0</v>
      </c>
      <c r="J5508">
        <v>3507</v>
      </c>
      <c r="K5508" s="367">
        <f t="shared" si="703"/>
        <v>2505</v>
      </c>
      <c r="L5508">
        <v>0.73</v>
      </c>
      <c r="M5508">
        <v>4.5</v>
      </c>
      <c r="N5508">
        <v>23</v>
      </c>
      <c r="O5508">
        <v>4</v>
      </c>
      <c r="P5508" t="s">
        <v>515</v>
      </c>
      <c r="Q5508" s="97" t="str">
        <f t="shared" si="704"/>
        <v/>
      </c>
      <c r="R5508" t="str">
        <f t="shared" si="705"/>
        <v/>
      </c>
    </row>
    <row r="5509" spans="3:18">
      <c r="C5509" t="str">
        <f t="shared" si="699"/>
        <v>NL</v>
      </c>
      <c r="D5509">
        <v>158</v>
      </c>
      <c r="E5509">
        <v>70</v>
      </c>
      <c r="F5509" s="366">
        <f t="shared" si="700"/>
        <v>1519</v>
      </c>
      <c r="G5509" s="97">
        <v>1275</v>
      </c>
      <c r="H5509" s="367">
        <f t="shared" si="701"/>
        <v>2794</v>
      </c>
      <c r="I5509" s="368">
        <f t="shared" si="702"/>
        <v>0</v>
      </c>
      <c r="J5509">
        <v>4235</v>
      </c>
      <c r="K5509" s="367">
        <f t="shared" si="703"/>
        <v>3025</v>
      </c>
      <c r="L5509">
        <v>0.47000000000000003</v>
      </c>
      <c r="M5509">
        <v>5.5</v>
      </c>
      <c r="N5509">
        <v>22</v>
      </c>
      <c r="O5509">
        <v>5</v>
      </c>
      <c r="P5509" t="s">
        <v>515</v>
      </c>
      <c r="Q5509" s="97" t="str">
        <f t="shared" si="704"/>
        <v/>
      </c>
      <c r="R5509" t="str">
        <f t="shared" si="705"/>
        <v/>
      </c>
    </row>
    <row r="5510" spans="3:18">
      <c r="C5510" t="str">
        <f t="shared" si="699"/>
        <v/>
      </c>
      <c r="D5510">
        <v>159</v>
      </c>
      <c r="E5510">
        <v>70</v>
      </c>
      <c r="F5510" s="366">
        <f t="shared" si="700"/>
        <v>1519</v>
      </c>
      <c r="G5510" s="97">
        <v>1145</v>
      </c>
      <c r="H5510" s="367">
        <f t="shared" si="701"/>
        <v>2664</v>
      </c>
      <c r="I5510" s="368">
        <f t="shared" si="702"/>
        <v>0</v>
      </c>
      <c r="J5510">
        <v>3805</v>
      </c>
      <c r="K5510" s="367">
        <f t="shared" si="703"/>
        <v>2717.8571428571431</v>
      </c>
      <c r="L5510">
        <v>0.33</v>
      </c>
      <c r="M5510">
        <v>6.6</v>
      </c>
      <c r="N5510">
        <v>21</v>
      </c>
      <c r="O5510">
        <v>6</v>
      </c>
      <c r="P5510" t="s">
        <v>515</v>
      </c>
      <c r="Q5510" s="97" t="str">
        <f t="shared" si="704"/>
        <v/>
      </c>
      <c r="R5510" t="str">
        <f t="shared" si="705"/>
        <v/>
      </c>
    </row>
    <row r="5511" spans="3:18">
      <c r="C5511" t="str">
        <f t="shared" si="699"/>
        <v>NL</v>
      </c>
      <c r="D5511">
        <v>160</v>
      </c>
      <c r="E5511">
        <v>70</v>
      </c>
      <c r="F5511" s="366">
        <f t="shared" si="700"/>
        <v>1519</v>
      </c>
      <c r="G5511" s="97">
        <v>1532</v>
      </c>
      <c r="H5511" s="367">
        <f t="shared" si="701"/>
        <v>3051</v>
      </c>
      <c r="I5511" s="368">
        <f t="shared" si="702"/>
        <v>0</v>
      </c>
      <c r="J5511">
        <v>5090</v>
      </c>
      <c r="K5511" s="367">
        <f t="shared" si="703"/>
        <v>3635.7142857142858</v>
      </c>
      <c r="L5511">
        <v>0.25</v>
      </c>
      <c r="M5511">
        <v>7.6</v>
      </c>
      <c r="N5511">
        <v>21</v>
      </c>
      <c r="O5511">
        <v>7</v>
      </c>
      <c r="P5511" t="s">
        <v>515</v>
      </c>
      <c r="Q5511" s="97" t="str">
        <f t="shared" si="704"/>
        <v/>
      </c>
      <c r="R5511" t="str">
        <f t="shared" si="705"/>
        <v/>
      </c>
    </row>
    <row r="5512" spans="3:18">
      <c r="C5512" t="str">
        <f t="shared" si="699"/>
        <v>NL</v>
      </c>
      <c r="D5512">
        <v>161</v>
      </c>
      <c r="E5512">
        <v>70</v>
      </c>
      <c r="F5512" s="366">
        <f t="shared" si="700"/>
        <v>1519</v>
      </c>
      <c r="G5512" s="97">
        <v>2226</v>
      </c>
      <c r="H5512" s="367">
        <f t="shared" si="701"/>
        <v>3745</v>
      </c>
      <c r="I5512" s="368">
        <f t="shared" si="702"/>
        <v>0</v>
      </c>
      <c r="J5512">
        <v>7394</v>
      </c>
      <c r="K5512" s="367">
        <f t="shared" si="703"/>
        <v>5281.4285714285716</v>
      </c>
      <c r="L5512">
        <v>0.77</v>
      </c>
      <c r="M5512">
        <v>7.6</v>
      </c>
      <c r="N5512">
        <v>26</v>
      </c>
      <c r="O5512">
        <v>7</v>
      </c>
      <c r="P5512" t="s">
        <v>514</v>
      </c>
      <c r="Q5512" s="97" t="str">
        <f t="shared" si="704"/>
        <v/>
      </c>
      <c r="R5512" t="str">
        <f t="shared" si="705"/>
        <v/>
      </c>
    </row>
    <row r="5513" spans="3:18">
      <c r="C5513" t="str">
        <f t="shared" si="699"/>
        <v/>
      </c>
      <c r="D5513">
        <v>162</v>
      </c>
      <c r="E5513">
        <v>70</v>
      </c>
      <c r="F5513" s="366">
        <f t="shared" si="700"/>
        <v>1519</v>
      </c>
      <c r="G5513" s="97">
        <v>1240</v>
      </c>
      <c r="H5513" s="367">
        <f t="shared" si="701"/>
        <v>2759</v>
      </c>
      <c r="I5513" s="368">
        <f t="shared" si="702"/>
        <v>0</v>
      </c>
      <c r="J5513">
        <v>4118</v>
      </c>
      <c r="K5513" s="367">
        <f t="shared" si="703"/>
        <v>2941.4285714285716</v>
      </c>
      <c r="L5513">
        <v>0.2</v>
      </c>
      <c r="M5513">
        <v>8.5</v>
      </c>
      <c r="N5513">
        <v>21</v>
      </c>
      <c r="O5513">
        <v>8</v>
      </c>
      <c r="P5513" t="s">
        <v>515</v>
      </c>
      <c r="Q5513" s="97" t="str">
        <f t="shared" si="704"/>
        <v/>
      </c>
      <c r="R5513" t="str">
        <f t="shared" si="705"/>
        <v/>
      </c>
    </row>
    <row r="5514" spans="3:18">
      <c r="C5514" t="str">
        <f t="shared" si="699"/>
        <v/>
      </c>
      <c r="D5514">
        <v>163</v>
      </c>
      <c r="E5514">
        <v>70</v>
      </c>
      <c r="F5514" s="366">
        <f t="shared" si="700"/>
        <v>1519</v>
      </c>
      <c r="G5514" s="97">
        <v>1860</v>
      </c>
      <c r="H5514" s="367">
        <f t="shared" si="701"/>
        <v>3379</v>
      </c>
      <c r="I5514" s="368">
        <f t="shared" si="702"/>
        <v>0</v>
      </c>
      <c r="J5514">
        <v>6176</v>
      </c>
      <c r="K5514" s="367">
        <f t="shared" si="703"/>
        <v>4411.4285714285716</v>
      </c>
      <c r="L5514">
        <v>0.61</v>
      </c>
      <c r="M5514">
        <v>8.5</v>
      </c>
      <c r="N5514">
        <v>26</v>
      </c>
      <c r="O5514">
        <v>8</v>
      </c>
      <c r="P5514" t="s">
        <v>514</v>
      </c>
      <c r="Q5514" s="97">
        <f t="shared" si="704"/>
        <v>163</v>
      </c>
      <c r="R5514" t="str">
        <f t="shared" si="705"/>
        <v/>
      </c>
    </row>
    <row r="5515" spans="3:18">
      <c r="C5515" t="str">
        <f t="shared" si="699"/>
        <v>NL</v>
      </c>
      <c r="D5515">
        <v>164</v>
      </c>
      <c r="E5515">
        <v>70</v>
      </c>
      <c r="F5515" s="366">
        <f t="shared" si="700"/>
        <v>1519</v>
      </c>
      <c r="G5515" s="97">
        <v>1623</v>
      </c>
      <c r="H5515" s="367">
        <f t="shared" si="701"/>
        <v>3142</v>
      </c>
      <c r="I5515" s="368">
        <f t="shared" si="702"/>
        <v>0</v>
      </c>
      <c r="J5515">
        <v>5392</v>
      </c>
      <c r="K5515" s="367">
        <f t="shared" si="703"/>
        <v>3851.4285714285716</v>
      </c>
      <c r="L5515">
        <v>0.17</v>
      </c>
      <c r="M5515">
        <v>9.6</v>
      </c>
      <c r="N5515">
        <v>21</v>
      </c>
      <c r="O5515">
        <v>9</v>
      </c>
      <c r="P5515" t="s">
        <v>515</v>
      </c>
      <c r="Q5515" s="97" t="str">
        <f t="shared" si="704"/>
        <v/>
      </c>
      <c r="R5515" t="str">
        <f t="shared" si="705"/>
        <v/>
      </c>
    </row>
    <row r="5516" spans="3:18">
      <c r="C5516" t="str">
        <f t="shared" si="699"/>
        <v>NL</v>
      </c>
      <c r="D5516">
        <v>165</v>
      </c>
      <c r="E5516">
        <v>70</v>
      </c>
      <c r="F5516" s="366">
        <f t="shared" si="700"/>
        <v>1519</v>
      </c>
      <c r="G5516" s="97">
        <v>2608</v>
      </c>
      <c r="H5516" s="367">
        <f t="shared" si="701"/>
        <v>4127</v>
      </c>
      <c r="I5516" s="368">
        <f t="shared" si="702"/>
        <v>0</v>
      </c>
      <c r="J5516">
        <v>8660</v>
      </c>
      <c r="K5516" s="367">
        <f t="shared" si="703"/>
        <v>6185.7142857142862</v>
      </c>
      <c r="L5516">
        <v>0.51</v>
      </c>
      <c r="M5516">
        <v>9.6</v>
      </c>
      <c r="N5516">
        <v>26</v>
      </c>
      <c r="O5516">
        <v>9</v>
      </c>
      <c r="P5516" t="s">
        <v>514</v>
      </c>
      <c r="Q5516" s="97" t="str">
        <f t="shared" si="704"/>
        <v/>
      </c>
      <c r="R5516" t="str">
        <f t="shared" si="705"/>
        <v/>
      </c>
    </row>
    <row r="5517" spans="3:18">
      <c r="C5517" t="str">
        <f t="shared" si="699"/>
        <v/>
      </c>
      <c r="D5517">
        <v>166</v>
      </c>
      <c r="E5517">
        <v>70</v>
      </c>
      <c r="F5517" s="366">
        <f t="shared" si="700"/>
        <v>1519</v>
      </c>
      <c r="G5517" s="97">
        <v>2743</v>
      </c>
      <c r="H5517" s="367">
        <f t="shared" si="701"/>
        <v>4262</v>
      </c>
      <c r="I5517" s="368">
        <f t="shared" si="702"/>
        <v>0</v>
      </c>
      <c r="J5517">
        <v>9110</v>
      </c>
      <c r="K5517" s="367">
        <f t="shared" si="703"/>
        <v>6507.1428571428569</v>
      </c>
      <c r="L5517">
        <v>0.43</v>
      </c>
      <c r="M5517">
        <v>1.4000000000000001</v>
      </c>
      <c r="N5517">
        <v>26</v>
      </c>
      <c r="O5517">
        <v>10</v>
      </c>
      <c r="P5517" t="s">
        <v>514</v>
      </c>
      <c r="Q5517" s="97" t="str">
        <f t="shared" si="704"/>
        <v/>
      </c>
      <c r="R5517" t="str">
        <f t="shared" si="705"/>
        <v/>
      </c>
    </row>
    <row r="5518" spans="3:18">
      <c r="C5518" t="str">
        <f t="shared" si="699"/>
        <v/>
      </c>
      <c r="D5518">
        <v>167</v>
      </c>
      <c r="E5518">
        <v>75</v>
      </c>
      <c r="F5518" s="366">
        <f t="shared" si="700"/>
        <v>1627.5</v>
      </c>
      <c r="G5518" s="97">
        <v>1116</v>
      </c>
      <c r="H5518" s="367">
        <f t="shared" si="701"/>
        <v>2743.5</v>
      </c>
      <c r="I5518" s="368">
        <f t="shared" si="702"/>
        <v>0</v>
      </c>
      <c r="J5518">
        <v>3706</v>
      </c>
      <c r="K5518" s="367">
        <f t="shared" si="703"/>
        <v>2647.1428571428573</v>
      </c>
      <c r="L5518">
        <v>0.83</v>
      </c>
      <c r="M5518">
        <v>4.5</v>
      </c>
      <c r="N5518">
        <v>24</v>
      </c>
      <c r="O5518">
        <v>4</v>
      </c>
      <c r="P5518" t="s">
        <v>515</v>
      </c>
      <c r="Q5518" s="97" t="str">
        <f t="shared" si="704"/>
        <v/>
      </c>
      <c r="R5518" t="str">
        <f t="shared" si="705"/>
        <v/>
      </c>
    </row>
    <row r="5519" spans="3:18">
      <c r="C5519" t="str">
        <f t="shared" si="699"/>
        <v>NL</v>
      </c>
      <c r="D5519">
        <v>168</v>
      </c>
      <c r="E5519">
        <v>75</v>
      </c>
      <c r="F5519" s="366">
        <f t="shared" si="700"/>
        <v>1627.5</v>
      </c>
      <c r="G5519" s="97">
        <v>1350</v>
      </c>
      <c r="H5519" s="367">
        <f t="shared" si="701"/>
        <v>2977.5</v>
      </c>
      <c r="I5519" s="368">
        <f t="shared" si="702"/>
        <v>0</v>
      </c>
      <c r="J5519">
        <v>4484</v>
      </c>
      <c r="K5519" s="367">
        <f t="shared" si="703"/>
        <v>3202.8571428571431</v>
      </c>
      <c r="L5519">
        <v>0.53</v>
      </c>
      <c r="M5519">
        <v>5.5</v>
      </c>
      <c r="N5519">
        <v>22</v>
      </c>
      <c r="O5519">
        <v>5</v>
      </c>
      <c r="P5519" t="s">
        <v>515</v>
      </c>
      <c r="Q5519" s="97" t="str">
        <f t="shared" si="704"/>
        <v/>
      </c>
      <c r="R5519" t="str">
        <f t="shared" si="705"/>
        <v/>
      </c>
    </row>
    <row r="5520" spans="3:18">
      <c r="C5520" t="str">
        <f t="shared" si="699"/>
        <v/>
      </c>
      <c r="D5520">
        <v>169</v>
      </c>
      <c r="E5520">
        <v>75</v>
      </c>
      <c r="F5520" s="366">
        <f t="shared" si="700"/>
        <v>1627.5</v>
      </c>
      <c r="G5520" s="97">
        <v>1207</v>
      </c>
      <c r="H5520" s="367">
        <f t="shared" si="701"/>
        <v>2834.5</v>
      </c>
      <c r="I5520" s="368">
        <f t="shared" si="702"/>
        <v>0</v>
      </c>
      <c r="J5520">
        <v>4010</v>
      </c>
      <c r="K5520" s="367">
        <f t="shared" si="703"/>
        <v>2864.2857142857142</v>
      </c>
      <c r="L5520">
        <v>0.38</v>
      </c>
      <c r="M5520">
        <v>6.6</v>
      </c>
      <c r="N5520">
        <v>22</v>
      </c>
      <c r="O5520">
        <v>6</v>
      </c>
      <c r="P5520" t="s">
        <v>515</v>
      </c>
      <c r="Q5520" s="97" t="str">
        <f t="shared" si="704"/>
        <v/>
      </c>
      <c r="R5520" t="str">
        <f t="shared" si="705"/>
        <v/>
      </c>
    </row>
    <row r="5521" spans="3:18">
      <c r="C5521" t="str">
        <f t="shared" si="699"/>
        <v>NL</v>
      </c>
      <c r="D5521">
        <v>170</v>
      </c>
      <c r="E5521">
        <v>75</v>
      </c>
      <c r="F5521" s="366">
        <f t="shared" si="700"/>
        <v>1627.5</v>
      </c>
      <c r="G5521" s="97">
        <v>1618</v>
      </c>
      <c r="H5521" s="367">
        <f t="shared" si="701"/>
        <v>3245.5</v>
      </c>
      <c r="I5521" s="368">
        <f t="shared" si="702"/>
        <v>0</v>
      </c>
      <c r="J5521">
        <v>5373</v>
      </c>
      <c r="K5521" s="367">
        <f t="shared" si="703"/>
        <v>3837.8571428571431</v>
      </c>
      <c r="L5521">
        <v>0.28000000000000003</v>
      </c>
      <c r="M5521">
        <v>7.6</v>
      </c>
      <c r="N5521">
        <v>21</v>
      </c>
      <c r="O5521">
        <v>7</v>
      </c>
      <c r="P5521" t="s">
        <v>515</v>
      </c>
      <c r="Q5521" s="97" t="str">
        <f t="shared" si="704"/>
        <v/>
      </c>
      <c r="R5521" t="str">
        <f t="shared" si="705"/>
        <v/>
      </c>
    </row>
    <row r="5522" spans="3:18">
      <c r="C5522" t="str">
        <f t="shared" si="699"/>
        <v>NL</v>
      </c>
      <c r="D5522">
        <v>171</v>
      </c>
      <c r="E5522">
        <v>75</v>
      </c>
      <c r="F5522" s="366">
        <f t="shared" si="700"/>
        <v>1627.5</v>
      </c>
      <c r="G5522" s="97">
        <v>2342</v>
      </c>
      <c r="H5522" s="367">
        <f t="shared" si="701"/>
        <v>3969.5</v>
      </c>
      <c r="I5522" s="368">
        <f t="shared" si="702"/>
        <v>0</v>
      </c>
      <c r="J5522">
        <v>7778</v>
      </c>
      <c r="K5522" s="367">
        <f t="shared" si="703"/>
        <v>5555.7142857142862</v>
      </c>
      <c r="L5522">
        <v>0.88</v>
      </c>
      <c r="M5522">
        <v>7.6</v>
      </c>
      <c r="N5522">
        <v>26</v>
      </c>
      <c r="O5522">
        <v>7</v>
      </c>
      <c r="P5522" t="s">
        <v>514</v>
      </c>
      <c r="Q5522" s="97" t="str">
        <f t="shared" si="704"/>
        <v/>
      </c>
      <c r="R5522" t="str">
        <f t="shared" si="705"/>
        <v/>
      </c>
    </row>
    <row r="5523" spans="3:18">
      <c r="C5523" t="str">
        <f t="shared" si="699"/>
        <v/>
      </c>
      <c r="D5523">
        <v>172</v>
      </c>
      <c r="E5523">
        <v>75</v>
      </c>
      <c r="F5523" s="366">
        <f t="shared" si="700"/>
        <v>1627.5</v>
      </c>
      <c r="G5523" s="97">
        <v>1300</v>
      </c>
      <c r="H5523" s="367">
        <f t="shared" si="701"/>
        <v>2927.5</v>
      </c>
      <c r="I5523" s="368">
        <f t="shared" si="702"/>
        <v>0</v>
      </c>
      <c r="J5523">
        <v>4318</v>
      </c>
      <c r="K5523" s="367">
        <f t="shared" si="703"/>
        <v>3084.2857142857142</v>
      </c>
      <c r="L5523">
        <v>0.23</v>
      </c>
      <c r="M5523">
        <v>8.5</v>
      </c>
      <c r="N5523">
        <v>21</v>
      </c>
      <c r="O5523">
        <v>8</v>
      </c>
      <c r="P5523" t="s">
        <v>515</v>
      </c>
      <c r="Q5523" s="97" t="str">
        <f t="shared" si="704"/>
        <v/>
      </c>
      <c r="R5523" t="str">
        <f t="shared" si="705"/>
        <v/>
      </c>
    </row>
    <row r="5524" spans="3:18">
      <c r="C5524" t="str">
        <f t="shared" si="699"/>
        <v/>
      </c>
      <c r="D5524">
        <v>173</v>
      </c>
      <c r="E5524">
        <v>75</v>
      </c>
      <c r="F5524" s="366">
        <f t="shared" si="700"/>
        <v>1627.5</v>
      </c>
      <c r="G5524" s="97">
        <v>1966</v>
      </c>
      <c r="H5524" s="367">
        <f t="shared" si="701"/>
        <v>3593.5</v>
      </c>
      <c r="I5524" s="368">
        <f t="shared" si="702"/>
        <v>0</v>
      </c>
      <c r="J5524">
        <v>6530</v>
      </c>
      <c r="K5524" s="367">
        <f t="shared" si="703"/>
        <v>4664.2857142857147</v>
      </c>
      <c r="L5524">
        <v>0.7</v>
      </c>
      <c r="M5524">
        <v>8.5</v>
      </c>
      <c r="N5524">
        <v>26</v>
      </c>
      <c r="O5524">
        <v>8</v>
      </c>
      <c r="P5524" t="s">
        <v>514</v>
      </c>
      <c r="Q5524" s="97">
        <f t="shared" si="704"/>
        <v>173</v>
      </c>
      <c r="R5524" t="str">
        <f t="shared" si="705"/>
        <v/>
      </c>
    </row>
    <row r="5525" spans="3:18">
      <c r="C5525" t="str">
        <f t="shared" si="699"/>
        <v>NL</v>
      </c>
      <c r="D5525">
        <v>174</v>
      </c>
      <c r="E5525">
        <v>75</v>
      </c>
      <c r="F5525" s="366">
        <f t="shared" si="700"/>
        <v>1627.5</v>
      </c>
      <c r="G5525" s="97">
        <v>1707</v>
      </c>
      <c r="H5525" s="367">
        <f t="shared" si="701"/>
        <v>3334.5</v>
      </c>
      <c r="I5525" s="368">
        <f t="shared" si="702"/>
        <v>0</v>
      </c>
      <c r="J5525">
        <v>5670</v>
      </c>
      <c r="K5525" s="367">
        <f t="shared" si="703"/>
        <v>4050</v>
      </c>
      <c r="L5525">
        <v>0.19</v>
      </c>
      <c r="M5525">
        <v>9.6</v>
      </c>
      <c r="N5525">
        <v>21</v>
      </c>
      <c r="O5525">
        <v>9</v>
      </c>
      <c r="P5525" t="s">
        <v>515</v>
      </c>
      <c r="Q5525" s="97" t="str">
        <f t="shared" si="704"/>
        <v/>
      </c>
      <c r="R5525" t="str">
        <f t="shared" si="705"/>
        <v/>
      </c>
    </row>
    <row r="5526" spans="3:18">
      <c r="C5526" t="str">
        <f t="shared" si="699"/>
        <v>NL</v>
      </c>
      <c r="D5526">
        <v>175</v>
      </c>
      <c r="E5526">
        <v>75</v>
      </c>
      <c r="F5526" s="366">
        <f t="shared" si="700"/>
        <v>1627.5</v>
      </c>
      <c r="G5526" s="97">
        <v>2740</v>
      </c>
      <c r="H5526" s="367">
        <f t="shared" si="701"/>
        <v>4367.5</v>
      </c>
      <c r="I5526" s="368">
        <f t="shared" si="702"/>
        <v>0</v>
      </c>
      <c r="J5526">
        <v>9099</v>
      </c>
      <c r="K5526" s="367">
        <f t="shared" si="703"/>
        <v>6499.2857142857147</v>
      </c>
      <c r="L5526">
        <v>0.57000000000000006</v>
      </c>
      <c r="M5526">
        <v>9.6</v>
      </c>
      <c r="N5526">
        <v>26</v>
      </c>
      <c r="O5526">
        <v>9</v>
      </c>
      <c r="P5526" t="s">
        <v>514</v>
      </c>
      <c r="Q5526" s="97" t="str">
        <f t="shared" si="704"/>
        <v/>
      </c>
      <c r="R5526" t="str">
        <f t="shared" si="705"/>
        <v/>
      </c>
    </row>
    <row r="5527" spans="3:18">
      <c r="C5527" t="str">
        <f t="shared" si="699"/>
        <v/>
      </c>
      <c r="D5527">
        <v>176</v>
      </c>
      <c r="E5527">
        <v>75</v>
      </c>
      <c r="F5527" s="366">
        <f t="shared" si="700"/>
        <v>1627.5</v>
      </c>
      <c r="G5527" s="97">
        <v>2894</v>
      </c>
      <c r="H5527" s="367">
        <f t="shared" si="701"/>
        <v>4521.5</v>
      </c>
      <c r="I5527" s="368">
        <f t="shared" si="702"/>
        <v>0</v>
      </c>
      <c r="J5527">
        <v>9611</v>
      </c>
      <c r="K5527" s="367">
        <f t="shared" si="703"/>
        <v>6865</v>
      </c>
      <c r="L5527">
        <v>0.49</v>
      </c>
      <c r="M5527">
        <v>1.4000000000000001</v>
      </c>
      <c r="N5527">
        <v>26</v>
      </c>
      <c r="O5527">
        <v>10</v>
      </c>
      <c r="P5527" t="s">
        <v>514</v>
      </c>
      <c r="Q5527" s="97" t="str">
        <f t="shared" si="704"/>
        <v/>
      </c>
      <c r="R5527" t="str">
        <f t="shared" si="705"/>
        <v/>
      </c>
    </row>
    <row r="5528" spans="3:18">
      <c r="C5528" t="str">
        <f t="shared" si="699"/>
        <v/>
      </c>
      <c r="D5528">
        <v>177</v>
      </c>
      <c r="E5528">
        <v>80</v>
      </c>
      <c r="F5528" s="366">
        <f t="shared" si="700"/>
        <v>1736</v>
      </c>
      <c r="G5528" s="97">
        <v>1170</v>
      </c>
      <c r="H5528" s="367">
        <f t="shared" si="701"/>
        <v>2906</v>
      </c>
      <c r="I5528" s="368">
        <f t="shared" si="702"/>
        <v>0</v>
      </c>
      <c r="J5528">
        <v>3887</v>
      </c>
      <c r="K5528" s="367">
        <f t="shared" si="703"/>
        <v>2776.4285714285716</v>
      </c>
      <c r="L5528">
        <v>0.95</v>
      </c>
      <c r="M5528">
        <v>4.5</v>
      </c>
      <c r="N5528">
        <v>25</v>
      </c>
      <c r="O5528">
        <v>4</v>
      </c>
      <c r="P5528" t="s">
        <v>515</v>
      </c>
      <c r="Q5528" s="97" t="str">
        <f t="shared" si="704"/>
        <v/>
      </c>
      <c r="R5528" t="str">
        <f t="shared" si="705"/>
        <v/>
      </c>
    </row>
    <row r="5529" spans="3:18">
      <c r="C5529" t="str">
        <f t="shared" si="699"/>
        <v>NL</v>
      </c>
      <c r="D5529">
        <v>178</v>
      </c>
      <c r="E5529">
        <v>80</v>
      </c>
      <c r="F5529" s="366">
        <f t="shared" si="700"/>
        <v>1736</v>
      </c>
      <c r="G5529" s="97">
        <v>1421</v>
      </c>
      <c r="H5529" s="367">
        <f t="shared" si="701"/>
        <v>3157</v>
      </c>
      <c r="I5529" s="368">
        <f t="shared" si="702"/>
        <v>0</v>
      </c>
      <c r="J5529">
        <v>4719</v>
      </c>
      <c r="K5529" s="367">
        <f t="shared" si="703"/>
        <v>3370.7142857142858</v>
      </c>
      <c r="L5529">
        <v>0.6</v>
      </c>
      <c r="M5529">
        <v>5.5</v>
      </c>
      <c r="N5529">
        <v>23</v>
      </c>
      <c r="O5529">
        <v>5</v>
      </c>
      <c r="P5529" t="s">
        <v>515</v>
      </c>
      <c r="Q5529" s="97" t="str">
        <f t="shared" si="704"/>
        <v/>
      </c>
      <c r="R5529" t="str">
        <f t="shared" si="705"/>
        <v/>
      </c>
    </row>
    <row r="5530" spans="3:18">
      <c r="C5530" t="str">
        <f t="shared" si="699"/>
        <v/>
      </c>
      <c r="D5530">
        <v>179</v>
      </c>
      <c r="E5530">
        <v>80</v>
      </c>
      <c r="F5530" s="366">
        <f t="shared" si="700"/>
        <v>1736</v>
      </c>
      <c r="G5530" s="97">
        <v>1269</v>
      </c>
      <c r="H5530" s="367">
        <f t="shared" si="701"/>
        <v>3005</v>
      </c>
      <c r="I5530" s="368">
        <f t="shared" si="702"/>
        <v>0</v>
      </c>
      <c r="J5530">
        <v>4215</v>
      </c>
      <c r="K5530" s="367">
        <f t="shared" si="703"/>
        <v>3010.7142857142858</v>
      </c>
      <c r="L5530">
        <v>0.43</v>
      </c>
      <c r="M5530">
        <v>6.6</v>
      </c>
      <c r="N5530">
        <v>23</v>
      </c>
      <c r="O5530">
        <v>6</v>
      </c>
      <c r="P5530" t="s">
        <v>515</v>
      </c>
      <c r="Q5530" s="97">
        <f t="shared" si="704"/>
        <v>179</v>
      </c>
      <c r="R5530" t="str">
        <f t="shared" si="705"/>
        <v/>
      </c>
    </row>
    <row r="5531" spans="3:18">
      <c r="C5531" t="str">
        <f t="shared" si="699"/>
        <v>NL</v>
      </c>
      <c r="D5531">
        <v>180</v>
      </c>
      <c r="E5531">
        <v>80</v>
      </c>
      <c r="F5531" s="366">
        <f t="shared" si="700"/>
        <v>1736</v>
      </c>
      <c r="G5531" s="97">
        <v>1703</v>
      </c>
      <c r="H5531" s="367">
        <f t="shared" si="701"/>
        <v>3439</v>
      </c>
      <c r="I5531" s="368">
        <f t="shared" si="702"/>
        <v>0</v>
      </c>
      <c r="J5531">
        <v>5657</v>
      </c>
      <c r="K5531" s="367">
        <f t="shared" si="703"/>
        <v>4040.7142857142858</v>
      </c>
      <c r="L5531">
        <v>0.32</v>
      </c>
      <c r="M5531">
        <v>7.6</v>
      </c>
      <c r="N5531">
        <v>22</v>
      </c>
      <c r="O5531">
        <v>7</v>
      </c>
      <c r="P5531" t="s">
        <v>515</v>
      </c>
      <c r="Q5531" s="97" t="str">
        <f t="shared" si="704"/>
        <v/>
      </c>
      <c r="R5531" t="str">
        <f t="shared" si="705"/>
        <v/>
      </c>
    </row>
    <row r="5532" spans="3:18">
      <c r="C5532" t="str">
        <f t="shared" si="699"/>
        <v>NL</v>
      </c>
      <c r="D5532">
        <v>181</v>
      </c>
      <c r="E5532">
        <v>80</v>
      </c>
      <c r="F5532" s="366">
        <f t="shared" si="700"/>
        <v>1736</v>
      </c>
      <c r="G5532" s="97">
        <v>2449</v>
      </c>
      <c r="H5532" s="367">
        <f t="shared" si="701"/>
        <v>4185</v>
      </c>
      <c r="I5532" s="368">
        <f t="shared" si="702"/>
        <v>0</v>
      </c>
      <c r="J5532">
        <v>8133</v>
      </c>
      <c r="K5532" s="367">
        <f t="shared" si="703"/>
        <v>5809.2857142857147</v>
      </c>
      <c r="L5532">
        <v>1</v>
      </c>
      <c r="M5532">
        <v>7.6</v>
      </c>
      <c r="N5532">
        <v>27</v>
      </c>
      <c r="O5532">
        <v>7</v>
      </c>
      <c r="P5532" t="s">
        <v>514</v>
      </c>
      <c r="Q5532" s="97" t="str">
        <f t="shared" si="704"/>
        <v/>
      </c>
      <c r="R5532" t="str">
        <f t="shared" si="705"/>
        <v/>
      </c>
    </row>
    <row r="5533" spans="3:18">
      <c r="C5533" t="str">
        <f t="shared" si="699"/>
        <v/>
      </c>
      <c r="D5533">
        <v>182</v>
      </c>
      <c r="E5533">
        <v>80</v>
      </c>
      <c r="F5533" s="366">
        <f t="shared" si="700"/>
        <v>1736</v>
      </c>
      <c r="G5533" s="97">
        <v>1360</v>
      </c>
      <c r="H5533" s="367">
        <f t="shared" si="701"/>
        <v>3096</v>
      </c>
      <c r="I5533" s="368">
        <f t="shared" si="702"/>
        <v>0</v>
      </c>
      <c r="J5533">
        <v>4518</v>
      </c>
      <c r="K5533" s="367">
        <f t="shared" si="703"/>
        <v>3227.1428571428573</v>
      </c>
      <c r="L5533">
        <v>0.26</v>
      </c>
      <c r="M5533">
        <v>8.5</v>
      </c>
      <c r="N5533">
        <v>22</v>
      </c>
      <c r="O5533">
        <v>8</v>
      </c>
      <c r="P5533" t="s">
        <v>515</v>
      </c>
      <c r="Q5533" s="97">
        <f t="shared" si="704"/>
        <v>182</v>
      </c>
      <c r="R5533" t="str">
        <f t="shared" si="705"/>
        <v/>
      </c>
    </row>
    <row r="5534" spans="3:18">
      <c r="C5534" t="str">
        <f t="shared" si="699"/>
        <v/>
      </c>
      <c r="D5534">
        <v>183</v>
      </c>
      <c r="E5534">
        <v>80</v>
      </c>
      <c r="F5534" s="366">
        <f t="shared" si="700"/>
        <v>1736</v>
      </c>
      <c r="G5534" s="97">
        <v>2073</v>
      </c>
      <c r="H5534" s="367">
        <f t="shared" si="701"/>
        <v>3809</v>
      </c>
      <c r="I5534" s="368">
        <f t="shared" si="702"/>
        <v>0</v>
      </c>
      <c r="J5534">
        <v>6884</v>
      </c>
      <c r="K5534" s="367">
        <f t="shared" si="703"/>
        <v>4917.1428571428569</v>
      </c>
      <c r="L5534">
        <v>0.79</v>
      </c>
      <c r="M5534">
        <v>8.5</v>
      </c>
      <c r="N5534">
        <v>27</v>
      </c>
      <c r="O5534">
        <v>8</v>
      </c>
      <c r="P5534" t="s">
        <v>514</v>
      </c>
      <c r="Q5534" s="97" t="str">
        <f t="shared" si="704"/>
        <v/>
      </c>
      <c r="R5534" t="str">
        <f t="shared" si="705"/>
        <v/>
      </c>
    </row>
    <row r="5535" spans="3:18">
      <c r="C5535" t="str">
        <f t="shared" si="699"/>
        <v>NL</v>
      </c>
      <c r="D5535">
        <v>184</v>
      </c>
      <c r="E5535">
        <v>80</v>
      </c>
      <c r="F5535" s="366">
        <f t="shared" si="700"/>
        <v>1736</v>
      </c>
      <c r="G5535" s="97">
        <v>1791</v>
      </c>
      <c r="H5535" s="367">
        <f t="shared" si="701"/>
        <v>3527</v>
      </c>
      <c r="I5535" s="368">
        <f t="shared" si="702"/>
        <v>0</v>
      </c>
      <c r="J5535">
        <v>5948</v>
      </c>
      <c r="K5535" s="367">
        <f t="shared" si="703"/>
        <v>4248.5714285714284</v>
      </c>
      <c r="L5535">
        <v>0.21000000000000002</v>
      </c>
      <c r="M5535">
        <v>9.6</v>
      </c>
      <c r="N5535">
        <v>22</v>
      </c>
      <c r="O5535">
        <v>9</v>
      </c>
      <c r="P5535" t="s">
        <v>515</v>
      </c>
      <c r="Q5535" s="97" t="str">
        <f t="shared" si="704"/>
        <v/>
      </c>
      <c r="R5535" t="str">
        <f t="shared" si="705"/>
        <v/>
      </c>
    </row>
    <row r="5536" spans="3:18">
      <c r="C5536" t="str">
        <f t="shared" si="699"/>
        <v>NL</v>
      </c>
      <c r="D5536">
        <v>185</v>
      </c>
      <c r="E5536">
        <v>80</v>
      </c>
      <c r="F5536" s="366">
        <f t="shared" si="700"/>
        <v>1736</v>
      </c>
      <c r="G5536" s="97">
        <v>2872</v>
      </c>
      <c r="H5536" s="367">
        <f t="shared" si="701"/>
        <v>4608</v>
      </c>
      <c r="I5536" s="368">
        <f t="shared" si="702"/>
        <v>0</v>
      </c>
      <c r="J5536">
        <v>9538</v>
      </c>
      <c r="K5536" s="367">
        <f t="shared" si="703"/>
        <v>6812.8571428571431</v>
      </c>
      <c r="L5536">
        <v>0.65</v>
      </c>
      <c r="M5536">
        <v>9.6</v>
      </c>
      <c r="N5536">
        <v>27</v>
      </c>
      <c r="O5536">
        <v>9</v>
      </c>
      <c r="P5536" t="s">
        <v>514</v>
      </c>
      <c r="Q5536" s="97" t="str">
        <f t="shared" si="704"/>
        <v/>
      </c>
      <c r="R5536" t="str">
        <f t="shared" si="705"/>
        <v/>
      </c>
    </row>
    <row r="5537" spans="3:18">
      <c r="C5537" t="str">
        <f t="shared" si="699"/>
        <v/>
      </c>
      <c r="D5537">
        <v>186</v>
      </c>
      <c r="E5537">
        <v>80</v>
      </c>
      <c r="F5537" s="366">
        <f t="shared" si="700"/>
        <v>1736</v>
      </c>
      <c r="G5537" s="97">
        <v>1836</v>
      </c>
      <c r="H5537" s="367">
        <f t="shared" si="701"/>
        <v>3572</v>
      </c>
      <c r="I5537" s="368">
        <f t="shared" si="702"/>
        <v>0</v>
      </c>
      <c r="J5537">
        <v>6096</v>
      </c>
      <c r="K5537" s="367">
        <f t="shared" si="703"/>
        <v>4354.2857142857147</v>
      </c>
      <c r="L5537">
        <v>0.18000000000000002</v>
      </c>
      <c r="M5537">
        <v>1.4000000000000001</v>
      </c>
      <c r="N5537">
        <v>22</v>
      </c>
      <c r="O5537">
        <v>10</v>
      </c>
      <c r="P5537" t="s">
        <v>515</v>
      </c>
      <c r="Q5537" s="97" t="str">
        <f t="shared" si="704"/>
        <v/>
      </c>
      <c r="R5537" t="str">
        <f t="shared" si="705"/>
        <v/>
      </c>
    </row>
    <row r="5538" spans="3:18">
      <c r="C5538" t="str">
        <f t="shared" si="699"/>
        <v/>
      </c>
      <c r="D5538">
        <v>187</v>
      </c>
      <c r="E5538">
        <v>80</v>
      </c>
      <c r="F5538" s="366">
        <f t="shared" si="700"/>
        <v>1736</v>
      </c>
      <c r="G5538" s="97">
        <v>3028</v>
      </c>
      <c r="H5538" s="367">
        <f t="shared" si="701"/>
        <v>4764</v>
      </c>
      <c r="I5538" s="368">
        <f t="shared" si="702"/>
        <v>0</v>
      </c>
      <c r="J5538">
        <v>10056</v>
      </c>
      <c r="K5538" s="367">
        <f t="shared" si="703"/>
        <v>7182.8571428571431</v>
      </c>
      <c r="L5538">
        <v>0.55000000000000004</v>
      </c>
      <c r="M5538">
        <v>1.4000000000000001</v>
      </c>
      <c r="N5538">
        <v>27</v>
      </c>
      <c r="O5538">
        <v>10</v>
      </c>
      <c r="P5538" t="s">
        <v>514</v>
      </c>
      <c r="Q5538" s="97" t="str">
        <f t="shared" si="704"/>
        <v/>
      </c>
      <c r="R5538" t="str">
        <f t="shared" si="705"/>
        <v/>
      </c>
    </row>
    <row r="5539" spans="3:18">
      <c r="C5539" t="str">
        <f t="shared" si="699"/>
        <v>NL</v>
      </c>
      <c r="D5539">
        <v>188</v>
      </c>
      <c r="E5539">
        <v>85</v>
      </c>
      <c r="F5539" s="366">
        <f t="shared" si="700"/>
        <v>1844.5</v>
      </c>
      <c r="G5539" s="97">
        <v>1485</v>
      </c>
      <c r="H5539" s="367">
        <f t="shared" si="701"/>
        <v>3329.5</v>
      </c>
      <c r="I5539" s="368">
        <f t="shared" si="702"/>
        <v>0</v>
      </c>
      <c r="J5539">
        <v>4934</v>
      </c>
      <c r="K5539" s="367">
        <f t="shared" si="703"/>
        <v>3524.2857142857142</v>
      </c>
      <c r="L5539">
        <v>0.68</v>
      </c>
      <c r="M5539">
        <v>5.5</v>
      </c>
      <c r="N5539">
        <v>24</v>
      </c>
      <c r="O5539">
        <v>5</v>
      </c>
      <c r="P5539" t="s">
        <v>515</v>
      </c>
      <c r="Q5539" s="97" t="str">
        <f t="shared" si="704"/>
        <v/>
      </c>
      <c r="R5539" t="str">
        <f t="shared" si="705"/>
        <v/>
      </c>
    </row>
    <row r="5540" spans="3:18">
      <c r="C5540" t="str">
        <f t="shared" si="699"/>
        <v/>
      </c>
      <c r="D5540">
        <v>189</v>
      </c>
      <c r="E5540">
        <v>85</v>
      </c>
      <c r="F5540" s="366">
        <f t="shared" si="700"/>
        <v>1844.5</v>
      </c>
      <c r="G5540" s="97">
        <v>1331</v>
      </c>
      <c r="H5540" s="367">
        <f t="shared" si="701"/>
        <v>3175.5</v>
      </c>
      <c r="I5540" s="368">
        <f t="shared" si="702"/>
        <v>0</v>
      </c>
      <c r="J5540">
        <v>4420</v>
      </c>
      <c r="K5540" s="367">
        <f t="shared" si="703"/>
        <v>3157.1428571428573</v>
      </c>
      <c r="L5540">
        <v>0.48</v>
      </c>
      <c r="M5540">
        <v>6.6</v>
      </c>
      <c r="N5540">
        <v>23</v>
      </c>
      <c r="O5540">
        <v>6</v>
      </c>
      <c r="P5540" t="s">
        <v>515</v>
      </c>
      <c r="Q5540" s="97">
        <f t="shared" si="704"/>
        <v>189</v>
      </c>
      <c r="R5540" t="str">
        <f t="shared" si="705"/>
        <v/>
      </c>
    </row>
    <row r="5541" spans="3:18">
      <c r="C5541" t="str">
        <f t="shared" si="699"/>
        <v>NL</v>
      </c>
      <c r="D5541">
        <v>190</v>
      </c>
      <c r="E5541">
        <v>85</v>
      </c>
      <c r="F5541" s="366">
        <f t="shared" si="700"/>
        <v>1844.5</v>
      </c>
      <c r="G5541" s="97">
        <v>1789</v>
      </c>
      <c r="H5541" s="367">
        <f t="shared" si="701"/>
        <v>3633.5</v>
      </c>
      <c r="I5541" s="368">
        <f t="shared" si="702"/>
        <v>0</v>
      </c>
      <c r="J5541">
        <v>5940</v>
      </c>
      <c r="K5541" s="367">
        <f t="shared" si="703"/>
        <v>4242.8571428571431</v>
      </c>
      <c r="L5541">
        <v>0.36</v>
      </c>
      <c r="M5541">
        <v>7.6</v>
      </c>
      <c r="N5541">
        <v>23</v>
      </c>
      <c r="O5541">
        <v>7</v>
      </c>
      <c r="P5541" t="s">
        <v>515</v>
      </c>
      <c r="Q5541" s="97" t="str">
        <f t="shared" si="704"/>
        <v/>
      </c>
      <c r="R5541" t="str">
        <f t="shared" si="705"/>
        <v/>
      </c>
    </row>
    <row r="5542" spans="3:18">
      <c r="C5542" t="str">
        <f t="shared" si="699"/>
        <v/>
      </c>
      <c r="D5542">
        <v>191</v>
      </c>
      <c r="E5542">
        <v>85</v>
      </c>
      <c r="F5542" s="366">
        <f t="shared" si="700"/>
        <v>1844.5</v>
      </c>
      <c r="G5542" s="97">
        <v>1421</v>
      </c>
      <c r="H5542" s="367">
        <f t="shared" si="701"/>
        <v>3265.5</v>
      </c>
      <c r="I5542" s="368">
        <f t="shared" si="702"/>
        <v>0</v>
      </c>
      <c r="J5542">
        <v>4719</v>
      </c>
      <c r="K5542" s="367">
        <f t="shared" si="703"/>
        <v>3370.7142857142858</v>
      </c>
      <c r="L5542">
        <v>0.29000000000000004</v>
      </c>
      <c r="M5542">
        <v>8.5</v>
      </c>
      <c r="N5542">
        <v>23</v>
      </c>
      <c r="O5542">
        <v>8</v>
      </c>
      <c r="P5542" t="s">
        <v>515</v>
      </c>
      <c r="Q5542" s="97">
        <f t="shared" si="704"/>
        <v>191</v>
      </c>
      <c r="R5542" t="str">
        <f t="shared" si="705"/>
        <v/>
      </c>
    </row>
    <row r="5543" spans="3:18">
      <c r="C5543" t="str">
        <f t="shared" si="699"/>
        <v/>
      </c>
      <c r="D5543">
        <v>192</v>
      </c>
      <c r="E5543">
        <v>85</v>
      </c>
      <c r="F5543" s="366">
        <f t="shared" si="700"/>
        <v>1844.5</v>
      </c>
      <c r="G5543" s="97">
        <v>2171</v>
      </c>
      <c r="H5543" s="367">
        <f t="shared" si="701"/>
        <v>4015.5</v>
      </c>
      <c r="I5543" s="368">
        <f t="shared" si="702"/>
        <v>0</v>
      </c>
      <c r="J5543">
        <v>7209</v>
      </c>
      <c r="K5543" s="367">
        <f t="shared" si="703"/>
        <v>5149.2857142857147</v>
      </c>
      <c r="L5543">
        <v>0.89</v>
      </c>
      <c r="M5543">
        <v>8.5</v>
      </c>
      <c r="N5543">
        <v>28</v>
      </c>
      <c r="O5543">
        <v>8</v>
      </c>
      <c r="P5543" t="s">
        <v>514</v>
      </c>
      <c r="Q5543" s="97" t="str">
        <f t="shared" si="704"/>
        <v/>
      </c>
      <c r="R5543" t="str">
        <f t="shared" si="705"/>
        <v/>
      </c>
    </row>
    <row r="5544" spans="3:18">
      <c r="C5544" t="str">
        <f t="shared" si="699"/>
        <v>NL</v>
      </c>
      <c r="D5544">
        <v>193</v>
      </c>
      <c r="E5544">
        <v>85</v>
      </c>
      <c r="F5544" s="366">
        <f t="shared" si="700"/>
        <v>1844.5</v>
      </c>
      <c r="G5544" s="97">
        <v>1874</v>
      </c>
      <c r="H5544" s="367">
        <f t="shared" si="701"/>
        <v>3718.5</v>
      </c>
      <c r="I5544" s="368">
        <f t="shared" si="702"/>
        <v>0</v>
      </c>
      <c r="J5544">
        <v>6225</v>
      </c>
      <c r="K5544" s="367">
        <f t="shared" si="703"/>
        <v>4446.4285714285716</v>
      </c>
      <c r="L5544">
        <v>0.24000000000000002</v>
      </c>
      <c r="M5544">
        <v>9.6</v>
      </c>
      <c r="N5544">
        <v>23</v>
      </c>
      <c r="O5544">
        <v>9</v>
      </c>
      <c r="P5544" t="s">
        <v>515</v>
      </c>
      <c r="Q5544" s="97" t="str">
        <f t="shared" si="704"/>
        <v/>
      </c>
      <c r="R5544" t="str">
        <f t="shared" si="705"/>
        <v/>
      </c>
    </row>
    <row r="5545" spans="3:18">
      <c r="C5545" t="str">
        <f t="shared" ref="C5545:C5608" si="706">IF(OR($O$4=0,O5545-$O$4=0),IF(AND(ISEVEN(O5545)=FALSE,$N$4="Even"),"NL",""),"NL")</f>
        <v>NL</v>
      </c>
      <c r="D5545">
        <v>194</v>
      </c>
      <c r="E5545">
        <v>85</v>
      </c>
      <c r="F5545" s="366">
        <f t="shared" ref="F5545:F5608" si="707">1.085*($A$2-$B$2)*E5545*$T$7</f>
        <v>1844.5</v>
      </c>
      <c r="G5545" s="97">
        <v>3004</v>
      </c>
      <c r="H5545" s="367">
        <f t="shared" ref="H5545:H5608" si="708">(G5545*$U$7)+F5545</f>
        <v>4848.5</v>
      </c>
      <c r="I5545" s="368">
        <f t="shared" ref="I5545:I5608" si="709">1.085*($C$2-$D$2)*E5545*$T$7</f>
        <v>0</v>
      </c>
      <c r="J5545">
        <v>9976</v>
      </c>
      <c r="K5545" s="367">
        <f t="shared" ref="K5545:K5608" si="710">(J5545*$V$7)-I5545</f>
        <v>7125.7142857142862</v>
      </c>
      <c r="L5545">
        <v>0.74</v>
      </c>
      <c r="M5545">
        <v>9.6</v>
      </c>
      <c r="N5545">
        <v>28</v>
      </c>
      <c r="O5545">
        <v>9</v>
      </c>
      <c r="P5545" t="s">
        <v>514</v>
      </c>
      <c r="Q5545" s="97" t="str">
        <f t="shared" ref="Q5545:Q5608" si="711">IF(AND(H5545+1&gt;$E$4,L5545&lt;$L$4+0.01,M5545&lt;$M$4+0.01,K5545+1&gt;$F$4,E5545+1&gt;$J$4,N5545&lt;$K$4+1,O5545&lt;$P$4+1,C5545=""),D5545,"")</f>
        <v/>
      </c>
      <c r="R5545" t="str">
        <f t="shared" ref="R5545:R5608" si="712">IF(Q5545="","",IF(AND(O5545&lt;$X$39,E5545&gt;$U$39,E5545&lt;$Q$4+$U$39+1),D5545,""))</f>
        <v/>
      </c>
    </row>
    <row r="5546" spans="3:18">
      <c r="C5546" t="str">
        <f t="shared" si="706"/>
        <v/>
      </c>
      <c r="D5546">
        <v>195</v>
      </c>
      <c r="E5546">
        <v>85</v>
      </c>
      <c r="F5546" s="366">
        <f t="shared" si="707"/>
        <v>1844.5</v>
      </c>
      <c r="G5546" s="97">
        <v>1918</v>
      </c>
      <c r="H5546" s="367">
        <f t="shared" si="708"/>
        <v>3762.5</v>
      </c>
      <c r="I5546" s="368">
        <f t="shared" si="709"/>
        <v>0</v>
      </c>
      <c r="J5546">
        <v>6370</v>
      </c>
      <c r="K5546" s="367">
        <f t="shared" si="710"/>
        <v>4550</v>
      </c>
      <c r="L5546">
        <v>0.2</v>
      </c>
      <c r="M5546">
        <v>1.4000000000000001</v>
      </c>
      <c r="N5546">
        <v>23</v>
      </c>
      <c r="O5546">
        <v>10</v>
      </c>
      <c r="P5546" t="s">
        <v>515</v>
      </c>
      <c r="Q5546" s="97" t="str">
        <f t="shared" si="711"/>
        <v/>
      </c>
      <c r="R5546" t="str">
        <f t="shared" si="712"/>
        <v/>
      </c>
    </row>
    <row r="5547" spans="3:18">
      <c r="C5547" t="str">
        <f t="shared" si="706"/>
        <v/>
      </c>
      <c r="D5547">
        <v>196</v>
      </c>
      <c r="E5547">
        <v>85</v>
      </c>
      <c r="F5547" s="366">
        <f t="shared" si="707"/>
        <v>1844.5</v>
      </c>
      <c r="G5547" s="97">
        <v>3162</v>
      </c>
      <c r="H5547" s="367">
        <f t="shared" si="708"/>
        <v>5006.5</v>
      </c>
      <c r="I5547" s="368">
        <f t="shared" si="709"/>
        <v>0</v>
      </c>
      <c r="J5547">
        <v>10501</v>
      </c>
      <c r="K5547" s="367">
        <f t="shared" si="710"/>
        <v>7500.7142857142862</v>
      </c>
      <c r="L5547">
        <v>0.62</v>
      </c>
      <c r="M5547">
        <v>1.4000000000000001</v>
      </c>
      <c r="N5547">
        <v>28</v>
      </c>
      <c r="O5547">
        <v>10</v>
      </c>
      <c r="P5547" t="s">
        <v>514</v>
      </c>
      <c r="Q5547" s="97" t="str">
        <f t="shared" si="711"/>
        <v/>
      </c>
      <c r="R5547" t="str">
        <f t="shared" si="712"/>
        <v/>
      </c>
    </row>
    <row r="5548" spans="3:18">
      <c r="C5548" t="str">
        <f t="shared" si="706"/>
        <v>NL</v>
      </c>
      <c r="D5548">
        <v>197</v>
      </c>
      <c r="E5548">
        <v>90</v>
      </c>
      <c r="F5548" s="366">
        <f t="shared" si="707"/>
        <v>1953</v>
      </c>
      <c r="G5548" s="97">
        <v>1550</v>
      </c>
      <c r="H5548" s="367">
        <f t="shared" si="708"/>
        <v>3503</v>
      </c>
      <c r="I5548" s="368">
        <f t="shared" si="709"/>
        <v>0</v>
      </c>
      <c r="J5548">
        <v>5148</v>
      </c>
      <c r="K5548" s="367">
        <f t="shared" si="710"/>
        <v>3677.1428571428573</v>
      </c>
      <c r="L5548">
        <v>0.76</v>
      </c>
      <c r="M5548">
        <v>5.5</v>
      </c>
      <c r="N5548">
        <v>25</v>
      </c>
      <c r="O5548">
        <v>5</v>
      </c>
      <c r="P5548" t="s">
        <v>515</v>
      </c>
      <c r="Q5548" s="97" t="str">
        <f t="shared" si="711"/>
        <v/>
      </c>
      <c r="R5548" t="str">
        <f t="shared" si="712"/>
        <v/>
      </c>
    </row>
    <row r="5549" spans="3:18">
      <c r="C5549" t="str">
        <f t="shared" si="706"/>
        <v/>
      </c>
      <c r="D5549">
        <v>198</v>
      </c>
      <c r="E5549">
        <v>90</v>
      </c>
      <c r="F5549" s="366">
        <f t="shared" si="707"/>
        <v>1953</v>
      </c>
      <c r="G5549" s="97">
        <v>1393</v>
      </c>
      <c r="H5549" s="367">
        <f t="shared" si="708"/>
        <v>3346</v>
      </c>
      <c r="I5549" s="368">
        <f t="shared" si="709"/>
        <v>0</v>
      </c>
      <c r="J5549">
        <v>4625</v>
      </c>
      <c r="K5549" s="367">
        <f t="shared" si="710"/>
        <v>3303.5714285714284</v>
      </c>
      <c r="L5549">
        <v>0.54</v>
      </c>
      <c r="M5549">
        <v>6.6</v>
      </c>
      <c r="N5549">
        <v>24</v>
      </c>
      <c r="O5549">
        <v>6</v>
      </c>
      <c r="P5549" t="s">
        <v>515</v>
      </c>
      <c r="Q5549" s="97">
        <f t="shared" si="711"/>
        <v>198</v>
      </c>
      <c r="R5549" t="str">
        <f t="shared" si="712"/>
        <v/>
      </c>
    </row>
    <row r="5550" spans="3:18">
      <c r="C5550" t="str">
        <f t="shared" si="706"/>
        <v>NL</v>
      </c>
      <c r="D5550">
        <v>199</v>
      </c>
      <c r="E5550">
        <v>90</v>
      </c>
      <c r="F5550" s="366">
        <f t="shared" si="707"/>
        <v>1953</v>
      </c>
      <c r="G5550" s="97">
        <v>1874</v>
      </c>
      <c r="H5550" s="367">
        <f t="shared" si="708"/>
        <v>3827</v>
      </c>
      <c r="I5550" s="368">
        <f t="shared" si="709"/>
        <v>0</v>
      </c>
      <c r="J5550">
        <v>6224</v>
      </c>
      <c r="K5550" s="367">
        <f t="shared" si="710"/>
        <v>4445.7142857142862</v>
      </c>
      <c r="L5550">
        <v>0.41000000000000003</v>
      </c>
      <c r="M5550">
        <v>7.6</v>
      </c>
      <c r="N5550">
        <v>24</v>
      </c>
      <c r="O5550">
        <v>7</v>
      </c>
      <c r="P5550" t="s">
        <v>515</v>
      </c>
      <c r="Q5550" s="97" t="str">
        <f t="shared" si="711"/>
        <v/>
      </c>
      <c r="R5550" t="str">
        <f t="shared" si="712"/>
        <v/>
      </c>
    </row>
    <row r="5551" spans="3:18">
      <c r="C5551" t="str">
        <f t="shared" si="706"/>
        <v/>
      </c>
      <c r="D5551">
        <v>200</v>
      </c>
      <c r="E5551">
        <v>90</v>
      </c>
      <c r="F5551" s="366">
        <f t="shared" si="707"/>
        <v>1953</v>
      </c>
      <c r="G5551" s="97">
        <v>1481</v>
      </c>
      <c r="H5551" s="367">
        <f t="shared" si="708"/>
        <v>3434</v>
      </c>
      <c r="I5551" s="368">
        <f t="shared" si="709"/>
        <v>0</v>
      </c>
      <c r="J5551">
        <v>4919</v>
      </c>
      <c r="K5551" s="367">
        <f t="shared" si="710"/>
        <v>3513.5714285714284</v>
      </c>
      <c r="L5551">
        <v>0.32</v>
      </c>
      <c r="M5551">
        <v>8.5</v>
      </c>
      <c r="N5551">
        <v>24</v>
      </c>
      <c r="O5551">
        <v>8</v>
      </c>
      <c r="P5551" t="s">
        <v>515</v>
      </c>
      <c r="Q5551" s="97">
        <f t="shared" si="711"/>
        <v>200</v>
      </c>
      <c r="R5551" t="str">
        <f t="shared" si="712"/>
        <v/>
      </c>
    </row>
    <row r="5552" spans="3:18">
      <c r="C5552" t="str">
        <f t="shared" si="706"/>
        <v/>
      </c>
      <c r="D5552">
        <v>201</v>
      </c>
      <c r="E5552">
        <v>90</v>
      </c>
      <c r="F5552" s="366">
        <f t="shared" si="707"/>
        <v>1953</v>
      </c>
      <c r="G5552" s="97">
        <v>2261</v>
      </c>
      <c r="H5552" s="367">
        <f t="shared" si="708"/>
        <v>4214</v>
      </c>
      <c r="I5552" s="368">
        <f t="shared" si="709"/>
        <v>0</v>
      </c>
      <c r="J5552">
        <v>7511</v>
      </c>
      <c r="K5552" s="367">
        <f t="shared" si="710"/>
        <v>5365</v>
      </c>
      <c r="L5552">
        <v>1</v>
      </c>
      <c r="M5552">
        <v>8.5</v>
      </c>
      <c r="N5552">
        <v>29</v>
      </c>
      <c r="O5552">
        <v>8</v>
      </c>
      <c r="P5552" t="s">
        <v>514</v>
      </c>
      <c r="Q5552" s="97" t="str">
        <f t="shared" si="711"/>
        <v/>
      </c>
      <c r="R5552" t="str">
        <f t="shared" si="712"/>
        <v/>
      </c>
    </row>
    <row r="5553" spans="3:18">
      <c r="C5553" t="str">
        <f t="shared" si="706"/>
        <v>NL</v>
      </c>
      <c r="D5553">
        <v>202</v>
      </c>
      <c r="E5553">
        <v>90</v>
      </c>
      <c r="F5553" s="366">
        <f t="shared" si="707"/>
        <v>1953</v>
      </c>
      <c r="G5553" s="97">
        <v>1958</v>
      </c>
      <c r="H5553" s="367">
        <f t="shared" si="708"/>
        <v>3911</v>
      </c>
      <c r="I5553" s="368">
        <f t="shared" si="709"/>
        <v>0</v>
      </c>
      <c r="J5553">
        <v>6503</v>
      </c>
      <c r="K5553" s="367">
        <f t="shared" si="710"/>
        <v>4645</v>
      </c>
      <c r="L5553">
        <v>0.27</v>
      </c>
      <c r="M5553">
        <v>9.6</v>
      </c>
      <c r="N5553">
        <v>24</v>
      </c>
      <c r="O5553">
        <v>9</v>
      </c>
      <c r="P5553" t="s">
        <v>515</v>
      </c>
      <c r="Q5553" s="97" t="str">
        <f t="shared" si="711"/>
        <v/>
      </c>
      <c r="R5553" t="str">
        <f t="shared" si="712"/>
        <v/>
      </c>
    </row>
    <row r="5554" spans="3:18">
      <c r="C5554" t="str">
        <f t="shared" si="706"/>
        <v>NL</v>
      </c>
      <c r="D5554">
        <v>203</v>
      </c>
      <c r="E5554">
        <v>90</v>
      </c>
      <c r="F5554" s="366">
        <f t="shared" si="707"/>
        <v>1953</v>
      </c>
      <c r="G5554" s="97">
        <v>3136</v>
      </c>
      <c r="H5554" s="367">
        <f t="shared" si="708"/>
        <v>5089</v>
      </c>
      <c r="I5554" s="368">
        <f t="shared" si="709"/>
        <v>0</v>
      </c>
      <c r="J5554">
        <v>10415</v>
      </c>
      <c r="K5554" s="367">
        <f t="shared" si="710"/>
        <v>7439.2857142857147</v>
      </c>
      <c r="L5554">
        <v>0.82000000000000006</v>
      </c>
      <c r="M5554">
        <v>9.6</v>
      </c>
      <c r="N5554">
        <v>29</v>
      </c>
      <c r="O5554">
        <v>9</v>
      </c>
      <c r="P5554" t="s">
        <v>514</v>
      </c>
      <c r="Q5554" s="97" t="str">
        <f t="shared" si="711"/>
        <v/>
      </c>
      <c r="R5554" t="str">
        <f t="shared" si="712"/>
        <v/>
      </c>
    </row>
    <row r="5555" spans="3:18">
      <c r="C5555" t="str">
        <f t="shared" si="706"/>
        <v/>
      </c>
      <c r="D5555">
        <v>204</v>
      </c>
      <c r="E5555">
        <v>90</v>
      </c>
      <c r="F5555" s="366">
        <f t="shared" si="707"/>
        <v>1953</v>
      </c>
      <c r="G5555" s="97">
        <v>2001</v>
      </c>
      <c r="H5555" s="367">
        <f t="shared" si="708"/>
        <v>3954</v>
      </c>
      <c r="I5555" s="368">
        <f t="shared" si="709"/>
        <v>0</v>
      </c>
      <c r="J5555">
        <v>6644</v>
      </c>
      <c r="K5555" s="367">
        <f t="shared" si="710"/>
        <v>4745.7142857142862</v>
      </c>
      <c r="L5555">
        <v>0.23</v>
      </c>
      <c r="M5555">
        <v>1.4000000000000001</v>
      </c>
      <c r="N5555">
        <v>24</v>
      </c>
      <c r="O5555">
        <v>10</v>
      </c>
      <c r="P5555" t="s">
        <v>515</v>
      </c>
      <c r="Q5555" s="97" t="str">
        <f t="shared" si="711"/>
        <v/>
      </c>
      <c r="R5555" t="str">
        <f t="shared" si="712"/>
        <v/>
      </c>
    </row>
    <row r="5556" spans="3:18">
      <c r="C5556" t="str">
        <f t="shared" si="706"/>
        <v/>
      </c>
      <c r="D5556">
        <v>205</v>
      </c>
      <c r="E5556">
        <v>90</v>
      </c>
      <c r="F5556" s="366">
        <f t="shared" si="707"/>
        <v>1953</v>
      </c>
      <c r="G5556" s="97">
        <v>3296</v>
      </c>
      <c r="H5556" s="367">
        <f t="shared" si="708"/>
        <v>5249</v>
      </c>
      <c r="I5556" s="368">
        <f t="shared" si="709"/>
        <v>0</v>
      </c>
      <c r="J5556">
        <v>10946</v>
      </c>
      <c r="K5556" s="367">
        <f t="shared" si="710"/>
        <v>7818.5714285714284</v>
      </c>
      <c r="L5556">
        <v>0.7</v>
      </c>
      <c r="M5556">
        <v>1.4000000000000001</v>
      </c>
      <c r="N5556">
        <v>29</v>
      </c>
      <c r="O5556">
        <v>10</v>
      </c>
      <c r="P5556" t="s">
        <v>514</v>
      </c>
      <c r="Q5556" s="97" t="str">
        <f t="shared" si="711"/>
        <v/>
      </c>
      <c r="R5556" t="str">
        <f t="shared" si="712"/>
        <v/>
      </c>
    </row>
    <row r="5557" spans="3:18">
      <c r="C5557" t="str">
        <f t="shared" si="706"/>
        <v>NL</v>
      </c>
      <c r="D5557">
        <v>206</v>
      </c>
      <c r="E5557">
        <v>95</v>
      </c>
      <c r="F5557" s="366">
        <f t="shared" si="707"/>
        <v>2061.5</v>
      </c>
      <c r="G5557" s="97">
        <v>1614</v>
      </c>
      <c r="H5557" s="367">
        <f t="shared" si="708"/>
        <v>3675.5</v>
      </c>
      <c r="I5557" s="368">
        <f t="shared" si="709"/>
        <v>0</v>
      </c>
      <c r="J5557">
        <v>5362</v>
      </c>
      <c r="K5557" s="367">
        <f t="shared" si="710"/>
        <v>3830</v>
      </c>
      <c r="L5557">
        <v>0.85</v>
      </c>
      <c r="M5557">
        <v>5.5</v>
      </c>
      <c r="N5557">
        <v>25</v>
      </c>
      <c r="O5557">
        <v>5</v>
      </c>
      <c r="P5557" t="s">
        <v>515</v>
      </c>
      <c r="Q5557" s="97" t="str">
        <f t="shared" si="711"/>
        <v/>
      </c>
      <c r="R5557" t="str">
        <f t="shared" si="712"/>
        <v/>
      </c>
    </row>
    <row r="5558" spans="3:18">
      <c r="C5558" t="str">
        <f t="shared" si="706"/>
        <v/>
      </c>
      <c r="D5558">
        <v>207</v>
      </c>
      <c r="E5558">
        <v>95</v>
      </c>
      <c r="F5558" s="366">
        <f t="shared" si="707"/>
        <v>2061.5</v>
      </c>
      <c r="G5558" s="97">
        <v>1454</v>
      </c>
      <c r="H5558" s="367">
        <f t="shared" si="708"/>
        <v>3515.5</v>
      </c>
      <c r="I5558" s="368">
        <f t="shared" si="709"/>
        <v>0</v>
      </c>
      <c r="J5558">
        <v>4831</v>
      </c>
      <c r="K5558" s="367">
        <f t="shared" si="710"/>
        <v>3450.7142857142858</v>
      </c>
      <c r="L5558">
        <v>0.6</v>
      </c>
      <c r="M5558">
        <v>6.6</v>
      </c>
      <c r="N5558">
        <v>25</v>
      </c>
      <c r="O5558">
        <v>6</v>
      </c>
      <c r="P5558" t="s">
        <v>515</v>
      </c>
      <c r="Q5558" s="97">
        <f t="shared" si="711"/>
        <v>207</v>
      </c>
      <c r="R5558" t="str">
        <f t="shared" si="712"/>
        <v/>
      </c>
    </row>
    <row r="5559" spans="3:18">
      <c r="C5559" t="str">
        <f t="shared" si="706"/>
        <v>NL</v>
      </c>
      <c r="D5559">
        <v>208</v>
      </c>
      <c r="E5559">
        <v>95</v>
      </c>
      <c r="F5559" s="366">
        <f t="shared" si="707"/>
        <v>2061.5</v>
      </c>
      <c r="G5559" s="97">
        <v>1959</v>
      </c>
      <c r="H5559" s="367">
        <f t="shared" si="708"/>
        <v>4020.5</v>
      </c>
      <c r="I5559" s="368">
        <f t="shared" si="709"/>
        <v>0</v>
      </c>
      <c r="J5559">
        <v>6507</v>
      </c>
      <c r="K5559" s="367">
        <f t="shared" si="710"/>
        <v>4647.8571428571431</v>
      </c>
      <c r="L5559">
        <v>0.45</v>
      </c>
      <c r="M5559">
        <v>7.6</v>
      </c>
      <c r="N5559">
        <v>24</v>
      </c>
      <c r="O5559">
        <v>7</v>
      </c>
      <c r="P5559" t="s">
        <v>515</v>
      </c>
      <c r="Q5559" s="97" t="str">
        <f t="shared" si="711"/>
        <v/>
      </c>
      <c r="R5559" t="str">
        <f t="shared" si="712"/>
        <v/>
      </c>
    </row>
    <row r="5560" spans="3:18">
      <c r="C5560" t="str">
        <f t="shared" si="706"/>
        <v/>
      </c>
      <c r="D5560">
        <v>209</v>
      </c>
      <c r="E5560">
        <v>95</v>
      </c>
      <c r="F5560" s="366">
        <f t="shared" si="707"/>
        <v>2061.5</v>
      </c>
      <c r="G5560" s="97">
        <v>1541</v>
      </c>
      <c r="H5560" s="367">
        <f t="shared" si="708"/>
        <v>3602.5</v>
      </c>
      <c r="I5560" s="368">
        <f t="shared" si="709"/>
        <v>0</v>
      </c>
      <c r="J5560">
        <v>5119</v>
      </c>
      <c r="K5560" s="367">
        <f t="shared" si="710"/>
        <v>3656.4285714285716</v>
      </c>
      <c r="L5560">
        <v>0.36</v>
      </c>
      <c r="M5560">
        <v>8.5</v>
      </c>
      <c r="N5560">
        <v>24</v>
      </c>
      <c r="O5560">
        <v>8</v>
      </c>
      <c r="P5560" t="s">
        <v>515</v>
      </c>
      <c r="Q5560" s="97">
        <f t="shared" si="711"/>
        <v>209</v>
      </c>
      <c r="R5560" t="str">
        <f t="shared" si="712"/>
        <v/>
      </c>
    </row>
    <row r="5561" spans="3:18">
      <c r="C5561" t="str">
        <f t="shared" si="706"/>
        <v>NL</v>
      </c>
      <c r="D5561">
        <v>210</v>
      </c>
      <c r="E5561">
        <v>95</v>
      </c>
      <c r="F5561" s="366">
        <f t="shared" si="707"/>
        <v>2061.5</v>
      </c>
      <c r="G5561" s="97">
        <v>2042</v>
      </c>
      <c r="H5561" s="367">
        <f t="shared" si="708"/>
        <v>4103.5</v>
      </c>
      <c r="I5561" s="368">
        <f t="shared" si="709"/>
        <v>0</v>
      </c>
      <c r="J5561">
        <v>6781</v>
      </c>
      <c r="K5561" s="367">
        <f t="shared" si="710"/>
        <v>4843.5714285714284</v>
      </c>
      <c r="L5561">
        <v>0.3</v>
      </c>
      <c r="M5561">
        <v>9.6</v>
      </c>
      <c r="N5561">
        <v>24</v>
      </c>
      <c r="O5561">
        <v>9</v>
      </c>
      <c r="P5561" t="s">
        <v>515</v>
      </c>
      <c r="Q5561" s="97" t="str">
        <f t="shared" si="711"/>
        <v/>
      </c>
      <c r="R5561" t="str">
        <f t="shared" si="712"/>
        <v/>
      </c>
    </row>
    <row r="5562" spans="3:18">
      <c r="C5562" t="str">
        <f t="shared" si="706"/>
        <v>NL</v>
      </c>
      <c r="D5562">
        <v>211</v>
      </c>
      <c r="E5562">
        <v>95</v>
      </c>
      <c r="F5562" s="366">
        <f t="shared" si="707"/>
        <v>2061.5</v>
      </c>
      <c r="G5562" s="97">
        <v>3257</v>
      </c>
      <c r="H5562" s="367">
        <f t="shared" si="708"/>
        <v>5318.5</v>
      </c>
      <c r="I5562" s="368">
        <f t="shared" si="709"/>
        <v>0</v>
      </c>
      <c r="J5562">
        <v>10817</v>
      </c>
      <c r="K5562" s="367">
        <f t="shared" si="710"/>
        <v>7726.4285714285716</v>
      </c>
      <c r="L5562">
        <v>0.92</v>
      </c>
      <c r="M5562">
        <v>9.6</v>
      </c>
      <c r="N5562">
        <v>29</v>
      </c>
      <c r="O5562">
        <v>9</v>
      </c>
      <c r="P5562" t="s">
        <v>514</v>
      </c>
      <c r="Q5562" s="97" t="str">
        <f t="shared" si="711"/>
        <v/>
      </c>
      <c r="R5562" t="str">
        <f t="shared" si="712"/>
        <v/>
      </c>
    </row>
    <row r="5563" spans="3:18">
      <c r="C5563" t="str">
        <f t="shared" si="706"/>
        <v/>
      </c>
      <c r="D5563">
        <v>212</v>
      </c>
      <c r="E5563">
        <v>95</v>
      </c>
      <c r="F5563" s="366">
        <f t="shared" si="707"/>
        <v>2061.5</v>
      </c>
      <c r="G5563" s="97">
        <v>2083</v>
      </c>
      <c r="H5563" s="367">
        <f t="shared" si="708"/>
        <v>4144.5</v>
      </c>
      <c r="I5563" s="368">
        <f t="shared" si="709"/>
        <v>0</v>
      </c>
      <c r="J5563">
        <v>6918</v>
      </c>
      <c r="K5563" s="367">
        <f t="shared" si="710"/>
        <v>4941.4285714285716</v>
      </c>
      <c r="L5563">
        <v>0.25</v>
      </c>
      <c r="M5563">
        <v>1.4000000000000001</v>
      </c>
      <c r="N5563">
        <v>25</v>
      </c>
      <c r="O5563">
        <v>10</v>
      </c>
      <c r="P5563" t="s">
        <v>515</v>
      </c>
      <c r="Q5563" s="97" t="str">
        <f t="shared" si="711"/>
        <v/>
      </c>
      <c r="R5563" t="str">
        <f t="shared" si="712"/>
        <v/>
      </c>
    </row>
    <row r="5564" spans="3:18">
      <c r="C5564" t="str">
        <f t="shared" si="706"/>
        <v/>
      </c>
      <c r="D5564">
        <v>213</v>
      </c>
      <c r="E5564">
        <v>95</v>
      </c>
      <c r="F5564" s="366">
        <f t="shared" si="707"/>
        <v>2061.5</v>
      </c>
      <c r="G5564" s="97">
        <v>3430</v>
      </c>
      <c r="H5564" s="367">
        <f t="shared" si="708"/>
        <v>5491.5</v>
      </c>
      <c r="I5564" s="368">
        <f t="shared" si="709"/>
        <v>0</v>
      </c>
      <c r="J5564">
        <v>11391</v>
      </c>
      <c r="K5564" s="367">
        <f t="shared" si="710"/>
        <v>8136.4285714285716</v>
      </c>
      <c r="L5564">
        <v>0.78</v>
      </c>
      <c r="M5564">
        <v>1.4000000000000001</v>
      </c>
      <c r="N5564">
        <v>30</v>
      </c>
      <c r="O5564">
        <v>10</v>
      </c>
      <c r="P5564" t="s">
        <v>514</v>
      </c>
      <c r="Q5564" s="97" t="str">
        <f t="shared" si="711"/>
        <v/>
      </c>
      <c r="R5564" t="str">
        <f t="shared" si="712"/>
        <v/>
      </c>
    </row>
    <row r="5565" spans="3:18">
      <c r="C5565" t="str">
        <f t="shared" si="706"/>
        <v>NL</v>
      </c>
      <c r="D5565">
        <v>214</v>
      </c>
      <c r="E5565">
        <v>100</v>
      </c>
      <c r="F5565" s="366">
        <f t="shared" si="707"/>
        <v>2170</v>
      </c>
      <c r="G5565" s="97">
        <v>1679</v>
      </c>
      <c r="H5565" s="367">
        <f t="shared" si="708"/>
        <v>3849</v>
      </c>
      <c r="I5565" s="368">
        <f t="shared" si="709"/>
        <v>0</v>
      </c>
      <c r="J5565">
        <v>5576</v>
      </c>
      <c r="K5565" s="367">
        <f t="shared" si="710"/>
        <v>3982.8571428571431</v>
      </c>
      <c r="L5565">
        <v>0.94000000000000006</v>
      </c>
      <c r="M5565">
        <v>5.5</v>
      </c>
      <c r="N5565">
        <v>26</v>
      </c>
      <c r="O5565">
        <v>5</v>
      </c>
      <c r="P5565" t="s">
        <v>515</v>
      </c>
      <c r="Q5565" s="97" t="str">
        <f t="shared" si="711"/>
        <v/>
      </c>
      <c r="R5565" t="str">
        <f t="shared" si="712"/>
        <v/>
      </c>
    </row>
    <row r="5566" spans="3:18">
      <c r="C5566" t="str">
        <f t="shared" si="706"/>
        <v/>
      </c>
      <c r="D5566">
        <v>215</v>
      </c>
      <c r="E5566">
        <v>100</v>
      </c>
      <c r="F5566" s="366">
        <f t="shared" si="707"/>
        <v>2170</v>
      </c>
      <c r="G5566" s="97">
        <v>1516</v>
      </c>
      <c r="H5566" s="367">
        <f t="shared" si="708"/>
        <v>3686</v>
      </c>
      <c r="I5566" s="368">
        <f t="shared" si="709"/>
        <v>0</v>
      </c>
      <c r="J5566">
        <v>5036</v>
      </c>
      <c r="K5566" s="367">
        <f t="shared" si="710"/>
        <v>3597.1428571428573</v>
      </c>
      <c r="L5566">
        <v>0.66</v>
      </c>
      <c r="M5566">
        <v>6.6</v>
      </c>
      <c r="N5566">
        <v>25</v>
      </c>
      <c r="O5566">
        <v>6</v>
      </c>
      <c r="P5566" t="s">
        <v>515</v>
      </c>
      <c r="Q5566" s="97">
        <f t="shared" si="711"/>
        <v>215</v>
      </c>
      <c r="R5566" t="str">
        <f t="shared" si="712"/>
        <v/>
      </c>
    </row>
    <row r="5567" spans="3:18">
      <c r="C5567" t="str">
        <f t="shared" si="706"/>
        <v>NL</v>
      </c>
      <c r="D5567">
        <v>216</v>
      </c>
      <c r="E5567">
        <v>100</v>
      </c>
      <c r="F5567" s="366">
        <f t="shared" si="707"/>
        <v>2170</v>
      </c>
      <c r="G5567" s="97">
        <v>2037</v>
      </c>
      <c r="H5567" s="367">
        <f t="shared" si="708"/>
        <v>4207</v>
      </c>
      <c r="I5567" s="368">
        <f t="shared" si="709"/>
        <v>0</v>
      </c>
      <c r="J5567">
        <v>6764</v>
      </c>
      <c r="K5567" s="367">
        <f t="shared" si="710"/>
        <v>4831.4285714285716</v>
      </c>
      <c r="L5567">
        <v>0.5</v>
      </c>
      <c r="M5567">
        <v>7.6</v>
      </c>
      <c r="N5567">
        <v>25</v>
      </c>
      <c r="O5567">
        <v>7</v>
      </c>
      <c r="P5567" t="s">
        <v>515</v>
      </c>
      <c r="Q5567" s="97" t="str">
        <f t="shared" si="711"/>
        <v/>
      </c>
      <c r="R5567" t="str">
        <f t="shared" si="712"/>
        <v/>
      </c>
    </row>
    <row r="5568" spans="3:18">
      <c r="C5568" t="str">
        <f t="shared" si="706"/>
        <v/>
      </c>
      <c r="D5568">
        <v>217</v>
      </c>
      <c r="E5568">
        <v>100</v>
      </c>
      <c r="F5568" s="366">
        <f t="shared" si="707"/>
        <v>2170</v>
      </c>
      <c r="G5568" s="97">
        <v>1602</v>
      </c>
      <c r="H5568" s="367">
        <f t="shared" si="708"/>
        <v>3772</v>
      </c>
      <c r="I5568" s="368">
        <f t="shared" si="709"/>
        <v>0</v>
      </c>
      <c r="J5568">
        <v>5319</v>
      </c>
      <c r="K5568" s="367">
        <f t="shared" si="710"/>
        <v>3799.2857142857142</v>
      </c>
      <c r="L5568">
        <v>0.4</v>
      </c>
      <c r="M5568">
        <v>8.5</v>
      </c>
      <c r="N5568">
        <v>25</v>
      </c>
      <c r="O5568">
        <v>8</v>
      </c>
      <c r="P5568" t="s">
        <v>515</v>
      </c>
      <c r="Q5568" s="97">
        <f t="shared" si="711"/>
        <v>217</v>
      </c>
      <c r="R5568" t="str">
        <f t="shared" si="712"/>
        <v/>
      </c>
    </row>
    <row r="5569" spans="3:18">
      <c r="C5569" t="str">
        <f t="shared" si="706"/>
        <v>NL</v>
      </c>
      <c r="D5569">
        <v>218</v>
      </c>
      <c r="E5569">
        <v>100</v>
      </c>
      <c r="F5569" s="366">
        <f t="shared" si="707"/>
        <v>2170</v>
      </c>
      <c r="G5569" s="97">
        <v>2125</v>
      </c>
      <c r="H5569" s="367">
        <f t="shared" si="708"/>
        <v>4295</v>
      </c>
      <c r="I5569" s="368">
        <f t="shared" si="709"/>
        <v>0</v>
      </c>
      <c r="J5569">
        <v>7058</v>
      </c>
      <c r="K5569" s="367">
        <f t="shared" si="710"/>
        <v>5041.4285714285716</v>
      </c>
      <c r="L5569">
        <v>0.33</v>
      </c>
      <c r="M5569">
        <v>9.6</v>
      </c>
      <c r="N5569">
        <v>25</v>
      </c>
      <c r="O5569">
        <v>9</v>
      </c>
      <c r="P5569" t="s">
        <v>515</v>
      </c>
      <c r="Q5569" s="97" t="str">
        <f t="shared" si="711"/>
        <v/>
      </c>
      <c r="R5569" t="str">
        <f t="shared" si="712"/>
        <v/>
      </c>
    </row>
    <row r="5570" spans="3:18">
      <c r="C5570" t="str">
        <f t="shared" si="706"/>
        <v>NL</v>
      </c>
      <c r="D5570">
        <v>219</v>
      </c>
      <c r="E5570">
        <v>100</v>
      </c>
      <c r="F5570" s="366">
        <f t="shared" si="707"/>
        <v>2170</v>
      </c>
      <c r="G5570" s="97">
        <v>3372</v>
      </c>
      <c r="H5570" s="367">
        <f t="shared" si="708"/>
        <v>5542</v>
      </c>
      <c r="I5570" s="368">
        <f t="shared" si="709"/>
        <v>0</v>
      </c>
      <c r="J5570">
        <v>11200</v>
      </c>
      <c r="K5570" s="367">
        <f t="shared" si="710"/>
        <v>8000</v>
      </c>
      <c r="L5570">
        <v>1.02</v>
      </c>
      <c r="M5570">
        <v>9.6</v>
      </c>
      <c r="N5570">
        <v>30</v>
      </c>
      <c r="O5570">
        <v>9</v>
      </c>
      <c r="P5570" t="s">
        <v>514</v>
      </c>
      <c r="Q5570" s="97" t="str">
        <f t="shared" si="711"/>
        <v/>
      </c>
      <c r="R5570" t="str">
        <f t="shared" si="712"/>
        <v/>
      </c>
    </row>
    <row r="5571" spans="3:18">
      <c r="C5571" t="str">
        <f t="shared" si="706"/>
        <v/>
      </c>
      <c r="D5571">
        <v>220</v>
      </c>
      <c r="E5571">
        <v>100</v>
      </c>
      <c r="F5571" s="366">
        <f t="shared" si="707"/>
        <v>2170</v>
      </c>
      <c r="G5571" s="97">
        <v>2166</v>
      </c>
      <c r="H5571" s="367">
        <f t="shared" si="708"/>
        <v>4336</v>
      </c>
      <c r="I5571" s="368">
        <f t="shared" si="709"/>
        <v>0</v>
      </c>
      <c r="J5571">
        <v>7192</v>
      </c>
      <c r="K5571" s="367">
        <f t="shared" si="710"/>
        <v>5137.1428571428569</v>
      </c>
      <c r="L5571">
        <v>0.28000000000000003</v>
      </c>
      <c r="M5571">
        <v>1.4000000000000001</v>
      </c>
      <c r="N5571">
        <v>25</v>
      </c>
      <c r="O5571">
        <v>10</v>
      </c>
      <c r="P5571" t="s">
        <v>515</v>
      </c>
      <c r="Q5571" s="97" t="str">
        <f t="shared" si="711"/>
        <v/>
      </c>
      <c r="R5571" t="str">
        <f t="shared" si="712"/>
        <v/>
      </c>
    </row>
    <row r="5572" spans="3:18">
      <c r="C5572" t="str">
        <f t="shared" si="706"/>
        <v/>
      </c>
      <c r="D5572">
        <v>221</v>
      </c>
      <c r="E5572">
        <v>100</v>
      </c>
      <c r="F5572" s="366">
        <f t="shared" si="707"/>
        <v>2170</v>
      </c>
      <c r="G5572" s="97">
        <v>3564</v>
      </c>
      <c r="H5572" s="367">
        <f t="shared" si="708"/>
        <v>5734</v>
      </c>
      <c r="I5572" s="368">
        <f t="shared" si="709"/>
        <v>0</v>
      </c>
      <c r="J5572">
        <v>11836</v>
      </c>
      <c r="K5572" s="367">
        <f t="shared" si="710"/>
        <v>8454.2857142857138</v>
      </c>
      <c r="L5572">
        <v>0.86</v>
      </c>
      <c r="M5572">
        <v>1.4000000000000001</v>
      </c>
      <c r="N5572">
        <v>30</v>
      </c>
      <c r="O5572">
        <v>10</v>
      </c>
      <c r="P5572" t="s">
        <v>514</v>
      </c>
      <c r="Q5572" s="97" t="str">
        <f t="shared" si="711"/>
        <v/>
      </c>
      <c r="R5572" t="str">
        <f t="shared" si="712"/>
        <v/>
      </c>
    </row>
    <row r="5573" spans="3:18">
      <c r="C5573" t="str">
        <f t="shared" si="706"/>
        <v/>
      </c>
      <c r="D5573">
        <v>222</v>
      </c>
      <c r="E5573">
        <v>105</v>
      </c>
      <c r="F5573" s="366">
        <f t="shared" si="707"/>
        <v>2278.5</v>
      </c>
      <c r="G5573" s="97">
        <v>1578</v>
      </c>
      <c r="H5573" s="367">
        <f t="shared" si="708"/>
        <v>3856.5</v>
      </c>
      <c r="I5573" s="368">
        <f t="shared" si="709"/>
        <v>0</v>
      </c>
      <c r="J5573">
        <v>5241</v>
      </c>
      <c r="K5573" s="367">
        <f t="shared" si="710"/>
        <v>3743.5714285714284</v>
      </c>
      <c r="L5573">
        <v>0.73</v>
      </c>
      <c r="M5573">
        <v>6.6</v>
      </c>
      <c r="N5573">
        <v>26</v>
      </c>
      <c r="O5573">
        <v>6</v>
      </c>
      <c r="P5573" t="s">
        <v>515</v>
      </c>
      <c r="Q5573" s="97" t="str">
        <f t="shared" si="711"/>
        <v/>
      </c>
      <c r="R5573" t="str">
        <f t="shared" si="712"/>
        <v/>
      </c>
    </row>
    <row r="5574" spans="3:18">
      <c r="C5574" t="str">
        <f t="shared" si="706"/>
        <v>NL</v>
      </c>
      <c r="D5574">
        <v>223</v>
      </c>
      <c r="E5574">
        <v>105</v>
      </c>
      <c r="F5574" s="366">
        <f t="shared" si="707"/>
        <v>2278.5</v>
      </c>
      <c r="G5574" s="97">
        <v>2109</v>
      </c>
      <c r="H5574" s="367">
        <f t="shared" si="708"/>
        <v>4387.5</v>
      </c>
      <c r="I5574" s="368">
        <f t="shared" si="709"/>
        <v>0</v>
      </c>
      <c r="J5574">
        <v>7006</v>
      </c>
      <c r="K5574" s="367">
        <f t="shared" si="710"/>
        <v>5004.2857142857147</v>
      </c>
      <c r="L5574">
        <v>0.55000000000000004</v>
      </c>
      <c r="M5574">
        <v>7.6</v>
      </c>
      <c r="N5574">
        <v>26</v>
      </c>
      <c r="O5574">
        <v>7</v>
      </c>
      <c r="P5574" t="s">
        <v>515</v>
      </c>
      <c r="Q5574" s="97" t="str">
        <f t="shared" si="711"/>
        <v/>
      </c>
      <c r="R5574" t="str">
        <f t="shared" si="712"/>
        <v/>
      </c>
    </row>
    <row r="5575" spans="3:18">
      <c r="C5575" t="str">
        <f t="shared" si="706"/>
        <v/>
      </c>
      <c r="D5575">
        <v>224</v>
      </c>
      <c r="E5575">
        <v>105</v>
      </c>
      <c r="F5575" s="366">
        <f t="shared" si="707"/>
        <v>2278.5</v>
      </c>
      <c r="G5575" s="97">
        <v>1662</v>
      </c>
      <c r="H5575" s="367">
        <f t="shared" si="708"/>
        <v>3940.5</v>
      </c>
      <c r="I5575" s="368">
        <f t="shared" si="709"/>
        <v>0</v>
      </c>
      <c r="J5575">
        <v>5520</v>
      </c>
      <c r="K5575" s="367">
        <f t="shared" si="710"/>
        <v>3942.8571428571431</v>
      </c>
      <c r="L5575">
        <v>0.44</v>
      </c>
      <c r="M5575">
        <v>8.5</v>
      </c>
      <c r="N5575">
        <v>26</v>
      </c>
      <c r="O5575">
        <v>8</v>
      </c>
      <c r="P5575" t="s">
        <v>515</v>
      </c>
      <c r="Q5575" s="97">
        <f t="shared" si="711"/>
        <v>224</v>
      </c>
      <c r="R5575" t="str">
        <f t="shared" si="712"/>
        <v/>
      </c>
    </row>
    <row r="5576" spans="3:18">
      <c r="C5576" t="str">
        <f t="shared" si="706"/>
        <v>NL</v>
      </c>
      <c r="D5576">
        <v>225</v>
      </c>
      <c r="E5576">
        <v>105</v>
      </c>
      <c r="F5576" s="366">
        <f t="shared" si="707"/>
        <v>2278.5</v>
      </c>
      <c r="G5576" s="97">
        <v>2209</v>
      </c>
      <c r="H5576" s="367">
        <f t="shared" si="708"/>
        <v>4487.5</v>
      </c>
      <c r="I5576" s="368">
        <f t="shared" si="709"/>
        <v>0</v>
      </c>
      <c r="J5576">
        <v>7336</v>
      </c>
      <c r="K5576" s="367">
        <f t="shared" si="710"/>
        <v>5240</v>
      </c>
      <c r="L5576">
        <v>0.36</v>
      </c>
      <c r="M5576">
        <v>9.6</v>
      </c>
      <c r="N5576">
        <v>26</v>
      </c>
      <c r="O5576">
        <v>9</v>
      </c>
      <c r="P5576" t="s">
        <v>515</v>
      </c>
      <c r="Q5576" s="97" t="str">
        <f t="shared" si="711"/>
        <v/>
      </c>
      <c r="R5576" t="str">
        <f t="shared" si="712"/>
        <v/>
      </c>
    </row>
    <row r="5577" spans="3:18">
      <c r="C5577" t="str">
        <f t="shared" si="706"/>
        <v>NL</v>
      </c>
      <c r="D5577">
        <v>226</v>
      </c>
      <c r="E5577">
        <v>105</v>
      </c>
      <c r="F5577" s="366">
        <f t="shared" si="707"/>
        <v>2278.5</v>
      </c>
      <c r="G5577" s="97">
        <v>3488</v>
      </c>
      <c r="H5577" s="367">
        <f t="shared" si="708"/>
        <v>5766.5</v>
      </c>
      <c r="I5577" s="368">
        <f t="shared" si="709"/>
        <v>0</v>
      </c>
      <c r="J5577">
        <v>11582</v>
      </c>
      <c r="K5577" s="367">
        <f t="shared" si="710"/>
        <v>8272.8571428571431</v>
      </c>
      <c r="L5577">
        <v>1.1200000000000001</v>
      </c>
      <c r="M5577">
        <v>9.6</v>
      </c>
      <c r="N5577">
        <v>31</v>
      </c>
      <c r="O5577">
        <v>9</v>
      </c>
      <c r="P5577" t="s">
        <v>514</v>
      </c>
      <c r="Q5577" s="97" t="str">
        <f t="shared" si="711"/>
        <v/>
      </c>
      <c r="R5577" t="str">
        <f t="shared" si="712"/>
        <v/>
      </c>
    </row>
    <row r="5578" spans="3:18">
      <c r="C5578" t="str">
        <f t="shared" si="706"/>
        <v/>
      </c>
      <c r="D5578">
        <v>227</v>
      </c>
      <c r="E5578">
        <v>105</v>
      </c>
      <c r="F5578" s="366">
        <f t="shared" si="707"/>
        <v>2278.5</v>
      </c>
      <c r="G5578" s="97">
        <v>2248</v>
      </c>
      <c r="H5578" s="367">
        <f t="shared" si="708"/>
        <v>4526.5</v>
      </c>
      <c r="I5578" s="368">
        <f t="shared" si="709"/>
        <v>0</v>
      </c>
      <c r="J5578">
        <v>7466</v>
      </c>
      <c r="K5578" s="367">
        <f t="shared" si="710"/>
        <v>5332.8571428571431</v>
      </c>
      <c r="L5578">
        <v>0.31</v>
      </c>
      <c r="M5578">
        <v>1.4000000000000001</v>
      </c>
      <c r="N5578">
        <v>26</v>
      </c>
      <c r="O5578">
        <v>10</v>
      </c>
      <c r="P5578" t="s">
        <v>515</v>
      </c>
      <c r="Q5578" s="97" t="str">
        <f t="shared" si="711"/>
        <v/>
      </c>
      <c r="R5578" t="str">
        <f t="shared" si="712"/>
        <v/>
      </c>
    </row>
    <row r="5579" spans="3:18">
      <c r="C5579" t="str">
        <f t="shared" si="706"/>
        <v/>
      </c>
      <c r="D5579">
        <v>228</v>
      </c>
      <c r="E5579">
        <v>105</v>
      </c>
      <c r="F5579" s="366">
        <f t="shared" si="707"/>
        <v>2278.5</v>
      </c>
      <c r="G5579" s="97">
        <v>3690</v>
      </c>
      <c r="H5579" s="367">
        <f t="shared" si="708"/>
        <v>5968.5</v>
      </c>
      <c r="I5579" s="368">
        <f t="shared" si="709"/>
        <v>0</v>
      </c>
      <c r="J5579">
        <v>12254</v>
      </c>
      <c r="K5579" s="367">
        <f t="shared" si="710"/>
        <v>8752.8571428571431</v>
      </c>
      <c r="L5579">
        <v>0.95</v>
      </c>
      <c r="M5579">
        <v>1.4000000000000001</v>
      </c>
      <c r="N5579">
        <v>31</v>
      </c>
      <c r="O5579">
        <v>10</v>
      </c>
      <c r="P5579" t="s">
        <v>514</v>
      </c>
      <c r="Q5579" s="97" t="str">
        <f t="shared" si="711"/>
        <v/>
      </c>
      <c r="R5579" t="str">
        <f t="shared" si="712"/>
        <v/>
      </c>
    </row>
    <row r="5580" spans="3:18">
      <c r="C5580" t="str">
        <f t="shared" si="706"/>
        <v/>
      </c>
      <c r="D5580">
        <v>229</v>
      </c>
      <c r="E5580">
        <v>110</v>
      </c>
      <c r="F5580" s="366">
        <f t="shared" si="707"/>
        <v>2387</v>
      </c>
      <c r="G5580" s="97">
        <v>1640</v>
      </c>
      <c r="H5580" s="367">
        <f t="shared" si="708"/>
        <v>4027</v>
      </c>
      <c r="I5580" s="368">
        <f t="shared" si="709"/>
        <v>0</v>
      </c>
      <c r="J5580">
        <v>5446</v>
      </c>
      <c r="K5580" s="367">
        <f t="shared" si="710"/>
        <v>3890</v>
      </c>
      <c r="L5580">
        <v>0.8</v>
      </c>
      <c r="M5580">
        <v>6.6</v>
      </c>
      <c r="N5580">
        <v>27</v>
      </c>
      <c r="O5580">
        <v>6</v>
      </c>
      <c r="P5580" t="s">
        <v>515</v>
      </c>
      <c r="Q5580" s="97" t="str">
        <f t="shared" si="711"/>
        <v/>
      </c>
      <c r="R5580" t="str">
        <f t="shared" si="712"/>
        <v/>
      </c>
    </row>
    <row r="5581" spans="3:18">
      <c r="C5581" t="str">
        <f t="shared" si="706"/>
        <v>NL</v>
      </c>
      <c r="D5581">
        <v>230</v>
      </c>
      <c r="E5581">
        <v>110</v>
      </c>
      <c r="F5581" s="366">
        <f t="shared" si="707"/>
        <v>2387</v>
      </c>
      <c r="G5581" s="97">
        <v>2182</v>
      </c>
      <c r="H5581" s="367">
        <f t="shared" si="708"/>
        <v>4569</v>
      </c>
      <c r="I5581" s="368">
        <f t="shared" si="709"/>
        <v>0</v>
      </c>
      <c r="J5581">
        <v>7248</v>
      </c>
      <c r="K5581" s="367">
        <f t="shared" si="710"/>
        <v>5177.1428571428569</v>
      </c>
      <c r="L5581">
        <v>0.61</v>
      </c>
      <c r="M5581">
        <v>7.6</v>
      </c>
      <c r="N5581">
        <v>26</v>
      </c>
      <c r="O5581">
        <v>7</v>
      </c>
      <c r="P5581" t="s">
        <v>515</v>
      </c>
      <c r="Q5581" s="97" t="str">
        <f t="shared" si="711"/>
        <v/>
      </c>
      <c r="R5581" t="str">
        <f t="shared" si="712"/>
        <v/>
      </c>
    </row>
    <row r="5582" spans="3:18">
      <c r="C5582" t="str">
        <f t="shared" si="706"/>
        <v/>
      </c>
      <c r="D5582">
        <v>231</v>
      </c>
      <c r="E5582">
        <v>110</v>
      </c>
      <c r="F5582" s="366">
        <f t="shared" si="707"/>
        <v>2387</v>
      </c>
      <c r="G5582" s="97">
        <v>1722</v>
      </c>
      <c r="H5582" s="367">
        <f t="shared" si="708"/>
        <v>4109</v>
      </c>
      <c r="I5582" s="368">
        <f t="shared" si="709"/>
        <v>0</v>
      </c>
      <c r="J5582">
        <v>5720</v>
      </c>
      <c r="K5582" s="367">
        <f t="shared" si="710"/>
        <v>4085.7142857142858</v>
      </c>
      <c r="L5582">
        <v>0.48</v>
      </c>
      <c r="M5582">
        <v>8.5</v>
      </c>
      <c r="N5582">
        <v>26</v>
      </c>
      <c r="O5582">
        <v>8</v>
      </c>
      <c r="P5582" t="s">
        <v>515</v>
      </c>
      <c r="Q5582" s="97">
        <f t="shared" si="711"/>
        <v>231</v>
      </c>
      <c r="R5582" t="str">
        <f t="shared" si="712"/>
        <v/>
      </c>
    </row>
    <row r="5583" spans="3:18">
      <c r="C5583" t="str">
        <f t="shared" si="706"/>
        <v>NL</v>
      </c>
      <c r="D5583">
        <v>232</v>
      </c>
      <c r="E5583">
        <v>110</v>
      </c>
      <c r="F5583" s="366">
        <f t="shared" si="707"/>
        <v>2387</v>
      </c>
      <c r="G5583" s="97">
        <v>2293</v>
      </c>
      <c r="H5583" s="367">
        <f t="shared" si="708"/>
        <v>4680</v>
      </c>
      <c r="I5583" s="368">
        <f t="shared" si="709"/>
        <v>0</v>
      </c>
      <c r="J5583">
        <v>7614</v>
      </c>
      <c r="K5583" s="367">
        <f t="shared" si="710"/>
        <v>5438.5714285714284</v>
      </c>
      <c r="L5583">
        <v>0.4</v>
      </c>
      <c r="M5583">
        <v>9.6</v>
      </c>
      <c r="N5583">
        <v>26</v>
      </c>
      <c r="O5583">
        <v>9</v>
      </c>
      <c r="P5583" t="s">
        <v>515</v>
      </c>
      <c r="Q5583" s="97" t="str">
        <f t="shared" si="711"/>
        <v/>
      </c>
      <c r="R5583" t="str">
        <f t="shared" si="712"/>
        <v/>
      </c>
    </row>
    <row r="5584" spans="3:18">
      <c r="C5584" t="str">
        <f t="shared" si="706"/>
        <v/>
      </c>
      <c r="D5584">
        <v>233</v>
      </c>
      <c r="E5584">
        <v>110</v>
      </c>
      <c r="F5584" s="366">
        <f t="shared" si="707"/>
        <v>2387</v>
      </c>
      <c r="G5584" s="97">
        <v>2331</v>
      </c>
      <c r="H5584" s="367">
        <f t="shared" si="708"/>
        <v>4718</v>
      </c>
      <c r="I5584" s="368">
        <f t="shared" si="709"/>
        <v>0</v>
      </c>
      <c r="J5584">
        <v>7740</v>
      </c>
      <c r="K5584" s="367">
        <f t="shared" si="710"/>
        <v>5528.5714285714284</v>
      </c>
      <c r="L5584">
        <v>0.34</v>
      </c>
      <c r="M5584">
        <v>1.4000000000000001</v>
      </c>
      <c r="N5584">
        <v>26</v>
      </c>
      <c r="O5584">
        <v>10</v>
      </c>
      <c r="P5584" t="s">
        <v>515</v>
      </c>
      <c r="Q5584" s="97" t="str">
        <f t="shared" si="711"/>
        <v/>
      </c>
      <c r="R5584" t="str">
        <f t="shared" si="712"/>
        <v/>
      </c>
    </row>
    <row r="5585" spans="3:18">
      <c r="C5585" t="str">
        <f t="shared" si="706"/>
        <v/>
      </c>
      <c r="D5585">
        <v>234</v>
      </c>
      <c r="E5585">
        <v>110</v>
      </c>
      <c r="F5585" s="366">
        <f t="shared" si="707"/>
        <v>2387</v>
      </c>
      <c r="G5585" s="97">
        <v>3806</v>
      </c>
      <c r="H5585" s="367">
        <f t="shared" si="708"/>
        <v>6193</v>
      </c>
      <c r="I5585" s="368">
        <f t="shared" si="709"/>
        <v>0</v>
      </c>
      <c r="J5585">
        <v>12640</v>
      </c>
      <c r="K5585" s="367">
        <f t="shared" si="710"/>
        <v>9028.5714285714294</v>
      </c>
      <c r="L5585">
        <v>1.04</v>
      </c>
      <c r="M5585">
        <v>1.4000000000000001</v>
      </c>
      <c r="N5585">
        <v>31</v>
      </c>
      <c r="O5585">
        <v>10</v>
      </c>
      <c r="P5585" t="s">
        <v>514</v>
      </c>
      <c r="Q5585" s="97" t="str">
        <f t="shared" si="711"/>
        <v/>
      </c>
      <c r="R5585" t="str">
        <f t="shared" si="712"/>
        <v/>
      </c>
    </row>
    <row r="5586" spans="3:18">
      <c r="C5586" t="str">
        <f t="shared" si="706"/>
        <v/>
      </c>
      <c r="D5586">
        <v>235</v>
      </c>
      <c r="E5586">
        <v>115</v>
      </c>
      <c r="F5586" s="366">
        <f t="shared" si="707"/>
        <v>2495.5</v>
      </c>
      <c r="G5586" s="97">
        <v>1701</v>
      </c>
      <c r="H5586" s="367">
        <f t="shared" si="708"/>
        <v>4196.5</v>
      </c>
      <c r="I5586" s="368">
        <f t="shared" si="709"/>
        <v>0</v>
      </c>
      <c r="J5586">
        <v>5648</v>
      </c>
      <c r="K5586" s="367">
        <f t="shared" si="710"/>
        <v>4034.2857142857142</v>
      </c>
      <c r="L5586">
        <v>0.87</v>
      </c>
      <c r="M5586">
        <v>6.6</v>
      </c>
      <c r="N5586">
        <v>27</v>
      </c>
      <c r="O5586">
        <v>6</v>
      </c>
      <c r="P5586" t="s">
        <v>515</v>
      </c>
      <c r="Q5586" s="97" t="str">
        <f t="shared" si="711"/>
        <v/>
      </c>
      <c r="R5586" t="str">
        <f t="shared" si="712"/>
        <v/>
      </c>
    </row>
    <row r="5587" spans="3:18">
      <c r="C5587" t="str">
        <f t="shared" si="706"/>
        <v>NL</v>
      </c>
      <c r="D5587">
        <v>236</v>
      </c>
      <c r="E5587">
        <v>115</v>
      </c>
      <c r="F5587" s="366">
        <f t="shared" si="707"/>
        <v>2495.5</v>
      </c>
      <c r="G5587" s="97">
        <v>2255</v>
      </c>
      <c r="H5587" s="367">
        <f t="shared" si="708"/>
        <v>4750.5</v>
      </c>
      <c r="I5587" s="368">
        <f t="shared" si="709"/>
        <v>0</v>
      </c>
      <c r="J5587">
        <v>7490</v>
      </c>
      <c r="K5587" s="367">
        <f t="shared" si="710"/>
        <v>5350</v>
      </c>
      <c r="L5587">
        <v>0.66</v>
      </c>
      <c r="M5587">
        <v>7.6</v>
      </c>
      <c r="N5587">
        <v>27</v>
      </c>
      <c r="O5587">
        <v>7</v>
      </c>
      <c r="P5587" t="s">
        <v>515</v>
      </c>
      <c r="Q5587" s="97" t="str">
        <f t="shared" si="711"/>
        <v/>
      </c>
      <c r="R5587" t="str">
        <f t="shared" si="712"/>
        <v/>
      </c>
    </row>
    <row r="5588" spans="3:18">
      <c r="C5588" t="str">
        <f t="shared" si="706"/>
        <v/>
      </c>
      <c r="D5588">
        <v>237</v>
      </c>
      <c r="E5588">
        <v>115</v>
      </c>
      <c r="F5588" s="366">
        <f t="shared" si="707"/>
        <v>2495.5</v>
      </c>
      <c r="G5588" s="97">
        <v>1783</v>
      </c>
      <c r="H5588" s="367">
        <f t="shared" si="708"/>
        <v>4278.5</v>
      </c>
      <c r="I5588" s="368">
        <f t="shared" si="709"/>
        <v>0</v>
      </c>
      <c r="J5588">
        <v>5920</v>
      </c>
      <c r="K5588" s="367">
        <f t="shared" si="710"/>
        <v>4228.5714285714284</v>
      </c>
      <c r="L5588">
        <v>0.53</v>
      </c>
      <c r="M5588">
        <v>8.5</v>
      </c>
      <c r="N5588">
        <v>27</v>
      </c>
      <c r="O5588">
        <v>8</v>
      </c>
      <c r="P5588" t="s">
        <v>515</v>
      </c>
      <c r="Q5588" s="97">
        <f t="shared" si="711"/>
        <v>237</v>
      </c>
      <c r="R5588" t="str">
        <f t="shared" si="712"/>
        <v/>
      </c>
    </row>
    <row r="5589" spans="3:18">
      <c r="C5589" t="str">
        <f t="shared" si="706"/>
        <v>NL</v>
      </c>
      <c r="D5589">
        <v>238</v>
      </c>
      <c r="E5589">
        <v>115</v>
      </c>
      <c r="F5589" s="366">
        <f t="shared" si="707"/>
        <v>2495.5</v>
      </c>
      <c r="G5589" s="97">
        <v>2376</v>
      </c>
      <c r="H5589" s="367">
        <f t="shared" si="708"/>
        <v>4871.5</v>
      </c>
      <c r="I5589" s="368">
        <f t="shared" si="709"/>
        <v>0</v>
      </c>
      <c r="J5589">
        <v>7891</v>
      </c>
      <c r="K5589" s="367">
        <f t="shared" si="710"/>
        <v>5636.4285714285716</v>
      </c>
      <c r="L5589">
        <v>0.43</v>
      </c>
      <c r="M5589">
        <v>9.6</v>
      </c>
      <c r="N5589">
        <v>27</v>
      </c>
      <c r="O5589">
        <v>9</v>
      </c>
      <c r="P5589" t="s">
        <v>515</v>
      </c>
      <c r="Q5589" s="97" t="str">
        <f t="shared" si="711"/>
        <v/>
      </c>
      <c r="R5589" t="str">
        <f t="shared" si="712"/>
        <v/>
      </c>
    </row>
    <row r="5590" spans="3:18">
      <c r="C5590" t="str">
        <f t="shared" si="706"/>
        <v/>
      </c>
      <c r="D5590">
        <v>239</v>
      </c>
      <c r="E5590">
        <v>115</v>
      </c>
      <c r="F5590" s="366">
        <f t="shared" si="707"/>
        <v>2495.5</v>
      </c>
      <c r="G5590" s="97">
        <v>2413</v>
      </c>
      <c r="H5590" s="367">
        <f t="shared" si="708"/>
        <v>4908.5</v>
      </c>
      <c r="I5590" s="368">
        <f t="shared" si="709"/>
        <v>0</v>
      </c>
      <c r="J5590">
        <v>8014</v>
      </c>
      <c r="K5590" s="367">
        <f t="shared" si="710"/>
        <v>5724.2857142857147</v>
      </c>
      <c r="L5590">
        <v>0.37</v>
      </c>
      <c r="M5590">
        <v>1.4000000000000001</v>
      </c>
      <c r="N5590">
        <v>27</v>
      </c>
      <c r="O5590">
        <v>10</v>
      </c>
      <c r="P5590" t="s">
        <v>515</v>
      </c>
      <c r="Q5590" s="97" t="str">
        <f t="shared" si="711"/>
        <v/>
      </c>
      <c r="R5590" t="str">
        <f t="shared" si="712"/>
        <v/>
      </c>
    </row>
    <row r="5591" spans="3:18">
      <c r="C5591" t="str">
        <f t="shared" si="706"/>
        <v/>
      </c>
      <c r="D5591">
        <v>240</v>
      </c>
      <c r="E5591">
        <v>115</v>
      </c>
      <c r="F5591" s="366">
        <f t="shared" si="707"/>
        <v>2495.5</v>
      </c>
      <c r="G5591" s="97">
        <v>3923</v>
      </c>
      <c r="H5591" s="367">
        <f t="shared" si="708"/>
        <v>6418.5</v>
      </c>
      <c r="I5591" s="368">
        <f t="shared" si="709"/>
        <v>0</v>
      </c>
      <c r="J5591">
        <v>13027</v>
      </c>
      <c r="K5591" s="367">
        <f t="shared" si="710"/>
        <v>9305</v>
      </c>
      <c r="L5591">
        <v>1.1300000000000001</v>
      </c>
      <c r="M5591">
        <v>1.4000000000000001</v>
      </c>
      <c r="N5591">
        <v>32</v>
      </c>
      <c r="O5591">
        <v>10</v>
      </c>
      <c r="P5591" t="s">
        <v>514</v>
      </c>
      <c r="Q5591" s="97" t="str">
        <f t="shared" si="711"/>
        <v/>
      </c>
      <c r="R5591" t="str">
        <f t="shared" si="712"/>
        <v/>
      </c>
    </row>
    <row r="5592" spans="3:18">
      <c r="C5592" t="str">
        <f t="shared" si="706"/>
        <v/>
      </c>
      <c r="D5592">
        <v>241</v>
      </c>
      <c r="E5592">
        <v>120</v>
      </c>
      <c r="F5592" s="366">
        <f t="shared" si="707"/>
        <v>2604</v>
      </c>
      <c r="G5592" s="97">
        <v>1754</v>
      </c>
      <c r="H5592" s="367">
        <f t="shared" si="708"/>
        <v>4358</v>
      </c>
      <c r="I5592" s="368">
        <f t="shared" si="709"/>
        <v>0</v>
      </c>
      <c r="J5592">
        <v>5824</v>
      </c>
      <c r="K5592" s="367">
        <f t="shared" si="710"/>
        <v>4160</v>
      </c>
      <c r="L5592">
        <v>0.95</v>
      </c>
      <c r="M5592">
        <v>6.6</v>
      </c>
      <c r="N5592">
        <v>28</v>
      </c>
      <c r="O5592">
        <v>6</v>
      </c>
      <c r="P5592" t="s">
        <v>515</v>
      </c>
      <c r="Q5592" s="97" t="str">
        <f t="shared" si="711"/>
        <v/>
      </c>
      <c r="R5592" t="str">
        <f t="shared" si="712"/>
        <v/>
      </c>
    </row>
    <row r="5593" spans="3:18">
      <c r="C5593" t="str">
        <f t="shared" si="706"/>
        <v>NL</v>
      </c>
      <c r="D5593">
        <v>242</v>
      </c>
      <c r="E5593">
        <v>120</v>
      </c>
      <c r="F5593" s="366">
        <f t="shared" si="707"/>
        <v>2604</v>
      </c>
      <c r="G5593" s="97">
        <v>2328</v>
      </c>
      <c r="H5593" s="367">
        <f t="shared" si="708"/>
        <v>4932</v>
      </c>
      <c r="I5593" s="368">
        <f t="shared" si="709"/>
        <v>0</v>
      </c>
      <c r="J5593">
        <v>7731</v>
      </c>
      <c r="K5593" s="367">
        <f t="shared" si="710"/>
        <v>5522.1428571428569</v>
      </c>
      <c r="L5593">
        <v>0.72</v>
      </c>
      <c r="M5593">
        <v>7.6</v>
      </c>
      <c r="N5593">
        <v>27</v>
      </c>
      <c r="O5593">
        <v>7</v>
      </c>
      <c r="P5593" t="s">
        <v>515</v>
      </c>
      <c r="Q5593" s="97" t="str">
        <f t="shared" si="711"/>
        <v/>
      </c>
      <c r="R5593" t="str">
        <f t="shared" si="712"/>
        <v/>
      </c>
    </row>
    <row r="5594" spans="3:18">
      <c r="C5594" t="str">
        <f t="shared" si="706"/>
        <v/>
      </c>
      <c r="D5594">
        <v>243</v>
      </c>
      <c r="E5594">
        <v>120</v>
      </c>
      <c r="F5594" s="366">
        <f t="shared" si="707"/>
        <v>2604</v>
      </c>
      <c r="G5594" s="97">
        <v>1843</v>
      </c>
      <c r="H5594" s="367">
        <f t="shared" si="708"/>
        <v>4447</v>
      </c>
      <c r="I5594" s="368">
        <f t="shared" si="709"/>
        <v>0</v>
      </c>
      <c r="J5594">
        <v>6121</v>
      </c>
      <c r="K5594" s="367">
        <f t="shared" si="710"/>
        <v>4372.1428571428569</v>
      </c>
      <c r="L5594">
        <v>0.57000000000000006</v>
      </c>
      <c r="M5594">
        <v>8.5</v>
      </c>
      <c r="N5594">
        <v>27</v>
      </c>
      <c r="O5594">
        <v>8</v>
      </c>
      <c r="P5594" t="s">
        <v>515</v>
      </c>
      <c r="Q5594" s="97">
        <f t="shared" si="711"/>
        <v>243</v>
      </c>
      <c r="R5594" t="str">
        <f t="shared" si="712"/>
        <v/>
      </c>
    </row>
    <row r="5595" spans="3:18">
      <c r="C5595" t="str">
        <f t="shared" si="706"/>
        <v>NL</v>
      </c>
      <c r="D5595">
        <v>244</v>
      </c>
      <c r="E5595">
        <v>120</v>
      </c>
      <c r="F5595" s="366">
        <f t="shared" si="707"/>
        <v>2604</v>
      </c>
      <c r="G5595" s="97">
        <v>2460</v>
      </c>
      <c r="H5595" s="367">
        <f t="shared" si="708"/>
        <v>5064</v>
      </c>
      <c r="I5595" s="368">
        <f t="shared" si="709"/>
        <v>0</v>
      </c>
      <c r="J5595">
        <v>8169</v>
      </c>
      <c r="K5595" s="367">
        <f t="shared" si="710"/>
        <v>5835</v>
      </c>
      <c r="L5595">
        <v>0.47000000000000003</v>
      </c>
      <c r="M5595">
        <v>9.6</v>
      </c>
      <c r="N5595">
        <v>27</v>
      </c>
      <c r="O5595">
        <v>9</v>
      </c>
      <c r="P5595" t="s">
        <v>515</v>
      </c>
      <c r="Q5595" s="97" t="str">
        <f t="shared" si="711"/>
        <v/>
      </c>
      <c r="R5595" t="str">
        <f t="shared" si="712"/>
        <v/>
      </c>
    </row>
    <row r="5596" spans="3:18">
      <c r="C5596" t="str">
        <f t="shared" si="706"/>
        <v/>
      </c>
      <c r="D5596">
        <v>245</v>
      </c>
      <c r="E5596">
        <v>120</v>
      </c>
      <c r="F5596" s="366">
        <f t="shared" si="707"/>
        <v>2604</v>
      </c>
      <c r="G5596" s="97">
        <v>2496</v>
      </c>
      <c r="H5596" s="367">
        <f t="shared" si="708"/>
        <v>5100</v>
      </c>
      <c r="I5596" s="368">
        <f t="shared" si="709"/>
        <v>0</v>
      </c>
      <c r="J5596">
        <v>8288</v>
      </c>
      <c r="K5596" s="367">
        <f t="shared" si="710"/>
        <v>5920</v>
      </c>
      <c r="L5596">
        <v>0.4</v>
      </c>
      <c r="M5596">
        <v>1.4000000000000001</v>
      </c>
      <c r="N5596">
        <v>27</v>
      </c>
      <c r="O5596">
        <v>10</v>
      </c>
      <c r="P5596" t="s">
        <v>515</v>
      </c>
      <c r="Q5596" s="97" t="str">
        <f t="shared" si="711"/>
        <v/>
      </c>
      <c r="R5596" t="str">
        <f t="shared" si="712"/>
        <v/>
      </c>
    </row>
    <row r="5597" spans="3:18">
      <c r="C5597" t="str">
        <f t="shared" si="706"/>
        <v>NL</v>
      </c>
      <c r="D5597">
        <v>246</v>
      </c>
      <c r="E5597">
        <v>125</v>
      </c>
      <c r="F5597" s="366">
        <f t="shared" si="707"/>
        <v>2712.5</v>
      </c>
      <c r="G5597" s="97">
        <v>2401</v>
      </c>
      <c r="H5597" s="367">
        <f t="shared" si="708"/>
        <v>5113.5</v>
      </c>
      <c r="I5597" s="368">
        <f t="shared" si="709"/>
        <v>0</v>
      </c>
      <c r="J5597">
        <v>7973</v>
      </c>
      <c r="K5597" s="367">
        <f t="shared" si="710"/>
        <v>5695</v>
      </c>
      <c r="L5597">
        <v>0.78</v>
      </c>
      <c r="M5597">
        <v>7.6</v>
      </c>
      <c r="N5597">
        <v>28</v>
      </c>
      <c r="O5597">
        <v>7</v>
      </c>
      <c r="P5597" t="s">
        <v>515</v>
      </c>
      <c r="Q5597" s="97" t="str">
        <f t="shared" si="711"/>
        <v/>
      </c>
      <c r="R5597" t="str">
        <f t="shared" si="712"/>
        <v/>
      </c>
    </row>
    <row r="5598" spans="3:18">
      <c r="C5598" t="str">
        <f t="shared" si="706"/>
        <v/>
      </c>
      <c r="D5598">
        <v>247</v>
      </c>
      <c r="E5598">
        <v>125</v>
      </c>
      <c r="F5598" s="366">
        <f t="shared" si="707"/>
        <v>2712.5</v>
      </c>
      <c r="G5598" s="97">
        <v>1903</v>
      </c>
      <c r="H5598" s="367">
        <f t="shared" si="708"/>
        <v>4615.5</v>
      </c>
      <c r="I5598" s="368">
        <f t="shared" si="709"/>
        <v>0</v>
      </c>
      <c r="J5598">
        <v>6321</v>
      </c>
      <c r="K5598" s="367">
        <f t="shared" si="710"/>
        <v>4515</v>
      </c>
      <c r="L5598">
        <v>0.62</v>
      </c>
      <c r="M5598">
        <v>8.5</v>
      </c>
      <c r="N5598">
        <v>28</v>
      </c>
      <c r="O5598">
        <v>8</v>
      </c>
      <c r="P5598" t="s">
        <v>515</v>
      </c>
      <c r="Q5598" s="97">
        <f t="shared" si="711"/>
        <v>247</v>
      </c>
      <c r="R5598" t="str">
        <f t="shared" si="712"/>
        <v/>
      </c>
    </row>
    <row r="5599" spans="3:18">
      <c r="C5599" t="str">
        <f t="shared" si="706"/>
        <v>NL</v>
      </c>
      <c r="D5599">
        <v>248</v>
      </c>
      <c r="E5599">
        <v>125</v>
      </c>
      <c r="F5599" s="366">
        <f t="shared" si="707"/>
        <v>2712.5</v>
      </c>
      <c r="G5599" s="97">
        <v>2543</v>
      </c>
      <c r="H5599" s="367">
        <f t="shared" si="708"/>
        <v>5255.5</v>
      </c>
      <c r="I5599" s="368">
        <f t="shared" si="709"/>
        <v>0</v>
      </c>
      <c r="J5599">
        <v>8447</v>
      </c>
      <c r="K5599" s="367">
        <f t="shared" si="710"/>
        <v>6033.5714285714284</v>
      </c>
      <c r="L5599">
        <v>0.51</v>
      </c>
      <c r="M5599">
        <v>9.6</v>
      </c>
      <c r="N5599">
        <v>28</v>
      </c>
      <c r="O5599">
        <v>9</v>
      </c>
      <c r="P5599" t="s">
        <v>515</v>
      </c>
      <c r="Q5599" s="97" t="str">
        <f t="shared" si="711"/>
        <v/>
      </c>
      <c r="R5599" t="str">
        <f t="shared" si="712"/>
        <v/>
      </c>
    </row>
    <row r="5600" spans="3:18">
      <c r="C5600" t="str">
        <f t="shared" si="706"/>
        <v/>
      </c>
      <c r="D5600">
        <v>249</v>
      </c>
      <c r="E5600">
        <v>125</v>
      </c>
      <c r="F5600" s="366">
        <f t="shared" si="707"/>
        <v>2712.5</v>
      </c>
      <c r="G5600" s="97">
        <v>2578</v>
      </c>
      <c r="H5600" s="367">
        <f t="shared" si="708"/>
        <v>5290.5</v>
      </c>
      <c r="I5600" s="368">
        <f t="shared" si="709"/>
        <v>0</v>
      </c>
      <c r="J5600">
        <v>8562</v>
      </c>
      <c r="K5600" s="367">
        <f t="shared" si="710"/>
        <v>6115.7142857142862</v>
      </c>
      <c r="L5600">
        <v>0.43</v>
      </c>
      <c r="M5600">
        <v>1.4000000000000001</v>
      </c>
      <c r="N5600">
        <v>28</v>
      </c>
      <c r="O5600">
        <v>10</v>
      </c>
      <c r="P5600" t="s">
        <v>515</v>
      </c>
      <c r="Q5600" s="97" t="str">
        <f t="shared" si="711"/>
        <v/>
      </c>
      <c r="R5600" t="str">
        <f t="shared" si="712"/>
        <v/>
      </c>
    </row>
    <row r="5601" spans="3:18">
      <c r="C5601" t="str">
        <f t="shared" si="706"/>
        <v>NL</v>
      </c>
      <c r="D5601">
        <v>250</v>
      </c>
      <c r="E5601">
        <v>130</v>
      </c>
      <c r="F5601" s="366">
        <f t="shared" si="707"/>
        <v>2821</v>
      </c>
      <c r="G5601" s="97">
        <v>2474</v>
      </c>
      <c r="H5601" s="367">
        <f t="shared" si="708"/>
        <v>5295</v>
      </c>
      <c r="I5601" s="368">
        <f t="shared" si="709"/>
        <v>0</v>
      </c>
      <c r="J5601">
        <v>8215</v>
      </c>
      <c r="K5601" s="367">
        <f t="shared" si="710"/>
        <v>5867.8571428571431</v>
      </c>
      <c r="L5601">
        <v>0.84</v>
      </c>
      <c r="M5601">
        <v>7.6</v>
      </c>
      <c r="N5601">
        <v>28</v>
      </c>
      <c r="O5601">
        <v>7</v>
      </c>
      <c r="P5601" t="s">
        <v>515</v>
      </c>
      <c r="Q5601" s="97" t="str">
        <f t="shared" si="711"/>
        <v/>
      </c>
      <c r="R5601" t="str">
        <f t="shared" si="712"/>
        <v/>
      </c>
    </row>
    <row r="5602" spans="3:18">
      <c r="C5602" t="str">
        <f t="shared" si="706"/>
        <v/>
      </c>
      <c r="D5602">
        <v>251</v>
      </c>
      <c r="E5602">
        <v>130</v>
      </c>
      <c r="F5602" s="366">
        <f t="shared" si="707"/>
        <v>2821</v>
      </c>
      <c r="G5602" s="97">
        <v>1963</v>
      </c>
      <c r="H5602" s="367">
        <f t="shared" si="708"/>
        <v>4784</v>
      </c>
      <c r="I5602" s="368">
        <f t="shared" si="709"/>
        <v>0</v>
      </c>
      <c r="J5602">
        <v>6521</v>
      </c>
      <c r="K5602" s="367">
        <f t="shared" si="710"/>
        <v>4657.8571428571431</v>
      </c>
      <c r="L5602">
        <v>0.67</v>
      </c>
      <c r="M5602">
        <v>8.5</v>
      </c>
      <c r="N5602">
        <v>28</v>
      </c>
      <c r="O5602">
        <v>8</v>
      </c>
      <c r="P5602" t="s">
        <v>515</v>
      </c>
      <c r="Q5602" s="97">
        <f t="shared" si="711"/>
        <v>251</v>
      </c>
      <c r="R5602" t="str">
        <f t="shared" si="712"/>
        <v/>
      </c>
    </row>
    <row r="5603" spans="3:18">
      <c r="C5603" t="str">
        <f t="shared" si="706"/>
        <v>NL</v>
      </c>
      <c r="D5603">
        <v>252</v>
      </c>
      <c r="E5603">
        <v>130</v>
      </c>
      <c r="F5603" s="366">
        <f t="shared" si="707"/>
        <v>2821</v>
      </c>
      <c r="G5603" s="97">
        <v>2618</v>
      </c>
      <c r="H5603" s="367">
        <f t="shared" si="708"/>
        <v>5439</v>
      </c>
      <c r="I5603" s="368">
        <f t="shared" si="709"/>
        <v>0</v>
      </c>
      <c r="J5603">
        <v>8694</v>
      </c>
      <c r="K5603" s="367">
        <f t="shared" si="710"/>
        <v>6210</v>
      </c>
      <c r="L5603">
        <v>0.55000000000000004</v>
      </c>
      <c r="M5603">
        <v>9.6</v>
      </c>
      <c r="N5603">
        <v>28</v>
      </c>
      <c r="O5603">
        <v>9</v>
      </c>
      <c r="P5603" t="s">
        <v>515</v>
      </c>
      <c r="Q5603" s="97" t="str">
        <f t="shared" si="711"/>
        <v/>
      </c>
      <c r="R5603" t="str">
        <f t="shared" si="712"/>
        <v/>
      </c>
    </row>
    <row r="5604" spans="3:18">
      <c r="C5604" t="str">
        <f t="shared" si="706"/>
        <v/>
      </c>
      <c r="D5604">
        <v>253</v>
      </c>
      <c r="E5604">
        <v>130</v>
      </c>
      <c r="F5604" s="366">
        <f t="shared" si="707"/>
        <v>2821</v>
      </c>
      <c r="G5604" s="97">
        <v>2661</v>
      </c>
      <c r="H5604" s="367">
        <f t="shared" si="708"/>
        <v>5482</v>
      </c>
      <c r="I5604" s="368">
        <f t="shared" si="709"/>
        <v>0</v>
      </c>
      <c r="J5604">
        <v>8836</v>
      </c>
      <c r="K5604" s="367">
        <f t="shared" si="710"/>
        <v>6311.4285714285716</v>
      </c>
      <c r="L5604">
        <v>0.47000000000000003</v>
      </c>
      <c r="M5604">
        <v>1.4000000000000001</v>
      </c>
      <c r="N5604">
        <v>28</v>
      </c>
      <c r="O5604">
        <v>10</v>
      </c>
      <c r="P5604" t="s">
        <v>515</v>
      </c>
      <c r="Q5604" s="97" t="str">
        <f t="shared" si="711"/>
        <v/>
      </c>
      <c r="R5604" t="str">
        <f t="shared" si="712"/>
        <v/>
      </c>
    </row>
    <row r="5605" spans="3:18">
      <c r="C5605" t="str">
        <f t="shared" si="706"/>
        <v>NL</v>
      </c>
      <c r="D5605">
        <v>254</v>
      </c>
      <c r="E5605">
        <v>135</v>
      </c>
      <c r="F5605" s="366">
        <f t="shared" si="707"/>
        <v>2929.5</v>
      </c>
      <c r="G5605" s="97">
        <v>2546</v>
      </c>
      <c r="H5605" s="367">
        <f t="shared" si="708"/>
        <v>5475.5</v>
      </c>
      <c r="I5605" s="368">
        <f t="shared" si="709"/>
        <v>0</v>
      </c>
      <c r="J5605">
        <v>8457</v>
      </c>
      <c r="K5605" s="367">
        <f t="shared" si="710"/>
        <v>6040.7142857142862</v>
      </c>
      <c r="L5605">
        <v>0.91</v>
      </c>
      <c r="M5605">
        <v>7.6</v>
      </c>
      <c r="N5605">
        <v>29</v>
      </c>
      <c r="O5605">
        <v>7</v>
      </c>
      <c r="P5605" t="s">
        <v>515</v>
      </c>
      <c r="Q5605" s="97" t="str">
        <f t="shared" si="711"/>
        <v/>
      </c>
      <c r="R5605" t="str">
        <f t="shared" si="712"/>
        <v/>
      </c>
    </row>
    <row r="5606" spans="3:18">
      <c r="C5606" t="str">
        <f t="shared" si="706"/>
        <v/>
      </c>
      <c r="D5606">
        <v>255</v>
      </c>
      <c r="E5606">
        <v>135</v>
      </c>
      <c r="F5606" s="366">
        <f t="shared" si="707"/>
        <v>2929.5</v>
      </c>
      <c r="G5606" s="97">
        <v>2024</v>
      </c>
      <c r="H5606" s="367">
        <f t="shared" si="708"/>
        <v>4953.5</v>
      </c>
      <c r="I5606" s="368">
        <f t="shared" si="709"/>
        <v>0</v>
      </c>
      <c r="J5606">
        <v>6721</v>
      </c>
      <c r="K5606" s="367">
        <f t="shared" si="710"/>
        <v>4800.7142857142862</v>
      </c>
      <c r="L5606">
        <v>0.72</v>
      </c>
      <c r="M5606">
        <v>8.5</v>
      </c>
      <c r="N5606">
        <v>29</v>
      </c>
      <c r="O5606">
        <v>8</v>
      </c>
      <c r="P5606" t="s">
        <v>515</v>
      </c>
      <c r="Q5606" s="97" t="str">
        <f t="shared" si="711"/>
        <v/>
      </c>
      <c r="R5606" t="str">
        <f t="shared" si="712"/>
        <v/>
      </c>
    </row>
    <row r="5607" spans="3:18">
      <c r="C5607" t="str">
        <f t="shared" si="706"/>
        <v>NL</v>
      </c>
      <c r="D5607">
        <v>256</v>
      </c>
      <c r="E5607">
        <v>135</v>
      </c>
      <c r="F5607" s="366">
        <f t="shared" si="707"/>
        <v>2929.5</v>
      </c>
      <c r="G5607" s="97">
        <v>2688</v>
      </c>
      <c r="H5607" s="367">
        <f t="shared" si="708"/>
        <v>5617.5</v>
      </c>
      <c r="I5607" s="368">
        <f t="shared" si="709"/>
        <v>0</v>
      </c>
      <c r="J5607">
        <v>8928</v>
      </c>
      <c r="K5607" s="367">
        <f t="shared" si="710"/>
        <v>6377.1428571428569</v>
      </c>
      <c r="L5607">
        <v>0.59</v>
      </c>
      <c r="M5607">
        <v>9.6</v>
      </c>
      <c r="N5607">
        <v>29</v>
      </c>
      <c r="O5607">
        <v>9</v>
      </c>
      <c r="P5607" t="s">
        <v>515</v>
      </c>
      <c r="Q5607" s="97" t="str">
        <f t="shared" si="711"/>
        <v/>
      </c>
      <c r="R5607" t="str">
        <f t="shared" si="712"/>
        <v/>
      </c>
    </row>
    <row r="5608" spans="3:18">
      <c r="C5608" t="str">
        <f t="shared" si="706"/>
        <v/>
      </c>
      <c r="D5608">
        <v>257</v>
      </c>
      <c r="E5608">
        <v>135</v>
      </c>
      <c r="F5608" s="366">
        <f t="shared" si="707"/>
        <v>2929.5</v>
      </c>
      <c r="G5608" s="97">
        <v>2743</v>
      </c>
      <c r="H5608" s="367">
        <f t="shared" si="708"/>
        <v>5672.5</v>
      </c>
      <c r="I5608" s="368">
        <f t="shared" si="709"/>
        <v>0</v>
      </c>
      <c r="J5608">
        <v>9110</v>
      </c>
      <c r="K5608" s="367">
        <f t="shared" si="710"/>
        <v>6507.1428571428569</v>
      </c>
      <c r="L5608">
        <v>0.5</v>
      </c>
      <c r="M5608">
        <v>1.4000000000000001</v>
      </c>
      <c r="N5608">
        <v>29</v>
      </c>
      <c r="O5608">
        <v>10</v>
      </c>
      <c r="P5608" t="s">
        <v>515</v>
      </c>
      <c r="Q5608" s="97" t="str">
        <f t="shared" si="711"/>
        <v/>
      </c>
      <c r="R5608" t="str">
        <f t="shared" si="712"/>
        <v/>
      </c>
    </row>
    <row r="5609" spans="3:18">
      <c r="C5609" t="str">
        <f t="shared" ref="C5609:C5634" si="713">IF(OR($O$4=0,O5609-$O$4=0),IF(AND(ISEVEN(O5609)=FALSE,$N$4="Even"),"NL",""),"NL")</f>
        <v>NL</v>
      </c>
      <c r="D5609">
        <v>258</v>
      </c>
      <c r="E5609">
        <v>140</v>
      </c>
      <c r="F5609" s="366">
        <f t="shared" ref="F5609:F5634" si="714">1.085*($A$2-$B$2)*E5609*$T$7</f>
        <v>3038</v>
      </c>
      <c r="G5609" s="97">
        <v>2611</v>
      </c>
      <c r="H5609" s="367">
        <f t="shared" ref="H5609:H5634" si="715">(G5609*$U$7)+F5609</f>
        <v>5649</v>
      </c>
      <c r="I5609" s="368">
        <f t="shared" ref="I5609:I5634" si="716">1.085*($C$2-$D$2)*E5609*$T$7</f>
        <v>0</v>
      </c>
      <c r="J5609">
        <v>8673</v>
      </c>
      <c r="K5609" s="367">
        <f t="shared" ref="K5609:K5634" si="717">(J5609*$V$7)-I5609</f>
        <v>6195</v>
      </c>
      <c r="L5609">
        <v>0.98</v>
      </c>
      <c r="M5609">
        <v>7.6</v>
      </c>
      <c r="N5609">
        <v>29</v>
      </c>
      <c r="O5609">
        <v>7</v>
      </c>
      <c r="P5609" t="s">
        <v>515</v>
      </c>
      <c r="Q5609" s="97" t="str">
        <f t="shared" ref="Q5609:Q5634" si="718">IF(AND(H5609+1&gt;$E$4,L5609&lt;$L$4+0.01,M5609&lt;$M$4+0.01,K5609+1&gt;$F$4,E5609+1&gt;$J$4,N5609&lt;$K$4+1,O5609&lt;$P$4+1,C5609=""),D5609,"")</f>
        <v/>
      </c>
      <c r="R5609" t="str">
        <f t="shared" ref="R5609:R5634" si="719">IF(Q5609="","",IF(AND(O5609&lt;$X$39,E5609&gt;$U$39,E5609&lt;$Q$4+$U$39+1),D5609,""))</f>
        <v/>
      </c>
    </row>
    <row r="5610" spans="3:18">
      <c r="C5610" t="str">
        <f t="shared" si="713"/>
        <v/>
      </c>
      <c r="D5610">
        <v>259</v>
      </c>
      <c r="E5610">
        <v>140</v>
      </c>
      <c r="F5610" s="366">
        <f t="shared" si="714"/>
        <v>3038</v>
      </c>
      <c r="G5610" s="97">
        <v>2084</v>
      </c>
      <c r="H5610" s="367">
        <f t="shared" si="715"/>
        <v>5122</v>
      </c>
      <c r="I5610" s="368">
        <f t="shared" si="716"/>
        <v>0</v>
      </c>
      <c r="J5610">
        <v>6922</v>
      </c>
      <c r="K5610" s="367">
        <f t="shared" si="717"/>
        <v>4944.2857142857147</v>
      </c>
      <c r="L5610">
        <v>0.78</v>
      </c>
      <c r="M5610">
        <v>8.5</v>
      </c>
      <c r="N5610">
        <v>29</v>
      </c>
      <c r="O5610">
        <v>8</v>
      </c>
      <c r="P5610" t="s">
        <v>515</v>
      </c>
      <c r="Q5610" s="97" t="str">
        <f t="shared" si="718"/>
        <v/>
      </c>
      <c r="R5610" t="str">
        <f t="shared" si="719"/>
        <v/>
      </c>
    </row>
    <row r="5611" spans="3:18">
      <c r="C5611" t="str">
        <f t="shared" si="713"/>
        <v>NL</v>
      </c>
      <c r="D5611">
        <v>260</v>
      </c>
      <c r="E5611">
        <v>140</v>
      </c>
      <c r="F5611" s="366">
        <f t="shared" si="714"/>
        <v>3038</v>
      </c>
      <c r="G5611" s="97">
        <v>2759</v>
      </c>
      <c r="H5611" s="367">
        <f t="shared" si="715"/>
        <v>5797</v>
      </c>
      <c r="I5611" s="368">
        <f t="shared" si="716"/>
        <v>0</v>
      </c>
      <c r="J5611">
        <v>9163</v>
      </c>
      <c r="K5611" s="367">
        <f t="shared" si="717"/>
        <v>6545</v>
      </c>
      <c r="L5611">
        <v>0.64</v>
      </c>
      <c r="M5611">
        <v>9.6</v>
      </c>
      <c r="N5611">
        <v>29</v>
      </c>
      <c r="O5611">
        <v>9</v>
      </c>
      <c r="P5611" t="s">
        <v>515</v>
      </c>
      <c r="Q5611" s="97" t="str">
        <f t="shared" si="718"/>
        <v/>
      </c>
      <c r="R5611" t="str">
        <f t="shared" si="719"/>
        <v/>
      </c>
    </row>
    <row r="5612" spans="3:18">
      <c r="C5612" t="str">
        <f t="shared" si="713"/>
        <v/>
      </c>
      <c r="D5612">
        <v>261</v>
      </c>
      <c r="E5612">
        <v>140</v>
      </c>
      <c r="F5612" s="366">
        <f t="shared" si="714"/>
        <v>3038</v>
      </c>
      <c r="G5612" s="97">
        <v>2826</v>
      </c>
      <c r="H5612" s="367">
        <f t="shared" si="715"/>
        <v>5864</v>
      </c>
      <c r="I5612" s="368">
        <f t="shared" si="716"/>
        <v>0</v>
      </c>
      <c r="J5612">
        <v>9384</v>
      </c>
      <c r="K5612" s="367">
        <f t="shared" si="717"/>
        <v>6702.8571428571431</v>
      </c>
      <c r="L5612">
        <v>0.54</v>
      </c>
      <c r="M5612">
        <v>1.4000000000000001</v>
      </c>
      <c r="N5612">
        <v>29</v>
      </c>
      <c r="O5612">
        <v>10</v>
      </c>
      <c r="P5612" t="s">
        <v>515</v>
      </c>
      <c r="Q5612" s="97" t="str">
        <f t="shared" si="718"/>
        <v/>
      </c>
      <c r="R5612" t="str">
        <f t="shared" si="719"/>
        <v/>
      </c>
    </row>
    <row r="5613" spans="3:18">
      <c r="C5613" t="str">
        <f t="shared" si="713"/>
        <v/>
      </c>
      <c r="D5613">
        <v>262</v>
      </c>
      <c r="E5613">
        <v>145</v>
      </c>
      <c r="F5613" s="366">
        <f t="shared" si="714"/>
        <v>3146.5</v>
      </c>
      <c r="G5613" s="97">
        <v>2144</v>
      </c>
      <c r="H5613" s="367">
        <f t="shared" si="715"/>
        <v>5290.5</v>
      </c>
      <c r="I5613" s="368">
        <f t="shared" si="716"/>
        <v>0</v>
      </c>
      <c r="J5613">
        <v>7122</v>
      </c>
      <c r="K5613" s="367">
        <f t="shared" si="717"/>
        <v>5087.1428571428569</v>
      </c>
      <c r="L5613">
        <v>0.83</v>
      </c>
      <c r="M5613">
        <v>8.5</v>
      </c>
      <c r="N5613">
        <v>30</v>
      </c>
      <c r="O5613">
        <v>8</v>
      </c>
      <c r="P5613" t="s">
        <v>515</v>
      </c>
      <c r="Q5613" s="97" t="str">
        <f t="shared" si="718"/>
        <v/>
      </c>
      <c r="R5613" t="str">
        <f t="shared" si="719"/>
        <v/>
      </c>
    </row>
    <row r="5614" spans="3:18">
      <c r="C5614" t="str">
        <f t="shared" si="713"/>
        <v>NL</v>
      </c>
      <c r="D5614">
        <v>263</v>
      </c>
      <c r="E5614">
        <v>145</v>
      </c>
      <c r="F5614" s="366">
        <f t="shared" si="714"/>
        <v>3146.5</v>
      </c>
      <c r="G5614" s="97">
        <v>2830</v>
      </c>
      <c r="H5614" s="367">
        <f t="shared" si="715"/>
        <v>5976.5</v>
      </c>
      <c r="I5614" s="368">
        <f t="shared" si="716"/>
        <v>0</v>
      </c>
      <c r="J5614">
        <v>9397</v>
      </c>
      <c r="K5614" s="367">
        <f t="shared" si="717"/>
        <v>6712.1428571428569</v>
      </c>
      <c r="L5614">
        <v>0.68</v>
      </c>
      <c r="M5614">
        <v>9.6</v>
      </c>
      <c r="N5614">
        <v>30</v>
      </c>
      <c r="O5614">
        <v>9</v>
      </c>
      <c r="P5614" t="s">
        <v>515</v>
      </c>
      <c r="Q5614" s="97" t="str">
        <f t="shared" si="718"/>
        <v/>
      </c>
      <c r="R5614" t="str">
        <f t="shared" si="719"/>
        <v/>
      </c>
    </row>
    <row r="5615" spans="3:18">
      <c r="C5615" t="str">
        <f t="shared" si="713"/>
        <v/>
      </c>
      <c r="D5615">
        <v>264</v>
      </c>
      <c r="E5615">
        <v>145</v>
      </c>
      <c r="F5615" s="366">
        <f t="shared" si="714"/>
        <v>3146.5</v>
      </c>
      <c r="G5615" s="97">
        <v>2899</v>
      </c>
      <c r="H5615" s="367">
        <f t="shared" si="715"/>
        <v>6045.5</v>
      </c>
      <c r="I5615" s="368">
        <f t="shared" si="716"/>
        <v>0</v>
      </c>
      <c r="J5615">
        <v>9627</v>
      </c>
      <c r="K5615" s="367">
        <f t="shared" si="717"/>
        <v>6876.4285714285716</v>
      </c>
      <c r="L5615">
        <v>0.57999999999999996</v>
      </c>
      <c r="M5615">
        <v>1.4000000000000001</v>
      </c>
      <c r="N5615">
        <v>30</v>
      </c>
      <c r="O5615">
        <v>10</v>
      </c>
      <c r="P5615" t="s">
        <v>515</v>
      </c>
      <c r="Q5615" s="97" t="str">
        <f t="shared" si="718"/>
        <v/>
      </c>
      <c r="R5615" t="str">
        <f t="shared" si="719"/>
        <v/>
      </c>
    </row>
    <row r="5616" spans="3:18">
      <c r="C5616" t="str">
        <f t="shared" si="713"/>
        <v/>
      </c>
      <c r="D5616">
        <v>265</v>
      </c>
      <c r="E5616">
        <v>150</v>
      </c>
      <c r="F5616" s="366">
        <f t="shared" si="714"/>
        <v>3255</v>
      </c>
      <c r="G5616" s="97">
        <v>2205</v>
      </c>
      <c r="H5616" s="367">
        <f t="shared" si="715"/>
        <v>5460</v>
      </c>
      <c r="I5616" s="368">
        <f t="shared" si="716"/>
        <v>0</v>
      </c>
      <c r="J5616">
        <v>7322</v>
      </c>
      <c r="K5616" s="367">
        <f t="shared" si="717"/>
        <v>5230</v>
      </c>
      <c r="L5616">
        <v>0.89</v>
      </c>
      <c r="M5616">
        <v>8.5</v>
      </c>
      <c r="N5616">
        <v>30</v>
      </c>
      <c r="O5616">
        <v>8</v>
      </c>
      <c r="P5616" t="s">
        <v>515</v>
      </c>
      <c r="Q5616" s="97" t="str">
        <f t="shared" si="718"/>
        <v/>
      </c>
      <c r="R5616" t="str">
        <f t="shared" si="719"/>
        <v/>
      </c>
    </row>
    <row r="5617" spans="3:18">
      <c r="C5617" t="str">
        <f t="shared" si="713"/>
        <v>NL</v>
      </c>
      <c r="D5617">
        <v>266</v>
      </c>
      <c r="E5617">
        <v>150</v>
      </c>
      <c r="F5617" s="366">
        <f t="shared" si="714"/>
        <v>3255</v>
      </c>
      <c r="G5617" s="97">
        <v>2900</v>
      </c>
      <c r="H5617" s="367">
        <f t="shared" si="715"/>
        <v>6155</v>
      </c>
      <c r="I5617" s="368">
        <f t="shared" si="716"/>
        <v>0</v>
      </c>
      <c r="J5617">
        <v>9632</v>
      </c>
      <c r="K5617" s="367">
        <f t="shared" si="717"/>
        <v>6880</v>
      </c>
      <c r="L5617">
        <v>0.73</v>
      </c>
      <c r="M5617">
        <v>9.6</v>
      </c>
      <c r="N5617">
        <v>30</v>
      </c>
      <c r="O5617">
        <v>9</v>
      </c>
      <c r="P5617" t="s">
        <v>515</v>
      </c>
      <c r="Q5617" s="97" t="str">
        <f t="shared" si="718"/>
        <v/>
      </c>
      <c r="R5617" t="str">
        <f t="shared" si="719"/>
        <v/>
      </c>
    </row>
    <row r="5618" spans="3:18">
      <c r="C5618" t="str">
        <f t="shared" si="713"/>
        <v/>
      </c>
      <c r="D5618">
        <v>267</v>
      </c>
      <c r="E5618">
        <v>150</v>
      </c>
      <c r="F5618" s="366">
        <f t="shared" si="714"/>
        <v>3255</v>
      </c>
      <c r="G5618" s="97">
        <v>2968</v>
      </c>
      <c r="H5618" s="367">
        <f t="shared" si="715"/>
        <v>6223</v>
      </c>
      <c r="I5618" s="368">
        <f t="shared" si="716"/>
        <v>0</v>
      </c>
      <c r="J5618">
        <v>9858</v>
      </c>
      <c r="K5618" s="367">
        <f t="shared" si="717"/>
        <v>7041.4285714285716</v>
      </c>
      <c r="L5618">
        <v>0.62</v>
      </c>
      <c r="M5618">
        <v>1.4000000000000001</v>
      </c>
      <c r="N5618">
        <v>30</v>
      </c>
      <c r="O5618">
        <v>10</v>
      </c>
      <c r="P5618" t="s">
        <v>515</v>
      </c>
      <c r="Q5618" s="97" t="str">
        <f t="shared" si="718"/>
        <v/>
      </c>
      <c r="R5618" t="str">
        <f t="shared" si="719"/>
        <v/>
      </c>
    </row>
    <row r="5619" spans="3:18">
      <c r="C5619" t="str">
        <f t="shared" si="713"/>
        <v/>
      </c>
      <c r="D5619">
        <v>268</v>
      </c>
      <c r="E5619">
        <v>155</v>
      </c>
      <c r="F5619" s="366">
        <f t="shared" si="714"/>
        <v>3363.5</v>
      </c>
      <c r="G5619" s="97">
        <v>2265</v>
      </c>
      <c r="H5619" s="367">
        <f t="shared" si="715"/>
        <v>5628.5</v>
      </c>
      <c r="I5619" s="368">
        <f t="shared" si="716"/>
        <v>0</v>
      </c>
      <c r="J5619">
        <v>7523</v>
      </c>
      <c r="K5619" s="367">
        <f t="shared" si="717"/>
        <v>5373.5714285714284</v>
      </c>
      <c r="L5619">
        <v>0.95</v>
      </c>
      <c r="M5619">
        <v>8.5</v>
      </c>
      <c r="N5619">
        <v>30</v>
      </c>
      <c r="O5619">
        <v>8</v>
      </c>
      <c r="P5619" t="s">
        <v>515</v>
      </c>
      <c r="Q5619" s="97" t="str">
        <f t="shared" si="718"/>
        <v/>
      </c>
      <c r="R5619" t="str">
        <f t="shared" si="719"/>
        <v/>
      </c>
    </row>
    <row r="5620" spans="3:18">
      <c r="C5620" t="str">
        <f t="shared" si="713"/>
        <v>NL</v>
      </c>
      <c r="D5620">
        <v>269</v>
      </c>
      <c r="E5620">
        <v>155</v>
      </c>
      <c r="F5620" s="366">
        <f t="shared" si="714"/>
        <v>3363.5</v>
      </c>
      <c r="G5620" s="97">
        <v>2971</v>
      </c>
      <c r="H5620" s="367">
        <f t="shared" si="715"/>
        <v>6334.5</v>
      </c>
      <c r="I5620" s="368">
        <f t="shared" si="716"/>
        <v>0</v>
      </c>
      <c r="J5620">
        <v>9866</v>
      </c>
      <c r="K5620" s="367">
        <f t="shared" si="717"/>
        <v>7047.1428571428569</v>
      </c>
      <c r="L5620">
        <v>0.78</v>
      </c>
      <c r="M5620">
        <v>9.6</v>
      </c>
      <c r="N5620">
        <v>31</v>
      </c>
      <c r="O5620">
        <v>9</v>
      </c>
      <c r="P5620" t="s">
        <v>515</v>
      </c>
      <c r="Q5620" s="97" t="str">
        <f t="shared" si="718"/>
        <v/>
      </c>
      <c r="R5620" t="str">
        <f t="shared" si="719"/>
        <v/>
      </c>
    </row>
    <row r="5621" spans="3:18">
      <c r="C5621" t="str">
        <f t="shared" si="713"/>
        <v/>
      </c>
      <c r="D5621">
        <v>270</v>
      </c>
      <c r="E5621">
        <v>155</v>
      </c>
      <c r="F5621" s="366">
        <f t="shared" si="714"/>
        <v>3363.5</v>
      </c>
      <c r="G5621" s="97">
        <v>3038</v>
      </c>
      <c r="H5621" s="367">
        <f t="shared" si="715"/>
        <v>6401.5</v>
      </c>
      <c r="I5621" s="368">
        <f t="shared" si="716"/>
        <v>0</v>
      </c>
      <c r="J5621">
        <v>10089</v>
      </c>
      <c r="K5621" s="367">
        <f t="shared" si="717"/>
        <v>7206.4285714285716</v>
      </c>
      <c r="L5621">
        <v>0.66</v>
      </c>
      <c r="M5621">
        <v>1.4000000000000001</v>
      </c>
      <c r="N5621">
        <v>31</v>
      </c>
      <c r="O5621">
        <v>10</v>
      </c>
      <c r="P5621" t="s">
        <v>515</v>
      </c>
      <c r="Q5621" s="97" t="str">
        <f t="shared" si="718"/>
        <v/>
      </c>
      <c r="R5621" t="str">
        <f t="shared" si="719"/>
        <v/>
      </c>
    </row>
    <row r="5622" spans="3:18">
      <c r="C5622" t="str">
        <f t="shared" si="713"/>
        <v/>
      </c>
      <c r="D5622">
        <v>271</v>
      </c>
      <c r="E5622">
        <v>160</v>
      </c>
      <c r="F5622" s="366">
        <f t="shared" si="714"/>
        <v>3472</v>
      </c>
      <c r="G5622" s="97">
        <v>2319</v>
      </c>
      <c r="H5622" s="367">
        <f t="shared" si="715"/>
        <v>5791</v>
      </c>
      <c r="I5622" s="368">
        <f t="shared" si="716"/>
        <v>0</v>
      </c>
      <c r="J5622">
        <v>7701</v>
      </c>
      <c r="K5622" s="367">
        <f t="shared" si="717"/>
        <v>5500.7142857142862</v>
      </c>
      <c r="L5622">
        <v>1.01</v>
      </c>
      <c r="M5622">
        <v>8.5</v>
      </c>
      <c r="N5622">
        <v>31</v>
      </c>
      <c r="O5622">
        <v>8</v>
      </c>
      <c r="P5622" t="s">
        <v>515</v>
      </c>
      <c r="Q5622" s="97" t="str">
        <f t="shared" si="718"/>
        <v/>
      </c>
      <c r="R5622" t="str">
        <f t="shared" si="719"/>
        <v/>
      </c>
    </row>
    <row r="5623" spans="3:18">
      <c r="C5623" t="str">
        <f t="shared" si="713"/>
        <v>NL</v>
      </c>
      <c r="D5623">
        <v>272</v>
      </c>
      <c r="E5623">
        <v>160</v>
      </c>
      <c r="F5623" s="366">
        <f t="shared" si="714"/>
        <v>3472</v>
      </c>
      <c r="G5623" s="97">
        <v>3041</v>
      </c>
      <c r="H5623" s="367">
        <f t="shared" si="715"/>
        <v>6513</v>
      </c>
      <c r="I5623" s="368">
        <f t="shared" si="716"/>
        <v>0</v>
      </c>
      <c r="J5623">
        <v>10101</v>
      </c>
      <c r="K5623" s="367">
        <f t="shared" si="717"/>
        <v>7215</v>
      </c>
      <c r="L5623">
        <v>0.83</v>
      </c>
      <c r="M5623">
        <v>9.6</v>
      </c>
      <c r="N5623">
        <v>31</v>
      </c>
      <c r="O5623">
        <v>9</v>
      </c>
      <c r="P5623" t="s">
        <v>515</v>
      </c>
      <c r="Q5623" s="97" t="str">
        <f t="shared" si="718"/>
        <v/>
      </c>
      <c r="R5623" t="str">
        <f t="shared" si="719"/>
        <v/>
      </c>
    </row>
    <row r="5624" spans="3:18">
      <c r="C5624" t="str">
        <f t="shared" si="713"/>
        <v/>
      </c>
      <c r="D5624">
        <v>273</v>
      </c>
      <c r="E5624">
        <v>160</v>
      </c>
      <c r="F5624" s="366">
        <f t="shared" si="714"/>
        <v>3472</v>
      </c>
      <c r="G5624" s="97">
        <v>3107</v>
      </c>
      <c r="H5624" s="367">
        <f t="shared" si="715"/>
        <v>6579</v>
      </c>
      <c r="I5624" s="368">
        <f t="shared" si="716"/>
        <v>0</v>
      </c>
      <c r="J5624">
        <v>10320</v>
      </c>
      <c r="K5624" s="367">
        <f t="shared" si="717"/>
        <v>7371.4285714285716</v>
      </c>
      <c r="L5624">
        <v>0.71</v>
      </c>
      <c r="M5624">
        <v>1.4000000000000001</v>
      </c>
      <c r="N5624">
        <v>31</v>
      </c>
      <c r="O5624">
        <v>10</v>
      </c>
      <c r="P5624" t="s">
        <v>515</v>
      </c>
      <c r="Q5624" s="97" t="str">
        <f t="shared" si="718"/>
        <v/>
      </c>
      <c r="R5624" t="str">
        <f t="shared" si="719"/>
        <v/>
      </c>
    </row>
    <row r="5625" spans="3:18">
      <c r="C5625" t="str">
        <f t="shared" si="713"/>
        <v>NL</v>
      </c>
      <c r="D5625">
        <v>274</v>
      </c>
      <c r="E5625">
        <v>165</v>
      </c>
      <c r="F5625" s="366">
        <f t="shared" si="714"/>
        <v>3580.5</v>
      </c>
      <c r="G5625" s="97">
        <v>3112</v>
      </c>
      <c r="H5625" s="367">
        <f t="shared" si="715"/>
        <v>6692.5</v>
      </c>
      <c r="I5625" s="368">
        <f t="shared" si="716"/>
        <v>0</v>
      </c>
      <c r="J5625">
        <v>10335</v>
      </c>
      <c r="K5625" s="367">
        <f t="shared" si="717"/>
        <v>7382.1428571428569</v>
      </c>
      <c r="L5625">
        <v>0.89</v>
      </c>
      <c r="M5625">
        <v>9.6</v>
      </c>
      <c r="N5625">
        <v>31</v>
      </c>
      <c r="O5625">
        <v>9</v>
      </c>
      <c r="P5625" t="s">
        <v>515</v>
      </c>
      <c r="Q5625" s="97" t="str">
        <f t="shared" si="718"/>
        <v/>
      </c>
      <c r="R5625" t="str">
        <f t="shared" si="719"/>
        <v/>
      </c>
    </row>
    <row r="5626" spans="3:18">
      <c r="C5626" t="str">
        <f t="shared" si="713"/>
        <v/>
      </c>
      <c r="D5626">
        <v>275</v>
      </c>
      <c r="E5626">
        <v>165</v>
      </c>
      <c r="F5626" s="366">
        <f t="shared" si="714"/>
        <v>3580.5</v>
      </c>
      <c r="G5626" s="97">
        <v>3177</v>
      </c>
      <c r="H5626" s="367">
        <f t="shared" si="715"/>
        <v>6757.5</v>
      </c>
      <c r="I5626" s="368">
        <f t="shared" si="716"/>
        <v>0</v>
      </c>
      <c r="J5626">
        <v>10550</v>
      </c>
      <c r="K5626" s="367">
        <f t="shared" si="717"/>
        <v>7535.7142857142862</v>
      </c>
      <c r="L5626">
        <v>0.75</v>
      </c>
      <c r="M5626">
        <v>1.4000000000000001</v>
      </c>
      <c r="N5626">
        <v>32</v>
      </c>
      <c r="O5626">
        <v>10</v>
      </c>
      <c r="P5626" t="s">
        <v>515</v>
      </c>
      <c r="Q5626" s="97" t="str">
        <f t="shared" si="718"/>
        <v/>
      </c>
      <c r="R5626" t="str">
        <f t="shared" si="719"/>
        <v/>
      </c>
    </row>
    <row r="5627" spans="3:18">
      <c r="C5627" t="str">
        <f t="shared" si="713"/>
        <v>NL</v>
      </c>
      <c r="D5627">
        <v>276</v>
      </c>
      <c r="E5627">
        <v>170</v>
      </c>
      <c r="F5627" s="366">
        <f t="shared" si="714"/>
        <v>3689</v>
      </c>
      <c r="G5627" s="97">
        <v>3183</v>
      </c>
      <c r="H5627" s="367">
        <f t="shared" si="715"/>
        <v>6872</v>
      </c>
      <c r="I5627" s="368">
        <f t="shared" si="716"/>
        <v>0</v>
      </c>
      <c r="J5627">
        <v>10570</v>
      </c>
      <c r="K5627" s="367">
        <f t="shared" si="717"/>
        <v>7550</v>
      </c>
      <c r="L5627">
        <v>0.94000000000000006</v>
      </c>
      <c r="M5627">
        <v>9.6</v>
      </c>
      <c r="N5627">
        <v>32</v>
      </c>
      <c r="O5627">
        <v>9</v>
      </c>
      <c r="P5627" t="s">
        <v>515</v>
      </c>
      <c r="Q5627" s="97" t="str">
        <f t="shared" si="718"/>
        <v/>
      </c>
      <c r="R5627" t="str">
        <f t="shared" si="719"/>
        <v/>
      </c>
    </row>
    <row r="5628" spans="3:18">
      <c r="C5628" t="str">
        <f t="shared" si="713"/>
        <v/>
      </c>
      <c r="D5628">
        <v>277</v>
      </c>
      <c r="E5628">
        <v>170</v>
      </c>
      <c r="F5628" s="366">
        <f t="shared" si="714"/>
        <v>3689</v>
      </c>
      <c r="G5628" s="97">
        <v>3246</v>
      </c>
      <c r="H5628" s="367">
        <f t="shared" si="715"/>
        <v>6935</v>
      </c>
      <c r="I5628" s="368">
        <f t="shared" si="716"/>
        <v>0</v>
      </c>
      <c r="J5628">
        <v>10781</v>
      </c>
      <c r="K5628" s="367">
        <f t="shared" si="717"/>
        <v>7700.7142857142862</v>
      </c>
      <c r="L5628">
        <v>0.8</v>
      </c>
      <c r="M5628">
        <v>1.4000000000000001</v>
      </c>
      <c r="N5628">
        <v>32</v>
      </c>
      <c r="O5628">
        <v>10</v>
      </c>
      <c r="P5628" t="s">
        <v>515</v>
      </c>
      <c r="Q5628" s="97" t="str">
        <f t="shared" si="718"/>
        <v/>
      </c>
      <c r="R5628" t="str">
        <f t="shared" si="719"/>
        <v/>
      </c>
    </row>
    <row r="5629" spans="3:18">
      <c r="C5629" t="str">
        <f t="shared" si="713"/>
        <v>NL</v>
      </c>
      <c r="D5629">
        <v>278</v>
      </c>
      <c r="E5629">
        <v>175</v>
      </c>
      <c r="F5629" s="366">
        <f t="shared" si="714"/>
        <v>3797.5</v>
      </c>
      <c r="G5629" s="97">
        <v>3253</v>
      </c>
      <c r="H5629" s="367">
        <f t="shared" si="715"/>
        <v>7050.5</v>
      </c>
      <c r="I5629" s="368">
        <f t="shared" si="716"/>
        <v>0</v>
      </c>
      <c r="J5629">
        <v>10804</v>
      </c>
      <c r="K5629" s="367">
        <f t="shared" si="717"/>
        <v>7717.1428571428569</v>
      </c>
      <c r="L5629">
        <v>1</v>
      </c>
      <c r="M5629">
        <v>9.6</v>
      </c>
      <c r="N5629">
        <v>32</v>
      </c>
      <c r="O5629">
        <v>9</v>
      </c>
      <c r="P5629" t="s">
        <v>515</v>
      </c>
      <c r="Q5629" s="97" t="str">
        <f t="shared" si="718"/>
        <v/>
      </c>
      <c r="R5629" t="str">
        <f t="shared" si="719"/>
        <v/>
      </c>
    </row>
    <row r="5630" spans="3:18">
      <c r="C5630" t="str">
        <f t="shared" si="713"/>
        <v/>
      </c>
      <c r="D5630">
        <v>279</v>
      </c>
      <c r="E5630">
        <v>175</v>
      </c>
      <c r="F5630" s="366">
        <f t="shared" si="714"/>
        <v>3797.5</v>
      </c>
      <c r="G5630" s="97">
        <v>3316</v>
      </c>
      <c r="H5630" s="367">
        <f t="shared" si="715"/>
        <v>7113.5</v>
      </c>
      <c r="I5630" s="368">
        <f t="shared" si="716"/>
        <v>0</v>
      </c>
      <c r="J5630">
        <v>11012</v>
      </c>
      <c r="K5630" s="367">
        <f t="shared" si="717"/>
        <v>7865.7142857142862</v>
      </c>
      <c r="L5630">
        <v>0.84</v>
      </c>
      <c r="M5630">
        <v>1.4000000000000001</v>
      </c>
      <c r="N5630">
        <v>32</v>
      </c>
      <c r="O5630">
        <v>10</v>
      </c>
      <c r="P5630" t="s">
        <v>515</v>
      </c>
      <c r="Q5630" s="97" t="str">
        <f t="shared" si="718"/>
        <v/>
      </c>
      <c r="R5630" t="str">
        <f t="shared" si="719"/>
        <v/>
      </c>
    </row>
    <row r="5631" spans="3:18">
      <c r="C5631" t="str">
        <f t="shared" si="713"/>
        <v/>
      </c>
      <c r="D5631">
        <v>280</v>
      </c>
      <c r="E5631">
        <v>180</v>
      </c>
      <c r="F5631" s="366">
        <f t="shared" si="714"/>
        <v>3906</v>
      </c>
      <c r="G5631" s="97">
        <v>3385</v>
      </c>
      <c r="H5631" s="367">
        <f t="shared" si="715"/>
        <v>7291</v>
      </c>
      <c r="I5631" s="368">
        <f t="shared" si="716"/>
        <v>0</v>
      </c>
      <c r="J5631">
        <v>11243</v>
      </c>
      <c r="K5631" s="367">
        <f t="shared" si="717"/>
        <v>8030.7142857142862</v>
      </c>
      <c r="L5631">
        <v>0.89</v>
      </c>
      <c r="M5631">
        <v>1.4000000000000001</v>
      </c>
      <c r="N5631">
        <v>33</v>
      </c>
      <c r="O5631">
        <v>10</v>
      </c>
      <c r="P5631" t="s">
        <v>515</v>
      </c>
      <c r="Q5631" s="97" t="str">
        <f t="shared" si="718"/>
        <v/>
      </c>
      <c r="R5631" t="str">
        <f t="shared" si="719"/>
        <v/>
      </c>
    </row>
    <row r="5632" spans="3:18">
      <c r="C5632" t="str">
        <f t="shared" si="713"/>
        <v/>
      </c>
      <c r="D5632">
        <v>281</v>
      </c>
      <c r="E5632">
        <v>185</v>
      </c>
      <c r="F5632" s="366">
        <f t="shared" si="714"/>
        <v>4014.5</v>
      </c>
      <c r="G5632" s="97">
        <v>3455</v>
      </c>
      <c r="H5632" s="367">
        <f t="shared" si="715"/>
        <v>7469.5</v>
      </c>
      <c r="I5632" s="368">
        <f t="shared" si="716"/>
        <v>0</v>
      </c>
      <c r="J5632">
        <v>11473</v>
      </c>
      <c r="K5632" s="367">
        <f t="shared" si="717"/>
        <v>8195</v>
      </c>
      <c r="L5632">
        <v>0.94000000000000006</v>
      </c>
      <c r="M5632">
        <v>1.4000000000000001</v>
      </c>
      <c r="N5632">
        <v>33</v>
      </c>
      <c r="O5632">
        <v>10</v>
      </c>
      <c r="P5632" t="s">
        <v>515</v>
      </c>
      <c r="Q5632" s="97" t="str">
        <f t="shared" si="718"/>
        <v/>
      </c>
      <c r="R5632" t="str">
        <f t="shared" si="719"/>
        <v/>
      </c>
    </row>
    <row r="5633" spans="2:18">
      <c r="C5633" t="str">
        <f t="shared" si="713"/>
        <v/>
      </c>
      <c r="D5633">
        <v>282</v>
      </c>
      <c r="E5633">
        <v>190</v>
      </c>
      <c r="F5633" s="366">
        <f t="shared" si="714"/>
        <v>4123</v>
      </c>
      <c r="G5633" s="97">
        <v>3524</v>
      </c>
      <c r="H5633" s="367">
        <f t="shared" si="715"/>
        <v>7647</v>
      </c>
      <c r="I5633" s="368">
        <f t="shared" si="716"/>
        <v>0</v>
      </c>
      <c r="J5633">
        <v>11704</v>
      </c>
      <c r="K5633" s="367">
        <f t="shared" si="717"/>
        <v>8360</v>
      </c>
      <c r="L5633">
        <v>0.99</v>
      </c>
      <c r="M5633">
        <v>1.4000000000000001</v>
      </c>
      <c r="N5633">
        <v>33</v>
      </c>
      <c r="O5633">
        <v>10</v>
      </c>
      <c r="P5633" t="s">
        <v>515</v>
      </c>
      <c r="Q5633" s="97" t="str">
        <f t="shared" si="718"/>
        <v/>
      </c>
      <c r="R5633" t="str">
        <f t="shared" si="719"/>
        <v/>
      </c>
    </row>
    <row r="5634" spans="2:18">
      <c r="C5634" t="str">
        <f t="shared" si="713"/>
        <v/>
      </c>
      <c r="D5634">
        <v>283</v>
      </c>
      <c r="E5634">
        <v>195</v>
      </c>
      <c r="F5634" s="366">
        <f t="shared" si="714"/>
        <v>4231.5</v>
      </c>
      <c r="G5634" s="97">
        <v>3594</v>
      </c>
      <c r="H5634" s="367">
        <f t="shared" si="715"/>
        <v>7825.5</v>
      </c>
      <c r="I5634" s="368">
        <f t="shared" si="716"/>
        <v>0</v>
      </c>
      <c r="J5634">
        <v>11935</v>
      </c>
      <c r="K5634" s="367">
        <f t="shared" si="717"/>
        <v>8525</v>
      </c>
      <c r="L5634">
        <v>1.05</v>
      </c>
      <c r="M5634">
        <v>1.4000000000000001</v>
      </c>
      <c r="N5634">
        <v>34</v>
      </c>
      <c r="O5634">
        <v>10</v>
      </c>
      <c r="P5634" t="s">
        <v>515</v>
      </c>
      <c r="Q5634" s="97" t="str">
        <f t="shared" si="718"/>
        <v/>
      </c>
      <c r="R5634" t="str">
        <f t="shared" si="719"/>
        <v/>
      </c>
    </row>
    <row r="5635" spans="2:18">
      <c r="B5635" s="582"/>
      <c r="F5635" s="366"/>
      <c r="H5635" s="367"/>
      <c r="I5635" s="368"/>
      <c r="K5635" s="367"/>
      <c r="Q5635" s="97"/>
    </row>
    <row r="5636" spans="2:18">
      <c r="B5636" s="582"/>
      <c r="C5636" t="str">
        <f t="shared" ref="C5636:C5689" si="720">IF(OR($O$4=0,O5636-$O$4=0),IF(AND(ISEVEN(O5636)=FALSE,$N$4="Even"),"NL",""),"NL")</f>
        <v>NL</v>
      </c>
      <c r="D5636">
        <v>1</v>
      </c>
      <c r="E5636">
        <v>10</v>
      </c>
      <c r="F5636" s="366">
        <f t="shared" ref="F5636" si="721">1.085*($A$2-$B$2)*E5636*$T$7</f>
        <v>217</v>
      </c>
      <c r="G5636" s="97">
        <v>920</v>
      </c>
      <c r="H5636" s="367">
        <f t="shared" ref="H5636" si="722">(G5636*$U$7)+F5636</f>
        <v>1137</v>
      </c>
      <c r="I5636" s="368">
        <f t="shared" ref="I5636" si="723">1.085*($C$2-$D$2)*E5636*$T$7</f>
        <v>0</v>
      </c>
      <c r="J5636">
        <v>3853</v>
      </c>
      <c r="K5636" s="367">
        <f t="shared" ref="K5636" si="724">(J5636*$V$7)-I5636</f>
        <v>2752.1428571428573</v>
      </c>
      <c r="L5636" s="69">
        <v>0.31</v>
      </c>
      <c r="M5636">
        <v>2.4</v>
      </c>
      <c r="N5636" s="381">
        <v>15</v>
      </c>
      <c r="O5636">
        <v>3</v>
      </c>
      <c r="P5636" t="s">
        <v>513</v>
      </c>
      <c r="Q5636" s="97" t="str">
        <f t="shared" ref="Q5636" si="725">IF(AND(H5636+1&gt;$E$4,L5636&lt;$L$4+0.01,M5636&lt;$M$4+0.01,K5636+1&gt;$F$4,E5636+1&gt;$J$4,N5636&lt;$K$4+1,O5636&lt;$P$4+1,C5636=""),D5636,"")</f>
        <v/>
      </c>
      <c r="R5636" t="str">
        <f>IF(Q5636="","",IF(AND(O5636&lt;$X$24,E5636&gt;$U$24,E5636&lt;$Q$4+$U$24+1),D5636,""))</f>
        <v/>
      </c>
    </row>
    <row r="5637" spans="2:18">
      <c r="C5637" t="str">
        <f t="shared" si="720"/>
        <v>NL</v>
      </c>
      <c r="D5637">
        <v>2</v>
      </c>
      <c r="E5637">
        <v>10</v>
      </c>
      <c r="F5637" s="366">
        <f t="shared" ref="F5637:F5700" si="726">1.085*($A$2-$B$2)*E5637*$T$7</f>
        <v>217</v>
      </c>
      <c r="G5637" s="97">
        <v>1135</v>
      </c>
      <c r="H5637" s="367">
        <f t="shared" ref="H5637:H5700" si="727">(G5637*$U$7)+F5637</f>
        <v>1352</v>
      </c>
      <c r="I5637" s="368">
        <f t="shared" ref="I5637:I5700" si="728">1.085*($C$2-$D$2)*E5637*$T$7</f>
        <v>0</v>
      </c>
      <c r="J5637">
        <v>4752</v>
      </c>
      <c r="K5637" s="367">
        <f t="shared" ref="K5637:K5700" si="729">(J5637*$V$7)-I5637</f>
        <v>3394.2857142857142</v>
      </c>
      <c r="L5637" s="69">
        <v>0.75</v>
      </c>
      <c r="M5637">
        <v>2.4</v>
      </c>
      <c r="N5637" s="381">
        <v>19</v>
      </c>
      <c r="O5637">
        <v>3</v>
      </c>
      <c r="P5637" t="s">
        <v>512</v>
      </c>
      <c r="Q5637" s="97" t="str">
        <f t="shared" ref="Q5637:Q5700" si="730">IF(AND(H5637+1&gt;$E$4,L5637&lt;$L$4+0.01,M5637&lt;$M$4+0.01,K5637+1&gt;$F$4,E5637+1&gt;$J$4,N5637&lt;$K$4+1,O5637&lt;$P$4+1,C5637=""),D5637,"")</f>
        <v/>
      </c>
      <c r="R5637" t="str">
        <f t="shared" ref="R5637:R5700" si="731">IF(Q5637="","",IF(AND(O5637&lt;$X$24,E5637&gt;$U$24,E5637&lt;$Q$4+$U$24+1),D5637,""))</f>
        <v/>
      </c>
    </row>
    <row r="5638" spans="2:18">
      <c r="C5638" t="str">
        <f t="shared" si="720"/>
        <v/>
      </c>
      <c r="D5638">
        <v>3</v>
      </c>
      <c r="E5638">
        <v>10</v>
      </c>
      <c r="F5638" s="366">
        <f t="shared" si="726"/>
        <v>217</v>
      </c>
      <c r="G5638" s="97">
        <v>936</v>
      </c>
      <c r="H5638" s="367">
        <f t="shared" si="727"/>
        <v>1153</v>
      </c>
      <c r="I5638" s="368">
        <f t="shared" si="728"/>
        <v>0</v>
      </c>
      <c r="J5638">
        <v>3919</v>
      </c>
      <c r="K5638" s="367">
        <f t="shared" si="729"/>
        <v>2799.2857142857142</v>
      </c>
      <c r="L5638" s="69">
        <v>0.17</v>
      </c>
      <c r="M5638">
        <v>3.1</v>
      </c>
      <c r="N5638" s="381">
        <v>15</v>
      </c>
      <c r="O5638">
        <v>4</v>
      </c>
      <c r="P5638" t="s">
        <v>513</v>
      </c>
      <c r="Q5638" s="97" t="str">
        <f t="shared" si="730"/>
        <v/>
      </c>
      <c r="R5638" t="str">
        <f t="shared" si="731"/>
        <v/>
      </c>
    </row>
    <row r="5639" spans="2:18">
      <c r="C5639" t="str">
        <f t="shared" si="720"/>
        <v/>
      </c>
      <c r="D5639">
        <v>4</v>
      </c>
      <c r="E5639">
        <v>10</v>
      </c>
      <c r="F5639" s="366">
        <f t="shared" si="726"/>
        <v>217</v>
      </c>
      <c r="G5639" s="97">
        <v>1164</v>
      </c>
      <c r="H5639" s="367">
        <f t="shared" si="727"/>
        <v>1381</v>
      </c>
      <c r="I5639" s="368">
        <f t="shared" si="728"/>
        <v>0</v>
      </c>
      <c r="J5639">
        <v>4872</v>
      </c>
      <c r="K5639" s="367">
        <f t="shared" si="729"/>
        <v>3480</v>
      </c>
      <c r="L5639" s="69">
        <v>0.39</v>
      </c>
      <c r="M5639">
        <v>3.1</v>
      </c>
      <c r="N5639" s="381">
        <v>16</v>
      </c>
      <c r="O5639">
        <v>4</v>
      </c>
      <c r="P5639" t="s">
        <v>512</v>
      </c>
      <c r="Q5639" s="97" t="str">
        <f t="shared" si="730"/>
        <v/>
      </c>
      <c r="R5639" t="str">
        <f t="shared" si="731"/>
        <v/>
      </c>
    </row>
    <row r="5640" spans="2:18">
      <c r="C5640" t="str">
        <f t="shared" si="720"/>
        <v>NL</v>
      </c>
      <c r="D5640">
        <v>5</v>
      </c>
      <c r="E5640">
        <v>10</v>
      </c>
      <c r="F5640" s="366">
        <f t="shared" si="726"/>
        <v>217</v>
      </c>
      <c r="G5640" s="97">
        <v>1001</v>
      </c>
      <c r="H5640" s="367">
        <f t="shared" si="727"/>
        <v>1218</v>
      </c>
      <c r="I5640" s="368">
        <f t="shared" si="728"/>
        <v>0</v>
      </c>
      <c r="J5640">
        <v>4192</v>
      </c>
      <c r="K5640" s="367">
        <f t="shared" si="729"/>
        <v>2994.2857142857142</v>
      </c>
      <c r="L5640" s="69">
        <v>0.25</v>
      </c>
      <c r="M5640">
        <v>3.8000000000000003</v>
      </c>
      <c r="N5640" s="381">
        <v>15</v>
      </c>
      <c r="O5640">
        <v>5</v>
      </c>
      <c r="P5640" t="s">
        <v>512</v>
      </c>
      <c r="Q5640" s="97" t="str">
        <f t="shared" si="730"/>
        <v/>
      </c>
      <c r="R5640" t="str">
        <f t="shared" si="731"/>
        <v/>
      </c>
    </row>
    <row r="5641" spans="2:18">
      <c r="C5641" t="str">
        <f t="shared" si="720"/>
        <v/>
      </c>
      <c r="D5641">
        <v>6</v>
      </c>
      <c r="E5641">
        <v>10</v>
      </c>
      <c r="F5641" s="366">
        <f t="shared" si="726"/>
        <v>217</v>
      </c>
      <c r="G5641" s="97">
        <v>1016</v>
      </c>
      <c r="H5641" s="367">
        <f t="shared" si="727"/>
        <v>1233</v>
      </c>
      <c r="I5641" s="368">
        <f t="shared" si="728"/>
        <v>0</v>
      </c>
      <c r="J5641">
        <v>4253</v>
      </c>
      <c r="K5641" s="367">
        <f t="shared" si="729"/>
        <v>3037.8571428571431</v>
      </c>
      <c r="L5641" s="69">
        <v>0.18000000000000002</v>
      </c>
      <c r="M5641">
        <v>4.3999999999999995</v>
      </c>
      <c r="N5641" s="381">
        <v>15</v>
      </c>
      <c r="O5641">
        <v>6</v>
      </c>
      <c r="P5641" t="s">
        <v>512</v>
      </c>
      <c r="Q5641" s="97" t="str">
        <f t="shared" si="730"/>
        <v/>
      </c>
      <c r="R5641" t="str">
        <f t="shared" si="731"/>
        <v/>
      </c>
    </row>
    <row r="5642" spans="2:18">
      <c r="C5642" t="str">
        <f t="shared" si="720"/>
        <v>NL</v>
      </c>
      <c r="D5642">
        <v>7</v>
      </c>
      <c r="E5642">
        <v>15</v>
      </c>
      <c r="F5642" s="366">
        <f t="shared" si="726"/>
        <v>325.5</v>
      </c>
      <c r="G5642" s="97">
        <v>1163</v>
      </c>
      <c r="H5642" s="367">
        <f t="shared" si="727"/>
        <v>1488.5</v>
      </c>
      <c r="I5642" s="368">
        <f t="shared" si="728"/>
        <v>0</v>
      </c>
      <c r="J5642">
        <v>4870</v>
      </c>
      <c r="K5642" s="367">
        <f t="shared" si="729"/>
        <v>3478.5714285714284</v>
      </c>
      <c r="L5642" s="69">
        <v>0.18000000000000002</v>
      </c>
      <c r="M5642">
        <v>2.4</v>
      </c>
      <c r="N5642" s="381">
        <v>15</v>
      </c>
      <c r="O5642">
        <v>3</v>
      </c>
      <c r="P5642" t="s">
        <v>514</v>
      </c>
      <c r="Q5642" s="97" t="str">
        <f t="shared" si="730"/>
        <v/>
      </c>
      <c r="R5642" t="str">
        <f t="shared" si="731"/>
        <v/>
      </c>
    </row>
    <row r="5643" spans="2:18">
      <c r="C5643" t="str">
        <f t="shared" si="720"/>
        <v>NL</v>
      </c>
      <c r="D5643">
        <v>8</v>
      </c>
      <c r="E5643">
        <v>15</v>
      </c>
      <c r="F5643" s="366">
        <f t="shared" si="726"/>
        <v>325.5</v>
      </c>
      <c r="G5643" s="97">
        <v>1317</v>
      </c>
      <c r="H5643" s="367">
        <f t="shared" si="727"/>
        <v>1642.5</v>
      </c>
      <c r="I5643" s="368">
        <f t="shared" si="728"/>
        <v>0</v>
      </c>
      <c r="J5643">
        <v>5514</v>
      </c>
      <c r="K5643" s="367">
        <f t="shared" si="729"/>
        <v>3938.5714285714284</v>
      </c>
      <c r="L5643" s="69">
        <v>0.7</v>
      </c>
      <c r="M5643">
        <v>2.4</v>
      </c>
      <c r="N5643" s="381">
        <v>19</v>
      </c>
      <c r="O5643">
        <v>3</v>
      </c>
      <c r="P5643" t="s">
        <v>513</v>
      </c>
      <c r="Q5643" s="97" t="str">
        <f t="shared" si="730"/>
        <v/>
      </c>
      <c r="R5643" t="str">
        <f t="shared" si="731"/>
        <v/>
      </c>
    </row>
    <row r="5644" spans="2:18">
      <c r="C5644" t="str">
        <f t="shared" si="720"/>
        <v>NL</v>
      </c>
      <c r="D5644">
        <v>9</v>
      </c>
      <c r="E5644">
        <v>15</v>
      </c>
      <c r="F5644" s="366">
        <f t="shared" si="726"/>
        <v>325.5</v>
      </c>
      <c r="G5644" s="97">
        <v>1317</v>
      </c>
      <c r="H5644" s="367">
        <f t="shared" si="727"/>
        <v>1642.5</v>
      </c>
      <c r="I5644" s="368">
        <f t="shared" si="728"/>
        <v>0</v>
      </c>
      <c r="J5644">
        <v>5514</v>
      </c>
      <c r="K5644" s="367">
        <f t="shared" si="729"/>
        <v>3938.5714285714284</v>
      </c>
      <c r="L5644" s="69">
        <v>0.7</v>
      </c>
      <c r="M5644">
        <v>2.4</v>
      </c>
      <c r="N5644" s="381">
        <v>19</v>
      </c>
      <c r="O5644">
        <v>3</v>
      </c>
      <c r="P5644" t="s">
        <v>513</v>
      </c>
      <c r="Q5644" s="97" t="str">
        <f t="shared" si="730"/>
        <v/>
      </c>
      <c r="R5644" t="str">
        <f t="shared" si="731"/>
        <v/>
      </c>
    </row>
    <row r="5645" spans="2:18">
      <c r="C5645" t="str">
        <f t="shared" si="720"/>
        <v/>
      </c>
      <c r="D5645">
        <v>10</v>
      </c>
      <c r="E5645">
        <v>15</v>
      </c>
      <c r="F5645" s="366">
        <f t="shared" si="726"/>
        <v>325.5</v>
      </c>
      <c r="G5645" s="97">
        <v>1353</v>
      </c>
      <c r="H5645" s="367">
        <f t="shared" si="727"/>
        <v>1678.5</v>
      </c>
      <c r="I5645" s="368">
        <f t="shared" si="728"/>
        <v>0</v>
      </c>
      <c r="J5645">
        <v>5663</v>
      </c>
      <c r="K5645" s="367">
        <f t="shared" si="729"/>
        <v>4045</v>
      </c>
      <c r="L5645" s="69">
        <v>0.37</v>
      </c>
      <c r="M5645">
        <v>3.1</v>
      </c>
      <c r="N5645" s="381">
        <v>16</v>
      </c>
      <c r="O5645">
        <v>4</v>
      </c>
      <c r="P5645" t="s">
        <v>513</v>
      </c>
      <c r="Q5645" s="97" t="str">
        <f t="shared" si="730"/>
        <v/>
      </c>
      <c r="R5645" t="str">
        <f t="shared" si="731"/>
        <v/>
      </c>
    </row>
    <row r="5646" spans="2:18">
      <c r="C5646" t="str">
        <f t="shared" si="720"/>
        <v/>
      </c>
      <c r="D5646">
        <v>11</v>
      </c>
      <c r="E5646">
        <v>15</v>
      </c>
      <c r="F5646" s="366">
        <f t="shared" si="726"/>
        <v>325.5</v>
      </c>
      <c r="G5646" s="97">
        <v>1660</v>
      </c>
      <c r="H5646" s="367">
        <f t="shared" si="727"/>
        <v>1985.5</v>
      </c>
      <c r="I5646" s="368">
        <f t="shared" si="728"/>
        <v>0</v>
      </c>
      <c r="J5646">
        <v>6950</v>
      </c>
      <c r="K5646" s="367">
        <f t="shared" si="729"/>
        <v>4964.2857142857147</v>
      </c>
      <c r="L5646" s="69">
        <v>0.88</v>
      </c>
      <c r="M5646">
        <v>3.1</v>
      </c>
      <c r="N5646" s="381">
        <v>21</v>
      </c>
      <c r="O5646">
        <v>4</v>
      </c>
      <c r="P5646" t="s">
        <v>512</v>
      </c>
      <c r="Q5646" s="97" t="str">
        <f t="shared" si="730"/>
        <v/>
      </c>
      <c r="R5646" t="str">
        <f t="shared" si="731"/>
        <v/>
      </c>
    </row>
    <row r="5647" spans="2:18">
      <c r="C5647" t="str">
        <f t="shared" si="720"/>
        <v>NL</v>
      </c>
      <c r="D5647">
        <v>12</v>
      </c>
      <c r="E5647">
        <v>15</v>
      </c>
      <c r="F5647" s="366">
        <f t="shared" si="726"/>
        <v>325.5</v>
      </c>
      <c r="G5647" s="97">
        <v>1173</v>
      </c>
      <c r="H5647" s="367">
        <f t="shared" si="727"/>
        <v>1498.5</v>
      </c>
      <c r="I5647" s="368">
        <f t="shared" si="728"/>
        <v>0</v>
      </c>
      <c r="J5647">
        <v>4909</v>
      </c>
      <c r="K5647" s="367">
        <f t="shared" si="729"/>
        <v>3506.4285714285716</v>
      </c>
      <c r="L5647" s="69">
        <v>0.24000000000000002</v>
      </c>
      <c r="M5647">
        <v>3.8000000000000003</v>
      </c>
      <c r="N5647" s="381">
        <v>15</v>
      </c>
      <c r="O5647">
        <v>5</v>
      </c>
      <c r="P5647" t="s">
        <v>513</v>
      </c>
      <c r="Q5647" s="97" t="str">
        <f t="shared" si="730"/>
        <v/>
      </c>
      <c r="R5647" t="str">
        <f t="shared" si="731"/>
        <v/>
      </c>
    </row>
    <row r="5648" spans="2:18">
      <c r="C5648" t="str">
        <f t="shared" si="720"/>
        <v>NL</v>
      </c>
      <c r="D5648">
        <v>13</v>
      </c>
      <c r="E5648">
        <v>15</v>
      </c>
      <c r="F5648" s="366">
        <f t="shared" si="726"/>
        <v>325.5</v>
      </c>
      <c r="G5648" s="97">
        <v>1443</v>
      </c>
      <c r="H5648" s="367">
        <f t="shared" si="727"/>
        <v>1768.5</v>
      </c>
      <c r="I5648" s="368">
        <f t="shared" si="728"/>
        <v>0</v>
      </c>
      <c r="J5648">
        <v>6040</v>
      </c>
      <c r="K5648" s="367">
        <f t="shared" si="729"/>
        <v>4314.2857142857147</v>
      </c>
      <c r="L5648" s="69">
        <v>0.56000000000000005</v>
      </c>
      <c r="M5648">
        <v>3.8000000000000003</v>
      </c>
      <c r="N5648" s="381">
        <v>20</v>
      </c>
      <c r="O5648">
        <v>5</v>
      </c>
      <c r="P5648" t="s">
        <v>512</v>
      </c>
      <c r="Q5648" s="97" t="str">
        <f t="shared" si="730"/>
        <v/>
      </c>
      <c r="R5648" t="str">
        <f t="shared" si="731"/>
        <v/>
      </c>
    </row>
    <row r="5649" spans="3:18">
      <c r="C5649" t="str">
        <f t="shared" si="720"/>
        <v/>
      </c>
      <c r="D5649">
        <v>14</v>
      </c>
      <c r="E5649">
        <v>15</v>
      </c>
      <c r="F5649" s="366">
        <f t="shared" si="726"/>
        <v>325.5</v>
      </c>
      <c r="G5649" s="97">
        <v>1187</v>
      </c>
      <c r="H5649" s="367">
        <f t="shared" si="727"/>
        <v>1512.5</v>
      </c>
      <c r="I5649" s="368">
        <f t="shared" si="728"/>
        <v>0</v>
      </c>
      <c r="J5649">
        <v>4969</v>
      </c>
      <c r="K5649" s="367">
        <f t="shared" si="729"/>
        <v>3549.2857142857142</v>
      </c>
      <c r="L5649" s="69">
        <v>0.17</v>
      </c>
      <c r="M5649">
        <v>4.3999999999999995</v>
      </c>
      <c r="N5649" s="381">
        <v>15</v>
      </c>
      <c r="O5649">
        <v>6</v>
      </c>
      <c r="P5649" t="s">
        <v>513</v>
      </c>
      <c r="Q5649" s="97" t="str">
        <f t="shared" si="730"/>
        <v/>
      </c>
      <c r="R5649" t="str">
        <f t="shared" si="731"/>
        <v/>
      </c>
    </row>
    <row r="5650" spans="3:18">
      <c r="C5650" t="str">
        <f t="shared" si="720"/>
        <v/>
      </c>
      <c r="D5650">
        <v>15</v>
      </c>
      <c r="E5650">
        <v>15</v>
      </c>
      <c r="F5650" s="366">
        <f t="shared" si="726"/>
        <v>325.5</v>
      </c>
      <c r="G5650" s="97">
        <v>1472</v>
      </c>
      <c r="H5650" s="367">
        <f t="shared" si="727"/>
        <v>1797.5</v>
      </c>
      <c r="I5650" s="368">
        <f t="shared" si="728"/>
        <v>0</v>
      </c>
      <c r="J5650">
        <v>6163</v>
      </c>
      <c r="K5650" s="367">
        <f t="shared" si="729"/>
        <v>4402.1428571428569</v>
      </c>
      <c r="L5650" s="69">
        <v>0.4</v>
      </c>
      <c r="M5650">
        <v>4.3999999999999995</v>
      </c>
      <c r="N5650" s="381">
        <v>19</v>
      </c>
      <c r="O5650">
        <v>6</v>
      </c>
      <c r="P5650" t="s">
        <v>512</v>
      </c>
      <c r="Q5650" s="97" t="str">
        <f t="shared" si="730"/>
        <v/>
      </c>
      <c r="R5650" t="str">
        <f t="shared" si="731"/>
        <v/>
      </c>
    </row>
    <row r="5651" spans="3:18">
      <c r="C5651" t="str">
        <f t="shared" si="720"/>
        <v>NL</v>
      </c>
      <c r="D5651">
        <v>16</v>
      </c>
      <c r="E5651">
        <v>20</v>
      </c>
      <c r="F5651" s="366">
        <f t="shared" si="726"/>
        <v>434</v>
      </c>
      <c r="G5651" s="97">
        <v>1493</v>
      </c>
      <c r="H5651" s="367">
        <f t="shared" si="727"/>
        <v>1927</v>
      </c>
      <c r="I5651" s="368">
        <f t="shared" si="728"/>
        <v>0</v>
      </c>
      <c r="J5651">
        <v>6249</v>
      </c>
      <c r="K5651" s="367">
        <f t="shared" si="729"/>
        <v>4463.5714285714284</v>
      </c>
      <c r="L5651" s="69">
        <v>0.31</v>
      </c>
      <c r="M5651">
        <v>2.4</v>
      </c>
      <c r="N5651" s="381">
        <v>15</v>
      </c>
      <c r="O5651">
        <v>3</v>
      </c>
      <c r="P5651" t="s">
        <v>514</v>
      </c>
      <c r="Q5651" s="97" t="str">
        <f t="shared" si="730"/>
        <v/>
      </c>
      <c r="R5651" t="str">
        <f t="shared" si="731"/>
        <v/>
      </c>
    </row>
    <row r="5652" spans="3:18">
      <c r="C5652" t="str">
        <f t="shared" si="720"/>
        <v>NL</v>
      </c>
      <c r="D5652">
        <v>17</v>
      </c>
      <c r="E5652">
        <v>20</v>
      </c>
      <c r="F5652" s="366">
        <f t="shared" si="726"/>
        <v>434</v>
      </c>
      <c r="G5652" s="97">
        <v>1683</v>
      </c>
      <c r="H5652" s="367">
        <f t="shared" si="727"/>
        <v>2117</v>
      </c>
      <c r="I5652" s="368">
        <f t="shared" si="728"/>
        <v>0</v>
      </c>
      <c r="J5652">
        <v>7044</v>
      </c>
      <c r="K5652" s="367">
        <f t="shared" si="729"/>
        <v>5031.4285714285716</v>
      </c>
      <c r="L5652" s="69">
        <v>1.23</v>
      </c>
      <c r="M5652">
        <v>2.4</v>
      </c>
      <c r="N5652" s="381">
        <v>23</v>
      </c>
      <c r="O5652">
        <v>3</v>
      </c>
      <c r="P5652" t="s">
        <v>513</v>
      </c>
      <c r="Q5652" s="97" t="str">
        <f t="shared" si="730"/>
        <v/>
      </c>
      <c r="R5652" t="str">
        <f t="shared" si="731"/>
        <v/>
      </c>
    </row>
    <row r="5653" spans="3:18">
      <c r="C5653" t="str">
        <f t="shared" si="720"/>
        <v/>
      </c>
      <c r="D5653">
        <v>18</v>
      </c>
      <c r="E5653">
        <v>20</v>
      </c>
      <c r="F5653" s="366">
        <f t="shared" si="726"/>
        <v>434</v>
      </c>
      <c r="G5653" s="97">
        <v>1536</v>
      </c>
      <c r="H5653" s="367">
        <f t="shared" si="727"/>
        <v>1970</v>
      </c>
      <c r="I5653" s="368">
        <f t="shared" si="728"/>
        <v>0</v>
      </c>
      <c r="J5653">
        <v>6431</v>
      </c>
      <c r="K5653" s="367">
        <f t="shared" si="729"/>
        <v>4593.5714285714284</v>
      </c>
      <c r="L5653" s="69">
        <v>0.17</v>
      </c>
      <c r="M5653">
        <v>3.1</v>
      </c>
      <c r="N5653" s="381">
        <v>15</v>
      </c>
      <c r="O5653">
        <v>4</v>
      </c>
      <c r="P5653" t="s">
        <v>514</v>
      </c>
      <c r="Q5653" s="97" t="str">
        <f t="shared" si="730"/>
        <v/>
      </c>
      <c r="R5653" t="str">
        <f t="shared" si="731"/>
        <v/>
      </c>
    </row>
    <row r="5654" spans="3:18">
      <c r="C5654" t="str">
        <f t="shared" si="720"/>
        <v/>
      </c>
      <c r="D5654">
        <v>19</v>
      </c>
      <c r="E5654">
        <v>20</v>
      </c>
      <c r="F5654" s="366">
        <f t="shared" si="726"/>
        <v>434</v>
      </c>
      <c r="G5654" s="97">
        <v>1738</v>
      </c>
      <c r="H5654" s="367">
        <f t="shared" si="727"/>
        <v>2172</v>
      </c>
      <c r="I5654" s="368">
        <f t="shared" si="728"/>
        <v>0</v>
      </c>
      <c r="J5654">
        <v>7276</v>
      </c>
      <c r="K5654" s="367">
        <f t="shared" si="729"/>
        <v>5197.1428571428569</v>
      </c>
      <c r="L5654" s="69">
        <v>0.65</v>
      </c>
      <c r="M5654">
        <v>3.1</v>
      </c>
      <c r="N5654" s="381">
        <v>20</v>
      </c>
      <c r="O5654">
        <v>4</v>
      </c>
      <c r="P5654" t="s">
        <v>513</v>
      </c>
      <c r="Q5654" s="97" t="str">
        <f t="shared" si="730"/>
        <v/>
      </c>
      <c r="R5654" t="str">
        <f t="shared" si="731"/>
        <v/>
      </c>
    </row>
    <row r="5655" spans="3:18">
      <c r="C5655" t="str">
        <f t="shared" si="720"/>
        <v>NL</v>
      </c>
      <c r="D5655">
        <v>20</v>
      </c>
      <c r="E5655">
        <v>20</v>
      </c>
      <c r="F5655" s="366">
        <f t="shared" si="726"/>
        <v>434</v>
      </c>
      <c r="G5655" s="97">
        <v>1513</v>
      </c>
      <c r="H5655" s="367">
        <f t="shared" si="727"/>
        <v>1947</v>
      </c>
      <c r="I5655" s="368">
        <f t="shared" si="728"/>
        <v>0</v>
      </c>
      <c r="J5655">
        <v>6332</v>
      </c>
      <c r="K5655" s="367">
        <f t="shared" si="729"/>
        <v>4522.8571428571431</v>
      </c>
      <c r="L5655" s="69">
        <v>0.42</v>
      </c>
      <c r="M5655">
        <v>3.8000000000000003</v>
      </c>
      <c r="N5655" s="381">
        <v>18</v>
      </c>
      <c r="O5655">
        <v>5</v>
      </c>
      <c r="P5655" t="s">
        <v>513</v>
      </c>
      <c r="Q5655" s="97" t="str">
        <f t="shared" si="730"/>
        <v/>
      </c>
      <c r="R5655" t="str">
        <f t="shared" si="731"/>
        <v/>
      </c>
    </row>
    <row r="5656" spans="3:18">
      <c r="C5656" t="str">
        <f t="shared" si="720"/>
        <v>NL</v>
      </c>
      <c r="D5656">
        <v>21</v>
      </c>
      <c r="E5656">
        <v>20</v>
      </c>
      <c r="F5656" s="366">
        <f t="shared" si="726"/>
        <v>434</v>
      </c>
      <c r="G5656" s="97">
        <v>1879</v>
      </c>
      <c r="H5656" s="367">
        <f t="shared" si="727"/>
        <v>2313</v>
      </c>
      <c r="I5656" s="368">
        <f t="shared" si="728"/>
        <v>0</v>
      </c>
      <c r="J5656">
        <v>7866</v>
      </c>
      <c r="K5656" s="367">
        <f t="shared" si="729"/>
        <v>5618.5714285714284</v>
      </c>
      <c r="L5656" s="69">
        <v>1</v>
      </c>
      <c r="M5656">
        <v>3.8000000000000003</v>
      </c>
      <c r="N5656" s="381">
        <v>24</v>
      </c>
      <c r="O5656">
        <v>5</v>
      </c>
      <c r="P5656" t="s">
        <v>512</v>
      </c>
      <c r="Q5656" s="97" t="str">
        <f t="shared" si="730"/>
        <v/>
      </c>
      <c r="R5656" t="str">
        <f t="shared" si="731"/>
        <v/>
      </c>
    </row>
    <row r="5657" spans="3:18">
      <c r="C5657" t="str">
        <f t="shared" si="720"/>
        <v/>
      </c>
      <c r="D5657">
        <v>22</v>
      </c>
      <c r="E5657">
        <v>20</v>
      </c>
      <c r="F5657" s="366">
        <f t="shared" si="726"/>
        <v>434</v>
      </c>
      <c r="G5657" s="97">
        <v>1548</v>
      </c>
      <c r="H5657" s="367">
        <f t="shared" si="727"/>
        <v>1982</v>
      </c>
      <c r="I5657" s="368">
        <f t="shared" si="728"/>
        <v>0</v>
      </c>
      <c r="J5657">
        <v>6481</v>
      </c>
      <c r="K5657" s="367">
        <f t="shared" si="729"/>
        <v>4629.2857142857147</v>
      </c>
      <c r="L5657" s="69">
        <v>0.3</v>
      </c>
      <c r="M5657">
        <v>4.3999999999999995</v>
      </c>
      <c r="N5657" s="381">
        <v>17</v>
      </c>
      <c r="O5657">
        <v>6</v>
      </c>
      <c r="P5657" t="s">
        <v>513</v>
      </c>
      <c r="Q5657" s="97" t="str">
        <f t="shared" si="730"/>
        <v/>
      </c>
      <c r="R5657" t="str">
        <f t="shared" si="731"/>
        <v/>
      </c>
    </row>
    <row r="5658" spans="3:18">
      <c r="C5658" t="str">
        <f t="shared" si="720"/>
        <v/>
      </c>
      <c r="D5658">
        <v>23</v>
      </c>
      <c r="E5658">
        <v>20</v>
      </c>
      <c r="F5658" s="366">
        <f t="shared" si="726"/>
        <v>434</v>
      </c>
      <c r="G5658" s="97">
        <v>1886</v>
      </c>
      <c r="H5658" s="367">
        <f t="shared" si="727"/>
        <v>2320</v>
      </c>
      <c r="I5658" s="368">
        <f t="shared" si="728"/>
        <v>0</v>
      </c>
      <c r="J5658">
        <v>7895</v>
      </c>
      <c r="K5658" s="367">
        <f t="shared" si="729"/>
        <v>5639.2857142857147</v>
      </c>
      <c r="L5658" s="69">
        <v>0.71</v>
      </c>
      <c r="M5658">
        <v>4.3999999999999995</v>
      </c>
      <c r="N5658" s="381">
        <v>23</v>
      </c>
      <c r="O5658">
        <v>6</v>
      </c>
      <c r="P5658" t="s">
        <v>512</v>
      </c>
      <c r="Q5658" s="97" t="str">
        <f t="shared" si="730"/>
        <v/>
      </c>
      <c r="R5658" t="str">
        <f t="shared" si="731"/>
        <v/>
      </c>
    </row>
    <row r="5659" spans="3:18">
      <c r="C5659" t="str">
        <f t="shared" si="720"/>
        <v>NL</v>
      </c>
      <c r="D5659">
        <v>24</v>
      </c>
      <c r="E5659">
        <v>25</v>
      </c>
      <c r="F5659" s="366">
        <f t="shared" si="726"/>
        <v>542.5</v>
      </c>
      <c r="G5659" s="97">
        <v>1420</v>
      </c>
      <c r="H5659" s="367">
        <f t="shared" si="727"/>
        <v>1962.5</v>
      </c>
      <c r="I5659" s="368">
        <f t="shared" si="728"/>
        <v>0</v>
      </c>
      <c r="J5659">
        <v>5943</v>
      </c>
      <c r="K5659" s="367">
        <f t="shared" si="729"/>
        <v>4245</v>
      </c>
      <c r="L5659" s="69">
        <v>0.18000000000000002</v>
      </c>
      <c r="M5659">
        <v>2.4</v>
      </c>
      <c r="N5659" s="381">
        <v>15</v>
      </c>
      <c r="O5659">
        <v>3</v>
      </c>
      <c r="P5659" t="s">
        <v>515</v>
      </c>
      <c r="Q5659" s="97" t="str">
        <f t="shared" si="730"/>
        <v/>
      </c>
      <c r="R5659" t="str">
        <f t="shared" si="731"/>
        <v/>
      </c>
    </row>
    <row r="5660" spans="3:18">
      <c r="C5660" t="str">
        <f t="shared" si="720"/>
        <v>NL</v>
      </c>
      <c r="D5660">
        <v>25</v>
      </c>
      <c r="E5660">
        <v>25</v>
      </c>
      <c r="F5660" s="366">
        <f t="shared" si="726"/>
        <v>542.5</v>
      </c>
      <c r="G5660" s="97">
        <v>1795</v>
      </c>
      <c r="H5660" s="367">
        <f t="shared" si="727"/>
        <v>2337.5</v>
      </c>
      <c r="I5660" s="368">
        <f t="shared" si="728"/>
        <v>0</v>
      </c>
      <c r="J5660">
        <v>7515</v>
      </c>
      <c r="K5660" s="367">
        <f t="shared" si="729"/>
        <v>5367.8571428571431</v>
      </c>
      <c r="L5660" s="69">
        <v>0.49</v>
      </c>
      <c r="M5660">
        <v>2.4</v>
      </c>
      <c r="N5660" s="381">
        <v>17</v>
      </c>
      <c r="O5660">
        <v>3</v>
      </c>
      <c r="P5660" t="s">
        <v>514</v>
      </c>
      <c r="Q5660" s="97" t="str">
        <f t="shared" si="730"/>
        <v/>
      </c>
      <c r="R5660" t="str">
        <f t="shared" si="731"/>
        <v/>
      </c>
    </row>
    <row r="5661" spans="3:18">
      <c r="C5661" t="str">
        <f t="shared" si="720"/>
        <v/>
      </c>
      <c r="D5661">
        <v>26</v>
      </c>
      <c r="E5661">
        <v>25</v>
      </c>
      <c r="F5661" s="366">
        <f t="shared" si="726"/>
        <v>542.5</v>
      </c>
      <c r="G5661" s="97">
        <v>1861</v>
      </c>
      <c r="H5661" s="367">
        <f t="shared" si="727"/>
        <v>2403.5</v>
      </c>
      <c r="I5661" s="368">
        <f t="shared" si="728"/>
        <v>0</v>
      </c>
      <c r="J5661">
        <v>7792</v>
      </c>
      <c r="K5661" s="367">
        <f t="shared" si="729"/>
        <v>5565.7142857142862</v>
      </c>
      <c r="L5661" s="69">
        <v>0.26</v>
      </c>
      <c r="M5661">
        <v>3.1</v>
      </c>
      <c r="N5661" s="381">
        <v>15</v>
      </c>
      <c r="O5661">
        <v>4</v>
      </c>
      <c r="P5661" t="s">
        <v>514</v>
      </c>
      <c r="Q5661" s="97" t="str">
        <f t="shared" si="730"/>
        <v/>
      </c>
      <c r="R5661" t="str">
        <f t="shared" si="731"/>
        <v/>
      </c>
    </row>
    <row r="5662" spans="3:18">
      <c r="C5662" t="str">
        <f t="shared" si="720"/>
        <v/>
      </c>
      <c r="D5662">
        <v>27</v>
      </c>
      <c r="E5662">
        <v>25</v>
      </c>
      <c r="F5662" s="366">
        <f t="shared" si="726"/>
        <v>542.5</v>
      </c>
      <c r="G5662" s="97">
        <v>2098</v>
      </c>
      <c r="H5662" s="367">
        <f t="shared" si="727"/>
        <v>2640.5</v>
      </c>
      <c r="I5662" s="368">
        <f t="shared" si="728"/>
        <v>0</v>
      </c>
      <c r="J5662">
        <v>8784</v>
      </c>
      <c r="K5662" s="367">
        <f t="shared" si="729"/>
        <v>6274.2857142857147</v>
      </c>
      <c r="L5662" s="69">
        <v>1.01</v>
      </c>
      <c r="M5662">
        <v>3.1</v>
      </c>
      <c r="N5662" s="381">
        <v>22</v>
      </c>
      <c r="O5662">
        <v>4</v>
      </c>
      <c r="P5662" t="s">
        <v>513</v>
      </c>
      <c r="Q5662" s="97" t="str">
        <f t="shared" si="730"/>
        <v/>
      </c>
      <c r="R5662" t="str">
        <f t="shared" si="731"/>
        <v/>
      </c>
    </row>
    <row r="5663" spans="3:18">
      <c r="C5663" t="str">
        <f t="shared" si="720"/>
        <v>NL</v>
      </c>
      <c r="D5663">
        <v>28</v>
      </c>
      <c r="E5663">
        <v>25</v>
      </c>
      <c r="F5663" s="366">
        <f t="shared" si="726"/>
        <v>542.5</v>
      </c>
      <c r="G5663" s="97">
        <v>1622</v>
      </c>
      <c r="H5663" s="367">
        <f t="shared" si="727"/>
        <v>2164.5</v>
      </c>
      <c r="I5663" s="368">
        <f t="shared" si="728"/>
        <v>0</v>
      </c>
      <c r="J5663">
        <v>6789</v>
      </c>
      <c r="K5663" s="367">
        <f t="shared" si="729"/>
        <v>4849.2857142857147</v>
      </c>
      <c r="L5663" s="69">
        <v>0.17</v>
      </c>
      <c r="M5663">
        <v>3.8000000000000003</v>
      </c>
      <c r="N5663" s="381">
        <v>15</v>
      </c>
      <c r="O5663">
        <v>5</v>
      </c>
      <c r="P5663" t="s">
        <v>514</v>
      </c>
      <c r="Q5663" s="97" t="str">
        <f t="shared" si="730"/>
        <v/>
      </c>
      <c r="R5663" t="str">
        <f t="shared" si="731"/>
        <v/>
      </c>
    </row>
    <row r="5664" spans="3:18">
      <c r="C5664" t="str">
        <f t="shared" si="720"/>
        <v>NL</v>
      </c>
      <c r="D5664">
        <v>29</v>
      </c>
      <c r="E5664">
        <v>25</v>
      </c>
      <c r="F5664" s="366">
        <f t="shared" si="726"/>
        <v>542.5</v>
      </c>
      <c r="G5664" s="97">
        <v>1860</v>
      </c>
      <c r="H5664" s="367">
        <f t="shared" si="727"/>
        <v>2402.5</v>
      </c>
      <c r="I5664" s="368">
        <f t="shared" si="728"/>
        <v>0</v>
      </c>
      <c r="J5664">
        <v>7784</v>
      </c>
      <c r="K5664" s="367">
        <f t="shared" si="729"/>
        <v>5560</v>
      </c>
      <c r="L5664" s="69">
        <v>0.66</v>
      </c>
      <c r="M5664">
        <v>3.8000000000000003</v>
      </c>
      <c r="N5664" s="381">
        <v>21</v>
      </c>
      <c r="O5664">
        <v>5</v>
      </c>
      <c r="P5664" t="s">
        <v>513</v>
      </c>
      <c r="Q5664" s="97" t="str">
        <f t="shared" si="730"/>
        <v/>
      </c>
      <c r="R5664" t="str">
        <f t="shared" si="731"/>
        <v/>
      </c>
    </row>
    <row r="5665" spans="3:18">
      <c r="C5665" t="str">
        <f t="shared" si="720"/>
        <v/>
      </c>
      <c r="D5665">
        <v>30</v>
      </c>
      <c r="E5665">
        <v>25</v>
      </c>
      <c r="F5665" s="366">
        <f t="shared" si="726"/>
        <v>542.5</v>
      </c>
      <c r="G5665" s="97">
        <v>1869</v>
      </c>
      <c r="H5665" s="367">
        <f t="shared" si="727"/>
        <v>2411.5</v>
      </c>
      <c r="I5665" s="368">
        <f t="shared" si="728"/>
        <v>0</v>
      </c>
      <c r="J5665">
        <v>7825</v>
      </c>
      <c r="K5665" s="367">
        <f t="shared" si="729"/>
        <v>5589.2857142857147</v>
      </c>
      <c r="L5665" s="69">
        <v>0.46</v>
      </c>
      <c r="M5665">
        <v>4.3999999999999995</v>
      </c>
      <c r="N5665" s="381">
        <v>20</v>
      </c>
      <c r="O5665">
        <v>6</v>
      </c>
      <c r="P5665" t="s">
        <v>513</v>
      </c>
      <c r="Q5665" s="97" t="str">
        <f t="shared" si="730"/>
        <v/>
      </c>
      <c r="R5665" t="str">
        <f t="shared" si="731"/>
        <v/>
      </c>
    </row>
    <row r="5666" spans="3:18">
      <c r="C5666" t="str">
        <f t="shared" si="720"/>
        <v/>
      </c>
      <c r="D5666">
        <v>31</v>
      </c>
      <c r="E5666">
        <v>25</v>
      </c>
      <c r="F5666" s="366">
        <f t="shared" si="726"/>
        <v>542.5</v>
      </c>
      <c r="G5666" s="97">
        <v>2313</v>
      </c>
      <c r="H5666" s="367">
        <f t="shared" si="727"/>
        <v>2855.5</v>
      </c>
      <c r="I5666" s="368">
        <f t="shared" si="728"/>
        <v>0</v>
      </c>
      <c r="J5666">
        <v>9683</v>
      </c>
      <c r="K5666" s="367">
        <f t="shared" si="729"/>
        <v>6916.4285714285716</v>
      </c>
      <c r="L5666" s="69">
        <v>1.1100000000000001</v>
      </c>
      <c r="M5666">
        <v>4.3999999999999995</v>
      </c>
      <c r="N5666" s="381">
        <v>26</v>
      </c>
      <c r="O5666">
        <v>6</v>
      </c>
      <c r="P5666" t="s">
        <v>512</v>
      </c>
      <c r="Q5666" s="97" t="str">
        <f t="shared" si="730"/>
        <v/>
      </c>
      <c r="R5666" t="str">
        <f t="shared" si="731"/>
        <v/>
      </c>
    </row>
    <row r="5667" spans="3:18">
      <c r="C5667" t="str">
        <f t="shared" si="720"/>
        <v>NL</v>
      </c>
      <c r="D5667">
        <v>32</v>
      </c>
      <c r="E5667">
        <v>30</v>
      </c>
      <c r="F5667" s="366">
        <f t="shared" si="726"/>
        <v>651</v>
      </c>
      <c r="G5667" s="97">
        <v>1660</v>
      </c>
      <c r="H5667" s="367">
        <f t="shared" si="727"/>
        <v>2311</v>
      </c>
      <c r="I5667" s="368">
        <f t="shared" si="728"/>
        <v>0</v>
      </c>
      <c r="J5667">
        <v>6947</v>
      </c>
      <c r="K5667" s="367">
        <f t="shared" si="729"/>
        <v>4962.1428571428569</v>
      </c>
      <c r="L5667" s="69">
        <v>0.25</v>
      </c>
      <c r="M5667">
        <v>2.4</v>
      </c>
      <c r="N5667" s="381">
        <v>17</v>
      </c>
      <c r="O5667">
        <v>3</v>
      </c>
      <c r="P5667" t="s">
        <v>515</v>
      </c>
      <c r="Q5667" s="97" t="str">
        <f t="shared" si="730"/>
        <v/>
      </c>
      <c r="R5667" t="str">
        <f t="shared" si="731"/>
        <v/>
      </c>
    </row>
    <row r="5668" spans="3:18">
      <c r="C5668" t="str">
        <f t="shared" si="720"/>
        <v>NL</v>
      </c>
      <c r="D5668">
        <v>33</v>
      </c>
      <c r="E5668">
        <v>30</v>
      </c>
      <c r="F5668" s="366">
        <f t="shared" si="726"/>
        <v>651</v>
      </c>
      <c r="G5668" s="97">
        <v>2075</v>
      </c>
      <c r="H5668" s="367">
        <f t="shared" si="727"/>
        <v>2726</v>
      </c>
      <c r="I5668" s="368">
        <f t="shared" si="728"/>
        <v>0</v>
      </c>
      <c r="J5668">
        <v>8685</v>
      </c>
      <c r="K5668" s="367">
        <f t="shared" si="729"/>
        <v>6203.5714285714284</v>
      </c>
      <c r="L5668" s="69">
        <v>0.7</v>
      </c>
      <c r="M5668">
        <v>2.4</v>
      </c>
      <c r="N5668" s="381">
        <v>19</v>
      </c>
      <c r="O5668">
        <v>3</v>
      </c>
      <c r="P5668" t="s">
        <v>514</v>
      </c>
      <c r="Q5668" s="97" t="str">
        <f t="shared" si="730"/>
        <v/>
      </c>
      <c r="R5668" t="str">
        <f t="shared" si="731"/>
        <v/>
      </c>
    </row>
    <row r="5669" spans="3:18">
      <c r="C5669" t="str">
        <f t="shared" si="720"/>
        <v/>
      </c>
      <c r="D5669">
        <v>34</v>
      </c>
      <c r="E5669">
        <v>30</v>
      </c>
      <c r="F5669" s="366">
        <f t="shared" si="726"/>
        <v>651</v>
      </c>
      <c r="G5669" s="97">
        <v>2170</v>
      </c>
      <c r="H5669" s="367">
        <f t="shared" si="727"/>
        <v>2821</v>
      </c>
      <c r="I5669" s="368">
        <f t="shared" si="728"/>
        <v>0</v>
      </c>
      <c r="J5669">
        <v>9081</v>
      </c>
      <c r="K5669" s="367">
        <f t="shared" si="729"/>
        <v>6486.4285714285716</v>
      </c>
      <c r="L5669" s="69">
        <v>0.37</v>
      </c>
      <c r="M5669">
        <v>3.1</v>
      </c>
      <c r="N5669" s="381">
        <v>16</v>
      </c>
      <c r="O5669">
        <v>4</v>
      </c>
      <c r="P5669" t="s">
        <v>514</v>
      </c>
      <c r="Q5669" s="97" t="str">
        <f t="shared" si="730"/>
        <v/>
      </c>
      <c r="R5669" t="str">
        <f t="shared" si="731"/>
        <v/>
      </c>
    </row>
    <row r="5670" spans="3:18">
      <c r="C5670" t="str">
        <f t="shared" si="720"/>
        <v>NL</v>
      </c>
      <c r="D5670">
        <v>35</v>
      </c>
      <c r="E5670">
        <v>30</v>
      </c>
      <c r="F5670" s="366">
        <f t="shared" si="726"/>
        <v>651</v>
      </c>
      <c r="G5670" s="97">
        <v>1926</v>
      </c>
      <c r="H5670" s="367">
        <f t="shared" si="727"/>
        <v>2577</v>
      </c>
      <c r="I5670" s="368">
        <f t="shared" si="728"/>
        <v>0</v>
      </c>
      <c r="J5670">
        <v>8062</v>
      </c>
      <c r="K5670" s="367">
        <f t="shared" si="729"/>
        <v>5758.5714285714284</v>
      </c>
      <c r="L5670" s="69">
        <v>0.24000000000000002</v>
      </c>
      <c r="M5670">
        <v>3.8000000000000003</v>
      </c>
      <c r="N5670" s="381">
        <v>15</v>
      </c>
      <c r="O5670">
        <v>5</v>
      </c>
      <c r="P5670" t="s">
        <v>514</v>
      </c>
      <c r="Q5670" s="97" t="str">
        <f t="shared" si="730"/>
        <v/>
      </c>
      <c r="R5670" t="str">
        <f t="shared" si="731"/>
        <v/>
      </c>
    </row>
    <row r="5671" spans="3:18">
      <c r="C5671" t="str">
        <f t="shared" si="720"/>
        <v>NL</v>
      </c>
      <c r="D5671">
        <v>36</v>
      </c>
      <c r="E5671">
        <v>30</v>
      </c>
      <c r="F5671" s="366">
        <f t="shared" si="726"/>
        <v>651</v>
      </c>
      <c r="G5671" s="97">
        <v>2232</v>
      </c>
      <c r="H5671" s="367">
        <f t="shared" si="727"/>
        <v>2883</v>
      </c>
      <c r="I5671" s="368">
        <f t="shared" si="728"/>
        <v>0</v>
      </c>
      <c r="J5671">
        <v>9344</v>
      </c>
      <c r="K5671" s="367">
        <f t="shared" si="729"/>
        <v>6674.2857142857147</v>
      </c>
      <c r="L5671" s="69">
        <v>0.95</v>
      </c>
      <c r="M5671">
        <v>3.8000000000000003</v>
      </c>
      <c r="N5671" s="381">
        <v>24</v>
      </c>
      <c r="O5671">
        <v>5</v>
      </c>
      <c r="P5671" t="s">
        <v>513</v>
      </c>
      <c r="Q5671" s="97" t="str">
        <f t="shared" si="730"/>
        <v/>
      </c>
      <c r="R5671" t="str">
        <f t="shared" si="731"/>
        <v/>
      </c>
    </row>
    <row r="5672" spans="3:18">
      <c r="C5672" t="str">
        <f t="shared" si="720"/>
        <v/>
      </c>
      <c r="D5672">
        <v>37</v>
      </c>
      <c r="E5672">
        <v>30</v>
      </c>
      <c r="F5672" s="366">
        <f t="shared" si="726"/>
        <v>651</v>
      </c>
      <c r="G5672" s="97">
        <v>1933</v>
      </c>
      <c r="H5672" s="367">
        <f t="shared" si="727"/>
        <v>2584</v>
      </c>
      <c r="I5672" s="368">
        <f t="shared" si="728"/>
        <v>0</v>
      </c>
      <c r="J5672">
        <v>8092</v>
      </c>
      <c r="K5672" s="367">
        <f t="shared" si="729"/>
        <v>5780</v>
      </c>
      <c r="L5672" s="69">
        <v>0.17</v>
      </c>
      <c r="M5672">
        <v>4.3999999999999995</v>
      </c>
      <c r="N5672" s="381">
        <v>15</v>
      </c>
      <c r="O5672">
        <v>6</v>
      </c>
      <c r="P5672" t="s">
        <v>514</v>
      </c>
      <c r="Q5672" s="97" t="str">
        <f t="shared" si="730"/>
        <v/>
      </c>
      <c r="R5672" t="str">
        <f t="shared" si="731"/>
        <v/>
      </c>
    </row>
    <row r="5673" spans="3:18">
      <c r="C5673" t="str">
        <f t="shared" si="720"/>
        <v/>
      </c>
      <c r="D5673">
        <v>38</v>
      </c>
      <c r="E5673">
        <v>30</v>
      </c>
      <c r="F5673" s="366">
        <f t="shared" si="726"/>
        <v>651</v>
      </c>
      <c r="G5673" s="97">
        <v>2202</v>
      </c>
      <c r="H5673" s="367">
        <f t="shared" si="727"/>
        <v>2853</v>
      </c>
      <c r="I5673" s="368">
        <f t="shared" si="728"/>
        <v>0</v>
      </c>
      <c r="J5673">
        <v>9216</v>
      </c>
      <c r="K5673" s="367">
        <f t="shared" si="729"/>
        <v>6582.8571428571431</v>
      </c>
      <c r="L5673" s="69">
        <v>0.66</v>
      </c>
      <c r="M5673">
        <v>4.3999999999999995</v>
      </c>
      <c r="N5673" s="381">
        <v>22</v>
      </c>
      <c r="O5673">
        <v>6</v>
      </c>
      <c r="P5673" t="s">
        <v>513</v>
      </c>
      <c r="Q5673" s="97" t="str">
        <f t="shared" si="730"/>
        <v/>
      </c>
      <c r="R5673" t="str">
        <f t="shared" si="731"/>
        <v/>
      </c>
    </row>
    <row r="5674" spans="3:18">
      <c r="C5674" t="str">
        <f t="shared" si="720"/>
        <v>NL</v>
      </c>
      <c r="D5674">
        <v>39</v>
      </c>
      <c r="E5674">
        <v>35</v>
      </c>
      <c r="F5674" s="366">
        <f t="shared" si="726"/>
        <v>759.5</v>
      </c>
      <c r="G5674" s="97">
        <v>1885</v>
      </c>
      <c r="H5674" s="367">
        <f t="shared" si="727"/>
        <v>2644.5</v>
      </c>
      <c r="I5674" s="368">
        <f t="shared" si="728"/>
        <v>0</v>
      </c>
      <c r="J5674">
        <v>7891</v>
      </c>
      <c r="K5674" s="367">
        <f t="shared" si="729"/>
        <v>5636.4285714285716</v>
      </c>
      <c r="L5674" s="69">
        <v>0.34</v>
      </c>
      <c r="M5674">
        <v>2.4</v>
      </c>
      <c r="N5674" s="381">
        <v>19</v>
      </c>
      <c r="O5674">
        <v>3</v>
      </c>
      <c r="P5674" t="s">
        <v>515</v>
      </c>
      <c r="Q5674" s="97" t="str">
        <f t="shared" si="730"/>
        <v/>
      </c>
      <c r="R5674" t="str">
        <f t="shared" si="731"/>
        <v/>
      </c>
    </row>
    <row r="5675" spans="3:18">
      <c r="C5675" t="str">
        <f t="shared" si="720"/>
        <v>NL</v>
      </c>
      <c r="D5675">
        <v>40</v>
      </c>
      <c r="E5675">
        <v>35</v>
      </c>
      <c r="F5675" s="366">
        <f t="shared" si="726"/>
        <v>759.5</v>
      </c>
      <c r="G5675" s="97">
        <v>2345</v>
      </c>
      <c r="H5675" s="367">
        <f t="shared" si="727"/>
        <v>3104.5</v>
      </c>
      <c r="I5675" s="368">
        <f t="shared" si="728"/>
        <v>0</v>
      </c>
      <c r="J5675">
        <v>9815</v>
      </c>
      <c r="K5675" s="367">
        <f t="shared" si="729"/>
        <v>7010.7142857142862</v>
      </c>
      <c r="L5675" s="69">
        <v>0.95</v>
      </c>
      <c r="M5675">
        <v>2.4</v>
      </c>
      <c r="N5675" s="381">
        <v>21</v>
      </c>
      <c r="O5675">
        <v>3</v>
      </c>
      <c r="P5675" t="s">
        <v>514</v>
      </c>
      <c r="Q5675" s="97" t="str">
        <f t="shared" si="730"/>
        <v/>
      </c>
      <c r="R5675" t="str">
        <f t="shared" si="731"/>
        <v/>
      </c>
    </row>
    <row r="5676" spans="3:18">
      <c r="C5676" t="str">
        <f t="shared" si="720"/>
        <v/>
      </c>
      <c r="D5676">
        <v>41</v>
      </c>
      <c r="E5676">
        <v>35</v>
      </c>
      <c r="F5676" s="366">
        <f t="shared" si="726"/>
        <v>759.5</v>
      </c>
      <c r="G5676" s="97">
        <v>1953</v>
      </c>
      <c r="H5676" s="367">
        <f t="shared" si="727"/>
        <v>2712.5</v>
      </c>
      <c r="I5676" s="368">
        <f t="shared" si="728"/>
        <v>0</v>
      </c>
      <c r="J5676">
        <v>8176</v>
      </c>
      <c r="K5676" s="367">
        <f t="shared" si="729"/>
        <v>5840</v>
      </c>
      <c r="L5676" s="69">
        <v>0.19</v>
      </c>
      <c r="M5676">
        <v>3.1</v>
      </c>
      <c r="N5676" s="381">
        <v>16</v>
      </c>
      <c r="O5676">
        <v>4</v>
      </c>
      <c r="P5676" t="s">
        <v>515</v>
      </c>
      <c r="Q5676" s="97" t="str">
        <f t="shared" si="730"/>
        <v/>
      </c>
      <c r="R5676" t="str">
        <f t="shared" si="731"/>
        <v/>
      </c>
    </row>
    <row r="5677" spans="3:18">
      <c r="C5677" t="str">
        <f t="shared" si="720"/>
        <v/>
      </c>
      <c r="D5677">
        <v>42</v>
      </c>
      <c r="E5677">
        <v>35</v>
      </c>
      <c r="F5677" s="366">
        <f t="shared" si="726"/>
        <v>759.5</v>
      </c>
      <c r="G5677" s="97">
        <v>2462</v>
      </c>
      <c r="H5677" s="367">
        <f t="shared" si="727"/>
        <v>3221.5</v>
      </c>
      <c r="I5677" s="368">
        <f t="shared" si="728"/>
        <v>0</v>
      </c>
      <c r="J5677">
        <v>10304</v>
      </c>
      <c r="K5677" s="367">
        <f t="shared" si="729"/>
        <v>7360</v>
      </c>
      <c r="L5677" s="69">
        <v>0.51</v>
      </c>
      <c r="M5677">
        <v>3.1</v>
      </c>
      <c r="N5677" s="381">
        <v>18</v>
      </c>
      <c r="O5677">
        <v>4</v>
      </c>
      <c r="P5677" t="s">
        <v>514</v>
      </c>
      <c r="Q5677" s="97">
        <f t="shared" si="730"/>
        <v>42</v>
      </c>
      <c r="R5677" t="str">
        <f t="shared" si="731"/>
        <v/>
      </c>
    </row>
    <row r="5678" spans="3:18">
      <c r="C5678" t="str">
        <f t="shared" si="720"/>
        <v>NL</v>
      </c>
      <c r="D5678">
        <v>43</v>
      </c>
      <c r="E5678">
        <v>35</v>
      </c>
      <c r="F5678" s="366">
        <f t="shared" si="726"/>
        <v>759.5</v>
      </c>
      <c r="G5678" s="97">
        <v>2247</v>
      </c>
      <c r="H5678" s="367">
        <f t="shared" si="727"/>
        <v>3006.5</v>
      </c>
      <c r="I5678" s="368">
        <f t="shared" si="728"/>
        <v>0</v>
      </c>
      <c r="J5678">
        <v>9405</v>
      </c>
      <c r="K5678" s="367">
        <f t="shared" si="729"/>
        <v>6717.8571428571431</v>
      </c>
      <c r="L5678" s="69">
        <v>0.33</v>
      </c>
      <c r="M5678">
        <v>3.8000000000000003</v>
      </c>
      <c r="N5678" s="381">
        <v>17</v>
      </c>
      <c r="O5678">
        <v>5</v>
      </c>
      <c r="P5678" t="s">
        <v>514</v>
      </c>
      <c r="Q5678" s="97" t="str">
        <f t="shared" si="730"/>
        <v/>
      </c>
      <c r="R5678" t="str">
        <f t="shared" si="731"/>
        <v/>
      </c>
    </row>
    <row r="5679" spans="3:18">
      <c r="C5679" t="str">
        <f t="shared" si="720"/>
        <v/>
      </c>
      <c r="D5679">
        <v>44</v>
      </c>
      <c r="E5679">
        <v>35</v>
      </c>
      <c r="F5679" s="366">
        <f t="shared" si="726"/>
        <v>759.5</v>
      </c>
      <c r="G5679" s="97">
        <v>2219</v>
      </c>
      <c r="H5679" s="367">
        <f t="shared" si="727"/>
        <v>2978.5</v>
      </c>
      <c r="I5679" s="368">
        <f t="shared" si="728"/>
        <v>0</v>
      </c>
      <c r="J5679">
        <v>9287</v>
      </c>
      <c r="K5679" s="367">
        <f t="shared" si="729"/>
        <v>6633.5714285714284</v>
      </c>
      <c r="L5679" s="69">
        <v>0.23</v>
      </c>
      <c r="M5679">
        <v>4.3999999999999995</v>
      </c>
      <c r="N5679" s="381">
        <v>16</v>
      </c>
      <c r="O5679">
        <v>6</v>
      </c>
      <c r="P5679" t="s">
        <v>514</v>
      </c>
      <c r="Q5679" s="97" t="str">
        <f t="shared" si="730"/>
        <v/>
      </c>
      <c r="R5679" t="str">
        <f t="shared" si="731"/>
        <v/>
      </c>
    </row>
    <row r="5680" spans="3:18">
      <c r="C5680" t="str">
        <f t="shared" si="720"/>
        <v/>
      </c>
      <c r="D5680">
        <v>45</v>
      </c>
      <c r="E5680">
        <v>35</v>
      </c>
      <c r="F5680" s="366">
        <f t="shared" si="726"/>
        <v>759.5</v>
      </c>
      <c r="G5680" s="97">
        <v>2555</v>
      </c>
      <c r="H5680" s="367">
        <f t="shared" si="727"/>
        <v>3314.5</v>
      </c>
      <c r="I5680" s="368">
        <f t="shared" si="728"/>
        <v>0</v>
      </c>
      <c r="J5680">
        <v>10695</v>
      </c>
      <c r="K5680" s="367">
        <f t="shared" si="729"/>
        <v>7639.2857142857147</v>
      </c>
      <c r="L5680" s="69">
        <v>0.9</v>
      </c>
      <c r="M5680">
        <v>4.3999999999999995</v>
      </c>
      <c r="N5680" s="381">
        <v>24</v>
      </c>
      <c r="O5680">
        <v>6</v>
      </c>
      <c r="P5680" t="s">
        <v>513</v>
      </c>
      <c r="Q5680" s="97" t="str">
        <f t="shared" si="730"/>
        <v/>
      </c>
      <c r="R5680" t="str">
        <f t="shared" si="731"/>
        <v/>
      </c>
    </row>
    <row r="5681" spans="3:18">
      <c r="C5681" t="str">
        <f t="shared" si="720"/>
        <v>NL</v>
      </c>
      <c r="D5681">
        <v>46</v>
      </c>
      <c r="E5681">
        <v>40</v>
      </c>
      <c r="F5681" s="366">
        <f t="shared" si="726"/>
        <v>868</v>
      </c>
      <c r="G5681" s="97">
        <v>2095</v>
      </c>
      <c r="H5681" s="367">
        <f t="shared" si="727"/>
        <v>2963</v>
      </c>
      <c r="I5681" s="368">
        <f t="shared" si="728"/>
        <v>0</v>
      </c>
      <c r="J5681">
        <v>8767</v>
      </c>
      <c r="K5681" s="367">
        <f t="shared" si="729"/>
        <v>6262.1428571428569</v>
      </c>
      <c r="L5681" s="69">
        <v>0.45</v>
      </c>
      <c r="M5681">
        <v>2.4</v>
      </c>
      <c r="N5681" s="381">
        <v>20</v>
      </c>
      <c r="O5681">
        <v>3</v>
      </c>
      <c r="P5681" t="s">
        <v>515</v>
      </c>
      <c r="Q5681" s="97" t="str">
        <f t="shared" si="730"/>
        <v/>
      </c>
      <c r="R5681" t="str">
        <f t="shared" si="731"/>
        <v/>
      </c>
    </row>
    <row r="5682" spans="3:18">
      <c r="C5682" t="str">
        <f t="shared" si="720"/>
        <v>NL</v>
      </c>
      <c r="D5682">
        <v>47</v>
      </c>
      <c r="E5682">
        <v>40</v>
      </c>
      <c r="F5682" s="366">
        <f t="shared" si="726"/>
        <v>868</v>
      </c>
      <c r="G5682" s="97">
        <v>2599</v>
      </c>
      <c r="H5682" s="367">
        <f t="shared" si="727"/>
        <v>3467</v>
      </c>
      <c r="I5682" s="368">
        <f t="shared" si="728"/>
        <v>0</v>
      </c>
      <c r="J5682">
        <v>10877</v>
      </c>
      <c r="K5682" s="367">
        <f t="shared" si="729"/>
        <v>7769.2857142857147</v>
      </c>
      <c r="L5682" s="69">
        <v>1.24</v>
      </c>
      <c r="M5682">
        <v>2.4</v>
      </c>
      <c r="N5682" s="381">
        <v>23</v>
      </c>
      <c r="O5682">
        <v>3</v>
      </c>
      <c r="P5682" t="s">
        <v>514</v>
      </c>
      <c r="Q5682" s="97" t="str">
        <f t="shared" si="730"/>
        <v/>
      </c>
      <c r="R5682" t="str">
        <f t="shared" si="731"/>
        <v/>
      </c>
    </row>
    <row r="5683" spans="3:18">
      <c r="C5683" t="str">
        <f t="shared" si="720"/>
        <v/>
      </c>
      <c r="D5683">
        <v>48</v>
      </c>
      <c r="E5683">
        <v>40</v>
      </c>
      <c r="F5683" s="366">
        <f t="shared" si="726"/>
        <v>868</v>
      </c>
      <c r="G5683" s="97">
        <v>2188</v>
      </c>
      <c r="H5683" s="367">
        <f t="shared" si="727"/>
        <v>3056</v>
      </c>
      <c r="I5683" s="368">
        <f t="shared" si="728"/>
        <v>0</v>
      </c>
      <c r="J5683">
        <v>9159</v>
      </c>
      <c r="K5683" s="367">
        <f t="shared" si="729"/>
        <v>6542.1428571428569</v>
      </c>
      <c r="L5683" s="69">
        <v>0.24000000000000002</v>
      </c>
      <c r="M5683">
        <v>3.1</v>
      </c>
      <c r="N5683" s="381">
        <v>18</v>
      </c>
      <c r="O5683">
        <v>4</v>
      </c>
      <c r="P5683" t="s">
        <v>515</v>
      </c>
      <c r="Q5683" s="97">
        <f t="shared" si="730"/>
        <v>48</v>
      </c>
      <c r="R5683" t="str">
        <f t="shared" si="731"/>
        <v/>
      </c>
    </row>
    <row r="5684" spans="3:18">
      <c r="C5684" t="str">
        <f t="shared" si="720"/>
        <v/>
      </c>
      <c r="D5684">
        <v>49</v>
      </c>
      <c r="E5684">
        <v>40</v>
      </c>
      <c r="F5684" s="366">
        <f t="shared" si="726"/>
        <v>868</v>
      </c>
      <c r="G5684" s="97">
        <v>2739</v>
      </c>
      <c r="H5684" s="367">
        <f t="shared" si="727"/>
        <v>3607</v>
      </c>
      <c r="I5684" s="368">
        <f t="shared" si="728"/>
        <v>0</v>
      </c>
      <c r="J5684">
        <v>11465</v>
      </c>
      <c r="K5684" s="367">
        <f t="shared" si="729"/>
        <v>8189.2857142857147</v>
      </c>
      <c r="L5684" s="69">
        <v>0.66</v>
      </c>
      <c r="M5684">
        <v>3.1</v>
      </c>
      <c r="N5684" s="381">
        <v>20</v>
      </c>
      <c r="O5684">
        <v>4</v>
      </c>
      <c r="P5684" t="s">
        <v>514</v>
      </c>
      <c r="Q5684" s="97">
        <f t="shared" si="730"/>
        <v>49</v>
      </c>
      <c r="R5684" t="str">
        <f t="shared" si="731"/>
        <v/>
      </c>
    </row>
    <row r="5685" spans="3:18">
      <c r="C5685" t="str">
        <f t="shared" si="720"/>
        <v>NL</v>
      </c>
      <c r="D5685">
        <v>50</v>
      </c>
      <c r="E5685">
        <v>40</v>
      </c>
      <c r="F5685" s="366">
        <f t="shared" si="726"/>
        <v>868</v>
      </c>
      <c r="G5685" s="97">
        <v>1923</v>
      </c>
      <c r="H5685" s="367">
        <f t="shared" si="727"/>
        <v>2791</v>
      </c>
      <c r="I5685" s="368">
        <f t="shared" si="728"/>
        <v>0</v>
      </c>
      <c r="J5685">
        <v>8048</v>
      </c>
      <c r="K5685" s="367">
        <f t="shared" si="729"/>
        <v>5748.5714285714284</v>
      </c>
      <c r="L5685" s="69">
        <v>0.16</v>
      </c>
      <c r="M5685">
        <v>3.8000000000000003</v>
      </c>
      <c r="N5685" s="381">
        <v>16</v>
      </c>
      <c r="O5685">
        <v>5</v>
      </c>
      <c r="P5685" t="s">
        <v>515</v>
      </c>
      <c r="Q5685" s="97" t="str">
        <f t="shared" si="730"/>
        <v/>
      </c>
      <c r="R5685" t="str">
        <f t="shared" si="731"/>
        <v/>
      </c>
    </row>
    <row r="5686" spans="3:18">
      <c r="C5686" t="str">
        <f t="shared" si="720"/>
        <v>NL</v>
      </c>
      <c r="D5686">
        <v>51</v>
      </c>
      <c r="E5686">
        <v>40</v>
      </c>
      <c r="F5686" s="366">
        <f t="shared" si="726"/>
        <v>868</v>
      </c>
      <c r="G5686" s="97">
        <v>2580</v>
      </c>
      <c r="H5686" s="367">
        <f t="shared" si="727"/>
        <v>3448</v>
      </c>
      <c r="I5686" s="368">
        <f t="shared" si="728"/>
        <v>0</v>
      </c>
      <c r="J5686">
        <v>10797</v>
      </c>
      <c r="K5686" s="367">
        <f t="shared" si="729"/>
        <v>7712.1428571428569</v>
      </c>
      <c r="L5686" s="69">
        <v>0.43</v>
      </c>
      <c r="M5686">
        <v>3.8000000000000003</v>
      </c>
      <c r="N5686" s="381">
        <v>18</v>
      </c>
      <c r="O5686">
        <v>5</v>
      </c>
      <c r="P5686" t="s">
        <v>514</v>
      </c>
      <c r="Q5686" s="97" t="str">
        <f t="shared" si="730"/>
        <v/>
      </c>
      <c r="R5686" t="str">
        <f t="shared" si="731"/>
        <v/>
      </c>
    </row>
    <row r="5687" spans="3:18">
      <c r="C5687" t="str">
        <f t="shared" si="720"/>
        <v/>
      </c>
      <c r="D5687">
        <v>52</v>
      </c>
      <c r="E5687">
        <v>40</v>
      </c>
      <c r="F5687" s="366">
        <f t="shared" si="726"/>
        <v>868</v>
      </c>
      <c r="G5687" s="97">
        <v>2524</v>
      </c>
      <c r="H5687" s="367">
        <f t="shared" si="727"/>
        <v>3392</v>
      </c>
      <c r="I5687" s="368">
        <f t="shared" si="728"/>
        <v>0</v>
      </c>
      <c r="J5687">
        <v>10563</v>
      </c>
      <c r="K5687" s="367">
        <f t="shared" si="729"/>
        <v>7545</v>
      </c>
      <c r="L5687" s="69">
        <v>0.3</v>
      </c>
      <c r="M5687">
        <v>4.3999999999999995</v>
      </c>
      <c r="N5687" s="381">
        <v>18</v>
      </c>
      <c r="O5687">
        <v>6</v>
      </c>
      <c r="P5687" t="s">
        <v>514</v>
      </c>
      <c r="Q5687" s="97">
        <f t="shared" si="730"/>
        <v>52</v>
      </c>
      <c r="R5687" t="str">
        <f t="shared" si="731"/>
        <v/>
      </c>
    </row>
    <row r="5688" spans="3:18">
      <c r="C5688" t="str">
        <f t="shared" si="720"/>
        <v/>
      </c>
      <c r="D5688">
        <v>53</v>
      </c>
      <c r="E5688">
        <v>40</v>
      </c>
      <c r="F5688" s="366">
        <f t="shared" si="726"/>
        <v>868</v>
      </c>
      <c r="G5688" s="97">
        <v>2930</v>
      </c>
      <c r="H5688" s="367">
        <f t="shared" si="727"/>
        <v>3798</v>
      </c>
      <c r="I5688" s="368">
        <f t="shared" si="728"/>
        <v>0</v>
      </c>
      <c r="J5688">
        <v>12262</v>
      </c>
      <c r="K5688" s="367">
        <f t="shared" si="729"/>
        <v>8758.5714285714294</v>
      </c>
      <c r="L5688" s="69">
        <v>1.18</v>
      </c>
      <c r="M5688">
        <v>4.3999999999999995</v>
      </c>
      <c r="N5688" s="381">
        <v>26</v>
      </c>
      <c r="O5688">
        <v>6</v>
      </c>
      <c r="P5688" t="s">
        <v>513</v>
      </c>
      <c r="Q5688" s="97" t="str">
        <f t="shared" si="730"/>
        <v/>
      </c>
      <c r="R5688" t="str">
        <f t="shared" si="731"/>
        <v/>
      </c>
    </row>
    <row r="5689" spans="3:18">
      <c r="C5689" t="str">
        <f t="shared" si="720"/>
        <v>NL</v>
      </c>
      <c r="D5689">
        <v>54</v>
      </c>
      <c r="E5689">
        <v>45</v>
      </c>
      <c r="F5689" s="366">
        <f t="shared" si="726"/>
        <v>976.5</v>
      </c>
      <c r="G5689" s="97">
        <v>2304</v>
      </c>
      <c r="H5689" s="367">
        <f t="shared" si="727"/>
        <v>3280.5</v>
      </c>
      <c r="I5689" s="368">
        <f t="shared" si="728"/>
        <v>0</v>
      </c>
      <c r="J5689">
        <v>9643</v>
      </c>
      <c r="K5689" s="367">
        <f t="shared" si="729"/>
        <v>6887.8571428571431</v>
      </c>
      <c r="L5689" s="69">
        <v>0.57000000000000006</v>
      </c>
      <c r="M5689">
        <v>2.4</v>
      </c>
      <c r="N5689" s="381">
        <v>22</v>
      </c>
      <c r="O5689">
        <v>3</v>
      </c>
      <c r="P5689" t="s">
        <v>515</v>
      </c>
      <c r="Q5689" s="97" t="str">
        <f t="shared" si="730"/>
        <v/>
      </c>
      <c r="R5689" t="str">
        <f t="shared" si="731"/>
        <v/>
      </c>
    </row>
    <row r="5690" spans="3:18">
      <c r="C5690" t="str">
        <f t="shared" ref="C5690:C5752" si="732">IF(OR($O$4=0,O5690-$O$4=0),IF(AND(ISEVEN(O5690)=FALSE,$N$4="Even"),"NL",""),"NL")</f>
        <v/>
      </c>
      <c r="D5690">
        <v>55</v>
      </c>
      <c r="E5690">
        <v>45</v>
      </c>
      <c r="F5690" s="366">
        <f t="shared" si="726"/>
        <v>976.5</v>
      </c>
      <c r="G5690" s="97">
        <v>2411</v>
      </c>
      <c r="H5690" s="367">
        <f t="shared" si="727"/>
        <v>3387.5</v>
      </c>
      <c r="I5690" s="368">
        <f t="shared" si="728"/>
        <v>0</v>
      </c>
      <c r="J5690">
        <v>10093</v>
      </c>
      <c r="K5690" s="367">
        <f t="shared" si="729"/>
        <v>7209.2857142857147</v>
      </c>
      <c r="L5690" s="69">
        <v>0.3</v>
      </c>
      <c r="M5690">
        <v>3.1</v>
      </c>
      <c r="N5690" s="381">
        <v>19</v>
      </c>
      <c r="O5690">
        <v>4</v>
      </c>
      <c r="P5690" t="s">
        <v>515</v>
      </c>
      <c r="Q5690" s="97">
        <f t="shared" si="730"/>
        <v>55</v>
      </c>
      <c r="R5690" t="str">
        <f t="shared" si="731"/>
        <v/>
      </c>
    </row>
    <row r="5691" spans="3:18">
      <c r="C5691" t="str">
        <f t="shared" si="732"/>
        <v/>
      </c>
      <c r="D5691">
        <v>56</v>
      </c>
      <c r="E5691">
        <v>45</v>
      </c>
      <c r="F5691" s="366">
        <f t="shared" si="726"/>
        <v>976.5</v>
      </c>
      <c r="G5691" s="97">
        <v>3002</v>
      </c>
      <c r="H5691" s="367">
        <f t="shared" si="727"/>
        <v>3978.5</v>
      </c>
      <c r="I5691" s="368">
        <f t="shared" si="728"/>
        <v>0</v>
      </c>
      <c r="J5691">
        <v>12563</v>
      </c>
      <c r="K5691" s="367">
        <f t="shared" si="729"/>
        <v>8973.5714285714294</v>
      </c>
      <c r="L5691" s="69">
        <v>0.84</v>
      </c>
      <c r="M5691">
        <v>3.1</v>
      </c>
      <c r="N5691" s="381">
        <v>21</v>
      </c>
      <c r="O5691">
        <v>4</v>
      </c>
      <c r="P5691" t="s">
        <v>514</v>
      </c>
      <c r="Q5691" s="97" t="str">
        <f t="shared" si="730"/>
        <v/>
      </c>
      <c r="R5691" t="str">
        <f t="shared" si="731"/>
        <v/>
      </c>
    </row>
    <row r="5692" spans="3:18">
      <c r="C5692" t="str">
        <f t="shared" si="732"/>
        <v>NL</v>
      </c>
      <c r="D5692">
        <v>57</v>
      </c>
      <c r="E5692">
        <v>45</v>
      </c>
      <c r="F5692" s="366">
        <f t="shared" si="726"/>
        <v>976.5</v>
      </c>
      <c r="G5692" s="97">
        <v>2163</v>
      </c>
      <c r="H5692" s="367">
        <f t="shared" si="727"/>
        <v>3139.5</v>
      </c>
      <c r="I5692" s="368">
        <f t="shared" si="728"/>
        <v>0</v>
      </c>
      <c r="J5692">
        <v>9053</v>
      </c>
      <c r="K5692" s="367">
        <f t="shared" si="729"/>
        <v>6466.4285714285716</v>
      </c>
      <c r="L5692" s="69">
        <v>0.2</v>
      </c>
      <c r="M5692">
        <v>3.8000000000000003</v>
      </c>
      <c r="N5692" s="381">
        <v>18</v>
      </c>
      <c r="O5692">
        <v>5</v>
      </c>
      <c r="P5692" t="s">
        <v>515</v>
      </c>
      <c r="Q5692" s="97" t="str">
        <f t="shared" si="730"/>
        <v/>
      </c>
      <c r="R5692" t="str">
        <f t="shared" si="731"/>
        <v/>
      </c>
    </row>
    <row r="5693" spans="3:18">
      <c r="C5693" t="str">
        <f t="shared" si="732"/>
        <v>NL</v>
      </c>
      <c r="D5693">
        <v>58</v>
      </c>
      <c r="E5693">
        <v>45</v>
      </c>
      <c r="F5693" s="366">
        <f t="shared" si="726"/>
        <v>976.5</v>
      </c>
      <c r="G5693" s="97">
        <v>2880</v>
      </c>
      <c r="H5693" s="367">
        <f t="shared" si="727"/>
        <v>3856.5</v>
      </c>
      <c r="I5693" s="368">
        <f t="shared" si="728"/>
        <v>0</v>
      </c>
      <c r="J5693">
        <v>12055</v>
      </c>
      <c r="K5693" s="367">
        <f t="shared" si="729"/>
        <v>8610.7142857142862</v>
      </c>
      <c r="L5693" s="69">
        <v>0.54</v>
      </c>
      <c r="M5693">
        <v>3.8000000000000003</v>
      </c>
      <c r="N5693" s="381">
        <v>20</v>
      </c>
      <c r="O5693">
        <v>5</v>
      </c>
      <c r="P5693" t="s">
        <v>514</v>
      </c>
      <c r="Q5693" s="97" t="str">
        <f t="shared" si="730"/>
        <v/>
      </c>
      <c r="R5693" t="str">
        <f t="shared" si="731"/>
        <v/>
      </c>
    </row>
    <row r="5694" spans="3:18">
      <c r="C5694" t="str">
        <f t="shared" si="732"/>
        <v/>
      </c>
      <c r="D5694">
        <v>59</v>
      </c>
      <c r="E5694">
        <v>45</v>
      </c>
      <c r="F5694" s="366">
        <f t="shared" si="726"/>
        <v>976.5</v>
      </c>
      <c r="G5694" s="97">
        <v>2839</v>
      </c>
      <c r="H5694" s="367">
        <f t="shared" si="727"/>
        <v>3815.5</v>
      </c>
      <c r="I5694" s="368">
        <f t="shared" si="728"/>
        <v>0</v>
      </c>
      <c r="J5694">
        <v>11881</v>
      </c>
      <c r="K5694" s="367">
        <f t="shared" si="729"/>
        <v>8486.4285714285725</v>
      </c>
      <c r="L5694" s="69">
        <v>0.38</v>
      </c>
      <c r="M5694">
        <v>4.3999999999999995</v>
      </c>
      <c r="N5694" s="381">
        <v>19</v>
      </c>
      <c r="O5694">
        <v>6</v>
      </c>
      <c r="P5694" t="s">
        <v>514</v>
      </c>
      <c r="Q5694" s="97">
        <f t="shared" si="730"/>
        <v>59</v>
      </c>
      <c r="R5694" t="str">
        <f t="shared" si="731"/>
        <v/>
      </c>
    </row>
    <row r="5695" spans="3:18">
      <c r="C5695" t="str">
        <f t="shared" si="732"/>
        <v>NL</v>
      </c>
      <c r="D5695">
        <v>60</v>
      </c>
      <c r="E5695">
        <v>50</v>
      </c>
      <c r="F5695" s="366">
        <f t="shared" si="726"/>
        <v>1085</v>
      </c>
      <c r="G5695" s="97">
        <v>2501</v>
      </c>
      <c r="H5695" s="367">
        <f t="shared" si="727"/>
        <v>3586</v>
      </c>
      <c r="I5695" s="368">
        <f t="shared" si="728"/>
        <v>0</v>
      </c>
      <c r="J5695">
        <v>10470</v>
      </c>
      <c r="K5695" s="367">
        <f t="shared" si="729"/>
        <v>7478.5714285714284</v>
      </c>
      <c r="L5695" s="69">
        <v>0.7</v>
      </c>
      <c r="M5695">
        <v>2.4</v>
      </c>
      <c r="N5695" s="381">
        <v>23</v>
      </c>
      <c r="O5695">
        <v>3</v>
      </c>
      <c r="P5695" t="s">
        <v>515</v>
      </c>
      <c r="Q5695" s="97" t="str">
        <f t="shared" si="730"/>
        <v/>
      </c>
      <c r="R5695" t="str">
        <f t="shared" si="731"/>
        <v/>
      </c>
    </row>
    <row r="5696" spans="3:18">
      <c r="C5696" t="str">
        <f t="shared" si="732"/>
        <v/>
      </c>
      <c r="D5696">
        <v>61</v>
      </c>
      <c r="E5696">
        <v>50</v>
      </c>
      <c r="F5696" s="366">
        <f t="shared" si="726"/>
        <v>1085</v>
      </c>
      <c r="G5696" s="97">
        <v>2626</v>
      </c>
      <c r="H5696" s="367">
        <f t="shared" si="727"/>
        <v>3711</v>
      </c>
      <c r="I5696" s="368">
        <f t="shared" si="728"/>
        <v>0</v>
      </c>
      <c r="J5696">
        <v>10993</v>
      </c>
      <c r="K5696" s="367">
        <f t="shared" si="729"/>
        <v>7852.1428571428569</v>
      </c>
      <c r="L5696" s="69">
        <v>0.37</v>
      </c>
      <c r="M5696">
        <v>3.1</v>
      </c>
      <c r="N5696" s="381">
        <v>20</v>
      </c>
      <c r="O5696">
        <v>4</v>
      </c>
      <c r="P5696" t="s">
        <v>515</v>
      </c>
      <c r="Q5696" s="97">
        <f t="shared" si="730"/>
        <v>61</v>
      </c>
      <c r="R5696" t="str">
        <f t="shared" si="731"/>
        <v/>
      </c>
    </row>
    <row r="5697" spans="3:18">
      <c r="C5697" t="str">
        <f t="shared" si="732"/>
        <v/>
      </c>
      <c r="D5697">
        <v>62</v>
      </c>
      <c r="E5697">
        <v>50</v>
      </c>
      <c r="F5697" s="366">
        <f t="shared" si="726"/>
        <v>1085</v>
      </c>
      <c r="G5697" s="97">
        <v>3252</v>
      </c>
      <c r="H5697" s="367">
        <f t="shared" si="727"/>
        <v>4337</v>
      </c>
      <c r="I5697" s="368">
        <f t="shared" si="728"/>
        <v>0</v>
      </c>
      <c r="J5697">
        <v>13613</v>
      </c>
      <c r="K5697" s="367">
        <f t="shared" si="729"/>
        <v>9723.5714285714294</v>
      </c>
      <c r="L5697" s="69">
        <v>1.03</v>
      </c>
      <c r="M5697">
        <v>3.1</v>
      </c>
      <c r="N5697" s="381">
        <v>23</v>
      </c>
      <c r="O5697">
        <v>4</v>
      </c>
      <c r="P5697" t="s">
        <v>514</v>
      </c>
      <c r="Q5697" s="97" t="str">
        <f t="shared" si="730"/>
        <v/>
      </c>
      <c r="R5697" t="str">
        <f t="shared" si="731"/>
        <v/>
      </c>
    </row>
    <row r="5698" spans="3:18">
      <c r="C5698" t="str">
        <f t="shared" si="732"/>
        <v>NL</v>
      </c>
      <c r="D5698">
        <v>63</v>
      </c>
      <c r="E5698">
        <v>50</v>
      </c>
      <c r="F5698" s="366">
        <f t="shared" si="726"/>
        <v>1085</v>
      </c>
      <c r="G5698" s="97">
        <v>2404</v>
      </c>
      <c r="H5698" s="367">
        <f t="shared" si="727"/>
        <v>3489</v>
      </c>
      <c r="I5698" s="368">
        <f t="shared" si="728"/>
        <v>0</v>
      </c>
      <c r="J5698">
        <v>10061</v>
      </c>
      <c r="K5698" s="367">
        <f t="shared" si="729"/>
        <v>7186.4285714285716</v>
      </c>
      <c r="L5698" s="69">
        <v>0.24000000000000002</v>
      </c>
      <c r="M5698">
        <v>3.8000000000000003</v>
      </c>
      <c r="N5698" s="381">
        <v>19</v>
      </c>
      <c r="O5698">
        <v>5</v>
      </c>
      <c r="P5698" t="s">
        <v>515</v>
      </c>
      <c r="Q5698" s="97" t="str">
        <f t="shared" si="730"/>
        <v/>
      </c>
      <c r="R5698" t="str">
        <f t="shared" si="731"/>
        <v/>
      </c>
    </row>
    <row r="5699" spans="3:18">
      <c r="C5699" t="str">
        <f t="shared" si="732"/>
        <v>NL</v>
      </c>
      <c r="D5699">
        <v>64</v>
      </c>
      <c r="E5699">
        <v>50</v>
      </c>
      <c r="F5699" s="366">
        <f t="shared" si="726"/>
        <v>1085</v>
      </c>
      <c r="G5699" s="97">
        <v>3133</v>
      </c>
      <c r="H5699" s="367">
        <f t="shared" si="727"/>
        <v>4218</v>
      </c>
      <c r="I5699" s="368">
        <f t="shared" si="728"/>
        <v>0</v>
      </c>
      <c r="J5699">
        <v>13112</v>
      </c>
      <c r="K5699" s="367">
        <f t="shared" si="729"/>
        <v>9365.7142857142862</v>
      </c>
      <c r="L5699" s="69">
        <v>0.66</v>
      </c>
      <c r="M5699">
        <v>3.8000000000000003</v>
      </c>
      <c r="N5699" s="381">
        <v>21</v>
      </c>
      <c r="O5699">
        <v>5</v>
      </c>
      <c r="P5699" t="s">
        <v>514</v>
      </c>
      <c r="Q5699" s="97" t="str">
        <f t="shared" si="730"/>
        <v/>
      </c>
      <c r="R5699" t="str">
        <f t="shared" si="731"/>
        <v/>
      </c>
    </row>
    <row r="5700" spans="3:18">
      <c r="C5700" t="str">
        <f t="shared" si="732"/>
        <v/>
      </c>
      <c r="D5700">
        <v>65</v>
      </c>
      <c r="E5700">
        <v>50</v>
      </c>
      <c r="F5700" s="366">
        <f t="shared" si="726"/>
        <v>1085</v>
      </c>
      <c r="G5700" s="97">
        <v>2372</v>
      </c>
      <c r="H5700" s="367">
        <f t="shared" si="727"/>
        <v>3457</v>
      </c>
      <c r="I5700" s="368">
        <f t="shared" si="728"/>
        <v>0</v>
      </c>
      <c r="J5700">
        <v>9928</v>
      </c>
      <c r="K5700" s="367">
        <f t="shared" si="729"/>
        <v>7091.4285714285716</v>
      </c>
      <c r="L5700" s="69">
        <v>0.18000000000000002</v>
      </c>
      <c r="M5700">
        <v>4.3999999999999995</v>
      </c>
      <c r="N5700" s="381">
        <v>18</v>
      </c>
      <c r="O5700">
        <v>6</v>
      </c>
      <c r="P5700" t="s">
        <v>515</v>
      </c>
      <c r="Q5700" s="97">
        <f t="shared" si="730"/>
        <v>65</v>
      </c>
      <c r="R5700" t="str">
        <f t="shared" si="731"/>
        <v/>
      </c>
    </row>
    <row r="5701" spans="3:18">
      <c r="C5701" t="str">
        <f t="shared" si="732"/>
        <v/>
      </c>
      <c r="D5701">
        <v>66</v>
      </c>
      <c r="E5701">
        <v>50</v>
      </c>
      <c r="F5701" s="366">
        <f t="shared" ref="F5701:F5752" si="733">1.085*($A$2-$B$2)*E5701*$T$7</f>
        <v>1085</v>
      </c>
      <c r="G5701" s="97">
        <v>3167</v>
      </c>
      <c r="H5701" s="367">
        <f t="shared" ref="H5701:H5764" si="734">(G5701*$U$7)+F5701</f>
        <v>4252</v>
      </c>
      <c r="I5701" s="368">
        <f t="shared" ref="I5701:I5754" si="735">1.085*($C$2-$D$2)*E5701*$T$7</f>
        <v>0</v>
      </c>
      <c r="J5701">
        <v>13257</v>
      </c>
      <c r="K5701" s="367">
        <f t="shared" ref="K5701:K5754" si="736">(J5701*$V$7)-I5701</f>
        <v>9469.2857142857138</v>
      </c>
      <c r="L5701" s="69">
        <v>0.47000000000000003</v>
      </c>
      <c r="M5701">
        <v>4.3999999999999995</v>
      </c>
      <c r="N5701" s="381">
        <v>20</v>
      </c>
      <c r="O5701">
        <v>6</v>
      </c>
      <c r="P5701" t="s">
        <v>514</v>
      </c>
      <c r="Q5701" s="97">
        <f t="shared" ref="Q5701:Q5754" si="737">IF(AND(H5701+1&gt;$E$4,L5701&lt;$L$4+0.01,M5701&lt;$M$4+0.01,K5701+1&gt;$F$4,E5701+1&gt;$J$4,N5701&lt;$K$4+1,O5701&lt;$P$4+1,C5701=""),D5701,"")</f>
        <v>66</v>
      </c>
      <c r="R5701" t="str">
        <f t="shared" ref="R5701:R5752" si="738">IF(Q5701="","",IF(AND(O5701&lt;$X$24,E5701&gt;$U$24,E5701&lt;$Q$4+$U$24+1),D5701,""))</f>
        <v/>
      </c>
    </row>
    <row r="5702" spans="3:18">
      <c r="C5702" t="str">
        <f t="shared" si="732"/>
        <v>NL</v>
      </c>
      <c r="D5702">
        <v>67</v>
      </c>
      <c r="E5702">
        <v>55</v>
      </c>
      <c r="F5702" s="366">
        <f t="shared" si="733"/>
        <v>1193.5</v>
      </c>
      <c r="G5702" s="97">
        <v>2692</v>
      </c>
      <c r="H5702" s="367">
        <f t="shared" si="734"/>
        <v>3885.5</v>
      </c>
      <c r="I5702" s="368">
        <f t="shared" si="735"/>
        <v>0</v>
      </c>
      <c r="J5702">
        <v>11266</v>
      </c>
      <c r="K5702" s="367">
        <f t="shared" si="736"/>
        <v>8047.1428571428569</v>
      </c>
      <c r="L5702" s="69">
        <v>0.84</v>
      </c>
      <c r="M5702">
        <v>2.4</v>
      </c>
      <c r="N5702" s="381">
        <v>25</v>
      </c>
      <c r="O5702">
        <v>3</v>
      </c>
      <c r="P5702" t="s">
        <v>515</v>
      </c>
      <c r="Q5702" s="97" t="str">
        <f t="shared" si="737"/>
        <v/>
      </c>
      <c r="R5702" t="str">
        <f t="shared" si="738"/>
        <v/>
      </c>
    </row>
    <row r="5703" spans="3:18">
      <c r="C5703" t="str">
        <f t="shared" si="732"/>
        <v/>
      </c>
      <c r="D5703">
        <v>68</v>
      </c>
      <c r="E5703">
        <v>55</v>
      </c>
      <c r="F5703" s="366">
        <f t="shared" si="733"/>
        <v>1193.5</v>
      </c>
      <c r="G5703" s="97">
        <v>2835</v>
      </c>
      <c r="H5703" s="367">
        <f t="shared" si="734"/>
        <v>4028.5</v>
      </c>
      <c r="I5703" s="368">
        <f t="shared" si="735"/>
        <v>0</v>
      </c>
      <c r="J5703">
        <v>11867</v>
      </c>
      <c r="K5703" s="367">
        <f t="shared" si="736"/>
        <v>8476.4285714285725</v>
      </c>
      <c r="L5703" s="69">
        <v>0.45</v>
      </c>
      <c r="M5703">
        <v>3.1</v>
      </c>
      <c r="N5703" s="381">
        <v>22</v>
      </c>
      <c r="O5703">
        <v>4</v>
      </c>
      <c r="P5703" t="s">
        <v>515</v>
      </c>
      <c r="Q5703" s="97">
        <f t="shared" si="737"/>
        <v>68</v>
      </c>
      <c r="R5703" t="str">
        <f t="shared" si="738"/>
        <v/>
      </c>
    </row>
    <row r="5704" spans="3:18">
      <c r="C5704" t="str">
        <f t="shared" si="732"/>
        <v>NL</v>
      </c>
      <c r="D5704">
        <v>69</v>
      </c>
      <c r="E5704">
        <v>55</v>
      </c>
      <c r="F5704" s="366">
        <f t="shared" si="733"/>
        <v>1193.5</v>
      </c>
      <c r="G5704" s="97">
        <v>2653</v>
      </c>
      <c r="H5704" s="367">
        <f t="shared" si="734"/>
        <v>3846.5</v>
      </c>
      <c r="I5704" s="368">
        <f t="shared" si="735"/>
        <v>0</v>
      </c>
      <c r="J5704">
        <v>11105</v>
      </c>
      <c r="K5704" s="367">
        <f t="shared" si="736"/>
        <v>7932.1428571428569</v>
      </c>
      <c r="L5704" s="69">
        <v>0.29000000000000004</v>
      </c>
      <c r="M5704">
        <v>3.8000000000000003</v>
      </c>
      <c r="N5704" s="381">
        <v>20</v>
      </c>
      <c r="O5704">
        <v>5</v>
      </c>
      <c r="P5704" t="s">
        <v>515</v>
      </c>
      <c r="Q5704" s="97" t="str">
        <f t="shared" si="737"/>
        <v/>
      </c>
      <c r="R5704" t="str">
        <f t="shared" si="738"/>
        <v/>
      </c>
    </row>
    <row r="5705" spans="3:18">
      <c r="C5705" t="str">
        <f t="shared" si="732"/>
        <v>NL</v>
      </c>
      <c r="D5705">
        <v>70</v>
      </c>
      <c r="E5705">
        <v>55</v>
      </c>
      <c r="F5705" s="366">
        <f t="shared" si="733"/>
        <v>1193.5</v>
      </c>
      <c r="G5705" s="97">
        <v>3371</v>
      </c>
      <c r="H5705" s="367">
        <f t="shared" si="734"/>
        <v>4564.5</v>
      </c>
      <c r="I5705" s="368">
        <f t="shared" si="735"/>
        <v>0</v>
      </c>
      <c r="J5705">
        <v>14111</v>
      </c>
      <c r="K5705" s="367">
        <f t="shared" si="736"/>
        <v>10079.285714285714</v>
      </c>
      <c r="L5705" s="69">
        <v>0.8</v>
      </c>
      <c r="M5705">
        <v>3.8000000000000003</v>
      </c>
      <c r="N5705" s="381">
        <v>22</v>
      </c>
      <c r="O5705">
        <v>5</v>
      </c>
      <c r="P5705" t="s">
        <v>514</v>
      </c>
      <c r="Q5705" s="97" t="str">
        <f t="shared" si="737"/>
        <v/>
      </c>
      <c r="R5705" t="str">
        <f t="shared" si="738"/>
        <v/>
      </c>
    </row>
    <row r="5706" spans="3:18">
      <c r="C5706" t="str">
        <f t="shared" si="732"/>
        <v/>
      </c>
      <c r="D5706">
        <v>71</v>
      </c>
      <c r="E5706">
        <v>55</v>
      </c>
      <c r="F5706" s="366">
        <f t="shared" si="733"/>
        <v>1193.5</v>
      </c>
      <c r="G5706" s="97">
        <v>2600</v>
      </c>
      <c r="H5706" s="367">
        <f t="shared" si="734"/>
        <v>3793.5</v>
      </c>
      <c r="I5706" s="368">
        <f t="shared" si="735"/>
        <v>0</v>
      </c>
      <c r="J5706">
        <v>10884</v>
      </c>
      <c r="K5706" s="367">
        <f t="shared" si="736"/>
        <v>7774.2857142857147</v>
      </c>
      <c r="L5706" s="69">
        <v>0.21000000000000002</v>
      </c>
      <c r="M5706">
        <v>4.3999999999999995</v>
      </c>
      <c r="N5706" s="381">
        <v>20</v>
      </c>
      <c r="O5706">
        <v>6</v>
      </c>
      <c r="P5706" t="s">
        <v>515</v>
      </c>
      <c r="Q5706" s="97">
        <f t="shared" si="737"/>
        <v>71</v>
      </c>
      <c r="R5706" t="str">
        <f t="shared" si="738"/>
        <v/>
      </c>
    </row>
    <row r="5707" spans="3:18">
      <c r="C5707" t="str">
        <f t="shared" si="732"/>
        <v/>
      </c>
      <c r="D5707">
        <v>72</v>
      </c>
      <c r="E5707">
        <v>55</v>
      </c>
      <c r="F5707" s="366">
        <f t="shared" si="733"/>
        <v>1193.5</v>
      </c>
      <c r="G5707" s="97">
        <v>3455</v>
      </c>
      <c r="H5707" s="367">
        <f t="shared" si="734"/>
        <v>4648.5</v>
      </c>
      <c r="I5707" s="368">
        <f t="shared" si="735"/>
        <v>0</v>
      </c>
      <c r="J5707">
        <v>14460</v>
      </c>
      <c r="K5707" s="367">
        <f t="shared" si="736"/>
        <v>10328.571428571429</v>
      </c>
      <c r="L5707" s="69">
        <v>0.57000000000000006</v>
      </c>
      <c r="M5707">
        <v>4.3999999999999995</v>
      </c>
      <c r="N5707" s="381">
        <v>22</v>
      </c>
      <c r="O5707">
        <v>6</v>
      </c>
      <c r="P5707" t="s">
        <v>514</v>
      </c>
      <c r="Q5707" s="97">
        <f t="shared" si="737"/>
        <v>72</v>
      </c>
      <c r="R5707" t="str">
        <f t="shared" si="738"/>
        <v/>
      </c>
    </row>
    <row r="5708" spans="3:18">
      <c r="C5708" t="str">
        <f t="shared" si="732"/>
        <v>NL</v>
      </c>
      <c r="D5708">
        <v>73</v>
      </c>
      <c r="E5708">
        <v>60</v>
      </c>
      <c r="F5708" s="366">
        <f t="shared" si="733"/>
        <v>1302</v>
      </c>
      <c r="G5708" s="97">
        <v>2875</v>
      </c>
      <c r="H5708" s="367">
        <f t="shared" si="734"/>
        <v>4177</v>
      </c>
      <c r="I5708" s="368">
        <f t="shared" si="735"/>
        <v>0</v>
      </c>
      <c r="J5708">
        <v>12034</v>
      </c>
      <c r="K5708" s="367">
        <f t="shared" si="736"/>
        <v>8595.7142857142862</v>
      </c>
      <c r="L5708" s="69">
        <v>1</v>
      </c>
      <c r="M5708">
        <v>2.4</v>
      </c>
      <c r="N5708" s="381">
        <v>26</v>
      </c>
      <c r="O5708">
        <v>3</v>
      </c>
      <c r="P5708" t="s">
        <v>515</v>
      </c>
      <c r="Q5708" s="97" t="str">
        <f t="shared" si="737"/>
        <v/>
      </c>
      <c r="R5708" t="str">
        <f t="shared" si="738"/>
        <v/>
      </c>
    </row>
    <row r="5709" spans="3:18">
      <c r="C5709" t="str">
        <f t="shared" si="732"/>
        <v/>
      </c>
      <c r="D5709">
        <v>74</v>
      </c>
      <c r="E5709">
        <v>60</v>
      </c>
      <c r="F5709" s="366">
        <f t="shared" si="733"/>
        <v>1302</v>
      </c>
      <c r="G5709" s="97">
        <v>3034</v>
      </c>
      <c r="H5709" s="367">
        <f t="shared" si="734"/>
        <v>4336</v>
      </c>
      <c r="I5709" s="368">
        <f t="shared" si="735"/>
        <v>0</v>
      </c>
      <c r="J5709">
        <v>12698</v>
      </c>
      <c r="K5709" s="367">
        <f t="shared" si="736"/>
        <v>9070</v>
      </c>
      <c r="L5709" s="69">
        <v>0.54</v>
      </c>
      <c r="M5709">
        <v>3.1</v>
      </c>
      <c r="N5709" s="381">
        <v>23</v>
      </c>
      <c r="O5709">
        <v>4</v>
      </c>
      <c r="P5709" t="s">
        <v>515</v>
      </c>
      <c r="Q5709" s="97">
        <f t="shared" si="737"/>
        <v>74</v>
      </c>
      <c r="R5709" t="str">
        <f t="shared" si="738"/>
        <v/>
      </c>
    </row>
    <row r="5710" spans="3:18">
      <c r="C5710" t="str">
        <f t="shared" si="732"/>
        <v>NL</v>
      </c>
      <c r="D5710">
        <v>75</v>
      </c>
      <c r="E5710">
        <v>60</v>
      </c>
      <c r="F5710" s="366">
        <f t="shared" si="733"/>
        <v>1302</v>
      </c>
      <c r="G5710" s="97">
        <v>2903</v>
      </c>
      <c r="H5710" s="367">
        <f t="shared" si="734"/>
        <v>4205</v>
      </c>
      <c r="I5710" s="368">
        <f t="shared" si="735"/>
        <v>0</v>
      </c>
      <c r="J5710">
        <v>12149</v>
      </c>
      <c r="K5710" s="367">
        <f t="shared" si="736"/>
        <v>8677.8571428571431</v>
      </c>
      <c r="L5710" s="69">
        <v>0.35000000000000003</v>
      </c>
      <c r="M5710">
        <v>3.8000000000000003</v>
      </c>
      <c r="N5710" s="381">
        <v>22</v>
      </c>
      <c r="O5710">
        <v>5</v>
      </c>
      <c r="P5710" t="s">
        <v>515</v>
      </c>
      <c r="Q5710" s="97" t="str">
        <f t="shared" si="737"/>
        <v/>
      </c>
      <c r="R5710" t="str">
        <f t="shared" si="738"/>
        <v/>
      </c>
    </row>
    <row r="5711" spans="3:18">
      <c r="C5711" t="str">
        <f t="shared" si="732"/>
        <v>NL</v>
      </c>
      <c r="D5711">
        <v>76</v>
      </c>
      <c r="E5711">
        <v>60</v>
      </c>
      <c r="F5711" s="366">
        <f t="shared" si="733"/>
        <v>1302</v>
      </c>
      <c r="G5711" s="97">
        <v>3602</v>
      </c>
      <c r="H5711" s="367">
        <f t="shared" si="734"/>
        <v>4904</v>
      </c>
      <c r="I5711" s="368">
        <f t="shared" si="735"/>
        <v>0</v>
      </c>
      <c r="J5711">
        <v>15076</v>
      </c>
      <c r="K5711" s="367">
        <f t="shared" si="736"/>
        <v>10768.571428571429</v>
      </c>
      <c r="L5711" s="69">
        <v>0.95</v>
      </c>
      <c r="M5711">
        <v>3.8000000000000003</v>
      </c>
      <c r="N5711" s="381">
        <v>24</v>
      </c>
      <c r="O5711">
        <v>5</v>
      </c>
      <c r="P5711" t="s">
        <v>514</v>
      </c>
      <c r="Q5711" s="97" t="str">
        <f t="shared" si="737"/>
        <v/>
      </c>
      <c r="R5711" t="str">
        <f t="shared" si="738"/>
        <v/>
      </c>
    </row>
    <row r="5712" spans="3:18">
      <c r="C5712" t="str">
        <f t="shared" si="732"/>
        <v/>
      </c>
      <c r="D5712">
        <v>77</v>
      </c>
      <c r="E5712">
        <v>60</v>
      </c>
      <c r="F5712" s="366">
        <f t="shared" si="733"/>
        <v>1302</v>
      </c>
      <c r="G5712" s="97">
        <v>2828</v>
      </c>
      <c r="H5712" s="367">
        <f t="shared" si="734"/>
        <v>4130</v>
      </c>
      <c r="I5712" s="368">
        <f t="shared" si="735"/>
        <v>0</v>
      </c>
      <c r="J5712">
        <v>11839</v>
      </c>
      <c r="K5712" s="367">
        <f t="shared" si="736"/>
        <v>8456.4285714285725</v>
      </c>
      <c r="L5712" s="69">
        <v>0.25</v>
      </c>
      <c r="M5712">
        <v>4.3999999999999995</v>
      </c>
      <c r="N5712" s="381">
        <v>21</v>
      </c>
      <c r="O5712">
        <v>6</v>
      </c>
      <c r="P5712" t="s">
        <v>515</v>
      </c>
      <c r="Q5712" s="97">
        <f t="shared" si="737"/>
        <v>77</v>
      </c>
      <c r="R5712" t="str">
        <f t="shared" si="738"/>
        <v/>
      </c>
    </row>
    <row r="5713" spans="3:18">
      <c r="C5713" t="str">
        <f t="shared" si="732"/>
        <v/>
      </c>
      <c r="D5713">
        <v>78</v>
      </c>
      <c r="E5713">
        <v>60</v>
      </c>
      <c r="F5713" s="366">
        <f t="shared" si="733"/>
        <v>1302</v>
      </c>
      <c r="G5713" s="97">
        <v>3702</v>
      </c>
      <c r="H5713" s="367">
        <f t="shared" si="734"/>
        <v>5004</v>
      </c>
      <c r="I5713" s="368">
        <f t="shared" si="735"/>
        <v>0</v>
      </c>
      <c r="J5713">
        <v>15493</v>
      </c>
      <c r="K5713" s="367">
        <f t="shared" si="736"/>
        <v>11066.428571428572</v>
      </c>
      <c r="L5713" s="69">
        <v>0.68</v>
      </c>
      <c r="M5713">
        <v>4.3999999999999995</v>
      </c>
      <c r="N5713" s="381">
        <v>23</v>
      </c>
      <c r="O5713">
        <v>6</v>
      </c>
      <c r="P5713" t="s">
        <v>514</v>
      </c>
      <c r="Q5713" s="97">
        <f t="shared" si="737"/>
        <v>78</v>
      </c>
      <c r="R5713" t="str">
        <f t="shared" si="738"/>
        <v/>
      </c>
    </row>
    <row r="5714" spans="3:18">
      <c r="C5714" t="str">
        <f t="shared" si="732"/>
        <v>NL</v>
      </c>
      <c r="D5714">
        <v>79</v>
      </c>
      <c r="E5714">
        <v>65</v>
      </c>
      <c r="F5714" s="366">
        <f t="shared" si="733"/>
        <v>1410.5</v>
      </c>
      <c r="G5714" s="97">
        <v>3052</v>
      </c>
      <c r="H5714" s="367">
        <f t="shared" si="734"/>
        <v>4462.5</v>
      </c>
      <c r="I5714" s="368">
        <f t="shared" si="735"/>
        <v>0</v>
      </c>
      <c r="J5714">
        <v>12775</v>
      </c>
      <c r="K5714" s="367">
        <f t="shared" si="736"/>
        <v>9125</v>
      </c>
      <c r="L5714" s="69">
        <v>1.18</v>
      </c>
      <c r="M5714">
        <v>2.4</v>
      </c>
      <c r="N5714" s="381">
        <v>27</v>
      </c>
      <c r="O5714">
        <v>3</v>
      </c>
      <c r="P5714" t="s">
        <v>515</v>
      </c>
      <c r="Q5714" s="97" t="str">
        <f t="shared" si="737"/>
        <v/>
      </c>
      <c r="R5714" t="str">
        <f t="shared" si="738"/>
        <v/>
      </c>
    </row>
    <row r="5715" spans="3:18">
      <c r="C5715" t="str">
        <f t="shared" si="732"/>
        <v/>
      </c>
      <c r="D5715">
        <v>80</v>
      </c>
      <c r="E5715">
        <v>65</v>
      </c>
      <c r="F5715" s="366">
        <f t="shared" si="733"/>
        <v>1410.5</v>
      </c>
      <c r="G5715" s="97">
        <v>3229</v>
      </c>
      <c r="H5715" s="367">
        <f t="shared" si="734"/>
        <v>4639.5</v>
      </c>
      <c r="I5715" s="368">
        <f t="shared" si="735"/>
        <v>0</v>
      </c>
      <c r="J5715">
        <v>13515</v>
      </c>
      <c r="K5715" s="367">
        <f t="shared" si="736"/>
        <v>9653.5714285714294</v>
      </c>
      <c r="L5715" s="69">
        <v>0.63</v>
      </c>
      <c r="M5715">
        <v>3.1</v>
      </c>
      <c r="N5715" s="381">
        <v>24</v>
      </c>
      <c r="O5715">
        <v>4</v>
      </c>
      <c r="P5715" t="s">
        <v>515</v>
      </c>
      <c r="Q5715" s="97">
        <f t="shared" si="737"/>
        <v>80</v>
      </c>
      <c r="R5715" t="str">
        <f t="shared" si="738"/>
        <v/>
      </c>
    </row>
    <row r="5716" spans="3:18">
      <c r="C5716" t="str">
        <f t="shared" si="732"/>
        <v>NL</v>
      </c>
      <c r="D5716">
        <v>81</v>
      </c>
      <c r="E5716">
        <v>65</v>
      </c>
      <c r="F5716" s="366">
        <f t="shared" si="733"/>
        <v>1410.5</v>
      </c>
      <c r="G5716" s="97">
        <v>3100</v>
      </c>
      <c r="H5716" s="367">
        <f t="shared" si="734"/>
        <v>4510.5</v>
      </c>
      <c r="I5716" s="368">
        <f t="shared" si="735"/>
        <v>0</v>
      </c>
      <c r="J5716">
        <v>12974</v>
      </c>
      <c r="K5716" s="367">
        <f t="shared" si="736"/>
        <v>9267.1428571428569</v>
      </c>
      <c r="L5716" s="69">
        <v>0.41000000000000003</v>
      </c>
      <c r="M5716">
        <v>3.8000000000000003</v>
      </c>
      <c r="N5716" s="381">
        <v>23</v>
      </c>
      <c r="O5716">
        <v>5</v>
      </c>
      <c r="P5716" t="s">
        <v>515</v>
      </c>
      <c r="Q5716" s="97" t="str">
        <f t="shared" si="737"/>
        <v/>
      </c>
      <c r="R5716" t="str">
        <f t="shared" si="738"/>
        <v/>
      </c>
    </row>
    <row r="5717" spans="3:18">
      <c r="C5717" t="str">
        <f t="shared" si="732"/>
        <v>NL</v>
      </c>
      <c r="D5717">
        <v>82</v>
      </c>
      <c r="E5717">
        <v>65</v>
      </c>
      <c r="F5717" s="366">
        <f t="shared" si="733"/>
        <v>1410.5</v>
      </c>
      <c r="G5717" s="97">
        <v>3818</v>
      </c>
      <c r="H5717" s="367">
        <f t="shared" si="734"/>
        <v>5228.5</v>
      </c>
      <c r="I5717" s="368">
        <f t="shared" si="735"/>
        <v>0</v>
      </c>
      <c r="J5717">
        <v>15982</v>
      </c>
      <c r="K5717" s="367">
        <f t="shared" si="736"/>
        <v>11415.714285714286</v>
      </c>
      <c r="L5717" s="69">
        <v>1.1200000000000001</v>
      </c>
      <c r="M5717">
        <v>3.8000000000000003</v>
      </c>
      <c r="N5717" s="381">
        <v>25</v>
      </c>
      <c r="O5717">
        <v>5</v>
      </c>
      <c r="P5717" t="s">
        <v>514</v>
      </c>
      <c r="Q5717" s="97" t="str">
        <f t="shared" si="737"/>
        <v/>
      </c>
      <c r="R5717" t="str">
        <f t="shared" si="738"/>
        <v/>
      </c>
    </row>
    <row r="5718" spans="3:18">
      <c r="C5718" t="str">
        <f t="shared" si="732"/>
        <v/>
      </c>
      <c r="D5718">
        <v>83</v>
      </c>
      <c r="E5718">
        <v>65</v>
      </c>
      <c r="F5718" s="366">
        <f t="shared" si="733"/>
        <v>1410.5</v>
      </c>
      <c r="G5718" s="97">
        <v>3073</v>
      </c>
      <c r="H5718" s="367">
        <f t="shared" si="734"/>
        <v>4483.5</v>
      </c>
      <c r="I5718" s="368">
        <f t="shared" si="735"/>
        <v>0</v>
      </c>
      <c r="J5718">
        <v>12860</v>
      </c>
      <c r="K5718" s="367">
        <f t="shared" si="736"/>
        <v>9185.7142857142862</v>
      </c>
      <c r="L5718" s="69">
        <v>0.29000000000000004</v>
      </c>
      <c r="M5718">
        <v>4.3999999999999995</v>
      </c>
      <c r="N5718" s="381">
        <v>22</v>
      </c>
      <c r="O5718">
        <v>6</v>
      </c>
      <c r="P5718" t="s">
        <v>515</v>
      </c>
      <c r="Q5718" s="97">
        <f t="shared" si="737"/>
        <v>83</v>
      </c>
      <c r="R5718" t="str">
        <f t="shared" si="738"/>
        <v/>
      </c>
    </row>
    <row r="5719" spans="3:18">
      <c r="C5719" t="str">
        <f t="shared" si="732"/>
        <v/>
      </c>
      <c r="D5719">
        <v>84</v>
      </c>
      <c r="E5719">
        <v>65</v>
      </c>
      <c r="F5719" s="366">
        <f t="shared" si="733"/>
        <v>1410.5</v>
      </c>
      <c r="G5719" s="97">
        <v>3936</v>
      </c>
      <c r="H5719" s="367">
        <f t="shared" si="734"/>
        <v>5346.5</v>
      </c>
      <c r="I5719" s="368">
        <f t="shared" si="735"/>
        <v>0</v>
      </c>
      <c r="J5719">
        <v>16472</v>
      </c>
      <c r="K5719" s="367">
        <f t="shared" si="736"/>
        <v>11765.714285714286</v>
      </c>
      <c r="L5719" s="69">
        <v>0.8</v>
      </c>
      <c r="M5719">
        <v>4.3999999999999995</v>
      </c>
      <c r="N5719" s="381">
        <v>24</v>
      </c>
      <c r="O5719">
        <v>6</v>
      </c>
      <c r="P5719" t="s">
        <v>514</v>
      </c>
      <c r="Q5719" s="97" t="str">
        <f t="shared" si="737"/>
        <v/>
      </c>
      <c r="R5719" t="str">
        <f t="shared" si="738"/>
        <v/>
      </c>
    </row>
    <row r="5720" spans="3:18">
      <c r="C5720" t="str">
        <f t="shared" si="732"/>
        <v/>
      </c>
      <c r="D5720">
        <v>85</v>
      </c>
      <c r="E5720">
        <v>70</v>
      </c>
      <c r="F5720" s="366">
        <f t="shared" si="733"/>
        <v>1519</v>
      </c>
      <c r="G5720" s="97">
        <v>3416</v>
      </c>
      <c r="H5720" s="367">
        <f t="shared" si="734"/>
        <v>4935</v>
      </c>
      <c r="I5720" s="368">
        <f t="shared" si="735"/>
        <v>0</v>
      </c>
      <c r="J5720">
        <v>14296</v>
      </c>
      <c r="K5720" s="367">
        <f t="shared" si="736"/>
        <v>10211.428571428572</v>
      </c>
      <c r="L5720" s="69">
        <v>0.73</v>
      </c>
      <c r="M5720">
        <v>3.1</v>
      </c>
      <c r="N5720" s="381">
        <v>25</v>
      </c>
      <c r="O5720">
        <v>4</v>
      </c>
      <c r="P5720" t="s">
        <v>515</v>
      </c>
      <c r="Q5720" s="97" t="str">
        <f t="shared" si="737"/>
        <v/>
      </c>
      <c r="R5720" t="str">
        <f t="shared" si="738"/>
        <v/>
      </c>
    </row>
    <row r="5721" spans="3:18">
      <c r="C5721" t="str">
        <f t="shared" si="732"/>
        <v>NL</v>
      </c>
      <c r="D5721">
        <v>86</v>
      </c>
      <c r="E5721">
        <v>70</v>
      </c>
      <c r="F5721" s="366">
        <f t="shared" si="733"/>
        <v>1519</v>
      </c>
      <c r="G5721" s="97">
        <v>3289</v>
      </c>
      <c r="H5721" s="367">
        <f t="shared" si="734"/>
        <v>4808</v>
      </c>
      <c r="I5721" s="368">
        <f t="shared" si="735"/>
        <v>0</v>
      </c>
      <c r="J5721">
        <v>13765</v>
      </c>
      <c r="K5721" s="367">
        <f t="shared" si="736"/>
        <v>9832.1428571428569</v>
      </c>
      <c r="L5721" s="69">
        <v>0.47000000000000003</v>
      </c>
      <c r="M5721">
        <v>3.8000000000000003</v>
      </c>
      <c r="N5721" s="381">
        <v>24</v>
      </c>
      <c r="O5721">
        <v>5</v>
      </c>
      <c r="P5721" t="s">
        <v>515</v>
      </c>
      <c r="Q5721" s="97" t="str">
        <f t="shared" si="737"/>
        <v/>
      </c>
      <c r="R5721" t="str">
        <f t="shared" si="738"/>
        <v/>
      </c>
    </row>
    <row r="5722" spans="3:18">
      <c r="C5722" t="str">
        <f t="shared" si="732"/>
        <v/>
      </c>
      <c r="D5722">
        <v>87</v>
      </c>
      <c r="E5722">
        <v>70</v>
      </c>
      <c r="F5722" s="366">
        <f t="shared" si="733"/>
        <v>1519</v>
      </c>
      <c r="G5722" s="97">
        <v>3319</v>
      </c>
      <c r="H5722" s="367">
        <f t="shared" si="734"/>
        <v>4838</v>
      </c>
      <c r="I5722" s="368">
        <f t="shared" si="735"/>
        <v>0</v>
      </c>
      <c r="J5722">
        <v>13891</v>
      </c>
      <c r="K5722" s="367">
        <f t="shared" si="736"/>
        <v>9922.1428571428569</v>
      </c>
      <c r="L5722" s="69">
        <v>0.34</v>
      </c>
      <c r="M5722">
        <v>4.3999999999999995</v>
      </c>
      <c r="N5722" s="381">
        <v>23</v>
      </c>
      <c r="O5722">
        <v>6</v>
      </c>
      <c r="P5722" t="s">
        <v>515</v>
      </c>
      <c r="Q5722" s="97">
        <f t="shared" si="737"/>
        <v>87</v>
      </c>
      <c r="R5722" t="str">
        <f t="shared" si="738"/>
        <v/>
      </c>
    </row>
    <row r="5723" spans="3:18">
      <c r="C5723" t="str">
        <f t="shared" si="732"/>
        <v/>
      </c>
      <c r="D5723">
        <v>88</v>
      </c>
      <c r="E5723">
        <v>70</v>
      </c>
      <c r="F5723" s="366">
        <f t="shared" si="733"/>
        <v>1519</v>
      </c>
      <c r="G5723" s="97">
        <v>4161</v>
      </c>
      <c r="H5723" s="367">
        <f t="shared" si="734"/>
        <v>5680</v>
      </c>
      <c r="I5723" s="368">
        <f t="shared" si="735"/>
        <v>0</v>
      </c>
      <c r="J5723">
        <v>17415</v>
      </c>
      <c r="K5723" s="367">
        <f t="shared" si="736"/>
        <v>12439.285714285714</v>
      </c>
      <c r="L5723" s="69">
        <v>0.92</v>
      </c>
      <c r="M5723">
        <v>4.3999999999999995</v>
      </c>
      <c r="N5723" s="381">
        <v>25</v>
      </c>
      <c r="O5723">
        <v>6</v>
      </c>
      <c r="P5723" t="s">
        <v>514</v>
      </c>
      <c r="Q5723" s="97" t="str">
        <f t="shared" si="737"/>
        <v/>
      </c>
      <c r="R5723" t="str">
        <f t="shared" si="738"/>
        <v/>
      </c>
    </row>
    <row r="5724" spans="3:18">
      <c r="C5724" t="str">
        <f t="shared" si="732"/>
        <v/>
      </c>
      <c r="D5724">
        <v>89</v>
      </c>
      <c r="E5724">
        <v>75</v>
      </c>
      <c r="F5724" s="366">
        <f t="shared" si="733"/>
        <v>1627.5</v>
      </c>
      <c r="G5724" s="97">
        <v>3598</v>
      </c>
      <c r="H5724" s="367">
        <f t="shared" si="734"/>
        <v>5225.5</v>
      </c>
      <c r="I5724" s="368">
        <f t="shared" si="735"/>
        <v>0</v>
      </c>
      <c r="J5724">
        <v>15057</v>
      </c>
      <c r="K5724" s="367">
        <f t="shared" si="736"/>
        <v>10755</v>
      </c>
      <c r="L5724" s="69">
        <v>0.83</v>
      </c>
      <c r="M5724">
        <v>3.1</v>
      </c>
      <c r="N5724" s="381">
        <v>26</v>
      </c>
      <c r="O5724">
        <v>4</v>
      </c>
      <c r="P5724" t="s">
        <v>515</v>
      </c>
      <c r="Q5724" s="97" t="str">
        <f t="shared" si="737"/>
        <v/>
      </c>
      <c r="R5724" t="str">
        <f t="shared" si="738"/>
        <v/>
      </c>
    </row>
    <row r="5725" spans="3:18">
      <c r="C5725" t="str">
        <f t="shared" si="732"/>
        <v>NL</v>
      </c>
      <c r="D5725">
        <v>90</v>
      </c>
      <c r="E5725">
        <v>75</v>
      </c>
      <c r="F5725" s="366">
        <f t="shared" si="733"/>
        <v>1627.5</v>
      </c>
      <c r="G5725" s="97">
        <v>3470</v>
      </c>
      <c r="H5725" s="367">
        <f t="shared" si="734"/>
        <v>5097.5</v>
      </c>
      <c r="I5725" s="368">
        <f t="shared" si="735"/>
        <v>0</v>
      </c>
      <c r="J5725">
        <v>14522</v>
      </c>
      <c r="K5725" s="367">
        <f t="shared" si="736"/>
        <v>10372.857142857143</v>
      </c>
      <c r="L5725" s="69">
        <v>0.54</v>
      </c>
      <c r="M5725">
        <v>3.8000000000000003</v>
      </c>
      <c r="N5725" s="381">
        <v>24</v>
      </c>
      <c r="O5725">
        <v>5</v>
      </c>
      <c r="P5725" t="s">
        <v>515</v>
      </c>
      <c r="Q5725" s="97" t="str">
        <f t="shared" si="737"/>
        <v/>
      </c>
      <c r="R5725" t="str">
        <f t="shared" si="738"/>
        <v/>
      </c>
    </row>
    <row r="5726" spans="3:18">
      <c r="C5726" t="str">
        <f t="shared" si="732"/>
        <v/>
      </c>
      <c r="D5726">
        <v>91</v>
      </c>
      <c r="E5726">
        <v>75</v>
      </c>
      <c r="F5726" s="366">
        <f t="shared" si="733"/>
        <v>1627.5</v>
      </c>
      <c r="G5726" s="97">
        <v>3554</v>
      </c>
      <c r="H5726" s="367">
        <f t="shared" si="734"/>
        <v>5181.5</v>
      </c>
      <c r="I5726" s="368">
        <f t="shared" si="735"/>
        <v>0</v>
      </c>
      <c r="J5726">
        <v>14874</v>
      </c>
      <c r="K5726" s="367">
        <f t="shared" si="736"/>
        <v>10624.285714285714</v>
      </c>
      <c r="L5726" s="69">
        <v>0.38</v>
      </c>
      <c r="M5726">
        <v>4.3999999999999995</v>
      </c>
      <c r="N5726" s="381">
        <v>23</v>
      </c>
      <c r="O5726">
        <v>6</v>
      </c>
      <c r="P5726" t="s">
        <v>515</v>
      </c>
      <c r="Q5726" s="97">
        <f t="shared" si="737"/>
        <v>91</v>
      </c>
      <c r="R5726" t="str">
        <f t="shared" si="738"/>
        <v/>
      </c>
    </row>
    <row r="5727" spans="3:18">
      <c r="C5727" t="str">
        <f t="shared" si="732"/>
        <v/>
      </c>
      <c r="D5727">
        <v>92</v>
      </c>
      <c r="E5727">
        <v>75</v>
      </c>
      <c r="F5727" s="366">
        <f t="shared" si="733"/>
        <v>1627.5</v>
      </c>
      <c r="G5727" s="97">
        <v>4376</v>
      </c>
      <c r="H5727" s="367">
        <f t="shared" si="734"/>
        <v>6003.5</v>
      </c>
      <c r="I5727" s="368">
        <f t="shared" si="735"/>
        <v>0</v>
      </c>
      <c r="J5727">
        <v>18313</v>
      </c>
      <c r="K5727" s="367">
        <f t="shared" si="736"/>
        <v>13080.714285714286</v>
      </c>
      <c r="L5727" s="69">
        <v>1.05</v>
      </c>
      <c r="M5727">
        <v>4.3999999999999995</v>
      </c>
      <c r="N5727" s="381">
        <v>26</v>
      </c>
      <c r="O5727">
        <v>6</v>
      </c>
      <c r="P5727" t="s">
        <v>514</v>
      </c>
      <c r="Q5727" s="97" t="str">
        <f t="shared" si="737"/>
        <v/>
      </c>
      <c r="R5727" t="str">
        <f t="shared" si="738"/>
        <v/>
      </c>
    </row>
    <row r="5728" spans="3:18">
      <c r="C5728" t="str">
        <f t="shared" si="732"/>
        <v/>
      </c>
      <c r="D5728">
        <v>93</v>
      </c>
      <c r="E5728">
        <v>80</v>
      </c>
      <c r="F5728" s="366">
        <f t="shared" si="733"/>
        <v>1736</v>
      </c>
      <c r="G5728" s="97">
        <v>3772</v>
      </c>
      <c r="H5728" s="367">
        <f t="shared" si="734"/>
        <v>5508</v>
      </c>
      <c r="I5728" s="368">
        <f t="shared" si="735"/>
        <v>0</v>
      </c>
      <c r="J5728">
        <v>15789</v>
      </c>
      <c r="K5728" s="367">
        <f t="shared" si="736"/>
        <v>11277.857142857143</v>
      </c>
      <c r="L5728" s="69">
        <v>0.95</v>
      </c>
      <c r="M5728">
        <v>3.1</v>
      </c>
      <c r="N5728" s="381">
        <v>26</v>
      </c>
      <c r="O5728">
        <v>4</v>
      </c>
      <c r="P5728" t="s">
        <v>515</v>
      </c>
      <c r="Q5728" s="97" t="str">
        <f t="shared" si="737"/>
        <v/>
      </c>
      <c r="R5728" t="str">
        <f t="shared" si="738"/>
        <v/>
      </c>
    </row>
    <row r="5729" spans="3:18">
      <c r="C5729" t="str">
        <f t="shared" si="732"/>
        <v>NL</v>
      </c>
      <c r="D5729">
        <v>94</v>
      </c>
      <c r="E5729">
        <v>80</v>
      </c>
      <c r="F5729" s="366">
        <f t="shared" si="733"/>
        <v>1736</v>
      </c>
      <c r="G5729" s="97">
        <v>3646</v>
      </c>
      <c r="H5729" s="367">
        <f t="shared" si="734"/>
        <v>5382</v>
      </c>
      <c r="I5729" s="368">
        <f t="shared" si="735"/>
        <v>0</v>
      </c>
      <c r="J5729">
        <v>15262</v>
      </c>
      <c r="K5729" s="367">
        <f t="shared" si="736"/>
        <v>10901.428571428572</v>
      </c>
      <c r="L5729" s="69">
        <v>0.61</v>
      </c>
      <c r="M5729">
        <v>3.8000000000000003</v>
      </c>
      <c r="N5729" s="381">
        <v>25</v>
      </c>
      <c r="O5729">
        <v>5</v>
      </c>
      <c r="P5729" t="s">
        <v>515</v>
      </c>
      <c r="Q5729" s="97" t="str">
        <f t="shared" si="737"/>
        <v/>
      </c>
      <c r="R5729" t="str">
        <f t="shared" si="738"/>
        <v/>
      </c>
    </row>
    <row r="5730" spans="3:18">
      <c r="C5730" t="str">
        <f t="shared" si="732"/>
        <v/>
      </c>
      <c r="D5730">
        <v>95</v>
      </c>
      <c r="E5730">
        <v>80</v>
      </c>
      <c r="F5730" s="366">
        <f t="shared" si="733"/>
        <v>1736</v>
      </c>
      <c r="G5730" s="97">
        <v>3738</v>
      </c>
      <c r="H5730" s="367">
        <f t="shared" si="734"/>
        <v>5474</v>
      </c>
      <c r="I5730" s="368">
        <f t="shared" si="735"/>
        <v>0</v>
      </c>
      <c r="J5730">
        <v>15647</v>
      </c>
      <c r="K5730" s="367">
        <f t="shared" si="736"/>
        <v>11176.428571428572</v>
      </c>
      <c r="L5730" s="69">
        <v>0.43</v>
      </c>
      <c r="M5730">
        <v>4.3999999999999995</v>
      </c>
      <c r="N5730" s="381">
        <v>24</v>
      </c>
      <c r="O5730">
        <v>6</v>
      </c>
      <c r="P5730" t="s">
        <v>515</v>
      </c>
      <c r="Q5730" s="97">
        <f t="shared" si="737"/>
        <v>95</v>
      </c>
      <c r="R5730" t="str">
        <f t="shared" si="738"/>
        <v/>
      </c>
    </row>
    <row r="5731" spans="3:18">
      <c r="C5731" t="str">
        <f t="shared" si="732"/>
        <v/>
      </c>
      <c r="D5731">
        <v>96</v>
      </c>
      <c r="E5731">
        <v>80</v>
      </c>
      <c r="F5731" s="366">
        <f t="shared" si="733"/>
        <v>1736</v>
      </c>
      <c r="G5731" s="97">
        <v>4585</v>
      </c>
      <c r="H5731" s="367">
        <f t="shared" si="734"/>
        <v>6321</v>
      </c>
      <c r="I5731" s="368">
        <f t="shared" si="735"/>
        <v>0</v>
      </c>
      <c r="J5731">
        <v>19191</v>
      </c>
      <c r="K5731" s="367">
        <f t="shared" si="736"/>
        <v>13707.857142857143</v>
      </c>
      <c r="L5731" s="69">
        <v>1.2</v>
      </c>
      <c r="M5731">
        <v>4.3999999999999995</v>
      </c>
      <c r="N5731" s="381">
        <v>26</v>
      </c>
      <c r="O5731">
        <v>6</v>
      </c>
      <c r="P5731" t="s">
        <v>514</v>
      </c>
      <c r="Q5731" s="97" t="str">
        <f t="shared" si="737"/>
        <v/>
      </c>
      <c r="R5731" t="str">
        <f t="shared" si="738"/>
        <v/>
      </c>
    </row>
    <row r="5732" spans="3:18">
      <c r="C5732" t="str">
        <f t="shared" si="732"/>
        <v/>
      </c>
      <c r="D5732">
        <v>97</v>
      </c>
      <c r="E5732">
        <v>85</v>
      </c>
      <c r="F5732" s="366">
        <f t="shared" si="733"/>
        <v>1844.5</v>
      </c>
      <c r="G5732" s="97">
        <v>3942</v>
      </c>
      <c r="H5732" s="367">
        <f t="shared" si="734"/>
        <v>5786.5</v>
      </c>
      <c r="I5732" s="368">
        <f t="shared" si="735"/>
        <v>0</v>
      </c>
      <c r="J5732">
        <v>16499</v>
      </c>
      <c r="K5732" s="367">
        <f t="shared" si="736"/>
        <v>11785</v>
      </c>
      <c r="L5732" s="69">
        <v>1.07</v>
      </c>
      <c r="M5732">
        <v>3.1</v>
      </c>
      <c r="N5732" s="381">
        <v>27</v>
      </c>
      <c r="O5732">
        <v>4</v>
      </c>
      <c r="P5732" t="s">
        <v>515</v>
      </c>
      <c r="Q5732" s="97" t="str">
        <f t="shared" si="737"/>
        <v/>
      </c>
      <c r="R5732" t="str">
        <f t="shared" si="738"/>
        <v/>
      </c>
    </row>
    <row r="5733" spans="3:18">
      <c r="C5733" t="str">
        <f t="shared" si="732"/>
        <v>NL</v>
      </c>
      <c r="D5733">
        <v>98</v>
      </c>
      <c r="E5733">
        <v>85</v>
      </c>
      <c r="F5733" s="366">
        <f t="shared" si="733"/>
        <v>1844.5</v>
      </c>
      <c r="G5733" s="97">
        <v>3817</v>
      </c>
      <c r="H5733" s="367">
        <f t="shared" si="734"/>
        <v>5661.5</v>
      </c>
      <c r="I5733" s="368">
        <f t="shared" si="735"/>
        <v>0</v>
      </c>
      <c r="J5733">
        <v>15974</v>
      </c>
      <c r="K5733" s="367">
        <f t="shared" si="736"/>
        <v>11410</v>
      </c>
      <c r="L5733" s="69">
        <v>0.69000000000000006</v>
      </c>
      <c r="M5733">
        <v>3.8000000000000003</v>
      </c>
      <c r="N5733" s="381">
        <v>26</v>
      </c>
      <c r="O5733">
        <v>5</v>
      </c>
      <c r="P5733" t="s">
        <v>515</v>
      </c>
      <c r="Q5733" s="97" t="str">
        <f t="shared" si="737"/>
        <v/>
      </c>
      <c r="R5733" t="str">
        <f t="shared" si="738"/>
        <v/>
      </c>
    </row>
    <row r="5734" spans="3:18">
      <c r="C5734" t="str">
        <f t="shared" si="732"/>
        <v/>
      </c>
      <c r="D5734">
        <v>99</v>
      </c>
      <c r="E5734">
        <v>85</v>
      </c>
      <c r="F5734" s="366">
        <f t="shared" si="733"/>
        <v>1844.5</v>
      </c>
      <c r="G5734" s="97">
        <v>3923</v>
      </c>
      <c r="H5734" s="367">
        <f t="shared" si="734"/>
        <v>5767.5</v>
      </c>
      <c r="I5734" s="368">
        <f t="shared" si="735"/>
        <v>0</v>
      </c>
      <c r="J5734">
        <v>16420</v>
      </c>
      <c r="K5734" s="367">
        <f t="shared" si="736"/>
        <v>11728.571428571429</v>
      </c>
      <c r="L5734" s="69">
        <v>0.49</v>
      </c>
      <c r="M5734">
        <v>4.3999999999999995</v>
      </c>
      <c r="N5734" s="381">
        <v>25</v>
      </c>
      <c r="O5734">
        <v>6</v>
      </c>
      <c r="P5734" t="s">
        <v>515</v>
      </c>
      <c r="Q5734" s="97">
        <f t="shared" si="737"/>
        <v>99</v>
      </c>
      <c r="R5734" t="str">
        <f t="shared" si="738"/>
        <v/>
      </c>
    </row>
    <row r="5735" spans="3:18">
      <c r="C5735" t="str">
        <f t="shared" si="732"/>
        <v/>
      </c>
      <c r="D5735">
        <v>100</v>
      </c>
      <c r="E5735">
        <v>90</v>
      </c>
      <c r="F5735" s="366">
        <f t="shared" si="733"/>
        <v>1953</v>
      </c>
      <c r="G5735" s="97">
        <v>4109</v>
      </c>
      <c r="H5735" s="367">
        <f t="shared" si="734"/>
        <v>6062</v>
      </c>
      <c r="I5735" s="368">
        <f t="shared" si="735"/>
        <v>0</v>
      </c>
      <c r="J5735">
        <v>17199</v>
      </c>
      <c r="K5735" s="367">
        <f t="shared" si="736"/>
        <v>12285</v>
      </c>
      <c r="L5735" s="69">
        <v>1.19</v>
      </c>
      <c r="M5735">
        <v>3.1</v>
      </c>
      <c r="N5735" s="381">
        <v>28</v>
      </c>
      <c r="O5735">
        <v>4</v>
      </c>
      <c r="P5735" t="s">
        <v>515</v>
      </c>
      <c r="Q5735" s="97" t="str">
        <f t="shared" si="737"/>
        <v/>
      </c>
      <c r="R5735" t="str">
        <f t="shared" si="738"/>
        <v/>
      </c>
    </row>
    <row r="5736" spans="3:18">
      <c r="C5736" t="str">
        <f t="shared" si="732"/>
        <v>NL</v>
      </c>
      <c r="D5736">
        <v>101</v>
      </c>
      <c r="E5736">
        <v>90</v>
      </c>
      <c r="F5736" s="366">
        <f t="shared" si="733"/>
        <v>1953</v>
      </c>
      <c r="G5736" s="97">
        <v>3979</v>
      </c>
      <c r="H5736" s="367">
        <f t="shared" si="734"/>
        <v>5932</v>
      </c>
      <c r="I5736" s="368">
        <f t="shared" si="735"/>
        <v>0</v>
      </c>
      <c r="J5736">
        <v>16652</v>
      </c>
      <c r="K5736" s="367">
        <f t="shared" si="736"/>
        <v>11894.285714285714</v>
      </c>
      <c r="L5736" s="69">
        <v>0.77</v>
      </c>
      <c r="M5736">
        <v>3.8000000000000003</v>
      </c>
      <c r="N5736" s="381">
        <v>27</v>
      </c>
      <c r="O5736">
        <v>5</v>
      </c>
      <c r="P5736" t="s">
        <v>515</v>
      </c>
      <c r="Q5736" s="97" t="str">
        <f t="shared" si="737"/>
        <v/>
      </c>
      <c r="R5736" t="str">
        <f t="shared" si="738"/>
        <v/>
      </c>
    </row>
    <row r="5737" spans="3:18">
      <c r="C5737" t="str">
        <f t="shared" si="732"/>
        <v/>
      </c>
      <c r="D5737">
        <v>102</v>
      </c>
      <c r="E5737">
        <v>90</v>
      </c>
      <c r="F5737" s="366">
        <f t="shared" si="733"/>
        <v>1953</v>
      </c>
      <c r="G5737" s="97">
        <v>4100</v>
      </c>
      <c r="H5737" s="367">
        <f t="shared" si="734"/>
        <v>6053</v>
      </c>
      <c r="I5737" s="368">
        <f t="shared" si="735"/>
        <v>0</v>
      </c>
      <c r="J5737">
        <v>17160</v>
      </c>
      <c r="K5737" s="367">
        <f t="shared" si="736"/>
        <v>12257.142857142857</v>
      </c>
      <c r="L5737" s="69">
        <v>0.55000000000000004</v>
      </c>
      <c r="M5737">
        <v>4.3999999999999995</v>
      </c>
      <c r="N5737" s="381">
        <v>26</v>
      </c>
      <c r="O5737">
        <v>6</v>
      </c>
      <c r="P5737" t="s">
        <v>515</v>
      </c>
      <c r="Q5737" s="97">
        <f t="shared" si="737"/>
        <v>102</v>
      </c>
      <c r="R5737" t="str">
        <f t="shared" si="738"/>
        <v/>
      </c>
    </row>
    <row r="5738" spans="3:18">
      <c r="C5738" t="str">
        <f t="shared" si="732"/>
        <v>NL</v>
      </c>
      <c r="D5738">
        <v>103</v>
      </c>
      <c r="E5738">
        <v>95</v>
      </c>
      <c r="F5738" s="366">
        <f t="shared" si="733"/>
        <v>2061.5</v>
      </c>
      <c r="G5738" s="97">
        <v>4138</v>
      </c>
      <c r="H5738" s="367">
        <f t="shared" si="734"/>
        <v>6199.5</v>
      </c>
      <c r="I5738" s="368">
        <f t="shared" si="735"/>
        <v>0</v>
      </c>
      <c r="J5738">
        <v>17320</v>
      </c>
      <c r="K5738" s="367">
        <f t="shared" si="736"/>
        <v>12371.428571428572</v>
      </c>
      <c r="L5738" s="69">
        <v>0.86</v>
      </c>
      <c r="M5738">
        <v>3.8000000000000003</v>
      </c>
      <c r="N5738" s="381">
        <v>27</v>
      </c>
      <c r="O5738">
        <v>5</v>
      </c>
      <c r="P5738" t="s">
        <v>515</v>
      </c>
      <c r="Q5738" s="97" t="str">
        <f t="shared" si="737"/>
        <v/>
      </c>
      <c r="R5738" t="str">
        <f t="shared" si="738"/>
        <v/>
      </c>
    </row>
    <row r="5739" spans="3:18">
      <c r="C5739" t="str">
        <f t="shared" si="732"/>
        <v/>
      </c>
      <c r="D5739">
        <v>104</v>
      </c>
      <c r="E5739">
        <v>95</v>
      </c>
      <c r="F5739" s="366">
        <f t="shared" si="733"/>
        <v>2061.5</v>
      </c>
      <c r="G5739" s="97">
        <v>4269</v>
      </c>
      <c r="H5739" s="367">
        <f t="shared" si="734"/>
        <v>6330.5</v>
      </c>
      <c r="I5739" s="368">
        <f t="shared" si="735"/>
        <v>0</v>
      </c>
      <c r="J5739">
        <v>17866</v>
      </c>
      <c r="K5739" s="367">
        <f t="shared" si="736"/>
        <v>12761.428571428572</v>
      </c>
      <c r="L5739" s="69">
        <v>0.61</v>
      </c>
      <c r="M5739">
        <v>4.3999999999999995</v>
      </c>
      <c r="N5739" s="381">
        <v>26</v>
      </c>
      <c r="O5739">
        <v>6</v>
      </c>
      <c r="P5739" t="s">
        <v>515</v>
      </c>
      <c r="Q5739" s="97">
        <f t="shared" si="737"/>
        <v>104</v>
      </c>
      <c r="R5739" t="str">
        <f t="shared" si="738"/>
        <v/>
      </c>
    </row>
    <row r="5740" spans="3:18">
      <c r="C5740" t="str">
        <f t="shared" si="732"/>
        <v>NL</v>
      </c>
      <c r="D5740">
        <v>105</v>
      </c>
      <c r="E5740">
        <v>100</v>
      </c>
      <c r="F5740" s="366">
        <f t="shared" si="733"/>
        <v>2170</v>
      </c>
      <c r="G5740" s="97">
        <v>4291</v>
      </c>
      <c r="H5740" s="367">
        <f t="shared" si="734"/>
        <v>6461</v>
      </c>
      <c r="I5740" s="368">
        <f t="shared" si="735"/>
        <v>0</v>
      </c>
      <c r="J5740">
        <v>17961</v>
      </c>
      <c r="K5740" s="367">
        <f t="shared" si="736"/>
        <v>12829.285714285714</v>
      </c>
      <c r="L5740" s="69">
        <v>0.95</v>
      </c>
      <c r="M5740">
        <v>3.8000000000000003</v>
      </c>
      <c r="N5740" s="381">
        <v>28</v>
      </c>
      <c r="O5740">
        <v>5</v>
      </c>
      <c r="P5740" t="s">
        <v>515</v>
      </c>
      <c r="Q5740" s="97" t="str">
        <f t="shared" si="737"/>
        <v/>
      </c>
      <c r="R5740" t="str">
        <f t="shared" si="738"/>
        <v/>
      </c>
    </row>
    <row r="5741" spans="3:18">
      <c r="C5741" t="str">
        <f t="shared" si="732"/>
        <v/>
      </c>
      <c r="D5741">
        <v>106</v>
      </c>
      <c r="E5741">
        <v>100</v>
      </c>
      <c r="F5741" s="366">
        <f t="shared" si="733"/>
        <v>2170</v>
      </c>
      <c r="G5741" s="97">
        <v>4270</v>
      </c>
      <c r="H5741" s="367">
        <f t="shared" si="734"/>
        <v>6440</v>
      </c>
      <c r="I5741" s="368">
        <f t="shared" si="735"/>
        <v>0</v>
      </c>
      <c r="J5741">
        <v>12943</v>
      </c>
      <c r="K5741" s="367">
        <f t="shared" si="736"/>
        <v>9245</v>
      </c>
      <c r="L5741" s="69">
        <v>0.67</v>
      </c>
      <c r="M5741">
        <v>3.4</v>
      </c>
      <c r="N5741" s="381">
        <v>27</v>
      </c>
      <c r="O5741">
        <v>6</v>
      </c>
      <c r="P5741" t="s">
        <v>515</v>
      </c>
      <c r="Q5741" s="97">
        <f t="shared" si="737"/>
        <v>106</v>
      </c>
      <c r="R5741" t="str">
        <f t="shared" si="738"/>
        <v/>
      </c>
    </row>
    <row r="5742" spans="3:18">
      <c r="C5742" t="str">
        <f t="shared" si="732"/>
        <v>NL</v>
      </c>
      <c r="D5742">
        <v>107</v>
      </c>
      <c r="E5742">
        <v>105</v>
      </c>
      <c r="F5742" s="366">
        <f t="shared" si="733"/>
        <v>2278.5</v>
      </c>
      <c r="G5742" s="97">
        <v>4444</v>
      </c>
      <c r="H5742" s="367">
        <f t="shared" si="734"/>
        <v>6722.5</v>
      </c>
      <c r="I5742" s="368">
        <f t="shared" si="735"/>
        <v>0</v>
      </c>
      <c r="J5742">
        <v>18600</v>
      </c>
      <c r="K5742" s="367">
        <f t="shared" si="736"/>
        <v>13285.714285714286</v>
      </c>
      <c r="L5742" s="69">
        <v>1.05</v>
      </c>
      <c r="M5742">
        <v>3.8000000000000003</v>
      </c>
      <c r="N5742" s="381">
        <v>29</v>
      </c>
      <c r="O5742">
        <v>5</v>
      </c>
      <c r="P5742" t="s">
        <v>515</v>
      </c>
      <c r="Q5742" s="97" t="str">
        <f t="shared" si="737"/>
        <v/>
      </c>
      <c r="R5742" t="str">
        <f t="shared" si="738"/>
        <v/>
      </c>
    </row>
    <row r="5743" spans="3:18">
      <c r="C5743" t="str">
        <f t="shared" si="732"/>
        <v/>
      </c>
      <c r="D5743">
        <v>108</v>
      </c>
      <c r="E5743">
        <v>105</v>
      </c>
      <c r="F5743" s="366">
        <f t="shared" si="733"/>
        <v>2278.5</v>
      </c>
      <c r="G5743" s="97">
        <v>4423</v>
      </c>
      <c r="H5743" s="367">
        <f t="shared" si="734"/>
        <v>6701.5</v>
      </c>
      <c r="I5743" s="368">
        <f t="shared" si="735"/>
        <v>0</v>
      </c>
      <c r="J5743">
        <v>13408</v>
      </c>
      <c r="K5743" s="367">
        <f t="shared" si="736"/>
        <v>9577.1428571428569</v>
      </c>
      <c r="L5743" s="69">
        <v>0.74</v>
      </c>
      <c r="M5743">
        <v>3.4</v>
      </c>
      <c r="N5743" s="381">
        <v>28</v>
      </c>
      <c r="O5743">
        <v>6</v>
      </c>
      <c r="P5743" t="s">
        <v>515</v>
      </c>
      <c r="Q5743" s="97" t="str">
        <f t="shared" si="737"/>
        <v/>
      </c>
      <c r="R5743" t="str">
        <f t="shared" si="738"/>
        <v/>
      </c>
    </row>
    <row r="5744" spans="3:18">
      <c r="C5744" t="str">
        <f t="shared" si="732"/>
        <v>NL</v>
      </c>
      <c r="D5744">
        <v>109</v>
      </c>
      <c r="E5744">
        <v>110</v>
      </c>
      <c r="F5744" s="366">
        <f t="shared" si="733"/>
        <v>2387</v>
      </c>
      <c r="G5744" s="97">
        <v>4592</v>
      </c>
      <c r="H5744" s="367">
        <f t="shared" si="734"/>
        <v>6979</v>
      </c>
      <c r="I5744" s="368">
        <f t="shared" si="735"/>
        <v>0</v>
      </c>
      <c r="J5744">
        <v>19220</v>
      </c>
      <c r="K5744" s="367">
        <f t="shared" si="736"/>
        <v>13728.571428571429</v>
      </c>
      <c r="L5744" s="69">
        <v>1.1499999999999999</v>
      </c>
      <c r="M5744">
        <v>3.8000000000000003</v>
      </c>
      <c r="N5744" s="381">
        <v>29</v>
      </c>
      <c r="O5744">
        <v>5</v>
      </c>
      <c r="P5744" t="s">
        <v>515</v>
      </c>
      <c r="Q5744" s="97" t="str">
        <f t="shared" si="737"/>
        <v/>
      </c>
      <c r="R5744" t="str">
        <f t="shared" si="738"/>
        <v/>
      </c>
    </row>
    <row r="5745" spans="2:18">
      <c r="C5745" t="str">
        <f t="shared" si="732"/>
        <v/>
      </c>
      <c r="D5745">
        <v>110</v>
      </c>
      <c r="E5745">
        <v>110</v>
      </c>
      <c r="F5745" s="366">
        <f t="shared" si="733"/>
        <v>2387</v>
      </c>
      <c r="G5745" s="97">
        <v>4574</v>
      </c>
      <c r="H5745" s="367">
        <f t="shared" si="734"/>
        <v>6961</v>
      </c>
      <c r="I5745" s="368">
        <f t="shared" si="735"/>
        <v>0</v>
      </c>
      <c r="J5745">
        <v>13867</v>
      </c>
      <c r="K5745" s="367">
        <f t="shared" si="736"/>
        <v>9905</v>
      </c>
      <c r="L5745" s="69">
        <v>0.82000000000000006</v>
      </c>
      <c r="M5745">
        <v>3.4</v>
      </c>
      <c r="N5745" s="381">
        <v>28</v>
      </c>
      <c r="O5745">
        <v>6</v>
      </c>
      <c r="P5745" t="s">
        <v>515</v>
      </c>
      <c r="Q5745" s="97" t="str">
        <f t="shared" si="737"/>
        <v/>
      </c>
      <c r="R5745" t="str">
        <f t="shared" si="738"/>
        <v/>
      </c>
    </row>
    <row r="5746" spans="2:18">
      <c r="C5746" t="str">
        <f t="shared" si="732"/>
        <v/>
      </c>
      <c r="D5746">
        <v>111</v>
      </c>
      <c r="E5746">
        <v>115</v>
      </c>
      <c r="F5746" s="366">
        <f t="shared" si="733"/>
        <v>2495.5</v>
      </c>
      <c r="G5746" s="97">
        <v>4725</v>
      </c>
      <c r="H5746" s="367">
        <f t="shared" si="734"/>
        <v>7220.5</v>
      </c>
      <c r="I5746" s="368">
        <f t="shared" si="735"/>
        <v>0</v>
      </c>
      <c r="J5746">
        <v>14322</v>
      </c>
      <c r="K5746" s="367">
        <f t="shared" si="736"/>
        <v>10230</v>
      </c>
      <c r="L5746" s="69">
        <v>0.89</v>
      </c>
      <c r="M5746">
        <v>3.4</v>
      </c>
      <c r="N5746" s="381">
        <v>29</v>
      </c>
      <c r="O5746">
        <v>6</v>
      </c>
      <c r="P5746" t="s">
        <v>515</v>
      </c>
      <c r="Q5746" s="97" t="str">
        <f t="shared" si="737"/>
        <v/>
      </c>
      <c r="R5746" t="str">
        <f t="shared" si="738"/>
        <v/>
      </c>
    </row>
    <row r="5747" spans="2:18">
      <c r="C5747" t="str">
        <f t="shared" si="732"/>
        <v/>
      </c>
      <c r="D5747">
        <v>112</v>
      </c>
      <c r="E5747">
        <v>120</v>
      </c>
      <c r="F5747" s="366">
        <f t="shared" si="733"/>
        <v>2604</v>
      </c>
      <c r="G5747" s="97">
        <v>4867</v>
      </c>
      <c r="H5747" s="367">
        <f t="shared" si="734"/>
        <v>7471</v>
      </c>
      <c r="I5747" s="368">
        <f t="shared" si="735"/>
        <v>0</v>
      </c>
      <c r="J5747">
        <v>14753</v>
      </c>
      <c r="K5747" s="367">
        <f t="shared" si="736"/>
        <v>10537.857142857143</v>
      </c>
      <c r="L5747" s="69">
        <v>0.97</v>
      </c>
      <c r="M5747">
        <v>3.4</v>
      </c>
      <c r="N5747" s="381">
        <v>29</v>
      </c>
      <c r="O5747">
        <v>6</v>
      </c>
      <c r="P5747" t="s">
        <v>515</v>
      </c>
      <c r="Q5747" s="97" t="str">
        <f t="shared" si="737"/>
        <v/>
      </c>
      <c r="R5747" t="str">
        <f t="shared" si="738"/>
        <v/>
      </c>
    </row>
    <row r="5748" spans="2:18">
      <c r="C5748" t="str">
        <f t="shared" si="732"/>
        <v/>
      </c>
      <c r="D5748">
        <v>113</v>
      </c>
      <c r="E5748">
        <v>125</v>
      </c>
      <c r="F5748" s="366">
        <f t="shared" si="733"/>
        <v>2712.5</v>
      </c>
      <c r="G5748" s="97">
        <v>5009</v>
      </c>
      <c r="H5748" s="367">
        <f t="shared" si="734"/>
        <v>7721.5</v>
      </c>
      <c r="I5748" s="368">
        <f t="shared" si="735"/>
        <v>0</v>
      </c>
      <c r="J5748">
        <v>15184</v>
      </c>
      <c r="K5748" s="367">
        <f t="shared" si="736"/>
        <v>10845.714285714286</v>
      </c>
      <c r="L5748" s="69">
        <v>1.05</v>
      </c>
      <c r="M5748">
        <v>3.4</v>
      </c>
      <c r="N5748" s="381">
        <v>30</v>
      </c>
      <c r="O5748">
        <v>6</v>
      </c>
      <c r="P5748" t="s">
        <v>515</v>
      </c>
      <c r="Q5748" s="97" t="str">
        <f t="shared" si="737"/>
        <v/>
      </c>
      <c r="R5748" t="str">
        <f t="shared" si="738"/>
        <v/>
      </c>
    </row>
    <row r="5749" spans="2:18">
      <c r="C5749" t="str">
        <f t="shared" si="732"/>
        <v/>
      </c>
      <c r="D5749">
        <v>114</v>
      </c>
      <c r="E5749">
        <v>130</v>
      </c>
      <c r="F5749" s="366">
        <f t="shared" si="733"/>
        <v>2821</v>
      </c>
      <c r="G5749" s="97">
        <v>5147</v>
      </c>
      <c r="H5749" s="367">
        <f t="shared" si="734"/>
        <v>7968</v>
      </c>
      <c r="I5749" s="368">
        <f t="shared" si="735"/>
        <v>0</v>
      </c>
      <c r="J5749">
        <v>15601</v>
      </c>
      <c r="K5749" s="367">
        <f t="shared" si="736"/>
        <v>11143.571428571429</v>
      </c>
      <c r="L5749" s="69">
        <v>1.1300000000000001</v>
      </c>
      <c r="M5749">
        <v>3.4</v>
      </c>
      <c r="N5749" s="381">
        <v>30</v>
      </c>
      <c r="O5749">
        <v>6</v>
      </c>
      <c r="P5749" t="s">
        <v>515</v>
      </c>
      <c r="Q5749" s="97" t="str">
        <f t="shared" si="737"/>
        <v/>
      </c>
      <c r="R5749" t="str">
        <f t="shared" si="738"/>
        <v/>
      </c>
    </row>
    <row r="5750" spans="2:18">
      <c r="C5750" t="str">
        <f t="shared" si="732"/>
        <v/>
      </c>
      <c r="D5750">
        <v>115</v>
      </c>
      <c r="E5750">
        <v>135</v>
      </c>
      <c r="F5750" s="366">
        <f t="shared" si="733"/>
        <v>2929.5</v>
      </c>
      <c r="G5750" s="97">
        <v>5278</v>
      </c>
      <c r="H5750" s="367">
        <f t="shared" si="734"/>
        <v>8207.5</v>
      </c>
      <c r="I5750" s="368">
        <f t="shared" si="735"/>
        <v>0</v>
      </c>
      <c r="J5750">
        <v>15998</v>
      </c>
      <c r="K5750" s="367">
        <f t="shared" si="736"/>
        <v>11427.142857142857</v>
      </c>
      <c r="L5750" s="69">
        <v>1.22</v>
      </c>
      <c r="M5750">
        <v>3.4</v>
      </c>
      <c r="N5750" s="381">
        <v>31</v>
      </c>
      <c r="O5750">
        <v>6</v>
      </c>
      <c r="P5750" t="s">
        <v>515</v>
      </c>
      <c r="Q5750" s="97" t="str">
        <f t="shared" si="737"/>
        <v/>
      </c>
      <c r="R5750" t="str">
        <f t="shared" si="738"/>
        <v/>
      </c>
    </row>
    <row r="5751" spans="2:18">
      <c r="C5751" t="str">
        <f t="shared" si="732"/>
        <v/>
      </c>
      <c r="D5751">
        <v>116</v>
      </c>
      <c r="E5751">
        <v>140</v>
      </c>
      <c r="F5751" s="366">
        <f t="shared" si="733"/>
        <v>3038</v>
      </c>
      <c r="G5751" s="97">
        <v>5408</v>
      </c>
      <c r="H5751" s="367">
        <f t="shared" si="734"/>
        <v>8446</v>
      </c>
      <c r="I5751" s="368">
        <f t="shared" si="735"/>
        <v>0</v>
      </c>
      <c r="J5751">
        <v>16395</v>
      </c>
      <c r="K5751" s="367">
        <f t="shared" si="736"/>
        <v>11710.714285714286</v>
      </c>
      <c r="L5751" s="69">
        <v>1.32</v>
      </c>
      <c r="M5751">
        <v>3.4</v>
      </c>
      <c r="N5751" s="381">
        <v>31</v>
      </c>
      <c r="O5751">
        <v>6</v>
      </c>
      <c r="P5751" t="s">
        <v>515</v>
      </c>
      <c r="Q5751" s="97" t="str">
        <f t="shared" si="737"/>
        <v/>
      </c>
      <c r="R5751" t="str">
        <f t="shared" si="738"/>
        <v/>
      </c>
    </row>
    <row r="5752" spans="2:18">
      <c r="C5752" t="str">
        <f t="shared" si="732"/>
        <v/>
      </c>
      <c r="F5752" s="366">
        <f t="shared" si="733"/>
        <v>0</v>
      </c>
      <c r="H5752" s="367">
        <f t="shared" si="734"/>
        <v>0</v>
      </c>
      <c r="I5752" s="368">
        <f t="shared" si="735"/>
        <v>0</v>
      </c>
      <c r="K5752" s="367">
        <f t="shared" si="736"/>
        <v>0</v>
      </c>
      <c r="L5752" s="69"/>
      <c r="N5752" s="381"/>
      <c r="Q5752" s="97" t="str">
        <f t="shared" si="737"/>
        <v/>
      </c>
      <c r="R5752" t="str">
        <f t="shared" si="738"/>
        <v/>
      </c>
    </row>
    <row r="5753" spans="2:18">
      <c r="B5753" s="582"/>
    </row>
    <row r="5754" spans="2:18">
      <c r="B5754" s="582"/>
      <c r="C5754" t="str">
        <f t="shared" ref="C5754:C5817" si="739">IF(OR($O$4=0,O5754-$O$4=0),IF(AND(ISEVEN(O5754)=FALSE,$N$4="Even"),"NL",""),"NL")</f>
        <v>NL</v>
      </c>
      <c r="D5754">
        <v>1</v>
      </c>
      <c r="E5754">
        <v>10</v>
      </c>
      <c r="F5754" s="366">
        <f t="shared" ref="F5754:F5817" si="740">1.085*($A$2-$B$2)*E5754*$T$7</f>
        <v>217</v>
      </c>
      <c r="G5754" s="97">
        <v>885</v>
      </c>
      <c r="H5754" s="367">
        <f t="shared" si="734"/>
        <v>1102</v>
      </c>
      <c r="I5754" s="368">
        <f t="shared" si="735"/>
        <v>0</v>
      </c>
      <c r="J5754">
        <v>2685</v>
      </c>
      <c r="K5754" s="367">
        <f t="shared" si="736"/>
        <v>1917.8571428571429</v>
      </c>
      <c r="L5754">
        <v>0.31</v>
      </c>
      <c r="M5754">
        <v>1.8</v>
      </c>
      <c r="N5754">
        <v>15</v>
      </c>
      <c r="O5754">
        <v>3</v>
      </c>
      <c r="P5754" t="s">
        <v>513</v>
      </c>
      <c r="Q5754" s="97" t="str">
        <f t="shared" si="737"/>
        <v/>
      </c>
      <c r="R5754" t="str">
        <f>IF(Q5754="","",IF(AND(O5754&lt;$X$25,E5754&gt;$U$25,E5754&lt;$Q$4+$U$25+1),D5754,""))</f>
        <v/>
      </c>
    </row>
    <row r="5755" spans="2:18">
      <c r="C5755" t="str">
        <f t="shared" si="739"/>
        <v>NL</v>
      </c>
      <c r="D5755">
        <v>2</v>
      </c>
      <c r="E5755">
        <v>10</v>
      </c>
      <c r="F5755" s="366">
        <f t="shared" si="740"/>
        <v>217</v>
      </c>
      <c r="G5755" s="97">
        <v>1092</v>
      </c>
      <c r="H5755" s="367">
        <f t="shared" si="734"/>
        <v>1309</v>
      </c>
      <c r="I5755" s="368">
        <f t="shared" ref="I5755:I5818" si="741">1.085*($C$2-$D$2)*E5755*$T$7</f>
        <v>0</v>
      </c>
      <c r="J5755">
        <v>3311</v>
      </c>
      <c r="K5755" s="367">
        <f t="shared" ref="K5755:K5818" si="742">(J5755*$V$7)-I5755</f>
        <v>2365</v>
      </c>
      <c r="L5755">
        <v>0.75</v>
      </c>
      <c r="M5755">
        <v>1.8</v>
      </c>
      <c r="N5755">
        <v>19</v>
      </c>
      <c r="O5755">
        <v>3</v>
      </c>
      <c r="P5755" t="s">
        <v>512</v>
      </c>
      <c r="Q5755" s="97" t="str">
        <f t="shared" ref="Q5755:Q5818" si="743">IF(AND(H5755+1&gt;$E$4,L5755&lt;$L$4+0.01,M5755&lt;$M$4+0.01,K5755+1&gt;$F$4,E5755+1&gt;$J$4,N5755&lt;$K$4+1,O5755&lt;$P$4+1,C5755=""),D5755,"")</f>
        <v/>
      </c>
      <c r="R5755" t="str">
        <f t="shared" ref="R5755:R5818" si="744">IF(Q5755="","",IF(AND(O5755&lt;$X$25,E5755&gt;$U$25,E5755&lt;$Q$4+$U$25+1),D5755,""))</f>
        <v/>
      </c>
    </row>
    <row r="5756" spans="2:18">
      <c r="C5756" t="str">
        <f t="shared" si="739"/>
        <v/>
      </c>
      <c r="D5756">
        <v>3</v>
      </c>
      <c r="E5756">
        <v>10</v>
      </c>
      <c r="F5756" s="366">
        <f t="shared" si="740"/>
        <v>217</v>
      </c>
      <c r="G5756" s="97">
        <v>901</v>
      </c>
      <c r="H5756" s="367">
        <f t="shared" si="734"/>
        <v>1118</v>
      </c>
      <c r="I5756" s="368">
        <f t="shared" si="741"/>
        <v>0</v>
      </c>
      <c r="J5756">
        <v>2731</v>
      </c>
      <c r="K5756" s="367">
        <f t="shared" si="742"/>
        <v>1950.7142857142858</v>
      </c>
      <c r="L5756">
        <v>0.17</v>
      </c>
      <c r="M5756">
        <v>2.3000000000000003</v>
      </c>
      <c r="N5756">
        <v>15</v>
      </c>
      <c r="O5756">
        <v>4</v>
      </c>
      <c r="P5756" t="s">
        <v>513</v>
      </c>
      <c r="Q5756" s="97" t="str">
        <f t="shared" si="743"/>
        <v/>
      </c>
      <c r="R5756" t="str">
        <f t="shared" si="744"/>
        <v/>
      </c>
    </row>
    <row r="5757" spans="2:18">
      <c r="C5757" t="str">
        <f t="shared" si="739"/>
        <v/>
      </c>
      <c r="D5757">
        <v>4</v>
      </c>
      <c r="E5757">
        <v>10</v>
      </c>
      <c r="F5757" s="366">
        <f t="shared" si="740"/>
        <v>217</v>
      </c>
      <c r="G5757" s="97">
        <v>1120</v>
      </c>
      <c r="H5757" s="367">
        <f t="shared" si="734"/>
        <v>1337</v>
      </c>
      <c r="I5757" s="368">
        <f t="shared" si="741"/>
        <v>0</v>
      </c>
      <c r="J5757">
        <v>3395</v>
      </c>
      <c r="K5757" s="367">
        <f t="shared" si="742"/>
        <v>2425</v>
      </c>
      <c r="L5757">
        <v>0.39</v>
      </c>
      <c r="M5757">
        <v>2.3000000000000003</v>
      </c>
      <c r="N5757">
        <v>16</v>
      </c>
      <c r="O5757">
        <v>4</v>
      </c>
      <c r="P5757" t="s">
        <v>512</v>
      </c>
      <c r="Q5757" s="97" t="str">
        <f t="shared" si="743"/>
        <v/>
      </c>
      <c r="R5757" t="str">
        <f t="shared" si="744"/>
        <v/>
      </c>
    </row>
    <row r="5758" spans="2:18">
      <c r="C5758" t="str">
        <f t="shared" si="739"/>
        <v>NL</v>
      </c>
      <c r="D5758">
        <v>5</v>
      </c>
      <c r="E5758">
        <v>10</v>
      </c>
      <c r="F5758" s="366">
        <f t="shared" si="740"/>
        <v>217</v>
      </c>
      <c r="G5758" s="97">
        <v>963</v>
      </c>
      <c r="H5758" s="367">
        <f t="shared" si="734"/>
        <v>1180</v>
      </c>
      <c r="I5758" s="368">
        <f t="shared" si="741"/>
        <v>0</v>
      </c>
      <c r="J5758">
        <v>2921</v>
      </c>
      <c r="K5758" s="367">
        <f t="shared" si="742"/>
        <v>2086.4285714285716</v>
      </c>
      <c r="L5758">
        <v>0.25</v>
      </c>
      <c r="M5758">
        <v>2.8000000000000003</v>
      </c>
      <c r="N5758">
        <v>15</v>
      </c>
      <c r="O5758">
        <v>5</v>
      </c>
      <c r="P5758" t="s">
        <v>512</v>
      </c>
      <c r="Q5758" s="97" t="str">
        <f t="shared" si="743"/>
        <v/>
      </c>
      <c r="R5758" t="str">
        <f t="shared" si="744"/>
        <v/>
      </c>
    </row>
    <row r="5759" spans="2:18">
      <c r="C5759" t="str">
        <f t="shared" si="739"/>
        <v/>
      </c>
      <c r="D5759">
        <v>6</v>
      </c>
      <c r="E5759">
        <v>10</v>
      </c>
      <c r="F5759" s="366">
        <f t="shared" si="740"/>
        <v>217</v>
      </c>
      <c r="G5759" s="97">
        <v>978</v>
      </c>
      <c r="H5759" s="367">
        <f t="shared" si="734"/>
        <v>1195</v>
      </c>
      <c r="I5759" s="368">
        <f t="shared" si="741"/>
        <v>0</v>
      </c>
      <c r="J5759">
        <v>2964</v>
      </c>
      <c r="K5759" s="367">
        <f t="shared" si="742"/>
        <v>2117.1428571428573</v>
      </c>
      <c r="L5759">
        <v>0.18000000000000002</v>
      </c>
      <c r="M5759">
        <v>3.4</v>
      </c>
      <c r="N5759">
        <v>15</v>
      </c>
      <c r="O5759">
        <v>6</v>
      </c>
      <c r="P5759" t="s">
        <v>512</v>
      </c>
      <c r="Q5759" s="97" t="str">
        <f t="shared" si="743"/>
        <v/>
      </c>
      <c r="R5759" t="str">
        <f t="shared" si="744"/>
        <v/>
      </c>
    </row>
    <row r="5760" spans="2:18">
      <c r="C5760" t="str">
        <f t="shared" si="739"/>
        <v>NL</v>
      </c>
      <c r="D5760">
        <v>7</v>
      </c>
      <c r="E5760">
        <v>15</v>
      </c>
      <c r="F5760" s="366">
        <f t="shared" si="740"/>
        <v>325.5</v>
      </c>
      <c r="G5760" s="97">
        <v>1119</v>
      </c>
      <c r="H5760" s="367">
        <f t="shared" si="734"/>
        <v>1444.5</v>
      </c>
      <c r="I5760" s="368">
        <f t="shared" si="741"/>
        <v>0</v>
      </c>
      <c r="J5760">
        <v>3394</v>
      </c>
      <c r="K5760" s="367">
        <f t="shared" si="742"/>
        <v>2424.2857142857142</v>
      </c>
      <c r="L5760">
        <v>0.18000000000000002</v>
      </c>
      <c r="M5760">
        <v>1.8</v>
      </c>
      <c r="N5760">
        <v>15</v>
      </c>
      <c r="O5760">
        <v>3</v>
      </c>
      <c r="P5760" t="s">
        <v>514</v>
      </c>
      <c r="Q5760" s="97" t="str">
        <f t="shared" si="743"/>
        <v/>
      </c>
      <c r="R5760" t="str">
        <f t="shared" si="744"/>
        <v/>
      </c>
    </row>
    <row r="5761" spans="3:18">
      <c r="C5761" t="str">
        <f t="shared" si="739"/>
        <v>NL</v>
      </c>
      <c r="D5761">
        <v>8</v>
      </c>
      <c r="E5761">
        <v>15</v>
      </c>
      <c r="F5761" s="366">
        <f t="shared" si="740"/>
        <v>325.5</v>
      </c>
      <c r="G5761" s="97">
        <v>1268</v>
      </c>
      <c r="H5761" s="367">
        <f t="shared" si="734"/>
        <v>1593.5</v>
      </c>
      <c r="I5761" s="368">
        <f t="shared" si="741"/>
        <v>0</v>
      </c>
      <c r="J5761">
        <v>3843</v>
      </c>
      <c r="K5761" s="367">
        <f t="shared" si="742"/>
        <v>2745</v>
      </c>
      <c r="L5761">
        <v>0.7</v>
      </c>
      <c r="M5761">
        <v>1.8</v>
      </c>
      <c r="N5761">
        <v>19</v>
      </c>
      <c r="O5761">
        <v>3</v>
      </c>
      <c r="P5761" t="s">
        <v>513</v>
      </c>
      <c r="Q5761" s="97" t="str">
        <f t="shared" si="743"/>
        <v/>
      </c>
      <c r="R5761" t="str">
        <f t="shared" si="744"/>
        <v/>
      </c>
    </row>
    <row r="5762" spans="3:18">
      <c r="C5762" t="str">
        <f t="shared" si="739"/>
        <v>NL</v>
      </c>
      <c r="D5762">
        <v>9</v>
      </c>
      <c r="E5762">
        <v>15</v>
      </c>
      <c r="F5762" s="366">
        <f t="shared" si="740"/>
        <v>325.5</v>
      </c>
      <c r="G5762" s="97">
        <v>1268</v>
      </c>
      <c r="H5762" s="367">
        <f t="shared" si="734"/>
        <v>1593.5</v>
      </c>
      <c r="I5762" s="368">
        <f t="shared" si="741"/>
        <v>0</v>
      </c>
      <c r="J5762">
        <v>3843</v>
      </c>
      <c r="K5762" s="367">
        <f t="shared" si="742"/>
        <v>2745</v>
      </c>
      <c r="L5762">
        <v>0.7</v>
      </c>
      <c r="M5762">
        <v>1.8</v>
      </c>
      <c r="N5762">
        <v>19</v>
      </c>
      <c r="O5762">
        <v>3</v>
      </c>
      <c r="P5762" t="s">
        <v>513</v>
      </c>
      <c r="Q5762" s="97" t="str">
        <f t="shared" si="743"/>
        <v/>
      </c>
      <c r="R5762" t="str">
        <f t="shared" si="744"/>
        <v/>
      </c>
    </row>
    <row r="5763" spans="3:18">
      <c r="C5763" t="str">
        <f t="shared" si="739"/>
        <v/>
      </c>
      <c r="D5763">
        <v>10</v>
      </c>
      <c r="E5763">
        <v>15</v>
      </c>
      <c r="F5763" s="366">
        <f t="shared" si="740"/>
        <v>325.5</v>
      </c>
      <c r="G5763" s="97">
        <v>1302</v>
      </c>
      <c r="H5763" s="367">
        <f t="shared" si="734"/>
        <v>1627.5</v>
      </c>
      <c r="I5763" s="368">
        <f t="shared" si="741"/>
        <v>0</v>
      </c>
      <c r="J5763">
        <v>3947</v>
      </c>
      <c r="K5763" s="367">
        <f t="shared" si="742"/>
        <v>2819.2857142857142</v>
      </c>
      <c r="L5763">
        <v>0.37</v>
      </c>
      <c r="M5763">
        <v>2.3000000000000003</v>
      </c>
      <c r="N5763">
        <v>16</v>
      </c>
      <c r="O5763">
        <v>4</v>
      </c>
      <c r="P5763" t="s">
        <v>513</v>
      </c>
      <c r="Q5763" s="97" t="str">
        <f t="shared" si="743"/>
        <v/>
      </c>
      <c r="R5763" t="str">
        <f t="shared" si="744"/>
        <v/>
      </c>
    </row>
    <row r="5764" spans="3:18">
      <c r="C5764" t="str">
        <f t="shared" si="739"/>
        <v/>
      </c>
      <c r="D5764">
        <v>11</v>
      </c>
      <c r="E5764">
        <v>15</v>
      </c>
      <c r="F5764" s="366">
        <f t="shared" si="740"/>
        <v>325.5</v>
      </c>
      <c r="G5764" s="97">
        <v>1598</v>
      </c>
      <c r="H5764" s="367">
        <f t="shared" si="734"/>
        <v>1923.5</v>
      </c>
      <c r="I5764" s="368">
        <f t="shared" si="741"/>
        <v>0</v>
      </c>
      <c r="J5764">
        <v>4843</v>
      </c>
      <c r="K5764" s="367">
        <f t="shared" si="742"/>
        <v>3459.2857142857142</v>
      </c>
      <c r="L5764">
        <v>0.88</v>
      </c>
      <c r="M5764">
        <v>2.3000000000000003</v>
      </c>
      <c r="N5764">
        <v>21</v>
      </c>
      <c r="O5764">
        <v>4</v>
      </c>
      <c r="P5764" t="s">
        <v>512</v>
      </c>
      <c r="Q5764" s="97" t="str">
        <f t="shared" si="743"/>
        <v/>
      </c>
      <c r="R5764" t="str">
        <f t="shared" si="744"/>
        <v/>
      </c>
    </row>
    <row r="5765" spans="3:18">
      <c r="C5765" t="str">
        <f t="shared" si="739"/>
        <v>NL</v>
      </c>
      <c r="D5765">
        <v>12</v>
      </c>
      <c r="E5765">
        <v>15</v>
      </c>
      <c r="F5765" s="366">
        <f t="shared" si="740"/>
        <v>325.5</v>
      </c>
      <c r="G5765" s="97">
        <v>1128</v>
      </c>
      <c r="H5765" s="367">
        <f t="shared" ref="H5765:H5828" si="745">(G5765*$U$7)+F5765</f>
        <v>1453.5</v>
      </c>
      <c r="I5765" s="368">
        <f t="shared" si="741"/>
        <v>0</v>
      </c>
      <c r="J5765">
        <v>3421</v>
      </c>
      <c r="K5765" s="367">
        <f t="shared" si="742"/>
        <v>2443.5714285714284</v>
      </c>
      <c r="L5765">
        <v>0.24000000000000002</v>
      </c>
      <c r="M5765">
        <v>2.8000000000000003</v>
      </c>
      <c r="N5765">
        <v>15</v>
      </c>
      <c r="O5765">
        <v>5</v>
      </c>
      <c r="P5765" t="s">
        <v>513</v>
      </c>
      <c r="Q5765" s="97" t="str">
        <f t="shared" si="743"/>
        <v/>
      </c>
      <c r="R5765" t="str">
        <f t="shared" si="744"/>
        <v/>
      </c>
    </row>
    <row r="5766" spans="3:18">
      <c r="C5766" t="str">
        <f t="shared" si="739"/>
        <v>NL</v>
      </c>
      <c r="D5766">
        <v>13</v>
      </c>
      <c r="E5766">
        <v>15</v>
      </c>
      <c r="F5766" s="366">
        <f t="shared" si="740"/>
        <v>325.5</v>
      </c>
      <c r="G5766" s="97">
        <v>1388</v>
      </c>
      <c r="H5766" s="367">
        <f t="shared" si="745"/>
        <v>1713.5</v>
      </c>
      <c r="I5766" s="368">
        <f t="shared" si="741"/>
        <v>0</v>
      </c>
      <c r="J5766">
        <v>4209</v>
      </c>
      <c r="K5766" s="367">
        <f t="shared" si="742"/>
        <v>3006.4285714285716</v>
      </c>
      <c r="L5766">
        <v>0.56000000000000005</v>
      </c>
      <c r="M5766">
        <v>2.8000000000000003</v>
      </c>
      <c r="N5766">
        <v>20</v>
      </c>
      <c r="O5766">
        <v>5</v>
      </c>
      <c r="P5766" t="s">
        <v>512</v>
      </c>
      <c r="Q5766" s="97" t="str">
        <f t="shared" si="743"/>
        <v/>
      </c>
      <c r="R5766" t="str">
        <f t="shared" si="744"/>
        <v/>
      </c>
    </row>
    <row r="5767" spans="3:18">
      <c r="C5767" t="str">
        <f t="shared" si="739"/>
        <v/>
      </c>
      <c r="D5767">
        <v>14</v>
      </c>
      <c r="E5767">
        <v>15</v>
      </c>
      <c r="F5767" s="366">
        <f t="shared" si="740"/>
        <v>325.5</v>
      </c>
      <c r="G5767" s="97">
        <v>1142</v>
      </c>
      <c r="H5767" s="367">
        <f t="shared" si="745"/>
        <v>1467.5</v>
      </c>
      <c r="I5767" s="368">
        <f t="shared" si="741"/>
        <v>0</v>
      </c>
      <c r="J5767">
        <v>3463</v>
      </c>
      <c r="K5767" s="367">
        <f t="shared" si="742"/>
        <v>2473.5714285714284</v>
      </c>
      <c r="L5767">
        <v>0.17</v>
      </c>
      <c r="M5767">
        <v>3.4</v>
      </c>
      <c r="N5767">
        <v>15</v>
      </c>
      <c r="O5767">
        <v>6</v>
      </c>
      <c r="P5767" t="s">
        <v>513</v>
      </c>
      <c r="Q5767" s="97" t="str">
        <f t="shared" si="743"/>
        <v/>
      </c>
      <c r="R5767" t="str">
        <f t="shared" si="744"/>
        <v/>
      </c>
    </row>
    <row r="5768" spans="3:18">
      <c r="C5768" t="str">
        <f t="shared" si="739"/>
        <v/>
      </c>
      <c r="D5768">
        <v>15</v>
      </c>
      <c r="E5768">
        <v>15</v>
      </c>
      <c r="F5768" s="366">
        <f t="shared" si="740"/>
        <v>325.5</v>
      </c>
      <c r="G5768" s="97">
        <v>1417</v>
      </c>
      <c r="H5768" s="367">
        <f t="shared" si="745"/>
        <v>1742.5</v>
      </c>
      <c r="I5768" s="368">
        <f t="shared" si="741"/>
        <v>0</v>
      </c>
      <c r="J5768">
        <v>4295</v>
      </c>
      <c r="K5768" s="367">
        <f t="shared" si="742"/>
        <v>3067.8571428571431</v>
      </c>
      <c r="L5768">
        <v>0.4</v>
      </c>
      <c r="M5768">
        <v>3.4</v>
      </c>
      <c r="N5768">
        <v>19</v>
      </c>
      <c r="O5768">
        <v>6</v>
      </c>
      <c r="P5768" t="s">
        <v>512</v>
      </c>
      <c r="Q5768" s="97" t="str">
        <f t="shared" si="743"/>
        <v/>
      </c>
      <c r="R5768" t="str">
        <f t="shared" si="744"/>
        <v/>
      </c>
    </row>
    <row r="5769" spans="3:18">
      <c r="C5769" t="str">
        <f t="shared" si="739"/>
        <v>NL</v>
      </c>
      <c r="D5769">
        <v>16</v>
      </c>
      <c r="E5769">
        <v>20</v>
      </c>
      <c r="F5769" s="366">
        <f t="shared" si="740"/>
        <v>434</v>
      </c>
      <c r="G5769" s="97">
        <v>1436</v>
      </c>
      <c r="H5769" s="367">
        <f t="shared" si="745"/>
        <v>1870</v>
      </c>
      <c r="I5769" s="368">
        <f t="shared" si="741"/>
        <v>0</v>
      </c>
      <c r="J5769">
        <v>4355</v>
      </c>
      <c r="K5769" s="367">
        <f t="shared" si="742"/>
        <v>3110.7142857142858</v>
      </c>
      <c r="L5769">
        <v>0.31</v>
      </c>
      <c r="M5769">
        <v>1.8</v>
      </c>
      <c r="N5769">
        <v>15</v>
      </c>
      <c r="O5769">
        <v>3</v>
      </c>
      <c r="P5769" t="s">
        <v>514</v>
      </c>
      <c r="Q5769" s="97" t="str">
        <f t="shared" si="743"/>
        <v/>
      </c>
      <c r="R5769" t="str">
        <f t="shared" si="744"/>
        <v/>
      </c>
    </row>
    <row r="5770" spans="3:18">
      <c r="C5770" t="str">
        <f t="shared" si="739"/>
        <v>NL</v>
      </c>
      <c r="D5770">
        <v>17</v>
      </c>
      <c r="E5770">
        <v>20</v>
      </c>
      <c r="F5770" s="366">
        <f t="shared" si="740"/>
        <v>434</v>
      </c>
      <c r="G5770" s="97">
        <v>1619</v>
      </c>
      <c r="H5770" s="367">
        <f t="shared" si="745"/>
        <v>2053</v>
      </c>
      <c r="I5770" s="368">
        <f t="shared" si="741"/>
        <v>0</v>
      </c>
      <c r="J5770">
        <v>4909</v>
      </c>
      <c r="K5770" s="367">
        <f t="shared" si="742"/>
        <v>3506.4285714285716</v>
      </c>
      <c r="L5770">
        <v>1.23</v>
      </c>
      <c r="M5770">
        <v>1.8</v>
      </c>
      <c r="N5770">
        <v>23</v>
      </c>
      <c r="O5770">
        <v>3</v>
      </c>
      <c r="P5770" t="s">
        <v>513</v>
      </c>
      <c r="Q5770" s="97" t="str">
        <f t="shared" si="743"/>
        <v/>
      </c>
      <c r="R5770" t="str">
        <f t="shared" si="744"/>
        <v/>
      </c>
    </row>
    <row r="5771" spans="3:18">
      <c r="C5771" t="str">
        <f t="shared" si="739"/>
        <v/>
      </c>
      <c r="D5771">
        <v>18</v>
      </c>
      <c r="E5771">
        <v>20</v>
      </c>
      <c r="F5771" s="366">
        <f t="shared" si="740"/>
        <v>434</v>
      </c>
      <c r="G5771" s="97">
        <v>1478</v>
      </c>
      <c r="H5771" s="367">
        <f t="shared" si="745"/>
        <v>1912</v>
      </c>
      <c r="I5771" s="368">
        <f t="shared" si="741"/>
        <v>0</v>
      </c>
      <c r="J5771">
        <v>4482</v>
      </c>
      <c r="K5771" s="367">
        <f t="shared" si="742"/>
        <v>3201.4285714285716</v>
      </c>
      <c r="L5771">
        <v>0.17</v>
      </c>
      <c r="M5771">
        <v>2.3000000000000003</v>
      </c>
      <c r="N5771">
        <v>15</v>
      </c>
      <c r="O5771">
        <v>4</v>
      </c>
      <c r="P5771" t="s">
        <v>514</v>
      </c>
      <c r="Q5771" s="97" t="str">
        <f t="shared" si="743"/>
        <v/>
      </c>
      <c r="R5771" t="str">
        <f t="shared" si="744"/>
        <v/>
      </c>
    </row>
    <row r="5772" spans="3:18">
      <c r="C5772" t="str">
        <f t="shared" si="739"/>
        <v/>
      </c>
      <c r="D5772">
        <v>19</v>
      </c>
      <c r="E5772">
        <v>20</v>
      </c>
      <c r="F5772" s="366">
        <f t="shared" si="740"/>
        <v>434</v>
      </c>
      <c r="G5772" s="97">
        <v>1673</v>
      </c>
      <c r="H5772" s="367">
        <f t="shared" si="745"/>
        <v>2107</v>
      </c>
      <c r="I5772" s="368">
        <f t="shared" si="741"/>
        <v>0</v>
      </c>
      <c r="J5772">
        <v>5071</v>
      </c>
      <c r="K5772" s="367">
        <f t="shared" si="742"/>
        <v>3622.1428571428573</v>
      </c>
      <c r="L5772">
        <v>0.65</v>
      </c>
      <c r="M5772">
        <v>2.3000000000000003</v>
      </c>
      <c r="N5772">
        <v>20</v>
      </c>
      <c r="O5772">
        <v>4</v>
      </c>
      <c r="P5772" t="s">
        <v>513</v>
      </c>
      <c r="Q5772" s="97" t="str">
        <f t="shared" si="743"/>
        <v/>
      </c>
      <c r="R5772" t="str">
        <f t="shared" si="744"/>
        <v/>
      </c>
    </row>
    <row r="5773" spans="3:18">
      <c r="C5773" t="str">
        <f t="shared" si="739"/>
        <v>NL</v>
      </c>
      <c r="D5773">
        <v>20</v>
      </c>
      <c r="E5773">
        <v>20</v>
      </c>
      <c r="F5773" s="366">
        <f t="shared" si="740"/>
        <v>434</v>
      </c>
      <c r="G5773" s="97">
        <v>1455</v>
      </c>
      <c r="H5773" s="367">
        <f t="shared" si="745"/>
        <v>1889</v>
      </c>
      <c r="I5773" s="368">
        <f t="shared" si="741"/>
        <v>0</v>
      </c>
      <c r="J5773">
        <v>4413</v>
      </c>
      <c r="K5773" s="367">
        <f t="shared" si="742"/>
        <v>3152.1428571428573</v>
      </c>
      <c r="L5773">
        <v>0.42</v>
      </c>
      <c r="M5773">
        <v>2.8000000000000003</v>
      </c>
      <c r="N5773">
        <v>18</v>
      </c>
      <c r="O5773">
        <v>5</v>
      </c>
      <c r="P5773" t="s">
        <v>513</v>
      </c>
      <c r="Q5773" s="97" t="str">
        <f t="shared" si="743"/>
        <v/>
      </c>
      <c r="R5773" t="str">
        <f t="shared" si="744"/>
        <v/>
      </c>
    </row>
    <row r="5774" spans="3:18">
      <c r="C5774" t="str">
        <f t="shared" si="739"/>
        <v>NL</v>
      </c>
      <c r="D5774">
        <v>21</v>
      </c>
      <c r="E5774">
        <v>20</v>
      </c>
      <c r="F5774" s="366">
        <f t="shared" si="740"/>
        <v>434</v>
      </c>
      <c r="G5774" s="97">
        <v>1808</v>
      </c>
      <c r="H5774" s="367">
        <f t="shared" si="745"/>
        <v>2242</v>
      </c>
      <c r="I5774" s="368">
        <f t="shared" si="741"/>
        <v>0</v>
      </c>
      <c r="J5774">
        <v>5482</v>
      </c>
      <c r="K5774" s="367">
        <f t="shared" si="742"/>
        <v>3915.7142857142858</v>
      </c>
      <c r="L5774">
        <v>1</v>
      </c>
      <c r="M5774">
        <v>2.8000000000000003</v>
      </c>
      <c r="N5774">
        <v>24</v>
      </c>
      <c r="O5774">
        <v>5</v>
      </c>
      <c r="P5774" t="s">
        <v>512</v>
      </c>
      <c r="Q5774" s="97" t="str">
        <f t="shared" si="743"/>
        <v/>
      </c>
      <c r="R5774" t="str">
        <f t="shared" si="744"/>
        <v/>
      </c>
    </row>
    <row r="5775" spans="3:18">
      <c r="C5775" t="str">
        <f t="shared" si="739"/>
        <v/>
      </c>
      <c r="D5775">
        <v>22</v>
      </c>
      <c r="E5775">
        <v>20</v>
      </c>
      <c r="F5775" s="366">
        <f t="shared" si="740"/>
        <v>434</v>
      </c>
      <c r="G5775" s="97">
        <v>1490</v>
      </c>
      <c r="H5775" s="367">
        <f t="shared" si="745"/>
        <v>1924</v>
      </c>
      <c r="I5775" s="368">
        <f t="shared" si="741"/>
        <v>0</v>
      </c>
      <c r="J5775">
        <v>4517</v>
      </c>
      <c r="K5775" s="367">
        <f t="shared" si="742"/>
        <v>3226.4285714285716</v>
      </c>
      <c r="L5775">
        <v>0.3</v>
      </c>
      <c r="M5775">
        <v>3.4</v>
      </c>
      <c r="N5775">
        <v>17</v>
      </c>
      <c r="O5775">
        <v>6</v>
      </c>
      <c r="P5775" t="s">
        <v>513</v>
      </c>
      <c r="Q5775" s="97" t="str">
        <f t="shared" si="743"/>
        <v/>
      </c>
      <c r="R5775" t="str">
        <f t="shared" si="744"/>
        <v/>
      </c>
    </row>
    <row r="5776" spans="3:18">
      <c r="C5776" t="str">
        <f t="shared" si="739"/>
        <v/>
      </c>
      <c r="D5776">
        <v>23</v>
      </c>
      <c r="E5776">
        <v>20</v>
      </c>
      <c r="F5776" s="366">
        <f t="shared" si="740"/>
        <v>434</v>
      </c>
      <c r="G5776" s="97">
        <v>1815</v>
      </c>
      <c r="H5776" s="367">
        <f t="shared" si="745"/>
        <v>2249</v>
      </c>
      <c r="I5776" s="368">
        <f t="shared" si="741"/>
        <v>0</v>
      </c>
      <c r="J5776">
        <v>5502</v>
      </c>
      <c r="K5776" s="367">
        <f t="shared" si="742"/>
        <v>3930</v>
      </c>
      <c r="L5776">
        <v>0.71</v>
      </c>
      <c r="M5776">
        <v>3.4</v>
      </c>
      <c r="N5776">
        <v>23</v>
      </c>
      <c r="O5776">
        <v>6</v>
      </c>
      <c r="P5776" t="s">
        <v>512</v>
      </c>
      <c r="Q5776" s="97" t="str">
        <f t="shared" si="743"/>
        <v/>
      </c>
      <c r="R5776" t="str">
        <f t="shared" si="744"/>
        <v/>
      </c>
    </row>
    <row r="5777" spans="3:18">
      <c r="C5777" t="str">
        <f t="shared" si="739"/>
        <v>NL</v>
      </c>
      <c r="D5777">
        <v>24</v>
      </c>
      <c r="E5777">
        <v>25</v>
      </c>
      <c r="F5777" s="366">
        <f t="shared" si="740"/>
        <v>542.5</v>
      </c>
      <c r="G5777" s="97">
        <v>1366</v>
      </c>
      <c r="H5777" s="367">
        <f t="shared" si="745"/>
        <v>1908.5</v>
      </c>
      <c r="I5777" s="368">
        <f t="shared" si="741"/>
        <v>0</v>
      </c>
      <c r="J5777">
        <v>4142</v>
      </c>
      <c r="K5777" s="367">
        <f t="shared" si="742"/>
        <v>2958.5714285714284</v>
      </c>
      <c r="L5777">
        <v>0.18000000000000002</v>
      </c>
      <c r="M5777">
        <v>1.8</v>
      </c>
      <c r="N5777">
        <v>15</v>
      </c>
      <c r="O5777">
        <v>3</v>
      </c>
      <c r="P5777" t="s">
        <v>515</v>
      </c>
      <c r="Q5777" s="97" t="str">
        <f t="shared" si="743"/>
        <v/>
      </c>
      <c r="R5777" t="str">
        <f t="shared" si="744"/>
        <v/>
      </c>
    </row>
    <row r="5778" spans="3:18">
      <c r="C5778" t="str">
        <f t="shared" si="739"/>
        <v>NL</v>
      </c>
      <c r="D5778">
        <v>25</v>
      </c>
      <c r="E5778">
        <v>25</v>
      </c>
      <c r="F5778" s="366">
        <f t="shared" si="740"/>
        <v>542.5</v>
      </c>
      <c r="G5778" s="97">
        <v>1728</v>
      </c>
      <c r="H5778" s="367">
        <f t="shared" si="745"/>
        <v>2270.5</v>
      </c>
      <c r="I5778" s="368">
        <f t="shared" si="741"/>
        <v>0</v>
      </c>
      <c r="J5778">
        <v>5237</v>
      </c>
      <c r="K5778" s="367">
        <f t="shared" si="742"/>
        <v>3740.7142857142858</v>
      </c>
      <c r="L5778">
        <v>0.49</v>
      </c>
      <c r="M5778">
        <v>1.8</v>
      </c>
      <c r="N5778">
        <v>17</v>
      </c>
      <c r="O5778">
        <v>3</v>
      </c>
      <c r="P5778" t="s">
        <v>514</v>
      </c>
      <c r="Q5778" s="97" t="str">
        <f t="shared" si="743"/>
        <v/>
      </c>
      <c r="R5778" t="str">
        <f t="shared" si="744"/>
        <v/>
      </c>
    </row>
    <row r="5779" spans="3:18">
      <c r="C5779" t="str">
        <f t="shared" si="739"/>
        <v/>
      </c>
      <c r="D5779">
        <v>26</v>
      </c>
      <c r="E5779">
        <v>25</v>
      </c>
      <c r="F5779" s="366">
        <f t="shared" si="740"/>
        <v>542.5</v>
      </c>
      <c r="G5779" s="97">
        <v>1791</v>
      </c>
      <c r="H5779" s="367">
        <f t="shared" si="745"/>
        <v>2333.5</v>
      </c>
      <c r="I5779" s="368">
        <f t="shared" si="741"/>
        <v>0</v>
      </c>
      <c r="J5779">
        <v>5430</v>
      </c>
      <c r="K5779" s="367">
        <f t="shared" si="742"/>
        <v>3878.5714285714284</v>
      </c>
      <c r="L5779">
        <v>0.26</v>
      </c>
      <c r="M5779">
        <v>2.3000000000000003</v>
      </c>
      <c r="N5779">
        <v>15</v>
      </c>
      <c r="O5779">
        <v>4</v>
      </c>
      <c r="P5779" t="s">
        <v>514</v>
      </c>
      <c r="Q5779" s="97" t="str">
        <f t="shared" si="743"/>
        <v/>
      </c>
      <c r="R5779" t="str">
        <f t="shared" si="744"/>
        <v/>
      </c>
    </row>
    <row r="5780" spans="3:18">
      <c r="C5780" t="str">
        <f t="shared" si="739"/>
        <v/>
      </c>
      <c r="D5780">
        <v>27</v>
      </c>
      <c r="E5780">
        <v>25</v>
      </c>
      <c r="F5780" s="366">
        <f t="shared" si="740"/>
        <v>542.5</v>
      </c>
      <c r="G5780" s="97">
        <v>2019</v>
      </c>
      <c r="H5780" s="367">
        <f t="shared" si="745"/>
        <v>2561.5</v>
      </c>
      <c r="I5780" s="368">
        <f t="shared" si="741"/>
        <v>0</v>
      </c>
      <c r="J5780">
        <v>6122</v>
      </c>
      <c r="K5780" s="367">
        <f t="shared" si="742"/>
        <v>4372.8571428571431</v>
      </c>
      <c r="L5780">
        <v>1.01</v>
      </c>
      <c r="M5780">
        <v>2.3000000000000003</v>
      </c>
      <c r="N5780">
        <v>22</v>
      </c>
      <c r="O5780">
        <v>4</v>
      </c>
      <c r="P5780" t="s">
        <v>513</v>
      </c>
      <c r="Q5780" s="97" t="str">
        <f t="shared" si="743"/>
        <v/>
      </c>
      <c r="R5780" t="str">
        <f t="shared" si="744"/>
        <v/>
      </c>
    </row>
    <row r="5781" spans="3:18">
      <c r="C5781" t="str">
        <f t="shared" si="739"/>
        <v>NL</v>
      </c>
      <c r="D5781">
        <v>28</v>
      </c>
      <c r="E5781">
        <v>25</v>
      </c>
      <c r="F5781" s="366">
        <f t="shared" si="740"/>
        <v>542.5</v>
      </c>
      <c r="G5781" s="97">
        <v>1561</v>
      </c>
      <c r="H5781" s="367">
        <f t="shared" si="745"/>
        <v>2103.5</v>
      </c>
      <c r="I5781" s="368">
        <f t="shared" si="741"/>
        <v>0</v>
      </c>
      <c r="J5781">
        <v>4731</v>
      </c>
      <c r="K5781" s="367">
        <f t="shared" si="742"/>
        <v>3379.2857142857142</v>
      </c>
      <c r="L5781">
        <v>0.17</v>
      </c>
      <c r="M5781">
        <v>2.8000000000000003</v>
      </c>
      <c r="N5781">
        <v>15</v>
      </c>
      <c r="O5781">
        <v>5</v>
      </c>
      <c r="P5781" t="s">
        <v>514</v>
      </c>
      <c r="Q5781" s="97" t="str">
        <f t="shared" si="743"/>
        <v/>
      </c>
      <c r="R5781" t="str">
        <f t="shared" si="744"/>
        <v/>
      </c>
    </row>
    <row r="5782" spans="3:18">
      <c r="C5782" t="str">
        <f t="shared" si="739"/>
        <v>NL</v>
      </c>
      <c r="D5782">
        <v>29</v>
      </c>
      <c r="E5782">
        <v>25</v>
      </c>
      <c r="F5782" s="366">
        <f t="shared" si="740"/>
        <v>542.5</v>
      </c>
      <c r="G5782" s="97">
        <v>1789</v>
      </c>
      <c r="H5782" s="367">
        <f t="shared" si="745"/>
        <v>2331.5</v>
      </c>
      <c r="I5782" s="368">
        <f t="shared" si="741"/>
        <v>0</v>
      </c>
      <c r="J5782">
        <v>5425</v>
      </c>
      <c r="K5782" s="367">
        <f t="shared" si="742"/>
        <v>3875</v>
      </c>
      <c r="L5782">
        <v>0.66</v>
      </c>
      <c r="M5782">
        <v>2.8000000000000003</v>
      </c>
      <c r="N5782">
        <v>21</v>
      </c>
      <c r="O5782">
        <v>5</v>
      </c>
      <c r="P5782" t="s">
        <v>513</v>
      </c>
      <c r="Q5782" s="97" t="str">
        <f t="shared" si="743"/>
        <v/>
      </c>
      <c r="R5782" t="str">
        <f t="shared" si="744"/>
        <v/>
      </c>
    </row>
    <row r="5783" spans="3:18">
      <c r="C5783" t="str">
        <f t="shared" si="739"/>
        <v/>
      </c>
      <c r="D5783">
        <v>30</v>
      </c>
      <c r="E5783">
        <v>25</v>
      </c>
      <c r="F5783" s="366">
        <f t="shared" si="740"/>
        <v>542.5</v>
      </c>
      <c r="G5783" s="97">
        <v>1799</v>
      </c>
      <c r="H5783" s="367">
        <f t="shared" si="745"/>
        <v>2341.5</v>
      </c>
      <c r="I5783" s="368">
        <f t="shared" si="741"/>
        <v>0</v>
      </c>
      <c r="J5783">
        <v>5453</v>
      </c>
      <c r="K5783" s="367">
        <f t="shared" si="742"/>
        <v>3895</v>
      </c>
      <c r="L5783">
        <v>0.46</v>
      </c>
      <c r="M5783">
        <v>3.4</v>
      </c>
      <c r="N5783">
        <v>20</v>
      </c>
      <c r="O5783">
        <v>6</v>
      </c>
      <c r="P5783" t="s">
        <v>513</v>
      </c>
      <c r="Q5783" s="97" t="str">
        <f t="shared" si="743"/>
        <v/>
      </c>
      <c r="R5783" t="str">
        <f t="shared" si="744"/>
        <v/>
      </c>
    </row>
    <row r="5784" spans="3:18">
      <c r="C5784" t="str">
        <f t="shared" si="739"/>
        <v/>
      </c>
      <c r="D5784">
        <v>31</v>
      </c>
      <c r="E5784">
        <v>25</v>
      </c>
      <c r="F5784" s="366">
        <f t="shared" si="740"/>
        <v>542.5</v>
      </c>
      <c r="G5784" s="97">
        <v>2226</v>
      </c>
      <c r="H5784" s="367">
        <f t="shared" si="745"/>
        <v>2768.5</v>
      </c>
      <c r="I5784" s="368">
        <f t="shared" si="741"/>
        <v>0</v>
      </c>
      <c r="J5784">
        <v>6748</v>
      </c>
      <c r="K5784" s="367">
        <f t="shared" si="742"/>
        <v>4820</v>
      </c>
      <c r="L5784">
        <v>1.1100000000000001</v>
      </c>
      <c r="M5784">
        <v>3.4</v>
      </c>
      <c r="N5784">
        <v>26</v>
      </c>
      <c r="O5784">
        <v>6</v>
      </c>
      <c r="P5784" t="s">
        <v>512</v>
      </c>
      <c r="Q5784" s="97" t="str">
        <f t="shared" si="743"/>
        <v/>
      </c>
      <c r="R5784" t="str">
        <f t="shared" si="744"/>
        <v/>
      </c>
    </row>
    <row r="5785" spans="3:18">
      <c r="C5785" t="str">
        <f t="shared" si="739"/>
        <v>NL</v>
      </c>
      <c r="D5785">
        <v>32</v>
      </c>
      <c r="E5785">
        <v>30</v>
      </c>
      <c r="F5785" s="366">
        <f t="shared" si="740"/>
        <v>651</v>
      </c>
      <c r="G5785" s="97">
        <v>1597</v>
      </c>
      <c r="H5785" s="367">
        <f t="shared" si="745"/>
        <v>2248</v>
      </c>
      <c r="I5785" s="368">
        <f t="shared" si="741"/>
        <v>0</v>
      </c>
      <c r="J5785">
        <v>4841</v>
      </c>
      <c r="K5785" s="367">
        <f t="shared" si="742"/>
        <v>3457.8571428571431</v>
      </c>
      <c r="L5785">
        <v>0.25</v>
      </c>
      <c r="M5785">
        <v>1.8</v>
      </c>
      <c r="N5785">
        <v>17</v>
      </c>
      <c r="O5785">
        <v>3</v>
      </c>
      <c r="P5785" t="s">
        <v>515</v>
      </c>
      <c r="Q5785" s="97" t="str">
        <f t="shared" si="743"/>
        <v/>
      </c>
      <c r="R5785" t="str">
        <f t="shared" si="744"/>
        <v/>
      </c>
    </row>
    <row r="5786" spans="3:18">
      <c r="C5786" t="str">
        <f t="shared" si="739"/>
        <v>NL</v>
      </c>
      <c r="D5786">
        <v>33</v>
      </c>
      <c r="E5786">
        <v>30</v>
      </c>
      <c r="F5786" s="366">
        <f t="shared" si="740"/>
        <v>651</v>
      </c>
      <c r="G5786" s="97">
        <v>1997</v>
      </c>
      <c r="H5786" s="367">
        <f t="shared" si="745"/>
        <v>2648</v>
      </c>
      <c r="I5786" s="368">
        <f t="shared" si="741"/>
        <v>0</v>
      </c>
      <c r="J5786">
        <v>6053</v>
      </c>
      <c r="K5786" s="367">
        <f t="shared" si="742"/>
        <v>4323.5714285714284</v>
      </c>
      <c r="L5786">
        <v>0.7</v>
      </c>
      <c r="M5786">
        <v>1.8</v>
      </c>
      <c r="N5786">
        <v>19</v>
      </c>
      <c r="O5786">
        <v>3</v>
      </c>
      <c r="P5786" t="s">
        <v>514</v>
      </c>
      <c r="Q5786" s="97" t="str">
        <f t="shared" si="743"/>
        <v/>
      </c>
      <c r="R5786" t="str">
        <f t="shared" si="744"/>
        <v/>
      </c>
    </row>
    <row r="5787" spans="3:18">
      <c r="C5787" t="str">
        <f t="shared" si="739"/>
        <v/>
      </c>
      <c r="D5787">
        <v>34</v>
      </c>
      <c r="E5787">
        <v>30</v>
      </c>
      <c r="F5787" s="366">
        <f t="shared" si="740"/>
        <v>651</v>
      </c>
      <c r="G5787" s="97">
        <v>2088</v>
      </c>
      <c r="H5787" s="367">
        <f t="shared" si="745"/>
        <v>2739</v>
      </c>
      <c r="I5787" s="368">
        <f t="shared" si="741"/>
        <v>0</v>
      </c>
      <c r="J5787">
        <v>6329</v>
      </c>
      <c r="K5787" s="367">
        <f t="shared" si="742"/>
        <v>4520.7142857142862</v>
      </c>
      <c r="L5787">
        <v>0.37</v>
      </c>
      <c r="M5787">
        <v>2.3000000000000003</v>
      </c>
      <c r="N5787">
        <v>16</v>
      </c>
      <c r="O5787">
        <v>4</v>
      </c>
      <c r="P5787" t="s">
        <v>514</v>
      </c>
      <c r="Q5787" s="97" t="str">
        <f t="shared" si="743"/>
        <v/>
      </c>
      <c r="R5787" t="str">
        <f t="shared" si="744"/>
        <v/>
      </c>
    </row>
    <row r="5788" spans="3:18">
      <c r="C5788" t="str">
        <f t="shared" si="739"/>
        <v>NL</v>
      </c>
      <c r="D5788">
        <v>35</v>
      </c>
      <c r="E5788">
        <v>30</v>
      </c>
      <c r="F5788" s="366">
        <f t="shared" si="740"/>
        <v>651</v>
      </c>
      <c r="G5788" s="97">
        <v>1853</v>
      </c>
      <c r="H5788" s="367">
        <f t="shared" si="745"/>
        <v>2504</v>
      </c>
      <c r="I5788" s="368">
        <f t="shared" si="741"/>
        <v>0</v>
      </c>
      <c r="J5788">
        <v>5619</v>
      </c>
      <c r="K5788" s="367">
        <f t="shared" si="742"/>
        <v>4013.5714285714284</v>
      </c>
      <c r="L5788">
        <v>0.24000000000000002</v>
      </c>
      <c r="M5788">
        <v>2.8000000000000003</v>
      </c>
      <c r="N5788">
        <v>15</v>
      </c>
      <c r="O5788">
        <v>5</v>
      </c>
      <c r="P5788" t="s">
        <v>514</v>
      </c>
      <c r="Q5788" s="97" t="str">
        <f t="shared" si="743"/>
        <v/>
      </c>
      <c r="R5788" t="str">
        <f t="shared" si="744"/>
        <v/>
      </c>
    </row>
    <row r="5789" spans="3:18">
      <c r="C5789" t="str">
        <f t="shared" si="739"/>
        <v>NL</v>
      </c>
      <c r="D5789">
        <v>36</v>
      </c>
      <c r="E5789">
        <v>30</v>
      </c>
      <c r="F5789" s="366">
        <f t="shared" si="740"/>
        <v>651</v>
      </c>
      <c r="G5789" s="97">
        <v>2148</v>
      </c>
      <c r="H5789" s="367">
        <f t="shared" si="745"/>
        <v>2799</v>
      </c>
      <c r="I5789" s="368">
        <f t="shared" si="741"/>
        <v>0</v>
      </c>
      <c r="J5789">
        <v>6512</v>
      </c>
      <c r="K5789" s="367">
        <f t="shared" si="742"/>
        <v>4651.4285714285716</v>
      </c>
      <c r="L5789">
        <v>0.95</v>
      </c>
      <c r="M5789">
        <v>2.8000000000000003</v>
      </c>
      <c r="N5789">
        <v>24</v>
      </c>
      <c r="O5789">
        <v>5</v>
      </c>
      <c r="P5789" t="s">
        <v>513</v>
      </c>
      <c r="Q5789" s="97" t="str">
        <f t="shared" si="743"/>
        <v/>
      </c>
      <c r="R5789" t="str">
        <f t="shared" si="744"/>
        <v/>
      </c>
    </row>
    <row r="5790" spans="3:18">
      <c r="C5790" t="str">
        <f t="shared" si="739"/>
        <v/>
      </c>
      <c r="D5790">
        <v>37</v>
      </c>
      <c r="E5790">
        <v>30</v>
      </c>
      <c r="F5790" s="366">
        <f t="shared" si="740"/>
        <v>651</v>
      </c>
      <c r="G5790" s="97">
        <v>1860</v>
      </c>
      <c r="H5790" s="367">
        <f t="shared" si="745"/>
        <v>2511</v>
      </c>
      <c r="I5790" s="368">
        <f t="shared" si="741"/>
        <v>0</v>
      </c>
      <c r="J5790">
        <v>5640</v>
      </c>
      <c r="K5790" s="367">
        <f t="shared" si="742"/>
        <v>4028.5714285714284</v>
      </c>
      <c r="L5790">
        <v>0.17</v>
      </c>
      <c r="M5790">
        <v>3.4</v>
      </c>
      <c r="N5790">
        <v>15</v>
      </c>
      <c r="O5790">
        <v>6</v>
      </c>
      <c r="P5790" t="s">
        <v>514</v>
      </c>
      <c r="Q5790" s="97" t="str">
        <f t="shared" si="743"/>
        <v/>
      </c>
      <c r="R5790" t="str">
        <f t="shared" si="744"/>
        <v/>
      </c>
    </row>
    <row r="5791" spans="3:18">
      <c r="C5791" t="str">
        <f t="shared" si="739"/>
        <v/>
      </c>
      <c r="D5791">
        <v>38</v>
      </c>
      <c r="E5791">
        <v>30</v>
      </c>
      <c r="F5791" s="366">
        <f t="shared" si="740"/>
        <v>651</v>
      </c>
      <c r="G5791" s="97">
        <v>2119</v>
      </c>
      <c r="H5791" s="367">
        <f t="shared" si="745"/>
        <v>2770</v>
      </c>
      <c r="I5791" s="368">
        <f t="shared" si="741"/>
        <v>0</v>
      </c>
      <c r="J5791">
        <v>6423</v>
      </c>
      <c r="K5791" s="367">
        <f t="shared" si="742"/>
        <v>4587.8571428571431</v>
      </c>
      <c r="L5791">
        <v>0.66</v>
      </c>
      <c r="M5791">
        <v>3.4</v>
      </c>
      <c r="N5791">
        <v>22</v>
      </c>
      <c r="O5791">
        <v>6</v>
      </c>
      <c r="P5791" t="s">
        <v>513</v>
      </c>
      <c r="Q5791" s="97" t="str">
        <f t="shared" si="743"/>
        <v/>
      </c>
      <c r="R5791" t="str">
        <f t="shared" si="744"/>
        <v/>
      </c>
    </row>
    <row r="5792" spans="3:18">
      <c r="C5792" t="str">
        <f t="shared" si="739"/>
        <v>NL</v>
      </c>
      <c r="D5792">
        <v>39</v>
      </c>
      <c r="E5792">
        <v>35</v>
      </c>
      <c r="F5792" s="366">
        <f t="shared" si="740"/>
        <v>759.5</v>
      </c>
      <c r="G5792" s="97">
        <v>1814</v>
      </c>
      <c r="H5792" s="367">
        <f t="shared" si="745"/>
        <v>2573.5</v>
      </c>
      <c r="I5792" s="368">
        <f t="shared" si="741"/>
        <v>0</v>
      </c>
      <c r="J5792">
        <v>5500</v>
      </c>
      <c r="K5792" s="367">
        <f t="shared" si="742"/>
        <v>3928.5714285714284</v>
      </c>
      <c r="L5792">
        <v>0.34</v>
      </c>
      <c r="M5792">
        <v>1.8</v>
      </c>
      <c r="N5792">
        <v>19</v>
      </c>
      <c r="O5792">
        <v>3</v>
      </c>
      <c r="P5792" t="s">
        <v>515</v>
      </c>
      <c r="Q5792" s="97" t="str">
        <f t="shared" si="743"/>
        <v/>
      </c>
      <c r="R5792" t="str">
        <f t="shared" si="744"/>
        <v/>
      </c>
    </row>
    <row r="5793" spans="3:18">
      <c r="C5793" t="str">
        <f t="shared" si="739"/>
        <v>NL</v>
      </c>
      <c r="D5793">
        <v>40</v>
      </c>
      <c r="E5793">
        <v>35</v>
      </c>
      <c r="F5793" s="366">
        <f t="shared" si="740"/>
        <v>759.5</v>
      </c>
      <c r="G5793" s="97">
        <v>2256</v>
      </c>
      <c r="H5793" s="367">
        <f t="shared" si="745"/>
        <v>3015.5</v>
      </c>
      <c r="I5793" s="368">
        <f t="shared" si="741"/>
        <v>0</v>
      </c>
      <c r="J5793">
        <v>6840</v>
      </c>
      <c r="K5793" s="367">
        <f t="shared" si="742"/>
        <v>4885.7142857142862</v>
      </c>
      <c r="L5793">
        <v>0.95</v>
      </c>
      <c r="M5793">
        <v>1.8</v>
      </c>
      <c r="N5793">
        <v>21</v>
      </c>
      <c r="O5793">
        <v>3</v>
      </c>
      <c r="P5793" t="s">
        <v>514</v>
      </c>
      <c r="Q5793" s="97" t="str">
        <f t="shared" si="743"/>
        <v/>
      </c>
      <c r="R5793" t="str">
        <f t="shared" si="744"/>
        <v/>
      </c>
    </row>
    <row r="5794" spans="3:18">
      <c r="C5794" t="str">
        <f t="shared" si="739"/>
        <v/>
      </c>
      <c r="D5794">
        <v>41</v>
      </c>
      <c r="E5794">
        <v>35</v>
      </c>
      <c r="F5794" s="366">
        <f t="shared" si="740"/>
        <v>759.5</v>
      </c>
      <c r="G5794" s="97">
        <v>1880</v>
      </c>
      <c r="H5794" s="367">
        <f t="shared" si="745"/>
        <v>2639.5</v>
      </c>
      <c r="I5794" s="368">
        <f t="shared" si="741"/>
        <v>0</v>
      </c>
      <c r="J5794">
        <v>5698</v>
      </c>
      <c r="K5794" s="367">
        <f t="shared" si="742"/>
        <v>4070</v>
      </c>
      <c r="L5794">
        <v>0.19</v>
      </c>
      <c r="M5794">
        <v>2.3000000000000003</v>
      </c>
      <c r="N5794">
        <v>16</v>
      </c>
      <c r="O5794">
        <v>4</v>
      </c>
      <c r="P5794" t="s">
        <v>515</v>
      </c>
      <c r="Q5794" s="97" t="str">
        <f t="shared" si="743"/>
        <v/>
      </c>
      <c r="R5794" t="str">
        <f t="shared" si="744"/>
        <v/>
      </c>
    </row>
    <row r="5795" spans="3:18">
      <c r="C5795" t="str">
        <f t="shared" si="739"/>
        <v/>
      </c>
      <c r="D5795">
        <v>42</v>
      </c>
      <c r="E5795">
        <v>35</v>
      </c>
      <c r="F5795" s="366">
        <f t="shared" si="740"/>
        <v>759.5</v>
      </c>
      <c r="G5795" s="97">
        <v>2369</v>
      </c>
      <c r="H5795" s="367">
        <f t="shared" si="745"/>
        <v>3128.5</v>
      </c>
      <c r="I5795" s="368">
        <f t="shared" si="741"/>
        <v>0</v>
      </c>
      <c r="J5795">
        <v>7181</v>
      </c>
      <c r="K5795" s="367">
        <f t="shared" si="742"/>
        <v>5129.2857142857147</v>
      </c>
      <c r="L5795">
        <v>0.51</v>
      </c>
      <c r="M5795">
        <v>2.3000000000000003</v>
      </c>
      <c r="N5795">
        <v>18</v>
      </c>
      <c r="O5795">
        <v>4</v>
      </c>
      <c r="P5795" t="s">
        <v>514</v>
      </c>
      <c r="Q5795" s="97">
        <f t="shared" si="743"/>
        <v>42</v>
      </c>
      <c r="R5795" t="str">
        <f t="shared" si="744"/>
        <v/>
      </c>
    </row>
    <row r="5796" spans="3:18">
      <c r="C5796" t="str">
        <f t="shared" si="739"/>
        <v>NL</v>
      </c>
      <c r="D5796">
        <v>43</v>
      </c>
      <c r="E5796">
        <v>35</v>
      </c>
      <c r="F5796" s="366">
        <f t="shared" si="740"/>
        <v>759.5</v>
      </c>
      <c r="G5796" s="97">
        <v>2162</v>
      </c>
      <c r="H5796" s="367">
        <f t="shared" si="745"/>
        <v>2921.5</v>
      </c>
      <c r="I5796" s="368">
        <f t="shared" si="741"/>
        <v>0</v>
      </c>
      <c r="J5796">
        <v>6554</v>
      </c>
      <c r="K5796" s="367">
        <f t="shared" si="742"/>
        <v>4681.4285714285716</v>
      </c>
      <c r="L5796">
        <v>0.33</v>
      </c>
      <c r="M5796">
        <v>2.8000000000000003</v>
      </c>
      <c r="N5796">
        <v>17</v>
      </c>
      <c r="O5796">
        <v>5</v>
      </c>
      <c r="P5796" t="s">
        <v>514</v>
      </c>
      <c r="Q5796" s="97" t="str">
        <f t="shared" si="743"/>
        <v/>
      </c>
      <c r="R5796" t="str">
        <f t="shared" si="744"/>
        <v/>
      </c>
    </row>
    <row r="5797" spans="3:18">
      <c r="C5797" t="str">
        <f t="shared" si="739"/>
        <v/>
      </c>
      <c r="D5797">
        <v>44</v>
      </c>
      <c r="E5797">
        <v>35</v>
      </c>
      <c r="F5797" s="366">
        <f t="shared" si="740"/>
        <v>759.5</v>
      </c>
      <c r="G5797" s="97">
        <v>2135</v>
      </c>
      <c r="H5797" s="367">
        <f t="shared" si="745"/>
        <v>2894.5</v>
      </c>
      <c r="I5797" s="368">
        <f t="shared" si="741"/>
        <v>0</v>
      </c>
      <c r="J5797">
        <v>6473</v>
      </c>
      <c r="K5797" s="367">
        <f t="shared" si="742"/>
        <v>4623.5714285714284</v>
      </c>
      <c r="L5797">
        <v>0.23</v>
      </c>
      <c r="M5797">
        <v>3.4</v>
      </c>
      <c r="N5797">
        <v>16</v>
      </c>
      <c r="O5797">
        <v>6</v>
      </c>
      <c r="P5797" t="s">
        <v>514</v>
      </c>
      <c r="Q5797" s="97" t="str">
        <f t="shared" si="743"/>
        <v/>
      </c>
      <c r="R5797" t="str">
        <f t="shared" si="744"/>
        <v/>
      </c>
    </row>
    <row r="5798" spans="3:18">
      <c r="C5798" t="str">
        <f t="shared" si="739"/>
        <v/>
      </c>
      <c r="D5798">
        <v>45</v>
      </c>
      <c r="E5798">
        <v>35</v>
      </c>
      <c r="F5798" s="366">
        <f t="shared" si="740"/>
        <v>759.5</v>
      </c>
      <c r="G5798" s="97">
        <v>2459</v>
      </c>
      <c r="H5798" s="367">
        <f t="shared" si="745"/>
        <v>3218.5</v>
      </c>
      <c r="I5798" s="368">
        <f t="shared" si="741"/>
        <v>0</v>
      </c>
      <c r="J5798">
        <v>7453</v>
      </c>
      <c r="K5798" s="367">
        <f t="shared" si="742"/>
        <v>5323.5714285714284</v>
      </c>
      <c r="L5798">
        <v>0.9</v>
      </c>
      <c r="M5798">
        <v>3.4</v>
      </c>
      <c r="N5798">
        <v>24</v>
      </c>
      <c r="O5798">
        <v>6</v>
      </c>
      <c r="P5798" t="s">
        <v>513</v>
      </c>
      <c r="Q5798" s="97" t="str">
        <f t="shared" si="743"/>
        <v/>
      </c>
      <c r="R5798" t="str">
        <f t="shared" si="744"/>
        <v/>
      </c>
    </row>
    <row r="5799" spans="3:18">
      <c r="C5799" t="str">
        <f t="shared" si="739"/>
        <v>NL</v>
      </c>
      <c r="D5799">
        <v>46</v>
      </c>
      <c r="E5799">
        <v>40</v>
      </c>
      <c r="F5799" s="366">
        <f t="shared" si="740"/>
        <v>868</v>
      </c>
      <c r="G5799" s="97">
        <v>2015</v>
      </c>
      <c r="H5799" s="367">
        <f t="shared" si="745"/>
        <v>2883</v>
      </c>
      <c r="I5799" s="368">
        <f t="shared" si="741"/>
        <v>0</v>
      </c>
      <c r="J5799">
        <v>6110</v>
      </c>
      <c r="K5799" s="367">
        <f t="shared" si="742"/>
        <v>4364.2857142857147</v>
      </c>
      <c r="L5799">
        <v>0.45</v>
      </c>
      <c r="M5799">
        <v>1.8</v>
      </c>
      <c r="N5799">
        <v>20</v>
      </c>
      <c r="O5799">
        <v>3</v>
      </c>
      <c r="P5799" t="s">
        <v>515</v>
      </c>
      <c r="Q5799" s="97" t="str">
        <f t="shared" si="743"/>
        <v/>
      </c>
      <c r="R5799" t="str">
        <f t="shared" si="744"/>
        <v/>
      </c>
    </row>
    <row r="5800" spans="3:18">
      <c r="C5800" t="str">
        <f t="shared" si="739"/>
        <v>NL</v>
      </c>
      <c r="D5800">
        <v>47</v>
      </c>
      <c r="E5800">
        <v>40</v>
      </c>
      <c r="F5800" s="366">
        <f t="shared" si="740"/>
        <v>868</v>
      </c>
      <c r="G5800" s="97">
        <v>2501</v>
      </c>
      <c r="H5800" s="367">
        <f t="shared" si="745"/>
        <v>3369</v>
      </c>
      <c r="I5800" s="368">
        <f t="shared" si="741"/>
        <v>0</v>
      </c>
      <c r="J5800">
        <v>7580</v>
      </c>
      <c r="K5800" s="367">
        <f t="shared" si="742"/>
        <v>5414.2857142857147</v>
      </c>
      <c r="L5800">
        <v>1.24</v>
      </c>
      <c r="M5800">
        <v>1.8</v>
      </c>
      <c r="N5800">
        <v>23</v>
      </c>
      <c r="O5800">
        <v>3</v>
      </c>
      <c r="P5800" t="s">
        <v>514</v>
      </c>
      <c r="Q5800" s="97" t="str">
        <f t="shared" si="743"/>
        <v/>
      </c>
      <c r="R5800" t="str">
        <f t="shared" si="744"/>
        <v/>
      </c>
    </row>
    <row r="5801" spans="3:18">
      <c r="C5801" t="str">
        <f t="shared" si="739"/>
        <v/>
      </c>
      <c r="D5801">
        <v>48</v>
      </c>
      <c r="E5801">
        <v>40</v>
      </c>
      <c r="F5801" s="366">
        <f t="shared" si="740"/>
        <v>868</v>
      </c>
      <c r="G5801" s="97">
        <v>2105</v>
      </c>
      <c r="H5801" s="367">
        <f t="shared" si="745"/>
        <v>2973</v>
      </c>
      <c r="I5801" s="368">
        <f t="shared" si="741"/>
        <v>0</v>
      </c>
      <c r="J5801">
        <v>6383</v>
      </c>
      <c r="K5801" s="367">
        <f t="shared" si="742"/>
        <v>4559.2857142857147</v>
      </c>
      <c r="L5801">
        <v>0.24000000000000002</v>
      </c>
      <c r="M5801">
        <v>2.3000000000000003</v>
      </c>
      <c r="N5801">
        <v>18</v>
      </c>
      <c r="O5801">
        <v>4</v>
      </c>
      <c r="P5801" t="s">
        <v>515</v>
      </c>
      <c r="Q5801" s="97" t="str">
        <f t="shared" si="743"/>
        <v/>
      </c>
      <c r="R5801" t="str">
        <f t="shared" si="744"/>
        <v/>
      </c>
    </row>
    <row r="5802" spans="3:18">
      <c r="C5802" t="str">
        <f t="shared" si="739"/>
        <v/>
      </c>
      <c r="D5802">
        <v>49</v>
      </c>
      <c r="E5802">
        <v>40</v>
      </c>
      <c r="F5802" s="366">
        <f t="shared" si="740"/>
        <v>868</v>
      </c>
      <c r="G5802" s="97">
        <v>2636</v>
      </c>
      <c r="H5802" s="367">
        <f t="shared" si="745"/>
        <v>3504</v>
      </c>
      <c r="I5802" s="368">
        <f t="shared" si="741"/>
        <v>0</v>
      </c>
      <c r="J5802">
        <v>7990</v>
      </c>
      <c r="K5802" s="367">
        <f t="shared" si="742"/>
        <v>5707.1428571428569</v>
      </c>
      <c r="L5802">
        <v>0.66</v>
      </c>
      <c r="M5802">
        <v>2.3000000000000003</v>
      </c>
      <c r="N5802">
        <v>20</v>
      </c>
      <c r="O5802">
        <v>4</v>
      </c>
      <c r="P5802" t="s">
        <v>514</v>
      </c>
      <c r="Q5802" s="97">
        <f t="shared" si="743"/>
        <v>49</v>
      </c>
      <c r="R5802" t="str">
        <f t="shared" si="744"/>
        <v/>
      </c>
    </row>
    <row r="5803" spans="3:18">
      <c r="C5803" t="str">
        <f t="shared" si="739"/>
        <v>NL</v>
      </c>
      <c r="D5803">
        <v>50</v>
      </c>
      <c r="E5803">
        <v>40</v>
      </c>
      <c r="F5803" s="366">
        <f t="shared" si="740"/>
        <v>868</v>
      </c>
      <c r="G5803" s="97">
        <v>1850</v>
      </c>
      <c r="H5803" s="367">
        <f t="shared" si="745"/>
        <v>2718</v>
      </c>
      <c r="I5803" s="368">
        <f t="shared" si="741"/>
        <v>0</v>
      </c>
      <c r="J5803">
        <v>5609</v>
      </c>
      <c r="K5803" s="367">
        <f t="shared" si="742"/>
        <v>4006.4285714285716</v>
      </c>
      <c r="L5803">
        <v>0.16</v>
      </c>
      <c r="M5803">
        <v>2.8000000000000003</v>
      </c>
      <c r="N5803">
        <v>16</v>
      </c>
      <c r="O5803">
        <v>5</v>
      </c>
      <c r="P5803" t="s">
        <v>515</v>
      </c>
      <c r="Q5803" s="97" t="str">
        <f t="shared" si="743"/>
        <v/>
      </c>
      <c r="R5803" t="str">
        <f t="shared" si="744"/>
        <v/>
      </c>
    </row>
    <row r="5804" spans="3:18">
      <c r="C5804" t="str">
        <f t="shared" si="739"/>
        <v>NL</v>
      </c>
      <c r="D5804">
        <v>51</v>
      </c>
      <c r="E5804">
        <v>40</v>
      </c>
      <c r="F5804" s="366">
        <f t="shared" si="740"/>
        <v>868</v>
      </c>
      <c r="G5804" s="97">
        <v>2482</v>
      </c>
      <c r="H5804" s="367">
        <f t="shared" si="745"/>
        <v>3350</v>
      </c>
      <c r="I5804" s="368">
        <f t="shared" si="741"/>
        <v>0</v>
      </c>
      <c r="J5804">
        <v>7525</v>
      </c>
      <c r="K5804" s="367">
        <f t="shared" si="742"/>
        <v>5375</v>
      </c>
      <c r="L5804">
        <v>0.43</v>
      </c>
      <c r="M5804">
        <v>2.8000000000000003</v>
      </c>
      <c r="N5804">
        <v>18</v>
      </c>
      <c r="O5804">
        <v>5</v>
      </c>
      <c r="P5804" t="s">
        <v>514</v>
      </c>
      <c r="Q5804" s="97" t="str">
        <f t="shared" si="743"/>
        <v/>
      </c>
      <c r="R5804" t="str">
        <f t="shared" si="744"/>
        <v/>
      </c>
    </row>
    <row r="5805" spans="3:18">
      <c r="C5805" t="str">
        <f t="shared" si="739"/>
        <v/>
      </c>
      <c r="D5805">
        <v>52</v>
      </c>
      <c r="E5805">
        <v>40</v>
      </c>
      <c r="F5805" s="366">
        <f t="shared" si="740"/>
        <v>868</v>
      </c>
      <c r="G5805" s="97">
        <v>2428</v>
      </c>
      <c r="H5805" s="367">
        <f t="shared" si="745"/>
        <v>3296</v>
      </c>
      <c r="I5805" s="368">
        <f t="shared" si="741"/>
        <v>0</v>
      </c>
      <c r="J5805">
        <v>7362</v>
      </c>
      <c r="K5805" s="367">
        <f t="shared" si="742"/>
        <v>5258.5714285714284</v>
      </c>
      <c r="L5805">
        <v>0.3</v>
      </c>
      <c r="M5805">
        <v>3.4</v>
      </c>
      <c r="N5805">
        <v>18</v>
      </c>
      <c r="O5805">
        <v>6</v>
      </c>
      <c r="P5805" t="s">
        <v>514</v>
      </c>
      <c r="Q5805" s="97">
        <f t="shared" si="743"/>
        <v>52</v>
      </c>
      <c r="R5805" t="str">
        <f t="shared" si="744"/>
        <v/>
      </c>
    </row>
    <row r="5806" spans="3:18">
      <c r="C5806" t="str">
        <f t="shared" si="739"/>
        <v/>
      </c>
      <c r="D5806">
        <v>53</v>
      </c>
      <c r="E5806">
        <v>40</v>
      </c>
      <c r="F5806" s="366">
        <f t="shared" si="740"/>
        <v>868</v>
      </c>
      <c r="G5806" s="97">
        <v>2819</v>
      </c>
      <c r="H5806" s="367">
        <f t="shared" si="745"/>
        <v>3687</v>
      </c>
      <c r="I5806" s="368">
        <f t="shared" si="741"/>
        <v>0</v>
      </c>
      <c r="J5806">
        <v>8546</v>
      </c>
      <c r="K5806" s="367">
        <f t="shared" si="742"/>
        <v>6104.2857142857147</v>
      </c>
      <c r="L5806">
        <v>1.18</v>
      </c>
      <c r="M5806">
        <v>3.4</v>
      </c>
      <c r="N5806">
        <v>26</v>
      </c>
      <c r="O5806">
        <v>6</v>
      </c>
      <c r="P5806" t="s">
        <v>513</v>
      </c>
      <c r="Q5806" s="97" t="str">
        <f t="shared" si="743"/>
        <v/>
      </c>
      <c r="R5806" t="str">
        <f t="shared" si="744"/>
        <v/>
      </c>
    </row>
    <row r="5807" spans="3:18">
      <c r="C5807" t="str">
        <f t="shared" si="739"/>
        <v>NL</v>
      </c>
      <c r="D5807">
        <v>54</v>
      </c>
      <c r="E5807">
        <v>45</v>
      </c>
      <c r="F5807" s="366">
        <f t="shared" si="740"/>
        <v>976.5</v>
      </c>
      <c r="G5807" s="97">
        <v>2217</v>
      </c>
      <c r="H5807" s="367">
        <f t="shared" si="745"/>
        <v>3193.5</v>
      </c>
      <c r="I5807" s="368">
        <f t="shared" si="741"/>
        <v>0</v>
      </c>
      <c r="J5807">
        <v>6721</v>
      </c>
      <c r="K5807" s="367">
        <f t="shared" si="742"/>
        <v>4800.7142857142862</v>
      </c>
      <c r="L5807">
        <v>0.57000000000000006</v>
      </c>
      <c r="M5807">
        <v>1.8</v>
      </c>
      <c r="N5807">
        <v>22</v>
      </c>
      <c r="O5807">
        <v>3</v>
      </c>
      <c r="P5807" t="s">
        <v>515</v>
      </c>
      <c r="Q5807" s="97" t="str">
        <f t="shared" si="743"/>
        <v/>
      </c>
      <c r="R5807" t="str">
        <f t="shared" si="744"/>
        <v/>
      </c>
    </row>
    <row r="5808" spans="3:18">
      <c r="C5808" t="str">
        <f t="shared" si="739"/>
        <v/>
      </c>
      <c r="D5808">
        <v>55</v>
      </c>
      <c r="E5808">
        <v>45</v>
      </c>
      <c r="F5808" s="366">
        <f t="shared" si="740"/>
        <v>976.5</v>
      </c>
      <c r="G5808" s="97">
        <v>2320</v>
      </c>
      <c r="H5808" s="367">
        <f t="shared" si="745"/>
        <v>3296.5</v>
      </c>
      <c r="I5808" s="368">
        <f t="shared" si="741"/>
        <v>0</v>
      </c>
      <c r="J5808">
        <v>7034</v>
      </c>
      <c r="K5808" s="367">
        <f t="shared" si="742"/>
        <v>5024.2857142857147</v>
      </c>
      <c r="L5808">
        <v>0.3</v>
      </c>
      <c r="M5808">
        <v>2.3000000000000003</v>
      </c>
      <c r="N5808">
        <v>19</v>
      </c>
      <c r="O5808">
        <v>4</v>
      </c>
      <c r="P5808" t="s">
        <v>515</v>
      </c>
      <c r="Q5808" s="97">
        <f t="shared" si="743"/>
        <v>55</v>
      </c>
      <c r="R5808" t="str">
        <f t="shared" si="744"/>
        <v/>
      </c>
    </row>
    <row r="5809" spans="3:18">
      <c r="C5809" t="str">
        <f t="shared" si="739"/>
        <v/>
      </c>
      <c r="D5809">
        <v>56</v>
      </c>
      <c r="E5809">
        <v>45</v>
      </c>
      <c r="F5809" s="366">
        <f t="shared" si="740"/>
        <v>976.5</v>
      </c>
      <c r="G5809" s="97">
        <v>2888</v>
      </c>
      <c r="H5809" s="367">
        <f t="shared" si="745"/>
        <v>3864.5</v>
      </c>
      <c r="I5809" s="368">
        <f t="shared" si="741"/>
        <v>0</v>
      </c>
      <c r="J5809">
        <v>8755</v>
      </c>
      <c r="K5809" s="367">
        <f t="shared" si="742"/>
        <v>6253.5714285714284</v>
      </c>
      <c r="L5809">
        <v>0.84</v>
      </c>
      <c r="M5809">
        <v>2.3000000000000003</v>
      </c>
      <c r="N5809">
        <v>21</v>
      </c>
      <c r="O5809">
        <v>4</v>
      </c>
      <c r="P5809" t="s">
        <v>514</v>
      </c>
      <c r="Q5809" s="97" t="str">
        <f t="shared" si="743"/>
        <v/>
      </c>
      <c r="R5809" t="str">
        <f t="shared" si="744"/>
        <v/>
      </c>
    </row>
    <row r="5810" spans="3:18">
      <c r="C5810" t="str">
        <f t="shared" si="739"/>
        <v>NL</v>
      </c>
      <c r="D5810">
        <v>57</v>
      </c>
      <c r="E5810">
        <v>45</v>
      </c>
      <c r="F5810" s="366">
        <f t="shared" si="740"/>
        <v>976.5</v>
      </c>
      <c r="G5810" s="97">
        <v>2081</v>
      </c>
      <c r="H5810" s="367">
        <f t="shared" si="745"/>
        <v>3057.5</v>
      </c>
      <c r="I5810" s="368">
        <f t="shared" si="741"/>
        <v>0</v>
      </c>
      <c r="J5810">
        <v>6309</v>
      </c>
      <c r="K5810" s="367">
        <f t="shared" si="742"/>
        <v>4506.4285714285716</v>
      </c>
      <c r="L5810">
        <v>0.2</v>
      </c>
      <c r="M5810">
        <v>2.8000000000000003</v>
      </c>
      <c r="N5810">
        <v>18</v>
      </c>
      <c r="O5810">
        <v>5</v>
      </c>
      <c r="P5810" t="s">
        <v>515</v>
      </c>
      <c r="Q5810" s="97" t="str">
        <f t="shared" si="743"/>
        <v/>
      </c>
      <c r="R5810" t="str">
        <f t="shared" si="744"/>
        <v/>
      </c>
    </row>
    <row r="5811" spans="3:18">
      <c r="C5811" t="str">
        <f t="shared" si="739"/>
        <v>NL</v>
      </c>
      <c r="D5811">
        <v>58</v>
      </c>
      <c r="E5811">
        <v>45</v>
      </c>
      <c r="F5811" s="366">
        <f t="shared" si="740"/>
        <v>976.5</v>
      </c>
      <c r="G5811" s="97">
        <v>2771</v>
      </c>
      <c r="H5811" s="367">
        <f t="shared" si="745"/>
        <v>3747.5</v>
      </c>
      <c r="I5811" s="368">
        <f t="shared" si="741"/>
        <v>0</v>
      </c>
      <c r="J5811">
        <v>8401</v>
      </c>
      <c r="K5811" s="367">
        <f t="shared" si="742"/>
        <v>6000.7142857142862</v>
      </c>
      <c r="L5811">
        <v>0.54</v>
      </c>
      <c r="M5811">
        <v>2.8000000000000003</v>
      </c>
      <c r="N5811">
        <v>20</v>
      </c>
      <c r="O5811">
        <v>5</v>
      </c>
      <c r="P5811" t="s">
        <v>514</v>
      </c>
      <c r="Q5811" s="97" t="str">
        <f t="shared" si="743"/>
        <v/>
      </c>
      <c r="R5811" t="str">
        <f t="shared" si="744"/>
        <v/>
      </c>
    </row>
    <row r="5812" spans="3:18">
      <c r="C5812" t="str">
        <f t="shared" si="739"/>
        <v/>
      </c>
      <c r="D5812">
        <v>59</v>
      </c>
      <c r="E5812">
        <v>45</v>
      </c>
      <c r="F5812" s="366">
        <f t="shared" si="740"/>
        <v>976.5</v>
      </c>
      <c r="G5812" s="97">
        <v>2731</v>
      </c>
      <c r="H5812" s="367">
        <f t="shared" si="745"/>
        <v>3707.5</v>
      </c>
      <c r="I5812" s="368">
        <f t="shared" si="741"/>
        <v>0</v>
      </c>
      <c r="J5812">
        <v>8280</v>
      </c>
      <c r="K5812" s="367">
        <f t="shared" si="742"/>
        <v>5914.2857142857147</v>
      </c>
      <c r="L5812">
        <v>0.38</v>
      </c>
      <c r="M5812">
        <v>3.4</v>
      </c>
      <c r="N5812">
        <v>19</v>
      </c>
      <c r="O5812">
        <v>6</v>
      </c>
      <c r="P5812" t="s">
        <v>514</v>
      </c>
      <c r="Q5812" s="97">
        <f t="shared" si="743"/>
        <v>59</v>
      </c>
      <c r="R5812" t="str">
        <f t="shared" si="744"/>
        <v/>
      </c>
    </row>
    <row r="5813" spans="3:18">
      <c r="C5813" t="str">
        <f t="shared" si="739"/>
        <v>NL</v>
      </c>
      <c r="D5813">
        <v>60</v>
      </c>
      <c r="E5813">
        <v>50</v>
      </c>
      <c r="F5813" s="366">
        <f t="shared" si="740"/>
        <v>1085</v>
      </c>
      <c r="G5813" s="97">
        <v>2407</v>
      </c>
      <c r="H5813" s="367">
        <f t="shared" si="745"/>
        <v>3492</v>
      </c>
      <c r="I5813" s="368">
        <f t="shared" si="741"/>
        <v>0</v>
      </c>
      <c r="J5813">
        <v>7297</v>
      </c>
      <c r="K5813" s="367">
        <f t="shared" si="742"/>
        <v>5212.1428571428569</v>
      </c>
      <c r="L5813">
        <v>0.7</v>
      </c>
      <c r="M5813">
        <v>1.8</v>
      </c>
      <c r="N5813">
        <v>23</v>
      </c>
      <c r="O5813">
        <v>3</v>
      </c>
      <c r="P5813" t="s">
        <v>515</v>
      </c>
      <c r="Q5813" s="97" t="str">
        <f t="shared" si="743"/>
        <v/>
      </c>
      <c r="R5813" t="str">
        <f t="shared" si="744"/>
        <v/>
      </c>
    </row>
    <row r="5814" spans="3:18">
      <c r="C5814" t="str">
        <f t="shared" si="739"/>
        <v/>
      </c>
      <c r="D5814">
        <v>61</v>
      </c>
      <c r="E5814">
        <v>50</v>
      </c>
      <c r="F5814" s="366">
        <f t="shared" si="740"/>
        <v>1085</v>
      </c>
      <c r="G5814" s="97">
        <v>2527</v>
      </c>
      <c r="H5814" s="367">
        <f t="shared" si="745"/>
        <v>3612</v>
      </c>
      <c r="I5814" s="368">
        <f t="shared" si="741"/>
        <v>0</v>
      </c>
      <c r="J5814">
        <v>7661</v>
      </c>
      <c r="K5814" s="367">
        <f t="shared" si="742"/>
        <v>5472.1428571428569</v>
      </c>
      <c r="L5814">
        <v>0.37</v>
      </c>
      <c r="M5814">
        <v>2.3000000000000003</v>
      </c>
      <c r="N5814">
        <v>20</v>
      </c>
      <c r="O5814">
        <v>4</v>
      </c>
      <c r="P5814" t="s">
        <v>515</v>
      </c>
      <c r="Q5814" s="97">
        <f t="shared" si="743"/>
        <v>61</v>
      </c>
      <c r="R5814" t="str">
        <f t="shared" si="744"/>
        <v/>
      </c>
    </row>
    <row r="5815" spans="3:18">
      <c r="C5815" t="str">
        <f t="shared" si="739"/>
        <v/>
      </c>
      <c r="D5815">
        <v>62</v>
      </c>
      <c r="E5815">
        <v>50</v>
      </c>
      <c r="F5815" s="366">
        <f t="shared" si="740"/>
        <v>1085</v>
      </c>
      <c r="G5815" s="97">
        <v>3130</v>
      </c>
      <c r="H5815" s="367">
        <f t="shared" si="745"/>
        <v>4215</v>
      </c>
      <c r="I5815" s="368">
        <f t="shared" si="741"/>
        <v>0</v>
      </c>
      <c r="J5815">
        <v>9487</v>
      </c>
      <c r="K5815" s="367">
        <f t="shared" si="742"/>
        <v>6776.4285714285716</v>
      </c>
      <c r="L5815">
        <v>1.03</v>
      </c>
      <c r="M5815">
        <v>2.3000000000000003</v>
      </c>
      <c r="N5815">
        <v>23</v>
      </c>
      <c r="O5815">
        <v>4</v>
      </c>
      <c r="P5815" t="s">
        <v>514</v>
      </c>
      <c r="Q5815" s="97" t="str">
        <f t="shared" si="743"/>
        <v/>
      </c>
      <c r="R5815" t="str">
        <f t="shared" si="744"/>
        <v/>
      </c>
    </row>
    <row r="5816" spans="3:18">
      <c r="C5816" t="str">
        <f t="shared" si="739"/>
        <v>NL</v>
      </c>
      <c r="D5816">
        <v>63</v>
      </c>
      <c r="E5816">
        <v>50</v>
      </c>
      <c r="F5816" s="366">
        <f t="shared" si="740"/>
        <v>1085</v>
      </c>
      <c r="G5816" s="97">
        <v>2313</v>
      </c>
      <c r="H5816" s="367">
        <f t="shared" si="745"/>
        <v>3398</v>
      </c>
      <c r="I5816" s="368">
        <f t="shared" si="741"/>
        <v>0</v>
      </c>
      <c r="J5816">
        <v>7012</v>
      </c>
      <c r="K5816" s="367">
        <f t="shared" si="742"/>
        <v>5008.5714285714284</v>
      </c>
      <c r="L5816">
        <v>0.24000000000000002</v>
      </c>
      <c r="M5816">
        <v>2.8000000000000003</v>
      </c>
      <c r="N5816">
        <v>19</v>
      </c>
      <c r="O5816">
        <v>5</v>
      </c>
      <c r="P5816" t="s">
        <v>515</v>
      </c>
      <c r="Q5816" s="97" t="str">
        <f t="shared" si="743"/>
        <v/>
      </c>
      <c r="R5816" t="str">
        <f t="shared" si="744"/>
        <v/>
      </c>
    </row>
    <row r="5817" spans="3:18">
      <c r="C5817" t="str">
        <f t="shared" si="739"/>
        <v>NL</v>
      </c>
      <c r="D5817">
        <v>64</v>
      </c>
      <c r="E5817">
        <v>50</v>
      </c>
      <c r="F5817" s="366">
        <f t="shared" si="740"/>
        <v>1085</v>
      </c>
      <c r="G5817" s="97">
        <v>3014</v>
      </c>
      <c r="H5817" s="367">
        <f t="shared" si="745"/>
        <v>4099</v>
      </c>
      <c r="I5817" s="368">
        <f t="shared" si="741"/>
        <v>0</v>
      </c>
      <c r="J5817">
        <v>9138</v>
      </c>
      <c r="K5817" s="367">
        <f t="shared" si="742"/>
        <v>6527.1428571428569</v>
      </c>
      <c r="L5817">
        <v>0.66</v>
      </c>
      <c r="M5817">
        <v>2.8000000000000003</v>
      </c>
      <c r="N5817">
        <v>21</v>
      </c>
      <c r="O5817">
        <v>5</v>
      </c>
      <c r="P5817" t="s">
        <v>514</v>
      </c>
      <c r="Q5817" s="97" t="str">
        <f t="shared" si="743"/>
        <v/>
      </c>
      <c r="R5817" t="str">
        <f t="shared" si="744"/>
        <v/>
      </c>
    </row>
    <row r="5818" spans="3:18">
      <c r="C5818" t="str">
        <f t="shared" ref="C5818:C5870" si="746">IF(OR($O$4=0,O5818-$O$4=0),IF(AND(ISEVEN(O5818)=FALSE,$N$4="Even"),"NL",""),"NL")</f>
        <v/>
      </c>
      <c r="D5818">
        <v>65</v>
      </c>
      <c r="E5818">
        <v>50</v>
      </c>
      <c r="F5818" s="366">
        <f t="shared" ref="F5818:F5870" si="747">1.085*($A$2-$B$2)*E5818*$T$7</f>
        <v>1085</v>
      </c>
      <c r="G5818" s="97">
        <v>2282</v>
      </c>
      <c r="H5818" s="367">
        <f t="shared" si="745"/>
        <v>3367</v>
      </c>
      <c r="I5818" s="368">
        <f t="shared" si="741"/>
        <v>0</v>
      </c>
      <c r="J5818">
        <v>6919</v>
      </c>
      <c r="K5818" s="367">
        <f t="shared" si="742"/>
        <v>4942.1428571428569</v>
      </c>
      <c r="L5818">
        <v>0.18000000000000002</v>
      </c>
      <c r="M5818">
        <v>3.4</v>
      </c>
      <c r="N5818">
        <v>18</v>
      </c>
      <c r="O5818">
        <v>6</v>
      </c>
      <c r="P5818" t="s">
        <v>515</v>
      </c>
      <c r="Q5818" s="97">
        <f t="shared" si="743"/>
        <v>65</v>
      </c>
      <c r="R5818" t="str">
        <f t="shared" si="744"/>
        <v/>
      </c>
    </row>
    <row r="5819" spans="3:18">
      <c r="C5819" t="str">
        <f t="shared" si="746"/>
        <v/>
      </c>
      <c r="D5819">
        <v>66</v>
      </c>
      <c r="E5819">
        <v>50</v>
      </c>
      <c r="F5819" s="366">
        <f t="shared" si="747"/>
        <v>1085</v>
      </c>
      <c r="G5819" s="97">
        <v>3048</v>
      </c>
      <c r="H5819" s="367">
        <f t="shared" si="745"/>
        <v>4133</v>
      </c>
      <c r="I5819" s="368">
        <f t="shared" ref="I5819:I5870" si="748">1.085*($C$2-$D$2)*E5819*$T$7</f>
        <v>0</v>
      </c>
      <c r="J5819">
        <v>9239</v>
      </c>
      <c r="K5819" s="367">
        <f t="shared" ref="K5819:K5870" si="749">(J5819*$V$7)-I5819</f>
        <v>6599.2857142857147</v>
      </c>
      <c r="L5819">
        <v>0.47000000000000003</v>
      </c>
      <c r="M5819">
        <v>3.4</v>
      </c>
      <c r="N5819">
        <v>20</v>
      </c>
      <c r="O5819">
        <v>6</v>
      </c>
      <c r="P5819" t="s">
        <v>514</v>
      </c>
      <c r="Q5819" s="97">
        <f t="shared" ref="Q5819:Q5870" si="750">IF(AND(H5819+1&gt;$E$4,L5819&lt;$L$4+0.01,M5819&lt;$M$4+0.01,K5819+1&gt;$F$4,E5819+1&gt;$J$4,N5819&lt;$K$4+1,O5819&lt;$P$4+1,C5819=""),D5819,"")</f>
        <v>66</v>
      </c>
      <c r="R5819" t="str">
        <f t="shared" ref="R5819:R5870" si="751">IF(Q5819="","",IF(AND(O5819&lt;$X$25,E5819&gt;$U$25,E5819&lt;$Q$4+$U$25+1),D5819,""))</f>
        <v/>
      </c>
    </row>
    <row r="5820" spans="3:18">
      <c r="C5820" t="str">
        <f t="shared" si="746"/>
        <v>NL</v>
      </c>
      <c r="D5820">
        <v>67</v>
      </c>
      <c r="E5820">
        <v>55</v>
      </c>
      <c r="F5820" s="366">
        <f t="shared" si="747"/>
        <v>1193.5</v>
      </c>
      <c r="G5820" s="97">
        <v>2590</v>
      </c>
      <c r="H5820" s="367">
        <f t="shared" si="745"/>
        <v>3783.5</v>
      </c>
      <c r="I5820" s="368">
        <f t="shared" si="748"/>
        <v>0</v>
      </c>
      <c r="J5820">
        <v>7851</v>
      </c>
      <c r="K5820" s="367">
        <f t="shared" si="749"/>
        <v>5607.8571428571431</v>
      </c>
      <c r="L5820">
        <v>0.84</v>
      </c>
      <c r="M5820">
        <v>1.8</v>
      </c>
      <c r="N5820">
        <v>25</v>
      </c>
      <c r="O5820">
        <v>3</v>
      </c>
      <c r="P5820" t="s">
        <v>515</v>
      </c>
      <c r="Q5820" s="97" t="str">
        <f t="shared" si="750"/>
        <v/>
      </c>
      <c r="R5820" t="str">
        <f t="shared" si="751"/>
        <v/>
      </c>
    </row>
    <row r="5821" spans="3:18">
      <c r="C5821" t="str">
        <f t="shared" si="746"/>
        <v/>
      </c>
      <c r="D5821">
        <v>68</v>
      </c>
      <c r="E5821">
        <v>55</v>
      </c>
      <c r="F5821" s="366">
        <f t="shared" si="747"/>
        <v>1193.5</v>
      </c>
      <c r="G5821" s="97">
        <v>2728</v>
      </c>
      <c r="H5821" s="367">
        <f t="shared" si="745"/>
        <v>3921.5</v>
      </c>
      <c r="I5821" s="368">
        <f t="shared" si="748"/>
        <v>0</v>
      </c>
      <c r="J5821">
        <v>8271</v>
      </c>
      <c r="K5821" s="367">
        <f t="shared" si="749"/>
        <v>5907.8571428571431</v>
      </c>
      <c r="L5821">
        <v>0.45</v>
      </c>
      <c r="M5821">
        <v>2.3000000000000003</v>
      </c>
      <c r="N5821">
        <v>22</v>
      </c>
      <c r="O5821">
        <v>4</v>
      </c>
      <c r="P5821" t="s">
        <v>515</v>
      </c>
      <c r="Q5821" s="97">
        <f t="shared" si="750"/>
        <v>68</v>
      </c>
      <c r="R5821" t="str">
        <f t="shared" si="751"/>
        <v/>
      </c>
    </row>
    <row r="5822" spans="3:18">
      <c r="C5822" t="str">
        <f t="shared" si="746"/>
        <v>NL</v>
      </c>
      <c r="D5822">
        <v>69</v>
      </c>
      <c r="E5822">
        <v>55</v>
      </c>
      <c r="F5822" s="366">
        <f t="shared" si="747"/>
        <v>1193.5</v>
      </c>
      <c r="G5822" s="97">
        <v>2553</v>
      </c>
      <c r="H5822" s="367">
        <f t="shared" si="745"/>
        <v>3746.5</v>
      </c>
      <c r="I5822" s="368">
        <f t="shared" si="748"/>
        <v>0</v>
      </c>
      <c r="J5822">
        <v>7739</v>
      </c>
      <c r="K5822" s="367">
        <f t="shared" si="749"/>
        <v>5527.8571428571431</v>
      </c>
      <c r="L5822">
        <v>0.29000000000000004</v>
      </c>
      <c r="M5822">
        <v>2.8000000000000003</v>
      </c>
      <c r="N5822">
        <v>20</v>
      </c>
      <c r="O5822">
        <v>5</v>
      </c>
      <c r="P5822" t="s">
        <v>515</v>
      </c>
      <c r="Q5822" s="97" t="str">
        <f t="shared" si="750"/>
        <v/>
      </c>
      <c r="R5822" t="str">
        <f t="shared" si="751"/>
        <v/>
      </c>
    </row>
    <row r="5823" spans="3:18">
      <c r="C5823" t="str">
        <f t="shared" si="746"/>
        <v>NL</v>
      </c>
      <c r="D5823">
        <v>70</v>
      </c>
      <c r="E5823">
        <v>55</v>
      </c>
      <c r="F5823" s="366">
        <f t="shared" si="747"/>
        <v>1193.5</v>
      </c>
      <c r="G5823" s="97">
        <v>3244</v>
      </c>
      <c r="H5823" s="367">
        <f t="shared" si="745"/>
        <v>4437.5</v>
      </c>
      <c r="I5823" s="368">
        <f t="shared" si="748"/>
        <v>0</v>
      </c>
      <c r="J5823">
        <v>9834</v>
      </c>
      <c r="K5823" s="367">
        <f t="shared" si="749"/>
        <v>7024.2857142857147</v>
      </c>
      <c r="L5823">
        <v>0.8</v>
      </c>
      <c r="M5823">
        <v>2.8000000000000003</v>
      </c>
      <c r="N5823">
        <v>22</v>
      </c>
      <c r="O5823">
        <v>5</v>
      </c>
      <c r="P5823" t="s">
        <v>514</v>
      </c>
      <c r="Q5823" s="97" t="str">
        <f t="shared" si="750"/>
        <v/>
      </c>
      <c r="R5823" t="str">
        <f t="shared" si="751"/>
        <v/>
      </c>
    </row>
    <row r="5824" spans="3:18">
      <c r="C5824" t="str">
        <f t="shared" si="746"/>
        <v/>
      </c>
      <c r="D5824">
        <v>71</v>
      </c>
      <c r="E5824">
        <v>55</v>
      </c>
      <c r="F5824" s="366">
        <f t="shared" si="747"/>
        <v>1193.5</v>
      </c>
      <c r="G5824" s="97">
        <v>2502</v>
      </c>
      <c r="H5824" s="367">
        <f t="shared" si="745"/>
        <v>3695.5</v>
      </c>
      <c r="I5824" s="368">
        <f t="shared" si="748"/>
        <v>0</v>
      </c>
      <c r="J5824">
        <v>7585</v>
      </c>
      <c r="K5824" s="367">
        <f t="shared" si="749"/>
        <v>5417.8571428571431</v>
      </c>
      <c r="L5824">
        <v>0.21000000000000002</v>
      </c>
      <c r="M5824">
        <v>3.4</v>
      </c>
      <c r="N5824">
        <v>20</v>
      </c>
      <c r="O5824">
        <v>6</v>
      </c>
      <c r="P5824" t="s">
        <v>515</v>
      </c>
      <c r="Q5824" s="97">
        <f t="shared" si="750"/>
        <v>71</v>
      </c>
      <c r="R5824" t="str">
        <f t="shared" si="751"/>
        <v/>
      </c>
    </row>
    <row r="5825" spans="3:18">
      <c r="C5825" t="str">
        <f t="shared" si="746"/>
        <v/>
      </c>
      <c r="D5825">
        <v>72</v>
      </c>
      <c r="E5825">
        <v>55</v>
      </c>
      <c r="F5825" s="366">
        <f t="shared" si="747"/>
        <v>1193.5</v>
      </c>
      <c r="G5825" s="97">
        <v>3324</v>
      </c>
      <c r="H5825" s="367">
        <f t="shared" si="745"/>
        <v>4517.5</v>
      </c>
      <c r="I5825" s="368">
        <f t="shared" si="748"/>
        <v>0</v>
      </c>
      <c r="J5825">
        <v>10078</v>
      </c>
      <c r="K5825" s="367">
        <f t="shared" si="749"/>
        <v>7198.5714285714284</v>
      </c>
      <c r="L5825">
        <v>0.57000000000000006</v>
      </c>
      <c r="M5825">
        <v>3.4</v>
      </c>
      <c r="N5825">
        <v>22</v>
      </c>
      <c r="O5825">
        <v>6</v>
      </c>
      <c r="P5825" t="s">
        <v>514</v>
      </c>
      <c r="Q5825" s="97">
        <f t="shared" si="750"/>
        <v>72</v>
      </c>
      <c r="R5825" t="str">
        <f t="shared" si="751"/>
        <v/>
      </c>
    </row>
    <row r="5826" spans="3:18">
      <c r="C5826" t="str">
        <f t="shared" si="746"/>
        <v>NL</v>
      </c>
      <c r="D5826">
        <v>73</v>
      </c>
      <c r="E5826">
        <v>60</v>
      </c>
      <c r="F5826" s="366">
        <f t="shared" si="747"/>
        <v>1302</v>
      </c>
      <c r="G5826" s="97">
        <v>2767</v>
      </c>
      <c r="H5826" s="367">
        <f t="shared" si="745"/>
        <v>4069</v>
      </c>
      <c r="I5826" s="368">
        <f t="shared" si="748"/>
        <v>0</v>
      </c>
      <c r="J5826">
        <v>8387</v>
      </c>
      <c r="K5826" s="367">
        <f t="shared" si="749"/>
        <v>5990.7142857142862</v>
      </c>
      <c r="L5826">
        <v>1</v>
      </c>
      <c r="M5826">
        <v>1.8</v>
      </c>
      <c r="N5826">
        <v>26</v>
      </c>
      <c r="O5826">
        <v>3</v>
      </c>
      <c r="P5826" t="s">
        <v>515</v>
      </c>
      <c r="Q5826" s="97" t="str">
        <f t="shared" si="750"/>
        <v/>
      </c>
      <c r="R5826" t="str">
        <f t="shared" si="751"/>
        <v/>
      </c>
    </row>
    <row r="5827" spans="3:18">
      <c r="C5827" t="str">
        <f t="shared" si="746"/>
        <v/>
      </c>
      <c r="D5827">
        <v>74</v>
      </c>
      <c r="E5827">
        <v>60</v>
      </c>
      <c r="F5827" s="366">
        <f t="shared" si="747"/>
        <v>1302</v>
      </c>
      <c r="G5827" s="97">
        <v>2919</v>
      </c>
      <c r="H5827" s="367">
        <f t="shared" si="745"/>
        <v>4221</v>
      </c>
      <c r="I5827" s="368">
        <f t="shared" si="748"/>
        <v>0</v>
      </c>
      <c r="J5827">
        <v>8849</v>
      </c>
      <c r="K5827" s="367">
        <f t="shared" si="749"/>
        <v>6320.7142857142862</v>
      </c>
      <c r="L5827">
        <v>0.54</v>
      </c>
      <c r="M5827">
        <v>2.3000000000000003</v>
      </c>
      <c r="N5827">
        <v>23</v>
      </c>
      <c r="O5827">
        <v>4</v>
      </c>
      <c r="P5827" t="s">
        <v>515</v>
      </c>
      <c r="Q5827" s="97">
        <f t="shared" si="750"/>
        <v>74</v>
      </c>
      <c r="R5827" t="str">
        <f t="shared" si="751"/>
        <v/>
      </c>
    </row>
    <row r="5828" spans="3:18">
      <c r="C5828" t="str">
        <f t="shared" si="746"/>
        <v>NL</v>
      </c>
      <c r="D5828">
        <v>75</v>
      </c>
      <c r="E5828">
        <v>60</v>
      </c>
      <c r="F5828" s="366">
        <f t="shared" si="747"/>
        <v>1302</v>
      </c>
      <c r="G5828" s="97">
        <v>2793</v>
      </c>
      <c r="H5828" s="367">
        <f t="shared" si="745"/>
        <v>4095</v>
      </c>
      <c r="I5828" s="368">
        <f t="shared" si="748"/>
        <v>0</v>
      </c>
      <c r="J5828">
        <v>8467</v>
      </c>
      <c r="K5828" s="367">
        <f t="shared" si="749"/>
        <v>6047.8571428571431</v>
      </c>
      <c r="L5828">
        <v>0.35000000000000003</v>
      </c>
      <c r="M5828">
        <v>2.8000000000000003</v>
      </c>
      <c r="N5828">
        <v>22</v>
      </c>
      <c r="O5828">
        <v>5</v>
      </c>
      <c r="P5828" t="s">
        <v>515</v>
      </c>
      <c r="Q5828" s="97" t="str">
        <f t="shared" si="750"/>
        <v/>
      </c>
      <c r="R5828" t="str">
        <f t="shared" si="751"/>
        <v/>
      </c>
    </row>
    <row r="5829" spans="3:18">
      <c r="C5829" t="str">
        <f t="shared" si="746"/>
        <v>NL</v>
      </c>
      <c r="D5829">
        <v>76</v>
      </c>
      <c r="E5829">
        <v>60</v>
      </c>
      <c r="F5829" s="366">
        <f t="shared" si="747"/>
        <v>1302</v>
      </c>
      <c r="G5829" s="97">
        <v>3466</v>
      </c>
      <c r="H5829" s="367">
        <f t="shared" ref="H5829:H5870" si="752">(G5829*$U$7)+F5829</f>
        <v>4768</v>
      </c>
      <c r="I5829" s="368">
        <f t="shared" si="748"/>
        <v>0</v>
      </c>
      <c r="J5829">
        <v>10507</v>
      </c>
      <c r="K5829" s="367">
        <f t="shared" si="749"/>
        <v>7505</v>
      </c>
      <c r="L5829">
        <v>0.95</v>
      </c>
      <c r="M5829">
        <v>2.8000000000000003</v>
      </c>
      <c r="N5829">
        <v>24</v>
      </c>
      <c r="O5829">
        <v>5</v>
      </c>
      <c r="P5829" t="s">
        <v>514</v>
      </c>
      <c r="Q5829" s="97" t="str">
        <f t="shared" si="750"/>
        <v/>
      </c>
      <c r="R5829" t="str">
        <f t="shared" si="751"/>
        <v/>
      </c>
    </row>
    <row r="5830" spans="3:18">
      <c r="C5830" t="str">
        <f t="shared" si="746"/>
        <v/>
      </c>
      <c r="D5830">
        <v>77</v>
      </c>
      <c r="E5830">
        <v>60</v>
      </c>
      <c r="F5830" s="366">
        <f t="shared" si="747"/>
        <v>1302</v>
      </c>
      <c r="G5830" s="97">
        <v>2722</v>
      </c>
      <c r="H5830" s="367">
        <f t="shared" si="752"/>
        <v>4024</v>
      </c>
      <c r="I5830" s="368">
        <f t="shared" si="748"/>
        <v>0</v>
      </c>
      <c r="J5830">
        <v>8251</v>
      </c>
      <c r="K5830" s="367">
        <f t="shared" si="749"/>
        <v>5893.5714285714284</v>
      </c>
      <c r="L5830">
        <v>0.25</v>
      </c>
      <c r="M5830">
        <v>3.4</v>
      </c>
      <c r="N5830">
        <v>21</v>
      </c>
      <c r="O5830">
        <v>6</v>
      </c>
      <c r="P5830" t="s">
        <v>515</v>
      </c>
      <c r="Q5830" s="97">
        <f t="shared" si="750"/>
        <v>77</v>
      </c>
      <c r="R5830" t="str">
        <f t="shared" si="751"/>
        <v/>
      </c>
    </row>
    <row r="5831" spans="3:18">
      <c r="C5831" t="str">
        <f t="shared" si="746"/>
        <v/>
      </c>
      <c r="D5831">
        <v>78</v>
      </c>
      <c r="E5831">
        <v>60</v>
      </c>
      <c r="F5831" s="366">
        <f t="shared" si="747"/>
        <v>1302</v>
      </c>
      <c r="G5831" s="97">
        <v>3562</v>
      </c>
      <c r="H5831" s="367">
        <f t="shared" si="752"/>
        <v>4864</v>
      </c>
      <c r="I5831" s="368">
        <f t="shared" si="748"/>
        <v>0</v>
      </c>
      <c r="J5831">
        <v>10797</v>
      </c>
      <c r="K5831" s="367">
        <f t="shared" si="749"/>
        <v>7712.1428571428569</v>
      </c>
      <c r="L5831">
        <v>0.68</v>
      </c>
      <c r="M5831">
        <v>3.4</v>
      </c>
      <c r="N5831">
        <v>23</v>
      </c>
      <c r="O5831">
        <v>6</v>
      </c>
      <c r="P5831" t="s">
        <v>514</v>
      </c>
      <c r="Q5831" s="97">
        <f t="shared" si="750"/>
        <v>78</v>
      </c>
      <c r="R5831" t="str">
        <f t="shared" si="751"/>
        <v/>
      </c>
    </row>
    <row r="5832" spans="3:18">
      <c r="C5832" t="str">
        <f t="shared" si="746"/>
        <v>NL</v>
      </c>
      <c r="D5832">
        <v>79</v>
      </c>
      <c r="E5832">
        <v>65</v>
      </c>
      <c r="F5832" s="366">
        <f t="shared" si="747"/>
        <v>1410.5</v>
      </c>
      <c r="G5832" s="97">
        <v>2937</v>
      </c>
      <c r="H5832" s="367">
        <f t="shared" si="752"/>
        <v>4347.5</v>
      </c>
      <c r="I5832" s="368">
        <f t="shared" si="748"/>
        <v>0</v>
      </c>
      <c r="J5832">
        <v>8904</v>
      </c>
      <c r="K5832" s="367">
        <f t="shared" si="749"/>
        <v>6360</v>
      </c>
      <c r="L5832">
        <v>1.18</v>
      </c>
      <c r="M5832">
        <v>1.8</v>
      </c>
      <c r="N5832">
        <v>27</v>
      </c>
      <c r="O5832">
        <v>3</v>
      </c>
      <c r="P5832" t="s">
        <v>515</v>
      </c>
      <c r="Q5832" s="97" t="str">
        <f t="shared" si="750"/>
        <v/>
      </c>
      <c r="R5832" t="str">
        <f t="shared" si="751"/>
        <v/>
      </c>
    </row>
    <row r="5833" spans="3:18">
      <c r="C5833" t="str">
        <f t="shared" si="746"/>
        <v/>
      </c>
      <c r="D5833">
        <v>80</v>
      </c>
      <c r="E5833">
        <v>65</v>
      </c>
      <c r="F5833" s="366">
        <f t="shared" si="747"/>
        <v>1410.5</v>
      </c>
      <c r="G5833" s="97">
        <v>3107</v>
      </c>
      <c r="H5833" s="367">
        <f t="shared" si="752"/>
        <v>4517.5</v>
      </c>
      <c r="I5833" s="368">
        <f t="shared" si="748"/>
        <v>0</v>
      </c>
      <c r="J5833">
        <v>9419</v>
      </c>
      <c r="K5833" s="367">
        <f t="shared" si="749"/>
        <v>6727.8571428571431</v>
      </c>
      <c r="L5833">
        <v>0.63</v>
      </c>
      <c r="M5833">
        <v>2.3000000000000003</v>
      </c>
      <c r="N5833">
        <v>24</v>
      </c>
      <c r="O5833">
        <v>4</v>
      </c>
      <c r="P5833" t="s">
        <v>515</v>
      </c>
      <c r="Q5833" s="97">
        <f t="shared" si="750"/>
        <v>80</v>
      </c>
      <c r="R5833" t="str">
        <f t="shared" si="751"/>
        <v/>
      </c>
    </row>
    <row r="5834" spans="3:18">
      <c r="C5834" t="str">
        <f t="shared" si="746"/>
        <v>NL</v>
      </c>
      <c r="D5834">
        <v>81</v>
      </c>
      <c r="E5834">
        <v>65</v>
      </c>
      <c r="F5834" s="366">
        <f t="shared" si="747"/>
        <v>1410.5</v>
      </c>
      <c r="G5834" s="97">
        <v>2983</v>
      </c>
      <c r="H5834" s="367">
        <f t="shared" si="752"/>
        <v>4393.5</v>
      </c>
      <c r="I5834" s="368">
        <f t="shared" si="748"/>
        <v>0</v>
      </c>
      <c r="J5834">
        <v>9042</v>
      </c>
      <c r="K5834" s="367">
        <f t="shared" si="749"/>
        <v>6458.5714285714284</v>
      </c>
      <c r="L5834">
        <v>0.41000000000000003</v>
      </c>
      <c r="M5834">
        <v>2.8000000000000003</v>
      </c>
      <c r="N5834">
        <v>23</v>
      </c>
      <c r="O5834">
        <v>5</v>
      </c>
      <c r="P5834" t="s">
        <v>515</v>
      </c>
      <c r="Q5834" s="97" t="str">
        <f t="shared" si="750"/>
        <v/>
      </c>
      <c r="R5834" t="str">
        <f t="shared" si="751"/>
        <v/>
      </c>
    </row>
    <row r="5835" spans="3:18">
      <c r="C5835" t="str">
        <f t="shared" si="746"/>
        <v>NL</v>
      </c>
      <c r="D5835">
        <v>82</v>
      </c>
      <c r="E5835">
        <v>65</v>
      </c>
      <c r="F5835" s="366">
        <f t="shared" si="747"/>
        <v>1410.5</v>
      </c>
      <c r="G5835" s="97">
        <v>3674</v>
      </c>
      <c r="H5835" s="367">
        <f t="shared" si="752"/>
        <v>5084.5</v>
      </c>
      <c r="I5835" s="368">
        <f t="shared" si="748"/>
        <v>0</v>
      </c>
      <c r="J5835">
        <v>11138</v>
      </c>
      <c r="K5835" s="367">
        <f t="shared" si="749"/>
        <v>7955.7142857142862</v>
      </c>
      <c r="L5835">
        <v>1.1200000000000001</v>
      </c>
      <c r="M5835">
        <v>2.8000000000000003</v>
      </c>
      <c r="N5835">
        <v>25</v>
      </c>
      <c r="O5835">
        <v>5</v>
      </c>
      <c r="P5835" t="s">
        <v>514</v>
      </c>
      <c r="Q5835" s="97" t="str">
        <f t="shared" si="750"/>
        <v/>
      </c>
      <c r="R5835" t="str">
        <f t="shared" si="751"/>
        <v/>
      </c>
    </row>
    <row r="5836" spans="3:18">
      <c r="C5836" t="str">
        <f t="shared" si="746"/>
        <v/>
      </c>
      <c r="D5836">
        <v>83</v>
      </c>
      <c r="E5836">
        <v>65</v>
      </c>
      <c r="F5836" s="366">
        <f t="shared" si="747"/>
        <v>1410.5</v>
      </c>
      <c r="G5836" s="97">
        <v>2956</v>
      </c>
      <c r="H5836" s="367">
        <f t="shared" si="752"/>
        <v>4366.5</v>
      </c>
      <c r="I5836" s="368">
        <f t="shared" si="748"/>
        <v>0</v>
      </c>
      <c r="J5836">
        <v>8962</v>
      </c>
      <c r="K5836" s="367">
        <f t="shared" si="749"/>
        <v>6401.4285714285716</v>
      </c>
      <c r="L5836">
        <v>0.29000000000000004</v>
      </c>
      <c r="M5836">
        <v>3.4</v>
      </c>
      <c r="N5836">
        <v>22</v>
      </c>
      <c r="O5836">
        <v>6</v>
      </c>
      <c r="P5836" t="s">
        <v>515</v>
      </c>
      <c r="Q5836" s="97">
        <f t="shared" si="750"/>
        <v>83</v>
      </c>
      <c r="R5836" t="str">
        <f t="shared" si="751"/>
        <v/>
      </c>
    </row>
    <row r="5837" spans="3:18">
      <c r="C5837" t="str">
        <f t="shared" si="746"/>
        <v/>
      </c>
      <c r="D5837">
        <v>84</v>
      </c>
      <c r="E5837">
        <v>65</v>
      </c>
      <c r="F5837" s="366">
        <f t="shared" si="747"/>
        <v>1410.5</v>
      </c>
      <c r="G5837" s="97">
        <v>3787</v>
      </c>
      <c r="H5837" s="367">
        <f t="shared" si="752"/>
        <v>5197.5</v>
      </c>
      <c r="I5837" s="368">
        <f t="shared" si="748"/>
        <v>0</v>
      </c>
      <c r="J5837">
        <v>11480</v>
      </c>
      <c r="K5837" s="367">
        <f t="shared" si="749"/>
        <v>8200</v>
      </c>
      <c r="L5837">
        <v>0.8</v>
      </c>
      <c r="M5837">
        <v>3.4</v>
      </c>
      <c r="N5837">
        <v>24</v>
      </c>
      <c r="O5837">
        <v>6</v>
      </c>
      <c r="P5837" t="s">
        <v>514</v>
      </c>
      <c r="Q5837" s="97" t="str">
        <f t="shared" si="750"/>
        <v/>
      </c>
      <c r="R5837" t="str">
        <f t="shared" si="751"/>
        <v/>
      </c>
    </row>
    <row r="5838" spans="3:18">
      <c r="C5838" t="str">
        <f t="shared" si="746"/>
        <v/>
      </c>
      <c r="D5838">
        <v>85</v>
      </c>
      <c r="E5838">
        <v>70</v>
      </c>
      <c r="F5838" s="366">
        <f t="shared" si="747"/>
        <v>1519</v>
      </c>
      <c r="G5838" s="97">
        <v>3287</v>
      </c>
      <c r="H5838" s="367">
        <f t="shared" si="752"/>
        <v>4806</v>
      </c>
      <c r="I5838" s="368">
        <f t="shared" si="748"/>
        <v>0</v>
      </c>
      <c r="J5838">
        <v>9963</v>
      </c>
      <c r="K5838" s="367">
        <f t="shared" si="749"/>
        <v>7116.4285714285716</v>
      </c>
      <c r="L5838">
        <v>0.73</v>
      </c>
      <c r="M5838">
        <v>2.3000000000000003</v>
      </c>
      <c r="N5838">
        <v>25</v>
      </c>
      <c r="O5838">
        <v>4</v>
      </c>
      <c r="P5838" t="s">
        <v>515</v>
      </c>
      <c r="Q5838" s="97" t="str">
        <f t="shared" si="750"/>
        <v/>
      </c>
      <c r="R5838" t="str">
        <f t="shared" si="751"/>
        <v/>
      </c>
    </row>
    <row r="5839" spans="3:18">
      <c r="C5839" t="str">
        <f t="shared" si="746"/>
        <v>NL</v>
      </c>
      <c r="D5839">
        <v>86</v>
      </c>
      <c r="E5839">
        <v>70</v>
      </c>
      <c r="F5839" s="366">
        <f t="shared" si="747"/>
        <v>1519</v>
      </c>
      <c r="G5839" s="97">
        <v>3165</v>
      </c>
      <c r="H5839" s="367">
        <f t="shared" si="752"/>
        <v>4684</v>
      </c>
      <c r="I5839" s="368">
        <f t="shared" si="748"/>
        <v>0</v>
      </c>
      <c r="J5839">
        <v>9593</v>
      </c>
      <c r="K5839" s="367">
        <f t="shared" si="749"/>
        <v>6852.1428571428569</v>
      </c>
      <c r="L5839">
        <v>0.47000000000000003</v>
      </c>
      <c r="M5839">
        <v>2.8000000000000003</v>
      </c>
      <c r="N5839">
        <v>24</v>
      </c>
      <c r="O5839">
        <v>5</v>
      </c>
      <c r="P5839" t="s">
        <v>515</v>
      </c>
      <c r="Q5839" s="97" t="str">
        <f t="shared" si="750"/>
        <v/>
      </c>
      <c r="R5839" t="str">
        <f t="shared" si="751"/>
        <v/>
      </c>
    </row>
    <row r="5840" spans="3:18">
      <c r="C5840" t="str">
        <f t="shared" si="746"/>
        <v/>
      </c>
      <c r="D5840">
        <v>87</v>
      </c>
      <c r="E5840">
        <v>70</v>
      </c>
      <c r="F5840" s="366">
        <f t="shared" si="747"/>
        <v>1519</v>
      </c>
      <c r="G5840" s="97">
        <v>3193</v>
      </c>
      <c r="H5840" s="367">
        <f t="shared" si="752"/>
        <v>4712</v>
      </c>
      <c r="I5840" s="368">
        <f t="shared" si="748"/>
        <v>0</v>
      </c>
      <c r="J5840">
        <v>9681</v>
      </c>
      <c r="K5840" s="367">
        <f t="shared" si="749"/>
        <v>6915</v>
      </c>
      <c r="L5840">
        <v>0.34</v>
      </c>
      <c r="M5840">
        <v>3.4</v>
      </c>
      <c r="N5840">
        <v>23</v>
      </c>
      <c r="O5840">
        <v>6</v>
      </c>
      <c r="P5840" t="s">
        <v>515</v>
      </c>
      <c r="Q5840" s="97">
        <f t="shared" si="750"/>
        <v>87</v>
      </c>
      <c r="R5840" t="str">
        <f t="shared" si="751"/>
        <v/>
      </c>
    </row>
    <row r="5841" spans="3:18">
      <c r="C5841" t="str">
        <f t="shared" si="746"/>
        <v/>
      </c>
      <c r="D5841">
        <v>88</v>
      </c>
      <c r="E5841">
        <v>70</v>
      </c>
      <c r="F5841" s="366">
        <f t="shared" si="747"/>
        <v>1519</v>
      </c>
      <c r="G5841" s="97">
        <v>4004</v>
      </c>
      <c r="H5841" s="367">
        <f t="shared" si="752"/>
        <v>5523</v>
      </c>
      <c r="I5841" s="368">
        <f t="shared" si="748"/>
        <v>0</v>
      </c>
      <c r="J5841">
        <v>12137</v>
      </c>
      <c r="K5841" s="367">
        <f t="shared" si="749"/>
        <v>8669.2857142857138</v>
      </c>
      <c r="L5841">
        <v>0.92</v>
      </c>
      <c r="M5841">
        <v>3.4</v>
      </c>
      <c r="N5841">
        <v>25</v>
      </c>
      <c r="O5841">
        <v>6</v>
      </c>
      <c r="P5841" t="s">
        <v>514</v>
      </c>
      <c r="Q5841" s="97" t="str">
        <f t="shared" si="750"/>
        <v/>
      </c>
      <c r="R5841" t="str">
        <f t="shared" si="751"/>
        <v/>
      </c>
    </row>
    <row r="5842" spans="3:18">
      <c r="C5842" t="str">
        <f t="shared" si="746"/>
        <v/>
      </c>
      <c r="D5842">
        <v>89</v>
      </c>
      <c r="E5842">
        <v>75</v>
      </c>
      <c r="F5842" s="366">
        <f t="shared" si="747"/>
        <v>1627.5</v>
      </c>
      <c r="G5842" s="97">
        <v>3462</v>
      </c>
      <c r="H5842" s="367">
        <f t="shared" si="752"/>
        <v>5089.5</v>
      </c>
      <c r="I5842" s="368">
        <f t="shared" si="748"/>
        <v>0</v>
      </c>
      <c r="J5842">
        <v>10494</v>
      </c>
      <c r="K5842" s="367">
        <f t="shared" si="749"/>
        <v>7495.7142857142862</v>
      </c>
      <c r="L5842">
        <v>0.83</v>
      </c>
      <c r="M5842">
        <v>2.3000000000000003</v>
      </c>
      <c r="N5842">
        <v>26</v>
      </c>
      <c r="O5842">
        <v>4</v>
      </c>
      <c r="P5842" t="s">
        <v>515</v>
      </c>
      <c r="Q5842" s="97" t="str">
        <f t="shared" si="750"/>
        <v/>
      </c>
      <c r="R5842" t="str">
        <f t="shared" si="751"/>
        <v/>
      </c>
    </row>
    <row r="5843" spans="3:18">
      <c r="C5843" t="str">
        <f t="shared" si="746"/>
        <v>NL</v>
      </c>
      <c r="D5843">
        <v>90</v>
      </c>
      <c r="E5843">
        <v>75</v>
      </c>
      <c r="F5843" s="366">
        <f t="shared" si="747"/>
        <v>1627.5</v>
      </c>
      <c r="G5843" s="97">
        <v>3339</v>
      </c>
      <c r="H5843" s="367">
        <f t="shared" si="752"/>
        <v>4966.5</v>
      </c>
      <c r="I5843" s="368">
        <f t="shared" si="748"/>
        <v>0</v>
      </c>
      <c r="J5843">
        <v>10121</v>
      </c>
      <c r="K5843" s="367">
        <f t="shared" si="749"/>
        <v>7229.2857142857147</v>
      </c>
      <c r="L5843">
        <v>0.54</v>
      </c>
      <c r="M5843">
        <v>2.8000000000000003</v>
      </c>
      <c r="N5843">
        <v>24</v>
      </c>
      <c r="O5843">
        <v>5</v>
      </c>
      <c r="P5843" t="s">
        <v>515</v>
      </c>
      <c r="Q5843" s="97" t="str">
        <f t="shared" si="750"/>
        <v/>
      </c>
      <c r="R5843" t="str">
        <f t="shared" si="751"/>
        <v/>
      </c>
    </row>
    <row r="5844" spans="3:18">
      <c r="C5844" t="str">
        <f t="shared" si="746"/>
        <v/>
      </c>
      <c r="D5844">
        <v>91</v>
      </c>
      <c r="E5844">
        <v>75</v>
      </c>
      <c r="F5844" s="366">
        <f t="shared" si="747"/>
        <v>1627.5</v>
      </c>
      <c r="G5844" s="97">
        <v>3420</v>
      </c>
      <c r="H5844" s="367">
        <f t="shared" si="752"/>
        <v>5047.5</v>
      </c>
      <c r="I5844" s="368">
        <f t="shared" si="748"/>
        <v>0</v>
      </c>
      <c r="J5844">
        <v>10366</v>
      </c>
      <c r="K5844" s="367">
        <f t="shared" si="749"/>
        <v>7404.2857142857147</v>
      </c>
      <c r="L5844">
        <v>0.38</v>
      </c>
      <c r="M5844">
        <v>3.4</v>
      </c>
      <c r="N5844">
        <v>23</v>
      </c>
      <c r="O5844">
        <v>6</v>
      </c>
      <c r="P5844" t="s">
        <v>515</v>
      </c>
      <c r="Q5844" s="97">
        <f t="shared" si="750"/>
        <v>91</v>
      </c>
      <c r="R5844" t="str">
        <f t="shared" si="751"/>
        <v/>
      </c>
    </row>
    <row r="5845" spans="3:18">
      <c r="C5845" t="str">
        <f t="shared" si="746"/>
        <v/>
      </c>
      <c r="D5845">
        <v>92</v>
      </c>
      <c r="E5845">
        <v>75</v>
      </c>
      <c r="F5845" s="366">
        <f t="shared" si="747"/>
        <v>1627.5</v>
      </c>
      <c r="G5845" s="97">
        <v>4210</v>
      </c>
      <c r="H5845" s="367">
        <f t="shared" si="752"/>
        <v>5837.5</v>
      </c>
      <c r="I5845" s="368">
        <f t="shared" si="748"/>
        <v>0</v>
      </c>
      <c r="J5845">
        <v>12763</v>
      </c>
      <c r="K5845" s="367">
        <f t="shared" si="749"/>
        <v>9116.4285714285725</v>
      </c>
      <c r="L5845">
        <v>1.05</v>
      </c>
      <c r="M5845">
        <v>3.4</v>
      </c>
      <c r="N5845">
        <v>26</v>
      </c>
      <c r="O5845">
        <v>6</v>
      </c>
      <c r="P5845" t="s">
        <v>514</v>
      </c>
      <c r="Q5845" s="97" t="str">
        <f t="shared" si="750"/>
        <v/>
      </c>
      <c r="R5845" t="str">
        <f t="shared" si="751"/>
        <v/>
      </c>
    </row>
    <row r="5846" spans="3:18">
      <c r="C5846" t="str">
        <f t="shared" si="746"/>
        <v/>
      </c>
      <c r="D5846">
        <v>93</v>
      </c>
      <c r="E5846">
        <v>80</v>
      </c>
      <c r="F5846" s="366">
        <f t="shared" si="747"/>
        <v>1736</v>
      </c>
      <c r="G5846" s="97">
        <v>3630</v>
      </c>
      <c r="H5846" s="367">
        <f t="shared" si="752"/>
        <v>5366</v>
      </c>
      <c r="I5846" s="368">
        <f t="shared" si="748"/>
        <v>0</v>
      </c>
      <c r="J5846">
        <v>11003</v>
      </c>
      <c r="K5846" s="367">
        <f t="shared" si="749"/>
        <v>7859.2857142857147</v>
      </c>
      <c r="L5846">
        <v>0.95</v>
      </c>
      <c r="M5846">
        <v>2.3000000000000003</v>
      </c>
      <c r="N5846">
        <v>26</v>
      </c>
      <c r="O5846">
        <v>4</v>
      </c>
      <c r="P5846" t="s">
        <v>515</v>
      </c>
      <c r="Q5846" s="97" t="str">
        <f t="shared" si="750"/>
        <v/>
      </c>
      <c r="R5846" t="str">
        <f t="shared" si="751"/>
        <v/>
      </c>
    </row>
    <row r="5847" spans="3:18">
      <c r="C5847" t="str">
        <f t="shared" si="746"/>
        <v>NL</v>
      </c>
      <c r="D5847">
        <v>94</v>
      </c>
      <c r="E5847">
        <v>80</v>
      </c>
      <c r="F5847" s="366">
        <f t="shared" si="747"/>
        <v>1736</v>
      </c>
      <c r="G5847" s="97">
        <v>3509</v>
      </c>
      <c r="H5847" s="367">
        <f t="shared" si="752"/>
        <v>5245</v>
      </c>
      <c r="I5847" s="368">
        <f t="shared" si="748"/>
        <v>0</v>
      </c>
      <c r="J5847">
        <v>10636</v>
      </c>
      <c r="K5847" s="367">
        <f t="shared" si="749"/>
        <v>7597.1428571428569</v>
      </c>
      <c r="L5847">
        <v>0.61</v>
      </c>
      <c r="M5847">
        <v>2.8000000000000003</v>
      </c>
      <c r="N5847">
        <v>25</v>
      </c>
      <c r="O5847">
        <v>5</v>
      </c>
      <c r="P5847" t="s">
        <v>515</v>
      </c>
      <c r="Q5847" s="97" t="str">
        <f t="shared" si="750"/>
        <v/>
      </c>
      <c r="R5847" t="str">
        <f t="shared" si="751"/>
        <v/>
      </c>
    </row>
    <row r="5848" spans="3:18">
      <c r="C5848" t="str">
        <f t="shared" si="746"/>
        <v/>
      </c>
      <c r="D5848">
        <v>95</v>
      </c>
      <c r="E5848">
        <v>80</v>
      </c>
      <c r="F5848" s="366">
        <f t="shared" si="747"/>
        <v>1736</v>
      </c>
      <c r="G5848" s="97">
        <v>3597</v>
      </c>
      <c r="H5848" s="367">
        <f t="shared" si="752"/>
        <v>5333</v>
      </c>
      <c r="I5848" s="368">
        <f t="shared" si="748"/>
        <v>0</v>
      </c>
      <c r="J5848">
        <v>10905</v>
      </c>
      <c r="K5848" s="367">
        <f t="shared" si="749"/>
        <v>7789.2857142857147</v>
      </c>
      <c r="L5848">
        <v>0.43</v>
      </c>
      <c r="M5848">
        <v>3.4</v>
      </c>
      <c r="N5848">
        <v>24</v>
      </c>
      <c r="O5848">
        <v>6</v>
      </c>
      <c r="P5848" t="s">
        <v>515</v>
      </c>
      <c r="Q5848" s="97">
        <f t="shared" si="750"/>
        <v>95</v>
      </c>
      <c r="R5848" t="str">
        <f t="shared" si="751"/>
        <v/>
      </c>
    </row>
    <row r="5849" spans="3:18">
      <c r="C5849" t="str">
        <f t="shared" si="746"/>
        <v/>
      </c>
      <c r="D5849">
        <v>96</v>
      </c>
      <c r="E5849">
        <v>80</v>
      </c>
      <c r="F5849" s="366">
        <f t="shared" si="747"/>
        <v>1736</v>
      </c>
      <c r="G5849" s="97">
        <v>4412</v>
      </c>
      <c r="H5849" s="367">
        <f t="shared" si="752"/>
        <v>6148</v>
      </c>
      <c r="I5849" s="368">
        <f t="shared" si="748"/>
        <v>0</v>
      </c>
      <c r="J5849">
        <v>13375</v>
      </c>
      <c r="K5849" s="367">
        <f t="shared" si="749"/>
        <v>9553.5714285714294</v>
      </c>
      <c r="L5849">
        <v>1.2</v>
      </c>
      <c r="M5849">
        <v>3.4</v>
      </c>
      <c r="N5849">
        <v>26</v>
      </c>
      <c r="O5849">
        <v>6</v>
      </c>
      <c r="P5849" t="s">
        <v>514</v>
      </c>
      <c r="Q5849" s="97" t="str">
        <f t="shared" si="750"/>
        <v/>
      </c>
      <c r="R5849" t="str">
        <f t="shared" si="751"/>
        <v/>
      </c>
    </row>
    <row r="5850" spans="3:18">
      <c r="C5850" t="str">
        <f t="shared" si="746"/>
        <v/>
      </c>
      <c r="D5850">
        <v>97</v>
      </c>
      <c r="E5850">
        <v>85</v>
      </c>
      <c r="F5850" s="366">
        <f t="shared" si="747"/>
        <v>1844.5</v>
      </c>
      <c r="G5850" s="97">
        <v>3793</v>
      </c>
      <c r="H5850" s="367">
        <f t="shared" si="752"/>
        <v>5637.5</v>
      </c>
      <c r="I5850" s="368">
        <f t="shared" si="748"/>
        <v>0</v>
      </c>
      <c r="J5850">
        <v>11498</v>
      </c>
      <c r="K5850" s="367">
        <f t="shared" si="749"/>
        <v>8212.8571428571431</v>
      </c>
      <c r="L5850">
        <v>1.07</v>
      </c>
      <c r="M5850">
        <v>2.3000000000000003</v>
      </c>
      <c r="N5850">
        <v>27</v>
      </c>
      <c r="O5850">
        <v>4</v>
      </c>
      <c r="P5850" t="s">
        <v>515</v>
      </c>
      <c r="Q5850" s="97" t="str">
        <f t="shared" si="750"/>
        <v/>
      </c>
      <c r="R5850" t="str">
        <f t="shared" si="751"/>
        <v/>
      </c>
    </row>
    <row r="5851" spans="3:18">
      <c r="C5851" t="str">
        <f t="shared" si="746"/>
        <v>NL</v>
      </c>
      <c r="D5851">
        <v>98</v>
      </c>
      <c r="E5851">
        <v>85</v>
      </c>
      <c r="F5851" s="366">
        <f t="shared" si="747"/>
        <v>1844.5</v>
      </c>
      <c r="G5851" s="97">
        <v>3672</v>
      </c>
      <c r="H5851" s="367">
        <f t="shared" si="752"/>
        <v>5516.5</v>
      </c>
      <c r="I5851" s="368">
        <f t="shared" si="748"/>
        <v>0</v>
      </c>
      <c r="J5851">
        <v>11132</v>
      </c>
      <c r="K5851" s="367">
        <f t="shared" si="749"/>
        <v>7951.4285714285716</v>
      </c>
      <c r="L5851">
        <v>0.69000000000000006</v>
      </c>
      <c r="M5851">
        <v>2.8000000000000003</v>
      </c>
      <c r="N5851">
        <v>26</v>
      </c>
      <c r="O5851">
        <v>5</v>
      </c>
      <c r="P5851" t="s">
        <v>515</v>
      </c>
      <c r="Q5851" s="97" t="str">
        <f t="shared" si="750"/>
        <v/>
      </c>
      <c r="R5851" t="str">
        <f t="shared" si="751"/>
        <v/>
      </c>
    </row>
    <row r="5852" spans="3:18">
      <c r="C5852" t="str">
        <f t="shared" si="746"/>
        <v/>
      </c>
      <c r="D5852">
        <v>99</v>
      </c>
      <c r="E5852">
        <v>85</v>
      </c>
      <c r="F5852" s="366">
        <f t="shared" si="747"/>
        <v>1844.5</v>
      </c>
      <c r="G5852" s="97">
        <v>3775</v>
      </c>
      <c r="H5852" s="367">
        <f t="shared" si="752"/>
        <v>5619.5</v>
      </c>
      <c r="I5852" s="368">
        <f t="shared" si="748"/>
        <v>0</v>
      </c>
      <c r="J5852">
        <v>11444</v>
      </c>
      <c r="K5852" s="367">
        <f t="shared" si="749"/>
        <v>8174.2857142857147</v>
      </c>
      <c r="L5852">
        <v>0.49</v>
      </c>
      <c r="M5852">
        <v>3.4</v>
      </c>
      <c r="N5852">
        <v>25</v>
      </c>
      <c r="O5852">
        <v>6</v>
      </c>
      <c r="P5852" t="s">
        <v>515</v>
      </c>
      <c r="Q5852" s="97">
        <f t="shared" si="750"/>
        <v>99</v>
      </c>
      <c r="R5852" t="str">
        <f t="shared" si="751"/>
        <v/>
      </c>
    </row>
    <row r="5853" spans="3:18">
      <c r="C5853" t="str">
        <f t="shared" si="746"/>
        <v/>
      </c>
      <c r="D5853">
        <v>100</v>
      </c>
      <c r="E5853">
        <v>90</v>
      </c>
      <c r="F5853" s="366">
        <f t="shared" si="747"/>
        <v>1953</v>
      </c>
      <c r="G5853" s="97">
        <v>3954</v>
      </c>
      <c r="H5853" s="367">
        <f t="shared" si="752"/>
        <v>5907</v>
      </c>
      <c r="I5853" s="368">
        <f t="shared" si="748"/>
        <v>0</v>
      </c>
      <c r="J5853">
        <v>11986</v>
      </c>
      <c r="K5853" s="367">
        <f t="shared" si="749"/>
        <v>8561.4285714285725</v>
      </c>
      <c r="L5853">
        <v>1.19</v>
      </c>
      <c r="M5853">
        <v>2.3000000000000003</v>
      </c>
      <c r="N5853">
        <v>28</v>
      </c>
      <c r="O5853">
        <v>4</v>
      </c>
      <c r="P5853" t="s">
        <v>515</v>
      </c>
      <c r="Q5853" s="97" t="str">
        <f t="shared" si="750"/>
        <v/>
      </c>
      <c r="R5853" t="str">
        <f t="shared" si="751"/>
        <v/>
      </c>
    </row>
    <row r="5854" spans="3:18">
      <c r="C5854" t="str">
        <f t="shared" si="746"/>
        <v>NL</v>
      </c>
      <c r="D5854">
        <v>101</v>
      </c>
      <c r="E5854">
        <v>90</v>
      </c>
      <c r="F5854" s="366">
        <f t="shared" si="747"/>
        <v>1953</v>
      </c>
      <c r="G5854" s="97">
        <v>3828</v>
      </c>
      <c r="H5854" s="367">
        <f t="shared" si="752"/>
        <v>5781</v>
      </c>
      <c r="I5854" s="368">
        <f t="shared" si="748"/>
        <v>0</v>
      </c>
      <c r="J5854">
        <v>11605</v>
      </c>
      <c r="K5854" s="367">
        <f t="shared" si="749"/>
        <v>8289.2857142857138</v>
      </c>
      <c r="L5854">
        <v>0.77</v>
      </c>
      <c r="M5854">
        <v>2.8000000000000003</v>
      </c>
      <c r="N5854">
        <v>27</v>
      </c>
      <c r="O5854">
        <v>5</v>
      </c>
      <c r="P5854" t="s">
        <v>515</v>
      </c>
      <c r="Q5854" s="97" t="str">
        <f t="shared" si="750"/>
        <v/>
      </c>
      <c r="R5854" t="str">
        <f t="shared" si="751"/>
        <v/>
      </c>
    </row>
    <row r="5855" spans="3:18">
      <c r="C5855" t="str">
        <f t="shared" si="746"/>
        <v/>
      </c>
      <c r="D5855">
        <v>102</v>
      </c>
      <c r="E5855">
        <v>90</v>
      </c>
      <c r="F5855" s="366">
        <f t="shared" si="747"/>
        <v>1953</v>
      </c>
      <c r="G5855" s="97">
        <v>3945</v>
      </c>
      <c r="H5855" s="367">
        <f t="shared" si="752"/>
        <v>5898</v>
      </c>
      <c r="I5855" s="368">
        <f t="shared" si="748"/>
        <v>0</v>
      </c>
      <c r="J5855">
        <v>11959</v>
      </c>
      <c r="K5855" s="367">
        <f t="shared" si="749"/>
        <v>8542.1428571428569</v>
      </c>
      <c r="L5855">
        <v>0.55000000000000004</v>
      </c>
      <c r="M5855">
        <v>3.4</v>
      </c>
      <c r="N5855">
        <v>26</v>
      </c>
      <c r="O5855">
        <v>6</v>
      </c>
      <c r="P5855" t="s">
        <v>515</v>
      </c>
      <c r="Q5855" s="97">
        <f t="shared" si="750"/>
        <v>102</v>
      </c>
      <c r="R5855" t="str">
        <f t="shared" si="751"/>
        <v/>
      </c>
    </row>
    <row r="5856" spans="3:18">
      <c r="C5856" t="str">
        <f t="shared" si="746"/>
        <v>NL</v>
      </c>
      <c r="D5856">
        <v>103</v>
      </c>
      <c r="E5856">
        <v>95</v>
      </c>
      <c r="F5856" s="366">
        <f t="shared" si="747"/>
        <v>2061.5</v>
      </c>
      <c r="G5856" s="97">
        <v>3982</v>
      </c>
      <c r="H5856" s="367">
        <f t="shared" si="752"/>
        <v>6043.5</v>
      </c>
      <c r="I5856" s="368">
        <f t="shared" si="748"/>
        <v>0</v>
      </c>
      <c r="J5856">
        <v>12071</v>
      </c>
      <c r="K5856" s="367">
        <f t="shared" si="749"/>
        <v>8622.1428571428569</v>
      </c>
      <c r="L5856">
        <v>0.86</v>
      </c>
      <c r="M5856">
        <v>2.8000000000000003</v>
      </c>
      <c r="N5856">
        <v>27</v>
      </c>
      <c r="O5856">
        <v>5</v>
      </c>
      <c r="P5856" t="s">
        <v>515</v>
      </c>
      <c r="Q5856" s="97" t="str">
        <f t="shared" si="750"/>
        <v/>
      </c>
      <c r="R5856" t="str">
        <f t="shared" si="751"/>
        <v/>
      </c>
    </row>
    <row r="5857" spans="3:18">
      <c r="C5857" t="str">
        <f t="shared" si="746"/>
        <v/>
      </c>
      <c r="D5857">
        <v>104</v>
      </c>
      <c r="E5857">
        <v>95</v>
      </c>
      <c r="F5857" s="366">
        <f t="shared" si="747"/>
        <v>2061.5</v>
      </c>
      <c r="G5857" s="97">
        <v>4108</v>
      </c>
      <c r="H5857" s="367">
        <f t="shared" si="752"/>
        <v>6169.5</v>
      </c>
      <c r="I5857" s="368">
        <f t="shared" si="748"/>
        <v>0</v>
      </c>
      <c r="J5857">
        <v>12451</v>
      </c>
      <c r="K5857" s="367">
        <f t="shared" si="749"/>
        <v>8893.5714285714294</v>
      </c>
      <c r="L5857">
        <v>0.61</v>
      </c>
      <c r="M5857">
        <v>3.4</v>
      </c>
      <c r="N5857">
        <v>26</v>
      </c>
      <c r="O5857">
        <v>6</v>
      </c>
      <c r="P5857" t="s">
        <v>515</v>
      </c>
      <c r="Q5857" s="97">
        <f t="shared" si="750"/>
        <v>104</v>
      </c>
      <c r="R5857" t="str">
        <f t="shared" si="751"/>
        <v/>
      </c>
    </row>
    <row r="5858" spans="3:18">
      <c r="C5858" t="str">
        <f t="shared" si="746"/>
        <v>NL</v>
      </c>
      <c r="D5858">
        <v>105</v>
      </c>
      <c r="E5858">
        <v>100</v>
      </c>
      <c r="F5858" s="366">
        <f t="shared" si="747"/>
        <v>2170</v>
      </c>
      <c r="G5858" s="97">
        <v>4129</v>
      </c>
      <c r="H5858" s="367">
        <f t="shared" si="752"/>
        <v>6299</v>
      </c>
      <c r="I5858" s="368">
        <f t="shared" si="748"/>
        <v>0</v>
      </c>
      <c r="J5858">
        <v>12517</v>
      </c>
      <c r="K5858" s="367">
        <f t="shared" si="749"/>
        <v>8940.7142857142862</v>
      </c>
      <c r="L5858">
        <v>0.95</v>
      </c>
      <c r="M5858">
        <v>2.8000000000000003</v>
      </c>
      <c r="N5858">
        <v>28</v>
      </c>
      <c r="O5858">
        <v>5</v>
      </c>
      <c r="P5858" t="s">
        <v>515</v>
      </c>
      <c r="Q5858" s="97" t="str">
        <f t="shared" si="750"/>
        <v/>
      </c>
      <c r="R5858" t="str">
        <f t="shared" si="751"/>
        <v/>
      </c>
    </row>
    <row r="5859" spans="3:18">
      <c r="C5859" t="str">
        <f t="shared" si="746"/>
        <v/>
      </c>
      <c r="D5859">
        <v>106</v>
      </c>
      <c r="E5859">
        <v>100</v>
      </c>
      <c r="F5859" s="366">
        <f t="shared" si="747"/>
        <v>2170</v>
      </c>
      <c r="G5859" s="97">
        <v>4270</v>
      </c>
      <c r="H5859" s="367">
        <f t="shared" si="752"/>
        <v>6440</v>
      </c>
      <c r="I5859" s="368">
        <f t="shared" si="748"/>
        <v>0</v>
      </c>
      <c r="J5859">
        <v>12943</v>
      </c>
      <c r="K5859" s="367">
        <f t="shared" si="749"/>
        <v>9245</v>
      </c>
      <c r="L5859">
        <v>0.67</v>
      </c>
      <c r="M5859">
        <v>3.4</v>
      </c>
      <c r="N5859">
        <v>27</v>
      </c>
      <c r="O5859">
        <v>6</v>
      </c>
      <c r="P5859" t="s">
        <v>515</v>
      </c>
      <c r="Q5859" s="97">
        <f t="shared" si="750"/>
        <v>106</v>
      </c>
      <c r="R5859" t="str">
        <f t="shared" si="751"/>
        <v/>
      </c>
    </row>
    <row r="5860" spans="3:18">
      <c r="C5860" t="str">
        <f t="shared" si="746"/>
        <v>NL</v>
      </c>
      <c r="D5860">
        <v>107</v>
      </c>
      <c r="E5860">
        <v>105</v>
      </c>
      <c r="F5860" s="366">
        <f t="shared" si="747"/>
        <v>2278.5</v>
      </c>
      <c r="G5860" s="97">
        <v>4276</v>
      </c>
      <c r="H5860" s="367">
        <f t="shared" si="752"/>
        <v>6554.5</v>
      </c>
      <c r="I5860" s="368">
        <f t="shared" si="748"/>
        <v>0</v>
      </c>
      <c r="J5860">
        <v>12963</v>
      </c>
      <c r="K5860" s="367">
        <f t="shared" si="749"/>
        <v>9259.2857142857138</v>
      </c>
      <c r="L5860">
        <v>1.05</v>
      </c>
      <c r="M5860">
        <v>2.8000000000000003</v>
      </c>
      <c r="N5860">
        <v>29</v>
      </c>
      <c r="O5860">
        <v>5</v>
      </c>
      <c r="P5860" t="s">
        <v>515</v>
      </c>
      <c r="Q5860" s="97" t="str">
        <f t="shared" si="750"/>
        <v/>
      </c>
      <c r="R5860" t="str">
        <f t="shared" si="751"/>
        <v/>
      </c>
    </row>
    <row r="5861" spans="3:18">
      <c r="C5861" t="str">
        <f t="shared" si="746"/>
        <v/>
      </c>
      <c r="D5861">
        <v>108</v>
      </c>
      <c r="E5861">
        <v>105</v>
      </c>
      <c r="F5861" s="366">
        <f t="shared" si="747"/>
        <v>2278.5</v>
      </c>
      <c r="G5861" s="97">
        <v>4423</v>
      </c>
      <c r="H5861" s="367">
        <f t="shared" si="752"/>
        <v>6701.5</v>
      </c>
      <c r="I5861" s="368">
        <f t="shared" si="748"/>
        <v>0</v>
      </c>
      <c r="J5861">
        <v>13408</v>
      </c>
      <c r="K5861" s="367">
        <f t="shared" si="749"/>
        <v>9577.1428571428569</v>
      </c>
      <c r="L5861">
        <v>0.74</v>
      </c>
      <c r="M5861">
        <v>3.4</v>
      </c>
      <c r="N5861">
        <v>28</v>
      </c>
      <c r="O5861">
        <v>6</v>
      </c>
      <c r="P5861" t="s">
        <v>515</v>
      </c>
      <c r="Q5861" s="97" t="str">
        <f t="shared" si="750"/>
        <v/>
      </c>
      <c r="R5861" t="str">
        <f t="shared" si="751"/>
        <v/>
      </c>
    </row>
    <row r="5862" spans="3:18">
      <c r="C5862" t="str">
        <f t="shared" si="746"/>
        <v>NL</v>
      </c>
      <c r="D5862">
        <v>109</v>
      </c>
      <c r="E5862">
        <v>110</v>
      </c>
      <c r="F5862" s="366">
        <f t="shared" si="747"/>
        <v>2387</v>
      </c>
      <c r="G5862" s="97">
        <v>4419</v>
      </c>
      <c r="H5862" s="367">
        <f t="shared" si="752"/>
        <v>6806</v>
      </c>
      <c r="I5862" s="368">
        <f t="shared" si="748"/>
        <v>0</v>
      </c>
      <c r="J5862">
        <v>13395</v>
      </c>
      <c r="K5862" s="367">
        <f t="shared" si="749"/>
        <v>9567.8571428571431</v>
      </c>
      <c r="L5862">
        <v>1.1499999999999999</v>
      </c>
      <c r="M5862">
        <v>2.8000000000000003</v>
      </c>
      <c r="N5862">
        <v>29</v>
      </c>
      <c r="O5862">
        <v>5</v>
      </c>
      <c r="P5862" t="s">
        <v>515</v>
      </c>
      <c r="Q5862" s="97" t="str">
        <f t="shared" si="750"/>
        <v/>
      </c>
      <c r="R5862" t="str">
        <f t="shared" si="751"/>
        <v/>
      </c>
    </row>
    <row r="5863" spans="3:18">
      <c r="C5863" t="str">
        <f t="shared" si="746"/>
        <v/>
      </c>
      <c r="D5863">
        <v>110</v>
      </c>
      <c r="E5863">
        <v>110</v>
      </c>
      <c r="F5863" s="366">
        <f t="shared" si="747"/>
        <v>2387</v>
      </c>
      <c r="G5863" s="97">
        <v>4574</v>
      </c>
      <c r="H5863" s="367">
        <f t="shared" si="752"/>
        <v>6961</v>
      </c>
      <c r="I5863" s="368">
        <f t="shared" si="748"/>
        <v>0</v>
      </c>
      <c r="J5863">
        <v>13867</v>
      </c>
      <c r="K5863" s="367">
        <f t="shared" si="749"/>
        <v>9905</v>
      </c>
      <c r="L5863">
        <v>0.82000000000000006</v>
      </c>
      <c r="M5863">
        <v>3.4</v>
      </c>
      <c r="N5863">
        <v>28</v>
      </c>
      <c r="O5863">
        <v>6</v>
      </c>
      <c r="P5863" t="s">
        <v>515</v>
      </c>
      <c r="Q5863" s="97" t="str">
        <f t="shared" si="750"/>
        <v/>
      </c>
      <c r="R5863" t="str">
        <f t="shared" si="751"/>
        <v/>
      </c>
    </row>
    <row r="5864" spans="3:18">
      <c r="C5864" t="str">
        <f t="shared" si="746"/>
        <v/>
      </c>
      <c r="D5864">
        <v>111</v>
      </c>
      <c r="E5864">
        <v>115</v>
      </c>
      <c r="F5864" s="366">
        <f t="shared" si="747"/>
        <v>2495.5</v>
      </c>
      <c r="G5864" s="97">
        <v>4725</v>
      </c>
      <c r="H5864" s="367">
        <f t="shared" si="752"/>
        <v>7220.5</v>
      </c>
      <c r="I5864" s="368">
        <f t="shared" si="748"/>
        <v>0</v>
      </c>
      <c r="J5864">
        <v>14322</v>
      </c>
      <c r="K5864" s="367">
        <f t="shared" si="749"/>
        <v>10230</v>
      </c>
      <c r="L5864">
        <v>0.89</v>
      </c>
      <c r="M5864">
        <v>3.4</v>
      </c>
      <c r="N5864">
        <v>29</v>
      </c>
      <c r="O5864">
        <v>6</v>
      </c>
      <c r="P5864" t="s">
        <v>515</v>
      </c>
      <c r="Q5864" s="97" t="str">
        <f t="shared" si="750"/>
        <v/>
      </c>
      <c r="R5864" t="str">
        <f t="shared" si="751"/>
        <v/>
      </c>
    </row>
    <row r="5865" spans="3:18">
      <c r="C5865" t="str">
        <f t="shared" si="746"/>
        <v/>
      </c>
      <c r="D5865">
        <v>112</v>
      </c>
      <c r="E5865">
        <v>120</v>
      </c>
      <c r="F5865" s="366">
        <f t="shared" si="747"/>
        <v>2604</v>
      </c>
      <c r="G5865" s="97">
        <v>4867</v>
      </c>
      <c r="H5865" s="367">
        <f t="shared" si="752"/>
        <v>7471</v>
      </c>
      <c r="I5865" s="368">
        <f t="shared" si="748"/>
        <v>0</v>
      </c>
      <c r="J5865">
        <v>14753</v>
      </c>
      <c r="K5865" s="367">
        <f t="shared" si="749"/>
        <v>10537.857142857143</v>
      </c>
      <c r="L5865">
        <v>0.97</v>
      </c>
      <c r="M5865">
        <v>3.4</v>
      </c>
      <c r="N5865">
        <v>29</v>
      </c>
      <c r="O5865">
        <v>6</v>
      </c>
      <c r="P5865" t="s">
        <v>515</v>
      </c>
      <c r="Q5865" s="97" t="str">
        <f t="shared" si="750"/>
        <v/>
      </c>
      <c r="R5865" t="str">
        <f t="shared" si="751"/>
        <v/>
      </c>
    </row>
    <row r="5866" spans="3:18">
      <c r="C5866" t="str">
        <f t="shared" si="746"/>
        <v/>
      </c>
      <c r="D5866">
        <v>113</v>
      </c>
      <c r="E5866">
        <v>125</v>
      </c>
      <c r="F5866" s="366">
        <f t="shared" si="747"/>
        <v>2712.5</v>
      </c>
      <c r="G5866" s="97">
        <v>5009</v>
      </c>
      <c r="H5866" s="367">
        <f t="shared" si="752"/>
        <v>7721.5</v>
      </c>
      <c r="I5866" s="368">
        <f t="shared" si="748"/>
        <v>0</v>
      </c>
      <c r="J5866">
        <v>15184</v>
      </c>
      <c r="K5866" s="367">
        <f t="shared" si="749"/>
        <v>10845.714285714286</v>
      </c>
      <c r="L5866">
        <v>1.05</v>
      </c>
      <c r="M5866">
        <v>3.4</v>
      </c>
      <c r="N5866">
        <v>30</v>
      </c>
      <c r="O5866">
        <v>6</v>
      </c>
      <c r="P5866" t="s">
        <v>515</v>
      </c>
      <c r="Q5866" s="97" t="str">
        <f t="shared" si="750"/>
        <v/>
      </c>
      <c r="R5866" t="str">
        <f t="shared" si="751"/>
        <v/>
      </c>
    </row>
    <row r="5867" spans="3:18">
      <c r="C5867" t="str">
        <f t="shared" si="746"/>
        <v/>
      </c>
      <c r="D5867">
        <v>114</v>
      </c>
      <c r="E5867">
        <v>130</v>
      </c>
      <c r="F5867" s="366">
        <f t="shared" si="747"/>
        <v>2821</v>
      </c>
      <c r="G5867" s="97">
        <v>5147</v>
      </c>
      <c r="H5867" s="367">
        <f t="shared" si="752"/>
        <v>7968</v>
      </c>
      <c r="I5867" s="368">
        <f t="shared" si="748"/>
        <v>0</v>
      </c>
      <c r="J5867">
        <v>15601</v>
      </c>
      <c r="K5867" s="367">
        <f t="shared" si="749"/>
        <v>11143.571428571429</v>
      </c>
      <c r="L5867">
        <v>1.1300000000000001</v>
      </c>
      <c r="M5867">
        <v>3.4</v>
      </c>
      <c r="N5867">
        <v>30</v>
      </c>
      <c r="O5867">
        <v>6</v>
      </c>
      <c r="P5867" t="s">
        <v>515</v>
      </c>
      <c r="Q5867" s="97" t="str">
        <f t="shared" si="750"/>
        <v/>
      </c>
      <c r="R5867" t="str">
        <f t="shared" si="751"/>
        <v/>
      </c>
    </row>
    <row r="5868" spans="3:18">
      <c r="C5868" t="str">
        <f t="shared" si="746"/>
        <v/>
      </c>
      <c r="D5868">
        <v>115</v>
      </c>
      <c r="E5868">
        <v>135</v>
      </c>
      <c r="F5868" s="366">
        <f t="shared" si="747"/>
        <v>2929.5</v>
      </c>
      <c r="G5868" s="97">
        <v>5278</v>
      </c>
      <c r="H5868" s="367">
        <f t="shared" si="752"/>
        <v>8207.5</v>
      </c>
      <c r="I5868" s="368">
        <f t="shared" si="748"/>
        <v>0</v>
      </c>
      <c r="J5868">
        <v>15998</v>
      </c>
      <c r="K5868" s="367">
        <f t="shared" si="749"/>
        <v>11427.142857142857</v>
      </c>
      <c r="L5868">
        <v>1.22</v>
      </c>
      <c r="M5868">
        <v>3.4</v>
      </c>
      <c r="N5868">
        <v>31</v>
      </c>
      <c r="O5868">
        <v>6</v>
      </c>
      <c r="P5868" t="s">
        <v>515</v>
      </c>
      <c r="Q5868" s="97" t="str">
        <f t="shared" si="750"/>
        <v/>
      </c>
      <c r="R5868" t="str">
        <f t="shared" si="751"/>
        <v/>
      </c>
    </row>
    <row r="5869" spans="3:18">
      <c r="C5869" t="str">
        <f t="shared" si="746"/>
        <v/>
      </c>
      <c r="D5869">
        <v>116</v>
      </c>
      <c r="E5869">
        <v>140</v>
      </c>
      <c r="F5869" s="366">
        <f t="shared" si="747"/>
        <v>3038</v>
      </c>
      <c r="G5869" s="97">
        <v>5408</v>
      </c>
      <c r="H5869" s="367">
        <f t="shared" si="752"/>
        <v>8446</v>
      </c>
      <c r="I5869" s="368">
        <f t="shared" si="748"/>
        <v>0</v>
      </c>
      <c r="J5869">
        <v>16395</v>
      </c>
      <c r="K5869" s="367">
        <f t="shared" si="749"/>
        <v>11710.714285714286</v>
      </c>
      <c r="L5869">
        <v>1.32</v>
      </c>
      <c r="M5869">
        <v>3.4</v>
      </c>
      <c r="N5869">
        <v>31</v>
      </c>
      <c r="O5869">
        <v>6</v>
      </c>
      <c r="P5869" t="s">
        <v>515</v>
      </c>
      <c r="Q5869" s="97" t="str">
        <f t="shared" si="750"/>
        <v/>
      </c>
      <c r="R5869" t="str">
        <f t="shared" si="751"/>
        <v/>
      </c>
    </row>
    <row r="5870" spans="3:18">
      <c r="C5870" t="str">
        <f t="shared" si="746"/>
        <v/>
      </c>
      <c r="F5870" s="366">
        <f t="shared" si="747"/>
        <v>0</v>
      </c>
      <c r="H5870" s="367">
        <f t="shared" si="752"/>
        <v>0</v>
      </c>
      <c r="I5870" s="368">
        <f t="shared" si="748"/>
        <v>0</v>
      </c>
      <c r="K5870" s="367">
        <f t="shared" si="749"/>
        <v>0</v>
      </c>
      <c r="Q5870" s="97" t="str">
        <f t="shared" si="750"/>
        <v/>
      </c>
      <c r="R5870" t="str">
        <f t="shared" si="751"/>
        <v/>
      </c>
    </row>
  </sheetData>
  <sortState xmlns:xlrd2="http://schemas.microsoft.com/office/spreadsheetml/2017/richdata2" ref="AP16:AQ19">
    <sortCondition ref="AP16:AP19"/>
  </sortState>
  <dataValidations disablePrompts="1" count="1">
    <dataValidation type="list" allowBlank="1" showInputMessage="1" showErrorMessage="1" sqref="P4" xr:uid="{00000000-0002-0000-0E00-000000000000}">
      <formula1>$AF$3:$AN$3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00FF"/>
    <pageSetUpPr fitToPage="1"/>
  </sheetPr>
  <dimension ref="A1:LI409"/>
  <sheetViews>
    <sheetView showGridLines="0" tabSelected="1" zoomScale="115" zoomScaleNormal="115" workbookViewId="0">
      <pane xSplit="1" ySplit="21" topLeftCell="B22" activePane="bottomRight" state="frozen"/>
      <selection activeCell="C16" sqref="C16"/>
      <selection pane="topRight" activeCell="C16" sqref="C16"/>
      <selection pane="bottomLeft" activeCell="C16" sqref="C16"/>
      <selection pane="bottomRight" activeCell="C22" sqref="C22"/>
    </sheetView>
  </sheetViews>
  <sheetFormatPr defaultRowHeight="14.4"/>
  <cols>
    <col min="1" max="1" width="4.109375" customWidth="1"/>
    <col min="2" max="2" width="10.109375" customWidth="1"/>
    <col min="3" max="3" width="32.6640625" customWidth="1"/>
    <col min="4" max="4" width="8.33203125" customWidth="1"/>
    <col min="5" max="8" width="8.6640625" customWidth="1"/>
    <col min="9" max="9" width="1.6640625" customWidth="1"/>
    <col min="10" max="10" width="10.88671875" customWidth="1"/>
    <col min="11" max="11" width="9.109375" customWidth="1"/>
    <col min="12" max="12" width="6.6640625" customWidth="1"/>
    <col min="13" max="13" width="7.6640625" customWidth="1"/>
    <col min="14" max="14" width="11.6640625" customWidth="1"/>
    <col min="15" max="15" width="13.44140625" customWidth="1"/>
    <col min="16" max="16" width="7.6640625" customWidth="1"/>
    <col min="17" max="17" width="9.6640625" customWidth="1"/>
    <col min="18" max="18" width="8.5546875" customWidth="1"/>
    <col min="19" max="19" width="8.44140625" customWidth="1"/>
    <col min="20" max="20" width="8.5546875" customWidth="1"/>
    <col min="21" max="21" width="7.6640625" customWidth="1"/>
    <col min="22" max="22" width="3.44140625" customWidth="1"/>
    <col min="23" max="23" width="8.6640625" customWidth="1"/>
    <col min="24" max="24" width="7.6640625" customWidth="1"/>
    <col min="25" max="25" width="5.6640625" customWidth="1"/>
    <col min="26" max="26" width="10" customWidth="1"/>
    <col min="27" max="27" width="8.6640625" customWidth="1"/>
    <col min="28" max="28" width="6.6640625" customWidth="1"/>
    <col min="29" max="29" width="10.6640625" customWidth="1"/>
    <col min="30" max="31" width="8.6640625" customWidth="1"/>
    <col min="32" max="32" width="6.6640625" customWidth="1"/>
    <col min="33" max="34" width="5.6640625" customWidth="1"/>
    <col min="35" max="35" width="9.109375" customWidth="1"/>
    <col min="36" max="36" width="1.6640625" customWidth="1"/>
    <col min="37" max="37" width="8.6640625" customWidth="1"/>
    <col min="38" max="38" width="8.6640625" hidden="1" customWidth="1"/>
    <col min="39" max="39" width="7.6640625" customWidth="1"/>
    <col min="40" max="40" width="5.6640625" customWidth="1"/>
    <col min="41" max="42" width="8.6640625" customWidth="1"/>
    <col min="43" max="44" width="7.6640625" customWidth="1"/>
    <col min="45" max="46" width="6.6640625" customWidth="1"/>
    <col min="47" max="47" width="8" customWidth="1"/>
    <col min="48" max="48" width="6.6640625" customWidth="1"/>
    <col min="49" max="49" width="8.6640625" customWidth="1"/>
    <col min="50" max="50" width="6.6640625" customWidth="1"/>
    <col min="51" max="51" width="7.6640625" customWidth="1"/>
    <col min="52" max="53" width="6.6640625" customWidth="1"/>
    <col min="54" max="54" width="7.6640625" customWidth="1"/>
    <col min="55" max="55" width="3.88671875" customWidth="1"/>
    <col min="56" max="56" width="8.6640625" customWidth="1"/>
    <col min="57" max="58" width="9.6640625" customWidth="1"/>
    <col min="59" max="59" width="8.6640625" customWidth="1"/>
    <col min="60" max="65" width="5.6640625" customWidth="1"/>
    <col min="66" max="66" width="34" style="328" hidden="1" customWidth="1"/>
    <col min="67" max="68" width="19" style="328" hidden="1" customWidth="1"/>
    <col min="69" max="69" width="7.6640625" style="328" hidden="1" customWidth="1"/>
    <col min="70" max="70" width="9.109375" style="328" hidden="1" customWidth="1"/>
    <col min="71" max="71" width="7.6640625" style="371" hidden="1" customWidth="1"/>
    <col min="72" max="72" width="7.6640625" style="328" hidden="1" customWidth="1"/>
    <col min="73" max="73" width="9.5546875" style="328" hidden="1" customWidth="1"/>
    <col min="74" max="78" width="6.6640625" style="328" hidden="1" customWidth="1"/>
    <col min="79" max="79" width="8.44140625" style="328" hidden="1" customWidth="1"/>
    <col min="80" max="83" width="6.6640625" style="328" hidden="1" customWidth="1"/>
    <col min="84" max="84" width="8.33203125" style="328" hidden="1" customWidth="1"/>
    <col min="85" max="85" width="7.33203125" style="328" hidden="1" customWidth="1"/>
    <col min="86" max="86" width="7.88671875" style="328" hidden="1" customWidth="1"/>
    <col min="87" max="90" width="10.109375" style="328" hidden="1" customWidth="1"/>
    <col min="91" max="91" width="7.44140625" style="328" hidden="1" customWidth="1"/>
    <col min="92" max="92" width="8.33203125" style="328" hidden="1" customWidth="1"/>
    <col min="93" max="94" width="10.109375" style="328" hidden="1" customWidth="1"/>
    <col min="95" max="95" width="8.33203125" style="328" hidden="1" customWidth="1"/>
    <col min="96" max="96" width="11.33203125" style="328" hidden="1" customWidth="1"/>
    <col min="97" max="105" width="10.109375" style="328" hidden="1" customWidth="1"/>
    <col min="106" max="110" width="6.6640625" style="328" hidden="1" customWidth="1"/>
    <col min="111" max="111" width="10.6640625" style="328" hidden="1" customWidth="1"/>
    <col min="112" max="116" width="9.109375" style="328" hidden="1" customWidth="1"/>
    <col min="117" max="120" width="7.6640625" style="328" hidden="1" customWidth="1"/>
    <col min="121" max="121" width="12" style="328" hidden="1" customWidth="1"/>
    <col min="122" max="125" width="6.6640625" style="328" hidden="1" customWidth="1"/>
    <col min="126" max="127" width="8.6640625" style="328" hidden="1" customWidth="1"/>
    <col min="128" max="128" width="6.6640625" style="328" hidden="1" customWidth="1"/>
    <col min="129" max="129" width="10.109375" style="328" hidden="1" customWidth="1"/>
    <col min="130" max="131" width="7.6640625" style="328" hidden="1" customWidth="1"/>
    <col min="132" max="132" width="7.6640625" style="371" hidden="1" customWidth="1"/>
    <col min="133" max="139" width="7.6640625" style="328" hidden="1" customWidth="1"/>
    <col min="140" max="142" width="5.6640625" style="328" hidden="1" customWidth="1"/>
    <col min="143" max="153" width="6.6640625" style="328" hidden="1" customWidth="1"/>
    <col min="154" max="155" width="14.6640625" style="328" hidden="1" customWidth="1"/>
    <col min="156" max="156" width="15.6640625" style="328" hidden="1" customWidth="1"/>
    <col min="157" max="159" width="14.6640625" style="328" hidden="1" customWidth="1"/>
    <col min="160" max="162" width="6.6640625" style="328" hidden="1" customWidth="1"/>
    <col min="163" max="164" width="16.6640625" style="328" hidden="1" customWidth="1"/>
    <col min="165" max="165" width="29" style="328" hidden="1" customWidth="1"/>
    <col min="166" max="166" width="7" style="328" hidden="1" customWidth="1"/>
    <col min="167" max="167" width="11" style="328" hidden="1" customWidth="1"/>
    <col min="168" max="168" width="7" style="328" hidden="1" customWidth="1"/>
    <col min="169" max="169" width="6.44140625" style="328" hidden="1" customWidth="1"/>
    <col min="170" max="170" width="6" style="328" hidden="1" customWidth="1"/>
    <col min="171" max="173" width="6.44140625" style="328" hidden="1" customWidth="1"/>
    <col min="174" max="176" width="6.6640625" style="328" hidden="1" customWidth="1"/>
    <col min="177" max="190" width="5.6640625" style="328" hidden="1" customWidth="1"/>
    <col min="191" max="191" width="9.109375" style="328" hidden="1" customWidth="1"/>
    <col min="192" max="192" width="9.109375" style="371" hidden="1" customWidth="1"/>
    <col min="193" max="193" width="12.5546875" style="328" hidden="1" customWidth="1"/>
    <col min="194" max="200" width="9.109375" style="328" hidden="1" customWidth="1"/>
    <col min="201" max="201" width="11" style="328" hidden="1" customWidth="1"/>
    <col min="202" max="202" width="9.109375" style="328" hidden="1" customWidth="1"/>
    <col min="203" max="207" width="10.6640625" style="328" hidden="1" customWidth="1"/>
    <col min="208" max="208" width="64.6640625" customWidth="1"/>
    <col min="209" max="219" width="10.6640625" customWidth="1"/>
    <col min="220" max="229" width="9.109375" customWidth="1"/>
    <col min="230" max="231" width="9.109375" hidden="1" customWidth="1"/>
    <col min="232" max="232" width="22" hidden="1" customWidth="1"/>
    <col min="233" max="233" width="9.109375" hidden="1" customWidth="1"/>
    <col min="234" max="234" width="11.5546875" hidden="1" customWidth="1"/>
    <col min="235" max="240" width="9.109375" hidden="1" customWidth="1"/>
    <col min="241" max="241" width="8.6640625" hidden="1" customWidth="1"/>
    <col min="242" max="242" width="7.6640625" hidden="1" customWidth="1"/>
    <col min="243" max="243" width="6.6640625" hidden="1" customWidth="1"/>
    <col min="244" max="244" width="13.44140625" hidden="1" customWidth="1"/>
    <col min="245" max="245" width="10" hidden="1" customWidth="1"/>
    <col min="246" max="246" width="6.6640625" hidden="1" customWidth="1"/>
    <col min="247" max="247" width="12.44140625" hidden="1" customWidth="1"/>
    <col min="248" max="248" width="11.6640625" hidden="1" customWidth="1"/>
    <col min="249" max="249" width="7.6640625" hidden="1" customWidth="1"/>
    <col min="250" max="250" width="6.6640625" hidden="1" customWidth="1"/>
    <col min="251" max="252" width="8.33203125" hidden="1" customWidth="1"/>
    <col min="253" max="253" width="8.6640625" hidden="1" customWidth="1"/>
    <col min="254" max="254" width="6.44140625" hidden="1" customWidth="1"/>
    <col min="255" max="256" width="8.6640625" hidden="1" customWidth="1"/>
    <col min="257" max="257" width="5.6640625" hidden="1" customWidth="1"/>
    <col min="258" max="259" width="8.6640625" hidden="1" customWidth="1"/>
    <col min="260" max="261" width="7.6640625" hidden="1" customWidth="1"/>
    <col min="262" max="262" width="15" hidden="1" customWidth="1"/>
    <col min="263" max="267" width="12.88671875" hidden="1" customWidth="1"/>
    <col min="268" max="269" width="22.109375" hidden="1" customWidth="1"/>
    <col min="270" max="272" width="16.88671875" hidden="1" customWidth="1"/>
    <col min="273" max="319" width="9.109375" hidden="1" customWidth="1"/>
    <col min="320" max="322" width="0" hidden="1" customWidth="1"/>
  </cols>
  <sheetData>
    <row r="1" spans="1:279" ht="3.75" customHeight="1" thickBot="1">
      <c r="B1" s="408"/>
      <c r="C1" s="408"/>
      <c r="D1" s="408"/>
      <c r="E1" s="408"/>
      <c r="F1" s="408"/>
      <c r="G1" s="408"/>
      <c r="H1" s="408"/>
      <c r="I1" s="408"/>
      <c r="J1" s="408"/>
      <c r="K1" s="408"/>
      <c r="L1" s="408"/>
      <c r="M1" s="408"/>
      <c r="N1" s="408"/>
      <c r="O1" s="408"/>
      <c r="P1" s="408"/>
      <c r="Q1" s="408"/>
      <c r="R1" s="408"/>
      <c r="S1" s="408"/>
      <c r="T1" s="408"/>
      <c r="U1" s="472"/>
      <c r="V1" s="472"/>
      <c r="W1" s="472"/>
      <c r="X1" s="472"/>
      <c r="Y1" s="472"/>
      <c r="Z1" s="472"/>
      <c r="AA1" s="472"/>
      <c r="AB1" s="472"/>
      <c r="BP1" s="328" t="s">
        <v>317</v>
      </c>
      <c r="BQ1" s="328">
        <f>VALUE(SUBSTITUTE(C2,".",""))</f>
        <v>512</v>
      </c>
      <c r="FD1" s="371"/>
      <c r="FE1" s="371"/>
      <c r="FF1" s="371"/>
    </row>
    <row r="2" spans="1:279" ht="19.5" customHeight="1" thickTop="1" thickBot="1">
      <c r="A2" s="409"/>
      <c r="B2" s="423" t="s">
        <v>344</v>
      </c>
      <c r="C2" s="422" t="s">
        <v>560</v>
      </c>
      <c r="D2" s="410"/>
      <c r="E2" s="410"/>
      <c r="F2" s="410"/>
      <c r="G2" s="410"/>
      <c r="H2" s="410"/>
      <c r="I2" s="410"/>
      <c r="J2" s="410"/>
      <c r="K2" s="410"/>
      <c r="L2" s="410"/>
      <c r="M2" s="410"/>
      <c r="N2" s="410"/>
      <c r="O2" s="410"/>
      <c r="P2" s="410"/>
      <c r="Q2" s="410"/>
      <c r="R2" s="410"/>
      <c r="S2" s="410"/>
      <c r="T2" s="410"/>
      <c r="U2" s="603"/>
      <c r="V2" s="453"/>
      <c r="W2" s="473" t="s">
        <v>340</v>
      </c>
      <c r="X2" s="473"/>
      <c r="Y2" s="473"/>
      <c r="Z2" s="467"/>
      <c r="AA2" s="453"/>
      <c r="AB2" s="371"/>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675" t="s">
        <v>275</v>
      </c>
      <c r="BE2" s="676"/>
      <c r="BF2" s="676"/>
      <c r="BG2" s="676"/>
      <c r="BH2" s="676"/>
      <c r="BI2" s="676"/>
      <c r="BJ2" s="676"/>
      <c r="BK2" s="676"/>
      <c r="BL2" s="676"/>
      <c r="BM2" s="677"/>
      <c r="BN2" s="329"/>
      <c r="BO2" s="331"/>
      <c r="BP2" s="339"/>
      <c r="BQ2" s="340"/>
      <c r="BR2" s="653" t="s">
        <v>318</v>
      </c>
      <c r="BS2" s="653"/>
      <c r="BT2" s="652" t="s">
        <v>319</v>
      </c>
      <c r="BU2" s="652" t="s">
        <v>320</v>
      </c>
      <c r="BV2" s="653" t="s">
        <v>321</v>
      </c>
      <c r="BW2" s="332"/>
      <c r="BX2" s="653" t="s">
        <v>322</v>
      </c>
      <c r="BY2" s="332"/>
      <c r="BZ2" s="332"/>
      <c r="CA2" s="332"/>
      <c r="DD2" s="40"/>
      <c r="DE2" s="332"/>
      <c r="DF2" s="332"/>
      <c r="DG2" s="332"/>
      <c r="DH2" s="332"/>
      <c r="DI2" s="332"/>
      <c r="DJ2" s="332"/>
      <c r="DK2" s="332"/>
      <c r="DL2" s="332"/>
      <c r="DM2" s="332"/>
      <c r="DN2" s="332"/>
      <c r="DO2" s="332"/>
      <c r="DP2" s="332"/>
      <c r="DQ2" s="332"/>
      <c r="DR2" s="332"/>
      <c r="DS2" s="332"/>
      <c r="DT2" s="332"/>
      <c r="DU2" s="332"/>
      <c r="DV2" s="332"/>
      <c r="DW2" s="332"/>
      <c r="DX2" s="332"/>
      <c r="DY2" s="332"/>
      <c r="DZ2" s="332"/>
      <c r="EA2" s="332"/>
      <c r="EB2" s="40"/>
      <c r="EC2" s="332"/>
      <c r="ED2" s="332"/>
      <c r="EE2" s="332"/>
      <c r="EF2" s="332"/>
      <c r="EG2" s="332"/>
      <c r="EH2" s="332"/>
      <c r="EI2" s="332"/>
      <c r="EJ2" s="332"/>
      <c r="EK2" s="332"/>
      <c r="EL2" s="332"/>
      <c r="EM2" s="332"/>
      <c r="EN2" s="332"/>
      <c r="EO2" s="332"/>
      <c r="EP2" s="332"/>
      <c r="EQ2" s="332"/>
      <c r="ER2" s="332"/>
      <c r="ES2" s="332"/>
      <c r="ET2" s="332"/>
      <c r="EU2" s="332"/>
      <c r="EV2" s="332"/>
      <c r="EW2" s="332"/>
      <c r="EX2" s="332"/>
      <c r="EY2" s="332"/>
      <c r="EZ2" s="332"/>
      <c r="FA2" s="332"/>
      <c r="FB2" s="332"/>
      <c r="FC2" s="332"/>
      <c r="FD2" s="40"/>
      <c r="FE2" s="40"/>
      <c r="FF2" s="40"/>
      <c r="FG2" s="332"/>
      <c r="FH2" s="332"/>
      <c r="FI2" s="332"/>
      <c r="FJ2" s="332"/>
      <c r="FK2" s="332"/>
      <c r="FL2" s="332"/>
      <c r="FM2" s="332"/>
      <c r="FN2" s="332"/>
      <c r="FO2" s="332"/>
      <c r="FP2" s="332"/>
      <c r="FQ2" s="332"/>
      <c r="FR2" s="332"/>
      <c r="FS2" s="332"/>
      <c r="FT2" s="332"/>
      <c r="FU2" s="332"/>
      <c r="FV2" s="332"/>
      <c r="FW2" s="332"/>
      <c r="FX2" s="332"/>
      <c r="FY2" s="332"/>
      <c r="FZ2" s="332"/>
      <c r="GA2" s="332"/>
      <c r="GB2" s="332"/>
      <c r="GC2" s="332"/>
      <c r="GD2" s="332"/>
      <c r="GE2" s="332"/>
      <c r="GF2" s="332"/>
      <c r="GG2" s="332"/>
      <c r="GH2" s="332"/>
      <c r="GI2" s="332"/>
      <c r="GJ2" s="40"/>
      <c r="GK2" s="332"/>
      <c r="GL2" s="332"/>
      <c r="GM2" s="332"/>
      <c r="GN2" s="332"/>
      <c r="GO2" s="332"/>
      <c r="GP2" s="332"/>
      <c r="GQ2" s="332"/>
      <c r="GR2" s="332"/>
      <c r="GS2" s="332"/>
      <c r="GT2" s="332"/>
      <c r="GU2" s="332"/>
      <c r="GV2" s="332"/>
      <c r="GW2" s="332"/>
      <c r="GY2" s="330"/>
      <c r="GZ2" s="245"/>
      <c r="HA2" s="245"/>
      <c r="HB2" s="245"/>
      <c r="HC2" s="245"/>
      <c r="HD2" s="245"/>
      <c r="HE2" s="245"/>
      <c r="HF2" s="245"/>
      <c r="HG2" s="245"/>
      <c r="HH2" s="245"/>
      <c r="HI2" s="245"/>
      <c r="HJ2" s="245"/>
      <c r="HK2" s="245"/>
    </row>
    <row r="3" spans="1:279" ht="20.25" customHeight="1" thickTop="1">
      <c r="A3" s="409"/>
      <c r="B3" s="410"/>
      <c r="C3" s="410"/>
      <c r="D3" s="710"/>
      <c r="E3" s="711"/>
      <c r="F3" s="711"/>
      <c r="G3" s="711"/>
      <c r="H3" s="711"/>
      <c r="I3" s="711"/>
      <c r="J3" s="711"/>
      <c r="K3" s="711"/>
      <c r="L3" s="711"/>
      <c r="M3" s="712"/>
      <c r="N3" s="410"/>
      <c r="O3" s="410"/>
      <c r="P3" s="410"/>
      <c r="Q3" s="678">
        <f ca="1">NOW()</f>
        <v>46066.40800625</v>
      </c>
      <c r="R3" s="679"/>
      <c r="S3" s="410"/>
      <c r="T3" s="410"/>
      <c r="U3" s="603"/>
      <c r="V3" s="453"/>
      <c r="W3" s="473">
        <v>5</v>
      </c>
      <c r="X3" s="473">
        <f>W3+3</f>
        <v>8</v>
      </c>
      <c r="Y3" s="473"/>
      <c r="Z3" s="467"/>
      <c r="AA3" s="453"/>
      <c r="AB3" s="371"/>
      <c r="BC3" s="77"/>
      <c r="BD3" s="77"/>
      <c r="BE3" s="77"/>
      <c r="BF3" s="77"/>
      <c r="BG3" s="77"/>
      <c r="BH3" s="77"/>
      <c r="BI3" s="77"/>
      <c r="BJ3" s="77"/>
      <c r="BK3" s="77"/>
      <c r="BL3" s="77"/>
      <c r="BM3" s="77"/>
      <c r="BN3" s="331"/>
      <c r="BO3" s="332"/>
      <c r="BP3" s="332"/>
      <c r="BQ3" s="332"/>
      <c r="BR3" s="653"/>
      <c r="BS3" s="653"/>
      <c r="BT3" s="652"/>
      <c r="BU3" s="652"/>
      <c r="BV3" s="653"/>
      <c r="BW3" s="332"/>
      <c r="BX3" s="653"/>
      <c r="BY3" s="332"/>
      <c r="BZ3" s="332"/>
      <c r="CA3" s="332"/>
      <c r="CB3" s="328" t="str">
        <f>IFERROR(IF(P6&lt;F9,"Chilled water temperatures below the room dewpoint may result in coil condensation so are not recommended, ",""),"")</f>
        <v/>
      </c>
      <c r="DD3" s="40"/>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40"/>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40"/>
      <c r="FE3" s="40"/>
      <c r="FF3" s="40"/>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40"/>
      <c r="GK3" s="332"/>
      <c r="GL3" s="332"/>
      <c r="GM3" s="332"/>
      <c r="GN3" s="332"/>
      <c r="GO3" s="332"/>
      <c r="GP3" s="332"/>
      <c r="GQ3" s="332"/>
      <c r="GR3" s="332"/>
      <c r="GS3" s="332"/>
      <c r="GT3" s="332"/>
      <c r="GU3" s="332"/>
      <c r="GV3" s="332"/>
      <c r="GW3" s="332"/>
      <c r="GY3" s="330"/>
      <c r="GZ3" s="245"/>
      <c r="HA3" s="245"/>
      <c r="HB3" s="245"/>
      <c r="HC3" s="245"/>
      <c r="HD3" s="245"/>
      <c r="HE3" s="245"/>
      <c r="HF3" s="245"/>
      <c r="HG3" s="245"/>
      <c r="HH3" s="245"/>
      <c r="HI3" s="245"/>
      <c r="HJ3" s="245"/>
      <c r="HK3" s="245"/>
    </row>
    <row r="4" spans="1:279" ht="17.25" customHeight="1" thickBot="1">
      <c r="A4" s="409"/>
      <c r="B4" s="410"/>
      <c r="C4" s="410"/>
      <c r="D4" s="713"/>
      <c r="E4" s="714"/>
      <c r="F4" s="714"/>
      <c r="G4" s="714"/>
      <c r="H4" s="714"/>
      <c r="I4" s="714"/>
      <c r="J4" s="714"/>
      <c r="K4" s="714"/>
      <c r="L4" s="714"/>
      <c r="M4" s="715"/>
      <c r="N4" s="410"/>
      <c r="O4" s="410"/>
      <c r="P4" s="410"/>
      <c r="Q4" s="680"/>
      <c r="R4" s="681"/>
      <c r="S4" s="410"/>
      <c r="T4" s="410"/>
      <c r="U4" s="603"/>
      <c r="V4" s="453"/>
      <c r="W4" s="473">
        <v>2</v>
      </c>
      <c r="X4" s="473" t="str">
        <f>IF(W4=1,"All",IF(W4=2,"Even","All"))</f>
        <v>Even</v>
      </c>
      <c r="Y4" s="473"/>
      <c r="Z4" s="467"/>
      <c r="AA4" s="453"/>
      <c r="AB4" s="371"/>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332"/>
      <c r="BO4" s="332"/>
      <c r="BP4" s="332"/>
      <c r="BQ4" s="332"/>
      <c r="BR4" s="653"/>
      <c r="BS4" s="653"/>
      <c r="BT4" s="652"/>
      <c r="BU4" s="652"/>
      <c r="BV4" s="653"/>
      <c r="BW4" s="332"/>
      <c r="BX4" s="653"/>
      <c r="BY4" s="332"/>
      <c r="BZ4" s="332"/>
      <c r="CA4" s="332"/>
      <c r="CB4" s="328" t="str">
        <f>IFERROR(IF(MIN(T22:T393)=0,"",IF(MAX(FQ22:FQ393)&gt;0,"Low chilled water flow rates will result in laminar flow conditions and unpredictable cooling performance, ","")),"")</f>
        <v/>
      </c>
      <c r="DD4" s="40"/>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40"/>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40"/>
      <c r="FE4" s="40"/>
      <c r="FF4" s="40"/>
      <c r="FG4" s="332"/>
      <c r="FH4" s="332"/>
      <c r="FI4" s="332"/>
      <c r="FJ4" s="332"/>
      <c r="FK4" s="332"/>
      <c r="FL4" s="332"/>
      <c r="FM4" s="332"/>
      <c r="FN4" s="332"/>
      <c r="FO4" s="332"/>
      <c r="FP4" s="332"/>
      <c r="FQ4" s="332"/>
      <c r="FR4" s="332"/>
      <c r="FS4" s="332"/>
      <c r="FT4" s="332"/>
      <c r="FU4" s="332"/>
      <c r="FV4" s="332"/>
      <c r="FW4" s="332"/>
      <c r="FX4" s="332"/>
      <c r="FY4" s="332"/>
      <c r="FZ4" s="332"/>
      <c r="GA4" s="332"/>
      <c r="GB4" s="332"/>
      <c r="GC4" s="332"/>
      <c r="GD4" s="332"/>
      <c r="GE4" s="332"/>
      <c r="GF4" s="332"/>
      <c r="GG4" s="332"/>
      <c r="GH4" s="332"/>
      <c r="GI4" s="332"/>
      <c r="GJ4" s="40"/>
      <c r="GK4" s="332"/>
      <c r="GL4" s="332"/>
      <c r="GM4" s="332"/>
      <c r="GN4" s="332"/>
      <c r="GO4" s="332"/>
      <c r="GP4" s="332"/>
      <c r="GQ4" s="332"/>
      <c r="GR4" s="332"/>
      <c r="GS4" s="332"/>
      <c r="GT4" s="332"/>
      <c r="GU4" s="332"/>
      <c r="GV4" s="332"/>
      <c r="GW4" s="332"/>
      <c r="GY4" s="330"/>
      <c r="GZ4" s="245"/>
      <c r="HA4" s="245"/>
      <c r="HB4" s="245"/>
      <c r="HC4" s="245"/>
      <c r="HD4" s="245"/>
      <c r="HE4" s="245"/>
      <c r="HF4" s="245"/>
      <c r="HG4" s="245"/>
      <c r="HH4" s="245"/>
      <c r="HI4" s="245"/>
      <c r="HJ4" s="245"/>
      <c r="HK4" s="245"/>
    </row>
    <row r="5" spans="1:279" ht="27.75" customHeight="1" thickTop="1" thickBot="1">
      <c r="A5" s="409"/>
      <c r="B5" s="410"/>
      <c r="C5" s="410"/>
      <c r="D5" s="410"/>
      <c r="E5" s="410"/>
      <c r="F5" s="415"/>
      <c r="G5" s="410"/>
      <c r="H5" s="415"/>
      <c r="I5" s="410"/>
      <c r="J5" s="410"/>
      <c r="K5" s="410"/>
      <c r="L5" s="410"/>
      <c r="M5" s="410"/>
      <c r="N5" s="410"/>
      <c r="O5" s="410"/>
      <c r="P5" s="410"/>
      <c r="Q5" s="410"/>
      <c r="R5" s="410"/>
      <c r="S5" s="410"/>
      <c r="T5" s="410"/>
      <c r="U5" s="603"/>
      <c r="V5" s="453"/>
      <c r="W5" s="473">
        <v>1</v>
      </c>
      <c r="X5" s="473">
        <f>(101-W5)/100</f>
        <v>1</v>
      </c>
      <c r="Y5" s="473"/>
      <c r="Z5" s="467"/>
      <c r="AA5" s="453"/>
      <c r="AB5" s="371"/>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332"/>
      <c r="BO5" s="332"/>
      <c r="BP5" s="332"/>
      <c r="BQ5" s="332"/>
      <c r="BR5" s="653"/>
      <c r="BS5" s="653"/>
      <c r="BT5" s="652"/>
      <c r="BU5" s="652"/>
      <c r="BV5" s="653"/>
      <c r="BW5" s="332"/>
      <c r="BX5" s="653"/>
      <c r="BY5" s="332"/>
      <c r="BZ5" s="332"/>
      <c r="CA5" s="332"/>
      <c r="CB5" s="328" t="str">
        <f>IFERROR(IF(MAX(GH22:GH393)&gt;15,"Heating using a SAT greater than +15°F than the room setpoint may result in poor air distribution and stratification.",""),"")</f>
        <v/>
      </c>
      <c r="DD5" s="40"/>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40"/>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40"/>
      <c r="FE5" s="40"/>
      <c r="FF5" s="40"/>
      <c r="FG5" s="332"/>
      <c r="FH5" s="332"/>
      <c r="FI5" s="332"/>
      <c r="FJ5" s="332"/>
      <c r="FK5" s="332"/>
      <c r="FL5" s="332"/>
      <c r="FM5" s="332"/>
      <c r="FN5" s="332"/>
      <c r="FO5" s="332"/>
      <c r="FP5" s="332"/>
      <c r="FQ5" s="332"/>
      <c r="FR5" s="332"/>
      <c r="FS5" s="332"/>
      <c r="FT5" s="332"/>
      <c r="FU5" s="332"/>
      <c r="FV5" s="332"/>
      <c r="FW5" s="332"/>
      <c r="FX5" s="332"/>
      <c r="FY5" s="332"/>
      <c r="FZ5" s="332"/>
      <c r="GA5" s="332"/>
      <c r="GB5" s="332"/>
      <c r="GC5" s="332"/>
      <c r="GD5" s="332"/>
      <c r="GE5" s="332"/>
      <c r="GF5" s="332"/>
      <c r="GG5" s="332"/>
      <c r="GH5" s="332"/>
      <c r="GI5" s="332"/>
      <c r="GJ5" s="40"/>
      <c r="GK5" s="332"/>
      <c r="GL5" s="332"/>
      <c r="GM5" s="332"/>
      <c r="GN5" s="332"/>
      <c r="GO5" s="332"/>
      <c r="GP5" s="332"/>
      <c r="GQ5" s="332"/>
      <c r="GR5" s="332"/>
      <c r="GS5" s="332"/>
      <c r="GT5" s="332"/>
      <c r="GU5" s="332"/>
      <c r="GV5" s="332"/>
      <c r="GW5" s="332"/>
      <c r="GY5" s="330"/>
      <c r="GZ5" s="245"/>
      <c r="HA5" s="245"/>
      <c r="HB5" s="245"/>
      <c r="HC5" s="245"/>
      <c r="HD5" s="245"/>
      <c r="HE5" s="245"/>
      <c r="HF5" s="245"/>
      <c r="HG5" s="245"/>
      <c r="HH5" s="245"/>
      <c r="HI5" s="245"/>
      <c r="HJ5" s="245"/>
      <c r="HK5" s="245"/>
    </row>
    <row r="6" spans="1:279" ht="20.25" customHeight="1" thickTop="1" thickBot="1">
      <c r="A6" s="409"/>
      <c r="B6" s="410"/>
      <c r="C6" s="410"/>
      <c r="D6" s="410"/>
      <c r="E6" s="411"/>
      <c r="F6" s="418">
        <v>75</v>
      </c>
      <c r="G6" s="410"/>
      <c r="H6" s="419">
        <v>70</v>
      </c>
      <c r="I6" s="410"/>
      <c r="J6" s="410"/>
      <c r="K6" s="410"/>
      <c r="L6" s="410"/>
      <c r="M6" s="410"/>
      <c r="N6" s="410"/>
      <c r="O6" s="410"/>
      <c r="P6" s="419">
        <v>57</v>
      </c>
      <c r="Q6" s="410"/>
      <c r="R6" s="410"/>
      <c r="S6" s="419">
        <v>120</v>
      </c>
      <c r="T6" s="410"/>
      <c r="U6" s="603"/>
      <c r="V6" s="453"/>
      <c r="W6" s="473">
        <v>2</v>
      </c>
      <c r="X6" s="473">
        <f>(W6*5)-5</f>
        <v>5</v>
      </c>
      <c r="Y6" s="473"/>
      <c r="Z6" s="467"/>
      <c r="AA6" s="453"/>
      <c r="AB6" s="371"/>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332"/>
      <c r="BO6" s="332"/>
      <c r="BP6" s="332"/>
      <c r="BQ6" s="332"/>
      <c r="BR6" s="653"/>
      <c r="BS6" s="653"/>
      <c r="BT6" s="652"/>
      <c r="BU6" s="652"/>
      <c r="BV6" s="653"/>
      <c r="BW6" s="332"/>
      <c r="BX6" s="653"/>
      <c r="BY6" s="332"/>
      <c r="BZ6" s="332"/>
      <c r="CA6" s="332"/>
      <c r="CB6" s="328" t="str">
        <f>IF(F13&lt;51,"Primary air temps. below 51°F may result in condensation forming inside the chilled beam units. Internal insulation is recommended","")</f>
        <v/>
      </c>
      <c r="DD6" s="40"/>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40"/>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40"/>
      <c r="FE6" s="40"/>
      <c r="FF6" s="40"/>
      <c r="FG6" s="332"/>
      <c r="FH6" s="332"/>
      <c r="FI6" s="332"/>
      <c r="FJ6" s="332"/>
      <c r="FK6" s="332"/>
      <c r="FL6" s="332"/>
      <c r="FM6" s="332"/>
      <c r="FN6" s="332"/>
      <c r="FO6" s="332"/>
      <c r="FP6" s="332"/>
      <c r="FQ6" s="332"/>
      <c r="FR6" s="332"/>
      <c r="FS6" s="332"/>
      <c r="FT6" s="332"/>
      <c r="FU6" s="332"/>
      <c r="FV6" s="332"/>
      <c r="FW6" s="332"/>
      <c r="FX6" s="332"/>
      <c r="FY6" s="332"/>
      <c r="FZ6" s="332"/>
      <c r="GA6" s="332"/>
      <c r="GB6" s="332"/>
      <c r="GC6" s="332"/>
      <c r="GD6" s="332"/>
      <c r="GE6" s="332"/>
      <c r="GF6" s="332"/>
      <c r="GG6" s="332"/>
      <c r="GH6" s="332"/>
      <c r="GI6" s="332"/>
      <c r="GJ6" s="40"/>
      <c r="GK6" s="332"/>
      <c r="GL6" s="332"/>
      <c r="GM6" s="332"/>
      <c r="GN6" s="332"/>
      <c r="GO6" s="332"/>
      <c r="GP6" s="332"/>
      <c r="GQ6" s="332"/>
      <c r="GR6" s="332"/>
      <c r="GS6" s="332"/>
      <c r="GT6" s="332"/>
      <c r="GU6" s="332"/>
      <c r="GV6" s="332"/>
      <c r="GW6" s="332"/>
      <c r="GY6" s="330"/>
      <c r="GZ6" s="245"/>
      <c r="HA6" s="245"/>
      <c r="HB6" s="245"/>
      <c r="HC6" s="245"/>
      <c r="HD6" s="245"/>
      <c r="HE6" s="245"/>
      <c r="HF6" s="245"/>
      <c r="HG6" s="245"/>
      <c r="HH6" s="245"/>
      <c r="HI6" s="245"/>
      <c r="HJ6" s="245"/>
      <c r="HK6" s="245"/>
    </row>
    <row r="7" spans="1:279" ht="16.8" thickTop="1" thickBot="1">
      <c r="A7" s="409"/>
      <c r="B7" s="410"/>
      <c r="C7" s="410"/>
      <c r="D7" s="410"/>
      <c r="E7" s="411"/>
      <c r="F7" s="421">
        <v>0.53</v>
      </c>
      <c r="G7" s="410"/>
      <c r="H7" s="410"/>
      <c r="I7" s="410"/>
      <c r="J7" s="410"/>
      <c r="K7" s="410"/>
      <c r="L7" s="410"/>
      <c r="M7" s="410"/>
      <c r="N7" s="410"/>
      <c r="O7" s="410"/>
      <c r="P7" s="410"/>
      <c r="Q7" s="410"/>
      <c r="R7" s="410"/>
      <c r="S7" s="410"/>
      <c r="T7" s="410"/>
      <c r="U7" s="603"/>
      <c r="V7" s="453"/>
      <c r="W7" s="473">
        <v>5</v>
      </c>
      <c r="X7" s="473">
        <f>W7/10</f>
        <v>0.5</v>
      </c>
      <c r="Y7" s="473"/>
      <c r="Z7" s="467"/>
      <c r="AA7" s="453"/>
      <c r="AB7" s="371"/>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332"/>
      <c r="BO7" s="332"/>
      <c r="BP7" s="332"/>
      <c r="BQ7" s="332"/>
      <c r="BR7" s="341" t="s">
        <v>242</v>
      </c>
      <c r="BS7" s="154" t="s">
        <v>243</v>
      </c>
      <c r="BT7" s="652"/>
      <c r="BU7" s="652"/>
      <c r="BV7" s="653"/>
      <c r="BW7" s="332"/>
      <c r="BX7" s="653"/>
      <c r="BY7" s="332"/>
      <c r="BZ7" s="332"/>
      <c r="CA7" s="332"/>
      <c r="DD7" s="40"/>
      <c r="DE7" s="332"/>
      <c r="DF7" s="332"/>
      <c r="DG7" s="332"/>
      <c r="DH7" s="332"/>
      <c r="DI7" s="332"/>
      <c r="DJ7" s="332"/>
      <c r="DK7" s="332"/>
      <c r="DL7" s="40"/>
      <c r="DM7" s="40"/>
      <c r="DN7" s="40"/>
      <c r="DO7" s="332"/>
      <c r="DP7" s="332"/>
      <c r="DQ7" s="332"/>
      <c r="DR7" s="332"/>
      <c r="DS7" s="332"/>
      <c r="DT7" s="332"/>
      <c r="DU7" s="332"/>
      <c r="DV7" s="332"/>
      <c r="DW7" s="332"/>
      <c r="DX7" s="332"/>
      <c r="DY7" s="332"/>
      <c r="DZ7" s="332"/>
      <c r="EA7" s="332"/>
      <c r="EB7" s="40"/>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40"/>
      <c r="FE7" s="40"/>
      <c r="FF7" s="40"/>
      <c r="FG7" s="332"/>
      <c r="FH7" s="332"/>
      <c r="FI7" s="332"/>
      <c r="FJ7" s="332"/>
      <c r="FK7" s="332"/>
      <c r="FL7" s="332"/>
      <c r="FM7" s="332"/>
      <c r="FN7" s="332"/>
      <c r="FO7" s="332"/>
      <c r="FP7" s="332"/>
      <c r="FQ7" s="332"/>
      <c r="FR7" s="332"/>
      <c r="FS7" s="332"/>
      <c r="FT7" s="332"/>
      <c r="FU7" s="332"/>
      <c r="FV7" s="332"/>
      <c r="FW7" s="332"/>
      <c r="FX7" s="332"/>
      <c r="FY7" s="332"/>
      <c r="FZ7" s="332"/>
      <c r="GA7" s="332"/>
      <c r="GB7" s="332"/>
      <c r="GC7" s="332"/>
      <c r="GD7" s="332"/>
      <c r="GE7" s="332"/>
      <c r="GF7" s="332"/>
      <c r="GG7" s="332"/>
      <c r="GH7" s="332"/>
      <c r="GI7" s="332"/>
      <c r="GJ7" s="40"/>
      <c r="GK7" s="332"/>
      <c r="GL7" s="332"/>
      <c r="GM7" s="332"/>
      <c r="GN7" s="332"/>
      <c r="GO7" s="332"/>
      <c r="GP7" s="332"/>
      <c r="GQ7" s="332"/>
      <c r="GR7" s="332"/>
      <c r="GS7" s="332"/>
      <c r="GT7" s="332"/>
      <c r="GU7" s="332"/>
      <c r="GV7" s="332"/>
      <c r="GW7" s="332"/>
      <c r="GY7" s="330"/>
      <c r="GZ7" s="245"/>
      <c r="HA7" s="245"/>
      <c r="HB7" s="245"/>
      <c r="HC7" s="245"/>
      <c r="HD7" s="245"/>
      <c r="HE7" s="245"/>
      <c r="HF7" s="245"/>
      <c r="HG7" s="245"/>
      <c r="HH7" s="245"/>
      <c r="HI7" s="245"/>
      <c r="HJ7" s="245"/>
      <c r="HK7" s="245"/>
      <c r="IL7">
        <v>1</v>
      </c>
      <c r="IM7" s="369" t="s">
        <v>521</v>
      </c>
      <c r="IN7">
        <v>0.5</v>
      </c>
      <c r="IO7">
        <v>2.5</v>
      </c>
    </row>
    <row r="8" spans="1:279" ht="17.25" customHeight="1" thickTop="1">
      <c r="A8" s="409"/>
      <c r="B8" s="410"/>
      <c r="C8" s="410"/>
      <c r="D8" s="744"/>
      <c r="E8" s="744"/>
      <c r="F8" s="417">
        <f>Worksheet!F58</f>
        <v>68.875828302584978</v>
      </c>
      <c r="G8" s="410"/>
      <c r="H8" s="410"/>
      <c r="I8" s="410"/>
      <c r="J8" s="410"/>
      <c r="K8" s="410"/>
      <c r="L8" s="410"/>
      <c r="M8" s="410"/>
      <c r="N8" s="410"/>
      <c r="O8" s="678" t="s">
        <v>37</v>
      </c>
      <c r="P8" s="679"/>
      <c r="Q8" s="410"/>
      <c r="R8" s="410"/>
      <c r="S8" s="412">
        <v>100</v>
      </c>
      <c r="T8" s="410"/>
      <c r="U8" s="603"/>
      <c r="V8" s="453"/>
      <c r="W8" s="473">
        <v>3</v>
      </c>
      <c r="X8" s="473" t="str">
        <f>VLOOKUP(W8,RSCalc!AO16:AP19,2)</f>
        <v>4 pipe (H/C)</v>
      </c>
      <c r="Y8" s="473"/>
      <c r="Z8" s="467"/>
      <c r="AA8" s="453"/>
      <c r="AB8" s="371"/>
      <c r="AD8" s="370"/>
      <c r="AE8" s="370"/>
      <c r="AF8" s="370"/>
      <c r="AG8" s="370"/>
      <c r="AH8" s="37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332"/>
      <c r="BO8" s="332"/>
      <c r="BP8" s="332" t="s">
        <v>496</v>
      </c>
      <c r="BQ8">
        <f>IF(D14="Grains",F14,BQ9)</f>
        <v>48</v>
      </c>
      <c r="BR8" s="342">
        <f>(1/(1.0379^(Calculation!S13/1000)))</f>
        <v>1</v>
      </c>
      <c r="BS8" s="426">
        <f>BR8^0.68</f>
        <v>1</v>
      </c>
      <c r="BT8" s="424">
        <f>(F6-P6)/18</f>
        <v>1</v>
      </c>
      <c r="BU8" s="424">
        <f>IF(O8="Ethylene Glycol",1-((S8/(100*0.5))*0.1054),IF(O8="Propylene Glycol",1-((S8/(100*0.5))*0.1596),1))</f>
        <v>1</v>
      </c>
      <c r="BV8" s="343">
        <f>(S6-H6)/70</f>
        <v>0.7142857142857143</v>
      </c>
      <c r="BW8" s="343"/>
      <c r="BX8" s="343">
        <f>IF(O9="Ethylene Glycol",1-((S9/(100*0.5))*0.1054),IF(O9="Propylene Glycol",1-((S9/(100*0.5))*0.1596),1))</f>
        <v>1</v>
      </c>
      <c r="BY8" s="343"/>
      <c r="BZ8" s="343"/>
      <c r="CA8" s="343"/>
      <c r="CB8" s="328">
        <f>(ABS(0.69143*(Calculation!$BQ$8-Calculation!$F$8)))*S14</f>
        <v>14.434173963256331</v>
      </c>
      <c r="CE8" s="328" t="s">
        <v>244</v>
      </c>
      <c r="DD8" s="40"/>
      <c r="DE8" s="332"/>
      <c r="DF8" s="332"/>
      <c r="DG8" s="332"/>
      <c r="DH8" s="332"/>
      <c r="DI8" s="332"/>
      <c r="DJ8" s="332"/>
      <c r="DK8" s="332"/>
      <c r="DL8" s="40"/>
      <c r="DM8" s="40"/>
      <c r="DN8" s="40"/>
      <c r="DO8" s="332"/>
      <c r="DP8" s="332"/>
      <c r="DQ8" s="332"/>
      <c r="DR8" s="332"/>
      <c r="DS8" s="332"/>
      <c r="DT8" s="332"/>
      <c r="DU8" s="332"/>
      <c r="DV8" s="332"/>
      <c r="DW8" s="332"/>
      <c r="DX8" s="332"/>
      <c r="DY8" s="332"/>
      <c r="DZ8" s="332"/>
      <c r="EA8" s="332"/>
      <c r="EB8" s="40"/>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40"/>
      <c r="FE8" s="40"/>
      <c r="FF8" s="40"/>
      <c r="FG8" s="332"/>
      <c r="FH8" s="332"/>
      <c r="FI8" s="332"/>
      <c r="FJ8" s="332"/>
      <c r="FK8" s="332"/>
      <c r="FL8" s="332"/>
      <c r="FM8" s="332"/>
      <c r="FN8" s="332"/>
      <c r="FO8" s="332"/>
      <c r="FP8" s="332"/>
      <c r="FQ8" s="332"/>
      <c r="FR8" s="332"/>
      <c r="FS8" s="332"/>
      <c r="FT8" s="332"/>
      <c r="FU8" s="332"/>
      <c r="FV8" s="332"/>
      <c r="FW8" s="332"/>
      <c r="FX8" s="332"/>
      <c r="FY8" s="332"/>
      <c r="FZ8" s="332"/>
      <c r="GA8" s="332"/>
      <c r="GB8" s="332"/>
      <c r="GC8" s="332"/>
      <c r="GD8" s="332"/>
      <c r="GE8" s="332"/>
      <c r="GF8" s="332"/>
      <c r="GG8" s="332"/>
      <c r="GH8" s="332"/>
      <c r="GI8" s="332"/>
      <c r="GJ8" s="40"/>
      <c r="GK8" s="332"/>
      <c r="GL8" s="332"/>
      <c r="GM8" s="332"/>
      <c r="GN8" s="332"/>
      <c r="GO8" s="332"/>
      <c r="GP8" s="332"/>
      <c r="GQ8" s="332"/>
      <c r="GR8" s="332"/>
      <c r="GS8" s="332"/>
      <c r="GT8" s="332"/>
      <c r="GU8" s="332"/>
      <c r="GV8" s="332"/>
      <c r="GW8" s="332"/>
      <c r="GY8" s="330"/>
      <c r="GZ8" s="245"/>
      <c r="HA8" s="245"/>
      <c r="HB8" s="245"/>
      <c r="HC8" s="245"/>
      <c r="HD8" s="245"/>
      <c r="HE8" s="245"/>
      <c r="HF8" s="245"/>
      <c r="HG8" s="245"/>
      <c r="HH8" s="245"/>
      <c r="HI8" s="245"/>
      <c r="HJ8" s="245"/>
      <c r="HK8" s="245"/>
      <c r="IL8">
        <v>2</v>
      </c>
      <c r="IM8" s="369" t="s">
        <v>530</v>
      </c>
      <c r="IN8">
        <v>0.5</v>
      </c>
      <c r="IO8">
        <v>2.5</v>
      </c>
      <c r="JB8" s="255"/>
      <c r="JC8" s="255"/>
      <c r="JD8" s="255"/>
      <c r="JE8" s="255"/>
      <c r="JF8" s="255"/>
      <c r="JG8" s="255"/>
    </row>
    <row r="9" spans="1:279" ht="14.25" customHeight="1" thickBot="1">
      <c r="A9" s="409"/>
      <c r="B9" s="410"/>
      <c r="C9" s="410"/>
      <c r="D9" s="410"/>
      <c r="E9" s="411"/>
      <c r="F9" s="417">
        <f>Worksheet!G58</f>
        <v>56.731929779052734</v>
      </c>
      <c r="G9" s="410"/>
      <c r="H9" s="410"/>
      <c r="I9" s="410"/>
      <c r="J9" s="410"/>
      <c r="K9" s="410"/>
      <c r="L9" s="410"/>
      <c r="M9" s="410"/>
      <c r="N9" s="410"/>
      <c r="O9" s="680" t="s">
        <v>37</v>
      </c>
      <c r="P9" s="681"/>
      <c r="Q9" s="410"/>
      <c r="R9" s="410"/>
      <c r="S9" s="420">
        <v>100</v>
      </c>
      <c r="T9" s="410"/>
      <c r="U9" s="603"/>
      <c r="V9" s="453"/>
      <c r="W9" s="473">
        <v>2</v>
      </c>
      <c r="X9" s="473">
        <f>VLOOKUP(W9,RSCalc!AS16:AU19,3)</f>
        <v>300</v>
      </c>
      <c r="Y9" s="467"/>
      <c r="Z9" s="467"/>
      <c r="AA9" s="453"/>
      <c r="AB9" s="371"/>
      <c r="AD9" s="370"/>
      <c r="AE9" s="370"/>
      <c r="AF9" s="370"/>
      <c r="AG9" s="370"/>
      <c r="AH9" s="37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332"/>
      <c r="BO9" s="332"/>
      <c r="BP9" s="332" t="s">
        <v>497</v>
      </c>
      <c r="BQ9" s="40">
        <f>DPtoGrains(S13,F14)</f>
        <v>49.709839511391763</v>
      </c>
      <c r="BR9" s="40"/>
      <c r="BS9" s="40"/>
      <c r="BT9" s="40"/>
      <c r="BU9" s="40"/>
      <c r="BV9" s="332"/>
      <c r="BW9" s="332"/>
      <c r="BX9" s="332"/>
      <c r="BY9" s="332"/>
      <c r="BZ9" s="332"/>
      <c r="CA9" s="332"/>
      <c r="CB9" s="332"/>
      <c r="CD9" s="332"/>
      <c r="CE9" s="332"/>
      <c r="CF9" s="332"/>
      <c r="CG9" s="332"/>
      <c r="CH9" s="332"/>
      <c r="CI9" s="332"/>
      <c r="CJ9" s="332"/>
      <c r="CK9" s="332"/>
      <c r="CL9" s="332"/>
      <c r="CM9" s="332"/>
      <c r="CN9" s="332"/>
      <c r="CO9" s="332"/>
      <c r="CP9" s="332"/>
      <c r="CQ9" s="332"/>
      <c r="CR9" s="332"/>
      <c r="CS9" s="332"/>
      <c r="CT9" s="332"/>
      <c r="CU9" s="332"/>
      <c r="CV9" s="332"/>
      <c r="CW9" s="332"/>
      <c r="CX9" s="332"/>
      <c r="CY9" s="332"/>
      <c r="CZ9" s="332"/>
      <c r="DA9" s="332"/>
      <c r="DB9" s="332"/>
      <c r="DC9" s="332"/>
      <c r="DD9" s="40"/>
      <c r="DE9" s="332"/>
      <c r="DF9" s="332"/>
      <c r="DG9" s="332"/>
      <c r="DH9" s="332"/>
      <c r="DI9" s="332"/>
      <c r="DJ9" s="332"/>
      <c r="DK9" s="332"/>
      <c r="DL9" s="40"/>
      <c r="DM9" s="40"/>
      <c r="DN9" s="40"/>
      <c r="DO9" s="332"/>
      <c r="DP9" s="332"/>
      <c r="DQ9" s="332"/>
      <c r="DR9" s="332"/>
      <c r="DS9" s="332"/>
      <c r="DT9" s="332"/>
      <c r="DU9" s="332"/>
      <c r="DV9" s="332"/>
      <c r="DW9" s="332"/>
      <c r="DX9" s="332"/>
      <c r="DY9" s="332"/>
      <c r="DZ9" s="332"/>
      <c r="EA9" s="332"/>
      <c r="EB9" s="40"/>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40"/>
      <c r="FE9" s="40"/>
      <c r="FF9" s="40"/>
      <c r="FG9" s="332"/>
      <c r="FH9" s="332"/>
      <c r="FI9" s="332"/>
      <c r="FJ9" s="332"/>
      <c r="FK9" s="332"/>
      <c r="FL9" s="332"/>
      <c r="FM9" s="332"/>
      <c r="FN9" s="332"/>
      <c r="FO9" s="332"/>
      <c r="FP9" s="332"/>
      <c r="FQ9" s="332"/>
      <c r="FR9" s="332"/>
      <c r="FS9" s="332"/>
      <c r="FT9" s="332"/>
      <c r="FU9" s="332"/>
      <c r="FV9" s="332"/>
      <c r="FW9" s="332"/>
      <c r="FX9" s="332"/>
      <c r="FY9" s="332"/>
      <c r="FZ9" s="332"/>
      <c r="GA9" s="332"/>
      <c r="GB9" s="332"/>
      <c r="GC9" s="332"/>
      <c r="GD9" s="332"/>
      <c r="GE9" s="332"/>
      <c r="GF9" s="332"/>
      <c r="GG9" s="332"/>
      <c r="GH9" s="332"/>
      <c r="GI9" s="332"/>
      <c r="GJ9" s="40"/>
      <c r="GK9" s="332"/>
      <c r="GL9" s="332"/>
      <c r="GM9" s="332"/>
      <c r="GN9" s="332"/>
      <c r="GO9" s="332"/>
      <c r="GP9" s="332"/>
      <c r="GQ9" s="332"/>
      <c r="GR9" s="332"/>
      <c r="GS9" s="332"/>
      <c r="GT9" s="332"/>
      <c r="GU9" s="332"/>
      <c r="GV9" s="332"/>
      <c r="GW9" s="332"/>
      <c r="GY9" s="330"/>
      <c r="GZ9" s="245"/>
      <c r="HA9" s="245"/>
      <c r="HB9" s="245"/>
      <c r="HC9" s="245"/>
      <c r="HD9" s="245"/>
      <c r="HE9" s="245"/>
      <c r="HF9" s="245"/>
      <c r="HG9" s="245"/>
      <c r="HH9" s="245"/>
      <c r="HI9" s="245"/>
      <c r="HJ9" s="245"/>
      <c r="HK9" s="245"/>
      <c r="IL9">
        <v>3</v>
      </c>
      <c r="IM9" s="369" t="s">
        <v>132</v>
      </c>
      <c r="IN9">
        <v>0.5</v>
      </c>
      <c r="IO9">
        <v>1.7</v>
      </c>
      <c r="JB9" s="55"/>
      <c r="JC9" s="55"/>
      <c r="JD9" s="55"/>
      <c r="JE9" s="55"/>
      <c r="JF9" s="55"/>
      <c r="JG9" s="55"/>
    </row>
    <row r="10" spans="1:279" ht="12" customHeight="1" thickTop="1">
      <c r="A10" s="409"/>
      <c r="B10" s="410"/>
      <c r="C10" s="410"/>
      <c r="D10" s="410"/>
      <c r="E10" s="410"/>
      <c r="F10" s="410"/>
      <c r="G10" s="410"/>
      <c r="H10" s="410"/>
      <c r="I10" s="410"/>
      <c r="J10" s="410"/>
      <c r="K10" s="410"/>
      <c r="L10" s="410"/>
      <c r="M10" s="410"/>
      <c r="N10" s="410"/>
      <c r="O10" s="410"/>
      <c r="P10" s="410"/>
      <c r="Q10" s="410"/>
      <c r="R10" s="410"/>
      <c r="S10" s="410"/>
      <c r="T10" s="410"/>
      <c r="U10" s="603"/>
      <c r="V10" s="453"/>
      <c r="W10" s="467"/>
      <c r="X10" s="467"/>
      <c r="Y10" s="467"/>
      <c r="Z10" s="467"/>
      <c r="AA10" s="453"/>
      <c r="AB10" s="371"/>
      <c r="AD10" s="370"/>
      <c r="AE10" s="370"/>
      <c r="AF10" s="370"/>
      <c r="AG10" s="370"/>
      <c r="AH10" s="37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27"/>
      <c r="BO10"/>
      <c r="BP10" s="332"/>
      <c r="BQ10" s="332"/>
      <c r="BR10" s="332"/>
      <c r="BS10" s="40"/>
      <c r="BT10" s="332"/>
      <c r="BU10" s="332"/>
      <c r="BV10" s="332"/>
      <c r="BW10" s="332"/>
      <c r="BX10" s="332"/>
      <c r="BY10" s="332"/>
      <c r="BZ10" s="332"/>
      <c r="CA10" s="332"/>
      <c r="CB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40"/>
      <c r="DE10" s="332"/>
      <c r="DF10" s="332"/>
      <c r="DG10" s="332"/>
      <c r="DH10" s="332"/>
      <c r="DI10" s="332"/>
      <c r="DJ10" s="332"/>
      <c r="DK10" s="332"/>
      <c r="DL10" s="40"/>
      <c r="DM10" s="40"/>
      <c r="DN10" s="40"/>
      <c r="DO10" s="332"/>
      <c r="DP10" s="332"/>
      <c r="DQ10" s="332"/>
      <c r="DR10" s="332"/>
      <c r="DS10" s="332"/>
      <c r="DT10" s="332"/>
      <c r="DU10" s="332"/>
      <c r="DV10" s="332"/>
      <c r="DW10" s="332"/>
      <c r="DX10" s="332"/>
      <c r="DY10" s="332"/>
      <c r="DZ10" s="332"/>
      <c r="EA10" s="332"/>
      <c r="EB10" s="40"/>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40"/>
      <c r="FE10" s="40"/>
      <c r="FF10" s="40"/>
      <c r="FG10" s="332"/>
      <c r="FH10" s="332"/>
      <c r="FI10" s="344"/>
      <c r="FJ10" s="332"/>
      <c r="FK10" s="332"/>
      <c r="FL10" s="332"/>
      <c r="FM10" s="332"/>
      <c r="FN10" s="332"/>
      <c r="FO10" s="332"/>
      <c r="FP10" s="332"/>
      <c r="FQ10" s="332"/>
      <c r="FR10" s="332"/>
      <c r="FS10" s="332"/>
      <c r="FT10" s="332"/>
      <c r="FU10" s="332"/>
      <c r="FV10" s="332"/>
      <c r="FW10" s="332"/>
      <c r="FX10" s="332"/>
      <c r="FY10" s="332"/>
      <c r="FZ10" s="332"/>
      <c r="GA10" s="332"/>
      <c r="GB10" s="332"/>
      <c r="GC10" s="332"/>
      <c r="GD10" s="332"/>
      <c r="GE10" s="332"/>
      <c r="GF10" s="332"/>
      <c r="GG10" s="332"/>
      <c r="GH10" s="332"/>
      <c r="GI10" s="332"/>
      <c r="GJ10" s="40"/>
      <c r="GK10" s="332"/>
      <c r="GL10" s="332"/>
      <c r="GM10" s="332"/>
      <c r="GN10" s="332"/>
      <c r="GO10" s="332"/>
      <c r="GP10" s="332"/>
      <c r="GQ10" s="332"/>
      <c r="GR10" s="332"/>
      <c r="GS10" s="332"/>
      <c r="GT10" s="332"/>
      <c r="GU10" s="332"/>
      <c r="GV10" s="332"/>
      <c r="GW10" s="332"/>
      <c r="GY10" s="330"/>
      <c r="GZ10" s="245"/>
      <c r="HA10" s="245"/>
      <c r="HB10" s="245"/>
      <c r="HC10" s="245"/>
      <c r="HD10" s="245"/>
      <c r="HE10" s="245"/>
      <c r="HF10" s="245"/>
      <c r="HG10" s="245"/>
      <c r="HH10" s="245"/>
      <c r="HI10" s="245"/>
      <c r="HJ10" s="245"/>
      <c r="HK10" s="245"/>
      <c r="IL10">
        <v>4</v>
      </c>
      <c r="IM10" s="369" t="s">
        <v>133</v>
      </c>
      <c r="IN10">
        <v>1</v>
      </c>
      <c r="IO10">
        <v>4</v>
      </c>
      <c r="JB10" s="68"/>
      <c r="JC10" s="68"/>
      <c r="JD10" s="68"/>
      <c r="JE10" s="68"/>
      <c r="JF10" s="68"/>
      <c r="JG10" s="68"/>
    </row>
    <row r="11" spans="1:279" ht="9" customHeight="1">
      <c r="A11" s="409"/>
      <c r="B11" s="410"/>
      <c r="C11" s="410"/>
      <c r="D11" s="410"/>
      <c r="E11" s="410"/>
      <c r="F11" s="410"/>
      <c r="G11" s="410"/>
      <c r="H11" s="410"/>
      <c r="I11" s="410"/>
      <c r="J11" s="410"/>
      <c r="K11" s="410"/>
      <c r="L11" s="410"/>
      <c r="M11" s="410"/>
      <c r="N11" s="410"/>
      <c r="O11" s="410"/>
      <c r="P11" s="410"/>
      <c r="Q11" s="410"/>
      <c r="R11" s="410"/>
      <c r="S11" s="410"/>
      <c r="T11" s="410"/>
      <c r="U11" s="603"/>
      <c r="V11" s="370"/>
      <c r="W11" s="583"/>
      <c r="X11" s="583"/>
      <c r="Y11" s="583"/>
      <c r="Z11" s="583"/>
      <c r="AA11" s="37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332"/>
      <c r="BO11"/>
      <c r="BP11" s="332"/>
      <c r="BQ11" s="332"/>
      <c r="BR11" s="332"/>
      <c r="BS11" s="40"/>
      <c r="BT11" s="332"/>
      <c r="BU11" s="332"/>
      <c r="BV11" s="332"/>
      <c r="BW11" s="332"/>
      <c r="BX11" s="332"/>
      <c r="BY11" s="332"/>
      <c r="BZ11" s="332"/>
      <c r="CA11" s="332"/>
      <c r="CB11" s="345">
        <f>MAX(FQ22:FQ393)</f>
        <v>0</v>
      </c>
      <c r="CD11" s="332"/>
      <c r="CE11" s="332"/>
      <c r="CF11" s="332"/>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40"/>
      <c r="DE11" s="332"/>
      <c r="DF11" s="332"/>
      <c r="DG11" s="332"/>
      <c r="DH11" s="332"/>
      <c r="DI11" s="332"/>
      <c r="DJ11" s="332"/>
      <c r="DK11" s="332"/>
      <c r="DL11" s="40"/>
      <c r="DM11" s="40"/>
      <c r="DN11" s="40"/>
      <c r="DO11" s="332"/>
      <c r="DP11" s="332"/>
      <c r="DQ11" s="332"/>
      <c r="DR11" s="332"/>
      <c r="DS11" s="332"/>
      <c r="DT11" s="332"/>
      <c r="DU11" s="332"/>
      <c r="DV11" s="332"/>
      <c r="DW11" s="332"/>
      <c r="DX11" s="332"/>
      <c r="DY11" s="332"/>
      <c r="DZ11" s="332"/>
      <c r="EA11" s="332"/>
      <c r="EB11" s="40"/>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40"/>
      <c r="FE11" s="40"/>
      <c r="FF11" s="40"/>
      <c r="FG11" s="332"/>
      <c r="FH11" s="332"/>
      <c r="FI11" s="332"/>
      <c r="FJ11" s="332"/>
      <c r="FK11" s="332"/>
      <c r="FL11" s="332"/>
      <c r="FM11" s="332"/>
      <c r="FN11" s="332"/>
      <c r="FO11" s="332"/>
      <c r="FP11" s="332"/>
      <c r="FQ11" s="332"/>
      <c r="FR11" s="332"/>
      <c r="FS11" s="332"/>
      <c r="FT11" s="332"/>
      <c r="FU11" s="332"/>
      <c r="FV11" s="332"/>
      <c r="FW11" s="332"/>
      <c r="FX11" s="332"/>
      <c r="FY11" s="332"/>
      <c r="FZ11" s="332"/>
      <c r="GA11" s="332"/>
      <c r="GB11" s="332"/>
      <c r="GC11" s="332"/>
      <c r="GD11" s="332"/>
      <c r="GE11" s="332"/>
      <c r="GF11" s="332"/>
      <c r="GG11" s="332"/>
      <c r="GH11" s="332"/>
      <c r="GI11" s="332"/>
      <c r="GJ11" s="40"/>
      <c r="GK11" s="332"/>
      <c r="GL11" s="332"/>
      <c r="GM11" s="332"/>
      <c r="GN11" s="332"/>
      <c r="GO11" s="332"/>
      <c r="GP11" s="332"/>
      <c r="GQ11" s="332"/>
      <c r="GR11" s="332"/>
      <c r="GS11" s="332"/>
      <c r="GT11" s="332"/>
      <c r="GU11" s="332"/>
      <c r="GV11" s="332"/>
      <c r="GW11" s="332"/>
      <c r="GY11" s="330"/>
      <c r="GZ11" s="245"/>
      <c r="HA11" s="245"/>
      <c r="HB11" s="245"/>
      <c r="HC11" s="245"/>
      <c r="HD11" s="245"/>
      <c r="HE11" s="245"/>
      <c r="HF11" s="245"/>
      <c r="HG11" s="245"/>
      <c r="HH11" s="245"/>
      <c r="HI11" s="245"/>
      <c r="HJ11" s="245"/>
      <c r="HK11" s="245"/>
      <c r="IL11">
        <v>5</v>
      </c>
      <c r="IM11" s="369" t="s">
        <v>134</v>
      </c>
      <c r="IN11">
        <v>0.5</v>
      </c>
      <c r="IO11">
        <v>2.5</v>
      </c>
      <c r="JB11" s="97"/>
      <c r="JC11" s="97"/>
      <c r="JD11" s="97"/>
      <c r="JE11" s="97"/>
      <c r="JF11" s="97"/>
      <c r="JG11" s="97"/>
    </row>
    <row r="12" spans="1:279" ht="9.75" customHeight="1" thickBot="1">
      <c r="A12" s="409"/>
      <c r="B12" s="410"/>
      <c r="C12" s="410"/>
      <c r="D12" s="410"/>
      <c r="E12" s="410"/>
      <c r="F12" s="410"/>
      <c r="G12" s="410"/>
      <c r="H12" s="410"/>
      <c r="I12" s="410"/>
      <c r="J12" s="410"/>
      <c r="K12" s="410"/>
      <c r="L12" s="410"/>
      <c r="M12" s="410"/>
      <c r="N12" s="410"/>
      <c r="O12" s="410"/>
      <c r="P12" s="410"/>
      <c r="Q12" s="410"/>
      <c r="R12" s="410"/>
      <c r="S12" s="410"/>
      <c r="T12" s="410"/>
      <c r="U12" s="603"/>
      <c r="V12" s="370"/>
      <c r="W12" s="583"/>
      <c r="X12" s="583"/>
      <c r="Y12" s="583"/>
      <c r="Z12" s="583"/>
      <c r="AA12" s="37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375"/>
      <c r="BA12" s="40"/>
      <c r="BB12" s="40"/>
      <c r="BC12" s="40"/>
      <c r="BD12" s="40"/>
      <c r="BE12" s="40"/>
      <c r="BF12" s="40"/>
      <c r="BG12" s="40"/>
      <c r="BH12" s="40"/>
      <c r="BI12" s="40"/>
      <c r="BJ12" s="40"/>
      <c r="BK12" s="40"/>
      <c r="BL12" s="40"/>
      <c r="BM12" s="40"/>
      <c r="BN12" s="428"/>
      <c r="BO12"/>
      <c r="BP12" s="332"/>
      <c r="BQ12" s="332"/>
      <c r="BR12" s="332"/>
      <c r="BS12" s="40"/>
      <c r="BT12" s="332"/>
      <c r="BU12" s="332"/>
      <c r="BV12" s="332"/>
      <c r="BW12" s="332"/>
      <c r="BX12" s="332"/>
      <c r="BY12" s="332"/>
      <c r="BZ12" s="332"/>
      <c r="CA12" s="332"/>
      <c r="CB12" s="332"/>
      <c r="CC12" s="332"/>
      <c r="CD12" s="332"/>
      <c r="CE12" s="332"/>
      <c r="CF12" s="332"/>
      <c r="CG12" s="332"/>
      <c r="CH12" s="332"/>
      <c r="CI12" s="332"/>
      <c r="CJ12" s="332"/>
      <c r="CK12" s="332"/>
      <c r="CL12" s="332"/>
      <c r="CM12" s="332"/>
      <c r="CN12" s="332"/>
      <c r="CO12" s="332"/>
      <c r="CP12" s="332"/>
      <c r="CQ12" s="332"/>
      <c r="CR12" s="332"/>
      <c r="CS12" s="332"/>
      <c r="CT12" s="332"/>
      <c r="CU12" s="332"/>
      <c r="CV12" s="332"/>
      <c r="CW12" s="332"/>
      <c r="CX12" s="332"/>
      <c r="CY12" s="332"/>
      <c r="CZ12" s="332"/>
      <c r="DA12" s="332"/>
      <c r="DB12" s="332"/>
      <c r="DC12" s="332"/>
      <c r="DD12" s="40"/>
      <c r="DE12" s="332"/>
      <c r="DF12" s="332"/>
      <c r="DG12" s="332"/>
      <c r="DH12" s="332"/>
      <c r="DI12" s="332"/>
      <c r="DJ12" s="332"/>
      <c r="DK12" s="332"/>
      <c r="DL12" s="40"/>
      <c r="DM12" s="40"/>
      <c r="DN12" s="40"/>
      <c r="DO12" s="332"/>
      <c r="DP12" s="332"/>
      <c r="DQ12" s="332"/>
      <c r="DR12" s="332"/>
      <c r="DS12" s="332"/>
      <c r="DT12" s="332"/>
      <c r="DU12" s="332"/>
      <c r="DV12" s="332"/>
      <c r="DW12" s="332"/>
      <c r="DX12" s="332"/>
      <c r="DY12" s="332"/>
      <c r="DZ12" s="332"/>
      <c r="EA12" s="332"/>
      <c r="EB12" s="40"/>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40"/>
      <c r="FE12" s="40"/>
      <c r="FF12" s="40"/>
      <c r="FG12" s="332"/>
      <c r="FH12" s="40"/>
      <c r="FI12" s="332"/>
      <c r="FJ12" s="332"/>
      <c r="FK12" s="332"/>
      <c r="FL12" s="332"/>
      <c r="FM12" s="332"/>
      <c r="FN12" s="332"/>
      <c r="FO12" s="332"/>
      <c r="FP12" s="332"/>
      <c r="FQ12" s="332"/>
      <c r="FR12" s="332"/>
      <c r="FS12" s="332"/>
      <c r="FT12" s="332"/>
      <c r="FU12" s="332"/>
      <c r="FV12" s="332"/>
      <c r="FW12" s="332"/>
      <c r="FX12" s="332"/>
      <c r="FY12" s="332"/>
      <c r="FZ12" s="332"/>
      <c r="GA12" s="332"/>
      <c r="GB12" s="332"/>
      <c r="GC12" s="332"/>
      <c r="GD12" s="332"/>
      <c r="GE12" s="332"/>
      <c r="GF12" s="332"/>
      <c r="GG12" s="332"/>
      <c r="GH12" s="332"/>
      <c r="GI12" s="332"/>
      <c r="GJ12" s="40"/>
      <c r="GK12" s="332"/>
      <c r="GL12" s="332"/>
      <c r="GM12" s="332"/>
      <c r="GN12" s="332"/>
      <c r="GO12" s="332"/>
      <c r="GP12" s="332"/>
      <c r="GQ12" s="332"/>
      <c r="GR12" s="332"/>
      <c r="GS12" s="332"/>
      <c r="GT12" s="332"/>
      <c r="GU12" s="332"/>
      <c r="GV12" s="332"/>
      <c r="GW12" s="332"/>
      <c r="GY12" s="330"/>
      <c r="GZ12" s="245"/>
      <c r="HA12" s="245"/>
      <c r="HB12" s="245"/>
      <c r="HC12" s="245"/>
      <c r="HD12" s="245"/>
      <c r="HE12" s="245"/>
      <c r="HF12" s="245"/>
      <c r="HG12" s="245"/>
      <c r="HH12" s="245"/>
      <c r="HI12" s="245"/>
      <c r="HJ12" s="245"/>
      <c r="HK12" s="245"/>
      <c r="IL12">
        <v>6</v>
      </c>
      <c r="IM12" s="369" t="s">
        <v>135</v>
      </c>
      <c r="IN12">
        <v>0.5</v>
      </c>
      <c r="IO12">
        <v>2.5</v>
      </c>
      <c r="JB12" s="97"/>
      <c r="JC12" s="97"/>
      <c r="JD12" s="97"/>
      <c r="JE12" s="97"/>
      <c r="JF12" s="97"/>
      <c r="JG12" s="97"/>
    </row>
    <row r="13" spans="1:279" ht="18.75" customHeight="1" thickTop="1" thickBot="1">
      <c r="A13" s="409"/>
      <c r="B13" s="410"/>
      <c r="C13" s="410"/>
      <c r="D13" s="410"/>
      <c r="E13" s="410"/>
      <c r="F13" s="418">
        <v>55</v>
      </c>
      <c r="G13" s="410"/>
      <c r="H13" s="419">
        <v>70</v>
      </c>
      <c r="I13" s="410"/>
      <c r="J13" s="410"/>
      <c r="K13" s="410"/>
      <c r="L13" s="410"/>
      <c r="M13" s="419">
        <v>10</v>
      </c>
      <c r="N13" s="410"/>
      <c r="O13" s="410"/>
      <c r="P13" s="412">
        <v>0.71</v>
      </c>
      <c r="Q13" s="410"/>
      <c r="R13" s="410"/>
      <c r="S13" s="413">
        <v>0</v>
      </c>
      <c r="T13" s="410"/>
      <c r="U13" s="603"/>
      <c r="V13" s="370"/>
      <c r="W13" s="583"/>
      <c r="X13" s="583"/>
      <c r="Y13" s="583"/>
      <c r="Z13" s="583"/>
      <c r="AA13" s="37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741"/>
      <c r="BE13" s="742"/>
      <c r="BF13" s="742"/>
      <c r="BG13" s="742"/>
      <c r="BH13" s="742"/>
      <c r="BI13" s="742"/>
      <c r="BJ13" s="742"/>
      <c r="BK13" s="742"/>
      <c r="BL13" s="742"/>
      <c r="BM13" s="742"/>
      <c r="BN13" s="332"/>
      <c r="BO13"/>
      <c r="BP13" s="332"/>
      <c r="BQ13" s="653"/>
      <c r="BR13" s="653"/>
      <c r="BS13" s="653"/>
      <c r="BT13" s="653"/>
      <c r="BU13" s="332"/>
      <c r="BV13" s="332"/>
      <c r="BW13" s="332"/>
      <c r="BX13" s="332"/>
      <c r="BY13" s="332"/>
      <c r="BZ13" s="332"/>
      <c r="CA13" s="332"/>
      <c r="CB13" s="332"/>
      <c r="CC13" s="332"/>
      <c r="CD13" s="332"/>
      <c r="CE13" s="332"/>
      <c r="CF13" s="332"/>
      <c r="CG13" s="332"/>
      <c r="CH13" s="332"/>
      <c r="CI13" s="332"/>
      <c r="CJ13" s="332"/>
      <c r="CK13" s="332"/>
      <c r="CL13" s="332"/>
      <c r="CM13" s="332"/>
      <c r="CN13" s="332"/>
      <c r="CO13" s="332"/>
      <c r="CP13" s="332"/>
      <c r="CQ13" s="332"/>
      <c r="CR13" s="332"/>
      <c r="CS13" s="332"/>
      <c r="CT13" s="332"/>
      <c r="CU13" s="332"/>
      <c r="CV13" s="332"/>
      <c r="CW13" s="332"/>
      <c r="CX13" s="332"/>
      <c r="CY13" s="332"/>
      <c r="CZ13" s="332"/>
      <c r="DA13" s="332"/>
      <c r="DB13" s="332"/>
      <c r="DC13" s="332"/>
      <c r="DD13" s="40"/>
      <c r="DE13" s="332"/>
      <c r="DF13" s="332"/>
      <c r="DG13" s="332"/>
      <c r="DH13" s="332"/>
      <c r="DI13" s="332"/>
      <c r="DJ13" s="332"/>
      <c r="DK13" s="332"/>
      <c r="DL13" s="40"/>
      <c r="DM13" s="40"/>
      <c r="DN13" s="40"/>
      <c r="DO13" s="332"/>
      <c r="DP13" s="332"/>
      <c r="DQ13" s="332"/>
      <c r="DR13" s="332"/>
      <c r="DS13" s="332"/>
      <c r="DT13" s="332"/>
      <c r="DU13" s="332"/>
      <c r="DV13" s="332"/>
      <c r="DW13" s="332"/>
      <c r="DX13" s="332"/>
      <c r="DY13" s="332"/>
      <c r="DZ13" s="332"/>
      <c r="EA13" s="332"/>
      <c r="EB13" s="40"/>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40"/>
      <c r="FE13" s="40"/>
      <c r="FF13" s="40"/>
      <c r="FG13" s="332"/>
      <c r="FH13" s="40"/>
      <c r="FI13" s="332"/>
      <c r="FJ13" s="332"/>
      <c r="FK13" s="332"/>
      <c r="FL13" s="332"/>
      <c r="FM13" s="332"/>
      <c r="FN13" s="332"/>
      <c r="FO13" s="332"/>
      <c r="FP13" s="332"/>
      <c r="FQ13" s="332"/>
      <c r="FR13" s="332"/>
      <c r="FS13" s="332"/>
      <c r="FT13" s="332"/>
      <c r="FU13" s="332"/>
      <c r="FV13" s="332"/>
      <c r="FW13" s="332"/>
      <c r="FX13" s="332"/>
      <c r="FY13" s="332"/>
      <c r="FZ13" s="332"/>
      <c r="GA13" s="332"/>
      <c r="GB13" s="332"/>
      <c r="GC13" s="332"/>
      <c r="GD13" s="332"/>
      <c r="GE13" s="332"/>
      <c r="GF13" s="332"/>
      <c r="GG13" s="332"/>
      <c r="GH13" s="332"/>
      <c r="GI13" s="332"/>
      <c r="GJ13" s="40"/>
      <c r="GK13" s="332"/>
      <c r="GL13" s="332"/>
      <c r="GM13" s="332"/>
      <c r="GN13" s="332"/>
      <c r="GO13" s="332"/>
      <c r="GP13" s="332"/>
      <c r="GQ13" s="332"/>
      <c r="GR13" s="332" t="str">
        <f>MID(BO23,12,1)</f>
        <v/>
      </c>
      <c r="GS13" s="332"/>
      <c r="GT13" s="332"/>
      <c r="GU13" s="332"/>
      <c r="GV13" s="332"/>
      <c r="GW13" s="332"/>
      <c r="GY13" s="330"/>
      <c r="GZ13" s="245"/>
      <c r="HA13" s="245"/>
      <c r="HB13" s="245"/>
      <c r="HC13" s="245"/>
      <c r="HD13" s="245"/>
      <c r="HE13" s="245"/>
      <c r="HF13" s="245"/>
      <c r="HG13" s="245"/>
      <c r="HH13" s="245"/>
      <c r="HI13" s="245"/>
      <c r="HJ13" s="245"/>
      <c r="HK13" s="245"/>
      <c r="IG13" s="282"/>
      <c r="IH13" s="282"/>
      <c r="II13" s="282"/>
      <c r="IJ13" s="282"/>
      <c r="IK13" s="282"/>
      <c r="IL13">
        <v>7</v>
      </c>
      <c r="IM13" s="369" t="s">
        <v>136</v>
      </c>
      <c r="IN13">
        <v>0.5</v>
      </c>
      <c r="IO13">
        <v>2.5</v>
      </c>
      <c r="JB13" s="97"/>
      <c r="JC13" s="97"/>
      <c r="JD13" s="97"/>
      <c r="JE13" s="97"/>
      <c r="JF13" s="97"/>
      <c r="JG13" s="97"/>
      <c r="JP13" s="634"/>
      <c r="JQ13" s="634"/>
      <c r="JR13" s="634"/>
      <c r="JS13" s="634"/>
    </row>
    <row r="14" spans="1:279" ht="18.75" customHeight="1" thickTop="1" thickBot="1">
      <c r="A14" s="409"/>
      <c r="B14" s="410"/>
      <c r="C14" s="410"/>
      <c r="D14" s="680" t="s">
        <v>495</v>
      </c>
      <c r="E14" s="681"/>
      <c r="F14" s="414">
        <v>48</v>
      </c>
      <c r="G14" s="410"/>
      <c r="H14" s="410"/>
      <c r="I14" s="410"/>
      <c r="J14" s="410"/>
      <c r="K14" s="410"/>
      <c r="L14" s="410"/>
      <c r="M14" s="410"/>
      <c r="N14" s="410"/>
      <c r="O14" s="410"/>
      <c r="P14" s="420">
        <v>35</v>
      </c>
      <c r="Q14" s="410"/>
      <c r="R14" s="410"/>
      <c r="S14" s="416">
        <f>(1-(S13*6.8754*10^-6))^5.2559</f>
        <v>1</v>
      </c>
      <c r="T14" s="410"/>
      <c r="U14" s="603"/>
      <c r="V14" s="370"/>
      <c r="W14" s="724"/>
      <c r="X14" s="724"/>
      <c r="Y14" s="724"/>
      <c r="Z14" s="724"/>
      <c r="AA14" s="724"/>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743" t="s">
        <v>510</v>
      </c>
      <c r="BE14" s="743"/>
      <c r="BF14" s="743"/>
      <c r="BG14" s="743"/>
      <c r="BH14" s="743"/>
      <c r="BI14" s="743"/>
      <c r="BJ14" s="743"/>
      <c r="BK14" s="743"/>
      <c r="BL14" s="743"/>
      <c r="BM14" s="743"/>
      <c r="BN14" s="332"/>
      <c r="BO14" s="332"/>
      <c r="BP14" s="332"/>
      <c r="BQ14" s="332"/>
      <c r="BR14" s="332"/>
      <c r="BS14" s="40"/>
      <c r="BT14" s="332"/>
      <c r="BU14" s="332"/>
      <c r="BV14" s="332"/>
      <c r="BW14" s="332"/>
      <c r="BX14" s="332"/>
      <c r="BY14" s="332"/>
      <c r="BZ14" s="332"/>
      <c r="CA14" s="332"/>
      <c r="CB14" s="332"/>
      <c r="CC14" s="332"/>
      <c r="CD14" s="332"/>
      <c r="CE14" s="332"/>
      <c r="CF14" s="332"/>
      <c r="CG14" s="332"/>
      <c r="CH14" s="332"/>
      <c r="CI14" s="332"/>
      <c r="CJ14" s="332"/>
      <c r="CK14" s="332"/>
      <c r="CL14" s="332"/>
      <c r="CM14" s="332"/>
      <c r="CN14" s="332"/>
      <c r="CO14" s="332"/>
      <c r="CP14" s="332"/>
      <c r="CQ14" s="332"/>
      <c r="CR14" s="332"/>
      <c r="CS14" s="332"/>
      <c r="CT14" s="332"/>
      <c r="CU14" s="332"/>
      <c r="CV14" s="332"/>
      <c r="CW14" s="332"/>
      <c r="CX14" s="332"/>
      <c r="CY14" s="332"/>
      <c r="CZ14" s="332"/>
      <c r="DA14" s="332"/>
      <c r="DB14" s="332"/>
      <c r="DC14" s="332"/>
      <c r="DD14" s="40"/>
      <c r="DE14" s="332"/>
      <c r="DF14" s="332"/>
      <c r="DG14" s="332"/>
      <c r="DH14" s="332"/>
      <c r="DI14" s="332"/>
      <c r="DJ14" s="332"/>
      <c r="DK14" s="332"/>
      <c r="DL14" s="40"/>
      <c r="DM14" s="40"/>
      <c r="DN14" s="40"/>
      <c r="DO14" s="332"/>
      <c r="DP14" s="332"/>
      <c r="DQ14" s="332"/>
      <c r="DR14" s="332"/>
      <c r="DS14" s="332"/>
      <c r="DT14" s="332"/>
      <c r="DU14" s="332"/>
      <c r="DV14" s="332"/>
      <c r="DW14" s="332"/>
      <c r="DX14" s="332"/>
      <c r="DY14" s="332"/>
      <c r="DZ14" s="332"/>
      <c r="EA14" s="332"/>
      <c r="EB14" s="40"/>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40"/>
      <c r="FE14" s="40"/>
      <c r="FF14" s="40"/>
      <c r="FG14" s="332"/>
      <c r="FH14" s="40"/>
      <c r="FI14" s="332"/>
      <c r="FJ14" s="332"/>
      <c r="FK14" s="332"/>
      <c r="FL14" s="332"/>
      <c r="FM14" s="332"/>
      <c r="FN14" s="332"/>
      <c r="FO14" s="332"/>
      <c r="FP14" s="332"/>
      <c r="FQ14" s="332"/>
      <c r="FR14" s="332"/>
      <c r="FS14" s="332"/>
      <c r="FT14" s="332"/>
      <c r="FU14" s="332"/>
      <c r="FV14" s="332"/>
      <c r="FW14" s="332"/>
      <c r="FX14" s="332"/>
      <c r="FY14" s="332"/>
      <c r="FZ14" s="332"/>
      <c r="GA14" s="332"/>
      <c r="GB14" s="332"/>
      <c r="GC14" s="332"/>
      <c r="GD14" s="332"/>
      <c r="GE14" s="332"/>
      <c r="GF14" s="332"/>
      <c r="GG14" s="332"/>
      <c r="GH14" s="332"/>
      <c r="GI14" s="332"/>
      <c r="GJ14" s="40"/>
      <c r="GK14" s="332"/>
      <c r="GL14" s="332"/>
      <c r="GM14" s="332"/>
      <c r="GN14" s="332"/>
      <c r="GO14" s="332"/>
      <c r="GP14" s="332"/>
      <c r="GQ14" s="332"/>
      <c r="GR14" s="625"/>
      <c r="GS14" s="332"/>
      <c r="GT14" s="332"/>
      <c r="GU14" s="332"/>
      <c r="GV14" s="332"/>
      <c r="GW14" s="332"/>
      <c r="GY14" s="330"/>
      <c r="GZ14" s="245"/>
      <c r="HA14" s="245"/>
      <c r="HB14" s="245"/>
      <c r="HC14" s="245"/>
      <c r="HD14" s="245"/>
      <c r="HE14" s="245"/>
      <c r="HF14" s="245"/>
      <c r="HG14" s="245"/>
      <c r="HH14" s="245"/>
      <c r="HI14" s="245"/>
      <c r="HJ14" s="245"/>
      <c r="HK14" s="245"/>
      <c r="IG14" s="282"/>
      <c r="IH14" s="282"/>
      <c r="II14" s="282"/>
      <c r="IJ14" s="281"/>
      <c r="IK14" s="282"/>
      <c r="IL14">
        <v>8</v>
      </c>
      <c r="IM14" s="369" t="s">
        <v>137</v>
      </c>
      <c r="IN14">
        <v>0.5</v>
      </c>
      <c r="IO14">
        <v>2.5</v>
      </c>
      <c r="IX14" s="256"/>
      <c r="IY14" s="256"/>
      <c r="JA14" s="256"/>
      <c r="JB14" s="119"/>
      <c r="JC14" s="119"/>
      <c r="JD14" s="119"/>
      <c r="JE14" s="119"/>
      <c r="JF14" s="119"/>
      <c r="JG14" s="119"/>
      <c r="JP14" s="634"/>
      <c r="JQ14" s="634"/>
      <c r="JR14" s="634"/>
      <c r="JS14" s="634"/>
    </row>
    <row r="15" spans="1:279" ht="19.5" customHeight="1" thickTop="1" thickBot="1">
      <c r="A15" s="409"/>
      <c r="B15" s="410"/>
      <c r="C15" s="410"/>
      <c r="D15" s="410"/>
      <c r="E15" s="410"/>
      <c r="F15" s="410"/>
      <c r="G15" s="410"/>
      <c r="H15" s="410"/>
      <c r="I15" s="410"/>
      <c r="J15" s="410"/>
      <c r="K15" s="410"/>
      <c r="L15" s="410"/>
      <c r="M15" s="410"/>
      <c r="N15" s="410"/>
      <c r="O15" s="410"/>
      <c r="P15" s="410"/>
      <c r="Q15" s="410"/>
      <c r="R15" s="410"/>
      <c r="S15" s="410"/>
      <c r="T15" s="410"/>
      <c r="U15" s="603"/>
      <c r="V15" s="40"/>
      <c r="W15" s="371"/>
      <c r="X15" s="371">
        <v>13</v>
      </c>
      <c r="Y15" s="371"/>
      <c r="Z15" s="371"/>
      <c r="AA15" s="371"/>
      <c r="AB15" s="371"/>
      <c r="BB15" s="247"/>
      <c r="BC15" s="40"/>
      <c r="BD15" s="743"/>
      <c r="BE15" s="743"/>
      <c r="BF15" s="743"/>
      <c r="BG15" s="743"/>
      <c r="BH15" s="743"/>
      <c r="BI15" s="743"/>
      <c r="BJ15" s="743"/>
      <c r="BK15" s="743"/>
      <c r="BL15" s="743"/>
      <c r="BM15" s="743"/>
      <c r="BN15" s="332"/>
      <c r="BO15" s="332"/>
      <c r="BP15" s="332"/>
      <c r="BQ15" s="365">
        <f>BR8</f>
        <v>1</v>
      </c>
      <c r="BR15" s="365">
        <f>BS8*BT8*BU8</f>
        <v>1</v>
      </c>
      <c r="BS15" s="40">
        <f>BV8*BX8</f>
        <v>0.7142857142857143</v>
      </c>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40"/>
      <c r="DE15" s="332"/>
      <c r="DF15" s="332"/>
      <c r="DG15" s="332"/>
      <c r="DH15" s="332"/>
      <c r="DI15" s="332"/>
      <c r="DJ15" s="332"/>
      <c r="DK15" s="332"/>
      <c r="DL15" s="40"/>
      <c r="DM15" s="40"/>
      <c r="DN15" s="40"/>
      <c r="DO15" s="332"/>
      <c r="DP15" s="332"/>
      <c r="DQ15" s="332"/>
      <c r="DR15" s="332"/>
      <c r="DS15" s="332"/>
      <c r="DT15" s="332"/>
      <c r="DU15" s="332"/>
      <c r="DV15" s="332"/>
      <c r="DW15" s="332"/>
      <c r="DX15" s="332"/>
      <c r="DY15" s="332"/>
      <c r="DZ15" s="332"/>
      <c r="EA15" s="332"/>
      <c r="EB15" s="40"/>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40"/>
      <c r="FE15" s="40"/>
      <c r="FF15" s="40"/>
      <c r="FG15" s="332"/>
      <c r="FH15" s="40"/>
      <c r="FI15" s="332"/>
      <c r="FJ15" s="332"/>
      <c r="FK15" s="332"/>
      <c r="FL15" s="332"/>
      <c r="FM15" s="332"/>
      <c r="FN15" s="332"/>
      <c r="FO15" s="332"/>
      <c r="FP15" s="332"/>
      <c r="FQ15" s="332"/>
      <c r="FR15" s="332"/>
      <c r="FS15" s="332"/>
      <c r="FT15" s="332"/>
      <c r="FU15" s="332"/>
      <c r="FV15" s="332"/>
      <c r="FW15" s="332"/>
      <c r="FX15" s="332"/>
      <c r="FY15" s="332"/>
      <c r="FZ15" s="332"/>
      <c r="GA15" s="332"/>
      <c r="GB15" s="332"/>
      <c r="GC15" s="332"/>
      <c r="GD15" s="332"/>
      <c r="GE15" s="332"/>
      <c r="GF15" s="332"/>
      <c r="GG15" s="332"/>
      <c r="GH15" s="332"/>
      <c r="GI15" s="332"/>
      <c r="GJ15" s="40"/>
      <c r="GK15" s="332"/>
      <c r="GL15" s="332"/>
      <c r="GM15" s="332"/>
      <c r="GN15" s="332"/>
      <c r="GO15" s="332"/>
      <c r="GP15" s="332"/>
      <c r="GQ15" s="332"/>
      <c r="GR15" s="347"/>
      <c r="GS15" s="332"/>
      <c r="GT15" s="347"/>
      <c r="GU15" s="332"/>
      <c r="GV15" s="332"/>
      <c r="GW15" s="332"/>
      <c r="GY15" s="330"/>
      <c r="GZ15" s="245"/>
      <c r="HA15" s="245"/>
      <c r="HB15" s="245"/>
      <c r="HC15" s="245"/>
      <c r="HD15" s="245"/>
      <c r="HE15" s="245"/>
      <c r="HF15" s="245"/>
      <c r="HG15" s="245"/>
      <c r="HH15" s="245"/>
      <c r="HI15" s="245"/>
      <c r="HJ15" s="245"/>
      <c r="HK15" s="245"/>
      <c r="IG15" s="282"/>
      <c r="IH15" s="282"/>
      <c r="II15" s="282"/>
      <c r="IJ15" s="283"/>
      <c r="IK15" s="283"/>
      <c r="IL15">
        <v>9</v>
      </c>
      <c r="IM15" s="373" t="s">
        <v>138</v>
      </c>
      <c r="IN15">
        <v>0.5</v>
      </c>
      <c r="IO15">
        <v>1.9</v>
      </c>
      <c r="IX15" s="256"/>
      <c r="IY15" s="256"/>
      <c r="JA15" s="256"/>
      <c r="JB15" s="119"/>
      <c r="JC15" s="119"/>
      <c r="JD15" s="119"/>
      <c r="JE15" s="119"/>
      <c r="JF15" s="119"/>
      <c r="JG15" s="119"/>
      <c r="JP15" s="634"/>
      <c r="JQ15" s="634"/>
      <c r="JR15" s="634"/>
      <c r="JS15" s="634"/>
    </row>
    <row r="16" spans="1:279" ht="36" customHeight="1" thickTop="1">
      <c r="B16" s="403"/>
      <c r="C16" s="403"/>
      <c r="D16" s="404"/>
      <c r="E16" s="404"/>
      <c r="F16" s="404"/>
      <c r="G16" s="404"/>
      <c r="H16" s="404"/>
      <c r="I16" s="404"/>
      <c r="J16" s="404"/>
      <c r="K16" s="404"/>
      <c r="L16" s="404"/>
      <c r="M16" s="404"/>
      <c r="N16" s="404"/>
      <c r="O16" s="404"/>
      <c r="P16" s="405"/>
      <c r="Q16" s="406"/>
      <c r="R16" s="407"/>
      <c r="S16" s="406"/>
      <c r="T16" s="403"/>
      <c r="V16" s="40"/>
      <c r="W16" s="290" t="s">
        <v>302</v>
      </c>
      <c r="X16" s="285"/>
      <c r="Y16" s="285"/>
      <c r="Z16" s="783" t="str">
        <f>IF(AND($CB$3&gt;0,$CB$4&gt;0),CONCATENATE($CB$6,"",CB$3," ",$CB$4," ",$CB$5),"")</f>
        <v xml:space="preserve">  </v>
      </c>
      <c r="AA16" s="783"/>
      <c r="AB16" s="783"/>
      <c r="AC16" s="783"/>
      <c r="AD16" s="783"/>
      <c r="AE16" s="783"/>
      <c r="AF16" s="783"/>
      <c r="AG16" s="783"/>
      <c r="AH16" s="783"/>
      <c r="AI16" s="783"/>
      <c r="AJ16" s="783"/>
      <c r="AK16" s="783"/>
      <c r="AL16" s="783"/>
      <c r="AM16" s="783"/>
      <c r="AN16" s="783"/>
      <c r="AO16" s="783"/>
      <c r="AP16" s="285"/>
      <c r="AQ16" s="285"/>
      <c r="AR16" s="285"/>
      <c r="AS16" s="285"/>
      <c r="AT16" s="285"/>
      <c r="AU16" s="285"/>
      <c r="AV16" s="285"/>
      <c r="AW16" s="285"/>
      <c r="AX16" s="285"/>
      <c r="AY16" s="285"/>
      <c r="AZ16" s="285"/>
      <c r="BA16" s="285"/>
      <c r="BB16" s="40"/>
      <c r="BC16" s="40"/>
      <c r="BD16" s="40"/>
      <c r="BE16" s="40"/>
      <c r="BF16" s="40"/>
      <c r="BG16" s="40"/>
      <c r="BH16" s="40"/>
      <c r="BI16" s="40"/>
      <c r="BJ16" s="40"/>
      <c r="BK16" s="40"/>
      <c r="BL16" s="40"/>
      <c r="BM16" s="40"/>
      <c r="BN16" s="332"/>
      <c r="BO16" s="332"/>
      <c r="BP16" s="332"/>
      <c r="BQ16" s="332"/>
      <c r="BR16" s="332"/>
      <c r="BS16" s="40"/>
      <c r="BT16" s="332"/>
      <c r="BU16" s="332"/>
      <c r="BV16" s="332"/>
      <c r="BW16" s="332"/>
      <c r="BX16" s="332"/>
      <c r="BY16" s="332"/>
      <c r="BZ16" s="332"/>
      <c r="CA16" s="332"/>
      <c r="CB16" s="332"/>
      <c r="CC16" s="332"/>
      <c r="CD16" s="40"/>
      <c r="CE16" s="40"/>
      <c r="CF16" s="40"/>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40"/>
      <c r="DC16" s="332"/>
      <c r="DD16" s="40"/>
      <c r="DE16" s="332"/>
      <c r="DF16" s="332"/>
      <c r="DG16" s="332"/>
      <c r="DH16" s="332"/>
      <c r="DI16" s="332"/>
      <c r="DJ16" s="332"/>
      <c r="DK16" s="332"/>
      <c r="DL16" s="40"/>
      <c r="DM16" s="40"/>
      <c r="DN16" s="40"/>
      <c r="DO16" s="332"/>
      <c r="DP16" s="332"/>
      <c r="DQ16" s="332"/>
      <c r="DR16" s="332"/>
      <c r="DS16" s="332"/>
      <c r="DT16" s="332"/>
      <c r="DU16" s="332"/>
      <c r="DV16" s="332"/>
      <c r="DW16" s="332"/>
      <c r="DX16" s="332"/>
      <c r="DY16" s="332"/>
      <c r="DZ16" s="332"/>
      <c r="EA16" s="332"/>
      <c r="EB16" s="40"/>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40"/>
      <c r="FE16" s="40"/>
      <c r="FF16" s="40"/>
      <c r="FG16" s="332"/>
      <c r="FH16" s="40"/>
      <c r="FI16" s="332"/>
      <c r="FJ16" s="332"/>
      <c r="FK16" s="332"/>
      <c r="FL16" s="332"/>
      <c r="FM16" s="332"/>
      <c r="FN16" s="332"/>
      <c r="FO16" s="332"/>
      <c r="FP16" s="332"/>
      <c r="FQ16" s="332"/>
      <c r="FR16" s="332"/>
      <c r="FS16" s="332"/>
      <c r="FT16" s="332"/>
      <c r="FU16" s="332"/>
      <c r="FV16" s="332"/>
      <c r="FW16" s="332"/>
      <c r="FX16" s="332"/>
      <c r="FY16" s="332"/>
      <c r="FZ16" s="332"/>
      <c r="GA16" s="332"/>
      <c r="GB16" s="332"/>
      <c r="GC16" s="332"/>
      <c r="GD16" s="332"/>
      <c r="GE16" s="332"/>
      <c r="GF16" s="332"/>
      <c r="GG16" s="332"/>
      <c r="GH16" s="332"/>
      <c r="GI16" s="40"/>
      <c r="GJ16" s="40"/>
      <c r="GK16" s="332"/>
      <c r="GL16" s="332"/>
      <c r="GM16" s="332"/>
      <c r="GN16" s="332"/>
      <c r="GO16" s="332"/>
      <c r="GP16" s="332"/>
      <c r="GQ16" s="332"/>
      <c r="GR16" s="332"/>
      <c r="GS16" s="332"/>
      <c r="GT16" s="332"/>
      <c r="GU16" s="332"/>
      <c r="GV16" s="332"/>
      <c r="GW16" s="332"/>
      <c r="GY16" s="330"/>
      <c r="GZ16" s="245"/>
      <c r="HA16" s="245"/>
      <c r="HB16" s="245"/>
      <c r="HC16" s="245"/>
      <c r="HD16" s="245"/>
      <c r="HE16" s="245"/>
      <c r="HF16" s="245"/>
      <c r="HG16" s="245"/>
      <c r="HH16" s="245"/>
      <c r="HI16" s="245"/>
      <c r="HJ16" s="245"/>
      <c r="HK16" s="245"/>
      <c r="IG16" s="282"/>
      <c r="IH16" s="282"/>
      <c r="II16" s="282"/>
      <c r="IJ16" s="283"/>
      <c r="IK16" s="283"/>
      <c r="IL16">
        <v>10</v>
      </c>
      <c r="IM16" s="373" t="s">
        <v>541</v>
      </c>
      <c r="IN16">
        <v>1</v>
      </c>
      <c r="IO16">
        <v>2.5</v>
      </c>
      <c r="IX16" s="256"/>
      <c r="IY16" s="256"/>
      <c r="JA16" s="256"/>
      <c r="JB16" s="119"/>
      <c r="JC16" s="119"/>
      <c r="JD16" s="119"/>
      <c r="JE16" s="119"/>
      <c r="JF16" s="119"/>
      <c r="JG16" s="119"/>
      <c r="JP16" s="634"/>
      <c r="JQ16" s="634"/>
      <c r="JR16" s="634"/>
      <c r="JS16" s="634"/>
    </row>
    <row r="17" spans="1:321" ht="20.100000000000001" customHeight="1">
      <c r="B17" s="685" t="s">
        <v>105</v>
      </c>
      <c r="C17" s="687"/>
      <c r="D17" s="685" t="s">
        <v>86</v>
      </c>
      <c r="E17" s="686"/>
      <c r="F17" s="686"/>
      <c r="G17" s="686"/>
      <c r="H17" s="687"/>
      <c r="J17" s="685" t="s">
        <v>104</v>
      </c>
      <c r="K17" s="686"/>
      <c r="L17" s="686"/>
      <c r="M17" s="686"/>
      <c r="N17" s="686"/>
      <c r="O17" s="686"/>
      <c r="P17" s="686"/>
      <c r="Q17" s="686"/>
      <c r="R17" s="686"/>
      <c r="S17" s="686"/>
      <c r="T17" s="686"/>
      <c r="U17" s="687"/>
      <c r="W17" s="688" t="s">
        <v>100</v>
      </c>
      <c r="X17" s="689"/>
      <c r="Y17" s="689"/>
      <c r="Z17" s="689"/>
      <c r="AA17" s="689"/>
      <c r="AB17" s="689"/>
      <c r="AC17" s="689"/>
      <c r="AD17" s="689"/>
      <c r="AE17" s="689"/>
      <c r="AF17" s="689"/>
      <c r="AG17" s="689"/>
      <c r="AH17" s="689"/>
      <c r="AI17" s="690"/>
      <c r="AJ17" s="612"/>
      <c r="AK17" s="688" t="s">
        <v>99</v>
      </c>
      <c r="AL17" s="689"/>
      <c r="AM17" s="689"/>
      <c r="AN17" s="689"/>
      <c r="AO17" s="689"/>
      <c r="AP17" s="689"/>
      <c r="AQ17" s="689"/>
      <c r="AR17" s="689"/>
      <c r="AS17" s="689"/>
      <c r="AT17" s="689"/>
      <c r="AU17" s="689"/>
      <c r="AV17" s="689"/>
      <c r="AW17" s="689"/>
      <c r="AX17" s="689"/>
      <c r="AY17" s="689"/>
      <c r="AZ17" s="689"/>
      <c r="BA17" s="689"/>
      <c r="BB17" s="690"/>
      <c r="BC17" s="231"/>
      <c r="BD17" s="685" t="s">
        <v>281</v>
      </c>
      <c r="BE17" s="686"/>
      <c r="BF17" s="686"/>
      <c r="BG17" s="687"/>
      <c r="BH17" s="685" t="s">
        <v>280</v>
      </c>
      <c r="BI17" s="686"/>
      <c r="BJ17" s="686"/>
      <c r="BK17" s="686"/>
      <c r="BL17" s="686"/>
      <c r="BM17" s="687"/>
      <c r="BN17" s="333"/>
      <c r="BO17" s="376"/>
      <c r="BP17" s="376"/>
      <c r="BQ17" s="376"/>
      <c r="BV17"/>
      <c r="BW17"/>
      <c r="BX17"/>
      <c r="BY17"/>
      <c r="BZ17"/>
      <c r="CA17"/>
      <c r="CB17"/>
      <c r="CC17"/>
      <c r="CD17"/>
      <c r="CE17"/>
      <c r="CF17"/>
      <c r="CG17"/>
      <c r="CH17"/>
      <c r="CI17"/>
      <c r="CJ17"/>
      <c r="CK17"/>
      <c r="CL17"/>
      <c r="CM17"/>
      <c r="CN17"/>
      <c r="CO17"/>
      <c r="CP17"/>
      <c r="CQ17"/>
      <c r="CR17" s="589"/>
      <c r="CS17" s="430"/>
      <c r="CT17" s="430"/>
      <c r="CU17" s="430"/>
      <c r="CV17" s="430"/>
      <c r="CW17" s="430"/>
      <c r="CX17" s="430"/>
      <c r="CY17" s="430"/>
      <c r="CZ17" s="430"/>
      <c r="DA17" s="430"/>
      <c r="DB17" s="371"/>
      <c r="DC17" s="43"/>
      <c r="DD17" s="43"/>
      <c r="DE17" s="43"/>
      <c r="DF17" s="43"/>
      <c r="DG17" s="43"/>
      <c r="DH17" s="371"/>
      <c r="DI17" s="371"/>
      <c r="DJ17" s="371"/>
      <c r="DK17" s="371"/>
      <c r="DL17" s="371"/>
      <c r="DM17" s="371"/>
      <c r="DN17" s="371"/>
      <c r="FD17" s="371"/>
      <c r="FE17" s="371"/>
      <c r="FF17" s="371"/>
      <c r="FH17" s="371"/>
      <c r="FR17" s="647"/>
      <c r="FS17" s="647"/>
      <c r="FT17" s="647"/>
      <c r="FU17" s="647"/>
      <c r="FV17" s="647"/>
      <c r="FW17" s="647"/>
      <c r="FX17" s="647"/>
      <c r="FY17" s="647"/>
      <c r="FZ17" s="647"/>
      <c r="GA17" s="647"/>
      <c r="GB17" s="647"/>
      <c r="GC17" s="647"/>
      <c r="GD17" s="647"/>
      <c r="GE17" s="647"/>
      <c r="GF17" s="647"/>
      <c r="GG17" s="647"/>
      <c r="GH17" s="346"/>
      <c r="GI17" s="371"/>
      <c r="GY17" s="330"/>
      <c r="GZ17" s="245"/>
      <c r="HA17" s="245"/>
      <c r="HB17" s="245"/>
      <c r="HC17" s="245"/>
      <c r="HD17" s="245"/>
      <c r="HE17" s="245"/>
      <c r="HF17" s="245"/>
      <c r="HG17" s="245"/>
      <c r="HH17" s="245"/>
      <c r="HI17" s="245"/>
      <c r="HJ17" s="245"/>
      <c r="HK17" s="245"/>
      <c r="IG17" s="282"/>
      <c r="IH17" s="282"/>
      <c r="II17" s="282"/>
      <c r="IJ17" s="283"/>
      <c r="IK17" s="283"/>
      <c r="IL17">
        <v>11</v>
      </c>
      <c r="IM17" s="373" t="s">
        <v>531</v>
      </c>
      <c r="IN17">
        <v>1</v>
      </c>
      <c r="IO17">
        <v>2.5</v>
      </c>
      <c r="IX17" s="256"/>
      <c r="IY17" s="256"/>
      <c r="IZ17" s="256"/>
      <c r="JA17" s="256"/>
      <c r="JB17" s="119"/>
      <c r="JC17" s="119"/>
      <c r="JD17" s="119"/>
      <c r="JE17" s="119"/>
      <c r="JF17" s="119"/>
      <c r="JG17" s="119"/>
      <c r="JP17" s="634"/>
      <c r="JQ17" s="634"/>
      <c r="JR17" s="634"/>
      <c r="JS17" s="634"/>
    </row>
    <row r="18" spans="1:321" ht="13.5" customHeight="1">
      <c r="A18" s="755" t="s">
        <v>461</v>
      </c>
      <c r="B18" s="769" t="s">
        <v>459</v>
      </c>
      <c r="C18" s="770" t="s">
        <v>230</v>
      </c>
      <c r="D18" s="756" t="s">
        <v>28</v>
      </c>
      <c r="E18" s="771" t="s">
        <v>84</v>
      </c>
      <c r="F18" s="773" t="s">
        <v>85</v>
      </c>
      <c r="G18" s="766" t="s">
        <v>1</v>
      </c>
      <c r="H18" s="716" t="s">
        <v>245</v>
      </c>
      <c r="I18" s="67"/>
      <c r="J18" s="691" t="s">
        <v>87</v>
      </c>
      <c r="K18" s="775" t="s">
        <v>209</v>
      </c>
      <c r="L18" s="777" t="s">
        <v>91</v>
      </c>
      <c r="M18" s="752" t="s">
        <v>126</v>
      </c>
      <c r="N18" s="752" t="s">
        <v>248</v>
      </c>
      <c r="O18" s="691" t="s">
        <v>128</v>
      </c>
      <c r="P18" s="691" t="s">
        <v>540</v>
      </c>
      <c r="Q18" s="764" t="s">
        <v>113</v>
      </c>
      <c r="R18" s="740" t="s">
        <v>101</v>
      </c>
      <c r="S18" s="737" t="s">
        <v>92</v>
      </c>
      <c r="T18" s="771" t="s">
        <v>102</v>
      </c>
      <c r="U18" s="750" t="s">
        <v>103</v>
      </c>
      <c r="W18" s="725" t="s">
        <v>101</v>
      </c>
      <c r="X18" s="762" t="s">
        <v>463</v>
      </c>
      <c r="Y18" s="734" t="s">
        <v>56</v>
      </c>
      <c r="Z18" s="725" t="s">
        <v>511</v>
      </c>
      <c r="AA18" s="767" t="s">
        <v>102</v>
      </c>
      <c r="AB18" s="696" t="s">
        <v>464</v>
      </c>
      <c r="AC18" s="696" t="s">
        <v>465</v>
      </c>
      <c r="AD18" s="700" t="s">
        <v>96</v>
      </c>
      <c r="AE18" s="701"/>
      <c r="AF18" s="698" t="s">
        <v>103</v>
      </c>
      <c r="AG18" s="692" t="s">
        <v>466</v>
      </c>
      <c r="AH18" s="692" t="s">
        <v>467</v>
      </c>
      <c r="AI18" s="698" t="s">
        <v>109</v>
      </c>
      <c r="AK18" s="725" t="s">
        <v>101</v>
      </c>
      <c r="AL18" s="725"/>
      <c r="AM18" s="762" t="s">
        <v>463</v>
      </c>
      <c r="AN18" s="734" t="s">
        <v>56</v>
      </c>
      <c r="AO18" s="682" t="s">
        <v>84</v>
      </c>
      <c r="AP18" s="683"/>
      <c r="AQ18" s="684"/>
      <c r="AR18" s="767" t="s">
        <v>85</v>
      </c>
      <c r="AS18" s="696" t="s">
        <v>249</v>
      </c>
      <c r="AT18" s="696" t="s">
        <v>464</v>
      </c>
      <c r="AU18" s="696" t="s">
        <v>468</v>
      </c>
      <c r="AV18" s="778" t="s">
        <v>79</v>
      </c>
      <c r="AW18" s="729" t="s">
        <v>1</v>
      </c>
      <c r="AX18" s="730"/>
      <c r="AY18" s="731"/>
      <c r="AZ18" s="692" t="s">
        <v>249</v>
      </c>
      <c r="BA18" s="692" t="s">
        <v>466</v>
      </c>
      <c r="BB18" s="692" t="s">
        <v>469</v>
      </c>
      <c r="BC18" s="194"/>
      <c r="BD18" s="720" t="s">
        <v>116</v>
      </c>
      <c r="BE18" s="718" t="s">
        <v>278</v>
      </c>
      <c r="BF18" s="718" t="s">
        <v>291</v>
      </c>
      <c r="BG18" s="722" t="s">
        <v>276</v>
      </c>
      <c r="BH18" s="704" t="s">
        <v>301</v>
      </c>
      <c r="BI18" s="705"/>
      <c r="BJ18" s="705"/>
      <c r="BK18" s="705"/>
      <c r="BL18" s="758" t="s">
        <v>300</v>
      </c>
      <c r="BM18" s="759"/>
      <c r="BN18" s="334"/>
      <c r="BO18" s="371"/>
      <c r="BP18" s="371"/>
      <c r="BQ18" s="652"/>
      <c r="BR18" s="652"/>
      <c r="BS18" s="652"/>
      <c r="BT18" s="652"/>
      <c r="BU18" s="660"/>
      <c r="BV18" s="661"/>
      <c r="BW18" s="661"/>
      <c r="BX18" s="661"/>
      <c r="BY18" s="661"/>
      <c r="BZ18" s="661"/>
      <c r="CA18" s="661"/>
      <c r="CB18" s="661"/>
      <c r="CC18" s="661"/>
      <c r="CD18" s="661"/>
      <c r="CE18" s="661"/>
      <c r="CF18" s="661"/>
      <c r="CG18" s="661"/>
      <c r="CH18" s="661"/>
      <c r="CI18" s="661"/>
      <c r="CJ18" s="661"/>
      <c r="CK18" s="661"/>
      <c r="CL18" s="661"/>
      <c r="CM18" s="661"/>
      <c r="CN18" s="661"/>
      <c r="CO18" s="661"/>
      <c r="CP18" s="661"/>
      <c r="CQ18" s="661"/>
      <c r="CR18" s="661"/>
      <c r="CS18" s="661"/>
      <c r="CT18" s="661"/>
      <c r="CU18" s="661"/>
      <c r="CV18" s="661"/>
      <c r="CW18" s="661"/>
      <c r="CX18" s="661"/>
      <c r="CY18" s="661"/>
      <c r="CZ18" s="661"/>
      <c r="DA18" s="662"/>
      <c r="DB18" s="652"/>
      <c r="DC18" s="746"/>
      <c r="DD18" s="746"/>
      <c r="DE18" s="746"/>
      <c r="DF18" s="654"/>
      <c r="DG18" s="654"/>
      <c r="DH18" s="654"/>
      <c r="DI18" s="654"/>
      <c r="DJ18" s="655"/>
      <c r="DK18" s="655"/>
      <c r="DL18" s="655"/>
      <c r="DM18" s="657"/>
      <c r="DN18" s="657"/>
      <c r="DO18" s="657"/>
      <c r="DP18" s="657"/>
      <c r="DQ18" s="657"/>
      <c r="DR18" s="656"/>
      <c r="DS18" s="656"/>
      <c r="DT18" s="656"/>
      <c r="DU18" s="656"/>
      <c r="DV18" s="656"/>
      <c r="DW18" s="656"/>
      <c r="DX18" s="656"/>
      <c r="DY18" s="656"/>
      <c r="DZ18" s="656"/>
      <c r="EA18" s="656"/>
      <c r="EB18" s="656"/>
      <c r="EC18" s="656"/>
      <c r="ED18" s="656"/>
      <c r="EE18" s="656"/>
      <c r="EF18" s="656"/>
      <c r="EG18" s="656"/>
      <c r="EH18" s="656"/>
      <c r="EI18" s="656"/>
      <c r="EJ18" s="656"/>
      <c r="EK18" s="656"/>
      <c r="EL18" s="656"/>
      <c r="EM18" s="656"/>
      <c r="EN18" s="656"/>
      <c r="EO18" s="333"/>
      <c r="EP18" s="333"/>
      <c r="EQ18" s="333"/>
      <c r="ER18" s="333"/>
      <c r="ES18" s="333"/>
      <c r="ET18" s="333"/>
      <c r="EU18" s="333"/>
      <c r="EV18" s="333"/>
      <c r="EW18" s="333"/>
      <c r="EX18" s="333"/>
      <c r="EY18" s="333"/>
      <c r="EZ18" s="333"/>
      <c r="FA18" s="333"/>
      <c r="FB18" s="333"/>
      <c r="FC18" s="333"/>
      <c r="FD18" s="580"/>
      <c r="FE18" s="580"/>
      <c r="FF18" s="580"/>
      <c r="FG18" s="333"/>
      <c r="FH18" s="580"/>
      <c r="FI18" s="333"/>
      <c r="FJ18" s="333"/>
      <c r="FK18" s="333"/>
      <c r="FL18" s="333"/>
      <c r="FM18" s="333"/>
      <c r="FN18" s="333"/>
      <c r="FO18" s="333"/>
      <c r="FP18" s="333"/>
      <c r="FQ18" s="333"/>
      <c r="FR18" s="656"/>
      <c r="FS18" s="656"/>
      <c r="FT18" s="656"/>
      <c r="FU18" s="656"/>
      <c r="FV18" s="656"/>
      <c r="FW18" s="656"/>
      <c r="FX18" s="656"/>
      <c r="FY18" s="656"/>
      <c r="FZ18" s="656"/>
      <c r="GA18" s="656"/>
      <c r="GB18" s="656"/>
      <c r="GC18" s="656"/>
      <c r="GD18" s="656"/>
      <c r="GE18" s="656"/>
      <c r="GF18" s="656"/>
      <c r="GG18" s="656"/>
      <c r="GH18" s="333"/>
      <c r="GI18" s="371"/>
      <c r="GL18" s="119"/>
      <c r="GM18" s="119"/>
      <c r="GN18" s="119"/>
      <c r="GO18" s="119"/>
      <c r="GY18" s="330"/>
      <c r="GZ18" s="245"/>
      <c r="HA18" s="245"/>
      <c r="HB18" s="245"/>
      <c r="HC18" s="245"/>
      <c r="HD18" s="245"/>
      <c r="HE18" s="245"/>
      <c r="HF18" s="245"/>
      <c r="HG18" s="245"/>
      <c r="HH18" s="245"/>
      <c r="HI18" s="245"/>
      <c r="HJ18" s="245"/>
      <c r="HK18" s="245"/>
      <c r="IG18" s="282"/>
      <c r="IH18" s="282"/>
      <c r="II18" s="282"/>
      <c r="IJ18" s="283"/>
      <c r="IK18" s="283"/>
      <c r="IX18" s="256"/>
      <c r="IY18" s="256"/>
      <c r="IZ18" s="256"/>
      <c r="JA18" s="256"/>
      <c r="JB18" s="256"/>
      <c r="JC18" s="119"/>
      <c r="JD18" s="119"/>
      <c r="JE18" s="119"/>
      <c r="JF18" s="119"/>
      <c r="JG18" s="119"/>
      <c r="JP18" s="634"/>
      <c r="JQ18" s="634"/>
      <c r="JR18" s="634"/>
      <c r="JS18" s="634"/>
    </row>
    <row r="19" spans="1:321" ht="13.5" customHeight="1">
      <c r="A19" s="755"/>
      <c r="B19" s="769"/>
      <c r="C19" s="770"/>
      <c r="D19" s="757"/>
      <c r="E19" s="772"/>
      <c r="F19" s="774"/>
      <c r="G19" s="766"/>
      <c r="H19" s="717"/>
      <c r="I19" s="125"/>
      <c r="J19" s="691"/>
      <c r="K19" s="776"/>
      <c r="L19" s="777"/>
      <c r="M19" s="738"/>
      <c r="N19" s="738"/>
      <c r="O19" s="691"/>
      <c r="P19" s="691"/>
      <c r="Q19" s="765"/>
      <c r="R19" s="738"/>
      <c r="S19" s="738"/>
      <c r="T19" s="772"/>
      <c r="U19" s="751"/>
      <c r="W19" s="726"/>
      <c r="X19" s="763"/>
      <c r="Y19" s="735"/>
      <c r="Z19" s="726"/>
      <c r="AA19" s="768"/>
      <c r="AB19" s="697"/>
      <c r="AC19" s="697"/>
      <c r="AD19" s="702"/>
      <c r="AE19" s="703"/>
      <c r="AF19" s="699"/>
      <c r="AG19" s="693"/>
      <c r="AH19" s="693"/>
      <c r="AI19" s="699"/>
      <c r="AK19" s="726"/>
      <c r="AL19" s="726"/>
      <c r="AM19" s="763"/>
      <c r="AN19" s="735"/>
      <c r="AO19" s="727" t="s">
        <v>89</v>
      </c>
      <c r="AP19" s="753" t="s">
        <v>88</v>
      </c>
      <c r="AQ19" s="708" t="s">
        <v>90</v>
      </c>
      <c r="AR19" s="768"/>
      <c r="AS19" s="697"/>
      <c r="AT19" s="697"/>
      <c r="AU19" s="697"/>
      <c r="AV19" s="779"/>
      <c r="AW19" s="727" t="s">
        <v>89</v>
      </c>
      <c r="AX19" s="694" t="s">
        <v>88</v>
      </c>
      <c r="AY19" s="732" t="s">
        <v>97</v>
      </c>
      <c r="AZ19" s="693"/>
      <c r="BA19" s="693"/>
      <c r="BB19" s="693"/>
      <c r="BC19" s="194"/>
      <c r="BD19" s="721"/>
      <c r="BE19" s="719"/>
      <c r="BF19" s="719"/>
      <c r="BG19" s="723"/>
      <c r="BH19" s="706"/>
      <c r="BI19" s="707"/>
      <c r="BJ19" s="707"/>
      <c r="BK19" s="707"/>
      <c r="BL19" s="760"/>
      <c r="BM19" s="761"/>
      <c r="BN19" s="334"/>
      <c r="BO19" s="371"/>
      <c r="BP19" s="371"/>
      <c r="BQ19" s="652"/>
      <c r="BR19" s="652"/>
      <c r="BS19" s="652"/>
      <c r="BT19" s="652"/>
      <c r="BU19" s="658"/>
      <c r="BV19" s="668"/>
      <c r="BW19" s="668"/>
      <c r="BX19" s="668"/>
      <c r="BY19" s="668"/>
      <c r="BZ19" s="668"/>
      <c r="CA19" s="668"/>
      <c r="CB19" s="668"/>
      <c r="CC19" s="668"/>
      <c r="CD19" s="668"/>
      <c r="CE19" s="668"/>
      <c r="CF19" s="669"/>
      <c r="CG19" s="667"/>
      <c r="CH19" s="668"/>
      <c r="CI19" s="668"/>
      <c r="CJ19" s="668"/>
      <c r="CK19" s="668"/>
      <c r="CL19" s="668"/>
      <c r="CM19" s="668"/>
      <c r="CN19" s="668"/>
      <c r="CO19" s="668"/>
      <c r="CP19" s="668"/>
      <c r="CQ19" s="669"/>
      <c r="CR19" s="660"/>
      <c r="CS19" s="661"/>
      <c r="CT19" s="661"/>
      <c r="CU19" s="661"/>
      <c r="CV19" s="662"/>
      <c r="CW19" s="660"/>
      <c r="CX19" s="661"/>
      <c r="CY19" s="661"/>
      <c r="CZ19" s="661"/>
      <c r="DA19" s="662"/>
      <c r="DB19" s="652"/>
      <c r="DC19" s="746"/>
      <c r="DD19" s="746"/>
      <c r="DE19" s="652"/>
      <c r="DF19" s="654"/>
      <c r="DG19" s="654"/>
      <c r="DH19" s="654"/>
      <c r="DI19" s="654"/>
      <c r="DJ19" s="655"/>
      <c r="DK19" s="655"/>
      <c r="DL19" s="655"/>
      <c r="DM19" s="78"/>
      <c r="DN19" s="78"/>
      <c r="DO19" s="78"/>
      <c r="DP19" s="78"/>
      <c r="DQ19" s="78"/>
      <c r="DR19" s="656"/>
      <c r="DS19" s="656"/>
      <c r="DT19" s="656"/>
      <c r="DU19" s="656"/>
      <c r="DV19" s="656"/>
      <c r="DW19" s="656"/>
      <c r="DX19" s="656"/>
      <c r="DY19" s="656"/>
      <c r="DZ19" s="656"/>
      <c r="EA19" s="656"/>
      <c r="EB19" s="656"/>
      <c r="EC19" s="656"/>
      <c r="ED19" s="656"/>
      <c r="EE19" s="656"/>
      <c r="EF19" s="656"/>
      <c r="EG19" s="656"/>
      <c r="EH19" s="656"/>
      <c r="EI19" s="656"/>
      <c r="EJ19" s="656"/>
      <c r="EK19" s="656"/>
      <c r="EL19" s="656"/>
      <c r="EM19" s="656"/>
      <c r="EN19" s="656"/>
      <c r="EO19" s="333"/>
      <c r="EP19" s="333"/>
      <c r="EQ19" s="333"/>
      <c r="ER19" s="333"/>
      <c r="ES19" s="333"/>
      <c r="ET19" s="333"/>
      <c r="EU19" s="333"/>
      <c r="EV19" s="333"/>
      <c r="EW19" s="333"/>
      <c r="EX19" s="333"/>
      <c r="EY19" s="333"/>
      <c r="EZ19" s="333"/>
      <c r="FA19" s="333"/>
      <c r="FB19" s="333"/>
      <c r="FC19" s="333"/>
      <c r="FD19" s="580"/>
      <c r="FE19" s="580"/>
      <c r="FF19" s="580"/>
      <c r="FG19" s="333"/>
      <c r="FH19" s="580"/>
      <c r="FI19" s="333"/>
      <c r="FJ19" s="333"/>
      <c r="FK19" s="333"/>
      <c r="FL19" s="333"/>
      <c r="FM19" s="333"/>
      <c r="FN19" s="333"/>
      <c r="FO19" s="333"/>
      <c r="FP19" s="333"/>
      <c r="FQ19" s="333"/>
      <c r="FR19" s="745"/>
      <c r="FS19" s="745"/>
      <c r="FT19" s="745"/>
      <c r="FU19" s="653"/>
      <c r="FV19" s="653"/>
      <c r="FW19" s="653"/>
      <c r="FX19" s="653"/>
      <c r="FY19" s="653"/>
      <c r="FZ19" s="653"/>
      <c r="GA19" s="653"/>
      <c r="GB19" s="653"/>
      <c r="GC19" s="653"/>
      <c r="GD19" s="653"/>
      <c r="GE19" s="653"/>
      <c r="GF19" s="653"/>
      <c r="GG19" s="653"/>
      <c r="GH19" s="332"/>
      <c r="GI19" s="646"/>
      <c r="GJ19" s="643"/>
      <c r="GK19" s="644"/>
      <c r="GL19" s="644"/>
      <c r="GM19" s="644"/>
      <c r="GN19" s="644"/>
      <c r="GO19" s="644"/>
      <c r="GP19" s="644"/>
      <c r="GQ19" s="644"/>
      <c r="GR19" s="644"/>
      <c r="GS19" s="645"/>
      <c r="GT19" s="432"/>
      <c r="GU19" s="346"/>
      <c r="GV19" s="346"/>
      <c r="GW19" s="346"/>
      <c r="GX19" s="346"/>
      <c r="GY19" s="628"/>
      <c r="GZ19" s="245"/>
      <c r="HA19" s="245"/>
      <c r="HB19" s="245"/>
      <c r="HC19" s="245"/>
      <c r="HD19" s="245"/>
      <c r="HE19" s="245"/>
      <c r="HF19" s="245"/>
      <c r="HG19" s="245"/>
      <c r="HH19" s="245"/>
      <c r="HI19" s="245"/>
      <c r="HJ19" s="245"/>
      <c r="HK19" s="245"/>
      <c r="IG19" s="282"/>
      <c r="IH19" s="282"/>
      <c r="II19" s="282"/>
      <c r="IJ19" s="283"/>
      <c r="IK19" s="283"/>
      <c r="IX19" s="256"/>
      <c r="IY19" s="256"/>
      <c r="IZ19" s="256"/>
      <c r="JA19" s="256"/>
      <c r="JB19" s="256"/>
      <c r="JC19" s="119"/>
      <c r="JD19" s="119"/>
      <c r="JE19" s="119"/>
      <c r="JF19" s="119"/>
      <c r="JG19" s="119"/>
      <c r="JP19" s="634"/>
      <c r="JQ19" s="634"/>
      <c r="JR19" s="634"/>
      <c r="JS19" s="634"/>
    </row>
    <row r="20" spans="1:321" ht="15" customHeight="1">
      <c r="A20" s="755"/>
      <c r="B20" s="769"/>
      <c r="C20" s="770"/>
      <c r="D20" s="757"/>
      <c r="E20" s="772"/>
      <c r="F20" s="774"/>
      <c r="G20" s="750"/>
      <c r="H20" s="717"/>
      <c r="I20" s="125"/>
      <c r="J20" s="691"/>
      <c r="K20" s="776"/>
      <c r="L20" s="777"/>
      <c r="M20" s="738"/>
      <c r="N20" s="738"/>
      <c r="O20" s="691"/>
      <c r="P20" s="691"/>
      <c r="Q20" s="765"/>
      <c r="R20" s="738"/>
      <c r="S20" s="738"/>
      <c r="T20" s="772"/>
      <c r="U20" s="751"/>
      <c r="W20" s="726"/>
      <c r="X20" s="763"/>
      <c r="Y20" s="735"/>
      <c r="Z20" s="726"/>
      <c r="AA20" s="768"/>
      <c r="AB20" s="697"/>
      <c r="AC20" s="697"/>
      <c r="AD20" s="503" t="s">
        <v>95</v>
      </c>
      <c r="AE20" s="504" t="s">
        <v>94</v>
      </c>
      <c r="AF20" s="699"/>
      <c r="AG20" s="693"/>
      <c r="AH20" s="693"/>
      <c r="AI20" s="699"/>
      <c r="AK20" s="726"/>
      <c r="AL20" s="726"/>
      <c r="AM20" s="763"/>
      <c r="AN20" s="735"/>
      <c r="AO20" s="728"/>
      <c r="AP20" s="754"/>
      <c r="AQ20" s="709"/>
      <c r="AR20" s="768"/>
      <c r="AS20" s="697"/>
      <c r="AT20" s="697"/>
      <c r="AU20" s="697"/>
      <c r="AV20" s="779"/>
      <c r="AW20" s="728"/>
      <c r="AX20" s="695"/>
      <c r="AY20" s="733"/>
      <c r="AZ20" s="693"/>
      <c r="BA20" s="693"/>
      <c r="BB20" s="693"/>
      <c r="BC20" s="194"/>
      <c r="BD20" s="516" t="s">
        <v>470</v>
      </c>
      <c r="BE20" s="517" t="s">
        <v>471</v>
      </c>
      <c r="BF20" s="517" t="s">
        <v>292</v>
      </c>
      <c r="BG20" s="518" t="s">
        <v>277</v>
      </c>
      <c r="BH20" s="519" t="s">
        <v>472</v>
      </c>
      <c r="BI20" s="520" t="s">
        <v>473</v>
      </c>
      <c r="BJ20" s="519" t="s">
        <v>474</v>
      </c>
      <c r="BK20" s="520" t="s">
        <v>475</v>
      </c>
      <c r="BL20" s="521" t="s">
        <v>474</v>
      </c>
      <c r="BM20" s="522" t="s">
        <v>475</v>
      </c>
      <c r="BN20" s="335"/>
      <c r="BO20" s="164"/>
      <c r="BP20" s="371"/>
      <c r="BQ20" s="652"/>
      <c r="BR20" s="652"/>
      <c r="BS20" s="652"/>
      <c r="BT20" s="652"/>
      <c r="BU20" s="658"/>
      <c r="BV20" s="664"/>
      <c r="BW20" s="664"/>
      <c r="BX20" s="664"/>
      <c r="BY20" s="664"/>
      <c r="BZ20" s="664"/>
      <c r="CA20" s="665"/>
      <c r="CB20" s="666"/>
      <c r="CC20" s="664"/>
      <c r="CD20" s="664"/>
      <c r="CE20" s="664"/>
      <c r="CF20" s="665"/>
      <c r="CG20" s="666"/>
      <c r="CH20" s="664"/>
      <c r="CI20" s="664"/>
      <c r="CJ20" s="664"/>
      <c r="CK20" s="664"/>
      <c r="CL20" s="665"/>
      <c r="CM20" s="666"/>
      <c r="CN20" s="664"/>
      <c r="CO20" s="664"/>
      <c r="CP20" s="664"/>
      <c r="CQ20" s="665"/>
      <c r="CR20" s="670"/>
      <c r="CS20" s="671"/>
      <c r="CT20" s="672"/>
      <c r="CU20" s="87"/>
      <c r="CV20" s="673"/>
      <c r="CW20" s="660"/>
      <c r="CX20" s="661"/>
      <c r="CY20" s="662"/>
      <c r="CZ20" s="87"/>
      <c r="DA20" s="781" t="s">
        <v>378</v>
      </c>
      <c r="DB20" s="652"/>
      <c r="DC20" s="746"/>
      <c r="DD20" s="746"/>
      <c r="DE20" s="652"/>
      <c r="DF20" s="654"/>
      <c r="DG20" s="654"/>
      <c r="DH20" s="654"/>
      <c r="DI20" s="654"/>
      <c r="DJ20" s="655"/>
      <c r="DK20" s="655"/>
      <c r="DL20" s="655"/>
      <c r="DM20" s="78"/>
      <c r="DN20" s="78"/>
      <c r="DO20" s="78"/>
      <c r="DP20" s="78"/>
      <c r="DQ20" s="78"/>
      <c r="DR20" s="654"/>
      <c r="DS20" s="654"/>
      <c r="DT20" s="654"/>
      <c r="DU20" s="654"/>
      <c r="DV20" s="652"/>
      <c r="DW20" s="40"/>
      <c r="DX20" s="745"/>
      <c r="DY20" s="347"/>
      <c r="DZ20" s="663"/>
      <c r="EA20" s="663"/>
      <c r="EB20" s="663"/>
      <c r="EC20" s="663"/>
      <c r="ED20" s="663"/>
      <c r="EE20" s="663"/>
      <c r="EF20" s="663"/>
      <c r="EG20" s="663"/>
      <c r="EH20" s="663"/>
      <c r="EI20" s="663"/>
      <c r="EJ20" s="663"/>
      <c r="EK20" s="663"/>
      <c r="EL20" s="663"/>
      <c r="EM20" s="649"/>
      <c r="EN20" s="747"/>
      <c r="EO20" s="748"/>
      <c r="EP20" s="748"/>
      <c r="EQ20" s="748"/>
      <c r="ER20" s="748"/>
      <c r="ES20" s="748"/>
      <c r="ET20" s="748"/>
      <c r="EU20" s="748"/>
      <c r="EV20" s="748"/>
      <c r="EW20" s="748"/>
      <c r="EX20" s="633"/>
      <c r="EY20" s="633"/>
      <c r="EZ20" s="632"/>
      <c r="FA20" s="632"/>
      <c r="FB20" s="632"/>
      <c r="FC20" s="632"/>
      <c r="FD20" s="648"/>
      <c r="FE20" s="648"/>
      <c r="FF20" s="648"/>
      <c r="FG20" s="348"/>
      <c r="FH20" s="590"/>
      <c r="FI20" s="348"/>
      <c r="FJ20" s="348"/>
      <c r="FK20" s="348"/>
      <c r="FL20" s="348"/>
      <c r="FM20" s="348"/>
      <c r="FN20" s="649"/>
      <c r="FO20" s="649"/>
      <c r="FP20" s="348"/>
      <c r="FQ20" s="348"/>
      <c r="FR20" s="745"/>
      <c r="FS20" s="745"/>
      <c r="FT20" s="745"/>
      <c r="FU20" s="653"/>
      <c r="FV20" s="653"/>
      <c r="FW20" s="653"/>
      <c r="FX20" s="653"/>
      <c r="FY20" s="653"/>
      <c r="FZ20" s="653"/>
      <c r="GA20" s="653"/>
      <c r="GB20" s="653"/>
      <c r="GC20" s="653"/>
      <c r="GD20" s="653"/>
      <c r="GE20" s="653"/>
      <c r="GF20" s="653"/>
      <c r="GG20" s="653"/>
      <c r="GH20" s="332"/>
      <c r="GI20" s="646"/>
      <c r="GJ20" s="638"/>
      <c r="GK20" s="640"/>
      <c r="GL20" s="638"/>
      <c r="GM20" s="639"/>
      <c r="GN20" s="640"/>
      <c r="GO20" s="638"/>
      <c r="GP20" s="639"/>
      <c r="GQ20" s="640"/>
      <c r="GR20" s="641"/>
      <c r="GS20" s="642"/>
      <c r="GT20" s="650"/>
      <c r="GU20" s="651"/>
      <c r="GV20" s="651"/>
      <c r="GW20" s="651"/>
      <c r="GX20" s="651"/>
      <c r="GY20" s="651"/>
      <c r="GZ20" s="451"/>
      <c r="HA20" s="637" t="s">
        <v>241</v>
      </c>
      <c r="HB20" s="637"/>
      <c r="HC20" s="637"/>
      <c r="HD20" s="637"/>
      <c r="HE20" s="637"/>
      <c r="HF20" s="637"/>
      <c r="HG20" s="637"/>
      <c r="HH20" s="637"/>
      <c r="HI20" s="637"/>
      <c r="HJ20" s="637"/>
      <c r="HK20" s="637"/>
      <c r="HL20" s="637"/>
      <c r="HM20" s="637"/>
      <c r="HN20" s="637"/>
      <c r="HO20" s="637"/>
      <c r="HP20" s="637"/>
      <c r="HQ20" s="637"/>
      <c r="HR20" s="637"/>
      <c r="HS20" s="637"/>
      <c r="HT20" s="637"/>
      <c r="HU20" s="637"/>
      <c r="IG20" s="282"/>
      <c r="IH20" s="282"/>
      <c r="II20" s="282">
        <f>SUM(II22:II393)</f>
        <v>0</v>
      </c>
      <c r="IJ20" s="284"/>
      <c r="IK20" s="282"/>
      <c r="IX20" s="256"/>
      <c r="IY20" s="256"/>
      <c r="IZ20" s="256"/>
      <c r="JA20" s="256"/>
      <c r="JB20" s="256"/>
      <c r="JC20" s="119"/>
      <c r="JD20" s="119"/>
      <c r="JE20" s="119"/>
      <c r="JF20" s="119"/>
      <c r="JG20" s="119"/>
      <c r="JJ20" s="119"/>
      <c r="JK20" s="119"/>
      <c r="JP20" s="635"/>
      <c r="JQ20" s="635"/>
      <c r="JR20" s="635"/>
      <c r="JS20" s="635"/>
      <c r="KP20" s="604"/>
      <c r="LA20" s="631"/>
      <c r="LB20" s="631"/>
      <c r="LC20" s="631"/>
      <c r="LD20" s="631"/>
      <c r="LE20" s="631"/>
      <c r="LF20" s="631"/>
      <c r="LG20" s="631"/>
    </row>
    <row r="21" spans="1:321" ht="16.5" customHeight="1">
      <c r="A21" s="755"/>
      <c r="B21" s="769"/>
      <c r="C21" s="770"/>
      <c r="D21" s="493" t="s">
        <v>207</v>
      </c>
      <c r="E21" s="494" t="s">
        <v>9</v>
      </c>
      <c r="F21" s="495" t="s">
        <v>9</v>
      </c>
      <c r="G21" s="496" t="s">
        <v>9</v>
      </c>
      <c r="H21" s="497" t="s">
        <v>4</v>
      </c>
      <c r="I21" s="125"/>
      <c r="J21" s="691"/>
      <c r="K21" s="502"/>
      <c r="L21" s="777"/>
      <c r="M21" s="739"/>
      <c r="N21" s="739"/>
      <c r="O21" s="691"/>
      <c r="P21" s="691"/>
      <c r="Q21" s="498" t="s">
        <v>4</v>
      </c>
      <c r="R21" s="499" t="s">
        <v>4</v>
      </c>
      <c r="S21" s="739"/>
      <c r="T21" s="500" t="s">
        <v>40</v>
      </c>
      <c r="U21" s="501" t="s">
        <v>40</v>
      </c>
      <c r="W21" s="191" t="s">
        <v>4</v>
      </c>
      <c r="X21" s="191" t="s">
        <v>2</v>
      </c>
      <c r="Y21" s="736"/>
      <c r="Z21" s="610" t="s">
        <v>205</v>
      </c>
      <c r="AA21" s="505" t="s">
        <v>40</v>
      </c>
      <c r="AB21" s="506" t="s">
        <v>93</v>
      </c>
      <c r="AC21" s="507" t="s">
        <v>98</v>
      </c>
      <c r="AD21" s="505" t="s">
        <v>9</v>
      </c>
      <c r="AE21" s="506" t="s">
        <v>9</v>
      </c>
      <c r="AF21" s="508" t="s">
        <v>40</v>
      </c>
      <c r="AG21" s="509" t="s">
        <v>93</v>
      </c>
      <c r="AH21" s="510" t="s">
        <v>98</v>
      </c>
      <c r="AI21" s="511" t="s">
        <v>9</v>
      </c>
      <c r="AK21" s="191" t="s">
        <v>4</v>
      </c>
      <c r="AL21" s="191"/>
      <c r="AM21" s="191" t="s">
        <v>2</v>
      </c>
      <c r="AN21" s="736"/>
      <c r="AO21" s="505" t="s">
        <v>9</v>
      </c>
      <c r="AP21" s="506" t="s">
        <v>9</v>
      </c>
      <c r="AQ21" s="512" t="s">
        <v>9</v>
      </c>
      <c r="AR21" s="512" t="s">
        <v>9</v>
      </c>
      <c r="AS21" s="507" t="s">
        <v>98</v>
      </c>
      <c r="AT21" s="506" t="s">
        <v>93</v>
      </c>
      <c r="AU21" s="507" t="s">
        <v>98</v>
      </c>
      <c r="AV21" s="780"/>
      <c r="AW21" s="513" t="s">
        <v>9</v>
      </c>
      <c r="AX21" s="514" t="s">
        <v>9</v>
      </c>
      <c r="AY21" s="511" t="s">
        <v>9</v>
      </c>
      <c r="AZ21" s="510" t="s">
        <v>98</v>
      </c>
      <c r="BA21" s="509" t="s">
        <v>93</v>
      </c>
      <c r="BB21" s="515" t="s">
        <v>98</v>
      </c>
      <c r="BC21" s="68"/>
      <c r="BD21" s="523" t="s">
        <v>237</v>
      </c>
      <c r="BE21" s="524" t="s">
        <v>237</v>
      </c>
      <c r="BF21" s="524" t="s">
        <v>237</v>
      </c>
      <c r="BG21" s="525" t="s">
        <v>237</v>
      </c>
      <c r="BH21" s="526" t="s">
        <v>279</v>
      </c>
      <c r="BI21" s="527" t="s">
        <v>98</v>
      </c>
      <c r="BJ21" s="526" t="s">
        <v>279</v>
      </c>
      <c r="BK21" s="527" t="s">
        <v>98</v>
      </c>
      <c r="BL21" s="528" t="s">
        <v>279</v>
      </c>
      <c r="BM21" s="529" t="s">
        <v>98</v>
      </c>
      <c r="BN21" s="336"/>
      <c r="BO21" s="164"/>
      <c r="BP21" s="164"/>
      <c r="BQ21" s="652"/>
      <c r="BR21" s="652"/>
      <c r="BS21" s="652"/>
      <c r="BT21" s="652"/>
      <c r="BU21" s="659"/>
      <c r="BV21" s="441"/>
      <c r="BW21" s="442"/>
      <c r="BX21" s="442"/>
      <c r="BY21" s="442"/>
      <c r="BZ21" s="442"/>
      <c r="CA21" s="442"/>
      <c r="CB21" s="442"/>
      <c r="CC21" s="442"/>
      <c r="CD21" s="442"/>
      <c r="CE21" s="442"/>
      <c r="CF21" s="442"/>
      <c r="CG21" s="442"/>
      <c r="CH21" s="442"/>
      <c r="CI21" s="442"/>
      <c r="CJ21" s="442"/>
      <c r="CK21" s="442"/>
      <c r="CL21" s="442"/>
      <c r="CM21" s="442"/>
      <c r="CN21" s="442"/>
      <c r="CO21" s="442"/>
      <c r="CP21" s="442"/>
      <c r="CQ21" s="442"/>
      <c r="CR21" s="443"/>
      <c r="CS21" s="443"/>
      <c r="CT21" s="444"/>
      <c r="CU21" s="445">
        <f>$BS$8*$BU$8</f>
        <v>1</v>
      </c>
      <c r="CV21" s="674"/>
      <c r="CW21" s="443"/>
      <c r="CX21" s="443"/>
      <c r="CY21" s="444"/>
      <c r="CZ21" s="445">
        <f>BS8*BX8</f>
        <v>1</v>
      </c>
      <c r="DA21" s="782"/>
      <c r="DB21" s="652"/>
      <c r="DC21" s="746"/>
      <c r="DD21" s="746"/>
      <c r="DE21" s="652"/>
      <c r="DF21" s="654"/>
      <c r="DG21" s="654"/>
      <c r="DH21" s="654"/>
      <c r="DI21" s="654"/>
      <c r="DJ21" s="655"/>
      <c r="DK21" s="655"/>
      <c r="DL21" s="655"/>
      <c r="DM21" s="78"/>
      <c r="DN21" s="78"/>
      <c r="DO21" s="78"/>
      <c r="DP21" s="78"/>
      <c r="DQ21" s="78"/>
      <c r="DR21" s="654"/>
      <c r="DS21" s="654"/>
      <c r="DT21" s="654"/>
      <c r="DU21" s="654"/>
      <c r="DV21" s="652"/>
      <c r="DW21" s="40"/>
      <c r="DX21" s="745"/>
      <c r="DY21" s="347"/>
      <c r="DZ21" s="347"/>
      <c r="EA21" s="347"/>
      <c r="EB21" s="164"/>
      <c r="EC21" s="347"/>
      <c r="ED21" s="347"/>
      <c r="EE21" s="347"/>
      <c r="EF21" s="347"/>
      <c r="EG21" s="347"/>
      <c r="EH21" s="347"/>
      <c r="EI21" s="347"/>
      <c r="EJ21" s="349"/>
      <c r="EK21" s="349"/>
      <c r="EL21" s="349"/>
      <c r="EM21" s="649"/>
      <c r="EN21" s="747"/>
      <c r="EO21" s="749"/>
      <c r="EP21" s="749"/>
      <c r="EQ21" s="749"/>
      <c r="ER21" s="749"/>
      <c r="ES21" s="749"/>
      <c r="ET21" s="749"/>
      <c r="EU21" s="749"/>
      <c r="EV21" s="749"/>
      <c r="EW21" s="749"/>
      <c r="EX21" s="633"/>
      <c r="EY21" s="633"/>
      <c r="EZ21" s="632"/>
      <c r="FA21" s="632"/>
      <c r="FB21" s="632"/>
      <c r="FC21" s="632"/>
      <c r="FD21" s="648"/>
      <c r="FE21" s="648"/>
      <c r="FF21" s="648"/>
      <c r="FG21" s="350"/>
      <c r="FH21" s="591"/>
      <c r="FI21" s="350"/>
      <c r="FJ21" s="632"/>
      <c r="FK21" s="632"/>
      <c r="FL21" s="632"/>
      <c r="FM21" s="632"/>
      <c r="FN21" s="348"/>
      <c r="FO21" s="348"/>
      <c r="FP21" s="348"/>
      <c r="FQ21" s="348"/>
      <c r="FR21" s="351"/>
      <c r="FS21" s="351"/>
      <c r="FT21" s="351"/>
      <c r="FU21" s="351"/>
      <c r="FV21" s="351"/>
      <c r="FW21" s="351"/>
      <c r="FX21" s="351"/>
      <c r="FY21" s="352"/>
      <c r="FZ21" s="347"/>
      <c r="GA21" s="347"/>
      <c r="GB21" s="347"/>
      <c r="GC21" s="347"/>
      <c r="GD21" s="347"/>
      <c r="GE21" s="347"/>
      <c r="GF21" s="347"/>
      <c r="GG21" s="347"/>
      <c r="GH21" s="347"/>
      <c r="GI21" s="646"/>
      <c r="GJ21" s="627"/>
      <c r="GK21" s="85"/>
      <c r="GL21" s="434"/>
      <c r="GM21" s="435"/>
      <c r="GN21" s="436"/>
      <c r="GO21" s="434"/>
      <c r="GP21" s="435"/>
      <c r="GQ21" s="436"/>
      <c r="GR21" s="437"/>
      <c r="GS21" s="436"/>
      <c r="GT21" s="432"/>
      <c r="GU21" s="87"/>
      <c r="GV21" s="87"/>
      <c r="GW21" s="87"/>
      <c r="GX21" s="87"/>
      <c r="GY21" s="87"/>
      <c r="GZ21" s="482" t="s">
        <v>214</v>
      </c>
      <c r="HA21" s="287"/>
      <c r="HB21" s="287"/>
      <c r="HC21" s="242"/>
      <c r="HD21" s="242"/>
      <c r="HE21" s="242"/>
      <c r="HF21" s="242"/>
      <c r="HG21" s="242"/>
      <c r="HH21" s="242"/>
      <c r="HI21" s="242"/>
      <c r="HJ21" s="242"/>
      <c r="HK21" s="242"/>
      <c r="HL21" s="242"/>
      <c r="HM21" s="242"/>
      <c r="HN21" s="242"/>
      <c r="HO21" s="242"/>
      <c r="HP21" s="242"/>
      <c r="HQ21" s="242"/>
      <c r="HR21" s="242"/>
      <c r="HS21" s="242"/>
      <c r="HT21" s="242"/>
      <c r="HU21" s="242"/>
      <c r="IG21" s="282"/>
      <c r="IH21" s="282"/>
      <c r="II21" s="282"/>
      <c r="IJ21" s="372"/>
      <c r="IK21" s="282"/>
      <c r="IX21" s="256"/>
      <c r="IY21" s="256"/>
      <c r="IZ21" s="256"/>
      <c r="JA21" s="256"/>
      <c r="JB21" s="256"/>
      <c r="JC21" s="119"/>
      <c r="JD21" s="119"/>
      <c r="JE21" s="119"/>
      <c r="JF21" s="119"/>
      <c r="JG21" s="119"/>
      <c r="JH21" s="119"/>
      <c r="JI21" s="119"/>
      <c r="JJ21" s="119"/>
      <c r="JK21" s="119"/>
      <c r="JL21" s="119"/>
      <c r="JM21" s="636"/>
      <c r="JN21" s="636"/>
      <c r="JP21" s="530"/>
      <c r="JQ21" s="530"/>
      <c r="JR21" s="530"/>
      <c r="JS21" s="530"/>
      <c r="JT21" s="531"/>
      <c r="JU21" s="531"/>
      <c r="JV21" s="530"/>
      <c r="JW21" s="530"/>
      <c r="JX21" s="530"/>
      <c r="JY21" s="530"/>
      <c r="JZ21" s="530"/>
      <c r="KA21" s="530"/>
      <c r="KB21" s="530"/>
      <c r="KC21" s="530"/>
      <c r="KD21" s="531"/>
      <c r="KE21" s="531"/>
      <c r="KF21" s="530"/>
      <c r="KG21" s="530"/>
      <c r="KH21" s="530"/>
      <c r="KI21" s="530"/>
      <c r="KJ21" s="530"/>
      <c r="KK21" s="530"/>
      <c r="KL21" s="530"/>
      <c r="KM21" s="531"/>
      <c r="KN21" s="531"/>
    </row>
    <row r="22" spans="1:321" ht="15" customHeight="1">
      <c r="B22" s="311"/>
      <c r="C22" s="311"/>
      <c r="D22" s="312"/>
      <c r="E22" s="311"/>
      <c r="F22" s="312"/>
      <c r="G22" s="311"/>
      <c r="H22" s="311"/>
      <c r="I22" s="219"/>
      <c r="J22" s="311"/>
      <c r="K22" s="305" t="str">
        <f>IF(AND(E22&gt;0,J22&gt;0),ROUNDUP(MAX(D22/$X$9,E22/FG22,H22/220,FH22/220),0),"")</f>
        <v/>
      </c>
      <c r="L22" s="313"/>
      <c r="M22" s="312"/>
      <c r="N22" s="311"/>
      <c r="O22" s="312"/>
      <c r="P22" s="311"/>
      <c r="Q22" s="305" t="str">
        <f>IF(AND(J22&gt;0,L22&gt;0,M22&gt;0,N22&gt;0,O22&gt;0,P22&gt;0),ROUNDUP(MAX(H22/L22,BS22*1250,FI22),0),"")</f>
        <v/>
      </c>
      <c r="R22" s="314"/>
      <c r="S22" s="450" t="str">
        <f t="shared" ref="S22:S85" si="0">IF(COUNTBLANK(FD22:FF22)=0,FE22,FD22)</f>
        <v/>
      </c>
      <c r="T22" s="315"/>
      <c r="U22" s="315"/>
      <c r="W22" s="149" t="str">
        <f t="shared" ref="W22:W85" si="1">IF((JB22&gt;0),R22*L22," ")</f>
        <v xml:space="preserve"> </v>
      </c>
      <c r="X22" s="243" t="str">
        <f t="shared" ref="X22:X85" si="2">IF((JB22&gt;0),DC22+DE22," ")</f>
        <v xml:space="preserve"> </v>
      </c>
      <c r="Y22" s="150" t="str">
        <f t="shared" ref="Y22:Y85" si="3">IF((JB22&gt;0),IF(L22&gt;1,IF(AN22="&lt;15","&lt;15",AN22+3),AN22),"")</f>
        <v/>
      </c>
      <c r="Z22" s="149" t="str">
        <f t="shared" ref="Z22:Z85" si="4">IF(JB22&gt;0,CONCATENATE(DN22,"/",DO22)," ")</f>
        <v xml:space="preserve"> </v>
      </c>
      <c r="AA22" s="98" t="str">
        <f t="shared" ref="AA22:AA85" si="5">IF(JB22&gt;0,T22*L22," ")</f>
        <v xml:space="preserve"> </v>
      </c>
      <c r="AB22" s="153" t="str">
        <f t="shared" ref="AB22:AB85" si="6">IF(JB22&gt;0,AT22," ")</f>
        <v xml:space="preserve"> </v>
      </c>
      <c r="AC22" s="153" t="str">
        <f t="shared" ref="AC22:AC85" si="7">IF(JB22&gt;0,IF(T22&gt;0,AU22-$P$6," ")," ")</f>
        <v xml:space="preserve"> </v>
      </c>
      <c r="AD22" s="148" t="str">
        <f t="shared" ref="AD22:AD85" si="8">IF(JB22&gt;0,IF(GI22=10,IF(AQ22*L22&lt;0,AQ22*L22," ")," "),"")</f>
        <v/>
      </c>
      <c r="AE22" s="149" t="str">
        <f t="shared" ref="AE22:AE85" si="9">IF(JB22&gt;0,IF(GI22=10,L22*AR22," "),"")</f>
        <v/>
      </c>
      <c r="AF22" s="151" t="str">
        <f t="shared" ref="AF22:AF85" si="10">IF(JB22&gt;0,L22*U22," ")</f>
        <v xml:space="preserve"> </v>
      </c>
      <c r="AG22" s="153" t="str">
        <f t="shared" ref="AG22:AG85" si="11">IF(AF22&gt;0,IF(JB22&gt;0,EN22," "),"N/A")</f>
        <v xml:space="preserve"> </v>
      </c>
      <c r="AH22" s="98" t="str">
        <f t="shared" ref="AH22:AH85" si="12">IF(AF22&gt;0,IF((JB22&gt;0),IF(AX22&gt;0,-(AX22*L22)/(500*AF22),0)," "),"N/A")</f>
        <v xml:space="preserve"> </v>
      </c>
      <c r="AI22" s="149" t="str">
        <f t="shared" ref="AI22:AI85" si="13">IF((JB22&gt;0),IF(AY22*L22&lt;0,"",AY22*L22)," ")</f>
        <v xml:space="preserve"> </v>
      </c>
      <c r="AK22" s="144" t="str">
        <f t="shared" ref="AK22:AK85" si="14">IF((JB22&gt;0),R22," ")</f>
        <v xml:space="preserve"> </v>
      </c>
      <c r="AL22" s="144"/>
      <c r="AM22" s="243" t="str">
        <f t="shared" ref="AM22:AM85" si="15">IF((JB22&gt;0),X22," ")</f>
        <v xml:space="preserve"> </v>
      </c>
      <c r="AN22" s="149" t="str">
        <f>IF((JB22&gt;0),LG22," ")</f>
        <v xml:space="preserve"> </v>
      </c>
      <c r="AO22" s="144" t="str">
        <f>IF(JB22&gt;0,IF(GI22=10,-R22*1.085*(Calculation!$F$6-Calculation!$F$13)*$S$14," "),"")</f>
        <v/>
      </c>
      <c r="AP22" s="144" t="str">
        <f t="shared" ref="AP22:AP85" si="16">IF(JB22&gt;0,IF(GI22=10,-CV22," "),"")</f>
        <v/>
      </c>
      <c r="AQ22" s="56" t="str">
        <f t="shared" ref="AQ22:AQ85" si="17">IF(JB22&gt;0,IF(GI22=10,AO22+AP22," "),"")</f>
        <v/>
      </c>
      <c r="AR22" s="144" t="str">
        <f t="shared" ref="AR22:AR85" si="18">IF(JB22&gt;0,IF(GI22=10,DL22," "),"")</f>
        <v/>
      </c>
      <c r="AS22" s="176" t="str">
        <f t="shared" ref="AS22:AS85" si="19">IF(JB22&gt;0,IF(GI22=10,$F$6-(-AQ22/(1.085*LH22)),""),"")</f>
        <v/>
      </c>
      <c r="AT22" s="176" t="str">
        <f>IF(GI22=10,EM22," ")</f>
        <v xml:space="preserve"> </v>
      </c>
      <c r="AU22" s="176" t="str">
        <f t="shared" ref="AU22:AU85" si="20">IF(JB22&gt;0,IF(GI22=10,$P$6-AP22/(500*T22)," "),"")</f>
        <v/>
      </c>
      <c r="AV22" s="177" t="str">
        <f t="shared" ref="AV22:AV85" si="21">IF(JB22&gt;0,DX22," ")</f>
        <v xml:space="preserve"> </v>
      </c>
      <c r="AW22" s="144" t="str">
        <f t="shared" ref="AW22:AW85" si="22">IF(JB22&gt;0,1.085*R22*$S$14*(EJ22-$H$6)," ")</f>
        <v xml:space="preserve"> </v>
      </c>
      <c r="AX22" s="144" t="str">
        <f t="shared" ref="AX22:AX85" si="23">IF(JB22&gt;0,IF(O22="2 pipe (cooling)",0,(IF(L22&gt;0,DA22," ")))," ")</f>
        <v xml:space="preserve"> </v>
      </c>
      <c r="AY22" s="152" t="str">
        <f t="shared" ref="AY22:AY85" si="24">IF(JB22&gt;0,IF(AW22+AX22&lt;0,0,AW22+AX22)," ")</f>
        <v xml:space="preserve"> </v>
      </c>
      <c r="AZ22" s="246" t="str">
        <f t="shared" ref="AZ22:AZ85" si="25">IF(AY22&gt;0,IF((JB22&gt;0),EL22,""),0)</f>
        <v/>
      </c>
      <c r="BA22" s="176" t="str">
        <f t="shared" ref="BA22:BA85" si="26">IF(AX22&gt;0,IF((JB22&gt;0),IF(O22="2 pipe (cooling)",0,IF(L22&gt;0,EN22," "))," "),"N/A")</f>
        <v xml:space="preserve"> </v>
      </c>
      <c r="BB22" s="176" t="str">
        <f t="shared" ref="BB22:BB85" si="27">IF(AX22&gt;0,IF((JB22&gt;0),$S$6-AX22/(500*U22)," "),"N/A")</f>
        <v xml:space="preserve"> </v>
      </c>
      <c r="BC22" s="195"/>
      <c r="BD22" s="316"/>
      <c r="BE22" s="317"/>
      <c r="BF22" s="318"/>
      <c r="BG22" s="318"/>
      <c r="BH22" s="289" t="str">
        <f>IFERROR(KK22,"")</f>
        <v xml:space="preserve"> </v>
      </c>
      <c r="BI22" s="258" t="str">
        <f t="shared" ref="BI22:BI85" si="28">IFERROR(($F$6+KM22),"")</f>
        <v/>
      </c>
      <c r="BJ22" s="289" t="str">
        <f>IFERROR(KB22,"")</f>
        <v/>
      </c>
      <c r="BK22" s="257" t="str">
        <f t="shared" ref="BK22:BK85" si="29">IFERROR(($F$6+KD22),"")</f>
        <v/>
      </c>
      <c r="BL22" s="144" t="str">
        <f>IFERROR(KC22,"")</f>
        <v/>
      </c>
      <c r="BM22" s="246" t="str">
        <f t="shared" ref="BM22:BM85" si="30">IFERROR(($H$6+KE22),"")</f>
        <v/>
      </c>
      <c r="BN22" s="337" t="str">
        <f>IF(COUNTBLANK(L22:T22)+COUNTBLANK(J22)=0,CONCATENATE(BO22,"-",R22,"-",S22,"-",T22,"-",U22),"")</f>
        <v/>
      </c>
      <c r="BO22" s="371" t="str">
        <f>IF(AND(J22="",N22="",O22=""),"",CONCATENATE(J22,(IF(LEN(J22)=4,("-00"),IF(LEN(J22)=5,("-0"),""))),"-",P22,"-",(LEFT(N22,1)),"-",M22,"-",(LEFT(O22,1))))</f>
        <v/>
      </c>
      <c r="BP22" s="328" t="str">
        <f>IF(AND(N22&gt;0,O22&gt;0),IF(LEFT(BO22,4)="CBAV",VALUE(CONCATENATE(1,LEFT(O22,1))),VALUE(CONCATENATE(LEFT(N22,1),(LEFT(O22,1)))))," ")</f>
        <v xml:space="preserve"> </v>
      </c>
      <c r="BQ22" s="347" t="str">
        <f>LEFT(BP22,1)</f>
        <v xml:space="preserve"> </v>
      </c>
      <c r="BR22" s="353" t="str">
        <f>IF(L22&gt;0,HLOOKUP(LEFT(BO22,7),Noz_Qty,(MATCH(CONCATENATE(IF(LEN(M22)=1,("0"),""),M22,"-",LEFT(BP22,1),"S"),Len_SlotLU,0)+2))," ")</f>
        <v xml:space="preserve"> </v>
      </c>
      <c r="BS22" s="626" t="str">
        <f>IF(L22&gt;0,IF(Calculation!P22="M13",BR22*3.1416*(0.134^2)/(4*144),IF(Calculation!P22="M17",BR22*3.1416*(0.165^2)/(4*144),IF(Calculation!P22="M20",BR22*3.1416*(0.198^2)/(4*144),IF(Calculation!P22="M23",BR22*3.1416*(0.228^2)/(4*144),IF(Calculation!P22="M27",BR22*3.1416*(0.269^2)/(4*144),BR22*3.1416*(0.307^2)/(4*144))))))," ")</f>
        <v xml:space="preserve"> </v>
      </c>
      <c r="BT22" s="353" t="str">
        <f>IF(L22&gt;0,IF(BS22&gt;0,R22/Calculation!BS22,0)," ")</f>
        <v xml:space="preserve"> </v>
      </c>
      <c r="BU22" s="438" t="e">
        <f t="shared" ref="BU22:BU85" ca="1" si="31">(LH22-R22)/DW22</f>
        <v>#VALUE!</v>
      </c>
      <c r="BV22" s="449" t="e">
        <f ca="1">INDEX(INDIRECT(VLOOKUP(LEFT(BO22,7),CLU!$Z$3:$AH$18,2)),GN22,GR22)</f>
        <v>#N/A</v>
      </c>
      <c r="BW22" s="433" t="e">
        <f ca="1">INDEX(INDIRECT(VLOOKUP(LEFT(BO22,7),CLU!$Z$3:$AH$18,3)),GN22,GR22)</f>
        <v>#N/A</v>
      </c>
      <c r="BX22" s="433" t="e">
        <f ca="1">INDEX(INDIRECT(VLOOKUP(LEFT(BO22,7),CLU!$Z$3:$AH$18,4)),GN22,GR22)</f>
        <v>#N/A</v>
      </c>
      <c r="BY22" s="433" t="e">
        <f ca="1">INDEX(INDIRECT(VLOOKUP(LEFT(BO22,7),CLU!$Z$3:$AH$18,9)),((M22-2)*(6-COUNTBLANK(GT22:GY22)))+GJ22)</f>
        <v>#N/A</v>
      </c>
      <c r="BZ22" s="426" t="e">
        <f ca="1">((BV22*T22)+BW22)*BX22*BY22</f>
        <v>#N/A</v>
      </c>
      <c r="CA22" s="424" t="e">
        <f ca="1">BZ22*DJ22*$BT$8</f>
        <v>#N/A</v>
      </c>
      <c r="CB22" s="429" t="e">
        <f ca="1">INDEX(INDIRECT(VLOOKUP(LEFT(BO22,7),CLU!$Z$3:$AH$18,2)),GN22,GS22)</f>
        <v>#N/A</v>
      </c>
      <c r="CC22" s="342" t="e">
        <f ca="1">INDEX(INDIRECT(VLOOKUP(LEFT(BO22,7),CLU!$Z$3:$AH$18,3)),GN22,GS22)</f>
        <v>#N/A</v>
      </c>
      <c r="CD22" s="342" t="e">
        <f ca="1">INDEX(INDIRECT(VLOOKUP(LEFT(BO22,7),CLU!$Z$3:$AH$18,4)),GN22,GS22)</f>
        <v>#N/A</v>
      </c>
      <c r="CE22" s="426" t="e">
        <f t="shared" ref="CE22" ca="1" si="32">((CB22*U22)+CC22)*CD22*BY22</f>
        <v>#N/A</v>
      </c>
      <c r="CF22" s="440">
        <f>IF(U22=0,0,IF(O22="2 pipe (cooling)",0,CE22*DK22))*$BV$8</f>
        <v>0</v>
      </c>
      <c r="CG22" s="431" t="e">
        <f ca="1">INDEX(INDIRECT(VLOOKUP(LEFT(BO22,7),CLU!$Z$3:$AH$18,2)),GQ22,GR22)</f>
        <v>#N/A</v>
      </c>
      <c r="CH22" s="431" t="e">
        <f ca="1">INDEX(INDIRECT(VLOOKUP(LEFT(BO22,7),CLU!$Z$3:$AH$18,3)),GQ22,GR22)</f>
        <v>#N/A</v>
      </c>
      <c r="CI22" s="431" t="e">
        <f ca="1">INDEX(INDIRECT(VLOOKUP(LEFT(BO22,7),CLU!$Z$3:$AH$18,4)),GQ22,GR22)</f>
        <v>#N/A</v>
      </c>
      <c r="CJ22" s="448" t="e">
        <f ca="1">BY22</f>
        <v>#N/A</v>
      </c>
      <c r="CK22" s="431" t="e">
        <f ca="1">((CG22*T22)+CH22)*CI22*CJ22</f>
        <v>#N/A</v>
      </c>
      <c r="CL22" s="440" t="e">
        <f ca="1">CK22*DJ22*$BT$8</f>
        <v>#N/A</v>
      </c>
      <c r="CM22" s="431" t="e">
        <f ca="1">INDEX(INDIRECT(VLOOKUP(LEFT(BO22,7),CLU!$Z$3:$AH$18,2)),GQ22,GS22)</f>
        <v>#N/A</v>
      </c>
      <c r="CN22" s="431" t="e">
        <f ca="1">INDEX(INDIRECT(VLOOKUP(LEFT(BO22,7),CLU!$Z$3:$AH$18,3)),GQ22,GS22)</f>
        <v>#N/A</v>
      </c>
      <c r="CO22" s="431" t="e">
        <f ca="1">INDEX(INDIRECT(VLOOKUP(LEFT(BO22,7),CLU!$Z$3:$AH$18,4)),GQ22,GS22)</f>
        <v>#N/A</v>
      </c>
      <c r="CP22" s="431" t="e">
        <f t="shared" ref="CP22" ca="1" si="33">((CM22*U22)+CN22)*CO22*CJ22</f>
        <v>#N/A</v>
      </c>
      <c r="CQ22" s="440">
        <f>IF(U22=0,0,IF(O22="2 pipe (cooling)",0,CP22*DK22))*$BV$8</f>
        <v>0</v>
      </c>
      <c r="CR22" s="51" t="e">
        <f ca="1">CL22-CA22</f>
        <v>#N/A</v>
      </c>
      <c r="CS22" s="439" t="e">
        <f ca="1">(BU22-GM22)/10</f>
        <v>#VALUE!</v>
      </c>
      <c r="CT22" s="51" t="e">
        <f ca="1">CS22*CR22</f>
        <v>#VALUE!</v>
      </c>
      <c r="CU22" s="10"/>
      <c r="CV22" s="51" t="e">
        <f t="shared" ref="CV22:CV85" ca="1" si="34">MIN((CT22+CA22)*$CU$21,KP22)</f>
        <v>#VALUE!</v>
      </c>
      <c r="CW22" s="51">
        <f>CQ22-CF22</f>
        <v>0</v>
      </c>
      <c r="CX22" s="439" t="e">
        <f ca="1">(BU22-GM22)/10</f>
        <v>#VALUE!</v>
      </c>
      <c r="CY22" s="51" t="e">
        <f ca="1">CX22*CW22</f>
        <v>#VALUE!</v>
      </c>
      <c r="CZ22" s="10"/>
      <c r="DA22" s="51" t="e">
        <f ca="1">(CF22+CY22)*$CZ$21</f>
        <v>#VALUE!</v>
      </c>
      <c r="DB22" s="347" t="e">
        <f ca="1">INDEX(INDIRECT(VLOOKUP(LEFT(BO22,7),CLU!$Z$3:$AI$18,10)),((M22-2)*(6-COUNTBLANK(GT22:GY22)))+GJ22)*LI22</f>
        <v>#N/A</v>
      </c>
      <c r="DC22" s="347" t="str">
        <f>IF(L22&gt;0,((R22/Worksheet!$I$15)/DB22)^2," ")</f>
        <v xml:space="preserve"> </v>
      </c>
      <c r="DD22" s="602" t="str">
        <f>IF(L22&gt;0,IF(S22=4,R22/0.087,IF(S22=5,R22/0.136,IF(S22=6,R22/0.197,IF(S22=8,R22/0.35,R22/0.415))))," ")</f>
        <v xml:space="preserve"> </v>
      </c>
      <c r="DE22" s="347" t="str">
        <f t="shared" ref="DE22:DE85" si="35">IF(L22&gt;0,(DD22/4005)^2," ")</f>
        <v xml:space="preserve"> </v>
      </c>
      <c r="DF22" s="356" t="e">
        <f ca="1">INDEX(INDIRECT(VLOOKUP(LEFT(BO22,7),CLU!$Z$3:$AH$18,8)),((M22-2)*(6-COUNTBLANK(GT22:GY22)))+GJ22)</f>
        <v>#N/A</v>
      </c>
      <c r="DG22" s="347" t="str">
        <f t="shared" ref="DG22:DG85" si="36">IF(L22&gt;0,IF(J22="CBAM",(DF22+1)*R22*IF(J22=2,0.25,0.35),R22*(DF22+1)/BQ22)," ")</f>
        <v xml:space="preserve"> </v>
      </c>
      <c r="DH22" s="357" t="str">
        <f t="shared" ref="DH22:DH85" si="37">IF(L22&gt;0,IF(J22="CBAM",IF(M22=2,0.168,0.333),(M22*12-1)/144)," ")</f>
        <v xml:space="preserve"> </v>
      </c>
      <c r="DI22" s="355" t="str">
        <f t="shared" ref="DI22:DI85" si="38">IF(L22&gt;0,DG22/DH22," ")</f>
        <v xml:space="preserve"> </v>
      </c>
      <c r="DJ22" s="245" t="e">
        <f ca="1">INDEX(INDIRECT(VLOOKUP(LEFT(BO22,7),CLU!$Z$3:$AH$18,5)),GL22,GK22)</f>
        <v>#N/A</v>
      </c>
      <c r="DK22" s="245" t="e">
        <f ca="1">INDEX(INDIRECT(VLOOKUP(LEFT(BO22,7),CLU!$Z$3:$AH$18,6)),GL22,GK22)</f>
        <v>#N/A</v>
      </c>
      <c r="DL22" s="355">
        <f>(Calculation!R22*0.69143*(Calculation!$BQ$8-Calculation!$F$8))*$S$14</f>
        <v>0</v>
      </c>
      <c r="DM22" s="359" t="e">
        <f>ABS(AO22*L22)</f>
        <v>#VALUE!</v>
      </c>
      <c r="DN22" s="611">
        <f>IF(E22=0,DP22,ROUND((DM22/E22)*100,0))</f>
        <v>0</v>
      </c>
      <c r="DO22" s="359">
        <f>100-DN22</f>
        <v>100</v>
      </c>
      <c r="DP22" s="359">
        <f>IF(AO22="",0,ROUND(ABS(AO22)/ABS(AQ22)*100,0))</f>
        <v>0</v>
      </c>
      <c r="DQ22" s="360"/>
      <c r="DR22" s="245" t="e">
        <f ca="1">INDEX(INDIRECT(VLOOKUP(LEFT(BO22,7),CLU!$Z$3:$AH$18,7)),M22-1,1)</f>
        <v>#N/A</v>
      </c>
      <c r="DS22" s="245" t="e">
        <f ca="1">INDEX(INDIRECT(VLOOKUP(LEFT(BO22,7),CLU!$Z$3:$AH$18,7)),M22-1,2)</f>
        <v>#N/A</v>
      </c>
      <c r="DT22" s="245" t="e">
        <f ca="1">INDEX(INDIRECT(VLOOKUP(LEFT(BO22,7),CLU!$Z$3:$AH$18,7)),M22-1,3)</f>
        <v>#N/A</v>
      </c>
      <c r="DU22" s="245" t="e">
        <f ca="1">INDEX(INDIRECT(VLOOKUP(LEFT(BO22,7),CLU!$Z$3:$AH$18,7)),M22-1,4)</f>
        <v>#N/A</v>
      </c>
      <c r="DV22" s="361" t="e">
        <f ca="1">INDEX(INDIRECT(VLOOKUP(LEFT(BO22,7),CLU!$Z$3:$AH$18,7)),M22-1,4+LEFT(DZ22,1)*0.5)</f>
        <v>#N/A</v>
      </c>
      <c r="DW22" s="245" t="e">
        <f ca="1">INDEX(INDIRECT(VLOOKUP(LEFT(BO22,7),CLU!$Z$3:$AH$18,7)),M22-1,8)</f>
        <v>#N/A</v>
      </c>
      <c r="DX22" s="361" t="str">
        <f t="shared" ref="DX22:DX85" si="39">IF(L22&gt;0,IF(BR22&gt;0,IF(DZ22="2P",IF(EB22=1,"2P1C","2P2C"),IF(EB22=1,"4P1C","4P2C")),0)," ")</f>
        <v xml:space="preserve"> </v>
      </c>
      <c r="DY22" s="361" t="str">
        <f t="shared" ref="DY22:DY85" si="40">IF(L22&gt;0,CONCATENATE(IF(LEN(M22)=1,"0",""),M22,"-",DX22)," ")</f>
        <v xml:space="preserve"> </v>
      </c>
      <c r="DZ22" s="361" t="str">
        <f t="shared" ref="DZ22:DZ85" si="41">IF(L22&gt;0,IF(BR22&gt;0,IF(O22="2 Pipe (Cooling)","2P",IF(O22="2 Pipe (Heating)","NA",IF(O22="2 Pipe (H/C)","2P","4P"))),0)," ")</f>
        <v xml:space="preserve"> </v>
      </c>
      <c r="EA22" s="362" t="str">
        <f t="shared" ref="EA22:EA85" si="42">IF(L22&gt;0,HLOOKUP(LEFT(BO22,7),SCMG,(MATCH(CONCATENATE(IF(LEN(M22)=1,"0",""),M22,"-",DZ22),SCMG_LU))+2)," ")</f>
        <v xml:space="preserve"> </v>
      </c>
      <c r="EB22" s="624" t="str">
        <f>IF(AND(MID(J22,6,2)="12",O22="4 pipe (H/C)"),1,IF(L22&gt;0,IF(BR22&gt;0,IF(MAX(T22,U22)&gt;EA22,2,1),0)," "))</f>
        <v xml:space="preserve"> </v>
      </c>
      <c r="EC22" s="361" t="e">
        <f ca="1">INDEX(INDIRECT(VLOOKUP(LEFT(BO22,7),CLU!$Z$3:$AH$18,7)),M22-1,4+LEFT(DZ22,1)*0.5)</f>
        <v>#N/A</v>
      </c>
      <c r="ED22" s="362" t="str">
        <f t="shared" ref="ED22:ED85" si="43">IF(L22&gt;0,HLOOKUP(LEFT(BO22,7),Coil_K,(MATCH(DY22,LengthCoilLU))+2)," ")</f>
        <v xml:space="preserve"> </v>
      </c>
      <c r="EE22" s="361" t="str">
        <f t="shared" ref="EE22:EE85" si="44">IF(L22&gt;0,IF(BR22&gt;0,IF(O22="2 Pipe (Cooling)","N/A",IF(O22="2 Pipe (Heating)","2P",IF(O22="2 Pipe (H/C)","2P","4P"))),0)," ")</f>
        <v xml:space="preserve"> </v>
      </c>
      <c r="EF22" s="362" t="str">
        <f>IF(L22&gt;0,IF(BR22&gt;0,IF(EE22="2P",IF(Calculation!DZ22="2P",IF(Calculation!DS22=13.75,IF(Calculation!DB22=13,Worksheet!$BD$43,IF(Calculation!DB22=37,Worksheet!$BD$44,Worksheet!$BD$45)),IF(Calculation!DS22=10,IF(Calculation!DB22=18,Worksheet!$BD$29,IF(Calculation!DB22=30,Worksheet!$BD$30,IF(Calculation!DB22=42,Worksheet!$BD$31,IF(Calculation!DB22=54,Worksheet!$BD$32,IF(Calculation!DB22=66,Worksheet!$BD$33,IF(Calculation!DB22=78,Worksheet!$BD$34,IF(Calculation!DB22=90,Worksheet!$BD$35,IF(Calculation!DB22=102,Worksheet!$BD$36,Worksheet!$BD$37)))))))),IF(Calculation!DS22=12.5,IF(Calculation!DB22=18,Worksheet!$BD$38,IF(Calculation!DB22=Worksheet!$BD$39,IF(Calculation!DB22=42,Worksheet!$BD$40,IF(Calculation!DB22=54,Worksheet!$BD$41,Worksheet!$BD$42)))),IF(Calculation!DB22=18,Worksheet!$BD$11,IF(Calculation!DB22=30,Worksheet!$BD$12,IF(Calculation!DB22=42,Worksheet!$BD$13,IF(Calculation!DB22=54,Worksheet!$BD$14,IF(Calculation!DB22=66,Worksheet!$BD$15,IF(Calculation!DB22=78,Worksheet!$BD$16,IF(Calculation!DB22=90,Worksheet!$BD$17,IF(Calculation!DB22=102,Worksheet!$BD$18,Worksheet!$BD$19))))))))))),IF(Calculation!DS22=13.75,IF(Calculation!DB22=13,Worksheet!$BD$78,IF(Calculation!DB22=37,Worksheet!$BD$79,Worksheet!$BD$80)),IF(Calculation!DS22=10,IF(Calculation!DB22=18,Worksheet!$BD$64,IF(Calculation!DB22=30,Worksheet!$BD$65,IF(Calculation!DB22=42,Worksheet!$BD$66,IF(Calculation!DB22=54,Worksheet!$BD$68,IF(Calculation!DB22=66,Worksheet!$BD$68,IF(Calculation!DB22=78,Worksheet!$BD$69,IF(Calculation!DB22=90,Worksheet!$BD$70,IF(Calculation!DB22=102,Worksheet!$BD$71,Worksheet!$BD$72)))))))),IF(Calculation!DS22=12.5,IF(Calculation!DB22=18,Worksheet!$BD$73,IF(Calculation!DB22=Worksheet!$BD$74,IF(Calculation!DB22=42,Worksheet!$BD$75,IF(Calculation!DB22=54,Worksheet!$BD$76,Worksheet!$BD$77)))),IF(Calculation!DB22=18,Worksheet!$BD$55,IF(Calculation!DB22=30,Worksheet!$BD$56,IF(Calculation!DB22=42,Worksheet!$BD$57,IF(Calculation!DB22=54,Worksheet!$BD$58,IF(Calculation!DB22=66,Worksheet!$BD$59,IF(Calculation!DB22=78,Worksheet!$BD$60,IF(Calculation!DB22=90,Worksheet!$BD$61,IF(Calculation!DB22=102,Worksheet!$BD$62,Worksheet!$BD$63)))))))))))),5),0)," ")</f>
        <v xml:space="preserve"> </v>
      </c>
      <c r="EG22" s="361" t="str">
        <f t="shared" ref="EG22:EG85" si="45">IF(L22&gt;0,IF(BR22&gt;0,IF(U22&gt;EF22,2,1),0)," ")</f>
        <v xml:space="preserve"> </v>
      </c>
      <c r="EH22" s="361" t="e">
        <f ca="1">INDEX(INDIRECT(VLOOKUP(LEFT(BO22,7),CLU!$Z$3:$AH$18,7)),M22-1,3+LEFT(DZ22,1))</f>
        <v>#N/A</v>
      </c>
      <c r="EI22" s="362" t="str">
        <f t="shared" ref="EI22:EI85" si="46">IF(L22&gt;0,IF(O22="2 Pipe (Cooling)","N/A",IF(EE22="2P",ED22,HLOOKUP(LEFT(BO22,7),Sec_Coil_K,MATCH(LEFT(DY22,5),FourP_Coil_LU)+2)))," ")</f>
        <v xml:space="preserve"> </v>
      </c>
      <c r="EJ22" s="363" t="str">
        <f t="shared" ref="EJ22:EJ85" si="47">IF(L22&gt;0,IF(O22="2 pipe (cooling)",IF(G22&gt;0,$H$6+(G22/(1.085*W22*$S$14)),$H$13),$H$13)," ")</f>
        <v xml:space="preserve"> </v>
      </c>
      <c r="EK22" s="363" t="str">
        <f t="shared" ref="EK22:EK85" si="48">IF(L22&gt;0,IF(AX22=0,$H$6,$H$6+AX22/(1.085*$S$14*(R22*DF22)))," ")</f>
        <v xml:space="preserve"> </v>
      </c>
      <c r="EL22" s="363" t="str">
        <f t="shared" ref="EL22:EL85" si="49">IF(L22&gt;0,((R22*EJ22)+(DF22*R22*EK22))/(R22*(DF22+1))," ")</f>
        <v xml:space="preserve"> </v>
      </c>
      <c r="EM22" s="362" t="str">
        <f>IF(L22&gt;0,IF(BR22&gt;0,(Calculation!T22/ED22)^2,0)," ")</f>
        <v xml:space="preserve"> </v>
      </c>
      <c r="EN22" s="362" t="str">
        <f>IF(L22&gt;0,IF(O22="2 Pipe (Cooling)","N/A",IF(BR22&gt;0,(Calculation!U22/EI22)^2,0))," ")</f>
        <v xml:space="preserve"> </v>
      </c>
      <c r="EO22" s="361" t="str">
        <f t="shared" ref="EO22:EO85" si="50">IF($J22&gt;0,HLOOKUP($BO22,Avail_Lengths,3),"")</f>
        <v/>
      </c>
      <c r="EP22" s="361" t="str">
        <f t="shared" ref="EP22:EP85" si="51">IF($J22&gt;0,HLOOKUP($BO22,Avail_Lengths,4),"")</f>
        <v/>
      </c>
      <c r="EQ22" s="361" t="str">
        <f t="shared" ref="EQ22:EQ85" si="52">IF($J22&gt;0,HLOOKUP($BO22,Avail_Lengths,5),"")</f>
        <v/>
      </c>
      <c r="ER22" s="361" t="str">
        <f t="shared" ref="ER22:ER85" si="53">IF($J22&gt;0,HLOOKUP($BO22,Avail_Lengths,6),"")</f>
        <v/>
      </c>
      <c r="ES22" s="361" t="str">
        <f t="shared" ref="ES22:ES85" si="54">IF($J22&gt;0,HLOOKUP($BO22,Avail_Lengths,7),"")</f>
        <v/>
      </c>
      <c r="ET22" s="361" t="str">
        <f t="shared" ref="ET22:ET85" si="55">IF($J22&gt;0,HLOOKUP($BO22,Avail_Lengths,8),"")</f>
        <v/>
      </c>
      <c r="EU22" s="361" t="str">
        <f t="shared" ref="EU22:EU85" si="56">IF($J22&gt;0,HLOOKUP($BO22,Avail_Lengths,9),"")</f>
        <v/>
      </c>
      <c r="EV22" s="361" t="str">
        <f t="shared" ref="EV22:EV85" si="57">IF($J22&gt;0,HLOOKUP($BO22,Avail_Lengths,10),"")</f>
        <v/>
      </c>
      <c r="EW22" s="361" t="str">
        <f t="shared" ref="EW22:EW85" si="58">IF($J22&gt;0,HLOOKUP($BO22,Avail_Lengths,11),"")</f>
        <v/>
      </c>
      <c r="EX22" s="361" t="str">
        <f>IF(J22="CBAM","4 way",IF(J22="CBLV","2 slots, 2 way",IF(J22="CBAV","As specified *","1 slot, 1 way")))</f>
        <v>1 slot, 1 way</v>
      </c>
      <c r="EY22" s="361" t="str">
        <f>IF(J22="CBAL2","2 slots, 2 way",IF(J22="CBE2-24","2 slots, 2 way",IF(J22="CBLV-12","2 slots, 2 way",IF(J22="CBE2-12","2 slots, 2 way"," "))))</f>
        <v xml:space="preserve"> </v>
      </c>
      <c r="EZ22" s="361" t="str">
        <f t="shared" ref="EZ22" si="59">IF(J22&gt;0,"2 pipe (cooling)"," ")</f>
        <v xml:space="preserve"> </v>
      </c>
      <c r="FA22" s="361" t="str">
        <f>IF(J22&gt;0,"2 pipe (H/C)"," ")</f>
        <v xml:space="preserve"> </v>
      </c>
      <c r="FB22" s="361" t="str">
        <f>IF(J22&gt;0,"4 pipe (H/C)"," ")</f>
        <v xml:space="preserve"> </v>
      </c>
      <c r="FC22" s="361"/>
      <c r="FD22" s="361" t="str">
        <f>IF(J22&gt;0,IF(Calculation!R22&lt;=70,4,IF(Calculation!R22&lt;=110,5,IF(Calculation!R22&lt;=160,6,IF(Calculation!R22&lt;=300,8,"10 EO")))),"")</f>
        <v/>
      </c>
      <c r="FE22" s="361" t="str">
        <f>IF(J22&gt;0,IF(FD22=4,5,IF(FD22=5,6,IF(FD22=6,8,IF(FD22=8,"10 EO","")))),"")</f>
        <v/>
      </c>
      <c r="FF22" s="361" t="str">
        <f>IF(J22&gt;0,IF(FE22=4,5,IF(FE22=5,6,IF(FE22=6,8,IF(FE22=8,"10 EO","")))),"")</f>
        <v/>
      </c>
      <c r="FG22" s="361" t="e">
        <f t="shared" ref="FG22:FG85" si="60">HLOOKUP(LEFT(BO22,7),Approx_Cool,3)*IFERROR((BQ22/VALUE(LEFT(EY22))),1)</f>
        <v>#N/A</v>
      </c>
      <c r="FH22" s="361">
        <f t="shared" ref="FH22:FH85" si="61">F22/$CB$8</f>
        <v>0</v>
      </c>
      <c r="FI22" s="361" t="e">
        <f t="shared" ref="FI22:FI85" si="62">(F22/$CB$8)/L22</f>
        <v>#DIV/0!</v>
      </c>
      <c r="FJ22" s="361"/>
      <c r="FK22" s="362" t="e">
        <f t="shared" ref="FK22:FK85" si="63">0+X22</f>
        <v>#VALUE!</v>
      </c>
      <c r="FL22" s="361"/>
      <c r="FM22" s="361"/>
      <c r="FN22" s="362" t="str">
        <f>IF(L22&gt;0,IF(J22="CBLV-12",0.5,IF(J22="CBE2-12",0.5,IF(J22="CBLV",0.5,0.25)))," ")</f>
        <v xml:space="preserve"> </v>
      </c>
      <c r="FO22" s="362" t="str">
        <f>IF(L22&gt;0,IF(J22="CBAW",1.9,IF(J22="CBAM",1.7,IF(J22="CBAL-12",4,IF(J22="CBE2-12",4,IF(J22="CBLV",4,2.5)))))," ")</f>
        <v xml:space="preserve"> </v>
      </c>
      <c r="FP22" s="362">
        <f>IF(T22=0,0,IF(OR(LEFT(BO22,7)="CBLV-00",LEFT(BO22,7)="CBLV-12"),1,0.5))</f>
        <v>0</v>
      </c>
      <c r="FQ22" s="361">
        <f t="shared" ref="FQ22:FQ85" si="64">IF(T22=0,0,IF(T22&lt;FP22,1,0))</f>
        <v>0</v>
      </c>
      <c r="FR22" s="362" t="str">
        <f>IF(L22&gt;0,IF(J22="CBAL2",Worksheet!$P$67,IF(J22="CBE2-24",Worksheet!$Q$67,IF(J22="CBAM",Worksheet!$R$67,IF(J22="CBLV",Worksheet!$S$67,IF(J22="CBAB",Worksheet!$U$67,IF(J22="CBAW",Worksheet!$X$67,IF(J22="CBE2-12",Worksheet!$Y$67,IF(J22="CBAL2",Worksheet!$Z$67,"N/A"))))))))," ")</f>
        <v xml:space="preserve"> </v>
      </c>
      <c r="FS22" s="362" t="str">
        <f>IF(L22&gt;0,IF(J22="CBAL2",Worksheet!$P$68,IF(J22="CBE2-24",Worksheet!$Q$68,IF(J22="CBAM",Worksheet!$R$68,IF(J22="CBLV",Worksheet!$S$68,IF(J22="CBAB",Worksheet!$U$68,IF(J22="CBAW",Worksheet!$X$68,IF(J22="CBE2-12",Worksheet!$Y$68,IF(J22="CBAL2",Worksheet!$Z$68,"N/A"))))))))," ")</f>
        <v xml:space="preserve"> </v>
      </c>
      <c r="FT22" s="362" t="str">
        <f>IF(L22&gt;0,IF(J22="CBAL2",Worksheet!$P$69,IF(J22="CBE2-24",Worksheet!$Q$69,IF(J22="CBAM",Worksheet!$R$69,IF(J22="CBLV",Worksheet!$S$69,IF(J22="CBAB",Worksheet!$U$69,IF(J22="CBAW",Worksheet!$X$69,IF(J22="CBE2-12",Worksheet!$Y$69,IF(J22="CBAL2",Worksheet!$Z$69,"N/A"))))))))," ")</f>
        <v xml:space="preserve"> </v>
      </c>
      <c r="FU22" s="361" t="str">
        <f t="shared" ref="FU22" si="65">IF(FR22="N/A","N/A",IF(BD22&gt;0,MIN(FR22*(DI22/(0.5*BG22))^2/(DH22^2),FS22*(DI22/(0.5*BG22))/DH22,FT22*(DI22/(0.5*BG22))^0.5/(DH22^0.5))," "))</f>
        <v xml:space="preserve"> </v>
      </c>
      <c r="FV22" s="362" t="str">
        <f t="shared" ref="FV22" si="66">IF(FU22="N/A","N/A",IF(BD22&gt;0,0.5*(3.5/(BD22-BE22))^0.8," "))</f>
        <v xml:space="preserve"> </v>
      </c>
      <c r="FW22" s="362" t="str">
        <f t="shared" ref="FW22" si="67">IF(FU22="N/A","N/A",IF(BD22&gt;0,($F$6-AS22)*0.01," "))</f>
        <v xml:space="preserve"> </v>
      </c>
      <c r="FX22" s="362" t="str">
        <f t="shared" ref="FX22" si="68">IF(FU22="N/A","N/A",IF(BD22&gt;0,(AZ22-$H$6)*0.01," "))</f>
        <v xml:space="preserve"> </v>
      </c>
      <c r="FY22" s="355" t="str">
        <f t="shared" ref="FY22" si="69">IF(FR22="N/A","N/A",IF(BD22&gt;0,MIN(FR22*(DI22/(BD22+BF22-BE22))^2/(DH22^2),FS22*(DI22/(BD22-BE22+BF22))/DH22,FT22*(DI22/(BD22-BE22+BF22))^0.5/(DH22^0.5))," "))</f>
        <v xml:space="preserve"> </v>
      </c>
      <c r="FZ22" s="361" t="str">
        <f t="shared" ref="FZ22" si="70">IF(BD22&gt;0,IF(FU22="N/A","N/A",FU22*FV22*(1-FW22))," ")</f>
        <v xml:space="preserve"> </v>
      </c>
      <c r="GA22" s="347" t="str">
        <f t="shared" ref="GA22" si="71">IF(BD22&gt;0,IF(FU22="N/A","N/A",$F$6-(FZ22/DI22)*($F$6-AS22))," ")</f>
        <v xml:space="preserve"> </v>
      </c>
      <c r="GB22" s="355" t="str">
        <f t="shared" ref="GB22" si="72">IF(BD22&gt;0,IF(FU22="N/A","N/A",FY22*(1+FW22))," ")</f>
        <v xml:space="preserve"> </v>
      </c>
      <c r="GC22" s="328" t="str">
        <f t="shared" ref="GC22" si="73">IF(BD22&gt;0,IF(FU22="N/A","N/A",$F$6-(FY22/DI22)*($F$6-AS22))," ")</f>
        <v xml:space="preserve"> </v>
      </c>
      <c r="GD22" s="361" t="str">
        <f t="shared" ref="GD22" si="74">IF(BD22&gt;0,IF(FU22="N/A","N/A",FU22*FV22*(1-FX22))," ")</f>
        <v xml:space="preserve"> </v>
      </c>
      <c r="GE22" s="347" t="str">
        <f t="shared" ref="GE22" si="75">IF(BD22&gt;0,IF(FU22="N/A","N/A",$H$6-(GD22/DI22)*($H$6-AZ22))," ")</f>
        <v xml:space="preserve"> </v>
      </c>
      <c r="GF22" s="361" t="str">
        <f t="shared" ref="GF22" si="76">IF(BD22&gt;0,IF(FU22="N/A","N/A",FY22*(1-FX22))," ")</f>
        <v xml:space="preserve"> </v>
      </c>
      <c r="GG22" s="347" t="str">
        <f t="shared" ref="GG22" si="77">IF(BD22&gt;0,IF(FU22="N/A","N/A",$H$6-(GF22/DI22)*($H$6-AZ22))," ")</f>
        <v xml:space="preserve"> </v>
      </c>
      <c r="GH22" s="364">
        <f t="shared" ref="GH22:GH85" si="78">IFERROR(IF(AZ22="",0,AZ22-$H$6),0)</f>
        <v>0</v>
      </c>
      <c r="GI22" s="362">
        <f>COUNTA(J22:R22)+COUNTA(T22)</f>
        <v>2</v>
      </c>
      <c r="GJ22" s="433" t="e">
        <f>IF(6-COUNTBLANK(GT22:GY22)=4,MATCH(MID(BO22,9,3),CLU!$H$16:$K$16),MATCH(MID(BO22,9,3),CLU!$H$13:$M$13))</f>
        <v>#N/A</v>
      </c>
      <c r="GK22" s="433" t="e">
        <f>HLOOKUP(VALUE(BP22),CLU!$H$9:$M$10,2)</f>
        <v>#VALUE!</v>
      </c>
      <c r="GL22" s="433" t="e">
        <f ca="1">MATCH(BU22,CLU!$H$2:$V$2,1)</f>
        <v>#VALUE!</v>
      </c>
      <c r="GM22" s="433" t="e">
        <f ca="1">((GL22-1)*10)+15</f>
        <v>#VALUE!</v>
      </c>
      <c r="GN22" s="433" t="e">
        <f ca="1">((M22-2)*15)+GL22</f>
        <v>#VALUE!</v>
      </c>
      <c r="GO22" s="433" t="e">
        <f ca="1">IF(GL22=15,15,GL22+1)</f>
        <v>#VALUE!</v>
      </c>
      <c r="GP22" s="433" t="e">
        <f ca="1">((GO22-1)*10)+15</f>
        <v>#VALUE!</v>
      </c>
      <c r="GQ22" s="433" t="e">
        <f ca="1">((M22-2)*15)+GO22</f>
        <v>#VALUE!</v>
      </c>
      <c r="GR22" s="433" t="e">
        <f ca="1">MATCH(T22,INDIRECT(VLOOKUP(CONCATENATE(LEFT(BO22,7),"-",MID(BO22,13,1)),CLU!$P$3:$Q$16,2)),1)</f>
        <v>#N/A</v>
      </c>
      <c r="GS22" s="433" t="e">
        <f ca="1">MATCH(U22,INDIRECT(VLOOKUP(CONCATENATE(LEFT(BO22,7),"-",MID(BO22,13,1)),CLU!$P$3:$Q$16,2)),1)</f>
        <v>#N/A</v>
      </c>
      <c r="GT22" s="347" t="s">
        <v>512</v>
      </c>
      <c r="GU22" s="97" t="s">
        <v>513</v>
      </c>
      <c r="GV22" s="97" t="str">
        <f>IF(J22="CBAL2","M20",IF(J22="CBE2-24","M20","M23"))</f>
        <v>M23</v>
      </c>
      <c r="GW22" s="97" t="str">
        <f>IF(J22="CBAL2","M23",IF(J22="CBE2-24","M23","M31"))</f>
        <v>M31</v>
      </c>
      <c r="GX22" s="97" t="str">
        <f>IF(J22="CBAL2","M27",IF(J22="CBE2-24","M27",""))</f>
        <v/>
      </c>
      <c r="GY22" s="97" t="str">
        <f>IF(J22="CBAL2","M31",IF(J22="CBE2-24","M31",""))</f>
        <v/>
      </c>
      <c r="GZ22" s="481"/>
      <c r="HA22" s="288"/>
      <c r="HB22" s="240"/>
      <c r="HC22" s="240"/>
      <c r="HD22" s="240"/>
      <c r="HE22" s="240"/>
      <c r="HF22" s="240"/>
      <c r="HG22" s="240"/>
      <c r="HH22" s="240"/>
      <c r="HI22" s="240"/>
      <c r="HJ22" s="240"/>
      <c r="HK22" s="240"/>
      <c r="HL22" s="240"/>
      <c r="HM22" s="240"/>
      <c r="HN22" s="240"/>
      <c r="HO22" s="240"/>
      <c r="HP22" s="240"/>
      <c r="HQ22" s="240"/>
      <c r="HR22" s="240"/>
      <c r="HS22" s="240"/>
      <c r="HT22" s="240"/>
      <c r="HU22" s="240"/>
      <c r="HV22" s="245"/>
      <c r="HW22" s="245" t="b">
        <v>1</v>
      </c>
      <c r="HX22" s="245" t="str">
        <f t="shared" ref="HX22:HX85" si="79">IF(J22="","",CONCATENATE(LEFT(BO22,7),"-",BQ22,"-",LEFT(O22,1)))</f>
        <v/>
      </c>
      <c r="HY22" s="245" t="e">
        <f t="shared" ref="HY22:HY85" si="80">ROUNDUP(MAX(H22/L22,FI22),0)</f>
        <v>#DIV/0!</v>
      </c>
      <c r="HZ22" s="245" t="e">
        <f t="shared" ref="HZ22:HZ85" si="81">ROUNDUP((E22/L22)*$X$5,0)</f>
        <v>#DIV/0!</v>
      </c>
      <c r="IA22" s="245">
        <f t="shared" ref="IA22:IA85" si="82">IF(G22=0,0,G22/L22)</f>
        <v>0</v>
      </c>
      <c r="IB22" s="245"/>
      <c r="IC22" t="b">
        <f t="shared" ref="IC22:IC85" si="83">ISBLANK(E22)</f>
        <v>1</v>
      </c>
      <c r="ID22" s="245" t="b">
        <f t="shared" ref="ID22:ID85" si="84">ISBLANK(J22)</f>
        <v>1</v>
      </c>
      <c r="IE22" s="245" t="b">
        <f t="shared" ref="IE22:IE85" si="85">ISBLANK(J22)</f>
        <v>1</v>
      </c>
      <c r="IF22" s="245" t="b">
        <f t="shared" ref="IF22:IF85" si="86">ISNUMBER(L22)</f>
        <v>0</v>
      </c>
      <c r="IG22" s="245" t="b">
        <f t="shared" ref="IG22:IG85" si="87">ISBLANK(N22)</f>
        <v>1</v>
      </c>
      <c r="IH22" s="245" t="b">
        <f t="shared" ref="IH22:IH85" si="88">ISBLANK(O22)</f>
        <v>1</v>
      </c>
      <c r="II22" s="245">
        <f>IFERROR(IF(AND(IV22&gt;0,HW22=TRUE,IW22&gt;0,HX22&gt;0,IC22=FALSE,ID22=FALSE,IE22=FALSE,IF22=TRUE,IG22=FALSE,IH22=FALSE),1,0),0)</f>
        <v>0</v>
      </c>
      <c r="IJ22" s="245" t="e">
        <f t="shared" ref="IJ22:IJ85" si="89">INT(ABS(AQ22))</f>
        <v>#VALUE!</v>
      </c>
      <c r="IK22" s="245" t="e">
        <f t="shared" ref="IK22:IK85" si="90">INT(ABS(AY22))</f>
        <v>#VALUE!</v>
      </c>
      <c r="IL22" s="245"/>
      <c r="IM22" s="245" t="e">
        <f>VLOOKUP(MATCH(LEFT(HX22,7),$IM$7:$IM$17,0),$IL$7:$IO$17,3)</f>
        <v>#N/A</v>
      </c>
      <c r="IN22" s="245" t="e">
        <f>VLOOKUP(MATCH(LEFT(HX22,7),$IM$7:$IM$17,0),$IL$7:$IO$17,4)</f>
        <v>#N/A</v>
      </c>
      <c r="IO22" s="245"/>
      <c r="IP22" s="245"/>
      <c r="IQ22" s="245" t="str">
        <f t="shared" ref="IQ22:IQ85" si="91">IF(J22="","",$X$8)</f>
        <v/>
      </c>
      <c r="IR22" s="245" t="str">
        <f>IF(J22="","",VLOOKUP(J22,Worksheet!$R$4:$T$14,2))</f>
        <v/>
      </c>
      <c r="IS22" s="245"/>
      <c r="IT22" s="245">
        <f t="shared" ref="IT22:IT85" si="92">IF((L22&gt;0),1,0)</f>
        <v>0</v>
      </c>
      <c r="IU22" s="245">
        <f t="shared" ref="IU22:IU85" si="93">IFERROR(MATCH(M22,EO22:EW22,0),0)</f>
        <v>0</v>
      </c>
      <c r="IV22" s="245">
        <f t="shared" ref="IV22:IV85" si="94">IFERROR(MATCH(N22,EX22:EY22,0),0)</f>
        <v>0</v>
      </c>
      <c r="IW22" s="245">
        <f t="shared" ref="IW22:IW85" si="95">IFERROR(MATCH(O22,EZ22:FC22,0),0)</f>
        <v>0</v>
      </c>
      <c r="IX22" s="245">
        <f>IFERROR(MATCH(P22,GT22:GY22,0),0)</f>
        <v>0</v>
      </c>
      <c r="IY22" s="245">
        <f t="shared" ref="IY22:IY85" si="96">IF(LEN(S22)=0,0,1)</f>
        <v>0</v>
      </c>
      <c r="IZ22" s="245">
        <f t="shared" ref="IZ22:IZ85" si="97">IFERROR(IF((R22&gt;BS22*1250),1,0),0)</f>
        <v>0</v>
      </c>
      <c r="JA22">
        <f t="shared" ref="JA22:JA85" si="98">IFERROR(IF(AND(T22&gt;0.24,T22&lt;(IN22+0.01)),1,0),0)</f>
        <v>0</v>
      </c>
      <c r="JB22">
        <f>IF(ISERROR(IF(MIN(IT22,IU22,IV22,IW22,IX22,IZ22,JA22)=0,0,1))=TRUE,0,MIN(IT22,IU22,IV22,IW22,IX22,IZ22,JA22))</f>
        <v>0</v>
      </c>
      <c r="JC22">
        <f t="shared" ref="JC22:JC85" si="99">IF($JB22=1,W22,0)</f>
        <v>0</v>
      </c>
      <c r="JD22">
        <f t="shared" ref="JD22:JD85" si="100">IF($JB22=1,Z22,0)</f>
        <v>0</v>
      </c>
      <c r="JE22">
        <f t="shared" ref="JE22:JE85" si="101">IF($JB22=1,AA22,0)</f>
        <v>0</v>
      </c>
      <c r="JF22">
        <f t="shared" ref="JF22:JF85" si="102">IF($JB22=1,AF22,0)</f>
        <v>0</v>
      </c>
      <c r="JG22">
        <f t="shared" ref="JG22:JG85" si="103">IF($JB22=1,L22,0)</f>
        <v>0</v>
      </c>
      <c r="JH22">
        <f t="shared" ref="JH22:JH85" si="104">IF($JB22=1,L22*M22,0)</f>
        <v>0</v>
      </c>
      <c r="JI22">
        <f t="shared" ref="JI22:JI85" si="105">IF($JB22=1,AO22*L22,0)</f>
        <v>0</v>
      </c>
      <c r="JJ22" s="447">
        <f t="shared" ref="JJ22:JJ85" si="106">ABS(IF($JB22=1,AP22*L22,0))</f>
        <v>0</v>
      </c>
      <c r="JK22" s="447">
        <f t="shared" ref="JK22:JK85" si="107">ABS(IF($JB22=1,AE22,0))</f>
        <v>0</v>
      </c>
      <c r="JL22">
        <f t="shared" ref="JL22:JL85" si="108">IF($JB22=1,AI22,0)</f>
        <v>0</v>
      </c>
      <c r="JM22" s="245" t="str">
        <f>IFERROR(VLOOKUP(MATCH(BN22,#REF!,0),#REF!,7),"")</f>
        <v/>
      </c>
      <c r="JN22" t="e">
        <f>HLOOKUP(LEFT(BO22,7),Discharge_Area,MATCH(JO22,LookUps!$B$130:$B$149,1)+2)</f>
        <v>#N/A</v>
      </c>
      <c r="JO22" t="str">
        <f t="shared" ref="JO22:JO85" si="109">CONCATENATE(M22,"-",BQ22,"S")</f>
        <v>- S</v>
      </c>
      <c r="JP22" t="e">
        <f>HLOOKUP(LEFT(BO22,7),Discharge_Area,MATCH(JO22,LookUps!$B$130:$B$149,1)+2)</f>
        <v>#N/A</v>
      </c>
      <c r="JQ22" t="e">
        <f t="shared" ref="JQ22:JQ85" si="110">HLOOKUP(LEFT(BO22,7),Throw_Coeff,3)</f>
        <v>#N/A</v>
      </c>
      <c r="JR22" t="e">
        <f t="shared" ref="JR22:JR85" si="111">HLOOKUP(LEFT(BO22,7),Throw_Coeff,4)</f>
        <v>#N/A</v>
      </c>
      <c r="JS22" t="e">
        <f t="shared" ref="JS22:JS85" si="112">HLOOKUP(LEFT(BO22,7),Throw_Coeff,5)</f>
        <v>#N/A</v>
      </c>
      <c r="JT22" s="532" t="str">
        <f t="shared" ref="JT22:JT85" si="113">IF(L22&gt;0,AS22-$F$6," ")</f>
        <v xml:space="preserve"> </v>
      </c>
      <c r="JU22" s="532" t="str">
        <f t="shared" ref="JU22:JU85" si="114">IF(L22&gt;0,AZ22-$H$6," ")</f>
        <v xml:space="preserve"> </v>
      </c>
      <c r="JV22" s="533" t="str">
        <f t="shared" ref="JV22:JV85" si="115">IF(L22&gt;0,LH22/JP22," ")</f>
        <v xml:space="preserve"> </v>
      </c>
      <c r="JW22" s="534">
        <f t="shared" ref="JW22:JW85" si="116">IF(L22&gt;0,IF(BD22&gt;0,IF(BE22&gt;0,IF(BF22&gt;0,BF22+(BD22-BE22),0),0),0),0)</f>
        <v>0</v>
      </c>
      <c r="JX22" s="535" t="str">
        <f>IF(JW22&gt;0,JV22/(JW22/JQ22/SQRT(JP22/2))^0.5," ")</f>
        <v xml:space="preserve"> </v>
      </c>
      <c r="JY22" s="535" t="str">
        <f>IF(JW22&gt;0,JV22/(JW22/JR22/SQRT(JP22/2))," ")</f>
        <v xml:space="preserve"> </v>
      </c>
      <c r="JZ22" s="535" t="str">
        <f>IF(JW22&gt;0,JV22/(JW22/JS22/SQRT(JP22/2))^2," ")</f>
        <v xml:space="preserve"> </v>
      </c>
      <c r="KA22" s="536" t="str">
        <f t="shared" ref="KA22:KA85" si="117">IF(JW22&gt;0,0.8*(JV22/200)^0.2*(M22/4)^0.05," ")</f>
        <v xml:space="preserve"> </v>
      </c>
      <c r="KB22" s="535" t="e">
        <f>IF(JW22&gt;0,MIN(JX22:JZ22)*KA22," ")*0.6</f>
        <v>#VALUE!</v>
      </c>
      <c r="KC22" s="535" t="str">
        <f t="shared" ref="KC22:KC85" si="118">IF(U22=0,"",IF(JW22&gt;0,KA22*0.8*MIN(JX22:JZ22)/(JU22/10)^0.3," "))</f>
        <v/>
      </c>
      <c r="KD22" s="537" t="str">
        <f>IF(JW22&gt;0,(0.72*(KB22/JV22)*(JV22/200)^0.2)*JT22," ")</f>
        <v xml:space="preserve"> </v>
      </c>
      <c r="KE22" s="537" t="str">
        <f>IF(JW22&gt;0,(0.72*(KC22/JV22)*(JV22/200)^0.2)*JU22," ")</f>
        <v xml:space="preserve"> </v>
      </c>
      <c r="KF22" s="534">
        <f t="shared" ref="KF22:KF85" si="119">IF(L22&gt;0,IF(BG22&gt;0,IF(BD22&gt;0,IF(BE22&gt;0,BG22/2,0),0),0),0)</f>
        <v>0</v>
      </c>
      <c r="KG22" s="535" t="str">
        <f t="shared" ref="KG22:KG85" si="120">IF(KF22&gt;0,JV22/(BG22*0.5/JQ22/SQRT(JP22/2))^0.5," ")</f>
        <v xml:space="preserve"> </v>
      </c>
      <c r="KH22" s="535" t="str">
        <f t="shared" ref="KH22:KH85" si="121">IF(KF22&gt;0,JV22/(BG22*0.5/JR22/SQRT(JP22/2))," ")</f>
        <v xml:space="preserve"> </v>
      </c>
      <c r="KI22" s="535" t="str">
        <f t="shared" ref="KI22:KI85" si="122">IF(KF22&gt;0,JV22/(BG22*0.5/JS22/SQRT(JP22/2))^2," ")</f>
        <v xml:space="preserve"> </v>
      </c>
      <c r="KJ22" s="536" t="str">
        <f t="shared" ref="KJ22:KJ85" si="123">IF(KF22&gt;0,3.3/(BD22-BE22)*0.53*0.8*(JV22/200)^0.2*(M22/4)^0.05," ")</f>
        <v xml:space="preserve"> </v>
      </c>
      <c r="KK22" s="535" t="str">
        <f>IF(KF22&gt;0,MIN(KG22:KI22)*KJ22," ")</f>
        <v xml:space="preserve"> </v>
      </c>
      <c r="KL22" s="535" t="str">
        <f>IF(KF22&gt;0,KJ22*MIN(KG22:KI22)/(KB22/10)^0.3," ")</f>
        <v xml:space="preserve"> </v>
      </c>
      <c r="KM22" s="537" t="str">
        <f t="shared" ref="KM22:KM85" si="124">IF(KF22&gt;0,0.35*KD22*(BG22*0.5+(BD22-BE22))/JW22," ")</f>
        <v xml:space="preserve"> </v>
      </c>
      <c r="KN22" s="537" t="str">
        <f>IF(KF22&gt;0,KM22*JU22/JT22," ")</f>
        <v xml:space="preserve"> </v>
      </c>
      <c r="KP22">
        <f t="shared" ref="KP22:KP85" si="125">12*500*T22</f>
        <v>0</v>
      </c>
      <c r="LA22" t="e">
        <f t="shared" ref="LA22:LA85" si="126">(2.241*(LN(BS22))-5.325)</f>
        <v>#VALUE!</v>
      </c>
      <c r="LB22" t="e">
        <f t="shared" ref="LB22:LB85" si="127">(24.173*(LN(DC22+DE22))+133.37)</f>
        <v>#VALUE!</v>
      </c>
      <c r="LC22" t="e">
        <f t="shared" ref="LC22:LC85" si="128">IF(DD22&lt;590,15.827*(LN(590))-83.608,(15.827*(LN(DD22))-83.608))</f>
        <v>#VALUE!</v>
      </c>
      <c r="LD22" t="e">
        <f t="shared" ref="LD22:LD85" si="129">(35.444*(LN(BT22))-187.23)</f>
        <v>#VALUE!</v>
      </c>
      <c r="LE22" t="e">
        <f>SUM(LA22+LB22+LC22-LD22)+11.198</f>
        <v>#VALUE!</v>
      </c>
      <c r="LF22">
        <f t="shared" ref="LF22:LF85" si="130">IF(AND(R22&gt;210,P22="M31")=TRUE,((R22-210)/26),0)</f>
        <v>0</v>
      </c>
      <c r="LG22" t="e">
        <f>ROUND(IF((LE22-17)&lt;15,15,LE22-17)+LF22,0)</f>
        <v>#VALUE!</v>
      </c>
      <c r="LH22" t="str">
        <f t="shared" ref="LH22:LH85" si="131">IF((JB22&gt;0),(DF22+1)*R22," ")</f>
        <v xml:space="preserve"> </v>
      </c>
      <c r="LI22">
        <f>IF(OR(LEFT(HX22,9)="CBAL2-0-1",LEFT(HX22,9)="CBLV-12-1",LEFT(HX22,9)="CBE2-24-1",LEFT(HX22,9)="CBE2-12-1")=TRUE,0.525,1)</f>
        <v>1</v>
      </c>
    </row>
    <row r="23" spans="1:321" ht="15" customHeight="1">
      <c r="B23" s="311"/>
      <c r="C23" s="311"/>
      <c r="D23" s="312"/>
      <c r="E23" s="311"/>
      <c r="F23" s="312"/>
      <c r="G23" s="311"/>
      <c r="H23" s="311"/>
      <c r="I23" s="219"/>
      <c r="J23" s="311"/>
      <c r="K23" s="305" t="str">
        <f t="shared" ref="K23:K86" si="132">IF(AND(E23&gt;0,J23&gt;0),ROUNDUP(MAX(D23/$X$9,E23/FG23,H23/220,FH23/220),0),"")</f>
        <v/>
      </c>
      <c r="L23" s="313"/>
      <c r="M23" s="312"/>
      <c r="N23" s="311"/>
      <c r="O23" s="312"/>
      <c r="P23" s="311"/>
      <c r="Q23" s="305" t="str">
        <f t="shared" ref="Q23:Q86" si="133">IF(AND(J23&gt;0,L23&gt;0,M23&gt;0,N23&gt;0,O23&gt;0,P23&gt;0),ROUNDUP(MAX(H23/L23,BS23*1250,FI23),0),"")</f>
        <v/>
      </c>
      <c r="R23" s="314"/>
      <c r="S23" s="450" t="str">
        <f t="shared" si="0"/>
        <v/>
      </c>
      <c r="T23" s="315"/>
      <c r="U23" s="315"/>
      <c r="W23" s="149" t="str">
        <f t="shared" si="1"/>
        <v xml:space="preserve"> </v>
      </c>
      <c r="X23" s="243" t="str">
        <f t="shared" si="2"/>
        <v xml:space="preserve"> </v>
      </c>
      <c r="Y23" s="150" t="str">
        <f t="shared" si="3"/>
        <v/>
      </c>
      <c r="Z23" s="149" t="str">
        <f t="shared" si="4"/>
        <v xml:space="preserve"> </v>
      </c>
      <c r="AA23" s="98" t="str">
        <f t="shared" si="5"/>
        <v xml:space="preserve"> </v>
      </c>
      <c r="AB23" s="153" t="str">
        <f t="shared" si="6"/>
        <v xml:space="preserve"> </v>
      </c>
      <c r="AC23" s="153" t="str">
        <f t="shared" si="7"/>
        <v xml:space="preserve"> </v>
      </c>
      <c r="AD23" s="148" t="str">
        <f t="shared" si="8"/>
        <v/>
      </c>
      <c r="AE23" s="149" t="str">
        <f t="shared" si="9"/>
        <v/>
      </c>
      <c r="AF23" s="151" t="str">
        <f t="shared" si="10"/>
        <v xml:space="preserve"> </v>
      </c>
      <c r="AG23" s="153" t="str">
        <f t="shared" si="11"/>
        <v xml:space="preserve"> </v>
      </c>
      <c r="AH23" s="98" t="str">
        <f t="shared" si="12"/>
        <v xml:space="preserve"> </v>
      </c>
      <c r="AI23" s="149" t="str">
        <f t="shared" si="13"/>
        <v xml:space="preserve"> </v>
      </c>
      <c r="AK23" s="144" t="str">
        <f t="shared" si="14"/>
        <v xml:space="preserve"> </v>
      </c>
      <c r="AL23" s="144"/>
      <c r="AM23" s="243" t="str">
        <f t="shared" si="15"/>
        <v xml:space="preserve"> </v>
      </c>
      <c r="AN23" s="149" t="str">
        <f t="shared" ref="AN23:AN86" si="134">IF((JB23&gt;0),LG23," ")</f>
        <v xml:space="preserve"> </v>
      </c>
      <c r="AO23" s="144" t="str">
        <f>IF(JB23&gt;0,IF(GI23=10,-R23*1.085*(Calculation!$F$6-Calculation!$F$13)*$S$14," "),"")</f>
        <v/>
      </c>
      <c r="AP23" s="144" t="str">
        <f t="shared" si="16"/>
        <v/>
      </c>
      <c r="AQ23" s="56" t="str">
        <f t="shared" si="17"/>
        <v/>
      </c>
      <c r="AR23" s="144" t="str">
        <f t="shared" si="18"/>
        <v/>
      </c>
      <c r="AS23" s="176" t="str">
        <f t="shared" si="19"/>
        <v/>
      </c>
      <c r="AT23" s="176" t="str">
        <f t="shared" ref="AT23:AT86" si="135">IF(GI23=10,EM23," ")</f>
        <v xml:space="preserve"> </v>
      </c>
      <c r="AU23" s="176" t="str">
        <f t="shared" si="20"/>
        <v/>
      </c>
      <c r="AV23" s="177" t="str">
        <f t="shared" si="21"/>
        <v xml:space="preserve"> </v>
      </c>
      <c r="AW23" s="144" t="str">
        <f t="shared" si="22"/>
        <v xml:space="preserve"> </v>
      </c>
      <c r="AX23" s="144" t="str">
        <f t="shared" si="23"/>
        <v xml:space="preserve"> </v>
      </c>
      <c r="AY23" s="152" t="str">
        <f t="shared" si="24"/>
        <v xml:space="preserve"> </v>
      </c>
      <c r="AZ23" s="246" t="str">
        <f t="shared" si="25"/>
        <v/>
      </c>
      <c r="BA23" s="176" t="str">
        <f t="shared" si="26"/>
        <v xml:space="preserve"> </v>
      </c>
      <c r="BB23" s="176" t="str">
        <f t="shared" si="27"/>
        <v xml:space="preserve"> </v>
      </c>
      <c r="BC23" s="195"/>
      <c r="BD23" s="316"/>
      <c r="BE23" s="317"/>
      <c r="BF23" s="318"/>
      <c r="BG23" s="318"/>
      <c r="BH23" s="144" t="str">
        <f>IFERROR(KK23,"")</f>
        <v xml:space="preserve"> </v>
      </c>
      <c r="BI23" s="176" t="str">
        <f t="shared" si="28"/>
        <v/>
      </c>
      <c r="BJ23" s="144" t="str">
        <f>IFERROR(KB23,"")</f>
        <v/>
      </c>
      <c r="BK23" s="246" t="str">
        <f t="shared" si="29"/>
        <v/>
      </c>
      <c r="BL23" s="144" t="str">
        <f>IFERROR(KC23,"")</f>
        <v/>
      </c>
      <c r="BM23" s="246" t="str">
        <f t="shared" si="30"/>
        <v/>
      </c>
      <c r="BN23" s="337" t="str">
        <f t="shared" ref="BN23:BN86" si="136">IF(COUNTBLANK(L23:T23)+COUNTBLANK(J23)=0,CONCATENATE(BO23,"-",R23,"-",S23,"-",T23,"-",U23),"")</f>
        <v/>
      </c>
      <c r="BO23" s="371" t="str">
        <f t="shared" ref="BO23:BO86" si="137">IF(AND(J23="",N23="",O23=""),"",CONCATENATE(J23,(IF(LEN(J23)=4,("-00"),IF(LEN(J23)=5,("-0"),""))),"-",P23,"-",(LEFT(N23,1)),"-",M23,"-",(LEFT(O23,1))))</f>
        <v/>
      </c>
      <c r="BP23" s="328" t="str">
        <f>IF(AND(N23&gt;0,O23&gt;0),IF(LEFT(BO23,4)="CBAV",VALUE(CONCATENATE(1,LEFT(O23,1))),VALUE(CONCATENATE(LEFT(N23,1),(LEFT(O23,1)))))," ")</f>
        <v xml:space="preserve"> </v>
      </c>
      <c r="BQ23" s="347" t="str">
        <f t="shared" ref="BQ23:BQ86" si="138">LEFT(BP23,1)</f>
        <v xml:space="preserve"> </v>
      </c>
      <c r="BR23" s="353" t="str">
        <f>IF(L23&gt;0,HLOOKUP(LEFT(BO23,7),Noz_Qty,(MATCH(CONCATENATE(IF(LEN(M23)=1,("0"),""),M23,"-",LEFT(BP23,1),"S"),Len_SlotLU,0)+2))," ")</f>
        <v xml:space="preserve"> </v>
      </c>
      <c r="BS23" s="626" t="str">
        <f>IF(L23&gt;0,IF(Calculation!P23="M13",BR23*3.1416*(0.134^2)/(4*144),IF(Calculation!P23="M17",BR23*3.1416*(0.165^2)/(4*144),IF(Calculation!P23="M20",BR23*3.1416*(0.198^2)/(4*144),IF(Calculation!P23="M23",BR23*3.1416*(0.228^2)/(4*144),IF(Calculation!P23="M27",BR23*3.1416*(0.269^2)/(4*144),BR23*3.1416*(0.307^2)/(4*144))))))," ")</f>
        <v xml:space="preserve"> </v>
      </c>
      <c r="BT23" s="353" t="str">
        <f>IF(L23&gt;0,IF(BS23&gt;0,R23/Calculation!BS23,0)," ")</f>
        <v xml:space="preserve"> </v>
      </c>
      <c r="BU23" s="438" t="e">
        <f t="shared" ca="1" si="31"/>
        <v>#VALUE!</v>
      </c>
      <c r="BV23" s="449" t="e">
        <f ca="1">INDEX(INDIRECT(VLOOKUP(LEFT(BO23,7),CLU!$Z$3:$AH$18,2)),GN23,GR23)</f>
        <v>#N/A</v>
      </c>
      <c r="BW23" s="433" t="e">
        <f ca="1">INDEX(INDIRECT(VLOOKUP(LEFT(BO23,7),CLU!$Z$3:$AH$18,3)),GN23,GR23)</f>
        <v>#N/A</v>
      </c>
      <c r="BX23" s="433" t="e">
        <f ca="1">INDEX(INDIRECT(VLOOKUP(LEFT(BO23,7),CLU!$Z$3:$AH$18,4)),GN23,GR23)</f>
        <v>#N/A</v>
      </c>
      <c r="BY23" s="433" t="e">
        <f ca="1">INDEX(INDIRECT(VLOOKUP(LEFT(BO23,7),CLU!$Z$3:$AH$18,9)),((M23-2)*(6-COUNTBLANK(GT23:GY23)))+GJ23)</f>
        <v>#N/A</v>
      </c>
      <c r="BZ23" s="426" t="e">
        <f t="shared" ref="BZ23:BZ86" ca="1" si="139">((BV23*T23)+BW23)*BX23*BY23</f>
        <v>#N/A</v>
      </c>
      <c r="CA23" s="424" t="e">
        <f t="shared" ref="CA23:CA86" ca="1" si="140">BZ23*DJ23*$BT$8</f>
        <v>#N/A</v>
      </c>
      <c r="CB23" s="429" t="e">
        <f ca="1">INDEX(INDIRECT(VLOOKUP(LEFT(BO23,7),CLU!$Z$3:$AH$18,2)),GN23,GS23)</f>
        <v>#N/A</v>
      </c>
      <c r="CC23" s="342" t="e">
        <f ca="1">INDEX(INDIRECT(VLOOKUP(LEFT(BO23,7),CLU!$Z$3:$AH$18,3)),GN23,GS23)</f>
        <v>#N/A</v>
      </c>
      <c r="CD23" s="342" t="e">
        <f ca="1">INDEX(INDIRECT(VLOOKUP(LEFT(BO23,7),CLU!$Z$3:$AH$18,4)),GN23,GS23)</f>
        <v>#N/A</v>
      </c>
      <c r="CE23" s="426" t="e">
        <f t="shared" ref="CE23:CE86" ca="1" si="141">((CB23*U23)+CC23)*CD23*BY23</f>
        <v>#N/A</v>
      </c>
      <c r="CF23" s="440">
        <f t="shared" ref="CF23:CF86" si="142">IF(U23=0,0,IF(O23="2 pipe (cooling)",0,CE23*DK23))*$BV$8</f>
        <v>0</v>
      </c>
      <c r="CG23" s="431" t="e">
        <f ca="1">INDEX(INDIRECT(VLOOKUP(LEFT(BO23,7),CLU!$Z$3:$AH$18,2)),GQ23,GR23)</f>
        <v>#N/A</v>
      </c>
      <c r="CH23" s="431" t="e">
        <f ca="1">INDEX(INDIRECT(VLOOKUP(LEFT(BO23,7),CLU!$Z$3:$AH$18,3)),GQ23,GR23)</f>
        <v>#N/A</v>
      </c>
      <c r="CI23" s="431" t="e">
        <f ca="1">INDEX(INDIRECT(VLOOKUP(LEFT(BO23,7),CLU!$Z$3:$AH$18,4)),GQ23,GR23)</f>
        <v>#N/A</v>
      </c>
      <c r="CJ23" s="448" t="e">
        <f t="shared" ref="CJ23:CJ86" ca="1" si="143">BY23</f>
        <v>#N/A</v>
      </c>
      <c r="CK23" s="431" t="e">
        <f t="shared" ref="CK23:CK86" ca="1" si="144">((CG23*T23)+CH23)*CI23*CJ23</f>
        <v>#N/A</v>
      </c>
      <c r="CL23" s="440" t="e">
        <f t="shared" ref="CL23:CL86" ca="1" si="145">CK23*DJ23*$BT$8</f>
        <v>#N/A</v>
      </c>
      <c r="CM23" s="431" t="e">
        <f ca="1">INDEX(INDIRECT(VLOOKUP(LEFT(BO23,7),CLU!$Z$3:$AH$18,2)),GQ23,GS23)</f>
        <v>#N/A</v>
      </c>
      <c r="CN23" s="431" t="e">
        <f ca="1">INDEX(INDIRECT(VLOOKUP(LEFT(BO23,7),CLU!$Z$3:$AH$18,3)),GQ23,GS23)</f>
        <v>#N/A</v>
      </c>
      <c r="CO23" s="431" t="e">
        <f ca="1">INDEX(INDIRECT(VLOOKUP(LEFT(BO23,7),CLU!$Z$3:$AH$18,4)),GQ23,GS23)</f>
        <v>#N/A</v>
      </c>
      <c r="CP23" s="431" t="e">
        <f t="shared" ref="CP23:CP86" ca="1" si="146">((CM23*U23)+CN23)*CO23*CJ23</f>
        <v>#N/A</v>
      </c>
      <c r="CQ23" s="440">
        <f t="shared" ref="CQ23:CQ86" si="147">IF(U23=0,0,IF(O23="2 pipe (cooling)",0,CP23*DK23))*$BV$8</f>
        <v>0</v>
      </c>
      <c r="CR23" s="51" t="e">
        <f t="shared" ref="CR23:CR86" ca="1" si="148">CL23-CA23</f>
        <v>#N/A</v>
      </c>
      <c r="CS23" s="439" t="e">
        <f t="shared" ref="CS23:CS86" ca="1" si="149">(BU23-GM23)/10</f>
        <v>#VALUE!</v>
      </c>
      <c r="CT23" s="51" t="e">
        <f t="shared" ref="CT23:CT86" ca="1" si="150">CS23*CR23</f>
        <v>#VALUE!</v>
      </c>
      <c r="CU23" s="10"/>
      <c r="CV23" s="51" t="e">
        <f t="shared" ca="1" si="34"/>
        <v>#VALUE!</v>
      </c>
      <c r="CW23" s="51">
        <f t="shared" ref="CW23:CW86" si="151">CQ23-CF23</f>
        <v>0</v>
      </c>
      <c r="CX23" s="439" t="e">
        <f t="shared" ref="CX23:CX86" ca="1" si="152">(BU23-GM23)/10</f>
        <v>#VALUE!</v>
      </c>
      <c r="CY23" s="51" t="e">
        <f t="shared" ref="CY23:CY86" ca="1" si="153">CX23*CW23</f>
        <v>#VALUE!</v>
      </c>
      <c r="CZ23" s="10"/>
      <c r="DA23" s="51" t="e">
        <f t="shared" ref="DA23:DA86" ca="1" si="154">(CF23+CY23)*$CZ$21</f>
        <v>#VALUE!</v>
      </c>
      <c r="DB23" s="347" t="e">
        <f ca="1">INDEX(INDIRECT(VLOOKUP(LEFT(BO23,7),CLU!$Z$3:$AI$18,10)),((M23-2)*(6-COUNTBLANK(GT23:GY23)))+GJ23)*LI23</f>
        <v>#N/A</v>
      </c>
      <c r="DC23" s="347" t="str">
        <f>IF(L23&gt;0,((R23/Worksheet!$I$15)/DB23)^2," ")</f>
        <v xml:space="preserve"> </v>
      </c>
      <c r="DD23" s="602" t="str">
        <f t="shared" ref="DD23:DD26" si="155">IF(L23&gt;0,IF(S23=4,R23/0.087,IF(S23=5,R23/0.136,IF(S23=6,R23/0.197,IF(S23=8,R23/0.35,R23/0.415))))," ")</f>
        <v xml:space="preserve"> </v>
      </c>
      <c r="DE23" s="347" t="str">
        <f t="shared" ref="DE23:DE26" si="156">IF(L23&gt;0,(DD23/4005)^2," ")</f>
        <v xml:space="preserve"> </v>
      </c>
      <c r="DF23" s="356" t="e">
        <f ca="1">INDEX(INDIRECT(VLOOKUP(LEFT(BO23,7),CLU!$Z$3:$AH$18,8)),((M23-2)*(6-COUNTBLANK(GT23:GY23)))+GJ23)</f>
        <v>#N/A</v>
      </c>
      <c r="DG23" s="347" t="str">
        <f t="shared" ref="DG23:DG27" si="157">IF(L23&gt;0,IF(J23="CBAM",(DF23+1)*R23*IF(J23=2,0.25,0.35),R23*(DF23+1)/BQ23)," ")</f>
        <v xml:space="preserve"> </v>
      </c>
      <c r="DH23" s="357" t="str">
        <f t="shared" ref="DH23:DH27" si="158">IF(L23&gt;0,IF(J23="CBAM",IF(M23=2,0.168,0.333),(M23*12-1)/144)," ")</f>
        <v xml:space="preserve"> </v>
      </c>
      <c r="DI23" s="355" t="str">
        <f t="shared" ref="DI23:DI27" si="159">IF(L23&gt;0,DG23/DH23," ")</f>
        <v xml:space="preserve"> </v>
      </c>
      <c r="DJ23" s="245" t="e">
        <f ca="1">INDEX(INDIRECT(VLOOKUP(LEFT(BO23,7),CLU!$Z$3:$AH$18,5)),GL23,GK23)</f>
        <v>#N/A</v>
      </c>
      <c r="DK23" s="245" t="e">
        <f ca="1">INDEX(INDIRECT(VLOOKUP(LEFT(BO23,7),CLU!$Z$3:$AH$18,6)),GL23,GK23)</f>
        <v>#N/A</v>
      </c>
      <c r="DL23" s="355">
        <f>(Calculation!R23*0.69143*(Calculation!$BQ$8-Calculation!$F$8))*$S$14</f>
        <v>0</v>
      </c>
      <c r="DM23" s="359" t="e">
        <f t="shared" ref="DM23:DM86" si="160">ABS(AO23*L23)</f>
        <v>#VALUE!</v>
      </c>
      <c r="DN23" s="611">
        <f t="shared" ref="DN23:DN86" si="161">IF(E23=0,DP23,ROUND((DM23/E23)*100,0))</f>
        <v>0</v>
      </c>
      <c r="DO23" s="359">
        <f t="shared" ref="DO23:DO86" si="162">100-DN23</f>
        <v>100</v>
      </c>
      <c r="DP23" s="359">
        <f t="shared" ref="DP23:DP86" si="163">IF(AO23="",0,ROUND(ABS(AO23)/ABS(AQ23)*100,0))</f>
        <v>0</v>
      </c>
      <c r="DQ23" s="360"/>
      <c r="DR23" s="245" t="e">
        <f ca="1">INDEX(INDIRECT(VLOOKUP(LEFT(BO23,7),CLU!$Z$3:$AH$18,7)),M23-1,1)</f>
        <v>#N/A</v>
      </c>
      <c r="DS23" s="245" t="e">
        <f ca="1">INDEX(INDIRECT(VLOOKUP(LEFT(BO23,7),CLU!$Z$3:$AH$18,7)),M23-1,2)</f>
        <v>#N/A</v>
      </c>
      <c r="DT23" s="245" t="e">
        <f ca="1">INDEX(INDIRECT(VLOOKUP(LEFT(BO23,7),CLU!$Z$3:$AH$18,7)),M23-1,3)</f>
        <v>#N/A</v>
      </c>
      <c r="DU23" s="245" t="e">
        <f ca="1">INDEX(INDIRECT(VLOOKUP(LEFT(BO23,7),CLU!$Z$3:$AH$18,7)),M23-1,4)</f>
        <v>#N/A</v>
      </c>
      <c r="DV23" s="361" t="e">
        <f ca="1">INDEX(INDIRECT(VLOOKUP(LEFT(BO23,7),CLU!$Z$3:$AH$18,7)),M23-1,4+LEFT(DZ23,1)*0.5)</f>
        <v>#N/A</v>
      </c>
      <c r="DW23" s="245" t="e">
        <f ca="1">INDEX(INDIRECT(VLOOKUP(LEFT(BO23,7),CLU!$Z$3:$AH$18,7)),M23-1,8)</f>
        <v>#N/A</v>
      </c>
      <c r="DX23" s="361" t="str">
        <f t="shared" ref="DX23:DX26" si="164">IF(L23&gt;0,IF(BR23&gt;0,IF(DZ23="2P",IF(EB23=1,"2P1C","2P2C"),IF(EB23=1,"4P1C","4P2C")),0)," ")</f>
        <v xml:space="preserve"> </v>
      </c>
      <c r="DY23" s="361" t="str">
        <f t="shared" ref="DY23:DY26" si="165">IF(L23&gt;0,CONCATENATE(IF(LEN(M23)=1,"0",""),M23,"-",DX23)," ")</f>
        <v xml:space="preserve"> </v>
      </c>
      <c r="DZ23" s="361" t="str">
        <f t="shared" ref="DZ23:DZ26" si="166">IF(L23&gt;0,IF(BR23&gt;0,IF(O23="2 Pipe (Cooling)","2P",IF(O23="2 Pipe (Heating)","NA",IF(O23="2 Pipe (H/C)","2P","4P"))),0)," ")</f>
        <v xml:space="preserve"> </v>
      </c>
      <c r="EA23" s="362" t="str">
        <f t="shared" ref="EA23:EA26" si="167">IF(L23&gt;0,HLOOKUP(LEFT(BO23,7),SCMG,(MATCH(CONCATENATE(IF(LEN(M23)=1,"0",""),M23,"-",DZ23),SCMG_LU))+2)," ")</f>
        <v xml:space="preserve"> </v>
      </c>
      <c r="EB23" s="624" t="str">
        <f t="shared" ref="EB23:EB86" si="168">IF(AND(MID(J23,6,2)="12",O23="4 pipe (H/C)"),1,IF(L23&gt;0,IF(BR23&gt;0,IF(MAX(T23,U23)&gt;EA23,2,1),0)," "))</f>
        <v xml:space="preserve"> </v>
      </c>
      <c r="EC23" s="361" t="e">
        <f ca="1">INDEX(INDIRECT(VLOOKUP(LEFT(BO23,7),CLU!$Z$3:$AH$18,7)),M23-1,4+LEFT(DZ23,1)*0.5)</f>
        <v>#N/A</v>
      </c>
      <c r="ED23" s="362" t="str">
        <f t="shared" si="43"/>
        <v xml:space="preserve"> </v>
      </c>
      <c r="EE23" s="361" t="str">
        <f t="shared" si="44"/>
        <v xml:space="preserve"> </v>
      </c>
      <c r="EF23" s="362" t="str">
        <f>IF(L23&gt;0,IF(BR23&gt;0,IF(EE23="2P",IF(Calculation!DZ23="2P",IF(Calculation!DS23=13.75,IF(Calculation!DR23=13,Worksheet!$BD$43,IF(Calculation!DR23=37,Worksheet!$BD$44,Worksheet!$BD$45)),IF(Calculation!DS23=10,IF(Calculation!DR23=18,Worksheet!$BD$29,IF(Calculation!DR23=30,Worksheet!$BD$30,IF(Calculation!DR23=42,Worksheet!$BD$31,IF(Calculation!DR23=54,Worksheet!$BD$32,IF(Calculation!DR23=66,Worksheet!$BD$33,IF(Calculation!DR23=78,Worksheet!$BD$34,IF(Calculation!DR23=90,Worksheet!$BD$35,IF(Calculation!DR23=102,Worksheet!$BD$36,Worksheet!$BD$37)))))))),IF(Calculation!DS23=12.5,IF(Calculation!DR23=18,Worksheet!$BD$38,IF(Calculation!DR23=Worksheet!$BD$39,IF(Calculation!DR23=42,Worksheet!$BD$40,IF(Calculation!DR23=54,Worksheet!$BD$41,Worksheet!$BD$42)))),IF(Calculation!DR23=18,Worksheet!$BD$11,IF(Calculation!DR23=30,Worksheet!$BD$12,IF(Calculation!DR23=42,Worksheet!$BD$13,IF(Calculation!DR23=54,Worksheet!$BD$14,IF(Calculation!DR23=66,Worksheet!$BD$15,IF(Calculation!DR23=78,Worksheet!$BD$16,IF(Calculation!DR23=90,Worksheet!$BD$17,IF(Calculation!DR23=102,Worksheet!$BD$18,Worksheet!$BD$19))))))))))),IF(Calculation!DS23=13.75,IF(Calculation!DR23=13,Worksheet!$BD$78,IF(Calculation!DR23=37,Worksheet!$BD$79,Worksheet!$BD$80)),IF(Calculation!DS23=10,IF(Calculation!DR23=18,Worksheet!$BD$64,IF(Calculation!DR23=30,Worksheet!$BD$65,IF(Calculation!DR23=42,Worksheet!$BD$66,IF(Calculation!DR23=54,Worksheet!$BD$68,IF(Calculation!DR23=66,Worksheet!$BD$68,IF(Calculation!DR23=78,Worksheet!$BD$69,IF(Calculation!DR23=90,Worksheet!$BD$70,IF(Calculation!DR23=102,Worksheet!$BD$71,Worksheet!$BD$72)))))))),IF(Calculation!DS23=12.5,IF(Calculation!DR23=18,Worksheet!$BD$73,IF(Calculation!DR23=Worksheet!$BD$74,IF(Calculation!DR23=42,Worksheet!$BD$75,IF(Calculation!DR23=54,Worksheet!$BD$76,Worksheet!$BD$77)))),IF(Calculation!DR23=18,Worksheet!$BD$55,IF(Calculation!DR23=30,Worksheet!$BD$56,IF(Calculation!DR23=42,Worksheet!$BD$57,IF(Calculation!DR23=54,Worksheet!$BD$58,IF(Calculation!DR23=66,Worksheet!$BD$59,IF(Calculation!DR23=78,Worksheet!$BD$60,IF(Calculation!DR23=90,Worksheet!$BD$61,IF(Calculation!DR23=102,Worksheet!$BD$62,Worksheet!$BD$63)))))))))))),5),0)," ")</f>
        <v xml:space="preserve"> </v>
      </c>
      <c r="EG23" s="361" t="str">
        <f t="shared" si="45"/>
        <v xml:space="preserve"> </v>
      </c>
      <c r="EH23" s="361" t="e">
        <f ca="1">INDEX(INDIRECT(VLOOKUP(LEFT(BO23,7),CLU!$Z$3:$AH$18,7)),M23-1,3+LEFT(DZ23,1))</f>
        <v>#N/A</v>
      </c>
      <c r="EI23" s="362" t="str">
        <f t="shared" si="46"/>
        <v xml:space="preserve"> </v>
      </c>
      <c r="EJ23" s="363" t="str">
        <f t="shared" si="47"/>
        <v xml:space="preserve"> </v>
      </c>
      <c r="EK23" s="363" t="str">
        <f t="shared" si="48"/>
        <v xml:space="preserve"> </v>
      </c>
      <c r="EL23" s="363" t="str">
        <f t="shared" si="49"/>
        <v xml:space="preserve"> </v>
      </c>
      <c r="EM23" s="362" t="str">
        <f>IF(L23&gt;0,IF(BR23&gt;0,(Calculation!T23/ED23)^2,0)," ")</f>
        <v xml:space="preserve"> </v>
      </c>
      <c r="EN23" s="362" t="str">
        <f>IF(L23&gt;0,IF(O23="2 Pipe (Cooling)","N/A",IF(BR23&gt;0,(Calculation!U23/EI23)^2,0))," ")</f>
        <v xml:space="preserve"> </v>
      </c>
      <c r="EO23" s="361" t="str">
        <f t="shared" si="50"/>
        <v/>
      </c>
      <c r="EP23" s="361" t="str">
        <f t="shared" si="51"/>
        <v/>
      </c>
      <c r="EQ23" s="361" t="str">
        <f t="shared" si="52"/>
        <v/>
      </c>
      <c r="ER23" s="361" t="str">
        <f t="shared" si="53"/>
        <v/>
      </c>
      <c r="ES23" s="361" t="str">
        <f t="shared" si="54"/>
        <v/>
      </c>
      <c r="ET23" s="361" t="str">
        <f t="shared" si="55"/>
        <v/>
      </c>
      <c r="EU23" s="361" t="str">
        <f t="shared" si="56"/>
        <v/>
      </c>
      <c r="EV23" s="361" t="str">
        <f t="shared" si="57"/>
        <v/>
      </c>
      <c r="EW23" s="361" t="str">
        <f t="shared" si="58"/>
        <v/>
      </c>
      <c r="EX23" s="361" t="str">
        <f t="shared" ref="EX23:EX86" si="169">IF(J23="CBAM","4 way",IF(J23="CBLV","2 slots, 2 way",IF(J23="CBAV","As specified *","1 slot, 1 way")))</f>
        <v>1 slot, 1 way</v>
      </c>
      <c r="EY23" s="361" t="str">
        <f t="shared" ref="EY23:EY86" si="170">IF(J23="CBAL2","2 slots, 2 way",IF(J23="CBE2-24","2 slots, 2 way",IF(J23="CBLV-12","2 slots, 2 way",IF(J23="CBE2-12","2 slots, 2 way"," "))))</f>
        <v xml:space="preserve"> </v>
      </c>
      <c r="EZ23" s="361" t="str">
        <f t="shared" ref="EZ23:EZ86" si="171">IF(J23&gt;0,"2 pipe (cooling)"," ")</f>
        <v xml:space="preserve"> </v>
      </c>
      <c r="FA23" s="361" t="str">
        <f t="shared" ref="FA23:FA86" si="172">IF(J23&gt;0,"2 pipe (H/C)"," ")</f>
        <v xml:space="preserve"> </v>
      </c>
      <c r="FB23" s="361" t="str">
        <f t="shared" ref="FB23:FB86" si="173">IF(J23&gt;0,"4 pipe (H/C)"," ")</f>
        <v xml:space="preserve"> </v>
      </c>
      <c r="FC23" s="361"/>
      <c r="FD23" s="361" t="str">
        <f>IF(J23&gt;0,IF(Calculation!R23&lt;=70,4,IF(Calculation!R23&lt;=110,5,IF(Calculation!R23&lt;=160,6,IF(Calculation!R23&lt;=300,8,"10 EO")))),"")</f>
        <v/>
      </c>
      <c r="FE23" s="361" t="str">
        <f t="shared" ref="FE23:FE86" si="174">IF(J23&gt;0,IF(FD23=4,5,IF(FD23=5,6,IF(FD23=6,8,IF(FD23=8,"10 EO","")))),"")</f>
        <v/>
      </c>
      <c r="FF23" s="361" t="str">
        <f t="shared" ref="FF23:FF86" si="175">IF(J23&gt;0,IF(FE23=4,5,IF(FE23=5,6,IF(FE23=6,8,IF(FE23=8,"10 EO","")))),"")</f>
        <v/>
      </c>
      <c r="FG23" s="361" t="e">
        <f t="shared" si="60"/>
        <v>#N/A</v>
      </c>
      <c r="FH23" s="361">
        <f t="shared" si="61"/>
        <v>0</v>
      </c>
      <c r="FI23" s="361" t="e">
        <f t="shared" si="62"/>
        <v>#DIV/0!</v>
      </c>
      <c r="FJ23" s="361"/>
      <c r="FK23" s="356" t="e">
        <f t="shared" si="63"/>
        <v>#VALUE!</v>
      </c>
      <c r="FL23" s="361"/>
      <c r="FM23" s="361"/>
      <c r="FN23" s="362" t="str">
        <f t="shared" ref="FN23:FN86" si="176">IF(L23&gt;0,IF(J23="CBLV-12",0.5,IF(J23="CBE2-12",0.5,IF(J23="CBLV",0.5,0.25)))," ")</f>
        <v xml:space="preserve"> </v>
      </c>
      <c r="FO23" s="362" t="str">
        <f t="shared" ref="FO23:FO86" si="177">IF(L23&gt;0,IF(J23="CBAW",1.9,IF(J23="CBAM",1.7,IF(J23="CBAL-12",4,IF(J23="CBE2-12",4,IF(J23="CBLV",4,2.5)))))," ")</f>
        <v xml:space="preserve"> </v>
      </c>
      <c r="FP23" s="362">
        <f t="shared" ref="FP23:FP86" si="178">IF(T23=0,0,IF(OR(LEFT(BO23,7)="CBLV-00",LEFT(BO23,7)="CBLV-12"),1,0.5))</f>
        <v>0</v>
      </c>
      <c r="FQ23" s="361">
        <f t="shared" si="64"/>
        <v>0</v>
      </c>
      <c r="FR23" s="362" t="str">
        <f>IF(L23&gt;0,IF(J23="CBAL2",Worksheet!$P$67,IF(J23="CBE2-24",Worksheet!$Q$67,IF(J23="CBAM",Worksheet!$R$67,IF(J23="CBLV",Worksheet!$S$67,IF(J23="CBAB",Worksheet!$U$67,IF(J23="CBAW",Worksheet!$X$67,IF(J23="CBE2-12",Worksheet!$Y$67,IF(J23="CBAL2",Worksheet!$Z$67,"N/A"))))))))," ")</f>
        <v xml:space="preserve"> </v>
      </c>
      <c r="FS23" s="362" t="str">
        <f>IF(L23&gt;0,IF(J23="CBAL2",Worksheet!$P$68,IF(J23="CBE2-24",Worksheet!$Q$68,IF(J23="CBAM",Worksheet!$R$68,IF(J23="CBLV",Worksheet!$S$68,IF(J23="CBAB",Worksheet!$U$68,IF(J23="CBAW",Worksheet!$X$68,IF(J23="CBE2-12",Worksheet!$Y$68,IF(J23="CBAL2",Worksheet!$Z$68,"N/A"))))))))," ")</f>
        <v xml:space="preserve"> </v>
      </c>
      <c r="FT23" s="362" t="str">
        <f>IF(L23&gt;0,IF(J23="CBAL2",Worksheet!$P$69,IF(J23="CBE2-24",Worksheet!$Q$69,IF(J23="CBAM",Worksheet!$R$69,IF(J23="CBLV",Worksheet!$S$69,IF(J23="CBAB",Worksheet!$U$69,IF(J23="CBAW",Worksheet!$X$69,IF(J23="CBE2-12",Worksheet!$Y$69,IF(J23="CBAL2",Worksheet!$Z$69,"N/A"))))))))," ")</f>
        <v xml:space="preserve"> </v>
      </c>
      <c r="FU23" s="361" t="str">
        <f t="shared" ref="FU23:FU86" si="179">IF(FR23="N/A","N/A",IF(BD23&gt;0,MIN(FR23*(DI23/(0.5*BG23))^2/(DH23^2),FS23*(DI23/(0.5*BG23))/DH23,FT23*(DI23/(0.5*BG23))^0.5/(DH23^0.5))," "))</f>
        <v xml:space="preserve"> </v>
      </c>
      <c r="FV23" s="362" t="str">
        <f t="shared" ref="FV23:FV86" si="180">IF(FU23="N/A","N/A",IF(BD23&gt;0,0.5*(3.5/(BD23-BE23))^0.8," "))</f>
        <v xml:space="preserve"> </v>
      </c>
      <c r="FW23" s="362" t="str">
        <f t="shared" ref="FW23:FW86" si="181">IF(FU23="N/A","N/A",IF(BD23&gt;0,($F$6-AS23)*0.01," "))</f>
        <v xml:space="preserve"> </v>
      </c>
      <c r="FX23" s="362" t="str">
        <f t="shared" ref="FX23:FX86" si="182">IF(FU23="N/A","N/A",IF(BD23&gt;0,(AZ23-$H$6)*0.01," "))</f>
        <v xml:space="preserve"> </v>
      </c>
      <c r="FY23" s="355" t="str">
        <f t="shared" ref="FY23:FY86" si="183">IF(FR23="N/A","N/A",IF(BD23&gt;0,MIN(FR23*(DI23/(BD23+BF23-BE23))^2/(DH23^2),FS23*(DI23/(BD23-BE23+BF23))/DH23,FT23*(DI23/(BD23-BE23+BF23))^0.5/(DH23^0.5))," "))</f>
        <v xml:space="preserve"> </v>
      </c>
      <c r="FZ23" s="361" t="str">
        <f t="shared" ref="FZ23:FZ86" si="184">IF(BD23&gt;0,IF(FU23="N/A","N/A",FU23*FV23*(1-FW23))," ")</f>
        <v xml:space="preserve"> </v>
      </c>
      <c r="GA23" s="347" t="str">
        <f t="shared" ref="GA23:GA86" si="185">IF(BD23&gt;0,IF(FU23="N/A","N/A",$F$6-(FZ23/DI23)*($F$6-AS23))," ")</f>
        <v xml:space="preserve"> </v>
      </c>
      <c r="GB23" s="355" t="str">
        <f t="shared" ref="GB23:GB86" si="186">IF(BD23&gt;0,IF(FU23="N/A","N/A",FY23*(1+FW23))," ")</f>
        <v xml:space="preserve"> </v>
      </c>
      <c r="GC23" s="328" t="str">
        <f t="shared" ref="GC23:GC86" si="187">IF(BD23&gt;0,IF(FU23="N/A","N/A",$F$6-(FY23/DI23)*($F$6-AS23))," ")</f>
        <v xml:space="preserve"> </v>
      </c>
      <c r="GD23" s="361" t="str">
        <f t="shared" ref="GD23:GD86" si="188">IF(BD23&gt;0,IF(FU23="N/A","N/A",FU23*FV23*(1-FX23))," ")</f>
        <v xml:space="preserve"> </v>
      </c>
      <c r="GE23" s="347" t="str">
        <f t="shared" ref="GE23:GE86" si="189">IF(BD23&gt;0,IF(FU23="N/A","N/A",$H$6-(GD23/DI23)*($H$6-AZ23))," ")</f>
        <v xml:space="preserve"> </v>
      </c>
      <c r="GF23" s="361" t="str">
        <f t="shared" ref="GF23:GF86" si="190">IF(BD23&gt;0,IF(FU23="N/A","N/A",FY23*(1-FX23))," ")</f>
        <v xml:space="preserve"> </v>
      </c>
      <c r="GG23" s="347" t="str">
        <f t="shared" ref="GG23:GG86" si="191">IF(BD23&gt;0,IF(FU23="N/A","N/A",$H$6-(GF23/DI23)*($H$6-AZ23))," ")</f>
        <v xml:space="preserve"> </v>
      </c>
      <c r="GH23" s="364">
        <f t="shared" si="78"/>
        <v>0</v>
      </c>
      <c r="GI23" s="362">
        <f t="shared" ref="GI23:GI86" si="192">COUNTA(J23:R23)+COUNTA(T23)</f>
        <v>2</v>
      </c>
      <c r="GJ23" s="433" t="e">
        <f>IF(6-COUNTBLANK(GT23:GY23)=4,MATCH(MID(BO23,9,3),CLU!$H$16:$K$16),MATCH(MID(BO23,9,3),CLU!$H$13:$M$13))</f>
        <v>#N/A</v>
      </c>
      <c r="GK23" s="433" t="e">
        <f>HLOOKUP(VALUE(BP23),CLU!$H$9:$M$10,2)</f>
        <v>#VALUE!</v>
      </c>
      <c r="GL23" s="433" t="e">
        <f ca="1">MATCH(BU23,CLU!$H$2:$V$2,1)</f>
        <v>#VALUE!</v>
      </c>
      <c r="GM23" s="433" t="e">
        <f t="shared" ref="GM23:GM86" ca="1" si="193">((GL23-1)*10)+15</f>
        <v>#VALUE!</v>
      </c>
      <c r="GN23" s="433" t="e">
        <f t="shared" ref="GN23:GN86" ca="1" si="194">((M23-2)*15)+GL23</f>
        <v>#VALUE!</v>
      </c>
      <c r="GO23" s="433" t="e">
        <f t="shared" ref="GO23:GO86" ca="1" si="195">IF(GL23=15,15,GL23+1)</f>
        <v>#VALUE!</v>
      </c>
      <c r="GP23" s="433" t="e">
        <f t="shared" ref="GP23:GP86" ca="1" si="196">((GO23-1)*10)+15</f>
        <v>#VALUE!</v>
      </c>
      <c r="GQ23" s="433" t="e">
        <f t="shared" ref="GQ23:GQ86" ca="1" si="197">((M23-2)*15)+GO23</f>
        <v>#VALUE!</v>
      </c>
      <c r="GR23" s="433" t="e">
        <f ca="1">MATCH(T23,INDIRECT(VLOOKUP(CONCATENATE(LEFT(BO23,7),"-",MID(BO23,13,1)),CLU!$P$3:$Q$16,2)),1)</f>
        <v>#N/A</v>
      </c>
      <c r="GS23" s="433" t="e">
        <f ca="1">MATCH(U23,INDIRECT(VLOOKUP(CONCATENATE(LEFT(BO23,7),"-",MID(BO23,13,1)),CLU!$P$3:$Q$16,2)),1)</f>
        <v>#N/A</v>
      </c>
      <c r="GT23" s="347" t="s">
        <v>512</v>
      </c>
      <c r="GU23" s="97" t="s">
        <v>513</v>
      </c>
      <c r="GV23" s="97" t="str">
        <f t="shared" ref="GV23:GV86" si="198">IF(J23="CBAL2","M20",IF(J23="CBE2-24","M20","M23"))</f>
        <v>M23</v>
      </c>
      <c r="GW23" s="97" t="str">
        <f t="shared" ref="GW23:GW86" si="199">IF(J23="CBAL2","M23",IF(J23="CBE2-24","M23","M31"))</f>
        <v>M31</v>
      </c>
      <c r="GX23" s="97" t="str">
        <f t="shared" ref="GX23:GX86" si="200">IF(J23="CBAL2","M27",IF(J23="CBE2-24","M27",""))</f>
        <v/>
      </c>
      <c r="GY23" s="97" t="str">
        <f t="shared" ref="GY23:GY86" si="201">IF(J23="CBAL2","M31",IF(J23="CBE2-24","M31",""))</f>
        <v/>
      </c>
      <c r="GZ23" s="481"/>
      <c r="HA23" s="288"/>
      <c r="HB23" s="240"/>
      <c r="HC23" s="240"/>
      <c r="HD23" s="240"/>
      <c r="HE23" s="240"/>
      <c r="HF23" s="240"/>
      <c r="HG23" s="240"/>
      <c r="HH23" s="240"/>
      <c r="HI23" s="240"/>
      <c r="HJ23" s="240"/>
      <c r="HK23" s="240"/>
      <c r="HL23" s="240"/>
      <c r="HM23" s="240"/>
      <c r="HN23" s="240"/>
      <c r="HO23" s="240"/>
      <c r="HP23" s="240"/>
      <c r="HQ23" s="240"/>
      <c r="HR23" s="240"/>
      <c r="HS23" s="240"/>
      <c r="HT23" s="240"/>
      <c r="HU23" s="240"/>
      <c r="HV23" s="245"/>
      <c r="HW23" s="245" t="b">
        <v>1</v>
      </c>
      <c r="HX23" s="245" t="str">
        <f t="shared" si="79"/>
        <v/>
      </c>
      <c r="HY23" s="245" t="e">
        <f t="shared" si="80"/>
        <v>#DIV/0!</v>
      </c>
      <c r="HZ23" s="245" t="e">
        <f t="shared" si="81"/>
        <v>#DIV/0!</v>
      </c>
      <c r="IA23" s="245">
        <f t="shared" si="82"/>
        <v>0</v>
      </c>
      <c r="IB23" s="245"/>
      <c r="IC23" t="b">
        <f t="shared" si="83"/>
        <v>1</v>
      </c>
      <c r="ID23" s="245" t="b">
        <f t="shared" si="84"/>
        <v>1</v>
      </c>
      <c r="IE23" s="245" t="b">
        <f t="shared" si="85"/>
        <v>1</v>
      </c>
      <c r="IF23" s="245" t="b">
        <f t="shared" si="86"/>
        <v>0</v>
      </c>
      <c r="IG23" s="245" t="b">
        <f t="shared" si="87"/>
        <v>1</v>
      </c>
      <c r="IH23" s="245" t="b">
        <f t="shared" si="88"/>
        <v>1</v>
      </c>
      <c r="II23" s="245">
        <f t="shared" ref="II23:II86" si="202">IFERROR(IF(AND(IV23&gt;0,HW23=TRUE,IW23&gt;0,HX23&gt;0,IC23=FALSE,ID23=FALSE,IE23=FALSE,IF23=TRUE,IG23=FALSE,IH23=FALSE),1,0),0)</f>
        <v>0</v>
      </c>
      <c r="IJ23" s="245" t="e">
        <f t="shared" si="89"/>
        <v>#VALUE!</v>
      </c>
      <c r="IK23" s="245" t="e">
        <f t="shared" si="90"/>
        <v>#VALUE!</v>
      </c>
      <c r="IL23" s="245"/>
      <c r="IM23" s="245" t="e">
        <f t="shared" ref="IM23:IM86" si="203">VLOOKUP(MATCH(LEFT(HX23,7),$IM$7:$IM$17,0),$IL$7:$IO$17,3)</f>
        <v>#N/A</v>
      </c>
      <c r="IN23" s="245" t="e">
        <f t="shared" ref="IN23:IN86" si="204">VLOOKUP(MATCH(LEFT(HX23,7),$IM$7:$IM$17,0),$IL$7:$IO$17,4)</f>
        <v>#N/A</v>
      </c>
      <c r="IO23" s="245"/>
      <c r="IP23" s="245"/>
      <c r="IQ23" s="245" t="str">
        <f t="shared" si="91"/>
        <v/>
      </c>
      <c r="IR23" s="245" t="str">
        <f>IF(J23="","",VLOOKUP(J23,Worksheet!$R$4:$T$14,2))</f>
        <v/>
      </c>
      <c r="IS23" s="245"/>
      <c r="IT23" s="245">
        <f t="shared" si="92"/>
        <v>0</v>
      </c>
      <c r="IU23" s="245">
        <f t="shared" si="93"/>
        <v>0</v>
      </c>
      <c r="IV23" s="245">
        <f t="shared" si="94"/>
        <v>0</v>
      </c>
      <c r="IW23" s="245">
        <f t="shared" si="95"/>
        <v>0</v>
      </c>
      <c r="IX23" s="245">
        <f t="shared" ref="IX23:IX86" si="205">IFERROR(MATCH(P23,GT23:GY23,0),0)</f>
        <v>0</v>
      </c>
      <c r="IY23" s="245">
        <f t="shared" si="96"/>
        <v>0</v>
      </c>
      <c r="IZ23" s="245">
        <f t="shared" si="97"/>
        <v>0</v>
      </c>
      <c r="JA23">
        <f t="shared" si="98"/>
        <v>0</v>
      </c>
      <c r="JB23">
        <f t="shared" ref="JB23:JB86" si="206">IF(ISERROR(IF(MIN(IT23,IU23,IV23,IW23,IX23,IZ23,JA23)=0,0,1))=TRUE,0,MIN(IT23,IU23,IV23,IW23,IX23,IZ23,JA23))</f>
        <v>0</v>
      </c>
      <c r="JC23">
        <f t="shared" si="99"/>
        <v>0</v>
      </c>
      <c r="JD23">
        <f t="shared" si="100"/>
        <v>0</v>
      </c>
      <c r="JE23">
        <f t="shared" si="101"/>
        <v>0</v>
      </c>
      <c r="JF23">
        <f t="shared" si="102"/>
        <v>0</v>
      </c>
      <c r="JG23">
        <f t="shared" si="103"/>
        <v>0</v>
      </c>
      <c r="JH23">
        <f t="shared" si="104"/>
        <v>0</v>
      </c>
      <c r="JI23">
        <f t="shared" si="105"/>
        <v>0</v>
      </c>
      <c r="JJ23" s="447">
        <f t="shared" si="106"/>
        <v>0</v>
      </c>
      <c r="JK23" s="447">
        <f t="shared" si="107"/>
        <v>0</v>
      </c>
      <c r="JL23">
        <f t="shared" si="108"/>
        <v>0</v>
      </c>
      <c r="JM23" s="245" t="str">
        <f>IFERROR(VLOOKUP(MATCH(BN23,#REF!,0),#REF!,7),"")</f>
        <v/>
      </c>
      <c r="JN23" t="e">
        <f>HLOOKUP(LEFT(BO23,7),Discharge_Area,MATCH(JO23,LookUps!$B$130:$B$149,1)+2)</f>
        <v>#N/A</v>
      </c>
      <c r="JO23" t="str">
        <f t="shared" si="109"/>
        <v>- S</v>
      </c>
      <c r="JP23" t="e">
        <f>HLOOKUP(LEFT(BO23,7),Discharge_Area,MATCH(JO23,LookUps!$B$130:$B$149,1)+2)</f>
        <v>#N/A</v>
      </c>
      <c r="JQ23" t="e">
        <f t="shared" si="110"/>
        <v>#N/A</v>
      </c>
      <c r="JR23" t="e">
        <f t="shared" si="111"/>
        <v>#N/A</v>
      </c>
      <c r="JS23" t="e">
        <f t="shared" si="112"/>
        <v>#N/A</v>
      </c>
      <c r="JT23" s="532" t="str">
        <f t="shared" si="113"/>
        <v xml:space="preserve"> </v>
      </c>
      <c r="JU23" s="532" t="str">
        <f t="shared" si="114"/>
        <v xml:space="preserve"> </v>
      </c>
      <c r="JV23" s="533" t="str">
        <f t="shared" si="115"/>
        <v xml:space="preserve"> </v>
      </c>
      <c r="JW23" s="534">
        <f t="shared" si="116"/>
        <v>0</v>
      </c>
      <c r="JX23" s="535" t="str">
        <f t="shared" ref="JX23:JX86" si="207">IF(JW23&gt;0,JV23/(JW23/JQ23/SQRT(JP23/2))^0.5," ")</f>
        <v xml:space="preserve"> </v>
      </c>
      <c r="JY23" s="535" t="str">
        <f t="shared" ref="JY23:JY86" si="208">IF(JW23&gt;0,JV23/(JW23/JR23/SQRT(JP23/2))," ")</f>
        <v xml:space="preserve"> </v>
      </c>
      <c r="JZ23" s="535" t="str">
        <f t="shared" ref="JZ23:JZ86" si="209">IF(JW23&gt;0,JV23/(JW23/JS23/SQRT(JP23/2))^2," ")</f>
        <v xml:space="preserve"> </v>
      </c>
      <c r="KA23" s="536" t="str">
        <f t="shared" si="117"/>
        <v xml:space="preserve"> </v>
      </c>
      <c r="KB23" s="535" t="e">
        <f t="shared" ref="KB23:KB86" si="210">IF(JW23&gt;0,MIN(JX23:JZ23)*KA23," ")*0.6</f>
        <v>#VALUE!</v>
      </c>
      <c r="KC23" s="535" t="str">
        <f t="shared" si="118"/>
        <v/>
      </c>
      <c r="KD23" s="537" t="str">
        <f t="shared" ref="KD23:KD86" si="211">IF(JW23&gt;0,(0.72*(KB23/JV23)*(JV23/200)^0.2)*JT23," ")</f>
        <v xml:space="preserve"> </v>
      </c>
      <c r="KE23" s="537" t="str">
        <f t="shared" ref="KE23:KE86" si="212">IF(JW23&gt;0,(0.72*(KC23/JV23)*(JV23/200)^0.2)*JU23," ")</f>
        <v xml:space="preserve"> </v>
      </c>
      <c r="KF23" s="534">
        <f t="shared" si="119"/>
        <v>0</v>
      </c>
      <c r="KG23" s="535" t="str">
        <f t="shared" si="120"/>
        <v xml:space="preserve"> </v>
      </c>
      <c r="KH23" s="535" t="str">
        <f t="shared" si="121"/>
        <v xml:space="preserve"> </v>
      </c>
      <c r="KI23" s="535" t="str">
        <f t="shared" si="122"/>
        <v xml:space="preserve"> </v>
      </c>
      <c r="KJ23" s="536" t="str">
        <f t="shared" si="123"/>
        <v xml:space="preserve"> </v>
      </c>
      <c r="KK23" s="535" t="str">
        <f t="shared" ref="KK23:KK86" si="213">IF(KF23&gt;0,MIN(KG23:KI23)*KJ23," ")</f>
        <v xml:space="preserve"> </v>
      </c>
      <c r="KL23" s="535" t="str">
        <f t="shared" ref="KL23:KL86" si="214">IF(KF23&gt;0,KJ23*MIN(KG23:KI23)/(KB23/10)^0.3," ")</f>
        <v xml:space="preserve"> </v>
      </c>
      <c r="KM23" s="537" t="str">
        <f t="shared" si="124"/>
        <v xml:space="preserve"> </v>
      </c>
      <c r="KN23" s="537" t="str">
        <f t="shared" ref="KN23:KN86" si="215">IF(KF23&gt;0,KM23*JU23/JT23," ")</f>
        <v xml:space="preserve"> </v>
      </c>
      <c r="KP23">
        <f t="shared" si="125"/>
        <v>0</v>
      </c>
      <c r="LA23" t="e">
        <f t="shared" si="126"/>
        <v>#VALUE!</v>
      </c>
      <c r="LB23" t="e">
        <f t="shared" si="127"/>
        <v>#VALUE!</v>
      </c>
      <c r="LC23" t="e">
        <f t="shared" si="128"/>
        <v>#VALUE!</v>
      </c>
      <c r="LD23" t="e">
        <f t="shared" si="129"/>
        <v>#VALUE!</v>
      </c>
      <c r="LE23" t="e">
        <f t="shared" ref="LE23:LE86" si="216">SUM(LA23+LB23+LC23-LD23)+11.198</f>
        <v>#VALUE!</v>
      </c>
      <c r="LF23">
        <f t="shared" si="130"/>
        <v>0</v>
      </c>
      <c r="LG23" t="e">
        <f t="shared" ref="LG23:LG86" si="217">ROUND(IF((LE23-17)&lt;15,15,LE23-17)+LF23,0)</f>
        <v>#VALUE!</v>
      </c>
      <c r="LH23" t="str">
        <f t="shared" si="131"/>
        <v xml:space="preserve"> </v>
      </c>
      <c r="LI23">
        <f t="shared" ref="LI23:LI86" si="218">IF(OR(LEFT(HX23,9)="CBAL2-0-1",LEFT(HX23,9)="CBLV-12-1",LEFT(HX23,9)="CBE2-24-1",LEFT(HX23,9)="CBE2-12-1")=TRUE,0.525,1)</f>
        <v>1</v>
      </c>
    </row>
    <row r="24" spans="1:321" ht="15" customHeight="1">
      <c r="B24" s="311"/>
      <c r="C24" s="311"/>
      <c r="D24" s="312"/>
      <c r="E24" s="311"/>
      <c r="F24" s="312"/>
      <c r="G24" s="311"/>
      <c r="H24" s="311"/>
      <c r="I24" s="219"/>
      <c r="J24" s="311"/>
      <c r="K24" s="305" t="str">
        <f t="shared" si="132"/>
        <v/>
      </c>
      <c r="L24" s="313"/>
      <c r="M24" s="312"/>
      <c r="N24" s="311"/>
      <c r="O24" s="312"/>
      <c r="P24" s="311"/>
      <c r="Q24" s="305" t="str">
        <f t="shared" si="133"/>
        <v/>
      </c>
      <c r="R24" s="314"/>
      <c r="S24" s="450" t="str">
        <f t="shared" si="0"/>
        <v/>
      </c>
      <c r="T24" s="315"/>
      <c r="U24" s="315"/>
      <c r="W24" s="149" t="str">
        <f t="shared" si="1"/>
        <v xml:space="preserve"> </v>
      </c>
      <c r="X24" s="243" t="str">
        <f t="shared" si="2"/>
        <v xml:space="preserve"> </v>
      </c>
      <c r="Y24" s="150" t="str">
        <f t="shared" si="3"/>
        <v/>
      </c>
      <c r="Z24" s="149" t="str">
        <f t="shared" si="4"/>
        <v xml:space="preserve"> </v>
      </c>
      <c r="AA24" s="98" t="str">
        <f t="shared" si="5"/>
        <v xml:space="preserve"> </v>
      </c>
      <c r="AB24" s="153" t="str">
        <f t="shared" si="6"/>
        <v xml:space="preserve"> </v>
      </c>
      <c r="AC24" s="153" t="str">
        <f t="shared" si="7"/>
        <v xml:space="preserve"> </v>
      </c>
      <c r="AD24" s="148" t="str">
        <f t="shared" si="8"/>
        <v/>
      </c>
      <c r="AE24" s="149" t="str">
        <f t="shared" si="9"/>
        <v/>
      </c>
      <c r="AF24" s="151" t="str">
        <f t="shared" si="10"/>
        <v xml:space="preserve"> </v>
      </c>
      <c r="AG24" s="153" t="str">
        <f t="shared" si="11"/>
        <v xml:space="preserve"> </v>
      </c>
      <c r="AH24" s="98" t="str">
        <f t="shared" si="12"/>
        <v xml:space="preserve"> </v>
      </c>
      <c r="AI24" s="149" t="str">
        <f t="shared" si="13"/>
        <v xml:space="preserve"> </v>
      </c>
      <c r="AK24" s="144" t="str">
        <f t="shared" si="14"/>
        <v xml:space="preserve"> </v>
      </c>
      <c r="AL24" s="144"/>
      <c r="AM24" s="243" t="str">
        <f t="shared" si="15"/>
        <v xml:space="preserve"> </v>
      </c>
      <c r="AN24" s="149" t="str">
        <f t="shared" si="134"/>
        <v xml:space="preserve"> </v>
      </c>
      <c r="AO24" s="144" t="str">
        <f>IF(JB24&gt;0,IF(GI24=10,-R24*1.085*(Calculation!$F$6-Calculation!$F$13)*$S$14," "),"")</f>
        <v/>
      </c>
      <c r="AP24" s="144" t="str">
        <f t="shared" si="16"/>
        <v/>
      </c>
      <c r="AQ24" s="56" t="str">
        <f t="shared" si="17"/>
        <v/>
      </c>
      <c r="AR24" s="144" t="str">
        <f t="shared" si="18"/>
        <v/>
      </c>
      <c r="AS24" s="176" t="str">
        <f t="shared" si="19"/>
        <v/>
      </c>
      <c r="AT24" s="176" t="str">
        <f t="shared" si="135"/>
        <v xml:space="preserve"> </v>
      </c>
      <c r="AU24" s="176" t="str">
        <f t="shared" si="20"/>
        <v/>
      </c>
      <c r="AV24" s="177" t="str">
        <f t="shared" si="21"/>
        <v xml:space="preserve"> </v>
      </c>
      <c r="AW24" s="144" t="str">
        <f t="shared" si="22"/>
        <v xml:space="preserve"> </v>
      </c>
      <c r="AX24" s="144" t="str">
        <f t="shared" si="23"/>
        <v xml:space="preserve"> </v>
      </c>
      <c r="AY24" s="152" t="str">
        <f t="shared" si="24"/>
        <v xml:space="preserve"> </v>
      </c>
      <c r="AZ24" s="246" t="str">
        <f t="shared" si="25"/>
        <v/>
      </c>
      <c r="BA24" s="176" t="str">
        <f t="shared" si="26"/>
        <v xml:space="preserve"> </v>
      </c>
      <c r="BB24" s="176" t="str">
        <f t="shared" si="27"/>
        <v xml:space="preserve"> </v>
      </c>
      <c r="BC24" s="195"/>
      <c r="BD24" s="316"/>
      <c r="BE24" s="317"/>
      <c r="BF24" s="318"/>
      <c r="BG24" s="318"/>
      <c r="BH24" s="144" t="str">
        <f t="shared" ref="BH24:BH87" si="219">IFERROR(KK24,"")</f>
        <v xml:space="preserve"> </v>
      </c>
      <c r="BI24" s="176" t="str">
        <f t="shared" si="28"/>
        <v/>
      </c>
      <c r="BJ24" s="144" t="str">
        <f t="shared" ref="BJ24:BJ87" si="220">IFERROR(KB24,"")</f>
        <v/>
      </c>
      <c r="BK24" s="246" t="str">
        <f t="shared" si="29"/>
        <v/>
      </c>
      <c r="BL24" s="144" t="str">
        <f t="shared" ref="BL24:BL87" si="221">IFERROR(KC24,"")</f>
        <v/>
      </c>
      <c r="BM24" s="246" t="str">
        <f t="shared" si="30"/>
        <v/>
      </c>
      <c r="BN24" s="337" t="str">
        <f t="shared" si="136"/>
        <v/>
      </c>
      <c r="BO24" s="371" t="str">
        <f t="shared" si="137"/>
        <v/>
      </c>
      <c r="BP24" s="328" t="str">
        <f t="shared" ref="BP24:BP87" si="222">IF(AND(N24&gt;0,O24&gt;0),IF(LEFT(BO24,4)="CBAV",VALUE(CONCATENATE(1,LEFT(O24,1))),VALUE(CONCATENATE(LEFT(N24,1),(LEFT(O24,1)))))," ")</f>
        <v xml:space="preserve"> </v>
      </c>
      <c r="BQ24" s="347" t="str">
        <f t="shared" si="138"/>
        <v xml:space="preserve"> </v>
      </c>
      <c r="BR24" s="353" t="str">
        <f>IF(L24&gt;0,HLOOKUP(LEFT(BO24,7),Noz_Qty,(MATCH(CONCATENATE(IF(LEN(M24)=1,("0"),""),M24,"-",LEFT(BP24,1),"S"),Len_SlotLU,0)+2))," ")</f>
        <v xml:space="preserve"> </v>
      </c>
      <c r="BS24" s="626" t="str">
        <f>IF(L24&gt;0,IF(Calculation!P24="M13",BR24*3.1416*(0.134^2)/(4*144),IF(Calculation!P24="M17",BR24*3.1416*(0.165^2)/(4*144),IF(Calculation!P24="M20",BR24*3.1416*(0.198^2)/(4*144),IF(Calculation!P24="M23",BR24*3.1416*(0.228^2)/(4*144),IF(Calculation!P24="M27",BR24*3.1416*(0.269^2)/(4*144),BR24*3.1416*(0.307^2)/(4*144))))))," ")</f>
        <v xml:space="preserve"> </v>
      </c>
      <c r="BT24" s="353" t="str">
        <f>IF(L24&gt;0,IF(BS24&gt;0,R24/Calculation!BS24,0)," ")</f>
        <v xml:space="preserve"> </v>
      </c>
      <c r="BU24" s="438" t="e">
        <f t="shared" ca="1" si="31"/>
        <v>#VALUE!</v>
      </c>
      <c r="BV24" s="449" t="e">
        <f ca="1">INDEX(INDIRECT(VLOOKUP(LEFT(BO24,7),CLU!$Z$3:$AH$18,2)),GN24,GR24)</f>
        <v>#N/A</v>
      </c>
      <c r="BW24" s="433" t="e">
        <f ca="1">INDEX(INDIRECT(VLOOKUP(LEFT(BO24,7),CLU!$Z$3:$AH$18,3)),GN24,GR24)</f>
        <v>#N/A</v>
      </c>
      <c r="BX24" s="433" t="e">
        <f ca="1">INDEX(INDIRECT(VLOOKUP(LEFT(BO24,7),CLU!$Z$3:$AH$18,4)),GN24,GR24)</f>
        <v>#N/A</v>
      </c>
      <c r="BY24" s="433" t="e">
        <f ca="1">INDEX(INDIRECT(VLOOKUP(LEFT(BO24,7),CLU!$Z$3:$AH$18,9)),((M24-2)*(6-COUNTBLANK(GT24:GY24)))+GJ24)</f>
        <v>#N/A</v>
      </c>
      <c r="BZ24" s="426" t="e">
        <f t="shared" ca="1" si="139"/>
        <v>#N/A</v>
      </c>
      <c r="CA24" s="424" t="e">
        <f t="shared" ca="1" si="140"/>
        <v>#N/A</v>
      </c>
      <c r="CB24" s="429" t="e">
        <f ca="1">INDEX(INDIRECT(VLOOKUP(LEFT(BO24,7),CLU!$Z$3:$AH$18,2)),GN24,GS24)</f>
        <v>#N/A</v>
      </c>
      <c r="CC24" s="342" t="e">
        <f ca="1">INDEX(INDIRECT(VLOOKUP(LEFT(BO24,7),CLU!$Z$3:$AH$18,3)),GN24,GS24)</f>
        <v>#N/A</v>
      </c>
      <c r="CD24" s="342" t="e">
        <f ca="1">INDEX(INDIRECT(VLOOKUP(LEFT(BO24,7),CLU!$Z$3:$AH$18,4)),GN24,GS24)</f>
        <v>#N/A</v>
      </c>
      <c r="CE24" s="426" t="e">
        <f t="shared" ca="1" si="141"/>
        <v>#N/A</v>
      </c>
      <c r="CF24" s="440">
        <f t="shared" si="142"/>
        <v>0</v>
      </c>
      <c r="CG24" s="431" t="e">
        <f ca="1">INDEX(INDIRECT(VLOOKUP(LEFT(BO24,7),CLU!$Z$3:$AH$18,2)),GQ24,GR24)</f>
        <v>#N/A</v>
      </c>
      <c r="CH24" s="431" t="e">
        <f ca="1">INDEX(INDIRECT(VLOOKUP(LEFT(BO24,7),CLU!$Z$3:$AH$18,3)),GQ24,GR24)</f>
        <v>#N/A</v>
      </c>
      <c r="CI24" s="431" t="e">
        <f ca="1">INDEX(INDIRECT(VLOOKUP(LEFT(BO24,7),CLU!$Z$3:$AH$18,4)),GQ24,GR24)</f>
        <v>#N/A</v>
      </c>
      <c r="CJ24" s="448" t="e">
        <f t="shared" ca="1" si="143"/>
        <v>#N/A</v>
      </c>
      <c r="CK24" s="431" t="e">
        <f t="shared" ca="1" si="144"/>
        <v>#N/A</v>
      </c>
      <c r="CL24" s="440" t="e">
        <f t="shared" ca="1" si="145"/>
        <v>#N/A</v>
      </c>
      <c r="CM24" s="431" t="e">
        <f ca="1">INDEX(INDIRECT(VLOOKUP(LEFT(BO24,7),CLU!$Z$3:$AH$18,2)),GQ24,GS24)</f>
        <v>#N/A</v>
      </c>
      <c r="CN24" s="431" t="e">
        <f ca="1">INDEX(INDIRECT(VLOOKUP(LEFT(BO24,7),CLU!$Z$3:$AH$18,3)),GQ24,GS24)</f>
        <v>#N/A</v>
      </c>
      <c r="CO24" s="431" t="e">
        <f ca="1">INDEX(INDIRECT(VLOOKUP(LEFT(BO24,7),CLU!$Z$3:$AH$18,4)),GQ24,GS24)</f>
        <v>#N/A</v>
      </c>
      <c r="CP24" s="431" t="e">
        <f t="shared" ca="1" si="146"/>
        <v>#N/A</v>
      </c>
      <c r="CQ24" s="440">
        <f t="shared" si="147"/>
        <v>0</v>
      </c>
      <c r="CR24" s="51" t="e">
        <f t="shared" ca="1" si="148"/>
        <v>#N/A</v>
      </c>
      <c r="CS24" s="439" t="e">
        <f t="shared" ca="1" si="149"/>
        <v>#VALUE!</v>
      </c>
      <c r="CT24" s="51" t="e">
        <f t="shared" ca="1" si="150"/>
        <v>#VALUE!</v>
      </c>
      <c r="CU24" s="10"/>
      <c r="CV24" s="51" t="e">
        <f t="shared" ca="1" si="34"/>
        <v>#VALUE!</v>
      </c>
      <c r="CW24" s="51">
        <f t="shared" si="151"/>
        <v>0</v>
      </c>
      <c r="CX24" s="439" t="e">
        <f t="shared" ca="1" si="152"/>
        <v>#VALUE!</v>
      </c>
      <c r="CY24" s="51" t="e">
        <f t="shared" ca="1" si="153"/>
        <v>#VALUE!</v>
      </c>
      <c r="CZ24" s="10"/>
      <c r="DA24" s="51" t="e">
        <f t="shared" ca="1" si="154"/>
        <v>#VALUE!</v>
      </c>
      <c r="DB24" s="347" t="e">
        <f ca="1">INDEX(INDIRECT(VLOOKUP(LEFT(BO24,7),CLU!$Z$3:$AI$18,10)),((M24-2)*(6-COUNTBLANK(GT24:GY24)))+GJ24)*LI24</f>
        <v>#N/A</v>
      </c>
      <c r="DC24" s="347" t="str">
        <f>IF(L24&gt;0,((R24/Worksheet!$I$15)/DB24)^2," ")</f>
        <v xml:space="preserve"> </v>
      </c>
      <c r="DD24" s="602" t="str">
        <f t="shared" si="155"/>
        <v xml:space="preserve"> </v>
      </c>
      <c r="DE24" s="347" t="str">
        <f t="shared" si="156"/>
        <v xml:space="preserve"> </v>
      </c>
      <c r="DF24" s="356" t="e">
        <f ca="1">INDEX(INDIRECT(VLOOKUP(LEFT(BO24,7),CLU!$Z$3:$AH$18,8)),((M24-2)*(6-COUNTBLANK(GT24:GY24)))+GJ24)</f>
        <v>#N/A</v>
      </c>
      <c r="DG24" s="347" t="str">
        <f t="shared" si="157"/>
        <v xml:space="preserve"> </v>
      </c>
      <c r="DH24" s="357" t="str">
        <f t="shared" si="158"/>
        <v xml:space="preserve"> </v>
      </c>
      <c r="DI24" s="355" t="str">
        <f t="shared" si="159"/>
        <v xml:space="preserve"> </v>
      </c>
      <c r="DJ24" s="245" t="e">
        <f ca="1">INDEX(INDIRECT(VLOOKUP(LEFT(BO24,7),CLU!$Z$3:$AH$18,5)),GL24,GK24)</f>
        <v>#N/A</v>
      </c>
      <c r="DK24" s="245" t="e">
        <f ca="1">INDEX(INDIRECT(VLOOKUP(LEFT(BO24,7),CLU!$Z$3:$AH$18,6)),GL24,GK24)</f>
        <v>#N/A</v>
      </c>
      <c r="DL24" s="355">
        <f>(Calculation!R24*0.69143*(Calculation!$BQ$8-Calculation!$F$8))*$S$14</f>
        <v>0</v>
      </c>
      <c r="DM24" s="359" t="e">
        <f t="shared" si="160"/>
        <v>#VALUE!</v>
      </c>
      <c r="DN24" s="611">
        <f t="shared" si="161"/>
        <v>0</v>
      </c>
      <c r="DO24" s="359">
        <f t="shared" si="162"/>
        <v>100</v>
      </c>
      <c r="DP24" s="359">
        <f t="shared" si="163"/>
        <v>0</v>
      </c>
      <c r="DQ24" s="360"/>
      <c r="DR24" s="245" t="e">
        <f ca="1">INDEX(INDIRECT(VLOOKUP(LEFT(BO24,7),CLU!$Z$3:$AH$18,7)),M24-1,1)</f>
        <v>#N/A</v>
      </c>
      <c r="DS24" s="245" t="e">
        <f ca="1">INDEX(INDIRECT(VLOOKUP(LEFT(BO24,7),CLU!$Z$3:$AH$18,7)),M24-1,2)</f>
        <v>#N/A</v>
      </c>
      <c r="DT24" s="245" t="e">
        <f ca="1">INDEX(INDIRECT(VLOOKUP(LEFT(BO24,7),CLU!$Z$3:$AH$18,7)),M24-1,3)</f>
        <v>#N/A</v>
      </c>
      <c r="DU24" s="245" t="e">
        <f ca="1">INDEX(INDIRECT(VLOOKUP(LEFT(BO24,7),CLU!$Z$3:$AH$18,7)),M24-1,4)</f>
        <v>#N/A</v>
      </c>
      <c r="DV24" s="361" t="e">
        <f ca="1">INDEX(INDIRECT(VLOOKUP(LEFT(BO24,7),CLU!$Z$3:$AH$18,7)),M24-1,4+LEFT(DZ24,1)*0.5)</f>
        <v>#N/A</v>
      </c>
      <c r="DW24" s="245" t="e">
        <f ca="1">INDEX(INDIRECT(VLOOKUP(LEFT(BO24,7),CLU!$Z$3:$AH$18,7)),M24-1,8)</f>
        <v>#N/A</v>
      </c>
      <c r="DX24" s="361" t="str">
        <f t="shared" si="164"/>
        <v xml:space="preserve"> </v>
      </c>
      <c r="DY24" s="361" t="str">
        <f t="shared" si="165"/>
        <v xml:space="preserve"> </v>
      </c>
      <c r="DZ24" s="361" t="str">
        <f t="shared" si="166"/>
        <v xml:space="preserve"> </v>
      </c>
      <c r="EA24" s="362" t="str">
        <f t="shared" si="167"/>
        <v xml:space="preserve"> </v>
      </c>
      <c r="EB24" s="624" t="str">
        <f t="shared" si="168"/>
        <v xml:space="preserve"> </v>
      </c>
      <c r="EC24" s="361" t="e">
        <f ca="1">INDEX(INDIRECT(VLOOKUP(LEFT(BO24,7),CLU!$Z$3:$AH$18,7)),M24-1,4+LEFT(DZ24,1)*0.5)</f>
        <v>#N/A</v>
      </c>
      <c r="ED24" s="362" t="str">
        <f t="shared" si="43"/>
        <v xml:space="preserve"> </v>
      </c>
      <c r="EE24" s="361" t="str">
        <f t="shared" si="44"/>
        <v xml:space="preserve"> </v>
      </c>
      <c r="EF24" s="362" t="str">
        <f>IF(L24&gt;0,IF(BR24&gt;0,IF(EE24="2P",IF(Calculation!DZ24="2P",IF(Calculation!DS24=13.75,IF(Calculation!DR24=13,Worksheet!$BD$43,IF(Calculation!DR24=37,Worksheet!$BD$44,Worksheet!$BD$45)),IF(Calculation!DS24=10,IF(Calculation!DR24=18,Worksheet!$BD$29,IF(Calculation!DR24=30,Worksheet!$BD$30,IF(Calculation!DR24=42,Worksheet!$BD$31,IF(Calculation!DR24=54,Worksheet!$BD$32,IF(Calculation!DR24=66,Worksheet!$BD$33,IF(Calculation!DR24=78,Worksheet!$BD$34,IF(Calculation!DR24=90,Worksheet!$BD$35,IF(Calculation!DR24=102,Worksheet!$BD$36,Worksheet!$BD$37)))))))),IF(Calculation!DS24=12.5,IF(Calculation!DR24=18,Worksheet!$BD$38,IF(Calculation!DR24=Worksheet!$BD$39,IF(Calculation!DR24=42,Worksheet!$BD$40,IF(Calculation!DR24=54,Worksheet!$BD$41,Worksheet!$BD$42)))),IF(Calculation!DR24=18,Worksheet!$BD$11,IF(Calculation!DR24=30,Worksheet!$BD$12,IF(Calculation!DR24=42,Worksheet!$BD$13,IF(Calculation!DR24=54,Worksheet!$BD$14,IF(Calculation!DR24=66,Worksheet!$BD$15,IF(Calculation!DR24=78,Worksheet!$BD$16,IF(Calculation!DR24=90,Worksheet!$BD$17,IF(Calculation!DR24=102,Worksheet!$BD$18,Worksheet!$BD$19))))))))))),IF(Calculation!DS24=13.75,IF(Calculation!DR24=13,Worksheet!$BD$78,IF(Calculation!DR24=37,Worksheet!$BD$79,Worksheet!$BD$80)),IF(Calculation!DS24=10,IF(Calculation!DR24=18,Worksheet!$BD$64,IF(Calculation!DR24=30,Worksheet!$BD$65,IF(Calculation!DR24=42,Worksheet!$BD$66,IF(Calculation!DR24=54,Worksheet!$BD$68,IF(Calculation!DR24=66,Worksheet!$BD$68,IF(Calculation!DR24=78,Worksheet!$BD$69,IF(Calculation!DR24=90,Worksheet!$BD$70,IF(Calculation!DR24=102,Worksheet!$BD$71,Worksheet!$BD$72)))))))),IF(Calculation!DS24=12.5,IF(Calculation!DR24=18,Worksheet!$BD$73,IF(Calculation!DR24=Worksheet!$BD$74,IF(Calculation!DR24=42,Worksheet!$BD$75,IF(Calculation!DR24=54,Worksheet!$BD$76,Worksheet!$BD$77)))),IF(Calculation!DR24=18,Worksheet!$BD$55,IF(Calculation!DR24=30,Worksheet!$BD$56,IF(Calculation!DR24=42,Worksheet!$BD$57,IF(Calculation!DR24=54,Worksheet!$BD$58,IF(Calculation!DR24=66,Worksheet!$BD$59,IF(Calculation!DR24=78,Worksheet!$BD$60,IF(Calculation!DR24=90,Worksheet!$BD$61,IF(Calculation!DR24=102,Worksheet!$BD$62,Worksheet!$BD$63)))))))))))),5),0)," ")</f>
        <v xml:space="preserve"> </v>
      </c>
      <c r="EG24" s="361" t="str">
        <f t="shared" si="45"/>
        <v xml:space="preserve"> </v>
      </c>
      <c r="EH24" s="361" t="e">
        <f ca="1">INDEX(INDIRECT(VLOOKUP(LEFT(BO24,7),CLU!$Z$3:$AH$18,7)),M24-1,3+LEFT(DZ24,1))</f>
        <v>#N/A</v>
      </c>
      <c r="EI24" s="362" t="str">
        <f t="shared" si="46"/>
        <v xml:space="preserve"> </v>
      </c>
      <c r="EJ24" s="363" t="str">
        <f t="shared" si="47"/>
        <v xml:space="preserve"> </v>
      </c>
      <c r="EK24" s="363" t="str">
        <f t="shared" si="48"/>
        <v xml:space="preserve"> </v>
      </c>
      <c r="EL24" s="363" t="str">
        <f t="shared" si="49"/>
        <v xml:space="preserve"> </v>
      </c>
      <c r="EM24" s="362" t="str">
        <f>IF(L24&gt;0,IF(BR24&gt;0,(Calculation!T24/ED24)^2,0)," ")</f>
        <v xml:space="preserve"> </v>
      </c>
      <c r="EN24" s="362" t="str">
        <f>IF(L24&gt;0,IF(O24="2 Pipe (Cooling)","N/A",IF(BR24&gt;0,(Calculation!U24/EI24)^2,0))," ")</f>
        <v xml:space="preserve"> </v>
      </c>
      <c r="EO24" s="361" t="str">
        <f t="shared" si="50"/>
        <v/>
      </c>
      <c r="EP24" s="361" t="str">
        <f t="shared" si="51"/>
        <v/>
      </c>
      <c r="EQ24" s="361" t="str">
        <f t="shared" si="52"/>
        <v/>
      </c>
      <c r="ER24" s="361" t="str">
        <f t="shared" si="53"/>
        <v/>
      </c>
      <c r="ES24" s="361" t="str">
        <f t="shared" si="54"/>
        <v/>
      </c>
      <c r="ET24" s="361" t="str">
        <f t="shared" si="55"/>
        <v/>
      </c>
      <c r="EU24" s="361" t="str">
        <f t="shared" si="56"/>
        <v/>
      </c>
      <c r="EV24" s="361" t="str">
        <f t="shared" si="57"/>
        <v/>
      </c>
      <c r="EW24" s="361" t="str">
        <f t="shared" si="58"/>
        <v/>
      </c>
      <c r="EX24" s="361" t="str">
        <f t="shared" si="169"/>
        <v>1 slot, 1 way</v>
      </c>
      <c r="EY24" s="361" t="str">
        <f t="shared" si="170"/>
        <v xml:space="preserve"> </v>
      </c>
      <c r="EZ24" s="361" t="str">
        <f t="shared" si="171"/>
        <v xml:space="preserve"> </v>
      </c>
      <c r="FA24" s="361" t="str">
        <f t="shared" si="172"/>
        <v xml:space="preserve"> </v>
      </c>
      <c r="FB24" s="361" t="str">
        <f t="shared" si="173"/>
        <v xml:space="preserve"> </v>
      </c>
      <c r="FC24" s="361"/>
      <c r="FD24" s="361" t="str">
        <f>IF(J24&gt;0,IF(Calculation!R24&lt;=70,4,IF(Calculation!R24&lt;=110,5,IF(Calculation!R24&lt;=160,6,IF(Calculation!R24&lt;=300,8,"10 EO")))),"")</f>
        <v/>
      </c>
      <c r="FE24" s="361" t="str">
        <f t="shared" si="174"/>
        <v/>
      </c>
      <c r="FF24" s="361" t="str">
        <f t="shared" si="175"/>
        <v/>
      </c>
      <c r="FG24" s="361" t="e">
        <f t="shared" si="60"/>
        <v>#N/A</v>
      </c>
      <c r="FH24" s="361">
        <f t="shared" si="61"/>
        <v>0</v>
      </c>
      <c r="FI24" s="361" t="e">
        <f t="shared" si="62"/>
        <v>#DIV/0!</v>
      </c>
      <c r="FJ24" s="361"/>
      <c r="FK24" s="356" t="e">
        <f t="shared" si="63"/>
        <v>#VALUE!</v>
      </c>
      <c r="FL24" s="361"/>
      <c r="FM24" s="361"/>
      <c r="FN24" s="362" t="str">
        <f t="shared" si="176"/>
        <v xml:space="preserve"> </v>
      </c>
      <c r="FO24" s="362" t="str">
        <f t="shared" si="177"/>
        <v xml:space="preserve"> </v>
      </c>
      <c r="FP24" s="362">
        <f t="shared" si="178"/>
        <v>0</v>
      </c>
      <c r="FQ24" s="361">
        <f t="shared" si="64"/>
        <v>0</v>
      </c>
      <c r="FR24" s="362" t="str">
        <f>IF(L24&gt;0,IF(J24="CBAL2",Worksheet!$P$67,IF(J24="CBE2-24",Worksheet!$Q$67,IF(J24="CBAM",Worksheet!$R$67,IF(J24="CBLV",Worksheet!$S$67,IF(J24="CBAB",Worksheet!$U$67,IF(J24="CBAW",Worksheet!$X$67,IF(J24="CBE2-12",Worksheet!$Y$67,IF(J24="CBAL2",Worksheet!$Z$67,"N/A"))))))))," ")</f>
        <v xml:space="preserve"> </v>
      </c>
      <c r="FS24" s="362" t="str">
        <f>IF(L24&gt;0,IF(J24="CBAL2",Worksheet!$P$68,IF(J24="CBE2-24",Worksheet!$Q$68,IF(J24="CBAM",Worksheet!$R$68,IF(J24="CBLV",Worksheet!$S$68,IF(J24="CBAB",Worksheet!$U$68,IF(J24="CBAW",Worksheet!$X$68,IF(J24="CBE2-12",Worksheet!$Y$68,IF(J24="CBAL2",Worksheet!$Z$68,"N/A"))))))))," ")</f>
        <v xml:space="preserve"> </v>
      </c>
      <c r="FT24" s="362" t="str">
        <f>IF(L24&gt;0,IF(J24="CBAL2",Worksheet!$P$69,IF(J24="CBE2-24",Worksheet!$Q$69,IF(J24="CBAM",Worksheet!$R$69,IF(J24="CBLV",Worksheet!$S$69,IF(J24="CBAB",Worksheet!$U$69,IF(J24="CBAW",Worksheet!$X$69,IF(J24="CBE2-12",Worksheet!$Y$69,IF(J24="CBAL2",Worksheet!$Z$69,"N/A"))))))))," ")</f>
        <v xml:space="preserve"> </v>
      </c>
      <c r="FU24" s="361" t="str">
        <f t="shared" si="179"/>
        <v xml:space="preserve"> </v>
      </c>
      <c r="FV24" s="362" t="str">
        <f t="shared" si="180"/>
        <v xml:space="preserve"> </v>
      </c>
      <c r="FW24" s="362" t="str">
        <f t="shared" si="181"/>
        <v xml:space="preserve"> </v>
      </c>
      <c r="FX24" s="362" t="str">
        <f t="shared" si="182"/>
        <v xml:space="preserve"> </v>
      </c>
      <c r="FY24" s="355" t="str">
        <f t="shared" si="183"/>
        <v xml:space="preserve"> </v>
      </c>
      <c r="FZ24" s="361" t="str">
        <f t="shared" si="184"/>
        <v xml:space="preserve"> </v>
      </c>
      <c r="GA24" s="347" t="str">
        <f t="shared" si="185"/>
        <v xml:space="preserve"> </v>
      </c>
      <c r="GB24" s="355" t="str">
        <f t="shared" si="186"/>
        <v xml:space="preserve"> </v>
      </c>
      <c r="GC24" s="328" t="str">
        <f t="shared" si="187"/>
        <v xml:space="preserve"> </v>
      </c>
      <c r="GD24" s="361" t="str">
        <f t="shared" si="188"/>
        <v xml:space="preserve"> </v>
      </c>
      <c r="GE24" s="347" t="str">
        <f t="shared" si="189"/>
        <v xml:space="preserve"> </v>
      </c>
      <c r="GF24" s="361" t="str">
        <f t="shared" si="190"/>
        <v xml:space="preserve"> </v>
      </c>
      <c r="GG24" s="347" t="str">
        <f t="shared" si="191"/>
        <v xml:space="preserve"> </v>
      </c>
      <c r="GH24" s="364">
        <f t="shared" si="78"/>
        <v>0</v>
      </c>
      <c r="GI24" s="362">
        <f t="shared" si="192"/>
        <v>2</v>
      </c>
      <c r="GJ24" s="433" t="e">
        <f>IF(6-COUNTBLANK(GT24:GY24)=4,MATCH(MID(BO24,9,3),CLU!$H$16:$K$16),MATCH(MID(BO24,9,3),CLU!$H$13:$M$13))</f>
        <v>#N/A</v>
      </c>
      <c r="GK24" s="433" t="e">
        <f>HLOOKUP(VALUE(BP24),CLU!$H$9:$M$10,2)</f>
        <v>#VALUE!</v>
      </c>
      <c r="GL24" s="433" t="e">
        <f ca="1">MATCH(BU24,CLU!$H$2:$V$2,1)</f>
        <v>#VALUE!</v>
      </c>
      <c r="GM24" s="433" t="e">
        <f t="shared" ca="1" si="193"/>
        <v>#VALUE!</v>
      </c>
      <c r="GN24" s="433" t="e">
        <f t="shared" ca="1" si="194"/>
        <v>#VALUE!</v>
      </c>
      <c r="GO24" s="433" t="e">
        <f t="shared" ca="1" si="195"/>
        <v>#VALUE!</v>
      </c>
      <c r="GP24" s="433" t="e">
        <f t="shared" ca="1" si="196"/>
        <v>#VALUE!</v>
      </c>
      <c r="GQ24" s="433" t="e">
        <f t="shared" ca="1" si="197"/>
        <v>#VALUE!</v>
      </c>
      <c r="GR24" s="433" t="e">
        <f ca="1">MATCH(T24,INDIRECT(VLOOKUP(CONCATENATE(LEFT(BO24,7),"-",MID(BO24,13,1)),CLU!$P$3:$Q$16,2)),1)</f>
        <v>#N/A</v>
      </c>
      <c r="GS24" s="433" t="e">
        <f ca="1">MATCH(U24,INDIRECT(VLOOKUP(CONCATENATE(LEFT(BO24,7),"-",MID(BO24,13,1)),CLU!$P$3:$Q$16,2)),1)</f>
        <v>#N/A</v>
      </c>
      <c r="GT24" s="347" t="s">
        <v>512</v>
      </c>
      <c r="GU24" s="97" t="s">
        <v>513</v>
      </c>
      <c r="GV24" s="97" t="str">
        <f t="shared" si="198"/>
        <v>M23</v>
      </c>
      <c r="GW24" s="97" t="str">
        <f t="shared" si="199"/>
        <v>M31</v>
      </c>
      <c r="GX24" s="97" t="str">
        <f t="shared" si="200"/>
        <v/>
      </c>
      <c r="GY24" s="97" t="str">
        <f t="shared" si="201"/>
        <v/>
      </c>
      <c r="GZ24" s="481"/>
      <c r="HA24" s="288"/>
      <c r="HB24" s="240"/>
      <c r="HC24" s="240"/>
      <c r="HD24" s="240"/>
      <c r="HE24" s="240"/>
      <c r="HF24" s="240"/>
      <c r="HG24" s="240"/>
      <c r="HH24" s="240"/>
      <c r="HI24" s="240"/>
      <c r="HJ24" s="240"/>
      <c r="HK24" s="240"/>
      <c r="HL24" s="240"/>
      <c r="HM24" s="240"/>
      <c r="HN24" s="240"/>
      <c r="HO24" s="240"/>
      <c r="HP24" s="240"/>
      <c r="HQ24" s="240"/>
      <c r="HR24" s="240"/>
      <c r="HS24" s="240"/>
      <c r="HT24" s="240"/>
      <c r="HU24" s="240"/>
      <c r="HV24" s="245"/>
      <c r="HW24" s="245" t="b">
        <v>1</v>
      </c>
      <c r="HX24" s="245" t="str">
        <f t="shared" si="79"/>
        <v/>
      </c>
      <c r="HY24" s="245" t="e">
        <f t="shared" si="80"/>
        <v>#DIV/0!</v>
      </c>
      <c r="HZ24" s="245" t="e">
        <f t="shared" si="81"/>
        <v>#DIV/0!</v>
      </c>
      <c r="IA24" s="245">
        <f t="shared" si="82"/>
        <v>0</v>
      </c>
      <c r="IB24" s="245"/>
      <c r="IC24" t="b">
        <f t="shared" si="83"/>
        <v>1</v>
      </c>
      <c r="ID24" s="245" t="b">
        <f t="shared" si="84"/>
        <v>1</v>
      </c>
      <c r="IE24" s="245" t="b">
        <f t="shared" si="85"/>
        <v>1</v>
      </c>
      <c r="IF24" s="245" t="b">
        <f t="shared" si="86"/>
        <v>0</v>
      </c>
      <c r="IG24" s="245" t="b">
        <f t="shared" si="87"/>
        <v>1</v>
      </c>
      <c r="IH24" s="245" t="b">
        <f t="shared" si="88"/>
        <v>1</v>
      </c>
      <c r="II24" s="245">
        <f t="shared" si="202"/>
        <v>0</v>
      </c>
      <c r="IJ24" s="245" t="e">
        <f t="shared" si="89"/>
        <v>#VALUE!</v>
      </c>
      <c r="IK24" s="245" t="e">
        <f t="shared" si="90"/>
        <v>#VALUE!</v>
      </c>
      <c r="IL24" s="245"/>
      <c r="IM24" s="245" t="e">
        <f t="shared" si="203"/>
        <v>#N/A</v>
      </c>
      <c r="IN24" s="245" t="e">
        <f t="shared" si="204"/>
        <v>#N/A</v>
      </c>
      <c r="IO24" s="245"/>
      <c r="IP24" s="245"/>
      <c r="IQ24" s="245" t="str">
        <f t="shared" si="91"/>
        <v/>
      </c>
      <c r="IR24" s="245" t="str">
        <f>IF(J24="","",VLOOKUP(J24,Worksheet!$R$4:$T$14,2))</f>
        <v/>
      </c>
      <c r="IS24" s="245"/>
      <c r="IT24" s="245">
        <f t="shared" si="92"/>
        <v>0</v>
      </c>
      <c r="IU24" s="245">
        <f t="shared" si="93"/>
        <v>0</v>
      </c>
      <c r="IV24" s="245">
        <f t="shared" si="94"/>
        <v>0</v>
      </c>
      <c r="IW24" s="245">
        <f t="shared" si="95"/>
        <v>0</v>
      </c>
      <c r="IX24" s="245">
        <f t="shared" si="205"/>
        <v>0</v>
      </c>
      <c r="IY24" s="245">
        <f t="shared" si="96"/>
        <v>0</v>
      </c>
      <c r="IZ24" s="245">
        <f t="shared" si="97"/>
        <v>0</v>
      </c>
      <c r="JA24">
        <f t="shared" si="98"/>
        <v>0</v>
      </c>
      <c r="JB24">
        <f t="shared" si="206"/>
        <v>0</v>
      </c>
      <c r="JC24">
        <f t="shared" si="99"/>
        <v>0</v>
      </c>
      <c r="JD24">
        <f t="shared" si="100"/>
        <v>0</v>
      </c>
      <c r="JE24">
        <f t="shared" si="101"/>
        <v>0</v>
      </c>
      <c r="JF24">
        <f t="shared" si="102"/>
        <v>0</v>
      </c>
      <c r="JG24">
        <f t="shared" si="103"/>
        <v>0</v>
      </c>
      <c r="JH24">
        <f t="shared" si="104"/>
        <v>0</v>
      </c>
      <c r="JI24">
        <f t="shared" si="105"/>
        <v>0</v>
      </c>
      <c r="JJ24" s="447">
        <f t="shared" si="106"/>
        <v>0</v>
      </c>
      <c r="JK24" s="447">
        <f t="shared" si="107"/>
        <v>0</v>
      </c>
      <c r="JL24">
        <f t="shared" si="108"/>
        <v>0</v>
      </c>
      <c r="JM24" s="245" t="str">
        <f>IFERROR(VLOOKUP(MATCH(BN24,#REF!,0),#REF!,7),"")</f>
        <v/>
      </c>
      <c r="JN24" t="e">
        <f>HLOOKUP(LEFT(BO24,7),Discharge_Area,MATCH(JO24,LookUps!$B$130:$B$149,1)+2)</f>
        <v>#N/A</v>
      </c>
      <c r="JO24" t="str">
        <f t="shared" si="109"/>
        <v>- S</v>
      </c>
      <c r="JP24" t="e">
        <f>HLOOKUP(LEFT(BO24,7),Discharge_Area,MATCH(JO24,LookUps!$B$130:$B$149,1)+2)</f>
        <v>#N/A</v>
      </c>
      <c r="JQ24" t="e">
        <f t="shared" si="110"/>
        <v>#N/A</v>
      </c>
      <c r="JR24" t="e">
        <f t="shared" si="111"/>
        <v>#N/A</v>
      </c>
      <c r="JS24" t="e">
        <f t="shared" si="112"/>
        <v>#N/A</v>
      </c>
      <c r="JT24" s="532" t="str">
        <f t="shared" si="113"/>
        <v xml:space="preserve"> </v>
      </c>
      <c r="JU24" s="532" t="str">
        <f t="shared" si="114"/>
        <v xml:space="preserve"> </v>
      </c>
      <c r="JV24" s="533" t="str">
        <f t="shared" si="115"/>
        <v xml:space="preserve"> </v>
      </c>
      <c r="JW24" s="534">
        <f t="shared" si="116"/>
        <v>0</v>
      </c>
      <c r="JX24" s="535" t="str">
        <f t="shared" si="207"/>
        <v xml:space="preserve"> </v>
      </c>
      <c r="JY24" s="535" t="str">
        <f t="shared" si="208"/>
        <v xml:space="preserve"> </v>
      </c>
      <c r="JZ24" s="535" t="str">
        <f t="shared" si="209"/>
        <v xml:space="preserve"> </v>
      </c>
      <c r="KA24" s="536" t="str">
        <f t="shared" si="117"/>
        <v xml:space="preserve"> </v>
      </c>
      <c r="KB24" s="535" t="e">
        <f t="shared" si="210"/>
        <v>#VALUE!</v>
      </c>
      <c r="KC24" s="535" t="str">
        <f t="shared" si="118"/>
        <v/>
      </c>
      <c r="KD24" s="537" t="str">
        <f t="shared" si="211"/>
        <v xml:space="preserve"> </v>
      </c>
      <c r="KE24" s="537" t="str">
        <f t="shared" si="212"/>
        <v xml:space="preserve"> </v>
      </c>
      <c r="KF24" s="534">
        <f t="shared" si="119"/>
        <v>0</v>
      </c>
      <c r="KG24" s="535" t="str">
        <f t="shared" si="120"/>
        <v xml:space="preserve"> </v>
      </c>
      <c r="KH24" s="535" t="str">
        <f t="shared" si="121"/>
        <v xml:space="preserve"> </v>
      </c>
      <c r="KI24" s="535" t="str">
        <f t="shared" si="122"/>
        <v xml:space="preserve"> </v>
      </c>
      <c r="KJ24" s="536" t="str">
        <f t="shared" si="123"/>
        <v xml:space="preserve"> </v>
      </c>
      <c r="KK24" s="535" t="str">
        <f t="shared" si="213"/>
        <v xml:space="preserve"> </v>
      </c>
      <c r="KL24" s="535" t="str">
        <f t="shared" si="214"/>
        <v xml:space="preserve"> </v>
      </c>
      <c r="KM24" s="537" t="str">
        <f t="shared" si="124"/>
        <v xml:space="preserve"> </v>
      </c>
      <c r="KN24" s="537" t="str">
        <f t="shared" si="215"/>
        <v xml:space="preserve"> </v>
      </c>
      <c r="KP24">
        <f t="shared" si="125"/>
        <v>0</v>
      </c>
      <c r="LA24" t="e">
        <f t="shared" si="126"/>
        <v>#VALUE!</v>
      </c>
      <c r="LB24" t="e">
        <f t="shared" si="127"/>
        <v>#VALUE!</v>
      </c>
      <c r="LC24" t="e">
        <f t="shared" si="128"/>
        <v>#VALUE!</v>
      </c>
      <c r="LD24" t="e">
        <f t="shared" si="129"/>
        <v>#VALUE!</v>
      </c>
      <c r="LE24" t="e">
        <f t="shared" si="216"/>
        <v>#VALUE!</v>
      </c>
      <c r="LF24">
        <f t="shared" si="130"/>
        <v>0</v>
      </c>
      <c r="LG24" t="e">
        <f t="shared" si="217"/>
        <v>#VALUE!</v>
      </c>
      <c r="LH24" t="str">
        <f t="shared" si="131"/>
        <v xml:space="preserve"> </v>
      </c>
      <c r="LI24">
        <f t="shared" si="218"/>
        <v>1</v>
      </c>
    </row>
    <row r="25" spans="1:321" ht="15" customHeight="1">
      <c r="B25" s="311"/>
      <c r="C25" s="311"/>
      <c r="D25" s="312"/>
      <c r="E25" s="311"/>
      <c r="F25" s="312"/>
      <c r="G25" s="311"/>
      <c r="H25" s="311"/>
      <c r="I25" s="219"/>
      <c r="J25" s="311"/>
      <c r="K25" s="305" t="str">
        <f t="shared" si="132"/>
        <v/>
      </c>
      <c r="L25" s="313"/>
      <c r="M25" s="312"/>
      <c r="N25" s="311"/>
      <c r="O25" s="312"/>
      <c r="P25" s="311"/>
      <c r="Q25" s="305" t="str">
        <f t="shared" si="133"/>
        <v/>
      </c>
      <c r="R25" s="314"/>
      <c r="S25" s="450" t="str">
        <f t="shared" si="0"/>
        <v/>
      </c>
      <c r="T25" s="315"/>
      <c r="U25" s="315"/>
      <c r="W25" s="149" t="str">
        <f t="shared" si="1"/>
        <v xml:space="preserve"> </v>
      </c>
      <c r="X25" s="243" t="str">
        <f t="shared" si="2"/>
        <v xml:space="preserve"> </v>
      </c>
      <c r="Y25" s="150" t="str">
        <f t="shared" si="3"/>
        <v/>
      </c>
      <c r="Z25" s="149" t="str">
        <f t="shared" si="4"/>
        <v xml:space="preserve"> </v>
      </c>
      <c r="AA25" s="98" t="str">
        <f t="shared" si="5"/>
        <v xml:space="preserve"> </v>
      </c>
      <c r="AB25" s="153" t="str">
        <f t="shared" si="6"/>
        <v xml:space="preserve"> </v>
      </c>
      <c r="AC25" s="153" t="str">
        <f t="shared" si="7"/>
        <v xml:space="preserve"> </v>
      </c>
      <c r="AD25" s="148" t="str">
        <f t="shared" si="8"/>
        <v/>
      </c>
      <c r="AE25" s="149" t="str">
        <f t="shared" si="9"/>
        <v/>
      </c>
      <c r="AF25" s="151" t="str">
        <f t="shared" si="10"/>
        <v xml:space="preserve"> </v>
      </c>
      <c r="AG25" s="153" t="str">
        <f t="shared" si="11"/>
        <v xml:space="preserve"> </v>
      </c>
      <c r="AH25" s="98" t="str">
        <f t="shared" si="12"/>
        <v xml:space="preserve"> </v>
      </c>
      <c r="AI25" s="149" t="str">
        <f t="shared" si="13"/>
        <v xml:space="preserve"> </v>
      </c>
      <c r="AK25" s="144" t="str">
        <f t="shared" si="14"/>
        <v xml:space="preserve"> </v>
      </c>
      <c r="AL25" s="144"/>
      <c r="AM25" s="243" t="str">
        <f t="shared" si="15"/>
        <v xml:space="preserve"> </v>
      </c>
      <c r="AN25" s="149" t="str">
        <f t="shared" si="134"/>
        <v xml:space="preserve"> </v>
      </c>
      <c r="AO25" s="144" t="str">
        <f>IF(JB25&gt;0,IF(GI25=10,-R25*1.085*(Calculation!$F$6-Calculation!$F$13)*$S$14," "),"")</f>
        <v/>
      </c>
      <c r="AP25" s="144" t="str">
        <f t="shared" si="16"/>
        <v/>
      </c>
      <c r="AQ25" s="56" t="str">
        <f t="shared" si="17"/>
        <v/>
      </c>
      <c r="AR25" s="144" t="str">
        <f t="shared" si="18"/>
        <v/>
      </c>
      <c r="AS25" s="176" t="str">
        <f t="shared" si="19"/>
        <v/>
      </c>
      <c r="AT25" s="176" t="str">
        <f t="shared" si="135"/>
        <v xml:space="preserve"> </v>
      </c>
      <c r="AU25" s="176" t="str">
        <f t="shared" si="20"/>
        <v/>
      </c>
      <c r="AV25" s="177" t="str">
        <f t="shared" si="21"/>
        <v xml:space="preserve"> </v>
      </c>
      <c r="AW25" s="144" t="str">
        <f t="shared" si="22"/>
        <v xml:space="preserve"> </v>
      </c>
      <c r="AX25" s="144" t="str">
        <f t="shared" si="23"/>
        <v xml:space="preserve"> </v>
      </c>
      <c r="AY25" s="152" t="str">
        <f t="shared" si="24"/>
        <v xml:space="preserve"> </v>
      </c>
      <c r="AZ25" s="246" t="str">
        <f t="shared" si="25"/>
        <v/>
      </c>
      <c r="BA25" s="176" t="str">
        <f t="shared" si="26"/>
        <v xml:space="preserve"> </v>
      </c>
      <c r="BB25" s="176" t="str">
        <f t="shared" si="27"/>
        <v xml:space="preserve"> </v>
      </c>
      <c r="BC25" s="195"/>
      <c r="BD25" s="316"/>
      <c r="BE25" s="317"/>
      <c r="BF25" s="318"/>
      <c r="BG25" s="318"/>
      <c r="BH25" s="144" t="str">
        <f t="shared" si="219"/>
        <v xml:space="preserve"> </v>
      </c>
      <c r="BI25" s="176" t="str">
        <f t="shared" si="28"/>
        <v/>
      </c>
      <c r="BJ25" s="144" t="str">
        <f t="shared" si="220"/>
        <v/>
      </c>
      <c r="BK25" s="246" t="str">
        <f t="shared" si="29"/>
        <v/>
      </c>
      <c r="BL25" s="144" t="str">
        <f t="shared" si="221"/>
        <v/>
      </c>
      <c r="BM25" s="246" t="str">
        <f t="shared" si="30"/>
        <v/>
      </c>
      <c r="BN25" s="337" t="str">
        <f t="shared" si="136"/>
        <v/>
      </c>
      <c r="BO25" s="371" t="str">
        <f t="shared" si="137"/>
        <v/>
      </c>
      <c r="BP25" s="328" t="str">
        <f t="shared" si="222"/>
        <v xml:space="preserve"> </v>
      </c>
      <c r="BQ25" s="347" t="str">
        <f t="shared" si="138"/>
        <v xml:space="preserve"> </v>
      </c>
      <c r="BR25" s="353" t="str">
        <f>IF(L25&gt;0,HLOOKUP(LEFT(BO25,7),Noz_Qty,(MATCH(CONCATENATE(IF(LEN(M25)=1,("0"),""),M25,"-",LEFT(BP25,1),"S"),Len_SlotLU,0)+2))," ")</f>
        <v xml:space="preserve"> </v>
      </c>
      <c r="BS25" s="626" t="str">
        <f>IF(L25&gt;0,IF(Calculation!P25="M13",BR25*3.1416*(0.134^2)/(4*144),IF(Calculation!P25="M17",BR25*3.1416*(0.165^2)/(4*144),IF(Calculation!P25="M20",BR25*3.1416*(0.198^2)/(4*144),IF(Calculation!P25="M23",BR25*3.1416*(0.228^2)/(4*144),IF(Calculation!P25="M27",BR25*3.1416*(0.269^2)/(4*144),BR25*3.1416*(0.307^2)/(4*144))))))," ")</f>
        <v xml:space="preserve"> </v>
      </c>
      <c r="BT25" s="353" t="str">
        <f>IF(L25&gt;0,IF(BS25&gt;0,R25/Calculation!BS25,0)," ")</f>
        <v xml:space="preserve"> </v>
      </c>
      <c r="BU25" s="438" t="e">
        <f t="shared" ca="1" si="31"/>
        <v>#VALUE!</v>
      </c>
      <c r="BV25" s="449" t="e">
        <f ca="1">INDEX(INDIRECT(VLOOKUP(LEFT(BO25,7),CLU!$Z$3:$AH$18,2)),GN25,GR25)</f>
        <v>#N/A</v>
      </c>
      <c r="BW25" s="433" t="e">
        <f ca="1">INDEX(INDIRECT(VLOOKUP(LEFT(BO25,7),CLU!$Z$3:$AH$18,3)),GN25,GR25)</f>
        <v>#N/A</v>
      </c>
      <c r="BX25" s="433" t="e">
        <f ca="1">INDEX(INDIRECT(VLOOKUP(LEFT(BO25,7),CLU!$Z$3:$AH$18,4)),GN25,GR25)</f>
        <v>#N/A</v>
      </c>
      <c r="BY25" s="433" t="e">
        <f ca="1">INDEX(INDIRECT(VLOOKUP(LEFT(BO25,7),CLU!$Z$3:$AH$18,9)),((M25-2)*(6-COUNTBLANK(GT25:GY25)))+GJ25)</f>
        <v>#N/A</v>
      </c>
      <c r="BZ25" s="426" t="e">
        <f t="shared" ca="1" si="139"/>
        <v>#N/A</v>
      </c>
      <c r="CA25" s="424" t="e">
        <f t="shared" ca="1" si="140"/>
        <v>#N/A</v>
      </c>
      <c r="CB25" s="429" t="e">
        <f ca="1">INDEX(INDIRECT(VLOOKUP(LEFT(BO25,7),CLU!$Z$3:$AH$18,2)),GN25,GS25)</f>
        <v>#N/A</v>
      </c>
      <c r="CC25" s="342" t="e">
        <f ca="1">INDEX(INDIRECT(VLOOKUP(LEFT(BO25,7),CLU!$Z$3:$AH$18,3)),GN25,GS25)</f>
        <v>#N/A</v>
      </c>
      <c r="CD25" s="342" t="e">
        <f ca="1">INDEX(INDIRECT(VLOOKUP(LEFT(BO25,7),CLU!$Z$3:$AH$18,4)),GN25,GS25)</f>
        <v>#N/A</v>
      </c>
      <c r="CE25" s="426" t="e">
        <f t="shared" ca="1" si="141"/>
        <v>#N/A</v>
      </c>
      <c r="CF25" s="440">
        <f t="shared" si="142"/>
        <v>0</v>
      </c>
      <c r="CG25" s="431" t="e">
        <f ca="1">INDEX(INDIRECT(VLOOKUP(LEFT(BO25,7),CLU!$Z$3:$AH$18,2)),GQ25,GR25)</f>
        <v>#N/A</v>
      </c>
      <c r="CH25" s="431" t="e">
        <f ca="1">INDEX(INDIRECT(VLOOKUP(LEFT(BO25,7),CLU!$Z$3:$AH$18,3)),GQ25,GR25)</f>
        <v>#N/A</v>
      </c>
      <c r="CI25" s="431" t="e">
        <f ca="1">INDEX(INDIRECT(VLOOKUP(LEFT(BO25,7),CLU!$Z$3:$AH$18,4)),GQ25,GR25)</f>
        <v>#N/A</v>
      </c>
      <c r="CJ25" s="448" t="e">
        <f t="shared" ca="1" si="143"/>
        <v>#N/A</v>
      </c>
      <c r="CK25" s="431" t="e">
        <f t="shared" ca="1" si="144"/>
        <v>#N/A</v>
      </c>
      <c r="CL25" s="440" t="e">
        <f t="shared" ca="1" si="145"/>
        <v>#N/A</v>
      </c>
      <c r="CM25" s="431" t="e">
        <f ca="1">INDEX(INDIRECT(VLOOKUP(LEFT(BO25,7),CLU!$Z$3:$AH$18,2)),GQ25,GS25)</f>
        <v>#N/A</v>
      </c>
      <c r="CN25" s="431" t="e">
        <f ca="1">INDEX(INDIRECT(VLOOKUP(LEFT(BO25,7),CLU!$Z$3:$AH$18,3)),GQ25,GS25)</f>
        <v>#N/A</v>
      </c>
      <c r="CO25" s="431" t="e">
        <f ca="1">INDEX(INDIRECT(VLOOKUP(LEFT(BO25,7),CLU!$Z$3:$AH$18,4)),GQ25,GS25)</f>
        <v>#N/A</v>
      </c>
      <c r="CP25" s="431" t="e">
        <f t="shared" ca="1" si="146"/>
        <v>#N/A</v>
      </c>
      <c r="CQ25" s="440">
        <f t="shared" si="147"/>
        <v>0</v>
      </c>
      <c r="CR25" s="51" t="e">
        <f t="shared" ca="1" si="148"/>
        <v>#N/A</v>
      </c>
      <c r="CS25" s="439" t="e">
        <f t="shared" ca="1" si="149"/>
        <v>#VALUE!</v>
      </c>
      <c r="CT25" s="51" t="e">
        <f t="shared" ca="1" si="150"/>
        <v>#VALUE!</v>
      </c>
      <c r="CU25" s="10"/>
      <c r="CV25" s="51" t="e">
        <f t="shared" ca="1" si="34"/>
        <v>#VALUE!</v>
      </c>
      <c r="CW25" s="51">
        <f t="shared" si="151"/>
        <v>0</v>
      </c>
      <c r="CX25" s="439" t="e">
        <f t="shared" ca="1" si="152"/>
        <v>#VALUE!</v>
      </c>
      <c r="CY25" s="51" t="e">
        <f t="shared" ca="1" si="153"/>
        <v>#VALUE!</v>
      </c>
      <c r="CZ25" s="10"/>
      <c r="DA25" s="51" t="e">
        <f t="shared" ca="1" si="154"/>
        <v>#VALUE!</v>
      </c>
      <c r="DB25" s="347" t="e">
        <f ca="1">INDEX(INDIRECT(VLOOKUP(LEFT(BO25,7),CLU!$Z$3:$AI$18,10)),((M25-2)*(6-COUNTBLANK(GT25:GY25)))+GJ25)*LI25</f>
        <v>#N/A</v>
      </c>
      <c r="DC25" s="347" t="str">
        <f>IF(L25&gt;0,((R25/Worksheet!$I$15)/DB25)^2," ")</f>
        <v xml:space="preserve"> </v>
      </c>
      <c r="DD25" s="602" t="str">
        <f t="shared" si="155"/>
        <v xml:space="preserve"> </v>
      </c>
      <c r="DE25" s="347" t="str">
        <f t="shared" si="156"/>
        <v xml:space="preserve"> </v>
      </c>
      <c r="DF25" s="356" t="e">
        <f ca="1">INDEX(INDIRECT(VLOOKUP(LEFT(BO25,7),CLU!$Z$3:$AH$18,8)),((M25-2)*(6-COUNTBLANK(GT25:GY25)))+GJ25)</f>
        <v>#N/A</v>
      </c>
      <c r="DG25" s="347" t="str">
        <f t="shared" si="157"/>
        <v xml:space="preserve"> </v>
      </c>
      <c r="DH25" s="357" t="str">
        <f t="shared" si="158"/>
        <v xml:space="preserve"> </v>
      </c>
      <c r="DI25" s="355" t="str">
        <f t="shared" si="159"/>
        <v xml:space="preserve"> </v>
      </c>
      <c r="DJ25" s="245" t="e">
        <f ca="1">INDEX(INDIRECT(VLOOKUP(LEFT(BO25,7),CLU!$Z$3:$AH$18,5)),GL25,GK25)</f>
        <v>#N/A</v>
      </c>
      <c r="DK25" s="245" t="e">
        <f ca="1">INDEX(INDIRECT(VLOOKUP(LEFT(BO25,7),CLU!$Z$3:$AH$18,6)),GL25,GK25)</f>
        <v>#N/A</v>
      </c>
      <c r="DL25" s="355">
        <f>(Calculation!R25*0.69143*(Calculation!$BQ$8-Calculation!$F$8))*$S$14</f>
        <v>0</v>
      </c>
      <c r="DM25" s="359" t="e">
        <f t="shared" si="160"/>
        <v>#VALUE!</v>
      </c>
      <c r="DN25" s="611">
        <f t="shared" si="161"/>
        <v>0</v>
      </c>
      <c r="DO25" s="359">
        <f t="shared" si="162"/>
        <v>100</v>
      </c>
      <c r="DP25" s="359">
        <f t="shared" si="163"/>
        <v>0</v>
      </c>
      <c r="DQ25" s="360"/>
      <c r="DR25" s="245" t="e">
        <f ca="1">INDEX(INDIRECT(VLOOKUP(LEFT(BO25,7),CLU!$Z$3:$AH$18,7)),M25-1,1)</f>
        <v>#N/A</v>
      </c>
      <c r="DS25" s="245" t="e">
        <f ca="1">INDEX(INDIRECT(VLOOKUP(LEFT(BO25,7),CLU!$Z$3:$AH$18,7)),M25-1,2)</f>
        <v>#N/A</v>
      </c>
      <c r="DT25" s="245" t="e">
        <f ca="1">INDEX(INDIRECT(VLOOKUP(LEFT(BO25,7),CLU!$Z$3:$AH$18,7)),M25-1,3)</f>
        <v>#N/A</v>
      </c>
      <c r="DU25" s="245" t="e">
        <f ca="1">INDEX(INDIRECT(VLOOKUP(LEFT(BO25,7),CLU!$Z$3:$AH$18,7)),M25-1,4)</f>
        <v>#N/A</v>
      </c>
      <c r="DV25" s="361" t="e">
        <f ca="1">INDEX(INDIRECT(VLOOKUP(LEFT(BO25,7),CLU!$Z$3:$AH$18,7)),M25-1,4+LEFT(DZ25,1)*0.5)</f>
        <v>#N/A</v>
      </c>
      <c r="DW25" s="245" t="e">
        <f ca="1">INDEX(INDIRECT(VLOOKUP(LEFT(BO25,7),CLU!$Z$3:$AH$18,7)),M25-1,8)</f>
        <v>#N/A</v>
      </c>
      <c r="DX25" s="361" t="str">
        <f t="shared" si="164"/>
        <v xml:space="preserve"> </v>
      </c>
      <c r="DY25" s="361" t="str">
        <f t="shared" si="165"/>
        <v xml:space="preserve"> </v>
      </c>
      <c r="DZ25" s="361" t="str">
        <f t="shared" si="166"/>
        <v xml:space="preserve"> </v>
      </c>
      <c r="EA25" s="362" t="str">
        <f t="shared" si="167"/>
        <v xml:space="preserve"> </v>
      </c>
      <c r="EB25" s="624" t="str">
        <f t="shared" si="168"/>
        <v xml:space="preserve"> </v>
      </c>
      <c r="EC25" s="361" t="e">
        <f ca="1">INDEX(INDIRECT(VLOOKUP(LEFT(BO25,7),CLU!$Z$3:$AH$18,7)),M25-1,4+LEFT(DZ25,1)*0.5)</f>
        <v>#N/A</v>
      </c>
      <c r="ED25" s="362" t="str">
        <f t="shared" si="43"/>
        <v xml:space="preserve"> </v>
      </c>
      <c r="EE25" s="361" t="str">
        <f t="shared" si="44"/>
        <v xml:space="preserve"> </v>
      </c>
      <c r="EF25" s="362" t="str">
        <f>IF(L25&gt;0,IF(BR25&gt;0,IF(EE25="2P",IF(Calculation!DZ25="2P",IF(Calculation!DS25=13.75,IF(Calculation!DR25=13,Worksheet!$BD$43,IF(Calculation!DR25=37,Worksheet!$BD$44,Worksheet!$BD$45)),IF(Calculation!DS25=10,IF(Calculation!DR25=18,Worksheet!$BD$29,IF(Calculation!DR25=30,Worksheet!$BD$30,IF(Calculation!DR25=42,Worksheet!$BD$31,IF(Calculation!DR25=54,Worksheet!$BD$32,IF(Calculation!DR25=66,Worksheet!$BD$33,IF(Calculation!DR25=78,Worksheet!$BD$34,IF(Calculation!DR25=90,Worksheet!$BD$35,IF(Calculation!DR25=102,Worksheet!$BD$36,Worksheet!$BD$37)))))))),IF(Calculation!DS25=12.5,IF(Calculation!DR25=18,Worksheet!$BD$38,IF(Calculation!DR25=Worksheet!$BD$39,IF(Calculation!DR25=42,Worksheet!$BD$40,IF(Calculation!DR25=54,Worksheet!$BD$41,Worksheet!$BD$42)))),IF(Calculation!DR25=18,Worksheet!$BD$11,IF(Calculation!DR25=30,Worksheet!$BD$12,IF(Calculation!DR25=42,Worksheet!$BD$13,IF(Calculation!DR25=54,Worksheet!$BD$14,IF(Calculation!DR25=66,Worksheet!$BD$15,IF(Calculation!DR25=78,Worksheet!$BD$16,IF(Calculation!DR25=90,Worksheet!$BD$17,IF(Calculation!DR25=102,Worksheet!$BD$18,Worksheet!$BD$19))))))))))),IF(Calculation!DS25=13.75,IF(Calculation!DR25=13,Worksheet!$BD$78,IF(Calculation!DR25=37,Worksheet!$BD$79,Worksheet!$BD$80)),IF(Calculation!DS25=10,IF(Calculation!DR25=18,Worksheet!$BD$64,IF(Calculation!DR25=30,Worksheet!$BD$65,IF(Calculation!DR25=42,Worksheet!$BD$66,IF(Calculation!DR25=54,Worksheet!$BD$68,IF(Calculation!DR25=66,Worksheet!$BD$68,IF(Calculation!DR25=78,Worksheet!$BD$69,IF(Calculation!DR25=90,Worksheet!$BD$70,IF(Calculation!DR25=102,Worksheet!$BD$71,Worksheet!$BD$72)))))))),IF(Calculation!DS25=12.5,IF(Calculation!DR25=18,Worksheet!$BD$73,IF(Calculation!DR25=Worksheet!$BD$74,IF(Calculation!DR25=42,Worksheet!$BD$75,IF(Calculation!DR25=54,Worksheet!$BD$76,Worksheet!$BD$77)))),IF(Calculation!DR25=18,Worksheet!$BD$55,IF(Calculation!DR25=30,Worksheet!$BD$56,IF(Calculation!DR25=42,Worksheet!$BD$57,IF(Calculation!DR25=54,Worksheet!$BD$58,IF(Calculation!DR25=66,Worksheet!$BD$59,IF(Calculation!DR25=78,Worksheet!$BD$60,IF(Calculation!DR25=90,Worksheet!$BD$61,IF(Calculation!DR25=102,Worksheet!$BD$62,Worksheet!$BD$63)))))))))))),5),0)," ")</f>
        <v xml:space="preserve"> </v>
      </c>
      <c r="EG25" s="361" t="str">
        <f t="shared" si="45"/>
        <v xml:space="preserve"> </v>
      </c>
      <c r="EH25" s="361" t="e">
        <f ca="1">INDEX(INDIRECT(VLOOKUP(LEFT(BO25,7),CLU!$Z$3:$AH$18,7)),M25-1,3+LEFT(DZ25,1))</f>
        <v>#N/A</v>
      </c>
      <c r="EI25" s="362" t="str">
        <f t="shared" si="46"/>
        <v xml:space="preserve"> </v>
      </c>
      <c r="EJ25" s="363" t="str">
        <f t="shared" si="47"/>
        <v xml:space="preserve"> </v>
      </c>
      <c r="EK25" s="363" t="str">
        <f t="shared" si="48"/>
        <v xml:space="preserve"> </v>
      </c>
      <c r="EL25" s="363" t="str">
        <f t="shared" si="49"/>
        <v xml:space="preserve"> </v>
      </c>
      <c r="EM25" s="362" t="str">
        <f>IF(L25&gt;0,IF(BR25&gt;0,(Calculation!T25/ED25)^2,0)," ")</f>
        <v xml:space="preserve"> </v>
      </c>
      <c r="EN25" s="362" t="str">
        <f>IF(L25&gt;0,IF(O25="2 Pipe (Cooling)","N/A",IF(BR25&gt;0,(Calculation!U25/EI25)^2,0))," ")</f>
        <v xml:space="preserve"> </v>
      </c>
      <c r="EO25" s="361" t="str">
        <f t="shared" si="50"/>
        <v/>
      </c>
      <c r="EP25" s="361" t="str">
        <f t="shared" si="51"/>
        <v/>
      </c>
      <c r="EQ25" s="361" t="str">
        <f t="shared" si="52"/>
        <v/>
      </c>
      <c r="ER25" s="361" t="str">
        <f t="shared" si="53"/>
        <v/>
      </c>
      <c r="ES25" s="361" t="str">
        <f t="shared" si="54"/>
        <v/>
      </c>
      <c r="ET25" s="361" t="str">
        <f t="shared" si="55"/>
        <v/>
      </c>
      <c r="EU25" s="361" t="str">
        <f t="shared" si="56"/>
        <v/>
      </c>
      <c r="EV25" s="361" t="str">
        <f t="shared" si="57"/>
        <v/>
      </c>
      <c r="EW25" s="361" t="str">
        <f t="shared" si="58"/>
        <v/>
      </c>
      <c r="EX25" s="361" t="str">
        <f t="shared" si="169"/>
        <v>1 slot, 1 way</v>
      </c>
      <c r="EY25" s="361" t="str">
        <f t="shared" si="170"/>
        <v xml:space="preserve"> </v>
      </c>
      <c r="EZ25" s="361" t="str">
        <f t="shared" si="171"/>
        <v xml:space="preserve"> </v>
      </c>
      <c r="FA25" s="361" t="str">
        <f t="shared" si="172"/>
        <v xml:space="preserve"> </v>
      </c>
      <c r="FB25" s="361" t="str">
        <f t="shared" si="173"/>
        <v xml:space="preserve"> </v>
      </c>
      <c r="FC25" s="361"/>
      <c r="FD25" s="361" t="str">
        <f>IF(J25&gt;0,IF(Calculation!R25&lt;=70,4,IF(Calculation!R25&lt;=110,5,IF(Calculation!R25&lt;=160,6,IF(Calculation!R25&lt;=300,8,"10 EO")))),"")</f>
        <v/>
      </c>
      <c r="FE25" s="361" t="str">
        <f t="shared" si="174"/>
        <v/>
      </c>
      <c r="FF25" s="361" t="str">
        <f t="shared" si="175"/>
        <v/>
      </c>
      <c r="FG25" s="361" t="e">
        <f t="shared" si="60"/>
        <v>#N/A</v>
      </c>
      <c r="FH25" s="361">
        <f t="shared" si="61"/>
        <v>0</v>
      </c>
      <c r="FI25" s="361" t="e">
        <f t="shared" si="62"/>
        <v>#DIV/0!</v>
      </c>
      <c r="FJ25" s="361"/>
      <c r="FK25" s="356" t="e">
        <f t="shared" si="63"/>
        <v>#VALUE!</v>
      </c>
      <c r="FL25" s="361"/>
      <c r="FM25" s="361"/>
      <c r="FN25" s="362" t="str">
        <f t="shared" si="176"/>
        <v xml:space="preserve"> </v>
      </c>
      <c r="FO25" s="362" t="str">
        <f t="shared" si="177"/>
        <v xml:space="preserve"> </v>
      </c>
      <c r="FP25" s="362">
        <f t="shared" si="178"/>
        <v>0</v>
      </c>
      <c r="FQ25" s="361">
        <f t="shared" si="64"/>
        <v>0</v>
      </c>
      <c r="FR25" s="362" t="str">
        <f>IF(L25&gt;0,IF(J25="CBAL2",Worksheet!$P$67,IF(J25="CBE2-24",Worksheet!$Q$67,IF(J25="CBAM",Worksheet!$R$67,IF(J25="CBLV",Worksheet!$S$67,IF(J25="CBAB",Worksheet!$U$67,IF(J25="CBAW",Worksheet!$X$67,IF(J25="CBE2-12",Worksheet!$Y$67,IF(J25="CBAL2",Worksheet!$Z$67,"N/A"))))))))," ")</f>
        <v xml:space="preserve"> </v>
      </c>
      <c r="FS25" s="362" t="str">
        <f>IF(L25&gt;0,IF(J25="CBAL2",Worksheet!$P$68,IF(J25="CBE2-24",Worksheet!$Q$68,IF(J25="CBAM",Worksheet!$R$68,IF(J25="CBLV",Worksheet!$S$68,IF(J25="CBAB",Worksheet!$U$68,IF(J25="CBAW",Worksheet!$X$68,IF(J25="CBE2-12",Worksheet!$Y$68,IF(J25="CBAL2",Worksheet!$Z$68,"N/A"))))))))," ")</f>
        <v xml:space="preserve"> </v>
      </c>
      <c r="FT25" s="362" t="str">
        <f>IF(L25&gt;0,IF(J25="CBAL2",Worksheet!$P$69,IF(J25="CBE2-24",Worksheet!$Q$69,IF(J25="CBAM",Worksheet!$R$69,IF(J25="CBLV",Worksheet!$S$69,IF(J25="CBAB",Worksheet!$U$69,IF(J25="CBAW",Worksheet!$X$69,IF(J25="CBE2-12",Worksheet!$Y$69,IF(J25="CBAL2",Worksheet!$Z$69,"N/A"))))))))," ")</f>
        <v xml:space="preserve"> </v>
      </c>
      <c r="FU25" s="361" t="str">
        <f t="shared" si="179"/>
        <v xml:space="preserve"> </v>
      </c>
      <c r="FV25" s="362" t="str">
        <f t="shared" si="180"/>
        <v xml:space="preserve"> </v>
      </c>
      <c r="FW25" s="362" t="str">
        <f t="shared" si="181"/>
        <v xml:space="preserve"> </v>
      </c>
      <c r="FX25" s="362" t="str">
        <f t="shared" si="182"/>
        <v xml:space="preserve"> </v>
      </c>
      <c r="FY25" s="355" t="str">
        <f t="shared" si="183"/>
        <v xml:space="preserve"> </v>
      </c>
      <c r="FZ25" s="361" t="str">
        <f t="shared" si="184"/>
        <v xml:space="preserve"> </v>
      </c>
      <c r="GA25" s="347" t="str">
        <f t="shared" si="185"/>
        <v xml:space="preserve"> </v>
      </c>
      <c r="GB25" s="355" t="str">
        <f t="shared" si="186"/>
        <v xml:space="preserve"> </v>
      </c>
      <c r="GC25" s="328" t="str">
        <f t="shared" si="187"/>
        <v xml:space="preserve"> </v>
      </c>
      <c r="GD25" s="361" t="str">
        <f t="shared" si="188"/>
        <v xml:space="preserve"> </v>
      </c>
      <c r="GE25" s="347" t="str">
        <f t="shared" si="189"/>
        <v xml:space="preserve"> </v>
      </c>
      <c r="GF25" s="361" t="str">
        <f t="shared" si="190"/>
        <v xml:space="preserve"> </v>
      </c>
      <c r="GG25" s="347" t="str">
        <f t="shared" si="191"/>
        <v xml:space="preserve"> </v>
      </c>
      <c r="GH25" s="364">
        <f t="shared" si="78"/>
        <v>0</v>
      </c>
      <c r="GI25" s="362">
        <f t="shared" si="192"/>
        <v>2</v>
      </c>
      <c r="GJ25" s="433" t="e">
        <f>IF(6-COUNTBLANK(GT25:GY25)=4,MATCH(MID(BO25,9,3),CLU!$H$16:$K$16),MATCH(MID(BO25,9,3),CLU!$H$13:$M$13))</f>
        <v>#N/A</v>
      </c>
      <c r="GK25" s="433" t="e">
        <f>HLOOKUP(VALUE(BP25),CLU!$H$9:$M$10,2)</f>
        <v>#VALUE!</v>
      </c>
      <c r="GL25" s="433" t="e">
        <f ca="1">MATCH(BU25,CLU!$H$2:$V$2,1)</f>
        <v>#VALUE!</v>
      </c>
      <c r="GM25" s="433" t="e">
        <f t="shared" ca="1" si="193"/>
        <v>#VALUE!</v>
      </c>
      <c r="GN25" s="433" t="e">
        <f t="shared" ca="1" si="194"/>
        <v>#VALUE!</v>
      </c>
      <c r="GO25" s="433" t="e">
        <f t="shared" ca="1" si="195"/>
        <v>#VALUE!</v>
      </c>
      <c r="GP25" s="433" t="e">
        <f t="shared" ca="1" si="196"/>
        <v>#VALUE!</v>
      </c>
      <c r="GQ25" s="433" t="e">
        <f t="shared" ca="1" si="197"/>
        <v>#VALUE!</v>
      </c>
      <c r="GR25" s="433" t="e">
        <f ca="1">MATCH(T25,INDIRECT(VLOOKUP(CONCATENATE(LEFT(BO25,7),"-",MID(BO25,13,1)),CLU!$P$3:$Q$16,2)),1)</f>
        <v>#N/A</v>
      </c>
      <c r="GS25" s="433" t="e">
        <f ca="1">MATCH(U25,INDIRECT(VLOOKUP(CONCATENATE(LEFT(BO25,7),"-",MID(BO25,13,1)),CLU!$P$3:$Q$16,2)),1)</f>
        <v>#N/A</v>
      </c>
      <c r="GT25" s="347" t="s">
        <v>512</v>
      </c>
      <c r="GU25" s="97" t="s">
        <v>513</v>
      </c>
      <c r="GV25" s="97" t="str">
        <f t="shared" si="198"/>
        <v>M23</v>
      </c>
      <c r="GW25" s="97" t="str">
        <f t="shared" si="199"/>
        <v>M31</v>
      </c>
      <c r="GX25" s="97" t="str">
        <f t="shared" si="200"/>
        <v/>
      </c>
      <c r="GY25" s="97" t="str">
        <f t="shared" si="201"/>
        <v/>
      </c>
      <c r="GZ25" s="481"/>
      <c r="HA25" s="288"/>
      <c r="HB25" s="240"/>
      <c r="HC25" s="240"/>
      <c r="HD25" s="240"/>
      <c r="HE25" s="240"/>
      <c r="HF25" s="240"/>
      <c r="HG25" s="240"/>
      <c r="HH25" s="240"/>
      <c r="HI25" s="240"/>
      <c r="HJ25" s="240"/>
      <c r="HK25" s="240"/>
      <c r="HL25" s="240"/>
      <c r="HM25" s="240"/>
      <c r="HN25" s="240"/>
      <c r="HO25" s="240"/>
      <c r="HP25" s="240"/>
      <c r="HQ25" s="240"/>
      <c r="HR25" s="240"/>
      <c r="HS25" s="240"/>
      <c r="HT25" s="240"/>
      <c r="HU25" s="240"/>
      <c r="HV25" s="245"/>
      <c r="HW25" s="245" t="b">
        <v>1</v>
      </c>
      <c r="HX25" s="245" t="str">
        <f t="shared" si="79"/>
        <v/>
      </c>
      <c r="HY25" s="245" t="e">
        <f t="shared" si="80"/>
        <v>#DIV/0!</v>
      </c>
      <c r="HZ25" s="245" t="e">
        <f t="shared" si="81"/>
        <v>#DIV/0!</v>
      </c>
      <c r="IA25" s="245">
        <f t="shared" si="82"/>
        <v>0</v>
      </c>
      <c r="IB25" s="245"/>
      <c r="IC25" t="b">
        <f t="shared" si="83"/>
        <v>1</v>
      </c>
      <c r="ID25" s="245" t="b">
        <f t="shared" si="84"/>
        <v>1</v>
      </c>
      <c r="IE25" s="245" t="b">
        <f t="shared" si="85"/>
        <v>1</v>
      </c>
      <c r="IF25" s="245" t="b">
        <f t="shared" si="86"/>
        <v>0</v>
      </c>
      <c r="IG25" s="245" t="b">
        <f t="shared" si="87"/>
        <v>1</v>
      </c>
      <c r="IH25" s="245" t="b">
        <f t="shared" si="88"/>
        <v>1</v>
      </c>
      <c r="II25" s="245">
        <f t="shared" si="202"/>
        <v>0</v>
      </c>
      <c r="IJ25" s="245" t="e">
        <f t="shared" si="89"/>
        <v>#VALUE!</v>
      </c>
      <c r="IK25" s="245" t="e">
        <f t="shared" si="90"/>
        <v>#VALUE!</v>
      </c>
      <c r="IL25" s="245"/>
      <c r="IM25" s="245" t="e">
        <f t="shared" si="203"/>
        <v>#N/A</v>
      </c>
      <c r="IN25" s="245" t="e">
        <f t="shared" si="204"/>
        <v>#N/A</v>
      </c>
      <c r="IO25" s="245"/>
      <c r="IP25" s="245"/>
      <c r="IQ25" s="245" t="str">
        <f t="shared" si="91"/>
        <v/>
      </c>
      <c r="IR25" s="245" t="str">
        <f>IF(J25="","",VLOOKUP(J25,Worksheet!$R$4:$T$14,2))</f>
        <v/>
      </c>
      <c r="IS25" s="245"/>
      <c r="IT25" s="245">
        <f t="shared" si="92"/>
        <v>0</v>
      </c>
      <c r="IU25" s="245">
        <f t="shared" si="93"/>
        <v>0</v>
      </c>
      <c r="IV25" s="245">
        <f t="shared" si="94"/>
        <v>0</v>
      </c>
      <c r="IW25" s="245">
        <f t="shared" si="95"/>
        <v>0</v>
      </c>
      <c r="IX25" s="245">
        <f t="shared" si="205"/>
        <v>0</v>
      </c>
      <c r="IY25" s="245">
        <f t="shared" si="96"/>
        <v>0</v>
      </c>
      <c r="IZ25" s="245">
        <f t="shared" si="97"/>
        <v>0</v>
      </c>
      <c r="JA25">
        <f t="shared" si="98"/>
        <v>0</v>
      </c>
      <c r="JB25">
        <f t="shared" si="206"/>
        <v>0</v>
      </c>
      <c r="JC25">
        <f t="shared" si="99"/>
        <v>0</v>
      </c>
      <c r="JD25">
        <f t="shared" si="100"/>
        <v>0</v>
      </c>
      <c r="JE25">
        <f t="shared" si="101"/>
        <v>0</v>
      </c>
      <c r="JF25">
        <f t="shared" si="102"/>
        <v>0</v>
      </c>
      <c r="JG25">
        <f t="shared" si="103"/>
        <v>0</v>
      </c>
      <c r="JH25">
        <f t="shared" si="104"/>
        <v>0</v>
      </c>
      <c r="JI25">
        <f t="shared" si="105"/>
        <v>0</v>
      </c>
      <c r="JJ25" s="447">
        <f t="shared" si="106"/>
        <v>0</v>
      </c>
      <c r="JK25" s="447">
        <f t="shared" si="107"/>
        <v>0</v>
      </c>
      <c r="JL25">
        <f t="shared" si="108"/>
        <v>0</v>
      </c>
      <c r="JM25" s="245" t="str">
        <f>IFERROR(VLOOKUP(MATCH(BN25,#REF!,0),#REF!,7),"")</f>
        <v/>
      </c>
      <c r="JN25" t="e">
        <f>HLOOKUP(LEFT(BO25,7),Discharge_Area,MATCH(JO25,LookUps!$B$130:$B$149,1)+2)</f>
        <v>#N/A</v>
      </c>
      <c r="JO25" t="str">
        <f t="shared" si="109"/>
        <v>- S</v>
      </c>
      <c r="JP25" t="e">
        <f>HLOOKUP(LEFT(BO25,7),Discharge_Area,MATCH(JO25,LookUps!$B$130:$B$149,1)+2)</f>
        <v>#N/A</v>
      </c>
      <c r="JQ25" t="e">
        <f t="shared" si="110"/>
        <v>#N/A</v>
      </c>
      <c r="JR25" t="e">
        <f t="shared" si="111"/>
        <v>#N/A</v>
      </c>
      <c r="JS25" t="e">
        <f t="shared" si="112"/>
        <v>#N/A</v>
      </c>
      <c r="JT25" s="532" t="str">
        <f t="shared" si="113"/>
        <v xml:space="preserve"> </v>
      </c>
      <c r="JU25" s="532" t="str">
        <f t="shared" si="114"/>
        <v xml:space="preserve"> </v>
      </c>
      <c r="JV25" s="533" t="str">
        <f t="shared" si="115"/>
        <v xml:space="preserve"> </v>
      </c>
      <c r="JW25" s="534">
        <f t="shared" si="116"/>
        <v>0</v>
      </c>
      <c r="JX25" s="535" t="str">
        <f t="shared" si="207"/>
        <v xml:space="preserve"> </v>
      </c>
      <c r="JY25" s="535" t="str">
        <f t="shared" si="208"/>
        <v xml:space="preserve"> </v>
      </c>
      <c r="JZ25" s="535" t="str">
        <f t="shared" si="209"/>
        <v xml:space="preserve"> </v>
      </c>
      <c r="KA25" s="536" t="str">
        <f t="shared" si="117"/>
        <v xml:space="preserve"> </v>
      </c>
      <c r="KB25" s="535" t="e">
        <f t="shared" si="210"/>
        <v>#VALUE!</v>
      </c>
      <c r="KC25" s="535" t="str">
        <f t="shared" si="118"/>
        <v/>
      </c>
      <c r="KD25" s="537" t="str">
        <f t="shared" si="211"/>
        <v xml:space="preserve"> </v>
      </c>
      <c r="KE25" s="537" t="str">
        <f t="shared" si="212"/>
        <v xml:space="preserve"> </v>
      </c>
      <c r="KF25" s="534">
        <f t="shared" si="119"/>
        <v>0</v>
      </c>
      <c r="KG25" s="535" t="str">
        <f t="shared" si="120"/>
        <v xml:space="preserve"> </v>
      </c>
      <c r="KH25" s="535" t="str">
        <f t="shared" si="121"/>
        <v xml:space="preserve"> </v>
      </c>
      <c r="KI25" s="535" t="str">
        <f t="shared" si="122"/>
        <v xml:space="preserve"> </v>
      </c>
      <c r="KJ25" s="536" t="str">
        <f t="shared" si="123"/>
        <v xml:space="preserve"> </v>
      </c>
      <c r="KK25" s="535" t="str">
        <f t="shared" si="213"/>
        <v xml:space="preserve"> </v>
      </c>
      <c r="KL25" s="535" t="str">
        <f t="shared" si="214"/>
        <v xml:space="preserve"> </v>
      </c>
      <c r="KM25" s="537" t="str">
        <f t="shared" si="124"/>
        <v xml:space="preserve"> </v>
      </c>
      <c r="KN25" s="537" t="str">
        <f t="shared" si="215"/>
        <v xml:space="preserve"> </v>
      </c>
      <c r="KP25">
        <f t="shared" si="125"/>
        <v>0</v>
      </c>
      <c r="LA25" t="e">
        <f t="shared" si="126"/>
        <v>#VALUE!</v>
      </c>
      <c r="LB25" t="e">
        <f t="shared" si="127"/>
        <v>#VALUE!</v>
      </c>
      <c r="LC25" t="e">
        <f t="shared" si="128"/>
        <v>#VALUE!</v>
      </c>
      <c r="LD25" t="e">
        <f t="shared" si="129"/>
        <v>#VALUE!</v>
      </c>
      <c r="LE25" t="e">
        <f t="shared" si="216"/>
        <v>#VALUE!</v>
      </c>
      <c r="LF25">
        <f t="shared" si="130"/>
        <v>0</v>
      </c>
      <c r="LG25" t="e">
        <f t="shared" si="217"/>
        <v>#VALUE!</v>
      </c>
      <c r="LH25" t="str">
        <f t="shared" si="131"/>
        <v xml:space="preserve"> </v>
      </c>
      <c r="LI25">
        <f t="shared" si="218"/>
        <v>1</v>
      </c>
    </row>
    <row r="26" spans="1:321" ht="15" customHeight="1">
      <c r="B26" s="311"/>
      <c r="C26" s="311"/>
      <c r="D26" s="312"/>
      <c r="E26" s="311"/>
      <c r="F26" s="312"/>
      <c r="G26" s="311"/>
      <c r="H26" s="311"/>
      <c r="I26" s="37"/>
      <c r="J26" s="311"/>
      <c r="K26" s="305" t="str">
        <f t="shared" si="132"/>
        <v/>
      </c>
      <c r="L26" s="313"/>
      <c r="M26" s="312"/>
      <c r="N26" s="311"/>
      <c r="O26" s="312"/>
      <c r="P26" s="311"/>
      <c r="Q26" s="305" t="str">
        <f t="shared" si="133"/>
        <v/>
      </c>
      <c r="R26" s="314"/>
      <c r="S26" s="450" t="str">
        <f t="shared" si="0"/>
        <v/>
      </c>
      <c r="T26" s="315"/>
      <c r="U26" s="315"/>
      <c r="W26" s="149" t="str">
        <f t="shared" si="1"/>
        <v xml:space="preserve"> </v>
      </c>
      <c r="X26" s="243" t="str">
        <f t="shared" si="2"/>
        <v xml:space="preserve"> </v>
      </c>
      <c r="Y26" s="150" t="str">
        <f t="shared" si="3"/>
        <v/>
      </c>
      <c r="Z26" s="149" t="str">
        <f t="shared" si="4"/>
        <v xml:space="preserve"> </v>
      </c>
      <c r="AA26" s="98" t="str">
        <f t="shared" si="5"/>
        <v xml:space="preserve"> </v>
      </c>
      <c r="AB26" s="153" t="str">
        <f t="shared" si="6"/>
        <v xml:space="preserve"> </v>
      </c>
      <c r="AC26" s="153" t="str">
        <f t="shared" si="7"/>
        <v xml:space="preserve"> </v>
      </c>
      <c r="AD26" s="148" t="str">
        <f t="shared" si="8"/>
        <v/>
      </c>
      <c r="AE26" s="149" t="str">
        <f t="shared" si="9"/>
        <v/>
      </c>
      <c r="AF26" s="151" t="str">
        <f t="shared" si="10"/>
        <v xml:space="preserve"> </v>
      </c>
      <c r="AG26" s="153" t="str">
        <f t="shared" si="11"/>
        <v xml:space="preserve"> </v>
      </c>
      <c r="AH26" s="98" t="str">
        <f t="shared" si="12"/>
        <v xml:space="preserve"> </v>
      </c>
      <c r="AI26" s="149" t="str">
        <f t="shared" si="13"/>
        <v xml:space="preserve"> </v>
      </c>
      <c r="AK26" s="144" t="str">
        <f t="shared" si="14"/>
        <v xml:space="preserve"> </v>
      </c>
      <c r="AL26" s="144"/>
      <c r="AM26" s="243" t="str">
        <f t="shared" si="15"/>
        <v xml:space="preserve"> </v>
      </c>
      <c r="AN26" s="149" t="str">
        <f t="shared" si="134"/>
        <v xml:space="preserve"> </v>
      </c>
      <c r="AO26" s="144" t="str">
        <f>IF(JB26&gt;0,IF(GI26=10,-R26*1.085*(Calculation!$F$6-Calculation!$F$13)*$S$14," "),"")</f>
        <v/>
      </c>
      <c r="AP26" s="144" t="str">
        <f t="shared" si="16"/>
        <v/>
      </c>
      <c r="AQ26" s="56" t="str">
        <f t="shared" si="17"/>
        <v/>
      </c>
      <c r="AR26" s="144" t="str">
        <f t="shared" si="18"/>
        <v/>
      </c>
      <c r="AS26" s="176" t="str">
        <f t="shared" si="19"/>
        <v/>
      </c>
      <c r="AT26" s="176" t="str">
        <f t="shared" si="135"/>
        <v xml:space="preserve"> </v>
      </c>
      <c r="AU26" s="176" t="str">
        <f t="shared" si="20"/>
        <v/>
      </c>
      <c r="AV26" s="177" t="str">
        <f t="shared" si="21"/>
        <v xml:space="preserve"> </v>
      </c>
      <c r="AW26" s="144" t="str">
        <f t="shared" si="22"/>
        <v xml:space="preserve"> </v>
      </c>
      <c r="AX26" s="144" t="str">
        <f t="shared" si="23"/>
        <v xml:space="preserve"> </v>
      </c>
      <c r="AY26" s="152" t="str">
        <f t="shared" si="24"/>
        <v xml:space="preserve"> </v>
      </c>
      <c r="AZ26" s="246" t="str">
        <f t="shared" si="25"/>
        <v/>
      </c>
      <c r="BA26" s="176" t="str">
        <f t="shared" si="26"/>
        <v xml:space="preserve"> </v>
      </c>
      <c r="BB26" s="176" t="str">
        <f t="shared" si="27"/>
        <v xml:space="preserve"> </v>
      </c>
      <c r="BC26" s="195"/>
      <c r="BD26" s="316"/>
      <c r="BE26" s="317"/>
      <c r="BF26" s="318"/>
      <c r="BG26" s="318"/>
      <c r="BH26" s="144" t="str">
        <f t="shared" si="219"/>
        <v xml:space="preserve"> </v>
      </c>
      <c r="BI26" s="176" t="str">
        <f t="shared" si="28"/>
        <v/>
      </c>
      <c r="BJ26" s="144" t="str">
        <f t="shared" si="220"/>
        <v/>
      </c>
      <c r="BK26" s="246" t="str">
        <f t="shared" si="29"/>
        <v/>
      </c>
      <c r="BL26" s="144" t="str">
        <f t="shared" si="221"/>
        <v/>
      </c>
      <c r="BM26" s="246" t="str">
        <f t="shared" si="30"/>
        <v/>
      </c>
      <c r="BN26" s="337" t="str">
        <f t="shared" si="136"/>
        <v/>
      </c>
      <c r="BO26" s="371" t="str">
        <f t="shared" si="137"/>
        <v/>
      </c>
      <c r="BP26" s="328" t="str">
        <f t="shared" si="222"/>
        <v xml:space="preserve"> </v>
      </c>
      <c r="BQ26" s="347" t="str">
        <f t="shared" si="138"/>
        <v xml:space="preserve"> </v>
      </c>
      <c r="BR26" s="353" t="str">
        <f>IF(L26&gt;0,HLOOKUP(LEFT(BO26,7),Noz_Qty,(MATCH(CONCATENATE(IF(LEN(M26)=1,("0"),""),M26,"-",LEFT(BP26,1),"S"),Len_SlotLU,0)+2))," ")</f>
        <v xml:space="preserve"> </v>
      </c>
      <c r="BS26" s="626" t="str">
        <f>IF(L26&gt;0,IF(Calculation!P26="M13",BR26*3.1416*(0.134^2)/(4*144),IF(Calculation!P26="M17",BR26*3.1416*(0.165^2)/(4*144),IF(Calculation!P26="M20",BR26*3.1416*(0.198^2)/(4*144),IF(Calculation!P26="M23",BR26*3.1416*(0.228^2)/(4*144),IF(Calculation!P26="M27",BR26*3.1416*(0.269^2)/(4*144),BR26*3.1416*(0.307^2)/(4*144))))))," ")</f>
        <v xml:space="preserve"> </v>
      </c>
      <c r="BT26" s="353" t="str">
        <f>IF(L26&gt;0,IF(BS26&gt;0,R26/Calculation!BS26,0)," ")</f>
        <v xml:space="preserve"> </v>
      </c>
      <c r="BU26" s="438" t="e">
        <f t="shared" ca="1" si="31"/>
        <v>#VALUE!</v>
      </c>
      <c r="BV26" s="449" t="e">
        <f ca="1">INDEX(INDIRECT(VLOOKUP(LEFT(BO26,7),CLU!$Z$3:$AH$18,2)),GN26,GR26)</f>
        <v>#N/A</v>
      </c>
      <c r="BW26" s="433" t="e">
        <f ca="1">INDEX(INDIRECT(VLOOKUP(LEFT(BO26,7),CLU!$Z$3:$AH$18,3)),GN26,GR26)</f>
        <v>#N/A</v>
      </c>
      <c r="BX26" s="433" t="e">
        <f ca="1">INDEX(INDIRECT(VLOOKUP(LEFT(BO26,7),CLU!$Z$3:$AH$18,4)),GN26,GR26)</f>
        <v>#N/A</v>
      </c>
      <c r="BY26" s="433" t="e">
        <f ca="1">INDEX(INDIRECT(VLOOKUP(LEFT(BO26,7),CLU!$Z$3:$AH$18,9)),((M26-2)*(6-COUNTBLANK(GT26:GY26)))+GJ26)</f>
        <v>#N/A</v>
      </c>
      <c r="BZ26" s="426" t="e">
        <f t="shared" ca="1" si="139"/>
        <v>#N/A</v>
      </c>
      <c r="CA26" s="424" t="e">
        <f t="shared" ca="1" si="140"/>
        <v>#N/A</v>
      </c>
      <c r="CB26" s="429" t="e">
        <f ca="1">INDEX(INDIRECT(VLOOKUP(LEFT(BO26,7),CLU!$Z$3:$AH$18,2)),GN26,GS26)</f>
        <v>#N/A</v>
      </c>
      <c r="CC26" s="342" t="e">
        <f ca="1">INDEX(INDIRECT(VLOOKUP(LEFT(BO26,7),CLU!$Z$3:$AH$18,3)),GN26,GS26)</f>
        <v>#N/A</v>
      </c>
      <c r="CD26" s="342" t="e">
        <f ca="1">INDEX(INDIRECT(VLOOKUP(LEFT(BO26,7),CLU!$Z$3:$AH$18,4)),GN26,GS26)</f>
        <v>#N/A</v>
      </c>
      <c r="CE26" s="426" t="e">
        <f t="shared" ca="1" si="141"/>
        <v>#N/A</v>
      </c>
      <c r="CF26" s="440">
        <f t="shared" si="142"/>
        <v>0</v>
      </c>
      <c r="CG26" s="431" t="e">
        <f ca="1">INDEX(INDIRECT(VLOOKUP(LEFT(BO26,7),CLU!$Z$3:$AH$18,2)),GQ26,GR26)</f>
        <v>#N/A</v>
      </c>
      <c r="CH26" s="431" t="e">
        <f ca="1">INDEX(INDIRECT(VLOOKUP(LEFT(BO26,7),CLU!$Z$3:$AH$18,3)),GQ26,GR26)</f>
        <v>#N/A</v>
      </c>
      <c r="CI26" s="431" t="e">
        <f ca="1">INDEX(INDIRECT(VLOOKUP(LEFT(BO26,7),CLU!$Z$3:$AH$18,4)),GQ26,GR26)</f>
        <v>#N/A</v>
      </c>
      <c r="CJ26" s="448" t="e">
        <f t="shared" ca="1" si="143"/>
        <v>#N/A</v>
      </c>
      <c r="CK26" s="431" t="e">
        <f t="shared" ca="1" si="144"/>
        <v>#N/A</v>
      </c>
      <c r="CL26" s="440" t="e">
        <f t="shared" ca="1" si="145"/>
        <v>#N/A</v>
      </c>
      <c r="CM26" s="431" t="e">
        <f ca="1">INDEX(INDIRECT(VLOOKUP(LEFT(BO26,7),CLU!$Z$3:$AH$18,2)),GQ26,GS26)</f>
        <v>#N/A</v>
      </c>
      <c r="CN26" s="431" t="e">
        <f ca="1">INDEX(INDIRECT(VLOOKUP(LEFT(BO26,7),CLU!$Z$3:$AH$18,3)),GQ26,GS26)</f>
        <v>#N/A</v>
      </c>
      <c r="CO26" s="431" t="e">
        <f ca="1">INDEX(INDIRECT(VLOOKUP(LEFT(BO26,7),CLU!$Z$3:$AH$18,4)),GQ26,GS26)</f>
        <v>#N/A</v>
      </c>
      <c r="CP26" s="431" t="e">
        <f t="shared" ca="1" si="146"/>
        <v>#N/A</v>
      </c>
      <c r="CQ26" s="440">
        <f t="shared" si="147"/>
        <v>0</v>
      </c>
      <c r="CR26" s="51" t="e">
        <f t="shared" ca="1" si="148"/>
        <v>#N/A</v>
      </c>
      <c r="CS26" s="439" t="e">
        <f t="shared" ca="1" si="149"/>
        <v>#VALUE!</v>
      </c>
      <c r="CT26" s="51" t="e">
        <f t="shared" ca="1" si="150"/>
        <v>#VALUE!</v>
      </c>
      <c r="CU26" s="10"/>
      <c r="CV26" s="51" t="e">
        <f t="shared" ca="1" si="34"/>
        <v>#VALUE!</v>
      </c>
      <c r="CW26" s="51">
        <f t="shared" si="151"/>
        <v>0</v>
      </c>
      <c r="CX26" s="439" t="e">
        <f t="shared" ca="1" si="152"/>
        <v>#VALUE!</v>
      </c>
      <c r="CY26" s="51" t="e">
        <f t="shared" ca="1" si="153"/>
        <v>#VALUE!</v>
      </c>
      <c r="CZ26" s="10"/>
      <c r="DA26" s="51" t="e">
        <f t="shared" ca="1" si="154"/>
        <v>#VALUE!</v>
      </c>
      <c r="DB26" s="347" t="e">
        <f ca="1">INDEX(INDIRECT(VLOOKUP(LEFT(BO26,7),CLU!$Z$3:$AI$18,10)),((M26-2)*(6-COUNTBLANK(GT26:GY26)))+GJ26)*LI26</f>
        <v>#N/A</v>
      </c>
      <c r="DC26" s="347" t="str">
        <f>IF(L26&gt;0,((R26/Worksheet!$I$15)/DB26)^2," ")</f>
        <v xml:space="preserve"> </v>
      </c>
      <c r="DD26" s="602" t="str">
        <f t="shared" si="155"/>
        <v xml:space="preserve"> </v>
      </c>
      <c r="DE26" s="347" t="str">
        <f t="shared" si="156"/>
        <v xml:space="preserve"> </v>
      </c>
      <c r="DF26" s="356" t="e">
        <f ca="1">INDEX(INDIRECT(VLOOKUP(LEFT(BO26,7),CLU!$Z$3:$AH$18,8)),((M26-2)*(6-COUNTBLANK(GT26:GY26)))+GJ26)</f>
        <v>#N/A</v>
      </c>
      <c r="DG26" s="347" t="str">
        <f t="shared" si="157"/>
        <v xml:space="preserve"> </v>
      </c>
      <c r="DH26" s="357" t="str">
        <f t="shared" si="158"/>
        <v xml:space="preserve"> </v>
      </c>
      <c r="DI26" s="355" t="str">
        <f t="shared" si="159"/>
        <v xml:space="preserve"> </v>
      </c>
      <c r="DJ26" s="245" t="e">
        <f ca="1">INDEX(INDIRECT(VLOOKUP(LEFT(BO26,7),CLU!$Z$3:$AH$18,5)),GL26,GK26)</f>
        <v>#N/A</v>
      </c>
      <c r="DK26" s="245" t="e">
        <f ca="1">INDEX(INDIRECT(VLOOKUP(LEFT(BO26,7),CLU!$Z$3:$AH$18,6)),GL26,GK26)</f>
        <v>#N/A</v>
      </c>
      <c r="DL26" s="355">
        <f>(Calculation!R26*0.69143*(Calculation!$BQ$8-Calculation!$F$8))*$S$14</f>
        <v>0</v>
      </c>
      <c r="DM26" s="359" t="e">
        <f t="shared" si="160"/>
        <v>#VALUE!</v>
      </c>
      <c r="DN26" s="611">
        <f t="shared" si="161"/>
        <v>0</v>
      </c>
      <c r="DO26" s="359">
        <f t="shared" si="162"/>
        <v>100</v>
      </c>
      <c r="DP26" s="359">
        <f t="shared" si="163"/>
        <v>0</v>
      </c>
      <c r="DQ26" s="360"/>
      <c r="DR26" s="245" t="e">
        <f ca="1">INDEX(INDIRECT(VLOOKUP(LEFT(BO26,7),CLU!$Z$3:$AH$18,7)),M26-1,1)</f>
        <v>#N/A</v>
      </c>
      <c r="DS26" s="245" t="e">
        <f ca="1">INDEX(INDIRECT(VLOOKUP(LEFT(BO26,7),CLU!$Z$3:$AH$18,7)),M26-1,2)</f>
        <v>#N/A</v>
      </c>
      <c r="DT26" s="245" t="e">
        <f ca="1">INDEX(INDIRECT(VLOOKUP(LEFT(BO26,7),CLU!$Z$3:$AH$18,7)),M26-1,3)</f>
        <v>#N/A</v>
      </c>
      <c r="DU26" s="245" t="e">
        <f ca="1">INDEX(INDIRECT(VLOOKUP(LEFT(BO26,7),CLU!$Z$3:$AH$18,7)),M26-1,4)</f>
        <v>#N/A</v>
      </c>
      <c r="DV26" s="361" t="e">
        <f ca="1">INDEX(INDIRECT(VLOOKUP(LEFT(BO26,7),CLU!$Z$3:$AH$18,7)),M26-1,4+LEFT(DZ26,1)*0.5)</f>
        <v>#N/A</v>
      </c>
      <c r="DW26" s="245" t="e">
        <f ca="1">INDEX(INDIRECT(VLOOKUP(LEFT(BO26,7),CLU!$Z$3:$AH$18,7)),M26-1,8)</f>
        <v>#N/A</v>
      </c>
      <c r="DX26" s="361" t="str">
        <f t="shared" si="164"/>
        <v xml:space="preserve"> </v>
      </c>
      <c r="DY26" s="361" t="str">
        <f t="shared" si="165"/>
        <v xml:space="preserve"> </v>
      </c>
      <c r="DZ26" s="361" t="str">
        <f t="shared" si="166"/>
        <v xml:space="preserve"> </v>
      </c>
      <c r="EA26" s="362" t="str">
        <f t="shared" si="167"/>
        <v xml:space="preserve"> </v>
      </c>
      <c r="EB26" s="624" t="str">
        <f t="shared" si="168"/>
        <v xml:space="preserve"> </v>
      </c>
      <c r="EC26" s="361" t="e">
        <f ca="1">INDEX(INDIRECT(VLOOKUP(LEFT(BO26,7),CLU!$Z$3:$AH$18,7)),M26-1,4+LEFT(DZ26,1)*0.5)</f>
        <v>#N/A</v>
      </c>
      <c r="ED26" s="362" t="str">
        <f t="shared" si="43"/>
        <v xml:space="preserve"> </v>
      </c>
      <c r="EE26" s="361" t="str">
        <f t="shared" si="44"/>
        <v xml:space="preserve"> </v>
      </c>
      <c r="EF26" s="362" t="str">
        <f>IF(L26&gt;0,IF(BR26&gt;0,IF(EE26="2P",IF(Calculation!DZ26="2P",IF(Calculation!DS26=13.75,IF(Calculation!DR26=13,Worksheet!$BD$43,IF(Calculation!DR26=37,Worksheet!$BD$44,Worksheet!$BD$45)),IF(Calculation!DS26=10,IF(Calculation!DR26=18,Worksheet!$BD$29,IF(Calculation!DR26=30,Worksheet!$BD$30,IF(Calculation!DR26=42,Worksheet!$BD$31,IF(Calculation!DR26=54,Worksheet!$BD$32,IF(Calculation!DR26=66,Worksheet!$BD$33,IF(Calculation!DR26=78,Worksheet!$BD$34,IF(Calculation!DR26=90,Worksheet!$BD$35,IF(Calculation!DR26=102,Worksheet!$BD$36,Worksheet!$BD$37)))))))),IF(Calculation!DS26=12.5,IF(Calculation!DR26=18,Worksheet!$BD$38,IF(Calculation!DR26=Worksheet!$BD$39,IF(Calculation!DR26=42,Worksheet!$BD$40,IF(Calculation!DR26=54,Worksheet!$BD$41,Worksheet!$BD$42)))),IF(Calculation!DR26=18,Worksheet!$BD$11,IF(Calculation!DR26=30,Worksheet!$BD$12,IF(Calculation!DR26=42,Worksheet!$BD$13,IF(Calculation!DR26=54,Worksheet!$BD$14,IF(Calculation!DR26=66,Worksheet!$BD$15,IF(Calculation!DR26=78,Worksheet!$BD$16,IF(Calculation!DR26=90,Worksheet!$BD$17,IF(Calculation!DR26=102,Worksheet!$BD$18,Worksheet!$BD$19))))))))))),IF(Calculation!DS26=13.75,IF(Calculation!DR26=13,Worksheet!$BD$78,IF(Calculation!DR26=37,Worksheet!$BD$79,Worksheet!$BD$80)),IF(Calculation!DS26=10,IF(Calculation!DR26=18,Worksheet!$BD$64,IF(Calculation!DR26=30,Worksheet!$BD$65,IF(Calculation!DR26=42,Worksheet!$BD$66,IF(Calculation!DR26=54,Worksheet!$BD$68,IF(Calculation!DR26=66,Worksheet!$BD$68,IF(Calculation!DR26=78,Worksheet!$BD$69,IF(Calculation!DR26=90,Worksheet!$BD$70,IF(Calculation!DR26=102,Worksheet!$BD$71,Worksheet!$BD$72)))))))),IF(Calculation!DS26=12.5,IF(Calculation!DR26=18,Worksheet!$BD$73,IF(Calculation!DR26=Worksheet!$BD$74,IF(Calculation!DR26=42,Worksheet!$BD$75,IF(Calculation!DR26=54,Worksheet!$BD$76,Worksheet!$BD$77)))),IF(Calculation!DR26=18,Worksheet!$BD$55,IF(Calculation!DR26=30,Worksheet!$BD$56,IF(Calculation!DR26=42,Worksheet!$BD$57,IF(Calculation!DR26=54,Worksheet!$BD$58,IF(Calculation!DR26=66,Worksheet!$BD$59,IF(Calculation!DR26=78,Worksheet!$BD$60,IF(Calculation!DR26=90,Worksheet!$BD$61,IF(Calculation!DR26=102,Worksheet!$BD$62,Worksheet!$BD$63)))))))))))),5),0)," ")</f>
        <v xml:space="preserve"> </v>
      </c>
      <c r="EG26" s="361" t="str">
        <f t="shared" si="45"/>
        <v xml:space="preserve"> </v>
      </c>
      <c r="EH26" s="361" t="e">
        <f ca="1">INDEX(INDIRECT(VLOOKUP(LEFT(BO26,7),CLU!$Z$3:$AH$18,7)),M26-1,3+LEFT(DZ26,1))</f>
        <v>#N/A</v>
      </c>
      <c r="EI26" s="362" t="str">
        <f t="shared" si="46"/>
        <v xml:space="preserve"> </v>
      </c>
      <c r="EJ26" s="363" t="str">
        <f t="shared" si="47"/>
        <v xml:space="preserve"> </v>
      </c>
      <c r="EK26" s="363" t="str">
        <f t="shared" si="48"/>
        <v xml:space="preserve"> </v>
      </c>
      <c r="EL26" s="363" t="str">
        <f t="shared" si="49"/>
        <v xml:space="preserve"> </v>
      </c>
      <c r="EM26" s="362" t="str">
        <f>IF(L26&gt;0,IF(BR26&gt;0,(Calculation!T26/ED26)^2,0)," ")</f>
        <v xml:space="preserve"> </v>
      </c>
      <c r="EN26" s="362" t="str">
        <f>IF(L26&gt;0,IF(O26="2 Pipe (Cooling)","N/A",IF(BR26&gt;0,(Calculation!U26/EI26)^2,0))," ")</f>
        <v xml:space="preserve"> </v>
      </c>
      <c r="EO26" s="361" t="str">
        <f t="shared" si="50"/>
        <v/>
      </c>
      <c r="EP26" s="361" t="str">
        <f t="shared" si="51"/>
        <v/>
      </c>
      <c r="EQ26" s="361" t="str">
        <f t="shared" si="52"/>
        <v/>
      </c>
      <c r="ER26" s="361" t="str">
        <f t="shared" si="53"/>
        <v/>
      </c>
      <c r="ES26" s="361" t="str">
        <f t="shared" si="54"/>
        <v/>
      </c>
      <c r="ET26" s="361" t="str">
        <f t="shared" si="55"/>
        <v/>
      </c>
      <c r="EU26" s="361" t="str">
        <f t="shared" si="56"/>
        <v/>
      </c>
      <c r="EV26" s="361" t="str">
        <f t="shared" si="57"/>
        <v/>
      </c>
      <c r="EW26" s="361" t="str">
        <f t="shared" si="58"/>
        <v/>
      </c>
      <c r="EX26" s="361" t="str">
        <f t="shared" si="169"/>
        <v>1 slot, 1 way</v>
      </c>
      <c r="EY26" s="361" t="str">
        <f t="shared" si="170"/>
        <v xml:space="preserve"> </v>
      </c>
      <c r="EZ26" s="361" t="str">
        <f t="shared" si="171"/>
        <v xml:space="preserve"> </v>
      </c>
      <c r="FA26" s="361" t="str">
        <f t="shared" si="172"/>
        <v xml:space="preserve"> </v>
      </c>
      <c r="FB26" s="361" t="str">
        <f t="shared" si="173"/>
        <v xml:space="preserve"> </v>
      </c>
      <c r="FC26" s="361"/>
      <c r="FD26" s="361" t="str">
        <f>IF(J26&gt;0,IF(Calculation!R26&lt;=70,4,IF(Calculation!R26&lt;=110,5,IF(Calculation!R26&lt;=160,6,IF(Calculation!R26&lt;=300,8,"10 EO")))),"")</f>
        <v/>
      </c>
      <c r="FE26" s="361" t="str">
        <f t="shared" si="174"/>
        <v/>
      </c>
      <c r="FF26" s="361" t="str">
        <f t="shared" si="175"/>
        <v/>
      </c>
      <c r="FG26" s="361" t="e">
        <f t="shared" si="60"/>
        <v>#N/A</v>
      </c>
      <c r="FH26" s="361">
        <f t="shared" si="61"/>
        <v>0</v>
      </c>
      <c r="FI26" s="361" t="e">
        <f t="shared" si="62"/>
        <v>#DIV/0!</v>
      </c>
      <c r="FJ26" s="361"/>
      <c r="FK26" s="356" t="e">
        <f t="shared" si="63"/>
        <v>#VALUE!</v>
      </c>
      <c r="FL26" s="361"/>
      <c r="FM26" s="361"/>
      <c r="FN26" s="362" t="str">
        <f t="shared" si="176"/>
        <v xml:space="preserve"> </v>
      </c>
      <c r="FO26" s="362" t="str">
        <f t="shared" si="177"/>
        <v xml:space="preserve"> </v>
      </c>
      <c r="FP26" s="362">
        <f t="shared" si="178"/>
        <v>0</v>
      </c>
      <c r="FQ26" s="361">
        <f t="shared" si="64"/>
        <v>0</v>
      </c>
      <c r="FR26" s="362" t="str">
        <f>IF(L26&gt;0,IF(J26="CBAL2",Worksheet!$P$67,IF(J26="CBE2-24",Worksheet!$Q$67,IF(J26="CBAM",Worksheet!$R$67,IF(J26="CBLV",Worksheet!$S$67,IF(J26="CBAB",Worksheet!$U$67,IF(J26="CBAW",Worksheet!$X$67,IF(J26="CBE2-12",Worksheet!$Y$67,IF(J26="CBAL2",Worksheet!$Z$67,"N/A"))))))))," ")</f>
        <v xml:space="preserve"> </v>
      </c>
      <c r="FS26" s="362" t="str">
        <f>IF(L26&gt;0,IF(J26="CBAL2",Worksheet!$P$68,IF(J26="CBE2-24",Worksheet!$Q$68,IF(J26="CBAM",Worksheet!$R$68,IF(J26="CBLV",Worksheet!$S$68,IF(J26="CBAB",Worksheet!$U$68,IF(J26="CBAW",Worksheet!$X$68,IF(J26="CBE2-12",Worksheet!$Y$68,IF(J26="CBAL2",Worksheet!$Z$68,"N/A"))))))))," ")</f>
        <v xml:space="preserve"> </v>
      </c>
      <c r="FT26" s="362" t="str">
        <f>IF(L26&gt;0,IF(J26="CBAL2",Worksheet!$P$69,IF(J26="CBE2-24",Worksheet!$Q$69,IF(J26="CBAM",Worksheet!$R$69,IF(J26="CBLV",Worksheet!$S$69,IF(J26="CBAB",Worksheet!$U$69,IF(J26="CBAW",Worksheet!$X$69,IF(J26="CBE2-12",Worksheet!$Y$69,IF(J26="CBAL2",Worksheet!$Z$69,"N/A"))))))))," ")</f>
        <v xml:space="preserve"> </v>
      </c>
      <c r="FU26" s="361" t="str">
        <f t="shared" si="179"/>
        <v xml:space="preserve"> </v>
      </c>
      <c r="FV26" s="362" t="str">
        <f t="shared" si="180"/>
        <v xml:space="preserve"> </v>
      </c>
      <c r="FW26" s="362" t="str">
        <f t="shared" si="181"/>
        <v xml:space="preserve"> </v>
      </c>
      <c r="FX26" s="362" t="str">
        <f t="shared" si="182"/>
        <v xml:space="preserve"> </v>
      </c>
      <c r="FY26" s="355" t="str">
        <f t="shared" si="183"/>
        <v xml:space="preserve"> </v>
      </c>
      <c r="FZ26" s="361" t="str">
        <f t="shared" si="184"/>
        <v xml:space="preserve"> </v>
      </c>
      <c r="GA26" s="347" t="str">
        <f t="shared" si="185"/>
        <v xml:space="preserve"> </v>
      </c>
      <c r="GB26" s="355" t="str">
        <f t="shared" si="186"/>
        <v xml:space="preserve"> </v>
      </c>
      <c r="GC26" s="328" t="str">
        <f t="shared" si="187"/>
        <v xml:space="preserve"> </v>
      </c>
      <c r="GD26" s="361" t="str">
        <f t="shared" si="188"/>
        <v xml:space="preserve"> </v>
      </c>
      <c r="GE26" s="347" t="str">
        <f t="shared" si="189"/>
        <v xml:space="preserve"> </v>
      </c>
      <c r="GF26" s="361" t="str">
        <f t="shared" si="190"/>
        <v xml:space="preserve"> </v>
      </c>
      <c r="GG26" s="347" t="str">
        <f t="shared" si="191"/>
        <v xml:space="preserve"> </v>
      </c>
      <c r="GH26" s="364">
        <f t="shared" si="78"/>
        <v>0</v>
      </c>
      <c r="GI26" s="362">
        <f t="shared" si="192"/>
        <v>2</v>
      </c>
      <c r="GJ26" s="433" t="e">
        <f>IF(6-COUNTBLANK(GT26:GY26)=4,MATCH(MID(BO26,9,3),CLU!$H$16:$K$16),MATCH(MID(BO26,9,3),CLU!$H$13:$M$13))</f>
        <v>#N/A</v>
      </c>
      <c r="GK26" s="433" t="e">
        <f>HLOOKUP(VALUE(BP26),CLU!$H$9:$M$10,2)</f>
        <v>#VALUE!</v>
      </c>
      <c r="GL26" s="433" t="e">
        <f ca="1">MATCH(BU26,CLU!$H$2:$V$2,1)</f>
        <v>#VALUE!</v>
      </c>
      <c r="GM26" s="433" t="e">
        <f t="shared" ca="1" si="193"/>
        <v>#VALUE!</v>
      </c>
      <c r="GN26" s="433" t="e">
        <f t="shared" ca="1" si="194"/>
        <v>#VALUE!</v>
      </c>
      <c r="GO26" s="433" t="e">
        <f t="shared" ca="1" si="195"/>
        <v>#VALUE!</v>
      </c>
      <c r="GP26" s="433" t="e">
        <f t="shared" ca="1" si="196"/>
        <v>#VALUE!</v>
      </c>
      <c r="GQ26" s="433" t="e">
        <f t="shared" ca="1" si="197"/>
        <v>#VALUE!</v>
      </c>
      <c r="GR26" s="433" t="e">
        <f ca="1">MATCH(T26,INDIRECT(VLOOKUP(CONCATENATE(LEFT(BO26,7),"-",MID(BO26,13,1)),CLU!$P$3:$Q$16,2)),1)</f>
        <v>#N/A</v>
      </c>
      <c r="GS26" s="433" t="e">
        <f ca="1">MATCH(U26,INDIRECT(VLOOKUP(CONCATENATE(LEFT(BO26,7),"-",MID(BO26,13,1)),CLU!$P$3:$Q$16,2)),1)</f>
        <v>#N/A</v>
      </c>
      <c r="GT26" s="347" t="s">
        <v>512</v>
      </c>
      <c r="GU26" s="97" t="s">
        <v>513</v>
      </c>
      <c r="GV26" s="97" t="str">
        <f t="shared" si="198"/>
        <v>M23</v>
      </c>
      <c r="GW26" s="97" t="str">
        <f t="shared" si="199"/>
        <v>M31</v>
      </c>
      <c r="GX26" s="97" t="str">
        <f t="shared" si="200"/>
        <v/>
      </c>
      <c r="GY26" s="97" t="str">
        <f t="shared" si="201"/>
        <v/>
      </c>
      <c r="GZ26" s="481"/>
      <c r="HA26" s="288"/>
      <c r="HB26" s="240"/>
      <c r="HC26" s="240"/>
      <c r="HD26" s="240"/>
      <c r="HE26" s="240"/>
      <c r="HF26" s="240"/>
      <c r="HG26" s="240"/>
      <c r="HH26" s="240"/>
      <c r="HI26" s="240"/>
      <c r="HJ26" s="240"/>
      <c r="HK26" s="240"/>
      <c r="HL26" s="240"/>
      <c r="HM26" s="240"/>
      <c r="HN26" s="240"/>
      <c r="HO26" s="240"/>
      <c r="HP26" s="240"/>
      <c r="HQ26" s="240"/>
      <c r="HR26" s="240"/>
      <c r="HS26" s="240"/>
      <c r="HT26" s="240"/>
      <c r="HU26" s="240"/>
      <c r="HV26" s="245"/>
      <c r="HW26" s="245" t="b">
        <v>1</v>
      </c>
      <c r="HX26" s="245" t="str">
        <f t="shared" si="79"/>
        <v/>
      </c>
      <c r="HY26" s="245" t="e">
        <f t="shared" si="80"/>
        <v>#DIV/0!</v>
      </c>
      <c r="HZ26" s="245" t="e">
        <f t="shared" si="81"/>
        <v>#DIV/0!</v>
      </c>
      <c r="IA26" s="245">
        <f t="shared" si="82"/>
        <v>0</v>
      </c>
      <c r="IB26" s="245"/>
      <c r="IC26" t="b">
        <f t="shared" si="83"/>
        <v>1</v>
      </c>
      <c r="ID26" s="245" t="b">
        <f t="shared" si="84"/>
        <v>1</v>
      </c>
      <c r="IE26" s="245" t="b">
        <f t="shared" si="85"/>
        <v>1</v>
      </c>
      <c r="IF26" s="245" t="b">
        <f t="shared" si="86"/>
        <v>0</v>
      </c>
      <c r="IG26" s="245" t="b">
        <f t="shared" si="87"/>
        <v>1</v>
      </c>
      <c r="IH26" s="245" t="b">
        <f t="shared" si="88"/>
        <v>1</v>
      </c>
      <c r="II26" s="245">
        <f t="shared" si="202"/>
        <v>0</v>
      </c>
      <c r="IJ26" s="245" t="e">
        <f t="shared" si="89"/>
        <v>#VALUE!</v>
      </c>
      <c r="IK26" s="245" t="e">
        <f t="shared" si="90"/>
        <v>#VALUE!</v>
      </c>
      <c r="IL26" s="245"/>
      <c r="IM26" s="245" t="e">
        <f t="shared" si="203"/>
        <v>#N/A</v>
      </c>
      <c r="IN26" s="245" t="e">
        <f t="shared" si="204"/>
        <v>#N/A</v>
      </c>
      <c r="IO26" s="245"/>
      <c r="IP26" s="245"/>
      <c r="IQ26" s="245" t="str">
        <f t="shared" si="91"/>
        <v/>
      </c>
      <c r="IR26" s="245" t="str">
        <f>IF(J26="","",VLOOKUP(J26,Worksheet!$R$4:$T$14,2))</f>
        <v/>
      </c>
      <c r="IS26" s="245"/>
      <c r="IT26" s="245">
        <f t="shared" si="92"/>
        <v>0</v>
      </c>
      <c r="IU26" s="245">
        <f t="shared" si="93"/>
        <v>0</v>
      </c>
      <c r="IV26" s="245">
        <f t="shared" si="94"/>
        <v>0</v>
      </c>
      <c r="IW26" s="245">
        <f t="shared" si="95"/>
        <v>0</v>
      </c>
      <c r="IX26" s="245">
        <f t="shared" si="205"/>
        <v>0</v>
      </c>
      <c r="IY26" s="245">
        <f t="shared" si="96"/>
        <v>0</v>
      </c>
      <c r="IZ26" s="245">
        <f t="shared" si="97"/>
        <v>0</v>
      </c>
      <c r="JA26">
        <f t="shared" si="98"/>
        <v>0</v>
      </c>
      <c r="JB26">
        <f t="shared" si="206"/>
        <v>0</v>
      </c>
      <c r="JC26">
        <f t="shared" si="99"/>
        <v>0</v>
      </c>
      <c r="JD26">
        <f t="shared" si="100"/>
        <v>0</v>
      </c>
      <c r="JE26">
        <f t="shared" si="101"/>
        <v>0</v>
      </c>
      <c r="JF26">
        <f t="shared" si="102"/>
        <v>0</v>
      </c>
      <c r="JG26">
        <f t="shared" si="103"/>
        <v>0</v>
      </c>
      <c r="JH26">
        <f t="shared" si="104"/>
        <v>0</v>
      </c>
      <c r="JI26">
        <f t="shared" si="105"/>
        <v>0</v>
      </c>
      <c r="JJ26" s="447">
        <f t="shared" si="106"/>
        <v>0</v>
      </c>
      <c r="JK26" s="447">
        <f t="shared" si="107"/>
        <v>0</v>
      </c>
      <c r="JL26">
        <f t="shared" si="108"/>
        <v>0</v>
      </c>
      <c r="JM26" s="245" t="str">
        <f>IFERROR(VLOOKUP(MATCH(BN26,#REF!,0),#REF!,7),"")</f>
        <v/>
      </c>
      <c r="JN26" t="e">
        <f>HLOOKUP(LEFT(BO26,7),Discharge_Area,MATCH(JO26,LookUps!$B$130:$B$149,1)+2)</f>
        <v>#N/A</v>
      </c>
      <c r="JO26" t="str">
        <f t="shared" si="109"/>
        <v>- S</v>
      </c>
      <c r="JP26" t="e">
        <f>HLOOKUP(LEFT(BO26,7),Discharge_Area,MATCH(JO26,LookUps!$B$130:$B$149,1)+2)</f>
        <v>#N/A</v>
      </c>
      <c r="JQ26" t="e">
        <f t="shared" si="110"/>
        <v>#N/A</v>
      </c>
      <c r="JR26" t="e">
        <f t="shared" si="111"/>
        <v>#N/A</v>
      </c>
      <c r="JS26" t="e">
        <f t="shared" si="112"/>
        <v>#N/A</v>
      </c>
      <c r="JT26" s="532" t="str">
        <f t="shared" si="113"/>
        <v xml:space="preserve"> </v>
      </c>
      <c r="JU26" s="532" t="str">
        <f t="shared" si="114"/>
        <v xml:space="preserve"> </v>
      </c>
      <c r="JV26" s="533" t="str">
        <f t="shared" si="115"/>
        <v xml:space="preserve"> </v>
      </c>
      <c r="JW26" s="534">
        <f t="shared" si="116"/>
        <v>0</v>
      </c>
      <c r="JX26" s="535" t="str">
        <f t="shared" si="207"/>
        <v xml:space="preserve"> </v>
      </c>
      <c r="JY26" s="535" t="str">
        <f t="shared" si="208"/>
        <v xml:space="preserve"> </v>
      </c>
      <c r="JZ26" s="535" t="str">
        <f t="shared" si="209"/>
        <v xml:space="preserve"> </v>
      </c>
      <c r="KA26" s="536" t="str">
        <f t="shared" si="117"/>
        <v xml:space="preserve"> </v>
      </c>
      <c r="KB26" s="535" t="e">
        <f t="shared" si="210"/>
        <v>#VALUE!</v>
      </c>
      <c r="KC26" s="535" t="str">
        <f t="shared" si="118"/>
        <v/>
      </c>
      <c r="KD26" s="537" t="str">
        <f t="shared" si="211"/>
        <v xml:space="preserve"> </v>
      </c>
      <c r="KE26" s="537" t="str">
        <f t="shared" si="212"/>
        <v xml:space="preserve"> </v>
      </c>
      <c r="KF26" s="534">
        <f t="shared" si="119"/>
        <v>0</v>
      </c>
      <c r="KG26" s="535" t="str">
        <f t="shared" si="120"/>
        <v xml:space="preserve"> </v>
      </c>
      <c r="KH26" s="535" t="str">
        <f t="shared" si="121"/>
        <v xml:space="preserve"> </v>
      </c>
      <c r="KI26" s="535" t="str">
        <f t="shared" si="122"/>
        <v xml:space="preserve"> </v>
      </c>
      <c r="KJ26" s="536" t="str">
        <f t="shared" si="123"/>
        <v xml:space="preserve"> </v>
      </c>
      <c r="KK26" s="535" t="str">
        <f t="shared" si="213"/>
        <v xml:space="preserve"> </v>
      </c>
      <c r="KL26" s="535" t="str">
        <f t="shared" si="214"/>
        <v xml:space="preserve"> </v>
      </c>
      <c r="KM26" s="537" t="str">
        <f t="shared" si="124"/>
        <v xml:space="preserve"> </v>
      </c>
      <c r="KN26" s="537" t="str">
        <f t="shared" si="215"/>
        <v xml:space="preserve"> </v>
      </c>
      <c r="KP26">
        <f t="shared" si="125"/>
        <v>0</v>
      </c>
      <c r="LA26" t="e">
        <f t="shared" si="126"/>
        <v>#VALUE!</v>
      </c>
      <c r="LB26" t="e">
        <f t="shared" si="127"/>
        <v>#VALUE!</v>
      </c>
      <c r="LC26" t="e">
        <f t="shared" si="128"/>
        <v>#VALUE!</v>
      </c>
      <c r="LD26" t="e">
        <f t="shared" si="129"/>
        <v>#VALUE!</v>
      </c>
      <c r="LE26" t="e">
        <f t="shared" si="216"/>
        <v>#VALUE!</v>
      </c>
      <c r="LF26">
        <f t="shared" si="130"/>
        <v>0</v>
      </c>
      <c r="LG26" t="e">
        <f t="shared" si="217"/>
        <v>#VALUE!</v>
      </c>
      <c r="LH26" t="str">
        <f t="shared" si="131"/>
        <v xml:space="preserve"> </v>
      </c>
      <c r="LI26">
        <f t="shared" si="218"/>
        <v>1</v>
      </c>
    </row>
    <row r="27" spans="1:321" ht="15" customHeight="1">
      <c r="B27" s="311"/>
      <c r="C27" s="311"/>
      <c r="D27" s="312"/>
      <c r="E27" s="311"/>
      <c r="F27" s="312"/>
      <c r="G27" s="311"/>
      <c r="H27" s="311"/>
      <c r="I27" s="219"/>
      <c r="J27" s="311"/>
      <c r="K27" s="305" t="str">
        <f t="shared" si="132"/>
        <v/>
      </c>
      <c r="L27" s="313"/>
      <c r="M27" s="312"/>
      <c r="N27" s="311"/>
      <c r="O27" s="312"/>
      <c r="P27" s="311"/>
      <c r="Q27" s="305" t="str">
        <f t="shared" si="133"/>
        <v/>
      </c>
      <c r="R27" s="314"/>
      <c r="S27" s="450" t="str">
        <f t="shared" si="0"/>
        <v/>
      </c>
      <c r="T27" s="315"/>
      <c r="U27" s="315"/>
      <c r="W27" s="149" t="str">
        <f t="shared" si="1"/>
        <v xml:space="preserve"> </v>
      </c>
      <c r="X27" s="243" t="str">
        <f t="shared" si="2"/>
        <v xml:space="preserve"> </v>
      </c>
      <c r="Y27" s="150" t="str">
        <f t="shared" si="3"/>
        <v/>
      </c>
      <c r="Z27" s="149" t="str">
        <f t="shared" si="4"/>
        <v xml:space="preserve"> </v>
      </c>
      <c r="AA27" s="98" t="str">
        <f t="shared" si="5"/>
        <v xml:space="preserve"> </v>
      </c>
      <c r="AB27" s="153" t="str">
        <f t="shared" si="6"/>
        <v xml:space="preserve"> </v>
      </c>
      <c r="AC27" s="153" t="str">
        <f t="shared" si="7"/>
        <v xml:space="preserve"> </v>
      </c>
      <c r="AD27" s="148" t="str">
        <f t="shared" si="8"/>
        <v/>
      </c>
      <c r="AE27" s="149" t="str">
        <f t="shared" si="9"/>
        <v/>
      </c>
      <c r="AF27" s="151" t="str">
        <f t="shared" si="10"/>
        <v xml:space="preserve"> </v>
      </c>
      <c r="AG27" s="153" t="str">
        <f t="shared" si="11"/>
        <v xml:space="preserve"> </v>
      </c>
      <c r="AH27" s="98" t="str">
        <f t="shared" si="12"/>
        <v xml:space="preserve"> </v>
      </c>
      <c r="AI27" s="149" t="str">
        <f t="shared" si="13"/>
        <v xml:space="preserve"> </v>
      </c>
      <c r="AK27" s="144" t="str">
        <f t="shared" si="14"/>
        <v xml:space="preserve"> </v>
      </c>
      <c r="AL27" s="144"/>
      <c r="AM27" s="243" t="str">
        <f t="shared" si="15"/>
        <v xml:space="preserve"> </v>
      </c>
      <c r="AN27" s="149" t="str">
        <f t="shared" si="134"/>
        <v xml:space="preserve"> </v>
      </c>
      <c r="AO27" s="144" t="str">
        <f>IF(JB27&gt;0,IF(GI27=10,-R27*1.085*(Calculation!$F$6-Calculation!$F$13)*$S$14," "),"")</f>
        <v/>
      </c>
      <c r="AP27" s="144" t="str">
        <f t="shared" si="16"/>
        <v/>
      </c>
      <c r="AQ27" s="56" t="str">
        <f t="shared" si="17"/>
        <v/>
      </c>
      <c r="AR27" s="144" t="str">
        <f t="shared" si="18"/>
        <v/>
      </c>
      <c r="AS27" s="176" t="str">
        <f t="shared" si="19"/>
        <v/>
      </c>
      <c r="AT27" s="176" t="str">
        <f t="shared" si="135"/>
        <v xml:space="preserve"> </v>
      </c>
      <c r="AU27" s="176" t="str">
        <f t="shared" si="20"/>
        <v/>
      </c>
      <c r="AV27" s="177" t="str">
        <f t="shared" si="21"/>
        <v xml:space="preserve"> </v>
      </c>
      <c r="AW27" s="144" t="str">
        <f t="shared" si="22"/>
        <v xml:space="preserve"> </v>
      </c>
      <c r="AX27" s="144" t="str">
        <f t="shared" si="23"/>
        <v xml:space="preserve"> </v>
      </c>
      <c r="AY27" s="152" t="str">
        <f t="shared" si="24"/>
        <v xml:space="preserve"> </v>
      </c>
      <c r="AZ27" s="246" t="str">
        <f t="shared" si="25"/>
        <v/>
      </c>
      <c r="BA27" s="176" t="str">
        <f t="shared" si="26"/>
        <v xml:space="preserve"> </v>
      </c>
      <c r="BB27" s="176" t="str">
        <f t="shared" si="27"/>
        <v xml:space="preserve"> </v>
      </c>
      <c r="BC27" s="195"/>
      <c r="BD27" s="316"/>
      <c r="BE27" s="317"/>
      <c r="BF27" s="318"/>
      <c r="BG27" s="318"/>
      <c r="BH27" s="144" t="str">
        <f t="shared" si="219"/>
        <v xml:space="preserve"> </v>
      </c>
      <c r="BI27" s="176" t="str">
        <f t="shared" si="28"/>
        <v/>
      </c>
      <c r="BJ27" s="144" t="str">
        <f t="shared" si="220"/>
        <v/>
      </c>
      <c r="BK27" s="246" t="str">
        <f t="shared" si="29"/>
        <v/>
      </c>
      <c r="BL27" s="144" t="str">
        <f t="shared" si="221"/>
        <v/>
      </c>
      <c r="BM27" s="246" t="str">
        <f t="shared" si="30"/>
        <v/>
      </c>
      <c r="BN27" s="337" t="str">
        <f t="shared" si="136"/>
        <v/>
      </c>
      <c r="BO27" s="371" t="str">
        <f t="shared" si="137"/>
        <v/>
      </c>
      <c r="BP27" s="328" t="str">
        <f t="shared" si="222"/>
        <v xml:space="preserve"> </v>
      </c>
      <c r="BQ27" s="347" t="str">
        <f t="shared" si="138"/>
        <v xml:space="preserve"> </v>
      </c>
      <c r="BR27" s="353" t="str">
        <f t="shared" ref="BR27:BR86" si="223">IF(L27&gt;0,HLOOKUP(LEFT(BO27,7),Noz_Qty,(MATCH(CONCATENATE(IF(LEN(M27)=1,("0"),""),M27,"-",LEFT(BP27,1),"S"),Len_SlotLU,0)+2))," ")</f>
        <v xml:space="preserve"> </v>
      </c>
      <c r="BS27" s="626" t="str">
        <f>IF(L27&gt;0,IF(Calculation!P27="M13",BR27*3.1416*(0.134^2)/(4*144),IF(Calculation!P27="M17",BR27*3.1416*(0.165^2)/(4*144),IF(Calculation!P27="M20",BR27*3.1416*(0.198^2)/(4*144),IF(Calculation!P27="M23",BR27*3.1416*(0.228^2)/(4*144),IF(Calculation!P27="M27",BR27*3.1416*(0.269^2)/(4*144),BR27*3.1416*(0.307^2)/(4*144))))))," ")</f>
        <v xml:space="preserve"> </v>
      </c>
      <c r="BT27" s="353" t="str">
        <f>IF(L27&gt;0,IF(BS27&gt;0,R27/Calculation!BS27,0)," ")</f>
        <v xml:space="preserve"> </v>
      </c>
      <c r="BU27" s="438" t="e">
        <f t="shared" ca="1" si="31"/>
        <v>#VALUE!</v>
      </c>
      <c r="BV27" s="449" t="e">
        <f ca="1">INDEX(INDIRECT(VLOOKUP(LEFT(BO27,7),CLU!$Z$3:$AH$18,2)),GN27,GR27)</f>
        <v>#N/A</v>
      </c>
      <c r="BW27" s="433" t="e">
        <f ca="1">INDEX(INDIRECT(VLOOKUP(LEFT(BO27,7),CLU!$Z$3:$AH$18,3)),GN27,GR27)</f>
        <v>#N/A</v>
      </c>
      <c r="BX27" s="433" t="e">
        <f ca="1">INDEX(INDIRECT(VLOOKUP(LEFT(BO27,7),CLU!$Z$3:$AH$18,4)),GN27,GR27)</f>
        <v>#N/A</v>
      </c>
      <c r="BY27" s="433" t="e">
        <f ca="1">INDEX(INDIRECT(VLOOKUP(LEFT(BO27,7),CLU!$Z$3:$AH$18,9)),((M27-2)*(6-COUNTBLANK(GT27:GY27)))+GJ27)</f>
        <v>#N/A</v>
      </c>
      <c r="BZ27" s="426" t="e">
        <f t="shared" ca="1" si="139"/>
        <v>#N/A</v>
      </c>
      <c r="CA27" s="424" t="e">
        <f t="shared" ca="1" si="140"/>
        <v>#N/A</v>
      </c>
      <c r="CB27" s="429" t="e">
        <f ca="1">INDEX(INDIRECT(VLOOKUP(LEFT(BO27,7),CLU!$Z$3:$AH$18,2)),GN27,GS27)</f>
        <v>#N/A</v>
      </c>
      <c r="CC27" s="342" t="e">
        <f ca="1">INDEX(INDIRECT(VLOOKUP(LEFT(BO27,7),CLU!$Z$3:$AH$18,3)),GN27,GS27)</f>
        <v>#N/A</v>
      </c>
      <c r="CD27" s="342" t="e">
        <f ca="1">INDEX(INDIRECT(VLOOKUP(LEFT(BO27,7),CLU!$Z$3:$AH$18,4)),GN27,GS27)</f>
        <v>#N/A</v>
      </c>
      <c r="CE27" s="426" t="e">
        <f t="shared" ca="1" si="141"/>
        <v>#N/A</v>
      </c>
      <c r="CF27" s="440">
        <f t="shared" si="142"/>
        <v>0</v>
      </c>
      <c r="CG27" s="431" t="e">
        <f ca="1">INDEX(INDIRECT(VLOOKUP(LEFT(BO27,7),CLU!$Z$3:$AH$18,2)),GQ27,GR27)</f>
        <v>#N/A</v>
      </c>
      <c r="CH27" s="431" t="e">
        <f ca="1">INDEX(INDIRECT(VLOOKUP(LEFT(BO27,7),CLU!$Z$3:$AH$18,3)),GQ27,GR27)</f>
        <v>#N/A</v>
      </c>
      <c r="CI27" s="431" t="e">
        <f ca="1">INDEX(INDIRECT(VLOOKUP(LEFT(BO27,7),CLU!$Z$3:$AH$18,4)),GQ27,GR27)</f>
        <v>#N/A</v>
      </c>
      <c r="CJ27" s="448" t="e">
        <f t="shared" ca="1" si="143"/>
        <v>#N/A</v>
      </c>
      <c r="CK27" s="431" t="e">
        <f t="shared" ca="1" si="144"/>
        <v>#N/A</v>
      </c>
      <c r="CL27" s="440" t="e">
        <f t="shared" ca="1" si="145"/>
        <v>#N/A</v>
      </c>
      <c r="CM27" s="431" t="e">
        <f ca="1">INDEX(INDIRECT(VLOOKUP(LEFT(BO27,7),CLU!$Z$3:$AH$18,2)),GQ27,GS27)</f>
        <v>#N/A</v>
      </c>
      <c r="CN27" s="431" t="e">
        <f ca="1">INDEX(INDIRECT(VLOOKUP(LEFT(BO27,7),CLU!$Z$3:$AH$18,3)),GQ27,GS27)</f>
        <v>#N/A</v>
      </c>
      <c r="CO27" s="431" t="e">
        <f ca="1">INDEX(INDIRECT(VLOOKUP(LEFT(BO27,7),CLU!$Z$3:$AH$18,4)),GQ27,GS27)</f>
        <v>#N/A</v>
      </c>
      <c r="CP27" s="431" t="e">
        <f t="shared" ca="1" si="146"/>
        <v>#N/A</v>
      </c>
      <c r="CQ27" s="440">
        <f t="shared" si="147"/>
        <v>0</v>
      </c>
      <c r="CR27" s="51" t="e">
        <f t="shared" ca="1" si="148"/>
        <v>#N/A</v>
      </c>
      <c r="CS27" s="439" t="e">
        <f t="shared" ca="1" si="149"/>
        <v>#VALUE!</v>
      </c>
      <c r="CT27" s="51" t="e">
        <f t="shared" ca="1" si="150"/>
        <v>#VALUE!</v>
      </c>
      <c r="CU27" s="10"/>
      <c r="CV27" s="51" t="e">
        <f t="shared" ca="1" si="34"/>
        <v>#VALUE!</v>
      </c>
      <c r="CW27" s="51">
        <f t="shared" si="151"/>
        <v>0</v>
      </c>
      <c r="CX27" s="439" t="e">
        <f t="shared" ca="1" si="152"/>
        <v>#VALUE!</v>
      </c>
      <c r="CY27" s="51" t="e">
        <f t="shared" ca="1" si="153"/>
        <v>#VALUE!</v>
      </c>
      <c r="CZ27" s="10"/>
      <c r="DA27" s="51" t="e">
        <f t="shared" ca="1" si="154"/>
        <v>#VALUE!</v>
      </c>
      <c r="DB27" s="347" t="e">
        <f ca="1">INDEX(INDIRECT(VLOOKUP(LEFT(BO27,7),CLU!$Z$3:$AI$18,10)),((M27-2)*(6-COUNTBLANK(GT27:GY27)))+GJ27)*LI27</f>
        <v>#N/A</v>
      </c>
      <c r="DC27" s="347" t="str">
        <f>IF(L27&gt;0,((R27/Worksheet!$I$15)/DB27)^2," ")</f>
        <v xml:space="preserve"> </v>
      </c>
      <c r="DD27" s="602" t="str">
        <f t="shared" ref="DD27:DD86" si="224">IF(L27&gt;0,IF(S27=4,R27/0.087,IF(S27=5,R27/0.136,IF(S27=6,R27/0.197,IF(S27=8,R27/0.35,R27/0.415))))," ")</f>
        <v xml:space="preserve"> </v>
      </c>
      <c r="DE27" s="347" t="str">
        <f t="shared" si="35"/>
        <v xml:space="preserve"> </v>
      </c>
      <c r="DF27" s="356" t="e">
        <f ca="1">INDEX(INDIRECT(VLOOKUP(LEFT(BO27,7),CLU!$Z$3:$AH$18,8)),((M27-2)*(6-COUNTBLANK(GT27:GY27)))+GJ27)</f>
        <v>#N/A</v>
      </c>
      <c r="DG27" s="347" t="str">
        <f t="shared" si="157"/>
        <v xml:space="preserve"> </v>
      </c>
      <c r="DH27" s="357" t="str">
        <f t="shared" si="158"/>
        <v xml:space="preserve"> </v>
      </c>
      <c r="DI27" s="355" t="str">
        <f t="shared" si="159"/>
        <v xml:space="preserve"> </v>
      </c>
      <c r="DJ27" s="245" t="e">
        <f ca="1">INDEX(INDIRECT(VLOOKUP(LEFT(BO27,7),CLU!$Z$3:$AH$18,5)),GL27,GK27)</f>
        <v>#N/A</v>
      </c>
      <c r="DK27" s="245" t="e">
        <f ca="1">INDEX(INDIRECT(VLOOKUP(LEFT(BO27,7),CLU!$Z$3:$AH$18,6)),GL27,GK27)</f>
        <v>#N/A</v>
      </c>
      <c r="DL27" s="355">
        <f>(Calculation!R27*0.69143*(Calculation!$BQ$8-Calculation!$F$8))*$S$14</f>
        <v>0</v>
      </c>
      <c r="DM27" s="359" t="e">
        <f t="shared" si="160"/>
        <v>#VALUE!</v>
      </c>
      <c r="DN27" s="611">
        <f t="shared" si="161"/>
        <v>0</v>
      </c>
      <c r="DO27" s="359">
        <f t="shared" si="162"/>
        <v>100</v>
      </c>
      <c r="DP27" s="359">
        <f t="shared" si="163"/>
        <v>0</v>
      </c>
      <c r="DQ27" s="360"/>
      <c r="DR27" s="245" t="e">
        <f ca="1">INDEX(INDIRECT(VLOOKUP(LEFT(BO27,7),CLU!$Z$3:$AH$18,7)),M27-1,1)</f>
        <v>#N/A</v>
      </c>
      <c r="DS27" s="245" t="e">
        <f ca="1">INDEX(INDIRECT(VLOOKUP(LEFT(BO27,7),CLU!$Z$3:$AH$18,7)),M27-1,2)</f>
        <v>#N/A</v>
      </c>
      <c r="DT27" s="245" t="e">
        <f ca="1">INDEX(INDIRECT(VLOOKUP(LEFT(BO27,7),CLU!$Z$3:$AH$18,7)),M27-1,3)</f>
        <v>#N/A</v>
      </c>
      <c r="DU27" s="245" t="e">
        <f ca="1">INDEX(INDIRECT(VLOOKUP(LEFT(BO27,7),CLU!$Z$3:$AH$18,7)),M27-1,4)</f>
        <v>#N/A</v>
      </c>
      <c r="DV27" s="361" t="e">
        <f ca="1">INDEX(INDIRECT(VLOOKUP(LEFT(BO27,7),CLU!$Z$3:$AH$18,7)),M27-1,4+LEFT(DZ27,1)*0.5)</f>
        <v>#N/A</v>
      </c>
      <c r="DW27" s="245" t="e">
        <f ca="1">INDEX(INDIRECT(VLOOKUP(LEFT(BO27,7),CLU!$Z$3:$AH$18,7)),M27-1,8)</f>
        <v>#N/A</v>
      </c>
      <c r="DX27" s="361" t="str">
        <f t="shared" si="39"/>
        <v xml:space="preserve"> </v>
      </c>
      <c r="DY27" s="361" t="str">
        <f t="shared" si="40"/>
        <v xml:space="preserve"> </v>
      </c>
      <c r="DZ27" s="361" t="str">
        <f t="shared" si="41"/>
        <v xml:space="preserve"> </v>
      </c>
      <c r="EA27" s="362" t="str">
        <f t="shared" si="42"/>
        <v xml:space="preserve"> </v>
      </c>
      <c r="EB27" s="624" t="str">
        <f t="shared" si="168"/>
        <v xml:space="preserve"> </v>
      </c>
      <c r="EC27" s="361" t="e">
        <f ca="1">INDEX(INDIRECT(VLOOKUP(LEFT(BO27,7),CLU!$Z$3:$AH$18,7)),M27-1,4+LEFT(DZ27,1)*0.5)</f>
        <v>#N/A</v>
      </c>
      <c r="ED27" s="362" t="str">
        <f t="shared" si="43"/>
        <v xml:space="preserve"> </v>
      </c>
      <c r="EE27" s="361" t="str">
        <f t="shared" si="44"/>
        <v xml:space="preserve"> </v>
      </c>
      <c r="EF27" s="362" t="str">
        <f>IF(L27&gt;0,IF(BR27&gt;0,IF(EE27="2P",IF(Calculation!DZ27="2P",IF(Calculation!DS27=13.75,IF(Calculation!DR27=13,Worksheet!$BD$43,IF(Calculation!DR27=37,Worksheet!$BD$44,Worksheet!$BD$45)),IF(Calculation!DS27=10,IF(Calculation!DR27=18,Worksheet!$BD$29,IF(Calculation!DR27=30,Worksheet!$BD$30,IF(Calculation!DR27=42,Worksheet!$BD$31,IF(Calculation!DR27=54,Worksheet!$BD$32,IF(Calculation!DR27=66,Worksheet!$BD$33,IF(Calculation!DR27=78,Worksheet!$BD$34,IF(Calculation!DR27=90,Worksheet!$BD$35,IF(Calculation!DR27=102,Worksheet!$BD$36,Worksheet!$BD$37)))))))),IF(Calculation!DS27=12.5,IF(Calculation!DR27=18,Worksheet!$BD$38,IF(Calculation!DR27=Worksheet!$BD$39,IF(Calculation!DR27=42,Worksheet!$BD$40,IF(Calculation!DR27=54,Worksheet!$BD$41,Worksheet!$BD$42)))),IF(Calculation!DR27=18,Worksheet!$BD$11,IF(Calculation!DR27=30,Worksheet!$BD$12,IF(Calculation!DR27=42,Worksheet!$BD$13,IF(Calculation!DR27=54,Worksheet!$BD$14,IF(Calculation!DR27=66,Worksheet!$BD$15,IF(Calculation!DR27=78,Worksheet!$BD$16,IF(Calculation!DR27=90,Worksheet!$BD$17,IF(Calculation!DR27=102,Worksheet!$BD$18,Worksheet!$BD$19))))))))))),IF(Calculation!DS27=13.75,IF(Calculation!DR27=13,Worksheet!$BD$78,IF(Calculation!DR27=37,Worksheet!$BD$79,Worksheet!$BD$80)),IF(Calculation!DS27=10,IF(Calculation!DR27=18,Worksheet!$BD$64,IF(Calculation!DR27=30,Worksheet!$BD$65,IF(Calculation!DR27=42,Worksheet!$BD$66,IF(Calculation!DR27=54,Worksheet!$BD$68,IF(Calculation!DR27=66,Worksheet!$BD$68,IF(Calculation!DR27=78,Worksheet!$BD$69,IF(Calculation!DR27=90,Worksheet!$BD$70,IF(Calculation!DR27=102,Worksheet!$BD$71,Worksheet!$BD$72)))))))),IF(Calculation!DS27=12.5,IF(Calculation!DR27=18,Worksheet!$BD$73,IF(Calculation!DR27=Worksheet!$BD$74,IF(Calculation!DR27=42,Worksheet!$BD$75,IF(Calculation!DR27=54,Worksheet!$BD$76,Worksheet!$BD$77)))),IF(Calculation!DR27=18,Worksheet!$BD$55,IF(Calculation!DR27=30,Worksheet!$BD$56,IF(Calculation!DR27=42,Worksheet!$BD$57,IF(Calculation!DR27=54,Worksheet!$BD$58,IF(Calculation!DR27=66,Worksheet!$BD$59,IF(Calculation!DR27=78,Worksheet!$BD$60,IF(Calculation!DR27=90,Worksheet!$BD$61,IF(Calculation!DR27=102,Worksheet!$BD$62,Worksheet!$BD$63)))))))))))),5),0)," ")</f>
        <v xml:space="preserve"> </v>
      </c>
      <c r="EG27" s="361" t="str">
        <f t="shared" si="45"/>
        <v xml:space="preserve"> </v>
      </c>
      <c r="EH27" s="361" t="e">
        <f ca="1">INDEX(INDIRECT(VLOOKUP(LEFT(BO27,7),CLU!$Z$3:$AH$18,7)),M27-1,3+LEFT(DZ27,1))</f>
        <v>#N/A</v>
      </c>
      <c r="EI27" s="362" t="str">
        <f t="shared" si="46"/>
        <v xml:space="preserve"> </v>
      </c>
      <c r="EJ27" s="363" t="str">
        <f t="shared" si="47"/>
        <v xml:space="preserve"> </v>
      </c>
      <c r="EK27" s="363" t="str">
        <f t="shared" si="48"/>
        <v xml:space="preserve"> </v>
      </c>
      <c r="EL27" s="363" t="str">
        <f t="shared" si="49"/>
        <v xml:space="preserve"> </v>
      </c>
      <c r="EM27" s="362" t="str">
        <f>IF(L27&gt;0,IF(BR27&gt;0,(Calculation!T27/ED27)^2,0)," ")</f>
        <v xml:space="preserve"> </v>
      </c>
      <c r="EN27" s="362" t="str">
        <f>IF(L27&gt;0,IF(O27="2 Pipe (Cooling)","N/A",IF(BR27&gt;0,(Calculation!U27/EI27)^2,0))," ")</f>
        <v xml:space="preserve"> </v>
      </c>
      <c r="EO27" s="361" t="str">
        <f t="shared" si="50"/>
        <v/>
      </c>
      <c r="EP27" s="361" t="str">
        <f t="shared" si="51"/>
        <v/>
      </c>
      <c r="EQ27" s="361" t="str">
        <f t="shared" si="52"/>
        <v/>
      </c>
      <c r="ER27" s="361" t="str">
        <f t="shared" si="53"/>
        <v/>
      </c>
      <c r="ES27" s="361" t="str">
        <f t="shared" si="54"/>
        <v/>
      </c>
      <c r="ET27" s="361" t="str">
        <f t="shared" si="55"/>
        <v/>
      </c>
      <c r="EU27" s="361" t="str">
        <f t="shared" si="56"/>
        <v/>
      </c>
      <c r="EV27" s="361" t="str">
        <f t="shared" si="57"/>
        <v/>
      </c>
      <c r="EW27" s="361" t="str">
        <f t="shared" si="58"/>
        <v/>
      </c>
      <c r="EX27" s="361" t="str">
        <f t="shared" si="169"/>
        <v>1 slot, 1 way</v>
      </c>
      <c r="EY27" s="361" t="str">
        <f t="shared" si="170"/>
        <v xml:space="preserve"> </v>
      </c>
      <c r="EZ27" s="361" t="str">
        <f t="shared" si="171"/>
        <v xml:space="preserve"> </v>
      </c>
      <c r="FA27" s="361" t="str">
        <f t="shared" si="172"/>
        <v xml:space="preserve"> </v>
      </c>
      <c r="FB27" s="361" t="str">
        <f t="shared" si="173"/>
        <v xml:space="preserve"> </v>
      </c>
      <c r="FC27" s="361"/>
      <c r="FD27" s="361" t="str">
        <f>IF(J27&gt;0,IF(Calculation!R27&lt;=70,4,IF(Calculation!R27&lt;=110,5,IF(Calculation!R27&lt;=160,6,IF(Calculation!R27&lt;=300,8,"10 EO")))),"")</f>
        <v/>
      </c>
      <c r="FE27" s="361" t="str">
        <f t="shared" si="174"/>
        <v/>
      </c>
      <c r="FF27" s="361" t="str">
        <f t="shared" si="175"/>
        <v/>
      </c>
      <c r="FG27" s="361" t="e">
        <f t="shared" si="60"/>
        <v>#N/A</v>
      </c>
      <c r="FH27" s="361">
        <f t="shared" si="61"/>
        <v>0</v>
      </c>
      <c r="FI27" s="361" t="e">
        <f t="shared" si="62"/>
        <v>#DIV/0!</v>
      </c>
      <c r="FJ27" s="361"/>
      <c r="FK27" s="356" t="e">
        <f t="shared" si="63"/>
        <v>#VALUE!</v>
      </c>
      <c r="FL27" s="361"/>
      <c r="FM27" s="361"/>
      <c r="FN27" s="362" t="str">
        <f t="shared" si="176"/>
        <v xml:space="preserve"> </v>
      </c>
      <c r="FO27" s="362" t="str">
        <f t="shared" si="177"/>
        <v xml:space="preserve"> </v>
      </c>
      <c r="FP27" s="362">
        <f t="shared" si="178"/>
        <v>0</v>
      </c>
      <c r="FQ27" s="361">
        <f t="shared" si="64"/>
        <v>0</v>
      </c>
      <c r="FR27" s="362" t="str">
        <f>IF(L27&gt;0,IF(J27="CBAL2",Worksheet!$P$67,IF(J27="CBE2-24",Worksheet!$Q$67,IF(J27="CBAM",Worksheet!$R$67,IF(J27="CBLV",Worksheet!$S$67,IF(J27="CBAB",Worksheet!$U$67,IF(J27="CBAW",Worksheet!$X$67,IF(J27="CBE2-12",Worksheet!$Y$67,IF(J27="CBAL2",Worksheet!$Z$67,"N/A"))))))))," ")</f>
        <v xml:space="preserve"> </v>
      </c>
      <c r="FS27" s="362" t="str">
        <f>IF(L27&gt;0,IF(J27="CBAL2",Worksheet!$P$68,IF(J27="CBE2-24",Worksheet!$Q$68,IF(J27="CBAM",Worksheet!$R$68,IF(J27="CBLV",Worksheet!$S$68,IF(J27="CBAB",Worksheet!$U$68,IF(J27="CBAW",Worksheet!$X$68,IF(J27="CBE2-12",Worksheet!$Y$68,IF(J27="CBAL2",Worksheet!$Z$68,"N/A"))))))))," ")</f>
        <v xml:space="preserve"> </v>
      </c>
      <c r="FT27" s="362" t="str">
        <f>IF(L27&gt;0,IF(J27="CBAL2",Worksheet!$P$69,IF(J27="CBE2-24",Worksheet!$Q$69,IF(J27="CBAM",Worksheet!$R$69,IF(J27="CBLV",Worksheet!$S$69,IF(J27="CBAB",Worksheet!$U$69,IF(J27="CBAW",Worksheet!$X$69,IF(J27="CBE2-12",Worksheet!$Y$69,IF(J27="CBAL2",Worksheet!$Z$69,"N/A"))))))))," ")</f>
        <v xml:space="preserve"> </v>
      </c>
      <c r="FU27" s="361" t="str">
        <f t="shared" si="179"/>
        <v xml:space="preserve"> </v>
      </c>
      <c r="FV27" s="362" t="str">
        <f t="shared" si="180"/>
        <v xml:space="preserve"> </v>
      </c>
      <c r="FW27" s="362" t="str">
        <f t="shared" si="181"/>
        <v xml:space="preserve"> </v>
      </c>
      <c r="FX27" s="362" t="str">
        <f t="shared" si="182"/>
        <v xml:space="preserve"> </v>
      </c>
      <c r="FY27" s="355" t="str">
        <f t="shared" si="183"/>
        <v xml:space="preserve"> </v>
      </c>
      <c r="FZ27" s="361" t="str">
        <f t="shared" si="184"/>
        <v xml:space="preserve"> </v>
      </c>
      <c r="GA27" s="347" t="str">
        <f t="shared" si="185"/>
        <v xml:space="preserve"> </v>
      </c>
      <c r="GB27" s="355" t="str">
        <f t="shared" si="186"/>
        <v xml:space="preserve"> </v>
      </c>
      <c r="GC27" s="328" t="str">
        <f t="shared" si="187"/>
        <v xml:space="preserve"> </v>
      </c>
      <c r="GD27" s="361" t="str">
        <f t="shared" si="188"/>
        <v xml:space="preserve"> </v>
      </c>
      <c r="GE27" s="347" t="str">
        <f t="shared" si="189"/>
        <v xml:space="preserve"> </v>
      </c>
      <c r="GF27" s="361" t="str">
        <f t="shared" si="190"/>
        <v xml:space="preserve"> </v>
      </c>
      <c r="GG27" s="347" t="str">
        <f t="shared" si="191"/>
        <v xml:space="preserve"> </v>
      </c>
      <c r="GH27" s="364">
        <f t="shared" si="78"/>
        <v>0</v>
      </c>
      <c r="GI27" s="362">
        <f t="shared" si="192"/>
        <v>2</v>
      </c>
      <c r="GJ27" s="433" t="e">
        <f>IF(6-COUNTBLANK(GT27:GY27)=4,MATCH(MID(BO27,9,3),CLU!$H$16:$K$16),MATCH(MID(BO27,9,3),CLU!$H$13:$M$13))</f>
        <v>#N/A</v>
      </c>
      <c r="GK27" s="433" t="e">
        <f>HLOOKUP(VALUE(BP27),CLU!$H$9:$M$10,2)</f>
        <v>#VALUE!</v>
      </c>
      <c r="GL27" s="433" t="e">
        <f ca="1">MATCH(BU27,CLU!$H$2:$V$2,1)</f>
        <v>#VALUE!</v>
      </c>
      <c r="GM27" s="433" t="e">
        <f t="shared" ca="1" si="193"/>
        <v>#VALUE!</v>
      </c>
      <c r="GN27" s="433" t="e">
        <f t="shared" ca="1" si="194"/>
        <v>#VALUE!</v>
      </c>
      <c r="GO27" s="433" t="e">
        <f t="shared" ca="1" si="195"/>
        <v>#VALUE!</v>
      </c>
      <c r="GP27" s="433" t="e">
        <f t="shared" ca="1" si="196"/>
        <v>#VALUE!</v>
      </c>
      <c r="GQ27" s="433" t="e">
        <f t="shared" ca="1" si="197"/>
        <v>#VALUE!</v>
      </c>
      <c r="GR27" s="433" t="e">
        <f ca="1">MATCH(T27,INDIRECT(VLOOKUP(CONCATENATE(LEFT(BO27,7),"-",MID(BO27,13,1)),CLU!$P$3:$Q$16,2)),1)</f>
        <v>#N/A</v>
      </c>
      <c r="GS27" s="433" t="e">
        <f ca="1">MATCH(U27,INDIRECT(VLOOKUP(CONCATENATE(LEFT(BO27,7),"-",MID(BO27,13,1)),CLU!$P$3:$Q$16,2)),1)</f>
        <v>#N/A</v>
      </c>
      <c r="GT27" s="347" t="s">
        <v>512</v>
      </c>
      <c r="GU27" s="97" t="s">
        <v>513</v>
      </c>
      <c r="GV27" s="97" t="str">
        <f t="shared" si="198"/>
        <v>M23</v>
      </c>
      <c r="GW27" s="97" t="str">
        <f t="shared" si="199"/>
        <v>M31</v>
      </c>
      <c r="GX27" s="97" t="str">
        <f t="shared" si="200"/>
        <v/>
      </c>
      <c r="GY27" s="97" t="str">
        <f t="shared" si="201"/>
        <v/>
      </c>
      <c r="GZ27" s="481"/>
      <c r="HA27" s="288"/>
      <c r="HB27" s="240"/>
      <c r="HC27" s="240"/>
      <c r="HD27" s="240"/>
      <c r="HE27" s="240"/>
      <c r="HF27" s="240"/>
      <c r="HG27" s="240"/>
      <c r="HH27" s="240"/>
      <c r="HI27" s="240"/>
      <c r="HJ27" s="240"/>
      <c r="HK27" s="240"/>
      <c r="HL27" s="240"/>
      <c r="HM27" s="240"/>
      <c r="HN27" s="240"/>
      <c r="HO27" s="240"/>
      <c r="HP27" s="240"/>
      <c r="HQ27" s="240"/>
      <c r="HR27" s="240"/>
      <c r="HS27" s="240"/>
      <c r="HT27" s="240"/>
      <c r="HU27" s="240"/>
      <c r="HV27" s="245"/>
      <c r="HW27" s="245" t="b">
        <v>1</v>
      </c>
      <c r="HX27" s="245" t="str">
        <f t="shared" si="79"/>
        <v/>
      </c>
      <c r="HY27" s="245" t="e">
        <f t="shared" si="80"/>
        <v>#DIV/0!</v>
      </c>
      <c r="HZ27" s="245" t="e">
        <f t="shared" si="81"/>
        <v>#DIV/0!</v>
      </c>
      <c r="IA27" s="245">
        <f t="shared" si="82"/>
        <v>0</v>
      </c>
      <c r="IB27" s="245"/>
      <c r="IC27" t="b">
        <f t="shared" si="83"/>
        <v>1</v>
      </c>
      <c r="ID27" s="245" t="b">
        <f t="shared" si="84"/>
        <v>1</v>
      </c>
      <c r="IE27" s="245" t="b">
        <f t="shared" si="85"/>
        <v>1</v>
      </c>
      <c r="IF27" s="245" t="b">
        <f t="shared" si="86"/>
        <v>0</v>
      </c>
      <c r="IG27" s="245" t="b">
        <f t="shared" si="87"/>
        <v>1</v>
      </c>
      <c r="IH27" s="245" t="b">
        <f t="shared" si="88"/>
        <v>1</v>
      </c>
      <c r="II27" s="245">
        <f t="shared" si="202"/>
        <v>0</v>
      </c>
      <c r="IJ27" s="245" t="e">
        <f t="shared" si="89"/>
        <v>#VALUE!</v>
      </c>
      <c r="IK27" s="245" t="e">
        <f t="shared" si="90"/>
        <v>#VALUE!</v>
      </c>
      <c r="IL27" s="245"/>
      <c r="IM27" s="245" t="e">
        <f t="shared" si="203"/>
        <v>#N/A</v>
      </c>
      <c r="IN27" s="245" t="e">
        <f t="shared" si="204"/>
        <v>#N/A</v>
      </c>
      <c r="IO27" s="245"/>
      <c r="IP27" s="245"/>
      <c r="IQ27" s="245" t="str">
        <f t="shared" si="91"/>
        <v/>
      </c>
      <c r="IR27" s="245" t="str">
        <f>IF(J27="","",VLOOKUP(J27,Worksheet!$R$4:$T$14,2))</f>
        <v/>
      </c>
      <c r="IS27" s="245"/>
      <c r="IT27" s="245">
        <f t="shared" si="92"/>
        <v>0</v>
      </c>
      <c r="IU27" s="245">
        <f t="shared" si="93"/>
        <v>0</v>
      </c>
      <c r="IV27" s="245">
        <f t="shared" si="94"/>
        <v>0</v>
      </c>
      <c r="IW27" s="245">
        <f t="shared" si="95"/>
        <v>0</v>
      </c>
      <c r="IX27" s="245">
        <f t="shared" si="205"/>
        <v>0</v>
      </c>
      <c r="IY27" s="245">
        <f t="shared" si="96"/>
        <v>0</v>
      </c>
      <c r="IZ27" s="245">
        <f t="shared" si="97"/>
        <v>0</v>
      </c>
      <c r="JA27">
        <f t="shared" si="98"/>
        <v>0</v>
      </c>
      <c r="JB27">
        <f t="shared" si="206"/>
        <v>0</v>
      </c>
      <c r="JC27">
        <f t="shared" si="99"/>
        <v>0</v>
      </c>
      <c r="JD27">
        <f t="shared" si="100"/>
        <v>0</v>
      </c>
      <c r="JE27">
        <f t="shared" si="101"/>
        <v>0</v>
      </c>
      <c r="JF27">
        <f t="shared" si="102"/>
        <v>0</v>
      </c>
      <c r="JG27">
        <f t="shared" si="103"/>
        <v>0</v>
      </c>
      <c r="JH27">
        <f t="shared" si="104"/>
        <v>0</v>
      </c>
      <c r="JI27">
        <f t="shared" si="105"/>
        <v>0</v>
      </c>
      <c r="JJ27" s="447">
        <f t="shared" si="106"/>
        <v>0</v>
      </c>
      <c r="JK27" s="447">
        <f t="shared" si="107"/>
        <v>0</v>
      </c>
      <c r="JL27">
        <f t="shared" si="108"/>
        <v>0</v>
      </c>
      <c r="JM27" s="245" t="str">
        <f>IFERROR(VLOOKUP(MATCH(BN27,#REF!,0),#REF!,7),"")</f>
        <v/>
      </c>
      <c r="JN27" t="e">
        <f>HLOOKUP(LEFT(BO27,7),Discharge_Area,MATCH(JO27,LookUps!$B$130:$B$149,1)+2)</f>
        <v>#N/A</v>
      </c>
      <c r="JO27" t="str">
        <f t="shared" si="109"/>
        <v>- S</v>
      </c>
      <c r="JP27" t="e">
        <f>HLOOKUP(LEFT(BO27,7),Discharge_Area,MATCH(JO27,LookUps!$B$130:$B$149,1)+2)</f>
        <v>#N/A</v>
      </c>
      <c r="JQ27" t="e">
        <f t="shared" si="110"/>
        <v>#N/A</v>
      </c>
      <c r="JR27" t="e">
        <f t="shared" si="111"/>
        <v>#N/A</v>
      </c>
      <c r="JS27" t="e">
        <f t="shared" si="112"/>
        <v>#N/A</v>
      </c>
      <c r="JT27" s="532" t="str">
        <f t="shared" si="113"/>
        <v xml:space="preserve"> </v>
      </c>
      <c r="JU27" s="532" t="str">
        <f t="shared" si="114"/>
        <v xml:space="preserve"> </v>
      </c>
      <c r="JV27" s="533" t="str">
        <f t="shared" si="115"/>
        <v xml:space="preserve"> </v>
      </c>
      <c r="JW27" s="534">
        <f t="shared" si="116"/>
        <v>0</v>
      </c>
      <c r="JX27" s="535" t="str">
        <f t="shared" si="207"/>
        <v xml:space="preserve"> </v>
      </c>
      <c r="JY27" s="535" t="str">
        <f t="shared" si="208"/>
        <v xml:space="preserve"> </v>
      </c>
      <c r="JZ27" s="535" t="str">
        <f t="shared" si="209"/>
        <v xml:space="preserve"> </v>
      </c>
      <c r="KA27" s="536" t="str">
        <f t="shared" si="117"/>
        <v xml:space="preserve"> </v>
      </c>
      <c r="KB27" s="535" t="e">
        <f t="shared" si="210"/>
        <v>#VALUE!</v>
      </c>
      <c r="KC27" s="535" t="str">
        <f t="shared" si="118"/>
        <v/>
      </c>
      <c r="KD27" s="537" t="str">
        <f t="shared" si="211"/>
        <v xml:space="preserve"> </v>
      </c>
      <c r="KE27" s="537" t="str">
        <f t="shared" si="212"/>
        <v xml:space="preserve"> </v>
      </c>
      <c r="KF27" s="534">
        <f t="shared" si="119"/>
        <v>0</v>
      </c>
      <c r="KG27" s="535" t="str">
        <f t="shared" si="120"/>
        <v xml:space="preserve"> </v>
      </c>
      <c r="KH27" s="535" t="str">
        <f t="shared" si="121"/>
        <v xml:space="preserve"> </v>
      </c>
      <c r="KI27" s="535" t="str">
        <f t="shared" si="122"/>
        <v xml:space="preserve"> </v>
      </c>
      <c r="KJ27" s="536" t="str">
        <f t="shared" si="123"/>
        <v xml:space="preserve"> </v>
      </c>
      <c r="KK27" s="535" t="str">
        <f t="shared" si="213"/>
        <v xml:space="preserve"> </v>
      </c>
      <c r="KL27" s="535" t="str">
        <f t="shared" si="214"/>
        <v xml:space="preserve"> </v>
      </c>
      <c r="KM27" s="537" t="str">
        <f t="shared" si="124"/>
        <v xml:space="preserve"> </v>
      </c>
      <c r="KN27" s="537" t="str">
        <f t="shared" si="215"/>
        <v xml:space="preserve"> </v>
      </c>
      <c r="KP27">
        <f t="shared" si="125"/>
        <v>0</v>
      </c>
      <c r="LA27" t="e">
        <f t="shared" si="126"/>
        <v>#VALUE!</v>
      </c>
      <c r="LB27" t="e">
        <f t="shared" si="127"/>
        <v>#VALUE!</v>
      </c>
      <c r="LC27" t="e">
        <f t="shared" si="128"/>
        <v>#VALUE!</v>
      </c>
      <c r="LD27" t="e">
        <f t="shared" si="129"/>
        <v>#VALUE!</v>
      </c>
      <c r="LE27" t="e">
        <f t="shared" si="216"/>
        <v>#VALUE!</v>
      </c>
      <c r="LF27">
        <f t="shared" si="130"/>
        <v>0</v>
      </c>
      <c r="LG27" t="e">
        <f t="shared" si="217"/>
        <v>#VALUE!</v>
      </c>
      <c r="LH27" t="str">
        <f t="shared" si="131"/>
        <v xml:space="preserve"> </v>
      </c>
      <c r="LI27">
        <f t="shared" si="218"/>
        <v>1</v>
      </c>
    </row>
    <row r="28" spans="1:321" ht="15" customHeight="1">
      <c r="B28" s="311"/>
      <c r="C28" s="311"/>
      <c r="D28" s="312"/>
      <c r="E28" s="311"/>
      <c r="F28" s="312"/>
      <c r="G28" s="311"/>
      <c r="H28" s="311"/>
      <c r="I28" s="219"/>
      <c r="J28" s="311"/>
      <c r="K28" s="305" t="str">
        <f t="shared" si="132"/>
        <v/>
      </c>
      <c r="L28" s="313"/>
      <c r="M28" s="312"/>
      <c r="N28" s="311"/>
      <c r="O28" s="312"/>
      <c r="P28" s="311"/>
      <c r="Q28" s="305" t="str">
        <f t="shared" si="133"/>
        <v/>
      </c>
      <c r="R28" s="314"/>
      <c r="S28" s="450" t="str">
        <f t="shared" si="0"/>
        <v/>
      </c>
      <c r="T28" s="315"/>
      <c r="U28" s="315"/>
      <c r="W28" s="149" t="str">
        <f t="shared" si="1"/>
        <v xml:space="preserve"> </v>
      </c>
      <c r="X28" s="243" t="str">
        <f t="shared" si="2"/>
        <v xml:space="preserve"> </v>
      </c>
      <c r="Y28" s="150" t="str">
        <f t="shared" si="3"/>
        <v/>
      </c>
      <c r="Z28" s="149" t="str">
        <f t="shared" si="4"/>
        <v xml:space="preserve"> </v>
      </c>
      <c r="AA28" s="98" t="str">
        <f t="shared" si="5"/>
        <v xml:space="preserve"> </v>
      </c>
      <c r="AB28" s="153" t="str">
        <f t="shared" si="6"/>
        <v xml:space="preserve"> </v>
      </c>
      <c r="AC28" s="153" t="str">
        <f t="shared" si="7"/>
        <v xml:space="preserve"> </v>
      </c>
      <c r="AD28" s="148" t="str">
        <f t="shared" si="8"/>
        <v/>
      </c>
      <c r="AE28" s="149" t="str">
        <f t="shared" si="9"/>
        <v/>
      </c>
      <c r="AF28" s="151" t="str">
        <f t="shared" si="10"/>
        <v xml:space="preserve"> </v>
      </c>
      <c r="AG28" s="153" t="str">
        <f t="shared" si="11"/>
        <v xml:space="preserve"> </v>
      </c>
      <c r="AH28" s="98" t="str">
        <f t="shared" si="12"/>
        <v xml:space="preserve"> </v>
      </c>
      <c r="AI28" s="149" t="str">
        <f t="shared" si="13"/>
        <v xml:space="preserve"> </v>
      </c>
      <c r="AK28" s="144" t="str">
        <f t="shared" si="14"/>
        <v xml:space="preserve"> </v>
      </c>
      <c r="AL28" s="144"/>
      <c r="AM28" s="243" t="str">
        <f t="shared" si="15"/>
        <v xml:space="preserve"> </v>
      </c>
      <c r="AN28" s="149" t="str">
        <f t="shared" si="134"/>
        <v xml:space="preserve"> </v>
      </c>
      <c r="AO28" s="144" t="str">
        <f>IF(JB28&gt;0,IF(GI28=10,-R28*1.085*(Calculation!$F$6-Calculation!$F$13)*$S$14," "),"")</f>
        <v/>
      </c>
      <c r="AP28" s="144" t="str">
        <f t="shared" si="16"/>
        <v/>
      </c>
      <c r="AQ28" s="56" t="str">
        <f t="shared" si="17"/>
        <v/>
      </c>
      <c r="AR28" s="144" t="str">
        <f t="shared" si="18"/>
        <v/>
      </c>
      <c r="AS28" s="176" t="str">
        <f t="shared" si="19"/>
        <v/>
      </c>
      <c r="AT28" s="176" t="str">
        <f t="shared" si="135"/>
        <v xml:space="preserve"> </v>
      </c>
      <c r="AU28" s="176" t="str">
        <f t="shared" si="20"/>
        <v/>
      </c>
      <c r="AV28" s="177" t="str">
        <f t="shared" si="21"/>
        <v xml:space="preserve"> </v>
      </c>
      <c r="AW28" s="144" t="str">
        <f t="shared" si="22"/>
        <v xml:space="preserve"> </v>
      </c>
      <c r="AX28" s="144" t="str">
        <f t="shared" si="23"/>
        <v xml:space="preserve"> </v>
      </c>
      <c r="AY28" s="152" t="str">
        <f t="shared" si="24"/>
        <v xml:space="preserve"> </v>
      </c>
      <c r="AZ28" s="246" t="str">
        <f t="shared" si="25"/>
        <v/>
      </c>
      <c r="BA28" s="176" t="str">
        <f t="shared" si="26"/>
        <v xml:space="preserve"> </v>
      </c>
      <c r="BB28" s="176" t="str">
        <f t="shared" si="27"/>
        <v xml:space="preserve"> </v>
      </c>
      <c r="BC28" s="195"/>
      <c r="BD28" s="316"/>
      <c r="BE28" s="317"/>
      <c r="BF28" s="318"/>
      <c r="BG28" s="318"/>
      <c r="BH28" s="144" t="str">
        <f t="shared" si="219"/>
        <v xml:space="preserve"> </v>
      </c>
      <c r="BI28" s="176" t="str">
        <f t="shared" si="28"/>
        <v/>
      </c>
      <c r="BJ28" s="144" t="str">
        <f t="shared" si="220"/>
        <v/>
      </c>
      <c r="BK28" s="246" t="str">
        <f t="shared" si="29"/>
        <v/>
      </c>
      <c r="BL28" s="144" t="str">
        <f t="shared" si="221"/>
        <v/>
      </c>
      <c r="BM28" s="246" t="str">
        <f t="shared" si="30"/>
        <v/>
      </c>
      <c r="BN28" s="337" t="str">
        <f t="shared" si="136"/>
        <v/>
      </c>
      <c r="BO28" s="371" t="str">
        <f t="shared" si="137"/>
        <v/>
      </c>
      <c r="BP28" s="328" t="str">
        <f t="shared" si="222"/>
        <v xml:space="preserve"> </v>
      </c>
      <c r="BQ28" s="347" t="str">
        <f t="shared" si="138"/>
        <v xml:space="preserve"> </v>
      </c>
      <c r="BR28" s="353" t="str">
        <f t="shared" si="223"/>
        <v xml:space="preserve"> </v>
      </c>
      <c r="BS28" s="626" t="str">
        <f>IF(L28&gt;0,IF(Calculation!P28="M13",BR28*3.1416*(0.134^2)/(4*144),IF(Calculation!P28="M17",BR28*3.1416*(0.165^2)/(4*144),IF(Calculation!P28="M20",BR28*3.1416*(0.198^2)/(4*144),IF(Calculation!P28="M23",BR28*3.1416*(0.228^2)/(4*144),IF(Calculation!P28="M27",BR28*3.1416*(0.269^2)/(4*144),BR28*3.1416*(0.307^2)/(4*144))))))," ")</f>
        <v xml:space="preserve"> </v>
      </c>
      <c r="BT28" s="353" t="str">
        <f>IF(L28&gt;0,IF(BS28&gt;0,R28/Calculation!BS28,0)," ")</f>
        <v xml:space="preserve"> </v>
      </c>
      <c r="BU28" s="438" t="e">
        <f t="shared" ca="1" si="31"/>
        <v>#VALUE!</v>
      </c>
      <c r="BV28" s="449" t="e">
        <f ca="1">INDEX(INDIRECT(VLOOKUP(LEFT(BO28,7),CLU!$Z$3:$AH$18,2)),GN28,GR28)</f>
        <v>#N/A</v>
      </c>
      <c r="BW28" s="433" t="e">
        <f ca="1">INDEX(INDIRECT(VLOOKUP(LEFT(BO28,7),CLU!$Z$3:$AH$18,3)),GN28,GR28)</f>
        <v>#N/A</v>
      </c>
      <c r="BX28" s="433" t="e">
        <f ca="1">INDEX(INDIRECT(VLOOKUP(LEFT(BO28,7),CLU!$Z$3:$AH$18,4)),GN28,GR28)</f>
        <v>#N/A</v>
      </c>
      <c r="BY28" s="433" t="e">
        <f ca="1">INDEX(INDIRECT(VLOOKUP(LEFT(BO28,7),CLU!$Z$3:$AH$18,9)),((M28-2)*(6-COUNTBLANK(GT28:GY28)))+GJ28)</f>
        <v>#N/A</v>
      </c>
      <c r="BZ28" s="426" t="e">
        <f t="shared" ca="1" si="139"/>
        <v>#N/A</v>
      </c>
      <c r="CA28" s="424" t="e">
        <f t="shared" ca="1" si="140"/>
        <v>#N/A</v>
      </c>
      <c r="CB28" s="429" t="e">
        <f ca="1">INDEX(INDIRECT(VLOOKUP(LEFT(BO28,7),CLU!$Z$3:$AH$18,2)),GN28,GS28)</f>
        <v>#N/A</v>
      </c>
      <c r="CC28" s="342" t="e">
        <f ca="1">INDEX(INDIRECT(VLOOKUP(LEFT(BO28,7),CLU!$Z$3:$AH$18,3)),GN28,GS28)</f>
        <v>#N/A</v>
      </c>
      <c r="CD28" s="342" t="e">
        <f ca="1">INDEX(INDIRECT(VLOOKUP(LEFT(BO28,7),CLU!$Z$3:$AH$18,4)),GN28,GS28)</f>
        <v>#N/A</v>
      </c>
      <c r="CE28" s="426" t="e">
        <f t="shared" ca="1" si="141"/>
        <v>#N/A</v>
      </c>
      <c r="CF28" s="440">
        <f t="shared" si="142"/>
        <v>0</v>
      </c>
      <c r="CG28" s="431" t="e">
        <f ca="1">INDEX(INDIRECT(VLOOKUP(LEFT(BO28,7),CLU!$Z$3:$AH$18,2)),GQ28,GR28)</f>
        <v>#N/A</v>
      </c>
      <c r="CH28" s="431" t="e">
        <f ca="1">INDEX(INDIRECT(VLOOKUP(LEFT(BO28,7),CLU!$Z$3:$AH$18,3)),GQ28,GR28)</f>
        <v>#N/A</v>
      </c>
      <c r="CI28" s="431" t="e">
        <f ca="1">INDEX(INDIRECT(VLOOKUP(LEFT(BO28,7),CLU!$Z$3:$AH$18,4)),GQ28,GR28)</f>
        <v>#N/A</v>
      </c>
      <c r="CJ28" s="448" t="e">
        <f t="shared" ca="1" si="143"/>
        <v>#N/A</v>
      </c>
      <c r="CK28" s="431" t="e">
        <f t="shared" ca="1" si="144"/>
        <v>#N/A</v>
      </c>
      <c r="CL28" s="440" t="e">
        <f t="shared" ca="1" si="145"/>
        <v>#N/A</v>
      </c>
      <c r="CM28" s="431" t="e">
        <f ca="1">INDEX(INDIRECT(VLOOKUP(LEFT(BO28,7),CLU!$Z$3:$AH$18,2)),GQ28,GS28)</f>
        <v>#N/A</v>
      </c>
      <c r="CN28" s="431" t="e">
        <f ca="1">INDEX(INDIRECT(VLOOKUP(LEFT(BO28,7),CLU!$Z$3:$AH$18,3)),GQ28,GS28)</f>
        <v>#N/A</v>
      </c>
      <c r="CO28" s="431" t="e">
        <f ca="1">INDEX(INDIRECT(VLOOKUP(LEFT(BO28,7),CLU!$Z$3:$AH$18,4)),GQ28,GS28)</f>
        <v>#N/A</v>
      </c>
      <c r="CP28" s="431" t="e">
        <f t="shared" ca="1" si="146"/>
        <v>#N/A</v>
      </c>
      <c r="CQ28" s="440">
        <f t="shared" si="147"/>
        <v>0</v>
      </c>
      <c r="CR28" s="51" t="e">
        <f t="shared" ca="1" si="148"/>
        <v>#N/A</v>
      </c>
      <c r="CS28" s="439" t="e">
        <f t="shared" ca="1" si="149"/>
        <v>#VALUE!</v>
      </c>
      <c r="CT28" s="51" t="e">
        <f t="shared" ca="1" si="150"/>
        <v>#VALUE!</v>
      </c>
      <c r="CU28" s="10"/>
      <c r="CV28" s="51" t="e">
        <f t="shared" ca="1" si="34"/>
        <v>#VALUE!</v>
      </c>
      <c r="CW28" s="51">
        <f t="shared" si="151"/>
        <v>0</v>
      </c>
      <c r="CX28" s="439" t="e">
        <f t="shared" ca="1" si="152"/>
        <v>#VALUE!</v>
      </c>
      <c r="CY28" s="51" t="e">
        <f t="shared" ca="1" si="153"/>
        <v>#VALUE!</v>
      </c>
      <c r="CZ28" s="10"/>
      <c r="DA28" s="51" t="e">
        <f t="shared" ca="1" si="154"/>
        <v>#VALUE!</v>
      </c>
      <c r="DB28" s="347" t="e">
        <f ca="1">INDEX(INDIRECT(VLOOKUP(LEFT(BO28,7),CLU!$Z$3:$AI$18,10)),((M28-2)*(6-COUNTBLANK(GT28:GY28)))+GJ28)*LI28</f>
        <v>#N/A</v>
      </c>
      <c r="DC28" s="347" t="str">
        <f>IF(L28&gt;0,((R28/Worksheet!$I$15)/DB28)^2," ")</f>
        <v xml:space="preserve"> </v>
      </c>
      <c r="DD28" s="602" t="str">
        <f t="shared" si="224"/>
        <v xml:space="preserve"> </v>
      </c>
      <c r="DE28" s="347" t="str">
        <f t="shared" si="35"/>
        <v xml:space="preserve"> </v>
      </c>
      <c r="DF28" s="356" t="e">
        <f ca="1">INDEX(INDIRECT(VLOOKUP(LEFT(BO28,7),CLU!$Z$3:$AH$18,8)),((M28-2)*(6-COUNTBLANK(GT28:GY28)))+GJ28)</f>
        <v>#N/A</v>
      </c>
      <c r="DG28" s="347" t="str">
        <f t="shared" si="36"/>
        <v xml:space="preserve"> </v>
      </c>
      <c r="DH28" s="357" t="str">
        <f t="shared" si="37"/>
        <v xml:space="preserve"> </v>
      </c>
      <c r="DI28" s="355" t="str">
        <f t="shared" si="38"/>
        <v xml:space="preserve"> </v>
      </c>
      <c r="DJ28" s="245" t="e">
        <f ca="1">INDEX(INDIRECT(VLOOKUP(LEFT(BO28,7),CLU!$Z$3:$AH$18,5)),GL28,GK28)</f>
        <v>#N/A</v>
      </c>
      <c r="DK28" s="245" t="e">
        <f ca="1">INDEX(INDIRECT(VLOOKUP(LEFT(BO28,7),CLU!$Z$3:$AH$18,6)),GL28,GK28)</f>
        <v>#N/A</v>
      </c>
      <c r="DL28" s="355">
        <f>(Calculation!R28*0.69143*(Calculation!$BQ$8-Calculation!$F$8))*$S$14</f>
        <v>0</v>
      </c>
      <c r="DM28" s="359" t="e">
        <f t="shared" si="160"/>
        <v>#VALUE!</v>
      </c>
      <c r="DN28" s="611">
        <f t="shared" si="161"/>
        <v>0</v>
      </c>
      <c r="DO28" s="359">
        <f t="shared" si="162"/>
        <v>100</v>
      </c>
      <c r="DP28" s="359">
        <f t="shared" si="163"/>
        <v>0</v>
      </c>
      <c r="DQ28" s="360"/>
      <c r="DR28" s="245" t="e">
        <f ca="1">INDEX(INDIRECT(VLOOKUP(LEFT(BO28,7),CLU!$Z$3:$AH$18,7)),M28-1,1)</f>
        <v>#N/A</v>
      </c>
      <c r="DS28" s="245" t="e">
        <f ca="1">INDEX(INDIRECT(VLOOKUP(LEFT(BO28,7),CLU!$Z$3:$AH$18,7)),M28-1,2)</f>
        <v>#N/A</v>
      </c>
      <c r="DT28" s="245" t="e">
        <f ca="1">INDEX(INDIRECT(VLOOKUP(LEFT(BO28,7),CLU!$Z$3:$AH$18,7)),M28-1,3)</f>
        <v>#N/A</v>
      </c>
      <c r="DU28" s="245" t="e">
        <f ca="1">INDEX(INDIRECT(VLOOKUP(LEFT(BO28,7),CLU!$Z$3:$AH$18,7)),M28-1,4)</f>
        <v>#N/A</v>
      </c>
      <c r="DV28" s="361" t="e">
        <f ca="1">INDEX(INDIRECT(VLOOKUP(LEFT(BO28,7),CLU!$Z$3:$AH$18,7)),M28-1,4+LEFT(DZ28,1)*0.5)</f>
        <v>#N/A</v>
      </c>
      <c r="DW28" s="245" t="e">
        <f ca="1">INDEX(INDIRECT(VLOOKUP(LEFT(BO28,7),CLU!$Z$3:$AH$18,7)),M28-1,8)</f>
        <v>#N/A</v>
      </c>
      <c r="DX28" s="361" t="str">
        <f t="shared" si="39"/>
        <v xml:space="preserve"> </v>
      </c>
      <c r="DY28" s="361" t="str">
        <f t="shared" si="40"/>
        <v xml:space="preserve"> </v>
      </c>
      <c r="DZ28" s="361" t="str">
        <f t="shared" si="41"/>
        <v xml:space="preserve"> </v>
      </c>
      <c r="EA28" s="362" t="str">
        <f t="shared" si="42"/>
        <v xml:space="preserve"> </v>
      </c>
      <c r="EB28" s="624" t="str">
        <f t="shared" si="168"/>
        <v xml:space="preserve"> </v>
      </c>
      <c r="EC28" s="361" t="e">
        <f ca="1">INDEX(INDIRECT(VLOOKUP(LEFT(BO28,7),CLU!$Z$3:$AH$18,7)),M28-1,4+LEFT(DZ28,1)*0.5)</f>
        <v>#N/A</v>
      </c>
      <c r="ED28" s="362" t="str">
        <f t="shared" si="43"/>
        <v xml:space="preserve"> </v>
      </c>
      <c r="EE28" s="361" t="str">
        <f t="shared" si="44"/>
        <v xml:space="preserve"> </v>
      </c>
      <c r="EF28" s="362" t="str">
        <f>IF(L28&gt;0,IF(BR28&gt;0,IF(EE28="2P",IF(Calculation!DZ28="2P",IF(Calculation!DS28=13.75,IF(Calculation!DR28=13,Worksheet!$BD$43,IF(Calculation!DR28=37,Worksheet!$BD$44,Worksheet!$BD$45)),IF(Calculation!DS28=10,IF(Calculation!DR28=18,Worksheet!$BD$29,IF(Calculation!DR28=30,Worksheet!$BD$30,IF(Calculation!DR28=42,Worksheet!$BD$31,IF(Calculation!DR28=54,Worksheet!$BD$32,IF(Calculation!DR28=66,Worksheet!$BD$33,IF(Calculation!DR28=78,Worksheet!$BD$34,IF(Calculation!DR28=90,Worksheet!$BD$35,IF(Calculation!DR28=102,Worksheet!$BD$36,Worksheet!$BD$37)))))))),IF(Calculation!DS28=12.5,IF(Calculation!DR28=18,Worksheet!$BD$38,IF(Calculation!DR28=Worksheet!$BD$39,IF(Calculation!DR28=42,Worksheet!$BD$40,IF(Calculation!DR28=54,Worksheet!$BD$41,Worksheet!$BD$42)))),IF(Calculation!DR28=18,Worksheet!$BD$11,IF(Calculation!DR28=30,Worksheet!$BD$12,IF(Calculation!DR28=42,Worksheet!$BD$13,IF(Calculation!DR28=54,Worksheet!$BD$14,IF(Calculation!DR28=66,Worksheet!$BD$15,IF(Calculation!DR28=78,Worksheet!$BD$16,IF(Calculation!DR28=90,Worksheet!$BD$17,IF(Calculation!DR28=102,Worksheet!$BD$18,Worksheet!$BD$19))))))))))),IF(Calculation!DS28=13.75,IF(Calculation!DR28=13,Worksheet!$BD$78,IF(Calculation!DR28=37,Worksheet!$BD$79,Worksheet!$BD$80)),IF(Calculation!DS28=10,IF(Calculation!DR28=18,Worksheet!$BD$64,IF(Calculation!DR28=30,Worksheet!$BD$65,IF(Calculation!DR28=42,Worksheet!$BD$66,IF(Calculation!DR28=54,Worksheet!$BD$68,IF(Calculation!DR28=66,Worksheet!$BD$68,IF(Calculation!DR28=78,Worksheet!$BD$69,IF(Calculation!DR28=90,Worksheet!$BD$70,IF(Calculation!DR28=102,Worksheet!$BD$71,Worksheet!$BD$72)))))))),IF(Calculation!DS28=12.5,IF(Calculation!DR28=18,Worksheet!$BD$73,IF(Calculation!DR28=Worksheet!$BD$74,IF(Calculation!DR28=42,Worksheet!$BD$75,IF(Calculation!DR28=54,Worksheet!$BD$76,Worksheet!$BD$77)))),IF(Calculation!DR28=18,Worksheet!$BD$55,IF(Calculation!DR28=30,Worksheet!$BD$56,IF(Calculation!DR28=42,Worksheet!$BD$57,IF(Calculation!DR28=54,Worksheet!$BD$58,IF(Calculation!DR28=66,Worksheet!$BD$59,IF(Calculation!DR28=78,Worksheet!$BD$60,IF(Calculation!DR28=90,Worksheet!$BD$61,IF(Calculation!DR28=102,Worksheet!$BD$62,Worksheet!$BD$63)))))))))))),5),0)," ")</f>
        <v xml:space="preserve"> </v>
      </c>
      <c r="EG28" s="361" t="str">
        <f t="shared" si="45"/>
        <v xml:space="preserve"> </v>
      </c>
      <c r="EH28" s="361" t="e">
        <f ca="1">INDEX(INDIRECT(VLOOKUP(LEFT(BO28,7),CLU!$Z$3:$AH$18,7)),M28-1,3+LEFT(DZ28,1))</f>
        <v>#N/A</v>
      </c>
      <c r="EI28" s="362" t="str">
        <f t="shared" si="46"/>
        <v xml:space="preserve"> </v>
      </c>
      <c r="EJ28" s="363" t="str">
        <f t="shared" si="47"/>
        <v xml:space="preserve"> </v>
      </c>
      <c r="EK28" s="363" t="str">
        <f t="shared" si="48"/>
        <v xml:space="preserve"> </v>
      </c>
      <c r="EL28" s="363" t="str">
        <f t="shared" si="49"/>
        <v xml:space="preserve"> </v>
      </c>
      <c r="EM28" s="362" t="str">
        <f>IF(L28&gt;0,IF(BR28&gt;0,(Calculation!T28/ED28)^2,0)," ")</f>
        <v xml:space="preserve"> </v>
      </c>
      <c r="EN28" s="362" t="str">
        <f>IF(L28&gt;0,IF(O28="2 Pipe (Cooling)","N/A",IF(BR28&gt;0,(Calculation!U28/EI28)^2,0))," ")</f>
        <v xml:space="preserve"> </v>
      </c>
      <c r="EO28" s="361" t="str">
        <f t="shared" si="50"/>
        <v/>
      </c>
      <c r="EP28" s="361" t="str">
        <f t="shared" si="51"/>
        <v/>
      </c>
      <c r="EQ28" s="361" t="str">
        <f t="shared" si="52"/>
        <v/>
      </c>
      <c r="ER28" s="361" t="str">
        <f t="shared" si="53"/>
        <v/>
      </c>
      <c r="ES28" s="361" t="str">
        <f t="shared" si="54"/>
        <v/>
      </c>
      <c r="ET28" s="361" t="str">
        <f t="shared" si="55"/>
        <v/>
      </c>
      <c r="EU28" s="361" t="str">
        <f t="shared" si="56"/>
        <v/>
      </c>
      <c r="EV28" s="361" t="str">
        <f t="shared" si="57"/>
        <v/>
      </c>
      <c r="EW28" s="361" t="str">
        <f t="shared" si="58"/>
        <v/>
      </c>
      <c r="EX28" s="361" t="str">
        <f t="shared" si="169"/>
        <v>1 slot, 1 way</v>
      </c>
      <c r="EY28" s="361" t="str">
        <f t="shared" si="170"/>
        <v xml:space="preserve"> </v>
      </c>
      <c r="EZ28" s="361" t="str">
        <f t="shared" si="171"/>
        <v xml:space="preserve"> </v>
      </c>
      <c r="FA28" s="361" t="str">
        <f t="shared" si="172"/>
        <v xml:space="preserve"> </v>
      </c>
      <c r="FB28" s="361" t="str">
        <f t="shared" si="173"/>
        <v xml:space="preserve"> </v>
      </c>
      <c r="FC28" s="361"/>
      <c r="FD28" s="361" t="str">
        <f>IF(J28&gt;0,IF(Calculation!R28&lt;=70,4,IF(Calculation!R28&lt;=110,5,IF(Calculation!R28&lt;=160,6,IF(Calculation!R28&lt;=300,8,"10 EO")))),"")</f>
        <v/>
      </c>
      <c r="FE28" s="361" t="str">
        <f t="shared" si="174"/>
        <v/>
      </c>
      <c r="FF28" s="361" t="str">
        <f t="shared" si="175"/>
        <v/>
      </c>
      <c r="FG28" s="361" t="e">
        <f t="shared" si="60"/>
        <v>#N/A</v>
      </c>
      <c r="FH28" s="361">
        <f t="shared" si="61"/>
        <v>0</v>
      </c>
      <c r="FI28" s="361" t="e">
        <f t="shared" si="62"/>
        <v>#DIV/0!</v>
      </c>
      <c r="FJ28" s="361"/>
      <c r="FK28" s="356" t="e">
        <f t="shared" si="63"/>
        <v>#VALUE!</v>
      </c>
      <c r="FL28" s="361"/>
      <c r="FM28" s="361"/>
      <c r="FN28" s="362" t="str">
        <f t="shared" si="176"/>
        <v xml:space="preserve"> </v>
      </c>
      <c r="FO28" s="362" t="str">
        <f t="shared" si="177"/>
        <v xml:space="preserve"> </v>
      </c>
      <c r="FP28" s="362">
        <f t="shared" si="178"/>
        <v>0</v>
      </c>
      <c r="FQ28" s="361">
        <f t="shared" si="64"/>
        <v>0</v>
      </c>
      <c r="FR28" s="362" t="str">
        <f>IF(L28&gt;0,IF(J28="CBAL2",Worksheet!$P$67,IF(J28="CBE2-24",Worksheet!$Q$67,IF(J28="CBAM",Worksheet!$R$67,IF(J28="CBLV",Worksheet!$S$67,IF(J28="CBAB",Worksheet!$U$67,IF(J28="CBAW",Worksheet!$X$67,IF(J28="CBE2-12",Worksheet!$Y$67,IF(J28="CBAL2",Worksheet!$Z$67,"N/A"))))))))," ")</f>
        <v xml:space="preserve"> </v>
      </c>
      <c r="FS28" s="362" t="str">
        <f>IF(L28&gt;0,IF(J28="CBAL2",Worksheet!$P$68,IF(J28="CBE2-24",Worksheet!$Q$68,IF(J28="CBAM",Worksheet!$R$68,IF(J28="CBLV",Worksheet!$S$68,IF(J28="CBAB",Worksheet!$U$68,IF(J28="CBAW",Worksheet!$X$68,IF(J28="CBE2-12",Worksheet!$Y$68,IF(J28="CBAL2",Worksheet!$Z$68,"N/A"))))))))," ")</f>
        <v xml:space="preserve"> </v>
      </c>
      <c r="FT28" s="362" t="str">
        <f>IF(L28&gt;0,IF(J28="CBAL2",Worksheet!$P$69,IF(J28="CBE2-24",Worksheet!$Q$69,IF(J28="CBAM",Worksheet!$R$69,IF(J28="CBLV",Worksheet!$S$69,IF(J28="CBAB",Worksheet!$U$69,IF(J28="CBAW",Worksheet!$X$69,IF(J28="CBE2-12",Worksheet!$Y$69,IF(J28="CBAL2",Worksheet!$Z$69,"N/A"))))))))," ")</f>
        <v xml:space="preserve"> </v>
      </c>
      <c r="FU28" s="361" t="str">
        <f t="shared" si="179"/>
        <v xml:space="preserve"> </v>
      </c>
      <c r="FV28" s="362" t="str">
        <f t="shared" si="180"/>
        <v xml:space="preserve"> </v>
      </c>
      <c r="FW28" s="362" t="str">
        <f t="shared" si="181"/>
        <v xml:space="preserve"> </v>
      </c>
      <c r="FX28" s="362" t="str">
        <f t="shared" si="182"/>
        <v xml:space="preserve"> </v>
      </c>
      <c r="FY28" s="355" t="str">
        <f t="shared" si="183"/>
        <v xml:space="preserve"> </v>
      </c>
      <c r="FZ28" s="361" t="str">
        <f t="shared" si="184"/>
        <v xml:space="preserve"> </v>
      </c>
      <c r="GA28" s="347" t="str">
        <f t="shared" si="185"/>
        <v xml:space="preserve"> </v>
      </c>
      <c r="GB28" s="355" t="str">
        <f t="shared" si="186"/>
        <v xml:space="preserve"> </v>
      </c>
      <c r="GC28" s="328" t="str">
        <f t="shared" si="187"/>
        <v xml:space="preserve"> </v>
      </c>
      <c r="GD28" s="361" t="str">
        <f t="shared" si="188"/>
        <v xml:space="preserve"> </v>
      </c>
      <c r="GE28" s="347" t="str">
        <f t="shared" si="189"/>
        <v xml:space="preserve"> </v>
      </c>
      <c r="GF28" s="361" t="str">
        <f t="shared" si="190"/>
        <v xml:space="preserve"> </v>
      </c>
      <c r="GG28" s="347" t="str">
        <f t="shared" si="191"/>
        <v xml:space="preserve"> </v>
      </c>
      <c r="GH28" s="364">
        <f t="shared" si="78"/>
        <v>0</v>
      </c>
      <c r="GI28" s="362">
        <f t="shared" si="192"/>
        <v>2</v>
      </c>
      <c r="GJ28" s="433" t="e">
        <f>IF(6-COUNTBLANK(GT28:GY28)=4,MATCH(MID(BO28,9,3),CLU!$H$16:$K$16),MATCH(MID(BO28,9,3),CLU!$H$13:$M$13))</f>
        <v>#N/A</v>
      </c>
      <c r="GK28" s="433" t="e">
        <f>HLOOKUP(VALUE(BP28),CLU!$H$9:$M$10,2)</f>
        <v>#VALUE!</v>
      </c>
      <c r="GL28" s="433" t="e">
        <f ca="1">MATCH(BU28,CLU!$H$2:$V$2,1)</f>
        <v>#VALUE!</v>
      </c>
      <c r="GM28" s="433" t="e">
        <f t="shared" ca="1" si="193"/>
        <v>#VALUE!</v>
      </c>
      <c r="GN28" s="433" t="e">
        <f t="shared" ca="1" si="194"/>
        <v>#VALUE!</v>
      </c>
      <c r="GO28" s="433" t="e">
        <f t="shared" ca="1" si="195"/>
        <v>#VALUE!</v>
      </c>
      <c r="GP28" s="433" t="e">
        <f t="shared" ca="1" si="196"/>
        <v>#VALUE!</v>
      </c>
      <c r="GQ28" s="433" t="e">
        <f t="shared" ca="1" si="197"/>
        <v>#VALUE!</v>
      </c>
      <c r="GR28" s="433" t="e">
        <f ca="1">MATCH(T28,INDIRECT(VLOOKUP(CONCATENATE(LEFT(BO28,7),"-",MID(BO28,13,1)),CLU!$P$3:$Q$16,2)),1)</f>
        <v>#N/A</v>
      </c>
      <c r="GS28" s="433" t="e">
        <f ca="1">MATCH(U28,INDIRECT(VLOOKUP(CONCATENATE(LEFT(BO28,7),"-",MID(BO28,13,1)),CLU!$P$3:$Q$16,2)),1)</f>
        <v>#N/A</v>
      </c>
      <c r="GT28" s="347" t="s">
        <v>512</v>
      </c>
      <c r="GU28" s="97" t="s">
        <v>513</v>
      </c>
      <c r="GV28" s="97" t="str">
        <f t="shared" si="198"/>
        <v>M23</v>
      </c>
      <c r="GW28" s="97" t="str">
        <f t="shared" si="199"/>
        <v>M31</v>
      </c>
      <c r="GX28" s="97" t="str">
        <f t="shared" si="200"/>
        <v/>
      </c>
      <c r="GY28" s="97" t="str">
        <f t="shared" si="201"/>
        <v/>
      </c>
      <c r="GZ28" s="481"/>
      <c r="HA28" s="288"/>
      <c r="HB28" s="240"/>
      <c r="HC28" s="240"/>
      <c r="HD28" s="240"/>
      <c r="HE28" s="240"/>
      <c r="HF28" s="240"/>
      <c r="HG28" s="240"/>
      <c r="HH28" s="240"/>
      <c r="HI28" s="240"/>
      <c r="HJ28" s="240"/>
      <c r="HK28" s="240"/>
      <c r="HL28" s="240"/>
      <c r="HM28" s="240"/>
      <c r="HN28" s="240"/>
      <c r="HO28" s="240"/>
      <c r="HP28" s="240"/>
      <c r="HQ28" s="240"/>
      <c r="HR28" s="240"/>
      <c r="HS28" s="240"/>
      <c r="HT28" s="240"/>
      <c r="HU28" s="240"/>
      <c r="HV28" s="245"/>
      <c r="HW28" s="245" t="b">
        <v>1</v>
      </c>
      <c r="HX28" s="245" t="str">
        <f t="shared" si="79"/>
        <v/>
      </c>
      <c r="HY28" s="245" t="e">
        <f t="shared" si="80"/>
        <v>#DIV/0!</v>
      </c>
      <c r="HZ28" s="245" t="e">
        <f t="shared" si="81"/>
        <v>#DIV/0!</v>
      </c>
      <c r="IA28" s="245">
        <f t="shared" si="82"/>
        <v>0</v>
      </c>
      <c r="IB28" s="245"/>
      <c r="IC28" t="b">
        <f t="shared" si="83"/>
        <v>1</v>
      </c>
      <c r="ID28" s="245" t="b">
        <f t="shared" si="84"/>
        <v>1</v>
      </c>
      <c r="IE28" s="245" t="b">
        <f t="shared" si="85"/>
        <v>1</v>
      </c>
      <c r="IF28" s="245" t="b">
        <f t="shared" si="86"/>
        <v>0</v>
      </c>
      <c r="IG28" s="245" t="b">
        <f t="shared" si="87"/>
        <v>1</v>
      </c>
      <c r="IH28" s="245" t="b">
        <f t="shared" si="88"/>
        <v>1</v>
      </c>
      <c r="II28" s="245">
        <f t="shared" si="202"/>
        <v>0</v>
      </c>
      <c r="IJ28" s="245" t="e">
        <f t="shared" si="89"/>
        <v>#VALUE!</v>
      </c>
      <c r="IK28" s="245" t="e">
        <f t="shared" si="90"/>
        <v>#VALUE!</v>
      </c>
      <c r="IL28" s="245"/>
      <c r="IM28" s="245" t="e">
        <f t="shared" si="203"/>
        <v>#N/A</v>
      </c>
      <c r="IN28" s="245" t="e">
        <f t="shared" si="204"/>
        <v>#N/A</v>
      </c>
      <c r="IO28" s="245"/>
      <c r="IP28" s="245"/>
      <c r="IQ28" s="245" t="str">
        <f t="shared" si="91"/>
        <v/>
      </c>
      <c r="IR28" s="245" t="str">
        <f>IF(J28="","",VLOOKUP(J28,Worksheet!$R$4:$T$14,2))</f>
        <v/>
      </c>
      <c r="IS28" s="245"/>
      <c r="IT28" s="245">
        <f t="shared" si="92"/>
        <v>0</v>
      </c>
      <c r="IU28" s="245">
        <f t="shared" si="93"/>
        <v>0</v>
      </c>
      <c r="IV28" s="245">
        <f t="shared" si="94"/>
        <v>0</v>
      </c>
      <c r="IW28" s="245">
        <f t="shared" si="95"/>
        <v>0</v>
      </c>
      <c r="IX28" s="245">
        <f t="shared" si="205"/>
        <v>0</v>
      </c>
      <c r="IY28" s="245">
        <f t="shared" si="96"/>
        <v>0</v>
      </c>
      <c r="IZ28" s="245">
        <f t="shared" si="97"/>
        <v>0</v>
      </c>
      <c r="JA28">
        <f t="shared" si="98"/>
        <v>0</v>
      </c>
      <c r="JB28">
        <f t="shared" si="206"/>
        <v>0</v>
      </c>
      <c r="JC28">
        <f t="shared" si="99"/>
        <v>0</v>
      </c>
      <c r="JD28">
        <f t="shared" si="100"/>
        <v>0</v>
      </c>
      <c r="JE28">
        <f t="shared" si="101"/>
        <v>0</v>
      </c>
      <c r="JF28">
        <f t="shared" si="102"/>
        <v>0</v>
      </c>
      <c r="JG28">
        <f t="shared" si="103"/>
        <v>0</v>
      </c>
      <c r="JH28">
        <f t="shared" si="104"/>
        <v>0</v>
      </c>
      <c r="JI28">
        <f t="shared" si="105"/>
        <v>0</v>
      </c>
      <c r="JJ28" s="447">
        <f t="shared" si="106"/>
        <v>0</v>
      </c>
      <c r="JK28" s="447">
        <f t="shared" si="107"/>
        <v>0</v>
      </c>
      <c r="JL28">
        <f t="shared" si="108"/>
        <v>0</v>
      </c>
      <c r="JM28" s="245" t="str">
        <f>IFERROR(VLOOKUP(MATCH(BN28,#REF!,0),#REF!,7),"")</f>
        <v/>
      </c>
      <c r="JN28" t="e">
        <f>HLOOKUP(LEFT(BO28,7),Discharge_Area,MATCH(JO28,LookUps!$B$130:$B$149,1)+2)</f>
        <v>#N/A</v>
      </c>
      <c r="JO28" t="str">
        <f t="shared" si="109"/>
        <v>- S</v>
      </c>
      <c r="JP28" t="e">
        <f>HLOOKUP(LEFT(BO28,7),Discharge_Area,MATCH(JO28,LookUps!$B$130:$B$149,1)+2)</f>
        <v>#N/A</v>
      </c>
      <c r="JQ28" t="e">
        <f t="shared" si="110"/>
        <v>#N/A</v>
      </c>
      <c r="JR28" t="e">
        <f t="shared" si="111"/>
        <v>#N/A</v>
      </c>
      <c r="JS28" t="e">
        <f t="shared" si="112"/>
        <v>#N/A</v>
      </c>
      <c r="JT28" s="532" t="str">
        <f t="shared" si="113"/>
        <v xml:space="preserve"> </v>
      </c>
      <c r="JU28" s="532" t="str">
        <f t="shared" si="114"/>
        <v xml:space="preserve"> </v>
      </c>
      <c r="JV28" s="533" t="str">
        <f t="shared" si="115"/>
        <v xml:space="preserve"> </v>
      </c>
      <c r="JW28" s="534">
        <f t="shared" si="116"/>
        <v>0</v>
      </c>
      <c r="JX28" s="535" t="str">
        <f t="shared" si="207"/>
        <v xml:space="preserve"> </v>
      </c>
      <c r="JY28" s="535" t="str">
        <f t="shared" si="208"/>
        <v xml:space="preserve"> </v>
      </c>
      <c r="JZ28" s="535" t="str">
        <f t="shared" si="209"/>
        <v xml:space="preserve"> </v>
      </c>
      <c r="KA28" s="536" t="str">
        <f t="shared" si="117"/>
        <v xml:space="preserve"> </v>
      </c>
      <c r="KB28" s="535" t="e">
        <f t="shared" si="210"/>
        <v>#VALUE!</v>
      </c>
      <c r="KC28" s="535" t="str">
        <f t="shared" si="118"/>
        <v/>
      </c>
      <c r="KD28" s="537" t="str">
        <f t="shared" si="211"/>
        <v xml:space="preserve"> </v>
      </c>
      <c r="KE28" s="537" t="str">
        <f t="shared" si="212"/>
        <v xml:space="preserve"> </v>
      </c>
      <c r="KF28" s="534">
        <f t="shared" si="119"/>
        <v>0</v>
      </c>
      <c r="KG28" s="535" t="str">
        <f t="shared" si="120"/>
        <v xml:space="preserve"> </v>
      </c>
      <c r="KH28" s="535" t="str">
        <f t="shared" si="121"/>
        <v xml:space="preserve"> </v>
      </c>
      <c r="KI28" s="535" t="str">
        <f t="shared" si="122"/>
        <v xml:space="preserve"> </v>
      </c>
      <c r="KJ28" s="536" t="str">
        <f t="shared" si="123"/>
        <v xml:space="preserve"> </v>
      </c>
      <c r="KK28" s="535" t="str">
        <f t="shared" si="213"/>
        <v xml:space="preserve"> </v>
      </c>
      <c r="KL28" s="535" t="str">
        <f t="shared" si="214"/>
        <v xml:space="preserve"> </v>
      </c>
      <c r="KM28" s="537" t="str">
        <f t="shared" si="124"/>
        <v xml:space="preserve"> </v>
      </c>
      <c r="KN28" s="537" t="str">
        <f t="shared" si="215"/>
        <v xml:space="preserve"> </v>
      </c>
      <c r="KP28">
        <f t="shared" si="125"/>
        <v>0</v>
      </c>
      <c r="LA28" t="e">
        <f t="shared" si="126"/>
        <v>#VALUE!</v>
      </c>
      <c r="LB28" t="e">
        <f t="shared" si="127"/>
        <v>#VALUE!</v>
      </c>
      <c r="LC28" t="e">
        <f t="shared" si="128"/>
        <v>#VALUE!</v>
      </c>
      <c r="LD28" t="e">
        <f t="shared" si="129"/>
        <v>#VALUE!</v>
      </c>
      <c r="LE28" t="e">
        <f t="shared" si="216"/>
        <v>#VALUE!</v>
      </c>
      <c r="LF28">
        <f t="shared" si="130"/>
        <v>0</v>
      </c>
      <c r="LG28" t="e">
        <f t="shared" si="217"/>
        <v>#VALUE!</v>
      </c>
      <c r="LH28" t="str">
        <f t="shared" si="131"/>
        <v xml:space="preserve"> </v>
      </c>
      <c r="LI28">
        <f t="shared" si="218"/>
        <v>1</v>
      </c>
    </row>
    <row r="29" spans="1:321" ht="15" customHeight="1">
      <c r="B29" s="311"/>
      <c r="C29" s="311"/>
      <c r="D29" s="312"/>
      <c r="E29" s="311"/>
      <c r="F29" s="312"/>
      <c r="G29" s="311"/>
      <c r="H29" s="311"/>
      <c r="I29" s="219"/>
      <c r="J29" s="311"/>
      <c r="K29" s="305" t="str">
        <f t="shared" si="132"/>
        <v/>
      </c>
      <c r="L29" s="313"/>
      <c r="M29" s="312"/>
      <c r="N29" s="311"/>
      <c r="O29" s="312"/>
      <c r="P29" s="311"/>
      <c r="Q29" s="305" t="str">
        <f t="shared" si="133"/>
        <v/>
      </c>
      <c r="R29" s="314"/>
      <c r="S29" s="450" t="str">
        <f t="shared" si="0"/>
        <v/>
      </c>
      <c r="T29" s="315"/>
      <c r="U29" s="315"/>
      <c r="W29" s="149" t="str">
        <f t="shared" si="1"/>
        <v xml:space="preserve"> </v>
      </c>
      <c r="X29" s="243" t="str">
        <f t="shared" si="2"/>
        <v xml:space="preserve"> </v>
      </c>
      <c r="Y29" s="150" t="str">
        <f t="shared" si="3"/>
        <v/>
      </c>
      <c r="Z29" s="149" t="str">
        <f t="shared" si="4"/>
        <v xml:space="preserve"> </v>
      </c>
      <c r="AA29" s="98" t="str">
        <f t="shared" si="5"/>
        <v xml:space="preserve"> </v>
      </c>
      <c r="AB29" s="153" t="str">
        <f t="shared" si="6"/>
        <v xml:space="preserve"> </v>
      </c>
      <c r="AC29" s="153" t="str">
        <f t="shared" si="7"/>
        <v xml:space="preserve"> </v>
      </c>
      <c r="AD29" s="148" t="str">
        <f t="shared" si="8"/>
        <v/>
      </c>
      <c r="AE29" s="149" t="str">
        <f t="shared" si="9"/>
        <v/>
      </c>
      <c r="AF29" s="151" t="str">
        <f t="shared" si="10"/>
        <v xml:space="preserve"> </v>
      </c>
      <c r="AG29" s="153" t="str">
        <f t="shared" si="11"/>
        <v xml:space="preserve"> </v>
      </c>
      <c r="AH29" s="98" t="str">
        <f t="shared" si="12"/>
        <v xml:space="preserve"> </v>
      </c>
      <c r="AI29" s="149" t="str">
        <f t="shared" si="13"/>
        <v xml:space="preserve"> </v>
      </c>
      <c r="AK29" s="144" t="str">
        <f t="shared" si="14"/>
        <v xml:space="preserve"> </v>
      </c>
      <c r="AL29" s="144"/>
      <c r="AM29" s="243" t="str">
        <f t="shared" si="15"/>
        <v xml:space="preserve"> </v>
      </c>
      <c r="AN29" s="149" t="str">
        <f t="shared" si="134"/>
        <v xml:space="preserve"> </v>
      </c>
      <c r="AO29" s="144" t="str">
        <f>IF(JB29&gt;0,IF(GI29=10,-R29*1.085*(Calculation!$F$6-Calculation!$F$13)*$S$14," "),"")</f>
        <v/>
      </c>
      <c r="AP29" s="144" t="str">
        <f t="shared" si="16"/>
        <v/>
      </c>
      <c r="AQ29" s="56" t="str">
        <f t="shared" si="17"/>
        <v/>
      </c>
      <c r="AR29" s="144" t="str">
        <f t="shared" si="18"/>
        <v/>
      </c>
      <c r="AS29" s="176" t="str">
        <f t="shared" si="19"/>
        <v/>
      </c>
      <c r="AT29" s="176" t="str">
        <f t="shared" si="135"/>
        <v xml:space="preserve"> </v>
      </c>
      <c r="AU29" s="176" t="str">
        <f t="shared" si="20"/>
        <v/>
      </c>
      <c r="AV29" s="177" t="str">
        <f t="shared" si="21"/>
        <v xml:space="preserve"> </v>
      </c>
      <c r="AW29" s="144" t="str">
        <f t="shared" si="22"/>
        <v xml:space="preserve"> </v>
      </c>
      <c r="AX29" s="144" t="str">
        <f t="shared" si="23"/>
        <v xml:space="preserve"> </v>
      </c>
      <c r="AY29" s="152" t="str">
        <f t="shared" si="24"/>
        <v xml:space="preserve"> </v>
      </c>
      <c r="AZ29" s="246" t="str">
        <f t="shared" si="25"/>
        <v/>
      </c>
      <c r="BA29" s="176" t="str">
        <f t="shared" si="26"/>
        <v xml:space="preserve"> </v>
      </c>
      <c r="BB29" s="176" t="str">
        <f t="shared" si="27"/>
        <v xml:space="preserve"> </v>
      </c>
      <c r="BC29" s="195"/>
      <c r="BD29" s="316"/>
      <c r="BE29" s="317"/>
      <c r="BF29" s="318"/>
      <c r="BG29" s="318"/>
      <c r="BH29" s="144" t="str">
        <f t="shared" si="219"/>
        <v xml:space="preserve"> </v>
      </c>
      <c r="BI29" s="176" t="str">
        <f t="shared" si="28"/>
        <v/>
      </c>
      <c r="BJ29" s="144" t="str">
        <f t="shared" si="220"/>
        <v/>
      </c>
      <c r="BK29" s="246" t="str">
        <f t="shared" si="29"/>
        <v/>
      </c>
      <c r="BL29" s="144" t="str">
        <f t="shared" si="221"/>
        <v/>
      </c>
      <c r="BM29" s="246" t="str">
        <f t="shared" si="30"/>
        <v/>
      </c>
      <c r="BN29" s="337" t="str">
        <f t="shared" si="136"/>
        <v/>
      </c>
      <c r="BO29" s="371" t="str">
        <f t="shared" si="137"/>
        <v/>
      </c>
      <c r="BP29" s="328" t="str">
        <f t="shared" si="222"/>
        <v xml:space="preserve"> </v>
      </c>
      <c r="BQ29" s="347" t="str">
        <f t="shared" si="138"/>
        <v xml:space="preserve"> </v>
      </c>
      <c r="BR29" s="353" t="str">
        <f t="shared" si="223"/>
        <v xml:space="preserve"> </v>
      </c>
      <c r="BS29" s="626" t="str">
        <f>IF(L29&gt;0,IF(Calculation!P29="M13",BR29*3.1416*(0.134^2)/(4*144),IF(Calculation!P29="M17",BR29*3.1416*(0.165^2)/(4*144),IF(Calculation!P29="M20",BR29*3.1416*(0.198^2)/(4*144),IF(Calculation!P29="M23",BR29*3.1416*(0.228^2)/(4*144),IF(Calculation!P29="M27",BR29*3.1416*(0.269^2)/(4*144),BR29*3.1416*(0.307^2)/(4*144))))))," ")</f>
        <v xml:space="preserve"> </v>
      </c>
      <c r="BT29" s="353" t="str">
        <f>IF(L29&gt;0,IF(BS29&gt;0,R29/Calculation!BS29,0)," ")</f>
        <v xml:space="preserve"> </v>
      </c>
      <c r="BU29" s="438" t="e">
        <f t="shared" ca="1" si="31"/>
        <v>#VALUE!</v>
      </c>
      <c r="BV29" s="449" t="e">
        <f ca="1">INDEX(INDIRECT(VLOOKUP(LEFT(BO29,7),CLU!$Z$3:$AH$18,2)),GN29,GR29)</f>
        <v>#N/A</v>
      </c>
      <c r="BW29" s="433" t="e">
        <f ca="1">INDEX(INDIRECT(VLOOKUP(LEFT(BO29,7),CLU!$Z$3:$AH$18,3)),GN29,GR29)</f>
        <v>#N/A</v>
      </c>
      <c r="BX29" s="433" t="e">
        <f ca="1">INDEX(INDIRECT(VLOOKUP(LEFT(BO29,7),CLU!$Z$3:$AH$18,4)),GN29,GR29)</f>
        <v>#N/A</v>
      </c>
      <c r="BY29" s="433" t="e">
        <f ca="1">INDEX(INDIRECT(VLOOKUP(LEFT(BO29,7),CLU!$Z$3:$AH$18,9)),((M29-2)*(6-COUNTBLANK(GT29:GY29)))+GJ29)</f>
        <v>#N/A</v>
      </c>
      <c r="BZ29" s="426" t="e">
        <f t="shared" ca="1" si="139"/>
        <v>#N/A</v>
      </c>
      <c r="CA29" s="424" t="e">
        <f t="shared" ca="1" si="140"/>
        <v>#N/A</v>
      </c>
      <c r="CB29" s="429" t="e">
        <f ca="1">INDEX(INDIRECT(VLOOKUP(LEFT(BO29,7),CLU!$Z$3:$AH$18,2)),GN29,GS29)</f>
        <v>#N/A</v>
      </c>
      <c r="CC29" s="342" t="e">
        <f ca="1">INDEX(INDIRECT(VLOOKUP(LEFT(BO29,7),CLU!$Z$3:$AH$18,3)),GN29,GS29)</f>
        <v>#N/A</v>
      </c>
      <c r="CD29" s="342" t="e">
        <f ca="1">INDEX(INDIRECT(VLOOKUP(LEFT(BO29,7),CLU!$Z$3:$AH$18,4)),GN29,GS29)</f>
        <v>#N/A</v>
      </c>
      <c r="CE29" s="426" t="e">
        <f t="shared" ca="1" si="141"/>
        <v>#N/A</v>
      </c>
      <c r="CF29" s="440">
        <f t="shared" si="142"/>
        <v>0</v>
      </c>
      <c r="CG29" s="431" t="e">
        <f ca="1">INDEX(INDIRECT(VLOOKUP(LEFT(BO29,7),CLU!$Z$3:$AH$18,2)),GQ29,GR29)</f>
        <v>#N/A</v>
      </c>
      <c r="CH29" s="431" t="e">
        <f ca="1">INDEX(INDIRECT(VLOOKUP(LEFT(BO29,7),CLU!$Z$3:$AH$18,3)),GQ29,GR29)</f>
        <v>#N/A</v>
      </c>
      <c r="CI29" s="431" t="e">
        <f ca="1">INDEX(INDIRECT(VLOOKUP(LEFT(BO29,7),CLU!$Z$3:$AH$18,4)),GQ29,GR29)</f>
        <v>#N/A</v>
      </c>
      <c r="CJ29" s="448" t="e">
        <f t="shared" ca="1" si="143"/>
        <v>#N/A</v>
      </c>
      <c r="CK29" s="431" t="e">
        <f t="shared" ca="1" si="144"/>
        <v>#N/A</v>
      </c>
      <c r="CL29" s="440" t="e">
        <f t="shared" ca="1" si="145"/>
        <v>#N/A</v>
      </c>
      <c r="CM29" s="431" t="e">
        <f ca="1">INDEX(INDIRECT(VLOOKUP(LEFT(BO29,7),CLU!$Z$3:$AH$18,2)),GQ29,GS29)</f>
        <v>#N/A</v>
      </c>
      <c r="CN29" s="431" t="e">
        <f ca="1">INDEX(INDIRECT(VLOOKUP(LEFT(BO29,7),CLU!$Z$3:$AH$18,3)),GQ29,GS29)</f>
        <v>#N/A</v>
      </c>
      <c r="CO29" s="431" t="e">
        <f ca="1">INDEX(INDIRECT(VLOOKUP(LEFT(BO29,7),CLU!$Z$3:$AH$18,4)),GQ29,GS29)</f>
        <v>#N/A</v>
      </c>
      <c r="CP29" s="431" t="e">
        <f t="shared" ca="1" si="146"/>
        <v>#N/A</v>
      </c>
      <c r="CQ29" s="440">
        <f t="shared" si="147"/>
        <v>0</v>
      </c>
      <c r="CR29" s="51" t="e">
        <f t="shared" ca="1" si="148"/>
        <v>#N/A</v>
      </c>
      <c r="CS29" s="439" t="e">
        <f t="shared" ca="1" si="149"/>
        <v>#VALUE!</v>
      </c>
      <c r="CT29" s="51" t="e">
        <f t="shared" ca="1" si="150"/>
        <v>#VALUE!</v>
      </c>
      <c r="CU29" s="10"/>
      <c r="CV29" s="51" t="e">
        <f t="shared" ca="1" si="34"/>
        <v>#VALUE!</v>
      </c>
      <c r="CW29" s="51">
        <f t="shared" si="151"/>
        <v>0</v>
      </c>
      <c r="CX29" s="439" t="e">
        <f t="shared" ca="1" si="152"/>
        <v>#VALUE!</v>
      </c>
      <c r="CY29" s="51" t="e">
        <f t="shared" ca="1" si="153"/>
        <v>#VALUE!</v>
      </c>
      <c r="CZ29" s="10"/>
      <c r="DA29" s="51" t="e">
        <f t="shared" ca="1" si="154"/>
        <v>#VALUE!</v>
      </c>
      <c r="DB29" s="347" t="e">
        <f ca="1">INDEX(INDIRECT(VLOOKUP(LEFT(BO29,7),CLU!$Z$3:$AI$18,10)),((M29-2)*(6-COUNTBLANK(GT29:GY29)))+GJ29)*LI29</f>
        <v>#N/A</v>
      </c>
      <c r="DC29" s="347" t="str">
        <f>IF(L29&gt;0,((R29/Worksheet!$I$15)/DB29)^2," ")</f>
        <v xml:space="preserve"> </v>
      </c>
      <c r="DD29" s="602" t="str">
        <f t="shared" si="224"/>
        <v xml:space="preserve"> </v>
      </c>
      <c r="DE29" s="347" t="str">
        <f t="shared" si="35"/>
        <v xml:space="preserve"> </v>
      </c>
      <c r="DF29" s="356" t="e">
        <f ca="1">INDEX(INDIRECT(VLOOKUP(LEFT(BO29,7),CLU!$Z$3:$AH$18,8)),((M29-2)*(6-COUNTBLANK(GT29:GY29)))+GJ29)</f>
        <v>#N/A</v>
      </c>
      <c r="DG29" s="347" t="str">
        <f t="shared" si="36"/>
        <v xml:space="preserve"> </v>
      </c>
      <c r="DH29" s="357" t="str">
        <f t="shared" si="37"/>
        <v xml:space="preserve"> </v>
      </c>
      <c r="DI29" s="355" t="str">
        <f t="shared" si="38"/>
        <v xml:space="preserve"> </v>
      </c>
      <c r="DJ29" s="245" t="e">
        <f ca="1">INDEX(INDIRECT(VLOOKUP(LEFT(BO29,7),CLU!$Z$3:$AH$18,5)),GL29,GK29)</f>
        <v>#N/A</v>
      </c>
      <c r="DK29" s="245" t="e">
        <f ca="1">INDEX(INDIRECT(VLOOKUP(LEFT(BO29,7),CLU!$Z$3:$AH$18,6)),GL29,GK29)</f>
        <v>#N/A</v>
      </c>
      <c r="DL29" s="355">
        <f>(Calculation!R29*0.69143*(Calculation!$BQ$8-Calculation!$F$8))*$S$14</f>
        <v>0</v>
      </c>
      <c r="DM29" s="359" t="e">
        <f t="shared" si="160"/>
        <v>#VALUE!</v>
      </c>
      <c r="DN29" s="611">
        <f t="shared" si="161"/>
        <v>0</v>
      </c>
      <c r="DO29" s="359">
        <f t="shared" si="162"/>
        <v>100</v>
      </c>
      <c r="DP29" s="359">
        <f t="shared" si="163"/>
        <v>0</v>
      </c>
      <c r="DQ29" s="360"/>
      <c r="DR29" s="245" t="e">
        <f ca="1">INDEX(INDIRECT(VLOOKUP(LEFT(BO29,7),CLU!$Z$3:$AH$18,7)),M29-1,1)</f>
        <v>#N/A</v>
      </c>
      <c r="DS29" s="245" t="e">
        <f ca="1">INDEX(INDIRECT(VLOOKUP(LEFT(BO29,7),CLU!$Z$3:$AH$18,7)),M29-1,2)</f>
        <v>#N/A</v>
      </c>
      <c r="DT29" s="245" t="e">
        <f ca="1">INDEX(INDIRECT(VLOOKUP(LEFT(BO29,7),CLU!$Z$3:$AH$18,7)),M29-1,3)</f>
        <v>#N/A</v>
      </c>
      <c r="DU29" s="245" t="e">
        <f ca="1">INDEX(INDIRECT(VLOOKUP(LEFT(BO29,7),CLU!$Z$3:$AH$18,7)),M29-1,4)</f>
        <v>#N/A</v>
      </c>
      <c r="DV29" s="361" t="e">
        <f ca="1">INDEX(INDIRECT(VLOOKUP(LEFT(BO29,7),CLU!$Z$3:$AH$18,7)),M29-1,4+LEFT(DZ29,1)*0.5)</f>
        <v>#N/A</v>
      </c>
      <c r="DW29" s="245" t="e">
        <f ca="1">INDEX(INDIRECT(VLOOKUP(LEFT(BO29,7),CLU!$Z$3:$AH$18,7)),M29-1,8)</f>
        <v>#N/A</v>
      </c>
      <c r="DX29" s="361" t="str">
        <f t="shared" si="39"/>
        <v xml:space="preserve"> </v>
      </c>
      <c r="DY29" s="361" t="str">
        <f t="shared" si="40"/>
        <v xml:space="preserve"> </v>
      </c>
      <c r="DZ29" s="361" t="str">
        <f t="shared" si="41"/>
        <v xml:space="preserve"> </v>
      </c>
      <c r="EA29" s="362" t="str">
        <f t="shared" si="42"/>
        <v xml:space="preserve"> </v>
      </c>
      <c r="EB29" s="624" t="str">
        <f t="shared" si="168"/>
        <v xml:space="preserve"> </v>
      </c>
      <c r="EC29" s="361" t="e">
        <f ca="1">INDEX(INDIRECT(VLOOKUP(LEFT(BO29,7),CLU!$Z$3:$AH$18,7)),M29-1,4+LEFT(DZ29,1)*0.5)</f>
        <v>#N/A</v>
      </c>
      <c r="ED29" s="362" t="str">
        <f t="shared" si="43"/>
        <v xml:space="preserve"> </v>
      </c>
      <c r="EE29" s="361" t="str">
        <f t="shared" si="44"/>
        <v xml:space="preserve"> </v>
      </c>
      <c r="EF29" s="362" t="str">
        <f>IF(L29&gt;0,IF(BR29&gt;0,IF(EE29="2P",IF(Calculation!DZ29="2P",IF(Calculation!DS29=13.75,IF(Calculation!DR29=13,Worksheet!$BD$43,IF(Calculation!DR29=37,Worksheet!$BD$44,Worksheet!$BD$45)),IF(Calculation!DS29=10,IF(Calculation!DR29=18,Worksheet!$BD$29,IF(Calculation!DR29=30,Worksheet!$BD$30,IF(Calculation!DR29=42,Worksheet!$BD$31,IF(Calculation!DR29=54,Worksheet!$BD$32,IF(Calculation!DR29=66,Worksheet!$BD$33,IF(Calculation!DR29=78,Worksheet!$BD$34,IF(Calculation!DR29=90,Worksheet!$BD$35,IF(Calculation!DR29=102,Worksheet!$BD$36,Worksheet!$BD$37)))))))),IF(Calculation!DS29=12.5,IF(Calculation!DR29=18,Worksheet!$BD$38,IF(Calculation!DR29=Worksheet!$BD$39,IF(Calculation!DR29=42,Worksheet!$BD$40,IF(Calculation!DR29=54,Worksheet!$BD$41,Worksheet!$BD$42)))),IF(Calculation!DR29=18,Worksheet!$BD$11,IF(Calculation!DR29=30,Worksheet!$BD$12,IF(Calculation!DR29=42,Worksheet!$BD$13,IF(Calculation!DR29=54,Worksheet!$BD$14,IF(Calculation!DR29=66,Worksheet!$BD$15,IF(Calculation!DR29=78,Worksheet!$BD$16,IF(Calculation!DR29=90,Worksheet!$BD$17,IF(Calculation!DR29=102,Worksheet!$BD$18,Worksheet!$BD$19))))))))))),IF(Calculation!DS29=13.75,IF(Calculation!DR29=13,Worksheet!$BD$78,IF(Calculation!DR29=37,Worksheet!$BD$79,Worksheet!$BD$80)),IF(Calculation!DS29=10,IF(Calculation!DR29=18,Worksheet!$BD$64,IF(Calculation!DR29=30,Worksheet!$BD$65,IF(Calculation!DR29=42,Worksheet!$BD$66,IF(Calculation!DR29=54,Worksheet!$BD$68,IF(Calculation!DR29=66,Worksheet!$BD$68,IF(Calculation!DR29=78,Worksheet!$BD$69,IF(Calculation!DR29=90,Worksheet!$BD$70,IF(Calculation!DR29=102,Worksheet!$BD$71,Worksheet!$BD$72)))))))),IF(Calculation!DS29=12.5,IF(Calculation!DR29=18,Worksheet!$BD$73,IF(Calculation!DR29=Worksheet!$BD$74,IF(Calculation!DR29=42,Worksheet!$BD$75,IF(Calculation!DR29=54,Worksheet!$BD$76,Worksheet!$BD$77)))),IF(Calculation!DR29=18,Worksheet!$BD$55,IF(Calculation!DR29=30,Worksheet!$BD$56,IF(Calculation!DR29=42,Worksheet!$BD$57,IF(Calculation!DR29=54,Worksheet!$BD$58,IF(Calculation!DR29=66,Worksheet!$BD$59,IF(Calculation!DR29=78,Worksheet!$BD$60,IF(Calculation!DR29=90,Worksheet!$BD$61,IF(Calculation!DR29=102,Worksheet!$BD$62,Worksheet!$BD$63)))))))))))),5),0)," ")</f>
        <v xml:space="preserve"> </v>
      </c>
      <c r="EG29" s="361" t="str">
        <f t="shared" si="45"/>
        <v xml:space="preserve"> </v>
      </c>
      <c r="EH29" s="361" t="e">
        <f ca="1">INDEX(INDIRECT(VLOOKUP(LEFT(BO29,7),CLU!$Z$3:$AH$18,7)),M29-1,3+LEFT(DZ29,1))</f>
        <v>#N/A</v>
      </c>
      <c r="EI29" s="362" t="str">
        <f t="shared" si="46"/>
        <v xml:space="preserve"> </v>
      </c>
      <c r="EJ29" s="363" t="str">
        <f t="shared" si="47"/>
        <v xml:space="preserve"> </v>
      </c>
      <c r="EK29" s="363" t="str">
        <f t="shared" si="48"/>
        <v xml:space="preserve"> </v>
      </c>
      <c r="EL29" s="363" t="str">
        <f t="shared" si="49"/>
        <v xml:space="preserve"> </v>
      </c>
      <c r="EM29" s="362" t="str">
        <f>IF(L29&gt;0,IF(BR29&gt;0,(Calculation!T29/ED29)^2,0)," ")</f>
        <v xml:space="preserve"> </v>
      </c>
      <c r="EN29" s="362" t="str">
        <f>IF(L29&gt;0,IF(O29="2 Pipe (Cooling)","N/A",IF(BR29&gt;0,(Calculation!U29/EI29)^2,0))," ")</f>
        <v xml:space="preserve"> </v>
      </c>
      <c r="EO29" s="361" t="str">
        <f t="shared" si="50"/>
        <v/>
      </c>
      <c r="EP29" s="361" t="str">
        <f t="shared" si="51"/>
        <v/>
      </c>
      <c r="EQ29" s="361" t="str">
        <f t="shared" si="52"/>
        <v/>
      </c>
      <c r="ER29" s="361" t="str">
        <f t="shared" si="53"/>
        <v/>
      </c>
      <c r="ES29" s="361" t="str">
        <f t="shared" si="54"/>
        <v/>
      </c>
      <c r="ET29" s="361" t="str">
        <f t="shared" si="55"/>
        <v/>
      </c>
      <c r="EU29" s="361" t="str">
        <f t="shared" si="56"/>
        <v/>
      </c>
      <c r="EV29" s="361" t="str">
        <f t="shared" si="57"/>
        <v/>
      </c>
      <c r="EW29" s="361" t="str">
        <f t="shared" si="58"/>
        <v/>
      </c>
      <c r="EX29" s="361" t="str">
        <f t="shared" si="169"/>
        <v>1 slot, 1 way</v>
      </c>
      <c r="EY29" s="361" t="str">
        <f t="shared" si="170"/>
        <v xml:space="preserve"> </v>
      </c>
      <c r="EZ29" s="361" t="str">
        <f t="shared" si="171"/>
        <v xml:space="preserve"> </v>
      </c>
      <c r="FA29" s="361" t="str">
        <f t="shared" si="172"/>
        <v xml:space="preserve"> </v>
      </c>
      <c r="FB29" s="361" t="str">
        <f t="shared" si="173"/>
        <v xml:space="preserve"> </v>
      </c>
      <c r="FC29" s="361"/>
      <c r="FD29" s="361" t="str">
        <f>IF(J29&gt;0,IF(Calculation!R29&lt;=70,4,IF(Calculation!R29&lt;=110,5,IF(Calculation!R29&lt;=160,6,IF(Calculation!R29&lt;=300,8,"10 EO")))),"")</f>
        <v/>
      </c>
      <c r="FE29" s="361" t="str">
        <f t="shared" si="174"/>
        <v/>
      </c>
      <c r="FF29" s="361" t="str">
        <f t="shared" si="175"/>
        <v/>
      </c>
      <c r="FG29" s="361" t="e">
        <f t="shared" si="60"/>
        <v>#N/A</v>
      </c>
      <c r="FH29" s="361">
        <f t="shared" si="61"/>
        <v>0</v>
      </c>
      <c r="FI29" s="361" t="e">
        <f t="shared" si="62"/>
        <v>#DIV/0!</v>
      </c>
      <c r="FJ29" s="361"/>
      <c r="FK29" s="356" t="e">
        <f t="shared" si="63"/>
        <v>#VALUE!</v>
      </c>
      <c r="FL29" s="361"/>
      <c r="FM29" s="361"/>
      <c r="FN29" s="362" t="str">
        <f t="shared" si="176"/>
        <v xml:space="preserve"> </v>
      </c>
      <c r="FO29" s="362" t="str">
        <f t="shared" si="177"/>
        <v xml:space="preserve"> </v>
      </c>
      <c r="FP29" s="362">
        <f t="shared" si="178"/>
        <v>0</v>
      </c>
      <c r="FQ29" s="361">
        <f t="shared" si="64"/>
        <v>0</v>
      </c>
      <c r="FR29" s="362" t="str">
        <f>IF(L29&gt;0,IF(J29="CBAL2",Worksheet!$P$67,IF(J29="CBE2-24",Worksheet!$Q$67,IF(J29="CBAM",Worksheet!$R$67,IF(J29="CBLV",Worksheet!$S$67,IF(J29="CBAB",Worksheet!$U$67,IF(J29="CBAW",Worksheet!$X$67,IF(J29="CBE2-12",Worksheet!$Y$67,IF(J29="CBAL2",Worksheet!$Z$67,"N/A"))))))))," ")</f>
        <v xml:space="preserve"> </v>
      </c>
      <c r="FS29" s="362" t="str">
        <f>IF(L29&gt;0,IF(J29="CBAL2",Worksheet!$P$68,IF(J29="CBE2-24",Worksheet!$Q$68,IF(J29="CBAM",Worksheet!$R$68,IF(J29="CBLV",Worksheet!$S$68,IF(J29="CBAB",Worksheet!$U$68,IF(J29="CBAW",Worksheet!$X$68,IF(J29="CBE2-12",Worksheet!$Y$68,IF(J29="CBAL2",Worksheet!$Z$68,"N/A"))))))))," ")</f>
        <v xml:space="preserve"> </v>
      </c>
      <c r="FT29" s="362" t="str">
        <f>IF(L29&gt;0,IF(J29="CBAL2",Worksheet!$P$69,IF(J29="CBE2-24",Worksheet!$Q$69,IF(J29="CBAM",Worksheet!$R$69,IF(J29="CBLV",Worksheet!$S$69,IF(J29="CBAB",Worksheet!$U$69,IF(J29="CBAW",Worksheet!$X$69,IF(J29="CBE2-12",Worksheet!$Y$69,IF(J29="CBAL2",Worksheet!$Z$69,"N/A"))))))))," ")</f>
        <v xml:space="preserve"> </v>
      </c>
      <c r="FU29" s="361" t="str">
        <f t="shared" si="179"/>
        <v xml:space="preserve"> </v>
      </c>
      <c r="FV29" s="362" t="str">
        <f t="shared" si="180"/>
        <v xml:space="preserve"> </v>
      </c>
      <c r="FW29" s="362" t="str">
        <f t="shared" si="181"/>
        <v xml:space="preserve"> </v>
      </c>
      <c r="FX29" s="362" t="str">
        <f t="shared" si="182"/>
        <v xml:space="preserve"> </v>
      </c>
      <c r="FY29" s="355" t="str">
        <f t="shared" si="183"/>
        <v xml:space="preserve"> </v>
      </c>
      <c r="FZ29" s="361" t="str">
        <f t="shared" si="184"/>
        <v xml:space="preserve"> </v>
      </c>
      <c r="GA29" s="347" t="str">
        <f t="shared" si="185"/>
        <v xml:space="preserve"> </v>
      </c>
      <c r="GB29" s="355" t="str">
        <f t="shared" si="186"/>
        <v xml:space="preserve"> </v>
      </c>
      <c r="GC29" s="328" t="str">
        <f t="shared" si="187"/>
        <v xml:space="preserve"> </v>
      </c>
      <c r="GD29" s="361" t="str">
        <f t="shared" si="188"/>
        <v xml:space="preserve"> </v>
      </c>
      <c r="GE29" s="347" t="str">
        <f t="shared" si="189"/>
        <v xml:space="preserve"> </v>
      </c>
      <c r="GF29" s="361" t="str">
        <f t="shared" si="190"/>
        <v xml:space="preserve"> </v>
      </c>
      <c r="GG29" s="347" t="str">
        <f t="shared" si="191"/>
        <v xml:space="preserve"> </v>
      </c>
      <c r="GH29" s="364">
        <f t="shared" si="78"/>
        <v>0</v>
      </c>
      <c r="GI29" s="362">
        <f t="shared" si="192"/>
        <v>2</v>
      </c>
      <c r="GJ29" s="433" t="e">
        <f>IF(6-COUNTBLANK(GT29:GY29)=4,MATCH(MID(BO29,9,3),CLU!$H$16:$K$16),MATCH(MID(BO29,9,3),CLU!$H$13:$M$13))</f>
        <v>#N/A</v>
      </c>
      <c r="GK29" s="433" t="e">
        <f>HLOOKUP(VALUE(BP29),CLU!$H$9:$M$10,2)</f>
        <v>#VALUE!</v>
      </c>
      <c r="GL29" s="433" t="e">
        <f ca="1">MATCH(BU29,CLU!$H$2:$V$2,1)</f>
        <v>#VALUE!</v>
      </c>
      <c r="GM29" s="433" t="e">
        <f t="shared" ca="1" si="193"/>
        <v>#VALUE!</v>
      </c>
      <c r="GN29" s="433" t="e">
        <f t="shared" ca="1" si="194"/>
        <v>#VALUE!</v>
      </c>
      <c r="GO29" s="433" t="e">
        <f t="shared" ca="1" si="195"/>
        <v>#VALUE!</v>
      </c>
      <c r="GP29" s="433" t="e">
        <f t="shared" ca="1" si="196"/>
        <v>#VALUE!</v>
      </c>
      <c r="GQ29" s="433" t="e">
        <f t="shared" ca="1" si="197"/>
        <v>#VALUE!</v>
      </c>
      <c r="GR29" s="433" t="e">
        <f ca="1">MATCH(T29,INDIRECT(VLOOKUP(CONCATENATE(LEFT(BO29,7),"-",MID(BO29,13,1)),CLU!$P$3:$Q$16,2)),1)</f>
        <v>#N/A</v>
      </c>
      <c r="GS29" s="433" t="e">
        <f ca="1">MATCH(U29,INDIRECT(VLOOKUP(CONCATENATE(LEFT(BO29,7),"-",MID(BO29,13,1)),CLU!$P$3:$Q$16,2)),1)</f>
        <v>#N/A</v>
      </c>
      <c r="GT29" s="347" t="s">
        <v>512</v>
      </c>
      <c r="GU29" s="97" t="s">
        <v>513</v>
      </c>
      <c r="GV29" s="97" t="str">
        <f t="shared" si="198"/>
        <v>M23</v>
      </c>
      <c r="GW29" s="97" t="str">
        <f t="shared" si="199"/>
        <v>M31</v>
      </c>
      <c r="GX29" s="97" t="str">
        <f t="shared" si="200"/>
        <v/>
      </c>
      <c r="GY29" s="97" t="str">
        <f t="shared" si="201"/>
        <v/>
      </c>
      <c r="GZ29" s="481"/>
      <c r="HA29" s="288"/>
      <c r="HB29" s="240"/>
      <c r="HC29" s="240"/>
      <c r="HD29" s="240"/>
      <c r="HE29" s="240"/>
      <c r="HF29" s="240"/>
      <c r="HG29" s="240"/>
      <c r="HH29" s="240"/>
      <c r="HI29" s="240"/>
      <c r="HJ29" s="240"/>
      <c r="HK29" s="240"/>
      <c r="HL29" s="240"/>
      <c r="HM29" s="240"/>
      <c r="HN29" s="240"/>
      <c r="HO29" s="240"/>
      <c r="HP29" s="240"/>
      <c r="HQ29" s="240"/>
      <c r="HR29" s="240"/>
      <c r="HS29" s="240"/>
      <c r="HT29" s="240"/>
      <c r="HU29" s="240"/>
      <c r="HV29" s="245"/>
      <c r="HW29" s="245" t="b">
        <v>1</v>
      </c>
      <c r="HX29" s="245" t="str">
        <f t="shared" si="79"/>
        <v/>
      </c>
      <c r="HY29" s="245" t="e">
        <f t="shared" si="80"/>
        <v>#DIV/0!</v>
      </c>
      <c r="HZ29" s="245" t="e">
        <f t="shared" si="81"/>
        <v>#DIV/0!</v>
      </c>
      <c r="IA29" s="245">
        <f t="shared" si="82"/>
        <v>0</v>
      </c>
      <c r="IB29" s="245"/>
      <c r="IC29" t="b">
        <f t="shared" si="83"/>
        <v>1</v>
      </c>
      <c r="ID29" s="245" t="b">
        <f t="shared" si="84"/>
        <v>1</v>
      </c>
      <c r="IE29" s="245" t="b">
        <f t="shared" si="85"/>
        <v>1</v>
      </c>
      <c r="IF29" s="245" t="b">
        <f t="shared" si="86"/>
        <v>0</v>
      </c>
      <c r="IG29" s="245" t="b">
        <f t="shared" si="87"/>
        <v>1</v>
      </c>
      <c r="IH29" s="245" t="b">
        <f t="shared" si="88"/>
        <v>1</v>
      </c>
      <c r="II29" s="245">
        <f t="shared" si="202"/>
        <v>0</v>
      </c>
      <c r="IJ29" s="245" t="e">
        <f t="shared" si="89"/>
        <v>#VALUE!</v>
      </c>
      <c r="IK29" s="245" t="e">
        <f t="shared" si="90"/>
        <v>#VALUE!</v>
      </c>
      <c r="IL29" s="245"/>
      <c r="IM29" s="245" t="e">
        <f t="shared" si="203"/>
        <v>#N/A</v>
      </c>
      <c r="IN29" s="245" t="e">
        <f t="shared" si="204"/>
        <v>#N/A</v>
      </c>
      <c r="IO29" s="245"/>
      <c r="IP29" s="245"/>
      <c r="IQ29" s="245" t="str">
        <f t="shared" si="91"/>
        <v/>
      </c>
      <c r="IR29" s="245" t="str">
        <f>IF(J29="","",VLOOKUP(J29,Worksheet!$R$4:$T$14,2))</f>
        <v/>
      </c>
      <c r="IS29" s="245"/>
      <c r="IT29" s="245">
        <f t="shared" si="92"/>
        <v>0</v>
      </c>
      <c r="IU29" s="245">
        <f t="shared" si="93"/>
        <v>0</v>
      </c>
      <c r="IV29" s="245">
        <f t="shared" si="94"/>
        <v>0</v>
      </c>
      <c r="IW29" s="245">
        <f t="shared" si="95"/>
        <v>0</v>
      </c>
      <c r="IX29" s="245">
        <f t="shared" si="205"/>
        <v>0</v>
      </c>
      <c r="IY29" s="245">
        <f t="shared" si="96"/>
        <v>0</v>
      </c>
      <c r="IZ29" s="245">
        <f t="shared" si="97"/>
        <v>0</v>
      </c>
      <c r="JA29">
        <f t="shared" si="98"/>
        <v>0</v>
      </c>
      <c r="JB29">
        <f t="shared" si="206"/>
        <v>0</v>
      </c>
      <c r="JC29">
        <f t="shared" si="99"/>
        <v>0</v>
      </c>
      <c r="JD29">
        <f t="shared" si="100"/>
        <v>0</v>
      </c>
      <c r="JE29">
        <f t="shared" si="101"/>
        <v>0</v>
      </c>
      <c r="JF29">
        <f t="shared" si="102"/>
        <v>0</v>
      </c>
      <c r="JG29">
        <f t="shared" si="103"/>
        <v>0</v>
      </c>
      <c r="JH29">
        <f t="shared" si="104"/>
        <v>0</v>
      </c>
      <c r="JI29">
        <f t="shared" si="105"/>
        <v>0</v>
      </c>
      <c r="JJ29" s="447">
        <f t="shared" si="106"/>
        <v>0</v>
      </c>
      <c r="JK29" s="447">
        <f t="shared" si="107"/>
        <v>0</v>
      </c>
      <c r="JL29">
        <f t="shared" si="108"/>
        <v>0</v>
      </c>
      <c r="JM29" s="245" t="str">
        <f>IFERROR(VLOOKUP(MATCH(BN29,#REF!,0),#REF!,7),"")</f>
        <v/>
      </c>
      <c r="JN29" t="e">
        <f>HLOOKUP(LEFT(BO29,7),Discharge_Area,MATCH(JO29,LookUps!$B$130:$B$149,1)+2)</f>
        <v>#N/A</v>
      </c>
      <c r="JO29" t="str">
        <f t="shared" si="109"/>
        <v>- S</v>
      </c>
      <c r="JP29" t="e">
        <f>HLOOKUP(LEFT(BO29,7),Discharge_Area,MATCH(JO29,LookUps!$B$130:$B$149,1)+2)</f>
        <v>#N/A</v>
      </c>
      <c r="JQ29" t="e">
        <f t="shared" si="110"/>
        <v>#N/A</v>
      </c>
      <c r="JR29" t="e">
        <f t="shared" si="111"/>
        <v>#N/A</v>
      </c>
      <c r="JS29" t="e">
        <f t="shared" si="112"/>
        <v>#N/A</v>
      </c>
      <c r="JT29" s="532" t="str">
        <f t="shared" si="113"/>
        <v xml:space="preserve"> </v>
      </c>
      <c r="JU29" s="532" t="str">
        <f t="shared" si="114"/>
        <v xml:space="preserve"> </v>
      </c>
      <c r="JV29" s="533" t="str">
        <f t="shared" si="115"/>
        <v xml:space="preserve"> </v>
      </c>
      <c r="JW29" s="534">
        <f t="shared" si="116"/>
        <v>0</v>
      </c>
      <c r="JX29" s="535" t="str">
        <f t="shared" si="207"/>
        <v xml:space="preserve"> </v>
      </c>
      <c r="JY29" s="535" t="str">
        <f t="shared" si="208"/>
        <v xml:space="preserve"> </v>
      </c>
      <c r="JZ29" s="535" t="str">
        <f t="shared" si="209"/>
        <v xml:space="preserve"> </v>
      </c>
      <c r="KA29" s="536" t="str">
        <f t="shared" si="117"/>
        <v xml:space="preserve"> </v>
      </c>
      <c r="KB29" s="535" t="e">
        <f t="shared" si="210"/>
        <v>#VALUE!</v>
      </c>
      <c r="KC29" s="535" t="str">
        <f t="shared" si="118"/>
        <v/>
      </c>
      <c r="KD29" s="537" t="str">
        <f t="shared" si="211"/>
        <v xml:space="preserve"> </v>
      </c>
      <c r="KE29" s="537" t="str">
        <f t="shared" si="212"/>
        <v xml:space="preserve"> </v>
      </c>
      <c r="KF29" s="534">
        <f t="shared" si="119"/>
        <v>0</v>
      </c>
      <c r="KG29" s="535" t="str">
        <f t="shared" si="120"/>
        <v xml:space="preserve"> </v>
      </c>
      <c r="KH29" s="535" t="str">
        <f t="shared" si="121"/>
        <v xml:space="preserve"> </v>
      </c>
      <c r="KI29" s="535" t="str">
        <f t="shared" si="122"/>
        <v xml:space="preserve"> </v>
      </c>
      <c r="KJ29" s="536" t="str">
        <f t="shared" si="123"/>
        <v xml:space="preserve"> </v>
      </c>
      <c r="KK29" s="535" t="str">
        <f t="shared" si="213"/>
        <v xml:space="preserve"> </v>
      </c>
      <c r="KL29" s="535" t="str">
        <f t="shared" si="214"/>
        <v xml:space="preserve"> </v>
      </c>
      <c r="KM29" s="537" t="str">
        <f t="shared" si="124"/>
        <v xml:space="preserve"> </v>
      </c>
      <c r="KN29" s="537" t="str">
        <f t="shared" si="215"/>
        <v xml:space="preserve"> </v>
      </c>
      <c r="KP29">
        <f t="shared" si="125"/>
        <v>0</v>
      </c>
      <c r="LA29" t="e">
        <f t="shared" si="126"/>
        <v>#VALUE!</v>
      </c>
      <c r="LB29" t="e">
        <f t="shared" si="127"/>
        <v>#VALUE!</v>
      </c>
      <c r="LC29" t="e">
        <f t="shared" si="128"/>
        <v>#VALUE!</v>
      </c>
      <c r="LD29" t="e">
        <f t="shared" si="129"/>
        <v>#VALUE!</v>
      </c>
      <c r="LE29" t="e">
        <f t="shared" si="216"/>
        <v>#VALUE!</v>
      </c>
      <c r="LF29">
        <f t="shared" si="130"/>
        <v>0</v>
      </c>
      <c r="LG29" t="e">
        <f t="shared" si="217"/>
        <v>#VALUE!</v>
      </c>
      <c r="LH29" t="str">
        <f t="shared" si="131"/>
        <v xml:space="preserve"> </v>
      </c>
      <c r="LI29">
        <f t="shared" si="218"/>
        <v>1</v>
      </c>
    </row>
    <row r="30" spans="1:321" ht="15" customHeight="1">
      <c r="B30" s="311"/>
      <c r="C30" s="311"/>
      <c r="D30" s="312"/>
      <c r="E30" s="311"/>
      <c r="F30" s="312"/>
      <c r="G30" s="311"/>
      <c r="H30" s="311"/>
      <c r="I30" s="219"/>
      <c r="J30" s="311"/>
      <c r="K30" s="305" t="str">
        <f t="shared" si="132"/>
        <v/>
      </c>
      <c r="L30" s="313"/>
      <c r="M30" s="312"/>
      <c r="N30" s="311"/>
      <c r="O30" s="312"/>
      <c r="P30" s="311"/>
      <c r="Q30" s="305" t="str">
        <f t="shared" si="133"/>
        <v/>
      </c>
      <c r="R30" s="314"/>
      <c r="S30" s="450" t="str">
        <f t="shared" si="0"/>
        <v/>
      </c>
      <c r="T30" s="315"/>
      <c r="U30" s="315"/>
      <c r="W30" s="149" t="str">
        <f t="shared" si="1"/>
        <v xml:space="preserve"> </v>
      </c>
      <c r="X30" s="243" t="str">
        <f t="shared" si="2"/>
        <v xml:space="preserve"> </v>
      </c>
      <c r="Y30" s="150" t="str">
        <f t="shared" si="3"/>
        <v/>
      </c>
      <c r="Z30" s="149" t="str">
        <f t="shared" si="4"/>
        <v xml:space="preserve"> </v>
      </c>
      <c r="AA30" s="98" t="str">
        <f t="shared" si="5"/>
        <v xml:space="preserve"> </v>
      </c>
      <c r="AB30" s="153" t="str">
        <f t="shared" si="6"/>
        <v xml:space="preserve"> </v>
      </c>
      <c r="AC30" s="153" t="str">
        <f t="shared" si="7"/>
        <v xml:space="preserve"> </v>
      </c>
      <c r="AD30" s="148" t="str">
        <f t="shared" si="8"/>
        <v/>
      </c>
      <c r="AE30" s="149" t="str">
        <f t="shared" si="9"/>
        <v/>
      </c>
      <c r="AF30" s="151" t="str">
        <f t="shared" si="10"/>
        <v xml:space="preserve"> </v>
      </c>
      <c r="AG30" s="153" t="str">
        <f t="shared" si="11"/>
        <v xml:space="preserve"> </v>
      </c>
      <c r="AH30" s="98" t="str">
        <f t="shared" si="12"/>
        <v xml:space="preserve"> </v>
      </c>
      <c r="AI30" s="149" t="str">
        <f t="shared" si="13"/>
        <v xml:space="preserve"> </v>
      </c>
      <c r="AK30" s="144" t="str">
        <f t="shared" si="14"/>
        <v xml:space="preserve"> </v>
      </c>
      <c r="AL30" s="144"/>
      <c r="AM30" s="243" t="str">
        <f t="shared" si="15"/>
        <v xml:space="preserve"> </v>
      </c>
      <c r="AN30" s="149" t="str">
        <f t="shared" si="134"/>
        <v xml:space="preserve"> </v>
      </c>
      <c r="AO30" s="144" t="str">
        <f>IF(JB30&gt;0,IF(GI30=10,-R30*1.085*(Calculation!$F$6-Calculation!$F$13)*$S$14," "),"")</f>
        <v/>
      </c>
      <c r="AP30" s="144" t="str">
        <f t="shared" si="16"/>
        <v/>
      </c>
      <c r="AQ30" s="56" t="str">
        <f t="shared" si="17"/>
        <v/>
      </c>
      <c r="AR30" s="144" t="str">
        <f t="shared" si="18"/>
        <v/>
      </c>
      <c r="AS30" s="176" t="str">
        <f t="shared" si="19"/>
        <v/>
      </c>
      <c r="AT30" s="176" t="str">
        <f t="shared" si="135"/>
        <v xml:space="preserve"> </v>
      </c>
      <c r="AU30" s="176" t="str">
        <f t="shared" si="20"/>
        <v/>
      </c>
      <c r="AV30" s="177" t="str">
        <f t="shared" si="21"/>
        <v xml:space="preserve"> </v>
      </c>
      <c r="AW30" s="144" t="str">
        <f t="shared" si="22"/>
        <v xml:space="preserve"> </v>
      </c>
      <c r="AX30" s="144" t="str">
        <f t="shared" si="23"/>
        <v xml:space="preserve"> </v>
      </c>
      <c r="AY30" s="152" t="str">
        <f t="shared" si="24"/>
        <v xml:space="preserve"> </v>
      </c>
      <c r="AZ30" s="246" t="str">
        <f t="shared" si="25"/>
        <v/>
      </c>
      <c r="BA30" s="176" t="str">
        <f t="shared" si="26"/>
        <v xml:space="preserve"> </v>
      </c>
      <c r="BB30" s="176" t="str">
        <f t="shared" si="27"/>
        <v xml:space="preserve"> </v>
      </c>
      <c r="BC30" s="195"/>
      <c r="BD30" s="316"/>
      <c r="BE30" s="317"/>
      <c r="BF30" s="318"/>
      <c r="BG30" s="318"/>
      <c r="BH30" s="144" t="str">
        <f t="shared" si="219"/>
        <v xml:space="preserve"> </v>
      </c>
      <c r="BI30" s="176" t="str">
        <f t="shared" si="28"/>
        <v/>
      </c>
      <c r="BJ30" s="144" t="str">
        <f t="shared" si="220"/>
        <v/>
      </c>
      <c r="BK30" s="246" t="str">
        <f t="shared" si="29"/>
        <v/>
      </c>
      <c r="BL30" s="144" t="str">
        <f t="shared" si="221"/>
        <v/>
      </c>
      <c r="BM30" s="246" t="str">
        <f t="shared" si="30"/>
        <v/>
      </c>
      <c r="BN30" s="337" t="str">
        <f t="shared" si="136"/>
        <v/>
      </c>
      <c r="BO30" s="371" t="str">
        <f t="shared" si="137"/>
        <v/>
      </c>
      <c r="BP30" s="328" t="str">
        <f t="shared" si="222"/>
        <v xml:space="preserve"> </v>
      </c>
      <c r="BQ30" s="347" t="str">
        <f t="shared" si="138"/>
        <v xml:space="preserve"> </v>
      </c>
      <c r="BR30" s="353" t="str">
        <f t="shared" si="223"/>
        <v xml:space="preserve"> </v>
      </c>
      <c r="BS30" s="626" t="str">
        <f>IF(L30&gt;0,IF(Calculation!P30="M13",BR30*3.1416*(0.134^2)/(4*144),IF(Calculation!P30="M17",BR30*3.1416*(0.165^2)/(4*144),IF(Calculation!P30="M20",BR30*3.1416*(0.198^2)/(4*144),IF(Calculation!P30="M23",BR30*3.1416*(0.228^2)/(4*144),IF(Calculation!P30="M27",BR30*3.1416*(0.269^2)/(4*144),BR30*3.1416*(0.307^2)/(4*144))))))," ")</f>
        <v xml:space="preserve"> </v>
      </c>
      <c r="BT30" s="353" t="str">
        <f>IF(L30&gt;0,IF(BS30&gt;0,R30/Calculation!BS30,0)," ")</f>
        <v xml:space="preserve"> </v>
      </c>
      <c r="BU30" s="438" t="e">
        <f t="shared" ca="1" si="31"/>
        <v>#VALUE!</v>
      </c>
      <c r="BV30" s="449" t="e">
        <f ca="1">INDEX(INDIRECT(VLOOKUP(LEFT(BO30,7),CLU!$Z$3:$AH$18,2)),GN30,GR30)</f>
        <v>#N/A</v>
      </c>
      <c r="BW30" s="433" t="e">
        <f ca="1">INDEX(INDIRECT(VLOOKUP(LEFT(BO30,7),CLU!$Z$3:$AH$18,3)),GN30,GR30)</f>
        <v>#N/A</v>
      </c>
      <c r="BX30" s="433" t="e">
        <f ca="1">INDEX(INDIRECT(VLOOKUP(LEFT(BO30,7),CLU!$Z$3:$AH$18,4)),GN30,GR30)</f>
        <v>#N/A</v>
      </c>
      <c r="BY30" s="433" t="e">
        <f ca="1">INDEX(INDIRECT(VLOOKUP(LEFT(BO30,7),CLU!$Z$3:$AH$18,9)),((M30-2)*(6-COUNTBLANK(GT30:GY30)))+GJ30)</f>
        <v>#N/A</v>
      </c>
      <c r="BZ30" s="426" t="e">
        <f t="shared" ca="1" si="139"/>
        <v>#N/A</v>
      </c>
      <c r="CA30" s="424" t="e">
        <f t="shared" ca="1" si="140"/>
        <v>#N/A</v>
      </c>
      <c r="CB30" s="429" t="e">
        <f ca="1">INDEX(INDIRECT(VLOOKUP(LEFT(BO30,7),CLU!$Z$3:$AH$18,2)),GN30,GS30)</f>
        <v>#N/A</v>
      </c>
      <c r="CC30" s="342" t="e">
        <f ca="1">INDEX(INDIRECT(VLOOKUP(LEFT(BO30,7),CLU!$Z$3:$AH$18,3)),GN30,GS30)</f>
        <v>#N/A</v>
      </c>
      <c r="CD30" s="342" t="e">
        <f ca="1">INDEX(INDIRECT(VLOOKUP(LEFT(BO30,7),CLU!$Z$3:$AH$18,4)),GN30,GS30)</f>
        <v>#N/A</v>
      </c>
      <c r="CE30" s="426" t="e">
        <f t="shared" ca="1" si="141"/>
        <v>#N/A</v>
      </c>
      <c r="CF30" s="440">
        <f t="shared" si="142"/>
        <v>0</v>
      </c>
      <c r="CG30" s="431" t="e">
        <f ca="1">INDEX(INDIRECT(VLOOKUP(LEFT(BO30,7),CLU!$Z$3:$AH$18,2)),GQ30,GR30)</f>
        <v>#N/A</v>
      </c>
      <c r="CH30" s="431" t="e">
        <f ca="1">INDEX(INDIRECT(VLOOKUP(LEFT(BO30,7),CLU!$Z$3:$AH$18,3)),GQ30,GR30)</f>
        <v>#N/A</v>
      </c>
      <c r="CI30" s="431" t="e">
        <f ca="1">INDEX(INDIRECT(VLOOKUP(LEFT(BO30,7),CLU!$Z$3:$AH$18,4)),GQ30,GR30)</f>
        <v>#N/A</v>
      </c>
      <c r="CJ30" s="448" t="e">
        <f t="shared" ca="1" si="143"/>
        <v>#N/A</v>
      </c>
      <c r="CK30" s="431" t="e">
        <f t="shared" ca="1" si="144"/>
        <v>#N/A</v>
      </c>
      <c r="CL30" s="440" t="e">
        <f t="shared" ca="1" si="145"/>
        <v>#N/A</v>
      </c>
      <c r="CM30" s="431" t="e">
        <f ca="1">INDEX(INDIRECT(VLOOKUP(LEFT(BO30,7),CLU!$Z$3:$AH$18,2)),GQ30,GS30)</f>
        <v>#N/A</v>
      </c>
      <c r="CN30" s="431" t="e">
        <f ca="1">INDEX(INDIRECT(VLOOKUP(LEFT(BO30,7),CLU!$Z$3:$AH$18,3)),GQ30,GS30)</f>
        <v>#N/A</v>
      </c>
      <c r="CO30" s="431" t="e">
        <f ca="1">INDEX(INDIRECT(VLOOKUP(LEFT(BO30,7),CLU!$Z$3:$AH$18,4)),GQ30,GS30)</f>
        <v>#N/A</v>
      </c>
      <c r="CP30" s="431" t="e">
        <f t="shared" ca="1" si="146"/>
        <v>#N/A</v>
      </c>
      <c r="CQ30" s="440">
        <f t="shared" si="147"/>
        <v>0</v>
      </c>
      <c r="CR30" s="51" t="e">
        <f t="shared" ca="1" si="148"/>
        <v>#N/A</v>
      </c>
      <c r="CS30" s="439" t="e">
        <f t="shared" ca="1" si="149"/>
        <v>#VALUE!</v>
      </c>
      <c r="CT30" s="51" t="e">
        <f t="shared" ca="1" si="150"/>
        <v>#VALUE!</v>
      </c>
      <c r="CU30" s="10"/>
      <c r="CV30" s="51" t="e">
        <f t="shared" ca="1" si="34"/>
        <v>#VALUE!</v>
      </c>
      <c r="CW30" s="51">
        <f t="shared" si="151"/>
        <v>0</v>
      </c>
      <c r="CX30" s="439" t="e">
        <f t="shared" ca="1" si="152"/>
        <v>#VALUE!</v>
      </c>
      <c r="CY30" s="51" t="e">
        <f t="shared" ca="1" si="153"/>
        <v>#VALUE!</v>
      </c>
      <c r="CZ30" s="10"/>
      <c r="DA30" s="51" t="e">
        <f t="shared" ca="1" si="154"/>
        <v>#VALUE!</v>
      </c>
      <c r="DB30" s="347" t="e">
        <f ca="1">INDEX(INDIRECT(VLOOKUP(LEFT(BO30,7),CLU!$Z$3:$AI$18,10)),((M30-2)*(6-COUNTBLANK(GT30:GY30)))+GJ30)*LI30</f>
        <v>#N/A</v>
      </c>
      <c r="DC30" s="347" t="str">
        <f>IF(L30&gt;0,((R30/Worksheet!$I$15)/DB30)^2," ")</f>
        <v xml:space="preserve"> </v>
      </c>
      <c r="DD30" s="602" t="str">
        <f t="shared" si="224"/>
        <v xml:space="preserve"> </v>
      </c>
      <c r="DE30" s="347" t="str">
        <f t="shared" si="35"/>
        <v xml:space="preserve"> </v>
      </c>
      <c r="DF30" s="356" t="e">
        <f ca="1">INDEX(INDIRECT(VLOOKUP(LEFT(BO30,7),CLU!$Z$3:$AH$18,8)),((M30-2)*(6-COUNTBLANK(GT30:GY30)))+GJ30)</f>
        <v>#N/A</v>
      </c>
      <c r="DG30" s="347" t="str">
        <f t="shared" si="36"/>
        <v xml:space="preserve"> </v>
      </c>
      <c r="DH30" s="357" t="str">
        <f t="shared" si="37"/>
        <v xml:space="preserve"> </v>
      </c>
      <c r="DI30" s="355" t="str">
        <f t="shared" si="38"/>
        <v xml:space="preserve"> </v>
      </c>
      <c r="DJ30" s="245" t="e">
        <f ca="1">INDEX(INDIRECT(VLOOKUP(LEFT(BO30,7),CLU!$Z$3:$AH$18,5)),GL30,GK30)</f>
        <v>#N/A</v>
      </c>
      <c r="DK30" s="245" t="e">
        <f ca="1">INDEX(INDIRECT(VLOOKUP(LEFT(BO30,7),CLU!$Z$3:$AH$18,6)),GL30,GK30)</f>
        <v>#N/A</v>
      </c>
      <c r="DL30" s="355">
        <f>(Calculation!R30*0.69143*(Calculation!$BQ$8-Calculation!$F$8))*$S$14</f>
        <v>0</v>
      </c>
      <c r="DM30" s="359" t="e">
        <f t="shared" si="160"/>
        <v>#VALUE!</v>
      </c>
      <c r="DN30" s="611">
        <f t="shared" si="161"/>
        <v>0</v>
      </c>
      <c r="DO30" s="359">
        <f t="shared" si="162"/>
        <v>100</v>
      </c>
      <c r="DP30" s="359">
        <f t="shared" si="163"/>
        <v>0</v>
      </c>
      <c r="DQ30" s="360"/>
      <c r="DR30" s="245" t="e">
        <f ca="1">INDEX(INDIRECT(VLOOKUP(LEFT(BO30,7),CLU!$Z$3:$AH$18,7)),M30-1,1)</f>
        <v>#N/A</v>
      </c>
      <c r="DS30" s="245" t="e">
        <f ca="1">INDEX(INDIRECT(VLOOKUP(LEFT(BO30,7),CLU!$Z$3:$AH$18,7)),M30-1,2)</f>
        <v>#N/A</v>
      </c>
      <c r="DT30" s="245" t="e">
        <f ca="1">INDEX(INDIRECT(VLOOKUP(LEFT(BO30,7),CLU!$Z$3:$AH$18,7)),M30-1,3)</f>
        <v>#N/A</v>
      </c>
      <c r="DU30" s="245" t="e">
        <f ca="1">INDEX(INDIRECT(VLOOKUP(LEFT(BO30,7),CLU!$Z$3:$AH$18,7)),M30-1,4)</f>
        <v>#N/A</v>
      </c>
      <c r="DV30" s="361" t="e">
        <f ca="1">INDEX(INDIRECT(VLOOKUP(LEFT(BO30,7),CLU!$Z$3:$AH$18,7)),M30-1,4+LEFT(DZ30,1)*0.5)</f>
        <v>#N/A</v>
      </c>
      <c r="DW30" s="245" t="e">
        <f ca="1">INDEX(INDIRECT(VLOOKUP(LEFT(BO30,7),CLU!$Z$3:$AH$18,7)),M30-1,8)</f>
        <v>#N/A</v>
      </c>
      <c r="DX30" s="361" t="str">
        <f t="shared" si="39"/>
        <v xml:space="preserve"> </v>
      </c>
      <c r="DY30" s="361" t="str">
        <f t="shared" si="40"/>
        <v xml:space="preserve"> </v>
      </c>
      <c r="DZ30" s="361" t="str">
        <f t="shared" si="41"/>
        <v xml:space="preserve"> </v>
      </c>
      <c r="EA30" s="362" t="str">
        <f t="shared" si="42"/>
        <v xml:space="preserve"> </v>
      </c>
      <c r="EB30" s="624" t="str">
        <f t="shared" si="168"/>
        <v xml:space="preserve"> </v>
      </c>
      <c r="EC30" s="361" t="e">
        <f ca="1">INDEX(INDIRECT(VLOOKUP(LEFT(BO30,7),CLU!$Z$3:$AH$18,7)),M30-1,4+LEFT(DZ30,1)*0.5)</f>
        <v>#N/A</v>
      </c>
      <c r="ED30" s="362" t="str">
        <f t="shared" si="43"/>
        <v xml:space="preserve"> </v>
      </c>
      <c r="EE30" s="361" t="str">
        <f t="shared" si="44"/>
        <v xml:space="preserve"> </v>
      </c>
      <c r="EF30" s="362" t="str">
        <f>IF(L30&gt;0,IF(BR30&gt;0,IF(EE30="2P",IF(Calculation!DZ30="2P",IF(Calculation!DS30=13.75,IF(Calculation!DR30=13,Worksheet!$BD$43,IF(Calculation!DR30=37,Worksheet!$BD$44,Worksheet!$BD$45)),IF(Calculation!DS30=10,IF(Calculation!DR30=18,Worksheet!$BD$29,IF(Calculation!DR30=30,Worksheet!$BD$30,IF(Calculation!DR30=42,Worksheet!$BD$31,IF(Calculation!DR30=54,Worksheet!$BD$32,IF(Calculation!DR30=66,Worksheet!$BD$33,IF(Calculation!DR30=78,Worksheet!$BD$34,IF(Calculation!DR30=90,Worksheet!$BD$35,IF(Calculation!DR30=102,Worksheet!$BD$36,Worksheet!$BD$37)))))))),IF(Calculation!DS30=12.5,IF(Calculation!DR30=18,Worksheet!$BD$38,IF(Calculation!DR30=Worksheet!$BD$39,IF(Calculation!DR30=42,Worksheet!$BD$40,IF(Calculation!DR30=54,Worksheet!$BD$41,Worksheet!$BD$42)))),IF(Calculation!DR30=18,Worksheet!$BD$11,IF(Calculation!DR30=30,Worksheet!$BD$12,IF(Calculation!DR30=42,Worksheet!$BD$13,IF(Calculation!DR30=54,Worksheet!$BD$14,IF(Calculation!DR30=66,Worksheet!$BD$15,IF(Calculation!DR30=78,Worksheet!$BD$16,IF(Calculation!DR30=90,Worksheet!$BD$17,IF(Calculation!DR30=102,Worksheet!$BD$18,Worksheet!$BD$19))))))))))),IF(Calculation!DS30=13.75,IF(Calculation!DR30=13,Worksheet!$BD$78,IF(Calculation!DR30=37,Worksheet!$BD$79,Worksheet!$BD$80)),IF(Calculation!DS30=10,IF(Calculation!DR30=18,Worksheet!$BD$64,IF(Calculation!DR30=30,Worksheet!$BD$65,IF(Calculation!DR30=42,Worksheet!$BD$66,IF(Calculation!DR30=54,Worksheet!$BD$68,IF(Calculation!DR30=66,Worksheet!$BD$68,IF(Calculation!DR30=78,Worksheet!$BD$69,IF(Calculation!DR30=90,Worksheet!$BD$70,IF(Calculation!DR30=102,Worksheet!$BD$71,Worksheet!$BD$72)))))))),IF(Calculation!DS30=12.5,IF(Calculation!DR30=18,Worksheet!$BD$73,IF(Calculation!DR30=Worksheet!$BD$74,IF(Calculation!DR30=42,Worksheet!$BD$75,IF(Calculation!DR30=54,Worksheet!$BD$76,Worksheet!$BD$77)))),IF(Calculation!DR30=18,Worksheet!$BD$55,IF(Calculation!DR30=30,Worksheet!$BD$56,IF(Calculation!DR30=42,Worksheet!$BD$57,IF(Calculation!DR30=54,Worksheet!$BD$58,IF(Calculation!DR30=66,Worksheet!$BD$59,IF(Calculation!DR30=78,Worksheet!$BD$60,IF(Calculation!DR30=90,Worksheet!$BD$61,IF(Calculation!DR30=102,Worksheet!$BD$62,Worksheet!$BD$63)))))))))))),5),0)," ")</f>
        <v xml:space="preserve"> </v>
      </c>
      <c r="EG30" s="361" t="str">
        <f t="shared" si="45"/>
        <v xml:space="preserve"> </v>
      </c>
      <c r="EH30" s="361" t="e">
        <f ca="1">INDEX(INDIRECT(VLOOKUP(LEFT(BO30,7),CLU!$Z$3:$AH$18,7)),M30-1,3+LEFT(DZ30,1))</f>
        <v>#N/A</v>
      </c>
      <c r="EI30" s="362" t="str">
        <f t="shared" si="46"/>
        <v xml:space="preserve"> </v>
      </c>
      <c r="EJ30" s="363" t="str">
        <f t="shared" si="47"/>
        <v xml:space="preserve"> </v>
      </c>
      <c r="EK30" s="363" t="str">
        <f t="shared" si="48"/>
        <v xml:space="preserve"> </v>
      </c>
      <c r="EL30" s="363" t="str">
        <f t="shared" si="49"/>
        <v xml:space="preserve"> </v>
      </c>
      <c r="EM30" s="362" t="str">
        <f>IF(L30&gt;0,IF(BR30&gt;0,(Calculation!T30/ED30)^2,0)," ")</f>
        <v xml:space="preserve"> </v>
      </c>
      <c r="EN30" s="362" t="str">
        <f>IF(L30&gt;0,IF(O30="2 Pipe (Cooling)","N/A",IF(BR30&gt;0,(Calculation!U30/EI30)^2,0))," ")</f>
        <v xml:space="preserve"> </v>
      </c>
      <c r="EO30" s="361" t="str">
        <f t="shared" si="50"/>
        <v/>
      </c>
      <c r="EP30" s="361" t="str">
        <f t="shared" si="51"/>
        <v/>
      </c>
      <c r="EQ30" s="361" t="str">
        <f t="shared" si="52"/>
        <v/>
      </c>
      <c r="ER30" s="361" t="str">
        <f t="shared" si="53"/>
        <v/>
      </c>
      <c r="ES30" s="361" t="str">
        <f t="shared" si="54"/>
        <v/>
      </c>
      <c r="ET30" s="361" t="str">
        <f t="shared" si="55"/>
        <v/>
      </c>
      <c r="EU30" s="361" t="str">
        <f t="shared" si="56"/>
        <v/>
      </c>
      <c r="EV30" s="361" t="str">
        <f t="shared" si="57"/>
        <v/>
      </c>
      <c r="EW30" s="361" t="str">
        <f t="shared" si="58"/>
        <v/>
      </c>
      <c r="EX30" s="361" t="str">
        <f t="shared" si="169"/>
        <v>1 slot, 1 way</v>
      </c>
      <c r="EY30" s="361" t="str">
        <f t="shared" si="170"/>
        <v xml:space="preserve"> </v>
      </c>
      <c r="EZ30" s="361" t="str">
        <f t="shared" si="171"/>
        <v xml:space="preserve"> </v>
      </c>
      <c r="FA30" s="361" t="str">
        <f t="shared" si="172"/>
        <v xml:space="preserve"> </v>
      </c>
      <c r="FB30" s="361" t="str">
        <f t="shared" si="173"/>
        <v xml:space="preserve"> </v>
      </c>
      <c r="FC30" s="361"/>
      <c r="FD30" s="361" t="str">
        <f>IF(J30&gt;0,IF(Calculation!R30&lt;=70,4,IF(Calculation!R30&lt;=110,5,IF(Calculation!R30&lt;=160,6,IF(Calculation!R30&lt;=300,8,"10 EO")))),"")</f>
        <v/>
      </c>
      <c r="FE30" s="361" t="str">
        <f t="shared" si="174"/>
        <v/>
      </c>
      <c r="FF30" s="361" t="str">
        <f t="shared" si="175"/>
        <v/>
      </c>
      <c r="FG30" s="361" t="e">
        <f t="shared" si="60"/>
        <v>#N/A</v>
      </c>
      <c r="FH30" s="361">
        <f t="shared" si="61"/>
        <v>0</v>
      </c>
      <c r="FI30" s="361" t="e">
        <f t="shared" si="62"/>
        <v>#DIV/0!</v>
      </c>
      <c r="FJ30" s="361"/>
      <c r="FK30" s="356" t="e">
        <f t="shared" si="63"/>
        <v>#VALUE!</v>
      </c>
      <c r="FL30" s="361"/>
      <c r="FM30" s="361"/>
      <c r="FN30" s="362" t="str">
        <f t="shared" si="176"/>
        <v xml:space="preserve"> </v>
      </c>
      <c r="FO30" s="362" t="str">
        <f t="shared" si="177"/>
        <v xml:space="preserve"> </v>
      </c>
      <c r="FP30" s="362">
        <f t="shared" si="178"/>
        <v>0</v>
      </c>
      <c r="FQ30" s="361">
        <f t="shared" si="64"/>
        <v>0</v>
      </c>
      <c r="FR30" s="362" t="str">
        <f>IF(L30&gt;0,IF(J30="CBAL2",Worksheet!$P$67,IF(J30="CBE2-24",Worksheet!$Q$67,IF(J30="CBAM",Worksheet!$R$67,IF(J30="CBLV",Worksheet!$S$67,IF(J30="CBAB",Worksheet!$U$67,IF(J30="CBAW",Worksheet!$X$67,IF(J30="CBE2-12",Worksheet!$Y$67,IF(J30="CBAL2",Worksheet!$Z$67,"N/A"))))))))," ")</f>
        <v xml:space="preserve"> </v>
      </c>
      <c r="FS30" s="362" t="str">
        <f>IF(L30&gt;0,IF(J30="CBAL2",Worksheet!$P$68,IF(J30="CBE2-24",Worksheet!$Q$68,IF(J30="CBAM",Worksheet!$R$68,IF(J30="CBLV",Worksheet!$S$68,IF(J30="CBAB",Worksheet!$U$68,IF(J30="CBAW",Worksheet!$X$68,IF(J30="CBE2-12",Worksheet!$Y$68,IF(J30="CBAL2",Worksheet!$Z$68,"N/A"))))))))," ")</f>
        <v xml:space="preserve"> </v>
      </c>
      <c r="FT30" s="362" t="str">
        <f>IF(L30&gt;0,IF(J30="CBAL2",Worksheet!$P$69,IF(J30="CBE2-24",Worksheet!$Q$69,IF(J30="CBAM",Worksheet!$R$69,IF(J30="CBLV",Worksheet!$S$69,IF(J30="CBAB",Worksheet!$U$69,IF(J30="CBAW",Worksheet!$X$69,IF(J30="CBE2-12",Worksheet!$Y$69,IF(J30="CBAL2",Worksheet!$Z$69,"N/A"))))))))," ")</f>
        <v xml:space="preserve"> </v>
      </c>
      <c r="FU30" s="361" t="str">
        <f t="shared" si="179"/>
        <v xml:space="preserve"> </v>
      </c>
      <c r="FV30" s="362" t="str">
        <f t="shared" si="180"/>
        <v xml:space="preserve"> </v>
      </c>
      <c r="FW30" s="362" t="str">
        <f t="shared" si="181"/>
        <v xml:space="preserve"> </v>
      </c>
      <c r="FX30" s="362" t="str">
        <f t="shared" si="182"/>
        <v xml:space="preserve"> </v>
      </c>
      <c r="FY30" s="355" t="str">
        <f t="shared" si="183"/>
        <v xml:space="preserve"> </v>
      </c>
      <c r="FZ30" s="361" t="str">
        <f t="shared" si="184"/>
        <v xml:space="preserve"> </v>
      </c>
      <c r="GA30" s="347" t="str">
        <f t="shared" si="185"/>
        <v xml:space="preserve"> </v>
      </c>
      <c r="GB30" s="355" t="str">
        <f t="shared" si="186"/>
        <v xml:space="preserve"> </v>
      </c>
      <c r="GC30" s="328" t="str">
        <f t="shared" si="187"/>
        <v xml:space="preserve"> </v>
      </c>
      <c r="GD30" s="361" t="str">
        <f t="shared" si="188"/>
        <v xml:space="preserve"> </v>
      </c>
      <c r="GE30" s="347" t="str">
        <f t="shared" si="189"/>
        <v xml:space="preserve"> </v>
      </c>
      <c r="GF30" s="361" t="str">
        <f t="shared" si="190"/>
        <v xml:space="preserve"> </v>
      </c>
      <c r="GG30" s="347" t="str">
        <f t="shared" si="191"/>
        <v xml:space="preserve"> </v>
      </c>
      <c r="GH30" s="364">
        <f t="shared" si="78"/>
        <v>0</v>
      </c>
      <c r="GI30" s="362">
        <f t="shared" si="192"/>
        <v>2</v>
      </c>
      <c r="GJ30" s="433" t="e">
        <f>IF(6-COUNTBLANK(GT30:GY30)=4,MATCH(MID(BO30,9,3),CLU!$H$16:$K$16),MATCH(MID(BO30,9,3),CLU!$H$13:$M$13))</f>
        <v>#N/A</v>
      </c>
      <c r="GK30" s="433" t="e">
        <f>HLOOKUP(VALUE(BP30),CLU!$H$9:$M$10,2)</f>
        <v>#VALUE!</v>
      </c>
      <c r="GL30" s="433" t="e">
        <f ca="1">MATCH(BU30,CLU!$H$2:$V$2,1)</f>
        <v>#VALUE!</v>
      </c>
      <c r="GM30" s="433" t="e">
        <f t="shared" ca="1" si="193"/>
        <v>#VALUE!</v>
      </c>
      <c r="GN30" s="433" t="e">
        <f t="shared" ca="1" si="194"/>
        <v>#VALUE!</v>
      </c>
      <c r="GO30" s="433" t="e">
        <f t="shared" ca="1" si="195"/>
        <v>#VALUE!</v>
      </c>
      <c r="GP30" s="433" t="e">
        <f t="shared" ca="1" si="196"/>
        <v>#VALUE!</v>
      </c>
      <c r="GQ30" s="433" t="e">
        <f t="shared" ca="1" si="197"/>
        <v>#VALUE!</v>
      </c>
      <c r="GR30" s="433" t="e">
        <f ca="1">MATCH(T30,INDIRECT(VLOOKUP(CONCATENATE(LEFT(BO30,7),"-",MID(BO30,13,1)),CLU!$P$3:$Q$16,2)),1)</f>
        <v>#N/A</v>
      </c>
      <c r="GS30" s="433" t="e">
        <f ca="1">MATCH(U30,INDIRECT(VLOOKUP(CONCATENATE(LEFT(BO30,7),"-",MID(BO30,13,1)),CLU!$P$3:$Q$16,2)),1)</f>
        <v>#N/A</v>
      </c>
      <c r="GT30" s="347" t="s">
        <v>512</v>
      </c>
      <c r="GU30" s="97" t="s">
        <v>513</v>
      </c>
      <c r="GV30" s="97" t="str">
        <f t="shared" si="198"/>
        <v>M23</v>
      </c>
      <c r="GW30" s="97" t="str">
        <f t="shared" si="199"/>
        <v>M31</v>
      </c>
      <c r="GX30" s="97" t="str">
        <f t="shared" si="200"/>
        <v/>
      </c>
      <c r="GY30" s="97" t="str">
        <f t="shared" si="201"/>
        <v/>
      </c>
      <c r="GZ30" s="481"/>
      <c r="HA30" s="288"/>
      <c r="HB30" s="240"/>
      <c r="HC30" s="240"/>
      <c r="HD30" s="240"/>
      <c r="HE30" s="240"/>
      <c r="HF30" s="240"/>
      <c r="HG30" s="240"/>
      <c r="HH30" s="240"/>
      <c r="HI30" s="240"/>
      <c r="HJ30" s="240"/>
      <c r="HK30" s="240"/>
      <c r="HL30" s="240"/>
      <c r="HM30" s="240"/>
      <c r="HN30" s="240"/>
      <c r="HO30" s="240"/>
      <c r="HP30" s="240"/>
      <c r="HQ30" s="240"/>
      <c r="HR30" s="240"/>
      <c r="HS30" s="240"/>
      <c r="HT30" s="240"/>
      <c r="HU30" s="240"/>
      <c r="HV30" s="245"/>
      <c r="HW30" s="245" t="b">
        <v>1</v>
      </c>
      <c r="HX30" s="245" t="str">
        <f t="shared" si="79"/>
        <v/>
      </c>
      <c r="HY30" s="245" t="e">
        <f t="shared" si="80"/>
        <v>#DIV/0!</v>
      </c>
      <c r="HZ30" s="245" t="e">
        <f t="shared" si="81"/>
        <v>#DIV/0!</v>
      </c>
      <c r="IA30" s="245">
        <f t="shared" si="82"/>
        <v>0</v>
      </c>
      <c r="IB30" s="245"/>
      <c r="IC30" t="b">
        <f t="shared" si="83"/>
        <v>1</v>
      </c>
      <c r="ID30" s="245" t="b">
        <f t="shared" si="84"/>
        <v>1</v>
      </c>
      <c r="IE30" s="245" t="b">
        <f t="shared" si="85"/>
        <v>1</v>
      </c>
      <c r="IF30" s="245" t="b">
        <f t="shared" si="86"/>
        <v>0</v>
      </c>
      <c r="IG30" s="245" t="b">
        <f t="shared" si="87"/>
        <v>1</v>
      </c>
      <c r="IH30" s="245" t="b">
        <f t="shared" si="88"/>
        <v>1</v>
      </c>
      <c r="II30" s="245">
        <f t="shared" si="202"/>
        <v>0</v>
      </c>
      <c r="IJ30" s="245" t="e">
        <f t="shared" si="89"/>
        <v>#VALUE!</v>
      </c>
      <c r="IK30" s="245" t="e">
        <f t="shared" si="90"/>
        <v>#VALUE!</v>
      </c>
      <c r="IL30" s="245"/>
      <c r="IM30" s="245" t="e">
        <f t="shared" si="203"/>
        <v>#N/A</v>
      </c>
      <c r="IN30" s="245" t="e">
        <f t="shared" si="204"/>
        <v>#N/A</v>
      </c>
      <c r="IO30" s="245"/>
      <c r="IP30" s="245"/>
      <c r="IQ30" s="245" t="str">
        <f t="shared" si="91"/>
        <v/>
      </c>
      <c r="IR30" s="245" t="str">
        <f>IF(J30="","",VLOOKUP(J30,Worksheet!$R$4:$T$14,2))</f>
        <v/>
      </c>
      <c r="IS30" s="245"/>
      <c r="IT30" s="245">
        <f t="shared" si="92"/>
        <v>0</v>
      </c>
      <c r="IU30" s="245">
        <f t="shared" si="93"/>
        <v>0</v>
      </c>
      <c r="IV30" s="245">
        <f t="shared" si="94"/>
        <v>0</v>
      </c>
      <c r="IW30" s="245">
        <f t="shared" si="95"/>
        <v>0</v>
      </c>
      <c r="IX30" s="245">
        <f t="shared" si="205"/>
        <v>0</v>
      </c>
      <c r="IY30" s="245">
        <f t="shared" si="96"/>
        <v>0</v>
      </c>
      <c r="IZ30" s="245">
        <f t="shared" si="97"/>
        <v>0</v>
      </c>
      <c r="JA30">
        <f t="shared" si="98"/>
        <v>0</v>
      </c>
      <c r="JB30">
        <f t="shared" si="206"/>
        <v>0</v>
      </c>
      <c r="JC30">
        <f t="shared" si="99"/>
        <v>0</v>
      </c>
      <c r="JD30">
        <f t="shared" si="100"/>
        <v>0</v>
      </c>
      <c r="JE30">
        <f t="shared" si="101"/>
        <v>0</v>
      </c>
      <c r="JF30">
        <f t="shared" si="102"/>
        <v>0</v>
      </c>
      <c r="JG30">
        <f t="shared" si="103"/>
        <v>0</v>
      </c>
      <c r="JH30">
        <f t="shared" si="104"/>
        <v>0</v>
      </c>
      <c r="JI30">
        <f t="shared" si="105"/>
        <v>0</v>
      </c>
      <c r="JJ30" s="447">
        <f t="shared" si="106"/>
        <v>0</v>
      </c>
      <c r="JK30" s="447">
        <f t="shared" si="107"/>
        <v>0</v>
      </c>
      <c r="JL30">
        <f t="shared" si="108"/>
        <v>0</v>
      </c>
      <c r="JM30" s="245" t="str">
        <f>IFERROR(VLOOKUP(MATCH(BN30,#REF!,0),#REF!,7),"")</f>
        <v/>
      </c>
      <c r="JN30" t="e">
        <f>HLOOKUP(LEFT(BO30,7),Discharge_Area,MATCH(JO30,LookUps!$B$130:$B$149,1)+2)</f>
        <v>#N/A</v>
      </c>
      <c r="JO30" t="str">
        <f t="shared" si="109"/>
        <v>- S</v>
      </c>
      <c r="JP30" t="e">
        <f>HLOOKUP(LEFT(BO30,7),Discharge_Area,MATCH(JO30,LookUps!$B$130:$B$149,1)+2)</f>
        <v>#N/A</v>
      </c>
      <c r="JQ30" t="e">
        <f t="shared" si="110"/>
        <v>#N/A</v>
      </c>
      <c r="JR30" t="e">
        <f t="shared" si="111"/>
        <v>#N/A</v>
      </c>
      <c r="JS30" t="e">
        <f t="shared" si="112"/>
        <v>#N/A</v>
      </c>
      <c r="JT30" s="532" t="str">
        <f t="shared" si="113"/>
        <v xml:space="preserve"> </v>
      </c>
      <c r="JU30" s="532" t="str">
        <f t="shared" si="114"/>
        <v xml:space="preserve"> </v>
      </c>
      <c r="JV30" s="533" t="str">
        <f t="shared" si="115"/>
        <v xml:space="preserve"> </v>
      </c>
      <c r="JW30" s="534">
        <f t="shared" si="116"/>
        <v>0</v>
      </c>
      <c r="JX30" s="535" t="str">
        <f t="shared" si="207"/>
        <v xml:space="preserve"> </v>
      </c>
      <c r="JY30" s="535" t="str">
        <f t="shared" si="208"/>
        <v xml:space="preserve"> </v>
      </c>
      <c r="JZ30" s="535" t="str">
        <f t="shared" si="209"/>
        <v xml:space="preserve"> </v>
      </c>
      <c r="KA30" s="536" t="str">
        <f t="shared" si="117"/>
        <v xml:space="preserve"> </v>
      </c>
      <c r="KB30" s="535" t="e">
        <f t="shared" si="210"/>
        <v>#VALUE!</v>
      </c>
      <c r="KC30" s="535" t="str">
        <f t="shared" si="118"/>
        <v/>
      </c>
      <c r="KD30" s="537" t="str">
        <f t="shared" si="211"/>
        <v xml:space="preserve"> </v>
      </c>
      <c r="KE30" s="537" t="str">
        <f t="shared" si="212"/>
        <v xml:space="preserve"> </v>
      </c>
      <c r="KF30" s="534">
        <f t="shared" si="119"/>
        <v>0</v>
      </c>
      <c r="KG30" s="535" t="str">
        <f t="shared" si="120"/>
        <v xml:space="preserve"> </v>
      </c>
      <c r="KH30" s="535" t="str">
        <f t="shared" si="121"/>
        <v xml:space="preserve"> </v>
      </c>
      <c r="KI30" s="535" t="str">
        <f t="shared" si="122"/>
        <v xml:space="preserve"> </v>
      </c>
      <c r="KJ30" s="536" t="str">
        <f t="shared" si="123"/>
        <v xml:space="preserve"> </v>
      </c>
      <c r="KK30" s="535" t="str">
        <f t="shared" si="213"/>
        <v xml:space="preserve"> </v>
      </c>
      <c r="KL30" s="535" t="str">
        <f t="shared" si="214"/>
        <v xml:space="preserve"> </v>
      </c>
      <c r="KM30" s="537" t="str">
        <f t="shared" si="124"/>
        <v xml:space="preserve"> </v>
      </c>
      <c r="KN30" s="537" t="str">
        <f t="shared" si="215"/>
        <v xml:space="preserve"> </v>
      </c>
      <c r="KP30">
        <f t="shared" si="125"/>
        <v>0</v>
      </c>
      <c r="LA30" t="e">
        <f t="shared" si="126"/>
        <v>#VALUE!</v>
      </c>
      <c r="LB30" t="e">
        <f t="shared" si="127"/>
        <v>#VALUE!</v>
      </c>
      <c r="LC30" t="e">
        <f t="shared" si="128"/>
        <v>#VALUE!</v>
      </c>
      <c r="LD30" t="e">
        <f t="shared" si="129"/>
        <v>#VALUE!</v>
      </c>
      <c r="LE30" t="e">
        <f t="shared" si="216"/>
        <v>#VALUE!</v>
      </c>
      <c r="LF30">
        <f t="shared" si="130"/>
        <v>0</v>
      </c>
      <c r="LG30" t="e">
        <f t="shared" si="217"/>
        <v>#VALUE!</v>
      </c>
      <c r="LH30" t="str">
        <f t="shared" si="131"/>
        <v xml:space="preserve"> </v>
      </c>
      <c r="LI30">
        <f t="shared" si="218"/>
        <v>1</v>
      </c>
    </row>
    <row r="31" spans="1:321" ht="15" customHeight="1">
      <c r="B31" s="311"/>
      <c r="C31" s="311"/>
      <c r="D31" s="312"/>
      <c r="E31" s="311"/>
      <c r="F31" s="312"/>
      <c r="G31" s="311"/>
      <c r="H31" s="311"/>
      <c r="I31" s="37"/>
      <c r="J31" s="311"/>
      <c r="K31" s="305" t="str">
        <f t="shared" si="132"/>
        <v/>
      </c>
      <c r="L31" s="313"/>
      <c r="M31" s="312"/>
      <c r="N31" s="311"/>
      <c r="O31" s="312"/>
      <c r="P31" s="311"/>
      <c r="Q31" s="305" t="str">
        <f t="shared" si="133"/>
        <v/>
      </c>
      <c r="R31" s="314"/>
      <c r="S31" s="450" t="str">
        <f t="shared" si="0"/>
        <v/>
      </c>
      <c r="T31" s="315"/>
      <c r="U31" s="315"/>
      <c r="W31" s="149" t="str">
        <f t="shared" si="1"/>
        <v xml:space="preserve"> </v>
      </c>
      <c r="X31" s="243" t="str">
        <f t="shared" si="2"/>
        <v xml:space="preserve"> </v>
      </c>
      <c r="Y31" s="150" t="str">
        <f t="shared" si="3"/>
        <v/>
      </c>
      <c r="Z31" s="149" t="str">
        <f t="shared" si="4"/>
        <v xml:space="preserve"> </v>
      </c>
      <c r="AA31" s="98" t="str">
        <f t="shared" si="5"/>
        <v xml:space="preserve"> </v>
      </c>
      <c r="AB31" s="153" t="str">
        <f t="shared" si="6"/>
        <v xml:space="preserve"> </v>
      </c>
      <c r="AC31" s="153" t="str">
        <f t="shared" si="7"/>
        <v xml:space="preserve"> </v>
      </c>
      <c r="AD31" s="148" t="str">
        <f t="shared" si="8"/>
        <v/>
      </c>
      <c r="AE31" s="149" t="str">
        <f t="shared" si="9"/>
        <v/>
      </c>
      <c r="AF31" s="151" t="str">
        <f t="shared" si="10"/>
        <v xml:space="preserve"> </v>
      </c>
      <c r="AG31" s="153" t="str">
        <f t="shared" si="11"/>
        <v xml:space="preserve"> </v>
      </c>
      <c r="AH31" s="98" t="str">
        <f t="shared" si="12"/>
        <v xml:space="preserve"> </v>
      </c>
      <c r="AI31" s="149" t="str">
        <f t="shared" si="13"/>
        <v xml:space="preserve"> </v>
      </c>
      <c r="AK31" s="144" t="str">
        <f t="shared" si="14"/>
        <v xml:space="preserve"> </v>
      </c>
      <c r="AL31" s="144"/>
      <c r="AM31" s="243" t="str">
        <f t="shared" si="15"/>
        <v xml:space="preserve"> </v>
      </c>
      <c r="AN31" s="149" t="str">
        <f t="shared" si="134"/>
        <v xml:space="preserve"> </v>
      </c>
      <c r="AO31" s="144" t="str">
        <f>IF(JB31&gt;0,IF(GI31=10,-R31*1.085*(Calculation!$F$6-Calculation!$F$13)*$S$14," "),"")</f>
        <v/>
      </c>
      <c r="AP31" s="144" t="str">
        <f t="shared" si="16"/>
        <v/>
      </c>
      <c r="AQ31" s="56" t="str">
        <f t="shared" si="17"/>
        <v/>
      </c>
      <c r="AR31" s="144" t="str">
        <f t="shared" si="18"/>
        <v/>
      </c>
      <c r="AS31" s="176" t="str">
        <f t="shared" si="19"/>
        <v/>
      </c>
      <c r="AT31" s="176" t="str">
        <f t="shared" si="135"/>
        <v xml:space="preserve"> </v>
      </c>
      <c r="AU31" s="176" t="str">
        <f t="shared" si="20"/>
        <v/>
      </c>
      <c r="AV31" s="177" t="str">
        <f t="shared" si="21"/>
        <v xml:space="preserve"> </v>
      </c>
      <c r="AW31" s="144" t="str">
        <f t="shared" si="22"/>
        <v xml:space="preserve"> </v>
      </c>
      <c r="AX31" s="144" t="str">
        <f t="shared" si="23"/>
        <v xml:space="preserve"> </v>
      </c>
      <c r="AY31" s="152" t="str">
        <f t="shared" si="24"/>
        <v xml:space="preserve"> </v>
      </c>
      <c r="AZ31" s="246" t="str">
        <f t="shared" si="25"/>
        <v/>
      </c>
      <c r="BA31" s="176" t="str">
        <f t="shared" si="26"/>
        <v xml:space="preserve"> </v>
      </c>
      <c r="BB31" s="176" t="str">
        <f t="shared" si="27"/>
        <v xml:space="preserve"> </v>
      </c>
      <c r="BC31" s="195"/>
      <c r="BD31" s="316"/>
      <c r="BE31" s="317"/>
      <c r="BF31" s="318"/>
      <c r="BG31" s="318"/>
      <c r="BH31" s="144" t="str">
        <f t="shared" si="219"/>
        <v xml:space="preserve"> </v>
      </c>
      <c r="BI31" s="176" t="str">
        <f t="shared" si="28"/>
        <v/>
      </c>
      <c r="BJ31" s="144" t="str">
        <f t="shared" si="220"/>
        <v/>
      </c>
      <c r="BK31" s="246" t="str">
        <f t="shared" si="29"/>
        <v/>
      </c>
      <c r="BL31" s="144" t="str">
        <f t="shared" si="221"/>
        <v/>
      </c>
      <c r="BM31" s="246" t="str">
        <f t="shared" si="30"/>
        <v/>
      </c>
      <c r="BN31" s="337" t="str">
        <f t="shared" si="136"/>
        <v/>
      </c>
      <c r="BO31" s="371" t="str">
        <f t="shared" si="137"/>
        <v/>
      </c>
      <c r="BP31" s="328" t="str">
        <f t="shared" si="222"/>
        <v xml:space="preserve"> </v>
      </c>
      <c r="BQ31" s="347" t="str">
        <f t="shared" si="138"/>
        <v xml:space="preserve"> </v>
      </c>
      <c r="BR31" s="353" t="str">
        <f t="shared" si="223"/>
        <v xml:space="preserve"> </v>
      </c>
      <c r="BS31" s="626" t="str">
        <f>IF(L31&gt;0,IF(Calculation!P31="M13",BR31*3.1416*(0.134^2)/(4*144),IF(Calculation!P31="M17",BR31*3.1416*(0.165^2)/(4*144),IF(Calculation!P31="M20",BR31*3.1416*(0.198^2)/(4*144),IF(Calculation!P31="M23",BR31*3.1416*(0.228^2)/(4*144),IF(Calculation!P31="M27",BR31*3.1416*(0.269^2)/(4*144),BR31*3.1416*(0.307^2)/(4*144))))))," ")</f>
        <v xml:space="preserve"> </v>
      </c>
      <c r="BT31" s="353" t="str">
        <f>IF(L31&gt;0,IF(BS31&gt;0,R31/Calculation!BS31,0)," ")</f>
        <v xml:space="preserve"> </v>
      </c>
      <c r="BU31" s="438" t="e">
        <f t="shared" ca="1" si="31"/>
        <v>#VALUE!</v>
      </c>
      <c r="BV31" s="449" t="e">
        <f ca="1">INDEX(INDIRECT(VLOOKUP(LEFT(BO31,7),CLU!$Z$3:$AH$18,2)),GN31,GR31)</f>
        <v>#N/A</v>
      </c>
      <c r="BW31" s="433" t="e">
        <f ca="1">INDEX(INDIRECT(VLOOKUP(LEFT(BO31,7),CLU!$Z$3:$AH$18,3)),GN31,GR31)</f>
        <v>#N/A</v>
      </c>
      <c r="BX31" s="433" t="e">
        <f ca="1">INDEX(INDIRECT(VLOOKUP(LEFT(BO31,7),CLU!$Z$3:$AH$18,4)),GN31,GR31)</f>
        <v>#N/A</v>
      </c>
      <c r="BY31" s="433" t="e">
        <f ca="1">INDEX(INDIRECT(VLOOKUP(LEFT(BO31,7),CLU!$Z$3:$AH$18,9)),((M31-2)*(6-COUNTBLANK(GT31:GY31)))+GJ31)</f>
        <v>#N/A</v>
      </c>
      <c r="BZ31" s="426" t="e">
        <f t="shared" ca="1" si="139"/>
        <v>#N/A</v>
      </c>
      <c r="CA31" s="424" t="e">
        <f t="shared" ca="1" si="140"/>
        <v>#N/A</v>
      </c>
      <c r="CB31" s="429" t="e">
        <f ca="1">INDEX(INDIRECT(VLOOKUP(LEFT(BO31,7),CLU!$Z$3:$AH$18,2)),GN31,GS31)</f>
        <v>#N/A</v>
      </c>
      <c r="CC31" s="342" t="e">
        <f ca="1">INDEX(INDIRECT(VLOOKUP(LEFT(BO31,7),CLU!$Z$3:$AH$18,3)),GN31,GS31)</f>
        <v>#N/A</v>
      </c>
      <c r="CD31" s="342" t="e">
        <f ca="1">INDEX(INDIRECT(VLOOKUP(LEFT(BO31,7),CLU!$Z$3:$AH$18,4)),GN31,GS31)</f>
        <v>#N/A</v>
      </c>
      <c r="CE31" s="426" t="e">
        <f t="shared" ca="1" si="141"/>
        <v>#N/A</v>
      </c>
      <c r="CF31" s="440">
        <f t="shared" si="142"/>
        <v>0</v>
      </c>
      <c r="CG31" s="431" t="e">
        <f ca="1">INDEX(INDIRECT(VLOOKUP(LEFT(BO31,7),CLU!$Z$3:$AH$18,2)),GQ31,GR31)</f>
        <v>#N/A</v>
      </c>
      <c r="CH31" s="431" t="e">
        <f ca="1">INDEX(INDIRECT(VLOOKUP(LEFT(BO31,7),CLU!$Z$3:$AH$18,3)),GQ31,GR31)</f>
        <v>#N/A</v>
      </c>
      <c r="CI31" s="431" t="e">
        <f ca="1">INDEX(INDIRECT(VLOOKUP(LEFT(BO31,7),CLU!$Z$3:$AH$18,4)),GQ31,GR31)</f>
        <v>#N/A</v>
      </c>
      <c r="CJ31" s="448" t="e">
        <f t="shared" ca="1" si="143"/>
        <v>#N/A</v>
      </c>
      <c r="CK31" s="431" t="e">
        <f t="shared" ca="1" si="144"/>
        <v>#N/A</v>
      </c>
      <c r="CL31" s="440" t="e">
        <f t="shared" ca="1" si="145"/>
        <v>#N/A</v>
      </c>
      <c r="CM31" s="431" t="e">
        <f ca="1">INDEX(INDIRECT(VLOOKUP(LEFT(BO31,7),CLU!$Z$3:$AH$18,2)),GQ31,GS31)</f>
        <v>#N/A</v>
      </c>
      <c r="CN31" s="431" t="e">
        <f ca="1">INDEX(INDIRECT(VLOOKUP(LEFT(BO31,7),CLU!$Z$3:$AH$18,3)),GQ31,GS31)</f>
        <v>#N/A</v>
      </c>
      <c r="CO31" s="431" t="e">
        <f ca="1">INDEX(INDIRECT(VLOOKUP(LEFT(BO31,7),CLU!$Z$3:$AH$18,4)),GQ31,GS31)</f>
        <v>#N/A</v>
      </c>
      <c r="CP31" s="431" t="e">
        <f t="shared" ca="1" si="146"/>
        <v>#N/A</v>
      </c>
      <c r="CQ31" s="440">
        <f t="shared" si="147"/>
        <v>0</v>
      </c>
      <c r="CR31" s="51" t="e">
        <f t="shared" ca="1" si="148"/>
        <v>#N/A</v>
      </c>
      <c r="CS31" s="439" t="e">
        <f t="shared" ca="1" si="149"/>
        <v>#VALUE!</v>
      </c>
      <c r="CT31" s="51" t="e">
        <f t="shared" ca="1" si="150"/>
        <v>#VALUE!</v>
      </c>
      <c r="CU31" s="10"/>
      <c r="CV31" s="51" t="e">
        <f t="shared" ca="1" si="34"/>
        <v>#VALUE!</v>
      </c>
      <c r="CW31" s="51">
        <f t="shared" si="151"/>
        <v>0</v>
      </c>
      <c r="CX31" s="439" t="e">
        <f t="shared" ca="1" si="152"/>
        <v>#VALUE!</v>
      </c>
      <c r="CY31" s="51" t="e">
        <f t="shared" ca="1" si="153"/>
        <v>#VALUE!</v>
      </c>
      <c r="CZ31" s="10"/>
      <c r="DA31" s="51" t="e">
        <f t="shared" ca="1" si="154"/>
        <v>#VALUE!</v>
      </c>
      <c r="DB31" s="347" t="e">
        <f ca="1">INDEX(INDIRECT(VLOOKUP(LEFT(BO31,7),CLU!$Z$3:$AI$18,10)),((M31-2)*(6-COUNTBLANK(GT31:GY31)))+GJ31)*LI31</f>
        <v>#N/A</v>
      </c>
      <c r="DC31" s="347" t="str">
        <f>IF(L31&gt;0,((R31/Worksheet!$I$15)/DB31)^2," ")</f>
        <v xml:space="preserve"> </v>
      </c>
      <c r="DD31" s="602" t="str">
        <f t="shared" si="224"/>
        <v xml:space="preserve"> </v>
      </c>
      <c r="DE31" s="347" t="str">
        <f t="shared" si="35"/>
        <v xml:space="preserve"> </v>
      </c>
      <c r="DF31" s="356" t="e">
        <f ca="1">INDEX(INDIRECT(VLOOKUP(LEFT(BO31,7),CLU!$Z$3:$AH$18,8)),((M31-2)*(6-COUNTBLANK(GT31:GY31)))+GJ31)</f>
        <v>#N/A</v>
      </c>
      <c r="DG31" s="347" t="str">
        <f t="shared" si="36"/>
        <v xml:space="preserve"> </v>
      </c>
      <c r="DH31" s="357" t="str">
        <f t="shared" si="37"/>
        <v xml:space="preserve"> </v>
      </c>
      <c r="DI31" s="355" t="str">
        <f t="shared" si="38"/>
        <v xml:space="preserve"> </v>
      </c>
      <c r="DJ31" s="245" t="e">
        <f ca="1">INDEX(INDIRECT(VLOOKUP(LEFT(BO31,7),CLU!$Z$3:$AH$18,5)),GL31,GK31)</f>
        <v>#N/A</v>
      </c>
      <c r="DK31" s="245" t="e">
        <f ca="1">INDEX(INDIRECT(VLOOKUP(LEFT(BO31,7),CLU!$Z$3:$AH$18,6)),GL31,GK31)</f>
        <v>#N/A</v>
      </c>
      <c r="DL31" s="355">
        <f>(Calculation!R31*0.69143*(Calculation!$BQ$8-Calculation!$F$8))*$S$14</f>
        <v>0</v>
      </c>
      <c r="DM31" s="359" t="e">
        <f t="shared" si="160"/>
        <v>#VALUE!</v>
      </c>
      <c r="DN31" s="611">
        <f t="shared" si="161"/>
        <v>0</v>
      </c>
      <c r="DO31" s="359">
        <f t="shared" si="162"/>
        <v>100</v>
      </c>
      <c r="DP31" s="359">
        <f t="shared" si="163"/>
        <v>0</v>
      </c>
      <c r="DQ31" s="360"/>
      <c r="DR31" s="245" t="e">
        <f ca="1">INDEX(INDIRECT(VLOOKUP(LEFT(BO31,7),CLU!$Z$3:$AH$18,7)),M31-1,1)</f>
        <v>#N/A</v>
      </c>
      <c r="DS31" s="245" t="e">
        <f ca="1">INDEX(INDIRECT(VLOOKUP(LEFT(BO31,7),CLU!$Z$3:$AH$18,7)),M31-1,2)</f>
        <v>#N/A</v>
      </c>
      <c r="DT31" s="245" t="e">
        <f ca="1">INDEX(INDIRECT(VLOOKUP(LEFT(BO31,7),CLU!$Z$3:$AH$18,7)),M31-1,3)</f>
        <v>#N/A</v>
      </c>
      <c r="DU31" s="245" t="e">
        <f ca="1">INDEX(INDIRECT(VLOOKUP(LEFT(BO31,7),CLU!$Z$3:$AH$18,7)),M31-1,4)</f>
        <v>#N/A</v>
      </c>
      <c r="DV31" s="361" t="e">
        <f ca="1">INDEX(INDIRECT(VLOOKUP(LEFT(BO31,7),CLU!$Z$3:$AH$18,7)),M31-1,4+LEFT(DZ31,1)*0.5)</f>
        <v>#N/A</v>
      </c>
      <c r="DW31" s="245" t="e">
        <f ca="1">INDEX(INDIRECT(VLOOKUP(LEFT(BO31,7),CLU!$Z$3:$AH$18,7)),M31-1,8)</f>
        <v>#N/A</v>
      </c>
      <c r="DX31" s="361" t="str">
        <f t="shared" si="39"/>
        <v xml:space="preserve"> </v>
      </c>
      <c r="DY31" s="361" t="str">
        <f t="shared" si="40"/>
        <v xml:space="preserve"> </v>
      </c>
      <c r="DZ31" s="361" t="str">
        <f t="shared" si="41"/>
        <v xml:space="preserve"> </v>
      </c>
      <c r="EA31" s="362" t="str">
        <f t="shared" si="42"/>
        <v xml:space="preserve"> </v>
      </c>
      <c r="EB31" s="624" t="str">
        <f t="shared" si="168"/>
        <v xml:space="preserve"> </v>
      </c>
      <c r="EC31" s="361" t="e">
        <f ca="1">INDEX(INDIRECT(VLOOKUP(LEFT(BO31,7),CLU!$Z$3:$AH$18,7)),M31-1,4+LEFT(DZ31,1)*0.5)</f>
        <v>#N/A</v>
      </c>
      <c r="ED31" s="362" t="str">
        <f t="shared" si="43"/>
        <v xml:space="preserve"> </v>
      </c>
      <c r="EE31" s="361" t="str">
        <f t="shared" si="44"/>
        <v xml:space="preserve"> </v>
      </c>
      <c r="EF31" s="362" t="str">
        <f>IF(L31&gt;0,IF(BR31&gt;0,IF(EE31="2P",IF(Calculation!DZ31="2P",IF(Calculation!DS31=13.75,IF(Calculation!DR31=13,Worksheet!$BD$43,IF(Calculation!DR31=37,Worksheet!$BD$44,Worksheet!$BD$45)),IF(Calculation!DS31=10,IF(Calculation!DR31=18,Worksheet!$BD$29,IF(Calculation!DR31=30,Worksheet!$BD$30,IF(Calculation!DR31=42,Worksheet!$BD$31,IF(Calculation!DR31=54,Worksheet!$BD$32,IF(Calculation!DR31=66,Worksheet!$BD$33,IF(Calculation!DR31=78,Worksheet!$BD$34,IF(Calculation!DR31=90,Worksheet!$BD$35,IF(Calculation!DR31=102,Worksheet!$BD$36,Worksheet!$BD$37)))))))),IF(Calculation!DS31=12.5,IF(Calculation!DR31=18,Worksheet!$BD$38,IF(Calculation!DR31=Worksheet!$BD$39,IF(Calculation!DR31=42,Worksheet!$BD$40,IF(Calculation!DR31=54,Worksheet!$BD$41,Worksheet!$BD$42)))),IF(Calculation!DR31=18,Worksheet!$BD$11,IF(Calculation!DR31=30,Worksheet!$BD$12,IF(Calculation!DR31=42,Worksheet!$BD$13,IF(Calculation!DR31=54,Worksheet!$BD$14,IF(Calculation!DR31=66,Worksheet!$BD$15,IF(Calculation!DR31=78,Worksheet!$BD$16,IF(Calculation!DR31=90,Worksheet!$BD$17,IF(Calculation!DR31=102,Worksheet!$BD$18,Worksheet!$BD$19))))))))))),IF(Calculation!DS31=13.75,IF(Calculation!DR31=13,Worksheet!$BD$78,IF(Calculation!DR31=37,Worksheet!$BD$79,Worksheet!$BD$80)),IF(Calculation!DS31=10,IF(Calculation!DR31=18,Worksheet!$BD$64,IF(Calculation!DR31=30,Worksheet!$BD$65,IF(Calculation!DR31=42,Worksheet!$BD$66,IF(Calculation!DR31=54,Worksheet!$BD$68,IF(Calculation!DR31=66,Worksheet!$BD$68,IF(Calculation!DR31=78,Worksheet!$BD$69,IF(Calculation!DR31=90,Worksheet!$BD$70,IF(Calculation!DR31=102,Worksheet!$BD$71,Worksheet!$BD$72)))))))),IF(Calculation!DS31=12.5,IF(Calculation!DR31=18,Worksheet!$BD$73,IF(Calculation!DR31=Worksheet!$BD$74,IF(Calculation!DR31=42,Worksheet!$BD$75,IF(Calculation!DR31=54,Worksheet!$BD$76,Worksheet!$BD$77)))),IF(Calculation!DR31=18,Worksheet!$BD$55,IF(Calculation!DR31=30,Worksheet!$BD$56,IF(Calculation!DR31=42,Worksheet!$BD$57,IF(Calculation!DR31=54,Worksheet!$BD$58,IF(Calculation!DR31=66,Worksheet!$BD$59,IF(Calculation!DR31=78,Worksheet!$BD$60,IF(Calculation!DR31=90,Worksheet!$BD$61,IF(Calculation!DR31=102,Worksheet!$BD$62,Worksheet!$BD$63)))))))))))),5),0)," ")</f>
        <v xml:space="preserve"> </v>
      </c>
      <c r="EG31" s="361" t="str">
        <f t="shared" si="45"/>
        <v xml:space="preserve"> </v>
      </c>
      <c r="EH31" s="361" t="e">
        <f ca="1">INDEX(INDIRECT(VLOOKUP(LEFT(BO31,7),CLU!$Z$3:$AH$18,7)),M31-1,3+LEFT(DZ31,1))</f>
        <v>#N/A</v>
      </c>
      <c r="EI31" s="362" t="str">
        <f t="shared" si="46"/>
        <v xml:space="preserve"> </v>
      </c>
      <c r="EJ31" s="363" t="str">
        <f t="shared" si="47"/>
        <v xml:space="preserve"> </v>
      </c>
      <c r="EK31" s="363" t="str">
        <f t="shared" si="48"/>
        <v xml:space="preserve"> </v>
      </c>
      <c r="EL31" s="363" t="str">
        <f t="shared" si="49"/>
        <v xml:space="preserve"> </v>
      </c>
      <c r="EM31" s="362" t="str">
        <f>IF(L31&gt;0,IF(BR31&gt;0,(Calculation!T31/ED31)^2,0)," ")</f>
        <v xml:space="preserve"> </v>
      </c>
      <c r="EN31" s="362" t="str">
        <f>IF(L31&gt;0,IF(O31="2 Pipe (Cooling)","N/A",IF(BR31&gt;0,(Calculation!U31/EI31)^2,0))," ")</f>
        <v xml:space="preserve"> </v>
      </c>
      <c r="EO31" s="361" t="str">
        <f t="shared" si="50"/>
        <v/>
      </c>
      <c r="EP31" s="361" t="str">
        <f t="shared" si="51"/>
        <v/>
      </c>
      <c r="EQ31" s="361" t="str">
        <f t="shared" si="52"/>
        <v/>
      </c>
      <c r="ER31" s="361" t="str">
        <f t="shared" si="53"/>
        <v/>
      </c>
      <c r="ES31" s="361" t="str">
        <f t="shared" si="54"/>
        <v/>
      </c>
      <c r="ET31" s="361" t="str">
        <f t="shared" si="55"/>
        <v/>
      </c>
      <c r="EU31" s="361" t="str">
        <f t="shared" si="56"/>
        <v/>
      </c>
      <c r="EV31" s="361" t="str">
        <f t="shared" si="57"/>
        <v/>
      </c>
      <c r="EW31" s="361" t="str">
        <f t="shared" si="58"/>
        <v/>
      </c>
      <c r="EX31" s="361" t="str">
        <f t="shared" si="169"/>
        <v>1 slot, 1 way</v>
      </c>
      <c r="EY31" s="361" t="str">
        <f t="shared" si="170"/>
        <v xml:space="preserve"> </v>
      </c>
      <c r="EZ31" s="361" t="str">
        <f t="shared" si="171"/>
        <v xml:space="preserve"> </v>
      </c>
      <c r="FA31" s="361" t="str">
        <f t="shared" si="172"/>
        <v xml:space="preserve"> </v>
      </c>
      <c r="FB31" s="361" t="str">
        <f t="shared" si="173"/>
        <v xml:space="preserve"> </v>
      </c>
      <c r="FC31" s="361"/>
      <c r="FD31" s="361" t="str">
        <f>IF(J31&gt;0,IF(Calculation!R31&lt;=70,4,IF(Calculation!R31&lt;=110,5,IF(Calculation!R31&lt;=160,6,IF(Calculation!R31&lt;=300,8,"10 EO")))),"")</f>
        <v/>
      </c>
      <c r="FE31" s="361" t="str">
        <f t="shared" si="174"/>
        <v/>
      </c>
      <c r="FF31" s="361" t="str">
        <f t="shared" si="175"/>
        <v/>
      </c>
      <c r="FG31" s="361" t="e">
        <f t="shared" si="60"/>
        <v>#N/A</v>
      </c>
      <c r="FH31" s="361">
        <f t="shared" si="61"/>
        <v>0</v>
      </c>
      <c r="FI31" s="361" t="e">
        <f t="shared" si="62"/>
        <v>#DIV/0!</v>
      </c>
      <c r="FJ31" s="361"/>
      <c r="FK31" s="356" t="e">
        <f t="shared" si="63"/>
        <v>#VALUE!</v>
      </c>
      <c r="FL31" s="361"/>
      <c r="FM31" s="361"/>
      <c r="FN31" s="362" t="str">
        <f t="shared" si="176"/>
        <v xml:space="preserve"> </v>
      </c>
      <c r="FO31" s="362" t="str">
        <f t="shared" si="177"/>
        <v xml:space="preserve"> </v>
      </c>
      <c r="FP31" s="362">
        <f t="shared" si="178"/>
        <v>0</v>
      </c>
      <c r="FQ31" s="361">
        <f t="shared" si="64"/>
        <v>0</v>
      </c>
      <c r="FR31" s="362" t="str">
        <f>IF(L31&gt;0,IF(J31="CBAL2",Worksheet!$P$67,IF(J31="CBE2-24",Worksheet!$Q$67,IF(J31="CBAM",Worksheet!$R$67,IF(J31="CBLV",Worksheet!$S$67,IF(J31="CBAB",Worksheet!$U$67,IF(J31="CBAW",Worksheet!$X$67,IF(J31="CBE2-12",Worksheet!$Y$67,IF(J31="CBAL2",Worksheet!$Z$67,"N/A"))))))))," ")</f>
        <v xml:space="preserve"> </v>
      </c>
      <c r="FS31" s="362" t="str">
        <f>IF(L31&gt;0,IF(J31="CBAL2",Worksheet!$P$68,IF(J31="CBE2-24",Worksheet!$Q$68,IF(J31="CBAM",Worksheet!$R$68,IF(J31="CBLV",Worksheet!$S$68,IF(J31="CBAB",Worksheet!$U$68,IF(J31="CBAW",Worksheet!$X$68,IF(J31="CBE2-12",Worksheet!$Y$68,IF(J31="CBAL2",Worksheet!$Z$68,"N/A"))))))))," ")</f>
        <v xml:space="preserve"> </v>
      </c>
      <c r="FT31" s="362" t="str">
        <f>IF(L31&gt;0,IF(J31="CBAL2",Worksheet!$P$69,IF(J31="CBE2-24",Worksheet!$Q$69,IF(J31="CBAM",Worksheet!$R$69,IF(J31="CBLV",Worksheet!$S$69,IF(J31="CBAB",Worksheet!$U$69,IF(J31="CBAW",Worksheet!$X$69,IF(J31="CBE2-12",Worksheet!$Y$69,IF(J31="CBAL2",Worksheet!$Z$69,"N/A"))))))))," ")</f>
        <v xml:space="preserve"> </v>
      </c>
      <c r="FU31" s="361" t="str">
        <f t="shared" si="179"/>
        <v xml:space="preserve"> </v>
      </c>
      <c r="FV31" s="362" t="str">
        <f t="shared" si="180"/>
        <v xml:space="preserve"> </v>
      </c>
      <c r="FW31" s="362" t="str">
        <f t="shared" si="181"/>
        <v xml:space="preserve"> </v>
      </c>
      <c r="FX31" s="362" t="str">
        <f t="shared" si="182"/>
        <v xml:space="preserve"> </v>
      </c>
      <c r="FY31" s="355" t="str">
        <f t="shared" si="183"/>
        <v xml:space="preserve"> </v>
      </c>
      <c r="FZ31" s="361" t="str">
        <f t="shared" si="184"/>
        <v xml:space="preserve"> </v>
      </c>
      <c r="GA31" s="347" t="str">
        <f t="shared" si="185"/>
        <v xml:space="preserve"> </v>
      </c>
      <c r="GB31" s="355" t="str">
        <f t="shared" si="186"/>
        <v xml:space="preserve"> </v>
      </c>
      <c r="GC31" s="328" t="str">
        <f t="shared" si="187"/>
        <v xml:space="preserve"> </v>
      </c>
      <c r="GD31" s="361" t="str">
        <f t="shared" si="188"/>
        <v xml:space="preserve"> </v>
      </c>
      <c r="GE31" s="347" t="str">
        <f t="shared" si="189"/>
        <v xml:space="preserve"> </v>
      </c>
      <c r="GF31" s="361" t="str">
        <f t="shared" si="190"/>
        <v xml:space="preserve"> </v>
      </c>
      <c r="GG31" s="347" t="str">
        <f t="shared" si="191"/>
        <v xml:space="preserve"> </v>
      </c>
      <c r="GH31" s="364">
        <f t="shared" si="78"/>
        <v>0</v>
      </c>
      <c r="GI31" s="362">
        <f t="shared" si="192"/>
        <v>2</v>
      </c>
      <c r="GJ31" s="433" t="e">
        <f>IF(6-COUNTBLANK(GT31:GY31)=4,MATCH(MID(BO31,9,3),CLU!$H$16:$K$16),MATCH(MID(BO31,9,3),CLU!$H$13:$M$13))</f>
        <v>#N/A</v>
      </c>
      <c r="GK31" s="433" t="e">
        <f>HLOOKUP(VALUE(BP31),CLU!$H$9:$M$10,2)</f>
        <v>#VALUE!</v>
      </c>
      <c r="GL31" s="433" t="e">
        <f ca="1">MATCH(BU31,CLU!$H$2:$V$2,1)</f>
        <v>#VALUE!</v>
      </c>
      <c r="GM31" s="433" t="e">
        <f t="shared" ca="1" si="193"/>
        <v>#VALUE!</v>
      </c>
      <c r="GN31" s="433" t="e">
        <f t="shared" ca="1" si="194"/>
        <v>#VALUE!</v>
      </c>
      <c r="GO31" s="433" t="e">
        <f t="shared" ca="1" si="195"/>
        <v>#VALUE!</v>
      </c>
      <c r="GP31" s="433" t="e">
        <f t="shared" ca="1" si="196"/>
        <v>#VALUE!</v>
      </c>
      <c r="GQ31" s="433" t="e">
        <f t="shared" ca="1" si="197"/>
        <v>#VALUE!</v>
      </c>
      <c r="GR31" s="433" t="e">
        <f ca="1">MATCH(T31,INDIRECT(VLOOKUP(CONCATENATE(LEFT(BO31,7),"-",MID(BO31,13,1)),CLU!$P$3:$Q$16,2)),1)</f>
        <v>#N/A</v>
      </c>
      <c r="GS31" s="433" t="e">
        <f ca="1">MATCH(U31,INDIRECT(VLOOKUP(CONCATENATE(LEFT(BO31,7),"-",MID(BO31,13,1)),CLU!$P$3:$Q$16,2)),1)</f>
        <v>#N/A</v>
      </c>
      <c r="GT31" s="347" t="s">
        <v>512</v>
      </c>
      <c r="GU31" s="97" t="s">
        <v>513</v>
      </c>
      <c r="GV31" s="97" t="str">
        <f t="shared" si="198"/>
        <v>M23</v>
      </c>
      <c r="GW31" s="97" t="str">
        <f t="shared" si="199"/>
        <v>M31</v>
      </c>
      <c r="GX31" s="97" t="str">
        <f t="shared" si="200"/>
        <v/>
      </c>
      <c r="GY31" s="97" t="str">
        <f t="shared" si="201"/>
        <v/>
      </c>
      <c r="GZ31" s="481"/>
      <c r="HA31" s="288"/>
      <c r="HB31" s="240"/>
      <c r="HC31" s="240"/>
      <c r="HD31" s="240"/>
      <c r="HE31" s="240"/>
      <c r="HF31" s="240"/>
      <c r="HG31" s="240"/>
      <c r="HH31" s="240"/>
      <c r="HI31" s="240"/>
      <c r="HJ31" s="240"/>
      <c r="HK31" s="240"/>
      <c r="HL31" s="240"/>
      <c r="HM31" s="240"/>
      <c r="HN31" s="240"/>
      <c r="HO31" s="240"/>
      <c r="HP31" s="240"/>
      <c r="HQ31" s="240"/>
      <c r="HR31" s="240"/>
      <c r="HS31" s="240"/>
      <c r="HT31" s="240"/>
      <c r="HU31" s="240"/>
      <c r="HV31" s="245"/>
      <c r="HW31" s="245" t="b">
        <v>1</v>
      </c>
      <c r="HX31" s="245" t="str">
        <f t="shared" si="79"/>
        <v/>
      </c>
      <c r="HY31" s="245" t="e">
        <f t="shared" si="80"/>
        <v>#DIV/0!</v>
      </c>
      <c r="HZ31" s="245" t="e">
        <f t="shared" si="81"/>
        <v>#DIV/0!</v>
      </c>
      <c r="IA31" s="245">
        <f t="shared" si="82"/>
        <v>0</v>
      </c>
      <c r="IB31" s="245"/>
      <c r="IC31" t="b">
        <f t="shared" si="83"/>
        <v>1</v>
      </c>
      <c r="ID31" s="245" t="b">
        <f t="shared" si="84"/>
        <v>1</v>
      </c>
      <c r="IE31" s="245" t="b">
        <f t="shared" si="85"/>
        <v>1</v>
      </c>
      <c r="IF31" s="245" t="b">
        <f t="shared" si="86"/>
        <v>0</v>
      </c>
      <c r="IG31" s="245" t="b">
        <f t="shared" si="87"/>
        <v>1</v>
      </c>
      <c r="IH31" s="245" t="b">
        <f t="shared" si="88"/>
        <v>1</v>
      </c>
      <c r="II31" s="245">
        <f t="shared" si="202"/>
        <v>0</v>
      </c>
      <c r="IJ31" s="245" t="e">
        <f t="shared" si="89"/>
        <v>#VALUE!</v>
      </c>
      <c r="IK31" s="245" t="e">
        <f t="shared" si="90"/>
        <v>#VALUE!</v>
      </c>
      <c r="IL31" s="245"/>
      <c r="IM31" s="245" t="e">
        <f t="shared" si="203"/>
        <v>#N/A</v>
      </c>
      <c r="IN31" s="245" t="e">
        <f t="shared" si="204"/>
        <v>#N/A</v>
      </c>
      <c r="IO31" s="245"/>
      <c r="IP31" s="245"/>
      <c r="IQ31" s="245" t="str">
        <f t="shared" si="91"/>
        <v/>
      </c>
      <c r="IR31" s="245" t="str">
        <f>IF(J31="","",VLOOKUP(J31,Worksheet!$R$4:$T$14,2))</f>
        <v/>
      </c>
      <c r="IS31" s="245"/>
      <c r="IT31" s="245">
        <f t="shared" si="92"/>
        <v>0</v>
      </c>
      <c r="IU31" s="245">
        <f t="shared" si="93"/>
        <v>0</v>
      </c>
      <c r="IV31" s="245">
        <f t="shared" si="94"/>
        <v>0</v>
      </c>
      <c r="IW31" s="245">
        <f t="shared" si="95"/>
        <v>0</v>
      </c>
      <c r="IX31" s="245">
        <f t="shared" si="205"/>
        <v>0</v>
      </c>
      <c r="IY31" s="245">
        <f t="shared" si="96"/>
        <v>0</v>
      </c>
      <c r="IZ31" s="245">
        <f t="shared" si="97"/>
        <v>0</v>
      </c>
      <c r="JA31">
        <f t="shared" si="98"/>
        <v>0</v>
      </c>
      <c r="JB31">
        <f t="shared" si="206"/>
        <v>0</v>
      </c>
      <c r="JC31">
        <f t="shared" si="99"/>
        <v>0</v>
      </c>
      <c r="JD31">
        <f t="shared" si="100"/>
        <v>0</v>
      </c>
      <c r="JE31">
        <f t="shared" si="101"/>
        <v>0</v>
      </c>
      <c r="JF31">
        <f t="shared" si="102"/>
        <v>0</v>
      </c>
      <c r="JG31">
        <f t="shared" si="103"/>
        <v>0</v>
      </c>
      <c r="JH31">
        <f t="shared" si="104"/>
        <v>0</v>
      </c>
      <c r="JI31">
        <f t="shared" si="105"/>
        <v>0</v>
      </c>
      <c r="JJ31" s="447">
        <f t="shared" si="106"/>
        <v>0</v>
      </c>
      <c r="JK31" s="447">
        <f t="shared" si="107"/>
        <v>0</v>
      </c>
      <c r="JL31">
        <f t="shared" si="108"/>
        <v>0</v>
      </c>
      <c r="JM31" s="245" t="str">
        <f>IFERROR(VLOOKUP(MATCH(BN31,#REF!,0),#REF!,7),"")</f>
        <v/>
      </c>
      <c r="JN31" t="e">
        <f>HLOOKUP(LEFT(BO31,7),Discharge_Area,MATCH(JO31,LookUps!$B$130:$B$149,1)+2)</f>
        <v>#N/A</v>
      </c>
      <c r="JO31" t="str">
        <f t="shared" si="109"/>
        <v>- S</v>
      </c>
      <c r="JP31" t="e">
        <f>HLOOKUP(LEFT(BO31,7),Discharge_Area,MATCH(JO31,LookUps!$B$130:$B$149,1)+2)</f>
        <v>#N/A</v>
      </c>
      <c r="JQ31" t="e">
        <f t="shared" si="110"/>
        <v>#N/A</v>
      </c>
      <c r="JR31" t="e">
        <f t="shared" si="111"/>
        <v>#N/A</v>
      </c>
      <c r="JS31" t="e">
        <f t="shared" si="112"/>
        <v>#N/A</v>
      </c>
      <c r="JT31" s="532" t="str">
        <f t="shared" si="113"/>
        <v xml:space="preserve"> </v>
      </c>
      <c r="JU31" s="532" t="str">
        <f t="shared" si="114"/>
        <v xml:space="preserve"> </v>
      </c>
      <c r="JV31" s="533" t="str">
        <f t="shared" si="115"/>
        <v xml:space="preserve"> </v>
      </c>
      <c r="JW31" s="534">
        <f t="shared" si="116"/>
        <v>0</v>
      </c>
      <c r="JX31" s="535" t="str">
        <f t="shared" si="207"/>
        <v xml:space="preserve"> </v>
      </c>
      <c r="JY31" s="535" t="str">
        <f t="shared" si="208"/>
        <v xml:space="preserve"> </v>
      </c>
      <c r="JZ31" s="535" t="str">
        <f t="shared" si="209"/>
        <v xml:space="preserve"> </v>
      </c>
      <c r="KA31" s="536" t="str">
        <f t="shared" si="117"/>
        <v xml:space="preserve"> </v>
      </c>
      <c r="KB31" s="535" t="e">
        <f t="shared" si="210"/>
        <v>#VALUE!</v>
      </c>
      <c r="KC31" s="535" t="str">
        <f t="shared" si="118"/>
        <v/>
      </c>
      <c r="KD31" s="537" t="str">
        <f t="shared" si="211"/>
        <v xml:space="preserve"> </v>
      </c>
      <c r="KE31" s="537" t="str">
        <f t="shared" si="212"/>
        <v xml:space="preserve"> </v>
      </c>
      <c r="KF31" s="534">
        <f t="shared" si="119"/>
        <v>0</v>
      </c>
      <c r="KG31" s="535" t="str">
        <f t="shared" si="120"/>
        <v xml:space="preserve"> </v>
      </c>
      <c r="KH31" s="535" t="str">
        <f t="shared" si="121"/>
        <v xml:space="preserve"> </v>
      </c>
      <c r="KI31" s="535" t="str">
        <f t="shared" si="122"/>
        <v xml:space="preserve"> </v>
      </c>
      <c r="KJ31" s="536" t="str">
        <f t="shared" si="123"/>
        <v xml:space="preserve"> </v>
      </c>
      <c r="KK31" s="535" t="str">
        <f t="shared" si="213"/>
        <v xml:space="preserve"> </v>
      </c>
      <c r="KL31" s="535" t="str">
        <f t="shared" si="214"/>
        <v xml:space="preserve"> </v>
      </c>
      <c r="KM31" s="537" t="str">
        <f t="shared" si="124"/>
        <v xml:space="preserve"> </v>
      </c>
      <c r="KN31" s="537" t="str">
        <f t="shared" si="215"/>
        <v xml:space="preserve"> </v>
      </c>
      <c r="KP31">
        <f t="shared" si="125"/>
        <v>0</v>
      </c>
      <c r="LA31" t="e">
        <f t="shared" si="126"/>
        <v>#VALUE!</v>
      </c>
      <c r="LB31" t="e">
        <f t="shared" si="127"/>
        <v>#VALUE!</v>
      </c>
      <c r="LC31" t="e">
        <f t="shared" si="128"/>
        <v>#VALUE!</v>
      </c>
      <c r="LD31" t="e">
        <f t="shared" si="129"/>
        <v>#VALUE!</v>
      </c>
      <c r="LE31" t="e">
        <f t="shared" si="216"/>
        <v>#VALUE!</v>
      </c>
      <c r="LF31">
        <f t="shared" si="130"/>
        <v>0</v>
      </c>
      <c r="LG31" t="e">
        <f t="shared" si="217"/>
        <v>#VALUE!</v>
      </c>
      <c r="LH31" t="str">
        <f t="shared" si="131"/>
        <v xml:space="preserve"> </v>
      </c>
      <c r="LI31">
        <f t="shared" si="218"/>
        <v>1</v>
      </c>
    </row>
    <row r="32" spans="1:321" ht="15" customHeight="1">
      <c r="B32" s="311"/>
      <c r="C32" s="311"/>
      <c r="D32" s="312"/>
      <c r="E32" s="311"/>
      <c r="F32" s="312"/>
      <c r="G32" s="311"/>
      <c r="H32" s="311"/>
      <c r="I32" s="37"/>
      <c r="J32" s="311"/>
      <c r="K32" s="305" t="str">
        <f t="shared" si="132"/>
        <v/>
      </c>
      <c r="L32" s="313"/>
      <c r="M32" s="312"/>
      <c r="N32" s="311"/>
      <c r="O32" s="312"/>
      <c r="P32" s="311"/>
      <c r="Q32" s="305" t="str">
        <f t="shared" si="133"/>
        <v/>
      </c>
      <c r="R32" s="314"/>
      <c r="S32" s="450" t="str">
        <f t="shared" si="0"/>
        <v/>
      </c>
      <c r="T32" s="315"/>
      <c r="U32" s="315"/>
      <c r="W32" s="149" t="str">
        <f t="shared" si="1"/>
        <v xml:space="preserve"> </v>
      </c>
      <c r="X32" s="243" t="str">
        <f t="shared" si="2"/>
        <v xml:space="preserve"> </v>
      </c>
      <c r="Y32" s="150" t="str">
        <f t="shared" si="3"/>
        <v/>
      </c>
      <c r="Z32" s="149" t="str">
        <f t="shared" si="4"/>
        <v xml:space="preserve"> </v>
      </c>
      <c r="AA32" s="98" t="str">
        <f t="shared" si="5"/>
        <v xml:space="preserve"> </v>
      </c>
      <c r="AB32" s="153" t="str">
        <f t="shared" si="6"/>
        <v xml:space="preserve"> </v>
      </c>
      <c r="AC32" s="153" t="str">
        <f t="shared" si="7"/>
        <v xml:space="preserve"> </v>
      </c>
      <c r="AD32" s="148" t="str">
        <f t="shared" si="8"/>
        <v/>
      </c>
      <c r="AE32" s="149" t="str">
        <f t="shared" si="9"/>
        <v/>
      </c>
      <c r="AF32" s="151" t="str">
        <f t="shared" si="10"/>
        <v xml:space="preserve"> </v>
      </c>
      <c r="AG32" s="153" t="str">
        <f t="shared" si="11"/>
        <v xml:space="preserve"> </v>
      </c>
      <c r="AH32" s="98" t="str">
        <f t="shared" si="12"/>
        <v xml:space="preserve"> </v>
      </c>
      <c r="AI32" s="149" t="str">
        <f t="shared" si="13"/>
        <v xml:space="preserve"> </v>
      </c>
      <c r="AK32" s="144" t="str">
        <f t="shared" si="14"/>
        <v xml:space="preserve"> </v>
      </c>
      <c r="AL32" s="144"/>
      <c r="AM32" s="243" t="str">
        <f t="shared" si="15"/>
        <v xml:space="preserve"> </v>
      </c>
      <c r="AN32" s="149" t="str">
        <f t="shared" si="134"/>
        <v xml:space="preserve"> </v>
      </c>
      <c r="AO32" s="144" t="str">
        <f>IF(JB32&gt;0,IF(GI32=10,-R32*1.085*(Calculation!$F$6-Calculation!$F$13)*$S$14," "),"")</f>
        <v/>
      </c>
      <c r="AP32" s="144" t="str">
        <f t="shared" si="16"/>
        <v/>
      </c>
      <c r="AQ32" s="56" t="str">
        <f t="shared" si="17"/>
        <v/>
      </c>
      <c r="AR32" s="144" t="str">
        <f t="shared" si="18"/>
        <v/>
      </c>
      <c r="AS32" s="176" t="str">
        <f t="shared" si="19"/>
        <v/>
      </c>
      <c r="AT32" s="176" t="str">
        <f t="shared" si="135"/>
        <v xml:space="preserve"> </v>
      </c>
      <c r="AU32" s="176" t="str">
        <f t="shared" si="20"/>
        <v/>
      </c>
      <c r="AV32" s="177" t="str">
        <f t="shared" si="21"/>
        <v xml:space="preserve"> </v>
      </c>
      <c r="AW32" s="144" t="str">
        <f t="shared" si="22"/>
        <v xml:space="preserve"> </v>
      </c>
      <c r="AX32" s="144" t="str">
        <f t="shared" si="23"/>
        <v xml:space="preserve"> </v>
      </c>
      <c r="AY32" s="152" t="str">
        <f t="shared" si="24"/>
        <v xml:space="preserve"> </v>
      </c>
      <c r="AZ32" s="246" t="str">
        <f t="shared" si="25"/>
        <v/>
      </c>
      <c r="BA32" s="176" t="str">
        <f t="shared" si="26"/>
        <v xml:space="preserve"> </v>
      </c>
      <c r="BB32" s="176" t="str">
        <f t="shared" si="27"/>
        <v xml:space="preserve"> </v>
      </c>
      <c r="BC32" s="195"/>
      <c r="BD32" s="316"/>
      <c r="BE32" s="317"/>
      <c r="BF32" s="318"/>
      <c r="BG32" s="318"/>
      <c r="BH32" s="144" t="str">
        <f t="shared" si="219"/>
        <v xml:space="preserve"> </v>
      </c>
      <c r="BI32" s="176" t="str">
        <f t="shared" si="28"/>
        <v/>
      </c>
      <c r="BJ32" s="144" t="str">
        <f t="shared" si="220"/>
        <v/>
      </c>
      <c r="BK32" s="246" t="str">
        <f t="shared" si="29"/>
        <v/>
      </c>
      <c r="BL32" s="144" t="str">
        <f t="shared" si="221"/>
        <v/>
      </c>
      <c r="BM32" s="246" t="str">
        <f t="shared" si="30"/>
        <v/>
      </c>
      <c r="BN32" s="337" t="str">
        <f t="shared" si="136"/>
        <v/>
      </c>
      <c r="BO32" s="371" t="str">
        <f t="shared" si="137"/>
        <v/>
      </c>
      <c r="BP32" s="328" t="str">
        <f t="shared" si="222"/>
        <v xml:space="preserve"> </v>
      </c>
      <c r="BQ32" s="347" t="str">
        <f t="shared" si="138"/>
        <v xml:space="preserve"> </v>
      </c>
      <c r="BR32" s="353" t="str">
        <f t="shared" si="223"/>
        <v xml:space="preserve"> </v>
      </c>
      <c r="BS32" s="626" t="str">
        <f>IF(L32&gt;0,IF(Calculation!P32="M13",BR32*3.1416*(0.134^2)/(4*144),IF(Calculation!P32="M17",BR32*3.1416*(0.165^2)/(4*144),IF(Calculation!P32="M20",BR32*3.1416*(0.198^2)/(4*144),IF(Calculation!P32="M23",BR32*3.1416*(0.228^2)/(4*144),IF(Calculation!P32="M27",BR32*3.1416*(0.269^2)/(4*144),BR32*3.1416*(0.307^2)/(4*144))))))," ")</f>
        <v xml:space="preserve"> </v>
      </c>
      <c r="BT32" s="353" t="str">
        <f>IF(L32&gt;0,IF(BS32&gt;0,R32/Calculation!BS32,0)," ")</f>
        <v xml:space="preserve"> </v>
      </c>
      <c r="BU32" s="438" t="e">
        <f t="shared" ca="1" si="31"/>
        <v>#VALUE!</v>
      </c>
      <c r="BV32" s="449" t="e">
        <f ca="1">INDEX(INDIRECT(VLOOKUP(LEFT(BO32,7),CLU!$Z$3:$AH$18,2)),GN32,GR32)</f>
        <v>#N/A</v>
      </c>
      <c r="BW32" s="433" t="e">
        <f ca="1">INDEX(INDIRECT(VLOOKUP(LEFT(BO32,7),CLU!$Z$3:$AH$18,3)),GN32,GR32)</f>
        <v>#N/A</v>
      </c>
      <c r="BX32" s="433" t="e">
        <f ca="1">INDEX(INDIRECT(VLOOKUP(LEFT(BO32,7),CLU!$Z$3:$AH$18,4)),GN32,GR32)</f>
        <v>#N/A</v>
      </c>
      <c r="BY32" s="433" t="e">
        <f ca="1">INDEX(INDIRECT(VLOOKUP(LEFT(BO32,7),CLU!$Z$3:$AH$18,9)),((M32-2)*(6-COUNTBLANK(GT32:GY32)))+GJ32)</f>
        <v>#N/A</v>
      </c>
      <c r="BZ32" s="426" t="e">
        <f t="shared" ca="1" si="139"/>
        <v>#N/A</v>
      </c>
      <c r="CA32" s="424" t="e">
        <f t="shared" ca="1" si="140"/>
        <v>#N/A</v>
      </c>
      <c r="CB32" s="429" t="e">
        <f ca="1">INDEX(INDIRECT(VLOOKUP(LEFT(BO32,7),CLU!$Z$3:$AH$18,2)),GN32,GS32)</f>
        <v>#N/A</v>
      </c>
      <c r="CC32" s="342" t="e">
        <f ca="1">INDEX(INDIRECT(VLOOKUP(LEFT(BO32,7),CLU!$Z$3:$AH$18,3)),GN32,GS32)</f>
        <v>#N/A</v>
      </c>
      <c r="CD32" s="342" t="e">
        <f ca="1">INDEX(INDIRECT(VLOOKUP(LEFT(BO32,7),CLU!$Z$3:$AH$18,4)),GN32,GS32)</f>
        <v>#N/A</v>
      </c>
      <c r="CE32" s="426" t="e">
        <f t="shared" ca="1" si="141"/>
        <v>#N/A</v>
      </c>
      <c r="CF32" s="440">
        <f t="shared" si="142"/>
        <v>0</v>
      </c>
      <c r="CG32" s="431" t="e">
        <f ca="1">INDEX(INDIRECT(VLOOKUP(LEFT(BO32,7),CLU!$Z$3:$AH$18,2)),GQ32,GR32)</f>
        <v>#N/A</v>
      </c>
      <c r="CH32" s="431" t="e">
        <f ca="1">INDEX(INDIRECT(VLOOKUP(LEFT(BO32,7),CLU!$Z$3:$AH$18,3)),GQ32,GR32)</f>
        <v>#N/A</v>
      </c>
      <c r="CI32" s="431" t="e">
        <f ca="1">INDEX(INDIRECT(VLOOKUP(LEFT(BO32,7),CLU!$Z$3:$AH$18,4)),GQ32,GR32)</f>
        <v>#N/A</v>
      </c>
      <c r="CJ32" s="448" t="e">
        <f t="shared" ca="1" si="143"/>
        <v>#N/A</v>
      </c>
      <c r="CK32" s="431" t="e">
        <f t="shared" ca="1" si="144"/>
        <v>#N/A</v>
      </c>
      <c r="CL32" s="440" t="e">
        <f t="shared" ca="1" si="145"/>
        <v>#N/A</v>
      </c>
      <c r="CM32" s="431" t="e">
        <f ca="1">INDEX(INDIRECT(VLOOKUP(LEFT(BO32,7),CLU!$Z$3:$AH$18,2)),GQ32,GS32)</f>
        <v>#N/A</v>
      </c>
      <c r="CN32" s="431" t="e">
        <f ca="1">INDEX(INDIRECT(VLOOKUP(LEFT(BO32,7),CLU!$Z$3:$AH$18,3)),GQ32,GS32)</f>
        <v>#N/A</v>
      </c>
      <c r="CO32" s="431" t="e">
        <f ca="1">INDEX(INDIRECT(VLOOKUP(LEFT(BO32,7),CLU!$Z$3:$AH$18,4)),GQ32,GS32)</f>
        <v>#N/A</v>
      </c>
      <c r="CP32" s="431" t="e">
        <f t="shared" ca="1" si="146"/>
        <v>#N/A</v>
      </c>
      <c r="CQ32" s="440">
        <f t="shared" si="147"/>
        <v>0</v>
      </c>
      <c r="CR32" s="51" t="e">
        <f t="shared" ca="1" si="148"/>
        <v>#N/A</v>
      </c>
      <c r="CS32" s="439" t="e">
        <f t="shared" ca="1" si="149"/>
        <v>#VALUE!</v>
      </c>
      <c r="CT32" s="51" t="e">
        <f t="shared" ca="1" si="150"/>
        <v>#VALUE!</v>
      </c>
      <c r="CU32" s="10"/>
      <c r="CV32" s="51" t="e">
        <f t="shared" ca="1" si="34"/>
        <v>#VALUE!</v>
      </c>
      <c r="CW32" s="51">
        <f t="shared" si="151"/>
        <v>0</v>
      </c>
      <c r="CX32" s="439" t="e">
        <f t="shared" ca="1" si="152"/>
        <v>#VALUE!</v>
      </c>
      <c r="CY32" s="51" t="e">
        <f t="shared" ca="1" si="153"/>
        <v>#VALUE!</v>
      </c>
      <c r="CZ32" s="10"/>
      <c r="DA32" s="51" t="e">
        <f t="shared" ca="1" si="154"/>
        <v>#VALUE!</v>
      </c>
      <c r="DB32" s="347" t="e">
        <f ca="1">INDEX(INDIRECT(VLOOKUP(LEFT(BO32,7),CLU!$Z$3:$AI$18,10)),((M32-2)*(6-COUNTBLANK(GT32:GY32)))+GJ32)*LI32</f>
        <v>#N/A</v>
      </c>
      <c r="DC32" s="347" t="str">
        <f>IF(L32&gt;0,((R32/Worksheet!$I$15)/DB32)^2," ")</f>
        <v xml:space="preserve"> </v>
      </c>
      <c r="DD32" s="602" t="str">
        <f t="shared" si="224"/>
        <v xml:space="preserve"> </v>
      </c>
      <c r="DE32" s="347" t="str">
        <f t="shared" si="35"/>
        <v xml:space="preserve"> </v>
      </c>
      <c r="DF32" s="356" t="e">
        <f ca="1">INDEX(INDIRECT(VLOOKUP(LEFT(BO32,7),CLU!$Z$3:$AH$18,8)),((M32-2)*(6-COUNTBLANK(GT32:GY32)))+GJ32)</f>
        <v>#N/A</v>
      </c>
      <c r="DG32" s="347" t="str">
        <f t="shared" si="36"/>
        <v xml:space="preserve"> </v>
      </c>
      <c r="DH32" s="357" t="str">
        <f t="shared" si="37"/>
        <v xml:space="preserve"> </v>
      </c>
      <c r="DI32" s="355" t="str">
        <f t="shared" si="38"/>
        <v xml:space="preserve"> </v>
      </c>
      <c r="DJ32" s="245" t="e">
        <f ca="1">INDEX(INDIRECT(VLOOKUP(LEFT(BO32,7),CLU!$Z$3:$AH$18,5)),GL32,GK32)</f>
        <v>#N/A</v>
      </c>
      <c r="DK32" s="245" t="e">
        <f ca="1">INDEX(INDIRECT(VLOOKUP(LEFT(BO32,7),CLU!$Z$3:$AH$18,6)),GL32,GK32)</f>
        <v>#N/A</v>
      </c>
      <c r="DL32" s="355">
        <f>(Calculation!R32*0.69143*(Calculation!$BQ$8-Calculation!$F$8))*$S$14</f>
        <v>0</v>
      </c>
      <c r="DM32" s="359" t="e">
        <f t="shared" si="160"/>
        <v>#VALUE!</v>
      </c>
      <c r="DN32" s="611">
        <f t="shared" si="161"/>
        <v>0</v>
      </c>
      <c r="DO32" s="359">
        <f t="shared" si="162"/>
        <v>100</v>
      </c>
      <c r="DP32" s="359">
        <f t="shared" si="163"/>
        <v>0</v>
      </c>
      <c r="DQ32" s="360"/>
      <c r="DR32" s="245" t="e">
        <f ca="1">INDEX(INDIRECT(VLOOKUP(LEFT(BO32,7),CLU!$Z$3:$AH$18,7)),M32-1,1)</f>
        <v>#N/A</v>
      </c>
      <c r="DS32" s="245" t="e">
        <f ca="1">INDEX(INDIRECT(VLOOKUP(LEFT(BO32,7),CLU!$Z$3:$AH$18,7)),M32-1,2)</f>
        <v>#N/A</v>
      </c>
      <c r="DT32" s="245" t="e">
        <f ca="1">INDEX(INDIRECT(VLOOKUP(LEFT(BO32,7),CLU!$Z$3:$AH$18,7)),M32-1,3)</f>
        <v>#N/A</v>
      </c>
      <c r="DU32" s="245" t="e">
        <f ca="1">INDEX(INDIRECT(VLOOKUP(LEFT(BO32,7),CLU!$Z$3:$AH$18,7)),M32-1,4)</f>
        <v>#N/A</v>
      </c>
      <c r="DV32" s="361" t="e">
        <f ca="1">INDEX(INDIRECT(VLOOKUP(LEFT(BO32,7),CLU!$Z$3:$AH$18,7)),M32-1,4+LEFT(DZ32,1)*0.5)</f>
        <v>#N/A</v>
      </c>
      <c r="DW32" s="245" t="e">
        <f ca="1">INDEX(INDIRECT(VLOOKUP(LEFT(BO32,7),CLU!$Z$3:$AH$18,7)),M32-1,8)</f>
        <v>#N/A</v>
      </c>
      <c r="DX32" s="361" t="str">
        <f t="shared" si="39"/>
        <v xml:space="preserve"> </v>
      </c>
      <c r="DY32" s="361" t="str">
        <f t="shared" si="40"/>
        <v xml:space="preserve"> </v>
      </c>
      <c r="DZ32" s="361" t="str">
        <f t="shared" si="41"/>
        <v xml:space="preserve"> </v>
      </c>
      <c r="EA32" s="362" t="str">
        <f t="shared" si="42"/>
        <v xml:space="preserve"> </v>
      </c>
      <c r="EB32" s="624" t="str">
        <f t="shared" si="168"/>
        <v xml:space="preserve"> </v>
      </c>
      <c r="EC32" s="361" t="e">
        <f ca="1">INDEX(INDIRECT(VLOOKUP(LEFT(BO32,7),CLU!$Z$3:$AH$18,7)),M32-1,4+LEFT(DZ32,1)*0.5)</f>
        <v>#N/A</v>
      </c>
      <c r="ED32" s="362" t="str">
        <f t="shared" si="43"/>
        <v xml:space="preserve"> </v>
      </c>
      <c r="EE32" s="361" t="str">
        <f t="shared" si="44"/>
        <v xml:space="preserve"> </v>
      </c>
      <c r="EF32" s="362" t="str">
        <f>IF(L32&gt;0,IF(BR32&gt;0,IF(EE32="2P",IF(Calculation!DZ32="2P",IF(Calculation!DS32=13.75,IF(Calculation!DR32=13,Worksheet!$BD$43,IF(Calculation!DR32=37,Worksheet!$BD$44,Worksheet!$BD$45)),IF(Calculation!DS32=10,IF(Calculation!DR32=18,Worksheet!$BD$29,IF(Calculation!DR32=30,Worksheet!$BD$30,IF(Calculation!DR32=42,Worksheet!$BD$31,IF(Calculation!DR32=54,Worksheet!$BD$32,IF(Calculation!DR32=66,Worksheet!$BD$33,IF(Calculation!DR32=78,Worksheet!$BD$34,IF(Calculation!DR32=90,Worksheet!$BD$35,IF(Calculation!DR32=102,Worksheet!$BD$36,Worksheet!$BD$37)))))))),IF(Calculation!DS32=12.5,IF(Calculation!DR32=18,Worksheet!$BD$38,IF(Calculation!DR32=Worksheet!$BD$39,IF(Calculation!DR32=42,Worksheet!$BD$40,IF(Calculation!DR32=54,Worksheet!$BD$41,Worksheet!$BD$42)))),IF(Calculation!DR32=18,Worksheet!$BD$11,IF(Calculation!DR32=30,Worksheet!$BD$12,IF(Calculation!DR32=42,Worksheet!$BD$13,IF(Calculation!DR32=54,Worksheet!$BD$14,IF(Calculation!DR32=66,Worksheet!$BD$15,IF(Calculation!DR32=78,Worksheet!$BD$16,IF(Calculation!DR32=90,Worksheet!$BD$17,IF(Calculation!DR32=102,Worksheet!$BD$18,Worksheet!$BD$19))))))))))),IF(Calculation!DS32=13.75,IF(Calculation!DR32=13,Worksheet!$BD$78,IF(Calculation!DR32=37,Worksheet!$BD$79,Worksheet!$BD$80)),IF(Calculation!DS32=10,IF(Calculation!DR32=18,Worksheet!$BD$64,IF(Calculation!DR32=30,Worksheet!$BD$65,IF(Calculation!DR32=42,Worksheet!$BD$66,IF(Calculation!DR32=54,Worksheet!$BD$68,IF(Calculation!DR32=66,Worksheet!$BD$68,IF(Calculation!DR32=78,Worksheet!$BD$69,IF(Calculation!DR32=90,Worksheet!$BD$70,IF(Calculation!DR32=102,Worksheet!$BD$71,Worksheet!$BD$72)))))))),IF(Calculation!DS32=12.5,IF(Calculation!DR32=18,Worksheet!$BD$73,IF(Calculation!DR32=Worksheet!$BD$74,IF(Calculation!DR32=42,Worksheet!$BD$75,IF(Calculation!DR32=54,Worksheet!$BD$76,Worksheet!$BD$77)))),IF(Calculation!DR32=18,Worksheet!$BD$55,IF(Calculation!DR32=30,Worksheet!$BD$56,IF(Calculation!DR32=42,Worksheet!$BD$57,IF(Calculation!DR32=54,Worksheet!$BD$58,IF(Calculation!DR32=66,Worksheet!$BD$59,IF(Calculation!DR32=78,Worksheet!$BD$60,IF(Calculation!DR32=90,Worksheet!$BD$61,IF(Calculation!DR32=102,Worksheet!$BD$62,Worksheet!$BD$63)))))))))))),5),0)," ")</f>
        <v xml:space="preserve"> </v>
      </c>
      <c r="EG32" s="361" t="str">
        <f t="shared" si="45"/>
        <v xml:space="preserve"> </v>
      </c>
      <c r="EH32" s="361" t="e">
        <f ca="1">INDEX(INDIRECT(VLOOKUP(LEFT(BO32,7),CLU!$Z$3:$AH$18,7)),M32-1,3+LEFT(DZ32,1))</f>
        <v>#N/A</v>
      </c>
      <c r="EI32" s="362" t="str">
        <f t="shared" si="46"/>
        <v xml:space="preserve"> </v>
      </c>
      <c r="EJ32" s="363" t="str">
        <f t="shared" si="47"/>
        <v xml:space="preserve"> </v>
      </c>
      <c r="EK32" s="363" t="str">
        <f t="shared" si="48"/>
        <v xml:space="preserve"> </v>
      </c>
      <c r="EL32" s="363" t="str">
        <f t="shared" si="49"/>
        <v xml:space="preserve"> </v>
      </c>
      <c r="EM32" s="362" t="str">
        <f>IF(L32&gt;0,IF(BR32&gt;0,(Calculation!T32/ED32)^2,0)," ")</f>
        <v xml:space="preserve"> </v>
      </c>
      <c r="EN32" s="362" t="str">
        <f>IF(L32&gt;0,IF(O32="2 Pipe (Cooling)","N/A",IF(BR32&gt;0,(Calculation!U32/EI32)^2,0))," ")</f>
        <v xml:space="preserve"> </v>
      </c>
      <c r="EO32" s="361" t="str">
        <f t="shared" si="50"/>
        <v/>
      </c>
      <c r="EP32" s="361" t="str">
        <f t="shared" si="51"/>
        <v/>
      </c>
      <c r="EQ32" s="361" t="str">
        <f t="shared" si="52"/>
        <v/>
      </c>
      <c r="ER32" s="361" t="str">
        <f t="shared" si="53"/>
        <v/>
      </c>
      <c r="ES32" s="361" t="str">
        <f t="shared" si="54"/>
        <v/>
      </c>
      <c r="ET32" s="361" t="str">
        <f t="shared" si="55"/>
        <v/>
      </c>
      <c r="EU32" s="361" t="str">
        <f t="shared" si="56"/>
        <v/>
      </c>
      <c r="EV32" s="361" t="str">
        <f t="shared" si="57"/>
        <v/>
      </c>
      <c r="EW32" s="361" t="str">
        <f t="shared" si="58"/>
        <v/>
      </c>
      <c r="EX32" s="361" t="str">
        <f t="shared" si="169"/>
        <v>1 slot, 1 way</v>
      </c>
      <c r="EY32" s="361" t="str">
        <f t="shared" si="170"/>
        <v xml:space="preserve"> </v>
      </c>
      <c r="EZ32" s="361" t="str">
        <f t="shared" si="171"/>
        <v xml:space="preserve"> </v>
      </c>
      <c r="FA32" s="361" t="str">
        <f t="shared" si="172"/>
        <v xml:space="preserve"> </v>
      </c>
      <c r="FB32" s="361" t="str">
        <f t="shared" si="173"/>
        <v xml:space="preserve"> </v>
      </c>
      <c r="FC32" s="361"/>
      <c r="FD32" s="361" t="str">
        <f>IF(J32&gt;0,IF(Calculation!R32&lt;=70,4,IF(Calculation!R32&lt;=110,5,IF(Calculation!R32&lt;=160,6,IF(Calculation!R32&lt;=300,8,"10 EO")))),"")</f>
        <v/>
      </c>
      <c r="FE32" s="361" t="str">
        <f t="shared" si="174"/>
        <v/>
      </c>
      <c r="FF32" s="361" t="str">
        <f t="shared" si="175"/>
        <v/>
      </c>
      <c r="FG32" s="361" t="e">
        <f t="shared" si="60"/>
        <v>#N/A</v>
      </c>
      <c r="FH32" s="361">
        <f t="shared" si="61"/>
        <v>0</v>
      </c>
      <c r="FI32" s="361" t="e">
        <f t="shared" si="62"/>
        <v>#DIV/0!</v>
      </c>
      <c r="FJ32" s="361"/>
      <c r="FK32" s="356" t="e">
        <f t="shared" si="63"/>
        <v>#VALUE!</v>
      </c>
      <c r="FL32" s="361"/>
      <c r="FM32" s="361"/>
      <c r="FN32" s="362" t="str">
        <f t="shared" si="176"/>
        <v xml:space="preserve"> </v>
      </c>
      <c r="FO32" s="362" t="str">
        <f t="shared" si="177"/>
        <v xml:space="preserve"> </v>
      </c>
      <c r="FP32" s="362">
        <f t="shared" si="178"/>
        <v>0</v>
      </c>
      <c r="FQ32" s="361">
        <f t="shared" si="64"/>
        <v>0</v>
      </c>
      <c r="FR32" s="362" t="str">
        <f>IF(L32&gt;0,IF(J32="CBAL2",Worksheet!$P$67,IF(J32="CBE2-24",Worksheet!$Q$67,IF(J32="CBAM",Worksheet!$R$67,IF(J32="CBLV",Worksheet!$S$67,IF(J32="CBAB",Worksheet!$U$67,IF(J32="CBAW",Worksheet!$X$67,IF(J32="CBE2-12",Worksheet!$Y$67,IF(J32="CBAL2",Worksheet!$Z$67,"N/A"))))))))," ")</f>
        <v xml:space="preserve"> </v>
      </c>
      <c r="FS32" s="362" t="str">
        <f>IF(L32&gt;0,IF(J32="CBAL2",Worksheet!$P$68,IF(J32="CBE2-24",Worksheet!$Q$68,IF(J32="CBAM",Worksheet!$R$68,IF(J32="CBLV",Worksheet!$S$68,IF(J32="CBAB",Worksheet!$U$68,IF(J32="CBAW",Worksheet!$X$68,IF(J32="CBE2-12",Worksheet!$Y$68,IF(J32="CBAL2",Worksheet!$Z$68,"N/A"))))))))," ")</f>
        <v xml:space="preserve"> </v>
      </c>
      <c r="FT32" s="362" t="str">
        <f>IF(L32&gt;0,IF(J32="CBAL2",Worksheet!$P$69,IF(J32="CBE2-24",Worksheet!$Q$69,IF(J32="CBAM",Worksheet!$R$69,IF(J32="CBLV",Worksheet!$S$69,IF(J32="CBAB",Worksheet!$U$69,IF(J32="CBAW",Worksheet!$X$69,IF(J32="CBE2-12",Worksheet!$Y$69,IF(J32="CBAL2",Worksheet!$Z$69,"N/A"))))))))," ")</f>
        <v xml:space="preserve"> </v>
      </c>
      <c r="FU32" s="361" t="str">
        <f t="shared" si="179"/>
        <v xml:space="preserve"> </v>
      </c>
      <c r="FV32" s="362" t="str">
        <f t="shared" si="180"/>
        <v xml:space="preserve"> </v>
      </c>
      <c r="FW32" s="362" t="str">
        <f t="shared" si="181"/>
        <v xml:space="preserve"> </v>
      </c>
      <c r="FX32" s="362" t="str">
        <f t="shared" si="182"/>
        <v xml:space="preserve"> </v>
      </c>
      <c r="FY32" s="355" t="str">
        <f t="shared" si="183"/>
        <v xml:space="preserve"> </v>
      </c>
      <c r="FZ32" s="361" t="str">
        <f t="shared" si="184"/>
        <v xml:space="preserve"> </v>
      </c>
      <c r="GA32" s="347" t="str">
        <f t="shared" si="185"/>
        <v xml:space="preserve"> </v>
      </c>
      <c r="GB32" s="355" t="str">
        <f t="shared" si="186"/>
        <v xml:space="preserve"> </v>
      </c>
      <c r="GC32" s="328" t="str">
        <f t="shared" si="187"/>
        <v xml:space="preserve"> </v>
      </c>
      <c r="GD32" s="361" t="str">
        <f t="shared" si="188"/>
        <v xml:space="preserve"> </v>
      </c>
      <c r="GE32" s="347" t="str">
        <f t="shared" si="189"/>
        <v xml:space="preserve"> </v>
      </c>
      <c r="GF32" s="361" t="str">
        <f t="shared" si="190"/>
        <v xml:space="preserve"> </v>
      </c>
      <c r="GG32" s="347" t="str">
        <f t="shared" si="191"/>
        <v xml:space="preserve"> </v>
      </c>
      <c r="GH32" s="364">
        <f t="shared" si="78"/>
        <v>0</v>
      </c>
      <c r="GI32" s="362">
        <f t="shared" si="192"/>
        <v>2</v>
      </c>
      <c r="GJ32" s="433" t="e">
        <f>IF(6-COUNTBLANK(GT32:GY32)=4,MATCH(MID(BO32,9,3),CLU!$H$16:$K$16),MATCH(MID(BO32,9,3),CLU!$H$13:$M$13))</f>
        <v>#N/A</v>
      </c>
      <c r="GK32" s="433" t="e">
        <f>HLOOKUP(VALUE(BP32),CLU!$H$9:$M$10,2)</f>
        <v>#VALUE!</v>
      </c>
      <c r="GL32" s="433" t="e">
        <f ca="1">MATCH(BU32,CLU!$H$2:$V$2,1)</f>
        <v>#VALUE!</v>
      </c>
      <c r="GM32" s="433" t="e">
        <f t="shared" ca="1" si="193"/>
        <v>#VALUE!</v>
      </c>
      <c r="GN32" s="433" t="e">
        <f t="shared" ca="1" si="194"/>
        <v>#VALUE!</v>
      </c>
      <c r="GO32" s="433" t="e">
        <f t="shared" ca="1" si="195"/>
        <v>#VALUE!</v>
      </c>
      <c r="GP32" s="433" t="e">
        <f t="shared" ca="1" si="196"/>
        <v>#VALUE!</v>
      </c>
      <c r="GQ32" s="433" t="e">
        <f t="shared" ca="1" si="197"/>
        <v>#VALUE!</v>
      </c>
      <c r="GR32" s="433" t="e">
        <f ca="1">MATCH(T32,INDIRECT(VLOOKUP(CONCATENATE(LEFT(BO32,7),"-",MID(BO32,13,1)),CLU!$P$3:$Q$16,2)),1)</f>
        <v>#N/A</v>
      </c>
      <c r="GS32" s="433" t="e">
        <f ca="1">MATCH(U32,INDIRECT(VLOOKUP(CONCATENATE(LEFT(BO32,7),"-",MID(BO32,13,1)),CLU!$P$3:$Q$16,2)),1)</f>
        <v>#N/A</v>
      </c>
      <c r="GT32" s="347" t="s">
        <v>512</v>
      </c>
      <c r="GU32" s="97" t="s">
        <v>513</v>
      </c>
      <c r="GV32" s="97" t="str">
        <f t="shared" si="198"/>
        <v>M23</v>
      </c>
      <c r="GW32" s="97" t="str">
        <f t="shared" si="199"/>
        <v>M31</v>
      </c>
      <c r="GX32" s="97" t="str">
        <f t="shared" si="200"/>
        <v/>
      </c>
      <c r="GY32" s="97" t="str">
        <f t="shared" si="201"/>
        <v/>
      </c>
      <c r="GZ32" s="481"/>
      <c r="HA32" s="288"/>
      <c r="HB32" s="240"/>
      <c r="HC32" s="240"/>
      <c r="HD32" s="240"/>
      <c r="HE32" s="240"/>
      <c r="HF32" s="240"/>
      <c r="HG32" s="240"/>
      <c r="HH32" s="240"/>
      <c r="HI32" s="240"/>
      <c r="HJ32" s="240"/>
      <c r="HK32" s="240"/>
      <c r="HL32" s="240"/>
      <c r="HM32" s="240"/>
      <c r="HN32" s="240"/>
      <c r="HO32" s="240"/>
      <c r="HP32" s="240"/>
      <c r="HQ32" s="240"/>
      <c r="HR32" s="240"/>
      <c r="HS32" s="240"/>
      <c r="HT32" s="240"/>
      <c r="HU32" s="240"/>
      <c r="HV32" s="245"/>
      <c r="HW32" s="245" t="b">
        <v>1</v>
      </c>
      <c r="HX32" s="245" t="str">
        <f t="shared" si="79"/>
        <v/>
      </c>
      <c r="HY32" s="245" t="e">
        <f t="shared" si="80"/>
        <v>#DIV/0!</v>
      </c>
      <c r="HZ32" s="245" t="e">
        <f t="shared" si="81"/>
        <v>#DIV/0!</v>
      </c>
      <c r="IA32" s="245">
        <f t="shared" si="82"/>
        <v>0</v>
      </c>
      <c r="IB32" s="245"/>
      <c r="IC32" t="b">
        <f t="shared" si="83"/>
        <v>1</v>
      </c>
      <c r="ID32" s="245" t="b">
        <f t="shared" si="84"/>
        <v>1</v>
      </c>
      <c r="IE32" s="245" t="b">
        <f t="shared" si="85"/>
        <v>1</v>
      </c>
      <c r="IF32" s="245" t="b">
        <f t="shared" si="86"/>
        <v>0</v>
      </c>
      <c r="IG32" s="245" t="b">
        <f t="shared" si="87"/>
        <v>1</v>
      </c>
      <c r="IH32" s="245" t="b">
        <f t="shared" si="88"/>
        <v>1</v>
      </c>
      <c r="II32" s="245">
        <f t="shared" si="202"/>
        <v>0</v>
      </c>
      <c r="IJ32" s="245" t="e">
        <f t="shared" si="89"/>
        <v>#VALUE!</v>
      </c>
      <c r="IK32" s="245" t="e">
        <f t="shared" si="90"/>
        <v>#VALUE!</v>
      </c>
      <c r="IL32" s="245"/>
      <c r="IM32" s="245" t="e">
        <f t="shared" si="203"/>
        <v>#N/A</v>
      </c>
      <c r="IN32" s="245" t="e">
        <f t="shared" si="204"/>
        <v>#N/A</v>
      </c>
      <c r="IO32" s="245"/>
      <c r="IP32" s="245"/>
      <c r="IQ32" s="245" t="str">
        <f t="shared" si="91"/>
        <v/>
      </c>
      <c r="IR32" s="245" t="str">
        <f>IF(J32="","",VLOOKUP(J32,Worksheet!$R$4:$T$14,2))</f>
        <v/>
      </c>
      <c r="IS32" s="245"/>
      <c r="IT32" s="245">
        <f t="shared" si="92"/>
        <v>0</v>
      </c>
      <c r="IU32" s="245">
        <f t="shared" si="93"/>
        <v>0</v>
      </c>
      <c r="IV32" s="245">
        <f t="shared" si="94"/>
        <v>0</v>
      </c>
      <c r="IW32" s="245">
        <f t="shared" si="95"/>
        <v>0</v>
      </c>
      <c r="IX32" s="245">
        <f t="shared" si="205"/>
        <v>0</v>
      </c>
      <c r="IY32" s="245">
        <f t="shared" si="96"/>
        <v>0</v>
      </c>
      <c r="IZ32" s="245">
        <f t="shared" si="97"/>
        <v>0</v>
      </c>
      <c r="JA32">
        <f t="shared" si="98"/>
        <v>0</v>
      </c>
      <c r="JB32">
        <f t="shared" si="206"/>
        <v>0</v>
      </c>
      <c r="JC32">
        <f t="shared" si="99"/>
        <v>0</v>
      </c>
      <c r="JD32">
        <f t="shared" si="100"/>
        <v>0</v>
      </c>
      <c r="JE32">
        <f t="shared" si="101"/>
        <v>0</v>
      </c>
      <c r="JF32">
        <f t="shared" si="102"/>
        <v>0</v>
      </c>
      <c r="JG32">
        <f t="shared" si="103"/>
        <v>0</v>
      </c>
      <c r="JH32">
        <f t="shared" si="104"/>
        <v>0</v>
      </c>
      <c r="JI32">
        <f t="shared" si="105"/>
        <v>0</v>
      </c>
      <c r="JJ32" s="447">
        <f t="shared" si="106"/>
        <v>0</v>
      </c>
      <c r="JK32" s="447">
        <f t="shared" si="107"/>
        <v>0</v>
      </c>
      <c r="JL32">
        <f t="shared" si="108"/>
        <v>0</v>
      </c>
      <c r="JM32" s="245" t="str">
        <f>IFERROR(VLOOKUP(MATCH(BN32,#REF!,0),#REF!,7),"")</f>
        <v/>
      </c>
      <c r="JN32" t="e">
        <f>HLOOKUP(LEFT(BO32,7),Discharge_Area,MATCH(JO32,LookUps!$B$130:$B$149,1)+2)</f>
        <v>#N/A</v>
      </c>
      <c r="JO32" t="str">
        <f t="shared" si="109"/>
        <v>- S</v>
      </c>
      <c r="JP32" t="e">
        <f>HLOOKUP(LEFT(BO32,7),Discharge_Area,MATCH(JO32,LookUps!$B$130:$B$149,1)+2)</f>
        <v>#N/A</v>
      </c>
      <c r="JQ32" t="e">
        <f t="shared" si="110"/>
        <v>#N/A</v>
      </c>
      <c r="JR32" t="e">
        <f t="shared" si="111"/>
        <v>#N/A</v>
      </c>
      <c r="JS32" t="e">
        <f t="shared" si="112"/>
        <v>#N/A</v>
      </c>
      <c r="JT32" s="532" t="str">
        <f t="shared" si="113"/>
        <v xml:space="preserve"> </v>
      </c>
      <c r="JU32" s="532" t="str">
        <f t="shared" si="114"/>
        <v xml:space="preserve"> </v>
      </c>
      <c r="JV32" s="533" t="str">
        <f t="shared" si="115"/>
        <v xml:space="preserve"> </v>
      </c>
      <c r="JW32" s="534">
        <f t="shared" si="116"/>
        <v>0</v>
      </c>
      <c r="JX32" s="535" t="str">
        <f t="shared" si="207"/>
        <v xml:space="preserve"> </v>
      </c>
      <c r="JY32" s="535" t="str">
        <f t="shared" si="208"/>
        <v xml:space="preserve"> </v>
      </c>
      <c r="JZ32" s="535" t="str">
        <f t="shared" si="209"/>
        <v xml:space="preserve"> </v>
      </c>
      <c r="KA32" s="536" t="str">
        <f t="shared" si="117"/>
        <v xml:space="preserve"> </v>
      </c>
      <c r="KB32" s="535" t="e">
        <f t="shared" si="210"/>
        <v>#VALUE!</v>
      </c>
      <c r="KC32" s="535" t="str">
        <f t="shared" si="118"/>
        <v/>
      </c>
      <c r="KD32" s="537" t="str">
        <f t="shared" si="211"/>
        <v xml:space="preserve"> </v>
      </c>
      <c r="KE32" s="537" t="str">
        <f t="shared" si="212"/>
        <v xml:space="preserve"> </v>
      </c>
      <c r="KF32" s="534">
        <f t="shared" si="119"/>
        <v>0</v>
      </c>
      <c r="KG32" s="535" t="str">
        <f t="shared" si="120"/>
        <v xml:space="preserve"> </v>
      </c>
      <c r="KH32" s="535" t="str">
        <f t="shared" si="121"/>
        <v xml:space="preserve"> </v>
      </c>
      <c r="KI32" s="535" t="str">
        <f t="shared" si="122"/>
        <v xml:space="preserve"> </v>
      </c>
      <c r="KJ32" s="536" t="str">
        <f t="shared" si="123"/>
        <v xml:space="preserve"> </v>
      </c>
      <c r="KK32" s="535" t="str">
        <f t="shared" si="213"/>
        <v xml:space="preserve"> </v>
      </c>
      <c r="KL32" s="535" t="str">
        <f t="shared" si="214"/>
        <v xml:space="preserve"> </v>
      </c>
      <c r="KM32" s="537" t="str">
        <f t="shared" si="124"/>
        <v xml:space="preserve"> </v>
      </c>
      <c r="KN32" s="537" t="str">
        <f t="shared" si="215"/>
        <v xml:space="preserve"> </v>
      </c>
      <c r="KP32">
        <f t="shared" si="125"/>
        <v>0</v>
      </c>
      <c r="LA32" t="e">
        <f t="shared" si="126"/>
        <v>#VALUE!</v>
      </c>
      <c r="LB32" t="e">
        <f t="shared" si="127"/>
        <v>#VALUE!</v>
      </c>
      <c r="LC32" t="e">
        <f t="shared" si="128"/>
        <v>#VALUE!</v>
      </c>
      <c r="LD32" t="e">
        <f t="shared" si="129"/>
        <v>#VALUE!</v>
      </c>
      <c r="LE32" t="e">
        <f t="shared" si="216"/>
        <v>#VALUE!</v>
      </c>
      <c r="LF32">
        <f t="shared" si="130"/>
        <v>0</v>
      </c>
      <c r="LG32" t="e">
        <f t="shared" si="217"/>
        <v>#VALUE!</v>
      </c>
      <c r="LH32" t="str">
        <f t="shared" si="131"/>
        <v xml:space="preserve"> </v>
      </c>
      <c r="LI32">
        <f t="shared" si="218"/>
        <v>1</v>
      </c>
    </row>
    <row r="33" spans="2:321" ht="15" customHeight="1">
      <c r="B33" s="311"/>
      <c r="C33" s="311"/>
      <c r="D33" s="312"/>
      <c r="E33" s="311"/>
      <c r="F33" s="312"/>
      <c r="G33" s="311"/>
      <c r="H33" s="311"/>
      <c r="I33" s="37"/>
      <c r="J33" s="311"/>
      <c r="K33" s="305" t="str">
        <f t="shared" si="132"/>
        <v/>
      </c>
      <c r="L33" s="313"/>
      <c r="M33" s="312"/>
      <c r="N33" s="311"/>
      <c r="O33" s="312"/>
      <c r="P33" s="311"/>
      <c r="Q33" s="305" t="str">
        <f t="shared" si="133"/>
        <v/>
      </c>
      <c r="R33" s="314"/>
      <c r="S33" s="450" t="str">
        <f t="shared" si="0"/>
        <v/>
      </c>
      <c r="T33" s="315"/>
      <c r="U33" s="315"/>
      <c r="W33" s="149" t="str">
        <f t="shared" si="1"/>
        <v xml:space="preserve"> </v>
      </c>
      <c r="X33" s="243" t="str">
        <f t="shared" si="2"/>
        <v xml:space="preserve"> </v>
      </c>
      <c r="Y33" s="150" t="str">
        <f t="shared" si="3"/>
        <v/>
      </c>
      <c r="Z33" s="149" t="str">
        <f t="shared" si="4"/>
        <v xml:space="preserve"> </v>
      </c>
      <c r="AA33" s="98" t="str">
        <f t="shared" si="5"/>
        <v xml:space="preserve"> </v>
      </c>
      <c r="AB33" s="153" t="str">
        <f t="shared" si="6"/>
        <v xml:space="preserve"> </v>
      </c>
      <c r="AC33" s="153" t="str">
        <f t="shared" si="7"/>
        <v xml:space="preserve"> </v>
      </c>
      <c r="AD33" s="148" t="str">
        <f t="shared" si="8"/>
        <v/>
      </c>
      <c r="AE33" s="149" t="str">
        <f t="shared" si="9"/>
        <v/>
      </c>
      <c r="AF33" s="151" t="str">
        <f t="shared" si="10"/>
        <v xml:space="preserve"> </v>
      </c>
      <c r="AG33" s="153" t="str">
        <f t="shared" si="11"/>
        <v xml:space="preserve"> </v>
      </c>
      <c r="AH33" s="98" t="str">
        <f t="shared" si="12"/>
        <v xml:space="preserve"> </v>
      </c>
      <c r="AI33" s="149" t="str">
        <f t="shared" si="13"/>
        <v xml:space="preserve"> </v>
      </c>
      <c r="AK33" s="144" t="str">
        <f t="shared" si="14"/>
        <v xml:space="preserve"> </v>
      </c>
      <c r="AL33" s="144"/>
      <c r="AM33" s="243" t="str">
        <f t="shared" si="15"/>
        <v xml:space="preserve"> </v>
      </c>
      <c r="AN33" s="149" t="str">
        <f t="shared" si="134"/>
        <v xml:space="preserve"> </v>
      </c>
      <c r="AO33" s="144" t="str">
        <f>IF(JB33&gt;0,IF(GI33=10,-R33*1.085*(Calculation!$F$6-Calculation!$F$13)*$S$14," "),"")</f>
        <v/>
      </c>
      <c r="AP33" s="144" t="str">
        <f t="shared" si="16"/>
        <v/>
      </c>
      <c r="AQ33" s="56" t="str">
        <f t="shared" si="17"/>
        <v/>
      </c>
      <c r="AR33" s="144" t="str">
        <f t="shared" si="18"/>
        <v/>
      </c>
      <c r="AS33" s="176" t="str">
        <f t="shared" si="19"/>
        <v/>
      </c>
      <c r="AT33" s="176" t="str">
        <f t="shared" si="135"/>
        <v xml:space="preserve"> </v>
      </c>
      <c r="AU33" s="176" t="str">
        <f t="shared" si="20"/>
        <v/>
      </c>
      <c r="AV33" s="177" t="str">
        <f t="shared" si="21"/>
        <v xml:space="preserve"> </v>
      </c>
      <c r="AW33" s="144" t="str">
        <f t="shared" si="22"/>
        <v xml:space="preserve"> </v>
      </c>
      <c r="AX33" s="144" t="str">
        <f t="shared" si="23"/>
        <v xml:space="preserve"> </v>
      </c>
      <c r="AY33" s="152" t="str">
        <f t="shared" si="24"/>
        <v xml:space="preserve"> </v>
      </c>
      <c r="AZ33" s="246" t="str">
        <f t="shared" si="25"/>
        <v/>
      </c>
      <c r="BA33" s="176" t="str">
        <f t="shared" si="26"/>
        <v xml:space="preserve"> </v>
      </c>
      <c r="BB33" s="176" t="str">
        <f t="shared" si="27"/>
        <v xml:space="preserve"> </v>
      </c>
      <c r="BC33" s="195"/>
      <c r="BD33" s="316"/>
      <c r="BE33" s="317"/>
      <c r="BF33" s="318"/>
      <c r="BG33" s="318"/>
      <c r="BH33" s="144" t="str">
        <f t="shared" si="219"/>
        <v xml:space="preserve"> </v>
      </c>
      <c r="BI33" s="176" t="str">
        <f t="shared" si="28"/>
        <v/>
      </c>
      <c r="BJ33" s="144" t="str">
        <f t="shared" si="220"/>
        <v/>
      </c>
      <c r="BK33" s="246" t="str">
        <f t="shared" si="29"/>
        <v/>
      </c>
      <c r="BL33" s="144" t="str">
        <f t="shared" si="221"/>
        <v/>
      </c>
      <c r="BM33" s="246" t="str">
        <f t="shared" si="30"/>
        <v/>
      </c>
      <c r="BN33" s="337" t="str">
        <f t="shared" si="136"/>
        <v/>
      </c>
      <c r="BO33" s="371" t="str">
        <f t="shared" si="137"/>
        <v/>
      </c>
      <c r="BP33" s="328" t="str">
        <f t="shared" si="222"/>
        <v xml:space="preserve"> </v>
      </c>
      <c r="BQ33" s="347" t="str">
        <f t="shared" si="138"/>
        <v xml:space="preserve"> </v>
      </c>
      <c r="BR33" s="353" t="str">
        <f t="shared" si="223"/>
        <v xml:space="preserve"> </v>
      </c>
      <c r="BS33" s="626" t="str">
        <f>IF(L33&gt;0,IF(Calculation!P33="M13",BR33*3.1416*(0.134^2)/(4*144),IF(Calculation!P33="M17",BR33*3.1416*(0.165^2)/(4*144),IF(Calculation!P33="M20",BR33*3.1416*(0.198^2)/(4*144),IF(Calculation!P33="M23",BR33*3.1416*(0.228^2)/(4*144),IF(Calculation!P33="M27",BR33*3.1416*(0.269^2)/(4*144),BR33*3.1416*(0.307^2)/(4*144))))))," ")</f>
        <v xml:space="preserve"> </v>
      </c>
      <c r="BT33" s="353" t="str">
        <f>IF(L33&gt;0,IF(BS33&gt;0,R33/Calculation!BS33,0)," ")</f>
        <v xml:space="preserve"> </v>
      </c>
      <c r="BU33" s="438" t="e">
        <f t="shared" ca="1" si="31"/>
        <v>#VALUE!</v>
      </c>
      <c r="BV33" s="449" t="e">
        <f ca="1">INDEX(INDIRECT(VLOOKUP(LEFT(BO33,7),CLU!$Z$3:$AH$18,2)),GN33,GR33)</f>
        <v>#N/A</v>
      </c>
      <c r="BW33" s="433" t="e">
        <f ca="1">INDEX(INDIRECT(VLOOKUP(LEFT(BO33,7),CLU!$Z$3:$AH$18,3)),GN33,GR33)</f>
        <v>#N/A</v>
      </c>
      <c r="BX33" s="433" t="e">
        <f ca="1">INDEX(INDIRECT(VLOOKUP(LEFT(BO33,7),CLU!$Z$3:$AH$18,4)),GN33,GR33)</f>
        <v>#N/A</v>
      </c>
      <c r="BY33" s="433" t="e">
        <f ca="1">INDEX(INDIRECT(VLOOKUP(LEFT(BO33,7),CLU!$Z$3:$AH$18,9)),((M33-2)*(6-COUNTBLANK(GT33:GY33)))+GJ33)</f>
        <v>#N/A</v>
      </c>
      <c r="BZ33" s="426" t="e">
        <f t="shared" ca="1" si="139"/>
        <v>#N/A</v>
      </c>
      <c r="CA33" s="424" t="e">
        <f t="shared" ca="1" si="140"/>
        <v>#N/A</v>
      </c>
      <c r="CB33" s="429" t="e">
        <f ca="1">INDEX(INDIRECT(VLOOKUP(LEFT(BO33,7),CLU!$Z$3:$AH$18,2)),GN33,GS33)</f>
        <v>#N/A</v>
      </c>
      <c r="CC33" s="342" t="e">
        <f ca="1">INDEX(INDIRECT(VLOOKUP(LEFT(BO33,7),CLU!$Z$3:$AH$18,3)),GN33,GS33)</f>
        <v>#N/A</v>
      </c>
      <c r="CD33" s="342" t="e">
        <f ca="1">INDEX(INDIRECT(VLOOKUP(LEFT(BO33,7),CLU!$Z$3:$AH$18,4)),GN33,GS33)</f>
        <v>#N/A</v>
      </c>
      <c r="CE33" s="426" t="e">
        <f t="shared" ca="1" si="141"/>
        <v>#N/A</v>
      </c>
      <c r="CF33" s="440">
        <f t="shared" si="142"/>
        <v>0</v>
      </c>
      <c r="CG33" s="431" t="e">
        <f ca="1">INDEX(INDIRECT(VLOOKUP(LEFT(BO33,7),CLU!$Z$3:$AH$18,2)),GQ33,GR33)</f>
        <v>#N/A</v>
      </c>
      <c r="CH33" s="431" t="e">
        <f ca="1">INDEX(INDIRECT(VLOOKUP(LEFT(BO33,7),CLU!$Z$3:$AH$18,3)),GQ33,GR33)</f>
        <v>#N/A</v>
      </c>
      <c r="CI33" s="431" t="e">
        <f ca="1">INDEX(INDIRECT(VLOOKUP(LEFT(BO33,7),CLU!$Z$3:$AH$18,4)),GQ33,GR33)</f>
        <v>#N/A</v>
      </c>
      <c r="CJ33" s="448" t="e">
        <f t="shared" ca="1" si="143"/>
        <v>#N/A</v>
      </c>
      <c r="CK33" s="431" t="e">
        <f t="shared" ca="1" si="144"/>
        <v>#N/A</v>
      </c>
      <c r="CL33" s="440" t="e">
        <f t="shared" ca="1" si="145"/>
        <v>#N/A</v>
      </c>
      <c r="CM33" s="431" t="e">
        <f ca="1">INDEX(INDIRECT(VLOOKUP(LEFT(BO33,7),CLU!$Z$3:$AH$18,2)),GQ33,GS33)</f>
        <v>#N/A</v>
      </c>
      <c r="CN33" s="431" t="e">
        <f ca="1">INDEX(INDIRECT(VLOOKUP(LEFT(BO33,7),CLU!$Z$3:$AH$18,3)),GQ33,GS33)</f>
        <v>#N/A</v>
      </c>
      <c r="CO33" s="431" t="e">
        <f ca="1">INDEX(INDIRECT(VLOOKUP(LEFT(BO33,7),CLU!$Z$3:$AH$18,4)),GQ33,GS33)</f>
        <v>#N/A</v>
      </c>
      <c r="CP33" s="431" t="e">
        <f t="shared" ca="1" si="146"/>
        <v>#N/A</v>
      </c>
      <c r="CQ33" s="440">
        <f t="shared" si="147"/>
        <v>0</v>
      </c>
      <c r="CR33" s="51" t="e">
        <f t="shared" ca="1" si="148"/>
        <v>#N/A</v>
      </c>
      <c r="CS33" s="439" t="e">
        <f t="shared" ca="1" si="149"/>
        <v>#VALUE!</v>
      </c>
      <c r="CT33" s="51" t="e">
        <f t="shared" ca="1" si="150"/>
        <v>#VALUE!</v>
      </c>
      <c r="CU33" s="10"/>
      <c r="CV33" s="51" t="e">
        <f t="shared" ca="1" si="34"/>
        <v>#VALUE!</v>
      </c>
      <c r="CW33" s="51">
        <f t="shared" si="151"/>
        <v>0</v>
      </c>
      <c r="CX33" s="439" t="e">
        <f t="shared" ca="1" si="152"/>
        <v>#VALUE!</v>
      </c>
      <c r="CY33" s="51" t="e">
        <f t="shared" ca="1" si="153"/>
        <v>#VALUE!</v>
      </c>
      <c r="CZ33" s="10"/>
      <c r="DA33" s="51" t="e">
        <f t="shared" ca="1" si="154"/>
        <v>#VALUE!</v>
      </c>
      <c r="DB33" s="347" t="e">
        <f ca="1">INDEX(INDIRECT(VLOOKUP(LEFT(BO33,7),CLU!$Z$3:$AI$18,10)),((M33-2)*(6-COUNTBLANK(GT33:GY33)))+GJ33)*LI33</f>
        <v>#N/A</v>
      </c>
      <c r="DC33" s="347" t="str">
        <f>IF(L33&gt;0,((R33/Worksheet!$I$15)/DB33)^2," ")</f>
        <v xml:space="preserve"> </v>
      </c>
      <c r="DD33" s="602" t="str">
        <f t="shared" si="224"/>
        <v xml:space="preserve"> </v>
      </c>
      <c r="DE33" s="347" t="str">
        <f t="shared" si="35"/>
        <v xml:space="preserve"> </v>
      </c>
      <c r="DF33" s="356" t="e">
        <f ca="1">INDEX(INDIRECT(VLOOKUP(LEFT(BO33,7),CLU!$Z$3:$AH$18,8)),((M33-2)*(6-COUNTBLANK(GT33:GY33)))+GJ33)</f>
        <v>#N/A</v>
      </c>
      <c r="DG33" s="347" t="str">
        <f t="shared" si="36"/>
        <v xml:space="preserve"> </v>
      </c>
      <c r="DH33" s="357" t="str">
        <f t="shared" si="37"/>
        <v xml:space="preserve"> </v>
      </c>
      <c r="DI33" s="355" t="str">
        <f t="shared" si="38"/>
        <v xml:space="preserve"> </v>
      </c>
      <c r="DJ33" s="245" t="e">
        <f ca="1">INDEX(INDIRECT(VLOOKUP(LEFT(BO33,7),CLU!$Z$3:$AH$18,5)),GL33,GK33)</f>
        <v>#N/A</v>
      </c>
      <c r="DK33" s="245" t="e">
        <f ca="1">INDEX(INDIRECT(VLOOKUP(LEFT(BO33,7),CLU!$Z$3:$AH$18,6)),GL33,GK33)</f>
        <v>#N/A</v>
      </c>
      <c r="DL33" s="355">
        <f>(Calculation!R33*0.69143*(Calculation!$BQ$8-Calculation!$F$8))*$S$14</f>
        <v>0</v>
      </c>
      <c r="DM33" s="359" t="e">
        <f t="shared" si="160"/>
        <v>#VALUE!</v>
      </c>
      <c r="DN33" s="611">
        <f t="shared" si="161"/>
        <v>0</v>
      </c>
      <c r="DO33" s="359">
        <f t="shared" si="162"/>
        <v>100</v>
      </c>
      <c r="DP33" s="359">
        <f t="shared" si="163"/>
        <v>0</v>
      </c>
      <c r="DQ33" s="360"/>
      <c r="DR33" s="245" t="e">
        <f ca="1">INDEX(INDIRECT(VLOOKUP(LEFT(BO33,7),CLU!$Z$3:$AH$18,7)),M33-1,1)</f>
        <v>#N/A</v>
      </c>
      <c r="DS33" s="245" t="e">
        <f ca="1">INDEX(INDIRECT(VLOOKUP(LEFT(BO33,7),CLU!$Z$3:$AH$18,7)),M33-1,2)</f>
        <v>#N/A</v>
      </c>
      <c r="DT33" s="245" t="e">
        <f ca="1">INDEX(INDIRECT(VLOOKUP(LEFT(BO33,7),CLU!$Z$3:$AH$18,7)),M33-1,3)</f>
        <v>#N/A</v>
      </c>
      <c r="DU33" s="245" t="e">
        <f ca="1">INDEX(INDIRECT(VLOOKUP(LEFT(BO33,7),CLU!$Z$3:$AH$18,7)),M33-1,4)</f>
        <v>#N/A</v>
      </c>
      <c r="DV33" s="361" t="e">
        <f ca="1">INDEX(INDIRECT(VLOOKUP(LEFT(BO33,7),CLU!$Z$3:$AH$18,7)),M33-1,4+LEFT(DZ33,1)*0.5)</f>
        <v>#N/A</v>
      </c>
      <c r="DW33" s="245" t="e">
        <f ca="1">INDEX(INDIRECT(VLOOKUP(LEFT(BO33,7),CLU!$Z$3:$AH$18,7)),M33-1,8)</f>
        <v>#N/A</v>
      </c>
      <c r="DX33" s="361" t="str">
        <f t="shared" si="39"/>
        <v xml:space="preserve"> </v>
      </c>
      <c r="DY33" s="361" t="str">
        <f t="shared" si="40"/>
        <v xml:space="preserve"> </v>
      </c>
      <c r="DZ33" s="361" t="str">
        <f t="shared" si="41"/>
        <v xml:space="preserve"> </v>
      </c>
      <c r="EA33" s="362" t="str">
        <f t="shared" si="42"/>
        <v xml:space="preserve"> </v>
      </c>
      <c r="EB33" s="624" t="str">
        <f t="shared" si="168"/>
        <v xml:space="preserve"> </v>
      </c>
      <c r="EC33" s="361" t="e">
        <f ca="1">INDEX(INDIRECT(VLOOKUP(LEFT(BO33,7),CLU!$Z$3:$AH$18,7)),M33-1,4+LEFT(DZ33,1)*0.5)</f>
        <v>#N/A</v>
      </c>
      <c r="ED33" s="362" t="str">
        <f t="shared" si="43"/>
        <v xml:space="preserve"> </v>
      </c>
      <c r="EE33" s="361" t="str">
        <f t="shared" si="44"/>
        <v xml:space="preserve"> </v>
      </c>
      <c r="EF33" s="362" t="str">
        <f>IF(L33&gt;0,IF(BR33&gt;0,IF(EE33="2P",IF(Calculation!DZ33="2P",IF(Calculation!DS33=13.75,IF(Calculation!DR33=13,Worksheet!$BD$43,IF(Calculation!DR33=37,Worksheet!$BD$44,Worksheet!$BD$45)),IF(Calculation!DS33=10,IF(Calculation!DR33=18,Worksheet!$BD$29,IF(Calculation!DR33=30,Worksheet!$BD$30,IF(Calculation!DR33=42,Worksheet!$BD$31,IF(Calculation!DR33=54,Worksheet!$BD$32,IF(Calculation!DR33=66,Worksheet!$BD$33,IF(Calculation!DR33=78,Worksheet!$BD$34,IF(Calculation!DR33=90,Worksheet!$BD$35,IF(Calculation!DR33=102,Worksheet!$BD$36,Worksheet!$BD$37)))))))),IF(Calculation!DS33=12.5,IF(Calculation!DR33=18,Worksheet!$BD$38,IF(Calculation!DR33=Worksheet!$BD$39,IF(Calculation!DR33=42,Worksheet!$BD$40,IF(Calculation!DR33=54,Worksheet!$BD$41,Worksheet!$BD$42)))),IF(Calculation!DR33=18,Worksheet!$BD$11,IF(Calculation!DR33=30,Worksheet!$BD$12,IF(Calculation!DR33=42,Worksheet!$BD$13,IF(Calculation!DR33=54,Worksheet!$BD$14,IF(Calculation!DR33=66,Worksheet!$BD$15,IF(Calculation!DR33=78,Worksheet!$BD$16,IF(Calculation!DR33=90,Worksheet!$BD$17,IF(Calculation!DR33=102,Worksheet!$BD$18,Worksheet!$BD$19))))))))))),IF(Calculation!DS33=13.75,IF(Calculation!DR33=13,Worksheet!$BD$78,IF(Calculation!DR33=37,Worksheet!$BD$79,Worksheet!$BD$80)),IF(Calculation!DS33=10,IF(Calculation!DR33=18,Worksheet!$BD$64,IF(Calculation!DR33=30,Worksheet!$BD$65,IF(Calculation!DR33=42,Worksheet!$BD$66,IF(Calculation!DR33=54,Worksheet!$BD$68,IF(Calculation!DR33=66,Worksheet!$BD$68,IF(Calculation!DR33=78,Worksheet!$BD$69,IF(Calculation!DR33=90,Worksheet!$BD$70,IF(Calculation!DR33=102,Worksheet!$BD$71,Worksheet!$BD$72)))))))),IF(Calculation!DS33=12.5,IF(Calculation!DR33=18,Worksheet!$BD$73,IF(Calculation!DR33=Worksheet!$BD$74,IF(Calculation!DR33=42,Worksheet!$BD$75,IF(Calculation!DR33=54,Worksheet!$BD$76,Worksheet!$BD$77)))),IF(Calculation!DR33=18,Worksheet!$BD$55,IF(Calculation!DR33=30,Worksheet!$BD$56,IF(Calculation!DR33=42,Worksheet!$BD$57,IF(Calculation!DR33=54,Worksheet!$BD$58,IF(Calculation!DR33=66,Worksheet!$BD$59,IF(Calculation!DR33=78,Worksheet!$BD$60,IF(Calculation!DR33=90,Worksheet!$BD$61,IF(Calculation!DR33=102,Worksheet!$BD$62,Worksheet!$BD$63)))))))))))),5),0)," ")</f>
        <v xml:space="preserve"> </v>
      </c>
      <c r="EG33" s="361" t="str">
        <f t="shared" si="45"/>
        <v xml:space="preserve"> </v>
      </c>
      <c r="EH33" s="361" t="e">
        <f ca="1">INDEX(INDIRECT(VLOOKUP(LEFT(BO33,7),CLU!$Z$3:$AH$18,7)),M33-1,3+LEFT(DZ33,1))</f>
        <v>#N/A</v>
      </c>
      <c r="EI33" s="362" t="str">
        <f t="shared" si="46"/>
        <v xml:space="preserve"> </v>
      </c>
      <c r="EJ33" s="363" t="str">
        <f t="shared" si="47"/>
        <v xml:space="preserve"> </v>
      </c>
      <c r="EK33" s="363" t="str">
        <f t="shared" si="48"/>
        <v xml:space="preserve"> </v>
      </c>
      <c r="EL33" s="363" t="str">
        <f t="shared" si="49"/>
        <v xml:space="preserve"> </v>
      </c>
      <c r="EM33" s="362" t="str">
        <f>IF(L33&gt;0,IF(BR33&gt;0,(Calculation!T33/ED33)^2,0)," ")</f>
        <v xml:space="preserve"> </v>
      </c>
      <c r="EN33" s="362" t="str">
        <f>IF(L33&gt;0,IF(O33="2 Pipe (Cooling)","N/A",IF(BR33&gt;0,(Calculation!U33/EI33)^2,0))," ")</f>
        <v xml:space="preserve"> </v>
      </c>
      <c r="EO33" s="361" t="str">
        <f t="shared" si="50"/>
        <v/>
      </c>
      <c r="EP33" s="361" t="str">
        <f t="shared" si="51"/>
        <v/>
      </c>
      <c r="EQ33" s="361" t="str">
        <f t="shared" si="52"/>
        <v/>
      </c>
      <c r="ER33" s="361" t="str">
        <f t="shared" si="53"/>
        <v/>
      </c>
      <c r="ES33" s="361" t="str">
        <f t="shared" si="54"/>
        <v/>
      </c>
      <c r="ET33" s="361" t="str">
        <f t="shared" si="55"/>
        <v/>
      </c>
      <c r="EU33" s="361" t="str">
        <f t="shared" si="56"/>
        <v/>
      </c>
      <c r="EV33" s="361" t="str">
        <f t="shared" si="57"/>
        <v/>
      </c>
      <c r="EW33" s="361" t="str">
        <f t="shared" si="58"/>
        <v/>
      </c>
      <c r="EX33" s="361" t="str">
        <f t="shared" si="169"/>
        <v>1 slot, 1 way</v>
      </c>
      <c r="EY33" s="361" t="str">
        <f t="shared" si="170"/>
        <v xml:space="preserve"> </v>
      </c>
      <c r="EZ33" s="361" t="str">
        <f t="shared" si="171"/>
        <v xml:space="preserve"> </v>
      </c>
      <c r="FA33" s="361" t="str">
        <f t="shared" si="172"/>
        <v xml:space="preserve"> </v>
      </c>
      <c r="FB33" s="361" t="str">
        <f t="shared" si="173"/>
        <v xml:space="preserve"> </v>
      </c>
      <c r="FC33" s="361"/>
      <c r="FD33" s="361" t="str">
        <f>IF(J33&gt;0,IF(Calculation!R33&lt;=70,4,IF(Calculation!R33&lt;=110,5,IF(Calculation!R33&lt;=160,6,IF(Calculation!R33&lt;=300,8,"10 EO")))),"")</f>
        <v/>
      </c>
      <c r="FE33" s="361" t="str">
        <f t="shared" si="174"/>
        <v/>
      </c>
      <c r="FF33" s="361" t="str">
        <f t="shared" si="175"/>
        <v/>
      </c>
      <c r="FG33" s="361" t="e">
        <f t="shared" si="60"/>
        <v>#N/A</v>
      </c>
      <c r="FH33" s="361">
        <f t="shared" si="61"/>
        <v>0</v>
      </c>
      <c r="FI33" s="361" t="e">
        <f t="shared" si="62"/>
        <v>#DIV/0!</v>
      </c>
      <c r="FJ33" s="361"/>
      <c r="FK33" s="356" t="e">
        <f t="shared" si="63"/>
        <v>#VALUE!</v>
      </c>
      <c r="FL33" s="361"/>
      <c r="FM33" s="361"/>
      <c r="FN33" s="362" t="str">
        <f t="shared" si="176"/>
        <v xml:space="preserve"> </v>
      </c>
      <c r="FO33" s="362" t="str">
        <f t="shared" si="177"/>
        <v xml:space="preserve"> </v>
      </c>
      <c r="FP33" s="362">
        <f t="shared" si="178"/>
        <v>0</v>
      </c>
      <c r="FQ33" s="361">
        <f t="shared" si="64"/>
        <v>0</v>
      </c>
      <c r="FR33" s="362" t="str">
        <f>IF(L33&gt;0,IF(J33="CBAL2",Worksheet!$P$67,IF(J33="CBE2-24",Worksheet!$Q$67,IF(J33="CBAM",Worksheet!$R$67,IF(J33="CBLV",Worksheet!$S$67,IF(J33="CBAB",Worksheet!$U$67,IF(J33="CBAW",Worksheet!$X$67,IF(J33="CBE2-12",Worksheet!$Y$67,IF(J33="CBAL2",Worksheet!$Z$67,"N/A"))))))))," ")</f>
        <v xml:space="preserve"> </v>
      </c>
      <c r="FS33" s="362" t="str">
        <f>IF(L33&gt;0,IF(J33="CBAL2",Worksheet!$P$68,IF(J33="CBE2-24",Worksheet!$Q$68,IF(J33="CBAM",Worksheet!$R$68,IF(J33="CBLV",Worksheet!$S$68,IF(J33="CBAB",Worksheet!$U$68,IF(J33="CBAW",Worksheet!$X$68,IF(J33="CBE2-12",Worksheet!$Y$68,IF(J33="CBAL2",Worksheet!$Z$68,"N/A"))))))))," ")</f>
        <v xml:space="preserve"> </v>
      </c>
      <c r="FT33" s="362" t="str">
        <f>IF(L33&gt;0,IF(J33="CBAL2",Worksheet!$P$69,IF(J33="CBE2-24",Worksheet!$Q$69,IF(J33="CBAM",Worksheet!$R$69,IF(J33="CBLV",Worksheet!$S$69,IF(J33="CBAB",Worksheet!$U$69,IF(J33="CBAW",Worksheet!$X$69,IF(J33="CBE2-12",Worksheet!$Y$69,IF(J33="CBAL2",Worksheet!$Z$69,"N/A"))))))))," ")</f>
        <v xml:space="preserve"> </v>
      </c>
      <c r="FU33" s="361" t="str">
        <f t="shared" si="179"/>
        <v xml:space="preserve"> </v>
      </c>
      <c r="FV33" s="362" t="str">
        <f t="shared" si="180"/>
        <v xml:space="preserve"> </v>
      </c>
      <c r="FW33" s="362" t="str">
        <f t="shared" si="181"/>
        <v xml:space="preserve"> </v>
      </c>
      <c r="FX33" s="362" t="str">
        <f t="shared" si="182"/>
        <v xml:space="preserve"> </v>
      </c>
      <c r="FY33" s="355" t="str">
        <f t="shared" si="183"/>
        <v xml:space="preserve"> </v>
      </c>
      <c r="FZ33" s="361" t="str">
        <f t="shared" si="184"/>
        <v xml:space="preserve"> </v>
      </c>
      <c r="GA33" s="347" t="str">
        <f t="shared" si="185"/>
        <v xml:space="preserve"> </v>
      </c>
      <c r="GB33" s="355" t="str">
        <f t="shared" si="186"/>
        <v xml:space="preserve"> </v>
      </c>
      <c r="GC33" s="328" t="str">
        <f t="shared" si="187"/>
        <v xml:space="preserve"> </v>
      </c>
      <c r="GD33" s="361" t="str">
        <f t="shared" si="188"/>
        <v xml:space="preserve"> </v>
      </c>
      <c r="GE33" s="347" t="str">
        <f t="shared" si="189"/>
        <v xml:space="preserve"> </v>
      </c>
      <c r="GF33" s="361" t="str">
        <f t="shared" si="190"/>
        <v xml:space="preserve"> </v>
      </c>
      <c r="GG33" s="347" t="str">
        <f t="shared" si="191"/>
        <v xml:space="preserve"> </v>
      </c>
      <c r="GH33" s="364">
        <f t="shared" si="78"/>
        <v>0</v>
      </c>
      <c r="GI33" s="362">
        <f t="shared" si="192"/>
        <v>2</v>
      </c>
      <c r="GJ33" s="433" t="e">
        <f>IF(6-COUNTBLANK(GT33:GY33)=4,MATCH(MID(BO33,9,3),CLU!$H$16:$K$16),MATCH(MID(BO33,9,3),CLU!$H$13:$M$13))</f>
        <v>#N/A</v>
      </c>
      <c r="GK33" s="433" t="e">
        <f>HLOOKUP(VALUE(BP33),CLU!$H$9:$M$10,2)</f>
        <v>#VALUE!</v>
      </c>
      <c r="GL33" s="433" t="e">
        <f ca="1">MATCH(BU33,CLU!$H$2:$V$2,1)</f>
        <v>#VALUE!</v>
      </c>
      <c r="GM33" s="433" t="e">
        <f t="shared" ca="1" si="193"/>
        <v>#VALUE!</v>
      </c>
      <c r="GN33" s="433" t="e">
        <f t="shared" ca="1" si="194"/>
        <v>#VALUE!</v>
      </c>
      <c r="GO33" s="433" t="e">
        <f t="shared" ca="1" si="195"/>
        <v>#VALUE!</v>
      </c>
      <c r="GP33" s="433" t="e">
        <f t="shared" ca="1" si="196"/>
        <v>#VALUE!</v>
      </c>
      <c r="GQ33" s="433" t="e">
        <f t="shared" ca="1" si="197"/>
        <v>#VALUE!</v>
      </c>
      <c r="GR33" s="433" t="e">
        <f ca="1">MATCH(T33,INDIRECT(VLOOKUP(CONCATENATE(LEFT(BO33,7),"-",MID(BO33,13,1)),CLU!$P$3:$Q$16,2)),1)</f>
        <v>#N/A</v>
      </c>
      <c r="GS33" s="433" t="e">
        <f ca="1">MATCH(U33,INDIRECT(VLOOKUP(CONCATENATE(LEFT(BO33,7),"-",MID(BO33,13,1)),CLU!$P$3:$Q$16,2)),1)</f>
        <v>#N/A</v>
      </c>
      <c r="GT33" s="347" t="s">
        <v>512</v>
      </c>
      <c r="GU33" s="97" t="s">
        <v>513</v>
      </c>
      <c r="GV33" s="97" t="str">
        <f t="shared" si="198"/>
        <v>M23</v>
      </c>
      <c r="GW33" s="97" t="str">
        <f t="shared" si="199"/>
        <v>M31</v>
      </c>
      <c r="GX33" s="97" t="str">
        <f t="shared" si="200"/>
        <v/>
      </c>
      <c r="GY33" s="97" t="str">
        <f t="shared" si="201"/>
        <v/>
      </c>
      <c r="GZ33" s="481"/>
      <c r="HA33" s="288"/>
      <c r="HB33" s="240"/>
      <c r="HC33" s="240"/>
      <c r="HD33" s="240"/>
      <c r="HE33" s="240"/>
      <c r="HF33" s="240"/>
      <c r="HG33" s="240"/>
      <c r="HH33" s="240"/>
      <c r="HI33" s="240"/>
      <c r="HJ33" s="240"/>
      <c r="HK33" s="240"/>
      <c r="HL33" s="240"/>
      <c r="HM33" s="240"/>
      <c r="HN33" s="240"/>
      <c r="HO33" s="240"/>
      <c r="HP33" s="240"/>
      <c r="HQ33" s="240"/>
      <c r="HR33" s="240"/>
      <c r="HS33" s="240"/>
      <c r="HT33" s="240"/>
      <c r="HU33" s="240"/>
      <c r="HV33" s="245"/>
      <c r="HW33" s="245" t="b">
        <v>1</v>
      </c>
      <c r="HX33" s="245" t="str">
        <f t="shared" si="79"/>
        <v/>
      </c>
      <c r="HY33" s="245" t="e">
        <f t="shared" si="80"/>
        <v>#DIV/0!</v>
      </c>
      <c r="HZ33" s="245" t="e">
        <f t="shared" si="81"/>
        <v>#DIV/0!</v>
      </c>
      <c r="IA33" s="245">
        <f t="shared" si="82"/>
        <v>0</v>
      </c>
      <c r="IB33" s="245"/>
      <c r="IC33" t="b">
        <f t="shared" si="83"/>
        <v>1</v>
      </c>
      <c r="ID33" s="245" t="b">
        <f t="shared" si="84"/>
        <v>1</v>
      </c>
      <c r="IE33" s="245" t="b">
        <f t="shared" si="85"/>
        <v>1</v>
      </c>
      <c r="IF33" s="245" t="b">
        <f t="shared" si="86"/>
        <v>0</v>
      </c>
      <c r="IG33" s="245" t="b">
        <f t="shared" si="87"/>
        <v>1</v>
      </c>
      <c r="IH33" s="245" t="b">
        <f t="shared" si="88"/>
        <v>1</v>
      </c>
      <c r="II33" s="245">
        <f t="shared" si="202"/>
        <v>0</v>
      </c>
      <c r="IJ33" s="245" t="e">
        <f t="shared" si="89"/>
        <v>#VALUE!</v>
      </c>
      <c r="IK33" s="245" t="e">
        <f t="shared" si="90"/>
        <v>#VALUE!</v>
      </c>
      <c r="IL33" s="245"/>
      <c r="IM33" s="245" t="e">
        <f t="shared" si="203"/>
        <v>#N/A</v>
      </c>
      <c r="IN33" s="245" t="e">
        <f t="shared" si="204"/>
        <v>#N/A</v>
      </c>
      <c r="IO33" s="245"/>
      <c r="IP33" s="245"/>
      <c r="IQ33" s="245" t="str">
        <f t="shared" si="91"/>
        <v/>
      </c>
      <c r="IR33" s="245" t="str">
        <f>IF(J33="","",VLOOKUP(J33,Worksheet!$R$4:$T$14,2))</f>
        <v/>
      </c>
      <c r="IS33" s="245"/>
      <c r="IT33" s="245">
        <f t="shared" si="92"/>
        <v>0</v>
      </c>
      <c r="IU33" s="245">
        <f t="shared" si="93"/>
        <v>0</v>
      </c>
      <c r="IV33" s="245">
        <f t="shared" si="94"/>
        <v>0</v>
      </c>
      <c r="IW33" s="245">
        <f t="shared" si="95"/>
        <v>0</v>
      </c>
      <c r="IX33" s="245">
        <f t="shared" si="205"/>
        <v>0</v>
      </c>
      <c r="IY33" s="245">
        <f t="shared" si="96"/>
        <v>0</v>
      </c>
      <c r="IZ33" s="245">
        <f t="shared" si="97"/>
        <v>0</v>
      </c>
      <c r="JA33">
        <f t="shared" si="98"/>
        <v>0</v>
      </c>
      <c r="JB33">
        <f t="shared" si="206"/>
        <v>0</v>
      </c>
      <c r="JC33">
        <f t="shared" si="99"/>
        <v>0</v>
      </c>
      <c r="JD33">
        <f t="shared" si="100"/>
        <v>0</v>
      </c>
      <c r="JE33">
        <f t="shared" si="101"/>
        <v>0</v>
      </c>
      <c r="JF33">
        <f t="shared" si="102"/>
        <v>0</v>
      </c>
      <c r="JG33">
        <f t="shared" si="103"/>
        <v>0</v>
      </c>
      <c r="JH33">
        <f t="shared" si="104"/>
        <v>0</v>
      </c>
      <c r="JI33">
        <f t="shared" si="105"/>
        <v>0</v>
      </c>
      <c r="JJ33" s="447">
        <f t="shared" si="106"/>
        <v>0</v>
      </c>
      <c r="JK33" s="447">
        <f t="shared" si="107"/>
        <v>0</v>
      </c>
      <c r="JL33">
        <f t="shared" si="108"/>
        <v>0</v>
      </c>
      <c r="JM33" s="245" t="str">
        <f>IFERROR(VLOOKUP(MATCH(BN33,#REF!,0),#REF!,7),"")</f>
        <v/>
      </c>
      <c r="JN33" t="e">
        <f>HLOOKUP(LEFT(BO33,7),Discharge_Area,MATCH(JO33,LookUps!$B$130:$B$149,1)+2)</f>
        <v>#N/A</v>
      </c>
      <c r="JO33" t="str">
        <f t="shared" si="109"/>
        <v>- S</v>
      </c>
      <c r="JP33" t="e">
        <f>HLOOKUP(LEFT(BO33,7),Discharge_Area,MATCH(JO33,LookUps!$B$130:$B$149,1)+2)</f>
        <v>#N/A</v>
      </c>
      <c r="JQ33" t="e">
        <f t="shared" si="110"/>
        <v>#N/A</v>
      </c>
      <c r="JR33" t="e">
        <f t="shared" si="111"/>
        <v>#N/A</v>
      </c>
      <c r="JS33" t="e">
        <f t="shared" si="112"/>
        <v>#N/A</v>
      </c>
      <c r="JT33" s="532" t="str">
        <f t="shared" si="113"/>
        <v xml:space="preserve"> </v>
      </c>
      <c r="JU33" s="532" t="str">
        <f t="shared" si="114"/>
        <v xml:space="preserve"> </v>
      </c>
      <c r="JV33" s="533" t="str">
        <f t="shared" si="115"/>
        <v xml:space="preserve"> </v>
      </c>
      <c r="JW33" s="534">
        <f t="shared" si="116"/>
        <v>0</v>
      </c>
      <c r="JX33" s="535" t="str">
        <f t="shared" si="207"/>
        <v xml:space="preserve"> </v>
      </c>
      <c r="JY33" s="535" t="str">
        <f t="shared" si="208"/>
        <v xml:space="preserve"> </v>
      </c>
      <c r="JZ33" s="535" t="str">
        <f t="shared" si="209"/>
        <v xml:space="preserve"> </v>
      </c>
      <c r="KA33" s="536" t="str">
        <f t="shared" si="117"/>
        <v xml:space="preserve"> </v>
      </c>
      <c r="KB33" s="535" t="e">
        <f t="shared" si="210"/>
        <v>#VALUE!</v>
      </c>
      <c r="KC33" s="535" t="str">
        <f t="shared" si="118"/>
        <v/>
      </c>
      <c r="KD33" s="537" t="str">
        <f t="shared" si="211"/>
        <v xml:space="preserve"> </v>
      </c>
      <c r="KE33" s="537" t="str">
        <f t="shared" si="212"/>
        <v xml:space="preserve"> </v>
      </c>
      <c r="KF33" s="534">
        <f t="shared" si="119"/>
        <v>0</v>
      </c>
      <c r="KG33" s="535" t="str">
        <f t="shared" si="120"/>
        <v xml:space="preserve"> </v>
      </c>
      <c r="KH33" s="535" t="str">
        <f t="shared" si="121"/>
        <v xml:space="preserve"> </v>
      </c>
      <c r="KI33" s="535" t="str">
        <f t="shared" si="122"/>
        <v xml:space="preserve"> </v>
      </c>
      <c r="KJ33" s="536" t="str">
        <f t="shared" si="123"/>
        <v xml:space="preserve"> </v>
      </c>
      <c r="KK33" s="535" t="str">
        <f t="shared" si="213"/>
        <v xml:space="preserve"> </v>
      </c>
      <c r="KL33" s="535" t="str">
        <f t="shared" si="214"/>
        <v xml:space="preserve"> </v>
      </c>
      <c r="KM33" s="537" t="str">
        <f t="shared" si="124"/>
        <v xml:space="preserve"> </v>
      </c>
      <c r="KN33" s="537" t="str">
        <f t="shared" si="215"/>
        <v xml:space="preserve"> </v>
      </c>
      <c r="KP33">
        <f t="shared" si="125"/>
        <v>0</v>
      </c>
      <c r="LA33" t="e">
        <f t="shared" si="126"/>
        <v>#VALUE!</v>
      </c>
      <c r="LB33" t="e">
        <f t="shared" si="127"/>
        <v>#VALUE!</v>
      </c>
      <c r="LC33" t="e">
        <f t="shared" si="128"/>
        <v>#VALUE!</v>
      </c>
      <c r="LD33" t="e">
        <f t="shared" si="129"/>
        <v>#VALUE!</v>
      </c>
      <c r="LE33" t="e">
        <f t="shared" si="216"/>
        <v>#VALUE!</v>
      </c>
      <c r="LF33">
        <f t="shared" si="130"/>
        <v>0</v>
      </c>
      <c r="LG33" t="e">
        <f t="shared" si="217"/>
        <v>#VALUE!</v>
      </c>
      <c r="LH33" t="str">
        <f t="shared" si="131"/>
        <v xml:space="preserve"> </v>
      </c>
      <c r="LI33">
        <f t="shared" si="218"/>
        <v>1</v>
      </c>
    </row>
    <row r="34" spans="2:321" ht="15" customHeight="1">
      <c r="B34" s="311"/>
      <c r="C34" s="311"/>
      <c r="D34" s="312"/>
      <c r="E34" s="311"/>
      <c r="F34" s="312"/>
      <c r="G34" s="311"/>
      <c r="H34" s="311"/>
      <c r="I34" s="37"/>
      <c r="J34" s="311"/>
      <c r="K34" s="305" t="str">
        <f t="shared" si="132"/>
        <v/>
      </c>
      <c r="L34" s="313"/>
      <c r="M34" s="312"/>
      <c r="N34" s="311"/>
      <c r="O34" s="312"/>
      <c r="P34" s="311"/>
      <c r="Q34" s="305" t="str">
        <f t="shared" si="133"/>
        <v/>
      </c>
      <c r="R34" s="314"/>
      <c r="S34" s="450" t="str">
        <f t="shared" si="0"/>
        <v/>
      </c>
      <c r="T34" s="315"/>
      <c r="U34" s="315"/>
      <c r="W34" s="149" t="str">
        <f t="shared" si="1"/>
        <v xml:space="preserve"> </v>
      </c>
      <c r="X34" s="243" t="str">
        <f t="shared" si="2"/>
        <v xml:space="preserve"> </v>
      </c>
      <c r="Y34" s="150" t="str">
        <f t="shared" si="3"/>
        <v/>
      </c>
      <c r="Z34" s="149" t="str">
        <f t="shared" si="4"/>
        <v xml:space="preserve"> </v>
      </c>
      <c r="AA34" s="98" t="str">
        <f t="shared" si="5"/>
        <v xml:space="preserve"> </v>
      </c>
      <c r="AB34" s="153" t="str">
        <f t="shared" si="6"/>
        <v xml:space="preserve"> </v>
      </c>
      <c r="AC34" s="153" t="str">
        <f t="shared" si="7"/>
        <v xml:space="preserve"> </v>
      </c>
      <c r="AD34" s="148" t="str">
        <f t="shared" si="8"/>
        <v/>
      </c>
      <c r="AE34" s="149" t="str">
        <f t="shared" si="9"/>
        <v/>
      </c>
      <c r="AF34" s="151" t="str">
        <f t="shared" si="10"/>
        <v xml:space="preserve"> </v>
      </c>
      <c r="AG34" s="153" t="str">
        <f t="shared" si="11"/>
        <v xml:space="preserve"> </v>
      </c>
      <c r="AH34" s="98" t="str">
        <f t="shared" si="12"/>
        <v xml:space="preserve"> </v>
      </c>
      <c r="AI34" s="149" t="str">
        <f t="shared" si="13"/>
        <v xml:space="preserve"> </v>
      </c>
      <c r="AK34" s="144" t="str">
        <f t="shared" si="14"/>
        <v xml:space="preserve"> </v>
      </c>
      <c r="AL34" s="144"/>
      <c r="AM34" s="243" t="str">
        <f t="shared" si="15"/>
        <v xml:space="preserve"> </v>
      </c>
      <c r="AN34" s="149" t="str">
        <f t="shared" si="134"/>
        <v xml:space="preserve"> </v>
      </c>
      <c r="AO34" s="144" t="str">
        <f>IF(JB34&gt;0,IF(GI34=10,-R34*1.085*(Calculation!$F$6-Calculation!$F$13)*$S$14," "),"")</f>
        <v/>
      </c>
      <c r="AP34" s="144" t="str">
        <f t="shared" si="16"/>
        <v/>
      </c>
      <c r="AQ34" s="56" t="str">
        <f t="shared" si="17"/>
        <v/>
      </c>
      <c r="AR34" s="144" t="str">
        <f t="shared" si="18"/>
        <v/>
      </c>
      <c r="AS34" s="176" t="str">
        <f t="shared" si="19"/>
        <v/>
      </c>
      <c r="AT34" s="176" t="str">
        <f t="shared" si="135"/>
        <v xml:space="preserve"> </v>
      </c>
      <c r="AU34" s="176" t="str">
        <f t="shared" si="20"/>
        <v/>
      </c>
      <c r="AV34" s="177" t="str">
        <f t="shared" si="21"/>
        <v xml:space="preserve"> </v>
      </c>
      <c r="AW34" s="144" t="str">
        <f t="shared" si="22"/>
        <v xml:space="preserve"> </v>
      </c>
      <c r="AX34" s="144" t="str">
        <f t="shared" si="23"/>
        <v xml:space="preserve"> </v>
      </c>
      <c r="AY34" s="152" t="str">
        <f t="shared" si="24"/>
        <v xml:space="preserve"> </v>
      </c>
      <c r="AZ34" s="246" t="str">
        <f t="shared" si="25"/>
        <v/>
      </c>
      <c r="BA34" s="176" t="str">
        <f t="shared" si="26"/>
        <v xml:space="preserve"> </v>
      </c>
      <c r="BB34" s="176" t="str">
        <f t="shared" si="27"/>
        <v xml:space="preserve"> </v>
      </c>
      <c r="BC34" s="195"/>
      <c r="BD34" s="316"/>
      <c r="BE34" s="317"/>
      <c r="BF34" s="318"/>
      <c r="BG34" s="318"/>
      <c r="BH34" s="144" t="str">
        <f t="shared" si="219"/>
        <v xml:space="preserve"> </v>
      </c>
      <c r="BI34" s="176" t="str">
        <f t="shared" si="28"/>
        <v/>
      </c>
      <c r="BJ34" s="144" t="str">
        <f t="shared" si="220"/>
        <v/>
      </c>
      <c r="BK34" s="246" t="str">
        <f t="shared" si="29"/>
        <v/>
      </c>
      <c r="BL34" s="144" t="str">
        <f t="shared" si="221"/>
        <v/>
      </c>
      <c r="BM34" s="246" t="str">
        <f t="shared" si="30"/>
        <v/>
      </c>
      <c r="BN34" s="337" t="str">
        <f t="shared" si="136"/>
        <v/>
      </c>
      <c r="BO34" s="371" t="str">
        <f t="shared" si="137"/>
        <v/>
      </c>
      <c r="BP34" s="328" t="str">
        <f t="shared" si="222"/>
        <v xml:space="preserve"> </v>
      </c>
      <c r="BQ34" s="347" t="str">
        <f t="shared" si="138"/>
        <v xml:space="preserve"> </v>
      </c>
      <c r="BR34" s="353" t="str">
        <f t="shared" si="223"/>
        <v xml:space="preserve"> </v>
      </c>
      <c r="BS34" s="626" t="str">
        <f>IF(L34&gt;0,IF(Calculation!P34="M13",BR34*3.1416*(0.134^2)/(4*144),IF(Calculation!P34="M17",BR34*3.1416*(0.165^2)/(4*144),IF(Calculation!P34="M20",BR34*3.1416*(0.198^2)/(4*144),IF(Calculation!P34="M23",BR34*3.1416*(0.228^2)/(4*144),IF(Calculation!P34="M27",BR34*3.1416*(0.269^2)/(4*144),BR34*3.1416*(0.307^2)/(4*144))))))," ")</f>
        <v xml:space="preserve"> </v>
      </c>
      <c r="BT34" s="353" t="str">
        <f>IF(L34&gt;0,IF(BS34&gt;0,R34/Calculation!BS34,0)," ")</f>
        <v xml:space="preserve"> </v>
      </c>
      <c r="BU34" s="438" t="e">
        <f t="shared" ca="1" si="31"/>
        <v>#VALUE!</v>
      </c>
      <c r="BV34" s="449" t="e">
        <f ca="1">INDEX(INDIRECT(VLOOKUP(LEFT(BO34,7),CLU!$Z$3:$AH$18,2)),GN34,GR34)</f>
        <v>#N/A</v>
      </c>
      <c r="BW34" s="433" t="e">
        <f ca="1">INDEX(INDIRECT(VLOOKUP(LEFT(BO34,7),CLU!$Z$3:$AH$18,3)),GN34,GR34)</f>
        <v>#N/A</v>
      </c>
      <c r="BX34" s="433" t="e">
        <f ca="1">INDEX(INDIRECT(VLOOKUP(LEFT(BO34,7),CLU!$Z$3:$AH$18,4)),GN34,GR34)</f>
        <v>#N/A</v>
      </c>
      <c r="BY34" s="433" t="e">
        <f ca="1">INDEX(INDIRECT(VLOOKUP(LEFT(BO34,7),CLU!$Z$3:$AH$18,9)),((M34-2)*(6-COUNTBLANK(GT34:GY34)))+GJ34)</f>
        <v>#N/A</v>
      </c>
      <c r="BZ34" s="426" t="e">
        <f t="shared" ca="1" si="139"/>
        <v>#N/A</v>
      </c>
      <c r="CA34" s="424" t="e">
        <f t="shared" ca="1" si="140"/>
        <v>#N/A</v>
      </c>
      <c r="CB34" s="429" t="e">
        <f ca="1">INDEX(INDIRECT(VLOOKUP(LEFT(BO34,7),CLU!$Z$3:$AH$18,2)),GN34,GS34)</f>
        <v>#N/A</v>
      </c>
      <c r="CC34" s="342" t="e">
        <f ca="1">INDEX(INDIRECT(VLOOKUP(LEFT(BO34,7),CLU!$Z$3:$AH$18,3)),GN34,GS34)</f>
        <v>#N/A</v>
      </c>
      <c r="CD34" s="342" t="e">
        <f ca="1">INDEX(INDIRECT(VLOOKUP(LEFT(BO34,7),CLU!$Z$3:$AH$18,4)),GN34,GS34)</f>
        <v>#N/A</v>
      </c>
      <c r="CE34" s="426" t="e">
        <f t="shared" ca="1" si="141"/>
        <v>#N/A</v>
      </c>
      <c r="CF34" s="440">
        <f t="shared" si="142"/>
        <v>0</v>
      </c>
      <c r="CG34" s="431" t="e">
        <f ca="1">INDEX(INDIRECT(VLOOKUP(LEFT(BO34,7),CLU!$Z$3:$AH$18,2)),GQ34,GR34)</f>
        <v>#N/A</v>
      </c>
      <c r="CH34" s="431" t="e">
        <f ca="1">INDEX(INDIRECT(VLOOKUP(LEFT(BO34,7),CLU!$Z$3:$AH$18,3)),GQ34,GR34)</f>
        <v>#N/A</v>
      </c>
      <c r="CI34" s="431" t="e">
        <f ca="1">INDEX(INDIRECT(VLOOKUP(LEFT(BO34,7),CLU!$Z$3:$AH$18,4)),GQ34,GR34)</f>
        <v>#N/A</v>
      </c>
      <c r="CJ34" s="448" t="e">
        <f t="shared" ca="1" si="143"/>
        <v>#N/A</v>
      </c>
      <c r="CK34" s="431" t="e">
        <f t="shared" ca="1" si="144"/>
        <v>#N/A</v>
      </c>
      <c r="CL34" s="440" t="e">
        <f t="shared" ca="1" si="145"/>
        <v>#N/A</v>
      </c>
      <c r="CM34" s="431" t="e">
        <f ca="1">INDEX(INDIRECT(VLOOKUP(LEFT(BO34,7),CLU!$Z$3:$AH$18,2)),GQ34,GS34)</f>
        <v>#N/A</v>
      </c>
      <c r="CN34" s="431" t="e">
        <f ca="1">INDEX(INDIRECT(VLOOKUP(LEFT(BO34,7),CLU!$Z$3:$AH$18,3)),GQ34,GS34)</f>
        <v>#N/A</v>
      </c>
      <c r="CO34" s="431" t="e">
        <f ca="1">INDEX(INDIRECT(VLOOKUP(LEFT(BO34,7),CLU!$Z$3:$AH$18,4)),GQ34,GS34)</f>
        <v>#N/A</v>
      </c>
      <c r="CP34" s="431" t="e">
        <f t="shared" ca="1" si="146"/>
        <v>#N/A</v>
      </c>
      <c r="CQ34" s="440">
        <f t="shared" si="147"/>
        <v>0</v>
      </c>
      <c r="CR34" s="51" t="e">
        <f t="shared" ca="1" si="148"/>
        <v>#N/A</v>
      </c>
      <c r="CS34" s="439" t="e">
        <f t="shared" ca="1" si="149"/>
        <v>#VALUE!</v>
      </c>
      <c r="CT34" s="51" t="e">
        <f t="shared" ca="1" si="150"/>
        <v>#VALUE!</v>
      </c>
      <c r="CU34" s="10"/>
      <c r="CV34" s="51" t="e">
        <f t="shared" ca="1" si="34"/>
        <v>#VALUE!</v>
      </c>
      <c r="CW34" s="51">
        <f t="shared" si="151"/>
        <v>0</v>
      </c>
      <c r="CX34" s="439" t="e">
        <f t="shared" ca="1" si="152"/>
        <v>#VALUE!</v>
      </c>
      <c r="CY34" s="51" t="e">
        <f t="shared" ca="1" si="153"/>
        <v>#VALUE!</v>
      </c>
      <c r="CZ34" s="10"/>
      <c r="DA34" s="51" t="e">
        <f t="shared" ca="1" si="154"/>
        <v>#VALUE!</v>
      </c>
      <c r="DB34" s="347" t="e">
        <f ca="1">INDEX(INDIRECT(VLOOKUP(LEFT(BO34,7),CLU!$Z$3:$AI$18,10)),((M34-2)*(6-COUNTBLANK(GT34:GY34)))+GJ34)*LI34</f>
        <v>#N/A</v>
      </c>
      <c r="DC34" s="347" t="str">
        <f>IF(L34&gt;0,((R34/Worksheet!$I$15)/DB34)^2," ")</f>
        <v xml:space="preserve"> </v>
      </c>
      <c r="DD34" s="602" t="str">
        <f t="shared" si="224"/>
        <v xml:space="preserve"> </v>
      </c>
      <c r="DE34" s="347" t="str">
        <f t="shared" si="35"/>
        <v xml:space="preserve"> </v>
      </c>
      <c r="DF34" s="356" t="e">
        <f ca="1">INDEX(INDIRECT(VLOOKUP(LEFT(BO34,7),CLU!$Z$3:$AH$18,8)),((M34-2)*(6-COUNTBLANK(GT34:GY34)))+GJ34)</f>
        <v>#N/A</v>
      </c>
      <c r="DG34" s="347" t="str">
        <f t="shared" si="36"/>
        <v xml:space="preserve"> </v>
      </c>
      <c r="DH34" s="357" t="str">
        <f t="shared" si="37"/>
        <v xml:space="preserve"> </v>
      </c>
      <c r="DI34" s="355" t="str">
        <f t="shared" si="38"/>
        <v xml:space="preserve"> </v>
      </c>
      <c r="DJ34" s="245" t="e">
        <f ca="1">INDEX(INDIRECT(VLOOKUP(LEFT(BO34,7),CLU!$Z$3:$AH$18,5)),GL34,GK34)</f>
        <v>#N/A</v>
      </c>
      <c r="DK34" s="245" t="e">
        <f ca="1">INDEX(INDIRECT(VLOOKUP(LEFT(BO34,7),CLU!$Z$3:$AH$18,6)),GL34,GK34)</f>
        <v>#N/A</v>
      </c>
      <c r="DL34" s="355">
        <f>(Calculation!R34*0.69143*(Calculation!$BQ$8-Calculation!$F$8))*$S$14</f>
        <v>0</v>
      </c>
      <c r="DM34" s="359" t="e">
        <f t="shared" si="160"/>
        <v>#VALUE!</v>
      </c>
      <c r="DN34" s="611">
        <f t="shared" si="161"/>
        <v>0</v>
      </c>
      <c r="DO34" s="359">
        <f t="shared" si="162"/>
        <v>100</v>
      </c>
      <c r="DP34" s="359">
        <f t="shared" si="163"/>
        <v>0</v>
      </c>
      <c r="DQ34" s="360"/>
      <c r="DR34" s="245" t="e">
        <f ca="1">INDEX(INDIRECT(VLOOKUP(LEFT(BO34,7),CLU!$Z$3:$AH$18,7)),M34-1,1)</f>
        <v>#N/A</v>
      </c>
      <c r="DS34" s="245" t="e">
        <f ca="1">INDEX(INDIRECT(VLOOKUP(LEFT(BO34,7),CLU!$Z$3:$AH$18,7)),M34-1,2)</f>
        <v>#N/A</v>
      </c>
      <c r="DT34" s="245" t="e">
        <f ca="1">INDEX(INDIRECT(VLOOKUP(LEFT(BO34,7),CLU!$Z$3:$AH$18,7)),M34-1,3)</f>
        <v>#N/A</v>
      </c>
      <c r="DU34" s="245" t="e">
        <f ca="1">INDEX(INDIRECT(VLOOKUP(LEFT(BO34,7),CLU!$Z$3:$AH$18,7)),M34-1,4)</f>
        <v>#N/A</v>
      </c>
      <c r="DV34" s="361" t="e">
        <f ca="1">INDEX(INDIRECT(VLOOKUP(LEFT(BO34,7),CLU!$Z$3:$AH$18,7)),M34-1,4+LEFT(DZ34,1)*0.5)</f>
        <v>#N/A</v>
      </c>
      <c r="DW34" s="245" t="e">
        <f ca="1">INDEX(INDIRECT(VLOOKUP(LEFT(BO34,7),CLU!$Z$3:$AH$18,7)),M34-1,8)</f>
        <v>#N/A</v>
      </c>
      <c r="DX34" s="361" t="str">
        <f t="shared" si="39"/>
        <v xml:space="preserve"> </v>
      </c>
      <c r="DY34" s="361" t="str">
        <f t="shared" si="40"/>
        <v xml:space="preserve"> </v>
      </c>
      <c r="DZ34" s="361" t="str">
        <f t="shared" si="41"/>
        <v xml:space="preserve"> </v>
      </c>
      <c r="EA34" s="362" t="str">
        <f t="shared" si="42"/>
        <v xml:space="preserve"> </v>
      </c>
      <c r="EB34" s="624" t="str">
        <f t="shared" si="168"/>
        <v xml:space="preserve"> </v>
      </c>
      <c r="EC34" s="361" t="e">
        <f ca="1">INDEX(INDIRECT(VLOOKUP(LEFT(BO34,7),CLU!$Z$3:$AH$18,7)),M34-1,4+LEFT(DZ34,1)*0.5)</f>
        <v>#N/A</v>
      </c>
      <c r="ED34" s="362" t="str">
        <f t="shared" si="43"/>
        <v xml:space="preserve"> </v>
      </c>
      <c r="EE34" s="361" t="str">
        <f t="shared" si="44"/>
        <v xml:space="preserve"> </v>
      </c>
      <c r="EF34" s="362" t="str">
        <f>IF(L34&gt;0,IF(BR34&gt;0,IF(EE34="2P",IF(Calculation!DZ34="2P",IF(Calculation!DS34=13.75,IF(Calculation!DR34=13,Worksheet!$BD$43,IF(Calculation!DR34=37,Worksheet!$BD$44,Worksheet!$BD$45)),IF(Calculation!DS34=10,IF(Calculation!DR34=18,Worksheet!$BD$29,IF(Calculation!DR34=30,Worksheet!$BD$30,IF(Calculation!DR34=42,Worksheet!$BD$31,IF(Calculation!DR34=54,Worksheet!$BD$32,IF(Calculation!DR34=66,Worksheet!$BD$33,IF(Calculation!DR34=78,Worksheet!$BD$34,IF(Calculation!DR34=90,Worksheet!$BD$35,IF(Calculation!DR34=102,Worksheet!$BD$36,Worksheet!$BD$37)))))))),IF(Calculation!DS34=12.5,IF(Calculation!DR34=18,Worksheet!$BD$38,IF(Calculation!DR34=Worksheet!$BD$39,IF(Calculation!DR34=42,Worksheet!$BD$40,IF(Calculation!DR34=54,Worksheet!$BD$41,Worksheet!$BD$42)))),IF(Calculation!DR34=18,Worksheet!$BD$11,IF(Calculation!DR34=30,Worksheet!$BD$12,IF(Calculation!DR34=42,Worksheet!$BD$13,IF(Calculation!DR34=54,Worksheet!$BD$14,IF(Calculation!DR34=66,Worksheet!$BD$15,IF(Calculation!DR34=78,Worksheet!$BD$16,IF(Calculation!DR34=90,Worksheet!$BD$17,IF(Calculation!DR34=102,Worksheet!$BD$18,Worksheet!$BD$19))))))))))),IF(Calculation!DS34=13.75,IF(Calculation!DR34=13,Worksheet!$BD$78,IF(Calculation!DR34=37,Worksheet!$BD$79,Worksheet!$BD$80)),IF(Calculation!DS34=10,IF(Calculation!DR34=18,Worksheet!$BD$64,IF(Calculation!DR34=30,Worksheet!$BD$65,IF(Calculation!DR34=42,Worksheet!$BD$66,IF(Calculation!DR34=54,Worksheet!$BD$68,IF(Calculation!DR34=66,Worksheet!$BD$68,IF(Calculation!DR34=78,Worksheet!$BD$69,IF(Calculation!DR34=90,Worksheet!$BD$70,IF(Calculation!DR34=102,Worksheet!$BD$71,Worksheet!$BD$72)))))))),IF(Calculation!DS34=12.5,IF(Calculation!DR34=18,Worksheet!$BD$73,IF(Calculation!DR34=Worksheet!$BD$74,IF(Calculation!DR34=42,Worksheet!$BD$75,IF(Calculation!DR34=54,Worksheet!$BD$76,Worksheet!$BD$77)))),IF(Calculation!DR34=18,Worksheet!$BD$55,IF(Calculation!DR34=30,Worksheet!$BD$56,IF(Calculation!DR34=42,Worksheet!$BD$57,IF(Calculation!DR34=54,Worksheet!$BD$58,IF(Calculation!DR34=66,Worksheet!$BD$59,IF(Calculation!DR34=78,Worksheet!$BD$60,IF(Calculation!DR34=90,Worksheet!$BD$61,IF(Calculation!DR34=102,Worksheet!$BD$62,Worksheet!$BD$63)))))))))))),5),0)," ")</f>
        <v xml:space="preserve"> </v>
      </c>
      <c r="EG34" s="361" t="str">
        <f t="shared" si="45"/>
        <v xml:space="preserve"> </v>
      </c>
      <c r="EH34" s="361" t="e">
        <f ca="1">INDEX(INDIRECT(VLOOKUP(LEFT(BO34,7),CLU!$Z$3:$AH$18,7)),M34-1,3+LEFT(DZ34,1))</f>
        <v>#N/A</v>
      </c>
      <c r="EI34" s="362" t="str">
        <f t="shared" si="46"/>
        <v xml:space="preserve"> </v>
      </c>
      <c r="EJ34" s="363" t="str">
        <f t="shared" si="47"/>
        <v xml:space="preserve"> </v>
      </c>
      <c r="EK34" s="363" t="str">
        <f t="shared" si="48"/>
        <v xml:space="preserve"> </v>
      </c>
      <c r="EL34" s="363" t="str">
        <f t="shared" si="49"/>
        <v xml:space="preserve"> </v>
      </c>
      <c r="EM34" s="362" t="str">
        <f>IF(L34&gt;0,IF(BR34&gt;0,(Calculation!T34/ED34)^2,0)," ")</f>
        <v xml:space="preserve"> </v>
      </c>
      <c r="EN34" s="362" t="str">
        <f>IF(L34&gt;0,IF(O34="2 Pipe (Cooling)","N/A",IF(BR34&gt;0,(Calculation!U34/EI34)^2,0))," ")</f>
        <v xml:space="preserve"> </v>
      </c>
      <c r="EO34" s="361" t="str">
        <f t="shared" si="50"/>
        <v/>
      </c>
      <c r="EP34" s="361" t="str">
        <f t="shared" si="51"/>
        <v/>
      </c>
      <c r="EQ34" s="361" t="str">
        <f t="shared" si="52"/>
        <v/>
      </c>
      <c r="ER34" s="361" t="str">
        <f t="shared" si="53"/>
        <v/>
      </c>
      <c r="ES34" s="361" t="str">
        <f t="shared" si="54"/>
        <v/>
      </c>
      <c r="ET34" s="361" t="str">
        <f t="shared" si="55"/>
        <v/>
      </c>
      <c r="EU34" s="361" t="str">
        <f t="shared" si="56"/>
        <v/>
      </c>
      <c r="EV34" s="361" t="str">
        <f t="shared" si="57"/>
        <v/>
      </c>
      <c r="EW34" s="361" t="str">
        <f t="shared" si="58"/>
        <v/>
      </c>
      <c r="EX34" s="361" t="str">
        <f t="shared" si="169"/>
        <v>1 slot, 1 way</v>
      </c>
      <c r="EY34" s="361" t="str">
        <f t="shared" si="170"/>
        <v xml:space="preserve"> </v>
      </c>
      <c r="EZ34" s="361" t="str">
        <f t="shared" si="171"/>
        <v xml:space="preserve"> </v>
      </c>
      <c r="FA34" s="361" t="str">
        <f t="shared" si="172"/>
        <v xml:space="preserve"> </v>
      </c>
      <c r="FB34" s="361" t="str">
        <f t="shared" si="173"/>
        <v xml:space="preserve"> </v>
      </c>
      <c r="FC34" s="361"/>
      <c r="FD34" s="361" t="str">
        <f>IF(J34&gt;0,IF(Calculation!R34&lt;=70,4,IF(Calculation!R34&lt;=110,5,IF(Calculation!R34&lt;=160,6,IF(Calculation!R34&lt;=300,8,"10 EO")))),"")</f>
        <v/>
      </c>
      <c r="FE34" s="361" t="str">
        <f t="shared" si="174"/>
        <v/>
      </c>
      <c r="FF34" s="361" t="str">
        <f t="shared" si="175"/>
        <v/>
      </c>
      <c r="FG34" s="361" t="e">
        <f t="shared" si="60"/>
        <v>#N/A</v>
      </c>
      <c r="FH34" s="361">
        <f t="shared" si="61"/>
        <v>0</v>
      </c>
      <c r="FI34" s="361" t="e">
        <f t="shared" si="62"/>
        <v>#DIV/0!</v>
      </c>
      <c r="FJ34" s="361"/>
      <c r="FK34" s="356" t="e">
        <f t="shared" si="63"/>
        <v>#VALUE!</v>
      </c>
      <c r="FL34" s="361"/>
      <c r="FM34" s="361"/>
      <c r="FN34" s="362" t="str">
        <f t="shared" si="176"/>
        <v xml:space="preserve"> </v>
      </c>
      <c r="FO34" s="362" t="str">
        <f t="shared" si="177"/>
        <v xml:space="preserve"> </v>
      </c>
      <c r="FP34" s="362">
        <f t="shared" si="178"/>
        <v>0</v>
      </c>
      <c r="FQ34" s="361">
        <f t="shared" si="64"/>
        <v>0</v>
      </c>
      <c r="FR34" s="362" t="str">
        <f>IF(L34&gt;0,IF(J34="CBAL2",Worksheet!$P$67,IF(J34="CBE2-24",Worksheet!$Q$67,IF(J34="CBAM",Worksheet!$R$67,IF(J34="CBLV",Worksheet!$S$67,IF(J34="CBAB",Worksheet!$U$67,IF(J34="CBAW",Worksheet!$X$67,IF(J34="CBE2-12",Worksheet!$Y$67,IF(J34="CBAL2",Worksheet!$Z$67,"N/A"))))))))," ")</f>
        <v xml:space="preserve"> </v>
      </c>
      <c r="FS34" s="362" t="str">
        <f>IF(L34&gt;0,IF(J34="CBAL2",Worksheet!$P$68,IF(J34="CBE2-24",Worksheet!$Q$68,IF(J34="CBAM",Worksheet!$R$68,IF(J34="CBLV",Worksheet!$S$68,IF(J34="CBAB",Worksheet!$U$68,IF(J34="CBAW",Worksheet!$X$68,IF(J34="CBE2-12",Worksheet!$Y$68,IF(J34="CBAL2",Worksheet!$Z$68,"N/A"))))))))," ")</f>
        <v xml:space="preserve"> </v>
      </c>
      <c r="FT34" s="362" t="str">
        <f>IF(L34&gt;0,IF(J34="CBAL2",Worksheet!$P$69,IF(J34="CBE2-24",Worksheet!$Q$69,IF(J34="CBAM",Worksheet!$R$69,IF(J34="CBLV",Worksheet!$S$69,IF(J34="CBAB",Worksheet!$U$69,IF(J34="CBAW",Worksheet!$X$69,IF(J34="CBE2-12",Worksheet!$Y$69,IF(J34="CBAL2",Worksheet!$Z$69,"N/A"))))))))," ")</f>
        <v xml:space="preserve"> </v>
      </c>
      <c r="FU34" s="361" t="str">
        <f t="shared" si="179"/>
        <v xml:space="preserve"> </v>
      </c>
      <c r="FV34" s="362" t="str">
        <f t="shared" si="180"/>
        <v xml:space="preserve"> </v>
      </c>
      <c r="FW34" s="362" t="str">
        <f t="shared" si="181"/>
        <v xml:space="preserve"> </v>
      </c>
      <c r="FX34" s="362" t="str">
        <f t="shared" si="182"/>
        <v xml:space="preserve"> </v>
      </c>
      <c r="FY34" s="355" t="str">
        <f t="shared" si="183"/>
        <v xml:space="preserve"> </v>
      </c>
      <c r="FZ34" s="361" t="str">
        <f t="shared" si="184"/>
        <v xml:space="preserve"> </v>
      </c>
      <c r="GA34" s="347" t="str">
        <f t="shared" si="185"/>
        <v xml:space="preserve"> </v>
      </c>
      <c r="GB34" s="355" t="str">
        <f t="shared" si="186"/>
        <v xml:space="preserve"> </v>
      </c>
      <c r="GC34" s="328" t="str">
        <f t="shared" si="187"/>
        <v xml:space="preserve"> </v>
      </c>
      <c r="GD34" s="361" t="str">
        <f t="shared" si="188"/>
        <v xml:space="preserve"> </v>
      </c>
      <c r="GE34" s="347" t="str">
        <f t="shared" si="189"/>
        <v xml:space="preserve"> </v>
      </c>
      <c r="GF34" s="361" t="str">
        <f t="shared" si="190"/>
        <v xml:space="preserve"> </v>
      </c>
      <c r="GG34" s="347" t="str">
        <f t="shared" si="191"/>
        <v xml:space="preserve"> </v>
      </c>
      <c r="GH34" s="364">
        <f t="shared" si="78"/>
        <v>0</v>
      </c>
      <c r="GI34" s="362">
        <f t="shared" si="192"/>
        <v>2</v>
      </c>
      <c r="GJ34" s="433" t="e">
        <f>IF(6-COUNTBLANK(GT34:GY34)=4,MATCH(MID(BO34,9,3),CLU!$H$16:$K$16),MATCH(MID(BO34,9,3),CLU!$H$13:$M$13))</f>
        <v>#N/A</v>
      </c>
      <c r="GK34" s="433" t="e">
        <f>HLOOKUP(VALUE(BP34),CLU!$H$9:$M$10,2)</f>
        <v>#VALUE!</v>
      </c>
      <c r="GL34" s="433" t="e">
        <f ca="1">MATCH(BU34,CLU!$H$2:$V$2,1)</f>
        <v>#VALUE!</v>
      </c>
      <c r="GM34" s="433" t="e">
        <f t="shared" ca="1" si="193"/>
        <v>#VALUE!</v>
      </c>
      <c r="GN34" s="433" t="e">
        <f t="shared" ca="1" si="194"/>
        <v>#VALUE!</v>
      </c>
      <c r="GO34" s="433" t="e">
        <f t="shared" ca="1" si="195"/>
        <v>#VALUE!</v>
      </c>
      <c r="GP34" s="433" t="e">
        <f t="shared" ca="1" si="196"/>
        <v>#VALUE!</v>
      </c>
      <c r="GQ34" s="433" t="e">
        <f t="shared" ca="1" si="197"/>
        <v>#VALUE!</v>
      </c>
      <c r="GR34" s="433" t="e">
        <f ca="1">MATCH(T34,INDIRECT(VLOOKUP(CONCATENATE(LEFT(BO34,7),"-",MID(BO34,13,1)),CLU!$P$3:$Q$16,2)),1)</f>
        <v>#N/A</v>
      </c>
      <c r="GS34" s="433" t="e">
        <f ca="1">MATCH(U34,INDIRECT(VLOOKUP(CONCATENATE(LEFT(BO34,7),"-",MID(BO34,13,1)),CLU!$P$3:$Q$16,2)),1)</f>
        <v>#N/A</v>
      </c>
      <c r="GT34" s="347" t="s">
        <v>512</v>
      </c>
      <c r="GU34" s="97" t="s">
        <v>513</v>
      </c>
      <c r="GV34" s="97" t="str">
        <f t="shared" si="198"/>
        <v>M23</v>
      </c>
      <c r="GW34" s="97" t="str">
        <f t="shared" si="199"/>
        <v>M31</v>
      </c>
      <c r="GX34" s="97" t="str">
        <f t="shared" si="200"/>
        <v/>
      </c>
      <c r="GY34" s="97" t="str">
        <f t="shared" si="201"/>
        <v/>
      </c>
      <c r="GZ34" s="481"/>
      <c r="HA34" s="288"/>
      <c r="HB34" s="240"/>
      <c r="HC34" s="240"/>
      <c r="HD34" s="240"/>
      <c r="HE34" s="240"/>
      <c r="HF34" s="240"/>
      <c r="HG34" s="240"/>
      <c r="HH34" s="240"/>
      <c r="HI34" s="240"/>
      <c r="HJ34" s="240"/>
      <c r="HK34" s="240"/>
      <c r="HL34" s="240"/>
      <c r="HM34" s="240"/>
      <c r="HN34" s="240"/>
      <c r="HO34" s="240"/>
      <c r="HP34" s="240"/>
      <c r="HQ34" s="240"/>
      <c r="HR34" s="240"/>
      <c r="HS34" s="240"/>
      <c r="HT34" s="240"/>
      <c r="HU34" s="240"/>
      <c r="HV34" s="245"/>
      <c r="HW34" s="245" t="b">
        <v>1</v>
      </c>
      <c r="HX34" s="245" t="str">
        <f t="shared" si="79"/>
        <v/>
      </c>
      <c r="HY34" s="245" t="e">
        <f t="shared" si="80"/>
        <v>#DIV/0!</v>
      </c>
      <c r="HZ34" s="245" t="e">
        <f t="shared" si="81"/>
        <v>#DIV/0!</v>
      </c>
      <c r="IA34" s="245">
        <f t="shared" si="82"/>
        <v>0</v>
      </c>
      <c r="IB34" s="245"/>
      <c r="IC34" t="b">
        <f t="shared" si="83"/>
        <v>1</v>
      </c>
      <c r="ID34" s="245" t="b">
        <f t="shared" si="84"/>
        <v>1</v>
      </c>
      <c r="IE34" s="245" t="b">
        <f t="shared" si="85"/>
        <v>1</v>
      </c>
      <c r="IF34" s="245" t="b">
        <f t="shared" si="86"/>
        <v>0</v>
      </c>
      <c r="IG34" s="245" t="b">
        <f t="shared" si="87"/>
        <v>1</v>
      </c>
      <c r="IH34" s="245" t="b">
        <f t="shared" si="88"/>
        <v>1</v>
      </c>
      <c r="II34" s="245">
        <f t="shared" si="202"/>
        <v>0</v>
      </c>
      <c r="IJ34" s="245" t="e">
        <f t="shared" si="89"/>
        <v>#VALUE!</v>
      </c>
      <c r="IK34" s="245" t="e">
        <f t="shared" si="90"/>
        <v>#VALUE!</v>
      </c>
      <c r="IL34" s="245"/>
      <c r="IM34" s="245" t="e">
        <f t="shared" si="203"/>
        <v>#N/A</v>
      </c>
      <c r="IN34" s="245" t="e">
        <f t="shared" si="204"/>
        <v>#N/A</v>
      </c>
      <c r="IO34" s="245"/>
      <c r="IP34" s="245"/>
      <c r="IQ34" s="245" t="str">
        <f t="shared" si="91"/>
        <v/>
      </c>
      <c r="IR34" s="245" t="str">
        <f>IF(J34="","",VLOOKUP(J34,Worksheet!$R$4:$T$14,2))</f>
        <v/>
      </c>
      <c r="IS34" s="245"/>
      <c r="IT34" s="245">
        <f t="shared" si="92"/>
        <v>0</v>
      </c>
      <c r="IU34" s="245">
        <f t="shared" si="93"/>
        <v>0</v>
      </c>
      <c r="IV34" s="245">
        <f t="shared" si="94"/>
        <v>0</v>
      </c>
      <c r="IW34" s="245">
        <f t="shared" si="95"/>
        <v>0</v>
      </c>
      <c r="IX34" s="245">
        <f t="shared" si="205"/>
        <v>0</v>
      </c>
      <c r="IY34" s="245">
        <f t="shared" si="96"/>
        <v>0</v>
      </c>
      <c r="IZ34" s="245">
        <f t="shared" si="97"/>
        <v>0</v>
      </c>
      <c r="JA34">
        <f t="shared" si="98"/>
        <v>0</v>
      </c>
      <c r="JB34">
        <f t="shared" si="206"/>
        <v>0</v>
      </c>
      <c r="JC34">
        <f t="shared" si="99"/>
        <v>0</v>
      </c>
      <c r="JD34">
        <f t="shared" si="100"/>
        <v>0</v>
      </c>
      <c r="JE34">
        <f t="shared" si="101"/>
        <v>0</v>
      </c>
      <c r="JF34">
        <f t="shared" si="102"/>
        <v>0</v>
      </c>
      <c r="JG34">
        <f t="shared" si="103"/>
        <v>0</v>
      </c>
      <c r="JH34">
        <f t="shared" si="104"/>
        <v>0</v>
      </c>
      <c r="JI34">
        <f t="shared" si="105"/>
        <v>0</v>
      </c>
      <c r="JJ34" s="447">
        <f t="shared" si="106"/>
        <v>0</v>
      </c>
      <c r="JK34" s="447">
        <f t="shared" si="107"/>
        <v>0</v>
      </c>
      <c r="JL34">
        <f t="shared" si="108"/>
        <v>0</v>
      </c>
      <c r="JM34" s="245" t="str">
        <f>IFERROR(VLOOKUP(MATCH(BN34,#REF!,0),#REF!,7),"")</f>
        <v/>
      </c>
      <c r="JN34" t="e">
        <f>HLOOKUP(LEFT(BO34,7),Discharge_Area,MATCH(JO34,LookUps!$B$130:$B$149,1)+2)</f>
        <v>#N/A</v>
      </c>
      <c r="JO34" t="str">
        <f t="shared" si="109"/>
        <v>- S</v>
      </c>
      <c r="JP34" t="e">
        <f>HLOOKUP(LEFT(BO34,7),Discharge_Area,MATCH(JO34,LookUps!$B$130:$B$149,1)+2)</f>
        <v>#N/A</v>
      </c>
      <c r="JQ34" t="e">
        <f t="shared" si="110"/>
        <v>#N/A</v>
      </c>
      <c r="JR34" t="e">
        <f t="shared" si="111"/>
        <v>#N/A</v>
      </c>
      <c r="JS34" t="e">
        <f t="shared" si="112"/>
        <v>#N/A</v>
      </c>
      <c r="JT34" s="532" t="str">
        <f t="shared" si="113"/>
        <v xml:space="preserve"> </v>
      </c>
      <c r="JU34" s="532" t="str">
        <f t="shared" si="114"/>
        <v xml:space="preserve"> </v>
      </c>
      <c r="JV34" s="533" t="str">
        <f t="shared" si="115"/>
        <v xml:space="preserve"> </v>
      </c>
      <c r="JW34" s="534">
        <f t="shared" si="116"/>
        <v>0</v>
      </c>
      <c r="JX34" s="535" t="str">
        <f t="shared" si="207"/>
        <v xml:space="preserve"> </v>
      </c>
      <c r="JY34" s="535" t="str">
        <f t="shared" si="208"/>
        <v xml:space="preserve"> </v>
      </c>
      <c r="JZ34" s="535" t="str">
        <f t="shared" si="209"/>
        <v xml:space="preserve"> </v>
      </c>
      <c r="KA34" s="536" t="str">
        <f t="shared" si="117"/>
        <v xml:space="preserve"> </v>
      </c>
      <c r="KB34" s="535" t="e">
        <f t="shared" si="210"/>
        <v>#VALUE!</v>
      </c>
      <c r="KC34" s="535" t="str">
        <f t="shared" si="118"/>
        <v/>
      </c>
      <c r="KD34" s="537" t="str">
        <f t="shared" si="211"/>
        <v xml:space="preserve"> </v>
      </c>
      <c r="KE34" s="537" t="str">
        <f t="shared" si="212"/>
        <v xml:space="preserve"> </v>
      </c>
      <c r="KF34" s="534">
        <f t="shared" si="119"/>
        <v>0</v>
      </c>
      <c r="KG34" s="535" t="str">
        <f t="shared" si="120"/>
        <v xml:space="preserve"> </v>
      </c>
      <c r="KH34" s="535" t="str">
        <f t="shared" si="121"/>
        <v xml:space="preserve"> </v>
      </c>
      <c r="KI34" s="535" t="str">
        <f t="shared" si="122"/>
        <v xml:space="preserve"> </v>
      </c>
      <c r="KJ34" s="536" t="str">
        <f t="shared" si="123"/>
        <v xml:space="preserve"> </v>
      </c>
      <c r="KK34" s="535" t="str">
        <f t="shared" si="213"/>
        <v xml:space="preserve"> </v>
      </c>
      <c r="KL34" s="535" t="str">
        <f t="shared" si="214"/>
        <v xml:space="preserve"> </v>
      </c>
      <c r="KM34" s="537" t="str">
        <f t="shared" si="124"/>
        <v xml:space="preserve"> </v>
      </c>
      <c r="KN34" s="537" t="str">
        <f t="shared" si="215"/>
        <v xml:space="preserve"> </v>
      </c>
      <c r="KP34">
        <f t="shared" si="125"/>
        <v>0</v>
      </c>
      <c r="LA34" t="e">
        <f t="shared" si="126"/>
        <v>#VALUE!</v>
      </c>
      <c r="LB34" t="e">
        <f t="shared" si="127"/>
        <v>#VALUE!</v>
      </c>
      <c r="LC34" t="e">
        <f t="shared" si="128"/>
        <v>#VALUE!</v>
      </c>
      <c r="LD34" t="e">
        <f t="shared" si="129"/>
        <v>#VALUE!</v>
      </c>
      <c r="LE34" t="e">
        <f t="shared" si="216"/>
        <v>#VALUE!</v>
      </c>
      <c r="LF34">
        <f t="shared" si="130"/>
        <v>0</v>
      </c>
      <c r="LG34" t="e">
        <f t="shared" si="217"/>
        <v>#VALUE!</v>
      </c>
      <c r="LH34" t="str">
        <f t="shared" si="131"/>
        <v xml:space="preserve"> </v>
      </c>
      <c r="LI34">
        <f t="shared" si="218"/>
        <v>1</v>
      </c>
    </row>
    <row r="35" spans="2:321" ht="15" customHeight="1">
      <c r="B35" s="311"/>
      <c r="C35" s="311"/>
      <c r="D35" s="312"/>
      <c r="E35" s="311"/>
      <c r="F35" s="312"/>
      <c r="G35" s="311"/>
      <c r="H35" s="311"/>
      <c r="I35" s="37"/>
      <c r="J35" s="311"/>
      <c r="K35" s="305" t="str">
        <f t="shared" si="132"/>
        <v/>
      </c>
      <c r="L35" s="313"/>
      <c r="M35" s="312"/>
      <c r="N35" s="311"/>
      <c r="O35" s="312"/>
      <c r="P35" s="311"/>
      <c r="Q35" s="305" t="str">
        <f t="shared" si="133"/>
        <v/>
      </c>
      <c r="R35" s="314"/>
      <c r="S35" s="450" t="str">
        <f t="shared" si="0"/>
        <v/>
      </c>
      <c r="T35" s="315"/>
      <c r="U35" s="315"/>
      <c r="W35" s="149" t="str">
        <f t="shared" si="1"/>
        <v xml:space="preserve"> </v>
      </c>
      <c r="X35" s="243" t="str">
        <f t="shared" si="2"/>
        <v xml:space="preserve"> </v>
      </c>
      <c r="Y35" s="150" t="str">
        <f t="shared" si="3"/>
        <v/>
      </c>
      <c r="Z35" s="149" t="str">
        <f t="shared" si="4"/>
        <v xml:space="preserve"> </v>
      </c>
      <c r="AA35" s="98" t="str">
        <f t="shared" si="5"/>
        <v xml:space="preserve"> </v>
      </c>
      <c r="AB35" s="153" t="str">
        <f t="shared" si="6"/>
        <v xml:space="preserve"> </v>
      </c>
      <c r="AC35" s="153" t="str">
        <f t="shared" si="7"/>
        <v xml:space="preserve"> </v>
      </c>
      <c r="AD35" s="148" t="str">
        <f t="shared" si="8"/>
        <v/>
      </c>
      <c r="AE35" s="149" t="str">
        <f t="shared" si="9"/>
        <v/>
      </c>
      <c r="AF35" s="151" t="str">
        <f t="shared" si="10"/>
        <v xml:space="preserve"> </v>
      </c>
      <c r="AG35" s="153" t="str">
        <f t="shared" si="11"/>
        <v xml:space="preserve"> </v>
      </c>
      <c r="AH35" s="98" t="str">
        <f t="shared" si="12"/>
        <v xml:space="preserve"> </v>
      </c>
      <c r="AI35" s="149" t="str">
        <f t="shared" si="13"/>
        <v xml:space="preserve"> </v>
      </c>
      <c r="AK35" s="144" t="str">
        <f t="shared" si="14"/>
        <v xml:space="preserve"> </v>
      </c>
      <c r="AL35" s="144"/>
      <c r="AM35" s="243" t="str">
        <f t="shared" si="15"/>
        <v xml:space="preserve"> </v>
      </c>
      <c r="AN35" s="149" t="str">
        <f t="shared" si="134"/>
        <v xml:space="preserve"> </v>
      </c>
      <c r="AO35" s="144" t="str">
        <f>IF(JB35&gt;0,IF(GI35=10,-R35*1.085*(Calculation!$F$6-Calculation!$F$13)*$S$14," "),"")</f>
        <v/>
      </c>
      <c r="AP35" s="144" t="str">
        <f t="shared" si="16"/>
        <v/>
      </c>
      <c r="AQ35" s="56" t="str">
        <f t="shared" si="17"/>
        <v/>
      </c>
      <c r="AR35" s="144" t="str">
        <f t="shared" si="18"/>
        <v/>
      </c>
      <c r="AS35" s="176" t="str">
        <f t="shared" si="19"/>
        <v/>
      </c>
      <c r="AT35" s="176" t="str">
        <f t="shared" si="135"/>
        <v xml:space="preserve"> </v>
      </c>
      <c r="AU35" s="176" t="str">
        <f t="shared" si="20"/>
        <v/>
      </c>
      <c r="AV35" s="177" t="str">
        <f t="shared" si="21"/>
        <v xml:space="preserve"> </v>
      </c>
      <c r="AW35" s="144" t="str">
        <f t="shared" si="22"/>
        <v xml:space="preserve"> </v>
      </c>
      <c r="AX35" s="144" t="str">
        <f t="shared" si="23"/>
        <v xml:space="preserve"> </v>
      </c>
      <c r="AY35" s="152" t="str">
        <f t="shared" si="24"/>
        <v xml:space="preserve"> </v>
      </c>
      <c r="AZ35" s="246" t="str">
        <f t="shared" si="25"/>
        <v/>
      </c>
      <c r="BA35" s="176" t="str">
        <f t="shared" si="26"/>
        <v xml:space="preserve"> </v>
      </c>
      <c r="BB35" s="176" t="str">
        <f t="shared" si="27"/>
        <v xml:space="preserve"> </v>
      </c>
      <c r="BC35" s="195"/>
      <c r="BD35" s="316"/>
      <c r="BE35" s="317"/>
      <c r="BF35" s="318"/>
      <c r="BG35" s="318"/>
      <c r="BH35" s="144" t="str">
        <f t="shared" si="219"/>
        <v xml:space="preserve"> </v>
      </c>
      <c r="BI35" s="176" t="str">
        <f t="shared" si="28"/>
        <v/>
      </c>
      <c r="BJ35" s="144" t="str">
        <f t="shared" si="220"/>
        <v/>
      </c>
      <c r="BK35" s="246" t="str">
        <f t="shared" si="29"/>
        <v/>
      </c>
      <c r="BL35" s="144" t="str">
        <f t="shared" si="221"/>
        <v/>
      </c>
      <c r="BM35" s="246" t="str">
        <f t="shared" si="30"/>
        <v/>
      </c>
      <c r="BN35" s="337" t="str">
        <f t="shared" si="136"/>
        <v/>
      </c>
      <c r="BO35" s="371" t="str">
        <f t="shared" si="137"/>
        <v/>
      </c>
      <c r="BP35" s="328" t="str">
        <f t="shared" si="222"/>
        <v xml:space="preserve"> </v>
      </c>
      <c r="BQ35" s="347" t="str">
        <f t="shared" si="138"/>
        <v xml:space="preserve"> </v>
      </c>
      <c r="BR35" s="353" t="str">
        <f t="shared" si="223"/>
        <v xml:space="preserve"> </v>
      </c>
      <c r="BS35" s="626" t="str">
        <f>IF(L35&gt;0,IF(Calculation!P35="M13",BR35*3.1416*(0.134^2)/(4*144),IF(Calculation!P35="M17",BR35*3.1416*(0.165^2)/(4*144),IF(Calculation!P35="M20",BR35*3.1416*(0.198^2)/(4*144),IF(Calculation!P35="M23",BR35*3.1416*(0.228^2)/(4*144),IF(Calculation!P35="M27",BR35*3.1416*(0.269^2)/(4*144),BR35*3.1416*(0.307^2)/(4*144))))))," ")</f>
        <v xml:space="preserve"> </v>
      </c>
      <c r="BT35" s="353" t="str">
        <f>IF(L35&gt;0,IF(BS35&gt;0,R35/Calculation!BS35,0)," ")</f>
        <v xml:space="preserve"> </v>
      </c>
      <c r="BU35" s="438" t="e">
        <f t="shared" ca="1" si="31"/>
        <v>#VALUE!</v>
      </c>
      <c r="BV35" s="449" t="e">
        <f ca="1">INDEX(INDIRECT(VLOOKUP(LEFT(BO35,7),CLU!$Z$3:$AH$18,2)),GN35,GR35)</f>
        <v>#N/A</v>
      </c>
      <c r="BW35" s="433" t="e">
        <f ca="1">INDEX(INDIRECT(VLOOKUP(LEFT(BO35,7),CLU!$Z$3:$AH$18,3)),GN35,GR35)</f>
        <v>#N/A</v>
      </c>
      <c r="BX35" s="433" t="e">
        <f ca="1">INDEX(INDIRECT(VLOOKUP(LEFT(BO35,7),CLU!$Z$3:$AH$18,4)),GN35,GR35)</f>
        <v>#N/A</v>
      </c>
      <c r="BY35" s="433" t="e">
        <f ca="1">INDEX(INDIRECT(VLOOKUP(LEFT(BO35,7),CLU!$Z$3:$AH$18,9)),((M35-2)*(6-COUNTBLANK(GT35:GY35)))+GJ35)</f>
        <v>#N/A</v>
      </c>
      <c r="BZ35" s="426" t="e">
        <f t="shared" ca="1" si="139"/>
        <v>#N/A</v>
      </c>
      <c r="CA35" s="424" t="e">
        <f t="shared" ca="1" si="140"/>
        <v>#N/A</v>
      </c>
      <c r="CB35" s="429" t="e">
        <f ca="1">INDEX(INDIRECT(VLOOKUP(LEFT(BO35,7),CLU!$Z$3:$AH$18,2)),GN35,GS35)</f>
        <v>#N/A</v>
      </c>
      <c r="CC35" s="342" t="e">
        <f ca="1">INDEX(INDIRECT(VLOOKUP(LEFT(BO35,7),CLU!$Z$3:$AH$18,3)),GN35,GS35)</f>
        <v>#N/A</v>
      </c>
      <c r="CD35" s="342" t="e">
        <f ca="1">INDEX(INDIRECT(VLOOKUP(LEFT(BO35,7),CLU!$Z$3:$AH$18,4)),GN35,GS35)</f>
        <v>#N/A</v>
      </c>
      <c r="CE35" s="426" t="e">
        <f t="shared" ca="1" si="141"/>
        <v>#N/A</v>
      </c>
      <c r="CF35" s="440">
        <f t="shared" si="142"/>
        <v>0</v>
      </c>
      <c r="CG35" s="431" t="e">
        <f ca="1">INDEX(INDIRECT(VLOOKUP(LEFT(BO35,7),CLU!$Z$3:$AH$18,2)),GQ35,GR35)</f>
        <v>#N/A</v>
      </c>
      <c r="CH35" s="431" t="e">
        <f ca="1">INDEX(INDIRECT(VLOOKUP(LEFT(BO35,7),CLU!$Z$3:$AH$18,3)),GQ35,GR35)</f>
        <v>#N/A</v>
      </c>
      <c r="CI35" s="431" t="e">
        <f ca="1">INDEX(INDIRECT(VLOOKUP(LEFT(BO35,7),CLU!$Z$3:$AH$18,4)),GQ35,GR35)</f>
        <v>#N/A</v>
      </c>
      <c r="CJ35" s="448" t="e">
        <f t="shared" ca="1" si="143"/>
        <v>#N/A</v>
      </c>
      <c r="CK35" s="431" t="e">
        <f t="shared" ca="1" si="144"/>
        <v>#N/A</v>
      </c>
      <c r="CL35" s="440" t="e">
        <f t="shared" ca="1" si="145"/>
        <v>#N/A</v>
      </c>
      <c r="CM35" s="431" t="e">
        <f ca="1">INDEX(INDIRECT(VLOOKUP(LEFT(BO35,7),CLU!$Z$3:$AH$18,2)),GQ35,GS35)</f>
        <v>#N/A</v>
      </c>
      <c r="CN35" s="431" t="e">
        <f ca="1">INDEX(INDIRECT(VLOOKUP(LEFT(BO35,7),CLU!$Z$3:$AH$18,3)),GQ35,GS35)</f>
        <v>#N/A</v>
      </c>
      <c r="CO35" s="431" t="e">
        <f ca="1">INDEX(INDIRECT(VLOOKUP(LEFT(BO35,7),CLU!$Z$3:$AH$18,4)),GQ35,GS35)</f>
        <v>#N/A</v>
      </c>
      <c r="CP35" s="431" t="e">
        <f t="shared" ca="1" si="146"/>
        <v>#N/A</v>
      </c>
      <c r="CQ35" s="440">
        <f t="shared" si="147"/>
        <v>0</v>
      </c>
      <c r="CR35" s="51" t="e">
        <f t="shared" ca="1" si="148"/>
        <v>#N/A</v>
      </c>
      <c r="CS35" s="439" t="e">
        <f t="shared" ca="1" si="149"/>
        <v>#VALUE!</v>
      </c>
      <c r="CT35" s="51" t="e">
        <f t="shared" ca="1" si="150"/>
        <v>#VALUE!</v>
      </c>
      <c r="CU35" s="10"/>
      <c r="CV35" s="51" t="e">
        <f t="shared" ca="1" si="34"/>
        <v>#VALUE!</v>
      </c>
      <c r="CW35" s="51">
        <f t="shared" si="151"/>
        <v>0</v>
      </c>
      <c r="CX35" s="439" t="e">
        <f t="shared" ca="1" si="152"/>
        <v>#VALUE!</v>
      </c>
      <c r="CY35" s="51" t="e">
        <f t="shared" ca="1" si="153"/>
        <v>#VALUE!</v>
      </c>
      <c r="CZ35" s="10"/>
      <c r="DA35" s="51" t="e">
        <f t="shared" ca="1" si="154"/>
        <v>#VALUE!</v>
      </c>
      <c r="DB35" s="347" t="e">
        <f ca="1">INDEX(INDIRECT(VLOOKUP(LEFT(BO35,7),CLU!$Z$3:$AI$18,10)),((M35-2)*(6-COUNTBLANK(GT35:GY35)))+GJ35)*LI35</f>
        <v>#N/A</v>
      </c>
      <c r="DC35" s="347" t="str">
        <f>IF(L35&gt;0,((R35/Worksheet!$I$15)/DB35)^2," ")</f>
        <v xml:space="preserve"> </v>
      </c>
      <c r="DD35" s="602" t="str">
        <f t="shared" si="224"/>
        <v xml:space="preserve"> </v>
      </c>
      <c r="DE35" s="347" t="str">
        <f t="shared" si="35"/>
        <v xml:space="preserve"> </v>
      </c>
      <c r="DF35" s="356" t="e">
        <f ca="1">INDEX(INDIRECT(VLOOKUP(LEFT(BO35,7),CLU!$Z$3:$AH$18,8)),((M35-2)*(6-COUNTBLANK(GT35:GY35)))+GJ35)</f>
        <v>#N/A</v>
      </c>
      <c r="DG35" s="347" t="str">
        <f t="shared" si="36"/>
        <v xml:space="preserve"> </v>
      </c>
      <c r="DH35" s="357" t="str">
        <f t="shared" si="37"/>
        <v xml:space="preserve"> </v>
      </c>
      <c r="DI35" s="355" t="str">
        <f t="shared" si="38"/>
        <v xml:space="preserve"> </v>
      </c>
      <c r="DJ35" s="245" t="e">
        <f ca="1">INDEX(INDIRECT(VLOOKUP(LEFT(BO35,7),CLU!$Z$3:$AH$18,5)),GL35,GK35)</f>
        <v>#N/A</v>
      </c>
      <c r="DK35" s="245" t="e">
        <f ca="1">INDEX(INDIRECT(VLOOKUP(LEFT(BO35,7),CLU!$Z$3:$AH$18,6)),GL35,GK35)</f>
        <v>#N/A</v>
      </c>
      <c r="DL35" s="355">
        <f>(Calculation!R35*0.69143*(Calculation!$BQ$8-Calculation!$F$8))*$S$14</f>
        <v>0</v>
      </c>
      <c r="DM35" s="359" t="e">
        <f t="shared" si="160"/>
        <v>#VALUE!</v>
      </c>
      <c r="DN35" s="611">
        <f t="shared" si="161"/>
        <v>0</v>
      </c>
      <c r="DO35" s="359">
        <f t="shared" si="162"/>
        <v>100</v>
      </c>
      <c r="DP35" s="359">
        <f t="shared" si="163"/>
        <v>0</v>
      </c>
      <c r="DQ35" s="360"/>
      <c r="DR35" s="245" t="e">
        <f ca="1">INDEX(INDIRECT(VLOOKUP(LEFT(BO35,7),CLU!$Z$3:$AH$18,7)),M35-1,1)</f>
        <v>#N/A</v>
      </c>
      <c r="DS35" s="245" t="e">
        <f ca="1">INDEX(INDIRECT(VLOOKUP(LEFT(BO35,7),CLU!$Z$3:$AH$18,7)),M35-1,2)</f>
        <v>#N/A</v>
      </c>
      <c r="DT35" s="245" t="e">
        <f ca="1">INDEX(INDIRECT(VLOOKUP(LEFT(BO35,7),CLU!$Z$3:$AH$18,7)),M35-1,3)</f>
        <v>#N/A</v>
      </c>
      <c r="DU35" s="245" t="e">
        <f ca="1">INDEX(INDIRECT(VLOOKUP(LEFT(BO35,7),CLU!$Z$3:$AH$18,7)),M35-1,4)</f>
        <v>#N/A</v>
      </c>
      <c r="DV35" s="361" t="e">
        <f ca="1">INDEX(INDIRECT(VLOOKUP(LEFT(BO35,7),CLU!$Z$3:$AH$18,7)),M35-1,4+LEFT(DZ35,1)*0.5)</f>
        <v>#N/A</v>
      </c>
      <c r="DW35" s="245" t="e">
        <f ca="1">INDEX(INDIRECT(VLOOKUP(LEFT(BO35,7),CLU!$Z$3:$AH$18,7)),M35-1,8)</f>
        <v>#N/A</v>
      </c>
      <c r="DX35" s="361" t="str">
        <f t="shared" si="39"/>
        <v xml:space="preserve"> </v>
      </c>
      <c r="DY35" s="361" t="str">
        <f t="shared" si="40"/>
        <v xml:space="preserve"> </v>
      </c>
      <c r="DZ35" s="361" t="str">
        <f t="shared" si="41"/>
        <v xml:space="preserve"> </v>
      </c>
      <c r="EA35" s="362" t="str">
        <f t="shared" si="42"/>
        <v xml:space="preserve"> </v>
      </c>
      <c r="EB35" s="624" t="str">
        <f t="shared" si="168"/>
        <v xml:space="preserve"> </v>
      </c>
      <c r="EC35" s="361" t="e">
        <f ca="1">INDEX(INDIRECT(VLOOKUP(LEFT(BO35,7),CLU!$Z$3:$AH$18,7)),M35-1,4+LEFT(DZ35,1)*0.5)</f>
        <v>#N/A</v>
      </c>
      <c r="ED35" s="362" t="str">
        <f t="shared" si="43"/>
        <v xml:space="preserve"> </v>
      </c>
      <c r="EE35" s="361" t="str">
        <f t="shared" si="44"/>
        <v xml:space="preserve"> </v>
      </c>
      <c r="EF35" s="362" t="str">
        <f>IF(L35&gt;0,IF(BR35&gt;0,IF(EE35="2P",IF(Calculation!DZ35="2P",IF(Calculation!DS35=13.75,IF(Calculation!DR35=13,Worksheet!$BD$43,IF(Calculation!DR35=37,Worksheet!$BD$44,Worksheet!$BD$45)),IF(Calculation!DS35=10,IF(Calculation!DR35=18,Worksheet!$BD$29,IF(Calculation!DR35=30,Worksheet!$BD$30,IF(Calculation!DR35=42,Worksheet!$BD$31,IF(Calculation!DR35=54,Worksheet!$BD$32,IF(Calculation!DR35=66,Worksheet!$BD$33,IF(Calculation!DR35=78,Worksheet!$BD$34,IF(Calculation!DR35=90,Worksheet!$BD$35,IF(Calculation!DR35=102,Worksheet!$BD$36,Worksheet!$BD$37)))))))),IF(Calculation!DS35=12.5,IF(Calculation!DR35=18,Worksheet!$BD$38,IF(Calculation!DR35=Worksheet!$BD$39,IF(Calculation!DR35=42,Worksheet!$BD$40,IF(Calculation!DR35=54,Worksheet!$BD$41,Worksheet!$BD$42)))),IF(Calculation!DR35=18,Worksheet!$BD$11,IF(Calculation!DR35=30,Worksheet!$BD$12,IF(Calculation!DR35=42,Worksheet!$BD$13,IF(Calculation!DR35=54,Worksheet!$BD$14,IF(Calculation!DR35=66,Worksheet!$BD$15,IF(Calculation!DR35=78,Worksheet!$BD$16,IF(Calculation!DR35=90,Worksheet!$BD$17,IF(Calculation!DR35=102,Worksheet!$BD$18,Worksheet!$BD$19))))))))))),IF(Calculation!DS35=13.75,IF(Calculation!DR35=13,Worksheet!$BD$78,IF(Calculation!DR35=37,Worksheet!$BD$79,Worksheet!$BD$80)),IF(Calculation!DS35=10,IF(Calculation!DR35=18,Worksheet!$BD$64,IF(Calculation!DR35=30,Worksheet!$BD$65,IF(Calculation!DR35=42,Worksheet!$BD$66,IF(Calculation!DR35=54,Worksheet!$BD$68,IF(Calculation!DR35=66,Worksheet!$BD$68,IF(Calculation!DR35=78,Worksheet!$BD$69,IF(Calculation!DR35=90,Worksheet!$BD$70,IF(Calculation!DR35=102,Worksheet!$BD$71,Worksheet!$BD$72)))))))),IF(Calculation!DS35=12.5,IF(Calculation!DR35=18,Worksheet!$BD$73,IF(Calculation!DR35=Worksheet!$BD$74,IF(Calculation!DR35=42,Worksheet!$BD$75,IF(Calculation!DR35=54,Worksheet!$BD$76,Worksheet!$BD$77)))),IF(Calculation!DR35=18,Worksheet!$BD$55,IF(Calculation!DR35=30,Worksheet!$BD$56,IF(Calculation!DR35=42,Worksheet!$BD$57,IF(Calculation!DR35=54,Worksheet!$BD$58,IF(Calculation!DR35=66,Worksheet!$BD$59,IF(Calculation!DR35=78,Worksheet!$BD$60,IF(Calculation!DR35=90,Worksheet!$BD$61,IF(Calculation!DR35=102,Worksheet!$BD$62,Worksheet!$BD$63)))))))))))),5),0)," ")</f>
        <v xml:space="preserve"> </v>
      </c>
      <c r="EG35" s="361" t="str">
        <f t="shared" si="45"/>
        <v xml:space="preserve"> </v>
      </c>
      <c r="EH35" s="361" t="e">
        <f ca="1">INDEX(INDIRECT(VLOOKUP(LEFT(BO35,7),CLU!$Z$3:$AH$18,7)),M35-1,3+LEFT(DZ35,1))</f>
        <v>#N/A</v>
      </c>
      <c r="EI35" s="362" t="str">
        <f t="shared" si="46"/>
        <v xml:space="preserve"> </v>
      </c>
      <c r="EJ35" s="363" t="str">
        <f t="shared" si="47"/>
        <v xml:space="preserve"> </v>
      </c>
      <c r="EK35" s="363" t="str">
        <f t="shared" si="48"/>
        <v xml:space="preserve"> </v>
      </c>
      <c r="EL35" s="363" t="str">
        <f t="shared" si="49"/>
        <v xml:space="preserve"> </v>
      </c>
      <c r="EM35" s="362" t="str">
        <f>IF(L35&gt;0,IF(BR35&gt;0,(Calculation!T35/ED35)^2,0)," ")</f>
        <v xml:space="preserve"> </v>
      </c>
      <c r="EN35" s="362" t="str">
        <f>IF(L35&gt;0,IF(O35="2 Pipe (Cooling)","N/A",IF(BR35&gt;0,(Calculation!U35/EI35)^2,0))," ")</f>
        <v xml:space="preserve"> </v>
      </c>
      <c r="EO35" s="361" t="str">
        <f t="shared" si="50"/>
        <v/>
      </c>
      <c r="EP35" s="361" t="str">
        <f t="shared" si="51"/>
        <v/>
      </c>
      <c r="EQ35" s="361" t="str">
        <f t="shared" si="52"/>
        <v/>
      </c>
      <c r="ER35" s="361" t="str">
        <f t="shared" si="53"/>
        <v/>
      </c>
      <c r="ES35" s="361" t="str">
        <f t="shared" si="54"/>
        <v/>
      </c>
      <c r="ET35" s="361" t="str">
        <f t="shared" si="55"/>
        <v/>
      </c>
      <c r="EU35" s="361" t="str">
        <f t="shared" si="56"/>
        <v/>
      </c>
      <c r="EV35" s="361" t="str">
        <f t="shared" si="57"/>
        <v/>
      </c>
      <c r="EW35" s="361" t="str">
        <f t="shared" si="58"/>
        <v/>
      </c>
      <c r="EX35" s="361" t="str">
        <f t="shared" si="169"/>
        <v>1 slot, 1 way</v>
      </c>
      <c r="EY35" s="361" t="str">
        <f t="shared" si="170"/>
        <v xml:space="preserve"> </v>
      </c>
      <c r="EZ35" s="361" t="str">
        <f t="shared" si="171"/>
        <v xml:space="preserve"> </v>
      </c>
      <c r="FA35" s="361" t="str">
        <f t="shared" si="172"/>
        <v xml:space="preserve"> </v>
      </c>
      <c r="FB35" s="361" t="str">
        <f t="shared" si="173"/>
        <v xml:space="preserve"> </v>
      </c>
      <c r="FC35" s="361"/>
      <c r="FD35" s="361" t="str">
        <f>IF(J35&gt;0,IF(Calculation!R35&lt;=70,4,IF(Calculation!R35&lt;=110,5,IF(Calculation!R35&lt;=160,6,IF(Calculation!R35&lt;=300,8,"10 EO")))),"")</f>
        <v/>
      </c>
      <c r="FE35" s="361" t="str">
        <f t="shared" si="174"/>
        <v/>
      </c>
      <c r="FF35" s="361" t="str">
        <f t="shared" si="175"/>
        <v/>
      </c>
      <c r="FG35" s="361" t="e">
        <f t="shared" si="60"/>
        <v>#N/A</v>
      </c>
      <c r="FH35" s="361">
        <f t="shared" si="61"/>
        <v>0</v>
      </c>
      <c r="FI35" s="361" t="e">
        <f t="shared" si="62"/>
        <v>#DIV/0!</v>
      </c>
      <c r="FJ35" s="361"/>
      <c r="FK35" s="356" t="e">
        <f t="shared" si="63"/>
        <v>#VALUE!</v>
      </c>
      <c r="FL35" s="361"/>
      <c r="FM35" s="361"/>
      <c r="FN35" s="362" t="str">
        <f t="shared" si="176"/>
        <v xml:space="preserve"> </v>
      </c>
      <c r="FO35" s="362" t="str">
        <f t="shared" si="177"/>
        <v xml:space="preserve"> </v>
      </c>
      <c r="FP35" s="362">
        <f t="shared" si="178"/>
        <v>0</v>
      </c>
      <c r="FQ35" s="361">
        <f t="shared" si="64"/>
        <v>0</v>
      </c>
      <c r="FR35" s="362" t="str">
        <f>IF(L35&gt;0,IF(J35="CBAL2",Worksheet!$P$67,IF(J35="CBE2-24",Worksheet!$Q$67,IF(J35="CBAM",Worksheet!$R$67,IF(J35="CBLV",Worksheet!$S$67,IF(J35="CBAB",Worksheet!$U$67,IF(J35="CBAW",Worksheet!$X$67,IF(J35="CBE2-12",Worksheet!$Y$67,IF(J35="CBAL2",Worksheet!$Z$67,"N/A"))))))))," ")</f>
        <v xml:space="preserve"> </v>
      </c>
      <c r="FS35" s="362" t="str">
        <f>IF(L35&gt;0,IF(J35="CBAL2",Worksheet!$P$68,IF(J35="CBE2-24",Worksheet!$Q$68,IF(J35="CBAM",Worksheet!$R$68,IF(J35="CBLV",Worksheet!$S$68,IF(J35="CBAB",Worksheet!$U$68,IF(J35="CBAW",Worksheet!$X$68,IF(J35="CBE2-12",Worksheet!$Y$68,IF(J35="CBAL2",Worksheet!$Z$68,"N/A"))))))))," ")</f>
        <v xml:space="preserve"> </v>
      </c>
      <c r="FT35" s="362" t="str">
        <f>IF(L35&gt;0,IF(J35="CBAL2",Worksheet!$P$69,IF(J35="CBE2-24",Worksheet!$Q$69,IF(J35="CBAM",Worksheet!$R$69,IF(J35="CBLV",Worksheet!$S$69,IF(J35="CBAB",Worksheet!$U$69,IF(J35="CBAW",Worksheet!$X$69,IF(J35="CBE2-12",Worksheet!$Y$69,IF(J35="CBAL2",Worksheet!$Z$69,"N/A"))))))))," ")</f>
        <v xml:space="preserve"> </v>
      </c>
      <c r="FU35" s="361" t="str">
        <f t="shared" si="179"/>
        <v xml:space="preserve"> </v>
      </c>
      <c r="FV35" s="362" t="str">
        <f t="shared" si="180"/>
        <v xml:space="preserve"> </v>
      </c>
      <c r="FW35" s="362" t="str">
        <f t="shared" si="181"/>
        <v xml:space="preserve"> </v>
      </c>
      <c r="FX35" s="362" t="str">
        <f t="shared" si="182"/>
        <v xml:space="preserve"> </v>
      </c>
      <c r="FY35" s="355" t="str">
        <f t="shared" si="183"/>
        <v xml:space="preserve"> </v>
      </c>
      <c r="FZ35" s="361" t="str">
        <f t="shared" si="184"/>
        <v xml:space="preserve"> </v>
      </c>
      <c r="GA35" s="347" t="str">
        <f t="shared" si="185"/>
        <v xml:space="preserve"> </v>
      </c>
      <c r="GB35" s="355" t="str">
        <f t="shared" si="186"/>
        <v xml:space="preserve"> </v>
      </c>
      <c r="GC35" s="328" t="str">
        <f t="shared" si="187"/>
        <v xml:space="preserve"> </v>
      </c>
      <c r="GD35" s="361" t="str">
        <f t="shared" si="188"/>
        <v xml:space="preserve"> </v>
      </c>
      <c r="GE35" s="347" t="str">
        <f t="shared" si="189"/>
        <v xml:space="preserve"> </v>
      </c>
      <c r="GF35" s="361" t="str">
        <f t="shared" si="190"/>
        <v xml:space="preserve"> </v>
      </c>
      <c r="GG35" s="347" t="str">
        <f t="shared" si="191"/>
        <v xml:space="preserve"> </v>
      </c>
      <c r="GH35" s="364">
        <f t="shared" si="78"/>
        <v>0</v>
      </c>
      <c r="GI35" s="362">
        <f t="shared" si="192"/>
        <v>2</v>
      </c>
      <c r="GJ35" s="433" t="e">
        <f>IF(6-COUNTBLANK(GT35:GY35)=4,MATCH(MID(BO35,9,3),CLU!$H$16:$K$16),MATCH(MID(BO35,9,3),CLU!$H$13:$M$13))</f>
        <v>#N/A</v>
      </c>
      <c r="GK35" s="433" t="e">
        <f>HLOOKUP(VALUE(BP35),CLU!$H$9:$M$10,2)</f>
        <v>#VALUE!</v>
      </c>
      <c r="GL35" s="433" t="e">
        <f ca="1">MATCH(BU35,CLU!$H$2:$V$2,1)</f>
        <v>#VALUE!</v>
      </c>
      <c r="GM35" s="433" t="e">
        <f t="shared" ca="1" si="193"/>
        <v>#VALUE!</v>
      </c>
      <c r="GN35" s="433" t="e">
        <f t="shared" ca="1" si="194"/>
        <v>#VALUE!</v>
      </c>
      <c r="GO35" s="433" t="e">
        <f t="shared" ca="1" si="195"/>
        <v>#VALUE!</v>
      </c>
      <c r="GP35" s="433" t="e">
        <f t="shared" ca="1" si="196"/>
        <v>#VALUE!</v>
      </c>
      <c r="GQ35" s="433" t="e">
        <f t="shared" ca="1" si="197"/>
        <v>#VALUE!</v>
      </c>
      <c r="GR35" s="433" t="e">
        <f ca="1">MATCH(T35,INDIRECT(VLOOKUP(CONCATENATE(LEFT(BO35,7),"-",MID(BO35,13,1)),CLU!$P$3:$Q$16,2)),1)</f>
        <v>#N/A</v>
      </c>
      <c r="GS35" s="433" t="e">
        <f ca="1">MATCH(U35,INDIRECT(VLOOKUP(CONCATENATE(LEFT(BO35,7),"-",MID(BO35,13,1)),CLU!$P$3:$Q$16,2)),1)</f>
        <v>#N/A</v>
      </c>
      <c r="GT35" s="347" t="s">
        <v>512</v>
      </c>
      <c r="GU35" s="97" t="s">
        <v>513</v>
      </c>
      <c r="GV35" s="97" t="str">
        <f t="shared" si="198"/>
        <v>M23</v>
      </c>
      <c r="GW35" s="97" t="str">
        <f t="shared" si="199"/>
        <v>M31</v>
      </c>
      <c r="GX35" s="97" t="str">
        <f t="shared" si="200"/>
        <v/>
      </c>
      <c r="GY35" s="97" t="str">
        <f t="shared" si="201"/>
        <v/>
      </c>
      <c r="GZ35" s="481"/>
      <c r="HA35" s="288"/>
      <c r="HB35" s="240"/>
      <c r="HC35" s="240"/>
      <c r="HD35" s="240"/>
      <c r="HE35" s="240"/>
      <c r="HF35" s="240"/>
      <c r="HG35" s="240"/>
      <c r="HH35" s="240"/>
      <c r="HI35" s="240"/>
      <c r="HJ35" s="240"/>
      <c r="HK35" s="240"/>
      <c r="HL35" s="240"/>
      <c r="HM35" s="240"/>
      <c r="HN35" s="240"/>
      <c r="HO35" s="240"/>
      <c r="HP35" s="240"/>
      <c r="HQ35" s="240"/>
      <c r="HR35" s="240"/>
      <c r="HS35" s="240"/>
      <c r="HT35" s="240"/>
      <c r="HU35" s="240"/>
      <c r="HV35" s="245"/>
      <c r="HW35" s="245" t="b">
        <v>1</v>
      </c>
      <c r="HX35" s="245" t="str">
        <f t="shared" si="79"/>
        <v/>
      </c>
      <c r="HY35" s="245" t="e">
        <f t="shared" si="80"/>
        <v>#DIV/0!</v>
      </c>
      <c r="HZ35" s="245" t="e">
        <f t="shared" si="81"/>
        <v>#DIV/0!</v>
      </c>
      <c r="IA35" s="245">
        <f t="shared" si="82"/>
        <v>0</v>
      </c>
      <c r="IB35" s="245"/>
      <c r="IC35" t="b">
        <f t="shared" si="83"/>
        <v>1</v>
      </c>
      <c r="ID35" s="245" t="b">
        <f t="shared" si="84"/>
        <v>1</v>
      </c>
      <c r="IE35" s="245" t="b">
        <f t="shared" si="85"/>
        <v>1</v>
      </c>
      <c r="IF35" s="245" t="b">
        <f t="shared" si="86"/>
        <v>0</v>
      </c>
      <c r="IG35" s="245" t="b">
        <f t="shared" si="87"/>
        <v>1</v>
      </c>
      <c r="IH35" s="245" t="b">
        <f t="shared" si="88"/>
        <v>1</v>
      </c>
      <c r="II35" s="245">
        <f t="shared" si="202"/>
        <v>0</v>
      </c>
      <c r="IJ35" s="245" t="e">
        <f t="shared" si="89"/>
        <v>#VALUE!</v>
      </c>
      <c r="IK35" s="245" t="e">
        <f t="shared" si="90"/>
        <v>#VALUE!</v>
      </c>
      <c r="IL35" s="245"/>
      <c r="IM35" s="245" t="e">
        <f t="shared" si="203"/>
        <v>#N/A</v>
      </c>
      <c r="IN35" s="245" t="e">
        <f t="shared" si="204"/>
        <v>#N/A</v>
      </c>
      <c r="IO35" s="245"/>
      <c r="IP35" s="245"/>
      <c r="IQ35" s="245" t="str">
        <f t="shared" si="91"/>
        <v/>
      </c>
      <c r="IR35" s="245" t="str">
        <f>IF(J35="","",VLOOKUP(J35,Worksheet!$R$4:$T$14,2))</f>
        <v/>
      </c>
      <c r="IS35" s="245"/>
      <c r="IT35" s="245">
        <f t="shared" si="92"/>
        <v>0</v>
      </c>
      <c r="IU35" s="245">
        <f t="shared" si="93"/>
        <v>0</v>
      </c>
      <c r="IV35" s="245">
        <f t="shared" si="94"/>
        <v>0</v>
      </c>
      <c r="IW35" s="245">
        <f t="shared" si="95"/>
        <v>0</v>
      </c>
      <c r="IX35" s="245">
        <f t="shared" si="205"/>
        <v>0</v>
      </c>
      <c r="IY35" s="245">
        <f t="shared" si="96"/>
        <v>0</v>
      </c>
      <c r="IZ35" s="245">
        <f t="shared" si="97"/>
        <v>0</v>
      </c>
      <c r="JA35">
        <f t="shared" si="98"/>
        <v>0</v>
      </c>
      <c r="JB35">
        <f t="shared" si="206"/>
        <v>0</v>
      </c>
      <c r="JC35">
        <f t="shared" si="99"/>
        <v>0</v>
      </c>
      <c r="JD35">
        <f t="shared" si="100"/>
        <v>0</v>
      </c>
      <c r="JE35">
        <f t="shared" si="101"/>
        <v>0</v>
      </c>
      <c r="JF35">
        <f t="shared" si="102"/>
        <v>0</v>
      </c>
      <c r="JG35">
        <f t="shared" si="103"/>
        <v>0</v>
      </c>
      <c r="JH35">
        <f t="shared" si="104"/>
        <v>0</v>
      </c>
      <c r="JI35">
        <f t="shared" si="105"/>
        <v>0</v>
      </c>
      <c r="JJ35" s="447">
        <f t="shared" si="106"/>
        <v>0</v>
      </c>
      <c r="JK35" s="447">
        <f t="shared" si="107"/>
        <v>0</v>
      </c>
      <c r="JL35">
        <f t="shared" si="108"/>
        <v>0</v>
      </c>
      <c r="JM35" s="245" t="str">
        <f>IFERROR(VLOOKUP(MATCH(BN35,#REF!,0),#REF!,7),"")</f>
        <v/>
      </c>
      <c r="JN35" t="e">
        <f>HLOOKUP(LEFT(BO35,7),Discharge_Area,MATCH(JO35,LookUps!$B$130:$B$149,1)+2)</f>
        <v>#N/A</v>
      </c>
      <c r="JO35" t="str">
        <f t="shared" si="109"/>
        <v>- S</v>
      </c>
      <c r="JP35" t="e">
        <f>HLOOKUP(LEFT(BO35,7),Discharge_Area,MATCH(JO35,LookUps!$B$130:$B$149,1)+2)</f>
        <v>#N/A</v>
      </c>
      <c r="JQ35" t="e">
        <f t="shared" si="110"/>
        <v>#N/A</v>
      </c>
      <c r="JR35" t="e">
        <f t="shared" si="111"/>
        <v>#N/A</v>
      </c>
      <c r="JS35" t="e">
        <f t="shared" si="112"/>
        <v>#N/A</v>
      </c>
      <c r="JT35" s="532" t="str">
        <f t="shared" si="113"/>
        <v xml:space="preserve"> </v>
      </c>
      <c r="JU35" s="532" t="str">
        <f t="shared" si="114"/>
        <v xml:space="preserve"> </v>
      </c>
      <c r="JV35" s="533" t="str">
        <f t="shared" si="115"/>
        <v xml:space="preserve"> </v>
      </c>
      <c r="JW35" s="534">
        <f t="shared" si="116"/>
        <v>0</v>
      </c>
      <c r="JX35" s="535" t="str">
        <f t="shared" si="207"/>
        <v xml:space="preserve"> </v>
      </c>
      <c r="JY35" s="535" t="str">
        <f t="shared" si="208"/>
        <v xml:space="preserve"> </v>
      </c>
      <c r="JZ35" s="535" t="str">
        <f t="shared" si="209"/>
        <v xml:space="preserve"> </v>
      </c>
      <c r="KA35" s="536" t="str">
        <f t="shared" si="117"/>
        <v xml:space="preserve"> </v>
      </c>
      <c r="KB35" s="535" t="e">
        <f t="shared" si="210"/>
        <v>#VALUE!</v>
      </c>
      <c r="KC35" s="535" t="str">
        <f t="shared" si="118"/>
        <v/>
      </c>
      <c r="KD35" s="537" t="str">
        <f t="shared" si="211"/>
        <v xml:space="preserve"> </v>
      </c>
      <c r="KE35" s="537" t="str">
        <f t="shared" si="212"/>
        <v xml:space="preserve"> </v>
      </c>
      <c r="KF35" s="534">
        <f t="shared" si="119"/>
        <v>0</v>
      </c>
      <c r="KG35" s="535" t="str">
        <f t="shared" si="120"/>
        <v xml:space="preserve"> </v>
      </c>
      <c r="KH35" s="535" t="str">
        <f t="shared" si="121"/>
        <v xml:space="preserve"> </v>
      </c>
      <c r="KI35" s="535" t="str">
        <f t="shared" si="122"/>
        <v xml:space="preserve"> </v>
      </c>
      <c r="KJ35" s="536" t="str">
        <f t="shared" si="123"/>
        <v xml:space="preserve"> </v>
      </c>
      <c r="KK35" s="535" t="str">
        <f t="shared" si="213"/>
        <v xml:space="preserve"> </v>
      </c>
      <c r="KL35" s="535" t="str">
        <f t="shared" si="214"/>
        <v xml:space="preserve"> </v>
      </c>
      <c r="KM35" s="537" t="str">
        <f t="shared" si="124"/>
        <v xml:space="preserve"> </v>
      </c>
      <c r="KN35" s="537" t="str">
        <f t="shared" si="215"/>
        <v xml:space="preserve"> </v>
      </c>
      <c r="KP35">
        <f t="shared" si="125"/>
        <v>0</v>
      </c>
      <c r="LA35" t="e">
        <f t="shared" si="126"/>
        <v>#VALUE!</v>
      </c>
      <c r="LB35" t="e">
        <f t="shared" si="127"/>
        <v>#VALUE!</v>
      </c>
      <c r="LC35" t="e">
        <f t="shared" si="128"/>
        <v>#VALUE!</v>
      </c>
      <c r="LD35" t="e">
        <f t="shared" si="129"/>
        <v>#VALUE!</v>
      </c>
      <c r="LE35" t="e">
        <f t="shared" si="216"/>
        <v>#VALUE!</v>
      </c>
      <c r="LF35">
        <f t="shared" si="130"/>
        <v>0</v>
      </c>
      <c r="LG35" t="e">
        <f t="shared" si="217"/>
        <v>#VALUE!</v>
      </c>
      <c r="LH35" t="str">
        <f t="shared" si="131"/>
        <v xml:space="preserve"> </v>
      </c>
      <c r="LI35">
        <f t="shared" si="218"/>
        <v>1</v>
      </c>
    </row>
    <row r="36" spans="2:321" ht="15" customHeight="1">
      <c r="B36" s="311"/>
      <c r="C36" s="311"/>
      <c r="D36" s="312"/>
      <c r="E36" s="311"/>
      <c r="F36" s="312"/>
      <c r="G36" s="311"/>
      <c r="H36" s="311"/>
      <c r="I36" s="37"/>
      <c r="J36" s="311"/>
      <c r="K36" s="305" t="str">
        <f t="shared" si="132"/>
        <v/>
      </c>
      <c r="L36" s="313"/>
      <c r="M36" s="312"/>
      <c r="N36" s="311"/>
      <c r="O36" s="312"/>
      <c r="P36" s="311"/>
      <c r="Q36" s="305" t="str">
        <f t="shared" si="133"/>
        <v/>
      </c>
      <c r="R36" s="314"/>
      <c r="S36" s="450" t="str">
        <f t="shared" si="0"/>
        <v/>
      </c>
      <c r="T36" s="315"/>
      <c r="U36" s="315"/>
      <c r="W36" s="149" t="str">
        <f t="shared" si="1"/>
        <v xml:space="preserve"> </v>
      </c>
      <c r="X36" s="243" t="str">
        <f t="shared" si="2"/>
        <v xml:space="preserve"> </v>
      </c>
      <c r="Y36" s="150" t="str">
        <f t="shared" si="3"/>
        <v/>
      </c>
      <c r="Z36" s="149" t="str">
        <f t="shared" si="4"/>
        <v xml:space="preserve"> </v>
      </c>
      <c r="AA36" s="98" t="str">
        <f t="shared" si="5"/>
        <v xml:space="preserve"> </v>
      </c>
      <c r="AB36" s="153" t="str">
        <f t="shared" si="6"/>
        <v xml:space="preserve"> </v>
      </c>
      <c r="AC36" s="153" t="str">
        <f t="shared" si="7"/>
        <v xml:space="preserve"> </v>
      </c>
      <c r="AD36" s="148" t="str">
        <f t="shared" si="8"/>
        <v/>
      </c>
      <c r="AE36" s="149" t="str">
        <f t="shared" si="9"/>
        <v/>
      </c>
      <c r="AF36" s="151" t="str">
        <f t="shared" si="10"/>
        <v xml:space="preserve"> </v>
      </c>
      <c r="AG36" s="153" t="str">
        <f t="shared" si="11"/>
        <v xml:space="preserve"> </v>
      </c>
      <c r="AH36" s="98" t="str">
        <f t="shared" si="12"/>
        <v xml:space="preserve"> </v>
      </c>
      <c r="AI36" s="149" t="str">
        <f t="shared" si="13"/>
        <v xml:space="preserve"> </v>
      </c>
      <c r="AK36" s="144" t="str">
        <f t="shared" si="14"/>
        <v xml:space="preserve"> </v>
      </c>
      <c r="AL36" s="144"/>
      <c r="AM36" s="243" t="str">
        <f t="shared" si="15"/>
        <v xml:space="preserve"> </v>
      </c>
      <c r="AN36" s="149" t="str">
        <f t="shared" si="134"/>
        <v xml:space="preserve"> </v>
      </c>
      <c r="AO36" s="144" t="str">
        <f>IF(JB36&gt;0,IF(GI36=10,-R36*1.085*(Calculation!$F$6-Calculation!$F$13)*$S$14," "),"")</f>
        <v/>
      </c>
      <c r="AP36" s="144" t="str">
        <f t="shared" si="16"/>
        <v/>
      </c>
      <c r="AQ36" s="56" t="str">
        <f t="shared" si="17"/>
        <v/>
      </c>
      <c r="AR36" s="144" t="str">
        <f t="shared" si="18"/>
        <v/>
      </c>
      <c r="AS36" s="176" t="str">
        <f t="shared" si="19"/>
        <v/>
      </c>
      <c r="AT36" s="176" t="str">
        <f t="shared" si="135"/>
        <v xml:space="preserve"> </v>
      </c>
      <c r="AU36" s="176" t="str">
        <f t="shared" si="20"/>
        <v/>
      </c>
      <c r="AV36" s="177" t="str">
        <f t="shared" si="21"/>
        <v xml:space="preserve"> </v>
      </c>
      <c r="AW36" s="144" t="str">
        <f t="shared" si="22"/>
        <v xml:space="preserve"> </v>
      </c>
      <c r="AX36" s="144" t="str">
        <f t="shared" si="23"/>
        <v xml:space="preserve"> </v>
      </c>
      <c r="AY36" s="152" t="str">
        <f t="shared" si="24"/>
        <v xml:space="preserve"> </v>
      </c>
      <c r="AZ36" s="246" t="str">
        <f t="shared" si="25"/>
        <v/>
      </c>
      <c r="BA36" s="176" t="str">
        <f t="shared" si="26"/>
        <v xml:space="preserve"> </v>
      </c>
      <c r="BB36" s="176" t="str">
        <f t="shared" si="27"/>
        <v xml:space="preserve"> </v>
      </c>
      <c r="BC36" s="195"/>
      <c r="BD36" s="316"/>
      <c r="BE36" s="317"/>
      <c r="BF36" s="318"/>
      <c r="BG36" s="318"/>
      <c r="BH36" s="144" t="str">
        <f t="shared" si="219"/>
        <v xml:space="preserve"> </v>
      </c>
      <c r="BI36" s="176" t="str">
        <f t="shared" si="28"/>
        <v/>
      </c>
      <c r="BJ36" s="144" t="str">
        <f t="shared" si="220"/>
        <v/>
      </c>
      <c r="BK36" s="246" t="str">
        <f t="shared" si="29"/>
        <v/>
      </c>
      <c r="BL36" s="144" t="str">
        <f t="shared" si="221"/>
        <v/>
      </c>
      <c r="BM36" s="246" t="str">
        <f t="shared" si="30"/>
        <v/>
      </c>
      <c r="BN36" s="337" t="str">
        <f t="shared" si="136"/>
        <v/>
      </c>
      <c r="BO36" s="371" t="str">
        <f t="shared" si="137"/>
        <v/>
      </c>
      <c r="BP36" s="328" t="str">
        <f t="shared" si="222"/>
        <v xml:space="preserve"> </v>
      </c>
      <c r="BQ36" s="347" t="str">
        <f t="shared" si="138"/>
        <v xml:space="preserve"> </v>
      </c>
      <c r="BR36" s="353" t="str">
        <f t="shared" si="223"/>
        <v xml:space="preserve"> </v>
      </c>
      <c r="BS36" s="626" t="str">
        <f>IF(L36&gt;0,IF(Calculation!P36="M13",BR36*3.1416*(0.134^2)/(4*144),IF(Calculation!P36="M17",BR36*3.1416*(0.165^2)/(4*144),IF(Calculation!P36="M20",BR36*3.1416*(0.198^2)/(4*144),IF(Calculation!P36="M23",BR36*3.1416*(0.228^2)/(4*144),IF(Calculation!P36="M27",BR36*3.1416*(0.269^2)/(4*144),BR36*3.1416*(0.307^2)/(4*144))))))," ")</f>
        <v xml:space="preserve"> </v>
      </c>
      <c r="BT36" s="353" t="str">
        <f>IF(L36&gt;0,IF(BS36&gt;0,R36/Calculation!BS36,0)," ")</f>
        <v xml:space="preserve"> </v>
      </c>
      <c r="BU36" s="438" t="e">
        <f t="shared" ca="1" si="31"/>
        <v>#VALUE!</v>
      </c>
      <c r="BV36" s="449" t="e">
        <f ca="1">INDEX(INDIRECT(VLOOKUP(LEFT(BO36,7),CLU!$Z$3:$AH$18,2)),GN36,GR36)</f>
        <v>#N/A</v>
      </c>
      <c r="BW36" s="433" t="e">
        <f ca="1">INDEX(INDIRECT(VLOOKUP(LEFT(BO36,7),CLU!$Z$3:$AH$18,3)),GN36,GR36)</f>
        <v>#N/A</v>
      </c>
      <c r="BX36" s="433" t="e">
        <f ca="1">INDEX(INDIRECT(VLOOKUP(LEFT(BO36,7),CLU!$Z$3:$AH$18,4)),GN36,GR36)</f>
        <v>#N/A</v>
      </c>
      <c r="BY36" s="433" t="e">
        <f ca="1">INDEX(INDIRECT(VLOOKUP(LEFT(BO36,7),CLU!$Z$3:$AH$18,9)),((M36-2)*(6-COUNTBLANK(GT36:GY36)))+GJ36)</f>
        <v>#N/A</v>
      </c>
      <c r="BZ36" s="426" t="e">
        <f t="shared" ca="1" si="139"/>
        <v>#N/A</v>
      </c>
      <c r="CA36" s="424" t="e">
        <f t="shared" ca="1" si="140"/>
        <v>#N/A</v>
      </c>
      <c r="CB36" s="429" t="e">
        <f ca="1">INDEX(INDIRECT(VLOOKUP(LEFT(BO36,7),CLU!$Z$3:$AH$18,2)),GN36,GS36)</f>
        <v>#N/A</v>
      </c>
      <c r="CC36" s="342" t="e">
        <f ca="1">INDEX(INDIRECT(VLOOKUP(LEFT(BO36,7),CLU!$Z$3:$AH$18,3)),GN36,GS36)</f>
        <v>#N/A</v>
      </c>
      <c r="CD36" s="342" t="e">
        <f ca="1">INDEX(INDIRECT(VLOOKUP(LEFT(BO36,7),CLU!$Z$3:$AH$18,4)),GN36,GS36)</f>
        <v>#N/A</v>
      </c>
      <c r="CE36" s="426" t="e">
        <f t="shared" ca="1" si="141"/>
        <v>#N/A</v>
      </c>
      <c r="CF36" s="440">
        <f t="shared" si="142"/>
        <v>0</v>
      </c>
      <c r="CG36" s="431" t="e">
        <f ca="1">INDEX(INDIRECT(VLOOKUP(LEFT(BO36,7),CLU!$Z$3:$AH$18,2)),GQ36,GR36)</f>
        <v>#N/A</v>
      </c>
      <c r="CH36" s="431" t="e">
        <f ca="1">INDEX(INDIRECT(VLOOKUP(LEFT(BO36,7),CLU!$Z$3:$AH$18,3)),GQ36,GR36)</f>
        <v>#N/A</v>
      </c>
      <c r="CI36" s="431" t="e">
        <f ca="1">INDEX(INDIRECT(VLOOKUP(LEFT(BO36,7),CLU!$Z$3:$AH$18,4)),GQ36,GR36)</f>
        <v>#N/A</v>
      </c>
      <c r="CJ36" s="448" t="e">
        <f t="shared" ca="1" si="143"/>
        <v>#N/A</v>
      </c>
      <c r="CK36" s="431" t="e">
        <f t="shared" ca="1" si="144"/>
        <v>#N/A</v>
      </c>
      <c r="CL36" s="440" t="e">
        <f t="shared" ca="1" si="145"/>
        <v>#N/A</v>
      </c>
      <c r="CM36" s="431" t="e">
        <f ca="1">INDEX(INDIRECT(VLOOKUP(LEFT(BO36,7),CLU!$Z$3:$AH$18,2)),GQ36,GS36)</f>
        <v>#N/A</v>
      </c>
      <c r="CN36" s="431" t="e">
        <f ca="1">INDEX(INDIRECT(VLOOKUP(LEFT(BO36,7),CLU!$Z$3:$AH$18,3)),GQ36,GS36)</f>
        <v>#N/A</v>
      </c>
      <c r="CO36" s="431" t="e">
        <f ca="1">INDEX(INDIRECT(VLOOKUP(LEFT(BO36,7),CLU!$Z$3:$AH$18,4)),GQ36,GS36)</f>
        <v>#N/A</v>
      </c>
      <c r="CP36" s="431" t="e">
        <f t="shared" ca="1" si="146"/>
        <v>#N/A</v>
      </c>
      <c r="CQ36" s="440">
        <f t="shared" si="147"/>
        <v>0</v>
      </c>
      <c r="CR36" s="51" t="e">
        <f t="shared" ca="1" si="148"/>
        <v>#N/A</v>
      </c>
      <c r="CS36" s="439" t="e">
        <f t="shared" ca="1" si="149"/>
        <v>#VALUE!</v>
      </c>
      <c r="CT36" s="51" t="e">
        <f t="shared" ca="1" si="150"/>
        <v>#VALUE!</v>
      </c>
      <c r="CU36" s="10"/>
      <c r="CV36" s="51" t="e">
        <f t="shared" ca="1" si="34"/>
        <v>#VALUE!</v>
      </c>
      <c r="CW36" s="51">
        <f t="shared" si="151"/>
        <v>0</v>
      </c>
      <c r="CX36" s="439" t="e">
        <f t="shared" ca="1" si="152"/>
        <v>#VALUE!</v>
      </c>
      <c r="CY36" s="51" t="e">
        <f t="shared" ca="1" si="153"/>
        <v>#VALUE!</v>
      </c>
      <c r="CZ36" s="10"/>
      <c r="DA36" s="51" t="e">
        <f t="shared" ca="1" si="154"/>
        <v>#VALUE!</v>
      </c>
      <c r="DB36" s="347" t="e">
        <f ca="1">INDEX(INDIRECT(VLOOKUP(LEFT(BO36,7),CLU!$Z$3:$AI$18,10)),((M36-2)*(6-COUNTBLANK(GT36:GY36)))+GJ36)*LI36</f>
        <v>#N/A</v>
      </c>
      <c r="DC36" s="347" t="str">
        <f>IF(L36&gt;0,((R36/Worksheet!$I$15)/DB36)^2," ")</f>
        <v xml:space="preserve"> </v>
      </c>
      <c r="DD36" s="602" t="str">
        <f t="shared" si="224"/>
        <v xml:space="preserve"> </v>
      </c>
      <c r="DE36" s="347" t="str">
        <f t="shared" si="35"/>
        <v xml:space="preserve"> </v>
      </c>
      <c r="DF36" s="356" t="e">
        <f ca="1">INDEX(INDIRECT(VLOOKUP(LEFT(BO36,7),CLU!$Z$3:$AH$18,8)),((M36-2)*(6-COUNTBLANK(GT36:GY36)))+GJ36)</f>
        <v>#N/A</v>
      </c>
      <c r="DG36" s="347" t="str">
        <f t="shared" si="36"/>
        <v xml:space="preserve"> </v>
      </c>
      <c r="DH36" s="357" t="str">
        <f t="shared" si="37"/>
        <v xml:space="preserve"> </v>
      </c>
      <c r="DI36" s="355" t="str">
        <f t="shared" si="38"/>
        <v xml:space="preserve"> </v>
      </c>
      <c r="DJ36" s="245" t="e">
        <f ca="1">INDEX(INDIRECT(VLOOKUP(LEFT(BO36,7),CLU!$Z$3:$AH$18,5)),GL36,GK36)</f>
        <v>#N/A</v>
      </c>
      <c r="DK36" s="245" t="e">
        <f ca="1">INDEX(INDIRECT(VLOOKUP(LEFT(BO36,7),CLU!$Z$3:$AH$18,6)),GL36,GK36)</f>
        <v>#N/A</v>
      </c>
      <c r="DL36" s="355">
        <f>(Calculation!R36*0.69143*(Calculation!$BQ$8-Calculation!$F$8))*$S$14</f>
        <v>0</v>
      </c>
      <c r="DM36" s="359" t="e">
        <f t="shared" si="160"/>
        <v>#VALUE!</v>
      </c>
      <c r="DN36" s="611">
        <f t="shared" si="161"/>
        <v>0</v>
      </c>
      <c r="DO36" s="359">
        <f t="shared" si="162"/>
        <v>100</v>
      </c>
      <c r="DP36" s="359">
        <f t="shared" si="163"/>
        <v>0</v>
      </c>
      <c r="DQ36" s="360"/>
      <c r="DR36" s="245" t="e">
        <f ca="1">INDEX(INDIRECT(VLOOKUP(LEFT(BO36,7),CLU!$Z$3:$AH$18,7)),M36-1,1)</f>
        <v>#N/A</v>
      </c>
      <c r="DS36" s="245" t="e">
        <f ca="1">INDEX(INDIRECT(VLOOKUP(LEFT(BO36,7),CLU!$Z$3:$AH$18,7)),M36-1,2)</f>
        <v>#N/A</v>
      </c>
      <c r="DT36" s="245" t="e">
        <f ca="1">INDEX(INDIRECT(VLOOKUP(LEFT(BO36,7),CLU!$Z$3:$AH$18,7)),M36-1,3)</f>
        <v>#N/A</v>
      </c>
      <c r="DU36" s="245" t="e">
        <f ca="1">INDEX(INDIRECT(VLOOKUP(LEFT(BO36,7),CLU!$Z$3:$AH$18,7)),M36-1,4)</f>
        <v>#N/A</v>
      </c>
      <c r="DV36" s="361" t="e">
        <f ca="1">INDEX(INDIRECT(VLOOKUP(LEFT(BO36,7),CLU!$Z$3:$AH$18,7)),M36-1,4+LEFT(DZ36,1)*0.5)</f>
        <v>#N/A</v>
      </c>
      <c r="DW36" s="245" t="e">
        <f ca="1">INDEX(INDIRECT(VLOOKUP(LEFT(BO36,7),CLU!$Z$3:$AH$18,7)),M36-1,8)</f>
        <v>#N/A</v>
      </c>
      <c r="DX36" s="361" t="str">
        <f t="shared" si="39"/>
        <v xml:space="preserve"> </v>
      </c>
      <c r="DY36" s="361" t="str">
        <f t="shared" si="40"/>
        <v xml:space="preserve"> </v>
      </c>
      <c r="DZ36" s="361" t="str">
        <f t="shared" si="41"/>
        <v xml:space="preserve"> </v>
      </c>
      <c r="EA36" s="362" t="str">
        <f t="shared" si="42"/>
        <v xml:space="preserve"> </v>
      </c>
      <c r="EB36" s="624" t="str">
        <f t="shared" si="168"/>
        <v xml:space="preserve"> </v>
      </c>
      <c r="EC36" s="361" t="e">
        <f ca="1">INDEX(INDIRECT(VLOOKUP(LEFT(BO36,7),CLU!$Z$3:$AH$18,7)),M36-1,4+LEFT(DZ36,1)*0.5)</f>
        <v>#N/A</v>
      </c>
      <c r="ED36" s="362" t="str">
        <f t="shared" si="43"/>
        <v xml:space="preserve"> </v>
      </c>
      <c r="EE36" s="361" t="str">
        <f t="shared" si="44"/>
        <v xml:space="preserve"> </v>
      </c>
      <c r="EF36" s="362" t="str">
        <f>IF(L36&gt;0,IF(BR36&gt;0,IF(EE36="2P",IF(Calculation!DZ36="2P",IF(Calculation!DS36=13.75,IF(Calculation!DR36=13,Worksheet!$BD$43,IF(Calculation!DR36=37,Worksheet!$BD$44,Worksheet!$BD$45)),IF(Calculation!DS36=10,IF(Calculation!DR36=18,Worksheet!$BD$29,IF(Calculation!DR36=30,Worksheet!$BD$30,IF(Calculation!DR36=42,Worksheet!$BD$31,IF(Calculation!DR36=54,Worksheet!$BD$32,IF(Calculation!DR36=66,Worksheet!$BD$33,IF(Calculation!DR36=78,Worksheet!$BD$34,IF(Calculation!DR36=90,Worksheet!$BD$35,IF(Calculation!DR36=102,Worksheet!$BD$36,Worksheet!$BD$37)))))))),IF(Calculation!DS36=12.5,IF(Calculation!DR36=18,Worksheet!$BD$38,IF(Calculation!DR36=Worksheet!$BD$39,IF(Calculation!DR36=42,Worksheet!$BD$40,IF(Calculation!DR36=54,Worksheet!$BD$41,Worksheet!$BD$42)))),IF(Calculation!DR36=18,Worksheet!$BD$11,IF(Calculation!DR36=30,Worksheet!$BD$12,IF(Calculation!DR36=42,Worksheet!$BD$13,IF(Calculation!DR36=54,Worksheet!$BD$14,IF(Calculation!DR36=66,Worksheet!$BD$15,IF(Calculation!DR36=78,Worksheet!$BD$16,IF(Calculation!DR36=90,Worksheet!$BD$17,IF(Calculation!DR36=102,Worksheet!$BD$18,Worksheet!$BD$19))))))))))),IF(Calculation!DS36=13.75,IF(Calculation!DR36=13,Worksheet!$BD$78,IF(Calculation!DR36=37,Worksheet!$BD$79,Worksheet!$BD$80)),IF(Calculation!DS36=10,IF(Calculation!DR36=18,Worksheet!$BD$64,IF(Calculation!DR36=30,Worksheet!$BD$65,IF(Calculation!DR36=42,Worksheet!$BD$66,IF(Calculation!DR36=54,Worksheet!$BD$68,IF(Calculation!DR36=66,Worksheet!$BD$68,IF(Calculation!DR36=78,Worksheet!$BD$69,IF(Calculation!DR36=90,Worksheet!$BD$70,IF(Calculation!DR36=102,Worksheet!$BD$71,Worksheet!$BD$72)))))))),IF(Calculation!DS36=12.5,IF(Calculation!DR36=18,Worksheet!$BD$73,IF(Calculation!DR36=Worksheet!$BD$74,IF(Calculation!DR36=42,Worksheet!$BD$75,IF(Calculation!DR36=54,Worksheet!$BD$76,Worksheet!$BD$77)))),IF(Calculation!DR36=18,Worksheet!$BD$55,IF(Calculation!DR36=30,Worksheet!$BD$56,IF(Calculation!DR36=42,Worksheet!$BD$57,IF(Calculation!DR36=54,Worksheet!$BD$58,IF(Calculation!DR36=66,Worksheet!$BD$59,IF(Calculation!DR36=78,Worksheet!$BD$60,IF(Calculation!DR36=90,Worksheet!$BD$61,IF(Calculation!DR36=102,Worksheet!$BD$62,Worksheet!$BD$63)))))))))))),5),0)," ")</f>
        <v xml:space="preserve"> </v>
      </c>
      <c r="EG36" s="361" t="str">
        <f t="shared" si="45"/>
        <v xml:space="preserve"> </v>
      </c>
      <c r="EH36" s="361" t="e">
        <f ca="1">INDEX(INDIRECT(VLOOKUP(LEFT(BO36,7),CLU!$Z$3:$AH$18,7)),M36-1,3+LEFT(DZ36,1))</f>
        <v>#N/A</v>
      </c>
      <c r="EI36" s="362" t="str">
        <f t="shared" si="46"/>
        <v xml:space="preserve"> </v>
      </c>
      <c r="EJ36" s="363" t="str">
        <f t="shared" si="47"/>
        <v xml:space="preserve"> </v>
      </c>
      <c r="EK36" s="363" t="str">
        <f t="shared" si="48"/>
        <v xml:space="preserve"> </v>
      </c>
      <c r="EL36" s="363" t="str">
        <f t="shared" si="49"/>
        <v xml:space="preserve"> </v>
      </c>
      <c r="EM36" s="362" t="str">
        <f>IF(L36&gt;0,IF(BR36&gt;0,(Calculation!T36/ED36)^2,0)," ")</f>
        <v xml:space="preserve"> </v>
      </c>
      <c r="EN36" s="362" t="str">
        <f>IF(L36&gt;0,IF(O36="2 Pipe (Cooling)","N/A",IF(BR36&gt;0,(Calculation!U36/EI36)^2,0))," ")</f>
        <v xml:space="preserve"> </v>
      </c>
      <c r="EO36" s="361" t="str">
        <f t="shared" si="50"/>
        <v/>
      </c>
      <c r="EP36" s="361" t="str">
        <f t="shared" si="51"/>
        <v/>
      </c>
      <c r="EQ36" s="361" t="str">
        <f t="shared" si="52"/>
        <v/>
      </c>
      <c r="ER36" s="361" t="str">
        <f t="shared" si="53"/>
        <v/>
      </c>
      <c r="ES36" s="361" t="str">
        <f t="shared" si="54"/>
        <v/>
      </c>
      <c r="ET36" s="361" t="str">
        <f t="shared" si="55"/>
        <v/>
      </c>
      <c r="EU36" s="361" t="str">
        <f t="shared" si="56"/>
        <v/>
      </c>
      <c r="EV36" s="361" t="str">
        <f t="shared" si="57"/>
        <v/>
      </c>
      <c r="EW36" s="361" t="str">
        <f t="shared" si="58"/>
        <v/>
      </c>
      <c r="EX36" s="361" t="str">
        <f t="shared" si="169"/>
        <v>1 slot, 1 way</v>
      </c>
      <c r="EY36" s="361" t="str">
        <f t="shared" si="170"/>
        <v xml:space="preserve"> </v>
      </c>
      <c r="EZ36" s="361" t="str">
        <f t="shared" si="171"/>
        <v xml:space="preserve"> </v>
      </c>
      <c r="FA36" s="361" t="str">
        <f t="shared" si="172"/>
        <v xml:space="preserve"> </v>
      </c>
      <c r="FB36" s="361" t="str">
        <f t="shared" si="173"/>
        <v xml:space="preserve"> </v>
      </c>
      <c r="FC36" s="361"/>
      <c r="FD36" s="361" t="str">
        <f>IF(J36&gt;0,IF(Calculation!R36&lt;=70,4,IF(Calculation!R36&lt;=110,5,IF(Calculation!R36&lt;=160,6,IF(Calculation!R36&lt;=300,8,"10 EO")))),"")</f>
        <v/>
      </c>
      <c r="FE36" s="361" t="str">
        <f t="shared" si="174"/>
        <v/>
      </c>
      <c r="FF36" s="361" t="str">
        <f t="shared" si="175"/>
        <v/>
      </c>
      <c r="FG36" s="361" t="e">
        <f t="shared" si="60"/>
        <v>#N/A</v>
      </c>
      <c r="FH36" s="361">
        <f t="shared" si="61"/>
        <v>0</v>
      </c>
      <c r="FI36" s="361" t="e">
        <f t="shared" si="62"/>
        <v>#DIV/0!</v>
      </c>
      <c r="FJ36" s="361"/>
      <c r="FK36" s="356" t="e">
        <f t="shared" si="63"/>
        <v>#VALUE!</v>
      </c>
      <c r="FL36" s="361"/>
      <c r="FM36" s="361"/>
      <c r="FN36" s="362" t="str">
        <f t="shared" si="176"/>
        <v xml:space="preserve"> </v>
      </c>
      <c r="FO36" s="362" t="str">
        <f t="shared" si="177"/>
        <v xml:space="preserve"> </v>
      </c>
      <c r="FP36" s="362">
        <f t="shared" si="178"/>
        <v>0</v>
      </c>
      <c r="FQ36" s="361">
        <f t="shared" si="64"/>
        <v>0</v>
      </c>
      <c r="FR36" s="362" t="str">
        <f>IF(L36&gt;0,IF(J36="CBAL2",Worksheet!$P$67,IF(J36="CBE2-24",Worksheet!$Q$67,IF(J36="CBAM",Worksheet!$R$67,IF(J36="CBLV",Worksheet!$S$67,IF(J36="CBAB",Worksheet!$U$67,IF(J36="CBAW",Worksheet!$X$67,IF(J36="CBE2-12",Worksheet!$Y$67,IF(J36="CBAL2",Worksheet!$Z$67,"N/A"))))))))," ")</f>
        <v xml:space="preserve"> </v>
      </c>
      <c r="FS36" s="362" t="str">
        <f>IF(L36&gt;0,IF(J36="CBAL2",Worksheet!$P$68,IF(J36="CBE2-24",Worksheet!$Q$68,IF(J36="CBAM",Worksheet!$R$68,IF(J36="CBLV",Worksheet!$S$68,IF(J36="CBAB",Worksheet!$U$68,IF(J36="CBAW",Worksheet!$X$68,IF(J36="CBE2-12",Worksheet!$Y$68,IF(J36="CBAL2",Worksheet!$Z$68,"N/A"))))))))," ")</f>
        <v xml:space="preserve"> </v>
      </c>
      <c r="FT36" s="362" t="str">
        <f>IF(L36&gt;0,IF(J36="CBAL2",Worksheet!$P$69,IF(J36="CBE2-24",Worksheet!$Q$69,IF(J36="CBAM",Worksheet!$R$69,IF(J36="CBLV",Worksheet!$S$69,IF(J36="CBAB",Worksheet!$U$69,IF(J36="CBAW",Worksheet!$X$69,IF(J36="CBE2-12",Worksheet!$Y$69,IF(J36="CBAL2",Worksheet!$Z$69,"N/A"))))))))," ")</f>
        <v xml:space="preserve"> </v>
      </c>
      <c r="FU36" s="361" t="str">
        <f t="shared" si="179"/>
        <v xml:space="preserve"> </v>
      </c>
      <c r="FV36" s="362" t="str">
        <f t="shared" si="180"/>
        <v xml:space="preserve"> </v>
      </c>
      <c r="FW36" s="362" t="str">
        <f t="shared" si="181"/>
        <v xml:space="preserve"> </v>
      </c>
      <c r="FX36" s="362" t="str">
        <f t="shared" si="182"/>
        <v xml:space="preserve"> </v>
      </c>
      <c r="FY36" s="355" t="str">
        <f t="shared" si="183"/>
        <v xml:space="preserve"> </v>
      </c>
      <c r="FZ36" s="361" t="str">
        <f t="shared" si="184"/>
        <v xml:space="preserve"> </v>
      </c>
      <c r="GA36" s="347" t="str">
        <f t="shared" si="185"/>
        <v xml:space="preserve"> </v>
      </c>
      <c r="GB36" s="355" t="str">
        <f t="shared" si="186"/>
        <v xml:space="preserve"> </v>
      </c>
      <c r="GC36" s="328" t="str">
        <f t="shared" si="187"/>
        <v xml:space="preserve"> </v>
      </c>
      <c r="GD36" s="361" t="str">
        <f t="shared" si="188"/>
        <v xml:space="preserve"> </v>
      </c>
      <c r="GE36" s="347" t="str">
        <f t="shared" si="189"/>
        <v xml:space="preserve"> </v>
      </c>
      <c r="GF36" s="361" t="str">
        <f t="shared" si="190"/>
        <v xml:space="preserve"> </v>
      </c>
      <c r="GG36" s="347" t="str">
        <f t="shared" si="191"/>
        <v xml:space="preserve"> </v>
      </c>
      <c r="GH36" s="364">
        <f t="shared" si="78"/>
        <v>0</v>
      </c>
      <c r="GI36" s="362">
        <f t="shared" si="192"/>
        <v>2</v>
      </c>
      <c r="GJ36" s="433" t="e">
        <f>IF(6-COUNTBLANK(GT36:GY36)=4,MATCH(MID(BO36,9,3),CLU!$H$16:$K$16),MATCH(MID(BO36,9,3),CLU!$H$13:$M$13))</f>
        <v>#N/A</v>
      </c>
      <c r="GK36" s="433" t="e">
        <f>HLOOKUP(VALUE(BP36),CLU!$H$9:$M$10,2)</f>
        <v>#VALUE!</v>
      </c>
      <c r="GL36" s="433" t="e">
        <f ca="1">MATCH(BU36,CLU!$H$2:$V$2,1)</f>
        <v>#VALUE!</v>
      </c>
      <c r="GM36" s="433" t="e">
        <f t="shared" ca="1" si="193"/>
        <v>#VALUE!</v>
      </c>
      <c r="GN36" s="433" t="e">
        <f t="shared" ca="1" si="194"/>
        <v>#VALUE!</v>
      </c>
      <c r="GO36" s="433" t="e">
        <f t="shared" ca="1" si="195"/>
        <v>#VALUE!</v>
      </c>
      <c r="GP36" s="433" t="e">
        <f t="shared" ca="1" si="196"/>
        <v>#VALUE!</v>
      </c>
      <c r="GQ36" s="433" t="e">
        <f t="shared" ca="1" si="197"/>
        <v>#VALUE!</v>
      </c>
      <c r="GR36" s="433" t="e">
        <f ca="1">MATCH(T36,INDIRECT(VLOOKUP(CONCATENATE(LEFT(BO36,7),"-",MID(BO36,13,1)),CLU!$P$3:$Q$16,2)),1)</f>
        <v>#N/A</v>
      </c>
      <c r="GS36" s="433" t="e">
        <f ca="1">MATCH(U36,INDIRECT(VLOOKUP(CONCATENATE(LEFT(BO36,7),"-",MID(BO36,13,1)),CLU!$P$3:$Q$16,2)),1)</f>
        <v>#N/A</v>
      </c>
      <c r="GT36" s="347" t="s">
        <v>512</v>
      </c>
      <c r="GU36" s="97" t="s">
        <v>513</v>
      </c>
      <c r="GV36" s="97" t="str">
        <f t="shared" si="198"/>
        <v>M23</v>
      </c>
      <c r="GW36" s="97" t="str">
        <f t="shared" si="199"/>
        <v>M31</v>
      </c>
      <c r="GX36" s="97" t="str">
        <f t="shared" si="200"/>
        <v/>
      </c>
      <c r="GY36" s="97" t="str">
        <f t="shared" si="201"/>
        <v/>
      </c>
      <c r="GZ36" s="481"/>
      <c r="HA36" s="288"/>
      <c r="HB36" s="240"/>
      <c r="HC36" s="240"/>
      <c r="HD36" s="240"/>
      <c r="HE36" s="240"/>
      <c r="HF36" s="240"/>
      <c r="HG36" s="240"/>
      <c r="HH36" s="240"/>
      <c r="HI36" s="240"/>
      <c r="HJ36" s="240"/>
      <c r="HK36" s="240"/>
      <c r="HL36" s="240"/>
      <c r="HM36" s="240"/>
      <c r="HN36" s="240"/>
      <c r="HO36" s="240"/>
      <c r="HP36" s="240"/>
      <c r="HQ36" s="240"/>
      <c r="HR36" s="240"/>
      <c r="HS36" s="240"/>
      <c r="HT36" s="240"/>
      <c r="HU36" s="240"/>
      <c r="HV36" s="245"/>
      <c r="HW36" s="245" t="b">
        <v>1</v>
      </c>
      <c r="HX36" s="245" t="str">
        <f t="shared" si="79"/>
        <v/>
      </c>
      <c r="HY36" s="245" t="e">
        <f t="shared" si="80"/>
        <v>#DIV/0!</v>
      </c>
      <c r="HZ36" s="245" t="e">
        <f t="shared" si="81"/>
        <v>#DIV/0!</v>
      </c>
      <c r="IA36" s="245">
        <f t="shared" si="82"/>
        <v>0</v>
      </c>
      <c r="IB36" s="245"/>
      <c r="IC36" t="b">
        <f t="shared" si="83"/>
        <v>1</v>
      </c>
      <c r="ID36" s="245" t="b">
        <f t="shared" si="84"/>
        <v>1</v>
      </c>
      <c r="IE36" s="245" t="b">
        <f t="shared" si="85"/>
        <v>1</v>
      </c>
      <c r="IF36" s="245" t="b">
        <f t="shared" si="86"/>
        <v>0</v>
      </c>
      <c r="IG36" s="245" t="b">
        <f t="shared" si="87"/>
        <v>1</v>
      </c>
      <c r="IH36" s="245" t="b">
        <f t="shared" si="88"/>
        <v>1</v>
      </c>
      <c r="II36" s="245">
        <f t="shared" si="202"/>
        <v>0</v>
      </c>
      <c r="IJ36" s="245" t="e">
        <f t="shared" si="89"/>
        <v>#VALUE!</v>
      </c>
      <c r="IK36" s="245" t="e">
        <f t="shared" si="90"/>
        <v>#VALUE!</v>
      </c>
      <c r="IL36" s="245"/>
      <c r="IM36" s="245" t="e">
        <f t="shared" si="203"/>
        <v>#N/A</v>
      </c>
      <c r="IN36" s="245" t="e">
        <f t="shared" si="204"/>
        <v>#N/A</v>
      </c>
      <c r="IO36" s="245"/>
      <c r="IP36" s="245"/>
      <c r="IQ36" s="245" t="str">
        <f t="shared" si="91"/>
        <v/>
      </c>
      <c r="IR36" s="245" t="str">
        <f>IF(J36="","",VLOOKUP(J36,Worksheet!$R$4:$T$14,2))</f>
        <v/>
      </c>
      <c r="IS36" s="245"/>
      <c r="IT36" s="245">
        <f t="shared" si="92"/>
        <v>0</v>
      </c>
      <c r="IU36" s="245">
        <f t="shared" si="93"/>
        <v>0</v>
      </c>
      <c r="IV36" s="245">
        <f t="shared" si="94"/>
        <v>0</v>
      </c>
      <c r="IW36" s="245">
        <f t="shared" si="95"/>
        <v>0</v>
      </c>
      <c r="IX36" s="245">
        <f t="shared" si="205"/>
        <v>0</v>
      </c>
      <c r="IY36" s="245">
        <f t="shared" si="96"/>
        <v>0</v>
      </c>
      <c r="IZ36" s="245">
        <f t="shared" si="97"/>
        <v>0</v>
      </c>
      <c r="JA36">
        <f t="shared" si="98"/>
        <v>0</v>
      </c>
      <c r="JB36">
        <f t="shared" si="206"/>
        <v>0</v>
      </c>
      <c r="JC36">
        <f t="shared" si="99"/>
        <v>0</v>
      </c>
      <c r="JD36">
        <f t="shared" si="100"/>
        <v>0</v>
      </c>
      <c r="JE36">
        <f t="shared" si="101"/>
        <v>0</v>
      </c>
      <c r="JF36">
        <f t="shared" si="102"/>
        <v>0</v>
      </c>
      <c r="JG36">
        <f t="shared" si="103"/>
        <v>0</v>
      </c>
      <c r="JH36">
        <f t="shared" si="104"/>
        <v>0</v>
      </c>
      <c r="JI36">
        <f t="shared" si="105"/>
        <v>0</v>
      </c>
      <c r="JJ36" s="447">
        <f t="shared" si="106"/>
        <v>0</v>
      </c>
      <c r="JK36" s="447">
        <f t="shared" si="107"/>
        <v>0</v>
      </c>
      <c r="JL36">
        <f t="shared" si="108"/>
        <v>0</v>
      </c>
      <c r="JM36" s="245" t="str">
        <f>IFERROR(VLOOKUP(MATCH(BN36,#REF!,0),#REF!,7),"")</f>
        <v/>
      </c>
      <c r="JN36" t="e">
        <f>HLOOKUP(LEFT(BO36,7),Discharge_Area,MATCH(JO36,LookUps!$B$130:$B$149,1)+2)</f>
        <v>#N/A</v>
      </c>
      <c r="JO36" t="str">
        <f t="shared" si="109"/>
        <v>- S</v>
      </c>
      <c r="JP36" t="e">
        <f>HLOOKUP(LEFT(BO36,7),Discharge_Area,MATCH(JO36,LookUps!$B$130:$B$149,1)+2)</f>
        <v>#N/A</v>
      </c>
      <c r="JQ36" t="e">
        <f t="shared" si="110"/>
        <v>#N/A</v>
      </c>
      <c r="JR36" t="e">
        <f t="shared" si="111"/>
        <v>#N/A</v>
      </c>
      <c r="JS36" t="e">
        <f t="shared" si="112"/>
        <v>#N/A</v>
      </c>
      <c r="JT36" s="532" t="str">
        <f t="shared" si="113"/>
        <v xml:space="preserve"> </v>
      </c>
      <c r="JU36" s="532" t="str">
        <f t="shared" si="114"/>
        <v xml:space="preserve"> </v>
      </c>
      <c r="JV36" s="533" t="str">
        <f t="shared" si="115"/>
        <v xml:space="preserve"> </v>
      </c>
      <c r="JW36" s="534">
        <f t="shared" si="116"/>
        <v>0</v>
      </c>
      <c r="JX36" s="535" t="str">
        <f t="shared" si="207"/>
        <v xml:space="preserve"> </v>
      </c>
      <c r="JY36" s="535" t="str">
        <f t="shared" si="208"/>
        <v xml:space="preserve"> </v>
      </c>
      <c r="JZ36" s="535" t="str">
        <f t="shared" si="209"/>
        <v xml:space="preserve"> </v>
      </c>
      <c r="KA36" s="536" t="str">
        <f t="shared" si="117"/>
        <v xml:space="preserve"> </v>
      </c>
      <c r="KB36" s="535" t="e">
        <f t="shared" si="210"/>
        <v>#VALUE!</v>
      </c>
      <c r="KC36" s="535" t="str">
        <f t="shared" si="118"/>
        <v/>
      </c>
      <c r="KD36" s="537" t="str">
        <f t="shared" si="211"/>
        <v xml:space="preserve"> </v>
      </c>
      <c r="KE36" s="537" t="str">
        <f t="shared" si="212"/>
        <v xml:space="preserve"> </v>
      </c>
      <c r="KF36" s="534">
        <f t="shared" si="119"/>
        <v>0</v>
      </c>
      <c r="KG36" s="535" t="str">
        <f t="shared" si="120"/>
        <v xml:space="preserve"> </v>
      </c>
      <c r="KH36" s="535" t="str">
        <f t="shared" si="121"/>
        <v xml:space="preserve"> </v>
      </c>
      <c r="KI36" s="535" t="str">
        <f t="shared" si="122"/>
        <v xml:space="preserve"> </v>
      </c>
      <c r="KJ36" s="536" t="str">
        <f t="shared" si="123"/>
        <v xml:space="preserve"> </v>
      </c>
      <c r="KK36" s="535" t="str">
        <f t="shared" si="213"/>
        <v xml:space="preserve"> </v>
      </c>
      <c r="KL36" s="535" t="str">
        <f t="shared" si="214"/>
        <v xml:space="preserve"> </v>
      </c>
      <c r="KM36" s="537" t="str">
        <f t="shared" si="124"/>
        <v xml:space="preserve"> </v>
      </c>
      <c r="KN36" s="537" t="str">
        <f t="shared" si="215"/>
        <v xml:space="preserve"> </v>
      </c>
      <c r="KP36">
        <f t="shared" si="125"/>
        <v>0</v>
      </c>
      <c r="LA36" t="e">
        <f t="shared" si="126"/>
        <v>#VALUE!</v>
      </c>
      <c r="LB36" t="e">
        <f t="shared" si="127"/>
        <v>#VALUE!</v>
      </c>
      <c r="LC36" t="e">
        <f t="shared" si="128"/>
        <v>#VALUE!</v>
      </c>
      <c r="LD36" t="e">
        <f t="shared" si="129"/>
        <v>#VALUE!</v>
      </c>
      <c r="LE36" t="e">
        <f t="shared" si="216"/>
        <v>#VALUE!</v>
      </c>
      <c r="LF36">
        <f t="shared" si="130"/>
        <v>0</v>
      </c>
      <c r="LG36" t="e">
        <f t="shared" si="217"/>
        <v>#VALUE!</v>
      </c>
      <c r="LH36" t="str">
        <f t="shared" si="131"/>
        <v xml:space="preserve"> </v>
      </c>
      <c r="LI36">
        <f t="shared" si="218"/>
        <v>1</v>
      </c>
    </row>
    <row r="37" spans="2:321" ht="15" customHeight="1">
      <c r="B37" s="311"/>
      <c r="C37" s="311"/>
      <c r="D37" s="312"/>
      <c r="E37" s="311"/>
      <c r="F37" s="312"/>
      <c r="G37" s="311"/>
      <c r="H37" s="311"/>
      <c r="I37" s="37"/>
      <c r="J37" s="311"/>
      <c r="K37" s="305" t="str">
        <f t="shared" si="132"/>
        <v/>
      </c>
      <c r="L37" s="313"/>
      <c r="M37" s="312"/>
      <c r="N37" s="311"/>
      <c r="O37" s="312"/>
      <c r="P37" s="311"/>
      <c r="Q37" s="305" t="str">
        <f t="shared" si="133"/>
        <v/>
      </c>
      <c r="R37" s="314"/>
      <c r="S37" s="450" t="str">
        <f t="shared" si="0"/>
        <v/>
      </c>
      <c r="T37" s="315"/>
      <c r="U37" s="315"/>
      <c r="W37" s="149" t="str">
        <f t="shared" si="1"/>
        <v xml:space="preserve"> </v>
      </c>
      <c r="X37" s="243" t="str">
        <f t="shared" si="2"/>
        <v xml:space="preserve"> </v>
      </c>
      <c r="Y37" s="150" t="str">
        <f t="shared" si="3"/>
        <v/>
      </c>
      <c r="Z37" s="149" t="str">
        <f t="shared" si="4"/>
        <v xml:space="preserve"> </v>
      </c>
      <c r="AA37" s="98" t="str">
        <f t="shared" si="5"/>
        <v xml:space="preserve"> </v>
      </c>
      <c r="AB37" s="153" t="str">
        <f t="shared" si="6"/>
        <v xml:space="preserve"> </v>
      </c>
      <c r="AC37" s="153" t="str">
        <f t="shared" si="7"/>
        <v xml:space="preserve"> </v>
      </c>
      <c r="AD37" s="148" t="str">
        <f t="shared" si="8"/>
        <v/>
      </c>
      <c r="AE37" s="149" t="str">
        <f t="shared" si="9"/>
        <v/>
      </c>
      <c r="AF37" s="151" t="str">
        <f t="shared" si="10"/>
        <v xml:space="preserve"> </v>
      </c>
      <c r="AG37" s="153" t="str">
        <f t="shared" si="11"/>
        <v xml:space="preserve"> </v>
      </c>
      <c r="AH37" s="98" t="str">
        <f t="shared" si="12"/>
        <v xml:space="preserve"> </v>
      </c>
      <c r="AI37" s="149" t="str">
        <f t="shared" si="13"/>
        <v xml:space="preserve"> </v>
      </c>
      <c r="AK37" s="144" t="str">
        <f t="shared" si="14"/>
        <v xml:space="preserve"> </v>
      </c>
      <c r="AL37" s="144"/>
      <c r="AM37" s="243" t="str">
        <f t="shared" si="15"/>
        <v xml:space="preserve"> </v>
      </c>
      <c r="AN37" s="149" t="str">
        <f t="shared" si="134"/>
        <v xml:space="preserve"> </v>
      </c>
      <c r="AO37" s="144" t="str">
        <f>IF(JB37&gt;0,IF(GI37=10,-R37*1.085*(Calculation!$F$6-Calculation!$F$13)*$S$14," "),"")</f>
        <v/>
      </c>
      <c r="AP37" s="144" t="str">
        <f t="shared" si="16"/>
        <v/>
      </c>
      <c r="AQ37" s="56" t="str">
        <f t="shared" si="17"/>
        <v/>
      </c>
      <c r="AR37" s="144" t="str">
        <f t="shared" si="18"/>
        <v/>
      </c>
      <c r="AS37" s="176" t="str">
        <f t="shared" si="19"/>
        <v/>
      </c>
      <c r="AT37" s="176" t="str">
        <f t="shared" si="135"/>
        <v xml:space="preserve"> </v>
      </c>
      <c r="AU37" s="176" t="str">
        <f t="shared" si="20"/>
        <v/>
      </c>
      <c r="AV37" s="177" t="str">
        <f t="shared" si="21"/>
        <v xml:space="preserve"> </v>
      </c>
      <c r="AW37" s="144" t="str">
        <f t="shared" si="22"/>
        <v xml:space="preserve"> </v>
      </c>
      <c r="AX37" s="144" t="str">
        <f t="shared" si="23"/>
        <v xml:space="preserve"> </v>
      </c>
      <c r="AY37" s="152" t="str">
        <f t="shared" si="24"/>
        <v xml:space="preserve"> </v>
      </c>
      <c r="AZ37" s="246" t="str">
        <f t="shared" si="25"/>
        <v/>
      </c>
      <c r="BA37" s="176" t="str">
        <f t="shared" si="26"/>
        <v xml:space="preserve"> </v>
      </c>
      <c r="BB37" s="176" t="str">
        <f t="shared" si="27"/>
        <v xml:space="preserve"> </v>
      </c>
      <c r="BC37" s="195"/>
      <c r="BD37" s="316"/>
      <c r="BE37" s="317"/>
      <c r="BF37" s="318"/>
      <c r="BG37" s="318"/>
      <c r="BH37" s="144" t="str">
        <f t="shared" si="219"/>
        <v xml:space="preserve"> </v>
      </c>
      <c r="BI37" s="176" t="str">
        <f t="shared" si="28"/>
        <v/>
      </c>
      <c r="BJ37" s="144" t="str">
        <f t="shared" si="220"/>
        <v/>
      </c>
      <c r="BK37" s="246" t="str">
        <f t="shared" si="29"/>
        <v/>
      </c>
      <c r="BL37" s="144" t="str">
        <f t="shared" si="221"/>
        <v/>
      </c>
      <c r="BM37" s="246" t="str">
        <f t="shared" si="30"/>
        <v/>
      </c>
      <c r="BN37" s="337" t="str">
        <f t="shared" si="136"/>
        <v/>
      </c>
      <c r="BO37" s="371" t="str">
        <f t="shared" si="137"/>
        <v/>
      </c>
      <c r="BP37" s="328" t="str">
        <f t="shared" si="222"/>
        <v xml:space="preserve"> </v>
      </c>
      <c r="BQ37" s="347" t="str">
        <f t="shared" si="138"/>
        <v xml:space="preserve"> </v>
      </c>
      <c r="BR37" s="353" t="str">
        <f t="shared" si="223"/>
        <v xml:space="preserve"> </v>
      </c>
      <c r="BS37" s="626" t="str">
        <f>IF(L37&gt;0,IF(Calculation!P37="M13",BR37*3.1416*(0.134^2)/(4*144),IF(Calculation!P37="M17",BR37*3.1416*(0.165^2)/(4*144),IF(Calculation!P37="M20",BR37*3.1416*(0.198^2)/(4*144),IF(Calculation!P37="M23",BR37*3.1416*(0.228^2)/(4*144),IF(Calculation!P37="M27",BR37*3.1416*(0.269^2)/(4*144),BR37*3.1416*(0.307^2)/(4*144))))))," ")</f>
        <v xml:space="preserve"> </v>
      </c>
      <c r="BT37" s="353" t="str">
        <f>IF(L37&gt;0,IF(BS37&gt;0,R37/Calculation!BS37,0)," ")</f>
        <v xml:space="preserve"> </v>
      </c>
      <c r="BU37" s="438" t="e">
        <f t="shared" ca="1" si="31"/>
        <v>#VALUE!</v>
      </c>
      <c r="BV37" s="449" t="e">
        <f ca="1">INDEX(INDIRECT(VLOOKUP(LEFT(BO37,7),CLU!$Z$3:$AH$18,2)),GN37,GR37)</f>
        <v>#N/A</v>
      </c>
      <c r="BW37" s="433" t="e">
        <f ca="1">INDEX(INDIRECT(VLOOKUP(LEFT(BO37,7),CLU!$Z$3:$AH$18,3)),GN37,GR37)</f>
        <v>#N/A</v>
      </c>
      <c r="BX37" s="433" t="e">
        <f ca="1">INDEX(INDIRECT(VLOOKUP(LEFT(BO37,7),CLU!$Z$3:$AH$18,4)),GN37,GR37)</f>
        <v>#N/A</v>
      </c>
      <c r="BY37" s="433" t="e">
        <f ca="1">INDEX(INDIRECT(VLOOKUP(LEFT(BO37,7),CLU!$Z$3:$AH$18,9)),((M37-2)*(6-COUNTBLANK(GT37:GY37)))+GJ37)</f>
        <v>#N/A</v>
      </c>
      <c r="BZ37" s="426" t="e">
        <f t="shared" ca="1" si="139"/>
        <v>#N/A</v>
      </c>
      <c r="CA37" s="424" t="e">
        <f t="shared" ca="1" si="140"/>
        <v>#N/A</v>
      </c>
      <c r="CB37" s="429" t="e">
        <f ca="1">INDEX(INDIRECT(VLOOKUP(LEFT(BO37,7),CLU!$Z$3:$AH$18,2)),GN37,GS37)</f>
        <v>#N/A</v>
      </c>
      <c r="CC37" s="342" t="e">
        <f ca="1">INDEX(INDIRECT(VLOOKUP(LEFT(BO37,7),CLU!$Z$3:$AH$18,3)),GN37,GS37)</f>
        <v>#N/A</v>
      </c>
      <c r="CD37" s="342" t="e">
        <f ca="1">INDEX(INDIRECT(VLOOKUP(LEFT(BO37,7),CLU!$Z$3:$AH$18,4)),GN37,GS37)</f>
        <v>#N/A</v>
      </c>
      <c r="CE37" s="426" t="e">
        <f t="shared" ca="1" si="141"/>
        <v>#N/A</v>
      </c>
      <c r="CF37" s="440">
        <f t="shared" si="142"/>
        <v>0</v>
      </c>
      <c r="CG37" s="431" t="e">
        <f ca="1">INDEX(INDIRECT(VLOOKUP(LEFT(BO37,7),CLU!$Z$3:$AH$18,2)),GQ37,GR37)</f>
        <v>#N/A</v>
      </c>
      <c r="CH37" s="431" t="e">
        <f ca="1">INDEX(INDIRECT(VLOOKUP(LEFT(BO37,7),CLU!$Z$3:$AH$18,3)),GQ37,GR37)</f>
        <v>#N/A</v>
      </c>
      <c r="CI37" s="431" t="e">
        <f ca="1">INDEX(INDIRECT(VLOOKUP(LEFT(BO37,7),CLU!$Z$3:$AH$18,4)),GQ37,GR37)</f>
        <v>#N/A</v>
      </c>
      <c r="CJ37" s="448" t="e">
        <f t="shared" ca="1" si="143"/>
        <v>#N/A</v>
      </c>
      <c r="CK37" s="431" t="e">
        <f t="shared" ca="1" si="144"/>
        <v>#N/A</v>
      </c>
      <c r="CL37" s="440" t="e">
        <f t="shared" ca="1" si="145"/>
        <v>#N/A</v>
      </c>
      <c r="CM37" s="431" t="e">
        <f ca="1">INDEX(INDIRECT(VLOOKUP(LEFT(BO37,7),CLU!$Z$3:$AH$18,2)),GQ37,GS37)</f>
        <v>#N/A</v>
      </c>
      <c r="CN37" s="431" t="e">
        <f ca="1">INDEX(INDIRECT(VLOOKUP(LEFT(BO37,7),CLU!$Z$3:$AH$18,3)),GQ37,GS37)</f>
        <v>#N/A</v>
      </c>
      <c r="CO37" s="431" t="e">
        <f ca="1">INDEX(INDIRECT(VLOOKUP(LEFT(BO37,7),CLU!$Z$3:$AH$18,4)),GQ37,GS37)</f>
        <v>#N/A</v>
      </c>
      <c r="CP37" s="431" t="e">
        <f t="shared" ca="1" si="146"/>
        <v>#N/A</v>
      </c>
      <c r="CQ37" s="440">
        <f t="shared" si="147"/>
        <v>0</v>
      </c>
      <c r="CR37" s="51" t="e">
        <f t="shared" ca="1" si="148"/>
        <v>#N/A</v>
      </c>
      <c r="CS37" s="439" t="e">
        <f t="shared" ca="1" si="149"/>
        <v>#VALUE!</v>
      </c>
      <c r="CT37" s="51" t="e">
        <f t="shared" ca="1" si="150"/>
        <v>#VALUE!</v>
      </c>
      <c r="CU37" s="10"/>
      <c r="CV37" s="51" t="e">
        <f t="shared" ca="1" si="34"/>
        <v>#VALUE!</v>
      </c>
      <c r="CW37" s="51">
        <f t="shared" si="151"/>
        <v>0</v>
      </c>
      <c r="CX37" s="439" t="e">
        <f t="shared" ca="1" si="152"/>
        <v>#VALUE!</v>
      </c>
      <c r="CY37" s="51" t="e">
        <f t="shared" ca="1" si="153"/>
        <v>#VALUE!</v>
      </c>
      <c r="CZ37" s="10"/>
      <c r="DA37" s="51" t="e">
        <f t="shared" ca="1" si="154"/>
        <v>#VALUE!</v>
      </c>
      <c r="DB37" s="347" t="e">
        <f ca="1">INDEX(INDIRECT(VLOOKUP(LEFT(BO37,7),CLU!$Z$3:$AI$18,10)),((M37-2)*(6-COUNTBLANK(GT37:GY37)))+GJ37)*LI37</f>
        <v>#N/A</v>
      </c>
      <c r="DC37" s="347" t="str">
        <f>IF(L37&gt;0,((R37/Worksheet!$I$15)/DB37)^2," ")</f>
        <v xml:space="preserve"> </v>
      </c>
      <c r="DD37" s="602" t="str">
        <f t="shared" si="224"/>
        <v xml:space="preserve"> </v>
      </c>
      <c r="DE37" s="347" t="str">
        <f t="shared" si="35"/>
        <v xml:space="preserve"> </v>
      </c>
      <c r="DF37" s="356" t="e">
        <f ca="1">INDEX(INDIRECT(VLOOKUP(LEFT(BO37,7),CLU!$Z$3:$AH$18,8)),((M37-2)*(6-COUNTBLANK(GT37:GY37)))+GJ37)</f>
        <v>#N/A</v>
      </c>
      <c r="DG37" s="347" t="str">
        <f t="shared" si="36"/>
        <v xml:space="preserve"> </v>
      </c>
      <c r="DH37" s="357" t="str">
        <f t="shared" si="37"/>
        <v xml:space="preserve"> </v>
      </c>
      <c r="DI37" s="355" t="str">
        <f t="shared" si="38"/>
        <v xml:space="preserve"> </v>
      </c>
      <c r="DJ37" s="245" t="e">
        <f ca="1">INDEX(INDIRECT(VLOOKUP(LEFT(BO37,7),CLU!$Z$3:$AH$18,5)),GL37,GK37)</f>
        <v>#N/A</v>
      </c>
      <c r="DK37" s="245" t="e">
        <f ca="1">INDEX(INDIRECT(VLOOKUP(LEFT(BO37,7),CLU!$Z$3:$AH$18,6)),GL37,GK37)</f>
        <v>#N/A</v>
      </c>
      <c r="DL37" s="355">
        <f>(Calculation!R37*0.69143*(Calculation!$BQ$8-Calculation!$F$8))*$S$14</f>
        <v>0</v>
      </c>
      <c r="DM37" s="359" t="e">
        <f t="shared" si="160"/>
        <v>#VALUE!</v>
      </c>
      <c r="DN37" s="611">
        <f t="shared" si="161"/>
        <v>0</v>
      </c>
      <c r="DO37" s="359">
        <f t="shared" si="162"/>
        <v>100</v>
      </c>
      <c r="DP37" s="359">
        <f t="shared" si="163"/>
        <v>0</v>
      </c>
      <c r="DQ37" s="360"/>
      <c r="DR37" s="245" t="e">
        <f ca="1">INDEX(INDIRECT(VLOOKUP(LEFT(BO37,7),CLU!$Z$3:$AH$18,7)),M37-1,1)</f>
        <v>#N/A</v>
      </c>
      <c r="DS37" s="245" t="e">
        <f ca="1">INDEX(INDIRECT(VLOOKUP(LEFT(BO37,7),CLU!$Z$3:$AH$18,7)),M37-1,2)</f>
        <v>#N/A</v>
      </c>
      <c r="DT37" s="245" t="e">
        <f ca="1">INDEX(INDIRECT(VLOOKUP(LEFT(BO37,7),CLU!$Z$3:$AH$18,7)),M37-1,3)</f>
        <v>#N/A</v>
      </c>
      <c r="DU37" s="245" t="e">
        <f ca="1">INDEX(INDIRECT(VLOOKUP(LEFT(BO37,7),CLU!$Z$3:$AH$18,7)),M37-1,4)</f>
        <v>#N/A</v>
      </c>
      <c r="DV37" s="361" t="e">
        <f ca="1">INDEX(INDIRECT(VLOOKUP(LEFT(BO37,7),CLU!$Z$3:$AH$18,7)),M37-1,4+LEFT(DZ37,1)*0.5)</f>
        <v>#N/A</v>
      </c>
      <c r="DW37" s="245" t="e">
        <f ca="1">INDEX(INDIRECT(VLOOKUP(LEFT(BO37,7),CLU!$Z$3:$AH$18,7)),M37-1,8)</f>
        <v>#N/A</v>
      </c>
      <c r="DX37" s="361" t="str">
        <f t="shared" si="39"/>
        <v xml:space="preserve"> </v>
      </c>
      <c r="DY37" s="361" t="str">
        <f t="shared" si="40"/>
        <v xml:space="preserve"> </v>
      </c>
      <c r="DZ37" s="361" t="str">
        <f t="shared" si="41"/>
        <v xml:space="preserve"> </v>
      </c>
      <c r="EA37" s="362" t="str">
        <f t="shared" si="42"/>
        <v xml:space="preserve"> </v>
      </c>
      <c r="EB37" s="624" t="str">
        <f t="shared" si="168"/>
        <v xml:space="preserve"> </v>
      </c>
      <c r="EC37" s="361" t="e">
        <f ca="1">INDEX(INDIRECT(VLOOKUP(LEFT(BO37,7),CLU!$Z$3:$AH$18,7)),M37-1,4+LEFT(DZ37,1)*0.5)</f>
        <v>#N/A</v>
      </c>
      <c r="ED37" s="362" t="str">
        <f t="shared" si="43"/>
        <v xml:space="preserve"> </v>
      </c>
      <c r="EE37" s="361" t="str">
        <f t="shared" si="44"/>
        <v xml:space="preserve"> </v>
      </c>
      <c r="EF37" s="362" t="str">
        <f>IF(L37&gt;0,IF(BR37&gt;0,IF(EE37="2P",IF(Calculation!DZ37="2P",IF(Calculation!DS37=13.75,IF(Calculation!DR37=13,Worksheet!$BD$43,IF(Calculation!DR37=37,Worksheet!$BD$44,Worksheet!$BD$45)),IF(Calculation!DS37=10,IF(Calculation!DR37=18,Worksheet!$BD$29,IF(Calculation!DR37=30,Worksheet!$BD$30,IF(Calculation!DR37=42,Worksheet!$BD$31,IF(Calculation!DR37=54,Worksheet!$BD$32,IF(Calculation!DR37=66,Worksheet!$BD$33,IF(Calculation!DR37=78,Worksheet!$BD$34,IF(Calculation!DR37=90,Worksheet!$BD$35,IF(Calculation!DR37=102,Worksheet!$BD$36,Worksheet!$BD$37)))))))),IF(Calculation!DS37=12.5,IF(Calculation!DR37=18,Worksheet!$BD$38,IF(Calculation!DR37=Worksheet!$BD$39,IF(Calculation!DR37=42,Worksheet!$BD$40,IF(Calculation!DR37=54,Worksheet!$BD$41,Worksheet!$BD$42)))),IF(Calculation!DR37=18,Worksheet!$BD$11,IF(Calculation!DR37=30,Worksheet!$BD$12,IF(Calculation!DR37=42,Worksheet!$BD$13,IF(Calculation!DR37=54,Worksheet!$BD$14,IF(Calculation!DR37=66,Worksheet!$BD$15,IF(Calculation!DR37=78,Worksheet!$BD$16,IF(Calculation!DR37=90,Worksheet!$BD$17,IF(Calculation!DR37=102,Worksheet!$BD$18,Worksheet!$BD$19))))))))))),IF(Calculation!DS37=13.75,IF(Calculation!DR37=13,Worksheet!$BD$78,IF(Calculation!DR37=37,Worksheet!$BD$79,Worksheet!$BD$80)),IF(Calculation!DS37=10,IF(Calculation!DR37=18,Worksheet!$BD$64,IF(Calculation!DR37=30,Worksheet!$BD$65,IF(Calculation!DR37=42,Worksheet!$BD$66,IF(Calculation!DR37=54,Worksheet!$BD$68,IF(Calculation!DR37=66,Worksheet!$BD$68,IF(Calculation!DR37=78,Worksheet!$BD$69,IF(Calculation!DR37=90,Worksheet!$BD$70,IF(Calculation!DR37=102,Worksheet!$BD$71,Worksheet!$BD$72)))))))),IF(Calculation!DS37=12.5,IF(Calculation!DR37=18,Worksheet!$BD$73,IF(Calculation!DR37=Worksheet!$BD$74,IF(Calculation!DR37=42,Worksheet!$BD$75,IF(Calculation!DR37=54,Worksheet!$BD$76,Worksheet!$BD$77)))),IF(Calculation!DR37=18,Worksheet!$BD$55,IF(Calculation!DR37=30,Worksheet!$BD$56,IF(Calculation!DR37=42,Worksheet!$BD$57,IF(Calculation!DR37=54,Worksheet!$BD$58,IF(Calculation!DR37=66,Worksheet!$BD$59,IF(Calculation!DR37=78,Worksheet!$BD$60,IF(Calculation!DR37=90,Worksheet!$BD$61,IF(Calculation!DR37=102,Worksheet!$BD$62,Worksheet!$BD$63)))))))))))),5),0)," ")</f>
        <v xml:space="preserve"> </v>
      </c>
      <c r="EG37" s="361" t="str">
        <f t="shared" si="45"/>
        <v xml:space="preserve"> </v>
      </c>
      <c r="EH37" s="361" t="e">
        <f ca="1">INDEX(INDIRECT(VLOOKUP(LEFT(BO37,7),CLU!$Z$3:$AH$18,7)),M37-1,3+LEFT(DZ37,1))</f>
        <v>#N/A</v>
      </c>
      <c r="EI37" s="362" t="str">
        <f t="shared" si="46"/>
        <v xml:space="preserve"> </v>
      </c>
      <c r="EJ37" s="363" t="str">
        <f t="shared" si="47"/>
        <v xml:space="preserve"> </v>
      </c>
      <c r="EK37" s="363" t="str">
        <f t="shared" si="48"/>
        <v xml:space="preserve"> </v>
      </c>
      <c r="EL37" s="363" t="str">
        <f t="shared" si="49"/>
        <v xml:space="preserve"> </v>
      </c>
      <c r="EM37" s="362" t="str">
        <f>IF(L37&gt;0,IF(BR37&gt;0,(Calculation!T37/ED37)^2,0)," ")</f>
        <v xml:space="preserve"> </v>
      </c>
      <c r="EN37" s="362" t="str">
        <f>IF(L37&gt;0,IF(O37="2 Pipe (Cooling)","N/A",IF(BR37&gt;0,(Calculation!U37/EI37)^2,0))," ")</f>
        <v xml:space="preserve"> </v>
      </c>
      <c r="EO37" s="361" t="str">
        <f t="shared" si="50"/>
        <v/>
      </c>
      <c r="EP37" s="361" t="str">
        <f t="shared" si="51"/>
        <v/>
      </c>
      <c r="EQ37" s="361" t="str">
        <f t="shared" si="52"/>
        <v/>
      </c>
      <c r="ER37" s="361" t="str">
        <f t="shared" si="53"/>
        <v/>
      </c>
      <c r="ES37" s="361" t="str">
        <f t="shared" si="54"/>
        <v/>
      </c>
      <c r="ET37" s="361" t="str">
        <f t="shared" si="55"/>
        <v/>
      </c>
      <c r="EU37" s="361" t="str">
        <f t="shared" si="56"/>
        <v/>
      </c>
      <c r="EV37" s="361" t="str">
        <f t="shared" si="57"/>
        <v/>
      </c>
      <c r="EW37" s="361" t="str">
        <f t="shared" si="58"/>
        <v/>
      </c>
      <c r="EX37" s="361" t="str">
        <f t="shared" si="169"/>
        <v>1 slot, 1 way</v>
      </c>
      <c r="EY37" s="361" t="str">
        <f t="shared" si="170"/>
        <v xml:space="preserve"> </v>
      </c>
      <c r="EZ37" s="361" t="str">
        <f t="shared" si="171"/>
        <v xml:space="preserve"> </v>
      </c>
      <c r="FA37" s="361" t="str">
        <f t="shared" si="172"/>
        <v xml:space="preserve"> </v>
      </c>
      <c r="FB37" s="361" t="str">
        <f t="shared" si="173"/>
        <v xml:space="preserve"> </v>
      </c>
      <c r="FC37" s="361"/>
      <c r="FD37" s="361" t="str">
        <f>IF(J37&gt;0,IF(Calculation!R37&lt;=70,4,IF(Calculation!R37&lt;=110,5,IF(Calculation!R37&lt;=160,6,IF(Calculation!R37&lt;=300,8,"10 EO")))),"")</f>
        <v/>
      </c>
      <c r="FE37" s="361" t="str">
        <f t="shared" si="174"/>
        <v/>
      </c>
      <c r="FF37" s="361" t="str">
        <f t="shared" si="175"/>
        <v/>
      </c>
      <c r="FG37" s="361" t="e">
        <f t="shared" si="60"/>
        <v>#N/A</v>
      </c>
      <c r="FH37" s="361">
        <f t="shared" si="61"/>
        <v>0</v>
      </c>
      <c r="FI37" s="361" t="e">
        <f t="shared" si="62"/>
        <v>#DIV/0!</v>
      </c>
      <c r="FJ37" s="361"/>
      <c r="FK37" s="356" t="e">
        <f t="shared" si="63"/>
        <v>#VALUE!</v>
      </c>
      <c r="FL37" s="361"/>
      <c r="FM37" s="361"/>
      <c r="FN37" s="362" t="str">
        <f t="shared" si="176"/>
        <v xml:space="preserve"> </v>
      </c>
      <c r="FO37" s="362" t="str">
        <f t="shared" si="177"/>
        <v xml:space="preserve"> </v>
      </c>
      <c r="FP37" s="362">
        <f t="shared" si="178"/>
        <v>0</v>
      </c>
      <c r="FQ37" s="361">
        <f t="shared" si="64"/>
        <v>0</v>
      </c>
      <c r="FR37" s="362" t="str">
        <f>IF(L37&gt;0,IF(J37="CBAL2",Worksheet!$P$67,IF(J37="CBE2-24",Worksheet!$Q$67,IF(J37="CBAM",Worksheet!$R$67,IF(J37="CBLV",Worksheet!$S$67,IF(J37="CBAB",Worksheet!$U$67,IF(J37="CBAW",Worksheet!$X$67,IF(J37="CBE2-12",Worksheet!$Y$67,IF(J37="CBAL2",Worksheet!$Z$67,"N/A"))))))))," ")</f>
        <v xml:space="preserve"> </v>
      </c>
      <c r="FS37" s="362" t="str">
        <f>IF(L37&gt;0,IF(J37="CBAL2",Worksheet!$P$68,IF(J37="CBE2-24",Worksheet!$Q$68,IF(J37="CBAM",Worksheet!$R$68,IF(J37="CBLV",Worksheet!$S$68,IF(J37="CBAB",Worksheet!$U$68,IF(J37="CBAW",Worksheet!$X$68,IF(J37="CBE2-12",Worksheet!$Y$68,IF(J37="CBAL2",Worksheet!$Z$68,"N/A"))))))))," ")</f>
        <v xml:space="preserve"> </v>
      </c>
      <c r="FT37" s="362" t="str">
        <f>IF(L37&gt;0,IF(J37="CBAL2",Worksheet!$P$69,IF(J37="CBE2-24",Worksheet!$Q$69,IF(J37="CBAM",Worksheet!$R$69,IF(J37="CBLV",Worksheet!$S$69,IF(J37="CBAB",Worksheet!$U$69,IF(J37="CBAW",Worksheet!$X$69,IF(J37="CBE2-12",Worksheet!$Y$69,IF(J37="CBAL2",Worksheet!$Z$69,"N/A"))))))))," ")</f>
        <v xml:space="preserve"> </v>
      </c>
      <c r="FU37" s="361" t="str">
        <f t="shared" si="179"/>
        <v xml:space="preserve"> </v>
      </c>
      <c r="FV37" s="362" t="str">
        <f t="shared" si="180"/>
        <v xml:space="preserve"> </v>
      </c>
      <c r="FW37" s="362" t="str">
        <f t="shared" si="181"/>
        <v xml:space="preserve"> </v>
      </c>
      <c r="FX37" s="362" t="str">
        <f t="shared" si="182"/>
        <v xml:space="preserve"> </v>
      </c>
      <c r="FY37" s="355" t="str">
        <f t="shared" si="183"/>
        <v xml:space="preserve"> </v>
      </c>
      <c r="FZ37" s="361" t="str">
        <f t="shared" si="184"/>
        <v xml:space="preserve"> </v>
      </c>
      <c r="GA37" s="347" t="str">
        <f t="shared" si="185"/>
        <v xml:space="preserve"> </v>
      </c>
      <c r="GB37" s="355" t="str">
        <f t="shared" si="186"/>
        <v xml:space="preserve"> </v>
      </c>
      <c r="GC37" s="328" t="str">
        <f t="shared" si="187"/>
        <v xml:space="preserve"> </v>
      </c>
      <c r="GD37" s="361" t="str">
        <f t="shared" si="188"/>
        <v xml:space="preserve"> </v>
      </c>
      <c r="GE37" s="347" t="str">
        <f t="shared" si="189"/>
        <v xml:space="preserve"> </v>
      </c>
      <c r="GF37" s="361" t="str">
        <f t="shared" si="190"/>
        <v xml:space="preserve"> </v>
      </c>
      <c r="GG37" s="347" t="str">
        <f t="shared" si="191"/>
        <v xml:space="preserve"> </v>
      </c>
      <c r="GH37" s="364">
        <f t="shared" si="78"/>
        <v>0</v>
      </c>
      <c r="GI37" s="362">
        <f t="shared" si="192"/>
        <v>2</v>
      </c>
      <c r="GJ37" s="433" t="e">
        <f>IF(6-COUNTBLANK(GT37:GY37)=4,MATCH(MID(BO37,9,3),CLU!$H$16:$K$16),MATCH(MID(BO37,9,3),CLU!$H$13:$M$13))</f>
        <v>#N/A</v>
      </c>
      <c r="GK37" s="433" t="e">
        <f>HLOOKUP(VALUE(BP37),CLU!$H$9:$M$10,2)</f>
        <v>#VALUE!</v>
      </c>
      <c r="GL37" s="433" t="e">
        <f ca="1">MATCH(BU37,CLU!$H$2:$V$2,1)</f>
        <v>#VALUE!</v>
      </c>
      <c r="GM37" s="433" t="e">
        <f t="shared" ca="1" si="193"/>
        <v>#VALUE!</v>
      </c>
      <c r="GN37" s="433" t="e">
        <f t="shared" ca="1" si="194"/>
        <v>#VALUE!</v>
      </c>
      <c r="GO37" s="433" t="e">
        <f t="shared" ca="1" si="195"/>
        <v>#VALUE!</v>
      </c>
      <c r="GP37" s="433" t="e">
        <f t="shared" ca="1" si="196"/>
        <v>#VALUE!</v>
      </c>
      <c r="GQ37" s="433" t="e">
        <f t="shared" ca="1" si="197"/>
        <v>#VALUE!</v>
      </c>
      <c r="GR37" s="433" t="e">
        <f ca="1">MATCH(T37,INDIRECT(VLOOKUP(CONCATENATE(LEFT(BO37,7),"-",MID(BO37,13,1)),CLU!$P$3:$Q$16,2)),1)</f>
        <v>#N/A</v>
      </c>
      <c r="GS37" s="433" t="e">
        <f ca="1">MATCH(U37,INDIRECT(VLOOKUP(CONCATENATE(LEFT(BO37,7),"-",MID(BO37,13,1)),CLU!$P$3:$Q$16,2)),1)</f>
        <v>#N/A</v>
      </c>
      <c r="GT37" s="347" t="s">
        <v>512</v>
      </c>
      <c r="GU37" s="97" t="s">
        <v>513</v>
      </c>
      <c r="GV37" s="97" t="str">
        <f t="shared" si="198"/>
        <v>M23</v>
      </c>
      <c r="GW37" s="97" t="str">
        <f t="shared" si="199"/>
        <v>M31</v>
      </c>
      <c r="GX37" s="97" t="str">
        <f t="shared" si="200"/>
        <v/>
      </c>
      <c r="GY37" s="97" t="str">
        <f t="shared" si="201"/>
        <v/>
      </c>
      <c r="GZ37" s="481"/>
      <c r="HA37" s="288"/>
      <c r="HB37" s="240"/>
      <c r="HC37" s="240"/>
      <c r="HD37" s="240"/>
      <c r="HE37" s="240"/>
      <c r="HF37" s="240"/>
      <c r="HG37" s="240"/>
      <c r="HH37" s="240"/>
      <c r="HI37" s="240"/>
      <c r="HJ37" s="240"/>
      <c r="HK37" s="240"/>
      <c r="HL37" s="240"/>
      <c r="HM37" s="240"/>
      <c r="HN37" s="240"/>
      <c r="HO37" s="240"/>
      <c r="HP37" s="240"/>
      <c r="HQ37" s="240"/>
      <c r="HR37" s="240"/>
      <c r="HS37" s="240"/>
      <c r="HT37" s="240"/>
      <c r="HU37" s="240"/>
      <c r="HV37" s="245"/>
      <c r="HW37" s="245" t="b">
        <v>1</v>
      </c>
      <c r="HX37" s="245" t="str">
        <f t="shared" si="79"/>
        <v/>
      </c>
      <c r="HY37" s="245" t="e">
        <f t="shared" si="80"/>
        <v>#DIV/0!</v>
      </c>
      <c r="HZ37" s="245" t="e">
        <f t="shared" si="81"/>
        <v>#DIV/0!</v>
      </c>
      <c r="IA37" s="245">
        <f t="shared" si="82"/>
        <v>0</v>
      </c>
      <c r="IB37" s="245"/>
      <c r="IC37" t="b">
        <f t="shared" si="83"/>
        <v>1</v>
      </c>
      <c r="ID37" s="245" t="b">
        <f t="shared" si="84"/>
        <v>1</v>
      </c>
      <c r="IE37" s="245" t="b">
        <f t="shared" si="85"/>
        <v>1</v>
      </c>
      <c r="IF37" s="245" t="b">
        <f t="shared" si="86"/>
        <v>0</v>
      </c>
      <c r="IG37" s="245" t="b">
        <f t="shared" si="87"/>
        <v>1</v>
      </c>
      <c r="IH37" s="245" t="b">
        <f t="shared" si="88"/>
        <v>1</v>
      </c>
      <c r="II37" s="245">
        <f t="shared" si="202"/>
        <v>0</v>
      </c>
      <c r="IJ37" s="245" t="e">
        <f t="shared" si="89"/>
        <v>#VALUE!</v>
      </c>
      <c r="IK37" s="245" t="e">
        <f t="shared" si="90"/>
        <v>#VALUE!</v>
      </c>
      <c r="IL37" s="245"/>
      <c r="IM37" s="245" t="e">
        <f t="shared" si="203"/>
        <v>#N/A</v>
      </c>
      <c r="IN37" s="245" t="e">
        <f t="shared" si="204"/>
        <v>#N/A</v>
      </c>
      <c r="IO37" s="245"/>
      <c r="IP37" s="245"/>
      <c r="IQ37" s="245" t="str">
        <f t="shared" si="91"/>
        <v/>
      </c>
      <c r="IR37" s="245" t="str">
        <f>IF(J37="","",VLOOKUP(J37,Worksheet!$R$4:$T$14,2))</f>
        <v/>
      </c>
      <c r="IS37" s="245"/>
      <c r="IT37" s="245">
        <f t="shared" si="92"/>
        <v>0</v>
      </c>
      <c r="IU37" s="245">
        <f t="shared" si="93"/>
        <v>0</v>
      </c>
      <c r="IV37" s="245">
        <f t="shared" si="94"/>
        <v>0</v>
      </c>
      <c r="IW37" s="245">
        <f t="shared" si="95"/>
        <v>0</v>
      </c>
      <c r="IX37" s="245">
        <f t="shared" si="205"/>
        <v>0</v>
      </c>
      <c r="IY37" s="245">
        <f t="shared" si="96"/>
        <v>0</v>
      </c>
      <c r="IZ37" s="245">
        <f t="shared" si="97"/>
        <v>0</v>
      </c>
      <c r="JA37">
        <f t="shared" si="98"/>
        <v>0</v>
      </c>
      <c r="JB37">
        <f t="shared" si="206"/>
        <v>0</v>
      </c>
      <c r="JC37">
        <f t="shared" si="99"/>
        <v>0</v>
      </c>
      <c r="JD37">
        <f t="shared" si="100"/>
        <v>0</v>
      </c>
      <c r="JE37">
        <f t="shared" si="101"/>
        <v>0</v>
      </c>
      <c r="JF37">
        <f t="shared" si="102"/>
        <v>0</v>
      </c>
      <c r="JG37">
        <f t="shared" si="103"/>
        <v>0</v>
      </c>
      <c r="JH37">
        <f t="shared" si="104"/>
        <v>0</v>
      </c>
      <c r="JI37">
        <f t="shared" si="105"/>
        <v>0</v>
      </c>
      <c r="JJ37" s="447">
        <f t="shared" si="106"/>
        <v>0</v>
      </c>
      <c r="JK37" s="447">
        <f t="shared" si="107"/>
        <v>0</v>
      </c>
      <c r="JL37">
        <f t="shared" si="108"/>
        <v>0</v>
      </c>
      <c r="JM37" s="245" t="str">
        <f>IFERROR(VLOOKUP(MATCH(BN37,#REF!,0),#REF!,7),"")</f>
        <v/>
      </c>
      <c r="JN37" t="e">
        <f>HLOOKUP(LEFT(BO37,7),Discharge_Area,MATCH(JO37,LookUps!$B$130:$B$149,1)+2)</f>
        <v>#N/A</v>
      </c>
      <c r="JO37" t="str">
        <f t="shared" si="109"/>
        <v>- S</v>
      </c>
      <c r="JP37" t="e">
        <f>HLOOKUP(LEFT(BO37,7),Discharge_Area,MATCH(JO37,LookUps!$B$130:$B$149,1)+2)</f>
        <v>#N/A</v>
      </c>
      <c r="JQ37" t="e">
        <f t="shared" si="110"/>
        <v>#N/A</v>
      </c>
      <c r="JR37" t="e">
        <f t="shared" si="111"/>
        <v>#N/A</v>
      </c>
      <c r="JS37" t="e">
        <f t="shared" si="112"/>
        <v>#N/A</v>
      </c>
      <c r="JT37" s="532" t="str">
        <f t="shared" si="113"/>
        <v xml:space="preserve"> </v>
      </c>
      <c r="JU37" s="532" t="str">
        <f t="shared" si="114"/>
        <v xml:space="preserve"> </v>
      </c>
      <c r="JV37" s="533" t="str">
        <f t="shared" si="115"/>
        <v xml:space="preserve"> </v>
      </c>
      <c r="JW37" s="534">
        <f t="shared" si="116"/>
        <v>0</v>
      </c>
      <c r="JX37" s="535" t="str">
        <f t="shared" si="207"/>
        <v xml:space="preserve"> </v>
      </c>
      <c r="JY37" s="535" t="str">
        <f t="shared" si="208"/>
        <v xml:space="preserve"> </v>
      </c>
      <c r="JZ37" s="535" t="str">
        <f t="shared" si="209"/>
        <v xml:space="preserve"> </v>
      </c>
      <c r="KA37" s="536" t="str">
        <f t="shared" si="117"/>
        <v xml:space="preserve"> </v>
      </c>
      <c r="KB37" s="535" t="e">
        <f t="shared" si="210"/>
        <v>#VALUE!</v>
      </c>
      <c r="KC37" s="535" t="str">
        <f t="shared" si="118"/>
        <v/>
      </c>
      <c r="KD37" s="537" t="str">
        <f t="shared" si="211"/>
        <v xml:space="preserve"> </v>
      </c>
      <c r="KE37" s="537" t="str">
        <f t="shared" si="212"/>
        <v xml:space="preserve"> </v>
      </c>
      <c r="KF37" s="534">
        <f t="shared" si="119"/>
        <v>0</v>
      </c>
      <c r="KG37" s="535" t="str">
        <f t="shared" si="120"/>
        <v xml:space="preserve"> </v>
      </c>
      <c r="KH37" s="535" t="str">
        <f t="shared" si="121"/>
        <v xml:space="preserve"> </v>
      </c>
      <c r="KI37" s="535" t="str">
        <f t="shared" si="122"/>
        <v xml:space="preserve"> </v>
      </c>
      <c r="KJ37" s="536" t="str">
        <f t="shared" si="123"/>
        <v xml:space="preserve"> </v>
      </c>
      <c r="KK37" s="535" t="str">
        <f t="shared" si="213"/>
        <v xml:space="preserve"> </v>
      </c>
      <c r="KL37" s="535" t="str">
        <f t="shared" si="214"/>
        <v xml:space="preserve"> </v>
      </c>
      <c r="KM37" s="537" t="str">
        <f t="shared" si="124"/>
        <v xml:space="preserve"> </v>
      </c>
      <c r="KN37" s="537" t="str">
        <f t="shared" si="215"/>
        <v xml:space="preserve"> </v>
      </c>
      <c r="KP37">
        <f t="shared" si="125"/>
        <v>0</v>
      </c>
      <c r="LA37" t="e">
        <f t="shared" si="126"/>
        <v>#VALUE!</v>
      </c>
      <c r="LB37" t="e">
        <f t="shared" si="127"/>
        <v>#VALUE!</v>
      </c>
      <c r="LC37" t="e">
        <f t="shared" si="128"/>
        <v>#VALUE!</v>
      </c>
      <c r="LD37" t="e">
        <f t="shared" si="129"/>
        <v>#VALUE!</v>
      </c>
      <c r="LE37" t="e">
        <f t="shared" si="216"/>
        <v>#VALUE!</v>
      </c>
      <c r="LF37">
        <f t="shared" si="130"/>
        <v>0</v>
      </c>
      <c r="LG37" t="e">
        <f t="shared" si="217"/>
        <v>#VALUE!</v>
      </c>
      <c r="LH37" t="str">
        <f t="shared" si="131"/>
        <v xml:space="preserve"> </v>
      </c>
      <c r="LI37">
        <f t="shared" si="218"/>
        <v>1</v>
      </c>
    </row>
    <row r="38" spans="2:321" ht="15" customHeight="1">
      <c r="B38" s="311"/>
      <c r="C38" s="311"/>
      <c r="D38" s="312"/>
      <c r="E38" s="311"/>
      <c r="F38" s="312"/>
      <c r="G38" s="311"/>
      <c r="H38" s="311"/>
      <c r="I38" s="37"/>
      <c r="J38" s="311"/>
      <c r="K38" s="305" t="str">
        <f t="shared" si="132"/>
        <v/>
      </c>
      <c r="L38" s="313"/>
      <c r="M38" s="312"/>
      <c r="N38" s="311"/>
      <c r="O38" s="312"/>
      <c r="P38" s="311"/>
      <c r="Q38" s="305" t="str">
        <f t="shared" si="133"/>
        <v/>
      </c>
      <c r="R38" s="314"/>
      <c r="S38" s="450" t="str">
        <f t="shared" si="0"/>
        <v/>
      </c>
      <c r="T38" s="315"/>
      <c r="U38" s="315"/>
      <c r="W38" s="149" t="str">
        <f t="shared" si="1"/>
        <v xml:space="preserve"> </v>
      </c>
      <c r="X38" s="243" t="str">
        <f t="shared" si="2"/>
        <v xml:space="preserve"> </v>
      </c>
      <c r="Y38" s="150" t="str">
        <f t="shared" si="3"/>
        <v/>
      </c>
      <c r="Z38" s="149" t="str">
        <f t="shared" si="4"/>
        <v xml:space="preserve"> </v>
      </c>
      <c r="AA38" s="98" t="str">
        <f t="shared" si="5"/>
        <v xml:space="preserve"> </v>
      </c>
      <c r="AB38" s="153" t="str">
        <f t="shared" si="6"/>
        <v xml:space="preserve"> </v>
      </c>
      <c r="AC38" s="153" t="str">
        <f t="shared" si="7"/>
        <v xml:space="preserve"> </v>
      </c>
      <c r="AD38" s="148" t="str">
        <f t="shared" si="8"/>
        <v/>
      </c>
      <c r="AE38" s="149" t="str">
        <f t="shared" si="9"/>
        <v/>
      </c>
      <c r="AF38" s="151" t="str">
        <f t="shared" si="10"/>
        <v xml:space="preserve"> </v>
      </c>
      <c r="AG38" s="153" t="str">
        <f t="shared" si="11"/>
        <v xml:space="preserve"> </v>
      </c>
      <c r="AH38" s="98" t="str">
        <f t="shared" si="12"/>
        <v xml:space="preserve"> </v>
      </c>
      <c r="AI38" s="149" t="str">
        <f t="shared" si="13"/>
        <v xml:space="preserve"> </v>
      </c>
      <c r="AK38" s="144" t="str">
        <f t="shared" si="14"/>
        <v xml:space="preserve"> </v>
      </c>
      <c r="AL38" s="144"/>
      <c r="AM38" s="243" t="str">
        <f t="shared" si="15"/>
        <v xml:space="preserve"> </v>
      </c>
      <c r="AN38" s="149" t="str">
        <f t="shared" si="134"/>
        <v xml:space="preserve"> </v>
      </c>
      <c r="AO38" s="144" t="str">
        <f>IF(JB38&gt;0,IF(GI38=10,-R38*1.085*(Calculation!$F$6-Calculation!$F$13)*$S$14," "),"")</f>
        <v/>
      </c>
      <c r="AP38" s="144" t="str">
        <f t="shared" si="16"/>
        <v/>
      </c>
      <c r="AQ38" s="56" t="str">
        <f t="shared" si="17"/>
        <v/>
      </c>
      <c r="AR38" s="144" t="str">
        <f t="shared" si="18"/>
        <v/>
      </c>
      <c r="AS38" s="176" t="str">
        <f t="shared" si="19"/>
        <v/>
      </c>
      <c r="AT38" s="176" t="str">
        <f t="shared" si="135"/>
        <v xml:space="preserve"> </v>
      </c>
      <c r="AU38" s="176" t="str">
        <f t="shared" si="20"/>
        <v/>
      </c>
      <c r="AV38" s="177" t="str">
        <f t="shared" si="21"/>
        <v xml:space="preserve"> </v>
      </c>
      <c r="AW38" s="144" t="str">
        <f t="shared" si="22"/>
        <v xml:space="preserve"> </v>
      </c>
      <c r="AX38" s="144" t="str">
        <f t="shared" si="23"/>
        <v xml:space="preserve"> </v>
      </c>
      <c r="AY38" s="152" t="str">
        <f t="shared" si="24"/>
        <v xml:space="preserve"> </v>
      </c>
      <c r="AZ38" s="246" t="str">
        <f t="shared" si="25"/>
        <v/>
      </c>
      <c r="BA38" s="176" t="str">
        <f t="shared" si="26"/>
        <v xml:space="preserve"> </v>
      </c>
      <c r="BB38" s="176" t="str">
        <f t="shared" si="27"/>
        <v xml:space="preserve"> </v>
      </c>
      <c r="BC38" s="195"/>
      <c r="BD38" s="316"/>
      <c r="BE38" s="317"/>
      <c r="BF38" s="318"/>
      <c r="BG38" s="318"/>
      <c r="BH38" s="144" t="str">
        <f t="shared" si="219"/>
        <v xml:space="preserve"> </v>
      </c>
      <c r="BI38" s="176" t="str">
        <f t="shared" si="28"/>
        <v/>
      </c>
      <c r="BJ38" s="144" t="str">
        <f t="shared" si="220"/>
        <v/>
      </c>
      <c r="BK38" s="246" t="str">
        <f t="shared" si="29"/>
        <v/>
      </c>
      <c r="BL38" s="144" t="str">
        <f t="shared" si="221"/>
        <v/>
      </c>
      <c r="BM38" s="246" t="str">
        <f t="shared" si="30"/>
        <v/>
      </c>
      <c r="BN38" s="337" t="str">
        <f t="shared" si="136"/>
        <v/>
      </c>
      <c r="BO38" s="371" t="str">
        <f t="shared" si="137"/>
        <v/>
      </c>
      <c r="BP38" s="328" t="str">
        <f t="shared" si="222"/>
        <v xml:space="preserve"> </v>
      </c>
      <c r="BQ38" s="347" t="str">
        <f t="shared" si="138"/>
        <v xml:space="preserve"> </v>
      </c>
      <c r="BR38" s="353" t="str">
        <f t="shared" si="223"/>
        <v xml:space="preserve"> </v>
      </c>
      <c r="BS38" s="626" t="str">
        <f>IF(L38&gt;0,IF(Calculation!P38="M13",BR38*3.1416*(0.134^2)/(4*144),IF(Calculation!P38="M17",BR38*3.1416*(0.165^2)/(4*144),IF(Calculation!P38="M20",BR38*3.1416*(0.198^2)/(4*144),IF(Calculation!P38="M23",BR38*3.1416*(0.228^2)/(4*144),IF(Calculation!P38="M27",BR38*3.1416*(0.269^2)/(4*144),BR38*3.1416*(0.307^2)/(4*144))))))," ")</f>
        <v xml:space="preserve"> </v>
      </c>
      <c r="BT38" s="353" t="str">
        <f>IF(L38&gt;0,IF(BS38&gt;0,R38/Calculation!BS38,0)," ")</f>
        <v xml:space="preserve"> </v>
      </c>
      <c r="BU38" s="438" t="e">
        <f t="shared" ca="1" si="31"/>
        <v>#VALUE!</v>
      </c>
      <c r="BV38" s="449" t="e">
        <f ca="1">INDEX(INDIRECT(VLOOKUP(LEFT(BO38,7),CLU!$Z$3:$AH$18,2)),GN38,GR38)</f>
        <v>#N/A</v>
      </c>
      <c r="BW38" s="433" t="e">
        <f ca="1">INDEX(INDIRECT(VLOOKUP(LEFT(BO38,7),CLU!$Z$3:$AH$18,3)),GN38,GR38)</f>
        <v>#N/A</v>
      </c>
      <c r="BX38" s="433" t="e">
        <f ca="1">INDEX(INDIRECT(VLOOKUP(LEFT(BO38,7),CLU!$Z$3:$AH$18,4)),GN38,GR38)</f>
        <v>#N/A</v>
      </c>
      <c r="BY38" s="433" t="e">
        <f ca="1">INDEX(INDIRECT(VLOOKUP(LEFT(BO38,7),CLU!$Z$3:$AH$18,9)),((M38-2)*(6-COUNTBLANK(GT38:GY38)))+GJ38)</f>
        <v>#N/A</v>
      </c>
      <c r="BZ38" s="426" t="e">
        <f t="shared" ca="1" si="139"/>
        <v>#N/A</v>
      </c>
      <c r="CA38" s="424" t="e">
        <f t="shared" ca="1" si="140"/>
        <v>#N/A</v>
      </c>
      <c r="CB38" s="429" t="e">
        <f ca="1">INDEX(INDIRECT(VLOOKUP(LEFT(BO38,7),CLU!$Z$3:$AH$18,2)),GN38,GS38)</f>
        <v>#N/A</v>
      </c>
      <c r="CC38" s="342" t="e">
        <f ca="1">INDEX(INDIRECT(VLOOKUP(LEFT(BO38,7),CLU!$Z$3:$AH$18,3)),GN38,GS38)</f>
        <v>#N/A</v>
      </c>
      <c r="CD38" s="342" t="e">
        <f ca="1">INDEX(INDIRECT(VLOOKUP(LEFT(BO38,7),CLU!$Z$3:$AH$18,4)),GN38,GS38)</f>
        <v>#N/A</v>
      </c>
      <c r="CE38" s="426" t="e">
        <f t="shared" ca="1" si="141"/>
        <v>#N/A</v>
      </c>
      <c r="CF38" s="440">
        <f t="shared" si="142"/>
        <v>0</v>
      </c>
      <c r="CG38" s="431" t="e">
        <f ca="1">INDEX(INDIRECT(VLOOKUP(LEFT(BO38,7),CLU!$Z$3:$AH$18,2)),GQ38,GR38)</f>
        <v>#N/A</v>
      </c>
      <c r="CH38" s="431" t="e">
        <f ca="1">INDEX(INDIRECT(VLOOKUP(LEFT(BO38,7),CLU!$Z$3:$AH$18,3)),GQ38,GR38)</f>
        <v>#N/A</v>
      </c>
      <c r="CI38" s="431" t="e">
        <f ca="1">INDEX(INDIRECT(VLOOKUP(LEFT(BO38,7),CLU!$Z$3:$AH$18,4)),GQ38,GR38)</f>
        <v>#N/A</v>
      </c>
      <c r="CJ38" s="448" t="e">
        <f t="shared" ca="1" si="143"/>
        <v>#N/A</v>
      </c>
      <c r="CK38" s="431" t="e">
        <f t="shared" ca="1" si="144"/>
        <v>#N/A</v>
      </c>
      <c r="CL38" s="440" t="e">
        <f t="shared" ca="1" si="145"/>
        <v>#N/A</v>
      </c>
      <c r="CM38" s="431" t="e">
        <f ca="1">INDEX(INDIRECT(VLOOKUP(LEFT(BO38,7),CLU!$Z$3:$AH$18,2)),GQ38,GS38)</f>
        <v>#N/A</v>
      </c>
      <c r="CN38" s="431" t="e">
        <f ca="1">INDEX(INDIRECT(VLOOKUP(LEFT(BO38,7),CLU!$Z$3:$AH$18,3)),GQ38,GS38)</f>
        <v>#N/A</v>
      </c>
      <c r="CO38" s="431" t="e">
        <f ca="1">INDEX(INDIRECT(VLOOKUP(LEFT(BO38,7),CLU!$Z$3:$AH$18,4)),GQ38,GS38)</f>
        <v>#N/A</v>
      </c>
      <c r="CP38" s="431" t="e">
        <f t="shared" ca="1" si="146"/>
        <v>#N/A</v>
      </c>
      <c r="CQ38" s="440">
        <f t="shared" si="147"/>
        <v>0</v>
      </c>
      <c r="CR38" s="51" t="e">
        <f t="shared" ca="1" si="148"/>
        <v>#N/A</v>
      </c>
      <c r="CS38" s="439" t="e">
        <f t="shared" ca="1" si="149"/>
        <v>#VALUE!</v>
      </c>
      <c r="CT38" s="51" t="e">
        <f t="shared" ca="1" si="150"/>
        <v>#VALUE!</v>
      </c>
      <c r="CU38" s="10"/>
      <c r="CV38" s="51" t="e">
        <f t="shared" ca="1" si="34"/>
        <v>#VALUE!</v>
      </c>
      <c r="CW38" s="51">
        <f t="shared" si="151"/>
        <v>0</v>
      </c>
      <c r="CX38" s="439" t="e">
        <f t="shared" ca="1" si="152"/>
        <v>#VALUE!</v>
      </c>
      <c r="CY38" s="51" t="e">
        <f t="shared" ca="1" si="153"/>
        <v>#VALUE!</v>
      </c>
      <c r="CZ38" s="10"/>
      <c r="DA38" s="51" t="e">
        <f t="shared" ca="1" si="154"/>
        <v>#VALUE!</v>
      </c>
      <c r="DB38" s="347" t="e">
        <f ca="1">INDEX(INDIRECT(VLOOKUP(LEFT(BO38,7),CLU!$Z$3:$AI$18,10)),((M38-2)*(6-COUNTBLANK(GT38:GY38)))+GJ38)*LI38</f>
        <v>#N/A</v>
      </c>
      <c r="DC38" s="347" t="str">
        <f>IF(L38&gt;0,((R38/Worksheet!$I$15)/DB38)^2," ")</f>
        <v xml:space="preserve"> </v>
      </c>
      <c r="DD38" s="602" t="str">
        <f t="shared" si="224"/>
        <v xml:space="preserve"> </v>
      </c>
      <c r="DE38" s="347" t="str">
        <f t="shared" si="35"/>
        <v xml:space="preserve"> </v>
      </c>
      <c r="DF38" s="356" t="e">
        <f ca="1">INDEX(INDIRECT(VLOOKUP(LEFT(BO38,7),CLU!$Z$3:$AH$18,8)),((M38-2)*(6-COUNTBLANK(GT38:GY38)))+GJ38)</f>
        <v>#N/A</v>
      </c>
      <c r="DG38" s="347" t="str">
        <f t="shared" si="36"/>
        <v xml:space="preserve"> </v>
      </c>
      <c r="DH38" s="357" t="str">
        <f t="shared" si="37"/>
        <v xml:space="preserve"> </v>
      </c>
      <c r="DI38" s="355" t="str">
        <f t="shared" si="38"/>
        <v xml:space="preserve"> </v>
      </c>
      <c r="DJ38" s="245" t="e">
        <f ca="1">INDEX(INDIRECT(VLOOKUP(LEFT(BO38,7),CLU!$Z$3:$AH$18,5)),GL38,GK38)</f>
        <v>#N/A</v>
      </c>
      <c r="DK38" s="245" t="e">
        <f ca="1">INDEX(INDIRECT(VLOOKUP(LEFT(BO38,7),CLU!$Z$3:$AH$18,6)),GL38,GK38)</f>
        <v>#N/A</v>
      </c>
      <c r="DL38" s="355">
        <f>(Calculation!R38*0.69143*(Calculation!$BQ$8-Calculation!$F$8))*$S$14</f>
        <v>0</v>
      </c>
      <c r="DM38" s="359" t="e">
        <f t="shared" si="160"/>
        <v>#VALUE!</v>
      </c>
      <c r="DN38" s="611">
        <f t="shared" si="161"/>
        <v>0</v>
      </c>
      <c r="DO38" s="359">
        <f t="shared" si="162"/>
        <v>100</v>
      </c>
      <c r="DP38" s="359">
        <f t="shared" si="163"/>
        <v>0</v>
      </c>
      <c r="DQ38" s="360"/>
      <c r="DR38" s="245" t="e">
        <f ca="1">INDEX(INDIRECT(VLOOKUP(LEFT(BO38,7),CLU!$Z$3:$AH$18,7)),M38-1,1)</f>
        <v>#N/A</v>
      </c>
      <c r="DS38" s="245" t="e">
        <f ca="1">INDEX(INDIRECT(VLOOKUP(LEFT(BO38,7),CLU!$Z$3:$AH$18,7)),M38-1,2)</f>
        <v>#N/A</v>
      </c>
      <c r="DT38" s="245" t="e">
        <f ca="1">INDEX(INDIRECT(VLOOKUP(LEFT(BO38,7),CLU!$Z$3:$AH$18,7)),M38-1,3)</f>
        <v>#N/A</v>
      </c>
      <c r="DU38" s="245" t="e">
        <f ca="1">INDEX(INDIRECT(VLOOKUP(LEFT(BO38,7),CLU!$Z$3:$AH$18,7)),M38-1,4)</f>
        <v>#N/A</v>
      </c>
      <c r="DV38" s="361" t="e">
        <f ca="1">INDEX(INDIRECT(VLOOKUP(LEFT(BO38,7),CLU!$Z$3:$AH$18,7)),M38-1,4+LEFT(DZ38,1)*0.5)</f>
        <v>#N/A</v>
      </c>
      <c r="DW38" s="245" t="e">
        <f ca="1">INDEX(INDIRECT(VLOOKUP(LEFT(BO38,7),CLU!$Z$3:$AH$18,7)),M38-1,8)</f>
        <v>#N/A</v>
      </c>
      <c r="DX38" s="361" t="str">
        <f t="shared" si="39"/>
        <v xml:space="preserve"> </v>
      </c>
      <c r="DY38" s="361" t="str">
        <f t="shared" si="40"/>
        <v xml:space="preserve"> </v>
      </c>
      <c r="DZ38" s="361" t="str">
        <f t="shared" si="41"/>
        <v xml:space="preserve"> </v>
      </c>
      <c r="EA38" s="362" t="str">
        <f t="shared" si="42"/>
        <v xml:space="preserve"> </v>
      </c>
      <c r="EB38" s="624" t="str">
        <f t="shared" si="168"/>
        <v xml:space="preserve"> </v>
      </c>
      <c r="EC38" s="361" t="e">
        <f ca="1">INDEX(INDIRECT(VLOOKUP(LEFT(BO38,7),CLU!$Z$3:$AH$18,7)),M38-1,4+LEFT(DZ38,1)*0.5)</f>
        <v>#N/A</v>
      </c>
      <c r="ED38" s="362" t="str">
        <f t="shared" si="43"/>
        <v xml:space="preserve"> </v>
      </c>
      <c r="EE38" s="361" t="str">
        <f t="shared" si="44"/>
        <v xml:space="preserve"> </v>
      </c>
      <c r="EF38" s="362" t="str">
        <f>IF(L38&gt;0,IF(BR38&gt;0,IF(EE38="2P",IF(Calculation!DZ38="2P",IF(Calculation!DS38=13.75,IF(Calculation!DR38=13,Worksheet!$BD$43,IF(Calculation!DR38=37,Worksheet!$BD$44,Worksheet!$BD$45)),IF(Calculation!DS38=10,IF(Calculation!DR38=18,Worksheet!$BD$29,IF(Calculation!DR38=30,Worksheet!$BD$30,IF(Calculation!DR38=42,Worksheet!$BD$31,IF(Calculation!DR38=54,Worksheet!$BD$32,IF(Calculation!DR38=66,Worksheet!$BD$33,IF(Calculation!DR38=78,Worksheet!$BD$34,IF(Calculation!DR38=90,Worksheet!$BD$35,IF(Calculation!DR38=102,Worksheet!$BD$36,Worksheet!$BD$37)))))))),IF(Calculation!DS38=12.5,IF(Calculation!DR38=18,Worksheet!$BD$38,IF(Calculation!DR38=Worksheet!$BD$39,IF(Calculation!DR38=42,Worksheet!$BD$40,IF(Calculation!DR38=54,Worksheet!$BD$41,Worksheet!$BD$42)))),IF(Calculation!DR38=18,Worksheet!$BD$11,IF(Calculation!DR38=30,Worksheet!$BD$12,IF(Calculation!DR38=42,Worksheet!$BD$13,IF(Calculation!DR38=54,Worksheet!$BD$14,IF(Calculation!DR38=66,Worksheet!$BD$15,IF(Calculation!DR38=78,Worksheet!$BD$16,IF(Calculation!DR38=90,Worksheet!$BD$17,IF(Calculation!DR38=102,Worksheet!$BD$18,Worksheet!$BD$19))))))))))),IF(Calculation!DS38=13.75,IF(Calculation!DR38=13,Worksheet!$BD$78,IF(Calculation!DR38=37,Worksheet!$BD$79,Worksheet!$BD$80)),IF(Calculation!DS38=10,IF(Calculation!DR38=18,Worksheet!$BD$64,IF(Calculation!DR38=30,Worksheet!$BD$65,IF(Calculation!DR38=42,Worksheet!$BD$66,IF(Calculation!DR38=54,Worksheet!$BD$68,IF(Calculation!DR38=66,Worksheet!$BD$68,IF(Calculation!DR38=78,Worksheet!$BD$69,IF(Calculation!DR38=90,Worksheet!$BD$70,IF(Calculation!DR38=102,Worksheet!$BD$71,Worksheet!$BD$72)))))))),IF(Calculation!DS38=12.5,IF(Calculation!DR38=18,Worksheet!$BD$73,IF(Calculation!DR38=Worksheet!$BD$74,IF(Calculation!DR38=42,Worksheet!$BD$75,IF(Calculation!DR38=54,Worksheet!$BD$76,Worksheet!$BD$77)))),IF(Calculation!DR38=18,Worksheet!$BD$55,IF(Calculation!DR38=30,Worksheet!$BD$56,IF(Calculation!DR38=42,Worksheet!$BD$57,IF(Calculation!DR38=54,Worksheet!$BD$58,IF(Calculation!DR38=66,Worksheet!$BD$59,IF(Calculation!DR38=78,Worksheet!$BD$60,IF(Calculation!DR38=90,Worksheet!$BD$61,IF(Calculation!DR38=102,Worksheet!$BD$62,Worksheet!$BD$63)))))))))))),5),0)," ")</f>
        <v xml:space="preserve"> </v>
      </c>
      <c r="EG38" s="361" t="str">
        <f t="shared" si="45"/>
        <v xml:space="preserve"> </v>
      </c>
      <c r="EH38" s="361" t="e">
        <f ca="1">INDEX(INDIRECT(VLOOKUP(LEFT(BO38,7),CLU!$Z$3:$AH$18,7)),M38-1,3+LEFT(DZ38,1))</f>
        <v>#N/A</v>
      </c>
      <c r="EI38" s="362" t="str">
        <f t="shared" si="46"/>
        <v xml:space="preserve"> </v>
      </c>
      <c r="EJ38" s="363" t="str">
        <f t="shared" si="47"/>
        <v xml:space="preserve"> </v>
      </c>
      <c r="EK38" s="363" t="str">
        <f t="shared" si="48"/>
        <v xml:space="preserve"> </v>
      </c>
      <c r="EL38" s="363" t="str">
        <f t="shared" si="49"/>
        <v xml:space="preserve"> </v>
      </c>
      <c r="EM38" s="362" t="str">
        <f>IF(L38&gt;0,IF(BR38&gt;0,(Calculation!T38/ED38)^2,0)," ")</f>
        <v xml:space="preserve"> </v>
      </c>
      <c r="EN38" s="362" t="str">
        <f>IF(L38&gt;0,IF(O38="2 Pipe (Cooling)","N/A",IF(BR38&gt;0,(Calculation!U38/EI38)^2,0))," ")</f>
        <v xml:space="preserve"> </v>
      </c>
      <c r="EO38" s="361" t="str">
        <f t="shared" si="50"/>
        <v/>
      </c>
      <c r="EP38" s="361" t="str">
        <f t="shared" si="51"/>
        <v/>
      </c>
      <c r="EQ38" s="361" t="str">
        <f t="shared" si="52"/>
        <v/>
      </c>
      <c r="ER38" s="361" t="str">
        <f t="shared" si="53"/>
        <v/>
      </c>
      <c r="ES38" s="361" t="str">
        <f t="shared" si="54"/>
        <v/>
      </c>
      <c r="ET38" s="361" t="str">
        <f t="shared" si="55"/>
        <v/>
      </c>
      <c r="EU38" s="361" t="str">
        <f t="shared" si="56"/>
        <v/>
      </c>
      <c r="EV38" s="361" t="str">
        <f t="shared" si="57"/>
        <v/>
      </c>
      <c r="EW38" s="361" t="str">
        <f t="shared" si="58"/>
        <v/>
      </c>
      <c r="EX38" s="361" t="str">
        <f t="shared" si="169"/>
        <v>1 slot, 1 way</v>
      </c>
      <c r="EY38" s="361" t="str">
        <f t="shared" si="170"/>
        <v xml:space="preserve"> </v>
      </c>
      <c r="EZ38" s="361" t="str">
        <f t="shared" si="171"/>
        <v xml:space="preserve"> </v>
      </c>
      <c r="FA38" s="361" t="str">
        <f t="shared" si="172"/>
        <v xml:space="preserve"> </v>
      </c>
      <c r="FB38" s="361" t="str">
        <f t="shared" si="173"/>
        <v xml:space="preserve"> </v>
      </c>
      <c r="FC38" s="361"/>
      <c r="FD38" s="361" t="str">
        <f>IF(J38&gt;0,IF(Calculation!R38&lt;=70,4,IF(Calculation!R38&lt;=110,5,IF(Calculation!R38&lt;=160,6,IF(Calculation!R38&lt;=300,8,"10 EO")))),"")</f>
        <v/>
      </c>
      <c r="FE38" s="361" t="str">
        <f t="shared" si="174"/>
        <v/>
      </c>
      <c r="FF38" s="361" t="str">
        <f t="shared" si="175"/>
        <v/>
      </c>
      <c r="FG38" s="361" t="e">
        <f t="shared" si="60"/>
        <v>#N/A</v>
      </c>
      <c r="FH38" s="361">
        <f t="shared" si="61"/>
        <v>0</v>
      </c>
      <c r="FI38" s="361" t="e">
        <f t="shared" si="62"/>
        <v>#DIV/0!</v>
      </c>
      <c r="FJ38" s="361"/>
      <c r="FK38" s="356" t="e">
        <f t="shared" si="63"/>
        <v>#VALUE!</v>
      </c>
      <c r="FL38" s="361"/>
      <c r="FM38" s="361"/>
      <c r="FN38" s="362" t="str">
        <f t="shared" si="176"/>
        <v xml:space="preserve"> </v>
      </c>
      <c r="FO38" s="362" t="str">
        <f t="shared" si="177"/>
        <v xml:space="preserve"> </v>
      </c>
      <c r="FP38" s="362">
        <f t="shared" si="178"/>
        <v>0</v>
      </c>
      <c r="FQ38" s="361">
        <f t="shared" si="64"/>
        <v>0</v>
      </c>
      <c r="FR38" s="362" t="str">
        <f>IF(L38&gt;0,IF(J38="CBAL2",Worksheet!$P$67,IF(J38="CBE2-24",Worksheet!$Q$67,IF(J38="CBAM",Worksheet!$R$67,IF(J38="CBLV",Worksheet!$S$67,IF(J38="CBAB",Worksheet!$U$67,IF(J38="CBAW",Worksheet!$X$67,IF(J38="CBE2-12",Worksheet!$Y$67,IF(J38="CBAL2",Worksheet!$Z$67,"N/A"))))))))," ")</f>
        <v xml:space="preserve"> </v>
      </c>
      <c r="FS38" s="362" t="str">
        <f>IF(L38&gt;0,IF(J38="CBAL2",Worksheet!$P$68,IF(J38="CBE2-24",Worksheet!$Q$68,IF(J38="CBAM",Worksheet!$R$68,IF(J38="CBLV",Worksheet!$S$68,IF(J38="CBAB",Worksheet!$U$68,IF(J38="CBAW",Worksheet!$X$68,IF(J38="CBE2-12",Worksheet!$Y$68,IF(J38="CBAL2",Worksheet!$Z$68,"N/A"))))))))," ")</f>
        <v xml:space="preserve"> </v>
      </c>
      <c r="FT38" s="362" t="str">
        <f>IF(L38&gt;0,IF(J38="CBAL2",Worksheet!$P$69,IF(J38="CBE2-24",Worksheet!$Q$69,IF(J38="CBAM",Worksheet!$R$69,IF(J38="CBLV",Worksheet!$S$69,IF(J38="CBAB",Worksheet!$U$69,IF(J38="CBAW",Worksheet!$X$69,IF(J38="CBE2-12",Worksheet!$Y$69,IF(J38="CBAL2",Worksheet!$Z$69,"N/A"))))))))," ")</f>
        <v xml:space="preserve"> </v>
      </c>
      <c r="FU38" s="361" t="str">
        <f t="shared" si="179"/>
        <v xml:space="preserve"> </v>
      </c>
      <c r="FV38" s="362" t="str">
        <f t="shared" si="180"/>
        <v xml:space="preserve"> </v>
      </c>
      <c r="FW38" s="362" t="str">
        <f t="shared" si="181"/>
        <v xml:space="preserve"> </v>
      </c>
      <c r="FX38" s="362" t="str">
        <f t="shared" si="182"/>
        <v xml:space="preserve"> </v>
      </c>
      <c r="FY38" s="355" t="str">
        <f t="shared" si="183"/>
        <v xml:space="preserve"> </v>
      </c>
      <c r="FZ38" s="361" t="str">
        <f t="shared" si="184"/>
        <v xml:space="preserve"> </v>
      </c>
      <c r="GA38" s="347" t="str">
        <f t="shared" si="185"/>
        <v xml:space="preserve"> </v>
      </c>
      <c r="GB38" s="355" t="str">
        <f t="shared" si="186"/>
        <v xml:space="preserve"> </v>
      </c>
      <c r="GC38" s="328" t="str">
        <f t="shared" si="187"/>
        <v xml:space="preserve"> </v>
      </c>
      <c r="GD38" s="361" t="str">
        <f t="shared" si="188"/>
        <v xml:space="preserve"> </v>
      </c>
      <c r="GE38" s="347" t="str">
        <f t="shared" si="189"/>
        <v xml:space="preserve"> </v>
      </c>
      <c r="GF38" s="361" t="str">
        <f t="shared" si="190"/>
        <v xml:space="preserve"> </v>
      </c>
      <c r="GG38" s="347" t="str">
        <f t="shared" si="191"/>
        <v xml:space="preserve"> </v>
      </c>
      <c r="GH38" s="364">
        <f t="shared" si="78"/>
        <v>0</v>
      </c>
      <c r="GI38" s="362">
        <f t="shared" si="192"/>
        <v>2</v>
      </c>
      <c r="GJ38" s="433" t="e">
        <f>IF(6-COUNTBLANK(GT38:GY38)=4,MATCH(MID(BO38,9,3),CLU!$H$16:$K$16),MATCH(MID(BO38,9,3),CLU!$H$13:$M$13))</f>
        <v>#N/A</v>
      </c>
      <c r="GK38" s="433" t="e">
        <f>HLOOKUP(VALUE(BP38),CLU!$H$9:$M$10,2)</f>
        <v>#VALUE!</v>
      </c>
      <c r="GL38" s="433" t="e">
        <f ca="1">MATCH(BU38,CLU!$H$2:$V$2,1)</f>
        <v>#VALUE!</v>
      </c>
      <c r="GM38" s="433" t="e">
        <f t="shared" ca="1" si="193"/>
        <v>#VALUE!</v>
      </c>
      <c r="GN38" s="433" t="e">
        <f t="shared" ca="1" si="194"/>
        <v>#VALUE!</v>
      </c>
      <c r="GO38" s="433" t="e">
        <f t="shared" ca="1" si="195"/>
        <v>#VALUE!</v>
      </c>
      <c r="GP38" s="433" t="e">
        <f t="shared" ca="1" si="196"/>
        <v>#VALUE!</v>
      </c>
      <c r="GQ38" s="433" t="e">
        <f t="shared" ca="1" si="197"/>
        <v>#VALUE!</v>
      </c>
      <c r="GR38" s="433" t="e">
        <f ca="1">MATCH(T38,INDIRECT(VLOOKUP(CONCATENATE(LEFT(BO38,7),"-",MID(BO38,13,1)),CLU!$P$3:$Q$16,2)),1)</f>
        <v>#N/A</v>
      </c>
      <c r="GS38" s="433" t="e">
        <f ca="1">MATCH(U38,INDIRECT(VLOOKUP(CONCATENATE(LEFT(BO38,7),"-",MID(BO38,13,1)),CLU!$P$3:$Q$16,2)),1)</f>
        <v>#N/A</v>
      </c>
      <c r="GT38" s="347" t="s">
        <v>512</v>
      </c>
      <c r="GU38" s="97" t="s">
        <v>513</v>
      </c>
      <c r="GV38" s="97" t="str">
        <f t="shared" si="198"/>
        <v>M23</v>
      </c>
      <c r="GW38" s="97" t="str">
        <f t="shared" si="199"/>
        <v>M31</v>
      </c>
      <c r="GX38" s="97" t="str">
        <f t="shared" si="200"/>
        <v/>
      </c>
      <c r="GY38" s="97" t="str">
        <f t="shared" si="201"/>
        <v/>
      </c>
      <c r="GZ38" s="481"/>
      <c r="HA38" s="288"/>
      <c r="HB38" s="240"/>
      <c r="HC38" s="240"/>
      <c r="HD38" s="240"/>
      <c r="HE38" s="240"/>
      <c r="HF38" s="240"/>
      <c r="HG38" s="240"/>
      <c r="HH38" s="240"/>
      <c r="HI38" s="240"/>
      <c r="HJ38" s="240"/>
      <c r="HK38" s="240"/>
      <c r="HL38" s="240"/>
      <c r="HM38" s="240"/>
      <c r="HN38" s="240"/>
      <c r="HO38" s="240"/>
      <c r="HP38" s="240"/>
      <c r="HQ38" s="240"/>
      <c r="HR38" s="240"/>
      <c r="HS38" s="240"/>
      <c r="HT38" s="240"/>
      <c r="HU38" s="240"/>
      <c r="HV38" s="245"/>
      <c r="HW38" s="245" t="b">
        <v>1</v>
      </c>
      <c r="HX38" s="245" t="str">
        <f t="shared" si="79"/>
        <v/>
      </c>
      <c r="HY38" s="245" t="e">
        <f t="shared" si="80"/>
        <v>#DIV/0!</v>
      </c>
      <c r="HZ38" s="245" t="e">
        <f t="shared" si="81"/>
        <v>#DIV/0!</v>
      </c>
      <c r="IA38" s="245">
        <f t="shared" si="82"/>
        <v>0</v>
      </c>
      <c r="IB38" s="245"/>
      <c r="IC38" t="b">
        <f t="shared" si="83"/>
        <v>1</v>
      </c>
      <c r="ID38" s="245" t="b">
        <f t="shared" si="84"/>
        <v>1</v>
      </c>
      <c r="IE38" s="245" t="b">
        <f t="shared" si="85"/>
        <v>1</v>
      </c>
      <c r="IF38" s="245" t="b">
        <f t="shared" si="86"/>
        <v>0</v>
      </c>
      <c r="IG38" s="245" t="b">
        <f t="shared" si="87"/>
        <v>1</v>
      </c>
      <c r="IH38" s="245" t="b">
        <f t="shared" si="88"/>
        <v>1</v>
      </c>
      <c r="II38" s="245">
        <f t="shared" si="202"/>
        <v>0</v>
      </c>
      <c r="IJ38" s="245" t="e">
        <f t="shared" si="89"/>
        <v>#VALUE!</v>
      </c>
      <c r="IK38" s="245" t="e">
        <f t="shared" si="90"/>
        <v>#VALUE!</v>
      </c>
      <c r="IL38" s="245"/>
      <c r="IM38" s="245" t="e">
        <f t="shared" si="203"/>
        <v>#N/A</v>
      </c>
      <c r="IN38" s="245" t="e">
        <f t="shared" si="204"/>
        <v>#N/A</v>
      </c>
      <c r="IO38" s="245"/>
      <c r="IP38" s="245"/>
      <c r="IQ38" s="245" t="str">
        <f t="shared" si="91"/>
        <v/>
      </c>
      <c r="IR38" s="245" t="str">
        <f>IF(J38="","",VLOOKUP(J38,Worksheet!$R$4:$T$14,2))</f>
        <v/>
      </c>
      <c r="IS38" s="245"/>
      <c r="IT38" s="245">
        <f t="shared" si="92"/>
        <v>0</v>
      </c>
      <c r="IU38" s="245">
        <f t="shared" si="93"/>
        <v>0</v>
      </c>
      <c r="IV38" s="245">
        <f t="shared" si="94"/>
        <v>0</v>
      </c>
      <c r="IW38" s="245">
        <f t="shared" si="95"/>
        <v>0</v>
      </c>
      <c r="IX38" s="245">
        <f t="shared" si="205"/>
        <v>0</v>
      </c>
      <c r="IY38" s="245">
        <f t="shared" si="96"/>
        <v>0</v>
      </c>
      <c r="IZ38" s="245">
        <f t="shared" si="97"/>
        <v>0</v>
      </c>
      <c r="JA38">
        <f t="shared" si="98"/>
        <v>0</v>
      </c>
      <c r="JB38">
        <f t="shared" si="206"/>
        <v>0</v>
      </c>
      <c r="JC38">
        <f t="shared" si="99"/>
        <v>0</v>
      </c>
      <c r="JD38">
        <f t="shared" si="100"/>
        <v>0</v>
      </c>
      <c r="JE38">
        <f t="shared" si="101"/>
        <v>0</v>
      </c>
      <c r="JF38">
        <f t="shared" si="102"/>
        <v>0</v>
      </c>
      <c r="JG38">
        <f t="shared" si="103"/>
        <v>0</v>
      </c>
      <c r="JH38">
        <f t="shared" si="104"/>
        <v>0</v>
      </c>
      <c r="JI38">
        <f t="shared" si="105"/>
        <v>0</v>
      </c>
      <c r="JJ38" s="447">
        <f t="shared" si="106"/>
        <v>0</v>
      </c>
      <c r="JK38" s="447">
        <f t="shared" si="107"/>
        <v>0</v>
      </c>
      <c r="JL38">
        <f t="shared" si="108"/>
        <v>0</v>
      </c>
      <c r="JM38" s="245" t="str">
        <f>IFERROR(VLOOKUP(MATCH(BN38,#REF!,0),#REF!,7),"")</f>
        <v/>
      </c>
      <c r="JN38" t="e">
        <f>HLOOKUP(LEFT(BO38,7),Discharge_Area,MATCH(JO38,LookUps!$B$130:$B$149,1)+2)</f>
        <v>#N/A</v>
      </c>
      <c r="JO38" t="str">
        <f t="shared" si="109"/>
        <v>- S</v>
      </c>
      <c r="JP38" t="e">
        <f>HLOOKUP(LEFT(BO38,7),Discharge_Area,MATCH(JO38,LookUps!$B$130:$B$149,1)+2)</f>
        <v>#N/A</v>
      </c>
      <c r="JQ38" t="e">
        <f t="shared" si="110"/>
        <v>#N/A</v>
      </c>
      <c r="JR38" t="e">
        <f t="shared" si="111"/>
        <v>#N/A</v>
      </c>
      <c r="JS38" t="e">
        <f t="shared" si="112"/>
        <v>#N/A</v>
      </c>
      <c r="JT38" s="532" t="str">
        <f t="shared" si="113"/>
        <v xml:space="preserve"> </v>
      </c>
      <c r="JU38" s="532" t="str">
        <f t="shared" si="114"/>
        <v xml:space="preserve"> </v>
      </c>
      <c r="JV38" s="533" t="str">
        <f t="shared" si="115"/>
        <v xml:space="preserve"> </v>
      </c>
      <c r="JW38" s="534">
        <f t="shared" si="116"/>
        <v>0</v>
      </c>
      <c r="JX38" s="535" t="str">
        <f t="shared" si="207"/>
        <v xml:space="preserve"> </v>
      </c>
      <c r="JY38" s="535" t="str">
        <f t="shared" si="208"/>
        <v xml:space="preserve"> </v>
      </c>
      <c r="JZ38" s="535" t="str">
        <f t="shared" si="209"/>
        <v xml:space="preserve"> </v>
      </c>
      <c r="KA38" s="536" t="str">
        <f t="shared" si="117"/>
        <v xml:space="preserve"> </v>
      </c>
      <c r="KB38" s="535" t="e">
        <f t="shared" si="210"/>
        <v>#VALUE!</v>
      </c>
      <c r="KC38" s="535" t="str">
        <f t="shared" si="118"/>
        <v/>
      </c>
      <c r="KD38" s="537" t="str">
        <f t="shared" si="211"/>
        <v xml:space="preserve"> </v>
      </c>
      <c r="KE38" s="537" t="str">
        <f t="shared" si="212"/>
        <v xml:space="preserve"> </v>
      </c>
      <c r="KF38" s="534">
        <f t="shared" si="119"/>
        <v>0</v>
      </c>
      <c r="KG38" s="535" t="str">
        <f t="shared" si="120"/>
        <v xml:space="preserve"> </v>
      </c>
      <c r="KH38" s="535" t="str">
        <f t="shared" si="121"/>
        <v xml:space="preserve"> </v>
      </c>
      <c r="KI38" s="535" t="str">
        <f t="shared" si="122"/>
        <v xml:space="preserve"> </v>
      </c>
      <c r="KJ38" s="536" t="str">
        <f t="shared" si="123"/>
        <v xml:space="preserve"> </v>
      </c>
      <c r="KK38" s="535" t="str">
        <f t="shared" si="213"/>
        <v xml:space="preserve"> </v>
      </c>
      <c r="KL38" s="535" t="str">
        <f t="shared" si="214"/>
        <v xml:space="preserve"> </v>
      </c>
      <c r="KM38" s="537" t="str">
        <f t="shared" si="124"/>
        <v xml:space="preserve"> </v>
      </c>
      <c r="KN38" s="537" t="str">
        <f t="shared" si="215"/>
        <v xml:space="preserve"> </v>
      </c>
      <c r="KP38">
        <f t="shared" si="125"/>
        <v>0</v>
      </c>
      <c r="LA38" t="e">
        <f t="shared" si="126"/>
        <v>#VALUE!</v>
      </c>
      <c r="LB38" t="e">
        <f t="shared" si="127"/>
        <v>#VALUE!</v>
      </c>
      <c r="LC38" t="e">
        <f t="shared" si="128"/>
        <v>#VALUE!</v>
      </c>
      <c r="LD38" t="e">
        <f t="shared" si="129"/>
        <v>#VALUE!</v>
      </c>
      <c r="LE38" t="e">
        <f t="shared" si="216"/>
        <v>#VALUE!</v>
      </c>
      <c r="LF38">
        <f t="shared" si="130"/>
        <v>0</v>
      </c>
      <c r="LG38" t="e">
        <f t="shared" si="217"/>
        <v>#VALUE!</v>
      </c>
      <c r="LH38" t="str">
        <f t="shared" si="131"/>
        <v xml:space="preserve"> </v>
      </c>
      <c r="LI38">
        <f t="shared" si="218"/>
        <v>1</v>
      </c>
    </row>
    <row r="39" spans="2:321" ht="15" customHeight="1">
      <c r="B39" s="311"/>
      <c r="C39" s="311"/>
      <c r="D39" s="312"/>
      <c r="E39" s="311"/>
      <c r="F39" s="312"/>
      <c r="G39" s="311"/>
      <c r="H39" s="311"/>
      <c r="I39" s="37"/>
      <c r="J39" s="311"/>
      <c r="K39" s="305" t="str">
        <f t="shared" si="132"/>
        <v/>
      </c>
      <c r="L39" s="313"/>
      <c r="M39" s="312"/>
      <c r="N39" s="311"/>
      <c r="O39" s="312"/>
      <c r="P39" s="311"/>
      <c r="Q39" s="305" t="str">
        <f t="shared" si="133"/>
        <v/>
      </c>
      <c r="R39" s="314"/>
      <c r="S39" s="450" t="str">
        <f t="shared" si="0"/>
        <v/>
      </c>
      <c r="T39" s="315"/>
      <c r="U39" s="315"/>
      <c r="W39" s="149" t="str">
        <f t="shared" si="1"/>
        <v xml:space="preserve"> </v>
      </c>
      <c r="X39" s="243" t="str">
        <f t="shared" si="2"/>
        <v xml:space="preserve"> </v>
      </c>
      <c r="Y39" s="150" t="str">
        <f t="shared" si="3"/>
        <v/>
      </c>
      <c r="Z39" s="149" t="str">
        <f t="shared" si="4"/>
        <v xml:space="preserve"> </v>
      </c>
      <c r="AA39" s="98" t="str">
        <f t="shared" si="5"/>
        <v xml:space="preserve"> </v>
      </c>
      <c r="AB39" s="153" t="str">
        <f t="shared" si="6"/>
        <v xml:space="preserve"> </v>
      </c>
      <c r="AC39" s="153" t="str">
        <f t="shared" si="7"/>
        <v xml:space="preserve"> </v>
      </c>
      <c r="AD39" s="148" t="str">
        <f t="shared" si="8"/>
        <v/>
      </c>
      <c r="AE39" s="149" t="str">
        <f t="shared" si="9"/>
        <v/>
      </c>
      <c r="AF39" s="151" t="str">
        <f t="shared" si="10"/>
        <v xml:space="preserve"> </v>
      </c>
      <c r="AG39" s="153" t="str">
        <f t="shared" si="11"/>
        <v xml:space="preserve"> </v>
      </c>
      <c r="AH39" s="98" t="str">
        <f t="shared" si="12"/>
        <v xml:space="preserve"> </v>
      </c>
      <c r="AI39" s="149" t="str">
        <f t="shared" si="13"/>
        <v xml:space="preserve"> </v>
      </c>
      <c r="AK39" s="144" t="str">
        <f t="shared" si="14"/>
        <v xml:space="preserve"> </v>
      </c>
      <c r="AL39" s="144"/>
      <c r="AM39" s="243" t="str">
        <f t="shared" si="15"/>
        <v xml:space="preserve"> </v>
      </c>
      <c r="AN39" s="149" t="str">
        <f t="shared" si="134"/>
        <v xml:space="preserve"> </v>
      </c>
      <c r="AO39" s="144" t="str">
        <f>IF(JB39&gt;0,IF(GI39=10,-R39*1.085*(Calculation!$F$6-Calculation!$F$13)*$S$14," "),"")</f>
        <v/>
      </c>
      <c r="AP39" s="144" t="str">
        <f t="shared" si="16"/>
        <v/>
      </c>
      <c r="AQ39" s="56" t="str">
        <f t="shared" si="17"/>
        <v/>
      </c>
      <c r="AR39" s="144" t="str">
        <f t="shared" si="18"/>
        <v/>
      </c>
      <c r="AS39" s="176" t="str">
        <f t="shared" si="19"/>
        <v/>
      </c>
      <c r="AT39" s="176" t="str">
        <f t="shared" si="135"/>
        <v xml:space="preserve"> </v>
      </c>
      <c r="AU39" s="176" t="str">
        <f t="shared" si="20"/>
        <v/>
      </c>
      <c r="AV39" s="177" t="str">
        <f t="shared" si="21"/>
        <v xml:space="preserve"> </v>
      </c>
      <c r="AW39" s="144" t="str">
        <f t="shared" si="22"/>
        <v xml:space="preserve"> </v>
      </c>
      <c r="AX39" s="144" t="str">
        <f t="shared" si="23"/>
        <v xml:space="preserve"> </v>
      </c>
      <c r="AY39" s="152" t="str">
        <f t="shared" si="24"/>
        <v xml:space="preserve"> </v>
      </c>
      <c r="AZ39" s="246" t="str">
        <f t="shared" si="25"/>
        <v/>
      </c>
      <c r="BA39" s="176" t="str">
        <f t="shared" si="26"/>
        <v xml:space="preserve"> </v>
      </c>
      <c r="BB39" s="176" t="str">
        <f t="shared" si="27"/>
        <v xml:space="preserve"> </v>
      </c>
      <c r="BC39" s="195"/>
      <c r="BD39" s="316"/>
      <c r="BE39" s="317"/>
      <c r="BF39" s="318"/>
      <c r="BG39" s="318"/>
      <c r="BH39" s="144" t="str">
        <f t="shared" si="219"/>
        <v xml:space="preserve"> </v>
      </c>
      <c r="BI39" s="176" t="str">
        <f t="shared" si="28"/>
        <v/>
      </c>
      <c r="BJ39" s="144" t="str">
        <f t="shared" si="220"/>
        <v/>
      </c>
      <c r="BK39" s="246" t="str">
        <f t="shared" si="29"/>
        <v/>
      </c>
      <c r="BL39" s="144" t="str">
        <f t="shared" si="221"/>
        <v/>
      </c>
      <c r="BM39" s="246" t="str">
        <f t="shared" si="30"/>
        <v/>
      </c>
      <c r="BN39" s="337" t="str">
        <f t="shared" si="136"/>
        <v/>
      </c>
      <c r="BO39" s="371" t="str">
        <f t="shared" si="137"/>
        <v/>
      </c>
      <c r="BP39" s="328" t="str">
        <f t="shared" si="222"/>
        <v xml:space="preserve"> </v>
      </c>
      <c r="BQ39" s="347" t="str">
        <f t="shared" si="138"/>
        <v xml:space="preserve"> </v>
      </c>
      <c r="BR39" s="353" t="str">
        <f t="shared" si="223"/>
        <v xml:space="preserve"> </v>
      </c>
      <c r="BS39" s="626" t="str">
        <f>IF(L39&gt;0,IF(Calculation!P39="M13",BR39*3.1416*(0.134^2)/(4*144),IF(Calculation!P39="M17",BR39*3.1416*(0.165^2)/(4*144),IF(Calculation!P39="M20",BR39*3.1416*(0.198^2)/(4*144),IF(Calculation!P39="M23",BR39*3.1416*(0.228^2)/(4*144),IF(Calculation!P39="M27",BR39*3.1416*(0.269^2)/(4*144),BR39*3.1416*(0.307^2)/(4*144))))))," ")</f>
        <v xml:space="preserve"> </v>
      </c>
      <c r="BT39" s="353" t="str">
        <f>IF(L39&gt;0,IF(BS39&gt;0,R39/Calculation!BS39,0)," ")</f>
        <v xml:space="preserve"> </v>
      </c>
      <c r="BU39" s="438" t="e">
        <f t="shared" ca="1" si="31"/>
        <v>#VALUE!</v>
      </c>
      <c r="BV39" s="449" t="e">
        <f ca="1">INDEX(INDIRECT(VLOOKUP(LEFT(BO39,7),CLU!$Z$3:$AH$18,2)),GN39,GR39)</f>
        <v>#N/A</v>
      </c>
      <c r="BW39" s="433" t="e">
        <f ca="1">INDEX(INDIRECT(VLOOKUP(LEFT(BO39,7),CLU!$Z$3:$AH$18,3)),GN39,GR39)</f>
        <v>#N/A</v>
      </c>
      <c r="BX39" s="433" t="e">
        <f ca="1">INDEX(INDIRECT(VLOOKUP(LEFT(BO39,7),CLU!$Z$3:$AH$18,4)),GN39,GR39)</f>
        <v>#N/A</v>
      </c>
      <c r="BY39" s="433" t="e">
        <f ca="1">INDEX(INDIRECT(VLOOKUP(LEFT(BO39,7),CLU!$Z$3:$AH$18,9)),((M39-2)*(6-COUNTBLANK(GT39:GY39)))+GJ39)</f>
        <v>#N/A</v>
      </c>
      <c r="BZ39" s="426" t="e">
        <f t="shared" ca="1" si="139"/>
        <v>#N/A</v>
      </c>
      <c r="CA39" s="424" t="e">
        <f t="shared" ca="1" si="140"/>
        <v>#N/A</v>
      </c>
      <c r="CB39" s="429" t="e">
        <f ca="1">INDEX(INDIRECT(VLOOKUP(LEFT(BO39,7),CLU!$Z$3:$AH$18,2)),GN39,GS39)</f>
        <v>#N/A</v>
      </c>
      <c r="CC39" s="342" t="e">
        <f ca="1">INDEX(INDIRECT(VLOOKUP(LEFT(BO39,7),CLU!$Z$3:$AH$18,3)),GN39,GS39)</f>
        <v>#N/A</v>
      </c>
      <c r="CD39" s="342" t="e">
        <f ca="1">INDEX(INDIRECT(VLOOKUP(LEFT(BO39,7),CLU!$Z$3:$AH$18,4)),GN39,GS39)</f>
        <v>#N/A</v>
      </c>
      <c r="CE39" s="426" t="e">
        <f t="shared" ca="1" si="141"/>
        <v>#N/A</v>
      </c>
      <c r="CF39" s="440">
        <f t="shared" si="142"/>
        <v>0</v>
      </c>
      <c r="CG39" s="431" t="e">
        <f ca="1">INDEX(INDIRECT(VLOOKUP(LEFT(BO39,7),CLU!$Z$3:$AH$18,2)),GQ39,GR39)</f>
        <v>#N/A</v>
      </c>
      <c r="CH39" s="431" t="e">
        <f ca="1">INDEX(INDIRECT(VLOOKUP(LEFT(BO39,7),CLU!$Z$3:$AH$18,3)),GQ39,GR39)</f>
        <v>#N/A</v>
      </c>
      <c r="CI39" s="431" t="e">
        <f ca="1">INDEX(INDIRECT(VLOOKUP(LEFT(BO39,7),CLU!$Z$3:$AH$18,4)),GQ39,GR39)</f>
        <v>#N/A</v>
      </c>
      <c r="CJ39" s="448" t="e">
        <f t="shared" ca="1" si="143"/>
        <v>#N/A</v>
      </c>
      <c r="CK39" s="431" t="e">
        <f t="shared" ca="1" si="144"/>
        <v>#N/A</v>
      </c>
      <c r="CL39" s="440" t="e">
        <f t="shared" ca="1" si="145"/>
        <v>#N/A</v>
      </c>
      <c r="CM39" s="431" t="e">
        <f ca="1">INDEX(INDIRECT(VLOOKUP(LEFT(BO39,7),CLU!$Z$3:$AH$18,2)),GQ39,GS39)</f>
        <v>#N/A</v>
      </c>
      <c r="CN39" s="431" t="e">
        <f ca="1">INDEX(INDIRECT(VLOOKUP(LEFT(BO39,7),CLU!$Z$3:$AH$18,3)),GQ39,GS39)</f>
        <v>#N/A</v>
      </c>
      <c r="CO39" s="431" t="e">
        <f ca="1">INDEX(INDIRECT(VLOOKUP(LEFT(BO39,7),CLU!$Z$3:$AH$18,4)),GQ39,GS39)</f>
        <v>#N/A</v>
      </c>
      <c r="CP39" s="431" t="e">
        <f t="shared" ca="1" si="146"/>
        <v>#N/A</v>
      </c>
      <c r="CQ39" s="440">
        <f t="shared" si="147"/>
        <v>0</v>
      </c>
      <c r="CR39" s="51" t="e">
        <f t="shared" ca="1" si="148"/>
        <v>#N/A</v>
      </c>
      <c r="CS39" s="439" t="e">
        <f t="shared" ca="1" si="149"/>
        <v>#VALUE!</v>
      </c>
      <c r="CT39" s="51" t="e">
        <f t="shared" ca="1" si="150"/>
        <v>#VALUE!</v>
      </c>
      <c r="CU39" s="10"/>
      <c r="CV39" s="51" t="e">
        <f t="shared" ca="1" si="34"/>
        <v>#VALUE!</v>
      </c>
      <c r="CW39" s="51">
        <f t="shared" si="151"/>
        <v>0</v>
      </c>
      <c r="CX39" s="439" t="e">
        <f t="shared" ca="1" si="152"/>
        <v>#VALUE!</v>
      </c>
      <c r="CY39" s="51" t="e">
        <f t="shared" ca="1" si="153"/>
        <v>#VALUE!</v>
      </c>
      <c r="CZ39" s="10"/>
      <c r="DA39" s="51" t="e">
        <f t="shared" ca="1" si="154"/>
        <v>#VALUE!</v>
      </c>
      <c r="DB39" s="347" t="e">
        <f ca="1">INDEX(INDIRECT(VLOOKUP(LEFT(BO39,7),CLU!$Z$3:$AI$18,10)),((M39-2)*(6-COUNTBLANK(GT39:GY39)))+GJ39)*LI39</f>
        <v>#N/A</v>
      </c>
      <c r="DC39" s="347" t="str">
        <f>IF(L39&gt;0,((R39/Worksheet!$I$15)/DB39)^2," ")</f>
        <v xml:space="preserve"> </v>
      </c>
      <c r="DD39" s="602" t="str">
        <f t="shared" si="224"/>
        <v xml:space="preserve"> </v>
      </c>
      <c r="DE39" s="347" t="str">
        <f t="shared" si="35"/>
        <v xml:space="preserve"> </v>
      </c>
      <c r="DF39" s="356" t="e">
        <f ca="1">INDEX(INDIRECT(VLOOKUP(LEFT(BO39,7),CLU!$Z$3:$AH$18,8)),((M39-2)*(6-COUNTBLANK(GT39:GY39)))+GJ39)</f>
        <v>#N/A</v>
      </c>
      <c r="DG39" s="347" t="str">
        <f t="shared" si="36"/>
        <v xml:space="preserve"> </v>
      </c>
      <c r="DH39" s="357" t="str">
        <f t="shared" si="37"/>
        <v xml:space="preserve"> </v>
      </c>
      <c r="DI39" s="355" t="str">
        <f t="shared" si="38"/>
        <v xml:space="preserve"> </v>
      </c>
      <c r="DJ39" s="245" t="e">
        <f ca="1">INDEX(INDIRECT(VLOOKUP(LEFT(BO39,7),CLU!$Z$3:$AH$18,5)),GL39,GK39)</f>
        <v>#N/A</v>
      </c>
      <c r="DK39" s="245" t="e">
        <f ca="1">INDEX(INDIRECT(VLOOKUP(LEFT(BO39,7),CLU!$Z$3:$AH$18,6)),GL39,GK39)</f>
        <v>#N/A</v>
      </c>
      <c r="DL39" s="355">
        <f>(Calculation!R39*0.69143*(Calculation!$BQ$8-Calculation!$F$8))*$S$14</f>
        <v>0</v>
      </c>
      <c r="DM39" s="359" t="e">
        <f t="shared" si="160"/>
        <v>#VALUE!</v>
      </c>
      <c r="DN39" s="611">
        <f t="shared" si="161"/>
        <v>0</v>
      </c>
      <c r="DO39" s="359">
        <f t="shared" si="162"/>
        <v>100</v>
      </c>
      <c r="DP39" s="359">
        <f t="shared" si="163"/>
        <v>0</v>
      </c>
      <c r="DQ39" s="360"/>
      <c r="DR39" s="245" t="e">
        <f ca="1">INDEX(INDIRECT(VLOOKUP(LEFT(BO39,7),CLU!$Z$3:$AH$18,7)),M39-1,1)</f>
        <v>#N/A</v>
      </c>
      <c r="DS39" s="245" t="e">
        <f ca="1">INDEX(INDIRECT(VLOOKUP(LEFT(BO39,7),CLU!$Z$3:$AH$18,7)),M39-1,2)</f>
        <v>#N/A</v>
      </c>
      <c r="DT39" s="245" t="e">
        <f ca="1">INDEX(INDIRECT(VLOOKUP(LEFT(BO39,7),CLU!$Z$3:$AH$18,7)),M39-1,3)</f>
        <v>#N/A</v>
      </c>
      <c r="DU39" s="245" t="e">
        <f ca="1">INDEX(INDIRECT(VLOOKUP(LEFT(BO39,7),CLU!$Z$3:$AH$18,7)),M39-1,4)</f>
        <v>#N/A</v>
      </c>
      <c r="DV39" s="361" t="e">
        <f ca="1">INDEX(INDIRECT(VLOOKUP(LEFT(BO39,7),CLU!$Z$3:$AH$18,7)),M39-1,4+LEFT(DZ39,1)*0.5)</f>
        <v>#N/A</v>
      </c>
      <c r="DW39" s="245" t="e">
        <f ca="1">INDEX(INDIRECT(VLOOKUP(LEFT(BO39,7),CLU!$Z$3:$AH$18,7)),M39-1,8)</f>
        <v>#N/A</v>
      </c>
      <c r="DX39" s="361" t="str">
        <f t="shared" si="39"/>
        <v xml:space="preserve"> </v>
      </c>
      <c r="DY39" s="361" t="str">
        <f t="shared" si="40"/>
        <v xml:space="preserve"> </v>
      </c>
      <c r="DZ39" s="361" t="str">
        <f t="shared" si="41"/>
        <v xml:space="preserve"> </v>
      </c>
      <c r="EA39" s="362" t="str">
        <f t="shared" si="42"/>
        <v xml:space="preserve"> </v>
      </c>
      <c r="EB39" s="624" t="str">
        <f t="shared" si="168"/>
        <v xml:space="preserve"> </v>
      </c>
      <c r="EC39" s="361" t="e">
        <f ca="1">INDEX(INDIRECT(VLOOKUP(LEFT(BO39,7),CLU!$Z$3:$AH$18,7)),M39-1,4+LEFT(DZ39,1)*0.5)</f>
        <v>#N/A</v>
      </c>
      <c r="ED39" s="362" t="str">
        <f t="shared" si="43"/>
        <v xml:space="preserve"> </v>
      </c>
      <c r="EE39" s="361" t="str">
        <f t="shared" si="44"/>
        <v xml:space="preserve"> </v>
      </c>
      <c r="EF39" s="362" t="str">
        <f>IF(L39&gt;0,IF(BR39&gt;0,IF(EE39="2P",IF(Calculation!DZ39="2P",IF(Calculation!DS39=13.75,IF(Calculation!DR39=13,Worksheet!$BD$43,IF(Calculation!DR39=37,Worksheet!$BD$44,Worksheet!$BD$45)),IF(Calculation!DS39=10,IF(Calculation!DR39=18,Worksheet!$BD$29,IF(Calculation!DR39=30,Worksheet!$BD$30,IF(Calculation!DR39=42,Worksheet!$BD$31,IF(Calculation!DR39=54,Worksheet!$BD$32,IF(Calculation!DR39=66,Worksheet!$BD$33,IF(Calculation!DR39=78,Worksheet!$BD$34,IF(Calculation!DR39=90,Worksheet!$BD$35,IF(Calculation!DR39=102,Worksheet!$BD$36,Worksheet!$BD$37)))))))),IF(Calculation!DS39=12.5,IF(Calculation!DR39=18,Worksheet!$BD$38,IF(Calculation!DR39=Worksheet!$BD$39,IF(Calculation!DR39=42,Worksheet!$BD$40,IF(Calculation!DR39=54,Worksheet!$BD$41,Worksheet!$BD$42)))),IF(Calculation!DR39=18,Worksheet!$BD$11,IF(Calculation!DR39=30,Worksheet!$BD$12,IF(Calculation!DR39=42,Worksheet!$BD$13,IF(Calculation!DR39=54,Worksheet!$BD$14,IF(Calculation!DR39=66,Worksheet!$BD$15,IF(Calculation!DR39=78,Worksheet!$BD$16,IF(Calculation!DR39=90,Worksheet!$BD$17,IF(Calculation!DR39=102,Worksheet!$BD$18,Worksheet!$BD$19))))))))))),IF(Calculation!DS39=13.75,IF(Calculation!DR39=13,Worksheet!$BD$78,IF(Calculation!DR39=37,Worksheet!$BD$79,Worksheet!$BD$80)),IF(Calculation!DS39=10,IF(Calculation!DR39=18,Worksheet!$BD$64,IF(Calculation!DR39=30,Worksheet!$BD$65,IF(Calculation!DR39=42,Worksheet!$BD$66,IF(Calculation!DR39=54,Worksheet!$BD$68,IF(Calculation!DR39=66,Worksheet!$BD$68,IF(Calculation!DR39=78,Worksheet!$BD$69,IF(Calculation!DR39=90,Worksheet!$BD$70,IF(Calculation!DR39=102,Worksheet!$BD$71,Worksheet!$BD$72)))))))),IF(Calculation!DS39=12.5,IF(Calculation!DR39=18,Worksheet!$BD$73,IF(Calculation!DR39=Worksheet!$BD$74,IF(Calculation!DR39=42,Worksheet!$BD$75,IF(Calculation!DR39=54,Worksheet!$BD$76,Worksheet!$BD$77)))),IF(Calculation!DR39=18,Worksheet!$BD$55,IF(Calculation!DR39=30,Worksheet!$BD$56,IF(Calculation!DR39=42,Worksheet!$BD$57,IF(Calculation!DR39=54,Worksheet!$BD$58,IF(Calculation!DR39=66,Worksheet!$BD$59,IF(Calculation!DR39=78,Worksheet!$BD$60,IF(Calculation!DR39=90,Worksheet!$BD$61,IF(Calculation!DR39=102,Worksheet!$BD$62,Worksheet!$BD$63)))))))))))),5),0)," ")</f>
        <v xml:space="preserve"> </v>
      </c>
      <c r="EG39" s="361" t="str">
        <f t="shared" si="45"/>
        <v xml:space="preserve"> </v>
      </c>
      <c r="EH39" s="361" t="e">
        <f ca="1">INDEX(INDIRECT(VLOOKUP(LEFT(BO39,7),CLU!$Z$3:$AH$18,7)),M39-1,3+LEFT(DZ39,1))</f>
        <v>#N/A</v>
      </c>
      <c r="EI39" s="362" t="str">
        <f t="shared" si="46"/>
        <v xml:space="preserve"> </v>
      </c>
      <c r="EJ39" s="363" t="str">
        <f t="shared" si="47"/>
        <v xml:space="preserve"> </v>
      </c>
      <c r="EK39" s="363" t="str">
        <f t="shared" si="48"/>
        <v xml:space="preserve"> </v>
      </c>
      <c r="EL39" s="363" t="str">
        <f t="shared" si="49"/>
        <v xml:space="preserve"> </v>
      </c>
      <c r="EM39" s="362" t="str">
        <f>IF(L39&gt;0,IF(BR39&gt;0,(Calculation!T39/ED39)^2,0)," ")</f>
        <v xml:space="preserve"> </v>
      </c>
      <c r="EN39" s="362" t="str">
        <f>IF(L39&gt;0,IF(O39="2 Pipe (Cooling)","N/A",IF(BR39&gt;0,(Calculation!U39/EI39)^2,0))," ")</f>
        <v xml:space="preserve"> </v>
      </c>
      <c r="EO39" s="361" t="str">
        <f t="shared" si="50"/>
        <v/>
      </c>
      <c r="EP39" s="361" t="str">
        <f t="shared" si="51"/>
        <v/>
      </c>
      <c r="EQ39" s="361" t="str">
        <f t="shared" si="52"/>
        <v/>
      </c>
      <c r="ER39" s="361" t="str">
        <f t="shared" si="53"/>
        <v/>
      </c>
      <c r="ES39" s="361" t="str">
        <f t="shared" si="54"/>
        <v/>
      </c>
      <c r="ET39" s="361" t="str">
        <f t="shared" si="55"/>
        <v/>
      </c>
      <c r="EU39" s="361" t="str">
        <f t="shared" si="56"/>
        <v/>
      </c>
      <c r="EV39" s="361" t="str">
        <f t="shared" si="57"/>
        <v/>
      </c>
      <c r="EW39" s="361" t="str">
        <f t="shared" si="58"/>
        <v/>
      </c>
      <c r="EX39" s="361" t="str">
        <f t="shared" si="169"/>
        <v>1 slot, 1 way</v>
      </c>
      <c r="EY39" s="361" t="str">
        <f t="shared" si="170"/>
        <v xml:space="preserve"> </v>
      </c>
      <c r="EZ39" s="361" t="str">
        <f t="shared" si="171"/>
        <v xml:space="preserve"> </v>
      </c>
      <c r="FA39" s="361" t="str">
        <f t="shared" si="172"/>
        <v xml:space="preserve"> </v>
      </c>
      <c r="FB39" s="361" t="str">
        <f t="shared" si="173"/>
        <v xml:space="preserve"> </v>
      </c>
      <c r="FC39" s="361"/>
      <c r="FD39" s="361" t="str">
        <f>IF(J39&gt;0,IF(Calculation!R39&lt;=70,4,IF(Calculation!R39&lt;=110,5,IF(Calculation!R39&lt;=160,6,IF(Calculation!R39&lt;=300,8,"10 EO")))),"")</f>
        <v/>
      </c>
      <c r="FE39" s="361" t="str">
        <f t="shared" si="174"/>
        <v/>
      </c>
      <c r="FF39" s="361" t="str">
        <f t="shared" si="175"/>
        <v/>
      </c>
      <c r="FG39" s="361" t="e">
        <f t="shared" si="60"/>
        <v>#N/A</v>
      </c>
      <c r="FH39" s="361">
        <f t="shared" si="61"/>
        <v>0</v>
      </c>
      <c r="FI39" s="361" t="e">
        <f t="shared" si="62"/>
        <v>#DIV/0!</v>
      </c>
      <c r="FJ39" s="361"/>
      <c r="FK39" s="356" t="e">
        <f t="shared" si="63"/>
        <v>#VALUE!</v>
      </c>
      <c r="FL39" s="361"/>
      <c r="FM39" s="361"/>
      <c r="FN39" s="362" t="str">
        <f t="shared" si="176"/>
        <v xml:space="preserve"> </v>
      </c>
      <c r="FO39" s="362" t="str">
        <f t="shared" si="177"/>
        <v xml:space="preserve"> </v>
      </c>
      <c r="FP39" s="362">
        <f t="shared" si="178"/>
        <v>0</v>
      </c>
      <c r="FQ39" s="361">
        <f t="shared" si="64"/>
        <v>0</v>
      </c>
      <c r="FR39" s="362" t="str">
        <f>IF(L39&gt;0,IF(J39="CBAL2",Worksheet!$P$67,IF(J39="CBE2-24",Worksheet!$Q$67,IF(J39="CBAM",Worksheet!$R$67,IF(J39="CBLV",Worksheet!$S$67,IF(J39="CBAB",Worksheet!$U$67,IF(J39="CBAW",Worksheet!$X$67,IF(J39="CBE2-12",Worksheet!$Y$67,IF(J39="CBAL2",Worksheet!$Z$67,"N/A"))))))))," ")</f>
        <v xml:space="preserve"> </v>
      </c>
      <c r="FS39" s="362" t="str">
        <f>IF(L39&gt;0,IF(J39="CBAL2",Worksheet!$P$68,IF(J39="CBE2-24",Worksheet!$Q$68,IF(J39="CBAM",Worksheet!$R$68,IF(J39="CBLV",Worksheet!$S$68,IF(J39="CBAB",Worksheet!$U$68,IF(J39="CBAW",Worksheet!$X$68,IF(J39="CBE2-12",Worksheet!$Y$68,IF(J39="CBAL2",Worksheet!$Z$68,"N/A"))))))))," ")</f>
        <v xml:space="preserve"> </v>
      </c>
      <c r="FT39" s="362" t="str">
        <f>IF(L39&gt;0,IF(J39="CBAL2",Worksheet!$P$69,IF(J39="CBE2-24",Worksheet!$Q$69,IF(J39="CBAM",Worksheet!$R$69,IF(J39="CBLV",Worksheet!$S$69,IF(J39="CBAB",Worksheet!$U$69,IF(J39="CBAW",Worksheet!$X$69,IF(J39="CBE2-12",Worksheet!$Y$69,IF(J39="CBAL2",Worksheet!$Z$69,"N/A"))))))))," ")</f>
        <v xml:space="preserve"> </v>
      </c>
      <c r="FU39" s="361" t="str">
        <f t="shared" si="179"/>
        <v xml:space="preserve"> </v>
      </c>
      <c r="FV39" s="362" t="str">
        <f t="shared" si="180"/>
        <v xml:space="preserve"> </v>
      </c>
      <c r="FW39" s="362" t="str">
        <f t="shared" si="181"/>
        <v xml:space="preserve"> </v>
      </c>
      <c r="FX39" s="362" t="str">
        <f t="shared" si="182"/>
        <v xml:space="preserve"> </v>
      </c>
      <c r="FY39" s="355" t="str">
        <f t="shared" si="183"/>
        <v xml:space="preserve"> </v>
      </c>
      <c r="FZ39" s="361" t="str">
        <f t="shared" si="184"/>
        <v xml:space="preserve"> </v>
      </c>
      <c r="GA39" s="347" t="str">
        <f t="shared" si="185"/>
        <v xml:space="preserve"> </v>
      </c>
      <c r="GB39" s="355" t="str">
        <f t="shared" si="186"/>
        <v xml:space="preserve"> </v>
      </c>
      <c r="GC39" s="328" t="str">
        <f t="shared" si="187"/>
        <v xml:space="preserve"> </v>
      </c>
      <c r="GD39" s="361" t="str">
        <f t="shared" si="188"/>
        <v xml:space="preserve"> </v>
      </c>
      <c r="GE39" s="347" t="str">
        <f t="shared" si="189"/>
        <v xml:space="preserve"> </v>
      </c>
      <c r="GF39" s="361" t="str">
        <f t="shared" si="190"/>
        <v xml:space="preserve"> </v>
      </c>
      <c r="GG39" s="347" t="str">
        <f t="shared" si="191"/>
        <v xml:space="preserve"> </v>
      </c>
      <c r="GH39" s="364">
        <f t="shared" si="78"/>
        <v>0</v>
      </c>
      <c r="GI39" s="362">
        <f t="shared" si="192"/>
        <v>2</v>
      </c>
      <c r="GJ39" s="433" t="e">
        <f>IF(6-COUNTBLANK(GT39:GY39)=4,MATCH(MID(BO39,9,3),CLU!$H$16:$K$16),MATCH(MID(BO39,9,3),CLU!$H$13:$M$13))</f>
        <v>#N/A</v>
      </c>
      <c r="GK39" s="433" t="e">
        <f>HLOOKUP(VALUE(BP39),CLU!$H$9:$M$10,2)</f>
        <v>#VALUE!</v>
      </c>
      <c r="GL39" s="433" t="e">
        <f ca="1">MATCH(BU39,CLU!$H$2:$V$2,1)</f>
        <v>#VALUE!</v>
      </c>
      <c r="GM39" s="433" t="e">
        <f t="shared" ca="1" si="193"/>
        <v>#VALUE!</v>
      </c>
      <c r="GN39" s="433" t="e">
        <f t="shared" ca="1" si="194"/>
        <v>#VALUE!</v>
      </c>
      <c r="GO39" s="433" t="e">
        <f t="shared" ca="1" si="195"/>
        <v>#VALUE!</v>
      </c>
      <c r="GP39" s="433" t="e">
        <f t="shared" ca="1" si="196"/>
        <v>#VALUE!</v>
      </c>
      <c r="GQ39" s="433" t="e">
        <f t="shared" ca="1" si="197"/>
        <v>#VALUE!</v>
      </c>
      <c r="GR39" s="433" t="e">
        <f ca="1">MATCH(T39,INDIRECT(VLOOKUP(CONCATENATE(LEFT(BO39,7),"-",MID(BO39,13,1)),CLU!$P$3:$Q$16,2)),1)</f>
        <v>#N/A</v>
      </c>
      <c r="GS39" s="433" t="e">
        <f ca="1">MATCH(U39,INDIRECT(VLOOKUP(CONCATENATE(LEFT(BO39,7),"-",MID(BO39,13,1)),CLU!$P$3:$Q$16,2)),1)</f>
        <v>#N/A</v>
      </c>
      <c r="GT39" s="347" t="s">
        <v>512</v>
      </c>
      <c r="GU39" s="97" t="s">
        <v>513</v>
      </c>
      <c r="GV39" s="97" t="str">
        <f t="shared" si="198"/>
        <v>M23</v>
      </c>
      <c r="GW39" s="97" t="str">
        <f t="shared" si="199"/>
        <v>M31</v>
      </c>
      <c r="GX39" s="97" t="str">
        <f t="shared" si="200"/>
        <v/>
      </c>
      <c r="GY39" s="97" t="str">
        <f t="shared" si="201"/>
        <v/>
      </c>
      <c r="GZ39" s="481"/>
      <c r="HA39" s="288"/>
      <c r="HB39" s="240"/>
      <c r="HC39" s="240"/>
      <c r="HD39" s="240"/>
      <c r="HE39" s="240"/>
      <c r="HF39" s="240"/>
      <c r="HG39" s="240"/>
      <c r="HH39" s="240"/>
      <c r="HI39" s="240"/>
      <c r="HJ39" s="240"/>
      <c r="HK39" s="240"/>
      <c r="HL39" s="240"/>
      <c r="HM39" s="240"/>
      <c r="HN39" s="240"/>
      <c r="HO39" s="240"/>
      <c r="HP39" s="240"/>
      <c r="HQ39" s="240"/>
      <c r="HR39" s="240"/>
      <c r="HS39" s="240"/>
      <c r="HT39" s="240"/>
      <c r="HU39" s="240"/>
      <c r="HV39" s="245"/>
      <c r="HW39" s="245" t="b">
        <v>1</v>
      </c>
      <c r="HX39" s="245" t="str">
        <f t="shared" si="79"/>
        <v/>
      </c>
      <c r="HY39" s="245" t="e">
        <f t="shared" si="80"/>
        <v>#DIV/0!</v>
      </c>
      <c r="HZ39" s="245" t="e">
        <f t="shared" si="81"/>
        <v>#DIV/0!</v>
      </c>
      <c r="IA39" s="245">
        <f t="shared" si="82"/>
        <v>0</v>
      </c>
      <c r="IB39" s="245"/>
      <c r="IC39" t="b">
        <f t="shared" si="83"/>
        <v>1</v>
      </c>
      <c r="ID39" s="245" t="b">
        <f t="shared" si="84"/>
        <v>1</v>
      </c>
      <c r="IE39" s="245" t="b">
        <f t="shared" si="85"/>
        <v>1</v>
      </c>
      <c r="IF39" s="245" t="b">
        <f t="shared" si="86"/>
        <v>0</v>
      </c>
      <c r="IG39" s="245" t="b">
        <f t="shared" si="87"/>
        <v>1</v>
      </c>
      <c r="IH39" s="245" t="b">
        <f t="shared" si="88"/>
        <v>1</v>
      </c>
      <c r="II39" s="245">
        <f t="shared" si="202"/>
        <v>0</v>
      </c>
      <c r="IJ39" s="245" t="e">
        <f t="shared" si="89"/>
        <v>#VALUE!</v>
      </c>
      <c r="IK39" s="245" t="e">
        <f t="shared" si="90"/>
        <v>#VALUE!</v>
      </c>
      <c r="IL39" s="245"/>
      <c r="IM39" s="245" t="e">
        <f t="shared" si="203"/>
        <v>#N/A</v>
      </c>
      <c r="IN39" s="245" t="e">
        <f t="shared" si="204"/>
        <v>#N/A</v>
      </c>
      <c r="IO39" s="245"/>
      <c r="IP39" s="245"/>
      <c r="IQ39" s="245" t="str">
        <f t="shared" si="91"/>
        <v/>
      </c>
      <c r="IR39" s="245" t="str">
        <f>IF(J39="","",VLOOKUP(J39,Worksheet!$R$4:$T$14,2))</f>
        <v/>
      </c>
      <c r="IS39" s="245"/>
      <c r="IT39" s="245">
        <f t="shared" si="92"/>
        <v>0</v>
      </c>
      <c r="IU39" s="245">
        <f t="shared" si="93"/>
        <v>0</v>
      </c>
      <c r="IV39" s="245">
        <f t="shared" si="94"/>
        <v>0</v>
      </c>
      <c r="IW39" s="245">
        <f t="shared" si="95"/>
        <v>0</v>
      </c>
      <c r="IX39" s="245">
        <f t="shared" si="205"/>
        <v>0</v>
      </c>
      <c r="IY39" s="245">
        <f t="shared" si="96"/>
        <v>0</v>
      </c>
      <c r="IZ39" s="245">
        <f t="shared" si="97"/>
        <v>0</v>
      </c>
      <c r="JA39">
        <f t="shared" si="98"/>
        <v>0</v>
      </c>
      <c r="JB39">
        <f t="shared" si="206"/>
        <v>0</v>
      </c>
      <c r="JC39">
        <f t="shared" si="99"/>
        <v>0</v>
      </c>
      <c r="JD39">
        <f t="shared" si="100"/>
        <v>0</v>
      </c>
      <c r="JE39">
        <f t="shared" si="101"/>
        <v>0</v>
      </c>
      <c r="JF39">
        <f t="shared" si="102"/>
        <v>0</v>
      </c>
      <c r="JG39">
        <f t="shared" si="103"/>
        <v>0</v>
      </c>
      <c r="JH39">
        <f t="shared" si="104"/>
        <v>0</v>
      </c>
      <c r="JI39">
        <f t="shared" si="105"/>
        <v>0</v>
      </c>
      <c r="JJ39" s="447">
        <f t="shared" si="106"/>
        <v>0</v>
      </c>
      <c r="JK39" s="447">
        <f t="shared" si="107"/>
        <v>0</v>
      </c>
      <c r="JL39">
        <f t="shared" si="108"/>
        <v>0</v>
      </c>
      <c r="JM39" s="245" t="str">
        <f>IFERROR(VLOOKUP(MATCH(BN39,#REF!,0),#REF!,7),"")</f>
        <v/>
      </c>
      <c r="JN39" t="e">
        <f>HLOOKUP(LEFT(BO39,7),Discharge_Area,MATCH(JO39,LookUps!$B$130:$B$149,1)+2)</f>
        <v>#N/A</v>
      </c>
      <c r="JO39" t="str">
        <f t="shared" si="109"/>
        <v>- S</v>
      </c>
      <c r="JP39" t="e">
        <f>HLOOKUP(LEFT(BO39,7),Discharge_Area,MATCH(JO39,LookUps!$B$130:$B$149,1)+2)</f>
        <v>#N/A</v>
      </c>
      <c r="JQ39" t="e">
        <f t="shared" si="110"/>
        <v>#N/A</v>
      </c>
      <c r="JR39" t="e">
        <f t="shared" si="111"/>
        <v>#N/A</v>
      </c>
      <c r="JS39" t="e">
        <f t="shared" si="112"/>
        <v>#N/A</v>
      </c>
      <c r="JT39" s="532" t="str">
        <f t="shared" si="113"/>
        <v xml:space="preserve"> </v>
      </c>
      <c r="JU39" s="532" t="str">
        <f t="shared" si="114"/>
        <v xml:space="preserve"> </v>
      </c>
      <c r="JV39" s="533" t="str">
        <f t="shared" si="115"/>
        <v xml:space="preserve"> </v>
      </c>
      <c r="JW39" s="534">
        <f t="shared" si="116"/>
        <v>0</v>
      </c>
      <c r="JX39" s="535" t="str">
        <f t="shared" si="207"/>
        <v xml:space="preserve"> </v>
      </c>
      <c r="JY39" s="535" t="str">
        <f t="shared" si="208"/>
        <v xml:space="preserve"> </v>
      </c>
      <c r="JZ39" s="535" t="str">
        <f t="shared" si="209"/>
        <v xml:space="preserve"> </v>
      </c>
      <c r="KA39" s="536" t="str">
        <f t="shared" si="117"/>
        <v xml:space="preserve"> </v>
      </c>
      <c r="KB39" s="535" t="e">
        <f t="shared" si="210"/>
        <v>#VALUE!</v>
      </c>
      <c r="KC39" s="535" t="str">
        <f t="shared" si="118"/>
        <v/>
      </c>
      <c r="KD39" s="537" t="str">
        <f t="shared" si="211"/>
        <v xml:space="preserve"> </v>
      </c>
      <c r="KE39" s="537" t="str">
        <f t="shared" si="212"/>
        <v xml:space="preserve"> </v>
      </c>
      <c r="KF39" s="534">
        <f t="shared" si="119"/>
        <v>0</v>
      </c>
      <c r="KG39" s="535" t="str">
        <f t="shared" si="120"/>
        <v xml:space="preserve"> </v>
      </c>
      <c r="KH39" s="535" t="str">
        <f t="shared" si="121"/>
        <v xml:space="preserve"> </v>
      </c>
      <c r="KI39" s="535" t="str">
        <f t="shared" si="122"/>
        <v xml:space="preserve"> </v>
      </c>
      <c r="KJ39" s="536" t="str">
        <f t="shared" si="123"/>
        <v xml:space="preserve"> </v>
      </c>
      <c r="KK39" s="535" t="str">
        <f t="shared" si="213"/>
        <v xml:space="preserve"> </v>
      </c>
      <c r="KL39" s="535" t="str">
        <f t="shared" si="214"/>
        <v xml:space="preserve"> </v>
      </c>
      <c r="KM39" s="537" t="str">
        <f t="shared" si="124"/>
        <v xml:space="preserve"> </v>
      </c>
      <c r="KN39" s="537" t="str">
        <f t="shared" si="215"/>
        <v xml:space="preserve"> </v>
      </c>
      <c r="KP39">
        <f t="shared" si="125"/>
        <v>0</v>
      </c>
      <c r="LA39" t="e">
        <f t="shared" si="126"/>
        <v>#VALUE!</v>
      </c>
      <c r="LB39" t="e">
        <f t="shared" si="127"/>
        <v>#VALUE!</v>
      </c>
      <c r="LC39" t="e">
        <f t="shared" si="128"/>
        <v>#VALUE!</v>
      </c>
      <c r="LD39" t="e">
        <f t="shared" si="129"/>
        <v>#VALUE!</v>
      </c>
      <c r="LE39" t="e">
        <f t="shared" si="216"/>
        <v>#VALUE!</v>
      </c>
      <c r="LF39">
        <f t="shared" si="130"/>
        <v>0</v>
      </c>
      <c r="LG39" t="e">
        <f t="shared" si="217"/>
        <v>#VALUE!</v>
      </c>
      <c r="LH39" t="str">
        <f t="shared" si="131"/>
        <v xml:space="preserve"> </v>
      </c>
      <c r="LI39">
        <f t="shared" si="218"/>
        <v>1</v>
      </c>
    </row>
    <row r="40" spans="2:321" ht="15" customHeight="1">
      <c r="B40" s="311"/>
      <c r="C40" s="311"/>
      <c r="D40" s="312"/>
      <c r="E40" s="311"/>
      <c r="F40" s="312"/>
      <c r="G40" s="311"/>
      <c r="H40" s="311"/>
      <c r="I40" s="37"/>
      <c r="J40" s="311"/>
      <c r="K40" s="305" t="str">
        <f t="shared" si="132"/>
        <v/>
      </c>
      <c r="L40" s="313"/>
      <c r="M40" s="312"/>
      <c r="N40" s="311"/>
      <c r="O40" s="312"/>
      <c r="P40" s="311"/>
      <c r="Q40" s="305" t="str">
        <f t="shared" si="133"/>
        <v/>
      </c>
      <c r="R40" s="314"/>
      <c r="S40" s="450" t="str">
        <f t="shared" si="0"/>
        <v/>
      </c>
      <c r="T40" s="315"/>
      <c r="U40" s="315"/>
      <c r="W40" s="149" t="str">
        <f t="shared" si="1"/>
        <v xml:space="preserve"> </v>
      </c>
      <c r="X40" s="243" t="str">
        <f t="shared" si="2"/>
        <v xml:space="preserve"> </v>
      </c>
      <c r="Y40" s="150" t="str">
        <f t="shared" si="3"/>
        <v/>
      </c>
      <c r="Z40" s="149" t="str">
        <f t="shared" si="4"/>
        <v xml:space="preserve"> </v>
      </c>
      <c r="AA40" s="98" t="str">
        <f t="shared" si="5"/>
        <v xml:space="preserve"> </v>
      </c>
      <c r="AB40" s="153" t="str">
        <f t="shared" si="6"/>
        <v xml:space="preserve"> </v>
      </c>
      <c r="AC40" s="153" t="str">
        <f t="shared" si="7"/>
        <v xml:space="preserve"> </v>
      </c>
      <c r="AD40" s="148" t="str">
        <f t="shared" si="8"/>
        <v/>
      </c>
      <c r="AE40" s="149" t="str">
        <f t="shared" si="9"/>
        <v/>
      </c>
      <c r="AF40" s="151" t="str">
        <f t="shared" si="10"/>
        <v xml:space="preserve"> </v>
      </c>
      <c r="AG40" s="153" t="str">
        <f t="shared" si="11"/>
        <v xml:space="preserve"> </v>
      </c>
      <c r="AH40" s="98" t="str">
        <f t="shared" si="12"/>
        <v xml:space="preserve"> </v>
      </c>
      <c r="AI40" s="149" t="str">
        <f t="shared" si="13"/>
        <v xml:space="preserve"> </v>
      </c>
      <c r="AK40" s="144" t="str">
        <f t="shared" si="14"/>
        <v xml:space="preserve"> </v>
      </c>
      <c r="AL40" s="144"/>
      <c r="AM40" s="243" t="str">
        <f t="shared" si="15"/>
        <v xml:space="preserve"> </v>
      </c>
      <c r="AN40" s="149" t="str">
        <f t="shared" si="134"/>
        <v xml:space="preserve"> </v>
      </c>
      <c r="AO40" s="144" t="str">
        <f>IF(JB40&gt;0,IF(GI40=10,-R40*1.085*(Calculation!$F$6-Calculation!$F$13)*$S$14," "),"")</f>
        <v/>
      </c>
      <c r="AP40" s="144" t="str">
        <f t="shared" si="16"/>
        <v/>
      </c>
      <c r="AQ40" s="56" t="str">
        <f t="shared" si="17"/>
        <v/>
      </c>
      <c r="AR40" s="144" t="str">
        <f t="shared" si="18"/>
        <v/>
      </c>
      <c r="AS40" s="176" t="str">
        <f t="shared" si="19"/>
        <v/>
      </c>
      <c r="AT40" s="176" t="str">
        <f t="shared" si="135"/>
        <v xml:space="preserve"> </v>
      </c>
      <c r="AU40" s="176" t="str">
        <f t="shared" si="20"/>
        <v/>
      </c>
      <c r="AV40" s="177" t="str">
        <f t="shared" si="21"/>
        <v xml:space="preserve"> </v>
      </c>
      <c r="AW40" s="144" t="str">
        <f t="shared" si="22"/>
        <v xml:space="preserve"> </v>
      </c>
      <c r="AX40" s="144" t="str">
        <f t="shared" si="23"/>
        <v xml:space="preserve"> </v>
      </c>
      <c r="AY40" s="152" t="str">
        <f t="shared" si="24"/>
        <v xml:space="preserve"> </v>
      </c>
      <c r="AZ40" s="246" t="str">
        <f t="shared" si="25"/>
        <v/>
      </c>
      <c r="BA40" s="176" t="str">
        <f t="shared" si="26"/>
        <v xml:space="preserve"> </v>
      </c>
      <c r="BB40" s="176" t="str">
        <f t="shared" si="27"/>
        <v xml:space="preserve"> </v>
      </c>
      <c r="BC40" s="195"/>
      <c r="BD40" s="316"/>
      <c r="BE40" s="317"/>
      <c r="BF40" s="318"/>
      <c r="BG40" s="318"/>
      <c r="BH40" s="144" t="str">
        <f t="shared" si="219"/>
        <v xml:space="preserve"> </v>
      </c>
      <c r="BI40" s="176" t="str">
        <f t="shared" si="28"/>
        <v/>
      </c>
      <c r="BJ40" s="144" t="str">
        <f t="shared" si="220"/>
        <v/>
      </c>
      <c r="BK40" s="246" t="str">
        <f t="shared" si="29"/>
        <v/>
      </c>
      <c r="BL40" s="144" t="str">
        <f t="shared" si="221"/>
        <v/>
      </c>
      <c r="BM40" s="246" t="str">
        <f t="shared" si="30"/>
        <v/>
      </c>
      <c r="BN40" s="337" t="str">
        <f t="shared" si="136"/>
        <v/>
      </c>
      <c r="BO40" s="371" t="str">
        <f t="shared" si="137"/>
        <v/>
      </c>
      <c r="BP40" s="328" t="str">
        <f t="shared" si="222"/>
        <v xml:space="preserve"> </v>
      </c>
      <c r="BQ40" s="347" t="str">
        <f t="shared" si="138"/>
        <v xml:space="preserve"> </v>
      </c>
      <c r="BR40" s="353" t="str">
        <f t="shared" si="223"/>
        <v xml:space="preserve"> </v>
      </c>
      <c r="BS40" s="626" t="str">
        <f>IF(L40&gt;0,IF(Calculation!P40="M13",BR40*3.1416*(0.134^2)/(4*144),IF(Calculation!P40="M17",BR40*3.1416*(0.165^2)/(4*144),IF(Calculation!P40="M20",BR40*3.1416*(0.198^2)/(4*144),IF(Calculation!P40="M23",BR40*3.1416*(0.228^2)/(4*144),IF(Calculation!P40="M27",BR40*3.1416*(0.269^2)/(4*144),BR40*3.1416*(0.307^2)/(4*144))))))," ")</f>
        <v xml:space="preserve"> </v>
      </c>
      <c r="BT40" s="353" t="str">
        <f>IF(L40&gt;0,IF(BS40&gt;0,R40/Calculation!BS40,0)," ")</f>
        <v xml:space="preserve"> </v>
      </c>
      <c r="BU40" s="438" t="e">
        <f t="shared" ca="1" si="31"/>
        <v>#VALUE!</v>
      </c>
      <c r="BV40" s="449" t="e">
        <f ca="1">INDEX(INDIRECT(VLOOKUP(LEFT(BO40,7),CLU!$Z$3:$AH$18,2)),GN40,GR40)</f>
        <v>#N/A</v>
      </c>
      <c r="BW40" s="433" t="e">
        <f ca="1">INDEX(INDIRECT(VLOOKUP(LEFT(BO40,7),CLU!$Z$3:$AH$18,3)),GN40,GR40)</f>
        <v>#N/A</v>
      </c>
      <c r="BX40" s="433" t="e">
        <f ca="1">INDEX(INDIRECT(VLOOKUP(LEFT(BO40,7),CLU!$Z$3:$AH$18,4)),GN40,GR40)</f>
        <v>#N/A</v>
      </c>
      <c r="BY40" s="433" t="e">
        <f ca="1">INDEX(INDIRECT(VLOOKUP(LEFT(BO40,7),CLU!$Z$3:$AH$18,9)),((M40-2)*(6-COUNTBLANK(GT40:GY40)))+GJ40)</f>
        <v>#N/A</v>
      </c>
      <c r="BZ40" s="426" t="e">
        <f t="shared" ca="1" si="139"/>
        <v>#N/A</v>
      </c>
      <c r="CA40" s="424" t="e">
        <f t="shared" ca="1" si="140"/>
        <v>#N/A</v>
      </c>
      <c r="CB40" s="429" t="e">
        <f ca="1">INDEX(INDIRECT(VLOOKUP(LEFT(BO40,7),CLU!$Z$3:$AH$18,2)),GN40,GS40)</f>
        <v>#N/A</v>
      </c>
      <c r="CC40" s="342" t="e">
        <f ca="1">INDEX(INDIRECT(VLOOKUP(LEFT(BO40,7),CLU!$Z$3:$AH$18,3)),GN40,GS40)</f>
        <v>#N/A</v>
      </c>
      <c r="CD40" s="342" t="e">
        <f ca="1">INDEX(INDIRECT(VLOOKUP(LEFT(BO40,7),CLU!$Z$3:$AH$18,4)),GN40,GS40)</f>
        <v>#N/A</v>
      </c>
      <c r="CE40" s="426" t="e">
        <f t="shared" ca="1" si="141"/>
        <v>#N/A</v>
      </c>
      <c r="CF40" s="440">
        <f t="shared" si="142"/>
        <v>0</v>
      </c>
      <c r="CG40" s="431" t="e">
        <f ca="1">INDEX(INDIRECT(VLOOKUP(LEFT(BO40,7),CLU!$Z$3:$AH$18,2)),GQ40,GR40)</f>
        <v>#N/A</v>
      </c>
      <c r="CH40" s="431" t="e">
        <f ca="1">INDEX(INDIRECT(VLOOKUP(LEFT(BO40,7),CLU!$Z$3:$AH$18,3)),GQ40,GR40)</f>
        <v>#N/A</v>
      </c>
      <c r="CI40" s="431" t="e">
        <f ca="1">INDEX(INDIRECT(VLOOKUP(LEFT(BO40,7),CLU!$Z$3:$AH$18,4)),GQ40,GR40)</f>
        <v>#N/A</v>
      </c>
      <c r="CJ40" s="448" t="e">
        <f t="shared" ca="1" si="143"/>
        <v>#N/A</v>
      </c>
      <c r="CK40" s="431" t="e">
        <f t="shared" ca="1" si="144"/>
        <v>#N/A</v>
      </c>
      <c r="CL40" s="440" t="e">
        <f t="shared" ca="1" si="145"/>
        <v>#N/A</v>
      </c>
      <c r="CM40" s="431" t="e">
        <f ca="1">INDEX(INDIRECT(VLOOKUP(LEFT(BO40,7),CLU!$Z$3:$AH$18,2)),GQ40,GS40)</f>
        <v>#N/A</v>
      </c>
      <c r="CN40" s="431" t="e">
        <f ca="1">INDEX(INDIRECT(VLOOKUP(LEFT(BO40,7),CLU!$Z$3:$AH$18,3)),GQ40,GS40)</f>
        <v>#N/A</v>
      </c>
      <c r="CO40" s="431" t="e">
        <f ca="1">INDEX(INDIRECT(VLOOKUP(LEFT(BO40,7),CLU!$Z$3:$AH$18,4)),GQ40,GS40)</f>
        <v>#N/A</v>
      </c>
      <c r="CP40" s="431" t="e">
        <f t="shared" ca="1" si="146"/>
        <v>#N/A</v>
      </c>
      <c r="CQ40" s="440">
        <f t="shared" si="147"/>
        <v>0</v>
      </c>
      <c r="CR40" s="51" t="e">
        <f t="shared" ca="1" si="148"/>
        <v>#N/A</v>
      </c>
      <c r="CS40" s="439" t="e">
        <f t="shared" ca="1" si="149"/>
        <v>#VALUE!</v>
      </c>
      <c r="CT40" s="51" t="e">
        <f t="shared" ca="1" si="150"/>
        <v>#VALUE!</v>
      </c>
      <c r="CU40" s="10"/>
      <c r="CV40" s="51" t="e">
        <f t="shared" ca="1" si="34"/>
        <v>#VALUE!</v>
      </c>
      <c r="CW40" s="51">
        <f t="shared" si="151"/>
        <v>0</v>
      </c>
      <c r="CX40" s="439" t="e">
        <f t="shared" ca="1" si="152"/>
        <v>#VALUE!</v>
      </c>
      <c r="CY40" s="51" t="e">
        <f t="shared" ca="1" si="153"/>
        <v>#VALUE!</v>
      </c>
      <c r="CZ40" s="10"/>
      <c r="DA40" s="51" t="e">
        <f t="shared" ca="1" si="154"/>
        <v>#VALUE!</v>
      </c>
      <c r="DB40" s="347" t="e">
        <f ca="1">INDEX(INDIRECT(VLOOKUP(LEFT(BO40,7),CLU!$Z$3:$AI$18,10)),((M40-2)*(6-COUNTBLANK(GT40:GY40)))+GJ40)*LI40</f>
        <v>#N/A</v>
      </c>
      <c r="DC40" s="347" t="str">
        <f>IF(L40&gt;0,((R40/Worksheet!$I$15)/DB40)^2," ")</f>
        <v xml:space="preserve"> </v>
      </c>
      <c r="DD40" s="602" t="str">
        <f t="shared" si="224"/>
        <v xml:space="preserve"> </v>
      </c>
      <c r="DE40" s="347" t="str">
        <f t="shared" si="35"/>
        <v xml:space="preserve"> </v>
      </c>
      <c r="DF40" s="356" t="e">
        <f ca="1">INDEX(INDIRECT(VLOOKUP(LEFT(BO40,7),CLU!$Z$3:$AH$18,8)),((M40-2)*(6-COUNTBLANK(GT40:GY40)))+GJ40)</f>
        <v>#N/A</v>
      </c>
      <c r="DG40" s="347" t="str">
        <f t="shared" si="36"/>
        <v xml:space="preserve"> </v>
      </c>
      <c r="DH40" s="357" t="str">
        <f t="shared" si="37"/>
        <v xml:space="preserve"> </v>
      </c>
      <c r="DI40" s="355" t="str">
        <f t="shared" si="38"/>
        <v xml:space="preserve"> </v>
      </c>
      <c r="DJ40" s="245" t="e">
        <f ca="1">INDEX(INDIRECT(VLOOKUP(LEFT(BO40,7),CLU!$Z$3:$AH$18,5)),GL40,GK40)</f>
        <v>#N/A</v>
      </c>
      <c r="DK40" s="245" t="e">
        <f ca="1">INDEX(INDIRECT(VLOOKUP(LEFT(BO40,7),CLU!$Z$3:$AH$18,6)),GL40,GK40)</f>
        <v>#N/A</v>
      </c>
      <c r="DL40" s="355">
        <f>(Calculation!R40*0.69143*(Calculation!$BQ$8-Calculation!$F$8))*$S$14</f>
        <v>0</v>
      </c>
      <c r="DM40" s="359" t="e">
        <f t="shared" si="160"/>
        <v>#VALUE!</v>
      </c>
      <c r="DN40" s="611">
        <f t="shared" si="161"/>
        <v>0</v>
      </c>
      <c r="DO40" s="359">
        <f t="shared" si="162"/>
        <v>100</v>
      </c>
      <c r="DP40" s="359">
        <f t="shared" si="163"/>
        <v>0</v>
      </c>
      <c r="DQ40" s="360"/>
      <c r="DR40" s="245" t="e">
        <f ca="1">INDEX(INDIRECT(VLOOKUP(LEFT(BO40,7),CLU!$Z$3:$AH$18,7)),M40-1,1)</f>
        <v>#N/A</v>
      </c>
      <c r="DS40" s="245" t="e">
        <f ca="1">INDEX(INDIRECT(VLOOKUP(LEFT(BO40,7),CLU!$Z$3:$AH$18,7)),M40-1,2)</f>
        <v>#N/A</v>
      </c>
      <c r="DT40" s="245" t="e">
        <f ca="1">INDEX(INDIRECT(VLOOKUP(LEFT(BO40,7),CLU!$Z$3:$AH$18,7)),M40-1,3)</f>
        <v>#N/A</v>
      </c>
      <c r="DU40" s="245" t="e">
        <f ca="1">INDEX(INDIRECT(VLOOKUP(LEFT(BO40,7),CLU!$Z$3:$AH$18,7)),M40-1,4)</f>
        <v>#N/A</v>
      </c>
      <c r="DV40" s="361" t="e">
        <f ca="1">INDEX(INDIRECT(VLOOKUP(LEFT(BO40,7),CLU!$Z$3:$AH$18,7)),M40-1,4+LEFT(DZ40,1)*0.5)</f>
        <v>#N/A</v>
      </c>
      <c r="DW40" s="245" t="e">
        <f ca="1">INDEX(INDIRECT(VLOOKUP(LEFT(BO40,7),CLU!$Z$3:$AH$18,7)),M40-1,8)</f>
        <v>#N/A</v>
      </c>
      <c r="DX40" s="361" t="str">
        <f t="shared" si="39"/>
        <v xml:space="preserve"> </v>
      </c>
      <c r="DY40" s="361" t="str">
        <f t="shared" si="40"/>
        <v xml:space="preserve"> </v>
      </c>
      <c r="DZ40" s="361" t="str">
        <f t="shared" si="41"/>
        <v xml:space="preserve"> </v>
      </c>
      <c r="EA40" s="362" t="str">
        <f t="shared" si="42"/>
        <v xml:space="preserve"> </v>
      </c>
      <c r="EB40" s="624" t="str">
        <f t="shared" si="168"/>
        <v xml:space="preserve"> </v>
      </c>
      <c r="EC40" s="361" t="e">
        <f ca="1">INDEX(INDIRECT(VLOOKUP(LEFT(BO40,7),CLU!$Z$3:$AH$18,7)),M40-1,4+LEFT(DZ40,1)*0.5)</f>
        <v>#N/A</v>
      </c>
      <c r="ED40" s="362" t="str">
        <f t="shared" si="43"/>
        <v xml:space="preserve"> </v>
      </c>
      <c r="EE40" s="361" t="str">
        <f t="shared" si="44"/>
        <v xml:space="preserve"> </v>
      </c>
      <c r="EF40" s="362" t="str">
        <f>IF(L40&gt;0,IF(BR40&gt;0,IF(EE40="2P",IF(Calculation!DZ40="2P",IF(Calculation!DS40=13.75,IF(Calculation!DR40=13,Worksheet!$BD$43,IF(Calculation!DR40=37,Worksheet!$BD$44,Worksheet!$BD$45)),IF(Calculation!DS40=10,IF(Calculation!DR40=18,Worksheet!$BD$29,IF(Calculation!DR40=30,Worksheet!$BD$30,IF(Calculation!DR40=42,Worksheet!$BD$31,IF(Calculation!DR40=54,Worksheet!$BD$32,IF(Calculation!DR40=66,Worksheet!$BD$33,IF(Calculation!DR40=78,Worksheet!$BD$34,IF(Calculation!DR40=90,Worksheet!$BD$35,IF(Calculation!DR40=102,Worksheet!$BD$36,Worksheet!$BD$37)))))))),IF(Calculation!DS40=12.5,IF(Calculation!DR40=18,Worksheet!$BD$38,IF(Calculation!DR40=Worksheet!$BD$39,IF(Calculation!DR40=42,Worksheet!$BD$40,IF(Calculation!DR40=54,Worksheet!$BD$41,Worksheet!$BD$42)))),IF(Calculation!DR40=18,Worksheet!$BD$11,IF(Calculation!DR40=30,Worksheet!$BD$12,IF(Calculation!DR40=42,Worksheet!$BD$13,IF(Calculation!DR40=54,Worksheet!$BD$14,IF(Calculation!DR40=66,Worksheet!$BD$15,IF(Calculation!DR40=78,Worksheet!$BD$16,IF(Calculation!DR40=90,Worksheet!$BD$17,IF(Calculation!DR40=102,Worksheet!$BD$18,Worksheet!$BD$19))))))))))),IF(Calculation!DS40=13.75,IF(Calculation!DR40=13,Worksheet!$BD$78,IF(Calculation!DR40=37,Worksheet!$BD$79,Worksheet!$BD$80)),IF(Calculation!DS40=10,IF(Calculation!DR40=18,Worksheet!$BD$64,IF(Calculation!DR40=30,Worksheet!$BD$65,IF(Calculation!DR40=42,Worksheet!$BD$66,IF(Calculation!DR40=54,Worksheet!$BD$68,IF(Calculation!DR40=66,Worksheet!$BD$68,IF(Calculation!DR40=78,Worksheet!$BD$69,IF(Calculation!DR40=90,Worksheet!$BD$70,IF(Calculation!DR40=102,Worksheet!$BD$71,Worksheet!$BD$72)))))))),IF(Calculation!DS40=12.5,IF(Calculation!DR40=18,Worksheet!$BD$73,IF(Calculation!DR40=Worksheet!$BD$74,IF(Calculation!DR40=42,Worksheet!$BD$75,IF(Calculation!DR40=54,Worksheet!$BD$76,Worksheet!$BD$77)))),IF(Calculation!DR40=18,Worksheet!$BD$55,IF(Calculation!DR40=30,Worksheet!$BD$56,IF(Calculation!DR40=42,Worksheet!$BD$57,IF(Calculation!DR40=54,Worksheet!$BD$58,IF(Calculation!DR40=66,Worksheet!$BD$59,IF(Calculation!DR40=78,Worksheet!$BD$60,IF(Calculation!DR40=90,Worksheet!$BD$61,IF(Calculation!DR40=102,Worksheet!$BD$62,Worksheet!$BD$63)))))))))))),5),0)," ")</f>
        <v xml:space="preserve"> </v>
      </c>
      <c r="EG40" s="361" t="str">
        <f t="shared" si="45"/>
        <v xml:space="preserve"> </v>
      </c>
      <c r="EH40" s="361" t="e">
        <f ca="1">INDEX(INDIRECT(VLOOKUP(LEFT(BO40,7),CLU!$Z$3:$AH$18,7)),M40-1,3+LEFT(DZ40,1))</f>
        <v>#N/A</v>
      </c>
      <c r="EI40" s="362" t="str">
        <f t="shared" si="46"/>
        <v xml:space="preserve"> </v>
      </c>
      <c r="EJ40" s="363" t="str">
        <f t="shared" si="47"/>
        <v xml:space="preserve"> </v>
      </c>
      <c r="EK40" s="363" t="str">
        <f t="shared" si="48"/>
        <v xml:space="preserve"> </v>
      </c>
      <c r="EL40" s="363" t="str">
        <f t="shared" si="49"/>
        <v xml:space="preserve"> </v>
      </c>
      <c r="EM40" s="362" t="str">
        <f>IF(L40&gt;0,IF(BR40&gt;0,(Calculation!T40/ED40)^2,0)," ")</f>
        <v xml:space="preserve"> </v>
      </c>
      <c r="EN40" s="362" t="str">
        <f>IF(L40&gt;0,IF(O40="2 Pipe (Cooling)","N/A",IF(BR40&gt;0,(Calculation!U40/EI40)^2,0))," ")</f>
        <v xml:space="preserve"> </v>
      </c>
      <c r="EO40" s="361" t="str">
        <f t="shared" si="50"/>
        <v/>
      </c>
      <c r="EP40" s="361" t="str">
        <f t="shared" si="51"/>
        <v/>
      </c>
      <c r="EQ40" s="361" t="str">
        <f t="shared" si="52"/>
        <v/>
      </c>
      <c r="ER40" s="361" t="str">
        <f t="shared" si="53"/>
        <v/>
      </c>
      <c r="ES40" s="361" t="str">
        <f t="shared" si="54"/>
        <v/>
      </c>
      <c r="ET40" s="361" t="str">
        <f t="shared" si="55"/>
        <v/>
      </c>
      <c r="EU40" s="361" t="str">
        <f t="shared" si="56"/>
        <v/>
      </c>
      <c r="EV40" s="361" t="str">
        <f t="shared" si="57"/>
        <v/>
      </c>
      <c r="EW40" s="361" t="str">
        <f t="shared" si="58"/>
        <v/>
      </c>
      <c r="EX40" s="361" t="str">
        <f t="shared" si="169"/>
        <v>1 slot, 1 way</v>
      </c>
      <c r="EY40" s="361" t="str">
        <f t="shared" si="170"/>
        <v xml:space="preserve"> </v>
      </c>
      <c r="EZ40" s="361" t="str">
        <f t="shared" si="171"/>
        <v xml:space="preserve"> </v>
      </c>
      <c r="FA40" s="361" t="str">
        <f t="shared" si="172"/>
        <v xml:space="preserve"> </v>
      </c>
      <c r="FB40" s="361" t="str">
        <f t="shared" si="173"/>
        <v xml:space="preserve"> </v>
      </c>
      <c r="FC40" s="361"/>
      <c r="FD40" s="361" t="str">
        <f>IF(J40&gt;0,IF(Calculation!R40&lt;=70,4,IF(Calculation!R40&lt;=110,5,IF(Calculation!R40&lt;=160,6,IF(Calculation!R40&lt;=300,8,"10 EO")))),"")</f>
        <v/>
      </c>
      <c r="FE40" s="361" t="str">
        <f t="shared" si="174"/>
        <v/>
      </c>
      <c r="FF40" s="361" t="str">
        <f t="shared" si="175"/>
        <v/>
      </c>
      <c r="FG40" s="361" t="e">
        <f t="shared" si="60"/>
        <v>#N/A</v>
      </c>
      <c r="FH40" s="361">
        <f t="shared" si="61"/>
        <v>0</v>
      </c>
      <c r="FI40" s="361" t="e">
        <f t="shared" si="62"/>
        <v>#DIV/0!</v>
      </c>
      <c r="FJ40" s="361"/>
      <c r="FK40" s="356" t="e">
        <f t="shared" si="63"/>
        <v>#VALUE!</v>
      </c>
      <c r="FL40" s="361"/>
      <c r="FM40" s="361"/>
      <c r="FN40" s="362" t="str">
        <f t="shared" si="176"/>
        <v xml:space="preserve"> </v>
      </c>
      <c r="FO40" s="362" t="str">
        <f t="shared" si="177"/>
        <v xml:space="preserve"> </v>
      </c>
      <c r="FP40" s="362">
        <f t="shared" si="178"/>
        <v>0</v>
      </c>
      <c r="FQ40" s="361">
        <f t="shared" si="64"/>
        <v>0</v>
      </c>
      <c r="FR40" s="362" t="str">
        <f>IF(L40&gt;0,IF(J40="CBAL2",Worksheet!$P$67,IF(J40="CBE2-24",Worksheet!$Q$67,IF(J40="CBAM",Worksheet!$R$67,IF(J40="CBLV",Worksheet!$S$67,IF(J40="CBAB",Worksheet!$U$67,IF(J40="CBAW",Worksheet!$X$67,IF(J40="CBE2-12",Worksheet!$Y$67,IF(J40="CBAL2",Worksheet!$Z$67,"N/A"))))))))," ")</f>
        <v xml:space="preserve"> </v>
      </c>
      <c r="FS40" s="362" t="str">
        <f>IF(L40&gt;0,IF(J40="CBAL2",Worksheet!$P$68,IF(J40="CBE2-24",Worksheet!$Q$68,IF(J40="CBAM",Worksheet!$R$68,IF(J40="CBLV",Worksheet!$S$68,IF(J40="CBAB",Worksheet!$U$68,IF(J40="CBAW",Worksheet!$X$68,IF(J40="CBE2-12",Worksheet!$Y$68,IF(J40="CBAL2",Worksheet!$Z$68,"N/A"))))))))," ")</f>
        <v xml:space="preserve"> </v>
      </c>
      <c r="FT40" s="362" t="str">
        <f>IF(L40&gt;0,IF(J40="CBAL2",Worksheet!$P$69,IF(J40="CBE2-24",Worksheet!$Q$69,IF(J40="CBAM",Worksheet!$R$69,IF(J40="CBLV",Worksheet!$S$69,IF(J40="CBAB",Worksheet!$U$69,IF(J40="CBAW",Worksheet!$X$69,IF(J40="CBE2-12",Worksheet!$Y$69,IF(J40="CBAL2",Worksheet!$Z$69,"N/A"))))))))," ")</f>
        <v xml:space="preserve"> </v>
      </c>
      <c r="FU40" s="361" t="str">
        <f t="shared" si="179"/>
        <v xml:space="preserve"> </v>
      </c>
      <c r="FV40" s="362" t="str">
        <f t="shared" si="180"/>
        <v xml:space="preserve"> </v>
      </c>
      <c r="FW40" s="362" t="str">
        <f t="shared" si="181"/>
        <v xml:space="preserve"> </v>
      </c>
      <c r="FX40" s="362" t="str">
        <f t="shared" si="182"/>
        <v xml:space="preserve"> </v>
      </c>
      <c r="FY40" s="355" t="str">
        <f t="shared" si="183"/>
        <v xml:space="preserve"> </v>
      </c>
      <c r="FZ40" s="361" t="str">
        <f t="shared" si="184"/>
        <v xml:space="preserve"> </v>
      </c>
      <c r="GA40" s="347" t="str">
        <f t="shared" si="185"/>
        <v xml:space="preserve"> </v>
      </c>
      <c r="GB40" s="355" t="str">
        <f t="shared" si="186"/>
        <v xml:space="preserve"> </v>
      </c>
      <c r="GC40" s="328" t="str">
        <f t="shared" si="187"/>
        <v xml:space="preserve"> </v>
      </c>
      <c r="GD40" s="361" t="str">
        <f t="shared" si="188"/>
        <v xml:space="preserve"> </v>
      </c>
      <c r="GE40" s="347" t="str">
        <f t="shared" si="189"/>
        <v xml:space="preserve"> </v>
      </c>
      <c r="GF40" s="361" t="str">
        <f t="shared" si="190"/>
        <v xml:space="preserve"> </v>
      </c>
      <c r="GG40" s="347" t="str">
        <f t="shared" si="191"/>
        <v xml:space="preserve"> </v>
      </c>
      <c r="GH40" s="364">
        <f t="shared" si="78"/>
        <v>0</v>
      </c>
      <c r="GI40" s="362">
        <f t="shared" si="192"/>
        <v>2</v>
      </c>
      <c r="GJ40" s="433" t="e">
        <f>IF(6-COUNTBLANK(GT40:GY40)=4,MATCH(MID(BO40,9,3),CLU!$H$16:$K$16),MATCH(MID(BO40,9,3),CLU!$H$13:$M$13))</f>
        <v>#N/A</v>
      </c>
      <c r="GK40" s="433" t="e">
        <f>HLOOKUP(VALUE(BP40),CLU!$H$9:$M$10,2)</f>
        <v>#VALUE!</v>
      </c>
      <c r="GL40" s="433" t="e">
        <f ca="1">MATCH(BU40,CLU!$H$2:$V$2,1)</f>
        <v>#VALUE!</v>
      </c>
      <c r="GM40" s="433" t="e">
        <f t="shared" ca="1" si="193"/>
        <v>#VALUE!</v>
      </c>
      <c r="GN40" s="433" t="e">
        <f t="shared" ca="1" si="194"/>
        <v>#VALUE!</v>
      </c>
      <c r="GO40" s="433" t="e">
        <f t="shared" ca="1" si="195"/>
        <v>#VALUE!</v>
      </c>
      <c r="GP40" s="433" t="e">
        <f t="shared" ca="1" si="196"/>
        <v>#VALUE!</v>
      </c>
      <c r="GQ40" s="433" t="e">
        <f t="shared" ca="1" si="197"/>
        <v>#VALUE!</v>
      </c>
      <c r="GR40" s="433" t="e">
        <f ca="1">MATCH(T40,INDIRECT(VLOOKUP(CONCATENATE(LEFT(BO40,7),"-",MID(BO40,13,1)),CLU!$P$3:$Q$16,2)),1)</f>
        <v>#N/A</v>
      </c>
      <c r="GS40" s="433" t="e">
        <f ca="1">MATCH(U40,INDIRECT(VLOOKUP(CONCATENATE(LEFT(BO40,7),"-",MID(BO40,13,1)),CLU!$P$3:$Q$16,2)),1)</f>
        <v>#N/A</v>
      </c>
      <c r="GT40" s="347" t="s">
        <v>512</v>
      </c>
      <c r="GU40" s="97" t="s">
        <v>513</v>
      </c>
      <c r="GV40" s="97" t="str">
        <f t="shared" si="198"/>
        <v>M23</v>
      </c>
      <c r="GW40" s="97" t="str">
        <f t="shared" si="199"/>
        <v>M31</v>
      </c>
      <c r="GX40" s="97" t="str">
        <f t="shared" si="200"/>
        <v/>
      </c>
      <c r="GY40" s="97" t="str">
        <f t="shared" si="201"/>
        <v/>
      </c>
      <c r="GZ40" s="481"/>
      <c r="HA40" s="288"/>
      <c r="HB40" s="240"/>
      <c r="HC40" s="240"/>
      <c r="HD40" s="240"/>
      <c r="HE40" s="240"/>
      <c r="HF40" s="240"/>
      <c r="HG40" s="240"/>
      <c r="HH40" s="240"/>
      <c r="HI40" s="240"/>
      <c r="HJ40" s="240"/>
      <c r="HK40" s="240"/>
      <c r="HL40" s="240"/>
      <c r="HM40" s="240"/>
      <c r="HN40" s="240"/>
      <c r="HO40" s="240"/>
      <c r="HP40" s="240"/>
      <c r="HQ40" s="240"/>
      <c r="HR40" s="240"/>
      <c r="HS40" s="240"/>
      <c r="HT40" s="240"/>
      <c r="HU40" s="240"/>
      <c r="HV40" s="245"/>
      <c r="HW40" s="245" t="b">
        <v>1</v>
      </c>
      <c r="HX40" s="245" t="str">
        <f t="shared" si="79"/>
        <v/>
      </c>
      <c r="HY40" s="245" t="e">
        <f t="shared" si="80"/>
        <v>#DIV/0!</v>
      </c>
      <c r="HZ40" s="245" t="e">
        <f t="shared" si="81"/>
        <v>#DIV/0!</v>
      </c>
      <c r="IA40" s="245">
        <f t="shared" si="82"/>
        <v>0</v>
      </c>
      <c r="IB40" s="245"/>
      <c r="IC40" t="b">
        <f t="shared" si="83"/>
        <v>1</v>
      </c>
      <c r="ID40" s="245" t="b">
        <f t="shared" si="84"/>
        <v>1</v>
      </c>
      <c r="IE40" s="245" t="b">
        <f t="shared" si="85"/>
        <v>1</v>
      </c>
      <c r="IF40" s="245" t="b">
        <f t="shared" si="86"/>
        <v>0</v>
      </c>
      <c r="IG40" s="245" t="b">
        <f t="shared" si="87"/>
        <v>1</v>
      </c>
      <c r="IH40" s="245" t="b">
        <f t="shared" si="88"/>
        <v>1</v>
      </c>
      <c r="II40" s="245">
        <f t="shared" si="202"/>
        <v>0</v>
      </c>
      <c r="IJ40" s="245" t="e">
        <f t="shared" si="89"/>
        <v>#VALUE!</v>
      </c>
      <c r="IK40" s="245" t="e">
        <f t="shared" si="90"/>
        <v>#VALUE!</v>
      </c>
      <c r="IL40" s="245"/>
      <c r="IM40" s="245" t="e">
        <f t="shared" si="203"/>
        <v>#N/A</v>
      </c>
      <c r="IN40" s="245" t="e">
        <f t="shared" si="204"/>
        <v>#N/A</v>
      </c>
      <c r="IO40" s="245"/>
      <c r="IP40" s="245"/>
      <c r="IQ40" s="245" t="str">
        <f t="shared" si="91"/>
        <v/>
      </c>
      <c r="IR40" s="245" t="str">
        <f>IF(J40="","",VLOOKUP(J40,Worksheet!$R$4:$T$14,2))</f>
        <v/>
      </c>
      <c r="IS40" s="245"/>
      <c r="IT40" s="245">
        <f t="shared" si="92"/>
        <v>0</v>
      </c>
      <c r="IU40" s="245">
        <f t="shared" si="93"/>
        <v>0</v>
      </c>
      <c r="IV40" s="245">
        <f t="shared" si="94"/>
        <v>0</v>
      </c>
      <c r="IW40" s="245">
        <f t="shared" si="95"/>
        <v>0</v>
      </c>
      <c r="IX40" s="245">
        <f t="shared" si="205"/>
        <v>0</v>
      </c>
      <c r="IY40" s="245">
        <f t="shared" si="96"/>
        <v>0</v>
      </c>
      <c r="IZ40" s="245">
        <f t="shared" si="97"/>
        <v>0</v>
      </c>
      <c r="JA40">
        <f t="shared" si="98"/>
        <v>0</v>
      </c>
      <c r="JB40">
        <f t="shared" si="206"/>
        <v>0</v>
      </c>
      <c r="JC40">
        <f t="shared" si="99"/>
        <v>0</v>
      </c>
      <c r="JD40">
        <f t="shared" si="100"/>
        <v>0</v>
      </c>
      <c r="JE40">
        <f t="shared" si="101"/>
        <v>0</v>
      </c>
      <c r="JF40">
        <f t="shared" si="102"/>
        <v>0</v>
      </c>
      <c r="JG40">
        <f t="shared" si="103"/>
        <v>0</v>
      </c>
      <c r="JH40">
        <f t="shared" si="104"/>
        <v>0</v>
      </c>
      <c r="JI40">
        <f t="shared" si="105"/>
        <v>0</v>
      </c>
      <c r="JJ40" s="447">
        <f t="shared" si="106"/>
        <v>0</v>
      </c>
      <c r="JK40" s="447">
        <f t="shared" si="107"/>
        <v>0</v>
      </c>
      <c r="JL40">
        <f t="shared" si="108"/>
        <v>0</v>
      </c>
      <c r="JM40" s="245" t="str">
        <f>IFERROR(VLOOKUP(MATCH(BN40,#REF!,0),#REF!,7),"")</f>
        <v/>
      </c>
      <c r="JN40" t="e">
        <f>HLOOKUP(LEFT(BO40,7),Discharge_Area,MATCH(JO40,LookUps!$B$130:$B$149,1)+2)</f>
        <v>#N/A</v>
      </c>
      <c r="JO40" t="str">
        <f t="shared" si="109"/>
        <v>- S</v>
      </c>
      <c r="JP40" t="e">
        <f>HLOOKUP(LEFT(BO40,7),Discharge_Area,MATCH(JO40,LookUps!$B$130:$B$149,1)+2)</f>
        <v>#N/A</v>
      </c>
      <c r="JQ40" t="e">
        <f t="shared" si="110"/>
        <v>#N/A</v>
      </c>
      <c r="JR40" t="e">
        <f t="shared" si="111"/>
        <v>#N/A</v>
      </c>
      <c r="JS40" t="e">
        <f t="shared" si="112"/>
        <v>#N/A</v>
      </c>
      <c r="JT40" s="532" t="str">
        <f t="shared" si="113"/>
        <v xml:space="preserve"> </v>
      </c>
      <c r="JU40" s="532" t="str">
        <f t="shared" si="114"/>
        <v xml:space="preserve"> </v>
      </c>
      <c r="JV40" s="533" t="str">
        <f t="shared" si="115"/>
        <v xml:space="preserve"> </v>
      </c>
      <c r="JW40" s="534">
        <f t="shared" si="116"/>
        <v>0</v>
      </c>
      <c r="JX40" s="535" t="str">
        <f t="shared" si="207"/>
        <v xml:space="preserve"> </v>
      </c>
      <c r="JY40" s="535" t="str">
        <f t="shared" si="208"/>
        <v xml:space="preserve"> </v>
      </c>
      <c r="JZ40" s="535" t="str">
        <f t="shared" si="209"/>
        <v xml:space="preserve"> </v>
      </c>
      <c r="KA40" s="536" t="str">
        <f t="shared" si="117"/>
        <v xml:space="preserve"> </v>
      </c>
      <c r="KB40" s="535" t="e">
        <f t="shared" si="210"/>
        <v>#VALUE!</v>
      </c>
      <c r="KC40" s="535" t="str">
        <f t="shared" si="118"/>
        <v/>
      </c>
      <c r="KD40" s="537" t="str">
        <f t="shared" si="211"/>
        <v xml:space="preserve"> </v>
      </c>
      <c r="KE40" s="537" t="str">
        <f t="shared" si="212"/>
        <v xml:space="preserve"> </v>
      </c>
      <c r="KF40" s="534">
        <f t="shared" si="119"/>
        <v>0</v>
      </c>
      <c r="KG40" s="535" t="str">
        <f t="shared" si="120"/>
        <v xml:space="preserve"> </v>
      </c>
      <c r="KH40" s="535" t="str">
        <f t="shared" si="121"/>
        <v xml:space="preserve"> </v>
      </c>
      <c r="KI40" s="535" t="str">
        <f t="shared" si="122"/>
        <v xml:space="preserve"> </v>
      </c>
      <c r="KJ40" s="536" t="str">
        <f t="shared" si="123"/>
        <v xml:space="preserve"> </v>
      </c>
      <c r="KK40" s="535" t="str">
        <f t="shared" si="213"/>
        <v xml:space="preserve"> </v>
      </c>
      <c r="KL40" s="535" t="str">
        <f t="shared" si="214"/>
        <v xml:space="preserve"> </v>
      </c>
      <c r="KM40" s="537" t="str">
        <f t="shared" si="124"/>
        <v xml:space="preserve"> </v>
      </c>
      <c r="KN40" s="537" t="str">
        <f t="shared" si="215"/>
        <v xml:space="preserve"> </v>
      </c>
      <c r="KP40">
        <f t="shared" si="125"/>
        <v>0</v>
      </c>
      <c r="LA40" t="e">
        <f t="shared" si="126"/>
        <v>#VALUE!</v>
      </c>
      <c r="LB40" t="e">
        <f t="shared" si="127"/>
        <v>#VALUE!</v>
      </c>
      <c r="LC40" t="e">
        <f t="shared" si="128"/>
        <v>#VALUE!</v>
      </c>
      <c r="LD40" t="e">
        <f t="shared" si="129"/>
        <v>#VALUE!</v>
      </c>
      <c r="LE40" t="e">
        <f t="shared" si="216"/>
        <v>#VALUE!</v>
      </c>
      <c r="LF40">
        <f t="shared" si="130"/>
        <v>0</v>
      </c>
      <c r="LG40" t="e">
        <f t="shared" si="217"/>
        <v>#VALUE!</v>
      </c>
      <c r="LH40" t="str">
        <f t="shared" si="131"/>
        <v xml:space="preserve"> </v>
      </c>
      <c r="LI40">
        <f t="shared" si="218"/>
        <v>1</v>
      </c>
    </row>
    <row r="41" spans="2:321" ht="15" customHeight="1">
      <c r="B41" s="311"/>
      <c r="C41" s="311"/>
      <c r="D41" s="312"/>
      <c r="E41" s="311"/>
      <c r="F41" s="312"/>
      <c r="G41" s="311"/>
      <c r="H41" s="311"/>
      <c r="I41" s="37"/>
      <c r="J41" s="311"/>
      <c r="K41" s="305" t="str">
        <f t="shared" si="132"/>
        <v/>
      </c>
      <c r="L41" s="313"/>
      <c r="M41" s="312"/>
      <c r="N41" s="311"/>
      <c r="O41" s="312"/>
      <c r="P41" s="311"/>
      <c r="Q41" s="305" t="str">
        <f t="shared" si="133"/>
        <v/>
      </c>
      <c r="R41" s="314"/>
      <c r="S41" s="450" t="str">
        <f t="shared" si="0"/>
        <v/>
      </c>
      <c r="T41" s="315"/>
      <c r="U41" s="315"/>
      <c r="W41" s="149" t="str">
        <f t="shared" si="1"/>
        <v xml:space="preserve"> </v>
      </c>
      <c r="X41" s="243" t="str">
        <f t="shared" si="2"/>
        <v xml:space="preserve"> </v>
      </c>
      <c r="Y41" s="150" t="str">
        <f t="shared" si="3"/>
        <v/>
      </c>
      <c r="Z41" s="149" t="str">
        <f t="shared" si="4"/>
        <v xml:space="preserve"> </v>
      </c>
      <c r="AA41" s="98" t="str">
        <f t="shared" si="5"/>
        <v xml:space="preserve"> </v>
      </c>
      <c r="AB41" s="153" t="str">
        <f t="shared" si="6"/>
        <v xml:space="preserve"> </v>
      </c>
      <c r="AC41" s="153" t="str">
        <f t="shared" si="7"/>
        <v xml:space="preserve"> </v>
      </c>
      <c r="AD41" s="148" t="str">
        <f t="shared" si="8"/>
        <v/>
      </c>
      <c r="AE41" s="149" t="str">
        <f t="shared" si="9"/>
        <v/>
      </c>
      <c r="AF41" s="151" t="str">
        <f t="shared" si="10"/>
        <v xml:space="preserve"> </v>
      </c>
      <c r="AG41" s="153" t="str">
        <f t="shared" si="11"/>
        <v xml:space="preserve"> </v>
      </c>
      <c r="AH41" s="98" t="str">
        <f t="shared" si="12"/>
        <v xml:space="preserve"> </v>
      </c>
      <c r="AI41" s="149" t="str">
        <f t="shared" si="13"/>
        <v xml:space="preserve"> </v>
      </c>
      <c r="AK41" s="144" t="str">
        <f t="shared" si="14"/>
        <v xml:space="preserve"> </v>
      </c>
      <c r="AL41" s="144"/>
      <c r="AM41" s="243" t="str">
        <f t="shared" si="15"/>
        <v xml:space="preserve"> </v>
      </c>
      <c r="AN41" s="149" t="str">
        <f t="shared" si="134"/>
        <v xml:space="preserve"> </v>
      </c>
      <c r="AO41" s="144" t="str">
        <f>IF(JB41&gt;0,IF(GI41=10,-R41*1.085*(Calculation!$F$6-Calculation!$F$13)*$S$14," "),"")</f>
        <v/>
      </c>
      <c r="AP41" s="144" t="str">
        <f t="shared" si="16"/>
        <v/>
      </c>
      <c r="AQ41" s="56" t="str">
        <f t="shared" si="17"/>
        <v/>
      </c>
      <c r="AR41" s="144" t="str">
        <f t="shared" si="18"/>
        <v/>
      </c>
      <c r="AS41" s="176" t="str">
        <f t="shared" si="19"/>
        <v/>
      </c>
      <c r="AT41" s="176" t="str">
        <f t="shared" si="135"/>
        <v xml:space="preserve"> </v>
      </c>
      <c r="AU41" s="176" t="str">
        <f t="shared" si="20"/>
        <v/>
      </c>
      <c r="AV41" s="177" t="str">
        <f t="shared" si="21"/>
        <v xml:space="preserve"> </v>
      </c>
      <c r="AW41" s="144" t="str">
        <f t="shared" si="22"/>
        <v xml:space="preserve"> </v>
      </c>
      <c r="AX41" s="144" t="str">
        <f t="shared" si="23"/>
        <v xml:space="preserve"> </v>
      </c>
      <c r="AY41" s="152" t="str">
        <f t="shared" si="24"/>
        <v xml:space="preserve"> </v>
      </c>
      <c r="AZ41" s="246" t="str">
        <f t="shared" si="25"/>
        <v/>
      </c>
      <c r="BA41" s="176" t="str">
        <f t="shared" si="26"/>
        <v xml:space="preserve"> </v>
      </c>
      <c r="BB41" s="176" t="str">
        <f t="shared" si="27"/>
        <v xml:space="preserve"> </v>
      </c>
      <c r="BC41" s="195"/>
      <c r="BD41" s="316"/>
      <c r="BE41" s="317"/>
      <c r="BF41" s="318"/>
      <c r="BG41" s="318"/>
      <c r="BH41" s="144" t="str">
        <f t="shared" si="219"/>
        <v xml:space="preserve"> </v>
      </c>
      <c r="BI41" s="176" t="str">
        <f t="shared" si="28"/>
        <v/>
      </c>
      <c r="BJ41" s="144" t="str">
        <f t="shared" si="220"/>
        <v/>
      </c>
      <c r="BK41" s="246" t="str">
        <f t="shared" si="29"/>
        <v/>
      </c>
      <c r="BL41" s="144" t="str">
        <f t="shared" si="221"/>
        <v/>
      </c>
      <c r="BM41" s="246" t="str">
        <f t="shared" si="30"/>
        <v/>
      </c>
      <c r="BN41" s="337" t="str">
        <f t="shared" si="136"/>
        <v/>
      </c>
      <c r="BO41" s="371" t="str">
        <f t="shared" si="137"/>
        <v/>
      </c>
      <c r="BP41" s="328" t="str">
        <f t="shared" si="222"/>
        <v xml:space="preserve"> </v>
      </c>
      <c r="BQ41" s="347" t="str">
        <f t="shared" si="138"/>
        <v xml:space="preserve"> </v>
      </c>
      <c r="BR41" s="353" t="str">
        <f t="shared" si="223"/>
        <v xml:space="preserve"> </v>
      </c>
      <c r="BS41" s="626" t="str">
        <f>IF(L41&gt;0,IF(Calculation!P41="M13",BR41*3.1416*(0.134^2)/(4*144),IF(Calculation!P41="M17",BR41*3.1416*(0.165^2)/(4*144),IF(Calculation!P41="M20",BR41*3.1416*(0.198^2)/(4*144),IF(Calculation!P41="M23",BR41*3.1416*(0.228^2)/(4*144),IF(Calculation!P41="M27",BR41*3.1416*(0.269^2)/(4*144),BR41*3.1416*(0.307^2)/(4*144))))))," ")</f>
        <v xml:space="preserve"> </v>
      </c>
      <c r="BT41" s="353" t="str">
        <f>IF(L41&gt;0,IF(BS41&gt;0,R41/Calculation!BS41,0)," ")</f>
        <v xml:space="preserve"> </v>
      </c>
      <c r="BU41" s="438" t="e">
        <f t="shared" ca="1" si="31"/>
        <v>#VALUE!</v>
      </c>
      <c r="BV41" s="449" t="e">
        <f ca="1">INDEX(INDIRECT(VLOOKUP(LEFT(BO41,7),CLU!$Z$3:$AH$18,2)),GN41,GR41)</f>
        <v>#N/A</v>
      </c>
      <c r="BW41" s="433" t="e">
        <f ca="1">INDEX(INDIRECT(VLOOKUP(LEFT(BO41,7),CLU!$Z$3:$AH$18,3)),GN41,GR41)</f>
        <v>#N/A</v>
      </c>
      <c r="BX41" s="433" t="e">
        <f ca="1">INDEX(INDIRECT(VLOOKUP(LEFT(BO41,7),CLU!$Z$3:$AH$18,4)),GN41,GR41)</f>
        <v>#N/A</v>
      </c>
      <c r="BY41" s="433" t="e">
        <f ca="1">INDEX(INDIRECT(VLOOKUP(LEFT(BO41,7),CLU!$Z$3:$AH$18,9)),((M41-2)*(6-COUNTBLANK(GT41:GY41)))+GJ41)</f>
        <v>#N/A</v>
      </c>
      <c r="BZ41" s="426" t="e">
        <f t="shared" ca="1" si="139"/>
        <v>#N/A</v>
      </c>
      <c r="CA41" s="424" t="e">
        <f t="shared" ca="1" si="140"/>
        <v>#N/A</v>
      </c>
      <c r="CB41" s="429" t="e">
        <f ca="1">INDEX(INDIRECT(VLOOKUP(LEFT(BO41,7),CLU!$Z$3:$AH$18,2)),GN41,GS41)</f>
        <v>#N/A</v>
      </c>
      <c r="CC41" s="342" t="e">
        <f ca="1">INDEX(INDIRECT(VLOOKUP(LEFT(BO41,7),CLU!$Z$3:$AH$18,3)),GN41,GS41)</f>
        <v>#N/A</v>
      </c>
      <c r="CD41" s="342" t="e">
        <f ca="1">INDEX(INDIRECT(VLOOKUP(LEFT(BO41,7),CLU!$Z$3:$AH$18,4)),GN41,GS41)</f>
        <v>#N/A</v>
      </c>
      <c r="CE41" s="426" t="e">
        <f t="shared" ca="1" si="141"/>
        <v>#N/A</v>
      </c>
      <c r="CF41" s="440">
        <f t="shared" si="142"/>
        <v>0</v>
      </c>
      <c r="CG41" s="431" t="e">
        <f ca="1">INDEX(INDIRECT(VLOOKUP(LEFT(BO41,7),CLU!$Z$3:$AH$18,2)),GQ41,GR41)</f>
        <v>#N/A</v>
      </c>
      <c r="CH41" s="431" t="e">
        <f ca="1">INDEX(INDIRECT(VLOOKUP(LEFT(BO41,7),CLU!$Z$3:$AH$18,3)),GQ41,GR41)</f>
        <v>#N/A</v>
      </c>
      <c r="CI41" s="431" t="e">
        <f ca="1">INDEX(INDIRECT(VLOOKUP(LEFT(BO41,7),CLU!$Z$3:$AH$18,4)),GQ41,GR41)</f>
        <v>#N/A</v>
      </c>
      <c r="CJ41" s="448" t="e">
        <f t="shared" ca="1" si="143"/>
        <v>#N/A</v>
      </c>
      <c r="CK41" s="431" t="e">
        <f t="shared" ca="1" si="144"/>
        <v>#N/A</v>
      </c>
      <c r="CL41" s="440" t="e">
        <f t="shared" ca="1" si="145"/>
        <v>#N/A</v>
      </c>
      <c r="CM41" s="431" t="e">
        <f ca="1">INDEX(INDIRECT(VLOOKUP(LEFT(BO41,7),CLU!$Z$3:$AH$18,2)),GQ41,GS41)</f>
        <v>#N/A</v>
      </c>
      <c r="CN41" s="431" t="e">
        <f ca="1">INDEX(INDIRECT(VLOOKUP(LEFT(BO41,7),CLU!$Z$3:$AH$18,3)),GQ41,GS41)</f>
        <v>#N/A</v>
      </c>
      <c r="CO41" s="431" t="e">
        <f ca="1">INDEX(INDIRECT(VLOOKUP(LEFT(BO41,7),CLU!$Z$3:$AH$18,4)),GQ41,GS41)</f>
        <v>#N/A</v>
      </c>
      <c r="CP41" s="431" t="e">
        <f t="shared" ca="1" si="146"/>
        <v>#N/A</v>
      </c>
      <c r="CQ41" s="440">
        <f t="shared" si="147"/>
        <v>0</v>
      </c>
      <c r="CR41" s="51" t="e">
        <f t="shared" ca="1" si="148"/>
        <v>#N/A</v>
      </c>
      <c r="CS41" s="439" t="e">
        <f t="shared" ca="1" si="149"/>
        <v>#VALUE!</v>
      </c>
      <c r="CT41" s="51" t="e">
        <f t="shared" ca="1" si="150"/>
        <v>#VALUE!</v>
      </c>
      <c r="CU41" s="10"/>
      <c r="CV41" s="51" t="e">
        <f t="shared" ca="1" si="34"/>
        <v>#VALUE!</v>
      </c>
      <c r="CW41" s="51">
        <f t="shared" si="151"/>
        <v>0</v>
      </c>
      <c r="CX41" s="439" t="e">
        <f t="shared" ca="1" si="152"/>
        <v>#VALUE!</v>
      </c>
      <c r="CY41" s="51" t="e">
        <f t="shared" ca="1" si="153"/>
        <v>#VALUE!</v>
      </c>
      <c r="CZ41" s="10"/>
      <c r="DA41" s="51" t="e">
        <f t="shared" ca="1" si="154"/>
        <v>#VALUE!</v>
      </c>
      <c r="DB41" s="347" t="e">
        <f ca="1">INDEX(INDIRECT(VLOOKUP(LEFT(BO41,7),CLU!$Z$3:$AI$18,10)),((M41-2)*(6-COUNTBLANK(GT41:GY41)))+GJ41)*LI41</f>
        <v>#N/A</v>
      </c>
      <c r="DC41" s="347" t="str">
        <f>IF(L41&gt;0,((R41/Worksheet!$I$15)/DB41)^2," ")</f>
        <v xml:space="preserve"> </v>
      </c>
      <c r="DD41" s="602" t="str">
        <f t="shared" si="224"/>
        <v xml:space="preserve"> </v>
      </c>
      <c r="DE41" s="347" t="str">
        <f t="shared" si="35"/>
        <v xml:space="preserve"> </v>
      </c>
      <c r="DF41" s="356" t="e">
        <f ca="1">INDEX(INDIRECT(VLOOKUP(LEFT(BO41,7),CLU!$Z$3:$AH$18,8)),((M41-2)*(6-COUNTBLANK(GT41:GY41)))+GJ41)</f>
        <v>#N/A</v>
      </c>
      <c r="DG41" s="347" t="str">
        <f t="shared" si="36"/>
        <v xml:space="preserve"> </v>
      </c>
      <c r="DH41" s="357" t="str">
        <f t="shared" si="37"/>
        <v xml:space="preserve"> </v>
      </c>
      <c r="DI41" s="355" t="str">
        <f t="shared" si="38"/>
        <v xml:space="preserve"> </v>
      </c>
      <c r="DJ41" s="245" t="e">
        <f ca="1">INDEX(INDIRECT(VLOOKUP(LEFT(BO41,7),CLU!$Z$3:$AH$18,5)),GL41,GK41)</f>
        <v>#N/A</v>
      </c>
      <c r="DK41" s="245" t="e">
        <f ca="1">INDEX(INDIRECT(VLOOKUP(LEFT(BO41,7),CLU!$Z$3:$AH$18,6)),GL41,GK41)</f>
        <v>#N/A</v>
      </c>
      <c r="DL41" s="355">
        <f>(Calculation!R41*0.69143*(Calculation!$BQ$8-Calculation!$F$8))*$S$14</f>
        <v>0</v>
      </c>
      <c r="DM41" s="359" t="e">
        <f t="shared" si="160"/>
        <v>#VALUE!</v>
      </c>
      <c r="DN41" s="611">
        <f t="shared" si="161"/>
        <v>0</v>
      </c>
      <c r="DO41" s="359">
        <f t="shared" si="162"/>
        <v>100</v>
      </c>
      <c r="DP41" s="359">
        <f t="shared" si="163"/>
        <v>0</v>
      </c>
      <c r="DQ41" s="360"/>
      <c r="DR41" s="245" t="e">
        <f ca="1">INDEX(INDIRECT(VLOOKUP(LEFT(BO41,7),CLU!$Z$3:$AH$18,7)),M41-1,1)</f>
        <v>#N/A</v>
      </c>
      <c r="DS41" s="245" t="e">
        <f ca="1">INDEX(INDIRECT(VLOOKUP(LEFT(BO41,7),CLU!$Z$3:$AH$18,7)),M41-1,2)</f>
        <v>#N/A</v>
      </c>
      <c r="DT41" s="245" t="e">
        <f ca="1">INDEX(INDIRECT(VLOOKUP(LEFT(BO41,7),CLU!$Z$3:$AH$18,7)),M41-1,3)</f>
        <v>#N/A</v>
      </c>
      <c r="DU41" s="245" t="e">
        <f ca="1">INDEX(INDIRECT(VLOOKUP(LEFT(BO41,7),CLU!$Z$3:$AH$18,7)),M41-1,4)</f>
        <v>#N/A</v>
      </c>
      <c r="DV41" s="361" t="e">
        <f ca="1">INDEX(INDIRECT(VLOOKUP(LEFT(BO41,7),CLU!$Z$3:$AH$18,7)),M41-1,4+LEFT(DZ41,1)*0.5)</f>
        <v>#N/A</v>
      </c>
      <c r="DW41" s="245" t="e">
        <f ca="1">INDEX(INDIRECT(VLOOKUP(LEFT(BO41,7),CLU!$Z$3:$AH$18,7)),M41-1,8)</f>
        <v>#N/A</v>
      </c>
      <c r="DX41" s="361" t="str">
        <f t="shared" si="39"/>
        <v xml:space="preserve"> </v>
      </c>
      <c r="DY41" s="361" t="str">
        <f t="shared" si="40"/>
        <v xml:space="preserve"> </v>
      </c>
      <c r="DZ41" s="361" t="str">
        <f t="shared" si="41"/>
        <v xml:space="preserve"> </v>
      </c>
      <c r="EA41" s="362" t="str">
        <f t="shared" si="42"/>
        <v xml:space="preserve"> </v>
      </c>
      <c r="EB41" s="624" t="str">
        <f t="shared" si="168"/>
        <v xml:space="preserve"> </v>
      </c>
      <c r="EC41" s="361" t="e">
        <f ca="1">INDEX(INDIRECT(VLOOKUP(LEFT(BO41,7),CLU!$Z$3:$AH$18,7)),M41-1,4+LEFT(DZ41,1)*0.5)</f>
        <v>#N/A</v>
      </c>
      <c r="ED41" s="362" t="str">
        <f t="shared" si="43"/>
        <v xml:space="preserve"> </v>
      </c>
      <c r="EE41" s="361" t="str">
        <f t="shared" si="44"/>
        <v xml:space="preserve"> </v>
      </c>
      <c r="EF41" s="362" t="str">
        <f>IF(L41&gt;0,IF(BR41&gt;0,IF(EE41="2P",IF(Calculation!DZ41="2P",IF(Calculation!DS41=13.75,IF(Calculation!DR41=13,Worksheet!$BD$43,IF(Calculation!DR41=37,Worksheet!$BD$44,Worksheet!$BD$45)),IF(Calculation!DS41=10,IF(Calculation!DR41=18,Worksheet!$BD$29,IF(Calculation!DR41=30,Worksheet!$BD$30,IF(Calculation!DR41=42,Worksheet!$BD$31,IF(Calculation!DR41=54,Worksheet!$BD$32,IF(Calculation!DR41=66,Worksheet!$BD$33,IF(Calculation!DR41=78,Worksheet!$BD$34,IF(Calculation!DR41=90,Worksheet!$BD$35,IF(Calculation!DR41=102,Worksheet!$BD$36,Worksheet!$BD$37)))))))),IF(Calculation!DS41=12.5,IF(Calculation!DR41=18,Worksheet!$BD$38,IF(Calculation!DR41=Worksheet!$BD$39,IF(Calculation!DR41=42,Worksheet!$BD$40,IF(Calculation!DR41=54,Worksheet!$BD$41,Worksheet!$BD$42)))),IF(Calculation!DR41=18,Worksheet!$BD$11,IF(Calculation!DR41=30,Worksheet!$BD$12,IF(Calculation!DR41=42,Worksheet!$BD$13,IF(Calculation!DR41=54,Worksheet!$BD$14,IF(Calculation!DR41=66,Worksheet!$BD$15,IF(Calculation!DR41=78,Worksheet!$BD$16,IF(Calculation!DR41=90,Worksheet!$BD$17,IF(Calculation!DR41=102,Worksheet!$BD$18,Worksheet!$BD$19))))))))))),IF(Calculation!DS41=13.75,IF(Calculation!DR41=13,Worksheet!$BD$78,IF(Calculation!DR41=37,Worksheet!$BD$79,Worksheet!$BD$80)),IF(Calculation!DS41=10,IF(Calculation!DR41=18,Worksheet!$BD$64,IF(Calculation!DR41=30,Worksheet!$BD$65,IF(Calculation!DR41=42,Worksheet!$BD$66,IF(Calculation!DR41=54,Worksheet!$BD$68,IF(Calculation!DR41=66,Worksheet!$BD$68,IF(Calculation!DR41=78,Worksheet!$BD$69,IF(Calculation!DR41=90,Worksheet!$BD$70,IF(Calculation!DR41=102,Worksheet!$BD$71,Worksheet!$BD$72)))))))),IF(Calculation!DS41=12.5,IF(Calculation!DR41=18,Worksheet!$BD$73,IF(Calculation!DR41=Worksheet!$BD$74,IF(Calculation!DR41=42,Worksheet!$BD$75,IF(Calculation!DR41=54,Worksheet!$BD$76,Worksheet!$BD$77)))),IF(Calculation!DR41=18,Worksheet!$BD$55,IF(Calculation!DR41=30,Worksheet!$BD$56,IF(Calculation!DR41=42,Worksheet!$BD$57,IF(Calculation!DR41=54,Worksheet!$BD$58,IF(Calculation!DR41=66,Worksheet!$BD$59,IF(Calculation!DR41=78,Worksheet!$BD$60,IF(Calculation!DR41=90,Worksheet!$BD$61,IF(Calculation!DR41=102,Worksheet!$BD$62,Worksheet!$BD$63)))))))))))),5),0)," ")</f>
        <v xml:space="preserve"> </v>
      </c>
      <c r="EG41" s="361" t="str">
        <f t="shared" si="45"/>
        <v xml:space="preserve"> </v>
      </c>
      <c r="EH41" s="361" t="e">
        <f ca="1">INDEX(INDIRECT(VLOOKUP(LEFT(BO41,7),CLU!$Z$3:$AH$18,7)),M41-1,3+LEFT(DZ41,1))</f>
        <v>#N/A</v>
      </c>
      <c r="EI41" s="362" t="str">
        <f t="shared" si="46"/>
        <v xml:space="preserve"> </v>
      </c>
      <c r="EJ41" s="363" t="str">
        <f t="shared" si="47"/>
        <v xml:space="preserve"> </v>
      </c>
      <c r="EK41" s="363" t="str">
        <f t="shared" si="48"/>
        <v xml:space="preserve"> </v>
      </c>
      <c r="EL41" s="363" t="str">
        <f t="shared" si="49"/>
        <v xml:space="preserve"> </v>
      </c>
      <c r="EM41" s="362" t="str">
        <f>IF(L41&gt;0,IF(BR41&gt;0,(Calculation!T41/ED41)^2,0)," ")</f>
        <v xml:space="preserve"> </v>
      </c>
      <c r="EN41" s="362" t="str">
        <f>IF(L41&gt;0,IF(O41="2 Pipe (Cooling)","N/A",IF(BR41&gt;0,(Calculation!U41/EI41)^2,0))," ")</f>
        <v xml:space="preserve"> </v>
      </c>
      <c r="EO41" s="361" t="str">
        <f t="shared" si="50"/>
        <v/>
      </c>
      <c r="EP41" s="361" t="str">
        <f t="shared" si="51"/>
        <v/>
      </c>
      <c r="EQ41" s="361" t="str">
        <f t="shared" si="52"/>
        <v/>
      </c>
      <c r="ER41" s="361" t="str">
        <f t="shared" si="53"/>
        <v/>
      </c>
      <c r="ES41" s="361" t="str">
        <f t="shared" si="54"/>
        <v/>
      </c>
      <c r="ET41" s="361" t="str">
        <f t="shared" si="55"/>
        <v/>
      </c>
      <c r="EU41" s="361" t="str">
        <f t="shared" si="56"/>
        <v/>
      </c>
      <c r="EV41" s="361" t="str">
        <f t="shared" si="57"/>
        <v/>
      </c>
      <c r="EW41" s="361" t="str">
        <f t="shared" si="58"/>
        <v/>
      </c>
      <c r="EX41" s="361" t="str">
        <f t="shared" si="169"/>
        <v>1 slot, 1 way</v>
      </c>
      <c r="EY41" s="361" t="str">
        <f t="shared" si="170"/>
        <v xml:space="preserve"> </v>
      </c>
      <c r="EZ41" s="361" t="str">
        <f t="shared" si="171"/>
        <v xml:space="preserve"> </v>
      </c>
      <c r="FA41" s="361" t="str">
        <f t="shared" si="172"/>
        <v xml:space="preserve"> </v>
      </c>
      <c r="FB41" s="361" t="str">
        <f t="shared" si="173"/>
        <v xml:space="preserve"> </v>
      </c>
      <c r="FC41" s="361"/>
      <c r="FD41" s="361" t="str">
        <f>IF(J41&gt;0,IF(Calculation!R41&lt;=70,4,IF(Calculation!R41&lt;=110,5,IF(Calculation!R41&lt;=160,6,IF(Calculation!R41&lt;=300,8,"10 EO")))),"")</f>
        <v/>
      </c>
      <c r="FE41" s="361" t="str">
        <f t="shared" si="174"/>
        <v/>
      </c>
      <c r="FF41" s="361" t="str">
        <f t="shared" si="175"/>
        <v/>
      </c>
      <c r="FG41" s="361" t="e">
        <f t="shared" si="60"/>
        <v>#N/A</v>
      </c>
      <c r="FH41" s="361">
        <f t="shared" si="61"/>
        <v>0</v>
      </c>
      <c r="FI41" s="361" t="e">
        <f t="shared" si="62"/>
        <v>#DIV/0!</v>
      </c>
      <c r="FJ41" s="361"/>
      <c r="FK41" s="356" t="e">
        <f t="shared" si="63"/>
        <v>#VALUE!</v>
      </c>
      <c r="FL41" s="361"/>
      <c r="FM41" s="361"/>
      <c r="FN41" s="362" t="str">
        <f t="shared" si="176"/>
        <v xml:space="preserve"> </v>
      </c>
      <c r="FO41" s="362" t="str">
        <f t="shared" si="177"/>
        <v xml:space="preserve"> </v>
      </c>
      <c r="FP41" s="362">
        <f t="shared" si="178"/>
        <v>0</v>
      </c>
      <c r="FQ41" s="361">
        <f t="shared" si="64"/>
        <v>0</v>
      </c>
      <c r="FR41" s="362" t="str">
        <f>IF(L41&gt;0,IF(J41="CBAL2",Worksheet!$P$67,IF(J41="CBE2-24",Worksheet!$Q$67,IF(J41="CBAM",Worksheet!$R$67,IF(J41="CBLV",Worksheet!$S$67,IF(J41="CBAB",Worksheet!$U$67,IF(J41="CBAW",Worksheet!$X$67,IF(J41="CBE2-12",Worksheet!$Y$67,IF(J41="CBAL2",Worksheet!$Z$67,"N/A"))))))))," ")</f>
        <v xml:space="preserve"> </v>
      </c>
      <c r="FS41" s="362" t="str">
        <f>IF(L41&gt;0,IF(J41="CBAL2",Worksheet!$P$68,IF(J41="CBE2-24",Worksheet!$Q$68,IF(J41="CBAM",Worksheet!$R$68,IF(J41="CBLV",Worksheet!$S$68,IF(J41="CBAB",Worksheet!$U$68,IF(J41="CBAW",Worksheet!$X$68,IF(J41="CBE2-12",Worksheet!$Y$68,IF(J41="CBAL2",Worksheet!$Z$68,"N/A"))))))))," ")</f>
        <v xml:space="preserve"> </v>
      </c>
      <c r="FT41" s="362" t="str">
        <f>IF(L41&gt;0,IF(J41="CBAL2",Worksheet!$P$69,IF(J41="CBE2-24",Worksheet!$Q$69,IF(J41="CBAM",Worksheet!$R$69,IF(J41="CBLV",Worksheet!$S$69,IF(J41="CBAB",Worksheet!$U$69,IF(J41="CBAW",Worksheet!$X$69,IF(J41="CBE2-12",Worksheet!$Y$69,IF(J41="CBAL2",Worksheet!$Z$69,"N/A"))))))))," ")</f>
        <v xml:space="preserve"> </v>
      </c>
      <c r="FU41" s="361" t="str">
        <f t="shared" si="179"/>
        <v xml:space="preserve"> </v>
      </c>
      <c r="FV41" s="362" t="str">
        <f t="shared" si="180"/>
        <v xml:space="preserve"> </v>
      </c>
      <c r="FW41" s="362" t="str">
        <f t="shared" si="181"/>
        <v xml:space="preserve"> </v>
      </c>
      <c r="FX41" s="362" t="str">
        <f t="shared" si="182"/>
        <v xml:space="preserve"> </v>
      </c>
      <c r="FY41" s="355" t="str">
        <f t="shared" si="183"/>
        <v xml:space="preserve"> </v>
      </c>
      <c r="FZ41" s="361" t="str">
        <f t="shared" si="184"/>
        <v xml:space="preserve"> </v>
      </c>
      <c r="GA41" s="347" t="str">
        <f t="shared" si="185"/>
        <v xml:space="preserve"> </v>
      </c>
      <c r="GB41" s="355" t="str">
        <f t="shared" si="186"/>
        <v xml:space="preserve"> </v>
      </c>
      <c r="GC41" s="328" t="str">
        <f t="shared" si="187"/>
        <v xml:space="preserve"> </v>
      </c>
      <c r="GD41" s="361" t="str">
        <f t="shared" si="188"/>
        <v xml:space="preserve"> </v>
      </c>
      <c r="GE41" s="347" t="str">
        <f t="shared" si="189"/>
        <v xml:space="preserve"> </v>
      </c>
      <c r="GF41" s="361" t="str">
        <f t="shared" si="190"/>
        <v xml:space="preserve"> </v>
      </c>
      <c r="GG41" s="347" t="str">
        <f t="shared" si="191"/>
        <v xml:space="preserve"> </v>
      </c>
      <c r="GH41" s="364">
        <f t="shared" si="78"/>
        <v>0</v>
      </c>
      <c r="GI41" s="362">
        <f t="shared" si="192"/>
        <v>2</v>
      </c>
      <c r="GJ41" s="433" t="e">
        <f>IF(6-COUNTBLANK(GT41:GY41)=4,MATCH(MID(BO41,9,3),CLU!$H$16:$K$16),MATCH(MID(BO41,9,3),CLU!$H$13:$M$13))</f>
        <v>#N/A</v>
      </c>
      <c r="GK41" s="433" t="e">
        <f>HLOOKUP(VALUE(BP41),CLU!$H$9:$M$10,2)</f>
        <v>#VALUE!</v>
      </c>
      <c r="GL41" s="433" t="e">
        <f ca="1">MATCH(BU41,CLU!$H$2:$V$2,1)</f>
        <v>#VALUE!</v>
      </c>
      <c r="GM41" s="433" t="e">
        <f t="shared" ca="1" si="193"/>
        <v>#VALUE!</v>
      </c>
      <c r="GN41" s="433" t="e">
        <f t="shared" ca="1" si="194"/>
        <v>#VALUE!</v>
      </c>
      <c r="GO41" s="433" t="e">
        <f t="shared" ca="1" si="195"/>
        <v>#VALUE!</v>
      </c>
      <c r="GP41" s="433" t="e">
        <f t="shared" ca="1" si="196"/>
        <v>#VALUE!</v>
      </c>
      <c r="GQ41" s="433" t="e">
        <f t="shared" ca="1" si="197"/>
        <v>#VALUE!</v>
      </c>
      <c r="GR41" s="433" t="e">
        <f ca="1">MATCH(T41,INDIRECT(VLOOKUP(CONCATENATE(LEFT(BO41,7),"-",MID(BO41,13,1)),CLU!$P$3:$Q$16,2)),1)</f>
        <v>#N/A</v>
      </c>
      <c r="GS41" s="433" t="e">
        <f ca="1">MATCH(U41,INDIRECT(VLOOKUP(CONCATENATE(LEFT(BO41,7),"-",MID(BO41,13,1)),CLU!$P$3:$Q$16,2)),1)</f>
        <v>#N/A</v>
      </c>
      <c r="GT41" s="347" t="s">
        <v>512</v>
      </c>
      <c r="GU41" s="97" t="s">
        <v>513</v>
      </c>
      <c r="GV41" s="97" t="str">
        <f t="shared" si="198"/>
        <v>M23</v>
      </c>
      <c r="GW41" s="97" t="str">
        <f t="shared" si="199"/>
        <v>M31</v>
      </c>
      <c r="GX41" s="97" t="str">
        <f t="shared" si="200"/>
        <v/>
      </c>
      <c r="GY41" s="97" t="str">
        <f t="shared" si="201"/>
        <v/>
      </c>
      <c r="GZ41" s="481"/>
      <c r="HA41" s="288"/>
      <c r="HB41" s="240"/>
      <c r="HC41" s="240"/>
      <c r="HD41" s="240"/>
      <c r="HE41" s="240"/>
      <c r="HF41" s="240"/>
      <c r="HG41" s="240"/>
      <c r="HH41" s="240"/>
      <c r="HI41" s="240"/>
      <c r="HJ41" s="240"/>
      <c r="HK41" s="240"/>
      <c r="HL41" s="240"/>
      <c r="HM41" s="240"/>
      <c r="HN41" s="240"/>
      <c r="HO41" s="240"/>
      <c r="HP41" s="240"/>
      <c r="HQ41" s="240"/>
      <c r="HR41" s="240"/>
      <c r="HS41" s="240"/>
      <c r="HT41" s="240"/>
      <c r="HU41" s="240"/>
      <c r="HV41" s="245"/>
      <c r="HW41" s="245" t="b">
        <v>1</v>
      </c>
      <c r="HX41" s="245" t="str">
        <f t="shared" si="79"/>
        <v/>
      </c>
      <c r="HY41" s="245" t="e">
        <f t="shared" si="80"/>
        <v>#DIV/0!</v>
      </c>
      <c r="HZ41" s="245" t="e">
        <f t="shared" si="81"/>
        <v>#DIV/0!</v>
      </c>
      <c r="IA41" s="245">
        <f t="shared" si="82"/>
        <v>0</v>
      </c>
      <c r="IB41" s="245"/>
      <c r="IC41" t="b">
        <f t="shared" si="83"/>
        <v>1</v>
      </c>
      <c r="ID41" s="245" t="b">
        <f t="shared" si="84"/>
        <v>1</v>
      </c>
      <c r="IE41" s="245" t="b">
        <f t="shared" si="85"/>
        <v>1</v>
      </c>
      <c r="IF41" s="245" t="b">
        <f t="shared" si="86"/>
        <v>0</v>
      </c>
      <c r="IG41" s="245" t="b">
        <f t="shared" si="87"/>
        <v>1</v>
      </c>
      <c r="IH41" s="245" t="b">
        <f t="shared" si="88"/>
        <v>1</v>
      </c>
      <c r="II41" s="245">
        <f t="shared" si="202"/>
        <v>0</v>
      </c>
      <c r="IJ41" s="245" t="e">
        <f t="shared" si="89"/>
        <v>#VALUE!</v>
      </c>
      <c r="IK41" s="245" t="e">
        <f t="shared" si="90"/>
        <v>#VALUE!</v>
      </c>
      <c r="IL41" s="245"/>
      <c r="IM41" s="245" t="e">
        <f t="shared" si="203"/>
        <v>#N/A</v>
      </c>
      <c r="IN41" s="245" t="e">
        <f t="shared" si="204"/>
        <v>#N/A</v>
      </c>
      <c r="IO41" s="245"/>
      <c r="IP41" s="245"/>
      <c r="IQ41" s="245" t="str">
        <f t="shared" si="91"/>
        <v/>
      </c>
      <c r="IR41" s="245" t="str">
        <f>IF(J41="","",VLOOKUP(J41,Worksheet!$R$4:$T$14,2))</f>
        <v/>
      </c>
      <c r="IS41" s="245"/>
      <c r="IT41" s="245">
        <f t="shared" si="92"/>
        <v>0</v>
      </c>
      <c r="IU41" s="245">
        <f t="shared" si="93"/>
        <v>0</v>
      </c>
      <c r="IV41" s="245">
        <f t="shared" si="94"/>
        <v>0</v>
      </c>
      <c r="IW41" s="245">
        <f t="shared" si="95"/>
        <v>0</v>
      </c>
      <c r="IX41" s="245">
        <f t="shared" si="205"/>
        <v>0</v>
      </c>
      <c r="IY41" s="245">
        <f t="shared" si="96"/>
        <v>0</v>
      </c>
      <c r="IZ41" s="245">
        <f t="shared" si="97"/>
        <v>0</v>
      </c>
      <c r="JA41">
        <f t="shared" si="98"/>
        <v>0</v>
      </c>
      <c r="JB41">
        <f t="shared" si="206"/>
        <v>0</v>
      </c>
      <c r="JC41">
        <f t="shared" si="99"/>
        <v>0</v>
      </c>
      <c r="JD41">
        <f t="shared" si="100"/>
        <v>0</v>
      </c>
      <c r="JE41">
        <f t="shared" si="101"/>
        <v>0</v>
      </c>
      <c r="JF41">
        <f t="shared" si="102"/>
        <v>0</v>
      </c>
      <c r="JG41">
        <f t="shared" si="103"/>
        <v>0</v>
      </c>
      <c r="JH41">
        <f t="shared" si="104"/>
        <v>0</v>
      </c>
      <c r="JI41">
        <f t="shared" si="105"/>
        <v>0</v>
      </c>
      <c r="JJ41" s="447">
        <f t="shared" si="106"/>
        <v>0</v>
      </c>
      <c r="JK41" s="447">
        <f t="shared" si="107"/>
        <v>0</v>
      </c>
      <c r="JL41">
        <f t="shared" si="108"/>
        <v>0</v>
      </c>
      <c r="JM41" s="245" t="str">
        <f>IFERROR(VLOOKUP(MATCH(BN41,#REF!,0),#REF!,7),"")</f>
        <v/>
      </c>
      <c r="JN41" t="e">
        <f>HLOOKUP(LEFT(BO41,7),Discharge_Area,MATCH(JO41,LookUps!$B$130:$B$149,1)+2)</f>
        <v>#N/A</v>
      </c>
      <c r="JO41" t="str">
        <f t="shared" si="109"/>
        <v>- S</v>
      </c>
      <c r="JP41" t="e">
        <f>HLOOKUP(LEFT(BO41,7),Discharge_Area,MATCH(JO41,LookUps!$B$130:$B$149,1)+2)</f>
        <v>#N/A</v>
      </c>
      <c r="JQ41" t="e">
        <f t="shared" si="110"/>
        <v>#N/A</v>
      </c>
      <c r="JR41" t="e">
        <f t="shared" si="111"/>
        <v>#N/A</v>
      </c>
      <c r="JS41" t="e">
        <f t="shared" si="112"/>
        <v>#N/A</v>
      </c>
      <c r="JT41" s="532" t="str">
        <f t="shared" si="113"/>
        <v xml:space="preserve"> </v>
      </c>
      <c r="JU41" s="532" t="str">
        <f t="shared" si="114"/>
        <v xml:space="preserve"> </v>
      </c>
      <c r="JV41" s="533" t="str">
        <f t="shared" si="115"/>
        <v xml:space="preserve"> </v>
      </c>
      <c r="JW41" s="534">
        <f t="shared" si="116"/>
        <v>0</v>
      </c>
      <c r="JX41" s="535" t="str">
        <f t="shared" si="207"/>
        <v xml:space="preserve"> </v>
      </c>
      <c r="JY41" s="535" t="str">
        <f t="shared" si="208"/>
        <v xml:space="preserve"> </v>
      </c>
      <c r="JZ41" s="535" t="str">
        <f t="shared" si="209"/>
        <v xml:space="preserve"> </v>
      </c>
      <c r="KA41" s="536" t="str">
        <f t="shared" si="117"/>
        <v xml:space="preserve"> </v>
      </c>
      <c r="KB41" s="535" t="e">
        <f t="shared" si="210"/>
        <v>#VALUE!</v>
      </c>
      <c r="KC41" s="535" t="str">
        <f t="shared" si="118"/>
        <v/>
      </c>
      <c r="KD41" s="537" t="str">
        <f t="shared" si="211"/>
        <v xml:space="preserve"> </v>
      </c>
      <c r="KE41" s="537" t="str">
        <f t="shared" si="212"/>
        <v xml:space="preserve"> </v>
      </c>
      <c r="KF41" s="534">
        <f t="shared" si="119"/>
        <v>0</v>
      </c>
      <c r="KG41" s="535" t="str">
        <f t="shared" si="120"/>
        <v xml:space="preserve"> </v>
      </c>
      <c r="KH41" s="535" t="str">
        <f t="shared" si="121"/>
        <v xml:space="preserve"> </v>
      </c>
      <c r="KI41" s="535" t="str">
        <f t="shared" si="122"/>
        <v xml:space="preserve"> </v>
      </c>
      <c r="KJ41" s="536" t="str">
        <f t="shared" si="123"/>
        <v xml:space="preserve"> </v>
      </c>
      <c r="KK41" s="535" t="str">
        <f t="shared" si="213"/>
        <v xml:space="preserve"> </v>
      </c>
      <c r="KL41" s="535" t="str">
        <f t="shared" si="214"/>
        <v xml:space="preserve"> </v>
      </c>
      <c r="KM41" s="537" t="str">
        <f t="shared" si="124"/>
        <v xml:space="preserve"> </v>
      </c>
      <c r="KN41" s="537" t="str">
        <f t="shared" si="215"/>
        <v xml:space="preserve"> </v>
      </c>
      <c r="KP41">
        <f t="shared" si="125"/>
        <v>0</v>
      </c>
      <c r="LA41" t="e">
        <f t="shared" si="126"/>
        <v>#VALUE!</v>
      </c>
      <c r="LB41" t="e">
        <f t="shared" si="127"/>
        <v>#VALUE!</v>
      </c>
      <c r="LC41" t="e">
        <f t="shared" si="128"/>
        <v>#VALUE!</v>
      </c>
      <c r="LD41" t="e">
        <f t="shared" si="129"/>
        <v>#VALUE!</v>
      </c>
      <c r="LE41" t="e">
        <f t="shared" si="216"/>
        <v>#VALUE!</v>
      </c>
      <c r="LF41">
        <f t="shared" si="130"/>
        <v>0</v>
      </c>
      <c r="LG41" t="e">
        <f t="shared" si="217"/>
        <v>#VALUE!</v>
      </c>
      <c r="LH41" t="str">
        <f t="shared" si="131"/>
        <v xml:space="preserve"> </v>
      </c>
      <c r="LI41">
        <f t="shared" si="218"/>
        <v>1</v>
      </c>
    </row>
    <row r="42" spans="2:321" ht="15" customHeight="1">
      <c r="B42" s="311"/>
      <c r="C42" s="311"/>
      <c r="D42" s="312"/>
      <c r="E42" s="311"/>
      <c r="F42" s="312"/>
      <c r="G42" s="311"/>
      <c r="H42" s="311"/>
      <c r="I42" s="37"/>
      <c r="J42" s="311"/>
      <c r="K42" s="305" t="str">
        <f t="shared" si="132"/>
        <v/>
      </c>
      <c r="L42" s="313"/>
      <c r="M42" s="312"/>
      <c r="N42" s="311"/>
      <c r="O42" s="312"/>
      <c r="P42" s="311"/>
      <c r="Q42" s="305" t="str">
        <f t="shared" si="133"/>
        <v/>
      </c>
      <c r="R42" s="314"/>
      <c r="S42" s="450" t="str">
        <f t="shared" si="0"/>
        <v/>
      </c>
      <c r="T42" s="315"/>
      <c r="U42" s="315"/>
      <c r="W42" s="149" t="str">
        <f t="shared" si="1"/>
        <v xml:space="preserve"> </v>
      </c>
      <c r="X42" s="243" t="str">
        <f t="shared" si="2"/>
        <v xml:space="preserve"> </v>
      </c>
      <c r="Y42" s="150" t="str">
        <f t="shared" si="3"/>
        <v/>
      </c>
      <c r="Z42" s="149" t="str">
        <f t="shared" si="4"/>
        <v xml:space="preserve"> </v>
      </c>
      <c r="AA42" s="98" t="str">
        <f t="shared" si="5"/>
        <v xml:space="preserve"> </v>
      </c>
      <c r="AB42" s="153" t="str">
        <f t="shared" si="6"/>
        <v xml:space="preserve"> </v>
      </c>
      <c r="AC42" s="153" t="str">
        <f t="shared" si="7"/>
        <v xml:space="preserve"> </v>
      </c>
      <c r="AD42" s="148" t="str">
        <f t="shared" si="8"/>
        <v/>
      </c>
      <c r="AE42" s="149" t="str">
        <f t="shared" si="9"/>
        <v/>
      </c>
      <c r="AF42" s="151" t="str">
        <f t="shared" si="10"/>
        <v xml:space="preserve"> </v>
      </c>
      <c r="AG42" s="153" t="str">
        <f t="shared" si="11"/>
        <v xml:space="preserve"> </v>
      </c>
      <c r="AH42" s="98" t="str">
        <f t="shared" si="12"/>
        <v xml:space="preserve"> </v>
      </c>
      <c r="AI42" s="149" t="str">
        <f t="shared" si="13"/>
        <v xml:space="preserve"> </v>
      </c>
      <c r="AK42" s="144" t="str">
        <f t="shared" si="14"/>
        <v xml:space="preserve"> </v>
      </c>
      <c r="AL42" s="144"/>
      <c r="AM42" s="243" t="str">
        <f t="shared" si="15"/>
        <v xml:space="preserve"> </v>
      </c>
      <c r="AN42" s="149" t="str">
        <f t="shared" si="134"/>
        <v xml:space="preserve"> </v>
      </c>
      <c r="AO42" s="144" t="str">
        <f>IF(JB42&gt;0,IF(GI42=10,-R42*1.085*(Calculation!$F$6-Calculation!$F$13)*$S$14," "),"")</f>
        <v/>
      </c>
      <c r="AP42" s="144" t="str">
        <f t="shared" si="16"/>
        <v/>
      </c>
      <c r="AQ42" s="56" t="str">
        <f t="shared" si="17"/>
        <v/>
      </c>
      <c r="AR42" s="144" t="str">
        <f t="shared" si="18"/>
        <v/>
      </c>
      <c r="AS42" s="176" t="str">
        <f t="shared" si="19"/>
        <v/>
      </c>
      <c r="AT42" s="176" t="str">
        <f t="shared" si="135"/>
        <v xml:space="preserve"> </v>
      </c>
      <c r="AU42" s="176" t="str">
        <f t="shared" si="20"/>
        <v/>
      </c>
      <c r="AV42" s="177" t="str">
        <f t="shared" si="21"/>
        <v xml:space="preserve"> </v>
      </c>
      <c r="AW42" s="144" t="str">
        <f t="shared" si="22"/>
        <v xml:space="preserve"> </v>
      </c>
      <c r="AX42" s="144" t="str">
        <f t="shared" si="23"/>
        <v xml:space="preserve"> </v>
      </c>
      <c r="AY42" s="152" t="str">
        <f t="shared" si="24"/>
        <v xml:space="preserve"> </v>
      </c>
      <c r="AZ42" s="246" t="str">
        <f t="shared" si="25"/>
        <v/>
      </c>
      <c r="BA42" s="176" t="str">
        <f t="shared" si="26"/>
        <v xml:space="preserve"> </v>
      </c>
      <c r="BB42" s="176" t="str">
        <f t="shared" si="27"/>
        <v xml:space="preserve"> </v>
      </c>
      <c r="BC42" s="195"/>
      <c r="BD42" s="316"/>
      <c r="BE42" s="317"/>
      <c r="BF42" s="318"/>
      <c r="BG42" s="318"/>
      <c r="BH42" s="144" t="str">
        <f t="shared" si="219"/>
        <v xml:space="preserve"> </v>
      </c>
      <c r="BI42" s="176" t="str">
        <f t="shared" si="28"/>
        <v/>
      </c>
      <c r="BJ42" s="144" t="str">
        <f t="shared" si="220"/>
        <v/>
      </c>
      <c r="BK42" s="246" t="str">
        <f t="shared" si="29"/>
        <v/>
      </c>
      <c r="BL42" s="144" t="str">
        <f t="shared" si="221"/>
        <v/>
      </c>
      <c r="BM42" s="246" t="str">
        <f t="shared" si="30"/>
        <v/>
      </c>
      <c r="BN42" s="337" t="str">
        <f t="shared" si="136"/>
        <v/>
      </c>
      <c r="BO42" s="371" t="str">
        <f t="shared" si="137"/>
        <v/>
      </c>
      <c r="BP42" s="328" t="str">
        <f t="shared" si="222"/>
        <v xml:space="preserve"> </v>
      </c>
      <c r="BQ42" s="347" t="str">
        <f t="shared" si="138"/>
        <v xml:space="preserve"> </v>
      </c>
      <c r="BR42" s="353" t="str">
        <f t="shared" si="223"/>
        <v xml:space="preserve"> </v>
      </c>
      <c r="BS42" s="626" t="str">
        <f>IF(L42&gt;0,IF(Calculation!P42="M13",BR42*3.1416*(0.134^2)/(4*144),IF(Calculation!P42="M17",BR42*3.1416*(0.165^2)/(4*144),IF(Calculation!P42="M20",BR42*3.1416*(0.198^2)/(4*144),IF(Calculation!P42="M23",BR42*3.1416*(0.228^2)/(4*144),IF(Calculation!P42="M27",BR42*3.1416*(0.269^2)/(4*144),BR42*3.1416*(0.307^2)/(4*144))))))," ")</f>
        <v xml:space="preserve"> </v>
      </c>
      <c r="BT42" s="353" t="str">
        <f>IF(L42&gt;0,IF(BS42&gt;0,R42/Calculation!BS42,0)," ")</f>
        <v xml:space="preserve"> </v>
      </c>
      <c r="BU42" s="438" t="e">
        <f t="shared" ca="1" si="31"/>
        <v>#VALUE!</v>
      </c>
      <c r="BV42" s="449" t="e">
        <f ca="1">INDEX(INDIRECT(VLOOKUP(LEFT(BO42,7),CLU!$Z$3:$AH$18,2)),GN42,GR42)</f>
        <v>#N/A</v>
      </c>
      <c r="BW42" s="433" t="e">
        <f ca="1">INDEX(INDIRECT(VLOOKUP(LEFT(BO42,7),CLU!$Z$3:$AH$18,3)),GN42,GR42)</f>
        <v>#N/A</v>
      </c>
      <c r="BX42" s="433" t="e">
        <f ca="1">INDEX(INDIRECT(VLOOKUP(LEFT(BO42,7),CLU!$Z$3:$AH$18,4)),GN42,GR42)</f>
        <v>#N/A</v>
      </c>
      <c r="BY42" s="433" t="e">
        <f ca="1">INDEX(INDIRECT(VLOOKUP(LEFT(BO42,7),CLU!$Z$3:$AH$18,9)),((M42-2)*(6-COUNTBLANK(GT42:GY42)))+GJ42)</f>
        <v>#N/A</v>
      </c>
      <c r="BZ42" s="426" t="e">
        <f t="shared" ca="1" si="139"/>
        <v>#N/A</v>
      </c>
      <c r="CA42" s="424" t="e">
        <f t="shared" ca="1" si="140"/>
        <v>#N/A</v>
      </c>
      <c r="CB42" s="429" t="e">
        <f ca="1">INDEX(INDIRECT(VLOOKUP(LEFT(BO42,7),CLU!$Z$3:$AH$18,2)),GN42,GS42)</f>
        <v>#N/A</v>
      </c>
      <c r="CC42" s="342" t="e">
        <f ca="1">INDEX(INDIRECT(VLOOKUP(LEFT(BO42,7),CLU!$Z$3:$AH$18,3)),GN42,GS42)</f>
        <v>#N/A</v>
      </c>
      <c r="CD42" s="342" t="e">
        <f ca="1">INDEX(INDIRECT(VLOOKUP(LEFT(BO42,7),CLU!$Z$3:$AH$18,4)),GN42,GS42)</f>
        <v>#N/A</v>
      </c>
      <c r="CE42" s="426" t="e">
        <f t="shared" ca="1" si="141"/>
        <v>#N/A</v>
      </c>
      <c r="CF42" s="440">
        <f t="shared" si="142"/>
        <v>0</v>
      </c>
      <c r="CG42" s="431" t="e">
        <f ca="1">INDEX(INDIRECT(VLOOKUP(LEFT(BO42,7),CLU!$Z$3:$AH$18,2)),GQ42,GR42)</f>
        <v>#N/A</v>
      </c>
      <c r="CH42" s="431" t="e">
        <f ca="1">INDEX(INDIRECT(VLOOKUP(LEFT(BO42,7),CLU!$Z$3:$AH$18,3)),GQ42,GR42)</f>
        <v>#N/A</v>
      </c>
      <c r="CI42" s="431" t="e">
        <f ca="1">INDEX(INDIRECT(VLOOKUP(LEFT(BO42,7),CLU!$Z$3:$AH$18,4)),GQ42,GR42)</f>
        <v>#N/A</v>
      </c>
      <c r="CJ42" s="448" t="e">
        <f t="shared" ca="1" si="143"/>
        <v>#N/A</v>
      </c>
      <c r="CK42" s="431" t="e">
        <f t="shared" ca="1" si="144"/>
        <v>#N/A</v>
      </c>
      <c r="CL42" s="440" t="e">
        <f t="shared" ca="1" si="145"/>
        <v>#N/A</v>
      </c>
      <c r="CM42" s="431" t="e">
        <f ca="1">INDEX(INDIRECT(VLOOKUP(LEFT(BO42,7),CLU!$Z$3:$AH$18,2)),GQ42,GS42)</f>
        <v>#N/A</v>
      </c>
      <c r="CN42" s="431" t="e">
        <f ca="1">INDEX(INDIRECT(VLOOKUP(LEFT(BO42,7),CLU!$Z$3:$AH$18,3)),GQ42,GS42)</f>
        <v>#N/A</v>
      </c>
      <c r="CO42" s="431" t="e">
        <f ca="1">INDEX(INDIRECT(VLOOKUP(LEFT(BO42,7),CLU!$Z$3:$AH$18,4)),GQ42,GS42)</f>
        <v>#N/A</v>
      </c>
      <c r="CP42" s="431" t="e">
        <f t="shared" ca="1" si="146"/>
        <v>#N/A</v>
      </c>
      <c r="CQ42" s="440">
        <f t="shared" si="147"/>
        <v>0</v>
      </c>
      <c r="CR42" s="51" t="e">
        <f t="shared" ca="1" si="148"/>
        <v>#N/A</v>
      </c>
      <c r="CS42" s="439" t="e">
        <f t="shared" ca="1" si="149"/>
        <v>#VALUE!</v>
      </c>
      <c r="CT42" s="51" t="e">
        <f t="shared" ca="1" si="150"/>
        <v>#VALUE!</v>
      </c>
      <c r="CU42" s="10"/>
      <c r="CV42" s="51" t="e">
        <f t="shared" ca="1" si="34"/>
        <v>#VALUE!</v>
      </c>
      <c r="CW42" s="51">
        <f t="shared" si="151"/>
        <v>0</v>
      </c>
      <c r="CX42" s="439" t="e">
        <f t="shared" ca="1" si="152"/>
        <v>#VALUE!</v>
      </c>
      <c r="CY42" s="51" t="e">
        <f t="shared" ca="1" si="153"/>
        <v>#VALUE!</v>
      </c>
      <c r="CZ42" s="10"/>
      <c r="DA42" s="51" t="e">
        <f t="shared" ca="1" si="154"/>
        <v>#VALUE!</v>
      </c>
      <c r="DB42" s="347" t="e">
        <f ca="1">INDEX(INDIRECT(VLOOKUP(LEFT(BO42,7),CLU!$Z$3:$AI$18,10)),((M42-2)*(6-COUNTBLANK(GT42:GY42)))+GJ42)*LI42</f>
        <v>#N/A</v>
      </c>
      <c r="DC42" s="347" t="str">
        <f>IF(L42&gt;0,((R42/Worksheet!$I$15)/DB42)^2," ")</f>
        <v xml:space="preserve"> </v>
      </c>
      <c r="DD42" s="602" t="str">
        <f t="shared" si="224"/>
        <v xml:space="preserve"> </v>
      </c>
      <c r="DE42" s="347" t="str">
        <f t="shared" si="35"/>
        <v xml:space="preserve"> </v>
      </c>
      <c r="DF42" s="356" t="e">
        <f ca="1">INDEX(INDIRECT(VLOOKUP(LEFT(BO42,7),CLU!$Z$3:$AH$18,8)),((M42-2)*(6-COUNTBLANK(GT42:GY42)))+GJ42)</f>
        <v>#N/A</v>
      </c>
      <c r="DG42" s="347" t="str">
        <f t="shared" si="36"/>
        <v xml:space="preserve"> </v>
      </c>
      <c r="DH42" s="357" t="str">
        <f t="shared" si="37"/>
        <v xml:space="preserve"> </v>
      </c>
      <c r="DI42" s="355" t="str">
        <f t="shared" si="38"/>
        <v xml:space="preserve"> </v>
      </c>
      <c r="DJ42" s="245" t="e">
        <f ca="1">INDEX(INDIRECT(VLOOKUP(LEFT(BO42,7),CLU!$Z$3:$AH$18,5)),GL42,GK42)</f>
        <v>#N/A</v>
      </c>
      <c r="DK42" s="245" t="e">
        <f ca="1">INDEX(INDIRECT(VLOOKUP(LEFT(BO42,7),CLU!$Z$3:$AH$18,6)),GL42,GK42)</f>
        <v>#N/A</v>
      </c>
      <c r="DL42" s="355">
        <f>(Calculation!R42*0.69143*(Calculation!$BQ$8-Calculation!$F$8))*$S$14</f>
        <v>0</v>
      </c>
      <c r="DM42" s="359" t="e">
        <f t="shared" si="160"/>
        <v>#VALUE!</v>
      </c>
      <c r="DN42" s="611">
        <f t="shared" si="161"/>
        <v>0</v>
      </c>
      <c r="DO42" s="359">
        <f t="shared" si="162"/>
        <v>100</v>
      </c>
      <c r="DP42" s="359">
        <f t="shared" si="163"/>
        <v>0</v>
      </c>
      <c r="DQ42" s="360"/>
      <c r="DR42" s="245" t="e">
        <f ca="1">INDEX(INDIRECT(VLOOKUP(LEFT(BO42,7),CLU!$Z$3:$AH$18,7)),M42-1,1)</f>
        <v>#N/A</v>
      </c>
      <c r="DS42" s="245" t="e">
        <f ca="1">INDEX(INDIRECT(VLOOKUP(LEFT(BO42,7),CLU!$Z$3:$AH$18,7)),M42-1,2)</f>
        <v>#N/A</v>
      </c>
      <c r="DT42" s="245" t="e">
        <f ca="1">INDEX(INDIRECT(VLOOKUP(LEFT(BO42,7),CLU!$Z$3:$AH$18,7)),M42-1,3)</f>
        <v>#N/A</v>
      </c>
      <c r="DU42" s="245" t="e">
        <f ca="1">INDEX(INDIRECT(VLOOKUP(LEFT(BO42,7),CLU!$Z$3:$AH$18,7)),M42-1,4)</f>
        <v>#N/A</v>
      </c>
      <c r="DV42" s="361" t="e">
        <f ca="1">INDEX(INDIRECT(VLOOKUP(LEFT(BO42,7),CLU!$Z$3:$AH$18,7)),M42-1,4+LEFT(DZ42,1)*0.5)</f>
        <v>#N/A</v>
      </c>
      <c r="DW42" s="245" t="e">
        <f ca="1">INDEX(INDIRECT(VLOOKUP(LEFT(BO42,7),CLU!$Z$3:$AH$18,7)),M42-1,8)</f>
        <v>#N/A</v>
      </c>
      <c r="DX42" s="361" t="str">
        <f t="shared" si="39"/>
        <v xml:space="preserve"> </v>
      </c>
      <c r="DY42" s="361" t="str">
        <f t="shared" si="40"/>
        <v xml:space="preserve"> </v>
      </c>
      <c r="DZ42" s="361" t="str">
        <f t="shared" si="41"/>
        <v xml:space="preserve"> </v>
      </c>
      <c r="EA42" s="362" t="str">
        <f t="shared" si="42"/>
        <v xml:space="preserve"> </v>
      </c>
      <c r="EB42" s="624" t="str">
        <f t="shared" si="168"/>
        <v xml:space="preserve"> </v>
      </c>
      <c r="EC42" s="361" t="e">
        <f ca="1">INDEX(INDIRECT(VLOOKUP(LEFT(BO42,7),CLU!$Z$3:$AH$18,7)),M42-1,4+LEFT(DZ42,1)*0.5)</f>
        <v>#N/A</v>
      </c>
      <c r="ED42" s="362" t="str">
        <f t="shared" si="43"/>
        <v xml:space="preserve"> </v>
      </c>
      <c r="EE42" s="361" t="str">
        <f t="shared" si="44"/>
        <v xml:space="preserve"> </v>
      </c>
      <c r="EF42" s="362" t="str">
        <f>IF(L42&gt;0,IF(BR42&gt;0,IF(EE42="2P",IF(Calculation!DZ42="2P",IF(Calculation!DS42=13.75,IF(Calculation!DR42=13,Worksheet!$BD$43,IF(Calculation!DR42=37,Worksheet!$BD$44,Worksheet!$BD$45)),IF(Calculation!DS42=10,IF(Calculation!DR42=18,Worksheet!$BD$29,IF(Calculation!DR42=30,Worksheet!$BD$30,IF(Calculation!DR42=42,Worksheet!$BD$31,IF(Calculation!DR42=54,Worksheet!$BD$32,IF(Calculation!DR42=66,Worksheet!$BD$33,IF(Calculation!DR42=78,Worksheet!$BD$34,IF(Calculation!DR42=90,Worksheet!$BD$35,IF(Calculation!DR42=102,Worksheet!$BD$36,Worksheet!$BD$37)))))))),IF(Calculation!DS42=12.5,IF(Calculation!DR42=18,Worksheet!$BD$38,IF(Calculation!DR42=Worksheet!$BD$39,IF(Calculation!DR42=42,Worksheet!$BD$40,IF(Calculation!DR42=54,Worksheet!$BD$41,Worksheet!$BD$42)))),IF(Calculation!DR42=18,Worksheet!$BD$11,IF(Calculation!DR42=30,Worksheet!$BD$12,IF(Calculation!DR42=42,Worksheet!$BD$13,IF(Calculation!DR42=54,Worksheet!$BD$14,IF(Calculation!DR42=66,Worksheet!$BD$15,IF(Calculation!DR42=78,Worksheet!$BD$16,IF(Calculation!DR42=90,Worksheet!$BD$17,IF(Calculation!DR42=102,Worksheet!$BD$18,Worksheet!$BD$19))))))))))),IF(Calculation!DS42=13.75,IF(Calculation!DR42=13,Worksheet!$BD$78,IF(Calculation!DR42=37,Worksheet!$BD$79,Worksheet!$BD$80)),IF(Calculation!DS42=10,IF(Calculation!DR42=18,Worksheet!$BD$64,IF(Calculation!DR42=30,Worksheet!$BD$65,IF(Calculation!DR42=42,Worksheet!$BD$66,IF(Calculation!DR42=54,Worksheet!$BD$68,IF(Calculation!DR42=66,Worksheet!$BD$68,IF(Calculation!DR42=78,Worksheet!$BD$69,IF(Calculation!DR42=90,Worksheet!$BD$70,IF(Calculation!DR42=102,Worksheet!$BD$71,Worksheet!$BD$72)))))))),IF(Calculation!DS42=12.5,IF(Calculation!DR42=18,Worksheet!$BD$73,IF(Calculation!DR42=Worksheet!$BD$74,IF(Calculation!DR42=42,Worksheet!$BD$75,IF(Calculation!DR42=54,Worksheet!$BD$76,Worksheet!$BD$77)))),IF(Calculation!DR42=18,Worksheet!$BD$55,IF(Calculation!DR42=30,Worksheet!$BD$56,IF(Calculation!DR42=42,Worksheet!$BD$57,IF(Calculation!DR42=54,Worksheet!$BD$58,IF(Calculation!DR42=66,Worksheet!$BD$59,IF(Calculation!DR42=78,Worksheet!$BD$60,IF(Calculation!DR42=90,Worksheet!$BD$61,IF(Calculation!DR42=102,Worksheet!$BD$62,Worksheet!$BD$63)))))))))))),5),0)," ")</f>
        <v xml:space="preserve"> </v>
      </c>
      <c r="EG42" s="361" t="str">
        <f t="shared" si="45"/>
        <v xml:space="preserve"> </v>
      </c>
      <c r="EH42" s="361" t="e">
        <f ca="1">INDEX(INDIRECT(VLOOKUP(LEFT(BO42,7),CLU!$Z$3:$AH$18,7)),M42-1,3+LEFT(DZ42,1))</f>
        <v>#N/A</v>
      </c>
      <c r="EI42" s="362" t="str">
        <f t="shared" si="46"/>
        <v xml:space="preserve"> </v>
      </c>
      <c r="EJ42" s="363" t="str">
        <f t="shared" si="47"/>
        <v xml:space="preserve"> </v>
      </c>
      <c r="EK42" s="363" t="str">
        <f t="shared" si="48"/>
        <v xml:space="preserve"> </v>
      </c>
      <c r="EL42" s="363" t="str">
        <f t="shared" si="49"/>
        <v xml:space="preserve"> </v>
      </c>
      <c r="EM42" s="362" t="str">
        <f>IF(L42&gt;0,IF(BR42&gt;0,(Calculation!T42/ED42)^2,0)," ")</f>
        <v xml:space="preserve"> </v>
      </c>
      <c r="EN42" s="362" t="str">
        <f>IF(L42&gt;0,IF(O42="2 Pipe (Cooling)","N/A",IF(BR42&gt;0,(Calculation!U42/EI42)^2,0))," ")</f>
        <v xml:space="preserve"> </v>
      </c>
      <c r="EO42" s="361" t="str">
        <f t="shared" si="50"/>
        <v/>
      </c>
      <c r="EP42" s="361" t="str">
        <f t="shared" si="51"/>
        <v/>
      </c>
      <c r="EQ42" s="361" t="str">
        <f t="shared" si="52"/>
        <v/>
      </c>
      <c r="ER42" s="361" t="str">
        <f t="shared" si="53"/>
        <v/>
      </c>
      <c r="ES42" s="361" t="str">
        <f t="shared" si="54"/>
        <v/>
      </c>
      <c r="ET42" s="361" t="str">
        <f t="shared" si="55"/>
        <v/>
      </c>
      <c r="EU42" s="361" t="str">
        <f t="shared" si="56"/>
        <v/>
      </c>
      <c r="EV42" s="361" t="str">
        <f t="shared" si="57"/>
        <v/>
      </c>
      <c r="EW42" s="361" t="str">
        <f t="shared" si="58"/>
        <v/>
      </c>
      <c r="EX42" s="361" t="str">
        <f t="shared" si="169"/>
        <v>1 slot, 1 way</v>
      </c>
      <c r="EY42" s="361" t="str">
        <f t="shared" si="170"/>
        <v xml:space="preserve"> </v>
      </c>
      <c r="EZ42" s="361" t="str">
        <f t="shared" si="171"/>
        <v xml:space="preserve"> </v>
      </c>
      <c r="FA42" s="361" t="str">
        <f t="shared" si="172"/>
        <v xml:space="preserve"> </v>
      </c>
      <c r="FB42" s="361" t="str">
        <f t="shared" si="173"/>
        <v xml:space="preserve"> </v>
      </c>
      <c r="FC42" s="361"/>
      <c r="FD42" s="361" t="str">
        <f>IF(J42&gt;0,IF(Calculation!R42&lt;=70,4,IF(Calculation!R42&lt;=110,5,IF(Calculation!R42&lt;=160,6,IF(Calculation!R42&lt;=300,8,"10 EO")))),"")</f>
        <v/>
      </c>
      <c r="FE42" s="361" t="str">
        <f t="shared" si="174"/>
        <v/>
      </c>
      <c r="FF42" s="361" t="str">
        <f t="shared" si="175"/>
        <v/>
      </c>
      <c r="FG42" s="361" t="e">
        <f t="shared" si="60"/>
        <v>#N/A</v>
      </c>
      <c r="FH42" s="361">
        <f t="shared" si="61"/>
        <v>0</v>
      </c>
      <c r="FI42" s="361" t="e">
        <f t="shared" si="62"/>
        <v>#DIV/0!</v>
      </c>
      <c r="FJ42" s="361"/>
      <c r="FK42" s="356" t="e">
        <f t="shared" si="63"/>
        <v>#VALUE!</v>
      </c>
      <c r="FL42" s="361"/>
      <c r="FM42" s="361"/>
      <c r="FN42" s="362" t="str">
        <f t="shared" si="176"/>
        <v xml:space="preserve"> </v>
      </c>
      <c r="FO42" s="362" t="str">
        <f t="shared" si="177"/>
        <v xml:space="preserve"> </v>
      </c>
      <c r="FP42" s="362">
        <f t="shared" si="178"/>
        <v>0</v>
      </c>
      <c r="FQ42" s="361">
        <f t="shared" si="64"/>
        <v>0</v>
      </c>
      <c r="FR42" s="362" t="str">
        <f>IF(L42&gt;0,IF(J42="CBAL2",Worksheet!$P$67,IF(J42="CBE2-24",Worksheet!$Q$67,IF(J42="CBAM",Worksheet!$R$67,IF(J42="CBLV",Worksheet!$S$67,IF(J42="CBAB",Worksheet!$U$67,IF(J42="CBAW",Worksheet!$X$67,IF(J42="CBE2-12",Worksheet!$Y$67,IF(J42="CBAL2",Worksheet!$Z$67,"N/A"))))))))," ")</f>
        <v xml:space="preserve"> </v>
      </c>
      <c r="FS42" s="362" t="str">
        <f>IF(L42&gt;0,IF(J42="CBAL2",Worksheet!$P$68,IF(J42="CBE2-24",Worksheet!$Q$68,IF(J42="CBAM",Worksheet!$R$68,IF(J42="CBLV",Worksheet!$S$68,IF(J42="CBAB",Worksheet!$U$68,IF(J42="CBAW",Worksheet!$X$68,IF(J42="CBE2-12",Worksheet!$Y$68,IF(J42="CBAL2",Worksheet!$Z$68,"N/A"))))))))," ")</f>
        <v xml:space="preserve"> </v>
      </c>
      <c r="FT42" s="362" t="str">
        <f>IF(L42&gt;0,IF(J42="CBAL2",Worksheet!$P$69,IF(J42="CBE2-24",Worksheet!$Q$69,IF(J42="CBAM",Worksheet!$R$69,IF(J42="CBLV",Worksheet!$S$69,IF(J42="CBAB",Worksheet!$U$69,IF(J42="CBAW",Worksheet!$X$69,IF(J42="CBE2-12",Worksheet!$Y$69,IF(J42="CBAL2",Worksheet!$Z$69,"N/A"))))))))," ")</f>
        <v xml:space="preserve"> </v>
      </c>
      <c r="FU42" s="361" t="str">
        <f t="shared" si="179"/>
        <v xml:space="preserve"> </v>
      </c>
      <c r="FV42" s="362" t="str">
        <f t="shared" si="180"/>
        <v xml:space="preserve"> </v>
      </c>
      <c r="FW42" s="362" t="str">
        <f t="shared" si="181"/>
        <v xml:space="preserve"> </v>
      </c>
      <c r="FX42" s="362" t="str">
        <f t="shared" si="182"/>
        <v xml:space="preserve"> </v>
      </c>
      <c r="FY42" s="355" t="str">
        <f t="shared" si="183"/>
        <v xml:space="preserve"> </v>
      </c>
      <c r="FZ42" s="361" t="str">
        <f t="shared" si="184"/>
        <v xml:space="preserve"> </v>
      </c>
      <c r="GA42" s="347" t="str">
        <f t="shared" si="185"/>
        <v xml:space="preserve"> </v>
      </c>
      <c r="GB42" s="355" t="str">
        <f t="shared" si="186"/>
        <v xml:space="preserve"> </v>
      </c>
      <c r="GC42" s="328" t="str">
        <f t="shared" si="187"/>
        <v xml:space="preserve"> </v>
      </c>
      <c r="GD42" s="361" t="str">
        <f t="shared" si="188"/>
        <v xml:space="preserve"> </v>
      </c>
      <c r="GE42" s="347" t="str">
        <f t="shared" si="189"/>
        <v xml:space="preserve"> </v>
      </c>
      <c r="GF42" s="361" t="str">
        <f t="shared" si="190"/>
        <v xml:space="preserve"> </v>
      </c>
      <c r="GG42" s="347" t="str">
        <f t="shared" si="191"/>
        <v xml:space="preserve"> </v>
      </c>
      <c r="GH42" s="364">
        <f t="shared" si="78"/>
        <v>0</v>
      </c>
      <c r="GI42" s="362">
        <f t="shared" si="192"/>
        <v>2</v>
      </c>
      <c r="GJ42" s="433" t="e">
        <f>IF(6-COUNTBLANK(GT42:GY42)=4,MATCH(MID(BO42,9,3),CLU!$H$16:$K$16),MATCH(MID(BO42,9,3),CLU!$H$13:$M$13))</f>
        <v>#N/A</v>
      </c>
      <c r="GK42" s="433" t="e">
        <f>HLOOKUP(VALUE(BP42),CLU!$H$9:$M$10,2)</f>
        <v>#VALUE!</v>
      </c>
      <c r="GL42" s="433" t="e">
        <f ca="1">MATCH(BU42,CLU!$H$2:$V$2,1)</f>
        <v>#VALUE!</v>
      </c>
      <c r="GM42" s="433" t="e">
        <f t="shared" ca="1" si="193"/>
        <v>#VALUE!</v>
      </c>
      <c r="GN42" s="433" t="e">
        <f t="shared" ca="1" si="194"/>
        <v>#VALUE!</v>
      </c>
      <c r="GO42" s="433" t="e">
        <f t="shared" ca="1" si="195"/>
        <v>#VALUE!</v>
      </c>
      <c r="GP42" s="433" t="e">
        <f t="shared" ca="1" si="196"/>
        <v>#VALUE!</v>
      </c>
      <c r="GQ42" s="433" t="e">
        <f t="shared" ca="1" si="197"/>
        <v>#VALUE!</v>
      </c>
      <c r="GR42" s="433" t="e">
        <f ca="1">MATCH(T42,INDIRECT(VLOOKUP(CONCATENATE(LEFT(BO42,7),"-",MID(BO42,13,1)),CLU!$P$3:$Q$16,2)),1)</f>
        <v>#N/A</v>
      </c>
      <c r="GS42" s="433" t="e">
        <f ca="1">MATCH(U42,INDIRECT(VLOOKUP(CONCATENATE(LEFT(BO42,7),"-",MID(BO42,13,1)),CLU!$P$3:$Q$16,2)),1)</f>
        <v>#N/A</v>
      </c>
      <c r="GT42" s="347" t="s">
        <v>512</v>
      </c>
      <c r="GU42" s="97" t="s">
        <v>513</v>
      </c>
      <c r="GV42" s="97" t="str">
        <f t="shared" si="198"/>
        <v>M23</v>
      </c>
      <c r="GW42" s="97" t="str">
        <f t="shared" si="199"/>
        <v>M31</v>
      </c>
      <c r="GX42" s="97" t="str">
        <f t="shared" si="200"/>
        <v/>
      </c>
      <c r="GY42" s="97" t="str">
        <f t="shared" si="201"/>
        <v/>
      </c>
      <c r="GZ42" s="481"/>
      <c r="HA42" s="288"/>
      <c r="HB42" s="240"/>
      <c r="HC42" s="240"/>
      <c r="HD42" s="240"/>
      <c r="HE42" s="240"/>
      <c r="HF42" s="240"/>
      <c r="HG42" s="240"/>
      <c r="HH42" s="240"/>
      <c r="HI42" s="240"/>
      <c r="HJ42" s="240"/>
      <c r="HK42" s="240"/>
      <c r="HL42" s="240"/>
      <c r="HM42" s="240"/>
      <c r="HN42" s="240"/>
      <c r="HO42" s="240"/>
      <c r="HP42" s="240"/>
      <c r="HQ42" s="240"/>
      <c r="HR42" s="240"/>
      <c r="HS42" s="240"/>
      <c r="HT42" s="240"/>
      <c r="HU42" s="240"/>
      <c r="HV42" s="245"/>
      <c r="HW42" s="245" t="b">
        <v>1</v>
      </c>
      <c r="HX42" s="245" t="str">
        <f t="shared" si="79"/>
        <v/>
      </c>
      <c r="HY42" s="245" t="e">
        <f t="shared" si="80"/>
        <v>#DIV/0!</v>
      </c>
      <c r="HZ42" s="245" t="e">
        <f t="shared" si="81"/>
        <v>#DIV/0!</v>
      </c>
      <c r="IA42" s="245">
        <f t="shared" si="82"/>
        <v>0</v>
      </c>
      <c r="IB42" s="245"/>
      <c r="IC42" t="b">
        <f t="shared" si="83"/>
        <v>1</v>
      </c>
      <c r="ID42" s="245" t="b">
        <f t="shared" si="84"/>
        <v>1</v>
      </c>
      <c r="IE42" s="245" t="b">
        <f t="shared" si="85"/>
        <v>1</v>
      </c>
      <c r="IF42" s="245" t="b">
        <f t="shared" si="86"/>
        <v>0</v>
      </c>
      <c r="IG42" s="245" t="b">
        <f t="shared" si="87"/>
        <v>1</v>
      </c>
      <c r="IH42" s="245" t="b">
        <f t="shared" si="88"/>
        <v>1</v>
      </c>
      <c r="II42" s="245">
        <f t="shared" si="202"/>
        <v>0</v>
      </c>
      <c r="IJ42" s="245" t="e">
        <f t="shared" si="89"/>
        <v>#VALUE!</v>
      </c>
      <c r="IK42" s="245" t="e">
        <f t="shared" si="90"/>
        <v>#VALUE!</v>
      </c>
      <c r="IL42" s="245"/>
      <c r="IM42" s="245" t="e">
        <f t="shared" si="203"/>
        <v>#N/A</v>
      </c>
      <c r="IN42" s="245" t="e">
        <f t="shared" si="204"/>
        <v>#N/A</v>
      </c>
      <c r="IO42" s="245"/>
      <c r="IP42" s="245"/>
      <c r="IQ42" s="245" t="str">
        <f t="shared" si="91"/>
        <v/>
      </c>
      <c r="IR42" s="245" t="str">
        <f>IF(J42="","",VLOOKUP(J42,Worksheet!$R$4:$T$14,2))</f>
        <v/>
      </c>
      <c r="IS42" s="245"/>
      <c r="IT42" s="245">
        <f t="shared" si="92"/>
        <v>0</v>
      </c>
      <c r="IU42" s="245">
        <f t="shared" si="93"/>
        <v>0</v>
      </c>
      <c r="IV42" s="245">
        <f t="shared" si="94"/>
        <v>0</v>
      </c>
      <c r="IW42" s="245">
        <f t="shared" si="95"/>
        <v>0</v>
      </c>
      <c r="IX42" s="245">
        <f t="shared" si="205"/>
        <v>0</v>
      </c>
      <c r="IY42" s="245">
        <f t="shared" si="96"/>
        <v>0</v>
      </c>
      <c r="IZ42" s="245">
        <f t="shared" si="97"/>
        <v>0</v>
      </c>
      <c r="JA42">
        <f t="shared" si="98"/>
        <v>0</v>
      </c>
      <c r="JB42">
        <f t="shared" si="206"/>
        <v>0</v>
      </c>
      <c r="JC42">
        <f t="shared" si="99"/>
        <v>0</v>
      </c>
      <c r="JD42">
        <f t="shared" si="100"/>
        <v>0</v>
      </c>
      <c r="JE42">
        <f t="shared" si="101"/>
        <v>0</v>
      </c>
      <c r="JF42">
        <f t="shared" si="102"/>
        <v>0</v>
      </c>
      <c r="JG42">
        <f t="shared" si="103"/>
        <v>0</v>
      </c>
      <c r="JH42">
        <f t="shared" si="104"/>
        <v>0</v>
      </c>
      <c r="JI42">
        <f t="shared" si="105"/>
        <v>0</v>
      </c>
      <c r="JJ42" s="447">
        <f t="shared" si="106"/>
        <v>0</v>
      </c>
      <c r="JK42" s="447">
        <f t="shared" si="107"/>
        <v>0</v>
      </c>
      <c r="JL42">
        <f t="shared" si="108"/>
        <v>0</v>
      </c>
      <c r="JM42" s="245" t="str">
        <f>IFERROR(VLOOKUP(MATCH(BN42,#REF!,0),#REF!,7),"")</f>
        <v/>
      </c>
      <c r="JN42" t="e">
        <f>HLOOKUP(LEFT(BO42,7),Discharge_Area,MATCH(JO42,LookUps!$B$130:$B$149,1)+2)</f>
        <v>#N/A</v>
      </c>
      <c r="JO42" t="str">
        <f t="shared" si="109"/>
        <v>- S</v>
      </c>
      <c r="JP42" t="e">
        <f>HLOOKUP(LEFT(BO42,7),Discharge_Area,MATCH(JO42,LookUps!$B$130:$B$149,1)+2)</f>
        <v>#N/A</v>
      </c>
      <c r="JQ42" t="e">
        <f t="shared" si="110"/>
        <v>#N/A</v>
      </c>
      <c r="JR42" t="e">
        <f t="shared" si="111"/>
        <v>#N/A</v>
      </c>
      <c r="JS42" t="e">
        <f t="shared" si="112"/>
        <v>#N/A</v>
      </c>
      <c r="JT42" s="532" t="str">
        <f t="shared" si="113"/>
        <v xml:space="preserve"> </v>
      </c>
      <c r="JU42" s="532" t="str">
        <f t="shared" si="114"/>
        <v xml:space="preserve"> </v>
      </c>
      <c r="JV42" s="533" t="str">
        <f t="shared" si="115"/>
        <v xml:space="preserve"> </v>
      </c>
      <c r="JW42" s="534">
        <f t="shared" si="116"/>
        <v>0</v>
      </c>
      <c r="JX42" s="535" t="str">
        <f t="shared" si="207"/>
        <v xml:space="preserve"> </v>
      </c>
      <c r="JY42" s="535" t="str">
        <f t="shared" si="208"/>
        <v xml:space="preserve"> </v>
      </c>
      <c r="JZ42" s="535" t="str">
        <f t="shared" si="209"/>
        <v xml:space="preserve"> </v>
      </c>
      <c r="KA42" s="536" t="str">
        <f t="shared" si="117"/>
        <v xml:space="preserve"> </v>
      </c>
      <c r="KB42" s="535" t="e">
        <f t="shared" si="210"/>
        <v>#VALUE!</v>
      </c>
      <c r="KC42" s="535" t="str">
        <f t="shared" si="118"/>
        <v/>
      </c>
      <c r="KD42" s="537" t="str">
        <f t="shared" si="211"/>
        <v xml:space="preserve"> </v>
      </c>
      <c r="KE42" s="537" t="str">
        <f t="shared" si="212"/>
        <v xml:space="preserve"> </v>
      </c>
      <c r="KF42" s="534">
        <f t="shared" si="119"/>
        <v>0</v>
      </c>
      <c r="KG42" s="535" t="str">
        <f t="shared" si="120"/>
        <v xml:space="preserve"> </v>
      </c>
      <c r="KH42" s="535" t="str">
        <f t="shared" si="121"/>
        <v xml:space="preserve"> </v>
      </c>
      <c r="KI42" s="535" t="str">
        <f t="shared" si="122"/>
        <v xml:space="preserve"> </v>
      </c>
      <c r="KJ42" s="536" t="str">
        <f t="shared" si="123"/>
        <v xml:space="preserve"> </v>
      </c>
      <c r="KK42" s="535" t="str">
        <f t="shared" si="213"/>
        <v xml:space="preserve"> </v>
      </c>
      <c r="KL42" s="535" t="str">
        <f t="shared" si="214"/>
        <v xml:space="preserve"> </v>
      </c>
      <c r="KM42" s="537" t="str">
        <f t="shared" si="124"/>
        <v xml:space="preserve"> </v>
      </c>
      <c r="KN42" s="537" t="str">
        <f t="shared" si="215"/>
        <v xml:space="preserve"> </v>
      </c>
      <c r="KP42">
        <f t="shared" si="125"/>
        <v>0</v>
      </c>
      <c r="LA42" t="e">
        <f t="shared" si="126"/>
        <v>#VALUE!</v>
      </c>
      <c r="LB42" t="e">
        <f t="shared" si="127"/>
        <v>#VALUE!</v>
      </c>
      <c r="LC42" t="e">
        <f t="shared" si="128"/>
        <v>#VALUE!</v>
      </c>
      <c r="LD42" t="e">
        <f t="shared" si="129"/>
        <v>#VALUE!</v>
      </c>
      <c r="LE42" t="e">
        <f t="shared" si="216"/>
        <v>#VALUE!</v>
      </c>
      <c r="LF42">
        <f t="shared" si="130"/>
        <v>0</v>
      </c>
      <c r="LG42" t="e">
        <f t="shared" si="217"/>
        <v>#VALUE!</v>
      </c>
      <c r="LH42" t="str">
        <f t="shared" si="131"/>
        <v xml:space="preserve"> </v>
      </c>
      <c r="LI42">
        <f t="shared" si="218"/>
        <v>1</v>
      </c>
    </row>
    <row r="43" spans="2:321" ht="15" customHeight="1">
      <c r="B43" s="311"/>
      <c r="C43" s="311"/>
      <c r="D43" s="312"/>
      <c r="E43" s="311"/>
      <c r="F43" s="312"/>
      <c r="G43" s="311"/>
      <c r="H43" s="311"/>
      <c r="I43" s="37"/>
      <c r="J43" s="311"/>
      <c r="K43" s="305" t="str">
        <f t="shared" si="132"/>
        <v/>
      </c>
      <c r="L43" s="313"/>
      <c r="M43" s="312"/>
      <c r="N43" s="311"/>
      <c r="O43" s="312"/>
      <c r="P43" s="311"/>
      <c r="Q43" s="305" t="str">
        <f t="shared" si="133"/>
        <v/>
      </c>
      <c r="R43" s="314"/>
      <c r="S43" s="450" t="str">
        <f t="shared" si="0"/>
        <v/>
      </c>
      <c r="T43" s="315"/>
      <c r="U43" s="315"/>
      <c r="W43" s="149" t="str">
        <f t="shared" si="1"/>
        <v xml:space="preserve"> </v>
      </c>
      <c r="X43" s="243" t="str">
        <f t="shared" si="2"/>
        <v xml:space="preserve"> </v>
      </c>
      <c r="Y43" s="150" t="str">
        <f t="shared" si="3"/>
        <v/>
      </c>
      <c r="Z43" s="149" t="str">
        <f t="shared" si="4"/>
        <v xml:space="preserve"> </v>
      </c>
      <c r="AA43" s="98" t="str">
        <f t="shared" si="5"/>
        <v xml:space="preserve"> </v>
      </c>
      <c r="AB43" s="153" t="str">
        <f t="shared" si="6"/>
        <v xml:space="preserve"> </v>
      </c>
      <c r="AC43" s="153" t="str">
        <f t="shared" si="7"/>
        <v xml:space="preserve"> </v>
      </c>
      <c r="AD43" s="148" t="str">
        <f t="shared" si="8"/>
        <v/>
      </c>
      <c r="AE43" s="149" t="str">
        <f t="shared" si="9"/>
        <v/>
      </c>
      <c r="AF43" s="151" t="str">
        <f t="shared" si="10"/>
        <v xml:space="preserve"> </v>
      </c>
      <c r="AG43" s="153" t="str">
        <f t="shared" si="11"/>
        <v xml:space="preserve"> </v>
      </c>
      <c r="AH43" s="98" t="str">
        <f t="shared" si="12"/>
        <v xml:space="preserve"> </v>
      </c>
      <c r="AI43" s="149" t="str">
        <f t="shared" si="13"/>
        <v xml:space="preserve"> </v>
      </c>
      <c r="AK43" s="144" t="str">
        <f t="shared" si="14"/>
        <v xml:space="preserve"> </v>
      </c>
      <c r="AL43" s="144"/>
      <c r="AM43" s="243" t="str">
        <f t="shared" si="15"/>
        <v xml:space="preserve"> </v>
      </c>
      <c r="AN43" s="149" t="str">
        <f t="shared" si="134"/>
        <v xml:space="preserve"> </v>
      </c>
      <c r="AO43" s="144" t="str">
        <f>IF(JB43&gt;0,IF(GI43=10,-R43*1.085*(Calculation!$F$6-Calculation!$F$13)*$S$14," "),"")</f>
        <v/>
      </c>
      <c r="AP43" s="144" t="str">
        <f t="shared" si="16"/>
        <v/>
      </c>
      <c r="AQ43" s="56" t="str">
        <f t="shared" si="17"/>
        <v/>
      </c>
      <c r="AR43" s="144" t="str">
        <f t="shared" si="18"/>
        <v/>
      </c>
      <c r="AS43" s="176" t="str">
        <f t="shared" si="19"/>
        <v/>
      </c>
      <c r="AT43" s="176" t="str">
        <f t="shared" si="135"/>
        <v xml:space="preserve"> </v>
      </c>
      <c r="AU43" s="176" t="str">
        <f t="shared" si="20"/>
        <v/>
      </c>
      <c r="AV43" s="177" t="str">
        <f t="shared" si="21"/>
        <v xml:space="preserve"> </v>
      </c>
      <c r="AW43" s="144" t="str">
        <f t="shared" si="22"/>
        <v xml:space="preserve"> </v>
      </c>
      <c r="AX43" s="144" t="str">
        <f t="shared" si="23"/>
        <v xml:space="preserve"> </v>
      </c>
      <c r="AY43" s="152" t="str">
        <f t="shared" si="24"/>
        <v xml:space="preserve"> </v>
      </c>
      <c r="AZ43" s="246" t="str">
        <f t="shared" si="25"/>
        <v/>
      </c>
      <c r="BA43" s="176" t="str">
        <f t="shared" si="26"/>
        <v xml:space="preserve"> </v>
      </c>
      <c r="BB43" s="176" t="str">
        <f t="shared" si="27"/>
        <v xml:space="preserve"> </v>
      </c>
      <c r="BC43" s="195"/>
      <c r="BD43" s="316"/>
      <c r="BE43" s="317"/>
      <c r="BF43" s="318"/>
      <c r="BG43" s="318"/>
      <c r="BH43" s="144" t="str">
        <f t="shared" si="219"/>
        <v xml:space="preserve"> </v>
      </c>
      <c r="BI43" s="176" t="str">
        <f t="shared" si="28"/>
        <v/>
      </c>
      <c r="BJ43" s="144" t="str">
        <f t="shared" si="220"/>
        <v/>
      </c>
      <c r="BK43" s="246" t="str">
        <f t="shared" si="29"/>
        <v/>
      </c>
      <c r="BL43" s="144" t="str">
        <f t="shared" si="221"/>
        <v/>
      </c>
      <c r="BM43" s="246" t="str">
        <f t="shared" si="30"/>
        <v/>
      </c>
      <c r="BN43" s="337" t="str">
        <f t="shared" si="136"/>
        <v/>
      </c>
      <c r="BO43" s="371" t="str">
        <f t="shared" si="137"/>
        <v/>
      </c>
      <c r="BP43" s="328" t="str">
        <f t="shared" si="222"/>
        <v xml:space="preserve"> </v>
      </c>
      <c r="BQ43" s="347" t="str">
        <f t="shared" si="138"/>
        <v xml:space="preserve"> </v>
      </c>
      <c r="BR43" s="353" t="str">
        <f t="shared" si="223"/>
        <v xml:space="preserve"> </v>
      </c>
      <c r="BS43" s="626" t="str">
        <f>IF(L43&gt;0,IF(Calculation!P43="M13",BR43*3.1416*(0.134^2)/(4*144),IF(Calculation!P43="M17",BR43*3.1416*(0.165^2)/(4*144),IF(Calculation!P43="M20",BR43*3.1416*(0.198^2)/(4*144),IF(Calculation!P43="M23",BR43*3.1416*(0.228^2)/(4*144),IF(Calculation!P43="M27",BR43*3.1416*(0.269^2)/(4*144),BR43*3.1416*(0.307^2)/(4*144))))))," ")</f>
        <v xml:space="preserve"> </v>
      </c>
      <c r="BT43" s="353" t="str">
        <f>IF(L43&gt;0,IF(BS43&gt;0,R43/Calculation!BS43,0)," ")</f>
        <v xml:space="preserve"> </v>
      </c>
      <c r="BU43" s="438" t="e">
        <f t="shared" ca="1" si="31"/>
        <v>#VALUE!</v>
      </c>
      <c r="BV43" s="449" t="e">
        <f ca="1">INDEX(INDIRECT(VLOOKUP(LEFT(BO43,7),CLU!$Z$3:$AH$18,2)),GN43,GR43)</f>
        <v>#N/A</v>
      </c>
      <c r="BW43" s="433" t="e">
        <f ca="1">INDEX(INDIRECT(VLOOKUP(LEFT(BO43,7),CLU!$Z$3:$AH$18,3)),GN43,GR43)</f>
        <v>#N/A</v>
      </c>
      <c r="BX43" s="433" t="e">
        <f ca="1">INDEX(INDIRECT(VLOOKUP(LEFT(BO43,7),CLU!$Z$3:$AH$18,4)),GN43,GR43)</f>
        <v>#N/A</v>
      </c>
      <c r="BY43" s="433" t="e">
        <f ca="1">INDEX(INDIRECT(VLOOKUP(LEFT(BO43,7),CLU!$Z$3:$AH$18,9)),((M43-2)*(6-COUNTBLANK(GT43:GY43)))+GJ43)</f>
        <v>#N/A</v>
      </c>
      <c r="BZ43" s="426" t="e">
        <f t="shared" ca="1" si="139"/>
        <v>#N/A</v>
      </c>
      <c r="CA43" s="424" t="e">
        <f t="shared" ca="1" si="140"/>
        <v>#N/A</v>
      </c>
      <c r="CB43" s="429" t="e">
        <f ca="1">INDEX(INDIRECT(VLOOKUP(LEFT(BO43,7),CLU!$Z$3:$AH$18,2)),GN43,GS43)</f>
        <v>#N/A</v>
      </c>
      <c r="CC43" s="342" t="e">
        <f ca="1">INDEX(INDIRECT(VLOOKUP(LEFT(BO43,7),CLU!$Z$3:$AH$18,3)),GN43,GS43)</f>
        <v>#N/A</v>
      </c>
      <c r="CD43" s="342" t="e">
        <f ca="1">INDEX(INDIRECT(VLOOKUP(LEFT(BO43,7),CLU!$Z$3:$AH$18,4)),GN43,GS43)</f>
        <v>#N/A</v>
      </c>
      <c r="CE43" s="426" t="e">
        <f t="shared" ca="1" si="141"/>
        <v>#N/A</v>
      </c>
      <c r="CF43" s="440">
        <f t="shared" si="142"/>
        <v>0</v>
      </c>
      <c r="CG43" s="431" t="e">
        <f ca="1">INDEX(INDIRECT(VLOOKUP(LEFT(BO43,7),CLU!$Z$3:$AH$18,2)),GQ43,GR43)</f>
        <v>#N/A</v>
      </c>
      <c r="CH43" s="431" t="e">
        <f ca="1">INDEX(INDIRECT(VLOOKUP(LEFT(BO43,7),CLU!$Z$3:$AH$18,3)),GQ43,GR43)</f>
        <v>#N/A</v>
      </c>
      <c r="CI43" s="431" t="e">
        <f ca="1">INDEX(INDIRECT(VLOOKUP(LEFT(BO43,7),CLU!$Z$3:$AH$18,4)),GQ43,GR43)</f>
        <v>#N/A</v>
      </c>
      <c r="CJ43" s="448" t="e">
        <f t="shared" ca="1" si="143"/>
        <v>#N/A</v>
      </c>
      <c r="CK43" s="431" t="e">
        <f t="shared" ca="1" si="144"/>
        <v>#N/A</v>
      </c>
      <c r="CL43" s="440" t="e">
        <f t="shared" ca="1" si="145"/>
        <v>#N/A</v>
      </c>
      <c r="CM43" s="431" t="e">
        <f ca="1">INDEX(INDIRECT(VLOOKUP(LEFT(BO43,7),CLU!$Z$3:$AH$18,2)),GQ43,GS43)</f>
        <v>#N/A</v>
      </c>
      <c r="CN43" s="431" t="e">
        <f ca="1">INDEX(INDIRECT(VLOOKUP(LEFT(BO43,7),CLU!$Z$3:$AH$18,3)),GQ43,GS43)</f>
        <v>#N/A</v>
      </c>
      <c r="CO43" s="431" t="e">
        <f ca="1">INDEX(INDIRECT(VLOOKUP(LEFT(BO43,7),CLU!$Z$3:$AH$18,4)),GQ43,GS43)</f>
        <v>#N/A</v>
      </c>
      <c r="CP43" s="431" t="e">
        <f t="shared" ca="1" si="146"/>
        <v>#N/A</v>
      </c>
      <c r="CQ43" s="440">
        <f t="shared" si="147"/>
        <v>0</v>
      </c>
      <c r="CR43" s="51" t="e">
        <f t="shared" ca="1" si="148"/>
        <v>#N/A</v>
      </c>
      <c r="CS43" s="439" t="e">
        <f t="shared" ca="1" si="149"/>
        <v>#VALUE!</v>
      </c>
      <c r="CT43" s="51" t="e">
        <f t="shared" ca="1" si="150"/>
        <v>#VALUE!</v>
      </c>
      <c r="CU43" s="10"/>
      <c r="CV43" s="51" t="e">
        <f t="shared" ca="1" si="34"/>
        <v>#VALUE!</v>
      </c>
      <c r="CW43" s="51">
        <f t="shared" si="151"/>
        <v>0</v>
      </c>
      <c r="CX43" s="439" t="e">
        <f t="shared" ca="1" si="152"/>
        <v>#VALUE!</v>
      </c>
      <c r="CY43" s="51" t="e">
        <f t="shared" ca="1" si="153"/>
        <v>#VALUE!</v>
      </c>
      <c r="CZ43" s="10"/>
      <c r="DA43" s="51" t="e">
        <f t="shared" ca="1" si="154"/>
        <v>#VALUE!</v>
      </c>
      <c r="DB43" s="347" t="e">
        <f ca="1">INDEX(INDIRECT(VLOOKUP(LEFT(BO43,7),CLU!$Z$3:$AI$18,10)),((M43-2)*(6-COUNTBLANK(GT43:GY43)))+GJ43)*LI43</f>
        <v>#N/A</v>
      </c>
      <c r="DC43" s="347" t="str">
        <f>IF(L43&gt;0,((R43/Worksheet!$I$15)/DB43)^2," ")</f>
        <v xml:space="preserve"> </v>
      </c>
      <c r="DD43" s="602" t="str">
        <f t="shared" si="224"/>
        <v xml:space="preserve"> </v>
      </c>
      <c r="DE43" s="347" t="str">
        <f t="shared" si="35"/>
        <v xml:space="preserve"> </v>
      </c>
      <c r="DF43" s="356" t="e">
        <f ca="1">INDEX(INDIRECT(VLOOKUP(LEFT(BO43,7),CLU!$Z$3:$AH$18,8)),((M43-2)*(6-COUNTBLANK(GT43:GY43)))+GJ43)</f>
        <v>#N/A</v>
      </c>
      <c r="DG43" s="347" t="str">
        <f t="shared" si="36"/>
        <v xml:space="preserve"> </v>
      </c>
      <c r="DH43" s="357" t="str">
        <f t="shared" si="37"/>
        <v xml:space="preserve"> </v>
      </c>
      <c r="DI43" s="355" t="str">
        <f t="shared" si="38"/>
        <v xml:space="preserve"> </v>
      </c>
      <c r="DJ43" s="245" t="e">
        <f ca="1">INDEX(INDIRECT(VLOOKUP(LEFT(BO43,7),CLU!$Z$3:$AH$18,5)),GL43,GK43)</f>
        <v>#N/A</v>
      </c>
      <c r="DK43" s="245" t="e">
        <f ca="1">INDEX(INDIRECT(VLOOKUP(LEFT(BO43,7),CLU!$Z$3:$AH$18,6)),GL43,GK43)</f>
        <v>#N/A</v>
      </c>
      <c r="DL43" s="355">
        <f>(Calculation!R43*0.69143*(Calculation!$BQ$8-Calculation!$F$8))*$S$14</f>
        <v>0</v>
      </c>
      <c r="DM43" s="359" t="e">
        <f t="shared" si="160"/>
        <v>#VALUE!</v>
      </c>
      <c r="DN43" s="611">
        <f t="shared" si="161"/>
        <v>0</v>
      </c>
      <c r="DO43" s="359">
        <f t="shared" si="162"/>
        <v>100</v>
      </c>
      <c r="DP43" s="359">
        <f t="shared" si="163"/>
        <v>0</v>
      </c>
      <c r="DQ43" s="360"/>
      <c r="DR43" s="245" t="e">
        <f ca="1">INDEX(INDIRECT(VLOOKUP(LEFT(BO43,7),CLU!$Z$3:$AH$18,7)),M43-1,1)</f>
        <v>#N/A</v>
      </c>
      <c r="DS43" s="245" t="e">
        <f ca="1">INDEX(INDIRECT(VLOOKUP(LEFT(BO43,7),CLU!$Z$3:$AH$18,7)),M43-1,2)</f>
        <v>#N/A</v>
      </c>
      <c r="DT43" s="245" t="e">
        <f ca="1">INDEX(INDIRECT(VLOOKUP(LEFT(BO43,7),CLU!$Z$3:$AH$18,7)),M43-1,3)</f>
        <v>#N/A</v>
      </c>
      <c r="DU43" s="245" t="e">
        <f ca="1">INDEX(INDIRECT(VLOOKUP(LEFT(BO43,7),CLU!$Z$3:$AH$18,7)),M43-1,4)</f>
        <v>#N/A</v>
      </c>
      <c r="DV43" s="361" t="e">
        <f ca="1">INDEX(INDIRECT(VLOOKUP(LEFT(BO43,7),CLU!$Z$3:$AH$18,7)),M43-1,4+LEFT(DZ43,1)*0.5)</f>
        <v>#N/A</v>
      </c>
      <c r="DW43" s="245" t="e">
        <f ca="1">INDEX(INDIRECT(VLOOKUP(LEFT(BO43,7),CLU!$Z$3:$AH$18,7)),M43-1,8)</f>
        <v>#N/A</v>
      </c>
      <c r="DX43" s="361" t="str">
        <f t="shared" si="39"/>
        <v xml:space="preserve"> </v>
      </c>
      <c r="DY43" s="361" t="str">
        <f t="shared" si="40"/>
        <v xml:space="preserve"> </v>
      </c>
      <c r="DZ43" s="361" t="str">
        <f t="shared" si="41"/>
        <v xml:space="preserve"> </v>
      </c>
      <c r="EA43" s="362" t="str">
        <f t="shared" si="42"/>
        <v xml:space="preserve"> </v>
      </c>
      <c r="EB43" s="624" t="str">
        <f t="shared" si="168"/>
        <v xml:space="preserve"> </v>
      </c>
      <c r="EC43" s="361" t="e">
        <f ca="1">INDEX(INDIRECT(VLOOKUP(LEFT(BO43,7),CLU!$Z$3:$AH$18,7)),M43-1,4+LEFT(DZ43,1)*0.5)</f>
        <v>#N/A</v>
      </c>
      <c r="ED43" s="362" t="str">
        <f t="shared" si="43"/>
        <v xml:space="preserve"> </v>
      </c>
      <c r="EE43" s="361" t="str">
        <f t="shared" si="44"/>
        <v xml:space="preserve"> </v>
      </c>
      <c r="EF43" s="362" t="str">
        <f>IF(L43&gt;0,IF(BR43&gt;0,IF(EE43="2P",IF(Calculation!DZ43="2P",IF(Calculation!DS43=13.75,IF(Calculation!DR43=13,Worksheet!$BD$43,IF(Calculation!DR43=37,Worksheet!$BD$44,Worksheet!$BD$45)),IF(Calculation!DS43=10,IF(Calculation!DR43=18,Worksheet!$BD$29,IF(Calculation!DR43=30,Worksheet!$BD$30,IF(Calculation!DR43=42,Worksheet!$BD$31,IF(Calculation!DR43=54,Worksheet!$BD$32,IF(Calculation!DR43=66,Worksheet!$BD$33,IF(Calculation!DR43=78,Worksheet!$BD$34,IF(Calculation!DR43=90,Worksheet!$BD$35,IF(Calculation!DR43=102,Worksheet!$BD$36,Worksheet!$BD$37)))))))),IF(Calculation!DS43=12.5,IF(Calculation!DR43=18,Worksheet!$BD$38,IF(Calculation!DR43=Worksheet!$BD$39,IF(Calculation!DR43=42,Worksheet!$BD$40,IF(Calculation!DR43=54,Worksheet!$BD$41,Worksheet!$BD$42)))),IF(Calculation!DR43=18,Worksheet!$BD$11,IF(Calculation!DR43=30,Worksheet!$BD$12,IF(Calculation!DR43=42,Worksheet!$BD$13,IF(Calculation!DR43=54,Worksheet!$BD$14,IF(Calculation!DR43=66,Worksheet!$BD$15,IF(Calculation!DR43=78,Worksheet!$BD$16,IF(Calculation!DR43=90,Worksheet!$BD$17,IF(Calculation!DR43=102,Worksheet!$BD$18,Worksheet!$BD$19))))))))))),IF(Calculation!DS43=13.75,IF(Calculation!DR43=13,Worksheet!$BD$78,IF(Calculation!DR43=37,Worksheet!$BD$79,Worksheet!$BD$80)),IF(Calculation!DS43=10,IF(Calculation!DR43=18,Worksheet!$BD$64,IF(Calculation!DR43=30,Worksheet!$BD$65,IF(Calculation!DR43=42,Worksheet!$BD$66,IF(Calculation!DR43=54,Worksheet!$BD$68,IF(Calculation!DR43=66,Worksheet!$BD$68,IF(Calculation!DR43=78,Worksheet!$BD$69,IF(Calculation!DR43=90,Worksheet!$BD$70,IF(Calculation!DR43=102,Worksheet!$BD$71,Worksheet!$BD$72)))))))),IF(Calculation!DS43=12.5,IF(Calculation!DR43=18,Worksheet!$BD$73,IF(Calculation!DR43=Worksheet!$BD$74,IF(Calculation!DR43=42,Worksheet!$BD$75,IF(Calculation!DR43=54,Worksheet!$BD$76,Worksheet!$BD$77)))),IF(Calculation!DR43=18,Worksheet!$BD$55,IF(Calculation!DR43=30,Worksheet!$BD$56,IF(Calculation!DR43=42,Worksheet!$BD$57,IF(Calculation!DR43=54,Worksheet!$BD$58,IF(Calculation!DR43=66,Worksheet!$BD$59,IF(Calculation!DR43=78,Worksheet!$BD$60,IF(Calculation!DR43=90,Worksheet!$BD$61,IF(Calculation!DR43=102,Worksheet!$BD$62,Worksheet!$BD$63)))))))))))),5),0)," ")</f>
        <v xml:space="preserve"> </v>
      </c>
      <c r="EG43" s="361" t="str">
        <f t="shared" si="45"/>
        <v xml:space="preserve"> </v>
      </c>
      <c r="EH43" s="361" t="e">
        <f ca="1">INDEX(INDIRECT(VLOOKUP(LEFT(BO43,7),CLU!$Z$3:$AH$18,7)),M43-1,3+LEFT(DZ43,1))</f>
        <v>#N/A</v>
      </c>
      <c r="EI43" s="362" t="str">
        <f t="shared" si="46"/>
        <v xml:space="preserve"> </v>
      </c>
      <c r="EJ43" s="363" t="str">
        <f t="shared" si="47"/>
        <v xml:space="preserve"> </v>
      </c>
      <c r="EK43" s="363" t="str">
        <f t="shared" si="48"/>
        <v xml:space="preserve"> </v>
      </c>
      <c r="EL43" s="363" t="str">
        <f t="shared" si="49"/>
        <v xml:space="preserve"> </v>
      </c>
      <c r="EM43" s="362" t="str">
        <f>IF(L43&gt;0,IF(BR43&gt;0,(Calculation!T43/ED43)^2,0)," ")</f>
        <v xml:space="preserve"> </v>
      </c>
      <c r="EN43" s="362" t="str">
        <f>IF(L43&gt;0,IF(O43="2 Pipe (Cooling)","N/A",IF(BR43&gt;0,(Calculation!U43/EI43)^2,0))," ")</f>
        <v xml:space="preserve"> </v>
      </c>
      <c r="EO43" s="361" t="str">
        <f t="shared" si="50"/>
        <v/>
      </c>
      <c r="EP43" s="361" t="str">
        <f t="shared" si="51"/>
        <v/>
      </c>
      <c r="EQ43" s="361" t="str">
        <f t="shared" si="52"/>
        <v/>
      </c>
      <c r="ER43" s="361" t="str">
        <f t="shared" si="53"/>
        <v/>
      </c>
      <c r="ES43" s="361" t="str">
        <f t="shared" si="54"/>
        <v/>
      </c>
      <c r="ET43" s="361" t="str">
        <f t="shared" si="55"/>
        <v/>
      </c>
      <c r="EU43" s="361" t="str">
        <f t="shared" si="56"/>
        <v/>
      </c>
      <c r="EV43" s="361" t="str">
        <f t="shared" si="57"/>
        <v/>
      </c>
      <c r="EW43" s="361" t="str">
        <f t="shared" si="58"/>
        <v/>
      </c>
      <c r="EX43" s="361" t="str">
        <f t="shared" si="169"/>
        <v>1 slot, 1 way</v>
      </c>
      <c r="EY43" s="361" t="str">
        <f t="shared" si="170"/>
        <v xml:space="preserve"> </v>
      </c>
      <c r="EZ43" s="361" t="str">
        <f t="shared" si="171"/>
        <v xml:space="preserve"> </v>
      </c>
      <c r="FA43" s="361" t="str">
        <f t="shared" si="172"/>
        <v xml:space="preserve"> </v>
      </c>
      <c r="FB43" s="361" t="str">
        <f t="shared" si="173"/>
        <v xml:space="preserve"> </v>
      </c>
      <c r="FC43" s="361"/>
      <c r="FD43" s="361" t="str">
        <f>IF(J43&gt;0,IF(Calculation!R43&lt;=70,4,IF(Calculation!R43&lt;=110,5,IF(Calculation!R43&lt;=160,6,IF(Calculation!R43&lt;=300,8,"10 EO")))),"")</f>
        <v/>
      </c>
      <c r="FE43" s="361" t="str">
        <f t="shared" si="174"/>
        <v/>
      </c>
      <c r="FF43" s="361" t="str">
        <f t="shared" si="175"/>
        <v/>
      </c>
      <c r="FG43" s="361" t="e">
        <f t="shared" si="60"/>
        <v>#N/A</v>
      </c>
      <c r="FH43" s="361">
        <f t="shared" si="61"/>
        <v>0</v>
      </c>
      <c r="FI43" s="361" t="e">
        <f t="shared" si="62"/>
        <v>#DIV/0!</v>
      </c>
      <c r="FJ43" s="361"/>
      <c r="FK43" s="356" t="e">
        <f t="shared" si="63"/>
        <v>#VALUE!</v>
      </c>
      <c r="FL43" s="361"/>
      <c r="FM43" s="361"/>
      <c r="FN43" s="362" t="str">
        <f t="shared" si="176"/>
        <v xml:space="preserve"> </v>
      </c>
      <c r="FO43" s="362" t="str">
        <f t="shared" si="177"/>
        <v xml:space="preserve"> </v>
      </c>
      <c r="FP43" s="362">
        <f t="shared" si="178"/>
        <v>0</v>
      </c>
      <c r="FQ43" s="361">
        <f t="shared" si="64"/>
        <v>0</v>
      </c>
      <c r="FR43" s="362" t="str">
        <f>IF(L43&gt;0,IF(J43="CBAL2",Worksheet!$P$67,IF(J43="CBE2-24",Worksheet!$Q$67,IF(J43="CBAM",Worksheet!$R$67,IF(J43="CBLV",Worksheet!$S$67,IF(J43="CBAB",Worksheet!$U$67,IF(J43="CBAW",Worksheet!$X$67,IF(J43="CBE2-12",Worksheet!$Y$67,IF(J43="CBAL2",Worksheet!$Z$67,"N/A"))))))))," ")</f>
        <v xml:space="preserve"> </v>
      </c>
      <c r="FS43" s="362" t="str">
        <f>IF(L43&gt;0,IF(J43="CBAL2",Worksheet!$P$68,IF(J43="CBE2-24",Worksheet!$Q$68,IF(J43="CBAM",Worksheet!$R$68,IF(J43="CBLV",Worksheet!$S$68,IF(J43="CBAB",Worksheet!$U$68,IF(J43="CBAW",Worksheet!$X$68,IF(J43="CBE2-12",Worksheet!$Y$68,IF(J43="CBAL2",Worksheet!$Z$68,"N/A"))))))))," ")</f>
        <v xml:space="preserve"> </v>
      </c>
      <c r="FT43" s="362" t="str">
        <f>IF(L43&gt;0,IF(J43="CBAL2",Worksheet!$P$69,IF(J43="CBE2-24",Worksheet!$Q$69,IF(J43="CBAM",Worksheet!$R$69,IF(J43="CBLV",Worksheet!$S$69,IF(J43="CBAB",Worksheet!$U$69,IF(J43="CBAW",Worksheet!$X$69,IF(J43="CBE2-12",Worksheet!$Y$69,IF(J43="CBAL2",Worksheet!$Z$69,"N/A"))))))))," ")</f>
        <v xml:space="preserve"> </v>
      </c>
      <c r="FU43" s="361" t="str">
        <f t="shared" si="179"/>
        <v xml:space="preserve"> </v>
      </c>
      <c r="FV43" s="362" t="str">
        <f t="shared" si="180"/>
        <v xml:space="preserve"> </v>
      </c>
      <c r="FW43" s="362" t="str">
        <f t="shared" si="181"/>
        <v xml:space="preserve"> </v>
      </c>
      <c r="FX43" s="362" t="str">
        <f t="shared" si="182"/>
        <v xml:space="preserve"> </v>
      </c>
      <c r="FY43" s="355" t="str">
        <f t="shared" si="183"/>
        <v xml:space="preserve"> </v>
      </c>
      <c r="FZ43" s="361" t="str">
        <f t="shared" si="184"/>
        <v xml:space="preserve"> </v>
      </c>
      <c r="GA43" s="347" t="str">
        <f t="shared" si="185"/>
        <v xml:space="preserve"> </v>
      </c>
      <c r="GB43" s="355" t="str">
        <f t="shared" si="186"/>
        <v xml:space="preserve"> </v>
      </c>
      <c r="GC43" s="328" t="str">
        <f t="shared" si="187"/>
        <v xml:space="preserve"> </v>
      </c>
      <c r="GD43" s="361" t="str">
        <f t="shared" si="188"/>
        <v xml:space="preserve"> </v>
      </c>
      <c r="GE43" s="347" t="str">
        <f t="shared" si="189"/>
        <v xml:space="preserve"> </v>
      </c>
      <c r="GF43" s="361" t="str">
        <f t="shared" si="190"/>
        <v xml:space="preserve"> </v>
      </c>
      <c r="GG43" s="347" t="str">
        <f t="shared" si="191"/>
        <v xml:space="preserve"> </v>
      </c>
      <c r="GH43" s="364">
        <f t="shared" si="78"/>
        <v>0</v>
      </c>
      <c r="GI43" s="362">
        <f t="shared" si="192"/>
        <v>2</v>
      </c>
      <c r="GJ43" s="433" t="e">
        <f>IF(6-COUNTBLANK(GT43:GY43)=4,MATCH(MID(BO43,9,3),CLU!$H$16:$K$16),MATCH(MID(BO43,9,3),CLU!$H$13:$M$13))</f>
        <v>#N/A</v>
      </c>
      <c r="GK43" s="433" t="e">
        <f>HLOOKUP(VALUE(BP43),CLU!$H$9:$M$10,2)</f>
        <v>#VALUE!</v>
      </c>
      <c r="GL43" s="433" t="e">
        <f ca="1">MATCH(BU43,CLU!$H$2:$V$2,1)</f>
        <v>#VALUE!</v>
      </c>
      <c r="GM43" s="433" t="e">
        <f t="shared" ca="1" si="193"/>
        <v>#VALUE!</v>
      </c>
      <c r="GN43" s="433" t="e">
        <f t="shared" ca="1" si="194"/>
        <v>#VALUE!</v>
      </c>
      <c r="GO43" s="433" t="e">
        <f t="shared" ca="1" si="195"/>
        <v>#VALUE!</v>
      </c>
      <c r="GP43" s="433" t="e">
        <f t="shared" ca="1" si="196"/>
        <v>#VALUE!</v>
      </c>
      <c r="GQ43" s="433" t="e">
        <f t="shared" ca="1" si="197"/>
        <v>#VALUE!</v>
      </c>
      <c r="GR43" s="433" t="e">
        <f ca="1">MATCH(T43,INDIRECT(VLOOKUP(CONCATENATE(LEFT(BO43,7),"-",MID(BO43,13,1)),CLU!$P$3:$Q$16,2)),1)</f>
        <v>#N/A</v>
      </c>
      <c r="GS43" s="433" t="e">
        <f ca="1">MATCH(U43,INDIRECT(VLOOKUP(CONCATENATE(LEFT(BO43,7),"-",MID(BO43,13,1)),CLU!$P$3:$Q$16,2)),1)</f>
        <v>#N/A</v>
      </c>
      <c r="GT43" s="347" t="s">
        <v>512</v>
      </c>
      <c r="GU43" s="97" t="s">
        <v>513</v>
      </c>
      <c r="GV43" s="97" t="str">
        <f t="shared" si="198"/>
        <v>M23</v>
      </c>
      <c r="GW43" s="97" t="str">
        <f t="shared" si="199"/>
        <v>M31</v>
      </c>
      <c r="GX43" s="97" t="str">
        <f t="shared" si="200"/>
        <v/>
      </c>
      <c r="GY43" s="97" t="str">
        <f t="shared" si="201"/>
        <v/>
      </c>
      <c r="GZ43" s="481"/>
      <c r="HA43" s="288"/>
      <c r="HB43" s="240"/>
      <c r="HC43" s="240"/>
      <c r="HD43" s="240"/>
      <c r="HE43" s="240"/>
      <c r="HF43" s="240"/>
      <c r="HG43" s="240"/>
      <c r="HH43" s="240"/>
      <c r="HI43" s="240"/>
      <c r="HJ43" s="240"/>
      <c r="HK43" s="240"/>
      <c r="HL43" s="240"/>
      <c r="HM43" s="240"/>
      <c r="HN43" s="240"/>
      <c r="HO43" s="240"/>
      <c r="HP43" s="240"/>
      <c r="HQ43" s="240"/>
      <c r="HR43" s="240"/>
      <c r="HS43" s="240"/>
      <c r="HT43" s="240"/>
      <c r="HU43" s="240"/>
      <c r="HV43" s="245"/>
      <c r="HW43" s="245" t="b">
        <v>1</v>
      </c>
      <c r="HX43" s="245" t="str">
        <f t="shared" si="79"/>
        <v/>
      </c>
      <c r="HY43" s="245" t="e">
        <f t="shared" si="80"/>
        <v>#DIV/0!</v>
      </c>
      <c r="HZ43" s="245" t="e">
        <f t="shared" si="81"/>
        <v>#DIV/0!</v>
      </c>
      <c r="IA43" s="245">
        <f t="shared" si="82"/>
        <v>0</v>
      </c>
      <c r="IB43" s="245"/>
      <c r="IC43" t="b">
        <f t="shared" si="83"/>
        <v>1</v>
      </c>
      <c r="ID43" s="245" t="b">
        <f t="shared" si="84"/>
        <v>1</v>
      </c>
      <c r="IE43" s="245" t="b">
        <f t="shared" si="85"/>
        <v>1</v>
      </c>
      <c r="IF43" s="245" t="b">
        <f t="shared" si="86"/>
        <v>0</v>
      </c>
      <c r="IG43" s="245" t="b">
        <f t="shared" si="87"/>
        <v>1</v>
      </c>
      <c r="IH43" s="245" t="b">
        <f t="shared" si="88"/>
        <v>1</v>
      </c>
      <c r="II43" s="245">
        <f t="shared" si="202"/>
        <v>0</v>
      </c>
      <c r="IJ43" s="245" t="e">
        <f t="shared" si="89"/>
        <v>#VALUE!</v>
      </c>
      <c r="IK43" s="245" t="e">
        <f t="shared" si="90"/>
        <v>#VALUE!</v>
      </c>
      <c r="IL43" s="245"/>
      <c r="IM43" s="245" t="e">
        <f t="shared" si="203"/>
        <v>#N/A</v>
      </c>
      <c r="IN43" s="245" t="e">
        <f t="shared" si="204"/>
        <v>#N/A</v>
      </c>
      <c r="IO43" s="245"/>
      <c r="IP43" s="245"/>
      <c r="IQ43" s="245" t="str">
        <f t="shared" si="91"/>
        <v/>
      </c>
      <c r="IR43" s="245" t="str">
        <f>IF(J43="","",VLOOKUP(J43,Worksheet!$R$4:$T$14,2))</f>
        <v/>
      </c>
      <c r="IS43" s="245"/>
      <c r="IT43" s="245">
        <f t="shared" si="92"/>
        <v>0</v>
      </c>
      <c r="IU43" s="245">
        <f t="shared" si="93"/>
        <v>0</v>
      </c>
      <c r="IV43" s="245">
        <f t="shared" si="94"/>
        <v>0</v>
      </c>
      <c r="IW43" s="245">
        <f t="shared" si="95"/>
        <v>0</v>
      </c>
      <c r="IX43" s="245">
        <f t="shared" si="205"/>
        <v>0</v>
      </c>
      <c r="IY43" s="245">
        <f t="shared" si="96"/>
        <v>0</v>
      </c>
      <c r="IZ43" s="245">
        <f t="shared" si="97"/>
        <v>0</v>
      </c>
      <c r="JA43">
        <f t="shared" si="98"/>
        <v>0</v>
      </c>
      <c r="JB43">
        <f t="shared" si="206"/>
        <v>0</v>
      </c>
      <c r="JC43">
        <f t="shared" si="99"/>
        <v>0</v>
      </c>
      <c r="JD43">
        <f t="shared" si="100"/>
        <v>0</v>
      </c>
      <c r="JE43">
        <f t="shared" si="101"/>
        <v>0</v>
      </c>
      <c r="JF43">
        <f t="shared" si="102"/>
        <v>0</v>
      </c>
      <c r="JG43">
        <f t="shared" si="103"/>
        <v>0</v>
      </c>
      <c r="JH43">
        <f t="shared" si="104"/>
        <v>0</v>
      </c>
      <c r="JI43">
        <f t="shared" si="105"/>
        <v>0</v>
      </c>
      <c r="JJ43" s="447">
        <f t="shared" si="106"/>
        <v>0</v>
      </c>
      <c r="JK43" s="447">
        <f t="shared" si="107"/>
        <v>0</v>
      </c>
      <c r="JL43">
        <f t="shared" si="108"/>
        <v>0</v>
      </c>
      <c r="JM43" s="245" t="str">
        <f>IFERROR(VLOOKUP(MATCH(BN43,#REF!,0),#REF!,7),"")</f>
        <v/>
      </c>
      <c r="JN43" t="e">
        <f>HLOOKUP(LEFT(BO43,7),Discharge_Area,MATCH(JO43,LookUps!$B$130:$B$149,1)+2)</f>
        <v>#N/A</v>
      </c>
      <c r="JO43" t="str">
        <f t="shared" si="109"/>
        <v>- S</v>
      </c>
      <c r="JP43" t="e">
        <f>HLOOKUP(LEFT(BO43,7),Discharge_Area,MATCH(JO43,LookUps!$B$130:$B$149,1)+2)</f>
        <v>#N/A</v>
      </c>
      <c r="JQ43" t="e">
        <f t="shared" si="110"/>
        <v>#N/A</v>
      </c>
      <c r="JR43" t="e">
        <f t="shared" si="111"/>
        <v>#N/A</v>
      </c>
      <c r="JS43" t="e">
        <f t="shared" si="112"/>
        <v>#N/A</v>
      </c>
      <c r="JT43" s="532" t="str">
        <f t="shared" si="113"/>
        <v xml:space="preserve"> </v>
      </c>
      <c r="JU43" s="532" t="str">
        <f t="shared" si="114"/>
        <v xml:space="preserve"> </v>
      </c>
      <c r="JV43" s="533" t="str">
        <f t="shared" si="115"/>
        <v xml:space="preserve"> </v>
      </c>
      <c r="JW43" s="534">
        <f t="shared" si="116"/>
        <v>0</v>
      </c>
      <c r="JX43" s="535" t="str">
        <f t="shared" si="207"/>
        <v xml:space="preserve"> </v>
      </c>
      <c r="JY43" s="535" t="str">
        <f t="shared" si="208"/>
        <v xml:space="preserve"> </v>
      </c>
      <c r="JZ43" s="535" t="str">
        <f t="shared" si="209"/>
        <v xml:space="preserve"> </v>
      </c>
      <c r="KA43" s="536" t="str">
        <f t="shared" si="117"/>
        <v xml:space="preserve"> </v>
      </c>
      <c r="KB43" s="535" t="e">
        <f t="shared" si="210"/>
        <v>#VALUE!</v>
      </c>
      <c r="KC43" s="535" t="str">
        <f t="shared" si="118"/>
        <v/>
      </c>
      <c r="KD43" s="537" t="str">
        <f t="shared" si="211"/>
        <v xml:space="preserve"> </v>
      </c>
      <c r="KE43" s="537" t="str">
        <f t="shared" si="212"/>
        <v xml:space="preserve"> </v>
      </c>
      <c r="KF43" s="534">
        <f t="shared" si="119"/>
        <v>0</v>
      </c>
      <c r="KG43" s="535" t="str">
        <f t="shared" si="120"/>
        <v xml:space="preserve"> </v>
      </c>
      <c r="KH43" s="535" t="str">
        <f t="shared" si="121"/>
        <v xml:space="preserve"> </v>
      </c>
      <c r="KI43" s="535" t="str">
        <f t="shared" si="122"/>
        <v xml:space="preserve"> </v>
      </c>
      <c r="KJ43" s="536" t="str">
        <f t="shared" si="123"/>
        <v xml:space="preserve"> </v>
      </c>
      <c r="KK43" s="535" t="str">
        <f t="shared" si="213"/>
        <v xml:space="preserve"> </v>
      </c>
      <c r="KL43" s="535" t="str">
        <f t="shared" si="214"/>
        <v xml:space="preserve"> </v>
      </c>
      <c r="KM43" s="537" t="str">
        <f t="shared" si="124"/>
        <v xml:space="preserve"> </v>
      </c>
      <c r="KN43" s="537" t="str">
        <f t="shared" si="215"/>
        <v xml:space="preserve"> </v>
      </c>
      <c r="KP43">
        <f t="shared" si="125"/>
        <v>0</v>
      </c>
      <c r="LA43" t="e">
        <f t="shared" si="126"/>
        <v>#VALUE!</v>
      </c>
      <c r="LB43" t="e">
        <f t="shared" si="127"/>
        <v>#VALUE!</v>
      </c>
      <c r="LC43" t="e">
        <f t="shared" si="128"/>
        <v>#VALUE!</v>
      </c>
      <c r="LD43" t="e">
        <f t="shared" si="129"/>
        <v>#VALUE!</v>
      </c>
      <c r="LE43" t="e">
        <f t="shared" si="216"/>
        <v>#VALUE!</v>
      </c>
      <c r="LF43">
        <f t="shared" si="130"/>
        <v>0</v>
      </c>
      <c r="LG43" t="e">
        <f t="shared" si="217"/>
        <v>#VALUE!</v>
      </c>
      <c r="LH43" t="str">
        <f t="shared" si="131"/>
        <v xml:space="preserve"> </v>
      </c>
      <c r="LI43">
        <f t="shared" si="218"/>
        <v>1</v>
      </c>
    </row>
    <row r="44" spans="2:321" ht="15" customHeight="1">
      <c r="B44" s="311"/>
      <c r="C44" s="311"/>
      <c r="D44" s="312"/>
      <c r="E44" s="311"/>
      <c r="F44" s="312"/>
      <c r="G44" s="311"/>
      <c r="H44" s="311"/>
      <c r="I44" s="37"/>
      <c r="J44" s="311"/>
      <c r="K44" s="305" t="str">
        <f t="shared" si="132"/>
        <v/>
      </c>
      <c r="L44" s="313"/>
      <c r="M44" s="312"/>
      <c r="N44" s="311"/>
      <c r="O44" s="312"/>
      <c r="P44" s="311"/>
      <c r="Q44" s="305" t="str">
        <f t="shared" si="133"/>
        <v/>
      </c>
      <c r="R44" s="314"/>
      <c r="S44" s="450" t="str">
        <f t="shared" si="0"/>
        <v/>
      </c>
      <c r="T44" s="315"/>
      <c r="U44" s="315"/>
      <c r="W44" s="149" t="str">
        <f t="shared" si="1"/>
        <v xml:space="preserve"> </v>
      </c>
      <c r="X44" s="243" t="str">
        <f t="shared" si="2"/>
        <v xml:space="preserve"> </v>
      </c>
      <c r="Y44" s="150" t="str">
        <f t="shared" si="3"/>
        <v/>
      </c>
      <c r="Z44" s="149" t="str">
        <f t="shared" si="4"/>
        <v xml:space="preserve"> </v>
      </c>
      <c r="AA44" s="98" t="str">
        <f t="shared" si="5"/>
        <v xml:space="preserve"> </v>
      </c>
      <c r="AB44" s="153" t="str">
        <f t="shared" si="6"/>
        <v xml:space="preserve"> </v>
      </c>
      <c r="AC44" s="153" t="str">
        <f t="shared" si="7"/>
        <v xml:space="preserve"> </v>
      </c>
      <c r="AD44" s="148" t="str">
        <f t="shared" si="8"/>
        <v/>
      </c>
      <c r="AE44" s="149" t="str">
        <f t="shared" si="9"/>
        <v/>
      </c>
      <c r="AF44" s="151" t="str">
        <f t="shared" si="10"/>
        <v xml:space="preserve"> </v>
      </c>
      <c r="AG44" s="153" t="str">
        <f t="shared" si="11"/>
        <v xml:space="preserve"> </v>
      </c>
      <c r="AH44" s="98" t="str">
        <f t="shared" si="12"/>
        <v xml:space="preserve"> </v>
      </c>
      <c r="AI44" s="149" t="str">
        <f t="shared" si="13"/>
        <v xml:space="preserve"> </v>
      </c>
      <c r="AK44" s="144" t="str">
        <f t="shared" si="14"/>
        <v xml:space="preserve"> </v>
      </c>
      <c r="AL44" s="144"/>
      <c r="AM44" s="243" t="str">
        <f t="shared" si="15"/>
        <v xml:space="preserve"> </v>
      </c>
      <c r="AN44" s="149" t="str">
        <f t="shared" si="134"/>
        <v xml:space="preserve"> </v>
      </c>
      <c r="AO44" s="144" t="str">
        <f>IF(JB44&gt;0,IF(GI44=10,-R44*1.085*(Calculation!$F$6-Calculation!$F$13)*$S$14," "),"")</f>
        <v/>
      </c>
      <c r="AP44" s="144" t="str">
        <f t="shared" si="16"/>
        <v/>
      </c>
      <c r="AQ44" s="56" t="str">
        <f t="shared" si="17"/>
        <v/>
      </c>
      <c r="AR44" s="144" t="str">
        <f t="shared" si="18"/>
        <v/>
      </c>
      <c r="AS44" s="176" t="str">
        <f t="shared" si="19"/>
        <v/>
      </c>
      <c r="AT44" s="176" t="str">
        <f t="shared" si="135"/>
        <v xml:space="preserve"> </v>
      </c>
      <c r="AU44" s="176" t="str">
        <f t="shared" si="20"/>
        <v/>
      </c>
      <c r="AV44" s="177" t="str">
        <f t="shared" si="21"/>
        <v xml:space="preserve"> </v>
      </c>
      <c r="AW44" s="144" t="str">
        <f t="shared" si="22"/>
        <v xml:space="preserve"> </v>
      </c>
      <c r="AX44" s="144" t="str">
        <f t="shared" si="23"/>
        <v xml:space="preserve"> </v>
      </c>
      <c r="AY44" s="152" t="str">
        <f t="shared" si="24"/>
        <v xml:space="preserve"> </v>
      </c>
      <c r="AZ44" s="246" t="str">
        <f t="shared" si="25"/>
        <v/>
      </c>
      <c r="BA44" s="176" t="str">
        <f t="shared" si="26"/>
        <v xml:space="preserve"> </v>
      </c>
      <c r="BB44" s="176" t="str">
        <f t="shared" si="27"/>
        <v xml:space="preserve"> </v>
      </c>
      <c r="BC44" s="195"/>
      <c r="BD44" s="316"/>
      <c r="BE44" s="317"/>
      <c r="BF44" s="318"/>
      <c r="BG44" s="318"/>
      <c r="BH44" s="144" t="str">
        <f t="shared" si="219"/>
        <v xml:space="preserve"> </v>
      </c>
      <c r="BI44" s="176" t="str">
        <f t="shared" si="28"/>
        <v/>
      </c>
      <c r="BJ44" s="144" t="str">
        <f t="shared" si="220"/>
        <v/>
      </c>
      <c r="BK44" s="246" t="str">
        <f t="shared" si="29"/>
        <v/>
      </c>
      <c r="BL44" s="144" t="str">
        <f t="shared" si="221"/>
        <v/>
      </c>
      <c r="BM44" s="246" t="str">
        <f t="shared" si="30"/>
        <v/>
      </c>
      <c r="BN44" s="337" t="str">
        <f t="shared" si="136"/>
        <v/>
      </c>
      <c r="BO44" s="371" t="str">
        <f t="shared" si="137"/>
        <v/>
      </c>
      <c r="BP44" s="328" t="str">
        <f t="shared" si="222"/>
        <v xml:space="preserve"> </v>
      </c>
      <c r="BQ44" s="347" t="str">
        <f t="shared" si="138"/>
        <v xml:space="preserve"> </v>
      </c>
      <c r="BR44" s="353" t="str">
        <f t="shared" si="223"/>
        <v xml:space="preserve"> </v>
      </c>
      <c r="BS44" s="626" t="str">
        <f>IF(L44&gt;0,IF(Calculation!P44="M13",BR44*3.1416*(0.134^2)/(4*144),IF(Calculation!P44="M17",BR44*3.1416*(0.165^2)/(4*144),IF(Calculation!P44="M20",BR44*3.1416*(0.198^2)/(4*144),IF(Calculation!P44="M23",BR44*3.1416*(0.228^2)/(4*144),IF(Calculation!P44="M27",BR44*3.1416*(0.269^2)/(4*144),BR44*3.1416*(0.307^2)/(4*144))))))," ")</f>
        <v xml:space="preserve"> </v>
      </c>
      <c r="BT44" s="353" t="str">
        <f>IF(L44&gt;0,IF(BS44&gt;0,R44/Calculation!BS44,0)," ")</f>
        <v xml:space="preserve"> </v>
      </c>
      <c r="BU44" s="438" t="e">
        <f t="shared" ca="1" si="31"/>
        <v>#VALUE!</v>
      </c>
      <c r="BV44" s="449" t="e">
        <f ca="1">INDEX(INDIRECT(VLOOKUP(LEFT(BO44,7),CLU!$Z$3:$AH$18,2)),GN44,GR44)</f>
        <v>#N/A</v>
      </c>
      <c r="BW44" s="433" t="e">
        <f ca="1">INDEX(INDIRECT(VLOOKUP(LEFT(BO44,7),CLU!$Z$3:$AH$18,3)),GN44,GR44)</f>
        <v>#N/A</v>
      </c>
      <c r="BX44" s="433" t="e">
        <f ca="1">INDEX(INDIRECT(VLOOKUP(LEFT(BO44,7),CLU!$Z$3:$AH$18,4)),GN44,GR44)</f>
        <v>#N/A</v>
      </c>
      <c r="BY44" s="433" t="e">
        <f ca="1">INDEX(INDIRECT(VLOOKUP(LEFT(BO44,7),CLU!$Z$3:$AH$18,9)),((M44-2)*(6-COUNTBLANK(GT44:GY44)))+GJ44)</f>
        <v>#N/A</v>
      </c>
      <c r="BZ44" s="426" t="e">
        <f t="shared" ca="1" si="139"/>
        <v>#N/A</v>
      </c>
      <c r="CA44" s="424" t="e">
        <f t="shared" ca="1" si="140"/>
        <v>#N/A</v>
      </c>
      <c r="CB44" s="429" t="e">
        <f ca="1">INDEX(INDIRECT(VLOOKUP(LEFT(BO44,7),CLU!$Z$3:$AH$18,2)),GN44,GS44)</f>
        <v>#N/A</v>
      </c>
      <c r="CC44" s="342" t="e">
        <f ca="1">INDEX(INDIRECT(VLOOKUP(LEFT(BO44,7),CLU!$Z$3:$AH$18,3)),GN44,GS44)</f>
        <v>#N/A</v>
      </c>
      <c r="CD44" s="342" t="e">
        <f ca="1">INDEX(INDIRECT(VLOOKUP(LEFT(BO44,7),CLU!$Z$3:$AH$18,4)),GN44,GS44)</f>
        <v>#N/A</v>
      </c>
      <c r="CE44" s="426" t="e">
        <f t="shared" ca="1" si="141"/>
        <v>#N/A</v>
      </c>
      <c r="CF44" s="440">
        <f t="shared" si="142"/>
        <v>0</v>
      </c>
      <c r="CG44" s="431" t="e">
        <f ca="1">INDEX(INDIRECT(VLOOKUP(LEFT(BO44,7),CLU!$Z$3:$AH$18,2)),GQ44,GR44)</f>
        <v>#N/A</v>
      </c>
      <c r="CH44" s="431" t="e">
        <f ca="1">INDEX(INDIRECT(VLOOKUP(LEFT(BO44,7),CLU!$Z$3:$AH$18,3)),GQ44,GR44)</f>
        <v>#N/A</v>
      </c>
      <c r="CI44" s="431" t="e">
        <f ca="1">INDEX(INDIRECT(VLOOKUP(LEFT(BO44,7),CLU!$Z$3:$AH$18,4)),GQ44,GR44)</f>
        <v>#N/A</v>
      </c>
      <c r="CJ44" s="448" t="e">
        <f t="shared" ca="1" si="143"/>
        <v>#N/A</v>
      </c>
      <c r="CK44" s="431" t="e">
        <f t="shared" ca="1" si="144"/>
        <v>#N/A</v>
      </c>
      <c r="CL44" s="440" t="e">
        <f t="shared" ca="1" si="145"/>
        <v>#N/A</v>
      </c>
      <c r="CM44" s="431" t="e">
        <f ca="1">INDEX(INDIRECT(VLOOKUP(LEFT(BO44,7),CLU!$Z$3:$AH$18,2)),GQ44,GS44)</f>
        <v>#N/A</v>
      </c>
      <c r="CN44" s="431" t="e">
        <f ca="1">INDEX(INDIRECT(VLOOKUP(LEFT(BO44,7),CLU!$Z$3:$AH$18,3)),GQ44,GS44)</f>
        <v>#N/A</v>
      </c>
      <c r="CO44" s="431" t="e">
        <f ca="1">INDEX(INDIRECT(VLOOKUP(LEFT(BO44,7),CLU!$Z$3:$AH$18,4)),GQ44,GS44)</f>
        <v>#N/A</v>
      </c>
      <c r="CP44" s="431" t="e">
        <f t="shared" ca="1" si="146"/>
        <v>#N/A</v>
      </c>
      <c r="CQ44" s="440">
        <f t="shared" si="147"/>
        <v>0</v>
      </c>
      <c r="CR44" s="51" t="e">
        <f t="shared" ca="1" si="148"/>
        <v>#N/A</v>
      </c>
      <c r="CS44" s="439" t="e">
        <f t="shared" ca="1" si="149"/>
        <v>#VALUE!</v>
      </c>
      <c r="CT44" s="51" t="e">
        <f t="shared" ca="1" si="150"/>
        <v>#VALUE!</v>
      </c>
      <c r="CU44" s="10"/>
      <c r="CV44" s="51" t="e">
        <f t="shared" ca="1" si="34"/>
        <v>#VALUE!</v>
      </c>
      <c r="CW44" s="51">
        <f t="shared" si="151"/>
        <v>0</v>
      </c>
      <c r="CX44" s="439" t="e">
        <f t="shared" ca="1" si="152"/>
        <v>#VALUE!</v>
      </c>
      <c r="CY44" s="51" t="e">
        <f t="shared" ca="1" si="153"/>
        <v>#VALUE!</v>
      </c>
      <c r="CZ44" s="10"/>
      <c r="DA44" s="51" t="e">
        <f t="shared" ca="1" si="154"/>
        <v>#VALUE!</v>
      </c>
      <c r="DB44" s="347" t="e">
        <f ca="1">INDEX(INDIRECT(VLOOKUP(LEFT(BO44,7),CLU!$Z$3:$AI$18,10)),((M44-2)*(6-COUNTBLANK(GT44:GY44)))+GJ44)*LI44</f>
        <v>#N/A</v>
      </c>
      <c r="DC44" s="347" t="str">
        <f>IF(L44&gt;0,((R44/Worksheet!$I$15)/DB44)^2," ")</f>
        <v xml:space="preserve"> </v>
      </c>
      <c r="DD44" s="602" t="str">
        <f t="shared" si="224"/>
        <v xml:space="preserve"> </v>
      </c>
      <c r="DE44" s="347" t="str">
        <f t="shared" si="35"/>
        <v xml:space="preserve"> </v>
      </c>
      <c r="DF44" s="356" t="e">
        <f ca="1">INDEX(INDIRECT(VLOOKUP(LEFT(BO44,7),CLU!$Z$3:$AH$18,8)),((M44-2)*(6-COUNTBLANK(GT44:GY44)))+GJ44)</f>
        <v>#N/A</v>
      </c>
      <c r="DG44" s="347" t="str">
        <f t="shared" si="36"/>
        <v xml:space="preserve"> </v>
      </c>
      <c r="DH44" s="357" t="str">
        <f t="shared" si="37"/>
        <v xml:space="preserve"> </v>
      </c>
      <c r="DI44" s="355" t="str">
        <f t="shared" si="38"/>
        <v xml:space="preserve"> </v>
      </c>
      <c r="DJ44" s="245" t="e">
        <f ca="1">INDEX(INDIRECT(VLOOKUP(LEFT(BO44,7),CLU!$Z$3:$AH$18,5)),GL44,GK44)</f>
        <v>#N/A</v>
      </c>
      <c r="DK44" s="245" t="e">
        <f ca="1">INDEX(INDIRECT(VLOOKUP(LEFT(BO44,7),CLU!$Z$3:$AH$18,6)),GL44,GK44)</f>
        <v>#N/A</v>
      </c>
      <c r="DL44" s="355">
        <f>(Calculation!R44*0.69143*(Calculation!$BQ$8-Calculation!$F$8))*$S$14</f>
        <v>0</v>
      </c>
      <c r="DM44" s="359" t="e">
        <f t="shared" si="160"/>
        <v>#VALUE!</v>
      </c>
      <c r="DN44" s="611">
        <f t="shared" si="161"/>
        <v>0</v>
      </c>
      <c r="DO44" s="359">
        <f t="shared" si="162"/>
        <v>100</v>
      </c>
      <c r="DP44" s="359">
        <f t="shared" si="163"/>
        <v>0</v>
      </c>
      <c r="DQ44" s="360"/>
      <c r="DR44" s="245" t="e">
        <f ca="1">INDEX(INDIRECT(VLOOKUP(LEFT(BO44,7),CLU!$Z$3:$AH$18,7)),M44-1,1)</f>
        <v>#N/A</v>
      </c>
      <c r="DS44" s="245" t="e">
        <f ca="1">INDEX(INDIRECT(VLOOKUP(LEFT(BO44,7),CLU!$Z$3:$AH$18,7)),M44-1,2)</f>
        <v>#N/A</v>
      </c>
      <c r="DT44" s="245" t="e">
        <f ca="1">INDEX(INDIRECT(VLOOKUP(LEFT(BO44,7),CLU!$Z$3:$AH$18,7)),M44-1,3)</f>
        <v>#N/A</v>
      </c>
      <c r="DU44" s="245" t="e">
        <f ca="1">INDEX(INDIRECT(VLOOKUP(LEFT(BO44,7),CLU!$Z$3:$AH$18,7)),M44-1,4)</f>
        <v>#N/A</v>
      </c>
      <c r="DV44" s="361" t="e">
        <f ca="1">INDEX(INDIRECT(VLOOKUP(LEFT(BO44,7),CLU!$Z$3:$AH$18,7)),M44-1,4+LEFT(DZ44,1)*0.5)</f>
        <v>#N/A</v>
      </c>
      <c r="DW44" s="245" t="e">
        <f ca="1">INDEX(INDIRECT(VLOOKUP(LEFT(BO44,7),CLU!$Z$3:$AH$18,7)),M44-1,8)</f>
        <v>#N/A</v>
      </c>
      <c r="DX44" s="361" t="str">
        <f t="shared" si="39"/>
        <v xml:space="preserve"> </v>
      </c>
      <c r="DY44" s="361" t="str">
        <f t="shared" si="40"/>
        <v xml:space="preserve"> </v>
      </c>
      <c r="DZ44" s="361" t="str">
        <f t="shared" si="41"/>
        <v xml:space="preserve"> </v>
      </c>
      <c r="EA44" s="362" t="str">
        <f t="shared" si="42"/>
        <v xml:space="preserve"> </v>
      </c>
      <c r="EB44" s="624" t="str">
        <f t="shared" si="168"/>
        <v xml:space="preserve"> </v>
      </c>
      <c r="EC44" s="361" t="e">
        <f ca="1">INDEX(INDIRECT(VLOOKUP(LEFT(BO44,7),CLU!$Z$3:$AH$18,7)),M44-1,4+LEFT(DZ44,1)*0.5)</f>
        <v>#N/A</v>
      </c>
      <c r="ED44" s="362" t="str">
        <f t="shared" si="43"/>
        <v xml:space="preserve"> </v>
      </c>
      <c r="EE44" s="361" t="str">
        <f t="shared" si="44"/>
        <v xml:space="preserve"> </v>
      </c>
      <c r="EF44" s="362" t="str">
        <f>IF(L44&gt;0,IF(BR44&gt;0,IF(EE44="2P",IF(Calculation!DZ44="2P",IF(Calculation!DS44=13.75,IF(Calculation!DR44=13,Worksheet!$BD$43,IF(Calculation!DR44=37,Worksheet!$BD$44,Worksheet!$BD$45)),IF(Calculation!DS44=10,IF(Calculation!DR44=18,Worksheet!$BD$29,IF(Calculation!DR44=30,Worksheet!$BD$30,IF(Calculation!DR44=42,Worksheet!$BD$31,IF(Calculation!DR44=54,Worksheet!$BD$32,IF(Calculation!DR44=66,Worksheet!$BD$33,IF(Calculation!DR44=78,Worksheet!$BD$34,IF(Calculation!DR44=90,Worksheet!$BD$35,IF(Calculation!DR44=102,Worksheet!$BD$36,Worksheet!$BD$37)))))))),IF(Calculation!DS44=12.5,IF(Calculation!DR44=18,Worksheet!$BD$38,IF(Calculation!DR44=Worksheet!$BD$39,IF(Calculation!DR44=42,Worksheet!$BD$40,IF(Calculation!DR44=54,Worksheet!$BD$41,Worksheet!$BD$42)))),IF(Calculation!DR44=18,Worksheet!$BD$11,IF(Calculation!DR44=30,Worksheet!$BD$12,IF(Calculation!DR44=42,Worksheet!$BD$13,IF(Calculation!DR44=54,Worksheet!$BD$14,IF(Calculation!DR44=66,Worksheet!$BD$15,IF(Calculation!DR44=78,Worksheet!$BD$16,IF(Calculation!DR44=90,Worksheet!$BD$17,IF(Calculation!DR44=102,Worksheet!$BD$18,Worksheet!$BD$19))))))))))),IF(Calculation!DS44=13.75,IF(Calculation!DR44=13,Worksheet!$BD$78,IF(Calculation!DR44=37,Worksheet!$BD$79,Worksheet!$BD$80)),IF(Calculation!DS44=10,IF(Calculation!DR44=18,Worksheet!$BD$64,IF(Calculation!DR44=30,Worksheet!$BD$65,IF(Calculation!DR44=42,Worksheet!$BD$66,IF(Calculation!DR44=54,Worksheet!$BD$68,IF(Calculation!DR44=66,Worksheet!$BD$68,IF(Calculation!DR44=78,Worksheet!$BD$69,IF(Calculation!DR44=90,Worksheet!$BD$70,IF(Calculation!DR44=102,Worksheet!$BD$71,Worksheet!$BD$72)))))))),IF(Calculation!DS44=12.5,IF(Calculation!DR44=18,Worksheet!$BD$73,IF(Calculation!DR44=Worksheet!$BD$74,IF(Calculation!DR44=42,Worksheet!$BD$75,IF(Calculation!DR44=54,Worksheet!$BD$76,Worksheet!$BD$77)))),IF(Calculation!DR44=18,Worksheet!$BD$55,IF(Calculation!DR44=30,Worksheet!$BD$56,IF(Calculation!DR44=42,Worksheet!$BD$57,IF(Calculation!DR44=54,Worksheet!$BD$58,IF(Calculation!DR44=66,Worksheet!$BD$59,IF(Calculation!DR44=78,Worksheet!$BD$60,IF(Calculation!DR44=90,Worksheet!$BD$61,IF(Calculation!DR44=102,Worksheet!$BD$62,Worksheet!$BD$63)))))))))))),5),0)," ")</f>
        <v xml:space="preserve"> </v>
      </c>
      <c r="EG44" s="361" t="str">
        <f t="shared" si="45"/>
        <v xml:space="preserve"> </v>
      </c>
      <c r="EH44" s="361" t="e">
        <f ca="1">INDEX(INDIRECT(VLOOKUP(LEFT(BO44,7),CLU!$Z$3:$AH$18,7)),M44-1,3+LEFT(DZ44,1))</f>
        <v>#N/A</v>
      </c>
      <c r="EI44" s="362" t="str">
        <f t="shared" si="46"/>
        <v xml:space="preserve"> </v>
      </c>
      <c r="EJ44" s="363" t="str">
        <f t="shared" si="47"/>
        <v xml:space="preserve"> </v>
      </c>
      <c r="EK44" s="363" t="str">
        <f t="shared" si="48"/>
        <v xml:space="preserve"> </v>
      </c>
      <c r="EL44" s="363" t="str">
        <f t="shared" si="49"/>
        <v xml:space="preserve"> </v>
      </c>
      <c r="EM44" s="362" t="str">
        <f>IF(L44&gt;0,IF(BR44&gt;0,(Calculation!T44/ED44)^2,0)," ")</f>
        <v xml:space="preserve"> </v>
      </c>
      <c r="EN44" s="362" t="str">
        <f>IF(L44&gt;0,IF(O44="2 Pipe (Cooling)","N/A",IF(BR44&gt;0,(Calculation!U44/EI44)^2,0))," ")</f>
        <v xml:space="preserve"> </v>
      </c>
      <c r="EO44" s="361" t="str">
        <f t="shared" si="50"/>
        <v/>
      </c>
      <c r="EP44" s="361" t="str">
        <f t="shared" si="51"/>
        <v/>
      </c>
      <c r="EQ44" s="361" t="str">
        <f t="shared" si="52"/>
        <v/>
      </c>
      <c r="ER44" s="361" t="str">
        <f t="shared" si="53"/>
        <v/>
      </c>
      <c r="ES44" s="361" t="str">
        <f t="shared" si="54"/>
        <v/>
      </c>
      <c r="ET44" s="361" t="str">
        <f t="shared" si="55"/>
        <v/>
      </c>
      <c r="EU44" s="361" t="str">
        <f t="shared" si="56"/>
        <v/>
      </c>
      <c r="EV44" s="361" t="str">
        <f t="shared" si="57"/>
        <v/>
      </c>
      <c r="EW44" s="361" t="str">
        <f t="shared" si="58"/>
        <v/>
      </c>
      <c r="EX44" s="361" t="str">
        <f t="shared" si="169"/>
        <v>1 slot, 1 way</v>
      </c>
      <c r="EY44" s="361" t="str">
        <f t="shared" si="170"/>
        <v xml:space="preserve"> </v>
      </c>
      <c r="EZ44" s="361" t="str">
        <f t="shared" si="171"/>
        <v xml:space="preserve"> </v>
      </c>
      <c r="FA44" s="361" t="str">
        <f t="shared" si="172"/>
        <v xml:space="preserve"> </v>
      </c>
      <c r="FB44" s="361" t="str">
        <f t="shared" si="173"/>
        <v xml:space="preserve"> </v>
      </c>
      <c r="FC44" s="361"/>
      <c r="FD44" s="361" t="str">
        <f>IF(J44&gt;0,IF(Calculation!R44&lt;=70,4,IF(Calculation!R44&lt;=110,5,IF(Calculation!R44&lt;=160,6,IF(Calculation!R44&lt;=300,8,"10 EO")))),"")</f>
        <v/>
      </c>
      <c r="FE44" s="361" t="str">
        <f t="shared" si="174"/>
        <v/>
      </c>
      <c r="FF44" s="361" t="str">
        <f t="shared" si="175"/>
        <v/>
      </c>
      <c r="FG44" s="361" t="e">
        <f t="shared" si="60"/>
        <v>#N/A</v>
      </c>
      <c r="FH44" s="361">
        <f t="shared" si="61"/>
        <v>0</v>
      </c>
      <c r="FI44" s="361" t="e">
        <f t="shared" si="62"/>
        <v>#DIV/0!</v>
      </c>
      <c r="FJ44" s="361"/>
      <c r="FK44" s="356" t="e">
        <f t="shared" si="63"/>
        <v>#VALUE!</v>
      </c>
      <c r="FL44" s="361"/>
      <c r="FM44" s="361"/>
      <c r="FN44" s="362" t="str">
        <f t="shared" si="176"/>
        <v xml:space="preserve"> </v>
      </c>
      <c r="FO44" s="362" t="str">
        <f t="shared" si="177"/>
        <v xml:space="preserve"> </v>
      </c>
      <c r="FP44" s="362">
        <f t="shared" si="178"/>
        <v>0</v>
      </c>
      <c r="FQ44" s="361">
        <f t="shared" si="64"/>
        <v>0</v>
      </c>
      <c r="FR44" s="362" t="str">
        <f>IF(L44&gt;0,IF(J44="CBAL2",Worksheet!$P$67,IF(J44="CBE2-24",Worksheet!$Q$67,IF(J44="CBAM",Worksheet!$R$67,IF(J44="CBLV",Worksheet!$S$67,IF(J44="CBAB",Worksheet!$U$67,IF(J44="CBAW",Worksheet!$X$67,IF(J44="CBE2-12",Worksheet!$Y$67,IF(J44="CBAL2",Worksheet!$Z$67,"N/A"))))))))," ")</f>
        <v xml:space="preserve"> </v>
      </c>
      <c r="FS44" s="362" t="str">
        <f>IF(L44&gt;0,IF(J44="CBAL2",Worksheet!$P$68,IF(J44="CBE2-24",Worksheet!$Q$68,IF(J44="CBAM",Worksheet!$R$68,IF(J44="CBLV",Worksheet!$S$68,IF(J44="CBAB",Worksheet!$U$68,IF(J44="CBAW",Worksheet!$X$68,IF(J44="CBE2-12",Worksheet!$Y$68,IF(J44="CBAL2",Worksheet!$Z$68,"N/A"))))))))," ")</f>
        <v xml:space="preserve"> </v>
      </c>
      <c r="FT44" s="362" t="str">
        <f>IF(L44&gt;0,IF(J44="CBAL2",Worksheet!$P$69,IF(J44="CBE2-24",Worksheet!$Q$69,IF(J44="CBAM",Worksheet!$R$69,IF(J44="CBLV",Worksheet!$S$69,IF(J44="CBAB",Worksheet!$U$69,IF(J44="CBAW",Worksheet!$X$69,IF(J44="CBE2-12",Worksheet!$Y$69,IF(J44="CBAL2",Worksheet!$Z$69,"N/A"))))))))," ")</f>
        <v xml:space="preserve"> </v>
      </c>
      <c r="FU44" s="361" t="str">
        <f t="shared" si="179"/>
        <v xml:space="preserve"> </v>
      </c>
      <c r="FV44" s="362" t="str">
        <f t="shared" si="180"/>
        <v xml:space="preserve"> </v>
      </c>
      <c r="FW44" s="362" t="str">
        <f t="shared" si="181"/>
        <v xml:space="preserve"> </v>
      </c>
      <c r="FX44" s="362" t="str">
        <f t="shared" si="182"/>
        <v xml:space="preserve"> </v>
      </c>
      <c r="FY44" s="355" t="str">
        <f t="shared" si="183"/>
        <v xml:space="preserve"> </v>
      </c>
      <c r="FZ44" s="361" t="str">
        <f t="shared" si="184"/>
        <v xml:space="preserve"> </v>
      </c>
      <c r="GA44" s="347" t="str">
        <f t="shared" si="185"/>
        <v xml:space="preserve"> </v>
      </c>
      <c r="GB44" s="355" t="str">
        <f t="shared" si="186"/>
        <v xml:space="preserve"> </v>
      </c>
      <c r="GC44" s="328" t="str">
        <f t="shared" si="187"/>
        <v xml:space="preserve"> </v>
      </c>
      <c r="GD44" s="361" t="str">
        <f t="shared" si="188"/>
        <v xml:space="preserve"> </v>
      </c>
      <c r="GE44" s="347" t="str">
        <f t="shared" si="189"/>
        <v xml:space="preserve"> </v>
      </c>
      <c r="GF44" s="361" t="str">
        <f t="shared" si="190"/>
        <v xml:space="preserve"> </v>
      </c>
      <c r="GG44" s="347" t="str">
        <f t="shared" si="191"/>
        <v xml:space="preserve"> </v>
      </c>
      <c r="GH44" s="364">
        <f t="shared" si="78"/>
        <v>0</v>
      </c>
      <c r="GI44" s="362">
        <f t="shared" si="192"/>
        <v>2</v>
      </c>
      <c r="GJ44" s="433" t="e">
        <f>IF(6-COUNTBLANK(GT44:GY44)=4,MATCH(MID(BO44,9,3),CLU!$H$16:$K$16),MATCH(MID(BO44,9,3),CLU!$H$13:$M$13))</f>
        <v>#N/A</v>
      </c>
      <c r="GK44" s="433" t="e">
        <f>HLOOKUP(VALUE(BP44),CLU!$H$9:$M$10,2)</f>
        <v>#VALUE!</v>
      </c>
      <c r="GL44" s="433" t="e">
        <f ca="1">MATCH(BU44,CLU!$H$2:$V$2,1)</f>
        <v>#VALUE!</v>
      </c>
      <c r="GM44" s="433" t="e">
        <f t="shared" ca="1" si="193"/>
        <v>#VALUE!</v>
      </c>
      <c r="GN44" s="433" t="e">
        <f t="shared" ca="1" si="194"/>
        <v>#VALUE!</v>
      </c>
      <c r="GO44" s="433" t="e">
        <f t="shared" ca="1" si="195"/>
        <v>#VALUE!</v>
      </c>
      <c r="GP44" s="433" t="e">
        <f t="shared" ca="1" si="196"/>
        <v>#VALUE!</v>
      </c>
      <c r="GQ44" s="433" t="e">
        <f t="shared" ca="1" si="197"/>
        <v>#VALUE!</v>
      </c>
      <c r="GR44" s="433" t="e">
        <f ca="1">MATCH(T44,INDIRECT(VLOOKUP(CONCATENATE(LEFT(BO44,7),"-",MID(BO44,13,1)),CLU!$P$3:$Q$16,2)),1)</f>
        <v>#N/A</v>
      </c>
      <c r="GS44" s="433" t="e">
        <f ca="1">MATCH(U44,INDIRECT(VLOOKUP(CONCATENATE(LEFT(BO44,7),"-",MID(BO44,13,1)),CLU!$P$3:$Q$16,2)),1)</f>
        <v>#N/A</v>
      </c>
      <c r="GT44" s="347" t="s">
        <v>512</v>
      </c>
      <c r="GU44" s="97" t="s">
        <v>513</v>
      </c>
      <c r="GV44" s="97" t="str">
        <f t="shared" si="198"/>
        <v>M23</v>
      </c>
      <c r="GW44" s="97" t="str">
        <f t="shared" si="199"/>
        <v>M31</v>
      </c>
      <c r="GX44" s="97" t="str">
        <f t="shared" si="200"/>
        <v/>
      </c>
      <c r="GY44" s="97" t="str">
        <f t="shared" si="201"/>
        <v/>
      </c>
      <c r="GZ44" s="481"/>
      <c r="HA44" s="288"/>
      <c r="HB44" s="240"/>
      <c r="HC44" s="240"/>
      <c r="HD44" s="240"/>
      <c r="HE44" s="240"/>
      <c r="HF44" s="240"/>
      <c r="HG44" s="240"/>
      <c r="HH44" s="240"/>
      <c r="HI44" s="240"/>
      <c r="HJ44" s="240"/>
      <c r="HK44" s="240"/>
      <c r="HL44" s="240"/>
      <c r="HM44" s="240"/>
      <c r="HN44" s="240"/>
      <c r="HO44" s="240"/>
      <c r="HP44" s="240"/>
      <c r="HQ44" s="240"/>
      <c r="HR44" s="240"/>
      <c r="HS44" s="240"/>
      <c r="HT44" s="240"/>
      <c r="HU44" s="240"/>
      <c r="HV44" s="245"/>
      <c r="HW44" s="245" t="b">
        <v>1</v>
      </c>
      <c r="HX44" s="245" t="str">
        <f t="shared" si="79"/>
        <v/>
      </c>
      <c r="HY44" s="245" t="e">
        <f t="shared" si="80"/>
        <v>#DIV/0!</v>
      </c>
      <c r="HZ44" s="245" t="e">
        <f t="shared" si="81"/>
        <v>#DIV/0!</v>
      </c>
      <c r="IA44" s="245">
        <f t="shared" si="82"/>
        <v>0</v>
      </c>
      <c r="IB44" s="245"/>
      <c r="IC44" t="b">
        <f t="shared" si="83"/>
        <v>1</v>
      </c>
      <c r="ID44" s="245" t="b">
        <f t="shared" si="84"/>
        <v>1</v>
      </c>
      <c r="IE44" s="245" t="b">
        <f t="shared" si="85"/>
        <v>1</v>
      </c>
      <c r="IF44" s="245" t="b">
        <f t="shared" si="86"/>
        <v>0</v>
      </c>
      <c r="IG44" s="245" t="b">
        <f t="shared" si="87"/>
        <v>1</v>
      </c>
      <c r="IH44" s="245" t="b">
        <f t="shared" si="88"/>
        <v>1</v>
      </c>
      <c r="II44" s="245">
        <f t="shared" si="202"/>
        <v>0</v>
      </c>
      <c r="IJ44" s="245" t="e">
        <f t="shared" si="89"/>
        <v>#VALUE!</v>
      </c>
      <c r="IK44" s="245" t="e">
        <f t="shared" si="90"/>
        <v>#VALUE!</v>
      </c>
      <c r="IL44" s="245"/>
      <c r="IM44" s="245" t="e">
        <f t="shared" si="203"/>
        <v>#N/A</v>
      </c>
      <c r="IN44" s="245" t="e">
        <f t="shared" si="204"/>
        <v>#N/A</v>
      </c>
      <c r="IO44" s="245"/>
      <c r="IP44" s="245"/>
      <c r="IQ44" s="245" t="str">
        <f t="shared" si="91"/>
        <v/>
      </c>
      <c r="IR44" s="245" t="str">
        <f>IF(J44="","",VLOOKUP(J44,Worksheet!$R$4:$T$14,2))</f>
        <v/>
      </c>
      <c r="IS44" s="245"/>
      <c r="IT44" s="245">
        <f t="shared" si="92"/>
        <v>0</v>
      </c>
      <c r="IU44" s="245">
        <f t="shared" si="93"/>
        <v>0</v>
      </c>
      <c r="IV44" s="245">
        <f t="shared" si="94"/>
        <v>0</v>
      </c>
      <c r="IW44" s="245">
        <f t="shared" si="95"/>
        <v>0</v>
      </c>
      <c r="IX44" s="245">
        <f t="shared" si="205"/>
        <v>0</v>
      </c>
      <c r="IY44" s="245">
        <f t="shared" si="96"/>
        <v>0</v>
      </c>
      <c r="IZ44" s="245">
        <f t="shared" si="97"/>
        <v>0</v>
      </c>
      <c r="JA44">
        <f t="shared" si="98"/>
        <v>0</v>
      </c>
      <c r="JB44">
        <f t="shared" si="206"/>
        <v>0</v>
      </c>
      <c r="JC44">
        <f t="shared" si="99"/>
        <v>0</v>
      </c>
      <c r="JD44">
        <f t="shared" si="100"/>
        <v>0</v>
      </c>
      <c r="JE44">
        <f t="shared" si="101"/>
        <v>0</v>
      </c>
      <c r="JF44">
        <f t="shared" si="102"/>
        <v>0</v>
      </c>
      <c r="JG44">
        <f t="shared" si="103"/>
        <v>0</v>
      </c>
      <c r="JH44">
        <f t="shared" si="104"/>
        <v>0</v>
      </c>
      <c r="JI44">
        <f t="shared" si="105"/>
        <v>0</v>
      </c>
      <c r="JJ44" s="447">
        <f t="shared" si="106"/>
        <v>0</v>
      </c>
      <c r="JK44" s="447">
        <f t="shared" si="107"/>
        <v>0</v>
      </c>
      <c r="JL44">
        <f t="shared" si="108"/>
        <v>0</v>
      </c>
      <c r="JM44" s="245" t="str">
        <f>IFERROR(VLOOKUP(MATCH(BN44,#REF!,0),#REF!,7),"")</f>
        <v/>
      </c>
      <c r="JN44" t="e">
        <f>HLOOKUP(LEFT(BO44,7),Discharge_Area,MATCH(JO44,LookUps!$B$130:$B$149,1)+2)</f>
        <v>#N/A</v>
      </c>
      <c r="JO44" t="str">
        <f t="shared" si="109"/>
        <v>- S</v>
      </c>
      <c r="JP44" t="e">
        <f>HLOOKUP(LEFT(BO44,7),Discharge_Area,MATCH(JO44,LookUps!$B$130:$B$149,1)+2)</f>
        <v>#N/A</v>
      </c>
      <c r="JQ44" t="e">
        <f t="shared" si="110"/>
        <v>#N/A</v>
      </c>
      <c r="JR44" t="e">
        <f t="shared" si="111"/>
        <v>#N/A</v>
      </c>
      <c r="JS44" t="e">
        <f t="shared" si="112"/>
        <v>#N/A</v>
      </c>
      <c r="JT44" s="532" t="str">
        <f t="shared" si="113"/>
        <v xml:space="preserve"> </v>
      </c>
      <c r="JU44" s="532" t="str">
        <f t="shared" si="114"/>
        <v xml:space="preserve"> </v>
      </c>
      <c r="JV44" s="533" t="str">
        <f t="shared" si="115"/>
        <v xml:space="preserve"> </v>
      </c>
      <c r="JW44" s="534">
        <f t="shared" si="116"/>
        <v>0</v>
      </c>
      <c r="JX44" s="535" t="str">
        <f t="shared" si="207"/>
        <v xml:space="preserve"> </v>
      </c>
      <c r="JY44" s="535" t="str">
        <f t="shared" si="208"/>
        <v xml:space="preserve"> </v>
      </c>
      <c r="JZ44" s="535" t="str">
        <f t="shared" si="209"/>
        <v xml:space="preserve"> </v>
      </c>
      <c r="KA44" s="536" t="str">
        <f t="shared" si="117"/>
        <v xml:space="preserve"> </v>
      </c>
      <c r="KB44" s="535" t="e">
        <f t="shared" si="210"/>
        <v>#VALUE!</v>
      </c>
      <c r="KC44" s="535" t="str">
        <f t="shared" si="118"/>
        <v/>
      </c>
      <c r="KD44" s="537" t="str">
        <f t="shared" si="211"/>
        <v xml:space="preserve"> </v>
      </c>
      <c r="KE44" s="537" t="str">
        <f t="shared" si="212"/>
        <v xml:space="preserve"> </v>
      </c>
      <c r="KF44" s="534">
        <f t="shared" si="119"/>
        <v>0</v>
      </c>
      <c r="KG44" s="535" t="str">
        <f t="shared" si="120"/>
        <v xml:space="preserve"> </v>
      </c>
      <c r="KH44" s="535" t="str">
        <f t="shared" si="121"/>
        <v xml:space="preserve"> </v>
      </c>
      <c r="KI44" s="535" t="str">
        <f t="shared" si="122"/>
        <v xml:space="preserve"> </v>
      </c>
      <c r="KJ44" s="536" t="str">
        <f t="shared" si="123"/>
        <v xml:space="preserve"> </v>
      </c>
      <c r="KK44" s="535" t="str">
        <f t="shared" si="213"/>
        <v xml:space="preserve"> </v>
      </c>
      <c r="KL44" s="535" t="str">
        <f t="shared" si="214"/>
        <v xml:space="preserve"> </v>
      </c>
      <c r="KM44" s="537" t="str">
        <f t="shared" si="124"/>
        <v xml:space="preserve"> </v>
      </c>
      <c r="KN44" s="537" t="str">
        <f t="shared" si="215"/>
        <v xml:space="preserve"> </v>
      </c>
      <c r="KP44">
        <f t="shared" si="125"/>
        <v>0</v>
      </c>
      <c r="LA44" t="e">
        <f t="shared" si="126"/>
        <v>#VALUE!</v>
      </c>
      <c r="LB44" t="e">
        <f t="shared" si="127"/>
        <v>#VALUE!</v>
      </c>
      <c r="LC44" t="e">
        <f t="shared" si="128"/>
        <v>#VALUE!</v>
      </c>
      <c r="LD44" t="e">
        <f t="shared" si="129"/>
        <v>#VALUE!</v>
      </c>
      <c r="LE44" t="e">
        <f t="shared" si="216"/>
        <v>#VALUE!</v>
      </c>
      <c r="LF44">
        <f t="shared" si="130"/>
        <v>0</v>
      </c>
      <c r="LG44" t="e">
        <f t="shared" si="217"/>
        <v>#VALUE!</v>
      </c>
      <c r="LH44" t="str">
        <f t="shared" si="131"/>
        <v xml:space="preserve"> </v>
      </c>
      <c r="LI44">
        <f t="shared" si="218"/>
        <v>1</v>
      </c>
    </row>
    <row r="45" spans="2:321" ht="15" customHeight="1">
      <c r="B45" s="311"/>
      <c r="C45" s="311"/>
      <c r="D45" s="312"/>
      <c r="E45" s="311"/>
      <c r="F45" s="312"/>
      <c r="G45" s="311"/>
      <c r="H45" s="311"/>
      <c r="I45" s="37"/>
      <c r="J45" s="311"/>
      <c r="K45" s="305" t="str">
        <f t="shared" si="132"/>
        <v/>
      </c>
      <c r="L45" s="313"/>
      <c r="M45" s="312"/>
      <c r="N45" s="311"/>
      <c r="O45" s="312"/>
      <c r="P45" s="311"/>
      <c r="Q45" s="305" t="str">
        <f t="shared" si="133"/>
        <v/>
      </c>
      <c r="R45" s="314"/>
      <c r="S45" s="450" t="str">
        <f t="shared" si="0"/>
        <v/>
      </c>
      <c r="T45" s="315"/>
      <c r="U45" s="315"/>
      <c r="W45" s="149" t="str">
        <f t="shared" si="1"/>
        <v xml:space="preserve"> </v>
      </c>
      <c r="X45" s="243" t="str">
        <f t="shared" si="2"/>
        <v xml:space="preserve"> </v>
      </c>
      <c r="Y45" s="150" t="str">
        <f t="shared" si="3"/>
        <v/>
      </c>
      <c r="Z45" s="149" t="str">
        <f t="shared" si="4"/>
        <v xml:space="preserve"> </v>
      </c>
      <c r="AA45" s="98" t="str">
        <f t="shared" si="5"/>
        <v xml:space="preserve"> </v>
      </c>
      <c r="AB45" s="153" t="str">
        <f t="shared" si="6"/>
        <v xml:space="preserve"> </v>
      </c>
      <c r="AC45" s="153" t="str">
        <f t="shared" si="7"/>
        <v xml:space="preserve"> </v>
      </c>
      <c r="AD45" s="148" t="str">
        <f t="shared" si="8"/>
        <v/>
      </c>
      <c r="AE45" s="149" t="str">
        <f t="shared" si="9"/>
        <v/>
      </c>
      <c r="AF45" s="151" t="str">
        <f t="shared" si="10"/>
        <v xml:space="preserve"> </v>
      </c>
      <c r="AG45" s="153" t="str">
        <f t="shared" si="11"/>
        <v xml:space="preserve"> </v>
      </c>
      <c r="AH45" s="98" t="str">
        <f t="shared" si="12"/>
        <v xml:space="preserve"> </v>
      </c>
      <c r="AI45" s="149" t="str">
        <f t="shared" si="13"/>
        <v xml:space="preserve"> </v>
      </c>
      <c r="AK45" s="144" t="str">
        <f t="shared" si="14"/>
        <v xml:space="preserve"> </v>
      </c>
      <c r="AL45" s="144"/>
      <c r="AM45" s="243" t="str">
        <f t="shared" si="15"/>
        <v xml:space="preserve"> </v>
      </c>
      <c r="AN45" s="149" t="str">
        <f t="shared" si="134"/>
        <v xml:space="preserve"> </v>
      </c>
      <c r="AO45" s="144" t="str">
        <f>IF(JB45&gt;0,IF(GI45=10,-R45*1.085*(Calculation!$F$6-Calculation!$F$13)*$S$14," "),"")</f>
        <v/>
      </c>
      <c r="AP45" s="144" t="str">
        <f t="shared" si="16"/>
        <v/>
      </c>
      <c r="AQ45" s="56" t="str">
        <f t="shared" si="17"/>
        <v/>
      </c>
      <c r="AR45" s="144" t="str">
        <f t="shared" si="18"/>
        <v/>
      </c>
      <c r="AS45" s="176" t="str">
        <f t="shared" si="19"/>
        <v/>
      </c>
      <c r="AT45" s="176" t="str">
        <f t="shared" si="135"/>
        <v xml:space="preserve"> </v>
      </c>
      <c r="AU45" s="176" t="str">
        <f t="shared" si="20"/>
        <v/>
      </c>
      <c r="AV45" s="177" t="str">
        <f t="shared" si="21"/>
        <v xml:space="preserve"> </v>
      </c>
      <c r="AW45" s="144" t="str">
        <f t="shared" si="22"/>
        <v xml:space="preserve"> </v>
      </c>
      <c r="AX45" s="144" t="str">
        <f t="shared" si="23"/>
        <v xml:space="preserve"> </v>
      </c>
      <c r="AY45" s="152" t="str">
        <f t="shared" si="24"/>
        <v xml:space="preserve"> </v>
      </c>
      <c r="AZ45" s="246" t="str">
        <f t="shared" si="25"/>
        <v/>
      </c>
      <c r="BA45" s="176" t="str">
        <f t="shared" si="26"/>
        <v xml:space="preserve"> </v>
      </c>
      <c r="BB45" s="176" t="str">
        <f t="shared" si="27"/>
        <v xml:space="preserve"> </v>
      </c>
      <c r="BC45" s="195"/>
      <c r="BD45" s="316"/>
      <c r="BE45" s="317"/>
      <c r="BF45" s="318"/>
      <c r="BG45" s="318"/>
      <c r="BH45" s="144" t="str">
        <f t="shared" si="219"/>
        <v xml:space="preserve"> </v>
      </c>
      <c r="BI45" s="176" t="str">
        <f t="shared" si="28"/>
        <v/>
      </c>
      <c r="BJ45" s="144" t="str">
        <f t="shared" si="220"/>
        <v/>
      </c>
      <c r="BK45" s="246" t="str">
        <f t="shared" si="29"/>
        <v/>
      </c>
      <c r="BL45" s="144" t="str">
        <f t="shared" si="221"/>
        <v/>
      </c>
      <c r="BM45" s="246" t="str">
        <f t="shared" si="30"/>
        <v/>
      </c>
      <c r="BN45" s="337" t="str">
        <f t="shared" si="136"/>
        <v/>
      </c>
      <c r="BO45" s="371" t="str">
        <f t="shared" si="137"/>
        <v/>
      </c>
      <c r="BP45" s="328" t="str">
        <f t="shared" si="222"/>
        <v xml:space="preserve"> </v>
      </c>
      <c r="BQ45" s="347" t="str">
        <f t="shared" si="138"/>
        <v xml:space="preserve"> </v>
      </c>
      <c r="BR45" s="353" t="str">
        <f t="shared" si="223"/>
        <v xml:space="preserve"> </v>
      </c>
      <c r="BS45" s="626" t="str">
        <f>IF(L45&gt;0,IF(Calculation!P45="M13",BR45*3.1416*(0.134^2)/(4*144),IF(Calculation!P45="M17",BR45*3.1416*(0.165^2)/(4*144),IF(Calculation!P45="M20",BR45*3.1416*(0.198^2)/(4*144),IF(Calculation!P45="M23",BR45*3.1416*(0.228^2)/(4*144),IF(Calculation!P45="M27",BR45*3.1416*(0.269^2)/(4*144),BR45*3.1416*(0.307^2)/(4*144))))))," ")</f>
        <v xml:space="preserve"> </v>
      </c>
      <c r="BT45" s="353" t="str">
        <f>IF(L45&gt;0,IF(BS45&gt;0,R45/Calculation!BS45,0)," ")</f>
        <v xml:space="preserve"> </v>
      </c>
      <c r="BU45" s="438" t="e">
        <f t="shared" ca="1" si="31"/>
        <v>#VALUE!</v>
      </c>
      <c r="BV45" s="449" t="e">
        <f ca="1">INDEX(INDIRECT(VLOOKUP(LEFT(BO45,7),CLU!$Z$3:$AH$18,2)),GN45,GR45)</f>
        <v>#N/A</v>
      </c>
      <c r="BW45" s="433" t="e">
        <f ca="1">INDEX(INDIRECT(VLOOKUP(LEFT(BO45,7),CLU!$Z$3:$AH$18,3)),GN45,GR45)</f>
        <v>#N/A</v>
      </c>
      <c r="BX45" s="433" t="e">
        <f ca="1">INDEX(INDIRECT(VLOOKUP(LEFT(BO45,7),CLU!$Z$3:$AH$18,4)),GN45,GR45)</f>
        <v>#N/A</v>
      </c>
      <c r="BY45" s="433" t="e">
        <f ca="1">INDEX(INDIRECT(VLOOKUP(LEFT(BO45,7),CLU!$Z$3:$AH$18,9)),((M45-2)*(6-COUNTBLANK(GT45:GY45)))+GJ45)</f>
        <v>#N/A</v>
      </c>
      <c r="BZ45" s="426" t="e">
        <f t="shared" ca="1" si="139"/>
        <v>#N/A</v>
      </c>
      <c r="CA45" s="424" t="e">
        <f t="shared" ca="1" si="140"/>
        <v>#N/A</v>
      </c>
      <c r="CB45" s="429" t="e">
        <f ca="1">INDEX(INDIRECT(VLOOKUP(LEFT(BO45,7),CLU!$Z$3:$AH$18,2)),GN45,GS45)</f>
        <v>#N/A</v>
      </c>
      <c r="CC45" s="342" t="e">
        <f ca="1">INDEX(INDIRECT(VLOOKUP(LEFT(BO45,7),CLU!$Z$3:$AH$18,3)),GN45,GS45)</f>
        <v>#N/A</v>
      </c>
      <c r="CD45" s="342" t="e">
        <f ca="1">INDEX(INDIRECT(VLOOKUP(LEFT(BO45,7),CLU!$Z$3:$AH$18,4)),GN45,GS45)</f>
        <v>#N/A</v>
      </c>
      <c r="CE45" s="426" t="e">
        <f t="shared" ca="1" si="141"/>
        <v>#N/A</v>
      </c>
      <c r="CF45" s="440">
        <f t="shared" si="142"/>
        <v>0</v>
      </c>
      <c r="CG45" s="431" t="e">
        <f ca="1">INDEX(INDIRECT(VLOOKUP(LEFT(BO45,7),CLU!$Z$3:$AH$18,2)),GQ45,GR45)</f>
        <v>#N/A</v>
      </c>
      <c r="CH45" s="431" t="e">
        <f ca="1">INDEX(INDIRECT(VLOOKUP(LEFT(BO45,7),CLU!$Z$3:$AH$18,3)),GQ45,GR45)</f>
        <v>#N/A</v>
      </c>
      <c r="CI45" s="431" t="e">
        <f ca="1">INDEX(INDIRECT(VLOOKUP(LEFT(BO45,7),CLU!$Z$3:$AH$18,4)),GQ45,GR45)</f>
        <v>#N/A</v>
      </c>
      <c r="CJ45" s="448" t="e">
        <f t="shared" ca="1" si="143"/>
        <v>#N/A</v>
      </c>
      <c r="CK45" s="431" t="e">
        <f t="shared" ca="1" si="144"/>
        <v>#N/A</v>
      </c>
      <c r="CL45" s="440" t="e">
        <f t="shared" ca="1" si="145"/>
        <v>#N/A</v>
      </c>
      <c r="CM45" s="431" t="e">
        <f ca="1">INDEX(INDIRECT(VLOOKUP(LEFT(BO45,7),CLU!$Z$3:$AH$18,2)),GQ45,GS45)</f>
        <v>#N/A</v>
      </c>
      <c r="CN45" s="431" t="e">
        <f ca="1">INDEX(INDIRECT(VLOOKUP(LEFT(BO45,7),CLU!$Z$3:$AH$18,3)),GQ45,GS45)</f>
        <v>#N/A</v>
      </c>
      <c r="CO45" s="431" t="e">
        <f ca="1">INDEX(INDIRECT(VLOOKUP(LEFT(BO45,7),CLU!$Z$3:$AH$18,4)),GQ45,GS45)</f>
        <v>#N/A</v>
      </c>
      <c r="CP45" s="431" t="e">
        <f t="shared" ca="1" si="146"/>
        <v>#N/A</v>
      </c>
      <c r="CQ45" s="440">
        <f t="shared" si="147"/>
        <v>0</v>
      </c>
      <c r="CR45" s="51" t="e">
        <f t="shared" ca="1" si="148"/>
        <v>#N/A</v>
      </c>
      <c r="CS45" s="439" t="e">
        <f t="shared" ca="1" si="149"/>
        <v>#VALUE!</v>
      </c>
      <c r="CT45" s="51" t="e">
        <f t="shared" ca="1" si="150"/>
        <v>#VALUE!</v>
      </c>
      <c r="CU45" s="10"/>
      <c r="CV45" s="51" t="e">
        <f t="shared" ca="1" si="34"/>
        <v>#VALUE!</v>
      </c>
      <c r="CW45" s="51">
        <f t="shared" si="151"/>
        <v>0</v>
      </c>
      <c r="CX45" s="439" t="e">
        <f t="shared" ca="1" si="152"/>
        <v>#VALUE!</v>
      </c>
      <c r="CY45" s="51" t="e">
        <f t="shared" ca="1" si="153"/>
        <v>#VALUE!</v>
      </c>
      <c r="CZ45" s="10"/>
      <c r="DA45" s="51" t="e">
        <f t="shared" ca="1" si="154"/>
        <v>#VALUE!</v>
      </c>
      <c r="DB45" s="347" t="e">
        <f ca="1">INDEX(INDIRECT(VLOOKUP(LEFT(BO45,7),CLU!$Z$3:$AI$18,10)),((M45-2)*(6-COUNTBLANK(GT45:GY45)))+GJ45)*LI45</f>
        <v>#N/A</v>
      </c>
      <c r="DC45" s="347" t="str">
        <f>IF(L45&gt;0,((R45/Worksheet!$I$15)/DB45)^2," ")</f>
        <v xml:space="preserve"> </v>
      </c>
      <c r="DD45" s="602" t="str">
        <f t="shared" si="224"/>
        <v xml:space="preserve"> </v>
      </c>
      <c r="DE45" s="347" t="str">
        <f t="shared" si="35"/>
        <v xml:space="preserve"> </v>
      </c>
      <c r="DF45" s="356" t="e">
        <f ca="1">INDEX(INDIRECT(VLOOKUP(LEFT(BO45,7),CLU!$Z$3:$AH$18,8)),((M45-2)*(6-COUNTBLANK(GT45:GY45)))+GJ45)</f>
        <v>#N/A</v>
      </c>
      <c r="DG45" s="347" t="str">
        <f t="shared" si="36"/>
        <v xml:space="preserve"> </v>
      </c>
      <c r="DH45" s="357" t="str">
        <f t="shared" si="37"/>
        <v xml:space="preserve"> </v>
      </c>
      <c r="DI45" s="355" t="str">
        <f t="shared" si="38"/>
        <v xml:space="preserve"> </v>
      </c>
      <c r="DJ45" s="245" t="e">
        <f ca="1">INDEX(INDIRECT(VLOOKUP(LEFT(BO45,7),CLU!$Z$3:$AH$18,5)),GL45,GK45)</f>
        <v>#N/A</v>
      </c>
      <c r="DK45" s="245" t="e">
        <f ca="1">INDEX(INDIRECT(VLOOKUP(LEFT(BO45,7),CLU!$Z$3:$AH$18,6)),GL45,GK45)</f>
        <v>#N/A</v>
      </c>
      <c r="DL45" s="355">
        <f>(Calculation!R45*0.69143*(Calculation!$BQ$8-Calculation!$F$8))*$S$14</f>
        <v>0</v>
      </c>
      <c r="DM45" s="359" t="e">
        <f t="shared" si="160"/>
        <v>#VALUE!</v>
      </c>
      <c r="DN45" s="611">
        <f t="shared" si="161"/>
        <v>0</v>
      </c>
      <c r="DO45" s="359">
        <f t="shared" si="162"/>
        <v>100</v>
      </c>
      <c r="DP45" s="359">
        <f t="shared" si="163"/>
        <v>0</v>
      </c>
      <c r="DQ45" s="360"/>
      <c r="DR45" s="245" t="e">
        <f ca="1">INDEX(INDIRECT(VLOOKUP(LEFT(BO45,7),CLU!$Z$3:$AH$18,7)),M45-1,1)</f>
        <v>#N/A</v>
      </c>
      <c r="DS45" s="245" t="e">
        <f ca="1">INDEX(INDIRECT(VLOOKUP(LEFT(BO45,7),CLU!$Z$3:$AH$18,7)),M45-1,2)</f>
        <v>#N/A</v>
      </c>
      <c r="DT45" s="245" t="e">
        <f ca="1">INDEX(INDIRECT(VLOOKUP(LEFT(BO45,7),CLU!$Z$3:$AH$18,7)),M45-1,3)</f>
        <v>#N/A</v>
      </c>
      <c r="DU45" s="245" t="e">
        <f ca="1">INDEX(INDIRECT(VLOOKUP(LEFT(BO45,7),CLU!$Z$3:$AH$18,7)),M45-1,4)</f>
        <v>#N/A</v>
      </c>
      <c r="DV45" s="361" t="e">
        <f ca="1">INDEX(INDIRECT(VLOOKUP(LEFT(BO45,7),CLU!$Z$3:$AH$18,7)),M45-1,4+LEFT(DZ45,1)*0.5)</f>
        <v>#N/A</v>
      </c>
      <c r="DW45" s="245" t="e">
        <f ca="1">INDEX(INDIRECT(VLOOKUP(LEFT(BO45,7),CLU!$Z$3:$AH$18,7)),M45-1,8)</f>
        <v>#N/A</v>
      </c>
      <c r="DX45" s="361" t="str">
        <f t="shared" si="39"/>
        <v xml:space="preserve"> </v>
      </c>
      <c r="DY45" s="361" t="str">
        <f t="shared" si="40"/>
        <v xml:space="preserve"> </v>
      </c>
      <c r="DZ45" s="361" t="str">
        <f t="shared" si="41"/>
        <v xml:space="preserve"> </v>
      </c>
      <c r="EA45" s="362" t="str">
        <f t="shared" si="42"/>
        <v xml:space="preserve"> </v>
      </c>
      <c r="EB45" s="624" t="str">
        <f t="shared" si="168"/>
        <v xml:space="preserve"> </v>
      </c>
      <c r="EC45" s="361" t="e">
        <f ca="1">INDEX(INDIRECT(VLOOKUP(LEFT(BO45,7),CLU!$Z$3:$AH$18,7)),M45-1,4+LEFT(DZ45,1)*0.5)</f>
        <v>#N/A</v>
      </c>
      <c r="ED45" s="362" t="str">
        <f t="shared" si="43"/>
        <v xml:space="preserve"> </v>
      </c>
      <c r="EE45" s="361" t="str">
        <f t="shared" si="44"/>
        <v xml:space="preserve"> </v>
      </c>
      <c r="EF45" s="362" t="str">
        <f>IF(L45&gt;0,IF(BR45&gt;0,IF(EE45="2P",IF(Calculation!DZ45="2P",IF(Calculation!DS45=13.75,IF(Calculation!DR45=13,Worksheet!$BD$43,IF(Calculation!DR45=37,Worksheet!$BD$44,Worksheet!$BD$45)),IF(Calculation!DS45=10,IF(Calculation!DR45=18,Worksheet!$BD$29,IF(Calculation!DR45=30,Worksheet!$BD$30,IF(Calculation!DR45=42,Worksheet!$BD$31,IF(Calculation!DR45=54,Worksheet!$BD$32,IF(Calculation!DR45=66,Worksheet!$BD$33,IF(Calculation!DR45=78,Worksheet!$BD$34,IF(Calculation!DR45=90,Worksheet!$BD$35,IF(Calculation!DR45=102,Worksheet!$BD$36,Worksheet!$BD$37)))))))),IF(Calculation!DS45=12.5,IF(Calculation!DR45=18,Worksheet!$BD$38,IF(Calculation!DR45=Worksheet!$BD$39,IF(Calculation!DR45=42,Worksheet!$BD$40,IF(Calculation!DR45=54,Worksheet!$BD$41,Worksheet!$BD$42)))),IF(Calculation!DR45=18,Worksheet!$BD$11,IF(Calculation!DR45=30,Worksheet!$BD$12,IF(Calculation!DR45=42,Worksheet!$BD$13,IF(Calculation!DR45=54,Worksheet!$BD$14,IF(Calculation!DR45=66,Worksheet!$BD$15,IF(Calculation!DR45=78,Worksheet!$BD$16,IF(Calculation!DR45=90,Worksheet!$BD$17,IF(Calculation!DR45=102,Worksheet!$BD$18,Worksheet!$BD$19))))))))))),IF(Calculation!DS45=13.75,IF(Calculation!DR45=13,Worksheet!$BD$78,IF(Calculation!DR45=37,Worksheet!$BD$79,Worksheet!$BD$80)),IF(Calculation!DS45=10,IF(Calculation!DR45=18,Worksheet!$BD$64,IF(Calculation!DR45=30,Worksheet!$BD$65,IF(Calculation!DR45=42,Worksheet!$BD$66,IF(Calculation!DR45=54,Worksheet!$BD$68,IF(Calculation!DR45=66,Worksheet!$BD$68,IF(Calculation!DR45=78,Worksheet!$BD$69,IF(Calculation!DR45=90,Worksheet!$BD$70,IF(Calculation!DR45=102,Worksheet!$BD$71,Worksheet!$BD$72)))))))),IF(Calculation!DS45=12.5,IF(Calculation!DR45=18,Worksheet!$BD$73,IF(Calculation!DR45=Worksheet!$BD$74,IF(Calculation!DR45=42,Worksheet!$BD$75,IF(Calculation!DR45=54,Worksheet!$BD$76,Worksheet!$BD$77)))),IF(Calculation!DR45=18,Worksheet!$BD$55,IF(Calculation!DR45=30,Worksheet!$BD$56,IF(Calculation!DR45=42,Worksheet!$BD$57,IF(Calculation!DR45=54,Worksheet!$BD$58,IF(Calculation!DR45=66,Worksheet!$BD$59,IF(Calculation!DR45=78,Worksheet!$BD$60,IF(Calculation!DR45=90,Worksheet!$BD$61,IF(Calculation!DR45=102,Worksheet!$BD$62,Worksheet!$BD$63)))))))))))),5),0)," ")</f>
        <v xml:space="preserve"> </v>
      </c>
      <c r="EG45" s="361" t="str">
        <f t="shared" si="45"/>
        <v xml:space="preserve"> </v>
      </c>
      <c r="EH45" s="361" t="e">
        <f ca="1">INDEX(INDIRECT(VLOOKUP(LEFT(BO45,7),CLU!$Z$3:$AH$18,7)),M45-1,3+LEFT(DZ45,1))</f>
        <v>#N/A</v>
      </c>
      <c r="EI45" s="362" t="str">
        <f t="shared" si="46"/>
        <v xml:space="preserve"> </v>
      </c>
      <c r="EJ45" s="363" t="str">
        <f t="shared" si="47"/>
        <v xml:space="preserve"> </v>
      </c>
      <c r="EK45" s="363" t="str">
        <f t="shared" si="48"/>
        <v xml:space="preserve"> </v>
      </c>
      <c r="EL45" s="363" t="str">
        <f t="shared" si="49"/>
        <v xml:space="preserve"> </v>
      </c>
      <c r="EM45" s="362" t="str">
        <f>IF(L45&gt;0,IF(BR45&gt;0,(Calculation!T45/ED45)^2,0)," ")</f>
        <v xml:space="preserve"> </v>
      </c>
      <c r="EN45" s="362" t="str">
        <f>IF(L45&gt;0,IF(O45="2 Pipe (Cooling)","N/A",IF(BR45&gt;0,(Calculation!U45/EI45)^2,0))," ")</f>
        <v xml:space="preserve"> </v>
      </c>
      <c r="EO45" s="361" t="str">
        <f t="shared" si="50"/>
        <v/>
      </c>
      <c r="EP45" s="361" t="str">
        <f t="shared" si="51"/>
        <v/>
      </c>
      <c r="EQ45" s="361" t="str">
        <f t="shared" si="52"/>
        <v/>
      </c>
      <c r="ER45" s="361" t="str">
        <f t="shared" si="53"/>
        <v/>
      </c>
      <c r="ES45" s="361" t="str">
        <f t="shared" si="54"/>
        <v/>
      </c>
      <c r="ET45" s="361" t="str">
        <f t="shared" si="55"/>
        <v/>
      </c>
      <c r="EU45" s="361" t="str">
        <f t="shared" si="56"/>
        <v/>
      </c>
      <c r="EV45" s="361" t="str">
        <f t="shared" si="57"/>
        <v/>
      </c>
      <c r="EW45" s="361" t="str">
        <f t="shared" si="58"/>
        <v/>
      </c>
      <c r="EX45" s="361" t="str">
        <f t="shared" si="169"/>
        <v>1 slot, 1 way</v>
      </c>
      <c r="EY45" s="361" t="str">
        <f t="shared" si="170"/>
        <v xml:space="preserve"> </v>
      </c>
      <c r="EZ45" s="361" t="str">
        <f t="shared" si="171"/>
        <v xml:space="preserve"> </v>
      </c>
      <c r="FA45" s="361" t="str">
        <f t="shared" si="172"/>
        <v xml:space="preserve"> </v>
      </c>
      <c r="FB45" s="361" t="str">
        <f t="shared" si="173"/>
        <v xml:space="preserve"> </v>
      </c>
      <c r="FC45" s="361"/>
      <c r="FD45" s="361" t="str">
        <f>IF(J45&gt;0,IF(Calculation!R45&lt;=70,4,IF(Calculation!R45&lt;=110,5,IF(Calculation!R45&lt;=160,6,IF(Calculation!R45&lt;=300,8,"10 EO")))),"")</f>
        <v/>
      </c>
      <c r="FE45" s="361" t="str">
        <f t="shared" si="174"/>
        <v/>
      </c>
      <c r="FF45" s="361" t="str">
        <f t="shared" si="175"/>
        <v/>
      </c>
      <c r="FG45" s="361" t="e">
        <f t="shared" si="60"/>
        <v>#N/A</v>
      </c>
      <c r="FH45" s="361">
        <f t="shared" si="61"/>
        <v>0</v>
      </c>
      <c r="FI45" s="361" t="e">
        <f t="shared" si="62"/>
        <v>#DIV/0!</v>
      </c>
      <c r="FJ45" s="361"/>
      <c r="FK45" s="356" t="e">
        <f t="shared" si="63"/>
        <v>#VALUE!</v>
      </c>
      <c r="FL45" s="361"/>
      <c r="FM45" s="361"/>
      <c r="FN45" s="362" t="str">
        <f t="shared" si="176"/>
        <v xml:space="preserve"> </v>
      </c>
      <c r="FO45" s="362" t="str">
        <f t="shared" si="177"/>
        <v xml:space="preserve"> </v>
      </c>
      <c r="FP45" s="362">
        <f t="shared" si="178"/>
        <v>0</v>
      </c>
      <c r="FQ45" s="361">
        <f t="shared" si="64"/>
        <v>0</v>
      </c>
      <c r="FR45" s="362" t="str">
        <f>IF(L45&gt;0,IF(J45="CBAL2",Worksheet!$P$67,IF(J45="CBE2-24",Worksheet!$Q$67,IF(J45="CBAM",Worksheet!$R$67,IF(J45="CBLV",Worksheet!$S$67,IF(J45="CBAB",Worksheet!$U$67,IF(J45="CBAW",Worksheet!$X$67,IF(J45="CBE2-12",Worksheet!$Y$67,IF(J45="CBAL2",Worksheet!$Z$67,"N/A"))))))))," ")</f>
        <v xml:space="preserve"> </v>
      </c>
      <c r="FS45" s="362" t="str">
        <f>IF(L45&gt;0,IF(J45="CBAL2",Worksheet!$P$68,IF(J45="CBE2-24",Worksheet!$Q$68,IF(J45="CBAM",Worksheet!$R$68,IF(J45="CBLV",Worksheet!$S$68,IF(J45="CBAB",Worksheet!$U$68,IF(J45="CBAW",Worksheet!$X$68,IF(J45="CBE2-12",Worksheet!$Y$68,IF(J45="CBAL2",Worksheet!$Z$68,"N/A"))))))))," ")</f>
        <v xml:space="preserve"> </v>
      </c>
      <c r="FT45" s="362" t="str">
        <f>IF(L45&gt;0,IF(J45="CBAL2",Worksheet!$P$69,IF(J45="CBE2-24",Worksheet!$Q$69,IF(J45="CBAM",Worksheet!$R$69,IF(J45="CBLV",Worksheet!$S$69,IF(J45="CBAB",Worksheet!$U$69,IF(J45="CBAW",Worksheet!$X$69,IF(J45="CBE2-12",Worksheet!$Y$69,IF(J45="CBAL2",Worksheet!$Z$69,"N/A"))))))))," ")</f>
        <v xml:space="preserve"> </v>
      </c>
      <c r="FU45" s="361" t="str">
        <f t="shared" si="179"/>
        <v xml:space="preserve"> </v>
      </c>
      <c r="FV45" s="362" t="str">
        <f t="shared" si="180"/>
        <v xml:space="preserve"> </v>
      </c>
      <c r="FW45" s="362" t="str">
        <f t="shared" si="181"/>
        <v xml:space="preserve"> </v>
      </c>
      <c r="FX45" s="362" t="str">
        <f t="shared" si="182"/>
        <v xml:space="preserve"> </v>
      </c>
      <c r="FY45" s="355" t="str">
        <f t="shared" si="183"/>
        <v xml:space="preserve"> </v>
      </c>
      <c r="FZ45" s="361" t="str">
        <f t="shared" si="184"/>
        <v xml:space="preserve"> </v>
      </c>
      <c r="GA45" s="347" t="str">
        <f t="shared" si="185"/>
        <v xml:space="preserve"> </v>
      </c>
      <c r="GB45" s="355" t="str">
        <f t="shared" si="186"/>
        <v xml:space="preserve"> </v>
      </c>
      <c r="GC45" s="328" t="str">
        <f t="shared" si="187"/>
        <v xml:space="preserve"> </v>
      </c>
      <c r="GD45" s="361" t="str">
        <f t="shared" si="188"/>
        <v xml:space="preserve"> </v>
      </c>
      <c r="GE45" s="347" t="str">
        <f t="shared" si="189"/>
        <v xml:space="preserve"> </v>
      </c>
      <c r="GF45" s="361" t="str">
        <f t="shared" si="190"/>
        <v xml:space="preserve"> </v>
      </c>
      <c r="GG45" s="347" t="str">
        <f t="shared" si="191"/>
        <v xml:space="preserve"> </v>
      </c>
      <c r="GH45" s="364">
        <f t="shared" si="78"/>
        <v>0</v>
      </c>
      <c r="GI45" s="362">
        <f t="shared" si="192"/>
        <v>2</v>
      </c>
      <c r="GJ45" s="433" t="e">
        <f>IF(6-COUNTBLANK(GT45:GY45)=4,MATCH(MID(BO45,9,3),CLU!$H$16:$K$16),MATCH(MID(BO45,9,3),CLU!$H$13:$M$13))</f>
        <v>#N/A</v>
      </c>
      <c r="GK45" s="433" t="e">
        <f>HLOOKUP(VALUE(BP45),CLU!$H$9:$M$10,2)</f>
        <v>#VALUE!</v>
      </c>
      <c r="GL45" s="433" t="e">
        <f ca="1">MATCH(BU45,CLU!$H$2:$V$2,1)</f>
        <v>#VALUE!</v>
      </c>
      <c r="GM45" s="433" t="e">
        <f t="shared" ca="1" si="193"/>
        <v>#VALUE!</v>
      </c>
      <c r="GN45" s="433" t="e">
        <f t="shared" ca="1" si="194"/>
        <v>#VALUE!</v>
      </c>
      <c r="GO45" s="433" t="e">
        <f t="shared" ca="1" si="195"/>
        <v>#VALUE!</v>
      </c>
      <c r="GP45" s="433" t="e">
        <f t="shared" ca="1" si="196"/>
        <v>#VALUE!</v>
      </c>
      <c r="GQ45" s="433" t="e">
        <f t="shared" ca="1" si="197"/>
        <v>#VALUE!</v>
      </c>
      <c r="GR45" s="433" t="e">
        <f ca="1">MATCH(T45,INDIRECT(VLOOKUP(CONCATENATE(LEFT(BO45,7),"-",MID(BO45,13,1)),CLU!$P$3:$Q$16,2)),1)</f>
        <v>#N/A</v>
      </c>
      <c r="GS45" s="433" t="e">
        <f ca="1">MATCH(U45,INDIRECT(VLOOKUP(CONCATENATE(LEFT(BO45,7),"-",MID(BO45,13,1)),CLU!$P$3:$Q$16,2)),1)</f>
        <v>#N/A</v>
      </c>
      <c r="GT45" s="347" t="s">
        <v>512</v>
      </c>
      <c r="GU45" s="97" t="s">
        <v>513</v>
      </c>
      <c r="GV45" s="97" t="str">
        <f t="shared" si="198"/>
        <v>M23</v>
      </c>
      <c r="GW45" s="97" t="str">
        <f t="shared" si="199"/>
        <v>M31</v>
      </c>
      <c r="GX45" s="97" t="str">
        <f t="shared" si="200"/>
        <v/>
      </c>
      <c r="GY45" s="97" t="str">
        <f t="shared" si="201"/>
        <v/>
      </c>
      <c r="GZ45" s="481"/>
      <c r="HA45" s="288"/>
      <c r="HB45" s="240"/>
      <c r="HC45" s="240"/>
      <c r="HD45" s="240"/>
      <c r="HE45" s="240"/>
      <c r="HF45" s="240"/>
      <c r="HG45" s="240"/>
      <c r="HH45" s="240"/>
      <c r="HI45" s="240"/>
      <c r="HJ45" s="240"/>
      <c r="HK45" s="240"/>
      <c r="HL45" s="240"/>
      <c r="HM45" s="240"/>
      <c r="HN45" s="240"/>
      <c r="HO45" s="240"/>
      <c r="HP45" s="240"/>
      <c r="HQ45" s="240"/>
      <c r="HR45" s="240"/>
      <c r="HS45" s="240"/>
      <c r="HT45" s="240"/>
      <c r="HU45" s="240"/>
      <c r="HV45" s="245"/>
      <c r="HW45" s="245" t="b">
        <v>1</v>
      </c>
      <c r="HX45" s="245" t="str">
        <f t="shared" si="79"/>
        <v/>
      </c>
      <c r="HY45" s="245" t="e">
        <f t="shared" si="80"/>
        <v>#DIV/0!</v>
      </c>
      <c r="HZ45" s="245" t="e">
        <f t="shared" si="81"/>
        <v>#DIV/0!</v>
      </c>
      <c r="IA45" s="245">
        <f t="shared" si="82"/>
        <v>0</v>
      </c>
      <c r="IB45" s="245"/>
      <c r="IC45" t="b">
        <f t="shared" si="83"/>
        <v>1</v>
      </c>
      <c r="ID45" s="245" t="b">
        <f t="shared" si="84"/>
        <v>1</v>
      </c>
      <c r="IE45" s="245" t="b">
        <f t="shared" si="85"/>
        <v>1</v>
      </c>
      <c r="IF45" s="245" t="b">
        <f t="shared" si="86"/>
        <v>0</v>
      </c>
      <c r="IG45" s="245" t="b">
        <f t="shared" si="87"/>
        <v>1</v>
      </c>
      <c r="IH45" s="245" t="b">
        <f t="shared" si="88"/>
        <v>1</v>
      </c>
      <c r="II45" s="245">
        <f t="shared" si="202"/>
        <v>0</v>
      </c>
      <c r="IJ45" s="245" t="e">
        <f t="shared" si="89"/>
        <v>#VALUE!</v>
      </c>
      <c r="IK45" s="245" t="e">
        <f t="shared" si="90"/>
        <v>#VALUE!</v>
      </c>
      <c r="IL45" s="245"/>
      <c r="IM45" s="245" t="e">
        <f t="shared" si="203"/>
        <v>#N/A</v>
      </c>
      <c r="IN45" s="245" t="e">
        <f t="shared" si="204"/>
        <v>#N/A</v>
      </c>
      <c r="IO45" s="245"/>
      <c r="IP45" s="245"/>
      <c r="IQ45" s="245" t="str">
        <f t="shared" si="91"/>
        <v/>
      </c>
      <c r="IR45" s="245" t="str">
        <f>IF(J45="","",VLOOKUP(J45,Worksheet!$R$4:$T$14,2))</f>
        <v/>
      </c>
      <c r="IS45" s="245"/>
      <c r="IT45" s="245">
        <f t="shared" si="92"/>
        <v>0</v>
      </c>
      <c r="IU45" s="245">
        <f t="shared" si="93"/>
        <v>0</v>
      </c>
      <c r="IV45" s="245">
        <f t="shared" si="94"/>
        <v>0</v>
      </c>
      <c r="IW45" s="245">
        <f t="shared" si="95"/>
        <v>0</v>
      </c>
      <c r="IX45" s="245">
        <f t="shared" si="205"/>
        <v>0</v>
      </c>
      <c r="IY45" s="245">
        <f t="shared" si="96"/>
        <v>0</v>
      </c>
      <c r="IZ45" s="245">
        <f t="shared" si="97"/>
        <v>0</v>
      </c>
      <c r="JA45">
        <f t="shared" si="98"/>
        <v>0</v>
      </c>
      <c r="JB45">
        <f t="shared" si="206"/>
        <v>0</v>
      </c>
      <c r="JC45">
        <f t="shared" si="99"/>
        <v>0</v>
      </c>
      <c r="JD45">
        <f t="shared" si="100"/>
        <v>0</v>
      </c>
      <c r="JE45">
        <f t="shared" si="101"/>
        <v>0</v>
      </c>
      <c r="JF45">
        <f t="shared" si="102"/>
        <v>0</v>
      </c>
      <c r="JG45">
        <f t="shared" si="103"/>
        <v>0</v>
      </c>
      <c r="JH45">
        <f t="shared" si="104"/>
        <v>0</v>
      </c>
      <c r="JI45">
        <f t="shared" si="105"/>
        <v>0</v>
      </c>
      <c r="JJ45" s="447">
        <f t="shared" si="106"/>
        <v>0</v>
      </c>
      <c r="JK45" s="447">
        <f t="shared" si="107"/>
        <v>0</v>
      </c>
      <c r="JL45">
        <f t="shared" si="108"/>
        <v>0</v>
      </c>
      <c r="JM45" s="245" t="str">
        <f>IFERROR(VLOOKUP(MATCH(BN45,#REF!,0),#REF!,7),"")</f>
        <v/>
      </c>
      <c r="JN45" t="e">
        <f>HLOOKUP(LEFT(BO45,7),Discharge_Area,MATCH(JO45,LookUps!$B$130:$B$149,1)+2)</f>
        <v>#N/A</v>
      </c>
      <c r="JO45" t="str">
        <f t="shared" si="109"/>
        <v>- S</v>
      </c>
      <c r="JP45" t="e">
        <f>HLOOKUP(LEFT(BO45,7),Discharge_Area,MATCH(JO45,LookUps!$B$130:$B$149,1)+2)</f>
        <v>#N/A</v>
      </c>
      <c r="JQ45" t="e">
        <f t="shared" si="110"/>
        <v>#N/A</v>
      </c>
      <c r="JR45" t="e">
        <f t="shared" si="111"/>
        <v>#N/A</v>
      </c>
      <c r="JS45" t="e">
        <f t="shared" si="112"/>
        <v>#N/A</v>
      </c>
      <c r="JT45" s="532" t="str">
        <f t="shared" si="113"/>
        <v xml:space="preserve"> </v>
      </c>
      <c r="JU45" s="532" t="str">
        <f t="shared" si="114"/>
        <v xml:space="preserve"> </v>
      </c>
      <c r="JV45" s="533" t="str">
        <f t="shared" si="115"/>
        <v xml:space="preserve"> </v>
      </c>
      <c r="JW45" s="534">
        <f t="shared" si="116"/>
        <v>0</v>
      </c>
      <c r="JX45" s="535" t="str">
        <f t="shared" si="207"/>
        <v xml:space="preserve"> </v>
      </c>
      <c r="JY45" s="535" t="str">
        <f t="shared" si="208"/>
        <v xml:space="preserve"> </v>
      </c>
      <c r="JZ45" s="535" t="str">
        <f t="shared" si="209"/>
        <v xml:space="preserve"> </v>
      </c>
      <c r="KA45" s="536" t="str">
        <f t="shared" si="117"/>
        <v xml:space="preserve"> </v>
      </c>
      <c r="KB45" s="535" t="e">
        <f t="shared" si="210"/>
        <v>#VALUE!</v>
      </c>
      <c r="KC45" s="535" t="str">
        <f t="shared" si="118"/>
        <v/>
      </c>
      <c r="KD45" s="537" t="str">
        <f t="shared" si="211"/>
        <v xml:space="preserve"> </v>
      </c>
      <c r="KE45" s="537" t="str">
        <f t="shared" si="212"/>
        <v xml:space="preserve"> </v>
      </c>
      <c r="KF45" s="534">
        <f t="shared" si="119"/>
        <v>0</v>
      </c>
      <c r="KG45" s="535" t="str">
        <f t="shared" si="120"/>
        <v xml:space="preserve"> </v>
      </c>
      <c r="KH45" s="535" t="str">
        <f t="shared" si="121"/>
        <v xml:space="preserve"> </v>
      </c>
      <c r="KI45" s="535" t="str">
        <f t="shared" si="122"/>
        <v xml:space="preserve"> </v>
      </c>
      <c r="KJ45" s="536" t="str">
        <f t="shared" si="123"/>
        <v xml:space="preserve"> </v>
      </c>
      <c r="KK45" s="535" t="str">
        <f t="shared" si="213"/>
        <v xml:space="preserve"> </v>
      </c>
      <c r="KL45" s="535" t="str">
        <f t="shared" si="214"/>
        <v xml:space="preserve"> </v>
      </c>
      <c r="KM45" s="537" t="str">
        <f t="shared" si="124"/>
        <v xml:space="preserve"> </v>
      </c>
      <c r="KN45" s="537" t="str">
        <f t="shared" si="215"/>
        <v xml:space="preserve"> </v>
      </c>
      <c r="KP45">
        <f t="shared" si="125"/>
        <v>0</v>
      </c>
      <c r="LA45" t="e">
        <f t="shared" si="126"/>
        <v>#VALUE!</v>
      </c>
      <c r="LB45" t="e">
        <f t="shared" si="127"/>
        <v>#VALUE!</v>
      </c>
      <c r="LC45" t="e">
        <f t="shared" si="128"/>
        <v>#VALUE!</v>
      </c>
      <c r="LD45" t="e">
        <f t="shared" si="129"/>
        <v>#VALUE!</v>
      </c>
      <c r="LE45" t="e">
        <f t="shared" si="216"/>
        <v>#VALUE!</v>
      </c>
      <c r="LF45">
        <f t="shared" si="130"/>
        <v>0</v>
      </c>
      <c r="LG45" t="e">
        <f t="shared" si="217"/>
        <v>#VALUE!</v>
      </c>
      <c r="LH45" t="str">
        <f t="shared" si="131"/>
        <v xml:space="preserve"> </v>
      </c>
      <c r="LI45">
        <f t="shared" si="218"/>
        <v>1</v>
      </c>
    </row>
    <row r="46" spans="2:321" ht="15" customHeight="1">
      <c r="B46" s="311"/>
      <c r="C46" s="311"/>
      <c r="D46" s="312"/>
      <c r="E46" s="311"/>
      <c r="F46" s="312"/>
      <c r="G46" s="311"/>
      <c r="H46" s="311"/>
      <c r="I46" s="37"/>
      <c r="J46" s="311"/>
      <c r="K46" s="305" t="str">
        <f t="shared" si="132"/>
        <v/>
      </c>
      <c r="L46" s="313"/>
      <c r="M46" s="312"/>
      <c r="N46" s="311"/>
      <c r="O46" s="312"/>
      <c r="P46" s="311"/>
      <c r="Q46" s="305" t="str">
        <f t="shared" si="133"/>
        <v/>
      </c>
      <c r="R46" s="314"/>
      <c r="S46" s="450" t="str">
        <f t="shared" si="0"/>
        <v/>
      </c>
      <c r="T46" s="315"/>
      <c r="U46" s="315"/>
      <c r="W46" s="149" t="str">
        <f t="shared" si="1"/>
        <v xml:space="preserve"> </v>
      </c>
      <c r="X46" s="243" t="str">
        <f t="shared" si="2"/>
        <v xml:space="preserve"> </v>
      </c>
      <c r="Y46" s="150" t="str">
        <f t="shared" si="3"/>
        <v/>
      </c>
      <c r="Z46" s="149" t="str">
        <f t="shared" si="4"/>
        <v xml:space="preserve"> </v>
      </c>
      <c r="AA46" s="98" t="str">
        <f t="shared" si="5"/>
        <v xml:space="preserve"> </v>
      </c>
      <c r="AB46" s="153" t="str">
        <f t="shared" si="6"/>
        <v xml:space="preserve"> </v>
      </c>
      <c r="AC46" s="153" t="str">
        <f t="shared" si="7"/>
        <v xml:space="preserve"> </v>
      </c>
      <c r="AD46" s="148" t="str">
        <f t="shared" si="8"/>
        <v/>
      </c>
      <c r="AE46" s="149" t="str">
        <f t="shared" si="9"/>
        <v/>
      </c>
      <c r="AF46" s="151" t="str">
        <f t="shared" si="10"/>
        <v xml:space="preserve"> </v>
      </c>
      <c r="AG46" s="153" t="str">
        <f t="shared" si="11"/>
        <v xml:space="preserve"> </v>
      </c>
      <c r="AH46" s="98" t="str">
        <f t="shared" si="12"/>
        <v xml:space="preserve"> </v>
      </c>
      <c r="AI46" s="149" t="str">
        <f t="shared" si="13"/>
        <v xml:space="preserve"> </v>
      </c>
      <c r="AK46" s="144" t="str">
        <f t="shared" si="14"/>
        <v xml:space="preserve"> </v>
      </c>
      <c r="AL46" s="144"/>
      <c r="AM46" s="243" t="str">
        <f t="shared" si="15"/>
        <v xml:space="preserve"> </v>
      </c>
      <c r="AN46" s="149" t="str">
        <f t="shared" si="134"/>
        <v xml:space="preserve"> </v>
      </c>
      <c r="AO46" s="144" t="str">
        <f>IF(JB46&gt;0,IF(GI46=10,-R46*1.085*(Calculation!$F$6-Calculation!$F$13)*$S$14," "),"")</f>
        <v/>
      </c>
      <c r="AP46" s="144" t="str">
        <f t="shared" si="16"/>
        <v/>
      </c>
      <c r="AQ46" s="56" t="str">
        <f t="shared" si="17"/>
        <v/>
      </c>
      <c r="AR46" s="144" t="str">
        <f t="shared" si="18"/>
        <v/>
      </c>
      <c r="AS46" s="176" t="str">
        <f t="shared" si="19"/>
        <v/>
      </c>
      <c r="AT46" s="176" t="str">
        <f t="shared" si="135"/>
        <v xml:space="preserve"> </v>
      </c>
      <c r="AU46" s="176" t="str">
        <f t="shared" si="20"/>
        <v/>
      </c>
      <c r="AV46" s="177" t="str">
        <f t="shared" si="21"/>
        <v xml:space="preserve"> </v>
      </c>
      <c r="AW46" s="144" t="str">
        <f t="shared" si="22"/>
        <v xml:space="preserve"> </v>
      </c>
      <c r="AX46" s="144" t="str">
        <f t="shared" si="23"/>
        <v xml:space="preserve"> </v>
      </c>
      <c r="AY46" s="152" t="str">
        <f t="shared" si="24"/>
        <v xml:space="preserve"> </v>
      </c>
      <c r="AZ46" s="246" t="str">
        <f t="shared" si="25"/>
        <v/>
      </c>
      <c r="BA46" s="176" t="str">
        <f t="shared" si="26"/>
        <v xml:space="preserve"> </v>
      </c>
      <c r="BB46" s="176" t="str">
        <f t="shared" si="27"/>
        <v xml:space="preserve"> </v>
      </c>
      <c r="BC46" s="195"/>
      <c r="BD46" s="316"/>
      <c r="BE46" s="317"/>
      <c r="BF46" s="318"/>
      <c r="BG46" s="318"/>
      <c r="BH46" s="144" t="str">
        <f t="shared" si="219"/>
        <v xml:space="preserve"> </v>
      </c>
      <c r="BI46" s="176" t="str">
        <f t="shared" si="28"/>
        <v/>
      </c>
      <c r="BJ46" s="144" t="str">
        <f t="shared" si="220"/>
        <v/>
      </c>
      <c r="BK46" s="246" t="str">
        <f t="shared" si="29"/>
        <v/>
      </c>
      <c r="BL46" s="144" t="str">
        <f t="shared" si="221"/>
        <v/>
      </c>
      <c r="BM46" s="246" t="str">
        <f t="shared" si="30"/>
        <v/>
      </c>
      <c r="BN46" s="337" t="str">
        <f t="shared" si="136"/>
        <v/>
      </c>
      <c r="BO46" s="371" t="str">
        <f t="shared" si="137"/>
        <v/>
      </c>
      <c r="BP46" s="328" t="str">
        <f t="shared" si="222"/>
        <v xml:space="preserve"> </v>
      </c>
      <c r="BQ46" s="347" t="str">
        <f t="shared" si="138"/>
        <v xml:space="preserve"> </v>
      </c>
      <c r="BR46" s="353" t="str">
        <f t="shared" si="223"/>
        <v xml:space="preserve"> </v>
      </c>
      <c r="BS46" s="626" t="str">
        <f>IF(L46&gt;0,IF(Calculation!P46="M13",BR46*3.1416*(0.134^2)/(4*144),IF(Calculation!P46="M17",BR46*3.1416*(0.165^2)/(4*144),IF(Calculation!P46="M20",BR46*3.1416*(0.198^2)/(4*144),IF(Calculation!P46="M23",BR46*3.1416*(0.228^2)/(4*144),IF(Calculation!P46="M27",BR46*3.1416*(0.269^2)/(4*144),BR46*3.1416*(0.307^2)/(4*144))))))," ")</f>
        <v xml:space="preserve"> </v>
      </c>
      <c r="BT46" s="353" t="str">
        <f>IF(L46&gt;0,IF(BS46&gt;0,R46/Calculation!BS46,0)," ")</f>
        <v xml:space="preserve"> </v>
      </c>
      <c r="BU46" s="438" t="e">
        <f t="shared" ca="1" si="31"/>
        <v>#VALUE!</v>
      </c>
      <c r="BV46" s="449" t="e">
        <f ca="1">INDEX(INDIRECT(VLOOKUP(LEFT(BO46,7),CLU!$Z$3:$AH$18,2)),GN46,GR46)</f>
        <v>#N/A</v>
      </c>
      <c r="BW46" s="433" t="e">
        <f ca="1">INDEX(INDIRECT(VLOOKUP(LEFT(BO46,7),CLU!$Z$3:$AH$18,3)),GN46,GR46)</f>
        <v>#N/A</v>
      </c>
      <c r="BX46" s="433" t="e">
        <f ca="1">INDEX(INDIRECT(VLOOKUP(LEFT(BO46,7),CLU!$Z$3:$AH$18,4)),GN46,GR46)</f>
        <v>#N/A</v>
      </c>
      <c r="BY46" s="433" t="e">
        <f ca="1">INDEX(INDIRECT(VLOOKUP(LEFT(BO46,7),CLU!$Z$3:$AH$18,9)),((M46-2)*(6-COUNTBLANK(GT46:GY46)))+GJ46)</f>
        <v>#N/A</v>
      </c>
      <c r="BZ46" s="426" t="e">
        <f t="shared" ca="1" si="139"/>
        <v>#N/A</v>
      </c>
      <c r="CA46" s="424" t="e">
        <f t="shared" ca="1" si="140"/>
        <v>#N/A</v>
      </c>
      <c r="CB46" s="429" t="e">
        <f ca="1">INDEX(INDIRECT(VLOOKUP(LEFT(BO46,7),CLU!$Z$3:$AH$18,2)),GN46,GS46)</f>
        <v>#N/A</v>
      </c>
      <c r="CC46" s="342" t="e">
        <f ca="1">INDEX(INDIRECT(VLOOKUP(LEFT(BO46,7),CLU!$Z$3:$AH$18,3)),GN46,GS46)</f>
        <v>#N/A</v>
      </c>
      <c r="CD46" s="342" t="e">
        <f ca="1">INDEX(INDIRECT(VLOOKUP(LEFT(BO46,7),CLU!$Z$3:$AH$18,4)),GN46,GS46)</f>
        <v>#N/A</v>
      </c>
      <c r="CE46" s="426" t="e">
        <f t="shared" ca="1" si="141"/>
        <v>#N/A</v>
      </c>
      <c r="CF46" s="440">
        <f t="shared" si="142"/>
        <v>0</v>
      </c>
      <c r="CG46" s="431" t="e">
        <f ca="1">INDEX(INDIRECT(VLOOKUP(LEFT(BO46,7),CLU!$Z$3:$AH$18,2)),GQ46,GR46)</f>
        <v>#N/A</v>
      </c>
      <c r="CH46" s="431" t="e">
        <f ca="1">INDEX(INDIRECT(VLOOKUP(LEFT(BO46,7),CLU!$Z$3:$AH$18,3)),GQ46,GR46)</f>
        <v>#N/A</v>
      </c>
      <c r="CI46" s="431" t="e">
        <f ca="1">INDEX(INDIRECT(VLOOKUP(LEFT(BO46,7),CLU!$Z$3:$AH$18,4)),GQ46,GR46)</f>
        <v>#N/A</v>
      </c>
      <c r="CJ46" s="448" t="e">
        <f t="shared" ca="1" si="143"/>
        <v>#N/A</v>
      </c>
      <c r="CK46" s="431" t="e">
        <f t="shared" ca="1" si="144"/>
        <v>#N/A</v>
      </c>
      <c r="CL46" s="440" t="e">
        <f t="shared" ca="1" si="145"/>
        <v>#N/A</v>
      </c>
      <c r="CM46" s="431" t="e">
        <f ca="1">INDEX(INDIRECT(VLOOKUP(LEFT(BO46,7),CLU!$Z$3:$AH$18,2)),GQ46,GS46)</f>
        <v>#N/A</v>
      </c>
      <c r="CN46" s="431" t="e">
        <f ca="1">INDEX(INDIRECT(VLOOKUP(LEFT(BO46,7),CLU!$Z$3:$AH$18,3)),GQ46,GS46)</f>
        <v>#N/A</v>
      </c>
      <c r="CO46" s="431" t="e">
        <f ca="1">INDEX(INDIRECT(VLOOKUP(LEFT(BO46,7),CLU!$Z$3:$AH$18,4)),GQ46,GS46)</f>
        <v>#N/A</v>
      </c>
      <c r="CP46" s="431" t="e">
        <f t="shared" ca="1" si="146"/>
        <v>#N/A</v>
      </c>
      <c r="CQ46" s="440">
        <f t="shared" si="147"/>
        <v>0</v>
      </c>
      <c r="CR46" s="51" t="e">
        <f t="shared" ca="1" si="148"/>
        <v>#N/A</v>
      </c>
      <c r="CS46" s="439" t="e">
        <f t="shared" ca="1" si="149"/>
        <v>#VALUE!</v>
      </c>
      <c r="CT46" s="51" t="e">
        <f t="shared" ca="1" si="150"/>
        <v>#VALUE!</v>
      </c>
      <c r="CU46" s="10"/>
      <c r="CV46" s="51" t="e">
        <f t="shared" ca="1" si="34"/>
        <v>#VALUE!</v>
      </c>
      <c r="CW46" s="51">
        <f t="shared" si="151"/>
        <v>0</v>
      </c>
      <c r="CX46" s="439" t="e">
        <f t="shared" ca="1" si="152"/>
        <v>#VALUE!</v>
      </c>
      <c r="CY46" s="51" t="e">
        <f t="shared" ca="1" si="153"/>
        <v>#VALUE!</v>
      </c>
      <c r="CZ46" s="10"/>
      <c r="DA46" s="51" t="e">
        <f t="shared" ca="1" si="154"/>
        <v>#VALUE!</v>
      </c>
      <c r="DB46" s="347" t="e">
        <f ca="1">INDEX(INDIRECT(VLOOKUP(LEFT(BO46,7),CLU!$Z$3:$AI$18,10)),((M46-2)*(6-COUNTBLANK(GT46:GY46)))+GJ46)*LI46</f>
        <v>#N/A</v>
      </c>
      <c r="DC46" s="347" t="str">
        <f>IF(L46&gt;0,((R46/Worksheet!$I$15)/DB46)^2," ")</f>
        <v xml:space="preserve"> </v>
      </c>
      <c r="DD46" s="602" t="str">
        <f t="shared" si="224"/>
        <v xml:space="preserve"> </v>
      </c>
      <c r="DE46" s="347" t="str">
        <f t="shared" si="35"/>
        <v xml:space="preserve"> </v>
      </c>
      <c r="DF46" s="356" t="e">
        <f ca="1">INDEX(INDIRECT(VLOOKUP(LEFT(BO46,7),CLU!$Z$3:$AH$18,8)),((M46-2)*(6-COUNTBLANK(GT46:GY46)))+GJ46)</f>
        <v>#N/A</v>
      </c>
      <c r="DG46" s="347" t="str">
        <f t="shared" si="36"/>
        <v xml:space="preserve"> </v>
      </c>
      <c r="DH46" s="357" t="str">
        <f t="shared" si="37"/>
        <v xml:space="preserve"> </v>
      </c>
      <c r="DI46" s="355" t="str">
        <f t="shared" si="38"/>
        <v xml:space="preserve"> </v>
      </c>
      <c r="DJ46" s="245" t="e">
        <f ca="1">INDEX(INDIRECT(VLOOKUP(LEFT(BO46,7),CLU!$Z$3:$AH$18,5)),GL46,GK46)</f>
        <v>#N/A</v>
      </c>
      <c r="DK46" s="245" t="e">
        <f ca="1">INDEX(INDIRECT(VLOOKUP(LEFT(BO46,7),CLU!$Z$3:$AH$18,6)),GL46,GK46)</f>
        <v>#N/A</v>
      </c>
      <c r="DL46" s="355">
        <f>(Calculation!R46*0.69143*(Calculation!$BQ$8-Calculation!$F$8))*$S$14</f>
        <v>0</v>
      </c>
      <c r="DM46" s="359" t="e">
        <f t="shared" si="160"/>
        <v>#VALUE!</v>
      </c>
      <c r="DN46" s="611">
        <f t="shared" si="161"/>
        <v>0</v>
      </c>
      <c r="DO46" s="359">
        <f t="shared" si="162"/>
        <v>100</v>
      </c>
      <c r="DP46" s="359">
        <f t="shared" si="163"/>
        <v>0</v>
      </c>
      <c r="DQ46" s="360"/>
      <c r="DR46" s="245" t="e">
        <f ca="1">INDEX(INDIRECT(VLOOKUP(LEFT(BO46,7),CLU!$Z$3:$AH$18,7)),M46-1,1)</f>
        <v>#N/A</v>
      </c>
      <c r="DS46" s="245" t="e">
        <f ca="1">INDEX(INDIRECT(VLOOKUP(LEFT(BO46,7),CLU!$Z$3:$AH$18,7)),M46-1,2)</f>
        <v>#N/A</v>
      </c>
      <c r="DT46" s="245" t="e">
        <f ca="1">INDEX(INDIRECT(VLOOKUP(LEFT(BO46,7),CLU!$Z$3:$AH$18,7)),M46-1,3)</f>
        <v>#N/A</v>
      </c>
      <c r="DU46" s="245" t="e">
        <f ca="1">INDEX(INDIRECT(VLOOKUP(LEFT(BO46,7),CLU!$Z$3:$AH$18,7)),M46-1,4)</f>
        <v>#N/A</v>
      </c>
      <c r="DV46" s="361" t="e">
        <f ca="1">INDEX(INDIRECT(VLOOKUP(LEFT(BO46,7),CLU!$Z$3:$AH$18,7)),M46-1,4+LEFT(DZ46,1)*0.5)</f>
        <v>#N/A</v>
      </c>
      <c r="DW46" s="245" t="e">
        <f ca="1">INDEX(INDIRECT(VLOOKUP(LEFT(BO46,7),CLU!$Z$3:$AH$18,7)),M46-1,8)</f>
        <v>#N/A</v>
      </c>
      <c r="DX46" s="361" t="str">
        <f t="shared" si="39"/>
        <v xml:space="preserve"> </v>
      </c>
      <c r="DY46" s="361" t="str">
        <f t="shared" si="40"/>
        <v xml:space="preserve"> </v>
      </c>
      <c r="DZ46" s="361" t="str">
        <f t="shared" si="41"/>
        <v xml:space="preserve"> </v>
      </c>
      <c r="EA46" s="362" t="str">
        <f t="shared" si="42"/>
        <v xml:space="preserve"> </v>
      </c>
      <c r="EB46" s="624" t="str">
        <f t="shared" si="168"/>
        <v xml:space="preserve"> </v>
      </c>
      <c r="EC46" s="361" t="e">
        <f ca="1">INDEX(INDIRECT(VLOOKUP(LEFT(BO46,7),CLU!$Z$3:$AH$18,7)),M46-1,4+LEFT(DZ46,1)*0.5)</f>
        <v>#N/A</v>
      </c>
      <c r="ED46" s="362" t="str">
        <f t="shared" si="43"/>
        <v xml:space="preserve"> </v>
      </c>
      <c r="EE46" s="361" t="str">
        <f t="shared" si="44"/>
        <v xml:space="preserve"> </v>
      </c>
      <c r="EF46" s="362" t="str">
        <f>IF(L46&gt;0,IF(BR46&gt;0,IF(EE46="2P",IF(Calculation!DZ46="2P",IF(Calculation!DS46=13.75,IF(Calculation!DR46=13,Worksheet!$BD$43,IF(Calculation!DR46=37,Worksheet!$BD$44,Worksheet!$BD$45)),IF(Calculation!DS46=10,IF(Calculation!DR46=18,Worksheet!$BD$29,IF(Calculation!DR46=30,Worksheet!$BD$30,IF(Calculation!DR46=42,Worksheet!$BD$31,IF(Calculation!DR46=54,Worksheet!$BD$32,IF(Calculation!DR46=66,Worksheet!$BD$33,IF(Calculation!DR46=78,Worksheet!$BD$34,IF(Calculation!DR46=90,Worksheet!$BD$35,IF(Calculation!DR46=102,Worksheet!$BD$36,Worksheet!$BD$37)))))))),IF(Calculation!DS46=12.5,IF(Calculation!DR46=18,Worksheet!$BD$38,IF(Calculation!DR46=Worksheet!$BD$39,IF(Calculation!DR46=42,Worksheet!$BD$40,IF(Calculation!DR46=54,Worksheet!$BD$41,Worksheet!$BD$42)))),IF(Calculation!DR46=18,Worksheet!$BD$11,IF(Calculation!DR46=30,Worksheet!$BD$12,IF(Calculation!DR46=42,Worksheet!$BD$13,IF(Calculation!DR46=54,Worksheet!$BD$14,IF(Calculation!DR46=66,Worksheet!$BD$15,IF(Calculation!DR46=78,Worksheet!$BD$16,IF(Calculation!DR46=90,Worksheet!$BD$17,IF(Calculation!DR46=102,Worksheet!$BD$18,Worksheet!$BD$19))))))))))),IF(Calculation!DS46=13.75,IF(Calculation!DR46=13,Worksheet!$BD$78,IF(Calculation!DR46=37,Worksheet!$BD$79,Worksheet!$BD$80)),IF(Calculation!DS46=10,IF(Calculation!DR46=18,Worksheet!$BD$64,IF(Calculation!DR46=30,Worksheet!$BD$65,IF(Calculation!DR46=42,Worksheet!$BD$66,IF(Calculation!DR46=54,Worksheet!$BD$68,IF(Calculation!DR46=66,Worksheet!$BD$68,IF(Calculation!DR46=78,Worksheet!$BD$69,IF(Calculation!DR46=90,Worksheet!$BD$70,IF(Calculation!DR46=102,Worksheet!$BD$71,Worksheet!$BD$72)))))))),IF(Calculation!DS46=12.5,IF(Calculation!DR46=18,Worksheet!$BD$73,IF(Calculation!DR46=Worksheet!$BD$74,IF(Calculation!DR46=42,Worksheet!$BD$75,IF(Calculation!DR46=54,Worksheet!$BD$76,Worksheet!$BD$77)))),IF(Calculation!DR46=18,Worksheet!$BD$55,IF(Calculation!DR46=30,Worksheet!$BD$56,IF(Calculation!DR46=42,Worksheet!$BD$57,IF(Calculation!DR46=54,Worksheet!$BD$58,IF(Calculation!DR46=66,Worksheet!$BD$59,IF(Calculation!DR46=78,Worksheet!$BD$60,IF(Calculation!DR46=90,Worksheet!$BD$61,IF(Calculation!DR46=102,Worksheet!$BD$62,Worksheet!$BD$63)))))))))))),5),0)," ")</f>
        <v xml:space="preserve"> </v>
      </c>
      <c r="EG46" s="361" t="str">
        <f t="shared" si="45"/>
        <v xml:space="preserve"> </v>
      </c>
      <c r="EH46" s="361" t="e">
        <f ca="1">INDEX(INDIRECT(VLOOKUP(LEFT(BO46,7),CLU!$Z$3:$AH$18,7)),M46-1,3+LEFT(DZ46,1))</f>
        <v>#N/A</v>
      </c>
      <c r="EI46" s="362" t="str">
        <f t="shared" si="46"/>
        <v xml:space="preserve"> </v>
      </c>
      <c r="EJ46" s="363" t="str">
        <f t="shared" si="47"/>
        <v xml:space="preserve"> </v>
      </c>
      <c r="EK46" s="363" t="str">
        <f t="shared" si="48"/>
        <v xml:space="preserve"> </v>
      </c>
      <c r="EL46" s="363" t="str">
        <f t="shared" si="49"/>
        <v xml:space="preserve"> </v>
      </c>
      <c r="EM46" s="362" t="str">
        <f>IF(L46&gt;0,IF(BR46&gt;0,(Calculation!T46/ED46)^2,0)," ")</f>
        <v xml:space="preserve"> </v>
      </c>
      <c r="EN46" s="362" t="str">
        <f>IF(L46&gt;0,IF(O46="2 Pipe (Cooling)","N/A",IF(BR46&gt;0,(Calculation!U46/EI46)^2,0))," ")</f>
        <v xml:space="preserve"> </v>
      </c>
      <c r="EO46" s="361" t="str">
        <f t="shared" si="50"/>
        <v/>
      </c>
      <c r="EP46" s="361" t="str">
        <f t="shared" si="51"/>
        <v/>
      </c>
      <c r="EQ46" s="361" t="str">
        <f t="shared" si="52"/>
        <v/>
      </c>
      <c r="ER46" s="361" t="str">
        <f t="shared" si="53"/>
        <v/>
      </c>
      <c r="ES46" s="361" t="str">
        <f t="shared" si="54"/>
        <v/>
      </c>
      <c r="ET46" s="361" t="str">
        <f t="shared" si="55"/>
        <v/>
      </c>
      <c r="EU46" s="361" t="str">
        <f t="shared" si="56"/>
        <v/>
      </c>
      <c r="EV46" s="361" t="str">
        <f t="shared" si="57"/>
        <v/>
      </c>
      <c r="EW46" s="361" t="str">
        <f t="shared" si="58"/>
        <v/>
      </c>
      <c r="EX46" s="361" t="str">
        <f t="shared" si="169"/>
        <v>1 slot, 1 way</v>
      </c>
      <c r="EY46" s="361" t="str">
        <f t="shared" si="170"/>
        <v xml:space="preserve"> </v>
      </c>
      <c r="EZ46" s="361" t="str">
        <f t="shared" si="171"/>
        <v xml:space="preserve"> </v>
      </c>
      <c r="FA46" s="361" t="str">
        <f t="shared" si="172"/>
        <v xml:space="preserve"> </v>
      </c>
      <c r="FB46" s="361" t="str">
        <f t="shared" si="173"/>
        <v xml:space="preserve"> </v>
      </c>
      <c r="FC46" s="361"/>
      <c r="FD46" s="361" t="str">
        <f>IF(J46&gt;0,IF(Calculation!R46&lt;=70,4,IF(Calculation!R46&lt;=110,5,IF(Calculation!R46&lt;=160,6,IF(Calculation!R46&lt;=300,8,"10 EO")))),"")</f>
        <v/>
      </c>
      <c r="FE46" s="361" t="str">
        <f t="shared" si="174"/>
        <v/>
      </c>
      <c r="FF46" s="361" t="str">
        <f t="shared" si="175"/>
        <v/>
      </c>
      <c r="FG46" s="361" t="e">
        <f t="shared" si="60"/>
        <v>#N/A</v>
      </c>
      <c r="FH46" s="361">
        <f t="shared" si="61"/>
        <v>0</v>
      </c>
      <c r="FI46" s="361" t="e">
        <f t="shared" si="62"/>
        <v>#DIV/0!</v>
      </c>
      <c r="FJ46" s="361"/>
      <c r="FK46" s="356" t="e">
        <f t="shared" si="63"/>
        <v>#VALUE!</v>
      </c>
      <c r="FL46" s="361"/>
      <c r="FM46" s="361"/>
      <c r="FN46" s="362" t="str">
        <f t="shared" si="176"/>
        <v xml:space="preserve"> </v>
      </c>
      <c r="FO46" s="362" t="str">
        <f t="shared" si="177"/>
        <v xml:space="preserve"> </v>
      </c>
      <c r="FP46" s="362">
        <f t="shared" si="178"/>
        <v>0</v>
      </c>
      <c r="FQ46" s="361">
        <f t="shared" si="64"/>
        <v>0</v>
      </c>
      <c r="FR46" s="362" t="str">
        <f>IF(L46&gt;0,IF(J46="CBAL2",Worksheet!$P$67,IF(J46="CBE2-24",Worksheet!$Q$67,IF(J46="CBAM",Worksheet!$R$67,IF(J46="CBLV",Worksheet!$S$67,IF(J46="CBAB",Worksheet!$U$67,IF(J46="CBAW",Worksheet!$X$67,IF(J46="CBE2-12",Worksheet!$Y$67,IF(J46="CBAL2",Worksheet!$Z$67,"N/A"))))))))," ")</f>
        <v xml:space="preserve"> </v>
      </c>
      <c r="FS46" s="362" t="str">
        <f>IF(L46&gt;0,IF(J46="CBAL2",Worksheet!$P$68,IF(J46="CBE2-24",Worksheet!$Q$68,IF(J46="CBAM",Worksheet!$R$68,IF(J46="CBLV",Worksheet!$S$68,IF(J46="CBAB",Worksheet!$U$68,IF(J46="CBAW",Worksheet!$X$68,IF(J46="CBE2-12",Worksheet!$Y$68,IF(J46="CBAL2",Worksheet!$Z$68,"N/A"))))))))," ")</f>
        <v xml:space="preserve"> </v>
      </c>
      <c r="FT46" s="362" t="str">
        <f>IF(L46&gt;0,IF(J46="CBAL2",Worksheet!$P$69,IF(J46="CBE2-24",Worksheet!$Q$69,IF(J46="CBAM",Worksheet!$R$69,IF(J46="CBLV",Worksheet!$S$69,IF(J46="CBAB",Worksheet!$U$69,IF(J46="CBAW",Worksheet!$X$69,IF(J46="CBE2-12",Worksheet!$Y$69,IF(J46="CBAL2",Worksheet!$Z$69,"N/A"))))))))," ")</f>
        <v xml:space="preserve"> </v>
      </c>
      <c r="FU46" s="361" t="str">
        <f t="shared" si="179"/>
        <v xml:space="preserve"> </v>
      </c>
      <c r="FV46" s="362" t="str">
        <f t="shared" si="180"/>
        <v xml:space="preserve"> </v>
      </c>
      <c r="FW46" s="362" t="str">
        <f t="shared" si="181"/>
        <v xml:space="preserve"> </v>
      </c>
      <c r="FX46" s="362" t="str">
        <f t="shared" si="182"/>
        <v xml:space="preserve"> </v>
      </c>
      <c r="FY46" s="355" t="str">
        <f t="shared" si="183"/>
        <v xml:space="preserve"> </v>
      </c>
      <c r="FZ46" s="361" t="str">
        <f t="shared" si="184"/>
        <v xml:space="preserve"> </v>
      </c>
      <c r="GA46" s="347" t="str">
        <f t="shared" si="185"/>
        <v xml:space="preserve"> </v>
      </c>
      <c r="GB46" s="355" t="str">
        <f t="shared" si="186"/>
        <v xml:space="preserve"> </v>
      </c>
      <c r="GC46" s="328" t="str">
        <f t="shared" si="187"/>
        <v xml:space="preserve"> </v>
      </c>
      <c r="GD46" s="361" t="str">
        <f t="shared" si="188"/>
        <v xml:space="preserve"> </v>
      </c>
      <c r="GE46" s="347" t="str">
        <f t="shared" si="189"/>
        <v xml:space="preserve"> </v>
      </c>
      <c r="GF46" s="361" t="str">
        <f t="shared" si="190"/>
        <v xml:space="preserve"> </v>
      </c>
      <c r="GG46" s="347" t="str">
        <f t="shared" si="191"/>
        <v xml:space="preserve"> </v>
      </c>
      <c r="GH46" s="364">
        <f t="shared" si="78"/>
        <v>0</v>
      </c>
      <c r="GI46" s="362">
        <f t="shared" si="192"/>
        <v>2</v>
      </c>
      <c r="GJ46" s="433" t="e">
        <f>IF(6-COUNTBLANK(GT46:GY46)=4,MATCH(MID(BO46,9,3),CLU!$H$16:$K$16),MATCH(MID(BO46,9,3),CLU!$H$13:$M$13))</f>
        <v>#N/A</v>
      </c>
      <c r="GK46" s="433" t="e">
        <f>HLOOKUP(VALUE(BP46),CLU!$H$9:$M$10,2)</f>
        <v>#VALUE!</v>
      </c>
      <c r="GL46" s="433" t="e">
        <f ca="1">MATCH(BU46,CLU!$H$2:$V$2,1)</f>
        <v>#VALUE!</v>
      </c>
      <c r="GM46" s="433" t="e">
        <f t="shared" ca="1" si="193"/>
        <v>#VALUE!</v>
      </c>
      <c r="GN46" s="433" t="e">
        <f t="shared" ca="1" si="194"/>
        <v>#VALUE!</v>
      </c>
      <c r="GO46" s="433" t="e">
        <f t="shared" ca="1" si="195"/>
        <v>#VALUE!</v>
      </c>
      <c r="GP46" s="433" t="e">
        <f t="shared" ca="1" si="196"/>
        <v>#VALUE!</v>
      </c>
      <c r="GQ46" s="433" t="e">
        <f t="shared" ca="1" si="197"/>
        <v>#VALUE!</v>
      </c>
      <c r="GR46" s="433" t="e">
        <f ca="1">MATCH(T46,INDIRECT(VLOOKUP(CONCATENATE(LEFT(BO46,7),"-",MID(BO46,13,1)),CLU!$P$3:$Q$16,2)),1)</f>
        <v>#N/A</v>
      </c>
      <c r="GS46" s="433" t="e">
        <f ca="1">MATCH(U46,INDIRECT(VLOOKUP(CONCATENATE(LEFT(BO46,7),"-",MID(BO46,13,1)),CLU!$P$3:$Q$16,2)),1)</f>
        <v>#N/A</v>
      </c>
      <c r="GT46" s="347" t="s">
        <v>512</v>
      </c>
      <c r="GU46" s="97" t="s">
        <v>513</v>
      </c>
      <c r="GV46" s="97" t="str">
        <f t="shared" si="198"/>
        <v>M23</v>
      </c>
      <c r="GW46" s="97" t="str">
        <f t="shared" si="199"/>
        <v>M31</v>
      </c>
      <c r="GX46" s="97" t="str">
        <f t="shared" si="200"/>
        <v/>
      </c>
      <c r="GY46" s="97" t="str">
        <f t="shared" si="201"/>
        <v/>
      </c>
      <c r="GZ46" s="481"/>
      <c r="HA46" s="288"/>
      <c r="HB46" s="240"/>
      <c r="HC46" s="240"/>
      <c r="HD46" s="240"/>
      <c r="HE46" s="240"/>
      <c r="HF46" s="240"/>
      <c r="HG46" s="240"/>
      <c r="HH46" s="240"/>
      <c r="HI46" s="240"/>
      <c r="HJ46" s="240"/>
      <c r="HK46" s="240"/>
      <c r="HL46" s="240"/>
      <c r="HM46" s="240"/>
      <c r="HN46" s="240"/>
      <c r="HO46" s="240"/>
      <c r="HP46" s="240"/>
      <c r="HQ46" s="240"/>
      <c r="HR46" s="240"/>
      <c r="HS46" s="240"/>
      <c r="HT46" s="240"/>
      <c r="HU46" s="240"/>
      <c r="HV46" s="245"/>
      <c r="HW46" s="245" t="b">
        <v>1</v>
      </c>
      <c r="HX46" s="245" t="str">
        <f t="shared" si="79"/>
        <v/>
      </c>
      <c r="HY46" s="245" t="e">
        <f t="shared" si="80"/>
        <v>#DIV/0!</v>
      </c>
      <c r="HZ46" s="245" t="e">
        <f t="shared" si="81"/>
        <v>#DIV/0!</v>
      </c>
      <c r="IA46" s="245">
        <f t="shared" si="82"/>
        <v>0</v>
      </c>
      <c r="IB46" s="245"/>
      <c r="IC46" t="b">
        <f t="shared" si="83"/>
        <v>1</v>
      </c>
      <c r="ID46" s="245" t="b">
        <f t="shared" si="84"/>
        <v>1</v>
      </c>
      <c r="IE46" s="245" t="b">
        <f t="shared" si="85"/>
        <v>1</v>
      </c>
      <c r="IF46" s="245" t="b">
        <f t="shared" si="86"/>
        <v>0</v>
      </c>
      <c r="IG46" s="245" t="b">
        <f t="shared" si="87"/>
        <v>1</v>
      </c>
      <c r="IH46" s="245" t="b">
        <f t="shared" si="88"/>
        <v>1</v>
      </c>
      <c r="II46" s="245">
        <f t="shared" si="202"/>
        <v>0</v>
      </c>
      <c r="IJ46" s="245" t="e">
        <f t="shared" si="89"/>
        <v>#VALUE!</v>
      </c>
      <c r="IK46" s="245" t="e">
        <f t="shared" si="90"/>
        <v>#VALUE!</v>
      </c>
      <c r="IL46" s="245"/>
      <c r="IM46" s="245" t="e">
        <f t="shared" si="203"/>
        <v>#N/A</v>
      </c>
      <c r="IN46" s="245" t="e">
        <f t="shared" si="204"/>
        <v>#N/A</v>
      </c>
      <c r="IO46" s="245"/>
      <c r="IP46" s="245"/>
      <c r="IQ46" s="245" t="str">
        <f t="shared" si="91"/>
        <v/>
      </c>
      <c r="IR46" s="245" t="str">
        <f>IF(J46="","",VLOOKUP(J46,Worksheet!$R$4:$T$14,2))</f>
        <v/>
      </c>
      <c r="IS46" s="245"/>
      <c r="IT46" s="245">
        <f t="shared" si="92"/>
        <v>0</v>
      </c>
      <c r="IU46" s="245">
        <f t="shared" si="93"/>
        <v>0</v>
      </c>
      <c r="IV46" s="245">
        <f t="shared" si="94"/>
        <v>0</v>
      </c>
      <c r="IW46" s="245">
        <f t="shared" si="95"/>
        <v>0</v>
      </c>
      <c r="IX46" s="245">
        <f t="shared" si="205"/>
        <v>0</v>
      </c>
      <c r="IY46" s="245">
        <f t="shared" si="96"/>
        <v>0</v>
      </c>
      <c r="IZ46" s="245">
        <f t="shared" si="97"/>
        <v>0</v>
      </c>
      <c r="JA46">
        <f t="shared" si="98"/>
        <v>0</v>
      </c>
      <c r="JB46">
        <f t="shared" si="206"/>
        <v>0</v>
      </c>
      <c r="JC46">
        <f t="shared" si="99"/>
        <v>0</v>
      </c>
      <c r="JD46">
        <f t="shared" si="100"/>
        <v>0</v>
      </c>
      <c r="JE46">
        <f t="shared" si="101"/>
        <v>0</v>
      </c>
      <c r="JF46">
        <f t="shared" si="102"/>
        <v>0</v>
      </c>
      <c r="JG46">
        <f t="shared" si="103"/>
        <v>0</v>
      </c>
      <c r="JH46">
        <f t="shared" si="104"/>
        <v>0</v>
      </c>
      <c r="JI46">
        <f t="shared" si="105"/>
        <v>0</v>
      </c>
      <c r="JJ46" s="447">
        <f t="shared" si="106"/>
        <v>0</v>
      </c>
      <c r="JK46" s="447">
        <f t="shared" si="107"/>
        <v>0</v>
      </c>
      <c r="JL46">
        <f t="shared" si="108"/>
        <v>0</v>
      </c>
      <c r="JM46" s="245" t="str">
        <f>IFERROR(VLOOKUP(MATCH(BN46,#REF!,0),#REF!,7),"")</f>
        <v/>
      </c>
      <c r="JN46" t="e">
        <f>HLOOKUP(LEFT(BO46,7),Discharge_Area,MATCH(JO46,LookUps!$B$130:$B$149,1)+2)</f>
        <v>#N/A</v>
      </c>
      <c r="JO46" t="str">
        <f t="shared" si="109"/>
        <v>- S</v>
      </c>
      <c r="JP46" t="e">
        <f>HLOOKUP(LEFT(BO46,7),Discharge_Area,MATCH(JO46,LookUps!$B$130:$B$149,1)+2)</f>
        <v>#N/A</v>
      </c>
      <c r="JQ46" t="e">
        <f t="shared" si="110"/>
        <v>#N/A</v>
      </c>
      <c r="JR46" t="e">
        <f t="shared" si="111"/>
        <v>#N/A</v>
      </c>
      <c r="JS46" t="e">
        <f t="shared" si="112"/>
        <v>#N/A</v>
      </c>
      <c r="JT46" s="532" t="str">
        <f t="shared" si="113"/>
        <v xml:space="preserve"> </v>
      </c>
      <c r="JU46" s="532" t="str">
        <f t="shared" si="114"/>
        <v xml:space="preserve"> </v>
      </c>
      <c r="JV46" s="533" t="str">
        <f t="shared" si="115"/>
        <v xml:space="preserve"> </v>
      </c>
      <c r="JW46" s="534">
        <f t="shared" si="116"/>
        <v>0</v>
      </c>
      <c r="JX46" s="535" t="str">
        <f t="shared" si="207"/>
        <v xml:space="preserve"> </v>
      </c>
      <c r="JY46" s="535" t="str">
        <f t="shared" si="208"/>
        <v xml:space="preserve"> </v>
      </c>
      <c r="JZ46" s="535" t="str">
        <f t="shared" si="209"/>
        <v xml:space="preserve"> </v>
      </c>
      <c r="KA46" s="536" t="str">
        <f t="shared" si="117"/>
        <v xml:space="preserve"> </v>
      </c>
      <c r="KB46" s="535" t="e">
        <f t="shared" si="210"/>
        <v>#VALUE!</v>
      </c>
      <c r="KC46" s="535" t="str">
        <f t="shared" si="118"/>
        <v/>
      </c>
      <c r="KD46" s="537" t="str">
        <f t="shared" si="211"/>
        <v xml:space="preserve"> </v>
      </c>
      <c r="KE46" s="537" t="str">
        <f t="shared" si="212"/>
        <v xml:space="preserve"> </v>
      </c>
      <c r="KF46" s="534">
        <f t="shared" si="119"/>
        <v>0</v>
      </c>
      <c r="KG46" s="535" t="str">
        <f t="shared" si="120"/>
        <v xml:space="preserve"> </v>
      </c>
      <c r="KH46" s="535" t="str">
        <f t="shared" si="121"/>
        <v xml:space="preserve"> </v>
      </c>
      <c r="KI46" s="535" t="str">
        <f t="shared" si="122"/>
        <v xml:space="preserve"> </v>
      </c>
      <c r="KJ46" s="536" t="str">
        <f t="shared" si="123"/>
        <v xml:space="preserve"> </v>
      </c>
      <c r="KK46" s="535" t="str">
        <f t="shared" si="213"/>
        <v xml:space="preserve"> </v>
      </c>
      <c r="KL46" s="535" t="str">
        <f t="shared" si="214"/>
        <v xml:space="preserve"> </v>
      </c>
      <c r="KM46" s="537" t="str">
        <f t="shared" si="124"/>
        <v xml:space="preserve"> </v>
      </c>
      <c r="KN46" s="537" t="str">
        <f t="shared" si="215"/>
        <v xml:space="preserve"> </v>
      </c>
      <c r="KP46">
        <f t="shared" si="125"/>
        <v>0</v>
      </c>
      <c r="LA46" t="e">
        <f t="shared" si="126"/>
        <v>#VALUE!</v>
      </c>
      <c r="LB46" t="e">
        <f t="shared" si="127"/>
        <v>#VALUE!</v>
      </c>
      <c r="LC46" t="e">
        <f t="shared" si="128"/>
        <v>#VALUE!</v>
      </c>
      <c r="LD46" t="e">
        <f t="shared" si="129"/>
        <v>#VALUE!</v>
      </c>
      <c r="LE46" t="e">
        <f t="shared" si="216"/>
        <v>#VALUE!</v>
      </c>
      <c r="LF46">
        <f t="shared" si="130"/>
        <v>0</v>
      </c>
      <c r="LG46" t="e">
        <f t="shared" si="217"/>
        <v>#VALUE!</v>
      </c>
      <c r="LH46" t="str">
        <f t="shared" si="131"/>
        <v xml:space="preserve"> </v>
      </c>
      <c r="LI46">
        <f t="shared" si="218"/>
        <v>1</v>
      </c>
    </row>
    <row r="47" spans="2:321" ht="15" customHeight="1">
      <c r="B47" s="311"/>
      <c r="C47" s="311"/>
      <c r="D47" s="312"/>
      <c r="E47" s="311"/>
      <c r="F47" s="312"/>
      <c r="G47" s="311"/>
      <c r="H47" s="311"/>
      <c r="I47" s="37"/>
      <c r="J47" s="311"/>
      <c r="K47" s="305" t="str">
        <f t="shared" si="132"/>
        <v/>
      </c>
      <c r="L47" s="313"/>
      <c r="M47" s="312"/>
      <c r="N47" s="311"/>
      <c r="O47" s="312"/>
      <c r="P47" s="311"/>
      <c r="Q47" s="305" t="str">
        <f t="shared" si="133"/>
        <v/>
      </c>
      <c r="R47" s="314"/>
      <c r="S47" s="450" t="str">
        <f t="shared" si="0"/>
        <v/>
      </c>
      <c r="T47" s="315"/>
      <c r="U47" s="315"/>
      <c r="W47" s="149" t="str">
        <f t="shared" si="1"/>
        <v xml:space="preserve"> </v>
      </c>
      <c r="X47" s="243" t="str">
        <f t="shared" si="2"/>
        <v xml:space="preserve"> </v>
      </c>
      <c r="Y47" s="150" t="str">
        <f t="shared" si="3"/>
        <v/>
      </c>
      <c r="Z47" s="149" t="str">
        <f t="shared" si="4"/>
        <v xml:space="preserve"> </v>
      </c>
      <c r="AA47" s="98" t="str">
        <f t="shared" si="5"/>
        <v xml:space="preserve"> </v>
      </c>
      <c r="AB47" s="153" t="str">
        <f t="shared" si="6"/>
        <v xml:space="preserve"> </v>
      </c>
      <c r="AC47" s="153" t="str">
        <f t="shared" si="7"/>
        <v xml:space="preserve"> </v>
      </c>
      <c r="AD47" s="148" t="str">
        <f t="shared" si="8"/>
        <v/>
      </c>
      <c r="AE47" s="149" t="str">
        <f t="shared" si="9"/>
        <v/>
      </c>
      <c r="AF47" s="151" t="str">
        <f t="shared" si="10"/>
        <v xml:space="preserve"> </v>
      </c>
      <c r="AG47" s="153" t="str">
        <f t="shared" si="11"/>
        <v xml:space="preserve"> </v>
      </c>
      <c r="AH47" s="98" t="str">
        <f t="shared" si="12"/>
        <v xml:space="preserve"> </v>
      </c>
      <c r="AI47" s="149" t="str">
        <f t="shared" si="13"/>
        <v xml:space="preserve"> </v>
      </c>
      <c r="AK47" s="144" t="str">
        <f t="shared" si="14"/>
        <v xml:space="preserve"> </v>
      </c>
      <c r="AL47" s="144"/>
      <c r="AM47" s="243" t="str">
        <f t="shared" si="15"/>
        <v xml:space="preserve"> </v>
      </c>
      <c r="AN47" s="149" t="str">
        <f t="shared" si="134"/>
        <v xml:space="preserve"> </v>
      </c>
      <c r="AO47" s="144" t="str">
        <f>IF(JB47&gt;0,IF(GI47=10,-R47*1.085*(Calculation!$F$6-Calculation!$F$13)*$S$14," "),"")</f>
        <v/>
      </c>
      <c r="AP47" s="144" t="str">
        <f t="shared" si="16"/>
        <v/>
      </c>
      <c r="AQ47" s="56" t="str">
        <f t="shared" si="17"/>
        <v/>
      </c>
      <c r="AR47" s="144" t="str">
        <f t="shared" si="18"/>
        <v/>
      </c>
      <c r="AS47" s="176" t="str">
        <f t="shared" si="19"/>
        <v/>
      </c>
      <c r="AT47" s="176" t="str">
        <f t="shared" si="135"/>
        <v xml:space="preserve"> </v>
      </c>
      <c r="AU47" s="176" t="str">
        <f t="shared" si="20"/>
        <v/>
      </c>
      <c r="AV47" s="177" t="str">
        <f t="shared" si="21"/>
        <v xml:space="preserve"> </v>
      </c>
      <c r="AW47" s="144" t="str">
        <f t="shared" si="22"/>
        <v xml:space="preserve"> </v>
      </c>
      <c r="AX47" s="144" t="str">
        <f t="shared" si="23"/>
        <v xml:space="preserve"> </v>
      </c>
      <c r="AY47" s="152" t="str">
        <f t="shared" si="24"/>
        <v xml:space="preserve"> </v>
      </c>
      <c r="AZ47" s="246" t="str">
        <f t="shared" si="25"/>
        <v/>
      </c>
      <c r="BA47" s="176" t="str">
        <f t="shared" si="26"/>
        <v xml:space="preserve"> </v>
      </c>
      <c r="BB47" s="176" t="str">
        <f t="shared" si="27"/>
        <v xml:space="preserve"> </v>
      </c>
      <c r="BC47" s="195"/>
      <c r="BD47" s="316"/>
      <c r="BE47" s="317"/>
      <c r="BF47" s="318"/>
      <c r="BG47" s="318"/>
      <c r="BH47" s="144" t="str">
        <f t="shared" si="219"/>
        <v xml:space="preserve"> </v>
      </c>
      <c r="BI47" s="176" t="str">
        <f t="shared" si="28"/>
        <v/>
      </c>
      <c r="BJ47" s="144" t="str">
        <f t="shared" si="220"/>
        <v/>
      </c>
      <c r="BK47" s="246" t="str">
        <f t="shared" si="29"/>
        <v/>
      </c>
      <c r="BL47" s="144" t="str">
        <f t="shared" si="221"/>
        <v/>
      </c>
      <c r="BM47" s="246" t="str">
        <f t="shared" si="30"/>
        <v/>
      </c>
      <c r="BN47" s="337" t="str">
        <f t="shared" si="136"/>
        <v/>
      </c>
      <c r="BO47" s="371" t="str">
        <f t="shared" si="137"/>
        <v/>
      </c>
      <c r="BP47" s="328" t="str">
        <f t="shared" si="222"/>
        <v xml:space="preserve"> </v>
      </c>
      <c r="BQ47" s="347" t="str">
        <f t="shared" si="138"/>
        <v xml:space="preserve"> </v>
      </c>
      <c r="BR47" s="353" t="str">
        <f t="shared" si="223"/>
        <v xml:space="preserve"> </v>
      </c>
      <c r="BS47" s="626" t="str">
        <f>IF(L47&gt;0,IF(Calculation!P47="M13",BR47*3.1416*(0.134^2)/(4*144),IF(Calculation!P47="M17",BR47*3.1416*(0.165^2)/(4*144),IF(Calculation!P47="M20",BR47*3.1416*(0.198^2)/(4*144),IF(Calculation!P47="M23",BR47*3.1416*(0.228^2)/(4*144),IF(Calculation!P47="M27",BR47*3.1416*(0.269^2)/(4*144),BR47*3.1416*(0.307^2)/(4*144))))))," ")</f>
        <v xml:space="preserve"> </v>
      </c>
      <c r="BT47" s="353" t="str">
        <f>IF(L47&gt;0,IF(BS47&gt;0,R47/Calculation!BS47,0)," ")</f>
        <v xml:space="preserve"> </v>
      </c>
      <c r="BU47" s="438" t="e">
        <f t="shared" ca="1" si="31"/>
        <v>#VALUE!</v>
      </c>
      <c r="BV47" s="449" t="e">
        <f ca="1">INDEX(INDIRECT(VLOOKUP(LEFT(BO47,7),CLU!$Z$3:$AH$18,2)),GN47,GR47)</f>
        <v>#N/A</v>
      </c>
      <c r="BW47" s="433" t="e">
        <f ca="1">INDEX(INDIRECT(VLOOKUP(LEFT(BO47,7),CLU!$Z$3:$AH$18,3)),GN47,GR47)</f>
        <v>#N/A</v>
      </c>
      <c r="BX47" s="433" t="e">
        <f ca="1">INDEX(INDIRECT(VLOOKUP(LEFT(BO47,7),CLU!$Z$3:$AH$18,4)),GN47,GR47)</f>
        <v>#N/A</v>
      </c>
      <c r="BY47" s="433" t="e">
        <f ca="1">INDEX(INDIRECT(VLOOKUP(LEFT(BO47,7),CLU!$Z$3:$AH$18,9)),((M47-2)*(6-COUNTBLANK(GT47:GY47)))+GJ47)</f>
        <v>#N/A</v>
      </c>
      <c r="BZ47" s="426" t="e">
        <f t="shared" ca="1" si="139"/>
        <v>#N/A</v>
      </c>
      <c r="CA47" s="424" t="e">
        <f t="shared" ca="1" si="140"/>
        <v>#N/A</v>
      </c>
      <c r="CB47" s="429" t="e">
        <f ca="1">INDEX(INDIRECT(VLOOKUP(LEFT(BO47,7),CLU!$Z$3:$AH$18,2)),GN47,GS47)</f>
        <v>#N/A</v>
      </c>
      <c r="CC47" s="342" t="e">
        <f ca="1">INDEX(INDIRECT(VLOOKUP(LEFT(BO47,7),CLU!$Z$3:$AH$18,3)),GN47,GS47)</f>
        <v>#N/A</v>
      </c>
      <c r="CD47" s="342" t="e">
        <f ca="1">INDEX(INDIRECT(VLOOKUP(LEFT(BO47,7),CLU!$Z$3:$AH$18,4)),GN47,GS47)</f>
        <v>#N/A</v>
      </c>
      <c r="CE47" s="426" t="e">
        <f t="shared" ca="1" si="141"/>
        <v>#N/A</v>
      </c>
      <c r="CF47" s="440">
        <f t="shared" si="142"/>
        <v>0</v>
      </c>
      <c r="CG47" s="431" t="e">
        <f ca="1">INDEX(INDIRECT(VLOOKUP(LEFT(BO47,7),CLU!$Z$3:$AH$18,2)),GQ47,GR47)</f>
        <v>#N/A</v>
      </c>
      <c r="CH47" s="431" t="e">
        <f ca="1">INDEX(INDIRECT(VLOOKUP(LEFT(BO47,7),CLU!$Z$3:$AH$18,3)),GQ47,GR47)</f>
        <v>#N/A</v>
      </c>
      <c r="CI47" s="431" t="e">
        <f ca="1">INDEX(INDIRECT(VLOOKUP(LEFT(BO47,7),CLU!$Z$3:$AH$18,4)),GQ47,GR47)</f>
        <v>#N/A</v>
      </c>
      <c r="CJ47" s="448" t="e">
        <f t="shared" ca="1" si="143"/>
        <v>#N/A</v>
      </c>
      <c r="CK47" s="431" t="e">
        <f t="shared" ca="1" si="144"/>
        <v>#N/A</v>
      </c>
      <c r="CL47" s="440" t="e">
        <f t="shared" ca="1" si="145"/>
        <v>#N/A</v>
      </c>
      <c r="CM47" s="431" t="e">
        <f ca="1">INDEX(INDIRECT(VLOOKUP(LEFT(BO47,7),CLU!$Z$3:$AH$18,2)),GQ47,GS47)</f>
        <v>#N/A</v>
      </c>
      <c r="CN47" s="431" t="e">
        <f ca="1">INDEX(INDIRECT(VLOOKUP(LEFT(BO47,7),CLU!$Z$3:$AH$18,3)),GQ47,GS47)</f>
        <v>#N/A</v>
      </c>
      <c r="CO47" s="431" t="e">
        <f ca="1">INDEX(INDIRECT(VLOOKUP(LEFT(BO47,7),CLU!$Z$3:$AH$18,4)),GQ47,GS47)</f>
        <v>#N/A</v>
      </c>
      <c r="CP47" s="431" t="e">
        <f t="shared" ca="1" si="146"/>
        <v>#N/A</v>
      </c>
      <c r="CQ47" s="440">
        <f t="shared" si="147"/>
        <v>0</v>
      </c>
      <c r="CR47" s="51" t="e">
        <f t="shared" ca="1" si="148"/>
        <v>#N/A</v>
      </c>
      <c r="CS47" s="439" t="e">
        <f t="shared" ca="1" si="149"/>
        <v>#VALUE!</v>
      </c>
      <c r="CT47" s="51" t="e">
        <f t="shared" ca="1" si="150"/>
        <v>#VALUE!</v>
      </c>
      <c r="CU47" s="10"/>
      <c r="CV47" s="51" t="e">
        <f t="shared" ca="1" si="34"/>
        <v>#VALUE!</v>
      </c>
      <c r="CW47" s="51">
        <f t="shared" si="151"/>
        <v>0</v>
      </c>
      <c r="CX47" s="439" t="e">
        <f t="shared" ca="1" si="152"/>
        <v>#VALUE!</v>
      </c>
      <c r="CY47" s="51" t="e">
        <f t="shared" ca="1" si="153"/>
        <v>#VALUE!</v>
      </c>
      <c r="CZ47" s="10"/>
      <c r="DA47" s="51" t="e">
        <f t="shared" ca="1" si="154"/>
        <v>#VALUE!</v>
      </c>
      <c r="DB47" s="347" t="e">
        <f ca="1">INDEX(INDIRECT(VLOOKUP(LEFT(BO47,7),CLU!$Z$3:$AI$18,10)),((M47-2)*(6-COUNTBLANK(GT47:GY47)))+GJ47)*LI47</f>
        <v>#N/A</v>
      </c>
      <c r="DC47" s="347" t="str">
        <f>IF(L47&gt;0,((R47/Worksheet!$I$15)/DB47)^2," ")</f>
        <v xml:space="preserve"> </v>
      </c>
      <c r="DD47" s="602" t="str">
        <f t="shared" si="224"/>
        <v xml:space="preserve"> </v>
      </c>
      <c r="DE47" s="347" t="str">
        <f t="shared" si="35"/>
        <v xml:space="preserve"> </v>
      </c>
      <c r="DF47" s="356" t="e">
        <f ca="1">INDEX(INDIRECT(VLOOKUP(LEFT(BO47,7),CLU!$Z$3:$AH$18,8)),((M47-2)*(6-COUNTBLANK(GT47:GY47)))+GJ47)</f>
        <v>#N/A</v>
      </c>
      <c r="DG47" s="347" t="str">
        <f t="shared" si="36"/>
        <v xml:space="preserve"> </v>
      </c>
      <c r="DH47" s="357" t="str">
        <f t="shared" si="37"/>
        <v xml:space="preserve"> </v>
      </c>
      <c r="DI47" s="355" t="str">
        <f t="shared" si="38"/>
        <v xml:space="preserve"> </v>
      </c>
      <c r="DJ47" s="245" t="e">
        <f ca="1">INDEX(INDIRECT(VLOOKUP(LEFT(BO47,7),CLU!$Z$3:$AH$18,5)),GL47,GK47)</f>
        <v>#N/A</v>
      </c>
      <c r="DK47" s="245" t="e">
        <f ca="1">INDEX(INDIRECT(VLOOKUP(LEFT(BO47,7),CLU!$Z$3:$AH$18,6)),GL47,GK47)</f>
        <v>#N/A</v>
      </c>
      <c r="DL47" s="355">
        <f>(Calculation!R47*0.69143*(Calculation!$BQ$8-Calculation!$F$8))*$S$14</f>
        <v>0</v>
      </c>
      <c r="DM47" s="359" t="e">
        <f t="shared" si="160"/>
        <v>#VALUE!</v>
      </c>
      <c r="DN47" s="611">
        <f t="shared" si="161"/>
        <v>0</v>
      </c>
      <c r="DO47" s="359">
        <f t="shared" si="162"/>
        <v>100</v>
      </c>
      <c r="DP47" s="359">
        <f t="shared" si="163"/>
        <v>0</v>
      </c>
      <c r="DQ47" s="360"/>
      <c r="DR47" s="245" t="e">
        <f ca="1">INDEX(INDIRECT(VLOOKUP(LEFT(BO47,7),CLU!$Z$3:$AH$18,7)),M47-1,1)</f>
        <v>#N/A</v>
      </c>
      <c r="DS47" s="245" t="e">
        <f ca="1">INDEX(INDIRECT(VLOOKUP(LEFT(BO47,7),CLU!$Z$3:$AH$18,7)),M47-1,2)</f>
        <v>#N/A</v>
      </c>
      <c r="DT47" s="245" t="e">
        <f ca="1">INDEX(INDIRECT(VLOOKUP(LEFT(BO47,7),CLU!$Z$3:$AH$18,7)),M47-1,3)</f>
        <v>#N/A</v>
      </c>
      <c r="DU47" s="245" t="e">
        <f ca="1">INDEX(INDIRECT(VLOOKUP(LEFT(BO47,7),CLU!$Z$3:$AH$18,7)),M47-1,4)</f>
        <v>#N/A</v>
      </c>
      <c r="DV47" s="361" t="e">
        <f ca="1">INDEX(INDIRECT(VLOOKUP(LEFT(BO47,7),CLU!$Z$3:$AH$18,7)),M47-1,4+LEFT(DZ47,1)*0.5)</f>
        <v>#N/A</v>
      </c>
      <c r="DW47" s="245" t="e">
        <f ca="1">INDEX(INDIRECT(VLOOKUP(LEFT(BO47,7),CLU!$Z$3:$AH$18,7)),M47-1,8)</f>
        <v>#N/A</v>
      </c>
      <c r="DX47" s="361" t="str">
        <f t="shared" si="39"/>
        <v xml:space="preserve"> </v>
      </c>
      <c r="DY47" s="361" t="str">
        <f t="shared" si="40"/>
        <v xml:space="preserve"> </v>
      </c>
      <c r="DZ47" s="361" t="str">
        <f t="shared" si="41"/>
        <v xml:space="preserve"> </v>
      </c>
      <c r="EA47" s="362" t="str">
        <f t="shared" si="42"/>
        <v xml:space="preserve"> </v>
      </c>
      <c r="EB47" s="624" t="str">
        <f t="shared" si="168"/>
        <v xml:space="preserve"> </v>
      </c>
      <c r="EC47" s="361" t="e">
        <f ca="1">INDEX(INDIRECT(VLOOKUP(LEFT(BO47,7),CLU!$Z$3:$AH$18,7)),M47-1,4+LEFT(DZ47,1)*0.5)</f>
        <v>#N/A</v>
      </c>
      <c r="ED47" s="362" t="str">
        <f t="shared" si="43"/>
        <v xml:space="preserve"> </v>
      </c>
      <c r="EE47" s="361" t="str">
        <f t="shared" si="44"/>
        <v xml:space="preserve"> </v>
      </c>
      <c r="EF47" s="362" t="str">
        <f>IF(L47&gt;0,IF(BR47&gt;0,IF(EE47="2P",IF(Calculation!DZ47="2P",IF(Calculation!DS47=13.75,IF(Calculation!DR47=13,Worksheet!$BD$43,IF(Calculation!DR47=37,Worksheet!$BD$44,Worksheet!$BD$45)),IF(Calculation!DS47=10,IF(Calculation!DR47=18,Worksheet!$BD$29,IF(Calculation!DR47=30,Worksheet!$BD$30,IF(Calculation!DR47=42,Worksheet!$BD$31,IF(Calculation!DR47=54,Worksheet!$BD$32,IF(Calculation!DR47=66,Worksheet!$BD$33,IF(Calculation!DR47=78,Worksheet!$BD$34,IF(Calculation!DR47=90,Worksheet!$BD$35,IF(Calculation!DR47=102,Worksheet!$BD$36,Worksheet!$BD$37)))))))),IF(Calculation!DS47=12.5,IF(Calculation!DR47=18,Worksheet!$BD$38,IF(Calculation!DR47=Worksheet!$BD$39,IF(Calculation!DR47=42,Worksheet!$BD$40,IF(Calculation!DR47=54,Worksheet!$BD$41,Worksheet!$BD$42)))),IF(Calculation!DR47=18,Worksheet!$BD$11,IF(Calculation!DR47=30,Worksheet!$BD$12,IF(Calculation!DR47=42,Worksheet!$BD$13,IF(Calculation!DR47=54,Worksheet!$BD$14,IF(Calculation!DR47=66,Worksheet!$BD$15,IF(Calculation!DR47=78,Worksheet!$BD$16,IF(Calculation!DR47=90,Worksheet!$BD$17,IF(Calculation!DR47=102,Worksheet!$BD$18,Worksheet!$BD$19))))))))))),IF(Calculation!DS47=13.75,IF(Calculation!DR47=13,Worksheet!$BD$78,IF(Calculation!DR47=37,Worksheet!$BD$79,Worksheet!$BD$80)),IF(Calculation!DS47=10,IF(Calculation!DR47=18,Worksheet!$BD$64,IF(Calculation!DR47=30,Worksheet!$BD$65,IF(Calculation!DR47=42,Worksheet!$BD$66,IF(Calculation!DR47=54,Worksheet!$BD$68,IF(Calculation!DR47=66,Worksheet!$BD$68,IF(Calculation!DR47=78,Worksheet!$BD$69,IF(Calculation!DR47=90,Worksheet!$BD$70,IF(Calculation!DR47=102,Worksheet!$BD$71,Worksheet!$BD$72)))))))),IF(Calculation!DS47=12.5,IF(Calculation!DR47=18,Worksheet!$BD$73,IF(Calculation!DR47=Worksheet!$BD$74,IF(Calculation!DR47=42,Worksheet!$BD$75,IF(Calculation!DR47=54,Worksheet!$BD$76,Worksheet!$BD$77)))),IF(Calculation!DR47=18,Worksheet!$BD$55,IF(Calculation!DR47=30,Worksheet!$BD$56,IF(Calculation!DR47=42,Worksheet!$BD$57,IF(Calculation!DR47=54,Worksheet!$BD$58,IF(Calculation!DR47=66,Worksheet!$BD$59,IF(Calculation!DR47=78,Worksheet!$BD$60,IF(Calculation!DR47=90,Worksheet!$BD$61,IF(Calculation!DR47=102,Worksheet!$BD$62,Worksheet!$BD$63)))))))))))),5),0)," ")</f>
        <v xml:space="preserve"> </v>
      </c>
      <c r="EG47" s="361" t="str">
        <f t="shared" si="45"/>
        <v xml:space="preserve"> </v>
      </c>
      <c r="EH47" s="361" t="e">
        <f ca="1">INDEX(INDIRECT(VLOOKUP(LEFT(BO47,7),CLU!$Z$3:$AH$18,7)),M47-1,3+LEFT(DZ47,1))</f>
        <v>#N/A</v>
      </c>
      <c r="EI47" s="362" t="str">
        <f t="shared" si="46"/>
        <v xml:space="preserve"> </v>
      </c>
      <c r="EJ47" s="363" t="str">
        <f t="shared" si="47"/>
        <v xml:space="preserve"> </v>
      </c>
      <c r="EK47" s="363" t="str">
        <f t="shared" si="48"/>
        <v xml:space="preserve"> </v>
      </c>
      <c r="EL47" s="363" t="str">
        <f t="shared" si="49"/>
        <v xml:space="preserve"> </v>
      </c>
      <c r="EM47" s="362" t="str">
        <f>IF(L47&gt;0,IF(BR47&gt;0,(Calculation!T47/ED47)^2,0)," ")</f>
        <v xml:space="preserve"> </v>
      </c>
      <c r="EN47" s="362" t="str">
        <f>IF(L47&gt;0,IF(O47="2 Pipe (Cooling)","N/A",IF(BR47&gt;0,(Calculation!U47/EI47)^2,0))," ")</f>
        <v xml:space="preserve"> </v>
      </c>
      <c r="EO47" s="361" t="str">
        <f t="shared" si="50"/>
        <v/>
      </c>
      <c r="EP47" s="361" t="str">
        <f t="shared" si="51"/>
        <v/>
      </c>
      <c r="EQ47" s="361" t="str">
        <f t="shared" si="52"/>
        <v/>
      </c>
      <c r="ER47" s="361" t="str">
        <f t="shared" si="53"/>
        <v/>
      </c>
      <c r="ES47" s="361" t="str">
        <f t="shared" si="54"/>
        <v/>
      </c>
      <c r="ET47" s="361" t="str">
        <f t="shared" si="55"/>
        <v/>
      </c>
      <c r="EU47" s="361" t="str">
        <f t="shared" si="56"/>
        <v/>
      </c>
      <c r="EV47" s="361" t="str">
        <f t="shared" si="57"/>
        <v/>
      </c>
      <c r="EW47" s="361" t="str">
        <f t="shared" si="58"/>
        <v/>
      </c>
      <c r="EX47" s="361" t="str">
        <f t="shared" si="169"/>
        <v>1 slot, 1 way</v>
      </c>
      <c r="EY47" s="361" t="str">
        <f t="shared" si="170"/>
        <v xml:space="preserve"> </v>
      </c>
      <c r="EZ47" s="361" t="str">
        <f t="shared" si="171"/>
        <v xml:space="preserve"> </v>
      </c>
      <c r="FA47" s="361" t="str">
        <f t="shared" si="172"/>
        <v xml:space="preserve"> </v>
      </c>
      <c r="FB47" s="361" t="str">
        <f t="shared" si="173"/>
        <v xml:space="preserve"> </v>
      </c>
      <c r="FC47" s="361"/>
      <c r="FD47" s="361" t="str">
        <f>IF(J47&gt;0,IF(Calculation!R47&lt;=70,4,IF(Calculation!R47&lt;=110,5,IF(Calculation!R47&lt;=160,6,IF(Calculation!R47&lt;=300,8,"10 EO")))),"")</f>
        <v/>
      </c>
      <c r="FE47" s="361" t="str">
        <f t="shared" si="174"/>
        <v/>
      </c>
      <c r="FF47" s="361" t="str">
        <f t="shared" si="175"/>
        <v/>
      </c>
      <c r="FG47" s="361" t="e">
        <f t="shared" si="60"/>
        <v>#N/A</v>
      </c>
      <c r="FH47" s="361">
        <f t="shared" si="61"/>
        <v>0</v>
      </c>
      <c r="FI47" s="361" t="e">
        <f t="shared" si="62"/>
        <v>#DIV/0!</v>
      </c>
      <c r="FJ47" s="361"/>
      <c r="FK47" s="356" t="e">
        <f t="shared" si="63"/>
        <v>#VALUE!</v>
      </c>
      <c r="FL47" s="361"/>
      <c r="FM47" s="361"/>
      <c r="FN47" s="362" t="str">
        <f t="shared" si="176"/>
        <v xml:space="preserve"> </v>
      </c>
      <c r="FO47" s="362" t="str">
        <f t="shared" si="177"/>
        <v xml:space="preserve"> </v>
      </c>
      <c r="FP47" s="362">
        <f t="shared" si="178"/>
        <v>0</v>
      </c>
      <c r="FQ47" s="361">
        <f t="shared" si="64"/>
        <v>0</v>
      </c>
      <c r="FR47" s="362" t="str">
        <f>IF(L47&gt;0,IF(J47="CBAL2",Worksheet!$P$67,IF(J47="CBE2-24",Worksheet!$Q$67,IF(J47="CBAM",Worksheet!$R$67,IF(J47="CBLV",Worksheet!$S$67,IF(J47="CBAB",Worksheet!$U$67,IF(J47="CBAW",Worksheet!$X$67,IF(J47="CBE2-12",Worksheet!$Y$67,IF(J47="CBAL2",Worksheet!$Z$67,"N/A"))))))))," ")</f>
        <v xml:space="preserve"> </v>
      </c>
      <c r="FS47" s="362" t="str">
        <f>IF(L47&gt;0,IF(J47="CBAL2",Worksheet!$P$68,IF(J47="CBE2-24",Worksheet!$Q$68,IF(J47="CBAM",Worksheet!$R$68,IF(J47="CBLV",Worksheet!$S$68,IF(J47="CBAB",Worksheet!$U$68,IF(J47="CBAW",Worksheet!$X$68,IF(J47="CBE2-12",Worksheet!$Y$68,IF(J47="CBAL2",Worksheet!$Z$68,"N/A"))))))))," ")</f>
        <v xml:space="preserve"> </v>
      </c>
      <c r="FT47" s="362" t="str">
        <f>IF(L47&gt;0,IF(J47="CBAL2",Worksheet!$P$69,IF(J47="CBE2-24",Worksheet!$Q$69,IF(J47="CBAM",Worksheet!$R$69,IF(J47="CBLV",Worksheet!$S$69,IF(J47="CBAB",Worksheet!$U$69,IF(J47="CBAW",Worksheet!$X$69,IF(J47="CBE2-12",Worksheet!$Y$69,IF(J47="CBAL2",Worksheet!$Z$69,"N/A"))))))))," ")</f>
        <v xml:space="preserve"> </v>
      </c>
      <c r="FU47" s="361" t="str">
        <f t="shared" si="179"/>
        <v xml:space="preserve"> </v>
      </c>
      <c r="FV47" s="362" t="str">
        <f t="shared" si="180"/>
        <v xml:space="preserve"> </v>
      </c>
      <c r="FW47" s="362" t="str">
        <f t="shared" si="181"/>
        <v xml:space="preserve"> </v>
      </c>
      <c r="FX47" s="362" t="str">
        <f t="shared" si="182"/>
        <v xml:space="preserve"> </v>
      </c>
      <c r="FY47" s="355" t="str">
        <f t="shared" si="183"/>
        <v xml:space="preserve"> </v>
      </c>
      <c r="FZ47" s="361" t="str">
        <f t="shared" si="184"/>
        <v xml:space="preserve"> </v>
      </c>
      <c r="GA47" s="347" t="str">
        <f t="shared" si="185"/>
        <v xml:space="preserve"> </v>
      </c>
      <c r="GB47" s="355" t="str">
        <f t="shared" si="186"/>
        <v xml:space="preserve"> </v>
      </c>
      <c r="GC47" s="328" t="str">
        <f t="shared" si="187"/>
        <v xml:space="preserve"> </v>
      </c>
      <c r="GD47" s="361" t="str">
        <f t="shared" si="188"/>
        <v xml:space="preserve"> </v>
      </c>
      <c r="GE47" s="347" t="str">
        <f t="shared" si="189"/>
        <v xml:space="preserve"> </v>
      </c>
      <c r="GF47" s="361" t="str">
        <f t="shared" si="190"/>
        <v xml:space="preserve"> </v>
      </c>
      <c r="GG47" s="347" t="str">
        <f t="shared" si="191"/>
        <v xml:space="preserve"> </v>
      </c>
      <c r="GH47" s="364">
        <f t="shared" si="78"/>
        <v>0</v>
      </c>
      <c r="GI47" s="362">
        <f t="shared" si="192"/>
        <v>2</v>
      </c>
      <c r="GJ47" s="433" t="e">
        <f>IF(6-COUNTBLANK(GT47:GY47)=4,MATCH(MID(BO47,9,3),CLU!$H$16:$K$16),MATCH(MID(BO47,9,3),CLU!$H$13:$M$13))</f>
        <v>#N/A</v>
      </c>
      <c r="GK47" s="433" t="e">
        <f>HLOOKUP(VALUE(BP47),CLU!$H$9:$M$10,2)</f>
        <v>#VALUE!</v>
      </c>
      <c r="GL47" s="433" t="e">
        <f ca="1">MATCH(BU47,CLU!$H$2:$V$2,1)</f>
        <v>#VALUE!</v>
      </c>
      <c r="GM47" s="433" t="e">
        <f t="shared" ca="1" si="193"/>
        <v>#VALUE!</v>
      </c>
      <c r="GN47" s="433" t="e">
        <f t="shared" ca="1" si="194"/>
        <v>#VALUE!</v>
      </c>
      <c r="GO47" s="433" t="e">
        <f t="shared" ca="1" si="195"/>
        <v>#VALUE!</v>
      </c>
      <c r="GP47" s="433" t="e">
        <f t="shared" ca="1" si="196"/>
        <v>#VALUE!</v>
      </c>
      <c r="GQ47" s="433" t="e">
        <f t="shared" ca="1" si="197"/>
        <v>#VALUE!</v>
      </c>
      <c r="GR47" s="433" t="e">
        <f ca="1">MATCH(T47,INDIRECT(VLOOKUP(CONCATENATE(LEFT(BO47,7),"-",MID(BO47,13,1)),CLU!$P$3:$Q$16,2)),1)</f>
        <v>#N/A</v>
      </c>
      <c r="GS47" s="433" t="e">
        <f ca="1">MATCH(U47,INDIRECT(VLOOKUP(CONCATENATE(LEFT(BO47,7),"-",MID(BO47,13,1)),CLU!$P$3:$Q$16,2)),1)</f>
        <v>#N/A</v>
      </c>
      <c r="GT47" s="347" t="s">
        <v>512</v>
      </c>
      <c r="GU47" s="97" t="s">
        <v>513</v>
      </c>
      <c r="GV47" s="97" t="str">
        <f t="shared" si="198"/>
        <v>M23</v>
      </c>
      <c r="GW47" s="97" t="str">
        <f t="shared" si="199"/>
        <v>M31</v>
      </c>
      <c r="GX47" s="97" t="str">
        <f t="shared" si="200"/>
        <v/>
      </c>
      <c r="GY47" s="97" t="str">
        <f t="shared" si="201"/>
        <v/>
      </c>
      <c r="GZ47" s="481"/>
      <c r="HA47" s="288"/>
      <c r="HB47" s="240"/>
      <c r="HC47" s="240"/>
      <c r="HD47" s="240"/>
      <c r="HE47" s="240"/>
      <c r="HF47" s="240"/>
      <c r="HG47" s="240"/>
      <c r="HH47" s="240"/>
      <c r="HI47" s="240"/>
      <c r="HJ47" s="240"/>
      <c r="HK47" s="240"/>
      <c r="HL47" s="240"/>
      <c r="HM47" s="240"/>
      <c r="HN47" s="240"/>
      <c r="HO47" s="240"/>
      <c r="HP47" s="240"/>
      <c r="HQ47" s="240"/>
      <c r="HR47" s="240"/>
      <c r="HS47" s="240"/>
      <c r="HT47" s="240"/>
      <c r="HU47" s="240"/>
      <c r="HV47" s="245"/>
      <c r="HW47" s="245" t="b">
        <v>1</v>
      </c>
      <c r="HX47" s="245" t="str">
        <f t="shared" si="79"/>
        <v/>
      </c>
      <c r="HY47" s="245" t="e">
        <f t="shared" si="80"/>
        <v>#DIV/0!</v>
      </c>
      <c r="HZ47" s="245" t="e">
        <f t="shared" si="81"/>
        <v>#DIV/0!</v>
      </c>
      <c r="IA47" s="245">
        <f t="shared" si="82"/>
        <v>0</v>
      </c>
      <c r="IB47" s="245"/>
      <c r="IC47" t="b">
        <f t="shared" si="83"/>
        <v>1</v>
      </c>
      <c r="ID47" s="245" t="b">
        <f t="shared" si="84"/>
        <v>1</v>
      </c>
      <c r="IE47" s="245" t="b">
        <f t="shared" si="85"/>
        <v>1</v>
      </c>
      <c r="IF47" s="245" t="b">
        <f t="shared" si="86"/>
        <v>0</v>
      </c>
      <c r="IG47" s="245" t="b">
        <f t="shared" si="87"/>
        <v>1</v>
      </c>
      <c r="IH47" s="245" t="b">
        <f t="shared" si="88"/>
        <v>1</v>
      </c>
      <c r="II47" s="245">
        <f t="shared" si="202"/>
        <v>0</v>
      </c>
      <c r="IJ47" s="245" t="e">
        <f t="shared" si="89"/>
        <v>#VALUE!</v>
      </c>
      <c r="IK47" s="245" t="e">
        <f t="shared" si="90"/>
        <v>#VALUE!</v>
      </c>
      <c r="IL47" s="245"/>
      <c r="IM47" s="245" t="e">
        <f t="shared" si="203"/>
        <v>#N/A</v>
      </c>
      <c r="IN47" s="245" t="e">
        <f t="shared" si="204"/>
        <v>#N/A</v>
      </c>
      <c r="IO47" s="245"/>
      <c r="IP47" s="245"/>
      <c r="IQ47" s="245" t="str">
        <f t="shared" si="91"/>
        <v/>
      </c>
      <c r="IR47" s="245" t="str">
        <f>IF(J47="","",VLOOKUP(J47,Worksheet!$R$4:$T$14,2))</f>
        <v/>
      </c>
      <c r="IS47" s="245"/>
      <c r="IT47" s="245">
        <f t="shared" si="92"/>
        <v>0</v>
      </c>
      <c r="IU47" s="245">
        <f t="shared" si="93"/>
        <v>0</v>
      </c>
      <c r="IV47" s="245">
        <f t="shared" si="94"/>
        <v>0</v>
      </c>
      <c r="IW47" s="245">
        <f t="shared" si="95"/>
        <v>0</v>
      </c>
      <c r="IX47" s="245">
        <f t="shared" si="205"/>
        <v>0</v>
      </c>
      <c r="IY47" s="245">
        <f t="shared" si="96"/>
        <v>0</v>
      </c>
      <c r="IZ47" s="245">
        <f t="shared" si="97"/>
        <v>0</v>
      </c>
      <c r="JA47">
        <f t="shared" si="98"/>
        <v>0</v>
      </c>
      <c r="JB47">
        <f t="shared" si="206"/>
        <v>0</v>
      </c>
      <c r="JC47">
        <f t="shared" si="99"/>
        <v>0</v>
      </c>
      <c r="JD47">
        <f t="shared" si="100"/>
        <v>0</v>
      </c>
      <c r="JE47">
        <f t="shared" si="101"/>
        <v>0</v>
      </c>
      <c r="JF47">
        <f t="shared" si="102"/>
        <v>0</v>
      </c>
      <c r="JG47">
        <f t="shared" si="103"/>
        <v>0</v>
      </c>
      <c r="JH47">
        <f t="shared" si="104"/>
        <v>0</v>
      </c>
      <c r="JI47">
        <f t="shared" si="105"/>
        <v>0</v>
      </c>
      <c r="JJ47" s="447">
        <f t="shared" si="106"/>
        <v>0</v>
      </c>
      <c r="JK47" s="447">
        <f t="shared" si="107"/>
        <v>0</v>
      </c>
      <c r="JL47">
        <f t="shared" si="108"/>
        <v>0</v>
      </c>
      <c r="JM47" s="245" t="str">
        <f>IFERROR(VLOOKUP(MATCH(BN47,#REF!,0),#REF!,7),"")</f>
        <v/>
      </c>
      <c r="JN47" t="e">
        <f>HLOOKUP(LEFT(BO47,7),Discharge_Area,MATCH(JO47,LookUps!$B$130:$B$149,1)+2)</f>
        <v>#N/A</v>
      </c>
      <c r="JO47" t="str">
        <f t="shared" si="109"/>
        <v>- S</v>
      </c>
      <c r="JP47" t="e">
        <f>HLOOKUP(LEFT(BO47,7),Discharge_Area,MATCH(JO47,LookUps!$B$130:$B$149,1)+2)</f>
        <v>#N/A</v>
      </c>
      <c r="JQ47" t="e">
        <f t="shared" si="110"/>
        <v>#N/A</v>
      </c>
      <c r="JR47" t="e">
        <f t="shared" si="111"/>
        <v>#N/A</v>
      </c>
      <c r="JS47" t="e">
        <f t="shared" si="112"/>
        <v>#N/A</v>
      </c>
      <c r="JT47" s="532" t="str">
        <f t="shared" si="113"/>
        <v xml:space="preserve"> </v>
      </c>
      <c r="JU47" s="532" t="str">
        <f t="shared" si="114"/>
        <v xml:space="preserve"> </v>
      </c>
      <c r="JV47" s="533" t="str">
        <f t="shared" si="115"/>
        <v xml:space="preserve"> </v>
      </c>
      <c r="JW47" s="534">
        <f t="shared" si="116"/>
        <v>0</v>
      </c>
      <c r="JX47" s="535" t="str">
        <f t="shared" si="207"/>
        <v xml:space="preserve"> </v>
      </c>
      <c r="JY47" s="535" t="str">
        <f t="shared" si="208"/>
        <v xml:space="preserve"> </v>
      </c>
      <c r="JZ47" s="535" t="str">
        <f t="shared" si="209"/>
        <v xml:space="preserve"> </v>
      </c>
      <c r="KA47" s="536" t="str">
        <f t="shared" si="117"/>
        <v xml:space="preserve"> </v>
      </c>
      <c r="KB47" s="535" t="e">
        <f t="shared" si="210"/>
        <v>#VALUE!</v>
      </c>
      <c r="KC47" s="535" t="str">
        <f t="shared" si="118"/>
        <v/>
      </c>
      <c r="KD47" s="537" t="str">
        <f t="shared" si="211"/>
        <v xml:space="preserve"> </v>
      </c>
      <c r="KE47" s="537" t="str">
        <f t="shared" si="212"/>
        <v xml:space="preserve"> </v>
      </c>
      <c r="KF47" s="534">
        <f t="shared" si="119"/>
        <v>0</v>
      </c>
      <c r="KG47" s="535" t="str">
        <f t="shared" si="120"/>
        <v xml:space="preserve"> </v>
      </c>
      <c r="KH47" s="535" t="str">
        <f t="shared" si="121"/>
        <v xml:space="preserve"> </v>
      </c>
      <c r="KI47" s="535" t="str">
        <f t="shared" si="122"/>
        <v xml:space="preserve"> </v>
      </c>
      <c r="KJ47" s="536" t="str">
        <f t="shared" si="123"/>
        <v xml:space="preserve"> </v>
      </c>
      <c r="KK47" s="535" t="str">
        <f t="shared" si="213"/>
        <v xml:space="preserve"> </v>
      </c>
      <c r="KL47" s="535" t="str">
        <f t="shared" si="214"/>
        <v xml:space="preserve"> </v>
      </c>
      <c r="KM47" s="537" t="str">
        <f t="shared" si="124"/>
        <v xml:space="preserve"> </v>
      </c>
      <c r="KN47" s="537" t="str">
        <f t="shared" si="215"/>
        <v xml:space="preserve"> </v>
      </c>
      <c r="KP47">
        <f t="shared" si="125"/>
        <v>0</v>
      </c>
      <c r="LA47" t="e">
        <f t="shared" si="126"/>
        <v>#VALUE!</v>
      </c>
      <c r="LB47" t="e">
        <f t="shared" si="127"/>
        <v>#VALUE!</v>
      </c>
      <c r="LC47" t="e">
        <f t="shared" si="128"/>
        <v>#VALUE!</v>
      </c>
      <c r="LD47" t="e">
        <f t="shared" si="129"/>
        <v>#VALUE!</v>
      </c>
      <c r="LE47" t="e">
        <f t="shared" si="216"/>
        <v>#VALUE!</v>
      </c>
      <c r="LF47">
        <f t="shared" si="130"/>
        <v>0</v>
      </c>
      <c r="LG47" t="e">
        <f t="shared" si="217"/>
        <v>#VALUE!</v>
      </c>
      <c r="LH47" t="str">
        <f t="shared" si="131"/>
        <v xml:space="preserve"> </v>
      </c>
      <c r="LI47">
        <f t="shared" si="218"/>
        <v>1</v>
      </c>
    </row>
    <row r="48" spans="2:321" ht="15" customHeight="1">
      <c r="B48" s="311"/>
      <c r="C48" s="311"/>
      <c r="D48" s="312"/>
      <c r="E48" s="311"/>
      <c r="F48" s="312"/>
      <c r="G48" s="311"/>
      <c r="H48" s="311"/>
      <c r="I48" s="37"/>
      <c r="J48" s="311"/>
      <c r="K48" s="305" t="str">
        <f t="shared" si="132"/>
        <v/>
      </c>
      <c r="L48" s="313"/>
      <c r="M48" s="312"/>
      <c r="N48" s="311"/>
      <c r="O48" s="312"/>
      <c r="P48" s="311"/>
      <c r="Q48" s="305" t="str">
        <f t="shared" si="133"/>
        <v/>
      </c>
      <c r="R48" s="314"/>
      <c r="S48" s="450" t="str">
        <f t="shared" si="0"/>
        <v/>
      </c>
      <c r="T48" s="315"/>
      <c r="U48" s="315"/>
      <c r="W48" s="149" t="str">
        <f t="shared" si="1"/>
        <v xml:space="preserve"> </v>
      </c>
      <c r="X48" s="243" t="str">
        <f t="shared" si="2"/>
        <v xml:space="preserve"> </v>
      </c>
      <c r="Y48" s="150" t="str">
        <f t="shared" si="3"/>
        <v/>
      </c>
      <c r="Z48" s="149" t="str">
        <f t="shared" si="4"/>
        <v xml:space="preserve"> </v>
      </c>
      <c r="AA48" s="98" t="str">
        <f t="shared" si="5"/>
        <v xml:space="preserve"> </v>
      </c>
      <c r="AB48" s="153" t="str">
        <f t="shared" si="6"/>
        <v xml:space="preserve"> </v>
      </c>
      <c r="AC48" s="153" t="str">
        <f t="shared" si="7"/>
        <v xml:space="preserve"> </v>
      </c>
      <c r="AD48" s="148" t="str">
        <f t="shared" si="8"/>
        <v/>
      </c>
      <c r="AE48" s="149" t="str">
        <f t="shared" si="9"/>
        <v/>
      </c>
      <c r="AF48" s="151" t="str">
        <f t="shared" si="10"/>
        <v xml:space="preserve"> </v>
      </c>
      <c r="AG48" s="153" t="str">
        <f t="shared" si="11"/>
        <v xml:space="preserve"> </v>
      </c>
      <c r="AH48" s="98" t="str">
        <f t="shared" si="12"/>
        <v xml:space="preserve"> </v>
      </c>
      <c r="AI48" s="149" t="str">
        <f t="shared" si="13"/>
        <v xml:space="preserve"> </v>
      </c>
      <c r="AK48" s="144" t="str">
        <f t="shared" si="14"/>
        <v xml:space="preserve"> </v>
      </c>
      <c r="AL48" s="144"/>
      <c r="AM48" s="243" t="str">
        <f t="shared" si="15"/>
        <v xml:space="preserve"> </v>
      </c>
      <c r="AN48" s="149" t="str">
        <f t="shared" si="134"/>
        <v xml:space="preserve"> </v>
      </c>
      <c r="AO48" s="144" t="str">
        <f>IF(JB48&gt;0,IF(GI48=10,-R48*1.085*(Calculation!$F$6-Calculation!$F$13)*$S$14," "),"")</f>
        <v/>
      </c>
      <c r="AP48" s="144" t="str">
        <f t="shared" si="16"/>
        <v/>
      </c>
      <c r="AQ48" s="56" t="str">
        <f t="shared" si="17"/>
        <v/>
      </c>
      <c r="AR48" s="144" t="str">
        <f t="shared" si="18"/>
        <v/>
      </c>
      <c r="AS48" s="176" t="str">
        <f t="shared" si="19"/>
        <v/>
      </c>
      <c r="AT48" s="176" t="str">
        <f t="shared" si="135"/>
        <v xml:space="preserve"> </v>
      </c>
      <c r="AU48" s="176" t="str">
        <f t="shared" si="20"/>
        <v/>
      </c>
      <c r="AV48" s="177" t="str">
        <f t="shared" si="21"/>
        <v xml:space="preserve"> </v>
      </c>
      <c r="AW48" s="144" t="str">
        <f t="shared" si="22"/>
        <v xml:space="preserve"> </v>
      </c>
      <c r="AX48" s="144" t="str">
        <f t="shared" si="23"/>
        <v xml:space="preserve"> </v>
      </c>
      <c r="AY48" s="152" t="str">
        <f t="shared" si="24"/>
        <v xml:space="preserve"> </v>
      </c>
      <c r="AZ48" s="246" t="str">
        <f t="shared" si="25"/>
        <v/>
      </c>
      <c r="BA48" s="176" t="str">
        <f t="shared" si="26"/>
        <v xml:space="preserve"> </v>
      </c>
      <c r="BB48" s="176" t="str">
        <f t="shared" si="27"/>
        <v xml:space="preserve"> </v>
      </c>
      <c r="BC48" s="195"/>
      <c r="BD48" s="316"/>
      <c r="BE48" s="317"/>
      <c r="BF48" s="318"/>
      <c r="BG48" s="318"/>
      <c r="BH48" s="144" t="str">
        <f t="shared" si="219"/>
        <v xml:space="preserve"> </v>
      </c>
      <c r="BI48" s="176" t="str">
        <f t="shared" si="28"/>
        <v/>
      </c>
      <c r="BJ48" s="144" t="str">
        <f t="shared" si="220"/>
        <v/>
      </c>
      <c r="BK48" s="246" t="str">
        <f t="shared" si="29"/>
        <v/>
      </c>
      <c r="BL48" s="144" t="str">
        <f t="shared" si="221"/>
        <v/>
      </c>
      <c r="BM48" s="246" t="str">
        <f t="shared" si="30"/>
        <v/>
      </c>
      <c r="BN48" s="337" t="str">
        <f t="shared" si="136"/>
        <v/>
      </c>
      <c r="BO48" s="371" t="str">
        <f t="shared" si="137"/>
        <v/>
      </c>
      <c r="BP48" s="328" t="str">
        <f t="shared" si="222"/>
        <v xml:space="preserve"> </v>
      </c>
      <c r="BQ48" s="347" t="str">
        <f t="shared" si="138"/>
        <v xml:space="preserve"> </v>
      </c>
      <c r="BR48" s="353" t="str">
        <f t="shared" si="223"/>
        <v xml:space="preserve"> </v>
      </c>
      <c r="BS48" s="626" t="str">
        <f>IF(L48&gt;0,IF(Calculation!P48="M13",BR48*3.1416*(0.134^2)/(4*144),IF(Calculation!P48="M17",BR48*3.1416*(0.165^2)/(4*144),IF(Calculation!P48="M20",BR48*3.1416*(0.198^2)/(4*144),IF(Calculation!P48="M23",BR48*3.1416*(0.228^2)/(4*144),IF(Calculation!P48="M27",BR48*3.1416*(0.269^2)/(4*144),BR48*3.1416*(0.307^2)/(4*144))))))," ")</f>
        <v xml:space="preserve"> </v>
      </c>
      <c r="BT48" s="353" t="str">
        <f>IF(L48&gt;0,IF(BS48&gt;0,R48/Calculation!BS48,0)," ")</f>
        <v xml:space="preserve"> </v>
      </c>
      <c r="BU48" s="438" t="e">
        <f t="shared" ca="1" si="31"/>
        <v>#VALUE!</v>
      </c>
      <c r="BV48" s="449" t="e">
        <f ca="1">INDEX(INDIRECT(VLOOKUP(LEFT(BO48,7),CLU!$Z$3:$AH$18,2)),GN48,GR48)</f>
        <v>#N/A</v>
      </c>
      <c r="BW48" s="433" t="e">
        <f ca="1">INDEX(INDIRECT(VLOOKUP(LEFT(BO48,7),CLU!$Z$3:$AH$18,3)),GN48,GR48)</f>
        <v>#N/A</v>
      </c>
      <c r="BX48" s="433" t="e">
        <f ca="1">INDEX(INDIRECT(VLOOKUP(LEFT(BO48,7),CLU!$Z$3:$AH$18,4)),GN48,GR48)</f>
        <v>#N/A</v>
      </c>
      <c r="BY48" s="433" t="e">
        <f ca="1">INDEX(INDIRECT(VLOOKUP(LEFT(BO48,7),CLU!$Z$3:$AH$18,9)),((M48-2)*(6-COUNTBLANK(GT48:GY48)))+GJ48)</f>
        <v>#N/A</v>
      </c>
      <c r="BZ48" s="426" t="e">
        <f t="shared" ca="1" si="139"/>
        <v>#N/A</v>
      </c>
      <c r="CA48" s="424" t="e">
        <f t="shared" ca="1" si="140"/>
        <v>#N/A</v>
      </c>
      <c r="CB48" s="429" t="e">
        <f ca="1">INDEX(INDIRECT(VLOOKUP(LEFT(BO48,7),CLU!$Z$3:$AH$18,2)),GN48,GS48)</f>
        <v>#N/A</v>
      </c>
      <c r="CC48" s="342" t="e">
        <f ca="1">INDEX(INDIRECT(VLOOKUP(LEFT(BO48,7),CLU!$Z$3:$AH$18,3)),GN48,GS48)</f>
        <v>#N/A</v>
      </c>
      <c r="CD48" s="342" t="e">
        <f ca="1">INDEX(INDIRECT(VLOOKUP(LEFT(BO48,7),CLU!$Z$3:$AH$18,4)),GN48,GS48)</f>
        <v>#N/A</v>
      </c>
      <c r="CE48" s="426" t="e">
        <f t="shared" ca="1" si="141"/>
        <v>#N/A</v>
      </c>
      <c r="CF48" s="440">
        <f t="shared" si="142"/>
        <v>0</v>
      </c>
      <c r="CG48" s="431" t="e">
        <f ca="1">INDEX(INDIRECT(VLOOKUP(LEFT(BO48,7),CLU!$Z$3:$AH$18,2)),GQ48,GR48)</f>
        <v>#N/A</v>
      </c>
      <c r="CH48" s="431" t="e">
        <f ca="1">INDEX(INDIRECT(VLOOKUP(LEFT(BO48,7),CLU!$Z$3:$AH$18,3)),GQ48,GR48)</f>
        <v>#N/A</v>
      </c>
      <c r="CI48" s="431" t="e">
        <f ca="1">INDEX(INDIRECT(VLOOKUP(LEFT(BO48,7),CLU!$Z$3:$AH$18,4)),GQ48,GR48)</f>
        <v>#N/A</v>
      </c>
      <c r="CJ48" s="448" t="e">
        <f t="shared" ca="1" si="143"/>
        <v>#N/A</v>
      </c>
      <c r="CK48" s="431" t="e">
        <f t="shared" ca="1" si="144"/>
        <v>#N/A</v>
      </c>
      <c r="CL48" s="440" t="e">
        <f t="shared" ca="1" si="145"/>
        <v>#N/A</v>
      </c>
      <c r="CM48" s="431" t="e">
        <f ca="1">INDEX(INDIRECT(VLOOKUP(LEFT(BO48,7),CLU!$Z$3:$AH$18,2)),GQ48,GS48)</f>
        <v>#N/A</v>
      </c>
      <c r="CN48" s="431" t="e">
        <f ca="1">INDEX(INDIRECT(VLOOKUP(LEFT(BO48,7),CLU!$Z$3:$AH$18,3)),GQ48,GS48)</f>
        <v>#N/A</v>
      </c>
      <c r="CO48" s="431" t="e">
        <f ca="1">INDEX(INDIRECT(VLOOKUP(LEFT(BO48,7),CLU!$Z$3:$AH$18,4)),GQ48,GS48)</f>
        <v>#N/A</v>
      </c>
      <c r="CP48" s="431" t="e">
        <f t="shared" ca="1" si="146"/>
        <v>#N/A</v>
      </c>
      <c r="CQ48" s="440">
        <f t="shared" si="147"/>
        <v>0</v>
      </c>
      <c r="CR48" s="51" t="e">
        <f t="shared" ca="1" si="148"/>
        <v>#N/A</v>
      </c>
      <c r="CS48" s="439" t="e">
        <f t="shared" ca="1" si="149"/>
        <v>#VALUE!</v>
      </c>
      <c r="CT48" s="51" t="e">
        <f t="shared" ca="1" si="150"/>
        <v>#VALUE!</v>
      </c>
      <c r="CU48" s="10"/>
      <c r="CV48" s="51" t="e">
        <f t="shared" ca="1" si="34"/>
        <v>#VALUE!</v>
      </c>
      <c r="CW48" s="51">
        <f t="shared" si="151"/>
        <v>0</v>
      </c>
      <c r="CX48" s="439" t="e">
        <f t="shared" ca="1" si="152"/>
        <v>#VALUE!</v>
      </c>
      <c r="CY48" s="51" t="e">
        <f t="shared" ca="1" si="153"/>
        <v>#VALUE!</v>
      </c>
      <c r="CZ48" s="10"/>
      <c r="DA48" s="51" t="e">
        <f t="shared" ca="1" si="154"/>
        <v>#VALUE!</v>
      </c>
      <c r="DB48" s="347" t="e">
        <f ca="1">INDEX(INDIRECT(VLOOKUP(LEFT(BO48,7),CLU!$Z$3:$AI$18,10)),((M48-2)*(6-COUNTBLANK(GT48:GY48)))+GJ48)*LI48</f>
        <v>#N/A</v>
      </c>
      <c r="DC48" s="347" t="str">
        <f>IF(L48&gt;0,((R48/Worksheet!$I$15)/DB48)^2," ")</f>
        <v xml:space="preserve"> </v>
      </c>
      <c r="DD48" s="602" t="str">
        <f t="shared" si="224"/>
        <v xml:space="preserve"> </v>
      </c>
      <c r="DE48" s="347" t="str">
        <f t="shared" si="35"/>
        <v xml:space="preserve"> </v>
      </c>
      <c r="DF48" s="356" t="e">
        <f ca="1">INDEX(INDIRECT(VLOOKUP(LEFT(BO48,7),CLU!$Z$3:$AH$18,8)),((M48-2)*(6-COUNTBLANK(GT48:GY48)))+GJ48)</f>
        <v>#N/A</v>
      </c>
      <c r="DG48" s="347" t="str">
        <f t="shared" si="36"/>
        <v xml:space="preserve"> </v>
      </c>
      <c r="DH48" s="357" t="str">
        <f t="shared" si="37"/>
        <v xml:space="preserve"> </v>
      </c>
      <c r="DI48" s="355" t="str">
        <f t="shared" si="38"/>
        <v xml:space="preserve"> </v>
      </c>
      <c r="DJ48" s="245" t="e">
        <f ca="1">INDEX(INDIRECT(VLOOKUP(LEFT(BO48,7),CLU!$Z$3:$AH$18,5)),GL48,GK48)</f>
        <v>#N/A</v>
      </c>
      <c r="DK48" s="245" t="e">
        <f ca="1">INDEX(INDIRECT(VLOOKUP(LEFT(BO48,7),CLU!$Z$3:$AH$18,6)),GL48,GK48)</f>
        <v>#N/A</v>
      </c>
      <c r="DL48" s="355">
        <f>(Calculation!R48*0.69143*(Calculation!$BQ$8-Calculation!$F$8))*$S$14</f>
        <v>0</v>
      </c>
      <c r="DM48" s="359" t="e">
        <f t="shared" si="160"/>
        <v>#VALUE!</v>
      </c>
      <c r="DN48" s="611">
        <f t="shared" si="161"/>
        <v>0</v>
      </c>
      <c r="DO48" s="359">
        <f t="shared" si="162"/>
        <v>100</v>
      </c>
      <c r="DP48" s="359">
        <f t="shared" si="163"/>
        <v>0</v>
      </c>
      <c r="DQ48" s="360"/>
      <c r="DR48" s="245" t="e">
        <f ca="1">INDEX(INDIRECT(VLOOKUP(LEFT(BO48,7),CLU!$Z$3:$AH$18,7)),M48-1,1)</f>
        <v>#N/A</v>
      </c>
      <c r="DS48" s="245" t="e">
        <f ca="1">INDEX(INDIRECT(VLOOKUP(LEFT(BO48,7),CLU!$Z$3:$AH$18,7)),M48-1,2)</f>
        <v>#N/A</v>
      </c>
      <c r="DT48" s="245" t="e">
        <f ca="1">INDEX(INDIRECT(VLOOKUP(LEFT(BO48,7),CLU!$Z$3:$AH$18,7)),M48-1,3)</f>
        <v>#N/A</v>
      </c>
      <c r="DU48" s="245" t="e">
        <f ca="1">INDEX(INDIRECT(VLOOKUP(LEFT(BO48,7),CLU!$Z$3:$AH$18,7)),M48-1,4)</f>
        <v>#N/A</v>
      </c>
      <c r="DV48" s="361" t="e">
        <f ca="1">INDEX(INDIRECT(VLOOKUP(LEFT(BO48,7),CLU!$Z$3:$AH$18,7)),M48-1,4+LEFT(DZ48,1)*0.5)</f>
        <v>#N/A</v>
      </c>
      <c r="DW48" s="245" t="e">
        <f ca="1">INDEX(INDIRECT(VLOOKUP(LEFT(BO48,7),CLU!$Z$3:$AH$18,7)),M48-1,8)</f>
        <v>#N/A</v>
      </c>
      <c r="DX48" s="361" t="str">
        <f t="shared" si="39"/>
        <v xml:space="preserve"> </v>
      </c>
      <c r="DY48" s="361" t="str">
        <f t="shared" si="40"/>
        <v xml:space="preserve"> </v>
      </c>
      <c r="DZ48" s="361" t="str">
        <f t="shared" si="41"/>
        <v xml:space="preserve"> </v>
      </c>
      <c r="EA48" s="362" t="str">
        <f t="shared" si="42"/>
        <v xml:space="preserve"> </v>
      </c>
      <c r="EB48" s="624" t="str">
        <f t="shared" si="168"/>
        <v xml:space="preserve"> </v>
      </c>
      <c r="EC48" s="361" t="e">
        <f ca="1">INDEX(INDIRECT(VLOOKUP(LEFT(BO48,7),CLU!$Z$3:$AH$18,7)),M48-1,4+LEFT(DZ48,1)*0.5)</f>
        <v>#N/A</v>
      </c>
      <c r="ED48" s="362" t="str">
        <f t="shared" si="43"/>
        <v xml:space="preserve"> </v>
      </c>
      <c r="EE48" s="361" t="str">
        <f t="shared" si="44"/>
        <v xml:space="preserve"> </v>
      </c>
      <c r="EF48" s="362" t="str">
        <f>IF(L48&gt;0,IF(BR48&gt;0,IF(EE48="2P",IF(Calculation!DZ48="2P",IF(Calculation!DS48=13.75,IF(Calculation!DR48=13,Worksheet!$BD$43,IF(Calculation!DR48=37,Worksheet!$BD$44,Worksheet!$BD$45)),IF(Calculation!DS48=10,IF(Calculation!DR48=18,Worksheet!$BD$29,IF(Calculation!DR48=30,Worksheet!$BD$30,IF(Calculation!DR48=42,Worksheet!$BD$31,IF(Calculation!DR48=54,Worksheet!$BD$32,IF(Calculation!DR48=66,Worksheet!$BD$33,IF(Calculation!DR48=78,Worksheet!$BD$34,IF(Calculation!DR48=90,Worksheet!$BD$35,IF(Calculation!DR48=102,Worksheet!$BD$36,Worksheet!$BD$37)))))))),IF(Calculation!DS48=12.5,IF(Calculation!DR48=18,Worksheet!$BD$38,IF(Calculation!DR48=Worksheet!$BD$39,IF(Calculation!DR48=42,Worksheet!$BD$40,IF(Calculation!DR48=54,Worksheet!$BD$41,Worksheet!$BD$42)))),IF(Calculation!DR48=18,Worksheet!$BD$11,IF(Calculation!DR48=30,Worksheet!$BD$12,IF(Calculation!DR48=42,Worksheet!$BD$13,IF(Calculation!DR48=54,Worksheet!$BD$14,IF(Calculation!DR48=66,Worksheet!$BD$15,IF(Calculation!DR48=78,Worksheet!$BD$16,IF(Calculation!DR48=90,Worksheet!$BD$17,IF(Calculation!DR48=102,Worksheet!$BD$18,Worksheet!$BD$19))))))))))),IF(Calculation!DS48=13.75,IF(Calculation!DR48=13,Worksheet!$BD$78,IF(Calculation!DR48=37,Worksheet!$BD$79,Worksheet!$BD$80)),IF(Calculation!DS48=10,IF(Calculation!DR48=18,Worksheet!$BD$64,IF(Calculation!DR48=30,Worksheet!$BD$65,IF(Calculation!DR48=42,Worksheet!$BD$66,IF(Calculation!DR48=54,Worksheet!$BD$68,IF(Calculation!DR48=66,Worksheet!$BD$68,IF(Calculation!DR48=78,Worksheet!$BD$69,IF(Calculation!DR48=90,Worksheet!$BD$70,IF(Calculation!DR48=102,Worksheet!$BD$71,Worksheet!$BD$72)))))))),IF(Calculation!DS48=12.5,IF(Calculation!DR48=18,Worksheet!$BD$73,IF(Calculation!DR48=Worksheet!$BD$74,IF(Calculation!DR48=42,Worksheet!$BD$75,IF(Calculation!DR48=54,Worksheet!$BD$76,Worksheet!$BD$77)))),IF(Calculation!DR48=18,Worksheet!$BD$55,IF(Calculation!DR48=30,Worksheet!$BD$56,IF(Calculation!DR48=42,Worksheet!$BD$57,IF(Calculation!DR48=54,Worksheet!$BD$58,IF(Calculation!DR48=66,Worksheet!$BD$59,IF(Calculation!DR48=78,Worksheet!$BD$60,IF(Calculation!DR48=90,Worksheet!$BD$61,IF(Calculation!DR48=102,Worksheet!$BD$62,Worksheet!$BD$63)))))))))))),5),0)," ")</f>
        <v xml:space="preserve"> </v>
      </c>
      <c r="EG48" s="361" t="str">
        <f t="shared" si="45"/>
        <v xml:space="preserve"> </v>
      </c>
      <c r="EH48" s="361" t="e">
        <f ca="1">INDEX(INDIRECT(VLOOKUP(LEFT(BO48,7),CLU!$Z$3:$AH$18,7)),M48-1,3+LEFT(DZ48,1))</f>
        <v>#N/A</v>
      </c>
      <c r="EI48" s="362" t="str">
        <f t="shared" si="46"/>
        <v xml:space="preserve"> </v>
      </c>
      <c r="EJ48" s="363" t="str">
        <f t="shared" si="47"/>
        <v xml:space="preserve"> </v>
      </c>
      <c r="EK48" s="363" t="str">
        <f t="shared" si="48"/>
        <v xml:space="preserve"> </v>
      </c>
      <c r="EL48" s="363" t="str">
        <f t="shared" si="49"/>
        <v xml:space="preserve"> </v>
      </c>
      <c r="EM48" s="362" t="str">
        <f>IF(L48&gt;0,IF(BR48&gt;0,(Calculation!T48/ED48)^2,0)," ")</f>
        <v xml:space="preserve"> </v>
      </c>
      <c r="EN48" s="362" t="str">
        <f>IF(L48&gt;0,IF(O48="2 Pipe (Cooling)","N/A",IF(BR48&gt;0,(Calculation!U48/EI48)^2,0))," ")</f>
        <v xml:space="preserve"> </v>
      </c>
      <c r="EO48" s="361" t="str">
        <f t="shared" si="50"/>
        <v/>
      </c>
      <c r="EP48" s="361" t="str">
        <f t="shared" si="51"/>
        <v/>
      </c>
      <c r="EQ48" s="361" t="str">
        <f t="shared" si="52"/>
        <v/>
      </c>
      <c r="ER48" s="361" t="str">
        <f t="shared" si="53"/>
        <v/>
      </c>
      <c r="ES48" s="361" t="str">
        <f t="shared" si="54"/>
        <v/>
      </c>
      <c r="ET48" s="361" t="str">
        <f t="shared" si="55"/>
        <v/>
      </c>
      <c r="EU48" s="361" t="str">
        <f t="shared" si="56"/>
        <v/>
      </c>
      <c r="EV48" s="361" t="str">
        <f t="shared" si="57"/>
        <v/>
      </c>
      <c r="EW48" s="361" t="str">
        <f t="shared" si="58"/>
        <v/>
      </c>
      <c r="EX48" s="361" t="str">
        <f t="shared" si="169"/>
        <v>1 slot, 1 way</v>
      </c>
      <c r="EY48" s="361" t="str">
        <f t="shared" si="170"/>
        <v xml:space="preserve"> </v>
      </c>
      <c r="EZ48" s="361" t="str">
        <f t="shared" si="171"/>
        <v xml:space="preserve"> </v>
      </c>
      <c r="FA48" s="361" t="str">
        <f t="shared" si="172"/>
        <v xml:space="preserve"> </v>
      </c>
      <c r="FB48" s="361" t="str">
        <f t="shared" si="173"/>
        <v xml:space="preserve"> </v>
      </c>
      <c r="FC48" s="361"/>
      <c r="FD48" s="361" t="str">
        <f>IF(J48&gt;0,IF(Calculation!R48&lt;=70,4,IF(Calculation!R48&lt;=110,5,IF(Calculation!R48&lt;=160,6,IF(Calculation!R48&lt;=300,8,"10 EO")))),"")</f>
        <v/>
      </c>
      <c r="FE48" s="361" t="str">
        <f t="shared" si="174"/>
        <v/>
      </c>
      <c r="FF48" s="361" t="str">
        <f t="shared" si="175"/>
        <v/>
      </c>
      <c r="FG48" s="361" t="e">
        <f t="shared" si="60"/>
        <v>#N/A</v>
      </c>
      <c r="FH48" s="361">
        <f t="shared" si="61"/>
        <v>0</v>
      </c>
      <c r="FI48" s="361" t="e">
        <f t="shared" si="62"/>
        <v>#DIV/0!</v>
      </c>
      <c r="FJ48" s="361"/>
      <c r="FK48" s="356" t="e">
        <f t="shared" si="63"/>
        <v>#VALUE!</v>
      </c>
      <c r="FL48" s="361"/>
      <c r="FM48" s="361"/>
      <c r="FN48" s="362" t="str">
        <f t="shared" si="176"/>
        <v xml:space="preserve"> </v>
      </c>
      <c r="FO48" s="362" t="str">
        <f t="shared" si="177"/>
        <v xml:space="preserve"> </v>
      </c>
      <c r="FP48" s="362">
        <f t="shared" si="178"/>
        <v>0</v>
      </c>
      <c r="FQ48" s="361">
        <f t="shared" si="64"/>
        <v>0</v>
      </c>
      <c r="FR48" s="362" t="str">
        <f>IF(L48&gt;0,IF(J48="CBAL2",Worksheet!$P$67,IF(J48="CBE2-24",Worksheet!$Q$67,IF(J48="CBAM",Worksheet!$R$67,IF(J48="CBLV",Worksheet!$S$67,IF(J48="CBAB",Worksheet!$U$67,IF(J48="CBAW",Worksheet!$X$67,IF(J48="CBE2-12",Worksheet!$Y$67,IF(J48="CBAL2",Worksheet!$Z$67,"N/A"))))))))," ")</f>
        <v xml:space="preserve"> </v>
      </c>
      <c r="FS48" s="362" t="str">
        <f>IF(L48&gt;0,IF(J48="CBAL2",Worksheet!$P$68,IF(J48="CBE2-24",Worksheet!$Q$68,IF(J48="CBAM",Worksheet!$R$68,IF(J48="CBLV",Worksheet!$S$68,IF(J48="CBAB",Worksheet!$U$68,IF(J48="CBAW",Worksheet!$X$68,IF(J48="CBE2-12",Worksheet!$Y$68,IF(J48="CBAL2",Worksheet!$Z$68,"N/A"))))))))," ")</f>
        <v xml:space="preserve"> </v>
      </c>
      <c r="FT48" s="362" t="str">
        <f>IF(L48&gt;0,IF(J48="CBAL2",Worksheet!$P$69,IF(J48="CBE2-24",Worksheet!$Q$69,IF(J48="CBAM",Worksheet!$R$69,IF(J48="CBLV",Worksheet!$S$69,IF(J48="CBAB",Worksheet!$U$69,IF(J48="CBAW",Worksheet!$X$69,IF(J48="CBE2-12",Worksheet!$Y$69,IF(J48="CBAL2",Worksheet!$Z$69,"N/A"))))))))," ")</f>
        <v xml:space="preserve"> </v>
      </c>
      <c r="FU48" s="361" t="str">
        <f t="shared" si="179"/>
        <v xml:space="preserve"> </v>
      </c>
      <c r="FV48" s="362" t="str">
        <f t="shared" si="180"/>
        <v xml:space="preserve"> </v>
      </c>
      <c r="FW48" s="362" t="str">
        <f t="shared" si="181"/>
        <v xml:space="preserve"> </v>
      </c>
      <c r="FX48" s="362" t="str">
        <f t="shared" si="182"/>
        <v xml:space="preserve"> </v>
      </c>
      <c r="FY48" s="355" t="str">
        <f t="shared" si="183"/>
        <v xml:space="preserve"> </v>
      </c>
      <c r="FZ48" s="361" t="str">
        <f t="shared" si="184"/>
        <v xml:space="preserve"> </v>
      </c>
      <c r="GA48" s="347" t="str">
        <f t="shared" si="185"/>
        <v xml:space="preserve"> </v>
      </c>
      <c r="GB48" s="355" t="str">
        <f t="shared" si="186"/>
        <v xml:space="preserve"> </v>
      </c>
      <c r="GC48" s="328" t="str">
        <f t="shared" si="187"/>
        <v xml:space="preserve"> </v>
      </c>
      <c r="GD48" s="361" t="str">
        <f t="shared" si="188"/>
        <v xml:space="preserve"> </v>
      </c>
      <c r="GE48" s="347" t="str">
        <f t="shared" si="189"/>
        <v xml:space="preserve"> </v>
      </c>
      <c r="GF48" s="361" t="str">
        <f t="shared" si="190"/>
        <v xml:space="preserve"> </v>
      </c>
      <c r="GG48" s="347" t="str">
        <f t="shared" si="191"/>
        <v xml:space="preserve"> </v>
      </c>
      <c r="GH48" s="364">
        <f t="shared" si="78"/>
        <v>0</v>
      </c>
      <c r="GI48" s="362">
        <f t="shared" si="192"/>
        <v>2</v>
      </c>
      <c r="GJ48" s="433" t="e">
        <f>IF(6-COUNTBLANK(GT48:GY48)=4,MATCH(MID(BO48,9,3),CLU!$H$16:$K$16),MATCH(MID(BO48,9,3),CLU!$H$13:$M$13))</f>
        <v>#N/A</v>
      </c>
      <c r="GK48" s="433" t="e">
        <f>HLOOKUP(VALUE(BP48),CLU!$H$9:$M$10,2)</f>
        <v>#VALUE!</v>
      </c>
      <c r="GL48" s="433" t="e">
        <f ca="1">MATCH(BU48,CLU!$H$2:$V$2,1)</f>
        <v>#VALUE!</v>
      </c>
      <c r="GM48" s="433" t="e">
        <f t="shared" ca="1" si="193"/>
        <v>#VALUE!</v>
      </c>
      <c r="GN48" s="433" t="e">
        <f t="shared" ca="1" si="194"/>
        <v>#VALUE!</v>
      </c>
      <c r="GO48" s="433" t="e">
        <f t="shared" ca="1" si="195"/>
        <v>#VALUE!</v>
      </c>
      <c r="GP48" s="433" t="e">
        <f t="shared" ca="1" si="196"/>
        <v>#VALUE!</v>
      </c>
      <c r="GQ48" s="433" t="e">
        <f t="shared" ca="1" si="197"/>
        <v>#VALUE!</v>
      </c>
      <c r="GR48" s="433" t="e">
        <f ca="1">MATCH(T48,INDIRECT(VLOOKUP(CONCATENATE(LEFT(BO48,7),"-",MID(BO48,13,1)),CLU!$P$3:$Q$16,2)),1)</f>
        <v>#N/A</v>
      </c>
      <c r="GS48" s="433" t="e">
        <f ca="1">MATCH(U48,INDIRECT(VLOOKUP(CONCATENATE(LEFT(BO48,7),"-",MID(BO48,13,1)),CLU!$P$3:$Q$16,2)),1)</f>
        <v>#N/A</v>
      </c>
      <c r="GT48" s="347" t="s">
        <v>512</v>
      </c>
      <c r="GU48" s="97" t="s">
        <v>513</v>
      </c>
      <c r="GV48" s="97" t="str">
        <f t="shared" si="198"/>
        <v>M23</v>
      </c>
      <c r="GW48" s="97" t="str">
        <f t="shared" si="199"/>
        <v>M31</v>
      </c>
      <c r="GX48" s="97" t="str">
        <f t="shared" si="200"/>
        <v/>
      </c>
      <c r="GY48" s="97" t="str">
        <f t="shared" si="201"/>
        <v/>
      </c>
      <c r="GZ48" s="481"/>
      <c r="HA48" s="288"/>
      <c r="HB48" s="240"/>
      <c r="HC48" s="240"/>
      <c r="HD48" s="240"/>
      <c r="HE48" s="240"/>
      <c r="HF48" s="240"/>
      <c r="HG48" s="240"/>
      <c r="HH48" s="240"/>
      <c r="HI48" s="240"/>
      <c r="HJ48" s="240"/>
      <c r="HK48" s="240"/>
      <c r="HL48" s="240"/>
      <c r="HM48" s="240"/>
      <c r="HN48" s="240"/>
      <c r="HO48" s="240"/>
      <c r="HP48" s="240"/>
      <c r="HQ48" s="240"/>
      <c r="HR48" s="240"/>
      <c r="HS48" s="240"/>
      <c r="HT48" s="240"/>
      <c r="HU48" s="240"/>
      <c r="HV48" s="245"/>
      <c r="HW48" s="245" t="b">
        <v>1</v>
      </c>
      <c r="HX48" s="245" t="str">
        <f t="shared" si="79"/>
        <v/>
      </c>
      <c r="HY48" s="245" t="e">
        <f t="shared" si="80"/>
        <v>#DIV/0!</v>
      </c>
      <c r="HZ48" s="245" t="e">
        <f t="shared" si="81"/>
        <v>#DIV/0!</v>
      </c>
      <c r="IA48" s="245">
        <f t="shared" si="82"/>
        <v>0</v>
      </c>
      <c r="IB48" s="245"/>
      <c r="IC48" t="b">
        <f t="shared" si="83"/>
        <v>1</v>
      </c>
      <c r="ID48" s="245" t="b">
        <f t="shared" si="84"/>
        <v>1</v>
      </c>
      <c r="IE48" s="245" t="b">
        <f t="shared" si="85"/>
        <v>1</v>
      </c>
      <c r="IF48" s="245" t="b">
        <f t="shared" si="86"/>
        <v>0</v>
      </c>
      <c r="IG48" s="245" t="b">
        <f t="shared" si="87"/>
        <v>1</v>
      </c>
      <c r="IH48" s="245" t="b">
        <f t="shared" si="88"/>
        <v>1</v>
      </c>
      <c r="II48" s="245">
        <f t="shared" si="202"/>
        <v>0</v>
      </c>
      <c r="IJ48" s="245" t="e">
        <f t="shared" si="89"/>
        <v>#VALUE!</v>
      </c>
      <c r="IK48" s="245" t="e">
        <f t="shared" si="90"/>
        <v>#VALUE!</v>
      </c>
      <c r="IL48" s="245"/>
      <c r="IM48" s="245" t="e">
        <f t="shared" si="203"/>
        <v>#N/A</v>
      </c>
      <c r="IN48" s="245" t="e">
        <f t="shared" si="204"/>
        <v>#N/A</v>
      </c>
      <c r="IO48" s="245"/>
      <c r="IP48" s="245"/>
      <c r="IQ48" s="245" t="str">
        <f t="shared" si="91"/>
        <v/>
      </c>
      <c r="IR48" s="245" t="str">
        <f>IF(J48="","",VLOOKUP(J48,Worksheet!$R$4:$T$14,2))</f>
        <v/>
      </c>
      <c r="IS48" s="245"/>
      <c r="IT48" s="245">
        <f t="shared" si="92"/>
        <v>0</v>
      </c>
      <c r="IU48" s="245">
        <f t="shared" si="93"/>
        <v>0</v>
      </c>
      <c r="IV48" s="245">
        <f t="shared" si="94"/>
        <v>0</v>
      </c>
      <c r="IW48" s="245">
        <f t="shared" si="95"/>
        <v>0</v>
      </c>
      <c r="IX48" s="245">
        <f t="shared" si="205"/>
        <v>0</v>
      </c>
      <c r="IY48" s="245">
        <f t="shared" si="96"/>
        <v>0</v>
      </c>
      <c r="IZ48" s="245">
        <f t="shared" si="97"/>
        <v>0</v>
      </c>
      <c r="JA48">
        <f t="shared" si="98"/>
        <v>0</v>
      </c>
      <c r="JB48">
        <f t="shared" si="206"/>
        <v>0</v>
      </c>
      <c r="JC48">
        <f t="shared" si="99"/>
        <v>0</v>
      </c>
      <c r="JD48">
        <f t="shared" si="100"/>
        <v>0</v>
      </c>
      <c r="JE48">
        <f t="shared" si="101"/>
        <v>0</v>
      </c>
      <c r="JF48">
        <f t="shared" si="102"/>
        <v>0</v>
      </c>
      <c r="JG48">
        <f t="shared" si="103"/>
        <v>0</v>
      </c>
      <c r="JH48">
        <f t="shared" si="104"/>
        <v>0</v>
      </c>
      <c r="JI48">
        <f t="shared" si="105"/>
        <v>0</v>
      </c>
      <c r="JJ48" s="447">
        <f t="shared" si="106"/>
        <v>0</v>
      </c>
      <c r="JK48" s="447">
        <f t="shared" si="107"/>
        <v>0</v>
      </c>
      <c r="JL48">
        <f t="shared" si="108"/>
        <v>0</v>
      </c>
      <c r="JM48" s="245" t="str">
        <f>IFERROR(VLOOKUP(MATCH(BN48,#REF!,0),#REF!,7),"")</f>
        <v/>
      </c>
      <c r="JN48" t="e">
        <f>HLOOKUP(LEFT(BO48,7),Discharge_Area,MATCH(JO48,LookUps!$B$130:$B$149,1)+2)</f>
        <v>#N/A</v>
      </c>
      <c r="JO48" t="str">
        <f t="shared" si="109"/>
        <v>- S</v>
      </c>
      <c r="JP48" t="e">
        <f>HLOOKUP(LEFT(BO48,7),Discharge_Area,MATCH(JO48,LookUps!$B$130:$B$149,1)+2)</f>
        <v>#N/A</v>
      </c>
      <c r="JQ48" t="e">
        <f t="shared" si="110"/>
        <v>#N/A</v>
      </c>
      <c r="JR48" t="e">
        <f t="shared" si="111"/>
        <v>#N/A</v>
      </c>
      <c r="JS48" t="e">
        <f t="shared" si="112"/>
        <v>#N/A</v>
      </c>
      <c r="JT48" s="532" t="str">
        <f t="shared" si="113"/>
        <v xml:space="preserve"> </v>
      </c>
      <c r="JU48" s="532" t="str">
        <f t="shared" si="114"/>
        <v xml:space="preserve"> </v>
      </c>
      <c r="JV48" s="533" t="str">
        <f t="shared" si="115"/>
        <v xml:space="preserve"> </v>
      </c>
      <c r="JW48" s="534">
        <f t="shared" si="116"/>
        <v>0</v>
      </c>
      <c r="JX48" s="535" t="str">
        <f t="shared" si="207"/>
        <v xml:space="preserve"> </v>
      </c>
      <c r="JY48" s="535" t="str">
        <f t="shared" si="208"/>
        <v xml:space="preserve"> </v>
      </c>
      <c r="JZ48" s="535" t="str">
        <f t="shared" si="209"/>
        <v xml:space="preserve"> </v>
      </c>
      <c r="KA48" s="536" t="str">
        <f t="shared" si="117"/>
        <v xml:space="preserve"> </v>
      </c>
      <c r="KB48" s="535" t="e">
        <f t="shared" si="210"/>
        <v>#VALUE!</v>
      </c>
      <c r="KC48" s="535" t="str">
        <f t="shared" si="118"/>
        <v/>
      </c>
      <c r="KD48" s="537" t="str">
        <f t="shared" si="211"/>
        <v xml:space="preserve"> </v>
      </c>
      <c r="KE48" s="537" t="str">
        <f t="shared" si="212"/>
        <v xml:space="preserve"> </v>
      </c>
      <c r="KF48" s="534">
        <f t="shared" si="119"/>
        <v>0</v>
      </c>
      <c r="KG48" s="535" t="str">
        <f t="shared" si="120"/>
        <v xml:space="preserve"> </v>
      </c>
      <c r="KH48" s="535" t="str">
        <f t="shared" si="121"/>
        <v xml:space="preserve"> </v>
      </c>
      <c r="KI48" s="535" t="str">
        <f t="shared" si="122"/>
        <v xml:space="preserve"> </v>
      </c>
      <c r="KJ48" s="536" t="str">
        <f t="shared" si="123"/>
        <v xml:space="preserve"> </v>
      </c>
      <c r="KK48" s="535" t="str">
        <f t="shared" si="213"/>
        <v xml:space="preserve"> </v>
      </c>
      <c r="KL48" s="535" t="str">
        <f t="shared" si="214"/>
        <v xml:space="preserve"> </v>
      </c>
      <c r="KM48" s="537" t="str">
        <f t="shared" si="124"/>
        <v xml:space="preserve"> </v>
      </c>
      <c r="KN48" s="537" t="str">
        <f t="shared" si="215"/>
        <v xml:space="preserve"> </v>
      </c>
      <c r="KP48">
        <f t="shared" si="125"/>
        <v>0</v>
      </c>
      <c r="LA48" t="e">
        <f t="shared" si="126"/>
        <v>#VALUE!</v>
      </c>
      <c r="LB48" t="e">
        <f t="shared" si="127"/>
        <v>#VALUE!</v>
      </c>
      <c r="LC48" t="e">
        <f t="shared" si="128"/>
        <v>#VALUE!</v>
      </c>
      <c r="LD48" t="e">
        <f t="shared" si="129"/>
        <v>#VALUE!</v>
      </c>
      <c r="LE48" t="e">
        <f t="shared" si="216"/>
        <v>#VALUE!</v>
      </c>
      <c r="LF48">
        <f t="shared" si="130"/>
        <v>0</v>
      </c>
      <c r="LG48" t="e">
        <f t="shared" si="217"/>
        <v>#VALUE!</v>
      </c>
      <c r="LH48" t="str">
        <f t="shared" si="131"/>
        <v xml:space="preserve"> </v>
      </c>
      <c r="LI48">
        <f t="shared" si="218"/>
        <v>1</v>
      </c>
    </row>
    <row r="49" spans="2:321" ht="15" customHeight="1">
      <c r="B49" s="311"/>
      <c r="C49" s="311"/>
      <c r="D49" s="312"/>
      <c r="E49" s="311"/>
      <c r="F49" s="312"/>
      <c r="G49" s="311"/>
      <c r="H49" s="311"/>
      <c r="I49" s="37"/>
      <c r="J49" s="311"/>
      <c r="K49" s="305" t="str">
        <f t="shared" si="132"/>
        <v/>
      </c>
      <c r="L49" s="313"/>
      <c r="M49" s="312"/>
      <c r="N49" s="311"/>
      <c r="O49" s="312"/>
      <c r="P49" s="311"/>
      <c r="Q49" s="305" t="str">
        <f t="shared" si="133"/>
        <v/>
      </c>
      <c r="R49" s="314"/>
      <c r="S49" s="450" t="str">
        <f t="shared" si="0"/>
        <v/>
      </c>
      <c r="T49" s="315"/>
      <c r="U49" s="315"/>
      <c r="W49" s="149" t="str">
        <f t="shared" si="1"/>
        <v xml:space="preserve"> </v>
      </c>
      <c r="X49" s="243" t="str">
        <f t="shared" si="2"/>
        <v xml:space="preserve"> </v>
      </c>
      <c r="Y49" s="150" t="str">
        <f t="shared" si="3"/>
        <v/>
      </c>
      <c r="Z49" s="149" t="str">
        <f t="shared" si="4"/>
        <v xml:space="preserve"> </v>
      </c>
      <c r="AA49" s="98" t="str">
        <f t="shared" si="5"/>
        <v xml:space="preserve"> </v>
      </c>
      <c r="AB49" s="153" t="str">
        <f t="shared" si="6"/>
        <v xml:space="preserve"> </v>
      </c>
      <c r="AC49" s="153" t="str">
        <f t="shared" si="7"/>
        <v xml:space="preserve"> </v>
      </c>
      <c r="AD49" s="148" t="str">
        <f t="shared" si="8"/>
        <v/>
      </c>
      <c r="AE49" s="149" t="str">
        <f t="shared" si="9"/>
        <v/>
      </c>
      <c r="AF49" s="151" t="str">
        <f t="shared" si="10"/>
        <v xml:space="preserve"> </v>
      </c>
      <c r="AG49" s="153" t="str">
        <f t="shared" si="11"/>
        <v xml:space="preserve"> </v>
      </c>
      <c r="AH49" s="98" t="str">
        <f t="shared" si="12"/>
        <v xml:space="preserve"> </v>
      </c>
      <c r="AI49" s="149" t="str">
        <f t="shared" si="13"/>
        <v xml:space="preserve"> </v>
      </c>
      <c r="AK49" s="144" t="str">
        <f t="shared" si="14"/>
        <v xml:space="preserve"> </v>
      </c>
      <c r="AL49" s="144"/>
      <c r="AM49" s="243" t="str">
        <f t="shared" si="15"/>
        <v xml:space="preserve"> </v>
      </c>
      <c r="AN49" s="149" t="str">
        <f t="shared" si="134"/>
        <v xml:space="preserve"> </v>
      </c>
      <c r="AO49" s="144" t="str">
        <f>IF(JB49&gt;0,IF(GI49=10,-R49*1.085*(Calculation!$F$6-Calculation!$F$13)*$S$14," "),"")</f>
        <v/>
      </c>
      <c r="AP49" s="144" t="str">
        <f t="shared" si="16"/>
        <v/>
      </c>
      <c r="AQ49" s="56" t="str">
        <f t="shared" si="17"/>
        <v/>
      </c>
      <c r="AR49" s="144" t="str">
        <f t="shared" si="18"/>
        <v/>
      </c>
      <c r="AS49" s="176" t="str">
        <f t="shared" si="19"/>
        <v/>
      </c>
      <c r="AT49" s="176" t="str">
        <f t="shared" si="135"/>
        <v xml:space="preserve"> </v>
      </c>
      <c r="AU49" s="176" t="str">
        <f t="shared" si="20"/>
        <v/>
      </c>
      <c r="AV49" s="177" t="str">
        <f t="shared" si="21"/>
        <v xml:space="preserve"> </v>
      </c>
      <c r="AW49" s="144" t="str">
        <f t="shared" si="22"/>
        <v xml:space="preserve"> </v>
      </c>
      <c r="AX49" s="144" t="str">
        <f t="shared" si="23"/>
        <v xml:space="preserve"> </v>
      </c>
      <c r="AY49" s="152" t="str">
        <f t="shared" si="24"/>
        <v xml:space="preserve"> </v>
      </c>
      <c r="AZ49" s="246" t="str">
        <f t="shared" si="25"/>
        <v/>
      </c>
      <c r="BA49" s="176" t="str">
        <f t="shared" si="26"/>
        <v xml:space="preserve"> </v>
      </c>
      <c r="BB49" s="176" t="str">
        <f t="shared" si="27"/>
        <v xml:space="preserve"> </v>
      </c>
      <c r="BC49" s="195"/>
      <c r="BD49" s="316"/>
      <c r="BE49" s="317"/>
      <c r="BF49" s="318"/>
      <c r="BG49" s="318"/>
      <c r="BH49" s="144" t="str">
        <f t="shared" si="219"/>
        <v xml:space="preserve"> </v>
      </c>
      <c r="BI49" s="176" t="str">
        <f t="shared" si="28"/>
        <v/>
      </c>
      <c r="BJ49" s="144" t="str">
        <f t="shared" si="220"/>
        <v/>
      </c>
      <c r="BK49" s="246" t="str">
        <f t="shared" si="29"/>
        <v/>
      </c>
      <c r="BL49" s="144" t="str">
        <f t="shared" si="221"/>
        <v/>
      </c>
      <c r="BM49" s="246" t="str">
        <f t="shared" si="30"/>
        <v/>
      </c>
      <c r="BN49" s="337" t="str">
        <f t="shared" si="136"/>
        <v/>
      </c>
      <c r="BO49" s="371" t="str">
        <f t="shared" si="137"/>
        <v/>
      </c>
      <c r="BP49" s="328" t="str">
        <f t="shared" si="222"/>
        <v xml:space="preserve"> </v>
      </c>
      <c r="BQ49" s="347" t="str">
        <f t="shared" si="138"/>
        <v xml:space="preserve"> </v>
      </c>
      <c r="BR49" s="353" t="str">
        <f t="shared" si="223"/>
        <v xml:space="preserve"> </v>
      </c>
      <c r="BS49" s="626" t="str">
        <f>IF(L49&gt;0,IF(Calculation!P49="M13",BR49*3.1416*(0.134^2)/(4*144),IF(Calculation!P49="M17",BR49*3.1416*(0.165^2)/(4*144),IF(Calculation!P49="M20",BR49*3.1416*(0.198^2)/(4*144),IF(Calculation!P49="M23",BR49*3.1416*(0.228^2)/(4*144),IF(Calculation!P49="M27",BR49*3.1416*(0.269^2)/(4*144),BR49*3.1416*(0.307^2)/(4*144))))))," ")</f>
        <v xml:space="preserve"> </v>
      </c>
      <c r="BT49" s="353" t="str">
        <f>IF(L49&gt;0,IF(BS49&gt;0,R49/Calculation!BS49,0)," ")</f>
        <v xml:space="preserve"> </v>
      </c>
      <c r="BU49" s="438" t="e">
        <f t="shared" ca="1" si="31"/>
        <v>#VALUE!</v>
      </c>
      <c r="BV49" s="449" t="e">
        <f ca="1">INDEX(INDIRECT(VLOOKUP(LEFT(BO49,7),CLU!$Z$3:$AH$18,2)),GN49,GR49)</f>
        <v>#N/A</v>
      </c>
      <c r="BW49" s="433" t="e">
        <f ca="1">INDEX(INDIRECT(VLOOKUP(LEFT(BO49,7),CLU!$Z$3:$AH$18,3)),GN49,GR49)</f>
        <v>#N/A</v>
      </c>
      <c r="BX49" s="433" t="e">
        <f ca="1">INDEX(INDIRECT(VLOOKUP(LEFT(BO49,7),CLU!$Z$3:$AH$18,4)),GN49,GR49)</f>
        <v>#N/A</v>
      </c>
      <c r="BY49" s="433" t="e">
        <f ca="1">INDEX(INDIRECT(VLOOKUP(LEFT(BO49,7),CLU!$Z$3:$AH$18,9)),((M49-2)*(6-COUNTBLANK(GT49:GY49)))+GJ49)</f>
        <v>#N/A</v>
      </c>
      <c r="BZ49" s="426" t="e">
        <f t="shared" ca="1" si="139"/>
        <v>#N/A</v>
      </c>
      <c r="CA49" s="424" t="e">
        <f t="shared" ca="1" si="140"/>
        <v>#N/A</v>
      </c>
      <c r="CB49" s="429" t="e">
        <f ca="1">INDEX(INDIRECT(VLOOKUP(LEFT(BO49,7),CLU!$Z$3:$AH$18,2)),GN49,GS49)</f>
        <v>#N/A</v>
      </c>
      <c r="CC49" s="342" t="e">
        <f ca="1">INDEX(INDIRECT(VLOOKUP(LEFT(BO49,7),CLU!$Z$3:$AH$18,3)),GN49,GS49)</f>
        <v>#N/A</v>
      </c>
      <c r="CD49" s="342" t="e">
        <f ca="1">INDEX(INDIRECT(VLOOKUP(LEFT(BO49,7),CLU!$Z$3:$AH$18,4)),GN49,GS49)</f>
        <v>#N/A</v>
      </c>
      <c r="CE49" s="426" t="e">
        <f t="shared" ca="1" si="141"/>
        <v>#N/A</v>
      </c>
      <c r="CF49" s="440">
        <f t="shared" si="142"/>
        <v>0</v>
      </c>
      <c r="CG49" s="431" t="e">
        <f ca="1">INDEX(INDIRECT(VLOOKUP(LEFT(BO49,7),CLU!$Z$3:$AH$18,2)),GQ49,GR49)</f>
        <v>#N/A</v>
      </c>
      <c r="CH49" s="431" t="e">
        <f ca="1">INDEX(INDIRECT(VLOOKUP(LEFT(BO49,7),CLU!$Z$3:$AH$18,3)),GQ49,GR49)</f>
        <v>#N/A</v>
      </c>
      <c r="CI49" s="431" t="e">
        <f ca="1">INDEX(INDIRECT(VLOOKUP(LEFT(BO49,7),CLU!$Z$3:$AH$18,4)),GQ49,GR49)</f>
        <v>#N/A</v>
      </c>
      <c r="CJ49" s="448" t="e">
        <f t="shared" ca="1" si="143"/>
        <v>#N/A</v>
      </c>
      <c r="CK49" s="431" t="e">
        <f t="shared" ca="1" si="144"/>
        <v>#N/A</v>
      </c>
      <c r="CL49" s="440" t="e">
        <f t="shared" ca="1" si="145"/>
        <v>#N/A</v>
      </c>
      <c r="CM49" s="431" t="e">
        <f ca="1">INDEX(INDIRECT(VLOOKUP(LEFT(BO49,7),CLU!$Z$3:$AH$18,2)),GQ49,GS49)</f>
        <v>#N/A</v>
      </c>
      <c r="CN49" s="431" t="e">
        <f ca="1">INDEX(INDIRECT(VLOOKUP(LEFT(BO49,7),CLU!$Z$3:$AH$18,3)),GQ49,GS49)</f>
        <v>#N/A</v>
      </c>
      <c r="CO49" s="431" t="e">
        <f ca="1">INDEX(INDIRECT(VLOOKUP(LEFT(BO49,7),CLU!$Z$3:$AH$18,4)),GQ49,GS49)</f>
        <v>#N/A</v>
      </c>
      <c r="CP49" s="431" t="e">
        <f t="shared" ca="1" si="146"/>
        <v>#N/A</v>
      </c>
      <c r="CQ49" s="440">
        <f t="shared" si="147"/>
        <v>0</v>
      </c>
      <c r="CR49" s="51" t="e">
        <f t="shared" ca="1" si="148"/>
        <v>#N/A</v>
      </c>
      <c r="CS49" s="439" t="e">
        <f t="shared" ca="1" si="149"/>
        <v>#VALUE!</v>
      </c>
      <c r="CT49" s="51" t="e">
        <f t="shared" ca="1" si="150"/>
        <v>#VALUE!</v>
      </c>
      <c r="CU49" s="10"/>
      <c r="CV49" s="51" t="e">
        <f t="shared" ca="1" si="34"/>
        <v>#VALUE!</v>
      </c>
      <c r="CW49" s="51">
        <f t="shared" si="151"/>
        <v>0</v>
      </c>
      <c r="CX49" s="439" t="e">
        <f t="shared" ca="1" si="152"/>
        <v>#VALUE!</v>
      </c>
      <c r="CY49" s="51" t="e">
        <f t="shared" ca="1" si="153"/>
        <v>#VALUE!</v>
      </c>
      <c r="CZ49" s="10"/>
      <c r="DA49" s="51" t="e">
        <f t="shared" ca="1" si="154"/>
        <v>#VALUE!</v>
      </c>
      <c r="DB49" s="347" t="e">
        <f ca="1">INDEX(INDIRECT(VLOOKUP(LEFT(BO49,7),CLU!$Z$3:$AI$18,10)),((M49-2)*(6-COUNTBLANK(GT49:GY49)))+GJ49)*LI49</f>
        <v>#N/A</v>
      </c>
      <c r="DC49" s="347" t="str">
        <f>IF(L49&gt;0,((R49/Worksheet!$I$15)/DB49)^2," ")</f>
        <v xml:space="preserve"> </v>
      </c>
      <c r="DD49" s="602" t="str">
        <f t="shared" si="224"/>
        <v xml:space="preserve"> </v>
      </c>
      <c r="DE49" s="347" t="str">
        <f t="shared" si="35"/>
        <v xml:space="preserve"> </v>
      </c>
      <c r="DF49" s="356" t="e">
        <f ca="1">INDEX(INDIRECT(VLOOKUP(LEFT(BO49,7),CLU!$Z$3:$AH$18,8)),((M49-2)*(6-COUNTBLANK(GT49:GY49)))+GJ49)</f>
        <v>#N/A</v>
      </c>
      <c r="DG49" s="347" t="str">
        <f t="shared" si="36"/>
        <v xml:space="preserve"> </v>
      </c>
      <c r="DH49" s="357" t="str">
        <f t="shared" si="37"/>
        <v xml:space="preserve"> </v>
      </c>
      <c r="DI49" s="355" t="str">
        <f t="shared" si="38"/>
        <v xml:space="preserve"> </v>
      </c>
      <c r="DJ49" s="245" t="e">
        <f ca="1">INDEX(INDIRECT(VLOOKUP(LEFT(BO49,7),CLU!$Z$3:$AH$18,5)),GL49,GK49)</f>
        <v>#N/A</v>
      </c>
      <c r="DK49" s="245" t="e">
        <f ca="1">INDEX(INDIRECT(VLOOKUP(LEFT(BO49,7),CLU!$Z$3:$AH$18,6)),GL49,GK49)</f>
        <v>#N/A</v>
      </c>
      <c r="DL49" s="355">
        <f>(Calculation!R49*0.69143*(Calculation!$BQ$8-Calculation!$F$8))*$S$14</f>
        <v>0</v>
      </c>
      <c r="DM49" s="359" t="e">
        <f t="shared" si="160"/>
        <v>#VALUE!</v>
      </c>
      <c r="DN49" s="611">
        <f t="shared" si="161"/>
        <v>0</v>
      </c>
      <c r="DO49" s="359">
        <f t="shared" si="162"/>
        <v>100</v>
      </c>
      <c r="DP49" s="359">
        <f t="shared" si="163"/>
        <v>0</v>
      </c>
      <c r="DQ49" s="360"/>
      <c r="DR49" s="245" t="e">
        <f ca="1">INDEX(INDIRECT(VLOOKUP(LEFT(BO49,7),CLU!$Z$3:$AH$18,7)),M49-1,1)</f>
        <v>#N/A</v>
      </c>
      <c r="DS49" s="245" t="e">
        <f ca="1">INDEX(INDIRECT(VLOOKUP(LEFT(BO49,7),CLU!$Z$3:$AH$18,7)),M49-1,2)</f>
        <v>#N/A</v>
      </c>
      <c r="DT49" s="245" t="e">
        <f ca="1">INDEX(INDIRECT(VLOOKUP(LEFT(BO49,7),CLU!$Z$3:$AH$18,7)),M49-1,3)</f>
        <v>#N/A</v>
      </c>
      <c r="DU49" s="245" t="e">
        <f ca="1">INDEX(INDIRECT(VLOOKUP(LEFT(BO49,7),CLU!$Z$3:$AH$18,7)),M49-1,4)</f>
        <v>#N/A</v>
      </c>
      <c r="DV49" s="361" t="e">
        <f ca="1">INDEX(INDIRECT(VLOOKUP(LEFT(BO49,7),CLU!$Z$3:$AH$18,7)),M49-1,4+LEFT(DZ49,1)*0.5)</f>
        <v>#N/A</v>
      </c>
      <c r="DW49" s="245" t="e">
        <f ca="1">INDEX(INDIRECT(VLOOKUP(LEFT(BO49,7),CLU!$Z$3:$AH$18,7)),M49-1,8)</f>
        <v>#N/A</v>
      </c>
      <c r="DX49" s="361" t="str">
        <f t="shared" si="39"/>
        <v xml:space="preserve"> </v>
      </c>
      <c r="DY49" s="361" t="str">
        <f t="shared" si="40"/>
        <v xml:space="preserve"> </v>
      </c>
      <c r="DZ49" s="361" t="str">
        <f t="shared" si="41"/>
        <v xml:space="preserve"> </v>
      </c>
      <c r="EA49" s="362" t="str">
        <f t="shared" si="42"/>
        <v xml:space="preserve"> </v>
      </c>
      <c r="EB49" s="624" t="str">
        <f t="shared" si="168"/>
        <v xml:space="preserve"> </v>
      </c>
      <c r="EC49" s="361" t="e">
        <f ca="1">INDEX(INDIRECT(VLOOKUP(LEFT(BO49,7),CLU!$Z$3:$AH$18,7)),M49-1,4+LEFT(DZ49,1)*0.5)</f>
        <v>#N/A</v>
      </c>
      <c r="ED49" s="362" t="str">
        <f t="shared" si="43"/>
        <v xml:space="preserve"> </v>
      </c>
      <c r="EE49" s="361" t="str">
        <f t="shared" si="44"/>
        <v xml:space="preserve"> </v>
      </c>
      <c r="EF49" s="362" t="str">
        <f>IF(L49&gt;0,IF(BR49&gt;0,IF(EE49="2P",IF(Calculation!DZ49="2P",IF(Calculation!DS49=13.75,IF(Calculation!DR49=13,Worksheet!$BD$43,IF(Calculation!DR49=37,Worksheet!$BD$44,Worksheet!$BD$45)),IF(Calculation!DS49=10,IF(Calculation!DR49=18,Worksheet!$BD$29,IF(Calculation!DR49=30,Worksheet!$BD$30,IF(Calculation!DR49=42,Worksheet!$BD$31,IF(Calculation!DR49=54,Worksheet!$BD$32,IF(Calculation!DR49=66,Worksheet!$BD$33,IF(Calculation!DR49=78,Worksheet!$BD$34,IF(Calculation!DR49=90,Worksheet!$BD$35,IF(Calculation!DR49=102,Worksheet!$BD$36,Worksheet!$BD$37)))))))),IF(Calculation!DS49=12.5,IF(Calculation!DR49=18,Worksheet!$BD$38,IF(Calculation!DR49=Worksheet!$BD$39,IF(Calculation!DR49=42,Worksheet!$BD$40,IF(Calculation!DR49=54,Worksheet!$BD$41,Worksheet!$BD$42)))),IF(Calculation!DR49=18,Worksheet!$BD$11,IF(Calculation!DR49=30,Worksheet!$BD$12,IF(Calculation!DR49=42,Worksheet!$BD$13,IF(Calculation!DR49=54,Worksheet!$BD$14,IF(Calculation!DR49=66,Worksheet!$BD$15,IF(Calculation!DR49=78,Worksheet!$BD$16,IF(Calculation!DR49=90,Worksheet!$BD$17,IF(Calculation!DR49=102,Worksheet!$BD$18,Worksheet!$BD$19))))))))))),IF(Calculation!DS49=13.75,IF(Calculation!DR49=13,Worksheet!$BD$78,IF(Calculation!DR49=37,Worksheet!$BD$79,Worksheet!$BD$80)),IF(Calculation!DS49=10,IF(Calculation!DR49=18,Worksheet!$BD$64,IF(Calculation!DR49=30,Worksheet!$BD$65,IF(Calculation!DR49=42,Worksheet!$BD$66,IF(Calculation!DR49=54,Worksheet!$BD$68,IF(Calculation!DR49=66,Worksheet!$BD$68,IF(Calculation!DR49=78,Worksheet!$BD$69,IF(Calculation!DR49=90,Worksheet!$BD$70,IF(Calculation!DR49=102,Worksheet!$BD$71,Worksheet!$BD$72)))))))),IF(Calculation!DS49=12.5,IF(Calculation!DR49=18,Worksheet!$BD$73,IF(Calculation!DR49=Worksheet!$BD$74,IF(Calculation!DR49=42,Worksheet!$BD$75,IF(Calculation!DR49=54,Worksheet!$BD$76,Worksheet!$BD$77)))),IF(Calculation!DR49=18,Worksheet!$BD$55,IF(Calculation!DR49=30,Worksheet!$BD$56,IF(Calculation!DR49=42,Worksheet!$BD$57,IF(Calculation!DR49=54,Worksheet!$BD$58,IF(Calculation!DR49=66,Worksheet!$BD$59,IF(Calculation!DR49=78,Worksheet!$BD$60,IF(Calculation!DR49=90,Worksheet!$BD$61,IF(Calculation!DR49=102,Worksheet!$BD$62,Worksheet!$BD$63)))))))))))),5),0)," ")</f>
        <v xml:space="preserve"> </v>
      </c>
      <c r="EG49" s="361" t="str">
        <f t="shared" si="45"/>
        <v xml:space="preserve"> </v>
      </c>
      <c r="EH49" s="361" t="e">
        <f ca="1">INDEX(INDIRECT(VLOOKUP(LEFT(BO49,7),CLU!$Z$3:$AH$18,7)),M49-1,3+LEFT(DZ49,1))</f>
        <v>#N/A</v>
      </c>
      <c r="EI49" s="362" t="str">
        <f t="shared" si="46"/>
        <v xml:space="preserve"> </v>
      </c>
      <c r="EJ49" s="363" t="str">
        <f t="shared" si="47"/>
        <v xml:space="preserve"> </v>
      </c>
      <c r="EK49" s="363" t="str">
        <f t="shared" si="48"/>
        <v xml:space="preserve"> </v>
      </c>
      <c r="EL49" s="363" t="str">
        <f t="shared" si="49"/>
        <v xml:space="preserve"> </v>
      </c>
      <c r="EM49" s="362" t="str">
        <f>IF(L49&gt;0,IF(BR49&gt;0,(Calculation!T49/ED49)^2,0)," ")</f>
        <v xml:space="preserve"> </v>
      </c>
      <c r="EN49" s="362" t="str">
        <f>IF(L49&gt;0,IF(O49="2 Pipe (Cooling)","N/A",IF(BR49&gt;0,(Calculation!U49/EI49)^2,0))," ")</f>
        <v xml:space="preserve"> </v>
      </c>
      <c r="EO49" s="361" t="str">
        <f t="shared" si="50"/>
        <v/>
      </c>
      <c r="EP49" s="361" t="str">
        <f t="shared" si="51"/>
        <v/>
      </c>
      <c r="EQ49" s="361" t="str">
        <f t="shared" si="52"/>
        <v/>
      </c>
      <c r="ER49" s="361" t="str">
        <f t="shared" si="53"/>
        <v/>
      </c>
      <c r="ES49" s="361" t="str">
        <f t="shared" si="54"/>
        <v/>
      </c>
      <c r="ET49" s="361" t="str">
        <f t="shared" si="55"/>
        <v/>
      </c>
      <c r="EU49" s="361" t="str">
        <f t="shared" si="56"/>
        <v/>
      </c>
      <c r="EV49" s="361" t="str">
        <f t="shared" si="57"/>
        <v/>
      </c>
      <c r="EW49" s="361" t="str">
        <f t="shared" si="58"/>
        <v/>
      </c>
      <c r="EX49" s="361" t="str">
        <f t="shared" si="169"/>
        <v>1 slot, 1 way</v>
      </c>
      <c r="EY49" s="361" t="str">
        <f t="shared" si="170"/>
        <v xml:space="preserve"> </v>
      </c>
      <c r="EZ49" s="361" t="str">
        <f t="shared" si="171"/>
        <v xml:space="preserve"> </v>
      </c>
      <c r="FA49" s="361" t="str">
        <f t="shared" si="172"/>
        <v xml:space="preserve"> </v>
      </c>
      <c r="FB49" s="361" t="str">
        <f t="shared" si="173"/>
        <v xml:space="preserve"> </v>
      </c>
      <c r="FC49" s="361"/>
      <c r="FD49" s="361" t="str">
        <f>IF(J49&gt;0,IF(Calculation!R49&lt;=70,4,IF(Calculation!R49&lt;=110,5,IF(Calculation!R49&lt;=160,6,IF(Calculation!R49&lt;=300,8,"10 EO")))),"")</f>
        <v/>
      </c>
      <c r="FE49" s="361" t="str">
        <f t="shared" si="174"/>
        <v/>
      </c>
      <c r="FF49" s="361" t="str">
        <f t="shared" si="175"/>
        <v/>
      </c>
      <c r="FG49" s="361" t="e">
        <f t="shared" si="60"/>
        <v>#N/A</v>
      </c>
      <c r="FH49" s="361">
        <f t="shared" si="61"/>
        <v>0</v>
      </c>
      <c r="FI49" s="361" t="e">
        <f t="shared" si="62"/>
        <v>#DIV/0!</v>
      </c>
      <c r="FJ49" s="361"/>
      <c r="FK49" s="356" t="e">
        <f t="shared" si="63"/>
        <v>#VALUE!</v>
      </c>
      <c r="FL49" s="361"/>
      <c r="FM49" s="361"/>
      <c r="FN49" s="362" t="str">
        <f t="shared" si="176"/>
        <v xml:space="preserve"> </v>
      </c>
      <c r="FO49" s="362" t="str">
        <f t="shared" si="177"/>
        <v xml:space="preserve"> </v>
      </c>
      <c r="FP49" s="362">
        <f t="shared" si="178"/>
        <v>0</v>
      </c>
      <c r="FQ49" s="361">
        <f t="shared" si="64"/>
        <v>0</v>
      </c>
      <c r="FR49" s="362" t="str">
        <f>IF(L49&gt;0,IF(J49="CBAL2",Worksheet!$P$67,IF(J49="CBE2-24",Worksheet!$Q$67,IF(J49="CBAM",Worksheet!$R$67,IF(J49="CBLV",Worksheet!$S$67,IF(J49="CBAB",Worksheet!$U$67,IF(J49="CBAW",Worksheet!$X$67,IF(J49="CBE2-12",Worksheet!$Y$67,IF(J49="CBAL2",Worksheet!$Z$67,"N/A"))))))))," ")</f>
        <v xml:space="preserve"> </v>
      </c>
      <c r="FS49" s="362" t="str">
        <f>IF(L49&gt;0,IF(J49="CBAL2",Worksheet!$P$68,IF(J49="CBE2-24",Worksheet!$Q$68,IF(J49="CBAM",Worksheet!$R$68,IF(J49="CBLV",Worksheet!$S$68,IF(J49="CBAB",Worksheet!$U$68,IF(J49="CBAW",Worksheet!$X$68,IF(J49="CBE2-12",Worksheet!$Y$68,IF(J49="CBAL2",Worksheet!$Z$68,"N/A"))))))))," ")</f>
        <v xml:space="preserve"> </v>
      </c>
      <c r="FT49" s="362" t="str">
        <f>IF(L49&gt;0,IF(J49="CBAL2",Worksheet!$P$69,IF(J49="CBE2-24",Worksheet!$Q$69,IF(J49="CBAM",Worksheet!$R$69,IF(J49="CBLV",Worksheet!$S$69,IF(J49="CBAB",Worksheet!$U$69,IF(J49="CBAW",Worksheet!$X$69,IF(J49="CBE2-12",Worksheet!$Y$69,IF(J49="CBAL2",Worksheet!$Z$69,"N/A"))))))))," ")</f>
        <v xml:space="preserve"> </v>
      </c>
      <c r="FU49" s="361" t="str">
        <f t="shared" si="179"/>
        <v xml:space="preserve"> </v>
      </c>
      <c r="FV49" s="362" t="str">
        <f t="shared" si="180"/>
        <v xml:space="preserve"> </v>
      </c>
      <c r="FW49" s="362" t="str">
        <f t="shared" si="181"/>
        <v xml:space="preserve"> </v>
      </c>
      <c r="FX49" s="362" t="str">
        <f t="shared" si="182"/>
        <v xml:space="preserve"> </v>
      </c>
      <c r="FY49" s="355" t="str">
        <f t="shared" si="183"/>
        <v xml:space="preserve"> </v>
      </c>
      <c r="FZ49" s="361" t="str">
        <f t="shared" si="184"/>
        <v xml:space="preserve"> </v>
      </c>
      <c r="GA49" s="347" t="str">
        <f t="shared" si="185"/>
        <v xml:space="preserve"> </v>
      </c>
      <c r="GB49" s="355" t="str">
        <f t="shared" si="186"/>
        <v xml:space="preserve"> </v>
      </c>
      <c r="GC49" s="328" t="str">
        <f t="shared" si="187"/>
        <v xml:space="preserve"> </v>
      </c>
      <c r="GD49" s="361" t="str">
        <f t="shared" si="188"/>
        <v xml:space="preserve"> </v>
      </c>
      <c r="GE49" s="347" t="str">
        <f t="shared" si="189"/>
        <v xml:space="preserve"> </v>
      </c>
      <c r="GF49" s="361" t="str">
        <f t="shared" si="190"/>
        <v xml:space="preserve"> </v>
      </c>
      <c r="GG49" s="347" t="str">
        <f t="shared" si="191"/>
        <v xml:space="preserve"> </v>
      </c>
      <c r="GH49" s="364">
        <f t="shared" si="78"/>
        <v>0</v>
      </c>
      <c r="GI49" s="362">
        <f t="shared" si="192"/>
        <v>2</v>
      </c>
      <c r="GJ49" s="433" t="e">
        <f>IF(6-COUNTBLANK(GT49:GY49)=4,MATCH(MID(BO49,9,3),CLU!$H$16:$K$16),MATCH(MID(BO49,9,3),CLU!$H$13:$M$13))</f>
        <v>#N/A</v>
      </c>
      <c r="GK49" s="433" t="e">
        <f>HLOOKUP(VALUE(BP49),CLU!$H$9:$M$10,2)</f>
        <v>#VALUE!</v>
      </c>
      <c r="GL49" s="433" t="e">
        <f ca="1">MATCH(BU49,CLU!$H$2:$V$2,1)</f>
        <v>#VALUE!</v>
      </c>
      <c r="GM49" s="433" t="e">
        <f t="shared" ca="1" si="193"/>
        <v>#VALUE!</v>
      </c>
      <c r="GN49" s="433" t="e">
        <f t="shared" ca="1" si="194"/>
        <v>#VALUE!</v>
      </c>
      <c r="GO49" s="433" t="e">
        <f t="shared" ca="1" si="195"/>
        <v>#VALUE!</v>
      </c>
      <c r="GP49" s="433" t="e">
        <f t="shared" ca="1" si="196"/>
        <v>#VALUE!</v>
      </c>
      <c r="GQ49" s="433" t="e">
        <f t="shared" ca="1" si="197"/>
        <v>#VALUE!</v>
      </c>
      <c r="GR49" s="433" t="e">
        <f ca="1">MATCH(T49,INDIRECT(VLOOKUP(CONCATENATE(LEFT(BO49,7),"-",MID(BO49,13,1)),CLU!$P$3:$Q$16,2)),1)</f>
        <v>#N/A</v>
      </c>
      <c r="GS49" s="433" t="e">
        <f ca="1">MATCH(U49,INDIRECT(VLOOKUP(CONCATENATE(LEFT(BO49,7),"-",MID(BO49,13,1)),CLU!$P$3:$Q$16,2)),1)</f>
        <v>#N/A</v>
      </c>
      <c r="GT49" s="347" t="s">
        <v>512</v>
      </c>
      <c r="GU49" s="97" t="s">
        <v>513</v>
      </c>
      <c r="GV49" s="97" t="str">
        <f t="shared" si="198"/>
        <v>M23</v>
      </c>
      <c r="GW49" s="97" t="str">
        <f t="shared" si="199"/>
        <v>M31</v>
      </c>
      <c r="GX49" s="97" t="str">
        <f t="shared" si="200"/>
        <v/>
      </c>
      <c r="GY49" s="97" t="str">
        <f t="shared" si="201"/>
        <v/>
      </c>
      <c r="GZ49" s="481"/>
      <c r="HA49" s="288"/>
      <c r="HB49" s="240"/>
      <c r="HC49" s="240"/>
      <c r="HD49" s="240"/>
      <c r="HE49" s="240"/>
      <c r="HF49" s="240"/>
      <c r="HG49" s="240"/>
      <c r="HH49" s="240"/>
      <c r="HI49" s="240"/>
      <c r="HJ49" s="240"/>
      <c r="HK49" s="240"/>
      <c r="HL49" s="240"/>
      <c r="HM49" s="240"/>
      <c r="HN49" s="240"/>
      <c r="HO49" s="240"/>
      <c r="HP49" s="240"/>
      <c r="HQ49" s="240"/>
      <c r="HR49" s="240"/>
      <c r="HS49" s="240"/>
      <c r="HT49" s="240"/>
      <c r="HU49" s="240"/>
      <c r="HV49" s="245"/>
      <c r="HW49" s="245" t="b">
        <v>1</v>
      </c>
      <c r="HX49" s="245" t="str">
        <f t="shared" si="79"/>
        <v/>
      </c>
      <c r="HY49" s="245" t="e">
        <f t="shared" si="80"/>
        <v>#DIV/0!</v>
      </c>
      <c r="HZ49" s="245" t="e">
        <f t="shared" si="81"/>
        <v>#DIV/0!</v>
      </c>
      <c r="IA49" s="245">
        <f t="shared" si="82"/>
        <v>0</v>
      </c>
      <c r="IB49" s="245"/>
      <c r="IC49" t="b">
        <f t="shared" si="83"/>
        <v>1</v>
      </c>
      <c r="ID49" s="245" t="b">
        <f t="shared" si="84"/>
        <v>1</v>
      </c>
      <c r="IE49" s="245" t="b">
        <f t="shared" si="85"/>
        <v>1</v>
      </c>
      <c r="IF49" s="245" t="b">
        <f t="shared" si="86"/>
        <v>0</v>
      </c>
      <c r="IG49" s="245" t="b">
        <f t="shared" si="87"/>
        <v>1</v>
      </c>
      <c r="IH49" s="245" t="b">
        <f t="shared" si="88"/>
        <v>1</v>
      </c>
      <c r="II49" s="245">
        <f t="shared" si="202"/>
        <v>0</v>
      </c>
      <c r="IJ49" s="245" t="e">
        <f t="shared" si="89"/>
        <v>#VALUE!</v>
      </c>
      <c r="IK49" s="245" t="e">
        <f t="shared" si="90"/>
        <v>#VALUE!</v>
      </c>
      <c r="IL49" s="245"/>
      <c r="IM49" s="245" t="e">
        <f t="shared" si="203"/>
        <v>#N/A</v>
      </c>
      <c r="IN49" s="245" t="e">
        <f t="shared" si="204"/>
        <v>#N/A</v>
      </c>
      <c r="IO49" s="245"/>
      <c r="IP49" s="245"/>
      <c r="IQ49" s="245" t="str">
        <f t="shared" si="91"/>
        <v/>
      </c>
      <c r="IR49" s="245" t="str">
        <f>IF(J49="","",VLOOKUP(J49,Worksheet!$R$4:$T$14,2))</f>
        <v/>
      </c>
      <c r="IS49" s="245"/>
      <c r="IT49" s="245">
        <f t="shared" si="92"/>
        <v>0</v>
      </c>
      <c r="IU49" s="245">
        <f t="shared" si="93"/>
        <v>0</v>
      </c>
      <c r="IV49" s="245">
        <f t="shared" si="94"/>
        <v>0</v>
      </c>
      <c r="IW49" s="245">
        <f t="shared" si="95"/>
        <v>0</v>
      </c>
      <c r="IX49" s="245">
        <f t="shared" si="205"/>
        <v>0</v>
      </c>
      <c r="IY49" s="245">
        <f t="shared" si="96"/>
        <v>0</v>
      </c>
      <c r="IZ49" s="245">
        <f t="shared" si="97"/>
        <v>0</v>
      </c>
      <c r="JA49">
        <f t="shared" si="98"/>
        <v>0</v>
      </c>
      <c r="JB49">
        <f t="shared" si="206"/>
        <v>0</v>
      </c>
      <c r="JC49">
        <f t="shared" si="99"/>
        <v>0</v>
      </c>
      <c r="JD49">
        <f t="shared" si="100"/>
        <v>0</v>
      </c>
      <c r="JE49">
        <f t="shared" si="101"/>
        <v>0</v>
      </c>
      <c r="JF49">
        <f t="shared" si="102"/>
        <v>0</v>
      </c>
      <c r="JG49">
        <f t="shared" si="103"/>
        <v>0</v>
      </c>
      <c r="JH49">
        <f t="shared" si="104"/>
        <v>0</v>
      </c>
      <c r="JI49">
        <f t="shared" si="105"/>
        <v>0</v>
      </c>
      <c r="JJ49" s="447">
        <f t="shared" si="106"/>
        <v>0</v>
      </c>
      <c r="JK49" s="447">
        <f t="shared" si="107"/>
        <v>0</v>
      </c>
      <c r="JL49">
        <f t="shared" si="108"/>
        <v>0</v>
      </c>
      <c r="JM49" s="245" t="str">
        <f>IFERROR(VLOOKUP(MATCH(BN49,#REF!,0),#REF!,7),"")</f>
        <v/>
      </c>
      <c r="JN49" t="e">
        <f>HLOOKUP(LEFT(BO49,7),Discharge_Area,MATCH(JO49,LookUps!$B$130:$B$149,1)+2)</f>
        <v>#N/A</v>
      </c>
      <c r="JO49" t="str">
        <f t="shared" si="109"/>
        <v>- S</v>
      </c>
      <c r="JP49" t="e">
        <f>HLOOKUP(LEFT(BO49,7),Discharge_Area,MATCH(JO49,LookUps!$B$130:$B$149,1)+2)</f>
        <v>#N/A</v>
      </c>
      <c r="JQ49" t="e">
        <f t="shared" si="110"/>
        <v>#N/A</v>
      </c>
      <c r="JR49" t="e">
        <f t="shared" si="111"/>
        <v>#N/A</v>
      </c>
      <c r="JS49" t="e">
        <f t="shared" si="112"/>
        <v>#N/A</v>
      </c>
      <c r="JT49" s="532" t="str">
        <f t="shared" si="113"/>
        <v xml:space="preserve"> </v>
      </c>
      <c r="JU49" s="532" t="str">
        <f t="shared" si="114"/>
        <v xml:space="preserve"> </v>
      </c>
      <c r="JV49" s="533" t="str">
        <f t="shared" si="115"/>
        <v xml:space="preserve"> </v>
      </c>
      <c r="JW49" s="534">
        <f t="shared" si="116"/>
        <v>0</v>
      </c>
      <c r="JX49" s="535" t="str">
        <f t="shared" si="207"/>
        <v xml:space="preserve"> </v>
      </c>
      <c r="JY49" s="535" t="str">
        <f t="shared" si="208"/>
        <v xml:space="preserve"> </v>
      </c>
      <c r="JZ49" s="535" t="str">
        <f t="shared" si="209"/>
        <v xml:space="preserve"> </v>
      </c>
      <c r="KA49" s="536" t="str">
        <f t="shared" si="117"/>
        <v xml:space="preserve"> </v>
      </c>
      <c r="KB49" s="535" t="e">
        <f t="shared" si="210"/>
        <v>#VALUE!</v>
      </c>
      <c r="KC49" s="535" t="str">
        <f t="shared" si="118"/>
        <v/>
      </c>
      <c r="KD49" s="537" t="str">
        <f t="shared" si="211"/>
        <v xml:space="preserve"> </v>
      </c>
      <c r="KE49" s="537" t="str">
        <f t="shared" si="212"/>
        <v xml:space="preserve"> </v>
      </c>
      <c r="KF49" s="534">
        <f t="shared" si="119"/>
        <v>0</v>
      </c>
      <c r="KG49" s="535" t="str">
        <f t="shared" si="120"/>
        <v xml:space="preserve"> </v>
      </c>
      <c r="KH49" s="535" t="str">
        <f t="shared" si="121"/>
        <v xml:space="preserve"> </v>
      </c>
      <c r="KI49" s="535" t="str">
        <f t="shared" si="122"/>
        <v xml:space="preserve"> </v>
      </c>
      <c r="KJ49" s="536" t="str">
        <f t="shared" si="123"/>
        <v xml:space="preserve"> </v>
      </c>
      <c r="KK49" s="535" t="str">
        <f t="shared" si="213"/>
        <v xml:space="preserve"> </v>
      </c>
      <c r="KL49" s="535" t="str">
        <f t="shared" si="214"/>
        <v xml:space="preserve"> </v>
      </c>
      <c r="KM49" s="537" t="str">
        <f t="shared" si="124"/>
        <v xml:space="preserve"> </v>
      </c>
      <c r="KN49" s="537" t="str">
        <f t="shared" si="215"/>
        <v xml:space="preserve"> </v>
      </c>
      <c r="KP49">
        <f t="shared" si="125"/>
        <v>0</v>
      </c>
      <c r="LA49" t="e">
        <f t="shared" si="126"/>
        <v>#VALUE!</v>
      </c>
      <c r="LB49" t="e">
        <f t="shared" si="127"/>
        <v>#VALUE!</v>
      </c>
      <c r="LC49" t="e">
        <f t="shared" si="128"/>
        <v>#VALUE!</v>
      </c>
      <c r="LD49" t="e">
        <f t="shared" si="129"/>
        <v>#VALUE!</v>
      </c>
      <c r="LE49" t="e">
        <f t="shared" si="216"/>
        <v>#VALUE!</v>
      </c>
      <c r="LF49">
        <f t="shared" si="130"/>
        <v>0</v>
      </c>
      <c r="LG49" t="e">
        <f t="shared" si="217"/>
        <v>#VALUE!</v>
      </c>
      <c r="LH49" t="str">
        <f t="shared" si="131"/>
        <v xml:space="preserve"> </v>
      </c>
      <c r="LI49">
        <f t="shared" si="218"/>
        <v>1</v>
      </c>
    </row>
    <row r="50" spans="2:321" ht="15" customHeight="1">
      <c r="B50" s="311"/>
      <c r="C50" s="311"/>
      <c r="D50" s="312"/>
      <c r="E50" s="311"/>
      <c r="F50" s="312"/>
      <c r="G50" s="311"/>
      <c r="H50" s="311"/>
      <c r="I50" s="37"/>
      <c r="J50" s="311"/>
      <c r="K50" s="305" t="str">
        <f t="shared" si="132"/>
        <v/>
      </c>
      <c r="L50" s="313"/>
      <c r="M50" s="312"/>
      <c r="N50" s="311"/>
      <c r="O50" s="312"/>
      <c r="P50" s="311"/>
      <c r="Q50" s="305" t="str">
        <f t="shared" si="133"/>
        <v/>
      </c>
      <c r="R50" s="314"/>
      <c r="S50" s="450" t="str">
        <f t="shared" si="0"/>
        <v/>
      </c>
      <c r="T50" s="315"/>
      <c r="U50" s="315"/>
      <c r="W50" s="149" t="str">
        <f t="shared" si="1"/>
        <v xml:space="preserve"> </v>
      </c>
      <c r="X50" s="243" t="str">
        <f t="shared" si="2"/>
        <v xml:space="preserve"> </v>
      </c>
      <c r="Y50" s="150" t="str">
        <f t="shared" si="3"/>
        <v/>
      </c>
      <c r="Z50" s="149" t="str">
        <f t="shared" si="4"/>
        <v xml:space="preserve"> </v>
      </c>
      <c r="AA50" s="98" t="str">
        <f t="shared" si="5"/>
        <v xml:space="preserve"> </v>
      </c>
      <c r="AB50" s="153" t="str">
        <f t="shared" si="6"/>
        <v xml:space="preserve"> </v>
      </c>
      <c r="AC50" s="153" t="str">
        <f t="shared" si="7"/>
        <v xml:space="preserve"> </v>
      </c>
      <c r="AD50" s="148" t="str">
        <f t="shared" si="8"/>
        <v/>
      </c>
      <c r="AE50" s="149" t="str">
        <f t="shared" si="9"/>
        <v/>
      </c>
      <c r="AF50" s="151" t="str">
        <f t="shared" si="10"/>
        <v xml:space="preserve"> </v>
      </c>
      <c r="AG50" s="153" t="str">
        <f t="shared" si="11"/>
        <v xml:space="preserve"> </v>
      </c>
      <c r="AH50" s="98" t="str">
        <f t="shared" si="12"/>
        <v xml:space="preserve"> </v>
      </c>
      <c r="AI50" s="149" t="str">
        <f t="shared" si="13"/>
        <v xml:space="preserve"> </v>
      </c>
      <c r="AK50" s="144" t="str">
        <f t="shared" si="14"/>
        <v xml:space="preserve"> </v>
      </c>
      <c r="AL50" s="144"/>
      <c r="AM50" s="243" t="str">
        <f t="shared" si="15"/>
        <v xml:space="preserve"> </v>
      </c>
      <c r="AN50" s="149" t="str">
        <f t="shared" si="134"/>
        <v xml:space="preserve"> </v>
      </c>
      <c r="AO50" s="144" t="str">
        <f>IF(JB50&gt;0,IF(GI50=10,-R50*1.085*(Calculation!$F$6-Calculation!$F$13)*$S$14," "),"")</f>
        <v/>
      </c>
      <c r="AP50" s="144" t="str">
        <f t="shared" si="16"/>
        <v/>
      </c>
      <c r="AQ50" s="56" t="str">
        <f t="shared" si="17"/>
        <v/>
      </c>
      <c r="AR50" s="144" t="str">
        <f t="shared" si="18"/>
        <v/>
      </c>
      <c r="AS50" s="176" t="str">
        <f t="shared" si="19"/>
        <v/>
      </c>
      <c r="AT50" s="176" t="str">
        <f t="shared" si="135"/>
        <v xml:space="preserve"> </v>
      </c>
      <c r="AU50" s="176" t="str">
        <f t="shared" si="20"/>
        <v/>
      </c>
      <c r="AV50" s="177" t="str">
        <f t="shared" si="21"/>
        <v xml:space="preserve"> </v>
      </c>
      <c r="AW50" s="144" t="str">
        <f t="shared" si="22"/>
        <v xml:space="preserve"> </v>
      </c>
      <c r="AX50" s="144" t="str">
        <f t="shared" si="23"/>
        <v xml:space="preserve"> </v>
      </c>
      <c r="AY50" s="152" t="str">
        <f t="shared" si="24"/>
        <v xml:space="preserve"> </v>
      </c>
      <c r="AZ50" s="246" t="str">
        <f t="shared" si="25"/>
        <v/>
      </c>
      <c r="BA50" s="176" t="str">
        <f t="shared" si="26"/>
        <v xml:space="preserve"> </v>
      </c>
      <c r="BB50" s="176" t="str">
        <f t="shared" si="27"/>
        <v xml:space="preserve"> </v>
      </c>
      <c r="BC50" s="195"/>
      <c r="BD50" s="316"/>
      <c r="BE50" s="317"/>
      <c r="BF50" s="318"/>
      <c r="BG50" s="318"/>
      <c r="BH50" s="144" t="str">
        <f t="shared" si="219"/>
        <v xml:space="preserve"> </v>
      </c>
      <c r="BI50" s="176" t="str">
        <f t="shared" si="28"/>
        <v/>
      </c>
      <c r="BJ50" s="144" t="str">
        <f t="shared" si="220"/>
        <v/>
      </c>
      <c r="BK50" s="246" t="str">
        <f t="shared" si="29"/>
        <v/>
      </c>
      <c r="BL50" s="144" t="str">
        <f t="shared" si="221"/>
        <v/>
      </c>
      <c r="BM50" s="246" t="str">
        <f t="shared" si="30"/>
        <v/>
      </c>
      <c r="BN50" s="337" t="str">
        <f t="shared" si="136"/>
        <v/>
      </c>
      <c r="BO50" s="371" t="str">
        <f t="shared" si="137"/>
        <v/>
      </c>
      <c r="BP50" s="328" t="str">
        <f t="shared" si="222"/>
        <v xml:space="preserve"> </v>
      </c>
      <c r="BQ50" s="347" t="str">
        <f t="shared" si="138"/>
        <v xml:space="preserve"> </v>
      </c>
      <c r="BR50" s="353" t="str">
        <f t="shared" si="223"/>
        <v xml:space="preserve"> </v>
      </c>
      <c r="BS50" s="626" t="str">
        <f>IF(L50&gt;0,IF(Calculation!P50="M13",BR50*3.1416*(0.134^2)/(4*144),IF(Calculation!P50="M17",BR50*3.1416*(0.165^2)/(4*144),IF(Calculation!P50="M20",BR50*3.1416*(0.198^2)/(4*144),IF(Calculation!P50="M23",BR50*3.1416*(0.228^2)/(4*144),IF(Calculation!P50="M27",BR50*3.1416*(0.269^2)/(4*144),BR50*3.1416*(0.307^2)/(4*144))))))," ")</f>
        <v xml:space="preserve"> </v>
      </c>
      <c r="BT50" s="353" t="str">
        <f>IF(L50&gt;0,IF(BS50&gt;0,R50/Calculation!BS50,0)," ")</f>
        <v xml:space="preserve"> </v>
      </c>
      <c r="BU50" s="438" t="e">
        <f t="shared" ca="1" si="31"/>
        <v>#VALUE!</v>
      </c>
      <c r="BV50" s="449" t="e">
        <f ca="1">INDEX(INDIRECT(VLOOKUP(LEFT(BO50,7),CLU!$Z$3:$AH$18,2)),GN50,GR50)</f>
        <v>#N/A</v>
      </c>
      <c r="BW50" s="433" t="e">
        <f ca="1">INDEX(INDIRECT(VLOOKUP(LEFT(BO50,7),CLU!$Z$3:$AH$18,3)),GN50,GR50)</f>
        <v>#N/A</v>
      </c>
      <c r="BX50" s="433" t="e">
        <f ca="1">INDEX(INDIRECT(VLOOKUP(LEFT(BO50,7),CLU!$Z$3:$AH$18,4)),GN50,GR50)</f>
        <v>#N/A</v>
      </c>
      <c r="BY50" s="433" t="e">
        <f ca="1">INDEX(INDIRECT(VLOOKUP(LEFT(BO50,7),CLU!$Z$3:$AH$18,9)),((M50-2)*(6-COUNTBLANK(GT50:GY50)))+GJ50)</f>
        <v>#N/A</v>
      </c>
      <c r="BZ50" s="426" t="e">
        <f t="shared" ca="1" si="139"/>
        <v>#N/A</v>
      </c>
      <c r="CA50" s="424" t="e">
        <f t="shared" ca="1" si="140"/>
        <v>#N/A</v>
      </c>
      <c r="CB50" s="429" t="e">
        <f ca="1">INDEX(INDIRECT(VLOOKUP(LEFT(BO50,7),CLU!$Z$3:$AH$18,2)),GN50,GS50)</f>
        <v>#N/A</v>
      </c>
      <c r="CC50" s="342" t="e">
        <f ca="1">INDEX(INDIRECT(VLOOKUP(LEFT(BO50,7),CLU!$Z$3:$AH$18,3)),GN50,GS50)</f>
        <v>#N/A</v>
      </c>
      <c r="CD50" s="342" t="e">
        <f ca="1">INDEX(INDIRECT(VLOOKUP(LEFT(BO50,7),CLU!$Z$3:$AH$18,4)),GN50,GS50)</f>
        <v>#N/A</v>
      </c>
      <c r="CE50" s="426" t="e">
        <f t="shared" ca="1" si="141"/>
        <v>#N/A</v>
      </c>
      <c r="CF50" s="440">
        <f t="shared" si="142"/>
        <v>0</v>
      </c>
      <c r="CG50" s="431" t="e">
        <f ca="1">INDEX(INDIRECT(VLOOKUP(LEFT(BO50,7),CLU!$Z$3:$AH$18,2)),GQ50,GR50)</f>
        <v>#N/A</v>
      </c>
      <c r="CH50" s="431" t="e">
        <f ca="1">INDEX(INDIRECT(VLOOKUP(LEFT(BO50,7),CLU!$Z$3:$AH$18,3)),GQ50,GR50)</f>
        <v>#N/A</v>
      </c>
      <c r="CI50" s="431" t="e">
        <f ca="1">INDEX(INDIRECT(VLOOKUP(LEFT(BO50,7),CLU!$Z$3:$AH$18,4)),GQ50,GR50)</f>
        <v>#N/A</v>
      </c>
      <c r="CJ50" s="448" t="e">
        <f t="shared" ca="1" si="143"/>
        <v>#N/A</v>
      </c>
      <c r="CK50" s="431" t="e">
        <f t="shared" ca="1" si="144"/>
        <v>#N/A</v>
      </c>
      <c r="CL50" s="440" t="e">
        <f t="shared" ca="1" si="145"/>
        <v>#N/A</v>
      </c>
      <c r="CM50" s="431" t="e">
        <f ca="1">INDEX(INDIRECT(VLOOKUP(LEFT(BO50,7),CLU!$Z$3:$AH$18,2)),GQ50,GS50)</f>
        <v>#N/A</v>
      </c>
      <c r="CN50" s="431" t="e">
        <f ca="1">INDEX(INDIRECT(VLOOKUP(LEFT(BO50,7),CLU!$Z$3:$AH$18,3)),GQ50,GS50)</f>
        <v>#N/A</v>
      </c>
      <c r="CO50" s="431" t="e">
        <f ca="1">INDEX(INDIRECT(VLOOKUP(LEFT(BO50,7),CLU!$Z$3:$AH$18,4)),GQ50,GS50)</f>
        <v>#N/A</v>
      </c>
      <c r="CP50" s="431" t="e">
        <f t="shared" ca="1" si="146"/>
        <v>#N/A</v>
      </c>
      <c r="CQ50" s="440">
        <f t="shared" si="147"/>
        <v>0</v>
      </c>
      <c r="CR50" s="51" t="e">
        <f t="shared" ca="1" si="148"/>
        <v>#N/A</v>
      </c>
      <c r="CS50" s="439" t="e">
        <f t="shared" ca="1" si="149"/>
        <v>#VALUE!</v>
      </c>
      <c r="CT50" s="51" t="e">
        <f t="shared" ca="1" si="150"/>
        <v>#VALUE!</v>
      </c>
      <c r="CU50" s="10"/>
      <c r="CV50" s="51" t="e">
        <f t="shared" ca="1" si="34"/>
        <v>#VALUE!</v>
      </c>
      <c r="CW50" s="51">
        <f t="shared" si="151"/>
        <v>0</v>
      </c>
      <c r="CX50" s="439" t="e">
        <f t="shared" ca="1" si="152"/>
        <v>#VALUE!</v>
      </c>
      <c r="CY50" s="51" t="e">
        <f t="shared" ca="1" si="153"/>
        <v>#VALUE!</v>
      </c>
      <c r="CZ50" s="10"/>
      <c r="DA50" s="51" t="e">
        <f t="shared" ca="1" si="154"/>
        <v>#VALUE!</v>
      </c>
      <c r="DB50" s="347" t="e">
        <f ca="1">INDEX(INDIRECT(VLOOKUP(LEFT(BO50,7),CLU!$Z$3:$AI$18,10)),((M50-2)*(6-COUNTBLANK(GT50:GY50)))+GJ50)*LI50</f>
        <v>#N/A</v>
      </c>
      <c r="DC50" s="347" t="str">
        <f>IF(L50&gt;0,((R50/Worksheet!$I$15)/DB50)^2," ")</f>
        <v xml:space="preserve"> </v>
      </c>
      <c r="DD50" s="602" t="str">
        <f t="shared" si="224"/>
        <v xml:space="preserve"> </v>
      </c>
      <c r="DE50" s="347" t="str">
        <f t="shared" si="35"/>
        <v xml:space="preserve"> </v>
      </c>
      <c r="DF50" s="356" t="e">
        <f ca="1">INDEX(INDIRECT(VLOOKUP(LEFT(BO50,7),CLU!$Z$3:$AH$18,8)),((M50-2)*(6-COUNTBLANK(GT50:GY50)))+GJ50)</f>
        <v>#N/A</v>
      </c>
      <c r="DG50" s="347" t="str">
        <f t="shared" si="36"/>
        <v xml:space="preserve"> </v>
      </c>
      <c r="DH50" s="357" t="str">
        <f t="shared" si="37"/>
        <v xml:space="preserve"> </v>
      </c>
      <c r="DI50" s="355" t="str">
        <f t="shared" si="38"/>
        <v xml:space="preserve"> </v>
      </c>
      <c r="DJ50" s="245" t="e">
        <f ca="1">INDEX(INDIRECT(VLOOKUP(LEFT(BO50,7),CLU!$Z$3:$AH$18,5)),GL50,GK50)</f>
        <v>#N/A</v>
      </c>
      <c r="DK50" s="245" t="e">
        <f ca="1">INDEX(INDIRECT(VLOOKUP(LEFT(BO50,7),CLU!$Z$3:$AH$18,6)),GL50,GK50)</f>
        <v>#N/A</v>
      </c>
      <c r="DL50" s="355">
        <f>(Calculation!R50*0.69143*(Calculation!$BQ$8-Calculation!$F$8))*$S$14</f>
        <v>0</v>
      </c>
      <c r="DM50" s="359" t="e">
        <f t="shared" si="160"/>
        <v>#VALUE!</v>
      </c>
      <c r="DN50" s="611">
        <f t="shared" si="161"/>
        <v>0</v>
      </c>
      <c r="DO50" s="359">
        <f t="shared" si="162"/>
        <v>100</v>
      </c>
      <c r="DP50" s="359">
        <f t="shared" si="163"/>
        <v>0</v>
      </c>
      <c r="DQ50" s="360"/>
      <c r="DR50" s="245" t="e">
        <f ca="1">INDEX(INDIRECT(VLOOKUP(LEFT(BO50,7),CLU!$Z$3:$AH$18,7)),M50-1,1)</f>
        <v>#N/A</v>
      </c>
      <c r="DS50" s="245" t="e">
        <f ca="1">INDEX(INDIRECT(VLOOKUP(LEFT(BO50,7),CLU!$Z$3:$AH$18,7)),M50-1,2)</f>
        <v>#N/A</v>
      </c>
      <c r="DT50" s="245" t="e">
        <f ca="1">INDEX(INDIRECT(VLOOKUP(LEFT(BO50,7),CLU!$Z$3:$AH$18,7)),M50-1,3)</f>
        <v>#N/A</v>
      </c>
      <c r="DU50" s="245" t="e">
        <f ca="1">INDEX(INDIRECT(VLOOKUP(LEFT(BO50,7),CLU!$Z$3:$AH$18,7)),M50-1,4)</f>
        <v>#N/A</v>
      </c>
      <c r="DV50" s="361" t="e">
        <f ca="1">INDEX(INDIRECT(VLOOKUP(LEFT(BO50,7),CLU!$Z$3:$AH$18,7)),M50-1,4+LEFT(DZ50,1)*0.5)</f>
        <v>#N/A</v>
      </c>
      <c r="DW50" s="245" t="e">
        <f ca="1">INDEX(INDIRECT(VLOOKUP(LEFT(BO50,7),CLU!$Z$3:$AH$18,7)),M50-1,8)</f>
        <v>#N/A</v>
      </c>
      <c r="DX50" s="361" t="str">
        <f t="shared" si="39"/>
        <v xml:space="preserve"> </v>
      </c>
      <c r="DY50" s="361" t="str">
        <f t="shared" si="40"/>
        <v xml:space="preserve"> </v>
      </c>
      <c r="DZ50" s="361" t="str">
        <f t="shared" si="41"/>
        <v xml:space="preserve"> </v>
      </c>
      <c r="EA50" s="362" t="str">
        <f t="shared" si="42"/>
        <v xml:space="preserve"> </v>
      </c>
      <c r="EB50" s="624" t="str">
        <f t="shared" si="168"/>
        <v xml:space="preserve"> </v>
      </c>
      <c r="EC50" s="361" t="e">
        <f ca="1">INDEX(INDIRECT(VLOOKUP(LEFT(BO50,7),CLU!$Z$3:$AH$18,7)),M50-1,4+LEFT(DZ50,1)*0.5)</f>
        <v>#N/A</v>
      </c>
      <c r="ED50" s="362" t="str">
        <f t="shared" si="43"/>
        <v xml:space="preserve"> </v>
      </c>
      <c r="EE50" s="361" t="str">
        <f t="shared" si="44"/>
        <v xml:space="preserve"> </v>
      </c>
      <c r="EF50" s="362" t="str">
        <f>IF(L50&gt;0,IF(BR50&gt;0,IF(EE50="2P",IF(Calculation!DZ50="2P",IF(Calculation!DS50=13.75,IF(Calculation!DR50=13,Worksheet!$BD$43,IF(Calculation!DR50=37,Worksheet!$BD$44,Worksheet!$BD$45)),IF(Calculation!DS50=10,IF(Calculation!DR50=18,Worksheet!$BD$29,IF(Calculation!DR50=30,Worksheet!$BD$30,IF(Calculation!DR50=42,Worksheet!$BD$31,IF(Calculation!DR50=54,Worksheet!$BD$32,IF(Calculation!DR50=66,Worksheet!$BD$33,IF(Calculation!DR50=78,Worksheet!$BD$34,IF(Calculation!DR50=90,Worksheet!$BD$35,IF(Calculation!DR50=102,Worksheet!$BD$36,Worksheet!$BD$37)))))))),IF(Calculation!DS50=12.5,IF(Calculation!DR50=18,Worksheet!$BD$38,IF(Calculation!DR50=Worksheet!$BD$39,IF(Calculation!DR50=42,Worksheet!$BD$40,IF(Calculation!DR50=54,Worksheet!$BD$41,Worksheet!$BD$42)))),IF(Calculation!DR50=18,Worksheet!$BD$11,IF(Calculation!DR50=30,Worksheet!$BD$12,IF(Calculation!DR50=42,Worksheet!$BD$13,IF(Calculation!DR50=54,Worksheet!$BD$14,IF(Calculation!DR50=66,Worksheet!$BD$15,IF(Calculation!DR50=78,Worksheet!$BD$16,IF(Calculation!DR50=90,Worksheet!$BD$17,IF(Calculation!DR50=102,Worksheet!$BD$18,Worksheet!$BD$19))))))))))),IF(Calculation!DS50=13.75,IF(Calculation!DR50=13,Worksheet!$BD$78,IF(Calculation!DR50=37,Worksheet!$BD$79,Worksheet!$BD$80)),IF(Calculation!DS50=10,IF(Calculation!DR50=18,Worksheet!$BD$64,IF(Calculation!DR50=30,Worksheet!$BD$65,IF(Calculation!DR50=42,Worksheet!$BD$66,IF(Calculation!DR50=54,Worksheet!$BD$68,IF(Calculation!DR50=66,Worksheet!$BD$68,IF(Calculation!DR50=78,Worksheet!$BD$69,IF(Calculation!DR50=90,Worksheet!$BD$70,IF(Calculation!DR50=102,Worksheet!$BD$71,Worksheet!$BD$72)))))))),IF(Calculation!DS50=12.5,IF(Calculation!DR50=18,Worksheet!$BD$73,IF(Calculation!DR50=Worksheet!$BD$74,IF(Calculation!DR50=42,Worksheet!$BD$75,IF(Calculation!DR50=54,Worksheet!$BD$76,Worksheet!$BD$77)))),IF(Calculation!DR50=18,Worksheet!$BD$55,IF(Calculation!DR50=30,Worksheet!$BD$56,IF(Calculation!DR50=42,Worksheet!$BD$57,IF(Calculation!DR50=54,Worksheet!$BD$58,IF(Calculation!DR50=66,Worksheet!$BD$59,IF(Calculation!DR50=78,Worksheet!$BD$60,IF(Calculation!DR50=90,Worksheet!$BD$61,IF(Calculation!DR50=102,Worksheet!$BD$62,Worksheet!$BD$63)))))))))))),5),0)," ")</f>
        <v xml:space="preserve"> </v>
      </c>
      <c r="EG50" s="361" t="str">
        <f t="shared" si="45"/>
        <v xml:space="preserve"> </v>
      </c>
      <c r="EH50" s="361" t="e">
        <f ca="1">INDEX(INDIRECT(VLOOKUP(LEFT(BO50,7),CLU!$Z$3:$AH$18,7)),M50-1,3+LEFT(DZ50,1))</f>
        <v>#N/A</v>
      </c>
      <c r="EI50" s="362" t="str">
        <f t="shared" si="46"/>
        <v xml:space="preserve"> </v>
      </c>
      <c r="EJ50" s="363" t="str">
        <f t="shared" si="47"/>
        <v xml:space="preserve"> </v>
      </c>
      <c r="EK50" s="363" t="str">
        <f t="shared" si="48"/>
        <v xml:space="preserve"> </v>
      </c>
      <c r="EL50" s="363" t="str">
        <f t="shared" si="49"/>
        <v xml:space="preserve"> </v>
      </c>
      <c r="EM50" s="362" t="str">
        <f>IF(L50&gt;0,IF(BR50&gt;0,(Calculation!T50/ED50)^2,0)," ")</f>
        <v xml:space="preserve"> </v>
      </c>
      <c r="EN50" s="362" t="str">
        <f>IF(L50&gt;0,IF(O50="2 Pipe (Cooling)","N/A",IF(BR50&gt;0,(Calculation!U50/EI50)^2,0))," ")</f>
        <v xml:space="preserve"> </v>
      </c>
      <c r="EO50" s="361" t="str">
        <f t="shared" si="50"/>
        <v/>
      </c>
      <c r="EP50" s="361" t="str">
        <f t="shared" si="51"/>
        <v/>
      </c>
      <c r="EQ50" s="361" t="str">
        <f t="shared" si="52"/>
        <v/>
      </c>
      <c r="ER50" s="361" t="str">
        <f t="shared" si="53"/>
        <v/>
      </c>
      <c r="ES50" s="361" t="str">
        <f t="shared" si="54"/>
        <v/>
      </c>
      <c r="ET50" s="361" t="str">
        <f t="shared" si="55"/>
        <v/>
      </c>
      <c r="EU50" s="361" t="str">
        <f t="shared" si="56"/>
        <v/>
      </c>
      <c r="EV50" s="361" t="str">
        <f t="shared" si="57"/>
        <v/>
      </c>
      <c r="EW50" s="361" t="str">
        <f t="shared" si="58"/>
        <v/>
      </c>
      <c r="EX50" s="361" t="str">
        <f t="shared" si="169"/>
        <v>1 slot, 1 way</v>
      </c>
      <c r="EY50" s="361" t="str">
        <f t="shared" si="170"/>
        <v xml:space="preserve"> </v>
      </c>
      <c r="EZ50" s="361" t="str">
        <f t="shared" si="171"/>
        <v xml:space="preserve"> </v>
      </c>
      <c r="FA50" s="361" t="str">
        <f t="shared" si="172"/>
        <v xml:space="preserve"> </v>
      </c>
      <c r="FB50" s="361" t="str">
        <f t="shared" si="173"/>
        <v xml:space="preserve"> </v>
      </c>
      <c r="FC50" s="361"/>
      <c r="FD50" s="361" t="str">
        <f>IF(J50&gt;0,IF(Calculation!R50&lt;=70,4,IF(Calculation!R50&lt;=110,5,IF(Calculation!R50&lt;=160,6,IF(Calculation!R50&lt;=300,8,"10 EO")))),"")</f>
        <v/>
      </c>
      <c r="FE50" s="361" t="str">
        <f t="shared" si="174"/>
        <v/>
      </c>
      <c r="FF50" s="361" t="str">
        <f t="shared" si="175"/>
        <v/>
      </c>
      <c r="FG50" s="361" t="e">
        <f t="shared" si="60"/>
        <v>#N/A</v>
      </c>
      <c r="FH50" s="361">
        <f t="shared" si="61"/>
        <v>0</v>
      </c>
      <c r="FI50" s="361" t="e">
        <f t="shared" si="62"/>
        <v>#DIV/0!</v>
      </c>
      <c r="FJ50" s="361"/>
      <c r="FK50" s="356" t="e">
        <f t="shared" si="63"/>
        <v>#VALUE!</v>
      </c>
      <c r="FL50" s="361"/>
      <c r="FM50" s="361"/>
      <c r="FN50" s="362" t="str">
        <f t="shared" si="176"/>
        <v xml:space="preserve"> </v>
      </c>
      <c r="FO50" s="362" t="str">
        <f t="shared" si="177"/>
        <v xml:space="preserve"> </v>
      </c>
      <c r="FP50" s="362">
        <f t="shared" si="178"/>
        <v>0</v>
      </c>
      <c r="FQ50" s="361">
        <f t="shared" si="64"/>
        <v>0</v>
      </c>
      <c r="FR50" s="362" t="str">
        <f>IF(L50&gt;0,IF(J50="CBAL2",Worksheet!$P$67,IF(J50="CBE2-24",Worksheet!$Q$67,IF(J50="CBAM",Worksheet!$R$67,IF(J50="CBLV",Worksheet!$S$67,IF(J50="CBAB",Worksheet!$U$67,IF(J50="CBAW",Worksheet!$X$67,IF(J50="CBE2-12",Worksheet!$Y$67,IF(J50="CBAL2",Worksheet!$Z$67,"N/A"))))))))," ")</f>
        <v xml:space="preserve"> </v>
      </c>
      <c r="FS50" s="362" t="str">
        <f>IF(L50&gt;0,IF(J50="CBAL2",Worksheet!$P$68,IF(J50="CBE2-24",Worksheet!$Q$68,IF(J50="CBAM",Worksheet!$R$68,IF(J50="CBLV",Worksheet!$S$68,IF(J50="CBAB",Worksheet!$U$68,IF(J50="CBAW",Worksheet!$X$68,IF(J50="CBE2-12",Worksheet!$Y$68,IF(J50="CBAL2",Worksheet!$Z$68,"N/A"))))))))," ")</f>
        <v xml:space="preserve"> </v>
      </c>
      <c r="FT50" s="362" t="str">
        <f>IF(L50&gt;0,IF(J50="CBAL2",Worksheet!$P$69,IF(J50="CBE2-24",Worksheet!$Q$69,IF(J50="CBAM",Worksheet!$R$69,IF(J50="CBLV",Worksheet!$S$69,IF(J50="CBAB",Worksheet!$U$69,IF(J50="CBAW",Worksheet!$X$69,IF(J50="CBE2-12",Worksheet!$Y$69,IF(J50="CBAL2",Worksheet!$Z$69,"N/A"))))))))," ")</f>
        <v xml:space="preserve"> </v>
      </c>
      <c r="FU50" s="361" t="str">
        <f t="shared" si="179"/>
        <v xml:space="preserve"> </v>
      </c>
      <c r="FV50" s="362" t="str">
        <f t="shared" si="180"/>
        <v xml:space="preserve"> </v>
      </c>
      <c r="FW50" s="362" t="str">
        <f t="shared" si="181"/>
        <v xml:space="preserve"> </v>
      </c>
      <c r="FX50" s="362" t="str">
        <f t="shared" si="182"/>
        <v xml:space="preserve"> </v>
      </c>
      <c r="FY50" s="355" t="str">
        <f t="shared" si="183"/>
        <v xml:space="preserve"> </v>
      </c>
      <c r="FZ50" s="361" t="str">
        <f t="shared" si="184"/>
        <v xml:space="preserve"> </v>
      </c>
      <c r="GA50" s="347" t="str">
        <f t="shared" si="185"/>
        <v xml:space="preserve"> </v>
      </c>
      <c r="GB50" s="355" t="str">
        <f t="shared" si="186"/>
        <v xml:space="preserve"> </v>
      </c>
      <c r="GC50" s="328" t="str">
        <f t="shared" si="187"/>
        <v xml:space="preserve"> </v>
      </c>
      <c r="GD50" s="361" t="str">
        <f t="shared" si="188"/>
        <v xml:space="preserve"> </v>
      </c>
      <c r="GE50" s="347" t="str">
        <f t="shared" si="189"/>
        <v xml:space="preserve"> </v>
      </c>
      <c r="GF50" s="361" t="str">
        <f t="shared" si="190"/>
        <v xml:space="preserve"> </v>
      </c>
      <c r="GG50" s="347" t="str">
        <f t="shared" si="191"/>
        <v xml:space="preserve"> </v>
      </c>
      <c r="GH50" s="364">
        <f t="shared" si="78"/>
        <v>0</v>
      </c>
      <c r="GI50" s="362">
        <f t="shared" si="192"/>
        <v>2</v>
      </c>
      <c r="GJ50" s="433" t="e">
        <f>IF(6-COUNTBLANK(GT50:GY50)=4,MATCH(MID(BO50,9,3),CLU!$H$16:$K$16),MATCH(MID(BO50,9,3),CLU!$H$13:$M$13))</f>
        <v>#N/A</v>
      </c>
      <c r="GK50" s="433" t="e">
        <f>HLOOKUP(VALUE(BP50),CLU!$H$9:$M$10,2)</f>
        <v>#VALUE!</v>
      </c>
      <c r="GL50" s="433" t="e">
        <f ca="1">MATCH(BU50,CLU!$H$2:$V$2,1)</f>
        <v>#VALUE!</v>
      </c>
      <c r="GM50" s="433" t="e">
        <f t="shared" ca="1" si="193"/>
        <v>#VALUE!</v>
      </c>
      <c r="GN50" s="433" t="e">
        <f t="shared" ca="1" si="194"/>
        <v>#VALUE!</v>
      </c>
      <c r="GO50" s="433" t="e">
        <f t="shared" ca="1" si="195"/>
        <v>#VALUE!</v>
      </c>
      <c r="GP50" s="433" t="e">
        <f t="shared" ca="1" si="196"/>
        <v>#VALUE!</v>
      </c>
      <c r="GQ50" s="433" t="e">
        <f t="shared" ca="1" si="197"/>
        <v>#VALUE!</v>
      </c>
      <c r="GR50" s="433" t="e">
        <f ca="1">MATCH(T50,INDIRECT(VLOOKUP(CONCATENATE(LEFT(BO50,7),"-",MID(BO50,13,1)),CLU!$P$3:$Q$16,2)),1)</f>
        <v>#N/A</v>
      </c>
      <c r="GS50" s="433" t="e">
        <f ca="1">MATCH(U50,INDIRECT(VLOOKUP(CONCATENATE(LEFT(BO50,7),"-",MID(BO50,13,1)),CLU!$P$3:$Q$16,2)),1)</f>
        <v>#N/A</v>
      </c>
      <c r="GT50" s="347" t="s">
        <v>512</v>
      </c>
      <c r="GU50" s="97" t="s">
        <v>513</v>
      </c>
      <c r="GV50" s="97" t="str">
        <f t="shared" si="198"/>
        <v>M23</v>
      </c>
      <c r="GW50" s="97" t="str">
        <f t="shared" si="199"/>
        <v>M31</v>
      </c>
      <c r="GX50" s="97" t="str">
        <f t="shared" si="200"/>
        <v/>
      </c>
      <c r="GY50" s="97" t="str">
        <f t="shared" si="201"/>
        <v/>
      </c>
      <c r="GZ50" s="481"/>
      <c r="HA50" s="288"/>
      <c r="HB50" s="240"/>
      <c r="HC50" s="240"/>
      <c r="HD50" s="240"/>
      <c r="HE50" s="240"/>
      <c r="HF50" s="240"/>
      <c r="HG50" s="240"/>
      <c r="HH50" s="240"/>
      <c r="HI50" s="240"/>
      <c r="HJ50" s="240"/>
      <c r="HK50" s="240"/>
      <c r="HL50" s="240"/>
      <c r="HM50" s="240"/>
      <c r="HN50" s="240"/>
      <c r="HO50" s="240"/>
      <c r="HP50" s="240"/>
      <c r="HQ50" s="240"/>
      <c r="HR50" s="240"/>
      <c r="HS50" s="240"/>
      <c r="HT50" s="240"/>
      <c r="HU50" s="240"/>
      <c r="HV50" s="245"/>
      <c r="HW50" s="245" t="b">
        <v>1</v>
      </c>
      <c r="HX50" s="245" t="str">
        <f t="shared" si="79"/>
        <v/>
      </c>
      <c r="HY50" s="245" t="e">
        <f t="shared" si="80"/>
        <v>#DIV/0!</v>
      </c>
      <c r="HZ50" s="245" t="e">
        <f t="shared" si="81"/>
        <v>#DIV/0!</v>
      </c>
      <c r="IA50" s="245">
        <f t="shared" si="82"/>
        <v>0</v>
      </c>
      <c r="IB50" s="245"/>
      <c r="IC50" t="b">
        <f t="shared" si="83"/>
        <v>1</v>
      </c>
      <c r="ID50" s="245" t="b">
        <f t="shared" si="84"/>
        <v>1</v>
      </c>
      <c r="IE50" s="245" t="b">
        <f t="shared" si="85"/>
        <v>1</v>
      </c>
      <c r="IF50" s="245" t="b">
        <f t="shared" si="86"/>
        <v>0</v>
      </c>
      <c r="IG50" s="245" t="b">
        <f t="shared" si="87"/>
        <v>1</v>
      </c>
      <c r="IH50" s="245" t="b">
        <f t="shared" si="88"/>
        <v>1</v>
      </c>
      <c r="II50" s="245">
        <f t="shared" si="202"/>
        <v>0</v>
      </c>
      <c r="IJ50" s="245" t="e">
        <f t="shared" si="89"/>
        <v>#VALUE!</v>
      </c>
      <c r="IK50" s="245" t="e">
        <f t="shared" si="90"/>
        <v>#VALUE!</v>
      </c>
      <c r="IL50" s="245"/>
      <c r="IM50" s="245" t="e">
        <f t="shared" si="203"/>
        <v>#N/A</v>
      </c>
      <c r="IN50" s="245" t="e">
        <f t="shared" si="204"/>
        <v>#N/A</v>
      </c>
      <c r="IO50" s="245"/>
      <c r="IP50" s="245"/>
      <c r="IQ50" s="245" t="str">
        <f t="shared" si="91"/>
        <v/>
      </c>
      <c r="IR50" s="245" t="str">
        <f>IF(J50="","",VLOOKUP(J50,Worksheet!$R$4:$T$14,2))</f>
        <v/>
      </c>
      <c r="IS50" s="245"/>
      <c r="IT50" s="245">
        <f t="shared" si="92"/>
        <v>0</v>
      </c>
      <c r="IU50" s="245">
        <f t="shared" si="93"/>
        <v>0</v>
      </c>
      <c r="IV50" s="245">
        <f t="shared" si="94"/>
        <v>0</v>
      </c>
      <c r="IW50" s="245">
        <f t="shared" si="95"/>
        <v>0</v>
      </c>
      <c r="IX50" s="245">
        <f t="shared" si="205"/>
        <v>0</v>
      </c>
      <c r="IY50" s="245">
        <f t="shared" si="96"/>
        <v>0</v>
      </c>
      <c r="IZ50" s="245">
        <f t="shared" si="97"/>
        <v>0</v>
      </c>
      <c r="JA50">
        <f t="shared" si="98"/>
        <v>0</v>
      </c>
      <c r="JB50">
        <f t="shared" si="206"/>
        <v>0</v>
      </c>
      <c r="JC50">
        <f t="shared" si="99"/>
        <v>0</v>
      </c>
      <c r="JD50">
        <f t="shared" si="100"/>
        <v>0</v>
      </c>
      <c r="JE50">
        <f t="shared" si="101"/>
        <v>0</v>
      </c>
      <c r="JF50">
        <f t="shared" si="102"/>
        <v>0</v>
      </c>
      <c r="JG50">
        <f t="shared" si="103"/>
        <v>0</v>
      </c>
      <c r="JH50">
        <f t="shared" si="104"/>
        <v>0</v>
      </c>
      <c r="JI50">
        <f t="shared" si="105"/>
        <v>0</v>
      </c>
      <c r="JJ50" s="447">
        <f t="shared" si="106"/>
        <v>0</v>
      </c>
      <c r="JK50" s="447">
        <f t="shared" si="107"/>
        <v>0</v>
      </c>
      <c r="JL50">
        <f t="shared" si="108"/>
        <v>0</v>
      </c>
      <c r="JM50" s="245" t="str">
        <f>IFERROR(VLOOKUP(MATCH(BN50,#REF!,0),#REF!,7),"")</f>
        <v/>
      </c>
      <c r="JN50" t="e">
        <f>HLOOKUP(LEFT(BO50,7),Discharge_Area,MATCH(JO50,LookUps!$B$130:$B$149,1)+2)</f>
        <v>#N/A</v>
      </c>
      <c r="JO50" t="str">
        <f t="shared" si="109"/>
        <v>- S</v>
      </c>
      <c r="JP50" t="e">
        <f>HLOOKUP(LEFT(BO50,7),Discharge_Area,MATCH(JO50,LookUps!$B$130:$B$149,1)+2)</f>
        <v>#N/A</v>
      </c>
      <c r="JQ50" t="e">
        <f t="shared" si="110"/>
        <v>#N/A</v>
      </c>
      <c r="JR50" t="e">
        <f t="shared" si="111"/>
        <v>#N/A</v>
      </c>
      <c r="JS50" t="e">
        <f t="shared" si="112"/>
        <v>#N/A</v>
      </c>
      <c r="JT50" s="532" t="str">
        <f t="shared" si="113"/>
        <v xml:space="preserve"> </v>
      </c>
      <c r="JU50" s="532" t="str">
        <f t="shared" si="114"/>
        <v xml:space="preserve"> </v>
      </c>
      <c r="JV50" s="533" t="str">
        <f t="shared" si="115"/>
        <v xml:space="preserve"> </v>
      </c>
      <c r="JW50" s="534">
        <f t="shared" si="116"/>
        <v>0</v>
      </c>
      <c r="JX50" s="535" t="str">
        <f t="shared" si="207"/>
        <v xml:space="preserve"> </v>
      </c>
      <c r="JY50" s="535" t="str">
        <f t="shared" si="208"/>
        <v xml:space="preserve"> </v>
      </c>
      <c r="JZ50" s="535" t="str">
        <f t="shared" si="209"/>
        <v xml:space="preserve"> </v>
      </c>
      <c r="KA50" s="536" t="str">
        <f t="shared" si="117"/>
        <v xml:space="preserve"> </v>
      </c>
      <c r="KB50" s="535" t="e">
        <f t="shared" si="210"/>
        <v>#VALUE!</v>
      </c>
      <c r="KC50" s="535" t="str">
        <f t="shared" si="118"/>
        <v/>
      </c>
      <c r="KD50" s="537" t="str">
        <f t="shared" si="211"/>
        <v xml:space="preserve"> </v>
      </c>
      <c r="KE50" s="537" t="str">
        <f t="shared" si="212"/>
        <v xml:space="preserve"> </v>
      </c>
      <c r="KF50" s="534">
        <f t="shared" si="119"/>
        <v>0</v>
      </c>
      <c r="KG50" s="535" t="str">
        <f t="shared" si="120"/>
        <v xml:space="preserve"> </v>
      </c>
      <c r="KH50" s="535" t="str">
        <f t="shared" si="121"/>
        <v xml:space="preserve"> </v>
      </c>
      <c r="KI50" s="535" t="str">
        <f t="shared" si="122"/>
        <v xml:space="preserve"> </v>
      </c>
      <c r="KJ50" s="536" t="str">
        <f t="shared" si="123"/>
        <v xml:space="preserve"> </v>
      </c>
      <c r="KK50" s="535" t="str">
        <f t="shared" si="213"/>
        <v xml:space="preserve"> </v>
      </c>
      <c r="KL50" s="535" t="str">
        <f t="shared" si="214"/>
        <v xml:space="preserve"> </v>
      </c>
      <c r="KM50" s="537" t="str">
        <f t="shared" si="124"/>
        <v xml:space="preserve"> </v>
      </c>
      <c r="KN50" s="537" t="str">
        <f t="shared" si="215"/>
        <v xml:space="preserve"> </v>
      </c>
      <c r="KP50">
        <f t="shared" si="125"/>
        <v>0</v>
      </c>
      <c r="LA50" t="e">
        <f t="shared" si="126"/>
        <v>#VALUE!</v>
      </c>
      <c r="LB50" t="e">
        <f t="shared" si="127"/>
        <v>#VALUE!</v>
      </c>
      <c r="LC50" t="e">
        <f t="shared" si="128"/>
        <v>#VALUE!</v>
      </c>
      <c r="LD50" t="e">
        <f t="shared" si="129"/>
        <v>#VALUE!</v>
      </c>
      <c r="LE50" t="e">
        <f t="shared" si="216"/>
        <v>#VALUE!</v>
      </c>
      <c r="LF50">
        <f t="shared" si="130"/>
        <v>0</v>
      </c>
      <c r="LG50" t="e">
        <f t="shared" si="217"/>
        <v>#VALUE!</v>
      </c>
      <c r="LH50" t="str">
        <f t="shared" si="131"/>
        <v xml:space="preserve"> </v>
      </c>
      <c r="LI50">
        <f t="shared" si="218"/>
        <v>1</v>
      </c>
    </row>
    <row r="51" spans="2:321" ht="15" customHeight="1">
      <c r="B51" s="311"/>
      <c r="C51" s="311"/>
      <c r="D51" s="312"/>
      <c r="E51" s="311"/>
      <c r="F51" s="312"/>
      <c r="G51" s="311"/>
      <c r="H51" s="311"/>
      <c r="I51" s="37"/>
      <c r="J51" s="311"/>
      <c r="K51" s="305" t="str">
        <f t="shared" si="132"/>
        <v/>
      </c>
      <c r="L51" s="313"/>
      <c r="M51" s="312"/>
      <c r="N51" s="311"/>
      <c r="O51" s="312"/>
      <c r="P51" s="311"/>
      <c r="Q51" s="305" t="str">
        <f t="shared" si="133"/>
        <v/>
      </c>
      <c r="R51" s="314"/>
      <c r="S51" s="450" t="str">
        <f t="shared" si="0"/>
        <v/>
      </c>
      <c r="T51" s="315"/>
      <c r="U51" s="315"/>
      <c r="W51" s="149" t="str">
        <f t="shared" si="1"/>
        <v xml:space="preserve"> </v>
      </c>
      <c r="X51" s="243" t="str">
        <f t="shared" si="2"/>
        <v xml:space="preserve"> </v>
      </c>
      <c r="Y51" s="150" t="str">
        <f t="shared" si="3"/>
        <v/>
      </c>
      <c r="Z51" s="149" t="str">
        <f t="shared" si="4"/>
        <v xml:space="preserve"> </v>
      </c>
      <c r="AA51" s="98" t="str">
        <f t="shared" si="5"/>
        <v xml:space="preserve"> </v>
      </c>
      <c r="AB51" s="153" t="str">
        <f t="shared" si="6"/>
        <v xml:space="preserve"> </v>
      </c>
      <c r="AC51" s="153" t="str">
        <f t="shared" si="7"/>
        <v xml:space="preserve"> </v>
      </c>
      <c r="AD51" s="148" t="str">
        <f t="shared" si="8"/>
        <v/>
      </c>
      <c r="AE51" s="149" t="str">
        <f t="shared" si="9"/>
        <v/>
      </c>
      <c r="AF51" s="151" t="str">
        <f t="shared" si="10"/>
        <v xml:space="preserve"> </v>
      </c>
      <c r="AG51" s="153" t="str">
        <f t="shared" si="11"/>
        <v xml:space="preserve"> </v>
      </c>
      <c r="AH51" s="98" t="str">
        <f t="shared" si="12"/>
        <v xml:space="preserve"> </v>
      </c>
      <c r="AI51" s="149" t="str">
        <f t="shared" si="13"/>
        <v xml:space="preserve"> </v>
      </c>
      <c r="AK51" s="144" t="str">
        <f t="shared" si="14"/>
        <v xml:space="preserve"> </v>
      </c>
      <c r="AL51" s="144"/>
      <c r="AM51" s="243" t="str">
        <f t="shared" si="15"/>
        <v xml:space="preserve"> </v>
      </c>
      <c r="AN51" s="149" t="str">
        <f t="shared" si="134"/>
        <v xml:space="preserve"> </v>
      </c>
      <c r="AO51" s="144" t="str">
        <f>IF(JB51&gt;0,IF(GI51=10,-R51*1.085*(Calculation!$F$6-Calculation!$F$13)*$S$14," "),"")</f>
        <v/>
      </c>
      <c r="AP51" s="144" t="str">
        <f t="shared" si="16"/>
        <v/>
      </c>
      <c r="AQ51" s="56" t="str">
        <f t="shared" si="17"/>
        <v/>
      </c>
      <c r="AR51" s="144" t="str">
        <f t="shared" si="18"/>
        <v/>
      </c>
      <c r="AS51" s="176" t="str">
        <f t="shared" si="19"/>
        <v/>
      </c>
      <c r="AT51" s="176" t="str">
        <f t="shared" si="135"/>
        <v xml:space="preserve"> </v>
      </c>
      <c r="AU51" s="176" t="str">
        <f t="shared" si="20"/>
        <v/>
      </c>
      <c r="AV51" s="177" t="str">
        <f t="shared" si="21"/>
        <v xml:space="preserve"> </v>
      </c>
      <c r="AW51" s="144" t="str">
        <f t="shared" si="22"/>
        <v xml:space="preserve"> </v>
      </c>
      <c r="AX51" s="144" t="str">
        <f t="shared" si="23"/>
        <v xml:space="preserve"> </v>
      </c>
      <c r="AY51" s="152" t="str">
        <f t="shared" si="24"/>
        <v xml:space="preserve"> </v>
      </c>
      <c r="AZ51" s="246" t="str">
        <f t="shared" si="25"/>
        <v/>
      </c>
      <c r="BA51" s="176" t="str">
        <f t="shared" si="26"/>
        <v xml:space="preserve"> </v>
      </c>
      <c r="BB51" s="176" t="str">
        <f t="shared" si="27"/>
        <v xml:space="preserve"> </v>
      </c>
      <c r="BC51" s="195"/>
      <c r="BD51" s="316"/>
      <c r="BE51" s="317"/>
      <c r="BF51" s="318"/>
      <c r="BG51" s="318"/>
      <c r="BH51" s="144" t="str">
        <f t="shared" si="219"/>
        <v xml:space="preserve"> </v>
      </c>
      <c r="BI51" s="176" t="str">
        <f t="shared" si="28"/>
        <v/>
      </c>
      <c r="BJ51" s="144" t="str">
        <f t="shared" si="220"/>
        <v/>
      </c>
      <c r="BK51" s="246" t="str">
        <f t="shared" si="29"/>
        <v/>
      </c>
      <c r="BL51" s="144" t="str">
        <f t="shared" si="221"/>
        <v/>
      </c>
      <c r="BM51" s="246" t="str">
        <f t="shared" si="30"/>
        <v/>
      </c>
      <c r="BN51" s="337" t="str">
        <f t="shared" si="136"/>
        <v/>
      </c>
      <c r="BO51" s="371" t="str">
        <f t="shared" si="137"/>
        <v/>
      </c>
      <c r="BP51" s="328" t="str">
        <f t="shared" si="222"/>
        <v xml:space="preserve"> </v>
      </c>
      <c r="BQ51" s="347" t="str">
        <f t="shared" si="138"/>
        <v xml:space="preserve"> </v>
      </c>
      <c r="BR51" s="353" t="str">
        <f t="shared" si="223"/>
        <v xml:space="preserve"> </v>
      </c>
      <c r="BS51" s="626" t="str">
        <f>IF(L51&gt;0,IF(Calculation!P51="M13",BR51*3.1416*(0.134^2)/(4*144),IF(Calculation!P51="M17",BR51*3.1416*(0.165^2)/(4*144),IF(Calculation!P51="M20",BR51*3.1416*(0.198^2)/(4*144),IF(Calculation!P51="M23",BR51*3.1416*(0.228^2)/(4*144),IF(Calculation!P51="M27",BR51*3.1416*(0.269^2)/(4*144),BR51*3.1416*(0.307^2)/(4*144))))))," ")</f>
        <v xml:space="preserve"> </v>
      </c>
      <c r="BT51" s="353" t="str">
        <f>IF(L51&gt;0,IF(BS51&gt;0,R51/Calculation!BS51,0)," ")</f>
        <v xml:space="preserve"> </v>
      </c>
      <c r="BU51" s="438" t="e">
        <f t="shared" ca="1" si="31"/>
        <v>#VALUE!</v>
      </c>
      <c r="BV51" s="449" t="e">
        <f ca="1">INDEX(INDIRECT(VLOOKUP(LEFT(BO51,7),CLU!$Z$3:$AH$18,2)),GN51,GR51)</f>
        <v>#N/A</v>
      </c>
      <c r="BW51" s="433" t="e">
        <f ca="1">INDEX(INDIRECT(VLOOKUP(LEFT(BO51,7),CLU!$Z$3:$AH$18,3)),GN51,GR51)</f>
        <v>#N/A</v>
      </c>
      <c r="BX51" s="433" t="e">
        <f ca="1">INDEX(INDIRECT(VLOOKUP(LEFT(BO51,7),CLU!$Z$3:$AH$18,4)),GN51,GR51)</f>
        <v>#N/A</v>
      </c>
      <c r="BY51" s="433" t="e">
        <f ca="1">INDEX(INDIRECT(VLOOKUP(LEFT(BO51,7),CLU!$Z$3:$AH$18,9)),((M51-2)*(6-COUNTBLANK(GT51:GY51)))+GJ51)</f>
        <v>#N/A</v>
      </c>
      <c r="BZ51" s="426" t="e">
        <f t="shared" ca="1" si="139"/>
        <v>#N/A</v>
      </c>
      <c r="CA51" s="424" t="e">
        <f t="shared" ca="1" si="140"/>
        <v>#N/A</v>
      </c>
      <c r="CB51" s="429" t="e">
        <f ca="1">INDEX(INDIRECT(VLOOKUP(LEFT(BO51,7),CLU!$Z$3:$AH$18,2)),GN51,GS51)</f>
        <v>#N/A</v>
      </c>
      <c r="CC51" s="342" t="e">
        <f ca="1">INDEX(INDIRECT(VLOOKUP(LEFT(BO51,7),CLU!$Z$3:$AH$18,3)),GN51,GS51)</f>
        <v>#N/A</v>
      </c>
      <c r="CD51" s="342" t="e">
        <f ca="1">INDEX(INDIRECT(VLOOKUP(LEFT(BO51,7),CLU!$Z$3:$AH$18,4)),GN51,GS51)</f>
        <v>#N/A</v>
      </c>
      <c r="CE51" s="426" t="e">
        <f t="shared" ca="1" si="141"/>
        <v>#N/A</v>
      </c>
      <c r="CF51" s="440">
        <f t="shared" si="142"/>
        <v>0</v>
      </c>
      <c r="CG51" s="431" t="e">
        <f ca="1">INDEX(INDIRECT(VLOOKUP(LEFT(BO51,7),CLU!$Z$3:$AH$18,2)),GQ51,GR51)</f>
        <v>#N/A</v>
      </c>
      <c r="CH51" s="431" t="e">
        <f ca="1">INDEX(INDIRECT(VLOOKUP(LEFT(BO51,7),CLU!$Z$3:$AH$18,3)),GQ51,GR51)</f>
        <v>#N/A</v>
      </c>
      <c r="CI51" s="431" t="e">
        <f ca="1">INDEX(INDIRECT(VLOOKUP(LEFT(BO51,7),CLU!$Z$3:$AH$18,4)),GQ51,GR51)</f>
        <v>#N/A</v>
      </c>
      <c r="CJ51" s="448" t="e">
        <f t="shared" ca="1" si="143"/>
        <v>#N/A</v>
      </c>
      <c r="CK51" s="431" t="e">
        <f t="shared" ca="1" si="144"/>
        <v>#N/A</v>
      </c>
      <c r="CL51" s="440" t="e">
        <f t="shared" ca="1" si="145"/>
        <v>#N/A</v>
      </c>
      <c r="CM51" s="431" t="e">
        <f ca="1">INDEX(INDIRECT(VLOOKUP(LEFT(BO51,7),CLU!$Z$3:$AH$18,2)),GQ51,GS51)</f>
        <v>#N/A</v>
      </c>
      <c r="CN51" s="431" t="e">
        <f ca="1">INDEX(INDIRECT(VLOOKUP(LEFT(BO51,7),CLU!$Z$3:$AH$18,3)),GQ51,GS51)</f>
        <v>#N/A</v>
      </c>
      <c r="CO51" s="431" t="e">
        <f ca="1">INDEX(INDIRECT(VLOOKUP(LEFT(BO51,7),CLU!$Z$3:$AH$18,4)),GQ51,GS51)</f>
        <v>#N/A</v>
      </c>
      <c r="CP51" s="431" t="e">
        <f t="shared" ca="1" si="146"/>
        <v>#N/A</v>
      </c>
      <c r="CQ51" s="440">
        <f t="shared" si="147"/>
        <v>0</v>
      </c>
      <c r="CR51" s="51" t="e">
        <f t="shared" ca="1" si="148"/>
        <v>#N/A</v>
      </c>
      <c r="CS51" s="439" t="e">
        <f t="shared" ca="1" si="149"/>
        <v>#VALUE!</v>
      </c>
      <c r="CT51" s="51" t="e">
        <f t="shared" ca="1" si="150"/>
        <v>#VALUE!</v>
      </c>
      <c r="CU51" s="10"/>
      <c r="CV51" s="51" t="e">
        <f t="shared" ca="1" si="34"/>
        <v>#VALUE!</v>
      </c>
      <c r="CW51" s="51">
        <f t="shared" si="151"/>
        <v>0</v>
      </c>
      <c r="CX51" s="439" t="e">
        <f t="shared" ca="1" si="152"/>
        <v>#VALUE!</v>
      </c>
      <c r="CY51" s="51" t="e">
        <f t="shared" ca="1" si="153"/>
        <v>#VALUE!</v>
      </c>
      <c r="CZ51" s="10"/>
      <c r="DA51" s="51" t="e">
        <f t="shared" ca="1" si="154"/>
        <v>#VALUE!</v>
      </c>
      <c r="DB51" s="347" t="e">
        <f ca="1">INDEX(INDIRECT(VLOOKUP(LEFT(BO51,7),CLU!$Z$3:$AI$18,10)),((M51-2)*(6-COUNTBLANK(GT51:GY51)))+GJ51)*LI51</f>
        <v>#N/A</v>
      </c>
      <c r="DC51" s="347" t="str">
        <f>IF(L51&gt;0,((R51/Worksheet!$I$15)/DB51)^2," ")</f>
        <v xml:space="preserve"> </v>
      </c>
      <c r="DD51" s="602" t="str">
        <f t="shared" si="224"/>
        <v xml:space="preserve"> </v>
      </c>
      <c r="DE51" s="347" t="str">
        <f t="shared" si="35"/>
        <v xml:space="preserve"> </v>
      </c>
      <c r="DF51" s="356" t="e">
        <f ca="1">INDEX(INDIRECT(VLOOKUP(LEFT(BO51,7),CLU!$Z$3:$AH$18,8)),((M51-2)*(6-COUNTBLANK(GT51:GY51)))+GJ51)</f>
        <v>#N/A</v>
      </c>
      <c r="DG51" s="347" t="str">
        <f t="shared" si="36"/>
        <v xml:space="preserve"> </v>
      </c>
      <c r="DH51" s="357" t="str">
        <f t="shared" si="37"/>
        <v xml:space="preserve"> </v>
      </c>
      <c r="DI51" s="355" t="str">
        <f t="shared" si="38"/>
        <v xml:space="preserve"> </v>
      </c>
      <c r="DJ51" s="245" t="e">
        <f ca="1">INDEX(INDIRECT(VLOOKUP(LEFT(BO51,7),CLU!$Z$3:$AH$18,5)),GL51,GK51)</f>
        <v>#N/A</v>
      </c>
      <c r="DK51" s="245" t="e">
        <f ca="1">INDEX(INDIRECT(VLOOKUP(LEFT(BO51,7),CLU!$Z$3:$AH$18,6)),GL51,GK51)</f>
        <v>#N/A</v>
      </c>
      <c r="DL51" s="355">
        <f>(Calculation!R51*0.69143*(Calculation!$BQ$8-Calculation!$F$8))*$S$14</f>
        <v>0</v>
      </c>
      <c r="DM51" s="359" t="e">
        <f t="shared" si="160"/>
        <v>#VALUE!</v>
      </c>
      <c r="DN51" s="611">
        <f t="shared" si="161"/>
        <v>0</v>
      </c>
      <c r="DO51" s="359">
        <f t="shared" si="162"/>
        <v>100</v>
      </c>
      <c r="DP51" s="359">
        <f t="shared" si="163"/>
        <v>0</v>
      </c>
      <c r="DQ51" s="360"/>
      <c r="DR51" s="245" t="e">
        <f ca="1">INDEX(INDIRECT(VLOOKUP(LEFT(BO51,7),CLU!$Z$3:$AH$18,7)),M51-1,1)</f>
        <v>#N/A</v>
      </c>
      <c r="DS51" s="245" t="e">
        <f ca="1">INDEX(INDIRECT(VLOOKUP(LEFT(BO51,7),CLU!$Z$3:$AH$18,7)),M51-1,2)</f>
        <v>#N/A</v>
      </c>
      <c r="DT51" s="245" t="e">
        <f ca="1">INDEX(INDIRECT(VLOOKUP(LEFT(BO51,7),CLU!$Z$3:$AH$18,7)),M51-1,3)</f>
        <v>#N/A</v>
      </c>
      <c r="DU51" s="245" t="e">
        <f ca="1">INDEX(INDIRECT(VLOOKUP(LEFT(BO51,7),CLU!$Z$3:$AH$18,7)),M51-1,4)</f>
        <v>#N/A</v>
      </c>
      <c r="DV51" s="361" t="e">
        <f ca="1">INDEX(INDIRECT(VLOOKUP(LEFT(BO51,7),CLU!$Z$3:$AH$18,7)),M51-1,4+LEFT(DZ51,1)*0.5)</f>
        <v>#N/A</v>
      </c>
      <c r="DW51" s="245" t="e">
        <f ca="1">INDEX(INDIRECT(VLOOKUP(LEFT(BO51,7),CLU!$Z$3:$AH$18,7)),M51-1,8)</f>
        <v>#N/A</v>
      </c>
      <c r="DX51" s="361" t="str">
        <f t="shared" si="39"/>
        <v xml:space="preserve"> </v>
      </c>
      <c r="DY51" s="361" t="str">
        <f t="shared" si="40"/>
        <v xml:space="preserve"> </v>
      </c>
      <c r="DZ51" s="361" t="str">
        <f t="shared" si="41"/>
        <v xml:space="preserve"> </v>
      </c>
      <c r="EA51" s="362" t="str">
        <f t="shared" si="42"/>
        <v xml:space="preserve"> </v>
      </c>
      <c r="EB51" s="624" t="str">
        <f t="shared" si="168"/>
        <v xml:space="preserve"> </v>
      </c>
      <c r="EC51" s="361" t="e">
        <f ca="1">INDEX(INDIRECT(VLOOKUP(LEFT(BO51,7),CLU!$Z$3:$AH$18,7)),M51-1,4+LEFT(DZ51,1)*0.5)</f>
        <v>#N/A</v>
      </c>
      <c r="ED51" s="362" t="str">
        <f t="shared" si="43"/>
        <v xml:space="preserve"> </v>
      </c>
      <c r="EE51" s="361" t="str">
        <f t="shared" si="44"/>
        <v xml:space="preserve"> </v>
      </c>
      <c r="EF51" s="362" t="str">
        <f>IF(L51&gt;0,IF(BR51&gt;0,IF(EE51="2P",IF(Calculation!DZ51="2P",IF(Calculation!DS51=13.75,IF(Calculation!DR51=13,Worksheet!$BD$43,IF(Calculation!DR51=37,Worksheet!$BD$44,Worksheet!$BD$45)),IF(Calculation!DS51=10,IF(Calculation!DR51=18,Worksheet!$BD$29,IF(Calculation!DR51=30,Worksheet!$BD$30,IF(Calculation!DR51=42,Worksheet!$BD$31,IF(Calculation!DR51=54,Worksheet!$BD$32,IF(Calculation!DR51=66,Worksheet!$BD$33,IF(Calculation!DR51=78,Worksheet!$BD$34,IF(Calculation!DR51=90,Worksheet!$BD$35,IF(Calculation!DR51=102,Worksheet!$BD$36,Worksheet!$BD$37)))))))),IF(Calculation!DS51=12.5,IF(Calculation!DR51=18,Worksheet!$BD$38,IF(Calculation!DR51=Worksheet!$BD$39,IF(Calculation!DR51=42,Worksheet!$BD$40,IF(Calculation!DR51=54,Worksheet!$BD$41,Worksheet!$BD$42)))),IF(Calculation!DR51=18,Worksheet!$BD$11,IF(Calculation!DR51=30,Worksheet!$BD$12,IF(Calculation!DR51=42,Worksheet!$BD$13,IF(Calculation!DR51=54,Worksheet!$BD$14,IF(Calculation!DR51=66,Worksheet!$BD$15,IF(Calculation!DR51=78,Worksheet!$BD$16,IF(Calculation!DR51=90,Worksheet!$BD$17,IF(Calculation!DR51=102,Worksheet!$BD$18,Worksheet!$BD$19))))))))))),IF(Calculation!DS51=13.75,IF(Calculation!DR51=13,Worksheet!$BD$78,IF(Calculation!DR51=37,Worksheet!$BD$79,Worksheet!$BD$80)),IF(Calculation!DS51=10,IF(Calculation!DR51=18,Worksheet!$BD$64,IF(Calculation!DR51=30,Worksheet!$BD$65,IF(Calculation!DR51=42,Worksheet!$BD$66,IF(Calculation!DR51=54,Worksheet!$BD$68,IF(Calculation!DR51=66,Worksheet!$BD$68,IF(Calculation!DR51=78,Worksheet!$BD$69,IF(Calculation!DR51=90,Worksheet!$BD$70,IF(Calculation!DR51=102,Worksheet!$BD$71,Worksheet!$BD$72)))))))),IF(Calculation!DS51=12.5,IF(Calculation!DR51=18,Worksheet!$BD$73,IF(Calculation!DR51=Worksheet!$BD$74,IF(Calculation!DR51=42,Worksheet!$BD$75,IF(Calculation!DR51=54,Worksheet!$BD$76,Worksheet!$BD$77)))),IF(Calculation!DR51=18,Worksheet!$BD$55,IF(Calculation!DR51=30,Worksheet!$BD$56,IF(Calculation!DR51=42,Worksheet!$BD$57,IF(Calculation!DR51=54,Worksheet!$BD$58,IF(Calculation!DR51=66,Worksheet!$BD$59,IF(Calculation!DR51=78,Worksheet!$BD$60,IF(Calculation!DR51=90,Worksheet!$BD$61,IF(Calculation!DR51=102,Worksheet!$BD$62,Worksheet!$BD$63)))))))))))),5),0)," ")</f>
        <v xml:space="preserve"> </v>
      </c>
      <c r="EG51" s="361" t="str">
        <f t="shared" si="45"/>
        <v xml:space="preserve"> </v>
      </c>
      <c r="EH51" s="361" t="e">
        <f ca="1">INDEX(INDIRECT(VLOOKUP(LEFT(BO51,7),CLU!$Z$3:$AH$18,7)),M51-1,3+LEFT(DZ51,1))</f>
        <v>#N/A</v>
      </c>
      <c r="EI51" s="362" t="str">
        <f t="shared" si="46"/>
        <v xml:space="preserve"> </v>
      </c>
      <c r="EJ51" s="363" t="str">
        <f t="shared" si="47"/>
        <v xml:space="preserve"> </v>
      </c>
      <c r="EK51" s="363" t="str">
        <f t="shared" si="48"/>
        <v xml:space="preserve"> </v>
      </c>
      <c r="EL51" s="363" t="str">
        <f t="shared" si="49"/>
        <v xml:space="preserve"> </v>
      </c>
      <c r="EM51" s="362" t="str">
        <f>IF(L51&gt;0,IF(BR51&gt;0,(Calculation!T51/ED51)^2,0)," ")</f>
        <v xml:space="preserve"> </v>
      </c>
      <c r="EN51" s="362" t="str">
        <f>IF(L51&gt;0,IF(O51="2 Pipe (Cooling)","N/A",IF(BR51&gt;0,(Calculation!U51/EI51)^2,0))," ")</f>
        <v xml:space="preserve"> </v>
      </c>
      <c r="EO51" s="361" t="str">
        <f t="shared" si="50"/>
        <v/>
      </c>
      <c r="EP51" s="361" t="str">
        <f t="shared" si="51"/>
        <v/>
      </c>
      <c r="EQ51" s="361" t="str">
        <f t="shared" si="52"/>
        <v/>
      </c>
      <c r="ER51" s="361" t="str">
        <f t="shared" si="53"/>
        <v/>
      </c>
      <c r="ES51" s="361" t="str">
        <f t="shared" si="54"/>
        <v/>
      </c>
      <c r="ET51" s="361" t="str">
        <f t="shared" si="55"/>
        <v/>
      </c>
      <c r="EU51" s="361" t="str">
        <f t="shared" si="56"/>
        <v/>
      </c>
      <c r="EV51" s="361" t="str">
        <f t="shared" si="57"/>
        <v/>
      </c>
      <c r="EW51" s="361" t="str">
        <f t="shared" si="58"/>
        <v/>
      </c>
      <c r="EX51" s="361" t="str">
        <f t="shared" si="169"/>
        <v>1 slot, 1 way</v>
      </c>
      <c r="EY51" s="361" t="str">
        <f t="shared" si="170"/>
        <v xml:space="preserve"> </v>
      </c>
      <c r="EZ51" s="361" t="str">
        <f t="shared" si="171"/>
        <v xml:space="preserve"> </v>
      </c>
      <c r="FA51" s="361" t="str">
        <f t="shared" si="172"/>
        <v xml:space="preserve"> </v>
      </c>
      <c r="FB51" s="361" t="str">
        <f t="shared" si="173"/>
        <v xml:space="preserve"> </v>
      </c>
      <c r="FC51" s="361"/>
      <c r="FD51" s="361" t="str">
        <f>IF(J51&gt;0,IF(Calculation!R51&lt;=70,4,IF(Calculation!R51&lt;=110,5,IF(Calculation!R51&lt;=160,6,IF(Calculation!R51&lt;=300,8,"10 EO")))),"")</f>
        <v/>
      </c>
      <c r="FE51" s="361" t="str">
        <f t="shared" si="174"/>
        <v/>
      </c>
      <c r="FF51" s="361" t="str">
        <f t="shared" si="175"/>
        <v/>
      </c>
      <c r="FG51" s="361" t="e">
        <f t="shared" si="60"/>
        <v>#N/A</v>
      </c>
      <c r="FH51" s="361">
        <f t="shared" si="61"/>
        <v>0</v>
      </c>
      <c r="FI51" s="361" t="e">
        <f t="shared" si="62"/>
        <v>#DIV/0!</v>
      </c>
      <c r="FJ51" s="361"/>
      <c r="FK51" s="356" t="e">
        <f t="shared" si="63"/>
        <v>#VALUE!</v>
      </c>
      <c r="FL51" s="361"/>
      <c r="FM51" s="361"/>
      <c r="FN51" s="362" t="str">
        <f t="shared" si="176"/>
        <v xml:space="preserve"> </v>
      </c>
      <c r="FO51" s="362" t="str">
        <f t="shared" si="177"/>
        <v xml:space="preserve"> </v>
      </c>
      <c r="FP51" s="362">
        <f t="shared" si="178"/>
        <v>0</v>
      </c>
      <c r="FQ51" s="361">
        <f t="shared" si="64"/>
        <v>0</v>
      </c>
      <c r="FR51" s="362" t="str">
        <f>IF(L51&gt;0,IF(J51="CBAL2",Worksheet!$P$67,IF(J51="CBE2-24",Worksheet!$Q$67,IF(J51="CBAM",Worksheet!$R$67,IF(J51="CBLV",Worksheet!$S$67,IF(J51="CBAB",Worksheet!$U$67,IF(J51="CBAW",Worksheet!$X$67,IF(J51="CBE2-12",Worksheet!$Y$67,IF(J51="CBAL2",Worksheet!$Z$67,"N/A"))))))))," ")</f>
        <v xml:space="preserve"> </v>
      </c>
      <c r="FS51" s="362" t="str">
        <f>IF(L51&gt;0,IF(J51="CBAL2",Worksheet!$P$68,IF(J51="CBE2-24",Worksheet!$Q$68,IF(J51="CBAM",Worksheet!$R$68,IF(J51="CBLV",Worksheet!$S$68,IF(J51="CBAB",Worksheet!$U$68,IF(J51="CBAW",Worksheet!$X$68,IF(J51="CBE2-12",Worksheet!$Y$68,IF(J51="CBAL2",Worksheet!$Z$68,"N/A"))))))))," ")</f>
        <v xml:space="preserve"> </v>
      </c>
      <c r="FT51" s="362" t="str">
        <f>IF(L51&gt;0,IF(J51="CBAL2",Worksheet!$P$69,IF(J51="CBE2-24",Worksheet!$Q$69,IF(J51="CBAM",Worksheet!$R$69,IF(J51="CBLV",Worksheet!$S$69,IF(J51="CBAB",Worksheet!$U$69,IF(J51="CBAW",Worksheet!$X$69,IF(J51="CBE2-12",Worksheet!$Y$69,IF(J51="CBAL2",Worksheet!$Z$69,"N/A"))))))))," ")</f>
        <v xml:space="preserve"> </v>
      </c>
      <c r="FU51" s="361" t="str">
        <f t="shared" si="179"/>
        <v xml:space="preserve"> </v>
      </c>
      <c r="FV51" s="362" t="str">
        <f t="shared" si="180"/>
        <v xml:space="preserve"> </v>
      </c>
      <c r="FW51" s="362" t="str">
        <f t="shared" si="181"/>
        <v xml:space="preserve"> </v>
      </c>
      <c r="FX51" s="362" t="str">
        <f t="shared" si="182"/>
        <v xml:space="preserve"> </v>
      </c>
      <c r="FY51" s="355" t="str">
        <f t="shared" si="183"/>
        <v xml:space="preserve"> </v>
      </c>
      <c r="FZ51" s="361" t="str">
        <f t="shared" si="184"/>
        <v xml:space="preserve"> </v>
      </c>
      <c r="GA51" s="347" t="str">
        <f t="shared" si="185"/>
        <v xml:space="preserve"> </v>
      </c>
      <c r="GB51" s="355" t="str">
        <f t="shared" si="186"/>
        <v xml:space="preserve"> </v>
      </c>
      <c r="GC51" s="328" t="str">
        <f t="shared" si="187"/>
        <v xml:space="preserve"> </v>
      </c>
      <c r="GD51" s="361" t="str">
        <f t="shared" si="188"/>
        <v xml:space="preserve"> </v>
      </c>
      <c r="GE51" s="347" t="str">
        <f t="shared" si="189"/>
        <v xml:space="preserve"> </v>
      </c>
      <c r="GF51" s="361" t="str">
        <f t="shared" si="190"/>
        <v xml:space="preserve"> </v>
      </c>
      <c r="GG51" s="347" t="str">
        <f t="shared" si="191"/>
        <v xml:space="preserve"> </v>
      </c>
      <c r="GH51" s="364">
        <f t="shared" si="78"/>
        <v>0</v>
      </c>
      <c r="GI51" s="362">
        <f t="shared" si="192"/>
        <v>2</v>
      </c>
      <c r="GJ51" s="433" t="e">
        <f>IF(6-COUNTBLANK(GT51:GY51)=4,MATCH(MID(BO51,9,3),CLU!$H$16:$K$16),MATCH(MID(BO51,9,3),CLU!$H$13:$M$13))</f>
        <v>#N/A</v>
      </c>
      <c r="GK51" s="433" t="e">
        <f>HLOOKUP(VALUE(BP51),CLU!$H$9:$M$10,2)</f>
        <v>#VALUE!</v>
      </c>
      <c r="GL51" s="433" t="e">
        <f ca="1">MATCH(BU51,CLU!$H$2:$V$2,1)</f>
        <v>#VALUE!</v>
      </c>
      <c r="GM51" s="433" t="e">
        <f t="shared" ca="1" si="193"/>
        <v>#VALUE!</v>
      </c>
      <c r="GN51" s="433" t="e">
        <f t="shared" ca="1" si="194"/>
        <v>#VALUE!</v>
      </c>
      <c r="GO51" s="433" t="e">
        <f t="shared" ca="1" si="195"/>
        <v>#VALUE!</v>
      </c>
      <c r="GP51" s="433" t="e">
        <f t="shared" ca="1" si="196"/>
        <v>#VALUE!</v>
      </c>
      <c r="GQ51" s="433" t="e">
        <f t="shared" ca="1" si="197"/>
        <v>#VALUE!</v>
      </c>
      <c r="GR51" s="433" t="e">
        <f ca="1">MATCH(T51,INDIRECT(VLOOKUP(CONCATENATE(LEFT(BO51,7),"-",MID(BO51,13,1)),CLU!$P$3:$Q$16,2)),1)</f>
        <v>#N/A</v>
      </c>
      <c r="GS51" s="433" t="e">
        <f ca="1">MATCH(U51,INDIRECT(VLOOKUP(CONCATENATE(LEFT(BO51,7),"-",MID(BO51,13,1)),CLU!$P$3:$Q$16,2)),1)</f>
        <v>#N/A</v>
      </c>
      <c r="GT51" s="347" t="s">
        <v>512</v>
      </c>
      <c r="GU51" s="97" t="s">
        <v>513</v>
      </c>
      <c r="GV51" s="97" t="str">
        <f t="shared" si="198"/>
        <v>M23</v>
      </c>
      <c r="GW51" s="97" t="str">
        <f t="shared" si="199"/>
        <v>M31</v>
      </c>
      <c r="GX51" s="97" t="str">
        <f t="shared" si="200"/>
        <v/>
      </c>
      <c r="GY51" s="97" t="str">
        <f t="shared" si="201"/>
        <v/>
      </c>
      <c r="GZ51" s="481"/>
      <c r="HA51" s="288"/>
      <c r="HB51" s="240"/>
      <c r="HC51" s="240"/>
      <c r="HD51" s="240"/>
      <c r="HE51" s="240"/>
      <c r="HF51" s="240"/>
      <c r="HG51" s="240"/>
      <c r="HH51" s="240"/>
      <c r="HI51" s="240"/>
      <c r="HJ51" s="240"/>
      <c r="HK51" s="240"/>
      <c r="HL51" s="240"/>
      <c r="HM51" s="240"/>
      <c r="HN51" s="240"/>
      <c r="HO51" s="240"/>
      <c r="HP51" s="240"/>
      <c r="HQ51" s="240"/>
      <c r="HR51" s="240"/>
      <c r="HS51" s="240"/>
      <c r="HT51" s="240"/>
      <c r="HU51" s="240"/>
      <c r="HV51" s="245"/>
      <c r="HW51" s="245" t="b">
        <v>1</v>
      </c>
      <c r="HX51" s="245" t="str">
        <f t="shared" si="79"/>
        <v/>
      </c>
      <c r="HY51" s="245" t="e">
        <f t="shared" si="80"/>
        <v>#DIV/0!</v>
      </c>
      <c r="HZ51" s="245" t="e">
        <f t="shared" si="81"/>
        <v>#DIV/0!</v>
      </c>
      <c r="IA51" s="245">
        <f t="shared" si="82"/>
        <v>0</v>
      </c>
      <c r="IB51" s="245"/>
      <c r="IC51" t="b">
        <f t="shared" si="83"/>
        <v>1</v>
      </c>
      <c r="ID51" s="245" t="b">
        <f t="shared" si="84"/>
        <v>1</v>
      </c>
      <c r="IE51" s="245" t="b">
        <f t="shared" si="85"/>
        <v>1</v>
      </c>
      <c r="IF51" s="245" t="b">
        <f t="shared" si="86"/>
        <v>0</v>
      </c>
      <c r="IG51" s="245" t="b">
        <f t="shared" si="87"/>
        <v>1</v>
      </c>
      <c r="IH51" s="245" t="b">
        <f t="shared" si="88"/>
        <v>1</v>
      </c>
      <c r="II51" s="245">
        <f t="shared" si="202"/>
        <v>0</v>
      </c>
      <c r="IJ51" s="245" t="e">
        <f t="shared" si="89"/>
        <v>#VALUE!</v>
      </c>
      <c r="IK51" s="245" t="e">
        <f t="shared" si="90"/>
        <v>#VALUE!</v>
      </c>
      <c r="IL51" s="245"/>
      <c r="IM51" s="245" t="e">
        <f t="shared" si="203"/>
        <v>#N/A</v>
      </c>
      <c r="IN51" s="245" t="e">
        <f t="shared" si="204"/>
        <v>#N/A</v>
      </c>
      <c r="IO51" s="245"/>
      <c r="IP51" s="245"/>
      <c r="IQ51" s="245" t="str">
        <f t="shared" si="91"/>
        <v/>
      </c>
      <c r="IR51" s="245" t="str">
        <f>IF(J51="","",VLOOKUP(J51,Worksheet!$R$4:$T$14,2))</f>
        <v/>
      </c>
      <c r="IS51" s="245"/>
      <c r="IT51" s="245">
        <f t="shared" si="92"/>
        <v>0</v>
      </c>
      <c r="IU51" s="245">
        <f t="shared" si="93"/>
        <v>0</v>
      </c>
      <c r="IV51" s="245">
        <f t="shared" si="94"/>
        <v>0</v>
      </c>
      <c r="IW51" s="245">
        <f t="shared" si="95"/>
        <v>0</v>
      </c>
      <c r="IX51" s="245">
        <f t="shared" si="205"/>
        <v>0</v>
      </c>
      <c r="IY51" s="245">
        <f t="shared" si="96"/>
        <v>0</v>
      </c>
      <c r="IZ51" s="245">
        <f t="shared" si="97"/>
        <v>0</v>
      </c>
      <c r="JA51">
        <f t="shared" si="98"/>
        <v>0</v>
      </c>
      <c r="JB51">
        <f t="shared" si="206"/>
        <v>0</v>
      </c>
      <c r="JC51">
        <f t="shared" si="99"/>
        <v>0</v>
      </c>
      <c r="JD51">
        <f t="shared" si="100"/>
        <v>0</v>
      </c>
      <c r="JE51">
        <f t="shared" si="101"/>
        <v>0</v>
      </c>
      <c r="JF51">
        <f t="shared" si="102"/>
        <v>0</v>
      </c>
      <c r="JG51">
        <f t="shared" si="103"/>
        <v>0</v>
      </c>
      <c r="JH51">
        <f t="shared" si="104"/>
        <v>0</v>
      </c>
      <c r="JI51">
        <f t="shared" si="105"/>
        <v>0</v>
      </c>
      <c r="JJ51" s="447">
        <f t="shared" si="106"/>
        <v>0</v>
      </c>
      <c r="JK51" s="447">
        <f t="shared" si="107"/>
        <v>0</v>
      </c>
      <c r="JL51">
        <f t="shared" si="108"/>
        <v>0</v>
      </c>
      <c r="JM51" s="245" t="str">
        <f>IFERROR(VLOOKUP(MATCH(BN51,#REF!,0),#REF!,7),"")</f>
        <v/>
      </c>
      <c r="JN51" t="e">
        <f>HLOOKUP(LEFT(BO51,7),Discharge_Area,MATCH(JO51,LookUps!$B$130:$B$149,1)+2)</f>
        <v>#N/A</v>
      </c>
      <c r="JO51" t="str">
        <f t="shared" si="109"/>
        <v>- S</v>
      </c>
      <c r="JP51" t="e">
        <f>HLOOKUP(LEFT(BO51,7),Discharge_Area,MATCH(JO51,LookUps!$B$130:$B$149,1)+2)</f>
        <v>#N/A</v>
      </c>
      <c r="JQ51" t="e">
        <f t="shared" si="110"/>
        <v>#N/A</v>
      </c>
      <c r="JR51" t="e">
        <f t="shared" si="111"/>
        <v>#N/A</v>
      </c>
      <c r="JS51" t="e">
        <f t="shared" si="112"/>
        <v>#N/A</v>
      </c>
      <c r="JT51" s="532" t="str">
        <f t="shared" si="113"/>
        <v xml:space="preserve"> </v>
      </c>
      <c r="JU51" s="532" t="str">
        <f t="shared" si="114"/>
        <v xml:space="preserve"> </v>
      </c>
      <c r="JV51" s="533" t="str">
        <f t="shared" si="115"/>
        <v xml:space="preserve"> </v>
      </c>
      <c r="JW51" s="534">
        <f t="shared" si="116"/>
        <v>0</v>
      </c>
      <c r="JX51" s="535" t="str">
        <f t="shared" si="207"/>
        <v xml:space="preserve"> </v>
      </c>
      <c r="JY51" s="535" t="str">
        <f t="shared" si="208"/>
        <v xml:space="preserve"> </v>
      </c>
      <c r="JZ51" s="535" t="str">
        <f t="shared" si="209"/>
        <v xml:space="preserve"> </v>
      </c>
      <c r="KA51" s="536" t="str">
        <f t="shared" si="117"/>
        <v xml:space="preserve"> </v>
      </c>
      <c r="KB51" s="535" t="e">
        <f t="shared" si="210"/>
        <v>#VALUE!</v>
      </c>
      <c r="KC51" s="535" t="str">
        <f t="shared" si="118"/>
        <v/>
      </c>
      <c r="KD51" s="537" t="str">
        <f t="shared" si="211"/>
        <v xml:space="preserve"> </v>
      </c>
      <c r="KE51" s="537" t="str">
        <f t="shared" si="212"/>
        <v xml:space="preserve"> </v>
      </c>
      <c r="KF51" s="534">
        <f t="shared" si="119"/>
        <v>0</v>
      </c>
      <c r="KG51" s="535" t="str">
        <f t="shared" si="120"/>
        <v xml:space="preserve"> </v>
      </c>
      <c r="KH51" s="535" t="str">
        <f t="shared" si="121"/>
        <v xml:space="preserve"> </v>
      </c>
      <c r="KI51" s="535" t="str">
        <f t="shared" si="122"/>
        <v xml:space="preserve"> </v>
      </c>
      <c r="KJ51" s="536" t="str">
        <f t="shared" si="123"/>
        <v xml:space="preserve"> </v>
      </c>
      <c r="KK51" s="535" t="str">
        <f t="shared" si="213"/>
        <v xml:space="preserve"> </v>
      </c>
      <c r="KL51" s="535" t="str">
        <f t="shared" si="214"/>
        <v xml:space="preserve"> </v>
      </c>
      <c r="KM51" s="537" t="str">
        <f t="shared" si="124"/>
        <v xml:space="preserve"> </v>
      </c>
      <c r="KN51" s="537" t="str">
        <f t="shared" si="215"/>
        <v xml:space="preserve"> </v>
      </c>
      <c r="KP51">
        <f t="shared" si="125"/>
        <v>0</v>
      </c>
      <c r="LA51" t="e">
        <f t="shared" si="126"/>
        <v>#VALUE!</v>
      </c>
      <c r="LB51" t="e">
        <f t="shared" si="127"/>
        <v>#VALUE!</v>
      </c>
      <c r="LC51" t="e">
        <f t="shared" si="128"/>
        <v>#VALUE!</v>
      </c>
      <c r="LD51" t="e">
        <f t="shared" si="129"/>
        <v>#VALUE!</v>
      </c>
      <c r="LE51" t="e">
        <f t="shared" si="216"/>
        <v>#VALUE!</v>
      </c>
      <c r="LF51">
        <f t="shared" si="130"/>
        <v>0</v>
      </c>
      <c r="LG51" t="e">
        <f t="shared" si="217"/>
        <v>#VALUE!</v>
      </c>
      <c r="LH51" t="str">
        <f t="shared" si="131"/>
        <v xml:space="preserve"> </v>
      </c>
      <c r="LI51">
        <f t="shared" si="218"/>
        <v>1</v>
      </c>
    </row>
    <row r="52" spans="2:321" ht="15" customHeight="1">
      <c r="B52" s="311"/>
      <c r="C52" s="311"/>
      <c r="D52" s="312"/>
      <c r="E52" s="311"/>
      <c r="F52" s="312"/>
      <c r="G52" s="311"/>
      <c r="H52" s="311"/>
      <c r="I52" s="37"/>
      <c r="J52" s="311"/>
      <c r="K52" s="305" t="str">
        <f t="shared" si="132"/>
        <v/>
      </c>
      <c r="L52" s="313"/>
      <c r="M52" s="312"/>
      <c r="N52" s="311"/>
      <c r="O52" s="312"/>
      <c r="P52" s="311"/>
      <c r="Q52" s="305" t="str">
        <f t="shared" si="133"/>
        <v/>
      </c>
      <c r="R52" s="314"/>
      <c r="S52" s="450" t="str">
        <f t="shared" si="0"/>
        <v/>
      </c>
      <c r="T52" s="315"/>
      <c r="U52" s="315"/>
      <c r="W52" s="149" t="str">
        <f t="shared" si="1"/>
        <v xml:space="preserve"> </v>
      </c>
      <c r="X52" s="243" t="str">
        <f t="shared" si="2"/>
        <v xml:space="preserve"> </v>
      </c>
      <c r="Y52" s="150" t="str">
        <f t="shared" si="3"/>
        <v/>
      </c>
      <c r="Z52" s="149" t="str">
        <f t="shared" si="4"/>
        <v xml:space="preserve"> </v>
      </c>
      <c r="AA52" s="98" t="str">
        <f t="shared" si="5"/>
        <v xml:space="preserve"> </v>
      </c>
      <c r="AB52" s="153" t="str">
        <f t="shared" si="6"/>
        <v xml:space="preserve"> </v>
      </c>
      <c r="AC52" s="153" t="str">
        <f t="shared" si="7"/>
        <v xml:space="preserve"> </v>
      </c>
      <c r="AD52" s="148" t="str">
        <f t="shared" si="8"/>
        <v/>
      </c>
      <c r="AE52" s="149" t="str">
        <f t="shared" si="9"/>
        <v/>
      </c>
      <c r="AF52" s="151" t="str">
        <f t="shared" si="10"/>
        <v xml:space="preserve"> </v>
      </c>
      <c r="AG52" s="153" t="str">
        <f t="shared" si="11"/>
        <v xml:space="preserve"> </v>
      </c>
      <c r="AH52" s="98" t="str">
        <f t="shared" si="12"/>
        <v xml:space="preserve"> </v>
      </c>
      <c r="AI52" s="149" t="str">
        <f t="shared" si="13"/>
        <v xml:space="preserve"> </v>
      </c>
      <c r="AK52" s="144" t="str">
        <f t="shared" si="14"/>
        <v xml:space="preserve"> </v>
      </c>
      <c r="AL52" s="144"/>
      <c r="AM52" s="243" t="str">
        <f t="shared" si="15"/>
        <v xml:space="preserve"> </v>
      </c>
      <c r="AN52" s="149" t="str">
        <f t="shared" si="134"/>
        <v xml:space="preserve"> </v>
      </c>
      <c r="AO52" s="144" t="str">
        <f>IF(JB52&gt;0,IF(GI52=10,-R52*1.085*(Calculation!$F$6-Calculation!$F$13)*$S$14," "),"")</f>
        <v/>
      </c>
      <c r="AP52" s="144" t="str">
        <f t="shared" si="16"/>
        <v/>
      </c>
      <c r="AQ52" s="56" t="str">
        <f t="shared" si="17"/>
        <v/>
      </c>
      <c r="AR52" s="144" t="str">
        <f t="shared" si="18"/>
        <v/>
      </c>
      <c r="AS52" s="176" t="str">
        <f t="shared" si="19"/>
        <v/>
      </c>
      <c r="AT52" s="176" t="str">
        <f t="shared" si="135"/>
        <v xml:space="preserve"> </v>
      </c>
      <c r="AU52" s="176" t="str">
        <f t="shared" si="20"/>
        <v/>
      </c>
      <c r="AV52" s="177" t="str">
        <f t="shared" si="21"/>
        <v xml:space="preserve"> </v>
      </c>
      <c r="AW52" s="144" t="str">
        <f t="shared" si="22"/>
        <v xml:space="preserve"> </v>
      </c>
      <c r="AX52" s="144" t="str">
        <f t="shared" si="23"/>
        <v xml:space="preserve"> </v>
      </c>
      <c r="AY52" s="152" t="str">
        <f t="shared" si="24"/>
        <v xml:space="preserve"> </v>
      </c>
      <c r="AZ52" s="246" t="str">
        <f t="shared" si="25"/>
        <v/>
      </c>
      <c r="BA52" s="176" t="str">
        <f t="shared" si="26"/>
        <v xml:space="preserve"> </v>
      </c>
      <c r="BB52" s="176" t="str">
        <f t="shared" si="27"/>
        <v xml:space="preserve"> </v>
      </c>
      <c r="BC52" s="195"/>
      <c r="BD52" s="316"/>
      <c r="BE52" s="317"/>
      <c r="BF52" s="318"/>
      <c r="BG52" s="318"/>
      <c r="BH52" s="144" t="str">
        <f t="shared" si="219"/>
        <v xml:space="preserve"> </v>
      </c>
      <c r="BI52" s="176" t="str">
        <f t="shared" si="28"/>
        <v/>
      </c>
      <c r="BJ52" s="144" t="str">
        <f t="shared" si="220"/>
        <v/>
      </c>
      <c r="BK52" s="246" t="str">
        <f t="shared" si="29"/>
        <v/>
      </c>
      <c r="BL52" s="144" t="str">
        <f t="shared" si="221"/>
        <v/>
      </c>
      <c r="BM52" s="246" t="str">
        <f t="shared" si="30"/>
        <v/>
      </c>
      <c r="BN52" s="337" t="str">
        <f t="shared" si="136"/>
        <v/>
      </c>
      <c r="BO52" s="371" t="str">
        <f t="shared" si="137"/>
        <v/>
      </c>
      <c r="BP52" s="328" t="str">
        <f t="shared" si="222"/>
        <v xml:space="preserve"> </v>
      </c>
      <c r="BQ52" s="347" t="str">
        <f t="shared" si="138"/>
        <v xml:space="preserve"> </v>
      </c>
      <c r="BR52" s="353" t="str">
        <f t="shared" si="223"/>
        <v xml:space="preserve"> </v>
      </c>
      <c r="BS52" s="626" t="str">
        <f>IF(L52&gt;0,IF(Calculation!P52="M13",BR52*3.1416*(0.134^2)/(4*144),IF(Calculation!P52="M17",BR52*3.1416*(0.165^2)/(4*144),IF(Calculation!P52="M20",BR52*3.1416*(0.198^2)/(4*144),IF(Calculation!P52="M23",BR52*3.1416*(0.228^2)/(4*144),IF(Calculation!P52="M27",BR52*3.1416*(0.269^2)/(4*144),BR52*3.1416*(0.307^2)/(4*144))))))," ")</f>
        <v xml:space="preserve"> </v>
      </c>
      <c r="BT52" s="353" t="str">
        <f>IF(L52&gt;0,IF(BS52&gt;0,R52/Calculation!BS52,0)," ")</f>
        <v xml:space="preserve"> </v>
      </c>
      <c r="BU52" s="438" t="e">
        <f t="shared" ca="1" si="31"/>
        <v>#VALUE!</v>
      </c>
      <c r="BV52" s="449" t="e">
        <f ca="1">INDEX(INDIRECT(VLOOKUP(LEFT(BO52,7),CLU!$Z$3:$AH$18,2)),GN52,GR52)</f>
        <v>#N/A</v>
      </c>
      <c r="BW52" s="433" t="e">
        <f ca="1">INDEX(INDIRECT(VLOOKUP(LEFT(BO52,7),CLU!$Z$3:$AH$18,3)),GN52,GR52)</f>
        <v>#N/A</v>
      </c>
      <c r="BX52" s="433" t="e">
        <f ca="1">INDEX(INDIRECT(VLOOKUP(LEFT(BO52,7),CLU!$Z$3:$AH$18,4)),GN52,GR52)</f>
        <v>#N/A</v>
      </c>
      <c r="BY52" s="433" t="e">
        <f ca="1">INDEX(INDIRECT(VLOOKUP(LEFT(BO52,7),CLU!$Z$3:$AH$18,9)),((M52-2)*(6-COUNTBLANK(GT52:GY52)))+GJ52)</f>
        <v>#N/A</v>
      </c>
      <c r="BZ52" s="426" t="e">
        <f t="shared" ca="1" si="139"/>
        <v>#N/A</v>
      </c>
      <c r="CA52" s="424" t="e">
        <f t="shared" ca="1" si="140"/>
        <v>#N/A</v>
      </c>
      <c r="CB52" s="429" t="e">
        <f ca="1">INDEX(INDIRECT(VLOOKUP(LEFT(BO52,7),CLU!$Z$3:$AH$18,2)),GN52,GS52)</f>
        <v>#N/A</v>
      </c>
      <c r="CC52" s="342" t="e">
        <f ca="1">INDEX(INDIRECT(VLOOKUP(LEFT(BO52,7),CLU!$Z$3:$AH$18,3)),GN52,GS52)</f>
        <v>#N/A</v>
      </c>
      <c r="CD52" s="342" t="e">
        <f ca="1">INDEX(INDIRECT(VLOOKUP(LEFT(BO52,7),CLU!$Z$3:$AH$18,4)),GN52,GS52)</f>
        <v>#N/A</v>
      </c>
      <c r="CE52" s="426" t="e">
        <f t="shared" ca="1" si="141"/>
        <v>#N/A</v>
      </c>
      <c r="CF52" s="440">
        <f t="shared" si="142"/>
        <v>0</v>
      </c>
      <c r="CG52" s="431" t="e">
        <f ca="1">INDEX(INDIRECT(VLOOKUP(LEFT(BO52,7),CLU!$Z$3:$AH$18,2)),GQ52,GR52)</f>
        <v>#N/A</v>
      </c>
      <c r="CH52" s="431" t="e">
        <f ca="1">INDEX(INDIRECT(VLOOKUP(LEFT(BO52,7),CLU!$Z$3:$AH$18,3)),GQ52,GR52)</f>
        <v>#N/A</v>
      </c>
      <c r="CI52" s="431" t="e">
        <f ca="1">INDEX(INDIRECT(VLOOKUP(LEFT(BO52,7),CLU!$Z$3:$AH$18,4)),GQ52,GR52)</f>
        <v>#N/A</v>
      </c>
      <c r="CJ52" s="448" t="e">
        <f t="shared" ca="1" si="143"/>
        <v>#N/A</v>
      </c>
      <c r="CK52" s="431" t="e">
        <f t="shared" ca="1" si="144"/>
        <v>#N/A</v>
      </c>
      <c r="CL52" s="440" t="e">
        <f t="shared" ca="1" si="145"/>
        <v>#N/A</v>
      </c>
      <c r="CM52" s="431" t="e">
        <f ca="1">INDEX(INDIRECT(VLOOKUP(LEFT(BO52,7),CLU!$Z$3:$AH$18,2)),GQ52,GS52)</f>
        <v>#N/A</v>
      </c>
      <c r="CN52" s="431" t="e">
        <f ca="1">INDEX(INDIRECT(VLOOKUP(LEFT(BO52,7),CLU!$Z$3:$AH$18,3)),GQ52,GS52)</f>
        <v>#N/A</v>
      </c>
      <c r="CO52" s="431" t="e">
        <f ca="1">INDEX(INDIRECT(VLOOKUP(LEFT(BO52,7),CLU!$Z$3:$AH$18,4)),GQ52,GS52)</f>
        <v>#N/A</v>
      </c>
      <c r="CP52" s="431" t="e">
        <f t="shared" ca="1" si="146"/>
        <v>#N/A</v>
      </c>
      <c r="CQ52" s="440">
        <f t="shared" si="147"/>
        <v>0</v>
      </c>
      <c r="CR52" s="51" t="e">
        <f t="shared" ca="1" si="148"/>
        <v>#N/A</v>
      </c>
      <c r="CS52" s="439" t="e">
        <f t="shared" ca="1" si="149"/>
        <v>#VALUE!</v>
      </c>
      <c r="CT52" s="51" t="e">
        <f t="shared" ca="1" si="150"/>
        <v>#VALUE!</v>
      </c>
      <c r="CU52" s="10"/>
      <c r="CV52" s="51" t="e">
        <f t="shared" ca="1" si="34"/>
        <v>#VALUE!</v>
      </c>
      <c r="CW52" s="51">
        <f t="shared" si="151"/>
        <v>0</v>
      </c>
      <c r="CX52" s="439" t="e">
        <f t="shared" ca="1" si="152"/>
        <v>#VALUE!</v>
      </c>
      <c r="CY52" s="51" t="e">
        <f t="shared" ca="1" si="153"/>
        <v>#VALUE!</v>
      </c>
      <c r="CZ52" s="10"/>
      <c r="DA52" s="51" t="e">
        <f t="shared" ca="1" si="154"/>
        <v>#VALUE!</v>
      </c>
      <c r="DB52" s="347" t="e">
        <f ca="1">INDEX(INDIRECT(VLOOKUP(LEFT(BO52,7),CLU!$Z$3:$AI$18,10)),((M52-2)*(6-COUNTBLANK(GT52:GY52)))+GJ52)*LI52</f>
        <v>#N/A</v>
      </c>
      <c r="DC52" s="347" t="str">
        <f>IF(L52&gt;0,((R52/Worksheet!$I$15)/DB52)^2," ")</f>
        <v xml:space="preserve"> </v>
      </c>
      <c r="DD52" s="602" t="str">
        <f t="shared" si="224"/>
        <v xml:space="preserve"> </v>
      </c>
      <c r="DE52" s="347" t="str">
        <f t="shared" si="35"/>
        <v xml:space="preserve"> </v>
      </c>
      <c r="DF52" s="356" t="e">
        <f ca="1">INDEX(INDIRECT(VLOOKUP(LEFT(BO52,7),CLU!$Z$3:$AH$18,8)),((M52-2)*(6-COUNTBLANK(GT52:GY52)))+GJ52)</f>
        <v>#N/A</v>
      </c>
      <c r="DG52" s="347" t="str">
        <f t="shared" si="36"/>
        <v xml:space="preserve"> </v>
      </c>
      <c r="DH52" s="357" t="str">
        <f t="shared" si="37"/>
        <v xml:space="preserve"> </v>
      </c>
      <c r="DI52" s="355" t="str">
        <f t="shared" si="38"/>
        <v xml:space="preserve"> </v>
      </c>
      <c r="DJ52" s="245" t="e">
        <f ca="1">INDEX(INDIRECT(VLOOKUP(LEFT(BO52,7),CLU!$Z$3:$AH$18,5)),GL52,GK52)</f>
        <v>#N/A</v>
      </c>
      <c r="DK52" s="245" t="e">
        <f ca="1">INDEX(INDIRECT(VLOOKUP(LEFT(BO52,7),CLU!$Z$3:$AH$18,6)),GL52,GK52)</f>
        <v>#N/A</v>
      </c>
      <c r="DL52" s="355">
        <f>(Calculation!R52*0.69143*(Calculation!$BQ$8-Calculation!$F$8))*$S$14</f>
        <v>0</v>
      </c>
      <c r="DM52" s="359" t="e">
        <f t="shared" si="160"/>
        <v>#VALUE!</v>
      </c>
      <c r="DN52" s="611">
        <f t="shared" si="161"/>
        <v>0</v>
      </c>
      <c r="DO52" s="359">
        <f t="shared" si="162"/>
        <v>100</v>
      </c>
      <c r="DP52" s="359">
        <f t="shared" si="163"/>
        <v>0</v>
      </c>
      <c r="DQ52" s="360"/>
      <c r="DR52" s="245" t="e">
        <f ca="1">INDEX(INDIRECT(VLOOKUP(LEFT(BO52,7),CLU!$Z$3:$AH$18,7)),M52-1,1)</f>
        <v>#N/A</v>
      </c>
      <c r="DS52" s="245" t="e">
        <f ca="1">INDEX(INDIRECT(VLOOKUP(LEFT(BO52,7),CLU!$Z$3:$AH$18,7)),M52-1,2)</f>
        <v>#N/A</v>
      </c>
      <c r="DT52" s="245" t="e">
        <f ca="1">INDEX(INDIRECT(VLOOKUP(LEFT(BO52,7),CLU!$Z$3:$AH$18,7)),M52-1,3)</f>
        <v>#N/A</v>
      </c>
      <c r="DU52" s="245" t="e">
        <f ca="1">INDEX(INDIRECT(VLOOKUP(LEFT(BO52,7),CLU!$Z$3:$AH$18,7)),M52-1,4)</f>
        <v>#N/A</v>
      </c>
      <c r="DV52" s="361" t="e">
        <f ca="1">INDEX(INDIRECT(VLOOKUP(LEFT(BO52,7),CLU!$Z$3:$AH$18,7)),M52-1,4+LEFT(DZ52,1)*0.5)</f>
        <v>#N/A</v>
      </c>
      <c r="DW52" s="245" t="e">
        <f ca="1">INDEX(INDIRECT(VLOOKUP(LEFT(BO52,7),CLU!$Z$3:$AH$18,7)),M52-1,8)</f>
        <v>#N/A</v>
      </c>
      <c r="DX52" s="361" t="str">
        <f t="shared" si="39"/>
        <v xml:space="preserve"> </v>
      </c>
      <c r="DY52" s="361" t="str">
        <f t="shared" si="40"/>
        <v xml:space="preserve"> </v>
      </c>
      <c r="DZ52" s="361" t="str">
        <f t="shared" si="41"/>
        <v xml:space="preserve"> </v>
      </c>
      <c r="EA52" s="362" t="str">
        <f t="shared" si="42"/>
        <v xml:space="preserve"> </v>
      </c>
      <c r="EB52" s="624" t="str">
        <f t="shared" si="168"/>
        <v xml:space="preserve"> </v>
      </c>
      <c r="EC52" s="361" t="e">
        <f ca="1">INDEX(INDIRECT(VLOOKUP(LEFT(BO52,7),CLU!$Z$3:$AH$18,7)),M52-1,4+LEFT(DZ52,1)*0.5)</f>
        <v>#N/A</v>
      </c>
      <c r="ED52" s="362" t="str">
        <f t="shared" si="43"/>
        <v xml:space="preserve"> </v>
      </c>
      <c r="EE52" s="361" t="str">
        <f t="shared" si="44"/>
        <v xml:space="preserve"> </v>
      </c>
      <c r="EF52" s="362" t="str">
        <f>IF(L52&gt;0,IF(BR52&gt;0,IF(EE52="2P",IF(Calculation!DZ52="2P",IF(Calculation!DS52=13.75,IF(Calculation!DR52=13,Worksheet!$BD$43,IF(Calculation!DR52=37,Worksheet!$BD$44,Worksheet!$BD$45)),IF(Calculation!DS52=10,IF(Calculation!DR52=18,Worksheet!$BD$29,IF(Calculation!DR52=30,Worksheet!$BD$30,IF(Calculation!DR52=42,Worksheet!$BD$31,IF(Calculation!DR52=54,Worksheet!$BD$32,IF(Calculation!DR52=66,Worksheet!$BD$33,IF(Calculation!DR52=78,Worksheet!$BD$34,IF(Calculation!DR52=90,Worksheet!$BD$35,IF(Calculation!DR52=102,Worksheet!$BD$36,Worksheet!$BD$37)))))))),IF(Calculation!DS52=12.5,IF(Calculation!DR52=18,Worksheet!$BD$38,IF(Calculation!DR52=Worksheet!$BD$39,IF(Calculation!DR52=42,Worksheet!$BD$40,IF(Calculation!DR52=54,Worksheet!$BD$41,Worksheet!$BD$42)))),IF(Calculation!DR52=18,Worksheet!$BD$11,IF(Calculation!DR52=30,Worksheet!$BD$12,IF(Calculation!DR52=42,Worksheet!$BD$13,IF(Calculation!DR52=54,Worksheet!$BD$14,IF(Calculation!DR52=66,Worksheet!$BD$15,IF(Calculation!DR52=78,Worksheet!$BD$16,IF(Calculation!DR52=90,Worksheet!$BD$17,IF(Calculation!DR52=102,Worksheet!$BD$18,Worksheet!$BD$19))))))))))),IF(Calculation!DS52=13.75,IF(Calculation!DR52=13,Worksheet!$BD$78,IF(Calculation!DR52=37,Worksheet!$BD$79,Worksheet!$BD$80)),IF(Calculation!DS52=10,IF(Calculation!DR52=18,Worksheet!$BD$64,IF(Calculation!DR52=30,Worksheet!$BD$65,IF(Calculation!DR52=42,Worksheet!$BD$66,IF(Calculation!DR52=54,Worksheet!$BD$68,IF(Calculation!DR52=66,Worksheet!$BD$68,IF(Calculation!DR52=78,Worksheet!$BD$69,IF(Calculation!DR52=90,Worksheet!$BD$70,IF(Calculation!DR52=102,Worksheet!$BD$71,Worksheet!$BD$72)))))))),IF(Calculation!DS52=12.5,IF(Calculation!DR52=18,Worksheet!$BD$73,IF(Calculation!DR52=Worksheet!$BD$74,IF(Calculation!DR52=42,Worksheet!$BD$75,IF(Calculation!DR52=54,Worksheet!$BD$76,Worksheet!$BD$77)))),IF(Calculation!DR52=18,Worksheet!$BD$55,IF(Calculation!DR52=30,Worksheet!$BD$56,IF(Calculation!DR52=42,Worksheet!$BD$57,IF(Calculation!DR52=54,Worksheet!$BD$58,IF(Calculation!DR52=66,Worksheet!$BD$59,IF(Calculation!DR52=78,Worksheet!$BD$60,IF(Calculation!DR52=90,Worksheet!$BD$61,IF(Calculation!DR52=102,Worksheet!$BD$62,Worksheet!$BD$63)))))))))))),5),0)," ")</f>
        <v xml:space="preserve"> </v>
      </c>
      <c r="EG52" s="361" t="str">
        <f t="shared" si="45"/>
        <v xml:space="preserve"> </v>
      </c>
      <c r="EH52" s="361" t="e">
        <f ca="1">INDEX(INDIRECT(VLOOKUP(LEFT(BO52,7),CLU!$Z$3:$AH$18,7)),M52-1,3+LEFT(DZ52,1))</f>
        <v>#N/A</v>
      </c>
      <c r="EI52" s="362" t="str">
        <f t="shared" si="46"/>
        <v xml:space="preserve"> </v>
      </c>
      <c r="EJ52" s="363" t="str">
        <f t="shared" si="47"/>
        <v xml:space="preserve"> </v>
      </c>
      <c r="EK52" s="363" t="str">
        <f t="shared" si="48"/>
        <v xml:space="preserve"> </v>
      </c>
      <c r="EL52" s="363" t="str">
        <f t="shared" si="49"/>
        <v xml:space="preserve"> </v>
      </c>
      <c r="EM52" s="362" t="str">
        <f>IF(L52&gt;0,IF(BR52&gt;0,(Calculation!T52/ED52)^2,0)," ")</f>
        <v xml:space="preserve"> </v>
      </c>
      <c r="EN52" s="362" t="str">
        <f>IF(L52&gt;0,IF(O52="2 Pipe (Cooling)","N/A",IF(BR52&gt;0,(Calculation!U52/EI52)^2,0))," ")</f>
        <v xml:space="preserve"> </v>
      </c>
      <c r="EO52" s="361" t="str">
        <f t="shared" si="50"/>
        <v/>
      </c>
      <c r="EP52" s="361" t="str">
        <f t="shared" si="51"/>
        <v/>
      </c>
      <c r="EQ52" s="361" t="str">
        <f t="shared" si="52"/>
        <v/>
      </c>
      <c r="ER52" s="361" t="str">
        <f t="shared" si="53"/>
        <v/>
      </c>
      <c r="ES52" s="361" t="str">
        <f t="shared" si="54"/>
        <v/>
      </c>
      <c r="ET52" s="361" t="str">
        <f t="shared" si="55"/>
        <v/>
      </c>
      <c r="EU52" s="361" t="str">
        <f t="shared" si="56"/>
        <v/>
      </c>
      <c r="EV52" s="361" t="str">
        <f t="shared" si="57"/>
        <v/>
      </c>
      <c r="EW52" s="361" t="str">
        <f t="shared" si="58"/>
        <v/>
      </c>
      <c r="EX52" s="361" t="str">
        <f t="shared" si="169"/>
        <v>1 slot, 1 way</v>
      </c>
      <c r="EY52" s="361" t="str">
        <f t="shared" si="170"/>
        <v xml:space="preserve"> </v>
      </c>
      <c r="EZ52" s="361" t="str">
        <f t="shared" si="171"/>
        <v xml:space="preserve"> </v>
      </c>
      <c r="FA52" s="361" t="str">
        <f t="shared" si="172"/>
        <v xml:space="preserve"> </v>
      </c>
      <c r="FB52" s="361" t="str">
        <f t="shared" si="173"/>
        <v xml:space="preserve"> </v>
      </c>
      <c r="FC52" s="361"/>
      <c r="FD52" s="361" t="str">
        <f>IF(J52&gt;0,IF(Calculation!R52&lt;=70,4,IF(Calculation!R52&lt;=110,5,IF(Calculation!R52&lt;=160,6,IF(Calculation!R52&lt;=300,8,"10 EO")))),"")</f>
        <v/>
      </c>
      <c r="FE52" s="361" t="str">
        <f t="shared" si="174"/>
        <v/>
      </c>
      <c r="FF52" s="361" t="str">
        <f t="shared" si="175"/>
        <v/>
      </c>
      <c r="FG52" s="361" t="e">
        <f t="shared" si="60"/>
        <v>#N/A</v>
      </c>
      <c r="FH52" s="361">
        <f t="shared" si="61"/>
        <v>0</v>
      </c>
      <c r="FI52" s="361" t="e">
        <f t="shared" si="62"/>
        <v>#DIV/0!</v>
      </c>
      <c r="FJ52" s="361"/>
      <c r="FK52" s="356" t="e">
        <f t="shared" si="63"/>
        <v>#VALUE!</v>
      </c>
      <c r="FL52" s="361"/>
      <c r="FM52" s="361"/>
      <c r="FN52" s="362" t="str">
        <f t="shared" si="176"/>
        <v xml:space="preserve"> </v>
      </c>
      <c r="FO52" s="362" t="str">
        <f t="shared" si="177"/>
        <v xml:space="preserve"> </v>
      </c>
      <c r="FP52" s="362">
        <f t="shared" si="178"/>
        <v>0</v>
      </c>
      <c r="FQ52" s="361">
        <f t="shared" si="64"/>
        <v>0</v>
      </c>
      <c r="FR52" s="362" t="str">
        <f>IF(L52&gt;0,IF(J52="CBAL2",Worksheet!$P$67,IF(J52="CBE2-24",Worksheet!$Q$67,IF(J52="CBAM",Worksheet!$R$67,IF(J52="CBLV",Worksheet!$S$67,IF(J52="CBAB",Worksheet!$U$67,IF(J52="CBAW",Worksheet!$X$67,IF(J52="CBE2-12",Worksheet!$Y$67,IF(J52="CBAL2",Worksheet!$Z$67,"N/A"))))))))," ")</f>
        <v xml:space="preserve"> </v>
      </c>
      <c r="FS52" s="362" t="str">
        <f>IF(L52&gt;0,IF(J52="CBAL2",Worksheet!$P$68,IF(J52="CBE2-24",Worksheet!$Q$68,IF(J52="CBAM",Worksheet!$R$68,IF(J52="CBLV",Worksheet!$S$68,IF(J52="CBAB",Worksheet!$U$68,IF(J52="CBAW",Worksheet!$X$68,IF(J52="CBE2-12",Worksheet!$Y$68,IF(J52="CBAL2",Worksheet!$Z$68,"N/A"))))))))," ")</f>
        <v xml:space="preserve"> </v>
      </c>
      <c r="FT52" s="362" t="str">
        <f>IF(L52&gt;0,IF(J52="CBAL2",Worksheet!$P$69,IF(J52="CBE2-24",Worksheet!$Q$69,IF(J52="CBAM",Worksheet!$R$69,IF(J52="CBLV",Worksheet!$S$69,IF(J52="CBAB",Worksheet!$U$69,IF(J52="CBAW",Worksheet!$X$69,IF(J52="CBE2-12",Worksheet!$Y$69,IF(J52="CBAL2",Worksheet!$Z$69,"N/A"))))))))," ")</f>
        <v xml:space="preserve"> </v>
      </c>
      <c r="FU52" s="361" t="str">
        <f t="shared" si="179"/>
        <v xml:space="preserve"> </v>
      </c>
      <c r="FV52" s="362" t="str">
        <f t="shared" si="180"/>
        <v xml:space="preserve"> </v>
      </c>
      <c r="FW52" s="362" t="str">
        <f t="shared" si="181"/>
        <v xml:space="preserve"> </v>
      </c>
      <c r="FX52" s="362" t="str">
        <f t="shared" si="182"/>
        <v xml:space="preserve"> </v>
      </c>
      <c r="FY52" s="355" t="str">
        <f t="shared" si="183"/>
        <v xml:space="preserve"> </v>
      </c>
      <c r="FZ52" s="361" t="str">
        <f t="shared" si="184"/>
        <v xml:space="preserve"> </v>
      </c>
      <c r="GA52" s="347" t="str">
        <f t="shared" si="185"/>
        <v xml:space="preserve"> </v>
      </c>
      <c r="GB52" s="355" t="str">
        <f t="shared" si="186"/>
        <v xml:space="preserve"> </v>
      </c>
      <c r="GC52" s="328" t="str">
        <f t="shared" si="187"/>
        <v xml:space="preserve"> </v>
      </c>
      <c r="GD52" s="361" t="str">
        <f t="shared" si="188"/>
        <v xml:space="preserve"> </v>
      </c>
      <c r="GE52" s="347" t="str">
        <f t="shared" si="189"/>
        <v xml:space="preserve"> </v>
      </c>
      <c r="GF52" s="361" t="str">
        <f t="shared" si="190"/>
        <v xml:space="preserve"> </v>
      </c>
      <c r="GG52" s="347" t="str">
        <f t="shared" si="191"/>
        <v xml:space="preserve"> </v>
      </c>
      <c r="GH52" s="364">
        <f t="shared" si="78"/>
        <v>0</v>
      </c>
      <c r="GI52" s="362">
        <f t="shared" si="192"/>
        <v>2</v>
      </c>
      <c r="GJ52" s="433" t="e">
        <f>IF(6-COUNTBLANK(GT52:GY52)=4,MATCH(MID(BO52,9,3),CLU!$H$16:$K$16),MATCH(MID(BO52,9,3),CLU!$H$13:$M$13))</f>
        <v>#N/A</v>
      </c>
      <c r="GK52" s="433" t="e">
        <f>HLOOKUP(VALUE(BP52),CLU!$H$9:$M$10,2)</f>
        <v>#VALUE!</v>
      </c>
      <c r="GL52" s="433" t="e">
        <f ca="1">MATCH(BU52,CLU!$H$2:$V$2,1)</f>
        <v>#VALUE!</v>
      </c>
      <c r="GM52" s="433" t="e">
        <f t="shared" ca="1" si="193"/>
        <v>#VALUE!</v>
      </c>
      <c r="GN52" s="433" t="e">
        <f t="shared" ca="1" si="194"/>
        <v>#VALUE!</v>
      </c>
      <c r="GO52" s="433" t="e">
        <f t="shared" ca="1" si="195"/>
        <v>#VALUE!</v>
      </c>
      <c r="GP52" s="433" t="e">
        <f t="shared" ca="1" si="196"/>
        <v>#VALUE!</v>
      </c>
      <c r="GQ52" s="433" t="e">
        <f t="shared" ca="1" si="197"/>
        <v>#VALUE!</v>
      </c>
      <c r="GR52" s="433" t="e">
        <f ca="1">MATCH(T52,INDIRECT(VLOOKUP(CONCATENATE(LEFT(BO52,7),"-",MID(BO52,13,1)),CLU!$P$3:$Q$16,2)),1)</f>
        <v>#N/A</v>
      </c>
      <c r="GS52" s="433" t="e">
        <f ca="1">MATCH(U52,INDIRECT(VLOOKUP(CONCATENATE(LEFT(BO52,7),"-",MID(BO52,13,1)),CLU!$P$3:$Q$16,2)),1)</f>
        <v>#N/A</v>
      </c>
      <c r="GT52" s="347" t="s">
        <v>512</v>
      </c>
      <c r="GU52" s="97" t="s">
        <v>513</v>
      </c>
      <c r="GV52" s="97" t="str">
        <f t="shared" si="198"/>
        <v>M23</v>
      </c>
      <c r="GW52" s="97" t="str">
        <f t="shared" si="199"/>
        <v>M31</v>
      </c>
      <c r="GX52" s="97" t="str">
        <f t="shared" si="200"/>
        <v/>
      </c>
      <c r="GY52" s="97" t="str">
        <f t="shared" si="201"/>
        <v/>
      </c>
      <c r="GZ52" s="481"/>
      <c r="HA52" s="288"/>
      <c r="HB52" s="240"/>
      <c r="HC52" s="240"/>
      <c r="HD52" s="240"/>
      <c r="HE52" s="240"/>
      <c r="HF52" s="240"/>
      <c r="HG52" s="240"/>
      <c r="HH52" s="240"/>
      <c r="HI52" s="240"/>
      <c r="HJ52" s="240"/>
      <c r="HK52" s="240"/>
      <c r="HL52" s="240"/>
      <c r="HM52" s="240"/>
      <c r="HN52" s="240"/>
      <c r="HO52" s="240"/>
      <c r="HP52" s="240"/>
      <c r="HQ52" s="240"/>
      <c r="HR52" s="240"/>
      <c r="HS52" s="240"/>
      <c r="HT52" s="240"/>
      <c r="HU52" s="240"/>
      <c r="HV52" s="245"/>
      <c r="HW52" s="245" t="b">
        <v>1</v>
      </c>
      <c r="HX52" s="245" t="str">
        <f t="shared" si="79"/>
        <v/>
      </c>
      <c r="HY52" s="245" t="e">
        <f t="shared" si="80"/>
        <v>#DIV/0!</v>
      </c>
      <c r="HZ52" s="245" t="e">
        <f t="shared" si="81"/>
        <v>#DIV/0!</v>
      </c>
      <c r="IA52" s="245">
        <f t="shared" si="82"/>
        <v>0</v>
      </c>
      <c r="IB52" s="245"/>
      <c r="IC52" t="b">
        <f t="shared" si="83"/>
        <v>1</v>
      </c>
      <c r="ID52" s="245" t="b">
        <f t="shared" si="84"/>
        <v>1</v>
      </c>
      <c r="IE52" s="245" t="b">
        <f t="shared" si="85"/>
        <v>1</v>
      </c>
      <c r="IF52" s="245" t="b">
        <f t="shared" si="86"/>
        <v>0</v>
      </c>
      <c r="IG52" s="245" t="b">
        <f t="shared" si="87"/>
        <v>1</v>
      </c>
      <c r="IH52" s="245" t="b">
        <f t="shared" si="88"/>
        <v>1</v>
      </c>
      <c r="II52" s="245">
        <f t="shared" si="202"/>
        <v>0</v>
      </c>
      <c r="IJ52" s="245" t="e">
        <f t="shared" si="89"/>
        <v>#VALUE!</v>
      </c>
      <c r="IK52" s="245" t="e">
        <f t="shared" si="90"/>
        <v>#VALUE!</v>
      </c>
      <c r="IL52" s="245"/>
      <c r="IM52" s="245" t="e">
        <f t="shared" si="203"/>
        <v>#N/A</v>
      </c>
      <c r="IN52" s="245" t="e">
        <f t="shared" si="204"/>
        <v>#N/A</v>
      </c>
      <c r="IO52" s="245"/>
      <c r="IP52" s="245"/>
      <c r="IQ52" s="245" t="str">
        <f t="shared" si="91"/>
        <v/>
      </c>
      <c r="IR52" s="245" t="str">
        <f>IF(J52="","",VLOOKUP(J52,Worksheet!$R$4:$T$14,2))</f>
        <v/>
      </c>
      <c r="IS52" s="245"/>
      <c r="IT52" s="245">
        <f t="shared" si="92"/>
        <v>0</v>
      </c>
      <c r="IU52" s="245">
        <f t="shared" si="93"/>
        <v>0</v>
      </c>
      <c r="IV52" s="245">
        <f t="shared" si="94"/>
        <v>0</v>
      </c>
      <c r="IW52" s="245">
        <f t="shared" si="95"/>
        <v>0</v>
      </c>
      <c r="IX52" s="245">
        <f t="shared" si="205"/>
        <v>0</v>
      </c>
      <c r="IY52" s="245">
        <f t="shared" si="96"/>
        <v>0</v>
      </c>
      <c r="IZ52" s="245">
        <f t="shared" si="97"/>
        <v>0</v>
      </c>
      <c r="JA52">
        <f t="shared" si="98"/>
        <v>0</v>
      </c>
      <c r="JB52">
        <f t="shared" si="206"/>
        <v>0</v>
      </c>
      <c r="JC52">
        <f t="shared" si="99"/>
        <v>0</v>
      </c>
      <c r="JD52">
        <f t="shared" si="100"/>
        <v>0</v>
      </c>
      <c r="JE52">
        <f t="shared" si="101"/>
        <v>0</v>
      </c>
      <c r="JF52">
        <f t="shared" si="102"/>
        <v>0</v>
      </c>
      <c r="JG52">
        <f t="shared" si="103"/>
        <v>0</v>
      </c>
      <c r="JH52">
        <f t="shared" si="104"/>
        <v>0</v>
      </c>
      <c r="JI52">
        <f t="shared" si="105"/>
        <v>0</v>
      </c>
      <c r="JJ52" s="447">
        <f t="shared" si="106"/>
        <v>0</v>
      </c>
      <c r="JK52" s="447">
        <f t="shared" si="107"/>
        <v>0</v>
      </c>
      <c r="JL52">
        <f t="shared" si="108"/>
        <v>0</v>
      </c>
      <c r="JM52" s="245" t="str">
        <f>IFERROR(VLOOKUP(MATCH(BN52,#REF!,0),#REF!,7),"")</f>
        <v/>
      </c>
      <c r="JN52" t="e">
        <f>HLOOKUP(LEFT(BO52,7),Discharge_Area,MATCH(JO52,LookUps!$B$130:$B$149,1)+2)</f>
        <v>#N/A</v>
      </c>
      <c r="JO52" t="str">
        <f t="shared" si="109"/>
        <v>- S</v>
      </c>
      <c r="JP52" t="e">
        <f>HLOOKUP(LEFT(BO52,7),Discharge_Area,MATCH(JO52,LookUps!$B$130:$B$149,1)+2)</f>
        <v>#N/A</v>
      </c>
      <c r="JQ52" t="e">
        <f t="shared" si="110"/>
        <v>#N/A</v>
      </c>
      <c r="JR52" t="e">
        <f t="shared" si="111"/>
        <v>#N/A</v>
      </c>
      <c r="JS52" t="e">
        <f t="shared" si="112"/>
        <v>#N/A</v>
      </c>
      <c r="JT52" s="532" t="str">
        <f t="shared" si="113"/>
        <v xml:space="preserve"> </v>
      </c>
      <c r="JU52" s="532" t="str">
        <f t="shared" si="114"/>
        <v xml:space="preserve"> </v>
      </c>
      <c r="JV52" s="533" t="str">
        <f t="shared" si="115"/>
        <v xml:space="preserve"> </v>
      </c>
      <c r="JW52" s="534">
        <f t="shared" si="116"/>
        <v>0</v>
      </c>
      <c r="JX52" s="535" t="str">
        <f t="shared" si="207"/>
        <v xml:space="preserve"> </v>
      </c>
      <c r="JY52" s="535" t="str">
        <f t="shared" si="208"/>
        <v xml:space="preserve"> </v>
      </c>
      <c r="JZ52" s="535" t="str">
        <f t="shared" si="209"/>
        <v xml:space="preserve"> </v>
      </c>
      <c r="KA52" s="536" t="str">
        <f t="shared" si="117"/>
        <v xml:space="preserve"> </v>
      </c>
      <c r="KB52" s="535" t="e">
        <f t="shared" si="210"/>
        <v>#VALUE!</v>
      </c>
      <c r="KC52" s="535" t="str">
        <f t="shared" si="118"/>
        <v/>
      </c>
      <c r="KD52" s="537" t="str">
        <f t="shared" si="211"/>
        <v xml:space="preserve"> </v>
      </c>
      <c r="KE52" s="537" t="str">
        <f t="shared" si="212"/>
        <v xml:space="preserve"> </v>
      </c>
      <c r="KF52" s="534">
        <f t="shared" si="119"/>
        <v>0</v>
      </c>
      <c r="KG52" s="535" t="str">
        <f t="shared" si="120"/>
        <v xml:space="preserve"> </v>
      </c>
      <c r="KH52" s="535" t="str">
        <f t="shared" si="121"/>
        <v xml:space="preserve"> </v>
      </c>
      <c r="KI52" s="535" t="str">
        <f t="shared" si="122"/>
        <v xml:space="preserve"> </v>
      </c>
      <c r="KJ52" s="536" t="str">
        <f t="shared" si="123"/>
        <v xml:space="preserve"> </v>
      </c>
      <c r="KK52" s="535" t="str">
        <f t="shared" si="213"/>
        <v xml:space="preserve"> </v>
      </c>
      <c r="KL52" s="535" t="str">
        <f t="shared" si="214"/>
        <v xml:space="preserve"> </v>
      </c>
      <c r="KM52" s="537" t="str">
        <f t="shared" si="124"/>
        <v xml:space="preserve"> </v>
      </c>
      <c r="KN52" s="537" t="str">
        <f t="shared" si="215"/>
        <v xml:space="preserve"> </v>
      </c>
      <c r="KP52">
        <f t="shared" si="125"/>
        <v>0</v>
      </c>
      <c r="LA52" t="e">
        <f t="shared" si="126"/>
        <v>#VALUE!</v>
      </c>
      <c r="LB52" t="e">
        <f t="shared" si="127"/>
        <v>#VALUE!</v>
      </c>
      <c r="LC52" t="e">
        <f t="shared" si="128"/>
        <v>#VALUE!</v>
      </c>
      <c r="LD52" t="e">
        <f t="shared" si="129"/>
        <v>#VALUE!</v>
      </c>
      <c r="LE52" t="e">
        <f t="shared" si="216"/>
        <v>#VALUE!</v>
      </c>
      <c r="LF52">
        <f t="shared" si="130"/>
        <v>0</v>
      </c>
      <c r="LG52" t="e">
        <f t="shared" si="217"/>
        <v>#VALUE!</v>
      </c>
      <c r="LH52" t="str">
        <f t="shared" si="131"/>
        <v xml:space="preserve"> </v>
      </c>
      <c r="LI52">
        <f t="shared" si="218"/>
        <v>1</v>
      </c>
    </row>
    <row r="53" spans="2:321" ht="15" customHeight="1">
      <c r="B53" s="311"/>
      <c r="C53" s="311"/>
      <c r="D53" s="312"/>
      <c r="E53" s="311"/>
      <c r="F53" s="312"/>
      <c r="G53" s="311"/>
      <c r="H53" s="311"/>
      <c r="I53" s="37"/>
      <c r="J53" s="311"/>
      <c r="K53" s="305" t="str">
        <f t="shared" si="132"/>
        <v/>
      </c>
      <c r="L53" s="313"/>
      <c r="M53" s="312"/>
      <c r="N53" s="311"/>
      <c r="O53" s="312"/>
      <c r="P53" s="311"/>
      <c r="Q53" s="305" t="str">
        <f t="shared" si="133"/>
        <v/>
      </c>
      <c r="R53" s="314"/>
      <c r="S53" s="450" t="str">
        <f t="shared" si="0"/>
        <v/>
      </c>
      <c r="T53" s="315"/>
      <c r="U53" s="315"/>
      <c r="W53" s="149" t="str">
        <f t="shared" si="1"/>
        <v xml:space="preserve"> </v>
      </c>
      <c r="X53" s="243" t="str">
        <f t="shared" si="2"/>
        <v xml:space="preserve"> </v>
      </c>
      <c r="Y53" s="150" t="str">
        <f t="shared" si="3"/>
        <v/>
      </c>
      <c r="Z53" s="149" t="str">
        <f t="shared" si="4"/>
        <v xml:space="preserve"> </v>
      </c>
      <c r="AA53" s="98" t="str">
        <f t="shared" si="5"/>
        <v xml:space="preserve"> </v>
      </c>
      <c r="AB53" s="153" t="str">
        <f t="shared" si="6"/>
        <v xml:space="preserve"> </v>
      </c>
      <c r="AC53" s="153" t="str">
        <f t="shared" si="7"/>
        <v xml:space="preserve"> </v>
      </c>
      <c r="AD53" s="148" t="str">
        <f t="shared" si="8"/>
        <v/>
      </c>
      <c r="AE53" s="149" t="str">
        <f t="shared" si="9"/>
        <v/>
      </c>
      <c r="AF53" s="151" t="str">
        <f t="shared" si="10"/>
        <v xml:space="preserve"> </v>
      </c>
      <c r="AG53" s="153" t="str">
        <f t="shared" si="11"/>
        <v xml:space="preserve"> </v>
      </c>
      <c r="AH53" s="98" t="str">
        <f t="shared" si="12"/>
        <v xml:space="preserve"> </v>
      </c>
      <c r="AI53" s="149" t="str">
        <f t="shared" si="13"/>
        <v xml:space="preserve"> </v>
      </c>
      <c r="AK53" s="144" t="str">
        <f t="shared" si="14"/>
        <v xml:space="preserve"> </v>
      </c>
      <c r="AL53" s="144"/>
      <c r="AM53" s="243" t="str">
        <f t="shared" si="15"/>
        <v xml:space="preserve"> </v>
      </c>
      <c r="AN53" s="149" t="str">
        <f t="shared" si="134"/>
        <v xml:space="preserve"> </v>
      </c>
      <c r="AO53" s="144" t="str">
        <f>IF(JB53&gt;0,IF(GI53=10,-R53*1.085*(Calculation!$F$6-Calculation!$F$13)*$S$14," "),"")</f>
        <v/>
      </c>
      <c r="AP53" s="144" t="str">
        <f t="shared" si="16"/>
        <v/>
      </c>
      <c r="AQ53" s="56" t="str">
        <f t="shared" si="17"/>
        <v/>
      </c>
      <c r="AR53" s="144" t="str">
        <f t="shared" si="18"/>
        <v/>
      </c>
      <c r="AS53" s="176" t="str">
        <f t="shared" si="19"/>
        <v/>
      </c>
      <c r="AT53" s="176" t="str">
        <f t="shared" si="135"/>
        <v xml:space="preserve"> </v>
      </c>
      <c r="AU53" s="176" t="str">
        <f t="shared" si="20"/>
        <v/>
      </c>
      <c r="AV53" s="177" t="str">
        <f t="shared" si="21"/>
        <v xml:space="preserve"> </v>
      </c>
      <c r="AW53" s="144" t="str">
        <f t="shared" si="22"/>
        <v xml:space="preserve"> </v>
      </c>
      <c r="AX53" s="144" t="str">
        <f t="shared" si="23"/>
        <v xml:space="preserve"> </v>
      </c>
      <c r="AY53" s="152" t="str">
        <f t="shared" si="24"/>
        <v xml:space="preserve"> </v>
      </c>
      <c r="AZ53" s="246" t="str">
        <f t="shared" si="25"/>
        <v/>
      </c>
      <c r="BA53" s="176" t="str">
        <f t="shared" si="26"/>
        <v xml:space="preserve"> </v>
      </c>
      <c r="BB53" s="176" t="str">
        <f t="shared" si="27"/>
        <v xml:space="preserve"> </v>
      </c>
      <c r="BC53" s="195"/>
      <c r="BD53" s="316"/>
      <c r="BE53" s="317"/>
      <c r="BF53" s="318"/>
      <c r="BG53" s="318"/>
      <c r="BH53" s="144" t="str">
        <f t="shared" si="219"/>
        <v xml:space="preserve"> </v>
      </c>
      <c r="BI53" s="176" t="str">
        <f t="shared" si="28"/>
        <v/>
      </c>
      <c r="BJ53" s="144" t="str">
        <f t="shared" si="220"/>
        <v/>
      </c>
      <c r="BK53" s="246" t="str">
        <f t="shared" si="29"/>
        <v/>
      </c>
      <c r="BL53" s="144" t="str">
        <f t="shared" si="221"/>
        <v/>
      </c>
      <c r="BM53" s="246" t="str">
        <f t="shared" si="30"/>
        <v/>
      </c>
      <c r="BN53" s="337" t="str">
        <f t="shared" si="136"/>
        <v/>
      </c>
      <c r="BO53" s="371" t="str">
        <f t="shared" si="137"/>
        <v/>
      </c>
      <c r="BP53" s="328" t="str">
        <f t="shared" si="222"/>
        <v xml:space="preserve"> </v>
      </c>
      <c r="BQ53" s="347" t="str">
        <f t="shared" si="138"/>
        <v xml:space="preserve"> </v>
      </c>
      <c r="BR53" s="353" t="str">
        <f t="shared" si="223"/>
        <v xml:space="preserve"> </v>
      </c>
      <c r="BS53" s="626" t="str">
        <f>IF(L53&gt;0,IF(Calculation!P53="M13",BR53*3.1416*(0.134^2)/(4*144),IF(Calculation!P53="M17",BR53*3.1416*(0.165^2)/(4*144),IF(Calculation!P53="M20",BR53*3.1416*(0.198^2)/(4*144),IF(Calculation!P53="M23",BR53*3.1416*(0.228^2)/(4*144),IF(Calculation!P53="M27",BR53*3.1416*(0.269^2)/(4*144),BR53*3.1416*(0.307^2)/(4*144))))))," ")</f>
        <v xml:space="preserve"> </v>
      </c>
      <c r="BT53" s="353" t="str">
        <f>IF(L53&gt;0,IF(BS53&gt;0,R53/Calculation!BS53,0)," ")</f>
        <v xml:space="preserve"> </v>
      </c>
      <c r="BU53" s="438" t="e">
        <f t="shared" ca="1" si="31"/>
        <v>#VALUE!</v>
      </c>
      <c r="BV53" s="449" t="e">
        <f ca="1">INDEX(INDIRECT(VLOOKUP(LEFT(BO53,7),CLU!$Z$3:$AH$18,2)),GN53,GR53)</f>
        <v>#N/A</v>
      </c>
      <c r="BW53" s="433" t="e">
        <f ca="1">INDEX(INDIRECT(VLOOKUP(LEFT(BO53,7),CLU!$Z$3:$AH$18,3)),GN53,GR53)</f>
        <v>#N/A</v>
      </c>
      <c r="BX53" s="433" t="e">
        <f ca="1">INDEX(INDIRECT(VLOOKUP(LEFT(BO53,7),CLU!$Z$3:$AH$18,4)),GN53,GR53)</f>
        <v>#N/A</v>
      </c>
      <c r="BY53" s="433" t="e">
        <f ca="1">INDEX(INDIRECT(VLOOKUP(LEFT(BO53,7),CLU!$Z$3:$AH$18,9)),((M53-2)*(6-COUNTBLANK(GT53:GY53)))+GJ53)</f>
        <v>#N/A</v>
      </c>
      <c r="BZ53" s="426" t="e">
        <f t="shared" ca="1" si="139"/>
        <v>#N/A</v>
      </c>
      <c r="CA53" s="424" t="e">
        <f t="shared" ca="1" si="140"/>
        <v>#N/A</v>
      </c>
      <c r="CB53" s="429" t="e">
        <f ca="1">INDEX(INDIRECT(VLOOKUP(LEFT(BO53,7),CLU!$Z$3:$AH$18,2)),GN53,GS53)</f>
        <v>#N/A</v>
      </c>
      <c r="CC53" s="342" t="e">
        <f ca="1">INDEX(INDIRECT(VLOOKUP(LEFT(BO53,7),CLU!$Z$3:$AH$18,3)),GN53,GS53)</f>
        <v>#N/A</v>
      </c>
      <c r="CD53" s="342" t="e">
        <f ca="1">INDEX(INDIRECT(VLOOKUP(LEFT(BO53,7),CLU!$Z$3:$AH$18,4)),GN53,GS53)</f>
        <v>#N/A</v>
      </c>
      <c r="CE53" s="426" t="e">
        <f t="shared" ca="1" si="141"/>
        <v>#N/A</v>
      </c>
      <c r="CF53" s="440">
        <f t="shared" si="142"/>
        <v>0</v>
      </c>
      <c r="CG53" s="431" t="e">
        <f ca="1">INDEX(INDIRECT(VLOOKUP(LEFT(BO53,7),CLU!$Z$3:$AH$18,2)),GQ53,GR53)</f>
        <v>#N/A</v>
      </c>
      <c r="CH53" s="431" t="e">
        <f ca="1">INDEX(INDIRECT(VLOOKUP(LEFT(BO53,7),CLU!$Z$3:$AH$18,3)),GQ53,GR53)</f>
        <v>#N/A</v>
      </c>
      <c r="CI53" s="431" t="e">
        <f ca="1">INDEX(INDIRECT(VLOOKUP(LEFT(BO53,7),CLU!$Z$3:$AH$18,4)),GQ53,GR53)</f>
        <v>#N/A</v>
      </c>
      <c r="CJ53" s="448" t="e">
        <f t="shared" ca="1" si="143"/>
        <v>#N/A</v>
      </c>
      <c r="CK53" s="431" t="e">
        <f t="shared" ca="1" si="144"/>
        <v>#N/A</v>
      </c>
      <c r="CL53" s="440" t="e">
        <f t="shared" ca="1" si="145"/>
        <v>#N/A</v>
      </c>
      <c r="CM53" s="431" t="e">
        <f ca="1">INDEX(INDIRECT(VLOOKUP(LEFT(BO53,7),CLU!$Z$3:$AH$18,2)),GQ53,GS53)</f>
        <v>#N/A</v>
      </c>
      <c r="CN53" s="431" t="e">
        <f ca="1">INDEX(INDIRECT(VLOOKUP(LEFT(BO53,7),CLU!$Z$3:$AH$18,3)),GQ53,GS53)</f>
        <v>#N/A</v>
      </c>
      <c r="CO53" s="431" t="e">
        <f ca="1">INDEX(INDIRECT(VLOOKUP(LEFT(BO53,7),CLU!$Z$3:$AH$18,4)),GQ53,GS53)</f>
        <v>#N/A</v>
      </c>
      <c r="CP53" s="431" t="e">
        <f t="shared" ca="1" si="146"/>
        <v>#N/A</v>
      </c>
      <c r="CQ53" s="440">
        <f t="shared" si="147"/>
        <v>0</v>
      </c>
      <c r="CR53" s="51" t="e">
        <f t="shared" ca="1" si="148"/>
        <v>#N/A</v>
      </c>
      <c r="CS53" s="439" t="e">
        <f t="shared" ca="1" si="149"/>
        <v>#VALUE!</v>
      </c>
      <c r="CT53" s="51" t="e">
        <f t="shared" ca="1" si="150"/>
        <v>#VALUE!</v>
      </c>
      <c r="CU53" s="10"/>
      <c r="CV53" s="51" t="e">
        <f t="shared" ca="1" si="34"/>
        <v>#VALUE!</v>
      </c>
      <c r="CW53" s="51">
        <f t="shared" si="151"/>
        <v>0</v>
      </c>
      <c r="CX53" s="439" t="e">
        <f t="shared" ca="1" si="152"/>
        <v>#VALUE!</v>
      </c>
      <c r="CY53" s="51" t="e">
        <f t="shared" ca="1" si="153"/>
        <v>#VALUE!</v>
      </c>
      <c r="CZ53" s="10"/>
      <c r="DA53" s="51" t="e">
        <f t="shared" ca="1" si="154"/>
        <v>#VALUE!</v>
      </c>
      <c r="DB53" s="347" t="e">
        <f ca="1">INDEX(INDIRECT(VLOOKUP(LEFT(BO53,7),CLU!$Z$3:$AI$18,10)),((M53-2)*(6-COUNTBLANK(GT53:GY53)))+GJ53)*LI53</f>
        <v>#N/A</v>
      </c>
      <c r="DC53" s="347" t="str">
        <f>IF(L53&gt;0,((R53/Worksheet!$I$15)/DB53)^2," ")</f>
        <v xml:space="preserve"> </v>
      </c>
      <c r="DD53" s="602" t="str">
        <f t="shared" si="224"/>
        <v xml:space="preserve"> </v>
      </c>
      <c r="DE53" s="347" t="str">
        <f t="shared" si="35"/>
        <v xml:space="preserve"> </v>
      </c>
      <c r="DF53" s="356" t="e">
        <f ca="1">INDEX(INDIRECT(VLOOKUP(LEFT(BO53,7),CLU!$Z$3:$AH$18,8)),((M53-2)*(6-COUNTBLANK(GT53:GY53)))+GJ53)</f>
        <v>#N/A</v>
      </c>
      <c r="DG53" s="347" t="str">
        <f t="shared" si="36"/>
        <v xml:space="preserve"> </v>
      </c>
      <c r="DH53" s="357" t="str">
        <f t="shared" si="37"/>
        <v xml:space="preserve"> </v>
      </c>
      <c r="DI53" s="355" t="str">
        <f t="shared" si="38"/>
        <v xml:space="preserve"> </v>
      </c>
      <c r="DJ53" s="245" t="e">
        <f ca="1">INDEX(INDIRECT(VLOOKUP(LEFT(BO53,7),CLU!$Z$3:$AH$18,5)),GL53,GK53)</f>
        <v>#N/A</v>
      </c>
      <c r="DK53" s="245" t="e">
        <f ca="1">INDEX(INDIRECT(VLOOKUP(LEFT(BO53,7),CLU!$Z$3:$AH$18,6)),GL53,GK53)</f>
        <v>#N/A</v>
      </c>
      <c r="DL53" s="355">
        <f>(Calculation!R53*0.69143*(Calculation!$BQ$8-Calculation!$F$8))*$S$14</f>
        <v>0</v>
      </c>
      <c r="DM53" s="359" t="e">
        <f t="shared" si="160"/>
        <v>#VALUE!</v>
      </c>
      <c r="DN53" s="611">
        <f t="shared" si="161"/>
        <v>0</v>
      </c>
      <c r="DO53" s="359">
        <f t="shared" si="162"/>
        <v>100</v>
      </c>
      <c r="DP53" s="359">
        <f t="shared" si="163"/>
        <v>0</v>
      </c>
      <c r="DQ53" s="360"/>
      <c r="DR53" s="245" t="e">
        <f ca="1">INDEX(INDIRECT(VLOOKUP(LEFT(BO53,7),CLU!$Z$3:$AH$18,7)),M53-1,1)</f>
        <v>#N/A</v>
      </c>
      <c r="DS53" s="245" t="e">
        <f ca="1">INDEX(INDIRECT(VLOOKUP(LEFT(BO53,7),CLU!$Z$3:$AH$18,7)),M53-1,2)</f>
        <v>#N/A</v>
      </c>
      <c r="DT53" s="245" t="e">
        <f ca="1">INDEX(INDIRECT(VLOOKUP(LEFT(BO53,7),CLU!$Z$3:$AH$18,7)),M53-1,3)</f>
        <v>#N/A</v>
      </c>
      <c r="DU53" s="245" t="e">
        <f ca="1">INDEX(INDIRECT(VLOOKUP(LEFT(BO53,7),CLU!$Z$3:$AH$18,7)),M53-1,4)</f>
        <v>#N/A</v>
      </c>
      <c r="DV53" s="361" t="e">
        <f ca="1">INDEX(INDIRECT(VLOOKUP(LEFT(BO53,7),CLU!$Z$3:$AH$18,7)),M53-1,4+LEFT(DZ53,1)*0.5)</f>
        <v>#N/A</v>
      </c>
      <c r="DW53" s="245" t="e">
        <f ca="1">INDEX(INDIRECT(VLOOKUP(LEFT(BO53,7),CLU!$Z$3:$AH$18,7)),M53-1,8)</f>
        <v>#N/A</v>
      </c>
      <c r="DX53" s="361" t="str">
        <f t="shared" si="39"/>
        <v xml:space="preserve"> </v>
      </c>
      <c r="DY53" s="361" t="str">
        <f t="shared" si="40"/>
        <v xml:space="preserve"> </v>
      </c>
      <c r="DZ53" s="361" t="str">
        <f t="shared" si="41"/>
        <v xml:space="preserve"> </v>
      </c>
      <c r="EA53" s="362" t="str">
        <f t="shared" si="42"/>
        <v xml:space="preserve"> </v>
      </c>
      <c r="EB53" s="624" t="str">
        <f t="shared" si="168"/>
        <v xml:space="preserve"> </v>
      </c>
      <c r="EC53" s="361" t="e">
        <f ca="1">INDEX(INDIRECT(VLOOKUP(LEFT(BO53,7),CLU!$Z$3:$AH$18,7)),M53-1,4+LEFT(DZ53,1)*0.5)</f>
        <v>#N/A</v>
      </c>
      <c r="ED53" s="362" t="str">
        <f t="shared" si="43"/>
        <v xml:space="preserve"> </v>
      </c>
      <c r="EE53" s="361" t="str">
        <f t="shared" si="44"/>
        <v xml:space="preserve"> </v>
      </c>
      <c r="EF53" s="362" t="str">
        <f>IF(L53&gt;0,IF(BR53&gt;0,IF(EE53="2P",IF(Calculation!DZ53="2P",IF(Calculation!DS53=13.75,IF(Calculation!DR53=13,Worksheet!$BD$43,IF(Calculation!DR53=37,Worksheet!$BD$44,Worksheet!$BD$45)),IF(Calculation!DS53=10,IF(Calculation!DR53=18,Worksheet!$BD$29,IF(Calculation!DR53=30,Worksheet!$BD$30,IF(Calculation!DR53=42,Worksheet!$BD$31,IF(Calculation!DR53=54,Worksheet!$BD$32,IF(Calculation!DR53=66,Worksheet!$BD$33,IF(Calculation!DR53=78,Worksheet!$BD$34,IF(Calculation!DR53=90,Worksheet!$BD$35,IF(Calculation!DR53=102,Worksheet!$BD$36,Worksheet!$BD$37)))))))),IF(Calculation!DS53=12.5,IF(Calculation!DR53=18,Worksheet!$BD$38,IF(Calculation!DR53=Worksheet!$BD$39,IF(Calculation!DR53=42,Worksheet!$BD$40,IF(Calculation!DR53=54,Worksheet!$BD$41,Worksheet!$BD$42)))),IF(Calculation!DR53=18,Worksheet!$BD$11,IF(Calculation!DR53=30,Worksheet!$BD$12,IF(Calculation!DR53=42,Worksheet!$BD$13,IF(Calculation!DR53=54,Worksheet!$BD$14,IF(Calculation!DR53=66,Worksheet!$BD$15,IF(Calculation!DR53=78,Worksheet!$BD$16,IF(Calculation!DR53=90,Worksheet!$BD$17,IF(Calculation!DR53=102,Worksheet!$BD$18,Worksheet!$BD$19))))))))))),IF(Calculation!DS53=13.75,IF(Calculation!DR53=13,Worksheet!$BD$78,IF(Calculation!DR53=37,Worksheet!$BD$79,Worksheet!$BD$80)),IF(Calculation!DS53=10,IF(Calculation!DR53=18,Worksheet!$BD$64,IF(Calculation!DR53=30,Worksheet!$BD$65,IF(Calculation!DR53=42,Worksheet!$BD$66,IF(Calculation!DR53=54,Worksheet!$BD$68,IF(Calculation!DR53=66,Worksheet!$BD$68,IF(Calculation!DR53=78,Worksheet!$BD$69,IF(Calculation!DR53=90,Worksheet!$BD$70,IF(Calculation!DR53=102,Worksheet!$BD$71,Worksheet!$BD$72)))))))),IF(Calculation!DS53=12.5,IF(Calculation!DR53=18,Worksheet!$BD$73,IF(Calculation!DR53=Worksheet!$BD$74,IF(Calculation!DR53=42,Worksheet!$BD$75,IF(Calculation!DR53=54,Worksheet!$BD$76,Worksheet!$BD$77)))),IF(Calculation!DR53=18,Worksheet!$BD$55,IF(Calculation!DR53=30,Worksheet!$BD$56,IF(Calculation!DR53=42,Worksheet!$BD$57,IF(Calculation!DR53=54,Worksheet!$BD$58,IF(Calculation!DR53=66,Worksheet!$BD$59,IF(Calculation!DR53=78,Worksheet!$BD$60,IF(Calculation!DR53=90,Worksheet!$BD$61,IF(Calculation!DR53=102,Worksheet!$BD$62,Worksheet!$BD$63)))))))))))),5),0)," ")</f>
        <v xml:space="preserve"> </v>
      </c>
      <c r="EG53" s="361" t="str">
        <f t="shared" si="45"/>
        <v xml:space="preserve"> </v>
      </c>
      <c r="EH53" s="361" t="e">
        <f ca="1">INDEX(INDIRECT(VLOOKUP(LEFT(BO53,7),CLU!$Z$3:$AH$18,7)),M53-1,3+LEFT(DZ53,1))</f>
        <v>#N/A</v>
      </c>
      <c r="EI53" s="362" t="str">
        <f t="shared" si="46"/>
        <v xml:space="preserve"> </v>
      </c>
      <c r="EJ53" s="363" t="str">
        <f t="shared" si="47"/>
        <v xml:space="preserve"> </v>
      </c>
      <c r="EK53" s="363" t="str">
        <f t="shared" si="48"/>
        <v xml:space="preserve"> </v>
      </c>
      <c r="EL53" s="363" t="str">
        <f t="shared" si="49"/>
        <v xml:space="preserve"> </v>
      </c>
      <c r="EM53" s="362" t="str">
        <f>IF(L53&gt;0,IF(BR53&gt;0,(Calculation!T53/ED53)^2,0)," ")</f>
        <v xml:space="preserve"> </v>
      </c>
      <c r="EN53" s="362" t="str">
        <f>IF(L53&gt;0,IF(O53="2 Pipe (Cooling)","N/A",IF(BR53&gt;0,(Calculation!U53/EI53)^2,0))," ")</f>
        <v xml:space="preserve"> </v>
      </c>
      <c r="EO53" s="361" t="str">
        <f t="shared" si="50"/>
        <v/>
      </c>
      <c r="EP53" s="361" t="str">
        <f t="shared" si="51"/>
        <v/>
      </c>
      <c r="EQ53" s="361" t="str">
        <f t="shared" si="52"/>
        <v/>
      </c>
      <c r="ER53" s="361" t="str">
        <f t="shared" si="53"/>
        <v/>
      </c>
      <c r="ES53" s="361" t="str">
        <f t="shared" si="54"/>
        <v/>
      </c>
      <c r="ET53" s="361" t="str">
        <f t="shared" si="55"/>
        <v/>
      </c>
      <c r="EU53" s="361" t="str">
        <f t="shared" si="56"/>
        <v/>
      </c>
      <c r="EV53" s="361" t="str">
        <f t="shared" si="57"/>
        <v/>
      </c>
      <c r="EW53" s="361" t="str">
        <f t="shared" si="58"/>
        <v/>
      </c>
      <c r="EX53" s="361" t="str">
        <f t="shared" si="169"/>
        <v>1 slot, 1 way</v>
      </c>
      <c r="EY53" s="361" t="str">
        <f t="shared" si="170"/>
        <v xml:space="preserve"> </v>
      </c>
      <c r="EZ53" s="361" t="str">
        <f t="shared" si="171"/>
        <v xml:space="preserve"> </v>
      </c>
      <c r="FA53" s="361" t="str">
        <f t="shared" si="172"/>
        <v xml:space="preserve"> </v>
      </c>
      <c r="FB53" s="361" t="str">
        <f t="shared" si="173"/>
        <v xml:space="preserve"> </v>
      </c>
      <c r="FC53" s="361"/>
      <c r="FD53" s="361" t="str">
        <f>IF(J53&gt;0,IF(Calculation!R53&lt;=70,4,IF(Calculation!R53&lt;=110,5,IF(Calculation!R53&lt;=160,6,IF(Calculation!R53&lt;=300,8,"10 EO")))),"")</f>
        <v/>
      </c>
      <c r="FE53" s="361" t="str">
        <f t="shared" si="174"/>
        <v/>
      </c>
      <c r="FF53" s="361" t="str">
        <f t="shared" si="175"/>
        <v/>
      </c>
      <c r="FG53" s="361" t="e">
        <f t="shared" si="60"/>
        <v>#N/A</v>
      </c>
      <c r="FH53" s="361">
        <f t="shared" si="61"/>
        <v>0</v>
      </c>
      <c r="FI53" s="361" t="e">
        <f t="shared" si="62"/>
        <v>#DIV/0!</v>
      </c>
      <c r="FJ53" s="361"/>
      <c r="FK53" s="356" t="e">
        <f t="shared" si="63"/>
        <v>#VALUE!</v>
      </c>
      <c r="FL53" s="361"/>
      <c r="FM53" s="361"/>
      <c r="FN53" s="362" t="str">
        <f t="shared" si="176"/>
        <v xml:space="preserve"> </v>
      </c>
      <c r="FO53" s="362" t="str">
        <f t="shared" si="177"/>
        <v xml:space="preserve"> </v>
      </c>
      <c r="FP53" s="362">
        <f t="shared" si="178"/>
        <v>0</v>
      </c>
      <c r="FQ53" s="361">
        <f t="shared" si="64"/>
        <v>0</v>
      </c>
      <c r="FR53" s="362" t="str">
        <f>IF(L53&gt;0,IF(J53="CBAL2",Worksheet!$P$67,IF(J53="CBE2-24",Worksheet!$Q$67,IF(J53="CBAM",Worksheet!$R$67,IF(J53="CBLV",Worksheet!$S$67,IF(J53="CBAB",Worksheet!$U$67,IF(J53="CBAW",Worksheet!$X$67,IF(J53="CBE2-12",Worksheet!$Y$67,IF(J53="CBAL2",Worksheet!$Z$67,"N/A"))))))))," ")</f>
        <v xml:space="preserve"> </v>
      </c>
      <c r="FS53" s="362" t="str">
        <f>IF(L53&gt;0,IF(J53="CBAL2",Worksheet!$P$68,IF(J53="CBE2-24",Worksheet!$Q$68,IF(J53="CBAM",Worksheet!$R$68,IF(J53="CBLV",Worksheet!$S$68,IF(J53="CBAB",Worksheet!$U$68,IF(J53="CBAW",Worksheet!$X$68,IF(J53="CBE2-12",Worksheet!$Y$68,IF(J53="CBAL2",Worksheet!$Z$68,"N/A"))))))))," ")</f>
        <v xml:space="preserve"> </v>
      </c>
      <c r="FT53" s="362" t="str">
        <f>IF(L53&gt;0,IF(J53="CBAL2",Worksheet!$P$69,IF(J53="CBE2-24",Worksheet!$Q$69,IF(J53="CBAM",Worksheet!$R$69,IF(J53="CBLV",Worksheet!$S$69,IF(J53="CBAB",Worksheet!$U$69,IF(J53="CBAW",Worksheet!$X$69,IF(J53="CBE2-12",Worksheet!$Y$69,IF(J53="CBAL2",Worksheet!$Z$69,"N/A"))))))))," ")</f>
        <v xml:space="preserve"> </v>
      </c>
      <c r="FU53" s="361" t="str">
        <f t="shared" si="179"/>
        <v xml:space="preserve"> </v>
      </c>
      <c r="FV53" s="362" t="str">
        <f t="shared" si="180"/>
        <v xml:space="preserve"> </v>
      </c>
      <c r="FW53" s="362" t="str">
        <f t="shared" si="181"/>
        <v xml:space="preserve"> </v>
      </c>
      <c r="FX53" s="362" t="str">
        <f t="shared" si="182"/>
        <v xml:space="preserve"> </v>
      </c>
      <c r="FY53" s="355" t="str">
        <f t="shared" si="183"/>
        <v xml:space="preserve"> </v>
      </c>
      <c r="FZ53" s="361" t="str">
        <f t="shared" si="184"/>
        <v xml:space="preserve"> </v>
      </c>
      <c r="GA53" s="347" t="str">
        <f t="shared" si="185"/>
        <v xml:space="preserve"> </v>
      </c>
      <c r="GB53" s="355" t="str">
        <f t="shared" si="186"/>
        <v xml:space="preserve"> </v>
      </c>
      <c r="GC53" s="328" t="str">
        <f t="shared" si="187"/>
        <v xml:space="preserve"> </v>
      </c>
      <c r="GD53" s="361" t="str">
        <f t="shared" si="188"/>
        <v xml:space="preserve"> </v>
      </c>
      <c r="GE53" s="347" t="str">
        <f t="shared" si="189"/>
        <v xml:space="preserve"> </v>
      </c>
      <c r="GF53" s="361" t="str">
        <f t="shared" si="190"/>
        <v xml:space="preserve"> </v>
      </c>
      <c r="GG53" s="347" t="str">
        <f t="shared" si="191"/>
        <v xml:space="preserve"> </v>
      </c>
      <c r="GH53" s="364">
        <f t="shared" si="78"/>
        <v>0</v>
      </c>
      <c r="GI53" s="362">
        <f t="shared" si="192"/>
        <v>2</v>
      </c>
      <c r="GJ53" s="433" t="e">
        <f>IF(6-COUNTBLANK(GT53:GY53)=4,MATCH(MID(BO53,9,3),CLU!$H$16:$K$16),MATCH(MID(BO53,9,3),CLU!$H$13:$M$13))</f>
        <v>#N/A</v>
      </c>
      <c r="GK53" s="433" t="e">
        <f>HLOOKUP(VALUE(BP53),CLU!$H$9:$M$10,2)</f>
        <v>#VALUE!</v>
      </c>
      <c r="GL53" s="433" t="e">
        <f ca="1">MATCH(BU53,CLU!$H$2:$V$2,1)</f>
        <v>#VALUE!</v>
      </c>
      <c r="GM53" s="433" t="e">
        <f t="shared" ca="1" si="193"/>
        <v>#VALUE!</v>
      </c>
      <c r="GN53" s="433" t="e">
        <f t="shared" ca="1" si="194"/>
        <v>#VALUE!</v>
      </c>
      <c r="GO53" s="433" t="e">
        <f t="shared" ca="1" si="195"/>
        <v>#VALUE!</v>
      </c>
      <c r="GP53" s="433" t="e">
        <f t="shared" ca="1" si="196"/>
        <v>#VALUE!</v>
      </c>
      <c r="GQ53" s="433" t="e">
        <f t="shared" ca="1" si="197"/>
        <v>#VALUE!</v>
      </c>
      <c r="GR53" s="433" t="e">
        <f ca="1">MATCH(T53,INDIRECT(VLOOKUP(CONCATENATE(LEFT(BO53,7),"-",MID(BO53,13,1)),CLU!$P$3:$Q$16,2)),1)</f>
        <v>#N/A</v>
      </c>
      <c r="GS53" s="433" t="e">
        <f ca="1">MATCH(U53,INDIRECT(VLOOKUP(CONCATENATE(LEFT(BO53,7),"-",MID(BO53,13,1)),CLU!$P$3:$Q$16,2)),1)</f>
        <v>#N/A</v>
      </c>
      <c r="GT53" s="347" t="s">
        <v>512</v>
      </c>
      <c r="GU53" s="97" t="s">
        <v>513</v>
      </c>
      <c r="GV53" s="97" t="str">
        <f t="shared" si="198"/>
        <v>M23</v>
      </c>
      <c r="GW53" s="97" t="str">
        <f t="shared" si="199"/>
        <v>M31</v>
      </c>
      <c r="GX53" s="97" t="str">
        <f t="shared" si="200"/>
        <v/>
      </c>
      <c r="GY53" s="97" t="str">
        <f t="shared" si="201"/>
        <v/>
      </c>
      <c r="GZ53" s="481"/>
      <c r="HA53" s="288"/>
      <c r="HB53" s="240"/>
      <c r="HC53" s="240"/>
      <c r="HD53" s="240"/>
      <c r="HE53" s="240"/>
      <c r="HF53" s="240"/>
      <c r="HG53" s="240"/>
      <c r="HH53" s="240"/>
      <c r="HI53" s="240"/>
      <c r="HJ53" s="240"/>
      <c r="HK53" s="240"/>
      <c r="HL53" s="240"/>
      <c r="HM53" s="240"/>
      <c r="HN53" s="240"/>
      <c r="HO53" s="240"/>
      <c r="HP53" s="240"/>
      <c r="HQ53" s="240"/>
      <c r="HR53" s="240"/>
      <c r="HS53" s="240"/>
      <c r="HT53" s="240"/>
      <c r="HU53" s="240"/>
      <c r="HV53" s="245"/>
      <c r="HW53" s="245" t="b">
        <v>1</v>
      </c>
      <c r="HX53" s="245" t="str">
        <f t="shared" si="79"/>
        <v/>
      </c>
      <c r="HY53" s="245" t="e">
        <f t="shared" si="80"/>
        <v>#DIV/0!</v>
      </c>
      <c r="HZ53" s="245" t="e">
        <f t="shared" si="81"/>
        <v>#DIV/0!</v>
      </c>
      <c r="IA53" s="245">
        <f t="shared" si="82"/>
        <v>0</v>
      </c>
      <c r="IB53" s="245"/>
      <c r="IC53" t="b">
        <f t="shared" si="83"/>
        <v>1</v>
      </c>
      <c r="ID53" s="245" t="b">
        <f t="shared" si="84"/>
        <v>1</v>
      </c>
      <c r="IE53" s="245" t="b">
        <f t="shared" si="85"/>
        <v>1</v>
      </c>
      <c r="IF53" s="245" t="b">
        <f t="shared" si="86"/>
        <v>0</v>
      </c>
      <c r="IG53" s="245" t="b">
        <f t="shared" si="87"/>
        <v>1</v>
      </c>
      <c r="IH53" s="245" t="b">
        <f t="shared" si="88"/>
        <v>1</v>
      </c>
      <c r="II53" s="245">
        <f t="shared" si="202"/>
        <v>0</v>
      </c>
      <c r="IJ53" s="245" t="e">
        <f t="shared" si="89"/>
        <v>#VALUE!</v>
      </c>
      <c r="IK53" s="245" t="e">
        <f t="shared" si="90"/>
        <v>#VALUE!</v>
      </c>
      <c r="IL53" s="245"/>
      <c r="IM53" s="245" t="e">
        <f t="shared" si="203"/>
        <v>#N/A</v>
      </c>
      <c r="IN53" s="245" t="e">
        <f t="shared" si="204"/>
        <v>#N/A</v>
      </c>
      <c r="IO53" s="245"/>
      <c r="IP53" s="245"/>
      <c r="IQ53" s="245" t="str">
        <f t="shared" si="91"/>
        <v/>
      </c>
      <c r="IR53" s="245" t="str">
        <f>IF(J53="","",VLOOKUP(J53,Worksheet!$R$4:$T$14,2))</f>
        <v/>
      </c>
      <c r="IS53" s="245"/>
      <c r="IT53" s="245">
        <f t="shared" si="92"/>
        <v>0</v>
      </c>
      <c r="IU53" s="245">
        <f t="shared" si="93"/>
        <v>0</v>
      </c>
      <c r="IV53" s="245">
        <f t="shared" si="94"/>
        <v>0</v>
      </c>
      <c r="IW53" s="245">
        <f t="shared" si="95"/>
        <v>0</v>
      </c>
      <c r="IX53" s="245">
        <f t="shared" si="205"/>
        <v>0</v>
      </c>
      <c r="IY53" s="245">
        <f t="shared" si="96"/>
        <v>0</v>
      </c>
      <c r="IZ53" s="245">
        <f t="shared" si="97"/>
        <v>0</v>
      </c>
      <c r="JA53">
        <f t="shared" si="98"/>
        <v>0</v>
      </c>
      <c r="JB53">
        <f t="shared" si="206"/>
        <v>0</v>
      </c>
      <c r="JC53">
        <f t="shared" si="99"/>
        <v>0</v>
      </c>
      <c r="JD53">
        <f t="shared" si="100"/>
        <v>0</v>
      </c>
      <c r="JE53">
        <f t="shared" si="101"/>
        <v>0</v>
      </c>
      <c r="JF53">
        <f t="shared" si="102"/>
        <v>0</v>
      </c>
      <c r="JG53">
        <f t="shared" si="103"/>
        <v>0</v>
      </c>
      <c r="JH53">
        <f t="shared" si="104"/>
        <v>0</v>
      </c>
      <c r="JI53">
        <f t="shared" si="105"/>
        <v>0</v>
      </c>
      <c r="JJ53" s="447">
        <f t="shared" si="106"/>
        <v>0</v>
      </c>
      <c r="JK53" s="447">
        <f t="shared" si="107"/>
        <v>0</v>
      </c>
      <c r="JL53">
        <f t="shared" si="108"/>
        <v>0</v>
      </c>
      <c r="JM53" s="245" t="str">
        <f>IFERROR(VLOOKUP(MATCH(BN53,#REF!,0),#REF!,7),"")</f>
        <v/>
      </c>
      <c r="JN53" t="e">
        <f>HLOOKUP(LEFT(BO53,7),Discharge_Area,MATCH(JO53,LookUps!$B$130:$B$149,1)+2)</f>
        <v>#N/A</v>
      </c>
      <c r="JO53" t="str">
        <f t="shared" si="109"/>
        <v>- S</v>
      </c>
      <c r="JP53" t="e">
        <f>HLOOKUP(LEFT(BO53,7),Discharge_Area,MATCH(JO53,LookUps!$B$130:$B$149,1)+2)</f>
        <v>#N/A</v>
      </c>
      <c r="JQ53" t="e">
        <f t="shared" si="110"/>
        <v>#N/A</v>
      </c>
      <c r="JR53" t="e">
        <f t="shared" si="111"/>
        <v>#N/A</v>
      </c>
      <c r="JS53" t="e">
        <f t="shared" si="112"/>
        <v>#N/A</v>
      </c>
      <c r="JT53" s="532" t="str">
        <f t="shared" si="113"/>
        <v xml:space="preserve"> </v>
      </c>
      <c r="JU53" s="532" t="str">
        <f t="shared" si="114"/>
        <v xml:space="preserve"> </v>
      </c>
      <c r="JV53" s="533" t="str">
        <f t="shared" si="115"/>
        <v xml:space="preserve"> </v>
      </c>
      <c r="JW53" s="534">
        <f t="shared" si="116"/>
        <v>0</v>
      </c>
      <c r="JX53" s="535" t="str">
        <f t="shared" si="207"/>
        <v xml:space="preserve"> </v>
      </c>
      <c r="JY53" s="535" t="str">
        <f t="shared" si="208"/>
        <v xml:space="preserve"> </v>
      </c>
      <c r="JZ53" s="535" t="str">
        <f t="shared" si="209"/>
        <v xml:space="preserve"> </v>
      </c>
      <c r="KA53" s="536" t="str">
        <f t="shared" si="117"/>
        <v xml:space="preserve"> </v>
      </c>
      <c r="KB53" s="535" t="e">
        <f t="shared" si="210"/>
        <v>#VALUE!</v>
      </c>
      <c r="KC53" s="535" t="str">
        <f t="shared" si="118"/>
        <v/>
      </c>
      <c r="KD53" s="537" t="str">
        <f t="shared" si="211"/>
        <v xml:space="preserve"> </v>
      </c>
      <c r="KE53" s="537" t="str">
        <f t="shared" si="212"/>
        <v xml:space="preserve"> </v>
      </c>
      <c r="KF53" s="534">
        <f t="shared" si="119"/>
        <v>0</v>
      </c>
      <c r="KG53" s="535" t="str">
        <f t="shared" si="120"/>
        <v xml:space="preserve"> </v>
      </c>
      <c r="KH53" s="535" t="str">
        <f t="shared" si="121"/>
        <v xml:space="preserve"> </v>
      </c>
      <c r="KI53" s="535" t="str">
        <f t="shared" si="122"/>
        <v xml:space="preserve"> </v>
      </c>
      <c r="KJ53" s="536" t="str">
        <f t="shared" si="123"/>
        <v xml:space="preserve"> </v>
      </c>
      <c r="KK53" s="535" t="str">
        <f t="shared" si="213"/>
        <v xml:space="preserve"> </v>
      </c>
      <c r="KL53" s="535" t="str">
        <f t="shared" si="214"/>
        <v xml:space="preserve"> </v>
      </c>
      <c r="KM53" s="537" t="str">
        <f t="shared" si="124"/>
        <v xml:space="preserve"> </v>
      </c>
      <c r="KN53" s="537" t="str">
        <f t="shared" si="215"/>
        <v xml:space="preserve"> </v>
      </c>
      <c r="KP53">
        <f t="shared" si="125"/>
        <v>0</v>
      </c>
      <c r="LA53" t="e">
        <f t="shared" si="126"/>
        <v>#VALUE!</v>
      </c>
      <c r="LB53" t="e">
        <f t="shared" si="127"/>
        <v>#VALUE!</v>
      </c>
      <c r="LC53" t="e">
        <f t="shared" si="128"/>
        <v>#VALUE!</v>
      </c>
      <c r="LD53" t="e">
        <f t="shared" si="129"/>
        <v>#VALUE!</v>
      </c>
      <c r="LE53" t="e">
        <f t="shared" si="216"/>
        <v>#VALUE!</v>
      </c>
      <c r="LF53">
        <f t="shared" si="130"/>
        <v>0</v>
      </c>
      <c r="LG53" t="e">
        <f t="shared" si="217"/>
        <v>#VALUE!</v>
      </c>
      <c r="LH53" t="str">
        <f t="shared" si="131"/>
        <v xml:space="preserve"> </v>
      </c>
      <c r="LI53">
        <f t="shared" si="218"/>
        <v>1</v>
      </c>
    </row>
    <row r="54" spans="2:321" ht="15" customHeight="1">
      <c r="B54" s="311"/>
      <c r="C54" s="311"/>
      <c r="D54" s="312"/>
      <c r="E54" s="311"/>
      <c r="F54" s="312"/>
      <c r="G54" s="311"/>
      <c r="H54" s="311"/>
      <c r="I54" s="37"/>
      <c r="J54" s="311"/>
      <c r="K54" s="305" t="str">
        <f t="shared" si="132"/>
        <v/>
      </c>
      <c r="L54" s="313"/>
      <c r="M54" s="312"/>
      <c r="N54" s="311"/>
      <c r="O54" s="312"/>
      <c r="P54" s="311"/>
      <c r="Q54" s="305" t="str">
        <f t="shared" si="133"/>
        <v/>
      </c>
      <c r="R54" s="314"/>
      <c r="S54" s="450" t="str">
        <f t="shared" si="0"/>
        <v/>
      </c>
      <c r="T54" s="315"/>
      <c r="U54" s="315"/>
      <c r="W54" s="149" t="str">
        <f t="shared" si="1"/>
        <v xml:space="preserve"> </v>
      </c>
      <c r="X54" s="243" t="str">
        <f t="shared" si="2"/>
        <v xml:space="preserve"> </v>
      </c>
      <c r="Y54" s="150" t="str">
        <f t="shared" si="3"/>
        <v/>
      </c>
      <c r="Z54" s="149" t="str">
        <f t="shared" si="4"/>
        <v xml:space="preserve"> </v>
      </c>
      <c r="AA54" s="98" t="str">
        <f t="shared" si="5"/>
        <v xml:space="preserve"> </v>
      </c>
      <c r="AB54" s="153" t="str">
        <f t="shared" si="6"/>
        <v xml:space="preserve"> </v>
      </c>
      <c r="AC54" s="153" t="str">
        <f t="shared" si="7"/>
        <v xml:space="preserve"> </v>
      </c>
      <c r="AD54" s="148" t="str">
        <f t="shared" si="8"/>
        <v/>
      </c>
      <c r="AE54" s="149" t="str">
        <f t="shared" si="9"/>
        <v/>
      </c>
      <c r="AF54" s="151" t="str">
        <f t="shared" si="10"/>
        <v xml:space="preserve"> </v>
      </c>
      <c r="AG54" s="153" t="str">
        <f t="shared" si="11"/>
        <v xml:space="preserve"> </v>
      </c>
      <c r="AH54" s="98" t="str">
        <f t="shared" si="12"/>
        <v xml:space="preserve"> </v>
      </c>
      <c r="AI54" s="149" t="str">
        <f t="shared" si="13"/>
        <v xml:space="preserve"> </v>
      </c>
      <c r="AK54" s="144" t="str">
        <f t="shared" si="14"/>
        <v xml:space="preserve"> </v>
      </c>
      <c r="AL54" s="144"/>
      <c r="AM54" s="243" t="str">
        <f t="shared" si="15"/>
        <v xml:space="preserve"> </v>
      </c>
      <c r="AN54" s="149" t="str">
        <f t="shared" si="134"/>
        <v xml:space="preserve"> </v>
      </c>
      <c r="AO54" s="144" t="str">
        <f>IF(JB54&gt;0,IF(GI54=10,-R54*1.085*(Calculation!$F$6-Calculation!$F$13)*$S$14," "),"")</f>
        <v/>
      </c>
      <c r="AP54" s="144" t="str">
        <f t="shared" si="16"/>
        <v/>
      </c>
      <c r="AQ54" s="56" t="str">
        <f t="shared" si="17"/>
        <v/>
      </c>
      <c r="AR54" s="144" t="str">
        <f t="shared" si="18"/>
        <v/>
      </c>
      <c r="AS54" s="176" t="str">
        <f t="shared" si="19"/>
        <v/>
      </c>
      <c r="AT54" s="176" t="str">
        <f t="shared" si="135"/>
        <v xml:space="preserve"> </v>
      </c>
      <c r="AU54" s="176" t="str">
        <f t="shared" si="20"/>
        <v/>
      </c>
      <c r="AV54" s="177" t="str">
        <f t="shared" si="21"/>
        <v xml:space="preserve"> </v>
      </c>
      <c r="AW54" s="144" t="str">
        <f t="shared" si="22"/>
        <v xml:space="preserve"> </v>
      </c>
      <c r="AX54" s="144" t="str">
        <f t="shared" si="23"/>
        <v xml:space="preserve"> </v>
      </c>
      <c r="AY54" s="152" t="str">
        <f t="shared" si="24"/>
        <v xml:space="preserve"> </v>
      </c>
      <c r="AZ54" s="246" t="str">
        <f t="shared" si="25"/>
        <v/>
      </c>
      <c r="BA54" s="176" t="str">
        <f t="shared" si="26"/>
        <v xml:space="preserve"> </v>
      </c>
      <c r="BB54" s="176" t="str">
        <f t="shared" si="27"/>
        <v xml:space="preserve"> </v>
      </c>
      <c r="BC54" s="195"/>
      <c r="BD54" s="316"/>
      <c r="BE54" s="317"/>
      <c r="BF54" s="318"/>
      <c r="BG54" s="318"/>
      <c r="BH54" s="144" t="str">
        <f t="shared" si="219"/>
        <v xml:space="preserve"> </v>
      </c>
      <c r="BI54" s="176" t="str">
        <f t="shared" si="28"/>
        <v/>
      </c>
      <c r="BJ54" s="144" t="str">
        <f t="shared" si="220"/>
        <v/>
      </c>
      <c r="BK54" s="246" t="str">
        <f t="shared" si="29"/>
        <v/>
      </c>
      <c r="BL54" s="144" t="str">
        <f t="shared" si="221"/>
        <v/>
      </c>
      <c r="BM54" s="246" t="str">
        <f t="shared" si="30"/>
        <v/>
      </c>
      <c r="BN54" s="337" t="str">
        <f t="shared" si="136"/>
        <v/>
      </c>
      <c r="BO54" s="371" t="str">
        <f t="shared" si="137"/>
        <v/>
      </c>
      <c r="BP54" s="328" t="str">
        <f t="shared" si="222"/>
        <v xml:space="preserve"> </v>
      </c>
      <c r="BQ54" s="347" t="str">
        <f t="shared" si="138"/>
        <v xml:space="preserve"> </v>
      </c>
      <c r="BR54" s="353" t="str">
        <f t="shared" si="223"/>
        <v xml:space="preserve"> </v>
      </c>
      <c r="BS54" s="626" t="str">
        <f>IF(L54&gt;0,IF(Calculation!P54="M13",BR54*3.1416*(0.134^2)/(4*144),IF(Calculation!P54="M17",BR54*3.1416*(0.165^2)/(4*144),IF(Calculation!P54="M20",BR54*3.1416*(0.198^2)/(4*144),IF(Calculation!P54="M23",BR54*3.1416*(0.228^2)/(4*144),IF(Calculation!P54="M27",BR54*3.1416*(0.269^2)/(4*144),BR54*3.1416*(0.307^2)/(4*144))))))," ")</f>
        <v xml:space="preserve"> </v>
      </c>
      <c r="BT54" s="353" t="str">
        <f>IF(L54&gt;0,IF(BS54&gt;0,R54/Calculation!BS54,0)," ")</f>
        <v xml:space="preserve"> </v>
      </c>
      <c r="BU54" s="438" t="e">
        <f t="shared" ca="1" si="31"/>
        <v>#VALUE!</v>
      </c>
      <c r="BV54" s="449" t="e">
        <f ca="1">INDEX(INDIRECT(VLOOKUP(LEFT(BO54,7),CLU!$Z$3:$AH$18,2)),GN54,GR54)</f>
        <v>#N/A</v>
      </c>
      <c r="BW54" s="433" t="e">
        <f ca="1">INDEX(INDIRECT(VLOOKUP(LEFT(BO54,7),CLU!$Z$3:$AH$18,3)),GN54,GR54)</f>
        <v>#N/A</v>
      </c>
      <c r="BX54" s="433" t="e">
        <f ca="1">INDEX(INDIRECT(VLOOKUP(LEFT(BO54,7),CLU!$Z$3:$AH$18,4)),GN54,GR54)</f>
        <v>#N/A</v>
      </c>
      <c r="BY54" s="433" t="e">
        <f ca="1">INDEX(INDIRECT(VLOOKUP(LEFT(BO54,7),CLU!$Z$3:$AH$18,9)),((M54-2)*(6-COUNTBLANK(GT54:GY54)))+GJ54)</f>
        <v>#N/A</v>
      </c>
      <c r="BZ54" s="426" t="e">
        <f t="shared" ca="1" si="139"/>
        <v>#N/A</v>
      </c>
      <c r="CA54" s="424" t="e">
        <f t="shared" ca="1" si="140"/>
        <v>#N/A</v>
      </c>
      <c r="CB54" s="429" t="e">
        <f ca="1">INDEX(INDIRECT(VLOOKUP(LEFT(BO54,7),CLU!$Z$3:$AH$18,2)),GN54,GS54)</f>
        <v>#N/A</v>
      </c>
      <c r="CC54" s="342" t="e">
        <f ca="1">INDEX(INDIRECT(VLOOKUP(LEFT(BO54,7),CLU!$Z$3:$AH$18,3)),GN54,GS54)</f>
        <v>#N/A</v>
      </c>
      <c r="CD54" s="342" t="e">
        <f ca="1">INDEX(INDIRECT(VLOOKUP(LEFT(BO54,7),CLU!$Z$3:$AH$18,4)),GN54,GS54)</f>
        <v>#N/A</v>
      </c>
      <c r="CE54" s="426" t="e">
        <f t="shared" ca="1" si="141"/>
        <v>#N/A</v>
      </c>
      <c r="CF54" s="440">
        <f t="shared" si="142"/>
        <v>0</v>
      </c>
      <c r="CG54" s="431" t="e">
        <f ca="1">INDEX(INDIRECT(VLOOKUP(LEFT(BO54,7),CLU!$Z$3:$AH$18,2)),GQ54,GR54)</f>
        <v>#N/A</v>
      </c>
      <c r="CH54" s="431" t="e">
        <f ca="1">INDEX(INDIRECT(VLOOKUP(LEFT(BO54,7),CLU!$Z$3:$AH$18,3)),GQ54,GR54)</f>
        <v>#N/A</v>
      </c>
      <c r="CI54" s="431" t="e">
        <f ca="1">INDEX(INDIRECT(VLOOKUP(LEFT(BO54,7),CLU!$Z$3:$AH$18,4)),GQ54,GR54)</f>
        <v>#N/A</v>
      </c>
      <c r="CJ54" s="448" t="e">
        <f t="shared" ca="1" si="143"/>
        <v>#N/A</v>
      </c>
      <c r="CK54" s="431" t="e">
        <f t="shared" ca="1" si="144"/>
        <v>#N/A</v>
      </c>
      <c r="CL54" s="440" t="e">
        <f t="shared" ca="1" si="145"/>
        <v>#N/A</v>
      </c>
      <c r="CM54" s="431" t="e">
        <f ca="1">INDEX(INDIRECT(VLOOKUP(LEFT(BO54,7),CLU!$Z$3:$AH$18,2)),GQ54,GS54)</f>
        <v>#N/A</v>
      </c>
      <c r="CN54" s="431" t="e">
        <f ca="1">INDEX(INDIRECT(VLOOKUP(LEFT(BO54,7),CLU!$Z$3:$AH$18,3)),GQ54,GS54)</f>
        <v>#N/A</v>
      </c>
      <c r="CO54" s="431" t="e">
        <f ca="1">INDEX(INDIRECT(VLOOKUP(LEFT(BO54,7),CLU!$Z$3:$AH$18,4)),GQ54,GS54)</f>
        <v>#N/A</v>
      </c>
      <c r="CP54" s="431" t="e">
        <f t="shared" ca="1" si="146"/>
        <v>#N/A</v>
      </c>
      <c r="CQ54" s="440">
        <f t="shared" si="147"/>
        <v>0</v>
      </c>
      <c r="CR54" s="51" t="e">
        <f t="shared" ca="1" si="148"/>
        <v>#N/A</v>
      </c>
      <c r="CS54" s="439" t="e">
        <f t="shared" ca="1" si="149"/>
        <v>#VALUE!</v>
      </c>
      <c r="CT54" s="51" t="e">
        <f t="shared" ca="1" si="150"/>
        <v>#VALUE!</v>
      </c>
      <c r="CU54" s="10"/>
      <c r="CV54" s="51" t="e">
        <f t="shared" ca="1" si="34"/>
        <v>#VALUE!</v>
      </c>
      <c r="CW54" s="51">
        <f t="shared" si="151"/>
        <v>0</v>
      </c>
      <c r="CX54" s="439" t="e">
        <f t="shared" ca="1" si="152"/>
        <v>#VALUE!</v>
      </c>
      <c r="CY54" s="51" t="e">
        <f t="shared" ca="1" si="153"/>
        <v>#VALUE!</v>
      </c>
      <c r="CZ54" s="10"/>
      <c r="DA54" s="51" t="e">
        <f t="shared" ca="1" si="154"/>
        <v>#VALUE!</v>
      </c>
      <c r="DB54" s="347" t="e">
        <f ca="1">INDEX(INDIRECT(VLOOKUP(LEFT(BO54,7),CLU!$Z$3:$AI$18,10)),((M54-2)*(6-COUNTBLANK(GT54:GY54)))+GJ54)*LI54</f>
        <v>#N/A</v>
      </c>
      <c r="DC54" s="347" t="str">
        <f>IF(L54&gt;0,((R54/Worksheet!$I$15)/DB54)^2," ")</f>
        <v xml:space="preserve"> </v>
      </c>
      <c r="DD54" s="602" t="str">
        <f t="shared" si="224"/>
        <v xml:space="preserve"> </v>
      </c>
      <c r="DE54" s="347" t="str">
        <f t="shared" si="35"/>
        <v xml:space="preserve"> </v>
      </c>
      <c r="DF54" s="356" t="e">
        <f ca="1">INDEX(INDIRECT(VLOOKUP(LEFT(BO54,7),CLU!$Z$3:$AH$18,8)),((M54-2)*(6-COUNTBLANK(GT54:GY54)))+GJ54)</f>
        <v>#N/A</v>
      </c>
      <c r="DG54" s="347" t="str">
        <f t="shared" si="36"/>
        <v xml:space="preserve"> </v>
      </c>
      <c r="DH54" s="357" t="str">
        <f t="shared" si="37"/>
        <v xml:space="preserve"> </v>
      </c>
      <c r="DI54" s="355" t="str">
        <f t="shared" si="38"/>
        <v xml:space="preserve"> </v>
      </c>
      <c r="DJ54" s="245" t="e">
        <f ca="1">INDEX(INDIRECT(VLOOKUP(LEFT(BO54,7),CLU!$Z$3:$AH$18,5)),GL54,GK54)</f>
        <v>#N/A</v>
      </c>
      <c r="DK54" s="245" t="e">
        <f ca="1">INDEX(INDIRECT(VLOOKUP(LEFT(BO54,7),CLU!$Z$3:$AH$18,6)),GL54,GK54)</f>
        <v>#N/A</v>
      </c>
      <c r="DL54" s="355">
        <f>(Calculation!R54*0.69143*(Calculation!$BQ$8-Calculation!$F$8))*$S$14</f>
        <v>0</v>
      </c>
      <c r="DM54" s="359" t="e">
        <f t="shared" si="160"/>
        <v>#VALUE!</v>
      </c>
      <c r="DN54" s="611">
        <f t="shared" si="161"/>
        <v>0</v>
      </c>
      <c r="DO54" s="359">
        <f t="shared" si="162"/>
        <v>100</v>
      </c>
      <c r="DP54" s="359">
        <f t="shared" si="163"/>
        <v>0</v>
      </c>
      <c r="DQ54" s="360"/>
      <c r="DR54" s="245" t="e">
        <f ca="1">INDEX(INDIRECT(VLOOKUP(LEFT(BO54,7),CLU!$Z$3:$AH$18,7)),M54-1,1)</f>
        <v>#N/A</v>
      </c>
      <c r="DS54" s="245" t="e">
        <f ca="1">INDEX(INDIRECT(VLOOKUP(LEFT(BO54,7),CLU!$Z$3:$AH$18,7)),M54-1,2)</f>
        <v>#N/A</v>
      </c>
      <c r="DT54" s="245" t="e">
        <f ca="1">INDEX(INDIRECT(VLOOKUP(LEFT(BO54,7),CLU!$Z$3:$AH$18,7)),M54-1,3)</f>
        <v>#N/A</v>
      </c>
      <c r="DU54" s="245" t="e">
        <f ca="1">INDEX(INDIRECT(VLOOKUP(LEFT(BO54,7),CLU!$Z$3:$AH$18,7)),M54-1,4)</f>
        <v>#N/A</v>
      </c>
      <c r="DV54" s="361" t="e">
        <f ca="1">INDEX(INDIRECT(VLOOKUP(LEFT(BO54,7),CLU!$Z$3:$AH$18,7)),M54-1,4+LEFT(DZ54,1)*0.5)</f>
        <v>#N/A</v>
      </c>
      <c r="DW54" s="245" t="e">
        <f ca="1">INDEX(INDIRECT(VLOOKUP(LEFT(BO54,7),CLU!$Z$3:$AH$18,7)),M54-1,8)</f>
        <v>#N/A</v>
      </c>
      <c r="DX54" s="361" t="str">
        <f t="shared" si="39"/>
        <v xml:space="preserve"> </v>
      </c>
      <c r="DY54" s="361" t="str">
        <f t="shared" si="40"/>
        <v xml:space="preserve"> </v>
      </c>
      <c r="DZ54" s="361" t="str">
        <f t="shared" si="41"/>
        <v xml:space="preserve"> </v>
      </c>
      <c r="EA54" s="362" t="str">
        <f t="shared" si="42"/>
        <v xml:space="preserve"> </v>
      </c>
      <c r="EB54" s="624" t="str">
        <f t="shared" si="168"/>
        <v xml:space="preserve"> </v>
      </c>
      <c r="EC54" s="361" t="e">
        <f ca="1">INDEX(INDIRECT(VLOOKUP(LEFT(BO54,7),CLU!$Z$3:$AH$18,7)),M54-1,4+LEFT(DZ54,1)*0.5)</f>
        <v>#N/A</v>
      </c>
      <c r="ED54" s="362" t="str">
        <f t="shared" si="43"/>
        <v xml:space="preserve"> </v>
      </c>
      <c r="EE54" s="361" t="str">
        <f t="shared" si="44"/>
        <v xml:space="preserve"> </v>
      </c>
      <c r="EF54" s="362" t="str">
        <f>IF(L54&gt;0,IF(BR54&gt;0,IF(EE54="2P",IF(Calculation!DZ54="2P",IF(Calculation!DS54=13.75,IF(Calculation!DR54=13,Worksheet!$BD$43,IF(Calculation!DR54=37,Worksheet!$BD$44,Worksheet!$BD$45)),IF(Calculation!DS54=10,IF(Calculation!DR54=18,Worksheet!$BD$29,IF(Calculation!DR54=30,Worksheet!$BD$30,IF(Calculation!DR54=42,Worksheet!$BD$31,IF(Calculation!DR54=54,Worksheet!$BD$32,IF(Calculation!DR54=66,Worksheet!$BD$33,IF(Calculation!DR54=78,Worksheet!$BD$34,IF(Calculation!DR54=90,Worksheet!$BD$35,IF(Calculation!DR54=102,Worksheet!$BD$36,Worksheet!$BD$37)))))))),IF(Calculation!DS54=12.5,IF(Calculation!DR54=18,Worksheet!$BD$38,IF(Calculation!DR54=Worksheet!$BD$39,IF(Calculation!DR54=42,Worksheet!$BD$40,IF(Calculation!DR54=54,Worksheet!$BD$41,Worksheet!$BD$42)))),IF(Calculation!DR54=18,Worksheet!$BD$11,IF(Calculation!DR54=30,Worksheet!$BD$12,IF(Calculation!DR54=42,Worksheet!$BD$13,IF(Calculation!DR54=54,Worksheet!$BD$14,IF(Calculation!DR54=66,Worksheet!$BD$15,IF(Calculation!DR54=78,Worksheet!$BD$16,IF(Calculation!DR54=90,Worksheet!$BD$17,IF(Calculation!DR54=102,Worksheet!$BD$18,Worksheet!$BD$19))))))))))),IF(Calculation!DS54=13.75,IF(Calculation!DR54=13,Worksheet!$BD$78,IF(Calculation!DR54=37,Worksheet!$BD$79,Worksheet!$BD$80)),IF(Calculation!DS54=10,IF(Calculation!DR54=18,Worksheet!$BD$64,IF(Calculation!DR54=30,Worksheet!$BD$65,IF(Calculation!DR54=42,Worksheet!$BD$66,IF(Calculation!DR54=54,Worksheet!$BD$68,IF(Calculation!DR54=66,Worksheet!$BD$68,IF(Calculation!DR54=78,Worksheet!$BD$69,IF(Calculation!DR54=90,Worksheet!$BD$70,IF(Calculation!DR54=102,Worksheet!$BD$71,Worksheet!$BD$72)))))))),IF(Calculation!DS54=12.5,IF(Calculation!DR54=18,Worksheet!$BD$73,IF(Calculation!DR54=Worksheet!$BD$74,IF(Calculation!DR54=42,Worksheet!$BD$75,IF(Calculation!DR54=54,Worksheet!$BD$76,Worksheet!$BD$77)))),IF(Calculation!DR54=18,Worksheet!$BD$55,IF(Calculation!DR54=30,Worksheet!$BD$56,IF(Calculation!DR54=42,Worksheet!$BD$57,IF(Calculation!DR54=54,Worksheet!$BD$58,IF(Calculation!DR54=66,Worksheet!$BD$59,IF(Calculation!DR54=78,Worksheet!$BD$60,IF(Calculation!DR54=90,Worksheet!$BD$61,IF(Calculation!DR54=102,Worksheet!$BD$62,Worksheet!$BD$63)))))))))))),5),0)," ")</f>
        <v xml:space="preserve"> </v>
      </c>
      <c r="EG54" s="361" t="str">
        <f t="shared" si="45"/>
        <v xml:space="preserve"> </v>
      </c>
      <c r="EH54" s="361" t="e">
        <f ca="1">INDEX(INDIRECT(VLOOKUP(LEFT(BO54,7),CLU!$Z$3:$AH$18,7)),M54-1,3+LEFT(DZ54,1))</f>
        <v>#N/A</v>
      </c>
      <c r="EI54" s="362" t="str">
        <f t="shared" si="46"/>
        <v xml:space="preserve"> </v>
      </c>
      <c r="EJ54" s="363" t="str">
        <f t="shared" si="47"/>
        <v xml:space="preserve"> </v>
      </c>
      <c r="EK54" s="363" t="str">
        <f t="shared" si="48"/>
        <v xml:space="preserve"> </v>
      </c>
      <c r="EL54" s="363" t="str">
        <f t="shared" si="49"/>
        <v xml:space="preserve"> </v>
      </c>
      <c r="EM54" s="362" t="str">
        <f>IF(L54&gt;0,IF(BR54&gt;0,(Calculation!T54/ED54)^2,0)," ")</f>
        <v xml:space="preserve"> </v>
      </c>
      <c r="EN54" s="362" t="str">
        <f>IF(L54&gt;0,IF(O54="2 Pipe (Cooling)","N/A",IF(BR54&gt;0,(Calculation!U54/EI54)^2,0))," ")</f>
        <v xml:space="preserve"> </v>
      </c>
      <c r="EO54" s="361" t="str">
        <f t="shared" si="50"/>
        <v/>
      </c>
      <c r="EP54" s="361" t="str">
        <f t="shared" si="51"/>
        <v/>
      </c>
      <c r="EQ54" s="361" t="str">
        <f t="shared" si="52"/>
        <v/>
      </c>
      <c r="ER54" s="361" t="str">
        <f t="shared" si="53"/>
        <v/>
      </c>
      <c r="ES54" s="361" t="str">
        <f t="shared" si="54"/>
        <v/>
      </c>
      <c r="ET54" s="361" t="str">
        <f t="shared" si="55"/>
        <v/>
      </c>
      <c r="EU54" s="361" t="str">
        <f t="shared" si="56"/>
        <v/>
      </c>
      <c r="EV54" s="361" t="str">
        <f t="shared" si="57"/>
        <v/>
      </c>
      <c r="EW54" s="361" t="str">
        <f t="shared" si="58"/>
        <v/>
      </c>
      <c r="EX54" s="361" t="str">
        <f t="shared" si="169"/>
        <v>1 slot, 1 way</v>
      </c>
      <c r="EY54" s="361" t="str">
        <f t="shared" si="170"/>
        <v xml:space="preserve"> </v>
      </c>
      <c r="EZ54" s="361" t="str">
        <f t="shared" si="171"/>
        <v xml:space="preserve"> </v>
      </c>
      <c r="FA54" s="361" t="str">
        <f t="shared" si="172"/>
        <v xml:space="preserve"> </v>
      </c>
      <c r="FB54" s="361" t="str">
        <f t="shared" si="173"/>
        <v xml:space="preserve"> </v>
      </c>
      <c r="FC54" s="361"/>
      <c r="FD54" s="361" t="str">
        <f>IF(J54&gt;0,IF(Calculation!R54&lt;=70,4,IF(Calculation!R54&lt;=110,5,IF(Calculation!R54&lt;=160,6,IF(Calculation!R54&lt;=300,8,"10 EO")))),"")</f>
        <v/>
      </c>
      <c r="FE54" s="361" t="str">
        <f t="shared" si="174"/>
        <v/>
      </c>
      <c r="FF54" s="361" t="str">
        <f t="shared" si="175"/>
        <v/>
      </c>
      <c r="FG54" s="361" t="e">
        <f t="shared" si="60"/>
        <v>#N/A</v>
      </c>
      <c r="FH54" s="361">
        <f t="shared" si="61"/>
        <v>0</v>
      </c>
      <c r="FI54" s="361" t="e">
        <f t="shared" si="62"/>
        <v>#DIV/0!</v>
      </c>
      <c r="FJ54" s="361"/>
      <c r="FK54" s="356" t="e">
        <f t="shared" si="63"/>
        <v>#VALUE!</v>
      </c>
      <c r="FL54" s="361"/>
      <c r="FM54" s="361"/>
      <c r="FN54" s="362" t="str">
        <f t="shared" si="176"/>
        <v xml:space="preserve"> </v>
      </c>
      <c r="FO54" s="362" t="str">
        <f t="shared" si="177"/>
        <v xml:space="preserve"> </v>
      </c>
      <c r="FP54" s="362">
        <f t="shared" si="178"/>
        <v>0</v>
      </c>
      <c r="FQ54" s="361">
        <f t="shared" si="64"/>
        <v>0</v>
      </c>
      <c r="FR54" s="362" t="str">
        <f>IF(L54&gt;0,IF(J54="CBAL2",Worksheet!$P$67,IF(J54="CBE2-24",Worksheet!$Q$67,IF(J54="CBAM",Worksheet!$R$67,IF(J54="CBLV",Worksheet!$S$67,IF(J54="CBAB",Worksheet!$U$67,IF(J54="CBAW",Worksheet!$X$67,IF(J54="CBE2-12",Worksheet!$Y$67,IF(J54="CBAL2",Worksheet!$Z$67,"N/A"))))))))," ")</f>
        <v xml:space="preserve"> </v>
      </c>
      <c r="FS54" s="362" t="str">
        <f>IF(L54&gt;0,IF(J54="CBAL2",Worksheet!$P$68,IF(J54="CBE2-24",Worksheet!$Q$68,IF(J54="CBAM",Worksheet!$R$68,IF(J54="CBLV",Worksheet!$S$68,IF(J54="CBAB",Worksheet!$U$68,IF(J54="CBAW",Worksheet!$X$68,IF(J54="CBE2-12",Worksheet!$Y$68,IF(J54="CBAL2",Worksheet!$Z$68,"N/A"))))))))," ")</f>
        <v xml:space="preserve"> </v>
      </c>
      <c r="FT54" s="362" t="str">
        <f>IF(L54&gt;0,IF(J54="CBAL2",Worksheet!$P$69,IF(J54="CBE2-24",Worksheet!$Q$69,IF(J54="CBAM",Worksheet!$R$69,IF(J54="CBLV",Worksheet!$S$69,IF(J54="CBAB",Worksheet!$U$69,IF(J54="CBAW",Worksheet!$X$69,IF(J54="CBE2-12",Worksheet!$Y$69,IF(J54="CBAL2",Worksheet!$Z$69,"N/A"))))))))," ")</f>
        <v xml:space="preserve"> </v>
      </c>
      <c r="FU54" s="361" t="str">
        <f t="shared" si="179"/>
        <v xml:space="preserve"> </v>
      </c>
      <c r="FV54" s="362" t="str">
        <f t="shared" si="180"/>
        <v xml:space="preserve"> </v>
      </c>
      <c r="FW54" s="362" t="str">
        <f t="shared" si="181"/>
        <v xml:space="preserve"> </v>
      </c>
      <c r="FX54" s="362" t="str">
        <f t="shared" si="182"/>
        <v xml:space="preserve"> </v>
      </c>
      <c r="FY54" s="355" t="str">
        <f t="shared" si="183"/>
        <v xml:space="preserve"> </v>
      </c>
      <c r="FZ54" s="361" t="str">
        <f t="shared" si="184"/>
        <v xml:space="preserve"> </v>
      </c>
      <c r="GA54" s="347" t="str">
        <f t="shared" si="185"/>
        <v xml:space="preserve"> </v>
      </c>
      <c r="GB54" s="355" t="str">
        <f t="shared" si="186"/>
        <v xml:space="preserve"> </v>
      </c>
      <c r="GC54" s="328" t="str">
        <f t="shared" si="187"/>
        <v xml:space="preserve"> </v>
      </c>
      <c r="GD54" s="361" t="str">
        <f t="shared" si="188"/>
        <v xml:space="preserve"> </v>
      </c>
      <c r="GE54" s="347" t="str">
        <f t="shared" si="189"/>
        <v xml:space="preserve"> </v>
      </c>
      <c r="GF54" s="361" t="str">
        <f t="shared" si="190"/>
        <v xml:space="preserve"> </v>
      </c>
      <c r="GG54" s="347" t="str">
        <f t="shared" si="191"/>
        <v xml:space="preserve"> </v>
      </c>
      <c r="GH54" s="364">
        <f t="shared" si="78"/>
        <v>0</v>
      </c>
      <c r="GI54" s="362">
        <f t="shared" si="192"/>
        <v>2</v>
      </c>
      <c r="GJ54" s="433" t="e">
        <f>IF(6-COUNTBLANK(GT54:GY54)=4,MATCH(MID(BO54,9,3),CLU!$H$16:$K$16),MATCH(MID(BO54,9,3),CLU!$H$13:$M$13))</f>
        <v>#N/A</v>
      </c>
      <c r="GK54" s="433" t="e">
        <f>HLOOKUP(VALUE(BP54),CLU!$H$9:$M$10,2)</f>
        <v>#VALUE!</v>
      </c>
      <c r="GL54" s="433" t="e">
        <f ca="1">MATCH(BU54,CLU!$H$2:$V$2,1)</f>
        <v>#VALUE!</v>
      </c>
      <c r="GM54" s="433" t="e">
        <f t="shared" ca="1" si="193"/>
        <v>#VALUE!</v>
      </c>
      <c r="GN54" s="433" t="e">
        <f t="shared" ca="1" si="194"/>
        <v>#VALUE!</v>
      </c>
      <c r="GO54" s="433" t="e">
        <f t="shared" ca="1" si="195"/>
        <v>#VALUE!</v>
      </c>
      <c r="GP54" s="433" t="e">
        <f t="shared" ca="1" si="196"/>
        <v>#VALUE!</v>
      </c>
      <c r="GQ54" s="433" t="e">
        <f t="shared" ca="1" si="197"/>
        <v>#VALUE!</v>
      </c>
      <c r="GR54" s="433" t="e">
        <f ca="1">MATCH(T54,INDIRECT(VLOOKUP(CONCATENATE(LEFT(BO54,7),"-",MID(BO54,13,1)),CLU!$P$3:$Q$16,2)),1)</f>
        <v>#N/A</v>
      </c>
      <c r="GS54" s="433" t="e">
        <f ca="1">MATCH(U54,INDIRECT(VLOOKUP(CONCATENATE(LEFT(BO54,7),"-",MID(BO54,13,1)),CLU!$P$3:$Q$16,2)),1)</f>
        <v>#N/A</v>
      </c>
      <c r="GT54" s="347" t="s">
        <v>512</v>
      </c>
      <c r="GU54" s="97" t="s">
        <v>513</v>
      </c>
      <c r="GV54" s="97" t="str">
        <f t="shared" si="198"/>
        <v>M23</v>
      </c>
      <c r="GW54" s="97" t="str">
        <f t="shared" si="199"/>
        <v>M31</v>
      </c>
      <c r="GX54" s="97" t="str">
        <f t="shared" si="200"/>
        <v/>
      </c>
      <c r="GY54" s="97" t="str">
        <f t="shared" si="201"/>
        <v/>
      </c>
      <c r="GZ54" s="481"/>
      <c r="HA54" s="288"/>
      <c r="HB54" s="240"/>
      <c r="HC54" s="240"/>
      <c r="HD54" s="240"/>
      <c r="HE54" s="240"/>
      <c r="HF54" s="240"/>
      <c r="HG54" s="240"/>
      <c r="HH54" s="240"/>
      <c r="HI54" s="240"/>
      <c r="HJ54" s="240"/>
      <c r="HK54" s="240"/>
      <c r="HL54" s="240"/>
      <c r="HM54" s="240"/>
      <c r="HN54" s="240"/>
      <c r="HO54" s="240"/>
      <c r="HP54" s="240"/>
      <c r="HQ54" s="240"/>
      <c r="HR54" s="240"/>
      <c r="HS54" s="240"/>
      <c r="HT54" s="240"/>
      <c r="HU54" s="240"/>
      <c r="HV54" s="245"/>
      <c r="HW54" s="245" t="b">
        <v>1</v>
      </c>
      <c r="HX54" s="245" t="str">
        <f t="shared" si="79"/>
        <v/>
      </c>
      <c r="HY54" s="245" t="e">
        <f t="shared" si="80"/>
        <v>#DIV/0!</v>
      </c>
      <c r="HZ54" s="245" t="e">
        <f t="shared" si="81"/>
        <v>#DIV/0!</v>
      </c>
      <c r="IA54" s="245">
        <f t="shared" si="82"/>
        <v>0</v>
      </c>
      <c r="IB54" s="245"/>
      <c r="IC54" t="b">
        <f t="shared" si="83"/>
        <v>1</v>
      </c>
      <c r="ID54" s="245" t="b">
        <f t="shared" si="84"/>
        <v>1</v>
      </c>
      <c r="IE54" s="245" t="b">
        <f t="shared" si="85"/>
        <v>1</v>
      </c>
      <c r="IF54" s="245" t="b">
        <f t="shared" si="86"/>
        <v>0</v>
      </c>
      <c r="IG54" s="245" t="b">
        <f t="shared" si="87"/>
        <v>1</v>
      </c>
      <c r="IH54" s="245" t="b">
        <f t="shared" si="88"/>
        <v>1</v>
      </c>
      <c r="II54" s="245">
        <f t="shared" si="202"/>
        <v>0</v>
      </c>
      <c r="IJ54" s="245" t="e">
        <f t="shared" si="89"/>
        <v>#VALUE!</v>
      </c>
      <c r="IK54" s="245" t="e">
        <f t="shared" si="90"/>
        <v>#VALUE!</v>
      </c>
      <c r="IL54" s="245"/>
      <c r="IM54" s="245" t="e">
        <f t="shared" si="203"/>
        <v>#N/A</v>
      </c>
      <c r="IN54" s="245" t="e">
        <f t="shared" si="204"/>
        <v>#N/A</v>
      </c>
      <c r="IO54" s="245"/>
      <c r="IP54" s="245"/>
      <c r="IQ54" s="245" t="str">
        <f t="shared" si="91"/>
        <v/>
      </c>
      <c r="IR54" s="245" t="str">
        <f>IF(J54="","",VLOOKUP(J54,Worksheet!$R$4:$T$14,2))</f>
        <v/>
      </c>
      <c r="IS54" s="245"/>
      <c r="IT54" s="245">
        <f t="shared" si="92"/>
        <v>0</v>
      </c>
      <c r="IU54" s="245">
        <f t="shared" si="93"/>
        <v>0</v>
      </c>
      <c r="IV54" s="245">
        <f t="shared" si="94"/>
        <v>0</v>
      </c>
      <c r="IW54" s="245">
        <f t="shared" si="95"/>
        <v>0</v>
      </c>
      <c r="IX54" s="245">
        <f t="shared" si="205"/>
        <v>0</v>
      </c>
      <c r="IY54" s="245">
        <f t="shared" si="96"/>
        <v>0</v>
      </c>
      <c r="IZ54" s="245">
        <f t="shared" si="97"/>
        <v>0</v>
      </c>
      <c r="JA54">
        <f t="shared" si="98"/>
        <v>0</v>
      </c>
      <c r="JB54">
        <f t="shared" si="206"/>
        <v>0</v>
      </c>
      <c r="JC54">
        <f t="shared" si="99"/>
        <v>0</v>
      </c>
      <c r="JD54">
        <f t="shared" si="100"/>
        <v>0</v>
      </c>
      <c r="JE54">
        <f t="shared" si="101"/>
        <v>0</v>
      </c>
      <c r="JF54">
        <f t="shared" si="102"/>
        <v>0</v>
      </c>
      <c r="JG54">
        <f t="shared" si="103"/>
        <v>0</v>
      </c>
      <c r="JH54">
        <f t="shared" si="104"/>
        <v>0</v>
      </c>
      <c r="JI54">
        <f t="shared" si="105"/>
        <v>0</v>
      </c>
      <c r="JJ54" s="447">
        <f t="shared" si="106"/>
        <v>0</v>
      </c>
      <c r="JK54" s="447">
        <f t="shared" si="107"/>
        <v>0</v>
      </c>
      <c r="JL54">
        <f t="shared" si="108"/>
        <v>0</v>
      </c>
      <c r="JM54" s="245" t="str">
        <f>IFERROR(VLOOKUP(MATCH(BN54,#REF!,0),#REF!,7),"")</f>
        <v/>
      </c>
      <c r="JN54" t="e">
        <f>HLOOKUP(LEFT(BO54,7),Discharge_Area,MATCH(JO54,LookUps!$B$130:$B$149,1)+2)</f>
        <v>#N/A</v>
      </c>
      <c r="JO54" t="str">
        <f t="shared" si="109"/>
        <v>- S</v>
      </c>
      <c r="JP54" t="e">
        <f>HLOOKUP(LEFT(BO54,7),Discharge_Area,MATCH(JO54,LookUps!$B$130:$B$149,1)+2)</f>
        <v>#N/A</v>
      </c>
      <c r="JQ54" t="e">
        <f t="shared" si="110"/>
        <v>#N/A</v>
      </c>
      <c r="JR54" t="e">
        <f t="shared" si="111"/>
        <v>#N/A</v>
      </c>
      <c r="JS54" t="e">
        <f t="shared" si="112"/>
        <v>#N/A</v>
      </c>
      <c r="JT54" s="532" t="str">
        <f t="shared" si="113"/>
        <v xml:space="preserve"> </v>
      </c>
      <c r="JU54" s="532" t="str">
        <f t="shared" si="114"/>
        <v xml:space="preserve"> </v>
      </c>
      <c r="JV54" s="533" t="str">
        <f t="shared" si="115"/>
        <v xml:space="preserve"> </v>
      </c>
      <c r="JW54" s="534">
        <f t="shared" si="116"/>
        <v>0</v>
      </c>
      <c r="JX54" s="535" t="str">
        <f t="shared" si="207"/>
        <v xml:space="preserve"> </v>
      </c>
      <c r="JY54" s="535" t="str">
        <f t="shared" si="208"/>
        <v xml:space="preserve"> </v>
      </c>
      <c r="JZ54" s="535" t="str">
        <f t="shared" si="209"/>
        <v xml:space="preserve"> </v>
      </c>
      <c r="KA54" s="536" t="str">
        <f t="shared" si="117"/>
        <v xml:space="preserve"> </v>
      </c>
      <c r="KB54" s="535" t="e">
        <f t="shared" si="210"/>
        <v>#VALUE!</v>
      </c>
      <c r="KC54" s="535" t="str">
        <f t="shared" si="118"/>
        <v/>
      </c>
      <c r="KD54" s="537" t="str">
        <f t="shared" si="211"/>
        <v xml:space="preserve"> </v>
      </c>
      <c r="KE54" s="537" t="str">
        <f t="shared" si="212"/>
        <v xml:space="preserve"> </v>
      </c>
      <c r="KF54" s="534">
        <f t="shared" si="119"/>
        <v>0</v>
      </c>
      <c r="KG54" s="535" t="str">
        <f t="shared" si="120"/>
        <v xml:space="preserve"> </v>
      </c>
      <c r="KH54" s="535" t="str">
        <f t="shared" si="121"/>
        <v xml:space="preserve"> </v>
      </c>
      <c r="KI54" s="535" t="str">
        <f t="shared" si="122"/>
        <v xml:space="preserve"> </v>
      </c>
      <c r="KJ54" s="536" t="str">
        <f t="shared" si="123"/>
        <v xml:space="preserve"> </v>
      </c>
      <c r="KK54" s="535" t="str">
        <f t="shared" si="213"/>
        <v xml:space="preserve"> </v>
      </c>
      <c r="KL54" s="535" t="str">
        <f t="shared" si="214"/>
        <v xml:space="preserve"> </v>
      </c>
      <c r="KM54" s="537" t="str">
        <f t="shared" si="124"/>
        <v xml:space="preserve"> </v>
      </c>
      <c r="KN54" s="537" t="str">
        <f t="shared" si="215"/>
        <v xml:space="preserve"> </v>
      </c>
      <c r="KP54">
        <f t="shared" si="125"/>
        <v>0</v>
      </c>
      <c r="LA54" t="e">
        <f t="shared" si="126"/>
        <v>#VALUE!</v>
      </c>
      <c r="LB54" t="e">
        <f t="shared" si="127"/>
        <v>#VALUE!</v>
      </c>
      <c r="LC54" t="e">
        <f t="shared" si="128"/>
        <v>#VALUE!</v>
      </c>
      <c r="LD54" t="e">
        <f t="shared" si="129"/>
        <v>#VALUE!</v>
      </c>
      <c r="LE54" t="e">
        <f t="shared" si="216"/>
        <v>#VALUE!</v>
      </c>
      <c r="LF54">
        <f t="shared" si="130"/>
        <v>0</v>
      </c>
      <c r="LG54" t="e">
        <f t="shared" si="217"/>
        <v>#VALUE!</v>
      </c>
      <c r="LH54" t="str">
        <f t="shared" si="131"/>
        <v xml:space="preserve"> </v>
      </c>
      <c r="LI54">
        <f t="shared" si="218"/>
        <v>1</v>
      </c>
    </row>
    <row r="55" spans="2:321" ht="15" customHeight="1">
      <c r="B55" s="311"/>
      <c r="C55" s="311"/>
      <c r="D55" s="312"/>
      <c r="E55" s="311"/>
      <c r="F55" s="312"/>
      <c r="G55" s="311"/>
      <c r="H55" s="311"/>
      <c r="I55" s="37"/>
      <c r="J55" s="311"/>
      <c r="K55" s="305" t="str">
        <f t="shared" si="132"/>
        <v/>
      </c>
      <c r="L55" s="313"/>
      <c r="M55" s="312"/>
      <c r="N55" s="311"/>
      <c r="O55" s="312"/>
      <c r="P55" s="311"/>
      <c r="Q55" s="305" t="str">
        <f t="shared" si="133"/>
        <v/>
      </c>
      <c r="R55" s="314"/>
      <c r="S55" s="450" t="str">
        <f t="shared" si="0"/>
        <v/>
      </c>
      <c r="T55" s="315"/>
      <c r="U55" s="315"/>
      <c r="W55" s="149" t="str">
        <f t="shared" si="1"/>
        <v xml:space="preserve"> </v>
      </c>
      <c r="X55" s="243" t="str">
        <f t="shared" si="2"/>
        <v xml:space="preserve"> </v>
      </c>
      <c r="Y55" s="150" t="str">
        <f t="shared" si="3"/>
        <v/>
      </c>
      <c r="Z55" s="149" t="str">
        <f t="shared" si="4"/>
        <v xml:space="preserve"> </v>
      </c>
      <c r="AA55" s="98" t="str">
        <f t="shared" si="5"/>
        <v xml:space="preserve"> </v>
      </c>
      <c r="AB55" s="153" t="str">
        <f t="shared" si="6"/>
        <v xml:space="preserve"> </v>
      </c>
      <c r="AC55" s="153" t="str">
        <f t="shared" si="7"/>
        <v xml:space="preserve"> </v>
      </c>
      <c r="AD55" s="148" t="str">
        <f t="shared" si="8"/>
        <v/>
      </c>
      <c r="AE55" s="149" t="str">
        <f t="shared" si="9"/>
        <v/>
      </c>
      <c r="AF55" s="151" t="str">
        <f t="shared" si="10"/>
        <v xml:space="preserve"> </v>
      </c>
      <c r="AG55" s="153" t="str">
        <f t="shared" si="11"/>
        <v xml:space="preserve"> </v>
      </c>
      <c r="AH55" s="98" t="str">
        <f t="shared" si="12"/>
        <v xml:space="preserve"> </v>
      </c>
      <c r="AI55" s="149" t="str">
        <f t="shared" si="13"/>
        <v xml:space="preserve"> </v>
      </c>
      <c r="AK55" s="144" t="str">
        <f t="shared" si="14"/>
        <v xml:space="preserve"> </v>
      </c>
      <c r="AL55" s="144"/>
      <c r="AM55" s="243" t="str">
        <f t="shared" si="15"/>
        <v xml:space="preserve"> </v>
      </c>
      <c r="AN55" s="149" t="str">
        <f t="shared" si="134"/>
        <v xml:space="preserve"> </v>
      </c>
      <c r="AO55" s="144" t="str">
        <f>IF(JB55&gt;0,IF(GI55=10,-R55*1.085*(Calculation!$F$6-Calculation!$F$13)*$S$14," "),"")</f>
        <v/>
      </c>
      <c r="AP55" s="144" t="str">
        <f t="shared" si="16"/>
        <v/>
      </c>
      <c r="AQ55" s="56" t="str">
        <f t="shared" si="17"/>
        <v/>
      </c>
      <c r="AR55" s="144" t="str">
        <f t="shared" si="18"/>
        <v/>
      </c>
      <c r="AS55" s="176" t="str">
        <f t="shared" si="19"/>
        <v/>
      </c>
      <c r="AT55" s="176" t="str">
        <f t="shared" si="135"/>
        <v xml:space="preserve"> </v>
      </c>
      <c r="AU55" s="176" t="str">
        <f t="shared" si="20"/>
        <v/>
      </c>
      <c r="AV55" s="177" t="str">
        <f t="shared" si="21"/>
        <v xml:space="preserve"> </v>
      </c>
      <c r="AW55" s="144" t="str">
        <f t="shared" si="22"/>
        <v xml:space="preserve"> </v>
      </c>
      <c r="AX55" s="144" t="str">
        <f t="shared" si="23"/>
        <v xml:space="preserve"> </v>
      </c>
      <c r="AY55" s="152" t="str">
        <f t="shared" si="24"/>
        <v xml:space="preserve"> </v>
      </c>
      <c r="AZ55" s="246" t="str">
        <f t="shared" si="25"/>
        <v/>
      </c>
      <c r="BA55" s="176" t="str">
        <f t="shared" si="26"/>
        <v xml:space="preserve"> </v>
      </c>
      <c r="BB55" s="176" t="str">
        <f t="shared" si="27"/>
        <v xml:space="preserve"> </v>
      </c>
      <c r="BC55" s="195"/>
      <c r="BD55" s="316"/>
      <c r="BE55" s="317"/>
      <c r="BF55" s="318"/>
      <c r="BG55" s="318"/>
      <c r="BH55" s="144" t="str">
        <f t="shared" si="219"/>
        <v xml:space="preserve"> </v>
      </c>
      <c r="BI55" s="176" t="str">
        <f t="shared" si="28"/>
        <v/>
      </c>
      <c r="BJ55" s="144" t="str">
        <f t="shared" si="220"/>
        <v/>
      </c>
      <c r="BK55" s="246" t="str">
        <f t="shared" si="29"/>
        <v/>
      </c>
      <c r="BL55" s="144" t="str">
        <f t="shared" si="221"/>
        <v/>
      </c>
      <c r="BM55" s="246" t="str">
        <f t="shared" si="30"/>
        <v/>
      </c>
      <c r="BN55" s="337" t="str">
        <f t="shared" si="136"/>
        <v/>
      </c>
      <c r="BO55" s="371" t="str">
        <f t="shared" si="137"/>
        <v/>
      </c>
      <c r="BP55" s="328" t="str">
        <f t="shared" si="222"/>
        <v xml:space="preserve"> </v>
      </c>
      <c r="BQ55" s="347" t="str">
        <f t="shared" si="138"/>
        <v xml:space="preserve"> </v>
      </c>
      <c r="BR55" s="353" t="str">
        <f t="shared" si="223"/>
        <v xml:space="preserve"> </v>
      </c>
      <c r="BS55" s="626" t="str">
        <f>IF(L55&gt;0,IF(Calculation!P55="M13",BR55*3.1416*(0.134^2)/(4*144),IF(Calculation!P55="M17",BR55*3.1416*(0.165^2)/(4*144),IF(Calculation!P55="M20",BR55*3.1416*(0.198^2)/(4*144),IF(Calculation!P55="M23",BR55*3.1416*(0.228^2)/(4*144),IF(Calculation!P55="M27",BR55*3.1416*(0.269^2)/(4*144),BR55*3.1416*(0.307^2)/(4*144))))))," ")</f>
        <v xml:space="preserve"> </v>
      </c>
      <c r="BT55" s="353" t="str">
        <f>IF(L55&gt;0,IF(BS55&gt;0,R55/Calculation!BS55,0)," ")</f>
        <v xml:space="preserve"> </v>
      </c>
      <c r="BU55" s="438" t="e">
        <f t="shared" ca="1" si="31"/>
        <v>#VALUE!</v>
      </c>
      <c r="BV55" s="449" t="e">
        <f ca="1">INDEX(INDIRECT(VLOOKUP(LEFT(BO55,7),CLU!$Z$3:$AH$18,2)),GN55,GR55)</f>
        <v>#N/A</v>
      </c>
      <c r="BW55" s="433" t="e">
        <f ca="1">INDEX(INDIRECT(VLOOKUP(LEFT(BO55,7),CLU!$Z$3:$AH$18,3)),GN55,GR55)</f>
        <v>#N/A</v>
      </c>
      <c r="BX55" s="433" t="e">
        <f ca="1">INDEX(INDIRECT(VLOOKUP(LEFT(BO55,7),CLU!$Z$3:$AH$18,4)),GN55,GR55)</f>
        <v>#N/A</v>
      </c>
      <c r="BY55" s="433" t="e">
        <f ca="1">INDEX(INDIRECT(VLOOKUP(LEFT(BO55,7),CLU!$Z$3:$AH$18,9)),((M55-2)*(6-COUNTBLANK(GT55:GY55)))+GJ55)</f>
        <v>#N/A</v>
      </c>
      <c r="BZ55" s="426" t="e">
        <f t="shared" ca="1" si="139"/>
        <v>#N/A</v>
      </c>
      <c r="CA55" s="424" t="e">
        <f t="shared" ca="1" si="140"/>
        <v>#N/A</v>
      </c>
      <c r="CB55" s="429" t="e">
        <f ca="1">INDEX(INDIRECT(VLOOKUP(LEFT(BO55,7),CLU!$Z$3:$AH$18,2)),GN55,GS55)</f>
        <v>#N/A</v>
      </c>
      <c r="CC55" s="342" t="e">
        <f ca="1">INDEX(INDIRECT(VLOOKUP(LEFT(BO55,7),CLU!$Z$3:$AH$18,3)),GN55,GS55)</f>
        <v>#N/A</v>
      </c>
      <c r="CD55" s="342" t="e">
        <f ca="1">INDEX(INDIRECT(VLOOKUP(LEFT(BO55,7),CLU!$Z$3:$AH$18,4)),GN55,GS55)</f>
        <v>#N/A</v>
      </c>
      <c r="CE55" s="426" t="e">
        <f t="shared" ca="1" si="141"/>
        <v>#N/A</v>
      </c>
      <c r="CF55" s="440">
        <f t="shared" si="142"/>
        <v>0</v>
      </c>
      <c r="CG55" s="431" t="e">
        <f ca="1">INDEX(INDIRECT(VLOOKUP(LEFT(BO55,7),CLU!$Z$3:$AH$18,2)),GQ55,GR55)</f>
        <v>#N/A</v>
      </c>
      <c r="CH55" s="431" t="e">
        <f ca="1">INDEX(INDIRECT(VLOOKUP(LEFT(BO55,7),CLU!$Z$3:$AH$18,3)),GQ55,GR55)</f>
        <v>#N/A</v>
      </c>
      <c r="CI55" s="431" t="e">
        <f ca="1">INDEX(INDIRECT(VLOOKUP(LEFT(BO55,7),CLU!$Z$3:$AH$18,4)),GQ55,GR55)</f>
        <v>#N/A</v>
      </c>
      <c r="CJ55" s="448" t="e">
        <f t="shared" ca="1" si="143"/>
        <v>#N/A</v>
      </c>
      <c r="CK55" s="431" t="e">
        <f t="shared" ca="1" si="144"/>
        <v>#N/A</v>
      </c>
      <c r="CL55" s="440" t="e">
        <f t="shared" ca="1" si="145"/>
        <v>#N/A</v>
      </c>
      <c r="CM55" s="431" t="e">
        <f ca="1">INDEX(INDIRECT(VLOOKUP(LEFT(BO55,7),CLU!$Z$3:$AH$18,2)),GQ55,GS55)</f>
        <v>#N/A</v>
      </c>
      <c r="CN55" s="431" t="e">
        <f ca="1">INDEX(INDIRECT(VLOOKUP(LEFT(BO55,7),CLU!$Z$3:$AH$18,3)),GQ55,GS55)</f>
        <v>#N/A</v>
      </c>
      <c r="CO55" s="431" t="e">
        <f ca="1">INDEX(INDIRECT(VLOOKUP(LEFT(BO55,7),CLU!$Z$3:$AH$18,4)),GQ55,GS55)</f>
        <v>#N/A</v>
      </c>
      <c r="CP55" s="431" t="e">
        <f t="shared" ca="1" si="146"/>
        <v>#N/A</v>
      </c>
      <c r="CQ55" s="440">
        <f t="shared" si="147"/>
        <v>0</v>
      </c>
      <c r="CR55" s="51" t="e">
        <f t="shared" ca="1" si="148"/>
        <v>#N/A</v>
      </c>
      <c r="CS55" s="439" t="e">
        <f t="shared" ca="1" si="149"/>
        <v>#VALUE!</v>
      </c>
      <c r="CT55" s="51" t="e">
        <f t="shared" ca="1" si="150"/>
        <v>#VALUE!</v>
      </c>
      <c r="CU55" s="10"/>
      <c r="CV55" s="51" t="e">
        <f t="shared" ca="1" si="34"/>
        <v>#VALUE!</v>
      </c>
      <c r="CW55" s="51">
        <f t="shared" si="151"/>
        <v>0</v>
      </c>
      <c r="CX55" s="439" t="e">
        <f t="shared" ca="1" si="152"/>
        <v>#VALUE!</v>
      </c>
      <c r="CY55" s="51" t="e">
        <f t="shared" ca="1" si="153"/>
        <v>#VALUE!</v>
      </c>
      <c r="CZ55" s="10"/>
      <c r="DA55" s="51" t="e">
        <f t="shared" ca="1" si="154"/>
        <v>#VALUE!</v>
      </c>
      <c r="DB55" s="347" t="e">
        <f ca="1">INDEX(INDIRECT(VLOOKUP(LEFT(BO55,7),CLU!$Z$3:$AI$18,10)),((M55-2)*(6-COUNTBLANK(GT55:GY55)))+GJ55)*LI55</f>
        <v>#N/A</v>
      </c>
      <c r="DC55" s="347" t="str">
        <f>IF(L55&gt;0,((R55/Worksheet!$I$15)/DB55)^2," ")</f>
        <v xml:space="preserve"> </v>
      </c>
      <c r="DD55" s="602" t="str">
        <f t="shared" si="224"/>
        <v xml:space="preserve"> </v>
      </c>
      <c r="DE55" s="347" t="str">
        <f t="shared" si="35"/>
        <v xml:space="preserve"> </v>
      </c>
      <c r="DF55" s="356" t="e">
        <f ca="1">INDEX(INDIRECT(VLOOKUP(LEFT(BO55,7),CLU!$Z$3:$AH$18,8)),((M55-2)*(6-COUNTBLANK(GT55:GY55)))+GJ55)</f>
        <v>#N/A</v>
      </c>
      <c r="DG55" s="347" t="str">
        <f t="shared" si="36"/>
        <v xml:space="preserve"> </v>
      </c>
      <c r="DH55" s="357" t="str">
        <f t="shared" si="37"/>
        <v xml:space="preserve"> </v>
      </c>
      <c r="DI55" s="355" t="str">
        <f t="shared" si="38"/>
        <v xml:space="preserve"> </v>
      </c>
      <c r="DJ55" s="245" t="e">
        <f ca="1">INDEX(INDIRECT(VLOOKUP(LEFT(BO55,7),CLU!$Z$3:$AH$18,5)),GL55,GK55)</f>
        <v>#N/A</v>
      </c>
      <c r="DK55" s="245" t="e">
        <f ca="1">INDEX(INDIRECT(VLOOKUP(LEFT(BO55,7),CLU!$Z$3:$AH$18,6)),GL55,GK55)</f>
        <v>#N/A</v>
      </c>
      <c r="DL55" s="355">
        <f>(Calculation!R55*0.69143*(Calculation!$BQ$8-Calculation!$F$8))*$S$14</f>
        <v>0</v>
      </c>
      <c r="DM55" s="359" t="e">
        <f t="shared" si="160"/>
        <v>#VALUE!</v>
      </c>
      <c r="DN55" s="611">
        <f t="shared" si="161"/>
        <v>0</v>
      </c>
      <c r="DO55" s="359">
        <f t="shared" si="162"/>
        <v>100</v>
      </c>
      <c r="DP55" s="359">
        <f t="shared" si="163"/>
        <v>0</v>
      </c>
      <c r="DQ55" s="360"/>
      <c r="DR55" s="245" t="e">
        <f ca="1">INDEX(INDIRECT(VLOOKUP(LEFT(BO55,7),CLU!$Z$3:$AH$18,7)),M55-1,1)</f>
        <v>#N/A</v>
      </c>
      <c r="DS55" s="245" t="e">
        <f ca="1">INDEX(INDIRECT(VLOOKUP(LEFT(BO55,7),CLU!$Z$3:$AH$18,7)),M55-1,2)</f>
        <v>#N/A</v>
      </c>
      <c r="DT55" s="245" t="e">
        <f ca="1">INDEX(INDIRECT(VLOOKUP(LEFT(BO55,7),CLU!$Z$3:$AH$18,7)),M55-1,3)</f>
        <v>#N/A</v>
      </c>
      <c r="DU55" s="245" t="e">
        <f ca="1">INDEX(INDIRECT(VLOOKUP(LEFT(BO55,7),CLU!$Z$3:$AH$18,7)),M55-1,4)</f>
        <v>#N/A</v>
      </c>
      <c r="DV55" s="361" t="e">
        <f ca="1">INDEX(INDIRECT(VLOOKUP(LEFT(BO55,7),CLU!$Z$3:$AH$18,7)),M55-1,4+LEFT(DZ55,1)*0.5)</f>
        <v>#N/A</v>
      </c>
      <c r="DW55" s="245" t="e">
        <f ca="1">INDEX(INDIRECT(VLOOKUP(LEFT(BO55,7),CLU!$Z$3:$AH$18,7)),M55-1,8)</f>
        <v>#N/A</v>
      </c>
      <c r="DX55" s="361" t="str">
        <f t="shared" si="39"/>
        <v xml:space="preserve"> </v>
      </c>
      <c r="DY55" s="361" t="str">
        <f t="shared" si="40"/>
        <v xml:space="preserve"> </v>
      </c>
      <c r="DZ55" s="361" t="str">
        <f t="shared" si="41"/>
        <v xml:space="preserve"> </v>
      </c>
      <c r="EA55" s="362" t="str">
        <f t="shared" si="42"/>
        <v xml:space="preserve"> </v>
      </c>
      <c r="EB55" s="624" t="str">
        <f t="shared" si="168"/>
        <v xml:space="preserve"> </v>
      </c>
      <c r="EC55" s="361" t="e">
        <f ca="1">INDEX(INDIRECT(VLOOKUP(LEFT(BO55,7),CLU!$Z$3:$AH$18,7)),M55-1,4+LEFT(DZ55,1)*0.5)</f>
        <v>#N/A</v>
      </c>
      <c r="ED55" s="362" t="str">
        <f t="shared" si="43"/>
        <v xml:space="preserve"> </v>
      </c>
      <c r="EE55" s="361" t="str">
        <f t="shared" si="44"/>
        <v xml:space="preserve"> </v>
      </c>
      <c r="EF55" s="362" t="str">
        <f>IF(L55&gt;0,IF(BR55&gt;0,IF(EE55="2P",IF(Calculation!DZ55="2P",IF(Calculation!DS55=13.75,IF(Calculation!DR55=13,Worksheet!$BD$43,IF(Calculation!DR55=37,Worksheet!$BD$44,Worksheet!$BD$45)),IF(Calculation!DS55=10,IF(Calculation!DR55=18,Worksheet!$BD$29,IF(Calculation!DR55=30,Worksheet!$BD$30,IF(Calculation!DR55=42,Worksheet!$BD$31,IF(Calculation!DR55=54,Worksheet!$BD$32,IF(Calculation!DR55=66,Worksheet!$BD$33,IF(Calculation!DR55=78,Worksheet!$BD$34,IF(Calculation!DR55=90,Worksheet!$BD$35,IF(Calculation!DR55=102,Worksheet!$BD$36,Worksheet!$BD$37)))))))),IF(Calculation!DS55=12.5,IF(Calculation!DR55=18,Worksheet!$BD$38,IF(Calculation!DR55=Worksheet!$BD$39,IF(Calculation!DR55=42,Worksheet!$BD$40,IF(Calculation!DR55=54,Worksheet!$BD$41,Worksheet!$BD$42)))),IF(Calculation!DR55=18,Worksheet!$BD$11,IF(Calculation!DR55=30,Worksheet!$BD$12,IF(Calculation!DR55=42,Worksheet!$BD$13,IF(Calculation!DR55=54,Worksheet!$BD$14,IF(Calculation!DR55=66,Worksheet!$BD$15,IF(Calculation!DR55=78,Worksheet!$BD$16,IF(Calculation!DR55=90,Worksheet!$BD$17,IF(Calculation!DR55=102,Worksheet!$BD$18,Worksheet!$BD$19))))))))))),IF(Calculation!DS55=13.75,IF(Calculation!DR55=13,Worksheet!$BD$78,IF(Calculation!DR55=37,Worksheet!$BD$79,Worksheet!$BD$80)),IF(Calculation!DS55=10,IF(Calculation!DR55=18,Worksheet!$BD$64,IF(Calculation!DR55=30,Worksheet!$BD$65,IF(Calculation!DR55=42,Worksheet!$BD$66,IF(Calculation!DR55=54,Worksheet!$BD$68,IF(Calculation!DR55=66,Worksheet!$BD$68,IF(Calculation!DR55=78,Worksheet!$BD$69,IF(Calculation!DR55=90,Worksheet!$BD$70,IF(Calculation!DR55=102,Worksheet!$BD$71,Worksheet!$BD$72)))))))),IF(Calculation!DS55=12.5,IF(Calculation!DR55=18,Worksheet!$BD$73,IF(Calculation!DR55=Worksheet!$BD$74,IF(Calculation!DR55=42,Worksheet!$BD$75,IF(Calculation!DR55=54,Worksheet!$BD$76,Worksheet!$BD$77)))),IF(Calculation!DR55=18,Worksheet!$BD$55,IF(Calculation!DR55=30,Worksheet!$BD$56,IF(Calculation!DR55=42,Worksheet!$BD$57,IF(Calculation!DR55=54,Worksheet!$BD$58,IF(Calculation!DR55=66,Worksheet!$BD$59,IF(Calculation!DR55=78,Worksheet!$BD$60,IF(Calculation!DR55=90,Worksheet!$BD$61,IF(Calculation!DR55=102,Worksheet!$BD$62,Worksheet!$BD$63)))))))))))),5),0)," ")</f>
        <v xml:space="preserve"> </v>
      </c>
      <c r="EG55" s="361" t="str">
        <f t="shared" si="45"/>
        <v xml:space="preserve"> </v>
      </c>
      <c r="EH55" s="361" t="e">
        <f ca="1">INDEX(INDIRECT(VLOOKUP(LEFT(BO55,7),CLU!$Z$3:$AH$18,7)),M55-1,3+LEFT(DZ55,1))</f>
        <v>#N/A</v>
      </c>
      <c r="EI55" s="362" t="str">
        <f t="shared" si="46"/>
        <v xml:space="preserve"> </v>
      </c>
      <c r="EJ55" s="363" t="str">
        <f t="shared" si="47"/>
        <v xml:space="preserve"> </v>
      </c>
      <c r="EK55" s="363" t="str">
        <f t="shared" si="48"/>
        <v xml:space="preserve"> </v>
      </c>
      <c r="EL55" s="363" t="str">
        <f t="shared" si="49"/>
        <v xml:space="preserve"> </v>
      </c>
      <c r="EM55" s="362" t="str">
        <f>IF(L55&gt;0,IF(BR55&gt;0,(Calculation!T55/ED55)^2,0)," ")</f>
        <v xml:space="preserve"> </v>
      </c>
      <c r="EN55" s="362" t="str">
        <f>IF(L55&gt;0,IF(O55="2 Pipe (Cooling)","N/A",IF(BR55&gt;0,(Calculation!U55/EI55)^2,0))," ")</f>
        <v xml:space="preserve"> </v>
      </c>
      <c r="EO55" s="361" t="str">
        <f t="shared" si="50"/>
        <v/>
      </c>
      <c r="EP55" s="361" t="str">
        <f t="shared" si="51"/>
        <v/>
      </c>
      <c r="EQ55" s="361" t="str">
        <f t="shared" si="52"/>
        <v/>
      </c>
      <c r="ER55" s="361" t="str">
        <f t="shared" si="53"/>
        <v/>
      </c>
      <c r="ES55" s="361" t="str">
        <f t="shared" si="54"/>
        <v/>
      </c>
      <c r="ET55" s="361" t="str">
        <f t="shared" si="55"/>
        <v/>
      </c>
      <c r="EU55" s="361" t="str">
        <f t="shared" si="56"/>
        <v/>
      </c>
      <c r="EV55" s="361" t="str">
        <f t="shared" si="57"/>
        <v/>
      </c>
      <c r="EW55" s="361" t="str">
        <f t="shared" si="58"/>
        <v/>
      </c>
      <c r="EX55" s="361" t="str">
        <f t="shared" si="169"/>
        <v>1 slot, 1 way</v>
      </c>
      <c r="EY55" s="361" t="str">
        <f t="shared" si="170"/>
        <v xml:space="preserve"> </v>
      </c>
      <c r="EZ55" s="361" t="str">
        <f t="shared" si="171"/>
        <v xml:space="preserve"> </v>
      </c>
      <c r="FA55" s="361" t="str">
        <f t="shared" si="172"/>
        <v xml:space="preserve"> </v>
      </c>
      <c r="FB55" s="361" t="str">
        <f t="shared" si="173"/>
        <v xml:space="preserve"> </v>
      </c>
      <c r="FC55" s="361"/>
      <c r="FD55" s="361" t="str">
        <f>IF(J55&gt;0,IF(Calculation!R55&lt;=70,4,IF(Calculation!R55&lt;=110,5,IF(Calculation!R55&lt;=160,6,IF(Calculation!R55&lt;=300,8,"10 EO")))),"")</f>
        <v/>
      </c>
      <c r="FE55" s="361" t="str">
        <f t="shared" si="174"/>
        <v/>
      </c>
      <c r="FF55" s="361" t="str">
        <f t="shared" si="175"/>
        <v/>
      </c>
      <c r="FG55" s="361" t="e">
        <f t="shared" si="60"/>
        <v>#N/A</v>
      </c>
      <c r="FH55" s="361">
        <f t="shared" si="61"/>
        <v>0</v>
      </c>
      <c r="FI55" s="361" t="e">
        <f t="shared" si="62"/>
        <v>#DIV/0!</v>
      </c>
      <c r="FJ55" s="361"/>
      <c r="FK55" s="356" t="e">
        <f t="shared" si="63"/>
        <v>#VALUE!</v>
      </c>
      <c r="FL55" s="361"/>
      <c r="FM55" s="361"/>
      <c r="FN55" s="362" t="str">
        <f t="shared" si="176"/>
        <v xml:space="preserve"> </v>
      </c>
      <c r="FO55" s="362" t="str">
        <f t="shared" si="177"/>
        <v xml:space="preserve"> </v>
      </c>
      <c r="FP55" s="362">
        <f t="shared" si="178"/>
        <v>0</v>
      </c>
      <c r="FQ55" s="361">
        <f t="shared" si="64"/>
        <v>0</v>
      </c>
      <c r="FR55" s="362" t="str">
        <f>IF(L55&gt;0,IF(J55="CBAL2",Worksheet!$P$67,IF(J55="CBE2-24",Worksheet!$Q$67,IF(J55="CBAM",Worksheet!$R$67,IF(J55="CBLV",Worksheet!$S$67,IF(J55="CBAB",Worksheet!$U$67,IF(J55="CBAW",Worksheet!$X$67,IF(J55="CBE2-12",Worksheet!$Y$67,IF(J55="CBAL2",Worksheet!$Z$67,"N/A"))))))))," ")</f>
        <v xml:space="preserve"> </v>
      </c>
      <c r="FS55" s="362" t="str">
        <f>IF(L55&gt;0,IF(J55="CBAL2",Worksheet!$P$68,IF(J55="CBE2-24",Worksheet!$Q$68,IF(J55="CBAM",Worksheet!$R$68,IF(J55="CBLV",Worksheet!$S$68,IF(J55="CBAB",Worksheet!$U$68,IF(J55="CBAW",Worksheet!$X$68,IF(J55="CBE2-12",Worksheet!$Y$68,IF(J55="CBAL2",Worksheet!$Z$68,"N/A"))))))))," ")</f>
        <v xml:space="preserve"> </v>
      </c>
      <c r="FT55" s="362" t="str">
        <f>IF(L55&gt;0,IF(J55="CBAL2",Worksheet!$P$69,IF(J55="CBE2-24",Worksheet!$Q$69,IF(J55="CBAM",Worksheet!$R$69,IF(J55="CBLV",Worksheet!$S$69,IF(J55="CBAB",Worksheet!$U$69,IF(J55="CBAW",Worksheet!$X$69,IF(J55="CBE2-12",Worksheet!$Y$69,IF(J55="CBAL2",Worksheet!$Z$69,"N/A"))))))))," ")</f>
        <v xml:space="preserve"> </v>
      </c>
      <c r="FU55" s="361" t="str">
        <f t="shared" si="179"/>
        <v xml:space="preserve"> </v>
      </c>
      <c r="FV55" s="362" t="str">
        <f t="shared" si="180"/>
        <v xml:space="preserve"> </v>
      </c>
      <c r="FW55" s="362" t="str">
        <f t="shared" si="181"/>
        <v xml:space="preserve"> </v>
      </c>
      <c r="FX55" s="362" t="str">
        <f t="shared" si="182"/>
        <v xml:space="preserve"> </v>
      </c>
      <c r="FY55" s="355" t="str">
        <f t="shared" si="183"/>
        <v xml:space="preserve"> </v>
      </c>
      <c r="FZ55" s="361" t="str">
        <f t="shared" si="184"/>
        <v xml:space="preserve"> </v>
      </c>
      <c r="GA55" s="347" t="str">
        <f t="shared" si="185"/>
        <v xml:space="preserve"> </v>
      </c>
      <c r="GB55" s="355" t="str">
        <f t="shared" si="186"/>
        <v xml:space="preserve"> </v>
      </c>
      <c r="GC55" s="328" t="str">
        <f t="shared" si="187"/>
        <v xml:space="preserve"> </v>
      </c>
      <c r="GD55" s="361" t="str">
        <f t="shared" si="188"/>
        <v xml:space="preserve"> </v>
      </c>
      <c r="GE55" s="347" t="str">
        <f t="shared" si="189"/>
        <v xml:space="preserve"> </v>
      </c>
      <c r="GF55" s="361" t="str">
        <f t="shared" si="190"/>
        <v xml:space="preserve"> </v>
      </c>
      <c r="GG55" s="347" t="str">
        <f t="shared" si="191"/>
        <v xml:space="preserve"> </v>
      </c>
      <c r="GH55" s="364">
        <f t="shared" si="78"/>
        <v>0</v>
      </c>
      <c r="GI55" s="362">
        <f t="shared" si="192"/>
        <v>2</v>
      </c>
      <c r="GJ55" s="433" t="e">
        <f>IF(6-COUNTBLANK(GT55:GY55)=4,MATCH(MID(BO55,9,3),CLU!$H$16:$K$16),MATCH(MID(BO55,9,3),CLU!$H$13:$M$13))</f>
        <v>#N/A</v>
      </c>
      <c r="GK55" s="433" t="e">
        <f>HLOOKUP(VALUE(BP55),CLU!$H$9:$M$10,2)</f>
        <v>#VALUE!</v>
      </c>
      <c r="GL55" s="433" t="e">
        <f ca="1">MATCH(BU55,CLU!$H$2:$V$2,1)</f>
        <v>#VALUE!</v>
      </c>
      <c r="GM55" s="433" t="e">
        <f t="shared" ca="1" si="193"/>
        <v>#VALUE!</v>
      </c>
      <c r="GN55" s="433" t="e">
        <f t="shared" ca="1" si="194"/>
        <v>#VALUE!</v>
      </c>
      <c r="GO55" s="433" t="e">
        <f t="shared" ca="1" si="195"/>
        <v>#VALUE!</v>
      </c>
      <c r="GP55" s="433" t="e">
        <f t="shared" ca="1" si="196"/>
        <v>#VALUE!</v>
      </c>
      <c r="GQ55" s="433" t="e">
        <f t="shared" ca="1" si="197"/>
        <v>#VALUE!</v>
      </c>
      <c r="GR55" s="433" t="e">
        <f ca="1">MATCH(T55,INDIRECT(VLOOKUP(CONCATENATE(LEFT(BO55,7),"-",MID(BO55,13,1)),CLU!$P$3:$Q$16,2)),1)</f>
        <v>#N/A</v>
      </c>
      <c r="GS55" s="433" t="e">
        <f ca="1">MATCH(U55,INDIRECT(VLOOKUP(CONCATENATE(LEFT(BO55,7),"-",MID(BO55,13,1)),CLU!$P$3:$Q$16,2)),1)</f>
        <v>#N/A</v>
      </c>
      <c r="GT55" s="347" t="s">
        <v>512</v>
      </c>
      <c r="GU55" s="97" t="s">
        <v>513</v>
      </c>
      <c r="GV55" s="97" t="str">
        <f t="shared" si="198"/>
        <v>M23</v>
      </c>
      <c r="GW55" s="97" t="str">
        <f t="shared" si="199"/>
        <v>M31</v>
      </c>
      <c r="GX55" s="97" t="str">
        <f t="shared" si="200"/>
        <v/>
      </c>
      <c r="GY55" s="97" t="str">
        <f t="shared" si="201"/>
        <v/>
      </c>
      <c r="GZ55" s="481"/>
      <c r="HA55" s="288"/>
      <c r="HB55" s="240"/>
      <c r="HC55" s="240"/>
      <c r="HD55" s="240"/>
      <c r="HE55" s="240"/>
      <c r="HF55" s="240"/>
      <c r="HG55" s="240"/>
      <c r="HH55" s="240"/>
      <c r="HI55" s="240"/>
      <c r="HJ55" s="240"/>
      <c r="HK55" s="240"/>
      <c r="HL55" s="240"/>
      <c r="HM55" s="240"/>
      <c r="HN55" s="240"/>
      <c r="HO55" s="240"/>
      <c r="HP55" s="240"/>
      <c r="HQ55" s="240"/>
      <c r="HR55" s="240"/>
      <c r="HS55" s="240"/>
      <c r="HT55" s="240"/>
      <c r="HU55" s="240"/>
      <c r="HV55" s="245"/>
      <c r="HW55" s="245" t="b">
        <v>1</v>
      </c>
      <c r="HX55" s="245" t="str">
        <f t="shared" si="79"/>
        <v/>
      </c>
      <c r="HY55" s="245" t="e">
        <f t="shared" si="80"/>
        <v>#DIV/0!</v>
      </c>
      <c r="HZ55" s="245" t="e">
        <f t="shared" si="81"/>
        <v>#DIV/0!</v>
      </c>
      <c r="IA55" s="245">
        <f t="shared" si="82"/>
        <v>0</v>
      </c>
      <c r="IB55" s="245"/>
      <c r="IC55" t="b">
        <f t="shared" si="83"/>
        <v>1</v>
      </c>
      <c r="ID55" s="245" t="b">
        <f t="shared" si="84"/>
        <v>1</v>
      </c>
      <c r="IE55" s="245" t="b">
        <f t="shared" si="85"/>
        <v>1</v>
      </c>
      <c r="IF55" s="245" t="b">
        <f t="shared" si="86"/>
        <v>0</v>
      </c>
      <c r="IG55" s="245" t="b">
        <f t="shared" si="87"/>
        <v>1</v>
      </c>
      <c r="IH55" s="245" t="b">
        <f t="shared" si="88"/>
        <v>1</v>
      </c>
      <c r="II55" s="245">
        <f t="shared" si="202"/>
        <v>0</v>
      </c>
      <c r="IJ55" s="245" t="e">
        <f t="shared" si="89"/>
        <v>#VALUE!</v>
      </c>
      <c r="IK55" s="245" t="e">
        <f t="shared" si="90"/>
        <v>#VALUE!</v>
      </c>
      <c r="IL55" s="245"/>
      <c r="IM55" s="245" t="e">
        <f t="shared" si="203"/>
        <v>#N/A</v>
      </c>
      <c r="IN55" s="245" t="e">
        <f t="shared" si="204"/>
        <v>#N/A</v>
      </c>
      <c r="IO55" s="245"/>
      <c r="IP55" s="245"/>
      <c r="IQ55" s="245" t="str">
        <f t="shared" si="91"/>
        <v/>
      </c>
      <c r="IR55" s="245" t="str">
        <f>IF(J55="","",VLOOKUP(J55,Worksheet!$R$4:$T$14,2))</f>
        <v/>
      </c>
      <c r="IS55" s="245"/>
      <c r="IT55" s="245">
        <f t="shared" si="92"/>
        <v>0</v>
      </c>
      <c r="IU55" s="245">
        <f t="shared" si="93"/>
        <v>0</v>
      </c>
      <c r="IV55" s="245">
        <f t="shared" si="94"/>
        <v>0</v>
      </c>
      <c r="IW55" s="245">
        <f t="shared" si="95"/>
        <v>0</v>
      </c>
      <c r="IX55" s="245">
        <f t="shared" si="205"/>
        <v>0</v>
      </c>
      <c r="IY55" s="245">
        <f t="shared" si="96"/>
        <v>0</v>
      </c>
      <c r="IZ55" s="245">
        <f t="shared" si="97"/>
        <v>0</v>
      </c>
      <c r="JA55">
        <f t="shared" si="98"/>
        <v>0</v>
      </c>
      <c r="JB55">
        <f t="shared" si="206"/>
        <v>0</v>
      </c>
      <c r="JC55">
        <f t="shared" si="99"/>
        <v>0</v>
      </c>
      <c r="JD55">
        <f t="shared" si="100"/>
        <v>0</v>
      </c>
      <c r="JE55">
        <f t="shared" si="101"/>
        <v>0</v>
      </c>
      <c r="JF55">
        <f t="shared" si="102"/>
        <v>0</v>
      </c>
      <c r="JG55">
        <f t="shared" si="103"/>
        <v>0</v>
      </c>
      <c r="JH55">
        <f t="shared" si="104"/>
        <v>0</v>
      </c>
      <c r="JI55">
        <f t="shared" si="105"/>
        <v>0</v>
      </c>
      <c r="JJ55" s="447">
        <f t="shared" si="106"/>
        <v>0</v>
      </c>
      <c r="JK55" s="447">
        <f t="shared" si="107"/>
        <v>0</v>
      </c>
      <c r="JL55">
        <f t="shared" si="108"/>
        <v>0</v>
      </c>
      <c r="JM55" s="245" t="str">
        <f>IFERROR(VLOOKUP(MATCH(BN55,#REF!,0),#REF!,7),"")</f>
        <v/>
      </c>
      <c r="JN55" t="e">
        <f>HLOOKUP(LEFT(BO55,7),Discharge_Area,MATCH(JO55,LookUps!$B$130:$B$149,1)+2)</f>
        <v>#N/A</v>
      </c>
      <c r="JO55" t="str">
        <f t="shared" si="109"/>
        <v>- S</v>
      </c>
      <c r="JP55" t="e">
        <f>HLOOKUP(LEFT(BO55,7),Discharge_Area,MATCH(JO55,LookUps!$B$130:$B$149,1)+2)</f>
        <v>#N/A</v>
      </c>
      <c r="JQ55" t="e">
        <f t="shared" si="110"/>
        <v>#N/A</v>
      </c>
      <c r="JR55" t="e">
        <f t="shared" si="111"/>
        <v>#N/A</v>
      </c>
      <c r="JS55" t="e">
        <f t="shared" si="112"/>
        <v>#N/A</v>
      </c>
      <c r="JT55" s="532" t="str">
        <f t="shared" si="113"/>
        <v xml:space="preserve"> </v>
      </c>
      <c r="JU55" s="532" t="str">
        <f t="shared" si="114"/>
        <v xml:space="preserve"> </v>
      </c>
      <c r="JV55" s="533" t="str">
        <f t="shared" si="115"/>
        <v xml:space="preserve"> </v>
      </c>
      <c r="JW55" s="534">
        <f t="shared" si="116"/>
        <v>0</v>
      </c>
      <c r="JX55" s="535" t="str">
        <f t="shared" si="207"/>
        <v xml:space="preserve"> </v>
      </c>
      <c r="JY55" s="535" t="str">
        <f t="shared" si="208"/>
        <v xml:space="preserve"> </v>
      </c>
      <c r="JZ55" s="535" t="str">
        <f t="shared" si="209"/>
        <v xml:space="preserve"> </v>
      </c>
      <c r="KA55" s="536" t="str">
        <f t="shared" si="117"/>
        <v xml:space="preserve"> </v>
      </c>
      <c r="KB55" s="535" t="e">
        <f t="shared" si="210"/>
        <v>#VALUE!</v>
      </c>
      <c r="KC55" s="535" t="str">
        <f t="shared" si="118"/>
        <v/>
      </c>
      <c r="KD55" s="537" t="str">
        <f t="shared" si="211"/>
        <v xml:space="preserve"> </v>
      </c>
      <c r="KE55" s="537" t="str">
        <f t="shared" si="212"/>
        <v xml:space="preserve"> </v>
      </c>
      <c r="KF55" s="534">
        <f t="shared" si="119"/>
        <v>0</v>
      </c>
      <c r="KG55" s="535" t="str">
        <f t="shared" si="120"/>
        <v xml:space="preserve"> </v>
      </c>
      <c r="KH55" s="535" t="str">
        <f t="shared" si="121"/>
        <v xml:space="preserve"> </v>
      </c>
      <c r="KI55" s="535" t="str">
        <f t="shared" si="122"/>
        <v xml:space="preserve"> </v>
      </c>
      <c r="KJ55" s="536" t="str">
        <f t="shared" si="123"/>
        <v xml:space="preserve"> </v>
      </c>
      <c r="KK55" s="535" t="str">
        <f t="shared" si="213"/>
        <v xml:space="preserve"> </v>
      </c>
      <c r="KL55" s="535" t="str">
        <f t="shared" si="214"/>
        <v xml:space="preserve"> </v>
      </c>
      <c r="KM55" s="537" t="str">
        <f t="shared" si="124"/>
        <v xml:space="preserve"> </v>
      </c>
      <c r="KN55" s="537" t="str">
        <f t="shared" si="215"/>
        <v xml:space="preserve"> </v>
      </c>
      <c r="KP55">
        <f t="shared" si="125"/>
        <v>0</v>
      </c>
      <c r="LA55" t="e">
        <f t="shared" si="126"/>
        <v>#VALUE!</v>
      </c>
      <c r="LB55" t="e">
        <f t="shared" si="127"/>
        <v>#VALUE!</v>
      </c>
      <c r="LC55" t="e">
        <f t="shared" si="128"/>
        <v>#VALUE!</v>
      </c>
      <c r="LD55" t="e">
        <f t="shared" si="129"/>
        <v>#VALUE!</v>
      </c>
      <c r="LE55" t="e">
        <f t="shared" si="216"/>
        <v>#VALUE!</v>
      </c>
      <c r="LF55">
        <f t="shared" si="130"/>
        <v>0</v>
      </c>
      <c r="LG55" t="e">
        <f t="shared" si="217"/>
        <v>#VALUE!</v>
      </c>
      <c r="LH55" t="str">
        <f t="shared" si="131"/>
        <v xml:space="preserve"> </v>
      </c>
      <c r="LI55">
        <f t="shared" si="218"/>
        <v>1</v>
      </c>
    </row>
    <row r="56" spans="2:321" ht="15" customHeight="1">
      <c r="B56" s="311"/>
      <c r="C56" s="311"/>
      <c r="D56" s="312"/>
      <c r="E56" s="311"/>
      <c r="F56" s="312"/>
      <c r="G56" s="311"/>
      <c r="H56" s="311"/>
      <c r="I56" s="37"/>
      <c r="J56" s="311"/>
      <c r="K56" s="305" t="str">
        <f t="shared" si="132"/>
        <v/>
      </c>
      <c r="L56" s="313"/>
      <c r="M56" s="312"/>
      <c r="N56" s="311"/>
      <c r="O56" s="312"/>
      <c r="P56" s="311"/>
      <c r="Q56" s="305" t="str">
        <f t="shared" si="133"/>
        <v/>
      </c>
      <c r="R56" s="314"/>
      <c r="S56" s="450" t="str">
        <f t="shared" si="0"/>
        <v/>
      </c>
      <c r="T56" s="315"/>
      <c r="U56" s="315"/>
      <c r="W56" s="149" t="str">
        <f t="shared" si="1"/>
        <v xml:space="preserve"> </v>
      </c>
      <c r="X56" s="243" t="str">
        <f t="shared" si="2"/>
        <v xml:space="preserve"> </v>
      </c>
      <c r="Y56" s="150" t="str">
        <f t="shared" si="3"/>
        <v/>
      </c>
      <c r="Z56" s="149" t="str">
        <f t="shared" si="4"/>
        <v xml:space="preserve"> </v>
      </c>
      <c r="AA56" s="98" t="str">
        <f t="shared" si="5"/>
        <v xml:space="preserve"> </v>
      </c>
      <c r="AB56" s="153" t="str">
        <f t="shared" si="6"/>
        <v xml:space="preserve"> </v>
      </c>
      <c r="AC56" s="153" t="str">
        <f t="shared" si="7"/>
        <v xml:space="preserve"> </v>
      </c>
      <c r="AD56" s="148" t="str">
        <f t="shared" si="8"/>
        <v/>
      </c>
      <c r="AE56" s="149" t="str">
        <f t="shared" si="9"/>
        <v/>
      </c>
      <c r="AF56" s="151" t="str">
        <f t="shared" si="10"/>
        <v xml:space="preserve"> </v>
      </c>
      <c r="AG56" s="153" t="str">
        <f t="shared" si="11"/>
        <v xml:space="preserve"> </v>
      </c>
      <c r="AH56" s="98" t="str">
        <f t="shared" si="12"/>
        <v xml:space="preserve"> </v>
      </c>
      <c r="AI56" s="149" t="str">
        <f t="shared" si="13"/>
        <v xml:space="preserve"> </v>
      </c>
      <c r="AK56" s="144" t="str">
        <f t="shared" si="14"/>
        <v xml:space="preserve"> </v>
      </c>
      <c r="AL56" s="144"/>
      <c r="AM56" s="243" t="str">
        <f t="shared" si="15"/>
        <v xml:space="preserve"> </v>
      </c>
      <c r="AN56" s="149" t="str">
        <f t="shared" si="134"/>
        <v xml:space="preserve"> </v>
      </c>
      <c r="AO56" s="144" t="str">
        <f>IF(JB56&gt;0,IF(GI56=10,-R56*1.085*(Calculation!$F$6-Calculation!$F$13)*$S$14," "),"")</f>
        <v/>
      </c>
      <c r="AP56" s="144" t="str">
        <f t="shared" si="16"/>
        <v/>
      </c>
      <c r="AQ56" s="56" t="str">
        <f t="shared" si="17"/>
        <v/>
      </c>
      <c r="AR56" s="144" t="str">
        <f t="shared" si="18"/>
        <v/>
      </c>
      <c r="AS56" s="176" t="str">
        <f t="shared" si="19"/>
        <v/>
      </c>
      <c r="AT56" s="176" t="str">
        <f t="shared" si="135"/>
        <v xml:space="preserve"> </v>
      </c>
      <c r="AU56" s="176" t="str">
        <f t="shared" si="20"/>
        <v/>
      </c>
      <c r="AV56" s="177" t="str">
        <f t="shared" si="21"/>
        <v xml:space="preserve"> </v>
      </c>
      <c r="AW56" s="144" t="str">
        <f t="shared" si="22"/>
        <v xml:space="preserve"> </v>
      </c>
      <c r="AX56" s="144" t="str">
        <f t="shared" si="23"/>
        <v xml:space="preserve"> </v>
      </c>
      <c r="AY56" s="152" t="str">
        <f t="shared" si="24"/>
        <v xml:space="preserve"> </v>
      </c>
      <c r="AZ56" s="246" t="str">
        <f t="shared" si="25"/>
        <v/>
      </c>
      <c r="BA56" s="176" t="str">
        <f t="shared" si="26"/>
        <v xml:space="preserve"> </v>
      </c>
      <c r="BB56" s="176" t="str">
        <f t="shared" si="27"/>
        <v xml:space="preserve"> </v>
      </c>
      <c r="BC56" s="195"/>
      <c r="BD56" s="316"/>
      <c r="BE56" s="317"/>
      <c r="BF56" s="318"/>
      <c r="BG56" s="318"/>
      <c r="BH56" s="144" t="str">
        <f t="shared" si="219"/>
        <v xml:space="preserve"> </v>
      </c>
      <c r="BI56" s="176" t="str">
        <f t="shared" si="28"/>
        <v/>
      </c>
      <c r="BJ56" s="144" t="str">
        <f t="shared" si="220"/>
        <v/>
      </c>
      <c r="BK56" s="246" t="str">
        <f t="shared" si="29"/>
        <v/>
      </c>
      <c r="BL56" s="144" t="str">
        <f t="shared" si="221"/>
        <v/>
      </c>
      <c r="BM56" s="246" t="str">
        <f t="shared" si="30"/>
        <v/>
      </c>
      <c r="BN56" s="337" t="str">
        <f t="shared" si="136"/>
        <v/>
      </c>
      <c r="BO56" s="371" t="str">
        <f t="shared" si="137"/>
        <v/>
      </c>
      <c r="BP56" s="328" t="str">
        <f t="shared" si="222"/>
        <v xml:space="preserve"> </v>
      </c>
      <c r="BQ56" s="347" t="str">
        <f t="shared" si="138"/>
        <v xml:space="preserve"> </v>
      </c>
      <c r="BR56" s="353" t="str">
        <f t="shared" si="223"/>
        <v xml:space="preserve"> </v>
      </c>
      <c r="BS56" s="626" t="str">
        <f>IF(L56&gt;0,IF(Calculation!P56="M13",BR56*3.1416*(0.134^2)/(4*144),IF(Calculation!P56="M17",BR56*3.1416*(0.165^2)/(4*144),IF(Calculation!P56="M20",BR56*3.1416*(0.198^2)/(4*144),IF(Calculation!P56="M23",BR56*3.1416*(0.228^2)/(4*144),IF(Calculation!P56="M27",BR56*3.1416*(0.269^2)/(4*144),BR56*3.1416*(0.307^2)/(4*144))))))," ")</f>
        <v xml:space="preserve"> </v>
      </c>
      <c r="BT56" s="353" t="str">
        <f>IF(L56&gt;0,IF(BS56&gt;0,R56/Calculation!BS56,0)," ")</f>
        <v xml:space="preserve"> </v>
      </c>
      <c r="BU56" s="438" t="e">
        <f t="shared" ca="1" si="31"/>
        <v>#VALUE!</v>
      </c>
      <c r="BV56" s="449" t="e">
        <f ca="1">INDEX(INDIRECT(VLOOKUP(LEFT(BO56,7),CLU!$Z$3:$AH$18,2)),GN56,GR56)</f>
        <v>#N/A</v>
      </c>
      <c r="BW56" s="433" t="e">
        <f ca="1">INDEX(INDIRECT(VLOOKUP(LEFT(BO56,7),CLU!$Z$3:$AH$18,3)),GN56,GR56)</f>
        <v>#N/A</v>
      </c>
      <c r="BX56" s="433" t="e">
        <f ca="1">INDEX(INDIRECT(VLOOKUP(LEFT(BO56,7),CLU!$Z$3:$AH$18,4)),GN56,GR56)</f>
        <v>#N/A</v>
      </c>
      <c r="BY56" s="433" t="e">
        <f ca="1">INDEX(INDIRECT(VLOOKUP(LEFT(BO56,7),CLU!$Z$3:$AH$18,9)),((M56-2)*(6-COUNTBLANK(GT56:GY56)))+GJ56)</f>
        <v>#N/A</v>
      </c>
      <c r="BZ56" s="426" t="e">
        <f t="shared" ca="1" si="139"/>
        <v>#N/A</v>
      </c>
      <c r="CA56" s="424" t="e">
        <f t="shared" ca="1" si="140"/>
        <v>#N/A</v>
      </c>
      <c r="CB56" s="429" t="e">
        <f ca="1">INDEX(INDIRECT(VLOOKUP(LEFT(BO56,7),CLU!$Z$3:$AH$18,2)),GN56,GS56)</f>
        <v>#N/A</v>
      </c>
      <c r="CC56" s="342" t="e">
        <f ca="1">INDEX(INDIRECT(VLOOKUP(LEFT(BO56,7),CLU!$Z$3:$AH$18,3)),GN56,GS56)</f>
        <v>#N/A</v>
      </c>
      <c r="CD56" s="342" t="e">
        <f ca="1">INDEX(INDIRECT(VLOOKUP(LEFT(BO56,7),CLU!$Z$3:$AH$18,4)),GN56,GS56)</f>
        <v>#N/A</v>
      </c>
      <c r="CE56" s="426" t="e">
        <f t="shared" ca="1" si="141"/>
        <v>#N/A</v>
      </c>
      <c r="CF56" s="440">
        <f t="shared" si="142"/>
        <v>0</v>
      </c>
      <c r="CG56" s="431" t="e">
        <f ca="1">INDEX(INDIRECT(VLOOKUP(LEFT(BO56,7),CLU!$Z$3:$AH$18,2)),GQ56,GR56)</f>
        <v>#N/A</v>
      </c>
      <c r="CH56" s="431" t="e">
        <f ca="1">INDEX(INDIRECT(VLOOKUP(LEFT(BO56,7),CLU!$Z$3:$AH$18,3)),GQ56,GR56)</f>
        <v>#N/A</v>
      </c>
      <c r="CI56" s="431" t="e">
        <f ca="1">INDEX(INDIRECT(VLOOKUP(LEFT(BO56,7),CLU!$Z$3:$AH$18,4)),GQ56,GR56)</f>
        <v>#N/A</v>
      </c>
      <c r="CJ56" s="448" t="e">
        <f t="shared" ca="1" si="143"/>
        <v>#N/A</v>
      </c>
      <c r="CK56" s="431" t="e">
        <f t="shared" ca="1" si="144"/>
        <v>#N/A</v>
      </c>
      <c r="CL56" s="440" t="e">
        <f t="shared" ca="1" si="145"/>
        <v>#N/A</v>
      </c>
      <c r="CM56" s="431" t="e">
        <f ca="1">INDEX(INDIRECT(VLOOKUP(LEFT(BO56,7),CLU!$Z$3:$AH$18,2)),GQ56,GS56)</f>
        <v>#N/A</v>
      </c>
      <c r="CN56" s="431" t="e">
        <f ca="1">INDEX(INDIRECT(VLOOKUP(LEFT(BO56,7),CLU!$Z$3:$AH$18,3)),GQ56,GS56)</f>
        <v>#N/A</v>
      </c>
      <c r="CO56" s="431" t="e">
        <f ca="1">INDEX(INDIRECT(VLOOKUP(LEFT(BO56,7),CLU!$Z$3:$AH$18,4)),GQ56,GS56)</f>
        <v>#N/A</v>
      </c>
      <c r="CP56" s="431" t="e">
        <f t="shared" ca="1" si="146"/>
        <v>#N/A</v>
      </c>
      <c r="CQ56" s="440">
        <f t="shared" si="147"/>
        <v>0</v>
      </c>
      <c r="CR56" s="51" t="e">
        <f t="shared" ca="1" si="148"/>
        <v>#N/A</v>
      </c>
      <c r="CS56" s="439" t="e">
        <f t="shared" ca="1" si="149"/>
        <v>#VALUE!</v>
      </c>
      <c r="CT56" s="51" t="e">
        <f t="shared" ca="1" si="150"/>
        <v>#VALUE!</v>
      </c>
      <c r="CU56" s="10"/>
      <c r="CV56" s="51" t="e">
        <f t="shared" ca="1" si="34"/>
        <v>#VALUE!</v>
      </c>
      <c r="CW56" s="51">
        <f t="shared" si="151"/>
        <v>0</v>
      </c>
      <c r="CX56" s="439" t="e">
        <f t="shared" ca="1" si="152"/>
        <v>#VALUE!</v>
      </c>
      <c r="CY56" s="51" t="e">
        <f t="shared" ca="1" si="153"/>
        <v>#VALUE!</v>
      </c>
      <c r="CZ56" s="10"/>
      <c r="DA56" s="51" t="e">
        <f t="shared" ca="1" si="154"/>
        <v>#VALUE!</v>
      </c>
      <c r="DB56" s="347" t="e">
        <f ca="1">INDEX(INDIRECT(VLOOKUP(LEFT(BO56,7),CLU!$Z$3:$AI$18,10)),((M56-2)*(6-COUNTBLANK(GT56:GY56)))+GJ56)*LI56</f>
        <v>#N/A</v>
      </c>
      <c r="DC56" s="347" t="str">
        <f>IF(L56&gt;0,((R56/Worksheet!$I$15)/DB56)^2," ")</f>
        <v xml:space="preserve"> </v>
      </c>
      <c r="DD56" s="602" t="str">
        <f t="shared" si="224"/>
        <v xml:space="preserve"> </v>
      </c>
      <c r="DE56" s="347" t="str">
        <f t="shared" si="35"/>
        <v xml:space="preserve"> </v>
      </c>
      <c r="DF56" s="356" t="e">
        <f ca="1">INDEX(INDIRECT(VLOOKUP(LEFT(BO56,7),CLU!$Z$3:$AH$18,8)),((M56-2)*(6-COUNTBLANK(GT56:GY56)))+GJ56)</f>
        <v>#N/A</v>
      </c>
      <c r="DG56" s="347" t="str">
        <f t="shared" si="36"/>
        <v xml:space="preserve"> </v>
      </c>
      <c r="DH56" s="357" t="str">
        <f t="shared" si="37"/>
        <v xml:space="preserve"> </v>
      </c>
      <c r="DI56" s="355" t="str">
        <f t="shared" si="38"/>
        <v xml:space="preserve"> </v>
      </c>
      <c r="DJ56" s="245" t="e">
        <f ca="1">INDEX(INDIRECT(VLOOKUP(LEFT(BO56,7),CLU!$Z$3:$AH$18,5)),GL56,GK56)</f>
        <v>#N/A</v>
      </c>
      <c r="DK56" s="245" t="e">
        <f ca="1">INDEX(INDIRECT(VLOOKUP(LEFT(BO56,7),CLU!$Z$3:$AH$18,6)),GL56,GK56)</f>
        <v>#N/A</v>
      </c>
      <c r="DL56" s="355">
        <f>(Calculation!R56*0.69143*(Calculation!$BQ$8-Calculation!$F$8))*$S$14</f>
        <v>0</v>
      </c>
      <c r="DM56" s="359" t="e">
        <f t="shared" si="160"/>
        <v>#VALUE!</v>
      </c>
      <c r="DN56" s="611">
        <f t="shared" si="161"/>
        <v>0</v>
      </c>
      <c r="DO56" s="359">
        <f t="shared" si="162"/>
        <v>100</v>
      </c>
      <c r="DP56" s="359">
        <f t="shared" si="163"/>
        <v>0</v>
      </c>
      <c r="DQ56" s="360"/>
      <c r="DR56" s="245" t="e">
        <f ca="1">INDEX(INDIRECT(VLOOKUP(LEFT(BO56,7),CLU!$Z$3:$AH$18,7)),M56-1,1)</f>
        <v>#N/A</v>
      </c>
      <c r="DS56" s="245" t="e">
        <f ca="1">INDEX(INDIRECT(VLOOKUP(LEFT(BO56,7),CLU!$Z$3:$AH$18,7)),M56-1,2)</f>
        <v>#N/A</v>
      </c>
      <c r="DT56" s="245" t="e">
        <f ca="1">INDEX(INDIRECT(VLOOKUP(LEFT(BO56,7),CLU!$Z$3:$AH$18,7)),M56-1,3)</f>
        <v>#N/A</v>
      </c>
      <c r="DU56" s="245" t="e">
        <f ca="1">INDEX(INDIRECT(VLOOKUP(LEFT(BO56,7),CLU!$Z$3:$AH$18,7)),M56-1,4)</f>
        <v>#N/A</v>
      </c>
      <c r="DV56" s="361" t="e">
        <f ca="1">INDEX(INDIRECT(VLOOKUP(LEFT(BO56,7),CLU!$Z$3:$AH$18,7)),M56-1,4+LEFT(DZ56,1)*0.5)</f>
        <v>#N/A</v>
      </c>
      <c r="DW56" s="245" t="e">
        <f ca="1">INDEX(INDIRECT(VLOOKUP(LEFT(BO56,7),CLU!$Z$3:$AH$18,7)),M56-1,8)</f>
        <v>#N/A</v>
      </c>
      <c r="DX56" s="361" t="str">
        <f t="shared" si="39"/>
        <v xml:space="preserve"> </v>
      </c>
      <c r="DY56" s="361" t="str">
        <f t="shared" si="40"/>
        <v xml:space="preserve"> </v>
      </c>
      <c r="DZ56" s="361" t="str">
        <f t="shared" si="41"/>
        <v xml:space="preserve"> </v>
      </c>
      <c r="EA56" s="362" t="str">
        <f t="shared" si="42"/>
        <v xml:space="preserve"> </v>
      </c>
      <c r="EB56" s="624" t="str">
        <f t="shared" si="168"/>
        <v xml:space="preserve"> </v>
      </c>
      <c r="EC56" s="361" t="e">
        <f ca="1">INDEX(INDIRECT(VLOOKUP(LEFT(BO56,7),CLU!$Z$3:$AH$18,7)),M56-1,4+LEFT(DZ56,1)*0.5)</f>
        <v>#N/A</v>
      </c>
      <c r="ED56" s="362" t="str">
        <f t="shared" si="43"/>
        <v xml:space="preserve"> </v>
      </c>
      <c r="EE56" s="361" t="str">
        <f t="shared" si="44"/>
        <v xml:space="preserve"> </v>
      </c>
      <c r="EF56" s="362" t="str">
        <f>IF(L56&gt;0,IF(BR56&gt;0,IF(EE56="2P",IF(Calculation!DZ56="2P",IF(Calculation!DS56=13.75,IF(Calculation!DR56=13,Worksheet!$BD$43,IF(Calculation!DR56=37,Worksheet!$BD$44,Worksheet!$BD$45)),IF(Calculation!DS56=10,IF(Calculation!DR56=18,Worksheet!$BD$29,IF(Calculation!DR56=30,Worksheet!$BD$30,IF(Calculation!DR56=42,Worksheet!$BD$31,IF(Calculation!DR56=54,Worksheet!$BD$32,IF(Calculation!DR56=66,Worksheet!$BD$33,IF(Calculation!DR56=78,Worksheet!$BD$34,IF(Calculation!DR56=90,Worksheet!$BD$35,IF(Calculation!DR56=102,Worksheet!$BD$36,Worksheet!$BD$37)))))))),IF(Calculation!DS56=12.5,IF(Calculation!DR56=18,Worksheet!$BD$38,IF(Calculation!DR56=Worksheet!$BD$39,IF(Calculation!DR56=42,Worksheet!$BD$40,IF(Calculation!DR56=54,Worksheet!$BD$41,Worksheet!$BD$42)))),IF(Calculation!DR56=18,Worksheet!$BD$11,IF(Calculation!DR56=30,Worksheet!$BD$12,IF(Calculation!DR56=42,Worksheet!$BD$13,IF(Calculation!DR56=54,Worksheet!$BD$14,IF(Calculation!DR56=66,Worksheet!$BD$15,IF(Calculation!DR56=78,Worksheet!$BD$16,IF(Calculation!DR56=90,Worksheet!$BD$17,IF(Calculation!DR56=102,Worksheet!$BD$18,Worksheet!$BD$19))))))))))),IF(Calculation!DS56=13.75,IF(Calculation!DR56=13,Worksheet!$BD$78,IF(Calculation!DR56=37,Worksheet!$BD$79,Worksheet!$BD$80)),IF(Calculation!DS56=10,IF(Calculation!DR56=18,Worksheet!$BD$64,IF(Calculation!DR56=30,Worksheet!$BD$65,IF(Calculation!DR56=42,Worksheet!$BD$66,IF(Calculation!DR56=54,Worksheet!$BD$68,IF(Calculation!DR56=66,Worksheet!$BD$68,IF(Calculation!DR56=78,Worksheet!$BD$69,IF(Calculation!DR56=90,Worksheet!$BD$70,IF(Calculation!DR56=102,Worksheet!$BD$71,Worksheet!$BD$72)))))))),IF(Calculation!DS56=12.5,IF(Calculation!DR56=18,Worksheet!$BD$73,IF(Calculation!DR56=Worksheet!$BD$74,IF(Calculation!DR56=42,Worksheet!$BD$75,IF(Calculation!DR56=54,Worksheet!$BD$76,Worksheet!$BD$77)))),IF(Calculation!DR56=18,Worksheet!$BD$55,IF(Calculation!DR56=30,Worksheet!$BD$56,IF(Calculation!DR56=42,Worksheet!$BD$57,IF(Calculation!DR56=54,Worksheet!$BD$58,IF(Calculation!DR56=66,Worksheet!$BD$59,IF(Calculation!DR56=78,Worksheet!$BD$60,IF(Calculation!DR56=90,Worksheet!$BD$61,IF(Calculation!DR56=102,Worksheet!$BD$62,Worksheet!$BD$63)))))))))))),5),0)," ")</f>
        <v xml:space="preserve"> </v>
      </c>
      <c r="EG56" s="361" t="str">
        <f t="shared" si="45"/>
        <v xml:space="preserve"> </v>
      </c>
      <c r="EH56" s="361" t="e">
        <f ca="1">INDEX(INDIRECT(VLOOKUP(LEFT(BO56,7),CLU!$Z$3:$AH$18,7)),M56-1,3+LEFT(DZ56,1))</f>
        <v>#N/A</v>
      </c>
      <c r="EI56" s="362" t="str">
        <f t="shared" si="46"/>
        <v xml:space="preserve"> </v>
      </c>
      <c r="EJ56" s="363" t="str">
        <f t="shared" si="47"/>
        <v xml:space="preserve"> </v>
      </c>
      <c r="EK56" s="363" t="str">
        <f t="shared" si="48"/>
        <v xml:space="preserve"> </v>
      </c>
      <c r="EL56" s="363" t="str">
        <f t="shared" si="49"/>
        <v xml:space="preserve"> </v>
      </c>
      <c r="EM56" s="362" t="str">
        <f>IF(L56&gt;0,IF(BR56&gt;0,(Calculation!T56/ED56)^2,0)," ")</f>
        <v xml:space="preserve"> </v>
      </c>
      <c r="EN56" s="362" t="str">
        <f>IF(L56&gt;0,IF(O56="2 Pipe (Cooling)","N/A",IF(BR56&gt;0,(Calculation!U56/EI56)^2,0))," ")</f>
        <v xml:space="preserve"> </v>
      </c>
      <c r="EO56" s="361" t="str">
        <f t="shared" si="50"/>
        <v/>
      </c>
      <c r="EP56" s="361" t="str">
        <f t="shared" si="51"/>
        <v/>
      </c>
      <c r="EQ56" s="361" t="str">
        <f t="shared" si="52"/>
        <v/>
      </c>
      <c r="ER56" s="361" t="str">
        <f t="shared" si="53"/>
        <v/>
      </c>
      <c r="ES56" s="361" t="str">
        <f t="shared" si="54"/>
        <v/>
      </c>
      <c r="ET56" s="361" t="str">
        <f t="shared" si="55"/>
        <v/>
      </c>
      <c r="EU56" s="361" t="str">
        <f t="shared" si="56"/>
        <v/>
      </c>
      <c r="EV56" s="361" t="str">
        <f t="shared" si="57"/>
        <v/>
      </c>
      <c r="EW56" s="361" t="str">
        <f t="shared" si="58"/>
        <v/>
      </c>
      <c r="EX56" s="361" t="str">
        <f t="shared" si="169"/>
        <v>1 slot, 1 way</v>
      </c>
      <c r="EY56" s="361" t="str">
        <f t="shared" si="170"/>
        <v xml:space="preserve"> </v>
      </c>
      <c r="EZ56" s="361" t="str">
        <f t="shared" si="171"/>
        <v xml:space="preserve"> </v>
      </c>
      <c r="FA56" s="361" t="str">
        <f t="shared" si="172"/>
        <v xml:space="preserve"> </v>
      </c>
      <c r="FB56" s="361" t="str">
        <f t="shared" si="173"/>
        <v xml:space="preserve"> </v>
      </c>
      <c r="FC56" s="361"/>
      <c r="FD56" s="361" t="str">
        <f>IF(J56&gt;0,IF(Calculation!R56&lt;=70,4,IF(Calculation!R56&lt;=110,5,IF(Calculation!R56&lt;=160,6,IF(Calculation!R56&lt;=300,8,"10 EO")))),"")</f>
        <v/>
      </c>
      <c r="FE56" s="361" t="str">
        <f t="shared" si="174"/>
        <v/>
      </c>
      <c r="FF56" s="361" t="str">
        <f t="shared" si="175"/>
        <v/>
      </c>
      <c r="FG56" s="361" t="e">
        <f t="shared" si="60"/>
        <v>#N/A</v>
      </c>
      <c r="FH56" s="361">
        <f t="shared" si="61"/>
        <v>0</v>
      </c>
      <c r="FI56" s="361" t="e">
        <f t="shared" si="62"/>
        <v>#DIV/0!</v>
      </c>
      <c r="FJ56" s="361"/>
      <c r="FK56" s="356" t="e">
        <f t="shared" si="63"/>
        <v>#VALUE!</v>
      </c>
      <c r="FL56" s="361"/>
      <c r="FM56" s="361"/>
      <c r="FN56" s="362" t="str">
        <f t="shared" si="176"/>
        <v xml:space="preserve"> </v>
      </c>
      <c r="FO56" s="362" t="str">
        <f t="shared" si="177"/>
        <v xml:space="preserve"> </v>
      </c>
      <c r="FP56" s="362">
        <f t="shared" si="178"/>
        <v>0</v>
      </c>
      <c r="FQ56" s="361">
        <f t="shared" si="64"/>
        <v>0</v>
      </c>
      <c r="FR56" s="362" t="str">
        <f>IF(L56&gt;0,IF(J56="CBAL2",Worksheet!$P$67,IF(J56="CBE2-24",Worksheet!$Q$67,IF(J56="CBAM",Worksheet!$R$67,IF(J56="CBLV",Worksheet!$S$67,IF(J56="CBAB",Worksheet!$U$67,IF(J56="CBAW",Worksheet!$X$67,IF(J56="CBE2-12",Worksheet!$Y$67,IF(J56="CBAL2",Worksheet!$Z$67,"N/A"))))))))," ")</f>
        <v xml:space="preserve"> </v>
      </c>
      <c r="FS56" s="362" t="str">
        <f>IF(L56&gt;0,IF(J56="CBAL2",Worksheet!$P$68,IF(J56="CBE2-24",Worksheet!$Q$68,IF(J56="CBAM",Worksheet!$R$68,IF(J56="CBLV",Worksheet!$S$68,IF(J56="CBAB",Worksheet!$U$68,IF(J56="CBAW",Worksheet!$X$68,IF(J56="CBE2-12",Worksheet!$Y$68,IF(J56="CBAL2",Worksheet!$Z$68,"N/A"))))))))," ")</f>
        <v xml:space="preserve"> </v>
      </c>
      <c r="FT56" s="362" t="str">
        <f>IF(L56&gt;0,IF(J56="CBAL2",Worksheet!$P$69,IF(J56="CBE2-24",Worksheet!$Q$69,IF(J56="CBAM",Worksheet!$R$69,IF(J56="CBLV",Worksheet!$S$69,IF(J56="CBAB",Worksheet!$U$69,IF(J56="CBAW",Worksheet!$X$69,IF(J56="CBE2-12",Worksheet!$Y$69,IF(J56="CBAL2",Worksheet!$Z$69,"N/A"))))))))," ")</f>
        <v xml:space="preserve"> </v>
      </c>
      <c r="FU56" s="361" t="str">
        <f t="shared" si="179"/>
        <v xml:space="preserve"> </v>
      </c>
      <c r="FV56" s="362" t="str">
        <f t="shared" si="180"/>
        <v xml:space="preserve"> </v>
      </c>
      <c r="FW56" s="362" t="str">
        <f t="shared" si="181"/>
        <v xml:space="preserve"> </v>
      </c>
      <c r="FX56" s="362" t="str">
        <f t="shared" si="182"/>
        <v xml:space="preserve"> </v>
      </c>
      <c r="FY56" s="355" t="str">
        <f t="shared" si="183"/>
        <v xml:space="preserve"> </v>
      </c>
      <c r="FZ56" s="361" t="str">
        <f t="shared" si="184"/>
        <v xml:space="preserve"> </v>
      </c>
      <c r="GA56" s="347" t="str">
        <f t="shared" si="185"/>
        <v xml:space="preserve"> </v>
      </c>
      <c r="GB56" s="355" t="str">
        <f t="shared" si="186"/>
        <v xml:space="preserve"> </v>
      </c>
      <c r="GC56" s="328" t="str">
        <f t="shared" si="187"/>
        <v xml:space="preserve"> </v>
      </c>
      <c r="GD56" s="361" t="str">
        <f t="shared" si="188"/>
        <v xml:space="preserve"> </v>
      </c>
      <c r="GE56" s="347" t="str">
        <f t="shared" si="189"/>
        <v xml:space="preserve"> </v>
      </c>
      <c r="GF56" s="361" t="str">
        <f t="shared" si="190"/>
        <v xml:space="preserve"> </v>
      </c>
      <c r="GG56" s="347" t="str">
        <f t="shared" si="191"/>
        <v xml:space="preserve"> </v>
      </c>
      <c r="GH56" s="364">
        <f t="shared" si="78"/>
        <v>0</v>
      </c>
      <c r="GI56" s="362">
        <f t="shared" si="192"/>
        <v>2</v>
      </c>
      <c r="GJ56" s="433" t="e">
        <f>IF(6-COUNTBLANK(GT56:GY56)=4,MATCH(MID(BO56,9,3),CLU!$H$16:$K$16),MATCH(MID(BO56,9,3),CLU!$H$13:$M$13))</f>
        <v>#N/A</v>
      </c>
      <c r="GK56" s="433" t="e">
        <f>HLOOKUP(VALUE(BP56),CLU!$H$9:$M$10,2)</f>
        <v>#VALUE!</v>
      </c>
      <c r="GL56" s="433" t="e">
        <f ca="1">MATCH(BU56,CLU!$H$2:$V$2,1)</f>
        <v>#VALUE!</v>
      </c>
      <c r="GM56" s="433" t="e">
        <f t="shared" ca="1" si="193"/>
        <v>#VALUE!</v>
      </c>
      <c r="GN56" s="433" t="e">
        <f t="shared" ca="1" si="194"/>
        <v>#VALUE!</v>
      </c>
      <c r="GO56" s="433" t="e">
        <f t="shared" ca="1" si="195"/>
        <v>#VALUE!</v>
      </c>
      <c r="GP56" s="433" t="e">
        <f t="shared" ca="1" si="196"/>
        <v>#VALUE!</v>
      </c>
      <c r="GQ56" s="433" t="e">
        <f t="shared" ca="1" si="197"/>
        <v>#VALUE!</v>
      </c>
      <c r="GR56" s="433" t="e">
        <f ca="1">MATCH(T56,INDIRECT(VLOOKUP(CONCATENATE(LEFT(BO56,7),"-",MID(BO56,13,1)),CLU!$P$3:$Q$16,2)),1)</f>
        <v>#N/A</v>
      </c>
      <c r="GS56" s="433" t="e">
        <f ca="1">MATCH(U56,INDIRECT(VLOOKUP(CONCATENATE(LEFT(BO56,7),"-",MID(BO56,13,1)),CLU!$P$3:$Q$16,2)),1)</f>
        <v>#N/A</v>
      </c>
      <c r="GT56" s="347" t="s">
        <v>512</v>
      </c>
      <c r="GU56" s="97" t="s">
        <v>513</v>
      </c>
      <c r="GV56" s="97" t="str">
        <f t="shared" si="198"/>
        <v>M23</v>
      </c>
      <c r="GW56" s="97" t="str">
        <f t="shared" si="199"/>
        <v>M31</v>
      </c>
      <c r="GX56" s="97" t="str">
        <f t="shared" si="200"/>
        <v/>
      </c>
      <c r="GY56" s="97" t="str">
        <f t="shared" si="201"/>
        <v/>
      </c>
      <c r="GZ56" s="481"/>
      <c r="HA56" s="288"/>
      <c r="HB56" s="240"/>
      <c r="HC56" s="240"/>
      <c r="HD56" s="240"/>
      <c r="HE56" s="240"/>
      <c r="HF56" s="240"/>
      <c r="HG56" s="240"/>
      <c r="HH56" s="240"/>
      <c r="HI56" s="240"/>
      <c r="HJ56" s="240"/>
      <c r="HK56" s="240"/>
      <c r="HL56" s="240"/>
      <c r="HM56" s="240"/>
      <c r="HN56" s="240"/>
      <c r="HO56" s="240"/>
      <c r="HP56" s="240"/>
      <c r="HQ56" s="240"/>
      <c r="HR56" s="240"/>
      <c r="HS56" s="240"/>
      <c r="HT56" s="240"/>
      <c r="HU56" s="240"/>
      <c r="HV56" s="245"/>
      <c r="HW56" s="245" t="b">
        <v>1</v>
      </c>
      <c r="HX56" s="245" t="str">
        <f t="shared" si="79"/>
        <v/>
      </c>
      <c r="HY56" s="245" t="e">
        <f t="shared" si="80"/>
        <v>#DIV/0!</v>
      </c>
      <c r="HZ56" s="245" t="e">
        <f t="shared" si="81"/>
        <v>#DIV/0!</v>
      </c>
      <c r="IA56" s="245">
        <f t="shared" si="82"/>
        <v>0</v>
      </c>
      <c r="IB56" s="245"/>
      <c r="IC56" t="b">
        <f t="shared" si="83"/>
        <v>1</v>
      </c>
      <c r="ID56" s="245" t="b">
        <f t="shared" si="84"/>
        <v>1</v>
      </c>
      <c r="IE56" s="245" t="b">
        <f t="shared" si="85"/>
        <v>1</v>
      </c>
      <c r="IF56" s="245" t="b">
        <f t="shared" si="86"/>
        <v>0</v>
      </c>
      <c r="IG56" s="245" t="b">
        <f t="shared" si="87"/>
        <v>1</v>
      </c>
      <c r="IH56" s="245" t="b">
        <f t="shared" si="88"/>
        <v>1</v>
      </c>
      <c r="II56" s="245">
        <f t="shared" si="202"/>
        <v>0</v>
      </c>
      <c r="IJ56" s="245" t="e">
        <f t="shared" si="89"/>
        <v>#VALUE!</v>
      </c>
      <c r="IK56" s="245" t="e">
        <f t="shared" si="90"/>
        <v>#VALUE!</v>
      </c>
      <c r="IL56" s="245"/>
      <c r="IM56" s="245" t="e">
        <f t="shared" si="203"/>
        <v>#N/A</v>
      </c>
      <c r="IN56" s="245" t="e">
        <f t="shared" si="204"/>
        <v>#N/A</v>
      </c>
      <c r="IO56" s="245"/>
      <c r="IP56" s="245"/>
      <c r="IQ56" s="245" t="str">
        <f t="shared" si="91"/>
        <v/>
      </c>
      <c r="IR56" s="245" t="str">
        <f>IF(J56="","",VLOOKUP(J56,Worksheet!$R$4:$T$14,2))</f>
        <v/>
      </c>
      <c r="IS56" s="245"/>
      <c r="IT56" s="245">
        <f t="shared" si="92"/>
        <v>0</v>
      </c>
      <c r="IU56" s="245">
        <f t="shared" si="93"/>
        <v>0</v>
      </c>
      <c r="IV56" s="245">
        <f t="shared" si="94"/>
        <v>0</v>
      </c>
      <c r="IW56" s="245">
        <f t="shared" si="95"/>
        <v>0</v>
      </c>
      <c r="IX56" s="245">
        <f t="shared" si="205"/>
        <v>0</v>
      </c>
      <c r="IY56" s="245">
        <f t="shared" si="96"/>
        <v>0</v>
      </c>
      <c r="IZ56" s="245">
        <f t="shared" si="97"/>
        <v>0</v>
      </c>
      <c r="JA56">
        <f t="shared" si="98"/>
        <v>0</v>
      </c>
      <c r="JB56">
        <f t="shared" si="206"/>
        <v>0</v>
      </c>
      <c r="JC56">
        <f t="shared" si="99"/>
        <v>0</v>
      </c>
      <c r="JD56">
        <f t="shared" si="100"/>
        <v>0</v>
      </c>
      <c r="JE56">
        <f t="shared" si="101"/>
        <v>0</v>
      </c>
      <c r="JF56">
        <f t="shared" si="102"/>
        <v>0</v>
      </c>
      <c r="JG56">
        <f t="shared" si="103"/>
        <v>0</v>
      </c>
      <c r="JH56">
        <f t="shared" si="104"/>
        <v>0</v>
      </c>
      <c r="JI56">
        <f t="shared" si="105"/>
        <v>0</v>
      </c>
      <c r="JJ56" s="447">
        <f t="shared" si="106"/>
        <v>0</v>
      </c>
      <c r="JK56" s="447">
        <f t="shared" si="107"/>
        <v>0</v>
      </c>
      <c r="JL56">
        <f t="shared" si="108"/>
        <v>0</v>
      </c>
      <c r="JM56" s="245" t="str">
        <f>IFERROR(VLOOKUP(MATCH(BN56,#REF!,0),#REF!,7),"")</f>
        <v/>
      </c>
      <c r="JN56" t="e">
        <f>HLOOKUP(LEFT(BO56,7),Discharge_Area,MATCH(JO56,LookUps!$B$130:$B$149,1)+2)</f>
        <v>#N/A</v>
      </c>
      <c r="JO56" t="str">
        <f t="shared" si="109"/>
        <v>- S</v>
      </c>
      <c r="JP56" t="e">
        <f>HLOOKUP(LEFT(BO56,7),Discharge_Area,MATCH(JO56,LookUps!$B$130:$B$149,1)+2)</f>
        <v>#N/A</v>
      </c>
      <c r="JQ56" t="e">
        <f t="shared" si="110"/>
        <v>#N/A</v>
      </c>
      <c r="JR56" t="e">
        <f t="shared" si="111"/>
        <v>#N/A</v>
      </c>
      <c r="JS56" t="e">
        <f t="shared" si="112"/>
        <v>#N/A</v>
      </c>
      <c r="JT56" s="532" t="str">
        <f t="shared" si="113"/>
        <v xml:space="preserve"> </v>
      </c>
      <c r="JU56" s="532" t="str">
        <f t="shared" si="114"/>
        <v xml:space="preserve"> </v>
      </c>
      <c r="JV56" s="533" t="str">
        <f t="shared" si="115"/>
        <v xml:space="preserve"> </v>
      </c>
      <c r="JW56" s="534">
        <f t="shared" si="116"/>
        <v>0</v>
      </c>
      <c r="JX56" s="535" t="str">
        <f t="shared" si="207"/>
        <v xml:space="preserve"> </v>
      </c>
      <c r="JY56" s="535" t="str">
        <f t="shared" si="208"/>
        <v xml:space="preserve"> </v>
      </c>
      <c r="JZ56" s="535" t="str">
        <f t="shared" si="209"/>
        <v xml:space="preserve"> </v>
      </c>
      <c r="KA56" s="536" t="str">
        <f t="shared" si="117"/>
        <v xml:space="preserve"> </v>
      </c>
      <c r="KB56" s="535" t="e">
        <f t="shared" si="210"/>
        <v>#VALUE!</v>
      </c>
      <c r="KC56" s="535" t="str">
        <f t="shared" si="118"/>
        <v/>
      </c>
      <c r="KD56" s="537" t="str">
        <f t="shared" si="211"/>
        <v xml:space="preserve"> </v>
      </c>
      <c r="KE56" s="537" t="str">
        <f t="shared" si="212"/>
        <v xml:space="preserve"> </v>
      </c>
      <c r="KF56" s="534">
        <f t="shared" si="119"/>
        <v>0</v>
      </c>
      <c r="KG56" s="535" t="str">
        <f t="shared" si="120"/>
        <v xml:space="preserve"> </v>
      </c>
      <c r="KH56" s="535" t="str">
        <f t="shared" si="121"/>
        <v xml:space="preserve"> </v>
      </c>
      <c r="KI56" s="535" t="str">
        <f t="shared" si="122"/>
        <v xml:space="preserve"> </v>
      </c>
      <c r="KJ56" s="536" t="str">
        <f t="shared" si="123"/>
        <v xml:space="preserve"> </v>
      </c>
      <c r="KK56" s="535" t="str">
        <f t="shared" si="213"/>
        <v xml:space="preserve"> </v>
      </c>
      <c r="KL56" s="535" t="str">
        <f t="shared" si="214"/>
        <v xml:space="preserve"> </v>
      </c>
      <c r="KM56" s="537" t="str">
        <f t="shared" si="124"/>
        <v xml:space="preserve"> </v>
      </c>
      <c r="KN56" s="537" t="str">
        <f t="shared" si="215"/>
        <v xml:space="preserve"> </v>
      </c>
      <c r="KP56">
        <f t="shared" si="125"/>
        <v>0</v>
      </c>
      <c r="LA56" t="e">
        <f t="shared" si="126"/>
        <v>#VALUE!</v>
      </c>
      <c r="LB56" t="e">
        <f t="shared" si="127"/>
        <v>#VALUE!</v>
      </c>
      <c r="LC56" t="e">
        <f t="shared" si="128"/>
        <v>#VALUE!</v>
      </c>
      <c r="LD56" t="e">
        <f t="shared" si="129"/>
        <v>#VALUE!</v>
      </c>
      <c r="LE56" t="e">
        <f t="shared" si="216"/>
        <v>#VALUE!</v>
      </c>
      <c r="LF56">
        <f t="shared" si="130"/>
        <v>0</v>
      </c>
      <c r="LG56" t="e">
        <f t="shared" si="217"/>
        <v>#VALUE!</v>
      </c>
      <c r="LH56" t="str">
        <f t="shared" si="131"/>
        <v xml:space="preserve"> </v>
      </c>
      <c r="LI56">
        <f t="shared" si="218"/>
        <v>1</v>
      </c>
    </row>
    <row r="57" spans="2:321" ht="15" customHeight="1">
      <c r="B57" s="311"/>
      <c r="C57" s="311"/>
      <c r="D57" s="312"/>
      <c r="E57" s="311"/>
      <c r="F57" s="312"/>
      <c r="G57" s="311"/>
      <c r="H57" s="311"/>
      <c r="I57" s="37"/>
      <c r="J57" s="311"/>
      <c r="K57" s="305" t="str">
        <f t="shared" si="132"/>
        <v/>
      </c>
      <c r="L57" s="313"/>
      <c r="M57" s="312"/>
      <c r="N57" s="311"/>
      <c r="O57" s="312"/>
      <c r="P57" s="311"/>
      <c r="Q57" s="305" t="str">
        <f t="shared" si="133"/>
        <v/>
      </c>
      <c r="R57" s="314"/>
      <c r="S57" s="450" t="str">
        <f t="shared" si="0"/>
        <v/>
      </c>
      <c r="T57" s="315"/>
      <c r="U57" s="315"/>
      <c r="W57" s="149" t="str">
        <f t="shared" si="1"/>
        <v xml:space="preserve"> </v>
      </c>
      <c r="X57" s="243" t="str">
        <f t="shared" si="2"/>
        <v xml:space="preserve"> </v>
      </c>
      <c r="Y57" s="150" t="str">
        <f t="shared" si="3"/>
        <v/>
      </c>
      <c r="Z57" s="149" t="str">
        <f t="shared" si="4"/>
        <v xml:space="preserve"> </v>
      </c>
      <c r="AA57" s="98" t="str">
        <f t="shared" si="5"/>
        <v xml:space="preserve"> </v>
      </c>
      <c r="AB57" s="153" t="str">
        <f t="shared" si="6"/>
        <v xml:space="preserve"> </v>
      </c>
      <c r="AC57" s="153" t="str">
        <f t="shared" si="7"/>
        <v xml:space="preserve"> </v>
      </c>
      <c r="AD57" s="148" t="str">
        <f t="shared" si="8"/>
        <v/>
      </c>
      <c r="AE57" s="149" t="str">
        <f t="shared" si="9"/>
        <v/>
      </c>
      <c r="AF57" s="151" t="str">
        <f t="shared" si="10"/>
        <v xml:space="preserve"> </v>
      </c>
      <c r="AG57" s="153" t="str">
        <f t="shared" si="11"/>
        <v xml:space="preserve"> </v>
      </c>
      <c r="AH57" s="98" t="str">
        <f t="shared" si="12"/>
        <v xml:space="preserve"> </v>
      </c>
      <c r="AI57" s="149" t="str">
        <f t="shared" si="13"/>
        <v xml:space="preserve"> </v>
      </c>
      <c r="AK57" s="144" t="str">
        <f t="shared" si="14"/>
        <v xml:space="preserve"> </v>
      </c>
      <c r="AL57" s="144"/>
      <c r="AM57" s="243" t="str">
        <f t="shared" si="15"/>
        <v xml:space="preserve"> </v>
      </c>
      <c r="AN57" s="149" t="str">
        <f t="shared" si="134"/>
        <v xml:space="preserve"> </v>
      </c>
      <c r="AO57" s="144" t="str">
        <f>IF(JB57&gt;0,IF(GI57=10,-R57*1.085*(Calculation!$F$6-Calculation!$F$13)*$S$14," "),"")</f>
        <v/>
      </c>
      <c r="AP57" s="144" t="str">
        <f t="shared" si="16"/>
        <v/>
      </c>
      <c r="AQ57" s="56" t="str">
        <f t="shared" si="17"/>
        <v/>
      </c>
      <c r="AR57" s="144" t="str">
        <f t="shared" si="18"/>
        <v/>
      </c>
      <c r="AS57" s="176" t="str">
        <f t="shared" si="19"/>
        <v/>
      </c>
      <c r="AT57" s="176" t="str">
        <f t="shared" si="135"/>
        <v xml:space="preserve"> </v>
      </c>
      <c r="AU57" s="176" t="str">
        <f t="shared" si="20"/>
        <v/>
      </c>
      <c r="AV57" s="177" t="str">
        <f t="shared" si="21"/>
        <v xml:space="preserve"> </v>
      </c>
      <c r="AW57" s="144" t="str">
        <f t="shared" si="22"/>
        <v xml:space="preserve"> </v>
      </c>
      <c r="AX57" s="144" t="str">
        <f t="shared" si="23"/>
        <v xml:space="preserve"> </v>
      </c>
      <c r="AY57" s="152" t="str">
        <f t="shared" si="24"/>
        <v xml:space="preserve"> </v>
      </c>
      <c r="AZ57" s="246" t="str">
        <f t="shared" si="25"/>
        <v/>
      </c>
      <c r="BA57" s="176" t="str">
        <f t="shared" si="26"/>
        <v xml:space="preserve"> </v>
      </c>
      <c r="BB57" s="176" t="str">
        <f t="shared" si="27"/>
        <v xml:space="preserve"> </v>
      </c>
      <c r="BC57" s="195"/>
      <c r="BD57" s="316"/>
      <c r="BE57" s="317"/>
      <c r="BF57" s="318"/>
      <c r="BG57" s="318"/>
      <c r="BH57" s="144" t="str">
        <f t="shared" si="219"/>
        <v xml:space="preserve"> </v>
      </c>
      <c r="BI57" s="176" t="str">
        <f t="shared" si="28"/>
        <v/>
      </c>
      <c r="BJ57" s="144" t="str">
        <f t="shared" si="220"/>
        <v/>
      </c>
      <c r="BK57" s="246" t="str">
        <f t="shared" si="29"/>
        <v/>
      </c>
      <c r="BL57" s="144" t="str">
        <f t="shared" si="221"/>
        <v/>
      </c>
      <c r="BM57" s="246" t="str">
        <f t="shared" si="30"/>
        <v/>
      </c>
      <c r="BN57" s="337" t="str">
        <f t="shared" si="136"/>
        <v/>
      </c>
      <c r="BO57" s="371" t="str">
        <f t="shared" si="137"/>
        <v/>
      </c>
      <c r="BP57" s="328" t="str">
        <f t="shared" si="222"/>
        <v xml:space="preserve"> </v>
      </c>
      <c r="BQ57" s="347" t="str">
        <f t="shared" si="138"/>
        <v xml:space="preserve"> </v>
      </c>
      <c r="BR57" s="353" t="str">
        <f t="shared" si="223"/>
        <v xml:space="preserve"> </v>
      </c>
      <c r="BS57" s="626" t="str">
        <f>IF(L57&gt;0,IF(Calculation!P57="M13",BR57*3.1416*(0.134^2)/(4*144),IF(Calculation!P57="M17",BR57*3.1416*(0.165^2)/(4*144),IF(Calculation!P57="M20",BR57*3.1416*(0.198^2)/(4*144),IF(Calculation!P57="M23",BR57*3.1416*(0.228^2)/(4*144),IF(Calculation!P57="M27",BR57*3.1416*(0.269^2)/(4*144),BR57*3.1416*(0.307^2)/(4*144))))))," ")</f>
        <v xml:space="preserve"> </v>
      </c>
      <c r="BT57" s="353" t="str">
        <f>IF(L57&gt;0,IF(BS57&gt;0,R57/Calculation!BS57,0)," ")</f>
        <v xml:space="preserve"> </v>
      </c>
      <c r="BU57" s="438" t="e">
        <f t="shared" ca="1" si="31"/>
        <v>#VALUE!</v>
      </c>
      <c r="BV57" s="449" t="e">
        <f ca="1">INDEX(INDIRECT(VLOOKUP(LEFT(BO57,7),CLU!$Z$3:$AH$18,2)),GN57,GR57)</f>
        <v>#N/A</v>
      </c>
      <c r="BW57" s="433" t="e">
        <f ca="1">INDEX(INDIRECT(VLOOKUP(LEFT(BO57,7),CLU!$Z$3:$AH$18,3)),GN57,GR57)</f>
        <v>#N/A</v>
      </c>
      <c r="BX57" s="433" t="e">
        <f ca="1">INDEX(INDIRECT(VLOOKUP(LEFT(BO57,7),CLU!$Z$3:$AH$18,4)),GN57,GR57)</f>
        <v>#N/A</v>
      </c>
      <c r="BY57" s="433" t="e">
        <f ca="1">INDEX(INDIRECT(VLOOKUP(LEFT(BO57,7),CLU!$Z$3:$AH$18,9)),((M57-2)*(6-COUNTBLANK(GT57:GY57)))+GJ57)</f>
        <v>#N/A</v>
      </c>
      <c r="BZ57" s="426" t="e">
        <f t="shared" ca="1" si="139"/>
        <v>#N/A</v>
      </c>
      <c r="CA57" s="424" t="e">
        <f t="shared" ca="1" si="140"/>
        <v>#N/A</v>
      </c>
      <c r="CB57" s="429" t="e">
        <f ca="1">INDEX(INDIRECT(VLOOKUP(LEFT(BO57,7),CLU!$Z$3:$AH$18,2)),GN57,GS57)</f>
        <v>#N/A</v>
      </c>
      <c r="CC57" s="342" t="e">
        <f ca="1">INDEX(INDIRECT(VLOOKUP(LEFT(BO57,7),CLU!$Z$3:$AH$18,3)),GN57,GS57)</f>
        <v>#N/A</v>
      </c>
      <c r="CD57" s="342" t="e">
        <f ca="1">INDEX(INDIRECT(VLOOKUP(LEFT(BO57,7),CLU!$Z$3:$AH$18,4)),GN57,GS57)</f>
        <v>#N/A</v>
      </c>
      <c r="CE57" s="426" t="e">
        <f t="shared" ca="1" si="141"/>
        <v>#N/A</v>
      </c>
      <c r="CF57" s="440">
        <f t="shared" si="142"/>
        <v>0</v>
      </c>
      <c r="CG57" s="431" t="e">
        <f ca="1">INDEX(INDIRECT(VLOOKUP(LEFT(BO57,7),CLU!$Z$3:$AH$18,2)),GQ57,GR57)</f>
        <v>#N/A</v>
      </c>
      <c r="CH57" s="431" t="e">
        <f ca="1">INDEX(INDIRECT(VLOOKUP(LEFT(BO57,7),CLU!$Z$3:$AH$18,3)),GQ57,GR57)</f>
        <v>#N/A</v>
      </c>
      <c r="CI57" s="431" t="e">
        <f ca="1">INDEX(INDIRECT(VLOOKUP(LEFT(BO57,7),CLU!$Z$3:$AH$18,4)),GQ57,GR57)</f>
        <v>#N/A</v>
      </c>
      <c r="CJ57" s="448" t="e">
        <f t="shared" ca="1" si="143"/>
        <v>#N/A</v>
      </c>
      <c r="CK57" s="431" t="e">
        <f t="shared" ca="1" si="144"/>
        <v>#N/A</v>
      </c>
      <c r="CL57" s="440" t="e">
        <f t="shared" ca="1" si="145"/>
        <v>#N/A</v>
      </c>
      <c r="CM57" s="431" t="e">
        <f ca="1">INDEX(INDIRECT(VLOOKUP(LEFT(BO57,7),CLU!$Z$3:$AH$18,2)),GQ57,GS57)</f>
        <v>#N/A</v>
      </c>
      <c r="CN57" s="431" t="e">
        <f ca="1">INDEX(INDIRECT(VLOOKUP(LEFT(BO57,7),CLU!$Z$3:$AH$18,3)),GQ57,GS57)</f>
        <v>#N/A</v>
      </c>
      <c r="CO57" s="431" t="e">
        <f ca="1">INDEX(INDIRECT(VLOOKUP(LEFT(BO57,7),CLU!$Z$3:$AH$18,4)),GQ57,GS57)</f>
        <v>#N/A</v>
      </c>
      <c r="CP57" s="431" t="e">
        <f t="shared" ca="1" si="146"/>
        <v>#N/A</v>
      </c>
      <c r="CQ57" s="440">
        <f t="shared" si="147"/>
        <v>0</v>
      </c>
      <c r="CR57" s="51" t="e">
        <f t="shared" ca="1" si="148"/>
        <v>#N/A</v>
      </c>
      <c r="CS57" s="439" t="e">
        <f t="shared" ca="1" si="149"/>
        <v>#VALUE!</v>
      </c>
      <c r="CT57" s="51" t="e">
        <f t="shared" ca="1" si="150"/>
        <v>#VALUE!</v>
      </c>
      <c r="CU57" s="10"/>
      <c r="CV57" s="51" t="e">
        <f t="shared" ca="1" si="34"/>
        <v>#VALUE!</v>
      </c>
      <c r="CW57" s="51">
        <f t="shared" si="151"/>
        <v>0</v>
      </c>
      <c r="CX57" s="439" t="e">
        <f t="shared" ca="1" si="152"/>
        <v>#VALUE!</v>
      </c>
      <c r="CY57" s="51" t="e">
        <f t="shared" ca="1" si="153"/>
        <v>#VALUE!</v>
      </c>
      <c r="CZ57" s="10"/>
      <c r="DA57" s="51" t="e">
        <f t="shared" ca="1" si="154"/>
        <v>#VALUE!</v>
      </c>
      <c r="DB57" s="347" t="e">
        <f ca="1">INDEX(INDIRECT(VLOOKUP(LEFT(BO57,7),CLU!$Z$3:$AI$18,10)),((M57-2)*(6-COUNTBLANK(GT57:GY57)))+GJ57)*LI57</f>
        <v>#N/A</v>
      </c>
      <c r="DC57" s="347" t="str">
        <f>IF(L57&gt;0,((R57/Worksheet!$I$15)/DB57)^2," ")</f>
        <v xml:space="preserve"> </v>
      </c>
      <c r="DD57" s="602" t="str">
        <f t="shared" si="224"/>
        <v xml:space="preserve"> </v>
      </c>
      <c r="DE57" s="347" t="str">
        <f t="shared" si="35"/>
        <v xml:space="preserve"> </v>
      </c>
      <c r="DF57" s="356" t="e">
        <f ca="1">INDEX(INDIRECT(VLOOKUP(LEFT(BO57,7),CLU!$Z$3:$AH$18,8)),((M57-2)*(6-COUNTBLANK(GT57:GY57)))+GJ57)</f>
        <v>#N/A</v>
      </c>
      <c r="DG57" s="347" t="str">
        <f t="shared" si="36"/>
        <v xml:space="preserve"> </v>
      </c>
      <c r="DH57" s="357" t="str">
        <f t="shared" si="37"/>
        <v xml:space="preserve"> </v>
      </c>
      <c r="DI57" s="355" t="str">
        <f t="shared" si="38"/>
        <v xml:space="preserve"> </v>
      </c>
      <c r="DJ57" s="245" t="e">
        <f ca="1">INDEX(INDIRECT(VLOOKUP(LEFT(BO57,7),CLU!$Z$3:$AH$18,5)),GL57,GK57)</f>
        <v>#N/A</v>
      </c>
      <c r="DK57" s="245" t="e">
        <f ca="1">INDEX(INDIRECT(VLOOKUP(LEFT(BO57,7),CLU!$Z$3:$AH$18,6)),GL57,GK57)</f>
        <v>#N/A</v>
      </c>
      <c r="DL57" s="355">
        <f>(Calculation!R57*0.69143*(Calculation!$BQ$8-Calculation!$F$8))*$S$14</f>
        <v>0</v>
      </c>
      <c r="DM57" s="359" t="e">
        <f t="shared" si="160"/>
        <v>#VALUE!</v>
      </c>
      <c r="DN57" s="611">
        <f t="shared" si="161"/>
        <v>0</v>
      </c>
      <c r="DO57" s="359">
        <f t="shared" si="162"/>
        <v>100</v>
      </c>
      <c r="DP57" s="359">
        <f t="shared" si="163"/>
        <v>0</v>
      </c>
      <c r="DQ57" s="360"/>
      <c r="DR57" s="245" t="e">
        <f ca="1">INDEX(INDIRECT(VLOOKUP(LEFT(BO57,7),CLU!$Z$3:$AH$18,7)),M57-1,1)</f>
        <v>#N/A</v>
      </c>
      <c r="DS57" s="245" t="e">
        <f ca="1">INDEX(INDIRECT(VLOOKUP(LEFT(BO57,7),CLU!$Z$3:$AH$18,7)),M57-1,2)</f>
        <v>#N/A</v>
      </c>
      <c r="DT57" s="245" t="e">
        <f ca="1">INDEX(INDIRECT(VLOOKUP(LEFT(BO57,7),CLU!$Z$3:$AH$18,7)),M57-1,3)</f>
        <v>#N/A</v>
      </c>
      <c r="DU57" s="245" t="e">
        <f ca="1">INDEX(INDIRECT(VLOOKUP(LEFT(BO57,7),CLU!$Z$3:$AH$18,7)),M57-1,4)</f>
        <v>#N/A</v>
      </c>
      <c r="DV57" s="361" t="e">
        <f ca="1">INDEX(INDIRECT(VLOOKUP(LEFT(BO57,7),CLU!$Z$3:$AH$18,7)),M57-1,4+LEFT(DZ57,1)*0.5)</f>
        <v>#N/A</v>
      </c>
      <c r="DW57" s="245" t="e">
        <f ca="1">INDEX(INDIRECT(VLOOKUP(LEFT(BO57,7),CLU!$Z$3:$AH$18,7)),M57-1,8)</f>
        <v>#N/A</v>
      </c>
      <c r="DX57" s="361" t="str">
        <f t="shared" si="39"/>
        <v xml:space="preserve"> </v>
      </c>
      <c r="DY57" s="361" t="str">
        <f t="shared" si="40"/>
        <v xml:space="preserve"> </v>
      </c>
      <c r="DZ57" s="361" t="str">
        <f t="shared" si="41"/>
        <v xml:space="preserve"> </v>
      </c>
      <c r="EA57" s="362" t="str">
        <f t="shared" si="42"/>
        <v xml:space="preserve"> </v>
      </c>
      <c r="EB57" s="624" t="str">
        <f t="shared" si="168"/>
        <v xml:space="preserve"> </v>
      </c>
      <c r="EC57" s="361" t="e">
        <f ca="1">INDEX(INDIRECT(VLOOKUP(LEFT(BO57,7),CLU!$Z$3:$AH$18,7)),M57-1,4+LEFT(DZ57,1)*0.5)</f>
        <v>#N/A</v>
      </c>
      <c r="ED57" s="362" t="str">
        <f t="shared" si="43"/>
        <v xml:space="preserve"> </v>
      </c>
      <c r="EE57" s="361" t="str">
        <f t="shared" si="44"/>
        <v xml:space="preserve"> </v>
      </c>
      <c r="EF57" s="362" t="str">
        <f>IF(L57&gt;0,IF(BR57&gt;0,IF(EE57="2P",IF(Calculation!DZ57="2P",IF(Calculation!DS57=13.75,IF(Calculation!DR57=13,Worksheet!$BD$43,IF(Calculation!DR57=37,Worksheet!$BD$44,Worksheet!$BD$45)),IF(Calculation!DS57=10,IF(Calculation!DR57=18,Worksheet!$BD$29,IF(Calculation!DR57=30,Worksheet!$BD$30,IF(Calculation!DR57=42,Worksheet!$BD$31,IF(Calculation!DR57=54,Worksheet!$BD$32,IF(Calculation!DR57=66,Worksheet!$BD$33,IF(Calculation!DR57=78,Worksheet!$BD$34,IF(Calculation!DR57=90,Worksheet!$BD$35,IF(Calculation!DR57=102,Worksheet!$BD$36,Worksheet!$BD$37)))))))),IF(Calculation!DS57=12.5,IF(Calculation!DR57=18,Worksheet!$BD$38,IF(Calculation!DR57=Worksheet!$BD$39,IF(Calculation!DR57=42,Worksheet!$BD$40,IF(Calculation!DR57=54,Worksheet!$BD$41,Worksheet!$BD$42)))),IF(Calculation!DR57=18,Worksheet!$BD$11,IF(Calculation!DR57=30,Worksheet!$BD$12,IF(Calculation!DR57=42,Worksheet!$BD$13,IF(Calculation!DR57=54,Worksheet!$BD$14,IF(Calculation!DR57=66,Worksheet!$BD$15,IF(Calculation!DR57=78,Worksheet!$BD$16,IF(Calculation!DR57=90,Worksheet!$BD$17,IF(Calculation!DR57=102,Worksheet!$BD$18,Worksheet!$BD$19))))))))))),IF(Calculation!DS57=13.75,IF(Calculation!DR57=13,Worksheet!$BD$78,IF(Calculation!DR57=37,Worksheet!$BD$79,Worksheet!$BD$80)),IF(Calculation!DS57=10,IF(Calculation!DR57=18,Worksheet!$BD$64,IF(Calculation!DR57=30,Worksheet!$BD$65,IF(Calculation!DR57=42,Worksheet!$BD$66,IF(Calculation!DR57=54,Worksheet!$BD$68,IF(Calculation!DR57=66,Worksheet!$BD$68,IF(Calculation!DR57=78,Worksheet!$BD$69,IF(Calculation!DR57=90,Worksheet!$BD$70,IF(Calculation!DR57=102,Worksheet!$BD$71,Worksheet!$BD$72)))))))),IF(Calculation!DS57=12.5,IF(Calculation!DR57=18,Worksheet!$BD$73,IF(Calculation!DR57=Worksheet!$BD$74,IF(Calculation!DR57=42,Worksheet!$BD$75,IF(Calculation!DR57=54,Worksheet!$BD$76,Worksheet!$BD$77)))),IF(Calculation!DR57=18,Worksheet!$BD$55,IF(Calculation!DR57=30,Worksheet!$BD$56,IF(Calculation!DR57=42,Worksheet!$BD$57,IF(Calculation!DR57=54,Worksheet!$BD$58,IF(Calculation!DR57=66,Worksheet!$BD$59,IF(Calculation!DR57=78,Worksheet!$BD$60,IF(Calculation!DR57=90,Worksheet!$BD$61,IF(Calculation!DR57=102,Worksheet!$BD$62,Worksheet!$BD$63)))))))))))),5),0)," ")</f>
        <v xml:space="preserve"> </v>
      </c>
      <c r="EG57" s="361" t="str">
        <f t="shared" si="45"/>
        <v xml:space="preserve"> </v>
      </c>
      <c r="EH57" s="361" t="e">
        <f ca="1">INDEX(INDIRECT(VLOOKUP(LEFT(BO57,7),CLU!$Z$3:$AH$18,7)),M57-1,3+LEFT(DZ57,1))</f>
        <v>#N/A</v>
      </c>
      <c r="EI57" s="362" t="str">
        <f t="shared" si="46"/>
        <v xml:space="preserve"> </v>
      </c>
      <c r="EJ57" s="363" t="str">
        <f t="shared" si="47"/>
        <v xml:space="preserve"> </v>
      </c>
      <c r="EK57" s="363" t="str">
        <f t="shared" si="48"/>
        <v xml:space="preserve"> </v>
      </c>
      <c r="EL57" s="363" t="str">
        <f t="shared" si="49"/>
        <v xml:space="preserve"> </v>
      </c>
      <c r="EM57" s="362" t="str">
        <f>IF(L57&gt;0,IF(BR57&gt;0,(Calculation!T57/ED57)^2,0)," ")</f>
        <v xml:space="preserve"> </v>
      </c>
      <c r="EN57" s="362" t="str">
        <f>IF(L57&gt;0,IF(O57="2 Pipe (Cooling)","N/A",IF(BR57&gt;0,(Calculation!U57/EI57)^2,0))," ")</f>
        <v xml:space="preserve"> </v>
      </c>
      <c r="EO57" s="361" t="str">
        <f t="shared" si="50"/>
        <v/>
      </c>
      <c r="EP57" s="361" t="str">
        <f t="shared" si="51"/>
        <v/>
      </c>
      <c r="EQ57" s="361" t="str">
        <f t="shared" si="52"/>
        <v/>
      </c>
      <c r="ER57" s="361" t="str">
        <f t="shared" si="53"/>
        <v/>
      </c>
      <c r="ES57" s="361" t="str">
        <f t="shared" si="54"/>
        <v/>
      </c>
      <c r="ET57" s="361" t="str">
        <f t="shared" si="55"/>
        <v/>
      </c>
      <c r="EU57" s="361" t="str">
        <f t="shared" si="56"/>
        <v/>
      </c>
      <c r="EV57" s="361" t="str">
        <f t="shared" si="57"/>
        <v/>
      </c>
      <c r="EW57" s="361" t="str">
        <f t="shared" si="58"/>
        <v/>
      </c>
      <c r="EX57" s="361" t="str">
        <f t="shared" si="169"/>
        <v>1 slot, 1 way</v>
      </c>
      <c r="EY57" s="361" t="str">
        <f t="shared" si="170"/>
        <v xml:space="preserve"> </v>
      </c>
      <c r="EZ57" s="361" t="str">
        <f t="shared" si="171"/>
        <v xml:space="preserve"> </v>
      </c>
      <c r="FA57" s="361" t="str">
        <f t="shared" si="172"/>
        <v xml:space="preserve"> </v>
      </c>
      <c r="FB57" s="361" t="str">
        <f t="shared" si="173"/>
        <v xml:space="preserve"> </v>
      </c>
      <c r="FC57" s="361"/>
      <c r="FD57" s="361" t="str">
        <f>IF(J57&gt;0,IF(Calculation!R57&lt;=70,4,IF(Calculation!R57&lt;=110,5,IF(Calculation!R57&lt;=160,6,IF(Calculation!R57&lt;=300,8,"10 EO")))),"")</f>
        <v/>
      </c>
      <c r="FE57" s="361" t="str">
        <f t="shared" si="174"/>
        <v/>
      </c>
      <c r="FF57" s="361" t="str">
        <f t="shared" si="175"/>
        <v/>
      </c>
      <c r="FG57" s="361" t="e">
        <f t="shared" si="60"/>
        <v>#N/A</v>
      </c>
      <c r="FH57" s="361">
        <f t="shared" si="61"/>
        <v>0</v>
      </c>
      <c r="FI57" s="361" t="e">
        <f t="shared" si="62"/>
        <v>#DIV/0!</v>
      </c>
      <c r="FJ57" s="361"/>
      <c r="FK57" s="356" t="e">
        <f t="shared" si="63"/>
        <v>#VALUE!</v>
      </c>
      <c r="FL57" s="361"/>
      <c r="FM57" s="361"/>
      <c r="FN57" s="362" t="str">
        <f t="shared" si="176"/>
        <v xml:space="preserve"> </v>
      </c>
      <c r="FO57" s="362" t="str">
        <f t="shared" si="177"/>
        <v xml:space="preserve"> </v>
      </c>
      <c r="FP57" s="362">
        <f t="shared" si="178"/>
        <v>0</v>
      </c>
      <c r="FQ57" s="361">
        <f t="shared" si="64"/>
        <v>0</v>
      </c>
      <c r="FR57" s="362" t="str">
        <f>IF(L57&gt;0,IF(J57="CBAL2",Worksheet!$P$67,IF(J57="CBE2-24",Worksheet!$Q$67,IF(J57="CBAM",Worksheet!$R$67,IF(J57="CBLV",Worksheet!$S$67,IF(J57="CBAB",Worksheet!$U$67,IF(J57="CBAW",Worksheet!$X$67,IF(J57="CBE2-12",Worksheet!$Y$67,IF(J57="CBAL2",Worksheet!$Z$67,"N/A"))))))))," ")</f>
        <v xml:space="preserve"> </v>
      </c>
      <c r="FS57" s="362" t="str">
        <f>IF(L57&gt;0,IF(J57="CBAL2",Worksheet!$P$68,IF(J57="CBE2-24",Worksheet!$Q$68,IF(J57="CBAM",Worksheet!$R$68,IF(J57="CBLV",Worksheet!$S$68,IF(J57="CBAB",Worksheet!$U$68,IF(J57="CBAW",Worksheet!$X$68,IF(J57="CBE2-12",Worksheet!$Y$68,IF(J57="CBAL2",Worksheet!$Z$68,"N/A"))))))))," ")</f>
        <v xml:space="preserve"> </v>
      </c>
      <c r="FT57" s="362" t="str">
        <f>IF(L57&gt;0,IF(J57="CBAL2",Worksheet!$P$69,IF(J57="CBE2-24",Worksheet!$Q$69,IF(J57="CBAM",Worksheet!$R$69,IF(J57="CBLV",Worksheet!$S$69,IF(J57="CBAB",Worksheet!$U$69,IF(J57="CBAW",Worksheet!$X$69,IF(J57="CBE2-12",Worksheet!$Y$69,IF(J57="CBAL2",Worksheet!$Z$69,"N/A"))))))))," ")</f>
        <v xml:space="preserve"> </v>
      </c>
      <c r="FU57" s="361" t="str">
        <f t="shared" si="179"/>
        <v xml:space="preserve"> </v>
      </c>
      <c r="FV57" s="362" t="str">
        <f t="shared" si="180"/>
        <v xml:space="preserve"> </v>
      </c>
      <c r="FW57" s="362" t="str">
        <f t="shared" si="181"/>
        <v xml:space="preserve"> </v>
      </c>
      <c r="FX57" s="362" t="str">
        <f t="shared" si="182"/>
        <v xml:space="preserve"> </v>
      </c>
      <c r="FY57" s="355" t="str">
        <f t="shared" si="183"/>
        <v xml:space="preserve"> </v>
      </c>
      <c r="FZ57" s="361" t="str">
        <f t="shared" si="184"/>
        <v xml:space="preserve"> </v>
      </c>
      <c r="GA57" s="347" t="str">
        <f t="shared" si="185"/>
        <v xml:space="preserve"> </v>
      </c>
      <c r="GB57" s="355" t="str">
        <f t="shared" si="186"/>
        <v xml:space="preserve"> </v>
      </c>
      <c r="GC57" s="328" t="str">
        <f t="shared" si="187"/>
        <v xml:space="preserve"> </v>
      </c>
      <c r="GD57" s="361" t="str">
        <f t="shared" si="188"/>
        <v xml:space="preserve"> </v>
      </c>
      <c r="GE57" s="347" t="str">
        <f t="shared" si="189"/>
        <v xml:space="preserve"> </v>
      </c>
      <c r="GF57" s="361" t="str">
        <f t="shared" si="190"/>
        <v xml:space="preserve"> </v>
      </c>
      <c r="GG57" s="347" t="str">
        <f t="shared" si="191"/>
        <v xml:space="preserve"> </v>
      </c>
      <c r="GH57" s="364">
        <f t="shared" si="78"/>
        <v>0</v>
      </c>
      <c r="GI57" s="362">
        <f t="shared" si="192"/>
        <v>2</v>
      </c>
      <c r="GJ57" s="433" t="e">
        <f>IF(6-COUNTBLANK(GT57:GY57)=4,MATCH(MID(BO57,9,3),CLU!$H$16:$K$16),MATCH(MID(BO57,9,3),CLU!$H$13:$M$13))</f>
        <v>#N/A</v>
      </c>
      <c r="GK57" s="433" t="e">
        <f>HLOOKUP(VALUE(BP57),CLU!$H$9:$M$10,2)</f>
        <v>#VALUE!</v>
      </c>
      <c r="GL57" s="433" t="e">
        <f ca="1">MATCH(BU57,CLU!$H$2:$V$2,1)</f>
        <v>#VALUE!</v>
      </c>
      <c r="GM57" s="433" t="e">
        <f t="shared" ca="1" si="193"/>
        <v>#VALUE!</v>
      </c>
      <c r="GN57" s="433" t="e">
        <f t="shared" ca="1" si="194"/>
        <v>#VALUE!</v>
      </c>
      <c r="GO57" s="433" t="e">
        <f t="shared" ca="1" si="195"/>
        <v>#VALUE!</v>
      </c>
      <c r="GP57" s="433" t="e">
        <f t="shared" ca="1" si="196"/>
        <v>#VALUE!</v>
      </c>
      <c r="GQ57" s="433" t="e">
        <f t="shared" ca="1" si="197"/>
        <v>#VALUE!</v>
      </c>
      <c r="GR57" s="433" t="e">
        <f ca="1">MATCH(T57,INDIRECT(VLOOKUP(CONCATENATE(LEFT(BO57,7),"-",MID(BO57,13,1)),CLU!$P$3:$Q$16,2)),1)</f>
        <v>#N/A</v>
      </c>
      <c r="GS57" s="433" t="e">
        <f ca="1">MATCH(U57,INDIRECT(VLOOKUP(CONCATENATE(LEFT(BO57,7),"-",MID(BO57,13,1)),CLU!$P$3:$Q$16,2)),1)</f>
        <v>#N/A</v>
      </c>
      <c r="GT57" s="347" t="s">
        <v>512</v>
      </c>
      <c r="GU57" s="97" t="s">
        <v>513</v>
      </c>
      <c r="GV57" s="97" t="str">
        <f t="shared" si="198"/>
        <v>M23</v>
      </c>
      <c r="GW57" s="97" t="str">
        <f t="shared" si="199"/>
        <v>M31</v>
      </c>
      <c r="GX57" s="97" t="str">
        <f t="shared" si="200"/>
        <v/>
      </c>
      <c r="GY57" s="97" t="str">
        <f t="shared" si="201"/>
        <v/>
      </c>
      <c r="GZ57" s="481"/>
      <c r="HA57" s="288"/>
      <c r="HB57" s="240"/>
      <c r="HC57" s="240"/>
      <c r="HD57" s="240"/>
      <c r="HE57" s="240"/>
      <c r="HF57" s="240"/>
      <c r="HG57" s="240"/>
      <c r="HH57" s="240"/>
      <c r="HI57" s="240"/>
      <c r="HJ57" s="240"/>
      <c r="HK57" s="240"/>
      <c r="HL57" s="240"/>
      <c r="HM57" s="240"/>
      <c r="HN57" s="240"/>
      <c r="HO57" s="240"/>
      <c r="HP57" s="240"/>
      <c r="HQ57" s="240"/>
      <c r="HR57" s="240"/>
      <c r="HS57" s="240"/>
      <c r="HT57" s="240"/>
      <c r="HU57" s="240"/>
      <c r="HV57" s="245"/>
      <c r="HW57" s="245" t="b">
        <v>1</v>
      </c>
      <c r="HX57" s="245" t="str">
        <f t="shared" si="79"/>
        <v/>
      </c>
      <c r="HY57" s="245" t="e">
        <f t="shared" si="80"/>
        <v>#DIV/0!</v>
      </c>
      <c r="HZ57" s="245" t="e">
        <f t="shared" si="81"/>
        <v>#DIV/0!</v>
      </c>
      <c r="IA57" s="245">
        <f t="shared" si="82"/>
        <v>0</v>
      </c>
      <c r="IB57" s="245"/>
      <c r="IC57" t="b">
        <f t="shared" si="83"/>
        <v>1</v>
      </c>
      <c r="ID57" s="245" t="b">
        <f t="shared" si="84"/>
        <v>1</v>
      </c>
      <c r="IE57" s="245" t="b">
        <f t="shared" si="85"/>
        <v>1</v>
      </c>
      <c r="IF57" s="245" t="b">
        <f t="shared" si="86"/>
        <v>0</v>
      </c>
      <c r="IG57" s="245" t="b">
        <f t="shared" si="87"/>
        <v>1</v>
      </c>
      <c r="IH57" s="245" t="b">
        <f t="shared" si="88"/>
        <v>1</v>
      </c>
      <c r="II57" s="245">
        <f t="shared" si="202"/>
        <v>0</v>
      </c>
      <c r="IJ57" s="245" t="e">
        <f t="shared" si="89"/>
        <v>#VALUE!</v>
      </c>
      <c r="IK57" s="245" t="e">
        <f t="shared" si="90"/>
        <v>#VALUE!</v>
      </c>
      <c r="IL57" s="245"/>
      <c r="IM57" s="245" t="e">
        <f t="shared" si="203"/>
        <v>#N/A</v>
      </c>
      <c r="IN57" s="245" t="e">
        <f t="shared" si="204"/>
        <v>#N/A</v>
      </c>
      <c r="IO57" s="245"/>
      <c r="IP57" s="245"/>
      <c r="IQ57" s="245" t="str">
        <f t="shared" si="91"/>
        <v/>
      </c>
      <c r="IR57" s="245" t="str">
        <f>IF(J57="","",VLOOKUP(J57,Worksheet!$R$4:$T$14,2))</f>
        <v/>
      </c>
      <c r="IS57" s="245"/>
      <c r="IT57" s="245">
        <f t="shared" si="92"/>
        <v>0</v>
      </c>
      <c r="IU57" s="245">
        <f t="shared" si="93"/>
        <v>0</v>
      </c>
      <c r="IV57" s="245">
        <f t="shared" si="94"/>
        <v>0</v>
      </c>
      <c r="IW57" s="245">
        <f t="shared" si="95"/>
        <v>0</v>
      </c>
      <c r="IX57" s="245">
        <f t="shared" si="205"/>
        <v>0</v>
      </c>
      <c r="IY57" s="245">
        <f t="shared" si="96"/>
        <v>0</v>
      </c>
      <c r="IZ57" s="245">
        <f t="shared" si="97"/>
        <v>0</v>
      </c>
      <c r="JA57">
        <f t="shared" si="98"/>
        <v>0</v>
      </c>
      <c r="JB57">
        <f t="shared" si="206"/>
        <v>0</v>
      </c>
      <c r="JC57">
        <f t="shared" si="99"/>
        <v>0</v>
      </c>
      <c r="JD57">
        <f t="shared" si="100"/>
        <v>0</v>
      </c>
      <c r="JE57">
        <f t="shared" si="101"/>
        <v>0</v>
      </c>
      <c r="JF57">
        <f t="shared" si="102"/>
        <v>0</v>
      </c>
      <c r="JG57">
        <f t="shared" si="103"/>
        <v>0</v>
      </c>
      <c r="JH57">
        <f t="shared" si="104"/>
        <v>0</v>
      </c>
      <c r="JI57">
        <f t="shared" si="105"/>
        <v>0</v>
      </c>
      <c r="JJ57" s="447">
        <f t="shared" si="106"/>
        <v>0</v>
      </c>
      <c r="JK57" s="447">
        <f t="shared" si="107"/>
        <v>0</v>
      </c>
      <c r="JL57">
        <f t="shared" si="108"/>
        <v>0</v>
      </c>
      <c r="JM57" s="245" t="str">
        <f>IFERROR(VLOOKUP(MATCH(BN57,#REF!,0),#REF!,7),"")</f>
        <v/>
      </c>
      <c r="JN57" t="e">
        <f>HLOOKUP(LEFT(BO57,7),Discharge_Area,MATCH(JO57,LookUps!$B$130:$B$149,1)+2)</f>
        <v>#N/A</v>
      </c>
      <c r="JO57" t="str">
        <f t="shared" si="109"/>
        <v>- S</v>
      </c>
      <c r="JP57" t="e">
        <f>HLOOKUP(LEFT(BO57,7),Discharge_Area,MATCH(JO57,LookUps!$B$130:$B$149,1)+2)</f>
        <v>#N/A</v>
      </c>
      <c r="JQ57" t="e">
        <f t="shared" si="110"/>
        <v>#N/A</v>
      </c>
      <c r="JR57" t="e">
        <f t="shared" si="111"/>
        <v>#N/A</v>
      </c>
      <c r="JS57" t="e">
        <f t="shared" si="112"/>
        <v>#N/A</v>
      </c>
      <c r="JT57" s="532" t="str">
        <f t="shared" si="113"/>
        <v xml:space="preserve"> </v>
      </c>
      <c r="JU57" s="532" t="str">
        <f t="shared" si="114"/>
        <v xml:space="preserve"> </v>
      </c>
      <c r="JV57" s="533" t="str">
        <f t="shared" si="115"/>
        <v xml:space="preserve"> </v>
      </c>
      <c r="JW57" s="534">
        <f t="shared" si="116"/>
        <v>0</v>
      </c>
      <c r="JX57" s="535" t="str">
        <f t="shared" si="207"/>
        <v xml:space="preserve"> </v>
      </c>
      <c r="JY57" s="535" t="str">
        <f t="shared" si="208"/>
        <v xml:space="preserve"> </v>
      </c>
      <c r="JZ57" s="535" t="str">
        <f t="shared" si="209"/>
        <v xml:space="preserve"> </v>
      </c>
      <c r="KA57" s="536" t="str">
        <f t="shared" si="117"/>
        <v xml:space="preserve"> </v>
      </c>
      <c r="KB57" s="535" t="e">
        <f t="shared" si="210"/>
        <v>#VALUE!</v>
      </c>
      <c r="KC57" s="535" t="str">
        <f t="shared" si="118"/>
        <v/>
      </c>
      <c r="KD57" s="537" t="str">
        <f t="shared" si="211"/>
        <v xml:space="preserve"> </v>
      </c>
      <c r="KE57" s="537" t="str">
        <f t="shared" si="212"/>
        <v xml:space="preserve"> </v>
      </c>
      <c r="KF57" s="534">
        <f t="shared" si="119"/>
        <v>0</v>
      </c>
      <c r="KG57" s="535" t="str">
        <f t="shared" si="120"/>
        <v xml:space="preserve"> </v>
      </c>
      <c r="KH57" s="535" t="str">
        <f t="shared" si="121"/>
        <v xml:space="preserve"> </v>
      </c>
      <c r="KI57" s="535" t="str">
        <f t="shared" si="122"/>
        <v xml:space="preserve"> </v>
      </c>
      <c r="KJ57" s="536" t="str">
        <f t="shared" si="123"/>
        <v xml:space="preserve"> </v>
      </c>
      <c r="KK57" s="535" t="str">
        <f t="shared" si="213"/>
        <v xml:space="preserve"> </v>
      </c>
      <c r="KL57" s="535" t="str">
        <f t="shared" si="214"/>
        <v xml:space="preserve"> </v>
      </c>
      <c r="KM57" s="537" t="str">
        <f t="shared" si="124"/>
        <v xml:space="preserve"> </v>
      </c>
      <c r="KN57" s="537" t="str">
        <f t="shared" si="215"/>
        <v xml:space="preserve"> </v>
      </c>
      <c r="KP57">
        <f t="shared" si="125"/>
        <v>0</v>
      </c>
      <c r="LA57" t="e">
        <f t="shared" si="126"/>
        <v>#VALUE!</v>
      </c>
      <c r="LB57" t="e">
        <f t="shared" si="127"/>
        <v>#VALUE!</v>
      </c>
      <c r="LC57" t="e">
        <f t="shared" si="128"/>
        <v>#VALUE!</v>
      </c>
      <c r="LD57" t="e">
        <f t="shared" si="129"/>
        <v>#VALUE!</v>
      </c>
      <c r="LE57" t="e">
        <f t="shared" si="216"/>
        <v>#VALUE!</v>
      </c>
      <c r="LF57">
        <f t="shared" si="130"/>
        <v>0</v>
      </c>
      <c r="LG57" t="e">
        <f t="shared" si="217"/>
        <v>#VALUE!</v>
      </c>
      <c r="LH57" t="str">
        <f t="shared" si="131"/>
        <v xml:space="preserve"> </v>
      </c>
      <c r="LI57">
        <f t="shared" si="218"/>
        <v>1</v>
      </c>
    </row>
    <row r="58" spans="2:321" ht="15" customHeight="1">
      <c r="B58" s="311"/>
      <c r="C58" s="311"/>
      <c r="D58" s="312"/>
      <c r="E58" s="311"/>
      <c r="F58" s="312"/>
      <c r="G58" s="311"/>
      <c r="H58" s="311"/>
      <c r="I58" s="37"/>
      <c r="J58" s="311"/>
      <c r="K58" s="305" t="str">
        <f t="shared" si="132"/>
        <v/>
      </c>
      <c r="L58" s="313"/>
      <c r="M58" s="312"/>
      <c r="N58" s="311"/>
      <c r="O58" s="312"/>
      <c r="P58" s="311"/>
      <c r="Q58" s="305" t="str">
        <f t="shared" si="133"/>
        <v/>
      </c>
      <c r="R58" s="314"/>
      <c r="S58" s="450" t="str">
        <f t="shared" si="0"/>
        <v/>
      </c>
      <c r="T58" s="315"/>
      <c r="U58" s="315"/>
      <c r="W58" s="149" t="str">
        <f t="shared" si="1"/>
        <v xml:space="preserve"> </v>
      </c>
      <c r="X58" s="243" t="str">
        <f t="shared" si="2"/>
        <v xml:space="preserve"> </v>
      </c>
      <c r="Y58" s="150" t="str">
        <f t="shared" si="3"/>
        <v/>
      </c>
      <c r="Z58" s="149" t="str">
        <f t="shared" si="4"/>
        <v xml:space="preserve"> </v>
      </c>
      <c r="AA58" s="98" t="str">
        <f t="shared" si="5"/>
        <v xml:space="preserve"> </v>
      </c>
      <c r="AB58" s="153" t="str">
        <f t="shared" si="6"/>
        <v xml:space="preserve"> </v>
      </c>
      <c r="AC58" s="153" t="str">
        <f t="shared" si="7"/>
        <v xml:space="preserve"> </v>
      </c>
      <c r="AD58" s="148" t="str">
        <f t="shared" si="8"/>
        <v/>
      </c>
      <c r="AE58" s="149" t="str">
        <f t="shared" si="9"/>
        <v/>
      </c>
      <c r="AF58" s="151" t="str">
        <f t="shared" si="10"/>
        <v xml:space="preserve"> </v>
      </c>
      <c r="AG58" s="153" t="str">
        <f t="shared" si="11"/>
        <v xml:space="preserve"> </v>
      </c>
      <c r="AH58" s="98" t="str">
        <f t="shared" si="12"/>
        <v xml:space="preserve"> </v>
      </c>
      <c r="AI58" s="149" t="str">
        <f t="shared" si="13"/>
        <v xml:space="preserve"> </v>
      </c>
      <c r="AK58" s="144" t="str">
        <f t="shared" si="14"/>
        <v xml:space="preserve"> </v>
      </c>
      <c r="AL58" s="144"/>
      <c r="AM58" s="243" t="str">
        <f t="shared" si="15"/>
        <v xml:space="preserve"> </v>
      </c>
      <c r="AN58" s="149" t="str">
        <f t="shared" si="134"/>
        <v xml:space="preserve"> </v>
      </c>
      <c r="AO58" s="144" t="str">
        <f>IF(JB58&gt;0,IF(GI58=10,-R58*1.085*(Calculation!$F$6-Calculation!$F$13)*$S$14," "),"")</f>
        <v/>
      </c>
      <c r="AP58" s="144" t="str">
        <f t="shared" si="16"/>
        <v/>
      </c>
      <c r="AQ58" s="56" t="str">
        <f t="shared" si="17"/>
        <v/>
      </c>
      <c r="AR58" s="144" t="str">
        <f t="shared" si="18"/>
        <v/>
      </c>
      <c r="AS58" s="176" t="str">
        <f t="shared" si="19"/>
        <v/>
      </c>
      <c r="AT58" s="176" t="str">
        <f t="shared" si="135"/>
        <v xml:space="preserve"> </v>
      </c>
      <c r="AU58" s="176" t="str">
        <f t="shared" si="20"/>
        <v/>
      </c>
      <c r="AV58" s="177" t="str">
        <f t="shared" si="21"/>
        <v xml:space="preserve"> </v>
      </c>
      <c r="AW58" s="144" t="str">
        <f t="shared" si="22"/>
        <v xml:space="preserve"> </v>
      </c>
      <c r="AX58" s="144" t="str">
        <f t="shared" si="23"/>
        <v xml:space="preserve"> </v>
      </c>
      <c r="AY58" s="152" t="str">
        <f t="shared" si="24"/>
        <v xml:space="preserve"> </v>
      </c>
      <c r="AZ58" s="246" t="str">
        <f t="shared" si="25"/>
        <v/>
      </c>
      <c r="BA58" s="176" t="str">
        <f t="shared" si="26"/>
        <v xml:space="preserve"> </v>
      </c>
      <c r="BB58" s="176" t="str">
        <f t="shared" si="27"/>
        <v xml:space="preserve"> </v>
      </c>
      <c r="BC58" s="195"/>
      <c r="BD58" s="316"/>
      <c r="BE58" s="317"/>
      <c r="BF58" s="318"/>
      <c r="BG58" s="318"/>
      <c r="BH58" s="144" t="str">
        <f t="shared" si="219"/>
        <v xml:space="preserve"> </v>
      </c>
      <c r="BI58" s="176" t="str">
        <f t="shared" si="28"/>
        <v/>
      </c>
      <c r="BJ58" s="144" t="str">
        <f t="shared" si="220"/>
        <v/>
      </c>
      <c r="BK58" s="246" t="str">
        <f t="shared" si="29"/>
        <v/>
      </c>
      <c r="BL58" s="144" t="str">
        <f t="shared" si="221"/>
        <v/>
      </c>
      <c r="BM58" s="246" t="str">
        <f t="shared" si="30"/>
        <v/>
      </c>
      <c r="BN58" s="337" t="str">
        <f t="shared" si="136"/>
        <v/>
      </c>
      <c r="BO58" s="371" t="str">
        <f t="shared" si="137"/>
        <v/>
      </c>
      <c r="BP58" s="328" t="str">
        <f t="shared" si="222"/>
        <v xml:space="preserve"> </v>
      </c>
      <c r="BQ58" s="347" t="str">
        <f t="shared" si="138"/>
        <v xml:space="preserve"> </v>
      </c>
      <c r="BR58" s="353" t="str">
        <f t="shared" si="223"/>
        <v xml:space="preserve"> </v>
      </c>
      <c r="BS58" s="626" t="str">
        <f>IF(L58&gt;0,IF(Calculation!P58="M13",BR58*3.1416*(0.134^2)/(4*144),IF(Calculation!P58="M17",BR58*3.1416*(0.165^2)/(4*144),IF(Calculation!P58="M20",BR58*3.1416*(0.198^2)/(4*144),IF(Calculation!P58="M23",BR58*3.1416*(0.228^2)/(4*144),IF(Calculation!P58="M27",BR58*3.1416*(0.269^2)/(4*144),BR58*3.1416*(0.307^2)/(4*144))))))," ")</f>
        <v xml:space="preserve"> </v>
      </c>
      <c r="BT58" s="353" t="str">
        <f>IF(L58&gt;0,IF(BS58&gt;0,R58/Calculation!BS58,0)," ")</f>
        <v xml:space="preserve"> </v>
      </c>
      <c r="BU58" s="438" t="e">
        <f t="shared" ca="1" si="31"/>
        <v>#VALUE!</v>
      </c>
      <c r="BV58" s="449" t="e">
        <f ca="1">INDEX(INDIRECT(VLOOKUP(LEFT(BO58,7),CLU!$Z$3:$AH$18,2)),GN58,GR58)</f>
        <v>#N/A</v>
      </c>
      <c r="BW58" s="433" t="e">
        <f ca="1">INDEX(INDIRECT(VLOOKUP(LEFT(BO58,7),CLU!$Z$3:$AH$18,3)),GN58,GR58)</f>
        <v>#N/A</v>
      </c>
      <c r="BX58" s="433" t="e">
        <f ca="1">INDEX(INDIRECT(VLOOKUP(LEFT(BO58,7),CLU!$Z$3:$AH$18,4)),GN58,GR58)</f>
        <v>#N/A</v>
      </c>
      <c r="BY58" s="433" t="e">
        <f ca="1">INDEX(INDIRECT(VLOOKUP(LEFT(BO58,7),CLU!$Z$3:$AH$18,9)),((M58-2)*(6-COUNTBLANK(GT58:GY58)))+GJ58)</f>
        <v>#N/A</v>
      </c>
      <c r="BZ58" s="426" t="e">
        <f t="shared" ca="1" si="139"/>
        <v>#N/A</v>
      </c>
      <c r="CA58" s="424" t="e">
        <f t="shared" ca="1" si="140"/>
        <v>#N/A</v>
      </c>
      <c r="CB58" s="429" t="e">
        <f ca="1">INDEX(INDIRECT(VLOOKUP(LEFT(BO58,7),CLU!$Z$3:$AH$18,2)),GN58,GS58)</f>
        <v>#N/A</v>
      </c>
      <c r="CC58" s="342" t="e">
        <f ca="1">INDEX(INDIRECT(VLOOKUP(LEFT(BO58,7),CLU!$Z$3:$AH$18,3)),GN58,GS58)</f>
        <v>#N/A</v>
      </c>
      <c r="CD58" s="342" t="e">
        <f ca="1">INDEX(INDIRECT(VLOOKUP(LEFT(BO58,7),CLU!$Z$3:$AH$18,4)),GN58,GS58)</f>
        <v>#N/A</v>
      </c>
      <c r="CE58" s="426" t="e">
        <f t="shared" ca="1" si="141"/>
        <v>#N/A</v>
      </c>
      <c r="CF58" s="440">
        <f t="shared" si="142"/>
        <v>0</v>
      </c>
      <c r="CG58" s="431" t="e">
        <f ca="1">INDEX(INDIRECT(VLOOKUP(LEFT(BO58,7),CLU!$Z$3:$AH$18,2)),GQ58,GR58)</f>
        <v>#N/A</v>
      </c>
      <c r="CH58" s="431" t="e">
        <f ca="1">INDEX(INDIRECT(VLOOKUP(LEFT(BO58,7),CLU!$Z$3:$AH$18,3)),GQ58,GR58)</f>
        <v>#N/A</v>
      </c>
      <c r="CI58" s="431" t="e">
        <f ca="1">INDEX(INDIRECT(VLOOKUP(LEFT(BO58,7),CLU!$Z$3:$AH$18,4)),GQ58,GR58)</f>
        <v>#N/A</v>
      </c>
      <c r="CJ58" s="448" t="e">
        <f t="shared" ca="1" si="143"/>
        <v>#N/A</v>
      </c>
      <c r="CK58" s="431" t="e">
        <f t="shared" ca="1" si="144"/>
        <v>#N/A</v>
      </c>
      <c r="CL58" s="440" t="e">
        <f t="shared" ca="1" si="145"/>
        <v>#N/A</v>
      </c>
      <c r="CM58" s="431" t="e">
        <f ca="1">INDEX(INDIRECT(VLOOKUP(LEFT(BO58,7),CLU!$Z$3:$AH$18,2)),GQ58,GS58)</f>
        <v>#N/A</v>
      </c>
      <c r="CN58" s="431" t="e">
        <f ca="1">INDEX(INDIRECT(VLOOKUP(LEFT(BO58,7),CLU!$Z$3:$AH$18,3)),GQ58,GS58)</f>
        <v>#N/A</v>
      </c>
      <c r="CO58" s="431" t="e">
        <f ca="1">INDEX(INDIRECT(VLOOKUP(LEFT(BO58,7),CLU!$Z$3:$AH$18,4)),GQ58,GS58)</f>
        <v>#N/A</v>
      </c>
      <c r="CP58" s="431" t="e">
        <f t="shared" ca="1" si="146"/>
        <v>#N/A</v>
      </c>
      <c r="CQ58" s="440">
        <f t="shared" si="147"/>
        <v>0</v>
      </c>
      <c r="CR58" s="51" t="e">
        <f t="shared" ca="1" si="148"/>
        <v>#N/A</v>
      </c>
      <c r="CS58" s="439" t="e">
        <f t="shared" ca="1" si="149"/>
        <v>#VALUE!</v>
      </c>
      <c r="CT58" s="51" t="e">
        <f t="shared" ca="1" si="150"/>
        <v>#VALUE!</v>
      </c>
      <c r="CU58" s="10"/>
      <c r="CV58" s="51" t="e">
        <f t="shared" ca="1" si="34"/>
        <v>#VALUE!</v>
      </c>
      <c r="CW58" s="51">
        <f t="shared" si="151"/>
        <v>0</v>
      </c>
      <c r="CX58" s="439" t="e">
        <f t="shared" ca="1" si="152"/>
        <v>#VALUE!</v>
      </c>
      <c r="CY58" s="51" t="e">
        <f t="shared" ca="1" si="153"/>
        <v>#VALUE!</v>
      </c>
      <c r="CZ58" s="10"/>
      <c r="DA58" s="51" t="e">
        <f t="shared" ca="1" si="154"/>
        <v>#VALUE!</v>
      </c>
      <c r="DB58" s="347" t="e">
        <f ca="1">INDEX(INDIRECT(VLOOKUP(LEFT(BO58,7),CLU!$Z$3:$AI$18,10)),((M58-2)*(6-COUNTBLANK(GT58:GY58)))+GJ58)*LI58</f>
        <v>#N/A</v>
      </c>
      <c r="DC58" s="347" t="str">
        <f>IF(L58&gt;0,((R58/Worksheet!$I$15)/DB58)^2," ")</f>
        <v xml:space="preserve"> </v>
      </c>
      <c r="DD58" s="602" t="str">
        <f t="shared" si="224"/>
        <v xml:space="preserve"> </v>
      </c>
      <c r="DE58" s="347" t="str">
        <f t="shared" si="35"/>
        <v xml:space="preserve"> </v>
      </c>
      <c r="DF58" s="356" t="e">
        <f ca="1">INDEX(INDIRECT(VLOOKUP(LEFT(BO58,7),CLU!$Z$3:$AH$18,8)),((M58-2)*(6-COUNTBLANK(GT58:GY58)))+GJ58)</f>
        <v>#N/A</v>
      </c>
      <c r="DG58" s="347" t="str">
        <f t="shared" si="36"/>
        <v xml:space="preserve"> </v>
      </c>
      <c r="DH58" s="357" t="str">
        <f t="shared" si="37"/>
        <v xml:space="preserve"> </v>
      </c>
      <c r="DI58" s="355" t="str">
        <f t="shared" si="38"/>
        <v xml:space="preserve"> </v>
      </c>
      <c r="DJ58" s="245" t="e">
        <f ca="1">INDEX(INDIRECT(VLOOKUP(LEFT(BO58,7),CLU!$Z$3:$AH$18,5)),GL58,GK58)</f>
        <v>#N/A</v>
      </c>
      <c r="DK58" s="245" t="e">
        <f ca="1">INDEX(INDIRECT(VLOOKUP(LEFT(BO58,7),CLU!$Z$3:$AH$18,6)),GL58,GK58)</f>
        <v>#N/A</v>
      </c>
      <c r="DL58" s="355">
        <f>(Calculation!R58*0.69143*(Calculation!$BQ$8-Calculation!$F$8))*$S$14</f>
        <v>0</v>
      </c>
      <c r="DM58" s="359" t="e">
        <f t="shared" si="160"/>
        <v>#VALUE!</v>
      </c>
      <c r="DN58" s="611">
        <f t="shared" si="161"/>
        <v>0</v>
      </c>
      <c r="DO58" s="359">
        <f t="shared" si="162"/>
        <v>100</v>
      </c>
      <c r="DP58" s="359">
        <f t="shared" si="163"/>
        <v>0</v>
      </c>
      <c r="DQ58" s="360"/>
      <c r="DR58" s="245" t="e">
        <f ca="1">INDEX(INDIRECT(VLOOKUP(LEFT(BO58,7),CLU!$Z$3:$AH$18,7)),M58-1,1)</f>
        <v>#N/A</v>
      </c>
      <c r="DS58" s="245" t="e">
        <f ca="1">INDEX(INDIRECT(VLOOKUP(LEFT(BO58,7),CLU!$Z$3:$AH$18,7)),M58-1,2)</f>
        <v>#N/A</v>
      </c>
      <c r="DT58" s="245" t="e">
        <f ca="1">INDEX(INDIRECT(VLOOKUP(LEFT(BO58,7),CLU!$Z$3:$AH$18,7)),M58-1,3)</f>
        <v>#N/A</v>
      </c>
      <c r="DU58" s="245" t="e">
        <f ca="1">INDEX(INDIRECT(VLOOKUP(LEFT(BO58,7),CLU!$Z$3:$AH$18,7)),M58-1,4)</f>
        <v>#N/A</v>
      </c>
      <c r="DV58" s="361" t="e">
        <f ca="1">INDEX(INDIRECT(VLOOKUP(LEFT(BO58,7),CLU!$Z$3:$AH$18,7)),M58-1,4+LEFT(DZ58,1)*0.5)</f>
        <v>#N/A</v>
      </c>
      <c r="DW58" s="245" t="e">
        <f ca="1">INDEX(INDIRECT(VLOOKUP(LEFT(BO58,7),CLU!$Z$3:$AH$18,7)),M58-1,8)</f>
        <v>#N/A</v>
      </c>
      <c r="DX58" s="361" t="str">
        <f t="shared" si="39"/>
        <v xml:space="preserve"> </v>
      </c>
      <c r="DY58" s="361" t="str">
        <f t="shared" si="40"/>
        <v xml:space="preserve"> </v>
      </c>
      <c r="DZ58" s="361" t="str">
        <f t="shared" si="41"/>
        <v xml:space="preserve"> </v>
      </c>
      <c r="EA58" s="362" t="str">
        <f t="shared" si="42"/>
        <v xml:space="preserve"> </v>
      </c>
      <c r="EB58" s="624" t="str">
        <f t="shared" si="168"/>
        <v xml:space="preserve"> </v>
      </c>
      <c r="EC58" s="361" t="e">
        <f ca="1">INDEX(INDIRECT(VLOOKUP(LEFT(BO58,7),CLU!$Z$3:$AH$18,7)),M58-1,4+LEFT(DZ58,1)*0.5)</f>
        <v>#N/A</v>
      </c>
      <c r="ED58" s="362" t="str">
        <f t="shared" si="43"/>
        <v xml:space="preserve"> </v>
      </c>
      <c r="EE58" s="361" t="str">
        <f t="shared" si="44"/>
        <v xml:space="preserve"> </v>
      </c>
      <c r="EF58" s="362" t="str">
        <f>IF(L58&gt;0,IF(BR58&gt;0,IF(EE58="2P",IF(Calculation!DZ58="2P",IF(Calculation!DS58=13.75,IF(Calculation!DR58=13,Worksheet!$BD$43,IF(Calculation!DR58=37,Worksheet!$BD$44,Worksheet!$BD$45)),IF(Calculation!DS58=10,IF(Calculation!DR58=18,Worksheet!$BD$29,IF(Calculation!DR58=30,Worksheet!$BD$30,IF(Calculation!DR58=42,Worksheet!$BD$31,IF(Calculation!DR58=54,Worksheet!$BD$32,IF(Calculation!DR58=66,Worksheet!$BD$33,IF(Calculation!DR58=78,Worksheet!$BD$34,IF(Calculation!DR58=90,Worksheet!$BD$35,IF(Calculation!DR58=102,Worksheet!$BD$36,Worksheet!$BD$37)))))))),IF(Calculation!DS58=12.5,IF(Calculation!DR58=18,Worksheet!$BD$38,IF(Calculation!DR58=Worksheet!$BD$39,IF(Calculation!DR58=42,Worksheet!$BD$40,IF(Calculation!DR58=54,Worksheet!$BD$41,Worksheet!$BD$42)))),IF(Calculation!DR58=18,Worksheet!$BD$11,IF(Calculation!DR58=30,Worksheet!$BD$12,IF(Calculation!DR58=42,Worksheet!$BD$13,IF(Calculation!DR58=54,Worksheet!$BD$14,IF(Calculation!DR58=66,Worksheet!$BD$15,IF(Calculation!DR58=78,Worksheet!$BD$16,IF(Calculation!DR58=90,Worksheet!$BD$17,IF(Calculation!DR58=102,Worksheet!$BD$18,Worksheet!$BD$19))))))))))),IF(Calculation!DS58=13.75,IF(Calculation!DR58=13,Worksheet!$BD$78,IF(Calculation!DR58=37,Worksheet!$BD$79,Worksheet!$BD$80)),IF(Calculation!DS58=10,IF(Calculation!DR58=18,Worksheet!$BD$64,IF(Calculation!DR58=30,Worksheet!$BD$65,IF(Calculation!DR58=42,Worksheet!$BD$66,IF(Calculation!DR58=54,Worksheet!$BD$68,IF(Calculation!DR58=66,Worksheet!$BD$68,IF(Calculation!DR58=78,Worksheet!$BD$69,IF(Calculation!DR58=90,Worksheet!$BD$70,IF(Calculation!DR58=102,Worksheet!$BD$71,Worksheet!$BD$72)))))))),IF(Calculation!DS58=12.5,IF(Calculation!DR58=18,Worksheet!$BD$73,IF(Calculation!DR58=Worksheet!$BD$74,IF(Calculation!DR58=42,Worksheet!$BD$75,IF(Calculation!DR58=54,Worksheet!$BD$76,Worksheet!$BD$77)))),IF(Calculation!DR58=18,Worksheet!$BD$55,IF(Calculation!DR58=30,Worksheet!$BD$56,IF(Calculation!DR58=42,Worksheet!$BD$57,IF(Calculation!DR58=54,Worksheet!$BD$58,IF(Calculation!DR58=66,Worksheet!$BD$59,IF(Calculation!DR58=78,Worksheet!$BD$60,IF(Calculation!DR58=90,Worksheet!$BD$61,IF(Calculation!DR58=102,Worksheet!$BD$62,Worksheet!$BD$63)))))))))))),5),0)," ")</f>
        <v xml:space="preserve"> </v>
      </c>
      <c r="EG58" s="361" t="str">
        <f t="shared" si="45"/>
        <v xml:space="preserve"> </v>
      </c>
      <c r="EH58" s="361" t="e">
        <f ca="1">INDEX(INDIRECT(VLOOKUP(LEFT(BO58,7),CLU!$Z$3:$AH$18,7)),M58-1,3+LEFT(DZ58,1))</f>
        <v>#N/A</v>
      </c>
      <c r="EI58" s="362" t="str">
        <f t="shared" si="46"/>
        <v xml:space="preserve"> </v>
      </c>
      <c r="EJ58" s="363" t="str">
        <f t="shared" si="47"/>
        <v xml:space="preserve"> </v>
      </c>
      <c r="EK58" s="363" t="str">
        <f t="shared" si="48"/>
        <v xml:space="preserve"> </v>
      </c>
      <c r="EL58" s="363" t="str">
        <f t="shared" si="49"/>
        <v xml:space="preserve"> </v>
      </c>
      <c r="EM58" s="362" t="str">
        <f>IF(L58&gt;0,IF(BR58&gt;0,(Calculation!T58/ED58)^2,0)," ")</f>
        <v xml:space="preserve"> </v>
      </c>
      <c r="EN58" s="362" t="str">
        <f>IF(L58&gt;0,IF(O58="2 Pipe (Cooling)","N/A",IF(BR58&gt;0,(Calculation!U58/EI58)^2,0))," ")</f>
        <v xml:space="preserve"> </v>
      </c>
      <c r="EO58" s="361" t="str">
        <f t="shared" si="50"/>
        <v/>
      </c>
      <c r="EP58" s="361" t="str">
        <f t="shared" si="51"/>
        <v/>
      </c>
      <c r="EQ58" s="361" t="str">
        <f t="shared" si="52"/>
        <v/>
      </c>
      <c r="ER58" s="361" t="str">
        <f t="shared" si="53"/>
        <v/>
      </c>
      <c r="ES58" s="361" t="str">
        <f t="shared" si="54"/>
        <v/>
      </c>
      <c r="ET58" s="361" t="str">
        <f t="shared" si="55"/>
        <v/>
      </c>
      <c r="EU58" s="361" t="str">
        <f t="shared" si="56"/>
        <v/>
      </c>
      <c r="EV58" s="361" t="str">
        <f t="shared" si="57"/>
        <v/>
      </c>
      <c r="EW58" s="361" t="str">
        <f t="shared" si="58"/>
        <v/>
      </c>
      <c r="EX58" s="361" t="str">
        <f t="shared" si="169"/>
        <v>1 slot, 1 way</v>
      </c>
      <c r="EY58" s="361" t="str">
        <f t="shared" si="170"/>
        <v xml:space="preserve"> </v>
      </c>
      <c r="EZ58" s="361" t="str">
        <f t="shared" si="171"/>
        <v xml:space="preserve"> </v>
      </c>
      <c r="FA58" s="361" t="str">
        <f t="shared" si="172"/>
        <v xml:space="preserve"> </v>
      </c>
      <c r="FB58" s="361" t="str">
        <f t="shared" si="173"/>
        <v xml:space="preserve"> </v>
      </c>
      <c r="FC58" s="361"/>
      <c r="FD58" s="361" t="str">
        <f>IF(J58&gt;0,IF(Calculation!R58&lt;=70,4,IF(Calculation!R58&lt;=110,5,IF(Calculation!R58&lt;=160,6,IF(Calculation!R58&lt;=300,8,"10 EO")))),"")</f>
        <v/>
      </c>
      <c r="FE58" s="361" t="str">
        <f t="shared" si="174"/>
        <v/>
      </c>
      <c r="FF58" s="361" t="str">
        <f t="shared" si="175"/>
        <v/>
      </c>
      <c r="FG58" s="361" t="e">
        <f t="shared" si="60"/>
        <v>#N/A</v>
      </c>
      <c r="FH58" s="361">
        <f t="shared" si="61"/>
        <v>0</v>
      </c>
      <c r="FI58" s="361" t="e">
        <f t="shared" si="62"/>
        <v>#DIV/0!</v>
      </c>
      <c r="FJ58" s="361"/>
      <c r="FK58" s="356" t="e">
        <f t="shared" si="63"/>
        <v>#VALUE!</v>
      </c>
      <c r="FL58" s="361"/>
      <c r="FM58" s="361"/>
      <c r="FN58" s="362" t="str">
        <f t="shared" si="176"/>
        <v xml:space="preserve"> </v>
      </c>
      <c r="FO58" s="362" t="str">
        <f t="shared" si="177"/>
        <v xml:space="preserve"> </v>
      </c>
      <c r="FP58" s="362">
        <f t="shared" si="178"/>
        <v>0</v>
      </c>
      <c r="FQ58" s="361">
        <f t="shared" si="64"/>
        <v>0</v>
      </c>
      <c r="FR58" s="362" t="str">
        <f>IF(L58&gt;0,IF(J58="CBAL2",Worksheet!$P$67,IF(J58="CBE2-24",Worksheet!$Q$67,IF(J58="CBAM",Worksheet!$R$67,IF(J58="CBLV",Worksheet!$S$67,IF(J58="CBAB",Worksheet!$U$67,IF(J58="CBAW",Worksheet!$X$67,IF(J58="CBE2-12",Worksheet!$Y$67,IF(J58="CBAL2",Worksheet!$Z$67,"N/A"))))))))," ")</f>
        <v xml:space="preserve"> </v>
      </c>
      <c r="FS58" s="362" t="str">
        <f>IF(L58&gt;0,IF(J58="CBAL2",Worksheet!$P$68,IF(J58="CBE2-24",Worksheet!$Q$68,IF(J58="CBAM",Worksheet!$R$68,IF(J58="CBLV",Worksheet!$S$68,IF(J58="CBAB",Worksheet!$U$68,IF(J58="CBAW",Worksheet!$X$68,IF(J58="CBE2-12",Worksheet!$Y$68,IF(J58="CBAL2",Worksheet!$Z$68,"N/A"))))))))," ")</f>
        <v xml:space="preserve"> </v>
      </c>
      <c r="FT58" s="362" t="str">
        <f>IF(L58&gt;0,IF(J58="CBAL2",Worksheet!$P$69,IF(J58="CBE2-24",Worksheet!$Q$69,IF(J58="CBAM",Worksheet!$R$69,IF(J58="CBLV",Worksheet!$S$69,IF(J58="CBAB",Worksheet!$U$69,IF(J58="CBAW",Worksheet!$X$69,IF(J58="CBE2-12",Worksheet!$Y$69,IF(J58="CBAL2",Worksheet!$Z$69,"N/A"))))))))," ")</f>
        <v xml:space="preserve"> </v>
      </c>
      <c r="FU58" s="361" t="str">
        <f t="shared" si="179"/>
        <v xml:space="preserve"> </v>
      </c>
      <c r="FV58" s="362" t="str">
        <f t="shared" si="180"/>
        <v xml:space="preserve"> </v>
      </c>
      <c r="FW58" s="362" t="str">
        <f t="shared" si="181"/>
        <v xml:space="preserve"> </v>
      </c>
      <c r="FX58" s="362" t="str">
        <f t="shared" si="182"/>
        <v xml:space="preserve"> </v>
      </c>
      <c r="FY58" s="355" t="str">
        <f t="shared" si="183"/>
        <v xml:space="preserve"> </v>
      </c>
      <c r="FZ58" s="361" t="str">
        <f t="shared" si="184"/>
        <v xml:space="preserve"> </v>
      </c>
      <c r="GA58" s="347" t="str">
        <f t="shared" si="185"/>
        <v xml:space="preserve"> </v>
      </c>
      <c r="GB58" s="355" t="str">
        <f t="shared" si="186"/>
        <v xml:space="preserve"> </v>
      </c>
      <c r="GC58" s="328" t="str">
        <f t="shared" si="187"/>
        <v xml:space="preserve"> </v>
      </c>
      <c r="GD58" s="361" t="str">
        <f t="shared" si="188"/>
        <v xml:space="preserve"> </v>
      </c>
      <c r="GE58" s="347" t="str">
        <f t="shared" si="189"/>
        <v xml:space="preserve"> </v>
      </c>
      <c r="GF58" s="361" t="str">
        <f t="shared" si="190"/>
        <v xml:space="preserve"> </v>
      </c>
      <c r="GG58" s="347" t="str">
        <f t="shared" si="191"/>
        <v xml:space="preserve"> </v>
      </c>
      <c r="GH58" s="364">
        <f t="shared" si="78"/>
        <v>0</v>
      </c>
      <c r="GI58" s="362">
        <f t="shared" si="192"/>
        <v>2</v>
      </c>
      <c r="GJ58" s="433" t="e">
        <f>IF(6-COUNTBLANK(GT58:GY58)=4,MATCH(MID(BO58,9,3),CLU!$H$16:$K$16),MATCH(MID(BO58,9,3),CLU!$H$13:$M$13))</f>
        <v>#N/A</v>
      </c>
      <c r="GK58" s="433" t="e">
        <f>HLOOKUP(VALUE(BP58),CLU!$H$9:$M$10,2)</f>
        <v>#VALUE!</v>
      </c>
      <c r="GL58" s="433" t="e">
        <f ca="1">MATCH(BU58,CLU!$H$2:$V$2,1)</f>
        <v>#VALUE!</v>
      </c>
      <c r="GM58" s="433" t="e">
        <f t="shared" ca="1" si="193"/>
        <v>#VALUE!</v>
      </c>
      <c r="GN58" s="433" t="e">
        <f t="shared" ca="1" si="194"/>
        <v>#VALUE!</v>
      </c>
      <c r="GO58" s="433" t="e">
        <f t="shared" ca="1" si="195"/>
        <v>#VALUE!</v>
      </c>
      <c r="GP58" s="433" t="e">
        <f t="shared" ca="1" si="196"/>
        <v>#VALUE!</v>
      </c>
      <c r="GQ58" s="433" t="e">
        <f t="shared" ca="1" si="197"/>
        <v>#VALUE!</v>
      </c>
      <c r="GR58" s="433" t="e">
        <f ca="1">MATCH(T58,INDIRECT(VLOOKUP(CONCATENATE(LEFT(BO58,7),"-",MID(BO58,13,1)),CLU!$P$3:$Q$16,2)),1)</f>
        <v>#N/A</v>
      </c>
      <c r="GS58" s="433" t="e">
        <f ca="1">MATCH(U58,INDIRECT(VLOOKUP(CONCATENATE(LEFT(BO58,7),"-",MID(BO58,13,1)),CLU!$P$3:$Q$16,2)),1)</f>
        <v>#N/A</v>
      </c>
      <c r="GT58" s="347" t="s">
        <v>512</v>
      </c>
      <c r="GU58" s="97" t="s">
        <v>513</v>
      </c>
      <c r="GV58" s="97" t="str">
        <f t="shared" si="198"/>
        <v>M23</v>
      </c>
      <c r="GW58" s="97" t="str">
        <f t="shared" si="199"/>
        <v>M31</v>
      </c>
      <c r="GX58" s="97" t="str">
        <f t="shared" si="200"/>
        <v/>
      </c>
      <c r="GY58" s="97" t="str">
        <f t="shared" si="201"/>
        <v/>
      </c>
      <c r="GZ58" s="481"/>
      <c r="HA58" s="288"/>
      <c r="HB58" s="240"/>
      <c r="HC58" s="240"/>
      <c r="HD58" s="240"/>
      <c r="HE58" s="240"/>
      <c r="HF58" s="240"/>
      <c r="HG58" s="240"/>
      <c r="HH58" s="240"/>
      <c r="HI58" s="240"/>
      <c r="HJ58" s="240"/>
      <c r="HK58" s="240"/>
      <c r="HL58" s="240"/>
      <c r="HM58" s="240"/>
      <c r="HN58" s="240"/>
      <c r="HO58" s="240"/>
      <c r="HP58" s="240"/>
      <c r="HQ58" s="240"/>
      <c r="HR58" s="240"/>
      <c r="HS58" s="240"/>
      <c r="HT58" s="240"/>
      <c r="HU58" s="240"/>
      <c r="HV58" s="245"/>
      <c r="HW58" s="245" t="b">
        <v>1</v>
      </c>
      <c r="HX58" s="245" t="str">
        <f t="shared" si="79"/>
        <v/>
      </c>
      <c r="HY58" s="245" t="e">
        <f t="shared" si="80"/>
        <v>#DIV/0!</v>
      </c>
      <c r="HZ58" s="245" t="e">
        <f t="shared" si="81"/>
        <v>#DIV/0!</v>
      </c>
      <c r="IA58" s="245">
        <f t="shared" si="82"/>
        <v>0</v>
      </c>
      <c r="IB58" s="245"/>
      <c r="IC58" t="b">
        <f t="shared" si="83"/>
        <v>1</v>
      </c>
      <c r="ID58" s="245" t="b">
        <f t="shared" si="84"/>
        <v>1</v>
      </c>
      <c r="IE58" s="245" t="b">
        <f t="shared" si="85"/>
        <v>1</v>
      </c>
      <c r="IF58" s="245" t="b">
        <f t="shared" si="86"/>
        <v>0</v>
      </c>
      <c r="IG58" s="245" t="b">
        <f t="shared" si="87"/>
        <v>1</v>
      </c>
      <c r="IH58" s="245" t="b">
        <f t="shared" si="88"/>
        <v>1</v>
      </c>
      <c r="II58" s="245">
        <f t="shared" si="202"/>
        <v>0</v>
      </c>
      <c r="IJ58" s="245" t="e">
        <f t="shared" si="89"/>
        <v>#VALUE!</v>
      </c>
      <c r="IK58" s="245" t="e">
        <f t="shared" si="90"/>
        <v>#VALUE!</v>
      </c>
      <c r="IL58" s="245"/>
      <c r="IM58" s="245" t="e">
        <f t="shared" si="203"/>
        <v>#N/A</v>
      </c>
      <c r="IN58" s="245" t="e">
        <f t="shared" si="204"/>
        <v>#N/A</v>
      </c>
      <c r="IO58" s="245"/>
      <c r="IP58" s="245"/>
      <c r="IQ58" s="245" t="str">
        <f t="shared" si="91"/>
        <v/>
      </c>
      <c r="IR58" s="245" t="str">
        <f>IF(J58="","",VLOOKUP(J58,Worksheet!$R$4:$T$14,2))</f>
        <v/>
      </c>
      <c r="IS58" s="245"/>
      <c r="IT58" s="245">
        <f t="shared" si="92"/>
        <v>0</v>
      </c>
      <c r="IU58" s="245">
        <f t="shared" si="93"/>
        <v>0</v>
      </c>
      <c r="IV58" s="245">
        <f t="shared" si="94"/>
        <v>0</v>
      </c>
      <c r="IW58" s="245">
        <f t="shared" si="95"/>
        <v>0</v>
      </c>
      <c r="IX58" s="245">
        <f t="shared" si="205"/>
        <v>0</v>
      </c>
      <c r="IY58" s="245">
        <f t="shared" si="96"/>
        <v>0</v>
      </c>
      <c r="IZ58" s="245">
        <f t="shared" si="97"/>
        <v>0</v>
      </c>
      <c r="JA58">
        <f t="shared" si="98"/>
        <v>0</v>
      </c>
      <c r="JB58">
        <f t="shared" si="206"/>
        <v>0</v>
      </c>
      <c r="JC58">
        <f t="shared" si="99"/>
        <v>0</v>
      </c>
      <c r="JD58">
        <f t="shared" si="100"/>
        <v>0</v>
      </c>
      <c r="JE58">
        <f t="shared" si="101"/>
        <v>0</v>
      </c>
      <c r="JF58">
        <f t="shared" si="102"/>
        <v>0</v>
      </c>
      <c r="JG58">
        <f t="shared" si="103"/>
        <v>0</v>
      </c>
      <c r="JH58">
        <f t="shared" si="104"/>
        <v>0</v>
      </c>
      <c r="JI58">
        <f t="shared" si="105"/>
        <v>0</v>
      </c>
      <c r="JJ58" s="447">
        <f t="shared" si="106"/>
        <v>0</v>
      </c>
      <c r="JK58" s="447">
        <f t="shared" si="107"/>
        <v>0</v>
      </c>
      <c r="JL58">
        <f t="shared" si="108"/>
        <v>0</v>
      </c>
      <c r="JM58" s="245" t="str">
        <f>IFERROR(VLOOKUP(MATCH(BN58,#REF!,0),#REF!,7),"")</f>
        <v/>
      </c>
      <c r="JN58" t="e">
        <f>HLOOKUP(LEFT(BO58,7),Discharge_Area,MATCH(JO58,LookUps!$B$130:$B$149,1)+2)</f>
        <v>#N/A</v>
      </c>
      <c r="JO58" t="str">
        <f t="shared" si="109"/>
        <v>- S</v>
      </c>
      <c r="JP58" t="e">
        <f>HLOOKUP(LEFT(BO58,7),Discharge_Area,MATCH(JO58,LookUps!$B$130:$B$149,1)+2)</f>
        <v>#N/A</v>
      </c>
      <c r="JQ58" t="e">
        <f t="shared" si="110"/>
        <v>#N/A</v>
      </c>
      <c r="JR58" t="e">
        <f t="shared" si="111"/>
        <v>#N/A</v>
      </c>
      <c r="JS58" t="e">
        <f t="shared" si="112"/>
        <v>#N/A</v>
      </c>
      <c r="JT58" s="532" t="str">
        <f t="shared" si="113"/>
        <v xml:space="preserve"> </v>
      </c>
      <c r="JU58" s="532" t="str">
        <f t="shared" si="114"/>
        <v xml:space="preserve"> </v>
      </c>
      <c r="JV58" s="533" t="str">
        <f t="shared" si="115"/>
        <v xml:space="preserve"> </v>
      </c>
      <c r="JW58" s="534">
        <f t="shared" si="116"/>
        <v>0</v>
      </c>
      <c r="JX58" s="535" t="str">
        <f t="shared" si="207"/>
        <v xml:space="preserve"> </v>
      </c>
      <c r="JY58" s="535" t="str">
        <f t="shared" si="208"/>
        <v xml:space="preserve"> </v>
      </c>
      <c r="JZ58" s="535" t="str">
        <f t="shared" si="209"/>
        <v xml:space="preserve"> </v>
      </c>
      <c r="KA58" s="536" t="str">
        <f t="shared" si="117"/>
        <v xml:space="preserve"> </v>
      </c>
      <c r="KB58" s="535" t="e">
        <f t="shared" si="210"/>
        <v>#VALUE!</v>
      </c>
      <c r="KC58" s="535" t="str">
        <f t="shared" si="118"/>
        <v/>
      </c>
      <c r="KD58" s="537" t="str">
        <f t="shared" si="211"/>
        <v xml:space="preserve"> </v>
      </c>
      <c r="KE58" s="537" t="str">
        <f t="shared" si="212"/>
        <v xml:space="preserve"> </v>
      </c>
      <c r="KF58" s="534">
        <f t="shared" si="119"/>
        <v>0</v>
      </c>
      <c r="KG58" s="535" t="str">
        <f t="shared" si="120"/>
        <v xml:space="preserve"> </v>
      </c>
      <c r="KH58" s="535" t="str">
        <f t="shared" si="121"/>
        <v xml:space="preserve"> </v>
      </c>
      <c r="KI58" s="535" t="str">
        <f t="shared" si="122"/>
        <v xml:space="preserve"> </v>
      </c>
      <c r="KJ58" s="536" t="str">
        <f t="shared" si="123"/>
        <v xml:space="preserve"> </v>
      </c>
      <c r="KK58" s="535" t="str">
        <f t="shared" si="213"/>
        <v xml:space="preserve"> </v>
      </c>
      <c r="KL58" s="535" t="str">
        <f t="shared" si="214"/>
        <v xml:space="preserve"> </v>
      </c>
      <c r="KM58" s="537" t="str">
        <f t="shared" si="124"/>
        <v xml:space="preserve"> </v>
      </c>
      <c r="KN58" s="537" t="str">
        <f t="shared" si="215"/>
        <v xml:space="preserve"> </v>
      </c>
      <c r="KP58">
        <f t="shared" si="125"/>
        <v>0</v>
      </c>
      <c r="LA58" t="e">
        <f t="shared" si="126"/>
        <v>#VALUE!</v>
      </c>
      <c r="LB58" t="e">
        <f t="shared" si="127"/>
        <v>#VALUE!</v>
      </c>
      <c r="LC58" t="e">
        <f t="shared" si="128"/>
        <v>#VALUE!</v>
      </c>
      <c r="LD58" t="e">
        <f t="shared" si="129"/>
        <v>#VALUE!</v>
      </c>
      <c r="LE58" t="e">
        <f t="shared" si="216"/>
        <v>#VALUE!</v>
      </c>
      <c r="LF58">
        <f t="shared" si="130"/>
        <v>0</v>
      </c>
      <c r="LG58" t="e">
        <f t="shared" si="217"/>
        <v>#VALUE!</v>
      </c>
      <c r="LH58" t="str">
        <f t="shared" si="131"/>
        <v xml:space="preserve"> </v>
      </c>
      <c r="LI58">
        <f t="shared" si="218"/>
        <v>1</v>
      </c>
    </row>
    <row r="59" spans="2:321" ht="15" customHeight="1">
      <c r="B59" s="311"/>
      <c r="C59" s="311"/>
      <c r="D59" s="312"/>
      <c r="E59" s="311"/>
      <c r="F59" s="312"/>
      <c r="G59" s="311"/>
      <c r="H59" s="311"/>
      <c r="I59" s="37"/>
      <c r="J59" s="311"/>
      <c r="K59" s="305" t="str">
        <f t="shared" si="132"/>
        <v/>
      </c>
      <c r="L59" s="313"/>
      <c r="M59" s="312"/>
      <c r="N59" s="311"/>
      <c r="O59" s="312"/>
      <c r="P59" s="311"/>
      <c r="Q59" s="305" t="str">
        <f t="shared" si="133"/>
        <v/>
      </c>
      <c r="R59" s="314"/>
      <c r="S59" s="450" t="str">
        <f t="shared" si="0"/>
        <v/>
      </c>
      <c r="T59" s="315"/>
      <c r="U59" s="315"/>
      <c r="W59" s="149" t="str">
        <f t="shared" si="1"/>
        <v xml:space="preserve"> </v>
      </c>
      <c r="X59" s="243" t="str">
        <f t="shared" si="2"/>
        <v xml:space="preserve"> </v>
      </c>
      <c r="Y59" s="150" t="str">
        <f t="shared" si="3"/>
        <v/>
      </c>
      <c r="Z59" s="149" t="str">
        <f t="shared" si="4"/>
        <v xml:space="preserve"> </v>
      </c>
      <c r="AA59" s="98" t="str">
        <f t="shared" si="5"/>
        <v xml:space="preserve"> </v>
      </c>
      <c r="AB59" s="153" t="str">
        <f t="shared" si="6"/>
        <v xml:space="preserve"> </v>
      </c>
      <c r="AC59" s="153" t="str">
        <f t="shared" si="7"/>
        <v xml:space="preserve"> </v>
      </c>
      <c r="AD59" s="148" t="str">
        <f t="shared" si="8"/>
        <v/>
      </c>
      <c r="AE59" s="149" t="str">
        <f t="shared" si="9"/>
        <v/>
      </c>
      <c r="AF59" s="151" t="str">
        <f t="shared" si="10"/>
        <v xml:space="preserve"> </v>
      </c>
      <c r="AG59" s="153" t="str">
        <f t="shared" si="11"/>
        <v xml:space="preserve"> </v>
      </c>
      <c r="AH59" s="98" t="str">
        <f t="shared" si="12"/>
        <v xml:space="preserve"> </v>
      </c>
      <c r="AI59" s="149" t="str">
        <f t="shared" si="13"/>
        <v xml:space="preserve"> </v>
      </c>
      <c r="AK59" s="144" t="str">
        <f t="shared" si="14"/>
        <v xml:space="preserve"> </v>
      </c>
      <c r="AL59" s="144"/>
      <c r="AM59" s="243" t="str">
        <f t="shared" si="15"/>
        <v xml:space="preserve"> </v>
      </c>
      <c r="AN59" s="149" t="str">
        <f t="shared" si="134"/>
        <v xml:space="preserve"> </v>
      </c>
      <c r="AO59" s="144" t="str">
        <f>IF(JB59&gt;0,IF(GI59=10,-R59*1.085*(Calculation!$F$6-Calculation!$F$13)*$S$14," "),"")</f>
        <v/>
      </c>
      <c r="AP59" s="144" t="str">
        <f t="shared" si="16"/>
        <v/>
      </c>
      <c r="AQ59" s="56" t="str">
        <f t="shared" si="17"/>
        <v/>
      </c>
      <c r="AR59" s="144" t="str">
        <f t="shared" si="18"/>
        <v/>
      </c>
      <c r="AS59" s="176" t="str">
        <f t="shared" si="19"/>
        <v/>
      </c>
      <c r="AT59" s="176" t="str">
        <f t="shared" si="135"/>
        <v xml:space="preserve"> </v>
      </c>
      <c r="AU59" s="176" t="str">
        <f t="shared" si="20"/>
        <v/>
      </c>
      <c r="AV59" s="177" t="str">
        <f t="shared" si="21"/>
        <v xml:space="preserve"> </v>
      </c>
      <c r="AW59" s="144" t="str">
        <f t="shared" si="22"/>
        <v xml:space="preserve"> </v>
      </c>
      <c r="AX59" s="144" t="str">
        <f t="shared" si="23"/>
        <v xml:space="preserve"> </v>
      </c>
      <c r="AY59" s="152" t="str">
        <f t="shared" si="24"/>
        <v xml:space="preserve"> </v>
      </c>
      <c r="AZ59" s="246" t="str">
        <f t="shared" si="25"/>
        <v/>
      </c>
      <c r="BA59" s="176" t="str">
        <f t="shared" si="26"/>
        <v xml:space="preserve"> </v>
      </c>
      <c r="BB59" s="176" t="str">
        <f t="shared" si="27"/>
        <v xml:space="preserve"> </v>
      </c>
      <c r="BC59" s="195"/>
      <c r="BD59" s="316"/>
      <c r="BE59" s="317"/>
      <c r="BF59" s="318"/>
      <c r="BG59" s="318"/>
      <c r="BH59" s="144" t="str">
        <f t="shared" si="219"/>
        <v xml:space="preserve"> </v>
      </c>
      <c r="BI59" s="176" t="str">
        <f t="shared" si="28"/>
        <v/>
      </c>
      <c r="BJ59" s="144" t="str">
        <f t="shared" si="220"/>
        <v/>
      </c>
      <c r="BK59" s="246" t="str">
        <f t="shared" si="29"/>
        <v/>
      </c>
      <c r="BL59" s="144" t="str">
        <f t="shared" si="221"/>
        <v/>
      </c>
      <c r="BM59" s="246" t="str">
        <f t="shared" si="30"/>
        <v/>
      </c>
      <c r="BN59" s="337" t="str">
        <f t="shared" si="136"/>
        <v/>
      </c>
      <c r="BO59" s="371" t="str">
        <f t="shared" si="137"/>
        <v/>
      </c>
      <c r="BP59" s="328" t="str">
        <f t="shared" si="222"/>
        <v xml:space="preserve"> </v>
      </c>
      <c r="BQ59" s="347" t="str">
        <f t="shared" si="138"/>
        <v xml:space="preserve"> </v>
      </c>
      <c r="BR59" s="353" t="str">
        <f t="shared" si="223"/>
        <v xml:space="preserve"> </v>
      </c>
      <c r="BS59" s="626" t="str">
        <f>IF(L59&gt;0,IF(Calculation!P59="M13",BR59*3.1416*(0.134^2)/(4*144),IF(Calculation!P59="M17",BR59*3.1416*(0.165^2)/(4*144),IF(Calculation!P59="M20",BR59*3.1416*(0.198^2)/(4*144),IF(Calculation!P59="M23",BR59*3.1416*(0.228^2)/(4*144),IF(Calculation!P59="M27",BR59*3.1416*(0.269^2)/(4*144),BR59*3.1416*(0.307^2)/(4*144))))))," ")</f>
        <v xml:space="preserve"> </v>
      </c>
      <c r="BT59" s="353" t="str">
        <f>IF(L59&gt;0,IF(BS59&gt;0,R59/Calculation!BS59,0)," ")</f>
        <v xml:space="preserve"> </v>
      </c>
      <c r="BU59" s="438" t="e">
        <f t="shared" ca="1" si="31"/>
        <v>#VALUE!</v>
      </c>
      <c r="BV59" s="449" t="e">
        <f ca="1">INDEX(INDIRECT(VLOOKUP(LEFT(BO59,7),CLU!$Z$3:$AH$18,2)),GN59,GR59)</f>
        <v>#N/A</v>
      </c>
      <c r="BW59" s="433" t="e">
        <f ca="1">INDEX(INDIRECT(VLOOKUP(LEFT(BO59,7),CLU!$Z$3:$AH$18,3)),GN59,GR59)</f>
        <v>#N/A</v>
      </c>
      <c r="BX59" s="433" t="e">
        <f ca="1">INDEX(INDIRECT(VLOOKUP(LEFT(BO59,7),CLU!$Z$3:$AH$18,4)),GN59,GR59)</f>
        <v>#N/A</v>
      </c>
      <c r="BY59" s="433" t="e">
        <f ca="1">INDEX(INDIRECT(VLOOKUP(LEFT(BO59,7),CLU!$Z$3:$AH$18,9)),((M59-2)*(6-COUNTBLANK(GT59:GY59)))+GJ59)</f>
        <v>#N/A</v>
      </c>
      <c r="BZ59" s="426" t="e">
        <f t="shared" ca="1" si="139"/>
        <v>#N/A</v>
      </c>
      <c r="CA59" s="424" t="e">
        <f t="shared" ca="1" si="140"/>
        <v>#N/A</v>
      </c>
      <c r="CB59" s="429" t="e">
        <f ca="1">INDEX(INDIRECT(VLOOKUP(LEFT(BO59,7),CLU!$Z$3:$AH$18,2)),GN59,GS59)</f>
        <v>#N/A</v>
      </c>
      <c r="CC59" s="342" t="e">
        <f ca="1">INDEX(INDIRECT(VLOOKUP(LEFT(BO59,7),CLU!$Z$3:$AH$18,3)),GN59,GS59)</f>
        <v>#N/A</v>
      </c>
      <c r="CD59" s="342" t="e">
        <f ca="1">INDEX(INDIRECT(VLOOKUP(LEFT(BO59,7),CLU!$Z$3:$AH$18,4)),GN59,GS59)</f>
        <v>#N/A</v>
      </c>
      <c r="CE59" s="426" t="e">
        <f t="shared" ca="1" si="141"/>
        <v>#N/A</v>
      </c>
      <c r="CF59" s="440">
        <f t="shared" si="142"/>
        <v>0</v>
      </c>
      <c r="CG59" s="431" t="e">
        <f ca="1">INDEX(INDIRECT(VLOOKUP(LEFT(BO59,7),CLU!$Z$3:$AH$18,2)),GQ59,GR59)</f>
        <v>#N/A</v>
      </c>
      <c r="CH59" s="431" t="e">
        <f ca="1">INDEX(INDIRECT(VLOOKUP(LEFT(BO59,7),CLU!$Z$3:$AH$18,3)),GQ59,GR59)</f>
        <v>#N/A</v>
      </c>
      <c r="CI59" s="431" t="e">
        <f ca="1">INDEX(INDIRECT(VLOOKUP(LEFT(BO59,7),CLU!$Z$3:$AH$18,4)),GQ59,GR59)</f>
        <v>#N/A</v>
      </c>
      <c r="CJ59" s="448" t="e">
        <f t="shared" ca="1" si="143"/>
        <v>#N/A</v>
      </c>
      <c r="CK59" s="431" t="e">
        <f t="shared" ca="1" si="144"/>
        <v>#N/A</v>
      </c>
      <c r="CL59" s="440" t="e">
        <f t="shared" ca="1" si="145"/>
        <v>#N/A</v>
      </c>
      <c r="CM59" s="431" t="e">
        <f ca="1">INDEX(INDIRECT(VLOOKUP(LEFT(BO59,7),CLU!$Z$3:$AH$18,2)),GQ59,GS59)</f>
        <v>#N/A</v>
      </c>
      <c r="CN59" s="431" t="e">
        <f ca="1">INDEX(INDIRECT(VLOOKUP(LEFT(BO59,7),CLU!$Z$3:$AH$18,3)),GQ59,GS59)</f>
        <v>#N/A</v>
      </c>
      <c r="CO59" s="431" t="e">
        <f ca="1">INDEX(INDIRECT(VLOOKUP(LEFT(BO59,7),CLU!$Z$3:$AH$18,4)),GQ59,GS59)</f>
        <v>#N/A</v>
      </c>
      <c r="CP59" s="431" t="e">
        <f t="shared" ca="1" si="146"/>
        <v>#N/A</v>
      </c>
      <c r="CQ59" s="440">
        <f t="shared" si="147"/>
        <v>0</v>
      </c>
      <c r="CR59" s="51" t="e">
        <f t="shared" ca="1" si="148"/>
        <v>#N/A</v>
      </c>
      <c r="CS59" s="439" t="e">
        <f t="shared" ca="1" si="149"/>
        <v>#VALUE!</v>
      </c>
      <c r="CT59" s="51" t="e">
        <f t="shared" ca="1" si="150"/>
        <v>#VALUE!</v>
      </c>
      <c r="CU59" s="10"/>
      <c r="CV59" s="51" t="e">
        <f t="shared" ca="1" si="34"/>
        <v>#VALUE!</v>
      </c>
      <c r="CW59" s="51">
        <f t="shared" si="151"/>
        <v>0</v>
      </c>
      <c r="CX59" s="439" t="e">
        <f t="shared" ca="1" si="152"/>
        <v>#VALUE!</v>
      </c>
      <c r="CY59" s="51" t="e">
        <f t="shared" ca="1" si="153"/>
        <v>#VALUE!</v>
      </c>
      <c r="CZ59" s="10"/>
      <c r="DA59" s="51" t="e">
        <f t="shared" ca="1" si="154"/>
        <v>#VALUE!</v>
      </c>
      <c r="DB59" s="347" t="e">
        <f ca="1">INDEX(INDIRECT(VLOOKUP(LEFT(BO59,7),CLU!$Z$3:$AI$18,10)),((M59-2)*(6-COUNTBLANK(GT59:GY59)))+GJ59)*LI59</f>
        <v>#N/A</v>
      </c>
      <c r="DC59" s="347" t="str">
        <f>IF(L59&gt;0,((R59/Worksheet!$I$15)/DB59)^2," ")</f>
        <v xml:space="preserve"> </v>
      </c>
      <c r="DD59" s="602" t="str">
        <f t="shared" si="224"/>
        <v xml:space="preserve"> </v>
      </c>
      <c r="DE59" s="347" t="str">
        <f t="shared" si="35"/>
        <v xml:space="preserve"> </v>
      </c>
      <c r="DF59" s="356" t="e">
        <f ca="1">INDEX(INDIRECT(VLOOKUP(LEFT(BO59,7),CLU!$Z$3:$AH$18,8)),((M59-2)*(6-COUNTBLANK(GT59:GY59)))+GJ59)</f>
        <v>#N/A</v>
      </c>
      <c r="DG59" s="347" t="str">
        <f t="shared" si="36"/>
        <v xml:space="preserve"> </v>
      </c>
      <c r="DH59" s="357" t="str">
        <f t="shared" si="37"/>
        <v xml:space="preserve"> </v>
      </c>
      <c r="DI59" s="355" t="str">
        <f t="shared" si="38"/>
        <v xml:space="preserve"> </v>
      </c>
      <c r="DJ59" s="245" t="e">
        <f ca="1">INDEX(INDIRECT(VLOOKUP(LEFT(BO59,7),CLU!$Z$3:$AH$18,5)),GL59,GK59)</f>
        <v>#N/A</v>
      </c>
      <c r="DK59" s="245" t="e">
        <f ca="1">INDEX(INDIRECT(VLOOKUP(LEFT(BO59,7),CLU!$Z$3:$AH$18,6)),GL59,GK59)</f>
        <v>#N/A</v>
      </c>
      <c r="DL59" s="355">
        <f>(Calculation!R59*0.69143*(Calculation!$BQ$8-Calculation!$F$8))*$S$14</f>
        <v>0</v>
      </c>
      <c r="DM59" s="359" t="e">
        <f t="shared" si="160"/>
        <v>#VALUE!</v>
      </c>
      <c r="DN59" s="611">
        <f t="shared" si="161"/>
        <v>0</v>
      </c>
      <c r="DO59" s="359">
        <f t="shared" si="162"/>
        <v>100</v>
      </c>
      <c r="DP59" s="359">
        <f t="shared" si="163"/>
        <v>0</v>
      </c>
      <c r="DQ59" s="360"/>
      <c r="DR59" s="245" t="e">
        <f ca="1">INDEX(INDIRECT(VLOOKUP(LEFT(BO59,7),CLU!$Z$3:$AH$18,7)),M59-1,1)</f>
        <v>#N/A</v>
      </c>
      <c r="DS59" s="245" t="e">
        <f ca="1">INDEX(INDIRECT(VLOOKUP(LEFT(BO59,7),CLU!$Z$3:$AH$18,7)),M59-1,2)</f>
        <v>#N/A</v>
      </c>
      <c r="DT59" s="245" t="e">
        <f ca="1">INDEX(INDIRECT(VLOOKUP(LEFT(BO59,7),CLU!$Z$3:$AH$18,7)),M59-1,3)</f>
        <v>#N/A</v>
      </c>
      <c r="DU59" s="245" t="e">
        <f ca="1">INDEX(INDIRECT(VLOOKUP(LEFT(BO59,7),CLU!$Z$3:$AH$18,7)),M59-1,4)</f>
        <v>#N/A</v>
      </c>
      <c r="DV59" s="361" t="e">
        <f ca="1">INDEX(INDIRECT(VLOOKUP(LEFT(BO59,7),CLU!$Z$3:$AH$18,7)),M59-1,4+LEFT(DZ59,1)*0.5)</f>
        <v>#N/A</v>
      </c>
      <c r="DW59" s="245" t="e">
        <f ca="1">INDEX(INDIRECT(VLOOKUP(LEFT(BO59,7),CLU!$Z$3:$AH$18,7)),M59-1,8)</f>
        <v>#N/A</v>
      </c>
      <c r="DX59" s="361" t="str">
        <f t="shared" si="39"/>
        <v xml:space="preserve"> </v>
      </c>
      <c r="DY59" s="361" t="str">
        <f t="shared" si="40"/>
        <v xml:space="preserve"> </v>
      </c>
      <c r="DZ59" s="361" t="str">
        <f t="shared" si="41"/>
        <v xml:space="preserve"> </v>
      </c>
      <c r="EA59" s="362" t="str">
        <f t="shared" si="42"/>
        <v xml:space="preserve"> </v>
      </c>
      <c r="EB59" s="624" t="str">
        <f t="shared" si="168"/>
        <v xml:space="preserve"> </v>
      </c>
      <c r="EC59" s="361" t="e">
        <f ca="1">INDEX(INDIRECT(VLOOKUP(LEFT(BO59,7),CLU!$Z$3:$AH$18,7)),M59-1,4+LEFT(DZ59,1)*0.5)</f>
        <v>#N/A</v>
      </c>
      <c r="ED59" s="362" t="str">
        <f t="shared" si="43"/>
        <v xml:space="preserve"> </v>
      </c>
      <c r="EE59" s="361" t="str">
        <f t="shared" si="44"/>
        <v xml:space="preserve"> </v>
      </c>
      <c r="EF59" s="362" t="str">
        <f>IF(L59&gt;0,IF(BR59&gt;0,IF(EE59="2P",IF(Calculation!DZ59="2P",IF(Calculation!DS59=13.75,IF(Calculation!DR59=13,Worksheet!$BD$43,IF(Calculation!DR59=37,Worksheet!$BD$44,Worksheet!$BD$45)),IF(Calculation!DS59=10,IF(Calculation!DR59=18,Worksheet!$BD$29,IF(Calculation!DR59=30,Worksheet!$BD$30,IF(Calculation!DR59=42,Worksheet!$BD$31,IF(Calculation!DR59=54,Worksheet!$BD$32,IF(Calculation!DR59=66,Worksheet!$BD$33,IF(Calculation!DR59=78,Worksheet!$BD$34,IF(Calculation!DR59=90,Worksheet!$BD$35,IF(Calculation!DR59=102,Worksheet!$BD$36,Worksheet!$BD$37)))))))),IF(Calculation!DS59=12.5,IF(Calculation!DR59=18,Worksheet!$BD$38,IF(Calculation!DR59=Worksheet!$BD$39,IF(Calculation!DR59=42,Worksheet!$BD$40,IF(Calculation!DR59=54,Worksheet!$BD$41,Worksheet!$BD$42)))),IF(Calculation!DR59=18,Worksheet!$BD$11,IF(Calculation!DR59=30,Worksheet!$BD$12,IF(Calculation!DR59=42,Worksheet!$BD$13,IF(Calculation!DR59=54,Worksheet!$BD$14,IF(Calculation!DR59=66,Worksheet!$BD$15,IF(Calculation!DR59=78,Worksheet!$BD$16,IF(Calculation!DR59=90,Worksheet!$BD$17,IF(Calculation!DR59=102,Worksheet!$BD$18,Worksheet!$BD$19))))))))))),IF(Calculation!DS59=13.75,IF(Calculation!DR59=13,Worksheet!$BD$78,IF(Calculation!DR59=37,Worksheet!$BD$79,Worksheet!$BD$80)),IF(Calculation!DS59=10,IF(Calculation!DR59=18,Worksheet!$BD$64,IF(Calculation!DR59=30,Worksheet!$BD$65,IF(Calculation!DR59=42,Worksheet!$BD$66,IF(Calculation!DR59=54,Worksheet!$BD$68,IF(Calculation!DR59=66,Worksheet!$BD$68,IF(Calculation!DR59=78,Worksheet!$BD$69,IF(Calculation!DR59=90,Worksheet!$BD$70,IF(Calculation!DR59=102,Worksheet!$BD$71,Worksheet!$BD$72)))))))),IF(Calculation!DS59=12.5,IF(Calculation!DR59=18,Worksheet!$BD$73,IF(Calculation!DR59=Worksheet!$BD$74,IF(Calculation!DR59=42,Worksheet!$BD$75,IF(Calculation!DR59=54,Worksheet!$BD$76,Worksheet!$BD$77)))),IF(Calculation!DR59=18,Worksheet!$BD$55,IF(Calculation!DR59=30,Worksheet!$BD$56,IF(Calculation!DR59=42,Worksheet!$BD$57,IF(Calculation!DR59=54,Worksheet!$BD$58,IF(Calculation!DR59=66,Worksheet!$BD$59,IF(Calculation!DR59=78,Worksheet!$BD$60,IF(Calculation!DR59=90,Worksheet!$BD$61,IF(Calculation!DR59=102,Worksheet!$BD$62,Worksheet!$BD$63)))))))))))),5),0)," ")</f>
        <v xml:space="preserve"> </v>
      </c>
      <c r="EG59" s="361" t="str">
        <f t="shared" si="45"/>
        <v xml:space="preserve"> </v>
      </c>
      <c r="EH59" s="361" t="e">
        <f ca="1">INDEX(INDIRECT(VLOOKUP(LEFT(BO59,7),CLU!$Z$3:$AH$18,7)),M59-1,3+LEFT(DZ59,1))</f>
        <v>#N/A</v>
      </c>
      <c r="EI59" s="362" t="str">
        <f t="shared" si="46"/>
        <v xml:space="preserve"> </v>
      </c>
      <c r="EJ59" s="363" t="str">
        <f t="shared" si="47"/>
        <v xml:space="preserve"> </v>
      </c>
      <c r="EK59" s="363" t="str">
        <f t="shared" si="48"/>
        <v xml:space="preserve"> </v>
      </c>
      <c r="EL59" s="363" t="str">
        <f t="shared" si="49"/>
        <v xml:space="preserve"> </v>
      </c>
      <c r="EM59" s="362" t="str">
        <f>IF(L59&gt;0,IF(BR59&gt;0,(Calculation!T59/ED59)^2,0)," ")</f>
        <v xml:space="preserve"> </v>
      </c>
      <c r="EN59" s="362" t="str">
        <f>IF(L59&gt;0,IF(O59="2 Pipe (Cooling)","N/A",IF(BR59&gt;0,(Calculation!U59/EI59)^2,0))," ")</f>
        <v xml:space="preserve"> </v>
      </c>
      <c r="EO59" s="361" t="str">
        <f t="shared" si="50"/>
        <v/>
      </c>
      <c r="EP59" s="361" t="str">
        <f t="shared" si="51"/>
        <v/>
      </c>
      <c r="EQ59" s="361" t="str">
        <f t="shared" si="52"/>
        <v/>
      </c>
      <c r="ER59" s="361" t="str">
        <f t="shared" si="53"/>
        <v/>
      </c>
      <c r="ES59" s="361" t="str">
        <f t="shared" si="54"/>
        <v/>
      </c>
      <c r="ET59" s="361" t="str">
        <f t="shared" si="55"/>
        <v/>
      </c>
      <c r="EU59" s="361" t="str">
        <f t="shared" si="56"/>
        <v/>
      </c>
      <c r="EV59" s="361" t="str">
        <f t="shared" si="57"/>
        <v/>
      </c>
      <c r="EW59" s="361" t="str">
        <f t="shared" si="58"/>
        <v/>
      </c>
      <c r="EX59" s="361" t="str">
        <f t="shared" si="169"/>
        <v>1 slot, 1 way</v>
      </c>
      <c r="EY59" s="361" t="str">
        <f t="shared" si="170"/>
        <v xml:space="preserve"> </v>
      </c>
      <c r="EZ59" s="361" t="str">
        <f t="shared" si="171"/>
        <v xml:space="preserve"> </v>
      </c>
      <c r="FA59" s="361" t="str">
        <f t="shared" si="172"/>
        <v xml:space="preserve"> </v>
      </c>
      <c r="FB59" s="361" t="str">
        <f t="shared" si="173"/>
        <v xml:space="preserve"> </v>
      </c>
      <c r="FC59" s="361"/>
      <c r="FD59" s="361" t="str">
        <f>IF(J59&gt;0,IF(Calculation!R59&lt;=70,4,IF(Calculation!R59&lt;=110,5,IF(Calculation!R59&lt;=160,6,IF(Calculation!R59&lt;=300,8,"10 EO")))),"")</f>
        <v/>
      </c>
      <c r="FE59" s="361" t="str">
        <f t="shared" si="174"/>
        <v/>
      </c>
      <c r="FF59" s="361" t="str">
        <f t="shared" si="175"/>
        <v/>
      </c>
      <c r="FG59" s="361" t="e">
        <f t="shared" si="60"/>
        <v>#N/A</v>
      </c>
      <c r="FH59" s="361">
        <f t="shared" si="61"/>
        <v>0</v>
      </c>
      <c r="FI59" s="361" t="e">
        <f t="shared" si="62"/>
        <v>#DIV/0!</v>
      </c>
      <c r="FJ59" s="361"/>
      <c r="FK59" s="356" t="e">
        <f t="shared" si="63"/>
        <v>#VALUE!</v>
      </c>
      <c r="FL59" s="361"/>
      <c r="FM59" s="361"/>
      <c r="FN59" s="362" t="str">
        <f t="shared" si="176"/>
        <v xml:space="preserve"> </v>
      </c>
      <c r="FO59" s="362" t="str">
        <f t="shared" si="177"/>
        <v xml:space="preserve"> </v>
      </c>
      <c r="FP59" s="362">
        <f t="shared" si="178"/>
        <v>0</v>
      </c>
      <c r="FQ59" s="361">
        <f t="shared" si="64"/>
        <v>0</v>
      </c>
      <c r="FR59" s="362" t="str">
        <f>IF(L59&gt;0,IF(J59="CBAL2",Worksheet!$P$67,IF(J59="CBE2-24",Worksheet!$Q$67,IF(J59="CBAM",Worksheet!$R$67,IF(J59="CBLV",Worksheet!$S$67,IF(J59="CBAB",Worksheet!$U$67,IF(J59="CBAW",Worksheet!$X$67,IF(J59="CBE2-12",Worksheet!$Y$67,IF(J59="CBAL2",Worksheet!$Z$67,"N/A"))))))))," ")</f>
        <v xml:space="preserve"> </v>
      </c>
      <c r="FS59" s="362" t="str">
        <f>IF(L59&gt;0,IF(J59="CBAL2",Worksheet!$P$68,IF(J59="CBE2-24",Worksheet!$Q$68,IF(J59="CBAM",Worksheet!$R$68,IF(J59="CBLV",Worksheet!$S$68,IF(J59="CBAB",Worksheet!$U$68,IF(J59="CBAW",Worksheet!$X$68,IF(J59="CBE2-12",Worksheet!$Y$68,IF(J59="CBAL2",Worksheet!$Z$68,"N/A"))))))))," ")</f>
        <v xml:space="preserve"> </v>
      </c>
      <c r="FT59" s="362" t="str">
        <f>IF(L59&gt;0,IF(J59="CBAL2",Worksheet!$P$69,IF(J59="CBE2-24",Worksheet!$Q$69,IF(J59="CBAM",Worksheet!$R$69,IF(J59="CBLV",Worksheet!$S$69,IF(J59="CBAB",Worksheet!$U$69,IF(J59="CBAW",Worksheet!$X$69,IF(J59="CBE2-12",Worksheet!$Y$69,IF(J59="CBAL2",Worksheet!$Z$69,"N/A"))))))))," ")</f>
        <v xml:space="preserve"> </v>
      </c>
      <c r="FU59" s="361" t="str">
        <f t="shared" si="179"/>
        <v xml:space="preserve"> </v>
      </c>
      <c r="FV59" s="362" t="str">
        <f t="shared" si="180"/>
        <v xml:space="preserve"> </v>
      </c>
      <c r="FW59" s="362" t="str">
        <f t="shared" si="181"/>
        <v xml:space="preserve"> </v>
      </c>
      <c r="FX59" s="362" t="str">
        <f t="shared" si="182"/>
        <v xml:space="preserve"> </v>
      </c>
      <c r="FY59" s="355" t="str">
        <f t="shared" si="183"/>
        <v xml:space="preserve"> </v>
      </c>
      <c r="FZ59" s="361" t="str">
        <f t="shared" si="184"/>
        <v xml:space="preserve"> </v>
      </c>
      <c r="GA59" s="347" t="str">
        <f t="shared" si="185"/>
        <v xml:space="preserve"> </v>
      </c>
      <c r="GB59" s="355" t="str">
        <f t="shared" si="186"/>
        <v xml:space="preserve"> </v>
      </c>
      <c r="GC59" s="328" t="str">
        <f t="shared" si="187"/>
        <v xml:space="preserve"> </v>
      </c>
      <c r="GD59" s="361" t="str">
        <f t="shared" si="188"/>
        <v xml:space="preserve"> </v>
      </c>
      <c r="GE59" s="347" t="str">
        <f t="shared" si="189"/>
        <v xml:space="preserve"> </v>
      </c>
      <c r="GF59" s="361" t="str">
        <f t="shared" si="190"/>
        <v xml:space="preserve"> </v>
      </c>
      <c r="GG59" s="347" t="str">
        <f t="shared" si="191"/>
        <v xml:space="preserve"> </v>
      </c>
      <c r="GH59" s="364">
        <f t="shared" si="78"/>
        <v>0</v>
      </c>
      <c r="GI59" s="362">
        <f t="shared" si="192"/>
        <v>2</v>
      </c>
      <c r="GJ59" s="433" t="e">
        <f>IF(6-COUNTBLANK(GT59:GY59)=4,MATCH(MID(BO59,9,3),CLU!$H$16:$K$16),MATCH(MID(BO59,9,3),CLU!$H$13:$M$13))</f>
        <v>#N/A</v>
      </c>
      <c r="GK59" s="433" t="e">
        <f>HLOOKUP(VALUE(BP59),CLU!$H$9:$M$10,2)</f>
        <v>#VALUE!</v>
      </c>
      <c r="GL59" s="433" t="e">
        <f ca="1">MATCH(BU59,CLU!$H$2:$V$2,1)</f>
        <v>#VALUE!</v>
      </c>
      <c r="GM59" s="433" t="e">
        <f t="shared" ca="1" si="193"/>
        <v>#VALUE!</v>
      </c>
      <c r="GN59" s="433" t="e">
        <f t="shared" ca="1" si="194"/>
        <v>#VALUE!</v>
      </c>
      <c r="GO59" s="433" t="e">
        <f t="shared" ca="1" si="195"/>
        <v>#VALUE!</v>
      </c>
      <c r="GP59" s="433" t="e">
        <f t="shared" ca="1" si="196"/>
        <v>#VALUE!</v>
      </c>
      <c r="GQ59" s="433" t="e">
        <f t="shared" ca="1" si="197"/>
        <v>#VALUE!</v>
      </c>
      <c r="GR59" s="433" t="e">
        <f ca="1">MATCH(T59,INDIRECT(VLOOKUP(CONCATENATE(LEFT(BO59,7),"-",MID(BO59,13,1)),CLU!$P$3:$Q$16,2)),1)</f>
        <v>#N/A</v>
      </c>
      <c r="GS59" s="433" t="e">
        <f ca="1">MATCH(U59,INDIRECT(VLOOKUP(CONCATENATE(LEFT(BO59,7),"-",MID(BO59,13,1)),CLU!$P$3:$Q$16,2)),1)</f>
        <v>#N/A</v>
      </c>
      <c r="GT59" s="347" t="s">
        <v>512</v>
      </c>
      <c r="GU59" s="97" t="s">
        <v>513</v>
      </c>
      <c r="GV59" s="97" t="str">
        <f t="shared" si="198"/>
        <v>M23</v>
      </c>
      <c r="GW59" s="97" t="str">
        <f t="shared" si="199"/>
        <v>M31</v>
      </c>
      <c r="GX59" s="97" t="str">
        <f t="shared" si="200"/>
        <v/>
      </c>
      <c r="GY59" s="97" t="str">
        <f t="shared" si="201"/>
        <v/>
      </c>
      <c r="GZ59" s="481"/>
      <c r="HA59" s="288"/>
      <c r="HB59" s="240"/>
      <c r="HC59" s="240"/>
      <c r="HD59" s="240"/>
      <c r="HE59" s="240"/>
      <c r="HF59" s="240"/>
      <c r="HG59" s="240"/>
      <c r="HH59" s="240"/>
      <c r="HI59" s="240"/>
      <c r="HJ59" s="240"/>
      <c r="HK59" s="240"/>
      <c r="HL59" s="240"/>
      <c r="HM59" s="240"/>
      <c r="HN59" s="240"/>
      <c r="HO59" s="240"/>
      <c r="HP59" s="240"/>
      <c r="HQ59" s="240"/>
      <c r="HR59" s="240"/>
      <c r="HS59" s="240"/>
      <c r="HT59" s="240"/>
      <c r="HU59" s="240"/>
      <c r="HV59" s="245"/>
      <c r="HW59" s="245" t="b">
        <v>1</v>
      </c>
      <c r="HX59" s="245" t="str">
        <f t="shared" si="79"/>
        <v/>
      </c>
      <c r="HY59" s="245" t="e">
        <f t="shared" si="80"/>
        <v>#DIV/0!</v>
      </c>
      <c r="HZ59" s="245" t="e">
        <f t="shared" si="81"/>
        <v>#DIV/0!</v>
      </c>
      <c r="IA59" s="245">
        <f t="shared" si="82"/>
        <v>0</v>
      </c>
      <c r="IB59" s="245"/>
      <c r="IC59" t="b">
        <f t="shared" si="83"/>
        <v>1</v>
      </c>
      <c r="ID59" s="245" t="b">
        <f t="shared" si="84"/>
        <v>1</v>
      </c>
      <c r="IE59" s="245" t="b">
        <f t="shared" si="85"/>
        <v>1</v>
      </c>
      <c r="IF59" s="245" t="b">
        <f t="shared" si="86"/>
        <v>0</v>
      </c>
      <c r="IG59" s="245" t="b">
        <f t="shared" si="87"/>
        <v>1</v>
      </c>
      <c r="IH59" s="245" t="b">
        <f t="shared" si="88"/>
        <v>1</v>
      </c>
      <c r="II59" s="245">
        <f t="shared" si="202"/>
        <v>0</v>
      </c>
      <c r="IJ59" s="245" t="e">
        <f t="shared" si="89"/>
        <v>#VALUE!</v>
      </c>
      <c r="IK59" s="245" t="e">
        <f t="shared" si="90"/>
        <v>#VALUE!</v>
      </c>
      <c r="IL59" s="245"/>
      <c r="IM59" s="245" t="e">
        <f t="shared" si="203"/>
        <v>#N/A</v>
      </c>
      <c r="IN59" s="245" t="e">
        <f t="shared" si="204"/>
        <v>#N/A</v>
      </c>
      <c r="IO59" s="245"/>
      <c r="IP59" s="245"/>
      <c r="IQ59" s="245" t="str">
        <f t="shared" si="91"/>
        <v/>
      </c>
      <c r="IR59" s="245" t="str">
        <f>IF(J59="","",VLOOKUP(J59,Worksheet!$R$4:$T$14,2))</f>
        <v/>
      </c>
      <c r="IS59" s="245"/>
      <c r="IT59" s="245">
        <f t="shared" si="92"/>
        <v>0</v>
      </c>
      <c r="IU59" s="245">
        <f t="shared" si="93"/>
        <v>0</v>
      </c>
      <c r="IV59" s="245">
        <f t="shared" si="94"/>
        <v>0</v>
      </c>
      <c r="IW59" s="245">
        <f t="shared" si="95"/>
        <v>0</v>
      </c>
      <c r="IX59" s="245">
        <f t="shared" si="205"/>
        <v>0</v>
      </c>
      <c r="IY59" s="245">
        <f t="shared" si="96"/>
        <v>0</v>
      </c>
      <c r="IZ59" s="245">
        <f t="shared" si="97"/>
        <v>0</v>
      </c>
      <c r="JA59">
        <f t="shared" si="98"/>
        <v>0</v>
      </c>
      <c r="JB59">
        <f t="shared" si="206"/>
        <v>0</v>
      </c>
      <c r="JC59">
        <f t="shared" si="99"/>
        <v>0</v>
      </c>
      <c r="JD59">
        <f t="shared" si="100"/>
        <v>0</v>
      </c>
      <c r="JE59">
        <f t="shared" si="101"/>
        <v>0</v>
      </c>
      <c r="JF59">
        <f t="shared" si="102"/>
        <v>0</v>
      </c>
      <c r="JG59">
        <f t="shared" si="103"/>
        <v>0</v>
      </c>
      <c r="JH59">
        <f t="shared" si="104"/>
        <v>0</v>
      </c>
      <c r="JI59">
        <f t="shared" si="105"/>
        <v>0</v>
      </c>
      <c r="JJ59" s="447">
        <f t="shared" si="106"/>
        <v>0</v>
      </c>
      <c r="JK59" s="447">
        <f t="shared" si="107"/>
        <v>0</v>
      </c>
      <c r="JL59">
        <f t="shared" si="108"/>
        <v>0</v>
      </c>
      <c r="JM59" s="245" t="str">
        <f>IFERROR(VLOOKUP(MATCH(BN59,#REF!,0),#REF!,7),"")</f>
        <v/>
      </c>
      <c r="JN59" t="e">
        <f>HLOOKUP(LEFT(BO59,7),Discharge_Area,MATCH(JO59,LookUps!$B$130:$B$149,1)+2)</f>
        <v>#N/A</v>
      </c>
      <c r="JO59" t="str">
        <f t="shared" si="109"/>
        <v>- S</v>
      </c>
      <c r="JP59" t="e">
        <f>HLOOKUP(LEFT(BO59,7),Discharge_Area,MATCH(JO59,LookUps!$B$130:$B$149,1)+2)</f>
        <v>#N/A</v>
      </c>
      <c r="JQ59" t="e">
        <f t="shared" si="110"/>
        <v>#N/A</v>
      </c>
      <c r="JR59" t="e">
        <f t="shared" si="111"/>
        <v>#N/A</v>
      </c>
      <c r="JS59" t="e">
        <f t="shared" si="112"/>
        <v>#N/A</v>
      </c>
      <c r="JT59" s="532" t="str">
        <f t="shared" si="113"/>
        <v xml:space="preserve"> </v>
      </c>
      <c r="JU59" s="532" t="str">
        <f t="shared" si="114"/>
        <v xml:space="preserve"> </v>
      </c>
      <c r="JV59" s="533" t="str">
        <f t="shared" si="115"/>
        <v xml:space="preserve"> </v>
      </c>
      <c r="JW59" s="534">
        <f t="shared" si="116"/>
        <v>0</v>
      </c>
      <c r="JX59" s="535" t="str">
        <f t="shared" si="207"/>
        <v xml:space="preserve"> </v>
      </c>
      <c r="JY59" s="535" t="str">
        <f t="shared" si="208"/>
        <v xml:space="preserve"> </v>
      </c>
      <c r="JZ59" s="535" t="str">
        <f t="shared" si="209"/>
        <v xml:space="preserve"> </v>
      </c>
      <c r="KA59" s="536" t="str">
        <f t="shared" si="117"/>
        <v xml:space="preserve"> </v>
      </c>
      <c r="KB59" s="535" t="e">
        <f t="shared" si="210"/>
        <v>#VALUE!</v>
      </c>
      <c r="KC59" s="535" t="str">
        <f t="shared" si="118"/>
        <v/>
      </c>
      <c r="KD59" s="537" t="str">
        <f t="shared" si="211"/>
        <v xml:space="preserve"> </v>
      </c>
      <c r="KE59" s="537" t="str">
        <f t="shared" si="212"/>
        <v xml:space="preserve"> </v>
      </c>
      <c r="KF59" s="534">
        <f t="shared" si="119"/>
        <v>0</v>
      </c>
      <c r="KG59" s="535" t="str">
        <f t="shared" si="120"/>
        <v xml:space="preserve"> </v>
      </c>
      <c r="KH59" s="535" t="str">
        <f t="shared" si="121"/>
        <v xml:space="preserve"> </v>
      </c>
      <c r="KI59" s="535" t="str">
        <f t="shared" si="122"/>
        <v xml:space="preserve"> </v>
      </c>
      <c r="KJ59" s="536" t="str">
        <f t="shared" si="123"/>
        <v xml:space="preserve"> </v>
      </c>
      <c r="KK59" s="535" t="str">
        <f t="shared" si="213"/>
        <v xml:space="preserve"> </v>
      </c>
      <c r="KL59" s="535" t="str">
        <f t="shared" si="214"/>
        <v xml:space="preserve"> </v>
      </c>
      <c r="KM59" s="537" t="str">
        <f t="shared" si="124"/>
        <v xml:space="preserve"> </v>
      </c>
      <c r="KN59" s="537" t="str">
        <f t="shared" si="215"/>
        <v xml:space="preserve"> </v>
      </c>
      <c r="KP59">
        <f t="shared" si="125"/>
        <v>0</v>
      </c>
      <c r="LA59" t="e">
        <f t="shared" si="126"/>
        <v>#VALUE!</v>
      </c>
      <c r="LB59" t="e">
        <f t="shared" si="127"/>
        <v>#VALUE!</v>
      </c>
      <c r="LC59" t="e">
        <f t="shared" si="128"/>
        <v>#VALUE!</v>
      </c>
      <c r="LD59" t="e">
        <f t="shared" si="129"/>
        <v>#VALUE!</v>
      </c>
      <c r="LE59" t="e">
        <f t="shared" si="216"/>
        <v>#VALUE!</v>
      </c>
      <c r="LF59">
        <f t="shared" si="130"/>
        <v>0</v>
      </c>
      <c r="LG59" t="e">
        <f t="shared" si="217"/>
        <v>#VALUE!</v>
      </c>
      <c r="LH59" t="str">
        <f t="shared" si="131"/>
        <v xml:space="preserve"> </v>
      </c>
      <c r="LI59">
        <f t="shared" si="218"/>
        <v>1</v>
      </c>
    </row>
    <row r="60" spans="2:321" ht="15" customHeight="1">
      <c r="B60" s="311"/>
      <c r="C60" s="311"/>
      <c r="D60" s="312"/>
      <c r="E60" s="311"/>
      <c r="F60" s="312"/>
      <c r="G60" s="311"/>
      <c r="H60" s="311"/>
      <c r="I60" s="37"/>
      <c r="J60" s="311"/>
      <c r="K60" s="305" t="str">
        <f t="shared" si="132"/>
        <v/>
      </c>
      <c r="L60" s="313"/>
      <c r="M60" s="312"/>
      <c r="N60" s="311"/>
      <c r="O60" s="312"/>
      <c r="P60" s="311"/>
      <c r="Q60" s="305" t="str">
        <f t="shared" si="133"/>
        <v/>
      </c>
      <c r="R60" s="314"/>
      <c r="S60" s="450" t="str">
        <f t="shared" si="0"/>
        <v/>
      </c>
      <c r="T60" s="315"/>
      <c r="U60" s="315"/>
      <c r="W60" s="149" t="str">
        <f t="shared" si="1"/>
        <v xml:space="preserve"> </v>
      </c>
      <c r="X60" s="243" t="str">
        <f t="shared" si="2"/>
        <v xml:space="preserve"> </v>
      </c>
      <c r="Y60" s="150" t="str">
        <f t="shared" si="3"/>
        <v/>
      </c>
      <c r="Z60" s="149" t="str">
        <f t="shared" si="4"/>
        <v xml:space="preserve"> </v>
      </c>
      <c r="AA60" s="98" t="str">
        <f t="shared" si="5"/>
        <v xml:space="preserve"> </v>
      </c>
      <c r="AB60" s="153" t="str">
        <f t="shared" si="6"/>
        <v xml:space="preserve"> </v>
      </c>
      <c r="AC60" s="153" t="str">
        <f t="shared" si="7"/>
        <v xml:space="preserve"> </v>
      </c>
      <c r="AD60" s="148" t="str">
        <f t="shared" si="8"/>
        <v/>
      </c>
      <c r="AE60" s="149" t="str">
        <f t="shared" si="9"/>
        <v/>
      </c>
      <c r="AF60" s="151" t="str">
        <f t="shared" si="10"/>
        <v xml:space="preserve"> </v>
      </c>
      <c r="AG60" s="153" t="str">
        <f t="shared" si="11"/>
        <v xml:space="preserve"> </v>
      </c>
      <c r="AH60" s="98" t="str">
        <f t="shared" si="12"/>
        <v xml:space="preserve"> </v>
      </c>
      <c r="AI60" s="149" t="str">
        <f t="shared" si="13"/>
        <v xml:space="preserve"> </v>
      </c>
      <c r="AK60" s="144" t="str">
        <f t="shared" si="14"/>
        <v xml:space="preserve"> </v>
      </c>
      <c r="AL60" s="144"/>
      <c r="AM60" s="243" t="str">
        <f t="shared" si="15"/>
        <v xml:space="preserve"> </v>
      </c>
      <c r="AN60" s="149" t="str">
        <f t="shared" si="134"/>
        <v xml:space="preserve"> </v>
      </c>
      <c r="AO60" s="144" t="str">
        <f>IF(JB60&gt;0,IF(GI60=10,-R60*1.085*(Calculation!$F$6-Calculation!$F$13)*$S$14," "),"")</f>
        <v/>
      </c>
      <c r="AP60" s="144" t="str">
        <f t="shared" si="16"/>
        <v/>
      </c>
      <c r="AQ60" s="56" t="str">
        <f t="shared" si="17"/>
        <v/>
      </c>
      <c r="AR60" s="144" t="str">
        <f t="shared" si="18"/>
        <v/>
      </c>
      <c r="AS60" s="176" t="str">
        <f t="shared" si="19"/>
        <v/>
      </c>
      <c r="AT60" s="176" t="str">
        <f t="shared" si="135"/>
        <v xml:space="preserve"> </v>
      </c>
      <c r="AU60" s="176" t="str">
        <f t="shared" si="20"/>
        <v/>
      </c>
      <c r="AV60" s="177" t="str">
        <f t="shared" si="21"/>
        <v xml:space="preserve"> </v>
      </c>
      <c r="AW60" s="144" t="str">
        <f t="shared" si="22"/>
        <v xml:space="preserve"> </v>
      </c>
      <c r="AX60" s="144" t="str">
        <f t="shared" si="23"/>
        <v xml:space="preserve"> </v>
      </c>
      <c r="AY60" s="152" t="str">
        <f t="shared" si="24"/>
        <v xml:space="preserve"> </v>
      </c>
      <c r="AZ60" s="246" t="str">
        <f t="shared" si="25"/>
        <v/>
      </c>
      <c r="BA60" s="176" t="str">
        <f t="shared" si="26"/>
        <v xml:space="preserve"> </v>
      </c>
      <c r="BB60" s="176" t="str">
        <f t="shared" si="27"/>
        <v xml:space="preserve"> </v>
      </c>
      <c r="BC60" s="195"/>
      <c r="BD60" s="316"/>
      <c r="BE60" s="317"/>
      <c r="BF60" s="318"/>
      <c r="BG60" s="318"/>
      <c r="BH60" s="144" t="str">
        <f t="shared" si="219"/>
        <v xml:space="preserve"> </v>
      </c>
      <c r="BI60" s="176" t="str">
        <f t="shared" si="28"/>
        <v/>
      </c>
      <c r="BJ60" s="144" t="str">
        <f t="shared" si="220"/>
        <v/>
      </c>
      <c r="BK60" s="246" t="str">
        <f t="shared" si="29"/>
        <v/>
      </c>
      <c r="BL60" s="144" t="str">
        <f t="shared" si="221"/>
        <v/>
      </c>
      <c r="BM60" s="246" t="str">
        <f t="shared" si="30"/>
        <v/>
      </c>
      <c r="BN60" s="337" t="str">
        <f t="shared" si="136"/>
        <v/>
      </c>
      <c r="BO60" s="371" t="str">
        <f t="shared" si="137"/>
        <v/>
      </c>
      <c r="BP60" s="328" t="str">
        <f t="shared" si="222"/>
        <v xml:space="preserve"> </v>
      </c>
      <c r="BQ60" s="347" t="str">
        <f t="shared" si="138"/>
        <v xml:space="preserve"> </v>
      </c>
      <c r="BR60" s="353" t="str">
        <f t="shared" si="223"/>
        <v xml:space="preserve"> </v>
      </c>
      <c r="BS60" s="626" t="str">
        <f>IF(L60&gt;0,IF(Calculation!P60="M13",BR60*3.1416*(0.134^2)/(4*144),IF(Calculation!P60="M17",BR60*3.1416*(0.165^2)/(4*144),IF(Calculation!P60="M20",BR60*3.1416*(0.198^2)/(4*144),IF(Calculation!P60="M23",BR60*3.1416*(0.228^2)/(4*144),IF(Calculation!P60="M27",BR60*3.1416*(0.269^2)/(4*144),BR60*3.1416*(0.307^2)/(4*144))))))," ")</f>
        <v xml:space="preserve"> </v>
      </c>
      <c r="BT60" s="353" t="str">
        <f>IF(L60&gt;0,IF(BS60&gt;0,R60/Calculation!BS60,0)," ")</f>
        <v xml:space="preserve"> </v>
      </c>
      <c r="BU60" s="438" t="e">
        <f t="shared" ca="1" si="31"/>
        <v>#VALUE!</v>
      </c>
      <c r="BV60" s="449" t="e">
        <f ca="1">INDEX(INDIRECT(VLOOKUP(LEFT(BO60,7),CLU!$Z$3:$AH$18,2)),GN60,GR60)</f>
        <v>#N/A</v>
      </c>
      <c r="BW60" s="433" t="e">
        <f ca="1">INDEX(INDIRECT(VLOOKUP(LEFT(BO60,7),CLU!$Z$3:$AH$18,3)),GN60,GR60)</f>
        <v>#N/A</v>
      </c>
      <c r="BX60" s="433" t="e">
        <f ca="1">INDEX(INDIRECT(VLOOKUP(LEFT(BO60,7),CLU!$Z$3:$AH$18,4)),GN60,GR60)</f>
        <v>#N/A</v>
      </c>
      <c r="BY60" s="433" t="e">
        <f ca="1">INDEX(INDIRECT(VLOOKUP(LEFT(BO60,7),CLU!$Z$3:$AH$18,9)),((M60-2)*(6-COUNTBLANK(GT60:GY60)))+GJ60)</f>
        <v>#N/A</v>
      </c>
      <c r="BZ60" s="426" t="e">
        <f t="shared" ca="1" si="139"/>
        <v>#N/A</v>
      </c>
      <c r="CA60" s="424" t="e">
        <f t="shared" ca="1" si="140"/>
        <v>#N/A</v>
      </c>
      <c r="CB60" s="429" t="e">
        <f ca="1">INDEX(INDIRECT(VLOOKUP(LEFT(BO60,7),CLU!$Z$3:$AH$18,2)),GN60,GS60)</f>
        <v>#N/A</v>
      </c>
      <c r="CC60" s="342" t="e">
        <f ca="1">INDEX(INDIRECT(VLOOKUP(LEFT(BO60,7),CLU!$Z$3:$AH$18,3)),GN60,GS60)</f>
        <v>#N/A</v>
      </c>
      <c r="CD60" s="342" t="e">
        <f ca="1">INDEX(INDIRECT(VLOOKUP(LEFT(BO60,7),CLU!$Z$3:$AH$18,4)),GN60,GS60)</f>
        <v>#N/A</v>
      </c>
      <c r="CE60" s="426" t="e">
        <f t="shared" ca="1" si="141"/>
        <v>#N/A</v>
      </c>
      <c r="CF60" s="440">
        <f t="shared" si="142"/>
        <v>0</v>
      </c>
      <c r="CG60" s="431" t="e">
        <f ca="1">INDEX(INDIRECT(VLOOKUP(LEFT(BO60,7),CLU!$Z$3:$AH$18,2)),GQ60,GR60)</f>
        <v>#N/A</v>
      </c>
      <c r="CH60" s="431" t="e">
        <f ca="1">INDEX(INDIRECT(VLOOKUP(LEFT(BO60,7),CLU!$Z$3:$AH$18,3)),GQ60,GR60)</f>
        <v>#N/A</v>
      </c>
      <c r="CI60" s="431" t="e">
        <f ca="1">INDEX(INDIRECT(VLOOKUP(LEFT(BO60,7),CLU!$Z$3:$AH$18,4)),GQ60,GR60)</f>
        <v>#N/A</v>
      </c>
      <c r="CJ60" s="448" t="e">
        <f t="shared" ca="1" si="143"/>
        <v>#N/A</v>
      </c>
      <c r="CK60" s="431" t="e">
        <f t="shared" ca="1" si="144"/>
        <v>#N/A</v>
      </c>
      <c r="CL60" s="440" t="e">
        <f t="shared" ca="1" si="145"/>
        <v>#N/A</v>
      </c>
      <c r="CM60" s="431" t="e">
        <f ca="1">INDEX(INDIRECT(VLOOKUP(LEFT(BO60,7),CLU!$Z$3:$AH$18,2)),GQ60,GS60)</f>
        <v>#N/A</v>
      </c>
      <c r="CN60" s="431" t="e">
        <f ca="1">INDEX(INDIRECT(VLOOKUP(LEFT(BO60,7),CLU!$Z$3:$AH$18,3)),GQ60,GS60)</f>
        <v>#N/A</v>
      </c>
      <c r="CO60" s="431" t="e">
        <f ca="1">INDEX(INDIRECT(VLOOKUP(LEFT(BO60,7),CLU!$Z$3:$AH$18,4)),GQ60,GS60)</f>
        <v>#N/A</v>
      </c>
      <c r="CP60" s="431" t="e">
        <f t="shared" ca="1" si="146"/>
        <v>#N/A</v>
      </c>
      <c r="CQ60" s="440">
        <f t="shared" si="147"/>
        <v>0</v>
      </c>
      <c r="CR60" s="51" t="e">
        <f t="shared" ca="1" si="148"/>
        <v>#N/A</v>
      </c>
      <c r="CS60" s="439" t="e">
        <f t="shared" ca="1" si="149"/>
        <v>#VALUE!</v>
      </c>
      <c r="CT60" s="51" t="e">
        <f t="shared" ca="1" si="150"/>
        <v>#VALUE!</v>
      </c>
      <c r="CU60" s="10"/>
      <c r="CV60" s="51" t="e">
        <f t="shared" ca="1" si="34"/>
        <v>#VALUE!</v>
      </c>
      <c r="CW60" s="51">
        <f t="shared" si="151"/>
        <v>0</v>
      </c>
      <c r="CX60" s="439" t="e">
        <f t="shared" ca="1" si="152"/>
        <v>#VALUE!</v>
      </c>
      <c r="CY60" s="51" t="e">
        <f t="shared" ca="1" si="153"/>
        <v>#VALUE!</v>
      </c>
      <c r="CZ60" s="10"/>
      <c r="DA60" s="51" t="e">
        <f t="shared" ca="1" si="154"/>
        <v>#VALUE!</v>
      </c>
      <c r="DB60" s="347" t="e">
        <f ca="1">INDEX(INDIRECT(VLOOKUP(LEFT(BO60,7),CLU!$Z$3:$AI$18,10)),((M60-2)*(6-COUNTBLANK(GT60:GY60)))+GJ60)*LI60</f>
        <v>#N/A</v>
      </c>
      <c r="DC60" s="347" t="str">
        <f>IF(L60&gt;0,((R60/Worksheet!$I$15)/DB60)^2," ")</f>
        <v xml:space="preserve"> </v>
      </c>
      <c r="DD60" s="602" t="str">
        <f t="shared" si="224"/>
        <v xml:space="preserve"> </v>
      </c>
      <c r="DE60" s="347" t="str">
        <f t="shared" si="35"/>
        <v xml:space="preserve"> </v>
      </c>
      <c r="DF60" s="356" t="e">
        <f ca="1">INDEX(INDIRECT(VLOOKUP(LEFT(BO60,7),CLU!$Z$3:$AH$18,8)),((M60-2)*(6-COUNTBLANK(GT60:GY60)))+GJ60)</f>
        <v>#N/A</v>
      </c>
      <c r="DG60" s="347" t="str">
        <f t="shared" si="36"/>
        <v xml:space="preserve"> </v>
      </c>
      <c r="DH60" s="357" t="str">
        <f t="shared" si="37"/>
        <v xml:space="preserve"> </v>
      </c>
      <c r="DI60" s="355" t="str">
        <f t="shared" si="38"/>
        <v xml:space="preserve"> </v>
      </c>
      <c r="DJ60" s="245" t="e">
        <f ca="1">INDEX(INDIRECT(VLOOKUP(LEFT(BO60,7),CLU!$Z$3:$AH$18,5)),GL60,GK60)</f>
        <v>#N/A</v>
      </c>
      <c r="DK60" s="245" t="e">
        <f ca="1">INDEX(INDIRECT(VLOOKUP(LEFT(BO60,7),CLU!$Z$3:$AH$18,6)),GL60,GK60)</f>
        <v>#N/A</v>
      </c>
      <c r="DL60" s="355">
        <f>(Calculation!R60*0.69143*(Calculation!$BQ$8-Calculation!$F$8))*$S$14</f>
        <v>0</v>
      </c>
      <c r="DM60" s="359" t="e">
        <f t="shared" si="160"/>
        <v>#VALUE!</v>
      </c>
      <c r="DN60" s="611">
        <f t="shared" si="161"/>
        <v>0</v>
      </c>
      <c r="DO60" s="359">
        <f t="shared" si="162"/>
        <v>100</v>
      </c>
      <c r="DP60" s="359">
        <f t="shared" si="163"/>
        <v>0</v>
      </c>
      <c r="DQ60" s="360"/>
      <c r="DR60" s="245" t="e">
        <f ca="1">INDEX(INDIRECT(VLOOKUP(LEFT(BO60,7),CLU!$Z$3:$AH$18,7)),M60-1,1)</f>
        <v>#N/A</v>
      </c>
      <c r="DS60" s="245" t="e">
        <f ca="1">INDEX(INDIRECT(VLOOKUP(LEFT(BO60,7),CLU!$Z$3:$AH$18,7)),M60-1,2)</f>
        <v>#N/A</v>
      </c>
      <c r="DT60" s="245" t="e">
        <f ca="1">INDEX(INDIRECT(VLOOKUP(LEFT(BO60,7),CLU!$Z$3:$AH$18,7)),M60-1,3)</f>
        <v>#N/A</v>
      </c>
      <c r="DU60" s="245" t="e">
        <f ca="1">INDEX(INDIRECT(VLOOKUP(LEFT(BO60,7),CLU!$Z$3:$AH$18,7)),M60-1,4)</f>
        <v>#N/A</v>
      </c>
      <c r="DV60" s="361" t="e">
        <f ca="1">INDEX(INDIRECT(VLOOKUP(LEFT(BO60,7),CLU!$Z$3:$AH$18,7)),M60-1,4+LEFT(DZ60,1)*0.5)</f>
        <v>#N/A</v>
      </c>
      <c r="DW60" s="245" t="e">
        <f ca="1">INDEX(INDIRECT(VLOOKUP(LEFT(BO60,7),CLU!$Z$3:$AH$18,7)),M60-1,8)</f>
        <v>#N/A</v>
      </c>
      <c r="DX60" s="361" t="str">
        <f t="shared" si="39"/>
        <v xml:space="preserve"> </v>
      </c>
      <c r="DY60" s="361" t="str">
        <f t="shared" si="40"/>
        <v xml:space="preserve"> </v>
      </c>
      <c r="DZ60" s="361" t="str">
        <f t="shared" si="41"/>
        <v xml:space="preserve"> </v>
      </c>
      <c r="EA60" s="362" t="str">
        <f t="shared" si="42"/>
        <v xml:space="preserve"> </v>
      </c>
      <c r="EB60" s="624" t="str">
        <f t="shared" si="168"/>
        <v xml:space="preserve"> </v>
      </c>
      <c r="EC60" s="361" t="e">
        <f ca="1">INDEX(INDIRECT(VLOOKUP(LEFT(BO60,7),CLU!$Z$3:$AH$18,7)),M60-1,4+LEFT(DZ60,1)*0.5)</f>
        <v>#N/A</v>
      </c>
      <c r="ED60" s="362" t="str">
        <f t="shared" si="43"/>
        <v xml:space="preserve"> </v>
      </c>
      <c r="EE60" s="361" t="str">
        <f t="shared" si="44"/>
        <v xml:space="preserve"> </v>
      </c>
      <c r="EF60" s="362" t="str">
        <f>IF(L60&gt;0,IF(BR60&gt;0,IF(EE60="2P",IF(Calculation!DZ60="2P",IF(Calculation!DS60=13.75,IF(Calculation!DR60=13,Worksheet!$BD$43,IF(Calculation!DR60=37,Worksheet!$BD$44,Worksheet!$BD$45)),IF(Calculation!DS60=10,IF(Calculation!DR60=18,Worksheet!$BD$29,IF(Calculation!DR60=30,Worksheet!$BD$30,IF(Calculation!DR60=42,Worksheet!$BD$31,IF(Calculation!DR60=54,Worksheet!$BD$32,IF(Calculation!DR60=66,Worksheet!$BD$33,IF(Calculation!DR60=78,Worksheet!$BD$34,IF(Calculation!DR60=90,Worksheet!$BD$35,IF(Calculation!DR60=102,Worksheet!$BD$36,Worksheet!$BD$37)))))))),IF(Calculation!DS60=12.5,IF(Calculation!DR60=18,Worksheet!$BD$38,IF(Calculation!DR60=Worksheet!$BD$39,IF(Calculation!DR60=42,Worksheet!$BD$40,IF(Calculation!DR60=54,Worksheet!$BD$41,Worksheet!$BD$42)))),IF(Calculation!DR60=18,Worksheet!$BD$11,IF(Calculation!DR60=30,Worksheet!$BD$12,IF(Calculation!DR60=42,Worksheet!$BD$13,IF(Calculation!DR60=54,Worksheet!$BD$14,IF(Calculation!DR60=66,Worksheet!$BD$15,IF(Calculation!DR60=78,Worksheet!$BD$16,IF(Calculation!DR60=90,Worksheet!$BD$17,IF(Calculation!DR60=102,Worksheet!$BD$18,Worksheet!$BD$19))))))))))),IF(Calculation!DS60=13.75,IF(Calculation!DR60=13,Worksheet!$BD$78,IF(Calculation!DR60=37,Worksheet!$BD$79,Worksheet!$BD$80)),IF(Calculation!DS60=10,IF(Calculation!DR60=18,Worksheet!$BD$64,IF(Calculation!DR60=30,Worksheet!$BD$65,IF(Calculation!DR60=42,Worksheet!$BD$66,IF(Calculation!DR60=54,Worksheet!$BD$68,IF(Calculation!DR60=66,Worksheet!$BD$68,IF(Calculation!DR60=78,Worksheet!$BD$69,IF(Calculation!DR60=90,Worksheet!$BD$70,IF(Calculation!DR60=102,Worksheet!$BD$71,Worksheet!$BD$72)))))))),IF(Calculation!DS60=12.5,IF(Calculation!DR60=18,Worksheet!$BD$73,IF(Calculation!DR60=Worksheet!$BD$74,IF(Calculation!DR60=42,Worksheet!$BD$75,IF(Calculation!DR60=54,Worksheet!$BD$76,Worksheet!$BD$77)))),IF(Calculation!DR60=18,Worksheet!$BD$55,IF(Calculation!DR60=30,Worksheet!$BD$56,IF(Calculation!DR60=42,Worksheet!$BD$57,IF(Calculation!DR60=54,Worksheet!$BD$58,IF(Calculation!DR60=66,Worksheet!$BD$59,IF(Calculation!DR60=78,Worksheet!$BD$60,IF(Calculation!DR60=90,Worksheet!$BD$61,IF(Calculation!DR60=102,Worksheet!$BD$62,Worksheet!$BD$63)))))))))))),5),0)," ")</f>
        <v xml:space="preserve"> </v>
      </c>
      <c r="EG60" s="361" t="str">
        <f t="shared" si="45"/>
        <v xml:space="preserve"> </v>
      </c>
      <c r="EH60" s="361" t="e">
        <f ca="1">INDEX(INDIRECT(VLOOKUP(LEFT(BO60,7),CLU!$Z$3:$AH$18,7)),M60-1,3+LEFT(DZ60,1))</f>
        <v>#N/A</v>
      </c>
      <c r="EI60" s="362" t="str">
        <f t="shared" si="46"/>
        <v xml:space="preserve"> </v>
      </c>
      <c r="EJ60" s="363" t="str">
        <f t="shared" si="47"/>
        <v xml:space="preserve"> </v>
      </c>
      <c r="EK60" s="363" t="str">
        <f t="shared" si="48"/>
        <v xml:space="preserve"> </v>
      </c>
      <c r="EL60" s="363" t="str">
        <f t="shared" si="49"/>
        <v xml:space="preserve"> </v>
      </c>
      <c r="EM60" s="362" t="str">
        <f>IF(L60&gt;0,IF(BR60&gt;0,(Calculation!T60/ED60)^2,0)," ")</f>
        <v xml:space="preserve"> </v>
      </c>
      <c r="EN60" s="362" t="str">
        <f>IF(L60&gt;0,IF(O60="2 Pipe (Cooling)","N/A",IF(BR60&gt;0,(Calculation!U60/EI60)^2,0))," ")</f>
        <v xml:space="preserve"> </v>
      </c>
      <c r="EO60" s="361" t="str">
        <f t="shared" si="50"/>
        <v/>
      </c>
      <c r="EP60" s="361" t="str">
        <f t="shared" si="51"/>
        <v/>
      </c>
      <c r="EQ60" s="361" t="str">
        <f t="shared" si="52"/>
        <v/>
      </c>
      <c r="ER60" s="361" t="str">
        <f t="shared" si="53"/>
        <v/>
      </c>
      <c r="ES60" s="361" t="str">
        <f t="shared" si="54"/>
        <v/>
      </c>
      <c r="ET60" s="361" t="str">
        <f t="shared" si="55"/>
        <v/>
      </c>
      <c r="EU60" s="361" t="str">
        <f t="shared" si="56"/>
        <v/>
      </c>
      <c r="EV60" s="361" t="str">
        <f t="shared" si="57"/>
        <v/>
      </c>
      <c r="EW60" s="361" t="str">
        <f t="shared" si="58"/>
        <v/>
      </c>
      <c r="EX60" s="361" t="str">
        <f t="shared" si="169"/>
        <v>1 slot, 1 way</v>
      </c>
      <c r="EY60" s="361" t="str">
        <f t="shared" si="170"/>
        <v xml:space="preserve"> </v>
      </c>
      <c r="EZ60" s="361" t="str">
        <f t="shared" si="171"/>
        <v xml:space="preserve"> </v>
      </c>
      <c r="FA60" s="361" t="str">
        <f t="shared" si="172"/>
        <v xml:space="preserve"> </v>
      </c>
      <c r="FB60" s="361" t="str">
        <f t="shared" si="173"/>
        <v xml:space="preserve"> </v>
      </c>
      <c r="FC60" s="361"/>
      <c r="FD60" s="361" t="str">
        <f>IF(J60&gt;0,IF(Calculation!R60&lt;=70,4,IF(Calculation!R60&lt;=110,5,IF(Calculation!R60&lt;=160,6,IF(Calculation!R60&lt;=300,8,"10 EO")))),"")</f>
        <v/>
      </c>
      <c r="FE60" s="361" t="str">
        <f t="shared" si="174"/>
        <v/>
      </c>
      <c r="FF60" s="361" t="str">
        <f t="shared" si="175"/>
        <v/>
      </c>
      <c r="FG60" s="361" t="e">
        <f t="shared" si="60"/>
        <v>#N/A</v>
      </c>
      <c r="FH60" s="361">
        <f t="shared" si="61"/>
        <v>0</v>
      </c>
      <c r="FI60" s="361" t="e">
        <f t="shared" si="62"/>
        <v>#DIV/0!</v>
      </c>
      <c r="FJ60" s="361"/>
      <c r="FK60" s="356" t="e">
        <f t="shared" si="63"/>
        <v>#VALUE!</v>
      </c>
      <c r="FL60" s="361"/>
      <c r="FM60" s="361"/>
      <c r="FN60" s="362" t="str">
        <f t="shared" si="176"/>
        <v xml:space="preserve"> </v>
      </c>
      <c r="FO60" s="362" t="str">
        <f t="shared" si="177"/>
        <v xml:space="preserve"> </v>
      </c>
      <c r="FP60" s="362">
        <f t="shared" si="178"/>
        <v>0</v>
      </c>
      <c r="FQ60" s="361">
        <f t="shared" si="64"/>
        <v>0</v>
      </c>
      <c r="FR60" s="362" t="str">
        <f>IF(L60&gt;0,IF(J60="CBAL2",Worksheet!$P$67,IF(J60="CBE2-24",Worksheet!$Q$67,IF(J60="CBAM",Worksheet!$R$67,IF(J60="CBLV",Worksheet!$S$67,IF(J60="CBAB",Worksheet!$U$67,IF(J60="CBAW",Worksheet!$X$67,IF(J60="CBE2-12",Worksheet!$Y$67,IF(J60="CBAL2",Worksheet!$Z$67,"N/A"))))))))," ")</f>
        <v xml:space="preserve"> </v>
      </c>
      <c r="FS60" s="362" t="str">
        <f>IF(L60&gt;0,IF(J60="CBAL2",Worksheet!$P$68,IF(J60="CBE2-24",Worksheet!$Q$68,IF(J60="CBAM",Worksheet!$R$68,IF(J60="CBLV",Worksheet!$S$68,IF(J60="CBAB",Worksheet!$U$68,IF(J60="CBAW",Worksheet!$X$68,IF(J60="CBE2-12",Worksheet!$Y$68,IF(J60="CBAL2",Worksheet!$Z$68,"N/A"))))))))," ")</f>
        <v xml:space="preserve"> </v>
      </c>
      <c r="FT60" s="362" t="str">
        <f>IF(L60&gt;0,IF(J60="CBAL2",Worksheet!$P$69,IF(J60="CBE2-24",Worksheet!$Q$69,IF(J60="CBAM",Worksheet!$R$69,IF(J60="CBLV",Worksheet!$S$69,IF(J60="CBAB",Worksheet!$U$69,IF(J60="CBAW",Worksheet!$X$69,IF(J60="CBE2-12",Worksheet!$Y$69,IF(J60="CBAL2",Worksheet!$Z$69,"N/A"))))))))," ")</f>
        <v xml:space="preserve"> </v>
      </c>
      <c r="FU60" s="361" t="str">
        <f t="shared" si="179"/>
        <v xml:space="preserve"> </v>
      </c>
      <c r="FV60" s="362" t="str">
        <f t="shared" si="180"/>
        <v xml:space="preserve"> </v>
      </c>
      <c r="FW60" s="362" t="str">
        <f t="shared" si="181"/>
        <v xml:space="preserve"> </v>
      </c>
      <c r="FX60" s="362" t="str">
        <f t="shared" si="182"/>
        <v xml:space="preserve"> </v>
      </c>
      <c r="FY60" s="355" t="str">
        <f t="shared" si="183"/>
        <v xml:space="preserve"> </v>
      </c>
      <c r="FZ60" s="361" t="str">
        <f t="shared" si="184"/>
        <v xml:space="preserve"> </v>
      </c>
      <c r="GA60" s="347" t="str">
        <f t="shared" si="185"/>
        <v xml:space="preserve"> </v>
      </c>
      <c r="GB60" s="355" t="str">
        <f t="shared" si="186"/>
        <v xml:space="preserve"> </v>
      </c>
      <c r="GC60" s="328" t="str">
        <f t="shared" si="187"/>
        <v xml:space="preserve"> </v>
      </c>
      <c r="GD60" s="361" t="str">
        <f t="shared" si="188"/>
        <v xml:space="preserve"> </v>
      </c>
      <c r="GE60" s="347" t="str">
        <f t="shared" si="189"/>
        <v xml:space="preserve"> </v>
      </c>
      <c r="GF60" s="361" t="str">
        <f t="shared" si="190"/>
        <v xml:space="preserve"> </v>
      </c>
      <c r="GG60" s="347" t="str">
        <f t="shared" si="191"/>
        <v xml:space="preserve"> </v>
      </c>
      <c r="GH60" s="364">
        <f t="shared" si="78"/>
        <v>0</v>
      </c>
      <c r="GI60" s="362">
        <f t="shared" si="192"/>
        <v>2</v>
      </c>
      <c r="GJ60" s="433" t="e">
        <f>IF(6-COUNTBLANK(GT60:GY60)=4,MATCH(MID(BO60,9,3),CLU!$H$16:$K$16),MATCH(MID(BO60,9,3),CLU!$H$13:$M$13))</f>
        <v>#N/A</v>
      </c>
      <c r="GK60" s="433" t="e">
        <f>HLOOKUP(VALUE(BP60),CLU!$H$9:$M$10,2)</f>
        <v>#VALUE!</v>
      </c>
      <c r="GL60" s="433" t="e">
        <f ca="1">MATCH(BU60,CLU!$H$2:$V$2,1)</f>
        <v>#VALUE!</v>
      </c>
      <c r="GM60" s="433" t="e">
        <f t="shared" ca="1" si="193"/>
        <v>#VALUE!</v>
      </c>
      <c r="GN60" s="433" t="e">
        <f t="shared" ca="1" si="194"/>
        <v>#VALUE!</v>
      </c>
      <c r="GO60" s="433" t="e">
        <f t="shared" ca="1" si="195"/>
        <v>#VALUE!</v>
      </c>
      <c r="GP60" s="433" t="e">
        <f t="shared" ca="1" si="196"/>
        <v>#VALUE!</v>
      </c>
      <c r="GQ60" s="433" t="e">
        <f t="shared" ca="1" si="197"/>
        <v>#VALUE!</v>
      </c>
      <c r="GR60" s="433" t="e">
        <f ca="1">MATCH(T60,INDIRECT(VLOOKUP(CONCATENATE(LEFT(BO60,7),"-",MID(BO60,13,1)),CLU!$P$3:$Q$16,2)),1)</f>
        <v>#N/A</v>
      </c>
      <c r="GS60" s="433" t="e">
        <f ca="1">MATCH(U60,INDIRECT(VLOOKUP(CONCATENATE(LEFT(BO60,7),"-",MID(BO60,13,1)),CLU!$P$3:$Q$16,2)),1)</f>
        <v>#N/A</v>
      </c>
      <c r="GT60" s="347" t="s">
        <v>512</v>
      </c>
      <c r="GU60" s="97" t="s">
        <v>513</v>
      </c>
      <c r="GV60" s="97" t="str">
        <f t="shared" si="198"/>
        <v>M23</v>
      </c>
      <c r="GW60" s="97" t="str">
        <f t="shared" si="199"/>
        <v>M31</v>
      </c>
      <c r="GX60" s="97" t="str">
        <f t="shared" si="200"/>
        <v/>
      </c>
      <c r="GY60" s="97" t="str">
        <f t="shared" si="201"/>
        <v/>
      </c>
      <c r="GZ60" s="481"/>
      <c r="HA60" s="288"/>
      <c r="HB60" s="240"/>
      <c r="HC60" s="240"/>
      <c r="HD60" s="240"/>
      <c r="HE60" s="240"/>
      <c r="HF60" s="240"/>
      <c r="HG60" s="240"/>
      <c r="HH60" s="240"/>
      <c r="HI60" s="240"/>
      <c r="HJ60" s="240"/>
      <c r="HK60" s="240"/>
      <c r="HL60" s="240"/>
      <c r="HM60" s="240"/>
      <c r="HN60" s="240"/>
      <c r="HO60" s="240"/>
      <c r="HP60" s="240"/>
      <c r="HQ60" s="240"/>
      <c r="HR60" s="240"/>
      <c r="HS60" s="240"/>
      <c r="HT60" s="240"/>
      <c r="HU60" s="240"/>
      <c r="HV60" s="245"/>
      <c r="HW60" s="245" t="b">
        <v>1</v>
      </c>
      <c r="HX60" s="245" t="str">
        <f t="shared" si="79"/>
        <v/>
      </c>
      <c r="HY60" s="245" t="e">
        <f t="shared" si="80"/>
        <v>#DIV/0!</v>
      </c>
      <c r="HZ60" s="245" t="e">
        <f t="shared" si="81"/>
        <v>#DIV/0!</v>
      </c>
      <c r="IA60" s="245">
        <f t="shared" si="82"/>
        <v>0</v>
      </c>
      <c r="IB60" s="245"/>
      <c r="IC60" t="b">
        <f t="shared" si="83"/>
        <v>1</v>
      </c>
      <c r="ID60" s="245" t="b">
        <f t="shared" si="84"/>
        <v>1</v>
      </c>
      <c r="IE60" s="245" t="b">
        <f t="shared" si="85"/>
        <v>1</v>
      </c>
      <c r="IF60" s="245" t="b">
        <f t="shared" si="86"/>
        <v>0</v>
      </c>
      <c r="IG60" s="245" t="b">
        <f t="shared" si="87"/>
        <v>1</v>
      </c>
      <c r="IH60" s="245" t="b">
        <f t="shared" si="88"/>
        <v>1</v>
      </c>
      <c r="II60" s="245">
        <f t="shared" si="202"/>
        <v>0</v>
      </c>
      <c r="IJ60" s="245" t="e">
        <f t="shared" si="89"/>
        <v>#VALUE!</v>
      </c>
      <c r="IK60" s="245" t="e">
        <f t="shared" si="90"/>
        <v>#VALUE!</v>
      </c>
      <c r="IL60" s="245"/>
      <c r="IM60" s="245" t="e">
        <f t="shared" si="203"/>
        <v>#N/A</v>
      </c>
      <c r="IN60" s="245" t="e">
        <f t="shared" si="204"/>
        <v>#N/A</v>
      </c>
      <c r="IO60" s="245"/>
      <c r="IP60" s="245"/>
      <c r="IQ60" s="245" t="str">
        <f t="shared" si="91"/>
        <v/>
      </c>
      <c r="IR60" s="245" t="str">
        <f>IF(J60="","",VLOOKUP(J60,Worksheet!$R$4:$T$14,2))</f>
        <v/>
      </c>
      <c r="IS60" s="245"/>
      <c r="IT60" s="245">
        <f t="shared" si="92"/>
        <v>0</v>
      </c>
      <c r="IU60" s="245">
        <f t="shared" si="93"/>
        <v>0</v>
      </c>
      <c r="IV60" s="245">
        <f t="shared" si="94"/>
        <v>0</v>
      </c>
      <c r="IW60" s="245">
        <f t="shared" si="95"/>
        <v>0</v>
      </c>
      <c r="IX60" s="245">
        <f t="shared" si="205"/>
        <v>0</v>
      </c>
      <c r="IY60" s="245">
        <f t="shared" si="96"/>
        <v>0</v>
      </c>
      <c r="IZ60" s="245">
        <f t="shared" si="97"/>
        <v>0</v>
      </c>
      <c r="JA60">
        <f t="shared" si="98"/>
        <v>0</v>
      </c>
      <c r="JB60">
        <f t="shared" si="206"/>
        <v>0</v>
      </c>
      <c r="JC60">
        <f t="shared" si="99"/>
        <v>0</v>
      </c>
      <c r="JD60">
        <f t="shared" si="100"/>
        <v>0</v>
      </c>
      <c r="JE60">
        <f t="shared" si="101"/>
        <v>0</v>
      </c>
      <c r="JF60">
        <f t="shared" si="102"/>
        <v>0</v>
      </c>
      <c r="JG60">
        <f t="shared" si="103"/>
        <v>0</v>
      </c>
      <c r="JH60">
        <f t="shared" si="104"/>
        <v>0</v>
      </c>
      <c r="JI60">
        <f t="shared" si="105"/>
        <v>0</v>
      </c>
      <c r="JJ60" s="447">
        <f t="shared" si="106"/>
        <v>0</v>
      </c>
      <c r="JK60" s="447">
        <f t="shared" si="107"/>
        <v>0</v>
      </c>
      <c r="JL60">
        <f t="shared" si="108"/>
        <v>0</v>
      </c>
      <c r="JM60" s="245" t="str">
        <f>IFERROR(VLOOKUP(MATCH(BN60,#REF!,0),#REF!,7),"")</f>
        <v/>
      </c>
      <c r="JN60" t="e">
        <f>HLOOKUP(LEFT(BO60,7),Discharge_Area,MATCH(JO60,LookUps!$B$130:$B$149,1)+2)</f>
        <v>#N/A</v>
      </c>
      <c r="JO60" t="str">
        <f t="shared" si="109"/>
        <v>- S</v>
      </c>
      <c r="JP60" t="e">
        <f>HLOOKUP(LEFT(BO60,7),Discharge_Area,MATCH(JO60,LookUps!$B$130:$B$149,1)+2)</f>
        <v>#N/A</v>
      </c>
      <c r="JQ60" t="e">
        <f t="shared" si="110"/>
        <v>#N/A</v>
      </c>
      <c r="JR60" t="e">
        <f t="shared" si="111"/>
        <v>#N/A</v>
      </c>
      <c r="JS60" t="e">
        <f t="shared" si="112"/>
        <v>#N/A</v>
      </c>
      <c r="JT60" s="532" t="str">
        <f t="shared" si="113"/>
        <v xml:space="preserve"> </v>
      </c>
      <c r="JU60" s="532" t="str">
        <f t="shared" si="114"/>
        <v xml:space="preserve"> </v>
      </c>
      <c r="JV60" s="533" t="str">
        <f t="shared" si="115"/>
        <v xml:space="preserve"> </v>
      </c>
      <c r="JW60" s="534">
        <f t="shared" si="116"/>
        <v>0</v>
      </c>
      <c r="JX60" s="535" t="str">
        <f t="shared" si="207"/>
        <v xml:space="preserve"> </v>
      </c>
      <c r="JY60" s="535" t="str">
        <f t="shared" si="208"/>
        <v xml:space="preserve"> </v>
      </c>
      <c r="JZ60" s="535" t="str">
        <f t="shared" si="209"/>
        <v xml:space="preserve"> </v>
      </c>
      <c r="KA60" s="536" t="str">
        <f t="shared" si="117"/>
        <v xml:space="preserve"> </v>
      </c>
      <c r="KB60" s="535" t="e">
        <f t="shared" si="210"/>
        <v>#VALUE!</v>
      </c>
      <c r="KC60" s="535" t="str">
        <f t="shared" si="118"/>
        <v/>
      </c>
      <c r="KD60" s="537" t="str">
        <f t="shared" si="211"/>
        <v xml:space="preserve"> </v>
      </c>
      <c r="KE60" s="537" t="str">
        <f t="shared" si="212"/>
        <v xml:space="preserve"> </v>
      </c>
      <c r="KF60" s="534">
        <f t="shared" si="119"/>
        <v>0</v>
      </c>
      <c r="KG60" s="535" t="str">
        <f t="shared" si="120"/>
        <v xml:space="preserve"> </v>
      </c>
      <c r="KH60" s="535" t="str">
        <f t="shared" si="121"/>
        <v xml:space="preserve"> </v>
      </c>
      <c r="KI60" s="535" t="str">
        <f t="shared" si="122"/>
        <v xml:space="preserve"> </v>
      </c>
      <c r="KJ60" s="536" t="str">
        <f t="shared" si="123"/>
        <v xml:space="preserve"> </v>
      </c>
      <c r="KK60" s="535" t="str">
        <f t="shared" si="213"/>
        <v xml:space="preserve"> </v>
      </c>
      <c r="KL60" s="535" t="str">
        <f t="shared" si="214"/>
        <v xml:space="preserve"> </v>
      </c>
      <c r="KM60" s="537" t="str">
        <f t="shared" si="124"/>
        <v xml:space="preserve"> </v>
      </c>
      <c r="KN60" s="537" t="str">
        <f t="shared" si="215"/>
        <v xml:space="preserve"> </v>
      </c>
      <c r="KP60">
        <f t="shared" si="125"/>
        <v>0</v>
      </c>
      <c r="LA60" t="e">
        <f t="shared" si="126"/>
        <v>#VALUE!</v>
      </c>
      <c r="LB60" t="e">
        <f t="shared" si="127"/>
        <v>#VALUE!</v>
      </c>
      <c r="LC60" t="e">
        <f t="shared" si="128"/>
        <v>#VALUE!</v>
      </c>
      <c r="LD60" t="e">
        <f t="shared" si="129"/>
        <v>#VALUE!</v>
      </c>
      <c r="LE60" t="e">
        <f t="shared" si="216"/>
        <v>#VALUE!</v>
      </c>
      <c r="LF60">
        <f t="shared" si="130"/>
        <v>0</v>
      </c>
      <c r="LG60" t="e">
        <f t="shared" si="217"/>
        <v>#VALUE!</v>
      </c>
      <c r="LH60" t="str">
        <f t="shared" si="131"/>
        <v xml:space="preserve"> </v>
      </c>
      <c r="LI60">
        <f t="shared" si="218"/>
        <v>1</v>
      </c>
    </row>
    <row r="61" spans="2:321" ht="15" customHeight="1">
      <c r="B61" s="311"/>
      <c r="C61" s="311"/>
      <c r="D61" s="312"/>
      <c r="E61" s="311"/>
      <c r="F61" s="312"/>
      <c r="G61" s="311"/>
      <c r="H61" s="311"/>
      <c r="I61" s="37"/>
      <c r="J61" s="311"/>
      <c r="K61" s="305" t="str">
        <f t="shared" si="132"/>
        <v/>
      </c>
      <c r="L61" s="313"/>
      <c r="M61" s="312"/>
      <c r="N61" s="311"/>
      <c r="O61" s="312"/>
      <c r="P61" s="311"/>
      <c r="Q61" s="305" t="str">
        <f t="shared" si="133"/>
        <v/>
      </c>
      <c r="R61" s="314"/>
      <c r="S61" s="450" t="str">
        <f t="shared" si="0"/>
        <v/>
      </c>
      <c r="T61" s="315"/>
      <c r="U61" s="315"/>
      <c r="W61" s="149" t="str">
        <f t="shared" si="1"/>
        <v xml:space="preserve"> </v>
      </c>
      <c r="X61" s="243" t="str">
        <f t="shared" si="2"/>
        <v xml:space="preserve"> </v>
      </c>
      <c r="Y61" s="150" t="str">
        <f t="shared" si="3"/>
        <v/>
      </c>
      <c r="Z61" s="149" t="str">
        <f t="shared" si="4"/>
        <v xml:space="preserve"> </v>
      </c>
      <c r="AA61" s="98" t="str">
        <f t="shared" si="5"/>
        <v xml:space="preserve"> </v>
      </c>
      <c r="AB61" s="153" t="str">
        <f t="shared" si="6"/>
        <v xml:space="preserve"> </v>
      </c>
      <c r="AC61" s="153" t="str">
        <f t="shared" si="7"/>
        <v xml:space="preserve"> </v>
      </c>
      <c r="AD61" s="148" t="str">
        <f t="shared" si="8"/>
        <v/>
      </c>
      <c r="AE61" s="149" t="str">
        <f t="shared" si="9"/>
        <v/>
      </c>
      <c r="AF61" s="151" t="str">
        <f t="shared" si="10"/>
        <v xml:space="preserve"> </v>
      </c>
      <c r="AG61" s="153" t="str">
        <f t="shared" si="11"/>
        <v xml:space="preserve"> </v>
      </c>
      <c r="AH61" s="98" t="str">
        <f t="shared" si="12"/>
        <v xml:space="preserve"> </v>
      </c>
      <c r="AI61" s="149" t="str">
        <f t="shared" si="13"/>
        <v xml:space="preserve"> </v>
      </c>
      <c r="AK61" s="144" t="str">
        <f t="shared" si="14"/>
        <v xml:space="preserve"> </v>
      </c>
      <c r="AL61" s="144"/>
      <c r="AM61" s="243" t="str">
        <f t="shared" si="15"/>
        <v xml:space="preserve"> </v>
      </c>
      <c r="AN61" s="149" t="str">
        <f t="shared" si="134"/>
        <v xml:space="preserve"> </v>
      </c>
      <c r="AO61" s="144" t="str">
        <f>IF(JB61&gt;0,IF(GI61=10,-R61*1.085*(Calculation!$F$6-Calculation!$F$13)*$S$14," "),"")</f>
        <v/>
      </c>
      <c r="AP61" s="144" t="str">
        <f t="shared" si="16"/>
        <v/>
      </c>
      <c r="AQ61" s="56" t="str">
        <f t="shared" si="17"/>
        <v/>
      </c>
      <c r="AR61" s="144" t="str">
        <f t="shared" si="18"/>
        <v/>
      </c>
      <c r="AS61" s="176" t="str">
        <f t="shared" si="19"/>
        <v/>
      </c>
      <c r="AT61" s="176" t="str">
        <f t="shared" si="135"/>
        <v xml:space="preserve"> </v>
      </c>
      <c r="AU61" s="176" t="str">
        <f t="shared" si="20"/>
        <v/>
      </c>
      <c r="AV61" s="177" t="str">
        <f t="shared" si="21"/>
        <v xml:space="preserve"> </v>
      </c>
      <c r="AW61" s="144" t="str">
        <f t="shared" si="22"/>
        <v xml:space="preserve"> </v>
      </c>
      <c r="AX61" s="144" t="str">
        <f t="shared" si="23"/>
        <v xml:space="preserve"> </v>
      </c>
      <c r="AY61" s="152" t="str">
        <f t="shared" si="24"/>
        <v xml:space="preserve"> </v>
      </c>
      <c r="AZ61" s="246" t="str">
        <f t="shared" si="25"/>
        <v/>
      </c>
      <c r="BA61" s="176" t="str">
        <f t="shared" si="26"/>
        <v xml:space="preserve"> </v>
      </c>
      <c r="BB61" s="176" t="str">
        <f t="shared" si="27"/>
        <v xml:space="preserve"> </v>
      </c>
      <c r="BC61" s="195"/>
      <c r="BD61" s="316"/>
      <c r="BE61" s="317"/>
      <c r="BF61" s="318"/>
      <c r="BG61" s="318"/>
      <c r="BH61" s="144" t="str">
        <f t="shared" si="219"/>
        <v xml:space="preserve"> </v>
      </c>
      <c r="BI61" s="176" t="str">
        <f t="shared" si="28"/>
        <v/>
      </c>
      <c r="BJ61" s="144" t="str">
        <f t="shared" si="220"/>
        <v/>
      </c>
      <c r="BK61" s="246" t="str">
        <f t="shared" si="29"/>
        <v/>
      </c>
      <c r="BL61" s="144" t="str">
        <f t="shared" si="221"/>
        <v/>
      </c>
      <c r="BM61" s="246" t="str">
        <f t="shared" si="30"/>
        <v/>
      </c>
      <c r="BN61" s="337" t="str">
        <f t="shared" si="136"/>
        <v/>
      </c>
      <c r="BO61" s="371" t="str">
        <f t="shared" si="137"/>
        <v/>
      </c>
      <c r="BP61" s="328" t="str">
        <f t="shared" si="222"/>
        <v xml:space="preserve"> </v>
      </c>
      <c r="BQ61" s="347" t="str">
        <f t="shared" si="138"/>
        <v xml:space="preserve"> </v>
      </c>
      <c r="BR61" s="353" t="str">
        <f t="shared" si="223"/>
        <v xml:space="preserve"> </v>
      </c>
      <c r="BS61" s="626" t="str">
        <f>IF(L61&gt;0,IF(Calculation!P61="M13",BR61*3.1416*(0.134^2)/(4*144),IF(Calculation!P61="M17",BR61*3.1416*(0.165^2)/(4*144),IF(Calculation!P61="M20",BR61*3.1416*(0.198^2)/(4*144),IF(Calculation!P61="M23",BR61*3.1416*(0.228^2)/(4*144),IF(Calculation!P61="M27",BR61*3.1416*(0.269^2)/(4*144),BR61*3.1416*(0.307^2)/(4*144))))))," ")</f>
        <v xml:space="preserve"> </v>
      </c>
      <c r="BT61" s="353" t="str">
        <f>IF(L61&gt;0,IF(BS61&gt;0,R61/Calculation!BS61,0)," ")</f>
        <v xml:space="preserve"> </v>
      </c>
      <c r="BU61" s="438" t="e">
        <f t="shared" ca="1" si="31"/>
        <v>#VALUE!</v>
      </c>
      <c r="BV61" s="449" t="e">
        <f ca="1">INDEX(INDIRECT(VLOOKUP(LEFT(BO61,7),CLU!$Z$3:$AH$18,2)),GN61,GR61)</f>
        <v>#N/A</v>
      </c>
      <c r="BW61" s="433" t="e">
        <f ca="1">INDEX(INDIRECT(VLOOKUP(LEFT(BO61,7),CLU!$Z$3:$AH$18,3)),GN61,GR61)</f>
        <v>#N/A</v>
      </c>
      <c r="BX61" s="433" t="e">
        <f ca="1">INDEX(INDIRECT(VLOOKUP(LEFT(BO61,7),CLU!$Z$3:$AH$18,4)),GN61,GR61)</f>
        <v>#N/A</v>
      </c>
      <c r="BY61" s="433" t="e">
        <f ca="1">INDEX(INDIRECT(VLOOKUP(LEFT(BO61,7),CLU!$Z$3:$AH$18,9)),((M61-2)*(6-COUNTBLANK(GT61:GY61)))+GJ61)</f>
        <v>#N/A</v>
      </c>
      <c r="BZ61" s="426" t="e">
        <f t="shared" ca="1" si="139"/>
        <v>#N/A</v>
      </c>
      <c r="CA61" s="424" t="e">
        <f t="shared" ca="1" si="140"/>
        <v>#N/A</v>
      </c>
      <c r="CB61" s="429" t="e">
        <f ca="1">INDEX(INDIRECT(VLOOKUP(LEFT(BO61,7),CLU!$Z$3:$AH$18,2)),GN61,GS61)</f>
        <v>#N/A</v>
      </c>
      <c r="CC61" s="342" t="e">
        <f ca="1">INDEX(INDIRECT(VLOOKUP(LEFT(BO61,7),CLU!$Z$3:$AH$18,3)),GN61,GS61)</f>
        <v>#N/A</v>
      </c>
      <c r="CD61" s="342" t="e">
        <f ca="1">INDEX(INDIRECT(VLOOKUP(LEFT(BO61,7),CLU!$Z$3:$AH$18,4)),GN61,GS61)</f>
        <v>#N/A</v>
      </c>
      <c r="CE61" s="426" t="e">
        <f t="shared" ca="1" si="141"/>
        <v>#N/A</v>
      </c>
      <c r="CF61" s="440">
        <f t="shared" si="142"/>
        <v>0</v>
      </c>
      <c r="CG61" s="431" t="e">
        <f ca="1">INDEX(INDIRECT(VLOOKUP(LEFT(BO61,7),CLU!$Z$3:$AH$18,2)),GQ61,GR61)</f>
        <v>#N/A</v>
      </c>
      <c r="CH61" s="431" t="e">
        <f ca="1">INDEX(INDIRECT(VLOOKUP(LEFT(BO61,7),CLU!$Z$3:$AH$18,3)),GQ61,GR61)</f>
        <v>#N/A</v>
      </c>
      <c r="CI61" s="431" t="e">
        <f ca="1">INDEX(INDIRECT(VLOOKUP(LEFT(BO61,7),CLU!$Z$3:$AH$18,4)),GQ61,GR61)</f>
        <v>#N/A</v>
      </c>
      <c r="CJ61" s="448" t="e">
        <f t="shared" ca="1" si="143"/>
        <v>#N/A</v>
      </c>
      <c r="CK61" s="431" t="e">
        <f t="shared" ca="1" si="144"/>
        <v>#N/A</v>
      </c>
      <c r="CL61" s="440" t="e">
        <f t="shared" ca="1" si="145"/>
        <v>#N/A</v>
      </c>
      <c r="CM61" s="431" t="e">
        <f ca="1">INDEX(INDIRECT(VLOOKUP(LEFT(BO61,7),CLU!$Z$3:$AH$18,2)),GQ61,GS61)</f>
        <v>#N/A</v>
      </c>
      <c r="CN61" s="431" t="e">
        <f ca="1">INDEX(INDIRECT(VLOOKUP(LEFT(BO61,7),CLU!$Z$3:$AH$18,3)),GQ61,GS61)</f>
        <v>#N/A</v>
      </c>
      <c r="CO61" s="431" t="e">
        <f ca="1">INDEX(INDIRECT(VLOOKUP(LEFT(BO61,7),CLU!$Z$3:$AH$18,4)),GQ61,GS61)</f>
        <v>#N/A</v>
      </c>
      <c r="CP61" s="431" t="e">
        <f t="shared" ca="1" si="146"/>
        <v>#N/A</v>
      </c>
      <c r="CQ61" s="440">
        <f t="shared" si="147"/>
        <v>0</v>
      </c>
      <c r="CR61" s="51" t="e">
        <f t="shared" ca="1" si="148"/>
        <v>#N/A</v>
      </c>
      <c r="CS61" s="439" t="e">
        <f t="shared" ca="1" si="149"/>
        <v>#VALUE!</v>
      </c>
      <c r="CT61" s="51" t="e">
        <f t="shared" ca="1" si="150"/>
        <v>#VALUE!</v>
      </c>
      <c r="CU61" s="10"/>
      <c r="CV61" s="51" t="e">
        <f t="shared" ca="1" si="34"/>
        <v>#VALUE!</v>
      </c>
      <c r="CW61" s="51">
        <f t="shared" si="151"/>
        <v>0</v>
      </c>
      <c r="CX61" s="439" t="e">
        <f t="shared" ca="1" si="152"/>
        <v>#VALUE!</v>
      </c>
      <c r="CY61" s="51" t="e">
        <f t="shared" ca="1" si="153"/>
        <v>#VALUE!</v>
      </c>
      <c r="CZ61" s="10"/>
      <c r="DA61" s="51" t="e">
        <f t="shared" ca="1" si="154"/>
        <v>#VALUE!</v>
      </c>
      <c r="DB61" s="347" t="e">
        <f ca="1">INDEX(INDIRECT(VLOOKUP(LEFT(BO61,7),CLU!$Z$3:$AI$18,10)),((M61-2)*(6-COUNTBLANK(GT61:GY61)))+GJ61)*LI61</f>
        <v>#N/A</v>
      </c>
      <c r="DC61" s="347" t="str">
        <f>IF(L61&gt;0,((R61/Worksheet!$I$15)/DB61)^2," ")</f>
        <v xml:space="preserve"> </v>
      </c>
      <c r="DD61" s="602" t="str">
        <f t="shared" si="224"/>
        <v xml:space="preserve"> </v>
      </c>
      <c r="DE61" s="347" t="str">
        <f t="shared" si="35"/>
        <v xml:space="preserve"> </v>
      </c>
      <c r="DF61" s="356" t="e">
        <f ca="1">INDEX(INDIRECT(VLOOKUP(LEFT(BO61,7),CLU!$Z$3:$AH$18,8)),((M61-2)*(6-COUNTBLANK(GT61:GY61)))+GJ61)</f>
        <v>#N/A</v>
      </c>
      <c r="DG61" s="347" t="str">
        <f t="shared" si="36"/>
        <v xml:space="preserve"> </v>
      </c>
      <c r="DH61" s="357" t="str">
        <f t="shared" si="37"/>
        <v xml:space="preserve"> </v>
      </c>
      <c r="DI61" s="355" t="str">
        <f t="shared" si="38"/>
        <v xml:space="preserve"> </v>
      </c>
      <c r="DJ61" s="245" t="e">
        <f ca="1">INDEX(INDIRECT(VLOOKUP(LEFT(BO61,7),CLU!$Z$3:$AH$18,5)),GL61,GK61)</f>
        <v>#N/A</v>
      </c>
      <c r="DK61" s="245" t="e">
        <f ca="1">INDEX(INDIRECT(VLOOKUP(LEFT(BO61,7),CLU!$Z$3:$AH$18,6)),GL61,GK61)</f>
        <v>#N/A</v>
      </c>
      <c r="DL61" s="355">
        <f>(Calculation!R61*0.69143*(Calculation!$BQ$8-Calculation!$F$8))*$S$14</f>
        <v>0</v>
      </c>
      <c r="DM61" s="359" t="e">
        <f t="shared" si="160"/>
        <v>#VALUE!</v>
      </c>
      <c r="DN61" s="611">
        <f t="shared" si="161"/>
        <v>0</v>
      </c>
      <c r="DO61" s="359">
        <f t="shared" si="162"/>
        <v>100</v>
      </c>
      <c r="DP61" s="359">
        <f t="shared" si="163"/>
        <v>0</v>
      </c>
      <c r="DQ61" s="360"/>
      <c r="DR61" s="245" t="e">
        <f ca="1">INDEX(INDIRECT(VLOOKUP(LEFT(BO61,7),CLU!$Z$3:$AH$18,7)),M61-1,1)</f>
        <v>#N/A</v>
      </c>
      <c r="DS61" s="245" t="e">
        <f ca="1">INDEX(INDIRECT(VLOOKUP(LEFT(BO61,7),CLU!$Z$3:$AH$18,7)),M61-1,2)</f>
        <v>#N/A</v>
      </c>
      <c r="DT61" s="245" t="e">
        <f ca="1">INDEX(INDIRECT(VLOOKUP(LEFT(BO61,7),CLU!$Z$3:$AH$18,7)),M61-1,3)</f>
        <v>#N/A</v>
      </c>
      <c r="DU61" s="245" t="e">
        <f ca="1">INDEX(INDIRECT(VLOOKUP(LEFT(BO61,7),CLU!$Z$3:$AH$18,7)),M61-1,4)</f>
        <v>#N/A</v>
      </c>
      <c r="DV61" s="361" t="e">
        <f ca="1">INDEX(INDIRECT(VLOOKUP(LEFT(BO61,7),CLU!$Z$3:$AH$18,7)),M61-1,4+LEFT(DZ61,1)*0.5)</f>
        <v>#N/A</v>
      </c>
      <c r="DW61" s="245" t="e">
        <f ca="1">INDEX(INDIRECT(VLOOKUP(LEFT(BO61,7),CLU!$Z$3:$AH$18,7)),M61-1,8)</f>
        <v>#N/A</v>
      </c>
      <c r="DX61" s="361" t="str">
        <f t="shared" si="39"/>
        <v xml:space="preserve"> </v>
      </c>
      <c r="DY61" s="361" t="str">
        <f t="shared" si="40"/>
        <v xml:space="preserve"> </v>
      </c>
      <c r="DZ61" s="361" t="str">
        <f t="shared" si="41"/>
        <v xml:space="preserve"> </v>
      </c>
      <c r="EA61" s="362" t="str">
        <f t="shared" si="42"/>
        <v xml:space="preserve"> </v>
      </c>
      <c r="EB61" s="624" t="str">
        <f t="shared" si="168"/>
        <v xml:space="preserve"> </v>
      </c>
      <c r="EC61" s="361" t="e">
        <f ca="1">INDEX(INDIRECT(VLOOKUP(LEFT(BO61,7),CLU!$Z$3:$AH$18,7)),M61-1,4+LEFT(DZ61,1)*0.5)</f>
        <v>#N/A</v>
      </c>
      <c r="ED61" s="362" t="str">
        <f t="shared" si="43"/>
        <v xml:space="preserve"> </v>
      </c>
      <c r="EE61" s="361" t="str">
        <f t="shared" si="44"/>
        <v xml:space="preserve"> </v>
      </c>
      <c r="EF61" s="362" t="str">
        <f>IF(L61&gt;0,IF(BR61&gt;0,IF(EE61="2P",IF(Calculation!DZ61="2P",IF(Calculation!DS61=13.75,IF(Calculation!DR61=13,Worksheet!$BD$43,IF(Calculation!DR61=37,Worksheet!$BD$44,Worksheet!$BD$45)),IF(Calculation!DS61=10,IF(Calculation!DR61=18,Worksheet!$BD$29,IF(Calculation!DR61=30,Worksheet!$BD$30,IF(Calculation!DR61=42,Worksheet!$BD$31,IF(Calculation!DR61=54,Worksheet!$BD$32,IF(Calculation!DR61=66,Worksheet!$BD$33,IF(Calculation!DR61=78,Worksheet!$BD$34,IF(Calculation!DR61=90,Worksheet!$BD$35,IF(Calculation!DR61=102,Worksheet!$BD$36,Worksheet!$BD$37)))))))),IF(Calculation!DS61=12.5,IF(Calculation!DR61=18,Worksheet!$BD$38,IF(Calculation!DR61=Worksheet!$BD$39,IF(Calculation!DR61=42,Worksheet!$BD$40,IF(Calculation!DR61=54,Worksheet!$BD$41,Worksheet!$BD$42)))),IF(Calculation!DR61=18,Worksheet!$BD$11,IF(Calculation!DR61=30,Worksheet!$BD$12,IF(Calculation!DR61=42,Worksheet!$BD$13,IF(Calculation!DR61=54,Worksheet!$BD$14,IF(Calculation!DR61=66,Worksheet!$BD$15,IF(Calculation!DR61=78,Worksheet!$BD$16,IF(Calculation!DR61=90,Worksheet!$BD$17,IF(Calculation!DR61=102,Worksheet!$BD$18,Worksheet!$BD$19))))))))))),IF(Calculation!DS61=13.75,IF(Calculation!DR61=13,Worksheet!$BD$78,IF(Calculation!DR61=37,Worksheet!$BD$79,Worksheet!$BD$80)),IF(Calculation!DS61=10,IF(Calculation!DR61=18,Worksheet!$BD$64,IF(Calculation!DR61=30,Worksheet!$BD$65,IF(Calculation!DR61=42,Worksheet!$BD$66,IF(Calculation!DR61=54,Worksheet!$BD$68,IF(Calculation!DR61=66,Worksheet!$BD$68,IF(Calculation!DR61=78,Worksheet!$BD$69,IF(Calculation!DR61=90,Worksheet!$BD$70,IF(Calculation!DR61=102,Worksheet!$BD$71,Worksheet!$BD$72)))))))),IF(Calculation!DS61=12.5,IF(Calculation!DR61=18,Worksheet!$BD$73,IF(Calculation!DR61=Worksheet!$BD$74,IF(Calculation!DR61=42,Worksheet!$BD$75,IF(Calculation!DR61=54,Worksheet!$BD$76,Worksheet!$BD$77)))),IF(Calculation!DR61=18,Worksheet!$BD$55,IF(Calculation!DR61=30,Worksheet!$BD$56,IF(Calculation!DR61=42,Worksheet!$BD$57,IF(Calculation!DR61=54,Worksheet!$BD$58,IF(Calculation!DR61=66,Worksheet!$BD$59,IF(Calculation!DR61=78,Worksheet!$BD$60,IF(Calculation!DR61=90,Worksheet!$BD$61,IF(Calculation!DR61=102,Worksheet!$BD$62,Worksheet!$BD$63)))))))))))),5),0)," ")</f>
        <v xml:space="preserve"> </v>
      </c>
      <c r="EG61" s="361" t="str">
        <f t="shared" si="45"/>
        <v xml:space="preserve"> </v>
      </c>
      <c r="EH61" s="361" t="e">
        <f ca="1">INDEX(INDIRECT(VLOOKUP(LEFT(BO61,7),CLU!$Z$3:$AH$18,7)),M61-1,3+LEFT(DZ61,1))</f>
        <v>#N/A</v>
      </c>
      <c r="EI61" s="362" t="str">
        <f t="shared" si="46"/>
        <v xml:space="preserve"> </v>
      </c>
      <c r="EJ61" s="363" t="str">
        <f t="shared" si="47"/>
        <v xml:space="preserve"> </v>
      </c>
      <c r="EK61" s="363" t="str">
        <f t="shared" si="48"/>
        <v xml:space="preserve"> </v>
      </c>
      <c r="EL61" s="363" t="str">
        <f t="shared" si="49"/>
        <v xml:space="preserve"> </v>
      </c>
      <c r="EM61" s="362" t="str">
        <f>IF(L61&gt;0,IF(BR61&gt;0,(Calculation!T61/ED61)^2,0)," ")</f>
        <v xml:space="preserve"> </v>
      </c>
      <c r="EN61" s="362" t="str">
        <f>IF(L61&gt;0,IF(O61="2 Pipe (Cooling)","N/A",IF(BR61&gt;0,(Calculation!U61/EI61)^2,0))," ")</f>
        <v xml:space="preserve"> </v>
      </c>
      <c r="EO61" s="361" t="str">
        <f t="shared" si="50"/>
        <v/>
      </c>
      <c r="EP61" s="361" t="str">
        <f t="shared" si="51"/>
        <v/>
      </c>
      <c r="EQ61" s="361" t="str">
        <f t="shared" si="52"/>
        <v/>
      </c>
      <c r="ER61" s="361" t="str">
        <f t="shared" si="53"/>
        <v/>
      </c>
      <c r="ES61" s="361" t="str">
        <f t="shared" si="54"/>
        <v/>
      </c>
      <c r="ET61" s="361" t="str">
        <f t="shared" si="55"/>
        <v/>
      </c>
      <c r="EU61" s="361" t="str">
        <f t="shared" si="56"/>
        <v/>
      </c>
      <c r="EV61" s="361" t="str">
        <f t="shared" si="57"/>
        <v/>
      </c>
      <c r="EW61" s="361" t="str">
        <f t="shared" si="58"/>
        <v/>
      </c>
      <c r="EX61" s="361" t="str">
        <f t="shared" si="169"/>
        <v>1 slot, 1 way</v>
      </c>
      <c r="EY61" s="361" t="str">
        <f t="shared" si="170"/>
        <v xml:space="preserve"> </v>
      </c>
      <c r="EZ61" s="361" t="str">
        <f t="shared" si="171"/>
        <v xml:space="preserve"> </v>
      </c>
      <c r="FA61" s="361" t="str">
        <f t="shared" si="172"/>
        <v xml:space="preserve"> </v>
      </c>
      <c r="FB61" s="361" t="str">
        <f t="shared" si="173"/>
        <v xml:space="preserve"> </v>
      </c>
      <c r="FC61" s="361"/>
      <c r="FD61" s="361" t="str">
        <f>IF(J61&gt;0,IF(Calculation!R61&lt;=70,4,IF(Calculation!R61&lt;=110,5,IF(Calculation!R61&lt;=160,6,IF(Calculation!R61&lt;=300,8,"10 EO")))),"")</f>
        <v/>
      </c>
      <c r="FE61" s="361" t="str">
        <f t="shared" si="174"/>
        <v/>
      </c>
      <c r="FF61" s="361" t="str">
        <f t="shared" si="175"/>
        <v/>
      </c>
      <c r="FG61" s="361" t="e">
        <f t="shared" si="60"/>
        <v>#N/A</v>
      </c>
      <c r="FH61" s="361">
        <f t="shared" si="61"/>
        <v>0</v>
      </c>
      <c r="FI61" s="361" t="e">
        <f t="shared" si="62"/>
        <v>#DIV/0!</v>
      </c>
      <c r="FJ61" s="361"/>
      <c r="FK61" s="356" t="e">
        <f t="shared" si="63"/>
        <v>#VALUE!</v>
      </c>
      <c r="FL61" s="361"/>
      <c r="FM61" s="361"/>
      <c r="FN61" s="362" t="str">
        <f t="shared" si="176"/>
        <v xml:space="preserve"> </v>
      </c>
      <c r="FO61" s="362" t="str">
        <f t="shared" si="177"/>
        <v xml:space="preserve"> </v>
      </c>
      <c r="FP61" s="362">
        <f t="shared" si="178"/>
        <v>0</v>
      </c>
      <c r="FQ61" s="361">
        <f t="shared" si="64"/>
        <v>0</v>
      </c>
      <c r="FR61" s="362" t="str">
        <f>IF(L61&gt;0,IF(J61="CBAL2",Worksheet!$P$67,IF(J61="CBE2-24",Worksheet!$Q$67,IF(J61="CBAM",Worksheet!$R$67,IF(J61="CBLV",Worksheet!$S$67,IF(J61="CBAB",Worksheet!$U$67,IF(J61="CBAW",Worksheet!$X$67,IF(J61="CBE2-12",Worksheet!$Y$67,IF(J61="CBAL2",Worksheet!$Z$67,"N/A"))))))))," ")</f>
        <v xml:space="preserve"> </v>
      </c>
      <c r="FS61" s="362" t="str">
        <f>IF(L61&gt;0,IF(J61="CBAL2",Worksheet!$P$68,IF(J61="CBE2-24",Worksheet!$Q$68,IF(J61="CBAM",Worksheet!$R$68,IF(J61="CBLV",Worksheet!$S$68,IF(J61="CBAB",Worksheet!$U$68,IF(J61="CBAW",Worksheet!$X$68,IF(J61="CBE2-12",Worksheet!$Y$68,IF(J61="CBAL2",Worksheet!$Z$68,"N/A"))))))))," ")</f>
        <v xml:space="preserve"> </v>
      </c>
      <c r="FT61" s="362" t="str">
        <f>IF(L61&gt;0,IF(J61="CBAL2",Worksheet!$P$69,IF(J61="CBE2-24",Worksheet!$Q$69,IF(J61="CBAM",Worksheet!$R$69,IF(J61="CBLV",Worksheet!$S$69,IF(J61="CBAB",Worksheet!$U$69,IF(J61="CBAW",Worksheet!$X$69,IF(J61="CBE2-12",Worksheet!$Y$69,IF(J61="CBAL2",Worksheet!$Z$69,"N/A"))))))))," ")</f>
        <v xml:space="preserve"> </v>
      </c>
      <c r="FU61" s="361" t="str">
        <f t="shared" si="179"/>
        <v xml:space="preserve"> </v>
      </c>
      <c r="FV61" s="362" t="str">
        <f t="shared" si="180"/>
        <v xml:space="preserve"> </v>
      </c>
      <c r="FW61" s="362" t="str">
        <f t="shared" si="181"/>
        <v xml:space="preserve"> </v>
      </c>
      <c r="FX61" s="362" t="str">
        <f t="shared" si="182"/>
        <v xml:space="preserve"> </v>
      </c>
      <c r="FY61" s="355" t="str">
        <f t="shared" si="183"/>
        <v xml:space="preserve"> </v>
      </c>
      <c r="FZ61" s="361" t="str">
        <f t="shared" si="184"/>
        <v xml:space="preserve"> </v>
      </c>
      <c r="GA61" s="347" t="str">
        <f t="shared" si="185"/>
        <v xml:space="preserve"> </v>
      </c>
      <c r="GB61" s="355" t="str">
        <f t="shared" si="186"/>
        <v xml:space="preserve"> </v>
      </c>
      <c r="GC61" s="328" t="str">
        <f t="shared" si="187"/>
        <v xml:space="preserve"> </v>
      </c>
      <c r="GD61" s="361" t="str">
        <f t="shared" si="188"/>
        <v xml:space="preserve"> </v>
      </c>
      <c r="GE61" s="347" t="str">
        <f t="shared" si="189"/>
        <v xml:space="preserve"> </v>
      </c>
      <c r="GF61" s="361" t="str">
        <f t="shared" si="190"/>
        <v xml:space="preserve"> </v>
      </c>
      <c r="GG61" s="347" t="str">
        <f t="shared" si="191"/>
        <v xml:space="preserve"> </v>
      </c>
      <c r="GH61" s="364">
        <f t="shared" si="78"/>
        <v>0</v>
      </c>
      <c r="GI61" s="362">
        <f t="shared" si="192"/>
        <v>2</v>
      </c>
      <c r="GJ61" s="433" t="e">
        <f>IF(6-COUNTBLANK(GT61:GY61)=4,MATCH(MID(BO61,9,3),CLU!$H$16:$K$16),MATCH(MID(BO61,9,3),CLU!$H$13:$M$13))</f>
        <v>#N/A</v>
      </c>
      <c r="GK61" s="433" t="e">
        <f>HLOOKUP(VALUE(BP61),CLU!$H$9:$M$10,2)</f>
        <v>#VALUE!</v>
      </c>
      <c r="GL61" s="433" t="e">
        <f ca="1">MATCH(BU61,CLU!$H$2:$V$2,1)</f>
        <v>#VALUE!</v>
      </c>
      <c r="GM61" s="433" t="e">
        <f t="shared" ca="1" si="193"/>
        <v>#VALUE!</v>
      </c>
      <c r="GN61" s="433" t="e">
        <f t="shared" ca="1" si="194"/>
        <v>#VALUE!</v>
      </c>
      <c r="GO61" s="433" t="e">
        <f t="shared" ca="1" si="195"/>
        <v>#VALUE!</v>
      </c>
      <c r="GP61" s="433" t="e">
        <f t="shared" ca="1" si="196"/>
        <v>#VALUE!</v>
      </c>
      <c r="GQ61" s="433" t="e">
        <f t="shared" ca="1" si="197"/>
        <v>#VALUE!</v>
      </c>
      <c r="GR61" s="433" t="e">
        <f ca="1">MATCH(T61,INDIRECT(VLOOKUP(CONCATENATE(LEFT(BO61,7),"-",MID(BO61,13,1)),CLU!$P$3:$Q$16,2)),1)</f>
        <v>#N/A</v>
      </c>
      <c r="GS61" s="433" t="e">
        <f ca="1">MATCH(U61,INDIRECT(VLOOKUP(CONCATENATE(LEFT(BO61,7),"-",MID(BO61,13,1)),CLU!$P$3:$Q$16,2)),1)</f>
        <v>#N/A</v>
      </c>
      <c r="GT61" s="347" t="s">
        <v>512</v>
      </c>
      <c r="GU61" s="97" t="s">
        <v>513</v>
      </c>
      <c r="GV61" s="97" t="str">
        <f t="shared" si="198"/>
        <v>M23</v>
      </c>
      <c r="GW61" s="97" t="str">
        <f t="shared" si="199"/>
        <v>M31</v>
      </c>
      <c r="GX61" s="97" t="str">
        <f t="shared" si="200"/>
        <v/>
      </c>
      <c r="GY61" s="97" t="str">
        <f t="shared" si="201"/>
        <v/>
      </c>
      <c r="GZ61" s="481"/>
      <c r="HA61" s="288"/>
      <c r="HB61" s="240"/>
      <c r="HC61" s="240"/>
      <c r="HD61" s="240"/>
      <c r="HE61" s="240"/>
      <c r="HF61" s="240"/>
      <c r="HG61" s="240"/>
      <c r="HH61" s="240"/>
      <c r="HI61" s="240"/>
      <c r="HJ61" s="240"/>
      <c r="HK61" s="240"/>
      <c r="HL61" s="240"/>
      <c r="HM61" s="240"/>
      <c r="HN61" s="240"/>
      <c r="HO61" s="240"/>
      <c r="HP61" s="240"/>
      <c r="HQ61" s="240"/>
      <c r="HR61" s="240"/>
      <c r="HS61" s="240"/>
      <c r="HT61" s="240"/>
      <c r="HU61" s="240"/>
      <c r="HV61" s="245"/>
      <c r="HW61" s="245" t="b">
        <v>1</v>
      </c>
      <c r="HX61" s="245" t="str">
        <f t="shared" si="79"/>
        <v/>
      </c>
      <c r="HY61" s="245" t="e">
        <f t="shared" si="80"/>
        <v>#DIV/0!</v>
      </c>
      <c r="HZ61" s="245" t="e">
        <f t="shared" si="81"/>
        <v>#DIV/0!</v>
      </c>
      <c r="IA61" s="245">
        <f t="shared" si="82"/>
        <v>0</v>
      </c>
      <c r="IB61" s="245"/>
      <c r="IC61" t="b">
        <f t="shared" si="83"/>
        <v>1</v>
      </c>
      <c r="ID61" s="245" t="b">
        <f t="shared" si="84"/>
        <v>1</v>
      </c>
      <c r="IE61" s="245" t="b">
        <f t="shared" si="85"/>
        <v>1</v>
      </c>
      <c r="IF61" s="245" t="b">
        <f t="shared" si="86"/>
        <v>0</v>
      </c>
      <c r="IG61" s="245" t="b">
        <f t="shared" si="87"/>
        <v>1</v>
      </c>
      <c r="IH61" s="245" t="b">
        <f t="shared" si="88"/>
        <v>1</v>
      </c>
      <c r="II61" s="245">
        <f t="shared" si="202"/>
        <v>0</v>
      </c>
      <c r="IJ61" s="245" t="e">
        <f t="shared" si="89"/>
        <v>#VALUE!</v>
      </c>
      <c r="IK61" s="245" t="e">
        <f t="shared" si="90"/>
        <v>#VALUE!</v>
      </c>
      <c r="IL61" s="245"/>
      <c r="IM61" s="245" t="e">
        <f t="shared" si="203"/>
        <v>#N/A</v>
      </c>
      <c r="IN61" s="245" t="e">
        <f t="shared" si="204"/>
        <v>#N/A</v>
      </c>
      <c r="IO61" s="245"/>
      <c r="IP61" s="245"/>
      <c r="IQ61" s="245" t="str">
        <f t="shared" si="91"/>
        <v/>
      </c>
      <c r="IR61" s="245" t="str">
        <f>IF(J61="","",VLOOKUP(J61,Worksheet!$R$4:$T$14,2))</f>
        <v/>
      </c>
      <c r="IS61" s="245"/>
      <c r="IT61" s="245">
        <f t="shared" si="92"/>
        <v>0</v>
      </c>
      <c r="IU61" s="245">
        <f t="shared" si="93"/>
        <v>0</v>
      </c>
      <c r="IV61" s="245">
        <f t="shared" si="94"/>
        <v>0</v>
      </c>
      <c r="IW61" s="245">
        <f t="shared" si="95"/>
        <v>0</v>
      </c>
      <c r="IX61" s="245">
        <f t="shared" si="205"/>
        <v>0</v>
      </c>
      <c r="IY61" s="245">
        <f t="shared" si="96"/>
        <v>0</v>
      </c>
      <c r="IZ61" s="245">
        <f t="shared" si="97"/>
        <v>0</v>
      </c>
      <c r="JA61">
        <f t="shared" si="98"/>
        <v>0</v>
      </c>
      <c r="JB61">
        <f t="shared" si="206"/>
        <v>0</v>
      </c>
      <c r="JC61">
        <f t="shared" si="99"/>
        <v>0</v>
      </c>
      <c r="JD61">
        <f t="shared" si="100"/>
        <v>0</v>
      </c>
      <c r="JE61">
        <f t="shared" si="101"/>
        <v>0</v>
      </c>
      <c r="JF61">
        <f t="shared" si="102"/>
        <v>0</v>
      </c>
      <c r="JG61">
        <f t="shared" si="103"/>
        <v>0</v>
      </c>
      <c r="JH61">
        <f t="shared" si="104"/>
        <v>0</v>
      </c>
      <c r="JI61">
        <f t="shared" si="105"/>
        <v>0</v>
      </c>
      <c r="JJ61" s="447">
        <f t="shared" si="106"/>
        <v>0</v>
      </c>
      <c r="JK61" s="447">
        <f t="shared" si="107"/>
        <v>0</v>
      </c>
      <c r="JL61">
        <f t="shared" si="108"/>
        <v>0</v>
      </c>
      <c r="JM61" s="245" t="str">
        <f>IFERROR(VLOOKUP(MATCH(BN61,#REF!,0),#REF!,7),"")</f>
        <v/>
      </c>
      <c r="JN61" t="e">
        <f>HLOOKUP(LEFT(BO61,7),Discharge_Area,MATCH(JO61,LookUps!$B$130:$B$149,1)+2)</f>
        <v>#N/A</v>
      </c>
      <c r="JO61" t="str">
        <f t="shared" si="109"/>
        <v>- S</v>
      </c>
      <c r="JP61" t="e">
        <f>HLOOKUP(LEFT(BO61,7),Discharge_Area,MATCH(JO61,LookUps!$B$130:$B$149,1)+2)</f>
        <v>#N/A</v>
      </c>
      <c r="JQ61" t="e">
        <f t="shared" si="110"/>
        <v>#N/A</v>
      </c>
      <c r="JR61" t="e">
        <f t="shared" si="111"/>
        <v>#N/A</v>
      </c>
      <c r="JS61" t="e">
        <f t="shared" si="112"/>
        <v>#N/A</v>
      </c>
      <c r="JT61" s="532" t="str">
        <f t="shared" si="113"/>
        <v xml:space="preserve"> </v>
      </c>
      <c r="JU61" s="532" t="str">
        <f t="shared" si="114"/>
        <v xml:space="preserve"> </v>
      </c>
      <c r="JV61" s="533" t="str">
        <f t="shared" si="115"/>
        <v xml:space="preserve"> </v>
      </c>
      <c r="JW61" s="534">
        <f t="shared" si="116"/>
        <v>0</v>
      </c>
      <c r="JX61" s="535" t="str">
        <f t="shared" si="207"/>
        <v xml:space="preserve"> </v>
      </c>
      <c r="JY61" s="535" t="str">
        <f t="shared" si="208"/>
        <v xml:space="preserve"> </v>
      </c>
      <c r="JZ61" s="535" t="str">
        <f t="shared" si="209"/>
        <v xml:space="preserve"> </v>
      </c>
      <c r="KA61" s="536" t="str">
        <f t="shared" si="117"/>
        <v xml:space="preserve"> </v>
      </c>
      <c r="KB61" s="535" t="e">
        <f t="shared" si="210"/>
        <v>#VALUE!</v>
      </c>
      <c r="KC61" s="535" t="str">
        <f t="shared" si="118"/>
        <v/>
      </c>
      <c r="KD61" s="537" t="str">
        <f t="shared" si="211"/>
        <v xml:space="preserve"> </v>
      </c>
      <c r="KE61" s="537" t="str">
        <f t="shared" si="212"/>
        <v xml:space="preserve"> </v>
      </c>
      <c r="KF61" s="534">
        <f t="shared" si="119"/>
        <v>0</v>
      </c>
      <c r="KG61" s="535" t="str">
        <f t="shared" si="120"/>
        <v xml:space="preserve"> </v>
      </c>
      <c r="KH61" s="535" t="str">
        <f t="shared" si="121"/>
        <v xml:space="preserve"> </v>
      </c>
      <c r="KI61" s="535" t="str">
        <f t="shared" si="122"/>
        <v xml:space="preserve"> </v>
      </c>
      <c r="KJ61" s="536" t="str">
        <f t="shared" si="123"/>
        <v xml:space="preserve"> </v>
      </c>
      <c r="KK61" s="535" t="str">
        <f t="shared" si="213"/>
        <v xml:space="preserve"> </v>
      </c>
      <c r="KL61" s="535" t="str">
        <f t="shared" si="214"/>
        <v xml:space="preserve"> </v>
      </c>
      <c r="KM61" s="537" t="str">
        <f t="shared" si="124"/>
        <v xml:space="preserve"> </v>
      </c>
      <c r="KN61" s="537" t="str">
        <f t="shared" si="215"/>
        <v xml:space="preserve"> </v>
      </c>
      <c r="KP61">
        <f t="shared" si="125"/>
        <v>0</v>
      </c>
      <c r="LA61" t="e">
        <f t="shared" si="126"/>
        <v>#VALUE!</v>
      </c>
      <c r="LB61" t="e">
        <f t="shared" si="127"/>
        <v>#VALUE!</v>
      </c>
      <c r="LC61" t="e">
        <f t="shared" si="128"/>
        <v>#VALUE!</v>
      </c>
      <c r="LD61" t="e">
        <f t="shared" si="129"/>
        <v>#VALUE!</v>
      </c>
      <c r="LE61" t="e">
        <f t="shared" si="216"/>
        <v>#VALUE!</v>
      </c>
      <c r="LF61">
        <f t="shared" si="130"/>
        <v>0</v>
      </c>
      <c r="LG61" t="e">
        <f t="shared" si="217"/>
        <v>#VALUE!</v>
      </c>
      <c r="LH61" t="str">
        <f t="shared" si="131"/>
        <v xml:space="preserve"> </v>
      </c>
      <c r="LI61">
        <f t="shared" si="218"/>
        <v>1</v>
      </c>
    </row>
    <row r="62" spans="2:321" ht="15" customHeight="1">
      <c r="B62" s="311"/>
      <c r="C62" s="311"/>
      <c r="D62" s="312"/>
      <c r="E62" s="311"/>
      <c r="F62" s="312"/>
      <c r="G62" s="311"/>
      <c r="H62" s="311"/>
      <c r="I62" s="37"/>
      <c r="J62" s="311"/>
      <c r="K62" s="305" t="str">
        <f t="shared" si="132"/>
        <v/>
      </c>
      <c r="L62" s="313"/>
      <c r="M62" s="312"/>
      <c r="N62" s="311"/>
      <c r="O62" s="312"/>
      <c r="P62" s="311"/>
      <c r="Q62" s="305" t="str">
        <f t="shared" si="133"/>
        <v/>
      </c>
      <c r="R62" s="314"/>
      <c r="S62" s="450" t="str">
        <f t="shared" si="0"/>
        <v/>
      </c>
      <c r="T62" s="315"/>
      <c r="U62" s="315"/>
      <c r="W62" s="149" t="str">
        <f t="shared" si="1"/>
        <v xml:space="preserve"> </v>
      </c>
      <c r="X62" s="243" t="str">
        <f t="shared" si="2"/>
        <v xml:space="preserve"> </v>
      </c>
      <c r="Y62" s="150" t="str">
        <f t="shared" si="3"/>
        <v/>
      </c>
      <c r="Z62" s="149" t="str">
        <f t="shared" si="4"/>
        <v xml:space="preserve"> </v>
      </c>
      <c r="AA62" s="98" t="str">
        <f t="shared" si="5"/>
        <v xml:space="preserve"> </v>
      </c>
      <c r="AB62" s="153" t="str">
        <f t="shared" si="6"/>
        <v xml:space="preserve"> </v>
      </c>
      <c r="AC62" s="153" t="str">
        <f t="shared" si="7"/>
        <v xml:space="preserve"> </v>
      </c>
      <c r="AD62" s="148" t="str">
        <f t="shared" si="8"/>
        <v/>
      </c>
      <c r="AE62" s="149" t="str">
        <f t="shared" si="9"/>
        <v/>
      </c>
      <c r="AF62" s="151" t="str">
        <f t="shared" si="10"/>
        <v xml:space="preserve"> </v>
      </c>
      <c r="AG62" s="153" t="str">
        <f t="shared" si="11"/>
        <v xml:space="preserve"> </v>
      </c>
      <c r="AH62" s="98" t="str">
        <f t="shared" si="12"/>
        <v xml:space="preserve"> </v>
      </c>
      <c r="AI62" s="149" t="str">
        <f t="shared" si="13"/>
        <v xml:space="preserve"> </v>
      </c>
      <c r="AK62" s="144" t="str">
        <f t="shared" si="14"/>
        <v xml:space="preserve"> </v>
      </c>
      <c r="AL62" s="144"/>
      <c r="AM62" s="243" t="str">
        <f t="shared" si="15"/>
        <v xml:space="preserve"> </v>
      </c>
      <c r="AN62" s="149" t="str">
        <f t="shared" si="134"/>
        <v xml:space="preserve"> </v>
      </c>
      <c r="AO62" s="144" t="str">
        <f>IF(JB62&gt;0,IF(GI62=10,-R62*1.085*(Calculation!$F$6-Calculation!$F$13)*$S$14," "),"")</f>
        <v/>
      </c>
      <c r="AP62" s="144" t="str">
        <f t="shared" si="16"/>
        <v/>
      </c>
      <c r="AQ62" s="56" t="str">
        <f t="shared" si="17"/>
        <v/>
      </c>
      <c r="AR62" s="144" t="str">
        <f t="shared" si="18"/>
        <v/>
      </c>
      <c r="AS62" s="176" t="str">
        <f t="shared" si="19"/>
        <v/>
      </c>
      <c r="AT62" s="176" t="str">
        <f t="shared" si="135"/>
        <v xml:space="preserve"> </v>
      </c>
      <c r="AU62" s="176" t="str">
        <f t="shared" si="20"/>
        <v/>
      </c>
      <c r="AV62" s="177" t="str">
        <f t="shared" si="21"/>
        <v xml:space="preserve"> </v>
      </c>
      <c r="AW62" s="144" t="str">
        <f t="shared" si="22"/>
        <v xml:space="preserve"> </v>
      </c>
      <c r="AX62" s="144" t="str">
        <f t="shared" si="23"/>
        <v xml:space="preserve"> </v>
      </c>
      <c r="AY62" s="152" t="str">
        <f t="shared" si="24"/>
        <v xml:space="preserve"> </v>
      </c>
      <c r="AZ62" s="246" t="str">
        <f t="shared" si="25"/>
        <v/>
      </c>
      <c r="BA62" s="176" t="str">
        <f t="shared" si="26"/>
        <v xml:space="preserve"> </v>
      </c>
      <c r="BB62" s="176" t="str">
        <f t="shared" si="27"/>
        <v xml:space="preserve"> </v>
      </c>
      <c r="BC62" s="195"/>
      <c r="BD62" s="316"/>
      <c r="BE62" s="317"/>
      <c r="BF62" s="318"/>
      <c r="BG62" s="318"/>
      <c r="BH62" s="144" t="str">
        <f t="shared" si="219"/>
        <v xml:space="preserve"> </v>
      </c>
      <c r="BI62" s="176" t="str">
        <f t="shared" si="28"/>
        <v/>
      </c>
      <c r="BJ62" s="144" t="str">
        <f t="shared" si="220"/>
        <v/>
      </c>
      <c r="BK62" s="246" t="str">
        <f t="shared" si="29"/>
        <v/>
      </c>
      <c r="BL62" s="144" t="str">
        <f t="shared" si="221"/>
        <v/>
      </c>
      <c r="BM62" s="246" t="str">
        <f t="shared" si="30"/>
        <v/>
      </c>
      <c r="BN62" s="337" t="str">
        <f t="shared" si="136"/>
        <v/>
      </c>
      <c r="BO62" s="371" t="str">
        <f t="shared" si="137"/>
        <v/>
      </c>
      <c r="BP62" s="328" t="str">
        <f t="shared" si="222"/>
        <v xml:space="preserve"> </v>
      </c>
      <c r="BQ62" s="347" t="str">
        <f t="shared" si="138"/>
        <v xml:space="preserve"> </v>
      </c>
      <c r="BR62" s="353" t="str">
        <f t="shared" si="223"/>
        <v xml:space="preserve"> </v>
      </c>
      <c r="BS62" s="626" t="str">
        <f>IF(L62&gt;0,IF(Calculation!P62="M13",BR62*3.1416*(0.134^2)/(4*144),IF(Calculation!P62="M17",BR62*3.1416*(0.165^2)/(4*144),IF(Calculation!P62="M20",BR62*3.1416*(0.198^2)/(4*144),IF(Calculation!P62="M23",BR62*3.1416*(0.228^2)/(4*144),IF(Calculation!P62="M27",BR62*3.1416*(0.269^2)/(4*144),BR62*3.1416*(0.307^2)/(4*144))))))," ")</f>
        <v xml:space="preserve"> </v>
      </c>
      <c r="BT62" s="353" t="str">
        <f>IF(L62&gt;0,IF(BS62&gt;0,R62/Calculation!BS62,0)," ")</f>
        <v xml:space="preserve"> </v>
      </c>
      <c r="BU62" s="438" t="e">
        <f t="shared" ca="1" si="31"/>
        <v>#VALUE!</v>
      </c>
      <c r="BV62" s="449" t="e">
        <f ca="1">INDEX(INDIRECT(VLOOKUP(LEFT(BO62,7),CLU!$Z$3:$AH$18,2)),GN62,GR62)</f>
        <v>#N/A</v>
      </c>
      <c r="BW62" s="433" t="e">
        <f ca="1">INDEX(INDIRECT(VLOOKUP(LEFT(BO62,7),CLU!$Z$3:$AH$18,3)),GN62,GR62)</f>
        <v>#N/A</v>
      </c>
      <c r="BX62" s="433" t="e">
        <f ca="1">INDEX(INDIRECT(VLOOKUP(LEFT(BO62,7),CLU!$Z$3:$AH$18,4)),GN62,GR62)</f>
        <v>#N/A</v>
      </c>
      <c r="BY62" s="433" t="e">
        <f ca="1">INDEX(INDIRECT(VLOOKUP(LEFT(BO62,7),CLU!$Z$3:$AH$18,9)),((M62-2)*(6-COUNTBLANK(GT62:GY62)))+GJ62)</f>
        <v>#N/A</v>
      </c>
      <c r="BZ62" s="426" t="e">
        <f t="shared" ca="1" si="139"/>
        <v>#N/A</v>
      </c>
      <c r="CA62" s="424" t="e">
        <f t="shared" ca="1" si="140"/>
        <v>#N/A</v>
      </c>
      <c r="CB62" s="429" t="e">
        <f ca="1">INDEX(INDIRECT(VLOOKUP(LEFT(BO62,7),CLU!$Z$3:$AH$18,2)),GN62,GS62)</f>
        <v>#N/A</v>
      </c>
      <c r="CC62" s="342" t="e">
        <f ca="1">INDEX(INDIRECT(VLOOKUP(LEFT(BO62,7),CLU!$Z$3:$AH$18,3)),GN62,GS62)</f>
        <v>#N/A</v>
      </c>
      <c r="CD62" s="342" t="e">
        <f ca="1">INDEX(INDIRECT(VLOOKUP(LEFT(BO62,7),CLU!$Z$3:$AH$18,4)),GN62,GS62)</f>
        <v>#N/A</v>
      </c>
      <c r="CE62" s="426" t="e">
        <f t="shared" ca="1" si="141"/>
        <v>#N/A</v>
      </c>
      <c r="CF62" s="440">
        <f t="shared" si="142"/>
        <v>0</v>
      </c>
      <c r="CG62" s="431" t="e">
        <f ca="1">INDEX(INDIRECT(VLOOKUP(LEFT(BO62,7),CLU!$Z$3:$AH$18,2)),GQ62,GR62)</f>
        <v>#N/A</v>
      </c>
      <c r="CH62" s="431" t="e">
        <f ca="1">INDEX(INDIRECT(VLOOKUP(LEFT(BO62,7),CLU!$Z$3:$AH$18,3)),GQ62,GR62)</f>
        <v>#N/A</v>
      </c>
      <c r="CI62" s="431" t="e">
        <f ca="1">INDEX(INDIRECT(VLOOKUP(LEFT(BO62,7),CLU!$Z$3:$AH$18,4)),GQ62,GR62)</f>
        <v>#N/A</v>
      </c>
      <c r="CJ62" s="448" t="e">
        <f t="shared" ca="1" si="143"/>
        <v>#N/A</v>
      </c>
      <c r="CK62" s="431" t="e">
        <f t="shared" ca="1" si="144"/>
        <v>#N/A</v>
      </c>
      <c r="CL62" s="440" t="e">
        <f t="shared" ca="1" si="145"/>
        <v>#N/A</v>
      </c>
      <c r="CM62" s="431" t="e">
        <f ca="1">INDEX(INDIRECT(VLOOKUP(LEFT(BO62,7),CLU!$Z$3:$AH$18,2)),GQ62,GS62)</f>
        <v>#N/A</v>
      </c>
      <c r="CN62" s="431" t="e">
        <f ca="1">INDEX(INDIRECT(VLOOKUP(LEFT(BO62,7),CLU!$Z$3:$AH$18,3)),GQ62,GS62)</f>
        <v>#N/A</v>
      </c>
      <c r="CO62" s="431" t="e">
        <f ca="1">INDEX(INDIRECT(VLOOKUP(LEFT(BO62,7),CLU!$Z$3:$AH$18,4)),GQ62,GS62)</f>
        <v>#N/A</v>
      </c>
      <c r="CP62" s="431" t="e">
        <f t="shared" ca="1" si="146"/>
        <v>#N/A</v>
      </c>
      <c r="CQ62" s="440">
        <f t="shared" si="147"/>
        <v>0</v>
      </c>
      <c r="CR62" s="51" t="e">
        <f t="shared" ca="1" si="148"/>
        <v>#N/A</v>
      </c>
      <c r="CS62" s="439" t="e">
        <f t="shared" ca="1" si="149"/>
        <v>#VALUE!</v>
      </c>
      <c r="CT62" s="51" t="e">
        <f t="shared" ca="1" si="150"/>
        <v>#VALUE!</v>
      </c>
      <c r="CU62" s="10"/>
      <c r="CV62" s="51" t="e">
        <f t="shared" ca="1" si="34"/>
        <v>#VALUE!</v>
      </c>
      <c r="CW62" s="51">
        <f t="shared" si="151"/>
        <v>0</v>
      </c>
      <c r="CX62" s="439" t="e">
        <f t="shared" ca="1" si="152"/>
        <v>#VALUE!</v>
      </c>
      <c r="CY62" s="51" t="e">
        <f t="shared" ca="1" si="153"/>
        <v>#VALUE!</v>
      </c>
      <c r="CZ62" s="10"/>
      <c r="DA62" s="51" t="e">
        <f t="shared" ca="1" si="154"/>
        <v>#VALUE!</v>
      </c>
      <c r="DB62" s="347" t="e">
        <f ca="1">INDEX(INDIRECT(VLOOKUP(LEFT(BO62,7),CLU!$Z$3:$AI$18,10)),((M62-2)*(6-COUNTBLANK(GT62:GY62)))+GJ62)*LI62</f>
        <v>#N/A</v>
      </c>
      <c r="DC62" s="347" t="str">
        <f>IF(L62&gt;0,((R62/Worksheet!$I$15)/DB62)^2," ")</f>
        <v xml:space="preserve"> </v>
      </c>
      <c r="DD62" s="602" t="str">
        <f t="shared" si="224"/>
        <v xml:space="preserve"> </v>
      </c>
      <c r="DE62" s="347" t="str">
        <f t="shared" si="35"/>
        <v xml:space="preserve"> </v>
      </c>
      <c r="DF62" s="356" t="e">
        <f ca="1">INDEX(INDIRECT(VLOOKUP(LEFT(BO62,7),CLU!$Z$3:$AH$18,8)),((M62-2)*(6-COUNTBLANK(GT62:GY62)))+GJ62)</f>
        <v>#N/A</v>
      </c>
      <c r="DG62" s="347" t="str">
        <f t="shared" si="36"/>
        <v xml:space="preserve"> </v>
      </c>
      <c r="DH62" s="357" t="str">
        <f t="shared" si="37"/>
        <v xml:space="preserve"> </v>
      </c>
      <c r="DI62" s="355" t="str">
        <f t="shared" si="38"/>
        <v xml:space="preserve"> </v>
      </c>
      <c r="DJ62" s="245" t="e">
        <f ca="1">INDEX(INDIRECT(VLOOKUP(LEFT(BO62,7),CLU!$Z$3:$AH$18,5)),GL62,GK62)</f>
        <v>#N/A</v>
      </c>
      <c r="DK62" s="245" t="e">
        <f ca="1">INDEX(INDIRECT(VLOOKUP(LEFT(BO62,7),CLU!$Z$3:$AH$18,6)),GL62,GK62)</f>
        <v>#N/A</v>
      </c>
      <c r="DL62" s="355">
        <f>(Calculation!R62*0.69143*(Calculation!$BQ$8-Calculation!$F$8))*$S$14</f>
        <v>0</v>
      </c>
      <c r="DM62" s="359" t="e">
        <f t="shared" si="160"/>
        <v>#VALUE!</v>
      </c>
      <c r="DN62" s="611">
        <f t="shared" si="161"/>
        <v>0</v>
      </c>
      <c r="DO62" s="359">
        <f t="shared" si="162"/>
        <v>100</v>
      </c>
      <c r="DP62" s="359">
        <f t="shared" si="163"/>
        <v>0</v>
      </c>
      <c r="DQ62" s="360"/>
      <c r="DR62" s="245" t="e">
        <f ca="1">INDEX(INDIRECT(VLOOKUP(LEFT(BO62,7),CLU!$Z$3:$AH$18,7)),M62-1,1)</f>
        <v>#N/A</v>
      </c>
      <c r="DS62" s="245" t="e">
        <f ca="1">INDEX(INDIRECT(VLOOKUP(LEFT(BO62,7),CLU!$Z$3:$AH$18,7)),M62-1,2)</f>
        <v>#N/A</v>
      </c>
      <c r="DT62" s="245" t="e">
        <f ca="1">INDEX(INDIRECT(VLOOKUP(LEFT(BO62,7),CLU!$Z$3:$AH$18,7)),M62-1,3)</f>
        <v>#N/A</v>
      </c>
      <c r="DU62" s="245" t="e">
        <f ca="1">INDEX(INDIRECT(VLOOKUP(LEFT(BO62,7),CLU!$Z$3:$AH$18,7)),M62-1,4)</f>
        <v>#N/A</v>
      </c>
      <c r="DV62" s="361" t="e">
        <f ca="1">INDEX(INDIRECT(VLOOKUP(LEFT(BO62,7),CLU!$Z$3:$AH$18,7)),M62-1,4+LEFT(DZ62,1)*0.5)</f>
        <v>#N/A</v>
      </c>
      <c r="DW62" s="245" t="e">
        <f ca="1">INDEX(INDIRECT(VLOOKUP(LEFT(BO62,7),CLU!$Z$3:$AH$18,7)),M62-1,8)</f>
        <v>#N/A</v>
      </c>
      <c r="DX62" s="361" t="str">
        <f t="shared" si="39"/>
        <v xml:space="preserve"> </v>
      </c>
      <c r="DY62" s="361" t="str">
        <f t="shared" si="40"/>
        <v xml:space="preserve"> </v>
      </c>
      <c r="DZ62" s="361" t="str">
        <f t="shared" si="41"/>
        <v xml:space="preserve"> </v>
      </c>
      <c r="EA62" s="362" t="str">
        <f t="shared" si="42"/>
        <v xml:space="preserve"> </v>
      </c>
      <c r="EB62" s="624" t="str">
        <f t="shared" si="168"/>
        <v xml:space="preserve"> </v>
      </c>
      <c r="EC62" s="361" t="e">
        <f ca="1">INDEX(INDIRECT(VLOOKUP(LEFT(BO62,7),CLU!$Z$3:$AH$18,7)),M62-1,4+LEFT(DZ62,1)*0.5)</f>
        <v>#N/A</v>
      </c>
      <c r="ED62" s="362" t="str">
        <f t="shared" si="43"/>
        <v xml:space="preserve"> </v>
      </c>
      <c r="EE62" s="361" t="str">
        <f t="shared" si="44"/>
        <v xml:space="preserve"> </v>
      </c>
      <c r="EF62" s="362" t="str">
        <f>IF(L62&gt;0,IF(BR62&gt;0,IF(EE62="2P",IF(Calculation!DZ62="2P",IF(Calculation!DS62=13.75,IF(Calculation!DR62=13,Worksheet!$BD$43,IF(Calculation!DR62=37,Worksheet!$BD$44,Worksheet!$BD$45)),IF(Calculation!DS62=10,IF(Calculation!DR62=18,Worksheet!$BD$29,IF(Calculation!DR62=30,Worksheet!$BD$30,IF(Calculation!DR62=42,Worksheet!$BD$31,IF(Calculation!DR62=54,Worksheet!$BD$32,IF(Calculation!DR62=66,Worksheet!$BD$33,IF(Calculation!DR62=78,Worksheet!$BD$34,IF(Calculation!DR62=90,Worksheet!$BD$35,IF(Calculation!DR62=102,Worksheet!$BD$36,Worksheet!$BD$37)))))))),IF(Calculation!DS62=12.5,IF(Calculation!DR62=18,Worksheet!$BD$38,IF(Calculation!DR62=Worksheet!$BD$39,IF(Calculation!DR62=42,Worksheet!$BD$40,IF(Calculation!DR62=54,Worksheet!$BD$41,Worksheet!$BD$42)))),IF(Calculation!DR62=18,Worksheet!$BD$11,IF(Calculation!DR62=30,Worksheet!$BD$12,IF(Calculation!DR62=42,Worksheet!$BD$13,IF(Calculation!DR62=54,Worksheet!$BD$14,IF(Calculation!DR62=66,Worksheet!$BD$15,IF(Calculation!DR62=78,Worksheet!$BD$16,IF(Calculation!DR62=90,Worksheet!$BD$17,IF(Calculation!DR62=102,Worksheet!$BD$18,Worksheet!$BD$19))))))))))),IF(Calculation!DS62=13.75,IF(Calculation!DR62=13,Worksheet!$BD$78,IF(Calculation!DR62=37,Worksheet!$BD$79,Worksheet!$BD$80)),IF(Calculation!DS62=10,IF(Calculation!DR62=18,Worksheet!$BD$64,IF(Calculation!DR62=30,Worksheet!$BD$65,IF(Calculation!DR62=42,Worksheet!$BD$66,IF(Calculation!DR62=54,Worksheet!$BD$68,IF(Calculation!DR62=66,Worksheet!$BD$68,IF(Calculation!DR62=78,Worksheet!$BD$69,IF(Calculation!DR62=90,Worksheet!$BD$70,IF(Calculation!DR62=102,Worksheet!$BD$71,Worksheet!$BD$72)))))))),IF(Calculation!DS62=12.5,IF(Calculation!DR62=18,Worksheet!$BD$73,IF(Calculation!DR62=Worksheet!$BD$74,IF(Calculation!DR62=42,Worksheet!$BD$75,IF(Calculation!DR62=54,Worksheet!$BD$76,Worksheet!$BD$77)))),IF(Calculation!DR62=18,Worksheet!$BD$55,IF(Calculation!DR62=30,Worksheet!$BD$56,IF(Calculation!DR62=42,Worksheet!$BD$57,IF(Calculation!DR62=54,Worksheet!$BD$58,IF(Calculation!DR62=66,Worksheet!$BD$59,IF(Calculation!DR62=78,Worksheet!$BD$60,IF(Calculation!DR62=90,Worksheet!$BD$61,IF(Calculation!DR62=102,Worksheet!$BD$62,Worksheet!$BD$63)))))))))))),5),0)," ")</f>
        <v xml:space="preserve"> </v>
      </c>
      <c r="EG62" s="361" t="str">
        <f t="shared" si="45"/>
        <v xml:space="preserve"> </v>
      </c>
      <c r="EH62" s="361" t="e">
        <f ca="1">INDEX(INDIRECT(VLOOKUP(LEFT(BO62,7),CLU!$Z$3:$AH$18,7)),M62-1,3+LEFT(DZ62,1))</f>
        <v>#N/A</v>
      </c>
      <c r="EI62" s="362" t="str">
        <f t="shared" si="46"/>
        <v xml:space="preserve"> </v>
      </c>
      <c r="EJ62" s="363" t="str">
        <f t="shared" si="47"/>
        <v xml:space="preserve"> </v>
      </c>
      <c r="EK62" s="363" t="str">
        <f t="shared" si="48"/>
        <v xml:space="preserve"> </v>
      </c>
      <c r="EL62" s="363" t="str">
        <f t="shared" si="49"/>
        <v xml:space="preserve"> </v>
      </c>
      <c r="EM62" s="362" t="str">
        <f>IF(L62&gt;0,IF(BR62&gt;0,(Calculation!T62/ED62)^2,0)," ")</f>
        <v xml:space="preserve"> </v>
      </c>
      <c r="EN62" s="362" t="str">
        <f>IF(L62&gt;0,IF(O62="2 Pipe (Cooling)","N/A",IF(BR62&gt;0,(Calculation!U62/EI62)^2,0))," ")</f>
        <v xml:space="preserve"> </v>
      </c>
      <c r="EO62" s="361" t="str">
        <f t="shared" si="50"/>
        <v/>
      </c>
      <c r="EP62" s="361" t="str">
        <f t="shared" si="51"/>
        <v/>
      </c>
      <c r="EQ62" s="361" t="str">
        <f t="shared" si="52"/>
        <v/>
      </c>
      <c r="ER62" s="361" t="str">
        <f t="shared" si="53"/>
        <v/>
      </c>
      <c r="ES62" s="361" t="str">
        <f t="shared" si="54"/>
        <v/>
      </c>
      <c r="ET62" s="361" t="str">
        <f t="shared" si="55"/>
        <v/>
      </c>
      <c r="EU62" s="361" t="str">
        <f t="shared" si="56"/>
        <v/>
      </c>
      <c r="EV62" s="361" t="str">
        <f t="shared" si="57"/>
        <v/>
      </c>
      <c r="EW62" s="361" t="str">
        <f t="shared" si="58"/>
        <v/>
      </c>
      <c r="EX62" s="361" t="str">
        <f t="shared" si="169"/>
        <v>1 slot, 1 way</v>
      </c>
      <c r="EY62" s="361" t="str">
        <f t="shared" si="170"/>
        <v xml:space="preserve"> </v>
      </c>
      <c r="EZ62" s="361" t="str">
        <f t="shared" si="171"/>
        <v xml:space="preserve"> </v>
      </c>
      <c r="FA62" s="361" t="str">
        <f t="shared" si="172"/>
        <v xml:space="preserve"> </v>
      </c>
      <c r="FB62" s="361" t="str">
        <f t="shared" si="173"/>
        <v xml:space="preserve"> </v>
      </c>
      <c r="FC62" s="361"/>
      <c r="FD62" s="361" t="str">
        <f>IF(J62&gt;0,IF(Calculation!R62&lt;=70,4,IF(Calculation!R62&lt;=110,5,IF(Calculation!R62&lt;=160,6,IF(Calculation!R62&lt;=300,8,"10 EO")))),"")</f>
        <v/>
      </c>
      <c r="FE62" s="361" t="str">
        <f t="shared" si="174"/>
        <v/>
      </c>
      <c r="FF62" s="361" t="str">
        <f t="shared" si="175"/>
        <v/>
      </c>
      <c r="FG62" s="361" t="e">
        <f t="shared" si="60"/>
        <v>#N/A</v>
      </c>
      <c r="FH62" s="361">
        <f t="shared" si="61"/>
        <v>0</v>
      </c>
      <c r="FI62" s="361" t="e">
        <f t="shared" si="62"/>
        <v>#DIV/0!</v>
      </c>
      <c r="FJ62" s="361"/>
      <c r="FK62" s="356" t="e">
        <f t="shared" si="63"/>
        <v>#VALUE!</v>
      </c>
      <c r="FL62" s="361"/>
      <c r="FM62" s="361"/>
      <c r="FN62" s="362" t="str">
        <f t="shared" si="176"/>
        <v xml:space="preserve"> </v>
      </c>
      <c r="FO62" s="362" t="str">
        <f t="shared" si="177"/>
        <v xml:space="preserve"> </v>
      </c>
      <c r="FP62" s="362">
        <f t="shared" si="178"/>
        <v>0</v>
      </c>
      <c r="FQ62" s="361">
        <f t="shared" si="64"/>
        <v>0</v>
      </c>
      <c r="FR62" s="362" t="str">
        <f>IF(L62&gt;0,IF(J62="CBAL2",Worksheet!$P$67,IF(J62="CBE2-24",Worksheet!$Q$67,IF(J62="CBAM",Worksheet!$R$67,IF(J62="CBLV",Worksheet!$S$67,IF(J62="CBAB",Worksheet!$U$67,IF(J62="CBAW",Worksheet!$X$67,IF(J62="CBE2-12",Worksheet!$Y$67,IF(J62="CBAL2",Worksheet!$Z$67,"N/A"))))))))," ")</f>
        <v xml:space="preserve"> </v>
      </c>
      <c r="FS62" s="362" t="str">
        <f>IF(L62&gt;0,IF(J62="CBAL2",Worksheet!$P$68,IF(J62="CBE2-24",Worksheet!$Q$68,IF(J62="CBAM",Worksheet!$R$68,IF(J62="CBLV",Worksheet!$S$68,IF(J62="CBAB",Worksheet!$U$68,IF(J62="CBAW",Worksheet!$X$68,IF(J62="CBE2-12",Worksheet!$Y$68,IF(J62="CBAL2",Worksheet!$Z$68,"N/A"))))))))," ")</f>
        <v xml:space="preserve"> </v>
      </c>
      <c r="FT62" s="362" t="str">
        <f>IF(L62&gt;0,IF(J62="CBAL2",Worksheet!$P$69,IF(J62="CBE2-24",Worksheet!$Q$69,IF(J62="CBAM",Worksheet!$R$69,IF(J62="CBLV",Worksheet!$S$69,IF(J62="CBAB",Worksheet!$U$69,IF(J62="CBAW",Worksheet!$X$69,IF(J62="CBE2-12",Worksheet!$Y$69,IF(J62="CBAL2",Worksheet!$Z$69,"N/A"))))))))," ")</f>
        <v xml:space="preserve"> </v>
      </c>
      <c r="FU62" s="361" t="str">
        <f t="shared" si="179"/>
        <v xml:space="preserve"> </v>
      </c>
      <c r="FV62" s="362" t="str">
        <f t="shared" si="180"/>
        <v xml:space="preserve"> </v>
      </c>
      <c r="FW62" s="362" t="str">
        <f t="shared" si="181"/>
        <v xml:space="preserve"> </v>
      </c>
      <c r="FX62" s="362" t="str">
        <f t="shared" si="182"/>
        <v xml:space="preserve"> </v>
      </c>
      <c r="FY62" s="355" t="str">
        <f t="shared" si="183"/>
        <v xml:space="preserve"> </v>
      </c>
      <c r="FZ62" s="361" t="str">
        <f t="shared" si="184"/>
        <v xml:space="preserve"> </v>
      </c>
      <c r="GA62" s="347" t="str">
        <f t="shared" si="185"/>
        <v xml:space="preserve"> </v>
      </c>
      <c r="GB62" s="355" t="str">
        <f t="shared" si="186"/>
        <v xml:space="preserve"> </v>
      </c>
      <c r="GC62" s="328" t="str">
        <f t="shared" si="187"/>
        <v xml:space="preserve"> </v>
      </c>
      <c r="GD62" s="361" t="str">
        <f t="shared" si="188"/>
        <v xml:space="preserve"> </v>
      </c>
      <c r="GE62" s="347" t="str">
        <f t="shared" si="189"/>
        <v xml:space="preserve"> </v>
      </c>
      <c r="GF62" s="361" t="str">
        <f t="shared" si="190"/>
        <v xml:space="preserve"> </v>
      </c>
      <c r="GG62" s="347" t="str">
        <f t="shared" si="191"/>
        <v xml:space="preserve"> </v>
      </c>
      <c r="GH62" s="364">
        <f t="shared" si="78"/>
        <v>0</v>
      </c>
      <c r="GI62" s="362">
        <f t="shared" si="192"/>
        <v>2</v>
      </c>
      <c r="GJ62" s="433" t="e">
        <f>IF(6-COUNTBLANK(GT62:GY62)=4,MATCH(MID(BO62,9,3),CLU!$H$16:$K$16),MATCH(MID(BO62,9,3),CLU!$H$13:$M$13))</f>
        <v>#N/A</v>
      </c>
      <c r="GK62" s="433" t="e">
        <f>HLOOKUP(VALUE(BP62),CLU!$H$9:$M$10,2)</f>
        <v>#VALUE!</v>
      </c>
      <c r="GL62" s="433" t="e">
        <f ca="1">MATCH(BU62,CLU!$H$2:$V$2,1)</f>
        <v>#VALUE!</v>
      </c>
      <c r="GM62" s="433" t="e">
        <f t="shared" ca="1" si="193"/>
        <v>#VALUE!</v>
      </c>
      <c r="GN62" s="433" t="e">
        <f t="shared" ca="1" si="194"/>
        <v>#VALUE!</v>
      </c>
      <c r="GO62" s="433" t="e">
        <f t="shared" ca="1" si="195"/>
        <v>#VALUE!</v>
      </c>
      <c r="GP62" s="433" t="e">
        <f t="shared" ca="1" si="196"/>
        <v>#VALUE!</v>
      </c>
      <c r="GQ62" s="433" t="e">
        <f t="shared" ca="1" si="197"/>
        <v>#VALUE!</v>
      </c>
      <c r="GR62" s="433" t="e">
        <f ca="1">MATCH(T62,INDIRECT(VLOOKUP(CONCATENATE(LEFT(BO62,7),"-",MID(BO62,13,1)),CLU!$P$3:$Q$16,2)),1)</f>
        <v>#N/A</v>
      </c>
      <c r="GS62" s="433" t="e">
        <f ca="1">MATCH(U62,INDIRECT(VLOOKUP(CONCATENATE(LEFT(BO62,7),"-",MID(BO62,13,1)),CLU!$P$3:$Q$16,2)),1)</f>
        <v>#N/A</v>
      </c>
      <c r="GT62" s="347" t="s">
        <v>512</v>
      </c>
      <c r="GU62" s="97" t="s">
        <v>513</v>
      </c>
      <c r="GV62" s="97" t="str">
        <f t="shared" si="198"/>
        <v>M23</v>
      </c>
      <c r="GW62" s="97" t="str">
        <f t="shared" si="199"/>
        <v>M31</v>
      </c>
      <c r="GX62" s="97" t="str">
        <f t="shared" si="200"/>
        <v/>
      </c>
      <c r="GY62" s="97" t="str">
        <f t="shared" si="201"/>
        <v/>
      </c>
      <c r="GZ62" s="481"/>
      <c r="HA62" s="288"/>
      <c r="HB62" s="240"/>
      <c r="HC62" s="240"/>
      <c r="HD62" s="240"/>
      <c r="HE62" s="240"/>
      <c r="HF62" s="240"/>
      <c r="HG62" s="240"/>
      <c r="HH62" s="240"/>
      <c r="HI62" s="240"/>
      <c r="HJ62" s="240"/>
      <c r="HK62" s="240"/>
      <c r="HL62" s="240"/>
      <c r="HM62" s="240"/>
      <c r="HN62" s="240"/>
      <c r="HO62" s="240"/>
      <c r="HP62" s="240"/>
      <c r="HQ62" s="240"/>
      <c r="HR62" s="240"/>
      <c r="HS62" s="240"/>
      <c r="HT62" s="240"/>
      <c r="HU62" s="240"/>
      <c r="HV62" s="245"/>
      <c r="HW62" s="245" t="b">
        <v>1</v>
      </c>
      <c r="HX62" s="245" t="str">
        <f t="shared" si="79"/>
        <v/>
      </c>
      <c r="HY62" s="245" t="e">
        <f t="shared" si="80"/>
        <v>#DIV/0!</v>
      </c>
      <c r="HZ62" s="245" t="e">
        <f t="shared" si="81"/>
        <v>#DIV/0!</v>
      </c>
      <c r="IA62" s="245">
        <f t="shared" si="82"/>
        <v>0</v>
      </c>
      <c r="IB62" s="245"/>
      <c r="IC62" t="b">
        <f t="shared" si="83"/>
        <v>1</v>
      </c>
      <c r="ID62" s="245" t="b">
        <f t="shared" si="84"/>
        <v>1</v>
      </c>
      <c r="IE62" s="245" t="b">
        <f t="shared" si="85"/>
        <v>1</v>
      </c>
      <c r="IF62" s="245" t="b">
        <f t="shared" si="86"/>
        <v>0</v>
      </c>
      <c r="IG62" s="245" t="b">
        <f t="shared" si="87"/>
        <v>1</v>
      </c>
      <c r="IH62" s="245" t="b">
        <f t="shared" si="88"/>
        <v>1</v>
      </c>
      <c r="II62" s="245">
        <f t="shared" si="202"/>
        <v>0</v>
      </c>
      <c r="IJ62" s="245" t="e">
        <f t="shared" si="89"/>
        <v>#VALUE!</v>
      </c>
      <c r="IK62" s="245" t="e">
        <f t="shared" si="90"/>
        <v>#VALUE!</v>
      </c>
      <c r="IL62" s="245"/>
      <c r="IM62" s="245" t="e">
        <f t="shared" si="203"/>
        <v>#N/A</v>
      </c>
      <c r="IN62" s="245" t="e">
        <f t="shared" si="204"/>
        <v>#N/A</v>
      </c>
      <c r="IO62" s="245"/>
      <c r="IP62" s="245"/>
      <c r="IQ62" s="245" t="str">
        <f t="shared" si="91"/>
        <v/>
      </c>
      <c r="IR62" s="245" t="str">
        <f>IF(J62="","",VLOOKUP(J62,Worksheet!$R$4:$T$14,2))</f>
        <v/>
      </c>
      <c r="IS62" s="245"/>
      <c r="IT62" s="245">
        <f t="shared" si="92"/>
        <v>0</v>
      </c>
      <c r="IU62" s="245">
        <f t="shared" si="93"/>
        <v>0</v>
      </c>
      <c r="IV62" s="245">
        <f t="shared" si="94"/>
        <v>0</v>
      </c>
      <c r="IW62" s="245">
        <f t="shared" si="95"/>
        <v>0</v>
      </c>
      <c r="IX62" s="245">
        <f t="shared" si="205"/>
        <v>0</v>
      </c>
      <c r="IY62" s="245">
        <f t="shared" si="96"/>
        <v>0</v>
      </c>
      <c r="IZ62" s="245">
        <f t="shared" si="97"/>
        <v>0</v>
      </c>
      <c r="JA62">
        <f t="shared" si="98"/>
        <v>0</v>
      </c>
      <c r="JB62">
        <f t="shared" si="206"/>
        <v>0</v>
      </c>
      <c r="JC62">
        <f t="shared" si="99"/>
        <v>0</v>
      </c>
      <c r="JD62">
        <f t="shared" si="100"/>
        <v>0</v>
      </c>
      <c r="JE62">
        <f t="shared" si="101"/>
        <v>0</v>
      </c>
      <c r="JF62">
        <f t="shared" si="102"/>
        <v>0</v>
      </c>
      <c r="JG62">
        <f t="shared" si="103"/>
        <v>0</v>
      </c>
      <c r="JH62">
        <f t="shared" si="104"/>
        <v>0</v>
      </c>
      <c r="JI62">
        <f t="shared" si="105"/>
        <v>0</v>
      </c>
      <c r="JJ62" s="447">
        <f t="shared" si="106"/>
        <v>0</v>
      </c>
      <c r="JK62" s="447">
        <f t="shared" si="107"/>
        <v>0</v>
      </c>
      <c r="JL62">
        <f t="shared" si="108"/>
        <v>0</v>
      </c>
      <c r="JM62" s="245" t="str">
        <f>IFERROR(VLOOKUP(MATCH(BN62,#REF!,0),#REF!,7),"")</f>
        <v/>
      </c>
      <c r="JN62" t="e">
        <f>HLOOKUP(LEFT(BO62,7),Discharge_Area,MATCH(JO62,LookUps!$B$130:$B$149,1)+2)</f>
        <v>#N/A</v>
      </c>
      <c r="JO62" t="str">
        <f t="shared" si="109"/>
        <v>- S</v>
      </c>
      <c r="JP62" t="e">
        <f>HLOOKUP(LEFT(BO62,7),Discharge_Area,MATCH(JO62,LookUps!$B$130:$B$149,1)+2)</f>
        <v>#N/A</v>
      </c>
      <c r="JQ62" t="e">
        <f t="shared" si="110"/>
        <v>#N/A</v>
      </c>
      <c r="JR62" t="e">
        <f t="shared" si="111"/>
        <v>#N/A</v>
      </c>
      <c r="JS62" t="e">
        <f t="shared" si="112"/>
        <v>#N/A</v>
      </c>
      <c r="JT62" s="532" t="str">
        <f t="shared" si="113"/>
        <v xml:space="preserve"> </v>
      </c>
      <c r="JU62" s="532" t="str">
        <f t="shared" si="114"/>
        <v xml:space="preserve"> </v>
      </c>
      <c r="JV62" s="533" t="str">
        <f t="shared" si="115"/>
        <v xml:space="preserve"> </v>
      </c>
      <c r="JW62" s="534">
        <f t="shared" si="116"/>
        <v>0</v>
      </c>
      <c r="JX62" s="535" t="str">
        <f t="shared" si="207"/>
        <v xml:space="preserve"> </v>
      </c>
      <c r="JY62" s="535" t="str">
        <f t="shared" si="208"/>
        <v xml:space="preserve"> </v>
      </c>
      <c r="JZ62" s="535" t="str">
        <f t="shared" si="209"/>
        <v xml:space="preserve"> </v>
      </c>
      <c r="KA62" s="536" t="str">
        <f t="shared" si="117"/>
        <v xml:space="preserve"> </v>
      </c>
      <c r="KB62" s="535" t="e">
        <f t="shared" si="210"/>
        <v>#VALUE!</v>
      </c>
      <c r="KC62" s="535" t="str">
        <f t="shared" si="118"/>
        <v/>
      </c>
      <c r="KD62" s="537" t="str">
        <f t="shared" si="211"/>
        <v xml:space="preserve"> </v>
      </c>
      <c r="KE62" s="537" t="str">
        <f t="shared" si="212"/>
        <v xml:space="preserve"> </v>
      </c>
      <c r="KF62" s="534">
        <f t="shared" si="119"/>
        <v>0</v>
      </c>
      <c r="KG62" s="535" t="str">
        <f t="shared" si="120"/>
        <v xml:space="preserve"> </v>
      </c>
      <c r="KH62" s="535" t="str">
        <f t="shared" si="121"/>
        <v xml:space="preserve"> </v>
      </c>
      <c r="KI62" s="535" t="str">
        <f t="shared" si="122"/>
        <v xml:space="preserve"> </v>
      </c>
      <c r="KJ62" s="536" t="str">
        <f t="shared" si="123"/>
        <v xml:space="preserve"> </v>
      </c>
      <c r="KK62" s="535" t="str">
        <f t="shared" si="213"/>
        <v xml:space="preserve"> </v>
      </c>
      <c r="KL62" s="535" t="str">
        <f t="shared" si="214"/>
        <v xml:space="preserve"> </v>
      </c>
      <c r="KM62" s="537" t="str">
        <f t="shared" si="124"/>
        <v xml:space="preserve"> </v>
      </c>
      <c r="KN62" s="537" t="str">
        <f t="shared" si="215"/>
        <v xml:space="preserve"> </v>
      </c>
      <c r="KP62">
        <f t="shared" si="125"/>
        <v>0</v>
      </c>
      <c r="LA62" t="e">
        <f t="shared" si="126"/>
        <v>#VALUE!</v>
      </c>
      <c r="LB62" t="e">
        <f t="shared" si="127"/>
        <v>#VALUE!</v>
      </c>
      <c r="LC62" t="e">
        <f t="shared" si="128"/>
        <v>#VALUE!</v>
      </c>
      <c r="LD62" t="e">
        <f t="shared" si="129"/>
        <v>#VALUE!</v>
      </c>
      <c r="LE62" t="e">
        <f t="shared" si="216"/>
        <v>#VALUE!</v>
      </c>
      <c r="LF62">
        <f t="shared" si="130"/>
        <v>0</v>
      </c>
      <c r="LG62" t="e">
        <f t="shared" si="217"/>
        <v>#VALUE!</v>
      </c>
      <c r="LH62" t="str">
        <f t="shared" si="131"/>
        <v xml:space="preserve"> </v>
      </c>
      <c r="LI62">
        <f t="shared" si="218"/>
        <v>1</v>
      </c>
    </row>
    <row r="63" spans="2:321" ht="15" customHeight="1">
      <c r="B63" s="311"/>
      <c r="C63" s="311"/>
      <c r="D63" s="312"/>
      <c r="E63" s="311"/>
      <c r="F63" s="312"/>
      <c r="G63" s="311"/>
      <c r="H63" s="311"/>
      <c r="I63" s="37"/>
      <c r="J63" s="311"/>
      <c r="K63" s="305" t="str">
        <f t="shared" si="132"/>
        <v/>
      </c>
      <c r="L63" s="313"/>
      <c r="M63" s="312"/>
      <c r="N63" s="311"/>
      <c r="O63" s="312"/>
      <c r="P63" s="311"/>
      <c r="Q63" s="305" t="str">
        <f t="shared" si="133"/>
        <v/>
      </c>
      <c r="R63" s="314"/>
      <c r="S63" s="450" t="str">
        <f t="shared" si="0"/>
        <v/>
      </c>
      <c r="T63" s="315"/>
      <c r="U63" s="315"/>
      <c r="W63" s="149" t="str">
        <f t="shared" si="1"/>
        <v xml:space="preserve"> </v>
      </c>
      <c r="X63" s="243" t="str">
        <f t="shared" si="2"/>
        <v xml:space="preserve"> </v>
      </c>
      <c r="Y63" s="150" t="str">
        <f t="shared" si="3"/>
        <v/>
      </c>
      <c r="Z63" s="149" t="str">
        <f t="shared" si="4"/>
        <v xml:space="preserve"> </v>
      </c>
      <c r="AA63" s="98" t="str">
        <f t="shared" si="5"/>
        <v xml:space="preserve"> </v>
      </c>
      <c r="AB63" s="153" t="str">
        <f t="shared" si="6"/>
        <v xml:space="preserve"> </v>
      </c>
      <c r="AC63" s="153" t="str">
        <f t="shared" si="7"/>
        <v xml:space="preserve"> </v>
      </c>
      <c r="AD63" s="148" t="str">
        <f t="shared" si="8"/>
        <v/>
      </c>
      <c r="AE63" s="149" t="str">
        <f t="shared" si="9"/>
        <v/>
      </c>
      <c r="AF63" s="151" t="str">
        <f t="shared" si="10"/>
        <v xml:space="preserve"> </v>
      </c>
      <c r="AG63" s="153" t="str">
        <f t="shared" si="11"/>
        <v xml:space="preserve"> </v>
      </c>
      <c r="AH63" s="98" t="str">
        <f t="shared" si="12"/>
        <v xml:space="preserve"> </v>
      </c>
      <c r="AI63" s="149" t="str">
        <f t="shared" si="13"/>
        <v xml:space="preserve"> </v>
      </c>
      <c r="AK63" s="144" t="str">
        <f t="shared" si="14"/>
        <v xml:space="preserve"> </v>
      </c>
      <c r="AL63" s="144"/>
      <c r="AM63" s="243" t="str">
        <f t="shared" si="15"/>
        <v xml:space="preserve"> </v>
      </c>
      <c r="AN63" s="149" t="str">
        <f t="shared" si="134"/>
        <v xml:space="preserve"> </v>
      </c>
      <c r="AO63" s="144" t="str">
        <f>IF(JB63&gt;0,IF(GI63=10,-R63*1.085*(Calculation!$F$6-Calculation!$F$13)*$S$14," "),"")</f>
        <v/>
      </c>
      <c r="AP63" s="144" t="str">
        <f t="shared" si="16"/>
        <v/>
      </c>
      <c r="AQ63" s="56" t="str">
        <f t="shared" si="17"/>
        <v/>
      </c>
      <c r="AR63" s="144" t="str">
        <f t="shared" si="18"/>
        <v/>
      </c>
      <c r="AS63" s="176" t="str">
        <f t="shared" si="19"/>
        <v/>
      </c>
      <c r="AT63" s="176" t="str">
        <f t="shared" si="135"/>
        <v xml:space="preserve"> </v>
      </c>
      <c r="AU63" s="176" t="str">
        <f t="shared" si="20"/>
        <v/>
      </c>
      <c r="AV63" s="177" t="str">
        <f t="shared" si="21"/>
        <v xml:space="preserve"> </v>
      </c>
      <c r="AW63" s="144" t="str">
        <f t="shared" si="22"/>
        <v xml:space="preserve"> </v>
      </c>
      <c r="AX63" s="144" t="str">
        <f t="shared" si="23"/>
        <v xml:space="preserve"> </v>
      </c>
      <c r="AY63" s="152" t="str">
        <f t="shared" si="24"/>
        <v xml:space="preserve"> </v>
      </c>
      <c r="AZ63" s="246" t="str">
        <f t="shared" si="25"/>
        <v/>
      </c>
      <c r="BA63" s="176" t="str">
        <f t="shared" si="26"/>
        <v xml:space="preserve"> </v>
      </c>
      <c r="BB63" s="176" t="str">
        <f t="shared" si="27"/>
        <v xml:space="preserve"> </v>
      </c>
      <c r="BC63" s="195"/>
      <c r="BD63" s="316"/>
      <c r="BE63" s="317"/>
      <c r="BF63" s="318"/>
      <c r="BG63" s="318"/>
      <c r="BH63" s="144" t="str">
        <f t="shared" si="219"/>
        <v xml:space="preserve"> </v>
      </c>
      <c r="BI63" s="176" t="str">
        <f t="shared" si="28"/>
        <v/>
      </c>
      <c r="BJ63" s="144" t="str">
        <f t="shared" si="220"/>
        <v/>
      </c>
      <c r="BK63" s="246" t="str">
        <f t="shared" si="29"/>
        <v/>
      </c>
      <c r="BL63" s="144" t="str">
        <f t="shared" si="221"/>
        <v/>
      </c>
      <c r="BM63" s="246" t="str">
        <f t="shared" si="30"/>
        <v/>
      </c>
      <c r="BN63" s="337" t="str">
        <f t="shared" si="136"/>
        <v/>
      </c>
      <c r="BO63" s="371" t="str">
        <f t="shared" si="137"/>
        <v/>
      </c>
      <c r="BP63" s="328" t="str">
        <f t="shared" si="222"/>
        <v xml:space="preserve"> </v>
      </c>
      <c r="BQ63" s="347" t="str">
        <f t="shared" si="138"/>
        <v xml:space="preserve"> </v>
      </c>
      <c r="BR63" s="353" t="str">
        <f t="shared" si="223"/>
        <v xml:space="preserve"> </v>
      </c>
      <c r="BS63" s="626" t="str">
        <f>IF(L63&gt;0,IF(Calculation!P63="M13",BR63*3.1416*(0.134^2)/(4*144),IF(Calculation!P63="M17",BR63*3.1416*(0.165^2)/(4*144),IF(Calculation!P63="M20",BR63*3.1416*(0.198^2)/(4*144),IF(Calculation!P63="M23",BR63*3.1416*(0.228^2)/(4*144),IF(Calculation!P63="M27",BR63*3.1416*(0.269^2)/(4*144),BR63*3.1416*(0.307^2)/(4*144))))))," ")</f>
        <v xml:space="preserve"> </v>
      </c>
      <c r="BT63" s="353" t="str">
        <f>IF(L63&gt;0,IF(BS63&gt;0,R63/Calculation!BS63,0)," ")</f>
        <v xml:space="preserve"> </v>
      </c>
      <c r="BU63" s="438" t="e">
        <f t="shared" ca="1" si="31"/>
        <v>#VALUE!</v>
      </c>
      <c r="BV63" s="449" t="e">
        <f ca="1">INDEX(INDIRECT(VLOOKUP(LEFT(BO63,7),CLU!$Z$3:$AH$18,2)),GN63,GR63)</f>
        <v>#N/A</v>
      </c>
      <c r="BW63" s="433" t="e">
        <f ca="1">INDEX(INDIRECT(VLOOKUP(LEFT(BO63,7),CLU!$Z$3:$AH$18,3)),GN63,GR63)</f>
        <v>#N/A</v>
      </c>
      <c r="BX63" s="433" t="e">
        <f ca="1">INDEX(INDIRECT(VLOOKUP(LEFT(BO63,7),CLU!$Z$3:$AH$18,4)),GN63,GR63)</f>
        <v>#N/A</v>
      </c>
      <c r="BY63" s="433" t="e">
        <f ca="1">INDEX(INDIRECT(VLOOKUP(LEFT(BO63,7),CLU!$Z$3:$AH$18,9)),((M63-2)*(6-COUNTBLANK(GT63:GY63)))+GJ63)</f>
        <v>#N/A</v>
      </c>
      <c r="BZ63" s="426" t="e">
        <f t="shared" ca="1" si="139"/>
        <v>#N/A</v>
      </c>
      <c r="CA63" s="424" t="e">
        <f t="shared" ca="1" si="140"/>
        <v>#N/A</v>
      </c>
      <c r="CB63" s="429" t="e">
        <f ca="1">INDEX(INDIRECT(VLOOKUP(LEFT(BO63,7),CLU!$Z$3:$AH$18,2)),GN63,GS63)</f>
        <v>#N/A</v>
      </c>
      <c r="CC63" s="342" t="e">
        <f ca="1">INDEX(INDIRECT(VLOOKUP(LEFT(BO63,7),CLU!$Z$3:$AH$18,3)),GN63,GS63)</f>
        <v>#N/A</v>
      </c>
      <c r="CD63" s="342" t="e">
        <f ca="1">INDEX(INDIRECT(VLOOKUP(LEFT(BO63,7),CLU!$Z$3:$AH$18,4)),GN63,GS63)</f>
        <v>#N/A</v>
      </c>
      <c r="CE63" s="426" t="e">
        <f t="shared" ca="1" si="141"/>
        <v>#N/A</v>
      </c>
      <c r="CF63" s="440">
        <f t="shared" si="142"/>
        <v>0</v>
      </c>
      <c r="CG63" s="431" t="e">
        <f ca="1">INDEX(INDIRECT(VLOOKUP(LEFT(BO63,7),CLU!$Z$3:$AH$18,2)),GQ63,GR63)</f>
        <v>#N/A</v>
      </c>
      <c r="CH63" s="431" t="e">
        <f ca="1">INDEX(INDIRECT(VLOOKUP(LEFT(BO63,7),CLU!$Z$3:$AH$18,3)),GQ63,GR63)</f>
        <v>#N/A</v>
      </c>
      <c r="CI63" s="431" t="e">
        <f ca="1">INDEX(INDIRECT(VLOOKUP(LEFT(BO63,7),CLU!$Z$3:$AH$18,4)),GQ63,GR63)</f>
        <v>#N/A</v>
      </c>
      <c r="CJ63" s="448" t="e">
        <f t="shared" ca="1" si="143"/>
        <v>#N/A</v>
      </c>
      <c r="CK63" s="431" t="e">
        <f t="shared" ca="1" si="144"/>
        <v>#N/A</v>
      </c>
      <c r="CL63" s="440" t="e">
        <f t="shared" ca="1" si="145"/>
        <v>#N/A</v>
      </c>
      <c r="CM63" s="431" t="e">
        <f ca="1">INDEX(INDIRECT(VLOOKUP(LEFT(BO63,7),CLU!$Z$3:$AH$18,2)),GQ63,GS63)</f>
        <v>#N/A</v>
      </c>
      <c r="CN63" s="431" t="e">
        <f ca="1">INDEX(INDIRECT(VLOOKUP(LEFT(BO63,7),CLU!$Z$3:$AH$18,3)),GQ63,GS63)</f>
        <v>#N/A</v>
      </c>
      <c r="CO63" s="431" t="e">
        <f ca="1">INDEX(INDIRECT(VLOOKUP(LEFT(BO63,7),CLU!$Z$3:$AH$18,4)),GQ63,GS63)</f>
        <v>#N/A</v>
      </c>
      <c r="CP63" s="431" t="e">
        <f t="shared" ca="1" si="146"/>
        <v>#N/A</v>
      </c>
      <c r="CQ63" s="440">
        <f t="shared" si="147"/>
        <v>0</v>
      </c>
      <c r="CR63" s="51" t="e">
        <f t="shared" ca="1" si="148"/>
        <v>#N/A</v>
      </c>
      <c r="CS63" s="439" t="e">
        <f t="shared" ca="1" si="149"/>
        <v>#VALUE!</v>
      </c>
      <c r="CT63" s="51" t="e">
        <f t="shared" ca="1" si="150"/>
        <v>#VALUE!</v>
      </c>
      <c r="CU63" s="10"/>
      <c r="CV63" s="51" t="e">
        <f t="shared" ca="1" si="34"/>
        <v>#VALUE!</v>
      </c>
      <c r="CW63" s="51">
        <f t="shared" si="151"/>
        <v>0</v>
      </c>
      <c r="CX63" s="439" t="e">
        <f t="shared" ca="1" si="152"/>
        <v>#VALUE!</v>
      </c>
      <c r="CY63" s="51" t="e">
        <f t="shared" ca="1" si="153"/>
        <v>#VALUE!</v>
      </c>
      <c r="CZ63" s="10"/>
      <c r="DA63" s="51" t="e">
        <f t="shared" ca="1" si="154"/>
        <v>#VALUE!</v>
      </c>
      <c r="DB63" s="347" t="e">
        <f ca="1">INDEX(INDIRECT(VLOOKUP(LEFT(BO63,7),CLU!$Z$3:$AI$18,10)),((M63-2)*(6-COUNTBLANK(GT63:GY63)))+GJ63)*LI63</f>
        <v>#N/A</v>
      </c>
      <c r="DC63" s="347" t="str">
        <f>IF(L63&gt;0,((R63/Worksheet!$I$15)/DB63)^2," ")</f>
        <v xml:space="preserve"> </v>
      </c>
      <c r="DD63" s="602" t="str">
        <f t="shared" si="224"/>
        <v xml:space="preserve"> </v>
      </c>
      <c r="DE63" s="347" t="str">
        <f t="shared" si="35"/>
        <v xml:space="preserve"> </v>
      </c>
      <c r="DF63" s="356" t="e">
        <f ca="1">INDEX(INDIRECT(VLOOKUP(LEFT(BO63,7),CLU!$Z$3:$AH$18,8)),((M63-2)*(6-COUNTBLANK(GT63:GY63)))+GJ63)</f>
        <v>#N/A</v>
      </c>
      <c r="DG63" s="347" t="str">
        <f t="shared" si="36"/>
        <v xml:space="preserve"> </v>
      </c>
      <c r="DH63" s="357" t="str">
        <f t="shared" si="37"/>
        <v xml:space="preserve"> </v>
      </c>
      <c r="DI63" s="355" t="str">
        <f t="shared" si="38"/>
        <v xml:space="preserve"> </v>
      </c>
      <c r="DJ63" s="245" t="e">
        <f ca="1">INDEX(INDIRECT(VLOOKUP(LEFT(BO63,7),CLU!$Z$3:$AH$18,5)),GL63,GK63)</f>
        <v>#N/A</v>
      </c>
      <c r="DK63" s="245" t="e">
        <f ca="1">INDEX(INDIRECT(VLOOKUP(LEFT(BO63,7),CLU!$Z$3:$AH$18,6)),GL63,GK63)</f>
        <v>#N/A</v>
      </c>
      <c r="DL63" s="355">
        <f>(Calculation!R63*0.69143*(Calculation!$BQ$8-Calculation!$F$8))*$S$14</f>
        <v>0</v>
      </c>
      <c r="DM63" s="359" t="e">
        <f t="shared" si="160"/>
        <v>#VALUE!</v>
      </c>
      <c r="DN63" s="611">
        <f t="shared" si="161"/>
        <v>0</v>
      </c>
      <c r="DO63" s="359">
        <f t="shared" si="162"/>
        <v>100</v>
      </c>
      <c r="DP63" s="359">
        <f t="shared" si="163"/>
        <v>0</v>
      </c>
      <c r="DQ63" s="360"/>
      <c r="DR63" s="245" t="e">
        <f ca="1">INDEX(INDIRECT(VLOOKUP(LEFT(BO63,7),CLU!$Z$3:$AH$18,7)),M63-1,1)</f>
        <v>#N/A</v>
      </c>
      <c r="DS63" s="245" t="e">
        <f ca="1">INDEX(INDIRECT(VLOOKUP(LEFT(BO63,7),CLU!$Z$3:$AH$18,7)),M63-1,2)</f>
        <v>#N/A</v>
      </c>
      <c r="DT63" s="245" t="e">
        <f ca="1">INDEX(INDIRECT(VLOOKUP(LEFT(BO63,7),CLU!$Z$3:$AH$18,7)),M63-1,3)</f>
        <v>#N/A</v>
      </c>
      <c r="DU63" s="245" t="e">
        <f ca="1">INDEX(INDIRECT(VLOOKUP(LEFT(BO63,7),CLU!$Z$3:$AH$18,7)),M63-1,4)</f>
        <v>#N/A</v>
      </c>
      <c r="DV63" s="361" t="e">
        <f ca="1">INDEX(INDIRECT(VLOOKUP(LEFT(BO63,7),CLU!$Z$3:$AH$18,7)),M63-1,4+LEFT(DZ63,1)*0.5)</f>
        <v>#N/A</v>
      </c>
      <c r="DW63" s="245" t="e">
        <f ca="1">INDEX(INDIRECT(VLOOKUP(LEFT(BO63,7),CLU!$Z$3:$AH$18,7)),M63-1,8)</f>
        <v>#N/A</v>
      </c>
      <c r="DX63" s="361" t="str">
        <f t="shared" si="39"/>
        <v xml:space="preserve"> </v>
      </c>
      <c r="DY63" s="361" t="str">
        <f t="shared" si="40"/>
        <v xml:space="preserve"> </v>
      </c>
      <c r="DZ63" s="361" t="str">
        <f t="shared" si="41"/>
        <v xml:space="preserve"> </v>
      </c>
      <c r="EA63" s="362" t="str">
        <f t="shared" si="42"/>
        <v xml:space="preserve"> </v>
      </c>
      <c r="EB63" s="624" t="str">
        <f t="shared" si="168"/>
        <v xml:space="preserve"> </v>
      </c>
      <c r="EC63" s="361" t="e">
        <f ca="1">INDEX(INDIRECT(VLOOKUP(LEFT(BO63,7),CLU!$Z$3:$AH$18,7)),M63-1,4+LEFT(DZ63,1)*0.5)</f>
        <v>#N/A</v>
      </c>
      <c r="ED63" s="362" t="str">
        <f t="shared" si="43"/>
        <v xml:space="preserve"> </v>
      </c>
      <c r="EE63" s="361" t="str">
        <f t="shared" si="44"/>
        <v xml:space="preserve"> </v>
      </c>
      <c r="EF63" s="362" t="str">
        <f>IF(L63&gt;0,IF(BR63&gt;0,IF(EE63="2P",IF(Calculation!DZ63="2P",IF(Calculation!DS63=13.75,IF(Calculation!DR63=13,Worksheet!$BD$43,IF(Calculation!DR63=37,Worksheet!$BD$44,Worksheet!$BD$45)),IF(Calculation!DS63=10,IF(Calculation!DR63=18,Worksheet!$BD$29,IF(Calculation!DR63=30,Worksheet!$BD$30,IF(Calculation!DR63=42,Worksheet!$BD$31,IF(Calculation!DR63=54,Worksheet!$BD$32,IF(Calculation!DR63=66,Worksheet!$BD$33,IF(Calculation!DR63=78,Worksheet!$BD$34,IF(Calculation!DR63=90,Worksheet!$BD$35,IF(Calculation!DR63=102,Worksheet!$BD$36,Worksheet!$BD$37)))))))),IF(Calculation!DS63=12.5,IF(Calculation!DR63=18,Worksheet!$BD$38,IF(Calculation!DR63=Worksheet!$BD$39,IF(Calculation!DR63=42,Worksheet!$BD$40,IF(Calculation!DR63=54,Worksheet!$BD$41,Worksheet!$BD$42)))),IF(Calculation!DR63=18,Worksheet!$BD$11,IF(Calculation!DR63=30,Worksheet!$BD$12,IF(Calculation!DR63=42,Worksheet!$BD$13,IF(Calculation!DR63=54,Worksheet!$BD$14,IF(Calculation!DR63=66,Worksheet!$BD$15,IF(Calculation!DR63=78,Worksheet!$BD$16,IF(Calculation!DR63=90,Worksheet!$BD$17,IF(Calculation!DR63=102,Worksheet!$BD$18,Worksheet!$BD$19))))))))))),IF(Calculation!DS63=13.75,IF(Calculation!DR63=13,Worksheet!$BD$78,IF(Calculation!DR63=37,Worksheet!$BD$79,Worksheet!$BD$80)),IF(Calculation!DS63=10,IF(Calculation!DR63=18,Worksheet!$BD$64,IF(Calculation!DR63=30,Worksheet!$BD$65,IF(Calculation!DR63=42,Worksheet!$BD$66,IF(Calculation!DR63=54,Worksheet!$BD$68,IF(Calculation!DR63=66,Worksheet!$BD$68,IF(Calculation!DR63=78,Worksheet!$BD$69,IF(Calculation!DR63=90,Worksheet!$BD$70,IF(Calculation!DR63=102,Worksheet!$BD$71,Worksheet!$BD$72)))))))),IF(Calculation!DS63=12.5,IF(Calculation!DR63=18,Worksheet!$BD$73,IF(Calculation!DR63=Worksheet!$BD$74,IF(Calculation!DR63=42,Worksheet!$BD$75,IF(Calculation!DR63=54,Worksheet!$BD$76,Worksheet!$BD$77)))),IF(Calculation!DR63=18,Worksheet!$BD$55,IF(Calculation!DR63=30,Worksheet!$BD$56,IF(Calculation!DR63=42,Worksheet!$BD$57,IF(Calculation!DR63=54,Worksheet!$BD$58,IF(Calculation!DR63=66,Worksheet!$BD$59,IF(Calculation!DR63=78,Worksheet!$BD$60,IF(Calculation!DR63=90,Worksheet!$BD$61,IF(Calculation!DR63=102,Worksheet!$BD$62,Worksheet!$BD$63)))))))))))),5),0)," ")</f>
        <v xml:space="preserve"> </v>
      </c>
      <c r="EG63" s="361" t="str">
        <f t="shared" si="45"/>
        <v xml:space="preserve"> </v>
      </c>
      <c r="EH63" s="361" t="e">
        <f ca="1">INDEX(INDIRECT(VLOOKUP(LEFT(BO63,7),CLU!$Z$3:$AH$18,7)),M63-1,3+LEFT(DZ63,1))</f>
        <v>#N/A</v>
      </c>
      <c r="EI63" s="362" t="str">
        <f t="shared" si="46"/>
        <v xml:space="preserve"> </v>
      </c>
      <c r="EJ63" s="363" t="str">
        <f t="shared" si="47"/>
        <v xml:space="preserve"> </v>
      </c>
      <c r="EK63" s="363" t="str">
        <f t="shared" si="48"/>
        <v xml:space="preserve"> </v>
      </c>
      <c r="EL63" s="363" t="str">
        <f t="shared" si="49"/>
        <v xml:space="preserve"> </v>
      </c>
      <c r="EM63" s="362" t="str">
        <f>IF(L63&gt;0,IF(BR63&gt;0,(Calculation!T63/ED63)^2,0)," ")</f>
        <v xml:space="preserve"> </v>
      </c>
      <c r="EN63" s="362" t="str">
        <f>IF(L63&gt;0,IF(O63="2 Pipe (Cooling)","N/A",IF(BR63&gt;0,(Calculation!U63/EI63)^2,0))," ")</f>
        <v xml:space="preserve"> </v>
      </c>
      <c r="EO63" s="361" t="str">
        <f t="shared" si="50"/>
        <v/>
      </c>
      <c r="EP63" s="361" t="str">
        <f t="shared" si="51"/>
        <v/>
      </c>
      <c r="EQ63" s="361" t="str">
        <f t="shared" si="52"/>
        <v/>
      </c>
      <c r="ER63" s="361" t="str">
        <f t="shared" si="53"/>
        <v/>
      </c>
      <c r="ES63" s="361" t="str">
        <f t="shared" si="54"/>
        <v/>
      </c>
      <c r="ET63" s="361" t="str">
        <f t="shared" si="55"/>
        <v/>
      </c>
      <c r="EU63" s="361" t="str">
        <f t="shared" si="56"/>
        <v/>
      </c>
      <c r="EV63" s="361" t="str">
        <f t="shared" si="57"/>
        <v/>
      </c>
      <c r="EW63" s="361" t="str">
        <f t="shared" si="58"/>
        <v/>
      </c>
      <c r="EX63" s="361" t="str">
        <f t="shared" si="169"/>
        <v>1 slot, 1 way</v>
      </c>
      <c r="EY63" s="361" t="str">
        <f t="shared" si="170"/>
        <v xml:space="preserve"> </v>
      </c>
      <c r="EZ63" s="361" t="str">
        <f t="shared" si="171"/>
        <v xml:space="preserve"> </v>
      </c>
      <c r="FA63" s="361" t="str">
        <f t="shared" si="172"/>
        <v xml:space="preserve"> </v>
      </c>
      <c r="FB63" s="361" t="str">
        <f t="shared" si="173"/>
        <v xml:space="preserve"> </v>
      </c>
      <c r="FC63" s="361"/>
      <c r="FD63" s="361" t="str">
        <f>IF(J63&gt;0,IF(Calculation!R63&lt;=70,4,IF(Calculation!R63&lt;=110,5,IF(Calculation!R63&lt;=160,6,IF(Calculation!R63&lt;=300,8,"10 EO")))),"")</f>
        <v/>
      </c>
      <c r="FE63" s="361" t="str">
        <f t="shared" si="174"/>
        <v/>
      </c>
      <c r="FF63" s="361" t="str">
        <f t="shared" si="175"/>
        <v/>
      </c>
      <c r="FG63" s="361" t="e">
        <f t="shared" si="60"/>
        <v>#N/A</v>
      </c>
      <c r="FH63" s="361">
        <f t="shared" si="61"/>
        <v>0</v>
      </c>
      <c r="FI63" s="361" t="e">
        <f t="shared" si="62"/>
        <v>#DIV/0!</v>
      </c>
      <c r="FJ63" s="361"/>
      <c r="FK63" s="356" t="e">
        <f t="shared" si="63"/>
        <v>#VALUE!</v>
      </c>
      <c r="FL63" s="361"/>
      <c r="FM63" s="361"/>
      <c r="FN63" s="362" t="str">
        <f t="shared" si="176"/>
        <v xml:space="preserve"> </v>
      </c>
      <c r="FO63" s="362" t="str">
        <f t="shared" si="177"/>
        <v xml:space="preserve"> </v>
      </c>
      <c r="FP63" s="362">
        <f t="shared" si="178"/>
        <v>0</v>
      </c>
      <c r="FQ63" s="361">
        <f t="shared" si="64"/>
        <v>0</v>
      </c>
      <c r="FR63" s="362" t="str">
        <f>IF(L63&gt;0,IF(J63="CBAL2",Worksheet!$P$67,IF(J63="CBE2-24",Worksheet!$Q$67,IF(J63="CBAM",Worksheet!$R$67,IF(J63="CBLV",Worksheet!$S$67,IF(J63="CBAB",Worksheet!$U$67,IF(J63="CBAW",Worksheet!$X$67,IF(J63="CBE2-12",Worksheet!$Y$67,IF(J63="CBAL2",Worksheet!$Z$67,"N/A"))))))))," ")</f>
        <v xml:space="preserve"> </v>
      </c>
      <c r="FS63" s="362" t="str">
        <f>IF(L63&gt;0,IF(J63="CBAL2",Worksheet!$P$68,IF(J63="CBE2-24",Worksheet!$Q$68,IF(J63="CBAM",Worksheet!$R$68,IF(J63="CBLV",Worksheet!$S$68,IF(J63="CBAB",Worksheet!$U$68,IF(J63="CBAW",Worksheet!$X$68,IF(J63="CBE2-12",Worksheet!$Y$68,IF(J63="CBAL2",Worksheet!$Z$68,"N/A"))))))))," ")</f>
        <v xml:space="preserve"> </v>
      </c>
      <c r="FT63" s="362" t="str">
        <f>IF(L63&gt;0,IF(J63="CBAL2",Worksheet!$P$69,IF(J63="CBE2-24",Worksheet!$Q$69,IF(J63="CBAM",Worksheet!$R$69,IF(J63="CBLV",Worksheet!$S$69,IF(J63="CBAB",Worksheet!$U$69,IF(J63="CBAW",Worksheet!$X$69,IF(J63="CBE2-12",Worksheet!$Y$69,IF(J63="CBAL2",Worksheet!$Z$69,"N/A"))))))))," ")</f>
        <v xml:space="preserve"> </v>
      </c>
      <c r="FU63" s="361" t="str">
        <f t="shared" si="179"/>
        <v xml:space="preserve"> </v>
      </c>
      <c r="FV63" s="362" t="str">
        <f t="shared" si="180"/>
        <v xml:space="preserve"> </v>
      </c>
      <c r="FW63" s="362" t="str">
        <f t="shared" si="181"/>
        <v xml:space="preserve"> </v>
      </c>
      <c r="FX63" s="362" t="str">
        <f t="shared" si="182"/>
        <v xml:space="preserve"> </v>
      </c>
      <c r="FY63" s="355" t="str">
        <f t="shared" si="183"/>
        <v xml:space="preserve"> </v>
      </c>
      <c r="FZ63" s="361" t="str">
        <f t="shared" si="184"/>
        <v xml:space="preserve"> </v>
      </c>
      <c r="GA63" s="347" t="str">
        <f t="shared" si="185"/>
        <v xml:space="preserve"> </v>
      </c>
      <c r="GB63" s="355" t="str">
        <f t="shared" si="186"/>
        <v xml:space="preserve"> </v>
      </c>
      <c r="GC63" s="328" t="str">
        <f t="shared" si="187"/>
        <v xml:space="preserve"> </v>
      </c>
      <c r="GD63" s="361" t="str">
        <f t="shared" si="188"/>
        <v xml:space="preserve"> </v>
      </c>
      <c r="GE63" s="347" t="str">
        <f t="shared" si="189"/>
        <v xml:space="preserve"> </v>
      </c>
      <c r="GF63" s="361" t="str">
        <f t="shared" si="190"/>
        <v xml:space="preserve"> </v>
      </c>
      <c r="GG63" s="347" t="str">
        <f t="shared" si="191"/>
        <v xml:space="preserve"> </v>
      </c>
      <c r="GH63" s="364">
        <f t="shared" si="78"/>
        <v>0</v>
      </c>
      <c r="GI63" s="362">
        <f t="shared" si="192"/>
        <v>2</v>
      </c>
      <c r="GJ63" s="433" t="e">
        <f>IF(6-COUNTBLANK(GT63:GY63)=4,MATCH(MID(BO63,9,3),CLU!$H$16:$K$16),MATCH(MID(BO63,9,3),CLU!$H$13:$M$13))</f>
        <v>#N/A</v>
      </c>
      <c r="GK63" s="433" t="e">
        <f>HLOOKUP(VALUE(BP63),CLU!$H$9:$M$10,2)</f>
        <v>#VALUE!</v>
      </c>
      <c r="GL63" s="433" t="e">
        <f ca="1">MATCH(BU63,CLU!$H$2:$V$2,1)</f>
        <v>#VALUE!</v>
      </c>
      <c r="GM63" s="433" t="e">
        <f t="shared" ca="1" si="193"/>
        <v>#VALUE!</v>
      </c>
      <c r="GN63" s="433" t="e">
        <f t="shared" ca="1" si="194"/>
        <v>#VALUE!</v>
      </c>
      <c r="GO63" s="433" t="e">
        <f t="shared" ca="1" si="195"/>
        <v>#VALUE!</v>
      </c>
      <c r="GP63" s="433" t="e">
        <f t="shared" ca="1" si="196"/>
        <v>#VALUE!</v>
      </c>
      <c r="GQ63" s="433" t="e">
        <f t="shared" ca="1" si="197"/>
        <v>#VALUE!</v>
      </c>
      <c r="GR63" s="433" t="e">
        <f ca="1">MATCH(T63,INDIRECT(VLOOKUP(CONCATENATE(LEFT(BO63,7),"-",MID(BO63,13,1)),CLU!$P$3:$Q$16,2)),1)</f>
        <v>#N/A</v>
      </c>
      <c r="GS63" s="433" t="e">
        <f ca="1">MATCH(U63,INDIRECT(VLOOKUP(CONCATENATE(LEFT(BO63,7),"-",MID(BO63,13,1)),CLU!$P$3:$Q$16,2)),1)</f>
        <v>#N/A</v>
      </c>
      <c r="GT63" s="347" t="s">
        <v>512</v>
      </c>
      <c r="GU63" s="97" t="s">
        <v>513</v>
      </c>
      <c r="GV63" s="97" t="str">
        <f t="shared" si="198"/>
        <v>M23</v>
      </c>
      <c r="GW63" s="97" t="str">
        <f t="shared" si="199"/>
        <v>M31</v>
      </c>
      <c r="GX63" s="97" t="str">
        <f t="shared" si="200"/>
        <v/>
      </c>
      <c r="GY63" s="97" t="str">
        <f t="shared" si="201"/>
        <v/>
      </c>
      <c r="GZ63" s="481"/>
      <c r="HA63" s="288"/>
      <c r="HB63" s="240"/>
      <c r="HC63" s="240"/>
      <c r="HD63" s="240"/>
      <c r="HE63" s="240"/>
      <c r="HF63" s="240"/>
      <c r="HG63" s="240"/>
      <c r="HH63" s="240"/>
      <c r="HI63" s="240"/>
      <c r="HJ63" s="240"/>
      <c r="HK63" s="240"/>
      <c r="HL63" s="240"/>
      <c r="HM63" s="240"/>
      <c r="HN63" s="240"/>
      <c r="HO63" s="240"/>
      <c r="HP63" s="240"/>
      <c r="HQ63" s="240"/>
      <c r="HR63" s="240"/>
      <c r="HS63" s="240"/>
      <c r="HT63" s="240"/>
      <c r="HU63" s="240"/>
      <c r="HV63" s="245"/>
      <c r="HW63" s="245" t="b">
        <v>1</v>
      </c>
      <c r="HX63" s="245" t="str">
        <f t="shared" si="79"/>
        <v/>
      </c>
      <c r="HY63" s="245" t="e">
        <f t="shared" si="80"/>
        <v>#DIV/0!</v>
      </c>
      <c r="HZ63" s="245" t="e">
        <f t="shared" si="81"/>
        <v>#DIV/0!</v>
      </c>
      <c r="IA63" s="245">
        <f t="shared" si="82"/>
        <v>0</v>
      </c>
      <c r="IB63" s="245"/>
      <c r="IC63" t="b">
        <f t="shared" si="83"/>
        <v>1</v>
      </c>
      <c r="ID63" s="245" t="b">
        <f t="shared" si="84"/>
        <v>1</v>
      </c>
      <c r="IE63" s="245" t="b">
        <f t="shared" si="85"/>
        <v>1</v>
      </c>
      <c r="IF63" s="245" t="b">
        <f t="shared" si="86"/>
        <v>0</v>
      </c>
      <c r="IG63" s="245" t="b">
        <f t="shared" si="87"/>
        <v>1</v>
      </c>
      <c r="IH63" s="245" t="b">
        <f t="shared" si="88"/>
        <v>1</v>
      </c>
      <c r="II63" s="245">
        <f t="shared" si="202"/>
        <v>0</v>
      </c>
      <c r="IJ63" s="245" t="e">
        <f t="shared" si="89"/>
        <v>#VALUE!</v>
      </c>
      <c r="IK63" s="245" t="e">
        <f t="shared" si="90"/>
        <v>#VALUE!</v>
      </c>
      <c r="IL63" s="245"/>
      <c r="IM63" s="245" t="e">
        <f t="shared" si="203"/>
        <v>#N/A</v>
      </c>
      <c r="IN63" s="245" t="e">
        <f t="shared" si="204"/>
        <v>#N/A</v>
      </c>
      <c r="IO63" s="245"/>
      <c r="IP63" s="245"/>
      <c r="IQ63" s="245" t="str">
        <f t="shared" si="91"/>
        <v/>
      </c>
      <c r="IR63" s="245" t="str">
        <f>IF(J63="","",VLOOKUP(J63,Worksheet!$R$4:$T$14,2))</f>
        <v/>
      </c>
      <c r="IS63" s="245"/>
      <c r="IT63" s="245">
        <f t="shared" si="92"/>
        <v>0</v>
      </c>
      <c r="IU63" s="245">
        <f t="shared" si="93"/>
        <v>0</v>
      </c>
      <c r="IV63" s="245">
        <f t="shared" si="94"/>
        <v>0</v>
      </c>
      <c r="IW63" s="245">
        <f t="shared" si="95"/>
        <v>0</v>
      </c>
      <c r="IX63" s="245">
        <f t="shared" si="205"/>
        <v>0</v>
      </c>
      <c r="IY63" s="245">
        <f t="shared" si="96"/>
        <v>0</v>
      </c>
      <c r="IZ63" s="245">
        <f t="shared" si="97"/>
        <v>0</v>
      </c>
      <c r="JA63">
        <f t="shared" si="98"/>
        <v>0</v>
      </c>
      <c r="JB63">
        <f t="shared" si="206"/>
        <v>0</v>
      </c>
      <c r="JC63">
        <f t="shared" si="99"/>
        <v>0</v>
      </c>
      <c r="JD63">
        <f t="shared" si="100"/>
        <v>0</v>
      </c>
      <c r="JE63">
        <f t="shared" si="101"/>
        <v>0</v>
      </c>
      <c r="JF63">
        <f t="shared" si="102"/>
        <v>0</v>
      </c>
      <c r="JG63">
        <f t="shared" si="103"/>
        <v>0</v>
      </c>
      <c r="JH63">
        <f t="shared" si="104"/>
        <v>0</v>
      </c>
      <c r="JI63">
        <f t="shared" si="105"/>
        <v>0</v>
      </c>
      <c r="JJ63" s="447">
        <f t="shared" si="106"/>
        <v>0</v>
      </c>
      <c r="JK63" s="447">
        <f t="shared" si="107"/>
        <v>0</v>
      </c>
      <c r="JL63">
        <f t="shared" si="108"/>
        <v>0</v>
      </c>
      <c r="JM63" s="245" t="str">
        <f>IFERROR(VLOOKUP(MATCH(BN63,#REF!,0),#REF!,7),"")</f>
        <v/>
      </c>
      <c r="JN63" t="e">
        <f>HLOOKUP(LEFT(BO63,7),Discharge_Area,MATCH(JO63,LookUps!$B$130:$B$149,1)+2)</f>
        <v>#N/A</v>
      </c>
      <c r="JO63" t="str">
        <f t="shared" si="109"/>
        <v>- S</v>
      </c>
      <c r="JP63" t="e">
        <f>HLOOKUP(LEFT(BO63,7),Discharge_Area,MATCH(JO63,LookUps!$B$130:$B$149,1)+2)</f>
        <v>#N/A</v>
      </c>
      <c r="JQ63" t="e">
        <f t="shared" si="110"/>
        <v>#N/A</v>
      </c>
      <c r="JR63" t="e">
        <f t="shared" si="111"/>
        <v>#N/A</v>
      </c>
      <c r="JS63" t="e">
        <f t="shared" si="112"/>
        <v>#N/A</v>
      </c>
      <c r="JT63" s="532" t="str">
        <f t="shared" si="113"/>
        <v xml:space="preserve"> </v>
      </c>
      <c r="JU63" s="532" t="str">
        <f t="shared" si="114"/>
        <v xml:space="preserve"> </v>
      </c>
      <c r="JV63" s="533" t="str">
        <f t="shared" si="115"/>
        <v xml:space="preserve"> </v>
      </c>
      <c r="JW63" s="534">
        <f t="shared" si="116"/>
        <v>0</v>
      </c>
      <c r="JX63" s="535" t="str">
        <f t="shared" si="207"/>
        <v xml:space="preserve"> </v>
      </c>
      <c r="JY63" s="535" t="str">
        <f t="shared" si="208"/>
        <v xml:space="preserve"> </v>
      </c>
      <c r="JZ63" s="535" t="str">
        <f t="shared" si="209"/>
        <v xml:space="preserve"> </v>
      </c>
      <c r="KA63" s="536" t="str">
        <f t="shared" si="117"/>
        <v xml:space="preserve"> </v>
      </c>
      <c r="KB63" s="535" t="e">
        <f t="shared" si="210"/>
        <v>#VALUE!</v>
      </c>
      <c r="KC63" s="535" t="str">
        <f t="shared" si="118"/>
        <v/>
      </c>
      <c r="KD63" s="537" t="str">
        <f t="shared" si="211"/>
        <v xml:space="preserve"> </v>
      </c>
      <c r="KE63" s="537" t="str">
        <f t="shared" si="212"/>
        <v xml:space="preserve"> </v>
      </c>
      <c r="KF63" s="534">
        <f t="shared" si="119"/>
        <v>0</v>
      </c>
      <c r="KG63" s="535" t="str">
        <f t="shared" si="120"/>
        <v xml:space="preserve"> </v>
      </c>
      <c r="KH63" s="535" t="str">
        <f t="shared" si="121"/>
        <v xml:space="preserve"> </v>
      </c>
      <c r="KI63" s="535" t="str">
        <f t="shared" si="122"/>
        <v xml:space="preserve"> </v>
      </c>
      <c r="KJ63" s="536" t="str">
        <f t="shared" si="123"/>
        <v xml:space="preserve"> </v>
      </c>
      <c r="KK63" s="535" t="str">
        <f t="shared" si="213"/>
        <v xml:space="preserve"> </v>
      </c>
      <c r="KL63" s="535" t="str">
        <f t="shared" si="214"/>
        <v xml:space="preserve"> </v>
      </c>
      <c r="KM63" s="537" t="str">
        <f t="shared" si="124"/>
        <v xml:space="preserve"> </v>
      </c>
      <c r="KN63" s="537" t="str">
        <f t="shared" si="215"/>
        <v xml:space="preserve"> </v>
      </c>
      <c r="KP63">
        <f t="shared" si="125"/>
        <v>0</v>
      </c>
      <c r="LA63" t="e">
        <f t="shared" si="126"/>
        <v>#VALUE!</v>
      </c>
      <c r="LB63" t="e">
        <f t="shared" si="127"/>
        <v>#VALUE!</v>
      </c>
      <c r="LC63" t="e">
        <f t="shared" si="128"/>
        <v>#VALUE!</v>
      </c>
      <c r="LD63" t="e">
        <f t="shared" si="129"/>
        <v>#VALUE!</v>
      </c>
      <c r="LE63" t="e">
        <f t="shared" si="216"/>
        <v>#VALUE!</v>
      </c>
      <c r="LF63">
        <f t="shared" si="130"/>
        <v>0</v>
      </c>
      <c r="LG63" t="e">
        <f t="shared" si="217"/>
        <v>#VALUE!</v>
      </c>
      <c r="LH63" t="str">
        <f t="shared" si="131"/>
        <v xml:space="preserve"> </v>
      </c>
      <c r="LI63">
        <f t="shared" si="218"/>
        <v>1</v>
      </c>
    </row>
    <row r="64" spans="2:321" ht="15" customHeight="1">
      <c r="B64" s="311"/>
      <c r="C64" s="311"/>
      <c r="D64" s="312"/>
      <c r="E64" s="311"/>
      <c r="F64" s="312"/>
      <c r="G64" s="311"/>
      <c r="H64" s="311"/>
      <c r="I64" s="37"/>
      <c r="J64" s="311"/>
      <c r="K64" s="305" t="str">
        <f t="shared" si="132"/>
        <v/>
      </c>
      <c r="L64" s="313"/>
      <c r="M64" s="312"/>
      <c r="N64" s="311"/>
      <c r="O64" s="312"/>
      <c r="P64" s="311"/>
      <c r="Q64" s="305" t="str">
        <f t="shared" si="133"/>
        <v/>
      </c>
      <c r="R64" s="314"/>
      <c r="S64" s="450" t="str">
        <f t="shared" si="0"/>
        <v/>
      </c>
      <c r="T64" s="315"/>
      <c r="U64" s="315"/>
      <c r="W64" s="149" t="str">
        <f t="shared" si="1"/>
        <v xml:space="preserve"> </v>
      </c>
      <c r="X64" s="243" t="str">
        <f t="shared" si="2"/>
        <v xml:space="preserve"> </v>
      </c>
      <c r="Y64" s="150" t="str">
        <f t="shared" si="3"/>
        <v/>
      </c>
      <c r="Z64" s="149" t="str">
        <f t="shared" si="4"/>
        <v xml:space="preserve"> </v>
      </c>
      <c r="AA64" s="98" t="str">
        <f t="shared" si="5"/>
        <v xml:space="preserve"> </v>
      </c>
      <c r="AB64" s="153" t="str">
        <f t="shared" si="6"/>
        <v xml:space="preserve"> </v>
      </c>
      <c r="AC64" s="153" t="str">
        <f t="shared" si="7"/>
        <v xml:space="preserve"> </v>
      </c>
      <c r="AD64" s="148" t="str">
        <f t="shared" si="8"/>
        <v/>
      </c>
      <c r="AE64" s="149" t="str">
        <f t="shared" si="9"/>
        <v/>
      </c>
      <c r="AF64" s="151" t="str">
        <f t="shared" si="10"/>
        <v xml:space="preserve"> </v>
      </c>
      <c r="AG64" s="153" t="str">
        <f t="shared" si="11"/>
        <v xml:space="preserve"> </v>
      </c>
      <c r="AH64" s="98" t="str">
        <f t="shared" si="12"/>
        <v xml:space="preserve"> </v>
      </c>
      <c r="AI64" s="149" t="str">
        <f t="shared" si="13"/>
        <v xml:space="preserve"> </v>
      </c>
      <c r="AK64" s="144" t="str">
        <f t="shared" si="14"/>
        <v xml:space="preserve"> </v>
      </c>
      <c r="AL64" s="144"/>
      <c r="AM64" s="243" t="str">
        <f t="shared" si="15"/>
        <v xml:space="preserve"> </v>
      </c>
      <c r="AN64" s="149" t="str">
        <f t="shared" si="134"/>
        <v xml:space="preserve"> </v>
      </c>
      <c r="AO64" s="144" t="str">
        <f>IF(JB64&gt;0,IF(GI64=10,-R64*1.085*(Calculation!$F$6-Calculation!$F$13)*$S$14," "),"")</f>
        <v/>
      </c>
      <c r="AP64" s="144" t="str">
        <f t="shared" si="16"/>
        <v/>
      </c>
      <c r="AQ64" s="56" t="str">
        <f t="shared" si="17"/>
        <v/>
      </c>
      <c r="AR64" s="144" t="str">
        <f t="shared" si="18"/>
        <v/>
      </c>
      <c r="AS64" s="176" t="str">
        <f t="shared" si="19"/>
        <v/>
      </c>
      <c r="AT64" s="176" t="str">
        <f t="shared" si="135"/>
        <v xml:space="preserve"> </v>
      </c>
      <c r="AU64" s="176" t="str">
        <f t="shared" si="20"/>
        <v/>
      </c>
      <c r="AV64" s="177" t="str">
        <f t="shared" si="21"/>
        <v xml:space="preserve"> </v>
      </c>
      <c r="AW64" s="144" t="str">
        <f t="shared" si="22"/>
        <v xml:space="preserve"> </v>
      </c>
      <c r="AX64" s="144" t="str">
        <f t="shared" si="23"/>
        <v xml:space="preserve"> </v>
      </c>
      <c r="AY64" s="152" t="str">
        <f t="shared" si="24"/>
        <v xml:space="preserve"> </v>
      </c>
      <c r="AZ64" s="246" t="str">
        <f t="shared" si="25"/>
        <v/>
      </c>
      <c r="BA64" s="176" t="str">
        <f t="shared" si="26"/>
        <v xml:space="preserve"> </v>
      </c>
      <c r="BB64" s="176" t="str">
        <f t="shared" si="27"/>
        <v xml:space="preserve"> </v>
      </c>
      <c r="BC64" s="195"/>
      <c r="BD64" s="316"/>
      <c r="BE64" s="317"/>
      <c r="BF64" s="318"/>
      <c r="BG64" s="318"/>
      <c r="BH64" s="144" t="str">
        <f t="shared" si="219"/>
        <v xml:space="preserve"> </v>
      </c>
      <c r="BI64" s="176" t="str">
        <f t="shared" si="28"/>
        <v/>
      </c>
      <c r="BJ64" s="144" t="str">
        <f t="shared" si="220"/>
        <v/>
      </c>
      <c r="BK64" s="246" t="str">
        <f t="shared" si="29"/>
        <v/>
      </c>
      <c r="BL64" s="144" t="str">
        <f t="shared" si="221"/>
        <v/>
      </c>
      <c r="BM64" s="246" t="str">
        <f t="shared" si="30"/>
        <v/>
      </c>
      <c r="BN64" s="337" t="str">
        <f t="shared" si="136"/>
        <v/>
      </c>
      <c r="BO64" s="371" t="str">
        <f t="shared" si="137"/>
        <v/>
      </c>
      <c r="BP64" s="328" t="str">
        <f t="shared" si="222"/>
        <v xml:space="preserve"> </v>
      </c>
      <c r="BQ64" s="347" t="str">
        <f t="shared" si="138"/>
        <v xml:space="preserve"> </v>
      </c>
      <c r="BR64" s="353" t="str">
        <f t="shared" si="223"/>
        <v xml:space="preserve"> </v>
      </c>
      <c r="BS64" s="626" t="str">
        <f>IF(L64&gt;0,IF(Calculation!P64="M13",BR64*3.1416*(0.134^2)/(4*144),IF(Calculation!P64="M17",BR64*3.1416*(0.165^2)/(4*144),IF(Calculation!P64="M20",BR64*3.1416*(0.198^2)/(4*144),IF(Calculation!P64="M23",BR64*3.1416*(0.228^2)/(4*144),IF(Calculation!P64="M27",BR64*3.1416*(0.269^2)/(4*144),BR64*3.1416*(0.307^2)/(4*144))))))," ")</f>
        <v xml:space="preserve"> </v>
      </c>
      <c r="BT64" s="353" t="str">
        <f>IF(L64&gt;0,IF(BS64&gt;0,R64/Calculation!BS64,0)," ")</f>
        <v xml:space="preserve"> </v>
      </c>
      <c r="BU64" s="438" t="e">
        <f t="shared" ca="1" si="31"/>
        <v>#VALUE!</v>
      </c>
      <c r="BV64" s="449" t="e">
        <f ca="1">INDEX(INDIRECT(VLOOKUP(LEFT(BO64,7),CLU!$Z$3:$AH$18,2)),GN64,GR64)</f>
        <v>#N/A</v>
      </c>
      <c r="BW64" s="433" t="e">
        <f ca="1">INDEX(INDIRECT(VLOOKUP(LEFT(BO64,7),CLU!$Z$3:$AH$18,3)),GN64,GR64)</f>
        <v>#N/A</v>
      </c>
      <c r="BX64" s="433" t="e">
        <f ca="1">INDEX(INDIRECT(VLOOKUP(LEFT(BO64,7),CLU!$Z$3:$AH$18,4)),GN64,GR64)</f>
        <v>#N/A</v>
      </c>
      <c r="BY64" s="433" t="e">
        <f ca="1">INDEX(INDIRECT(VLOOKUP(LEFT(BO64,7),CLU!$Z$3:$AH$18,9)),((M64-2)*(6-COUNTBLANK(GT64:GY64)))+GJ64)</f>
        <v>#N/A</v>
      </c>
      <c r="BZ64" s="426" t="e">
        <f t="shared" ca="1" si="139"/>
        <v>#N/A</v>
      </c>
      <c r="CA64" s="424" t="e">
        <f t="shared" ca="1" si="140"/>
        <v>#N/A</v>
      </c>
      <c r="CB64" s="429" t="e">
        <f ca="1">INDEX(INDIRECT(VLOOKUP(LEFT(BO64,7),CLU!$Z$3:$AH$18,2)),GN64,GS64)</f>
        <v>#N/A</v>
      </c>
      <c r="CC64" s="342" t="e">
        <f ca="1">INDEX(INDIRECT(VLOOKUP(LEFT(BO64,7),CLU!$Z$3:$AH$18,3)),GN64,GS64)</f>
        <v>#N/A</v>
      </c>
      <c r="CD64" s="342" t="e">
        <f ca="1">INDEX(INDIRECT(VLOOKUP(LEFT(BO64,7),CLU!$Z$3:$AH$18,4)),GN64,GS64)</f>
        <v>#N/A</v>
      </c>
      <c r="CE64" s="426" t="e">
        <f t="shared" ca="1" si="141"/>
        <v>#N/A</v>
      </c>
      <c r="CF64" s="440">
        <f t="shared" si="142"/>
        <v>0</v>
      </c>
      <c r="CG64" s="431" t="e">
        <f ca="1">INDEX(INDIRECT(VLOOKUP(LEFT(BO64,7),CLU!$Z$3:$AH$18,2)),GQ64,GR64)</f>
        <v>#N/A</v>
      </c>
      <c r="CH64" s="431" t="e">
        <f ca="1">INDEX(INDIRECT(VLOOKUP(LEFT(BO64,7),CLU!$Z$3:$AH$18,3)),GQ64,GR64)</f>
        <v>#N/A</v>
      </c>
      <c r="CI64" s="431" t="e">
        <f ca="1">INDEX(INDIRECT(VLOOKUP(LEFT(BO64,7),CLU!$Z$3:$AH$18,4)),GQ64,GR64)</f>
        <v>#N/A</v>
      </c>
      <c r="CJ64" s="448" t="e">
        <f t="shared" ca="1" si="143"/>
        <v>#N/A</v>
      </c>
      <c r="CK64" s="431" t="e">
        <f t="shared" ca="1" si="144"/>
        <v>#N/A</v>
      </c>
      <c r="CL64" s="440" t="e">
        <f t="shared" ca="1" si="145"/>
        <v>#N/A</v>
      </c>
      <c r="CM64" s="431" t="e">
        <f ca="1">INDEX(INDIRECT(VLOOKUP(LEFT(BO64,7),CLU!$Z$3:$AH$18,2)),GQ64,GS64)</f>
        <v>#N/A</v>
      </c>
      <c r="CN64" s="431" t="e">
        <f ca="1">INDEX(INDIRECT(VLOOKUP(LEFT(BO64,7),CLU!$Z$3:$AH$18,3)),GQ64,GS64)</f>
        <v>#N/A</v>
      </c>
      <c r="CO64" s="431" t="e">
        <f ca="1">INDEX(INDIRECT(VLOOKUP(LEFT(BO64,7),CLU!$Z$3:$AH$18,4)),GQ64,GS64)</f>
        <v>#N/A</v>
      </c>
      <c r="CP64" s="431" t="e">
        <f t="shared" ca="1" si="146"/>
        <v>#N/A</v>
      </c>
      <c r="CQ64" s="440">
        <f t="shared" si="147"/>
        <v>0</v>
      </c>
      <c r="CR64" s="51" t="e">
        <f t="shared" ca="1" si="148"/>
        <v>#N/A</v>
      </c>
      <c r="CS64" s="439" t="e">
        <f t="shared" ca="1" si="149"/>
        <v>#VALUE!</v>
      </c>
      <c r="CT64" s="51" t="e">
        <f t="shared" ca="1" si="150"/>
        <v>#VALUE!</v>
      </c>
      <c r="CU64" s="10"/>
      <c r="CV64" s="51" t="e">
        <f t="shared" ca="1" si="34"/>
        <v>#VALUE!</v>
      </c>
      <c r="CW64" s="51">
        <f t="shared" si="151"/>
        <v>0</v>
      </c>
      <c r="CX64" s="439" t="e">
        <f t="shared" ca="1" si="152"/>
        <v>#VALUE!</v>
      </c>
      <c r="CY64" s="51" t="e">
        <f t="shared" ca="1" si="153"/>
        <v>#VALUE!</v>
      </c>
      <c r="CZ64" s="10"/>
      <c r="DA64" s="51" t="e">
        <f t="shared" ca="1" si="154"/>
        <v>#VALUE!</v>
      </c>
      <c r="DB64" s="347" t="e">
        <f ca="1">INDEX(INDIRECT(VLOOKUP(LEFT(BO64,7),CLU!$Z$3:$AI$18,10)),((M64-2)*(6-COUNTBLANK(GT64:GY64)))+GJ64)*LI64</f>
        <v>#N/A</v>
      </c>
      <c r="DC64" s="347" t="str">
        <f>IF(L64&gt;0,((R64/Worksheet!$I$15)/DB64)^2," ")</f>
        <v xml:space="preserve"> </v>
      </c>
      <c r="DD64" s="602" t="str">
        <f t="shared" si="224"/>
        <v xml:space="preserve"> </v>
      </c>
      <c r="DE64" s="347" t="str">
        <f t="shared" si="35"/>
        <v xml:space="preserve"> </v>
      </c>
      <c r="DF64" s="356" t="e">
        <f ca="1">INDEX(INDIRECT(VLOOKUP(LEFT(BO64,7),CLU!$Z$3:$AH$18,8)),((M64-2)*(6-COUNTBLANK(GT64:GY64)))+GJ64)</f>
        <v>#N/A</v>
      </c>
      <c r="DG64" s="347" t="str">
        <f t="shared" si="36"/>
        <v xml:space="preserve"> </v>
      </c>
      <c r="DH64" s="357" t="str">
        <f t="shared" si="37"/>
        <v xml:space="preserve"> </v>
      </c>
      <c r="DI64" s="355" t="str">
        <f t="shared" si="38"/>
        <v xml:space="preserve"> </v>
      </c>
      <c r="DJ64" s="245" t="e">
        <f ca="1">INDEX(INDIRECT(VLOOKUP(LEFT(BO64,7),CLU!$Z$3:$AH$18,5)),GL64,GK64)</f>
        <v>#N/A</v>
      </c>
      <c r="DK64" s="245" t="e">
        <f ca="1">INDEX(INDIRECT(VLOOKUP(LEFT(BO64,7),CLU!$Z$3:$AH$18,6)),GL64,GK64)</f>
        <v>#N/A</v>
      </c>
      <c r="DL64" s="355">
        <f>(Calculation!R64*0.69143*(Calculation!$BQ$8-Calculation!$F$8))*$S$14</f>
        <v>0</v>
      </c>
      <c r="DM64" s="359" t="e">
        <f t="shared" si="160"/>
        <v>#VALUE!</v>
      </c>
      <c r="DN64" s="611">
        <f t="shared" si="161"/>
        <v>0</v>
      </c>
      <c r="DO64" s="359">
        <f t="shared" si="162"/>
        <v>100</v>
      </c>
      <c r="DP64" s="359">
        <f t="shared" si="163"/>
        <v>0</v>
      </c>
      <c r="DQ64" s="360"/>
      <c r="DR64" s="245" t="e">
        <f ca="1">INDEX(INDIRECT(VLOOKUP(LEFT(BO64,7),CLU!$Z$3:$AH$18,7)),M64-1,1)</f>
        <v>#N/A</v>
      </c>
      <c r="DS64" s="245" t="e">
        <f ca="1">INDEX(INDIRECT(VLOOKUP(LEFT(BO64,7),CLU!$Z$3:$AH$18,7)),M64-1,2)</f>
        <v>#N/A</v>
      </c>
      <c r="DT64" s="245" t="e">
        <f ca="1">INDEX(INDIRECT(VLOOKUP(LEFT(BO64,7),CLU!$Z$3:$AH$18,7)),M64-1,3)</f>
        <v>#N/A</v>
      </c>
      <c r="DU64" s="245" t="e">
        <f ca="1">INDEX(INDIRECT(VLOOKUP(LEFT(BO64,7),CLU!$Z$3:$AH$18,7)),M64-1,4)</f>
        <v>#N/A</v>
      </c>
      <c r="DV64" s="361" t="e">
        <f ca="1">INDEX(INDIRECT(VLOOKUP(LEFT(BO64,7),CLU!$Z$3:$AH$18,7)),M64-1,4+LEFT(DZ64,1)*0.5)</f>
        <v>#N/A</v>
      </c>
      <c r="DW64" s="245" t="e">
        <f ca="1">INDEX(INDIRECT(VLOOKUP(LEFT(BO64,7),CLU!$Z$3:$AH$18,7)),M64-1,8)</f>
        <v>#N/A</v>
      </c>
      <c r="DX64" s="361" t="str">
        <f t="shared" si="39"/>
        <v xml:space="preserve"> </v>
      </c>
      <c r="DY64" s="361" t="str">
        <f t="shared" si="40"/>
        <v xml:space="preserve"> </v>
      </c>
      <c r="DZ64" s="361" t="str">
        <f t="shared" si="41"/>
        <v xml:space="preserve"> </v>
      </c>
      <c r="EA64" s="362" t="str">
        <f t="shared" si="42"/>
        <v xml:space="preserve"> </v>
      </c>
      <c r="EB64" s="624" t="str">
        <f t="shared" si="168"/>
        <v xml:space="preserve"> </v>
      </c>
      <c r="EC64" s="361" t="e">
        <f ca="1">INDEX(INDIRECT(VLOOKUP(LEFT(BO64,7),CLU!$Z$3:$AH$18,7)),M64-1,4+LEFT(DZ64,1)*0.5)</f>
        <v>#N/A</v>
      </c>
      <c r="ED64" s="362" t="str">
        <f t="shared" si="43"/>
        <v xml:space="preserve"> </v>
      </c>
      <c r="EE64" s="361" t="str">
        <f t="shared" si="44"/>
        <v xml:space="preserve"> </v>
      </c>
      <c r="EF64" s="362" t="str">
        <f>IF(L64&gt;0,IF(BR64&gt;0,IF(EE64="2P",IF(Calculation!DZ64="2P",IF(Calculation!DS64=13.75,IF(Calculation!DR64=13,Worksheet!$BD$43,IF(Calculation!DR64=37,Worksheet!$BD$44,Worksheet!$BD$45)),IF(Calculation!DS64=10,IF(Calculation!DR64=18,Worksheet!$BD$29,IF(Calculation!DR64=30,Worksheet!$BD$30,IF(Calculation!DR64=42,Worksheet!$BD$31,IF(Calculation!DR64=54,Worksheet!$BD$32,IF(Calculation!DR64=66,Worksheet!$BD$33,IF(Calculation!DR64=78,Worksheet!$BD$34,IF(Calculation!DR64=90,Worksheet!$BD$35,IF(Calculation!DR64=102,Worksheet!$BD$36,Worksheet!$BD$37)))))))),IF(Calculation!DS64=12.5,IF(Calculation!DR64=18,Worksheet!$BD$38,IF(Calculation!DR64=Worksheet!$BD$39,IF(Calculation!DR64=42,Worksheet!$BD$40,IF(Calculation!DR64=54,Worksheet!$BD$41,Worksheet!$BD$42)))),IF(Calculation!DR64=18,Worksheet!$BD$11,IF(Calculation!DR64=30,Worksheet!$BD$12,IF(Calculation!DR64=42,Worksheet!$BD$13,IF(Calculation!DR64=54,Worksheet!$BD$14,IF(Calculation!DR64=66,Worksheet!$BD$15,IF(Calculation!DR64=78,Worksheet!$BD$16,IF(Calculation!DR64=90,Worksheet!$BD$17,IF(Calculation!DR64=102,Worksheet!$BD$18,Worksheet!$BD$19))))))))))),IF(Calculation!DS64=13.75,IF(Calculation!DR64=13,Worksheet!$BD$78,IF(Calculation!DR64=37,Worksheet!$BD$79,Worksheet!$BD$80)),IF(Calculation!DS64=10,IF(Calculation!DR64=18,Worksheet!$BD$64,IF(Calculation!DR64=30,Worksheet!$BD$65,IF(Calculation!DR64=42,Worksheet!$BD$66,IF(Calculation!DR64=54,Worksheet!$BD$68,IF(Calculation!DR64=66,Worksheet!$BD$68,IF(Calculation!DR64=78,Worksheet!$BD$69,IF(Calculation!DR64=90,Worksheet!$BD$70,IF(Calculation!DR64=102,Worksheet!$BD$71,Worksheet!$BD$72)))))))),IF(Calculation!DS64=12.5,IF(Calculation!DR64=18,Worksheet!$BD$73,IF(Calculation!DR64=Worksheet!$BD$74,IF(Calculation!DR64=42,Worksheet!$BD$75,IF(Calculation!DR64=54,Worksheet!$BD$76,Worksheet!$BD$77)))),IF(Calculation!DR64=18,Worksheet!$BD$55,IF(Calculation!DR64=30,Worksheet!$BD$56,IF(Calculation!DR64=42,Worksheet!$BD$57,IF(Calculation!DR64=54,Worksheet!$BD$58,IF(Calculation!DR64=66,Worksheet!$BD$59,IF(Calculation!DR64=78,Worksheet!$BD$60,IF(Calculation!DR64=90,Worksheet!$BD$61,IF(Calculation!DR64=102,Worksheet!$BD$62,Worksheet!$BD$63)))))))))))),5),0)," ")</f>
        <v xml:space="preserve"> </v>
      </c>
      <c r="EG64" s="361" t="str">
        <f t="shared" si="45"/>
        <v xml:space="preserve"> </v>
      </c>
      <c r="EH64" s="361" t="e">
        <f ca="1">INDEX(INDIRECT(VLOOKUP(LEFT(BO64,7),CLU!$Z$3:$AH$18,7)),M64-1,3+LEFT(DZ64,1))</f>
        <v>#N/A</v>
      </c>
      <c r="EI64" s="362" t="str">
        <f t="shared" si="46"/>
        <v xml:space="preserve"> </v>
      </c>
      <c r="EJ64" s="363" t="str">
        <f t="shared" si="47"/>
        <v xml:space="preserve"> </v>
      </c>
      <c r="EK64" s="363" t="str">
        <f t="shared" si="48"/>
        <v xml:space="preserve"> </v>
      </c>
      <c r="EL64" s="363" t="str">
        <f t="shared" si="49"/>
        <v xml:space="preserve"> </v>
      </c>
      <c r="EM64" s="362" t="str">
        <f>IF(L64&gt;0,IF(BR64&gt;0,(Calculation!T64/ED64)^2,0)," ")</f>
        <v xml:space="preserve"> </v>
      </c>
      <c r="EN64" s="362" t="str">
        <f>IF(L64&gt;0,IF(O64="2 Pipe (Cooling)","N/A",IF(BR64&gt;0,(Calculation!U64/EI64)^2,0))," ")</f>
        <v xml:space="preserve"> </v>
      </c>
      <c r="EO64" s="361" t="str">
        <f t="shared" si="50"/>
        <v/>
      </c>
      <c r="EP64" s="361" t="str">
        <f t="shared" si="51"/>
        <v/>
      </c>
      <c r="EQ64" s="361" t="str">
        <f t="shared" si="52"/>
        <v/>
      </c>
      <c r="ER64" s="361" t="str">
        <f t="shared" si="53"/>
        <v/>
      </c>
      <c r="ES64" s="361" t="str">
        <f t="shared" si="54"/>
        <v/>
      </c>
      <c r="ET64" s="361" t="str">
        <f t="shared" si="55"/>
        <v/>
      </c>
      <c r="EU64" s="361" t="str">
        <f t="shared" si="56"/>
        <v/>
      </c>
      <c r="EV64" s="361" t="str">
        <f t="shared" si="57"/>
        <v/>
      </c>
      <c r="EW64" s="361" t="str">
        <f t="shared" si="58"/>
        <v/>
      </c>
      <c r="EX64" s="361" t="str">
        <f t="shared" si="169"/>
        <v>1 slot, 1 way</v>
      </c>
      <c r="EY64" s="361" t="str">
        <f t="shared" si="170"/>
        <v xml:space="preserve"> </v>
      </c>
      <c r="EZ64" s="361" t="str">
        <f t="shared" si="171"/>
        <v xml:space="preserve"> </v>
      </c>
      <c r="FA64" s="361" t="str">
        <f t="shared" si="172"/>
        <v xml:space="preserve"> </v>
      </c>
      <c r="FB64" s="361" t="str">
        <f t="shared" si="173"/>
        <v xml:space="preserve"> </v>
      </c>
      <c r="FC64" s="361"/>
      <c r="FD64" s="361" t="str">
        <f>IF(J64&gt;0,IF(Calculation!R64&lt;=70,4,IF(Calculation!R64&lt;=110,5,IF(Calculation!R64&lt;=160,6,IF(Calculation!R64&lt;=300,8,"10 EO")))),"")</f>
        <v/>
      </c>
      <c r="FE64" s="361" t="str">
        <f t="shared" si="174"/>
        <v/>
      </c>
      <c r="FF64" s="361" t="str">
        <f t="shared" si="175"/>
        <v/>
      </c>
      <c r="FG64" s="361" t="e">
        <f t="shared" si="60"/>
        <v>#N/A</v>
      </c>
      <c r="FH64" s="361">
        <f t="shared" si="61"/>
        <v>0</v>
      </c>
      <c r="FI64" s="361" t="e">
        <f t="shared" si="62"/>
        <v>#DIV/0!</v>
      </c>
      <c r="FJ64" s="361"/>
      <c r="FK64" s="356" t="e">
        <f t="shared" si="63"/>
        <v>#VALUE!</v>
      </c>
      <c r="FL64" s="361"/>
      <c r="FM64" s="361"/>
      <c r="FN64" s="362" t="str">
        <f t="shared" si="176"/>
        <v xml:space="preserve"> </v>
      </c>
      <c r="FO64" s="362" t="str">
        <f t="shared" si="177"/>
        <v xml:space="preserve"> </v>
      </c>
      <c r="FP64" s="362">
        <f t="shared" si="178"/>
        <v>0</v>
      </c>
      <c r="FQ64" s="361">
        <f t="shared" si="64"/>
        <v>0</v>
      </c>
      <c r="FR64" s="362" t="str">
        <f>IF(L64&gt;0,IF(J64="CBAL2",Worksheet!$P$67,IF(J64="CBE2-24",Worksheet!$Q$67,IF(J64="CBAM",Worksheet!$R$67,IF(J64="CBLV",Worksheet!$S$67,IF(J64="CBAB",Worksheet!$U$67,IF(J64="CBAW",Worksheet!$X$67,IF(J64="CBE2-12",Worksheet!$Y$67,IF(J64="CBAL2",Worksheet!$Z$67,"N/A"))))))))," ")</f>
        <v xml:space="preserve"> </v>
      </c>
      <c r="FS64" s="362" t="str">
        <f>IF(L64&gt;0,IF(J64="CBAL2",Worksheet!$P$68,IF(J64="CBE2-24",Worksheet!$Q$68,IF(J64="CBAM",Worksheet!$R$68,IF(J64="CBLV",Worksheet!$S$68,IF(J64="CBAB",Worksheet!$U$68,IF(J64="CBAW",Worksheet!$X$68,IF(J64="CBE2-12",Worksheet!$Y$68,IF(J64="CBAL2",Worksheet!$Z$68,"N/A"))))))))," ")</f>
        <v xml:space="preserve"> </v>
      </c>
      <c r="FT64" s="362" t="str">
        <f>IF(L64&gt;0,IF(J64="CBAL2",Worksheet!$P$69,IF(J64="CBE2-24",Worksheet!$Q$69,IF(J64="CBAM",Worksheet!$R$69,IF(J64="CBLV",Worksheet!$S$69,IF(J64="CBAB",Worksheet!$U$69,IF(J64="CBAW",Worksheet!$X$69,IF(J64="CBE2-12",Worksheet!$Y$69,IF(J64="CBAL2",Worksheet!$Z$69,"N/A"))))))))," ")</f>
        <v xml:space="preserve"> </v>
      </c>
      <c r="FU64" s="361" t="str">
        <f t="shared" si="179"/>
        <v xml:space="preserve"> </v>
      </c>
      <c r="FV64" s="362" t="str">
        <f t="shared" si="180"/>
        <v xml:space="preserve"> </v>
      </c>
      <c r="FW64" s="362" t="str">
        <f t="shared" si="181"/>
        <v xml:space="preserve"> </v>
      </c>
      <c r="FX64" s="362" t="str">
        <f t="shared" si="182"/>
        <v xml:space="preserve"> </v>
      </c>
      <c r="FY64" s="355" t="str">
        <f t="shared" si="183"/>
        <v xml:space="preserve"> </v>
      </c>
      <c r="FZ64" s="361" t="str">
        <f t="shared" si="184"/>
        <v xml:space="preserve"> </v>
      </c>
      <c r="GA64" s="347" t="str">
        <f t="shared" si="185"/>
        <v xml:space="preserve"> </v>
      </c>
      <c r="GB64" s="355" t="str">
        <f t="shared" si="186"/>
        <v xml:space="preserve"> </v>
      </c>
      <c r="GC64" s="328" t="str">
        <f t="shared" si="187"/>
        <v xml:space="preserve"> </v>
      </c>
      <c r="GD64" s="361" t="str">
        <f t="shared" si="188"/>
        <v xml:space="preserve"> </v>
      </c>
      <c r="GE64" s="347" t="str">
        <f t="shared" si="189"/>
        <v xml:space="preserve"> </v>
      </c>
      <c r="GF64" s="361" t="str">
        <f t="shared" si="190"/>
        <v xml:space="preserve"> </v>
      </c>
      <c r="GG64" s="347" t="str">
        <f t="shared" si="191"/>
        <v xml:space="preserve"> </v>
      </c>
      <c r="GH64" s="364">
        <f t="shared" si="78"/>
        <v>0</v>
      </c>
      <c r="GI64" s="362">
        <f t="shared" si="192"/>
        <v>2</v>
      </c>
      <c r="GJ64" s="433" t="e">
        <f>IF(6-COUNTBLANK(GT64:GY64)=4,MATCH(MID(BO64,9,3),CLU!$H$16:$K$16),MATCH(MID(BO64,9,3),CLU!$H$13:$M$13))</f>
        <v>#N/A</v>
      </c>
      <c r="GK64" s="433" t="e">
        <f>HLOOKUP(VALUE(BP64),CLU!$H$9:$M$10,2)</f>
        <v>#VALUE!</v>
      </c>
      <c r="GL64" s="433" t="e">
        <f ca="1">MATCH(BU64,CLU!$H$2:$V$2,1)</f>
        <v>#VALUE!</v>
      </c>
      <c r="GM64" s="433" t="e">
        <f t="shared" ca="1" si="193"/>
        <v>#VALUE!</v>
      </c>
      <c r="GN64" s="433" t="e">
        <f t="shared" ca="1" si="194"/>
        <v>#VALUE!</v>
      </c>
      <c r="GO64" s="433" t="e">
        <f t="shared" ca="1" si="195"/>
        <v>#VALUE!</v>
      </c>
      <c r="GP64" s="433" t="e">
        <f t="shared" ca="1" si="196"/>
        <v>#VALUE!</v>
      </c>
      <c r="GQ64" s="433" t="e">
        <f t="shared" ca="1" si="197"/>
        <v>#VALUE!</v>
      </c>
      <c r="GR64" s="433" t="e">
        <f ca="1">MATCH(T64,INDIRECT(VLOOKUP(CONCATENATE(LEFT(BO64,7),"-",MID(BO64,13,1)),CLU!$P$3:$Q$16,2)),1)</f>
        <v>#N/A</v>
      </c>
      <c r="GS64" s="433" t="e">
        <f ca="1">MATCH(U64,INDIRECT(VLOOKUP(CONCATENATE(LEFT(BO64,7),"-",MID(BO64,13,1)),CLU!$P$3:$Q$16,2)),1)</f>
        <v>#N/A</v>
      </c>
      <c r="GT64" s="347" t="s">
        <v>512</v>
      </c>
      <c r="GU64" s="97" t="s">
        <v>513</v>
      </c>
      <c r="GV64" s="97" t="str">
        <f t="shared" si="198"/>
        <v>M23</v>
      </c>
      <c r="GW64" s="97" t="str">
        <f t="shared" si="199"/>
        <v>M31</v>
      </c>
      <c r="GX64" s="97" t="str">
        <f t="shared" si="200"/>
        <v/>
      </c>
      <c r="GY64" s="97" t="str">
        <f t="shared" si="201"/>
        <v/>
      </c>
      <c r="GZ64" s="481"/>
      <c r="HA64" s="288"/>
      <c r="HB64" s="240"/>
      <c r="HC64" s="240"/>
      <c r="HD64" s="240"/>
      <c r="HE64" s="240"/>
      <c r="HF64" s="240"/>
      <c r="HG64" s="240"/>
      <c r="HH64" s="240"/>
      <c r="HI64" s="240"/>
      <c r="HJ64" s="240"/>
      <c r="HK64" s="240"/>
      <c r="HL64" s="240"/>
      <c r="HM64" s="240"/>
      <c r="HN64" s="240"/>
      <c r="HO64" s="240"/>
      <c r="HP64" s="240"/>
      <c r="HQ64" s="240"/>
      <c r="HR64" s="240"/>
      <c r="HS64" s="240"/>
      <c r="HT64" s="240"/>
      <c r="HU64" s="240"/>
      <c r="HV64" s="245"/>
      <c r="HW64" s="245" t="b">
        <v>1</v>
      </c>
      <c r="HX64" s="245" t="str">
        <f t="shared" si="79"/>
        <v/>
      </c>
      <c r="HY64" s="245" t="e">
        <f t="shared" si="80"/>
        <v>#DIV/0!</v>
      </c>
      <c r="HZ64" s="245" t="e">
        <f t="shared" si="81"/>
        <v>#DIV/0!</v>
      </c>
      <c r="IA64" s="245">
        <f t="shared" si="82"/>
        <v>0</v>
      </c>
      <c r="IB64" s="245"/>
      <c r="IC64" t="b">
        <f t="shared" si="83"/>
        <v>1</v>
      </c>
      <c r="ID64" s="245" t="b">
        <f t="shared" si="84"/>
        <v>1</v>
      </c>
      <c r="IE64" s="245" t="b">
        <f t="shared" si="85"/>
        <v>1</v>
      </c>
      <c r="IF64" s="245" t="b">
        <f t="shared" si="86"/>
        <v>0</v>
      </c>
      <c r="IG64" s="245" t="b">
        <f t="shared" si="87"/>
        <v>1</v>
      </c>
      <c r="IH64" s="245" t="b">
        <f t="shared" si="88"/>
        <v>1</v>
      </c>
      <c r="II64" s="245">
        <f t="shared" si="202"/>
        <v>0</v>
      </c>
      <c r="IJ64" s="245" t="e">
        <f t="shared" si="89"/>
        <v>#VALUE!</v>
      </c>
      <c r="IK64" s="245" t="e">
        <f t="shared" si="90"/>
        <v>#VALUE!</v>
      </c>
      <c r="IL64" s="245"/>
      <c r="IM64" s="245" t="e">
        <f t="shared" si="203"/>
        <v>#N/A</v>
      </c>
      <c r="IN64" s="245" t="e">
        <f t="shared" si="204"/>
        <v>#N/A</v>
      </c>
      <c r="IO64" s="245"/>
      <c r="IP64" s="245"/>
      <c r="IQ64" s="245" t="str">
        <f t="shared" si="91"/>
        <v/>
      </c>
      <c r="IR64" s="245" t="str">
        <f>IF(J64="","",VLOOKUP(J64,Worksheet!$R$4:$T$14,2))</f>
        <v/>
      </c>
      <c r="IS64" s="245"/>
      <c r="IT64" s="245">
        <f t="shared" si="92"/>
        <v>0</v>
      </c>
      <c r="IU64" s="245">
        <f t="shared" si="93"/>
        <v>0</v>
      </c>
      <c r="IV64" s="245">
        <f t="shared" si="94"/>
        <v>0</v>
      </c>
      <c r="IW64" s="245">
        <f t="shared" si="95"/>
        <v>0</v>
      </c>
      <c r="IX64" s="245">
        <f t="shared" si="205"/>
        <v>0</v>
      </c>
      <c r="IY64" s="245">
        <f t="shared" si="96"/>
        <v>0</v>
      </c>
      <c r="IZ64" s="245">
        <f t="shared" si="97"/>
        <v>0</v>
      </c>
      <c r="JA64">
        <f t="shared" si="98"/>
        <v>0</v>
      </c>
      <c r="JB64">
        <f t="shared" si="206"/>
        <v>0</v>
      </c>
      <c r="JC64">
        <f t="shared" si="99"/>
        <v>0</v>
      </c>
      <c r="JD64">
        <f t="shared" si="100"/>
        <v>0</v>
      </c>
      <c r="JE64">
        <f t="shared" si="101"/>
        <v>0</v>
      </c>
      <c r="JF64">
        <f t="shared" si="102"/>
        <v>0</v>
      </c>
      <c r="JG64">
        <f t="shared" si="103"/>
        <v>0</v>
      </c>
      <c r="JH64">
        <f t="shared" si="104"/>
        <v>0</v>
      </c>
      <c r="JI64">
        <f t="shared" si="105"/>
        <v>0</v>
      </c>
      <c r="JJ64" s="447">
        <f t="shared" si="106"/>
        <v>0</v>
      </c>
      <c r="JK64" s="447">
        <f t="shared" si="107"/>
        <v>0</v>
      </c>
      <c r="JL64">
        <f t="shared" si="108"/>
        <v>0</v>
      </c>
      <c r="JM64" s="245" t="str">
        <f>IFERROR(VLOOKUP(MATCH(BN64,#REF!,0),#REF!,7),"")</f>
        <v/>
      </c>
      <c r="JN64" t="e">
        <f>HLOOKUP(LEFT(BO64,7),Discharge_Area,MATCH(JO64,LookUps!$B$130:$B$149,1)+2)</f>
        <v>#N/A</v>
      </c>
      <c r="JO64" t="str">
        <f t="shared" si="109"/>
        <v>- S</v>
      </c>
      <c r="JP64" t="e">
        <f>HLOOKUP(LEFT(BO64,7),Discharge_Area,MATCH(JO64,LookUps!$B$130:$B$149,1)+2)</f>
        <v>#N/A</v>
      </c>
      <c r="JQ64" t="e">
        <f t="shared" si="110"/>
        <v>#N/A</v>
      </c>
      <c r="JR64" t="e">
        <f t="shared" si="111"/>
        <v>#N/A</v>
      </c>
      <c r="JS64" t="e">
        <f t="shared" si="112"/>
        <v>#N/A</v>
      </c>
      <c r="JT64" s="532" t="str">
        <f t="shared" si="113"/>
        <v xml:space="preserve"> </v>
      </c>
      <c r="JU64" s="532" t="str">
        <f t="shared" si="114"/>
        <v xml:space="preserve"> </v>
      </c>
      <c r="JV64" s="533" t="str">
        <f t="shared" si="115"/>
        <v xml:space="preserve"> </v>
      </c>
      <c r="JW64" s="534">
        <f t="shared" si="116"/>
        <v>0</v>
      </c>
      <c r="JX64" s="535" t="str">
        <f t="shared" si="207"/>
        <v xml:space="preserve"> </v>
      </c>
      <c r="JY64" s="535" t="str">
        <f t="shared" si="208"/>
        <v xml:space="preserve"> </v>
      </c>
      <c r="JZ64" s="535" t="str">
        <f t="shared" si="209"/>
        <v xml:space="preserve"> </v>
      </c>
      <c r="KA64" s="536" t="str">
        <f t="shared" si="117"/>
        <v xml:space="preserve"> </v>
      </c>
      <c r="KB64" s="535" t="e">
        <f t="shared" si="210"/>
        <v>#VALUE!</v>
      </c>
      <c r="KC64" s="535" t="str">
        <f t="shared" si="118"/>
        <v/>
      </c>
      <c r="KD64" s="537" t="str">
        <f t="shared" si="211"/>
        <v xml:space="preserve"> </v>
      </c>
      <c r="KE64" s="537" t="str">
        <f t="shared" si="212"/>
        <v xml:space="preserve"> </v>
      </c>
      <c r="KF64" s="534">
        <f t="shared" si="119"/>
        <v>0</v>
      </c>
      <c r="KG64" s="535" t="str">
        <f t="shared" si="120"/>
        <v xml:space="preserve"> </v>
      </c>
      <c r="KH64" s="535" t="str">
        <f t="shared" si="121"/>
        <v xml:space="preserve"> </v>
      </c>
      <c r="KI64" s="535" t="str">
        <f t="shared" si="122"/>
        <v xml:space="preserve"> </v>
      </c>
      <c r="KJ64" s="536" t="str">
        <f t="shared" si="123"/>
        <v xml:space="preserve"> </v>
      </c>
      <c r="KK64" s="535" t="str">
        <f t="shared" si="213"/>
        <v xml:space="preserve"> </v>
      </c>
      <c r="KL64" s="535" t="str">
        <f t="shared" si="214"/>
        <v xml:space="preserve"> </v>
      </c>
      <c r="KM64" s="537" t="str">
        <f t="shared" si="124"/>
        <v xml:space="preserve"> </v>
      </c>
      <c r="KN64" s="537" t="str">
        <f t="shared" si="215"/>
        <v xml:space="preserve"> </v>
      </c>
      <c r="KP64">
        <f t="shared" si="125"/>
        <v>0</v>
      </c>
      <c r="LA64" t="e">
        <f t="shared" si="126"/>
        <v>#VALUE!</v>
      </c>
      <c r="LB64" t="e">
        <f t="shared" si="127"/>
        <v>#VALUE!</v>
      </c>
      <c r="LC64" t="e">
        <f t="shared" si="128"/>
        <v>#VALUE!</v>
      </c>
      <c r="LD64" t="e">
        <f t="shared" si="129"/>
        <v>#VALUE!</v>
      </c>
      <c r="LE64" t="e">
        <f t="shared" si="216"/>
        <v>#VALUE!</v>
      </c>
      <c r="LF64">
        <f t="shared" si="130"/>
        <v>0</v>
      </c>
      <c r="LG64" t="e">
        <f t="shared" si="217"/>
        <v>#VALUE!</v>
      </c>
      <c r="LH64" t="str">
        <f t="shared" si="131"/>
        <v xml:space="preserve"> </v>
      </c>
      <c r="LI64">
        <f t="shared" si="218"/>
        <v>1</v>
      </c>
    </row>
    <row r="65" spans="2:321" ht="15" customHeight="1">
      <c r="B65" s="311"/>
      <c r="C65" s="311"/>
      <c r="D65" s="312"/>
      <c r="E65" s="311"/>
      <c r="F65" s="312"/>
      <c r="G65" s="311"/>
      <c r="H65" s="311"/>
      <c r="I65" s="37"/>
      <c r="J65" s="311"/>
      <c r="K65" s="305" t="str">
        <f t="shared" si="132"/>
        <v/>
      </c>
      <c r="L65" s="313"/>
      <c r="M65" s="312"/>
      <c r="N65" s="311"/>
      <c r="O65" s="312"/>
      <c r="P65" s="311"/>
      <c r="Q65" s="305" t="str">
        <f t="shared" si="133"/>
        <v/>
      </c>
      <c r="R65" s="314"/>
      <c r="S65" s="450" t="str">
        <f t="shared" si="0"/>
        <v/>
      </c>
      <c r="T65" s="315"/>
      <c r="U65" s="315"/>
      <c r="W65" s="149" t="str">
        <f t="shared" si="1"/>
        <v xml:space="preserve"> </v>
      </c>
      <c r="X65" s="243" t="str">
        <f t="shared" si="2"/>
        <v xml:space="preserve"> </v>
      </c>
      <c r="Y65" s="150" t="str">
        <f t="shared" si="3"/>
        <v/>
      </c>
      <c r="Z65" s="149" t="str">
        <f t="shared" si="4"/>
        <v xml:space="preserve"> </v>
      </c>
      <c r="AA65" s="98" t="str">
        <f t="shared" si="5"/>
        <v xml:space="preserve"> </v>
      </c>
      <c r="AB65" s="153" t="str">
        <f t="shared" si="6"/>
        <v xml:space="preserve"> </v>
      </c>
      <c r="AC65" s="153" t="str">
        <f t="shared" si="7"/>
        <v xml:space="preserve"> </v>
      </c>
      <c r="AD65" s="148" t="str">
        <f t="shared" si="8"/>
        <v/>
      </c>
      <c r="AE65" s="149" t="str">
        <f t="shared" si="9"/>
        <v/>
      </c>
      <c r="AF65" s="151" t="str">
        <f t="shared" si="10"/>
        <v xml:space="preserve"> </v>
      </c>
      <c r="AG65" s="153" t="str">
        <f t="shared" si="11"/>
        <v xml:space="preserve"> </v>
      </c>
      <c r="AH65" s="98" t="str">
        <f t="shared" si="12"/>
        <v xml:space="preserve"> </v>
      </c>
      <c r="AI65" s="149" t="str">
        <f t="shared" si="13"/>
        <v xml:space="preserve"> </v>
      </c>
      <c r="AK65" s="144" t="str">
        <f t="shared" si="14"/>
        <v xml:space="preserve"> </v>
      </c>
      <c r="AL65" s="144"/>
      <c r="AM65" s="243" t="str">
        <f t="shared" si="15"/>
        <v xml:space="preserve"> </v>
      </c>
      <c r="AN65" s="149" t="str">
        <f t="shared" si="134"/>
        <v xml:space="preserve"> </v>
      </c>
      <c r="AO65" s="144" t="str">
        <f>IF(JB65&gt;0,IF(GI65=10,-R65*1.085*(Calculation!$F$6-Calculation!$F$13)*$S$14," "),"")</f>
        <v/>
      </c>
      <c r="AP65" s="144" t="str">
        <f t="shared" si="16"/>
        <v/>
      </c>
      <c r="AQ65" s="56" t="str">
        <f t="shared" si="17"/>
        <v/>
      </c>
      <c r="AR65" s="144" t="str">
        <f t="shared" si="18"/>
        <v/>
      </c>
      <c r="AS65" s="176" t="str">
        <f t="shared" si="19"/>
        <v/>
      </c>
      <c r="AT65" s="176" t="str">
        <f t="shared" si="135"/>
        <v xml:space="preserve"> </v>
      </c>
      <c r="AU65" s="176" t="str">
        <f t="shared" si="20"/>
        <v/>
      </c>
      <c r="AV65" s="177" t="str">
        <f t="shared" si="21"/>
        <v xml:space="preserve"> </v>
      </c>
      <c r="AW65" s="144" t="str">
        <f t="shared" si="22"/>
        <v xml:space="preserve"> </v>
      </c>
      <c r="AX65" s="144" t="str">
        <f t="shared" si="23"/>
        <v xml:space="preserve"> </v>
      </c>
      <c r="AY65" s="152" t="str">
        <f t="shared" si="24"/>
        <v xml:space="preserve"> </v>
      </c>
      <c r="AZ65" s="246" t="str">
        <f t="shared" si="25"/>
        <v/>
      </c>
      <c r="BA65" s="176" t="str">
        <f t="shared" si="26"/>
        <v xml:space="preserve"> </v>
      </c>
      <c r="BB65" s="176" t="str">
        <f t="shared" si="27"/>
        <v xml:space="preserve"> </v>
      </c>
      <c r="BC65" s="195"/>
      <c r="BD65" s="316"/>
      <c r="BE65" s="317"/>
      <c r="BF65" s="318"/>
      <c r="BG65" s="318"/>
      <c r="BH65" s="144" t="str">
        <f t="shared" si="219"/>
        <v xml:space="preserve"> </v>
      </c>
      <c r="BI65" s="176" t="str">
        <f t="shared" si="28"/>
        <v/>
      </c>
      <c r="BJ65" s="144" t="str">
        <f t="shared" si="220"/>
        <v/>
      </c>
      <c r="BK65" s="246" t="str">
        <f t="shared" si="29"/>
        <v/>
      </c>
      <c r="BL65" s="144" t="str">
        <f t="shared" si="221"/>
        <v/>
      </c>
      <c r="BM65" s="246" t="str">
        <f t="shared" si="30"/>
        <v/>
      </c>
      <c r="BN65" s="337" t="str">
        <f t="shared" si="136"/>
        <v/>
      </c>
      <c r="BO65" s="371" t="str">
        <f t="shared" si="137"/>
        <v/>
      </c>
      <c r="BP65" s="328" t="str">
        <f t="shared" si="222"/>
        <v xml:space="preserve"> </v>
      </c>
      <c r="BQ65" s="347" t="str">
        <f t="shared" si="138"/>
        <v xml:space="preserve"> </v>
      </c>
      <c r="BR65" s="353" t="str">
        <f t="shared" si="223"/>
        <v xml:space="preserve"> </v>
      </c>
      <c r="BS65" s="626" t="str">
        <f>IF(L65&gt;0,IF(Calculation!P65="M13",BR65*3.1416*(0.134^2)/(4*144),IF(Calculation!P65="M17",BR65*3.1416*(0.165^2)/(4*144),IF(Calculation!P65="M20",BR65*3.1416*(0.198^2)/(4*144),IF(Calculation!P65="M23",BR65*3.1416*(0.228^2)/(4*144),IF(Calculation!P65="M27",BR65*3.1416*(0.269^2)/(4*144),BR65*3.1416*(0.307^2)/(4*144))))))," ")</f>
        <v xml:space="preserve"> </v>
      </c>
      <c r="BT65" s="353" t="str">
        <f>IF(L65&gt;0,IF(BS65&gt;0,R65/Calculation!BS65,0)," ")</f>
        <v xml:space="preserve"> </v>
      </c>
      <c r="BU65" s="438" t="e">
        <f t="shared" ca="1" si="31"/>
        <v>#VALUE!</v>
      </c>
      <c r="BV65" s="449" t="e">
        <f ca="1">INDEX(INDIRECT(VLOOKUP(LEFT(BO65,7),CLU!$Z$3:$AH$18,2)),GN65,GR65)</f>
        <v>#N/A</v>
      </c>
      <c r="BW65" s="433" t="e">
        <f ca="1">INDEX(INDIRECT(VLOOKUP(LEFT(BO65,7),CLU!$Z$3:$AH$18,3)),GN65,GR65)</f>
        <v>#N/A</v>
      </c>
      <c r="BX65" s="433" t="e">
        <f ca="1">INDEX(INDIRECT(VLOOKUP(LEFT(BO65,7),CLU!$Z$3:$AH$18,4)),GN65,GR65)</f>
        <v>#N/A</v>
      </c>
      <c r="BY65" s="433" t="e">
        <f ca="1">INDEX(INDIRECT(VLOOKUP(LEFT(BO65,7),CLU!$Z$3:$AH$18,9)),((M65-2)*(6-COUNTBLANK(GT65:GY65)))+GJ65)</f>
        <v>#N/A</v>
      </c>
      <c r="BZ65" s="426" t="e">
        <f t="shared" ca="1" si="139"/>
        <v>#N/A</v>
      </c>
      <c r="CA65" s="424" t="e">
        <f t="shared" ca="1" si="140"/>
        <v>#N/A</v>
      </c>
      <c r="CB65" s="429" t="e">
        <f ca="1">INDEX(INDIRECT(VLOOKUP(LEFT(BO65,7),CLU!$Z$3:$AH$18,2)),GN65,GS65)</f>
        <v>#N/A</v>
      </c>
      <c r="CC65" s="342" t="e">
        <f ca="1">INDEX(INDIRECT(VLOOKUP(LEFT(BO65,7),CLU!$Z$3:$AH$18,3)),GN65,GS65)</f>
        <v>#N/A</v>
      </c>
      <c r="CD65" s="342" t="e">
        <f ca="1">INDEX(INDIRECT(VLOOKUP(LEFT(BO65,7),CLU!$Z$3:$AH$18,4)),GN65,GS65)</f>
        <v>#N/A</v>
      </c>
      <c r="CE65" s="426" t="e">
        <f t="shared" ca="1" si="141"/>
        <v>#N/A</v>
      </c>
      <c r="CF65" s="440">
        <f t="shared" si="142"/>
        <v>0</v>
      </c>
      <c r="CG65" s="431" t="e">
        <f ca="1">INDEX(INDIRECT(VLOOKUP(LEFT(BO65,7),CLU!$Z$3:$AH$18,2)),GQ65,GR65)</f>
        <v>#N/A</v>
      </c>
      <c r="CH65" s="431" t="e">
        <f ca="1">INDEX(INDIRECT(VLOOKUP(LEFT(BO65,7),CLU!$Z$3:$AH$18,3)),GQ65,GR65)</f>
        <v>#N/A</v>
      </c>
      <c r="CI65" s="431" t="e">
        <f ca="1">INDEX(INDIRECT(VLOOKUP(LEFT(BO65,7),CLU!$Z$3:$AH$18,4)),GQ65,GR65)</f>
        <v>#N/A</v>
      </c>
      <c r="CJ65" s="448" t="e">
        <f t="shared" ca="1" si="143"/>
        <v>#N/A</v>
      </c>
      <c r="CK65" s="431" t="e">
        <f t="shared" ca="1" si="144"/>
        <v>#N/A</v>
      </c>
      <c r="CL65" s="440" t="e">
        <f t="shared" ca="1" si="145"/>
        <v>#N/A</v>
      </c>
      <c r="CM65" s="431" t="e">
        <f ca="1">INDEX(INDIRECT(VLOOKUP(LEFT(BO65,7),CLU!$Z$3:$AH$18,2)),GQ65,GS65)</f>
        <v>#N/A</v>
      </c>
      <c r="CN65" s="431" t="e">
        <f ca="1">INDEX(INDIRECT(VLOOKUP(LEFT(BO65,7),CLU!$Z$3:$AH$18,3)),GQ65,GS65)</f>
        <v>#N/A</v>
      </c>
      <c r="CO65" s="431" t="e">
        <f ca="1">INDEX(INDIRECT(VLOOKUP(LEFT(BO65,7),CLU!$Z$3:$AH$18,4)),GQ65,GS65)</f>
        <v>#N/A</v>
      </c>
      <c r="CP65" s="431" t="e">
        <f t="shared" ca="1" si="146"/>
        <v>#N/A</v>
      </c>
      <c r="CQ65" s="440">
        <f t="shared" si="147"/>
        <v>0</v>
      </c>
      <c r="CR65" s="51" t="e">
        <f t="shared" ca="1" si="148"/>
        <v>#N/A</v>
      </c>
      <c r="CS65" s="439" t="e">
        <f t="shared" ca="1" si="149"/>
        <v>#VALUE!</v>
      </c>
      <c r="CT65" s="51" t="e">
        <f t="shared" ca="1" si="150"/>
        <v>#VALUE!</v>
      </c>
      <c r="CU65" s="10"/>
      <c r="CV65" s="51" t="e">
        <f t="shared" ca="1" si="34"/>
        <v>#VALUE!</v>
      </c>
      <c r="CW65" s="51">
        <f t="shared" si="151"/>
        <v>0</v>
      </c>
      <c r="CX65" s="439" t="e">
        <f t="shared" ca="1" si="152"/>
        <v>#VALUE!</v>
      </c>
      <c r="CY65" s="51" t="e">
        <f t="shared" ca="1" si="153"/>
        <v>#VALUE!</v>
      </c>
      <c r="CZ65" s="10"/>
      <c r="DA65" s="51" t="e">
        <f t="shared" ca="1" si="154"/>
        <v>#VALUE!</v>
      </c>
      <c r="DB65" s="347" t="e">
        <f ca="1">INDEX(INDIRECT(VLOOKUP(LEFT(BO65,7),CLU!$Z$3:$AI$18,10)),((M65-2)*(6-COUNTBLANK(GT65:GY65)))+GJ65)*LI65</f>
        <v>#N/A</v>
      </c>
      <c r="DC65" s="347" t="str">
        <f>IF(L65&gt;0,((R65/Worksheet!$I$15)/DB65)^2," ")</f>
        <v xml:space="preserve"> </v>
      </c>
      <c r="DD65" s="602" t="str">
        <f t="shared" si="224"/>
        <v xml:space="preserve"> </v>
      </c>
      <c r="DE65" s="347" t="str">
        <f t="shared" si="35"/>
        <v xml:space="preserve"> </v>
      </c>
      <c r="DF65" s="356" t="e">
        <f ca="1">INDEX(INDIRECT(VLOOKUP(LEFT(BO65,7),CLU!$Z$3:$AH$18,8)),((M65-2)*(6-COUNTBLANK(GT65:GY65)))+GJ65)</f>
        <v>#N/A</v>
      </c>
      <c r="DG65" s="347" t="str">
        <f t="shared" si="36"/>
        <v xml:space="preserve"> </v>
      </c>
      <c r="DH65" s="357" t="str">
        <f t="shared" si="37"/>
        <v xml:space="preserve"> </v>
      </c>
      <c r="DI65" s="355" t="str">
        <f t="shared" si="38"/>
        <v xml:space="preserve"> </v>
      </c>
      <c r="DJ65" s="245" t="e">
        <f ca="1">INDEX(INDIRECT(VLOOKUP(LEFT(BO65,7),CLU!$Z$3:$AH$18,5)),GL65,GK65)</f>
        <v>#N/A</v>
      </c>
      <c r="DK65" s="245" t="e">
        <f ca="1">INDEX(INDIRECT(VLOOKUP(LEFT(BO65,7),CLU!$Z$3:$AH$18,6)),GL65,GK65)</f>
        <v>#N/A</v>
      </c>
      <c r="DL65" s="355">
        <f>(Calculation!R65*0.69143*(Calculation!$BQ$8-Calculation!$F$8))*$S$14</f>
        <v>0</v>
      </c>
      <c r="DM65" s="359" t="e">
        <f t="shared" si="160"/>
        <v>#VALUE!</v>
      </c>
      <c r="DN65" s="611">
        <f t="shared" si="161"/>
        <v>0</v>
      </c>
      <c r="DO65" s="359">
        <f t="shared" si="162"/>
        <v>100</v>
      </c>
      <c r="DP65" s="359">
        <f t="shared" si="163"/>
        <v>0</v>
      </c>
      <c r="DQ65" s="360"/>
      <c r="DR65" s="245" t="e">
        <f ca="1">INDEX(INDIRECT(VLOOKUP(LEFT(BO65,7),CLU!$Z$3:$AH$18,7)),M65-1,1)</f>
        <v>#N/A</v>
      </c>
      <c r="DS65" s="245" t="e">
        <f ca="1">INDEX(INDIRECT(VLOOKUP(LEFT(BO65,7),CLU!$Z$3:$AH$18,7)),M65-1,2)</f>
        <v>#N/A</v>
      </c>
      <c r="DT65" s="245" t="e">
        <f ca="1">INDEX(INDIRECT(VLOOKUP(LEFT(BO65,7),CLU!$Z$3:$AH$18,7)),M65-1,3)</f>
        <v>#N/A</v>
      </c>
      <c r="DU65" s="245" t="e">
        <f ca="1">INDEX(INDIRECT(VLOOKUP(LEFT(BO65,7),CLU!$Z$3:$AH$18,7)),M65-1,4)</f>
        <v>#N/A</v>
      </c>
      <c r="DV65" s="361" t="e">
        <f ca="1">INDEX(INDIRECT(VLOOKUP(LEFT(BO65,7),CLU!$Z$3:$AH$18,7)),M65-1,4+LEFT(DZ65,1)*0.5)</f>
        <v>#N/A</v>
      </c>
      <c r="DW65" s="245" t="e">
        <f ca="1">INDEX(INDIRECT(VLOOKUP(LEFT(BO65,7),CLU!$Z$3:$AH$18,7)),M65-1,8)</f>
        <v>#N/A</v>
      </c>
      <c r="DX65" s="361" t="str">
        <f t="shared" si="39"/>
        <v xml:space="preserve"> </v>
      </c>
      <c r="DY65" s="361" t="str">
        <f t="shared" si="40"/>
        <v xml:space="preserve"> </v>
      </c>
      <c r="DZ65" s="361" t="str">
        <f t="shared" si="41"/>
        <v xml:space="preserve"> </v>
      </c>
      <c r="EA65" s="362" t="str">
        <f t="shared" si="42"/>
        <v xml:space="preserve"> </v>
      </c>
      <c r="EB65" s="624" t="str">
        <f t="shared" si="168"/>
        <v xml:space="preserve"> </v>
      </c>
      <c r="EC65" s="361" t="e">
        <f ca="1">INDEX(INDIRECT(VLOOKUP(LEFT(BO65,7),CLU!$Z$3:$AH$18,7)),M65-1,4+LEFT(DZ65,1)*0.5)</f>
        <v>#N/A</v>
      </c>
      <c r="ED65" s="362" t="str">
        <f t="shared" si="43"/>
        <v xml:space="preserve"> </v>
      </c>
      <c r="EE65" s="361" t="str">
        <f t="shared" si="44"/>
        <v xml:space="preserve"> </v>
      </c>
      <c r="EF65" s="362" t="str">
        <f>IF(L65&gt;0,IF(BR65&gt;0,IF(EE65="2P",IF(Calculation!DZ65="2P",IF(Calculation!DS65=13.75,IF(Calculation!DR65=13,Worksheet!$BD$43,IF(Calculation!DR65=37,Worksheet!$BD$44,Worksheet!$BD$45)),IF(Calculation!DS65=10,IF(Calculation!DR65=18,Worksheet!$BD$29,IF(Calculation!DR65=30,Worksheet!$BD$30,IF(Calculation!DR65=42,Worksheet!$BD$31,IF(Calculation!DR65=54,Worksheet!$BD$32,IF(Calculation!DR65=66,Worksheet!$BD$33,IF(Calculation!DR65=78,Worksheet!$BD$34,IF(Calculation!DR65=90,Worksheet!$BD$35,IF(Calculation!DR65=102,Worksheet!$BD$36,Worksheet!$BD$37)))))))),IF(Calculation!DS65=12.5,IF(Calculation!DR65=18,Worksheet!$BD$38,IF(Calculation!DR65=Worksheet!$BD$39,IF(Calculation!DR65=42,Worksheet!$BD$40,IF(Calculation!DR65=54,Worksheet!$BD$41,Worksheet!$BD$42)))),IF(Calculation!DR65=18,Worksheet!$BD$11,IF(Calculation!DR65=30,Worksheet!$BD$12,IF(Calculation!DR65=42,Worksheet!$BD$13,IF(Calculation!DR65=54,Worksheet!$BD$14,IF(Calculation!DR65=66,Worksheet!$BD$15,IF(Calculation!DR65=78,Worksheet!$BD$16,IF(Calculation!DR65=90,Worksheet!$BD$17,IF(Calculation!DR65=102,Worksheet!$BD$18,Worksheet!$BD$19))))))))))),IF(Calculation!DS65=13.75,IF(Calculation!DR65=13,Worksheet!$BD$78,IF(Calculation!DR65=37,Worksheet!$BD$79,Worksheet!$BD$80)),IF(Calculation!DS65=10,IF(Calculation!DR65=18,Worksheet!$BD$64,IF(Calculation!DR65=30,Worksheet!$BD$65,IF(Calculation!DR65=42,Worksheet!$BD$66,IF(Calculation!DR65=54,Worksheet!$BD$68,IF(Calculation!DR65=66,Worksheet!$BD$68,IF(Calculation!DR65=78,Worksheet!$BD$69,IF(Calculation!DR65=90,Worksheet!$BD$70,IF(Calculation!DR65=102,Worksheet!$BD$71,Worksheet!$BD$72)))))))),IF(Calculation!DS65=12.5,IF(Calculation!DR65=18,Worksheet!$BD$73,IF(Calculation!DR65=Worksheet!$BD$74,IF(Calculation!DR65=42,Worksheet!$BD$75,IF(Calculation!DR65=54,Worksheet!$BD$76,Worksheet!$BD$77)))),IF(Calculation!DR65=18,Worksheet!$BD$55,IF(Calculation!DR65=30,Worksheet!$BD$56,IF(Calculation!DR65=42,Worksheet!$BD$57,IF(Calculation!DR65=54,Worksheet!$BD$58,IF(Calculation!DR65=66,Worksheet!$BD$59,IF(Calculation!DR65=78,Worksheet!$BD$60,IF(Calculation!DR65=90,Worksheet!$BD$61,IF(Calculation!DR65=102,Worksheet!$BD$62,Worksheet!$BD$63)))))))))))),5),0)," ")</f>
        <v xml:space="preserve"> </v>
      </c>
      <c r="EG65" s="361" t="str">
        <f t="shared" si="45"/>
        <v xml:space="preserve"> </v>
      </c>
      <c r="EH65" s="361" t="e">
        <f ca="1">INDEX(INDIRECT(VLOOKUP(LEFT(BO65,7),CLU!$Z$3:$AH$18,7)),M65-1,3+LEFT(DZ65,1))</f>
        <v>#N/A</v>
      </c>
      <c r="EI65" s="362" t="str">
        <f t="shared" si="46"/>
        <v xml:space="preserve"> </v>
      </c>
      <c r="EJ65" s="363" t="str">
        <f t="shared" si="47"/>
        <v xml:space="preserve"> </v>
      </c>
      <c r="EK65" s="363" t="str">
        <f t="shared" si="48"/>
        <v xml:space="preserve"> </v>
      </c>
      <c r="EL65" s="363" t="str">
        <f t="shared" si="49"/>
        <v xml:space="preserve"> </v>
      </c>
      <c r="EM65" s="362" t="str">
        <f>IF(L65&gt;0,IF(BR65&gt;0,(Calculation!T65/ED65)^2,0)," ")</f>
        <v xml:space="preserve"> </v>
      </c>
      <c r="EN65" s="362" t="str">
        <f>IF(L65&gt;0,IF(O65="2 Pipe (Cooling)","N/A",IF(BR65&gt;0,(Calculation!U65/EI65)^2,0))," ")</f>
        <v xml:space="preserve"> </v>
      </c>
      <c r="EO65" s="361" t="str">
        <f t="shared" si="50"/>
        <v/>
      </c>
      <c r="EP65" s="361" t="str">
        <f t="shared" si="51"/>
        <v/>
      </c>
      <c r="EQ65" s="361" t="str">
        <f t="shared" si="52"/>
        <v/>
      </c>
      <c r="ER65" s="361" t="str">
        <f t="shared" si="53"/>
        <v/>
      </c>
      <c r="ES65" s="361" t="str">
        <f t="shared" si="54"/>
        <v/>
      </c>
      <c r="ET65" s="361" t="str">
        <f t="shared" si="55"/>
        <v/>
      </c>
      <c r="EU65" s="361" t="str">
        <f t="shared" si="56"/>
        <v/>
      </c>
      <c r="EV65" s="361" t="str">
        <f t="shared" si="57"/>
        <v/>
      </c>
      <c r="EW65" s="361" t="str">
        <f t="shared" si="58"/>
        <v/>
      </c>
      <c r="EX65" s="361" t="str">
        <f t="shared" si="169"/>
        <v>1 slot, 1 way</v>
      </c>
      <c r="EY65" s="361" t="str">
        <f t="shared" si="170"/>
        <v xml:space="preserve"> </v>
      </c>
      <c r="EZ65" s="361" t="str">
        <f t="shared" si="171"/>
        <v xml:space="preserve"> </v>
      </c>
      <c r="FA65" s="361" t="str">
        <f t="shared" si="172"/>
        <v xml:space="preserve"> </v>
      </c>
      <c r="FB65" s="361" t="str">
        <f t="shared" si="173"/>
        <v xml:space="preserve"> </v>
      </c>
      <c r="FC65" s="361"/>
      <c r="FD65" s="361" t="str">
        <f>IF(J65&gt;0,IF(Calculation!R65&lt;=70,4,IF(Calculation!R65&lt;=110,5,IF(Calculation!R65&lt;=160,6,IF(Calculation!R65&lt;=300,8,"10 EO")))),"")</f>
        <v/>
      </c>
      <c r="FE65" s="361" t="str">
        <f t="shared" si="174"/>
        <v/>
      </c>
      <c r="FF65" s="361" t="str">
        <f t="shared" si="175"/>
        <v/>
      </c>
      <c r="FG65" s="361" t="e">
        <f t="shared" si="60"/>
        <v>#N/A</v>
      </c>
      <c r="FH65" s="361">
        <f t="shared" si="61"/>
        <v>0</v>
      </c>
      <c r="FI65" s="361" t="e">
        <f t="shared" si="62"/>
        <v>#DIV/0!</v>
      </c>
      <c r="FJ65" s="361"/>
      <c r="FK65" s="356" t="e">
        <f t="shared" si="63"/>
        <v>#VALUE!</v>
      </c>
      <c r="FL65" s="361"/>
      <c r="FM65" s="361"/>
      <c r="FN65" s="362" t="str">
        <f t="shared" si="176"/>
        <v xml:space="preserve"> </v>
      </c>
      <c r="FO65" s="362" t="str">
        <f t="shared" si="177"/>
        <v xml:space="preserve"> </v>
      </c>
      <c r="FP65" s="362">
        <f t="shared" si="178"/>
        <v>0</v>
      </c>
      <c r="FQ65" s="361">
        <f t="shared" si="64"/>
        <v>0</v>
      </c>
      <c r="FR65" s="362" t="str">
        <f>IF(L65&gt;0,IF(J65="CBAL2",Worksheet!$P$67,IF(J65="CBE2-24",Worksheet!$Q$67,IF(J65="CBAM",Worksheet!$R$67,IF(J65="CBLV",Worksheet!$S$67,IF(J65="CBAB",Worksheet!$U$67,IF(J65="CBAW",Worksheet!$X$67,IF(J65="CBE2-12",Worksheet!$Y$67,IF(J65="CBAL2",Worksheet!$Z$67,"N/A"))))))))," ")</f>
        <v xml:space="preserve"> </v>
      </c>
      <c r="FS65" s="362" t="str">
        <f>IF(L65&gt;0,IF(J65="CBAL2",Worksheet!$P$68,IF(J65="CBE2-24",Worksheet!$Q$68,IF(J65="CBAM",Worksheet!$R$68,IF(J65="CBLV",Worksheet!$S$68,IF(J65="CBAB",Worksheet!$U$68,IF(J65="CBAW",Worksheet!$X$68,IF(J65="CBE2-12",Worksheet!$Y$68,IF(J65="CBAL2",Worksheet!$Z$68,"N/A"))))))))," ")</f>
        <v xml:space="preserve"> </v>
      </c>
      <c r="FT65" s="362" t="str">
        <f>IF(L65&gt;0,IF(J65="CBAL2",Worksheet!$P$69,IF(J65="CBE2-24",Worksheet!$Q$69,IF(J65="CBAM",Worksheet!$R$69,IF(J65="CBLV",Worksheet!$S$69,IF(J65="CBAB",Worksheet!$U$69,IF(J65="CBAW",Worksheet!$X$69,IF(J65="CBE2-12",Worksheet!$Y$69,IF(J65="CBAL2",Worksheet!$Z$69,"N/A"))))))))," ")</f>
        <v xml:space="preserve"> </v>
      </c>
      <c r="FU65" s="361" t="str">
        <f t="shared" si="179"/>
        <v xml:space="preserve"> </v>
      </c>
      <c r="FV65" s="362" t="str">
        <f t="shared" si="180"/>
        <v xml:space="preserve"> </v>
      </c>
      <c r="FW65" s="362" t="str">
        <f t="shared" si="181"/>
        <v xml:space="preserve"> </v>
      </c>
      <c r="FX65" s="362" t="str">
        <f t="shared" si="182"/>
        <v xml:space="preserve"> </v>
      </c>
      <c r="FY65" s="355" t="str">
        <f t="shared" si="183"/>
        <v xml:space="preserve"> </v>
      </c>
      <c r="FZ65" s="361" t="str">
        <f t="shared" si="184"/>
        <v xml:space="preserve"> </v>
      </c>
      <c r="GA65" s="347" t="str">
        <f t="shared" si="185"/>
        <v xml:space="preserve"> </v>
      </c>
      <c r="GB65" s="355" t="str">
        <f t="shared" si="186"/>
        <v xml:space="preserve"> </v>
      </c>
      <c r="GC65" s="328" t="str">
        <f t="shared" si="187"/>
        <v xml:space="preserve"> </v>
      </c>
      <c r="GD65" s="361" t="str">
        <f t="shared" si="188"/>
        <v xml:space="preserve"> </v>
      </c>
      <c r="GE65" s="347" t="str">
        <f t="shared" si="189"/>
        <v xml:space="preserve"> </v>
      </c>
      <c r="GF65" s="361" t="str">
        <f t="shared" si="190"/>
        <v xml:space="preserve"> </v>
      </c>
      <c r="GG65" s="347" t="str">
        <f t="shared" si="191"/>
        <v xml:space="preserve"> </v>
      </c>
      <c r="GH65" s="364">
        <f t="shared" si="78"/>
        <v>0</v>
      </c>
      <c r="GI65" s="362">
        <f t="shared" si="192"/>
        <v>2</v>
      </c>
      <c r="GJ65" s="433" t="e">
        <f>IF(6-COUNTBLANK(GT65:GY65)=4,MATCH(MID(BO65,9,3),CLU!$H$16:$K$16),MATCH(MID(BO65,9,3),CLU!$H$13:$M$13))</f>
        <v>#N/A</v>
      </c>
      <c r="GK65" s="433" t="e">
        <f>HLOOKUP(VALUE(BP65),CLU!$H$9:$M$10,2)</f>
        <v>#VALUE!</v>
      </c>
      <c r="GL65" s="433" t="e">
        <f ca="1">MATCH(BU65,CLU!$H$2:$V$2,1)</f>
        <v>#VALUE!</v>
      </c>
      <c r="GM65" s="433" t="e">
        <f t="shared" ca="1" si="193"/>
        <v>#VALUE!</v>
      </c>
      <c r="GN65" s="433" t="e">
        <f t="shared" ca="1" si="194"/>
        <v>#VALUE!</v>
      </c>
      <c r="GO65" s="433" t="e">
        <f t="shared" ca="1" si="195"/>
        <v>#VALUE!</v>
      </c>
      <c r="GP65" s="433" t="e">
        <f t="shared" ca="1" si="196"/>
        <v>#VALUE!</v>
      </c>
      <c r="GQ65" s="433" t="e">
        <f t="shared" ca="1" si="197"/>
        <v>#VALUE!</v>
      </c>
      <c r="GR65" s="433" t="e">
        <f ca="1">MATCH(T65,INDIRECT(VLOOKUP(CONCATENATE(LEFT(BO65,7),"-",MID(BO65,13,1)),CLU!$P$3:$Q$16,2)),1)</f>
        <v>#N/A</v>
      </c>
      <c r="GS65" s="433" t="e">
        <f ca="1">MATCH(U65,INDIRECT(VLOOKUP(CONCATENATE(LEFT(BO65,7),"-",MID(BO65,13,1)),CLU!$P$3:$Q$16,2)),1)</f>
        <v>#N/A</v>
      </c>
      <c r="GT65" s="347" t="s">
        <v>512</v>
      </c>
      <c r="GU65" s="97" t="s">
        <v>513</v>
      </c>
      <c r="GV65" s="97" t="str">
        <f t="shared" si="198"/>
        <v>M23</v>
      </c>
      <c r="GW65" s="97" t="str">
        <f t="shared" si="199"/>
        <v>M31</v>
      </c>
      <c r="GX65" s="97" t="str">
        <f t="shared" si="200"/>
        <v/>
      </c>
      <c r="GY65" s="97" t="str">
        <f t="shared" si="201"/>
        <v/>
      </c>
      <c r="GZ65" s="481"/>
      <c r="HA65" s="288"/>
      <c r="HB65" s="240"/>
      <c r="HC65" s="240"/>
      <c r="HD65" s="240"/>
      <c r="HE65" s="240"/>
      <c r="HF65" s="240"/>
      <c r="HG65" s="240"/>
      <c r="HH65" s="240"/>
      <c r="HI65" s="240"/>
      <c r="HJ65" s="240"/>
      <c r="HK65" s="240"/>
      <c r="HL65" s="240"/>
      <c r="HM65" s="240"/>
      <c r="HN65" s="240"/>
      <c r="HO65" s="240"/>
      <c r="HP65" s="240"/>
      <c r="HQ65" s="240"/>
      <c r="HR65" s="240"/>
      <c r="HS65" s="240"/>
      <c r="HT65" s="240"/>
      <c r="HU65" s="240"/>
      <c r="HV65" s="245"/>
      <c r="HW65" s="245" t="b">
        <v>1</v>
      </c>
      <c r="HX65" s="245" t="str">
        <f t="shared" si="79"/>
        <v/>
      </c>
      <c r="HY65" s="245" t="e">
        <f t="shared" si="80"/>
        <v>#DIV/0!</v>
      </c>
      <c r="HZ65" s="245" t="e">
        <f t="shared" si="81"/>
        <v>#DIV/0!</v>
      </c>
      <c r="IA65" s="245">
        <f t="shared" si="82"/>
        <v>0</v>
      </c>
      <c r="IB65" s="245"/>
      <c r="IC65" t="b">
        <f t="shared" si="83"/>
        <v>1</v>
      </c>
      <c r="ID65" s="245" t="b">
        <f t="shared" si="84"/>
        <v>1</v>
      </c>
      <c r="IE65" s="245" t="b">
        <f t="shared" si="85"/>
        <v>1</v>
      </c>
      <c r="IF65" s="245" t="b">
        <f t="shared" si="86"/>
        <v>0</v>
      </c>
      <c r="IG65" s="245" t="b">
        <f t="shared" si="87"/>
        <v>1</v>
      </c>
      <c r="IH65" s="245" t="b">
        <f t="shared" si="88"/>
        <v>1</v>
      </c>
      <c r="II65" s="245">
        <f t="shared" si="202"/>
        <v>0</v>
      </c>
      <c r="IJ65" s="245" t="e">
        <f t="shared" si="89"/>
        <v>#VALUE!</v>
      </c>
      <c r="IK65" s="245" t="e">
        <f t="shared" si="90"/>
        <v>#VALUE!</v>
      </c>
      <c r="IL65" s="245"/>
      <c r="IM65" s="245" t="e">
        <f t="shared" si="203"/>
        <v>#N/A</v>
      </c>
      <c r="IN65" s="245" t="e">
        <f t="shared" si="204"/>
        <v>#N/A</v>
      </c>
      <c r="IO65" s="245"/>
      <c r="IP65" s="245"/>
      <c r="IQ65" s="245" t="str">
        <f t="shared" si="91"/>
        <v/>
      </c>
      <c r="IR65" s="245" t="str">
        <f>IF(J65="","",VLOOKUP(J65,Worksheet!$R$4:$T$14,2))</f>
        <v/>
      </c>
      <c r="IS65" s="245"/>
      <c r="IT65" s="245">
        <f t="shared" si="92"/>
        <v>0</v>
      </c>
      <c r="IU65" s="245">
        <f t="shared" si="93"/>
        <v>0</v>
      </c>
      <c r="IV65" s="245">
        <f t="shared" si="94"/>
        <v>0</v>
      </c>
      <c r="IW65" s="245">
        <f t="shared" si="95"/>
        <v>0</v>
      </c>
      <c r="IX65" s="245">
        <f t="shared" si="205"/>
        <v>0</v>
      </c>
      <c r="IY65" s="245">
        <f t="shared" si="96"/>
        <v>0</v>
      </c>
      <c r="IZ65" s="245">
        <f t="shared" si="97"/>
        <v>0</v>
      </c>
      <c r="JA65">
        <f t="shared" si="98"/>
        <v>0</v>
      </c>
      <c r="JB65">
        <f t="shared" si="206"/>
        <v>0</v>
      </c>
      <c r="JC65">
        <f t="shared" si="99"/>
        <v>0</v>
      </c>
      <c r="JD65">
        <f t="shared" si="100"/>
        <v>0</v>
      </c>
      <c r="JE65">
        <f t="shared" si="101"/>
        <v>0</v>
      </c>
      <c r="JF65">
        <f t="shared" si="102"/>
        <v>0</v>
      </c>
      <c r="JG65">
        <f t="shared" si="103"/>
        <v>0</v>
      </c>
      <c r="JH65">
        <f t="shared" si="104"/>
        <v>0</v>
      </c>
      <c r="JI65">
        <f t="shared" si="105"/>
        <v>0</v>
      </c>
      <c r="JJ65" s="447">
        <f t="shared" si="106"/>
        <v>0</v>
      </c>
      <c r="JK65" s="447">
        <f t="shared" si="107"/>
        <v>0</v>
      </c>
      <c r="JL65">
        <f t="shared" si="108"/>
        <v>0</v>
      </c>
      <c r="JM65" s="245" t="str">
        <f>IFERROR(VLOOKUP(MATCH(BN65,#REF!,0),#REF!,7),"")</f>
        <v/>
      </c>
      <c r="JN65" t="e">
        <f>HLOOKUP(LEFT(BO65,7),Discharge_Area,MATCH(JO65,LookUps!$B$130:$B$149,1)+2)</f>
        <v>#N/A</v>
      </c>
      <c r="JO65" t="str">
        <f t="shared" si="109"/>
        <v>- S</v>
      </c>
      <c r="JP65" t="e">
        <f>HLOOKUP(LEFT(BO65,7),Discharge_Area,MATCH(JO65,LookUps!$B$130:$B$149,1)+2)</f>
        <v>#N/A</v>
      </c>
      <c r="JQ65" t="e">
        <f t="shared" si="110"/>
        <v>#N/A</v>
      </c>
      <c r="JR65" t="e">
        <f t="shared" si="111"/>
        <v>#N/A</v>
      </c>
      <c r="JS65" t="e">
        <f t="shared" si="112"/>
        <v>#N/A</v>
      </c>
      <c r="JT65" s="532" t="str">
        <f t="shared" si="113"/>
        <v xml:space="preserve"> </v>
      </c>
      <c r="JU65" s="532" t="str">
        <f t="shared" si="114"/>
        <v xml:space="preserve"> </v>
      </c>
      <c r="JV65" s="533" t="str">
        <f t="shared" si="115"/>
        <v xml:space="preserve"> </v>
      </c>
      <c r="JW65" s="534">
        <f t="shared" si="116"/>
        <v>0</v>
      </c>
      <c r="JX65" s="535" t="str">
        <f t="shared" si="207"/>
        <v xml:space="preserve"> </v>
      </c>
      <c r="JY65" s="535" t="str">
        <f t="shared" si="208"/>
        <v xml:space="preserve"> </v>
      </c>
      <c r="JZ65" s="535" t="str">
        <f t="shared" si="209"/>
        <v xml:space="preserve"> </v>
      </c>
      <c r="KA65" s="536" t="str">
        <f t="shared" si="117"/>
        <v xml:space="preserve"> </v>
      </c>
      <c r="KB65" s="535" t="e">
        <f t="shared" si="210"/>
        <v>#VALUE!</v>
      </c>
      <c r="KC65" s="535" t="str">
        <f t="shared" si="118"/>
        <v/>
      </c>
      <c r="KD65" s="537" t="str">
        <f t="shared" si="211"/>
        <v xml:space="preserve"> </v>
      </c>
      <c r="KE65" s="537" t="str">
        <f t="shared" si="212"/>
        <v xml:space="preserve"> </v>
      </c>
      <c r="KF65" s="534">
        <f t="shared" si="119"/>
        <v>0</v>
      </c>
      <c r="KG65" s="535" t="str">
        <f t="shared" si="120"/>
        <v xml:space="preserve"> </v>
      </c>
      <c r="KH65" s="535" t="str">
        <f t="shared" si="121"/>
        <v xml:space="preserve"> </v>
      </c>
      <c r="KI65" s="535" t="str">
        <f t="shared" si="122"/>
        <v xml:space="preserve"> </v>
      </c>
      <c r="KJ65" s="536" t="str">
        <f t="shared" si="123"/>
        <v xml:space="preserve"> </v>
      </c>
      <c r="KK65" s="535" t="str">
        <f t="shared" si="213"/>
        <v xml:space="preserve"> </v>
      </c>
      <c r="KL65" s="535" t="str">
        <f t="shared" si="214"/>
        <v xml:space="preserve"> </v>
      </c>
      <c r="KM65" s="537" t="str">
        <f t="shared" si="124"/>
        <v xml:space="preserve"> </v>
      </c>
      <c r="KN65" s="537" t="str">
        <f t="shared" si="215"/>
        <v xml:space="preserve"> </v>
      </c>
      <c r="KP65">
        <f t="shared" si="125"/>
        <v>0</v>
      </c>
      <c r="LA65" t="e">
        <f t="shared" si="126"/>
        <v>#VALUE!</v>
      </c>
      <c r="LB65" t="e">
        <f t="shared" si="127"/>
        <v>#VALUE!</v>
      </c>
      <c r="LC65" t="e">
        <f t="shared" si="128"/>
        <v>#VALUE!</v>
      </c>
      <c r="LD65" t="e">
        <f t="shared" si="129"/>
        <v>#VALUE!</v>
      </c>
      <c r="LE65" t="e">
        <f t="shared" si="216"/>
        <v>#VALUE!</v>
      </c>
      <c r="LF65">
        <f t="shared" si="130"/>
        <v>0</v>
      </c>
      <c r="LG65" t="e">
        <f t="shared" si="217"/>
        <v>#VALUE!</v>
      </c>
      <c r="LH65" t="str">
        <f t="shared" si="131"/>
        <v xml:space="preserve"> </v>
      </c>
      <c r="LI65">
        <f t="shared" si="218"/>
        <v>1</v>
      </c>
    </row>
    <row r="66" spans="2:321" ht="15" customHeight="1">
      <c r="B66" s="311"/>
      <c r="C66" s="311"/>
      <c r="D66" s="312"/>
      <c r="E66" s="311"/>
      <c r="F66" s="312"/>
      <c r="G66" s="311"/>
      <c r="H66" s="311"/>
      <c r="I66" s="37"/>
      <c r="J66" s="311"/>
      <c r="K66" s="305" t="str">
        <f t="shared" si="132"/>
        <v/>
      </c>
      <c r="L66" s="313"/>
      <c r="M66" s="312"/>
      <c r="N66" s="311"/>
      <c r="O66" s="312"/>
      <c r="P66" s="311"/>
      <c r="Q66" s="305" t="str">
        <f t="shared" si="133"/>
        <v/>
      </c>
      <c r="R66" s="314"/>
      <c r="S66" s="450" t="str">
        <f t="shared" si="0"/>
        <v/>
      </c>
      <c r="T66" s="315"/>
      <c r="U66" s="315"/>
      <c r="W66" s="149" t="str">
        <f t="shared" si="1"/>
        <v xml:space="preserve"> </v>
      </c>
      <c r="X66" s="243" t="str">
        <f t="shared" si="2"/>
        <v xml:space="preserve"> </v>
      </c>
      <c r="Y66" s="150" t="str">
        <f t="shared" si="3"/>
        <v/>
      </c>
      <c r="Z66" s="149" t="str">
        <f t="shared" si="4"/>
        <v xml:space="preserve"> </v>
      </c>
      <c r="AA66" s="98" t="str">
        <f t="shared" si="5"/>
        <v xml:space="preserve"> </v>
      </c>
      <c r="AB66" s="153" t="str">
        <f t="shared" si="6"/>
        <v xml:space="preserve"> </v>
      </c>
      <c r="AC66" s="153" t="str">
        <f t="shared" si="7"/>
        <v xml:space="preserve"> </v>
      </c>
      <c r="AD66" s="148" t="str">
        <f t="shared" si="8"/>
        <v/>
      </c>
      <c r="AE66" s="149" t="str">
        <f t="shared" si="9"/>
        <v/>
      </c>
      <c r="AF66" s="151" t="str">
        <f t="shared" si="10"/>
        <v xml:space="preserve"> </v>
      </c>
      <c r="AG66" s="153" t="str">
        <f t="shared" si="11"/>
        <v xml:space="preserve"> </v>
      </c>
      <c r="AH66" s="98" t="str">
        <f t="shared" si="12"/>
        <v xml:space="preserve"> </v>
      </c>
      <c r="AI66" s="149" t="str">
        <f t="shared" si="13"/>
        <v xml:space="preserve"> </v>
      </c>
      <c r="AK66" s="144" t="str">
        <f t="shared" si="14"/>
        <v xml:space="preserve"> </v>
      </c>
      <c r="AL66" s="144"/>
      <c r="AM66" s="243" t="str">
        <f t="shared" si="15"/>
        <v xml:space="preserve"> </v>
      </c>
      <c r="AN66" s="149" t="str">
        <f t="shared" si="134"/>
        <v xml:space="preserve"> </v>
      </c>
      <c r="AO66" s="144" t="str">
        <f>IF(JB66&gt;0,IF(GI66=10,-R66*1.085*(Calculation!$F$6-Calculation!$F$13)*$S$14," "),"")</f>
        <v/>
      </c>
      <c r="AP66" s="144" t="str">
        <f t="shared" si="16"/>
        <v/>
      </c>
      <c r="AQ66" s="56" t="str">
        <f t="shared" si="17"/>
        <v/>
      </c>
      <c r="AR66" s="144" t="str">
        <f t="shared" si="18"/>
        <v/>
      </c>
      <c r="AS66" s="176" t="str">
        <f t="shared" si="19"/>
        <v/>
      </c>
      <c r="AT66" s="176" t="str">
        <f t="shared" si="135"/>
        <v xml:space="preserve"> </v>
      </c>
      <c r="AU66" s="176" t="str">
        <f t="shared" si="20"/>
        <v/>
      </c>
      <c r="AV66" s="177" t="str">
        <f t="shared" si="21"/>
        <v xml:space="preserve"> </v>
      </c>
      <c r="AW66" s="144" t="str">
        <f t="shared" si="22"/>
        <v xml:space="preserve"> </v>
      </c>
      <c r="AX66" s="144" t="str">
        <f t="shared" si="23"/>
        <v xml:space="preserve"> </v>
      </c>
      <c r="AY66" s="152" t="str">
        <f t="shared" si="24"/>
        <v xml:space="preserve"> </v>
      </c>
      <c r="AZ66" s="246" t="str">
        <f t="shared" si="25"/>
        <v/>
      </c>
      <c r="BA66" s="176" t="str">
        <f t="shared" si="26"/>
        <v xml:space="preserve"> </v>
      </c>
      <c r="BB66" s="176" t="str">
        <f t="shared" si="27"/>
        <v xml:space="preserve"> </v>
      </c>
      <c r="BC66" s="195"/>
      <c r="BD66" s="316"/>
      <c r="BE66" s="317"/>
      <c r="BF66" s="318"/>
      <c r="BG66" s="318"/>
      <c r="BH66" s="144" t="str">
        <f t="shared" si="219"/>
        <v xml:space="preserve"> </v>
      </c>
      <c r="BI66" s="176" t="str">
        <f t="shared" si="28"/>
        <v/>
      </c>
      <c r="BJ66" s="144" t="str">
        <f t="shared" si="220"/>
        <v/>
      </c>
      <c r="BK66" s="246" t="str">
        <f t="shared" si="29"/>
        <v/>
      </c>
      <c r="BL66" s="144" t="str">
        <f t="shared" si="221"/>
        <v/>
      </c>
      <c r="BM66" s="246" t="str">
        <f t="shared" si="30"/>
        <v/>
      </c>
      <c r="BN66" s="337" t="str">
        <f t="shared" si="136"/>
        <v/>
      </c>
      <c r="BO66" s="371" t="str">
        <f t="shared" si="137"/>
        <v/>
      </c>
      <c r="BP66" s="328" t="str">
        <f t="shared" si="222"/>
        <v xml:space="preserve"> </v>
      </c>
      <c r="BQ66" s="347" t="str">
        <f t="shared" si="138"/>
        <v xml:space="preserve"> </v>
      </c>
      <c r="BR66" s="353" t="str">
        <f t="shared" si="223"/>
        <v xml:space="preserve"> </v>
      </c>
      <c r="BS66" s="626" t="str">
        <f>IF(L66&gt;0,IF(Calculation!P66="M13",BR66*3.1416*(0.134^2)/(4*144),IF(Calculation!P66="M17",BR66*3.1416*(0.165^2)/(4*144),IF(Calculation!P66="M20",BR66*3.1416*(0.198^2)/(4*144),IF(Calculation!P66="M23",BR66*3.1416*(0.228^2)/(4*144),IF(Calculation!P66="M27",BR66*3.1416*(0.269^2)/(4*144),BR66*3.1416*(0.307^2)/(4*144))))))," ")</f>
        <v xml:space="preserve"> </v>
      </c>
      <c r="BT66" s="353" t="str">
        <f>IF(L66&gt;0,IF(BS66&gt;0,R66/Calculation!BS66,0)," ")</f>
        <v xml:space="preserve"> </v>
      </c>
      <c r="BU66" s="438" t="e">
        <f t="shared" ca="1" si="31"/>
        <v>#VALUE!</v>
      </c>
      <c r="BV66" s="449" t="e">
        <f ca="1">INDEX(INDIRECT(VLOOKUP(LEFT(BO66,7),CLU!$Z$3:$AH$18,2)),GN66,GR66)</f>
        <v>#N/A</v>
      </c>
      <c r="BW66" s="433" t="e">
        <f ca="1">INDEX(INDIRECT(VLOOKUP(LEFT(BO66,7),CLU!$Z$3:$AH$18,3)),GN66,GR66)</f>
        <v>#N/A</v>
      </c>
      <c r="BX66" s="433" t="e">
        <f ca="1">INDEX(INDIRECT(VLOOKUP(LEFT(BO66,7),CLU!$Z$3:$AH$18,4)),GN66,GR66)</f>
        <v>#N/A</v>
      </c>
      <c r="BY66" s="433" t="e">
        <f ca="1">INDEX(INDIRECT(VLOOKUP(LEFT(BO66,7),CLU!$Z$3:$AH$18,9)),((M66-2)*(6-COUNTBLANK(GT66:GY66)))+GJ66)</f>
        <v>#N/A</v>
      </c>
      <c r="BZ66" s="426" t="e">
        <f t="shared" ca="1" si="139"/>
        <v>#N/A</v>
      </c>
      <c r="CA66" s="424" t="e">
        <f t="shared" ca="1" si="140"/>
        <v>#N/A</v>
      </c>
      <c r="CB66" s="429" t="e">
        <f ca="1">INDEX(INDIRECT(VLOOKUP(LEFT(BO66,7),CLU!$Z$3:$AH$18,2)),GN66,GS66)</f>
        <v>#N/A</v>
      </c>
      <c r="CC66" s="342" t="e">
        <f ca="1">INDEX(INDIRECT(VLOOKUP(LEFT(BO66,7),CLU!$Z$3:$AH$18,3)),GN66,GS66)</f>
        <v>#N/A</v>
      </c>
      <c r="CD66" s="342" t="e">
        <f ca="1">INDEX(INDIRECT(VLOOKUP(LEFT(BO66,7),CLU!$Z$3:$AH$18,4)),GN66,GS66)</f>
        <v>#N/A</v>
      </c>
      <c r="CE66" s="426" t="e">
        <f t="shared" ca="1" si="141"/>
        <v>#N/A</v>
      </c>
      <c r="CF66" s="440">
        <f t="shared" si="142"/>
        <v>0</v>
      </c>
      <c r="CG66" s="431" t="e">
        <f ca="1">INDEX(INDIRECT(VLOOKUP(LEFT(BO66,7),CLU!$Z$3:$AH$18,2)),GQ66,GR66)</f>
        <v>#N/A</v>
      </c>
      <c r="CH66" s="431" t="e">
        <f ca="1">INDEX(INDIRECT(VLOOKUP(LEFT(BO66,7),CLU!$Z$3:$AH$18,3)),GQ66,GR66)</f>
        <v>#N/A</v>
      </c>
      <c r="CI66" s="431" t="e">
        <f ca="1">INDEX(INDIRECT(VLOOKUP(LEFT(BO66,7),CLU!$Z$3:$AH$18,4)),GQ66,GR66)</f>
        <v>#N/A</v>
      </c>
      <c r="CJ66" s="448" t="e">
        <f t="shared" ca="1" si="143"/>
        <v>#N/A</v>
      </c>
      <c r="CK66" s="431" t="e">
        <f t="shared" ca="1" si="144"/>
        <v>#N/A</v>
      </c>
      <c r="CL66" s="440" t="e">
        <f t="shared" ca="1" si="145"/>
        <v>#N/A</v>
      </c>
      <c r="CM66" s="431" t="e">
        <f ca="1">INDEX(INDIRECT(VLOOKUP(LEFT(BO66,7),CLU!$Z$3:$AH$18,2)),GQ66,GS66)</f>
        <v>#N/A</v>
      </c>
      <c r="CN66" s="431" t="e">
        <f ca="1">INDEX(INDIRECT(VLOOKUP(LEFT(BO66,7),CLU!$Z$3:$AH$18,3)),GQ66,GS66)</f>
        <v>#N/A</v>
      </c>
      <c r="CO66" s="431" t="e">
        <f ca="1">INDEX(INDIRECT(VLOOKUP(LEFT(BO66,7),CLU!$Z$3:$AH$18,4)),GQ66,GS66)</f>
        <v>#N/A</v>
      </c>
      <c r="CP66" s="431" t="e">
        <f t="shared" ca="1" si="146"/>
        <v>#N/A</v>
      </c>
      <c r="CQ66" s="440">
        <f t="shared" si="147"/>
        <v>0</v>
      </c>
      <c r="CR66" s="51" t="e">
        <f t="shared" ca="1" si="148"/>
        <v>#N/A</v>
      </c>
      <c r="CS66" s="439" t="e">
        <f t="shared" ca="1" si="149"/>
        <v>#VALUE!</v>
      </c>
      <c r="CT66" s="51" t="e">
        <f t="shared" ca="1" si="150"/>
        <v>#VALUE!</v>
      </c>
      <c r="CU66" s="10"/>
      <c r="CV66" s="51" t="e">
        <f t="shared" ca="1" si="34"/>
        <v>#VALUE!</v>
      </c>
      <c r="CW66" s="51">
        <f t="shared" si="151"/>
        <v>0</v>
      </c>
      <c r="CX66" s="439" t="e">
        <f t="shared" ca="1" si="152"/>
        <v>#VALUE!</v>
      </c>
      <c r="CY66" s="51" t="e">
        <f t="shared" ca="1" si="153"/>
        <v>#VALUE!</v>
      </c>
      <c r="CZ66" s="10"/>
      <c r="DA66" s="51" t="e">
        <f t="shared" ca="1" si="154"/>
        <v>#VALUE!</v>
      </c>
      <c r="DB66" s="347" t="e">
        <f ca="1">INDEX(INDIRECT(VLOOKUP(LEFT(BO66,7),CLU!$Z$3:$AI$18,10)),((M66-2)*(6-COUNTBLANK(GT66:GY66)))+GJ66)*LI66</f>
        <v>#N/A</v>
      </c>
      <c r="DC66" s="347" t="str">
        <f>IF(L66&gt;0,((R66/Worksheet!$I$15)/DB66)^2," ")</f>
        <v xml:space="preserve"> </v>
      </c>
      <c r="DD66" s="602" t="str">
        <f t="shared" si="224"/>
        <v xml:space="preserve"> </v>
      </c>
      <c r="DE66" s="347" t="str">
        <f t="shared" si="35"/>
        <v xml:space="preserve"> </v>
      </c>
      <c r="DF66" s="356" t="e">
        <f ca="1">INDEX(INDIRECT(VLOOKUP(LEFT(BO66,7),CLU!$Z$3:$AH$18,8)),((M66-2)*(6-COUNTBLANK(GT66:GY66)))+GJ66)</f>
        <v>#N/A</v>
      </c>
      <c r="DG66" s="347" t="str">
        <f t="shared" si="36"/>
        <v xml:space="preserve"> </v>
      </c>
      <c r="DH66" s="357" t="str">
        <f t="shared" si="37"/>
        <v xml:space="preserve"> </v>
      </c>
      <c r="DI66" s="355" t="str">
        <f t="shared" si="38"/>
        <v xml:space="preserve"> </v>
      </c>
      <c r="DJ66" s="245" t="e">
        <f ca="1">INDEX(INDIRECT(VLOOKUP(LEFT(BO66,7),CLU!$Z$3:$AH$18,5)),GL66,GK66)</f>
        <v>#N/A</v>
      </c>
      <c r="DK66" s="245" t="e">
        <f ca="1">INDEX(INDIRECT(VLOOKUP(LEFT(BO66,7),CLU!$Z$3:$AH$18,6)),GL66,GK66)</f>
        <v>#N/A</v>
      </c>
      <c r="DL66" s="355">
        <f>(Calculation!R66*0.69143*(Calculation!$BQ$8-Calculation!$F$8))*$S$14</f>
        <v>0</v>
      </c>
      <c r="DM66" s="359" t="e">
        <f t="shared" si="160"/>
        <v>#VALUE!</v>
      </c>
      <c r="DN66" s="611">
        <f t="shared" si="161"/>
        <v>0</v>
      </c>
      <c r="DO66" s="359">
        <f t="shared" si="162"/>
        <v>100</v>
      </c>
      <c r="DP66" s="359">
        <f t="shared" si="163"/>
        <v>0</v>
      </c>
      <c r="DQ66" s="360"/>
      <c r="DR66" s="245" t="e">
        <f ca="1">INDEX(INDIRECT(VLOOKUP(LEFT(BO66,7),CLU!$Z$3:$AH$18,7)),M66-1,1)</f>
        <v>#N/A</v>
      </c>
      <c r="DS66" s="245" t="e">
        <f ca="1">INDEX(INDIRECT(VLOOKUP(LEFT(BO66,7),CLU!$Z$3:$AH$18,7)),M66-1,2)</f>
        <v>#N/A</v>
      </c>
      <c r="DT66" s="245" t="e">
        <f ca="1">INDEX(INDIRECT(VLOOKUP(LEFT(BO66,7),CLU!$Z$3:$AH$18,7)),M66-1,3)</f>
        <v>#N/A</v>
      </c>
      <c r="DU66" s="245" t="e">
        <f ca="1">INDEX(INDIRECT(VLOOKUP(LEFT(BO66,7),CLU!$Z$3:$AH$18,7)),M66-1,4)</f>
        <v>#N/A</v>
      </c>
      <c r="DV66" s="361" t="e">
        <f ca="1">INDEX(INDIRECT(VLOOKUP(LEFT(BO66,7),CLU!$Z$3:$AH$18,7)),M66-1,4+LEFT(DZ66,1)*0.5)</f>
        <v>#N/A</v>
      </c>
      <c r="DW66" s="245" t="e">
        <f ca="1">INDEX(INDIRECT(VLOOKUP(LEFT(BO66,7),CLU!$Z$3:$AH$18,7)),M66-1,8)</f>
        <v>#N/A</v>
      </c>
      <c r="DX66" s="361" t="str">
        <f t="shared" si="39"/>
        <v xml:space="preserve"> </v>
      </c>
      <c r="DY66" s="361" t="str">
        <f t="shared" si="40"/>
        <v xml:space="preserve"> </v>
      </c>
      <c r="DZ66" s="361" t="str">
        <f t="shared" si="41"/>
        <v xml:space="preserve"> </v>
      </c>
      <c r="EA66" s="362" t="str">
        <f t="shared" si="42"/>
        <v xml:space="preserve"> </v>
      </c>
      <c r="EB66" s="624" t="str">
        <f t="shared" si="168"/>
        <v xml:space="preserve"> </v>
      </c>
      <c r="EC66" s="361" t="e">
        <f ca="1">INDEX(INDIRECT(VLOOKUP(LEFT(BO66,7),CLU!$Z$3:$AH$18,7)),M66-1,4+LEFT(DZ66,1)*0.5)</f>
        <v>#N/A</v>
      </c>
      <c r="ED66" s="362" t="str">
        <f t="shared" si="43"/>
        <v xml:space="preserve"> </v>
      </c>
      <c r="EE66" s="361" t="str">
        <f t="shared" si="44"/>
        <v xml:space="preserve"> </v>
      </c>
      <c r="EF66" s="362" t="str">
        <f>IF(L66&gt;0,IF(BR66&gt;0,IF(EE66="2P",IF(Calculation!DZ66="2P",IF(Calculation!DS66=13.75,IF(Calculation!DR66=13,Worksheet!$BD$43,IF(Calculation!DR66=37,Worksheet!$BD$44,Worksheet!$BD$45)),IF(Calculation!DS66=10,IF(Calculation!DR66=18,Worksheet!$BD$29,IF(Calculation!DR66=30,Worksheet!$BD$30,IF(Calculation!DR66=42,Worksheet!$BD$31,IF(Calculation!DR66=54,Worksheet!$BD$32,IF(Calculation!DR66=66,Worksheet!$BD$33,IF(Calculation!DR66=78,Worksheet!$BD$34,IF(Calculation!DR66=90,Worksheet!$BD$35,IF(Calculation!DR66=102,Worksheet!$BD$36,Worksheet!$BD$37)))))))),IF(Calculation!DS66=12.5,IF(Calculation!DR66=18,Worksheet!$BD$38,IF(Calculation!DR66=Worksheet!$BD$39,IF(Calculation!DR66=42,Worksheet!$BD$40,IF(Calculation!DR66=54,Worksheet!$BD$41,Worksheet!$BD$42)))),IF(Calculation!DR66=18,Worksheet!$BD$11,IF(Calculation!DR66=30,Worksheet!$BD$12,IF(Calculation!DR66=42,Worksheet!$BD$13,IF(Calculation!DR66=54,Worksheet!$BD$14,IF(Calculation!DR66=66,Worksheet!$BD$15,IF(Calculation!DR66=78,Worksheet!$BD$16,IF(Calculation!DR66=90,Worksheet!$BD$17,IF(Calculation!DR66=102,Worksheet!$BD$18,Worksheet!$BD$19))))))))))),IF(Calculation!DS66=13.75,IF(Calculation!DR66=13,Worksheet!$BD$78,IF(Calculation!DR66=37,Worksheet!$BD$79,Worksheet!$BD$80)),IF(Calculation!DS66=10,IF(Calculation!DR66=18,Worksheet!$BD$64,IF(Calculation!DR66=30,Worksheet!$BD$65,IF(Calculation!DR66=42,Worksheet!$BD$66,IF(Calculation!DR66=54,Worksheet!$BD$68,IF(Calculation!DR66=66,Worksheet!$BD$68,IF(Calculation!DR66=78,Worksheet!$BD$69,IF(Calculation!DR66=90,Worksheet!$BD$70,IF(Calculation!DR66=102,Worksheet!$BD$71,Worksheet!$BD$72)))))))),IF(Calculation!DS66=12.5,IF(Calculation!DR66=18,Worksheet!$BD$73,IF(Calculation!DR66=Worksheet!$BD$74,IF(Calculation!DR66=42,Worksheet!$BD$75,IF(Calculation!DR66=54,Worksheet!$BD$76,Worksheet!$BD$77)))),IF(Calculation!DR66=18,Worksheet!$BD$55,IF(Calculation!DR66=30,Worksheet!$BD$56,IF(Calculation!DR66=42,Worksheet!$BD$57,IF(Calculation!DR66=54,Worksheet!$BD$58,IF(Calculation!DR66=66,Worksheet!$BD$59,IF(Calculation!DR66=78,Worksheet!$BD$60,IF(Calculation!DR66=90,Worksheet!$BD$61,IF(Calculation!DR66=102,Worksheet!$BD$62,Worksheet!$BD$63)))))))))))),5),0)," ")</f>
        <v xml:space="preserve"> </v>
      </c>
      <c r="EG66" s="361" t="str">
        <f t="shared" si="45"/>
        <v xml:space="preserve"> </v>
      </c>
      <c r="EH66" s="361" t="e">
        <f ca="1">INDEX(INDIRECT(VLOOKUP(LEFT(BO66,7),CLU!$Z$3:$AH$18,7)),M66-1,3+LEFT(DZ66,1))</f>
        <v>#N/A</v>
      </c>
      <c r="EI66" s="362" t="str">
        <f t="shared" si="46"/>
        <v xml:space="preserve"> </v>
      </c>
      <c r="EJ66" s="363" t="str">
        <f t="shared" si="47"/>
        <v xml:space="preserve"> </v>
      </c>
      <c r="EK66" s="363" t="str">
        <f t="shared" si="48"/>
        <v xml:space="preserve"> </v>
      </c>
      <c r="EL66" s="363" t="str">
        <f t="shared" si="49"/>
        <v xml:space="preserve"> </v>
      </c>
      <c r="EM66" s="362" t="str">
        <f>IF(L66&gt;0,IF(BR66&gt;0,(Calculation!T66/ED66)^2,0)," ")</f>
        <v xml:space="preserve"> </v>
      </c>
      <c r="EN66" s="362" t="str">
        <f>IF(L66&gt;0,IF(O66="2 Pipe (Cooling)","N/A",IF(BR66&gt;0,(Calculation!U66/EI66)^2,0))," ")</f>
        <v xml:space="preserve"> </v>
      </c>
      <c r="EO66" s="361" t="str">
        <f t="shared" si="50"/>
        <v/>
      </c>
      <c r="EP66" s="361" t="str">
        <f t="shared" si="51"/>
        <v/>
      </c>
      <c r="EQ66" s="361" t="str">
        <f t="shared" si="52"/>
        <v/>
      </c>
      <c r="ER66" s="361" t="str">
        <f t="shared" si="53"/>
        <v/>
      </c>
      <c r="ES66" s="361" t="str">
        <f t="shared" si="54"/>
        <v/>
      </c>
      <c r="ET66" s="361" t="str">
        <f t="shared" si="55"/>
        <v/>
      </c>
      <c r="EU66" s="361" t="str">
        <f t="shared" si="56"/>
        <v/>
      </c>
      <c r="EV66" s="361" t="str">
        <f t="shared" si="57"/>
        <v/>
      </c>
      <c r="EW66" s="361" t="str">
        <f t="shared" si="58"/>
        <v/>
      </c>
      <c r="EX66" s="361" t="str">
        <f t="shared" si="169"/>
        <v>1 slot, 1 way</v>
      </c>
      <c r="EY66" s="361" t="str">
        <f t="shared" si="170"/>
        <v xml:space="preserve"> </v>
      </c>
      <c r="EZ66" s="361" t="str">
        <f t="shared" si="171"/>
        <v xml:space="preserve"> </v>
      </c>
      <c r="FA66" s="361" t="str">
        <f t="shared" si="172"/>
        <v xml:space="preserve"> </v>
      </c>
      <c r="FB66" s="361" t="str">
        <f t="shared" si="173"/>
        <v xml:space="preserve"> </v>
      </c>
      <c r="FC66" s="361"/>
      <c r="FD66" s="361" t="str">
        <f>IF(J66&gt;0,IF(Calculation!R66&lt;=70,4,IF(Calculation!R66&lt;=110,5,IF(Calculation!R66&lt;=160,6,IF(Calculation!R66&lt;=300,8,"10 EO")))),"")</f>
        <v/>
      </c>
      <c r="FE66" s="361" t="str">
        <f t="shared" si="174"/>
        <v/>
      </c>
      <c r="FF66" s="361" t="str">
        <f t="shared" si="175"/>
        <v/>
      </c>
      <c r="FG66" s="361" t="e">
        <f t="shared" si="60"/>
        <v>#N/A</v>
      </c>
      <c r="FH66" s="361">
        <f t="shared" si="61"/>
        <v>0</v>
      </c>
      <c r="FI66" s="361" t="e">
        <f t="shared" si="62"/>
        <v>#DIV/0!</v>
      </c>
      <c r="FJ66" s="361"/>
      <c r="FK66" s="356" t="e">
        <f t="shared" si="63"/>
        <v>#VALUE!</v>
      </c>
      <c r="FL66" s="361"/>
      <c r="FM66" s="361"/>
      <c r="FN66" s="362" t="str">
        <f t="shared" si="176"/>
        <v xml:space="preserve"> </v>
      </c>
      <c r="FO66" s="362" t="str">
        <f t="shared" si="177"/>
        <v xml:space="preserve"> </v>
      </c>
      <c r="FP66" s="362">
        <f t="shared" si="178"/>
        <v>0</v>
      </c>
      <c r="FQ66" s="361">
        <f t="shared" si="64"/>
        <v>0</v>
      </c>
      <c r="FR66" s="362" t="str">
        <f>IF(L66&gt;0,IF(J66="CBAL2",Worksheet!$P$67,IF(J66="CBE2-24",Worksheet!$Q$67,IF(J66="CBAM",Worksheet!$R$67,IF(J66="CBLV",Worksheet!$S$67,IF(J66="CBAB",Worksheet!$U$67,IF(J66="CBAW",Worksheet!$X$67,IF(J66="CBE2-12",Worksheet!$Y$67,IF(J66="CBAL2",Worksheet!$Z$67,"N/A"))))))))," ")</f>
        <v xml:space="preserve"> </v>
      </c>
      <c r="FS66" s="362" t="str">
        <f>IF(L66&gt;0,IF(J66="CBAL2",Worksheet!$P$68,IF(J66="CBE2-24",Worksheet!$Q$68,IF(J66="CBAM",Worksheet!$R$68,IF(J66="CBLV",Worksheet!$S$68,IF(J66="CBAB",Worksheet!$U$68,IF(J66="CBAW",Worksheet!$X$68,IF(J66="CBE2-12",Worksheet!$Y$68,IF(J66="CBAL2",Worksheet!$Z$68,"N/A"))))))))," ")</f>
        <v xml:space="preserve"> </v>
      </c>
      <c r="FT66" s="362" t="str">
        <f>IF(L66&gt;0,IF(J66="CBAL2",Worksheet!$P$69,IF(J66="CBE2-24",Worksheet!$Q$69,IF(J66="CBAM",Worksheet!$R$69,IF(J66="CBLV",Worksheet!$S$69,IF(J66="CBAB",Worksheet!$U$69,IF(J66="CBAW",Worksheet!$X$69,IF(J66="CBE2-12",Worksheet!$Y$69,IF(J66="CBAL2",Worksheet!$Z$69,"N/A"))))))))," ")</f>
        <v xml:space="preserve"> </v>
      </c>
      <c r="FU66" s="361" t="str">
        <f t="shared" si="179"/>
        <v xml:space="preserve"> </v>
      </c>
      <c r="FV66" s="362" t="str">
        <f t="shared" si="180"/>
        <v xml:space="preserve"> </v>
      </c>
      <c r="FW66" s="362" t="str">
        <f t="shared" si="181"/>
        <v xml:space="preserve"> </v>
      </c>
      <c r="FX66" s="362" t="str">
        <f t="shared" si="182"/>
        <v xml:space="preserve"> </v>
      </c>
      <c r="FY66" s="355" t="str">
        <f t="shared" si="183"/>
        <v xml:space="preserve"> </v>
      </c>
      <c r="FZ66" s="361" t="str">
        <f t="shared" si="184"/>
        <v xml:space="preserve"> </v>
      </c>
      <c r="GA66" s="347" t="str">
        <f t="shared" si="185"/>
        <v xml:space="preserve"> </v>
      </c>
      <c r="GB66" s="355" t="str">
        <f t="shared" si="186"/>
        <v xml:space="preserve"> </v>
      </c>
      <c r="GC66" s="328" t="str">
        <f t="shared" si="187"/>
        <v xml:space="preserve"> </v>
      </c>
      <c r="GD66" s="361" t="str">
        <f t="shared" si="188"/>
        <v xml:space="preserve"> </v>
      </c>
      <c r="GE66" s="347" t="str">
        <f t="shared" si="189"/>
        <v xml:space="preserve"> </v>
      </c>
      <c r="GF66" s="361" t="str">
        <f t="shared" si="190"/>
        <v xml:space="preserve"> </v>
      </c>
      <c r="GG66" s="347" t="str">
        <f t="shared" si="191"/>
        <v xml:space="preserve"> </v>
      </c>
      <c r="GH66" s="364">
        <f t="shared" si="78"/>
        <v>0</v>
      </c>
      <c r="GI66" s="362">
        <f t="shared" si="192"/>
        <v>2</v>
      </c>
      <c r="GJ66" s="433" t="e">
        <f>IF(6-COUNTBLANK(GT66:GY66)=4,MATCH(MID(BO66,9,3),CLU!$H$16:$K$16),MATCH(MID(BO66,9,3),CLU!$H$13:$M$13))</f>
        <v>#N/A</v>
      </c>
      <c r="GK66" s="433" t="e">
        <f>HLOOKUP(VALUE(BP66),CLU!$H$9:$M$10,2)</f>
        <v>#VALUE!</v>
      </c>
      <c r="GL66" s="433" t="e">
        <f ca="1">MATCH(BU66,CLU!$H$2:$V$2,1)</f>
        <v>#VALUE!</v>
      </c>
      <c r="GM66" s="433" t="e">
        <f t="shared" ca="1" si="193"/>
        <v>#VALUE!</v>
      </c>
      <c r="GN66" s="433" t="e">
        <f t="shared" ca="1" si="194"/>
        <v>#VALUE!</v>
      </c>
      <c r="GO66" s="433" t="e">
        <f t="shared" ca="1" si="195"/>
        <v>#VALUE!</v>
      </c>
      <c r="GP66" s="433" t="e">
        <f t="shared" ca="1" si="196"/>
        <v>#VALUE!</v>
      </c>
      <c r="GQ66" s="433" t="e">
        <f t="shared" ca="1" si="197"/>
        <v>#VALUE!</v>
      </c>
      <c r="GR66" s="433" t="e">
        <f ca="1">MATCH(T66,INDIRECT(VLOOKUP(CONCATENATE(LEFT(BO66,7),"-",MID(BO66,13,1)),CLU!$P$3:$Q$16,2)),1)</f>
        <v>#N/A</v>
      </c>
      <c r="GS66" s="433" t="e">
        <f ca="1">MATCH(U66,INDIRECT(VLOOKUP(CONCATENATE(LEFT(BO66,7),"-",MID(BO66,13,1)),CLU!$P$3:$Q$16,2)),1)</f>
        <v>#N/A</v>
      </c>
      <c r="GT66" s="347" t="s">
        <v>512</v>
      </c>
      <c r="GU66" s="97" t="s">
        <v>513</v>
      </c>
      <c r="GV66" s="97" t="str">
        <f t="shared" si="198"/>
        <v>M23</v>
      </c>
      <c r="GW66" s="97" t="str">
        <f t="shared" si="199"/>
        <v>M31</v>
      </c>
      <c r="GX66" s="97" t="str">
        <f t="shared" si="200"/>
        <v/>
      </c>
      <c r="GY66" s="97" t="str">
        <f t="shared" si="201"/>
        <v/>
      </c>
      <c r="GZ66" s="481"/>
      <c r="HA66" s="288"/>
      <c r="HB66" s="240"/>
      <c r="HC66" s="240"/>
      <c r="HD66" s="240"/>
      <c r="HE66" s="240"/>
      <c r="HF66" s="240"/>
      <c r="HG66" s="240"/>
      <c r="HH66" s="240"/>
      <c r="HI66" s="240"/>
      <c r="HJ66" s="240"/>
      <c r="HK66" s="240"/>
      <c r="HL66" s="240"/>
      <c r="HM66" s="240"/>
      <c r="HN66" s="240"/>
      <c r="HO66" s="240"/>
      <c r="HP66" s="240"/>
      <c r="HQ66" s="240"/>
      <c r="HR66" s="240"/>
      <c r="HS66" s="240"/>
      <c r="HT66" s="240"/>
      <c r="HU66" s="240"/>
      <c r="HV66" s="245"/>
      <c r="HW66" s="245" t="b">
        <v>1</v>
      </c>
      <c r="HX66" s="245" t="str">
        <f t="shared" si="79"/>
        <v/>
      </c>
      <c r="HY66" s="245" t="e">
        <f t="shared" si="80"/>
        <v>#DIV/0!</v>
      </c>
      <c r="HZ66" s="245" t="e">
        <f t="shared" si="81"/>
        <v>#DIV/0!</v>
      </c>
      <c r="IA66" s="245">
        <f t="shared" si="82"/>
        <v>0</v>
      </c>
      <c r="IB66" s="245"/>
      <c r="IC66" t="b">
        <f t="shared" si="83"/>
        <v>1</v>
      </c>
      <c r="ID66" s="245" t="b">
        <f t="shared" si="84"/>
        <v>1</v>
      </c>
      <c r="IE66" s="245" t="b">
        <f t="shared" si="85"/>
        <v>1</v>
      </c>
      <c r="IF66" s="245" t="b">
        <f t="shared" si="86"/>
        <v>0</v>
      </c>
      <c r="IG66" s="245" t="b">
        <f t="shared" si="87"/>
        <v>1</v>
      </c>
      <c r="IH66" s="245" t="b">
        <f t="shared" si="88"/>
        <v>1</v>
      </c>
      <c r="II66" s="245">
        <f t="shared" si="202"/>
        <v>0</v>
      </c>
      <c r="IJ66" s="245" t="e">
        <f t="shared" si="89"/>
        <v>#VALUE!</v>
      </c>
      <c r="IK66" s="245" t="e">
        <f t="shared" si="90"/>
        <v>#VALUE!</v>
      </c>
      <c r="IL66" s="245"/>
      <c r="IM66" s="245" t="e">
        <f t="shared" si="203"/>
        <v>#N/A</v>
      </c>
      <c r="IN66" s="245" t="e">
        <f t="shared" si="204"/>
        <v>#N/A</v>
      </c>
      <c r="IO66" s="245"/>
      <c r="IP66" s="245"/>
      <c r="IQ66" s="245" t="str">
        <f t="shared" si="91"/>
        <v/>
      </c>
      <c r="IR66" s="245" t="str">
        <f>IF(J66="","",VLOOKUP(J66,Worksheet!$R$4:$T$14,2))</f>
        <v/>
      </c>
      <c r="IS66" s="245"/>
      <c r="IT66" s="245">
        <f t="shared" si="92"/>
        <v>0</v>
      </c>
      <c r="IU66" s="245">
        <f t="shared" si="93"/>
        <v>0</v>
      </c>
      <c r="IV66" s="245">
        <f t="shared" si="94"/>
        <v>0</v>
      </c>
      <c r="IW66" s="245">
        <f t="shared" si="95"/>
        <v>0</v>
      </c>
      <c r="IX66" s="245">
        <f t="shared" si="205"/>
        <v>0</v>
      </c>
      <c r="IY66" s="245">
        <f t="shared" si="96"/>
        <v>0</v>
      </c>
      <c r="IZ66" s="245">
        <f t="shared" si="97"/>
        <v>0</v>
      </c>
      <c r="JA66">
        <f t="shared" si="98"/>
        <v>0</v>
      </c>
      <c r="JB66">
        <f t="shared" si="206"/>
        <v>0</v>
      </c>
      <c r="JC66">
        <f t="shared" si="99"/>
        <v>0</v>
      </c>
      <c r="JD66">
        <f t="shared" si="100"/>
        <v>0</v>
      </c>
      <c r="JE66">
        <f t="shared" si="101"/>
        <v>0</v>
      </c>
      <c r="JF66">
        <f t="shared" si="102"/>
        <v>0</v>
      </c>
      <c r="JG66">
        <f t="shared" si="103"/>
        <v>0</v>
      </c>
      <c r="JH66">
        <f t="shared" si="104"/>
        <v>0</v>
      </c>
      <c r="JI66">
        <f t="shared" si="105"/>
        <v>0</v>
      </c>
      <c r="JJ66" s="447">
        <f t="shared" si="106"/>
        <v>0</v>
      </c>
      <c r="JK66" s="447">
        <f t="shared" si="107"/>
        <v>0</v>
      </c>
      <c r="JL66">
        <f t="shared" si="108"/>
        <v>0</v>
      </c>
      <c r="JM66" s="245" t="str">
        <f>IFERROR(VLOOKUP(MATCH(BN66,#REF!,0),#REF!,7),"")</f>
        <v/>
      </c>
      <c r="JN66" t="e">
        <f>HLOOKUP(LEFT(BO66,7),Discharge_Area,MATCH(JO66,LookUps!$B$130:$B$149,1)+2)</f>
        <v>#N/A</v>
      </c>
      <c r="JO66" t="str">
        <f t="shared" si="109"/>
        <v>- S</v>
      </c>
      <c r="JP66" t="e">
        <f>HLOOKUP(LEFT(BO66,7),Discharge_Area,MATCH(JO66,LookUps!$B$130:$B$149,1)+2)</f>
        <v>#N/A</v>
      </c>
      <c r="JQ66" t="e">
        <f t="shared" si="110"/>
        <v>#N/A</v>
      </c>
      <c r="JR66" t="e">
        <f t="shared" si="111"/>
        <v>#N/A</v>
      </c>
      <c r="JS66" t="e">
        <f t="shared" si="112"/>
        <v>#N/A</v>
      </c>
      <c r="JT66" s="532" t="str">
        <f t="shared" si="113"/>
        <v xml:space="preserve"> </v>
      </c>
      <c r="JU66" s="532" t="str">
        <f t="shared" si="114"/>
        <v xml:space="preserve"> </v>
      </c>
      <c r="JV66" s="533" t="str">
        <f t="shared" si="115"/>
        <v xml:space="preserve"> </v>
      </c>
      <c r="JW66" s="534">
        <f t="shared" si="116"/>
        <v>0</v>
      </c>
      <c r="JX66" s="535" t="str">
        <f t="shared" si="207"/>
        <v xml:space="preserve"> </v>
      </c>
      <c r="JY66" s="535" t="str">
        <f t="shared" si="208"/>
        <v xml:space="preserve"> </v>
      </c>
      <c r="JZ66" s="535" t="str">
        <f t="shared" si="209"/>
        <v xml:space="preserve"> </v>
      </c>
      <c r="KA66" s="536" t="str">
        <f t="shared" si="117"/>
        <v xml:space="preserve"> </v>
      </c>
      <c r="KB66" s="535" t="e">
        <f t="shared" si="210"/>
        <v>#VALUE!</v>
      </c>
      <c r="KC66" s="535" t="str">
        <f t="shared" si="118"/>
        <v/>
      </c>
      <c r="KD66" s="537" t="str">
        <f t="shared" si="211"/>
        <v xml:space="preserve"> </v>
      </c>
      <c r="KE66" s="537" t="str">
        <f t="shared" si="212"/>
        <v xml:space="preserve"> </v>
      </c>
      <c r="KF66" s="534">
        <f t="shared" si="119"/>
        <v>0</v>
      </c>
      <c r="KG66" s="535" t="str">
        <f t="shared" si="120"/>
        <v xml:space="preserve"> </v>
      </c>
      <c r="KH66" s="535" t="str">
        <f t="shared" si="121"/>
        <v xml:space="preserve"> </v>
      </c>
      <c r="KI66" s="535" t="str">
        <f t="shared" si="122"/>
        <v xml:space="preserve"> </v>
      </c>
      <c r="KJ66" s="536" t="str">
        <f t="shared" si="123"/>
        <v xml:space="preserve"> </v>
      </c>
      <c r="KK66" s="535" t="str">
        <f t="shared" si="213"/>
        <v xml:space="preserve"> </v>
      </c>
      <c r="KL66" s="535" t="str">
        <f t="shared" si="214"/>
        <v xml:space="preserve"> </v>
      </c>
      <c r="KM66" s="537" t="str">
        <f t="shared" si="124"/>
        <v xml:space="preserve"> </v>
      </c>
      <c r="KN66" s="537" t="str">
        <f t="shared" si="215"/>
        <v xml:space="preserve"> </v>
      </c>
      <c r="KP66">
        <f t="shared" si="125"/>
        <v>0</v>
      </c>
      <c r="LA66" t="e">
        <f t="shared" si="126"/>
        <v>#VALUE!</v>
      </c>
      <c r="LB66" t="e">
        <f t="shared" si="127"/>
        <v>#VALUE!</v>
      </c>
      <c r="LC66" t="e">
        <f t="shared" si="128"/>
        <v>#VALUE!</v>
      </c>
      <c r="LD66" t="e">
        <f t="shared" si="129"/>
        <v>#VALUE!</v>
      </c>
      <c r="LE66" t="e">
        <f t="shared" si="216"/>
        <v>#VALUE!</v>
      </c>
      <c r="LF66">
        <f t="shared" si="130"/>
        <v>0</v>
      </c>
      <c r="LG66" t="e">
        <f t="shared" si="217"/>
        <v>#VALUE!</v>
      </c>
      <c r="LH66" t="str">
        <f t="shared" si="131"/>
        <v xml:space="preserve"> </v>
      </c>
      <c r="LI66">
        <f t="shared" si="218"/>
        <v>1</v>
      </c>
    </row>
    <row r="67" spans="2:321" ht="15" customHeight="1">
      <c r="B67" s="311"/>
      <c r="C67" s="311"/>
      <c r="D67" s="312"/>
      <c r="E67" s="311"/>
      <c r="F67" s="312"/>
      <c r="G67" s="311"/>
      <c r="H67" s="311"/>
      <c r="I67" s="37"/>
      <c r="J67" s="311"/>
      <c r="K67" s="305" t="str">
        <f t="shared" si="132"/>
        <v/>
      </c>
      <c r="L67" s="313"/>
      <c r="M67" s="312"/>
      <c r="N67" s="311"/>
      <c r="O67" s="312"/>
      <c r="P67" s="311"/>
      <c r="Q67" s="305" t="str">
        <f t="shared" si="133"/>
        <v/>
      </c>
      <c r="R67" s="314"/>
      <c r="S67" s="450" t="str">
        <f t="shared" si="0"/>
        <v/>
      </c>
      <c r="T67" s="315"/>
      <c r="U67" s="315"/>
      <c r="W67" s="149" t="str">
        <f t="shared" si="1"/>
        <v xml:space="preserve"> </v>
      </c>
      <c r="X67" s="243" t="str">
        <f t="shared" si="2"/>
        <v xml:space="preserve"> </v>
      </c>
      <c r="Y67" s="150" t="str">
        <f t="shared" si="3"/>
        <v/>
      </c>
      <c r="Z67" s="149" t="str">
        <f t="shared" si="4"/>
        <v xml:space="preserve"> </v>
      </c>
      <c r="AA67" s="98" t="str">
        <f t="shared" si="5"/>
        <v xml:space="preserve"> </v>
      </c>
      <c r="AB67" s="153" t="str">
        <f t="shared" si="6"/>
        <v xml:space="preserve"> </v>
      </c>
      <c r="AC67" s="153" t="str">
        <f t="shared" si="7"/>
        <v xml:space="preserve"> </v>
      </c>
      <c r="AD67" s="148" t="str">
        <f t="shared" si="8"/>
        <v/>
      </c>
      <c r="AE67" s="149" t="str">
        <f t="shared" si="9"/>
        <v/>
      </c>
      <c r="AF67" s="151" t="str">
        <f t="shared" si="10"/>
        <v xml:space="preserve"> </v>
      </c>
      <c r="AG67" s="153" t="str">
        <f t="shared" si="11"/>
        <v xml:space="preserve"> </v>
      </c>
      <c r="AH67" s="98" t="str">
        <f t="shared" si="12"/>
        <v xml:space="preserve"> </v>
      </c>
      <c r="AI67" s="149" t="str">
        <f t="shared" si="13"/>
        <v xml:space="preserve"> </v>
      </c>
      <c r="AK67" s="144" t="str">
        <f t="shared" si="14"/>
        <v xml:space="preserve"> </v>
      </c>
      <c r="AL67" s="144"/>
      <c r="AM67" s="243" t="str">
        <f t="shared" si="15"/>
        <v xml:space="preserve"> </v>
      </c>
      <c r="AN67" s="149" t="str">
        <f t="shared" si="134"/>
        <v xml:space="preserve"> </v>
      </c>
      <c r="AO67" s="144" t="str">
        <f>IF(JB67&gt;0,IF(GI67=10,-R67*1.085*(Calculation!$F$6-Calculation!$F$13)*$S$14," "),"")</f>
        <v/>
      </c>
      <c r="AP67" s="144" t="str">
        <f t="shared" si="16"/>
        <v/>
      </c>
      <c r="AQ67" s="56" t="str">
        <f t="shared" si="17"/>
        <v/>
      </c>
      <c r="AR67" s="144" t="str">
        <f t="shared" si="18"/>
        <v/>
      </c>
      <c r="AS67" s="176" t="str">
        <f t="shared" si="19"/>
        <v/>
      </c>
      <c r="AT67" s="176" t="str">
        <f t="shared" si="135"/>
        <v xml:space="preserve"> </v>
      </c>
      <c r="AU67" s="176" t="str">
        <f t="shared" si="20"/>
        <v/>
      </c>
      <c r="AV67" s="177" t="str">
        <f t="shared" si="21"/>
        <v xml:space="preserve"> </v>
      </c>
      <c r="AW67" s="144" t="str">
        <f t="shared" si="22"/>
        <v xml:space="preserve"> </v>
      </c>
      <c r="AX67" s="144" t="str">
        <f t="shared" si="23"/>
        <v xml:space="preserve"> </v>
      </c>
      <c r="AY67" s="152" t="str">
        <f t="shared" si="24"/>
        <v xml:space="preserve"> </v>
      </c>
      <c r="AZ67" s="246" t="str">
        <f t="shared" si="25"/>
        <v/>
      </c>
      <c r="BA67" s="176" t="str">
        <f t="shared" si="26"/>
        <v xml:space="preserve"> </v>
      </c>
      <c r="BB67" s="176" t="str">
        <f t="shared" si="27"/>
        <v xml:space="preserve"> </v>
      </c>
      <c r="BC67" s="195"/>
      <c r="BD67" s="316"/>
      <c r="BE67" s="317"/>
      <c r="BF67" s="318"/>
      <c r="BG67" s="318"/>
      <c r="BH67" s="144" t="str">
        <f t="shared" si="219"/>
        <v xml:space="preserve"> </v>
      </c>
      <c r="BI67" s="176" t="str">
        <f t="shared" si="28"/>
        <v/>
      </c>
      <c r="BJ67" s="144" t="str">
        <f t="shared" si="220"/>
        <v/>
      </c>
      <c r="BK67" s="246" t="str">
        <f t="shared" si="29"/>
        <v/>
      </c>
      <c r="BL67" s="144" t="str">
        <f t="shared" si="221"/>
        <v/>
      </c>
      <c r="BM67" s="246" t="str">
        <f t="shared" si="30"/>
        <v/>
      </c>
      <c r="BN67" s="337" t="str">
        <f t="shared" si="136"/>
        <v/>
      </c>
      <c r="BO67" s="371" t="str">
        <f t="shared" si="137"/>
        <v/>
      </c>
      <c r="BP67" s="328" t="str">
        <f t="shared" si="222"/>
        <v xml:space="preserve"> </v>
      </c>
      <c r="BQ67" s="347" t="str">
        <f t="shared" si="138"/>
        <v xml:space="preserve"> </v>
      </c>
      <c r="BR67" s="353" t="str">
        <f t="shared" si="223"/>
        <v xml:space="preserve"> </v>
      </c>
      <c r="BS67" s="626" t="str">
        <f>IF(L67&gt;0,IF(Calculation!P67="M13",BR67*3.1416*(0.134^2)/(4*144),IF(Calculation!P67="M17",BR67*3.1416*(0.165^2)/(4*144),IF(Calculation!P67="M20",BR67*3.1416*(0.198^2)/(4*144),IF(Calculation!P67="M23",BR67*3.1416*(0.228^2)/(4*144),IF(Calculation!P67="M27",BR67*3.1416*(0.269^2)/(4*144),BR67*3.1416*(0.307^2)/(4*144))))))," ")</f>
        <v xml:space="preserve"> </v>
      </c>
      <c r="BT67" s="353" t="str">
        <f>IF(L67&gt;0,IF(BS67&gt;0,R67/Calculation!BS67,0)," ")</f>
        <v xml:space="preserve"> </v>
      </c>
      <c r="BU67" s="438" t="e">
        <f t="shared" ca="1" si="31"/>
        <v>#VALUE!</v>
      </c>
      <c r="BV67" s="449" t="e">
        <f ca="1">INDEX(INDIRECT(VLOOKUP(LEFT(BO67,7),CLU!$Z$3:$AH$18,2)),GN67,GR67)</f>
        <v>#N/A</v>
      </c>
      <c r="BW67" s="433" t="e">
        <f ca="1">INDEX(INDIRECT(VLOOKUP(LEFT(BO67,7),CLU!$Z$3:$AH$18,3)),GN67,GR67)</f>
        <v>#N/A</v>
      </c>
      <c r="BX67" s="433" t="e">
        <f ca="1">INDEX(INDIRECT(VLOOKUP(LEFT(BO67,7),CLU!$Z$3:$AH$18,4)),GN67,GR67)</f>
        <v>#N/A</v>
      </c>
      <c r="BY67" s="433" t="e">
        <f ca="1">INDEX(INDIRECT(VLOOKUP(LEFT(BO67,7),CLU!$Z$3:$AH$18,9)),((M67-2)*(6-COUNTBLANK(GT67:GY67)))+GJ67)</f>
        <v>#N/A</v>
      </c>
      <c r="BZ67" s="426" t="e">
        <f t="shared" ca="1" si="139"/>
        <v>#N/A</v>
      </c>
      <c r="CA67" s="424" t="e">
        <f t="shared" ca="1" si="140"/>
        <v>#N/A</v>
      </c>
      <c r="CB67" s="429" t="e">
        <f ca="1">INDEX(INDIRECT(VLOOKUP(LEFT(BO67,7),CLU!$Z$3:$AH$18,2)),GN67,GS67)</f>
        <v>#N/A</v>
      </c>
      <c r="CC67" s="342" t="e">
        <f ca="1">INDEX(INDIRECT(VLOOKUP(LEFT(BO67,7),CLU!$Z$3:$AH$18,3)),GN67,GS67)</f>
        <v>#N/A</v>
      </c>
      <c r="CD67" s="342" t="e">
        <f ca="1">INDEX(INDIRECT(VLOOKUP(LEFT(BO67,7),CLU!$Z$3:$AH$18,4)),GN67,GS67)</f>
        <v>#N/A</v>
      </c>
      <c r="CE67" s="426" t="e">
        <f t="shared" ca="1" si="141"/>
        <v>#N/A</v>
      </c>
      <c r="CF67" s="440">
        <f t="shared" si="142"/>
        <v>0</v>
      </c>
      <c r="CG67" s="431" t="e">
        <f ca="1">INDEX(INDIRECT(VLOOKUP(LEFT(BO67,7),CLU!$Z$3:$AH$18,2)),GQ67,GR67)</f>
        <v>#N/A</v>
      </c>
      <c r="CH67" s="431" t="e">
        <f ca="1">INDEX(INDIRECT(VLOOKUP(LEFT(BO67,7),CLU!$Z$3:$AH$18,3)),GQ67,GR67)</f>
        <v>#N/A</v>
      </c>
      <c r="CI67" s="431" t="e">
        <f ca="1">INDEX(INDIRECT(VLOOKUP(LEFT(BO67,7),CLU!$Z$3:$AH$18,4)),GQ67,GR67)</f>
        <v>#N/A</v>
      </c>
      <c r="CJ67" s="448" t="e">
        <f t="shared" ca="1" si="143"/>
        <v>#N/A</v>
      </c>
      <c r="CK67" s="431" t="e">
        <f t="shared" ca="1" si="144"/>
        <v>#N/A</v>
      </c>
      <c r="CL67" s="440" t="e">
        <f t="shared" ca="1" si="145"/>
        <v>#N/A</v>
      </c>
      <c r="CM67" s="431" t="e">
        <f ca="1">INDEX(INDIRECT(VLOOKUP(LEFT(BO67,7),CLU!$Z$3:$AH$18,2)),GQ67,GS67)</f>
        <v>#N/A</v>
      </c>
      <c r="CN67" s="431" t="e">
        <f ca="1">INDEX(INDIRECT(VLOOKUP(LEFT(BO67,7),CLU!$Z$3:$AH$18,3)),GQ67,GS67)</f>
        <v>#N/A</v>
      </c>
      <c r="CO67" s="431" t="e">
        <f ca="1">INDEX(INDIRECT(VLOOKUP(LEFT(BO67,7),CLU!$Z$3:$AH$18,4)),GQ67,GS67)</f>
        <v>#N/A</v>
      </c>
      <c r="CP67" s="431" t="e">
        <f t="shared" ca="1" si="146"/>
        <v>#N/A</v>
      </c>
      <c r="CQ67" s="440">
        <f t="shared" si="147"/>
        <v>0</v>
      </c>
      <c r="CR67" s="51" t="e">
        <f t="shared" ca="1" si="148"/>
        <v>#N/A</v>
      </c>
      <c r="CS67" s="439" t="e">
        <f t="shared" ca="1" si="149"/>
        <v>#VALUE!</v>
      </c>
      <c r="CT67" s="51" t="e">
        <f t="shared" ca="1" si="150"/>
        <v>#VALUE!</v>
      </c>
      <c r="CU67" s="10"/>
      <c r="CV67" s="51" t="e">
        <f t="shared" ca="1" si="34"/>
        <v>#VALUE!</v>
      </c>
      <c r="CW67" s="51">
        <f t="shared" si="151"/>
        <v>0</v>
      </c>
      <c r="CX67" s="439" t="e">
        <f t="shared" ca="1" si="152"/>
        <v>#VALUE!</v>
      </c>
      <c r="CY67" s="51" t="e">
        <f t="shared" ca="1" si="153"/>
        <v>#VALUE!</v>
      </c>
      <c r="CZ67" s="10"/>
      <c r="DA67" s="51" t="e">
        <f t="shared" ca="1" si="154"/>
        <v>#VALUE!</v>
      </c>
      <c r="DB67" s="347" t="e">
        <f ca="1">INDEX(INDIRECT(VLOOKUP(LEFT(BO67,7),CLU!$Z$3:$AI$18,10)),((M67-2)*(6-COUNTBLANK(GT67:GY67)))+GJ67)*LI67</f>
        <v>#N/A</v>
      </c>
      <c r="DC67" s="347" t="str">
        <f>IF(L67&gt;0,((R67/Worksheet!$I$15)/DB67)^2," ")</f>
        <v xml:space="preserve"> </v>
      </c>
      <c r="DD67" s="602" t="str">
        <f t="shared" si="224"/>
        <v xml:space="preserve"> </v>
      </c>
      <c r="DE67" s="347" t="str">
        <f t="shared" si="35"/>
        <v xml:space="preserve"> </v>
      </c>
      <c r="DF67" s="356" t="e">
        <f ca="1">INDEX(INDIRECT(VLOOKUP(LEFT(BO67,7),CLU!$Z$3:$AH$18,8)),((M67-2)*(6-COUNTBLANK(GT67:GY67)))+GJ67)</f>
        <v>#N/A</v>
      </c>
      <c r="DG67" s="347" t="str">
        <f t="shared" si="36"/>
        <v xml:space="preserve"> </v>
      </c>
      <c r="DH67" s="357" t="str">
        <f t="shared" si="37"/>
        <v xml:space="preserve"> </v>
      </c>
      <c r="DI67" s="355" t="str">
        <f t="shared" si="38"/>
        <v xml:space="preserve"> </v>
      </c>
      <c r="DJ67" s="245" t="e">
        <f ca="1">INDEX(INDIRECT(VLOOKUP(LEFT(BO67,7),CLU!$Z$3:$AH$18,5)),GL67,GK67)</f>
        <v>#N/A</v>
      </c>
      <c r="DK67" s="245" t="e">
        <f ca="1">INDEX(INDIRECT(VLOOKUP(LEFT(BO67,7),CLU!$Z$3:$AH$18,6)),GL67,GK67)</f>
        <v>#N/A</v>
      </c>
      <c r="DL67" s="355">
        <f>(Calculation!R67*0.69143*(Calculation!$BQ$8-Calculation!$F$8))*$S$14</f>
        <v>0</v>
      </c>
      <c r="DM67" s="359" t="e">
        <f t="shared" si="160"/>
        <v>#VALUE!</v>
      </c>
      <c r="DN67" s="611">
        <f t="shared" si="161"/>
        <v>0</v>
      </c>
      <c r="DO67" s="359">
        <f t="shared" si="162"/>
        <v>100</v>
      </c>
      <c r="DP67" s="359">
        <f t="shared" si="163"/>
        <v>0</v>
      </c>
      <c r="DQ67" s="360"/>
      <c r="DR67" s="245" t="e">
        <f ca="1">INDEX(INDIRECT(VLOOKUP(LEFT(BO67,7),CLU!$Z$3:$AH$18,7)),M67-1,1)</f>
        <v>#N/A</v>
      </c>
      <c r="DS67" s="245" t="e">
        <f ca="1">INDEX(INDIRECT(VLOOKUP(LEFT(BO67,7),CLU!$Z$3:$AH$18,7)),M67-1,2)</f>
        <v>#N/A</v>
      </c>
      <c r="DT67" s="245" t="e">
        <f ca="1">INDEX(INDIRECT(VLOOKUP(LEFT(BO67,7),CLU!$Z$3:$AH$18,7)),M67-1,3)</f>
        <v>#N/A</v>
      </c>
      <c r="DU67" s="245" t="e">
        <f ca="1">INDEX(INDIRECT(VLOOKUP(LEFT(BO67,7),CLU!$Z$3:$AH$18,7)),M67-1,4)</f>
        <v>#N/A</v>
      </c>
      <c r="DV67" s="361" t="e">
        <f ca="1">INDEX(INDIRECT(VLOOKUP(LEFT(BO67,7),CLU!$Z$3:$AH$18,7)),M67-1,4+LEFT(DZ67,1)*0.5)</f>
        <v>#N/A</v>
      </c>
      <c r="DW67" s="245" t="e">
        <f ca="1">INDEX(INDIRECT(VLOOKUP(LEFT(BO67,7),CLU!$Z$3:$AH$18,7)),M67-1,8)</f>
        <v>#N/A</v>
      </c>
      <c r="DX67" s="361" t="str">
        <f t="shared" si="39"/>
        <v xml:space="preserve"> </v>
      </c>
      <c r="DY67" s="361" t="str">
        <f t="shared" si="40"/>
        <v xml:space="preserve"> </v>
      </c>
      <c r="DZ67" s="361" t="str">
        <f t="shared" si="41"/>
        <v xml:space="preserve"> </v>
      </c>
      <c r="EA67" s="362" t="str">
        <f t="shared" si="42"/>
        <v xml:space="preserve"> </v>
      </c>
      <c r="EB67" s="624" t="str">
        <f t="shared" si="168"/>
        <v xml:space="preserve"> </v>
      </c>
      <c r="EC67" s="361" t="e">
        <f ca="1">INDEX(INDIRECT(VLOOKUP(LEFT(BO67,7),CLU!$Z$3:$AH$18,7)),M67-1,4+LEFT(DZ67,1)*0.5)</f>
        <v>#N/A</v>
      </c>
      <c r="ED67" s="362" t="str">
        <f t="shared" si="43"/>
        <v xml:space="preserve"> </v>
      </c>
      <c r="EE67" s="361" t="str">
        <f t="shared" si="44"/>
        <v xml:space="preserve"> </v>
      </c>
      <c r="EF67" s="362" t="str">
        <f>IF(L67&gt;0,IF(BR67&gt;0,IF(EE67="2P",IF(Calculation!DZ67="2P",IF(Calculation!DS67=13.75,IF(Calculation!DR67=13,Worksheet!$BD$43,IF(Calculation!DR67=37,Worksheet!$BD$44,Worksheet!$BD$45)),IF(Calculation!DS67=10,IF(Calculation!DR67=18,Worksheet!$BD$29,IF(Calculation!DR67=30,Worksheet!$BD$30,IF(Calculation!DR67=42,Worksheet!$BD$31,IF(Calculation!DR67=54,Worksheet!$BD$32,IF(Calculation!DR67=66,Worksheet!$BD$33,IF(Calculation!DR67=78,Worksheet!$BD$34,IF(Calculation!DR67=90,Worksheet!$BD$35,IF(Calculation!DR67=102,Worksheet!$BD$36,Worksheet!$BD$37)))))))),IF(Calculation!DS67=12.5,IF(Calculation!DR67=18,Worksheet!$BD$38,IF(Calculation!DR67=Worksheet!$BD$39,IF(Calculation!DR67=42,Worksheet!$BD$40,IF(Calculation!DR67=54,Worksheet!$BD$41,Worksheet!$BD$42)))),IF(Calculation!DR67=18,Worksheet!$BD$11,IF(Calculation!DR67=30,Worksheet!$BD$12,IF(Calculation!DR67=42,Worksheet!$BD$13,IF(Calculation!DR67=54,Worksheet!$BD$14,IF(Calculation!DR67=66,Worksheet!$BD$15,IF(Calculation!DR67=78,Worksheet!$BD$16,IF(Calculation!DR67=90,Worksheet!$BD$17,IF(Calculation!DR67=102,Worksheet!$BD$18,Worksheet!$BD$19))))))))))),IF(Calculation!DS67=13.75,IF(Calculation!DR67=13,Worksheet!$BD$78,IF(Calculation!DR67=37,Worksheet!$BD$79,Worksheet!$BD$80)),IF(Calculation!DS67=10,IF(Calculation!DR67=18,Worksheet!$BD$64,IF(Calculation!DR67=30,Worksheet!$BD$65,IF(Calculation!DR67=42,Worksheet!$BD$66,IF(Calculation!DR67=54,Worksheet!$BD$68,IF(Calculation!DR67=66,Worksheet!$BD$68,IF(Calculation!DR67=78,Worksheet!$BD$69,IF(Calculation!DR67=90,Worksheet!$BD$70,IF(Calculation!DR67=102,Worksheet!$BD$71,Worksheet!$BD$72)))))))),IF(Calculation!DS67=12.5,IF(Calculation!DR67=18,Worksheet!$BD$73,IF(Calculation!DR67=Worksheet!$BD$74,IF(Calculation!DR67=42,Worksheet!$BD$75,IF(Calculation!DR67=54,Worksheet!$BD$76,Worksheet!$BD$77)))),IF(Calculation!DR67=18,Worksheet!$BD$55,IF(Calculation!DR67=30,Worksheet!$BD$56,IF(Calculation!DR67=42,Worksheet!$BD$57,IF(Calculation!DR67=54,Worksheet!$BD$58,IF(Calculation!DR67=66,Worksheet!$BD$59,IF(Calculation!DR67=78,Worksheet!$BD$60,IF(Calculation!DR67=90,Worksheet!$BD$61,IF(Calculation!DR67=102,Worksheet!$BD$62,Worksheet!$BD$63)))))))))))),5),0)," ")</f>
        <v xml:space="preserve"> </v>
      </c>
      <c r="EG67" s="361" t="str">
        <f t="shared" si="45"/>
        <v xml:space="preserve"> </v>
      </c>
      <c r="EH67" s="361" t="e">
        <f ca="1">INDEX(INDIRECT(VLOOKUP(LEFT(BO67,7),CLU!$Z$3:$AH$18,7)),M67-1,3+LEFT(DZ67,1))</f>
        <v>#N/A</v>
      </c>
      <c r="EI67" s="362" t="str">
        <f t="shared" si="46"/>
        <v xml:space="preserve"> </v>
      </c>
      <c r="EJ67" s="363" t="str">
        <f t="shared" si="47"/>
        <v xml:space="preserve"> </v>
      </c>
      <c r="EK67" s="363" t="str">
        <f t="shared" si="48"/>
        <v xml:space="preserve"> </v>
      </c>
      <c r="EL67" s="363" t="str">
        <f t="shared" si="49"/>
        <v xml:space="preserve"> </v>
      </c>
      <c r="EM67" s="362" t="str">
        <f>IF(L67&gt;0,IF(BR67&gt;0,(Calculation!T67/ED67)^2,0)," ")</f>
        <v xml:space="preserve"> </v>
      </c>
      <c r="EN67" s="362" t="str">
        <f>IF(L67&gt;0,IF(O67="2 Pipe (Cooling)","N/A",IF(BR67&gt;0,(Calculation!U67/EI67)^2,0))," ")</f>
        <v xml:space="preserve"> </v>
      </c>
      <c r="EO67" s="361" t="str">
        <f t="shared" si="50"/>
        <v/>
      </c>
      <c r="EP67" s="361" t="str">
        <f t="shared" si="51"/>
        <v/>
      </c>
      <c r="EQ67" s="361" t="str">
        <f t="shared" si="52"/>
        <v/>
      </c>
      <c r="ER67" s="361" t="str">
        <f t="shared" si="53"/>
        <v/>
      </c>
      <c r="ES67" s="361" t="str">
        <f t="shared" si="54"/>
        <v/>
      </c>
      <c r="ET67" s="361" t="str">
        <f t="shared" si="55"/>
        <v/>
      </c>
      <c r="EU67" s="361" t="str">
        <f t="shared" si="56"/>
        <v/>
      </c>
      <c r="EV67" s="361" t="str">
        <f t="shared" si="57"/>
        <v/>
      </c>
      <c r="EW67" s="361" t="str">
        <f t="shared" si="58"/>
        <v/>
      </c>
      <c r="EX67" s="361" t="str">
        <f t="shared" si="169"/>
        <v>1 slot, 1 way</v>
      </c>
      <c r="EY67" s="361" t="str">
        <f t="shared" si="170"/>
        <v xml:space="preserve"> </v>
      </c>
      <c r="EZ67" s="361" t="str">
        <f t="shared" si="171"/>
        <v xml:space="preserve"> </v>
      </c>
      <c r="FA67" s="361" t="str">
        <f t="shared" si="172"/>
        <v xml:space="preserve"> </v>
      </c>
      <c r="FB67" s="361" t="str">
        <f t="shared" si="173"/>
        <v xml:space="preserve"> </v>
      </c>
      <c r="FC67" s="361"/>
      <c r="FD67" s="361" t="str">
        <f>IF(J67&gt;0,IF(Calculation!R67&lt;=70,4,IF(Calculation!R67&lt;=110,5,IF(Calculation!R67&lt;=160,6,IF(Calculation!R67&lt;=300,8,"10 EO")))),"")</f>
        <v/>
      </c>
      <c r="FE67" s="361" t="str">
        <f t="shared" si="174"/>
        <v/>
      </c>
      <c r="FF67" s="361" t="str">
        <f t="shared" si="175"/>
        <v/>
      </c>
      <c r="FG67" s="361" t="e">
        <f t="shared" si="60"/>
        <v>#N/A</v>
      </c>
      <c r="FH67" s="361">
        <f t="shared" si="61"/>
        <v>0</v>
      </c>
      <c r="FI67" s="361" t="e">
        <f t="shared" si="62"/>
        <v>#DIV/0!</v>
      </c>
      <c r="FJ67" s="361"/>
      <c r="FK67" s="356" t="e">
        <f t="shared" si="63"/>
        <v>#VALUE!</v>
      </c>
      <c r="FL67" s="361"/>
      <c r="FM67" s="361"/>
      <c r="FN67" s="362" t="str">
        <f t="shared" si="176"/>
        <v xml:space="preserve"> </v>
      </c>
      <c r="FO67" s="362" t="str">
        <f t="shared" si="177"/>
        <v xml:space="preserve"> </v>
      </c>
      <c r="FP67" s="362">
        <f t="shared" si="178"/>
        <v>0</v>
      </c>
      <c r="FQ67" s="361">
        <f t="shared" si="64"/>
        <v>0</v>
      </c>
      <c r="FR67" s="362" t="str">
        <f>IF(L67&gt;0,IF(J67="CBAL2",Worksheet!$P$67,IF(J67="CBE2-24",Worksheet!$Q$67,IF(J67="CBAM",Worksheet!$R$67,IF(J67="CBLV",Worksheet!$S$67,IF(J67="CBAB",Worksheet!$U$67,IF(J67="CBAW",Worksheet!$X$67,IF(J67="CBE2-12",Worksheet!$Y$67,IF(J67="CBAL2",Worksheet!$Z$67,"N/A"))))))))," ")</f>
        <v xml:space="preserve"> </v>
      </c>
      <c r="FS67" s="362" t="str">
        <f>IF(L67&gt;0,IF(J67="CBAL2",Worksheet!$P$68,IF(J67="CBE2-24",Worksheet!$Q$68,IF(J67="CBAM",Worksheet!$R$68,IF(J67="CBLV",Worksheet!$S$68,IF(J67="CBAB",Worksheet!$U$68,IF(J67="CBAW",Worksheet!$X$68,IF(J67="CBE2-12",Worksheet!$Y$68,IF(J67="CBAL2",Worksheet!$Z$68,"N/A"))))))))," ")</f>
        <v xml:space="preserve"> </v>
      </c>
      <c r="FT67" s="362" t="str">
        <f>IF(L67&gt;0,IF(J67="CBAL2",Worksheet!$P$69,IF(J67="CBE2-24",Worksheet!$Q$69,IF(J67="CBAM",Worksheet!$R$69,IF(J67="CBLV",Worksheet!$S$69,IF(J67="CBAB",Worksheet!$U$69,IF(J67="CBAW",Worksheet!$X$69,IF(J67="CBE2-12",Worksheet!$Y$69,IF(J67="CBAL2",Worksheet!$Z$69,"N/A"))))))))," ")</f>
        <v xml:space="preserve"> </v>
      </c>
      <c r="FU67" s="361" t="str">
        <f t="shared" si="179"/>
        <v xml:space="preserve"> </v>
      </c>
      <c r="FV67" s="362" t="str">
        <f t="shared" si="180"/>
        <v xml:space="preserve"> </v>
      </c>
      <c r="FW67" s="362" t="str">
        <f t="shared" si="181"/>
        <v xml:space="preserve"> </v>
      </c>
      <c r="FX67" s="362" t="str">
        <f t="shared" si="182"/>
        <v xml:space="preserve"> </v>
      </c>
      <c r="FY67" s="355" t="str">
        <f t="shared" si="183"/>
        <v xml:space="preserve"> </v>
      </c>
      <c r="FZ67" s="361" t="str">
        <f t="shared" si="184"/>
        <v xml:space="preserve"> </v>
      </c>
      <c r="GA67" s="347" t="str">
        <f t="shared" si="185"/>
        <v xml:space="preserve"> </v>
      </c>
      <c r="GB67" s="355" t="str">
        <f t="shared" si="186"/>
        <v xml:space="preserve"> </v>
      </c>
      <c r="GC67" s="328" t="str">
        <f t="shared" si="187"/>
        <v xml:space="preserve"> </v>
      </c>
      <c r="GD67" s="361" t="str">
        <f t="shared" si="188"/>
        <v xml:space="preserve"> </v>
      </c>
      <c r="GE67" s="347" t="str">
        <f t="shared" si="189"/>
        <v xml:space="preserve"> </v>
      </c>
      <c r="GF67" s="361" t="str">
        <f t="shared" si="190"/>
        <v xml:space="preserve"> </v>
      </c>
      <c r="GG67" s="347" t="str">
        <f t="shared" si="191"/>
        <v xml:space="preserve"> </v>
      </c>
      <c r="GH67" s="364">
        <f t="shared" si="78"/>
        <v>0</v>
      </c>
      <c r="GI67" s="362">
        <f t="shared" si="192"/>
        <v>2</v>
      </c>
      <c r="GJ67" s="433" t="e">
        <f>IF(6-COUNTBLANK(GT67:GY67)=4,MATCH(MID(BO67,9,3),CLU!$H$16:$K$16),MATCH(MID(BO67,9,3),CLU!$H$13:$M$13))</f>
        <v>#N/A</v>
      </c>
      <c r="GK67" s="433" t="e">
        <f>HLOOKUP(VALUE(BP67),CLU!$H$9:$M$10,2)</f>
        <v>#VALUE!</v>
      </c>
      <c r="GL67" s="433" t="e">
        <f ca="1">MATCH(BU67,CLU!$H$2:$V$2,1)</f>
        <v>#VALUE!</v>
      </c>
      <c r="GM67" s="433" t="e">
        <f t="shared" ca="1" si="193"/>
        <v>#VALUE!</v>
      </c>
      <c r="GN67" s="433" t="e">
        <f t="shared" ca="1" si="194"/>
        <v>#VALUE!</v>
      </c>
      <c r="GO67" s="433" t="e">
        <f t="shared" ca="1" si="195"/>
        <v>#VALUE!</v>
      </c>
      <c r="GP67" s="433" t="e">
        <f t="shared" ca="1" si="196"/>
        <v>#VALUE!</v>
      </c>
      <c r="GQ67" s="433" t="e">
        <f t="shared" ca="1" si="197"/>
        <v>#VALUE!</v>
      </c>
      <c r="GR67" s="433" t="e">
        <f ca="1">MATCH(T67,INDIRECT(VLOOKUP(CONCATENATE(LEFT(BO67,7),"-",MID(BO67,13,1)),CLU!$P$3:$Q$16,2)),1)</f>
        <v>#N/A</v>
      </c>
      <c r="GS67" s="433" t="e">
        <f ca="1">MATCH(U67,INDIRECT(VLOOKUP(CONCATENATE(LEFT(BO67,7),"-",MID(BO67,13,1)),CLU!$P$3:$Q$16,2)),1)</f>
        <v>#N/A</v>
      </c>
      <c r="GT67" s="347" t="s">
        <v>512</v>
      </c>
      <c r="GU67" s="97" t="s">
        <v>513</v>
      </c>
      <c r="GV67" s="97" t="str">
        <f t="shared" si="198"/>
        <v>M23</v>
      </c>
      <c r="GW67" s="97" t="str">
        <f t="shared" si="199"/>
        <v>M31</v>
      </c>
      <c r="GX67" s="97" t="str">
        <f t="shared" si="200"/>
        <v/>
      </c>
      <c r="GY67" s="97" t="str">
        <f t="shared" si="201"/>
        <v/>
      </c>
      <c r="GZ67" s="481"/>
      <c r="HA67" s="288"/>
      <c r="HB67" s="240"/>
      <c r="HC67" s="240"/>
      <c r="HD67" s="240"/>
      <c r="HE67" s="240"/>
      <c r="HF67" s="240"/>
      <c r="HG67" s="240"/>
      <c r="HH67" s="240"/>
      <c r="HI67" s="240"/>
      <c r="HJ67" s="240"/>
      <c r="HK67" s="240"/>
      <c r="HL67" s="240"/>
      <c r="HM67" s="240"/>
      <c r="HN67" s="240"/>
      <c r="HO67" s="240"/>
      <c r="HP67" s="240"/>
      <c r="HQ67" s="240"/>
      <c r="HR67" s="240"/>
      <c r="HS67" s="240"/>
      <c r="HT67" s="240"/>
      <c r="HU67" s="240"/>
      <c r="HV67" s="245"/>
      <c r="HW67" s="245" t="b">
        <v>1</v>
      </c>
      <c r="HX67" s="245" t="str">
        <f t="shared" si="79"/>
        <v/>
      </c>
      <c r="HY67" s="245" t="e">
        <f t="shared" si="80"/>
        <v>#DIV/0!</v>
      </c>
      <c r="HZ67" s="245" t="e">
        <f t="shared" si="81"/>
        <v>#DIV/0!</v>
      </c>
      <c r="IA67" s="245">
        <f t="shared" si="82"/>
        <v>0</v>
      </c>
      <c r="IB67" s="245"/>
      <c r="IC67" t="b">
        <f t="shared" si="83"/>
        <v>1</v>
      </c>
      <c r="ID67" s="245" t="b">
        <f t="shared" si="84"/>
        <v>1</v>
      </c>
      <c r="IE67" s="245" t="b">
        <f t="shared" si="85"/>
        <v>1</v>
      </c>
      <c r="IF67" s="245" t="b">
        <f t="shared" si="86"/>
        <v>0</v>
      </c>
      <c r="IG67" s="245" t="b">
        <f t="shared" si="87"/>
        <v>1</v>
      </c>
      <c r="IH67" s="245" t="b">
        <f t="shared" si="88"/>
        <v>1</v>
      </c>
      <c r="II67" s="245">
        <f t="shared" si="202"/>
        <v>0</v>
      </c>
      <c r="IJ67" s="245" t="e">
        <f t="shared" si="89"/>
        <v>#VALUE!</v>
      </c>
      <c r="IK67" s="245" t="e">
        <f t="shared" si="90"/>
        <v>#VALUE!</v>
      </c>
      <c r="IL67" s="245"/>
      <c r="IM67" s="245" t="e">
        <f t="shared" si="203"/>
        <v>#N/A</v>
      </c>
      <c r="IN67" s="245" t="e">
        <f t="shared" si="204"/>
        <v>#N/A</v>
      </c>
      <c r="IO67" s="245"/>
      <c r="IP67" s="245"/>
      <c r="IQ67" s="245" t="str">
        <f t="shared" si="91"/>
        <v/>
      </c>
      <c r="IR67" s="245" t="str">
        <f>IF(J67="","",VLOOKUP(J67,Worksheet!$R$4:$T$14,2))</f>
        <v/>
      </c>
      <c r="IS67" s="245"/>
      <c r="IT67" s="245">
        <f t="shared" si="92"/>
        <v>0</v>
      </c>
      <c r="IU67" s="245">
        <f t="shared" si="93"/>
        <v>0</v>
      </c>
      <c r="IV67" s="245">
        <f t="shared" si="94"/>
        <v>0</v>
      </c>
      <c r="IW67" s="245">
        <f t="shared" si="95"/>
        <v>0</v>
      </c>
      <c r="IX67" s="245">
        <f t="shared" si="205"/>
        <v>0</v>
      </c>
      <c r="IY67" s="245">
        <f t="shared" si="96"/>
        <v>0</v>
      </c>
      <c r="IZ67" s="245">
        <f t="shared" si="97"/>
        <v>0</v>
      </c>
      <c r="JA67">
        <f t="shared" si="98"/>
        <v>0</v>
      </c>
      <c r="JB67">
        <f t="shared" si="206"/>
        <v>0</v>
      </c>
      <c r="JC67">
        <f t="shared" si="99"/>
        <v>0</v>
      </c>
      <c r="JD67">
        <f t="shared" si="100"/>
        <v>0</v>
      </c>
      <c r="JE67">
        <f t="shared" si="101"/>
        <v>0</v>
      </c>
      <c r="JF67">
        <f t="shared" si="102"/>
        <v>0</v>
      </c>
      <c r="JG67">
        <f t="shared" si="103"/>
        <v>0</v>
      </c>
      <c r="JH67">
        <f t="shared" si="104"/>
        <v>0</v>
      </c>
      <c r="JI67">
        <f t="shared" si="105"/>
        <v>0</v>
      </c>
      <c r="JJ67" s="447">
        <f t="shared" si="106"/>
        <v>0</v>
      </c>
      <c r="JK67" s="447">
        <f t="shared" si="107"/>
        <v>0</v>
      </c>
      <c r="JL67">
        <f t="shared" si="108"/>
        <v>0</v>
      </c>
      <c r="JM67" s="245" t="str">
        <f>IFERROR(VLOOKUP(MATCH(BN67,#REF!,0),#REF!,7),"")</f>
        <v/>
      </c>
      <c r="JN67" t="e">
        <f>HLOOKUP(LEFT(BO67,7),Discharge_Area,MATCH(JO67,LookUps!$B$130:$B$149,1)+2)</f>
        <v>#N/A</v>
      </c>
      <c r="JO67" t="str">
        <f t="shared" si="109"/>
        <v>- S</v>
      </c>
      <c r="JP67" t="e">
        <f>HLOOKUP(LEFT(BO67,7),Discharge_Area,MATCH(JO67,LookUps!$B$130:$B$149,1)+2)</f>
        <v>#N/A</v>
      </c>
      <c r="JQ67" t="e">
        <f t="shared" si="110"/>
        <v>#N/A</v>
      </c>
      <c r="JR67" t="e">
        <f t="shared" si="111"/>
        <v>#N/A</v>
      </c>
      <c r="JS67" t="e">
        <f t="shared" si="112"/>
        <v>#N/A</v>
      </c>
      <c r="JT67" s="532" t="str">
        <f t="shared" si="113"/>
        <v xml:space="preserve"> </v>
      </c>
      <c r="JU67" s="532" t="str">
        <f t="shared" si="114"/>
        <v xml:space="preserve"> </v>
      </c>
      <c r="JV67" s="533" t="str">
        <f t="shared" si="115"/>
        <v xml:space="preserve"> </v>
      </c>
      <c r="JW67" s="534">
        <f t="shared" si="116"/>
        <v>0</v>
      </c>
      <c r="JX67" s="535" t="str">
        <f t="shared" si="207"/>
        <v xml:space="preserve"> </v>
      </c>
      <c r="JY67" s="535" t="str">
        <f t="shared" si="208"/>
        <v xml:space="preserve"> </v>
      </c>
      <c r="JZ67" s="535" t="str">
        <f t="shared" si="209"/>
        <v xml:space="preserve"> </v>
      </c>
      <c r="KA67" s="536" t="str">
        <f t="shared" si="117"/>
        <v xml:space="preserve"> </v>
      </c>
      <c r="KB67" s="535" t="e">
        <f t="shared" si="210"/>
        <v>#VALUE!</v>
      </c>
      <c r="KC67" s="535" t="str">
        <f t="shared" si="118"/>
        <v/>
      </c>
      <c r="KD67" s="537" t="str">
        <f t="shared" si="211"/>
        <v xml:space="preserve"> </v>
      </c>
      <c r="KE67" s="537" t="str">
        <f t="shared" si="212"/>
        <v xml:space="preserve"> </v>
      </c>
      <c r="KF67" s="534">
        <f t="shared" si="119"/>
        <v>0</v>
      </c>
      <c r="KG67" s="535" t="str">
        <f t="shared" si="120"/>
        <v xml:space="preserve"> </v>
      </c>
      <c r="KH67" s="535" t="str">
        <f t="shared" si="121"/>
        <v xml:space="preserve"> </v>
      </c>
      <c r="KI67" s="535" t="str">
        <f t="shared" si="122"/>
        <v xml:space="preserve"> </v>
      </c>
      <c r="KJ67" s="536" t="str">
        <f t="shared" si="123"/>
        <v xml:space="preserve"> </v>
      </c>
      <c r="KK67" s="535" t="str">
        <f t="shared" si="213"/>
        <v xml:space="preserve"> </v>
      </c>
      <c r="KL67" s="535" t="str">
        <f t="shared" si="214"/>
        <v xml:space="preserve"> </v>
      </c>
      <c r="KM67" s="537" t="str">
        <f t="shared" si="124"/>
        <v xml:space="preserve"> </v>
      </c>
      <c r="KN67" s="537" t="str">
        <f t="shared" si="215"/>
        <v xml:space="preserve"> </v>
      </c>
      <c r="KP67">
        <f t="shared" si="125"/>
        <v>0</v>
      </c>
      <c r="LA67" t="e">
        <f t="shared" si="126"/>
        <v>#VALUE!</v>
      </c>
      <c r="LB67" t="e">
        <f t="shared" si="127"/>
        <v>#VALUE!</v>
      </c>
      <c r="LC67" t="e">
        <f t="shared" si="128"/>
        <v>#VALUE!</v>
      </c>
      <c r="LD67" t="e">
        <f t="shared" si="129"/>
        <v>#VALUE!</v>
      </c>
      <c r="LE67" t="e">
        <f t="shared" si="216"/>
        <v>#VALUE!</v>
      </c>
      <c r="LF67">
        <f t="shared" si="130"/>
        <v>0</v>
      </c>
      <c r="LG67" t="e">
        <f t="shared" si="217"/>
        <v>#VALUE!</v>
      </c>
      <c r="LH67" t="str">
        <f t="shared" si="131"/>
        <v xml:space="preserve"> </v>
      </c>
      <c r="LI67">
        <f t="shared" si="218"/>
        <v>1</v>
      </c>
    </row>
    <row r="68" spans="2:321" ht="15" customHeight="1">
      <c r="B68" s="311"/>
      <c r="C68" s="311"/>
      <c r="D68" s="312"/>
      <c r="E68" s="311"/>
      <c r="F68" s="312"/>
      <c r="G68" s="311"/>
      <c r="H68" s="311"/>
      <c r="I68" s="37"/>
      <c r="J68" s="311"/>
      <c r="K68" s="305" t="str">
        <f t="shared" si="132"/>
        <v/>
      </c>
      <c r="L68" s="313"/>
      <c r="M68" s="312"/>
      <c r="N68" s="311"/>
      <c r="O68" s="312"/>
      <c r="P68" s="311"/>
      <c r="Q68" s="305" t="str">
        <f t="shared" si="133"/>
        <v/>
      </c>
      <c r="R68" s="314"/>
      <c r="S68" s="450" t="str">
        <f t="shared" si="0"/>
        <v/>
      </c>
      <c r="T68" s="315"/>
      <c r="U68" s="315"/>
      <c r="W68" s="149" t="str">
        <f t="shared" si="1"/>
        <v xml:space="preserve"> </v>
      </c>
      <c r="X68" s="243" t="str">
        <f t="shared" si="2"/>
        <v xml:space="preserve"> </v>
      </c>
      <c r="Y68" s="150" t="str">
        <f t="shared" si="3"/>
        <v/>
      </c>
      <c r="Z68" s="149" t="str">
        <f t="shared" si="4"/>
        <v xml:space="preserve"> </v>
      </c>
      <c r="AA68" s="98" t="str">
        <f t="shared" si="5"/>
        <v xml:space="preserve"> </v>
      </c>
      <c r="AB68" s="153" t="str">
        <f t="shared" si="6"/>
        <v xml:space="preserve"> </v>
      </c>
      <c r="AC68" s="153" t="str">
        <f t="shared" si="7"/>
        <v xml:space="preserve"> </v>
      </c>
      <c r="AD68" s="148" t="str">
        <f t="shared" si="8"/>
        <v/>
      </c>
      <c r="AE68" s="149" t="str">
        <f t="shared" si="9"/>
        <v/>
      </c>
      <c r="AF68" s="151" t="str">
        <f t="shared" si="10"/>
        <v xml:space="preserve"> </v>
      </c>
      <c r="AG68" s="153" t="str">
        <f t="shared" si="11"/>
        <v xml:space="preserve"> </v>
      </c>
      <c r="AH68" s="98" t="str">
        <f t="shared" si="12"/>
        <v xml:space="preserve"> </v>
      </c>
      <c r="AI68" s="149" t="str">
        <f t="shared" si="13"/>
        <v xml:space="preserve"> </v>
      </c>
      <c r="AK68" s="144" t="str">
        <f t="shared" si="14"/>
        <v xml:space="preserve"> </v>
      </c>
      <c r="AL68" s="144"/>
      <c r="AM68" s="243" t="str">
        <f t="shared" si="15"/>
        <v xml:space="preserve"> </v>
      </c>
      <c r="AN68" s="149" t="str">
        <f t="shared" si="134"/>
        <v xml:space="preserve"> </v>
      </c>
      <c r="AO68" s="144" t="str">
        <f>IF(JB68&gt;0,IF(GI68=10,-R68*1.085*(Calculation!$F$6-Calculation!$F$13)*$S$14," "),"")</f>
        <v/>
      </c>
      <c r="AP68" s="144" t="str">
        <f t="shared" si="16"/>
        <v/>
      </c>
      <c r="AQ68" s="56" t="str">
        <f t="shared" si="17"/>
        <v/>
      </c>
      <c r="AR68" s="144" t="str">
        <f t="shared" si="18"/>
        <v/>
      </c>
      <c r="AS68" s="176" t="str">
        <f t="shared" si="19"/>
        <v/>
      </c>
      <c r="AT68" s="176" t="str">
        <f t="shared" si="135"/>
        <v xml:space="preserve"> </v>
      </c>
      <c r="AU68" s="176" t="str">
        <f t="shared" si="20"/>
        <v/>
      </c>
      <c r="AV68" s="177" t="str">
        <f t="shared" si="21"/>
        <v xml:space="preserve"> </v>
      </c>
      <c r="AW68" s="144" t="str">
        <f t="shared" si="22"/>
        <v xml:space="preserve"> </v>
      </c>
      <c r="AX68" s="144" t="str">
        <f t="shared" si="23"/>
        <v xml:space="preserve"> </v>
      </c>
      <c r="AY68" s="152" t="str">
        <f t="shared" si="24"/>
        <v xml:space="preserve"> </v>
      </c>
      <c r="AZ68" s="246" t="str">
        <f t="shared" si="25"/>
        <v/>
      </c>
      <c r="BA68" s="176" t="str">
        <f t="shared" si="26"/>
        <v xml:space="preserve"> </v>
      </c>
      <c r="BB68" s="176" t="str">
        <f t="shared" si="27"/>
        <v xml:space="preserve"> </v>
      </c>
      <c r="BC68" s="195"/>
      <c r="BD68" s="316"/>
      <c r="BE68" s="317"/>
      <c r="BF68" s="318"/>
      <c r="BG68" s="318"/>
      <c r="BH68" s="144" t="str">
        <f t="shared" si="219"/>
        <v xml:space="preserve"> </v>
      </c>
      <c r="BI68" s="176" t="str">
        <f t="shared" si="28"/>
        <v/>
      </c>
      <c r="BJ68" s="144" t="str">
        <f t="shared" si="220"/>
        <v/>
      </c>
      <c r="BK68" s="246" t="str">
        <f t="shared" si="29"/>
        <v/>
      </c>
      <c r="BL68" s="144" t="str">
        <f t="shared" si="221"/>
        <v/>
      </c>
      <c r="BM68" s="246" t="str">
        <f t="shared" si="30"/>
        <v/>
      </c>
      <c r="BN68" s="337" t="str">
        <f t="shared" si="136"/>
        <v/>
      </c>
      <c r="BO68" s="371" t="str">
        <f t="shared" si="137"/>
        <v/>
      </c>
      <c r="BP68" s="328" t="str">
        <f t="shared" si="222"/>
        <v xml:space="preserve"> </v>
      </c>
      <c r="BQ68" s="347" t="str">
        <f t="shared" si="138"/>
        <v xml:space="preserve"> </v>
      </c>
      <c r="BR68" s="353" t="str">
        <f t="shared" si="223"/>
        <v xml:space="preserve"> </v>
      </c>
      <c r="BS68" s="626" t="str">
        <f>IF(L68&gt;0,IF(Calculation!P68="M13",BR68*3.1416*(0.134^2)/(4*144),IF(Calculation!P68="M17",BR68*3.1416*(0.165^2)/(4*144),IF(Calculation!P68="M20",BR68*3.1416*(0.198^2)/(4*144),IF(Calculation!P68="M23",BR68*3.1416*(0.228^2)/(4*144),IF(Calculation!P68="M27",BR68*3.1416*(0.269^2)/(4*144),BR68*3.1416*(0.307^2)/(4*144))))))," ")</f>
        <v xml:space="preserve"> </v>
      </c>
      <c r="BT68" s="353" t="str">
        <f>IF(L68&gt;0,IF(BS68&gt;0,R68/Calculation!BS68,0)," ")</f>
        <v xml:space="preserve"> </v>
      </c>
      <c r="BU68" s="438" t="e">
        <f t="shared" ca="1" si="31"/>
        <v>#VALUE!</v>
      </c>
      <c r="BV68" s="449" t="e">
        <f ca="1">INDEX(INDIRECT(VLOOKUP(LEFT(BO68,7),CLU!$Z$3:$AH$18,2)),GN68,GR68)</f>
        <v>#N/A</v>
      </c>
      <c r="BW68" s="433" t="e">
        <f ca="1">INDEX(INDIRECT(VLOOKUP(LEFT(BO68,7),CLU!$Z$3:$AH$18,3)),GN68,GR68)</f>
        <v>#N/A</v>
      </c>
      <c r="BX68" s="433" t="e">
        <f ca="1">INDEX(INDIRECT(VLOOKUP(LEFT(BO68,7),CLU!$Z$3:$AH$18,4)),GN68,GR68)</f>
        <v>#N/A</v>
      </c>
      <c r="BY68" s="433" t="e">
        <f ca="1">INDEX(INDIRECT(VLOOKUP(LEFT(BO68,7),CLU!$Z$3:$AH$18,9)),((M68-2)*(6-COUNTBLANK(GT68:GY68)))+GJ68)</f>
        <v>#N/A</v>
      </c>
      <c r="BZ68" s="426" t="e">
        <f t="shared" ca="1" si="139"/>
        <v>#N/A</v>
      </c>
      <c r="CA68" s="424" t="e">
        <f t="shared" ca="1" si="140"/>
        <v>#N/A</v>
      </c>
      <c r="CB68" s="429" t="e">
        <f ca="1">INDEX(INDIRECT(VLOOKUP(LEFT(BO68,7),CLU!$Z$3:$AH$18,2)),GN68,GS68)</f>
        <v>#N/A</v>
      </c>
      <c r="CC68" s="342" t="e">
        <f ca="1">INDEX(INDIRECT(VLOOKUP(LEFT(BO68,7),CLU!$Z$3:$AH$18,3)),GN68,GS68)</f>
        <v>#N/A</v>
      </c>
      <c r="CD68" s="342" t="e">
        <f ca="1">INDEX(INDIRECT(VLOOKUP(LEFT(BO68,7),CLU!$Z$3:$AH$18,4)),GN68,GS68)</f>
        <v>#N/A</v>
      </c>
      <c r="CE68" s="426" t="e">
        <f t="shared" ca="1" si="141"/>
        <v>#N/A</v>
      </c>
      <c r="CF68" s="440">
        <f t="shared" si="142"/>
        <v>0</v>
      </c>
      <c r="CG68" s="431" t="e">
        <f ca="1">INDEX(INDIRECT(VLOOKUP(LEFT(BO68,7),CLU!$Z$3:$AH$18,2)),GQ68,GR68)</f>
        <v>#N/A</v>
      </c>
      <c r="CH68" s="431" t="e">
        <f ca="1">INDEX(INDIRECT(VLOOKUP(LEFT(BO68,7),CLU!$Z$3:$AH$18,3)),GQ68,GR68)</f>
        <v>#N/A</v>
      </c>
      <c r="CI68" s="431" t="e">
        <f ca="1">INDEX(INDIRECT(VLOOKUP(LEFT(BO68,7),CLU!$Z$3:$AH$18,4)),GQ68,GR68)</f>
        <v>#N/A</v>
      </c>
      <c r="CJ68" s="448" t="e">
        <f t="shared" ca="1" si="143"/>
        <v>#N/A</v>
      </c>
      <c r="CK68" s="431" t="e">
        <f t="shared" ca="1" si="144"/>
        <v>#N/A</v>
      </c>
      <c r="CL68" s="440" t="e">
        <f t="shared" ca="1" si="145"/>
        <v>#N/A</v>
      </c>
      <c r="CM68" s="431" t="e">
        <f ca="1">INDEX(INDIRECT(VLOOKUP(LEFT(BO68,7),CLU!$Z$3:$AH$18,2)),GQ68,GS68)</f>
        <v>#N/A</v>
      </c>
      <c r="CN68" s="431" t="e">
        <f ca="1">INDEX(INDIRECT(VLOOKUP(LEFT(BO68,7),CLU!$Z$3:$AH$18,3)),GQ68,GS68)</f>
        <v>#N/A</v>
      </c>
      <c r="CO68" s="431" t="e">
        <f ca="1">INDEX(INDIRECT(VLOOKUP(LEFT(BO68,7),CLU!$Z$3:$AH$18,4)),GQ68,GS68)</f>
        <v>#N/A</v>
      </c>
      <c r="CP68" s="431" t="e">
        <f t="shared" ca="1" si="146"/>
        <v>#N/A</v>
      </c>
      <c r="CQ68" s="440">
        <f t="shared" si="147"/>
        <v>0</v>
      </c>
      <c r="CR68" s="51" t="e">
        <f t="shared" ca="1" si="148"/>
        <v>#N/A</v>
      </c>
      <c r="CS68" s="439" t="e">
        <f t="shared" ca="1" si="149"/>
        <v>#VALUE!</v>
      </c>
      <c r="CT68" s="51" t="e">
        <f t="shared" ca="1" si="150"/>
        <v>#VALUE!</v>
      </c>
      <c r="CU68" s="10"/>
      <c r="CV68" s="51" t="e">
        <f t="shared" ca="1" si="34"/>
        <v>#VALUE!</v>
      </c>
      <c r="CW68" s="51">
        <f t="shared" si="151"/>
        <v>0</v>
      </c>
      <c r="CX68" s="439" t="e">
        <f t="shared" ca="1" si="152"/>
        <v>#VALUE!</v>
      </c>
      <c r="CY68" s="51" t="e">
        <f t="shared" ca="1" si="153"/>
        <v>#VALUE!</v>
      </c>
      <c r="CZ68" s="10"/>
      <c r="DA68" s="51" t="e">
        <f t="shared" ca="1" si="154"/>
        <v>#VALUE!</v>
      </c>
      <c r="DB68" s="347" t="e">
        <f ca="1">INDEX(INDIRECT(VLOOKUP(LEFT(BO68,7),CLU!$Z$3:$AI$18,10)),((M68-2)*(6-COUNTBLANK(GT68:GY68)))+GJ68)*LI68</f>
        <v>#N/A</v>
      </c>
      <c r="DC68" s="347" t="str">
        <f>IF(L68&gt;0,((R68/Worksheet!$I$15)/DB68)^2," ")</f>
        <v xml:space="preserve"> </v>
      </c>
      <c r="DD68" s="602" t="str">
        <f t="shared" si="224"/>
        <v xml:space="preserve"> </v>
      </c>
      <c r="DE68" s="347" t="str">
        <f t="shared" si="35"/>
        <v xml:space="preserve"> </v>
      </c>
      <c r="DF68" s="356" t="e">
        <f ca="1">INDEX(INDIRECT(VLOOKUP(LEFT(BO68,7),CLU!$Z$3:$AH$18,8)),((M68-2)*(6-COUNTBLANK(GT68:GY68)))+GJ68)</f>
        <v>#N/A</v>
      </c>
      <c r="DG68" s="347" t="str">
        <f t="shared" si="36"/>
        <v xml:space="preserve"> </v>
      </c>
      <c r="DH68" s="357" t="str">
        <f t="shared" si="37"/>
        <v xml:space="preserve"> </v>
      </c>
      <c r="DI68" s="355" t="str">
        <f t="shared" si="38"/>
        <v xml:space="preserve"> </v>
      </c>
      <c r="DJ68" s="245" t="e">
        <f ca="1">INDEX(INDIRECT(VLOOKUP(LEFT(BO68,7),CLU!$Z$3:$AH$18,5)),GL68,GK68)</f>
        <v>#N/A</v>
      </c>
      <c r="DK68" s="245" t="e">
        <f ca="1">INDEX(INDIRECT(VLOOKUP(LEFT(BO68,7),CLU!$Z$3:$AH$18,6)),GL68,GK68)</f>
        <v>#N/A</v>
      </c>
      <c r="DL68" s="355">
        <f>(Calculation!R68*0.69143*(Calculation!$BQ$8-Calculation!$F$8))*$S$14</f>
        <v>0</v>
      </c>
      <c r="DM68" s="359" t="e">
        <f t="shared" si="160"/>
        <v>#VALUE!</v>
      </c>
      <c r="DN68" s="611">
        <f t="shared" si="161"/>
        <v>0</v>
      </c>
      <c r="DO68" s="359">
        <f t="shared" si="162"/>
        <v>100</v>
      </c>
      <c r="DP68" s="359">
        <f t="shared" si="163"/>
        <v>0</v>
      </c>
      <c r="DQ68" s="360"/>
      <c r="DR68" s="245" t="e">
        <f ca="1">INDEX(INDIRECT(VLOOKUP(LEFT(BO68,7),CLU!$Z$3:$AH$18,7)),M68-1,1)</f>
        <v>#N/A</v>
      </c>
      <c r="DS68" s="245" t="e">
        <f ca="1">INDEX(INDIRECT(VLOOKUP(LEFT(BO68,7),CLU!$Z$3:$AH$18,7)),M68-1,2)</f>
        <v>#N/A</v>
      </c>
      <c r="DT68" s="245" t="e">
        <f ca="1">INDEX(INDIRECT(VLOOKUP(LEFT(BO68,7),CLU!$Z$3:$AH$18,7)),M68-1,3)</f>
        <v>#N/A</v>
      </c>
      <c r="DU68" s="245" t="e">
        <f ca="1">INDEX(INDIRECT(VLOOKUP(LEFT(BO68,7),CLU!$Z$3:$AH$18,7)),M68-1,4)</f>
        <v>#N/A</v>
      </c>
      <c r="DV68" s="361" t="e">
        <f ca="1">INDEX(INDIRECT(VLOOKUP(LEFT(BO68,7),CLU!$Z$3:$AH$18,7)),M68-1,4+LEFT(DZ68,1)*0.5)</f>
        <v>#N/A</v>
      </c>
      <c r="DW68" s="245" t="e">
        <f ca="1">INDEX(INDIRECT(VLOOKUP(LEFT(BO68,7),CLU!$Z$3:$AH$18,7)),M68-1,8)</f>
        <v>#N/A</v>
      </c>
      <c r="DX68" s="361" t="str">
        <f t="shared" si="39"/>
        <v xml:space="preserve"> </v>
      </c>
      <c r="DY68" s="361" t="str">
        <f t="shared" si="40"/>
        <v xml:space="preserve"> </v>
      </c>
      <c r="DZ68" s="361" t="str">
        <f t="shared" si="41"/>
        <v xml:space="preserve"> </v>
      </c>
      <c r="EA68" s="362" t="str">
        <f t="shared" si="42"/>
        <v xml:space="preserve"> </v>
      </c>
      <c r="EB68" s="624" t="str">
        <f t="shared" si="168"/>
        <v xml:space="preserve"> </v>
      </c>
      <c r="EC68" s="361" t="e">
        <f ca="1">INDEX(INDIRECT(VLOOKUP(LEFT(BO68,7),CLU!$Z$3:$AH$18,7)),M68-1,4+LEFT(DZ68,1)*0.5)</f>
        <v>#N/A</v>
      </c>
      <c r="ED68" s="362" t="str">
        <f t="shared" si="43"/>
        <v xml:space="preserve"> </v>
      </c>
      <c r="EE68" s="361" t="str">
        <f t="shared" si="44"/>
        <v xml:space="preserve"> </v>
      </c>
      <c r="EF68" s="362" t="str">
        <f>IF(L68&gt;0,IF(BR68&gt;0,IF(EE68="2P",IF(Calculation!DZ68="2P",IF(Calculation!DS68=13.75,IF(Calculation!DR68=13,Worksheet!$BD$43,IF(Calculation!DR68=37,Worksheet!$BD$44,Worksheet!$BD$45)),IF(Calculation!DS68=10,IF(Calculation!DR68=18,Worksheet!$BD$29,IF(Calculation!DR68=30,Worksheet!$BD$30,IF(Calculation!DR68=42,Worksheet!$BD$31,IF(Calculation!DR68=54,Worksheet!$BD$32,IF(Calculation!DR68=66,Worksheet!$BD$33,IF(Calculation!DR68=78,Worksheet!$BD$34,IF(Calculation!DR68=90,Worksheet!$BD$35,IF(Calculation!DR68=102,Worksheet!$BD$36,Worksheet!$BD$37)))))))),IF(Calculation!DS68=12.5,IF(Calculation!DR68=18,Worksheet!$BD$38,IF(Calculation!DR68=Worksheet!$BD$39,IF(Calculation!DR68=42,Worksheet!$BD$40,IF(Calculation!DR68=54,Worksheet!$BD$41,Worksheet!$BD$42)))),IF(Calculation!DR68=18,Worksheet!$BD$11,IF(Calculation!DR68=30,Worksheet!$BD$12,IF(Calculation!DR68=42,Worksheet!$BD$13,IF(Calculation!DR68=54,Worksheet!$BD$14,IF(Calculation!DR68=66,Worksheet!$BD$15,IF(Calculation!DR68=78,Worksheet!$BD$16,IF(Calculation!DR68=90,Worksheet!$BD$17,IF(Calculation!DR68=102,Worksheet!$BD$18,Worksheet!$BD$19))))))))))),IF(Calculation!DS68=13.75,IF(Calculation!DR68=13,Worksheet!$BD$78,IF(Calculation!DR68=37,Worksheet!$BD$79,Worksheet!$BD$80)),IF(Calculation!DS68=10,IF(Calculation!DR68=18,Worksheet!$BD$64,IF(Calculation!DR68=30,Worksheet!$BD$65,IF(Calculation!DR68=42,Worksheet!$BD$66,IF(Calculation!DR68=54,Worksheet!$BD$68,IF(Calculation!DR68=66,Worksheet!$BD$68,IF(Calculation!DR68=78,Worksheet!$BD$69,IF(Calculation!DR68=90,Worksheet!$BD$70,IF(Calculation!DR68=102,Worksheet!$BD$71,Worksheet!$BD$72)))))))),IF(Calculation!DS68=12.5,IF(Calculation!DR68=18,Worksheet!$BD$73,IF(Calculation!DR68=Worksheet!$BD$74,IF(Calculation!DR68=42,Worksheet!$BD$75,IF(Calculation!DR68=54,Worksheet!$BD$76,Worksheet!$BD$77)))),IF(Calculation!DR68=18,Worksheet!$BD$55,IF(Calculation!DR68=30,Worksheet!$BD$56,IF(Calculation!DR68=42,Worksheet!$BD$57,IF(Calculation!DR68=54,Worksheet!$BD$58,IF(Calculation!DR68=66,Worksheet!$BD$59,IF(Calculation!DR68=78,Worksheet!$BD$60,IF(Calculation!DR68=90,Worksheet!$BD$61,IF(Calculation!DR68=102,Worksheet!$BD$62,Worksheet!$BD$63)))))))))))),5),0)," ")</f>
        <v xml:space="preserve"> </v>
      </c>
      <c r="EG68" s="361" t="str">
        <f t="shared" si="45"/>
        <v xml:space="preserve"> </v>
      </c>
      <c r="EH68" s="361" t="e">
        <f ca="1">INDEX(INDIRECT(VLOOKUP(LEFT(BO68,7),CLU!$Z$3:$AH$18,7)),M68-1,3+LEFT(DZ68,1))</f>
        <v>#N/A</v>
      </c>
      <c r="EI68" s="362" t="str">
        <f t="shared" si="46"/>
        <v xml:space="preserve"> </v>
      </c>
      <c r="EJ68" s="363" t="str">
        <f t="shared" si="47"/>
        <v xml:space="preserve"> </v>
      </c>
      <c r="EK68" s="363" t="str">
        <f t="shared" si="48"/>
        <v xml:space="preserve"> </v>
      </c>
      <c r="EL68" s="363" t="str">
        <f t="shared" si="49"/>
        <v xml:space="preserve"> </v>
      </c>
      <c r="EM68" s="362" t="str">
        <f>IF(L68&gt;0,IF(BR68&gt;0,(Calculation!T68/ED68)^2,0)," ")</f>
        <v xml:space="preserve"> </v>
      </c>
      <c r="EN68" s="362" t="str">
        <f>IF(L68&gt;0,IF(O68="2 Pipe (Cooling)","N/A",IF(BR68&gt;0,(Calculation!U68/EI68)^2,0))," ")</f>
        <v xml:space="preserve"> </v>
      </c>
      <c r="EO68" s="361" t="str">
        <f t="shared" si="50"/>
        <v/>
      </c>
      <c r="EP68" s="361" t="str">
        <f t="shared" si="51"/>
        <v/>
      </c>
      <c r="EQ68" s="361" t="str">
        <f t="shared" si="52"/>
        <v/>
      </c>
      <c r="ER68" s="361" t="str">
        <f t="shared" si="53"/>
        <v/>
      </c>
      <c r="ES68" s="361" t="str">
        <f t="shared" si="54"/>
        <v/>
      </c>
      <c r="ET68" s="361" t="str">
        <f t="shared" si="55"/>
        <v/>
      </c>
      <c r="EU68" s="361" t="str">
        <f t="shared" si="56"/>
        <v/>
      </c>
      <c r="EV68" s="361" t="str">
        <f t="shared" si="57"/>
        <v/>
      </c>
      <c r="EW68" s="361" t="str">
        <f t="shared" si="58"/>
        <v/>
      </c>
      <c r="EX68" s="361" t="str">
        <f t="shared" si="169"/>
        <v>1 slot, 1 way</v>
      </c>
      <c r="EY68" s="361" t="str">
        <f t="shared" si="170"/>
        <v xml:space="preserve"> </v>
      </c>
      <c r="EZ68" s="361" t="str">
        <f t="shared" si="171"/>
        <v xml:space="preserve"> </v>
      </c>
      <c r="FA68" s="361" t="str">
        <f t="shared" si="172"/>
        <v xml:space="preserve"> </v>
      </c>
      <c r="FB68" s="361" t="str">
        <f t="shared" si="173"/>
        <v xml:space="preserve"> </v>
      </c>
      <c r="FC68" s="361"/>
      <c r="FD68" s="361" t="str">
        <f>IF(J68&gt;0,IF(Calculation!R68&lt;=70,4,IF(Calculation!R68&lt;=110,5,IF(Calculation!R68&lt;=160,6,IF(Calculation!R68&lt;=300,8,"10 EO")))),"")</f>
        <v/>
      </c>
      <c r="FE68" s="361" t="str">
        <f t="shared" si="174"/>
        <v/>
      </c>
      <c r="FF68" s="361" t="str">
        <f t="shared" si="175"/>
        <v/>
      </c>
      <c r="FG68" s="361" t="e">
        <f t="shared" si="60"/>
        <v>#N/A</v>
      </c>
      <c r="FH68" s="361">
        <f t="shared" si="61"/>
        <v>0</v>
      </c>
      <c r="FI68" s="361" t="e">
        <f t="shared" si="62"/>
        <v>#DIV/0!</v>
      </c>
      <c r="FJ68" s="361"/>
      <c r="FK68" s="356" t="e">
        <f t="shared" si="63"/>
        <v>#VALUE!</v>
      </c>
      <c r="FL68" s="361"/>
      <c r="FM68" s="361"/>
      <c r="FN68" s="362" t="str">
        <f t="shared" si="176"/>
        <v xml:space="preserve"> </v>
      </c>
      <c r="FO68" s="362" t="str">
        <f t="shared" si="177"/>
        <v xml:space="preserve"> </v>
      </c>
      <c r="FP68" s="362">
        <f t="shared" si="178"/>
        <v>0</v>
      </c>
      <c r="FQ68" s="361">
        <f t="shared" si="64"/>
        <v>0</v>
      </c>
      <c r="FR68" s="362" t="str">
        <f>IF(L68&gt;0,IF(J68="CBAL2",Worksheet!$P$67,IF(J68="CBE2-24",Worksheet!$Q$67,IF(J68="CBAM",Worksheet!$R$67,IF(J68="CBLV",Worksheet!$S$67,IF(J68="CBAB",Worksheet!$U$67,IF(J68="CBAW",Worksheet!$X$67,IF(J68="CBE2-12",Worksheet!$Y$67,IF(J68="CBAL2",Worksheet!$Z$67,"N/A"))))))))," ")</f>
        <v xml:space="preserve"> </v>
      </c>
      <c r="FS68" s="362" t="str">
        <f>IF(L68&gt;0,IF(J68="CBAL2",Worksheet!$P$68,IF(J68="CBE2-24",Worksheet!$Q$68,IF(J68="CBAM",Worksheet!$R$68,IF(J68="CBLV",Worksheet!$S$68,IF(J68="CBAB",Worksheet!$U$68,IF(J68="CBAW",Worksheet!$X$68,IF(J68="CBE2-12",Worksheet!$Y$68,IF(J68="CBAL2",Worksheet!$Z$68,"N/A"))))))))," ")</f>
        <v xml:space="preserve"> </v>
      </c>
      <c r="FT68" s="362" t="str">
        <f>IF(L68&gt;0,IF(J68="CBAL2",Worksheet!$P$69,IF(J68="CBE2-24",Worksheet!$Q$69,IF(J68="CBAM",Worksheet!$R$69,IF(J68="CBLV",Worksheet!$S$69,IF(J68="CBAB",Worksheet!$U$69,IF(J68="CBAW",Worksheet!$X$69,IF(J68="CBE2-12",Worksheet!$Y$69,IF(J68="CBAL2",Worksheet!$Z$69,"N/A"))))))))," ")</f>
        <v xml:space="preserve"> </v>
      </c>
      <c r="FU68" s="361" t="str">
        <f t="shared" si="179"/>
        <v xml:space="preserve"> </v>
      </c>
      <c r="FV68" s="362" t="str">
        <f t="shared" si="180"/>
        <v xml:space="preserve"> </v>
      </c>
      <c r="FW68" s="362" t="str">
        <f t="shared" si="181"/>
        <v xml:space="preserve"> </v>
      </c>
      <c r="FX68" s="362" t="str">
        <f t="shared" si="182"/>
        <v xml:space="preserve"> </v>
      </c>
      <c r="FY68" s="355" t="str">
        <f t="shared" si="183"/>
        <v xml:space="preserve"> </v>
      </c>
      <c r="FZ68" s="361" t="str">
        <f t="shared" si="184"/>
        <v xml:space="preserve"> </v>
      </c>
      <c r="GA68" s="347" t="str">
        <f t="shared" si="185"/>
        <v xml:space="preserve"> </v>
      </c>
      <c r="GB68" s="355" t="str">
        <f t="shared" si="186"/>
        <v xml:space="preserve"> </v>
      </c>
      <c r="GC68" s="328" t="str">
        <f t="shared" si="187"/>
        <v xml:space="preserve"> </v>
      </c>
      <c r="GD68" s="361" t="str">
        <f t="shared" si="188"/>
        <v xml:space="preserve"> </v>
      </c>
      <c r="GE68" s="347" t="str">
        <f t="shared" si="189"/>
        <v xml:space="preserve"> </v>
      </c>
      <c r="GF68" s="361" t="str">
        <f t="shared" si="190"/>
        <v xml:space="preserve"> </v>
      </c>
      <c r="GG68" s="347" t="str">
        <f t="shared" si="191"/>
        <v xml:space="preserve"> </v>
      </c>
      <c r="GH68" s="364">
        <f t="shared" si="78"/>
        <v>0</v>
      </c>
      <c r="GI68" s="362">
        <f t="shared" si="192"/>
        <v>2</v>
      </c>
      <c r="GJ68" s="433" t="e">
        <f>IF(6-COUNTBLANK(GT68:GY68)=4,MATCH(MID(BO68,9,3),CLU!$H$16:$K$16),MATCH(MID(BO68,9,3),CLU!$H$13:$M$13))</f>
        <v>#N/A</v>
      </c>
      <c r="GK68" s="433" t="e">
        <f>HLOOKUP(VALUE(BP68),CLU!$H$9:$M$10,2)</f>
        <v>#VALUE!</v>
      </c>
      <c r="GL68" s="433" t="e">
        <f ca="1">MATCH(BU68,CLU!$H$2:$V$2,1)</f>
        <v>#VALUE!</v>
      </c>
      <c r="GM68" s="433" t="e">
        <f t="shared" ca="1" si="193"/>
        <v>#VALUE!</v>
      </c>
      <c r="GN68" s="433" t="e">
        <f t="shared" ca="1" si="194"/>
        <v>#VALUE!</v>
      </c>
      <c r="GO68" s="433" t="e">
        <f t="shared" ca="1" si="195"/>
        <v>#VALUE!</v>
      </c>
      <c r="GP68" s="433" t="e">
        <f t="shared" ca="1" si="196"/>
        <v>#VALUE!</v>
      </c>
      <c r="GQ68" s="433" t="e">
        <f t="shared" ca="1" si="197"/>
        <v>#VALUE!</v>
      </c>
      <c r="GR68" s="433" t="e">
        <f ca="1">MATCH(T68,INDIRECT(VLOOKUP(CONCATENATE(LEFT(BO68,7),"-",MID(BO68,13,1)),CLU!$P$3:$Q$16,2)),1)</f>
        <v>#N/A</v>
      </c>
      <c r="GS68" s="433" t="e">
        <f ca="1">MATCH(U68,INDIRECT(VLOOKUP(CONCATENATE(LEFT(BO68,7),"-",MID(BO68,13,1)),CLU!$P$3:$Q$16,2)),1)</f>
        <v>#N/A</v>
      </c>
      <c r="GT68" s="347" t="s">
        <v>512</v>
      </c>
      <c r="GU68" s="97" t="s">
        <v>513</v>
      </c>
      <c r="GV68" s="97" t="str">
        <f t="shared" si="198"/>
        <v>M23</v>
      </c>
      <c r="GW68" s="97" t="str">
        <f t="shared" si="199"/>
        <v>M31</v>
      </c>
      <c r="GX68" s="97" t="str">
        <f t="shared" si="200"/>
        <v/>
      </c>
      <c r="GY68" s="97" t="str">
        <f t="shared" si="201"/>
        <v/>
      </c>
      <c r="GZ68" s="481"/>
      <c r="HA68" s="288"/>
      <c r="HB68" s="240"/>
      <c r="HC68" s="240"/>
      <c r="HD68" s="240"/>
      <c r="HE68" s="240"/>
      <c r="HF68" s="240"/>
      <c r="HG68" s="240"/>
      <c r="HH68" s="240"/>
      <c r="HI68" s="240"/>
      <c r="HJ68" s="240"/>
      <c r="HK68" s="240"/>
      <c r="HL68" s="240"/>
      <c r="HM68" s="240"/>
      <c r="HN68" s="240"/>
      <c r="HO68" s="240"/>
      <c r="HP68" s="240"/>
      <c r="HQ68" s="240"/>
      <c r="HR68" s="240"/>
      <c r="HS68" s="240"/>
      <c r="HT68" s="240"/>
      <c r="HU68" s="240"/>
      <c r="HV68" s="245"/>
      <c r="HW68" s="245" t="b">
        <v>1</v>
      </c>
      <c r="HX68" s="245" t="str">
        <f t="shared" si="79"/>
        <v/>
      </c>
      <c r="HY68" s="245" t="e">
        <f t="shared" si="80"/>
        <v>#DIV/0!</v>
      </c>
      <c r="HZ68" s="245" t="e">
        <f t="shared" si="81"/>
        <v>#DIV/0!</v>
      </c>
      <c r="IA68" s="245">
        <f t="shared" si="82"/>
        <v>0</v>
      </c>
      <c r="IB68" s="245"/>
      <c r="IC68" t="b">
        <f t="shared" si="83"/>
        <v>1</v>
      </c>
      <c r="ID68" s="245" t="b">
        <f t="shared" si="84"/>
        <v>1</v>
      </c>
      <c r="IE68" s="245" t="b">
        <f t="shared" si="85"/>
        <v>1</v>
      </c>
      <c r="IF68" s="245" t="b">
        <f t="shared" si="86"/>
        <v>0</v>
      </c>
      <c r="IG68" s="245" t="b">
        <f t="shared" si="87"/>
        <v>1</v>
      </c>
      <c r="IH68" s="245" t="b">
        <f t="shared" si="88"/>
        <v>1</v>
      </c>
      <c r="II68" s="245">
        <f t="shared" si="202"/>
        <v>0</v>
      </c>
      <c r="IJ68" s="245" t="e">
        <f t="shared" si="89"/>
        <v>#VALUE!</v>
      </c>
      <c r="IK68" s="245" t="e">
        <f t="shared" si="90"/>
        <v>#VALUE!</v>
      </c>
      <c r="IL68" s="245"/>
      <c r="IM68" s="245" t="e">
        <f t="shared" si="203"/>
        <v>#N/A</v>
      </c>
      <c r="IN68" s="245" t="e">
        <f t="shared" si="204"/>
        <v>#N/A</v>
      </c>
      <c r="IO68" s="245"/>
      <c r="IP68" s="245"/>
      <c r="IQ68" s="245" t="str">
        <f t="shared" si="91"/>
        <v/>
      </c>
      <c r="IR68" s="245" t="str">
        <f>IF(J68="","",VLOOKUP(J68,Worksheet!$R$4:$T$14,2))</f>
        <v/>
      </c>
      <c r="IS68" s="245"/>
      <c r="IT68" s="245">
        <f t="shared" si="92"/>
        <v>0</v>
      </c>
      <c r="IU68" s="245">
        <f t="shared" si="93"/>
        <v>0</v>
      </c>
      <c r="IV68" s="245">
        <f t="shared" si="94"/>
        <v>0</v>
      </c>
      <c r="IW68" s="245">
        <f t="shared" si="95"/>
        <v>0</v>
      </c>
      <c r="IX68" s="245">
        <f t="shared" si="205"/>
        <v>0</v>
      </c>
      <c r="IY68" s="245">
        <f t="shared" si="96"/>
        <v>0</v>
      </c>
      <c r="IZ68" s="245">
        <f t="shared" si="97"/>
        <v>0</v>
      </c>
      <c r="JA68">
        <f t="shared" si="98"/>
        <v>0</v>
      </c>
      <c r="JB68">
        <f t="shared" si="206"/>
        <v>0</v>
      </c>
      <c r="JC68">
        <f t="shared" si="99"/>
        <v>0</v>
      </c>
      <c r="JD68">
        <f t="shared" si="100"/>
        <v>0</v>
      </c>
      <c r="JE68">
        <f t="shared" si="101"/>
        <v>0</v>
      </c>
      <c r="JF68">
        <f t="shared" si="102"/>
        <v>0</v>
      </c>
      <c r="JG68">
        <f t="shared" si="103"/>
        <v>0</v>
      </c>
      <c r="JH68">
        <f t="shared" si="104"/>
        <v>0</v>
      </c>
      <c r="JI68">
        <f t="shared" si="105"/>
        <v>0</v>
      </c>
      <c r="JJ68" s="447">
        <f t="shared" si="106"/>
        <v>0</v>
      </c>
      <c r="JK68" s="447">
        <f t="shared" si="107"/>
        <v>0</v>
      </c>
      <c r="JL68">
        <f t="shared" si="108"/>
        <v>0</v>
      </c>
      <c r="JM68" s="245" t="str">
        <f>IFERROR(VLOOKUP(MATCH(BN68,#REF!,0),#REF!,7),"")</f>
        <v/>
      </c>
      <c r="JN68" t="e">
        <f>HLOOKUP(LEFT(BO68,7),Discharge_Area,MATCH(JO68,LookUps!$B$130:$B$149,1)+2)</f>
        <v>#N/A</v>
      </c>
      <c r="JO68" t="str">
        <f t="shared" si="109"/>
        <v>- S</v>
      </c>
      <c r="JP68" t="e">
        <f>HLOOKUP(LEFT(BO68,7),Discharge_Area,MATCH(JO68,LookUps!$B$130:$B$149,1)+2)</f>
        <v>#N/A</v>
      </c>
      <c r="JQ68" t="e">
        <f t="shared" si="110"/>
        <v>#N/A</v>
      </c>
      <c r="JR68" t="e">
        <f t="shared" si="111"/>
        <v>#N/A</v>
      </c>
      <c r="JS68" t="e">
        <f t="shared" si="112"/>
        <v>#N/A</v>
      </c>
      <c r="JT68" s="532" t="str">
        <f t="shared" si="113"/>
        <v xml:space="preserve"> </v>
      </c>
      <c r="JU68" s="532" t="str">
        <f t="shared" si="114"/>
        <v xml:space="preserve"> </v>
      </c>
      <c r="JV68" s="533" t="str">
        <f t="shared" si="115"/>
        <v xml:space="preserve"> </v>
      </c>
      <c r="JW68" s="534">
        <f t="shared" si="116"/>
        <v>0</v>
      </c>
      <c r="JX68" s="535" t="str">
        <f t="shared" si="207"/>
        <v xml:space="preserve"> </v>
      </c>
      <c r="JY68" s="535" t="str">
        <f t="shared" si="208"/>
        <v xml:space="preserve"> </v>
      </c>
      <c r="JZ68" s="535" t="str">
        <f t="shared" si="209"/>
        <v xml:space="preserve"> </v>
      </c>
      <c r="KA68" s="536" t="str">
        <f t="shared" si="117"/>
        <v xml:space="preserve"> </v>
      </c>
      <c r="KB68" s="535" t="e">
        <f t="shared" si="210"/>
        <v>#VALUE!</v>
      </c>
      <c r="KC68" s="535" t="str">
        <f t="shared" si="118"/>
        <v/>
      </c>
      <c r="KD68" s="537" t="str">
        <f t="shared" si="211"/>
        <v xml:space="preserve"> </v>
      </c>
      <c r="KE68" s="537" t="str">
        <f t="shared" si="212"/>
        <v xml:space="preserve"> </v>
      </c>
      <c r="KF68" s="534">
        <f t="shared" si="119"/>
        <v>0</v>
      </c>
      <c r="KG68" s="535" t="str">
        <f t="shared" si="120"/>
        <v xml:space="preserve"> </v>
      </c>
      <c r="KH68" s="535" t="str">
        <f t="shared" si="121"/>
        <v xml:space="preserve"> </v>
      </c>
      <c r="KI68" s="535" t="str">
        <f t="shared" si="122"/>
        <v xml:space="preserve"> </v>
      </c>
      <c r="KJ68" s="536" t="str">
        <f t="shared" si="123"/>
        <v xml:space="preserve"> </v>
      </c>
      <c r="KK68" s="535" t="str">
        <f t="shared" si="213"/>
        <v xml:space="preserve"> </v>
      </c>
      <c r="KL68" s="535" t="str">
        <f t="shared" si="214"/>
        <v xml:space="preserve"> </v>
      </c>
      <c r="KM68" s="537" t="str">
        <f t="shared" si="124"/>
        <v xml:space="preserve"> </v>
      </c>
      <c r="KN68" s="537" t="str">
        <f t="shared" si="215"/>
        <v xml:space="preserve"> </v>
      </c>
      <c r="KP68">
        <f t="shared" si="125"/>
        <v>0</v>
      </c>
      <c r="LA68" t="e">
        <f t="shared" si="126"/>
        <v>#VALUE!</v>
      </c>
      <c r="LB68" t="e">
        <f t="shared" si="127"/>
        <v>#VALUE!</v>
      </c>
      <c r="LC68" t="e">
        <f t="shared" si="128"/>
        <v>#VALUE!</v>
      </c>
      <c r="LD68" t="e">
        <f t="shared" si="129"/>
        <v>#VALUE!</v>
      </c>
      <c r="LE68" t="e">
        <f t="shared" si="216"/>
        <v>#VALUE!</v>
      </c>
      <c r="LF68">
        <f t="shared" si="130"/>
        <v>0</v>
      </c>
      <c r="LG68" t="e">
        <f t="shared" si="217"/>
        <v>#VALUE!</v>
      </c>
      <c r="LH68" t="str">
        <f t="shared" si="131"/>
        <v xml:space="preserve"> </v>
      </c>
      <c r="LI68">
        <f t="shared" si="218"/>
        <v>1</v>
      </c>
    </row>
    <row r="69" spans="2:321" ht="15" customHeight="1">
      <c r="B69" s="311"/>
      <c r="C69" s="311"/>
      <c r="D69" s="312"/>
      <c r="E69" s="311"/>
      <c r="F69" s="312"/>
      <c r="G69" s="311"/>
      <c r="H69" s="311"/>
      <c r="I69" s="37"/>
      <c r="J69" s="311"/>
      <c r="K69" s="305" t="str">
        <f t="shared" si="132"/>
        <v/>
      </c>
      <c r="L69" s="313"/>
      <c r="M69" s="312"/>
      <c r="N69" s="311"/>
      <c r="O69" s="312"/>
      <c r="P69" s="311"/>
      <c r="Q69" s="305" t="str">
        <f t="shared" si="133"/>
        <v/>
      </c>
      <c r="R69" s="314"/>
      <c r="S69" s="450" t="str">
        <f t="shared" si="0"/>
        <v/>
      </c>
      <c r="T69" s="315"/>
      <c r="U69" s="315"/>
      <c r="W69" s="149" t="str">
        <f t="shared" si="1"/>
        <v xml:space="preserve"> </v>
      </c>
      <c r="X69" s="243" t="str">
        <f t="shared" si="2"/>
        <v xml:space="preserve"> </v>
      </c>
      <c r="Y69" s="150" t="str">
        <f t="shared" si="3"/>
        <v/>
      </c>
      <c r="Z69" s="149" t="str">
        <f t="shared" si="4"/>
        <v xml:space="preserve"> </v>
      </c>
      <c r="AA69" s="98" t="str">
        <f t="shared" si="5"/>
        <v xml:space="preserve"> </v>
      </c>
      <c r="AB69" s="153" t="str">
        <f t="shared" si="6"/>
        <v xml:space="preserve"> </v>
      </c>
      <c r="AC69" s="153" t="str">
        <f t="shared" si="7"/>
        <v xml:space="preserve"> </v>
      </c>
      <c r="AD69" s="148" t="str">
        <f t="shared" si="8"/>
        <v/>
      </c>
      <c r="AE69" s="149" t="str">
        <f t="shared" si="9"/>
        <v/>
      </c>
      <c r="AF69" s="151" t="str">
        <f t="shared" si="10"/>
        <v xml:space="preserve"> </v>
      </c>
      <c r="AG69" s="153" t="str">
        <f t="shared" si="11"/>
        <v xml:space="preserve"> </v>
      </c>
      <c r="AH69" s="98" t="str">
        <f t="shared" si="12"/>
        <v xml:space="preserve"> </v>
      </c>
      <c r="AI69" s="149" t="str">
        <f t="shared" si="13"/>
        <v xml:space="preserve"> </v>
      </c>
      <c r="AK69" s="144" t="str">
        <f t="shared" si="14"/>
        <v xml:space="preserve"> </v>
      </c>
      <c r="AL69" s="144"/>
      <c r="AM69" s="243" t="str">
        <f t="shared" si="15"/>
        <v xml:space="preserve"> </v>
      </c>
      <c r="AN69" s="149" t="str">
        <f t="shared" si="134"/>
        <v xml:space="preserve"> </v>
      </c>
      <c r="AO69" s="144" t="str">
        <f>IF(JB69&gt;0,IF(GI69=10,-R69*1.085*(Calculation!$F$6-Calculation!$F$13)*$S$14," "),"")</f>
        <v/>
      </c>
      <c r="AP69" s="144" t="str">
        <f t="shared" si="16"/>
        <v/>
      </c>
      <c r="AQ69" s="56" t="str">
        <f t="shared" si="17"/>
        <v/>
      </c>
      <c r="AR69" s="144" t="str">
        <f t="shared" si="18"/>
        <v/>
      </c>
      <c r="AS69" s="176" t="str">
        <f t="shared" si="19"/>
        <v/>
      </c>
      <c r="AT69" s="176" t="str">
        <f t="shared" si="135"/>
        <v xml:space="preserve"> </v>
      </c>
      <c r="AU69" s="176" t="str">
        <f t="shared" si="20"/>
        <v/>
      </c>
      <c r="AV69" s="177" t="str">
        <f t="shared" si="21"/>
        <v xml:space="preserve"> </v>
      </c>
      <c r="AW69" s="144" t="str">
        <f t="shared" si="22"/>
        <v xml:space="preserve"> </v>
      </c>
      <c r="AX69" s="144" t="str">
        <f t="shared" si="23"/>
        <v xml:space="preserve"> </v>
      </c>
      <c r="AY69" s="152" t="str">
        <f t="shared" si="24"/>
        <v xml:space="preserve"> </v>
      </c>
      <c r="AZ69" s="246" t="str">
        <f t="shared" si="25"/>
        <v/>
      </c>
      <c r="BA69" s="176" t="str">
        <f t="shared" si="26"/>
        <v xml:space="preserve"> </v>
      </c>
      <c r="BB69" s="176" t="str">
        <f t="shared" si="27"/>
        <v xml:space="preserve"> </v>
      </c>
      <c r="BC69" s="195"/>
      <c r="BD69" s="316"/>
      <c r="BE69" s="317"/>
      <c r="BF69" s="318"/>
      <c r="BG69" s="318"/>
      <c r="BH69" s="144" t="str">
        <f t="shared" si="219"/>
        <v xml:space="preserve"> </v>
      </c>
      <c r="BI69" s="176" t="str">
        <f t="shared" si="28"/>
        <v/>
      </c>
      <c r="BJ69" s="144" t="str">
        <f t="shared" si="220"/>
        <v/>
      </c>
      <c r="BK69" s="246" t="str">
        <f t="shared" si="29"/>
        <v/>
      </c>
      <c r="BL69" s="144" t="str">
        <f t="shared" si="221"/>
        <v/>
      </c>
      <c r="BM69" s="246" t="str">
        <f t="shared" si="30"/>
        <v/>
      </c>
      <c r="BN69" s="337" t="str">
        <f t="shared" si="136"/>
        <v/>
      </c>
      <c r="BO69" s="371" t="str">
        <f t="shared" si="137"/>
        <v/>
      </c>
      <c r="BP69" s="328" t="str">
        <f t="shared" si="222"/>
        <v xml:space="preserve"> </v>
      </c>
      <c r="BQ69" s="347" t="str">
        <f t="shared" si="138"/>
        <v xml:space="preserve"> </v>
      </c>
      <c r="BR69" s="353" t="str">
        <f t="shared" si="223"/>
        <v xml:space="preserve"> </v>
      </c>
      <c r="BS69" s="626" t="str">
        <f>IF(L69&gt;0,IF(Calculation!P69="M13",BR69*3.1416*(0.134^2)/(4*144),IF(Calculation!P69="M17",BR69*3.1416*(0.165^2)/(4*144),IF(Calculation!P69="M20",BR69*3.1416*(0.198^2)/(4*144),IF(Calculation!P69="M23",BR69*3.1416*(0.228^2)/(4*144),IF(Calculation!P69="M27",BR69*3.1416*(0.269^2)/(4*144),BR69*3.1416*(0.307^2)/(4*144))))))," ")</f>
        <v xml:space="preserve"> </v>
      </c>
      <c r="BT69" s="353" t="str">
        <f>IF(L69&gt;0,IF(BS69&gt;0,R69/Calculation!BS69,0)," ")</f>
        <v xml:space="preserve"> </v>
      </c>
      <c r="BU69" s="438" t="e">
        <f t="shared" ca="1" si="31"/>
        <v>#VALUE!</v>
      </c>
      <c r="BV69" s="449" t="e">
        <f ca="1">INDEX(INDIRECT(VLOOKUP(LEFT(BO69,7),CLU!$Z$3:$AH$18,2)),GN69,GR69)</f>
        <v>#N/A</v>
      </c>
      <c r="BW69" s="433" t="e">
        <f ca="1">INDEX(INDIRECT(VLOOKUP(LEFT(BO69,7),CLU!$Z$3:$AH$18,3)),GN69,GR69)</f>
        <v>#N/A</v>
      </c>
      <c r="BX69" s="433" t="e">
        <f ca="1">INDEX(INDIRECT(VLOOKUP(LEFT(BO69,7),CLU!$Z$3:$AH$18,4)),GN69,GR69)</f>
        <v>#N/A</v>
      </c>
      <c r="BY69" s="433" t="e">
        <f ca="1">INDEX(INDIRECT(VLOOKUP(LEFT(BO69,7),CLU!$Z$3:$AH$18,9)),((M69-2)*(6-COUNTBLANK(GT69:GY69)))+GJ69)</f>
        <v>#N/A</v>
      </c>
      <c r="BZ69" s="426" t="e">
        <f t="shared" ca="1" si="139"/>
        <v>#N/A</v>
      </c>
      <c r="CA69" s="424" t="e">
        <f t="shared" ca="1" si="140"/>
        <v>#N/A</v>
      </c>
      <c r="CB69" s="429" t="e">
        <f ca="1">INDEX(INDIRECT(VLOOKUP(LEFT(BO69,7),CLU!$Z$3:$AH$18,2)),GN69,GS69)</f>
        <v>#N/A</v>
      </c>
      <c r="CC69" s="342" t="e">
        <f ca="1">INDEX(INDIRECT(VLOOKUP(LEFT(BO69,7),CLU!$Z$3:$AH$18,3)),GN69,GS69)</f>
        <v>#N/A</v>
      </c>
      <c r="CD69" s="342" t="e">
        <f ca="1">INDEX(INDIRECT(VLOOKUP(LEFT(BO69,7),CLU!$Z$3:$AH$18,4)),GN69,GS69)</f>
        <v>#N/A</v>
      </c>
      <c r="CE69" s="426" t="e">
        <f t="shared" ca="1" si="141"/>
        <v>#N/A</v>
      </c>
      <c r="CF69" s="440">
        <f t="shared" si="142"/>
        <v>0</v>
      </c>
      <c r="CG69" s="431" t="e">
        <f ca="1">INDEX(INDIRECT(VLOOKUP(LEFT(BO69,7),CLU!$Z$3:$AH$18,2)),GQ69,GR69)</f>
        <v>#N/A</v>
      </c>
      <c r="CH69" s="431" t="e">
        <f ca="1">INDEX(INDIRECT(VLOOKUP(LEFT(BO69,7),CLU!$Z$3:$AH$18,3)),GQ69,GR69)</f>
        <v>#N/A</v>
      </c>
      <c r="CI69" s="431" t="e">
        <f ca="1">INDEX(INDIRECT(VLOOKUP(LEFT(BO69,7),CLU!$Z$3:$AH$18,4)),GQ69,GR69)</f>
        <v>#N/A</v>
      </c>
      <c r="CJ69" s="448" t="e">
        <f t="shared" ca="1" si="143"/>
        <v>#N/A</v>
      </c>
      <c r="CK69" s="431" t="e">
        <f t="shared" ca="1" si="144"/>
        <v>#N/A</v>
      </c>
      <c r="CL69" s="440" t="e">
        <f t="shared" ca="1" si="145"/>
        <v>#N/A</v>
      </c>
      <c r="CM69" s="431" t="e">
        <f ca="1">INDEX(INDIRECT(VLOOKUP(LEFT(BO69,7),CLU!$Z$3:$AH$18,2)),GQ69,GS69)</f>
        <v>#N/A</v>
      </c>
      <c r="CN69" s="431" t="e">
        <f ca="1">INDEX(INDIRECT(VLOOKUP(LEFT(BO69,7),CLU!$Z$3:$AH$18,3)),GQ69,GS69)</f>
        <v>#N/A</v>
      </c>
      <c r="CO69" s="431" t="e">
        <f ca="1">INDEX(INDIRECT(VLOOKUP(LEFT(BO69,7),CLU!$Z$3:$AH$18,4)),GQ69,GS69)</f>
        <v>#N/A</v>
      </c>
      <c r="CP69" s="431" t="e">
        <f t="shared" ca="1" si="146"/>
        <v>#N/A</v>
      </c>
      <c r="CQ69" s="440">
        <f t="shared" si="147"/>
        <v>0</v>
      </c>
      <c r="CR69" s="51" t="e">
        <f t="shared" ca="1" si="148"/>
        <v>#N/A</v>
      </c>
      <c r="CS69" s="439" t="e">
        <f t="shared" ca="1" si="149"/>
        <v>#VALUE!</v>
      </c>
      <c r="CT69" s="51" t="e">
        <f t="shared" ca="1" si="150"/>
        <v>#VALUE!</v>
      </c>
      <c r="CU69" s="10"/>
      <c r="CV69" s="51" t="e">
        <f t="shared" ca="1" si="34"/>
        <v>#VALUE!</v>
      </c>
      <c r="CW69" s="51">
        <f t="shared" si="151"/>
        <v>0</v>
      </c>
      <c r="CX69" s="439" t="e">
        <f t="shared" ca="1" si="152"/>
        <v>#VALUE!</v>
      </c>
      <c r="CY69" s="51" t="e">
        <f t="shared" ca="1" si="153"/>
        <v>#VALUE!</v>
      </c>
      <c r="CZ69" s="10"/>
      <c r="DA69" s="51" t="e">
        <f t="shared" ca="1" si="154"/>
        <v>#VALUE!</v>
      </c>
      <c r="DB69" s="347" t="e">
        <f ca="1">INDEX(INDIRECT(VLOOKUP(LEFT(BO69,7),CLU!$Z$3:$AI$18,10)),((M69-2)*(6-COUNTBLANK(GT69:GY69)))+GJ69)*LI69</f>
        <v>#N/A</v>
      </c>
      <c r="DC69" s="347" t="str">
        <f>IF(L69&gt;0,((R69/Worksheet!$I$15)/DB69)^2," ")</f>
        <v xml:space="preserve"> </v>
      </c>
      <c r="DD69" s="602" t="str">
        <f t="shared" si="224"/>
        <v xml:space="preserve"> </v>
      </c>
      <c r="DE69" s="347" t="str">
        <f t="shared" si="35"/>
        <v xml:space="preserve"> </v>
      </c>
      <c r="DF69" s="356" t="e">
        <f ca="1">INDEX(INDIRECT(VLOOKUP(LEFT(BO69,7),CLU!$Z$3:$AH$18,8)),((M69-2)*(6-COUNTBLANK(GT69:GY69)))+GJ69)</f>
        <v>#N/A</v>
      </c>
      <c r="DG69" s="347" t="str">
        <f t="shared" si="36"/>
        <v xml:space="preserve"> </v>
      </c>
      <c r="DH69" s="357" t="str">
        <f t="shared" si="37"/>
        <v xml:space="preserve"> </v>
      </c>
      <c r="DI69" s="355" t="str">
        <f t="shared" si="38"/>
        <v xml:space="preserve"> </v>
      </c>
      <c r="DJ69" s="245" t="e">
        <f ca="1">INDEX(INDIRECT(VLOOKUP(LEFT(BO69,7),CLU!$Z$3:$AH$18,5)),GL69,GK69)</f>
        <v>#N/A</v>
      </c>
      <c r="DK69" s="245" t="e">
        <f ca="1">INDEX(INDIRECT(VLOOKUP(LEFT(BO69,7),CLU!$Z$3:$AH$18,6)),GL69,GK69)</f>
        <v>#N/A</v>
      </c>
      <c r="DL69" s="355">
        <f>(Calculation!R69*0.69143*(Calculation!$BQ$8-Calculation!$F$8))*$S$14</f>
        <v>0</v>
      </c>
      <c r="DM69" s="359" t="e">
        <f t="shared" si="160"/>
        <v>#VALUE!</v>
      </c>
      <c r="DN69" s="611">
        <f t="shared" si="161"/>
        <v>0</v>
      </c>
      <c r="DO69" s="359">
        <f t="shared" si="162"/>
        <v>100</v>
      </c>
      <c r="DP69" s="359">
        <f t="shared" si="163"/>
        <v>0</v>
      </c>
      <c r="DQ69" s="360"/>
      <c r="DR69" s="245" t="e">
        <f ca="1">INDEX(INDIRECT(VLOOKUP(LEFT(BO69,7),CLU!$Z$3:$AH$18,7)),M69-1,1)</f>
        <v>#N/A</v>
      </c>
      <c r="DS69" s="245" t="e">
        <f ca="1">INDEX(INDIRECT(VLOOKUP(LEFT(BO69,7),CLU!$Z$3:$AH$18,7)),M69-1,2)</f>
        <v>#N/A</v>
      </c>
      <c r="DT69" s="245" t="e">
        <f ca="1">INDEX(INDIRECT(VLOOKUP(LEFT(BO69,7),CLU!$Z$3:$AH$18,7)),M69-1,3)</f>
        <v>#N/A</v>
      </c>
      <c r="DU69" s="245" t="e">
        <f ca="1">INDEX(INDIRECT(VLOOKUP(LEFT(BO69,7),CLU!$Z$3:$AH$18,7)),M69-1,4)</f>
        <v>#N/A</v>
      </c>
      <c r="DV69" s="361" t="e">
        <f ca="1">INDEX(INDIRECT(VLOOKUP(LEFT(BO69,7),CLU!$Z$3:$AH$18,7)),M69-1,4+LEFT(DZ69,1)*0.5)</f>
        <v>#N/A</v>
      </c>
      <c r="DW69" s="245" t="e">
        <f ca="1">INDEX(INDIRECT(VLOOKUP(LEFT(BO69,7),CLU!$Z$3:$AH$18,7)),M69-1,8)</f>
        <v>#N/A</v>
      </c>
      <c r="DX69" s="361" t="str">
        <f t="shared" si="39"/>
        <v xml:space="preserve"> </v>
      </c>
      <c r="DY69" s="361" t="str">
        <f t="shared" si="40"/>
        <v xml:space="preserve"> </v>
      </c>
      <c r="DZ69" s="361" t="str">
        <f t="shared" si="41"/>
        <v xml:space="preserve"> </v>
      </c>
      <c r="EA69" s="362" t="str">
        <f t="shared" si="42"/>
        <v xml:space="preserve"> </v>
      </c>
      <c r="EB69" s="624" t="str">
        <f t="shared" si="168"/>
        <v xml:space="preserve"> </v>
      </c>
      <c r="EC69" s="361" t="e">
        <f ca="1">INDEX(INDIRECT(VLOOKUP(LEFT(BO69,7),CLU!$Z$3:$AH$18,7)),M69-1,4+LEFT(DZ69,1)*0.5)</f>
        <v>#N/A</v>
      </c>
      <c r="ED69" s="362" t="str">
        <f t="shared" si="43"/>
        <v xml:space="preserve"> </v>
      </c>
      <c r="EE69" s="361" t="str">
        <f t="shared" si="44"/>
        <v xml:space="preserve"> </v>
      </c>
      <c r="EF69" s="362" t="str">
        <f>IF(L69&gt;0,IF(BR69&gt;0,IF(EE69="2P",IF(Calculation!DZ69="2P",IF(Calculation!DS69=13.75,IF(Calculation!DR69=13,Worksheet!$BD$43,IF(Calculation!DR69=37,Worksheet!$BD$44,Worksheet!$BD$45)),IF(Calculation!DS69=10,IF(Calculation!DR69=18,Worksheet!$BD$29,IF(Calculation!DR69=30,Worksheet!$BD$30,IF(Calculation!DR69=42,Worksheet!$BD$31,IF(Calculation!DR69=54,Worksheet!$BD$32,IF(Calculation!DR69=66,Worksheet!$BD$33,IF(Calculation!DR69=78,Worksheet!$BD$34,IF(Calculation!DR69=90,Worksheet!$BD$35,IF(Calculation!DR69=102,Worksheet!$BD$36,Worksheet!$BD$37)))))))),IF(Calculation!DS69=12.5,IF(Calculation!DR69=18,Worksheet!$BD$38,IF(Calculation!DR69=Worksheet!$BD$39,IF(Calculation!DR69=42,Worksheet!$BD$40,IF(Calculation!DR69=54,Worksheet!$BD$41,Worksheet!$BD$42)))),IF(Calculation!DR69=18,Worksheet!$BD$11,IF(Calculation!DR69=30,Worksheet!$BD$12,IF(Calculation!DR69=42,Worksheet!$BD$13,IF(Calculation!DR69=54,Worksheet!$BD$14,IF(Calculation!DR69=66,Worksheet!$BD$15,IF(Calculation!DR69=78,Worksheet!$BD$16,IF(Calculation!DR69=90,Worksheet!$BD$17,IF(Calculation!DR69=102,Worksheet!$BD$18,Worksheet!$BD$19))))))))))),IF(Calculation!DS69=13.75,IF(Calculation!DR69=13,Worksheet!$BD$78,IF(Calculation!DR69=37,Worksheet!$BD$79,Worksheet!$BD$80)),IF(Calculation!DS69=10,IF(Calculation!DR69=18,Worksheet!$BD$64,IF(Calculation!DR69=30,Worksheet!$BD$65,IF(Calculation!DR69=42,Worksheet!$BD$66,IF(Calculation!DR69=54,Worksheet!$BD$68,IF(Calculation!DR69=66,Worksheet!$BD$68,IF(Calculation!DR69=78,Worksheet!$BD$69,IF(Calculation!DR69=90,Worksheet!$BD$70,IF(Calculation!DR69=102,Worksheet!$BD$71,Worksheet!$BD$72)))))))),IF(Calculation!DS69=12.5,IF(Calculation!DR69=18,Worksheet!$BD$73,IF(Calculation!DR69=Worksheet!$BD$74,IF(Calculation!DR69=42,Worksheet!$BD$75,IF(Calculation!DR69=54,Worksheet!$BD$76,Worksheet!$BD$77)))),IF(Calculation!DR69=18,Worksheet!$BD$55,IF(Calculation!DR69=30,Worksheet!$BD$56,IF(Calculation!DR69=42,Worksheet!$BD$57,IF(Calculation!DR69=54,Worksheet!$BD$58,IF(Calculation!DR69=66,Worksheet!$BD$59,IF(Calculation!DR69=78,Worksheet!$BD$60,IF(Calculation!DR69=90,Worksheet!$BD$61,IF(Calculation!DR69=102,Worksheet!$BD$62,Worksheet!$BD$63)))))))))))),5),0)," ")</f>
        <v xml:space="preserve"> </v>
      </c>
      <c r="EG69" s="361" t="str">
        <f t="shared" si="45"/>
        <v xml:space="preserve"> </v>
      </c>
      <c r="EH69" s="361" t="e">
        <f ca="1">INDEX(INDIRECT(VLOOKUP(LEFT(BO69,7),CLU!$Z$3:$AH$18,7)),M69-1,3+LEFT(DZ69,1))</f>
        <v>#N/A</v>
      </c>
      <c r="EI69" s="362" t="str">
        <f t="shared" si="46"/>
        <v xml:space="preserve"> </v>
      </c>
      <c r="EJ69" s="363" t="str">
        <f t="shared" si="47"/>
        <v xml:space="preserve"> </v>
      </c>
      <c r="EK69" s="363" t="str">
        <f t="shared" si="48"/>
        <v xml:space="preserve"> </v>
      </c>
      <c r="EL69" s="363" t="str">
        <f t="shared" si="49"/>
        <v xml:space="preserve"> </v>
      </c>
      <c r="EM69" s="362" t="str">
        <f>IF(L69&gt;0,IF(BR69&gt;0,(Calculation!T69/ED69)^2,0)," ")</f>
        <v xml:space="preserve"> </v>
      </c>
      <c r="EN69" s="362" t="str">
        <f>IF(L69&gt;0,IF(O69="2 Pipe (Cooling)","N/A",IF(BR69&gt;0,(Calculation!U69/EI69)^2,0))," ")</f>
        <v xml:space="preserve"> </v>
      </c>
      <c r="EO69" s="361" t="str">
        <f t="shared" si="50"/>
        <v/>
      </c>
      <c r="EP69" s="361" t="str">
        <f t="shared" si="51"/>
        <v/>
      </c>
      <c r="EQ69" s="361" t="str">
        <f t="shared" si="52"/>
        <v/>
      </c>
      <c r="ER69" s="361" t="str">
        <f t="shared" si="53"/>
        <v/>
      </c>
      <c r="ES69" s="361" t="str">
        <f t="shared" si="54"/>
        <v/>
      </c>
      <c r="ET69" s="361" t="str">
        <f t="shared" si="55"/>
        <v/>
      </c>
      <c r="EU69" s="361" t="str">
        <f t="shared" si="56"/>
        <v/>
      </c>
      <c r="EV69" s="361" t="str">
        <f t="shared" si="57"/>
        <v/>
      </c>
      <c r="EW69" s="361" t="str">
        <f t="shared" si="58"/>
        <v/>
      </c>
      <c r="EX69" s="361" t="str">
        <f t="shared" si="169"/>
        <v>1 slot, 1 way</v>
      </c>
      <c r="EY69" s="361" t="str">
        <f t="shared" si="170"/>
        <v xml:space="preserve"> </v>
      </c>
      <c r="EZ69" s="361" t="str">
        <f t="shared" si="171"/>
        <v xml:space="preserve"> </v>
      </c>
      <c r="FA69" s="361" t="str">
        <f t="shared" si="172"/>
        <v xml:space="preserve"> </v>
      </c>
      <c r="FB69" s="361" t="str">
        <f t="shared" si="173"/>
        <v xml:space="preserve"> </v>
      </c>
      <c r="FC69" s="361"/>
      <c r="FD69" s="361" t="str">
        <f>IF(J69&gt;0,IF(Calculation!R69&lt;=70,4,IF(Calculation!R69&lt;=110,5,IF(Calculation!R69&lt;=160,6,IF(Calculation!R69&lt;=300,8,"10 EO")))),"")</f>
        <v/>
      </c>
      <c r="FE69" s="361" t="str">
        <f t="shared" si="174"/>
        <v/>
      </c>
      <c r="FF69" s="361" t="str">
        <f t="shared" si="175"/>
        <v/>
      </c>
      <c r="FG69" s="361" t="e">
        <f t="shared" si="60"/>
        <v>#N/A</v>
      </c>
      <c r="FH69" s="361">
        <f t="shared" si="61"/>
        <v>0</v>
      </c>
      <c r="FI69" s="361" t="e">
        <f t="shared" si="62"/>
        <v>#DIV/0!</v>
      </c>
      <c r="FJ69" s="361"/>
      <c r="FK69" s="356" t="e">
        <f t="shared" si="63"/>
        <v>#VALUE!</v>
      </c>
      <c r="FL69" s="361"/>
      <c r="FM69" s="361"/>
      <c r="FN69" s="362" t="str">
        <f t="shared" si="176"/>
        <v xml:space="preserve"> </v>
      </c>
      <c r="FO69" s="362" t="str">
        <f t="shared" si="177"/>
        <v xml:space="preserve"> </v>
      </c>
      <c r="FP69" s="362">
        <f t="shared" si="178"/>
        <v>0</v>
      </c>
      <c r="FQ69" s="361">
        <f t="shared" si="64"/>
        <v>0</v>
      </c>
      <c r="FR69" s="362" t="str">
        <f>IF(L69&gt;0,IF(J69="CBAL2",Worksheet!$P$67,IF(J69="CBE2-24",Worksheet!$Q$67,IF(J69="CBAM",Worksheet!$R$67,IF(J69="CBLV",Worksheet!$S$67,IF(J69="CBAB",Worksheet!$U$67,IF(J69="CBAW",Worksheet!$X$67,IF(J69="CBE2-12",Worksheet!$Y$67,IF(J69="CBAL2",Worksheet!$Z$67,"N/A"))))))))," ")</f>
        <v xml:space="preserve"> </v>
      </c>
      <c r="FS69" s="362" t="str">
        <f>IF(L69&gt;0,IF(J69="CBAL2",Worksheet!$P$68,IF(J69="CBE2-24",Worksheet!$Q$68,IF(J69="CBAM",Worksheet!$R$68,IF(J69="CBLV",Worksheet!$S$68,IF(J69="CBAB",Worksheet!$U$68,IF(J69="CBAW",Worksheet!$X$68,IF(J69="CBE2-12",Worksheet!$Y$68,IF(J69="CBAL2",Worksheet!$Z$68,"N/A"))))))))," ")</f>
        <v xml:space="preserve"> </v>
      </c>
      <c r="FT69" s="362" t="str">
        <f>IF(L69&gt;0,IF(J69="CBAL2",Worksheet!$P$69,IF(J69="CBE2-24",Worksheet!$Q$69,IF(J69="CBAM",Worksheet!$R$69,IF(J69="CBLV",Worksheet!$S$69,IF(J69="CBAB",Worksheet!$U$69,IF(J69="CBAW",Worksheet!$X$69,IF(J69="CBE2-12",Worksheet!$Y$69,IF(J69="CBAL2",Worksheet!$Z$69,"N/A"))))))))," ")</f>
        <v xml:space="preserve"> </v>
      </c>
      <c r="FU69" s="361" t="str">
        <f t="shared" si="179"/>
        <v xml:space="preserve"> </v>
      </c>
      <c r="FV69" s="362" t="str">
        <f t="shared" si="180"/>
        <v xml:space="preserve"> </v>
      </c>
      <c r="FW69" s="362" t="str">
        <f t="shared" si="181"/>
        <v xml:space="preserve"> </v>
      </c>
      <c r="FX69" s="362" t="str">
        <f t="shared" si="182"/>
        <v xml:space="preserve"> </v>
      </c>
      <c r="FY69" s="355" t="str">
        <f t="shared" si="183"/>
        <v xml:space="preserve"> </v>
      </c>
      <c r="FZ69" s="361" t="str">
        <f t="shared" si="184"/>
        <v xml:space="preserve"> </v>
      </c>
      <c r="GA69" s="347" t="str">
        <f t="shared" si="185"/>
        <v xml:space="preserve"> </v>
      </c>
      <c r="GB69" s="355" t="str">
        <f t="shared" si="186"/>
        <v xml:space="preserve"> </v>
      </c>
      <c r="GC69" s="328" t="str">
        <f t="shared" si="187"/>
        <v xml:space="preserve"> </v>
      </c>
      <c r="GD69" s="361" t="str">
        <f t="shared" si="188"/>
        <v xml:space="preserve"> </v>
      </c>
      <c r="GE69" s="347" t="str">
        <f t="shared" si="189"/>
        <v xml:space="preserve"> </v>
      </c>
      <c r="GF69" s="361" t="str">
        <f t="shared" si="190"/>
        <v xml:space="preserve"> </v>
      </c>
      <c r="GG69" s="347" t="str">
        <f t="shared" si="191"/>
        <v xml:space="preserve"> </v>
      </c>
      <c r="GH69" s="364">
        <f t="shared" si="78"/>
        <v>0</v>
      </c>
      <c r="GI69" s="362">
        <f t="shared" si="192"/>
        <v>2</v>
      </c>
      <c r="GJ69" s="433" t="e">
        <f>IF(6-COUNTBLANK(GT69:GY69)=4,MATCH(MID(BO69,9,3),CLU!$H$16:$K$16),MATCH(MID(BO69,9,3),CLU!$H$13:$M$13))</f>
        <v>#N/A</v>
      </c>
      <c r="GK69" s="433" t="e">
        <f>HLOOKUP(VALUE(BP69),CLU!$H$9:$M$10,2)</f>
        <v>#VALUE!</v>
      </c>
      <c r="GL69" s="433" t="e">
        <f ca="1">MATCH(BU69,CLU!$H$2:$V$2,1)</f>
        <v>#VALUE!</v>
      </c>
      <c r="GM69" s="433" t="e">
        <f t="shared" ca="1" si="193"/>
        <v>#VALUE!</v>
      </c>
      <c r="GN69" s="433" t="e">
        <f t="shared" ca="1" si="194"/>
        <v>#VALUE!</v>
      </c>
      <c r="GO69" s="433" t="e">
        <f t="shared" ca="1" si="195"/>
        <v>#VALUE!</v>
      </c>
      <c r="GP69" s="433" t="e">
        <f t="shared" ca="1" si="196"/>
        <v>#VALUE!</v>
      </c>
      <c r="GQ69" s="433" t="e">
        <f t="shared" ca="1" si="197"/>
        <v>#VALUE!</v>
      </c>
      <c r="GR69" s="433" t="e">
        <f ca="1">MATCH(T69,INDIRECT(VLOOKUP(CONCATENATE(LEFT(BO69,7),"-",MID(BO69,13,1)),CLU!$P$3:$Q$16,2)),1)</f>
        <v>#N/A</v>
      </c>
      <c r="GS69" s="433" t="e">
        <f ca="1">MATCH(U69,INDIRECT(VLOOKUP(CONCATENATE(LEFT(BO69,7),"-",MID(BO69,13,1)),CLU!$P$3:$Q$16,2)),1)</f>
        <v>#N/A</v>
      </c>
      <c r="GT69" s="347" t="s">
        <v>512</v>
      </c>
      <c r="GU69" s="97" t="s">
        <v>513</v>
      </c>
      <c r="GV69" s="97" t="str">
        <f t="shared" si="198"/>
        <v>M23</v>
      </c>
      <c r="GW69" s="97" t="str">
        <f t="shared" si="199"/>
        <v>M31</v>
      </c>
      <c r="GX69" s="97" t="str">
        <f t="shared" si="200"/>
        <v/>
      </c>
      <c r="GY69" s="97" t="str">
        <f t="shared" si="201"/>
        <v/>
      </c>
      <c r="GZ69" s="481"/>
      <c r="HA69" s="288"/>
      <c r="HB69" s="240"/>
      <c r="HC69" s="240"/>
      <c r="HD69" s="240"/>
      <c r="HE69" s="240"/>
      <c r="HF69" s="240"/>
      <c r="HG69" s="240"/>
      <c r="HH69" s="240"/>
      <c r="HI69" s="240"/>
      <c r="HJ69" s="240"/>
      <c r="HK69" s="240"/>
      <c r="HL69" s="240"/>
      <c r="HM69" s="240"/>
      <c r="HN69" s="240"/>
      <c r="HO69" s="240"/>
      <c r="HP69" s="240"/>
      <c r="HQ69" s="240"/>
      <c r="HR69" s="240"/>
      <c r="HS69" s="240"/>
      <c r="HT69" s="240"/>
      <c r="HU69" s="240"/>
      <c r="HV69" s="245"/>
      <c r="HW69" s="245" t="b">
        <v>1</v>
      </c>
      <c r="HX69" s="245" t="str">
        <f t="shared" si="79"/>
        <v/>
      </c>
      <c r="HY69" s="245" t="e">
        <f t="shared" si="80"/>
        <v>#DIV/0!</v>
      </c>
      <c r="HZ69" s="245" t="e">
        <f t="shared" si="81"/>
        <v>#DIV/0!</v>
      </c>
      <c r="IA69" s="245">
        <f t="shared" si="82"/>
        <v>0</v>
      </c>
      <c r="IB69" s="245"/>
      <c r="IC69" t="b">
        <f t="shared" si="83"/>
        <v>1</v>
      </c>
      <c r="ID69" s="245" t="b">
        <f t="shared" si="84"/>
        <v>1</v>
      </c>
      <c r="IE69" s="245" t="b">
        <f t="shared" si="85"/>
        <v>1</v>
      </c>
      <c r="IF69" s="245" t="b">
        <f t="shared" si="86"/>
        <v>0</v>
      </c>
      <c r="IG69" s="245" t="b">
        <f t="shared" si="87"/>
        <v>1</v>
      </c>
      <c r="IH69" s="245" t="b">
        <f t="shared" si="88"/>
        <v>1</v>
      </c>
      <c r="II69" s="245">
        <f t="shared" si="202"/>
        <v>0</v>
      </c>
      <c r="IJ69" s="245" t="e">
        <f t="shared" si="89"/>
        <v>#VALUE!</v>
      </c>
      <c r="IK69" s="245" t="e">
        <f t="shared" si="90"/>
        <v>#VALUE!</v>
      </c>
      <c r="IL69" s="245"/>
      <c r="IM69" s="245" t="e">
        <f t="shared" si="203"/>
        <v>#N/A</v>
      </c>
      <c r="IN69" s="245" t="e">
        <f t="shared" si="204"/>
        <v>#N/A</v>
      </c>
      <c r="IO69" s="245"/>
      <c r="IP69" s="245"/>
      <c r="IQ69" s="245" t="str">
        <f t="shared" si="91"/>
        <v/>
      </c>
      <c r="IR69" s="245" t="str">
        <f>IF(J69="","",VLOOKUP(J69,Worksheet!$R$4:$T$14,2))</f>
        <v/>
      </c>
      <c r="IS69" s="245"/>
      <c r="IT69" s="245">
        <f t="shared" si="92"/>
        <v>0</v>
      </c>
      <c r="IU69" s="245">
        <f t="shared" si="93"/>
        <v>0</v>
      </c>
      <c r="IV69" s="245">
        <f t="shared" si="94"/>
        <v>0</v>
      </c>
      <c r="IW69" s="245">
        <f t="shared" si="95"/>
        <v>0</v>
      </c>
      <c r="IX69" s="245">
        <f t="shared" si="205"/>
        <v>0</v>
      </c>
      <c r="IY69" s="245">
        <f t="shared" si="96"/>
        <v>0</v>
      </c>
      <c r="IZ69" s="245">
        <f t="shared" si="97"/>
        <v>0</v>
      </c>
      <c r="JA69">
        <f t="shared" si="98"/>
        <v>0</v>
      </c>
      <c r="JB69">
        <f t="shared" si="206"/>
        <v>0</v>
      </c>
      <c r="JC69">
        <f t="shared" si="99"/>
        <v>0</v>
      </c>
      <c r="JD69">
        <f t="shared" si="100"/>
        <v>0</v>
      </c>
      <c r="JE69">
        <f t="shared" si="101"/>
        <v>0</v>
      </c>
      <c r="JF69">
        <f t="shared" si="102"/>
        <v>0</v>
      </c>
      <c r="JG69">
        <f t="shared" si="103"/>
        <v>0</v>
      </c>
      <c r="JH69">
        <f t="shared" si="104"/>
        <v>0</v>
      </c>
      <c r="JI69">
        <f t="shared" si="105"/>
        <v>0</v>
      </c>
      <c r="JJ69" s="447">
        <f t="shared" si="106"/>
        <v>0</v>
      </c>
      <c r="JK69" s="447">
        <f t="shared" si="107"/>
        <v>0</v>
      </c>
      <c r="JL69">
        <f t="shared" si="108"/>
        <v>0</v>
      </c>
      <c r="JM69" s="245" t="str">
        <f>IFERROR(VLOOKUP(MATCH(BN69,#REF!,0),#REF!,7),"")</f>
        <v/>
      </c>
      <c r="JN69" t="e">
        <f>HLOOKUP(LEFT(BO69,7),Discharge_Area,MATCH(JO69,LookUps!$B$130:$B$149,1)+2)</f>
        <v>#N/A</v>
      </c>
      <c r="JO69" t="str">
        <f t="shared" si="109"/>
        <v>- S</v>
      </c>
      <c r="JP69" t="e">
        <f>HLOOKUP(LEFT(BO69,7),Discharge_Area,MATCH(JO69,LookUps!$B$130:$B$149,1)+2)</f>
        <v>#N/A</v>
      </c>
      <c r="JQ69" t="e">
        <f t="shared" si="110"/>
        <v>#N/A</v>
      </c>
      <c r="JR69" t="e">
        <f t="shared" si="111"/>
        <v>#N/A</v>
      </c>
      <c r="JS69" t="e">
        <f t="shared" si="112"/>
        <v>#N/A</v>
      </c>
      <c r="JT69" s="532" t="str">
        <f t="shared" si="113"/>
        <v xml:space="preserve"> </v>
      </c>
      <c r="JU69" s="532" t="str">
        <f t="shared" si="114"/>
        <v xml:space="preserve"> </v>
      </c>
      <c r="JV69" s="533" t="str">
        <f t="shared" si="115"/>
        <v xml:space="preserve"> </v>
      </c>
      <c r="JW69" s="534">
        <f t="shared" si="116"/>
        <v>0</v>
      </c>
      <c r="JX69" s="535" t="str">
        <f t="shared" si="207"/>
        <v xml:space="preserve"> </v>
      </c>
      <c r="JY69" s="535" t="str">
        <f t="shared" si="208"/>
        <v xml:space="preserve"> </v>
      </c>
      <c r="JZ69" s="535" t="str">
        <f t="shared" si="209"/>
        <v xml:space="preserve"> </v>
      </c>
      <c r="KA69" s="536" t="str">
        <f t="shared" si="117"/>
        <v xml:space="preserve"> </v>
      </c>
      <c r="KB69" s="535" t="e">
        <f t="shared" si="210"/>
        <v>#VALUE!</v>
      </c>
      <c r="KC69" s="535" t="str">
        <f t="shared" si="118"/>
        <v/>
      </c>
      <c r="KD69" s="537" t="str">
        <f t="shared" si="211"/>
        <v xml:space="preserve"> </v>
      </c>
      <c r="KE69" s="537" t="str">
        <f t="shared" si="212"/>
        <v xml:space="preserve"> </v>
      </c>
      <c r="KF69" s="534">
        <f t="shared" si="119"/>
        <v>0</v>
      </c>
      <c r="KG69" s="535" t="str">
        <f t="shared" si="120"/>
        <v xml:space="preserve"> </v>
      </c>
      <c r="KH69" s="535" t="str">
        <f t="shared" si="121"/>
        <v xml:space="preserve"> </v>
      </c>
      <c r="KI69" s="535" t="str">
        <f t="shared" si="122"/>
        <v xml:space="preserve"> </v>
      </c>
      <c r="KJ69" s="536" t="str">
        <f t="shared" si="123"/>
        <v xml:space="preserve"> </v>
      </c>
      <c r="KK69" s="535" t="str">
        <f t="shared" si="213"/>
        <v xml:space="preserve"> </v>
      </c>
      <c r="KL69" s="535" t="str">
        <f t="shared" si="214"/>
        <v xml:space="preserve"> </v>
      </c>
      <c r="KM69" s="537" t="str">
        <f t="shared" si="124"/>
        <v xml:space="preserve"> </v>
      </c>
      <c r="KN69" s="537" t="str">
        <f t="shared" si="215"/>
        <v xml:space="preserve"> </v>
      </c>
      <c r="KP69">
        <f t="shared" si="125"/>
        <v>0</v>
      </c>
      <c r="LA69" t="e">
        <f t="shared" si="126"/>
        <v>#VALUE!</v>
      </c>
      <c r="LB69" t="e">
        <f t="shared" si="127"/>
        <v>#VALUE!</v>
      </c>
      <c r="LC69" t="e">
        <f t="shared" si="128"/>
        <v>#VALUE!</v>
      </c>
      <c r="LD69" t="e">
        <f t="shared" si="129"/>
        <v>#VALUE!</v>
      </c>
      <c r="LE69" t="e">
        <f t="shared" si="216"/>
        <v>#VALUE!</v>
      </c>
      <c r="LF69">
        <f t="shared" si="130"/>
        <v>0</v>
      </c>
      <c r="LG69" t="e">
        <f t="shared" si="217"/>
        <v>#VALUE!</v>
      </c>
      <c r="LH69" t="str">
        <f t="shared" si="131"/>
        <v xml:space="preserve"> </v>
      </c>
      <c r="LI69">
        <f t="shared" si="218"/>
        <v>1</v>
      </c>
    </row>
    <row r="70" spans="2:321" ht="15" customHeight="1">
      <c r="B70" s="311"/>
      <c r="C70" s="311"/>
      <c r="D70" s="312"/>
      <c r="E70" s="311"/>
      <c r="F70" s="312"/>
      <c r="G70" s="311"/>
      <c r="H70" s="311"/>
      <c r="I70" s="37"/>
      <c r="J70" s="311"/>
      <c r="K70" s="305" t="str">
        <f t="shared" si="132"/>
        <v/>
      </c>
      <c r="L70" s="313"/>
      <c r="M70" s="312"/>
      <c r="N70" s="311"/>
      <c r="O70" s="312"/>
      <c r="P70" s="311"/>
      <c r="Q70" s="305" t="str">
        <f t="shared" si="133"/>
        <v/>
      </c>
      <c r="R70" s="314"/>
      <c r="S70" s="450" t="str">
        <f t="shared" si="0"/>
        <v/>
      </c>
      <c r="T70" s="315"/>
      <c r="U70" s="315"/>
      <c r="W70" s="149" t="str">
        <f t="shared" si="1"/>
        <v xml:space="preserve"> </v>
      </c>
      <c r="X70" s="243" t="str">
        <f t="shared" si="2"/>
        <v xml:space="preserve"> </v>
      </c>
      <c r="Y70" s="150" t="str">
        <f t="shared" si="3"/>
        <v/>
      </c>
      <c r="Z70" s="149" t="str">
        <f t="shared" si="4"/>
        <v xml:space="preserve"> </v>
      </c>
      <c r="AA70" s="98" t="str">
        <f t="shared" si="5"/>
        <v xml:space="preserve"> </v>
      </c>
      <c r="AB70" s="153" t="str">
        <f t="shared" si="6"/>
        <v xml:space="preserve"> </v>
      </c>
      <c r="AC70" s="153" t="str">
        <f t="shared" si="7"/>
        <v xml:space="preserve"> </v>
      </c>
      <c r="AD70" s="148" t="str">
        <f t="shared" si="8"/>
        <v/>
      </c>
      <c r="AE70" s="149" t="str">
        <f t="shared" si="9"/>
        <v/>
      </c>
      <c r="AF70" s="151" t="str">
        <f t="shared" si="10"/>
        <v xml:space="preserve"> </v>
      </c>
      <c r="AG70" s="153" t="str">
        <f t="shared" si="11"/>
        <v xml:space="preserve"> </v>
      </c>
      <c r="AH70" s="98" t="str">
        <f t="shared" si="12"/>
        <v xml:space="preserve"> </v>
      </c>
      <c r="AI70" s="149" t="str">
        <f t="shared" si="13"/>
        <v xml:space="preserve"> </v>
      </c>
      <c r="AK70" s="144" t="str">
        <f t="shared" si="14"/>
        <v xml:space="preserve"> </v>
      </c>
      <c r="AL70" s="144"/>
      <c r="AM70" s="243" t="str">
        <f t="shared" si="15"/>
        <v xml:space="preserve"> </v>
      </c>
      <c r="AN70" s="149" t="str">
        <f t="shared" si="134"/>
        <v xml:space="preserve"> </v>
      </c>
      <c r="AO70" s="144" t="str">
        <f>IF(JB70&gt;0,IF(GI70=10,-R70*1.085*(Calculation!$F$6-Calculation!$F$13)*$S$14," "),"")</f>
        <v/>
      </c>
      <c r="AP70" s="144" t="str">
        <f t="shared" si="16"/>
        <v/>
      </c>
      <c r="AQ70" s="56" t="str">
        <f t="shared" si="17"/>
        <v/>
      </c>
      <c r="AR70" s="144" t="str">
        <f t="shared" si="18"/>
        <v/>
      </c>
      <c r="AS70" s="176" t="str">
        <f t="shared" si="19"/>
        <v/>
      </c>
      <c r="AT70" s="176" t="str">
        <f t="shared" si="135"/>
        <v xml:space="preserve"> </v>
      </c>
      <c r="AU70" s="176" t="str">
        <f t="shared" si="20"/>
        <v/>
      </c>
      <c r="AV70" s="177" t="str">
        <f t="shared" si="21"/>
        <v xml:space="preserve"> </v>
      </c>
      <c r="AW70" s="144" t="str">
        <f t="shared" si="22"/>
        <v xml:space="preserve"> </v>
      </c>
      <c r="AX70" s="144" t="str">
        <f t="shared" si="23"/>
        <v xml:space="preserve"> </v>
      </c>
      <c r="AY70" s="152" t="str">
        <f t="shared" si="24"/>
        <v xml:space="preserve"> </v>
      </c>
      <c r="AZ70" s="246" t="str">
        <f t="shared" si="25"/>
        <v/>
      </c>
      <c r="BA70" s="176" t="str">
        <f t="shared" si="26"/>
        <v xml:space="preserve"> </v>
      </c>
      <c r="BB70" s="176" t="str">
        <f t="shared" si="27"/>
        <v xml:space="preserve"> </v>
      </c>
      <c r="BC70" s="195"/>
      <c r="BD70" s="316"/>
      <c r="BE70" s="317"/>
      <c r="BF70" s="318"/>
      <c r="BG70" s="318"/>
      <c r="BH70" s="144" t="str">
        <f t="shared" si="219"/>
        <v xml:space="preserve"> </v>
      </c>
      <c r="BI70" s="176" t="str">
        <f t="shared" si="28"/>
        <v/>
      </c>
      <c r="BJ70" s="144" t="str">
        <f t="shared" si="220"/>
        <v/>
      </c>
      <c r="BK70" s="246" t="str">
        <f t="shared" si="29"/>
        <v/>
      </c>
      <c r="BL70" s="144" t="str">
        <f t="shared" si="221"/>
        <v/>
      </c>
      <c r="BM70" s="246" t="str">
        <f t="shared" si="30"/>
        <v/>
      </c>
      <c r="BN70" s="337" t="str">
        <f t="shared" si="136"/>
        <v/>
      </c>
      <c r="BO70" s="371" t="str">
        <f t="shared" si="137"/>
        <v/>
      </c>
      <c r="BP70" s="328" t="str">
        <f t="shared" si="222"/>
        <v xml:space="preserve"> </v>
      </c>
      <c r="BQ70" s="347" t="str">
        <f t="shared" si="138"/>
        <v xml:space="preserve"> </v>
      </c>
      <c r="BR70" s="353" t="str">
        <f t="shared" si="223"/>
        <v xml:space="preserve"> </v>
      </c>
      <c r="BS70" s="626" t="str">
        <f>IF(L70&gt;0,IF(Calculation!P70="M13",BR70*3.1416*(0.134^2)/(4*144),IF(Calculation!P70="M17",BR70*3.1416*(0.165^2)/(4*144),IF(Calculation!P70="M20",BR70*3.1416*(0.198^2)/(4*144),IF(Calculation!P70="M23",BR70*3.1416*(0.228^2)/(4*144),IF(Calculation!P70="M27",BR70*3.1416*(0.269^2)/(4*144),BR70*3.1416*(0.307^2)/(4*144))))))," ")</f>
        <v xml:space="preserve"> </v>
      </c>
      <c r="BT70" s="353" t="str">
        <f>IF(L70&gt;0,IF(BS70&gt;0,R70/Calculation!BS70,0)," ")</f>
        <v xml:space="preserve"> </v>
      </c>
      <c r="BU70" s="438" t="e">
        <f t="shared" ca="1" si="31"/>
        <v>#VALUE!</v>
      </c>
      <c r="BV70" s="449" t="e">
        <f ca="1">INDEX(INDIRECT(VLOOKUP(LEFT(BO70,7),CLU!$Z$3:$AH$18,2)),GN70,GR70)</f>
        <v>#N/A</v>
      </c>
      <c r="BW70" s="433" t="e">
        <f ca="1">INDEX(INDIRECT(VLOOKUP(LEFT(BO70,7),CLU!$Z$3:$AH$18,3)),GN70,GR70)</f>
        <v>#N/A</v>
      </c>
      <c r="BX70" s="433" t="e">
        <f ca="1">INDEX(INDIRECT(VLOOKUP(LEFT(BO70,7),CLU!$Z$3:$AH$18,4)),GN70,GR70)</f>
        <v>#N/A</v>
      </c>
      <c r="BY70" s="433" t="e">
        <f ca="1">INDEX(INDIRECT(VLOOKUP(LEFT(BO70,7),CLU!$Z$3:$AH$18,9)),((M70-2)*(6-COUNTBLANK(GT70:GY70)))+GJ70)</f>
        <v>#N/A</v>
      </c>
      <c r="BZ70" s="426" t="e">
        <f t="shared" ca="1" si="139"/>
        <v>#N/A</v>
      </c>
      <c r="CA70" s="424" t="e">
        <f t="shared" ca="1" si="140"/>
        <v>#N/A</v>
      </c>
      <c r="CB70" s="429" t="e">
        <f ca="1">INDEX(INDIRECT(VLOOKUP(LEFT(BO70,7),CLU!$Z$3:$AH$18,2)),GN70,GS70)</f>
        <v>#N/A</v>
      </c>
      <c r="CC70" s="342" t="e">
        <f ca="1">INDEX(INDIRECT(VLOOKUP(LEFT(BO70,7),CLU!$Z$3:$AH$18,3)),GN70,GS70)</f>
        <v>#N/A</v>
      </c>
      <c r="CD70" s="342" t="e">
        <f ca="1">INDEX(INDIRECT(VLOOKUP(LEFT(BO70,7),CLU!$Z$3:$AH$18,4)),GN70,GS70)</f>
        <v>#N/A</v>
      </c>
      <c r="CE70" s="426" t="e">
        <f t="shared" ca="1" si="141"/>
        <v>#N/A</v>
      </c>
      <c r="CF70" s="440">
        <f t="shared" si="142"/>
        <v>0</v>
      </c>
      <c r="CG70" s="431" t="e">
        <f ca="1">INDEX(INDIRECT(VLOOKUP(LEFT(BO70,7),CLU!$Z$3:$AH$18,2)),GQ70,GR70)</f>
        <v>#N/A</v>
      </c>
      <c r="CH70" s="431" t="e">
        <f ca="1">INDEX(INDIRECT(VLOOKUP(LEFT(BO70,7),CLU!$Z$3:$AH$18,3)),GQ70,GR70)</f>
        <v>#N/A</v>
      </c>
      <c r="CI70" s="431" t="e">
        <f ca="1">INDEX(INDIRECT(VLOOKUP(LEFT(BO70,7),CLU!$Z$3:$AH$18,4)),GQ70,GR70)</f>
        <v>#N/A</v>
      </c>
      <c r="CJ70" s="448" t="e">
        <f t="shared" ca="1" si="143"/>
        <v>#N/A</v>
      </c>
      <c r="CK70" s="431" t="e">
        <f t="shared" ca="1" si="144"/>
        <v>#N/A</v>
      </c>
      <c r="CL70" s="440" t="e">
        <f t="shared" ca="1" si="145"/>
        <v>#N/A</v>
      </c>
      <c r="CM70" s="431" t="e">
        <f ca="1">INDEX(INDIRECT(VLOOKUP(LEFT(BO70,7),CLU!$Z$3:$AH$18,2)),GQ70,GS70)</f>
        <v>#N/A</v>
      </c>
      <c r="CN70" s="431" t="e">
        <f ca="1">INDEX(INDIRECT(VLOOKUP(LEFT(BO70,7),CLU!$Z$3:$AH$18,3)),GQ70,GS70)</f>
        <v>#N/A</v>
      </c>
      <c r="CO70" s="431" t="e">
        <f ca="1">INDEX(INDIRECT(VLOOKUP(LEFT(BO70,7),CLU!$Z$3:$AH$18,4)),GQ70,GS70)</f>
        <v>#N/A</v>
      </c>
      <c r="CP70" s="431" t="e">
        <f t="shared" ca="1" si="146"/>
        <v>#N/A</v>
      </c>
      <c r="CQ70" s="440">
        <f t="shared" si="147"/>
        <v>0</v>
      </c>
      <c r="CR70" s="51" t="e">
        <f t="shared" ca="1" si="148"/>
        <v>#N/A</v>
      </c>
      <c r="CS70" s="439" t="e">
        <f t="shared" ca="1" si="149"/>
        <v>#VALUE!</v>
      </c>
      <c r="CT70" s="51" t="e">
        <f t="shared" ca="1" si="150"/>
        <v>#VALUE!</v>
      </c>
      <c r="CU70" s="10"/>
      <c r="CV70" s="51" t="e">
        <f t="shared" ca="1" si="34"/>
        <v>#VALUE!</v>
      </c>
      <c r="CW70" s="51">
        <f t="shared" si="151"/>
        <v>0</v>
      </c>
      <c r="CX70" s="439" t="e">
        <f t="shared" ca="1" si="152"/>
        <v>#VALUE!</v>
      </c>
      <c r="CY70" s="51" t="e">
        <f t="shared" ca="1" si="153"/>
        <v>#VALUE!</v>
      </c>
      <c r="CZ70" s="10"/>
      <c r="DA70" s="51" t="e">
        <f t="shared" ca="1" si="154"/>
        <v>#VALUE!</v>
      </c>
      <c r="DB70" s="347" t="e">
        <f ca="1">INDEX(INDIRECT(VLOOKUP(LEFT(BO70,7),CLU!$Z$3:$AI$18,10)),((M70-2)*(6-COUNTBLANK(GT70:GY70)))+GJ70)*LI70</f>
        <v>#N/A</v>
      </c>
      <c r="DC70" s="347" t="str">
        <f>IF(L70&gt;0,((R70/Worksheet!$I$15)/DB70)^2," ")</f>
        <v xml:space="preserve"> </v>
      </c>
      <c r="DD70" s="602" t="str">
        <f t="shared" si="224"/>
        <v xml:space="preserve"> </v>
      </c>
      <c r="DE70" s="347" t="str">
        <f t="shared" si="35"/>
        <v xml:space="preserve"> </v>
      </c>
      <c r="DF70" s="356" t="e">
        <f ca="1">INDEX(INDIRECT(VLOOKUP(LEFT(BO70,7),CLU!$Z$3:$AH$18,8)),((M70-2)*(6-COUNTBLANK(GT70:GY70)))+GJ70)</f>
        <v>#N/A</v>
      </c>
      <c r="DG70" s="347" t="str">
        <f t="shared" si="36"/>
        <v xml:space="preserve"> </v>
      </c>
      <c r="DH70" s="357" t="str">
        <f t="shared" si="37"/>
        <v xml:space="preserve"> </v>
      </c>
      <c r="DI70" s="355" t="str">
        <f t="shared" si="38"/>
        <v xml:space="preserve"> </v>
      </c>
      <c r="DJ70" s="245" t="e">
        <f ca="1">INDEX(INDIRECT(VLOOKUP(LEFT(BO70,7),CLU!$Z$3:$AH$18,5)),GL70,GK70)</f>
        <v>#N/A</v>
      </c>
      <c r="DK70" s="245" t="e">
        <f ca="1">INDEX(INDIRECT(VLOOKUP(LEFT(BO70,7),CLU!$Z$3:$AH$18,6)),GL70,GK70)</f>
        <v>#N/A</v>
      </c>
      <c r="DL70" s="355">
        <f>(Calculation!R70*0.69143*(Calculation!$BQ$8-Calculation!$F$8))*$S$14</f>
        <v>0</v>
      </c>
      <c r="DM70" s="359" t="e">
        <f t="shared" si="160"/>
        <v>#VALUE!</v>
      </c>
      <c r="DN70" s="611">
        <f t="shared" si="161"/>
        <v>0</v>
      </c>
      <c r="DO70" s="359">
        <f t="shared" si="162"/>
        <v>100</v>
      </c>
      <c r="DP70" s="359">
        <f t="shared" si="163"/>
        <v>0</v>
      </c>
      <c r="DQ70" s="360"/>
      <c r="DR70" s="245" t="e">
        <f ca="1">INDEX(INDIRECT(VLOOKUP(LEFT(BO70,7),CLU!$Z$3:$AH$18,7)),M70-1,1)</f>
        <v>#N/A</v>
      </c>
      <c r="DS70" s="245" t="e">
        <f ca="1">INDEX(INDIRECT(VLOOKUP(LEFT(BO70,7),CLU!$Z$3:$AH$18,7)),M70-1,2)</f>
        <v>#N/A</v>
      </c>
      <c r="DT70" s="245" t="e">
        <f ca="1">INDEX(INDIRECT(VLOOKUP(LEFT(BO70,7),CLU!$Z$3:$AH$18,7)),M70-1,3)</f>
        <v>#N/A</v>
      </c>
      <c r="DU70" s="245" t="e">
        <f ca="1">INDEX(INDIRECT(VLOOKUP(LEFT(BO70,7),CLU!$Z$3:$AH$18,7)),M70-1,4)</f>
        <v>#N/A</v>
      </c>
      <c r="DV70" s="361" t="e">
        <f ca="1">INDEX(INDIRECT(VLOOKUP(LEFT(BO70,7),CLU!$Z$3:$AH$18,7)),M70-1,4+LEFT(DZ70,1)*0.5)</f>
        <v>#N/A</v>
      </c>
      <c r="DW70" s="245" t="e">
        <f ca="1">INDEX(INDIRECT(VLOOKUP(LEFT(BO70,7),CLU!$Z$3:$AH$18,7)),M70-1,8)</f>
        <v>#N/A</v>
      </c>
      <c r="DX70" s="361" t="str">
        <f t="shared" si="39"/>
        <v xml:space="preserve"> </v>
      </c>
      <c r="DY70" s="361" t="str">
        <f t="shared" si="40"/>
        <v xml:space="preserve"> </v>
      </c>
      <c r="DZ70" s="361" t="str">
        <f t="shared" si="41"/>
        <v xml:space="preserve"> </v>
      </c>
      <c r="EA70" s="362" t="str">
        <f t="shared" si="42"/>
        <v xml:space="preserve"> </v>
      </c>
      <c r="EB70" s="624" t="str">
        <f t="shared" si="168"/>
        <v xml:space="preserve"> </v>
      </c>
      <c r="EC70" s="361" t="e">
        <f ca="1">INDEX(INDIRECT(VLOOKUP(LEFT(BO70,7),CLU!$Z$3:$AH$18,7)),M70-1,4+LEFT(DZ70,1)*0.5)</f>
        <v>#N/A</v>
      </c>
      <c r="ED70" s="362" t="str">
        <f t="shared" si="43"/>
        <v xml:space="preserve"> </v>
      </c>
      <c r="EE70" s="361" t="str">
        <f t="shared" si="44"/>
        <v xml:space="preserve"> </v>
      </c>
      <c r="EF70" s="362" t="str">
        <f>IF(L70&gt;0,IF(BR70&gt;0,IF(EE70="2P",IF(Calculation!DZ70="2P",IF(Calculation!DS70=13.75,IF(Calculation!DR70=13,Worksheet!$BD$43,IF(Calculation!DR70=37,Worksheet!$BD$44,Worksheet!$BD$45)),IF(Calculation!DS70=10,IF(Calculation!DR70=18,Worksheet!$BD$29,IF(Calculation!DR70=30,Worksheet!$BD$30,IF(Calculation!DR70=42,Worksheet!$BD$31,IF(Calculation!DR70=54,Worksheet!$BD$32,IF(Calculation!DR70=66,Worksheet!$BD$33,IF(Calculation!DR70=78,Worksheet!$BD$34,IF(Calculation!DR70=90,Worksheet!$BD$35,IF(Calculation!DR70=102,Worksheet!$BD$36,Worksheet!$BD$37)))))))),IF(Calculation!DS70=12.5,IF(Calculation!DR70=18,Worksheet!$BD$38,IF(Calculation!DR70=Worksheet!$BD$39,IF(Calculation!DR70=42,Worksheet!$BD$40,IF(Calculation!DR70=54,Worksheet!$BD$41,Worksheet!$BD$42)))),IF(Calculation!DR70=18,Worksheet!$BD$11,IF(Calculation!DR70=30,Worksheet!$BD$12,IF(Calculation!DR70=42,Worksheet!$BD$13,IF(Calculation!DR70=54,Worksheet!$BD$14,IF(Calculation!DR70=66,Worksheet!$BD$15,IF(Calculation!DR70=78,Worksheet!$BD$16,IF(Calculation!DR70=90,Worksheet!$BD$17,IF(Calculation!DR70=102,Worksheet!$BD$18,Worksheet!$BD$19))))))))))),IF(Calculation!DS70=13.75,IF(Calculation!DR70=13,Worksheet!$BD$78,IF(Calculation!DR70=37,Worksheet!$BD$79,Worksheet!$BD$80)),IF(Calculation!DS70=10,IF(Calculation!DR70=18,Worksheet!$BD$64,IF(Calculation!DR70=30,Worksheet!$BD$65,IF(Calculation!DR70=42,Worksheet!$BD$66,IF(Calculation!DR70=54,Worksheet!$BD$68,IF(Calculation!DR70=66,Worksheet!$BD$68,IF(Calculation!DR70=78,Worksheet!$BD$69,IF(Calculation!DR70=90,Worksheet!$BD$70,IF(Calculation!DR70=102,Worksheet!$BD$71,Worksheet!$BD$72)))))))),IF(Calculation!DS70=12.5,IF(Calculation!DR70=18,Worksheet!$BD$73,IF(Calculation!DR70=Worksheet!$BD$74,IF(Calculation!DR70=42,Worksheet!$BD$75,IF(Calculation!DR70=54,Worksheet!$BD$76,Worksheet!$BD$77)))),IF(Calculation!DR70=18,Worksheet!$BD$55,IF(Calculation!DR70=30,Worksheet!$BD$56,IF(Calculation!DR70=42,Worksheet!$BD$57,IF(Calculation!DR70=54,Worksheet!$BD$58,IF(Calculation!DR70=66,Worksheet!$BD$59,IF(Calculation!DR70=78,Worksheet!$BD$60,IF(Calculation!DR70=90,Worksheet!$BD$61,IF(Calculation!DR70=102,Worksheet!$BD$62,Worksheet!$BD$63)))))))))))),5),0)," ")</f>
        <v xml:space="preserve"> </v>
      </c>
      <c r="EG70" s="361" t="str">
        <f t="shared" si="45"/>
        <v xml:space="preserve"> </v>
      </c>
      <c r="EH70" s="361" t="e">
        <f ca="1">INDEX(INDIRECT(VLOOKUP(LEFT(BO70,7),CLU!$Z$3:$AH$18,7)),M70-1,3+LEFT(DZ70,1))</f>
        <v>#N/A</v>
      </c>
      <c r="EI70" s="362" t="str">
        <f t="shared" si="46"/>
        <v xml:space="preserve"> </v>
      </c>
      <c r="EJ70" s="363" t="str">
        <f t="shared" si="47"/>
        <v xml:space="preserve"> </v>
      </c>
      <c r="EK70" s="363" t="str">
        <f t="shared" si="48"/>
        <v xml:space="preserve"> </v>
      </c>
      <c r="EL70" s="363" t="str">
        <f t="shared" si="49"/>
        <v xml:space="preserve"> </v>
      </c>
      <c r="EM70" s="362" t="str">
        <f>IF(L70&gt;0,IF(BR70&gt;0,(Calculation!T70/ED70)^2,0)," ")</f>
        <v xml:space="preserve"> </v>
      </c>
      <c r="EN70" s="362" t="str">
        <f>IF(L70&gt;0,IF(O70="2 Pipe (Cooling)","N/A",IF(BR70&gt;0,(Calculation!U70/EI70)^2,0))," ")</f>
        <v xml:space="preserve"> </v>
      </c>
      <c r="EO70" s="361" t="str">
        <f t="shared" si="50"/>
        <v/>
      </c>
      <c r="EP70" s="361" t="str">
        <f t="shared" si="51"/>
        <v/>
      </c>
      <c r="EQ70" s="361" t="str">
        <f t="shared" si="52"/>
        <v/>
      </c>
      <c r="ER70" s="361" t="str">
        <f t="shared" si="53"/>
        <v/>
      </c>
      <c r="ES70" s="361" t="str">
        <f t="shared" si="54"/>
        <v/>
      </c>
      <c r="ET70" s="361" t="str">
        <f t="shared" si="55"/>
        <v/>
      </c>
      <c r="EU70" s="361" t="str">
        <f t="shared" si="56"/>
        <v/>
      </c>
      <c r="EV70" s="361" t="str">
        <f t="shared" si="57"/>
        <v/>
      </c>
      <c r="EW70" s="361" t="str">
        <f t="shared" si="58"/>
        <v/>
      </c>
      <c r="EX70" s="361" t="str">
        <f t="shared" si="169"/>
        <v>1 slot, 1 way</v>
      </c>
      <c r="EY70" s="361" t="str">
        <f t="shared" si="170"/>
        <v xml:space="preserve"> </v>
      </c>
      <c r="EZ70" s="361" t="str">
        <f t="shared" si="171"/>
        <v xml:space="preserve"> </v>
      </c>
      <c r="FA70" s="361" t="str">
        <f t="shared" si="172"/>
        <v xml:space="preserve"> </v>
      </c>
      <c r="FB70" s="361" t="str">
        <f t="shared" si="173"/>
        <v xml:space="preserve"> </v>
      </c>
      <c r="FC70" s="361"/>
      <c r="FD70" s="361" t="str">
        <f>IF(J70&gt;0,IF(Calculation!R70&lt;=70,4,IF(Calculation!R70&lt;=110,5,IF(Calculation!R70&lt;=160,6,IF(Calculation!R70&lt;=300,8,"10 EO")))),"")</f>
        <v/>
      </c>
      <c r="FE70" s="361" t="str">
        <f t="shared" si="174"/>
        <v/>
      </c>
      <c r="FF70" s="361" t="str">
        <f t="shared" si="175"/>
        <v/>
      </c>
      <c r="FG70" s="361" t="e">
        <f t="shared" si="60"/>
        <v>#N/A</v>
      </c>
      <c r="FH70" s="361">
        <f t="shared" si="61"/>
        <v>0</v>
      </c>
      <c r="FI70" s="361" t="e">
        <f t="shared" si="62"/>
        <v>#DIV/0!</v>
      </c>
      <c r="FJ70" s="361"/>
      <c r="FK70" s="356" t="e">
        <f t="shared" si="63"/>
        <v>#VALUE!</v>
      </c>
      <c r="FL70" s="361"/>
      <c r="FM70" s="361"/>
      <c r="FN70" s="362" t="str">
        <f t="shared" si="176"/>
        <v xml:space="preserve"> </v>
      </c>
      <c r="FO70" s="362" t="str">
        <f t="shared" si="177"/>
        <v xml:space="preserve"> </v>
      </c>
      <c r="FP70" s="362">
        <f t="shared" si="178"/>
        <v>0</v>
      </c>
      <c r="FQ70" s="361">
        <f t="shared" si="64"/>
        <v>0</v>
      </c>
      <c r="FR70" s="362" t="str">
        <f>IF(L70&gt;0,IF(J70="CBAL2",Worksheet!$P$67,IF(J70="CBE2-24",Worksheet!$Q$67,IF(J70="CBAM",Worksheet!$R$67,IF(J70="CBLV",Worksheet!$S$67,IF(J70="CBAB",Worksheet!$U$67,IF(J70="CBAW",Worksheet!$X$67,IF(J70="CBE2-12",Worksheet!$Y$67,IF(J70="CBAL2",Worksheet!$Z$67,"N/A"))))))))," ")</f>
        <v xml:space="preserve"> </v>
      </c>
      <c r="FS70" s="362" t="str">
        <f>IF(L70&gt;0,IF(J70="CBAL2",Worksheet!$P$68,IF(J70="CBE2-24",Worksheet!$Q$68,IF(J70="CBAM",Worksheet!$R$68,IF(J70="CBLV",Worksheet!$S$68,IF(J70="CBAB",Worksheet!$U$68,IF(J70="CBAW",Worksheet!$X$68,IF(J70="CBE2-12",Worksheet!$Y$68,IF(J70="CBAL2",Worksheet!$Z$68,"N/A"))))))))," ")</f>
        <v xml:space="preserve"> </v>
      </c>
      <c r="FT70" s="362" t="str">
        <f>IF(L70&gt;0,IF(J70="CBAL2",Worksheet!$P$69,IF(J70="CBE2-24",Worksheet!$Q$69,IF(J70="CBAM",Worksheet!$R$69,IF(J70="CBLV",Worksheet!$S$69,IF(J70="CBAB",Worksheet!$U$69,IF(J70="CBAW",Worksheet!$X$69,IF(J70="CBE2-12",Worksheet!$Y$69,IF(J70="CBAL2",Worksheet!$Z$69,"N/A"))))))))," ")</f>
        <v xml:space="preserve"> </v>
      </c>
      <c r="FU70" s="361" t="str">
        <f t="shared" si="179"/>
        <v xml:space="preserve"> </v>
      </c>
      <c r="FV70" s="362" t="str">
        <f t="shared" si="180"/>
        <v xml:space="preserve"> </v>
      </c>
      <c r="FW70" s="362" t="str">
        <f t="shared" si="181"/>
        <v xml:space="preserve"> </v>
      </c>
      <c r="FX70" s="362" t="str">
        <f t="shared" si="182"/>
        <v xml:space="preserve"> </v>
      </c>
      <c r="FY70" s="355" t="str">
        <f t="shared" si="183"/>
        <v xml:space="preserve"> </v>
      </c>
      <c r="FZ70" s="361" t="str">
        <f t="shared" si="184"/>
        <v xml:space="preserve"> </v>
      </c>
      <c r="GA70" s="347" t="str">
        <f t="shared" si="185"/>
        <v xml:space="preserve"> </v>
      </c>
      <c r="GB70" s="355" t="str">
        <f t="shared" si="186"/>
        <v xml:space="preserve"> </v>
      </c>
      <c r="GC70" s="328" t="str">
        <f t="shared" si="187"/>
        <v xml:space="preserve"> </v>
      </c>
      <c r="GD70" s="361" t="str">
        <f t="shared" si="188"/>
        <v xml:space="preserve"> </v>
      </c>
      <c r="GE70" s="347" t="str">
        <f t="shared" si="189"/>
        <v xml:space="preserve"> </v>
      </c>
      <c r="GF70" s="361" t="str">
        <f t="shared" si="190"/>
        <v xml:space="preserve"> </v>
      </c>
      <c r="GG70" s="347" t="str">
        <f t="shared" si="191"/>
        <v xml:space="preserve"> </v>
      </c>
      <c r="GH70" s="364">
        <f t="shared" si="78"/>
        <v>0</v>
      </c>
      <c r="GI70" s="362">
        <f t="shared" si="192"/>
        <v>2</v>
      </c>
      <c r="GJ70" s="433" t="e">
        <f>IF(6-COUNTBLANK(GT70:GY70)=4,MATCH(MID(BO70,9,3),CLU!$H$16:$K$16),MATCH(MID(BO70,9,3),CLU!$H$13:$M$13))</f>
        <v>#N/A</v>
      </c>
      <c r="GK70" s="433" t="e">
        <f>HLOOKUP(VALUE(BP70),CLU!$H$9:$M$10,2)</f>
        <v>#VALUE!</v>
      </c>
      <c r="GL70" s="433" t="e">
        <f ca="1">MATCH(BU70,CLU!$H$2:$V$2,1)</f>
        <v>#VALUE!</v>
      </c>
      <c r="GM70" s="433" t="e">
        <f t="shared" ca="1" si="193"/>
        <v>#VALUE!</v>
      </c>
      <c r="GN70" s="433" t="e">
        <f t="shared" ca="1" si="194"/>
        <v>#VALUE!</v>
      </c>
      <c r="GO70" s="433" t="e">
        <f t="shared" ca="1" si="195"/>
        <v>#VALUE!</v>
      </c>
      <c r="GP70" s="433" t="e">
        <f t="shared" ca="1" si="196"/>
        <v>#VALUE!</v>
      </c>
      <c r="GQ70" s="433" t="e">
        <f t="shared" ca="1" si="197"/>
        <v>#VALUE!</v>
      </c>
      <c r="GR70" s="433" t="e">
        <f ca="1">MATCH(T70,INDIRECT(VLOOKUP(CONCATENATE(LEFT(BO70,7),"-",MID(BO70,13,1)),CLU!$P$3:$Q$16,2)),1)</f>
        <v>#N/A</v>
      </c>
      <c r="GS70" s="433" t="e">
        <f ca="1">MATCH(U70,INDIRECT(VLOOKUP(CONCATENATE(LEFT(BO70,7),"-",MID(BO70,13,1)),CLU!$P$3:$Q$16,2)),1)</f>
        <v>#N/A</v>
      </c>
      <c r="GT70" s="347" t="s">
        <v>512</v>
      </c>
      <c r="GU70" s="97" t="s">
        <v>513</v>
      </c>
      <c r="GV70" s="97" t="str">
        <f t="shared" si="198"/>
        <v>M23</v>
      </c>
      <c r="GW70" s="97" t="str">
        <f t="shared" si="199"/>
        <v>M31</v>
      </c>
      <c r="GX70" s="97" t="str">
        <f t="shared" si="200"/>
        <v/>
      </c>
      <c r="GY70" s="97" t="str">
        <f t="shared" si="201"/>
        <v/>
      </c>
      <c r="GZ70" s="481"/>
      <c r="HA70" s="288"/>
      <c r="HB70" s="240"/>
      <c r="HC70" s="240"/>
      <c r="HD70" s="240"/>
      <c r="HE70" s="240"/>
      <c r="HF70" s="240"/>
      <c r="HG70" s="240"/>
      <c r="HH70" s="240"/>
      <c r="HI70" s="240"/>
      <c r="HJ70" s="240"/>
      <c r="HK70" s="240"/>
      <c r="HL70" s="240"/>
      <c r="HM70" s="240"/>
      <c r="HN70" s="240"/>
      <c r="HO70" s="240"/>
      <c r="HP70" s="240"/>
      <c r="HQ70" s="240"/>
      <c r="HR70" s="240"/>
      <c r="HS70" s="240"/>
      <c r="HT70" s="240"/>
      <c r="HU70" s="240"/>
      <c r="HV70" s="245"/>
      <c r="HW70" s="245" t="b">
        <v>1</v>
      </c>
      <c r="HX70" s="245" t="str">
        <f t="shared" si="79"/>
        <v/>
      </c>
      <c r="HY70" s="245" t="e">
        <f t="shared" si="80"/>
        <v>#DIV/0!</v>
      </c>
      <c r="HZ70" s="245" t="e">
        <f t="shared" si="81"/>
        <v>#DIV/0!</v>
      </c>
      <c r="IA70" s="245">
        <f t="shared" si="82"/>
        <v>0</v>
      </c>
      <c r="IB70" s="245"/>
      <c r="IC70" t="b">
        <f t="shared" si="83"/>
        <v>1</v>
      </c>
      <c r="ID70" s="245" t="b">
        <f t="shared" si="84"/>
        <v>1</v>
      </c>
      <c r="IE70" s="245" t="b">
        <f t="shared" si="85"/>
        <v>1</v>
      </c>
      <c r="IF70" s="245" t="b">
        <f t="shared" si="86"/>
        <v>0</v>
      </c>
      <c r="IG70" s="245" t="b">
        <f t="shared" si="87"/>
        <v>1</v>
      </c>
      <c r="IH70" s="245" t="b">
        <f t="shared" si="88"/>
        <v>1</v>
      </c>
      <c r="II70" s="245">
        <f t="shared" si="202"/>
        <v>0</v>
      </c>
      <c r="IJ70" s="245" t="e">
        <f t="shared" si="89"/>
        <v>#VALUE!</v>
      </c>
      <c r="IK70" s="245" t="e">
        <f t="shared" si="90"/>
        <v>#VALUE!</v>
      </c>
      <c r="IL70" s="245"/>
      <c r="IM70" s="245" t="e">
        <f t="shared" si="203"/>
        <v>#N/A</v>
      </c>
      <c r="IN70" s="245" t="e">
        <f t="shared" si="204"/>
        <v>#N/A</v>
      </c>
      <c r="IO70" s="245"/>
      <c r="IP70" s="245"/>
      <c r="IQ70" s="245" t="str">
        <f t="shared" si="91"/>
        <v/>
      </c>
      <c r="IR70" s="245" t="str">
        <f>IF(J70="","",VLOOKUP(J70,Worksheet!$R$4:$T$14,2))</f>
        <v/>
      </c>
      <c r="IS70" s="245"/>
      <c r="IT70" s="245">
        <f t="shared" si="92"/>
        <v>0</v>
      </c>
      <c r="IU70" s="245">
        <f t="shared" si="93"/>
        <v>0</v>
      </c>
      <c r="IV70" s="245">
        <f t="shared" si="94"/>
        <v>0</v>
      </c>
      <c r="IW70" s="245">
        <f t="shared" si="95"/>
        <v>0</v>
      </c>
      <c r="IX70" s="245">
        <f t="shared" si="205"/>
        <v>0</v>
      </c>
      <c r="IY70" s="245">
        <f t="shared" si="96"/>
        <v>0</v>
      </c>
      <c r="IZ70" s="245">
        <f t="shared" si="97"/>
        <v>0</v>
      </c>
      <c r="JA70">
        <f t="shared" si="98"/>
        <v>0</v>
      </c>
      <c r="JB70">
        <f t="shared" si="206"/>
        <v>0</v>
      </c>
      <c r="JC70">
        <f t="shared" si="99"/>
        <v>0</v>
      </c>
      <c r="JD70">
        <f t="shared" si="100"/>
        <v>0</v>
      </c>
      <c r="JE70">
        <f t="shared" si="101"/>
        <v>0</v>
      </c>
      <c r="JF70">
        <f t="shared" si="102"/>
        <v>0</v>
      </c>
      <c r="JG70">
        <f t="shared" si="103"/>
        <v>0</v>
      </c>
      <c r="JH70">
        <f t="shared" si="104"/>
        <v>0</v>
      </c>
      <c r="JI70">
        <f t="shared" si="105"/>
        <v>0</v>
      </c>
      <c r="JJ70" s="447">
        <f t="shared" si="106"/>
        <v>0</v>
      </c>
      <c r="JK70" s="447">
        <f t="shared" si="107"/>
        <v>0</v>
      </c>
      <c r="JL70">
        <f t="shared" si="108"/>
        <v>0</v>
      </c>
      <c r="JM70" s="245" t="str">
        <f>IFERROR(VLOOKUP(MATCH(BN70,#REF!,0),#REF!,7),"")</f>
        <v/>
      </c>
      <c r="JN70" t="e">
        <f>HLOOKUP(LEFT(BO70,7),Discharge_Area,MATCH(JO70,LookUps!$B$130:$B$149,1)+2)</f>
        <v>#N/A</v>
      </c>
      <c r="JO70" t="str">
        <f t="shared" si="109"/>
        <v>- S</v>
      </c>
      <c r="JP70" t="e">
        <f>HLOOKUP(LEFT(BO70,7),Discharge_Area,MATCH(JO70,LookUps!$B$130:$B$149,1)+2)</f>
        <v>#N/A</v>
      </c>
      <c r="JQ70" t="e">
        <f t="shared" si="110"/>
        <v>#N/A</v>
      </c>
      <c r="JR70" t="e">
        <f t="shared" si="111"/>
        <v>#N/A</v>
      </c>
      <c r="JS70" t="e">
        <f t="shared" si="112"/>
        <v>#N/A</v>
      </c>
      <c r="JT70" s="532" t="str">
        <f t="shared" si="113"/>
        <v xml:space="preserve"> </v>
      </c>
      <c r="JU70" s="532" t="str">
        <f t="shared" si="114"/>
        <v xml:space="preserve"> </v>
      </c>
      <c r="JV70" s="533" t="str">
        <f t="shared" si="115"/>
        <v xml:space="preserve"> </v>
      </c>
      <c r="JW70" s="534">
        <f t="shared" si="116"/>
        <v>0</v>
      </c>
      <c r="JX70" s="535" t="str">
        <f t="shared" si="207"/>
        <v xml:space="preserve"> </v>
      </c>
      <c r="JY70" s="535" t="str">
        <f t="shared" si="208"/>
        <v xml:space="preserve"> </v>
      </c>
      <c r="JZ70" s="535" t="str">
        <f t="shared" si="209"/>
        <v xml:space="preserve"> </v>
      </c>
      <c r="KA70" s="536" t="str">
        <f t="shared" si="117"/>
        <v xml:space="preserve"> </v>
      </c>
      <c r="KB70" s="535" t="e">
        <f t="shared" si="210"/>
        <v>#VALUE!</v>
      </c>
      <c r="KC70" s="535" t="str">
        <f t="shared" si="118"/>
        <v/>
      </c>
      <c r="KD70" s="537" t="str">
        <f t="shared" si="211"/>
        <v xml:space="preserve"> </v>
      </c>
      <c r="KE70" s="537" t="str">
        <f t="shared" si="212"/>
        <v xml:space="preserve"> </v>
      </c>
      <c r="KF70" s="534">
        <f t="shared" si="119"/>
        <v>0</v>
      </c>
      <c r="KG70" s="535" t="str">
        <f t="shared" si="120"/>
        <v xml:space="preserve"> </v>
      </c>
      <c r="KH70" s="535" t="str">
        <f t="shared" si="121"/>
        <v xml:space="preserve"> </v>
      </c>
      <c r="KI70" s="535" t="str">
        <f t="shared" si="122"/>
        <v xml:space="preserve"> </v>
      </c>
      <c r="KJ70" s="536" t="str">
        <f t="shared" si="123"/>
        <v xml:space="preserve"> </v>
      </c>
      <c r="KK70" s="535" t="str">
        <f t="shared" si="213"/>
        <v xml:space="preserve"> </v>
      </c>
      <c r="KL70" s="535" t="str">
        <f t="shared" si="214"/>
        <v xml:space="preserve"> </v>
      </c>
      <c r="KM70" s="537" t="str">
        <f t="shared" si="124"/>
        <v xml:space="preserve"> </v>
      </c>
      <c r="KN70" s="537" t="str">
        <f t="shared" si="215"/>
        <v xml:space="preserve"> </v>
      </c>
      <c r="KP70">
        <f t="shared" si="125"/>
        <v>0</v>
      </c>
      <c r="LA70" t="e">
        <f t="shared" si="126"/>
        <v>#VALUE!</v>
      </c>
      <c r="LB70" t="e">
        <f t="shared" si="127"/>
        <v>#VALUE!</v>
      </c>
      <c r="LC70" t="e">
        <f t="shared" si="128"/>
        <v>#VALUE!</v>
      </c>
      <c r="LD70" t="e">
        <f t="shared" si="129"/>
        <v>#VALUE!</v>
      </c>
      <c r="LE70" t="e">
        <f t="shared" si="216"/>
        <v>#VALUE!</v>
      </c>
      <c r="LF70">
        <f t="shared" si="130"/>
        <v>0</v>
      </c>
      <c r="LG70" t="e">
        <f t="shared" si="217"/>
        <v>#VALUE!</v>
      </c>
      <c r="LH70" t="str">
        <f t="shared" si="131"/>
        <v xml:space="preserve"> </v>
      </c>
      <c r="LI70">
        <f t="shared" si="218"/>
        <v>1</v>
      </c>
    </row>
    <row r="71" spans="2:321" ht="15" customHeight="1">
      <c r="B71" s="311"/>
      <c r="C71" s="311"/>
      <c r="D71" s="312"/>
      <c r="E71" s="311"/>
      <c r="F71" s="312"/>
      <c r="G71" s="311"/>
      <c r="H71" s="311"/>
      <c r="I71" s="37"/>
      <c r="J71" s="311"/>
      <c r="K71" s="305" t="str">
        <f t="shared" si="132"/>
        <v/>
      </c>
      <c r="L71" s="313"/>
      <c r="M71" s="312"/>
      <c r="N71" s="311"/>
      <c r="O71" s="312"/>
      <c r="P71" s="311"/>
      <c r="Q71" s="305" t="str">
        <f t="shared" si="133"/>
        <v/>
      </c>
      <c r="R71" s="314"/>
      <c r="S71" s="450" t="str">
        <f t="shared" si="0"/>
        <v/>
      </c>
      <c r="T71" s="315"/>
      <c r="U71" s="315"/>
      <c r="W71" s="149" t="str">
        <f t="shared" si="1"/>
        <v xml:space="preserve"> </v>
      </c>
      <c r="X71" s="243" t="str">
        <f t="shared" si="2"/>
        <v xml:space="preserve"> </v>
      </c>
      <c r="Y71" s="150" t="str">
        <f t="shared" si="3"/>
        <v/>
      </c>
      <c r="Z71" s="149" t="str">
        <f t="shared" si="4"/>
        <v xml:space="preserve"> </v>
      </c>
      <c r="AA71" s="98" t="str">
        <f t="shared" si="5"/>
        <v xml:space="preserve"> </v>
      </c>
      <c r="AB71" s="153" t="str">
        <f t="shared" si="6"/>
        <v xml:space="preserve"> </v>
      </c>
      <c r="AC71" s="153" t="str">
        <f t="shared" si="7"/>
        <v xml:space="preserve"> </v>
      </c>
      <c r="AD71" s="148" t="str">
        <f t="shared" si="8"/>
        <v/>
      </c>
      <c r="AE71" s="149" t="str">
        <f t="shared" si="9"/>
        <v/>
      </c>
      <c r="AF71" s="151" t="str">
        <f t="shared" si="10"/>
        <v xml:space="preserve"> </v>
      </c>
      <c r="AG71" s="153" t="str">
        <f t="shared" si="11"/>
        <v xml:space="preserve"> </v>
      </c>
      <c r="AH71" s="98" t="str">
        <f t="shared" si="12"/>
        <v xml:space="preserve"> </v>
      </c>
      <c r="AI71" s="149" t="str">
        <f t="shared" si="13"/>
        <v xml:space="preserve"> </v>
      </c>
      <c r="AK71" s="144" t="str">
        <f t="shared" si="14"/>
        <v xml:space="preserve"> </v>
      </c>
      <c r="AL71" s="144"/>
      <c r="AM71" s="243" t="str">
        <f t="shared" si="15"/>
        <v xml:space="preserve"> </v>
      </c>
      <c r="AN71" s="149" t="str">
        <f t="shared" si="134"/>
        <v xml:space="preserve"> </v>
      </c>
      <c r="AO71" s="144" t="str">
        <f>IF(JB71&gt;0,IF(GI71=10,-R71*1.085*(Calculation!$F$6-Calculation!$F$13)*$S$14," "),"")</f>
        <v/>
      </c>
      <c r="AP71" s="144" t="str">
        <f t="shared" si="16"/>
        <v/>
      </c>
      <c r="AQ71" s="56" t="str">
        <f t="shared" si="17"/>
        <v/>
      </c>
      <c r="AR71" s="144" t="str">
        <f t="shared" si="18"/>
        <v/>
      </c>
      <c r="AS71" s="176" t="str">
        <f t="shared" si="19"/>
        <v/>
      </c>
      <c r="AT71" s="176" t="str">
        <f t="shared" si="135"/>
        <v xml:space="preserve"> </v>
      </c>
      <c r="AU71" s="176" t="str">
        <f t="shared" si="20"/>
        <v/>
      </c>
      <c r="AV71" s="177" t="str">
        <f t="shared" si="21"/>
        <v xml:space="preserve"> </v>
      </c>
      <c r="AW71" s="144" t="str">
        <f t="shared" si="22"/>
        <v xml:space="preserve"> </v>
      </c>
      <c r="AX71" s="144" t="str">
        <f t="shared" si="23"/>
        <v xml:space="preserve"> </v>
      </c>
      <c r="AY71" s="152" t="str">
        <f t="shared" si="24"/>
        <v xml:space="preserve"> </v>
      </c>
      <c r="AZ71" s="246" t="str">
        <f t="shared" si="25"/>
        <v/>
      </c>
      <c r="BA71" s="176" t="str">
        <f t="shared" si="26"/>
        <v xml:space="preserve"> </v>
      </c>
      <c r="BB71" s="176" t="str">
        <f t="shared" si="27"/>
        <v xml:space="preserve"> </v>
      </c>
      <c r="BC71" s="195"/>
      <c r="BD71" s="316"/>
      <c r="BE71" s="317"/>
      <c r="BF71" s="318"/>
      <c r="BG71" s="318"/>
      <c r="BH71" s="144" t="str">
        <f t="shared" si="219"/>
        <v xml:space="preserve"> </v>
      </c>
      <c r="BI71" s="176" t="str">
        <f t="shared" si="28"/>
        <v/>
      </c>
      <c r="BJ71" s="144" t="str">
        <f t="shared" si="220"/>
        <v/>
      </c>
      <c r="BK71" s="246" t="str">
        <f t="shared" si="29"/>
        <v/>
      </c>
      <c r="BL71" s="144" t="str">
        <f t="shared" si="221"/>
        <v/>
      </c>
      <c r="BM71" s="246" t="str">
        <f t="shared" si="30"/>
        <v/>
      </c>
      <c r="BN71" s="337" t="str">
        <f t="shared" si="136"/>
        <v/>
      </c>
      <c r="BO71" s="371" t="str">
        <f t="shared" si="137"/>
        <v/>
      </c>
      <c r="BP71" s="328" t="str">
        <f t="shared" si="222"/>
        <v xml:space="preserve"> </v>
      </c>
      <c r="BQ71" s="347" t="str">
        <f t="shared" si="138"/>
        <v xml:space="preserve"> </v>
      </c>
      <c r="BR71" s="353" t="str">
        <f t="shared" si="223"/>
        <v xml:space="preserve"> </v>
      </c>
      <c r="BS71" s="626" t="str">
        <f>IF(L71&gt;0,IF(Calculation!P71="M13",BR71*3.1416*(0.134^2)/(4*144),IF(Calculation!P71="M17",BR71*3.1416*(0.165^2)/(4*144),IF(Calculation!P71="M20",BR71*3.1416*(0.198^2)/(4*144),IF(Calculation!P71="M23",BR71*3.1416*(0.228^2)/(4*144),IF(Calculation!P71="M27",BR71*3.1416*(0.269^2)/(4*144),BR71*3.1416*(0.307^2)/(4*144))))))," ")</f>
        <v xml:space="preserve"> </v>
      </c>
      <c r="BT71" s="353" t="str">
        <f>IF(L71&gt;0,IF(BS71&gt;0,R71/Calculation!BS71,0)," ")</f>
        <v xml:space="preserve"> </v>
      </c>
      <c r="BU71" s="438" t="e">
        <f t="shared" ca="1" si="31"/>
        <v>#VALUE!</v>
      </c>
      <c r="BV71" s="449" t="e">
        <f ca="1">INDEX(INDIRECT(VLOOKUP(LEFT(BO71,7),CLU!$Z$3:$AH$18,2)),GN71,GR71)</f>
        <v>#N/A</v>
      </c>
      <c r="BW71" s="433" t="e">
        <f ca="1">INDEX(INDIRECT(VLOOKUP(LEFT(BO71,7),CLU!$Z$3:$AH$18,3)),GN71,GR71)</f>
        <v>#N/A</v>
      </c>
      <c r="BX71" s="433" t="e">
        <f ca="1">INDEX(INDIRECT(VLOOKUP(LEFT(BO71,7),CLU!$Z$3:$AH$18,4)),GN71,GR71)</f>
        <v>#N/A</v>
      </c>
      <c r="BY71" s="433" t="e">
        <f ca="1">INDEX(INDIRECT(VLOOKUP(LEFT(BO71,7),CLU!$Z$3:$AH$18,9)),((M71-2)*(6-COUNTBLANK(GT71:GY71)))+GJ71)</f>
        <v>#N/A</v>
      </c>
      <c r="BZ71" s="426" t="e">
        <f t="shared" ca="1" si="139"/>
        <v>#N/A</v>
      </c>
      <c r="CA71" s="424" t="e">
        <f t="shared" ca="1" si="140"/>
        <v>#N/A</v>
      </c>
      <c r="CB71" s="429" t="e">
        <f ca="1">INDEX(INDIRECT(VLOOKUP(LEFT(BO71,7),CLU!$Z$3:$AH$18,2)),GN71,GS71)</f>
        <v>#N/A</v>
      </c>
      <c r="CC71" s="342" t="e">
        <f ca="1">INDEX(INDIRECT(VLOOKUP(LEFT(BO71,7),CLU!$Z$3:$AH$18,3)),GN71,GS71)</f>
        <v>#N/A</v>
      </c>
      <c r="CD71" s="342" t="e">
        <f ca="1">INDEX(INDIRECT(VLOOKUP(LEFT(BO71,7),CLU!$Z$3:$AH$18,4)),GN71,GS71)</f>
        <v>#N/A</v>
      </c>
      <c r="CE71" s="426" t="e">
        <f t="shared" ca="1" si="141"/>
        <v>#N/A</v>
      </c>
      <c r="CF71" s="440">
        <f t="shared" si="142"/>
        <v>0</v>
      </c>
      <c r="CG71" s="431" t="e">
        <f ca="1">INDEX(INDIRECT(VLOOKUP(LEFT(BO71,7),CLU!$Z$3:$AH$18,2)),GQ71,GR71)</f>
        <v>#N/A</v>
      </c>
      <c r="CH71" s="431" t="e">
        <f ca="1">INDEX(INDIRECT(VLOOKUP(LEFT(BO71,7),CLU!$Z$3:$AH$18,3)),GQ71,GR71)</f>
        <v>#N/A</v>
      </c>
      <c r="CI71" s="431" t="e">
        <f ca="1">INDEX(INDIRECT(VLOOKUP(LEFT(BO71,7),CLU!$Z$3:$AH$18,4)),GQ71,GR71)</f>
        <v>#N/A</v>
      </c>
      <c r="CJ71" s="448" t="e">
        <f t="shared" ca="1" si="143"/>
        <v>#N/A</v>
      </c>
      <c r="CK71" s="431" t="e">
        <f t="shared" ca="1" si="144"/>
        <v>#N/A</v>
      </c>
      <c r="CL71" s="440" t="e">
        <f t="shared" ca="1" si="145"/>
        <v>#N/A</v>
      </c>
      <c r="CM71" s="431" t="e">
        <f ca="1">INDEX(INDIRECT(VLOOKUP(LEFT(BO71,7),CLU!$Z$3:$AH$18,2)),GQ71,GS71)</f>
        <v>#N/A</v>
      </c>
      <c r="CN71" s="431" t="e">
        <f ca="1">INDEX(INDIRECT(VLOOKUP(LEFT(BO71,7),CLU!$Z$3:$AH$18,3)),GQ71,GS71)</f>
        <v>#N/A</v>
      </c>
      <c r="CO71" s="431" t="e">
        <f ca="1">INDEX(INDIRECT(VLOOKUP(LEFT(BO71,7),CLU!$Z$3:$AH$18,4)),GQ71,GS71)</f>
        <v>#N/A</v>
      </c>
      <c r="CP71" s="431" t="e">
        <f t="shared" ca="1" si="146"/>
        <v>#N/A</v>
      </c>
      <c r="CQ71" s="440">
        <f t="shared" si="147"/>
        <v>0</v>
      </c>
      <c r="CR71" s="51" t="e">
        <f t="shared" ca="1" si="148"/>
        <v>#N/A</v>
      </c>
      <c r="CS71" s="439" t="e">
        <f t="shared" ca="1" si="149"/>
        <v>#VALUE!</v>
      </c>
      <c r="CT71" s="51" t="e">
        <f t="shared" ca="1" si="150"/>
        <v>#VALUE!</v>
      </c>
      <c r="CU71" s="10"/>
      <c r="CV71" s="51" t="e">
        <f t="shared" ca="1" si="34"/>
        <v>#VALUE!</v>
      </c>
      <c r="CW71" s="51">
        <f t="shared" si="151"/>
        <v>0</v>
      </c>
      <c r="CX71" s="439" t="e">
        <f t="shared" ca="1" si="152"/>
        <v>#VALUE!</v>
      </c>
      <c r="CY71" s="51" t="e">
        <f t="shared" ca="1" si="153"/>
        <v>#VALUE!</v>
      </c>
      <c r="CZ71" s="10"/>
      <c r="DA71" s="51" t="e">
        <f t="shared" ca="1" si="154"/>
        <v>#VALUE!</v>
      </c>
      <c r="DB71" s="347" t="e">
        <f ca="1">INDEX(INDIRECT(VLOOKUP(LEFT(BO71,7),CLU!$Z$3:$AI$18,10)),((M71-2)*(6-COUNTBLANK(GT71:GY71)))+GJ71)*LI71</f>
        <v>#N/A</v>
      </c>
      <c r="DC71" s="347" t="str">
        <f>IF(L71&gt;0,((R71/Worksheet!$I$15)/DB71)^2," ")</f>
        <v xml:space="preserve"> </v>
      </c>
      <c r="DD71" s="602" t="str">
        <f t="shared" si="224"/>
        <v xml:space="preserve"> </v>
      </c>
      <c r="DE71" s="347" t="str">
        <f t="shared" si="35"/>
        <v xml:space="preserve"> </v>
      </c>
      <c r="DF71" s="356" t="e">
        <f ca="1">INDEX(INDIRECT(VLOOKUP(LEFT(BO71,7),CLU!$Z$3:$AH$18,8)),((M71-2)*(6-COUNTBLANK(GT71:GY71)))+GJ71)</f>
        <v>#N/A</v>
      </c>
      <c r="DG71" s="347" t="str">
        <f t="shared" si="36"/>
        <v xml:space="preserve"> </v>
      </c>
      <c r="DH71" s="357" t="str">
        <f t="shared" si="37"/>
        <v xml:space="preserve"> </v>
      </c>
      <c r="DI71" s="355" t="str">
        <f t="shared" si="38"/>
        <v xml:space="preserve"> </v>
      </c>
      <c r="DJ71" s="245" t="e">
        <f ca="1">INDEX(INDIRECT(VLOOKUP(LEFT(BO71,7),CLU!$Z$3:$AH$18,5)),GL71,GK71)</f>
        <v>#N/A</v>
      </c>
      <c r="DK71" s="245" t="e">
        <f ca="1">INDEX(INDIRECT(VLOOKUP(LEFT(BO71,7),CLU!$Z$3:$AH$18,6)),GL71,GK71)</f>
        <v>#N/A</v>
      </c>
      <c r="DL71" s="355">
        <f>(Calculation!R71*0.69143*(Calculation!$BQ$8-Calculation!$F$8))*$S$14</f>
        <v>0</v>
      </c>
      <c r="DM71" s="359" t="e">
        <f t="shared" si="160"/>
        <v>#VALUE!</v>
      </c>
      <c r="DN71" s="611">
        <f t="shared" si="161"/>
        <v>0</v>
      </c>
      <c r="DO71" s="359">
        <f t="shared" si="162"/>
        <v>100</v>
      </c>
      <c r="DP71" s="359">
        <f t="shared" si="163"/>
        <v>0</v>
      </c>
      <c r="DQ71" s="360"/>
      <c r="DR71" s="245" t="e">
        <f ca="1">INDEX(INDIRECT(VLOOKUP(LEFT(BO71,7),CLU!$Z$3:$AH$18,7)),M71-1,1)</f>
        <v>#N/A</v>
      </c>
      <c r="DS71" s="245" t="e">
        <f ca="1">INDEX(INDIRECT(VLOOKUP(LEFT(BO71,7),CLU!$Z$3:$AH$18,7)),M71-1,2)</f>
        <v>#N/A</v>
      </c>
      <c r="DT71" s="245" t="e">
        <f ca="1">INDEX(INDIRECT(VLOOKUP(LEFT(BO71,7),CLU!$Z$3:$AH$18,7)),M71-1,3)</f>
        <v>#N/A</v>
      </c>
      <c r="DU71" s="245" t="e">
        <f ca="1">INDEX(INDIRECT(VLOOKUP(LEFT(BO71,7),CLU!$Z$3:$AH$18,7)),M71-1,4)</f>
        <v>#N/A</v>
      </c>
      <c r="DV71" s="361" t="e">
        <f ca="1">INDEX(INDIRECT(VLOOKUP(LEFT(BO71,7),CLU!$Z$3:$AH$18,7)),M71-1,4+LEFT(DZ71,1)*0.5)</f>
        <v>#N/A</v>
      </c>
      <c r="DW71" s="245" t="e">
        <f ca="1">INDEX(INDIRECT(VLOOKUP(LEFT(BO71,7),CLU!$Z$3:$AH$18,7)),M71-1,8)</f>
        <v>#N/A</v>
      </c>
      <c r="DX71" s="361" t="str">
        <f t="shared" si="39"/>
        <v xml:space="preserve"> </v>
      </c>
      <c r="DY71" s="361" t="str">
        <f t="shared" si="40"/>
        <v xml:space="preserve"> </v>
      </c>
      <c r="DZ71" s="361" t="str">
        <f t="shared" si="41"/>
        <v xml:space="preserve"> </v>
      </c>
      <c r="EA71" s="362" t="str">
        <f t="shared" si="42"/>
        <v xml:space="preserve"> </v>
      </c>
      <c r="EB71" s="624" t="str">
        <f t="shared" si="168"/>
        <v xml:space="preserve"> </v>
      </c>
      <c r="EC71" s="361" t="e">
        <f ca="1">INDEX(INDIRECT(VLOOKUP(LEFT(BO71,7),CLU!$Z$3:$AH$18,7)),M71-1,4+LEFT(DZ71,1)*0.5)</f>
        <v>#N/A</v>
      </c>
      <c r="ED71" s="362" t="str">
        <f t="shared" si="43"/>
        <v xml:space="preserve"> </v>
      </c>
      <c r="EE71" s="361" t="str">
        <f t="shared" si="44"/>
        <v xml:space="preserve"> </v>
      </c>
      <c r="EF71" s="362" t="str">
        <f>IF(L71&gt;0,IF(BR71&gt;0,IF(EE71="2P",IF(Calculation!DZ71="2P",IF(Calculation!DS71=13.75,IF(Calculation!DR71=13,Worksheet!$BD$43,IF(Calculation!DR71=37,Worksheet!$BD$44,Worksheet!$BD$45)),IF(Calculation!DS71=10,IF(Calculation!DR71=18,Worksheet!$BD$29,IF(Calculation!DR71=30,Worksheet!$BD$30,IF(Calculation!DR71=42,Worksheet!$BD$31,IF(Calculation!DR71=54,Worksheet!$BD$32,IF(Calculation!DR71=66,Worksheet!$BD$33,IF(Calculation!DR71=78,Worksheet!$BD$34,IF(Calculation!DR71=90,Worksheet!$BD$35,IF(Calculation!DR71=102,Worksheet!$BD$36,Worksheet!$BD$37)))))))),IF(Calculation!DS71=12.5,IF(Calculation!DR71=18,Worksheet!$BD$38,IF(Calculation!DR71=Worksheet!$BD$39,IF(Calculation!DR71=42,Worksheet!$BD$40,IF(Calculation!DR71=54,Worksheet!$BD$41,Worksheet!$BD$42)))),IF(Calculation!DR71=18,Worksheet!$BD$11,IF(Calculation!DR71=30,Worksheet!$BD$12,IF(Calculation!DR71=42,Worksheet!$BD$13,IF(Calculation!DR71=54,Worksheet!$BD$14,IF(Calculation!DR71=66,Worksheet!$BD$15,IF(Calculation!DR71=78,Worksheet!$BD$16,IF(Calculation!DR71=90,Worksheet!$BD$17,IF(Calculation!DR71=102,Worksheet!$BD$18,Worksheet!$BD$19))))))))))),IF(Calculation!DS71=13.75,IF(Calculation!DR71=13,Worksheet!$BD$78,IF(Calculation!DR71=37,Worksheet!$BD$79,Worksheet!$BD$80)),IF(Calculation!DS71=10,IF(Calculation!DR71=18,Worksheet!$BD$64,IF(Calculation!DR71=30,Worksheet!$BD$65,IF(Calculation!DR71=42,Worksheet!$BD$66,IF(Calculation!DR71=54,Worksheet!$BD$68,IF(Calculation!DR71=66,Worksheet!$BD$68,IF(Calculation!DR71=78,Worksheet!$BD$69,IF(Calculation!DR71=90,Worksheet!$BD$70,IF(Calculation!DR71=102,Worksheet!$BD$71,Worksheet!$BD$72)))))))),IF(Calculation!DS71=12.5,IF(Calculation!DR71=18,Worksheet!$BD$73,IF(Calculation!DR71=Worksheet!$BD$74,IF(Calculation!DR71=42,Worksheet!$BD$75,IF(Calculation!DR71=54,Worksheet!$BD$76,Worksheet!$BD$77)))),IF(Calculation!DR71=18,Worksheet!$BD$55,IF(Calculation!DR71=30,Worksheet!$BD$56,IF(Calculation!DR71=42,Worksheet!$BD$57,IF(Calculation!DR71=54,Worksheet!$BD$58,IF(Calculation!DR71=66,Worksheet!$BD$59,IF(Calculation!DR71=78,Worksheet!$BD$60,IF(Calculation!DR71=90,Worksheet!$BD$61,IF(Calculation!DR71=102,Worksheet!$BD$62,Worksheet!$BD$63)))))))))))),5),0)," ")</f>
        <v xml:space="preserve"> </v>
      </c>
      <c r="EG71" s="361" t="str">
        <f t="shared" si="45"/>
        <v xml:space="preserve"> </v>
      </c>
      <c r="EH71" s="361" t="e">
        <f ca="1">INDEX(INDIRECT(VLOOKUP(LEFT(BO71,7),CLU!$Z$3:$AH$18,7)),M71-1,3+LEFT(DZ71,1))</f>
        <v>#N/A</v>
      </c>
      <c r="EI71" s="362" t="str">
        <f t="shared" si="46"/>
        <v xml:space="preserve"> </v>
      </c>
      <c r="EJ71" s="363" t="str">
        <f t="shared" si="47"/>
        <v xml:space="preserve"> </v>
      </c>
      <c r="EK71" s="363" t="str">
        <f t="shared" si="48"/>
        <v xml:space="preserve"> </v>
      </c>
      <c r="EL71" s="363" t="str">
        <f t="shared" si="49"/>
        <v xml:space="preserve"> </v>
      </c>
      <c r="EM71" s="362" t="str">
        <f>IF(L71&gt;0,IF(BR71&gt;0,(Calculation!T71/ED71)^2,0)," ")</f>
        <v xml:space="preserve"> </v>
      </c>
      <c r="EN71" s="362" t="str">
        <f>IF(L71&gt;0,IF(O71="2 Pipe (Cooling)","N/A",IF(BR71&gt;0,(Calculation!U71/EI71)^2,0))," ")</f>
        <v xml:space="preserve"> </v>
      </c>
      <c r="EO71" s="361" t="str">
        <f t="shared" si="50"/>
        <v/>
      </c>
      <c r="EP71" s="361" t="str">
        <f t="shared" si="51"/>
        <v/>
      </c>
      <c r="EQ71" s="361" t="str">
        <f t="shared" si="52"/>
        <v/>
      </c>
      <c r="ER71" s="361" t="str">
        <f t="shared" si="53"/>
        <v/>
      </c>
      <c r="ES71" s="361" t="str">
        <f t="shared" si="54"/>
        <v/>
      </c>
      <c r="ET71" s="361" t="str">
        <f t="shared" si="55"/>
        <v/>
      </c>
      <c r="EU71" s="361" t="str">
        <f t="shared" si="56"/>
        <v/>
      </c>
      <c r="EV71" s="361" t="str">
        <f t="shared" si="57"/>
        <v/>
      </c>
      <c r="EW71" s="361" t="str">
        <f t="shared" si="58"/>
        <v/>
      </c>
      <c r="EX71" s="361" t="str">
        <f t="shared" si="169"/>
        <v>1 slot, 1 way</v>
      </c>
      <c r="EY71" s="361" t="str">
        <f t="shared" si="170"/>
        <v xml:space="preserve"> </v>
      </c>
      <c r="EZ71" s="361" t="str">
        <f t="shared" si="171"/>
        <v xml:space="preserve"> </v>
      </c>
      <c r="FA71" s="361" t="str">
        <f t="shared" si="172"/>
        <v xml:space="preserve"> </v>
      </c>
      <c r="FB71" s="361" t="str">
        <f t="shared" si="173"/>
        <v xml:space="preserve"> </v>
      </c>
      <c r="FC71" s="361"/>
      <c r="FD71" s="361" t="str">
        <f>IF(J71&gt;0,IF(Calculation!R71&lt;=70,4,IF(Calculation!R71&lt;=110,5,IF(Calculation!R71&lt;=160,6,IF(Calculation!R71&lt;=300,8,"10 EO")))),"")</f>
        <v/>
      </c>
      <c r="FE71" s="361" t="str">
        <f t="shared" si="174"/>
        <v/>
      </c>
      <c r="FF71" s="361" t="str">
        <f t="shared" si="175"/>
        <v/>
      </c>
      <c r="FG71" s="361" t="e">
        <f t="shared" si="60"/>
        <v>#N/A</v>
      </c>
      <c r="FH71" s="361">
        <f t="shared" si="61"/>
        <v>0</v>
      </c>
      <c r="FI71" s="361" t="e">
        <f t="shared" si="62"/>
        <v>#DIV/0!</v>
      </c>
      <c r="FJ71" s="361"/>
      <c r="FK71" s="356" t="e">
        <f t="shared" si="63"/>
        <v>#VALUE!</v>
      </c>
      <c r="FL71" s="361"/>
      <c r="FM71" s="361"/>
      <c r="FN71" s="362" t="str">
        <f t="shared" si="176"/>
        <v xml:space="preserve"> </v>
      </c>
      <c r="FO71" s="362" t="str">
        <f t="shared" si="177"/>
        <v xml:space="preserve"> </v>
      </c>
      <c r="FP71" s="362">
        <f t="shared" si="178"/>
        <v>0</v>
      </c>
      <c r="FQ71" s="361">
        <f t="shared" si="64"/>
        <v>0</v>
      </c>
      <c r="FR71" s="362" t="str">
        <f>IF(L71&gt;0,IF(J71="CBAL2",Worksheet!$P$67,IF(J71="CBE2-24",Worksheet!$Q$67,IF(J71="CBAM",Worksheet!$R$67,IF(J71="CBLV",Worksheet!$S$67,IF(J71="CBAB",Worksheet!$U$67,IF(J71="CBAW",Worksheet!$X$67,IF(J71="CBE2-12",Worksheet!$Y$67,IF(J71="CBAL2",Worksheet!$Z$67,"N/A"))))))))," ")</f>
        <v xml:space="preserve"> </v>
      </c>
      <c r="FS71" s="362" t="str">
        <f>IF(L71&gt;0,IF(J71="CBAL2",Worksheet!$P$68,IF(J71="CBE2-24",Worksheet!$Q$68,IF(J71="CBAM",Worksheet!$R$68,IF(J71="CBLV",Worksheet!$S$68,IF(J71="CBAB",Worksheet!$U$68,IF(J71="CBAW",Worksheet!$X$68,IF(J71="CBE2-12",Worksheet!$Y$68,IF(J71="CBAL2",Worksheet!$Z$68,"N/A"))))))))," ")</f>
        <v xml:space="preserve"> </v>
      </c>
      <c r="FT71" s="362" t="str">
        <f>IF(L71&gt;0,IF(J71="CBAL2",Worksheet!$P$69,IF(J71="CBE2-24",Worksheet!$Q$69,IF(J71="CBAM",Worksheet!$R$69,IF(J71="CBLV",Worksheet!$S$69,IF(J71="CBAB",Worksheet!$U$69,IF(J71="CBAW",Worksheet!$X$69,IF(J71="CBE2-12",Worksheet!$Y$69,IF(J71="CBAL2",Worksheet!$Z$69,"N/A"))))))))," ")</f>
        <v xml:space="preserve"> </v>
      </c>
      <c r="FU71" s="361" t="str">
        <f t="shared" si="179"/>
        <v xml:space="preserve"> </v>
      </c>
      <c r="FV71" s="362" t="str">
        <f t="shared" si="180"/>
        <v xml:space="preserve"> </v>
      </c>
      <c r="FW71" s="362" t="str">
        <f t="shared" si="181"/>
        <v xml:space="preserve"> </v>
      </c>
      <c r="FX71" s="362" t="str">
        <f t="shared" si="182"/>
        <v xml:space="preserve"> </v>
      </c>
      <c r="FY71" s="355" t="str">
        <f t="shared" si="183"/>
        <v xml:space="preserve"> </v>
      </c>
      <c r="FZ71" s="361" t="str">
        <f t="shared" si="184"/>
        <v xml:space="preserve"> </v>
      </c>
      <c r="GA71" s="347" t="str">
        <f t="shared" si="185"/>
        <v xml:space="preserve"> </v>
      </c>
      <c r="GB71" s="355" t="str">
        <f t="shared" si="186"/>
        <v xml:space="preserve"> </v>
      </c>
      <c r="GC71" s="328" t="str">
        <f t="shared" si="187"/>
        <v xml:space="preserve"> </v>
      </c>
      <c r="GD71" s="361" t="str">
        <f t="shared" si="188"/>
        <v xml:space="preserve"> </v>
      </c>
      <c r="GE71" s="347" t="str">
        <f t="shared" si="189"/>
        <v xml:space="preserve"> </v>
      </c>
      <c r="GF71" s="361" t="str">
        <f t="shared" si="190"/>
        <v xml:space="preserve"> </v>
      </c>
      <c r="GG71" s="347" t="str">
        <f t="shared" si="191"/>
        <v xml:space="preserve"> </v>
      </c>
      <c r="GH71" s="364">
        <f t="shared" si="78"/>
        <v>0</v>
      </c>
      <c r="GI71" s="362">
        <f t="shared" si="192"/>
        <v>2</v>
      </c>
      <c r="GJ71" s="433" t="e">
        <f>IF(6-COUNTBLANK(GT71:GY71)=4,MATCH(MID(BO71,9,3),CLU!$H$16:$K$16),MATCH(MID(BO71,9,3),CLU!$H$13:$M$13))</f>
        <v>#N/A</v>
      </c>
      <c r="GK71" s="433" t="e">
        <f>HLOOKUP(VALUE(BP71),CLU!$H$9:$M$10,2)</f>
        <v>#VALUE!</v>
      </c>
      <c r="GL71" s="433" t="e">
        <f ca="1">MATCH(BU71,CLU!$H$2:$V$2,1)</f>
        <v>#VALUE!</v>
      </c>
      <c r="GM71" s="433" t="e">
        <f t="shared" ca="1" si="193"/>
        <v>#VALUE!</v>
      </c>
      <c r="GN71" s="433" t="e">
        <f t="shared" ca="1" si="194"/>
        <v>#VALUE!</v>
      </c>
      <c r="GO71" s="433" t="e">
        <f t="shared" ca="1" si="195"/>
        <v>#VALUE!</v>
      </c>
      <c r="GP71" s="433" t="e">
        <f t="shared" ca="1" si="196"/>
        <v>#VALUE!</v>
      </c>
      <c r="GQ71" s="433" t="e">
        <f t="shared" ca="1" si="197"/>
        <v>#VALUE!</v>
      </c>
      <c r="GR71" s="433" t="e">
        <f ca="1">MATCH(T71,INDIRECT(VLOOKUP(CONCATENATE(LEFT(BO71,7),"-",MID(BO71,13,1)),CLU!$P$3:$Q$16,2)),1)</f>
        <v>#N/A</v>
      </c>
      <c r="GS71" s="433" t="e">
        <f ca="1">MATCH(U71,INDIRECT(VLOOKUP(CONCATENATE(LEFT(BO71,7),"-",MID(BO71,13,1)),CLU!$P$3:$Q$16,2)),1)</f>
        <v>#N/A</v>
      </c>
      <c r="GT71" s="347" t="s">
        <v>512</v>
      </c>
      <c r="GU71" s="97" t="s">
        <v>513</v>
      </c>
      <c r="GV71" s="97" t="str">
        <f t="shared" si="198"/>
        <v>M23</v>
      </c>
      <c r="GW71" s="97" t="str">
        <f t="shared" si="199"/>
        <v>M31</v>
      </c>
      <c r="GX71" s="97" t="str">
        <f t="shared" si="200"/>
        <v/>
      </c>
      <c r="GY71" s="97" t="str">
        <f t="shared" si="201"/>
        <v/>
      </c>
      <c r="GZ71" s="481"/>
      <c r="HA71" s="288"/>
      <c r="HB71" s="240"/>
      <c r="HC71" s="240"/>
      <c r="HD71" s="240"/>
      <c r="HE71" s="240"/>
      <c r="HF71" s="240"/>
      <c r="HG71" s="240"/>
      <c r="HH71" s="240"/>
      <c r="HI71" s="240"/>
      <c r="HJ71" s="240"/>
      <c r="HK71" s="240"/>
      <c r="HL71" s="240"/>
      <c r="HM71" s="240"/>
      <c r="HN71" s="240"/>
      <c r="HO71" s="240"/>
      <c r="HP71" s="240"/>
      <c r="HQ71" s="240"/>
      <c r="HR71" s="240"/>
      <c r="HS71" s="240"/>
      <c r="HT71" s="240"/>
      <c r="HU71" s="240"/>
      <c r="HV71" s="245"/>
      <c r="HW71" s="245" t="b">
        <v>1</v>
      </c>
      <c r="HX71" s="245" t="str">
        <f t="shared" si="79"/>
        <v/>
      </c>
      <c r="HY71" s="245" t="e">
        <f t="shared" si="80"/>
        <v>#DIV/0!</v>
      </c>
      <c r="HZ71" s="245" t="e">
        <f t="shared" si="81"/>
        <v>#DIV/0!</v>
      </c>
      <c r="IA71" s="245">
        <f t="shared" si="82"/>
        <v>0</v>
      </c>
      <c r="IB71" s="245"/>
      <c r="IC71" t="b">
        <f t="shared" si="83"/>
        <v>1</v>
      </c>
      <c r="ID71" s="245" t="b">
        <f t="shared" si="84"/>
        <v>1</v>
      </c>
      <c r="IE71" s="245" t="b">
        <f t="shared" si="85"/>
        <v>1</v>
      </c>
      <c r="IF71" s="245" t="b">
        <f t="shared" si="86"/>
        <v>0</v>
      </c>
      <c r="IG71" s="245" t="b">
        <f t="shared" si="87"/>
        <v>1</v>
      </c>
      <c r="IH71" s="245" t="b">
        <f t="shared" si="88"/>
        <v>1</v>
      </c>
      <c r="II71" s="245">
        <f t="shared" si="202"/>
        <v>0</v>
      </c>
      <c r="IJ71" s="245" t="e">
        <f t="shared" si="89"/>
        <v>#VALUE!</v>
      </c>
      <c r="IK71" s="245" t="e">
        <f t="shared" si="90"/>
        <v>#VALUE!</v>
      </c>
      <c r="IL71" s="245"/>
      <c r="IM71" s="245" t="e">
        <f t="shared" si="203"/>
        <v>#N/A</v>
      </c>
      <c r="IN71" s="245" t="e">
        <f t="shared" si="204"/>
        <v>#N/A</v>
      </c>
      <c r="IO71" s="245"/>
      <c r="IP71" s="245"/>
      <c r="IQ71" s="245" t="str">
        <f t="shared" si="91"/>
        <v/>
      </c>
      <c r="IR71" s="245" t="str">
        <f>IF(J71="","",VLOOKUP(J71,Worksheet!$R$4:$T$14,2))</f>
        <v/>
      </c>
      <c r="IS71" s="245"/>
      <c r="IT71" s="245">
        <f t="shared" si="92"/>
        <v>0</v>
      </c>
      <c r="IU71" s="245">
        <f t="shared" si="93"/>
        <v>0</v>
      </c>
      <c r="IV71" s="245">
        <f t="shared" si="94"/>
        <v>0</v>
      </c>
      <c r="IW71" s="245">
        <f t="shared" si="95"/>
        <v>0</v>
      </c>
      <c r="IX71" s="245">
        <f t="shared" si="205"/>
        <v>0</v>
      </c>
      <c r="IY71" s="245">
        <f t="shared" si="96"/>
        <v>0</v>
      </c>
      <c r="IZ71" s="245">
        <f t="shared" si="97"/>
        <v>0</v>
      </c>
      <c r="JA71">
        <f t="shared" si="98"/>
        <v>0</v>
      </c>
      <c r="JB71">
        <f t="shared" si="206"/>
        <v>0</v>
      </c>
      <c r="JC71">
        <f t="shared" si="99"/>
        <v>0</v>
      </c>
      <c r="JD71">
        <f t="shared" si="100"/>
        <v>0</v>
      </c>
      <c r="JE71">
        <f t="shared" si="101"/>
        <v>0</v>
      </c>
      <c r="JF71">
        <f t="shared" si="102"/>
        <v>0</v>
      </c>
      <c r="JG71">
        <f t="shared" si="103"/>
        <v>0</v>
      </c>
      <c r="JH71">
        <f t="shared" si="104"/>
        <v>0</v>
      </c>
      <c r="JI71">
        <f t="shared" si="105"/>
        <v>0</v>
      </c>
      <c r="JJ71" s="447">
        <f t="shared" si="106"/>
        <v>0</v>
      </c>
      <c r="JK71" s="447">
        <f t="shared" si="107"/>
        <v>0</v>
      </c>
      <c r="JL71">
        <f t="shared" si="108"/>
        <v>0</v>
      </c>
      <c r="JM71" s="245" t="str">
        <f>IFERROR(VLOOKUP(MATCH(BN71,#REF!,0),#REF!,7),"")</f>
        <v/>
      </c>
      <c r="JN71" t="e">
        <f>HLOOKUP(LEFT(BO71,7),Discharge_Area,MATCH(JO71,LookUps!$B$130:$B$149,1)+2)</f>
        <v>#N/A</v>
      </c>
      <c r="JO71" t="str">
        <f t="shared" si="109"/>
        <v>- S</v>
      </c>
      <c r="JP71" t="e">
        <f>HLOOKUP(LEFT(BO71,7),Discharge_Area,MATCH(JO71,LookUps!$B$130:$B$149,1)+2)</f>
        <v>#N/A</v>
      </c>
      <c r="JQ71" t="e">
        <f t="shared" si="110"/>
        <v>#N/A</v>
      </c>
      <c r="JR71" t="e">
        <f t="shared" si="111"/>
        <v>#N/A</v>
      </c>
      <c r="JS71" t="e">
        <f t="shared" si="112"/>
        <v>#N/A</v>
      </c>
      <c r="JT71" s="532" t="str">
        <f t="shared" si="113"/>
        <v xml:space="preserve"> </v>
      </c>
      <c r="JU71" s="532" t="str">
        <f t="shared" si="114"/>
        <v xml:space="preserve"> </v>
      </c>
      <c r="JV71" s="533" t="str">
        <f t="shared" si="115"/>
        <v xml:space="preserve"> </v>
      </c>
      <c r="JW71" s="534">
        <f t="shared" si="116"/>
        <v>0</v>
      </c>
      <c r="JX71" s="535" t="str">
        <f t="shared" si="207"/>
        <v xml:space="preserve"> </v>
      </c>
      <c r="JY71" s="535" t="str">
        <f t="shared" si="208"/>
        <v xml:space="preserve"> </v>
      </c>
      <c r="JZ71" s="535" t="str">
        <f t="shared" si="209"/>
        <v xml:space="preserve"> </v>
      </c>
      <c r="KA71" s="536" t="str">
        <f t="shared" si="117"/>
        <v xml:space="preserve"> </v>
      </c>
      <c r="KB71" s="535" t="e">
        <f t="shared" si="210"/>
        <v>#VALUE!</v>
      </c>
      <c r="KC71" s="535" t="str">
        <f t="shared" si="118"/>
        <v/>
      </c>
      <c r="KD71" s="537" t="str">
        <f t="shared" si="211"/>
        <v xml:space="preserve"> </v>
      </c>
      <c r="KE71" s="537" t="str">
        <f t="shared" si="212"/>
        <v xml:space="preserve"> </v>
      </c>
      <c r="KF71" s="534">
        <f t="shared" si="119"/>
        <v>0</v>
      </c>
      <c r="KG71" s="535" t="str">
        <f t="shared" si="120"/>
        <v xml:space="preserve"> </v>
      </c>
      <c r="KH71" s="535" t="str">
        <f t="shared" si="121"/>
        <v xml:space="preserve"> </v>
      </c>
      <c r="KI71" s="535" t="str">
        <f t="shared" si="122"/>
        <v xml:space="preserve"> </v>
      </c>
      <c r="KJ71" s="536" t="str">
        <f t="shared" si="123"/>
        <v xml:space="preserve"> </v>
      </c>
      <c r="KK71" s="535" t="str">
        <f t="shared" si="213"/>
        <v xml:space="preserve"> </v>
      </c>
      <c r="KL71" s="535" t="str">
        <f t="shared" si="214"/>
        <v xml:space="preserve"> </v>
      </c>
      <c r="KM71" s="537" t="str">
        <f t="shared" si="124"/>
        <v xml:space="preserve"> </v>
      </c>
      <c r="KN71" s="537" t="str">
        <f t="shared" si="215"/>
        <v xml:space="preserve"> </v>
      </c>
      <c r="KP71">
        <f t="shared" si="125"/>
        <v>0</v>
      </c>
      <c r="LA71" t="e">
        <f t="shared" si="126"/>
        <v>#VALUE!</v>
      </c>
      <c r="LB71" t="e">
        <f t="shared" si="127"/>
        <v>#VALUE!</v>
      </c>
      <c r="LC71" t="e">
        <f t="shared" si="128"/>
        <v>#VALUE!</v>
      </c>
      <c r="LD71" t="e">
        <f t="shared" si="129"/>
        <v>#VALUE!</v>
      </c>
      <c r="LE71" t="e">
        <f t="shared" si="216"/>
        <v>#VALUE!</v>
      </c>
      <c r="LF71">
        <f t="shared" si="130"/>
        <v>0</v>
      </c>
      <c r="LG71" t="e">
        <f t="shared" si="217"/>
        <v>#VALUE!</v>
      </c>
      <c r="LH71" t="str">
        <f t="shared" si="131"/>
        <v xml:space="preserve"> </v>
      </c>
      <c r="LI71">
        <f t="shared" si="218"/>
        <v>1</v>
      </c>
    </row>
    <row r="72" spans="2:321" ht="15" customHeight="1">
      <c r="B72" s="311"/>
      <c r="C72" s="311"/>
      <c r="D72" s="312"/>
      <c r="E72" s="311"/>
      <c r="F72" s="312"/>
      <c r="G72" s="311"/>
      <c r="H72" s="311"/>
      <c r="I72" s="37"/>
      <c r="J72" s="311"/>
      <c r="K72" s="305" t="str">
        <f t="shared" si="132"/>
        <v/>
      </c>
      <c r="L72" s="313"/>
      <c r="M72" s="312"/>
      <c r="N72" s="311"/>
      <c r="O72" s="312"/>
      <c r="P72" s="311"/>
      <c r="Q72" s="305" t="str">
        <f t="shared" si="133"/>
        <v/>
      </c>
      <c r="R72" s="314"/>
      <c r="S72" s="450" t="str">
        <f t="shared" si="0"/>
        <v/>
      </c>
      <c r="T72" s="315"/>
      <c r="U72" s="315"/>
      <c r="W72" s="149" t="str">
        <f t="shared" si="1"/>
        <v xml:space="preserve"> </v>
      </c>
      <c r="X72" s="243" t="str">
        <f t="shared" si="2"/>
        <v xml:space="preserve"> </v>
      </c>
      <c r="Y72" s="150" t="str">
        <f t="shared" si="3"/>
        <v/>
      </c>
      <c r="Z72" s="149" t="str">
        <f t="shared" si="4"/>
        <v xml:space="preserve"> </v>
      </c>
      <c r="AA72" s="98" t="str">
        <f t="shared" si="5"/>
        <v xml:space="preserve"> </v>
      </c>
      <c r="AB72" s="153" t="str">
        <f t="shared" si="6"/>
        <v xml:space="preserve"> </v>
      </c>
      <c r="AC72" s="153" t="str">
        <f t="shared" si="7"/>
        <v xml:space="preserve"> </v>
      </c>
      <c r="AD72" s="148" t="str">
        <f t="shared" si="8"/>
        <v/>
      </c>
      <c r="AE72" s="149" t="str">
        <f t="shared" si="9"/>
        <v/>
      </c>
      <c r="AF72" s="151" t="str">
        <f t="shared" si="10"/>
        <v xml:space="preserve"> </v>
      </c>
      <c r="AG72" s="153" t="str">
        <f t="shared" si="11"/>
        <v xml:space="preserve"> </v>
      </c>
      <c r="AH72" s="98" t="str">
        <f t="shared" si="12"/>
        <v xml:space="preserve"> </v>
      </c>
      <c r="AI72" s="149" t="str">
        <f t="shared" si="13"/>
        <v xml:space="preserve"> </v>
      </c>
      <c r="AK72" s="144" t="str">
        <f t="shared" si="14"/>
        <v xml:space="preserve"> </v>
      </c>
      <c r="AL72" s="144"/>
      <c r="AM72" s="243" t="str">
        <f t="shared" si="15"/>
        <v xml:space="preserve"> </v>
      </c>
      <c r="AN72" s="149" t="str">
        <f t="shared" si="134"/>
        <v xml:space="preserve"> </v>
      </c>
      <c r="AO72" s="144" t="str">
        <f>IF(JB72&gt;0,IF(GI72=10,-R72*1.085*(Calculation!$F$6-Calculation!$F$13)*$S$14," "),"")</f>
        <v/>
      </c>
      <c r="AP72" s="144" t="str">
        <f t="shared" si="16"/>
        <v/>
      </c>
      <c r="AQ72" s="56" t="str">
        <f t="shared" si="17"/>
        <v/>
      </c>
      <c r="AR72" s="144" t="str">
        <f t="shared" si="18"/>
        <v/>
      </c>
      <c r="AS72" s="176" t="str">
        <f t="shared" si="19"/>
        <v/>
      </c>
      <c r="AT72" s="176" t="str">
        <f t="shared" si="135"/>
        <v xml:space="preserve"> </v>
      </c>
      <c r="AU72" s="176" t="str">
        <f t="shared" si="20"/>
        <v/>
      </c>
      <c r="AV72" s="177" t="str">
        <f t="shared" si="21"/>
        <v xml:space="preserve"> </v>
      </c>
      <c r="AW72" s="144" t="str">
        <f t="shared" si="22"/>
        <v xml:space="preserve"> </v>
      </c>
      <c r="AX72" s="144" t="str">
        <f t="shared" si="23"/>
        <v xml:space="preserve"> </v>
      </c>
      <c r="AY72" s="152" t="str">
        <f t="shared" si="24"/>
        <v xml:space="preserve"> </v>
      </c>
      <c r="AZ72" s="246" t="str">
        <f t="shared" si="25"/>
        <v/>
      </c>
      <c r="BA72" s="176" t="str">
        <f t="shared" si="26"/>
        <v xml:space="preserve"> </v>
      </c>
      <c r="BB72" s="176" t="str">
        <f t="shared" si="27"/>
        <v xml:space="preserve"> </v>
      </c>
      <c r="BC72" s="195"/>
      <c r="BD72" s="316"/>
      <c r="BE72" s="317"/>
      <c r="BF72" s="318"/>
      <c r="BG72" s="318"/>
      <c r="BH72" s="144" t="str">
        <f t="shared" si="219"/>
        <v xml:space="preserve"> </v>
      </c>
      <c r="BI72" s="176" t="str">
        <f t="shared" si="28"/>
        <v/>
      </c>
      <c r="BJ72" s="144" t="str">
        <f t="shared" si="220"/>
        <v/>
      </c>
      <c r="BK72" s="246" t="str">
        <f t="shared" si="29"/>
        <v/>
      </c>
      <c r="BL72" s="144" t="str">
        <f t="shared" si="221"/>
        <v/>
      </c>
      <c r="BM72" s="246" t="str">
        <f t="shared" si="30"/>
        <v/>
      </c>
      <c r="BN72" s="337" t="str">
        <f t="shared" si="136"/>
        <v/>
      </c>
      <c r="BO72" s="371" t="str">
        <f t="shared" si="137"/>
        <v/>
      </c>
      <c r="BP72" s="328" t="str">
        <f t="shared" si="222"/>
        <v xml:space="preserve"> </v>
      </c>
      <c r="BQ72" s="347" t="str">
        <f t="shared" si="138"/>
        <v xml:space="preserve"> </v>
      </c>
      <c r="BR72" s="353" t="str">
        <f t="shared" si="223"/>
        <v xml:space="preserve"> </v>
      </c>
      <c r="BS72" s="626" t="str">
        <f>IF(L72&gt;0,IF(Calculation!P72="M13",BR72*3.1416*(0.134^2)/(4*144),IF(Calculation!P72="M17",BR72*3.1416*(0.165^2)/(4*144),IF(Calculation!P72="M20",BR72*3.1416*(0.198^2)/(4*144),IF(Calculation!P72="M23",BR72*3.1416*(0.228^2)/(4*144),IF(Calculation!P72="M27",BR72*3.1416*(0.269^2)/(4*144),BR72*3.1416*(0.307^2)/(4*144))))))," ")</f>
        <v xml:space="preserve"> </v>
      </c>
      <c r="BT72" s="353" t="str">
        <f>IF(L72&gt;0,IF(BS72&gt;0,R72/Calculation!BS72,0)," ")</f>
        <v xml:space="preserve"> </v>
      </c>
      <c r="BU72" s="438" t="e">
        <f t="shared" ca="1" si="31"/>
        <v>#VALUE!</v>
      </c>
      <c r="BV72" s="449" t="e">
        <f ca="1">INDEX(INDIRECT(VLOOKUP(LEFT(BO72,7),CLU!$Z$3:$AH$18,2)),GN72,GR72)</f>
        <v>#N/A</v>
      </c>
      <c r="BW72" s="433" t="e">
        <f ca="1">INDEX(INDIRECT(VLOOKUP(LEFT(BO72,7),CLU!$Z$3:$AH$18,3)),GN72,GR72)</f>
        <v>#N/A</v>
      </c>
      <c r="BX72" s="433" t="e">
        <f ca="1">INDEX(INDIRECT(VLOOKUP(LEFT(BO72,7),CLU!$Z$3:$AH$18,4)),GN72,GR72)</f>
        <v>#N/A</v>
      </c>
      <c r="BY72" s="433" t="e">
        <f ca="1">INDEX(INDIRECT(VLOOKUP(LEFT(BO72,7),CLU!$Z$3:$AH$18,9)),((M72-2)*(6-COUNTBLANK(GT72:GY72)))+GJ72)</f>
        <v>#N/A</v>
      </c>
      <c r="BZ72" s="426" t="e">
        <f t="shared" ca="1" si="139"/>
        <v>#N/A</v>
      </c>
      <c r="CA72" s="424" t="e">
        <f t="shared" ca="1" si="140"/>
        <v>#N/A</v>
      </c>
      <c r="CB72" s="429" t="e">
        <f ca="1">INDEX(INDIRECT(VLOOKUP(LEFT(BO72,7),CLU!$Z$3:$AH$18,2)),GN72,GS72)</f>
        <v>#N/A</v>
      </c>
      <c r="CC72" s="342" t="e">
        <f ca="1">INDEX(INDIRECT(VLOOKUP(LEFT(BO72,7),CLU!$Z$3:$AH$18,3)),GN72,GS72)</f>
        <v>#N/A</v>
      </c>
      <c r="CD72" s="342" t="e">
        <f ca="1">INDEX(INDIRECT(VLOOKUP(LEFT(BO72,7),CLU!$Z$3:$AH$18,4)),GN72,GS72)</f>
        <v>#N/A</v>
      </c>
      <c r="CE72" s="426" t="e">
        <f t="shared" ca="1" si="141"/>
        <v>#N/A</v>
      </c>
      <c r="CF72" s="440">
        <f t="shared" si="142"/>
        <v>0</v>
      </c>
      <c r="CG72" s="431" t="e">
        <f ca="1">INDEX(INDIRECT(VLOOKUP(LEFT(BO72,7),CLU!$Z$3:$AH$18,2)),GQ72,GR72)</f>
        <v>#N/A</v>
      </c>
      <c r="CH72" s="431" t="e">
        <f ca="1">INDEX(INDIRECT(VLOOKUP(LEFT(BO72,7),CLU!$Z$3:$AH$18,3)),GQ72,GR72)</f>
        <v>#N/A</v>
      </c>
      <c r="CI72" s="431" t="e">
        <f ca="1">INDEX(INDIRECT(VLOOKUP(LEFT(BO72,7),CLU!$Z$3:$AH$18,4)),GQ72,GR72)</f>
        <v>#N/A</v>
      </c>
      <c r="CJ72" s="448" t="e">
        <f t="shared" ca="1" si="143"/>
        <v>#N/A</v>
      </c>
      <c r="CK72" s="431" t="e">
        <f t="shared" ca="1" si="144"/>
        <v>#N/A</v>
      </c>
      <c r="CL72" s="440" t="e">
        <f t="shared" ca="1" si="145"/>
        <v>#N/A</v>
      </c>
      <c r="CM72" s="431" t="e">
        <f ca="1">INDEX(INDIRECT(VLOOKUP(LEFT(BO72,7),CLU!$Z$3:$AH$18,2)),GQ72,GS72)</f>
        <v>#N/A</v>
      </c>
      <c r="CN72" s="431" t="e">
        <f ca="1">INDEX(INDIRECT(VLOOKUP(LEFT(BO72,7),CLU!$Z$3:$AH$18,3)),GQ72,GS72)</f>
        <v>#N/A</v>
      </c>
      <c r="CO72" s="431" t="e">
        <f ca="1">INDEX(INDIRECT(VLOOKUP(LEFT(BO72,7),CLU!$Z$3:$AH$18,4)),GQ72,GS72)</f>
        <v>#N/A</v>
      </c>
      <c r="CP72" s="431" t="e">
        <f t="shared" ca="1" si="146"/>
        <v>#N/A</v>
      </c>
      <c r="CQ72" s="440">
        <f t="shared" si="147"/>
        <v>0</v>
      </c>
      <c r="CR72" s="51" t="e">
        <f t="shared" ca="1" si="148"/>
        <v>#N/A</v>
      </c>
      <c r="CS72" s="439" t="e">
        <f t="shared" ca="1" si="149"/>
        <v>#VALUE!</v>
      </c>
      <c r="CT72" s="51" t="e">
        <f t="shared" ca="1" si="150"/>
        <v>#VALUE!</v>
      </c>
      <c r="CU72" s="10"/>
      <c r="CV72" s="51" t="e">
        <f t="shared" ca="1" si="34"/>
        <v>#VALUE!</v>
      </c>
      <c r="CW72" s="51">
        <f t="shared" si="151"/>
        <v>0</v>
      </c>
      <c r="CX72" s="439" t="e">
        <f t="shared" ca="1" si="152"/>
        <v>#VALUE!</v>
      </c>
      <c r="CY72" s="51" t="e">
        <f t="shared" ca="1" si="153"/>
        <v>#VALUE!</v>
      </c>
      <c r="CZ72" s="10"/>
      <c r="DA72" s="51" t="e">
        <f t="shared" ca="1" si="154"/>
        <v>#VALUE!</v>
      </c>
      <c r="DB72" s="347" t="e">
        <f ca="1">INDEX(INDIRECT(VLOOKUP(LEFT(BO72,7),CLU!$Z$3:$AI$18,10)),((M72-2)*(6-COUNTBLANK(GT72:GY72)))+GJ72)*LI72</f>
        <v>#N/A</v>
      </c>
      <c r="DC72" s="347" t="str">
        <f>IF(L72&gt;0,((R72/Worksheet!$I$15)/DB72)^2," ")</f>
        <v xml:space="preserve"> </v>
      </c>
      <c r="DD72" s="602" t="str">
        <f t="shared" si="224"/>
        <v xml:space="preserve"> </v>
      </c>
      <c r="DE72" s="347" t="str">
        <f t="shared" si="35"/>
        <v xml:space="preserve"> </v>
      </c>
      <c r="DF72" s="356" t="e">
        <f ca="1">INDEX(INDIRECT(VLOOKUP(LEFT(BO72,7),CLU!$Z$3:$AH$18,8)),((M72-2)*(6-COUNTBLANK(GT72:GY72)))+GJ72)</f>
        <v>#N/A</v>
      </c>
      <c r="DG72" s="347" t="str">
        <f t="shared" si="36"/>
        <v xml:space="preserve"> </v>
      </c>
      <c r="DH72" s="357" t="str">
        <f t="shared" si="37"/>
        <v xml:space="preserve"> </v>
      </c>
      <c r="DI72" s="355" t="str">
        <f t="shared" si="38"/>
        <v xml:space="preserve"> </v>
      </c>
      <c r="DJ72" s="245" t="e">
        <f ca="1">INDEX(INDIRECT(VLOOKUP(LEFT(BO72,7),CLU!$Z$3:$AH$18,5)),GL72,GK72)</f>
        <v>#N/A</v>
      </c>
      <c r="DK72" s="245" t="e">
        <f ca="1">INDEX(INDIRECT(VLOOKUP(LEFT(BO72,7),CLU!$Z$3:$AH$18,6)),GL72,GK72)</f>
        <v>#N/A</v>
      </c>
      <c r="DL72" s="355">
        <f>(Calculation!R72*0.69143*(Calculation!$BQ$8-Calculation!$F$8))*$S$14</f>
        <v>0</v>
      </c>
      <c r="DM72" s="359" t="e">
        <f t="shared" si="160"/>
        <v>#VALUE!</v>
      </c>
      <c r="DN72" s="611">
        <f t="shared" si="161"/>
        <v>0</v>
      </c>
      <c r="DO72" s="359">
        <f t="shared" si="162"/>
        <v>100</v>
      </c>
      <c r="DP72" s="359">
        <f t="shared" si="163"/>
        <v>0</v>
      </c>
      <c r="DQ72" s="360"/>
      <c r="DR72" s="245" t="e">
        <f ca="1">INDEX(INDIRECT(VLOOKUP(LEFT(BO72,7),CLU!$Z$3:$AH$18,7)),M72-1,1)</f>
        <v>#N/A</v>
      </c>
      <c r="DS72" s="245" t="e">
        <f ca="1">INDEX(INDIRECT(VLOOKUP(LEFT(BO72,7),CLU!$Z$3:$AH$18,7)),M72-1,2)</f>
        <v>#N/A</v>
      </c>
      <c r="DT72" s="245" t="e">
        <f ca="1">INDEX(INDIRECT(VLOOKUP(LEFT(BO72,7),CLU!$Z$3:$AH$18,7)),M72-1,3)</f>
        <v>#N/A</v>
      </c>
      <c r="DU72" s="245" t="e">
        <f ca="1">INDEX(INDIRECT(VLOOKUP(LEFT(BO72,7),CLU!$Z$3:$AH$18,7)),M72-1,4)</f>
        <v>#N/A</v>
      </c>
      <c r="DV72" s="361" t="e">
        <f ca="1">INDEX(INDIRECT(VLOOKUP(LEFT(BO72,7),CLU!$Z$3:$AH$18,7)),M72-1,4+LEFT(DZ72,1)*0.5)</f>
        <v>#N/A</v>
      </c>
      <c r="DW72" s="245" t="e">
        <f ca="1">INDEX(INDIRECT(VLOOKUP(LEFT(BO72,7),CLU!$Z$3:$AH$18,7)),M72-1,8)</f>
        <v>#N/A</v>
      </c>
      <c r="DX72" s="361" t="str">
        <f t="shared" si="39"/>
        <v xml:space="preserve"> </v>
      </c>
      <c r="DY72" s="361" t="str">
        <f t="shared" si="40"/>
        <v xml:space="preserve"> </v>
      </c>
      <c r="DZ72" s="361" t="str">
        <f t="shared" si="41"/>
        <v xml:space="preserve"> </v>
      </c>
      <c r="EA72" s="362" t="str">
        <f t="shared" si="42"/>
        <v xml:space="preserve"> </v>
      </c>
      <c r="EB72" s="624" t="str">
        <f t="shared" si="168"/>
        <v xml:space="preserve"> </v>
      </c>
      <c r="EC72" s="361" t="e">
        <f ca="1">INDEX(INDIRECT(VLOOKUP(LEFT(BO72,7),CLU!$Z$3:$AH$18,7)),M72-1,4+LEFT(DZ72,1)*0.5)</f>
        <v>#N/A</v>
      </c>
      <c r="ED72" s="362" t="str">
        <f t="shared" si="43"/>
        <v xml:space="preserve"> </v>
      </c>
      <c r="EE72" s="361" t="str">
        <f t="shared" si="44"/>
        <v xml:space="preserve"> </v>
      </c>
      <c r="EF72" s="362" t="str">
        <f>IF(L72&gt;0,IF(BR72&gt;0,IF(EE72="2P",IF(Calculation!DZ72="2P",IF(Calculation!DS72=13.75,IF(Calculation!DR72=13,Worksheet!$BD$43,IF(Calculation!DR72=37,Worksheet!$BD$44,Worksheet!$BD$45)),IF(Calculation!DS72=10,IF(Calculation!DR72=18,Worksheet!$BD$29,IF(Calculation!DR72=30,Worksheet!$BD$30,IF(Calculation!DR72=42,Worksheet!$BD$31,IF(Calculation!DR72=54,Worksheet!$BD$32,IF(Calculation!DR72=66,Worksheet!$BD$33,IF(Calculation!DR72=78,Worksheet!$BD$34,IF(Calculation!DR72=90,Worksheet!$BD$35,IF(Calculation!DR72=102,Worksheet!$BD$36,Worksheet!$BD$37)))))))),IF(Calculation!DS72=12.5,IF(Calculation!DR72=18,Worksheet!$BD$38,IF(Calculation!DR72=Worksheet!$BD$39,IF(Calculation!DR72=42,Worksheet!$BD$40,IF(Calculation!DR72=54,Worksheet!$BD$41,Worksheet!$BD$42)))),IF(Calculation!DR72=18,Worksheet!$BD$11,IF(Calculation!DR72=30,Worksheet!$BD$12,IF(Calculation!DR72=42,Worksheet!$BD$13,IF(Calculation!DR72=54,Worksheet!$BD$14,IF(Calculation!DR72=66,Worksheet!$BD$15,IF(Calculation!DR72=78,Worksheet!$BD$16,IF(Calculation!DR72=90,Worksheet!$BD$17,IF(Calculation!DR72=102,Worksheet!$BD$18,Worksheet!$BD$19))))))))))),IF(Calculation!DS72=13.75,IF(Calculation!DR72=13,Worksheet!$BD$78,IF(Calculation!DR72=37,Worksheet!$BD$79,Worksheet!$BD$80)),IF(Calculation!DS72=10,IF(Calculation!DR72=18,Worksheet!$BD$64,IF(Calculation!DR72=30,Worksheet!$BD$65,IF(Calculation!DR72=42,Worksheet!$BD$66,IF(Calculation!DR72=54,Worksheet!$BD$68,IF(Calculation!DR72=66,Worksheet!$BD$68,IF(Calculation!DR72=78,Worksheet!$BD$69,IF(Calculation!DR72=90,Worksheet!$BD$70,IF(Calculation!DR72=102,Worksheet!$BD$71,Worksheet!$BD$72)))))))),IF(Calculation!DS72=12.5,IF(Calculation!DR72=18,Worksheet!$BD$73,IF(Calculation!DR72=Worksheet!$BD$74,IF(Calculation!DR72=42,Worksheet!$BD$75,IF(Calculation!DR72=54,Worksheet!$BD$76,Worksheet!$BD$77)))),IF(Calculation!DR72=18,Worksheet!$BD$55,IF(Calculation!DR72=30,Worksheet!$BD$56,IF(Calculation!DR72=42,Worksheet!$BD$57,IF(Calculation!DR72=54,Worksheet!$BD$58,IF(Calculation!DR72=66,Worksheet!$BD$59,IF(Calculation!DR72=78,Worksheet!$BD$60,IF(Calculation!DR72=90,Worksheet!$BD$61,IF(Calculation!DR72=102,Worksheet!$BD$62,Worksheet!$BD$63)))))))))))),5),0)," ")</f>
        <v xml:space="preserve"> </v>
      </c>
      <c r="EG72" s="361" t="str">
        <f t="shared" si="45"/>
        <v xml:space="preserve"> </v>
      </c>
      <c r="EH72" s="361" t="e">
        <f ca="1">INDEX(INDIRECT(VLOOKUP(LEFT(BO72,7),CLU!$Z$3:$AH$18,7)),M72-1,3+LEFT(DZ72,1))</f>
        <v>#N/A</v>
      </c>
      <c r="EI72" s="362" t="str">
        <f t="shared" si="46"/>
        <v xml:space="preserve"> </v>
      </c>
      <c r="EJ72" s="363" t="str">
        <f t="shared" si="47"/>
        <v xml:space="preserve"> </v>
      </c>
      <c r="EK72" s="363" t="str">
        <f t="shared" si="48"/>
        <v xml:space="preserve"> </v>
      </c>
      <c r="EL72" s="363" t="str">
        <f t="shared" si="49"/>
        <v xml:space="preserve"> </v>
      </c>
      <c r="EM72" s="362" t="str">
        <f>IF(L72&gt;0,IF(BR72&gt;0,(Calculation!T72/ED72)^2,0)," ")</f>
        <v xml:space="preserve"> </v>
      </c>
      <c r="EN72" s="362" t="str">
        <f>IF(L72&gt;0,IF(O72="2 Pipe (Cooling)","N/A",IF(BR72&gt;0,(Calculation!U72/EI72)^2,0))," ")</f>
        <v xml:space="preserve"> </v>
      </c>
      <c r="EO72" s="361" t="str">
        <f t="shared" si="50"/>
        <v/>
      </c>
      <c r="EP72" s="361" t="str">
        <f t="shared" si="51"/>
        <v/>
      </c>
      <c r="EQ72" s="361" t="str">
        <f t="shared" si="52"/>
        <v/>
      </c>
      <c r="ER72" s="361" t="str">
        <f t="shared" si="53"/>
        <v/>
      </c>
      <c r="ES72" s="361" t="str">
        <f t="shared" si="54"/>
        <v/>
      </c>
      <c r="ET72" s="361" t="str">
        <f t="shared" si="55"/>
        <v/>
      </c>
      <c r="EU72" s="361" t="str">
        <f t="shared" si="56"/>
        <v/>
      </c>
      <c r="EV72" s="361" t="str">
        <f t="shared" si="57"/>
        <v/>
      </c>
      <c r="EW72" s="361" t="str">
        <f t="shared" si="58"/>
        <v/>
      </c>
      <c r="EX72" s="361" t="str">
        <f t="shared" si="169"/>
        <v>1 slot, 1 way</v>
      </c>
      <c r="EY72" s="361" t="str">
        <f t="shared" si="170"/>
        <v xml:space="preserve"> </v>
      </c>
      <c r="EZ72" s="361" t="str">
        <f t="shared" si="171"/>
        <v xml:space="preserve"> </v>
      </c>
      <c r="FA72" s="361" t="str">
        <f t="shared" si="172"/>
        <v xml:space="preserve"> </v>
      </c>
      <c r="FB72" s="361" t="str">
        <f t="shared" si="173"/>
        <v xml:space="preserve"> </v>
      </c>
      <c r="FC72" s="361"/>
      <c r="FD72" s="361" t="str">
        <f>IF(J72&gt;0,IF(Calculation!R72&lt;=70,4,IF(Calculation!R72&lt;=110,5,IF(Calculation!R72&lt;=160,6,IF(Calculation!R72&lt;=300,8,"10 EO")))),"")</f>
        <v/>
      </c>
      <c r="FE72" s="361" t="str">
        <f t="shared" si="174"/>
        <v/>
      </c>
      <c r="FF72" s="361" t="str">
        <f t="shared" si="175"/>
        <v/>
      </c>
      <c r="FG72" s="361" t="e">
        <f t="shared" si="60"/>
        <v>#N/A</v>
      </c>
      <c r="FH72" s="361">
        <f t="shared" si="61"/>
        <v>0</v>
      </c>
      <c r="FI72" s="361" t="e">
        <f t="shared" si="62"/>
        <v>#DIV/0!</v>
      </c>
      <c r="FJ72" s="361"/>
      <c r="FK72" s="356" t="e">
        <f t="shared" si="63"/>
        <v>#VALUE!</v>
      </c>
      <c r="FL72" s="361"/>
      <c r="FM72" s="361"/>
      <c r="FN72" s="362" t="str">
        <f t="shared" si="176"/>
        <v xml:space="preserve"> </v>
      </c>
      <c r="FO72" s="362" t="str">
        <f t="shared" si="177"/>
        <v xml:space="preserve"> </v>
      </c>
      <c r="FP72" s="362">
        <f t="shared" si="178"/>
        <v>0</v>
      </c>
      <c r="FQ72" s="361">
        <f t="shared" si="64"/>
        <v>0</v>
      </c>
      <c r="FR72" s="362" t="str">
        <f>IF(L72&gt;0,IF(J72="CBAL2",Worksheet!$P$67,IF(J72="CBE2-24",Worksheet!$Q$67,IF(J72="CBAM",Worksheet!$R$67,IF(J72="CBLV",Worksheet!$S$67,IF(J72="CBAB",Worksheet!$U$67,IF(J72="CBAW",Worksheet!$X$67,IF(J72="CBE2-12",Worksheet!$Y$67,IF(J72="CBAL2",Worksheet!$Z$67,"N/A"))))))))," ")</f>
        <v xml:space="preserve"> </v>
      </c>
      <c r="FS72" s="362" t="str">
        <f>IF(L72&gt;0,IF(J72="CBAL2",Worksheet!$P$68,IF(J72="CBE2-24",Worksheet!$Q$68,IF(J72="CBAM",Worksheet!$R$68,IF(J72="CBLV",Worksheet!$S$68,IF(J72="CBAB",Worksheet!$U$68,IF(J72="CBAW",Worksheet!$X$68,IF(J72="CBE2-12",Worksheet!$Y$68,IF(J72="CBAL2",Worksheet!$Z$68,"N/A"))))))))," ")</f>
        <v xml:space="preserve"> </v>
      </c>
      <c r="FT72" s="362" t="str">
        <f>IF(L72&gt;0,IF(J72="CBAL2",Worksheet!$P$69,IF(J72="CBE2-24",Worksheet!$Q$69,IF(J72="CBAM",Worksheet!$R$69,IF(J72="CBLV",Worksheet!$S$69,IF(J72="CBAB",Worksheet!$U$69,IF(J72="CBAW",Worksheet!$X$69,IF(J72="CBE2-12",Worksheet!$Y$69,IF(J72="CBAL2",Worksheet!$Z$69,"N/A"))))))))," ")</f>
        <v xml:space="preserve"> </v>
      </c>
      <c r="FU72" s="361" t="str">
        <f t="shared" si="179"/>
        <v xml:space="preserve"> </v>
      </c>
      <c r="FV72" s="362" t="str">
        <f t="shared" si="180"/>
        <v xml:space="preserve"> </v>
      </c>
      <c r="FW72" s="362" t="str">
        <f t="shared" si="181"/>
        <v xml:space="preserve"> </v>
      </c>
      <c r="FX72" s="362" t="str">
        <f t="shared" si="182"/>
        <v xml:space="preserve"> </v>
      </c>
      <c r="FY72" s="355" t="str">
        <f t="shared" si="183"/>
        <v xml:space="preserve"> </v>
      </c>
      <c r="FZ72" s="361" t="str">
        <f t="shared" si="184"/>
        <v xml:space="preserve"> </v>
      </c>
      <c r="GA72" s="347" t="str">
        <f t="shared" si="185"/>
        <v xml:space="preserve"> </v>
      </c>
      <c r="GB72" s="355" t="str">
        <f t="shared" si="186"/>
        <v xml:space="preserve"> </v>
      </c>
      <c r="GC72" s="328" t="str">
        <f t="shared" si="187"/>
        <v xml:space="preserve"> </v>
      </c>
      <c r="GD72" s="361" t="str">
        <f t="shared" si="188"/>
        <v xml:space="preserve"> </v>
      </c>
      <c r="GE72" s="347" t="str">
        <f t="shared" si="189"/>
        <v xml:space="preserve"> </v>
      </c>
      <c r="GF72" s="361" t="str">
        <f t="shared" si="190"/>
        <v xml:space="preserve"> </v>
      </c>
      <c r="GG72" s="347" t="str">
        <f t="shared" si="191"/>
        <v xml:space="preserve"> </v>
      </c>
      <c r="GH72" s="364">
        <f t="shared" si="78"/>
        <v>0</v>
      </c>
      <c r="GI72" s="362">
        <f t="shared" si="192"/>
        <v>2</v>
      </c>
      <c r="GJ72" s="433" t="e">
        <f>IF(6-COUNTBLANK(GT72:GY72)=4,MATCH(MID(BO72,9,3),CLU!$H$16:$K$16),MATCH(MID(BO72,9,3),CLU!$H$13:$M$13))</f>
        <v>#N/A</v>
      </c>
      <c r="GK72" s="433" t="e">
        <f>HLOOKUP(VALUE(BP72),CLU!$H$9:$M$10,2)</f>
        <v>#VALUE!</v>
      </c>
      <c r="GL72" s="433" t="e">
        <f ca="1">MATCH(BU72,CLU!$H$2:$V$2,1)</f>
        <v>#VALUE!</v>
      </c>
      <c r="GM72" s="433" t="e">
        <f t="shared" ca="1" si="193"/>
        <v>#VALUE!</v>
      </c>
      <c r="GN72" s="433" t="e">
        <f t="shared" ca="1" si="194"/>
        <v>#VALUE!</v>
      </c>
      <c r="GO72" s="433" t="e">
        <f t="shared" ca="1" si="195"/>
        <v>#VALUE!</v>
      </c>
      <c r="GP72" s="433" t="e">
        <f t="shared" ca="1" si="196"/>
        <v>#VALUE!</v>
      </c>
      <c r="GQ72" s="433" t="e">
        <f t="shared" ca="1" si="197"/>
        <v>#VALUE!</v>
      </c>
      <c r="GR72" s="433" t="e">
        <f ca="1">MATCH(T72,INDIRECT(VLOOKUP(CONCATENATE(LEFT(BO72,7),"-",MID(BO72,13,1)),CLU!$P$3:$Q$16,2)),1)</f>
        <v>#N/A</v>
      </c>
      <c r="GS72" s="433" t="e">
        <f ca="1">MATCH(U72,INDIRECT(VLOOKUP(CONCATENATE(LEFT(BO72,7),"-",MID(BO72,13,1)),CLU!$P$3:$Q$16,2)),1)</f>
        <v>#N/A</v>
      </c>
      <c r="GT72" s="347" t="s">
        <v>512</v>
      </c>
      <c r="GU72" s="97" t="s">
        <v>513</v>
      </c>
      <c r="GV72" s="97" t="str">
        <f t="shared" si="198"/>
        <v>M23</v>
      </c>
      <c r="GW72" s="97" t="str">
        <f t="shared" si="199"/>
        <v>M31</v>
      </c>
      <c r="GX72" s="97" t="str">
        <f t="shared" si="200"/>
        <v/>
      </c>
      <c r="GY72" s="97" t="str">
        <f t="shared" si="201"/>
        <v/>
      </c>
      <c r="GZ72" s="481"/>
      <c r="HA72" s="288"/>
      <c r="HB72" s="240"/>
      <c r="HC72" s="240"/>
      <c r="HD72" s="240"/>
      <c r="HE72" s="240"/>
      <c r="HF72" s="240"/>
      <c r="HG72" s="240"/>
      <c r="HH72" s="240"/>
      <c r="HI72" s="240"/>
      <c r="HJ72" s="240"/>
      <c r="HK72" s="240"/>
      <c r="HL72" s="240"/>
      <c r="HM72" s="240"/>
      <c r="HN72" s="240"/>
      <c r="HO72" s="240"/>
      <c r="HP72" s="240"/>
      <c r="HQ72" s="240"/>
      <c r="HR72" s="240"/>
      <c r="HS72" s="240"/>
      <c r="HT72" s="240"/>
      <c r="HU72" s="240"/>
      <c r="HV72" s="245"/>
      <c r="HW72" s="245" t="b">
        <v>1</v>
      </c>
      <c r="HX72" s="245" t="str">
        <f t="shared" si="79"/>
        <v/>
      </c>
      <c r="HY72" s="245" t="e">
        <f t="shared" si="80"/>
        <v>#DIV/0!</v>
      </c>
      <c r="HZ72" s="245" t="e">
        <f t="shared" si="81"/>
        <v>#DIV/0!</v>
      </c>
      <c r="IA72" s="245">
        <f t="shared" si="82"/>
        <v>0</v>
      </c>
      <c r="IB72" s="245"/>
      <c r="IC72" t="b">
        <f t="shared" si="83"/>
        <v>1</v>
      </c>
      <c r="ID72" s="245" t="b">
        <f t="shared" si="84"/>
        <v>1</v>
      </c>
      <c r="IE72" s="245" t="b">
        <f t="shared" si="85"/>
        <v>1</v>
      </c>
      <c r="IF72" s="245" t="b">
        <f t="shared" si="86"/>
        <v>0</v>
      </c>
      <c r="IG72" s="245" t="b">
        <f t="shared" si="87"/>
        <v>1</v>
      </c>
      <c r="IH72" s="245" t="b">
        <f t="shared" si="88"/>
        <v>1</v>
      </c>
      <c r="II72" s="245">
        <f t="shared" si="202"/>
        <v>0</v>
      </c>
      <c r="IJ72" s="245" t="e">
        <f t="shared" si="89"/>
        <v>#VALUE!</v>
      </c>
      <c r="IK72" s="245" t="e">
        <f t="shared" si="90"/>
        <v>#VALUE!</v>
      </c>
      <c r="IL72" s="245"/>
      <c r="IM72" s="245" t="e">
        <f t="shared" si="203"/>
        <v>#N/A</v>
      </c>
      <c r="IN72" s="245" t="e">
        <f t="shared" si="204"/>
        <v>#N/A</v>
      </c>
      <c r="IO72" s="245"/>
      <c r="IP72" s="245"/>
      <c r="IQ72" s="245" t="str">
        <f t="shared" si="91"/>
        <v/>
      </c>
      <c r="IR72" s="245" t="str">
        <f>IF(J72="","",VLOOKUP(J72,Worksheet!$R$4:$T$14,2))</f>
        <v/>
      </c>
      <c r="IS72" s="245"/>
      <c r="IT72" s="245">
        <f t="shared" si="92"/>
        <v>0</v>
      </c>
      <c r="IU72" s="245">
        <f t="shared" si="93"/>
        <v>0</v>
      </c>
      <c r="IV72" s="245">
        <f t="shared" si="94"/>
        <v>0</v>
      </c>
      <c r="IW72" s="245">
        <f t="shared" si="95"/>
        <v>0</v>
      </c>
      <c r="IX72" s="245">
        <f t="shared" si="205"/>
        <v>0</v>
      </c>
      <c r="IY72" s="245">
        <f t="shared" si="96"/>
        <v>0</v>
      </c>
      <c r="IZ72" s="245">
        <f t="shared" si="97"/>
        <v>0</v>
      </c>
      <c r="JA72">
        <f t="shared" si="98"/>
        <v>0</v>
      </c>
      <c r="JB72">
        <f t="shared" si="206"/>
        <v>0</v>
      </c>
      <c r="JC72">
        <f t="shared" si="99"/>
        <v>0</v>
      </c>
      <c r="JD72">
        <f t="shared" si="100"/>
        <v>0</v>
      </c>
      <c r="JE72">
        <f t="shared" si="101"/>
        <v>0</v>
      </c>
      <c r="JF72">
        <f t="shared" si="102"/>
        <v>0</v>
      </c>
      <c r="JG72">
        <f t="shared" si="103"/>
        <v>0</v>
      </c>
      <c r="JH72">
        <f t="shared" si="104"/>
        <v>0</v>
      </c>
      <c r="JI72">
        <f t="shared" si="105"/>
        <v>0</v>
      </c>
      <c r="JJ72" s="447">
        <f t="shared" si="106"/>
        <v>0</v>
      </c>
      <c r="JK72" s="447">
        <f t="shared" si="107"/>
        <v>0</v>
      </c>
      <c r="JL72">
        <f t="shared" si="108"/>
        <v>0</v>
      </c>
      <c r="JM72" s="245" t="str">
        <f>IFERROR(VLOOKUP(MATCH(BN72,#REF!,0),#REF!,7),"")</f>
        <v/>
      </c>
      <c r="JN72" t="e">
        <f>HLOOKUP(LEFT(BO72,7),Discharge_Area,MATCH(JO72,LookUps!$B$130:$B$149,1)+2)</f>
        <v>#N/A</v>
      </c>
      <c r="JO72" t="str">
        <f t="shared" si="109"/>
        <v>- S</v>
      </c>
      <c r="JP72" t="e">
        <f>HLOOKUP(LEFT(BO72,7),Discharge_Area,MATCH(JO72,LookUps!$B$130:$B$149,1)+2)</f>
        <v>#N/A</v>
      </c>
      <c r="JQ72" t="e">
        <f t="shared" si="110"/>
        <v>#N/A</v>
      </c>
      <c r="JR72" t="e">
        <f t="shared" si="111"/>
        <v>#N/A</v>
      </c>
      <c r="JS72" t="e">
        <f t="shared" si="112"/>
        <v>#N/A</v>
      </c>
      <c r="JT72" s="532" t="str">
        <f t="shared" si="113"/>
        <v xml:space="preserve"> </v>
      </c>
      <c r="JU72" s="532" t="str">
        <f t="shared" si="114"/>
        <v xml:space="preserve"> </v>
      </c>
      <c r="JV72" s="533" t="str">
        <f t="shared" si="115"/>
        <v xml:space="preserve"> </v>
      </c>
      <c r="JW72" s="534">
        <f t="shared" si="116"/>
        <v>0</v>
      </c>
      <c r="JX72" s="535" t="str">
        <f t="shared" si="207"/>
        <v xml:space="preserve"> </v>
      </c>
      <c r="JY72" s="535" t="str">
        <f t="shared" si="208"/>
        <v xml:space="preserve"> </v>
      </c>
      <c r="JZ72" s="535" t="str">
        <f t="shared" si="209"/>
        <v xml:space="preserve"> </v>
      </c>
      <c r="KA72" s="536" t="str">
        <f t="shared" si="117"/>
        <v xml:space="preserve"> </v>
      </c>
      <c r="KB72" s="535" t="e">
        <f t="shared" si="210"/>
        <v>#VALUE!</v>
      </c>
      <c r="KC72" s="535" t="str">
        <f t="shared" si="118"/>
        <v/>
      </c>
      <c r="KD72" s="537" t="str">
        <f t="shared" si="211"/>
        <v xml:space="preserve"> </v>
      </c>
      <c r="KE72" s="537" t="str">
        <f t="shared" si="212"/>
        <v xml:space="preserve"> </v>
      </c>
      <c r="KF72" s="534">
        <f t="shared" si="119"/>
        <v>0</v>
      </c>
      <c r="KG72" s="535" t="str">
        <f t="shared" si="120"/>
        <v xml:space="preserve"> </v>
      </c>
      <c r="KH72" s="535" t="str">
        <f t="shared" si="121"/>
        <v xml:space="preserve"> </v>
      </c>
      <c r="KI72" s="535" t="str">
        <f t="shared" si="122"/>
        <v xml:space="preserve"> </v>
      </c>
      <c r="KJ72" s="536" t="str">
        <f t="shared" si="123"/>
        <v xml:space="preserve"> </v>
      </c>
      <c r="KK72" s="535" t="str">
        <f t="shared" si="213"/>
        <v xml:space="preserve"> </v>
      </c>
      <c r="KL72" s="535" t="str">
        <f t="shared" si="214"/>
        <v xml:space="preserve"> </v>
      </c>
      <c r="KM72" s="537" t="str">
        <f t="shared" si="124"/>
        <v xml:space="preserve"> </v>
      </c>
      <c r="KN72" s="537" t="str">
        <f t="shared" si="215"/>
        <v xml:space="preserve"> </v>
      </c>
      <c r="KP72">
        <f t="shared" si="125"/>
        <v>0</v>
      </c>
      <c r="LA72" t="e">
        <f t="shared" si="126"/>
        <v>#VALUE!</v>
      </c>
      <c r="LB72" t="e">
        <f t="shared" si="127"/>
        <v>#VALUE!</v>
      </c>
      <c r="LC72" t="e">
        <f t="shared" si="128"/>
        <v>#VALUE!</v>
      </c>
      <c r="LD72" t="e">
        <f t="shared" si="129"/>
        <v>#VALUE!</v>
      </c>
      <c r="LE72" t="e">
        <f t="shared" si="216"/>
        <v>#VALUE!</v>
      </c>
      <c r="LF72">
        <f t="shared" si="130"/>
        <v>0</v>
      </c>
      <c r="LG72" t="e">
        <f t="shared" si="217"/>
        <v>#VALUE!</v>
      </c>
      <c r="LH72" t="str">
        <f t="shared" si="131"/>
        <v xml:space="preserve"> </v>
      </c>
      <c r="LI72">
        <f t="shared" si="218"/>
        <v>1</v>
      </c>
    </row>
    <row r="73" spans="2:321" ht="15" customHeight="1">
      <c r="B73" s="311"/>
      <c r="C73" s="311"/>
      <c r="D73" s="312"/>
      <c r="E73" s="311"/>
      <c r="F73" s="312"/>
      <c r="G73" s="311"/>
      <c r="H73" s="311"/>
      <c r="I73" s="37"/>
      <c r="J73" s="311"/>
      <c r="K73" s="305" t="str">
        <f t="shared" si="132"/>
        <v/>
      </c>
      <c r="L73" s="313"/>
      <c r="M73" s="312"/>
      <c r="N73" s="311"/>
      <c r="O73" s="312"/>
      <c r="P73" s="311"/>
      <c r="Q73" s="305" t="str">
        <f t="shared" si="133"/>
        <v/>
      </c>
      <c r="R73" s="314"/>
      <c r="S73" s="450" t="str">
        <f t="shared" si="0"/>
        <v/>
      </c>
      <c r="T73" s="315"/>
      <c r="U73" s="315"/>
      <c r="W73" s="149" t="str">
        <f t="shared" si="1"/>
        <v xml:space="preserve"> </v>
      </c>
      <c r="X73" s="243" t="str">
        <f t="shared" si="2"/>
        <v xml:space="preserve"> </v>
      </c>
      <c r="Y73" s="150" t="str">
        <f t="shared" si="3"/>
        <v/>
      </c>
      <c r="Z73" s="149" t="str">
        <f t="shared" si="4"/>
        <v xml:space="preserve"> </v>
      </c>
      <c r="AA73" s="98" t="str">
        <f t="shared" si="5"/>
        <v xml:space="preserve"> </v>
      </c>
      <c r="AB73" s="153" t="str">
        <f t="shared" si="6"/>
        <v xml:space="preserve"> </v>
      </c>
      <c r="AC73" s="153" t="str">
        <f t="shared" si="7"/>
        <v xml:space="preserve"> </v>
      </c>
      <c r="AD73" s="148" t="str">
        <f t="shared" si="8"/>
        <v/>
      </c>
      <c r="AE73" s="149" t="str">
        <f t="shared" si="9"/>
        <v/>
      </c>
      <c r="AF73" s="151" t="str">
        <f t="shared" si="10"/>
        <v xml:space="preserve"> </v>
      </c>
      <c r="AG73" s="153" t="str">
        <f t="shared" si="11"/>
        <v xml:space="preserve"> </v>
      </c>
      <c r="AH73" s="98" t="str">
        <f t="shared" si="12"/>
        <v xml:space="preserve"> </v>
      </c>
      <c r="AI73" s="149" t="str">
        <f t="shared" si="13"/>
        <v xml:space="preserve"> </v>
      </c>
      <c r="AK73" s="144" t="str">
        <f t="shared" si="14"/>
        <v xml:space="preserve"> </v>
      </c>
      <c r="AL73" s="144"/>
      <c r="AM73" s="243" t="str">
        <f t="shared" si="15"/>
        <v xml:space="preserve"> </v>
      </c>
      <c r="AN73" s="149" t="str">
        <f t="shared" si="134"/>
        <v xml:space="preserve"> </v>
      </c>
      <c r="AO73" s="144" t="str">
        <f>IF(JB73&gt;0,IF(GI73=10,-R73*1.085*(Calculation!$F$6-Calculation!$F$13)*$S$14," "),"")</f>
        <v/>
      </c>
      <c r="AP73" s="144" t="str">
        <f t="shared" si="16"/>
        <v/>
      </c>
      <c r="AQ73" s="56" t="str">
        <f t="shared" si="17"/>
        <v/>
      </c>
      <c r="AR73" s="144" t="str">
        <f t="shared" si="18"/>
        <v/>
      </c>
      <c r="AS73" s="176" t="str">
        <f t="shared" si="19"/>
        <v/>
      </c>
      <c r="AT73" s="176" t="str">
        <f t="shared" si="135"/>
        <v xml:space="preserve"> </v>
      </c>
      <c r="AU73" s="176" t="str">
        <f t="shared" si="20"/>
        <v/>
      </c>
      <c r="AV73" s="177" t="str">
        <f t="shared" si="21"/>
        <v xml:space="preserve"> </v>
      </c>
      <c r="AW73" s="144" t="str">
        <f t="shared" si="22"/>
        <v xml:space="preserve"> </v>
      </c>
      <c r="AX73" s="144" t="str">
        <f t="shared" si="23"/>
        <v xml:space="preserve"> </v>
      </c>
      <c r="AY73" s="152" t="str">
        <f t="shared" si="24"/>
        <v xml:space="preserve"> </v>
      </c>
      <c r="AZ73" s="246" t="str">
        <f t="shared" si="25"/>
        <v/>
      </c>
      <c r="BA73" s="176" t="str">
        <f t="shared" si="26"/>
        <v xml:space="preserve"> </v>
      </c>
      <c r="BB73" s="176" t="str">
        <f t="shared" si="27"/>
        <v xml:space="preserve"> </v>
      </c>
      <c r="BC73" s="195"/>
      <c r="BD73" s="316"/>
      <c r="BE73" s="317"/>
      <c r="BF73" s="318"/>
      <c r="BG73" s="318"/>
      <c r="BH73" s="144" t="str">
        <f t="shared" si="219"/>
        <v xml:space="preserve"> </v>
      </c>
      <c r="BI73" s="176" t="str">
        <f t="shared" si="28"/>
        <v/>
      </c>
      <c r="BJ73" s="144" t="str">
        <f t="shared" si="220"/>
        <v/>
      </c>
      <c r="BK73" s="246" t="str">
        <f t="shared" si="29"/>
        <v/>
      </c>
      <c r="BL73" s="144" t="str">
        <f t="shared" si="221"/>
        <v/>
      </c>
      <c r="BM73" s="246" t="str">
        <f t="shared" si="30"/>
        <v/>
      </c>
      <c r="BN73" s="337" t="str">
        <f t="shared" si="136"/>
        <v/>
      </c>
      <c r="BO73" s="371" t="str">
        <f t="shared" si="137"/>
        <v/>
      </c>
      <c r="BP73" s="328" t="str">
        <f t="shared" si="222"/>
        <v xml:space="preserve"> </v>
      </c>
      <c r="BQ73" s="347" t="str">
        <f t="shared" si="138"/>
        <v xml:space="preserve"> </v>
      </c>
      <c r="BR73" s="353" t="str">
        <f t="shared" si="223"/>
        <v xml:space="preserve"> </v>
      </c>
      <c r="BS73" s="626" t="str">
        <f>IF(L73&gt;0,IF(Calculation!P73="M13",BR73*3.1416*(0.134^2)/(4*144),IF(Calculation!P73="M17",BR73*3.1416*(0.165^2)/(4*144),IF(Calculation!P73="M20",BR73*3.1416*(0.198^2)/(4*144),IF(Calculation!P73="M23",BR73*3.1416*(0.228^2)/(4*144),IF(Calculation!P73="M27",BR73*3.1416*(0.269^2)/(4*144),BR73*3.1416*(0.307^2)/(4*144))))))," ")</f>
        <v xml:space="preserve"> </v>
      </c>
      <c r="BT73" s="353" t="str">
        <f>IF(L73&gt;0,IF(BS73&gt;0,R73/Calculation!BS73,0)," ")</f>
        <v xml:space="preserve"> </v>
      </c>
      <c r="BU73" s="438" t="e">
        <f t="shared" ca="1" si="31"/>
        <v>#VALUE!</v>
      </c>
      <c r="BV73" s="449" t="e">
        <f ca="1">INDEX(INDIRECT(VLOOKUP(LEFT(BO73,7),CLU!$Z$3:$AH$18,2)),GN73,GR73)</f>
        <v>#N/A</v>
      </c>
      <c r="BW73" s="433" t="e">
        <f ca="1">INDEX(INDIRECT(VLOOKUP(LEFT(BO73,7),CLU!$Z$3:$AH$18,3)),GN73,GR73)</f>
        <v>#N/A</v>
      </c>
      <c r="BX73" s="433" t="e">
        <f ca="1">INDEX(INDIRECT(VLOOKUP(LEFT(BO73,7),CLU!$Z$3:$AH$18,4)),GN73,GR73)</f>
        <v>#N/A</v>
      </c>
      <c r="BY73" s="433" t="e">
        <f ca="1">INDEX(INDIRECT(VLOOKUP(LEFT(BO73,7),CLU!$Z$3:$AH$18,9)),((M73-2)*(6-COUNTBLANK(GT73:GY73)))+GJ73)</f>
        <v>#N/A</v>
      </c>
      <c r="BZ73" s="426" t="e">
        <f t="shared" ca="1" si="139"/>
        <v>#N/A</v>
      </c>
      <c r="CA73" s="424" t="e">
        <f t="shared" ca="1" si="140"/>
        <v>#N/A</v>
      </c>
      <c r="CB73" s="429" t="e">
        <f ca="1">INDEX(INDIRECT(VLOOKUP(LEFT(BO73,7),CLU!$Z$3:$AH$18,2)),GN73,GS73)</f>
        <v>#N/A</v>
      </c>
      <c r="CC73" s="342" t="e">
        <f ca="1">INDEX(INDIRECT(VLOOKUP(LEFT(BO73,7),CLU!$Z$3:$AH$18,3)),GN73,GS73)</f>
        <v>#N/A</v>
      </c>
      <c r="CD73" s="342" t="e">
        <f ca="1">INDEX(INDIRECT(VLOOKUP(LEFT(BO73,7),CLU!$Z$3:$AH$18,4)),GN73,GS73)</f>
        <v>#N/A</v>
      </c>
      <c r="CE73" s="426" t="e">
        <f t="shared" ca="1" si="141"/>
        <v>#N/A</v>
      </c>
      <c r="CF73" s="440">
        <f t="shared" si="142"/>
        <v>0</v>
      </c>
      <c r="CG73" s="431" t="e">
        <f ca="1">INDEX(INDIRECT(VLOOKUP(LEFT(BO73,7),CLU!$Z$3:$AH$18,2)),GQ73,GR73)</f>
        <v>#N/A</v>
      </c>
      <c r="CH73" s="431" t="e">
        <f ca="1">INDEX(INDIRECT(VLOOKUP(LEFT(BO73,7),CLU!$Z$3:$AH$18,3)),GQ73,GR73)</f>
        <v>#N/A</v>
      </c>
      <c r="CI73" s="431" t="e">
        <f ca="1">INDEX(INDIRECT(VLOOKUP(LEFT(BO73,7),CLU!$Z$3:$AH$18,4)),GQ73,GR73)</f>
        <v>#N/A</v>
      </c>
      <c r="CJ73" s="448" t="e">
        <f t="shared" ca="1" si="143"/>
        <v>#N/A</v>
      </c>
      <c r="CK73" s="431" t="e">
        <f t="shared" ca="1" si="144"/>
        <v>#N/A</v>
      </c>
      <c r="CL73" s="440" t="e">
        <f t="shared" ca="1" si="145"/>
        <v>#N/A</v>
      </c>
      <c r="CM73" s="431" t="e">
        <f ca="1">INDEX(INDIRECT(VLOOKUP(LEFT(BO73,7),CLU!$Z$3:$AH$18,2)),GQ73,GS73)</f>
        <v>#N/A</v>
      </c>
      <c r="CN73" s="431" t="e">
        <f ca="1">INDEX(INDIRECT(VLOOKUP(LEFT(BO73,7),CLU!$Z$3:$AH$18,3)),GQ73,GS73)</f>
        <v>#N/A</v>
      </c>
      <c r="CO73" s="431" t="e">
        <f ca="1">INDEX(INDIRECT(VLOOKUP(LEFT(BO73,7),CLU!$Z$3:$AH$18,4)),GQ73,GS73)</f>
        <v>#N/A</v>
      </c>
      <c r="CP73" s="431" t="e">
        <f t="shared" ca="1" si="146"/>
        <v>#N/A</v>
      </c>
      <c r="CQ73" s="440">
        <f t="shared" si="147"/>
        <v>0</v>
      </c>
      <c r="CR73" s="51" t="e">
        <f t="shared" ca="1" si="148"/>
        <v>#N/A</v>
      </c>
      <c r="CS73" s="439" t="e">
        <f t="shared" ca="1" si="149"/>
        <v>#VALUE!</v>
      </c>
      <c r="CT73" s="51" t="e">
        <f t="shared" ca="1" si="150"/>
        <v>#VALUE!</v>
      </c>
      <c r="CU73" s="10"/>
      <c r="CV73" s="51" t="e">
        <f t="shared" ca="1" si="34"/>
        <v>#VALUE!</v>
      </c>
      <c r="CW73" s="51">
        <f t="shared" si="151"/>
        <v>0</v>
      </c>
      <c r="CX73" s="439" t="e">
        <f t="shared" ca="1" si="152"/>
        <v>#VALUE!</v>
      </c>
      <c r="CY73" s="51" t="e">
        <f t="shared" ca="1" si="153"/>
        <v>#VALUE!</v>
      </c>
      <c r="CZ73" s="10"/>
      <c r="DA73" s="51" t="e">
        <f t="shared" ca="1" si="154"/>
        <v>#VALUE!</v>
      </c>
      <c r="DB73" s="347" t="e">
        <f ca="1">INDEX(INDIRECT(VLOOKUP(LEFT(BO73,7),CLU!$Z$3:$AI$18,10)),((M73-2)*(6-COUNTBLANK(GT73:GY73)))+GJ73)*LI73</f>
        <v>#N/A</v>
      </c>
      <c r="DC73" s="347" t="str">
        <f>IF(L73&gt;0,((R73/Worksheet!$I$15)/DB73)^2," ")</f>
        <v xml:space="preserve"> </v>
      </c>
      <c r="DD73" s="602" t="str">
        <f t="shared" si="224"/>
        <v xml:space="preserve"> </v>
      </c>
      <c r="DE73" s="347" t="str">
        <f t="shared" si="35"/>
        <v xml:space="preserve"> </v>
      </c>
      <c r="DF73" s="356" t="e">
        <f ca="1">INDEX(INDIRECT(VLOOKUP(LEFT(BO73,7),CLU!$Z$3:$AH$18,8)),((M73-2)*(6-COUNTBLANK(GT73:GY73)))+GJ73)</f>
        <v>#N/A</v>
      </c>
      <c r="DG73" s="347" t="str">
        <f t="shared" si="36"/>
        <v xml:space="preserve"> </v>
      </c>
      <c r="DH73" s="357" t="str">
        <f t="shared" si="37"/>
        <v xml:space="preserve"> </v>
      </c>
      <c r="DI73" s="355" t="str">
        <f t="shared" si="38"/>
        <v xml:space="preserve"> </v>
      </c>
      <c r="DJ73" s="245" t="e">
        <f ca="1">INDEX(INDIRECT(VLOOKUP(LEFT(BO73,7),CLU!$Z$3:$AH$18,5)),GL73,GK73)</f>
        <v>#N/A</v>
      </c>
      <c r="DK73" s="245" t="e">
        <f ca="1">INDEX(INDIRECT(VLOOKUP(LEFT(BO73,7),CLU!$Z$3:$AH$18,6)),GL73,GK73)</f>
        <v>#N/A</v>
      </c>
      <c r="DL73" s="355">
        <f>(Calculation!R73*0.69143*(Calculation!$BQ$8-Calculation!$F$8))*$S$14</f>
        <v>0</v>
      </c>
      <c r="DM73" s="359" t="e">
        <f t="shared" si="160"/>
        <v>#VALUE!</v>
      </c>
      <c r="DN73" s="611">
        <f t="shared" si="161"/>
        <v>0</v>
      </c>
      <c r="DO73" s="359">
        <f t="shared" si="162"/>
        <v>100</v>
      </c>
      <c r="DP73" s="359">
        <f t="shared" si="163"/>
        <v>0</v>
      </c>
      <c r="DQ73" s="360"/>
      <c r="DR73" s="245" t="e">
        <f ca="1">INDEX(INDIRECT(VLOOKUP(LEFT(BO73,7),CLU!$Z$3:$AH$18,7)),M73-1,1)</f>
        <v>#N/A</v>
      </c>
      <c r="DS73" s="245" t="e">
        <f ca="1">INDEX(INDIRECT(VLOOKUP(LEFT(BO73,7),CLU!$Z$3:$AH$18,7)),M73-1,2)</f>
        <v>#N/A</v>
      </c>
      <c r="DT73" s="245" t="e">
        <f ca="1">INDEX(INDIRECT(VLOOKUP(LEFT(BO73,7),CLU!$Z$3:$AH$18,7)),M73-1,3)</f>
        <v>#N/A</v>
      </c>
      <c r="DU73" s="245" t="e">
        <f ca="1">INDEX(INDIRECT(VLOOKUP(LEFT(BO73,7),CLU!$Z$3:$AH$18,7)),M73-1,4)</f>
        <v>#N/A</v>
      </c>
      <c r="DV73" s="361" t="e">
        <f ca="1">INDEX(INDIRECT(VLOOKUP(LEFT(BO73,7),CLU!$Z$3:$AH$18,7)),M73-1,4+LEFT(DZ73,1)*0.5)</f>
        <v>#N/A</v>
      </c>
      <c r="DW73" s="245" t="e">
        <f ca="1">INDEX(INDIRECT(VLOOKUP(LEFT(BO73,7),CLU!$Z$3:$AH$18,7)),M73-1,8)</f>
        <v>#N/A</v>
      </c>
      <c r="DX73" s="361" t="str">
        <f t="shared" si="39"/>
        <v xml:space="preserve"> </v>
      </c>
      <c r="DY73" s="361" t="str">
        <f t="shared" si="40"/>
        <v xml:space="preserve"> </v>
      </c>
      <c r="DZ73" s="361" t="str">
        <f t="shared" si="41"/>
        <v xml:space="preserve"> </v>
      </c>
      <c r="EA73" s="362" t="str">
        <f t="shared" si="42"/>
        <v xml:space="preserve"> </v>
      </c>
      <c r="EB73" s="624" t="str">
        <f t="shared" si="168"/>
        <v xml:space="preserve"> </v>
      </c>
      <c r="EC73" s="361" t="e">
        <f ca="1">INDEX(INDIRECT(VLOOKUP(LEFT(BO73,7),CLU!$Z$3:$AH$18,7)),M73-1,4+LEFT(DZ73,1)*0.5)</f>
        <v>#N/A</v>
      </c>
      <c r="ED73" s="362" t="str">
        <f t="shared" si="43"/>
        <v xml:space="preserve"> </v>
      </c>
      <c r="EE73" s="361" t="str">
        <f t="shared" si="44"/>
        <v xml:space="preserve"> </v>
      </c>
      <c r="EF73" s="362" t="str">
        <f>IF(L73&gt;0,IF(BR73&gt;0,IF(EE73="2P",IF(Calculation!DZ73="2P",IF(Calculation!DS73=13.75,IF(Calculation!DR73=13,Worksheet!$BD$43,IF(Calculation!DR73=37,Worksheet!$BD$44,Worksheet!$BD$45)),IF(Calculation!DS73=10,IF(Calculation!DR73=18,Worksheet!$BD$29,IF(Calculation!DR73=30,Worksheet!$BD$30,IF(Calculation!DR73=42,Worksheet!$BD$31,IF(Calculation!DR73=54,Worksheet!$BD$32,IF(Calculation!DR73=66,Worksheet!$BD$33,IF(Calculation!DR73=78,Worksheet!$BD$34,IF(Calculation!DR73=90,Worksheet!$BD$35,IF(Calculation!DR73=102,Worksheet!$BD$36,Worksheet!$BD$37)))))))),IF(Calculation!DS73=12.5,IF(Calculation!DR73=18,Worksheet!$BD$38,IF(Calculation!DR73=Worksheet!$BD$39,IF(Calculation!DR73=42,Worksheet!$BD$40,IF(Calculation!DR73=54,Worksheet!$BD$41,Worksheet!$BD$42)))),IF(Calculation!DR73=18,Worksheet!$BD$11,IF(Calculation!DR73=30,Worksheet!$BD$12,IF(Calculation!DR73=42,Worksheet!$BD$13,IF(Calculation!DR73=54,Worksheet!$BD$14,IF(Calculation!DR73=66,Worksheet!$BD$15,IF(Calculation!DR73=78,Worksheet!$BD$16,IF(Calculation!DR73=90,Worksheet!$BD$17,IF(Calculation!DR73=102,Worksheet!$BD$18,Worksheet!$BD$19))))))))))),IF(Calculation!DS73=13.75,IF(Calculation!DR73=13,Worksheet!$BD$78,IF(Calculation!DR73=37,Worksheet!$BD$79,Worksheet!$BD$80)),IF(Calculation!DS73=10,IF(Calculation!DR73=18,Worksheet!$BD$64,IF(Calculation!DR73=30,Worksheet!$BD$65,IF(Calculation!DR73=42,Worksheet!$BD$66,IF(Calculation!DR73=54,Worksheet!$BD$68,IF(Calculation!DR73=66,Worksheet!$BD$68,IF(Calculation!DR73=78,Worksheet!$BD$69,IF(Calculation!DR73=90,Worksheet!$BD$70,IF(Calculation!DR73=102,Worksheet!$BD$71,Worksheet!$BD$72)))))))),IF(Calculation!DS73=12.5,IF(Calculation!DR73=18,Worksheet!$BD$73,IF(Calculation!DR73=Worksheet!$BD$74,IF(Calculation!DR73=42,Worksheet!$BD$75,IF(Calculation!DR73=54,Worksheet!$BD$76,Worksheet!$BD$77)))),IF(Calculation!DR73=18,Worksheet!$BD$55,IF(Calculation!DR73=30,Worksheet!$BD$56,IF(Calculation!DR73=42,Worksheet!$BD$57,IF(Calculation!DR73=54,Worksheet!$BD$58,IF(Calculation!DR73=66,Worksheet!$BD$59,IF(Calculation!DR73=78,Worksheet!$BD$60,IF(Calculation!DR73=90,Worksheet!$BD$61,IF(Calculation!DR73=102,Worksheet!$BD$62,Worksheet!$BD$63)))))))))))),5),0)," ")</f>
        <v xml:space="preserve"> </v>
      </c>
      <c r="EG73" s="361" t="str">
        <f t="shared" si="45"/>
        <v xml:space="preserve"> </v>
      </c>
      <c r="EH73" s="361" t="e">
        <f ca="1">INDEX(INDIRECT(VLOOKUP(LEFT(BO73,7),CLU!$Z$3:$AH$18,7)),M73-1,3+LEFT(DZ73,1))</f>
        <v>#N/A</v>
      </c>
      <c r="EI73" s="362" t="str">
        <f t="shared" si="46"/>
        <v xml:space="preserve"> </v>
      </c>
      <c r="EJ73" s="363" t="str">
        <f t="shared" si="47"/>
        <v xml:space="preserve"> </v>
      </c>
      <c r="EK73" s="363" t="str">
        <f t="shared" si="48"/>
        <v xml:space="preserve"> </v>
      </c>
      <c r="EL73" s="363" t="str">
        <f t="shared" si="49"/>
        <v xml:space="preserve"> </v>
      </c>
      <c r="EM73" s="362" t="str">
        <f>IF(L73&gt;0,IF(BR73&gt;0,(Calculation!T73/ED73)^2,0)," ")</f>
        <v xml:space="preserve"> </v>
      </c>
      <c r="EN73" s="362" t="str">
        <f>IF(L73&gt;0,IF(O73="2 Pipe (Cooling)","N/A",IF(BR73&gt;0,(Calculation!U73/EI73)^2,0))," ")</f>
        <v xml:space="preserve"> </v>
      </c>
      <c r="EO73" s="361" t="str">
        <f t="shared" si="50"/>
        <v/>
      </c>
      <c r="EP73" s="361" t="str">
        <f t="shared" si="51"/>
        <v/>
      </c>
      <c r="EQ73" s="361" t="str">
        <f t="shared" si="52"/>
        <v/>
      </c>
      <c r="ER73" s="361" t="str">
        <f t="shared" si="53"/>
        <v/>
      </c>
      <c r="ES73" s="361" t="str">
        <f t="shared" si="54"/>
        <v/>
      </c>
      <c r="ET73" s="361" t="str">
        <f t="shared" si="55"/>
        <v/>
      </c>
      <c r="EU73" s="361" t="str">
        <f t="shared" si="56"/>
        <v/>
      </c>
      <c r="EV73" s="361" t="str">
        <f t="shared" si="57"/>
        <v/>
      </c>
      <c r="EW73" s="361" t="str">
        <f t="shared" si="58"/>
        <v/>
      </c>
      <c r="EX73" s="361" t="str">
        <f t="shared" si="169"/>
        <v>1 slot, 1 way</v>
      </c>
      <c r="EY73" s="361" t="str">
        <f t="shared" si="170"/>
        <v xml:space="preserve"> </v>
      </c>
      <c r="EZ73" s="361" t="str">
        <f t="shared" si="171"/>
        <v xml:space="preserve"> </v>
      </c>
      <c r="FA73" s="361" t="str">
        <f t="shared" si="172"/>
        <v xml:space="preserve"> </v>
      </c>
      <c r="FB73" s="361" t="str">
        <f t="shared" si="173"/>
        <v xml:space="preserve"> </v>
      </c>
      <c r="FC73" s="361"/>
      <c r="FD73" s="361" t="str">
        <f>IF(J73&gt;0,IF(Calculation!R73&lt;=70,4,IF(Calculation!R73&lt;=110,5,IF(Calculation!R73&lt;=160,6,IF(Calculation!R73&lt;=300,8,"10 EO")))),"")</f>
        <v/>
      </c>
      <c r="FE73" s="361" t="str">
        <f t="shared" si="174"/>
        <v/>
      </c>
      <c r="FF73" s="361" t="str">
        <f t="shared" si="175"/>
        <v/>
      </c>
      <c r="FG73" s="361" t="e">
        <f t="shared" si="60"/>
        <v>#N/A</v>
      </c>
      <c r="FH73" s="361">
        <f t="shared" si="61"/>
        <v>0</v>
      </c>
      <c r="FI73" s="361" t="e">
        <f t="shared" si="62"/>
        <v>#DIV/0!</v>
      </c>
      <c r="FJ73" s="361"/>
      <c r="FK73" s="356" t="e">
        <f t="shared" si="63"/>
        <v>#VALUE!</v>
      </c>
      <c r="FL73" s="361"/>
      <c r="FM73" s="361"/>
      <c r="FN73" s="362" t="str">
        <f t="shared" si="176"/>
        <v xml:space="preserve"> </v>
      </c>
      <c r="FO73" s="362" t="str">
        <f t="shared" si="177"/>
        <v xml:space="preserve"> </v>
      </c>
      <c r="FP73" s="362">
        <f t="shared" si="178"/>
        <v>0</v>
      </c>
      <c r="FQ73" s="361">
        <f t="shared" si="64"/>
        <v>0</v>
      </c>
      <c r="FR73" s="362" t="str">
        <f>IF(L73&gt;0,IF(J73="CBAL2",Worksheet!$P$67,IF(J73="CBE2-24",Worksheet!$Q$67,IF(J73="CBAM",Worksheet!$R$67,IF(J73="CBLV",Worksheet!$S$67,IF(J73="CBAB",Worksheet!$U$67,IF(J73="CBAW",Worksheet!$X$67,IF(J73="CBE2-12",Worksheet!$Y$67,IF(J73="CBAL2",Worksheet!$Z$67,"N/A"))))))))," ")</f>
        <v xml:space="preserve"> </v>
      </c>
      <c r="FS73" s="362" t="str">
        <f>IF(L73&gt;0,IF(J73="CBAL2",Worksheet!$P$68,IF(J73="CBE2-24",Worksheet!$Q$68,IF(J73="CBAM",Worksheet!$R$68,IF(J73="CBLV",Worksheet!$S$68,IF(J73="CBAB",Worksheet!$U$68,IF(J73="CBAW",Worksheet!$X$68,IF(J73="CBE2-12",Worksheet!$Y$68,IF(J73="CBAL2",Worksheet!$Z$68,"N/A"))))))))," ")</f>
        <v xml:space="preserve"> </v>
      </c>
      <c r="FT73" s="362" t="str">
        <f>IF(L73&gt;0,IF(J73="CBAL2",Worksheet!$P$69,IF(J73="CBE2-24",Worksheet!$Q$69,IF(J73="CBAM",Worksheet!$R$69,IF(J73="CBLV",Worksheet!$S$69,IF(J73="CBAB",Worksheet!$U$69,IF(J73="CBAW",Worksheet!$X$69,IF(J73="CBE2-12",Worksheet!$Y$69,IF(J73="CBAL2",Worksheet!$Z$69,"N/A"))))))))," ")</f>
        <v xml:space="preserve"> </v>
      </c>
      <c r="FU73" s="361" t="str">
        <f t="shared" si="179"/>
        <v xml:space="preserve"> </v>
      </c>
      <c r="FV73" s="362" t="str">
        <f t="shared" si="180"/>
        <v xml:space="preserve"> </v>
      </c>
      <c r="FW73" s="362" t="str">
        <f t="shared" si="181"/>
        <v xml:space="preserve"> </v>
      </c>
      <c r="FX73" s="362" t="str">
        <f t="shared" si="182"/>
        <v xml:space="preserve"> </v>
      </c>
      <c r="FY73" s="355" t="str">
        <f t="shared" si="183"/>
        <v xml:space="preserve"> </v>
      </c>
      <c r="FZ73" s="361" t="str">
        <f t="shared" si="184"/>
        <v xml:space="preserve"> </v>
      </c>
      <c r="GA73" s="347" t="str">
        <f t="shared" si="185"/>
        <v xml:space="preserve"> </v>
      </c>
      <c r="GB73" s="355" t="str">
        <f t="shared" si="186"/>
        <v xml:space="preserve"> </v>
      </c>
      <c r="GC73" s="328" t="str">
        <f t="shared" si="187"/>
        <v xml:space="preserve"> </v>
      </c>
      <c r="GD73" s="361" t="str">
        <f t="shared" si="188"/>
        <v xml:space="preserve"> </v>
      </c>
      <c r="GE73" s="347" t="str">
        <f t="shared" si="189"/>
        <v xml:space="preserve"> </v>
      </c>
      <c r="GF73" s="361" t="str">
        <f t="shared" si="190"/>
        <v xml:space="preserve"> </v>
      </c>
      <c r="GG73" s="347" t="str">
        <f t="shared" si="191"/>
        <v xml:space="preserve"> </v>
      </c>
      <c r="GH73" s="364">
        <f t="shared" si="78"/>
        <v>0</v>
      </c>
      <c r="GI73" s="362">
        <f t="shared" si="192"/>
        <v>2</v>
      </c>
      <c r="GJ73" s="433" t="e">
        <f>IF(6-COUNTBLANK(GT73:GY73)=4,MATCH(MID(BO73,9,3),CLU!$H$16:$K$16),MATCH(MID(BO73,9,3),CLU!$H$13:$M$13))</f>
        <v>#N/A</v>
      </c>
      <c r="GK73" s="433" t="e">
        <f>HLOOKUP(VALUE(BP73),CLU!$H$9:$M$10,2)</f>
        <v>#VALUE!</v>
      </c>
      <c r="GL73" s="433" t="e">
        <f ca="1">MATCH(BU73,CLU!$H$2:$V$2,1)</f>
        <v>#VALUE!</v>
      </c>
      <c r="GM73" s="433" t="e">
        <f t="shared" ca="1" si="193"/>
        <v>#VALUE!</v>
      </c>
      <c r="GN73" s="433" t="e">
        <f t="shared" ca="1" si="194"/>
        <v>#VALUE!</v>
      </c>
      <c r="GO73" s="433" t="e">
        <f t="shared" ca="1" si="195"/>
        <v>#VALUE!</v>
      </c>
      <c r="GP73" s="433" t="e">
        <f t="shared" ca="1" si="196"/>
        <v>#VALUE!</v>
      </c>
      <c r="GQ73" s="433" t="e">
        <f t="shared" ca="1" si="197"/>
        <v>#VALUE!</v>
      </c>
      <c r="GR73" s="433" t="e">
        <f ca="1">MATCH(T73,INDIRECT(VLOOKUP(CONCATENATE(LEFT(BO73,7),"-",MID(BO73,13,1)),CLU!$P$3:$Q$16,2)),1)</f>
        <v>#N/A</v>
      </c>
      <c r="GS73" s="433" t="e">
        <f ca="1">MATCH(U73,INDIRECT(VLOOKUP(CONCATENATE(LEFT(BO73,7),"-",MID(BO73,13,1)),CLU!$P$3:$Q$16,2)),1)</f>
        <v>#N/A</v>
      </c>
      <c r="GT73" s="347" t="s">
        <v>512</v>
      </c>
      <c r="GU73" s="97" t="s">
        <v>513</v>
      </c>
      <c r="GV73" s="97" t="str">
        <f t="shared" si="198"/>
        <v>M23</v>
      </c>
      <c r="GW73" s="97" t="str">
        <f t="shared" si="199"/>
        <v>M31</v>
      </c>
      <c r="GX73" s="97" t="str">
        <f t="shared" si="200"/>
        <v/>
      </c>
      <c r="GY73" s="97" t="str">
        <f t="shared" si="201"/>
        <v/>
      </c>
      <c r="GZ73" s="481"/>
      <c r="HA73" s="288"/>
      <c r="HB73" s="240"/>
      <c r="HC73" s="240"/>
      <c r="HD73" s="240"/>
      <c r="HE73" s="240"/>
      <c r="HF73" s="240"/>
      <c r="HG73" s="240"/>
      <c r="HH73" s="240"/>
      <c r="HI73" s="240"/>
      <c r="HJ73" s="240"/>
      <c r="HK73" s="240"/>
      <c r="HL73" s="240"/>
      <c r="HM73" s="240"/>
      <c r="HN73" s="240"/>
      <c r="HO73" s="240"/>
      <c r="HP73" s="240"/>
      <c r="HQ73" s="240"/>
      <c r="HR73" s="240"/>
      <c r="HS73" s="240"/>
      <c r="HT73" s="240"/>
      <c r="HU73" s="240"/>
      <c r="HV73" s="245"/>
      <c r="HW73" s="245" t="b">
        <v>1</v>
      </c>
      <c r="HX73" s="245" t="str">
        <f t="shared" si="79"/>
        <v/>
      </c>
      <c r="HY73" s="245" t="e">
        <f t="shared" si="80"/>
        <v>#DIV/0!</v>
      </c>
      <c r="HZ73" s="245" t="e">
        <f t="shared" si="81"/>
        <v>#DIV/0!</v>
      </c>
      <c r="IA73" s="245">
        <f t="shared" si="82"/>
        <v>0</v>
      </c>
      <c r="IB73" s="245"/>
      <c r="IC73" t="b">
        <f t="shared" si="83"/>
        <v>1</v>
      </c>
      <c r="ID73" s="245" t="b">
        <f t="shared" si="84"/>
        <v>1</v>
      </c>
      <c r="IE73" s="245" t="b">
        <f t="shared" si="85"/>
        <v>1</v>
      </c>
      <c r="IF73" s="245" t="b">
        <f t="shared" si="86"/>
        <v>0</v>
      </c>
      <c r="IG73" s="245" t="b">
        <f t="shared" si="87"/>
        <v>1</v>
      </c>
      <c r="IH73" s="245" t="b">
        <f t="shared" si="88"/>
        <v>1</v>
      </c>
      <c r="II73" s="245">
        <f t="shared" si="202"/>
        <v>0</v>
      </c>
      <c r="IJ73" s="245" t="e">
        <f t="shared" si="89"/>
        <v>#VALUE!</v>
      </c>
      <c r="IK73" s="245" t="e">
        <f t="shared" si="90"/>
        <v>#VALUE!</v>
      </c>
      <c r="IL73" s="245"/>
      <c r="IM73" s="245" t="e">
        <f t="shared" si="203"/>
        <v>#N/A</v>
      </c>
      <c r="IN73" s="245" t="e">
        <f t="shared" si="204"/>
        <v>#N/A</v>
      </c>
      <c r="IO73" s="245"/>
      <c r="IP73" s="245"/>
      <c r="IQ73" s="245" t="str">
        <f t="shared" si="91"/>
        <v/>
      </c>
      <c r="IR73" s="245" t="str">
        <f>IF(J73="","",VLOOKUP(J73,Worksheet!$R$4:$T$14,2))</f>
        <v/>
      </c>
      <c r="IS73" s="245"/>
      <c r="IT73" s="245">
        <f t="shared" si="92"/>
        <v>0</v>
      </c>
      <c r="IU73" s="245">
        <f t="shared" si="93"/>
        <v>0</v>
      </c>
      <c r="IV73" s="245">
        <f t="shared" si="94"/>
        <v>0</v>
      </c>
      <c r="IW73" s="245">
        <f t="shared" si="95"/>
        <v>0</v>
      </c>
      <c r="IX73" s="245">
        <f t="shared" si="205"/>
        <v>0</v>
      </c>
      <c r="IY73" s="245">
        <f t="shared" si="96"/>
        <v>0</v>
      </c>
      <c r="IZ73" s="245">
        <f t="shared" si="97"/>
        <v>0</v>
      </c>
      <c r="JA73">
        <f t="shared" si="98"/>
        <v>0</v>
      </c>
      <c r="JB73">
        <f t="shared" si="206"/>
        <v>0</v>
      </c>
      <c r="JC73">
        <f t="shared" si="99"/>
        <v>0</v>
      </c>
      <c r="JD73">
        <f t="shared" si="100"/>
        <v>0</v>
      </c>
      <c r="JE73">
        <f t="shared" si="101"/>
        <v>0</v>
      </c>
      <c r="JF73">
        <f t="shared" si="102"/>
        <v>0</v>
      </c>
      <c r="JG73">
        <f t="shared" si="103"/>
        <v>0</v>
      </c>
      <c r="JH73">
        <f t="shared" si="104"/>
        <v>0</v>
      </c>
      <c r="JI73">
        <f t="shared" si="105"/>
        <v>0</v>
      </c>
      <c r="JJ73" s="447">
        <f t="shared" si="106"/>
        <v>0</v>
      </c>
      <c r="JK73" s="447">
        <f t="shared" si="107"/>
        <v>0</v>
      </c>
      <c r="JL73">
        <f t="shared" si="108"/>
        <v>0</v>
      </c>
      <c r="JM73" s="245" t="str">
        <f>IFERROR(VLOOKUP(MATCH(BN73,#REF!,0),#REF!,7),"")</f>
        <v/>
      </c>
      <c r="JN73" t="e">
        <f>HLOOKUP(LEFT(BO73,7),Discharge_Area,MATCH(JO73,LookUps!$B$130:$B$149,1)+2)</f>
        <v>#N/A</v>
      </c>
      <c r="JO73" t="str">
        <f t="shared" si="109"/>
        <v>- S</v>
      </c>
      <c r="JP73" t="e">
        <f>HLOOKUP(LEFT(BO73,7),Discharge_Area,MATCH(JO73,LookUps!$B$130:$B$149,1)+2)</f>
        <v>#N/A</v>
      </c>
      <c r="JQ73" t="e">
        <f t="shared" si="110"/>
        <v>#N/A</v>
      </c>
      <c r="JR73" t="e">
        <f t="shared" si="111"/>
        <v>#N/A</v>
      </c>
      <c r="JS73" t="e">
        <f t="shared" si="112"/>
        <v>#N/A</v>
      </c>
      <c r="JT73" s="532" t="str">
        <f t="shared" si="113"/>
        <v xml:space="preserve"> </v>
      </c>
      <c r="JU73" s="532" t="str">
        <f t="shared" si="114"/>
        <v xml:space="preserve"> </v>
      </c>
      <c r="JV73" s="533" t="str">
        <f t="shared" si="115"/>
        <v xml:space="preserve"> </v>
      </c>
      <c r="JW73" s="534">
        <f t="shared" si="116"/>
        <v>0</v>
      </c>
      <c r="JX73" s="535" t="str">
        <f t="shared" si="207"/>
        <v xml:space="preserve"> </v>
      </c>
      <c r="JY73" s="535" t="str">
        <f t="shared" si="208"/>
        <v xml:space="preserve"> </v>
      </c>
      <c r="JZ73" s="535" t="str">
        <f t="shared" si="209"/>
        <v xml:space="preserve"> </v>
      </c>
      <c r="KA73" s="536" t="str">
        <f t="shared" si="117"/>
        <v xml:space="preserve"> </v>
      </c>
      <c r="KB73" s="535" t="e">
        <f t="shared" si="210"/>
        <v>#VALUE!</v>
      </c>
      <c r="KC73" s="535" t="str">
        <f t="shared" si="118"/>
        <v/>
      </c>
      <c r="KD73" s="537" t="str">
        <f t="shared" si="211"/>
        <v xml:space="preserve"> </v>
      </c>
      <c r="KE73" s="537" t="str">
        <f t="shared" si="212"/>
        <v xml:space="preserve"> </v>
      </c>
      <c r="KF73" s="534">
        <f t="shared" si="119"/>
        <v>0</v>
      </c>
      <c r="KG73" s="535" t="str">
        <f t="shared" si="120"/>
        <v xml:space="preserve"> </v>
      </c>
      <c r="KH73" s="535" t="str">
        <f t="shared" si="121"/>
        <v xml:space="preserve"> </v>
      </c>
      <c r="KI73" s="535" t="str">
        <f t="shared" si="122"/>
        <v xml:space="preserve"> </v>
      </c>
      <c r="KJ73" s="536" t="str">
        <f t="shared" si="123"/>
        <v xml:space="preserve"> </v>
      </c>
      <c r="KK73" s="535" t="str">
        <f t="shared" si="213"/>
        <v xml:space="preserve"> </v>
      </c>
      <c r="KL73" s="535" t="str">
        <f t="shared" si="214"/>
        <v xml:space="preserve"> </v>
      </c>
      <c r="KM73" s="537" t="str">
        <f t="shared" si="124"/>
        <v xml:space="preserve"> </v>
      </c>
      <c r="KN73" s="537" t="str">
        <f t="shared" si="215"/>
        <v xml:space="preserve"> </v>
      </c>
      <c r="KP73">
        <f t="shared" si="125"/>
        <v>0</v>
      </c>
      <c r="LA73" t="e">
        <f t="shared" si="126"/>
        <v>#VALUE!</v>
      </c>
      <c r="LB73" t="e">
        <f t="shared" si="127"/>
        <v>#VALUE!</v>
      </c>
      <c r="LC73" t="e">
        <f t="shared" si="128"/>
        <v>#VALUE!</v>
      </c>
      <c r="LD73" t="e">
        <f t="shared" si="129"/>
        <v>#VALUE!</v>
      </c>
      <c r="LE73" t="e">
        <f t="shared" si="216"/>
        <v>#VALUE!</v>
      </c>
      <c r="LF73">
        <f t="shared" si="130"/>
        <v>0</v>
      </c>
      <c r="LG73" t="e">
        <f t="shared" si="217"/>
        <v>#VALUE!</v>
      </c>
      <c r="LH73" t="str">
        <f t="shared" si="131"/>
        <v xml:space="preserve"> </v>
      </c>
      <c r="LI73">
        <f t="shared" si="218"/>
        <v>1</v>
      </c>
    </row>
    <row r="74" spans="2:321" ht="15" customHeight="1">
      <c r="B74" s="311"/>
      <c r="C74" s="311"/>
      <c r="D74" s="312"/>
      <c r="E74" s="311"/>
      <c r="F74" s="312"/>
      <c r="G74" s="311"/>
      <c r="H74" s="311"/>
      <c r="I74" s="37"/>
      <c r="J74" s="311"/>
      <c r="K74" s="305" t="str">
        <f t="shared" si="132"/>
        <v/>
      </c>
      <c r="L74" s="313"/>
      <c r="M74" s="312"/>
      <c r="N74" s="311"/>
      <c r="O74" s="312"/>
      <c r="P74" s="311"/>
      <c r="Q74" s="305" t="str">
        <f t="shared" si="133"/>
        <v/>
      </c>
      <c r="R74" s="314"/>
      <c r="S74" s="450" t="str">
        <f t="shared" si="0"/>
        <v/>
      </c>
      <c r="T74" s="315"/>
      <c r="U74" s="315"/>
      <c r="W74" s="149" t="str">
        <f t="shared" si="1"/>
        <v xml:space="preserve"> </v>
      </c>
      <c r="X74" s="243" t="str">
        <f t="shared" si="2"/>
        <v xml:space="preserve"> </v>
      </c>
      <c r="Y74" s="150" t="str">
        <f t="shared" si="3"/>
        <v/>
      </c>
      <c r="Z74" s="149" t="str">
        <f t="shared" si="4"/>
        <v xml:space="preserve"> </v>
      </c>
      <c r="AA74" s="98" t="str">
        <f t="shared" si="5"/>
        <v xml:space="preserve"> </v>
      </c>
      <c r="AB74" s="153" t="str">
        <f t="shared" si="6"/>
        <v xml:space="preserve"> </v>
      </c>
      <c r="AC74" s="153" t="str">
        <f t="shared" si="7"/>
        <v xml:space="preserve"> </v>
      </c>
      <c r="AD74" s="148" t="str">
        <f t="shared" si="8"/>
        <v/>
      </c>
      <c r="AE74" s="149" t="str">
        <f t="shared" si="9"/>
        <v/>
      </c>
      <c r="AF74" s="151" t="str">
        <f t="shared" si="10"/>
        <v xml:space="preserve"> </v>
      </c>
      <c r="AG74" s="153" t="str">
        <f t="shared" si="11"/>
        <v xml:space="preserve"> </v>
      </c>
      <c r="AH74" s="98" t="str">
        <f t="shared" si="12"/>
        <v xml:space="preserve"> </v>
      </c>
      <c r="AI74" s="149" t="str">
        <f t="shared" si="13"/>
        <v xml:space="preserve"> </v>
      </c>
      <c r="AK74" s="144" t="str">
        <f t="shared" si="14"/>
        <v xml:space="preserve"> </v>
      </c>
      <c r="AL74" s="144"/>
      <c r="AM74" s="243" t="str">
        <f t="shared" si="15"/>
        <v xml:space="preserve"> </v>
      </c>
      <c r="AN74" s="149" t="str">
        <f t="shared" si="134"/>
        <v xml:space="preserve"> </v>
      </c>
      <c r="AO74" s="144" t="str">
        <f>IF(JB74&gt;0,IF(GI74=10,-R74*1.085*(Calculation!$F$6-Calculation!$F$13)*$S$14," "),"")</f>
        <v/>
      </c>
      <c r="AP74" s="144" t="str">
        <f t="shared" si="16"/>
        <v/>
      </c>
      <c r="AQ74" s="56" t="str">
        <f t="shared" si="17"/>
        <v/>
      </c>
      <c r="AR74" s="144" t="str">
        <f t="shared" si="18"/>
        <v/>
      </c>
      <c r="AS74" s="176" t="str">
        <f t="shared" si="19"/>
        <v/>
      </c>
      <c r="AT74" s="176" t="str">
        <f t="shared" si="135"/>
        <v xml:space="preserve"> </v>
      </c>
      <c r="AU74" s="176" t="str">
        <f t="shared" si="20"/>
        <v/>
      </c>
      <c r="AV74" s="177" t="str">
        <f t="shared" si="21"/>
        <v xml:space="preserve"> </v>
      </c>
      <c r="AW74" s="144" t="str">
        <f t="shared" si="22"/>
        <v xml:space="preserve"> </v>
      </c>
      <c r="AX74" s="144" t="str">
        <f t="shared" si="23"/>
        <v xml:space="preserve"> </v>
      </c>
      <c r="AY74" s="152" t="str">
        <f t="shared" si="24"/>
        <v xml:space="preserve"> </v>
      </c>
      <c r="AZ74" s="246" t="str">
        <f t="shared" si="25"/>
        <v/>
      </c>
      <c r="BA74" s="176" t="str">
        <f t="shared" si="26"/>
        <v xml:space="preserve"> </v>
      </c>
      <c r="BB74" s="176" t="str">
        <f t="shared" si="27"/>
        <v xml:space="preserve"> </v>
      </c>
      <c r="BC74" s="195"/>
      <c r="BD74" s="316"/>
      <c r="BE74" s="317"/>
      <c r="BF74" s="318"/>
      <c r="BG74" s="318"/>
      <c r="BH74" s="144" t="str">
        <f t="shared" si="219"/>
        <v xml:space="preserve"> </v>
      </c>
      <c r="BI74" s="176" t="str">
        <f t="shared" si="28"/>
        <v/>
      </c>
      <c r="BJ74" s="144" t="str">
        <f t="shared" si="220"/>
        <v/>
      </c>
      <c r="BK74" s="246" t="str">
        <f t="shared" si="29"/>
        <v/>
      </c>
      <c r="BL74" s="144" t="str">
        <f t="shared" si="221"/>
        <v/>
      </c>
      <c r="BM74" s="246" t="str">
        <f t="shared" si="30"/>
        <v/>
      </c>
      <c r="BN74" s="337" t="str">
        <f t="shared" si="136"/>
        <v/>
      </c>
      <c r="BO74" s="371" t="str">
        <f t="shared" si="137"/>
        <v/>
      </c>
      <c r="BP74" s="328" t="str">
        <f t="shared" si="222"/>
        <v xml:space="preserve"> </v>
      </c>
      <c r="BQ74" s="347" t="str">
        <f t="shared" si="138"/>
        <v xml:space="preserve"> </v>
      </c>
      <c r="BR74" s="353" t="str">
        <f t="shared" si="223"/>
        <v xml:space="preserve"> </v>
      </c>
      <c r="BS74" s="626" t="str">
        <f>IF(L74&gt;0,IF(Calculation!P74="M13",BR74*3.1416*(0.134^2)/(4*144),IF(Calculation!P74="M17",BR74*3.1416*(0.165^2)/(4*144),IF(Calculation!P74="M20",BR74*3.1416*(0.198^2)/(4*144),IF(Calculation!P74="M23",BR74*3.1416*(0.228^2)/(4*144),IF(Calculation!P74="M27",BR74*3.1416*(0.269^2)/(4*144),BR74*3.1416*(0.307^2)/(4*144))))))," ")</f>
        <v xml:space="preserve"> </v>
      </c>
      <c r="BT74" s="353" t="str">
        <f>IF(L74&gt;0,IF(BS74&gt;0,R74/Calculation!BS74,0)," ")</f>
        <v xml:space="preserve"> </v>
      </c>
      <c r="BU74" s="438" t="e">
        <f t="shared" ca="1" si="31"/>
        <v>#VALUE!</v>
      </c>
      <c r="BV74" s="449" t="e">
        <f ca="1">INDEX(INDIRECT(VLOOKUP(LEFT(BO74,7),CLU!$Z$3:$AH$18,2)),GN74,GR74)</f>
        <v>#N/A</v>
      </c>
      <c r="BW74" s="433" t="e">
        <f ca="1">INDEX(INDIRECT(VLOOKUP(LEFT(BO74,7),CLU!$Z$3:$AH$18,3)),GN74,GR74)</f>
        <v>#N/A</v>
      </c>
      <c r="BX74" s="433" t="e">
        <f ca="1">INDEX(INDIRECT(VLOOKUP(LEFT(BO74,7),CLU!$Z$3:$AH$18,4)),GN74,GR74)</f>
        <v>#N/A</v>
      </c>
      <c r="BY74" s="433" t="e">
        <f ca="1">INDEX(INDIRECT(VLOOKUP(LEFT(BO74,7),CLU!$Z$3:$AH$18,9)),((M74-2)*(6-COUNTBLANK(GT74:GY74)))+GJ74)</f>
        <v>#N/A</v>
      </c>
      <c r="BZ74" s="426" t="e">
        <f t="shared" ca="1" si="139"/>
        <v>#N/A</v>
      </c>
      <c r="CA74" s="424" t="e">
        <f t="shared" ca="1" si="140"/>
        <v>#N/A</v>
      </c>
      <c r="CB74" s="429" t="e">
        <f ca="1">INDEX(INDIRECT(VLOOKUP(LEFT(BO74,7),CLU!$Z$3:$AH$18,2)),GN74,GS74)</f>
        <v>#N/A</v>
      </c>
      <c r="CC74" s="342" t="e">
        <f ca="1">INDEX(INDIRECT(VLOOKUP(LEFT(BO74,7),CLU!$Z$3:$AH$18,3)),GN74,GS74)</f>
        <v>#N/A</v>
      </c>
      <c r="CD74" s="342" t="e">
        <f ca="1">INDEX(INDIRECT(VLOOKUP(LEFT(BO74,7),CLU!$Z$3:$AH$18,4)),GN74,GS74)</f>
        <v>#N/A</v>
      </c>
      <c r="CE74" s="426" t="e">
        <f t="shared" ca="1" si="141"/>
        <v>#N/A</v>
      </c>
      <c r="CF74" s="440">
        <f t="shared" si="142"/>
        <v>0</v>
      </c>
      <c r="CG74" s="431" t="e">
        <f ca="1">INDEX(INDIRECT(VLOOKUP(LEFT(BO74,7),CLU!$Z$3:$AH$18,2)),GQ74,GR74)</f>
        <v>#N/A</v>
      </c>
      <c r="CH74" s="431" t="e">
        <f ca="1">INDEX(INDIRECT(VLOOKUP(LEFT(BO74,7),CLU!$Z$3:$AH$18,3)),GQ74,GR74)</f>
        <v>#N/A</v>
      </c>
      <c r="CI74" s="431" t="e">
        <f ca="1">INDEX(INDIRECT(VLOOKUP(LEFT(BO74,7),CLU!$Z$3:$AH$18,4)),GQ74,GR74)</f>
        <v>#N/A</v>
      </c>
      <c r="CJ74" s="448" t="e">
        <f t="shared" ca="1" si="143"/>
        <v>#N/A</v>
      </c>
      <c r="CK74" s="431" t="e">
        <f t="shared" ca="1" si="144"/>
        <v>#N/A</v>
      </c>
      <c r="CL74" s="440" t="e">
        <f t="shared" ca="1" si="145"/>
        <v>#N/A</v>
      </c>
      <c r="CM74" s="431" t="e">
        <f ca="1">INDEX(INDIRECT(VLOOKUP(LEFT(BO74,7),CLU!$Z$3:$AH$18,2)),GQ74,GS74)</f>
        <v>#N/A</v>
      </c>
      <c r="CN74" s="431" t="e">
        <f ca="1">INDEX(INDIRECT(VLOOKUP(LEFT(BO74,7),CLU!$Z$3:$AH$18,3)),GQ74,GS74)</f>
        <v>#N/A</v>
      </c>
      <c r="CO74" s="431" t="e">
        <f ca="1">INDEX(INDIRECT(VLOOKUP(LEFT(BO74,7),CLU!$Z$3:$AH$18,4)),GQ74,GS74)</f>
        <v>#N/A</v>
      </c>
      <c r="CP74" s="431" t="e">
        <f t="shared" ca="1" si="146"/>
        <v>#N/A</v>
      </c>
      <c r="CQ74" s="440">
        <f t="shared" si="147"/>
        <v>0</v>
      </c>
      <c r="CR74" s="51" t="e">
        <f t="shared" ca="1" si="148"/>
        <v>#N/A</v>
      </c>
      <c r="CS74" s="439" t="e">
        <f t="shared" ca="1" si="149"/>
        <v>#VALUE!</v>
      </c>
      <c r="CT74" s="51" t="e">
        <f t="shared" ca="1" si="150"/>
        <v>#VALUE!</v>
      </c>
      <c r="CU74" s="10"/>
      <c r="CV74" s="51" t="e">
        <f t="shared" ca="1" si="34"/>
        <v>#VALUE!</v>
      </c>
      <c r="CW74" s="51">
        <f t="shared" si="151"/>
        <v>0</v>
      </c>
      <c r="CX74" s="439" t="e">
        <f t="shared" ca="1" si="152"/>
        <v>#VALUE!</v>
      </c>
      <c r="CY74" s="51" t="e">
        <f t="shared" ca="1" si="153"/>
        <v>#VALUE!</v>
      </c>
      <c r="CZ74" s="10"/>
      <c r="DA74" s="51" t="e">
        <f t="shared" ca="1" si="154"/>
        <v>#VALUE!</v>
      </c>
      <c r="DB74" s="347" t="e">
        <f ca="1">INDEX(INDIRECT(VLOOKUP(LEFT(BO74,7),CLU!$Z$3:$AI$18,10)),((M74-2)*(6-COUNTBLANK(GT74:GY74)))+GJ74)*LI74</f>
        <v>#N/A</v>
      </c>
      <c r="DC74" s="347" t="str">
        <f>IF(L74&gt;0,((R74/Worksheet!$I$15)/DB74)^2," ")</f>
        <v xml:space="preserve"> </v>
      </c>
      <c r="DD74" s="602" t="str">
        <f t="shared" si="224"/>
        <v xml:space="preserve"> </v>
      </c>
      <c r="DE74" s="347" t="str">
        <f t="shared" si="35"/>
        <v xml:space="preserve"> </v>
      </c>
      <c r="DF74" s="356" t="e">
        <f ca="1">INDEX(INDIRECT(VLOOKUP(LEFT(BO74,7),CLU!$Z$3:$AH$18,8)),((M74-2)*(6-COUNTBLANK(GT74:GY74)))+GJ74)</f>
        <v>#N/A</v>
      </c>
      <c r="DG74" s="347" t="str">
        <f t="shared" si="36"/>
        <v xml:space="preserve"> </v>
      </c>
      <c r="DH74" s="357" t="str">
        <f t="shared" si="37"/>
        <v xml:space="preserve"> </v>
      </c>
      <c r="DI74" s="355" t="str">
        <f t="shared" si="38"/>
        <v xml:space="preserve"> </v>
      </c>
      <c r="DJ74" s="245" t="e">
        <f ca="1">INDEX(INDIRECT(VLOOKUP(LEFT(BO74,7),CLU!$Z$3:$AH$18,5)),GL74,GK74)</f>
        <v>#N/A</v>
      </c>
      <c r="DK74" s="245" t="e">
        <f ca="1">INDEX(INDIRECT(VLOOKUP(LEFT(BO74,7),CLU!$Z$3:$AH$18,6)),GL74,GK74)</f>
        <v>#N/A</v>
      </c>
      <c r="DL74" s="355">
        <f>(Calculation!R74*0.69143*(Calculation!$BQ$8-Calculation!$F$8))*$S$14</f>
        <v>0</v>
      </c>
      <c r="DM74" s="359" t="e">
        <f t="shared" si="160"/>
        <v>#VALUE!</v>
      </c>
      <c r="DN74" s="611">
        <f t="shared" si="161"/>
        <v>0</v>
      </c>
      <c r="DO74" s="359">
        <f t="shared" si="162"/>
        <v>100</v>
      </c>
      <c r="DP74" s="359">
        <f t="shared" si="163"/>
        <v>0</v>
      </c>
      <c r="DQ74" s="360"/>
      <c r="DR74" s="245" t="e">
        <f ca="1">INDEX(INDIRECT(VLOOKUP(LEFT(BO74,7),CLU!$Z$3:$AH$18,7)),M74-1,1)</f>
        <v>#N/A</v>
      </c>
      <c r="DS74" s="245" t="e">
        <f ca="1">INDEX(INDIRECT(VLOOKUP(LEFT(BO74,7),CLU!$Z$3:$AH$18,7)),M74-1,2)</f>
        <v>#N/A</v>
      </c>
      <c r="DT74" s="245" t="e">
        <f ca="1">INDEX(INDIRECT(VLOOKUP(LEFT(BO74,7),CLU!$Z$3:$AH$18,7)),M74-1,3)</f>
        <v>#N/A</v>
      </c>
      <c r="DU74" s="245" t="e">
        <f ca="1">INDEX(INDIRECT(VLOOKUP(LEFT(BO74,7),CLU!$Z$3:$AH$18,7)),M74-1,4)</f>
        <v>#N/A</v>
      </c>
      <c r="DV74" s="361" t="e">
        <f ca="1">INDEX(INDIRECT(VLOOKUP(LEFT(BO74,7),CLU!$Z$3:$AH$18,7)),M74-1,4+LEFT(DZ74,1)*0.5)</f>
        <v>#N/A</v>
      </c>
      <c r="DW74" s="245" t="e">
        <f ca="1">INDEX(INDIRECT(VLOOKUP(LEFT(BO74,7),CLU!$Z$3:$AH$18,7)),M74-1,8)</f>
        <v>#N/A</v>
      </c>
      <c r="DX74" s="361" t="str">
        <f t="shared" si="39"/>
        <v xml:space="preserve"> </v>
      </c>
      <c r="DY74" s="361" t="str">
        <f t="shared" si="40"/>
        <v xml:space="preserve"> </v>
      </c>
      <c r="DZ74" s="361" t="str">
        <f t="shared" si="41"/>
        <v xml:space="preserve"> </v>
      </c>
      <c r="EA74" s="362" t="str">
        <f t="shared" si="42"/>
        <v xml:space="preserve"> </v>
      </c>
      <c r="EB74" s="624" t="str">
        <f t="shared" si="168"/>
        <v xml:space="preserve"> </v>
      </c>
      <c r="EC74" s="361" t="e">
        <f ca="1">INDEX(INDIRECT(VLOOKUP(LEFT(BO74,7),CLU!$Z$3:$AH$18,7)),M74-1,4+LEFT(DZ74,1)*0.5)</f>
        <v>#N/A</v>
      </c>
      <c r="ED74" s="362" t="str">
        <f t="shared" si="43"/>
        <v xml:space="preserve"> </v>
      </c>
      <c r="EE74" s="361" t="str">
        <f t="shared" si="44"/>
        <v xml:space="preserve"> </v>
      </c>
      <c r="EF74" s="362" t="str">
        <f>IF(L74&gt;0,IF(BR74&gt;0,IF(EE74="2P",IF(Calculation!DZ74="2P",IF(Calculation!DS74=13.75,IF(Calculation!DR74=13,Worksheet!$BD$43,IF(Calculation!DR74=37,Worksheet!$BD$44,Worksheet!$BD$45)),IF(Calculation!DS74=10,IF(Calculation!DR74=18,Worksheet!$BD$29,IF(Calculation!DR74=30,Worksheet!$BD$30,IF(Calculation!DR74=42,Worksheet!$BD$31,IF(Calculation!DR74=54,Worksheet!$BD$32,IF(Calculation!DR74=66,Worksheet!$BD$33,IF(Calculation!DR74=78,Worksheet!$BD$34,IF(Calculation!DR74=90,Worksheet!$BD$35,IF(Calculation!DR74=102,Worksheet!$BD$36,Worksheet!$BD$37)))))))),IF(Calculation!DS74=12.5,IF(Calculation!DR74=18,Worksheet!$BD$38,IF(Calculation!DR74=Worksheet!$BD$39,IF(Calculation!DR74=42,Worksheet!$BD$40,IF(Calculation!DR74=54,Worksheet!$BD$41,Worksheet!$BD$42)))),IF(Calculation!DR74=18,Worksheet!$BD$11,IF(Calculation!DR74=30,Worksheet!$BD$12,IF(Calculation!DR74=42,Worksheet!$BD$13,IF(Calculation!DR74=54,Worksheet!$BD$14,IF(Calculation!DR74=66,Worksheet!$BD$15,IF(Calculation!DR74=78,Worksheet!$BD$16,IF(Calculation!DR74=90,Worksheet!$BD$17,IF(Calculation!DR74=102,Worksheet!$BD$18,Worksheet!$BD$19))))))))))),IF(Calculation!DS74=13.75,IF(Calculation!DR74=13,Worksheet!$BD$78,IF(Calculation!DR74=37,Worksheet!$BD$79,Worksheet!$BD$80)),IF(Calculation!DS74=10,IF(Calculation!DR74=18,Worksheet!$BD$64,IF(Calculation!DR74=30,Worksheet!$BD$65,IF(Calculation!DR74=42,Worksheet!$BD$66,IF(Calculation!DR74=54,Worksheet!$BD$68,IF(Calculation!DR74=66,Worksheet!$BD$68,IF(Calculation!DR74=78,Worksheet!$BD$69,IF(Calculation!DR74=90,Worksheet!$BD$70,IF(Calculation!DR74=102,Worksheet!$BD$71,Worksheet!$BD$72)))))))),IF(Calculation!DS74=12.5,IF(Calculation!DR74=18,Worksheet!$BD$73,IF(Calculation!DR74=Worksheet!$BD$74,IF(Calculation!DR74=42,Worksheet!$BD$75,IF(Calculation!DR74=54,Worksheet!$BD$76,Worksheet!$BD$77)))),IF(Calculation!DR74=18,Worksheet!$BD$55,IF(Calculation!DR74=30,Worksheet!$BD$56,IF(Calculation!DR74=42,Worksheet!$BD$57,IF(Calculation!DR74=54,Worksheet!$BD$58,IF(Calculation!DR74=66,Worksheet!$BD$59,IF(Calculation!DR74=78,Worksheet!$BD$60,IF(Calculation!DR74=90,Worksheet!$BD$61,IF(Calculation!DR74=102,Worksheet!$BD$62,Worksheet!$BD$63)))))))))))),5),0)," ")</f>
        <v xml:space="preserve"> </v>
      </c>
      <c r="EG74" s="361" t="str">
        <f t="shared" si="45"/>
        <v xml:space="preserve"> </v>
      </c>
      <c r="EH74" s="361" t="e">
        <f ca="1">INDEX(INDIRECT(VLOOKUP(LEFT(BO74,7),CLU!$Z$3:$AH$18,7)),M74-1,3+LEFT(DZ74,1))</f>
        <v>#N/A</v>
      </c>
      <c r="EI74" s="362" t="str">
        <f t="shared" si="46"/>
        <v xml:space="preserve"> </v>
      </c>
      <c r="EJ74" s="363" t="str">
        <f t="shared" si="47"/>
        <v xml:space="preserve"> </v>
      </c>
      <c r="EK74" s="363" t="str">
        <f t="shared" si="48"/>
        <v xml:space="preserve"> </v>
      </c>
      <c r="EL74" s="363" t="str">
        <f t="shared" si="49"/>
        <v xml:space="preserve"> </v>
      </c>
      <c r="EM74" s="362" t="str">
        <f>IF(L74&gt;0,IF(BR74&gt;0,(Calculation!T74/ED74)^2,0)," ")</f>
        <v xml:space="preserve"> </v>
      </c>
      <c r="EN74" s="362" t="str">
        <f>IF(L74&gt;0,IF(O74="2 Pipe (Cooling)","N/A",IF(BR74&gt;0,(Calculation!U74/EI74)^2,0))," ")</f>
        <v xml:space="preserve"> </v>
      </c>
      <c r="EO74" s="361" t="str">
        <f t="shared" si="50"/>
        <v/>
      </c>
      <c r="EP74" s="361" t="str">
        <f t="shared" si="51"/>
        <v/>
      </c>
      <c r="EQ74" s="361" t="str">
        <f t="shared" si="52"/>
        <v/>
      </c>
      <c r="ER74" s="361" t="str">
        <f t="shared" si="53"/>
        <v/>
      </c>
      <c r="ES74" s="361" t="str">
        <f t="shared" si="54"/>
        <v/>
      </c>
      <c r="ET74" s="361" t="str">
        <f t="shared" si="55"/>
        <v/>
      </c>
      <c r="EU74" s="361" t="str">
        <f t="shared" si="56"/>
        <v/>
      </c>
      <c r="EV74" s="361" t="str">
        <f t="shared" si="57"/>
        <v/>
      </c>
      <c r="EW74" s="361" t="str">
        <f t="shared" si="58"/>
        <v/>
      </c>
      <c r="EX74" s="361" t="str">
        <f t="shared" si="169"/>
        <v>1 slot, 1 way</v>
      </c>
      <c r="EY74" s="361" t="str">
        <f t="shared" si="170"/>
        <v xml:space="preserve"> </v>
      </c>
      <c r="EZ74" s="361" t="str">
        <f t="shared" si="171"/>
        <v xml:space="preserve"> </v>
      </c>
      <c r="FA74" s="361" t="str">
        <f t="shared" si="172"/>
        <v xml:space="preserve"> </v>
      </c>
      <c r="FB74" s="361" t="str">
        <f t="shared" si="173"/>
        <v xml:space="preserve"> </v>
      </c>
      <c r="FC74" s="361"/>
      <c r="FD74" s="361" t="str">
        <f>IF(J74&gt;0,IF(Calculation!R74&lt;=70,4,IF(Calculation!R74&lt;=110,5,IF(Calculation!R74&lt;=160,6,IF(Calculation!R74&lt;=300,8,"10 EO")))),"")</f>
        <v/>
      </c>
      <c r="FE74" s="361" t="str">
        <f t="shared" si="174"/>
        <v/>
      </c>
      <c r="FF74" s="361" t="str">
        <f t="shared" si="175"/>
        <v/>
      </c>
      <c r="FG74" s="361" t="e">
        <f t="shared" si="60"/>
        <v>#N/A</v>
      </c>
      <c r="FH74" s="361">
        <f t="shared" si="61"/>
        <v>0</v>
      </c>
      <c r="FI74" s="361" t="e">
        <f t="shared" si="62"/>
        <v>#DIV/0!</v>
      </c>
      <c r="FJ74" s="361"/>
      <c r="FK74" s="356" t="e">
        <f t="shared" si="63"/>
        <v>#VALUE!</v>
      </c>
      <c r="FL74" s="361"/>
      <c r="FM74" s="361"/>
      <c r="FN74" s="362" t="str">
        <f t="shared" si="176"/>
        <v xml:space="preserve"> </v>
      </c>
      <c r="FO74" s="362" t="str">
        <f t="shared" si="177"/>
        <v xml:space="preserve"> </v>
      </c>
      <c r="FP74" s="362">
        <f t="shared" si="178"/>
        <v>0</v>
      </c>
      <c r="FQ74" s="361">
        <f t="shared" si="64"/>
        <v>0</v>
      </c>
      <c r="FR74" s="362" t="str">
        <f>IF(L74&gt;0,IF(J74="CBAL2",Worksheet!$P$67,IF(J74="CBE2-24",Worksheet!$Q$67,IF(J74="CBAM",Worksheet!$R$67,IF(J74="CBLV",Worksheet!$S$67,IF(J74="CBAB",Worksheet!$U$67,IF(J74="CBAW",Worksheet!$X$67,IF(J74="CBE2-12",Worksheet!$Y$67,IF(J74="CBAL2",Worksheet!$Z$67,"N/A"))))))))," ")</f>
        <v xml:space="preserve"> </v>
      </c>
      <c r="FS74" s="362" t="str">
        <f>IF(L74&gt;0,IF(J74="CBAL2",Worksheet!$P$68,IF(J74="CBE2-24",Worksheet!$Q$68,IF(J74="CBAM",Worksheet!$R$68,IF(J74="CBLV",Worksheet!$S$68,IF(J74="CBAB",Worksheet!$U$68,IF(J74="CBAW",Worksheet!$X$68,IF(J74="CBE2-12",Worksheet!$Y$68,IF(J74="CBAL2",Worksheet!$Z$68,"N/A"))))))))," ")</f>
        <v xml:space="preserve"> </v>
      </c>
      <c r="FT74" s="362" t="str">
        <f>IF(L74&gt;0,IF(J74="CBAL2",Worksheet!$P$69,IF(J74="CBE2-24",Worksheet!$Q$69,IF(J74="CBAM",Worksheet!$R$69,IF(J74="CBLV",Worksheet!$S$69,IF(J74="CBAB",Worksheet!$U$69,IF(J74="CBAW",Worksheet!$X$69,IF(J74="CBE2-12",Worksheet!$Y$69,IF(J74="CBAL2",Worksheet!$Z$69,"N/A"))))))))," ")</f>
        <v xml:space="preserve"> </v>
      </c>
      <c r="FU74" s="361" t="str">
        <f t="shared" si="179"/>
        <v xml:space="preserve"> </v>
      </c>
      <c r="FV74" s="362" t="str">
        <f t="shared" si="180"/>
        <v xml:space="preserve"> </v>
      </c>
      <c r="FW74" s="362" t="str">
        <f t="shared" si="181"/>
        <v xml:space="preserve"> </v>
      </c>
      <c r="FX74" s="362" t="str">
        <f t="shared" si="182"/>
        <v xml:space="preserve"> </v>
      </c>
      <c r="FY74" s="355" t="str">
        <f t="shared" si="183"/>
        <v xml:space="preserve"> </v>
      </c>
      <c r="FZ74" s="361" t="str">
        <f t="shared" si="184"/>
        <v xml:space="preserve"> </v>
      </c>
      <c r="GA74" s="347" t="str">
        <f t="shared" si="185"/>
        <v xml:space="preserve"> </v>
      </c>
      <c r="GB74" s="355" t="str">
        <f t="shared" si="186"/>
        <v xml:space="preserve"> </v>
      </c>
      <c r="GC74" s="328" t="str">
        <f t="shared" si="187"/>
        <v xml:space="preserve"> </v>
      </c>
      <c r="GD74" s="361" t="str">
        <f t="shared" si="188"/>
        <v xml:space="preserve"> </v>
      </c>
      <c r="GE74" s="347" t="str">
        <f t="shared" si="189"/>
        <v xml:space="preserve"> </v>
      </c>
      <c r="GF74" s="361" t="str">
        <f t="shared" si="190"/>
        <v xml:space="preserve"> </v>
      </c>
      <c r="GG74" s="347" t="str">
        <f t="shared" si="191"/>
        <v xml:space="preserve"> </v>
      </c>
      <c r="GH74" s="364">
        <f t="shared" si="78"/>
        <v>0</v>
      </c>
      <c r="GI74" s="362">
        <f t="shared" si="192"/>
        <v>2</v>
      </c>
      <c r="GJ74" s="433" t="e">
        <f>IF(6-COUNTBLANK(GT74:GY74)=4,MATCH(MID(BO74,9,3),CLU!$H$16:$K$16),MATCH(MID(BO74,9,3),CLU!$H$13:$M$13))</f>
        <v>#N/A</v>
      </c>
      <c r="GK74" s="433" t="e">
        <f>HLOOKUP(VALUE(BP74),CLU!$H$9:$M$10,2)</f>
        <v>#VALUE!</v>
      </c>
      <c r="GL74" s="433" t="e">
        <f ca="1">MATCH(BU74,CLU!$H$2:$V$2,1)</f>
        <v>#VALUE!</v>
      </c>
      <c r="GM74" s="433" t="e">
        <f t="shared" ca="1" si="193"/>
        <v>#VALUE!</v>
      </c>
      <c r="GN74" s="433" t="e">
        <f t="shared" ca="1" si="194"/>
        <v>#VALUE!</v>
      </c>
      <c r="GO74" s="433" t="e">
        <f t="shared" ca="1" si="195"/>
        <v>#VALUE!</v>
      </c>
      <c r="GP74" s="433" t="e">
        <f t="shared" ca="1" si="196"/>
        <v>#VALUE!</v>
      </c>
      <c r="GQ74" s="433" t="e">
        <f t="shared" ca="1" si="197"/>
        <v>#VALUE!</v>
      </c>
      <c r="GR74" s="433" t="e">
        <f ca="1">MATCH(T74,INDIRECT(VLOOKUP(CONCATENATE(LEFT(BO74,7),"-",MID(BO74,13,1)),CLU!$P$3:$Q$16,2)),1)</f>
        <v>#N/A</v>
      </c>
      <c r="GS74" s="433" t="e">
        <f ca="1">MATCH(U74,INDIRECT(VLOOKUP(CONCATENATE(LEFT(BO74,7),"-",MID(BO74,13,1)),CLU!$P$3:$Q$16,2)),1)</f>
        <v>#N/A</v>
      </c>
      <c r="GT74" s="347" t="s">
        <v>512</v>
      </c>
      <c r="GU74" s="97" t="s">
        <v>513</v>
      </c>
      <c r="GV74" s="97" t="str">
        <f t="shared" si="198"/>
        <v>M23</v>
      </c>
      <c r="GW74" s="97" t="str">
        <f t="shared" si="199"/>
        <v>M31</v>
      </c>
      <c r="GX74" s="97" t="str">
        <f t="shared" si="200"/>
        <v/>
      </c>
      <c r="GY74" s="97" t="str">
        <f t="shared" si="201"/>
        <v/>
      </c>
      <c r="GZ74" s="481"/>
      <c r="HA74" s="288"/>
      <c r="HB74" s="240"/>
      <c r="HC74" s="240"/>
      <c r="HD74" s="240"/>
      <c r="HE74" s="240"/>
      <c r="HF74" s="240"/>
      <c r="HG74" s="240"/>
      <c r="HH74" s="240"/>
      <c r="HI74" s="240"/>
      <c r="HJ74" s="240"/>
      <c r="HK74" s="240"/>
      <c r="HL74" s="240"/>
      <c r="HM74" s="240"/>
      <c r="HN74" s="240"/>
      <c r="HO74" s="240"/>
      <c r="HP74" s="240"/>
      <c r="HQ74" s="240"/>
      <c r="HR74" s="240"/>
      <c r="HS74" s="240"/>
      <c r="HT74" s="240"/>
      <c r="HU74" s="240"/>
      <c r="HV74" s="245"/>
      <c r="HW74" s="245" t="b">
        <v>1</v>
      </c>
      <c r="HX74" s="245" t="str">
        <f t="shared" si="79"/>
        <v/>
      </c>
      <c r="HY74" s="245" t="e">
        <f t="shared" si="80"/>
        <v>#DIV/0!</v>
      </c>
      <c r="HZ74" s="245" t="e">
        <f t="shared" si="81"/>
        <v>#DIV/0!</v>
      </c>
      <c r="IA74" s="245">
        <f t="shared" si="82"/>
        <v>0</v>
      </c>
      <c r="IB74" s="245"/>
      <c r="IC74" t="b">
        <f t="shared" si="83"/>
        <v>1</v>
      </c>
      <c r="ID74" s="245" t="b">
        <f t="shared" si="84"/>
        <v>1</v>
      </c>
      <c r="IE74" s="245" t="b">
        <f t="shared" si="85"/>
        <v>1</v>
      </c>
      <c r="IF74" s="245" t="b">
        <f t="shared" si="86"/>
        <v>0</v>
      </c>
      <c r="IG74" s="245" t="b">
        <f t="shared" si="87"/>
        <v>1</v>
      </c>
      <c r="IH74" s="245" t="b">
        <f t="shared" si="88"/>
        <v>1</v>
      </c>
      <c r="II74" s="245">
        <f t="shared" si="202"/>
        <v>0</v>
      </c>
      <c r="IJ74" s="245" t="e">
        <f t="shared" si="89"/>
        <v>#VALUE!</v>
      </c>
      <c r="IK74" s="245" t="e">
        <f t="shared" si="90"/>
        <v>#VALUE!</v>
      </c>
      <c r="IL74" s="245"/>
      <c r="IM74" s="245" t="e">
        <f t="shared" si="203"/>
        <v>#N/A</v>
      </c>
      <c r="IN74" s="245" t="e">
        <f t="shared" si="204"/>
        <v>#N/A</v>
      </c>
      <c r="IO74" s="245"/>
      <c r="IP74" s="245"/>
      <c r="IQ74" s="245" t="str">
        <f t="shared" si="91"/>
        <v/>
      </c>
      <c r="IR74" s="245" t="str">
        <f>IF(J74="","",VLOOKUP(J74,Worksheet!$R$4:$T$14,2))</f>
        <v/>
      </c>
      <c r="IS74" s="245"/>
      <c r="IT74" s="245">
        <f t="shared" si="92"/>
        <v>0</v>
      </c>
      <c r="IU74" s="245">
        <f t="shared" si="93"/>
        <v>0</v>
      </c>
      <c r="IV74" s="245">
        <f t="shared" si="94"/>
        <v>0</v>
      </c>
      <c r="IW74" s="245">
        <f t="shared" si="95"/>
        <v>0</v>
      </c>
      <c r="IX74" s="245">
        <f t="shared" si="205"/>
        <v>0</v>
      </c>
      <c r="IY74" s="245">
        <f t="shared" si="96"/>
        <v>0</v>
      </c>
      <c r="IZ74" s="245">
        <f t="shared" si="97"/>
        <v>0</v>
      </c>
      <c r="JA74">
        <f t="shared" si="98"/>
        <v>0</v>
      </c>
      <c r="JB74">
        <f t="shared" si="206"/>
        <v>0</v>
      </c>
      <c r="JC74">
        <f t="shared" si="99"/>
        <v>0</v>
      </c>
      <c r="JD74">
        <f t="shared" si="100"/>
        <v>0</v>
      </c>
      <c r="JE74">
        <f t="shared" si="101"/>
        <v>0</v>
      </c>
      <c r="JF74">
        <f t="shared" si="102"/>
        <v>0</v>
      </c>
      <c r="JG74">
        <f t="shared" si="103"/>
        <v>0</v>
      </c>
      <c r="JH74">
        <f t="shared" si="104"/>
        <v>0</v>
      </c>
      <c r="JI74">
        <f t="shared" si="105"/>
        <v>0</v>
      </c>
      <c r="JJ74" s="447">
        <f t="shared" si="106"/>
        <v>0</v>
      </c>
      <c r="JK74" s="447">
        <f t="shared" si="107"/>
        <v>0</v>
      </c>
      <c r="JL74">
        <f t="shared" si="108"/>
        <v>0</v>
      </c>
      <c r="JM74" s="245" t="str">
        <f>IFERROR(VLOOKUP(MATCH(BN74,#REF!,0),#REF!,7),"")</f>
        <v/>
      </c>
      <c r="JN74" t="e">
        <f>HLOOKUP(LEFT(BO74,7),Discharge_Area,MATCH(JO74,LookUps!$B$130:$B$149,1)+2)</f>
        <v>#N/A</v>
      </c>
      <c r="JO74" t="str">
        <f t="shared" si="109"/>
        <v>- S</v>
      </c>
      <c r="JP74" t="e">
        <f>HLOOKUP(LEFT(BO74,7),Discharge_Area,MATCH(JO74,LookUps!$B$130:$B$149,1)+2)</f>
        <v>#N/A</v>
      </c>
      <c r="JQ74" t="e">
        <f t="shared" si="110"/>
        <v>#N/A</v>
      </c>
      <c r="JR74" t="e">
        <f t="shared" si="111"/>
        <v>#N/A</v>
      </c>
      <c r="JS74" t="e">
        <f t="shared" si="112"/>
        <v>#N/A</v>
      </c>
      <c r="JT74" s="532" t="str">
        <f t="shared" si="113"/>
        <v xml:space="preserve"> </v>
      </c>
      <c r="JU74" s="532" t="str">
        <f t="shared" si="114"/>
        <v xml:space="preserve"> </v>
      </c>
      <c r="JV74" s="533" t="str">
        <f t="shared" si="115"/>
        <v xml:space="preserve"> </v>
      </c>
      <c r="JW74" s="534">
        <f t="shared" si="116"/>
        <v>0</v>
      </c>
      <c r="JX74" s="535" t="str">
        <f t="shared" si="207"/>
        <v xml:space="preserve"> </v>
      </c>
      <c r="JY74" s="535" t="str">
        <f t="shared" si="208"/>
        <v xml:space="preserve"> </v>
      </c>
      <c r="JZ74" s="535" t="str">
        <f t="shared" si="209"/>
        <v xml:space="preserve"> </v>
      </c>
      <c r="KA74" s="536" t="str">
        <f t="shared" si="117"/>
        <v xml:space="preserve"> </v>
      </c>
      <c r="KB74" s="535" t="e">
        <f t="shared" si="210"/>
        <v>#VALUE!</v>
      </c>
      <c r="KC74" s="535" t="str">
        <f t="shared" si="118"/>
        <v/>
      </c>
      <c r="KD74" s="537" t="str">
        <f t="shared" si="211"/>
        <v xml:space="preserve"> </v>
      </c>
      <c r="KE74" s="537" t="str">
        <f t="shared" si="212"/>
        <v xml:space="preserve"> </v>
      </c>
      <c r="KF74" s="534">
        <f t="shared" si="119"/>
        <v>0</v>
      </c>
      <c r="KG74" s="535" t="str">
        <f t="shared" si="120"/>
        <v xml:space="preserve"> </v>
      </c>
      <c r="KH74" s="535" t="str">
        <f t="shared" si="121"/>
        <v xml:space="preserve"> </v>
      </c>
      <c r="KI74" s="535" t="str">
        <f t="shared" si="122"/>
        <v xml:space="preserve"> </v>
      </c>
      <c r="KJ74" s="536" t="str">
        <f t="shared" si="123"/>
        <v xml:space="preserve"> </v>
      </c>
      <c r="KK74" s="535" t="str">
        <f t="shared" si="213"/>
        <v xml:space="preserve"> </v>
      </c>
      <c r="KL74" s="535" t="str">
        <f t="shared" si="214"/>
        <v xml:space="preserve"> </v>
      </c>
      <c r="KM74" s="537" t="str">
        <f t="shared" si="124"/>
        <v xml:space="preserve"> </v>
      </c>
      <c r="KN74" s="537" t="str">
        <f t="shared" si="215"/>
        <v xml:space="preserve"> </v>
      </c>
      <c r="KP74">
        <f t="shared" si="125"/>
        <v>0</v>
      </c>
      <c r="LA74" t="e">
        <f t="shared" si="126"/>
        <v>#VALUE!</v>
      </c>
      <c r="LB74" t="e">
        <f t="shared" si="127"/>
        <v>#VALUE!</v>
      </c>
      <c r="LC74" t="e">
        <f t="shared" si="128"/>
        <v>#VALUE!</v>
      </c>
      <c r="LD74" t="e">
        <f t="shared" si="129"/>
        <v>#VALUE!</v>
      </c>
      <c r="LE74" t="e">
        <f t="shared" si="216"/>
        <v>#VALUE!</v>
      </c>
      <c r="LF74">
        <f t="shared" si="130"/>
        <v>0</v>
      </c>
      <c r="LG74" t="e">
        <f t="shared" si="217"/>
        <v>#VALUE!</v>
      </c>
      <c r="LH74" t="str">
        <f t="shared" si="131"/>
        <v xml:space="preserve"> </v>
      </c>
      <c r="LI74">
        <f t="shared" si="218"/>
        <v>1</v>
      </c>
    </row>
    <row r="75" spans="2:321" ht="15" customHeight="1">
      <c r="B75" s="311"/>
      <c r="C75" s="311"/>
      <c r="D75" s="312"/>
      <c r="E75" s="311"/>
      <c r="F75" s="312"/>
      <c r="G75" s="311"/>
      <c r="H75" s="311"/>
      <c r="I75" s="37"/>
      <c r="J75" s="311"/>
      <c r="K75" s="305" t="str">
        <f t="shared" si="132"/>
        <v/>
      </c>
      <c r="L75" s="313"/>
      <c r="M75" s="312"/>
      <c r="N75" s="311"/>
      <c r="O75" s="312"/>
      <c r="P75" s="311"/>
      <c r="Q75" s="305" t="str">
        <f t="shared" si="133"/>
        <v/>
      </c>
      <c r="R75" s="314"/>
      <c r="S75" s="450" t="str">
        <f t="shared" si="0"/>
        <v/>
      </c>
      <c r="T75" s="315"/>
      <c r="U75" s="315"/>
      <c r="W75" s="149" t="str">
        <f t="shared" si="1"/>
        <v xml:space="preserve"> </v>
      </c>
      <c r="X75" s="243" t="str">
        <f t="shared" si="2"/>
        <v xml:space="preserve"> </v>
      </c>
      <c r="Y75" s="150" t="str">
        <f t="shared" si="3"/>
        <v/>
      </c>
      <c r="Z75" s="149" t="str">
        <f t="shared" si="4"/>
        <v xml:space="preserve"> </v>
      </c>
      <c r="AA75" s="98" t="str">
        <f t="shared" si="5"/>
        <v xml:space="preserve"> </v>
      </c>
      <c r="AB75" s="153" t="str">
        <f t="shared" si="6"/>
        <v xml:space="preserve"> </v>
      </c>
      <c r="AC75" s="153" t="str">
        <f t="shared" si="7"/>
        <v xml:space="preserve"> </v>
      </c>
      <c r="AD75" s="148" t="str">
        <f t="shared" si="8"/>
        <v/>
      </c>
      <c r="AE75" s="149" t="str">
        <f t="shared" si="9"/>
        <v/>
      </c>
      <c r="AF75" s="151" t="str">
        <f t="shared" si="10"/>
        <v xml:space="preserve"> </v>
      </c>
      <c r="AG75" s="153" t="str">
        <f t="shared" si="11"/>
        <v xml:space="preserve"> </v>
      </c>
      <c r="AH75" s="98" t="str">
        <f t="shared" si="12"/>
        <v xml:space="preserve"> </v>
      </c>
      <c r="AI75" s="149" t="str">
        <f t="shared" si="13"/>
        <v xml:space="preserve"> </v>
      </c>
      <c r="AK75" s="144" t="str">
        <f t="shared" si="14"/>
        <v xml:space="preserve"> </v>
      </c>
      <c r="AL75" s="144"/>
      <c r="AM75" s="243" t="str">
        <f t="shared" si="15"/>
        <v xml:space="preserve"> </v>
      </c>
      <c r="AN75" s="149" t="str">
        <f t="shared" si="134"/>
        <v xml:space="preserve"> </v>
      </c>
      <c r="AO75" s="144" t="str">
        <f>IF(JB75&gt;0,IF(GI75=10,-R75*1.085*(Calculation!$F$6-Calculation!$F$13)*$S$14," "),"")</f>
        <v/>
      </c>
      <c r="AP75" s="144" t="str">
        <f t="shared" si="16"/>
        <v/>
      </c>
      <c r="AQ75" s="56" t="str">
        <f t="shared" si="17"/>
        <v/>
      </c>
      <c r="AR75" s="144" t="str">
        <f t="shared" si="18"/>
        <v/>
      </c>
      <c r="AS75" s="176" t="str">
        <f t="shared" si="19"/>
        <v/>
      </c>
      <c r="AT75" s="176" t="str">
        <f t="shared" si="135"/>
        <v xml:space="preserve"> </v>
      </c>
      <c r="AU75" s="176" t="str">
        <f t="shared" si="20"/>
        <v/>
      </c>
      <c r="AV75" s="177" t="str">
        <f t="shared" si="21"/>
        <v xml:space="preserve"> </v>
      </c>
      <c r="AW75" s="144" t="str">
        <f t="shared" si="22"/>
        <v xml:space="preserve"> </v>
      </c>
      <c r="AX75" s="144" t="str">
        <f t="shared" si="23"/>
        <v xml:space="preserve"> </v>
      </c>
      <c r="AY75" s="152" t="str">
        <f t="shared" si="24"/>
        <v xml:space="preserve"> </v>
      </c>
      <c r="AZ75" s="246" t="str">
        <f t="shared" si="25"/>
        <v/>
      </c>
      <c r="BA75" s="176" t="str">
        <f t="shared" si="26"/>
        <v xml:space="preserve"> </v>
      </c>
      <c r="BB75" s="176" t="str">
        <f t="shared" si="27"/>
        <v xml:space="preserve"> </v>
      </c>
      <c r="BC75" s="195"/>
      <c r="BD75" s="316"/>
      <c r="BE75" s="317"/>
      <c r="BF75" s="318"/>
      <c r="BG75" s="318"/>
      <c r="BH75" s="144" t="str">
        <f t="shared" si="219"/>
        <v xml:space="preserve"> </v>
      </c>
      <c r="BI75" s="176" t="str">
        <f t="shared" si="28"/>
        <v/>
      </c>
      <c r="BJ75" s="144" t="str">
        <f t="shared" si="220"/>
        <v/>
      </c>
      <c r="BK75" s="246" t="str">
        <f t="shared" si="29"/>
        <v/>
      </c>
      <c r="BL75" s="144" t="str">
        <f t="shared" si="221"/>
        <v/>
      </c>
      <c r="BM75" s="246" t="str">
        <f t="shared" si="30"/>
        <v/>
      </c>
      <c r="BN75" s="337" t="str">
        <f t="shared" si="136"/>
        <v/>
      </c>
      <c r="BO75" s="371" t="str">
        <f t="shared" si="137"/>
        <v/>
      </c>
      <c r="BP75" s="328" t="str">
        <f t="shared" si="222"/>
        <v xml:space="preserve"> </v>
      </c>
      <c r="BQ75" s="347" t="str">
        <f t="shared" si="138"/>
        <v xml:space="preserve"> </v>
      </c>
      <c r="BR75" s="353" t="str">
        <f t="shared" si="223"/>
        <v xml:space="preserve"> </v>
      </c>
      <c r="BS75" s="626" t="str">
        <f>IF(L75&gt;0,IF(Calculation!P75="M13",BR75*3.1416*(0.134^2)/(4*144),IF(Calculation!P75="M17",BR75*3.1416*(0.165^2)/(4*144),IF(Calculation!P75="M20",BR75*3.1416*(0.198^2)/(4*144),IF(Calculation!P75="M23",BR75*3.1416*(0.228^2)/(4*144),IF(Calculation!P75="M27",BR75*3.1416*(0.269^2)/(4*144),BR75*3.1416*(0.307^2)/(4*144))))))," ")</f>
        <v xml:space="preserve"> </v>
      </c>
      <c r="BT75" s="353" t="str">
        <f>IF(L75&gt;0,IF(BS75&gt;0,R75/Calculation!BS75,0)," ")</f>
        <v xml:space="preserve"> </v>
      </c>
      <c r="BU75" s="438" t="e">
        <f t="shared" ca="1" si="31"/>
        <v>#VALUE!</v>
      </c>
      <c r="BV75" s="449" t="e">
        <f ca="1">INDEX(INDIRECT(VLOOKUP(LEFT(BO75,7),CLU!$Z$3:$AH$18,2)),GN75,GR75)</f>
        <v>#N/A</v>
      </c>
      <c r="BW75" s="433" t="e">
        <f ca="1">INDEX(INDIRECT(VLOOKUP(LEFT(BO75,7),CLU!$Z$3:$AH$18,3)),GN75,GR75)</f>
        <v>#N/A</v>
      </c>
      <c r="BX75" s="433" t="e">
        <f ca="1">INDEX(INDIRECT(VLOOKUP(LEFT(BO75,7),CLU!$Z$3:$AH$18,4)),GN75,GR75)</f>
        <v>#N/A</v>
      </c>
      <c r="BY75" s="433" t="e">
        <f ca="1">INDEX(INDIRECT(VLOOKUP(LEFT(BO75,7),CLU!$Z$3:$AH$18,9)),((M75-2)*(6-COUNTBLANK(GT75:GY75)))+GJ75)</f>
        <v>#N/A</v>
      </c>
      <c r="BZ75" s="426" t="e">
        <f t="shared" ca="1" si="139"/>
        <v>#N/A</v>
      </c>
      <c r="CA75" s="424" t="e">
        <f t="shared" ca="1" si="140"/>
        <v>#N/A</v>
      </c>
      <c r="CB75" s="429" t="e">
        <f ca="1">INDEX(INDIRECT(VLOOKUP(LEFT(BO75,7),CLU!$Z$3:$AH$18,2)),GN75,GS75)</f>
        <v>#N/A</v>
      </c>
      <c r="CC75" s="342" t="e">
        <f ca="1">INDEX(INDIRECT(VLOOKUP(LEFT(BO75,7),CLU!$Z$3:$AH$18,3)),GN75,GS75)</f>
        <v>#N/A</v>
      </c>
      <c r="CD75" s="342" t="e">
        <f ca="1">INDEX(INDIRECT(VLOOKUP(LEFT(BO75,7),CLU!$Z$3:$AH$18,4)),GN75,GS75)</f>
        <v>#N/A</v>
      </c>
      <c r="CE75" s="426" t="e">
        <f t="shared" ca="1" si="141"/>
        <v>#N/A</v>
      </c>
      <c r="CF75" s="440">
        <f t="shared" si="142"/>
        <v>0</v>
      </c>
      <c r="CG75" s="431" t="e">
        <f ca="1">INDEX(INDIRECT(VLOOKUP(LEFT(BO75,7),CLU!$Z$3:$AH$18,2)),GQ75,GR75)</f>
        <v>#N/A</v>
      </c>
      <c r="CH75" s="431" t="e">
        <f ca="1">INDEX(INDIRECT(VLOOKUP(LEFT(BO75,7),CLU!$Z$3:$AH$18,3)),GQ75,GR75)</f>
        <v>#N/A</v>
      </c>
      <c r="CI75" s="431" t="e">
        <f ca="1">INDEX(INDIRECT(VLOOKUP(LEFT(BO75,7),CLU!$Z$3:$AH$18,4)),GQ75,GR75)</f>
        <v>#N/A</v>
      </c>
      <c r="CJ75" s="448" t="e">
        <f t="shared" ca="1" si="143"/>
        <v>#N/A</v>
      </c>
      <c r="CK75" s="431" t="e">
        <f t="shared" ca="1" si="144"/>
        <v>#N/A</v>
      </c>
      <c r="CL75" s="440" t="e">
        <f t="shared" ca="1" si="145"/>
        <v>#N/A</v>
      </c>
      <c r="CM75" s="431" t="e">
        <f ca="1">INDEX(INDIRECT(VLOOKUP(LEFT(BO75,7),CLU!$Z$3:$AH$18,2)),GQ75,GS75)</f>
        <v>#N/A</v>
      </c>
      <c r="CN75" s="431" t="e">
        <f ca="1">INDEX(INDIRECT(VLOOKUP(LEFT(BO75,7),CLU!$Z$3:$AH$18,3)),GQ75,GS75)</f>
        <v>#N/A</v>
      </c>
      <c r="CO75" s="431" t="e">
        <f ca="1">INDEX(INDIRECT(VLOOKUP(LEFT(BO75,7),CLU!$Z$3:$AH$18,4)),GQ75,GS75)</f>
        <v>#N/A</v>
      </c>
      <c r="CP75" s="431" t="e">
        <f t="shared" ca="1" si="146"/>
        <v>#N/A</v>
      </c>
      <c r="CQ75" s="440">
        <f t="shared" si="147"/>
        <v>0</v>
      </c>
      <c r="CR75" s="51" t="e">
        <f t="shared" ca="1" si="148"/>
        <v>#N/A</v>
      </c>
      <c r="CS75" s="439" t="e">
        <f t="shared" ca="1" si="149"/>
        <v>#VALUE!</v>
      </c>
      <c r="CT75" s="51" t="e">
        <f t="shared" ca="1" si="150"/>
        <v>#VALUE!</v>
      </c>
      <c r="CU75" s="10"/>
      <c r="CV75" s="51" t="e">
        <f t="shared" ca="1" si="34"/>
        <v>#VALUE!</v>
      </c>
      <c r="CW75" s="51">
        <f t="shared" si="151"/>
        <v>0</v>
      </c>
      <c r="CX75" s="439" t="e">
        <f t="shared" ca="1" si="152"/>
        <v>#VALUE!</v>
      </c>
      <c r="CY75" s="51" t="e">
        <f t="shared" ca="1" si="153"/>
        <v>#VALUE!</v>
      </c>
      <c r="CZ75" s="10"/>
      <c r="DA75" s="51" t="e">
        <f t="shared" ca="1" si="154"/>
        <v>#VALUE!</v>
      </c>
      <c r="DB75" s="347" t="e">
        <f ca="1">INDEX(INDIRECT(VLOOKUP(LEFT(BO75,7),CLU!$Z$3:$AI$18,10)),((M75-2)*(6-COUNTBLANK(GT75:GY75)))+GJ75)*LI75</f>
        <v>#N/A</v>
      </c>
      <c r="DC75" s="347" t="str">
        <f>IF(L75&gt;0,((R75/Worksheet!$I$15)/DB75)^2," ")</f>
        <v xml:space="preserve"> </v>
      </c>
      <c r="DD75" s="602" t="str">
        <f t="shared" si="224"/>
        <v xml:space="preserve"> </v>
      </c>
      <c r="DE75" s="347" t="str">
        <f t="shared" si="35"/>
        <v xml:space="preserve"> </v>
      </c>
      <c r="DF75" s="356" t="e">
        <f ca="1">INDEX(INDIRECT(VLOOKUP(LEFT(BO75,7),CLU!$Z$3:$AH$18,8)),((M75-2)*(6-COUNTBLANK(GT75:GY75)))+GJ75)</f>
        <v>#N/A</v>
      </c>
      <c r="DG75" s="347" t="str">
        <f t="shared" si="36"/>
        <v xml:space="preserve"> </v>
      </c>
      <c r="DH75" s="357" t="str">
        <f t="shared" si="37"/>
        <v xml:space="preserve"> </v>
      </c>
      <c r="DI75" s="355" t="str">
        <f t="shared" si="38"/>
        <v xml:space="preserve"> </v>
      </c>
      <c r="DJ75" s="245" t="e">
        <f ca="1">INDEX(INDIRECT(VLOOKUP(LEFT(BO75,7),CLU!$Z$3:$AH$18,5)),GL75,GK75)</f>
        <v>#N/A</v>
      </c>
      <c r="DK75" s="245" t="e">
        <f ca="1">INDEX(INDIRECT(VLOOKUP(LEFT(BO75,7),CLU!$Z$3:$AH$18,6)),GL75,GK75)</f>
        <v>#N/A</v>
      </c>
      <c r="DL75" s="355">
        <f>(Calculation!R75*0.69143*(Calculation!$BQ$8-Calculation!$F$8))*$S$14</f>
        <v>0</v>
      </c>
      <c r="DM75" s="359" t="e">
        <f t="shared" si="160"/>
        <v>#VALUE!</v>
      </c>
      <c r="DN75" s="611">
        <f t="shared" si="161"/>
        <v>0</v>
      </c>
      <c r="DO75" s="359">
        <f t="shared" si="162"/>
        <v>100</v>
      </c>
      <c r="DP75" s="359">
        <f t="shared" si="163"/>
        <v>0</v>
      </c>
      <c r="DQ75" s="360"/>
      <c r="DR75" s="245" t="e">
        <f ca="1">INDEX(INDIRECT(VLOOKUP(LEFT(BO75,7),CLU!$Z$3:$AH$18,7)),M75-1,1)</f>
        <v>#N/A</v>
      </c>
      <c r="DS75" s="245" t="e">
        <f ca="1">INDEX(INDIRECT(VLOOKUP(LEFT(BO75,7),CLU!$Z$3:$AH$18,7)),M75-1,2)</f>
        <v>#N/A</v>
      </c>
      <c r="DT75" s="245" t="e">
        <f ca="1">INDEX(INDIRECT(VLOOKUP(LEFT(BO75,7),CLU!$Z$3:$AH$18,7)),M75-1,3)</f>
        <v>#N/A</v>
      </c>
      <c r="DU75" s="245" t="e">
        <f ca="1">INDEX(INDIRECT(VLOOKUP(LEFT(BO75,7),CLU!$Z$3:$AH$18,7)),M75-1,4)</f>
        <v>#N/A</v>
      </c>
      <c r="DV75" s="361" t="e">
        <f ca="1">INDEX(INDIRECT(VLOOKUP(LEFT(BO75,7),CLU!$Z$3:$AH$18,7)),M75-1,4+LEFT(DZ75,1)*0.5)</f>
        <v>#N/A</v>
      </c>
      <c r="DW75" s="245" t="e">
        <f ca="1">INDEX(INDIRECT(VLOOKUP(LEFT(BO75,7),CLU!$Z$3:$AH$18,7)),M75-1,8)</f>
        <v>#N/A</v>
      </c>
      <c r="DX75" s="361" t="str">
        <f t="shared" si="39"/>
        <v xml:space="preserve"> </v>
      </c>
      <c r="DY75" s="361" t="str">
        <f t="shared" si="40"/>
        <v xml:space="preserve"> </v>
      </c>
      <c r="DZ75" s="361" t="str">
        <f t="shared" si="41"/>
        <v xml:space="preserve"> </v>
      </c>
      <c r="EA75" s="362" t="str">
        <f t="shared" si="42"/>
        <v xml:space="preserve"> </v>
      </c>
      <c r="EB75" s="624" t="str">
        <f t="shared" si="168"/>
        <v xml:space="preserve"> </v>
      </c>
      <c r="EC75" s="361" t="e">
        <f ca="1">INDEX(INDIRECT(VLOOKUP(LEFT(BO75,7),CLU!$Z$3:$AH$18,7)),M75-1,4+LEFT(DZ75,1)*0.5)</f>
        <v>#N/A</v>
      </c>
      <c r="ED75" s="362" t="str">
        <f t="shared" si="43"/>
        <v xml:space="preserve"> </v>
      </c>
      <c r="EE75" s="361" t="str">
        <f t="shared" si="44"/>
        <v xml:space="preserve"> </v>
      </c>
      <c r="EF75" s="362" t="str">
        <f>IF(L75&gt;0,IF(BR75&gt;0,IF(EE75="2P",IF(Calculation!DZ75="2P",IF(Calculation!DS75=13.75,IF(Calculation!DR75=13,Worksheet!$BD$43,IF(Calculation!DR75=37,Worksheet!$BD$44,Worksheet!$BD$45)),IF(Calculation!DS75=10,IF(Calculation!DR75=18,Worksheet!$BD$29,IF(Calculation!DR75=30,Worksheet!$BD$30,IF(Calculation!DR75=42,Worksheet!$BD$31,IF(Calculation!DR75=54,Worksheet!$BD$32,IF(Calculation!DR75=66,Worksheet!$BD$33,IF(Calculation!DR75=78,Worksheet!$BD$34,IF(Calculation!DR75=90,Worksheet!$BD$35,IF(Calculation!DR75=102,Worksheet!$BD$36,Worksheet!$BD$37)))))))),IF(Calculation!DS75=12.5,IF(Calculation!DR75=18,Worksheet!$BD$38,IF(Calculation!DR75=Worksheet!$BD$39,IF(Calculation!DR75=42,Worksheet!$BD$40,IF(Calculation!DR75=54,Worksheet!$BD$41,Worksheet!$BD$42)))),IF(Calculation!DR75=18,Worksheet!$BD$11,IF(Calculation!DR75=30,Worksheet!$BD$12,IF(Calculation!DR75=42,Worksheet!$BD$13,IF(Calculation!DR75=54,Worksheet!$BD$14,IF(Calculation!DR75=66,Worksheet!$BD$15,IF(Calculation!DR75=78,Worksheet!$BD$16,IF(Calculation!DR75=90,Worksheet!$BD$17,IF(Calculation!DR75=102,Worksheet!$BD$18,Worksheet!$BD$19))))))))))),IF(Calculation!DS75=13.75,IF(Calculation!DR75=13,Worksheet!$BD$78,IF(Calculation!DR75=37,Worksheet!$BD$79,Worksheet!$BD$80)),IF(Calculation!DS75=10,IF(Calculation!DR75=18,Worksheet!$BD$64,IF(Calculation!DR75=30,Worksheet!$BD$65,IF(Calculation!DR75=42,Worksheet!$BD$66,IF(Calculation!DR75=54,Worksheet!$BD$68,IF(Calculation!DR75=66,Worksheet!$BD$68,IF(Calculation!DR75=78,Worksheet!$BD$69,IF(Calculation!DR75=90,Worksheet!$BD$70,IF(Calculation!DR75=102,Worksheet!$BD$71,Worksheet!$BD$72)))))))),IF(Calculation!DS75=12.5,IF(Calculation!DR75=18,Worksheet!$BD$73,IF(Calculation!DR75=Worksheet!$BD$74,IF(Calculation!DR75=42,Worksheet!$BD$75,IF(Calculation!DR75=54,Worksheet!$BD$76,Worksheet!$BD$77)))),IF(Calculation!DR75=18,Worksheet!$BD$55,IF(Calculation!DR75=30,Worksheet!$BD$56,IF(Calculation!DR75=42,Worksheet!$BD$57,IF(Calculation!DR75=54,Worksheet!$BD$58,IF(Calculation!DR75=66,Worksheet!$BD$59,IF(Calculation!DR75=78,Worksheet!$BD$60,IF(Calculation!DR75=90,Worksheet!$BD$61,IF(Calculation!DR75=102,Worksheet!$BD$62,Worksheet!$BD$63)))))))))))),5),0)," ")</f>
        <v xml:space="preserve"> </v>
      </c>
      <c r="EG75" s="361" t="str">
        <f t="shared" si="45"/>
        <v xml:space="preserve"> </v>
      </c>
      <c r="EH75" s="361" t="e">
        <f ca="1">INDEX(INDIRECT(VLOOKUP(LEFT(BO75,7),CLU!$Z$3:$AH$18,7)),M75-1,3+LEFT(DZ75,1))</f>
        <v>#N/A</v>
      </c>
      <c r="EI75" s="362" t="str">
        <f t="shared" si="46"/>
        <v xml:space="preserve"> </v>
      </c>
      <c r="EJ75" s="363" t="str">
        <f t="shared" si="47"/>
        <v xml:space="preserve"> </v>
      </c>
      <c r="EK75" s="363" t="str">
        <f t="shared" si="48"/>
        <v xml:space="preserve"> </v>
      </c>
      <c r="EL75" s="363" t="str">
        <f t="shared" si="49"/>
        <v xml:space="preserve"> </v>
      </c>
      <c r="EM75" s="362" t="str">
        <f>IF(L75&gt;0,IF(BR75&gt;0,(Calculation!T75/ED75)^2,0)," ")</f>
        <v xml:space="preserve"> </v>
      </c>
      <c r="EN75" s="362" t="str">
        <f>IF(L75&gt;0,IF(O75="2 Pipe (Cooling)","N/A",IF(BR75&gt;0,(Calculation!U75/EI75)^2,0))," ")</f>
        <v xml:space="preserve"> </v>
      </c>
      <c r="EO75" s="361" t="str">
        <f t="shared" si="50"/>
        <v/>
      </c>
      <c r="EP75" s="361" t="str">
        <f t="shared" si="51"/>
        <v/>
      </c>
      <c r="EQ75" s="361" t="str">
        <f t="shared" si="52"/>
        <v/>
      </c>
      <c r="ER75" s="361" t="str">
        <f t="shared" si="53"/>
        <v/>
      </c>
      <c r="ES75" s="361" t="str">
        <f t="shared" si="54"/>
        <v/>
      </c>
      <c r="ET75" s="361" t="str">
        <f t="shared" si="55"/>
        <v/>
      </c>
      <c r="EU75" s="361" t="str">
        <f t="shared" si="56"/>
        <v/>
      </c>
      <c r="EV75" s="361" t="str">
        <f t="shared" si="57"/>
        <v/>
      </c>
      <c r="EW75" s="361" t="str">
        <f t="shared" si="58"/>
        <v/>
      </c>
      <c r="EX75" s="361" t="str">
        <f t="shared" si="169"/>
        <v>1 slot, 1 way</v>
      </c>
      <c r="EY75" s="361" t="str">
        <f t="shared" si="170"/>
        <v xml:space="preserve"> </v>
      </c>
      <c r="EZ75" s="361" t="str">
        <f t="shared" si="171"/>
        <v xml:space="preserve"> </v>
      </c>
      <c r="FA75" s="361" t="str">
        <f t="shared" si="172"/>
        <v xml:space="preserve"> </v>
      </c>
      <c r="FB75" s="361" t="str">
        <f t="shared" si="173"/>
        <v xml:space="preserve"> </v>
      </c>
      <c r="FC75" s="361"/>
      <c r="FD75" s="361" t="str">
        <f>IF(J75&gt;0,IF(Calculation!R75&lt;=70,4,IF(Calculation!R75&lt;=110,5,IF(Calculation!R75&lt;=160,6,IF(Calculation!R75&lt;=300,8,"10 EO")))),"")</f>
        <v/>
      </c>
      <c r="FE75" s="361" t="str">
        <f t="shared" si="174"/>
        <v/>
      </c>
      <c r="FF75" s="361" t="str">
        <f t="shared" si="175"/>
        <v/>
      </c>
      <c r="FG75" s="361" t="e">
        <f t="shared" si="60"/>
        <v>#N/A</v>
      </c>
      <c r="FH75" s="361">
        <f t="shared" si="61"/>
        <v>0</v>
      </c>
      <c r="FI75" s="361" t="e">
        <f t="shared" si="62"/>
        <v>#DIV/0!</v>
      </c>
      <c r="FJ75" s="361"/>
      <c r="FK75" s="356" t="e">
        <f t="shared" si="63"/>
        <v>#VALUE!</v>
      </c>
      <c r="FL75" s="361"/>
      <c r="FM75" s="361"/>
      <c r="FN75" s="362" t="str">
        <f t="shared" si="176"/>
        <v xml:space="preserve"> </v>
      </c>
      <c r="FO75" s="362" t="str">
        <f t="shared" si="177"/>
        <v xml:space="preserve"> </v>
      </c>
      <c r="FP75" s="362">
        <f t="shared" si="178"/>
        <v>0</v>
      </c>
      <c r="FQ75" s="361">
        <f t="shared" si="64"/>
        <v>0</v>
      </c>
      <c r="FR75" s="362" t="str">
        <f>IF(L75&gt;0,IF(J75="CBAL2",Worksheet!$P$67,IF(J75="CBE2-24",Worksheet!$Q$67,IF(J75="CBAM",Worksheet!$R$67,IF(J75="CBLV",Worksheet!$S$67,IF(J75="CBAB",Worksheet!$U$67,IF(J75="CBAW",Worksheet!$X$67,IF(J75="CBE2-12",Worksheet!$Y$67,IF(J75="CBAL2",Worksheet!$Z$67,"N/A"))))))))," ")</f>
        <v xml:space="preserve"> </v>
      </c>
      <c r="FS75" s="362" t="str">
        <f>IF(L75&gt;0,IF(J75="CBAL2",Worksheet!$P$68,IF(J75="CBE2-24",Worksheet!$Q$68,IF(J75="CBAM",Worksheet!$R$68,IF(J75="CBLV",Worksheet!$S$68,IF(J75="CBAB",Worksheet!$U$68,IF(J75="CBAW",Worksheet!$X$68,IF(J75="CBE2-12",Worksheet!$Y$68,IF(J75="CBAL2",Worksheet!$Z$68,"N/A"))))))))," ")</f>
        <v xml:space="preserve"> </v>
      </c>
      <c r="FT75" s="362" t="str">
        <f>IF(L75&gt;0,IF(J75="CBAL2",Worksheet!$P$69,IF(J75="CBE2-24",Worksheet!$Q$69,IF(J75="CBAM",Worksheet!$R$69,IF(J75="CBLV",Worksheet!$S$69,IF(J75="CBAB",Worksheet!$U$69,IF(J75="CBAW",Worksheet!$X$69,IF(J75="CBE2-12",Worksheet!$Y$69,IF(J75="CBAL2",Worksheet!$Z$69,"N/A"))))))))," ")</f>
        <v xml:space="preserve"> </v>
      </c>
      <c r="FU75" s="361" t="str">
        <f t="shared" si="179"/>
        <v xml:space="preserve"> </v>
      </c>
      <c r="FV75" s="362" t="str">
        <f t="shared" si="180"/>
        <v xml:space="preserve"> </v>
      </c>
      <c r="FW75" s="362" t="str">
        <f t="shared" si="181"/>
        <v xml:space="preserve"> </v>
      </c>
      <c r="FX75" s="362" t="str">
        <f t="shared" si="182"/>
        <v xml:space="preserve"> </v>
      </c>
      <c r="FY75" s="355" t="str">
        <f t="shared" si="183"/>
        <v xml:space="preserve"> </v>
      </c>
      <c r="FZ75" s="361" t="str">
        <f t="shared" si="184"/>
        <v xml:space="preserve"> </v>
      </c>
      <c r="GA75" s="347" t="str">
        <f t="shared" si="185"/>
        <v xml:space="preserve"> </v>
      </c>
      <c r="GB75" s="355" t="str">
        <f t="shared" si="186"/>
        <v xml:space="preserve"> </v>
      </c>
      <c r="GC75" s="328" t="str">
        <f t="shared" si="187"/>
        <v xml:space="preserve"> </v>
      </c>
      <c r="GD75" s="361" t="str">
        <f t="shared" si="188"/>
        <v xml:space="preserve"> </v>
      </c>
      <c r="GE75" s="347" t="str">
        <f t="shared" si="189"/>
        <v xml:space="preserve"> </v>
      </c>
      <c r="GF75" s="361" t="str">
        <f t="shared" si="190"/>
        <v xml:space="preserve"> </v>
      </c>
      <c r="GG75" s="347" t="str">
        <f t="shared" si="191"/>
        <v xml:space="preserve"> </v>
      </c>
      <c r="GH75" s="364">
        <f t="shared" si="78"/>
        <v>0</v>
      </c>
      <c r="GI75" s="362">
        <f t="shared" si="192"/>
        <v>2</v>
      </c>
      <c r="GJ75" s="433" t="e">
        <f>IF(6-COUNTBLANK(GT75:GY75)=4,MATCH(MID(BO75,9,3),CLU!$H$16:$K$16),MATCH(MID(BO75,9,3),CLU!$H$13:$M$13))</f>
        <v>#N/A</v>
      </c>
      <c r="GK75" s="433" t="e">
        <f>HLOOKUP(VALUE(BP75),CLU!$H$9:$M$10,2)</f>
        <v>#VALUE!</v>
      </c>
      <c r="GL75" s="433" t="e">
        <f ca="1">MATCH(BU75,CLU!$H$2:$V$2,1)</f>
        <v>#VALUE!</v>
      </c>
      <c r="GM75" s="433" t="e">
        <f t="shared" ca="1" si="193"/>
        <v>#VALUE!</v>
      </c>
      <c r="GN75" s="433" t="e">
        <f t="shared" ca="1" si="194"/>
        <v>#VALUE!</v>
      </c>
      <c r="GO75" s="433" t="e">
        <f t="shared" ca="1" si="195"/>
        <v>#VALUE!</v>
      </c>
      <c r="GP75" s="433" t="e">
        <f t="shared" ca="1" si="196"/>
        <v>#VALUE!</v>
      </c>
      <c r="GQ75" s="433" t="e">
        <f t="shared" ca="1" si="197"/>
        <v>#VALUE!</v>
      </c>
      <c r="GR75" s="433" t="e">
        <f ca="1">MATCH(T75,INDIRECT(VLOOKUP(CONCATENATE(LEFT(BO75,7),"-",MID(BO75,13,1)),CLU!$P$3:$Q$16,2)),1)</f>
        <v>#N/A</v>
      </c>
      <c r="GS75" s="433" t="e">
        <f ca="1">MATCH(U75,INDIRECT(VLOOKUP(CONCATENATE(LEFT(BO75,7),"-",MID(BO75,13,1)),CLU!$P$3:$Q$16,2)),1)</f>
        <v>#N/A</v>
      </c>
      <c r="GT75" s="347" t="s">
        <v>512</v>
      </c>
      <c r="GU75" s="97" t="s">
        <v>513</v>
      </c>
      <c r="GV75" s="97" t="str">
        <f t="shared" si="198"/>
        <v>M23</v>
      </c>
      <c r="GW75" s="97" t="str">
        <f t="shared" si="199"/>
        <v>M31</v>
      </c>
      <c r="GX75" s="97" t="str">
        <f t="shared" si="200"/>
        <v/>
      </c>
      <c r="GY75" s="97" t="str">
        <f t="shared" si="201"/>
        <v/>
      </c>
      <c r="GZ75" s="481"/>
      <c r="HA75" s="288"/>
      <c r="HB75" s="240"/>
      <c r="HC75" s="240"/>
      <c r="HD75" s="240"/>
      <c r="HE75" s="240"/>
      <c r="HF75" s="240"/>
      <c r="HG75" s="240"/>
      <c r="HH75" s="240"/>
      <c r="HI75" s="240"/>
      <c r="HJ75" s="240"/>
      <c r="HK75" s="240"/>
      <c r="HL75" s="240"/>
      <c r="HM75" s="240"/>
      <c r="HN75" s="240"/>
      <c r="HO75" s="240"/>
      <c r="HP75" s="240"/>
      <c r="HQ75" s="240"/>
      <c r="HR75" s="240"/>
      <c r="HS75" s="240"/>
      <c r="HT75" s="240"/>
      <c r="HU75" s="240"/>
      <c r="HV75" s="245"/>
      <c r="HW75" s="245" t="b">
        <v>1</v>
      </c>
      <c r="HX75" s="245" t="str">
        <f t="shared" si="79"/>
        <v/>
      </c>
      <c r="HY75" s="245" t="e">
        <f t="shared" si="80"/>
        <v>#DIV/0!</v>
      </c>
      <c r="HZ75" s="245" t="e">
        <f t="shared" si="81"/>
        <v>#DIV/0!</v>
      </c>
      <c r="IA75" s="245">
        <f t="shared" si="82"/>
        <v>0</v>
      </c>
      <c r="IB75" s="245"/>
      <c r="IC75" t="b">
        <f t="shared" si="83"/>
        <v>1</v>
      </c>
      <c r="ID75" s="245" t="b">
        <f t="shared" si="84"/>
        <v>1</v>
      </c>
      <c r="IE75" s="245" t="b">
        <f t="shared" si="85"/>
        <v>1</v>
      </c>
      <c r="IF75" s="245" t="b">
        <f t="shared" si="86"/>
        <v>0</v>
      </c>
      <c r="IG75" s="245" t="b">
        <f t="shared" si="87"/>
        <v>1</v>
      </c>
      <c r="IH75" s="245" t="b">
        <f t="shared" si="88"/>
        <v>1</v>
      </c>
      <c r="II75" s="245">
        <f t="shared" si="202"/>
        <v>0</v>
      </c>
      <c r="IJ75" s="245" t="e">
        <f t="shared" si="89"/>
        <v>#VALUE!</v>
      </c>
      <c r="IK75" s="245" t="e">
        <f t="shared" si="90"/>
        <v>#VALUE!</v>
      </c>
      <c r="IL75" s="245"/>
      <c r="IM75" s="245" t="e">
        <f t="shared" si="203"/>
        <v>#N/A</v>
      </c>
      <c r="IN75" s="245" t="e">
        <f t="shared" si="204"/>
        <v>#N/A</v>
      </c>
      <c r="IO75" s="245"/>
      <c r="IP75" s="245"/>
      <c r="IQ75" s="245" t="str">
        <f t="shared" si="91"/>
        <v/>
      </c>
      <c r="IR75" s="245" t="str">
        <f>IF(J75="","",VLOOKUP(J75,Worksheet!$R$4:$T$14,2))</f>
        <v/>
      </c>
      <c r="IS75" s="245"/>
      <c r="IT75" s="245">
        <f t="shared" si="92"/>
        <v>0</v>
      </c>
      <c r="IU75" s="245">
        <f t="shared" si="93"/>
        <v>0</v>
      </c>
      <c r="IV75" s="245">
        <f t="shared" si="94"/>
        <v>0</v>
      </c>
      <c r="IW75" s="245">
        <f t="shared" si="95"/>
        <v>0</v>
      </c>
      <c r="IX75" s="245">
        <f t="shared" si="205"/>
        <v>0</v>
      </c>
      <c r="IY75" s="245">
        <f t="shared" si="96"/>
        <v>0</v>
      </c>
      <c r="IZ75" s="245">
        <f t="shared" si="97"/>
        <v>0</v>
      </c>
      <c r="JA75">
        <f t="shared" si="98"/>
        <v>0</v>
      </c>
      <c r="JB75">
        <f t="shared" si="206"/>
        <v>0</v>
      </c>
      <c r="JC75">
        <f t="shared" si="99"/>
        <v>0</v>
      </c>
      <c r="JD75">
        <f t="shared" si="100"/>
        <v>0</v>
      </c>
      <c r="JE75">
        <f t="shared" si="101"/>
        <v>0</v>
      </c>
      <c r="JF75">
        <f t="shared" si="102"/>
        <v>0</v>
      </c>
      <c r="JG75">
        <f t="shared" si="103"/>
        <v>0</v>
      </c>
      <c r="JH75">
        <f t="shared" si="104"/>
        <v>0</v>
      </c>
      <c r="JI75">
        <f t="shared" si="105"/>
        <v>0</v>
      </c>
      <c r="JJ75" s="447">
        <f t="shared" si="106"/>
        <v>0</v>
      </c>
      <c r="JK75" s="447">
        <f t="shared" si="107"/>
        <v>0</v>
      </c>
      <c r="JL75">
        <f t="shared" si="108"/>
        <v>0</v>
      </c>
      <c r="JM75" s="245" t="str">
        <f>IFERROR(VLOOKUP(MATCH(BN75,#REF!,0),#REF!,7),"")</f>
        <v/>
      </c>
      <c r="JN75" t="e">
        <f>HLOOKUP(LEFT(BO75,7),Discharge_Area,MATCH(JO75,LookUps!$B$130:$B$149,1)+2)</f>
        <v>#N/A</v>
      </c>
      <c r="JO75" t="str">
        <f t="shared" si="109"/>
        <v>- S</v>
      </c>
      <c r="JP75" t="e">
        <f>HLOOKUP(LEFT(BO75,7),Discharge_Area,MATCH(JO75,LookUps!$B$130:$B$149,1)+2)</f>
        <v>#N/A</v>
      </c>
      <c r="JQ75" t="e">
        <f t="shared" si="110"/>
        <v>#N/A</v>
      </c>
      <c r="JR75" t="e">
        <f t="shared" si="111"/>
        <v>#N/A</v>
      </c>
      <c r="JS75" t="e">
        <f t="shared" si="112"/>
        <v>#N/A</v>
      </c>
      <c r="JT75" s="532" t="str">
        <f t="shared" si="113"/>
        <v xml:space="preserve"> </v>
      </c>
      <c r="JU75" s="532" t="str">
        <f t="shared" si="114"/>
        <v xml:space="preserve"> </v>
      </c>
      <c r="JV75" s="533" t="str">
        <f t="shared" si="115"/>
        <v xml:space="preserve"> </v>
      </c>
      <c r="JW75" s="534">
        <f t="shared" si="116"/>
        <v>0</v>
      </c>
      <c r="JX75" s="535" t="str">
        <f t="shared" si="207"/>
        <v xml:space="preserve"> </v>
      </c>
      <c r="JY75" s="535" t="str">
        <f t="shared" si="208"/>
        <v xml:space="preserve"> </v>
      </c>
      <c r="JZ75" s="535" t="str">
        <f t="shared" si="209"/>
        <v xml:space="preserve"> </v>
      </c>
      <c r="KA75" s="536" t="str">
        <f t="shared" si="117"/>
        <v xml:space="preserve"> </v>
      </c>
      <c r="KB75" s="535" t="e">
        <f t="shared" si="210"/>
        <v>#VALUE!</v>
      </c>
      <c r="KC75" s="535" t="str">
        <f t="shared" si="118"/>
        <v/>
      </c>
      <c r="KD75" s="537" t="str">
        <f t="shared" si="211"/>
        <v xml:space="preserve"> </v>
      </c>
      <c r="KE75" s="537" t="str">
        <f t="shared" si="212"/>
        <v xml:space="preserve"> </v>
      </c>
      <c r="KF75" s="534">
        <f t="shared" si="119"/>
        <v>0</v>
      </c>
      <c r="KG75" s="535" t="str">
        <f t="shared" si="120"/>
        <v xml:space="preserve"> </v>
      </c>
      <c r="KH75" s="535" t="str">
        <f t="shared" si="121"/>
        <v xml:space="preserve"> </v>
      </c>
      <c r="KI75" s="535" t="str">
        <f t="shared" si="122"/>
        <v xml:space="preserve"> </v>
      </c>
      <c r="KJ75" s="536" t="str">
        <f t="shared" si="123"/>
        <v xml:space="preserve"> </v>
      </c>
      <c r="KK75" s="535" t="str">
        <f t="shared" si="213"/>
        <v xml:space="preserve"> </v>
      </c>
      <c r="KL75" s="535" t="str">
        <f t="shared" si="214"/>
        <v xml:space="preserve"> </v>
      </c>
      <c r="KM75" s="537" t="str">
        <f t="shared" si="124"/>
        <v xml:space="preserve"> </v>
      </c>
      <c r="KN75" s="537" t="str">
        <f t="shared" si="215"/>
        <v xml:space="preserve"> </v>
      </c>
      <c r="KP75">
        <f t="shared" si="125"/>
        <v>0</v>
      </c>
      <c r="LA75" t="e">
        <f t="shared" si="126"/>
        <v>#VALUE!</v>
      </c>
      <c r="LB75" t="e">
        <f t="shared" si="127"/>
        <v>#VALUE!</v>
      </c>
      <c r="LC75" t="e">
        <f t="shared" si="128"/>
        <v>#VALUE!</v>
      </c>
      <c r="LD75" t="e">
        <f t="shared" si="129"/>
        <v>#VALUE!</v>
      </c>
      <c r="LE75" t="e">
        <f t="shared" si="216"/>
        <v>#VALUE!</v>
      </c>
      <c r="LF75">
        <f t="shared" si="130"/>
        <v>0</v>
      </c>
      <c r="LG75" t="e">
        <f t="shared" si="217"/>
        <v>#VALUE!</v>
      </c>
      <c r="LH75" t="str">
        <f t="shared" si="131"/>
        <v xml:space="preserve"> </v>
      </c>
      <c r="LI75">
        <f t="shared" si="218"/>
        <v>1</v>
      </c>
    </row>
    <row r="76" spans="2:321" ht="15" customHeight="1">
      <c r="B76" s="311"/>
      <c r="C76" s="311"/>
      <c r="D76" s="312"/>
      <c r="E76" s="311"/>
      <c r="F76" s="312"/>
      <c r="G76" s="311"/>
      <c r="H76" s="311"/>
      <c r="I76" s="37"/>
      <c r="J76" s="311"/>
      <c r="K76" s="305" t="str">
        <f t="shared" si="132"/>
        <v/>
      </c>
      <c r="L76" s="313"/>
      <c r="M76" s="312"/>
      <c r="N76" s="311"/>
      <c r="O76" s="312"/>
      <c r="P76" s="311"/>
      <c r="Q76" s="305" t="str">
        <f t="shared" si="133"/>
        <v/>
      </c>
      <c r="R76" s="314"/>
      <c r="S76" s="450" t="str">
        <f t="shared" si="0"/>
        <v/>
      </c>
      <c r="T76" s="315"/>
      <c r="U76" s="315"/>
      <c r="W76" s="149" t="str">
        <f t="shared" si="1"/>
        <v xml:space="preserve"> </v>
      </c>
      <c r="X76" s="243" t="str">
        <f t="shared" si="2"/>
        <v xml:space="preserve"> </v>
      </c>
      <c r="Y76" s="150" t="str">
        <f t="shared" si="3"/>
        <v/>
      </c>
      <c r="Z76" s="149" t="str">
        <f t="shared" si="4"/>
        <v xml:space="preserve"> </v>
      </c>
      <c r="AA76" s="98" t="str">
        <f t="shared" si="5"/>
        <v xml:space="preserve"> </v>
      </c>
      <c r="AB76" s="153" t="str">
        <f t="shared" si="6"/>
        <v xml:space="preserve"> </v>
      </c>
      <c r="AC76" s="153" t="str">
        <f t="shared" si="7"/>
        <v xml:space="preserve"> </v>
      </c>
      <c r="AD76" s="148" t="str">
        <f t="shared" si="8"/>
        <v/>
      </c>
      <c r="AE76" s="149" t="str">
        <f t="shared" si="9"/>
        <v/>
      </c>
      <c r="AF76" s="151" t="str">
        <f t="shared" si="10"/>
        <v xml:space="preserve"> </v>
      </c>
      <c r="AG76" s="153" t="str">
        <f t="shared" si="11"/>
        <v xml:space="preserve"> </v>
      </c>
      <c r="AH76" s="98" t="str">
        <f t="shared" si="12"/>
        <v xml:space="preserve"> </v>
      </c>
      <c r="AI76" s="149" t="str">
        <f t="shared" si="13"/>
        <v xml:space="preserve"> </v>
      </c>
      <c r="AK76" s="144" t="str">
        <f t="shared" si="14"/>
        <v xml:space="preserve"> </v>
      </c>
      <c r="AL76" s="144"/>
      <c r="AM76" s="243" t="str">
        <f t="shared" si="15"/>
        <v xml:space="preserve"> </v>
      </c>
      <c r="AN76" s="149" t="str">
        <f t="shared" si="134"/>
        <v xml:space="preserve"> </v>
      </c>
      <c r="AO76" s="144" t="str">
        <f>IF(JB76&gt;0,IF(GI76=10,-R76*1.085*(Calculation!$F$6-Calculation!$F$13)*$S$14," "),"")</f>
        <v/>
      </c>
      <c r="AP76" s="144" t="str">
        <f t="shared" si="16"/>
        <v/>
      </c>
      <c r="AQ76" s="56" t="str">
        <f t="shared" si="17"/>
        <v/>
      </c>
      <c r="AR76" s="144" t="str">
        <f t="shared" si="18"/>
        <v/>
      </c>
      <c r="AS76" s="176" t="str">
        <f t="shared" si="19"/>
        <v/>
      </c>
      <c r="AT76" s="176" t="str">
        <f t="shared" si="135"/>
        <v xml:space="preserve"> </v>
      </c>
      <c r="AU76" s="176" t="str">
        <f t="shared" si="20"/>
        <v/>
      </c>
      <c r="AV76" s="177" t="str">
        <f t="shared" si="21"/>
        <v xml:space="preserve"> </v>
      </c>
      <c r="AW76" s="144" t="str">
        <f t="shared" si="22"/>
        <v xml:space="preserve"> </v>
      </c>
      <c r="AX76" s="144" t="str">
        <f t="shared" si="23"/>
        <v xml:space="preserve"> </v>
      </c>
      <c r="AY76" s="152" t="str">
        <f t="shared" si="24"/>
        <v xml:space="preserve"> </v>
      </c>
      <c r="AZ76" s="246" t="str">
        <f t="shared" si="25"/>
        <v/>
      </c>
      <c r="BA76" s="176" t="str">
        <f t="shared" si="26"/>
        <v xml:space="preserve"> </v>
      </c>
      <c r="BB76" s="176" t="str">
        <f t="shared" si="27"/>
        <v xml:space="preserve"> </v>
      </c>
      <c r="BC76" s="195"/>
      <c r="BD76" s="316"/>
      <c r="BE76" s="317"/>
      <c r="BF76" s="318"/>
      <c r="BG76" s="318"/>
      <c r="BH76" s="144" t="str">
        <f t="shared" si="219"/>
        <v xml:space="preserve"> </v>
      </c>
      <c r="BI76" s="176" t="str">
        <f t="shared" si="28"/>
        <v/>
      </c>
      <c r="BJ76" s="144" t="str">
        <f t="shared" si="220"/>
        <v/>
      </c>
      <c r="BK76" s="246" t="str">
        <f t="shared" si="29"/>
        <v/>
      </c>
      <c r="BL76" s="144" t="str">
        <f t="shared" si="221"/>
        <v/>
      </c>
      <c r="BM76" s="246" t="str">
        <f t="shared" si="30"/>
        <v/>
      </c>
      <c r="BN76" s="337" t="str">
        <f t="shared" si="136"/>
        <v/>
      </c>
      <c r="BO76" s="371" t="str">
        <f t="shared" si="137"/>
        <v/>
      </c>
      <c r="BP76" s="328" t="str">
        <f t="shared" si="222"/>
        <v xml:space="preserve"> </v>
      </c>
      <c r="BQ76" s="347" t="str">
        <f t="shared" si="138"/>
        <v xml:space="preserve"> </v>
      </c>
      <c r="BR76" s="353" t="str">
        <f t="shared" si="223"/>
        <v xml:space="preserve"> </v>
      </c>
      <c r="BS76" s="626" t="str">
        <f>IF(L76&gt;0,IF(Calculation!P76="M13",BR76*3.1416*(0.134^2)/(4*144),IF(Calculation!P76="M17",BR76*3.1416*(0.165^2)/(4*144),IF(Calculation!P76="M20",BR76*3.1416*(0.198^2)/(4*144),IF(Calculation!P76="M23",BR76*3.1416*(0.228^2)/(4*144),IF(Calculation!P76="M27",BR76*3.1416*(0.269^2)/(4*144),BR76*3.1416*(0.307^2)/(4*144))))))," ")</f>
        <v xml:space="preserve"> </v>
      </c>
      <c r="BT76" s="353" t="str">
        <f>IF(L76&gt;0,IF(BS76&gt;0,R76/Calculation!BS76,0)," ")</f>
        <v xml:space="preserve"> </v>
      </c>
      <c r="BU76" s="438" t="e">
        <f t="shared" ca="1" si="31"/>
        <v>#VALUE!</v>
      </c>
      <c r="BV76" s="449" t="e">
        <f ca="1">INDEX(INDIRECT(VLOOKUP(LEFT(BO76,7),CLU!$Z$3:$AH$18,2)),GN76,GR76)</f>
        <v>#N/A</v>
      </c>
      <c r="BW76" s="433" t="e">
        <f ca="1">INDEX(INDIRECT(VLOOKUP(LEFT(BO76,7),CLU!$Z$3:$AH$18,3)),GN76,GR76)</f>
        <v>#N/A</v>
      </c>
      <c r="BX76" s="433" t="e">
        <f ca="1">INDEX(INDIRECT(VLOOKUP(LEFT(BO76,7),CLU!$Z$3:$AH$18,4)),GN76,GR76)</f>
        <v>#N/A</v>
      </c>
      <c r="BY76" s="433" t="e">
        <f ca="1">INDEX(INDIRECT(VLOOKUP(LEFT(BO76,7),CLU!$Z$3:$AH$18,9)),((M76-2)*(6-COUNTBLANK(GT76:GY76)))+GJ76)</f>
        <v>#N/A</v>
      </c>
      <c r="BZ76" s="426" t="e">
        <f t="shared" ca="1" si="139"/>
        <v>#N/A</v>
      </c>
      <c r="CA76" s="424" t="e">
        <f t="shared" ca="1" si="140"/>
        <v>#N/A</v>
      </c>
      <c r="CB76" s="429" t="e">
        <f ca="1">INDEX(INDIRECT(VLOOKUP(LEFT(BO76,7),CLU!$Z$3:$AH$18,2)),GN76,GS76)</f>
        <v>#N/A</v>
      </c>
      <c r="CC76" s="342" t="e">
        <f ca="1">INDEX(INDIRECT(VLOOKUP(LEFT(BO76,7),CLU!$Z$3:$AH$18,3)),GN76,GS76)</f>
        <v>#N/A</v>
      </c>
      <c r="CD76" s="342" t="e">
        <f ca="1">INDEX(INDIRECT(VLOOKUP(LEFT(BO76,7),CLU!$Z$3:$AH$18,4)),GN76,GS76)</f>
        <v>#N/A</v>
      </c>
      <c r="CE76" s="426" t="e">
        <f t="shared" ca="1" si="141"/>
        <v>#N/A</v>
      </c>
      <c r="CF76" s="440">
        <f t="shared" si="142"/>
        <v>0</v>
      </c>
      <c r="CG76" s="431" t="e">
        <f ca="1">INDEX(INDIRECT(VLOOKUP(LEFT(BO76,7),CLU!$Z$3:$AH$18,2)),GQ76,GR76)</f>
        <v>#N/A</v>
      </c>
      <c r="CH76" s="431" t="e">
        <f ca="1">INDEX(INDIRECT(VLOOKUP(LEFT(BO76,7),CLU!$Z$3:$AH$18,3)),GQ76,GR76)</f>
        <v>#N/A</v>
      </c>
      <c r="CI76" s="431" t="e">
        <f ca="1">INDEX(INDIRECT(VLOOKUP(LEFT(BO76,7),CLU!$Z$3:$AH$18,4)),GQ76,GR76)</f>
        <v>#N/A</v>
      </c>
      <c r="CJ76" s="448" t="e">
        <f t="shared" ca="1" si="143"/>
        <v>#N/A</v>
      </c>
      <c r="CK76" s="431" t="e">
        <f t="shared" ca="1" si="144"/>
        <v>#N/A</v>
      </c>
      <c r="CL76" s="440" t="e">
        <f t="shared" ca="1" si="145"/>
        <v>#N/A</v>
      </c>
      <c r="CM76" s="431" t="e">
        <f ca="1">INDEX(INDIRECT(VLOOKUP(LEFT(BO76,7),CLU!$Z$3:$AH$18,2)),GQ76,GS76)</f>
        <v>#N/A</v>
      </c>
      <c r="CN76" s="431" t="e">
        <f ca="1">INDEX(INDIRECT(VLOOKUP(LEFT(BO76,7),CLU!$Z$3:$AH$18,3)),GQ76,GS76)</f>
        <v>#N/A</v>
      </c>
      <c r="CO76" s="431" t="e">
        <f ca="1">INDEX(INDIRECT(VLOOKUP(LEFT(BO76,7),CLU!$Z$3:$AH$18,4)),GQ76,GS76)</f>
        <v>#N/A</v>
      </c>
      <c r="CP76" s="431" t="e">
        <f t="shared" ca="1" si="146"/>
        <v>#N/A</v>
      </c>
      <c r="CQ76" s="440">
        <f t="shared" si="147"/>
        <v>0</v>
      </c>
      <c r="CR76" s="51" t="e">
        <f t="shared" ca="1" si="148"/>
        <v>#N/A</v>
      </c>
      <c r="CS76" s="439" t="e">
        <f t="shared" ca="1" si="149"/>
        <v>#VALUE!</v>
      </c>
      <c r="CT76" s="51" t="e">
        <f t="shared" ca="1" si="150"/>
        <v>#VALUE!</v>
      </c>
      <c r="CU76" s="10"/>
      <c r="CV76" s="51" t="e">
        <f t="shared" ca="1" si="34"/>
        <v>#VALUE!</v>
      </c>
      <c r="CW76" s="51">
        <f t="shared" si="151"/>
        <v>0</v>
      </c>
      <c r="CX76" s="439" t="e">
        <f t="shared" ca="1" si="152"/>
        <v>#VALUE!</v>
      </c>
      <c r="CY76" s="51" t="e">
        <f t="shared" ca="1" si="153"/>
        <v>#VALUE!</v>
      </c>
      <c r="CZ76" s="10"/>
      <c r="DA76" s="51" t="e">
        <f t="shared" ca="1" si="154"/>
        <v>#VALUE!</v>
      </c>
      <c r="DB76" s="347" t="e">
        <f ca="1">INDEX(INDIRECT(VLOOKUP(LEFT(BO76,7),CLU!$Z$3:$AI$18,10)),((M76-2)*(6-COUNTBLANK(GT76:GY76)))+GJ76)*LI76</f>
        <v>#N/A</v>
      </c>
      <c r="DC76" s="347" t="str">
        <f>IF(L76&gt;0,((R76/Worksheet!$I$15)/DB76)^2," ")</f>
        <v xml:space="preserve"> </v>
      </c>
      <c r="DD76" s="602" t="str">
        <f t="shared" si="224"/>
        <v xml:space="preserve"> </v>
      </c>
      <c r="DE76" s="347" t="str">
        <f t="shared" si="35"/>
        <v xml:space="preserve"> </v>
      </c>
      <c r="DF76" s="356" t="e">
        <f ca="1">INDEX(INDIRECT(VLOOKUP(LEFT(BO76,7),CLU!$Z$3:$AH$18,8)),((M76-2)*(6-COUNTBLANK(GT76:GY76)))+GJ76)</f>
        <v>#N/A</v>
      </c>
      <c r="DG76" s="347" t="str">
        <f t="shared" si="36"/>
        <v xml:space="preserve"> </v>
      </c>
      <c r="DH76" s="357" t="str">
        <f t="shared" si="37"/>
        <v xml:space="preserve"> </v>
      </c>
      <c r="DI76" s="355" t="str">
        <f t="shared" si="38"/>
        <v xml:space="preserve"> </v>
      </c>
      <c r="DJ76" s="245" t="e">
        <f ca="1">INDEX(INDIRECT(VLOOKUP(LEFT(BO76,7),CLU!$Z$3:$AH$18,5)),GL76,GK76)</f>
        <v>#N/A</v>
      </c>
      <c r="DK76" s="245" t="e">
        <f ca="1">INDEX(INDIRECT(VLOOKUP(LEFT(BO76,7),CLU!$Z$3:$AH$18,6)),GL76,GK76)</f>
        <v>#N/A</v>
      </c>
      <c r="DL76" s="355">
        <f>(Calculation!R76*0.69143*(Calculation!$BQ$8-Calculation!$F$8))*$S$14</f>
        <v>0</v>
      </c>
      <c r="DM76" s="359" t="e">
        <f t="shared" si="160"/>
        <v>#VALUE!</v>
      </c>
      <c r="DN76" s="611">
        <f t="shared" si="161"/>
        <v>0</v>
      </c>
      <c r="DO76" s="359">
        <f t="shared" si="162"/>
        <v>100</v>
      </c>
      <c r="DP76" s="359">
        <f t="shared" si="163"/>
        <v>0</v>
      </c>
      <c r="DQ76" s="360"/>
      <c r="DR76" s="245" t="e">
        <f ca="1">INDEX(INDIRECT(VLOOKUP(LEFT(BO76,7),CLU!$Z$3:$AH$18,7)),M76-1,1)</f>
        <v>#N/A</v>
      </c>
      <c r="DS76" s="245" t="e">
        <f ca="1">INDEX(INDIRECT(VLOOKUP(LEFT(BO76,7),CLU!$Z$3:$AH$18,7)),M76-1,2)</f>
        <v>#N/A</v>
      </c>
      <c r="DT76" s="245" t="e">
        <f ca="1">INDEX(INDIRECT(VLOOKUP(LEFT(BO76,7),CLU!$Z$3:$AH$18,7)),M76-1,3)</f>
        <v>#N/A</v>
      </c>
      <c r="DU76" s="245" t="e">
        <f ca="1">INDEX(INDIRECT(VLOOKUP(LEFT(BO76,7),CLU!$Z$3:$AH$18,7)),M76-1,4)</f>
        <v>#N/A</v>
      </c>
      <c r="DV76" s="361" t="e">
        <f ca="1">INDEX(INDIRECT(VLOOKUP(LEFT(BO76,7),CLU!$Z$3:$AH$18,7)),M76-1,4+LEFT(DZ76,1)*0.5)</f>
        <v>#N/A</v>
      </c>
      <c r="DW76" s="245" t="e">
        <f ca="1">INDEX(INDIRECT(VLOOKUP(LEFT(BO76,7),CLU!$Z$3:$AH$18,7)),M76-1,8)</f>
        <v>#N/A</v>
      </c>
      <c r="DX76" s="361" t="str">
        <f t="shared" si="39"/>
        <v xml:space="preserve"> </v>
      </c>
      <c r="DY76" s="361" t="str">
        <f t="shared" si="40"/>
        <v xml:space="preserve"> </v>
      </c>
      <c r="DZ76" s="361" t="str">
        <f t="shared" si="41"/>
        <v xml:space="preserve"> </v>
      </c>
      <c r="EA76" s="362" t="str">
        <f t="shared" si="42"/>
        <v xml:space="preserve"> </v>
      </c>
      <c r="EB76" s="624" t="str">
        <f t="shared" si="168"/>
        <v xml:space="preserve"> </v>
      </c>
      <c r="EC76" s="361" t="e">
        <f ca="1">INDEX(INDIRECT(VLOOKUP(LEFT(BO76,7),CLU!$Z$3:$AH$18,7)),M76-1,4+LEFT(DZ76,1)*0.5)</f>
        <v>#N/A</v>
      </c>
      <c r="ED76" s="362" t="str">
        <f t="shared" si="43"/>
        <v xml:space="preserve"> </v>
      </c>
      <c r="EE76" s="361" t="str">
        <f t="shared" si="44"/>
        <v xml:space="preserve"> </v>
      </c>
      <c r="EF76" s="362" t="str">
        <f>IF(L76&gt;0,IF(BR76&gt;0,IF(EE76="2P",IF(Calculation!DZ76="2P",IF(Calculation!DS76=13.75,IF(Calculation!DR76=13,Worksheet!$BD$43,IF(Calculation!DR76=37,Worksheet!$BD$44,Worksheet!$BD$45)),IF(Calculation!DS76=10,IF(Calculation!DR76=18,Worksheet!$BD$29,IF(Calculation!DR76=30,Worksheet!$BD$30,IF(Calculation!DR76=42,Worksheet!$BD$31,IF(Calculation!DR76=54,Worksheet!$BD$32,IF(Calculation!DR76=66,Worksheet!$BD$33,IF(Calculation!DR76=78,Worksheet!$BD$34,IF(Calculation!DR76=90,Worksheet!$BD$35,IF(Calculation!DR76=102,Worksheet!$BD$36,Worksheet!$BD$37)))))))),IF(Calculation!DS76=12.5,IF(Calculation!DR76=18,Worksheet!$BD$38,IF(Calculation!DR76=Worksheet!$BD$39,IF(Calculation!DR76=42,Worksheet!$BD$40,IF(Calculation!DR76=54,Worksheet!$BD$41,Worksheet!$BD$42)))),IF(Calculation!DR76=18,Worksheet!$BD$11,IF(Calculation!DR76=30,Worksheet!$BD$12,IF(Calculation!DR76=42,Worksheet!$BD$13,IF(Calculation!DR76=54,Worksheet!$BD$14,IF(Calculation!DR76=66,Worksheet!$BD$15,IF(Calculation!DR76=78,Worksheet!$BD$16,IF(Calculation!DR76=90,Worksheet!$BD$17,IF(Calculation!DR76=102,Worksheet!$BD$18,Worksheet!$BD$19))))))))))),IF(Calculation!DS76=13.75,IF(Calculation!DR76=13,Worksheet!$BD$78,IF(Calculation!DR76=37,Worksheet!$BD$79,Worksheet!$BD$80)),IF(Calculation!DS76=10,IF(Calculation!DR76=18,Worksheet!$BD$64,IF(Calculation!DR76=30,Worksheet!$BD$65,IF(Calculation!DR76=42,Worksheet!$BD$66,IF(Calculation!DR76=54,Worksheet!$BD$68,IF(Calculation!DR76=66,Worksheet!$BD$68,IF(Calculation!DR76=78,Worksheet!$BD$69,IF(Calculation!DR76=90,Worksheet!$BD$70,IF(Calculation!DR76=102,Worksheet!$BD$71,Worksheet!$BD$72)))))))),IF(Calculation!DS76=12.5,IF(Calculation!DR76=18,Worksheet!$BD$73,IF(Calculation!DR76=Worksheet!$BD$74,IF(Calculation!DR76=42,Worksheet!$BD$75,IF(Calculation!DR76=54,Worksheet!$BD$76,Worksheet!$BD$77)))),IF(Calculation!DR76=18,Worksheet!$BD$55,IF(Calculation!DR76=30,Worksheet!$BD$56,IF(Calculation!DR76=42,Worksheet!$BD$57,IF(Calculation!DR76=54,Worksheet!$BD$58,IF(Calculation!DR76=66,Worksheet!$BD$59,IF(Calculation!DR76=78,Worksheet!$BD$60,IF(Calculation!DR76=90,Worksheet!$BD$61,IF(Calculation!DR76=102,Worksheet!$BD$62,Worksheet!$BD$63)))))))))))),5),0)," ")</f>
        <v xml:space="preserve"> </v>
      </c>
      <c r="EG76" s="361" t="str">
        <f t="shared" si="45"/>
        <v xml:space="preserve"> </v>
      </c>
      <c r="EH76" s="361" t="e">
        <f ca="1">INDEX(INDIRECT(VLOOKUP(LEFT(BO76,7),CLU!$Z$3:$AH$18,7)),M76-1,3+LEFT(DZ76,1))</f>
        <v>#N/A</v>
      </c>
      <c r="EI76" s="362" t="str">
        <f t="shared" si="46"/>
        <v xml:space="preserve"> </v>
      </c>
      <c r="EJ76" s="363" t="str">
        <f t="shared" si="47"/>
        <v xml:space="preserve"> </v>
      </c>
      <c r="EK76" s="363" t="str">
        <f t="shared" si="48"/>
        <v xml:space="preserve"> </v>
      </c>
      <c r="EL76" s="363" t="str">
        <f t="shared" si="49"/>
        <v xml:space="preserve"> </v>
      </c>
      <c r="EM76" s="362" t="str">
        <f>IF(L76&gt;0,IF(BR76&gt;0,(Calculation!T76/ED76)^2,0)," ")</f>
        <v xml:space="preserve"> </v>
      </c>
      <c r="EN76" s="362" t="str">
        <f>IF(L76&gt;0,IF(O76="2 Pipe (Cooling)","N/A",IF(BR76&gt;0,(Calculation!U76/EI76)^2,0))," ")</f>
        <v xml:space="preserve"> </v>
      </c>
      <c r="EO76" s="361" t="str">
        <f t="shared" si="50"/>
        <v/>
      </c>
      <c r="EP76" s="361" t="str">
        <f t="shared" si="51"/>
        <v/>
      </c>
      <c r="EQ76" s="361" t="str">
        <f t="shared" si="52"/>
        <v/>
      </c>
      <c r="ER76" s="361" t="str">
        <f t="shared" si="53"/>
        <v/>
      </c>
      <c r="ES76" s="361" t="str">
        <f t="shared" si="54"/>
        <v/>
      </c>
      <c r="ET76" s="361" t="str">
        <f t="shared" si="55"/>
        <v/>
      </c>
      <c r="EU76" s="361" t="str">
        <f t="shared" si="56"/>
        <v/>
      </c>
      <c r="EV76" s="361" t="str">
        <f t="shared" si="57"/>
        <v/>
      </c>
      <c r="EW76" s="361" t="str">
        <f t="shared" si="58"/>
        <v/>
      </c>
      <c r="EX76" s="361" t="str">
        <f t="shared" si="169"/>
        <v>1 slot, 1 way</v>
      </c>
      <c r="EY76" s="361" t="str">
        <f t="shared" si="170"/>
        <v xml:space="preserve"> </v>
      </c>
      <c r="EZ76" s="361" t="str">
        <f t="shared" si="171"/>
        <v xml:space="preserve"> </v>
      </c>
      <c r="FA76" s="361" t="str">
        <f t="shared" si="172"/>
        <v xml:space="preserve"> </v>
      </c>
      <c r="FB76" s="361" t="str">
        <f t="shared" si="173"/>
        <v xml:space="preserve"> </v>
      </c>
      <c r="FC76" s="361"/>
      <c r="FD76" s="361" t="str">
        <f>IF(J76&gt;0,IF(Calculation!R76&lt;=70,4,IF(Calculation!R76&lt;=110,5,IF(Calculation!R76&lt;=160,6,IF(Calculation!R76&lt;=300,8,"10 EO")))),"")</f>
        <v/>
      </c>
      <c r="FE76" s="361" t="str">
        <f t="shared" si="174"/>
        <v/>
      </c>
      <c r="FF76" s="361" t="str">
        <f t="shared" si="175"/>
        <v/>
      </c>
      <c r="FG76" s="361" t="e">
        <f t="shared" si="60"/>
        <v>#N/A</v>
      </c>
      <c r="FH76" s="361">
        <f t="shared" si="61"/>
        <v>0</v>
      </c>
      <c r="FI76" s="361" t="e">
        <f t="shared" si="62"/>
        <v>#DIV/0!</v>
      </c>
      <c r="FJ76" s="361"/>
      <c r="FK76" s="356" t="e">
        <f t="shared" si="63"/>
        <v>#VALUE!</v>
      </c>
      <c r="FL76" s="361"/>
      <c r="FM76" s="361"/>
      <c r="FN76" s="362" t="str">
        <f t="shared" si="176"/>
        <v xml:space="preserve"> </v>
      </c>
      <c r="FO76" s="362" t="str">
        <f t="shared" si="177"/>
        <v xml:space="preserve"> </v>
      </c>
      <c r="FP76" s="362">
        <f t="shared" si="178"/>
        <v>0</v>
      </c>
      <c r="FQ76" s="361">
        <f t="shared" si="64"/>
        <v>0</v>
      </c>
      <c r="FR76" s="362" t="str">
        <f>IF(L76&gt;0,IF(J76="CBAL2",Worksheet!$P$67,IF(J76="CBE2-24",Worksheet!$Q$67,IF(J76="CBAM",Worksheet!$R$67,IF(J76="CBLV",Worksheet!$S$67,IF(J76="CBAB",Worksheet!$U$67,IF(J76="CBAW",Worksheet!$X$67,IF(J76="CBE2-12",Worksheet!$Y$67,IF(J76="CBAL2",Worksheet!$Z$67,"N/A"))))))))," ")</f>
        <v xml:space="preserve"> </v>
      </c>
      <c r="FS76" s="362" t="str">
        <f>IF(L76&gt;0,IF(J76="CBAL2",Worksheet!$P$68,IF(J76="CBE2-24",Worksheet!$Q$68,IF(J76="CBAM",Worksheet!$R$68,IF(J76="CBLV",Worksheet!$S$68,IF(J76="CBAB",Worksheet!$U$68,IF(J76="CBAW",Worksheet!$X$68,IF(J76="CBE2-12",Worksheet!$Y$68,IF(J76="CBAL2",Worksheet!$Z$68,"N/A"))))))))," ")</f>
        <v xml:space="preserve"> </v>
      </c>
      <c r="FT76" s="362" t="str">
        <f>IF(L76&gt;0,IF(J76="CBAL2",Worksheet!$P$69,IF(J76="CBE2-24",Worksheet!$Q$69,IF(J76="CBAM",Worksheet!$R$69,IF(J76="CBLV",Worksheet!$S$69,IF(J76="CBAB",Worksheet!$U$69,IF(J76="CBAW",Worksheet!$X$69,IF(J76="CBE2-12",Worksheet!$Y$69,IF(J76="CBAL2",Worksheet!$Z$69,"N/A"))))))))," ")</f>
        <v xml:space="preserve"> </v>
      </c>
      <c r="FU76" s="361" t="str">
        <f t="shared" si="179"/>
        <v xml:space="preserve"> </v>
      </c>
      <c r="FV76" s="362" t="str">
        <f t="shared" si="180"/>
        <v xml:space="preserve"> </v>
      </c>
      <c r="FW76" s="362" t="str">
        <f t="shared" si="181"/>
        <v xml:space="preserve"> </v>
      </c>
      <c r="FX76" s="362" t="str">
        <f t="shared" si="182"/>
        <v xml:space="preserve"> </v>
      </c>
      <c r="FY76" s="355" t="str">
        <f t="shared" si="183"/>
        <v xml:space="preserve"> </v>
      </c>
      <c r="FZ76" s="361" t="str">
        <f t="shared" si="184"/>
        <v xml:space="preserve"> </v>
      </c>
      <c r="GA76" s="347" t="str">
        <f t="shared" si="185"/>
        <v xml:space="preserve"> </v>
      </c>
      <c r="GB76" s="355" t="str">
        <f t="shared" si="186"/>
        <v xml:space="preserve"> </v>
      </c>
      <c r="GC76" s="328" t="str">
        <f t="shared" si="187"/>
        <v xml:space="preserve"> </v>
      </c>
      <c r="GD76" s="361" t="str">
        <f t="shared" si="188"/>
        <v xml:space="preserve"> </v>
      </c>
      <c r="GE76" s="347" t="str">
        <f t="shared" si="189"/>
        <v xml:space="preserve"> </v>
      </c>
      <c r="GF76" s="361" t="str">
        <f t="shared" si="190"/>
        <v xml:space="preserve"> </v>
      </c>
      <c r="GG76" s="347" t="str">
        <f t="shared" si="191"/>
        <v xml:space="preserve"> </v>
      </c>
      <c r="GH76" s="364">
        <f t="shared" si="78"/>
        <v>0</v>
      </c>
      <c r="GI76" s="362">
        <f t="shared" si="192"/>
        <v>2</v>
      </c>
      <c r="GJ76" s="433" t="e">
        <f>IF(6-COUNTBLANK(GT76:GY76)=4,MATCH(MID(BO76,9,3),CLU!$H$16:$K$16),MATCH(MID(BO76,9,3),CLU!$H$13:$M$13))</f>
        <v>#N/A</v>
      </c>
      <c r="GK76" s="433" t="e">
        <f>HLOOKUP(VALUE(BP76),CLU!$H$9:$M$10,2)</f>
        <v>#VALUE!</v>
      </c>
      <c r="GL76" s="433" t="e">
        <f ca="1">MATCH(BU76,CLU!$H$2:$V$2,1)</f>
        <v>#VALUE!</v>
      </c>
      <c r="GM76" s="433" t="e">
        <f t="shared" ca="1" si="193"/>
        <v>#VALUE!</v>
      </c>
      <c r="GN76" s="433" t="e">
        <f t="shared" ca="1" si="194"/>
        <v>#VALUE!</v>
      </c>
      <c r="GO76" s="433" t="e">
        <f t="shared" ca="1" si="195"/>
        <v>#VALUE!</v>
      </c>
      <c r="GP76" s="433" t="e">
        <f t="shared" ca="1" si="196"/>
        <v>#VALUE!</v>
      </c>
      <c r="GQ76" s="433" t="e">
        <f t="shared" ca="1" si="197"/>
        <v>#VALUE!</v>
      </c>
      <c r="GR76" s="433" t="e">
        <f ca="1">MATCH(T76,INDIRECT(VLOOKUP(CONCATENATE(LEFT(BO76,7),"-",MID(BO76,13,1)),CLU!$P$3:$Q$16,2)),1)</f>
        <v>#N/A</v>
      </c>
      <c r="GS76" s="433" t="e">
        <f ca="1">MATCH(U76,INDIRECT(VLOOKUP(CONCATENATE(LEFT(BO76,7),"-",MID(BO76,13,1)),CLU!$P$3:$Q$16,2)),1)</f>
        <v>#N/A</v>
      </c>
      <c r="GT76" s="347" t="s">
        <v>512</v>
      </c>
      <c r="GU76" s="97" t="s">
        <v>513</v>
      </c>
      <c r="GV76" s="97" t="str">
        <f t="shared" si="198"/>
        <v>M23</v>
      </c>
      <c r="GW76" s="97" t="str">
        <f t="shared" si="199"/>
        <v>M31</v>
      </c>
      <c r="GX76" s="97" t="str">
        <f t="shared" si="200"/>
        <v/>
      </c>
      <c r="GY76" s="97" t="str">
        <f t="shared" si="201"/>
        <v/>
      </c>
      <c r="GZ76" s="481"/>
      <c r="HA76" s="288"/>
      <c r="HB76" s="240"/>
      <c r="HC76" s="240"/>
      <c r="HD76" s="240"/>
      <c r="HE76" s="240"/>
      <c r="HF76" s="240"/>
      <c r="HG76" s="240"/>
      <c r="HH76" s="240"/>
      <c r="HI76" s="240"/>
      <c r="HJ76" s="240"/>
      <c r="HK76" s="240"/>
      <c r="HL76" s="240"/>
      <c r="HM76" s="240"/>
      <c r="HN76" s="240"/>
      <c r="HO76" s="240"/>
      <c r="HP76" s="240"/>
      <c r="HQ76" s="240"/>
      <c r="HR76" s="240"/>
      <c r="HS76" s="240"/>
      <c r="HT76" s="240"/>
      <c r="HU76" s="240"/>
      <c r="HV76" s="245"/>
      <c r="HW76" s="245" t="b">
        <v>1</v>
      </c>
      <c r="HX76" s="245" t="str">
        <f t="shared" si="79"/>
        <v/>
      </c>
      <c r="HY76" s="245" t="e">
        <f t="shared" si="80"/>
        <v>#DIV/0!</v>
      </c>
      <c r="HZ76" s="245" t="e">
        <f t="shared" si="81"/>
        <v>#DIV/0!</v>
      </c>
      <c r="IA76" s="245">
        <f t="shared" si="82"/>
        <v>0</v>
      </c>
      <c r="IB76" s="245"/>
      <c r="IC76" t="b">
        <f t="shared" si="83"/>
        <v>1</v>
      </c>
      <c r="ID76" s="245" t="b">
        <f t="shared" si="84"/>
        <v>1</v>
      </c>
      <c r="IE76" s="245" t="b">
        <f t="shared" si="85"/>
        <v>1</v>
      </c>
      <c r="IF76" s="245" t="b">
        <f t="shared" si="86"/>
        <v>0</v>
      </c>
      <c r="IG76" s="245" t="b">
        <f t="shared" si="87"/>
        <v>1</v>
      </c>
      <c r="IH76" s="245" t="b">
        <f t="shared" si="88"/>
        <v>1</v>
      </c>
      <c r="II76" s="245">
        <f t="shared" si="202"/>
        <v>0</v>
      </c>
      <c r="IJ76" s="245" t="e">
        <f t="shared" si="89"/>
        <v>#VALUE!</v>
      </c>
      <c r="IK76" s="245" t="e">
        <f t="shared" si="90"/>
        <v>#VALUE!</v>
      </c>
      <c r="IL76" s="245"/>
      <c r="IM76" s="245" t="e">
        <f t="shared" si="203"/>
        <v>#N/A</v>
      </c>
      <c r="IN76" s="245" t="e">
        <f t="shared" si="204"/>
        <v>#N/A</v>
      </c>
      <c r="IO76" s="245"/>
      <c r="IP76" s="245"/>
      <c r="IQ76" s="245" t="str">
        <f t="shared" si="91"/>
        <v/>
      </c>
      <c r="IR76" s="245" t="str">
        <f>IF(J76="","",VLOOKUP(J76,Worksheet!$R$4:$T$14,2))</f>
        <v/>
      </c>
      <c r="IS76" s="245"/>
      <c r="IT76" s="245">
        <f t="shared" si="92"/>
        <v>0</v>
      </c>
      <c r="IU76" s="245">
        <f t="shared" si="93"/>
        <v>0</v>
      </c>
      <c r="IV76" s="245">
        <f t="shared" si="94"/>
        <v>0</v>
      </c>
      <c r="IW76" s="245">
        <f t="shared" si="95"/>
        <v>0</v>
      </c>
      <c r="IX76" s="245">
        <f t="shared" si="205"/>
        <v>0</v>
      </c>
      <c r="IY76" s="245">
        <f t="shared" si="96"/>
        <v>0</v>
      </c>
      <c r="IZ76" s="245">
        <f t="shared" si="97"/>
        <v>0</v>
      </c>
      <c r="JA76">
        <f t="shared" si="98"/>
        <v>0</v>
      </c>
      <c r="JB76">
        <f t="shared" si="206"/>
        <v>0</v>
      </c>
      <c r="JC76">
        <f t="shared" si="99"/>
        <v>0</v>
      </c>
      <c r="JD76">
        <f t="shared" si="100"/>
        <v>0</v>
      </c>
      <c r="JE76">
        <f t="shared" si="101"/>
        <v>0</v>
      </c>
      <c r="JF76">
        <f t="shared" si="102"/>
        <v>0</v>
      </c>
      <c r="JG76">
        <f t="shared" si="103"/>
        <v>0</v>
      </c>
      <c r="JH76">
        <f t="shared" si="104"/>
        <v>0</v>
      </c>
      <c r="JI76">
        <f t="shared" si="105"/>
        <v>0</v>
      </c>
      <c r="JJ76" s="447">
        <f t="shared" si="106"/>
        <v>0</v>
      </c>
      <c r="JK76" s="447">
        <f t="shared" si="107"/>
        <v>0</v>
      </c>
      <c r="JL76">
        <f t="shared" si="108"/>
        <v>0</v>
      </c>
      <c r="JM76" s="245" t="str">
        <f>IFERROR(VLOOKUP(MATCH(BN76,#REF!,0),#REF!,7),"")</f>
        <v/>
      </c>
      <c r="JN76" t="e">
        <f>HLOOKUP(LEFT(BO76,7),Discharge_Area,MATCH(JO76,LookUps!$B$130:$B$149,1)+2)</f>
        <v>#N/A</v>
      </c>
      <c r="JO76" t="str">
        <f t="shared" si="109"/>
        <v>- S</v>
      </c>
      <c r="JP76" t="e">
        <f>HLOOKUP(LEFT(BO76,7),Discharge_Area,MATCH(JO76,LookUps!$B$130:$B$149,1)+2)</f>
        <v>#N/A</v>
      </c>
      <c r="JQ76" t="e">
        <f t="shared" si="110"/>
        <v>#N/A</v>
      </c>
      <c r="JR76" t="e">
        <f t="shared" si="111"/>
        <v>#N/A</v>
      </c>
      <c r="JS76" t="e">
        <f t="shared" si="112"/>
        <v>#N/A</v>
      </c>
      <c r="JT76" s="532" t="str">
        <f t="shared" si="113"/>
        <v xml:space="preserve"> </v>
      </c>
      <c r="JU76" s="532" t="str">
        <f t="shared" si="114"/>
        <v xml:space="preserve"> </v>
      </c>
      <c r="JV76" s="533" t="str">
        <f t="shared" si="115"/>
        <v xml:space="preserve"> </v>
      </c>
      <c r="JW76" s="534">
        <f t="shared" si="116"/>
        <v>0</v>
      </c>
      <c r="JX76" s="535" t="str">
        <f t="shared" si="207"/>
        <v xml:space="preserve"> </v>
      </c>
      <c r="JY76" s="535" t="str">
        <f t="shared" si="208"/>
        <v xml:space="preserve"> </v>
      </c>
      <c r="JZ76" s="535" t="str">
        <f t="shared" si="209"/>
        <v xml:space="preserve"> </v>
      </c>
      <c r="KA76" s="536" t="str">
        <f t="shared" si="117"/>
        <v xml:space="preserve"> </v>
      </c>
      <c r="KB76" s="535" t="e">
        <f t="shared" si="210"/>
        <v>#VALUE!</v>
      </c>
      <c r="KC76" s="535" t="str">
        <f t="shared" si="118"/>
        <v/>
      </c>
      <c r="KD76" s="537" t="str">
        <f t="shared" si="211"/>
        <v xml:space="preserve"> </v>
      </c>
      <c r="KE76" s="537" t="str">
        <f t="shared" si="212"/>
        <v xml:space="preserve"> </v>
      </c>
      <c r="KF76" s="534">
        <f t="shared" si="119"/>
        <v>0</v>
      </c>
      <c r="KG76" s="535" t="str">
        <f t="shared" si="120"/>
        <v xml:space="preserve"> </v>
      </c>
      <c r="KH76" s="535" t="str">
        <f t="shared" si="121"/>
        <v xml:space="preserve"> </v>
      </c>
      <c r="KI76" s="535" t="str">
        <f t="shared" si="122"/>
        <v xml:space="preserve"> </v>
      </c>
      <c r="KJ76" s="536" t="str">
        <f t="shared" si="123"/>
        <v xml:space="preserve"> </v>
      </c>
      <c r="KK76" s="535" t="str">
        <f t="shared" si="213"/>
        <v xml:space="preserve"> </v>
      </c>
      <c r="KL76" s="535" t="str">
        <f t="shared" si="214"/>
        <v xml:space="preserve"> </v>
      </c>
      <c r="KM76" s="537" t="str">
        <f t="shared" si="124"/>
        <v xml:space="preserve"> </v>
      </c>
      <c r="KN76" s="537" t="str">
        <f t="shared" si="215"/>
        <v xml:space="preserve"> </v>
      </c>
      <c r="KP76">
        <f t="shared" si="125"/>
        <v>0</v>
      </c>
      <c r="LA76" t="e">
        <f t="shared" si="126"/>
        <v>#VALUE!</v>
      </c>
      <c r="LB76" t="e">
        <f t="shared" si="127"/>
        <v>#VALUE!</v>
      </c>
      <c r="LC76" t="e">
        <f t="shared" si="128"/>
        <v>#VALUE!</v>
      </c>
      <c r="LD76" t="e">
        <f t="shared" si="129"/>
        <v>#VALUE!</v>
      </c>
      <c r="LE76" t="e">
        <f t="shared" si="216"/>
        <v>#VALUE!</v>
      </c>
      <c r="LF76">
        <f t="shared" si="130"/>
        <v>0</v>
      </c>
      <c r="LG76" t="e">
        <f t="shared" si="217"/>
        <v>#VALUE!</v>
      </c>
      <c r="LH76" t="str">
        <f t="shared" si="131"/>
        <v xml:space="preserve"> </v>
      </c>
      <c r="LI76">
        <f t="shared" si="218"/>
        <v>1</v>
      </c>
    </row>
    <row r="77" spans="2:321" ht="15" customHeight="1">
      <c r="B77" s="311"/>
      <c r="C77" s="311"/>
      <c r="D77" s="312"/>
      <c r="E77" s="311"/>
      <c r="F77" s="312"/>
      <c r="G77" s="311"/>
      <c r="H77" s="311"/>
      <c r="I77" s="37"/>
      <c r="J77" s="311"/>
      <c r="K77" s="305" t="str">
        <f t="shared" si="132"/>
        <v/>
      </c>
      <c r="L77" s="313"/>
      <c r="M77" s="312"/>
      <c r="N77" s="311"/>
      <c r="O77" s="312"/>
      <c r="P77" s="311"/>
      <c r="Q77" s="305" t="str">
        <f t="shared" si="133"/>
        <v/>
      </c>
      <c r="R77" s="314"/>
      <c r="S77" s="450" t="str">
        <f t="shared" si="0"/>
        <v/>
      </c>
      <c r="T77" s="315"/>
      <c r="U77" s="315"/>
      <c r="W77" s="149" t="str">
        <f t="shared" si="1"/>
        <v xml:space="preserve"> </v>
      </c>
      <c r="X77" s="243" t="str">
        <f t="shared" si="2"/>
        <v xml:space="preserve"> </v>
      </c>
      <c r="Y77" s="150" t="str">
        <f t="shared" si="3"/>
        <v/>
      </c>
      <c r="Z77" s="149" t="str">
        <f t="shared" si="4"/>
        <v xml:space="preserve"> </v>
      </c>
      <c r="AA77" s="98" t="str">
        <f t="shared" si="5"/>
        <v xml:space="preserve"> </v>
      </c>
      <c r="AB77" s="153" t="str">
        <f t="shared" si="6"/>
        <v xml:space="preserve"> </v>
      </c>
      <c r="AC77" s="153" t="str">
        <f t="shared" si="7"/>
        <v xml:space="preserve"> </v>
      </c>
      <c r="AD77" s="148" t="str">
        <f t="shared" si="8"/>
        <v/>
      </c>
      <c r="AE77" s="149" t="str">
        <f t="shared" si="9"/>
        <v/>
      </c>
      <c r="AF77" s="151" t="str">
        <f t="shared" si="10"/>
        <v xml:space="preserve"> </v>
      </c>
      <c r="AG77" s="153" t="str">
        <f t="shared" si="11"/>
        <v xml:space="preserve"> </v>
      </c>
      <c r="AH77" s="98" t="str">
        <f t="shared" si="12"/>
        <v xml:space="preserve"> </v>
      </c>
      <c r="AI77" s="149" t="str">
        <f t="shared" si="13"/>
        <v xml:space="preserve"> </v>
      </c>
      <c r="AK77" s="144" t="str">
        <f t="shared" si="14"/>
        <v xml:space="preserve"> </v>
      </c>
      <c r="AL77" s="144"/>
      <c r="AM77" s="243" t="str">
        <f t="shared" si="15"/>
        <v xml:space="preserve"> </v>
      </c>
      <c r="AN77" s="149" t="str">
        <f t="shared" si="134"/>
        <v xml:space="preserve"> </v>
      </c>
      <c r="AO77" s="144" t="str">
        <f>IF(JB77&gt;0,IF(GI77=10,-R77*1.085*(Calculation!$F$6-Calculation!$F$13)*$S$14," "),"")</f>
        <v/>
      </c>
      <c r="AP77" s="144" t="str">
        <f t="shared" si="16"/>
        <v/>
      </c>
      <c r="AQ77" s="56" t="str">
        <f t="shared" si="17"/>
        <v/>
      </c>
      <c r="AR77" s="144" t="str">
        <f t="shared" si="18"/>
        <v/>
      </c>
      <c r="AS77" s="176" t="str">
        <f t="shared" si="19"/>
        <v/>
      </c>
      <c r="AT77" s="176" t="str">
        <f t="shared" si="135"/>
        <v xml:space="preserve"> </v>
      </c>
      <c r="AU77" s="176" t="str">
        <f t="shared" si="20"/>
        <v/>
      </c>
      <c r="AV77" s="177" t="str">
        <f t="shared" si="21"/>
        <v xml:space="preserve"> </v>
      </c>
      <c r="AW77" s="144" t="str">
        <f t="shared" si="22"/>
        <v xml:space="preserve"> </v>
      </c>
      <c r="AX77" s="144" t="str">
        <f t="shared" si="23"/>
        <v xml:space="preserve"> </v>
      </c>
      <c r="AY77" s="152" t="str">
        <f t="shared" si="24"/>
        <v xml:space="preserve"> </v>
      </c>
      <c r="AZ77" s="246" t="str">
        <f t="shared" si="25"/>
        <v/>
      </c>
      <c r="BA77" s="176" t="str">
        <f t="shared" si="26"/>
        <v xml:space="preserve"> </v>
      </c>
      <c r="BB77" s="176" t="str">
        <f t="shared" si="27"/>
        <v xml:space="preserve"> </v>
      </c>
      <c r="BC77" s="195"/>
      <c r="BD77" s="316"/>
      <c r="BE77" s="317"/>
      <c r="BF77" s="318"/>
      <c r="BG77" s="318"/>
      <c r="BH77" s="144" t="str">
        <f t="shared" si="219"/>
        <v xml:space="preserve"> </v>
      </c>
      <c r="BI77" s="176" t="str">
        <f t="shared" si="28"/>
        <v/>
      </c>
      <c r="BJ77" s="144" t="str">
        <f t="shared" si="220"/>
        <v/>
      </c>
      <c r="BK77" s="246" t="str">
        <f t="shared" si="29"/>
        <v/>
      </c>
      <c r="BL77" s="144" t="str">
        <f t="shared" si="221"/>
        <v/>
      </c>
      <c r="BM77" s="246" t="str">
        <f t="shared" si="30"/>
        <v/>
      </c>
      <c r="BN77" s="337" t="str">
        <f t="shared" si="136"/>
        <v/>
      </c>
      <c r="BO77" s="371" t="str">
        <f t="shared" si="137"/>
        <v/>
      </c>
      <c r="BP77" s="328" t="str">
        <f t="shared" si="222"/>
        <v xml:space="preserve"> </v>
      </c>
      <c r="BQ77" s="347" t="str">
        <f t="shared" si="138"/>
        <v xml:space="preserve"> </v>
      </c>
      <c r="BR77" s="353" t="str">
        <f t="shared" si="223"/>
        <v xml:space="preserve"> </v>
      </c>
      <c r="BS77" s="626" t="str">
        <f>IF(L77&gt;0,IF(Calculation!P77="M13",BR77*3.1416*(0.134^2)/(4*144),IF(Calculation!P77="M17",BR77*3.1416*(0.165^2)/(4*144),IF(Calculation!P77="M20",BR77*3.1416*(0.198^2)/(4*144),IF(Calculation!P77="M23",BR77*3.1416*(0.228^2)/(4*144),IF(Calculation!P77="M27",BR77*3.1416*(0.269^2)/(4*144),BR77*3.1416*(0.307^2)/(4*144))))))," ")</f>
        <v xml:space="preserve"> </v>
      </c>
      <c r="BT77" s="353" t="str">
        <f>IF(L77&gt;0,IF(BS77&gt;0,R77/Calculation!BS77,0)," ")</f>
        <v xml:space="preserve"> </v>
      </c>
      <c r="BU77" s="438" t="e">
        <f t="shared" ca="1" si="31"/>
        <v>#VALUE!</v>
      </c>
      <c r="BV77" s="449" t="e">
        <f ca="1">INDEX(INDIRECT(VLOOKUP(LEFT(BO77,7),CLU!$Z$3:$AH$18,2)),GN77,GR77)</f>
        <v>#N/A</v>
      </c>
      <c r="BW77" s="433" t="e">
        <f ca="1">INDEX(INDIRECT(VLOOKUP(LEFT(BO77,7),CLU!$Z$3:$AH$18,3)),GN77,GR77)</f>
        <v>#N/A</v>
      </c>
      <c r="BX77" s="433" t="e">
        <f ca="1">INDEX(INDIRECT(VLOOKUP(LEFT(BO77,7),CLU!$Z$3:$AH$18,4)),GN77,GR77)</f>
        <v>#N/A</v>
      </c>
      <c r="BY77" s="433" t="e">
        <f ca="1">INDEX(INDIRECT(VLOOKUP(LEFT(BO77,7),CLU!$Z$3:$AH$18,9)),((M77-2)*(6-COUNTBLANK(GT77:GY77)))+GJ77)</f>
        <v>#N/A</v>
      </c>
      <c r="BZ77" s="426" t="e">
        <f t="shared" ca="1" si="139"/>
        <v>#N/A</v>
      </c>
      <c r="CA77" s="424" t="e">
        <f t="shared" ca="1" si="140"/>
        <v>#N/A</v>
      </c>
      <c r="CB77" s="429" t="e">
        <f ca="1">INDEX(INDIRECT(VLOOKUP(LEFT(BO77,7),CLU!$Z$3:$AH$18,2)),GN77,GS77)</f>
        <v>#N/A</v>
      </c>
      <c r="CC77" s="342" t="e">
        <f ca="1">INDEX(INDIRECT(VLOOKUP(LEFT(BO77,7),CLU!$Z$3:$AH$18,3)),GN77,GS77)</f>
        <v>#N/A</v>
      </c>
      <c r="CD77" s="342" t="e">
        <f ca="1">INDEX(INDIRECT(VLOOKUP(LEFT(BO77,7),CLU!$Z$3:$AH$18,4)),GN77,GS77)</f>
        <v>#N/A</v>
      </c>
      <c r="CE77" s="426" t="e">
        <f t="shared" ca="1" si="141"/>
        <v>#N/A</v>
      </c>
      <c r="CF77" s="440">
        <f t="shared" si="142"/>
        <v>0</v>
      </c>
      <c r="CG77" s="431" t="e">
        <f ca="1">INDEX(INDIRECT(VLOOKUP(LEFT(BO77,7),CLU!$Z$3:$AH$18,2)),GQ77,GR77)</f>
        <v>#N/A</v>
      </c>
      <c r="CH77" s="431" t="e">
        <f ca="1">INDEX(INDIRECT(VLOOKUP(LEFT(BO77,7),CLU!$Z$3:$AH$18,3)),GQ77,GR77)</f>
        <v>#N/A</v>
      </c>
      <c r="CI77" s="431" t="e">
        <f ca="1">INDEX(INDIRECT(VLOOKUP(LEFT(BO77,7),CLU!$Z$3:$AH$18,4)),GQ77,GR77)</f>
        <v>#N/A</v>
      </c>
      <c r="CJ77" s="448" t="e">
        <f t="shared" ca="1" si="143"/>
        <v>#N/A</v>
      </c>
      <c r="CK77" s="431" t="e">
        <f t="shared" ca="1" si="144"/>
        <v>#N/A</v>
      </c>
      <c r="CL77" s="440" t="e">
        <f t="shared" ca="1" si="145"/>
        <v>#N/A</v>
      </c>
      <c r="CM77" s="431" t="e">
        <f ca="1">INDEX(INDIRECT(VLOOKUP(LEFT(BO77,7),CLU!$Z$3:$AH$18,2)),GQ77,GS77)</f>
        <v>#N/A</v>
      </c>
      <c r="CN77" s="431" t="e">
        <f ca="1">INDEX(INDIRECT(VLOOKUP(LEFT(BO77,7),CLU!$Z$3:$AH$18,3)),GQ77,GS77)</f>
        <v>#N/A</v>
      </c>
      <c r="CO77" s="431" t="e">
        <f ca="1">INDEX(INDIRECT(VLOOKUP(LEFT(BO77,7),CLU!$Z$3:$AH$18,4)),GQ77,GS77)</f>
        <v>#N/A</v>
      </c>
      <c r="CP77" s="431" t="e">
        <f t="shared" ca="1" si="146"/>
        <v>#N/A</v>
      </c>
      <c r="CQ77" s="440">
        <f t="shared" si="147"/>
        <v>0</v>
      </c>
      <c r="CR77" s="51" t="e">
        <f t="shared" ca="1" si="148"/>
        <v>#N/A</v>
      </c>
      <c r="CS77" s="439" t="e">
        <f t="shared" ca="1" si="149"/>
        <v>#VALUE!</v>
      </c>
      <c r="CT77" s="51" t="e">
        <f t="shared" ca="1" si="150"/>
        <v>#VALUE!</v>
      </c>
      <c r="CU77" s="10"/>
      <c r="CV77" s="51" t="e">
        <f t="shared" ca="1" si="34"/>
        <v>#VALUE!</v>
      </c>
      <c r="CW77" s="51">
        <f t="shared" si="151"/>
        <v>0</v>
      </c>
      <c r="CX77" s="439" t="e">
        <f t="shared" ca="1" si="152"/>
        <v>#VALUE!</v>
      </c>
      <c r="CY77" s="51" t="e">
        <f t="shared" ca="1" si="153"/>
        <v>#VALUE!</v>
      </c>
      <c r="CZ77" s="10"/>
      <c r="DA77" s="51" t="e">
        <f t="shared" ca="1" si="154"/>
        <v>#VALUE!</v>
      </c>
      <c r="DB77" s="347" t="e">
        <f ca="1">INDEX(INDIRECT(VLOOKUP(LEFT(BO77,7),CLU!$Z$3:$AI$18,10)),((M77-2)*(6-COUNTBLANK(GT77:GY77)))+GJ77)*LI77</f>
        <v>#N/A</v>
      </c>
      <c r="DC77" s="347" t="str">
        <f>IF(L77&gt;0,((R77/Worksheet!$I$15)/DB77)^2," ")</f>
        <v xml:space="preserve"> </v>
      </c>
      <c r="DD77" s="602" t="str">
        <f t="shared" si="224"/>
        <v xml:space="preserve"> </v>
      </c>
      <c r="DE77" s="347" t="str">
        <f t="shared" si="35"/>
        <v xml:space="preserve"> </v>
      </c>
      <c r="DF77" s="356" t="e">
        <f ca="1">INDEX(INDIRECT(VLOOKUP(LEFT(BO77,7),CLU!$Z$3:$AH$18,8)),((M77-2)*(6-COUNTBLANK(GT77:GY77)))+GJ77)</f>
        <v>#N/A</v>
      </c>
      <c r="DG77" s="347" t="str">
        <f t="shared" si="36"/>
        <v xml:space="preserve"> </v>
      </c>
      <c r="DH77" s="357" t="str">
        <f t="shared" si="37"/>
        <v xml:space="preserve"> </v>
      </c>
      <c r="DI77" s="355" t="str">
        <f t="shared" si="38"/>
        <v xml:space="preserve"> </v>
      </c>
      <c r="DJ77" s="245" t="e">
        <f ca="1">INDEX(INDIRECT(VLOOKUP(LEFT(BO77,7),CLU!$Z$3:$AH$18,5)),GL77,GK77)</f>
        <v>#N/A</v>
      </c>
      <c r="DK77" s="245" t="e">
        <f ca="1">INDEX(INDIRECT(VLOOKUP(LEFT(BO77,7),CLU!$Z$3:$AH$18,6)),GL77,GK77)</f>
        <v>#N/A</v>
      </c>
      <c r="DL77" s="355">
        <f>(Calculation!R77*0.69143*(Calculation!$BQ$8-Calculation!$F$8))*$S$14</f>
        <v>0</v>
      </c>
      <c r="DM77" s="359" t="e">
        <f t="shared" si="160"/>
        <v>#VALUE!</v>
      </c>
      <c r="DN77" s="611">
        <f t="shared" si="161"/>
        <v>0</v>
      </c>
      <c r="DO77" s="359">
        <f t="shared" si="162"/>
        <v>100</v>
      </c>
      <c r="DP77" s="359">
        <f t="shared" si="163"/>
        <v>0</v>
      </c>
      <c r="DQ77" s="360"/>
      <c r="DR77" s="245" t="e">
        <f ca="1">INDEX(INDIRECT(VLOOKUP(LEFT(BO77,7),CLU!$Z$3:$AH$18,7)),M77-1,1)</f>
        <v>#N/A</v>
      </c>
      <c r="DS77" s="245" t="e">
        <f ca="1">INDEX(INDIRECT(VLOOKUP(LEFT(BO77,7),CLU!$Z$3:$AH$18,7)),M77-1,2)</f>
        <v>#N/A</v>
      </c>
      <c r="DT77" s="245" t="e">
        <f ca="1">INDEX(INDIRECT(VLOOKUP(LEFT(BO77,7),CLU!$Z$3:$AH$18,7)),M77-1,3)</f>
        <v>#N/A</v>
      </c>
      <c r="DU77" s="245" t="e">
        <f ca="1">INDEX(INDIRECT(VLOOKUP(LEFT(BO77,7),CLU!$Z$3:$AH$18,7)),M77-1,4)</f>
        <v>#N/A</v>
      </c>
      <c r="DV77" s="361" t="e">
        <f ca="1">INDEX(INDIRECT(VLOOKUP(LEFT(BO77,7),CLU!$Z$3:$AH$18,7)),M77-1,4+LEFT(DZ77,1)*0.5)</f>
        <v>#N/A</v>
      </c>
      <c r="DW77" s="245" t="e">
        <f ca="1">INDEX(INDIRECT(VLOOKUP(LEFT(BO77,7),CLU!$Z$3:$AH$18,7)),M77-1,8)</f>
        <v>#N/A</v>
      </c>
      <c r="DX77" s="361" t="str">
        <f t="shared" si="39"/>
        <v xml:space="preserve"> </v>
      </c>
      <c r="DY77" s="361" t="str">
        <f t="shared" si="40"/>
        <v xml:space="preserve"> </v>
      </c>
      <c r="DZ77" s="361" t="str">
        <f t="shared" si="41"/>
        <v xml:space="preserve"> </v>
      </c>
      <c r="EA77" s="362" t="str">
        <f t="shared" si="42"/>
        <v xml:space="preserve"> </v>
      </c>
      <c r="EB77" s="624" t="str">
        <f t="shared" si="168"/>
        <v xml:space="preserve"> </v>
      </c>
      <c r="EC77" s="361" t="e">
        <f ca="1">INDEX(INDIRECT(VLOOKUP(LEFT(BO77,7),CLU!$Z$3:$AH$18,7)),M77-1,4+LEFT(DZ77,1)*0.5)</f>
        <v>#N/A</v>
      </c>
      <c r="ED77" s="362" t="str">
        <f t="shared" si="43"/>
        <v xml:space="preserve"> </v>
      </c>
      <c r="EE77" s="361" t="str">
        <f t="shared" si="44"/>
        <v xml:space="preserve"> </v>
      </c>
      <c r="EF77" s="362" t="str">
        <f>IF(L77&gt;0,IF(BR77&gt;0,IF(EE77="2P",IF(Calculation!DZ77="2P",IF(Calculation!DS77=13.75,IF(Calculation!DR77=13,Worksheet!$BD$43,IF(Calculation!DR77=37,Worksheet!$BD$44,Worksheet!$BD$45)),IF(Calculation!DS77=10,IF(Calculation!DR77=18,Worksheet!$BD$29,IF(Calculation!DR77=30,Worksheet!$BD$30,IF(Calculation!DR77=42,Worksheet!$BD$31,IF(Calculation!DR77=54,Worksheet!$BD$32,IF(Calculation!DR77=66,Worksheet!$BD$33,IF(Calculation!DR77=78,Worksheet!$BD$34,IF(Calculation!DR77=90,Worksheet!$BD$35,IF(Calculation!DR77=102,Worksheet!$BD$36,Worksheet!$BD$37)))))))),IF(Calculation!DS77=12.5,IF(Calculation!DR77=18,Worksheet!$BD$38,IF(Calculation!DR77=Worksheet!$BD$39,IF(Calculation!DR77=42,Worksheet!$BD$40,IF(Calculation!DR77=54,Worksheet!$BD$41,Worksheet!$BD$42)))),IF(Calculation!DR77=18,Worksheet!$BD$11,IF(Calculation!DR77=30,Worksheet!$BD$12,IF(Calculation!DR77=42,Worksheet!$BD$13,IF(Calculation!DR77=54,Worksheet!$BD$14,IF(Calculation!DR77=66,Worksheet!$BD$15,IF(Calculation!DR77=78,Worksheet!$BD$16,IF(Calculation!DR77=90,Worksheet!$BD$17,IF(Calculation!DR77=102,Worksheet!$BD$18,Worksheet!$BD$19))))))))))),IF(Calculation!DS77=13.75,IF(Calculation!DR77=13,Worksheet!$BD$78,IF(Calculation!DR77=37,Worksheet!$BD$79,Worksheet!$BD$80)),IF(Calculation!DS77=10,IF(Calculation!DR77=18,Worksheet!$BD$64,IF(Calculation!DR77=30,Worksheet!$BD$65,IF(Calculation!DR77=42,Worksheet!$BD$66,IF(Calculation!DR77=54,Worksheet!$BD$68,IF(Calculation!DR77=66,Worksheet!$BD$68,IF(Calculation!DR77=78,Worksheet!$BD$69,IF(Calculation!DR77=90,Worksheet!$BD$70,IF(Calculation!DR77=102,Worksheet!$BD$71,Worksheet!$BD$72)))))))),IF(Calculation!DS77=12.5,IF(Calculation!DR77=18,Worksheet!$BD$73,IF(Calculation!DR77=Worksheet!$BD$74,IF(Calculation!DR77=42,Worksheet!$BD$75,IF(Calculation!DR77=54,Worksheet!$BD$76,Worksheet!$BD$77)))),IF(Calculation!DR77=18,Worksheet!$BD$55,IF(Calculation!DR77=30,Worksheet!$BD$56,IF(Calculation!DR77=42,Worksheet!$BD$57,IF(Calculation!DR77=54,Worksheet!$BD$58,IF(Calculation!DR77=66,Worksheet!$BD$59,IF(Calculation!DR77=78,Worksheet!$BD$60,IF(Calculation!DR77=90,Worksheet!$BD$61,IF(Calculation!DR77=102,Worksheet!$BD$62,Worksheet!$BD$63)))))))))))),5),0)," ")</f>
        <v xml:space="preserve"> </v>
      </c>
      <c r="EG77" s="361" t="str">
        <f t="shared" si="45"/>
        <v xml:space="preserve"> </v>
      </c>
      <c r="EH77" s="361" t="e">
        <f ca="1">INDEX(INDIRECT(VLOOKUP(LEFT(BO77,7),CLU!$Z$3:$AH$18,7)),M77-1,3+LEFT(DZ77,1))</f>
        <v>#N/A</v>
      </c>
      <c r="EI77" s="362" t="str">
        <f t="shared" si="46"/>
        <v xml:space="preserve"> </v>
      </c>
      <c r="EJ77" s="363" t="str">
        <f t="shared" si="47"/>
        <v xml:space="preserve"> </v>
      </c>
      <c r="EK77" s="363" t="str">
        <f t="shared" si="48"/>
        <v xml:space="preserve"> </v>
      </c>
      <c r="EL77" s="363" t="str">
        <f t="shared" si="49"/>
        <v xml:space="preserve"> </v>
      </c>
      <c r="EM77" s="362" t="str">
        <f>IF(L77&gt;0,IF(BR77&gt;0,(Calculation!T77/ED77)^2,0)," ")</f>
        <v xml:space="preserve"> </v>
      </c>
      <c r="EN77" s="362" t="str">
        <f>IF(L77&gt;0,IF(O77="2 Pipe (Cooling)","N/A",IF(BR77&gt;0,(Calculation!U77/EI77)^2,0))," ")</f>
        <v xml:space="preserve"> </v>
      </c>
      <c r="EO77" s="361" t="str">
        <f t="shared" si="50"/>
        <v/>
      </c>
      <c r="EP77" s="361" t="str">
        <f t="shared" si="51"/>
        <v/>
      </c>
      <c r="EQ77" s="361" t="str">
        <f t="shared" si="52"/>
        <v/>
      </c>
      <c r="ER77" s="361" t="str">
        <f t="shared" si="53"/>
        <v/>
      </c>
      <c r="ES77" s="361" t="str">
        <f t="shared" si="54"/>
        <v/>
      </c>
      <c r="ET77" s="361" t="str">
        <f t="shared" si="55"/>
        <v/>
      </c>
      <c r="EU77" s="361" t="str">
        <f t="shared" si="56"/>
        <v/>
      </c>
      <c r="EV77" s="361" t="str">
        <f t="shared" si="57"/>
        <v/>
      </c>
      <c r="EW77" s="361" t="str">
        <f t="shared" si="58"/>
        <v/>
      </c>
      <c r="EX77" s="361" t="str">
        <f t="shared" si="169"/>
        <v>1 slot, 1 way</v>
      </c>
      <c r="EY77" s="361" t="str">
        <f t="shared" si="170"/>
        <v xml:space="preserve"> </v>
      </c>
      <c r="EZ77" s="361" t="str">
        <f t="shared" si="171"/>
        <v xml:space="preserve"> </v>
      </c>
      <c r="FA77" s="361" t="str">
        <f t="shared" si="172"/>
        <v xml:space="preserve"> </v>
      </c>
      <c r="FB77" s="361" t="str">
        <f t="shared" si="173"/>
        <v xml:space="preserve"> </v>
      </c>
      <c r="FC77" s="361"/>
      <c r="FD77" s="361" t="str">
        <f>IF(J77&gt;0,IF(Calculation!R77&lt;=70,4,IF(Calculation!R77&lt;=110,5,IF(Calculation!R77&lt;=160,6,IF(Calculation!R77&lt;=300,8,"10 EO")))),"")</f>
        <v/>
      </c>
      <c r="FE77" s="361" t="str">
        <f t="shared" si="174"/>
        <v/>
      </c>
      <c r="FF77" s="361" t="str">
        <f t="shared" si="175"/>
        <v/>
      </c>
      <c r="FG77" s="361" t="e">
        <f t="shared" si="60"/>
        <v>#N/A</v>
      </c>
      <c r="FH77" s="361">
        <f t="shared" si="61"/>
        <v>0</v>
      </c>
      <c r="FI77" s="361" t="e">
        <f t="shared" si="62"/>
        <v>#DIV/0!</v>
      </c>
      <c r="FJ77" s="361"/>
      <c r="FK77" s="356" t="e">
        <f t="shared" si="63"/>
        <v>#VALUE!</v>
      </c>
      <c r="FL77" s="361"/>
      <c r="FM77" s="361"/>
      <c r="FN77" s="362" t="str">
        <f t="shared" si="176"/>
        <v xml:space="preserve"> </v>
      </c>
      <c r="FO77" s="362" t="str">
        <f t="shared" si="177"/>
        <v xml:space="preserve"> </v>
      </c>
      <c r="FP77" s="362">
        <f t="shared" si="178"/>
        <v>0</v>
      </c>
      <c r="FQ77" s="361">
        <f t="shared" si="64"/>
        <v>0</v>
      </c>
      <c r="FR77" s="362" t="str">
        <f>IF(L77&gt;0,IF(J77="CBAL2",Worksheet!$P$67,IF(J77="CBE2-24",Worksheet!$Q$67,IF(J77="CBAM",Worksheet!$R$67,IF(J77="CBLV",Worksheet!$S$67,IF(J77="CBAB",Worksheet!$U$67,IF(J77="CBAW",Worksheet!$X$67,IF(J77="CBE2-12",Worksheet!$Y$67,IF(J77="CBAL2",Worksheet!$Z$67,"N/A"))))))))," ")</f>
        <v xml:space="preserve"> </v>
      </c>
      <c r="FS77" s="362" t="str">
        <f>IF(L77&gt;0,IF(J77="CBAL2",Worksheet!$P$68,IF(J77="CBE2-24",Worksheet!$Q$68,IF(J77="CBAM",Worksheet!$R$68,IF(J77="CBLV",Worksheet!$S$68,IF(J77="CBAB",Worksheet!$U$68,IF(J77="CBAW",Worksheet!$X$68,IF(J77="CBE2-12",Worksheet!$Y$68,IF(J77="CBAL2",Worksheet!$Z$68,"N/A"))))))))," ")</f>
        <v xml:space="preserve"> </v>
      </c>
      <c r="FT77" s="362" t="str">
        <f>IF(L77&gt;0,IF(J77="CBAL2",Worksheet!$P$69,IF(J77="CBE2-24",Worksheet!$Q$69,IF(J77="CBAM",Worksheet!$R$69,IF(J77="CBLV",Worksheet!$S$69,IF(J77="CBAB",Worksheet!$U$69,IF(J77="CBAW",Worksheet!$X$69,IF(J77="CBE2-12",Worksheet!$Y$69,IF(J77="CBAL2",Worksheet!$Z$69,"N/A"))))))))," ")</f>
        <v xml:space="preserve"> </v>
      </c>
      <c r="FU77" s="361" t="str">
        <f t="shared" si="179"/>
        <v xml:space="preserve"> </v>
      </c>
      <c r="FV77" s="362" t="str">
        <f t="shared" si="180"/>
        <v xml:space="preserve"> </v>
      </c>
      <c r="FW77" s="362" t="str">
        <f t="shared" si="181"/>
        <v xml:space="preserve"> </v>
      </c>
      <c r="FX77" s="362" t="str">
        <f t="shared" si="182"/>
        <v xml:space="preserve"> </v>
      </c>
      <c r="FY77" s="355" t="str">
        <f t="shared" si="183"/>
        <v xml:space="preserve"> </v>
      </c>
      <c r="FZ77" s="361" t="str">
        <f t="shared" si="184"/>
        <v xml:space="preserve"> </v>
      </c>
      <c r="GA77" s="347" t="str">
        <f t="shared" si="185"/>
        <v xml:space="preserve"> </v>
      </c>
      <c r="GB77" s="355" t="str">
        <f t="shared" si="186"/>
        <v xml:space="preserve"> </v>
      </c>
      <c r="GC77" s="328" t="str">
        <f t="shared" si="187"/>
        <v xml:space="preserve"> </v>
      </c>
      <c r="GD77" s="361" t="str">
        <f t="shared" si="188"/>
        <v xml:space="preserve"> </v>
      </c>
      <c r="GE77" s="347" t="str">
        <f t="shared" si="189"/>
        <v xml:space="preserve"> </v>
      </c>
      <c r="GF77" s="361" t="str">
        <f t="shared" si="190"/>
        <v xml:space="preserve"> </v>
      </c>
      <c r="GG77" s="347" t="str">
        <f t="shared" si="191"/>
        <v xml:space="preserve"> </v>
      </c>
      <c r="GH77" s="364">
        <f t="shared" si="78"/>
        <v>0</v>
      </c>
      <c r="GI77" s="362">
        <f t="shared" si="192"/>
        <v>2</v>
      </c>
      <c r="GJ77" s="433" t="e">
        <f>IF(6-COUNTBLANK(GT77:GY77)=4,MATCH(MID(BO77,9,3),CLU!$H$16:$K$16),MATCH(MID(BO77,9,3),CLU!$H$13:$M$13))</f>
        <v>#N/A</v>
      </c>
      <c r="GK77" s="433" t="e">
        <f>HLOOKUP(VALUE(BP77),CLU!$H$9:$M$10,2)</f>
        <v>#VALUE!</v>
      </c>
      <c r="GL77" s="433" t="e">
        <f ca="1">MATCH(BU77,CLU!$H$2:$V$2,1)</f>
        <v>#VALUE!</v>
      </c>
      <c r="GM77" s="433" t="e">
        <f t="shared" ca="1" si="193"/>
        <v>#VALUE!</v>
      </c>
      <c r="GN77" s="433" t="e">
        <f t="shared" ca="1" si="194"/>
        <v>#VALUE!</v>
      </c>
      <c r="GO77" s="433" t="e">
        <f t="shared" ca="1" si="195"/>
        <v>#VALUE!</v>
      </c>
      <c r="GP77" s="433" t="e">
        <f t="shared" ca="1" si="196"/>
        <v>#VALUE!</v>
      </c>
      <c r="GQ77" s="433" t="e">
        <f t="shared" ca="1" si="197"/>
        <v>#VALUE!</v>
      </c>
      <c r="GR77" s="433" t="e">
        <f ca="1">MATCH(T77,INDIRECT(VLOOKUP(CONCATENATE(LEFT(BO77,7),"-",MID(BO77,13,1)),CLU!$P$3:$Q$16,2)),1)</f>
        <v>#N/A</v>
      </c>
      <c r="GS77" s="433" t="e">
        <f ca="1">MATCH(U77,INDIRECT(VLOOKUP(CONCATENATE(LEFT(BO77,7),"-",MID(BO77,13,1)),CLU!$P$3:$Q$16,2)),1)</f>
        <v>#N/A</v>
      </c>
      <c r="GT77" s="347" t="s">
        <v>512</v>
      </c>
      <c r="GU77" s="97" t="s">
        <v>513</v>
      </c>
      <c r="GV77" s="97" t="str">
        <f t="shared" si="198"/>
        <v>M23</v>
      </c>
      <c r="GW77" s="97" t="str">
        <f t="shared" si="199"/>
        <v>M31</v>
      </c>
      <c r="GX77" s="97" t="str">
        <f t="shared" si="200"/>
        <v/>
      </c>
      <c r="GY77" s="97" t="str">
        <f t="shared" si="201"/>
        <v/>
      </c>
      <c r="GZ77" s="481"/>
      <c r="HA77" s="288"/>
      <c r="HB77" s="240"/>
      <c r="HC77" s="240"/>
      <c r="HD77" s="240"/>
      <c r="HE77" s="240"/>
      <c r="HF77" s="240"/>
      <c r="HG77" s="240"/>
      <c r="HH77" s="240"/>
      <c r="HI77" s="240"/>
      <c r="HJ77" s="240"/>
      <c r="HK77" s="240"/>
      <c r="HL77" s="240"/>
      <c r="HM77" s="240"/>
      <c r="HN77" s="240"/>
      <c r="HO77" s="240"/>
      <c r="HP77" s="240"/>
      <c r="HQ77" s="240"/>
      <c r="HR77" s="240"/>
      <c r="HS77" s="240"/>
      <c r="HT77" s="240"/>
      <c r="HU77" s="240"/>
      <c r="HV77" s="245"/>
      <c r="HW77" s="245" t="b">
        <v>1</v>
      </c>
      <c r="HX77" s="245" t="str">
        <f t="shared" si="79"/>
        <v/>
      </c>
      <c r="HY77" s="245" t="e">
        <f t="shared" si="80"/>
        <v>#DIV/0!</v>
      </c>
      <c r="HZ77" s="245" t="e">
        <f t="shared" si="81"/>
        <v>#DIV/0!</v>
      </c>
      <c r="IA77" s="245">
        <f t="shared" si="82"/>
        <v>0</v>
      </c>
      <c r="IB77" s="245"/>
      <c r="IC77" t="b">
        <f t="shared" si="83"/>
        <v>1</v>
      </c>
      <c r="ID77" s="245" t="b">
        <f t="shared" si="84"/>
        <v>1</v>
      </c>
      <c r="IE77" s="245" t="b">
        <f t="shared" si="85"/>
        <v>1</v>
      </c>
      <c r="IF77" s="245" t="b">
        <f t="shared" si="86"/>
        <v>0</v>
      </c>
      <c r="IG77" s="245" t="b">
        <f t="shared" si="87"/>
        <v>1</v>
      </c>
      <c r="IH77" s="245" t="b">
        <f t="shared" si="88"/>
        <v>1</v>
      </c>
      <c r="II77" s="245">
        <f t="shared" si="202"/>
        <v>0</v>
      </c>
      <c r="IJ77" s="245" t="e">
        <f t="shared" si="89"/>
        <v>#VALUE!</v>
      </c>
      <c r="IK77" s="245" t="e">
        <f t="shared" si="90"/>
        <v>#VALUE!</v>
      </c>
      <c r="IL77" s="245"/>
      <c r="IM77" s="245" t="e">
        <f t="shared" si="203"/>
        <v>#N/A</v>
      </c>
      <c r="IN77" s="245" t="e">
        <f t="shared" si="204"/>
        <v>#N/A</v>
      </c>
      <c r="IO77" s="245"/>
      <c r="IP77" s="245"/>
      <c r="IQ77" s="245" t="str">
        <f t="shared" si="91"/>
        <v/>
      </c>
      <c r="IR77" s="245" t="str">
        <f>IF(J77="","",VLOOKUP(J77,Worksheet!$R$4:$T$14,2))</f>
        <v/>
      </c>
      <c r="IS77" s="245"/>
      <c r="IT77" s="245">
        <f t="shared" si="92"/>
        <v>0</v>
      </c>
      <c r="IU77" s="245">
        <f t="shared" si="93"/>
        <v>0</v>
      </c>
      <c r="IV77" s="245">
        <f t="shared" si="94"/>
        <v>0</v>
      </c>
      <c r="IW77" s="245">
        <f t="shared" si="95"/>
        <v>0</v>
      </c>
      <c r="IX77" s="245">
        <f t="shared" si="205"/>
        <v>0</v>
      </c>
      <c r="IY77" s="245">
        <f t="shared" si="96"/>
        <v>0</v>
      </c>
      <c r="IZ77" s="245">
        <f t="shared" si="97"/>
        <v>0</v>
      </c>
      <c r="JA77">
        <f t="shared" si="98"/>
        <v>0</v>
      </c>
      <c r="JB77">
        <f t="shared" si="206"/>
        <v>0</v>
      </c>
      <c r="JC77">
        <f t="shared" si="99"/>
        <v>0</v>
      </c>
      <c r="JD77">
        <f t="shared" si="100"/>
        <v>0</v>
      </c>
      <c r="JE77">
        <f t="shared" si="101"/>
        <v>0</v>
      </c>
      <c r="JF77">
        <f t="shared" si="102"/>
        <v>0</v>
      </c>
      <c r="JG77">
        <f t="shared" si="103"/>
        <v>0</v>
      </c>
      <c r="JH77">
        <f t="shared" si="104"/>
        <v>0</v>
      </c>
      <c r="JI77">
        <f t="shared" si="105"/>
        <v>0</v>
      </c>
      <c r="JJ77" s="447">
        <f t="shared" si="106"/>
        <v>0</v>
      </c>
      <c r="JK77" s="447">
        <f t="shared" si="107"/>
        <v>0</v>
      </c>
      <c r="JL77">
        <f t="shared" si="108"/>
        <v>0</v>
      </c>
      <c r="JM77" s="245" t="str">
        <f>IFERROR(VLOOKUP(MATCH(BN77,#REF!,0),#REF!,7),"")</f>
        <v/>
      </c>
      <c r="JN77" t="e">
        <f>HLOOKUP(LEFT(BO77,7),Discharge_Area,MATCH(JO77,LookUps!$B$130:$B$149,1)+2)</f>
        <v>#N/A</v>
      </c>
      <c r="JO77" t="str">
        <f t="shared" si="109"/>
        <v>- S</v>
      </c>
      <c r="JP77" t="e">
        <f>HLOOKUP(LEFT(BO77,7),Discharge_Area,MATCH(JO77,LookUps!$B$130:$B$149,1)+2)</f>
        <v>#N/A</v>
      </c>
      <c r="JQ77" t="e">
        <f t="shared" si="110"/>
        <v>#N/A</v>
      </c>
      <c r="JR77" t="e">
        <f t="shared" si="111"/>
        <v>#N/A</v>
      </c>
      <c r="JS77" t="e">
        <f t="shared" si="112"/>
        <v>#N/A</v>
      </c>
      <c r="JT77" s="532" t="str">
        <f t="shared" si="113"/>
        <v xml:space="preserve"> </v>
      </c>
      <c r="JU77" s="532" t="str">
        <f t="shared" si="114"/>
        <v xml:space="preserve"> </v>
      </c>
      <c r="JV77" s="533" t="str">
        <f t="shared" si="115"/>
        <v xml:space="preserve"> </v>
      </c>
      <c r="JW77" s="534">
        <f t="shared" si="116"/>
        <v>0</v>
      </c>
      <c r="JX77" s="535" t="str">
        <f t="shared" si="207"/>
        <v xml:space="preserve"> </v>
      </c>
      <c r="JY77" s="535" t="str">
        <f t="shared" si="208"/>
        <v xml:space="preserve"> </v>
      </c>
      <c r="JZ77" s="535" t="str">
        <f t="shared" si="209"/>
        <v xml:space="preserve"> </v>
      </c>
      <c r="KA77" s="536" t="str">
        <f t="shared" si="117"/>
        <v xml:space="preserve"> </v>
      </c>
      <c r="KB77" s="535" t="e">
        <f t="shared" si="210"/>
        <v>#VALUE!</v>
      </c>
      <c r="KC77" s="535" t="str">
        <f t="shared" si="118"/>
        <v/>
      </c>
      <c r="KD77" s="537" t="str">
        <f t="shared" si="211"/>
        <v xml:space="preserve"> </v>
      </c>
      <c r="KE77" s="537" t="str">
        <f t="shared" si="212"/>
        <v xml:space="preserve"> </v>
      </c>
      <c r="KF77" s="534">
        <f t="shared" si="119"/>
        <v>0</v>
      </c>
      <c r="KG77" s="535" t="str">
        <f t="shared" si="120"/>
        <v xml:space="preserve"> </v>
      </c>
      <c r="KH77" s="535" t="str">
        <f t="shared" si="121"/>
        <v xml:space="preserve"> </v>
      </c>
      <c r="KI77" s="535" t="str">
        <f t="shared" si="122"/>
        <v xml:space="preserve"> </v>
      </c>
      <c r="KJ77" s="536" t="str">
        <f t="shared" si="123"/>
        <v xml:space="preserve"> </v>
      </c>
      <c r="KK77" s="535" t="str">
        <f t="shared" si="213"/>
        <v xml:space="preserve"> </v>
      </c>
      <c r="KL77" s="535" t="str">
        <f t="shared" si="214"/>
        <v xml:space="preserve"> </v>
      </c>
      <c r="KM77" s="537" t="str">
        <f t="shared" si="124"/>
        <v xml:space="preserve"> </v>
      </c>
      <c r="KN77" s="537" t="str">
        <f t="shared" si="215"/>
        <v xml:space="preserve"> </v>
      </c>
      <c r="KP77">
        <f t="shared" si="125"/>
        <v>0</v>
      </c>
      <c r="LA77" t="e">
        <f t="shared" si="126"/>
        <v>#VALUE!</v>
      </c>
      <c r="LB77" t="e">
        <f t="shared" si="127"/>
        <v>#VALUE!</v>
      </c>
      <c r="LC77" t="e">
        <f t="shared" si="128"/>
        <v>#VALUE!</v>
      </c>
      <c r="LD77" t="e">
        <f t="shared" si="129"/>
        <v>#VALUE!</v>
      </c>
      <c r="LE77" t="e">
        <f t="shared" si="216"/>
        <v>#VALUE!</v>
      </c>
      <c r="LF77">
        <f t="shared" si="130"/>
        <v>0</v>
      </c>
      <c r="LG77" t="e">
        <f t="shared" si="217"/>
        <v>#VALUE!</v>
      </c>
      <c r="LH77" t="str">
        <f t="shared" si="131"/>
        <v xml:space="preserve"> </v>
      </c>
      <c r="LI77">
        <f t="shared" si="218"/>
        <v>1</v>
      </c>
    </row>
    <row r="78" spans="2:321" ht="15" customHeight="1">
      <c r="B78" s="311"/>
      <c r="C78" s="311"/>
      <c r="D78" s="312"/>
      <c r="E78" s="311"/>
      <c r="F78" s="312"/>
      <c r="G78" s="311"/>
      <c r="H78" s="311"/>
      <c r="I78" s="37"/>
      <c r="J78" s="311"/>
      <c r="K78" s="305" t="str">
        <f t="shared" si="132"/>
        <v/>
      </c>
      <c r="L78" s="313"/>
      <c r="M78" s="312"/>
      <c r="N78" s="311"/>
      <c r="O78" s="312"/>
      <c r="P78" s="311"/>
      <c r="Q78" s="305" t="str">
        <f t="shared" si="133"/>
        <v/>
      </c>
      <c r="R78" s="314"/>
      <c r="S78" s="450" t="str">
        <f t="shared" si="0"/>
        <v/>
      </c>
      <c r="T78" s="315"/>
      <c r="U78" s="315"/>
      <c r="W78" s="149" t="str">
        <f t="shared" si="1"/>
        <v xml:space="preserve"> </v>
      </c>
      <c r="X78" s="243" t="str">
        <f t="shared" si="2"/>
        <v xml:space="preserve"> </v>
      </c>
      <c r="Y78" s="150" t="str">
        <f t="shared" si="3"/>
        <v/>
      </c>
      <c r="Z78" s="149" t="str">
        <f t="shared" si="4"/>
        <v xml:space="preserve"> </v>
      </c>
      <c r="AA78" s="98" t="str">
        <f t="shared" si="5"/>
        <v xml:space="preserve"> </v>
      </c>
      <c r="AB78" s="153" t="str">
        <f t="shared" si="6"/>
        <v xml:space="preserve"> </v>
      </c>
      <c r="AC78" s="153" t="str">
        <f t="shared" si="7"/>
        <v xml:space="preserve"> </v>
      </c>
      <c r="AD78" s="148" t="str">
        <f t="shared" si="8"/>
        <v/>
      </c>
      <c r="AE78" s="149" t="str">
        <f t="shared" si="9"/>
        <v/>
      </c>
      <c r="AF78" s="151" t="str">
        <f t="shared" si="10"/>
        <v xml:space="preserve"> </v>
      </c>
      <c r="AG78" s="153" t="str">
        <f t="shared" si="11"/>
        <v xml:space="preserve"> </v>
      </c>
      <c r="AH78" s="98" t="str">
        <f t="shared" si="12"/>
        <v xml:space="preserve"> </v>
      </c>
      <c r="AI78" s="149" t="str">
        <f t="shared" si="13"/>
        <v xml:space="preserve"> </v>
      </c>
      <c r="AK78" s="144" t="str">
        <f t="shared" si="14"/>
        <v xml:space="preserve"> </v>
      </c>
      <c r="AL78" s="144"/>
      <c r="AM78" s="243" t="str">
        <f t="shared" si="15"/>
        <v xml:space="preserve"> </v>
      </c>
      <c r="AN78" s="149" t="str">
        <f t="shared" si="134"/>
        <v xml:space="preserve"> </v>
      </c>
      <c r="AO78" s="144" t="str">
        <f>IF(JB78&gt;0,IF(GI78=10,-R78*1.085*(Calculation!$F$6-Calculation!$F$13)*$S$14," "),"")</f>
        <v/>
      </c>
      <c r="AP78" s="144" t="str">
        <f t="shared" si="16"/>
        <v/>
      </c>
      <c r="AQ78" s="56" t="str">
        <f t="shared" si="17"/>
        <v/>
      </c>
      <c r="AR78" s="144" t="str">
        <f t="shared" si="18"/>
        <v/>
      </c>
      <c r="AS78" s="176" t="str">
        <f t="shared" si="19"/>
        <v/>
      </c>
      <c r="AT78" s="176" t="str">
        <f t="shared" si="135"/>
        <v xml:space="preserve"> </v>
      </c>
      <c r="AU78" s="176" t="str">
        <f t="shared" si="20"/>
        <v/>
      </c>
      <c r="AV78" s="177" t="str">
        <f t="shared" si="21"/>
        <v xml:space="preserve"> </v>
      </c>
      <c r="AW78" s="144" t="str">
        <f t="shared" si="22"/>
        <v xml:space="preserve"> </v>
      </c>
      <c r="AX78" s="144" t="str">
        <f t="shared" si="23"/>
        <v xml:space="preserve"> </v>
      </c>
      <c r="AY78" s="152" t="str">
        <f t="shared" si="24"/>
        <v xml:space="preserve"> </v>
      </c>
      <c r="AZ78" s="246" t="str">
        <f t="shared" si="25"/>
        <v/>
      </c>
      <c r="BA78" s="176" t="str">
        <f t="shared" si="26"/>
        <v xml:space="preserve"> </v>
      </c>
      <c r="BB78" s="176" t="str">
        <f t="shared" si="27"/>
        <v xml:space="preserve"> </v>
      </c>
      <c r="BC78" s="195"/>
      <c r="BD78" s="316"/>
      <c r="BE78" s="317"/>
      <c r="BF78" s="318"/>
      <c r="BG78" s="318"/>
      <c r="BH78" s="144" t="str">
        <f t="shared" si="219"/>
        <v xml:space="preserve"> </v>
      </c>
      <c r="BI78" s="176" t="str">
        <f t="shared" si="28"/>
        <v/>
      </c>
      <c r="BJ78" s="144" t="str">
        <f t="shared" si="220"/>
        <v/>
      </c>
      <c r="BK78" s="246" t="str">
        <f t="shared" si="29"/>
        <v/>
      </c>
      <c r="BL78" s="144" t="str">
        <f t="shared" si="221"/>
        <v/>
      </c>
      <c r="BM78" s="246" t="str">
        <f t="shared" si="30"/>
        <v/>
      </c>
      <c r="BN78" s="337" t="str">
        <f t="shared" si="136"/>
        <v/>
      </c>
      <c r="BO78" s="371" t="str">
        <f t="shared" si="137"/>
        <v/>
      </c>
      <c r="BP78" s="328" t="str">
        <f t="shared" si="222"/>
        <v xml:space="preserve"> </v>
      </c>
      <c r="BQ78" s="347" t="str">
        <f t="shared" si="138"/>
        <v xml:space="preserve"> </v>
      </c>
      <c r="BR78" s="353" t="str">
        <f t="shared" si="223"/>
        <v xml:space="preserve"> </v>
      </c>
      <c r="BS78" s="626" t="str">
        <f>IF(L78&gt;0,IF(Calculation!P78="M13",BR78*3.1416*(0.134^2)/(4*144),IF(Calculation!P78="M17",BR78*3.1416*(0.165^2)/(4*144),IF(Calculation!P78="M20",BR78*3.1416*(0.198^2)/(4*144),IF(Calculation!P78="M23",BR78*3.1416*(0.228^2)/(4*144),IF(Calculation!P78="M27",BR78*3.1416*(0.269^2)/(4*144),BR78*3.1416*(0.307^2)/(4*144))))))," ")</f>
        <v xml:space="preserve"> </v>
      </c>
      <c r="BT78" s="353" t="str">
        <f>IF(L78&gt;0,IF(BS78&gt;0,R78/Calculation!BS78,0)," ")</f>
        <v xml:space="preserve"> </v>
      </c>
      <c r="BU78" s="438" t="e">
        <f t="shared" ca="1" si="31"/>
        <v>#VALUE!</v>
      </c>
      <c r="BV78" s="449" t="e">
        <f ca="1">INDEX(INDIRECT(VLOOKUP(LEFT(BO78,7),CLU!$Z$3:$AH$18,2)),GN78,GR78)</f>
        <v>#N/A</v>
      </c>
      <c r="BW78" s="433" t="e">
        <f ca="1">INDEX(INDIRECT(VLOOKUP(LEFT(BO78,7),CLU!$Z$3:$AH$18,3)),GN78,GR78)</f>
        <v>#N/A</v>
      </c>
      <c r="BX78" s="433" t="e">
        <f ca="1">INDEX(INDIRECT(VLOOKUP(LEFT(BO78,7),CLU!$Z$3:$AH$18,4)),GN78,GR78)</f>
        <v>#N/A</v>
      </c>
      <c r="BY78" s="433" t="e">
        <f ca="1">INDEX(INDIRECT(VLOOKUP(LEFT(BO78,7),CLU!$Z$3:$AH$18,9)),((M78-2)*(6-COUNTBLANK(GT78:GY78)))+GJ78)</f>
        <v>#N/A</v>
      </c>
      <c r="BZ78" s="426" t="e">
        <f t="shared" ca="1" si="139"/>
        <v>#N/A</v>
      </c>
      <c r="CA78" s="424" t="e">
        <f t="shared" ca="1" si="140"/>
        <v>#N/A</v>
      </c>
      <c r="CB78" s="429" t="e">
        <f ca="1">INDEX(INDIRECT(VLOOKUP(LEFT(BO78,7),CLU!$Z$3:$AH$18,2)),GN78,GS78)</f>
        <v>#N/A</v>
      </c>
      <c r="CC78" s="342" t="e">
        <f ca="1">INDEX(INDIRECT(VLOOKUP(LEFT(BO78,7),CLU!$Z$3:$AH$18,3)),GN78,GS78)</f>
        <v>#N/A</v>
      </c>
      <c r="CD78" s="342" t="e">
        <f ca="1">INDEX(INDIRECT(VLOOKUP(LEFT(BO78,7),CLU!$Z$3:$AH$18,4)),GN78,GS78)</f>
        <v>#N/A</v>
      </c>
      <c r="CE78" s="426" t="e">
        <f t="shared" ca="1" si="141"/>
        <v>#N/A</v>
      </c>
      <c r="CF78" s="440">
        <f t="shared" si="142"/>
        <v>0</v>
      </c>
      <c r="CG78" s="431" t="e">
        <f ca="1">INDEX(INDIRECT(VLOOKUP(LEFT(BO78,7),CLU!$Z$3:$AH$18,2)),GQ78,GR78)</f>
        <v>#N/A</v>
      </c>
      <c r="CH78" s="431" t="e">
        <f ca="1">INDEX(INDIRECT(VLOOKUP(LEFT(BO78,7),CLU!$Z$3:$AH$18,3)),GQ78,GR78)</f>
        <v>#N/A</v>
      </c>
      <c r="CI78" s="431" t="e">
        <f ca="1">INDEX(INDIRECT(VLOOKUP(LEFT(BO78,7),CLU!$Z$3:$AH$18,4)),GQ78,GR78)</f>
        <v>#N/A</v>
      </c>
      <c r="CJ78" s="448" t="e">
        <f t="shared" ca="1" si="143"/>
        <v>#N/A</v>
      </c>
      <c r="CK78" s="431" t="e">
        <f t="shared" ca="1" si="144"/>
        <v>#N/A</v>
      </c>
      <c r="CL78" s="440" t="e">
        <f t="shared" ca="1" si="145"/>
        <v>#N/A</v>
      </c>
      <c r="CM78" s="431" t="e">
        <f ca="1">INDEX(INDIRECT(VLOOKUP(LEFT(BO78,7),CLU!$Z$3:$AH$18,2)),GQ78,GS78)</f>
        <v>#N/A</v>
      </c>
      <c r="CN78" s="431" t="e">
        <f ca="1">INDEX(INDIRECT(VLOOKUP(LEFT(BO78,7),CLU!$Z$3:$AH$18,3)),GQ78,GS78)</f>
        <v>#N/A</v>
      </c>
      <c r="CO78" s="431" t="e">
        <f ca="1">INDEX(INDIRECT(VLOOKUP(LEFT(BO78,7),CLU!$Z$3:$AH$18,4)),GQ78,GS78)</f>
        <v>#N/A</v>
      </c>
      <c r="CP78" s="431" t="e">
        <f t="shared" ca="1" si="146"/>
        <v>#N/A</v>
      </c>
      <c r="CQ78" s="440">
        <f t="shared" si="147"/>
        <v>0</v>
      </c>
      <c r="CR78" s="51" t="e">
        <f t="shared" ca="1" si="148"/>
        <v>#N/A</v>
      </c>
      <c r="CS78" s="439" t="e">
        <f t="shared" ca="1" si="149"/>
        <v>#VALUE!</v>
      </c>
      <c r="CT78" s="51" t="e">
        <f t="shared" ca="1" si="150"/>
        <v>#VALUE!</v>
      </c>
      <c r="CU78" s="10"/>
      <c r="CV78" s="51" t="e">
        <f t="shared" ca="1" si="34"/>
        <v>#VALUE!</v>
      </c>
      <c r="CW78" s="51">
        <f t="shared" si="151"/>
        <v>0</v>
      </c>
      <c r="CX78" s="439" t="e">
        <f t="shared" ca="1" si="152"/>
        <v>#VALUE!</v>
      </c>
      <c r="CY78" s="51" t="e">
        <f t="shared" ca="1" si="153"/>
        <v>#VALUE!</v>
      </c>
      <c r="CZ78" s="10"/>
      <c r="DA78" s="51" t="e">
        <f t="shared" ca="1" si="154"/>
        <v>#VALUE!</v>
      </c>
      <c r="DB78" s="347" t="e">
        <f ca="1">INDEX(INDIRECT(VLOOKUP(LEFT(BO78,7),CLU!$Z$3:$AI$18,10)),((M78-2)*(6-COUNTBLANK(GT78:GY78)))+GJ78)*LI78</f>
        <v>#N/A</v>
      </c>
      <c r="DC78" s="347" t="str">
        <f>IF(L78&gt;0,((R78/Worksheet!$I$15)/DB78)^2," ")</f>
        <v xml:space="preserve"> </v>
      </c>
      <c r="DD78" s="602" t="str">
        <f t="shared" si="224"/>
        <v xml:space="preserve"> </v>
      </c>
      <c r="DE78" s="347" t="str">
        <f t="shared" si="35"/>
        <v xml:space="preserve"> </v>
      </c>
      <c r="DF78" s="356" t="e">
        <f ca="1">INDEX(INDIRECT(VLOOKUP(LEFT(BO78,7),CLU!$Z$3:$AH$18,8)),((M78-2)*(6-COUNTBLANK(GT78:GY78)))+GJ78)</f>
        <v>#N/A</v>
      </c>
      <c r="DG78" s="347" t="str">
        <f t="shared" si="36"/>
        <v xml:space="preserve"> </v>
      </c>
      <c r="DH78" s="357" t="str">
        <f t="shared" si="37"/>
        <v xml:space="preserve"> </v>
      </c>
      <c r="DI78" s="355" t="str">
        <f t="shared" si="38"/>
        <v xml:space="preserve"> </v>
      </c>
      <c r="DJ78" s="245" t="e">
        <f ca="1">INDEX(INDIRECT(VLOOKUP(LEFT(BO78,7),CLU!$Z$3:$AH$18,5)),GL78,GK78)</f>
        <v>#N/A</v>
      </c>
      <c r="DK78" s="245" t="e">
        <f ca="1">INDEX(INDIRECT(VLOOKUP(LEFT(BO78,7),CLU!$Z$3:$AH$18,6)),GL78,GK78)</f>
        <v>#N/A</v>
      </c>
      <c r="DL78" s="355">
        <f>(Calculation!R78*0.69143*(Calculation!$BQ$8-Calculation!$F$8))*$S$14</f>
        <v>0</v>
      </c>
      <c r="DM78" s="359" t="e">
        <f t="shared" si="160"/>
        <v>#VALUE!</v>
      </c>
      <c r="DN78" s="611">
        <f t="shared" si="161"/>
        <v>0</v>
      </c>
      <c r="DO78" s="359">
        <f t="shared" si="162"/>
        <v>100</v>
      </c>
      <c r="DP78" s="359">
        <f t="shared" si="163"/>
        <v>0</v>
      </c>
      <c r="DQ78" s="360"/>
      <c r="DR78" s="245" t="e">
        <f ca="1">INDEX(INDIRECT(VLOOKUP(LEFT(BO78,7),CLU!$Z$3:$AH$18,7)),M78-1,1)</f>
        <v>#N/A</v>
      </c>
      <c r="DS78" s="245" t="e">
        <f ca="1">INDEX(INDIRECT(VLOOKUP(LEFT(BO78,7),CLU!$Z$3:$AH$18,7)),M78-1,2)</f>
        <v>#N/A</v>
      </c>
      <c r="DT78" s="245" t="e">
        <f ca="1">INDEX(INDIRECT(VLOOKUP(LEFT(BO78,7),CLU!$Z$3:$AH$18,7)),M78-1,3)</f>
        <v>#N/A</v>
      </c>
      <c r="DU78" s="245" t="e">
        <f ca="1">INDEX(INDIRECT(VLOOKUP(LEFT(BO78,7),CLU!$Z$3:$AH$18,7)),M78-1,4)</f>
        <v>#N/A</v>
      </c>
      <c r="DV78" s="361" t="e">
        <f ca="1">INDEX(INDIRECT(VLOOKUP(LEFT(BO78,7),CLU!$Z$3:$AH$18,7)),M78-1,4+LEFT(DZ78,1)*0.5)</f>
        <v>#N/A</v>
      </c>
      <c r="DW78" s="245" t="e">
        <f ca="1">INDEX(INDIRECT(VLOOKUP(LEFT(BO78,7),CLU!$Z$3:$AH$18,7)),M78-1,8)</f>
        <v>#N/A</v>
      </c>
      <c r="DX78" s="361" t="str">
        <f t="shared" si="39"/>
        <v xml:space="preserve"> </v>
      </c>
      <c r="DY78" s="361" t="str">
        <f t="shared" si="40"/>
        <v xml:space="preserve"> </v>
      </c>
      <c r="DZ78" s="361" t="str">
        <f t="shared" si="41"/>
        <v xml:space="preserve"> </v>
      </c>
      <c r="EA78" s="362" t="str">
        <f t="shared" si="42"/>
        <v xml:space="preserve"> </v>
      </c>
      <c r="EB78" s="624" t="str">
        <f t="shared" si="168"/>
        <v xml:space="preserve"> </v>
      </c>
      <c r="EC78" s="361" t="e">
        <f ca="1">INDEX(INDIRECT(VLOOKUP(LEFT(BO78,7),CLU!$Z$3:$AH$18,7)),M78-1,4+LEFT(DZ78,1)*0.5)</f>
        <v>#N/A</v>
      </c>
      <c r="ED78" s="362" t="str">
        <f t="shared" si="43"/>
        <v xml:space="preserve"> </v>
      </c>
      <c r="EE78" s="361" t="str">
        <f t="shared" si="44"/>
        <v xml:space="preserve"> </v>
      </c>
      <c r="EF78" s="362" t="str">
        <f>IF(L78&gt;0,IF(BR78&gt;0,IF(EE78="2P",IF(Calculation!DZ78="2P",IF(Calculation!DS78=13.75,IF(Calculation!DR78=13,Worksheet!$BD$43,IF(Calculation!DR78=37,Worksheet!$BD$44,Worksheet!$BD$45)),IF(Calculation!DS78=10,IF(Calculation!DR78=18,Worksheet!$BD$29,IF(Calculation!DR78=30,Worksheet!$BD$30,IF(Calculation!DR78=42,Worksheet!$BD$31,IF(Calculation!DR78=54,Worksheet!$BD$32,IF(Calculation!DR78=66,Worksheet!$BD$33,IF(Calculation!DR78=78,Worksheet!$BD$34,IF(Calculation!DR78=90,Worksheet!$BD$35,IF(Calculation!DR78=102,Worksheet!$BD$36,Worksheet!$BD$37)))))))),IF(Calculation!DS78=12.5,IF(Calculation!DR78=18,Worksheet!$BD$38,IF(Calculation!DR78=Worksheet!$BD$39,IF(Calculation!DR78=42,Worksheet!$BD$40,IF(Calculation!DR78=54,Worksheet!$BD$41,Worksheet!$BD$42)))),IF(Calculation!DR78=18,Worksheet!$BD$11,IF(Calculation!DR78=30,Worksheet!$BD$12,IF(Calculation!DR78=42,Worksheet!$BD$13,IF(Calculation!DR78=54,Worksheet!$BD$14,IF(Calculation!DR78=66,Worksheet!$BD$15,IF(Calculation!DR78=78,Worksheet!$BD$16,IF(Calculation!DR78=90,Worksheet!$BD$17,IF(Calculation!DR78=102,Worksheet!$BD$18,Worksheet!$BD$19))))))))))),IF(Calculation!DS78=13.75,IF(Calculation!DR78=13,Worksheet!$BD$78,IF(Calculation!DR78=37,Worksheet!$BD$79,Worksheet!$BD$80)),IF(Calculation!DS78=10,IF(Calculation!DR78=18,Worksheet!$BD$64,IF(Calculation!DR78=30,Worksheet!$BD$65,IF(Calculation!DR78=42,Worksheet!$BD$66,IF(Calculation!DR78=54,Worksheet!$BD$68,IF(Calculation!DR78=66,Worksheet!$BD$68,IF(Calculation!DR78=78,Worksheet!$BD$69,IF(Calculation!DR78=90,Worksheet!$BD$70,IF(Calculation!DR78=102,Worksheet!$BD$71,Worksheet!$BD$72)))))))),IF(Calculation!DS78=12.5,IF(Calculation!DR78=18,Worksheet!$BD$73,IF(Calculation!DR78=Worksheet!$BD$74,IF(Calculation!DR78=42,Worksheet!$BD$75,IF(Calculation!DR78=54,Worksheet!$BD$76,Worksheet!$BD$77)))),IF(Calculation!DR78=18,Worksheet!$BD$55,IF(Calculation!DR78=30,Worksheet!$BD$56,IF(Calculation!DR78=42,Worksheet!$BD$57,IF(Calculation!DR78=54,Worksheet!$BD$58,IF(Calculation!DR78=66,Worksheet!$BD$59,IF(Calculation!DR78=78,Worksheet!$BD$60,IF(Calculation!DR78=90,Worksheet!$BD$61,IF(Calculation!DR78=102,Worksheet!$BD$62,Worksheet!$BD$63)))))))))))),5),0)," ")</f>
        <v xml:space="preserve"> </v>
      </c>
      <c r="EG78" s="361" t="str">
        <f t="shared" si="45"/>
        <v xml:space="preserve"> </v>
      </c>
      <c r="EH78" s="361" t="e">
        <f ca="1">INDEX(INDIRECT(VLOOKUP(LEFT(BO78,7),CLU!$Z$3:$AH$18,7)),M78-1,3+LEFT(DZ78,1))</f>
        <v>#N/A</v>
      </c>
      <c r="EI78" s="362" t="str">
        <f t="shared" si="46"/>
        <v xml:space="preserve"> </v>
      </c>
      <c r="EJ78" s="363" t="str">
        <f t="shared" si="47"/>
        <v xml:space="preserve"> </v>
      </c>
      <c r="EK78" s="363" t="str">
        <f t="shared" si="48"/>
        <v xml:space="preserve"> </v>
      </c>
      <c r="EL78" s="363" t="str">
        <f t="shared" si="49"/>
        <v xml:space="preserve"> </v>
      </c>
      <c r="EM78" s="362" t="str">
        <f>IF(L78&gt;0,IF(BR78&gt;0,(Calculation!T78/ED78)^2,0)," ")</f>
        <v xml:space="preserve"> </v>
      </c>
      <c r="EN78" s="362" t="str">
        <f>IF(L78&gt;0,IF(O78="2 Pipe (Cooling)","N/A",IF(BR78&gt;0,(Calculation!U78/EI78)^2,0))," ")</f>
        <v xml:space="preserve"> </v>
      </c>
      <c r="EO78" s="361" t="str">
        <f t="shared" si="50"/>
        <v/>
      </c>
      <c r="EP78" s="361" t="str">
        <f t="shared" si="51"/>
        <v/>
      </c>
      <c r="EQ78" s="361" t="str">
        <f t="shared" si="52"/>
        <v/>
      </c>
      <c r="ER78" s="361" t="str">
        <f t="shared" si="53"/>
        <v/>
      </c>
      <c r="ES78" s="361" t="str">
        <f t="shared" si="54"/>
        <v/>
      </c>
      <c r="ET78" s="361" t="str">
        <f t="shared" si="55"/>
        <v/>
      </c>
      <c r="EU78" s="361" t="str">
        <f t="shared" si="56"/>
        <v/>
      </c>
      <c r="EV78" s="361" t="str">
        <f t="shared" si="57"/>
        <v/>
      </c>
      <c r="EW78" s="361" t="str">
        <f t="shared" si="58"/>
        <v/>
      </c>
      <c r="EX78" s="361" t="str">
        <f t="shared" si="169"/>
        <v>1 slot, 1 way</v>
      </c>
      <c r="EY78" s="361" t="str">
        <f t="shared" si="170"/>
        <v xml:space="preserve"> </v>
      </c>
      <c r="EZ78" s="361" t="str">
        <f t="shared" si="171"/>
        <v xml:space="preserve"> </v>
      </c>
      <c r="FA78" s="361" t="str">
        <f t="shared" si="172"/>
        <v xml:space="preserve"> </v>
      </c>
      <c r="FB78" s="361" t="str">
        <f t="shared" si="173"/>
        <v xml:space="preserve"> </v>
      </c>
      <c r="FC78" s="361"/>
      <c r="FD78" s="361" t="str">
        <f>IF(J78&gt;0,IF(Calculation!R78&lt;=70,4,IF(Calculation!R78&lt;=110,5,IF(Calculation!R78&lt;=160,6,IF(Calculation!R78&lt;=300,8,"10 EO")))),"")</f>
        <v/>
      </c>
      <c r="FE78" s="361" t="str">
        <f t="shared" si="174"/>
        <v/>
      </c>
      <c r="FF78" s="361" t="str">
        <f t="shared" si="175"/>
        <v/>
      </c>
      <c r="FG78" s="361" t="e">
        <f t="shared" si="60"/>
        <v>#N/A</v>
      </c>
      <c r="FH78" s="361">
        <f t="shared" si="61"/>
        <v>0</v>
      </c>
      <c r="FI78" s="361" t="e">
        <f t="shared" si="62"/>
        <v>#DIV/0!</v>
      </c>
      <c r="FJ78" s="361"/>
      <c r="FK78" s="356" t="e">
        <f t="shared" si="63"/>
        <v>#VALUE!</v>
      </c>
      <c r="FL78" s="361"/>
      <c r="FM78" s="361"/>
      <c r="FN78" s="362" t="str">
        <f t="shared" si="176"/>
        <v xml:space="preserve"> </v>
      </c>
      <c r="FO78" s="362" t="str">
        <f t="shared" si="177"/>
        <v xml:space="preserve"> </v>
      </c>
      <c r="FP78" s="362">
        <f t="shared" si="178"/>
        <v>0</v>
      </c>
      <c r="FQ78" s="361">
        <f t="shared" si="64"/>
        <v>0</v>
      </c>
      <c r="FR78" s="362" t="str">
        <f>IF(L78&gt;0,IF(J78="CBAL2",Worksheet!$P$67,IF(J78="CBE2-24",Worksheet!$Q$67,IF(J78="CBAM",Worksheet!$R$67,IF(J78="CBLV",Worksheet!$S$67,IF(J78="CBAB",Worksheet!$U$67,IF(J78="CBAW",Worksheet!$X$67,IF(J78="CBE2-12",Worksheet!$Y$67,IF(J78="CBAL2",Worksheet!$Z$67,"N/A"))))))))," ")</f>
        <v xml:space="preserve"> </v>
      </c>
      <c r="FS78" s="362" t="str">
        <f>IF(L78&gt;0,IF(J78="CBAL2",Worksheet!$P$68,IF(J78="CBE2-24",Worksheet!$Q$68,IF(J78="CBAM",Worksheet!$R$68,IF(J78="CBLV",Worksheet!$S$68,IF(J78="CBAB",Worksheet!$U$68,IF(J78="CBAW",Worksheet!$X$68,IF(J78="CBE2-12",Worksheet!$Y$68,IF(J78="CBAL2",Worksheet!$Z$68,"N/A"))))))))," ")</f>
        <v xml:space="preserve"> </v>
      </c>
      <c r="FT78" s="362" t="str">
        <f>IF(L78&gt;0,IF(J78="CBAL2",Worksheet!$P$69,IF(J78="CBE2-24",Worksheet!$Q$69,IF(J78="CBAM",Worksheet!$R$69,IF(J78="CBLV",Worksheet!$S$69,IF(J78="CBAB",Worksheet!$U$69,IF(J78="CBAW",Worksheet!$X$69,IF(J78="CBE2-12",Worksheet!$Y$69,IF(J78="CBAL2",Worksheet!$Z$69,"N/A"))))))))," ")</f>
        <v xml:space="preserve"> </v>
      </c>
      <c r="FU78" s="361" t="str">
        <f t="shared" si="179"/>
        <v xml:space="preserve"> </v>
      </c>
      <c r="FV78" s="362" t="str">
        <f t="shared" si="180"/>
        <v xml:space="preserve"> </v>
      </c>
      <c r="FW78" s="362" t="str">
        <f t="shared" si="181"/>
        <v xml:space="preserve"> </v>
      </c>
      <c r="FX78" s="362" t="str">
        <f t="shared" si="182"/>
        <v xml:space="preserve"> </v>
      </c>
      <c r="FY78" s="355" t="str">
        <f t="shared" si="183"/>
        <v xml:space="preserve"> </v>
      </c>
      <c r="FZ78" s="361" t="str">
        <f t="shared" si="184"/>
        <v xml:space="preserve"> </v>
      </c>
      <c r="GA78" s="347" t="str">
        <f t="shared" si="185"/>
        <v xml:space="preserve"> </v>
      </c>
      <c r="GB78" s="355" t="str">
        <f t="shared" si="186"/>
        <v xml:space="preserve"> </v>
      </c>
      <c r="GC78" s="328" t="str">
        <f t="shared" si="187"/>
        <v xml:space="preserve"> </v>
      </c>
      <c r="GD78" s="361" t="str">
        <f t="shared" si="188"/>
        <v xml:space="preserve"> </v>
      </c>
      <c r="GE78" s="347" t="str">
        <f t="shared" si="189"/>
        <v xml:space="preserve"> </v>
      </c>
      <c r="GF78" s="361" t="str">
        <f t="shared" si="190"/>
        <v xml:space="preserve"> </v>
      </c>
      <c r="GG78" s="347" t="str">
        <f t="shared" si="191"/>
        <v xml:space="preserve"> </v>
      </c>
      <c r="GH78" s="364">
        <f t="shared" si="78"/>
        <v>0</v>
      </c>
      <c r="GI78" s="362">
        <f t="shared" si="192"/>
        <v>2</v>
      </c>
      <c r="GJ78" s="433" t="e">
        <f>IF(6-COUNTBLANK(GT78:GY78)=4,MATCH(MID(BO78,9,3),CLU!$H$16:$K$16),MATCH(MID(BO78,9,3),CLU!$H$13:$M$13))</f>
        <v>#N/A</v>
      </c>
      <c r="GK78" s="433" t="e">
        <f>HLOOKUP(VALUE(BP78),CLU!$H$9:$M$10,2)</f>
        <v>#VALUE!</v>
      </c>
      <c r="GL78" s="433" t="e">
        <f ca="1">MATCH(BU78,CLU!$H$2:$V$2,1)</f>
        <v>#VALUE!</v>
      </c>
      <c r="GM78" s="433" t="e">
        <f t="shared" ca="1" si="193"/>
        <v>#VALUE!</v>
      </c>
      <c r="GN78" s="433" t="e">
        <f t="shared" ca="1" si="194"/>
        <v>#VALUE!</v>
      </c>
      <c r="GO78" s="433" t="e">
        <f t="shared" ca="1" si="195"/>
        <v>#VALUE!</v>
      </c>
      <c r="GP78" s="433" t="e">
        <f t="shared" ca="1" si="196"/>
        <v>#VALUE!</v>
      </c>
      <c r="GQ78" s="433" t="e">
        <f t="shared" ca="1" si="197"/>
        <v>#VALUE!</v>
      </c>
      <c r="GR78" s="433" t="e">
        <f ca="1">MATCH(T78,INDIRECT(VLOOKUP(CONCATENATE(LEFT(BO78,7),"-",MID(BO78,13,1)),CLU!$P$3:$Q$16,2)),1)</f>
        <v>#N/A</v>
      </c>
      <c r="GS78" s="433" t="e">
        <f ca="1">MATCH(U78,INDIRECT(VLOOKUP(CONCATENATE(LEFT(BO78,7),"-",MID(BO78,13,1)),CLU!$P$3:$Q$16,2)),1)</f>
        <v>#N/A</v>
      </c>
      <c r="GT78" s="347" t="s">
        <v>512</v>
      </c>
      <c r="GU78" s="97" t="s">
        <v>513</v>
      </c>
      <c r="GV78" s="97" t="str">
        <f t="shared" si="198"/>
        <v>M23</v>
      </c>
      <c r="GW78" s="97" t="str">
        <f t="shared" si="199"/>
        <v>M31</v>
      </c>
      <c r="GX78" s="97" t="str">
        <f t="shared" si="200"/>
        <v/>
      </c>
      <c r="GY78" s="97" t="str">
        <f t="shared" si="201"/>
        <v/>
      </c>
      <c r="GZ78" s="481"/>
      <c r="HA78" s="288"/>
      <c r="HB78" s="240"/>
      <c r="HC78" s="240"/>
      <c r="HD78" s="240"/>
      <c r="HE78" s="240"/>
      <c r="HF78" s="240"/>
      <c r="HG78" s="240"/>
      <c r="HH78" s="240"/>
      <c r="HI78" s="240"/>
      <c r="HJ78" s="240"/>
      <c r="HK78" s="240"/>
      <c r="HL78" s="240"/>
      <c r="HM78" s="240"/>
      <c r="HN78" s="240"/>
      <c r="HO78" s="240"/>
      <c r="HP78" s="240"/>
      <c r="HQ78" s="240"/>
      <c r="HR78" s="240"/>
      <c r="HS78" s="240"/>
      <c r="HT78" s="240"/>
      <c r="HU78" s="240"/>
      <c r="HV78" s="245"/>
      <c r="HW78" s="245" t="b">
        <v>1</v>
      </c>
      <c r="HX78" s="245" t="str">
        <f t="shared" si="79"/>
        <v/>
      </c>
      <c r="HY78" s="245" t="e">
        <f t="shared" si="80"/>
        <v>#DIV/0!</v>
      </c>
      <c r="HZ78" s="245" t="e">
        <f t="shared" si="81"/>
        <v>#DIV/0!</v>
      </c>
      <c r="IA78" s="245">
        <f t="shared" si="82"/>
        <v>0</v>
      </c>
      <c r="IB78" s="245"/>
      <c r="IC78" t="b">
        <f t="shared" si="83"/>
        <v>1</v>
      </c>
      <c r="ID78" s="245" t="b">
        <f t="shared" si="84"/>
        <v>1</v>
      </c>
      <c r="IE78" s="245" t="b">
        <f t="shared" si="85"/>
        <v>1</v>
      </c>
      <c r="IF78" s="245" t="b">
        <f t="shared" si="86"/>
        <v>0</v>
      </c>
      <c r="IG78" s="245" t="b">
        <f t="shared" si="87"/>
        <v>1</v>
      </c>
      <c r="IH78" s="245" t="b">
        <f t="shared" si="88"/>
        <v>1</v>
      </c>
      <c r="II78" s="245">
        <f t="shared" si="202"/>
        <v>0</v>
      </c>
      <c r="IJ78" s="245" t="e">
        <f t="shared" si="89"/>
        <v>#VALUE!</v>
      </c>
      <c r="IK78" s="245" t="e">
        <f t="shared" si="90"/>
        <v>#VALUE!</v>
      </c>
      <c r="IL78" s="245"/>
      <c r="IM78" s="245" t="e">
        <f t="shared" si="203"/>
        <v>#N/A</v>
      </c>
      <c r="IN78" s="245" t="e">
        <f t="shared" si="204"/>
        <v>#N/A</v>
      </c>
      <c r="IO78" s="245"/>
      <c r="IP78" s="245"/>
      <c r="IQ78" s="245" t="str">
        <f t="shared" si="91"/>
        <v/>
      </c>
      <c r="IR78" s="245" t="str">
        <f>IF(J78="","",VLOOKUP(J78,Worksheet!$R$4:$T$14,2))</f>
        <v/>
      </c>
      <c r="IS78" s="245"/>
      <c r="IT78" s="245">
        <f t="shared" si="92"/>
        <v>0</v>
      </c>
      <c r="IU78" s="245">
        <f t="shared" si="93"/>
        <v>0</v>
      </c>
      <c r="IV78" s="245">
        <f t="shared" si="94"/>
        <v>0</v>
      </c>
      <c r="IW78" s="245">
        <f t="shared" si="95"/>
        <v>0</v>
      </c>
      <c r="IX78" s="245">
        <f t="shared" si="205"/>
        <v>0</v>
      </c>
      <c r="IY78" s="245">
        <f t="shared" si="96"/>
        <v>0</v>
      </c>
      <c r="IZ78" s="245">
        <f t="shared" si="97"/>
        <v>0</v>
      </c>
      <c r="JA78">
        <f t="shared" si="98"/>
        <v>0</v>
      </c>
      <c r="JB78">
        <f t="shared" si="206"/>
        <v>0</v>
      </c>
      <c r="JC78">
        <f t="shared" si="99"/>
        <v>0</v>
      </c>
      <c r="JD78">
        <f t="shared" si="100"/>
        <v>0</v>
      </c>
      <c r="JE78">
        <f t="shared" si="101"/>
        <v>0</v>
      </c>
      <c r="JF78">
        <f t="shared" si="102"/>
        <v>0</v>
      </c>
      <c r="JG78">
        <f t="shared" si="103"/>
        <v>0</v>
      </c>
      <c r="JH78">
        <f t="shared" si="104"/>
        <v>0</v>
      </c>
      <c r="JI78">
        <f t="shared" si="105"/>
        <v>0</v>
      </c>
      <c r="JJ78" s="447">
        <f t="shared" si="106"/>
        <v>0</v>
      </c>
      <c r="JK78" s="447">
        <f t="shared" si="107"/>
        <v>0</v>
      </c>
      <c r="JL78">
        <f t="shared" si="108"/>
        <v>0</v>
      </c>
      <c r="JM78" s="245" t="str">
        <f>IFERROR(VLOOKUP(MATCH(BN78,#REF!,0),#REF!,7),"")</f>
        <v/>
      </c>
      <c r="JN78" t="e">
        <f>HLOOKUP(LEFT(BO78,7),Discharge_Area,MATCH(JO78,LookUps!$B$130:$B$149,1)+2)</f>
        <v>#N/A</v>
      </c>
      <c r="JO78" t="str">
        <f t="shared" si="109"/>
        <v>- S</v>
      </c>
      <c r="JP78" t="e">
        <f>HLOOKUP(LEFT(BO78,7),Discharge_Area,MATCH(JO78,LookUps!$B$130:$B$149,1)+2)</f>
        <v>#N/A</v>
      </c>
      <c r="JQ78" t="e">
        <f t="shared" si="110"/>
        <v>#N/A</v>
      </c>
      <c r="JR78" t="e">
        <f t="shared" si="111"/>
        <v>#N/A</v>
      </c>
      <c r="JS78" t="e">
        <f t="shared" si="112"/>
        <v>#N/A</v>
      </c>
      <c r="JT78" s="532" t="str">
        <f t="shared" si="113"/>
        <v xml:space="preserve"> </v>
      </c>
      <c r="JU78" s="532" t="str">
        <f t="shared" si="114"/>
        <v xml:space="preserve"> </v>
      </c>
      <c r="JV78" s="533" t="str">
        <f t="shared" si="115"/>
        <v xml:space="preserve"> </v>
      </c>
      <c r="JW78" s="534">
        <f t="shared" si="116"/>
        <v>0</v>
      </c>
      <c r="JX78" s="535" t="str">
        <f t="shared" si="207"/>
        <v xml:space="preserve"> </v>
      </c>
      <c r="JY78" s="535" t="str">
        <f t="shared" si="208"/>
        <v xml:space="preserve"> </v>
      </c>
      <c r="JZ78" s="535" t="str">
        <f t="shared" si="209"/>
        <v xml:space="preserve"> </v>
      </c>
      <c r="KA78" s="536" t="str">
        <f t="shared" si="117"/>
        <v xml:space="preserve"> </v>
      </c>
      <c r="KB78" s="535" t="e">
        <f t="shared" si="210"/>
        <v>#VALUE!</v>
      </c>
      <c r="KC78" s="535" t="str">
        <f t="shared" si="118"/>
        <v/>
      </c>
      <c r="KD78" s="537" t="str">
        <f t="shared" si="211"/>
        <v xml:space="preserve"> </v>
      </c>
      <c r="KE78" s="537" t="str">
        <f t="shared" si="212"/>
        <v xml:space="preserve"> </v>
      </c>
      <c r="KF78" s="534">
        <f t="shared" si="119"/>
        <v>0</v>
      </c>
      <c r="KG78" s="535" t="str">
        <f t="shared" si="120"/>
        <v xml:space="preserve"> </v>
      </c>
      <c r="KH78" s="535" t="str">
        <f t="shared" si="121"/>
        <v xml:space="preserve"> </v>
      </c>
      <c r="KI78" s="535" t="str">
        <f t="shared" si="122"/>
        <v xml:space="preserve"> </v>
      </c>
      <c r="KJ78" s="536" t="str">
        <f t="shared" si="123"/>
        <v xml:space="preserve"> </v>
      </c>
      <c r="KK78" s="535" t="str">
        <f t="shared" si="213"/>
        <v xml:space="preserve"> </v>
      </c>
      <c r="KL78" s="535" t="str">
        <f t="shared" si="214"/>
        <v xml:space="preserve"> </v>
      </c>
      <c r="KM78" s="537" t="str">
        <f t="shared" si="124"/>
        <v xml:space="preserve"> </v>
      </c>
      <c r="KN78" s="537" t="str">
        <f t="shared" si="215"/>
        <v xml:space="preserve"> </v>
      </c>
      <c r="KP78">
        <f t="shared" si="125"/>
        <v>0</v>
      </c>
      <c r="LA78" t="e">
        <f t="shared" si="126"/>
        <v>#VALUE!</v>
      </c>
      <c r="LB78" t="e">
        <f t="shared" si="127"/>
        <v>#VALUE!</v>
      </c>
      <c r="LC78" t="e">
        <f t="shared" si="128"/>
        <v>#VALUE!</v>
      </c>
      <c r="LD78" t="e">
        <f t="shared" si="129"/>
        <v>#VALUE!</v>
      </c>
      <c r="LE78" t="e">
        <f t="shared" si="216"/>
        <v>#VALUE!</v>
      </c>
      <c r="LF78">
        <f t="shared" si="130"/>
        <v>0</v>
      </c>
      <c r="LG78" t="e">
        <f t="shared" si="217"/>
        <v>#VALUE!</v>
      </c>
      <c r="LH78" t="str">
        <f t="shared" si="131"/>
        <v xml:space="preserve"> </v>
      </c>
      <c r="LI78">
        <f t="shared" si="218"/>
        <v>1</v>
      </c>
    </row>
    <row r="79" spans="2:321" ht="15" customHeight="1">
      <c r="B79" s="311"/>
      <c r="C79" s="311"/>
      <c r="D79" s="312"/>
      <c r="E79" s="311"/>
      <c r="F79" s="312"/>
      <c r="G79" s="311"/>
      <c r="H79" s="311"/>
      <c r="I79" s="37"/>
      <c r="J79" s="311"/>
      <c r="K79" s="305" t="str">
        <f t="shared" si="132"/>
        <v/>
      </c>
      <c r="L79" s="313"/>
      <c r="M79" s="312"/>
      <c r="N79" s="311"/>
      <c r="O79" s="312"/>
      <c r="P79" s="311"/>
      <c r="Q79" s="305" t="str">
        <f t="shared" si="133"/>
        <v/>
      </c>
      <c r="R79" s="314"/>
      <c r="S79" s="450" t="str">
        <f t="shared" si="0"/>
        <v/>
      </c>
      <c r="T79" s="315"/>
      <c r="U79" s="315"/>
      <c r="W79" s="149" t="str">
        <f t="shared" si="1"/>
        <v xml:space="preserve"> </v>
      </c>
      <c r="X79" s="243" t="str">
        <f t="shared" si="2"/>
        <v xml:space="preserve"> </v>
      </c>
      <c r="Y79" s="150" t="str">
        <f t="shared" si="3"/>
        <v/>
      </c>
      <c r="Z79" s="149" t="str">
        <f t="shared" si="4"/>
        <v xml:space="preserve"> </v>
      </c>
      <c r="AA79" s="98" t="str">
        <f t="shared" si="5"/>
        <v xml:space="preserve"> </v>
      </c>
      <c r="AB79" s="153" t="str">
        <f t="shared" si="6"/>
        <v xml:space="preserve"> </v>
      </c>
      <c r="AC79" s="153" t="str">
        <f t="shared" si="7"/>
        <v xml:space="preserve"> </v>
      </c>
      <c r="AD79" s="148" t="str">
        <f t="shared" si="8"/>
        <v/>
      </c>
      <c r="AE79" s="149" t="str">
        <f t="shared" si="9"/>
        <v/>
      </c>
      <c r="AF79" s="151" t="str">
        <f t="shared" si="10"/>
        <v xml:space="preserve"> </v>
      </c>
      <c r="AG79" s="153" t="str">
        <f t="shared" si="11"/>
        <v xml:space="preserve"> </v>
      </c>
      <c r="AH79" s="98" t="str">
        <f t="shared" si="12"/>
        <v xml:space="preserve"> </v>
      </c>
      <c r="AI79" s="149" t="str">
        <f t="shared" si="13"/>
        <v xml:space="preserve"> </v>
      </c>
      <c r="AK79" s="144" t="str">
        <f t="shared" si="14"/>
        <v xml:space="preserve"> </v>
      </c>
      <c r="AL79" s="144"/>
      <c r="AM79" s="243" t="str">
        <f t="shared" si="15"/>
        <v xml:space="preserve"> </v>
      </c>
      <c r="AN79" s="149" t="str">
        <f t="shared" si="134"/>
        <v xml:space="preserve"> </v>
      </c>
      <c r="AO79" s="144" t="str">
        <f>IF(JB79&gt;0,IF(GI79=10,-R79*1.085*(Calculation!$F$6-Calculation!$F$13)*$S$14," "),"")</f>
        <v/>
      </c>
      <c r="AP79" s="144" t="str">
        <f t="shared" si="16"/>
        <v/>
      </c>
      <c r="AQ79" s="56" t="str">
        <f t="shared" si="17"/>
        <v/>
      </c>
      <c r="AR79" s="144" t="str">
        <f t="shared" si="18"/>
        <v/>
      </c>
      <c r="AS79" s="176" t="str">
        <f t="shared" si="19"/>
        <v/>
      </c>
      <c r="AT79" s="176" t="str">
        <f t="shared" si="135"/>
        <v xml:space="preserve"> </v>
      </c>
      <c r="AU79" s="176" t="str">
        <f t="shared" si="20"/>
        <v/>
      </c>
      <c r="AV79" s="177" t="str">
        <f t="shared" si="21"/>
        <v xml:space="preserve"> </v>
      </c>
      <c r="AW79" s="144" t="str">
        <f t="shared" si="22"/>
        <v xml:space="preserve"> </v>
      </c>
      <c r="AX79" s="144" t="str">
        <f t="shared" si="23"/>
        <v xml:space="preserve"> </v>
      </c>
      <c r="AY79" s="152" t="str">
        <f t="shared" si="24"/>
        <v xml:space="preserve"> </v>
      </c>
      <c r="AZ79" s="246" t="str">
        <f t="shared" si="25"/>
        <v/>
      </c>
      <c r="BA79" s="176" t="str">
        <f t="shared" si="26"/>
        <v xml:space="preserve"> </v>
      </c>
      <c r="BB79" s="176" t="str">
        <f t="shared" si="27"/>
        <v xml:space="preserve"> </v>
      </c>
      <c r="BC79" s="195"/>
      <c r="BD79" s="316"/>
      <c r="BE79" s="317"/>
      <c r="BF79" s="318"/>
      <c r="BG79" s="318"/>
      <c r="BH79" s="144" t="str">
        <f t="shared" si="219"/>
        <v xml:space="preserve"> </v>
      </c>
      <c r="BI79" s="176" t="str">
        <f t="shared" si="28"/>
        <v/>
      </c>
      <c r="BJ79" s="144" t="str">
        <f t="shared" si="220"/>
        <v/>
      </c>
      <c r="BK79" s="246" t="str">
        <f t="shared" si="29"/>
        <v/>
      </c>
      <c r="BL79" s="144" t="str">
        <f t="shared" si="221"/>
        <v/>
      </c>
      <c r="BM79" s="246" t="str">
        <f t="shared" si="30"/>
        <v/>
      </c>
      <c r="BN79" s="337" t="str">
        <f t="shared" si="136"/>
        <v/>
      </c>
      <c r="BO79" s="371" t="str">
        <f t="shared" si="137"/>
        <v/>
      </c>
      <c r="BP79" s="328" t="str">
        <f t="shared" si="222"/>
        <v xml:space="preserve"> </v>
      </c>
      <c r="BQ79" s="347" t="str">
        <f t="shared" si="138"/>
        <v xml:space="preserve"> </v>
      </c>
      <c r="BR79" s="353" t="str">
        <f t="shared" si="223"/>
        <v xml:space="preserve"> </v>
      </c>
      <c r="BS79" s="626" t="str">
        <f>IF(L79&gt;0,IF(Calculation!P79="M13",BR79*3.1416*(0.134^2)/(4*144),IF(Calculation!P79="M17",BR79*3.1416*(0.165^2)/(4*144),IF(Calculation!P79="M20",BR79*3.1416*(0.198^2)/(4*144),IF(Calculation!P79="M23",BR79*3.1416*(0.228^2)/(4*144),IF(Calculation!P79="M27",BR79*3.1416*(0.269^2)/(4*144),BR79*3.1416*(0.307^2)/(4*144))))))," ")</f>
        <v xml:space="preserve"> </v>
      </c>
      <c r="BT79" s="353" t="str">
        <f>IF(L79&gt;0,IF(BS79&gt;0,R79/Calculation!BS79,0)," ")</f>
        <v xml:space="preserve"> </v>
      </c>
      <c r="BU79" s="438" t="e">
        <f t="shared" ca="1" si="31"/>
        <v>#VALUE!</v>
      </c>
      <c r="BV79" s="449" t="e">
        <f ca="1">INDEX(INDIRECT(VLOOKUP(LEFT(BO79,7),CLU!$Z$3:$AH$18,2)),GN79,GR79)</f>
        <v>#N/A</v>
      </c>
      <c r="BW79" s="433" t="e">
        <f ca="1">INDEX(INDIRECT(VLOOKUP(LEFT(BO79,7),CLU!$Z$3:$AH$18,3)),GN79,GR79)</f>
        <v>#N/A</v>
      </c>
      <c r="BX79" s="433" t="e">
        <f ca="1">INDEX(INDIRECT(VLOOKUP(LEFT(BO79,7),CLU!$Z$3:$AH$18,4)),GN79,GR79)</f>
        <v>#N/A</v>
      </c>
      <c r="BY79" s="433" t="e">
        <f ca="1">INDEX(INDIRECT(VLOOKUP(LEFT(BO79,7),CLU!$Z$3:$AH$18,9)),((M79-2)*(6-COUNTBLANK(GT79:GY79)))+GJ79)</f>
        <v>#N/A</v>
      </c>
      <c r="BZ79" s="426" t="e">
        <f t="shared" ca="1" si="139"/>
        <v>#N/A</v>
      </c>
      <c r="CA79" s="424" t="e">
        <f t="shared" ca="1" si="140"/>
        <v>#N/A</v>
      </c>
      <c r="CB79" s="429" t="e">
        <f ca="1">INDEX(INDIRECT(VLOOKUP(LEFT(BO79,7),CLU!$Z$3:$AH$18,2)),GN79,GS79)</f>
        <v>#N/A</v>
      </c>
      <c r="CC79" s="342" t="e">
        <f ca="1">INDEX(INDIRECT(VLOOKUP(LEFT(BO79,7),CLU!$Z$3:$AH$18,3)),GN79,GS79)</f>
        <v>#N/A</v>
      </c>
      <c r="CD79" s="342" t="e">
        <f ca="1">INDEX(INDIRECT(VLOOKUP(LEFT(BO79,7),CLU!$Z$3:$AH$18,4)),GN79,GS79)</f>
        <v>#N/A</v>
      </c>
      <c r="CE79" s="426" t="e">
        <f t="shared" ca="1" si="141"/>
        <v>#N/A</v>
      </c>
      <c r="CF79" s="440">
        <f t="shared" si="142"/>
        <v>0</v>
      </c>
      <c r="CG79" s="431" t="e">
        <f ca="1">INDEX(INDIRECT(VLOOKUP(LEFT(BO79,7),CLU!$Z$3:$AH$18,2)),GQ79,GR79)</f>
        <v>#N/A</v>
      </c>
      <c r="CH79" s="431" t="e">
        <f ca="1">INDEX(INDIRECT(VLOOKUP(LEFT(BO79,7),CLU!$Z$3:$AH$18,3)),GQ79,GR79)</f>
        <v>#N/A</v>
      </c>
      <c r="CI79" s="431" t="e">
        <f ca="1">INDEX(INDIRECT(VLOOKUP(LEFT(BO79,7),CLU!$Z$3:$AH$18,4)),GQ79,GR79)</f>
        <v>#N/A</v>
      </c>
      <c r="CJ79" s="448" t="e">
        <f t="shared" ca="1" si="143"/>
        <v>#N/A</v>
      </c>
      <c r="CK79" s="431" t="e">
        <f t="shared" ca="1" si="144"/>
        <v>#N/A</v>
      </c>
      <c r="CL79" s="440" t="e">
        <f t="shared" ca="1" si="145"/>
        <v>#N/A</v>
      </c>
      <c r="CM79" s="431" t="e">
        <f ca="1">INDEX(INDIRECT(VLOOKUP(LEFT(BO79,7),CLU!$Z$3:$AH$18,2)),GQ79,GS79)</f>
        <v>#N/A</v>
      </c>
      <c r="CN79" s="431" t="e">
        <f ca="1">INDEX(INDIRECT(VLOOKUP(LEFT(BO79,7),CLU!$Z$3:$AH$18,3)),GQ79,GS79)</f>
        <v>#N/A</v>
      </c>
      <c r="CO79" s="431" t="e">
        <f ca="1">INDEX(INDIRECT(VLOOKUP(LEFT(BO79,7),CLU!$Z$3:$AH$18,4)),GQ79,GS79)</f>
        <v>#N/A</v>
      </c>
      <c r="CP79" s="431" t="e">
        <f t="shared" ca="1" si="146"/>
        <v>#N/A</v>
      </c>
      <c r="CQ79" s="440">
        <f t="shared" si="147"/>
        <v>0</v>
      </c>
      <c r="CR79" s="51" t="e">
        <f t="shared" ca="1" si="148"/>
        <v>#N/A</v>
      </c>
      <c r="CS79" s="439" t="e">
        <f t="shared" ca="1" si="149"/>
        <v>#VALUE!</v>
      </c>
      <c r="CT79" s="51" t="e">
        <f t="shared" ca="1" si="150"/>
        <v>#VALUE!</v>
      </c>
      <c r="CU79" s="10"/>
      <c r="CV79" s="51" t="e">
        <f t="shared" ca="1" si="34"/>
        <v>#VALUE!</v>
      </c>
      <c r="CW79" s="51">
        <f t="shared" si="151"/>
        <v>0</v>
      </c>
      <c r="CX79" s="439" t="e">
        <f t="shared" ca="1" si="152"/>
        <v>#VALUE!</v>
      </c>
      <c r="CY79" s="51" t="e">
        <f t="shared" ca="1" si="153"/>
        <v>#VALUE!</v>
      </c>
      <c r="CZ79" s="10"/>
      <c r="DA79" s="51" t="e">
        <f t="shared" ca="1" si="154"/>
        <v>#VALUE!</v>
      </c>
      <c r="DB79" s="347" t="e">
        <f ca="1">INDEX(INDIRECT(VLOOKUP(LEFT(BO79,7),CLU!$Z$3:$AI$18,10)),((M79-2)*(6-COUNTBLANK(GT79:GY79)))+GJ79)*LI79</f>
        <v>#N/A</v>
      </c>
      <c r="DC79" s="347" t="str">
        <f>IF(L79&gt;0,((R79/Worksheet!$I$15)/DB79)^2," ")</f>
        <v xml:space="preserve"> </v>
      </c>
      <c r="DD79" s="602" t="str">
        <f t="shared" si="224"/>
        <v xml:space="preserve"> </v>
      </c>
      <c r="DE79" s="347" t="str">
        <f t="shared" si="35"/>
        <v xml:space="preserve"> </v>
      </c>
      <c r="DF79" s="356" t="e">
        <f ca="1">INDEX(INDIRECT(VLOOKUP(LEFT(BO79,7),CLU!$Z$3:$AH$18,8)),((M79-2)*(6-COUNTBLANK(GT79:GY79)))+GJ79)</f>
        <v>#N/A</v>
      </c>
      <c r="DG79" s="347" t="str">
        <f t="shared" si="36"/>
        <v xml:space="preserve"> </v>
      </c>
      <c r="DH79" s="357" t="str">
        <f t="shared" si="37"/>
        <v xml:space="preserve"> </v>
      </c>
      <c r="DI79" s="355" t="str">
        <f t="shared" si="38"/>
        <v xml:space="preserve"> </v>
      </c>
      <c r="DJ79" s="245" t="e">
        <f ca="1">INDEX(INDIRECT(VLOOKUP(LEFT(BO79,7),CLU!$Z$3:$AH$18,5)),GL79,GK79)</f>
        <v>#N/A</v>
      </c>
      <c r="DK79" s="245" t="e">
        <f ca="1">INDEX(INDIRECT(VLOOKUP(LEFT(BO79,7),CLU!$Z$3:$AH$18,6)),GL79,GK79)</f>
        <v>#N/A</v>
      </c>
      <c r="DL79" s="355">
        <f>(Calculation!R79*0.69143*(Calculation!$BQ$8-Calculation!$F$8))*$S$14</f>
        <v>0</v>
      </c>
      <c r="DM79" s="359" t="e">
        <f t="shared" si="160"/>
        <v>#VALUE!</v>
      </c>
      <c r="DN79" s="611">
        <f t="shared" si="161"/>
        <v>0</v>
      </c>
      <c r="DO79" s="359">
        <f t="shared" si="162"/>
        <v>100</v>
      </c>
      <c r="DP79" s="359">
        <f t="shared" si="163"/>
        <v>0</v>
      </c>
      <c r="DQ79" s="360"/>
      <c r="DR79" s="245" t="e">
        <f ca="1">INDEX(INDIRECT(VLOOKUP(LEFT(BO79,7),CLU!$Z$3:$AH$18,7)),M79-1,1)</f>
        <v>#N/A</v>
      </c>
      <c r="DS79" s="245" t="e">
        <f ca="1">INDEX(INDIRECT(VLOOKUP(LEFT(BO79,7),CLU!$Z$3:$AH$18,7)),M79-1,2)</f>
        <v>#N/A</v>
      </c>
      <c r="DT79" s="245" t="e">
        <f ca="1">INDEX(INDIRECT(VLOOKUP(LEFT(BO79,7),CLU!$Z$3:$AH$18,7)),M79-1,3)</f>
        <v>#N/A</v>
      </c>
      <c r="DU79" s="245" t="e">
        <f ca="1">INDEX(INDIRECT(VLOOKUP(LEFT(BO79,7),CLU!$Z$3:$AH$18,7)),M79-1,4)</f>
        <v>#N/A</v>
      </c>
      <c r="DV79" s="361" t="e">
        <f ca="1">INDEX(INDIRECT(VLOOKUP(LEFT(BO79,7),CLU!$Z$3:$AH$18,7)),M79-1,4+LEFT(DZ79,1)*0.5)</f>
        <v>#N/A</v>
      </c>
      <c r="DW79" s="245" t="e">
        <f ca="1">INDEX(INDIRECT(VLOOKUP(LEFT(BO79,7),CLU!$Z$3:$AH$18,7)),M79-1,8)</f>
        <v>#N/A</v>
      </c>
      <c r="DX79" s="361" t="str">
        <f t="shared" si="39"/>
        <v xml:space="preserve"> </v>
      </c>
      <c r="DY79" s="361" t="str">
        <f t="shared" si="40"/>
        <v xml:space="preserve"> </v>
      </c>
      <c r="DZ79" s="361" t="str">
        <f t="shared" si="41"/>
        <v xml:space="preserve"> </v>
      </c>
      <c r="EA79" s="362" t="str">
        <f t="shared" si="42"/>
        <v xml:space="preserve"> </v>
      </c>
      <c r="EB79" s="624" t="str">
        <f t="shared" si="168"/>
        <v xml:space="preserve"> </v>
      </c>
      <c r="EC79" s="361" t="e">
        <f ca="1">INDEX(INDIRECT(VLOOKUP(LEFT(BO79,7),CLU!$Z$3:$AH$18,7)),M79-1,4+LEFT(DZ79,1)*0.5)</f>
        <v>#N/A</v>
      </c>
      <c r="ED79" s="362" t="str">
        <f t="shared" si="43"/>
        <v xml:space="preserve"> </v>
      </c>
      <c r="EE79" s="361" t="str">
        <f t="shared" si="44"/>
        <v xml:space="preserve"> </v>
      </c>
      <c r="EF79" s="362" t="str">
        <f>IF(L79&gt;0,IF(BR79&gt;0,IF(EE79="2P",IF(Calculation!DZ79="2P",IF(Calculation!DS79=13.75,IF(Calculation!DR79=13,Worksheet!$BD$43,IF(Calculation!DR79=37,Worksheet!$BD$44,Worksheet!$BD$45)),IF(Calculation!DS79=10,IF(Calculation!DR79=18,Worksheet!$BD$29,IF(Calculation!DR79=30,Worksheet!$BD$30,IF(Calculation!DR79=42,Worksheet!$BD$31,IF(Calculation!DR79=54,Worksheet!$BD$32,IF(Calculation!DR79=66,Worksheet!$BD$33,IF(Calculation!DR79=78,Worksheet!$BD$34,IF(Calculation!DR79=90,Worksheet!$BD$35,IF(Calculation!DR79=102,Worksheet!$BD$36,Worksheet!$BD$37)))))))),IF(Calculation!DS79=12.5,IF(Calculation!DR79=18,Worksheet!$BD$38,IF(Calculation!DR79=Worksheet!$BD$39,IF(Calculation!DR79=42,Worksheet!$BD$40,IF(Calculation!DR79=54,Worksheet!$BD$41,Worksheet!$BD$42)))),IF(Calculation!DR79=18,Worksheet!$BD$11,IF(Calculation!DR79=30,Worksheet!$BD$12,IF(Calculation!DR79=42,Worksheet!$BD$13,IF(Calculation!DR79=54,Worksheet!$BD$14,IF(Calculation!DR79=66,Worksheet!$BD$15,IF(Calculation!DR79=78,Worksheet!$BD$16,IF(Calculation!DR79=90,Worksheet!$BD$17,IF(Calculation!DR79=102,Worksheet!$BD$18,Worksheet!$BD$19))))))))))),IF(Calculation!DS79=13.75,IF(Calculation!DR79=13,Worksheet!$BD$78,IF(Calculation!DR79=37,Worksheet!$BD$79,Worksheet!$BD$80)),IF(Calculation!DS79=10,IF(Calculation!DR79=18,Worksheet!$BD$64,IF(Calculation!DR79=30,Worksheet!$BD$65,IF(Calculation!DR79=42,Worksheet!$BD$66,IF(Calculation!DR79=54,Worksheet!$BD$68,IF(Calculation!DR79=66,Worksheet!$BD$68,IF(Calculation!DR79=78,Worksheet!$BD$69,IF(Calculation!DR79=90,Worksheet!$BD$70,IF(Calculation!DR79=102,Worksheet!$BD$71,Worksheet!$BD$72)))))))),IF(Calculation!DS79=12.5,IF(Calculation!DR79=18,Worksheet!$BD$73,IF(Calculation!DR79=Worksheet!$BD$74,IF(Calculation!DR79=42,Worksheet!$BD$75,IF(Calculation!DR79=54,Worksheet!$BD$76,Worksheet!$BD$77)))),IF(Calculation!DR79=18,Worksheet!$BD$55,IF(Calculation!DR79=30,Worksheet!$BD$56,IF(Calculation!DR79=42,Worksheet!$BD$57,IF(Calculation!DR79=54,Worksheet!$BD$58,IF(Calculation!DR79=66,Worksheet!$BD$59,IF(Calculation!DR79=78,Worksheet!$BD$60,IF(Calculation!DR79=90,Worksheet!$BD$61,IF(Calculation!DR79=102,Worksheet!$BD$62,Worksheet!$BD$63)))))))))))),5),0)," ")</f>
        <v xml:space="preserve"> </v>
      </c>
      <c r="EG79" s="361" t="str">
        <f t="shared" si="45"/>
        <v xml:space="preserve"> </v>
      </c>
      <c r="EH79" s="361" t="e">
        <f ca="1">INDEX(INDIRECT(VLOOKUP(LEFT(BO79,7),CLU!$Z$3:$AH$18,7)),M79-1,3+LEFT(DZ79,1))</f>
        <v>#N/A</v>
      </c>
      <c r="EI79" s="362" t="str">
        <f t="shared" si="46"/>
        <v xml:space="preserve"> </v>
      </c>
      <c r="EJ79" s="363" t="str">
        <f t="shared" si="47"/>
        <v xml:space="preserve"> </v>
      </c>
      <c r="EK79" s="363" t="str">
        <f t="shared" si="48"/>
        <v xml:space="preserve"> </v>
      </c>
      <c r="EL79" s="363" t="str">
        <f t="shared" si="49"/>
        <v xml:space="preserve"> </v>
      </c>
      <c r="EM79" s="362" t="str">
        <f>IF(L79&gt;0,IF(BR79&gt;0,(Calculation!T79/ED79)^2,0)," ")</f>
        <v xml:space="preserve"> </v>
      </c>
      <c r="EN79" s="362" t="str">
        <f>IF(L79&gt;0,IF(O79="2 Pipe (Cooling)","N/A",IF(BR79&gt;0,(Calculation!U79/EI79)^2,0))," ")</f>
        <v xml:space="preserve"> </v>
      </c>
      <c r="EO79" s="361" t="str">
        <f t="shared" si="50"/>
        <v/>
      </c>
      <c r="EP79" s="361" t="str">
        <f t="shared" si="51"/>
        <v/>
      </c>
      <c r="EQ79" s="361" t="str">
        <f t="shared" si="52"/>
        <v/>
      </c>
      <c r="ER79" s="361" t="str">
        <f t="shared" si="53"/>
        <v/>
      </c>
      <c r="ES79" s="361" t="str">
        <f t="shared" si="54"/>
        <v/>
      </c>
      <c r="ET79" s="361" t="str">
        <f t="shared" si="55"/>
        <v/>
      </c>
      <c r="EU79" s="361" t="str">
        <f t="shared" si="56"/>
        <v/>
      </c>
      <c r="EV79" s="361" t="str">
        <f t="shared" si="57"/>
        <v/>
      </c>
      <c r="EW79" s="361" t="str">
        <f t="shared" si="58"/>
        <v/>
      </c>
      <c r="EX79" s="361" t="str">
        <f t="shared" si="169"/>
        <v>1 slot, 1 way</v>
      </c>
      <c r="EY79" s="361" t="str">
        <f t="shared" si="170"/>
        <v xml:space="preserve"> </v>
      </c>
      <c r="EZ79" s="361" t="str">
        <f t="shared" si="171"/>
        <v xml:space="preserve"> </v>
      </c>
      <c r="FA79" s="361" t="str">
        <f t="shared" si="172"/>
        <v xml:space="preserve"> </v>
      </c>
      <c r="FB79" s="361" t="str">
        <f t="shared" si="173"/>
        <v xml:space="preserve"> </v>
      </c>
      <c r="FC79" s="361"/>
      <c r="FD79" s="361" t="str">
        <f>IF(J79&gt;0,IF(Calculation!R79&lt;=70,4,IF(Calculation!R79&lt;=110,5,IF(Calculation!R79&lt;=160,6,IF(Calculation!R79&lt;=300,8,"10 EO")))),"")</f>
        <v/>
      </c>
      <c r="FE79" s="361" t="str">
        <f t="shared" si="174"/>
        <v/>
      </c>
      <c r="FF79" s="361" t="str">
        <f t="shared" si="175"/>
        <v/>
      </c>
      <c r="FG79" s="361" t="e">
        <f t="shared" si="60"/>
        <v>#N/A</v>
      </c>
      <c r="FH79" s="361">
        <f t="shared" si="61"/>
        <v>0</v>
      </c>
      <c r="FI79" s="361" t="e">
        <f t="shared" si="62"/>
        <v>#DIV/0!</v>
      </c>
      <c r="FJ79" s="361"/>
      <c r="FK79" s="356" t="e">
        <f t="shared" si="63"/>
        <v>#VALUE!</v>
      </c>
      <c r="FL79" s="361"/>
      <c r="FM79" s="361"/>
      <c r="FN79" s="362" t="str">
        <f t="shared" si="176"/>
        <v xml:space="preserve"> </v>
      </c>
      <c r="FO79" s="362" t="str">
        <f t="shared" si="177"/>
        <v xml:space="preserve"> </v>
      </c>
      <c r="FP79" s="362">
        <f t="shared" si="178"/>
        <v>0</v>
      </c>
      <c r="FQ79" s="361">
        <f t="shared" si="64"/>
        <v>0</v>
      </c>
      <c r="FR79" s="362" t="str">
        <f>IF(L79&gt;0,IF(J79="CBAL2",Worksheet!$P$67,IF(J79="CBE2-24",Worksheet!$Q$67,IF(J79="CBAM",Worksheet!$R$67,IF(J79="CBLV",Worksheet!$S$67,IF(J79="CBAB",Worksheet!$U$67,IF(J79="CBAW",Worksheet!$X$67,IF(J79="CBE2-12",Worksheet!$Y$67,IF(J79="CBAL2",Worksheet!$Z$67,"N/A"))))))))," ")</f>
        <v xml:space="preserve"> </v>
      </c>
      <c r="FS79" s="362" t="str">
        <f>IF(L79&gt;0,IF(J79="CBAL2",Worksheet!$P$68,IF(J79="CBE2-24",Worksheet!$Q$68,IF(J79="CBAM",Worksheet!$R$68,IF(J79="CBLV",Worksheet!$S$68,IF(J79="CBAB",Worksheet!$U$68,IF(J79="CBAW",Worksheet!$X$68,IF(J79="CBE2-12",Worksheet!$Y$68,IF(J79="CBAL2",Worksheet!$Z$68,"N/A"))))))))," ")</f>
        <v xml:space="preserve"> </v>
      </c>
      <c r="FT79" s="362" t="str">
        <f>IF(L79&gt;0,IF(J79="CBAL2",Worksheet!$P$69,IF(J79="CBE2-24",Worksheet!$Q$69,IF(J79="CBAM",Worksheet!$R$69,IF(J79="CBLV",Worksheet!$S$69,IF(J79="CBAB",Worksheet!$U$69,IF(J79="CBAW",Worksheet!$X$69,IF(J79="CBE2-12",Worksheet!$Y$69,IF(J79="CBAL2",Worksheet!$Z$69,"N/A"))))))))," ")</f>
        <v xml:space="preserve"> </v>
      </c>
      <c r="FU79" s="361" t="str">
        <f t="shared" si="179"/>
        <v xml:space="preserve"> </v>
      </c>
      <c r="FV79" s="362" t="str">
        <f t="shared" si="180"/>
        <v xml:space="preserve"> </v>
      </c>
      <c r="FW79" s="362" t="str">
        <f t="shared" si="181"/>
        <v xml:space="preserve"> </v>
      </c>
      <c r="FX79" s="362" t="str">
        <f t="shared" si="182"/>
        <v xml:space="preserve"> </v>
      </c>
      <c r="FY79" s="355" t="str">
        <f t="shared" si="183"/>
        <v xml:space="preserve"> </v>
      </c>
      <c r="FZ79" s="361" t="str">
        <f t="shared" si="184"/>
        <v xml:space="preserve"> </v>
      </c>
      <c r="GA79" s="347" t="str">
        <f t="shared" si="185"/>
        <v xml:space="preserve"> </v>
      </c>
      <c r="GB79" s="355" t="str">
        <f t="shared" si="186"/>
        <v xml:space="preserve"> </v>
      </c>
      <c r="GC79" s="328" t="str">
        <f t="shared" si="187"/>
        <v xml:space="preserve"> </v>
      </c>
      <c r="GD79" s="361" t="str">
        <f t="shared" si="188"/>
        <v xml:space="preserve"> </v>
      </c>
      <c r="GE79" s="347" t="str">
        <f t="shared" si="189"/>
        <v xml:space="preserve"> </v>
      </c>
      <c r="GF79" s="361" t="str">
        <f t="shared" si="190"/>
        <v xml:space="preserve"> </v>
      </c>
      <c r="GG79" s="347" t="str">
        <f t="shared" si="191"/>
        <v xml:space="preserve"> </v>
      </c>
      <c r="GH79" s="364">
        <f t="shared" si="78"/>
        <v>0</v>
      </c>
      <c r="GI79" s="362">
        <f t="shared" si="192"/>
        <v>2</v>
      </c>
      <c r="GJ79" s="433" t="e">
        <f>IF(6-COUNTBLANK(GT79:GY79)=4,MATCH(MID(BO79,9,3),CLU!$H$16:$K$16),MATCH(MID(BO79,9,3),CLU!$H$13:$M$13))</f>
        <v>#N/A</v>
      </c>
      <c r="GK79" s="433" t="e">
        <f>HLOOKUP(VALUE(BP79),CLU!$H$9:$M$10,2)</f>
        <v>#VALUE!</v>
      </c>
      <c r="GL79" s="433" t="e">
        <f ca="1">MATCH(BU79,CLU!$H$2:$V$2,1)</f>
        <v>#VALUE!</v>
      </c>
      <c r="GM79" s="433" t="e">
        <f t="shared" ca="1" si="193"/>
        <v>#VALUE!</v>
      </c>
      <c r="GN79" s="433" t="e">
        <f t="shared" ca="1" si="194"/>
        <v>#VALUE!</v>
      </c>
      <c r="GO79" s="433" t="e">
        <f t="shared" ca="1" si="195"/>
        <v>#VALUE!</v>
      </c>
      <c r="GP79" s="433" t="e">
        <f t="shared" ca="1" si="196"/>
        <v>#VALUE!</v>
      </c>
      <c r="GQ79" s="433" t="e">
        <f t="shared" ca="1" si="197"/>
        <v>#VALUE!</v>
      </c>
      <c r="GR79" s="433" t="e">
        <f ca="1">MATCH(T79,INDIRECT(VLOOKUP(CONCATENATE(LEFT(BO79,7),"-",MID(BO79,13,1)),CLU!$P$3:$Q$16,2)),1)</f>
        <v>#N/A</v>
      </c>
      <c r="GS79" s="433" t="e">
        <f ca="1">MATCH(U79,INDIRECT(VLOOKUP(CONCATENATE(LEFT(BO79,7),"-",MID(BO79,13,1)),CLU!$P$3:$Q$16,2)),1)</f>
        <v>#N/A</v>
      </c>
      <c r="GT79" s="347" t="s">
        <v>512</v>
      </c>
      <c r="GU79" s="97" t="s">
        <v>513</v>
      </c>
      <c r="GV79" s="97" t="str">
        <f t="shared" si="198"/>
        <v>M23</v>
      </c>
      <c r="GW79" s="97" t="str">
        <f t="shared" si="199"/>
        <v>M31</v>
      </c>
      <c r="GX79" s="97" t="str">
        <f t="shared" si="200"/>
        <v/>
      </c>
      <c r="GY79" s="97" t="str">
        <f t="shared" si="201"/>
        <v/>
      </c>
      <c r="GZ79" s="481"/>
      <c r="HA79" s="288"/>
      <c r="HB79" s="240"/>
      <c r="HC79" s="240"/>
      <c r="HD79" s="240"/>
      <c r="HE79" s="240"/>
      <c r="HF79" s="240"/>
      <c r="HG79" s="240"/>
      <c r="HH79" s="240"/>
      <c r="HI79" s="240"/>
      <c r="HJ79" s="240"/>
      <c r="HK79" s="240"/>
      <c r="HL79" s="240"/>
      <c r="HM79" s="240"/>
      <c r="HN79" s="240"/>
      <c r="HO79" s="240"/>
      <c r="HP79" s="240"/>
      <c r="HQ79" s="240"/>
      <c r="HR79" s="240"/>
      <c r="HS79" s="240"/>
      <c r="HT79" s="240"/>
      <c r="HU79" s="240"/>
      <c r="HV79" s="245"/>
      <c r="HW79" s="245" t="b">
        <v>1</v>
      </c>
      <c r="HX79" s="245" t="str">
        <f t="shared" si="79"/>
        <v/>
      </c>
      <c r="HY79" s="245" t="e">
        <f t="shared" si="80"/>
        <v>#DIV/0!</v>
      </c>
      <c r="HZ79" s="245" t="e">
        <f t="shared" si="81"/>
        <v>#DIV/0!</v>
      </c>
      <c r="IA79" s="245">
        <f t="shared" si="82"/>
        <v>0</v>
      </c>
      <c r="IB79" s="245"/>
      <c r="IC79" t="b">
        <f t="shared" si="83"/>
        <v>1</v>
      </c>
      <c r="ID79" s="245" t="b">
        <f t="shared" si="84"/>
        <v>1</v>
      </c>
      <c r="IE79" s="245" t="b">
        <f t="shared" si="85"/>
        <v>1</v>
      </c>
      <c r="IF79" s="245" t="b">
        <f t="shared" si="86"/>
        <v>0</v>
      </c>
      <c r="IG79" s="245" t="b">
        <f t="shared" si="87"/>
        <v>1</v>
      </c>
      <c r="IH79" s="245" t="b">
        <f t="shared" si="88"/>
        <v>1</v>
      </c>
      <c r="II79" s="245">
        <f t="shared" si="202"/>
        <v>0</v>
      </c>
      <c r="IJ79" s="245" t="e">
        <f t="shared" si="89"/>
        <v>#VALUE!</v>
      </c>
      <c r="IK79" s="245" t="e">
        <f t="shared" si="90"/>
        <v>#VALUE!</v>
      </c>
      <c r="IL79" s="245"/>
      <c r="IM79" s="245" t="e">
        <f t="shared" si="203"/>
        <v>#N/A</v>
      </c>
      <c r="IN79" s="245" t="e">
        <f t="shared" si="204"/>
        <v>#N/A</v>
      </c>
      <c r="IO79" s="245"/>
      <c r="IP79" s="245"/>
      <c r="IQ79" s="245" t="str">
        <f t="shared" si="91"/>
        <v/>
      </c>
      <c r="IR79" s="245" t="str">
        <f>IF(J79="","",VLOOKUP(J79,Worksheet!$R$4:$T$14,2))</f>
        <v/>
      </c>
      <c r="IS79" s="245"/>
      <c r="IT79" s="245">
        <f t="shared" si="92"/>
        <v>0</v>
      </c>
      <c r="IU79" s="245">
        <f t="shared" si="93"/>
        <v>0</v>
      </c>
      <c r="IV79" s="245">
        <f t="shared" si="94"/>
        <v>0</v>
      </c>
      <c r="IW79" s="245">
        <f t="shared" si="95"/>
        <v>0</v>
      </c>
      <c r="IX79" s="245">
        <f t="shared" si="205"/>
        <v>0</v>
      </c>
      <c r="IY79" s="245">
        <f t="shared" si="96"/>
        <v>0</v>
      </c>
      <c r="IZ79" s="245">
        <f t="shared" si="97"/>
        <v>0</v>
      </c>
      <c r="JA79">
        <f t="shared" si="98"/>
        <v>0</v>
      </c>
      <c r="JB79">
        <f t="shared" si="206"/>
        <v>0</v>
      </c>
      <c r="JC79">
        <f t="shared" si="99"/>
        <v>0</v>
      </c>
      <c r="JD79">
        <f t="shared" si="100"/>
        <v>0</v>
      </c>
      <c r="JE79">
        <f t="shared" si="101"/>
        <v>0</v>
      </c>
      <c r="JF79">
        <f t="shared" si="102"/>
        <v>0</v>
      </c>
      <c r="JG79">
        <f t="shared" si="103"/>
        <v>0</v>
      </c>
      <c r="JH79">
        <f t="shared" si="104"/>
        <v>0</v>
      </c>
      <c r="JI79">
        <f t="shared" si="105"/>
        <v>0</v>
      </c>
      <c r="JJ79" s="447">
        <f t="shared" si="106"/>
        <v>0</v>
      </c>
      <c r="JK79" s="447">
        <f t="shared" si="107"/>
        <v>0</v>
      </c>
      <c r="JL79">
        <f t="shared" si="108"/>
        <v>0</v>
      </c>
      <c r="JM79" s="245" t="str">
        <f>IFERROR(VLOOKUP(MATCH(BN79,#REF!,0),#REF!,7),"")</f>
        <v/>
      </c>
      <c r="JN79" t="e">
        <f>HLOOKUP(LEFT(BO79,7),Discharge_Area,MATCH(JO79,LookUps!$B$130:$B$149,1)+2)</f>
        <v>#N/A</v>
      </c>
      <c r="JO79" t="str">
        <f t="shared" si="109"/>
        <v>- S</v>
      </c>
      <c r="JP79" t="e">
        <f>HLOOKUP(LEFT(BO79,7),Discharge_Area,MATCH(JO79,LookUps!$B$130:$B$149,1)+2)</f>
        <v>#N/A</v>
      </c>
      <c r="JQ79" t="e">
        <f t="shared" si="110"/>
        <v>#N/A</v>
      </c>
      <c r="JR79" t="e">
        <f t="shared" si="111"/>
        <v>#N/A</v>
      </c>
      <c r="JS79" t="e">
        <f t="shared" si="112"/>
        <v>#N/A</v>
      </c>
      <c r="JT79" s="532" t="str">
        <f t="shared" si="113"/>
        <v xml:space="preserve"> </v>
      </c>
      <c r="JU79" s="532" t="str">
        <f t="shared" si="114"/>
        <v xml:space="preserve"> </v>
      </c>
      <c r="JV79" s="533" t="str">
        <f t="shared" si="115"/>
        <v xml:space="preserve"> </v>
      </c>
      <c r="JW79" s="534">
        <f t="shared" si="116"/>
        <v>0</v>
      </c>
      <c r="JX79" s="535" t="str">
        <f t="shared" si="207"/>
        <v xml:space="preserve"> </v>
      </c>
      <c r="JY79" s="535" t="str">
        <f t="shared" si="208"/>
        <v xml:space="preserve"> </v>
      </c>
      <c r="JZ79" s="535" t="str">
        <f t="shared" si="209"/>
        <v xml:space="preserve"> </v>
      </c>
      <c r="KA79" s="536" t="str">
        <f t="shared" si="117"/>
        <v xml:space="preserve"> </v>
      </c>
      <c r="KB79" s="535" t="e">
        <f t="shared" si="210"/>
        <v>#VALUE!</v>
      </c>
      <c r="KC79" s="535" t="str">
        <f t="shared" si="118"/>
        <v/>
      </c>
      <c r="KD79" s="537" t="str">
        <f t="shared" si="211"/>
        <v xml:space="preserve"> </v>
      </c>
      <c r="KE79" s="537" t="str">
        <f t="shared" si="212"/>
        <v xml:space="preserve"> </v>
      </c>
      <c r="KF79" s="534">
        <f t="shared" si="119"/>
        <v>0</v>
      </c>
      <c r="KG79" s="535" t="str">
        <f t="shared" si="120"/>
        <v xml:space="preserve"> </v>
      </c>
      <c r="KH79" s="535" t="str">
        <f t="shared" si="121"/>
        <v xml:space="preserve"> </v>
      </c>
      <c r="KI79" s="535" t="str">
        <f t="shared" si="122"/>
        <v xml:space="preserve"> </v>
      </c>
      <c r="KJ79" s="536" t="str">
        <f t="shared" si="123"/>
        <v xml:space="preserve"> </v>
      </c>
      <c r="KK79" s="535" t="str">
        <f t="shared" si="213"/>
        <v xml:space="preserve"> </v>
      </c>
      <c r="KL79" s="535" t="str">
        <f t="shared" si="214"/>
        <v xml:space="preserve"> </v>
      </c>
      <c r="KM79" s="537" t="str">
        <f t="shared" si="124"/>
        <v xml:space="preserve"> </v>
      </c>
      <c r="KN79" s="537" t="str">
        <f t="shared" si="215"/>
        <v xml:space="preserve"> </v>
      </c>
      <c r="KP79">
        <f t="shared" si="125"/>
        <v>0</v>
      </c>
      <c r="LA79" t="e">
        <f t="shared" si="126"/>
        <v>#VALUE!</v>
      </c>
      <c r="LB79" t="e">
        <f t="shared" si="127"/>
        <v>#VALUE!</v>
      </c>
      <c r="LC79" t="e">
        <f t="shared" si="128"/>
        <v>#VALUE!</v>
      </c>
      <c r="LD79" t="e">
        <f t="shared" si="129"/>
        <v>#VALUE!</v>
      </c>
      <c r="LE79" t="e">
        <f t="shared" si="216"/>
        <v>#VALUE!</v>
      </c>
      <c r="LF79">
        <f t="shared" si="130"/>
        <v>0</v>
      </c>
      <c r="LG79" t="e">
        <f t="shared" si="217"/>
        <v>#VALUE!</v>
      </c>
      <c r="LH79" t="str">
        <f t="shared" si="131"/>
        <v xml:space="preserve"> </v>
      </c>
      <c r="LI79">
        <f t="shared" si="218"/>
        <v>1</v>
      </c>
    </row>
    <row r="80" spans="2:321" ht="15" customHeight="1">
      <c r="B80" s="311"/>
      <c r="C80" s="311"/>
      <c r="D80" s="312"/>
      <c r="E80" s="311"/>
      <c r="F80" s="312"/>
      <c r="G80" s="311"/>
      <c r="H80" s="311"/>
      <c r="I80" s="37"/>
      <c r="J80" s="311"/>
      <c r="K80" s="305" t="str">
        <f t="shared" si="132"/>
        <v/>
      </c>
      <c r="L80" s="313"/>
      <c r="M80" s="312"/>
      <c r="N80" s="311"/>
      <c r="O80" s="312"/>
      <c r="P80" s="311"/>
      <c r="Q80" s="305" t="str">
        <f t="shared" si="133"/>
        <v/>
      </c>
      <c r="R80" s="314"/>
      <c r="S80" s="450" t="str">
        <f t="shared" si="0"/>
        <v/>
      </c>
      <c r="T80" s="315"/>
      <c r="U80" s="315"/>
      <c r="W80" s="149" t="str">
        <f t="shared" si="1"/>
        <v xml:space="preserve"> </v>
      </c>
      <c r="X80" s="243" t="str">
        <f t="shared" si="2"/>
        <v xml:space="preserve"> </v>
      </c>
      <c r="Y80" s="150" t="str">
        <f t="shared" si="3"/>
        <v/>
      </c>
      <c r="Z80" s="149" t="str">
        <f t="shared" si="4"/>
        <v xml:space="preserve"> </v>
      </c>
      <c r="AA80" s="98" t="str">
        <f t="shared" si="5"/>
        <v xml:space="preserve"> </v>
      </c>
      <c r="AB80" s="153" t="str">
        <f t="shared" si="6"/>
        <v xml:space="preserve"> </v>
      </c>
      <c r="AC80" s="153" t="str">
        <f t="shared" si="7"/>
        <v xml:space="preserve"> </v>
      </c>
      <c r="AD80" s="148" t="str">
        <f t="shared" si="8"/>
        <v/>
      </c>
      <c r="AE80" s="149" t="str">
        <f t="shared" si="9"/>
        <v/>
      </c>
      <c r="AF80" s="151" t="str">
        <f t="shared" si="10"/>
        <v xml:space="preserve"> </v>
      </c>
      <c r="AG80" s="153" t="str">
        <f t="shared" si="11"/>
        <v xml:space="preserve"> </v>
      </c>
      <c r="AH80" s="98" t="str">
        <f t="shared" si="12"/>
        <v xml:space="preserve"> </v>
      </c>
      <c r="AI80" s="149" t="str">
        <f t="shared" si="13"/>
        <v xml:space="preserve"> </v>
      </c>
      <c r="AK80" s="144" t="str">
        <f t="shared" si="14"/>
        <v xml:space="preserve"> </v>
      </c>
      <c r="AL80" s="144"/>
      <c r="AM80" s="243" t="str">
        <f t="shared" si="15"/>
        <v xml:space="preserve"> </v>
      </c>
      <c r="AN80" s="149" t="str">
        <f t="shared" si="134"/>
        <v xml:space="preserve"> </v>
      </c>
      <c r="AO80" s="144" t="str">
        <f>IF(JB80&gt;0,IF(GI80=10,-R80*1.085*(Calculation!$F$6-Calculation!$F$13)*$S$14," "),"")</f>
        <v/>
      </c>
      <c r="AP80" s="144" t="str">
        <f t="shared" si="16"/>
        <v/>
      </c>
      <c r="AQ80" s="56" t="str">
        <f t="shared" si="17"/>
        <v/>
      </c>
      <c r="AR80" s="144" t="str">
        <f t="shared" si="18"/>
        <v/>
      </c>
      <c r="AS80" s="176" t="str">
        <f t="shared" si="19"/>
        <v/>
      </c>
      <c r="AT80" s="176" t="str">
        <f t="shared" si="135"/>
        <v xml:space="preserve"> </v>
      </c>
      <c r="AU80" s="176" t="str">
        <f t="shared" si="20"/>
        <v/>
      </c>
      <c r="AV80" s="177" t="str">
        <f t="shared" si="21"/>
        <v xml:space="preserve"> </v>
      </c>
      <c r="AW80" s="144" t="str">
        <f t="shared" si="22"/>
        <v xml:space="preserve"> </v>
      </c>
      <c r="AX80" s="144" t="str">
        <f t="shared" si="23"/>
        <v xml:space="preserve"> </v>
      </c>
      <c r="AY80" s="152" t="str">
        <f t="shared" si="24"/>
        <v xml:space="preserve"> </v>
      </c>
      <c r="AZ80" s="246" t="str">
        <f t="shared" si="25"/>
        <v/>
      </c>
      <c r="BA80" s="176" t="str">
        <f t="shared" si="26"/>
        <v xml:space="preserve"> </v>
      </c>
      <c r="BB80" s="176" t="str">
        <f t="shared" si="27"/>
        <v xml:space="preserve"> </v>
      </c>
      <c r="BC80" s="195"/>
      <c r="BD80" s="316"/>
      <c r="BE80" s="317"/>
      <c r="BF80" s="318"/>
      <c r="BG80" s="318"/>
      <c r="BH80" s="144" t="str">
        <f t="shared" si="219"/>
        <v xml:space="preserve"> </v>
      </c>
      <c r="BI80" s="176" t="str">
        <f t="shared" si="28"/>
        <v/>
      </c>
      <c r="BJ80" s="144" t="str">
        <f t="shared" si="220"/>
        <v/>
      </c>
      <c r="BK80" s="246" t="str">
        <f t="shared" si="29"/>
        <v/>
      </c>
      <c r="BL80" s="144" t="str">
        <f t="shared" si="221"/>
        <v/>
      </c>
      <c r="BM80" s="246" t="str">
        <f t="shared" si="30"/>
        <v/>
      </c>
      <c r="BN80" s="337" t="str">
        <f t="shared" si="136"/>
        <v/>
      </c>
      <c r="BO80" s="371" t="str">
        <f t="shared" si="137"/>
        <v/>
      </c>
      <c r="BP80" s="328" t="str">
        <f t="shared" si="222"/>
        <v xml:space="preserve"> </v>
      </c>
      <c r="BQ80" s="347" t="str">
        <f t="shared" si="138"/>
        <v xml:space="preserve"> </v>
      </c>
      <c r="BR80" s="353" t="str">
        <f t="shared" si="223"/>
        <v xml:space="preserve"> </v>
      </c>
      <c r="BS80" s="626" t="str">
        <f>IF(L80&gt;0,IF(Calculation!P80="M13",BR80*3.1416*(0.134^2)/(4*144),IF(Calculation!P80="M17",BR80*3.1416*(0.165^2)/(4*144),IF(Calculation!P80="M20",BR80*3.1416*(0.198^2)/(4*144),IF(Calculation!P80="M23",BR80*3.1416*(0.228^2)/(4*144),IF(Calculation!P80="M27",BR80*3.1416*(0.269^2)/(4*144),BR80*3.1416*(0.307^2)/(4*144))))))," ")</f>
        <v xml:space="preserve"> </v>
      </c>
      <c r="BT80" s="353" t="str">
        <f>IF(L80&gt;0,IF(BS80&gt;0,R80/Calculation!BS80,0)," ")</f>
        <v xml:space="preserve"> </v>
      </c>
      <c r="BU80" s="438" t="e">
        <f t="shared" ca="1" si="31"/>
        <v>#VALUE!</v>
      </c>
      <c r="BV80" s="449" t="e">
        <f ca="1">INDEX(INDIRECT(VLOOKUP(LEFT(BO80,7),CLU!$Z$3:$AH$18,2)),GN80,GR80)</f>
        <v>#N/A</v>
      </c>
      <c r="BW80" s="433" t="e">
        <f ca="1">INDEX(INDIRECT(VLOOKUP(LEFT(BO80,7),CLU!$Z$3:$AH$18,3)),GN80,GR80)</f>
        <v>#N/A</v>
      </c>
      <c r="BX80" s="433" t="e">
        <f ca="1">INDEX(INDIRECT(VLOOKUP(LEFT(BO80,7),CLU!$Z$3:$AH$18,4)),GN80,GR80)</f>
        <v>#N/A</v>
      </c>
      <c r="BY80" s="433" t="e">
        <f ca="1">INDEX(INDIRECT(VLOOKUP(LEFT(BO80,7),CLU!$Z$3:$AH$18,9)),((M80-2)*(6-COUNTBLANK(GT80:GY80)))+GJ80)</f>
        <v>#N/A</v>
      </c>
      <c r="BZ80" s="426" t="e">
        <f t="shared" ca="1" si="139"/>
        <v>#N/A</v>
      </c>
      <c r="CA80" s="424" t="e">
        <f t="shared" ca="1" si="140"/>
        <v>#N/A</v>
      </c>
      <c r="CB80" s="429" t="e">
        <f ca="1">INDEX(INDIRECT(VLOOKUP(LEFT(BO80,7),CLU!$Z$3:$AH$18,2)),GN80,GS80)</f>
        <v>#N/A</v>
      </c>
      <c r="CC80" s="342" t="e">
        <f ca="1">INDEX(INDIRECT(VLOOKUP(LEFT(BO80,7),CLU!$Z$3:$AH$18,3)),GN80,GS80)</f>
        <v>#N/A</v>
      </c>
      <c r="CD80" s="342" t="e">
        <f ca="1">INDEX(INDIRECT(VLOOKUP(LEFT(BO80,7),CLU!$Z$3:$AH$18,4)),GN80,GS80)</f>
        <v>#N/A</v>
      </c>
      <c r="CE80" s="426" t="e">
        <f t="shared" ca="1" si="141"/>
        <v>#N/A</v>
      </c>
      <c r="CF80" s="440">
        <f t="shared" si="142"/>
        <v>0</v>
      </c>
      <c r="CG80" s="431" t="e">
        <f ca="1">INDEX(INDIRECT(VLOOKUP(LEFT(BO80,7),CLU!$Z$3:$AH$18,2)),GQ80,GR80)</f>
        <v>#N/A</v>
      </c>
      <c r="CH80" s="431" t="e">
        <f ca="1">INDEX(INDIRECT(VLOOKUP(LEFT(BO80,7),CLU!$Z$3:$AH$18,3)),GQ80,GR80)</f>
        <v>#N/A</v>
      </c>
      <c r="CI80" s="431" t="e">
        <f ca="1">INDEX(INDIRECT(VLOOKUP(LEFT(BO80,7),CLU!$Z$3:$AH$18,4)),GQ80,GR80)</f>
        <v>#N/A</v>
      </c>
      <c r="CJ80" s="448" t="e">
        <f t="shared" ca="1" si="143"/>
        <v>#N/A</v>
      </c>
      <c r="CK80" s="431" t="e">
        <f t="shared" ca="1" si="144"/>
        <v>#N/A</v>
      </c>
      <c r="CL80" s="440" t="e">
        <f t="shared" ca="1" si="145"/>
        <v>#N/A</v>
      </c>
      <c r="CM80" s="431" t="e">
        <f ca="1">INDEX(INDIRECT(VLOOKUP(LEFT(BO80,7),CLU!$Z$3:$AH$18,2)),GQ80,GS80)</f>
        <v>#N/A</v>
      </c>
      <c r="CN80" s="431" t="e">
        <f ca="1">INDEX(INDIRECT(VLOOKUP(LEFT(BO80,7),CLU!$Z$3:$AH$18,3)),GQ80,GS80)</f>
        <v>#N/A</v>
      </c>
      <c r="CO80" s="431" t="e">
        <f ca="1">INDEX(INDIRECT(VLOOKUP(LEFT(BO80,7),CLU!$Z$3:$AH$18,4)),GQ80,GS80)</f>
        <v>#N/A</v>
      </c>
      <c r="CP80" s="431" t="e">
        <f t="shared" ca="1" si="146"/>
        <v>#N/A</v>
      </c>
      <c r="CQ80" s="440">
        <f t="shared" si="147"/>
        <v>0</v>
      </c>
      <c r="CR80" s="51" t="e">
        <f t="shared" ca="1" si="148"/>
        <v>#N/A</v>
      </c>
      <c r="CS80" s="439" t="e">
        <f t="shared" ca="1" si="149"/>
        <v>#VALUE!</v>
      </c>
      <c r="CT80" s="51" t="e">
        <f t="shared" ca="1" si="150"/>
        <v>#VALUE!</v>
      </c>
      <c r="CU80" s="10"/>
      <c r="CV80" s="51" t="e">
        <f t="shared" ca="1" si="34"/>
        <v>#VALUE!</v>
      </c>
      <c r="CW80" s="51">
        <f t="shared" si="151"/>
        <v>0</v>
      </c>
      <c r="CX80" s="439" t="e">
        <f t="shared" ca="1" si="152"/>
        <v>#VALUE!</v>
      </c>
      <c r="CY80" s="51" t="e">
        <f t="shared" ca="1" si="153"/>
        <v>#VALUE!</v>
      </c>
      <c r="CZ80" s="10"/>
      <c r="DA80" s="51" t="e">
        <f t="shared" ca="1" si="154"/>
        <v>#VALUE!</v>
      </c>
      <c r="DB80" s="347" t="e">
        <f ca="1">INDEX(INDIRECT(VLOOKUP(LEFT(BO80,7),CLU!$Z$3:$AI$18,10)),((M80-2)*(6-COUNTBLANK(GT80:GY80)))+GJ80)*LI80</f>
        <v>#N/A</v>
      </c>
      <c r="DC80" s="347" t="str">
        <f>IF(L80&gt;0,((R80/Worksheet!$I$15)/DB80)^2," ")</f>
        <v xml:space="preserve"> </v>
      </c>
      <c r="DD80" s="602" t="str">
        <f t="shared" si="224"/>
        <v xml:space="preserve"> </v>
      </c>
      <c r="DE80" s="347" t="str">
        <f t="shared" si="35"/>
        <v xml:space="preserve"> </v>
      </c>
      <c r="DF80" s="356" t="e">
        <f ca="1">INDEX(INDIRECT(VLOOKUP(LEFT(BO80,7),CLU!$Z$3:$AH$18,8)),((M80-2)*(6-COUNTBLANK(GT80:GY80)))+GJ80)</f>
        <v>#N/A</v>
      </c>
      <c r="DG80" s="347" t="str">
        <f t="shared" si="36"/>
        <v xml:space="preserve"> </v>
      </c>
      <c r="DH80" s="357" t="str">
        <f t="shared" si="37"/>
        <v xml:space="preserve"> </v>
      </c>
      <c r="DI80" s="355" t="str">
        <f t="shared" si="38"/>
        <v xml:space="preserve"> </v>
      </c>
      <c r="DJ80" s="245" t="e">
        <f ca="1">INDEX(INDIRECT(VLOOKUP(LEFT(BO80,7),CLU!$Z$3:$AH$18,5)),GL80,GK80)</f>
        <v>#N/A</v>
      </c>
      <c r="DK80" s="245" t="e">
        <f ca="1">INDEX(INDIRECT(VLOOKUP(LEFT(BO80,7),CLU!$Z$3:$AH$18,6)),GL80,GK80)</f>
        <v>#N/A</v>
      </c>
      <c r="DL80" s="355">
        <f>(Calculation!R80*0.69143*(Calculation!$BQ$8-Calculation!$F$8))*$S$14</f>
        <v>0</v>
      </c>
      <c r="DM80" s="359" t="e">
        <f t="shared" si="160"/>
        <v>#VALUE!</v>
      </c>
      <c r="DN80" s="611">
        <f t="shared" si="161"/>
        <v>0</v>
      </c>
      <c r="DO80" s="359">
        <f t="shared" si="162"/>
        <v>100</v>
      </c>
      <c r="DP80" s="359">
        <f t="shared" si="163"/>
        <v>0</v>
      </c>
      <c r="DQ80" s="360"/>
      <c r="DR80" s="245" t="e">
        <f ca="1">INDEX(INDIRECT(VLOOKUP(LEFT(BO80,7),CLU!$Z$3:$AH$18,7)),M80-1,1)</f>
        <v>#N/A</v>
      </c>
      <c r="DS80" s="245" t="e">
        <f ca="1">INDEX(INDIRECT(VLOOKUP(LEFT(BO80,7),CLU!$Z$3:$AH$18,7)),M80-1,2)</f>
        <v>#N/A</v>
      </c>
      <c r="DT80" s="245" t="e">
        <f ca="1">INDEX(INDIRECT(VLOOKUP(LEFT(BO80,7),CLU!$Z$3:$AH$18,7)),M80-1,3)</f>
        <v>#N/A</v>
      </c>
      <c r="DU80" s="245" t="e">
        <f ca="1">INDEX(INDIRECT(VLOOKUP(LEFT(BO80,7),CLU!$Z$3:$AH$18,7)),M80-1,4)</f>
        <v>#N/A</v>
      </c>
      <c r="DV80" s="361" t="e">
        <f ca="1">INDEX(INDIRECT(VLOOKUP(LEFT(BO80,7),CLU!$Z$3:$AH$18,7)),M80-1,4+LEFT(DZ80,1)*0.5)</f>
        <v>#N/A</v>
      </c>
      <c r="DW80" s="245" t="e">
        <f ca="1">INDEX(INDIRECT(VLOOKUP(LEFT(BO80,7),CLU!$Z$3:$AH$18,7)),M80-1,8)</f>
        <v>#N/A</v>
      </c>
      <c r="DX80" s="361" t="str">
        <f t="shared" si="39"/>
        <v xml:space="preserve"> </v>
      </c>
      <c r="DY80" s="361" t="str">
        <f t="shared" si="40"/>
        <v xml:space="preserve"> </v>
      </c>
      <c r="DZ80" s="361" t="str">
        <f t="shared" si="41"/>
        <v xml:space="preserve"> </v>
      </c>
      <c r="EA80" s="362" t="str">
        <f t="shared" si="42"/>
        <v xml:space="preserve"> </v>
      </c>
      <c r="EB80" s="624" t="str">
        <f t="shared" si="168"/>
        <v xml:space="preserve"> </v>
      </c>
      <c r="EC80" s="361" t="e">
        <f ca="1">INDEX(INDIRECT(VLOOKUP(LEFT(BO80,7),CLU!$Z$3:$AH$18,7)),M80-1,4+LEFT(DZ80,1)*0.5)</f>
        <v>#N/A</v>
      </c>
      <c r="ED80" s="362" t="str">
        <f t="shared" si="43"/>
        <v xml:space="preserve"> </v>
      </c>
      <c r="EE80" s="361" t="str">
        <f t="shared" si="44"/>
        <v xml:space="preserve"> </v>
      </c>
      <c r="EF80" s="362" t="str">
        <f>IF(L80&gt;0,IF(BR80&gt;0,IF(EE80="2P",IF(Calculation!DZ80="2P",IF(Calculation!DS80=13.75,IF(Calculation!DR80=13,Worksheet!$BD$43,IF(Calculation!DR80=37,Worksheet!$BD$44,Worksheet!$BD$45)),IF(Calculation!DS80=10,IF(Calculation!DR80=18,Worksheet!$BD$29,IF(Calculation!DR80=30,Worksheet!$BD$30,IF(Calculation!DR80=42,Worksheet!$BD$31,IF(Calculation!DR80=54,Worksheet!$BD$32,IF(Calculation!DR80=66,Worksheet!$BD$33,IF(Calculation!DR80=78,Worksheet!$BD$34,IF(Calculation!DR80=90,Worksheet!$BD$35,IF(Calculation!DR80=102,Worksheet!$BD$36,Worksheet!$BD$37)))))))),IF(Calculation!DS80=12.5,IF(Calculation!DR80=18,Worksheet!$BD$38,IF(Calculation!DR80=Worksheet!$BD$39,IF(Calculation!DR80=42,Worksheet!$BD$40,IF(Calculation!DR80=54,Worksheet!$BD$41,Worksheet!$BD$42)))),IF(Calculation!DR80=18,Worksheet!$BD$11,IF(Calculation!DR80=30,Worksheet!$BD$12,IF(Calculation!DR80=42,Worksheet!$BD$13,IF(Calculation!DR80=54,Worksheet!$BD$14,IF(Calculation!DR80=66,Worksheet!$BD$15,IF(Calculation!DR80=78,Worksheet!$BD$16,IF(Calculation!DR80=90,Worksheet!$BD$17,IF(Calculation!DR80=102,Worksheet!$BD$18,Worksheet!$BD$19))))))))))),IF(Calculation!DS80=13.75,IF(Calculation!DR80=13,Worksheet!$BD$78,IF(Calculation!DR80=37,Worksheet!$BD$79,Worksheet!$BD$80)),IF(Calculation!DS80=10,IF(Calculation!DR80=18,Worksheet!$BD$64,IF(Calculation!DR80=30,Worksheet!$BD$65,IF(Calculation!DR80=42,Worksheet!$BD$66,IF(Calculation!DR80=54,Worksheet!$BD$68,IF(Calculation!DR80=66,Worksheet!$BD$68,IF(Calculation!DR80=78,Worksheet!$BD$69,IF(Calculation!DR80=90,Worksheet!$BD$70,IF(Calculation!DR80=102,Worksheet!$BD$71,Worksheet!$BD$72)))))))),IF(Calculation!DS80=12.5,IF(Calculation!DR80=18,Worksheet!$BD$73,IF(Calculation!DR80=Worksheet!$BD$74,IF(Calculation!DR80=42,Worksheet!$BD$75,IF(Calculation!DR80=54,Worksheet!$BD$76,Worksheet!$BD$77)))),IF(Calculation!DR80=18,Worksheet!$BD$55,IF(Calculation!DR80=30,Worksheet!$BD$56,IF(Calculation!DR80=42,Worksheet!$BD$57,IF(Calculation!DR80=54,Worksheet!$BD$58,IF(Calculation!DR80=66,Worksheet!$BD$59,IF(Calculation!DR80=78,Worksheet!$BD$60,IF(Calculation!DR80=90,Worksheet!$BD$61,IF(Calculation!DR80=102,Worksheet!$BD$62,Worksheet!$BD$63)))))))))))),5),0)," ")</f>
        <v xml:space="preserve"> </v>
      </c>
      <c r="EG80" s="361" t="str">
        <f t="shared" si="45"/>
        <v xml:space="preserve"> </v>
      </c>
      <c r="EH80" s="361" t="e">
        <f ca="1">INDEX(INDIRECT(VLOOKUP(LEFT(BO80,7),CLU!$Z$3:$AH$18,7)),M80-1,3+LEFT(DZ80,1))</f>
        <v>#N/A</v>
      </c>
      <c r="EI80" s="362" t="str">
        <f t="shared" si="46"/>
        <v xml:space="preserve"> </v>
      </c>
      <c r="EJ80" s="363" t="str">
        <f t="shared" si="47"/>
        <v xml:space="preserve"> </v>
      </c>
      <c r="EK80" s="363" t="str">
        <f t="shared" si="48"/>
        <v xml:space="preserve"> </v>
      </c>
      <c r="EL80" s="363" t="str">
        <f t="shared" si="49"/>
        <v xml:space="preserve"> </v>
      </c>
      <c r="EM80" s="362" t="str">
        <f>IF(L80&gt;0,IF(BR80&gt;0,(Calculation!T80/ED80)^2,0)," ")</f>
        <v xml:space="preserve"> </v>
      </c>
      <c r="EN80" s="362" t="str">
        <f>IF(L80&gt;0,IF(O80="2 Pipe (Cooling)","N/A",IF(BR80&gt;0,(Calculation!U80/EI80)^2,0))," ")</f>
        <v xml:space="preserve"> </v>
      </c>
      <c r="EO80" s="361" t="str">
        <f t="shared" si="50"/>
        <v/>
      </c>
      <c r="EP80" s="361" t="str">
        <f t="shared" si="51"/>
        <v/>
      </c>
      <c r="EQ80" s="361" t="str">
        <f t="shared" si="52"/>
        <v/>
      </c>
      <c r="ER80" s="361" t="str">
        <f t="shared" si="53"/>
        <v/>
      </c>
      <c r="ES80" s="361" t="str">
        <f t="shared" si="54"/>
        <v/>
      </c>
      <c r="ET80" s="361" t="str">
        <f t="shared" si="55"/>
        <v/>
      </c>
      <c r="EU80" s="361" t="str">
        <f t="shared" si="56"/>
        <v/>
      </c>
      <c r="EV80" s="361" t="str">
        <f t="shared" si="57"/>
        <v/>
      </c>
      <c r="EW80" s="361" t="str">
        <f t="shared" si="58"/>
        <v/>
      </c>
      <c r="EX80" s="361" t="str">
        <f t="shared" si="169"/>
        <v>1 slot, 1 way</v>
      </c>
      <c r="EY80" s="361" t="str">
        <f t="shared" si="170"/>
        <v xml:space="preserve"> </v>
      </c>
      <c r="EZ80" s="361" t="str">
        <f t="shared" si="171"/>
        <v xml:space="preserve"> </v>
      </c>
      <c r="FA80" s="361" t="str">
        <f t="shared" si="172"/>
        <v xml:space="preserve"> </v>
      </c>
      <c r="FB80" s="361" t="str">
        <f t="shared" si="173"/>
        <v xml:space="preserve"> </v>
      </c>
      <c r="FC80" s="361"/>
      <c r="FD80" s="361" t="str">
        <f>IF(J80&gt;0,IF(Calculation!R80&lt;=70,4,IF(Calculation!R80&lt;=110,5,IF(Calculation!R80&lt;=160,6,IF(Calculation!R80&lt;=300,8,"10 EO")))),"")</f>
        <v/>
      </c>
      <c r="FE80" s="361" t="str">
        <f t="shared" si="174"/>
        <v/>
      </c>
      <c r="FF80" s="361" t="str">
        <f t="shared" si="175"/>
        <v/>
      </c>
      <c r="FG80" s="361" t="e">
        <f t="shared" si="60"/>
        <v>#N/A</v>
      </c>
      <c r="FH80" s="361">
        <f t="shared" si="61"/>
        <v>0</v>
      </c>
      <c r="FI80" s="361" t="e">
        <f t="shared" si="62"/>
        <v>#DIV/0!</v>
      </c>
      <c r="FJ80" s="361"/>
      <c r="FK80" s="356" t="e">
        <f t="shared" si="63"/>
        <v>#VALUE!</v>
      </c>
      <c r="FL80" s="361"/>
      <c r="FM80" s="361"/>
      <c r="FN80" s="362" t="str">
        <f t="shared" si="176"/>
        <v xml:space="preserve"> </v>
      </c>
      <c r="FO80" s="362" t="str">
        <f t="shared" si="177"/>
        <v xml:space="preserve"> </v>
      </c>
      <c r="FP80" s="362">
        <f t="shared" si="178"/>
        <v>0</v>
      </c>
      <c r="FQ80" s="361">
        <f t="shared" si="64"/>
        <v>0</v>
      </c>
      <c r="FR80" s="362" t="str">
        <f>IF(L80&gt;0,IF(J80="CBAL2",Worksheet!$P$67,IF(J80="CBE2-24",Worksheet!$Q$67,IF(J80="CBAM",Worksheet!$R$67,IF(J80="CBLV",Worksheet!$S$67,IF(J80="CBAB",Worksheet!$U$67,IF(J80="CBAW",Worksheet!$X$67,IF(J80="CBE2-12",Worksheet!$Y$67,IF(J80="CBAL2",Worksheet!$Z$67,"N/A"))))))))," ")</f>
        <v xml:space="preserve"> </v>
      </c>
      <c r="FS80" s="362" t="str">
        <f>IF(L80&gt;0,IF(J80="CBAL2",Worksheet!$P$68,IF(J80="CBE2-24",Worksheet!$Q$68,IF(J80="CBAM",Worksheet!$R$68,IF(J80="CBLV",Worksheet!$S$68,IF(J80="CBAB",Worksheet!$U$68,IF(J80="CBAW",Worksheet!$X$68,IF(J80="CBE2-12",Worksheet!$Y$68,IF(J80="CBAL2",Worksheet!$Z$68,"N/A"))))))))," ")</f>
        <v xml:space="preserve"> </v>
      </c>
      <c r="FT80" s="362" t="str">
        <f>IF(L80&gt;0,IF(J80="CBAL2",Worksheet!$P$69,IF(J80="CBE2-24",Worksheet!$Q$69,IF(J80="CBAM",Worksheet!$R$69,IF(J80="CBLV",Worksheet!$S$69,IF(J80="CBAB",Worksheet!$U$69,IF(J80="CBAW",Worksheet!$X$69,IF(J80="CBE2-12",Worksheet!$Y$69,IF(J80="CBAL2",Worksheet!$Z$69,"N/A"))))))))," ")</f>
        <v xml:space="preserve"> </v>
      </c>
      <c r="FU80" s="361" t="str">
        <f t="shared" si="179"/>
        <v xml:space="preserve"> </v>
      </c>
      <c r="FV80" s="362" t="str">
        <f t="shared" si="180"/>
        <v xml:space="preserve"> </v>
      </c>
      <c r="FW80" s="362" t="str">
        <f t="shared" si="181"/>
        <v xml:space="preserve"> </v>
      </c>
      <c r="FX80" s="362" t="str">
        <f t="shared" si="182"/>
        <v xml:space="preserve"> </v>
      </c>
      <c r="FY80" s="355" t="str">
        <f t="shared" si="183"/>
        <v xml:space="preserve"> </v>
      </c>
      <c r="FZ80" s="361" t="str">
        <f t="shared" si="184"/>
        <v xml:space="preserve"> </v>
      </c>
      <c r="GA80" s="347" t="str">
        <f t="shared" si="185"/>
        <v xml:space="preserve"> </v>
      </c>
      <c r="GB80" s="355" t="str">
        <f t="shared" si="186"/>
        <v xml:space="preserve"> </v>
      </c>
      <c r="GC80" s="328" t="str">
        <f t="shared" si="187"/>
        <v xml:space="preserve"> </v>
      </c>
      <c r="GD80" s="361" t="str">
        <f t="shared" si="188"/>
        <v xml:space="preserve"> </v>
      </c>
      <c r="GE80" s="347" t="str">
        <f t="shared" si="189"/>
        <v xml:space="preserve"> </v>
      </c>
      <c r="GF80" s="361" t="str">
        <f t="shared" si="190"/>
        <v xml:space="preserve"> </v>
      </c>
      <c r="GG80" s="347" t="str">
        <f t="shared" si="191"/>
        <v xml:space="preserve"> </v>
      </c>
      <c r="GH80" s="364">
        <f t="shared" si="78"/>
        <v>0</v>
      </c>
      <c r="GI80" s="362">
        <f t="shared" si="192"/>
        <v>2</v>
      </c>
      <c r="GJ80" s="433" t="e">
        <f>IF(6-COUNTBLANK(GT80:GY80)=4,MATCH(MID(BO80,9,3),CLU!$H$16:$K$16),MATCH(MID(BO80,9,3),CLU!$H$13:$M$13))</f>
        <v>#N/A</v>
      </c>
      <c r="GK80" s="433" t="e">
        <f>HLOOKUP(VALUE(BP80),CLU!$H$9:$M$10,2)</f>
        <v>#VALUE!</v>
      </c>
      <c r="GL80" s="433" t="e">
        <f ca="1">MATCH(BU80,CLU!$H$2:$V$2,1)</f>
        <v>#VALUE!</v>
      </c>
      <c r="GM80" s="433" t="e">
        <f t="shared" ca="1" si="193"/>
        <v>#VALUE!</v>
      </c>
      <c r="GN80" s="433" t="e">
        <f t="shared" ca="1" si="194"/>
        <v>#VALUE!</v>
      </c>
      <c r="GO80" s="433" t="e">
        <f t="shared" ca="1" si="195"/>
        <v>#VALUE!</v>
      </c>
      <c r="GP80" s="433" t="e">
        <f t="shared" ca="1" si="196"/>
        <v>#VALUE!</v>
      </c>
      <c r="GQ80" s="433" t="e">
        <f t="shared" ca="1" si="197"/>
        <v>#VALUE!</v>
      </c>
      <c r="GR80" s="433" t="e">
        <f ca="1">MATCH(T80,INDIRECT(VLOOKUP(CONCATENATE(LEFT(BO80,7),"-",MID(BO80,13,1)),CLU!$P$3:$Q$16,2)),1)</f>
        <v>#N/A</v>
      </c>
      <c r="GS80" s="433" t="e">
        <f ca="1">MATCH(U80,INDIRECT(VLOOKUP(CONCATENATE(LEFT(BO80,7),"-",MID(BO80,13,1)),CLU!$P$3:$Q$16,2)),1)</f>
        <v>#N/A</v>
      </c>
      <c r="GT80" s="347" t="s">
        <v>512</v>
      </c>
      <c r="GU80" s="97" t="s">
        <v>513</v>
      </c>
      <c r="GV80" s="97" t="str">
        <f t="shared" si="198"/>
        <v>M23</v>
      </c>
      <c r="GW80" s="97" t="str">
        <f t="shared" si="199"/>
        <v>M31</v>
      </c>
      <c r="GX80" s="97" t="str">
        <f t="shared" si="200"/>
        <v/>
      </c>
      <c r="GY80" s="97" t="str">
        <f t="shared" si="201"/>
        <v/>
      </c>
      <c r="GZ80" s="481"/>
      <c r="HA80" s="288"/>
      <c r="HB80" s="240"/>
      <c r="HC80" s="240"/>
      <c r="HD80" s="240"/>
      <c r="HE80" s="240"/>
      <c r="HF80" s="240"/>
      <c r="HG80" s="240"/>
      <c r="HH80" s="240"/>
      <c r="HI80" s="240"/>
      <c r="HJ80" s="240"/>
      <c r="HK80" s="240"/>
      <c r="HL80" s="240"/>
      <c r="HM80" s="240"/>
      <c r="HN80" s="240"/>
      <c r="HO80" s="240"/>
      <c r="HP80" s="240"/>
      <c r="HQ80" s="240"/>
      <c r="HR80" s="240"/>
      <c r="HS80" s="240"/>
      <c r="HT80" s="240"/>
      <c r="HU80" s="240"/>
      <c r="HV80" s="245"/>
      <c r="HW80" s="245" t="b">
        <v>1</v>
      </c>
      <c r="HX80" s="245" t="str">
        <f t="shared" si="79"/>
        <v/>
      </c>
      <c r="HY80" s="245" t="e">
        <f t="shared" si="80"/>
        <v>#DIV/0!</v>
      </c>
      <c r="HZ80" s="245" t="e">
        <f t="shared" si="81"/>
        <v>#DIV/0!</v>
      </c>
      <c r="IA80" s="245">
        <f t="shared" si="82"/>
        <v>0</v>
      </c>
      <c r="IB80" s="245"/>
      <c r="IC80" t="b">
        <f t="shared" si="83"/>
        <v>1</v>
      </c>
      <c r="ID80" s="245" t="b">
        <f t="shared" si="84"/>
        <v>1</v>
      </c>
      <c r="IE80" s="245" t="b">
        <f t="shared" si="85"/>
        <v>1</v>
      </c>
      <c r="IF80" s="245" t="b">
        <f t="shared" si="86"/>
        <v>0</v>
      </c>
      <c r="IG80" s="245" t="b">
        <f t="shared" si="87"/>
        <v>1</v>
      </c>
      <c r="IH80" s="245" t="b">
        <f t="shared" si="88"/>
        <v>1</v>
      </c>
      <c r="II80" s="245">
        <f t="shared" si="202"/>
        <v>0</v>
      </c>
      <c r="IJ80" s="245" t="e">
        <f t="shared" si="89"/>
        <v>#VALUE!</v>
      </c>
      <c r="IK80" s="245" t="e">
        <f t="shared" si="90"/>
        <v>#VALUE!</v>
      </c>
      <c r="IL80" s="245"/>
      <c r="IM80" s="245" t="e">
        <f t="shared" si="203"/>
        <v>#N/A</v>
      </c>
      <c r="IN80" s="245" t="e">
        <f t="shared" si="204"/>
        <v>#N/A</v>
      </c>
      <c r="IO80" s="245"/>
      <c r="IP80" s="245"/>
      <c r="IQ80" s="245" t="str">
        <f t="shared" si="91"/>
        <v/>
      </c>
      <c r="IR80" s="245" t="str">
        <f>IF(J80="","",VLOOKUP(J80,Worksheet!$R$4:$T$14,2))</f>
        <v/>
      </c>
      <c r="IS80" s="245"/>
      <c r="IT80" s="245">
        <f t="shared" si="92"/>
        <v>0</v>
      </c>
      <c r="IU80" s="245">
        <f t="shared" si="93"/>
        <v>0</v>
      </c>
      <c r="IV80" s="245">
        <f t="shared" si="94"/>
        <v>0</v>
      </c>
      <c r="IW80" s="245">
        <f t="shared" si="95"/>
        <v>0</v>
      </c>
      <c r="IX80" s="245">
        <f t="shared" si="205"/>
        <v>0</v>
      </c>
      <c r="IY80" s="245">
        <f t="shared" si="96"/>
        <v>0</v>
      </c>
      <c r="IZ80" s="245">
        <f t="shared" si="97"/>
        <v>0</v>
      </c>
      <c r="JA80">
        <f t="shared" si="98"/>
        <v>0</v>
      </c>
      <c r="JB80">
        <f t="shared" si="206"/>
        <v>0</v>
      </c>
      <c r="JC80">
        <f t="shared" si="99"/>
        <v>0</v>
      </c>
      <c r="JD80">
        <f t="shared" si="100"/>
        <v>0</v>
      </c>
      <c r="JE80">
        <f t="shared" si="101"/>
        <v>0</v>
      </c>
      <c r="JF80">
        <f t="shared" si="102"/>
        <v>0</v>
      </c>
      <c r="JG80">
        <f t="shared" si="103"/>
        <v>0</v>
      </c>
      <c r="JH80">
        <f t="shared" si="104"/>
        <v>0</v>
      </c>
      <c r="JI80">
        <f t="shared" si="105"/>
        <v>0</v>
      </c>
      <c r="JJ80" s="447">
        <f t="shared" si="106"/>
        <v>0</v>
      </c>
      <c r="JK80" s="447">
        <f t="shared" si="107"/>
        <v>0</v>
      </c>
      <c r="JL80">
        <f t="shared" si="108"/>
        <v>0</v>
      </c>
      <c r="JM80" s="245" t="str">
        <f>IFERROR(VLOOKUP(MATCH(BN80,#REF!,0),#REF!,7),"")</f>
        <v/>
      </c>
      <c r="JN80" t="e">
        <f>HLOOKUP(LEFT(BO80,7),Discharge_Area,MATCH(JO80,LookUps!$B$130:$B$149,1)+2)</f>
        <v>#N/A</v>
      </c>
      <c r="JO80" t="str">
        <f t="shared" si="109"/>
        <v>- S</v>
      </c>
      <c r="JP80" t="e">
        <f>HLOOKUP(LEFT(BO80,7),Discharge_Area,MATCH(JO80,LookUps!$B$130:$B$149,1)+2)</f>
        <v>#N/A</v>
      </c>
      <c r="JQ80" t="e">
        <f t="shared" si="110"/>
        <v>#N/A</v>
      </c>
      <c r="JR80" t="e">
        <f t="shared" si="111"/>
        <v>#N/A</v>
      </c>
      <c r="JS80" t="e">
        <f t="shared" si="112"/>
        <v>#N/A</v>
      </c>
      <c r="JT80" s="532" t="str">
        <f t="shared" si="113"/>
        <v xml:space="preserve"> </v>
      </c>
      <c r="JU80" s="532" t="str">
        <f t="shared" si="114"/>
        <v xml:space="preserve"> </v>
      </c>
      <c r="JV80" s="533" t="str">
        <f t="shared" si="115"/>
        <v xml:space="preserve"> </v>
      </c>
      <c r="JW80" s="534">
        <f t="shared" si="116"/>
        <v>0</v>
      </c>
      <c r="JX80" s="535" t="str">
        <f t="shared" si="207"/>
        <v xml:space="preserve"> </v>
      </c>
      <c r="JY80" s="535" t="str">
        <f t="shared" si="208"/>
        <v xml:space="preserve"> </v>
      </c>
      <c r="JZ80" s="535" t="str">
        <f t="shared" si="209"/>
        <v xml:space="preserve"> </v>
      </c>
      <c r="KA80" s="536" t="str">
        <f t="shared" si="117"/>
        <v xml:space="preserve"> </v>
      </c>
      <c r="KB80" s="535" t="e">
        <f t="shared" si="210"/>
        <v>#VALUE!</v>
      </c>
      <c r="KC80" s="535" t="str">
        <f t="shared" si="118"/>
        <v/>
      </c>
      <c r="KD80" s="537" t="str">
        <f t="shared" si="211"/>
        <v xml:space="preserve"> </v>
      </c>
      <c r="KE80" s="537" t="str">
        <f t="shared" si="212"/>
        <v xml:space="preserve"> </v>
      </c>
      <c r="KF80" s="534">
        <f t="shared" si="119"/>
        <v>0</v>
      </c>
      <c r="KG80" s="535" t="str">
        <f t="shared" si="120"/>
        <v xml:space="preserve"> </v>
      </c>
      <c r="KH80" s="535" t="str">
        <f t="shared" si="121"/>
        <v xml:space="preserve"> </v>
      </c>
      <c r="KI80" s="535" t="str">
        <f t="shared" si="122"/>
        <v xml:space="preserve"> </v>
      </c>
      <c r="KJ80" s="536" t="str">
        <f t="shared" si="123"/>
        <v xml:space="preserve"> </v>
      </c>
      <c r="KK80" s="535" t="str">
        <f t="shared" si="213"/>
        <v xml:space="preserve"> </v>
      </c>
      <c r="KL80" s="535" t="str">
        <f t="shared" si="214"/>
        <v xml:space="preserve"> </v>
      </c>
      <c r="KM80" s="537" t="str">
        <f t="shared" si="124"/>
        <v xml:space="preserve"> </v>
      </c>
      <c r="KN80" s="537" t="str">
        <f t="shared" si="215"/>
        <v xml:space="preserve"> </v>
      </c>
      <c r="KP80">
        <f t="shared" si="125"/>
        <v>0</v>
      </c>
      <c r="LA80" t="e">
        <f t="shared" si="126"/>
        <v>#VALUE!</v>
      </c>
      <c r="LB80" t="e">
        <f t="shared" si="127"/>
        <v>#VALUE!</v>
      </c>
      <c r="LC80" t="e">
        <f t="shared" si="128"/>
        <v>#VALUE!</v>
      </c>
      <c r="LD80" t="e">
        <f t="shared" si="129"/>
        <v>#VALUE!</v>
      </c>
      <c r="LE80" t="e">
        <f t="shared" si="216"/>
        <v>#VALUE!</v>
      </c>
      <c r="LF80">
        <f t="shared" si="130"/>
        <v>0</v>
      </c>
      <c r="LG80" t="e">
        <f t="shared" si="217"/>
        <v>#VALUE!</v>
      </c>
      <c r="LH80" t="str">
        <f t="shared" si="131"/>
        <v xml:space="preserve"> </v>
      </c>
      <c r="LI80">
        <f t="shared" si="218"/>
        <v>1</v>
      </c>
    </row>
    <row r="81" spans="2:321" ht="15" customHeight="1">
      <c r="B81" s="311"/>
      <c r="C81" s="311"/>
      <c r="D81" s="312"/>
      <c r="E81" s="311"/>
      <c r="F81" s="312"/>
      <c r="G81" s="311"/>
      <c r="H81" s="311"/>
      <c r="I81" s="37"/>
      <c r="J81" s="311"/>
      <c r="K81" s="305" t="str">
        <f t="shared" si="132"/>
        <v/>
      </c>
      <c r="L81" s="313"/>
      <c r="M81" s="312"/>
      <c r="N81" s="311"/>
      <c r="O81" s="312"/>
      <c r="P81" s="311"/>
      <c r="Q81" s="305" t="str">
        <f t="shared" si="133"/>
        <v/>
      </c>
      <c r="R81" s="314"/>
      <c r="S81" s="450" t="str">
        <f t="shared" si="0"/>
        <v/>
      </c>
      <c r="T81" s="315"/>
      <c r="U81" s="315"/>
      <c r="W81" s="149" t="str">
        <f t="shared" si="1"/>
        <v xml:space="preserve"> </v>
      </c>
      <c r="X81" s="243" t="str">
        <f t="shared" si="2"/>
        <v xml:space="preserve"> </v>
      </c>
      <c r="Y81" s="150" t="str">
        <f t="shared" si="3"/>
        <v/>
      </c>
      <c r="Z81" s="149" t="str">
        <f t="shared" si="4"/>
        <v xml:space="preserve"> </v>
      </c>
      <c r="AA81" s="98" t="str">
        <f t="shared" si="5"/>
        <v xml:space="preserve"> </v>
      </c>
      <c r="AB81" s="153" t="str">
        <f t="shared" si="6"/>
        <v xml:space="preserve"> </v>
      </c>
      <c r="AC81" s="153" t="str">
        <f t="shared" si="7"/>
        <v xml:space="preserve"> </v>
      </c>
      <c r="AD81" s="148" t="str">
        <f t="shared" si="8"/>
        <v/>
      </c>
      <c r="AE81" s="149" t="str">
        <f t="shared" si="9"/>
        <v/>
      </c>
      <c r="AF81" s="151" t="str">
        <f t="shared" si="10"/>
        <v xml:space="preserve"> </v>
      </c>
      <c r="AG81" s="153" t="str">
        <f t="shared" si="11"/>
        <v xml:space="preserve"> </v>
      </c>
      <c r="AH81" s="98" t="str">
        <f t="shared" si="12"/>
        <v xml:space="preserve"> </v>
      </c>
      <c r="AI81" s="149" t="str">
        <f t="shared" si="13"/>
        <v xml:space="preserve"> </v>
      </c>
      <c r="AK81" s="144" t="str">
        <f t="shared" si="14"/>
        <v xml:space="preserve"> </v>
      </c>
      <c r="AL81" s="144"/>
      <c r="AM81" s="243" t="str">
        <f t="shared" si="15"/>
        <v xml:space="preserve"> </v>
      </c>
      <c r="AN81" s="149" t="str">
        <f t="shared" si="134"/>
        <v xml:space="preserve"> </v>
      </c>
      <c r="AO81" s="144" t="str">
        <f>IF(JB81&gt;0,IF(GI81=10,-R81*1.085*(Calculation!$F$6-Calculation!$F$13)*$S$14," "),"")</f>
        <v/>
      </c>
      <c r="AP81" s="144" t="str">
        <f t="shared" si="16"/>
        <v/>
      </c>
      <c r="AQ81" s="56" t="str">
        <f t="shared" si="17"/>
        <v/>
      </c>
      <c r="AR81" s="144" t="str">
        <f t="shared" si="18"/>
        <v/>
      </c>
      <c r="AS81" s="176" t="str">
        <f t="shared" si="19"/>
        <v/>
      </c>
      <c r="AT81" s="176" t="str">
        <f t="shared" si="135"/>
        <v xml:space="preserve"> </v>
      </c>
      <c r="AU81" s="176" t="str">
        <f t="shared" si="20"/>
        <v/>
      </c>
      <c r="AV81" s="177" t="str">
        <f t="shared" si="21"/>
        <v xml:space="preserve"> </v>
      </c>
      <c r="AW81" s="144" t="str">
        <f t="shared" si="22"/>
        <v xml:space="preserve"> </v>
      </c>
      <c r="AX81" s="144" t="str">
        <f t="shared" si="23"/>
        <v xml:space="preserve"> </v>
      </c>
      <c r="AY81" s="152" t="str">
        <f t="shared" si="24"/>
        <v xml:space="preserve"> </v>
      </c>
      <c r="AZ81" s="246" t="str">
        <f t="shared" si="25"/>
        <v/>
      </c>
      <c r="BA81" s="176" t="str">
        <f t="shared" si="26"/>
        <v xml:space="preserve"> </v>
      </c>
      <c r="BB81" s="176" t="str">
        <f t="shared" si="27"/>
        <v xml:space="preserve"> </v>
      </c>
      <c r="BC81" s="195"/>
      <c r="BD81" s="316"/>
      <c r="BE81" s="317"/>
      <c r="BF81" s="318"/>
      <c r="BG81" s="318"/>
      <c r="BH81" s="144" t="str">
        <f t="shared" si="219"/>
        <v xml:space="preserve"> </v>
      </c>
      <c r="BI81" s="176" t="str">
        <f t="shared" si="28"/>
        <v/>
      </c>
      <c r="BJ81" s="144" t="str">
        <f t="shared" si="220"/>
        <v/>
      </c>
      <c r="BK81" s="246" t="str">
        <f t="shared" si="29"/>
        <v/>
      </c>
      <c r="BL81" s="144" t="str">
        <f t="shared" si="221"/>
        <v/>
      </c>
      <c r="BM81" s="246" t="str">
        <f t="shared" si="30"/>
        <v/>
      </c>
      <c r="BN81" s="337" t="str">
        <f t="shared" si="136"/>
        <v/>
      </c>
      <c r="BO81" s="371" t="str">
        <f t="shared" si="137"/>
        <v/>
      </c>
      <c r="BP81" s="328" t="str">
        <f t="shared" si="222"/>
        <v xml:space="preserve"> </v>
      </c>
      <c r="BQ81" s="347" t="str">
        <f t="shared" si="138"/>
        <v xml:space="preserve"> </v>
      </c>
      <c r="BR81" s="353" t="str">
        <f t="shared" si="223"/>
        <v xml:space="preserve"> </v>
      </c>
      <c r="BS81" s="626" t="str">
        <f>IF(L81&gt;0,IF(Calculation!P81="M13",BR81*3.1416*(0.134^2)/(4*144),IF(Calculation!P81="M17",BR81*3.1416*(0.165^2)/(4*144),IF(Calculation!P81="M20",BR81*3.1416*(0.198^2)/(4*144),IF(Calculation!P81="M23",BR81*3.1416*(0.228^2)/(4*144),IF(Calculation!P81="M27",BR81*3.1416*(0.269^2)/(4*144),BR81*3.1416*(0.307^2)/(4*144))))))," ")</f>
        <v xml:space="preserve"> </v>
      </c>
      <c r="BT81" s="353" t="str">
        <f>IF(L81&gt;0,IF(BS81&gt;0,R81/Calculation!BS81,0)," ")</f>
        <v xml:space="preserve"> </v>
      </c>
      <c r="BU81" s="438" t="e">
        <f t="shared" ca="1" si="31"/>
        <v>#VALUE!</v>
      </c>
      <c r="BV81" s="449" t="e">
        <f ca="1">INDEX(INDIRECT(VLOOKUP(LEFT(BO81,7),CLU!$Z$3:$AH$18,2)),GN81,GR81)</f>
        <v>#N/A</v>
      </c>
      <c r="BW81" s="433" t="e">
        <f ca="1">INDEX(INDIRECT(VLOOKUP(LEFT(BO81,7),CLU!$Z$3:$AH$18,3)),GN81,GR81)</f>
        <v>#N/A</v>
      </c>
      <c r="BX81" s="433" t="e">
        <f ca="1">INDEX(INDIRECT(VLOOKUP(LEFT(BO81,7),CLU!$Z$3:$AH$18,4)),GN81,GR81)</f>
        <v>#N/A</v>
      </c>
      <c r="BY81" s="433" t="e">
        <f ca="1">INDEX(INDIRECT(VLOOKUP(LEFT(BO81,7),CLU!$Z$3:$AH$18,9)),((M81-2)*(6-COUNTBLANK(GT81:GY81)))+GJ81)</f>
        <v>#N/A</v>
      </c>
      <c r="BZ81" s="426" t="e">
        <f t="shared" ca="1" si="139"/>
        <v>#N/A</v>
      </c>
      <c r="CA81" s="424" t="e">
        <f t="shared" ca="1" si="140"/>
        <v>#N/A</v>
      </c>
      <c r="CB81" s="429" t="e">
        <f ca="1">INDEX(INDIRECT(VLOOKUP(LEFT(BO81,7),CLU!$Z$3:$AH$18,2)),GN81,GS81)</f>
        <v>#N/A</v>
      </c>
      <c r="CC81" s="342" t="e">
        <f ca="1">INDEX(INDIRECT(VLOOKUP(LEFT(BO81,7),CLU!$Z$3:$AH$18,3)),GN81,GS81)</f>
        <v>#N/A</v>
      </c>
      <c r="CD81" s="342" t="e">
        <f ca="1">INDEX(INDIRECT(VLOOKUP(LEFT(BO81,7),CLU!$Z$3:$AH$18,4)),GN81,GS81)</f>
        <v>#N/A</v>
      </c>
      <c r="CE81" s="426" t="e">
        <f t="shared" ca="1" si="141"/>
        <v>#N/A</v>
      </c>
      <c r="CF81" s="440">
        <f t="shared" si="142"/>
        <v>0</v>
      </c>
      <c r="CG81" s="431" t="e">
        <f ca="1">INDEX(INDIRECT(VLOOKUP(LEFT(BO81,7),CLU!$Z$3:$AH$18,2)),GQ81,GR81)</f>
        <v>#N/A</v>
      </c>
      <c r="CH81" s="431" t="e">
        <f ca="1">INDEX(INDIRECT(VLOOKUP(LEFT(BO81,7),CLU!$Z$3:$AH$18,3)),GQ81,GR81)</f>
        <v>#N/A</v>
      </c>
      <c r="CI81" s="431" t="e">
        <f ca="1">INDEX(INDIRECT(VLOOKUP(LEFT(BO81,7),CLU!$Z$3:$AH$18,4)),GQ81,GR81)</f>
        <v>#N/A</v>
      </c>
      <c r="CJ81" s="448" t="e">
        <f t="shared" ca="1" si="143"/>
        <v>#N/A</v>
      </c>
      <c r="CK81" s="431" t="e">
        <f t="shared" ca="1" si="144"/>
        <v>#N/A</v>
      </c>
      <c r="CL81" s="440" t="e">
        <f t="shared" ca="1" si="145"/>
        <v>#N/A</v>
      </c>
      <c r="CM81" s="431" t="e">
        <f ca="1">INDEX(INDIRECT(VLOOKUP(LEFT(BO81,7),CLU!$Z$3:$AH$18,2)),GQ81,GS81)</f>
        <v>#N/A</v>
      </c>
      <c r="CN81" s="431" t="e">
        <f ca="1">INDEX(INDIRECT(VLOOKUP(LEFT(BO81,7),CLU!$Z$3:$AH$18,3)),GQ81,GS81)</f>
        <v>#N/A</v>
      </c>
      <c r="CO81" s="431" t="e">
        <f ca="1">INDEX(INDIRECT(VLOOKUP(LEFT(BO81,7),CLU!$Z$3:$AH$18,4)),GQ81,GS81)</f>
        <v>#N/A</v>
      </c>
      <c r="CP81" s="431" t="e">
        <f t="shared" ca="1" si="146"/>
        <v>#N/A</v>
      </c>
      <c r="CQ81" s="440">
        <f t="shared" si="147"/>
        <v>0</v>
      </c>
      <c r="CR81" s="51" t="e">
        <f t="shared" ca="1" si="148"/>
        <v>#N/A</v>
      </c>
      <c r="CS81" s="439" t="e">
        <f t="shared" ca="1" si="149"/>
        <v>#VALUE!</v>
      </c>
      <c r="CT81" s="51" t="e">
        <f t="shared" ca="1" si="150"/>
        <v>#VALUE!</v>
      </c>
      <c r="CU81" s="10"/>
      <c r="CV81" s="51" t="e">
        <f t="shared" ca="1" si="34"/>
        <v>#VALUE!</v>
      </c>
      <c r="CW81" s="51">
        <f t="shared" si="151"/>
        <v>0</v>
      </c>
      <c r="CX81" s="439" t="e">
        <f t="shared" ca="1" si="152"/>
        <v>#VALUE!</v>
      </c>
      <c r="CY81" s="51" t="e">
        <f t="shared" ca="1" si="153"/>
        <v>#VALUE!</v>
      </c>
      <c r="CZ81" s="10"/>
      <c r="DA81" s="51" t="e">
        <f t="shared" ca="1" si="154"/>
        <v>#VALUE!</v>
      </c>
      <c r="DB81" s="347" t="e">
        <f ca="1">INDEX(INDIRECT(VLOOKUP(LEFT(BO81,7),CLU!$Z$3:$AI$18,10)),((M81-2)*(6-COUNTBLANK(GT81:GY81)))+GJ81)*LI81</f>
        <v>#N/A</v>
      </c>
      <c r="DC81" s="347" t="str">
        <f>IF(L81&gt;0,((R81/Worksheet!$I$15)/DB81)^2," ")</f>
        <v xml:space="preserve"> </v>
      </c>
      <c r="DD81" s="602" t="str">
        <f t="shared" si="224"/>
        <v xml:space="preserve"> </v>
      </c>
      <c r="DE81" s="347" t="str">
        <f t="shared" si="35"/>
        <v xml:space="preserve"> </v>
      </c>
      <c r="DF81" s="356" t="e">
        <f ca="1">INDEX(INDIRECT(VLOOKUP(LEFT(BO81,7),CLU!$Z$3:$AH$18,8)),((M81-2)*(6-COUNTBLANK(GT81:GY81)))+GJ81)</f>
        <v>#N/A</v>
      </c>
      <c r="DG81" s="347" t="str">
        <f t="shared" si="36"/>
        <v xml:space="preserve"> </v>
      </c>
      <c r="DH81" s="357" t="str">
        <f t="shared" si="37"/>
        <v xml:space="preserve"> </v>
      </c>
      <c r="DI81" s="355" t="str">
        <f t="shared" si="38"/>
        <v xml:space="preserve"> </v>
      </c>
      <c r="DJ81" s="245" t="e">
        <f ca="1">INDEX(INDIRECT(VLOOKUP(LEFT(BO81,7),CLU!$Z$3:$AH$18,5)),GL81,GK81)</f>
        <v>#N/A</v>
      </c>
      <c r="DK81" s="245" t="e">
        <f ca="1">INDEX(INDIRECT(VLOOKUP(LEFT(BO81,7),CLU!$Z$3:$AH$18,6)),GL81,GK81)</f>
        <v>#N/A</v>
      </c>
      <c r="DL81" s="355">
        <f>(Calculation!R81*0.69143*(Calculation!$BQ$8-Calculation!$F$8))*$S$14</f>
        <v>0</v>
      </c>
      <c r="DM81" s="359" t="e">
        <f t="shared" si="160"/>
        <v>#VALUE!</v>
      </c>
      <c r="DN81" s="611">
        <f t="shared" si="161"/>
        <v>0</v>
      </c>
      <c r="DO81" s="359">
        <f t="shared" si="162"/>
        <v>100</v>
      </c>
      <c r="DP81" s="359">
        <f t="shared" si="163"/>
        <v>0</v>
      </c>
      <c r="DQ81" s="360"/>
      <c r="DR81" s="245" t="e">
        <f ca="1">INDEX(INDIRECT(VLOOKUP(LEFT(BO81,7),CLU!$Z$3:$AH$18,7)),M81-1,1)</f>
        <v>#N/A</v>
      </c>
      <c r="DS81" s="245" t="e">
        <f ca="1">INDEX(INDIRECT(VLOOKUP(LEFT(BO81,7),CLU!$Z$3:$AH$18,7)),M81-1,2)</f>
        <v>#N/A</v>
      </c>
      <c r="DT81" s="245" t="e">
        <f ca="1">INDEX(INDIRECT(VLOOKUP(LEFT(BO81,7),CLU!$Z$3:$AH$18,7)),M81-1,3)</f>
        <v>#N/A</v>
      </c>
      <c r="DU81" s="245" t="e">
        <f ca="1">INDEX(INDIRECT(VLOOKUP(LEFT(BO81,7),CLU!$Z$3:$AH$18,7)),M81-1,4)</f>
        <v>#N/A</v>
      </c>
      <c r="DV81" s="361" t="e">
        <f ca="1">INDEX(INDIRECT(VLOOKUP(LEFT(BO81,7),CLU!$Z$3:$AH$18,7)),M81-1,4+LEFT(DZ81,1)*0.5)</f>
        <v>#N/A</v>
      </c>
      <c r="DW81" s="245" t="e">
        <f ca="1">INDEX(INDIRECT(VLOOKUP(LEFT(BO81,7),CLU!$Z$3:$AH$18,7)),M81-1,8)</f>
        <v>#N/A</v>
      </c>
      <c r="DX81" s="361" t="str">
        <f t="shared" si="39"/>
        <v xml:space="preserve"> </v>
      </c>
      <c r="DY81" s="361" t="str">
        <f t="shared" si="40"/>
        <v xml:space="preserve"> </v>
      </c>
      <c r="DZ81" s="361" t="str">
        <f t="shared" si="41"/>
        <v xml:space="preserve"> </v>
      </c>
      <c r="EA81" s="362" t="str">
        <f t="shared" si="42"/>
        <v xml:space="preserve"> </v>
      </c>
      <c r="EB81" s="624" t="str">
        <f t="shared" si="168"/>
        <v xml:space="preserve"> </v>
      </c>
      <c r="EC81" s="361" t="e">
        <f ca="1">INDEX(INDIRECT(VLOOKUP(LEFT(BO81,7),CLU!$Z$3:$AH$18,7)),M81-1,4+LEFT(DZ81,1)*0.5)</f>
        <v>#N/A</v>
      </c>
      <c r="ED81" s="362" t="str">
        <f t="shared" si="43"/>
        <v xml:space="preserve"> </v>
      </c>
      <c r="EE81" s="361" t="str">
        <f t="shared" si="44"/>
        <v xml:space="preserve"> </v>
      </c>
      <c r="EF81" s="362" t="str">
        <f>IF(L81&gt;0,IF(BR81&gt;0,IF(EE81="2P",IF(Calculation!DZ81="2P",IF(Calculation!DS81=13.75,IF(Calculation!DR81=13,Worksheet!$BD$43,IF(Calculation!DR81=37,Worksheet!$BD$44,Worksheet!$BD$45)),IF(Calculation!DS81=10,IF(Calculation!DR81=18,Worksheet!$BD$29,IF(Calculation!DR81=30,Worksheet!$BD$30,IF(Calculation!DR81=42,Worksheet!$BD$31,IF(Calculation!DR81=54,Worksheet!$BD$32,IF(Calculation!DR81=66,Worksheet!$BD$33,IF(Calculation!DR81=78,Worksheet!$BD$34,IF(Calculation!DR81=90,Worksheet!$BD$35,IF(Calculation!DR81=102,Worksheet!$BD$36,Worksheet!$BD$37)))))))),IF(Calculation!DS81=12.5,IF(Calculation!DR81=18,Worksheet!$BD$38,IF(Calculation!DR81=Worksheet!$BD$39,IF(Calculation!DR81=42,Worksheet!$BD$40,IF(Calculation!DR81=54,Worksheet!$BD$41,Worksheet!$BD$42)))),IF(Calculation!DR81=18,Worksheet!$BD$11,IF(Calculation!DR81=30,Worksheet!$BD$12,IF(Calculation!DR81=42,Worksheet!$BD$13,IF(Calculation!DR81=54,Worksheet!$BD$14,IF(Calculation!DR81=66,Worksheet!$BD$15,IF(Calculation!DR81=78,Worksheet!$BD$16,IF(Calculation!DR81=90,Worksheet!$BD$17,IF(Calculation!DR81=102,Worksheet!$BD$18,Worksheet!$BD$19))))))))))),IF(Calculation!DS81=13.75,IF(Calculation!DR81=13,Worksheet!$BD$78,IF(Calculation!DR81=37,Worksheet!$BD$79,Worksheet!$BD$80)),IF(Calculation!DS81=10,IF(Calculation!DR81=18,Worksheet!$BD$64,IF(Calculation!DR81=30,Worksheet!$BD$65,IF(Calculation!DR81=42,Worksheet!$BD$66,IF(Calculation!DR81=54,Worksheet!$BD$68,IF(Calculation!DR81=66,Worksheet!$BD$68,IF(Calculation!DR81=78,Worksheet!$BD$69,IF(Calculation!DR81=90,Worksheet!$BD$70,IF(Calculation!DR81=102,Worksheet!$BD$71,Worksheet!$BD$72)))))))),IF(Calculation!DS81=12.5,IF(Calculation!DR81=18,Worksheet!$BD$73,IF(Calculation!DR81=Worksheet!$BD$74,IF(Calculation!DR81=42,Worksheet!$BD$75,IF(Calculation!DR81=54,Worksheet!$BD$76,Worksheet!$BD$77)))),IF(Calculation!DR81=18,Worksheet!$BD$55,IF(Calculation!DR81=30,Worksheet!$BD$56,IF(Calculation!DR81=42,Worksheet!$BD$57,IF(Calculation!DR81=54,Worksheet!$BD$58,IF(Calculation!DR81=66,Worksheet!$BD$59,IF(Calculation!DR81=78,Worksheet!$BD$60,IF(Calculation!DR81=90,Worksheet!$BD$61,IF(Calculation!DR81=102,Worksheet!$BD$62,Worksheet!$BD$63)))))))))))),5),0)," ")</f>
        <v xml:space="preserve"> </v>
      </c>
      <c r="EG81" s="361" t="str">
        <f t="shared" si="45"/>
        <v xml:space="preserve"> </v>
      </c>
      <c r="EH81" s="361" t="e">
        <f ca="1">INDEX(INDIRECT(VLOOKUP(LEFT(BO81,7),CLU!$Z$3:$AH$18,7)),M81-1,3+LEFT(DZ81,1))</f>
        <v>#N/A</v>
      </c>
      <c r="EI81" s="362" t="str">
        <f t="shared" si="46"/>
        <v xml:space="preserve"> </v>
      </c>
      <c r="EJ81" s="363" t="str">
        <f t="shared" si="47"/>
        <v xml:space="preserve"> </v>
      </c>
      <c r="EK81" s="363" t="str">
        <f t="shared" si="48"/>
        <v xml:space="preserve"> </v>
      </c>
      <c r="EL81" s="363" t="str">
        <f t="shared" si="49"/>
        <v xml:space="preserve"> </v>
      </c>
      <c r="EM81" s="362" t="str">
        <f>IF(L81&gt;0,IF(BR81&gt;0,(Calculation!T81/ED81)^2,0)," ")</f>
        <v xml:space="preserve"> </v>
      </c>
      <c r="EN81" s="362" t="str">
        <f>IF(L81&gt;0,IF(O81="2 Pipe (Cooling)","N/A",IF(BR81&gt;0,(Calculation!U81/EI81)^2,0))," ")</f>
        <v xml:space="preserve"> </v>
      </c>
      <c r="EO81" s="361" t="str">
        <f t="shared" si="50"/>
        <v/>
      </c>
      <c r="EP81" s="361" t="str">
        <f t="shared" si="51"/>
        <v/>
      </c>
      <c r="EQ81" s="361" t="str">
        <f t="shared" si="52"/>
        <v/>
      </c>
      <c r="ER81" s="361" t="str">
        <f t="shared" si="53"/>
        <v/>
      </c>
      <c r="ES81" s="361" t="str">
        <f t="shared" si="54"/>
        <v/>
      </c>
      <c r="ET81" s="361" t="str">
        <f t="shared" si="55"/>
        <v/>
      </c>
      <c r="EU81" s="361" t="str">
        <f t="shared" si="56"/>
        <v/>
      </c>
      <c r="EV81" s="361" t="str">
        <f t="shared" si="57"/>
        <v/>
      </c>
      <c r="EW81" s="361" t="str">
        <f t="shared" si="58"/>
        <v/>
      </c>
      <c r="EX81" s="361" t="str">
        <f t="shared" si="169"/>
        <v>1 slot, 1 way</v>
      </c>
      <c r="EY81" s="361" t="str">
        <f t="shared" si="170"/>
        <v xml:space="preserve"> </v>
      </c>
      <c r="EZ81" s="361" t="str">
        <f t="shared" si="171"/>
        <v xml:space="preserve"> </v>
      </c>
      <c r="FA81" s="361" t="str">
        <f t="shared" si="172"/>
        <v xml:space="preserve"> </v>
      </c>
      <c r="FB81" s="361" t="str">
        <f t="shared" si="173"/>
        <v xml:space="preserve"> </v>
      </c>
      <c r="FC81" s="361"/>
      <c r="FD81" s="361" t="str">
        <f>IF(J81&gt;0,IF(Calculation!R81&lt;=70,4,IF(Calculation!R81&lt;=110,5,IF(Calculation!R81&lt;=160,6,IF(Calculation!R81&lt;=300,8,"10 EO")))),"")</f>
        <v/>
      </c>
      <c r="FE81" s="361" t="str">
        <f t="shared" si="174"/>
        <v/>
      </c>
      <c r="FF81" s="361" t="str">
        <f t="shared" si="175"/>
        <v/>
      </c>
      <c r="FG81" s="361" t="e">
        <f t="shared" si="60"/>
        <v>#N/A</v>
      </c>
      <c r="FH81" s="361">
        <f t="shared" si="61"/>
        <v>0</v>
      </c>
      <c r="FI81" s="361" t="e">
        <f t="shared" si="62"/>
        <v>#DIV/0!</v>
      </c>
      <c r="FJ81" s="361"/>
      <c r="FK81" s="356" t="e">
        <f t="shared" si="63"/>
        <v>#VALUE!</v>
      </c>
      <c r="FL81" s="361"/>
      <c r="FM81" s="361"/>
      <c r="FN81" s="362" t="str">
        <f t="shared" si="176"/>
        <v xml:space="preserve"> </v>
      </c>
      <c r="FO81" s="362" t="str">
        <f t="shared" si="177"/>
        <v xml:space="preserve"> </v>
      </c>
      <c r="FP81" s="362">
        <f t="shared" si="178"/>
        <v>0</v>
      </c>
      <c r="FQ81" s="361">
        <f t="shared" si="64"/>
        <v>0</v>
      </c>
      <c r="FR81" s="362" t="str">
        <f>IF(L81&gt;0,IF(J81="CBAL2",Worksheet!$P$67,IF(J81="CBE2-24",Worksheet!$Q$67,IF(J81="CBAM",Worksheet!$R$67,IF(J81="CBLV",Worksheet!$S$67,IF(J81="CBAB",Worksheet!$U$67,IF(J81="CBAW",Worksheet!$X$67,IF(J81="CBE2-12",Worksheet!$Y$67,IF(J81="CBAL2",Worksheet!$Z$67,"N/A"))))))))," ")</f>
        <v xml:space="preserve"> </v>
      </c>
      <c r="FS81" s="362" t="str">
        <f>IF(L81&gt;0,IF(J81="CBAL2",Worksheet!$P$68,IF(J81="CBE2-24",Worksheet!$Q$68,IF(J81="CBAM",Worksheet!$R$68,IF(J81="CBLV",Worksheet!$S$68,IF(J81="CBAB",Worksheet!$U$68,IF(J81="CBAW",Worksheet!$X$68,IF(J81="CBE2-12",Worksheet!$Y$68,IF(J81="CBAL2",Worksheet!$Z$68,"N/A"))))))))," ")</f>
        <v xml:space="preserve"> </v>
      </c>
      <c r="FT81" s="362" t="str">
        <f>IF(L81&gt;0,IF(J81="CBAL2",Worksheet!$P$69,IF(J81="CBE2-24",Worksheet!$Q$69,IF(J81="CBAM",Worksheet!$R$69,IF(J81="CBLV",Worksheet!$S$69,IF(J81="CBAB",Worksheet!$U$69,IF(J81="CBAW",Worksheet!$X$69,IF(J81="CBE2-12",Worksheet!$Y$69,IF(J81="CBAL2",Worksheet!$Z$69,"N/A"))))))))," ")</f>
        <v xml:space="preserve"> </v>
      </c>
      <c r="FU81" s="361" t="str">
        <f t="shared" si="179"/>
        <v xml:space="preserve"> </v>
      </c>
      <c r="FV81" s="362" t="str">
        <f t="shared" si="180"/>
        <v xml:space="preserve"> </v>
      </c>
      <c r="FW81" s="362" t="str">
        <f t="shared" si="181"/>
        <v xml:space="preserve"> </v>
      </c>
      <c r="FX81" s="362" t="str">
        <f t="shared" si="182"/>
        <v xml:space="preserve"> </v>
      </c>
      <c r="FY81" s="355" t="str">
        <f t="shared" si="183"/>
        <v xml:space="preserve"> </v>
      </c>
      <c r="FZ81" s="361" t="str">
        <f t="shared" si="184"/>
        <v xml:space="preserve"> </v>
      </c>
      <c r="GA81" s="347" t="str">
        <f t="shared" si="185"/>
        <v xml:space="preserve"> </v>
      </c>
      <c r="GB81" s="355" t="str">
        <f t="shared" si="186"/>
        <v xml:space="preserve"> </v>
      </c>
      <c r="GC81" s="328" t="str">
        <f t="shared" si="187"/>
        <v xml:space="preserve"> </v>
      </c>
      <c r="GD81" s="361" t="str">
        <f t="shared" si="188"/>
        <v xml:space="preserve"> </v>
      </c>
      <c r="GE81" s="347" t="str">
        <f t="shared" si="189"/>
        <v xml:space="preserve"> </v>
      </c>
      <c r="GF81" s="361" t="str">
        <f t="shared" si="190"/>
        <v xml:space="preserve"> </v>
      </c>
      <c r="GG81" s="347" t="str">
        <f t="shared" si="191"/>
        <v xml:space="preserve"> </v>
      </c>
      <c r="GH81" s="364">
        <f t="shared" si="78"/>
        <v>0</v>
      </c>
      <c r="GI81" s="362">
        <f t="shared" si="192"/>
        <v>2</v>
      </c>
      <c r="GJ81" s="433" t="e">
        <f>IF(6-COUNTBLANK(GT81:GY81)=4,MATCH(MID(BO81,9,3),CLU!$H$16:$K$16),MATCH(MID(BO81,9,3),CLU!$H$13:$M$13))</f>
        <v>#N/A</v>
      </c>
      <c r="GK81" s="433" t="e">
        <f>HLOOKUP(VALUE(BP81),CLU!$H$9:$M$10,2)</f>
        <v>#VALUE!</v>
      </c>
      <c r="GL81" s="433" t="e">
        <f ca="1">MATCH(BU81,CLU!$H$2:$V$2,1)</f>
        <v>#VALUE!</v>
      </c>
      <c r="GM81" s="433" t="e">
        <f t="shared" ca="1" si="193"/>
        <v>#VALUE!</v>
      </c>
      <c r="GN81" s="433" t="e">
        <f t="shared" ca="1" si="194"/>
        <v>#VALUE!</v>
      </c>
      <c r="GO81" s="433" t="e">
        <f t="shared" ca="1" si="195"/>
        <v>#VALUE!</v>
      </c>
      <c r="GP81" s="433" t="e">
        <f t="shared" ca="1" si="196"/>
        <v>#VALUE!</v>
      </c>
      <c r="GQ81" s="433" t="e">
        <f t="shared" ca="1" si="197"/>
        <v>#VALUE!</v>
      </c>
      <c r="GR81" s="433" t="e">
        <f ca="1">MATCH(T81,INDIRECT(VLOOKUP(CONCATENATE(LEFT(BO81,7),"-",MID(BO81,13,1)),CLU!$P$3:$Q$16,2)),1)</f>
        <v>#N/A</v>
      </c>
      <c r="GS81" s="433" t="e">
        <f ca="1">MATCH(U81,INDIRECT(VLOOKUP(CONCATENATE(LEFT(BO81,7),"-",MID(BO81,13,1)),CLU!$P$3:$Q$16,2)),1)</f>
        <v>#N/A</v>
      </c>
      <c r="GT81" s="347" t="s">
        <v>512</v>
      </c>
      <c r="GU81" s="97" t="s">
        <v>513</v>
      </c>
      <c r="GV81" s="97" t="str">
        <f t="shared" si="198"/>
        <v>M23</v>
      </c>
      <c r="GW81" s="97" t="str">
        <f t="shared" si="199"/>
        <v>M31</v>
      </c>
      <c r="GX81" s="97" t="str">
        <f t="shared" si="200"/>
        <v/>
      </c>
      <c r="GY81" s="97" t="str">
        <f t="shared" si="201"/>
        <v/>
      </c>
      <c r="GZ81" s="481"/>
      <c r="HA81" s="288"/>
      <c r="HB81" s="240"/>
      <c r="HC81" s="240"/>
      <c r="HD81" s="240"/>
      <c r="HE81" s="240"/>
      <c r="HF81" s="240"/>
      <c r="HG81" s="240"/>
      <c r="HH81" s="240"/>
      <c r="HI81" s="240"/>
      <c r="HJ81" s="240"/>
      <c r="HK81" s="240"/>
      <c r="HL81" s="240"/>
      <c r="HM81" s="240"/>
      <c r="HN81" s="240"/>
      <c r="HO81" s="240"/>
      <c r="HP81" s="240"/>
      <c r="HQ81" s="240"/>
      <c r="HR81" s="240"/>
      <c r="HS81" s="240"/>
      <c r="HT81" s="240"/>
      <c r="HU81" s="240"/>
      <c r="HV81" s="245"/>
      <c r="HW81" s="245" t="b">
        <v>1</v>
      </c>
      <c r="HX81" s="245" t="str">
        <f t="shared" si="79"/>
        <v/>
      </c>
      <c r="HY81" s="245" t="e">
        <f t="shared" si="80"/>
        <v>#DIV/0!</v>
      </c>
      <c r="HZ81" s="245" t="e">
        <f t="shared" si="81"/>
        <v>#DIV/0!</v>
      </c>
      <c r="IA81" s="245">
        <f t="shared" si="82"/>
        <v>0</v>
      </c>
      <c r="IB81" s="245"/>
      <c r="IC81" t="b">
        <f t="shared" si="83"/>
        <v>1</v>
      </c>
      <c r="ID81" s="245" t="b">
        <f t="shared" si="84"/>
        <v>1</v>
      </c>
      <c r="IE81" s="245" t="b">
        <f t="shared" si="85"/>
        <v>1</v>
      </c>
      <c r="IF81" s="245" t="b">
        <f t="shared" si="86"/>
        <v>0</v>
      </c>
      <c r="IG81" s="245" t="b">
        <f t="shared" si="87"/>
        <v>1</v>
      </c>
      <c r="IH81" s="245" t="b">
        <f t="shared" si="88"/>
        <v>1</v>
      </c>
      <c r="II81" s="245">
        <f t="shared" si="202"/>
        <v>0</v>
      </c>
      <c r="IJ81" s="245" t="e">
        <f t="shared" si="89"/>
        <v>#VALUE!</v>
      </c>
      <c r="IK81" s="245" t="e">
        <f t="shared" si="90"/>
        <v>#VALUE!</v>
      </c>
      <c r="IL81" s="245"/>
      <c r="IM81" s="245" t="e">
        <f t="shared" si="203"/>
        <v>#N/A</v>
      </c>
      <c r="IN81" s="245" t="e">
        <f t="shared" si="204"/>
        <v>#N/A</v>
      </c>
      <c r="IO81" s="245"/>
      <c r="IP81" s="245"/>
      <c r="IQ81" s="245" t="str">
        <f t="shared" si="91"/>
        <v/>
      </c>
      <c r="IR81" s="245" t="str">
        <f>IF(J81="","",VLOOKUP(J81,Worksheet!$R$4:$T$14,2))</f>
        <v/>
      </c>
      <c r="IS81" s="245"/>
      <c r="IT81" s="245">
        <f t="shared" si="92"/>
        <v>0</v>
      </c>
      <c r="IU81" s="245">
        <f t="shared" si="93"/>
        <v>0</v>
      </c>
      <c r="IV81" s="245">
        <f t="shared" si="94"/>
        <v>0</v>
      </c>
      <c r="IW81" s="245">
        <f t="shared" si="95"/>
        <v>0</v>
      </c>
      <c r="IX81" s="245">
        <f t="shared" si="205"/>
        <v>0</v>
      </c>
      <c r="IY81" s="245">
        <f t="shared" si="96"/>
        <v>0</v>
      </c>
      <c r="IZ81" s="245">
        <f t="shared" si="97"/>
        <v>0</v>
      </c>
      <c r="JA81">
        <f t="shared" si="98"/>
        <v>0</v>
      </c>
      <c r="JB81">
        <f t="shared" si="206"/>
        <v>0</v>
      </c>
      <c r="JC81">
        <f t="shared" si="99"/>
        <v>0</v>
      </c>
      <c r="JD81">
        <f t="shared" si="100"/>
        <v>0</v>
      </c>
      <c r="JE81">
        <f t="shared" si="101"/>
        <v>0</v>
      </c>
      <c r="JF81">
        <f t="shared" si="102"/>
        <v>0</v>
      </c>
      <c r="JG81">
        <f t="shared" si="103"/>
        <v>0</v>
      </c>
      <c r="JH81">
        <f t="shared" si="104"/>
        <v>0</v>
      </c>
      <c r="JI81">
        <f t="shared" si="105"/>
        <v>0</v>
      </c>
      <c r="JJ81" s="447">
        <f t="shared" si="106"/>
        <v>0</v>
      </c>
      <c r="JK81" s="447">
        <f t="shared" si="107"/>
        <v>0</v>
      </c>
      <c r="JL81">
        <f t="shared" si="108"/>
        <v>0</v>
      </c>
      <c r="JM81" s="245" t="str">
        <f>IFERROR(VLOOKUP(MATCH(BN81,#REF!,0),#REF!,7),"")</f>
        <v/>
      </c>
      <c r="JN81" t="e">
        <f>HLOOKUP(LEFT(BO81,7),Discharge_Area,MATCH(JO81,LookUps!$B$130:$B$149,1)+2)</f>
        <v>#N/A</v>
      </c>
      <c r="JO81" t="str">
        <f t="shared" si="109"/>
        <v>- S</v>
      </c>
      <c r="JP81" t="e">
        <f>HLOOKUP(LEFT(BO81,7),Discharge_Area,MATCH(JO81,LookUps!$B$130:$B$149,1)+2)</f>
        <v>#N/A</v>
      </c>
      <c r="JQ81" t="e">
        <f t="shared" si="110"/>
        <v>#N/A</v>
      </c>
      <c r="JR81" t="e">
        <f t="shared" si="111"/>
        <v>#N/A</v>
      </c>
      <c r="JS81" t="e">
        <f t="shared" si="112"/>
        <v>#N/A</v>
      </c>
      <c r="JT81" s="532" t="str">
        <f t="shared" si="113"/>
        <v xml:space="preserve"> </v>
      </c>
      <c r="JU81" s="532" t="str">
        <f t="shared" si="114"/>
        <v xml:space="preserve"> </v>
      </c>
      <c r="JV81" s="533" t="str">
        <f t="shared" si="115"/>
        <v xml:space="preserve"> </v>
      </c>
      <c r="JW81" s="534">
        <f t="shared" si="116"/>
        <v>0</v>
      </c>
      <c r="JX81" s="535" t="str">
        <f t="shared" si="207"/>
        <v xml:space="preserve"> </v>
      </c>
      <c r="JY81" s="535" t="str">
        <f t="shared" si="208"/>
        <v xml:space="preserve"> </v>
      </c>
      <c r="JZ81" s="535" t="str">
        <f t="shared" si="209"/>
        <v xml:space="preserve"> </v>
      </c>
      <c r="KA81" s="536" t="str">
        <f t="shared" si="117"/>
        <v xml:space="preserve"> </v>
      </c>
      <c r="KB81" s="535" t="e">
        <f t="shared" si="210"/>
        <v>#VALUE!</v>
      </c>
      <c r="KC81" s="535" t="str">
        <f t="shared" si="118"/>
        <v/>
      </c>
      <c r="KD81" s="537" t="str">
        <f t="shared" si="211"/>
        <v xml:space="preserve"> </v>
      </c>
      <c r="KE81" s="537" t="str">
        <f t="shared" si="212"/>
        <v xml:space="preserve"> </v>
      </c>
      <c r="KF81" s="534">
        <f t="shared" si="119"/>
        <v>0</v>
      </c>
      <c r="KG81" s="535" t="str">
        <f t="shared" si="120"/>
        <v xml:space="preserve"> </v>
      </c>
      <c r="KH81" s="535" t="str">
        <f t="shared" si="121"/>
        <v xml:space="preserve"> </v>
      </c>
      <c r="KI81" s="535" t="str">
        <f t="shared" si="122"/>
        <v xml:space="preserve"> </v>
      </c>
      <c r="KJ81" s="536" t="str">
        <f t="shared" si="123"/>
        <v xml:space="preserve"> </v>
      </c>
      <c r="KK81" s="535" t="str">
        <f t="shared" si="213"/>
        <v xml:space="preserve"> </v>
      </c>
      <c r="KL81" s="535" t="str">
        <f t="shared" si="214"/>
        <v xml:space="preserve"> </v>
      </c>
      <c r="KM81" s="537" t="str">
        <f t="shared" si="124"/>
        <v xml:space="preserve"> </v>
      </c>
      <c r="KN81" s="537" t="str">
        <f t="shared" si="215"/>
        <v xml:space="preserve"> </v>
      </c>
      <c r="KP81">
        <f t="shared" si="125"/>
        <v>0</v>
      </c>
      <c r="LA81" t="e">
        <f t="shared" si="126"/>
        <v>#VALUE!</v>
      </c>
      <c r="LB81" t="e">
        <f t="shared" si="127"/>
        <v>#VALUE!</v>
      </c>
      <c r="LC81" t="e">
        <f t="shared" si="128"/>
        <v>#VALUE!</v>
      </c>
      <c r="LD81" t="e">
        <f t="shared" si="129"/>
        <v>#VALUE!</v>
      </c>
      <c r="LE81" t="e">
        <f t="shared" si="216"/>
        <v>#VALUE!</v>
      </c>
      <c r="LF81">
        <f t="shared" si="130"/>
        <v>0</v>
      </c>
      <c r="LG81" t="e">
        <f t="shared" si="217"/>
        <v>#VALUE!</v>
      </c>
      <c r="LH81" t="str">
        <f t="shared" si="131"/>
        <v xml:space="preserve"> </v>
      </c>
      <c r="LI81">
        <f t="shared" si="218"/>
        <v>1</v>
      </c>
    </row>
    <row r="82" spans="2:321" ht="15" customHeight="1">
      <c r="B82" s="311"/>
      <c r="C82" s="311"/>
      <c r="D82" s="312"/>
      <c r="E82" s="311"/>
      <c r="F82" s="312"/>
      <c r="G82" s="311"/>
      <c r="H82" s="311"/>
      <c r="I82" s="37"/>
      <c r="J82" s="311"/>
      <c r="K82" s="305" t="str">
        <f t="shared" si="132"/>
        <v/>
      </c>
      <c r="L82" s="313"/>
      <c r="M82" s="312"/>
      <c r="N82" s="311"/>
      <c r="O82" s="312"/>
      <c r="P82" s="311"/>
      <c r="Q82" s="305" t="str">
        <f t="shared" si="133"/>
        <v/>
      </c>
      <c r="R82" s="314"/>
      <c r="S82" s="450" t="str">
        <f t="shared" si="0"/>
        <v/>
      </c>
      <c r="T82" s="315"/>
      <c r="U82" s="315"/>
      <c r="W82" s="149" t="str">
        <f t="shared" si="1"/>
        <v xml:space="preserve"> </v>
      </c>
      <c r="X82" s="243" t="str">
        <f t="shared" si="2"/>
        <v xml:space="preserve"> </v>
      </c>
      <c r="Y82" s="150" t="str">
        <f t="shared" si="3"/>
        <v/>
      </c>
      <c r="Z82" s="149" t="str">
        <f t="shared" si="4"/>
        <v xml:space="preserve"> </v>
      </c>
      <c r="AA82" s="98" t="str">
        <f t="shared" si="5"/>
        <v xml:space="preserve"> </v>
      </c>
      <c r="AB82" s="153" t="str">
        <f t="shared" si="6"/>
        <v xml:space="preserve"> </v>
      </c>
      <c r="AC82" s="153" t="str">
        <f t="shared" si="7"/>
        <v xml:space="preserve"> </v>
      </c>
      <c r="AD82" s="148" t="str">
        <f t="shared" si="8"/>
        <v/>
      </c>
      <c r="AE82" s="149" t="str">
        <f t="shared" si="9"/>
        <v/>
      </c>
      <c r="AF82" s="151" t="str">
        <f t="shared" si="10"/>
        <v xml:space="preserve"> </v>
      </c>
      <c r="AG82" s="153" t="str">
        <f t="shared" si="11"/>
        <v xml:space="preserve"> </v>
      </c>
      <c r="AH82" s="98" t="str">
        <f t="shared" si="12"/>
        <v xml:space="preserve"> </v>
      </c>
      <c r="AI82" s="149" t="str">
        <f t="shared" si="13"/>
        <v xml:space="preserve"> </v>
      </c>
      <c r="AK82" s="144" t="str">
        <f t="shared" si="14"/>
        <v xml:space="preserve"> </v>
      </c>
      <c r="AL82" s="144"/>
      <c r="AM82" s="243" t="str">
        <f t="shared" si="15"/>
        <v xml:space="preserve"> </v>
      </c>
      <c r="AN82" s="149" t="str">
        <f t="shared" si="134"/>
        <v xml:space="preserve"> </v>
      </c>
      <c r="AO82" s="144" t="str">
        <f>IF(JB82&gt;0,IF(GI82=10,-R82*1.085*(Calculation!$F$6-Calculation!$F$13)*$S$14," "),"")</f>
        <v/>
      </c>
      <c r="AP82" s="144" t="str">
        <f t="shared" si="16"/>
        <v/>
      </c>
      <c r="AQ82" s="56" t="str">
        <f t="shared" si="17"/>
        <v/>
      </c>
      <c r="AR82" s="144" t="str">
        <f t="shared" si="18"/>
        <v/>
      </c>
      <c r="AS82" s="176" t="str">
        <f t="shared" si="19"/>
        <v/>
      </c>
      <c r="AT82" s="176" t="str">
        <f t="shared" si="135"/>
        <v xml:space="preserve"> </v>
      </c>
      <c r="AU82" s="176" t="str">
        <f t="shared" si="20"/>
        <v/>
      </c>
      <c r="AV82" s="177" t="str">
        <f t="shared" si="21"/>
        <v xml:space="preserve"> </v>
      </c>
      <c r="AW82" s="144" t="str">
        <f t="shared" si="22"/>
        <v xml:space="preserve"> </v>
      </c>
      <c r="AX82" s="144" t="str">
        <f t="shared" si="23"/>
        <v xml:space="preserve"> </v>
      </c>
      <c r="AY82" s="152" t="str">
        <f t="shared" si="24"/>
        <v xml:space="preserve"> </v>
      </c>
      <c r="AZ82" s="246" t="str">
        <f t="shared" si="25"/>
        <v/>
      </c>
      <c r="BA82" s="176" t="str">
        <f t="shared" si="26"/>
        <v xml:space="preserve"> </v>
      </c>
      <c r="BB82" s="176" t="str">
        <f t="shared" si="27"/>
        <v xml:space="preserve"> </v>
      </c>
      <c r="BC82" s="195"/>
      <c r="BD82" s="316"/>
      <c r="BE82" s="317"/>
      <c r="BF82" s="318"/>
      <c r="BG82" s="318"/>
      <c r="BH82" s="144" t="str">
        <f t="shared" si="219"/>
        <v xml:space="preserve"> </v>
      </c>
      <c r="BI82" s="176" t="str">
        <f t="shared" si="28"/>
        <v/>
      </c>
      <c r="BJ82" s="144" t="str">
        <f t="shared" si="220"/>
        <v/>
      </c>
      <c r="BK82" s="246" t="str">
        <f t="shared" si="29"/>
        <v/>
      </c>
      <c r="BL82" s="144" t="str">
        <f t="shared" si="221"/>
        <v/>
      </c>
      <c r="BM82" s="246" t="str">
        <f t="shared" si="30"/>
        <v/>
      </c>
      <c r="BN82" s="337" t="str">
        <f t="shared" si="136"/>
        <v/>
      </c>
      <c r="BO82" s="371" t="str">
        <f t="shared" si="137"/>
        <v/>
      </c>
      <c r="BP82" s="328" t="str">
        <f t="shared" si="222"/>
        <v xml:space="preserve"> </v>
      </c>
      <c r="BQ82" s="347" t="str">
        <f t="shared" si="138"/>
        <v xml:space="preserve"> </v>
      </c>
      <c r="BR82" s="353" t="str">
        <f t="shared" si="223"/>
        <v xml:space="preserve"> </v>
      </c>
      <c r="BS82" s="626" t="str">
        <f>IF(L82&gt;0,IF(Calculation!P82="M13",BR82*3.1416*(0.134^2)/(4*144),IF(Calculation!P82="M17",BR82*3.1416*(0.165^2)/(4*144),IF(Calculation!P82="M20",BR82*3.1416*(0.198^2)/(4*144),IF(Calculation!P82="M23",BR82*3.1416*(0.228^2)/(4*144),IF(Calculation!P82="M27",BR82*3.1416*(0.269^2)/(4*144),BR82*3.1416*(0.307^2)/(4*144))))))," ")</f>
        <v xml:space="preserve"> </v>
      </c>
      <c r="BT82" s="353" t="str">
        <f>IF(L82&gt;0,IF(BS82&gt;0,R82/Calculation!BS82,0)," ")</f>
        <v xml:space="preserve"> </v>
      </c>
      <c r="BU82" s="438" t="e">
        <f t="shared" ca="1" si="31"/>
        <v>#VALUE!</v>
      </c>
      <c r="BV82" s="449" t="e">
        <f ca="1">INDEX(INDIRECT(VLOOKUP(LEFT(BO82,7),CLU!$Z$3:$AH$18,2)),GN82,GR82)</f>
        <v>#N/A</v>
      </c>
      <c r="BW82" s="433" t="e">
        <f ca="1">INDEX(INDIRECT(VLOOKUP(LEFT(BO82,7),CLU!$Z$3:$AH$18,3)),GN82,GR82)</f>
        <v>#N/A</v>
      </c>
      <c r="BX82" s="433" t="e">
        <f ca="1">INDEX(INDIRECT(VLOOKUP(LEFT(BO82,7),CLU!$Z$3:$AH$18,4)),GN82,GR82)</f>
        <v>#N/A</v>
      </c>
      <c r="BY82" s="433" t="e">
        <f ca="1">INDEX(INDIRECT(VLOOKUP(LEFT(BO82,7),CLU!$Z$3:$AH$18,9)),((M82-2)*(6-COUNTBLANK(GT82:GY82)))+GJ82)</f>
        <v>#N/A</v>
      </c>
      <c r="BZ82" s="426" t="e">
        <f t="shared" ca="1" si="139"/>
        <v>#N/A</v>
      </c>
      <c r="CA82" s="424" t="e">
        <f t="shared" ca="1" si="140"/>
        <v>#N/A</v>
      </c>
      <c r="CB82" s="429" t="e">
        <f ca="1">INDEX(INDIRECT(VLOOKUP(LEFT(BO82,7),CLU!$Z$3:$AH$18,2)),GN82,GS82)</f>
        <v>#N/A</v>
      </c>
      <c r="CC82" s="342" t="e">
        <f ca="1">INDEX(INDIRECT(VLOOKUP(LEFT(BO82,7),CLU!$Z$3:$AH$18,3)),GN82,GS82)</f>
        <v>#N/A</v>
      </c>
      <c r="CD82" s="342" t="e">
        <f ca="1">INDEX(INDIRECT(VLOOKUP(LEFT(BO82,7),CLU!$Z$3:$AH$18,4)),GN82,GS82)</f>
        <v>#N/A</v>
      </c>
      <c r="CE82" s="426" t="e">
        <f t="shared" ca="1" si="141"/>
        <v>#N/A</v>
      </c>
      <c r="CF82" s="440">
        <f t="shared" si="142"/>
        <v>0</v>
      </c>
      <c r="CG82" s="431" t="e">
        <f ca="1">INDEX(INDIRECT(VLOOKUP(LEFT(BO82,7),CLU!$Z$3:$AH$18,2)),GQ82,GR82)</f>
        <v>#N/A</v>
      </c>
      <c r="CH82" s="431" t="e">
        <f ca="1">INDEX(INDIRECT(VLOOKUP(LEFT(BO82,7),CLU!$Z$3:$AH$18,3)),GQ82,GR82)</f>
        <v>#N/A</v>
      </c>
      <c r="CI82" s="431" t="e">
        <f ca="1">INDEX(INDIRECT(VLOOKUP(LEFT(BO82,7),CLU!$Z$3:$AH$18,4)),GQ82,GR82)</f>
        <v>#N/A</v>
      </c>
      <c r="CJ82" s="448" t="e">
        <f t="shared" ca="1" si="143"/>
        <v>#N/A</v>
      </c>
      <c r="CK82" s="431" t="e">
        <f t="shared" ca="1" si="144"/>
        <v>#N/A</v>
      </c>
      <c r="CL82" s="440" t="e">
        <f t="shared" ca="1" si="145"/>
        <v>#N/A</v>
      </c>
      <c r="CM82" s="431" t="e">
        <f ca="1">INDEX(INDIRECT(VLOOKUP(LEFT(BO82,7),CLU!$Z$3:$AH$18,2)),GQ82,GS82)</f>
        <v>#N/A</v>
      </c>
      <c r="CN82" s="431" t="e">
        <f ca="1">INDEX(INDIRECT(VLOOKUP(LEFT(BO82,7),CLU!$Z$3:$AH$18,3)),GQ82,GS82)</f>
        <v>#N/A</v>
      </c>
      <c r="CO82" s="431" t="e">
        <f ca="1">INDEX(INDIRECT(VLOOKUP(LEFT(BO82,7),CLU!$Z$3:$AH$18,4)),GQ82,GS82)</f>
        <v>#N/A</v>
      </c>
      <c r="CP82" s="431" t="e">
        <f t="shared" ca="1" si="146"/>
        <v>#N/A</v>
      </c>
      <c r="CQ82" s="440">
        <f t="shared" si="147"/>
        <v>0</v>
      </c>
      <c r="CR82" s="51" t="e">
        <f t="shared" ca="1" si="148"/>
        <v>#N/A</v>
      </c>
      <c r="CS82" s="439" t="e">
        <f t="shared" ca="1" si="149"/>
        <v>#VALUE!</v>
      </c>
      <c r="CT82" s="51" t="e">
        <f t="shared" ca="1" si="150"/>
        <v>#VALUE!</v>
      </c>
      <c r="CU82" s="10"/>
      <c r="CV82" s="51" t="e">
        <f t="shared" ca="1" si="34"/>
        <v>#VALUE!</v>
      </c>
      <c r="CW82" s="51">
        <f t="shared" si="151"/>
        <v>0</v>
      </c>
      <c r="CX82" s="439" t="e">
        <f t="shared" ca="1" si="152"/>
        <v>#VALUE!</v>
      </c>
      <c r="CY82" s="51" t="e">
        <f t="shared" ca="1" si="153"/>
        <v>#VALUE!</v>
      </c>
      <c r="CZ82" s="10"/>
      <c r="DA82" s="51" t="e">
        <f t="shared" ca="1" si="154"/>
        <v>#VALUE!</v>
      </c>
      <c r="DB82" s="347" t="e">
        <f ca="1">INDEX(INDIRECT(VLOOKUP(LEFT(BO82,7),CLU!$Z$3:$AI$18,10)),((M82-2)*(6-COUNTBLANK(GT82:GY82)))+GJ82)*LI82</f>
        <v>#N/A</v>
      </c>
      <c r="DC82" s="347" t="str">
        <f>IF(L82&gt;0,((R82/Worksheet!$I$15)/DB82)^2," ")</f>
        <v xml:space="preserve"> </v>
      </c>
      <c r="DD82" s="602" t="str">
        <f t="shared" si="224"/>
        <v xml:space="preserve"> </v>
      </c>
      <c r="DE82" s="347" t="str">
        <f t="shared" si="35"/>
        <v xml:space="preserve"> </v>
      </c>
      <c r="DF82" s="356" t="e">
        <f ca="1">INDEX(INDIRECT(VLOOKUP(LEFT(BO82,7),CLU!$Z$3:$AH$18,8)),((M82-2)*(6-COUNTBLANK(GT82:GY82)))+GJ82)</f>
        <v>#N/A</v>
      </c>
      <c r="DG82" s="347" t="str">
        <f t="shared" si="36"/>
        <v xml:space="preserve"> </v>
      </c>
      <c r="DH82" s="357" t="str">
        <f t="shared" si="37"/>
        <v xml:space="preserve"> </v>
      </c>
      <c r="DI82" s="355" t="str">
        <f t="shared" si="38"/>
        <v xml:space="preserve"> </v>
      </c>
      <c r="DJ82" s="245" t="e">
        <f ca="1">INDEX(INDIRECT(VLOOKUP(LEFT(BO82,7),CLU!$Z$3:$AH$18,5)),GL82,GK82)</f>
        <v>#N/A</v>
      </c>
      <c r="DK82" s="245" t="e">
        <f ca="1">INDEX(INDIRECT(VLOOKUP(LEFT(BO82,7),CLU!$Z$3:$AH$18,6)),GL82,GK82)</f>
        <v>#N/A</v>
      </c>
      <c r="DL82" s="355">
        <f>(Calculation!R82*0.69143*(Calculation!$BQ$8-Calculation!$F$8))*$S$14</f>
        <v>0</v>
      </c>
      <c r="DM82" s="359" t="e">
        <f t="shared" si="160"/>
        <v>#VALUE!</v>
      </c>
      <c r="DN82" s="611">
        <f t="shared" si="161"/>
        <v>0</v>
      </c>
      <c r="DO82" s="359">
        <f t="shared" si="162"/>
        <v>100</v>
      </c>
      <c r="DP82" s="359">
        <f t="shared" si="163"/>
        <v>0</v>
      </c>
      <c r="DQ82" s="360"/>
      <c r="DR82" s="245" t="e">
        <f ca="1">INDEX(INDIRECT(VLOOKUP(LEFT(BO82,7),CLU!$Z$3:$AH$18,7)),M82-1,1)</f>
        <v>#N/A</v>
      </c>
      <c r="DS82" s="245" t="e">
        <f ca="1">INDEX(INDIRECT(VLOOKUP(LEFT(BO82,7),CLU!$Z$3:$AH$18,7)),M82-1,2)</f>
        <v>#N/A</v>
      </c>
      <c r="DT82" s="245" t="e">
        <f ca="1">INDEX(INDIRECT(VLOOKUP(LEFT(BO82,7),CLU!$Z$3:$AH$18,7)),M82-1,3)</f>
        <v>#N/A</v>
      </c>
      <c r="DU82" s="245" t="e">
        <f ca="1">INDEX(INDIRECT(VLOOKUP(LEFT(BO82,7),CLU!$Z$3:$AH$18,7)),M82-1,4)</f>
        <v>#N/A</v>
      </c>
      <c r="DV82" s="361" t="e">
        <f ca="1">INDEX(INDIRECT(VLOOKUP(LEFT(BO82,7),CLU!$Z$3:$AH$18,7)),M82-1,4+LEFT(DZ82,1)*0.5)</f>
        <v>#N/A</v>
      </c>
      <c r="DW82" s="245" t="e">
        <f ca="1">INDEX(INDIRECT(VLOOKUP(LEFT(BO82,7),CLU!$Z$3:$AH$18,7)),M82-1,8)</f>
        <v>#N/A</v>
      </c>
      <c r="DX82" s="361" t="str">
        <f t="shared" si="39"/>
        <v xml:space="preserve"> </v>
      </c>
      <c r="DY82" s="361" t="str">
        <f t="shared" si="40"/>
        <v xml:space="preserve"> </v>
      </c>
      <c r="DZ82" s="361" t="str">
        <f t="shared" si="41"/>
        <v xml:space="preserve"> </v>
      </c>
      <c r="EA82" s="362" t="str">
        <f t="shared" si="42"/>
        <v xml:space="preserve"> </v>
      </c>
      <c r="EB82" s="624" t="str">
        <f t="shared" si="168"/>
        <v xml:space="preserve"> </v>
      </c>
      <c r="EC82" s="361" t="e">
        <f ca="1">INDEX(INDIRECT(VLOOKUP(LEFT(BO82,7),CLU!$Z$3:$AH$18,7)),M82-1,4+LEFT(DZ82,1)*0.5)</f>
        <v>#N/A</v>
      </c>
      <c r="ED82" s="362" t="str">
        <f t="shared" si="43"/>
        <v xml:space="preserve"> </v>
      </c>
      <c r="EE82" s="361" t="str">
        <f t="shared" si="44"/>
        <v xml:space="preserve"> </v>
      </c>
      <c r="EF82" s="362" t="str">
        <f>IF(L82&gt;0,IF(BR82&gt;0,IF(EE82="2P",IF(Calculation!DZ82="2P",IF(Calculation!DS82=13.75,IF(Calculation!DR82=13,Worksheet!$BD$43,IF(Calculation!DR82=37,Worksheet!$BD$44,Worksheet!$BD$45)),IF(Calculation!DS82=10,IF(Calculation!DR82=18,Worksheet!$BD$29,IF(Calculation!DR82=30,Worksheet!$BD$30,IF(Calculation!DR82=42,Worksheet!$BD$31,IF(Calculation!DR82=54,Worksheet!$BD$32,IF(Calculation!DR82=66,Worksheet!$BD$33,IF(Calculation!DR82=78,Worksheet!$BD$34,IF(Calculation!DR82=90,Worksheet!$BD$35,IF(Calculation!DR82=102,Worksheet!$BD$36,Worksheet!$BD$37)))))))),IF(Calculation!DS82=12.5,IF(Calculation!DR82=18,Worksheet!$BD$38,IF(Calculation!DR82=Worksheet!$BD$39,IF(Calculation!DR82=42,Worksheet!$BD$40,IF(Calculation!DR82=54,Worksheet!$BD$41,Worksheet!$BD$42)))),IF(Calculation!DR82=18,Worksheet!$BD$11,IF(Calculation!DR82=30,Worksheet!$BD$12,IF(Calculation!DR82=42,Worksheet!$BD$13,IF(Calculation!DR82=54,Worksheet!$BD$14,IF(Calculation!DR82=66,Worksheet!$BD$15,IF(Calculation!DR82=78,Worksheet!$BD$16,IF(Calculation!DR82=90,Worksheet!$BD$17,IF(Calculation!DR82=102,Worksheet!$BD$18,Worksheet!$BD$19))))))))))),IF(Calculation!DS82=13.75,IF(Calculation!DR82=13,Worksheet!$BD$78,IF(Calculation!DR82=37,Worksheet!$BD$79,Worksheet!$BD$80)),IF(Calculation!DS82=10,IF(Calculation!DR82=18,Worksheet!$BD$64,IF(Calculation!DR82=30,Worksheet!$BD$65,IF(Calculation!DR82=42,Worksheet!$BD$66,IF(Calculation!DR82=54,Worksheet!$BD$68,IF(Calculation!DR82=66,Worksheet!$BD$68,IF(Calculation!DR82=78,Worksheet!$BD$69,IF(Calculation!DR82=90,Worksheet!$BD$70,IF(Calculation!DR82=102,Worksheet!$BD$71,Worksheet!$BD$72)))))))),IF(Calculation!DS82=12.5,IF(Calculation!DR82=18,Worksheet!$BD$73,IF(Calculation!DR82=Worksheet!$BD$74,IF(Calculation!DR82=42,Worksheet!$BD$75,IF(Calculation!DR82=54,Worksheet!$BD$76,Worksheet!$BD$77)))),IF(Calculation!DR82=18,Worksheet!$BD$55,IF(Calculation!DR82=30,Worksheet!$BD$56,IF(Calculation!DR82=42,Worksheet!$BD$57,IF(Calculation!DR82=54,Worksheet!$BD$58,IF(Calculation!DR82=66,Worksheet!$BD$59,IF(Calculation!DR82=78,Worksheet!$BD$60,IF(Calculation!DR82=90,Worksheet!$BD$61,IF(Calculation!DR82=102,Worksheet!$BD$62,Worksheet!$BD$63)))))))))))),5),0)," ")</f>
        <v xml:space="preserve"> </v>
      </c>
      <c r="EG82" s="361" t="str">
        <f t="shared" si="45"/>
        <v xml:space="preserve"> </v>
      </c>
      <c r="EH82" s="361" t="e">
        <f ca="1">INDEX(INDIRECT(VLOOKUP(LEFT(BO82,7),CLU!$Z$3:$AH$18,7)),M82-1,3+LEFT(DZ82,1))</f>
        <v>#N/A</v>
      </c>
      <c r="EI82" s="362" t="str">
        <f t="shared" si="46"/>
        <v xml:space="preserve"> </v>
      </c>
      <c r="EJ82" s="363" t="str">
        <f t="shared" si="47"/>
        <v xml:space="preserve"> </v>
      </c>
      <c r="EK82" s="363" t="str">
        <f t="shared" si="48"/>
        <v xml:space="preserve"> </v>
      </c>
      <c r="EL82" s="363" t="str">
        <f t="shared" si="49"/>
        <v xml:space="preserve"> </v>
      </c>
      <c r="EM82" s="362" t="str">
        <f>IF(L82&gt;0,IF(BR82&gt;0,(Calculation!T82/ED82)^2,0)," ")</f>
        <v xml:space="preserve"> </v>
      </c>
      <c r="EN82" s="362" t="str">
        <f>IF(L82&gt;0,IF(O82="2 Pipe (Cooling)","N/A",IF(BR82&gt;0,(Calculation!U82/EI82)^2,0))," ")</f>
        <v xml:space="preserve"> </v>
      </c>
      <c r="EO82" s="361" t="str">
        <f t="shared" si="50"/>
        <v/>
      </c>
      <c r="EP82" s="361" t="str">
        <f t="shared" si="51"/>
        <v/>
      </c>
      <c r="EQ82" s="361" t="str">
        <f t="shared" si="52"/>
        <v/>
      </c>
      <c r="ER82" s="361" t="str">
        <f t="shared" si="53"/>
        <v/>
      </c>
      <c r="ES82" s="361" t="str">
        <f t="shared" si="54"/>
        <v/>
      </c>
      <c r="ET82" s="361" t="str">
        <f t="shared" si="55"/>
        <v/>
      </c>
      <c r="EU82" s="361" t="str">
        <f t="shared" si="56"/>
        <v/>
      </c>
      <c r="EV82" s="361" t="str">
        <f t="shared" si="57"/>
        <v/>
      </c>
      <c r="EW82" s="361" t="str">
        <f t="shared" si="58"/>
        <v/>
      </c>
      <c r="EX82" s="361" t="str">
        <f t="shared" si="169"/>
        <v>1 slot, 1 way</v>
      </c>
      <c r="EY82" s="361" t="str">
        <f t="shared" si="170"/>
        <v xml:space="preserve"> </v>
      </c>
      <c r="EZ82" s="361" t="str">
        <f t="shared" si="171"/>
        <v xml:space="preserve"> </v>
      </c>
      <c r="FA82" s="361" t="str">
        <f t="shared" si="172"/>
        <v xml:space="preserve"> </v>
      </c>
      <c r="FB82" s="361" t="str">
        <f t="shared" si="173"/>
        <v xml:space="preserve"> </v>
      </c>
      <c r="FC82" s="361"/>
      <c r="FD82" s="361" t="str">
        <f>IF(J82&gt;0,IF(Calculation!R82&lt;=70,4,IF(Calculation!R82&lt;=110,5,IF(Calculation!R82&lt;=160,6,IF(Calculation!R82&lt;=300,8,"10 EO")))),"")</f>
        <v/>
      </c>
      <c r="FE82" s="361" t="str">
        <f t="shared" si="174"/>
        <v/>
      </c>
      <c r="FF82" s="361" t="str">
        <f t="shared" si="175"/>
        <v/>
      </c>
      <c r="FG82" s="361" t="e">
        <f t="shared" si="60"/>
        <v>#N/A</v>
      </c>
      <c r="FH82" s="361">
        <f t="shared" si="61"/>
        <v>0</v>
      </c>
      <c r="FI82" s="361" t="e">
        <f t="shared" si="62"/>
        <v>#DIV/0!</v>
      </c>
      <c r="FJ82" s="361"/>
      <c r="FK82" s="356" t="e">
        <f t="shared" si="63"/>
        <v>#VALUE!</v>
      </c>
      <c r="FL82" s="361"/>
      <c r="FM82" s="361"/>
      <c r="FN82" s="362" t="str">
        <f t="shared" si="176"/>
        <v xml:space="preserve"> </v>
      </c>
      <c r="FO82" s="362" t="str">
        <f t="shared" si="177"/>
        <v xml:space="preserve"> </v>
      </c>
      <c r="FP82" s="362">
        <f t="shared" si="178"/>
        <v>0</v>
      </c>
      <c r="FQ82" s="361">
        <f t="shared" si="64"/>
        <v>0</v>
      </c>
      <c r="FR82" s="362" t="str">
        <f>IF(L82&gt;0,IF(J82="CBAL2",Worksheet!$P$67,IF(J82="CBE2-24",Worksheet!$Q$67,IF(J82="CBAM",Worksheet!$R$67,IF(J82="CBLV",Worksheet!$S$67,IF(J82="CBAB",Worksheet!$U$67,IF(J82="CBAW",Worksheet!$X$67,IF(J82="CBE2-12",Worksheet!$Y$67,IF(J82="CBAL2",Worksheet!$Z$67,"N/A"))))))))," ")</f>
        <v xml:space="preserve"> </v>
      </c>
      <c r="FS82" s="362" t="str">
        <f>IF(L82&gt;0,IF(J82="CBAL2",Worksheet!$P$68,IF(J82="CBE2-24",Worksheet!$Q$68,IF(J82="CBAM",Worksheet!$R$68,IF(J82="CBLV",Worksheet!$S$68,IF(J82="CBAB",Worksheet!$U$68,IF(J82="CBAW",Worksheet!$X$68,IF(J82="CBE2-12",Worksheet!$Y$68,IF(J82="CBAL2",Worksheet!$Z$68,"N/A"))))))))," ")</f>
        <v xml:space="preserve"> </v>
      </c>
      <c r="FT82" s="362" t="str">
        <f>IF(L82&gt;0,IF(J82="CBAL2",Worksheet!$P$69,IF(J82="CBE2-24",Worksheet!$Q$69,IF(J82="CBAM",Worksheet!$R$69,IF(J82="CBLV",Worksheet!$S$69,IF(J82="CBAB",Worksheet!$U$69,IF(J82="CBAW",Worksheet!$X$69,IF(J82="CBE2-12",Worksheet!$Y$69,IF(J82="CBAL2",Worksheet!$Z$69,"N/A"))))))))," ")</f>
        <v xml:space="preserve"> </v>
      </c>
      <c r="FU82" s="361" t="str">
        <f t="shared" si="179"/>
        <v xml:space="preserve"> </v>
      </c>
      <c r="FV82" s="362" t="str">
        <f t="shared" si="180"/>
        <v xml:space="preserve"> </v>
      </c>
      <c r="FW82" s="362" t="str">
        <f t="shared" si="181"/>
        <v xml:space="preserve"> </v>
      </c>
      <c r="FX82" s="362" t="str">
        <f t="shared" si="182"/>
        <v xml:space="preserve"> </v>
      </c>
      <c r="FY82" s="355" t="str">
        <f t="shared" si="183"/>
        <v xml:space="preserve"> </v>
      </c>
      <c r="FZ82" s="361" t="str">
        <f t="shared" si="184"/>
        <v xml:space="preserve"> </v>
      </c>
      <c r="GA82" s="347" t="str">
        <f t="shared" si="185"/>
        <v xml:space="preserve"> </v>
      </c>
      <c r="GB82" s="355" t="str">
        <f t="shared" si="186"/>
        <v xml:space="preserve"> </v>
      </c>
      <c r="GC82" s="328" t="str">
        <f t="shared" si="187"/>
        <v xml:space="preserve"> </v>
      </c>
      <c r="GD82" s="361" t="str">
        <f t="shared" si="188"/>
        <v xml:space="preserve"> </v>
      </c>
      <c r="GE82" s="347" t="str">
        <f t="shared" si="189"/>
        <v xml:space="preserve"> </v>
      </c>
      <c r="GF82" s="361" t="str">
        <f t="shared" si="190"/>
        <v xml:space="preserve"> </v>
      </c>
      <c r="GG82" s="347" t="str">
        <f t="shared" si="191"/>
        <v xml:space="preserve"> </v>
      </c>
      <c r="GH82" s="364">
        <f t="shared" si="78"/>
        <v>0</v>
      </c>
      <c r="GI82" s="362">
        <f t="shared" si="192"/>
        <v>2</v>
      </c>
      <c r="GJ82" s="433" t="e">
        <f>IF(6-COUNTBLANK(GT82:GY82)=4,MATCH(MID(BO82,9,3),CLU!$H$16:$K$16),MATCH(MID(BO82,9,3),CLU!$H$13:$M$13))</f>
        <v>#N/A</v>
      </c>
      <c r="GK82" s="433" t="e">
        <f>HLOOKUP(VALUE(BP82),CLU!$H$9:$M$10,2)</f>
        <v>#VALUE!</v>
      </c>
      <c r="GL82" s="433" t="e">
        <f ca="1">MATCH(BU82,CLU!$H$2:$V$2,1)</f>
        <v>#VALUE!</v>
      </c>
      <c r="GM82" s="433" t="e">
        <f t="shared" ca="1" si="193"/>
        <v>#VALUE!</v>
      </c>
      <c r="GN82" s="433" t="e">
        <f t="shared" ca="1" si="194"/>
        <v>#VALUE!</v>
      </c>
      <c r="GO82" s="433" t="e">
        <f t="shared" ca="1" si="195"/>
        <v>#VALUE!</v>
      </c>
      <c r="GP82" s="433" t="e">
        <f t="shared" ca="1" si="196"/>
        <v>#VALUE!</v>
      </c>
      <c r="GQ82" s="433" t="e">
        <f t="shared" ca="1" si="197"/>
        <v>#VALUE!</v>
      </c>
      <c r="GR82" s="433" t="e">
        <f ca="1">MATCH(T82,INDIRECT(VLOOKUP(CONCATENATE(LEFT(BO82,7),"-",MID(BO82,13,1)),CLU!$P$3:$Q$16,2)),1)</f>
        <v>#N/A</v>
      </c>
      <c r="GS82" s="433" t="e">
        <f ca="1">MATCH(U82,INDIRECT(VLOOKUP(CONCATENATE(LEFT(BO82,7),"-",MID(BO82,13,1)),CLU!$P$3:$Q$16,2)),1)</f>
        <v>#N/A</v>
      </c>
      <c r="GT82" s="347" t="s">
        <v>512</v>
      </c>
      <c r="GU82" s="97" t="s">
        <v>513</v>
      </c>
      <c r="GV82" s="97" t="str">
        <f t="shared" si="198"/>
        <v>M23</v>
      </c>
      <c r="GW82" s="97" t="str">
        <f t="shared" si="199"/>
        <v>M31</v>
      </c>
      <c r="GX82" s="97" t="str">
        <f t="shared" si="200"/>
        <v/>
      </c>
      <c r="GY82" s="97" t="str">
        <f t="shared" si="201"/>
        <v/>
      </c>
      <c r="GZ82" s="481"/>
      <c r="HA82" s="288"/>
      <c r="HB82" s="240"/>
      <c r="HC82" s="240"/>
      <c r="HD82" s="240"/>
      <c r="HE82" s="240"/>
      <c r="HF82" s="240"/>
      <c r="HG82" s="240"/>
      <c r="HH82" s="240"/>
      <c r="HI82" s="240"/>
      <c r="HJ82" s="240"/>
      <c r="HK82" s="240"/>
      <c r="HL82" s="240"/>
      <c r="HM82" s="240"/>
      <c r="HN82" s="240"/>
      <c r="HO82" s="240"/>
      <c r="HP82" s="240"/>
      <c r="HQ82" s="240"/>
      <c r="HR82" s="240"/>
      <c r="HS82" s="240"/>
      <c r="HT82" s="240"/>
      <c r="HU82" s="240"/>
      <c r="HV82" s="245"/>
      <c r="HW82" s="245" t="b">
        <v>1</v>
      </c>
      <c r="HX82" s="245" t="str">
        <f t="shared" si="79"/>
        <v/>
      </c>
      <c r="HY82" s="245" t="e">
        <f t="shared" si="80"/>
        <v>#DIV/0!</v>
      </c>
      <c r="HZ82" s="245" t="e">
        <f t="shared" si="81"/>
        <v>#DIV/0!</v>
      </c>
      <c r="IA82" s="245">
        <f t="shared" si="82"/>
        <v>0</v>
      </c>
      <c r="IB82" s="245"/>
      <c r="IC82" t="b">
        <f t="shared" si="83"/>
        <v>1</v>
      </c>
      <c r="ID82" s="245" t="b">
        <f t="shared" si="84"/>
        <v>1</v>
      </c>
      <c r="IE82" s="245" t="b">
        <f t="shared" si="85"/>
        <v>1</v>
      </c>
      <c r="IF82" s="245" t="b">
        <f t="shared" si="86"/>
        <v>0</v>
      </c>
      <c r="IG82" s="245" t="b">
        <f t="shared" si="87"/>
        <v>1</v>
      </c>
      <c r="IH82" s="245" t="b">
        <f t="shared" si="88"/>
        <v>1</v>
      </c>
      <c r="II82" s="245">
        <f t="shared" si="202"/>
        <v>0</v>
      </c>
      <c r="IJ82" s="245" t="e">
        <f t="shared" si="89"/>
        <v>#VALUE!</v>
      </c>
      <c r="IK82" s="245" t="e">
        <f t="shared" si="90"/>
        <v>#VALUE!</v>
      </c>
      <c r="IL82" s="245"/>
      <c r="IM82" s="245" t="e">
        <f t="shared" si="203"/>
        <v>#N/A</v>
      </c>
      <c r="IN82" s="245" t="e">
        <f t="shared" si="204"/>
        <v>#N/A</v>
      </c>
      <c r="IO82" s="245"/>
      <c r="IP82" s="245"/>
      <c r="IQ82" s="245" t="str">
        <f t="shared" si="91"/>
        <v/>
      </c>
      <c r="IR82" s="245" t="str">
        <f>IF(J82="","",VLOOKUP(J82,Worksheet!$R$4:$T$14,2))</f>
        <v/>
      </c>
      <c r="IS82" s="245"/>
      <c r="IT82" s="245">
        <f t="shared" si="92"/>
        <v>0</v>
      </c>
      <c r="IU82" s="245">
        <f t="shared" si="93"/>
        <v>0</v>
      </c>
      <c r="IV82" s="245">
        <f t="shared" si="94"/>
        <v>0</v>
      </c>
      <c r="IW82" s="245">
        <f t="shared" si="95"/>
        <v>0</v>
      </c>
      <c r="IX82" s="245">
        <f t="shared" si="205"/>
        <v>0</v>
      </c>
      <c r="IY82" s="245">
        <f t="shared" si="96"/>
        <v>0</v>
      </c>
      <c r="IZ82" s="245">
        <f t="shared" si="97"/>
        <v>0</v>
      </c>
      <c r="JA82">
        <f t="shared" si="98"/>
        <v>0</v>
      </c>
      <c r="JB82">
        <f t="shared" si="206"/>
        <v>0</v>
      </c>
      <c r="JC82">
        <f t="shared" si="99"/>
        <v>0</v>
      </c>
      <c r="JD82">
        <f t="shared" si="100"/>
        <v>0</v>
      </c>
      <c r="JE82">
        <f t="shared" si="101"/>
        <v>0</v>
      </c>
      <c r="JF82">
        <f t="shared" si="102"/>
        <v>0</v>
      </c>
      <c r="JG82">
        <f t="shared" si="103"/>
        <v>0</v>
      </c>
      <c r="JH82">
        <f t="shared" si="104"/>
        <v>0</v>
      </c>
      <c r="JI82">
        <f t="shared" si="105"/>
        <v>0</v>
      </c>
      <c r="JJ82" s="447">
        <f t="shared" si="106"/>
        <v>0</v>
      </c>
      <c r="JK82" s="447">
        <f t="shared" si="107"/>
        <v>0</v>
      </c>
      <c r="JL82">
        <f t="shared" si="108"/>
        <v>0</v>
      </c>
      <c r="JM82" s="245" t="str">
        <f>IFERROR(VLOOKUP(MATCH(BN82,#REF!,0),#REF!,7),"")</f>
        <v/>
      </c>
      <c r="JN82" t="e">
        <f>HLOOKUP(LEFT(BO82,7),Discharge_Area,MATCH(JO82,LookUps!$B$130:$B$149,1)+2)</f>
        <v>#N/A</v>
      </c>
      <c r="JO82" t="str">
        <f t="shared" si="109"/>
        <v>- S</v>
      </c>
      <c r="JP82" t="e">
        <f>HLOOKUP(LEFT(BO82,7),Discharge_Area,MATCH(JO82,LookUps!$B$130:$B$149,1)+2)</f>
        <v>#N/A</v>
      </c>
      <c r="JQ82" t="e">
        <f t="shared" si="110"/>
        <v>#N/A</v>
      </c>
      <c r="JR82" t="e">
        <f t="shared" si="111"/>
        <v>#N/A</v>
      </c>
      <c r="JS82" t="e">
        <f t="shared" si="112"/>
        <v>#N/A</v>
      </c>
      <c r="JT82" s="532" t="str">
        <f t="shared" si="113"/>
        <v xml:space="preserve"> </v>
      </c>
      <c r="JU82" s="532" t="str">
        <f t="shared" si="114"/>
        <v xml:space="preserve"> </v>
      </c>
      <c r="JV82" s="533" t="str">
        <f t="shared" si="115"/>
        <v xml:space="preserve"> </v>
      </c>
      <c r="JW82" s="534">
        <f t="shared" si="116"/>
        <v>0</v>
      </c>
      <c r="JX82" s="535" t="str">
        <f t="shared" si="207"/>
        <v xml:space="preserve"> </v>
      </c>
      <c r="JY82" s="535" t="str">
        <f t="shared" si="208"/>
        <v xml:space="preserve"> </v>
      </c>
      <c r="JZ82" s="535" t="str">
        <f t="shared" si="209"/>
        <v xml:space="preserve"> </v>
      </c>
      <c r="KA82" s="536" t="str">
        <f t="shared" si="117"/>
        <v xml:space="preserve"> </v>
      </c>
      <c r="KB82" s="535" t="e">
        <f t="shared" si="210"/>
        <v>#VALUE!</v>
      </c>
      <c r="KC82" s="535" t="str">
        <f t="shared" si="118"/>
        <v/>
      </c>
      <c r="KD82" s="537" t="str">
        <f t="shared" si="211"/>
        <v xml:space="preserve"> </v>
      </c>
      <c r="KE82" s="537" t="str">
        <f t="shared" si="212"/>
        <v xml:space="preserve"> </v>
      </c>
      <c r="KF82" s="534">
        <f t="shared" si="119"/>
        <v>0</v>
      </c>
      <c r="KG82" s="535" t="str">
        <f t="shared" si="120"/>
        <v xml:space="preserve"> </v>
      </c>
      <c r="KH82" s="535" t="str">
        <f t="shared" si="121"/>
        <v xml:space="preserve"> </v>
      </c>
      <c r="KI82" s="535" t="str">
        <f t="shared" si="122"/>
        <v xml:space="preserve"> </v>
      </c>
      <c r="KJ82" s="536" t="str">
        <f t="shared" si="123"/>
        <v xml:space="preserve"> </v>
      </c>
      <c r="KK82" s="535" t="str">
        <f t="shared" si="213"/>
        <v xml:space="preserve"> </v>
      </c>
      <c r="KL82" s="535" t="str">
        <f t="shared" si="214"/>
        <v xml:space="preserve"> </v>
      </c>
      <c r="KM82" s="537" t="str">
        <f t="shared" si="124"/>
        <v xml:space="preserve"> </v>
      </c>
      <c r="KN82" s="537" t="str">
        <f t="shared" si="215"/>
        <v xml:space="preserve"> </v>
      </c>
      <c r="KP82">
        <f t="shared" si="125"/>
        <v>0</v>
      </c>
      <c r="LA82" t="e">
        <f t="shared" si="126"/>
        <v>#VALUE!</v>
      </c>
      <c r="LB82" t="e">
        <f t="shared" si="127"/>
        <v>#VALUE!</v>
      </c>
      <c r="LC82" t="e">
        <f t="shared" si="128"/>
        <v>#VALUE!</v>
      </c>
      <c r="LD82" t="e">
        <f t="shared" si="129"/>
        <v>#VALUE!</v>
      </c>
      <c r="LE82" t="e">
        <f t="shared" si="216"/>
        <v>#VALUE!</v>
      </c>
      <c r="LF82">
        <f t="shared" si="130"/>
        <v>0</v>
      </c>
      <c r="LG82" t="e">
        <f t="shared" si="217"/>
        <v>#VALUE!</v>
      </c>
      <c r="LH82" t="str">
        <f t="shared" si="131"/>
        <v xml:space="preserve"> </v>
      </c>
      <c r="LI82">
        <f t="shared" si="218"/>
        <v>1</v>
      </c>
    </row>
    <row r="83" spans="2:321" ht="15" customHeight="1">
      <c r="B83" s="311"/>
      <c r="C83" s="311"/>
      <c r="D83" s="312"/>
      <c r="E83" s="311"/>
      <c r="F83" s="312"/>
      <c r="G83" s="311"/>
      <c r="H83" s="311"/>
      <c r="I83" s="37"/>
      <c r="J83" s="311"/>
      <c r="K83" s="305" t="str">
        <f t="shared" si="132"/>
        <v/>
      </c>
      <c r="L83" s="313"/>
      <c r="M83" s="312"/>
      <c r="N83" s="311"/>
      <c r="O83" s="312"/>
      <c r="P83" s="311"/>
      <c r="Q83" s="305" t="str">
        <f t="shared" si="133"/>
        <v/>
      </c>
      <c r="R83" s="314"/>
      <c r="S83" s="450" t="str">
        <f t="shared" si="0"/>
        <v/>
      </c>
      <c r="T83" s="315"/>
      <c r="U83" s="315"/>
      <c r="W83" s="149" t="str">
        <f t="shared" si="1"/>
        <v xml:space="preserve"> </v>
      </c>
      <c r="X83" s="243" t="str">
        <f t="shared" si="2"/>
        <v xml:space="preserve"> </v>
      </c>
      <c r="Y83" s="150" t="str">
        <f t="shared" si="3"/>
        <v/>
      </c>
      <c r="Z83" s="149" t="str">
        <f t="shared" si="4"/>
        <v xml:space="preserve"> </v>
      </c>
      <c r="AA83" s="98" t="str">
        <f t="shared" si="5"/>
        <v xml:space="preserve"> </v>
      </c>
      <c r="AB83" s="153" t="str">
        <f t="shared" si="6"/>
        <v xml:space="preserve"> </v>
      </c>
      <c r="AC83" s="153" t="str">
        <f t="shared" si="7"/>
        <v xml:space="preserve"> </v>
      </c>
      <c r="AD83" s="148" t="str">
        <f t="shared" si="8"/>
        <v/>
      </c>
      <c r="AE83" s="149" t="str">
        <f t="shared" si="9"/>
        <v/>
      </c>
      <c r="AF83" s="151" t="str">
        <f t="shared" si="10"/>
        <v xml:space="preserve"> </v>
      </c>
      <c r="AG83" s="153" t="str">
        <f t="shared" si="11"/>
        <v xml:space="preserve"> </v>
      </c>
      <c r="AH83" s="98" t="str">
        <f t="shared" si="12"/>
        <v xml:space="preserve"> </v>
      </c>
      <c r="AI83" s="149" t="str">
        <f t="shared" si="13"/>
        <v xml:space="preserve"> </v>
      </c>
      <c r="AK83" s="144" t="str">
        <f t="shared" si="14"/>
        <v xml:space="preserve"> </v>
      </c>
      <c r="AL83" s="144"/>
      <c r="AM83" s="243" t="str">
        <f t="shared" si="15"/>
        <v xml:space="preserve"> </v>
      </c>
      <c r="AN83" s="149" t="str">
        <f t="shared" si="134"/>
        <v xml:space="preserve"> </v>
      </c>
      <c r="AO83" s="144" t="str">
        <f>IF(JB83&gt;0,IF(GI83=10,-R83*1.085*(Calculation!$F$6-Calculation!$F$13)*$S$14," "),"")</f>
        <v/>
      </c>
      <c r="AP83" s="144" t="str">
        <f t="shared" si="16"/>
        <v/>
      </c>
      <c r="AQ83" s="56" t="str">
        <f t="shared" si="17"/>
        <v/>
      </c>
      <c r="AR83" s="144" t="str">
        <f t="shared" si="18"/>
        <v/>
      </c>
      <c r="AS83" s="176" t="str">
        <f t="shared" si="19"/>
        <v/>
      </c>
      <c r="AT83" s="176" t="str">
        <f t="shared" si="135"/>
        <v xml:space="preserve"> </v>
      </c>
      <c r="AU83" s="176" t="str">
        <f t="shared" si="20"/>
        <v/>
      </c>
      <c r="AV83" s="177" t="str">
        <f t="shared" si="21"/>
        <v xml:space="preserve"> </v>
      </c>
      <c r="AW83" s="144" t="str">
        <f t="shared" si="22"/>
        <v xml:space="preserve"> </v>
      </c>
      <c r="AX83" s="144" t="str">
        <f t="shared" si="23"/>
        <v xml:space="preserve"> </v>
      </c>
      <c r="AY83" s="152" t="str">
        <f t="shared" si="24"/>
        <v xml:space="preserve"> </v>
      </c>
      <c r="AZ83" s="246" t="str">
        <f t="shared" si="25"/>
        <v/>
      </c>
      <c r="BA83" s="176" t="str">
        <f t="shared" si="26"/>
        <v xml:space="preserve"> </v>
      </c>
      <c r="BB83" s="176" t="str">
        <f t="shared" si="27"/>
        <v xml:space="preserve"> </v>
      </c>
      <c r="BC83" s="195"/>
      <c r="BD83" s="316"/>
      <c r="BE83" s="317"/>
      <c r="BF83" s="318"/>
      <c r="BG83" s="318"/>
      <c r="BH83" s="144" t="str">
        <f t="shared" si="219"/>
        <v xml:space="preserve"> </v>
      </c>
      <c r="BI83" s="176" t="str">
        <f t="shared" si="28"/>
        <v/>
      </c>
      <c r="BJ83" s="144" t="str">
        <f t="shared" si="220"/>
        <v/>
      </c>
      <c r="BK83" s="246" t="str">
        <f t="shared" si="29"/>
        <v/>
      </c>
      <c r="BL83" s="144" t="str">
        <f t="shared" si="221"/>
        <v/>
      </c>
      <c r="BM83" s="246" t="str">
        <f t="shared" si="30"/>
        <v/>
      </c>
      <c r="BN83" s="337" t="str">
        <f t="shared" si="136"/>
        <v/>
      </c>
      <c r="BO83" s="371" t="str">
        <f t="shared" si="137"/>
        <v/>
      </c>
      <c r="BP83" s="328" t="str">
        <f t="shared" si="222"/>
        <v xml:space="preserve"> </v>
      </c>
      <c r="BQ83" s="347" t="str">
        <f t="shared" si="138"/>
        <v xml:space="preserve"> </v>
      </c>
      <c r="BR83" s="353" t="str">
        <f t="shared" si="223"/>
        <v xml:space="preserve"> </v>
      </c>
      <c r="BS83" s="626" t="str">
        <f>IF(L83&gt;0,IF(Calculation!P83="M13",BR83*3.1416*(0.134^2)/(4*144),IF(Calculation!P83="M17",BR83*3.1416*(0.165^2)/(4*144),IF(Calculation!P83="M20",BR83*3.1416*(0.198^2)/(4*144),IF(Calculation!P83="M23",BR83*3.1416*(0.228^2)/(4*144),IF(Calculation!P83="M27",BR83*3.1416*(0.269^2)/(4*144),BR83*3.1416*(0.307^2)/(4*144))))))," ")</f>
        <v xml:space="preserve"> </v>
      </c>
      <c r="BT83" s="353" t="str">
        <f>IF(L83&gt;0,IF(BS83&gt;0,R83/Calculation!BS83,0)," ")</f>
        <v xml:space="preserve"> </v>
      </c>
      <c r="BU83" s="438" t="e">
        <f t="shared" ca="1" si="31"/>
        <v>#VALUE!</v>
      </c>
      <c r="BV83" s="449" t="e">
        <f ca="1">INDEX(INDIRECT(VLOOKUP(LEFT(BO83,7),CLU!$Z$3:$AH$18,2)),GN83,GR83)</f>
        <v>#N/A</v>
      </c>
      <c r="BW83" s="433" t="e">
        <f ca="1">INDEX(INDIRECT(VLOOKUP(LEFT(BO83,7),CLU!$Z$3:$AH$18,3)),GN83,GR83)</f>
        <v>#N/A</v>
      </c>
      <c r="BX83" s="433" t="e">
        <f ca="1">INDEX(INDIRECT(VLOOKUP(LEFT(BO83,7),CLU!$Z$3:$AH$18,4)),GN83,GR83)</f>
        <v>#N/A</v>
      </c>
      <c r="BY83" s="433" t="e">
        <f ca="1">INDEX(INDIRECT(VLOOKUP(LEFT(BO83,7),CLU!$Z$3:$AH$18,9)),((M83-2)*(6-COUNTBLANK(GT83:GY83)))+GJ83)</f>
        <v>#N/A</v>
      </c>
      <c r="BZ83" s="426" t="e">
        <f t="shared" ca="1" si="139"/>
        <v>#N/A</v>
      </c>
      <c r="CA83" s="424" t="e">
        <f t="shared" ca="1" si="140"/>
        <v>#N/A</v>
      </c>
      <c r="CB83" s="429" t="e">
        <f ca="1">INDEX(INDIRECT(VLOOKUP(LEFT(BO83,7),CLU!$Z$3:$AH$18,2)),GN83,GS83)</f>
        <v>#N/A</v>
      </c>
      <c r="CC83" s="342" t="e">
        <f ca="1">INDEX(INDIRECT(VLOOKUP(LEFT(BO83,7),CLU!$Z$3:$AH$18,3)),GN83,GS83)</f>
        <v>#N/A</v>
      </c>
      <c r="CD83" s="342" t="e">
        <f ca="1">INDEX(INDIRECT(VLOOKUP(LEFT(BO83,7),CLU!$Z$3:$AH$18,4)),GN83,GS83)</f>
        <v>#N/A</v>
      </c>
      <c r="CE83" s="426" t="e">
        <f t="shared" ca="1" si="141"/>
        <v>#N/A</v>
      </c>
      <c r="CF83" s="440">
        <f t="shared" si="142"/>
        <v>0</v>
      </c>
      <c r="CG83" s="431" t="e">
        <f ca="1">INDEX(INDIRECT(VLOOKUP(LEFT(BO83,7),CLU!$Z$3:$AH$18,2)),GQ83,GR83)</f>
        <v>#N/A</v>
      </c>
      <c r="CH83" s="431" t="e">
        <f ca="1">INDEX(INDIRECT(VLOOKUP(LEFT(BO83,7),CLU!$Z$3:$AH$18,3)),GQ83,GR83)</f>
        <v>#N/A</v>
      </c>
      <c r="CI83" s="431" t="e">
        <f ca="1">INDEX(INDIRECT(VLOOKUP(LEFT(BO83,7),CLU!$Z$3:$AH$18,4)),GQ83,GR83)</f>
        <v>#N/A</v>
      </c>
      <c r="CJ83" s="448" t="e">
        <f t="shared" ca="1" si="143"/>
        <v>#N/A</v>
      </c>
      <c r="CK83" s="431" t="e">
        <f t="shared" ca="1" si="144"/>
        <v>#N/A</v>
      </c>
      <c r="CL83" s="440" t="e">
        <f t="shared" ca="1" si="145"/>
        <v>#N/A</v>
      </c>
      <c r="CM83" s="431" t="e">
        <f ca="1">INDEX(INDIRECT(VLOOKUP(LEFT(BO83,7),CLU!$Z$3:$AH$18,2)),GQ83,GS83)</f>
        <v>#N/A</v>
      </c>
      <c r="CN83" s="431" t="e">
        <f ca="1">INDEX(INDIRECT(VLOOKUP(LEFT(BO83,7),CLU!$Z$3:$AH$18,3)),GQ83,GS83)</f>
        <v>#N/A</v>
      </c>
      <c r="CO83" s="431" t="e">
        <f ca="1">INDEX(INDIRECT(VLOOKUP(LEFT(BO83,7),CLU!$Z$3:$AH$18,4)),GQ83,GS83)</f>
        <v>#N/A</v>
      </c>
      <c r="CP83" s="431" t="e">
        <f t="shared" ca="1" si="146"/>
        <v>#N/A</v>
      </c>
      <c r="CQ83" s="440">
        <f t="shared" si="147"/>
        <v>0</v>
      </c>
      <c r="CR83" s="51" t="e">
        <f t="shared" ca="1" si="148"/>
        <v>#N/A</v>
      </c>
      <c r="CS83" s="439" t="e">
        <f t="shared" ca="1" si="149"/>
        <v>#VALUE!</v>
      </c>
      <c r="CT83" s="51" t="e">
        <f t="shared" ca="1" si="150"/>
        <v>#VALUE!</v>
      </c>
      <c r="CU83" s="10"/>
      <c r="CV83" s="51" t="e">
        <f t="shared" ca="1" si="34"/>
        <v>#VALUE!</v>
      </c>
      <c r="CW83" s="51">
        <f t="shared" si="151"/>
        <v>0</v>
      </c>
      <c r="CX83" s="439" t="e">
        <f t="shared" ca="1" si="152"/>
        <v>#VALUE!</v>
      </c>
      <c r="CY83" s="51" t="e">
        <f t="shared" ca="1" si="153"/>
        <v>#VALUE!</v>
      </c>
      <c r="CZ83" s="10"/>
      <c r="DA83" s="51" t="e">
        <f t="shared" ca="1" si="154"/>
        <v>#VALUE!</v>
      </c>
      <c r="DB83" s="347" t="e">
        <f ca="1">INDEX(INDIRECT(VLOOKUP(LEFT(BO83,7),CLU!$Z$3:$AI$18,10)),((M83-2)*(6-COUNTBLANK(GT83:GY83)))+GJ83)*LI83</f>
        <v>#N/A</v>
      </c>
      <c r="DC83" s="347" t="str">
        <f>IF(L83&gt;0,((R83/Worksheet!$I$15)/DB83)^2," ")</f>
        <v xml:space="preserve"> </v>
      </c>
      <c r="DD83" s="602" t="str">
        <f t="shared" si="224"/>
        <v xml:space="preserve"> </v>
      </c>
      <c r="DE83" s="347" t="str">
        <f t="shared" si="35"/>
        <v xml:space="preserve"> </v>
      </c>
      <c r="DF83" s="356" t="e">
        <f ca="1">INDEX(INDIRECT(VLOOKUP(LEFT(BO83,7),CLU!$Z$3:$AH$18,8)),((M83-2)*(6-COUNTBLANK(GT83:GY83)))+GJ83)</f>
        <v>#N/A</v>
      </c>
      <c r="DG83" s="347" t="str">
        <f t="shared" si="36"/>
        <v xml:space="preserve"> </v>
      </c>
      <c r="DH83" s="357" t="str">
        <f t="shared" si="37"/>
        <v xml:space="preserve"> </v>
      </c>
      <c r="DI83" s="355" t="str">
        <f t="shared" si="38"/>
        <v xml:space="preserve"> </v>
      </c>
      <c r="DJ83" s="245" t="e">
        <f ca="1">INDEX(INDIRECT(VLOOKUP(LEFT(BO83,7),CLU!$Z$3:$AH$18,5)),GL83,GK83)</f>
        <v>#N/A</v>
      </c>
      <c r="DK83" s="245" t="e">
        <f ca="1">INDEX(INDIRECT(VLOOKUP(LEFT(BO83,7),CLU!$Z$3:$AH$18,6)),GL83,GK83)</f>
        <v>#N/A</v>
      </c>
      <c r="DL83" s="355">
        <f>(Calculation!R83*0.69143*(Calculation!$BQ$8-Calculation!$F$8))*$S$14</f>
        <v>0</v>
      </c>
      <c r="DM83" s="359" t="e">
        <f t="shared" si="160"/>
        <v>#VALUE!</v>
      </c>
      <c r="DN83" s="611">
        <f t="shared" si="161"/>
        <v>0</v>
      </c>
      <c r="DO83" s="359">
        <f t="shared" si="162"/>
        <v>100</v>
      </c>
      <c r="DP83" s="359">
        <f t="shared" si="163"/>
        <v>0</v>
      </c>
      <c r="DQ83" s="360"/>
      <c r="DR83" s="245" t="e">
        <f ca="1">INDEX(INDIRECT(VLOOKUP(LEFT(BO83,7),CLU!$Z$3:$AH$18,7)),M83-1,1)</f>
        <v>#N/A</v>
      </c>
      <c r="DS83" s="245" t="e">
        <f ca="1">INDEX(INDIRECT(VLOOKUP(LEFT(BO83,7),CLU!$Z$3:$AH$18,7)),M83-1,2)</f>
        <v>#N/A</v>
      </c>
      <c r="DT83" s="245" t="e">
        <f ca="1">INDEX(INDIRECT(VLOOKUP(LEFT(BO83,7),CLU!$Z$3:$AH$18,7)),M83-1,3)</f>
        <v>#N/A</v>
      </c>
      <c r="DU83" s="245" t="e">
        <f ca="1">INDEX(INDIRECT(VLOOKUP(LEFT(BO83,7),CLU!$Z$3:$AH$18,7)),M83-1,4)</f>
        <v>#N/A</v>
      </c>
      <c r="DV83" s="361" t="e">
        <f ca="1">INDEX(INDIRECT(VLOOKUP(LEFT(BO83,7),CLU!$Z$3:$AH$18,7)),M83-1,4+LEFT(DZ83,1)*0.5)</f>
        <v>#N/A</v>
      </c>
      <c r="DW83" s="245" t="e">
        <f ca="1">INDEX(INDIRECT(VLOOKUP(LEFT(BO83,7),CLU!$Z$3:$AH$18,7)),M83-1,8)</f>
        <v>#N/A</v>
      </c>
      <c r="DX83" s="361" t="str">
        <f t="shared" si="39"/>
        <v xml:space="preserve"> </v>
      </c>
      <c r="DY83" s="361" t="str">
        <f t="shared" si="40"/>
        <v xml:space="preserve"> </v>
      </c>
      <c r="DZ83" s="361" t="str">
        <f t="shared" si="41"/>
        <v xml:space="preserve"> </v>
      </c>
      <c r="EA83" s="362" t="str">
        <f t="shared" si="42"/>
        <v xml:space="preserve"> </v>
      </c>
      <c r="EB83" s="624" t="str">
        <f t="shared" si="168"/>
        <v xml:space="preserve"> </v>
      </c>
      <c r="EC83" s="361" t="e">
        <f ca="1">INDEX(INDIRECT(VLOOKUP(LEFT(BO83,7),CLU!$Z$3:$AH$18,7)),M83-1,4+LEFT(DZ83,1)*0.5)</f>
        <v>#N/A</v>
      </c>
      <c r="ED83" s="362" t="str">
        <f t="shared" si="43"/>
        <v xml:space="preserve"> </v>
      </c>
      <c r="EE83" s="361" t="str">
        <f t="shared" si="44"/>
        <v xml:space="preserve"> </v>
      </c>
      <c r="EF83" s="362" t="str">
        <f>IF(L83&gt;0,IF(BR83&gt;0,IF(EE83="2P",IF(Calculation!DZ83="2P",IF(Calculation!DS83=13.75,IF(Calculation!DR83=13,Worksheet!$BD$43,IF(Calculation!DR83=37,Worksheet!$BD$44,Worksheet!$BD$45)),IF(Calculation!DS83=10,IF(Calculation!DR83=18,Worksheet!$BD$29,IF(Calculation!DR83=30,Worksheet!$BD$30,IF(Calculation!DR83=42,Worksheet!$BD$31,IF(Calculation!DR83=54,Worksheet!$BD$32,IF(Calculation!DR83=66,Worksheet!$BD$33,IF(Calculation!DR83=78,Worksheet!$BD$34,IF(Calculation!DR83=90,Worksheet!$BD$35,IF(Calculation!DR83=102,Worksheet!$BD$36,Worksheet!$BD$37)))))))),IF(Calculation!DS83=12.5,IF(Calculation!DR83=18,Worksheet!$BD$38,IF(Calculation!DR83=Worksheet!$BD$39,IF(Calculation!DR83=42,Worksheet!$BD$40,IF(Calculation!DR83=54,Worksheet!$BD$41,Worksheet!$BD$42)))),IF(Calculation!DR83=18,Worksheet!$BD$11,IF(Calculation!DR83=30,Worksheet!$BD$12,IF(Calculation!DR83=42,Worksheet!$BD$13,IF(Calculation!DR83=54,Worksheet!$BD$14,IF(Calculation!DR83=66,Worksheet!$BD$15,IF(Calculation!DR83=78,Worksheet!$BD$16,IF(Calculation!DR83=90,Worksheet!$BD$17,IF(Calculation!DR83=102,Worksheet!$BD$18,Worksheet!$BD$19))))))))))),IF(Calculation!DS83=13.75,IF(Calculation!DR83=13,Worksheet!$BD$78,IF(Calculation!DR83=37,Worksheet!$BD$79,Worksheet!$BD$80)),IF(Calculation!DS83=10,IF(Calculation!DR83=18,Worksheet!$BD$64,IF(Calculation!DR83=30,Worksheet!$BD$65,IF(Calculation!DR83=42,Worksheet!$BD$66,IF(Calculation!DR83=54,Worksheet!$BD$68,IF(Calculation!DR83=66,Worksheet!$BD$68,IF(Calculation!DR83=78,Worksheet!$BD$69,IF(Calculation!DR83=90,Worksheet!$BD$70,IF(Calculation!DR83=102,Worksheet!$BD$71,Worksheet!$BD$72)))))))),IF(Calculation!DS83=12.5,IF(Calculation!DR83=18,Worksheet!$BD$73,IF(Calculation!DR83=Worksheet!$BD$74,IF(Calculation!DR83=42,Worksheet!$BD$75,IF(Calculation!DR83=54,Worksheet!$BD$76,Worksheet!$BD$77)))),IF(Calculation!DR83=18,Worksheet!$BD$55,IF(Calculation!DR83=30,Worksheet!$BD$56,IF(Calculation!DR83=42,Worksheet!$BD$57,IF(Calculation!DR83=54,Worksheet!$BD$58,IF(Calculation!DR83=66,Worksheet!$BD$59,IF(Calculation!DR83=78,Worksheet!$BD$60,IF(Calculation!DR83=90,Worksheet!$BD$61,IF(Calculation!DR83=102,Worksheet!$BD$62,Worksheet!$BD$63)))))))))))),5),0)," ")</f>
        <v xml:space="preserve"> </v>
      </c>
      <c r="EG83" s="361" t="str">
        <f t="shared" si="45"/>
        <v xml:space="preserve"> </v>
      </c>
      <c r="EH83" s="361" t="e">
        <f ca="1">INDEX(INDIRECT(VLOOKUP(LEFT(BO83,7),CLU!$Z$3:$AH$18,7)),M83-1,3+LEFT(DZ83,1))</f>
        <v>#N/A</v>
      </c>
      <c r="EI83" s="362" t="str">
        <f t="shared" si="46"/>
        <v xml:space="preserve"> </v>
      </c>
      <c r="EJ83" s="363" t="str">
        <f t="shared" si="47"/>
        <v xml:space="preserve"> </v>
      </c>
      <c r="EK83" s="363" t="str">
        <f t="shared" si="48"/>
        <v xml:space="preserve"> </v>
      </c>
      <c r="EL83" s="363" t="str">
        <f t="shared" si="49"/>
        <v xml:space="preserve"> </v>
      </c>
      <c r="EM83" s="362" t="str">
        <f>IF(L83&gt;0,IF(BR83&gt;0,(Calculation!T83/ED83)^2,0)," ")</f>
        <v xml:space="preserve"> </v>
      </c>
      <c r="EN83" s="362" t="str">
        <f>IF(L83&gt;0,IF(O83="2 Pipe (Cooling)","N/A",IF(BR83&gt;0,(Calculation!U83/EI83)^2,0))," ")</f>
        <v xml:space="preserve"> </v>
      </c>
      <c r="EO83" s="361" t="str">
        <f t="shared" si="50"/>
        <v/>
      </c>
      <c r="EP83" s="361" t="str">
        <f t="shared" si="51"/>
        <v/>
      </c>
      <c r="EQ83" s="361" t="str">
        <f t="shared" si="52"/>
        <v/>
      </c>
      <c r="ER83" s="361" t="str">
        <f t="shared" si="53"/>
        <v/>
      </c>
      <c r="ES83" s="361" t="str">
        <f t="shared" si="54"/>
        <v/>
      </c>
      <c r="ET83" s="361" t="str">
        <f t="shared" si="55"/>
        <v/>
      </c>
      <c r="EU83" s="361" t="str">
        <f t="shared" si="56"/>
        <v/>
      </c>
      <c r="EV83" s="361" t="str">
        <f t="shared" si="57"/>
        <v/>
      </c>
      <c r="EW83" s="361" t="str">
        <f t="shared" si="58"/>
        <v/>
      </c>
      <c r="EX83" s="361" t="str">
        <f t="shared" si="169"/>
        <v>1 slot, 1 way</v>
      </c>
      <c r="EY83" s="361" t="str">
        <f t="shared" si="170"/>
        <v xml:space="preserve"> </v>
      </c>
      <c r="EZ83" s="361" t="str">
        <f t="shared" si="171"/>
        <v xml:space="preserve"> </v>
      </c>
      <c r="FA83" s="361" t="str">
        <f t="shared" si="172"/>
        <v xml:space="preserve"> </v>
      </c>
      <c r="FB83" s="361" t="str">
        <f t="shared" si="173"/>
        <v xml:space="preserve"> </v>
      </c>
      <c r="FC83" s="361"/>
      <c r="FD83" s="361" t="str">
        <f>IF(J83&gt;0,IF(Calculation!R83&lt;=70,4,IF(Calculation!R83&lt;=110,5,IF(Calculation!R83&lt;=160,6,IF(Calculation!R83&lt;=300,8,"10 EO")))),"")</f>
        <v/>
      </c>
      <c r="FE83" s="361" t="str">
        <f t="shared" si="174"/>
        <v/>
      </c>
      <c r="FF83" s="361" t="str">
        <f t="shared" si="175"/>
        <v/>
      </c>
      <c r="FG83" s="361" t="e">
        <f t="shared" si="60"/>
        <v>#N/A</v>
      </c>
      <c r="FH83" s="361">
        <f t="shared" si="61"/>
        <v>0</v>
      </c>
      <c r="FI83" s="361" t="e">
        <f t="shared" si="62"/>
        <v>#DIV/0!</v>
      </c>
      <c r="FJ83" s="361"/>
      <c r="FK83" s="356" t="e">
        <f t="shared" si="63"/>
        <v>#VALUE!</v>
      </c>
      <c r="FL83" s="361"/>
      <c r="FM83" s="361"/>
      <c r="FN83" s="362" t="str">
        <f t="shared" si="176"/>
        <v xml:space="preserve"> </v>
      </c>
      <c r="FO83" s="362" t="str">
        <f t="shared" si="177"/>
        <v xml:space="preserve"> </v>
      </c>
      <c r="FP83" s="362">
        <f t="shared" si="178"/>
        <v>0</v>
      </c>
      <c r="FQ83" s="361">
        <f t="shared" si="64"/>
        <v>0</v>
      </c>
      <c r="FR83" s="362" t="str">
        <f>IF(L83&gt;0,IF(J83="CBAL2",Worksheet!$P$67,IF(J83="CBE2-24",Worksheet!$Q$67,IF(J83="CBAM",Worksheet!$R$67,IF(J83="CBLV",Worksheet!$S$67,IF(J83="CBAB",Worksheet!$U$67,IF(J83="CBAW",Worksheet!$X$67,IF(J83="CBE2-12",Worksheet!$Y$67,IF(J83="CBAL2",Worksheet!$Z$67,"N/A"))))))))," ")</f>
        <v xml:space="preserve"> </v>
      </c>
      <c r="FS83" s="362" t="str">
        <f>IF(L83&gt;0,IF(J83="CBAL2",Worksheet!$P$68,IF(J83="CBE2-24",Worksheet!$Q$68,IF(J83="CBAM",Worksheet!$R$68,IF(J83="CBLV",Worksheet!$S$68,IF(J83="CBAB",Worksheet!$U$68,IF(J83="CBAW",Worksheet!$X$68,IF(J83="CBE2-12",Worksheet!$Y$68,IF(J83="CBAL2",Worksheet!$Z$68,"N/A"))))))))," ")</f>
        <v xml:space="preserve"> </v>
      </c>
      <c r="FT83" s="362" t="str">
        <f>IF(L83&gt;0,IF(J83="CBAL2",Worksheet!$P$69,IF(J83="CBE2-24",Worksheet!$Q$69,IF(J83="CBAM",Worksheet!$R$69,IF(J83="CBLV",Worksheet!$S$69,IF(J83="CBAB",Worksheet!$U$69,IF(J83="CBAW",Worksheet!$X$69,IF(J83="CBE2-12",Worksheet!$Y$69,IF(J83="CBAL2",Worksheet!$Z$69,"N/A"))))))))," ")</f>
        <v xml:space="preserve"> </v>
      </c>
      <c r="FU83" s="361" t="str">
        <f t="shared" si="179"/>
        <v xml:space="preserve"> </v>
      </c>
      <c r="FV83" s="362" t="str">
        <f t="shared" si="180"/>
        <v xml:space="preserve"> </v>
      </c>
      <c r="FW83" s="362" t="str">
        <f t="shared" si="181"/>
        <v xml:space="preserve"> </v>
      </c>
      <c r="FX83" s="362" t="str">
        <f t="shared" si="182"/>
        <v xml:space="preserve"> </v>
      </c>
      <c r="FY83" s="355" t="str">
        <f t="shared" si="183"/>
        <v xml:space="preserve"> </v>
      </c>
      <c r="FZ83" s="361" t="str">
        <f t="shared" si="184"/>
        <v xml:space="preserve"> </v>
      </c>
      <c r="GA83" s="347" t="str">
        <f t="shared" si="185"/>
        <v xml:space="preserve"> </v>
      </c>
      <c r="GB83" s="355" t="str">
        <f t="shared" si="186"/>
        <v xml:space="preserve"> </v>
      </c>
      <c r="GC83" s="328" t="str">
        <f t="shared" si="187"/>
        <v xml:space="preserve"> </v>
      </c>
      <c r="GD83" s="361" t="str">
        <f t="shared" si="188"/>
        <v xml:space="preserve"> </v>
      </c>
      <c r="GE83" s="347" t="str">
        <f t="shared" si="189"/>
        <v xml:space="preserve"> </v>
      </c>
      <c r="GF83" s="361" t="str">
        <f t="shared" si="190"/>
        <v xml:space="preserve"> </v>
      </c>
      <c r="GG83" s="347" t="str">
        <f t="shared" si="191"/>
        <v xml:space="preserve"> </v>
      </c>
      <c r="GH83" s="364">
        <f t="shared" si="78"/>
        <v>0</v>
      </c>
      <c r="GI83" s="362">
        <f t="shared" si="192"/>
        <v>2</v>
      </c>
      <c r="GJ83" s="433" t="e">
        <f>IF(6-COUNTBLANK(GT83:GY83)=4,MATCH(MID(BO83,9,3),CLU!$H$16:$K$16),MATCH(MID(BO83,9,3),CLU!$H$13:$M$13))</f>
        <v>#N/A</v>
      </c>
      <c r="GK83" s="433" t="e">
        <f>HLOOKUP(VALUE(BP83),CLU!$H$9:$M$10,2)</f>
        <v>#VALUE!</v>
      </c>
      <c r="GL83" s="433" t="e">
        <f ca="1">MATCH(BU83,CLU!$H$2:$V$2,1)</f>
        <v>#VALUE!</v>
      </c>
      <c r="GM83" s="433" t="e">
        <f t="shared" ca="1" si="193"/>
        <v>#VALUE!</v>
      </c>
      <c r="GN83" s="433" t="e">
        <f t="shared" ca="1" si="194"/>
        <v>#VALUE!</v>
      </c>
      <c r="GO83" s="433" t="e">
        <f t="shared" ca="1" si="195"/>
        <v>#VALUE!</v>
      </c>
      <c r="GP83" s="433" t="e">
        <f t="shared" ca="1" si="196"/>
        <v>#VALUE!</v>
      </c>
      <c r="GQ83" s="433" t="e">
        <f t="shared" ca="1" si="197"/>
        <v>#VALUE!</v>
      </c>
      <c r="GR83" s="433" t="e">
        <f ca="1">MATCH(T83,INDIRECT(VLOOKUP(CONCATENATE(LEFT(BO83,7),"-",MID(BO83,13,1)),CLU!$P$3:$Q$16,2)),1)</f>
        <v>#N/A</v>
      </c>
      <c r="GS83" s="433" t="e">
        <f ca="1">MATCH(U83,INDIRECT(VLOOKUP(CONCATENATE(LEFT(BO83,7),"-",MID(BO83,13,1)),CLU!$P$3:$Q$16,2)),1)</f>
        <v>#N/A</v>
      </c>
      <c r="GT83" s="347" t="s">
        <v>512</v>
      </c>
      <c r="GU83" s="97" t="s">
        <v>513</v>
      </c>
      <c r="GV83" s="97" t="str">
        <f t="shared" si="198"/>
        <v>M23</v>
      </c>
      <c r="GW83" s="97" t="str">
        <f t="shared" si="199"/>
        <v>M31</v>
      </c>
      <c r="GX83" s="97" t="str">
        <f t="shared" si="200"/>
        <v/>
      </c>
      <c r="GY83" s="97" t="str">
        <f t="shared" si="201"/>
        <v/>
      </c>
      <c r="GZ83" s="481"/>
      <c r="HA83" s="288"/>
      <c r="HB83" s="240"/>
      <c r="HC83" s="240"/>
      <c r="HD83" s="240"/>
      <c r="HE83" s="240"/>
      <c r="HF83" s="240"/>
      <c r="HG83" s="240"/>
      <c r="HH83" s="240"/>
      <c r="HI83" s="240"/>
      <c r="HJ83" s="240"/>
      <c r="HK83" s="240"/>
      <c r="HL83" s="240"/>
      <c r="HM83" s="240"/>
      <c r="HN83" s="240"/>
      <c r="HO83" s="240"/>
      <c r="HP83" s="240"/>
      <c r="HQ83" s="240"/>
      <c r="HR83" s="240"/>
      <c r="HS83" s="240"/>
      <c r="HT83" s="240"/>
      <c r="HU83" s="240"/>
      <c r="HV83" s="245"/>
      <c r="HW83" s="245" t="b">
        <v>1</v>
      </c>
      <c r="HX83" s="245" t="str">
        <f t="shared" si="79"/>
        <v/>
      </c>
      <c r="HY83" s="245" t="e">
        <f t="shared" si="80"/>
        <v>#DIV/0!</v>
      </c>
      <c r="HZ83" s="245" t="e">
        <f t="shared" si="81"/>
        <v>#DIV/0!</v>
      </c>
      <c r="IA83" s="245">
        <f t="shared" si="82"/>
        <v>0</v>
      </c>
      <c r="IB83" s="245"/>
      <c r="IC83" t="b">
        <f t="shared" si="83"/>
        <v>1</v>
      </c>
      <c r="ID83" s="245" t="b">
        <f t="shared" si="84"/>
        <v>1</v>
      </c>
      <c r="IE83" s="245" t="b">
        <f t="shared" si="85"/>
        <v>1</v>
      </c>
      <c r="IF83" s="245" t="b">
        <f t="shared" si="86"/>
        <v>0</v>
      </c>
      <c r="IG83" s="245" t="b">
        <f t="shared" si="87"/>
        <v>1</v>
      </c>
      <c r="IH83" s="245" t="b">
        <f t="shared" si="88"/>
        <v>1</v>
      </c>
      <c r="II83" s="245">
        <f t="shared" si="202"/>
        <v>0</v>
      </c>
      <c r="IJ83" s="245" t="e">
        <f t="shared" si="89"/>
        <v>#VALUE!</v>
      </c>
      <c r="IK83" s="245" t="e">
        <f t="shared" si="90"/>
        <v>#VALUE!</v>
      </c>
      <c r="IL83" s="245"/>
      <c r="IM83" s="245" t="e">
        <f t="shared" si="203"/>
        <v>#N/A</v>
      </c>
      <c r="IN83" s="245" t="e">
        <f t="shared" si="204"/>
        <v>#N/A</v>
      </c>
      <c r="IO83" s="245"/>
      <c r="IP83" s="245"/>
      <c r="IQ83" s="245" t="str">
        <f t="shared" si="91"/>
        <v/>
      </c>
      <c r="IR83" s="245" t="str">
        <f>IF(J83="","",VLOOKUP(J83,Worksheet!$R$4:$T$14,2))</f>
        <v/>
      </c>
      <c r="IS83" s="245"/>
      <c r="IT83" s="245">
        <f t="shared" si="92"/>
        <v>0</v>
      </c>
      <c r="IU83" s="245">
        <f t="shared" si="93"/>
        <v>0</v>
      </c>
      <c r="IV83" s="245">
        <f t="shared" si="94"/>
        <v>0</v>
      </c>
      <c r="IW83" s="245">
        <f t="shared" si="95"/>
        <v>0</v>
      </c>
      <c r="IX83" s="245">
        <f t="shared" si="205"/>
        <v>0</v>
      </c>
      <c r="IY83" s="245">
        <f t="shared" si="96"/>
        <v>0</v>
      </c>
      <c r="IZ83" s="245">
        <f t="shared" si="97"/>
        <v>0</v>
      </c>
      <c r="JA83">
        <f t="shared" si="98"/>
        <v>0</v>
      </c>
      <c r="JB83">
        <f t="shared" si="206"/>
        <v>0</v>
      </c>
      <c r="JC83">
        <f t="shared" si="99"/>
        <v>0</v>
      </c>
      <c r="JD83">
        <f t="shared" si="100"/>
        <v>0</v>
      </c>
      <c r="JE83">
        <f t="shared" si="101"/>
        <v>0</v>
      </c>
      <c r="JF83">
        <f t="shared" si="102"/>
        <v>0</v>
      </c>
      <c r="JG83">
        <f t="shared" si="103"/>
        <v>0</v>
      </c>
      <c r="JH83">
        <f t="shared" si="104"/>
        <v>0</v>
      </c>
      <c r="JI83">
        <f t="shared" si="105"/>
        <v>0</v>
      </c>
      <c r="JJ83" s="447">
        <f t="shared" si="106"/>
        <v>0</v>
      </c>
      <c r="JK83" s="447">
        <f t="shared" si="107"/>
        <v>0</v>
      </c>
      <c r="JL83">
        <f t="shared" si="108"/>
        <v>0</v>
      </c>
      <c r="JM83" s="245" t="str">
        <f>IFERROR(VLOOKUP(MATCH(BN83,#REF!,0),#REF!,7),"")</f>
        <v/>
      </c>
      <c r="JN83" t="e">
        <f>HLOOKUP(LEFT(BO83,7),Discharge_Area,MATCH(JO83,LookUps!$B$130:$B$149,1)+2)</f>
        <v>#N/A</v>
      </c>
      <c r="JO83" t="str">
        <f t="shared" si="109"/>
        <v>- S</v>
      </c>
      <c r="JP83" t="e">
        <f>HLOOKUP(LEFT(BO83,7),Discharge_Area,MATCH(JO83,LookUps!$B$130:$B$149,1)+2)</f>
        <v>#N/A</v>
      </c>
      <c r="JQ83" t="e">
        <f t="shared" si="110"/>
        <v>#N/A</v>
      </c>
      <c r="JR83" t="e">
        <f t="shared" si="111"/>
        <v>#N/A</v>
      </c>
      <c r="JS83" t="e">
        <f t="shared" si="112"/>
        <v>#N/A</v>
      </c>
      <c r="JT83" s="532" t="str">
        <f t="shared" si="113"/>
        <v xml:space="preserve"> </v>
      </c>
      <c r="JU83" s="532" t="str">
        <f t="shared" si="114"/>
        <v xml:space="preserve"> </v>
      </c>
      <c r="JV83" s="533" t="str">
        <f t="shared" si="115"/>
        <v xml:space="preserve"> </v>
      </c>
      <c r="JW83" s="534">
        <f t="shared" si="116"/>
        <v>0</v>
      </c>
      <c r="JX83" s="535" t="str">
        <f t="shared" si="207"/>
        <v xml:space="preserve"> </v>
      </c>
      <c r="JY83" s="535" t="str">
        <f t="shared" si="208"/>
        <v xml:space="preserve"> </v>
      </c>
      <c r="JZ83" s="535" t="str">
        <f t="shared" si="209"/>
        <v xml:space="preserve"> </v>
      </c>
      <c r="KA83" s="536" t="str">
        <f t="shared" si="117"/>
        <v xml:space="preserve"> </v>
      </c>
      <c r="KB83" s="535" t="e">
        <f t="shared" si="210"/>
        <v>#VALUE!</v>
      </c>
      <c r="KC83" s="535" t="str">
        <f t="shared" si="118"/>
        <v/>
      </c>
      <c r="KD83" s="537" t="str">
        <f t="shared" si="211"/>
        <v xml:space="preserve"> </v>
      </c>
      <c r="KE83" s="537" t="str">
        <f t="shared" si="212"/>
        <v xml:space="preserve"> </v>
      </c>
      <c r="KF83" s="534">
        <f t="shared" si="119"/>
        <v>0</v>
      </c>
      <c r="KG83" s="535" t="str">
        <f t="shared" si="120"/>
        <v xml:space="preserve"> </v>
      </c>
      <c r="KH83" s="535" t="str">
        <f t="shared" si="121"/>
        <v xml:space="preserve"> </v>
      </c>
      <c r="KI83" s="535" t="str">
        <f t="shared" si="122"/>
        <v xml:space="preserve"> </v>
      </c>
      <c r="KJ83" s="536" t="str">
        <f t="shared" si="123"/>
        <v xml:space="preserve"> </v>
      </c>
      <c r="KK83" s="535" t="str">
        <f t="shared" si="213"/>
        <v xml:space="preserve"> </v>
      </c>
      <c r="KL83" s="535" t="str">
        <f t="shared" si="214"/>
        <v xml:space="preserve"> </v>
      </c>
      <c r="KM83" s="537" t="str">
        <f t="shared" si="124"/>
        <v xml:space="preserve"> </v>
      </c>
      <c r="KN83" s="537" t="str">
        <f t="shared" si="215"/>
        <v xml:space="preserve"> </v>
      </c>
      <c r="KP83">
        <f t="shared" si="125"/>
        <v>0</v>
      </c>
      <c r="LA83" t="e">
        <f t="shared" si="126"/>
        <v>#VALUE!</v>
      </c>
      <c r="LB83" t="e">
        <f t="shared" si="127"/>
        <v>#VALUE!</v>
      </c>
      <c r="LC83" t="e">
        <f t="shared" si="128"/>
        <v>#VALUE!</v>
      </c>
      <c r="LD83" t="e">
        <f t="shared" si="129"/>
        <v>#VALUE!</v>
      </c>
      <c r="LE83" t="e">
        <f t="shared" si="216"/>
        <v>#VALUE!</v>
      </c>
      <c r="LF83">
        <f t="shared" si="130"/>
        <v>0</v>
      </c>
      <c r="LG83" t="e">
        <f t="shared" si="217"/>
        <v>#VALUE!</v>
      </c>
      <c r="LH83" t="str">
        <f t="shared" si="131"/>
        <v xml:space="preserve"> </v>
      </c>
      <c r="LI83">
        <f t="shared" si="218"/>
        <v>1</v>
      </c>
    </row>
    <row r="84" spans="2:321" ht="15" customHeight="1">
      <c r="B84" s="311"/>
      <c r="C84" s="311"/>
      <c r="D84" s="312"/>
      <c r="E84" s="311"/>
      <c r="F84" s="312"/>
      <c r="G84" s="311"/>
      <c r="H84" s="311"/>
      <c r="I84" s="37"/>
      <c r="J84" s="311"/>
      <c r="K84" s="305" t="str">
        <f t="shared" si="132"/>
        <v/>
      </c>
      <c r="L84" s="313"/>
      <c r="M84" s="312"/>
      <c r="N84" s="311"/>
      <c r="O84" s="312"/>
      <c r="P84" s="311"/>
      <c r="Q84" s="305" t="str">
        <f t="shared" si="133"/>
        <v/>
      </c>
      <c r="R84" s="314"/>
      <c r="S84" s="450" t="str">
        <f t="shared" si="0"/>
        <v/>
      </c>
      <c r="T84" s="315"/>
      <c r="U84" s="315"/>
      <c r="W84" s="149" t="str">
        <f t="shared" si="1"/>
        <v xml:space="preserve"> </v>
      </c>
      <c r="X84" s="243" t="str">
        <f t="shared" si="2"/>
        <v xml:space="preserve"> </v>
      </c>
      <c r="Y84" s="150" t="str">
        <f t="shared" si="3"/>
        <v/>
      </c>
      <c r="Z84" s="149" t="str">
        <f t="shared" si="4"/>
        <v xml:space="preserve"> </v>
      </c>
      <c r="AA84" s="98" t="str">
        <f t="shared" si="5"/>
        <v xml:space="preserve"> </v>
      </c>
      <c r="AB84" s="153" t="str">
        <f t="shared" si="6"/>
        <v xml:space="preserve"> </v>
      </c>
      <c r="AC84" s="153" t="str">
        <f t="shared" si="7"/>
        <v xml:space="preserve"> </v>
      </c>
      <c r="AD84" s="148" t="str">
        <f t="shared" si="8"/>
        <v/>
      </c>
      <c r="AE84" s="149" t="str">
        <f t="shared" si="9"/>
        <v/>
      </c>
      <c r="AF84" s="151" t="str">
        <f t="shared" si="10"/>
        <v xml:space="preserve"> </v>
      </c>
      <c r="AG84" s="153" t="str">
        <f t="shared" si="11"/>
        <v xml:space="preserve"> </v>
      </c>
      <c r="AH84" s="98" t="str">
        <f t="shared" si="12"/>
        <v xml:space="preserve"> </v>
      </c>
      <c r="AI84" s="149" t="str">
        <f t="shared" si="13"/>
        <v xml:space="preserve"> </v>
      </c>
      <c r="AK84" s="144" t="str">
        <f t="shared" si="14"/>
        <v xml:space="preserve"> </v>
      </c>
      <c r="AL84" s="144"/>
      <c r="AM84" s="243" t="str">
        <f t="shared" si="15"/>
        <v xml:space="preserve"> </v>
      </c>
      <c r="AN84" s="149" t="str">
        <f t="shared" si="134"/>
        <v xml:space="preserve"> </v>
      </c>
      <c r="AO84" s="144" t="str">
        <f>IF(JB84&gt;0,IF(GI84=10,-R84*1.085*(Calculation!$F$6-Calculation!$F$13)*$S$14," "),"")</f>
        <v/>
      </c>
      <c r="AP84" s="144" t="str">
        <f t="shared" si="16"/>
        <v/>
      </c>
      <c r="AQ84" s="56" t="str">
        <f t="shared" si="17"/>
        <v/>
      </c>
      <c r="AR84" s="144" t="str">
        <f t="shared" si="18"/>
        <v/>
      </c>
      <c r="AS84" s="176" t="str">
        <f t="shared" si="19"/>
        <v/>
      </c>
      <c r="AT84" s="176" t="str">
        <f t="shared" si="135"/>
        <v xml:space="preserve"> </v>
      </c>
      <c r="AU84" s="176" t="str">
        <f t="shared" si="20"/>
        <v/>
      </c>
      <c r="AV84" s="177" t="str">
        <f t="shared" si="21"/>
        <v xml:space="preserve"> </v>
      </c>
      <c r="AW84" s="144" t="str">
        <f t="shared" si="22"/>
        <v xml:space="preserve"> </v>
      </c>
      <c r="AX84" s="144" t="str">
        <f t="shared" si="23"/>
        <v xml:space="preserve"> </v>
      </c>
      <c r="AY84" s="152" t="str">
        <f t="shared" si="24"/>
        <v xml:space="preserve"> </v>
      </c>
      <c r="AZ84" s="246" t="str">
        <f t="shared" si="25"/>
        <v/>
      </c>
      <c r="BA84" s="176" t="str">
        <f t="shared" si="26"/>
        <v xml:space="preserve"> </v>
      </c>
      <c r="BB84" s="176" t="str">
        <f t="shared" si="27"/>
        <v xml:space="preserve"> </v>
      </c>
      <c r="BC84" s="195"/>
      <c r="BD84" s="316"/>
      <c r="BE84" s="317"/>
      <c r="BF84" s="318"/>
      <c r="BG84" s="318"/>
      <c r="BH84" s="144" t="str">
        <f t="shared" si="219"/>
        <v xml:space="preserve"> </v>
      </c>
      <c r="BI84" s="176" t="str">
        <f t="shared" si="28"/>
        <v/>
      </c>
      <c r="BJ84" s="144" t="str">
        <f t="shared" si="220"/>
        <v/>
      </c>
      <c r="BK84" s="246" t="str">
        <f t="shared" si="29"/>
        <v/>
      </c>
      <c r="BL84" s="144" t="str">
        <f t="shared" si="221"/>
        <v/>
      </c>
      <c r="BM84" s="246" t="str">
        <f t="shared" si="30"/>
        <v/>
      </c>
      <c r="BN84" s="337" t="str">
        <f t="shared" si="136"/>
        <v/>
      </c>
      <c r="BO84" s="371" t="str">
        <f t="shared" si="137"/>
        <v/>
      </c>
      <c r="BP84" s="328" t="str">
        <f t="shared" si="222"/>
        <v xml:space="preserve"> </v>
      </c>
      <c r="BQ84" s="347" t="str">
        <f t="shared" si="138"/>
        <v xml:space="preserve"> </v>
      </c>
      <c r="BR84" s="353" t="str">
        <f t="shared" si="223"/>
        <v xml:space="preserve"> </v>
      </c>
      <c r="BS84" s="626" t="str">
        <f>IF(L84&gt;0,IF(Calculation!P84="M13",BR84*3.1416*(0.134^2)/(4*144),IF(Calculation!P84="M17",BR84*3.1416*(0.165^2)/(4*144),IF(Calculation!P84="M20",BR84*3.1416*(0.198^2)/(4*144),IF(Calculation!P84="M23",BR84*3.1416*(0.228^2)/(4*144),IF(Calculation!P84="M27",BR84*3.1416*(0.269^2)/(4*144),BR84*3.1416*(0.307^2)/(4*144))))))," ")</f>
        <v xml:space="preserve"> </v>
      </c>
      <c r="BT84" s="353" t="str">
        <f>IF(L84&gt;0,IF(BS84&gt;0,R84/Calculation!BS84,0)," ")</f>
        <v xml:space="preserve"> </v>
      </c>
      <c r="BU84" s="438" t="e">
        <f t="shared" ca="1" si="31"/>
        <v>#VALUE!</v>
      </c>
      <c r="BV84" s="449" t="e">
        <f ca="1">INDEX(INDIRECT(VLOOKUP(LEFT(BO84,7),CLU!$Z$3:$AH$18,2)),GN84,GR84)</f>
        <v>#N/A</v>
      </c>
      <c r="BW84" s="433" t="e">
        <f ca="1">INDEX(INDIRECT(VLOOKUP(LEFT(BO84,7),CLU!$Z$3:$AH$18,3)),GN84,GR84)</f>
        <v>#N/A</v>
      </c>
      <c r="BX84" s="433" t="e">
        <f ca="1">INDEX(INDIRECT(VLOOKUP(LEFT(BO84,7),CLU!$Z$3:$AH$18,4)),GN84,GR84)</f>
        <v>#N/A</v>
      </c>
      <c r="BY84" s="433" t="e">
        <f ca="1">INDEX(INDIRECT(VLOOKUP(LEFT(BO84,7),CLU!$Z$3:$AH$18,9)),((M84-2)*(6-COUNTBLANK(GT84:GY84)))+GJ84)</f>
        <v>#N/A</v>
      </c>
      <c r="BZ84" s="426" t="e">
        <f t="shared" ca="1" si="139"/>
        <v>#N/A</v>
      </c>
      <c r="CA84" s="424" t="e">
        <f t="shared" ca="1" si="140"/>
        <v>#N/A</v>
      </c>
      <c r="CB84" s="429" t="e">
        <f ca="1">INDEX(INDIRECT(VLOOKUP(LEFT(BO84,7),CLU!$Z$3:$AH$18,2)),GN84,GS84)</f>
        <v>#N/A</v>
      </c>
      <c r="CC84" s="342" t="e">
        <f ca="1">INDEX(INDIRECT(VLOOKUP(LEFT(BO84,7),CLU!$Z$3:$AH$18,3)),GN84,GS84)</f>
        <v>#N/A</v>
      </c>
      <c r="CD84" s="342" t="e">
        <f ca="1">INDEX(INDIRECT(VLOOKUP(LEFT(BO84,7),CLU!$Z$3:$AH$18,4)),GN84,GS84)</f>
        <v>#N/A</v>
      </c>
      <c r="CE84" s="426" t="e">
        <f t="shared" ca="1" si="141"/>
        <v>#N/A</v>
      </c>
      <c r="CF84" s="440">
        <f t="shared" si="142"/>
        <v>0</v>
      </c>
      <c r="CG84" s="431" t="e">
        <f ca="1">INDEX(INDIRECT(VLOOKUP(LEFT(BO84,7),CLU!$Z$3:$AH$18,2)),GQ84,GR84)</f>
        <v>#N/A</v>
      </c>
      <c r="CH84" s="431" t="e">
        <f ca="1">INDEX(INDIRECT(VLOOKUP(LEFT(BO84,7),CLU!$Z$3:$AH$18,3)),GQ84,GR84)</f>
        <v>#N/A</v>
      </c>
      <c r="CI84" s="431" t="e">
        <f ca="1">INDEX(INDIRECT(VLOOKUP(LEFT(BO84,7),CLU!$Z$3:$AH$18,4)),GQ84,GR84)</f>
        <v>#N/A</v>
      </c>
      <c r="CJ84" s="448" t="e">
        <f t="shared" ca="1" si="143"/>
        <v>#N/A</v>
      </c>
      <c r="CK84" s="431" t="e">
        <f t="shared" ca="1" si="144"/>
        <v>#N/A</v>
      </c>
      <c r="CL84" s="440" t="e">
        <f t="shared" ca="1" si="145"/>
        <v>#N/A</v>
      </c>
      <c r="CM84" s="431" t="e">
        <f ca="1">INDEX(INDIRECT(VLOOKUP(LEFT(BO84,7),CLU!$Z$3:$AH$18,2)),GQ84,GS84)</f>
        <v>#N/A</v>
      </c>
      <c r="CN84" s="431" t="e">
        <f ca="1">INDEX(INDIRECT(VLOOKUP(LEFT(BO84,7),CLU!$Z$3:$AH$18,3)),GQ84,GS84)</f>
        <v>#N/A</v>
      </c>
      <c r="CO84" s="431" t="e">
        <f ca="1">INDEX(INDIRECT(VLOOKUP(LEFT(BO84,7),CLU!$Z$3:$AH$18,4)),GQ84,GS84)</f>
        <v>#N/A</v>
      </c>
      <c r="CP84" s="431" t="e">
        <f t="shared" ca="1" si="146"/>
        <v>#N/A</v>
      </c>
      <c r="CQ84" s="440">
        <f t="shared" si="147"/>
        <v>0</v>
      </c>
      <c r="CR84" s="51" t="e">
        <f t="shared" ca="1" si="148"/>
        <v>#N/A</v>
      </c>
      <c r="CS84" s="439" t="e">
        <f t="shared" ca="1" si="149"/>
        <v>#VALUE!</v>
      </c>
      <c r="CT84" s="51" t="e">
        <f t="shared" ca="1" si="150"/>
        <v>#VALUE!</v>
      </c>
      <c r="CU84" s="10"/>
      <c r="CV84" s="51" t="e">
        <f t="shared" ca="1" si="34"/>
        <v>#VALUE!</v>
      </c>
      <c r="CW84" s="51">
        <f t="shared" si="151"/>
        <v>0</v>
      </c>
      <c r="CX84" s="439" t="e">
        <f t="shared" ca="1" si="152"/>
        <v>#VALUE!</v>
      </c>
      <c r="CY84" s="51" t="e">
        <f t="shared" ca="1" si="153"/>
        <v>#VALUE!</v>
      </c>
      <c r="CZ84" s="10"/>
      <c r="DA84" s="51" t="e">
        <f t="shared" ca="1" si="154"/>
        <v>#VALUE!</v>
      </c>
      <c r="DB84" s="347" t="e">
        <f ca="1">INDEX(INDIRECT(VLOOKUP(LEFT(BO84,7),CLU!$Z$3:$AI$18,10)),((M84-2)*(6-COUNTBLANK(GT84:GY84)))+GJ84)*LI84</f>
        <v>#N/A</v>
      </c>
      <c r="DC84" s="347" t="str">
        <f>IF(L84&gt;0,((R84/Worksheet!$I$15)/DB84)^2," ")</f>
        <v xml:space="preserve"> </v>
      </c>
      <c r="DD84" s="602" t="str">
        <f t="shared" si="224"/>
        <v xml:space="preserve"> </v>
      </c>
      <c r="DE84" s="347" t="str">
        <f t="shared" si="35"/>
        <v xml:space="preserve"> </v>
      </c>
      <c r="DF84" s="356" t="e">
        <f ca="1">INDEX(INDIRECT(VLOOKUP(LEFT(BO84,7),CLU!$Z$3:$AH$18,8)),((M84-2)*(6-COUNTBLANK(GT84:GY84)))+GJ84)</f>
        <v>#N/A</v>
      </c>
      <c r="DG84" s="347" t="str">
        <f t="shared" si="36"/>
        <v xml:space="preserve"> </v>
      </c>
      <c r="DH84" s="357" t="str">
        <f t="shared" si="37"/>
        <v xml:space="preserve"> </v>
      </c>
      <c r="DI84" s="355" t="str">
        <f t="shared" si="38"/>
        <v xml:space="preserve"> </v>
      </c>
      <c r="DJ84" s="245" t="e">
        <f ca="1">INDEX(INDIRECT(VLOOKUP(LEFT(BO84,7),CLU!$Z$3:$AH$18,5)),GL84,GK84)</f>
        <v>#N/A</v>
      </c>
      <c r="DK84" s="245" t="e">
        <f ca="1">INDEX(INDIRECT(VLOOKUP(LEFT(BO84,7),CLU!$Z$3:$AH$18,6)),GL84,GK84)</f>
        <v>#N/A</v>
      </c>
      <c r="DL84" s="355">
        <f>(Calculation!R84*0.69143*(Calculation!$BQ$8-Calculation!$F$8))*$S$14</f>
        <v>0</v>
      </c>
      <c r="DM84" s="359" t="e">
        <f t="shared" si="160"/>
        <v>#VALUE!</v>
      </c>
      <c r="DN84" s="611">
        <f t="shared" si="161"/>
        <v>0</v>
      </c>
      <c r="DO84" s="359">
        <f t="shared" si="162"/>
        <v>100</v>
      </c>
      <c r="DP84" s="359">
        <f t="shared" si="163"/>
        <v>0</v>
      </c>
      <c r="DQ84" s="360"/>
      <c r="DR84" s="245" t="e">
        <f ca="1">INDEX(INDIRECT(VLOOKUP(LEFT(BO84,7),CLU!$Z$3:$AH$18,7)),M84-1,1)</f>
        <v>#N/A</v>
      </c>
      <c r="DS84" s="245" t="e">
        <f ca="1">INDEX(INDIRECT(VLOOKUP(LEFT(BO84,7),CLU!$Z$3:$AH$18,7)),M84-1,2)</f>
        <v>#N/A</v>
      </c>
      <c r="DT84" s="245" t="e">
        <f ca="1">INDEX(INDIRECT(VLOOKUP(LEFT(BO84,7),CLU!$Z$3:$AH$18,7)),M84-1,3)</f>
        <v>#N/A</v>
      </c>
      <c r="DU84" s="245" t="e">
        <f ca="1">INDEX(INDIRECT(VLOOKUP(LEFT(BO84,7),CLU!$Z$3:$AH$18,7)),M84-1,4)</f>
        <v>#N/A</v>
      </c>
      <c r="DV84" s="361" t="e">
        <f ca="1">INDEX(INDIRECT(VLOOKUP(LEFT(BO84,7),CLU!$Z$3:$AH$18,7)),M84-1,4+LEFT(DZ84,1)*0.5)</f>
        <v>#N/A</v>
      </c>
      <c r="DW84" s="245" t="e">
        <f ca="1">INDEX(INDIRECT(VLOOKUP(LEFT(BO84,7),CLU!$Z$3:$AH$18,7)),M84-1,8)</f>
        <v>#N/A</v>
      </c>
      <c r="DX84" s="361" t="str">
        <f t="shared" si="39"/>
        <v xml:space="preserve"> </v>
      </c>
      <c r="DY84" s="361" t="str">
        <f t="shared" si="40"/>
        <v xml:space="preserve"> </v>
      </c>
      <c r="DZ84" s="361" t="str">
        <f t="shared" si="41"/>
        <v xml:space="preserve"> </v>
      </c>
      <c r="EA84" s="362" t="str">
        <f t="shared" si="42"/>
        <v xml:space="preserve"> </v>
      </c>
      <c r="EB84" s="624" t="str">
        <f t="shared" si="168"/>
        <v xml:space="preserve"> </v>
      </c>
      <c r="EC84" s="361" t="e">
        <f ca="1">INDEX(INDIRECT(VLOOKUP(LEFT(BO84,7),CLU!$Z$3:$AH$18,7)),M84-1,4+LEFT(DZ84,1)*0.5)</f>
        <v>#N/A</v>
      </c>
      <c r="ED84" s="362" t="str">
        <f t="shared" si="43"/>
        <v xml:space="preserve"> </v>
      </c>
      <c r="EE84" s="361" t="str">
        <f t="shared" si="44"/>
        <v xml:space="preserve"> </v>
      </c>
      <c r="EF84" s="362" t="str">
        <f>IF(L84&gt;0,IF(BR84&gt;0,IF(EE84="2P",IF(Calculation!DZ84="2P",IF(Calculation!DS84=13.75,IF(Calculation!DR84=13,Worksheet!$BD$43,IF(Calculation!DR84=37,Worksheet!$BD$44,Worksheet!$BD$45)),IF(Calculation!DS84=10,IF(Calculation!DR84=18,Worksheet!$BD$29,IF(Calculation!DR84=30,Worksheet!$BD$30,IF(Calculation!DR84=42,Worksheet!$BD$31,IF(Calculation!DR84=54,Worksheet!$BD$32,IF(Calculation!DR84=66,Worksheet!$BD$33,IF(Calculation!DR84=78,Worksheet!$BD$34,IF(Calculation!DR84=90,Worksheet!$BD$35,IF(Calculation!DR84=102,Worksheet!$BD$36,Worksheet!$BD$37)))))))),IF(Calculation!DS84=12.5,IF(Calculation!DR84=18,Worksheet!$BD$38,IF(Calculation!DR84=Worksheet!$BD$39,IF(Calculation!DR84=42,Worksheet!$BD$40,IF(Calculation!DR84=54,Worksheet!$BD$41,Worksheet!$BD$42)))),IF(Calculation!DR84=18,Worksheet!$BD$11,IF(Calculation!DR84=30,Worksheet!$BD$12,IF(Calculation!DR84=42,Worksheet!$BD$13,IF(Calculation!DR84=54,Worksheet!$BD$14,IF(Calculation!DR84=66,Worksheet!$BD$15,IF(Calculation!DR84=78,Worksheet!$BD$16,IF(Calculation!DR84=90,Worksheet!$BD$17,IF(Calculation!DR84=102,Worksheet!$BD$18,Worksheet!$BD$19))))))))))),IF(Calculation!DS84=13.75,IF(Calculation!DR84=13,Worksheet!$BD$78,IF(Calculation!DR84=37,Worksheet!$BD$79,Worksheet!$BD$80)),IF(Calculation!DS84=10,IF(Calculation!DR84=18,Worksheet!$BD$64,IF(Calculation!DR84=30,Worksheet!$BD$65,IF(Calculation!DR84=42,Worksheet!$BD$66,IF(Calculation!DR84=54,Worksheet!$BD$68,IF(Calculation!DR84=66,Worksheet!$BD$68,IF(Calculation!DR84=78,Worksheet!$BD$69,IF(Calculation!DR84=90,Worksheet!$BD$70,IF(Calculation!DR84=102,Worksheet!$BD$71,Worksheet!$BD$72)))))))),IF(Calculation!DS84=12.5,IF(Calculation!DR84=18,Worksheet!$BD$73,IF(Calculation!DR84=Worksheet!$BD$74,IF(Calculation!DR84=42,Worksheet!$BD$75,IF(Calculation!DR84=54,Worksheet!$BD$76,Worksheet!$BD$77)))),IF(Calculation!DR84=18,Worksheet!$BD$55,IF(Calculation!DR84=30,Worksheet!$BD$56,IF(Calculation!DR84=42,Worksheet!$BD$57,IF(Calculation!DR84=54,Worksheet!$BD$58,IF(Calculation!DR84=66,Worksheet!$BD$59,IF(Calculation!DR84=78,Worksheet!$BD$60,IF(Calculation!DR84=90,Worksheet!$BD$61,IF(Calculation!DR84=102,Worksheet!$BD$62,Worksheet!$BD$63)))))))))))),5),0)," ")</f>
        <v xml:space="preserve"> </v>
      </c>
      <c r="EG84" s="361" t="str">
        <f t="shared" si="45"/>
        <v xml:space="preserve"> </v>
      </c>
      <c r="EH84" s="361" t="e">
        <f ca="1">INDEX(INDIRECT(VLOOKUP(LEFT(BO84,7),CLU!$Z$3:$AH$18,7)),M84-1,3+LEFT(DZ84,1))</f>
        <v>#N/A</v>
      </c>
      <c r="EI84" s="362" t="str">
        <f t="shared" si="46"/>
        <v xml:space="preserve"> </v>
      </c>
      <c r="EJ84" s="363" t="str">
        <f t="shared" si="47"/>
        <v xml:space="preserve"> </v>
      </c>
      <c r="EK84" s="363" t="str">
        <f t="shared" si="48"/>
        <v xml:space="preserve"> </v>
      </c>
      <c r="EL84" s="363" t="str">
        <f t="shared" si="49"/>
        <v xml:space="preserve"> </v>
      </c>
      <c r="EM84" s="362" t="str">
        <f>IF(L84&gt;0,IF(BR84&gt;0,(Calculation!T84/ED84)^2,0)," ")</f>
        <v xml:space="preserve"> </v>
      </c>
      <c r="EN84" s="362" t="str">
        <f>IF(L84&gt;0,IF(O84="2 Pipe (Cooling)","N/A",IF(BR84&gt;0,(Calculation!U84/EI84)^2,0))," ")</f>
        <v xml:space="preserve"> </v>
      </c>
      <c r="EO84" s="361" t="str">
        <f t="shared" si="50"/>
        <v/>
      </c>
      <c r="EP84" s="361" t="str">
        <f t="shared" si="51"/>
        <v/>
      </c>
      <c r="EQ84" s="361" t="str">
        <f t="shared" si="52"/>
        <v/>
      </c>
      <c r="ER84" s="361" t="str">
        <f t="shared" si="53"/>
        <v/>
      </c>
      <c r="ES84" s="361" t="str">
        <f t="shared" si="54"/>
        <v/>
      </c>
      <c r="ET84" s="361" t="str">
        <f t="shared" si="55"/>
        <v/>
      </c>
      <c r="EU84" s="361" t="str">
        <f t="shared" si="56"/>
        <v/>
      </c>
      <c r="EV84" s="361" t="str">
        <f t="shared" si="57"/>
        <v/>
      </c>
      <c r="EW84" s="361" t="str">
        <f t="shared" si="58"/>
        <v/>
      </c>
      <c r="EX84" s="361" t="str">
        <f t="shared" si="169"/>
        <v>1 slot, 1 way</v>
      </c>
      <c r="EY84" s="361" t="str">
        <f t="shared" si="170"/>
        <v xml:space="preserve"> </v>
      </c>
      <c r="EZ84" s="361" t="str">
        <f t="shared" si="171"/>
        <v xml:space="preserve"> </v>
      </c>
      <c r="FA84" s="361" t="str">
        <f t="shared" si="172"/>
        <v xml:space="preserve"> </v>
      </c>
      <c r="FB84" s="361" t="str">
        <f t="shared" si="173"/>
        <v xml:space="preserve"> </v>
      </c>
      <c r="FC84" s="361"/>
      <c r="FD84" s="361" t="str">
        <f>IF(J84&gt;0,IF(Calculation!R84&lt;=70,4,IF(Calculation!R84&lt;=110,5,IF(Calculation!R84&lt;=160,6,IF(Calculation!R84&lt;=300,8,"10 EO")))),"")</f>
        <v/>
      </c>
      <c r="FE84" s="361" t="str">
        <f t="shared" si="174"/>
        <v/>
      </c>
      <c r="FF84" s="361" t="str">
        <f t="shared" si="175"/>
        <v/>
      </c>
      <c r="FG84" s="361" t="e">
        <f t="shared" si="60"/>
        <v>#N/A</v>
      </c>
      <c r="FH84" s="361">
        <f t="shared" si="61"/>
        <v>0</v>
      </c>
      <c r="FI84" s="361" t="e">
        <f t="shared" si="62"/>
        <v>#DIV/0!</v>
      </c>
      <c r="FJ84" s="361"/>
      <c r="FK84" s="356" t="e">
        <f t="shared" si="63"/>
        <v>#VALUE!</v>
      </c>
      <c r="FL84" s="361"/>
      <c r="FM84" s="361"/>
      <c r="FN84" s="362" t="str">
        <f t="shared" si="176"/>
        <v xml:space="preserve"> </v>
      </c>
      <c r="FO84" s="362" t="str">
        <f t="shared" si="177"/>
        <v xml:space="preserve"> </v>
      </c>
      <c r="FP84" s="362">
        <f t="shared" si="178"/>
        <v>0</v>
      </c>
      <c r="FQ84" s="361">
        <f t="shared" si="64"/>
        <v>0</v>
      </c>
      <c r="FR84" s="362" t="str">
        <f>IF(L84&gt;0,IF(J84="CBAL2",Worksheet!$P$67,IF(J84="CBE2-24",Worksheet!$Q$67,IF(J84="CBAM",Worksheet!$R$67,IF(J84="CBLV",Worksheet!$S$67,IF(J84="CBAB",Worksheet!$U$67,IF(J84="CBAW",Worksheet!$X$67,IF(J84="CBE2-12",Worksheet!$Y$67,IF(J84="CBAL2",Worksheet!$Z$67,"N/A"))))))))," ")</f>
        <v xml:space="preserve"> </v>
      </c>
      <c r="FS84" s="362" t="str">
        <f>IF(L84&gt;0,IF(J84="CBAL2",Worksheet!$P$68,IF(J84="CBE2-24",Worksheet!$Q$68,IF(J84="CBAM",Worksheet!$R$68,IF(J84="CBLV",Worksheet!$S$68,IF(J84="CBAB",Worksheet!$U$68,IF(J84="CBAW",Worksheet!$X$68,IF(J84="CBE2-12",Worksheet!$Y$68,IF(J84="CBAL2",Worksheet!$Z$68,"N/A"))))))))," ")</f>
        <v xml:space="preserve"> </v>
      </c>
      <c r="FT84" s="362" t="str">
        <f>IF(L84&gt;0,IF(J84="CBAL2",Worksheet!$P$69,IF(J84="CBE2-24",Worksheet!$Q$69,IF(J84="CBAM",Worksheet!$R$69,IF(J84="CBLV",Worksheet!$S$69,IF(J84="CBAB",Worksheet!$U$69,IF(J84="CBAW",Worksheet!$X$69,IF(J84="CBE2-12",Worksheet!$Y$69,IF(J84="CBAL2",Worksheet!$Z$69,"N/A"))))))))," ")</f>
        <v xml:space="preserve"> </v>
      </c>
      <c r="FU84" s="361" t="str">
        <f t="shared" si="179"/>
        <v xml:space="preserve"> </v>
      </c>
      <c r="FV84" s="362" t="str">
        <f t="shared" si="180"/>
        <v xml:space="preserve"> </v>
      </c>
      <c r="FW84" s="362" t="str">
        <f t="shared" si="181"/>
        <v xml:space="preserve"> </v>
      </c>
      <c r="FX84" s="362" t="str">
        <f t="shared" si="182"/>
        <v xml:space="preserve"> </v>
      </c>
      <c r="FY84" s="355" t="str">
        <f t="shared" si="183"/>
        <v xml:space="preserve"> </v>
      </c>
      <c r="FZ84" s="361" t="str">
        <f t="shared" si="184"/>
        <v xml:space="preserve"> </v>
      </c>
      <c r="GA84" s="347" t="str">
        <f t="shared" si="185"/>
        <v xml:space="preserve"> </v>
      </c>
      <c r="GB84" s="355" t="str">
        <f t="shared" si="186"/>
        <v xml:space="preserve"> </v>
      </c>
      <c r="GC84" s="328" t="str">
        <f t="shared" si="187"/>
        <v xml:space="preserve"> </v>
      </c>
      <c r="GD84" s="361" t="str">
        <f t="shared" si="188"/>
        <v xml:space="preserve"> </v>
      </c>
      <c r="GE84" s="347" t="str">
        <f t="shared" si="189"/>
        <v xml:space="preserve"> </v>
      </c>
      <c r="GF84" s="361" t="str">
        <f t="shared" si="190"/>
        <v xml:space="preserve"> </v>
      </c>
      <c r="GG84" s="347" t="str">
        <f t="shared" si="191"/>
        <v xml:space="preserve"> </v>
      </c>
      <c r="GH84" s="364">
        <f t="shared" si="78"/>
        <v>0</v>
      </c>
      <c r="GI84" s="362">
        <f t="shared" si="192"/>
        <v>2</v>
      </c>
      <c r="GJ84" s="433" t="e">
        <f>IF(6-COUNTBLANK(GT84:GY84)=4,MATCH(MID(BO84,9,3),CLU!$H$16:$K$16),MATCH(MID(BO84,9,3),CLU!$H$13:$M$13))</f>
        <v>#N/A</v>
      </c>
      <c r="GK84" s="433" t="e">
        <f>HLOOKUP(VALUE(BP84),CLU!$H$9:$M$10,2)</f>
        <v>#VALUE!</v>
      </c>
      <c r="GL84" s="433" t="e">
        <f ca="1">MATCH(BU84,CLU!$H$2:$V$2,1)</f>
        <v>#VALUE!</v>
      </c>
      <c r="GM84" s="433" t="e">
        <f t="shared" ca="1" si="193"/>
        <v>#VALUE!</v>
      </c>
      <c r="GN84" s="433" t="e">
        <f t="shared" ca="1" si="194"/>
        <v>#VALUE!</v>
      </c>
      <c r="GO84" s="433" t="e">
        <f t="shared" ca="1" si="195"/>
        <v>#VALUE!</v>
      </c>
      <c r="GP84" s="433" t="e">
        <f t="shared" ca="1" si="196"/>
        <v>#VALUE!</v>
      </c>
      <c r="GQ84" s="433" t="e">
        <f t="shared" ca="1" si="197"/>
        <v>#VALUE!</v>
      </c>
      <c r="GR84" s="433" t="e">
        <f ca="1">MATCH(T84,INDIRECT(VLOOKUP(CONCATENATE(LEFT(BO84,7),"-",MID(BO84,13,1)),CLU!$P$3:$Q$16,2)),1)</f>
        <v>#N/A</v>
      </c>
      <c r="GS84" s="433" t="e">
        <f ca="1">MATCH(U84,INDIRECT(VLOOKUP(CONCATENATE(LEFT(BO84,7),"-",MID(BO84,13,1)),CLU!$P$3:$Q$16,2)),1)</f>
        <v>#N/A</v>
      </c>
      <c r="GT84" s="347" t="s">
        <v>512</v>
      </c>
      <c r="GU84" s="97" t="s">
        <v>513</v>
      </c>
      <c r="GV84" s="97" t="str">
        <f t="shared" si="198"/>
        <v>M23</v>
      </c>
      <c r="GW84" s="97" t="str">
        <f t="shared" si="199"/>
        <v>M31</v>
      </c>
      <c r="GX84" s="97" t="str">
        <f t="shared" si="200"/>
        <v/>
      </c>
      <c r="GY84" s="97" t="str">
        <f t="shared" si="201"/>
        <v/>
      </c>
      <c r="GZ84" s="481"/>
      <c r="HA84" s="288"/>
      <c r="HB84" s="240"/>
      <c r="HC84" s="240"/>
      <c r="HD84" s="240"/>
      <c r="HE84" s="240"/>
      <c r="HF84" s="240"/>
      <c r="HG84" s="240"/>
      <c r="HH84" s="240"/>
      <c r="HI84" s="240"/>
      <c r="HJ84" s="240"/>
      <c r="HK84" s="240"/>
      <c r="HL84" s="240"/>
      <c r="HM84" s="240"/>
      <c r="HN84" s="240"/>
      <c r="HO84" s="240"/>
      <c r="HP84" s="240"/>
      <c r="HQ84" s="240"/>
      <c r="HR84" s="240"/>
      <c r="HS84" s="240"/>
      <c r="HT84" s="240"/>
      <c r="HU84" s="240"/>
      <c r="HV84" s="245"/>
      <c r="HW84" s="245" t="b">
        <v>1</v>
      </c>
      <c r="HX84" s="245" t="str">
        <f t="shared" si="79"/>
        <v/>
      </c>
      <c r="HY84" s="245" t="e">
        <f t="shared" si="80"/>
        <v>#DIV/0!</v>
      </c>
      <c r="HZ84" s="245" t="e">
        <f t="shared" si="81"/>
        <v>#DIV/0!</v>
      </c>
      <c r="IA84" s="245">
        <f t="shared" si="82"/>
        <v>0</v>
      </c>
      <c r="IB84" s="245"/>
      <c r="IC84" t="b">
        <f t="shared" si="83"/>
        <v>1</v>
      </c>
      <c r="ID84" s="245" t="b">
        <f t="shared" si="84"/>
        <v>1</v>
      </c>
      <c r="IE84" s="245" t="b">
        <f t="shared" si="85"/>
        <v>1</v>
      </c>
      <c r="IF84" s="245" t="b">
        <f t="shared" si="86"/>
        <v>0</v>
      </c>
      <c r="IG84" s="245" t="b">
        <f t="shared" si="87"/>
        <v>1</v>
      </c>
      <c r="IH84" s="245" t="b">
        <f t="shared" si="88"/>
        <v>1</v>
      </c>
      <c r="II84" s="245">
        <f t="shared" si="202"/>
        <v>0</v>
      </c>
      <c r="IJ84" s="245" t="e">
        <f t="shared" si="89"/>
        <v>#VALUE!</v>
      </c>
      <c r="IK84" s="245" t="e">
        <f t="shared" si="90"/>
        <v>#VALUE!</v>
      </c>
      <c r="IL84" s="245"/>
      <c r="IM84" s="245" t="e">
        <f t="shared" si="203"/>
        <v>#N/A</v>
      </c>
      <c r="IN84" s="245" t="e">
        <f t="shared" si="204"/>
        <v>#N/A</v>
      </c>
      <c r="IO84" s="245"/>
      <c r="IP84" s="245"/>
      <c r="IQ84" s="245" t="str">
        <f t="shared" si="91"/>
        <v/>
      </c>
      <c r="IR84" s="245" t="str">
        <f>IF(J84="","",VLOOKUP(J84,Worksheet!$R$4:$T$14,2))</f>
        <v/>
      </c>
      <c r="IS84" s="245"/>
      <c r="IT84" s="245">
        <f t="shared" si="92"/>
        <v>0</v>
      </c>
      <c r="IU84" s="245">
        <f t="shared" si="93"/>
        <v>0</v>
      </c>
      <c r="IV84" s="245">
        <f t="shared" si="94"/>
        <v>0</v>
      </c>
      <c r="IW84" s="245">
        <f t="shared" si="95"/>
        <v>0</v>
      </c>
      <c r="IX84" s="245">
        <f t="shared" si="205"/>
        <v>0</v>
      </c>
      <c r="IY84" s="245">
        <f t="shared" si="96"/>
        <v>0</v>
      </c>
      <c r="IZ84" s="245">
        <f t="shared" si="97"/>
        <v>0</v>
      </c>
      <c r="JA84">
        <f t="shared" si="98"/>
        <v>0</v>
      </c>
      <c r="JB84">
        <f t="shared" si="206"/>
        <v>0</v>
      </c>
      <c r="JC84">
        <f t="shared" si="99"/>
        <v>0</v>
      </c>
      <c r="JD84">
        <f t="shared" si="100"/>
        <v>0</v>
      </c>
      <c r="JE84">
        <f t="shared" si="101"/>
        <v>0</v>
      </c>
      <c r="JF84">
        <f t="shared" si="102"/>
        <v>0</v>
      </c>
      <c r="JG84">
        <f t="shared" si="103"/>
        <v>0</v>
      </c>
      <c r="JH84">
        <f t="shared" si="104"/>
        <v>0</v>
      </c>
      <c r="JI84">
        <f t="shared" si="105"/>
        <v>0</v>
      </c>
      <c r="JJ84" s="447">
        <f t="shared" si="106"/>
        <v>0</v>
      </c>
      <c r="JK84" s="447">
        <f t="shared" si="107"/>
        <v>0</v>
      </c>
      <c r="JL84">
        <f t="shared" si="108"/>
        <v>0</v>
      </c>
      <c r="JM84" s="245" t="str">
        <f>IFERROR(VLOOKUP(MATCH(BN84,#REF!,0),#REF!,7),"")</f>
        <v/>
      </c>
      <c r="JN84" t="e">
        <f>HLOOKUP(LEFT(BO84,7),Discharge_Area,MATCH(JO84,LookUps!$B$130:$B$149,1)+2)</f>
        <v>#N/A</v>
      </c>
      <c r="JO84" t="str">
        <f t="shared" si="109"/>
        <v>- S</v>
      </c>
      <c r="JP84" t="e">
        <f>HLOOKUP(LEFT(BO84,7),Discharge_Area,MATCH(JO84,LookUps!$B$130:$B$149,1)+2)</f>
        <v>#N/A</v>
      </c>
      <c r="JQ84" t="e">
        <f t="shared" si="110"/>
        <v>#N/A</v>
      </c>
      <c r="JR84" t="e">
        <f t="shared" si="111"/>
        <v>#N/A</v>
      </c>
      <c r="JS84" t="e">
        <f t="shared" si="112"/>
        <v>#N/A</v>
      </c>
      <c r="JT84" s="532" t="str">
        <f t="shared" si="113"/>
        <v xml:space="preserve"> </v>
      </c>
      <c r="JU84" s="532" t="str">
        <f t="shared" si="114"/>
        <v xml:space="preserve"> </v>
      </c>
      <c r="JV84" s="533" t="str">
        <f t="shared" si="115"/>
        <v xml:space="preserve"> </v>
      </c>
      <c r="JW84" s="534">
        <f t="shared" si="116"/>
        <v>0</v>
      </c>
      <c r="JX84" s="535" t="str">
        <f t="shared" si="207"/>
        <v xml:space="preserve"> </v>
      </c>
      <c r="JY84" s="535" t="str">
        <f t="shared" si="208"/>
        <v xml:space="preserve"> </v>
      </c>
      <c r="JZ84" s="535" t="str">
        <f t="shared" si="209"/>
        <v xml:space="preserve"> </v>
      </c>
      <c r="KA84" s="536" t="str">
        <f t="shared" si="117"/>
        <v xml:space="preserve"> </v>
      </c>
      <c r="KB84" s="535" t="e">
        <f t="shared" si="210"/>
        <v>#VALUE!</v>
      </c>
      <c r="KC84" s="535" t="str">
        <f t="shared" si="118"/>
        <v/>
      </c>
      <c r="KD84" s="537" t="str">
        <f t="shared" si="211"/>
        <v xml:space="preserve"> </v>
      </c>
      <c r="KE84" s="537" t="str">
        <f t="shared" si="212"/>
        <v xml:space="preserve"> </v>
      </c>
      <c r="KF84" s="534">
        <f t="shared" si="119"/>
        <v>0</v>
      </c>
      <c r="KG84" s="535" t="str">
        <f t="shared" si="120"/>
        <v xml:space="preserve"> </v>
      </c>
      <c r="KH84" s="535" t="str">
        <f t="shared" si="121"/>
        <v xml:space="preserve"> </v>
      </c>
      <c r="KI84" s="535" t="str">
        <f t="shared" si="122"/>
        <v xml:space="preserve"> </v>
      </c>
      <c r="KJ84" s="536" t="str">
        <f t="shared" si="123"/>
        <v xml:space="preserve"> </v>
      </c>
      <c r="KK84" s="535" t="str">
        <f t="shared" si="213"/>
        <v xml:space="preserve"> </v>
      </c>
      <c r="KL84" s="535" t="str">
        <f t="shared" si="214"/>
        <v xml:space="preserve"> </v>
      </c>
      <c r="KM84" s="537" t="str">
        <f t="shared" si="124"/>
        <v xml:space="preserve"> </v>
      </c>
      <c r="KN84" s="537" t="str">
        <f t="shared" si="215"/>
        <v xml:space="preserve"> </v>
      </c>
      <c r="KP84">
        <f t="shared" si="125"/>
        <v>0</v>
      </c>
      <c r="LA84" t="e">
        <f t="shared" si="126"/>
        <v>#VALUE!</v>
      </c>
      <c r="LB84" t="e">
        <f t="shared" si="127"/>
        <v>#VALUE!</v>
      </c>
      <c r="LC84" t="e">
        <f t="shared" si="128"/>
        <v>#VALUE!</v>
      </c>
      <c r="LD84" t="e">
        <f t="shared" si="129"/>
        <v>#VALUE!</v>
      </c>
      <c r="LE84" t="e">
        <f t="shared" si="216"/>
        <v>#VALUE!</v>
      </c>
      <c r="LF84">
        <f t="shared" si="130"/>
        <v>0</v>
      </c>
      <c r="LG84" t="e">
        <f t="shared" si="217"/>
        <v>#VALUE!</v>
      </c>
      <c r="LH84" t="str">
        <f t="shared" si="131"/>
        <v xml:space="preserve"> </v>
      </c>
      <c r="LI84">
        <f t="shared" si="218"/>
        <v>1</v>
      </c>
    </row>
    <row r="85" spans="2:321" ht="15" customHeight="1">
      <c r="B85" s="311"/>
      <c r="C85" s="311"/>
      <c r="D85" s="312"/>
      <c r="E85" s="311"/>
      <c r="F85" s="312"/>
      <c r="G85" s="311"/>
      <c r="H85" s="311"/>
      <c r="I85" s="37"/>
      <c r="J85" s="311"/>
      <c r="K85" s="305" t="str">
        <f t="shared" si="132"/>
        <v/>
      </c>
      <c r="L85" s="313"/>
      <c r="M85" s="312"/>
      <c r="N85" s="311"/>
      <c r="O85" s="312"/>
      <c r="P85" s="311"/>
      <c r="Q85" s="305" t="str">
        <f t="shared" si="133"/>
        <v/>
      </c>
      <c r="R85" s="314"/>
      <c r="S85" s="450" t="str">
        <f t="shared" si="0"/>
        <v/>
      </c>
      <c r="T85" s="315"/>
      <c r="U85" s="315"/>
      <c r="W85" s="149" t="str">
        <f t="shared" si="1"/>
        <v xml:space="preserve"> </v>
      </c>
      <c r="X85" s="243" t="str">
        <f t="shared" si="2"/>
        <v xml:space="preserve"> </v>
      </c>
      <c r="Y85" s="150" t="str">
        <f t="shared" si="3"/>
        <v/>
      </c>
      <c r="Z85" s="149" t="str">
        <f t="shared" si="4"/>
        <v xml:space="preserve"> </v>
      </c>
      <c r="AA85" s="98" t="str">
        <f t="shared" si="5"/>
        <v xml:space="preserve"> </v>
      </c>
      <c r="AB85" s="153" t="str">
        <f t="shared" si="6"/>
        <v xml:space="preserve"> </v>
      </c>
      <c r="AC85" s="153" t="str">
        <f t="shared" si="7"/>
        <v xml:space="preserve"> </v>
      </c>
      <c r="AD85" s="148" t="str">
        <f t="shared" si="8"/>
        <v/>
      </c>
      <c r="AE85" s="149" t="str">
        <f t="shared" si="9"/>
        <v/>
      </c>
      <c r="AF85" s="151" t="str">
        <f t="shared" si="10"/>
        <v xml:space="preserve"> </v>
      </c>
      <c r="AG85" s="153" t="str">
        <f t="shared" si="11"/>
        <v xml:space="preserve"> </v>
      </c>
      <c r="AH85" s="98" t="str">
        <f t="shared" si="12"/>
        <v xml:space="preserve"> </v>
      </c>
      <c r="AI85" s="149" t="str">
        <f t="shared" si="13"/>
        <v xml:space="preserve"> </v>
      </c>
      <c r="AK85" s="144" t="str">
        <f t="shared" si="14"/>
        <v xml:space="preserve"> </v>
      </c>
      <c r="AL85" s="144"/>
      <c r="AM85" s="243" t="str">
        <f t="shared" si="15"/>
        <v xml:space="preserve"> </v>
      </c>
      <c r="AN85" s="149" t="str">
        <f t="shared" si="134"/>
        <v xml:space="preserve"> </v>
      </c>
      <c r="AO85" s="144" t="str">
        <f>IF(JB85&gt;0,IF(GI85=10,-R85*1.085*(Calculation!$F$6-Calculation!$F$13)*$S$14," "),"")</f>
        <v/>
      </c>
      <c r="AP85" s="144" t="str">
        <f t="shared" si="16"/>
        <v/>
      </c>
      <c r="AQ85" s="56" t="str">
        <f t="shared" si="17"/>
        <v/>
      </c>
      <c r="AR85" s="144" t="str">
        <f t="shared" si="18"/>
        <v/>
      </c>
      <c r="AS85" s="176" t="str">
        <f t="shared" si="19"/>
        <v/>
      </c>
      <c r="AT85" s="176" t="str">
        <f t="shared" si="135"/>
        <v xml:space="preserve"> </v>
      </c>
      <c r="AU85" s="176" t="str">
        <f t="shared" si="20"/>
        <v/>
      </c>
      <c r="AV85" s="177" t="str">
        <f t="shared" si="21"/>
        <v xml:space="preserve"> </v>
      </c>
      <c r="AW85" s="144" t="str">
        <f t="shared" si="22"/>
        <v xml:space="preserve"> </v>
      </c>
      <c r="AX85" s="144" t="str">
        <f t="shared" si="23"/>
        <v xml:space="preserve"> </v>
      </c>
      <c r="AY85" s="152" t="str">
        <f t="shared" si="24"/>
        <v xml:space="preserve"> </v>
      </c>
      <c r="AZ85" s="246" t="str">
        <f t="shared" si="25"/>
        <v/>
      </c>
      <c r="BA85" s="176" t="str">
        <f t="shared" si="26"/>
        <v xml:space="preserve"> </v>
      </c>
      <c r="BB85" s="176" t="str">
        <f t="shared" si="27"/>
        <v xml:space="preserve"> </v>
      </c>
      <c r="BC85" s="195"/>
      <c r="BD85" s="316"/>
      <c r="BE85" s="317"/>
      <c r="BF85" s="318"/>
      <c r="BG85" s="318"/>
      <c r="BH85" s="144" t="str">
        <f t="shared" si="219"/>
        <v xml:space="preserve"> </v>
      </c>
      <c r="BI85" s="176" t="str">
        <f t="shared" si="28"/>
        <v/>
      </c>
      <c r="BJ85" s="144" t="str">
        <f t="shared" si="220"/>
        <v/>
      </c>
      <c r="BK85" s="246" t="str">
        <f t="shared" si="29"/>
        <v/>
      </c>
      <c r="BL85" s="144" t="str">
        <f t="shared" si="221"/>
        <v/>
      </c>
      <c r="BM85" s="246" t="str">
        <f t="shared" si="30"/>
        <v/>
      </c>
      <c r="BN85" s="337" t="str">
        <f t="shared" si="136"/>
        <v/>
      </c>
      <c r="BO85" s="371" t="str">
        <f t="shared" si="137"/>
        <v/>
      </c>
      <c r="BP85" s="328" t="str">
        <f t="shared" si="222"/>
        <v xml:space="preserve"> </v>
      </c>
      <c r="BQ85" s="347" t="str">
        <f t="shared" si="138"/>
        <v xml:space="preserve"> </v>
      </c>
      <c r="BR85" s="353" t="str">
        <f t="shared" si="223"/>
        <v xml:space="preserve"> </v>
      </c>
      <c r="BS85" s="626" t="str">
        <f>IF(L85&gt;0,IF(Calculation!P85="M13",BR85*3.1416*(0.134^2)/(4*144),IF(Calculation!P85="M17",BR85*3.1416*(0.165^2)/(4*144),IF(Calculation!P85="M20",BR85*3.1416*(0.198^2)/(4*144),IF(Calculation!P85="M23",BR85*3.1416*(0.228^2)/(4*144),IF(Calculation!P85="M27",BR85*3.1416*(0.269^2)/(4*144),BR85*3.1416*(0.307^2)/(4*144))))))," ")</f>
        <v xml:space="preserve"> </v>
      </c>
      <c r="BT85" s="353" t="str">
        <f>IF(L85&gt;0,IF(BS85&gt;0,R85/Calculation!BS85,0)," ")</f>
        <v xml:space="preserve"> </v>
      </c>
      <c r="BU85" s="438" t="e">
        <f t="shared" ca="1" si="31"/>
        <v>#VALUE!</v>
      </c>
      <c r="BV85" s="449" t="e">
        <f ca="1">INDEX(INDIRECT(VLOOKUP(LEFT(BO85,7),CLU!$Z$3:$AH$18,2)),GN85,GR85)</f>
        <v>#N/A</v>
      </c>
      <c r="BW85" s="433" t="e">
        <f ca="1">INDEX(INDIRECT(VLOOKUP(LEFT(BO85,7),CLU!$Z$3:$AH$18,3)),GN85,GR85)</f>
        <v>#N/A</v>
      </c>
      <c r="BX85" s="433" t="e">
        <f ca="1">INDEX(INDIRECT(VLOOKUP(LEFT(BO85,7),CLU!$Z$3:$AH$18,4)),GN85,GR85)</f>
        <v>#N/A</v>
      </c>
      <c r="BY85" s="433" t="e">
        <f ca="1">INDEX(INDIRECT(VLOOKUP(LEFT(BO85,7),CLU!$Z$3:$AH$18,9)),((M85-2)*(6-COUNTBLANK(GT85:GY85)))+GJ85)</f>
        <v>#N/A</v>
      </c>
      <c r="BZ85" s="426" t="e">
        <f t="shared" ca="1" si="139"/>
        <v>#N/A</v>
      </c>
      <c r="CA85" s="424" t="e">
        <f t="shared" ca="1" si="140"/>
        <v>#N/A</v>
      </c>
      <c r="CB85" s="429" t="e">
        <f ca="1">INDEX(INDIRECT(VLOOKUP(LEFT(BO85,7),CLU!$Z$3:$AH$18,2)),GN85,GS85)</f>
        <v>#N/A</v>
      </c>
      <c r="CC85" s="342" t="e">
        <f ca="1">INDEX(INDIRECT(VLOOKUP(LEFT(BO85,7),CLU!$Z$3:$AH$18,3)),GN85,GS85)</f>
        <v>#N/A</v>
      </c>
      <c r="CD85" s="342" t="e">
        <f ca="1">INDEX(INDIRECT(VLOOKUP(LEFT(BO85,7),CLU!$Z$3:$AH$18,4)),GN85,GS85)</f>
        <v>#N/A</v>
      </c>
      <c r="CE85" s="426" t="e">
        <f t="shared" ca="1" si="141"/>
        <v>#N/A</v>
      </c>
      <c r="CF85" s="440">
        <f t="shared" si="142"/>
        <v>0</v>
      </c>
      <c r="CG85" s="431" t="e">
        <f ca="1">INDEX(INDIRECT(VLOOKUP(LEFT(BO85,7),CLU!$Z$3:$AH$18,2)),GQ85,GR85)</f>
        <v>#N/A</v>
      </c>
      <c r="CH85" s="431" t="e">
        <f ca="1">INDEX(INDIRECT(VLOOKUP(LEFT(BO85,7),CLU!$Z$3:$AH$18,3)),GQ85,GR85)</f>
        <v>#N/A</v>
      </c>
      <c r="CI85" s="431" t="e">
        <f ca="1">INDEX(INDIRECT(VLOOKUP(LEFT(BO85,7),CLU!$Z$3:$AH$18,4)),GQ85,GR85)</f>
        <v>#N/A</v>
      </c>
      <c r="CJ85" s="448" t="e">
        <f t="shared" ca="1" si="143"/>
        <v>#N/A</v>
      </c>
      <c r="CK85" s="431" t="e">
        <f t="shared" ca="1" si="144"/>
        <v>#N/A</v>
      </c>
      <c r="CL85" s="440" t="e">
        <f t="shared" ca="1" si="145"/>
        <v>#N/A</v>
      </c>
      <c r="CM85" s="431" t="e">
        <f ca="1">INDEX(INDIRECT(VLOOKUP(LEFT(BO85,7),CLU!$Z$3:$AH$18,2)),GQ85,GS85)</f>
        <v>#N/A</v>
      </c>
      <c r="CN85" s="431" t="e">
        <f ca="1">INDEX(INDIRECT(VLOOKUP(LEFT(BO85,7),CLU!$Z$3:$AH$18,3)),GQ85,GS85)</f>
        <v>#N/A</v>
      </c>
      <c r="CO85" s="431" t="e">
        <f ca="1">INDEX(INDIRECT(VLOOKUP(LEFT(BO85,7),CLU!$Z$3:$AH$18,4)),GQ85,GS85)</f>
        <v>#N/A</v>
      </c>
      <c r="CP85" s="431" t="e">
        <f t="shared" ca="1" si="146"/>
        <v>#N/A</v>
      </c>
      <c r="CQ85" s="440">
        <f t="shared" si="147"/>
        <v>0</v>
      </c>
      <c r="CR85" s="51" t="e">
        <f t="shared" ca="1" si="148"/>
        <v>#N/A</v>
      </c>
      <c r="CS85" s="439" t="e">
        <f t="shared" ca="1" si="149"/>
        <v>#VALUE!</v>
      </c>
      <c r="CT85" s="51" t="e">
        <f t="shared" ca="1" si="150"/>
        <v>#VALUE!</v>
      </c>
      <c r="CU85" s="10"/>
      <c r="CV85" s="51" t="e">
        <f t="shared" ca="1" si="34"/>
        <v>#VALUE!</v>
      </c>
      <c r="CW85" s="51">
        <f t="shared" si="151"/>
        <v>0</v>
      </c>
      <c r="CX85" s="439" t="e">
        <f t="shared" ca="1" si="152"/>
        <v>#VALUE!</v>
      </c>
      <c r="CY85" s="51" t="e">
        <f t="shared" ca="1" si="153"/>
        <v>#VALUE!</v>
      </c>
      <c r="CZ85" s="10"/>
      <c r="DA85" s="51" t="e">
        <f t="shared" ca="1" si="154"/>
        <v>#VALUE!</v>
      </c>
      <c r="DB85" s="347" t="e">
        <f ca="1">INDEX(INDIRECT(VLOOKUP(LEFT(BO85,7),CLU!$Z$3:$AI$18,10)),((M85-2)*(6-COUNTBLANK(GT85:GY85)))+GJ85)*LI85</f>
        <v>#N/A</v>
      </c>
      <c r="DC85" s="347" t="str">
        <f>IF(L85&gt;0,((R85/Worksheet!$I$15)/DB85)^2," ")</f>
        <v xml:space="preserve"> </v>
      </c>
      <c r="DD85" s="602" t="str">
        <f t="shared" si="224"/>
        <v xml:space="preserve"> </v>
      </c>
      <c r="DE85" s="347" t="str">
        <f t="shared" si="35"/>
        <v xml:space="preserve"> </v>
      </c>
      <c r="DF85" s="356" t="e">
        <f ca="1">INDEX(INDIRECT(VLOOKUP(LEFT(BO85,7),CLU!$Z$3:$AH$18,8)),((M85-2)*(6-COUNTBLANK(GT85:GY85)))+GJ85)</f>
        <v>#N/A</v>
      </c>
      <c r="DG85" s="347" t="str">
        <f t="shared" si="36"/>
        <v xml:space="preserve"> </v>
      </c>
      <c r="DH85" s="357" t="str">
        <f t="shared" si="37"/>
        <v xml:space="preserve"> </v>
      </c>
      <c r="DI85" s="355" t="str">
        <f t="shared" si="38"/>
        <v xml:space="preserve"> </v>
      </c>
      <c r="DJ85" s="245" t="e">
        <f ca="1">INDEX(INDIRECT(VLOOKUP(LEFT(BO85,7),CLU!$Z$3:$AH$18,5)),GL85,GK85)</f>
        <v>#N/A</v>
      </c>
      <c r="DK85" s="245" t="e">
        <f ca="1">INDEX(INDIRECT(VLOOKUP(LEFT(BO85,7),CLU!$Z$3:$AH$18,6)),GL85,GK85)</f>
        <v>#N/A</v>
      </c>
      <c r="DL85" s="355">
        <f>(Calculation!R85*0.69143*(Calculation!$BQ$8-Calculation!$F$8))*$S$14</f>
        <v>0</v>
      </c>
      <c r="DM85" s="359" t="e">
        <f t="shared" si="160"/>
        <v>#VALUE!</v>
      </c>
      <c r="DN85" s="611">
        <f t="shared" si="161"/>
        <v>0</v>
      </c>
      <c r="DO85" s="359">
        <f t="shared" si="162"/>
        <v>100</v>
      </c>
      <c r="DP85" s="359">
        <f t="shared" si="163"/>
        <v>0</v>
      </c>
      <c r="DQ85" s="360"/>
      <c r="DR85" s="245" t="e">
        <f ca="1">INDEX(INDIRECT(VLOOKUP(LEFT(BO85,7),CLU!$Z$3:$AH$18,7)),M85-1,1)</f>
        <v>#N/A</v>
      </c>
      <c r="DS85" s="245" t="e">
        <f ca="1">INDEX(INDIRECT(VLOOKUP(LEFT(BO85,7),CLU!$Z$3:$AH$18,7)),M85-1,2)</f>
        <v>#N/A</v>
      </c>
      <c r="DT85" s="245" t="e">
        <f ca="1">INDEX(INDIRECT(VLOOKUP(LEFT(BO85,7),CLU!$Z$3:$AH$18,7)),M85-1,3)</f>
        <v>#N/A</v>
      </c>
      <c r="DU85" s="245" t="e">
        <f ca="1">INDEX(INDIRECT(VLOOKUP(LEFT(BO85,7),CLU!$Z$3:$AH$18,7)),M85-1,4)</f>
        <v>#N/A</v>
      </c>
      <c r="DV85" s="361" t="e">
        <f ca="1">INDEX(INDIRECT(VLOOKUP(LEFT(BO85,7),CLU!$Z$3:$AH$18,7)),M85-1,4+LEFT(DZ85,1)*0.5)</f>
        <v>#N/A</v>
      </c>
      <c r="DW85" s="245" t="e">
        <f ca="1">INDEX(INDIRECT(VLOOKUP(LEFT(BO85,7),CLU!$Z$3:$AH$18,7)),M85-1,8)</f>
        <v>#N/A</v>
      </c>
      <c r="DX85" s="361" t="str">
        <f t="shared" si="39"/>
        <v xml:space="preserve"> </v>
      </c>
      <c r="DY85" s="361" t="str">
        <f t="shared" si="40"/>
        <v xml:space="preserve"> </v>
      </c>
      <c r="DZ85" s="361" t="str">
        <f t="shared" si="41"/>
        <v xml:space="preserve"> </v>
      </c>
      <c r="EA85" s="362" t="str">
        <f t="shared" si="42"/>
        <v xml:space="preserve"> </v>
      </c>
      <c r="EB85" s="624" t="str">
        <f t="shared" si="168"/>
        <v xml:space="preserve"> </v>
      </c>
      <c r="EC85" s="361" t="e">
        <f ca="1">INDEX(INDIRECT(VLOOKUP(LEFT(BO85,7),CLU!$Z$3:$AH$18,7)),M85-1,4+LEFT(DZ85,1)*0.5)</f>
        <v>#N/A</v>
      </c>
      <c r="ED85" s="362" t="str">
        <f t="shared" si="43"/>
        <v xml:space="preserve"> </v>
      </c>
      <c r="EE85" s="361" t="str">
        <f t="shared" si="44"/>
        <v xml:space="preserve"> </v>
      </c>
      <c r="EF85" s="362" t="str">
        <f>IF(L85&gt;0,IF(BR85&gt;0,IF(EE85="2P",IF(Calculation!DZ85="2P",IF(Calculation!DS85=13.75,IF(Calculation!DR85=13,Worksheet!$BD$43,IF(Calculation!DR85=37,Worksheet!$BD$44,Worksheet!$BD$45)),IF(Calculation!DS85=10,IF(Calculation!DR85=18,Worksheet!$BD$29,IF(Calculation!DR85=30,Worksheet!$BD$30,IF(Calculation!DR85=42,Worksheet!$BD$31,IF(Calculation!DR85=54,Worksheet!$BD$32,IF(Calculation!DR85=66,Worksheet!$BD$33,IF(Calculation!DR85=78,Worksheet!$BD$34,IF(Calculation!DR85=90,Worksheet!$BD$35,IF(Calculation!DR85=102,Worksheet!$BD$36,Worksheet!$BD$37)))))))),IF(Calculation!DS85=12.5,IF(Calculation!DR85=18,Worksheet!$BD$38,IF(Calculation!DR85=Worksheet!$BD$39,IF(Calculation!DR85=42,Worksheet!$BD$40,IF(Calculation!DR85=54,Worksheet!$BD$41,Worksheet!$BD$42)))),IF(Calculation!DR85=18,Worksheet!$BD$11,IF(Calculation!DR85=30,Worksheet!$BD$12,IF(Calculation!DR85=42,Worksheet!$BD$13,IF(Calculation!DR85=54,Worksheet!$BD$14,IF(Calculation!DR85=66,Worksheet!$BD$15,IF(Calculation!DR85=78,Worksheet!$BD$16,IF(Calculation!DR85=90,Worksheet!$BD$17,IF(Calculation!DR85=102,Worksheet!$BD$18,Worksheet!$BD$19))))))))))),IF(Calculation!DS85=13.75,IF(Calculation!DR85=13,Worksheet!$BD$78,IF(Calculation!DR85=37,Worksheet!$BD$79,Worksheet!$BD$80)),IF(Calculation!DS85=10,IF(Calculation!DR85=18,Worksheet!$BD$64,IF(Calculation!DR85=30,Worksheet!$BD$65,IF(Calculation!DR85=42,Worksheet!$BD$66,IF(Calculation!DR85=54,Worksheet!$BD$68,IF(Calculation!DR85=66,Worksheet!$BD$68,IF(Calculation!DR85=78,Worksheet!$BD$69,IF(Calculation!DR85=90,Worksheet!$BD$70,IF(Calculation!DR85=102,Worksheet!$BD$71,Worksheet!$BD$72)))))))),IF(Calculation!DS85=12.5,IF(Calculation!DR85=18,Worksheet!$BD$73,IF(Calculation!DR85=Worksheet!$BD$74,IF(Calculation!DR85=42,Worksheet!$BD$75,IF(Calculation!DR85=54,Worksheet!$BD$76,Worksheet!$BD$77)))),IF(Calculation!DR85=18,Worksheet!$BD$55,IF(Calculation!DR85=30,Worksheet!$BD$56,IF(Calculation!DR85=42,Worksheet!$BD$57,IF(Calculation!DR85=54,Worksheet!$BD$58,IF(Calculation!DR85=66,Worksheet!$BD$59,IF(Calculation!DR85=78,Worksheet!$BD$60,IF(Calculation!DR85=90,Worksheet!$BD$61,IF(Calculation!DR85=102,Worksheet!$BD$62,Worksheet!$BD$63)))))))))))),5),0)," ")</f>
        <v xml:space="preserve"> </v>
      </c>
      <c r="EG85" s="361" t="str">
        <f t="shared" si="45"/>
        <v xml:space="preserve"> </v>
      </c>
      <c r="EH85" s="361" t="e">
        <f ca="1">INDEX(INDIRECT(VLOOKUP(LEFT(BO85,7),CLU!$Z$3:$AH$18,7)),M85-1,3+LEFT(DZ85,1))</f>
        <v>#N/A</v>
      </c>
      <c r="EI85" s="362" t="str">
        <f t="shared" si="46"/>
        <v xml:space="preserve"> </v>
      </c>
      <c r="EJ85" s="363" t="str">
        <f t="shared" si="47"/>
        <v xml:space="preserve"> </v>
      </c>
      <c r="EK85" s="363" t="str">
        <f t="shared" si="48"/>
        <v xml:space="preserve"> </v>
      </c>
      <c r="EL85" s="363" t="str">
        <f t="shared" si="49"/>
        <v xml:space="preserve"> </v>
      </c>
      <c r="EM85" s="362" t="str">
        <f>IF(L85&gt;0,IF(BR85&gt;0,(Calculation!T85/ED85)^2,0)," ")</f>
        <v xml:space="preserve"> </v>
      </c>
      <c r="EN85" s="362" t="str">
        <f>IF(L85&gt;0,IF(O85="2 Pipe (Cooling)","N/A",IF(BR85&gt;0,(Calculation!U85/EI85)^2,0))," ")</f>
        <v xml:space="preserve"> </v>
      </c>
      <c r="EO85" s="361" t="str">
        <f t="shared" si="50"/>
        <v/>
      </c>
      <c r="EP85" s="361" t="str">
        <f t="shared" si="51"/>
        <v/>
      </c>
      <c r="EQ85" s="361" t="str">
        <f t="shared" si="52"/>
        <v/>
      </c>
      <c r="ER85" s="361" t="str">
        <f t="shared" si="53"/>
        <v/>
      </c>
      <c r="ES85" s="361" t="str">
        <f t="shared" si="54"/>
        <v/>
      </c>
      <c r="ET85" s="361" t="str">
        <f t="shared" si="55"/>
        <v/>
      </c>
      <c r="EU85" s="361" t="str">
        <f t="shared" si="56"/>
        <v/>
      </c>
      <c r="EV85" s="361" t="str">
        <f t="shared" si="57"/>
        <v/>
      </c>
      <c r="EW85" s="361" t="str">
        <f t="shared" si="58"/>
        <v/>
      </c>
      <c r="EX85" s="361" t="str">
        <f t="shared" si="169"/>
        <v>1 slot, 1 way</v>
      </c>
      <c r="EY85" s="361" t="str">
        <f t="shared" si="170"/>
        <v xml:space="preserve"> </v>
      </c>
      <c r="EZ85" s="361" t="str">
        <f t="shared" si="171"/>
        <v xml:space="preserve"> </v>
      </c>
      <c r="FA85" s="361" t="str">
        <f t="shared" si="172"/>
        <v xml:space="preserve"> </v>
      </c>
      <c r="FB85" s="361" t="str">
        <f t="shared" si="173"/>
        <v xml:space="preserve"> </v>
      </c>
      <c r="FC85" s="361"/>
      <c r="FD85" s="361" t="str">
        <f>IF(J85&gt;0,IF(Calculation!R85&lt;=70,4,IF(Calculation!R85&lt;=110,5,IF(Calculation!R85&lt;=160,6,IF(Calculation!R85&lt;=300,8,"10 EO")))),"")</f>
        <v/>
      </c>
      <c r="FE85" s="361" t="str">
        <f t="shared" si="174"/>
        <v/>
      </c>
      <c r="FF85" s="361" t="str">
        <f t="shared" si="175"/>
        <v/>
      </c>
      <c r="FG85" s="361" t="e">
        <f t="shared" si="60"/>
        <v>#N/A</v>
      </c>
      <c r="FH85" s="361">
        <f t="shared" si="61"/>
        <v>0</v>
      </c>
      <c r="FI85" s="361" t="e">
        <f t="shared" si="62"/>
        <v>#DIV/0!</v>
      </c>
      <c r="FJ85" s="361"/>
      <c r="FK85" s="356" t="e">
        <f t="shared" si="63"/>
        <v>#VALUE!</v>
      </c>
      <c r="FL85" s="361"/>
      <c r="FM85" s="361"/>
      <c r="FN85" s="362" t="str">
        <f t="shared" si="176"/>
        <v xml:space="preserve"> </v>
      </c>
      <c r="FO85" s="362" t="str">
        <f t="shared" si="177"/>
        <v xml:space="preserve"> </v>
      </c>
      <c r="FP85" s="362">
        <f t="shared" si="178"/>
        <v>0</v>
      </c>
      <c r="FQ85" s="361">
        <f t="shared" si="64"/>
        <v>0</v>
      </c>
      <c r="FR85" s="362" t="str">
        <f>IF(L85&gt;0,IF(J85="CBAL2",Worksheet!$P$67,IF(J85="CBE2-24",Worksheet!$Q$67,IF(J85="CBAM",Worksheet!$R$67,IF(J85="CBLV",Worksheet!$S$67,IF(J85="CBAB",Worksheet!$U$67,IF(J85="CBAW",Worksheet!$X$67,IF(J85="CBE2-12",Worksheet!$Y$67,IF(J85="CBAL2",Worksheet!$Z$67,"N/A"))))))))," ")</f>
        <v xml:space="preserve"> </v>
      </c>
      <c r="FS85" s="362" t="str">
        <f>IF(L85&gt;0,IF(J85="CBAL2",Worksheet!$P$68,IF(J85="CBE2-24",Worksheet!$Q$68,IF(J85="CBAM",Worksheet!$R$68,IF(J85="CBLV",Worksheet!$S$68,IF(J85="CBAB",Worksheet!$U$68,IF(J85="CBAW",Worksheet!$X$68,IF(J85="CBE2-12",Worksheet!$Y$68,IF(J85="CBAL2",Worksheet!$Z$68,"N/A"))))))))," ")</f>
        <v xml:space="preserve"> </v>
      </c>
      <c r="FT85" s="362" t="str">
        <f>IF(L85&gt;0,IF(J85="CBAL2",Worksheet!$P$69,IF(J85="CBE2-24",Worksheet!$Q$69,IF(J85="CBAM",Worksheet!$R$69,IF(J85="CBLV",Worksheet!$S$69,IF(J85="CBAB",Worksheet!$U$69,IF(J85="CBAW",Worksheet!$X$69,IF(J85="CBE2-12",Worksheet!$Y$69,IF(J85="CBAL2",Worksheet!$Z$69,"N/A"))))))))," ")</f>
        <v xml:space="preserve"> </v>
      </c>
      <c r="FU85" s="361" t="str">
        <f t="shared" si="179"/>
        <v xml:space="preserve"> </v>
      </c>
      <c r="FV85" s="362" t="str">
        <f t="shared" si="180"/>
        <v xml:space="preserve"> </v>
      </c>
      <c r="FW85" s="362" t="str">
        <f t="shared" si="181"/>
        <v xml:space="preserve"> </v>
      </c>
      <c r="FX85" s="362" t="str">
        <f t="shared" si="182"/>
        <v xml:space="preserve"> </v>
      </c>
      <c r="FY85" s="355" t="str">
        <f t="shared" si="183"/>
        <v xml:space="preserve"> </v>
      </c>
      <c r="FZ85" s="361" t="str">
        <f t="shared" si="184"/>
        <v xml:space="preserve"> </v>
      </c>
      <c r="GA85" s="347" t="str">
        <f t="shared" si="185"/>
        <v xml:space="preserve"> </v>
      </c>
      <c r="GB85" s="355" t="str">
        <f t="shared" si="186"/>
        <v xml:space="preserve"> </v>
      </c>
      <c r="GC85" s="328" t="str">
        <f t="shared" si="187"/>
        <v xml:space="preserve"> </v>
      </c>
      <c r="GD85" s="361" t="str">
        <f t="shared" si="188"/>
        <v xml:space="preserve"> </v>
      </c>
      <c r="GE85" s="347" t="str">
        <f t="shared" si="189"/>
        <v xml:space="preserve"> </v>
      </c>
      <c r="GF85" s="361" t="str">
        <f t="shared" si="190"/>
        <v xml:space="preserve"> </v>
      </c>
      <c r="GG85" s="347" t="str">
        <f t="shared" si="191"/>
        <v xml:space="preserve"> </v>
      </c>
      <c r="GH85" s="364">
        <f t="shared" si="78"/>
        <v>0</v>
      </c>
      <c r="GI85" s="362">
        <f t="shared" si="192"/>
        <v>2</v>
      </c>
      <c r="GJ85" s="433" t="e">
        <f>IF(6-COUNTBLANK(GT85:GY85)=4,MATCH(MID(BO85,9,3),CLU!$H$16:$K$16),MATCH(MID(BO85,9,3),CLU!$H$13:$M$13))</f>
        <v>#N/A</v>
      </c>
      <c r="GK85" s="433" t="e">
        <f>HLOOKUP(VALUE(BP85),CLU!$H$9:$M$10,2)</f>
        <v>#VALUE!</v>
      </c>
      <c r="GL85" s="433" t="e">
        <f ca="1">MATCH(BU85,CLU!$H$2:$V$2,1)</f>
        <v>#VALUE!</v>
      </c>
      <c r="GM85" s="433" t="e">
        <f t="shared" ca="1" si="193"/>
        <v>#VALUE!</v>
      </c>
      <c r="GN85" s="433" t="e">
        <f t="shared" ca="1" si="194"/>
        <v>#VALUE!</v>
      </c>
      <c r="GO85" s="433" t="e">
        <f t="shared" ca="1" si="195"/>
        <v>#VALUE!</v>
      </c>
      <c r="GP85" s="433" t="e">
        <f t="shared" ca="1" si="196"/>
        <v>#VALUE!</v>
      </c>
      <c r="GQ85" s="433" t="e">
        <f t="shared" ca="1" si="197"/>
        <v>#VALUE!</v>
      </c>
      <c r="GR85" s="433" t="e">
        <f ca="1">MATCH(T85,INDIRECT(VLOOKUP(CONCATENATE(LEFT(BO85,7),"-",MID(BO85,13,1)),CLU!$P$3:$Q$16,2)),1)</f>
        <v>#N/A</v>
      </c>
      <c r="GS85" s="433" t="e">
        <f ca="1">MATCH(U85,INDIRECT(VLOOKUP(CONCATENATE(LEFT(BO85,7),"-",MID(BO85,13,1)),CLU!$P$3:$Q$16,2)),1)</f>
        <v>#N/A</v>
      </c>
      <c r="GT85" s="347" t="s">
        <v>512</v>
      </c>
      <c r="GU85" s="97" t="s">
        <v>513</v>
      </c>
      <c r="GV85" s="97" t="str">
        <f t="shared" si="198"/>
        <v>M23</v>
      </c>
      <c r="GW85" s="97" t="str">
        <f t="shared" si="199"/>
        <v>M31</v>
      </c>
      <c r="GX85" s="97" t="str">
        <f t="shared" si="200"/>
        <v/>
      </c>
      <c r="GY85" s="97" t="str">
        <f t="shared" si="201"/>
        <v/>
      </c>
      <c r="GZ85" s="481"/>
      <c r="HA85" s="288"/>
      <c r="HB85" s="240"/>
      <c r="HC85" s="240"/>
      <c r="HD85" s="240"/>
      <c r="HE85" s="240"/>
      <c r="HF85" s="240"/>
      <c r="HG85" s="240"/>
      <c r="HH85" s="240"/>
      <c r="HI85" s="240"/>
      <c r="HJ85" s="240"/>
      <c r="HK85" s="240"/>
      <c r="HL85" s="240"/>
      <c r="HM85" s="240"/>
      <c r="HN85" s="240"/>
      <c r="HO85" s="240"/>
      <c r="HP85" s="240"/>
      <c r="HQ85" s="240"/>
      <c r="HR85" s="240"/>
      <c r="HS85" s="240"/>
      <c r="HT85" s="240"/>
      <c r="HU85" s="240"/>
      <c r="HV85" s="245"/>
      <c r="HW85" s="245" t="b">
        <v>1</v>
      </c>
      <c r="HX85" s="245" t="str">
        <f t="shared" si="79"/>
        <v/>
      </c>
      <c r="HY85" s="245" t="e">
        <f t="shared" si="80"/>
        <v>#DIV/0!</v>
      </c>
      <c r="HZ85" s="245" t="e">
        <f t="shared" si="81"/>
        <v>#DIV/0!</v>
      </c>
      <c r="IA85" s="245">
        <f t="shared" si="82"/>
        <v>0</v>
      </c>
      <c r="IB85" s="245"/>
      <c r="IC85" t="b">
        <f t="shared" si="83"/>
        <v>1</v>
      </c>
      <c r="ID85" s="245" t="b">
        <f t="shared" si="84"/>
        <v>1</v>
      </c>
      <c r="IE85" s="245" t="b">
        <f t="shared" si="85"/>
        <v>1</v>
      </c>
      <c r="IF85" s="245" t="b">
        <f t="shared" si="86"/>
        <v>0</v>
      </c>
      <c r="IG85" s="245" t="b">
        <f t="shared" si="87"/>
        <v>1</v>
      </c>
      <c r="IH85" s="245" t="b">
        <f t="shared" si="88"/>
        <v>1</v>
      </c>
      <c r="II85" s="245">
        <f t="shared" si="202"/>
        <v>0</v>
      </c>
      <c r="IJ85" s="245" t="e">
        <f t="shared" si="89"/>
        <v>#VALUE!</v>
      </c>
      <c r="IK85" s="245" t="e">
        <f t="shared" si="90"/>
        <v>#VALUE!</v>
      </c>
      <c r="IL85" s="245"/>
      <c r="IM85" s="245" t="e">
        <f t="shared" si="203"/>
        <v>#N/A</v>
      </c>
      <c r="IN85" s="245" t="e">
        <f t="shared" si="204"/>
        <v>#N/A</v>
      </c>
      <c r="IO85" s="245"/>
      <c r="IP85" s="245"/>
      <c r="IQ85" s="245" t="str">
        <f t="shared" si="91"/>
        <v/>
      </c>
      <c r="IR85" s="245" t="str">
        <f>IF(J85="","",VLOOKUP(J85,Worksheet!$R$4:$T$14,2))</f>
        <v/>
      </c>
      <c r="IS85" s="245"/>
      <c r="IT85" s="245">
        <f t="shared" si="92"/>
        <v>0</v>
      </c>
      <c r="IU85" s="245">
        <f t="shared" si="93"/>
        <v>0</v>
      </c>
      <c r="IV85" s="245">
        <f t="shared" si="94"/>
        <v>0</v>
      </c>
      <c r="IW85" s="245">
        <f t="shared" si="95"/>
        <v>0</v>
      </c>
      <c r="IX85" s="245">
        <f t="shared" si="205"/>
        <v>0</v>
      </c>
      <c r="IY85" s="245">
        <f t="shared" si="96"/>
        <v>0</v>
      </c>
      <c r="IZ85" s="245">
        <f t="shared" si="97"/>
        <v>0</v>
      </c>
      <c r="JA85">
        <f t="shared" si="98"/>
        <v>0</v>
      </c>
      <c r="JB85">
        <f t="shared" si="206"/>
        <v>0</v>
      </c>
      <c r="JC85">
        <f t="shared" si="99"/>
        <v>0</v>
      </c>
      <c r="JD85">
        <f t="shared" si="100"/>
        <v>0</v>
      </c>
      <c r="JE85">
        <f t="shared" si="101"/>
        <v>0</v>
      </c>
      <c r="JF85">
        <f t="shared" si="102"/>
        <v>0</v>
      </c>
      <c r="JG85">
        <f t="shared" si="103"/>
        <v>0</v>
      </c>
      <c r="JH85">
        <f t="shared" si="104"/>
        <v>0</v>
      </c>
      <c r="JI85">
        <f t="shared" si="105"/>
        <v>0</v>
      </c>
      <c r="JJ85" s="447">
        <f t="shared" si="106"/>
        <v>0</v>
      </c>
      <c r="JK85" s="447">
        <f t="shared" si="107"/>
        <v>0</v>
      </c>
      <c r="JL85">
        <f t="shared" si="108"/>
        <v>0</v>
      </c>
      <c r="JM85" s="245" t="str">
        <f>IFERROR(VLOOKUP(MATCH(BN85,#REF!,0),#REF!,7),"")</f>
        <v/>
      </c>
      <c r="JN85" t="e">
        <f>HLOOKUP(LEFT(BO85,7),Discharge_Area,MATCH(JO85,LookUps!$B$130:$B$149,1)+2)</f>
        <v>#N/A</v>
      </c>
      <c r="JO85" t="str">
        <f t="shared" si="109"/>
        <v>- S</v>
      </c>
      <c r="JP85" t="e">
        <f>HLOOKUP(LEFT(BO85,7),Discharge_Area,MATCH(JO85,LookUps!$B$130:$B$149,1)+2)</f>
        <v>#N/A</v>
      </c>
      <c r="JQ85" t="e">
        <f t="shared" si="110"/>
        <v>#N/A</v>
      </c>
      <c r="JR85" t="e">
        <f t="shared" si="111"/>
        <v>#N/A</v>
      </c>
      <c r="JS85" t="e">
        <f t="shared" si="112"/>
        <v>#N/A</v>
      </c>
      <c r="JT85" s="532" t="str">
        <f t="shared" si="113"/>
        <v xml:space="preserve"> </v>
      </c>
      <c r="JU85" s="532" t="str">
        <f t="shared" si="114"/>
        <v xml:space="preserve"> </v>
      </c>
      <c r="JV85" s="533" t="str">
        <f t="shared" si="115"/>
        <v xml:space="preserve"> </v>
      </c>
      <c r="JW85" s="534">
        <f t="shared" si="116"/>
        <v>0</v>
      </c>
      <c r="JX85" s="535" t="str">
        <f t="shared" si="207"/>
        <v xml:space="preserve"> </v>
      </c>
      <c r="JY85" s="535" t="str">
        <f t="shared" si="208"/>
        <v xml:space="preserve"> </v>
      </c>
      <c r="JZ85" s="535" t="str">
        <f t="shared" si="209"/>
        <v xml:space="preserve"> </v>
      </c>
      <c r="KA85" s="536" t="str">
        <f t="shared" si="117"/>
        <v xml:space="preserve"> </v>
      </c>
      <c r="KB85" s="535" t="e">
        <f t="shared" si="210"/>
        <v>#VALUE!</v>
      </c>
      <c r="KC85" s="535" t="str">
        <f t="shared" si="118"/>
        <v/>
      </c>
      <c r="KD85" s="537" t="str">
        <f t="shared" si="211"/>
        <v xml:space="preserve"> </v>
      </c>
      <c r="KE85" s="537" t="str">
        <f t="shared" si="212"/>
        <v xml:space="preserve"> </v>
      </c>
      <c r="KF85" s="534">
        <f t="shared" si="119"/>
        <v>0</v>
      </c>
      <c r="KG85" s="535" t="str">
        <f t="shared" si="120"/>
        <v xml:space="preserve"> </v>
      </c>
      <c r="KH85" s="535" t="str">
        <f t="shared" si="121"/>
        <v xml:space="preserve"> </v>
      </c>
      <c r="KI85" s="535" t="str">
        <f t="shared" si="122"/>
        <v xml:space="preserve"> </v>
      </c>
      <c r="KJ85" s="536" t="str">
        <f t="shared" si="123"/>
        <v xml:space="preserve"> </v>
      </c>
      <c r="KK85" s="535" t="str">
        <f t="shared" si="213"/>
        <v xml:space="preserve"> </v>
      </c>
      <c r="KL85" s="535" t="str">
        <f t="shared" si="214"/>
        <v xml:space="preserve"> </v>
      </c>
      <c r="KM85" s="537" t="str">
        <f t="shared" si="124"/>
        <v xml:space="preserve"> </v>
      </c>
      <c r="KN85" s="537" t="str">
        <f t="shared" si="215"/>
        <v xml:space="preserve"> </v>
      </c>
      <c r="KP85">
        <f t="shared" si="125"/>
        <v>0</v>
      </c>
      <c r="LA85" t="e">
        <f t="shared" si="126"/>
        <v>#VALUE!</v>
      </c>
      <c r="LB85" t="e">
        <f t="shared" si="127"/>
        <v>#VALUE!</v>
      </c>
      <c r="LC85" t="e">
        <f t="shared" si="128"/>
        <v>#VALUE!</v>
      </c>
      <c r="LD85" t="e">
        <f t="shared" si="129"/>
        <v>#VALUE!</v>
      </c>
      <c r="LE85" t="e">
        <f t="shared" si="216"/>
        <v>#VALUE!</v>
      </c>
      <c r="LF85">
        <f t="shared" si="130"/>
        <v>0</v>
      </c>
      <c r="LG85" t="e">
        <f t="shared" si="217"/>
        <v>#VALUE!</v>
      </c>
      <c r="LH85" t="str">
        <f t="shared" si="131"/>
        <v xml:space="preserve"> </v>
      </c>
      <c r="LI85">
        <f t="shared" si="218"/>
        <v>1</v>
      </c>
    </row>
    <row r="86" spans="2:321" ht="15" customHeight="1">
      <c r="B86" s="311"/>
      <c r="C86" s="311"/>
      <c r="D86" s="312"/>
      <c r="E86" s="311"/>
      <c r="F86" s="312"/>
      <c r="G86" s="311"/>
      <c r="H86" s="311"/>
      <c r="I86" s="37"/>
      <c r="J86" s="311"/>
      <c r="K86" s="305" t="str">
        <f t="shared" si="132"/>
        <v/>
      </c>
      <c r="L86" s="313"/>
      <c r="M86" s="312"/>
      <c r="N86" s="311"/>
      <c r="O86" s="312"/>
      <c r="P86" s="311"/>
      <c r="Q86" s="305" t="str">
        <f t="shared" si="133"/>
        <v/>
      </c>
      <c r="R86" s="314"/>
      <c r="S86" s="450" t="str">
        <f t="shared" ref="S86:S149" si="225">IF(COUNTBLANK(FD86:FF86)=0,FE86,FD86)</f>
        <v/>
      </c>
      <c r="T86" s="315"/>
      <c r="U86" s="315"/>
      <c r="W86" s="149" t="str">
        <f t="shared" ref="W86:W149" si="226">IF((JB86&gt;0),R86*L86," ")</f>
        <v xml:space="preserve"> </v>
      </c>
      <c r="X86" s="243" t="str">
        <f t="shared" ref="X86:X149" si="227">IF((JB86&gt;0),DC86+DE86," ")</f>
        <v xml:space="preserve"> </v>
      </c>
      <c r="Y86" s="150" t="str">
        <f t="shared" ref="Y86:Y149" si="228">IF((JB86&gt;0),IF(L86&gt;1,IF(AN86="&lt;15","&lt;15",AN86+3),AN86),"")</f>
        <v/>
      </c>
      <c r="Z86" s="149" t="str">
        <f t="shared" ref="Z86:Z149" si="229">IF(JB86&gt;0,CONCATENATE(DN86,"/",DO86)," ")</f>
        <v xml:space="preserve"> </v>
      </c>
      <c r="AA86" s="98" t="str">
        <f t="shared" ref="AA86:AA149" si="230">IF(JB86&gt;0,T86*L86," ")</f>
        <v xml:space="preserve"> </v>
      </c>
      <c r="AB86" s="153" t="str">
        <f t="shared" ref="AB86:AB149" si="231">IF(JB86&gt;0,AT86," ")</f>
        <v xml:space="preserve"> </v>
      </c>
      <c r="AC86" s="153" t="str">
        <f t="shared" ref="AC86:AC149" si="232">IF(JB86&gt;0,IF(T86&gt;0,AU86-$P$6," ")," ")</f>
        <v xml:space="preserve"> </v>
      </c>
      <c r="AD86" s="148" t="str">
        <f t="shared" ref="AD86:AD149" si="233">IF(JB86&gt;0,IF(GI86=10,IF(AQ86*L86&lt;0,AQ86*L86," ")," "),"")</f>
        <v/>
      </c>
      <c r="AE86" s="149" t="str">
        <f t="shared" ref="AE86:AE149" si="234">IF(JB86&gt;0,IF(GI86=10,L86*AR86," "),"")</f>
        <v/>
      </c>
      <c r="AF86" s="151" t="str">
        <f t="shared" ref="AF86:AF149" si="235">IF(JB86&gt;0,L86*U86," ")</f>
        <v xml:space="preserve"> </v>
      </c>
      <c r="AG86" s="153" t="str">
        <f t="shared" ref="AG86:AG149" si="236">IF(AF86&gt;0,IF(JB86&gt;0,EN86," "),"N/A")</f>
        <v xml:space="preserve"> </v>
      </c>
      <c r="AH86" s="98" t="str">
        <f t="shared" ref="AH86:AH149" si="237">IF(AF86&gt;0,IF((JB86&gt;0),IF(AX86&gt;0,-(AX86*L86)/(500*AF86),0)," "),"N/A")</f>
        <v xml:space="preserve"> </v>
      </c>
      <c r="AI86" s="149" t="str">
        <f t="shared" ref="AI86:AI149" si="238">IF((JB86&gt;0),IF(AY86*L86&lt;0,"",AY86*L86)," ")</f>
        <v xml:space="preserve"> </v>
      </c>
      <c r="AK86" s="144" t="str">
        <f t="shared" ref="AK86:AK149" si="239">IF((JB86&gt;0),R86," ")</f>
        <v xml:space="preserve"> </v>
      </c>
      <c r="AL86" s="144"/>
      <c r="AM86" s="243" t="str">
        <f t="shared" ref="AM86:AM149" si="240">IF((JB86&gt;0),X86," ")</f>
        <v xml:space="preserve"> </v>
      </c>
      <c r="AN86" s="149" t="str">
        <f t="shared" si="134"/>
        <v xml:space="preserve"> </v>
      </c>
      <c r="AO86" s="144" t="str">
        <f>IF(JB86&gt;0,IF(GI86=10,-R86*1.085*(Calculation!$F$6-Calculation!$F$13)*$S$14," "),"")</f>
        <v/>
      </c>
      <c r="AP86" s="144" t="str">
        <f t="shared" ref="AP86:AP149" si="241">IF(JB86&gt;0,IF(GI86=10,-CV86," "),"")</f>
        <v/>
      </c>
      <c r="AQ86" s="56" t="str">
        <f t="shared" ref="AQ86:AQ149" si="242">IF(JB86&gt;0,IF(GI86=10,AO86+AP86," "),"")</f>
        <v/>
      </c>
      <c r="AR86" s="144" t="str">
        <f t="shared" ref="AR86:AR149" si="243">IF(JB86&gt;0,IF(GI86=10,DL86," "),"")</f>
        <v/>
      </c>
      <c r="AS86" s="176" t="str">
        <f t="shared" ref="AS86:AS149" si="244">IF(JB86&gt;0,IF(GI86=10,$F$6-(-AQ86/(1.085*LH86)),""),"")</f>
        <v/>
      </c>
      <c r="AT86" s="176" t="str">
        <f t="shared" si="135"/>
        <v xml:space="preserve"> </v>
      </c>
      <c r="AU86" s="176" t="str">
        <f t="shared" ref="AU86:AU149" si="245">IF(JB86&gt;0,IF(GI86=10,$P$6-AP86/(500*T86)," "),"")</f>
        <v/>
      </c>
      <c r="AV86" s="177" t="str">
        <f t="shared" ref="AV86:AV149" si="246">IF(JB86&gt;0,DX86," ")</f>
        <v xml:space="preserve"> </v>
      </c>
      <c r="AW86" s="144" t="str">
        <f t="shared" ref="AW86:AW149" si="247">IF(JB86&gt;0,1.085*R86*$S$14*(EJ86-$H$6)," ")</f>
        <v xml:space="preserve"> </v>
      </c>
      <c r="AX86" s="144" t="str">
        <f t="shared" ref="AX86:AX149" si="248">IF(JB86&gt;0,IF(O86="2 pipe (cooling)",0,(IF(L86&gt;0,DA86," ")))," ")</f>
        <v xml:space="preserve"> </v>
      </c>
      <c r="AY86" s="152" t="str">
        <f t="shared" ref="AY86:AY149" si="249">IF(JB86&gt;0,IF(AW86+AX86&lt;0,0,AW86+AX86)," ")</f>
        <v xml:space="preserve"> </v>
      </c>
      <c r="AZ86" s="246" t="str">
        <f t="shared" ref="AZ86:AZ149" si="250">IF(AY86&gt;0,IF((JB86&gt;0),EL86,""),0)</f>
        <v/>
      </c>
      <c r="BA86" s="176" t="str">
        <f t="shared" ref="BA86:BA149" si="251">IF(AX86&gt;0,IF((JB86&gt;0),IF(O86="2 pipe (cooling)",0,IF(L86&gt;0,EN86," "))," "),"N/A")</f>
        <v xml:space="preserve"> </v>
      </c>
      <c r="BB86" s="176" t="str">
        <f t="shared" ref="BB86:BB149" si="252">IF(AX86&gt;0,IF((JB86&gt;0),$S$6-AX86/(500*U86)," "),"N/A")</f>
        <v xml:space="preserve"> </v>
      </c>
      <c r="BC86" s="195"/>
      <c r="BD86" s="316"/>
      <c r="BE86" s="317"/>
      <c r="BF86" s="318"/>
      <c r="BG86" s="318"/>
      <c r="BH86" s="144" t="str">
        <f t="shared" si="219"/>
        <v xml:space="preserve"> </v>
      </c>
      <c r="BI86" s="176" t="str">
        <f t="shared" ref="BI86:BI149" si="253">IFERROR(($F$6+KM86),"")</f>
        <v/>
      </c>
      <c r="BJ86" s="144" t="str">
        <f t="shared" si="220"/>
        <v/>
      </c>
      <c r="BK86" s="246" t="str">
        <f t="shared" ref="BK86:BK149" si="254">IFERROR(($F$6+KD86),"")</f>
        <v/>
      </c>
      <c r="BL86" s="144" t="str">
        <f t="shared" si="221"/>
        <v/>
      </c>
      <c r="BM86" s="246" t="str">
        <f t="shared" ref="BM86:BM149" si="255">IFERROR(($H$6+KE86),"")</f>
        <v/>
      </c>
      <c r="BN86" s="337" t="str">
        <f t="shared" si="136"/>
        <v/>
      </c>
      <c r="BO86" s="371" t="str">
        <f t="shared" si="137"/>
        <v/>
      </c>
      <c r="BP86" s="328" t="str">
        <f t="shared" si="222"/>
        <v xml:space="preserve"> </v>
      </c>
      <c r="BQ86" s="347" t="str">
        <f t="shared" si="138"/>
        <v xml:space="preserve"> </v>
      </c>
      <c r="BR86" s="353" t="str">
        <f t="shared" si="223"/>
        <v xml:space="preserve"> </v>
      </c>
      <c r="BS86" s="626" t="str">
        <f>IF(L86&gt;0,IF(Calculation!P86="M13",BR86*3.1416*(0.134^2)/(4*144),IF(Calculation!P86="M17",BR86*3.1416*(0.165^2)/(4*144),IF(Calculation!P86="M20",BR86*3.1416*(0.198^2)/(4*144),IF(Calculation!P86="M23",BR86*3.1416*(0.228^2)/(4*144),IF(Calculation!P86="M27",BR86*3.1416*(0.269^2)/(4*144),BR86*3.1416*(0.307^2)/(4*144))))))," ")</f>
        <v xml:space="preserve"> </v>
      </c>
      <c r="BT86" s="353" t="str">
        <f>IF(L86&gt;0,IF(BS86&gt;0,R86/Calculation!BS86,0)," ")</f>
        <v xml:space="preserve"> </v>
      </c>
      <c r="BU86" s="438" t="e">
        <f t="shared" ref="BU86:BU149" ca="1" si="256">(LH86-R86)/DW86</f>
        <v>#VALUE!</v>
      </c>
      <c r="BV86" s="449" t="e">
        <f ca="1">INDEX(INDIRECT(VLOOKUP(LEFT(BO86,7),CLU!$Z$3:$AH$18,2)),GN86,GR86)</f>
        <v>#N/A</v>
      </c>
      <c r="BW86" s="433" t="e">
        <f ca="1">INDEX(INDIRECT(VLOOKUP(LEFT(BO86,7),CLU!$Z$3:$AH$18,3)),GN86,GR86)</f>
        <v>#N/A</v>
      </c>
      <c r="BX86" s="433" t="e">
        <f ca="1">INDEX(INDIRECT(VLOOKUP(LEFT(BO86,7),CLU!$Z$3:$AH$18,4)),GN86,GR86)</f>
        <v>#N/A</v>
      </c>
      <c r="BY86" s="433" t="e">
        <f ca="1">INDEX(INDIRECT(VLOOKUP(LEFT(BO86,7),CLU!$Z$3:$AH$18,9)),((M86-2)*(6-COUNTBLANK(GT86:GY86)))+GJ86)</f>
        <v>#N/A</v>
      </c>
      <c r="BZ86" s="426" t="e">
        <f t="shared" ca="1" si="139"/>
        <v>#N/A</v>
      </c>
      <c r="CA86" s="424" t="e">
        <f t="shared" ca="1" si="140"/>
        <v>#N/A</v>
      </c>
      <c r="CB86" s="429" t="e">
        <f ca="1">INDEX(INDIRECT(VLOOKUP(LEFT(BO86,7),CLU!$Z$3:$AH$18,2)),GN86,GS86)</f>
        <v>#N/A</v>
      </c>
      <c r="CC86" s="342" t="e">
        <f ca="1">INDEX(INDIRECT(VLOOKUP(LEFT(BO86,7),CLU!$Z$3:$AH$18,3)),GN86,GS86)</f>
        <v>#N/A</v>
      </c>
      <c r="CD86" s="342" t="e">
        <f ca="1">INDEX(INDIRECT(VLOOKUP(LEFT(BO86,7),CLU!$Z$3:$AH$18,4)),GN86,GS86)</f>
        <v>#N/A</v>
      </c>
      <c r="CE86" s="426" t="e">
        <f t="shared" ca="1" si="141"/>
        <v>#N/A</v>
      </c>
      <c r="CF86" s="440">
        <f t="shared" si="142"/>
        <v>0</v>
      </c>
      <c r="CG86" s="431" t="e">
        <f ca="1">INDEX(INDIRECT(VLOOKUP(LEFT(BO86,7),CLU!$Z$3:$AH$18,2)),GQ86,GR86)</f>
        <v>#N/A</v>
      </c>
      <c r="CH86" s="431" t="e">
        <f ca="1">INDEX(INDIRECT(VLOOKUP(LEFT(BO86,7),CLU!$Z$3:$AH$18,3)),GQ86,GR86)</f>
        <v>#N/A</v>
      </c>
      <c r="CI86" s="431" t="e">
        <f ca="1">INDEX(INDIRECT(VLOOKUP(LEFT(BO86,7),CLU!$Z$3:$AH$18,4)),GQ86,GR86)</f>
        <v>#N/A</v>
      </c>
      <c r="CJ86" s="448" t="e">
        <f t="shared" ca="1" si="143"/>
        <v>#N/A</v>
      </c>
      <c r="CK86" s="431" t="e">
        <f t="shared" ca="1" si="144"/>
        <v>#N/A</v>
      </c>
      <c r="CL86" s="440" t="e">
        <f t="shared" ca="1" si="145"/>
        <v>#N/A</v>
      </c>
      <c r="CM86" s="431" t="e">
        <f ca="1">INDEX(INDIRECT(VLOOKUP(LEFT(BO86,7),CLU!$Z$3:$AH$18,2)),GQ86,GS86)</f>
        <v>#N/A</v>
      </c>
      <c r="CN86" s="431" t="e">
        <f ca="1">INDEX(INDIRECT(VLOOKUP(LEFT(BO86,7),CLU!$Z$3:$AH$18,3)),GQ86,GS86)</f>
        <v>#N/A</v>
      </c>
      <c r="CO86" s="431" t="e">
        <f ca="1">INDEX(INDIRECT(VLOOKUP(LEFT(BO86,7),CLU!$Z$3:$AH$18,4)),GQ86,GS86)</f>
        <v>#N/A</v>
      </c>
      <c r="CP86" s="431" t="e">
        <f t="shared" ca="1" si="146"/>
        <v>#N/A</v>
      </c>
      <c r="CQ86" s="440">
        <f t="shared" si="147"/>
        <v>0</v>
      </c>
      <c r="CR86" s="51" t="e">
        <f t="shared" ca="1" si="148"/>
        <v>#N/A</v>
      </c>
      <c r="CS86" s="439" t="e">
        <f t="shared" ca="1" si="149"/>
        <v>#VALUE!</v>
      </c>
      <c r="CT86" s="51" t="e">
        <f t="shared" ca="1" si="150"/>
        <v>#VALUE!</v>
      </c>
      <c r="CU86" s="10"/>
      <c r="CV86" s="51" t="e">
        <f t="shared" ref="CV86:CV149" ca="1" si="257">MIN((CT86+CA86)*$CU$21,KP86)</f>
        <v>#VALUE!</v>
      </c>
      <c r="CW86" s="51">
        <f t="shared" si="151"/>
        <v>0</v>
      </c>
      <c r="CX86" s="439" t="e">
        <f t="shared" ca="1" si="152"/>
        <v>#VALUE!</v>
      </c>
      <c r="CY86" s="51" t="e">
        <f t="shared" ca="1" si="153"/>
        <v>#VALUE!</v>
      </c>
      <c r="CZ86" s="10"/>
      <c r="DA86" s="51" t="e">
        <f t="shared" ca="1" si="154"/>
        <v>#VALUE!</v>
      </c>
      <c r="DB86" s="347" t="e">
        <f ca="1">INDEX(INDIRECT(VLOOKUP(LEFT(BO86,7),CLU!$Z$3:$AI$18,10)),((M86-2)*(6-COUNTBLANK(GT86:GY86)))+GJ86)*LI86</f>
        <v>#N/A</v>
      </c>
      <c r="DC86" s="347" t="str">
        <f>IF(L86&gt;0,((R86/Worksheet!$I$15)/DB86)^2," ")</f>
        <v xml:space="preserve"> </v>
      </c>
      <c r="DD86" s="602" t="str">
        <f t="shared" si="224"/>
        <v xml:space="preserve"> </v>
      </c>
      <c r="DE86" s="347" t="str">
        <f t="shared" ref="DE86:DE149" si="258">IF(L86&gt;0,(DD86/4005)^2," ")</f>
        <v xml:space="preserve"> </v>
      </c>
      <c r="DF86" s="356" t="e">
        <f ca="1">INDEX(INDIRECT(VLOOKUP(LEFT(BO86,7),CLU!$Z$3:$AH$18,8)),((M86-2)*(6-COUNTBLANK(GT86:GY86)))+GJ86)</f>
        <v>#N/A</v>
      </c>
      <c r="DG86" s="347" t="str">
        <f t="shared" ref="DG86:DG149" si="259">IF(L86&gt;0,IF(J86="CBAM",(DF86+1)*R86*IF(J86=2,0.25,0.35),R86*(DF86+1)/BQ86)," ")</f>
        <v xml:space="preserve"> </v>
      </c>
      <c r="DH86" s="357" t="str">
        <f t="shared" ref="DH86:DH149" si="260">IF(L86&gt;0,IF(J86="CBAM",IF(M86=2,0.168,0.333),(M86*12-1)/144)," ")</f>
        <v xml:space="preserve"> </v>
      </c>
      <c r="DI86" s="355" t="str">
        <f t="shared" ref="DI86:DI149" si="261">IF(L86&gt;0,DG86/DH86," ")</f>
        <v xml:space="preserve"> </v>
      </c>
      <c r="DJ86" s="245" t="e">
        <f ca="1">INDEX(INDIRECT(VLOOKUP(LEFT(BO86,7),CLU!$Z$3:$AH$18,5)),GL86,GK86)</f>
        <v>#N/A</v>
      </c>
      <c r="DK86" s="245" t="e">
        <f ca="1">INDEX(INDIRECT(VLOOKUP(LEFT(BO86,7),CLU!$Z$3:$AH$18,6)),GL86,GK86)</f>
        <v>#N/A</v>
      </c>
      <c r="DL86" s="355">
        <f>(Calculation!R86*0.69143*(Calculation!$BQ$8-Calculation!$F$8))*$S$14</f>
        <v>0</v>
      </c>
      <c r="DM86" s="359" t="e">
        <f t="shared" si="160"/>
        <v>#VALUE!</v>
      </c>
      <c r="DN86" s="611">
        <f t="shared" si="161"/>
        <v>0</v>
      </c>
      <c r="DO86" s="359">
        <f t="shared" si="162"/>
        <v>100</v>
      </c>
      <c r="DP86" s="359">
        <f t="shared" si="163"/>
        <v>0</v>
      </c>
      <c r="DQ86" s="360"/>
      <c r="DR86" s="245" t="e">
        <f ca="1">INDEX(INDIRECT(VLOOKUP(LEFT(BO86,7),CLU!$Z$3:$AH$18,7)),M86-1,1)</f>
        <v>#N/A</v>
      </c>
      <c r="DS86" s="245" t="e">
        <f ca="1">INDEX(INDIRECT(VLOOKUP(LEFT(BO86,7),CLU!$Z$3:$AH$18,7)),M86-1,2)</f>
        <v>#N/A</v>
      </c>
      <c r="DT86" s="245" t="e">
        <f ca="1">INDEX(INDIRECT(VLOOKUP(LEFT(BO86,7),CLU!$Z$3:$AH$18,7)),M86-1,3)</f>
        <v>#N/A</v>
      </c>
      <c r="DU86" s="245" t="e">
        <f ca="1">INDEX(INDIRECT(VLOOKUP(LEFT(BO86,7),CLU!$Z$3:$AH$18,7)),M86-1,4)</f>
        <v>#N/A</v>
      </c>
      <c r="DV86" s="361" t="e">
        <f ca="1">INDEX(INDIRECT(VLOOKUP(LEFT(BO86,7),CLU!$Z$3:$AH$18,7)),M86-1,4+LEFT(DZ86,1)*0.5)</f>
        <v>#N/A</v>
      </c>
      <c r="DW86" s="245" t="e">
        <f ca="1">INDEX(INDIRECT(VLOOKUP(LEFT(BO86,7),CLU!$Z$3:$AH$18,7)),M86-1,8)</f>
        <v>#N/A</v>
      </c>
      <c r="DX86" s="361" t="str">
        <f t="shared" ref="DX86:DX149" si="262">IF(L86&gt;0,IF(BR86&gt;0,IF(DZ86="2P",IF(EB86=1,"2P1C","2P2C"),IF(EB86=1,"4P1C","4P2C")),0)," ")</f>
        <v xml:space="preserve"> </v>
      </c>
      <c r="DY86" s="361" t="str">
        <f t="shared" ref="DY86:DY149" si="263">IF(L86&gt;0,CONCATENATE(IF(LEN(M86)=1,"0",""),M86,"-",DX86)," ")</f>
        <v xml:space="preserve"> </v>
      </c>
      <c r="DZ86" s="361" t="str">
        <f t="shared" ref="DZ86:DZ149" si="264">IF(L86&gt;0,IF(BR86&gt;0,IF(O86="2 Pipe (Cooling)","2P",IF(O86="2 Pipe (Heating)","NA",IF(O86="2 Pipe (H/C)","2P","4P"))),0)," ")</f>
        <v xml:space="preserve"> </v>
      </c>
      <c r="EA86" s="362" t="str">
        <f t="shared" ref="EA86:EA149" si="265">IF(L86&gt;0,HLOOKUP(LEFT(BO86,7),SCMG,(MATCH(CONCATENATE(IF(LEN(M86)=1,"0",""),M86,"-",DZ86),SCMG_LU))+2)," ")</f>
        <v xml:space="preserve"> </v>
      </c>
      <c r="EB86" s="624" t="str">
        <f t="shared" si="168"/>
        <v xml:space="preserve"> </v>
      </c>
      <c r="EC86" s="361" t="e">
        <f ca="1">INDEX(INDIRECT(VLOOKUP(LEFT(BO86,7),CLU!$Z$3:$AH$18,7)),M86-1,4+LEFT(DZ86,1)*0.5)</f>
        <v>#N/A</v>
      </c>
      <c r="ED86" s="362" t="str">
        <f t="shared" ref="ED86:ED149" si="266">IF(L86&gt;0,HLOOKUP(LEFT(BO86,7),Coil_K,(MATCH(DY86,LengthCoilLU))+2)," ")</f>
        <v xml:space="preserve"> </v>
      </c>
      <c r="EE86" s="361" t="str">
        <f t="shared" ref="EE86:EE149" si="267">IF(L86&gt;0,IF(BR86&gt;0,IF(O86="2 Pipe (Cooling)","N/A",IF(O86="2 Pipe (Heating)","2P",IF(O86="2 Pipe (H/C)","2P","4P"))),0)," ")</f>
        <v xml:space="preserve"> </v>
      </c>
      <c r="EF86" s="362" t="str">
        <f>IF(L86&gt;0,IF(BR86&gt;0,IF(EE86="2P",IF(Calculation!DZ86="2P",IF(Calculation!DS86=13.75,IF(Calculation!DR86=13,Worksheet!$BD$43,IF(Calculation!DR86=37,Worksheet!$BD$44,Worksheet!$BD$45)),IF(Calculation!DS86=10,IF(Calculation!DR86=18,Worksheet!$BD$29,IF(Calculation!DR86=30,Worksheet!$BD$30,IF(Calculation!DR86=42,Worksheet!$BD$31,IF(Calculation!DR86=54,Worksheet!$BD$32,IF(Calculation!DR86=66,Worksheet!$BD$33,IF(Calculation!DR86=78,Worksheet!$BD$34,IF(Calculation!DR86=90,Worksheet!$BD$35,IF(Calculation!DR86=102,Worksheet!$BD$36,Worksheet!$BD$37)))))))),IF(Calculation!DS86=12.5,IF(Calculation!DR86=18,Worksheet!$BD$38,IF(Calculation!DR86=Worksheet!$BD$39,IF(Calculation!DR86=42,Worksheet!$BD$40,IF(Calculation!DR86=54,Worksheet!$BD$41,Worksheet!$BD$42)))),IF(Calculation!DR86=18,Worksheet!$BD$11,IF(Calculation!DR86=30,Worksheet!$BD$12,IF(Calculation!DR86=42,Worksheet!$BD$13,IF(Calculation!DR86=54,Worksheet!$BD$14,IF(Calculation!DR86=66,Worksheet!$BD$15,IF(Calculation!DR86=78,Worksheet!$BD$16,IF(Calculation!DR86=90,Worksheet!$BD$17,IF(Calculation!DR86=102,Worksheet!$BD$18,Worksheet!$BD$19))))))))))),IF(Calculation!DS86=13.75,IF(Calculation!DR86=13,Worksheet!$BD$78,IF(Calculation!DR86=37,Worksheet!$BD$79,Worksheet!$BD$80)),IF(Calculation!DS86=10,IF(Calculation!DR86=18,Worksheet!$BD$64,IF(Calculation!DR86=30,Worksheet!$BD$65,IF(Calculation!DR86=42,Worksheet!$BD$66,IF(Calculation!DR86=54,Worksheet!$BD$68,IF(Calculation!DR86=66,Worksheet!$BD$68,IF(Calculation!DR86=78,Worksheet!$BD$69,IF(Calculation!DR86=90,Worksheet!$BD$70,IF(Calculation!DR86=102,Worksheet!$BD$71,Worksheet!$BD$72)))))))),IF(Calculation!DS86=12.5,IF(Calculation!DR86=18,Worksheet!$BD$73,IF(Calculation!DR86=Worksheet!$BD$74,IF(Calculation!DR86=42,Worksheet!$BD$75,IF(Calculation!DR86=54,Worksheet!$BD$76,Worksheet!$BD$77)))),IF(Calculation!DR86=18,Worksheet!$BD$55,IF(Calculation!DR86=30,Worksheet!$BD$56,IF(Calculation!DR86=42,Worksheet!$BD$57,IF(Calculation!DR86=54,Worksheet!$BD$58,IF(Calculation!DR86=66,Worksheet!$BD$59,IF(Calculation!DR86=78,Worksheet!$BD$60,IF(Calculation!DR86=90,Worksheet!$BD$61,IF(Calculation!DR86=102,Worksheet!$BD$62,Worksheet!$BD$63)))))))))))),5),0)," ")</f>
        <v xml:space="preserve"> </v>
      </c>
      <c r="EG86" s="361" t="str">
        <f t="shared" ref="EG86:EG149" si="268">IF(L86&gt;0,IF(BR86&gt;0,IF(U86&gt;EF86,2,1),0)," ")</f>
        <v xml:space="preserve"> </v>
      </c>
      <c r="EH86" s="361" t="e">
        <f ca="1">INDEX(INDIRECT(VLOOKUP(LEFT(BO86,7),CLU!$Z$3:$AH$18,7)),M86-1,3+LEFT(DZ86,1))</f>
        <v>#N/A</v>
      </c>
      <c r="EI86" s="362" t="str">
        <f t="shared" ref="EI86:EI149" si="269">IF(L86&gt;0,IF(O86="2 Pipe (Cooling)","N/A",IF(EE86="2P",ED86,HLOOKUP(LEFT(BO86,7),Sec_Coil_K,MATCH(LEFT(DY86,5),FourP_Coil_LU)+2)))," ")</f>
        <v xml:space="preserve"> </v>
      </c>
      <c r="EJ86" s="363" t="str">
        <f t="shared" ref="EJ86:EJ149" si="270">IF(L86&gt;0,IF(O86="2 pipe (cooling)",IF(G86&gt;0,$H$6+(G86/(1.085*W86*$S$14)),$H$13),$H$13)," ")</f>
        <v xml:space="preserve"> </v>
      </c>
      <c r="EK86" s="363" t="str">
        <f t="shared" ref="EK86:EK149" si="271">IF(L86&gt;0,IF(AX86=0,$H$6,$H$6+AX86/(1.085*$S$14*(R86*DF86)))," ")</f>
        <v xml:space="preserve"> </v>
      </c>
      <c r="EL86" s="363" t="str">
        <f t="shared" ref="EL86:EL149" si="272">IF(L86&gt;0,((R86*EJ86)+(DF86*R86*EK86))/(R86*(DF86+1))," ")</f>
        <v xml:space="preserve"> </v>
      </c>
      <c r="EM86" s="362" t="str">
        <f>IF(L86&gt;0,IF(BR86&gt;0,(Calculation!T86/ED86)^2,0)," ")</f>
        <v xml:space="preserve"> </v>
      </c>
      <c r="EN86" s="362" t="str">
        <f>IF(L86&gt;0,IF(O86="2 Pipe (Cooling)","N/A",IF(BR86&gt;0,(Calculation!U86/EI86)^2,0))," ")</f>
        <v xml:space="preserve"> </v>
      </c>
      <c r="EO86" s="361" t="str">
        <f t="shared" ref="EO86:EO149" si="273">IF($J86&gt;0,HLOOKUP($BO86,Avail_Lengths,3),"")</f>
        <v/>
      </c>
      <c r="EP86" s="361" t="str">
        <f t="shared" ref="EP86:EP149" si="274">IF($J86&gt;0,HLOOKUP($BO86,Avail_Lengths,4),"")</f>
        <v/>
      </c>
      <c r="EQ86" s="361" t="str">
        <f t="shared" ref="EQ86:EQ149" si="275">IF($J86&gt;0,HLOOKUP($BO86,Avail_Lengths,5),"")</f>
        <v/>
      </c>
      <c r="ER86" s="361" t="str">
        <f t="shared" ref="ER86:ER149" si="276">IF($J86&gt;0,HLOOKUP($BO86,Avail_Lengths,6),"")</f>
        <v/>
      </c>
      <c r="ES86" s="361" t="str">
        <f t="shared" ref="ES86:ES149" si="277">IF($J86&gt;0,HLOOKUP($BO86,Avail_Lengths,7),"")</f>
        <v/>
      </c>
      <c r="ET86" s="361" t="str">
        <f t="shared" ref="ET86:ET149" si="278">IF($J86&gt;0,HLOOKUP($BO86,Avail_Lengths,8),"")</f>
        <v/>
      </c>
      <c r="EU86" s="361" t="str">
        <f t="shared" ref="EU86:EU149" si="279">IF($J86&gt;0,HLOOKUP($BO86,Avail_Lengths,9),"")</f>
        <v/>
      </c>
      <c r="EV86" s="361" t="str">
        <f t="shared" ref="EV86:EV149" si="280">IF($J86&gt;0,HLOOKUP($BO86,Avail_Lengths,10),"")</f>
        <v/>
      </c>
      <c r="EW86" s="361" t="str">
        <f t="shared" ref="EW86:EW149" si="281">IF($J86&gt;0,HLOOKUP($BO86,Avail_Lengths,11),"")</f>
        <v/>
      </c>
      <c r="EX86" s="361" t="str">
        <f t="shared" si="169"/>
        <v>1 slot, 1 way</v>
      </c>
      <c r="EY86" s="361" t="str">
        <f t="shared" si="170"/>
        <v xml:space="preserve"> </v>
      </c>
      <c r="EZ86" s="361" t="str">
        <f t="shared" si="171"/>
        <v xml:space="preserve"> </v>
      </c>
      <c r="FA86" s="361" t="str">
        <f t="shared" si="172"/>
        <v xml:space="preserve"> </v>
      </c>
      <c r="FB86" s="361" t="str">
        <f t="shared" si="173"/>
        <v xml:space="preserve"> </v>
      </c>
      <c r="FC86" s="361"/>
      <c r="FD86" s="361" t="str">
        <f>IF(J86&gt;0,IF(Calculation!R86&lt;=70,4,IF(Calculation!R86&lt;=110,5,IF(Calculation!R86&lt;=160,6,IF(Calculation!R86&lt;=300,8,"10 EO")))),"")</f>
        <v/>
      </c>
      <c r="FE86" s="361" t="str">
        <f t="shared" si="174"/>
        <v/>
      </c>
      <c r="FF86" s="361" t="str">
        <f t="shared" si="175"/>
        <v/>
      </c>
      <c r="FG86" s="361" t="e">
        <f t="shared" ref="FG86:FG149" si="282">HLOOKUP(LEFT(BO86,7),Approx_Cool,3)*IFERROR((BQ86/VALUE(LEFT(EY86))),1)</f>
        <v>#N/A</v>
      </c>
      <c r="FH86" s="361">
        <f t="shared" ref="FH86:FH149" si="283">F86/$CB$8</f>
        <v>0</v>
      </c>
      <c r="FI86" s="361" t="e">
        <f t="shared" ref="FI86:FI149" si="284">(F86/$CB$8)/L86</f>
        <v>#DIV/0!</v>
      </c>
      <c r="FJ86" s="361"/>
      <c r="FK86" s="356" t="e">
        <f t="shared" ref="FK86:FK149" si="285">0+X86</f>
        <v>#VALUE!</v>
      </c>
      <c r="FL86" s="361"/>
      <c r="FM86" s="361"/>
      <c r="FN86" s="362" t="str">
        <f t="shared" si="176"/>
        <v xml:space="preserve"> </v>
      </c>
      <c r="FO86" s="362" t="str">
        <f t="shared" si="177"/>
        <v xml:space="preserve"> </v>
      </c>
      <c r="FP86" s="362">
        <f t="shared" si="178"/>
        <v>0</v>
      </c>
      <c r="FQ86" s="361">
        <f t="shared" ref="FQ86:FQ149" si="286">IF(T86=0,0,IF(T86&lt;FP86,1,0))</f>
        <v>0</v>
      </c>
      <c r="FR86" s="362" t="str">
        <f>IF(L86&gt;0,IF(J86="CBAL2",Worksheet!$P$67,IF(J86="CBE2-24",Worksheet!$Q$67,IF(J86="CBAM",Worksheet!$R$67,IF(J86="CBLV",Worksheet!$S$67,IF(J86="CBAB",Worksheet!$U$67,IF(J86="CBAW",Worksheet!$X$67,IF(J86="CBE2-12",Worksheet!$Y$67,IF(J86="CBAL2",Worksheet!$Z$67,"N/A"))))))))," ")</f>
        <v xml:space="preserve"> </v>
      </c>
      <c r="FS86" s="362" t="str">
        <f>IF(L86&gt;0,IF(J86="CBAL2",Worksheet!$P$68,IF(J86="CBE2-24",Worksheet!$Q$68,IF(J86="CBAM",Worksheet!$R$68,IF(J86="CBLV",Worksheet!$S$68,IF(J86="CBAB",Worksheet!$U$68,IF(J86="CBAW",Worksheet!$X$68,IF(J86="CBE2-12",Worksheet!$Y$68,IF(J86="CBAL2",Worksheet!$Z$68,"N/A"))))))))," ")</f>
        <v xml:space="preserve"> </v>
      </c>
      <c r="FT86" s="362" t="str">
        <f>IF(L86&gt;0,IF(J86="CBAL2",Worksheet!$P$69,IF(J86="CBE2-24",Worksheet!$Q$69,IF(J86="CBAM",Worksheet!$R$69,IF(J86="CBLV",Worksheet!$S$69,IF(J86="CBAB",Worksheet!$U$69,IF(J86="CBAW",Worksheet!$X$69,IF(J86="CBE2-12",Worksheet!$Y$69,IF(J86="CBAL2",Worksheet!$Z$69,"N/A"))))))))," ")</f>
        <v xml:space="preserve"> </v>
      </c>
      <c r="FU86" s="361" t="str">
        <f t="shared" si="179"/>
        <v xml:space="preserve"> </v>
      </c>
      <c r="FV86" s="362" t="str">
        <f t="shared" si="180"/>
        <v xml:space="preserve"> </v>
      </c>
      <c r="FW86" s="362" t="str">
        <f t="shared" si="181"/>
        <v xml:space="preserve"> </v>
      </c>
      <c r="FX86" s="362" t="str">
        <f t="shared" si="182"/>
        <v xml:space="preserve"> </v>
      </c>
      <c r="FY86" s="355" t="str">
        <f t="shared" si="183"/>
        <v xml:space="preserve"> </v>
      </c>
      <c r="FZ86" s="361" t="str">
        <f t="shared" si="184"/>
        <v xml:space="preserve"> </v>
      </c>
      <c r="GA86" s="347" t="str">
        <f t="shared" si="185"/>
        <v xml:space="preserve"> </v>
      </c>
      <c r="GB86" s="355" t="str">
        <f t="shared" si="186"/>
        <v xml:space="preserve"> </v>
      </c>
      <c r="GC86" s="328" t="str">
        <f t="shared" si="187"/>
        <v xml:space="preserve"> </v>
      </c>
      <c r="GD86" s="361" t="str">
        <f t="shared" si="188"/>
        <v xml:space="preserve"> </v>
      </c>
      <c r="GE86" s="347" t="str">
        <f t="shared" si="189"/>
        <v xml:space="preserve"> </v>
      </c>
      <c r="GF86" s="361" t="str">
        <f t="shared" si="190"/>
        <v xml:space="preserve"> </v>
      </c>
      <c r="GG86" s="347" t="str">
        <f t="shared" si="191"/>
        <v xml:space="preserve"> </v>
      </c>
      <c r="GH86" s="364">
        <f t="shared" ref="GH86:GH149" si="287">IFERROR(IF(AZ86="",0,AZ86-$H$6),0)</f>
        <v>0</v>
      </c>
      <c r="GI86" s="362">
        <f t="shared" si="192"/>
        <v>2</v>
      </c>
      <c r="GJ86" s="433" t="e">
        <f>IF(6-COUNTBLANK(GT86:GY86)=4,MATCH(MID(BO86,9,3),CLU!$H$16:$K$16),MATCH(MID(BO86,9,3),CLU!$H$13:$M$13))</f>
        <v>#N/A</v>
      </c>
      <c r="GK86" s="433" t="e">
        <f>HLOOKUP(VALUE(BP86),CLU!$H$9:$M$10,2)</f>
        <v>#VALUE!</v>
      </c>
      <c r="GL86" s="433" t="e">
        <f ca="1">MATCH(BU86,CLU!$H$2:$V$2,1)</f>
        <v>#VALUE!</v>
      </c>
      <c r="GM86" s="433" t="e">
        <f t="shared" ca="1" si="193"/>
        <v>#VALUE!</v>
      </c>
      <c r="GN86" s="433" t="e">
        <f t="shared" ca="1" si="194"/>
        <v>#VALUE!</v>
      </c>
      <c r="GO86" s="433" t="e">
        <f t="shared" ca="1" si="195"/>
        <v>#VALUE!</v>
      </c>
      <c r="GP86" s="433" t="e">
        <f t="shared" ca="1" si="196"/>
        <v>#VALUE!</v>
      </c>
      <c r="GQ86" s="433" t="e">
        <f t="shared" ca="1" si="197"/>
        <v>#VALUE!</v>
      </c>
      <c r="GR86" s="433" t="e">
        <f ca="1">MATCH(T86,INDIRECT(VLOOKUP(CONCATENATE(LEFT(BO86,7),"-",MID(BO86,13,1)),CLU!$P$3:$Q$16,2)),1)</f>
        <v>#N/A</v>
      </c>
      <c r="GS86" s="433" t="e">
        <f ca="1">MATCH(U86,INDIRECT(VLOOKUP(CONCATENATE(LEFT(BO86,7),"-",MID(BO86,13,1)),CLU!$P$3:$Q$16,2)),1)</f>
        <v>#N/A</v>
      </c>
      <c r="GT86" s="347" t="s">
        <v>512</v>
      </c>
      <c r="GU86" s="97" t="s">
        <v>513</v>
      </c>
      <c r="GV86" s="97" t="str">
        <f t="shared" si="198"/>
        <v>M23</v>
      </c>
      <c r="GW86" s="97" t="str">
        <f t="shared" si="199"/>
        <v>M31</v>
      </c>
      <c r="GX86" s="97" t="str">
        <f t="shared" si="200"/>
        <v/>
      </c>
      <c r="GY86" s="97" t="str">
        <f t="shared" si="201"/>
        <v/>
      </c>
      <c r="GZ86" s="481"/>
      <c r="HA86" s="288"/>
      <c r="HB86" s="240"/>
      <c r="HC86" s="240"/>
      <c r="HD86" s="240"/>
      <c r="HE86" s="240"/>
      <c r="HF86" s="240"/>
      <c r="HG86" s="240"/>
      <c r="HH86" s="240"/>
      <c r="HI86" s="240"/>
      <c r="HJ86" s="240"/>
      <c r="HK86" s="240"/>
      <c r="HL86" s="240"/>
      <c r="HM86" s="240"/>
      <c r="HN86" s="240"/>
      <c r="HO86" s="240"/>
      <c r="HP86" s="240"/>
      <c r="HQ86" s="240"/>
      <c r="HR86" s="240"/>
      <c r="HS86" s="240"/>
      <c r="HT86" s="240"/>
      <c r="HU86" s="240"/>
      <c r="HV86" s="245"/>
      <c r="HW86" s="245" t="b">
        <v>1</v>
      </c>
      <c r="HX86" s="245" t="str">
        <f t="shared" ref="HX86:HX149" si="288">IF(J86="","",CONCATENATE(LEFT(BO86,7),"-",BQ86,"-",LEFT(O86,1)))</f>
        <v/>
      </c>
      <c r="HY86" s="245" t="e">
        <f t="shared" ref="HY86:HY149" si="289">ROUNDUP(MAX(H86/L86,FI86),0)</f>
        <v>#DIV/0!</v>
      </c>
      <c r="HZ86" s="245" t="e">
        <f t="shared" ref="HZ86:HZ149" si="290">ROUNDUP((E86/L86)*$X$5,0)</f>
        <v>#DIV/0!</v>
      </c>
      <c r="IA86" s="245">
        <f t="shared" ref="IA86:IA149" si="291">IF(G86=0,0,G86/L86)</f>
        <v>0</v>
      </c>
      <c r="IB86" s="245"/>
      <c r="IC86" t="b">
        <f t="shared" ref="IC86:IC149" si="292">ISBLANK(E86)</f>
        <v>1</v>
      </c>
      <c r="ID86" s="245" t="b">
        <f t="shared" ref="ID86:ID149" si="293">ISBLANK(J86)</f>
        <v>1</v>
      </c>
      <c r="IE86" s="245" t="b">
        <f t="shared" ref="IE86:IE149" si="294">ISBLANK(J86)</f>
        <v>1</v>
      </c>
      <c r="IF86" s="245" t="b">
        <f t="shared" ref="IF86:IF149" si="295">ISNUMBER(L86)</f>
        <v>0</v>
      </c>
      <c r="IG86" s="245" t="b">
        <f t="shared" ref="IG86:IG149" si="296">ISBLANK(N86)</f>
        <v>1</v>
      </c>
      <c r="IH86" s="245" t="b">
        <f t="shared" ref="IH86:IH149" si="297">ISBLANK(O86)</f>
        <v>1</v>
      </c>
      <c r="II86" s="245">
        <f t="shared" si="202"/>
        <v>0</v>
      </c>
      <c r="IJ86" s="245" t="e">
        <f t="shared" ref="IJ86:IJ149" si="298">INT(ABS(AQ86))</f>
        <v>#VALUE!</v>
      </c>
      <c r="IK86" s="245" t="e">
        <f t="shared" ref="IK86:IK149" si="299">INT(ABS(AY86))</f>
        <v>#VALUE!</v>
      </c>
      <c r="IL86" s="245"/>
      <c r="IM86" s="245" t="e">
        <f t="shared" si="203"/>
        <v>#N/A</v>
      </c>
      <c r="IN86" s="245" t="e">
        <f t="shared" si="204"/>
        <v>#N/A</v>
      </c>
      <c r="IO86" s="245"/>
      <c r="IP86" s="245"/>
      <c r="IQ86" s="245" t="str">
        <f t="shared" ref="IQ86:IQ149" si="300">IF(J86="","",$X$8)</f>
        <v/>
      </c>
      <c r="IR86" s="245" t="str">
        <f>IF(J86="","",VLOOKUP(J86,Worksheet!$R$4:$T$14,2))</f>
        <v/>
      </c>
      <c r="IS86" s="245"/>
      <c r="IT86" s="245">
        <f t="shared" ref="IT86:IT149" si="301">IF((L86&gt;0),1,0)</f>
        <v>0</v>
      </c>
      <c r="IU86" s="245">
        <f t="shared" ref="IU86:IU149" si="302">IFERROR(MATCH(M86,EO86:EW86,0),0)</f>
        <v>0</v>
      </c>
      <c r="IV86" s="245">
        <f t="shared" ref="IV86:IV149" si="303">IFERROR(MATCH(N86,EX86:EY86,0),0)</f>
        <v>0</v>
      </c>
      <c r="IW86" s="245">
        <f t="shared" ref="IW86:IW149" si="304">IFERROR(MATCH(O86,EZ86:FC86,0),0)</f>
        <v>0</v>
      </c>
      <c r="IX86" s="245">
        <f t="shared" si="205"/>
        <v>0</v>
      </c>
      <c r="IY86" s="245">
        <f t="shared" ref="IY86:IY149" si="305">IF(LEN(S86)=0,0,1)</f>
        <v>0</v>
      </c>
      <c r="IZ86" s="245">
        <f t="shared" ref="IZ86:IZ149" si="306">IFERROR(IF((R86&gt;BS86*1250),1,0),0)</f>
        <v>0</v>
      </c>
      <c r="JA86">
        <f t="shared" ref="JA86:JA149" si="307">IFERROR(IF(AND(T86&gt;0.24,T86&lt;(IN86+0.01)),1,0),0)</f>
        <v>0</v>
      </c>
      <c r="JB86">
        <f t="shared" si="206"/>
        <v>0</v>
      </c>
      <c r="JC86">
        <f t="shared" ref="JC86:JC149" si="308">IF($JB86=1,W86,0)</f>
        <v>0</v>
      </c>
      <c r="JD86">
        <f t="shared" ref="JD86:JD149" si="309">IF($JB86=1,Z86,0)</f>
        <v>0</v>
      </c>
      <c r="JE86">
        <f t="shared" ref="JE86:JE149" si="310">IF($JB86=1,AA86,0)</f>
        <v>0</v>
      </c>
      <c r="JF86">
        <f t="shared" ref="JF86:JF149" si="311">IF($JB86=1,AF86,0)</f>
        <v>0</v>
      </c>
      <c r="JG86">
        <f t="shared" ref="JG86:JG149" si="312">IF($JB86=1,L86,0)</f>
        <v>0</v>
      </c>
      <c r="JH86">
        <f t="shared" ref="JH86:JH149" si="313">IF($JB86=1,L86*M86,0)</f>
        <v>0</v>
      </c>
      <c r="JI86">
        <f t="shared" ref="JI86:JI149" si="314">IF($JB86=1,AO86*L86,0)</f>
        <v>0</v>
      </c>
      <c r="JJ86" s="447">
        <f t="shared" ref="JJ86:JJ149" si="315">ABS(IF($JB86=1,AP86*L86,0))</f>
        <v>0</v>
      </c>
      <c r="JK86" s="447">
        <f t="shared" ref="JK86:JK149" si="316">ABS(IF($JB86=1,AE86,0))</f>
        <v>0</v>
      </c>
      <c r="JL86">
        <f t="shared" ref="JL86:JL149" si="317">IF($JB86=1,AI86,0)</f>
        <v>0</v>
      </c>
      <c r="JM86" s="245" t="str">
        <f>IFERROR(VLOOKUP(MATCH(BN86,#REF!,0),#REF!,7),"")</f>
        <v/>
      </c>
      <c r="JN86" t="e">
        <f>HLOOKUP(LEFT(BO86,7),Discharge_Area,MATCH(JO86,LookUps!$B$130:$B$149,1)+2)</f>
        <v>#N/A</v>
      </c>
      <c r="JO86" t="str">
        <f t="shared" ref="JO86:JO149" si="318">CONCATENATE(M86,"-",BQ86,"S")</f>
        <v>- S</v>
      </c>
      <c r="JP86" t="e">
        <f>HLOOKUP(LEFT(BO86,7),Discharge_Area,MATCH(JO86,LookUps!$B$130:$B$149,1)+2)</f>
        <v>#N/A</v>
      </c>
      <c r="JQ86" t="e">
        <f t="shared" ref="JQ86:JQ149" si="319">HLOOKUP(LEFT(BO86,7),Throw_Coeff,3)</f>
        <v>#N/A</v>
      </c>
      <c r="JR86" t="e">
        <f t="shared" ref="JR86:JR149" si="320">HLOOKUP(LEFT(BO86,7),Throw_Coeff,4)</f>
        <v>#N/A</v>
      </c>
      <c r="JS86" t="e">
        <f t="shared" ref="JS86:JS149" si="321">HLOOKUP(LEFT(BO86,7),Throw_Coeff,5)</f>
        <v>#N/A</v>
      </c>
      <c r="JT86" s="532" t="str">
        <f t="shared" ref="JT86:JT149" si="322">IF(L86&gt;0,AS86-$F$6," ")</f>
        <v xml:space="preserve"> </v>
      </c>
      <c r="JU86" s="532" t="str">
        <f t="shared" ref="JU86:JU149" si="323">IF(L86&gt;0,AZ86-$H$6," ")</f>
        <v xml:space="preserve"> </v>
      </c>
      <c r="JV86" s="533" t="str">
        <f t="shared" ref="JV86:JV149" si="324">IF(L86&gt;0,LH86/JP86," ")</f>
        <v xml:space="preserve"> </v>
      </c>
      <c r="JW86" s="534">
        <f t="shared" ref="JW86:JW149" si="325">IF(L86&gt;0,IF(BD86&gt;0,IF(BE86&gt;0,IF(BF86&gt;0,BF86+(BD86-BE86),0),0),0),0)</f>
        <v>0</v>
      </c>
      <c r="JX86" s="535" t="str">
        <f t="shared" si="207"/>
        <v xml:space="preserve"> </v>
      </c>
      <c r="JY86" s="535" t="str">
        <f t="shared" si="208"/>
        <v xml:space="preserve"> </v>
      </c>
      <c r="JZ86" s="535" t="str">
        <f t="shared" si="209"/>
        <v xml:space="preserve"> </v>
      </c>
      <c r="KA86" s="536" t="str">
        <f t="shared" ref="KA86:KA149" si="326">IF(JW86&gt;0,0.8*(JV86/200)^0.2*(M86/4)^0.05," ")</f>
        <v xml:space="preserve"> </v>
      </c>
      <c r="KB86" s="535" t="e">
        <f t="shared" si="210"/>
        <v>#VALUE!</v>
      </c>
      <c r="KC86" s="535" t="str">
        <f t="shared" ref="KC86:KC149" si="327">IF(U86=0,"",IF(JW86&gt;0,KA86*0.8*MIN(JX86:JZ86)/(JU86/10)^0.3," "))</f>
        <v/>
      </c>
      <c r="KD86" s="537" t="str">
        <f t="shared" si="211"/>
        <v xml:space="preserve"> </v>
      </c>
      <c r="KE86" s="537" t="str">
        <f t="shared" si="212"/>
        <v xml:space="preserve"> </v>
      </c>
      <c r="KF86" s="534">
        <f t="shared" ref="KF86:KF149" si="328">IF(L86&gt;0,IF(BG86&gt;0,IF(BD86&gt;0,IF(BE86&gt;0,BG86/2,0),0),0),0)</f>
        <v>0</v>
      </c>
      <c r="KG86" s="535" t="str">
        <f t="shared" ref="KG86:KG149" si="329">IF(KF86&gt;0,JV86/(BG86*0.5/JQ86/SQRT(JP86/2))^0.5," ")</f>
        <v xml:space="preserve"> </v>
      </c>
      <c r="KH86" s="535" t="str">
        <f t="shared" ref="KH86:KH149" si="330">IF(KF86&gt;0,JV86/(BG86*0.5/JR86/SQRT(JP86/2))," ")</f>
        <v xml:space="preserve"> </v>
      </c>
      <c r="KI86" s="535" t="str">
        <f t="shared" ref="KI86:KI149" si="331">IF(KF86&gt;0,JV86/(BG86*0.5/JS86/SQRT(JP86/2))^2," ")</f>
        <v xml:space="preserve"> </v>
      </c>
      <c r="KJ86" s="536" t="str">
        <f t="shared" ref="KJ86:KJ149" si="332">IF(KF86&gt;0,3.3/(BD86-BE86)*0.53*0.8*(JV86/200)^0.2*(M86/4)^0.05," ")</f>
        <v xml:space="preserve"> </v>
      </c>
      <c r="KK86" s="535" t="str">
        <f t="shared" si="213"/>
        <v xml:space="preserve"> </v>
      </c>
      <c r="KL86" s="535" t="str">
        <f t="shared" si="214"/>
        <v xml:space="preserve"> </v>
      </c>
      <c r="KM86" s="537" t="str">
        <f t="shared" ref="KM86:KM149" si="333">IF(KF86&gt;0,0.35*KD86*(BG86*0.5+(BD86-BE86))/JW86," ")</f>
        <v xml:space="preserve"> </v>
      </c>
      <c r="KN86" s="537" t="str">
        <f t="shared" si="215"/>
        <v xml:space="preserve"> </v>
      </c>
      <c r="KP86">
        <f t="shared" ref="KP86:KP149" si="334">12*500*T86</f>
        <v>0</v>
      </c>
      <c r="LA86" t="e">
        <f t="shared" ref="LA86:LA149" si="335">(2.241*(LN(BS86))-5.325)</f>
        <v>#VALUE!</v>
      </c>
      <c r="LB86" t="e">
        <f t="shared" ref="LB86:LB149" si="336">(24.173*(LN(DC86+DE86))+133.37)</f>
        <v>#VALUE!</v>
      </c>
      <c r="LC86" t="e">
        <f t="shared" ref="LC86:LC149" si="337">IF(DD86&lt;590,15.827*(LN(590))-83.608,(15.827*(LN(DD86))-83.608))</f>
        <v>#VALUE!</v>
      </c>
      <c r="LD86" t="e">
        <f t="shared" ref="LD86:LD149" si="338">(35.444*(LN(BT86))-187.23)</f>
        <v>#VALUE!</v>
      </c>
      <c r="LE86" t="e">
        <f t="shared" si="216"/>
        <v>#VALUE!</v>
      </c>
      <c r="LF86">
        <f t="shared" ref="LF86:LF149" si="339">IF(AND(R86&gt;210,P86="M31")=TRUE,((R86-210)/26),0)</f>
        <v>0</v>
      </c>
      <c r="LG86" t="e">
        <f t="shared" si="217"/>
        <v>#VALUE!</v>
      </c>
      <c r="LH86" t="str">
        <f t="shared" ref="LH86:LH149" si="340">IF((JB86&gt;0),(DF86+1)*R86," ")</f>
        <v xml:space="preserve"> </v>
      </c>
      <c r="LI86">
        <f t="shared" si="218"/>
        <v>1</v>
      </c>
    </row>
    <row r="87" spans="2:321" ht="15" customHeight="1">
      <c r="B87" s="311"/>
      <c r="C87" s="311"/>
      <c r="D87" s="312"/>
      <c r="E87" s="311"/>
      <c r="F87" s="312"/>
      <c r="G87" s="311"/>
      <c r="H87" s="311"/>
      <c r="I87" s="37"/>
      <c r="J87" s="311"/>
      <c r="K87" s="305" t="str">
        <f t="shared" ref="K87:K150" si="341">IF(AND(E87&gt;0,J87&gt;0),ROUNDUP(MAX(D87/$X$9,E87/FG87,H87/220,FH87/220),0),"")</f>
        <v/>
      </c>
      <c r="L87" s="313"/>
      <c r="M87" s="312"/>
      <c r="N87" s="311"/>
      <c r="O87" s="312"/>
      <c r="P87" s="311"/>
      <c r="Q87" s="305" t="str">
        <f t="shared" ref="Q87:Q150" si="342">IF(AND(J87&gt;0,L87&gt;0,M87&gt;0,N87&gt;0,O87&gt;0,P87&gt;0),ROUNDUP(MAX(H87/L87,BS87*1250,FI87),0),"")</f>
        <v/>
      </c>
      <c r="R87" s="314"/>
      <c r="S87" s="450" t="str">
        <f t="shared" si="225"/>
        <v/>
      </c>
      <c r="T87" s="315"/>
      <c r="U87" s="315"/>
      <c r="W87" s="149" t="str">
        <f t="shared" si="226"/>
        <v xml:space="preserve"> </v>
      </c>
      <c r="X87" s="243" t="str">
        <f t="shared" si="227"/>
        <v xml:space="preserve"> </v>
      </c>
      <c r="Y87" s="150" t="str">
        <f t="shared" si="228"/>
        <v/>
      </c>
      <c r="Z87" s="149" t="str">
        <f t="shared" si="229"/>
        <v xml:space="preserve"> </v>
      </c>
      <c r="AA87" s="98" t="str">
        <f t="shared" si="230"/>
        <v xml:space="preserve"> </v>
      </c>
      <c r="AB87" s="153" t="str">
        <f t="shared" si="231"/>
        <v xml:space="preserve"> </v>
      </c>
      <c r="AC87" s="153" t="str">
        <f t="shared" si="232"/>
        <v xml:space="preserve"> </v>
      </c>
      <c r="AD87" s="148" t="str">
        <f t="shared" si="233"/>
        <v/>
      </c>
      <c r="AE87" s="149" t="str">
        <f t="shared" si="234"/>
        <v/>
      </c>
      <c r="AF87" s="151" t="str">
        <f t="shared" si="235"/>
        <v xml:space="preserve"> </v>
      </c>
      <c r="AG87" s="153" t="str">
        <f t="shared" si="236"/>
        <v xml:space="preserve"> </v>
      </c>
      <c r="AH87" s="98" t="str">
        <f t="shared" si="237"/>
        <v xml:space="preserve"> </v>
      </c>
      <c r="AI87" s="149" t="str">
        <f t="shared" si="238"/>
        <v xml:space="preserve"> </v>
      </c>
      <c r="AK87" s="144" t="str">
        <f t="shared" si="239"/>
        <v xml:space="preserve"> </v>
      </c>
      <c r="AL87" s="144"/>
      <c r="AM87" s="243" t="str">
        <f t="shared" si="240"/>
        <v xml:space="preserve"> </v>
      </c>
      <c r="AN87" s="149" t="str">
        <f t="shared" ref="AN87:AN150" si="343">IF((JB87&gt;0),LG87," ")</f>
        <v xml:space="preserve"> </v>
      </c>
      <c r="AO87" s="144" t="str">
        <f>IF(JB87&gt;0,IF(GI87=10,-R87*1.085*(Calculation!$F$6-Calculation!$F$13)*$S$14," "),"")</f>
        <v/>
      </c>
      <c r="AP87" s="144" t="str">
        <f t="shared" si="241"/>
        <v/>
      </c>
      <c r="AQ87" s="56" t="str">
        <f t="shared" si="242"/>
        <v/>
      </c>
      <c r="AR87" s="144" t="str">
        <f t="shared" si="243"/>
        <v/>
      </c>
      <c r="AS87" s="176" t="str">
        <f t="shared" si="244"/>
        <v/>
      </c>
      <c r="AT87" s="176" t="str">
        <f t="shared" ref="AT87:AT150" si="344">IF(GI87=10,EM87," ")</f>
        <v xml:space="preserve"> </v>
      </c>
      <c r="AU87" s="176" t="str">
        <f t="shared" si="245"/>
        <v/>
      </c>
      <c r="AV87" s="177" t="str">
        <f t="shared" si="246"/>
        <v xml:space="preserve"> </v>
      </c>
      <c r="AW87" s="144" t="str">
        <f t="shared" si="247"/>
        <v xml:space="preserve"> </v>
      </c>
      <c r="AX87" s="144" t="str">
        <f t="shared" si="248"/>
        <v xml:space="preserve"> </v>
      </c>
      <c r="AY87" s="152" t="str">
        <f t="shared" si="249"/>
        <v xml:space="preserve"> </v>
      </c>
      <c r="AZ87" s="246" t="str">
        <f t="shared" si="250"/>
        <v/>
      </c>
      <c r="BA87" s="176" t="str">
        <f t="shared" si="251"/>
        <v xml:space="preserve"> </v>
      </c>
      <c r="BB87" s="176" t="str">
        <f t="shared" si="252"/>
        <v xml:space="preserve"> </v>
      </c>
      <c r="BC87" s="195"/>
      <c r="BD87" s="316"/>
      <c r="BE87" s="317"/>
      <c r="BF87" s="318"/>
      <c r="BG87" s="318"/>
      <c r="BH87" s="144" t="str">
        <f t="shared" si="219"/>
        <v xml:space="preserve"> </v>
      </c>
      <c r="BI87" s="176" t="str">
        <f t="shared" si="253"/>
        <v/>
      </c>
      <c r="BJ87" s="144" t="str">
        <f t="shared" si="220"/>
        <v/>
      </c>
      <c r="BK87" s="246" t="str">
        <f t="shared" si="254"/>
        <v/>
      </c>
      <c r="BL87" s="144" t="str">
        <f t="shared" si="221"/>
        <v/>
      </c>
      <c r="BM87" s="246" t="str">
        <f t="shared" si="255"/>
        <v/>
      </c>
      <c r="BN87" s="337" t="str">
        <f t="shared" ref="BN87:BN150" si="345">IF(COUNTBLANK(L87:T87)+COUNTBLANK(J87)=0,CONCATENATE(BO87,"-",R87,"-",S87,"-",T87,"-",U87),"")</f>
        <v/>
      </c>
      <c r="BO87" s="371" t="str">
        <f t="shared" ref="BO87:BO150" si="346">IF(AND(J87="",N87="",O87=""),"",CONCATENATE(J87,(IF(LEN(J87)=4,("-00"),IF(LEN(J87)=5,("-0"),""))),"-",P87,"-",(LEFT(N87,1)),"-",M87,"-",(LEFT(O87,1))))</f>
        <v/>
      </c>
      <c r="BP87" s="328" t="str">
        <f t="shared" si="222"/>
        <v xml:space="preserve"> </v>
      </c>
      <c r="BQ87" s="347" t="str">
        <f t="shared" ref="BQ87:BQ150" si="347">LEFT(BP87,1)</f>
        <v xml:space="preserve"> </v>
      </c>
      <c r="BR87" s="353" t="str">
        <f t="shared" ref="BR87:BR150" si="348">IF(L87&gt;0,HLOOKUP(LEFT(BO87,7),Noz_Qty,(MATCH(CONCATENATE(IF(LEN(M87)=1,("0"),""),M87,"-",LEFT(BP87,1),"S"),Len_SlotLU,0)+2))," ")</f>
        <v xml:space="preserve"> </v>
      </c>
      <c r="BS87" s="626" t="str">
        <f>IF(L87&gt;0,IF(Calculation!P87="M13",BR87*3.1416*(0.134^2)/(4*144),IF(Calculation!P87="M17",BR87*3.1416*(0.165^2)/(4*144),IF(Calculation!P87="M20",BR87*3.1416*(0.198^2)/(4*144),IF(Calculation!P87="M23",BR87*3.1416*(0.228^2)/(4*144),IF(Calculation!P87="M27",BR87*3.1416*(0.269^2)/(4*144),BR87*3.1416*(0.307^2)/(4*144))))))," ")</f>
        <v xml:space="preserve"> </v>
      </c>
      <c r="BT87" s="353" t="str">
        <f>IF(L87&gt;0,IF(BS87&gt;0,R87/Calculation!BS87,0)," ")</f>
        <v xml:space="preserve"> </v>
      </c>
      <c r="BU87" s="438" t="e">
        <f t="shared" ca="1" si="256"/>
        <v>#VALUE!</v>
      </c>
      <c r="BV87" s="449" t="e">
        <f ca="1">INDEX(INDIRECT(VLOOKUP(LEFT(BO87,7),CLU!$Z$3:$AH$18,2)),GN87,GR87)</f>
        <v>#N/A</v>
      </c>
      <c r="BW87" s="433" t="e">
        <f ca="1">INDEX(INDIRECT(VLOOKUP(LEFT(BO87,7),CLU!$Z$3:$AH$18,3)),GN87,GR87)</f>
        <v>#N/A</v>
      </c>
      <c r="BX87" s="433" t="e">
        <f ca="1">INDEX(INDIRECT(VLOOKUP(LEFT(BO87,7),CLU!$Z$3:$AH$18,4)),GN87,GR87)</f>
        <v>#N/A</v>
      </c>
      <c r="BY87" s="433" t="e">
        <f ca="1">INDEX(INDIRECT(VLOOKUP(LEFT(BO87,7),CLU!$Z$3:$AH$18,9)),((M87-2)*(6-COUNTBLANK(GT87:GY87)))+GJ87)</f>
        <v>#N/A</v>
      </c>
      <c r="BZ87" s="426" t="e">
        <f t="shared" ref="BZ87:BZ150" ca="1" si="349">((BV87*T87)+BW87)*BX87*BY87</f>
        <v>#N/A</v>
      </c>
      <c r="CA87" s="424" t="e">
        <f t="shared" ref="CA87:CA150" ca="1" si="350">BZ87*DJ87*$BT$8</f>
        <v>#N/A</v>
      </c>
      <c r="CB87" s="429" t="e">
        <f ca="1">INDEX(INDIRECT(VLOOKUP(LEFT(BO87,7),CLU!$Z$3:$AH$18,2)),GN87,GS87)</f>
        <v>#N/A</v>
      </c>
      <c r="CC87" s="342" t="e">
        <f ca="1">INDEX(INDIRECT(VLOOKUP(LEFT(BO87,7),CLU!$Z$3:$AH$18,3)),GN87,GS87)</f>
        <v>#N/A</v>
      </c>
      <c r="CD87" s="342" t="e">
        <f ca="1">INDEX(INDIRECT(VLOOKUP(LEFT(BO87,7),CLU!$Z$3:$AH$18,4)),GN87,GS87)</f>
        <v>#N/A</v>
      </c>
      <c r="CE87" s="426" t="e">
        <f t="shared" ref="CE87:CE150" ca="1" si="351">((CB87*U87)+CC87)*CD87*BY87</f>
        <v>#N/A</v>
      </c>
      <c r="CF87" s="440">
        <f t="shared" ref="CF87:CF150" si="352">IF(U87=0,0,IF(O87="2 pipe (cooling)",0,CE87*DK87))*$BV$8</f>
        <v>0</v>
      </c>
      <c r="CG87" s="431" t="e">
        <f ca="1">INDEX(INDIRECT(VLOOKUP(LEFT(BO87,7),CLU!$Z$3:$AH$18,2)),GQ87,GR87)</f>
        <v>#N/A</v>
      </c>
      <c r="CH87" s="431" t="e">
        <f ca="1">INDEX(INDIRECT(VLOOKUP(LEFT(BO87,7),CLU!$Z$3:$AH$18,3)),GQ87,GR87)</f>
        <v>#N/A</v>
      </c>
      <c r="CI87" s="431" t="e">
        <f ca="1">INDEX(INDIRECT(VLOOKUP(LEFT(BO87,7),CLU!$Z$3:$AH$18,4)),GQ87,GR87)</f>
        <v>#N/A</v>
      </c>
      <c r="CJ87" s="448" t="e">
        <f t="shared" ref="CJ87:CJ150" ca="1" si="353">BY87</f>
        <v>#N/A</v>
      </c>
      <c r="CK87" s="431" t="e">
        <f t="shared" ref="CK87:CK150" ca="1" si="354">((CG87*T87)+CH87)*CI87*CJ87</f>
        <v>#N/A</v>
      </c>
      <c r="CL87" s="440" t="e">
        <f t="shared" ref="CL87:CL150" ca="1" si="355">CK87*DJ87*$BT$8</f>
        <v>#N/A</v>
      </c>
      <c r="CM87" s="431" t="e">
        <f ca="1">INDEX(INDIRECT(VLOOKUP(LEFT(BO87,7),CLU!$Z$3:$AH$18,2)),GQ87,GS87)</f>
        <v>#N/A</v>
      </c>
      <c r="CN87" s="431" t="e">
        <f ca="1">INDEX(INDIRECT(VLOOKUP(LEFT(BO87,7),CLU!$Z$3:$AH$18,3)),GQ87,GS87)</f>
        <v>#N/A</v>
      </c>
      <c r="CO87" s="431" t="e">
        <f ca="1">INDEX(INDIRECT(VLOOKUP(LEFT(BO87,7),CLU!$Z$3:$AH$18,4)),GQ87,GS87)</f>
        <v>#N/A</v>
      </c>
      <c r="CP87" s="431" t="e">
        <f t="shared" ref="CP87:CP150" ca="1" si="356">((CM87*U87)+CN87)*CO87*CJ87</f>
        <v>#N/A</v>
      </c>
      <c r="CQ87" s="440">
        <f t="shared" ref="CQ87:CQ150" si="357">IF(U87=0,0,IF(O87="2 pipe (cooling)",0,CP87*DK87))*$BV$8</f>
        <v>0</v>
      </c>
      <c r="CR87" s="51" t="e">
        <f t="shared" ref="CR87:CR150" ca="1" si="358">CL87-CA87</f>
        <v>#N/A</v>
      </c>
      <c r="CS87" s="439" t="e">
        <f t="shared" ref="CS87:CS150" ca="1" si="359">(BU87-GM87)/10</f>
        <v>#VALUE!</v>
      </c>
      <c r="CT87" s="51" t="e">
        <f t="shared" ref="CT87:CT150" ca="1" si="360">CS87*CR87</f>
        <v>#VALUE!</v>
      </c>
      <c r="CU87" s="10"/>
      <c r="CV87" s="51" t="e">
        <f t="shared" ca="1" si="257"/>
        <v>#VALUE!</v>
      </c>
      <c r="CW87" s="51">
        <f t="shared" ref="CW87:CW150" si="361">CQ87-CF87</f>
        <v>0</v>
      </c>
      <c r="CX87" s="439" t="e">
        <f t="shared" ref="CX87:CX150" ca="1" si="362">(BU87-GM87)/10</f>
        <v>#VALUE!</v>
      </c>
      <c r="CY87" s="51" t="e">
        <f t="shared" ref="CY87:CY150" ca="1" si="363">CX87*CW87</f>
        <v>#VALUE!</v>
      </c>
      <c r="CZ87" s="10"/>
      <c r="DA87" s="51" t="e">
        <f t="shared" ref="DA87:DA150" ca="1" si="364">(CF87+CY87)*$CZ$21</f>
        <v>#VALUE!</v>
      </c>
      <c r="DB87" s="347" t="e">
        <f ca="1">INDEX(INDIRECT(VLOOKUP(LEFT(BO87,7),CLU!$Z$3:$AI$18,10)),((M87-2)*(6-COUNTBLANK(GT87:GY87)))+GJ87)*LI87</f>
        <v>#N/A</v>
      </c>
      <c r="DC87" s="347" t="str">
        <f>IF(L87&gt;0,((R87/Worksheet!$I$15)/DB87)^2," ")</f>
        <v xml:space="preserve"> </v>
      </c>
      <c r="DD87" s="602" t="str">
        <f t="shared" ref="DD87:DD150" si="365">IF(L87&gt;0,IF(S87=4,R87/0.087,IF(S87=5,R87/0.136,IF(S87=6,R87/0.197,IF(S87=8,R87/0.35,R87/0.415))))," ")</f>
        <v xml:space="preserve"> </v>
      </c>
      <c r="DE87" s="347" t="str">
        <f t="shared" si="258"/>
        <v xml:space="preserve"> </v>
      </c>
      <c r="DF87" s="356" t="e">
        <f ca="1">INDEX(INDIRECT(VLOOKUP(LEFT(BO87,7),CLU!$Z$3:$AH$18,8)),((M87-2)*(6-COUNTBLANK(GT87:GY87)))+GJ87)</f>
        <v>#N/A</v>
      </c>
      <c r="DG87" s="347" t="str">
        <f t="shared" si="259"/>
        <v xml:space="preserve"> </v>
      </c>
      <c r="DH87" s="357" t="str">
        <f t="shared" si="260"/>
        <v xml:space="preserve"> </v>
      </c>
      <c r="DI87" s="355" t="str">
        <f t="shared" si="261"/>
        <v xml:space="preserve"> </v>
      </c>
      <c r="DJ87" s="245" t="e">
        <f ca="1">INDEX(INDIRECT(VLOOKUP(LEFT(BO87,7),CLU!$Z$3:$AH$18,5)),GL87,GK87)</f>
        <v>#N/A</v>
      </c>
      <c r="DK87" s="245" t="e">
        <f ca="1">INDEX(INDIRECT(VLOOKUP(LEFT(BO87,7),CLU!$Z$3:$AH$18,6)),GL87,GK87)</f>
        <v>#N/A</v>
      </c>
      <c r="DL87" s="355">
        <f>(Calculation!R87*0.69143*(Calculation!$BQ$8-Calculation!$F$8))*$S$14</f>
        <v>0</v>
      </c>
      <c r="DM87" s="359" t="e">
        <f t="shared" ref="DM87:DM150" si="366">ABS(AO87*L87)</f>
        <v>#VALUE!</v>
      </c>
      <c r="DN87" s="611">
        <f t="shared" ref="DN87:DN150" si="367">IF(E87=0,DP87,ROUND((DM87/E87)*100,0))</f>
        <v>0</v>
      </c>
      <c r="DO87" s="359">
        <f t="shared" ref="DO87:DO150" si="368">100-DN87</f>
        <v>100</v>
      </c>
      <c r="DP87" s="359">
        <f t="shared" ref="DP87:DP150" si="369">IF(AO87="",0,ROUND(ABS(AO87)/ABS(AQ87)*100,0))</f>
        <v>0</v>
      </c>
      <c r="DQ87" s="360"/>
      <c r="DR87" s="245" t="e">
        <f ca="1">INDEX(INDIRECT(VLOOKUP(LEFT(BO87,7),CLU!$Z$3:$AH$18,7)),M87-1,1)</f>
        <v>#N/A</v>
      </c>
      <c r="DS87" s="245" t="e">
        <f ca="1">INDEX(INDIRECT(VLOOKUP(LEFT(BO87,7),CLU!$Z$3:$AH$18,7)),M87-1,2)</f>
        <v>#N/A</v>
      </c>
      <c r="DT87" s="245" t="e">
        <f ca="1">INDEX(INDIRECT(VLOOKUP(LEFT(BO87,7),CLU!$Z$3:$AH$18,7)),M87-1,3)</f>
        <v>#N/A</v>
      </c>
      <c r="DU87" s="245" t="e">
        <f ca="1">INDEX(INDIRECT(VLOOKUP(LEFT(BO87,7),CLU!$Z$3:$AH$18,7)),M87-1,4)</f>
        <v>#N/A</v>
      </c>
      <c r="DV87" s="361" t="e">
        <f ca="1">INDEX(INDIRECT(VLOOKUP(LEFT(BO87,7),CLU!$Z$3:$AH$18,7)),M87-1,4+LEFT(DZ87,1)*0.5)</f>
        <v>#N/A</v>
      </c>
      <c r="DW87" s="245" t="e">
        <f ca="1">INDEX(INDIRECT(VLOOKUP(LEFT(BO87,7),CLU!$Z$3:$AH$18,7)),M87-1,8)</f>
        <v>#N/A</v>
      </c>
      <c r="DX87" s="361" t="str">
        <f t="shared" si="262"/>
        <v xml:space="preserve"> </v>
      </c>
      <c r="DY87" s="361" t="str">
        <f t="shared" si="263"/>
        <v xml:space="preserve"> </v>
      </c>
      <c r="DZ87" s="361" t="str">
        <f t="shared" si="264"/>
        <v xml:space="preserve"> </v>
      </c>
      <c r="EA87" s="362" t="str">
        <f t="shared" si="265"/>
        <v xml:space="preserve"> </v>
      </c>
      <c r="EB87" s="624" t="str">
        <f t="shared" ref="EB87:EB150" si="370">IF(AND(MID(J87,6,2)="12",O87="4 pipe (H/C)"),1,IF(L87&gt;0,IF(BR87&gt;0,IF(MAX(T87,U87)&gt;EA87,2,1),0)," "))</f>
        <v xml:space="preserve"> </v>
      </c>
      <c r="EC87" s="361" t="e">
        <f ca="1">INDEX(INDIRECT(VLOOKUP(LEFT(BO87,7),CLU!$Z$3:$AH$18,7)),M87-1,4+LEFT(DZ87,1)*0.5)</f>
        <v>#N/A</v>
      </c>
      <c r="ED87" s="362" t="str">
        <f t="shared" si="266"/>
        <v xml:space="preserve"> </v>
      </c>
      <c r="EE87" s="361" t="str">
        <f t="shared" si="267"/>
        <v xml:space="preserve"> </v>
      </c>
      <c r="EF87" s="362" t="str">
        <f>IF(L87&gt;0,IF(BR87&gt;0,IF(EE87="2P",IF(Calculation!DZ87="2P",IF(Calculation!DS87=13.75,IF(Calculation!DR87=13,Worksheet!$BD$43,IF(Calculation!DR87=37,Worksheet!$BD$44,Worksheet!$BD$45)),IF(Calculation!DS87=10,IF(Calculation!DR87=18,Worksheet!$BD$29,IF(Calculation!DR87=30,Worksheet!$BD$30,IF(Calculation!DR87=42,Worksheet!$BD$31,IF(Calculation!DR87=54,Worksheet!$BD$32,IF(Calculation!DR87=66,Worksheet!$BD$33,IF(Calculation!DR87=78,Worksheet!$BD$34,IF(Calculation!DR87=90,Worksheet!$BD$35,IF(Calculation!DR87=102,Worksheet!$BD$36,Worksheet!$BD$37)))))))),IF(Calculation!DS87=12.5,IF(Calculation!DR87=18,Worksheet!$BD$38,IF(Calculation!DR87=Worksheet!$BD$39,IF(Calculation!DR87=42,Worksheet!$BD$40,IF(Calculation!DR87=54,Worksheet!$BD$41,Worksheet!$BD$42)))),IF(Calculation!DR87=18,Worksheet!$BD$11,IF(Calculation!DR87=30,Worksheet!$BD$12,IF(Calculation!DR87=42,Worksheet!$BD$13,IF(Calculation!DR87=54,Worksheet!$BD$14,IF(Calculation!DR87=66,Worksheet!$BD$15,IF(Calculation!DR87=78,Worksheet!$BD$16,IF(Calculation!DR87=90,Worksheet!$BD$17,IF(Calculation!DR87=102,Worksheet!$BD$18,Worksheet!$BD$19))))))))))),IF(Calculation!DS87=13.75,IF(Calculation!DR87=13,Worksheet!$BD$78,IF(Calculation!DR87=37,Worksheet!$BD$79,Worksheet!$BD$80)),IF(Calculation!DS87=10,IF(Calculation!DR87=18,Worksheet!$BD$64,IF(Calculation!DR87=30,Worksheet!$BD$65,IF(Calculation!DR87=42,Worksheet!$BD$66,IF(Calculation!DR87=54,Worksheet!$BD$68,IF(Calculation!DR87=66,Worksheet!$BD$68,IF(Calculation!DR87=78,Worksheet!$BD$69,IF(Calculation!DR87=90,Worksheet!$BD$70,IF(Calculation!DR87=102,Worksheet!$BD$71,Worksheet!$BD$72)))))))),IF(Calculation!DS87=12.5,IF(Calculation!DR87=18,Worksheet!$BD$73,IF(Calculation!DR87=Worksheet!$BD$74,IF(Calculation!DR87=42,Worksheet!$BD$75,IF(Calculation!DR87=54,Worksheet!$BD$76,Worksheet!$BD$77)))),IF(Calculation!DR87=18,Worksheet!$BD$55,IF(Calculation!DR87=30,Worksheet!$BD$56,IF(Calculation!DR87=42,Worksheet!$BD$57,IF(Calculation!DR87=54,Worksheet!$BD$58,IF(Calculation!DR87=66,Worksheet!$BD$59,IF(Calculation!DR87=78,Worksheet!$BD$60,IF(Calculation!DR87=90,Worksheet!$BD$61,IF(Calculation!DR87=102,Worksheet!$BD$62,Worksheet!$BD$63)))))))))))),5),0)," ")</f>
        <v xml:space="preserve"> </v>
      </c>
      <c r="EG87" s="361" t="str">
        <f t="shared" si="268"/>
        <v xml:space="preserve"> </v>
      </c>
      <c r="EH87" s="361" t="e">
        <f ca="1">INDEX(INDIRECT(VLOOKUP(LEFT(BO87,7),CLU!$Z$3:$AH$18,7)),M87-1,3+LEFT(DZ87,1))</f>
        <v>#N/A</v>
      </c>
      <c r="EI87" s="362" t="str">
        <f t="shared" si="269"/>
        <v xml:space="preserve"> </v>
      </c>
      <c r="EJ87" s="363" t="str">
        <f t="shared" si="270"/>
        <v xml:space="preserve"> </v>
      </c>
      <c r="EK87" s="363" t="str">
        <f t="shared" si="271"/>
        <v xml:space="preserve"> </v>
      </c>
      <c r="EL87" s="363" t="str">
        <f t="shared" si="272"/>
        <v xml:space="preserve"> </v>
      </c>
      <c r="EM87" s="362" t="str">
        <f>IF(L87&gt;0,IF(BR87&gt;0,(Calculation!T87/ED87)^2,0)," ")</f>
        <v xml:space="preserve"> </v>
      </c>
      <c r="EN87" s="362" t="str">
        <f>IF(L87&gt;0,IF(O87="2 Pipe (Cooling)","N/A",IF(BR87&gt;0,(Calculation!U87/EI87)^2,0))," ")</f>
        <v xml:space="preserve"> </v>
      </c>
      <c r="EO87" s="361" t="str">
        <f t="shared" si="273"/>
        <v/>
      </c>
      <c r="EP87" s="361" t="str">
        <f t="shared" si="274"/>
        <v/>
      </c>
      <c r="EQ87" s="361" t="str">
        <f t="shared" si="275"/>
        <v/>
      </c>
      <c r="ER87" s="361" t="str">
        <f t="shared" si="276"/>
        <v/>
      </c>
      <c r="ES87" s="361" t="str">
        <f t="shared" si="277"/>
        <v/>
      </c>
      <c r="ET87" s="361" t="str">
        <f t="shared" si="278"/>
        <v/>
      </c>
      <c r="EU87" s="361" t="str">
        <f t="shared" si="279"/>
        <v/>
      </c>
      <c r="EV87" s="361" t="str">
        <f t="shared" si="280"/>
        <v/>
      </c>
      <c r="EW87" s="361" t="str">
        <f t="shared" si="281"/>
        <v/>
      </c>
      <c r="EX87" s="361" t="str">
        <f t="shared" ref="EX87:EX150" si="371">IF(J87="CBAM","4 way",IF(J87="CBLV","2 slots, 2 way",IF(J87="CBAV","As specified *","1 slot, 1 way")))</f>
        <v>1 slot, 1 way</v>
      </c>
      <c r="EY87" s="361" t="str">
        <f t="shared" ref="EY87:EY150" si="372">IF(J87="CBAL2","2 slots, 2 way",IF(J87="CBE2-24","2 slots, 2 way",IF(J87="CBLV-12","2 slots, 2 way",IF(J87="CBE2-12","2 slots, 2 way"," "))))</f>
        <v xml:space="preserve"> </v>
      </c>
      <c r="EZ87" s="361" t="str">
        <f t="shared" ref="EZ87:EZ150" si="373">IF(J87&gt;0,"2 pipe (cooling)"," ")</f>
        <v xml:space="preserve"> </v>
      </c>
      <c r="FA87" s="361" t="str">
        <f t="shared" ref="FA87:FA150" si="374">IF(J87&gt;0,"2 pipe (H/C)"," ")</f>
        <v xml:space="preserve"> </v>
      </c>
      <c r="FB87" s="361" t="str">
        <f t="shared" ref="FB87:FB150" si="375">IF(J87&gt;0,"4 pipe (H/C)"," ")</f>
        <v xml:space="preserve"> </v>
      </c>
      <c r="FC87" s="361"/>
      <c r="FD87" s="361" t="str">
        <f>IF(J87&gt;0,IF(Calculation!R87&lt;=70,4,IF(Calculation!R87&lt;=110,5,IF(Calculation!R87&lt;=160,6,IF(Calculation!R87&lt;=300,8,"10 EO")))),"")</f>
        <v/>
      </c>
      <c r="FE87" s="361" t="str">
        <f t="shared" ref="FE87:FE150" si="376">IF(J87&gt;0,IF(FD87=4,5,IF(FD87=5,6,IF(FD87=6,8,IF(FD87=8,"10 EO","")))),"")</f>
        <v/>
      </c>
      <c r="FF87" s="361" t="str">
        <f t="shared" ref="FF87:FF150" si="377">IF(J87&gt;0,IF(FE87=4,5,IF(FE87=5,6,IF(FE87=6,8,IF(FE87=8,"10 EO","")))),"")</f>
        <v/>
      </c>
      <c r="FG87" s="361" t="e">
        <f t="shared" si="282"/>
        <v>#N/A</v>
      </c>
      <c r="FH87" s="361">
        <f t="shared" si="283"/>
        <v>0</v>
      </c>
      <c r="FI87" s="361" t="e">
        <f t="shared" si="284"/>
        <v>#DIV/0!</v>
      </c>
      <c r="FJ87" s="361"/>
      <c r="FK87" s="356" t="e">
        <f t="shared" si="285"/>
        <v>#VALUE!</v>
      </c>
      <c r="FL87" s="361"/>
      <c r="FM87" s="361"/>
      <c r="FN87" s="362" t="str">
        <f t="shared" ref="FN87:FN150" si="378">IF(L87&gt;0,IF(J87="CBLV-12",0.5,IF(J87="CBE2-12",0.5,IF(J87="CBLV",0.5,0.25)))," ")</f>
        <v xml:space="preserve"> </v>
      </c>
      <c r="FO87" s="362" t="str">
        <f t="shared" ref="FO87:FO150" si="379">IF(L87&gt;0,IF(J87="CBAW",1.9,IF(J87="CBAM",1.7,IF(J87="CBAL-12",4,IF(J87="CBE2-12",4,IF(J87="CBLV",4,2.5)))))," ")</f>
        <v xml:space="preserve"> </v>
      </c>
      <c r="FP87" s="362">
        <f t="shared" ref="FP87:FP150" si="380">IF(T87=0,0,IF(OR(LEFT(BO87,7)="CBLV-00",LEFT(BO87,7)="CBLV-12"),1,0.5))</f>
        <v>0</v>
      </c>
      <c r="FQ87" s="361">
        <f t="shared" si="286"/>
        <v>0</v>
      </c>
      <c r="FR87" s="362" t="str">
        <f>IF(L87&gt;0,IF(J87="CBAL2",Worksheet!$P$67,IF(J87="CBE2-24",Worksheet!$Q$67,IF(J87="CBAM",Worksheet!$R$67,IF(J87="CBLV",Worksheet!$S$67,IF(J87="CBAB",Worksheet!$U$67,IF(J87="CBAW",Worksheet!$X$67,IF(J87="CBE2-12",Worksheet!$Y$67,IF(J87="CBAL2",Worksheet!$Z$67,"N/A"))))))))," ")</f>
        <v xml:space="preserve"> </v>
      </c>
      <c r="FS87" s="362" t="str">
        <f>IF(L87&gt;0,IF(J87="CBAL2",Worksheet!$P$68,IF(J87="CBE2-24",Worksheet!$Q$68,IF(J87="CBAM",Worksheet!$R$68,IF(J87="CBLV",Worksheet!$S$68,IF(J87="CBAB",Worksheet!$U$68,IF(J87="CBAW",Worksheet!$X$68,IF(J87="CBE2-12",Worksheet!$Y$68,IF(J87="CBAL2",Worksheet!$Z$68,"N/A"))))))))," ")</f>
        <v xml:space="preserve"> </v>
      </c>
      <c r="FT87" s="362" t="str">
        <f>IF(L87&gt;0,IF(J87="CBAL2",Worksheet!$P$69,IF(J87="CBE2-24",Worksheet!$Q$69,IF(J87="CBAM",Worksheet!$R$69,IF(J87="CBLV",Worksheet!$S$69,IF(J87="CBAB",Worksheet!$U$69,IF(J87="CBAW",Worksheet!$X$69,IF(J87="CBE2-12",Worksheet!$Y$69,IF(J87="CBAL2",Worksheet!$Z$69,"N/A"))))))))," ")</f>
        <v xml:space="preserve"> </v>
      </c>
      <c r="FU87" s="361" t="str">
        <f t="shared" ref="FU87:FU150" si="381">IF(FR87="N/A","N/A",IF(BD87&gt;0,MIN(FR87*(DI87/(0.5*BG87))^2/(DH87^2),FS87*(DI87/(0.5*BG87))/DH87,FT87*(DI87/(0.5*BG87))^0.5/(DH87^0.5))," "))</f>
        <v xml:space="preserve"> </v>
      </c>
      <c r="FV87" s="362" t="str">
        <f t="shared" ref="FV87:FV150" si="382">IF(FU87="N/A","N/A",IF(BD87&gt;0,0.5*(3.5/(BD87-BE87))^0.8," "))</f>
        <v xml:space="preserve"> </v>
      </c>
      <c r="FW87" s="362" t="str">
        <f t="shared" ref="FW87:FW150" si="383">IF(FU87="N/A","N/A",IF(BD87&gt;0,($F$6-AS87)*0.01," "))</f>
        <v xml:space="preserve"> </v>
      </c>
      <c r="FX87" s="362" t="str">
        <f t="shared" ref="FX87:FX150" si="384">IF(FU87="N/A","N/A",IF(BD87&gt;0,(AZ87-$H$6)*0.01," "))</f>
        <v xml:space="preserve"> </v>
      </c>
      <c r="FY87" s="355" t="str">
        <f t="shared" ref="FY87:FY150" si="385">IF(FR87="N/A","N/A",IF(BD87&gt;0,MIN(FR87*(DI87/(BD87+BF87-BE87))^2/(DH87^2),FS87*(DI87/(BD87-BE87+BF87))/DH87,FT87*(DI87/(BD87-BE87+BF87))^0.5/(DH87^0.5))," "))</f>
        <v xml:space="preserve"> </v>
      </c>
      <c r="FZ87" s="361" t="str">
        <f t="shared" ref="FZ87:FZ150" si="386">IF(BD87&gt;0,IF(FU87="N/A","N/A",FU87*FV87*(1-FW87))," ")</f>
        <v xml:space="preserve"> </v>
      </c>
      <c r="GA87" s="347" t="str">
        <f t="shared" ref="GA87:GA150" si="387">IF(BD87&gt;0,IF(FU87="N/A","N/A",$F$6-(FZ87/DI87)*($F$6-AS87))," ")</f>
        <v xml:space="preserve"> </v>
      </c>
      <c r="GB87" s="355" t="str">
        <f t="shared" ref="GB87:GB150" si="388">IF(BD87&gt;0,IF(FU87="N/A","N/A",FY87*(1+FW87))," ")</f>
        <v xml:space="preserve"> </v>
      </c>
      <c r="GC87" s="328" t="str">
        <f t="shared" ref="GC87:GC150" si="389">IF(BD87&gt;0,IF(FU87="N/A","N/A",$F$6-(FY87/DI87)*($F$6-AS87))," ")</f>
        <v xml:space="preserve"> </v>
      </c>
      <c r="GD87" s="361" t="str">
        <f t="shared" ref="GD87:GD150" si="390">IF(BD87&gt;0,IF(FU87="N/A","N/A",FU87*FV87*(1-FX87))," ")</f>
        <v xml:space="preserve"> </v>
      </c>
      <c r="GE87" s="347" t="str">
        <f t="shared" ref="GE87:GE150" si="391">IF(BD87&gt;0,IF(FU87="N/A","N/A",$H$6-(GD87/DI87)*($H$6-AZ87))," ")</f>
        <v xml:space="preserve"> </v>
      </c>
      <c r="GF87" s="361" t="str">
        <f t="shared" ref="GF87:GF150" si="392">IF(BD87&gt;0,IF(FU87="N/A","N/A",FY87*(1-FX87))," ")</f>
        <v xml:space="preserve"> </v>
      </c>
      <c r="GG87" s="347" t="str">
        <f t="shared" ref="GG87:GG150" si="393">IF(BD87&gt;0,IF(FU87="N/A","N/A",$H$6-(GF87/DI87)*($H$6-AZ87))," ")</f>
        <v xml:space="preserve"> </v>
      </c>
      <c r="GH87" s="364">
        <f t="shared" si="287"/>
        <v>0</v>
      </c>
      <c r="GI87" s="362">
        <f t="shared" ref="GI87:GI150" si="394">COUNTA(J87:R87)+COUNTA(T87)</f>
        <v>2</v>
      </c>
      <c r="GJ87" s="433" t="e">
        <f>IF(6-COUNTBLANK(GT87:GY87)=4,MATCH(MID(BO87,9,3),CLU!$H$16:$K$16),MATCH(MID(BO87,9,3),CLU!$H$13:$M$13))</f>
        <v>#N/A</v>
      </c>
      <c r="GK87" s="433" t="e">
        <f>HLOOKUP(VALUE(BP87),CLU!$H$9:$M$10,2)</f>
        <v>#VALUE!</v>
      </c>
      <c r="GL87" s="433" t="e">
        <f ca="1">MATCH(BU87,CLU!$H$2:$V$2,1)</f>
        <v>#VALUE!</v>
      </c>
      <c r="GM87" s="433" t="e">
        <f t="shared" ref="GM87:GM150" ca="1" si="395">((GL87-1)*10)+15</f>
        <v>#VALUE!</v>
      </c>
      <c r="GN87" s="433" t="e">
        <f t="shared" ref="GN87:GN150" ca="1" si="396">((M87-2)*15)+GL87</f>
        <v>#VALUE!</v>
      </c>
      <c r="GO87" s="433" t="e">
        <f t="shared" ref="GO87:GO150" ca="1" si="397">IF(GL87=15,15,GL87+1)</f>
        <v>#VALUE!</v>
      </c>
      <c r="GP87" s="433" t="e">
        <f t="shared" ref="GP87:GP150" ca="1" si="398">((GO87-1)*10)+15</f>
        <v>#VALUE!</v>
      </c>
      <c r="GQ87" s="433" t="e">
        <f t="shared" ref="GQ87:GQ150" ca="1" si="399">((M87-2)*15)+GO87</f>
        <v>#VALUE!</v>
      </c>
      <c r="GR87" s="433" t="e">
        <f ca="1">MATCH(T87,INDIRECT(VLOOKUP(CONCATENATE(LEFT(BO87,7),"-",MID(BO87,13,1)),CLU!$P$3:$Q$16,2)),1)</f>
        <v>#N/A</v>
      </c>
      <c r="GS87" s="433" t="e">
        <f ca="1">MATCH(U87,INDIRECT(VLOOKUP(CONCATENATE(LEFT(BO87,7),"-",MID(BO87,13,1)),CLU!$P$3:$Q$16,2)),1)</f>
        <v>#N/A</v>
      </c>
      <c r="GT87" s="347" t="s">
        <v>512</v>
      </c>
      <c r="GU87" s="97" t="s">
        <v>513</v>
      </c>
      <c r="GV87" s="97" t="str">
        <f t="shared" ref="GV87:GV150" si="400">IF(J87="CBAL2","M20",IF(J87="CBE2-24","M20","M23"))</f>
        <v>M23</v>
      </c>
      <c r="GW87" s="97" t="str">
        <f t="shared" ref="GW87:GW150" si="401">IF(J87="CBAL2","M23",IF(J87="CBE2-24","M23","M31"))</f>
        <v>M31</v>
      </c>
      <c r="GX87" s="97" t="str">
        <f t="shared" ref="GX87:GX150" si="402">IF(J87="CBAL2","M27",IF(J87="CBE2-24","M27",""))</f>
        <v/>
      </c>
      <c r="GY87" s="97" t="str">
        <f t="shared" ref="GY87:GY150" si="403">IF(J87="CBAL2","M31",IF(J87="CBE2-24","M31",""))</f>
        <v/>
      </c>
      <c r="GZ87" s="481"/>
      <c r="HA87" s="288"/>
      <c r="HB87" s="240"/>
      <c r="HC87" s="240"/>
      <c r="HD87" s="240"/>
      <c r="HE87" s="240"/>
      <c r="HF87" s="240"/>
      <c r="HG87" s="240"/>
      <c r="HH87" s="240"/>
      <c r="HI87" s="240"/>
      <c r="HJ87" s="240"/>
      <c r="HK87" s="240"/>
      <c r="HL87" s="240"/>
      <c r="HM87" s="240"/>
      <c r="HN87" s="240"/>
      <c r="HO87" s="240"/>
      <c r="HP87" s="240"/>
      <c r="HQ87" s="240"/>
      <c r="HR87" s="240"/>
      <c r="HS87" s="240"/>
      <c r="HT87" s="240"/>
      <c r="HU87" s="240"/>
      <c r="HV87" s="245"/>
      <c r="HW87" s="245" t="b">
        <v>1</v>
      </c>
      <c r="HX87" s="245" t="str">
        <f t="shared" si="288"/>
        <v/>
      </c>
      <c r="HY87" s="245" t="e">
        <f t="shared" si="289"/>
        <v>#DIV/0!</v>
      </c>
      <c r="HZ87" s="245" t="e">
        <f t="shared" si="290"/>
        <v>#DIV/0!</v>
      </c>
      <c r="IA87" s="245">
        <f t="shared" si="291"/>
        <v>0</v>
      </c>
      <c r="IB87" s="245"/>
      <c r="IC87" t="b">
        <f t="shared" si="292"/>
        <v>1</v>
      </c>
      <c r="ID87" s="245" t="b">
        <f t="shared" si="293"/>
        <v>1</v>
      </c>
      <c r="IE87" s="245" t="b">
        <f t="shared" si="294"/>
        <v>1</v>
      </c>
      <c r="IF87" s="245" t="b">
        <f t="shared" si="295"/>
        <v>0</v>
      </c>
      <c r="IG87" s="245" t="b">
        <f t="shared" si="296"/>
        <v>1</v>
      </c>
      <c r="IH87" s="245" t="b">
        <f t="shared" si="297"/>
        <v>1</v>
      </c>
      <c r="II87" s="245">
        <f t="shared" ref="II87:II150" si="404">IFERROR(IF(AND(IV87&gt;0,HW87=TRUE,IW87&gt;0,HX87&gt;0,IC87=FALSE,ID87=FALSE,IE87=FALSE,IF87=TRUE,IG87=FALSE,IH87=FALSE),1,0),0)</f>
        <v>0</v>
      </c>
      <c r="IJ87" s="245" t="e">
        <f t="shared" si="298"/>
        <v>#VALUE!</v>
      </c>
      <c r="IK87" s="245" t="e">
        <f t="shared" si="299"/>
        <v>#VALUE!</v>
      </c>
      <c r="IL87" s="245"/>
      <c r="IM87" s="245" t="e">
        <f t="shared" ref="IM87:IM150" si="405">VLOOKUP(MATCH(LEFT(HX87,7),$IM$7:$IM$17,0),$IL$7:$IO$17,3)</f>
        <v>#N/A</v>
      </c>
      <c r="IN87" s="245" t="e">
        <f t="shared" ref="IN87:IN150" si="406">VLOOKUP(MATCH(LEFT(HX87,7),$IM$7:$IM$17,0),$IL$7:$IO$17,4)</f>
        <v>#N/A</v>
      </c>
      <c r="IO87" s="245"/>
      <c r="IP87" s="245"/>
      <c r="IQ87" s="245" t="str">
        <f t="shared" si="300"/>
        <v/>
      </c>
      <c r="IR87" s="245" t="str">
        <f>IF(J87="","",VLOOKUP(J87,Worksheet!$R$4:$T$14,2))</f>
        <v/>
      </c>
      <c r="IS87" s="245"/>
      <c r="IT87" s="245">
        <f t="shared" si="301"/>
        <v>0</v>
      </c>
      <c r="IU87" s="245">
        <f t="shared" si="302"/>
        <v>0</v>
      </c>
      <c r="IV87" s="245">
        <f t="shared" si="303"/>
        <v>0</v>
      </c>
      <c r="IW87" s="245">
        <f t="shared" si="304"/>
        <v>0</v>
      </c>
      <c r="IX87" s="245">
        <f t="shared" ref="IX87:IX150" si="407">IFERROR(MATCH(P87,GT87:GY87,0),0)</f>
        <v>0</v>
      </c>
      <c r="IY87" s="245">
        <f t="shared" si="305"/>
        <v>0</v>
      </c>
      <c r="IZ87" s="245">
        <f t="shared" si="306"/>
        <v>0</v>
      </c>
      <c r="JA87">
        <f t="shared" si="307"/>
        <v>0</v>
      </c>
      <c r="JB87">
        <f t="shared" ref="JB87:JB150" si="408">IF(ISERROR(IF(MIN(IT87,IU87,IV87,IW87,IX87,IZ87,JA87)=0,0,1))=TRUE,0,MIN(IT87,IU87,IV87,IW87,IX87,IZ87,JA87))</f>
        <v>0</v>
      </c>
      <c r="JC87">
        <f t="shared" si="308"/>
        <v>0</v>
      </c>
      <c r="JD87">
        <f t="shared" si="309"/>
        <v>0</v>
      </c>
      <c r="JE87">
        <f t="shared" si="310"/>
        <v>0</v>
      </c>
      <c r="JF87">
        <f t="shared" si="311"/>
        <v>0</v>
      </c>
      <c r="JG87">
        <f t="shared" si="312"/>
        <v>0</v>
      </c>
      <c r="JH87">
        <f t="shared" si="313"/>
        <v>0</v>
      </c>
      <c r="JI87">
        <f t="shared" si="314"/>
        <v>0</v>
      </c>
      <c r="JJ87" s="447">
        <f t="shared" si="315"/>
        <v>0</v>
      </c>
      <c r="JK87" s="447">
        <f t="shared" si="316"/>
        <v>0</v>
      </c>
      <c r="JL87">
        <f t="shared" si="317"/>
        <v>0</v>
      </c>
      <c r="JM87" s="245" t="str">
        <f>IFERROR(VLOOKUP(MATCH(BN87,#REF!,0),#REF!,7),"")</f>
        <v/>
      </c>
      <c r="JN87" t="e">
        <f>HLOOKUP(LEFT(BO87,7),Discharge_Area,MATCH(JO87,LookUps!$B$130:$B$149,1)+2)</f>
        <v>#N/A</v>
      </c>
      <c r="JO87" t="str">
        <f t="shared" si="318"/>
        <v>- S</v>
      </c>
      <c r="JP87" t="e">
        <f>HLOOKUP(LEFT(BO87,7),Discharge_Area,MATCH(JO87,LookUps!$B$130:$B$149,1)+2)</f>
        <v>#N/A</v>
      </c>
      <c r="JQ87" t="e">
        <f t="shared" si="319"/>
        <v>#N/A</v>
      </c>
      <c r="JR87" t="e">
        <f t="shared" si="320"/>
        <v>#N/A</v>
      </c>
      <c r="JS87" t="e">
        <f t="shared" si="321"/>
        <v>#N/A</v>
      </c>
      <c r="JT87" s="532" t="str">
        <f t="shared" si="322"/>
        <v xml:space="preserve"> </v>
      </c>
      <c r="JU87" s="532" t="str">
        <f t="shared" si="323"/>
        <v xml:space="preserve"> </v>
      </c>
      <c r="JV87" s="533" t="str">
        <f t="shared" si="324"/>
        <v xml:space="preserve"> </v>
      </c>
      <c r="JW87" s="534">
        <f t="shared" si="325"/>
        <v>0</v>
      </c>
      <c r="JX87" s="535" t="str">
        <f t="shared" ref="JX87:JX150" si="409">IF(JW87&gt;0,JV87/(JW87/JQ87/SQRT(JP87/2))^0.5," ")</f>
        <v xml:space="preserve"> </v>
      </c>
      <c r="JY87" s="535" t="str">
        <f t="shared" ref="JY87:JY150" si="410">IF(JW87&gt;0,JV87/(JW87/JR87/SQRT(JP87/2))," ")</f>
        <v xml:space="preserve"> </v>
      </c>
      <c r="JZ87" s="535" t="str">
        <f t="shared" ref="JZ87:JZ150" si="411">IF(JW87&gt;0,JV87/(JW87/JS87/SQRT(JP87/2))^2," ")</f>
        <v xml:space="preserve"> </v>
      </c>
      <c r="KA87" s="536" t="str">
        <f t="shared" si="326"/>
        <v xml:space="preserve"> </v>
      </c>
      <c r="KB87" s="535" t="e">
        <f t="shared" ref="KB87:KB150" si="412">IF(JW87&gt;0,MIN(JX87:JZ87)*KA87," ")*0.6</f>
        <v>#VALUE!</v>
      </c>
      <c r="KC87" s="535" t="str">
        <f t="shared" si="327"/>
        <v/>
      </c>
      <c r="KD87" s="537" t="str">
        <f t="shared" ref="KD87:KD150" si="413">IF(JW87&gt;0,(0.72*(KB87/JV87)*(JV87/200)^0.2)*JT87," ")</f>
        <v xml:space="preserve"> </v>
      </c>
      <c r="KE87" s="537" t="str">
        <f t="shared" ref="KE87:KE150" si="414">IF(JW87&gt;0,(0.72*(KC87/JV87)*(JV87/200)^0.2)*JU87," ")</f>
        <v xml:space="preserve"> </v>
      </c>
      <c r="KF87" s="534">
        <f t="shared" si="328"/>
        <v>0</v>
      </c>
      <c r="KG87" s="535" t="str">
        <f t="shared" si="329"/>
        <v xml:space="preserve"> </v>
      </c>
      <c r="KH87" s="535" t="str">
        <f t="shared" si="330"/>
        <v xml:space="preserve"> </v>
      </c>
      <c r="KI87" s="535" t="str">
        <f t="shared" si="331"/>
        <v xml:space="preserve"> </v>
      </c>
      <c r="KJ87" s="536" t="str">
        <f t="shared" si="332"/>
        <v xml:space="preserve"> </v>
      </c>
      <c r="KK87" s="535" t="str">
        <f t="shared" ref="KK87:KK150" si="415">IF(KF87&gt;0,MIN(KG87:KI87)*KJ87," ")</f>
        <v xml:space="preserve"> </v>
      </c>
      <c r="KL87" s="535" t="str">
        <f t="shared" ref="KL87:KL150" si="416">IF(KF87&gt;0,KJ87*MIN(KG87:KI87)/(KB87/10)^0.3," ")</f>
        <v xml:space="preserve"> </v>
      </c>
      <c r="KM87" s="537" t="str">
        <f t="shared" si="333"/>
        <v xml:space="preserve"> </v>
      </c>
      <c r="KN87" s="537" t="str">
        <f t="shared" ref="KN87:KN150" si="417">IF(KF87&gt;0,KM87*JU87/JT87," ")</f>
        <v xml:space="preserve"> </v>
      </c>
      <c r="KP87">
        <f t="shared" si="334"/>
        <v>0</v>
      </c>
      <c r="LA87" t="e">
        <f t="shared" si="335"/>
        <v>#VALUE!</v>
      </c>
      <c r="LB87" t="e">
        <f t="shared" si="336"/>
        <v>#VALUE!</v>
      </c>
      <c r="LC87" t="e">
        <f t="shared" si="337"/>
        <v>#VALUE!</v>
      </c>
      <c r="LD87" t="e">
        <f t="shared" si="338"/>
        <v>#VALUE!</v>
      </c>
      <c r="LE87" t="e">
        <f t="shared" ref="LE87:LE150" si="418">SUM(LA87+LB87+LC87-LD87)+11.198</f>
        <v>#VALUE!</v>
      </c>
      <c r="LF87">
        <f t="shared" si="339"/>
        <v>0</v>
      </c>
      <c r="LG87" t="e">
        <f t="shared" ref="LG87:LG150" si="419">ROUND(IF((LE87-17)&lt;15,15,LE87-17)+LF87,0)</f>
        <v>#VALUE!</v>
      </c>
      <c r="LH87" t="str">
        <f t="shared" si="340"/>
        <v xml:space="preserve"> </v>
      </c>
      <c r="LI87">
        <f t="shared" ref="LI87:LI150" si="420">IF(OR(LEFT(HX87,9)="CBAL2-0-1",LEFT(HX87,9)="CBLV-12-1",LEFT(HX87,9)="CBE2-24-1",LEFT(HX87,9)="CBE2-12-1")=TRUE,0.525,1)</f>
        <v>1</v>
      </c>
    </row>
    <row r="88" spans="2:321" ht="15" customHeight="1">
      <c r="B88" s="311"/>
      <c r="C88" s="311"/>
      <c r="D88" s="312"/>
      <c r="E88" s="311"/>
      <c r="F88" s="312"/>
      <c r="G88" s="311"/>
      <c r="H88" s="311"/>
      <c r="I88" s="37"/>
      <c r="J88" s="311"/>
      <c r="K88" s="305" t="str">
        <f t="shared" si="341"/>
        <v/>
      </c>
      <c r="L88" s="313"/>
      <c r="M88" s="312"/>
      <c r="N88" s="311"/>
      <c r="O88" s="312"/>
      <c r="P88" s="311"/>
      <c r="Q88" s="305" t="str">
        <f t="shared" si="342"/>
        <v/>
      </c>
      <c r="R88" s="314"/>
      <c r="S88" s="450" t="str">
        <f t="shared" si="225"/>
        <v/>
      </c>
      <c r="T88" s="315"/>
      <c r="U88" s="315"/>
      <c r="W88" s="149" t="str">
        <f t="shared" si="226"/>
        <v xml:space="preserve"> </v>
      </c>
      <c r="X88" s="243" t="str">
        <f t="shared" si="227"/>
        <v xml:space="preserve"> </v>
      </c>
      <c r="Y88" s="150" t="str">
        <f t="shared" si="228"/>
        <v/>
      </c>
      <c r="Z88" s="149" t="str">
        <f t="shared" si="229"/>
        <v xml:space="preserve"> </v>
      </c>
      <c r="AA88" s="98" t="str">
        <f t="shared" si="230"/>
        <v xml:space="preserve"> </v>
      </c>
      <c r="AB88" s="153" t="str">
        <f t="shared" si="231"/>
        <v xml:space="preserve"> </v>
      </c>
      <c r="AC88" s="153" t="str">
        <f t="shared" si="232"/>
        <v xml:space="preserve"> </v>
      </c>
      <c r="AD88" s="148" t="str">
        <f t="shared" si="233"/>
        <v/>
      </c>
      <c r="AE88" s="149" t="str">
        <f t="shared" si="234"/>
        <v/>
      </c>
      <c r="AF88" s="151" t="str">
        <f t="shared" si="235"/>
        <v xml:space="preserve"> </v>
      </c>
      <c r="AG88" s="153" t="str">
        <f t="shared" si="236"/>
        <v xml:space="preserve"> </v>
      </c>
      <c r="AH88" s="98" t="str">
        <f t="shared" si="237"/>
        <v xml:space="preserve"> </v>
      </c>
      <c r="AI88" s="149" t="str">
        <f t="shared" si="238"/>
        <v xml:space="preserve"> </v>
      </c>
      <c r="AK88" s="144" t="str">
        <f t="shared" si="239"/>
        <v xml:space="preserve"> </v>
      </c>
      <c r="AL88" s="144"/>
      <c r="AM88" s="243" t="str">
        <f t="shared" si="240"/>
        <v xml:space="preserve"> </v>
      </c>
      <c r="AN88" s="149" t="str">
        <f t="shared" si="343"/>
        <v xml:space="preserve"> </v>
      </c>
      <c r="AO88" s="144" t="str">
        <f>IF(JB88&gt;0,IF(GI88=10,-R88*1.085*(Calculation!$F$6-Calculation!$F$13)*$S$14," "),"")</f>
        <v/>
      </c>
      <c r="AP88" s="144" t="str">
        <f t="shared" si="241"/>
        <v/>
      </c>
      <c r="AQ88" s="56" t="str">
        <f t="shared" si="242"/>
        <v/>
      </c>
      <c r="AR88" s="144" t="str">
        <f t="shared" si="243"/>
        <v/>
      </c>
      <c r="AS88" s="176" t="str">
        <f t="shared" si="244"/>
        <v/>
      </c>
      <c r="AT88" s="176" t="str">
        <f t="shared" si="344"/>
        <v xml:space="preserve"> </v>
      </c>
      <c r="AU88" s="176" t="str">
        <f t="shared" si="245"/>
        <v/>
      </c>
      <c r="AV88" s="177" t="str">
        <f t="shared" si="246"/>
        <v xml:space="preserve"> </v>
      </c>
      <c r="AW88" s="144" t="str">
        <f t="shared" si="247"/>
        <v xml:space="preserve"> </v>
      </c>
      <c r="AX88" s="144" t="str">
        <f t="shared" si="248"/>
        <v xml:space="preserve"> </v>
      </c>
      <c r="AY88" s="152" t="str">
        <f t="shared" si="249"/>
        <v xml:space="preserve"> </v>
      </c>
      <c r="AZ88" s="246" t="str">
        <f t="shared" si="250"/>
        <v/>
      </c>
      <c r="BA88" s="176" t="str">
        <f t="shared" si="251"/>
        <v xml:space="preserve"> </v>
      </c>
      <c r="BB88" s="176" t="str">
        <f t="shared" si="252"/>
        <v xml:space="preserve"> </v>
      </c>
      <c r="BC88" s="195"/>
      <c r="BD88" s="316"/>
      <c r="BE88" s="317"/>
      <c r="BF88" s="318"/>
      <c r="BG88" s="318"/>
      <c r="BH88" s="144" t="str">
        <f t="shared" ref="BH88:BH151" si="421">IFERROR(KK88,"")</f>
        <v xml:space="preserve"> </v>
      </c>
      <c r="BI88" s="176" t="str">
        <f t="shared" si="253"/>
        <v/>
      </c>
      <c r="BJ88" s="144" t="str">
        <f t="shared" ref="BJ88:BJ151" si="422">IFERROR(KB88,"")</f>
        <v/>
      </c>
      <c r="BK88" s="246" t="str">
        <f t="shared" si="254"/>
        <v/>
      </c>
      <c r="BL88" s="144" t="str">
        <f t="shared" ref="BL88:BL151" si="423">IFERROR(KC88,"")</f>
        <v/>
      </c>
      <c r="BM88" s="246" t="str">
        <f t="shared" si="255"/>
        <v/>
      </c>
      <c r="BN88" s="337" t="str">
        <f t="shared" si="345"/>
        <v/>
      </c>
      <c r="BO88" s="371" t="str">
        <f t="shared" si="346"/>
        <v/>
      </c>
      <c r="BP88" s="328" t="str">
        <f t="shared" ref="BP88:BP151" si="424">IF(AND(N88&gt;0,O88&gt;0),IF(LEFT(BO88,4)="CBAV",VALUE(CONCATENATE(1,LEFT(O88,1))),VALUE(CONCATENATE(LEFT(N88,1),(LEFT(O88,1)))))," ")</f>
        <v xml:space="preserve"> </v>
      </c>
      <c r="BQ88" s="347" t="str">
        <f t="shared" si="347"/>
        <v xml:space="preserve"> </v>
      </c>
      <c r="BR88" s="353" t="str">
        <f t="shared" si="348"/>
        <v xml:space="preserve"> </v>
      </c>
      <c r="BS88" s="626" t="str">
        <f>IF(L88&gt;0,IF(Calculation!P88="M13",BR88*3.1416*(0.134^2)/(4*144),IF(Calculation!P88="M17",BR88*3.1416*(0.165^2)/(4*144),IF(Calculation!P88="M20",BR88*3.1416*(0.198^2)/(4*144),IF(Calculation!P88="M23",BR88*3.1416*(0.228^2)/(4*144),IF(Calculation!P88="M27",BR88*3.1416*(0.269^2)/(4*144),BR88*3.1416*(0.307^2)/(4*144))))))," ")</f>
        <v xml:space="preserve"> </v>
      </c>
      <c r="BT88" s="353" t="str">
        <f>IF(L88&gt;0,IF(BS88&gt;0,R88/Calculation!BS88,0)," ")</f>
        <v xml:space="preserve"> </v>
      </c>
      <c r="BU88" s="438" t="e">
        <f t="shared" ca="1" si="256"/>
        <v>#VALUE!</v>
      </c>
      <c r="BV88" s="449" t="e">
        <f ca="1">INDEX(INDIRECT(VLOOKUP(LEFT(BO88,7),CLU!$Z$3:$AH$18,2)),GN88,GR88)</f>
        <v>#N/A</v>
      </c>
      <c r="BW88" s="433" t="e">
        <f ca="1">INDEX(INDIRECT(VLOOKUP(LEFT(BO88,7),CLU!$Z$3:$AH$18,3)),GN88,GR88)</f>
        <v>#N/A</v>
      </c>
      <c r="BX88" s="433" t="e">
        <f ca="1">INDEX(INDIRECT(VLOOKUP(LEFT(BO88,7),CLU!$Z$3:$AH$18,4)),GN88,GR88)</f>
        <v>#N/A</v>
      </c>
      <c r="BY88" s="433" t="e">
        <f ca="1">INDEX(INDIRECT(VLOOKUP(LEFT(BO88,7),CLU!$Z$3:$AH$18,9)),((M88-2)*(6-COUNTBLANK(GT88:GY88)))+GJ88)</f>
        <v>#N/A</v>
      </c>
      <c r="BZ88" s="426" t="e">
        <f t="shared" ca="1" si="349"/>
        <v>#N/A</v>
      </c>
      <c r="CA88" s="424" t="e">
        <f t="shared" ca="1" si="350"/>
        <v>#N/A</v>
      </c>
      <c r="CB88" s="429" t="e">
        <f ca="1">INDEX(INDIRECT(VLOOKUP(LEFT(BO88,7),CLU!$Z$3:$AH$18,2)),GN88,GS88)</f>
        <v>#N/A</v>
      </c>
      <c r="CC88" s="342" t="e">
        <f ca="1">INDEX(INDIRECT(VLOOKUP(LEFT(BO88,7),CLU!$Z$3:$AH$18,3)),GN88,GS88)</f>
        <v>#N/A</v>
      </c>
      <c r="CD88" s="342" t="e">
        <f ca="1">INDEX(INDIRECT(VLOOKUP(LEFT(BO88,7),CLU!$Z$3:$AH$18,4)),GN88,GS88)</f>
        <v>#N/A</v>
      </c>
      <c r="CE88" s="426" t="e">
        <f t="shared" ca="1" si="351"/>
        <v>#N/A</v>
      </c>
      <c r="CF88" s="440">
        <f t="shared" si="352"/>
        <v>0</v>
      </c>
      <c r="CG88" s="431" t="e">
        <f ca="1">INDEX(INDIRECT(VLOOKUP(LEFT(BO88,7),CLU!$Z$3:$AH$18,2)),GQ88,GR88)</f>
        <v>#N/A</v>
      </c>
      <c r="CH88" s="431" t="e">
        <f ca="1">INDEX(INDIRECT(VLOOKUP(LEFT(BO88,7),CLU!$Z$3:$AH$18,3)),GQ88,GR88)</f>
        <v>#N/A</v>
      </c>
      <c r="CI88" s="431" t="e">
        <f ca="1">INDEX(INDIRECT(VLOOKUP(LEFT(BO88,7),CLU!$Z$3:$AH$18,4)),GQ88,GR88)</f>
        <v>#N/A</v>
      </c>
      <c r="CJ88" s="448" t="e">
        <f t="shared" ca="1" si="353"/>
        <v>#N/A</v>
      </c>
      <c r="CK88" s="431" t="e">
        <f t="shared" ca="1" si="354"/>
        <v>#N/A</v>
      </c>
      <c r="CL88" s="440" t="e">
        <f t="shared" ca="1" si="355"/>
        <v>#N/A</v>
      </c>
      <c r="CM88" s="431" t="e">
        <f ca="1">INDEX(INDIRECT(VLOOKUP(LEFT(BO88,7),CLU!$Z$3:$AH$18,2)),GQ88,GS88)</f>
        <v>#N/A</v>
      </c>
      <c r="CN88" s="431" t="e">
        <f ca="1">INDEX(INDIRECT(VLOOKUP(LEFT(BO88,7),CLU!$Z$3:$AH$18,3)),GQ88,GS88)</f>
        <v>#N/A</v>
      </c>
      <c r="CO88" s="431" t="e">
        <f ca="1">INDEX(INDIRECT(VLOOKUP(LEFT(BO88,7),CLU!$Z$3:$AH$18,4)),GQ88,GS88)</f>
        <v>#N/A</v>
      </c>
      <c r="CP88" s="431" t="e">
        <f t="shared" ca="1" si="356"/>
        <v>#N/A</v>
      </c>
      <c r="CQ88" s="440">
        <f t="shared" si="357"/>
        <v>0</v>
      </c>
      <c r="CR88" s="51" t="e">
        <f t="shared" ca="1" si="358"/>
        <v>#N/A</v>
      </c>
      <c r="CS88" s="439" t="e">
        <f t="shared" ca="1" si="359"/>
        <v>#VALUE!</v>
      </c>
      <c r="CT88" s="51" t="e">
        <f t="shared" ca="1" si="360"/>
        <v>#VALUE!</v>
      </c>
      <c r="CU88" s="10"/>
      <c r="CV88" s="51" t="e">
        <f t="shared" ca="1" si="257"/>
        <v>#VALUE!</v>
      </c>
      <c r="CW88" s="51">
        <f t="shared" si="361"/>
        <v>0</v>
      </c>
      <c r="CX88" s="439" t="e">
        <f t="shared" ca="1" si="362"/>
        <v>#VALUE!</v>
      </c>
      <c r="CY88" s="51" t="e">
        <f t="shared" ca="1" si="363"/>
        <v>#VALUE!</v>
      </c>
      <c r="CZ88" s="10"/>
      <c r="DA88" s="51" t="e">
        <f t="shared" ca="1" si="364"/>
        <v>#VALUE!</v>
      </c>
      <c r="DB88" s="347" t="e">
        <f ca="1">INDEX(INDIRECT(VLOOKUP(LEFT(BO88,7),CLU!$Z$3:$AI$18,10)),((M88-2)*(6-COUNTBLANK(GT88:GY88)))+GJ88)*LI88</f>
        <v>#N/A</v>
      </c>
      <c r="DC88" s="347" t="str">
        <f>IF(L88&gt;0,((R88/Worksheet!$I$15)/DB88)^2," ")</f>
        <v xml:space="preserve"> </v>
      </c>
      <c r="DD88" s="602" t="str">
        <f t="shared" si="365"/>
        <v xml:space="preserve"> </v>
      </c>
      <c r="DE88" s="347" t="str">
        <f t="shared" si="258"/>
        <v xml:space="preserve"> </v>
      </c>
      <c r="DF88" s="356" t="e">
        <f ca="1">INDEX(INDIRECT(VLOOKUP(LEFT(BO88,7),CLU!$Z$3:$AH$18,8)),((M88-2)*(6-COUNTBLANK(GT88:GY88)))+GJ88)</f>
        <v>#N/A</v>
      </c>
      <c r="DG88" s="347" t="str">
        <f t="shared" si="259"/>
        <v xml:space="preserve"> </v>
      </c>
      <c r="DH88" s="357" t="str">
        <f t="shared" si="260"/>
        <v xml:space="preserve"> </v>
      </c>
      <c r="DI88" s="355" t="str">
        <f t="shared" si="261"/>
        <v xml:space="preserve"> </v>
      </c>
      <c r="DJ88" s="245" t="e">
        <f ca="1">INDEX(INDIRECT(VLOOKUP(LEFT(BO88,7),CLU!$Z$3:$AH$18,5)),GL88,GK88)</f>
        <v>#N/A</v>
      </c>
      <c r="DK88" s="245" t="e">
        <f ca="1">INDEX(INDIRECT(VLOOKUP(LEFT(BO88,7),CLU!$Z$3:$AH$18,6)),GL88,GK88)</f>
        <v>#N/A</v>
      </c>
      <c r="DL88" s="355">
        <f>(Calculation!R88*0.69143*(Calculation!$BQ$8-Calculation!$F$8))*$S$14</f>
        <v>0</v>
      </c>
      <c r="DM88" s="359" t="e">
        <f t="shared" si="366"/>
        <v>#VALUE!</v>
      </c>
      <c r="DN88" s="611">
        <f t="shared" si="367"/>
        <v>0</v>
      </c>
      <c r="DO88" s="359">
        <f t="shared" si="368"/>
        <v>100</v>
      </c>
      <c r="DP88" s="359">
        <f t="shared" si="369"/>
        <v>0</v>
      </c>
      <c r="DQ88" s="360"/>
      <c r="DR88" s="245" t="e">
        <f ca="1">INDEX(INDIRECT(VLOOKUP(LEFT(BO88,7),CLU!$Z$3:$AH$18,7)),M88-1,1)</f>
        <v>#N/A</v>
      </c>
      <c r="DS88" s="245" t="e">
        <f ca="1">INDEX(INDIRECT(VLOOKUP(LEFT(BO88,7),CLU!$Z$3:$AH$18,7)),M88-1,2)</f>
        <v>#N/A</v>
      </c>
      <c r="DT88" s="245" t="e">
        <f ca="1">INDEX(INDIRECT(VLOOKUP(LEFT(BO88,7),CLU!$Z$3:$AH$18,7)),M88-1,3)</f>
        <v>#N/A</v>
      </c>
      <c r="DU88" s="245" t="e">
        <f ca="1">INDEX(INDIRECT(VLOOKUP(LEFT(BO88,7),CLU!$Z$3:$AH$18,7)),M88-1,4)</f>
        <v>#N/A</v>
      </c>
      <c r="DV88" s="361" t="e">
        <f ca="1">INDEX(INDIRECT(VLOOKUP(LEFT(BO88,7),CLU!$Z$3:$AH$18,7)),M88-1,4+LEFT(DZ88,1)*0.5)</f>
        <v>#N/A</v>
      </c>
      <c r="DW88" s="245" t="e">
        <f ca="1">INDEX(INDIRECT(VLOOKUP(LEFT(BO88,7),CLU!$Z$3:$AH$18,7)),M88-1,8)</f>
        <v>#N/A</v>
      </c>
      <c r="DX88" s="361" t="str">
        <f t="shared" si="262"/>
        <v xml:space="preserve"> </v>
      </c>
      <c r="DY88" s="361" t="str">
        <f t="shared" si="263"/>
        <v xml:space="preserve"> </v>
      </c>
      <c r="DZ88" s="361" t="str">
        <f t="shared" si="264"/>
        <v xml:space="preserve"> </v>
      </c>
      <c r="EA88" s="362" t="str">
        <f t="shared" si="265"/>
        <v xml:space="preserve"> </v>
      </c>
      <c r="EB88" s="624" t="str">
        <f t="shared" si="370"/>
        <v xml:space="preserve"> </v>
      </c>
      <c r="EC88" s="361" t="e">
        <f ca="1">INDEX(INDIRECT(VLOOKUP(LEFT(BO88,7),CLU!$Z$3:$AH$18,7)),M88-1,4+LEFT(DZ88,1)*0.5)</f>
        <v>#N/A</v>
      </c>
      <c r="ED88" s="362" t="str">
        <f t="shared" si="266"/>
        <v xml:space="preserve"> </v>
      </c>
      <c r="EE88" s="361" t="str">
        <f t="shared" si="267"/>
        <v xml:space="preserve"> </v>
      </c>
      <c r="EF88" s="362" t="str">
        <f>IF(L88&gt;0,IF(BR88&gt;0,IF(EE88="2P",IF(Calculation!DZ88="2P",IF(Calculation!DS88=13.75,IF(Calculation!DR88=13,Worksheet!$BD$43,IF(Calculation!DR88=37,Worksheet!$BD$44,Worksheet!$BD$45)),IF(Calculation!DS88=10,IF(Calculation!DR88=18,Worksheet!$BD$29,IF(Calculation!DR88=30,Worksheet!$BD$30,IF(Calculation!DR88=42,Worksheet!$BD$31,IF(Calculation!DR88=54,Worksheet!$BD$32,IF(Calculation!DR88=66,Worksheet!$BD$33,IF(Calculation!DR88=78,Worksheet!$BD$34,IF(Calculation!DR88=90,Worksheet!$BD$35,IF(Calculation!DR88=102,Worksheet!$BD$36,Worksheet!$BD$37)))))))),IF(Calculation!DS88=12.5,IF(Calculation!DR88=18,Worksheet!$BD$38,IF(Calculation!DR88=Worksheet!$BD$39,IF(Calculation!DR88=42,Worksheet!$BD$40,IF(Calculation!DR88=54,Worksheet!$BD$41,Worksheet!$BD$42)))),IF(Calculation!DR88=18,Worksheet!$BD$11,IF(Calculation!DR88=30,Worksheet!$BD$12,IF(Calculation!DR88=42,Worksheet!$BD$13,IF(Calculation!DR88=54,Worksheet!$BD$14,IF(Calculation!DR88=66,Worksheet!$BD$15,IF(Calculation!DR88=78,Worksheet!$BD$16,IF(Calculation!DR88=90,Worksheet!$BD$17,IF(Calculation!DR88=102,Worksheet!$BD$18,Worksheet!$BD$19))))))))))),IF(Calculation!DS88=13.75,IF(Calculation!DR88=13,Worksheet!$BD$78,IF(Calculation!DR88=37,Worksheet!$BD$79,Worksheet!$BD$80)),IF(Calculation!DS88=10,IF(Calculation!DR88=18,Worksheet!$BD$64,IF(Calculation!DR88=30,Worksheet!$BD$65,IF(Calculation!DR88=42,Worksheet!$BD$66,IF(Calculation!DR88=54,Worksheet!$BD$68,IF(Calculation!DR88=66,Worksheet!$BD$68,IF(Calculation!DR88=78,Worksheet!$BD$69,IF(Calculation!DR88=90,Worksheet!$BD$70,IF(Calculation!DR88=102,Worksheet!$BD$71,Worksheet!$BD$72)))))))),IF(Calculation!DS88=12.5,IF(Calculation!DR88=18,Worksheet!$BD$73,IF(Calculation!DR88=Worksheet!$BD$74,IF(Calculation!DR88=42,Worksheet!$BD$75,IF(Calculation!DR88=54,Worksheet!$BD$76,Worksheet!$BD$77)))),IF(Calculation!DR88=18,Worksheet!$BD$55,IF(Calculation!DR88=30,Worksheet!$BD$56,IF(Calculation!DR88=42,Worksheet!$BD$57,IF(Calculation!DR88=54,Worksheet!$BD$58,IF(Calculation!DR88=66,Worksheet!$BD$59,IF(Calculation!DR88=78,Worksheet!$BD$60,IF(Calculation!DR88=90,Worksheet!$BD$61,IF(Calculation!DR88=102,Worksheet!$BD$62,Worksheet!$BD$63)))))))))))),5),0)," ")</f>
        <v xml:space="preserve"> </v>
      </c>
      <c r="EG88" s="361" t="str">
        <f t="shared" si="268"/>
        <v xml:space="preserve"> </v>
      </c>
      <c r="EH88" s="361" t="e">
        <f ca="1">INDEX(INDIRECT(VLOOKUP(LEFT(BO88,7),CLU!$Z$3:$AH$18,7)),M88-1,3+LEFT(DZ88,1))</f>
        <v>#N/A</v>
      </c>
      <c r="EI88" s="362" t="str">
        <f t="shared" si="269"/>
        <v xml:space="preserve"> </v>
      </c>
      <c r="EJ88" s="363" t="str">
        <f t="shared" si="270"/>
        <v xml:space="preserve"> </v>
      </c>
      <c r="EK88" s="363" t="str">
        <f t="shared" si="271"/>
        <v xml:space="preserve"> </v>
      </c>
      <c r="EL88" s="363" t="str">
        <f t="shared" si="272"/>
        <v xml:space="preserve"> </v>
      </c>
      <c r="EM88" s="362" t="str">
        <f>IF(L88&gt;0,IF(BR88&gt;0,(Calculation!T88/ED88)^2,0)," ")</f>
        <v xml:space="preserve"> </v>
      </c>
      <c r="EN88" s="362" t="str">
        <f>IF(L88&gt;0,IF(O88="2 Pipe (Cooling)","N/A",IF(BR88&gt;0,(Calculation!U88/EI88)^2,0))," ")</f>
        <v xml:space="preserve"> </v>
      </c>
      <c r="EO88" s="361" t="str">
        <f t="shared" si="273"/>
        <v/>
      </c>
      <c r="EP88" s="361" t="str">
        <f t="shared" si="274"/>
        <v/>
      </c>
      <c r="EQ88" s="361" t="str">
        <f t="shared" si="275"/>
        <v/>
      </c>
      <c r="ER88" s="361" t="str">
        <f t="shared" si="276"/>
        <v/>
      </c>
      <c r="ES88" s="361" t="str">
        <f t="shared" si="277"/>
        <v/>
      </c>
      <c r="ET88" s="361" t="str">
        <f t="shared" si="278"/>
        <v/>
      </c>
      <c r="EU88" s="361" t="str">
        <f t="shared" si="279"/>
        <v/>
      </c>
      <c r="EV88" s="361" t="str">
        <f t="shared" si="280"/>
        <v/>
      </c>
      <c r="EW88" s="361" t="str">
        <f t="shared" si="281"/>
        <v/>
      </c>
      <c r="EX88" s="361" t="str">
        <f t="shared" si="371"/>
        <v>1 slot, 1 way</v>
      </c>
      <c r="EY88" s="361" t="str">
        <f t="shared" si="372"/>
        <v xml:space="preserve"> </v>
      </c>
      <c r="EZ88" s="361" t="str">
        <f t="shared" si="373"/>
        <v xml:space="preserve"> </v>
      </c>
      <c r="FA88" s="361" t="str">
        <f t="shared" si="374"/>
        <v xml:space="preserve"> </v>
      </c>
      <c r="FB88" s="361" t="str">
        <f t="shared" si="375"/>
        <v xml:space="preserve"> </v>
      </c>
      <c r="FC88" s="361"/>
      <c r="FD88" s="361" t="str">
        <f>IF(J88&gt;0,IF(Calculation!R88&lt;=70,4,IF(Calculation!R88&lt;=110,5,IF(Calculation!R88&lt;=160,6,IF(Calculation!R88&lt;=300,8,"10 EO")))),"")</f>
        <v/>
      </c>
      <c r="FE88" s="361" t="str">
        <f t="shared" si="376"/>
        <v/>
      </c>
      <c r="FF88" s="361" t="str">
        <f t="shared" si="377"/>
        <v/>
      </c>
      <c r="FG88" s="361" t="e">
        <f t="shared" si="282"/>
        <v>#N/A</v>
      </c>
      <c r="FH88" s="361">
        <f t="shared" si="283"/>
        <v>0</v>
      </c>
      <c r="FI88" s="361" t="e">
        <f t="shared" si="284"/>
        <v>#DIV/0!</v>
      </c>
      <c r="FJ88" s="361"/>
      <c r="FK88" s="356" t="e">
        <f t="shared" si="285"/>
        <v>#VALUE!</v>
      </c>
      <c r="FL88" s="361"/>
      <c r="FM88" s="361"/>
      <c r="FN88" s="362" t="str">
        <f t="shared" si="378"/>
        <v xml:space="preserve"> </v>
      </c>
      <c r="FO88" s="362" t="str">
        <f t="shared" si="379"/>
        <v xml:space="preserve"> </v>
      </c>
      <c r="FP88" s="362">
        <f t="shared" si="380"/>
        <v>0</v>
      </c>
      <c r="FQ88" s="361">
        <f t="shared" si="286"/>
        <v>0</v>
      </c>
      <c r="FR88" s="362" t="str">
        <f>IF(L88&gt;0,IF(J88="CBAL2",Worksheet!$P$67,IF(J88="CBE2-24",Worksheet!$Q$67,IF(J88="CBAM",Worksheet!$R$67,IF(J88="CBLV",Worksheet!$S$67,IF(J88="CBAB",Worksheet!$U$67,IF(J88="CBAW",Worksheet!$X$67,IF(J88="CBE2-12",Worksheet!$Y$67,IF(J88="CBAL2",Worksheet!$Z$67,"N/A"))))))))," ")</f>
        <v xml:space="preserve"> </v>
      </c>
      <c r="FS88" s="362" t="str">
        <f>IF(L88&gt;0,IF(J88="CBAL2",Worksheet!$P$68,IF(J88="CBE2-24",Worksheet!$Q$68,IF(J88="CBAM",Worksheet!$R$68,IF(J88="CBLV",Worksheet!$S$68,IF(J88="CBAB",Worksheet!$U$68,IF(J88="CBAW",Worksheet!$X$68,IF(J88="CBE2-12",Worksheet!$Y$68,IF(J88="CBAL2",Worksheet!$Z$68,"N/A"))))))))," ")</f>
        <v xml:space="preserve"> </v>
      </c>
      <c r="FT88" s="362" t="str">
        <f>IF(L88&gt;0,IF(J88="CBAL2",Worksheet!$P$69,IF(J88="CBE2-24",Worksheet!$Q$69,IF(J88="CBAM",Worksheet!$R$69,IF(J88="CBLV",Worksheet!$S$69,IF(J88="CBAB",Worksheet!$U$69,IF(J88="CBAW",Worksheet!$X$69,IF(J88="CBE2-12",Worksheet!$Y$69,IF(J88="CBAL2",Worksheet!$Z$69,"N/A"))))))))," ")</f>
        <v xml:space="preserve"> </v>
      </c>
      <c r="FU88" s="361" t="str">
        <f t="shared" si="381"/>
        <v xml:space="preserve"> </v>
      </c>
      <c r="FV88" s="362" t="str">
        <f t="shared" si="382"/>
        <v xml:space="preserve"> </v>
      </c>
      <c r="FW88" s="362" t="str">
        <f t="shared" si="383"/>
        <v xml:space="preserve"> </v>
      </c>
      <c r="FX88" s="362" t="str">
        <f t="shared" si="384"/>
        <v xml:space="preserve"> </v>
      </c>
      <c r="FY88" s="355" t="str">
        <f t="shared" si="385"/>
        <v xml:space="preserve"> </v>
      </c>
      <c r="FZ88" s="361" t="str">
        <f t="shared" si="386"/>
        <v xml:space="preserve"> </v>
      </c>
      <c r="GA88" s="347" t="str">
        <f t="shared" si="387"/>
        <v xml:space="preserve"> </v>
      </c>
      <c r="GB88" s="355" t="str">
        <f t="shared" si="388"/>
        <v xml:space="preserve"> </v>
      </c>
      <c r="GC88" s="328" t="str">
        <f t="shared" si="389"/>
        <v xml:space="preserve"> </v>
      </c>
      <c r="GD88" s="361" t="str">
        <f t="shared" si="390"/>
        <v xml:space="preserve"> </v>
      </c>
      <c r="GE88" s="347" t="str">
        <f t="shared" si="391"/>
        <v xml:space="preserve"> </v>
      </c>
      <c r="GF88" s="361" t="str">
        <f t="shared" si="392"/>
        <v xml:space="preserve"> </v>
      </c>
      <c r="GG88" s="347" t="str">
        <f t="shared" si="393"/>
        <v xml:space="preserve"> </v>
      </c>
      <c r="GH88" s="364">
        <f t="shared" si="287"/>
        <v>0</v>
      </c>
      <c r="GI88" s="362">
        <f t="shared" si="394"/>
        <v>2</v>
      </c>
      <c r="GJ88" s="433" t="e">
        <f>IF(6-COUNTBLANK(GT88:GY88)=4,MATCH(MID(BO88,9,3),CLU!$H$16:$K$16),MATCH(MID(BO88,9,3),CLU!$H$13:$M$13))</f>
        <v>#N/A</v>
      </c>
      <c r="GK88" s="433" t="e">
        <f>HLOOKUP(VALUE(BP88),CLU!$H$9:$M$10,2)</f>
        <v>#VALUE!</v>
      </c>
      <c r="GL88" s="433" t="e">
        <f ca="1">MATCH(BU88,CLU!$H$2:$V$2,1)</f>
        <v>#VALUE!</v>
      </c>
      <c r="GM88" s="433" t="e">
        <f t="shared" ca="1" si="395"/>
        <v>#VALUE!</v>
      </c>
      <c r="GN88" s="433" t="e">
        <f t="shared" ca="1" si="396"/>
        <v>#VALUE!</v>
      </c>
      <c r="GO88" s="433" t="e">
        <f t="shared" ca="1" si="397"/>
        <v>#VALUE!</v>
      </c>
      <c r="GP88" s="433" t="e">
        <f t="shared" ca="1" si="398"/>
        <v>#VALUE!</v>
      </c>
      <c r="GQ88" s="433" t="e">
        <f t="shared" ca="1" si="399"/>
        <v>#VALUE!</v>
      </c>
      <c r="GR88" s="433" t="e">
        <f ca="1">MATCH(T88,INDIRECT(VLOOKUP(CONCATENATE(LEFT(BO88,7),"-",MID(BO88,13,1)),CLU!$P$3:$Q$16,2)),1)</f>
        <v>#N/A</v>
      </c>
      <c r="GS88" s="433" t="e">
        <f ca="1">MATCH(U88,INDIRECT(VLOOKUP(CONCATENATE(LEFT(BO88,7),"-",MID(BO88,13,1)),CLU!$P$3:$Q$16,2)),1)</f>
        <v>#N/A</v>
      </c>
      <c r="GT88" s="347" t="s">
        <v>512</v>
      </c>
      <c r="GU88" s="97" t="s">
        <v>513</v>
      </c>
      <c r="GV88" s="97" t="str">
        <f t="shared" si="400"/>
        <v>M23</v>
      </c>
      <c r="GW88" s="97" t="str">
        <f t="shared" si="401"/>
        <v>M31</v>
      </c>
      <c r="GX88" s="97" t="str">
        <f t="shared" si="402"/>
        <v/>
      </c>
      <c r="GY88" s="97" t="str">
        <f t="shared" si="403"/>
        <v/>
      </c>
      <c r="GZ88" s="481"/>
      <c r="HA88" s="288"/>
      <c r="HB88" s="240"/>
      <c r="HC88" s="240"/>
      <c r="HD88" s="240"/>
      <c r="HE88" s="240"/>
      <c r="HF88" s="240"/>
      <c r="HG88" s="240"/>
      <c r="HH88" s="240"/>
      <c r="HI88" s="240"/>
      <c r="HJ88" s="240"/>
      <c r="HK88" s="240"/>
      <c r="HL88" s="240"/>
      <c r="HM88" s="240"/>
      <c r="HN88" s="240"/>
      <c r="HO88" s="240"/>
      <c r="HP88" s="240"/>
      <c r="HQ88" s="240"/>
      <c r="HR88" s="240"/>
      <c r="HS88" s="240"/>
      <c r="HT88" s="240"/>
      <c r="HU88" s="240"/>
      <c r="HV88" s="245"/>
      <c r="HW88" s="245" t="b">
        <v>1</v>
      </c>
      <c r="HX88" s="245" t="str">
        <f t="shared" si="288"/>
        <v/>
      </c>
      <c r="HY88" s="245" t="e">
        <f t="shared" si="289"/>
        <v>#DIV/0!</v>
      </c>
      <c r="HZ88" s="245" t="e">
        <f t="shared" si="290"/>
        <v>#DIV/0!</v>
      </c>
      <c r="IA88" s="245">
        <f t="shared" si="291"/>
        <v>0</v>
      </c>
      <c r="IB88" s="245"/>
      <c r="IC88" t="b">
        <f t="shared" si="292"/>
        <v>1</v>
      </c>
      <c r="ID88" s="245" t="b">
        <f t="shared" si="293"/>
        <v>1</v>
      </c>
      <c r="IE88" s="245" t="b">
        <f t="shared" si="294"/>
        <v>1</v>
      </c>
      <c r="IF88" s="245" t="b">
        <f t="shared" si="295"/>
        <v>0</v>
      </c>
      <c r="IG88" s="245" t="b">
        <f t="shared" si="296"/>
        <v>1</v>
      </c>
      <c r="IH88" s="245" t="b">
        <f t="shared" si="297"/>
        <v>1</v>
      </c>
      <c r="II88" s="245">
        <f t="shared" si="404"/>
        <v>0</v>
      </c>
      <c r="IJ88" s="245" t="e">
        <f t="shared" si="298"/>
        <v>#VALUE!</v>
      </c>
      <c r="IK88" s="245" t="e">
        <f t="shared" si="299"/>
        <v>#VALUE!</v>
      </c>
      <c r="IL88" s="245"/>
      <c r="IM88" s="245" t="e">
        <f t="shared" si="405"/>
        <v>#N/A</v>
      </c>
      <c r="IN88" s="245" t="e">
        <f t="shared" si="406"/>
        <v>#N/A</v>
      </c>
      <c r="IO88" s="245"/>
      <c r="IP88" s="245"/>
      <c r="IQ88" s="245" t="str">
        <f t="shared" si="300"/>
        <v/>
      </c>
      <c r="IR88" s="245" t="str">
        <f>IF(J88="","",VLOOKUP(J88,Worksheet!$R$4:$T$14,2))</f>
        <v/>
      </c>
      <c r="IS88" s="245"/>
      <c r="IT88" s="245">
        <f t="shared" si="301"/>
        <v>0</v>
      </c>
      <c r="IU88" s="245">
        <f t="shared" si="302"/>
        <v>0</v>
      </c>
      <c r="IV88" s="245">
        <f t="shared" si="303"/>
        <v>0</v>
      </c>
      <c r="IW88" s="245">
        <f t="shared" si="304"/>
        <v>0</v>
      </c>
      <c r="IX88" s="245">
        <f t="shared" si="407"/>
        <v>0</v>
      </c>
      <c r="IY88" s="245">
        <f t="shared" si="305"/>
        <v>0</v>
      </c>
      <c r="IZ88" s="245">
        <f t="shared" si="306"/>
        <v>0</v>
      </c>
      <c r="JA88">
        <f t="shared" si="307"/>
        <v>0</v>
      </c>
      <c r="JB88">
        <f t="shared" si="408"/>
        <v>0</v>
      </c>
      <c r="JC88">
        <f t="shared" si="308"/>
        <v>0</v>
      </c>
      <c r="JD88">
        <f t="shared" si="309"/>
        <v>0</v>
      </c>
      <c r="JE88">
        <f t="shared" si="310"/>
        <v>0</v>
      </c>
      <c r="JF88">
        <f t="shared" si="311"/>
        <v>0</v>
      </c>
      <c r="JG88">
        <f t="shared" si="312"/>
        <v>0</v>
      </c>
      <c r="JH88">
        <f t="shared" si="313"/>
        <v>0</v>
      </c>
      <c r="JI88">
        <f t="shared" si="314"/>
        <v>0</v>
      </c>
      <c r="JJ88" s="447">
        <f t="shared" si="315"/>
        <v>0</v>
      </c>
      <c r="JK88" s="447">
        <f t="shared" si="316"/>
        <v>0</v>
      </c>
      <c r="JL88">
        <f t="shared" si="317"/>
        <v>0</v>
      </c>
      <c r="JM88" s="245" t="str">
        <f>IFERROR(VLOOKUP(MATCH(BN88,#REF!,0),#REF!,7),"")</f>
        <v/>
      </c>
      <c r="JN88" t="e">
        <f>HLOOKUP(LEFT(BO88,7),Discharge_Area,MATCH(JO88,LookUps!$B$130:$B$149,1)+2)</f>
        <v>#N/A</v>
      </c>
      <c r="JO88" t="str">
        <f t="shared" si="318"/>
        <v>- S</v>
      </c>
      <c r="JP88" t="e">
        <f>HLOOKUP(LEFT(BO88,7),Discharge_Area,MATCH(JO88,LookUps!$B$130:$B$149,1)+2)</f>
        <v>#N/A</v>
      </c>
      <c r="JQ88" t="e">
        <f t="shared" si="319"/>
        <v>#N/A</v>
      </c>
      <c r="JR88" t="e">
        <f t="shared" si="320"/>
        <v>#N/A</v>
      </c>
      <c r="JS88" t="e">
        <f t="shared" si="321"/>
        <v>#N/A</v>
      </c>
      <c r="JT88" s="532" t="str">
        <f t="shared" si="322"/>
        <v xml:space="preserve"> </v>
      </c>
      <c r="JU88" s="532" t="str">
        <f t="shared" si="323"/>
        <v xml:space="preserve"> </v>
      </c>
      <c r="JV88" s="533" t="str">
        <f t="shared" si="324"/>
        <v xml:space="preserve"> </v>
      </c>
      <c r="JW88" s="534">
        <f t="shared" si="325"/>
        <v>0</v>
      </c>
      <c r="JX88" s="535" t="str">
        <f t="shared" si="409"/>
        <v xml:space="preserve"> </v>
      </c>
      <c r="JY88" s="535" t="str">
        <f t="shared" si="410"/>
        <v xml:space="preserve"> </v>
      </c>
      <c r="JZ88" s="535" t="str">
        <f t="shared" si="411"/>
        <v xml:space="preserve"> </v>
      </c>
      <c r="KA88" s="536" t="str">
        <f t="shared" si="326"/>
        <v xml:space="preserve"> </v>
      </c>
      <c r="KB88" s="535" t="e">
        <f t="shared" si="412"/>
        <v>#VALUE!</v>
      </c>
      <c r="KC88" s="535" t="str">
        <f t="shared" si="327"/>
        <v/>
      </c>
      <c r="KD88" s="537" t="str">
        <f t="shared" si="413"/>
        <v xml:space="preserve"> </v>
      </c>
      <c r="KE88" s="537" t="str">
        <f t="shared" si="414"/>
        <v xml:space="preserve"> </v>
      </c>
      <c r="KF88" s="534">
        <f t="shared" si="328"/>
        <v>0</v>
      </c>
      <c r="KG88" s="535" t="str">
        <f t="shared" si="329"/>
        <v xml:space="preserve"> </v>
      </c>
      <c r="KH88" s="535" t="str">
        <f t="shared" si="330"/>
        <v xml:space="preserve"> </v>
      </c>
      <c r="KI88" s="535" t="str">
        <f t="shared" si="331"/>
        <v xml:space="preserve"> </v>
      </c>
      <c r="KJ88" s="536" t="str">
        <f t="shared" si="332"/>
        <v xml:space="preserve"> </v>
      </c>
      <c r="KK88" s="535" t="str">
        <f t="shared" si="415"/>
        <v xml:space="preserve"> </v>
      </c>
      <c r="KL88" s="535" t="str">
        <f t="shared" si="416"/>
        <v xml:space="preserve"> </v>
      </c>
      <c r="KM88" s="537" t="str">
        <f t="shared" si="333"/>
        <v xml:space="preserve"> </v>
      </c>
      <c r="KN88" s="537" t="str">
        <f t="shared" si="417"/>
        <v xml:space="preserve"> </v>
      </c>
      <c r="KP88">
        <f t="shared" si="334"/>
        <v>0</v>
      </c>
      <c r="LA88" t="e">
        <f t="shared" si="335"/>
        <v>#VALUE!</v>
      </c>
      <c r="LB88" t="e">
        <f t="shared" si="336"/>
        <v>#VALUE!</v>
      </c>
      <c r="LC88" t="e">
        <f t="shared" si="337"/>
        <v>#VALUE!</v>
      </c>
      <c r="LD88" t="e">
        <f t="shared" si="338"/>
        <v>#VALUE!</v>
      </c>
      <c r="LE88" t="e">
        <f t="shared" si="418"/>
        <v>#VALUE!</v>
      </c>
      <c r="LF88">
        <f t="shared" si="339"/>
        <v>0</v>
      </c>
      <c r="LG88" t="e">
        <f t="shared" si="419"/>
        <v>#VALUE!</v>
      </c>
      <c r="LH88" t="str">
        <f t="shared" si="340"/>
        <v xml:space="preserve"> </v>
      </c>
      <c r="LI88">
        <f t="shared" si="420"/>
        <v>1</v>
      </c>
    </row>
    <row r="89" spans="2:321" ht="15" customHeight="1">
      <c r="B89" s="311"/>
      <c r="C89" s="311"/>
      <c r="D89" s="312"/>
      <c r="E89" s="311"/>
      <c r="F89" s="312"/>
      <c r="G89" s="311"/>
      <c r="H89" s="311"/>
      <c r="I89" s="37"/>
      <c r="J89" s="311"/>
      <c r="K89" s="305" t="str">
        <f t="shared" si="341"/>
        <v/>
      </c>
      <c r="L89" s="313"/>
      <c r="M89" s="312"/>
      <c r="N89" s="311"/>
      <c r="O89" s="312"/>
      <c r="P89" s="311"/>
      <c r="Q89" s="305" t="str">
        <f t="shared" si="342"/>
        <v/>
      </c>
      <c r="R89" s="314"/>
      <c r="S89" s="450" t="str">
        <f t="shared" si="225"/>
        <v/>
      </c>
      <c r="T89" s="315"/>
      <c r="U89" s="315"/>
      <c r="W89" s="149" t="str">
        <f t="shared" si="226"/>
        <v xml:space="preserve"> </v>
      </c>
      <c r="X89" s="243" t="str">
        <f t="shared" si="227"/>
        <v xml:space="preserve"> </v>
      </c>
      <c r="Y89" s="150" t="str">
        <f t="shared" si="228"/>
        <v/>
      </c>
      <c r="Z89" s="149" t="str">
        <f t="shared" si="229"/>
        <v xml:space="preserve"> </v>
      </c>
      <c r="AA89" s="98" t="str">
        <f t="shared" si="230"/>
        <v xml:space="preserve"> </v>
      </c>
      <c r="AB89" s="153" t="str">
        <f t="shared" si="231"/>
        <v xml:space="preserve"> </v>
      </c>
      <c r="AC89" s="153" t="str">
        <f t="shared" si="232"/>
        <v xml:space="preserve"> </v>
      </c>
      <c r="AD89" s="148" t="str">
        <f t="shared" si="233"/>
        <v/>
      </c>
      <c r="AE89" s="149" t="str">
        <f t="shared" si="234"/>
        <v/>
      </c>
      <c r="AF89" s="151" t="str">
        <f t="shared" si="235"/>
        <v xml:space="preserve"> </v>
      </c>
      <c r="AG89" s="153" t="str">
        <f t="shared" si="236"/>
        <v xml:space="preserve"> </v>
      </c>
      <c r="AH89" s="98" t="str">
        <f t="shared" si="237"/>
        <v xml:space="preserve"> </v>
      </c>
      <c r="AI89" s="149" t="str">
        <f t="shared" si="238"/>
        <v xml:space="preserve"> </v>
      </c>
      <c r="AK89" s="144" t="str">
        <f t="shared" si="239"/>
        <v xml:space="preserve"> </v>
      </c>
      <c r="AL89" s="144"/>
      <c r="AM89" s="243" t="str">
        <f t="shared" si="240"/>
        <v xml:space="preserve"> </v>
      </c>
      <c r="AN89" s="149" t="str">
        <f t="shared" si="343"/>
        <v xml:space="preserve"> </v>
      </c>
      <c r="AO89" s="144" t="str">
        <f>IF(JB89&gt;0,IF(GI89=10,-R89*1.085*(Calculation!$F$6-Calculation!$F$13)*$S$14," "),"")</f>
        <v/>
      </c>
      <c r="AP89" s="144" t="str">
        <f t="shared" si="241"/>
        <v/>
      </c>
      <c r="AQ89" s="56" t="str">
        <f t="shared" si="242"/>
        <v/>
      </c>
      <c r="AR89" s="144" t="str">
        <f t="shared" si="243"/>
        <v/>
      </c>
      <c r="AS89" s="176" t="str">
        <f t="shared" si="244"/>
        <v/>
      </c>
      <c r="AT89" s="176" t="str">
        <f t="shared" si="344"/>
        <v xml:space="preserve"> </v>
      </c>
      <c r="AU89" s="176" t="str">
        <f t="shared" si="245"/>
        <v/>
      </c>
      <c r="AV89" s="177" t="str">
        <f t="shared" si="246"/>
        <v xml:space="preserve"> </v>
      </c>
      <c r="AW89" s="144" t="str">
        <f t="shared" si="247"/>
        <v xml:space="preserve"> </v>
      </c>
      <c r="AX89" s="144" t="str">
        <f t="shared" si="248"/>
        <v xml:space="preserve"> </v>
      </c>
      <c r="AY89" s="152" t="str">
        <f t="shared" si="249"/>
        <v xml:space="preserve"> </v>
      </c>
      <c r="AZ89" s="246" t="str">
        <f t="shared" si="250"/>
        <v/>
      </c>
      <c r="BA89" s="176" t="str">
        <f t="shared" si="251"/>
        <v xml:space="preserve"> </v>
      </c>
      <c r="BB89" s="176" t="str">
        <f t="shared" si="252"/>
        <v xml:space="preserve"> </v>
      </c>
      <c r="BC89" s="195"/>
      <c r="BD89" s="316"/>
      <c r="BE89" s="317"/>
      <c r="BF89" s="318"/>
      <c r="BG89" s="318"/>
      <c r="BH89" s="144" t="str">
        <f t="shared" si="421"/>
        <v xml:space="preserve"> </v>
      </c>
      <c r="BI89" s="176" t="str">
        <f t="shared" si="253"/>
        <v/>
      </c>
      <c r="BJ89" s="144" t="str">
        <f t="shared" si="422"/>
        <v/>
      </c>
      <c r="BK89" s="246" t="str">
        <f t="shared" si="254"/>
        <v/>
      </c>
      <c r="BL89" s="144" t="str">
        <f t="shared" si="423"/>
        <v/>
      </c>
      <c r="BM89" s="246" t="str">
        <f t="shared" si="255"/>
        <v/>
      </c>
      <c r="BN89" s="337" t="str">
        <f t="shared" si="345"/>
        <v/>
      </c>
      <c r="BO89" s="371" t="str">
        <f t="shared" si="346"/>
        <v/>
      </c>
      <c r="BP89" s="328" t="str">
        <f t="shared" si="424"/>
        <v xml:space="preserve"> </v>
      </c>
      <c r="BQ89" s="347" t="str">
        <f t="shared" si="347"/>
        <v xml:space="preserve"> </v>
      </c>
      <c r="BR89" s="353" t="str">
        <f t="shared" si="348"/>
        <v xml:space="preserve"> </v>
      </c>
      <c r="BS89" s="626" t="str">
        <f>IF(L89&gt;0,IF(Calculation!P89="M13",BR89*3.1416*(0.134^2)/(4*144),IF(Calculation!P89="M17",BR89*3.1416*(0.165^2)/(4*144),IF(Calculation!P89="M20",BR89*3.1416*(0.198^2)/(4*144),IF(Calculation!P89="M23",BR89*3.1416*(0.228^2)/(4*144),IF(Calculation!P89="M27",BR89*3.1416*(0.269^2)/(4*144),BR89*3.1416*(0.307^2)/(4*144))))))," ")</f>
        <v xml:space="preserve"> </v>
      </c>
      <c r="BT89" s="353" t="str">
        <f>IF(L89&gt;0,IF(BS89&gt;0,R89/Calculation!BS89,0)," ")</f>
        <v xml:space="preserve"> </v>
      </c>
      <c r="BU89" s="438" t="e">
        <f t="shared" ca="1" si="256"/>
        <v>#VALUE!</v>
      </c>
      <c r="BV89" s="449" t="e">
        <f ca="1">INDEX(INDIRECT(VLOOKUP(LEFT(BO89,7),CLU!$Z$3:$AH$18,2)),GN89,GR89)</f>
        <v>#N/A</v>
      </c>
      <c r="BW89" s="433" t="e">
        <f ca="1">INDEX(INDIRECT(VLOOKUP(LEFT(BO89,7),CLU!$Z$3:$AH$18,3)),GN89,GR89)</f>
        <v>#N/A</v>
      </c>
      <c r="BX89" s="433" t="e">
        <f ca="1">INDEX(INDIRECT(VLOOKUP(LEFT(BO89,7),CLU!$Z$3:$AH$18,4)),GN89,GR89)</f>
        <v>#N/A</v>
      </c>
      <c r="BY89" s="433" t="e">
        <f ca="1">INDEX(INDIRECT(VLOOKUP(LEFT(BO89,7),CLU!$Z$3:$AH$18,9)),((M89-2)*(6-COUNTBLANK(GT89:GY89)))+GJ89)</f>
        <v>#N/A</v>
      </c>
      <c r="BZ89" s="426" t="e">
        <f t="shared" ca="1" si="349"/>
        <v>#N/A</v>
      </c>
      <c r="CA89" s="424" t="e">
        <f t="shared" ca="1" si="350"/>
        <v>#N/A</v>
      </c>
      <c r="CB89" s="429" t="e">
        <f ca="1">INDEX(INDIRECT(VLOOKUP(LEFT(BO89,7),CLU!$Z$3:$AH$18,2)),GN89,GS89)</f>
        <v>#N/A</v>
      </c>
      <c r="CC89" s="342" t="e">
        <f ca="1">INDEX(INDIRECT(VLOOKUP(LEFT(BO89,7),CLU!$Z$3:$AH$18,3)),GN89,GS89)</f>
        <v>#N/A</v>
      </c>
      <c r="CD89" s="342" t="e">
        <f ca="1">INDEX(INDIRECT(VLOOKUP(LEFT(BO89,7),CLU!$Z$3:$AH$18,4)),GN89,GS89)</f>
        <v>#N/A</v>
      </c>
      <c r="CE89" s="426" t="e">
        <f t="shared" ca="1" si="351"/>
        <v>#N/A</v>
      </c>
      <c r="CF89" s="440">
        <f t="shared" si="352"/>
        <v>0</v>
      </c>
      <c r="CG89" s="431" t="e">
        <f ca="1">INDEX(INDIRECT(VLOOKUP(LEFT(BO89,7),CLU!$Z$3:$AH$18,2)),GQ89,GR89)</f>
        <v>#N/A</v>
      </c>
      <c r="CH89" s="431" t="e">
        <f ca="1">INDEX(INDIRECT(VLOOKUP(LEFT(BO89,7),CLU!$Z$3:$AH$18,3)),GQ89,GR89)</f>
        <v>#N/A</v>
      </c>
      <c r="CI89" s="431" t="e">
        <f ca="1">INDEX(INDIRECT(VLOOKUP(LEFT(BO89,7),CLU!$Z$3:$AH$18,4)),GQ89,GR89)</f>
        <v>#N/A</v>
      </c>
      <c r="CJ89" s="448" t="e">
        <f t="shared" ca="1" si="353"/>
        <v>#N/A</v>
      </c>
      <c r="CK89" s="431" t="e">
        <f t="shared" ca="1" si="354"/>
        <v>#N/A</v>
      </c>
      <c r="CL89" s="440" t="e">
        <f t="shared" ca="1" si="355"/>
        <v>#N/A</v>
      </c>
      <c r="CM89" s="431" t="e">
        <f ca="1">INDEX(INDIRECT(VLOOKUP(LEFT(BO89,7),CLU!$Z$3:$AH$18,2)),GQ89,GS89)</f>
        <v>#N/A</v>
      </c>
      <c r="CN89" s="431" t="e">
        <f ca="1">INDEX(INDIRECT(VLOOKUP(LEFT(BO89,7),CLU!$Z$3:$AH$18,3)),GQ89,GS89)</f>
        <v>#N/A</v>
      </c>
      <c r="CO89" s="431" t="e">
        <f ca="1">INDEX(INDIRECT(VLOOKUP(LEFT(BO89,7),CLU!$Z$3:$AH$18,4)),GQ89,GS89)</f>
        <v>#N/A</v>
      </c>
      <c r="CP89" s="431" t="e">
        <f t="shared" ca="1" si="356"/>
        <v>#N/A</v>
      </c>
      <c r="CQ89" s="440">
        <f t="shared" si="357"/>
        <v>0</v>
      </c>
      <c r="CR89" s="51" t="e">
        <f t="shared" ca="1" si="358"/>
        <v>#N/A</v>
      </c>
      <c r="CS89" s="439" t="e">
        <f t="shared" ca="1" si="359"/>
        <v>#VALUE!</v>
      </c>
      <c r="CT89" s="51" t="e">
        <f t="shared" ca="1" si="360"/>
        <v>#VALUE!</v>
      </c>
      <c r="CU89" s="10"/>
      <c r="CV89" s="51" t="e">
        <f t="shared" ca="1" si="257"/>
        <v>#VALUE!</v>
      </c>
      <c r="CW89" s="51">
        <f t="shared" si="361"/>
        <v>0</v>
      </c>
      <c r="CX89" s="439" t="e">
        <f t="shared" ca="1" si="362"/>
        <v>#VALUE!</v>
      </c>
      <c r="CY89" s="51" t="e">
        <f t="shared" ca="1" si="363"/>
        <v>#VALUE!</v>
      </c>
      <c r="CZ89" s="10"/>
      <c r="DA89" s="51" t="e">
        <f t="shared" ca="1" si="364"/>
        <v>#VALUE!</v>
      </c>
      <c r="DB89" s="347" t="e">
        <f ca="1">INDEX(INDIRECT(VLOOKUP(LEFT(BO89,7),CLU!$Z$3:$AI$18,10)),((M89-2)*(6-COUNTBLANK(GT89:GY89)))+GJ89)*LI89</f>
        <v>#N/A</v>
      </c>
      <c r="DC89" s="347" t="str">
        <f>IF(L89&gt;0,((R89/Worksheet!$I$15)/DB89)^2," ")</f>
        <v xml:space="preserve"> </v>
      </c>
      <c r="DD89" s="602" t="str">
        <f t="shared" si="365"/>
        <v xml:space="preserve"> </v>
      </c>
      <c r="DE89" s="347" t="str">
        <f t="shared" si="258"/>
        <v xml:space="preserve"> </v>
      </c>
      <c r="DF89" s="356" t="e">
        <f ca="1">INDEX(INDIRECT(VLOOKUP(LEFT(BO89,7),CLU!$Z$3:$AH$18,8)),((M89-2)*(6-COUNTBLANK(GT89:GY89)))+GJ89)</f>
        <v>#N/A</v>
      </c>
      <c r="DG89" s="347" t="str">
        <f t="shared" si="259"/>
        <v xml:space="preserve"> </v>
      </c>
      <c r="DH89" s="357" t="str">
        <f t="shared" si="260"/>
        <v xml:space="preserve"> </v>
      </c>
      <c r="DI89" s="355" t="str">
        <f t="shared" si="261"/>
        <v xml:space="preserve"> </v>
      </c>
      <c r="DJ89" s="245" t="e">
        <f ca="1">INDEX(INDIRECT(VLOOKUP(LEFT(BO89,7),CLU!$Z$3:$AH$18,5)),GL89,GK89)</f>
        <v>#N/A</v>
      </c>
      <c r="DK89" s="245" t="e">
        <f ca="1">INDEX(INDIRECT(VLOOKUP(LEFT(BO89,7),CLU!$Z$3:$AH$18,6)),GL89,GK89)</f>
        <v>#N/A</v>
      </c>
      <c r="DL89" s="355">
        <f>(Calculation!R89*0.69143*(Calculation!$BQ$8-Calculation!$F$8))*$S$14</f>
        <v>0</v>
      </c>
      <c r="DM89" s="359" t="e">
        <f t="shared" si="366"/>
        <v>#VALUE!</v>
      </c>
      <c r="DN89" s="611">
        <f t="shared" si="367"/>
        <v>0</v>
      </c>
      <c r="DO89" s="359">
        <f t="shared" si="368"/>
        <v>100</v>
      </c>
      <c r="DP89" s="359">
        <f t="shared" si="369"/>
        <v>0</v>
      </c>
      <c r="DQ89" s="360"/>
      <c r="DR89" s="245" t="e">
        <f ca="1">INDEX(INDIRECT(VLOOKUP(LEFT(BO89,7),CLU!$Z$3:$AH$18,7)),M89-1,1)</f>
        <v>#N/A</v>
      </c>
      <c r="DS89" s="245" t="e">
        <f ca="1">INDEX(INDIRECT(VLOOKUP(LEFT(BO89,7),CLU!$Z$3:$AH$18,7)),M89-1,2)</f>
        <v>#N/A</v>
      </c>
      <c r="DT89" s="245" t="e">
        <f ca="1">INDEX(INDIRECT(VLOOKUP(LEFT(BO89,7),CLU!$Z$3:$AH$18,7)),M89-1,3)</f>
        <v>#N/A</v>
      </c>
      <c r="DU89" s="245" t="e">
        <f ca="1">INDEX(INDIRECT(VLOOKUP(LEFT(BO89,7),CLU!$Z$3:$AH$18,7)),M89-1,4)</f>
        <v>#N/A</v>
      </c>
      <c r="DV89" s="361" t="e">
        <f ca="1">INDEX(INDIRECT(VLOOKUP(LEFT(BO89,7),CLU!$Z$3:$AH$18,7)),M89-1,4+LEFT(DZ89,1)*0.5)</f>
        <v>#N/A</v>
      </c>
      <c r="DW89" s="245" t="e">
        <f ca="1">INDEX(INDIRECT(VLOOKUP(LEFT(BO89,7),CLU!$Z$3:$AH$18,7)),M89-1,8)</f>
        <v>#N/A</v>
      </c>
      <c r="DX89" s="361" t="str">
        <f t="shared" si="262"/>
        <v xml:space="preserve"> </v>
      </c>
      <c r="DY89" s="361" t="str">
        <f t="shared" si="263"/>
        <v xml:space="preserve"> </v>
      </c>
      <c r="DZ89" s="361" t="str">
        <f t="shared" si="264"/>
        <v xml:space="preserve"> </v>
      </c>
      <c r="EA89" s="362" t="str">
        <f t="shared" si="265"/>
        <v xml:space="preserve"> </v>
      </c>
      <c r="EB89" s="624" t="str">
        <f t="shared" si="370"/>
        <v xml:space="preserve"> </v>
      </c>
      <c r="EC89" s="361" t="e">
        <f ca="1">INDEX(INDIRECT(VLOOKUP(LEFT(BO89,7),CLU!$Z$3:$AH$18,7)),M89-1,4+LEFT(DZ89,1)*0.5)</f>
        <v>#N/A</v>
      </c>
      <c r="ED89" s="362" t="str">
        <f t="shared" si="266"/>
        <v xml:space="preserve"> </v>
      </c>
      <c r="EE89" s="361" t="str">
        <f t="shared" si="267"/>
        <v xml:space="preserve"> </v>
      </c>
      <c r="EF89" s="362" t="str">
        <f>IF(L89&gt;0,IF(BR89&gt;0,IF(EE89="2P",IF(Calculation!DZ89="2P",IF(Calculation!DS89=13.75,IF(Calculation!DR89=13,Worksheet!$BD$43,IF(Calculation!DR89=37,Worksheet!$BD$44,Worksheet!$BD$45)),IF(Calculation!DS89=10,IF(Calculation!DR89=18,Worksheet!$BD$29,IF(Calculation!DR89=30,Worksheet!$BD$30,IF(Calculation!DR89=42,Worksheet!$BD$31,IF(Calculation!DR89=54,Worksheet!$BD$32,IF(Calculation!DR89=66,Worksheet!$BD$33,IF(Calculation!DR89=78,Worksheet!$BD$34,IF(Calculation!DR89=90,Worksheet!$BD$35,IF(Calculation!DR89=102,Worksheet!$BD$36,Worksheet!$BD$37)))))))),IF(Calculation!DS89=12.5,IF(Calculation!DR89=18,Worksheet!$BD$38,IF(Calculation!DR89=Worksheet!$BD$39,IF(Calculation!DR89=42,Worksheet!$BD$40,IF(Calculation!DR89=54,Worksheet!$BD$41,Worksheet!$BD$42)))),IF(Calculation!DR89=18,Worksheet!$BD$11,IF(Calculation!DR89=30,Worksheet!$BD$12,IF(Calculation!DR89=42,Worksheet!$BD$13,IF(Calculation!DR89=54,Worksheet!$BD$14,IF(Calculation!DR89=66,Worksheet!$BD$15,IF(Calculation!DR89=78,Worksheet!$BD$16,IF(Calculation!DR89=90,Worksheet!$BD$17,IF(Calculation!DR89=102,Worksheet!$BD$18,Worksheet!$BD$19))))))))))),IF(Calculation!DS89=13.75,IF(Calculation!DR89=13,Worksheet!$BD$78,IF(Calculation!DR89=37,Worksheet!$BD$79,Worksheet!$BD$80)),IF(Calculation!DS89=10,IF(Calculation!DR89=18,Worksheet!$BD$64,IF(Calculation!DR89=30,Worksheet!$BD$65,IF(Calculation!DR89=42,Worksheet!$BD$66,IF(Calculation!DR89=54,Worksheet!$BD$68,IF(Calculation!DR89=66,Worksheet!$BD$68,IF(Calculation!DR89=78,Worksheet!$BD$69,IF(Calculation!DR89=90,Worksheet!$BD$70,IF(Calculation!DR89=102,Worksheet!$BD$71,Worksheet!$BD$72)))))))),IF(Calculation!DS89=12.5,IF(Calculation!DR89=18,Worksheet!$BD$73,IF(Calculation!DR89=Worksheet!$BD$74,IF(Calculation!DR89=42,Worksheet!$BD$75,IF(Calculation!DR89=54,Worksheet!$BD$76,Worksheet!$BD$77)))),IF(Calculation!DR89=18,Worksheet!$BD$55,IF(Calculation!DR89=30,Worksheet!$BD$56,IF(Calculation!DR89=42,Worksheet!$BD$57,IF(Calculation!DR89=54,Worksheet!$BD$58,IF(Calculation!DR89=66,Worksheet!$BD$59,IF(Calculation!DR89=78,Worksheet!$BD$60,IF(Calculation!DR89=90,Worksheet!$BD$61,IF(Calculation!DR89=102,Worksheet!$BD$62,Worksheet!$BD$63)))))))))))),5),0)," ")</f>
        <v xml:space="preserve"> </v>
      </c>
      <c r="EG89" s="361" t="str">
        <f t="shared" si="268"/>
        <v xml:space="preserve"> </v>
      </c>
      <c r="EH89" s="361" t="e">
        <f ca="1">INDEX(INDIRECT(VLOOKUP(LEFT(BO89,7),CLU!$Z$3:$AH$18,7)),M89-1,3+LEFT(DZ89,1))</f>
        <v>#N/A</v>
      </c>
      <c r="EI89" s="362" t="str">
        <f t="shared" si="269"/>
        <v xml:space="preserve"> </v>
      </c>
      <c r="EJ89" s="363" t="str">
        <f t="shared" si="270"/>
        <v xml:space="preserve"> </v>
      </c>
      <c r="EK89" s="363" t="str">
        <f t="shared" si="271"/>
        <v xml:space="preserve"> </v>
      </c>
      <c r="EL89" s="363" t="str">
        <f t="shared" si="272"/>
        <v xml:space="preserve"> </v>
      </c>
      <c r="EM89" s="362" t="str">
        <f>IF(L89&gt;0,IF(BR89&gt;0,(Calculation!T89/ED89)^2,0)," ")</f>
        <v xml:space="preserve"> </v>
      </c>
      <c r="EN89" s="362" t="str">
        <f>IF(L89&gt;0,IF(O89="2 Pipe (Cooling)","N/A",IF(BR89&gt;0,(Calculation!U89/EI89)^2,0))," ")</f>
        <v xml:space="preserve"> </v>
      </c>
      <c r="EO89" s="361" t="str">
        <f t="shared" si="273"/>
        <v/>
      </c>
      <c r="EP89" s="361" t="str">
        <f t="shared" si="274"/>
        <v/>
      </c>
      <c r="EQ89" s="361" t="str">
        <f t="shared" si="275"/>
        <v/>
      </c>
      <c r="ER89" s="361" t="str">
        <f t="shared" si="276"/>
        <v/>
      </c>
      <c r="ES89" s="361" t="str">
        <f t="shared" si="277"/>
        <v/>
      </c>
      <c r="ET89" s="361" t="str">
        <f t="shared" si="278"/>
        <v/>
      </c>
      <c r="EU89" s="361" t="str">
        <f t="shared" si="279"/>
        <v/>
      </c>
      <c r="EV89" s="361" t="str">
        <f t="shared" si="280"/>
        <v/>
      </c>
      <c r="EW89" s="361" t="str">
        <f t="shared" si="281"/>
        <v/>
      </c>
      <c r="EX89" s="361" t="str">
        <f t="shared" si="371"/>
        <v>1 slot, 1 way</v>
      </c>
      <c r="EY89" s="361" t="str">
        <f t="shared" si="372"/>
        <v xml:space="preserve"> </v>
      </c>
      <c r="EZ89" s="361" t="str">
        <f t="shared" si="373"/>
        <v xml:space="preserve"> </v>
      </c>
      <c r="FA89" s="361" t="str">
        <f t="shared" si="374"/>
        <v xml:space="preserve"> </v>
      </c>
      <c r="FB89" s="361" t="str">
        <f t="shared" si="375"/>
        <v xml:space="preserve"> </v>
      </c>
      <c r="FC89" s="361"/>
      <c r="FD89" s="361" t="str">
        <f>IF(J89&gt;0,IF(Calculation!R89&lt;=70,4,IF(Calculation!R89&lt;=110,5,IF(Calculation!R89&lt;=160,6,IF(Calculation!R89&lt;=300,8,"10 EO")))),"")</f>
        <v/>
      </c>
      <c r="FE89" s="361" t="str">
        <f t="shared" si="376"/>
        <v/>
      </c>
      <c r="FF89" s="361" t="str">
        <f t="shared" si="377"/>
        <v/>
      </c>
      <c r="FG89" s="361" t="e">
        <f t="shared" si="282"/>
        <v>#N/A</v>
      </c>
      <c r="FH89" s="361">
        <f t="shared" si="283"/>
        <v>0</v>
      </c>
      <c r="FI89" s="361" t="e">
        <f t="shared" si="284"/>
        <v>#DIV/0!</v>
      </c>
      <c r="FJ89" s="361"/>
      <c r="FK89" s="356" t="e">
        <f t="shared" si="285"/>
        <v>#VALUE!</v>
      </c>
      <c r="FL89" s="361"/>
      <c r="FM89" s="361"/>
      <c r="FN89" s="362" t="str">
        <f t="shared" si="378"/>
        <v xml:space="preserve"> </v>
      </c>
      <c r="FO89" s="362" t="str">
        <f t="shared" si="379"/>
        <v xml:space="preserve"> </v>
      </c>
      <c r="FP89" s="362">
        <f t="shared" si="380"/>
        <v>0</v>
      </c>
      <c r="FQ89" s="361">
        <f t="shared" si="286"/>
        <v>0</v>
      </c>
      <c r="FR89" s="362" t="str">
        <f>IF(L89&gt;0,IF(J89="CBAL2",Worksheet!$P$67,IF(J89="CBE2-24",Worksheet!$Q$67,IF(J89="CBAM",Worksheet!$R$67,IF(J89="CBLV",Worksheet!$S$67,IF(J89="CBAB",Worksheet!$U$67,IF(J89="CBAW",Worksheet!$X$67,IF(J89="CBE2-12",Worksheet!$Y$67,IF(J89="CBAL2",Worksheet!$Z$67,"N/A"))))))))," ")</f>
        <v xml:space="preserve"> </v>
      </c>
      <c r="FS89" s="362" t="str">
        <f>IF(L89&gt;0,IF(J89="CBAL2",Worksheet!$P$68,IF(J89="CBE2-24",Worksheet!$Q$68,IF(J89="CBAM",Worksheet!$R$68,IF(J89="CBLV",Worksheet!$S$68,IF(J89="CBAB",Worksheet!$U$68,IF(J89="CBAW",Worksheet!$X$68,IF(J89="CBE2-12",Worksheet!$Y$68,IF(J89="CBAL2",Worksheet!$Z$68,"N/A"))))))))," ")</f>
        <v xml:space="preserve"> </v>
      </c>
      <c r="FT89" s="362" t="str">
        <f>IF(L89&gt;0,IF(J89="CBAL2",Worksheet!$P$69,IF(J89="CBE2-24",Worksheet!$Q$69,IF(J89="CBAM",Worksheet!$R$69,IF(J89="CBLV",Worksheet!$S$69,IF(J89="CBAB",Worksheet!$U$69,IF(J89="CBAW",Worksheet!$X$69,IF(J89="CBE2-12",Worksheet!$Y$69,IF(J89="CBAL2",Worksheet!$Z$69,"N/A"))))))))," ")</f>
        <v xml:space="preserve"> </v>
      </c>
      <c r="FU89" s="361" t="str">
        <f t="shared" si="381"/>
        <v xml:space="preserve"> </v>
      </c>
      <c r="FV89" s="362" t="str">
        <f t="shared" si="382"/>
        <v xml:space="preserve"> </v>
      </c>
      <c r="FW89" s="362" t="str">
        <f t="shared" si="383"/>
        <v xml:space="preserve"> </v>
      </c>
      <c r="FX89" s="362" t="str">
        <f t="shared" si="384"/>
        <v xml:space="preserve"> </v>
      </c>
      <c r="FY89" s="355" t="str">
        <f t="shared" si="385"/>
        <v xml:space="preserve"> </v>
      </c>
      <c r="FZ89" s="361" t="str">
        <f t="shared" si="386"/>
        <v xml:space="preserve"> </v>
      </c>
      <c r="GA89" s="347" t="str">
        <f t="shared" si="387"/>
        <v xml:space="preserve"> </v>
      </c>
      <c r="GB89" s="355" t="str">
        <f t="shared" si="388"/>
        <v xml:space="preserve"> </v>
      </c>
      <c r="GC89" s="328" t="str">
        <f t="shared" si="389"/>
        <v xml:space="preserve"> </v>
      </c>
      <c r="GD89" s="361" t="str">
        <f t="shared" si="390"/>
        <v xml:space="preserve"> </v>
      </c>
      <c r="GE89" s="347" t="str">
        <f t="shared" si="391"/>
        <v xml:space="preserve"> </v>
      </c>
      <c r="GF89" s="361" t="str">
        <f t="shared" si="392"/>
        <v xml:space="preserve"> </v>
      </c>
      <c r="GG89" s="347" t="str">
        <f t="shared" si="393"/>
        <v xml:space="preserve"> </v>
      </c>
      <c r="GH89" s="364">
        <f t="shared" si="287"/>
        <v>0</v>
      </c>
      <c r="GI89" s="362">
        <f t="shared" si="394"/>
        <v>2</v>
      </c>
      <c r="GJ89" s="433" t="e">
        <f>IF(6-COUNTBLANK(GT89:GY89)=4,MATCH(MID(BO89,9,3),CLU!$H$16:$K$16),MATCH(MID(BO89,9,3),CLU!$H$13:$M$13))</f>
        <v>#N/A</v>
      </c>
      <c r="GK89" s="433" t="e">
        <f>HLOOKUP(VALUE(BP89),CLU!$H$9:$M$10,2)</f>
        <v>#VALUE!</v>
      </c>
      <c r="GL89" s="433" t="e">
        <f ca="1">MATCH(BU89,CLU!$H$2:$V$2,1)</f>
        <v>#VALUE!</v>
      </c>
      <c r="GM89" s="433" t="e">
        <f t="shared" ca="1" si="395"/>
        <v>#VALUE!</v>
      </c>
      <c r="GN89" s="433" t="e">
        <f t="shared" ca="1" si="396"/>
        <v>#VALUE!</v>
      </c>
      <c r="GO89" s="433" t="e">
        <f t="shared" ca="1" si="397"/>
        <v>#VALUE!</v>
      </c>
      <c r="GP89" s="433" t="e">
        <f t="shared" ca="1" si="398"/>
        <v>#VALUE!</v>
      </c>
      <c r="GQ89" s="433" t="e">
        <f t="shared" ca="1" si="399"/>
        <v>#VALUE!</v>
      </c>
      <c r="GR89" s="433" t="e">
        <f ca="1">MATCH(T89,INDIRECT(VLOOKUP(CONCATENATE(LEFT(BO89,7),"-",MID(BO89,13,1)),CLU!$P$3:$Q$16,2)),1)</f>
        <v>#N/A</v>
      </c>
      <c r="GS89" s="433" t="e">
        <f ca="1">MATCH(U89,INDIRECT(VLOOKUP(CONCATENATE(LEFT(BO89,7),"-",MID(BO89,13,1)),CLU!$P$3:$Q$16,2)),1)</f>
        <v>#N/A</v>
      </c>
      <c r="GT89" s="347" t="s">
        <v>512</v>
      </c>
      <c r="GU89" s="97" t="s">
        <v>513</v>
      </c>
      <c r="GV89" s="97" t="str">
        <f t="shared" si="400"/>
        <v>M23</v>
      </c>
      <c r="GW89" s="97" t="str">
        <f t="shared" si="401"/>
        <v>M31</v>
      </c>
      <c r="GX89" s="97" t="str">
        <f t="shared" si="402"/>
        <v/>
      </c>
      <c r="GY89" s="97" t="str">
        <f t="shared" si="403"/>
        <v/>
      </c>
      <c r="GZ89" s="481"/>
      <c r="HA89" s="288"/>
      <c r="HB89" s="240"/>
      <c r="HC89" s="240"/>
      <c r="HD89" s="240"/>
      <c r="HE89" s="240"/>
      <c r="HF89" s="240"/>
      <c r="HG89" s="240"/>
      <c r="HH89" s="240"/>
      <c r="HI89" s="240"/>
      <c r="HJ89" s="240"/>
      <c r="HK89" s="240"/>
      <c r="HL89" s="240"/>
      <c r="HM89" s="240"/>
      <c r="HN89" s="240"/>
      <c r="HO89" s="240"/>
      <c r="HP89" s="240"/>
      <c r="HQ89" s="240"/>
      <c r="HR89" s="240"/>
      <c r="HS89" s="240"/>
      <c r="HT89" s="240"/>
      <c r="HU89" s="240"/>
      <c r="HV89" s="245"/>
      <c r="HW89" s="245" t="b">
        <v>1</v>
      </c>
      <c r="HX89" s="245" t="str">
        <f t="shared" si="288"/>
        <v/>
      </c>
      <c r="HY89" s="245" t="e">
        <f t="shared" si="289"/>
        <v>#DIV/0!</v>
      </c>
      <c r="HZ89" s="245" t="e">
        <f t="shared" si="290"/>
        <v>#DIV/0!</v>
      </c>
      <c r="IA89" s="245">
        <f t="shared" si="291"/>
        <v>0</v>
      </c>
      <c r="IB89" s="245"/>
      <c r="IC89" t="b">
        <f t="shared" si="292"/>
        <v>1</v>
      </c>
      <c r="ID89" s="245" t="b">
        <f t="shared" si="293"/>
        <v>1</v>
      </c>
      <c r="IE89" s="245" t="b">
        <f t="shared" si="294"/>
        <v>1</v>
      </c>
      <c r="IF89" s="245" t="b">
        <f t="shared" si="295"/>
        <v>0</v>
      </c>
      <c r="IG89" s="245" t="b">
        <f t="shared" si="296"/>
        <v>1</v>
      </c>
      <c r="IH89" s="245" t="b">
        <f t="shared" si="297"/>
        <v>1</v>
      </c>
      <c r="II89" s="245">
        <f t="shared" si="404"/>
        <v>0</v>
      </c>
      <c r="IJ89" s="245" t="e">
        <f t="shared" si="298"/>
        <v>#VALUE!</v>
      </c>
      <c r="IK89" s="245" t="e">
        <f t="shared" si="299"/>
        <v>#VALUE!</v>
      </c>
      <c r="IL89" s="245"/>
      <c r="IM89" s="245" t="e">
        <f t="shared" si="405"/>
        <v>#N/A</v>
      </c>
      <c r="IN89" s="245" t="e">
        <f t="shared" si="406"/>
        <v>#N/A</v>
      </c>
      <c r="IO89" s="245"/>
      <c r="IP89" s="245"/>
      <c r="IQ89" s="245" t="str">
        <f t="shared" si="300"/>
        <v/>
      </c>
      <c r="IR89" s="245" t="str">
        <f>IF(J89="","",VLOOKUP(J89,Worksheet!$R$4:$T$14,2))</f>
        <v/>
      </c>
      <c r="IS89" s="245"/>
      <c r="IT89" s="245">
        <f t="shared" si="301"/>
        <v>0</v>
      </c>
      <c r="IU89" s="245">
        <f t="shared" si="302"/>
        <v>0</v>
      </c>
      <c r="IV89" s="245">
        <f t="shared" si="303"/>
        <v>0</v>
      </c>
      <c r="IW89" s="245">
        <f t="shared" si="304"/>
        <v>0</v>
      </c>
      <c r="IX89" s="245">
        <f t="shared" si="407"/>
        <v>0</v>
      </c>
      <c r="IY89" s="245">
        <f t="shared" si="305"/>
        <v>0</v>
      </c>
      <c r="IZ89" s="245">
        <f t="shared" si="306"/>
        <v>0</v>
      </c>
      <c r="JA89">
        <f t="shared" si="307"/>
        <v>0</v>
      </c>
      <c r="JB89">
        <f t="shared" si="408"/>
        <v>0</v>
      </c>
      <c r="JC89">
        <f t="shared" si="308"/>
        <v>0</v>
      </c>
      <c r="JD89">
        <f t="shared" si="309"/>
        <v>0</v>
      </c>
      <c r="JE89">
        <f t="shared" si="310"/>
        <v>0</v>
      </c>
      <c r="JF89">
        <f t="shared" si="311"/>
        <v>0</v>
      </c>
      <c r="JG89">
        <f t="shared" si="312"/>
        <v>0</v>
      </c>
      <c r="JH89">
        <f t="shared" si="313"/>
        <v>0</v>
      </c>
      <c r="JI89">
        <f t="shared" si="314"/>
        <v>0</v>
      </c>
      <c r="JJ89" s="447">
        <f t="shared" si="315"/>
        <v>0</v>
      </c>
      <c r="JK89" s="447">
        <f t="shared" si="316"/>
        <v>0</v>
      </c>
      <c r="JL89">
        <f t="shared" si="317"/>
        <v>0</v>
      </c>
      <c r="JM89" s="245" t="str">
        <f>IFERROR(VLOOKUP(MATCH(BN89,#REF!,0),#REF!,7),"")</f>
        <v/>
      </c>
      <c r="JN89" t="e">
        <f>HLOOKUP(LEFT(BO89,7),Discharge_Area,MATCH(JO89,LookUps!$B$130:$B$149,1)+2)</f>
        <v>#N/A</v>
      </c>
      <c r="JO89" t="str">
        <f t="shared" si="318"/>
        <v>- S</v>
      </c>
      <c r="JP89" t="e">
        <f>HLOOKUP(LEFT(BO89,7),Discharge_Area,MATCH(JO89,LookUps!$B$130:$B$149,1)+2)</f>
        <v>#N/A</v>
      </c>
      <c r="JQ89" t="e">
        <f t="shared" si="319"/>
        <v>#N/A</v>
      </c>
      <c r="JR89" t="e">
        <f t="shared" si="320"/>
        <v>#N/A</v>
      </c>
      <c r="JS89" t="e">
        <f t="shared" si="321"/>
        <v>#N/A</v>
      </c>
      <c r="JT89" s="532" t="str">
        <f t="shared" si="322"/>
        <v xml:space="preserve"> </v>
      </c>
      <c r="JU89" s="532" t="str">
        <f t="shared" si="323"/>
        <v xml:space="preserve"> </v>
      </c>
      <c r="JV89" s="533" t="str">
        <f t="shared" si="324"/>
        <v xml:space="preserve"> </v>
      </c>
      <c r="JW89" s="534">
        <f t="shared" si="325"/>
        <v>0</v>
      </c>
      <c r="JX89" s="535" t="str">
        <f t="shared" si="409"/>
        <v xml:space="preserve"> </v>
      </c>
      <c r="JY89" s="535" t="str">
        <f t="shared" si="410"/>
        <v xml:space="preserve"> </v>
      </c>
      <c r="JZ89" s="535" t="str">
        <f t="shared" si="411"/>
        <v xml:space="preserve"> </v>
      </c>
      <c r="KA89" s="536" t="str">
        <f t="shared" si="326"/>
        <v xml:space="preserve"> </v>
      </c>
      <c r="KB89" s="535" t="e">
        <f t="shared" si="412"/>
        <v>#VALUE!</v>
      </c>
      <c r="KC89" s="535" t="str">
        <f t="shared" si="327"/>
        <v/>
      </c>
      <c r="KD89" s="537" t="str">
        <f t="shared" si="413"/>
        <v xml:space="preserve"> </v>
      </c>
      <c r="KE89" s="537" t="str">
        <f t="shared" si="414"/>
        <v xml:space="preserve"> </v>
      </c>
      <c r="KF89" s="534">
        <f t="shared" si="328"/>
        <v>0</v>
      </c>
      <c r="KG89" s="535" t="str">
        <f t="shared" si="329"/>
        <v xml:space="preserve"> </v>
      </c>
      <c r="KH89" s="535" t="str">
        <f t="shared" si="330"/>
        <v xml:space="preserve"> </v>
      </c>
      <c r="KI89" s="535" t="str">
        <f t="shared" si="331"/>
        <v xml:space="preserve"> </v>
      </c>
      <c r="KJ89" s="536" t="str">
        <f t="shared" si="332"/>
        <v xml:space="preserve"> </v>
      </c>
      <c r="KK89" s="535" t="str">
        <f t="shared" si="415"/>
        <v xml:space="preserve"> </v>
      </c>
      <c r="KL89" s="535" t="str">
        <f t="shared" si="416"/>
        <v xml:space="preserve"> </v>
      </c>
      <c r="KM89" s="537" t="str">
        <f t="shared" si="333"/>
        <v xml:space="preserve"> </v>
      </c>
      <c r="KN89" s="537" t="str">
        <f t="shared" si="417"/>
        <v xml:space="preserve"> </v>
      </c>
      <c r="KP89">
        <f t="shared" si="334"/>
        <v>0</v>
      </c>
      <c r="LA89" t="e">
        <f t="shared" si="335"/>
        <v>#VALUE!</v>
      </c>
      <c r="LB89" t="e">
        <f t="shared" si="336"/>
        <v>#VALUE!</v>
      </c>
      <c r="LC89" t="e">
        <f t="shared" si="337"/>
        <v>#VALUE!</v>
      </c>
      <c r="LD89" t="e">
        <f t="shared" si="338"/>
        <v>#VALUE!</v>
      </c>
      <c r="LE89" t="e">
        <f t="shared" si="418"/>
        <v>#VALUE!</v>
      </c>
      <c r="LF89">
        <f t="shared" si="339"/>
        <v>0</v>
      </c>
      <c r="LG89" t="e">
        <f t="shared" si="419"/>
        <v>#VALUE!</v>
      </c>
      <c r="LH89" t="str">
        <f t="shared" si="340"/>
        <v xml:space="preserve"> </v>
      </c>
      <c r="LI89">
        <f t="shared" si="420"/>
        <v>1</v>
      </c>
    </row>
    <row r="90" spans="2:321" ht="15" customHeight="1">
      <c r="B90" s="311"/>
      <c r="C90" s="311"/>
      <c r="D90" s="312"/>
      <c r="E90" s="311"/>
      <c r="F90" s="312"/>
      <c r="G90" s="311"/>
      <c r="H90" s="311"/>
      <c r="I90" s="37"/>
      <c r="J90" s="311"/>
      <c r="K90" s="305" t="str">
        <f t="shared" si="341"/>
        <v/>
      </c>
      <c r="L90" s="313"/>
      <c r="M90" s="312"/>
      <c r="N90" s="311"/>
      <c r="O90" s="312"/>
      <c r="P90" s="311"/>
      <c r="Q90" s="305" t="str">
        <f t="shared" si="342"/>
        <v/>
      </c>
      <c r="R90" s="314"/>
      <c r="S90" s="450" t="str">
        <f t="shared" si="225"/>
        <v/>
      </c>
      <c r="T90" s="315"/>
      <c r="U90" s="315"/>
      <c r="W90" s="149" t="str">
        <f t="shared" si="226"/>
        <v xml:space="preserve"> </v>
      </c>
      <c r="X90" s="243" t="str">
        <f t="shared" si="227"/>
        <v xml:space="preserve"> </v>
      </c>
      <c r="Y90" s="150" t="str">
        <f t="shared" si="228"/>
        <v/>
      </c>
      <c r="Z90" s="149" t="str">
        <f t="shared" si="229"/>
        <v xml:space="preserve"> </v>
      </c>
      <c r="AA90" s="98" t="str">
        <f t="shared" si="230"/>
        <v xml:space="preserve"> </v>
      </c>
      <c r="AB90" s="153" t="str">
        <f t="shared" si="231"/>
        <v xml:space="preserve"> </v>
      </c>
      <c r="AC90" s="153" t="str">
        <f t="shared" si="232"/>
        <v xml:space="preserve"> </v>
      </c>
      <c r="AD90" s="148" t="str">
        <f t="shared" si="233"/>
        <v/>
      </c>
      <c r="AE90" s="149" t="str">
        <f t="shared" si="234"/>
        <v/>
      </c>
      <c r="AF90" s="151" t="str">
        <f t="shared" si="235"/>
        <v xml:space="preserve"> </v>
      </c>
      <c r="AG90" s="153" t="str">
        <f t="shared" si="236"/>
        <v xml:space="preserve"> </v>
      </c>
      <c r="AH90" s="98" t="str">
        <f t="shared" si="237"/>
        <v xml:space="preserve"> </v>
      </c>
      <c r="AI90" s="149" t="str">
        <f t="shared" si="238"/>
        <v xml:space="preserve"> </v>
      </c>
      <c r="AK90" s="144" t="str">
        <f t="shared" si="239"/>
        <v xml:space="preserve"> </v>
      </c>
      <c r="AL90" s="144"/>
      <c r="AM90" s="243" t="str">
        <f t="shared" si="240"/>
        <v xml:space="preserve"> </v>
      </c>
      <c r="AN90" s="149" t="str">
        <f t="shared" si="343"/>
        <v xml:space="preserve"> </v>
      </c>
      <c r="AO90" s="144" t="str">
        <f>IF(JB90&gt;0,IF(GI90=10,-R90*1.085*(Calculation!$F$6-Calculation!$F$13)*$S$14," "),"")</f>
        <v/>
      </c>
      <c r="AP90" s="144" t="str">
        <f t="shared" si="241"/>
        <v/>
      </c>
      <c r="AQ90" s="56" t="str">
        <f t="shared" si="242"/>
        <v/>
      </c>
      <c r="AR90" s="144" t="str">
        <f t="shared" si="243"/>
        <v/>
      </c>
      <c r="AS90" s="176" t="str">
        <f t="shared" si="244"/>
        <v/>
      </c>
      <c r="AT90" s="176" t="str">
        <f t="shared" si="344"/>
        <v xml:space="preserve"> </v>
      </c>
      <c r="AU90" s="176" t="str">
        <f t="shared" si="245"/>
        <v/>
      </c>
      <c r="AV90" s="177" t="str">
        <f t="shared" si="246"/>
        <v xml:space="preserve"> </v>
      </c>
      <c r="AW90" s="144" t="str">
        <f t="shared" si="247"/>
        <v xml:space="preserve"> </v>
      </c>
      <c r="AX90" s="144" t="str">
        <f t="shared" si="248"/>
        <v xml:space="preserve"> </v>
      </c>
      <c r="AY90" s="152" t="str">
        <f t="shared" si="249"/>
        <v xml:space="preserve"> </v>
      </c>
      <c r="AZ90" s="246" t="str">
        <f t="shared" si="250"/>
        <v/>
      </c>
      <c r="BA90" s="176" t="str">
        <f t="shared" si="251"/>
        <v xml:space="preserve"> </v>
      </c>
      <c r="BB90" s="176" t="str">
        <f t="shared" si="252"/>
        <v xml:space="preserve"> </v>
      </c>
      <c r="BC90" s="195"/>
      <c r="BD90" s="316"/>
      <c r="BE90" s="317"/>
      <c r="BF90" s="318"/>
      <c r="BG90" s="318"/>
      <c r="BH90" s="144" t="str">
        <f t="shared" si="421"/>
        <v xml:space="preserve"> </v>
      </c>
      <c r="BI90" s="176" t="str">
        <f t="shared" si="253"/>
        <v/>
      </c>
      <c r="BJ90" s="144" t="str">
        <f t="shared" si="422"/>
        <v/>
      </c>
      <c r="BK90" s="246" t="str">
        <f t="shared" si="254"/>
        <v/>
      </c>
      <c r="BL90" s="144" t="str">
        <f t="shared" si="423"/>
        <v/>
      </c>
      <c r="BM90" s="246" t="str">
        <f t="shared" si="255"/>
        <v/>
      </c>
      <c r="BN90" s="337" t="str">
        <f t="shared" si="345"/>
        <v/>
      </c>
      <c r="BO90" s="371" t="str">
        <f t="shared" si="346"/>
        <v/>
      </c>
      <c r="BP90" s="328" t="str">
        <f t="shared" si="424"/>
        <v xml:space="preserve"> </v>
      </c>
      <c r="BQ90" s="347" t="str">
        <f t="shared" si="347"/>
        <v xml:space="preserve"> </v>
      </c>
      <c r="BR90" s="353" t="str">
        <f t="shared" si="348"/>
        <v xml:space="preserve"> </v>
      </c>
      <c r="BS90" s="626" t="str">
        <f>IF(L90&gt;0,IF(Calculation!P90="M13",BR90*3.1416*(0.134^2)/(4*144),IF(Calculation!P90="M17",BR90*3.1416*(0.165^2)/(4*144),IF(Calculation!P90="M20",BR90*3.1416*(0.198^2)/(4*144),IF(Calculation!P90="M23",BR90*3.1416*(0.228^2)/(4*144),IF(Calculation!P90="M27",BR90*3.1416*(0.269^2)/(4*144),BR90*3.1416*(0.307^2)/(4*144))))))," ")</f>
        <v xml:space="preserve"> </v>
      </c>
      <c r="BT90" s="353" t="str">
        <f>IF(L90&gt;0,IF(BS90&gt;0,R90/Calculation!BS90,0)," ")</f>
        <v xml:space="preserve"> </v>
      </c>
      <c r="BU90" s="438" t="e">
        <f t="shared" ca="1" si="256"/>
        <v>#VALUE!</v>
      </c>
      <c r="BV90" s="449" t="e">
        <f ca="1">INDEX(INDIRECT(VLOOKUP(LEFT(BO90,7),CLU!$Z$3:$AH$18,2)),GN90,GR90)</f>
        <v>#N/A</v>
      </c>
      <c r="BW90" s="433" t="e">
        <f ca="1">INDEX(INDIRECT(VLOOKUP(LEFT(BO90,7),CLU!$Z$3:$AH$18,3)),GN90,GR90)</f>
        <v>#N/A</v>
      </c>
      <c r="BX90" s="433" t="e">
        <f ca="1">INDEX(INDIRECT(VLOOKUP(LEFT(BO90,7),CLU!$Z$3:$AH$18,4)),GN90,GR90)</f>
        <v>#N/A</v>
      </c>
      <c r="BY90" s="433" t="e">
        <f ca="1">INDEX(INDIRECT(VLOOKUP(LEFT(BO90,7),CLU!$Z$3:$AH$18,9)),((M90-2)*(6-COUNTBLANK(GT90:GY90)))+GJ90)</f>
        <v>#N/A</v>
      </c>
      <c r="BZ90" s="426" t="e">
        <f t="shared" ca="1" si="349"/>
        <v>#N/A</v>
      </c>
      <c r="CA90" s="424" t="e">
        <f t="shared" ca="1" si="350"/>
        <v>#N/A</v>
      </c>
      <c r="CB90" s="429" t="e">
        <f ca="1">INDEX(INDIRECT(VLOOKUP(LEFT(BO90,7),CLU!$Z$3:$AH$18,2)),GN90,GS90)</f>
        <v>#N/A</v>
      </c>
      <c r="CC90" s="342" t="e">
        <f ca="1">INDEX(INDIRECT(VLOOKUP(LEFT(BO90,7),CLU!$Z$3:$AH$18,3)),GN90,GS90)</f>
        <v>#N/A</v>
      </c>
      <c r="CD90" s="342" t="e">
        <f ca="1">INDEX(INDIRECT(VLOOKUP(LEFT(BO90,7),CLU!$Z$3:$AH$18,4)),GN90,GS90)</f>
        <v>#N/A</v>
      </c>
      <c r="CE90" s="426" t="e">
        <f t="shared" ca="1" si="351"/>
        <v>#N/A</v>
      </c>
      <c r="CF90" s="440">
        <f t="shared" si="352"/>
        <v>0</v>
      </c>
      <c r="CG90" s="431" t="e">
        <f ca="1">INDEX(INDIRECT(VLOOKUP(LEFT(BO90,7),CLU!$Z$3:$AH$18,2)),GQ90,GR90)</f>
        <v>#N/A</v>
      </c>
      <c r="CH90" s="431" t="e">
        <f ca="1">INDEX(INDIRECT(VLOOKUP(LEFT(BO90,7),CLU!$Z$3:$AH$18,3)),GQ90,GR90)</f>
        <v>#N/A</v>
      </c>
      <c r="CI90" s="431" t="e">
        <f ca="1">INDEX(INDIRECT(VLOOKUP(LEFT(BO90,7),CLU!$Z$3:$AH$18,4)),GQ90,GR90)</f>
        <v>#N/A</v>
      </c>
      <c r="CJ90" s="448" t="e">
        <f t="shared" ca="1" si="353"/>
        <v>#N/A</v>
      </c>
      <c r="CK90" s="431" t="e">
        <f t="shared" ca="1" si="354"/>
        <v>#N/A</v>
      </c>
      <c r="CL90" s="440" t="e">
        <f t="shared" ca="1" si="355"/>
        <v>#N/A</v>
      </c>
      <c r="CM90" s="431" t="e">
        <f ca="1">INDEX(INDIRECT(VLOOKUP(LEFT(BO90,7),CLU!$Z$3:$AH$18,2)),GQ90,GS90)</f>
        <v>#N/A</v>
      </c>
      <c r="CN90" s="431" t="e">
        <f ca="1">INDEX(INDIRECT(VLOOKUP(LEFT(BO90,7),CLU!$Z$3:$AH$18,3)),GQ90,GS90)</f>
        <v>#N/A</v>
      </c>
      <c r="CO90" s="431" t="e">
        <f ca="1">INDEX(INDIRECT(VLOOKUP(LEFT(BO90,7),CLU!$Z$3:$AH$18,4)),GQ90,GS90)</f>
        <v>#N/A</v>
      </c>
      <c r="CP90" s="431" t="e">
        <f t="shared" ca="1" si="356"/>
        <v>#N/A</v>
      </c>
      <c r="CQ90" s="440">
        <f t="shared" si="357"/>
        <v>0</v>
      </c>
      <c r="CR90" s="51" t="e">
        <f t="shared" ca="1" si="358"/>
        <v>#N/A</v>
      </c>
      <c r="CS90" s="439" t="e">
        <f t="shared" ca="1" si="359"/>
        <v>#VALUE!</v>
      </c>
      <c r="CT90" s="51" t="e">
        <f t="shared" ca="1" si="360"/>
        <v>#VALUE!</v>
      </c>
      <c r="CU90" s="10"/>
      <c r="CV90" s="51" t="e">
        <f t="shared" ca="1" si="257"/>
        <v>#VALUE!</v>
      </c>
      <c r="CW90" s="51">
        <f t="shared" si="361"/>
        <v>0</v>
      </c>
      <c r="CX90" s="439" t="e">
        <f t="shared" ca="1" si="362"/>
        <v>#VALUE!</v>
      </c>
      <c r="CY90" s="51" t="e">
        <f t="shared" ca="1" si="363"/>
        <v>#VALUE!</v>
      </c>
      <c r="CZ90" s="10"/>
      <c r="DA90" s="51" t="e">
        <f t="shared" ca="1" si="364"/>
        <v>#VALUE!</v>
      </c>
      <c r="DB90" s="347" t="e">
        <f ca="1">INDEX(INDIRECT(VLOOKUP(LEFT(BO90,7),CLU!$Z$3:$AI$18,10)),((M90-2)*(6-COUNTBLANK(GT90:GY90)))+GJ90)*LI90</f>
        <v>#N/A</v>
      </c>
      <c r="DC90" s="347" t="str">
        <f>IF(L90&gt;0,((R90/Worksheet!$I$15)/DB90)^2," ")</f>
        <v xml:space="preserve"> </v>
      </c>
      <c r="DD90" s="602" t="str">
        <f t="shared" si="365"/>
        <v xml:space="preserve"> </v>
      </c>
      <c r="DE90" s="347" t="str">
        <f t="shared" si="258"/>
        <v xml:space="preserve"> </v>
      </c>
      <c r="DF90" s="356" t="e">
        <f ca="1">INDEX(INDIRECT(VLOOKUP(LEFT(BO90,7),CLU!$Z$3:$AH$18,8)),((M90-2)*(6-COUNTBLANK(GT90:GY90)))+GJ90)</f>
        <v>#N/A</v>
      </c>
      <c r="DG90" s="347" t="str">
        <f t="shared" si="259"/>
        <v xml:space="preserve"> </v>
      </c>
      <c r="DH90" s="357" t="str">
        <f t="shared" si="260"/>
        <v xml:space="preserve"> </v>
      </c>
      <c r="DI90" s="355" t="str">
        <f t="shared" si="261"/>
        <v xml:space="preserve"> </v>
      </c>
      <c r="DJ90" s="245" t="e">
        <f ca="1">INDEX(INDIRECT(VLOOKUP(LEFT(BO90,7),CLU!$Z$3:$AH$18,5)),GL90,GK90)</f>
        <v>#N/A</v>
      </c>
      <c r="DK90" s="245" t="e">
        <f ca="1">INDEX(INDIRECT(VLOOKUP(LEFT(BO90,7),CLU!$Z$3:$AH$18,6)),GL90,GK90)</f>
        <v>#N/A</v>
      </c>
      <c r="DL90" s="355">
        <f>(Calculation!R90*0.69143*(Calculation!$BQ$8-Calculation!$F$8))*$S$14</f>
        <v>0</v>
      </c>
      <c r="DM90" s="359" t="e">
        <f t="shared" si="366"/>
        <v>#VALUE!</v>
      </c>
      <c r="DN90" s="611">
        <f t="shared" si="367"/>
        <v>0</v>
      </c>
      <c r="DO90" s="359">
        <f t="shared" si="368"/>
        <v>100</v>
      </c>
      <c r="DP90" s="359">
        <f t="shared" si="369"/>
        <v>0</v>
      </c>
      <c r="DQ90" s="360"/>
      <c r="DR90" s="245" t="e">
        <f ca="1">INDEX(INDIRECT(VLOOKUP(LEFT(BO90,7),CLU!$Z$3:$AH$18,7)),M90-1,1)</f>
        <v>#N/A</v>
      </c>
      <c r="DS90" s="245" t="e">
        <f ca="1">INDEX(INDIRECT(VLOOKUP(LEFT(BO90,7),CLU!$Z$3:$AH$18,7)),M90-1,2)</f>
        <v>#N/A</v>
      </c>
      <c r="DT90" s="245" t="e">
        <f ca="1">INDEX(INDIRECT(VLOOKUP(LEFT(BO90,7),CLU!$Z$3:$AH$18,7)),M90-1,3)</f>
        <v>#N/A</v>
      </c>
      <c r="DU90" s="245" t="e">
        <f ca="1">INDEX(INDIRECT(VLOOKUP(LEFT(BO90,7),CLU!$Z$3:$AH$18,7)),M90-1,4)</f>
        <v>#N/A</v>
      </c>
      <c r="DV90" s="361" t="e">
        <f ca="1">INDEX(INDIRECT(VLOOKUP(LEFT(BO90,7),CLU!$Z$3:$AH$18,7)),M90-1,4+LEFT(DZ90,1)*0.5)</f>
        <v>#N/A</v>
      </c>
      <c r="DW90" s="245" t="e">
        <f ca="1">INDEX(INDIRECT(VLOOKUP(LEFT(BO90,7),CLU!$Z$3:$AH$18,7)),M90-1,8)</f>
        <v>#N/A</v>
      </c>
      <c r="DX90" s="361" t="str">
        <f t="shared" si="262"/>
        <v xml:space="preserve"> </v>
      </c>
      <c r="DY90" s="361" t="str">
        <f t="shared" si="263"/>
        <v xml:space="preserve"> </v>
      </c>
      <c r="DZ90" s="361" t="str">
        <f t="shared" si="264"/>
        <v xml:space="preserve"> </v>
      </c>
      <c r="EA90" s="362" t="str">
        <f t="shared" si="265"/>
        <v xml:space="preserve"> </v>
      </c>
      <c r="EB90" s="624" t="str">
        <f t="shared" si="370"/>
        <v xml:space="preserve"> </v>
      </c>
      <c r="EC90" s="361" t="e">
        <f ca="1">INDEX(INDIRECT(VLOOKUP(LEFT(BO90,7),CLU!$Z$3:$AH$18,7)),M90-1,4+LEFT(DZ90,1)*0.5)</f>
        <v>#N/A</v>
      </c>
      <c r="ED90" s="362" t="str">
        <f t="shared" si="266"/>
        <v xml:space="preserve"> </v>
      </c>
      <c r="EE90" s="361" t="str">
        <f t="shared" si="267"/>
        <v xml:space="preserve"> </v>
      </c>
      <c r="EF90" s="362" t="str">
        <f>IF(L90&gt;0,IF(BR90&gt;0,IF(EE90="2P",IF(Calculation!DZ90="2P",IF(Calculation!DS90=13.75,IF(Calculation!DR90=13,Worksheet!$BD$43,IF(Calculation!DR90=37,Worksheet!$BD$44,Worksheet!$BD$45)),IF(Calculation!DS90=10,IF(Calculation!DR90=18,Worksheet!$BD$29,IF(Calculation!DR90=30,Worksheet!$BD$30,IF(Calculation!DR90=42,Worksheet!$BD$31,IF(Calculation!DR90=54,Worksheet!$BD$32,IF(Calculation!DR90=66,Worksheet!$BD$33,IF(Calculation!DR90=78,Worksheet!$BD$34,IF(Calculation!DR90=90,Worksheet!$BD$35,IF(Calculation!DR90=102,Worksheet!$BD$36,Worksheet!$BD$37)))))))),IF(Calculation!DS90=12.5,IF(Calculation!DR90=18,Worksheet!$BD$38,IF(Calculation!DR90=Worksheet!$BD$39,IF(Calculation!DR90=42,Worksheet!$BD$40,IF(Calculation!DR90=54,Worksheet!$BD$41,Worksheet!$BD$42)))),IF(Calculation!DR90=18,Worksheet!$BD$11,IF(Calculation!DR90=30,Worksheet!$BD$12,IF(Calculation!DR90=42,Worksheet!$BD$13,IF(Calculation!DR90=54,Worksheet!$BD$14,IF(Calculation!DR90=66,Worksheet!$BD$15,IF(Calculation!DR90=78,Worksheet!$BD$16,IF(Calculation!DR90=90,Worksheet!$BD$17,IF(Calculation!DR90=102,Worksheet!$BD$18,Worksheet!$BD$19))))))))))),IF(Calculation!DS90=13.75,IF(Calculation!DR90=13,Worksheet!$BD$78,IF(Calculation!DR90=37,Worksheet!$BD$79,Worksheet!$BD$80)),IF(Calculation!DS90=10,IF(Calculation!DR90=18,Worksheet!$BD$64,IF(Calculation!DR90=30,Worksheet!$BD$65,IF(Calculation!DR90=42,Worksheet!$BD$66,IF(Calculation!DR90=54,Worksheet!$BD$68,IF(Calculation!DR90=66,Worksheet!$BD$68,IF(Calculation!DR90=78,Worksheet!$BD$69,IF(Calculation!DR90=90,Worksheet!$BD$70,IF(Calculation!DR90=102,Worksheet!$BD$71,Worksheet!$BD$72)))))))),IF(Calculation!DS90=12.5,IF(Calculation!DR90=18,Worksheet!$BD$73,IF(Calculation!DR90=Worksheet!$BD$74,IF(Calculation!DR90=42,Worksheet!$BD$75,IF(Calculation!DR90=54,Worksheet!$BD$76,Worksheet!$BD$77)))),IF(Calculation!DR90=18,Worksheet!$BD$55,IF(Calculation!DR90=30,Worksheet!$BD$56,IF(Calculation!DR90=42,Worksheet!$BD$57,IF(Calculation!DR90=54,Worksheet!$BD$58,IF(Calculation!DR90=66,Worksheet!$BD$59,IF(Calculation!DR90=78,Worksheet!$BD$60,IF(Calculation!DR90=90,Worksheet!$BD$61,IF(Calculation!DR90=102,Worksheet!$BD$62,Worksheet!$BD$63)))))))))))),5),0)," ")</f>
        <v xml:space="preserve"> </v>
      </c>
      <c r="EG90" s="361" t="str">
        <f t="shared" si="268"/>
        <v xml:space="preserve"> </v>
      </c>
      <c r="EH90" s="361" t="e">
        <f ca="1">INDEX(INDIRECT(VLOOKUP(LEFT(BO90,7),CLU!$Z$3:$AH$18,7)),M90-1,3+LEFT(DZ90,1))</f>
        <v>#N/A</v>
      </c>
      <c r="EI90" s="362" t="str">
        <f t="shared" si="269"/>
        <v xml:space="preserve"> </v>
      </c>
      <c r="EJ90" s="363" t="str">
        <f t="shared" si="270"/>
        <v xml:space="preserve"> </v>
      </c>
      <c r="EK90" s="363" t="str">
        <f t="shared" si="271"/>
        <v xml:space="preserve"> </v>
      </c>
      <c r="EL90" s="363" t="str">
        <f t="shared" si="272"/>
        <v xml:space="preserve"> </v>
      </c>
      <c r="EM90" s="362" t="str">
        <f>IF(L90&gt;0,IF(BR90&gt;0,(Calculation!T90/ED90)^2,0)," ")</f>
        <v xml:space="preserve"> </v>
      </c>
      <c r="EN90" s="362" t="str">
        <f>IF(L90&gt;0,IF(O90="2 Pipe (Cooling)","N/A",IF(BR90&gt;0,(Calculation!U90/EI90)^2,0))," ")</f>
        <v xml:space="preserve"> </v>
      </c>
      <c r="EO90" s="361" t="str">
        <f t="shared" si="273"/>
        <v/>
      </c>
      <c r="EP90" s="361" t="str">
        <f t="shared" si="274"/>
        <v/>
      </c>
      <c r="EQ90" s="361" t="str">
        <f t="shared" si="275"/>
        <v/>
      </c>
      <c r="ER90" s="361" t="str">
        <f t="shared" si="276"/>
        <v/>
      </c>
      <c r="ES90" s="361" t="str">
        <f t="shared" si="277"/>
        <v/>
      </c>
      <c r="ET90" s="361" t="str">
        <f t="shared" si="278"/>
        <v/>
      </c>
      <c r="EU90" s="361" t="str">
        <f t="shared" si="279"/>
        <v/>
      </c>
      <c r="EV90" s="361" t="str">
        <f t="shared" si="280"/>
        <v/>
      </c>
      <c r="EW90" s="361" t="str">
        <f t="shared" si="281"/>
        <v/>
      </c>
      <c r="EX90" s="361" t="str">
        <f t="shared" si="371"/>
        <v>1 slot, 1 way</v>
      </c>
      <c r="EY90" s="361" t="str">
        <f t="shared" si="372"/>
        <v xml:space="preserve"> </v>
      </c>
      <c r="EZ90" s="361" t="str">
        <f t="shared" si="373"/>
        <v xml:space="preserve"> </v>
      </c>
      <c r="FA90" s="361" t="str">
        <f t="shared" si="374"/>
        <v xml:space="preserve"> </v>
      </c>
      <c r="FB90" s="361" t="str">
        <f t="shared" si="375"/>
        <v xml:space="preserve"> </v>
      </c>
      <c r="FC90" s="361"/>
      <c r="FD90" s="361" t="str">
        <f>IF(J90&gt;0,IF(Calculation!R90&lt;=70,4,IF(Calculation!R90&lt;=110,5,IF(Calculation!R90&lt;=160,6,IF(Calculation!R90&lt;=300,8,"10 EO")))),"")</f>
        <v/>
      </c>
      <c r="FE90" s="361" t="str">
        <f t="shared" si="376"/>
        <v/>
      </c>
      <c r="FF90" s="361" t="str">
        <f t="shared" si="377"/>
        <v/>
      </c>
      <c r="FG90" s="361" t="e">
        <f t="shared" si="282"/>
        <v>#N/A</v>
      </c>
      <c r="FH90" s="361">
        <f t="shared" si="283"/>
        <v>0</v>
      </c>
      <c r="FI90" s="361" t="e">
        <f t="shared" si="284"/>
        <v>#DIV/0!</v>
      </c>
      <c r="FJ90" s="361"/>
      <c r="FK90" s="356" t="e">
        <f t="shared" si="285"/>
        <v>#VALUE!</v>
      </c>
      <c r="FL90" s="361"/>
      <c r="FM90" s="361"/>
      <c r="FN90" s="362" t="str">
        <f t="shared" si="378"/>
        <v xml:space="preserve"> </v>
      </c>
      <c r="FO90" s="362" t="str">
        <f t="shared" si="379"/>
        <v xml:space="preserve"> </v>
      </c>
      <c r="FP90" s="362">
        <f t="shared" si="380"/>
        <v>0</v>
      </c>
      <c r="FQ90" s="361">
        <f t="shared" si="286"/>
        <v>0</v>
      </c>
      <c r="FR90" s="362" t="str">
        <f>IF(L90&gt;0,IF(J90="CBAL2",Worksheet!$P$67,IF(J90="CBE2-24",Worksheet!$Q$67,IF(J90="CBAM",Worksheet!$R$67,IF(J90="CBLV",Worksheet!$S$67,IF(J90="CBAB",Worksheet!$U$67,IF(J90="CBAW",Worksheet!$X$67,IF(J90="CBE2-12",Worksheet!$Y$67,IF(J90="CBAL2",Worksheet!$Z$67,"N/A"))))))))," ")</f>
        <v xml:space="preserve"> </v>
      </c>
      <c r="FS90" s="362" t="str">
        <f>IF(L90&gt;0,IF(J90="CBAL2",Worksheet!$P$68,IF(J90="CBE2-24",Worksheet!$Q$68,IF(J90="CBAM",Worksheet!$R$68,IF(J90="CBLV",Worksheet!$S$68,IF(J90="CBAB",Worksheet!$U$68,IF(J90="CBAW",Worksheet!$X$68,IF(J90="CBE2-12",Worksheet!$Y$68,IF(J90="CBAL2",Worksheet!$Z$68,"N/A"))))))))," ")</f>
        <v xml:space="preserve"> </v>
      </c>
      <c r="FT90" s="362" t="str">
        <f>IF(L90&gt;0,IF(J90="CBAL2",Worksheet!$P$69,IF(J90="CBE2-24",Worksheet!$Q$69,IF(J90="CBAM",Worksheet!$R$69,IF(J90="CBLV",Worksheet!$S$69,IF(J90="CBAB",Worksheet!$U$69,IF(J90="CBAW",Worksheet!$X$69,IF(J90="CBE2-12",Worksheet!$Y$69,IF(J90="CBAL2",Worksheet!$Z$69,"N/A"))))))))," ")</f>
        <v xml:space="preserve"> </v>
      </c>
      <c r="FU90" s="361" t="str">
        <f t="shared" si="381"/>
        <v xml:space="preserve"> </v>
      </c>
      <c r="FV90" s="362" t="str">
        <f t="shared" si="382"/>
        <v xml:space="preserve"> </v>
      </c>
      <c r="FW90" s="362" t="str">
        <f t="shared" si="383"/>
        <v xml:space="preserve"> </v>
      </c>
      <c r="FX90" s="362" t="str">
        <f t="shared" si="384"/>
        <v xml:space="preserve"> </v>
      </c>
      <c r="FY90" s="355" t="str">
        <f t="shared" si="385"/>
        <v xml:space="preserve"> </v>
      </c>
      <c r="FZ90" s="361" t="str">
        <f t="shared" si="386"/>
        <v xml:space="preserve"> </v>
      </c>
      <c r="GA90" s="347" t="str">
        <f t="shared" si="387"/>
        <v xml:space="preserve"> </v>
      </c>
      <c r="GB90" s="355" t="str">
        <f t="shared" si="388"/>
        <v xml:space="preserve"> </v>
      </c>
      <c r="GC90" s="328" t="str">
        <f t="shared" si="389"/>
        <v xml:space="preserve"> </v>
      </c>
      <c r="GD90" s="361" t="str">
        <f t="shared" si="390"/>
        <v xml:space="preserve"> </v>
      </c>
      <c r="GE90" s="347" t="str">
        <f t="shared" si="391"/>
        <v xml:space="preserve"> </v>
      </c>
      <c r="GF90" s="361" t="str">
        <f t="shared" si="392"/>
        <v xml:space="preserve"> </v>
      </c>
      <c r="GG90" s="347" t="str">
        <f t="shared" si="393"/>
        <v xml:space="preserve"> </v>
      </c>
      <c r="GH90" s="364">
        <f t="shared" si="287"/>
        <v>0</v>
      </c>
      <c r="GI90" s="362">
        <f t="shared" si="394"/>
        <v>2</v>
      </c>
      <c r="GJ90" s="433" t="e">
        <f>IF(6-COUNTBLANK(GT90:GY90)=4,MATCH(MID(BO90,9,3),CLU!$H$16:$K$16),MATCH(MID(BO90,9,3),CLU!$H$13:$M$13))</f>
        <v>#N/A</v>
      </c>
      <c r="GK90" s="433" t="e">
        <f>HLOOKUP(VALUE(BP90),CLU!$H$9:$M$10,2)</f>
        <v>#VALUE!</v>
      </c>
      <c r="GL90" s="433" t="e">
        <f ca="1">MATCH(BU90,CLU!$H$2:$V$2,1)</f>
        <v>#VALUE!</v>
      </c>
      <c r="GM90" s="433" t="e">
        <f t="shared" ca="1" si="395"/>
        <v>#VALUE!</v>
      </c>
      <c r="GN90" s="433" t="e">
        <f t="shared" ca="1" si="396"/>
        <v>#VALUE!</v>
      </c>
      <c r="GO90" s="433" t="e">
        <f t="shared" ca="1" si="397"/>
        <v>#VALUE!</v>
      </c>
      <c r="GP90" s="433" t="e">
        <f t="shared" ca="1" si="398"/>
        <v>#VALUE!</v>
      </c>
      <c r="GQ90" s="433" t="e">
        <f t="shared" ca="1" si="399"/>
        <v>#VALUE!</v>
      </c>
      <c r="GR90" s="433" t="e">
        <f ca="1">MATCH(T90,INDIRECT(VLOOKUP(CONCATENATE(LEFT(BO90,7),"-",MID(BO90,13,1)),CLU!$P$3:$Q$16,2)),1)</f>
        <v>#N/A</v>
      </c>
      <c r="GS90" s="433" t="e">
        <f ca="1">MATCH(U90,INDIRECT(VLOOKUP(CONCATENATE(LEFT(BO90,7),"-",MID(BO90,13,1)),CLU!$P$3:$Q$16,2)),1)</f>
        <v>#N/A</v>
      </c>
      <c r="GT90" s="347" t="s">
        <v>512</v>
      </c>
      <c r="GU90" s="97" t="s">
        <v>513</v>
      </c>
      <c r="GV90" s="97" t="str">
        <f t="shared" si="400"/>
        <v>M23</v>
      </c>
      <c r="GW90" s="97" t="str">
        <f t="shared" si="401"/>
        <v>M31</v>
      </c>
      <c r="GX90" s="97" t="str">
        <f t="shared" si="402"/>
        <v/>
      </c>
      <c r="GY90" s="97" t="str">
        <f t="shared" si="403"/>
        <v/>
      </c>
      <c r="GZ90" s="481"/>
      <c r="HA90" s="288"/>
      <c r="HB90" s="240"/>
      <c r="HC90" s="240"/>
      <c r="HD90" s="240"/>
      <c r="HE90" s="240"/>
      <c r="HF90" s="240"/>
      <c r="HG90" s="240"/>
      <c r="HH90" s="240"/>
      <c r="HI90" s="240"/>
      <c r="HJ90" s="240"/>
      <c r="HK90" s="240"/>
      <c r="HL90" s="240"/>
      <c r="HM90" s="240"/>
      <c r="HN90" s="240"/>
      <c r="HO90" s="240"/>
      <c r="HP90" s="240"/>
      <c r="HQ90" s="240"/>
      <c r="HR90" s="240"/>
      <c r="HS90" s="240"/>
      <c r="HT90" s="240"/>
      <c r="HU90" s="240"/>
      <c r="HV90" s="245"/>
      <c r="HW90" s="245" t="b">
        <v>1</v>
      </c>
      <c r="HX90" s="245" t="str">
        <f t="shared" si="288"/>
        <v/>
      </c>
      <c r="HY90" s="245" t="e">
        <f t="shared" si="289"/>
        <v>#DIV/0!</v>
      </c>
      <c r="HZ90" s="245" t="e">
        <f t="shared" si="290"/>
        <v>#DIV/0!</v>
      </c>
      <c r="IA90" s="245">
        <f t="shared" si="291"/>
        <v>0</v>
      </c>
      <c r="IB90" s="245"/>
      <c r="IC90" t="b">
        <f t="shared" si="292"/>
        <v>1</v>
      </c>
      <c r="ID90" s="245" t="b">
        <f t="shared" si="293"/>
        <v>1</v>
      </c>
      <c r="IE90" s="245" t="b">
        <f t="shared" si="294"/>
        <v>1</v>
      </c>
      <c r="IF90" s="245" t="b">
        <f t="shared" si="295"/>
        <v>0</v>
      </c>
      <c r="IG90" s="245" t="b">
        <f t="shared" si="296"/>
        <v>1</v>
      </c>
      <c r="IH90" s="245" t="b">
        <f t="shared" si="297"/>
        <v>1</v>
      </c>
      <c r="II90" s="245">
        <f t="shared" si="404"/>
        <v>0</v>
      </c>
      <c r="IJ90" s="245" t="e">
        <f t="shared" si="298"/>
        <v>#VALUE!</v>
      </c>
      <c r="IK90" s="245" t="e">
        <f t="shared" si="299"/>
        <v>#VALUE!</v>
      </c>
      <c r="IL90" s="245"/>
      <c r="IM90" s="245" t="e">
        <f t="shared" si="405"/>
        <v>#N/A</v>
      </c>
      <c r="IN90" s="245" t="e">
        <f t="shared" si="406"/>
        <v>#N/A</v>
      </c>
      <c r="IO90" s="245"/>
      <c r="IP90" s="245"/>
      <c r="IQ90" s="245" t="str">
        <f t="shared" si="300"/>
        <v/>
      </c>
      <c r="IR90" s="245" t="str">
        <f>IF(J90="","",VLOOKUP(J90,Worksheet!$R$4:$T$14,2))</f>
        <v/>
      </c>
      <c r="IS90" s="245"/>
      <c r="IT90" s="245">
        <f t="shared" si="301"/>
        <v>0</v>
      </c>
      <c r="IU90" s="245">
        <f t="shared" si="302"/>
        <v>0</v>
      </c>
      <c r="IV90" s="245">
        <f t="shared" si="303"/>
        <v>0</v>
      </c>
      <c r="IW90" s="245">
        <f t="shared" si="304"/>
        <v>0</v>
      </c>
      <c r="IX90" s="245">
        <f t="shared" si="407"/>
        <v>0</v>
      </c>
      <c r="IY90" s="245">
        <f t="shared" si="305"/>
        <v>0</v>
      </c>
      <c r="IZ90" s="245">
        <f t="shared" si="306"/>
        <v>0</v>
      </c>
      <c r="JA90">
        <f t="shared" si="307"/>
        <v>0</v>
      </c>
      <c r="JB90">
        <f t="shared" si="408"/>
        <v>0</v>
      </c>
      <c r="JC90">
        <f t="shared" si="308"/>
        <v>0</v>
      </c>
      <c r="JD90">
        <f t="shared" si="309"/>
        <v>0</v>
      </c>
      <c r="JE90">
        <f t="shared" si="310"/>
        <v>0</v>
      </c>
      <c r="JF90">
        <f t="shared" si="311"/>
        <v>0</v>
      </c>
      <c r="JG90">
        <f t="shared" si="312"/>
        <v>0</v>
      </c>
      <c r="JH90">
        <f t="shared" si="313"/>
        <v>0</v>
      </c>
      <c r="JI90">
        <f t="shared" si="314"/>
        <v>0</v>
      </c>
      <c r="JJ90" s="447">
        <f t="shared" si="315"/>
        <v>0</v>
      </c>
      <c r="JK90" s="447">
        <f t="shared" si="316"/>
        <v>0</v>
      </c>
      <c r="JL90">
        <f t="shared" si="317"/>
        <v>0</v>
      </c>
      <c r="JM90" s="245" t="str">
        <f>IFERROR(VLOOKUP(MATCH(BN90,#REF!,0),#REF!,7),"")</f>
        <v/>
      </c>
      <c r="JN90" t="e">
        <f>HLOOKUP(LEFT(BO90,7),Discharge_Area,MATCH(JO90,LookUps!$B$130:$B$149,1)+2)</f>
        <v>#N/A</v>
      </c>
      <c r="JO90" t="str">
        <f t="shared" si="318"/>
        <v>- S</v>
      </c>
      <c r="JP90" t="e">
        <f>HLOOKUP(LEFT(BO90,7),Discharge_Area,MATCH(JO90,LookUps!$B$130:$B$149,1)+2)</f>
        <v>#N/A</v>
      </c>
      <c r="JQ90" t="e">
        <f t="shared" si="319"/>
        <v>#N/A</v>
      </c>
      <c r="JR90" t="e">
        <f t="shared" si="320"/>
        <v>#N/A</v>
      </c>
      <c r="JS90" t="e">
        <f t="shared" si="321"/>
        <v>#N/A</v>
      </c>
      <c r="JT90" s="532" t="str">
        <f t="shared" si="322"/>
        <v xml:space="preserve"> </v>
      </c>
      <c r="JU90" s="532" t="str">
        <f t="shared" si="323"/>
        <v xml:space="preserve"> </v>
      </c>
      <c r="JV90" s="533" t="str">
        <f t="shared" si="324"/>
        <v xml:space="preserve"> </v>
      </c>
      <c r="JW90" s="534">
        <f t="shared" si="325"/>
        <v>0</v>
      </c>
      <c r="JX90" s="535" t="str">
        <f t="shared" si="409"/>
        <v xml:space="preserve"> </v>
      </c>
      <c r="JY90" s="535" t="str">
        <f t="shared" si="410"/>
        <v xml:space="preserve"> </v>
      </c>
      <c r="JZ90" s="535" t="str">
        <f t="shared" si="411"/>
        <v xml:space="preserve"> </v>
      </c>
      <c r="KA90" s="536" t="str">
        <f t="shared" si="326"/>
        <v xml:space="preserve"> </v>
      </c>
      <c r="KB90" s="535" t="e">
        <f t="shared" si="412"/>
        <v>#VALUE!</v>
      </c>
      <c r="KC90" s="535" t="str">
        <f t="shared" si="327"/>
        <v/>
      </c>
      <c r="KD90" s="537" t="str">
        <f t="shared" si="413"/>
        <v xml:space="preserve"> </v>
      </c>
      <c r="KE90" s="537" t="str">
        <f t="shared" si="414"/>
        <v xml:space="preserve"> </v>
      </c>
      <c r="KF90" s="534">
        <f t="shared" si="328"/>
        <v>0</v>
      </c>
      <c r="KG90" s="535" t="str">
        <f t="shared" si="329"/>
        <v xml:space="preserve"> </v>
      </c>
      <c r="KH90" s="535" t="str">
        <f t="shared" si="330"/>
        <v xml:space="preserve"> </v>
      </c>
      <c r="KI90" s="535" t="str">
        <f t="shared" si="331"/>
        <v xml:space="preserve"> </v>
      </c>
      <c r="KJ90" s="536" t="str">
        <f t="shared" si="332"/>
        <v xml:space="preserve"> </v>
      </c>
      <c r="KK90" s="535" t="str">
        <f t="shared" si="415"/>
        <v xml:space="preserve"> </v>
      </c>
      <c r="KL90" s="535" t="str">
        <f t="shared" si="416"/>
        <v xml:space="preserve"> </v>
      </c>
      <c r="KM90" s="537" t="str">
        <f t="shared" si="333"/>
        <v xml:space="preserve"> </v>
      </c>
      <c r="KN90" s="537" t="str">
        <f t="shared" si="417"/>
        <v xml:space="preserve"> </v>
      </c>
      <c r="KP90">
        <f t="shared" si="334"/>
        <v>0</v>
      </c>
      <c r="LA90" t="e">
        <f t="shared" si="335"/>
        <v>#VALUE!</v>
      </c>
      <c r="LB90" t="e">
        <f t="shared" si="336"/>
        <v>#VALUE!</v>
      </c>
      <c r="LC90" t="e">
        <f t="shared" si="337"/>
        <v>#VALUE!</v>
      </c>
      <c r="LD90" t="e">
        <f t="shared" si="338"/>
        <v>#VALUE!</v>
      </c>
      <c r="LE90" t="e">
        <f t="shared" si="418"/>
        <v>#VALUE!</v>
      </c>
      <c r="LF90">
        <f t="shared" si="339"/>
        <v>0</v>
      </c>
      <c r="LG90" t="e">
        <f t="shared" si="419"/>
        <v>#VALUE!</v>
      </c>
      <c r="LH90" t="str">
        <f t="shared" si="340"/>
        <v xml:space="preserve"> </v>
      </c>
      <c r="LI90">
        <f t="shared" si="420"/>
        <v>1</v>
      </c>
    </row>
    <row r="91" spans="2:321" ht="15" customHeight="1">
      <c r="B91" s="311"/>
      <c r="C91" s="311"/>
      <c r="D91" s="312"/>
      <c r="E91" s="311"/>
      <c r="F91" s="312"/>
      <c r="G91" s="311"/>
      <c r="H91" s="311"/>
      <c r="I91" s="37"/>
      <c r="J91" s="311"/>
      <c r="K91" s="305" t="str">
        <f t="shared" si="341"/>
        <v/>
      </c>
      <c r="L91" s="313"/>
      <c r="M91" s="312"/>
      <c r="N91" s="311"/>
      <c r="O91" s="312"/>
      <c r="P91" s="311"/>
      <c r="Q91" s="305" t="str">
        <f t="shared" si="342"/>
        <v/>
      </c>
      <c r="R91" s="314"/>
      <c r="S91" s="450" t="str">
        <f t="shared" si="225"/>
        <v/>
      </c>
      <c r="T91" s="315"/>
      <c r="U91" s="315"/>
      <c r="W91" s="149" t="str">
        <f t="shared" si="226"/>
        <v xml:space="preserve"> </v>
      </c>
      <c r="X91" s="243" t="str">
        <f t="shared" si="227"/>
        <v xml:space="preserve"> </v>
      </c>
      <c r="Y91" s="150" t="str">
        <f t="shared" si="228"/>
        <v/>
      </c>
      <c r="Z91" s="149" t="str">
        <f t="shared" si="229"/>
        <v xml:space="preserve"> </v>
      </c>
      <c r="AA91" s="98" t="str">
        <f t="shared" si="230"/>
        <v xml:space="preserve"> </v>
      </c>
      <c r="AB91" s="153" t="str">
        <f t="shared" si="231"/>
        <v xml:space="preserve"> </v>
      </c>
      <c r="AC91" s="153" t="str">
        <f t="shared" si="232"/>
        <v xml:space="preserve"> </v>
      </c>
      <c r="AD91" s="148" t="str">
        <f t="shared" si="233"/>
        <v/>
      </c>
      <c r="AE91" s="149" t="str">
        <f t="shared" si="234"/>
        <v/>
      </c>
      <c r="AF91" s="151" t="str">
        <f t="shared" si="235"/>
        <v xml:space="preserve"> </v>
      </c>
      <c r="AG91" s="153" t="str">
        <f t="shared" si="236"/>
        <v xml:space="preserve"> </v>
      </c>
      <c r="AH91" s="98" t="str">
        <f t="shared" si="237"/>
        <v xml:space="preserve"> </v>
      </c>
      <c r="AI91" s="149" t="str">
        <f t="shared" si="238"/>
        <v xml:space="preserve"> </v>
      </c>
      <c r="AK91" s="144" t="str">
        <f t="shared" si="239"/>
        <v xml:space="preserve"> </v>
      </c>
      <c r="AL91" s="144"/>
      <c r="AM91" s="243" t="str">
        <f t="shared" si="240"/>
        <v xml:space="preserve"> </v>
      </c>
      <c r="AN91" s="149" t="str">
        <f t="shared" si="343"/>
        <v xml:space="preserve"> </v>
      </c>
      <c r="AO91" s="144" t="str">
        <f>IF(JB91&gt;0,IF(GI91=10,-R91*1.085*(Calculation!$F$6-Calculation!$F$13)*$S$14," "),"")</f>
        <v/>
      </c>
      <c r="AP91" s="144" t="str">
        <f t="shared" si="241"/>
        <v/>
      </c>
      <c r="AQ91" s="56" t="str">
        <f t="shared" si="242"/>
        <v/>
      </c>
      <c r="AR91" s="144" t="str">
        <f t="shared" si="243"/>
        <v/>
      </c>
      <c r="AS91" s="176" t="str">
        <f t="shared" si="244"/>
        <v/>
      </c>
      <c r="AT91" s="176" t="str">
        <f t="shared" si="344"/>
        <v xml:space="preserve"> </v>
      </c>
      <c r="AU91" s="176" t="str">
        <f t="shared" si="245"/>
        <v/>
      </c>
      <c r="AV91" s="177" t="str">
        <f t="shared" si="246"/>
        <v xml:space="preserve"> </v>
      </c>
      <c r="AW91" s="144" t="str">
        <f t="shared" si="247"/>
        <v xml:space="preserve"> </v>
      </c>
      <c r="AX91" s="144" t="str">
        <f t="shared" si="248"/>
        <v xml:space="preserve"> </v>
      </c>
      <c r="AY91" s="152" t="str">
        <f t="shared" si="249"/>
        <v xml:space="preserve"> </v>
      </c>
      <c r="AZ91" s="246" t="str">
        <f t="shared" si="250"/>
        <v/>
      </c>
      <c r="BA91" s="176" t="str">
        <f t="shared" si="251"/>
        <v xml:space="preserve"> </v>
      </c>
      <c r="BB91" s="176" t="str">
        <f t="shared" si="252"/>
        <v xml:space="preserve"> </v>
      </c>
      <c r="BC91" s="195"/>
      <c r="BD91" s="316"/>
      <c r="BE91" s="317"/>
      <c r="BF91" s="318"/>
      <c r="BG91" s="318"/>
      <c r="BH91" s="144" t="str">
        <f t="shared" si="421"/>
        <v xml:space="preserve"> </v>
      </c>
      <c r="BI91" s="176" t="str">
        <f t="shared" si="253"/>
        <v/>
      </c>
      <c r="BJ91" s="144" t="str">
        <f t="shared" si="422"/>
        <v/>
      </c>
      <c r="BK91" s="246" t="str">
        <f t="shared" si="254"/>
        <v/>
      </c>
      <c r="BL91" s="144" t="str">
        <f t="shared" si="423"/>
        <v/>
      </c>
      <c r="BM91" s="246" t="str">
        <f t="shared" si="255"/>
        <v/>
      </c>
      <c r="BN91" s="337" t="str">
        <f t="shared" si="345"/>
        <v/>
      </c>
      <c r="BO91" s="371" t="str">
        <f t="shared" si="346"/>
        <v/>
      </c>
      <c r="BP91" s="328" t="str">
        <f t="shared" si="424"/>
        <v xml:space="preserve"> </v>
      </c>
      <c r="BQ91" s="347" t="str">
        <f t="shared" si="347"/>
        <v xml:space="preserve"> </v>
      </c>
      <c r="BR91" s="353" t="str">
        <f t="shared" si="348"/>
        <v xml:space="preserve"> </v>
      </c>
      <c r="BS91" s="626" t="str">
        <f>IF(L91&gt;0,IF(Calculation!P91="M13",BR91*3.1416*(0.134^2)/(4*144),IF(Calculation!P91="M17",BR91*3.1416*(0.165^2)/(4*144),IF(Calculation!P91="M20",BR91*3.1416*(0.198^2)/(4*144),IF(Calculation!P91="M23",BR91*3.1416*(0.228^2)/(4*144),IF(Calculation!P91="M27",BR91*3.1416*(0.269^2)/(4*144),BR91*3.1416*(0.307^2)/(4*144))))))," ")</f>
        <v xml:space="preserve"> </v>
      </c>
      <c r="BT91" s="353" t="str">
        <f>IF(L91&gt;0,IF(BS91&gt;0,R91/Calculation!BS91,0)," ")</f>
        <v xml:space="preserve"> </v>
      </c>
      <c r="BU91" s="438" t="e">
        <f t="shared" ca="1" si="256"/>
        <v>#VALUE!</v>
      </c>
      <c r="BV91" s="449" t="e">
        <f ca="1">INDEX(INDIRECT(VLOOKUP(LEFT(BO91,7),CLU!$Z$3:$AH$18,2)),GN91,GR91)</f>
        <v>#N/A</v>
      </c>
      <c r="BW91" s="433" t="e">
        <f ca="1">INDEX(INDIRECT(VLOOKUP(LEFT(BO91,7),CLU!$Z$3:$AH$18,3)),GN91,GR91)</f>
        <v>#N/A</v>
      </c>
      <c r="BX91" s="433" t="e">
        <f ca="1">INDEX(INDIRECT(VLOOKUP(LEFT(BO91,7),CLU!$Z$3:$AH$18,4)),GN91,GR91)</f>
        <v>#N/A</v>
      </c>
      <c r="BY91" s="433" t="e">
        <f ca="1">INDEX(INDIRECT(VLOOKUP(LEFT(BO91,7),CLU!$Z$3:$AH$18,9)),((M91-2)*(6-COUNTBLANK(GT91:GY91)))+GJ91)</f>
        <v>#N/A</v>
      </c>
      <c r="BZ91" s="426" t="e">
        <f t="shared" ca="1" si="349"/>
        <v>#N/A</v>
      </c>
      <c r="CA91" s="424" t="e">
        <f t="shared" ca="1" si="350"/>
        <v>#N/A</v>
      </c>
      <c r="CB91" s="429" t="e">
        <f ca="1">INDEX(INDIRECT(VLOOKUP(LEFT(BO91,7),CLU!$Z$3:$AH$18,2)),GN91,GS91)</f>
        <v>#N/A</v>
      </c>
      <c r="CC91" s="342" t="e">
        <f ca="1">INDEX(INDIRECT(VLOOKUP(LEFT(BO91,7),CLU!$Z$3:$AH$18,3)),GN91,GS91)</f>
        <v>#N/A</v>
      </c>
      <c r="CD91" s="342" t="e">
        <f ca="1">INDEX(INDIRECT(VLOOKUP(LEFT(BO91,7),CLU!$Z$3:$AH$18,4)),GN91,GS91)</f>
        <v>#N/A</v>
      </c>
      <c r="CE91" s="426" t="e">
        <f t="shared" ca="1" si="351"/>
        <v>#N/A</v>
      </c>
      <c r="CF91" s="440">
        <f t="shared" si="352"/>
        <v>0</v>
      </c>
      <c r="CG91" s="431" t="e">
        <f ca="1">INDEX(INDIRECT(VLOOKUP(LEFT(BO91,7),CLU!$Z$3:$AH$18,2)),GQ91,GR91)</f>
        <v>#N/A</v>
      </c>
      <c r="CH91" s="431" t="e">
        <f ca="1">INDEX(INDIRECT(VLOOKUP(LEFT(BO91,7),CLU!$Z$3:$AH$18,3)),GQ91,GR91)</f>
        <v>#N/A</v>
      </c>
      <c r="CI91" s="431" t="e">
        <f ca="1">INDEX(INDIRECT(VLOOKUP(LEFT(BO91,7),CLU!$Z$3:$AH$18,4)),GQ91,GR91)</f>
        <v>#N/A</v>
      </c>
      <c r="CJ91" s="448" t="e">
        <f t="shared" ca="1" si="353"/>
        <v>#N/A</v>
      </c>
      <c r="CK91" s="431" t="e">
        <f t="shared" ca="1" si="354"/>
        <v>#N/A</v>
      </c>
      <c r="CL91" s="440" t="e">
        <f t="shared" ca="1" si="355"/>
        <v>#N/A</v>
      </c>
      <c r="CM91" s="431" t="e">
        <f ca="1">INDEX(INDIRECT(VLOOKUP(LEFT(BO91,7),CLU!$Z$3:$AH$18,2)),GQ91,GS91)</f>
        <v>#N/A</v>
      </c>
      <c r="CN91" s="431" t="e">
        <f ca="1">INDEX(INDIRECT(VLOOKUP(LEFT(BO91,7),CLU!$Z$3:$AH$18,3)),GQ91,GS91)</f>
        <v>#N/A</v>
      </c>
      <c r="CO91" s="431" t="e">
        <f ca="1">INDEX(INDIRECT(VLOOKUP(LEFT(BO91,7),CLU!$Z$3:$AH$18,4)),GQ91,GS91)</f>
        <v>#N/A</v>
      </c>
      <c r="CP91" s="431" t="e">
        <f t="shared" ca="1" si="356"/>
        <v>#N/A</v>
      </c>
      <c r="CQ91" s="440">
        <f t="shared" si="357"/>
        <v>0</v>
      </c>
      <c r="CR91" s="51" t="e">
        <f t="shared" ca="1" si="358"/>
        <v>#N/A</v>
      </c>
      <c r="CS91" s="439" t="e">
        <f t="shared" ca="1" si="359"/>
        <v>#VALUE!</v>
      </c>
      <c r="CT91" s="51" t="e">
        <f t="shared" ca="1" si="360"/>
        <v>#VALUE!</v>
      </c>
      <c r="CU91" s="10"/>
      <c r="CV91" s="51" t="e">
        <f t="shared" ca="1" si="257"/>
        <v>#VALUE!</v>
      </c>
      <c r="CW91" s="51">
        <f t="shared" si="361"/>
        <v>0</v>
      </c>
      <c r="CX91" s="439" t="e">
        <f t="shared" ca="1" si="362"/>
        <v>#VALUE!</v>
      </c>
      <c r="CY91" s="51" t="e">
        <f t="shared" ca="1" si="363"/>
        <v>#VALUE!</v>
      </c>
      <c r="CZ91" s="10"/>
      <c r="DA91" s="51" t="e">
        <f t="shared" ca="1" si="364"/>
        <v>#VALUE!</v>
      </c>
      <c r="DB91" s="347" t="e">
        <f ca="1">INDEX(INDIRECT(VLOOKUP(LEFT(BO91,7),CLU!$Z$3:$AI$18,10)),((M91-2)*(6-COUNTBLANK(GT91:GY91)))+GJ91)*LI91</f>
        <v>#N/A</v>
      </c>
      <c r="DC91" s="347" t="str">
        <f>IF(L91&gt;0,((R91/Worksheet!$I$15)/DB91)^2," ")</f>
        <v xml:space="preserve"> </v>
      </c>
      <c r="DD91" s="602" t="str">
        <f t="shared" si="365"/>
        <v xml:space="preserve"> </v>
      </c>
      <c r="DE91" s="347" t="str">
        <f t="shared" si="258"/>
        <v xml:space="preserve"> </v>
      </c>
      <c r="DF91" s="356" t="e">
        <f ca="1">INDEX(INDIRECT(VLOOKUP(LEFT(BO91,7),CLU!$Z$3:$AH$18,8)),((M91-2)*(6-COUNTBLANK(GT91:GY91)))+GJ91)</f>
        <v>#N/A</v>
      </c>
      <c r="DG91" s="347" t="str">
        <f t="shared" si="259"/>
        <v xml:space="preserve"> </v>
      </c>
      <c r="DH91" s="357" t="str">
        <f t="shared" si="260"/>
        <v xml:space="preserve"> </v>
      </c>
      <c r="DI91" s="355" t="str">
        <f t="shared" si="261"/>
        <v xml:space="preserve"> </v>
      </c>
      <c r="DJ91" s="245" t="e">
        <f ca="1">INDEX(INDIRECT(VLOOKUP(LEFT(BO91,7),CLU!$Z$3:$AH$18,5)),GL91,GK91)</f>
        <v>#N/A</v>
      </c>
      <c r="DK91" s="245" t="e">
        <f ca="1">INDEX(INDIRECT(VLOOKUP(LEFT(BO91,7),CLU!$Z$3:$AH$18,6)),GL91,GK91)</f>
        <v>#N/A</v>
      </c>
      <c r="DL91" s="355">
        <f>(Calculation!R91*0.69143*(Calculation!$BQ$8-Calculation!$F$8))*$S$14</f>
        <v>0</v>
      </c>
      <c r="DM91" s="359" t="e">
        <f t="shared" si="366"/>
        <v>#VALUE!</v>
      </c>
      <c r="DN91" s="611">
        <f t="shared" si="367"/>
        <v>0</v>
      </c>
      <c r="DO91" s="359">
        <f t="shared" si="368"/>
        <v>100</v>
      </c>
      <c r="DP91" s="359">
        <f t="shared" si="369"/>
        <v>0</v>
      </c>
      <c r="DQ91" s="360"/>
      <c r="DR91" s="245" t="e">
        <f ca="1">INDEX(INDIRECT(VLOOKUP(LEFT(BO91,7),CLU!$Z$3:$AH$18,7)),M91-1,1)</f>
        <v>#N/A</v>
      </c>
      <c r="DS91" s="245" t="e">
        <f ca="1">INDEX(INDIRECT(VLOOKUP(LEFT(BO91,7),CLU!$Z$3:$AH$18,7)),M91-1,2)</f>
        <v>#N/A</v>
      </c>
      <c r="DT91" s="245" t="e">
        <f ca="1">INDEX(INDIRECT(VLOOKUP(LEFT(BO91,7),CLU!$Z$3:$AH$18,7)),M91-1,3)</f>
        <v>#N/A</v>
      </c>
      <c r="DU91" s="245" t="e">
        <f ca="1">INDEX(INDIRECT(VLOOKUP(LEFT(BO91,7),CLU!$Z$3:$AH$18,7)),M91-1,4)</f>
        <v>#N/A</v>
      </c>
      <c r="DV91" s="361" t="e">
        <f ca="1">INDEX(INDIRECT(VLOOKUP(LEFT(BO91,7),CLU!$Z$3:$AH$18,7)),M91-1,4+LEFT(DZ91,1)*0.5)</f>
        <v>#N/A</v>
      </c>
      <c r="DW91" s="245" t="e">
        <f ca="1">INDEX(INDIRECT(VLOOKUP(LEFT(BO91,7),CLU!$Z$3:$AH$18,7)),M91-1,8)</f>
        <v>#N/A</v>
      </c>
      <c r="DX91" s="361" t="str">
        <f t="shared" si="262"/>
        <v xml:space="preserve"> </v>
      </c>
      <c r="DY91" s="361" t="str">
        <f t="shared" si="263"/>
        <v xml:space="preserve"> </v>
      </c>
      <c r="DZ91" s="361" t="str">
        <f t="shared" si="264"/>
        <v xml:space="preserve"> </v>
      </c>
      <c r="EA91" s="362" t="str">
        <f t="shared" si="265"/>
        <v xml:space="preserve"> </v>
      </c>
      <c r="EB91" s="624" t="str">
        <f t="shared" si="370"/>
        <v xml:space="preserve"> </v>
      </c>
      <c r="EC91" s="361" t="e">
        <f ca="1">INDEX(INDIRECT(VLOOKUP(LEFT(BO91,7),CLU!$Z$3:$AH$18,7)),M91-1,4+LEFT(DZ91,1)*0.5)</f>
        <v>#N/A</v>
      </c>
      <c r="ED91" s="362" t="str">
        <f t="shared" si="266"/>
        <v xml:space="preserve"> </v>
      </c>
      <c r="EE91" s="361" t="str">
        <f t="shared" si="267"/>
        <v xml:space="preserve"> </v>
      </c>
      <c r="EF91" s="362" t="str">
        <f>IF(L91&gt;0,IF(BR91&gt;0,IF(EE91="2P",IF(Calculation!DZ91="2P",IF(Calculation!DS91=13.75,IF(Calculation!DR91=13,Worksheet!$BD$43,IF(Calculation!DR91=37,Worksheet!$BD$44,Worksheet!$BD$45)),IF(Calculation!DS91=10,IF(Calculation!DR91=18,Worksheet!$BD$29,IF(Calculation!DR91=30,Worksheet!$BD$30,IF(Calculation!DR91=42,Worksheet!$BD$31,IF(Calculation!DR91=54,Worksheet!$BD$32,IF(Calculation!DR91=66,Worksheet!$BD$33,IF(Calculation!DR91=78,Worksheet!$BD$34,IF(Calculation!DR91=90,Worksheet!$BD$35,IF(Calculation!DR91=102,Worksheet!$BD$36,Worksheet!$BD$37)))))))),IF(Calculation!DS91=12.5,IF(Calculation!DR91=18,Worksheet!$BD$38,IF(Calculation!DR91=Worksheet!$BD$39,IF(Calculation!DR91=42,Worksheet!$BD$40,IF(Calculation!DR91=54,Worksheet!$BD$41,Worksheet!$BD$42)))),IF(Calculation!DR91=18,Worksheet!$BD$11,IF(Calculation!DR91=30,Worksheet!$BD$12,IF(Calculation!DR91=42,Worksheet!$BD$13,IF(Calculation!DR91=54,Worksheet!$BD$14,IF(Calculation!DR91=66,Worksheet!$BD$15,IF(Calculation!DR91=78,Worksheet!$BD$16,IF(Calculation!DR91=90,Worksheet!$BD$17,IF(Calculation!DR91=102,Worksheet!$BD$18,Worksheet!$BD$19))))))))))),IF(Calculation!DS91=13.75,IF(Calculation!DR91=13,Worksheet!$BD$78,IF(Calculation!DR91=37,Worksheet!$BD$79,Worksheet!$BD$80)),IF(Calculation!DS91=10,IF(Calculation!DR91=18,Worksheet!$BD$64,IF(Calculation!DR91=30,Worksheet!$BD$65,IF(Calculation!DR91=42,Worksheet!$BD$66,IF(Calculation!DR91=54,Worksheet!$BD$68,IF(Calculation!DR91=66,Worksheet!$BD$68,IF(Calculation!DR91=78,Worksheet!$BD$69,IF(Calculation!DR91=90,Worksheet!$BD$70,IF(Calculation!DR91=102,Worksheet!$BD$71,Worksheet!$BD$72)))))))),IF(Calculation!DS91=12.5,IF(Calculation!DR91=18,Worksheet!$BD$73,IF(Calculation!DR91=Worksheet!$BD$74,IF(Calculation!DR91=42,Worksheet!$BD$75,IF(Calculation!DR91=54,Worksheet!$BD$76,Worksheet!$BD$77)))),IF(Calculation!DR91=18,Worksheet!$BD$55,IF(Calculation!DR91=30,Worksheet!$BD$56,IF(Calculation!DR91=42,Worksheet!$BD$57,IF(Calculation!DR91=54,Worksheet!$BD$58,IF(Calculation!DR91=66,Worksheet!$BD$59,IF(Calculation!DR91=78,Worksheet!$BD$60,IF(Calculation!DR91=90,Worksheet!$BD$61,IF(Calculation!DR91=102,Worksheet!$BD$62,Worksheet!$BD$63)))))))))))),5),0)," ")</f>
        <v xml:space="preserve"> </v>
      </c>
      <c r="EG91" s="361" t="str">
        <f t="shared" si="268"/>
        <v xml:space="preserve"> </v>
      </c>
      <c r="EH91" s="361" t="e">
        <f ca="1">INDEX(INDIRECT(VLOOKUP(LEFT(BO91,7),CLU!$Z$3:$AH$18,7)),M91-1,3+LEFT(DZ91,1))</f>
        <v>#N/A</v>
      </c>
      <c r="EI91" s="362" t="str">
        <f t="shared" si="269"/>
        <v xml:space="preserve"> </v>
      </c>
      <c r="EJ91" s="363" t="str">
        <f t="shared" si="270"/>
        <v xml:space="preserve"> </v>
      </c>
      <c r="EK91" s="363" t="str">
        <f t="shared" si="271"/>
        <v xml:space="preserve"> </v>
      </c>
      <c r="EL91" s="363" t="str">
        <f t="shared" si="272"/>
        <v xml:space="preserve"> </v>
      </c>
      <c r="EM91" s="362" t="str">
        <f>IF(L91&gt;0,IF(BR91&gt;0,(Calculation!T91/ED91)^2,0)," ")</f>
        <v xml:space="preserve"> </v>
      </c>
      <c r="EN91" s="362" t="str">
        <f>IF(L91&gt;0,IF(O91="2 Pipe (Cooling)","N/A",IF(BR91&gt;0,(Calculation!U91/EI91)^2,0))," ")</f>
        <v xml:space="preserve"> </v>
      </c>
      <c r="EO91" s="361" t="str">
        <f t="shared" si="273"/>
        <v/>
      </c>
      <c r="EP91" s="361" t="str">
        <f t="shared" si="274"/>
        <v/>
      </c>
      <c r="EQ91" s="361" t="str">
        <f t="shared" si="275"/>
        <v/>
      </c>
      <c r="ER91" s="361" t="str">
        <f t="shared" si="276"/>
        <v/>
      </c>
      <c r="ES91" s="361" t="str">
        <f t="shared" si="277"/>
        <v/>
      </c>
      <c r="ET91" s="361" t="str">
        <f t="shared" si="278"/>
        <v/>
      </c>
      <c r="EU91" s="361" t="str">
        <f t="shared" si="279"/>
        <v/>
      </c>
      <c r="EV91" s="361" t="str">
        <f t="shared" si="280"/>
        <v/>
      </c>
      <c r="EW91" s="361" t="str">
        <f t="shared" si="281"/>
        <v/>
      </c>
      <c r="EX91" s="361" t="str">
        <f t="shared" si="371"/>
        <v>1 slot, 1 way</v>
      </c>
      <c r="EY91" s="361" t="str">
        <f t="shared" si="372"/>
        <v xml:space="preserve"> </v>
      </c>
      <c r="EZ91" s="361" t="str">
        <f t="shared" si="373"/>
        <v xml:space="preserve"> </v>
      </c>
      <c r="FA91" s="361" t="str">
        <f t="shared" si="374"/>
        <v xml:space="preserve"> </v>
      </c>
      <c r="FB91" s="361" t="str">
        <f t="shared" si="375"/>
        <v xml:space="preserve"> </v>
      </c>
      <c r="FC91" s="361"/>
      <c r="FD91" s="361" t="str">
        <f>IF(J91&gt;0,IF(Calculation!R91&lt;=70,4,IF(Calculation!R91&lt;=110,5,IF(Calculation!R91&lt;=160,6,IF(Calculation!R91&lt;=300,8,"10 EO")))),"")</f>
        <v/>
      </c>
      <c r="FE91" s="361" t="str">
        <f t="shared" si="376"/>
        <v/>
      </c>
      <c r="FF91" s="361" t="str">
        <f t="shared" si="377"/>
        <v/>
      </c>
      <c r="FG91" s="361" t="e">
        <f t="shared" si="282"/>
        <v>#N/A</v>
      </c>
      <c r="FH91" s="361">
        <f t="shared" si="283"/>
        <v>0</v>
      </c>
      <c r="FI91" s="361" t="e">
        <f t="shared" si="284"/>
        <v>#DIV/0!</v>
      </c>
      <c r="FJ91" s="361"/>
      <c r="FK91" s="356" t="e">
        <f t="shared" si="285"/>
        <v>#VALUE!</v>
      </c>
      <c r="FL91" s="361"/>
      <c r="FM91" s="361"/>
      <c r="FN91" s="362" t="str">
        <f t="shared" si="378"/>
        <v xml:space="preserve"> </v>
      </c>
      <c r="FO91" s="362" t="str">
        <f t="shared" si="379"/>
        <v xml:space="preserve"> </v>
      </c>
      <c r="FP91" s="362">
        <f t="shared" si="380"/>
        <v>0</v>
      </c>
      <c r="FQ91" s="361">
        <f t="shared" si="286"/>
        <v>0</v>
      </c>
      <c r="FR91" s="362" t="str">
        <f>IF(L91&gt;0,IF(J91="CBAL2",Worksheet!$P$67,IF(J91="CBE2-24",Worksheet!$Q$67,IF(J91="CBAM",Worksheet!$R$67,IF(J91="CBLV",Worksheet!$S$67,IF(J91="CBAB",Worksheet!$U$67,IF(J91="CBAW",Worksheet!$X$67,IF(J91="CBE2-12",Worksheet!$Y$67,IF(J91="CBAL2",Worksheet!$Z$67,"N/A"))))))))," ")</f>
        <v xml:space="preserve"> </v>
      </c>
      <c r="FS91" s="362" t="str">
        <f>IF(L91&gt;0,IF(J91="CBAL2",Worksheet!$P$68,IF(J91="CBE2-24",Worksheet!$Q$68,IF(J91="CBAM",Worksheet!$R$68,IF(J91="CBLV",Worksheet!$S$68,IF(J91="CBAB",Worksheet!$U$68,IF(J91="CBAW",Worksheet!$X$68,IF(J91="CBE2-12",Worksheet!$Y$68,IF(J91="CBAL2",Worksheet!$Z$68,"N/A"))))))))," ")</f>
        <v xml:space="preserve"> </v>
      </c>
      <c r="FT91" s="362" t="str">
        <f>IF(L91&gt;0,IF(J91="CBAL2",Worksheet!$P$69,IF(J91="CBE2-24",Worksheet!$Q$69,IF(J91="CBAM",Worksheet!$R$69,IF(J91="CBLV",Worksheet!$S$69,IF(J91="CBAB",Worksheet!$U$69,IF(J91="CBAW",Worksheet!$X$69,IF(J91="CBE2-12",Worksheet!$Y$69,IF(J91="CBAL2",Worksheet!$Z$69,"N/A"))))))))," ")</f>
        <v xml:space="preserve"> </v>
      </c>
      <c r="FU91" s="361" t="str">
        <f t="shared" si="381"/>
        <v xml:space="preserve"> </v>
      </c>
      <c r="FV91" s="362" t="str">
        <f t="shared" si="382"/>
        <v xml:space="preserve"> </v>
      </c>
      <c r="FW91" s="362" t="str">
        <f t="shared" si="383"/>
        <v xml:space="preserve"> </v>
      </c>
      <c r="FX91" s="362" t="str">
        <f t="shared" si="384"/>
        <v xml:space="preserve"> </v>
      </c>
      <c r="FY91" s="355" t="str">
        <f t="shared" si="385"/>
        <v xml:space="preserve"> </v>
      </c>
      <c r="FZ91" s="361" t="str">
        <f t="shared" si="386"/>
        <v xml:space="preserve"> </v>
      </c>
      <c r="GA91" s="347" t="str">
        <f t="shared" si="387"/>
        <v xml:space="preserve"> </v>
      </c>
      <c r="GB91" s="355" t="str">
        <f t="shared" si="388"/>
        <v xml:space="preserve"> </v>
      </c>
      <c r="GC91" s="328" t="str">
        <f t="shared" si="389"/>
        <v xml:space="preserve"> </v>
      </c>
      <c r="GD91" s="361" t="str">
        <f t="shared" si="390"/>
        <v xml:space="preserve"> </v>
      </c>
      <c r="GE91" s="347" t="str">
        <f t="shared" si="391"/>
        <v xml:space="preserve"> </v>
      </c>
      <c r="GF91" s="361" t="str">
        <f t="shared" si="392"/>
        <v xml:space="preserve"> </v>
      </c>
      <c r="GG91" s="347" t="str">
        <f t="shared" si="393"/>
        <v xml:space="preserve"> </v>
      </c>
      <c r="GH91" s="364">
        <f t="shared" si="287"/>
        <v>0</v>
      </c>
      <c r="GI91" s="362">
        <f t="shared" si="394"/>
        <v>2</v>
      </c>
      <c r="GJ91" s="433" t="e">
        <f>IF(6-COUNTBLANK(GT91:GY91)=4,MATCH(MID(BO91,9,3),CLU!$H$16:$K$16),MATCH(MID(BO91,9,3),CLU!$H$13:$M$13))</f>
        <v>#N/A</v>
      </c>
      <c r="GK91" s="433" t="e">
        <f>HLOOKUP(VALUE(BP91),CLU!$H$9:$M$10,2)</f>
        <v>#VALUE!</v>
      </c>
      <c r="GL91" s="433" t="e">
        <f ca="1">MATCH(BU91,CLU!$H$2:$V$2,1)</f>
        <v>#VALUE!</v>
      </c>
      <c r="GM91" s="433" t="e">
        <f t="shared" ca="1" si="395"/>
        <v>#VALUE!</v>
      </c>
      <c r="GN91" s="433" t="e">
        <f t="shared" ca="1" si="396"/>
        <v>#VALUE!</v>
      </c>
      <c r="GO91" s="433" t="e">
        <f t="shared" ca="1" si="397"/>
        <v>#VALUE!</v>
      </c>
      <c r="GP91" s="433" t="e">
        <f t="shared" ca="1" si="398"/>
        <v>#VALUE!</v>
      </c>
      <c r="GQ91" s="433" t="e">
        <f t="shared" ca="1" si="399"/>
        <v>#VALUE!</v>
      </c>
      <c r="GR91" s="433" t="e">
        <f ca="1">MATCH(T91,INDIRECT(VLOOKUP(CONCATENATE(LEFT(BO91,7),"-",MID(BO91,13,1)),CLU!$P$3:$Q$16,2)),1)</f>
        <v>#N/A</v>
      </c>
      <c r="GS91" s="433" t="e">
        <f ca="1">MATCH(U91,INDIRECT(VLOOKUP(CONCATENATE(LEFT(BO91,7),"-",MID(BO91,13,1)),CLU!$P$3:$Q$16,2)),1)</f>
        <v>#N/A</v>
      </c>
      <c r="GT91" s="347" t="s">
        <v>512</v>
      </c>
      <c r="GU91" s="97" t="s">
        <v>513</v>
      </c>
      <c r="GV91" s="97" t="str">
        <f t="shared" si="400"/>
        <v>M23</v>
      </c>
      <c r="GW91" s="97" t="str">
        <f t="shared" si="401"/>
        <v>M31</v>
      </c>
      <c r="GX91" s="97" t="str">
        <f t="shared" si="402"/>
        <v/>
      </c>
      <c r="GY91" s="97" t="str">
        <f t="shared" si="403"/>
        <v/>
      </c>
      <c r="GZ91" s="481"/>
      <c r="HA91" s="288"/>
      <c r="HB91" s="240"/>
      <c r="HC91" s="240"/>
      <c r="HD91" s="240"/>
      <c r="HE91" s="240"/>
      <c r="HF91" s="240"/>
      <c r="HG91" s="240"/>
      <c r="HH91" s="240"/>
      <c r="HI91" s="240"/>
      <c r="HJ91" s="240"/>
      <c r="HK91" s="240"/>
      <c r="HL91" s="240"/>
      <c r="HM91" s="240"/>
      <c r="HN91" s="240"/>
      <c r="HO91" s="240"/>
      <c r="HP91" s="240"/>
      <c r="HQ91" s="240"/>
      <c r="HR91" s="240"/>
      <c r="HS91" s="240"/>
      <c r="HT91" s="240"/>
      <c r="HU91" s="240"/>
      <c r="HV91" s="245"/>
      <c r="HW91" s="245" t="b">
        <v>1</v>
      </c>
      <c r="HX91" s="245" t="str">
        <f t="shared" si="288"/>
        <v/>
      </c>
      <c r="HY91" s="245" t="e">
        <f t="shared" si="289"/>
        <v>#DIV/0!</v>
      </c>
      <c r="HZ91" s="245" t="e">
        <f t="shared" si="290"/>
        <v>#DIV/0!</v>
      </c>
      <c r="IA91" s="245">
        <f t="shared" si="291"/>
        <v>0</v>
      </c>
      <c r="IB91" s="245"/>
      <c r="IC91" t="b">
        <f t="shared" si="292"/>
        <v>1</v>
      </c>
      <c r="ID91" s="245" t="b">
        <f t="shared" si="293"/>
        <v>1</v>
      </c>
      <c r="IE91" s="245" t="b">
        <f t="shared" si="294"/>
        <v>1</v>
      </c>
      <c r="IF91" s="245" t="b">
        <f t="shared" si="295"/>
        <v>0</v>
      </c>
      <c r="IG91" s="245" t="b">
        <f t="shared" si="296"/>
        <v>1</v>
      </c>
      <c r="IH91" s="245" t="b">
        <f t="shared" si="297"/>
        <v>1</v>
      </c>
      <c r="II91" s="245">
        <f t="shared" si="404"/>
        <v>0</v>
      </c>
      <c r="IJ91" s="245" t="e">
        <f t="shared" si="298"/>
        <v>#VALUE!</v>
      </c>
      <c r="IK91" s="245" t="e">
        <f t="shared" si="299"/>
        <v>#VALUE!</v>
      </c>
      <c r="IL91" s="245"/>
      <c r="IM91" s="245" t="e">
        <f t="shared" si="405"/>
        <v>#N/A</v>
      </c>
      <c r="IN91" s="245" t="e">
        <f t="shared" si="406"/>
        <v>#N/A</v>
      </c>
      <c r="IO91" s="245"/>
      <c r="IP91" s="245"/>
      <c r="IQ91" s="245" t="str">
        <f t="shared" si="300"/>
        <v/>
      </c>
      <c r="IR91" s="245" t="str">
        <f>IF(J91="","",VLOOKUP(J91,Worksheet!$R$4:$T$14,2))</f>
        <v/>
      </c>
      <c r="IS91" s="245"/>
      <c r="IT91" s="245">
        <f t="shared" si="301"/>
        <v>0</v>
      </c>
      <c r="IU91" s="245">
        <f t="shared" si="302"/>
        <v>0</v>
      </c>
      <c r="IV91" s="245">
        <f t="shared" si="303"/>
        <v>0</v>
      </c>
      <c r="IW91" s="245">
        <f t="shared" si="304"/>
        <v>0</v>
      </c>
      <c r="IX91" s="245">
        <f t="shared" si="407"/>
        <v>0</v>
      </c>
      <c r="IY91" s="245">
        <f t="shared" si="305"/>
        <v>0</v>
      </c>
      <c r="IZ91" s="245">
        <f t="shared" si="306"/>
        <v>0</v>
      </c>
      <c r="JA91">
        <f t="shared" si="307"/>
        <v>0</v>
      </c>
      <c r="JB91">
        <f t="shared" si="408"/>
        <v>0</v>
      </c>
      <c r="JC91">
        <f t="shared" si="308"/>
        <v>0</v>
      </c>
      <c r="JD91">
        <f t="shared" si="309"/>
        <v>0</v>
      </c>
      <c r="JE91">
        <f t="shared" si="310"/>
        <v>0</v>
      </c>
      <c r="JF91">
        <f t="shared" si="311"/>
        <v>0</v>
      </c>
      <c r="JG91">
        <f t="shared" si="312"/>
        <v>0</v>
      </c>
      <c r="JH91">
        <f t="shared" si="313"/>
        <v>0</v>
      </c>
      <c r="JI91">
        <f t="shared" si="314"/>
        <v>0</v>
      </c>
      <c r="JJ91" s="447">
        <f t="shared" si="315"/>
        <v>0</v>
      </c>
      <c r="JK91" s="447">
        <f t="shared" si="316"/>
        <v>0</v>
      </c>
      <c r="JL91">
        <f t="shared" si="317"/>
        <v>0</v>
      </c>
      <c r="JM91" s="245" t="str">
        <f>IFERROR(VLOOKUP(MATCH(BN91,#REF!,0),#REF!,7),"")</f>
        <v/>
      </c>
      <c r="JN91" t="e">
        <f>HLOOKUP(LEFT(BO91,7),Discharge_Area,MATCH(JO91,LookUps!$B$130:$B$149,1)+2)</f>
        <v>#N/A</v>
      </c>
      <c r="JO91" t="str">
        <f t="shared" si="318"/>
        <v>- S</v>
      </c>
      <c r="JP91" t="e">
        <f>HLOOKUP(LEFT(BO91,7),Discharge_Area,MATCH(JO91,LookUps!$B$130:$B$149,1)+2)</f>
        <v>#N/A</v>
      </c>
      <c r="JQ91" t="e">
        <f t="shared" si="319"/>
        <v>#N/A</v>
      </c>
      <c r="JR91" t="e">
        <f t="shared" si="320"/>
        <v>#N/A</v>
      </c>
      <c r="JS91" t="e">
        <f t="shared" si="321"/>
        <v>#N/A</v>
      </c>
      <c r="JT91" s="532" t="str">
        <f t="shared" si="322"/>
        <v xml:space="preserve"> </v>
      </c>
      <c r="JU91" s="532" t="str">
        <f t="shared" si="323"/>
        <v xml:space="preserve"> </v>
      </c>
      <c r="JV91" s="533" t="str">
        <f t="shared" si="324"/>
        <v xml:space="preserve"> </v>
      </c>
      <c r="JW91" s="534">
        <f t="shared" si="325"/>
        <v>0</v>
      </c>
      <c r="JX91" s="535" t="str">
        <f t="shared" si="409"/>
        <v xml:space="preserve"> </v>
      </c>
      <c r="JY91" s="535" t="str">
        <f t="shared" si="410"/>
        <v xml:space="preserve"> </v>
      </c>
      <c r="JZ91" s="535" t="str">
        <f t="shared" si="411"/>
        <v xml:space="preserve"> </v>
      </c>
      <c r="KA91" s="536" t="str">
        <f t="shared" si="326"/>
        <v xml:space="preserve"> </v>
      </c>
      <c r="KB91" s="535" t="e">
        <f t="shared" si="412"/>
        <v>#VALUE!</v>
      </c>
      <c r="KC91" s="535" t="str">
        <f t="shared" si="327"/>
        <v/>
      </c>
      <c r="KD91" s="537" t="str">
        <f t="shared" si="413"/>
        <v xml:space="preserve"> </v>
      </c>
      <c r="KE91" s="537" t="str">
        <f t="shared" si="414"/>
        <v xml:space="preserve"> </v>
      </c>
      <c r="KF91" s="534">
        <f t="shared" si="328"/>
        <v>0</v>
      </c>
      <c r="KG91" s="535" t="str">
        <f t="shared" si="329"/>
        <v xml:space="preserve"> </v>
      </c>
      <c r="KH91" s="535" t="str">
        <f t="shared" si="330"/>
        <v xml:space="preserve"> </v>
      </c>
      <c r="KI91" s="535" t="str">
        <f t="shared" si="331"/>
        <v xml:space="preserve"> </v>
      </c>
      <c r="KJ91" s="536" t="str">
        <f t="shared" si="332"/>
        <v xml:space="preserve"> </v>
      </c>
      <c r="KK91" s="535" t="str">
        <f t="shared" si="415"/>
        <v xml:space="preserve"> </v>
      </c>
      <c r="KL91" s="535" t="str">
        <f t="shared" si="416"/>
        <v xml:space="preserve"> </v>
      </c>
      <c r="KM91" s="537" t="str">
        <f t="shared" si="333"/>
        <v xml:space="preserve"> </v>
      </c>
      <c r="KN91" s="537" t="str">
        <f t="shared" si="417"/>
        <v xml:space="preserve"> </v>
      </c>
      <c r="KP91">
        <f t="shared" si="334"/>
        <v>0</v>
      </c>
      <c r="LA91" t="e">
        <f t="shared" si="335"/>
        <v>#VALUE!</v>
      </c>
      <c r="LB91" t="e">
        <f t="shared" si="336"/>
        <v>#VALUE!</v>
      </c>
      <c r="LC91" t="e">
        <f t="shared" si="337"/>
        <v>#VALUE!</v>
      </c>
      <c r="LD91" t="e">
        <f t="shared" si="338"/>
        <v>#VALUE!</v>
      </c>
      <c r="LE91" t="e">
        <f t="shared" si="418"/>
        <v>#VALUE!</v>
      </c>
      <c r="LF91">
        <f t="shared" si="339"/>
        <v>0</v>
      </c>
      <c r="LG91" t="e">
        <f t="shared" si="419"/>
        <v>#VALUE!</v>
      </c>
      <c r="LH91" t="str">
        <f t="shared" si="340"/>
        <v xml:space="preserve"> </v>
      </c>
      <c r="LI91">
        <f t="shared" si="420"/>
        <v>1</v>
      </c>
    </row>
    <row r="92" spans="2:321" ht="15" customHeight="1">
      <c r="B92" s="311"/>
      <c r="C92" s="311"/>
      <c r="D92" s="312"/>
      <c r="E92" s="311"/>
      <c r="F92" s="312"/>
      <c r="G92" s="311"/>
      <c r="H92" s="311"/>
      <c r="I92" s="37"/>
      <c r="J92" s="311"/>
      <c r="K92" s="305" t="str">
        <f t="shared" si="341"/>
        <v/>
      </c>
      <c r="L92" s="313"/>
      <c r="M92" s="312"/>
      <c r="N92" s="311"/>
      <c r="O92" s="312"/>
      <c r="P92" s="311"/>
      <c r="Q92" s="305" t="str">
        <f t="shared" si="342"/>
        <v/>
      </c>
      <c r="R92" s="314"/>
      <c r="S92" s="450" t="str">
        <f t="shared" si="225"/>
        <v/>
      </c>
      <c r="T92" s="315"/>
      <c r="U92" s="315"/>
      <c r="W92" s="149" t="str">
        <f t="shared" si="226"/>
        <v xml:space="preserve"> </v>
      </c>
      <c r="X92" s="243" t="str">
        <f t="shared" si="227"/>
        <v xml:space="preserve"> </v>
      </c>
      <c r="Y92" s="150" t="str">
        <f t="shared" si="228"/>
        <v/>
      </c>
      <c r="Z92" s="149" t="str">
        <f t="shared" si="229"/>
        <v xml:space="preserve"> </v>
      </c>
      <c r="AA92" s="98" t="str">
        <f t="shared" si="230"/>
        <v xml:space="preserve"> </v>
      </c>
      <c r="AB92" s="153" t="str">
        <f t="shared" si="231"/>
        <v xml:space="preserve"> </v>
      </c>
      <c r="AC92" s="153" t="str">
        <f t="shared" si="232"/>
        <v xml:space="preserve"> </v>
      </c>
      <c r="AD92" s="148" t="str">
        <f t="shared" si="233"/>
        <v/>
      </c>
      <c r="AE92" s="149" t="str">
        <f t="shared" si="234"/>
        <v/>
      </c>
      <c r="AF92" s="151" t="str">
        <f t="shared" si="235"/>
        <v xml:space="preserve"> </v>
      </c>
      <c r="AG92" s="153" t="str">
        <f t="shared" si="236"/>
        <v xml:space="preserve"> </v>
      </c>
      <c r="AH92" s="98" t="str">
        <f t="shared" si="237"/>
        <v xml:space="preserve"> </v>
      </c>
      <c r="AI92" s="149" t="str">
        <f t="shared" si="238"/>
        <v xml:space="preserve"> </v>
      </c>
      <c r="AK92" s="144" t="str">
        <f t="shared" si="239"/>
        <v xml:space="preserve"> </v>
      </c>
      <c r="AL92" s="144"/>
      <c r="AM92" s="243" t="str">
        <f t="shared" si="240"/>
        <v xml:space="preserve"> </v>
      </c>
      <c r="AN92" s="149" t="str">
        <f t="shared" si="343"/>
        <v xml:space="preserve"> </v>
      </c>
      <c r="AO92" s="144" t="str">
        <f>IF(JB92&gt;0,IF(GI92=10,-R92*1.085*(Calculation!$F$6-Calculation!$F$13)*$S$14," "),"")</f>
        <v/>
      </c>
      <c r="AP92" s="144" t="str">
        <f t="shared" si="241"/>
        <v/>
      </c>
      <c r="AQ92" s="56" t="str">
        <f t="shared" si="242"/>
        <v/>
      </c>
      <c r="AR92" s="144" t="str">
        <f t="shared" si="243"/>
        <v/>
      </c>
      <c r="AS92" s="176" t="str">
        <f t="shared" si="244"/>
        <v/>
      </c>
      <c r="AT92" s="176" t="str">
        <f t="shared" si="344"/>
        <v xml:space="preserve"> </v>
      </c>
      <c r="AU92" s="176" t="str">
        <f t="shared" si="245"/>
        <v/>
      </c>
      <c r="AV92" s="177" t="str">
        <f t="shared" si="246"/>
        <v xml:space="preserve"> </v>
      </c>
      <c r="AW92" s="144" t="str">
        <f t="shared" si="247"/>
        <v xml:space="preserve"> </v>
      </c>
      <c r="AX92" s="144" t="str">
        <f t="shared" si="248"/>
        <v xml:space="preserve"> </v>
      </c>
      <c r="AY92" s="152" t="str">
        <f t="shared" si="249"/>
        <v xml:space="preserve"> </v>
      </c>
      <c r="AZ92" s="246" t="str">
        <f t="shared" si="250"/>
        <v/>
      </c>
      <c r="BA92" s="176" t="str">
        <f t="shared" si="251"/>
        <v xml:space="preserve"> </v>
      </c>
      <c r="BB92" s="176" t="str">
        <f t="shared" si="252"/>
        <v xml:space="preserve"> </v>
      </c>
      <c r="BC92" s="195"/>
      <c r="BD92" s="316"/>
      <c r="BE92" s="317"/>
      <c r="BF92" s="318"/>
      <c r="BG92" s="318"/>
      <c r="BH92" s="144" t="str">
        <f t="shared" si="421"/>
        <v xml:space="preserve"> </v>
      </c>
      <c r="BI92" s="176" t="str">
        <f t="shared" si="253"/>
        <v/>
      </c>
      <c r="BJ92" s="144" t="str">
        <f t="shared" si="422"/>
        <v/>
      </c>
      <c r="BK92" s="246" t="str">
        <f t="shared" si="254"/>
        <v/>
      </c>
      <c r="BL92" s="144" t="str">
        <f t="shared" si="423"/>
        <v/>
      </c>
      <c r="BM92" s="246" t="str">
        <f t="shared" si="255"/>
        <v/>
      </c>
      <c r="BN92" s="337" t="str">
        <f t="shared" si="345"/>
        <v/>
      </c>
      <c r="BO92" s="371" t="str">
        <f t="shared" si="346"/>
        <v/>
      </c>
      <c r="BP92" s="328" t="str">
        <f t="shared" si="424"/>
        <v xml:space="preserve"> </v>
      </c>
      <c r="BQ92" s="347" t="str">
        <f t="shared" si="347"/>
        <v xml:space="preserve"> </v>
      </c>
      <c r="BR92" s="353" t="str">
        <f t="shared" si="348"/>
        <v xml:space="preserve"> </v>
      </c>
      <c r="BS92" s="626" t="str">
        <f>IF(L92&gt;0,IF(Calculation!P92="M13",BR92*3.1416*(0.134^2)/(4*144),IF(Calculation!P92="M17",BR92*3.1416*(0.165^2)/(4*144),IF(Calculation!P92="M20",BR92*3.1416*(0.198^2)/(4*144),IF(Calculation!P92="M23",BR92*3.1416*(0.228^2)/(4*144),IF(Calculation!P92="M27",BR92*3.1416*(0.269^2)/(4*144),BR92*3.1416*(0.307^2)/(4*144))))))," ")</f>
        <v xml:space="preserve"> </v>
      </c>
      <c r="BT92" s="353" t="str">
        <f>IF(L92&gt;0,IF(BS92&gt;0,R92/Calculation!BS92,0)," ")</f>
        <v xml:space="preserve"> </v>
      </c>
      <c r="BU92" s="438" t="e">
        <f t="shared" ca="1" si="256"/>
        <v>#VALUE!</v>
      </c>
      <c r="BV92" s="449" t="e">
        <f ca="1">INDEX(INDIRECT(VLOOKUP(LEFT(BO92,7),CLU!$Z$3:$AH$18,2)),GN92,GR92)</f>
        <v>#N/A</v>
      </c>
      <c r="BW92" s="433" t="e">
        <f ca="1">INDEX(INDIRECT(VLOOKUP(LEFT(BO92,7),CLU!$Z$3:$AH$18,3)),GN92,GR92)</f>
        <v>#N/A</v>
      </c>
      <c r="BX92" s="433" t="e">
        <f ca="1">INDEX(INDIRECT(VLOOKUP(LEFT(BO92,7),CLU!$Z$3:$AH$18,4)),GN92,GR92)</f>
        <v>#N/A</v>
      </c>
      <c r="BY92" s="433" t="e">
        <f ca="1">INDEX(INDIRECT(VLOOKUP(LEFT(BO92,7),CLU!$Z$3:$AH$18,9)),((M92-2)*(6-COUNTBLANK(GT92:GY92)))+GJ92)</f>
        <v>#N/A</v>
      </c>
      <c r="BZ92" s="426" t="e">
        <f t="shared" ca="1" si="349"/>
        <v>#N/A</v>
      </c>
      <c r="CA92" s="424" t="e">
        <f t="shared" ca="1" si="350"/>
        <v>#N/A</v>
      </c>
      <c r="CB92" s="429" t="e">
        <f ca="1">INDEX(INDIRECT(VLOOKUP(LEFT(BO92,7),CLU!$Z$3:$AH$18,2)),GN92,GS92)</f>
        <v>#N/A</v>
      </c>
      <c r="CC92" s="342" t="e">
        <f ca="1">INDEX(INDIRECT(VLOOKUP(LEFT(BO92,7),CLU!$Z$3:$AH$18,3)),GN92,GS92)</f>
        <v>#N/A</v>
      </c>
      <c r="CD92" s="342" t="e">
        <f ca="1">INDEX(INDIRECT(VLOOKUP(LEFT(BO92,7),CLU!$Z$3:$AH$18,4)),GN92,GS92)</f>
        <v>#N/A</v>
      </c>
      <c r="CE92" s="426" t="e">
        <f t="shared" ca="1" si="351"/>
        <v>#N/A</v>
      </c>
      <c r="CF92" s="440">
        <f t="shared" si="352"/>
        <v>0</v>
      </c>
      <c r="CG92" s="431" t="e">
        <f ca="1">INDEX(INDIRECT(VLOOKUP(LEFT(BO92,7),CLU!$Z$3:$AH$18,2)),GQ92,GR92)</f>
        <v>#N/A</v>
      </c>
      <c r="CH92" s="431" t="e">
        <f ca="1">INDEX(INDIRECT(VLOOKUP(LEFT(BO92,7),CLU!$Z$3:$AH$18,3)),GQ92,GR92)</f>
        <v>#N/A</v>
      </c>
      <c r="CI92" s="431" t="e">
        <f ca="1">INDEX(INDIRECT(VLOOKUP(LEFT(BO92,7),CLU!$Z$3:$AH$18,4)),GQ92,GR92)</f>
        <v>#N/A</v>
      </c>
      <c r="CJ92" s="448" t="e">
        <f t="shared" ca="1" si="353"/>
        <v>#N/A</v>
      </c>
      <c r="CK92" s="431" t="e">
        <f t="shared" ca="1" si="354"/>
        <v>#N/A</v>
      </c>
      <c r="CL92" s="440" t="e">
        <f t="shared" ca="1" si="355"/>
        <v>#N/A</v>
      </c>
      <c r="CM92" s="431" t="e">
        <f ca="1">INDEX(INDIRECT(VLOOKUP(LEFT(BO92,7),CLU!$Z$3:$AH$18,2)),GQ92,GS92)</f>
        <v>#N/A</v>
      </c>
      <c r="CN92" s="431" t="e">
        <f ca="1">INDEX(INDIRECT(VLOOKUP(LEFT(BO92,7),CLU!$Z$3:$AH$18,3)),GQ92,GS92)</f>
        <v>#N/A</v>
      </c>
      <c r="CO92" s="431" t="e">
        <f ca="1">INDEX(INDIRECT(VLOOKUP(LEFT(BO92,7),CLU!$Z$3:$AH$18,4)),GQ92,GS92)</f>
        <v>#N/A</v>
      </c>
      <c r="CP92" s="431" t="e">
        <f t="shared" ca="1" si="356"/>
        <v>#N/A</v>
      </c>
      <c r="CQ92" s="440">
        <f t="shared" si="357"/>
        <v>0</v>
      </c>
      <c r="CR92" s="51" t="e">
        <f t="shared" ca="1" si="358"/>
        <v>#N/A</v>
      </c>
      <c r="CS92" s="439" t="e">
        <f t="shared" ca="1" si="359"/>
        <v>#VALUE!</v>
      </c>
      <c r="CT92" s="51" t="e">
        <f t="shared" ca="1" si="360"/>
        <v>#VALUE!</v>
      </c>
      <c r="CU92" s="10"/>
      <c r="CV92" s="51" t="e">
        <f t="shared" ca="1" si="257"/>
        <v>#VALUE!</v>
      </c>
      <c r="CW92" s="51">
        <f t="shared" si="361"/>
        <v>0</v>
      </c>
      <c r="CX92" s="439" t="e">
        <f t="shared" ca="1" si="362"/>
        <v>#VALUE!</v>
      </c>
      <c r="CY92" s="51" t="e">
        <f t="shared" ca="1" si="363"/>
        <v>#VALUE!</v>
      </c>
      <c r="CZ92" s="10"/>
      <c r="DA92" s="51" t="e">
        <f t="shared" ca="1" si="364"/>
        <v>#VALUE!</v>
      </c>
      <c r="DB92" s="347" t="e">
        <f ca="1">INDEX(INDIRECT(VLOOKUP(LEFT(BO92,7),CLU!$Z$3:$AI$18,10)),((M92-2)*(6-COUNTBLANK(GT92:GY92)))+GJ92)*LI92</f>
        <v>#N/A</v>
      </c>
      <c r="DC92" s="347" t="str">
        <f>IF(L92&gt;0,((R92/Worksheet!$I$15)/DB92)^2," ")</f>
        <v xml:space="preserve"> </v>
      </c>
      <c r="DD92" s="602" t="str">
        <f t="shared" si="365"/>
        <v xml:space="preserve"> </v>
      </c>
      <c r="DE92" s="347" t="str">
        <f t="shared" si="258"/>
        <v xml:space="preserve"> </v>
      </c>
      <c r="DF92" s="356" t="e">
        <f ca="1">INDEX(INDIRECT(VLOOKUP(LEFT(BO92,7),CLU!$Z$3:$AH$18,8)),((M92-2)*(6-COUNTBLANK(GT92:GY92)))+GJ92)</f>
        <v>#N/A</v>
      </c>
      <c r="DG92" s="347" t="str">
        <f t="shared" si="259"/>
        <v xml:space="preserve"> </v>
      </c>
      <c r="DH92" s="357" t="str">
        <f t="shared" si="260"/>
        <v xml:space="preserve"> </v>
      </c>
      <c r="DI92" s="355" t="str">
        <f t="shared" si="261"/>
        <v xml:space="preserve"> </v>
      </c>
      <c r="DJ92" s="245" t="e">
        <f ca="1">INDEX(INDIRECT(VLOOKUP(LEFT(BO92,7),CLU!$Z$3:$AH$18,5)),GL92,GK92)</f>
        <v>#N/A</v>
      </c>
      <c r="DK92" s="245" t="e">
        <f ca="1">INDEX(INDIRECT(VLOOKUP(LEFT(BO92,7),CLU!$Z$3:$AH$18,6)),GL92,GK92)</f>
        <v>#N/A</v>
      </c>
      <c r="DL92" s="355">
        <f>(Calculation!R92*0.69143*(Calculation!$BQ$8-Calculation!$F$8))*$S$14</f>
        <v>0</v>
      </c>
      <c r="DM92" s="359" t="e">
        <f t="shared" si="366"/>
        <v>#VALUE!</v>
      </c>
      <c r="DN92" s="611">
        <f t="shared" si="367"/>
        <v>0</v>
      </c>
      <c r="DO92" s="359">
        <f t="shared" si="368"/>
        <v>100</v>
      </c>
      <c r="DP92" s="359">
        <f t="shared" si="369"/>
        <v>0</v>
      </c>
      <c r="DQ92" s="360"/>
      <c r="DR92" s="245" t="e">
        <f ca="1">INDEX(INDIRECT(VLOOKUP(LEFT(BO92,7),CLU!$Z$3:$AH$18,7)),M92-1,1)</f>
        <v>#N/A</v>
      </c>
      <c r="DS92" s="245" t="e">
        <f ca="1">INDEX(INDIRECT(VLOOKUP(LEFT(BO92,7),CLU!$Z$3:$AH$18,7)),M92-1,2)</f>
        <v>#N/A</v>
      </c>
      <c r="DT92" s="245" t="e">
        <f ca="1">INDEX(INDIRECT(VLOOKUP(LEFT(BO92,7),CLU!$Z$3:$AH$18,7)),M92-1,3)</f>
        <v>#N/A</v>
      </c>
      <c r="DU92" s="245" t="e">
        <f ca="1">INDEX(INDIRECT(VLOOKUP(LEFT(BO92,7),CLU!$Z$3:$AH$18,7)),M92-1,4)</f>
        <v>#N/A</v>
      </c>
      <c r="DV92" s="361" t="e">
        <f ca="1">INDEX(INDIRECT(VLOOKUP(LEFT(BO92,7),CLU!$Z$3:$AH$18,7)),M92-1,4+LEFT(DZ92,1)*0.5)</f>
        <v>#N/A</v>
      </c>
      <c r="DW92" s="245" t="e">
        <f ca="1">INDEX(INDIRECT(VLOOKUP(LEFT(BO92,7),CLU!$Z$3:$AH$18,7)),M92-1,8)</f>
        <v>#N/A</v>
      </c>
      <c r="DX92" s="361" t="str">
        <f t="shared" si="262"/>
        <v xml:space="preserve"> </v>
      </c>
      <c r="DY92" s="361" t="str">
        <f t="shared" si="263"/>
        <v xml:space="preserve"> </v>
      </c>
      <c r="DZ92" s="361" t="str">
        <f t="shared" si="264"/>
        <v xml:space="preserve"> </v>
      </c>
      <c r="EA92" s="362" t="str">
        <f t="shared" si="265"/>
        <v xml:space="preserve"> </v>
      </c>
      <c r="EB92" s="624" t="str">
        <f t="shared" si="370"/>
        <v xml:space="preserve"> </v>
      </c>
      <c r="EC92" s="361" t="e">
        <f ca="1">INDEX(INDIRECT(VLOOKUP(LEFT(BO92,7),CLU!$Z$3:$AH$18,7)),M92-1,4+LEFT(DZ92,1)*0.5)</f>
        <v>#N/A</v>
      </c>
      <c r="ED92" s="362" t="str">
        <f t="shared" si="266"/>
        <v xml:space="preserve"> </v>
      </c>
      <c r="EE92" s="361" t="str">
        <f t="shared" si="267"/>
        <v xml:space="preserve"> </v>
      </c>
      <c r="EF92" s="362" t="str">
        <f>IF(L92&gt;0,IF(BR92&gt;0,IF(EE92="2P",IF(Calculation!DZ92="2P",IF(Calculation!DS92=13.75,IF(Calculation!DR92=13,Worksheet!$BD$43,IF(Calculation!DR92=37,Worksheet!$BD$44,Worksheet!$BD$45)),IF(Calculation!DS92=10,IF(Calculation!DR92=18,Worksheet!$BD$29,IF(Calculation!DR92=30,Worksheet!$BD$30,IF(Calculation!DR92=42,Worksheet!$BD$31,IF(Calculation!DR92=54,Worksheet!$BD$32,IF(Calculation!DR92=66,Worksheet!$BD$33,IF(Calculation!DR92=78,Worksheet!$BD$34,IF(Calculation!DR92=90,Worksheet!$BD$35,IF(Calculation!DR92=102,Worksheet!$BD$36,Worksheet!$BD$37)))))))),IF(Calculation!DS92=12.5,IF(Calculation!DR92=18,Worksheet!$BD$38,IF(Calculation!DR92=Worksheet!$BD$39,IF(Calculation!DR92=42,Worksheet!$BD$40,IF(Calculation!DR92=54,Worksheet!$BD$41,Worksheet!$BD$42)))),IF(Calculation!DR92=18,Worksheet!$BD$11,IF(Calculation!DR92=30,Worksheet!$BD$12,IF(Calculation!DR92=42,Worksheet!$BD$13,IF(Calculation!DR92=54,Worksheet!$BD$14,IF(Calculation!DR92=66,Worksheet!$BD$15,IF(Calculation!DR92=78,Worksheet!$BD$16,IF(Calculation!DR92=90,Worksheet!$BD$17,IF(Calculation!DR92=102,Worksheet!$BD$18,Worksheet!$BD$19))))))))))),IF(Calculation!DS92=13.75,IF(Calculation!DR92=13,Worksheet!$BD$78,IF(Calculation!DR92=37,Worksheet!$BD$79,Worksheet!$BD$80)),IF(Calculation!DS92=10,IF(Calculation!DR92=18,Worksheet!$BD$64,IF(Calculation!DR92=30,Worksheet!$BD$65,IF(Calculation!DR92=42,Worksheet!$BD$66,IF(Calculation!DR92=54,Worksheet!$BD$68,IF(Calculation!DR92=66,Worksheet!$BD$68,IF(Calculation!DR92=78,Worksheet!$BD$69,IF(Calculation!DR92=90,Worksheet!$BD$70,IF(Calculation!DR92=102,Worksheet!$BD$71,Worksheet!$BD$72)))))))),IF(Calculation!DS92=12.5,IF(Calculation!DR92=18,Worksheet!$BD$73,IF(Calculation!DR92=Worksheet!$BD$74,IF(Calculation!DR92=42,Worksheet!$BD$75,IF(Calculation!DR92=54,Worksheet!$BD$76,Worksheet!$BD$77)))),IF(Calculation!DR92=18,Worksheet!$BD$55,IF(Calculation!DR92=30,Worksheet!$BD$56,IF(Calculation!DR92=42,Worksheet!$BD$57,IF(Calculation!DR92=54,Worksheet!$BD$58,IF(Calculation!DR92=66,Worksheet!$BD$59,IF(Calculation!DR92=78,Worksheet!$BD$60,IF(Calculation!DR92=90,Worksheet!$BD$61,IF(Calculation!DR92=102,Worksheet!$BD$62,Worksheet!$BD$63)))))))))))),5),0)," ")</f>
        <v xml:space="preserve"> </v>
      </c>
      <c r="EG92" s="361" t="str">
        <f t="shared" si="268"/>
        <v xml:space="preserve"> </v>
      </c>
      <c r="EH92" s="361" t="e">
        <f ca="1">INDEX(INDIRECT(VLOOKUP(LEFT(BO92,7),CLU!$Z$3:$AH$18,7)),M92-1,3+LEFT(DZ92,1))</f>
        <v>#N/A</v>
      </c>
      <c r="EI92" s="362" t="str">
        <f t="shared" si="269"/>
        <v xml:space="preserve"> </v>
      </c>
      <c r="EJ92" s="363" t="str">
        <f t="shared" si="270"/>
        <v xml:space="preserve"> </v>
      </c>
      <c r="EK92" s="363" t="str">
        <f t="shared" si="271"/>
        <v xml:space="preserve"> </v>
      </c>
      <c r="EL92" s="363" t="str">
        <f t="shared" si="272"/>
        <v xml:space="preserve"> </v>
      </c>
      <c r="EM92" s="362" t="str">
        <f>IF(L92&gt;0,IF(BR92&gt;0,(Calculation!T92/ED92)^2,0)," ")</f>
        <v xml:space="preserve"> </v>
      </c>
      <c r="EN92" s="362" t="str">
        <f>IF(L92&gt;0,IF(O92="2 Pipe (Cooling)","N/A",IF(BR92&gt;0,(Calculation!U92/EI92)^2,0))," ")</f>
        <v xml:space="preserve"> </v>
      </c>
      <c r="EO92" s="361" t="str">
        <f t="shared" si="273"/>
        <v/>
      </c>
      <c r="EP92" s="361" t="str">
        <f t="shared" si="274"/>
        <v/>
      </c>
      <c r="EQ92" s="361" t="str">
        <f t="shared" si="275"/>
        <v/>
      </c>
      <c r="ER92" s="361" t="str">
        <f t="shared" si="276"/>
        <v/>
      </c>
      <c r="ES92" s="361" t="str">
        <f t="shared" si="277"/>
        <v/>
      </c>
      <c r="ET92" s="361" t="str">
        <f t="shared" si="278"/>
        <v/>
      </c>
      <c r="EU92" s="361" t="str">
        <f t="shared" si="279"/>
        <v/>
      </c>
      <c r="EV92" s="361" t="str">
        <f t="shared" si="280"/>
        <v/>
      </c>
      <c r="EW92" s="361" t="str">
        <f t="shared" si="281"/>
        <v/>
      </c>
      <c r="EX92" s="361" t="str">
        <f t="shared" si="371"/>
        <v>1 slot, 1 way</v>
      </c>
      <c r="EY92" s="361" t="str">
        <f t="shared" si="372"/>
        <v xml:space="preserve"> </v>
      </c>
      <c r="EZ92" s="361" t="str">
        <f t="shared" si="373"/>
        <v xml:space="preserve"> </v>
      </c>
      <c r="FA92" s="361" t="str">
        <f t="shared" si="374"/>
        <v xml:space="preserve"> </v>
      </c>
      <c r="FB92" s="361" t="str">
        <f t="shared" si="375"/>
        <v xml:space="preserve"> </v>
      </c>
      <c r="FC92" s="361"/>
      <c r="FD92" s="361" t="str">
        <f>IF(J92&gt;0,IF(Calculation!R92&lt;=70,4,IF(Calculation!R92&lt;=110,5,IF(Calculation!R92&lt;=160,6,IF(Calculation!R92&lt;=300,8,"10 EO")))),"")</f>
        <v/>
      </c>
      <c r="FE92" s="361" t="str">
        <f t="shared" si="376"/>
        <v/>
      </c>
      <c r="FF92" s="361" t="str">
        <f t="shared" si="377"/>
        <v/>
      </c>
      <c r="FG92" s="361" t="e">
        <f t="shared" si="282"/>
        <v>#N/A</v>
      </c>
      <c r="FH92" s="361">
        <f t="shared" si="283"/>
        <v>0</v>
      </c>
      <c r="FI92" s="361" t="e">
        <f t="shared" si="284"/>
        <v>#DIV/0!</v>
      </c>
      <c r="FJ92" s="361"/>
      <c r="FK92" s="356" t="e">
        <f t="shared" si="285"/>
        <v>#VALUE!</v>
      </c>
      <c r="FL92" s="361"/>
      <c r="FM92" s="361"/>
      <c r="FN92" s="362" t="str">
        <f t="shared" si="378"/>
        <v xml:space="preserve"> </v>
      </c>
      <c r="FO92" s="362" t="str">
        <f t="shared" si="379"/>
        <v xml:space="preserve"> </v>
      </c>
      <c r="FP92" s="362">
        <f t="shared" si="380"/>
        <v>0</v>
      </c>
      <c r="FQ92" s="361">
        <f t="shared" si="286"/>
        <v>0</v>
      </c>
      <c r="FR92" s="362" t="str">
        <f>IF(L92&gt;0,IF(J92="CBAL2",Worksheet!$P$67,IF(J92="CBE2-24",Worksheet!$Q$67,IF(J92="CBAM",Worksheet!$R$67,IF(J92="CBLV",Worksheet!$S$67,IF(J92="CBAB",Worksheet!$U$67,IF(J92="CBAW",Worksheet!$X$67,IF(J92="CBE2-12",Worksheet!$Y$67,IF(J92="CBAL2",Worksheet!$Z$67,"N/A"))))))))," ")</f>
        <v xml:space="preserve"> </v>
      </c>
      <c r="FS92" s="362" t="str">
        <f>IF(L92&gt;0,IF(J92="CBAL2",Worksheet!$P$68,IF(J92="CBE2-24",Worksheet!$Q$68,IF(J92="CBAM",Worksheet!$R$68,IF(J92="CBLV",Worksheet!$S$68,IF(J92="CBAB",Worksheet!$U$68,IF(J92="CBAW",Worksheet!$X$68,IF(J92="CBE2-12",Worksheet!$Y$68,IF(J92="CBAL2",Worksheet!$Z$68,"N/A"))))))))," ")</f>
        <v xml:space="preserve"> </v>
      </c>
      <c r="FT92" s="362" t="str">
        <f>IF(L92&gt;0,IF(J92="CBAL2",Worksheet!$P$69,IF(J92="CBE2-24",Worksheet!$Q$69,IF(J92="CBAM",Worksheet!$R$69,IF(J92="CBLV",Worksheet!$S$69,IF(J92="CBAB",Worksheet!$U$69,IF(J92="CBAW",Worksheet!$X$69,IF(J92="CBE2-12",Worksheet!$Y$69,IF(J92="CBAL2",Worksheet!$Z$69,"N/A"))))))))," ")</f>
        <v xml:space="preserve"> </v>
      </c>
      <c r="FU92" s="361" t="str">
        <f t="shared" si="381"/>
        <v xml:space="preserve"> </v>
      </c>
      <c r="FV92" s="362" t="str">
        <f t="shared" si="382"/>
        <v xml:space="preserve"> </v>
      </c>
      <c r="FW92" s="362" t="str">
        <f t="shared" si="383"/>
        <v xml:space="preserve"> </v>
      </c>
      <c r="FX92" s="362" t="str">
        <f t="shared" si="384"/>
        <v xml:space="preserve"> </v>
      </c>
      <c r="FY92" s="355" t="str">
        <f t="shared" si="385"/>
        <v xml:space="preserve"> </v>
      </c>
      <c r="FZ92" s="361" t="str">
        <f t="shared" si="386"/>
        <v xml:space="preserve"> </v>
      </c>
      <c r="GA92" s="347" t="str">
        <f t="shared" si="387"/>
        <v xml:space="preserve"> </v>
      </c>
      <c r="GB92" s="355" t="str">
        <f t="shared" si="388"/>
        <v xml:space="preserve"> </v>
      </c>
      <c r="GC92" s="328" t="str">
        <f t="shared" si="389"/>
        <v xml:space="preserve"> </v>
      </c>
      <c r="GD92" s="361" t="str">
        <f t="shared" si="390"/>
        <v xml:space="preserve"> </v>
      </c>
      <c r="GE92" s="347" t="str">
        <f t="shared" si="391"/>
        <v xml:space="preserve"> </v>
      </c>
      <c r="GF92" s="361" t="str">
        <f t="shared" si="392"/>
        <v xml:space="preserve"> </v>
      </c>
      <c r="GG92" s="347" t="str">
        <f t="shared" si="393"/>
        <v xml:space="preserve"> </v>
      </c>
      <c r="GH92" s="364">
        <f t="shared" si="287"/>
        <v>0</v>
      </c>
      <c r="GI92" s="362">
        <f t="shared" si="394"/>
        <v>2</v>
      </c>
      <c r="GJ92" s="433" t="e">
        <f>IF(6-COUNTBLANK(GT92:GY92)=4,MATCH(MID(BO92,9,3),CLU!$H$16:$K$16),MATCH(MID(BO92,9,3),CLU!$H$13:$M$13))</f>
        <v>#N/A</v>
      </c>
      <c r="GK92" s="433" t="e">
        <f>HLOOKUP(VALUE(BP92),CLU!$H$9:$M$10,2)</f>
        <v>#VALUE!</v>
      </c>
      <c r="GL92" s="433" t="e">
        <f ca="1">MATCH(BU92,CLU!$H$2:$V$2,1)</f>
        <v>#VALUE!</v>
      </c>
      <c r="GM92" s="433" t="e">
        <f t="shared" ca="1" si="395"/>
        <v>#VALUE!</v>
      </c>
      <c r="GN92" s="433" t="e">
        <f t="shared" ca="1" si="396"/>
        <v>#VALUE!</v>
      </c>
      <c r="GO92" s="433" t="e">
        <f t="shared" ca="1" si="397"/>
        <v>#VALUE!</v>
      </c>
      <c r="GP92" s="433" t="e">
        <f t="shared" ca="1" si="398"/>
        <v>#VALUE!</v>
      </c>
      <c r="GQ92" s="433" t="e">
        <f t="shared" ca="1" si="399"/>
        <v>#VALUE!</v>
      </c>
      <c r="GR92" s="433" t="e">
        <f ca="1">MATCH(T92,INDIRECT(VLOOKUP(CONCATENATE(LEFT(BO92,7),"-",MID(BO92,13,1)),CLU!$P$3:$Q$16,2)),1)</f>
        <v>#N/A</v>
      </c>
      <c r="GS92" s="433" t="e">
        <f ca="1">MATCH(U92,INDIRECT(VLOOKUP(CONCATENATE(LEFT(BO92,7),"-",MID(BO92,13,1)),CLU!$P$3:$Q$16,2)),1)</f>
        <v>#N/A</v>
      </c>
      <c r="GT92" s="347" t="s">
        <v>512</v>
      </c>
      <c r="GU92" s="97" t="s">
        <v>513</v>
      </c>
      <c r="GV92" s="97" t="str">
        <f t="shared" si="400"/>
        <v>M23</v>
      </c>
      <c r="GW92" s="97" t="str">
        <f t="shared" si="401"/>
        <v>M31</v>
      </c>
      <c r="GX92" s="97" t="str">
        <f t="shared" si="402"/>
        <v/>
      </c>
      <c r="GY92" s="97" t="str">
        <f t="shared" si="403"/>
        <v/>
      </c>
      <c r="GZ92" s="481"/>
      <c r="HA92" s="288"/>
      <c r="HB92" s="240"/>
      <c r="HC92" s="240"/>
      <c r="HD92" s="240"/>
      <c r="HE92" s="240"/>
      <c r="HF92" s="240"/>
      <c r="HG92" s="240"/>
      <c r="HH92" s="240"/>
      <c r="HI92" s="240"/>
      <c r="HJ92" s="240"/>
      <c r="HK92" s="240"/>
      <c r="HL92" s="240"/>
      <c r="HM92" s="240"/>
      <c r="HN92" s="240"/>
      <c r="HO92" s="240"/>
      <c r="HP92" s="240"/>
      <c r="HQ92" s="240"/>
      <c r="HR92" s="240"/>
      <c r="HS92" s="240"/>
      <c r="HT92" s="240"/>
      <c r="HU92" s="240"/>
      <c r="HV92" s="245"/>
      <c r="HW92" s="245" t="b">
        <v>1</v>
      </c>
      <c r="HX92" s="245" t="str">
        <f t="shared" si="288"/>
        <v/>
      </c>
      <c r="HY92" s="245" t="e">
        <f t="shared" si="289"/>
        <v>#DIV/0!</v>
      </c>
      <c r="HZ92" s="245" t="e">
        <f t="shared" si="290"/>
        <v>#DIV/0!</v>
      </c>
      <c r="IA92" s="245">
        <f t="shared" si="291"/>
        <v>0</v>
      </c>
      <c r="IB92" s="245"/>
      <c r="IC92" t="b">
        <f t="shared" si="292"/>
        <v>1</v>
      </c>
      <c r="ID92" s="245" t="b">
        <f t="shared" si="293"/>
        <v>1</v>
      </c>
      <c r="IE92" s="245" t="b">
        <f t="shared" si="294"/>
        <v>1</v>
      </c>
      <c r="IF92" s="245" t="b">
        <f t="shared" si="295"/>
        <v>0</v>
      </c>
      <c r="IG92" s="245" t="b">
        <f t="shared" si="296"/>
        <v>1</v>
      </c>
      <c r="IH92" s="245" t="b">
        <f t="shared" si="297"/>
        <v>1</v>
      </c>
      <c r="II92" s="245">
        <f t="shared" si="404"/>
        <v>0</v>
      </c>
      <c r="IJ92" s="245" t="e">
        <f t="shared" si="298"/>
        <v>#VALUE!</v>
      </c>
      <c r="IK92" s="245" t="e">
        <f t="shared" si="299"/>
        <v>#VALUE!</v>
      </c>
      <c r="IL92" s="245"/>
      <c r="IM92" s="245" t="e">
        <f t="shared" si="405"/>
        <v>#N/A</v>
      </c>
      <c r="IN92" s="245" t="e">
        <f t="shared" si="406"/>
        <v>#N/A</v>
      </c>
      <c r="IO92" s="245"/>
      <c r="IP92" s="245"/>
      <c r="IQ92" s="245" t="str">
        <f t="shared" si="300"/>
        <v/>
      </c>
      <c r="IR92" s="245" t="str">
        <f>IF(J92="","",VLOOKUP(J92,Worksheet!$R$4:$T$14,2))</f>
        <v/>
      </c>
      <c r="IS92" s="245"/>
      <c r="IT92" s="245">
        <f t="shared" si="301"/>
        <v>0</v>
      </c>
      <c r="IU92" s="245">
        <f t="shared" si="302"/>
        <v>0</v>
      </c>
      <c r="IV92" s="245">
        <f t="shared" si="303"/>
        <v>0</v>
      </c>
      <c r="IW92" s="245">
        <f t="shared" si="304"/>
        <v>0</v>
      </c>
      <c r="IX92" s="245">
        <f t="shared" si="407"/>
        <v>0</v>
      </c>
      <c r="IY92" s="245">
        <f t="shared" si="305"/>
        <v>0</v>
      </c>
      <c r="IZ92" s="245">
        <f t="shared" si="306"/>
        <v>0</v>
      </c>
      <c r="JA92">
        <f t="shared" si="307"/>
        <v>0</v>
      </c>
      <c r="JB92">
        <f t="shared" si="408"/>
        <v>0</v>
      </c>
      <c r="JC92">
        <f t="shared" si="308"/>
        <v>0</v>
      </c>
      <c r="JD92">
        <f t="shared" si="309"/>
        <v>0</v>
      </c>
      <c r="JE92">
        <f t="shared" si="310"/>
        <v>0</v>
      </c>
      <c r="JF92">
        <f t="shared" si="311"/>
        <v>0</v>
      </c>
      <c r="JG92">
        <f t="shared" si="312"/>
        <v>0</v>
      </c>
      <c r="JH92">
        <f t="shared" si="313"/>
        <v>0</v>
      </c>
      <c r="JI92">
        <f t="shared" si="314"/>
        <v>0</v>
      </c>
      <c r="JJ92" s="447">
        <f t="shared" si="315"/>
        <v>0</v>
      </c>
      <c r="JK92" s="447">
        <f t="shared" si="316"/>
        <v>0</v>
      </c>
      <c r="JL92">
        <f t="shared" si="317"/>
        <v>0</v>
      </c>
      <c r="JM92" s="245" t="str">
        <f>IFERROR(VLOOKUP(MATCH(BN92,#REF!,0),#REF!,7),"")</f>
        <v/>
      </c>
      <c r="JN92" t="e">
        <f>HLOOKUP(LEFT(BO92,7),Discharge_Area,MATCH(JO92,LookUps!$B$130:$B$149,1)+2)</f>
        <v>#N/A</v>
      </c>
      <c r="JO92" t="str">
        <f t="shared" si="318"/>
        <v>- S</v>
      </c>
      <c r="JP92" t="e">
        <f>HLOOKUP(LEFT(BO92,7),Discharge_Area,MATCH(JO92,LookUps!$B$130:$B$149,1)+2)</f>
        <v>#N/A</v>
      </c>
      <c r="JQ92" t="e">
        <f t="shared" si="319"/>
        <v>#N/A</v>
      </c>
      <c r="JR92" t="e">
        <f t="shared" si="320"/>
        <v>#N/A</v>
      </c>
      <c r="JS92" t="e">
        <f t="shared" si="321"/>
        <v>#N/A</v>
      </c>
      <c r="JT92" s="532" t="str">
        <f t="shared" si="322"/>
        <v xml:space="preserve"> </v>
      </c>
      <c r="JU92" s="532" t="str">
        <f t="shared" si="323"/>
        <v xml:space="preserve"> </v>
      </c>
      <c r="JV92" s="533" t="str">
        <f t="shared" si="324"/>
        <v xml:space="preserve"> </v>
      </c>
      <c r="JW92" s="534">
        <f t="shared" si="325"/>
        <v>0</v>
      </c>
      <c r="JX92" s="535" t="str">
        <f t="shared" si="409"/>
        <v xml:space="preserve"> </v>
      </c>
      <c r="JY92" s="535" t="str">
        <f t="shared" si="410"/>
        <v xml:space="preserve"> </v>
      </c>
      <c r="JZ92" s="535" t="str">
        <f t="shared" si="411"/>
        <v xml:space="preserve"> </v>
      </c>
      <c r="KA92" s="536" t="str">
        <f t="shared" si="326"/>
        <v xml:space="preserve"> </v>
      </c>
      <c r="KB92" s="535" t="e">
        <f t="shared" si="412"/>
        <v>#VALUE!</v>
      </c>
      <c r="KC92" s="535" t="str">
        <f t="shared" si="327"/>
        <v/>
      </c>
      <c r="KD92" s="537" t="str">
        <f t="shared" si="413"/>
        <v xml:space="preserve"> </v>
      </c>
      <c r="KE92" s="537" t="str">
        <f t="shared" si="414"/>
        <v xml:space="preserve"> </v>
      </c>
      <c r="KF92" s="534">
        <f t="shared" si="328"/>
        <v>0</v>
      </c>
      <c r="KG92" s="535" t="str">
        <f t="shared" si="329"/>
        <v xml:space="preserve"> </v>
      </c>
      <c r="KH92" s="535" t="str">
        <f t="shared" si="330"/>
        <v xml:space="preserve"> </v>
      </c>
      <c r="KI92" s="535" t="str">
        <f t="shared" si="331"/>
        <v xml:space="preserve"> </v>
      </c>
      <c r="KJ92" s="536" t="str">
        <f t="shared" si="332"/>
        <v xml:space="preserve"> </v>
      </c>
      <c r="KK92" s="535" t="str">
        <f t="shared" si="415"/>
        <v xml:space="preserve"> </v>
      </c>
      <c r="KL92" s="535" t="str">
        <f t="shared" si="416"/>
        <v xml:space="preserve"> </v>
      </c>
      <c r="KM92" s="537" t="str">
        <f t="shared" si="333"/>
        <v xml:space="preserve"> </v>
      </c>
      <c r="KN92" s="537" t="str">
        <f t="shared" si="417"/>
        <v xml:space="preserve"> </v>
      </c>
      <c r="KP92">
        <f t="shared" si="334"/>
        <v>0</v>
      </c>
      <c r="LA92" t="e">
        <f t="shared" si="335"/>
        <v>#VALUE!</v>
      </c>
      <c r="LB92" t="e">
        <f t="shared" si="336"/>
        <v>#VALUE!</v>
      </c>
      <c r="LC92" t="e">
        <f t="shared" si="337"/>
        <v>#VALUE!</v>
      </c>
      <c r="LD92" t="e">
        <f t="shared" si="338"/>
        <v>#VALUE!</v>
      </c>
      <c r="LE92" t="e">
        <f t="shared" si="418"/>
        <v>#VALUE!</v>
      </c>
      <c r="LF92">
        <f t="shared" si="339"/>
        <v>0</v>
      </c>
      <c r="LG92" t="e">
        <f t="shared" si="419"/>
        <v>#VALUE!</v>
      </c>
      <c r="LH92" t="str">
        <f t="shared" si="340"/>
        <v xml:space="preserve"> </v>
      </c>
      <c r="LI92">
        <f t="shared" si="420"/>
        <v>1</v>
      </c>
    </row>
    <row r="93" spans="2:321" ht="15" customHeight="1">
      <c r="B93" s="311"/>
      <c r="C93" s="311"/>
      <c r="D93" s="312"/>
      <c r="E93" s="311"/>
      <c r="F93" s="312"/>
      <c r="G93" s="311"/>
      <c r="H93" s="311"/>
      <c r="I93" s="37"/>
      <c r="J93" s="311"/>
      <c r="K93" s="305" t="str">
        <f t="shared" si="341"/>
        <v/>
      </c>
      <c r="L93" s="313"/>
      <c r="M93" s="312"/>
      <c r="N93" s="311"/>
      <c r="O93" s="312"/>
      <c r="P93" s="311"/>
      <c r="Q93" s="305" t="str">
        <f t="shared" si="342"/>
        <v/>
      </c>
      <c r="R93" s="314"/>
      <c r="S93" s="450" t="str">
        <f t="shared" si="225"/>
        <v/>
      </c>
      <c r="T93" s="315"/>
      <c r="U93" s="315"/>
      <c r="W93" s="149" t="str">
        <f t="shared" si="226"/>
        <v xml:space="preserve"> </v>
      </c>
      <c r="X93" s="243" t="str">
        <f t="shared" si="227"/>
        <v xml:space="preserve"> </v>
      </c>
      <c r="Y93" s="150" t="str">
        <f t="shared" si="228"/>
        <v/>
      </c>
      <c r="Z93" s="149" t="str">
        <f t="shared" si="229"/>
        <v xml:space="preserve"> </v>
      </c>
      <c r="AA93" s="98" t="str">
        <f t="shared" si="230"/>
        <v xml:space="preserve"> </v>
      </c>
      <c r="AB93" s="153" t="str">
        <f t="shared" si="231"/>
        <v xml:space="preserve"> </v>
      </c>
      <c r="AC93" s="153" t="str">
        <f t="shared" si="232"/>
        <v xml:space="preserve"> </v>
      </c>
      <c r="AD93" s="148" t="str">
        <f t="shared" si="233"/>
        <v/>
      </c>
      <c r="AE93" s="149" t="str">
        <f t="shared" si="234"/>
        <v/>
      </c>
      <c r="AF93" s="151" t="str">
        <f t="shared" si="235"/>
        <v xml:space="preserve"> </v>
      </c>
      <c r="AG93" s="153" t="str">
        <f t="shared" si="236"/>
        <v xml:space="preserve"> </v>
      </c>
      <c r="AH93" s="98" t="str">
        <f t="shared" si="237"/>
        <v xml:space="preserve"> </v>
      </c>
      <c r="AI93" s="149" t="str">
        <f t="shared" si="238"/>
        <v xml:space="preserve"> </v>
      </c>
      <c r="AK93" s="144" t="str">
        <f t="shared" si="239"/>
        <v xml:space="preserve"> </v>
      </c>
      <c r="AL93" s="144"/>
      <c r="AM93" s="243" t="str">
        <f t="shared" si="240"/>
        <v xml:space="preserve"> </v>
      </c>
      <c r="AN93" s="149" t="str">
        <f t="shared" si="343"/>
        <v xml:space="preserve"> </v>
      </c>
      <c r="AO93" s="144" t="str">
        <f>IF(JB93&gt;0,IF(GI93=10,-R93*1.085*(Calculation!$F$6-Calculation!$F$13)*$S$14," "),"")</f>
        <v/>
      </c>
      <c r="AP93" s="144" t="str">
        <f t="shared" si="241"/>
        <v/>
      </c>
      <c r="AQ93" s="56" t="str">
        <f t="shared" si="242"/>
        <v/>
      </c>
      <c r="AR93" s="144" t="str">
        <f t="shared" si="243"/>
        <v/>
      </c>
      <c r="AS93" s="176" t="str">
        <f t="shared" si="244"/>
        <v/>
      </c>
      <c r="AT93" s="176" t="str">
        <f t="shared" si="344"/>
        <v xml:space="preserve"> </v>
      </c>
      <c r="AU93" s="176" t="str">
        <f t="shared" si="245"/>
        <v/>
      </c>
      <c r="AV93" s="177" t="str">
        <f t="shared" si="246"/>
        <v xml:space="preserve"> </v>
      </c>
      <c r="AW93" s="144" t="str">
        <f t="shared" si="247"/>
        <v xml:space="preserve"> </v>
      </c>
      <c r="AX93" s="144" t="str">
        <f t="shared" si="248"/>
        <v xml:space="preserve"> </v>
      </c>
      <c r="AY93" s="152" t="str">
        <f t="shared" si="249"/>
        <v xml:space="preserve"> </v>
      </c>
      <c r="AZ93" s="246" t="str">
        <f t="shared" si="250"/>
        <v/>
      </c>
      <c r="BA93" s="176" t="str">
        <f t="shared" si="251"/>
        <v xml:space="preserve"> </v>
      </c>
      <c r="BB93" s="176" t="str">
        <f t="shared" si="252"/>
        <v xml:space="preserve"> </v>
      </c>
      <c r="BC93" s="195"/>
      <c r="BD93" s="316"/>
      <c r="BE93" s="317"/>
      <c r="BF93" s="318"/>
      <c r="BG93" s="318"/>
      <c r="BH93" s="144" t="str">
        <f t="shared" si="421"/>
        <v xml:space="preserve"> </v>
      </c>
      <c r="BI93" s="176" t="str">
        <f t="shared" si="253"/>
        <v/>
      </c>
      <c r="BJ93" s="144" t="str">
        <f t="shared" si="422"/>
        <v/>
      </c>
      <c r="BK93" s="246" t="str">
        <f t="shared" si="254"/>
        <v/>
      </c>
      <c r="BL93" s="144" t="str">
        <f t="shared" si="423"/>
        <v/>
      </c>
      <c r="BM93" s="246" t="str">
        <f t="shared" si="255"/>
        <v/>
      </c>
      <c r="BN93" s="337" t="str">
        <f t="shared" si="345"/>
        <v/>
      </c>
      <c r="BO93" s="371" t="str">
        <f t="shared" si="346"/>
        <v/>
      </c>
      <c r="BP93" s="328" t="str">
        <f t="shared" si="424"/>
        <v xml:space="preserve"> </v>
      </c>
      <c r="BQ93" s="347" t="str">
        <f t="shared" si="347"/>
        <v xml:space="preserve"> </v>
      </c>
      <c r="BR93" s="353" t="str">
        <f t="shared" si="348"/>
        <v xml:space="preserve"> </v>
      </c>
      <c r="BS93" s="626" t="str">
        <f>IF(L93&gt;0,IF(Calculation!P93="M13",BR93*3.1416*(0.134^2)/(4*144),IF(Calculation!P93="M17",BR93*3.1416*(0.165^2)/(4*144),IF(Calculation!P93="M20",BR93*3.1416*(0.198^2)/(4*144),IF(Calculation!P93="M23",BR93*3.1416*(0.228^2)/(4*144),IF(Calculation!P93="M27",BR93*3.1416*(0.269^2)/(4*144),BR93*3.1416*(0.307^2)/(4*144))))))," ")</f>
        <v xml:space="preserve"> </v>
      </c>
      <c r="BT93" s="353" t="str">
        <f>IF(L93&gt;0,IF(BS93&gt;0,R93/Calculation!BS93,0)," ")</f>
        <v xml:space="preserve"> </v>
      </c>
      <c r="BU93" s="438" t="e">
        <f t="shared" ca="1" si="256"/>
        <v>#VALUE!</v>
      </c>
      <c r="BV93" s="449" t="e">
        <f ca="1">INDEX(INDIRECT(VLOOKUP(LEFT(BO93,7),CLU!$Z$3:$AH$18,2)),GN93,GR93)</f>
        <v>#N/A</v>
      </c>
      <c r="BW93" s="433" t="e">
        <f ca="1">INDEX(INDIRECT(VLOOKUP(LEFT(BO93,7),CLU!$Z$3:$AH$18,3)),GN93,GR93)</f>
        <v>#N/A</v>
      </c>
      <c r="BX93" s="433" t="e">
        <f ca="1">INDEX(INDIRECT(VLOOKUP(LEFT(BO93,7),CLU!$Z$3:$AH$18,4)),GN93,GR93)</f>
        <v>#N/A</v>
      </c>
      <c r="BY93" s="433" t="e">
        <f ca="1">INDEX(INDIRECT(VLOOKUP(LEFT(BO93,7),CLU!$Z$3:$AH$18,9)),((M93-2)*(6-COUNTBLANK(GT93:GY93)))+GJ93)</f>
        <v>#N/A</v>
      </c>
      <c r="BZ93" s="426" t="e">
        <f t="shared" ca="1" si="349"/>
        <v>#N/A</v>
      </c>
      <c r="CA93" s="424" t="e">
        <f t="shared" ca="1" si="350"/>
        <v>#N/A</v>
      </c>
      <c r="CB93" s="429" t="e">
        <f ca="1">INDEX(INDIRECT(VLOOKUP(LEFT(BO93,7),CLU!$Z$3:$AH$18,2)),GN93,GS93)</f>
        <v>#N/A</v>
      </c>
      <c r="CC93" s="342" t="e">
        <f ca="1">INDEX(INDIRECT(VLOOKUP(LEFT(BO93,7),CLU!$Z$3:$AH$18,3)),GN93,GS93)</f>
        <v>#N/A</v>
      </c>
      <c r="CD93" s="342" t="e">
        <f ca="1">INDEX(INDIRECT(VLOOKUP(LEFT(BO93,7),CLU!$Z$3:$AH$18,4)),GN93,GS93)</f>
        <v>#N/A</v>
      </c>
      <c r="CE93" s="426" t="e">
        <f t="shared" ca="1" si="351"/>
        <v>#N/A</v>
      </c>
      <c r="CF93" s="440">
        <f t="shared" si="352"/>
        <v>0</v>
      </c>
      <c r="CG93" s="431" t="e">
        <f ca="1">INDEX(INDIRECT(VLOOKUP(LEFT(BO93,7),CLU!$Z$3:$AH$18,2)),GQ93,GR93)</f>
        <v>#N/A</v>
      </c>
      <c r="CH93" s="431" t="e">
        <f ca="1">INDEX(INDIRECT(VLOOKUP(LEFT(BO93,7),CLU!$Z$3:$AH$18,3)),GQ93,GR93)</f>
        <v>#N/A</v>
      </c>
      <c r="CI93" s="431" t="e">
        <f ca="1">INDEX(INDIRECT(VLOOKUP(LEFT(BO93,7),CLU!$Z$3:$AH$18,4)),GQ93,GR93)</f>
        <v>#N/A</v>
      </c>
      <c r="CJ93" s="448" t="e">
        <f t="shared" ca="1" si="353"/>
        <v>#N/A</v>
      </c>
      <c r="CK93" s="431" t="e">
        <f t="shared" ca="1" si="354"/>
        <v>#N/A</v>
      </c>
      <c r="CL93" s="440" t="e">
        <f t="shared" ca="1" si="355"/>
        <v>#N/A</v>
      </c>
      <c r="CM93" s="431" t="e">
        <f ca="1">INDEX(INDIRECT(VLOOKUP(LEFT(BO93,7),CLU!$Z$3:$AH$18,2)),GQ93,GS93)</f>
        <v>#N/A</v>
      </c>
      <c r="CN93" s="431" t="e">
        <f ca="1">INDEX(INDIRECT(VLOOKUP(LEFT(BO93,7),CLU!$Z$3:$AH$18,3)),GQ93,GS93)</f>
        <v>#N/A</v>
      </c>
      <c r="CO93" s="431" t="e">
        <f ca="1">INDEX(INDIRECT(VLOOKUP(LEFT(BO93,7),CLU!$Z$3:$AH$18,4)),GQ93,GS93)</f>
        <v>#N/A</v>
      </c>
      <c r="CP93" s="431" t="e">
        <f t="shared" ca="1" si="356"/>
        <v>#N/A</v>
      </c>
      <c r="CQ93" s="440">
        <f t="shared" si="357"/>
        <v>0</v>
      </c>
      <c r="CR93" s="51" t="e">
        <f t="shared" ca="1" si="358"/>
        <v>#N/A</v>
      </c>
      <c r="CS93" s="439" t="e">
        <f t="shared" ca="1" si="359"/>
        <v>#VALUE!</v>
      </c>
      <c r="CT93" s="51" t="e">
        <f t="shared" ca="1" si="360"/>
        <v>#VALUE!</v>
      </c>
      <c r="CU93" s="10"/>
      <c r="CV93" s="51" t="e">
        <f t="shared" ca="1" si="257"/>
        <v>#VALUE!</v>
      </c>
      <c r="CW93" s="51">
        <f t="shared" si="361"/>
        <v>0</v>
      </c>
      <c r="CX93" s="439" t="e">
        <f t="shared" ca="1" si="362"/>
        <v>#VALUE!</v>
      </c>
      <c r="CY93" s="51" t="e">
        <f t="shared" ca="1" si="363"/>
        <v>#VALUE!</v>
      </c>
      <c r="CZ93" s="10"/>
      <c r="DA93" s="51" t="e">
        <f t="shared" ca="1" si="364"/>
        <v>#VALUE!</v>
      </c>
      <c r="DB93" s="347" t="e">
        <f ca="1">INDEX(INDIRECT(VLOOKUP(LEFT(BO93,7),CLU!$Z$3:$AI$18,10)),((M93-2)*(6-COUNTBLANK(GT93:GY93)))+GJ93)*LI93</f>
        <v>#N/A</v>
      </c>
      <c r="DC93" s="347" t="str">
        <f>IF(L93&gt;0,((R93/Worksheet!$I$15)/DB93)^2," ")</f>
        <v xml:space="preserve"> </v>
      </c>
      <c r="DD93" s="602" t="str">
        <f t="shared" si="365"/>
        <v xml:space="preserve"> </v>
      </c>
      <c r="DE93" s="347" t="str">
        <f t="shared" si="258"/>
        <v xml:space="preserve"> </v>
      </c>
      <c r="DF93" s="356" t="e">
        <f ca="1">INDEX(INDIRECT(VLOOKUP(LEFT(BO93,7),CLU!$Z$3:$AH$18,8)),((M93-2)*(6-COUNTBLANK(GT93:GY93)))+GJ93)</f>
        <v>#N/A</v>
      </c>
      <c r="DG93" s="347" t="str">
        <f t="shared" si="259"/>
        <v xml:space="preserve"> </v>
      </c>
      <c r="DH93" s="357" t="str">
        <f t="shared" si="260"/>
        <v xml:space="preserve"> </v>
      </c>
      <c r="DI93" s="355" t="str">
        <f t="shared" si="261"/>
        <v xml:space="preserve"> </v>
      </c>
      <c r="DJ93" s="245" t="e">
        <f ca="1">INDEX(INDIRECT(VLOOKUP(LEFT(BO93,7),CLU!$Z$3:$AH$18,5)),GL93,GK93)</f>
        <v>#N/A</v>
      </c>
      <c r="DK93" s="245" t="e">
        <f ca="1">INDEX(INDIRECT(VLOOKUP(LEFT(BO93,7),CLU!$Z$3:$AH$18,6)),GL93,GK93)</f>
        <v>#N/A</v>
      </c>
      <c r="DL93" s="355">
        <f>(Calculation!R93*0.69143*(Calculation!$BQ$8-Calculation!$F$8))*$S$14</f>
        <v>0</v>
      </c>
      <c r="DM93" s="359" t="e">
        <f t="shared" si="366"/>
        <v>#VALUE!</v>
      </c>
      <c r="DN93" s="611">
        <f t="shared" si="367"/>
        <v>0</v>
      </c>
      <c r="DO93" s="359">
        <f t="shared" si="368"/>
        <v>100</v>
      </c>
      <c r="DP93" s="359">
        <f t="shared" si="369"/>
        <v>0</v>
      </c>
      <c r="DQ93" s="360"/>
      <c r="DR93" s="245" t="e">
        <f ca="1">INDEX(INDIRECT(VLOOKUP(LEFT(BO93,7),CLU!$Z$3:$AH$18,7)),M93-1,1)</f>
        <v>#N/A</v>
      </c>
      <c r="DS93" s="245" t="e">
        <f ca="1">INDEX(INDIRECT(VLOOKUP(LEFT(BO93,7),CLU!$Z$3:$AH$18,7)),M93-1,2)</f>
        <v>#N/A</v>
      </c>
      <c r="DT93" s="245" t="e">
        <f ca="1">INDEX(INDIRECT(VLOOKUP(LEFT(BO93,7),CLU!$Z$3:$AH$18,7)),M93-1,3)</f>
        <v>#N/A</v>
      </c>
      <c r="DU93" s="245" t="e">
        <f ca="1">INDEX(INDIRECT(VLOOKUP(LEFT(BO93,7),CLU!$Z$3:$AH$18,7)),M93-1,4)</f>
        <v>#N/A</v>
      </c>
      <c r="DV93" s="361" t="e">
        <f ca="1">INDEX(INDIRECT(VLOOKUP(LEFT(BO93,7),CLU!$Z$3:$AH$18,7)),M93-1,4+LEFT(DZ93,1)*0.5)</f>
        <v>#N/A</v>
      </c>
      <c r="DW93" s="245" t="e">
        <f ca="1">INDEX(INDIRECT(VLOOKUP(LEFT(BO93,7),CLU!$Z$3:$AH$18,7)),M93-1,8)</f>
        <v>#N/A</v>
      </c>
      <c r="DX93" s="361" t="str">
        <f t="shared" si="262"/>
        <v xml:space="preserve"> </v>
      </c>
      <c r="DY93" s="361" t="str">
        <f t="shared" si="263"/>
        <v xml:space="preserve"> </v>
      </c>
      <c r="DZ93" s="361" t="str">
        <f t="shared" si="264"/>
        <v xml:space="preserve"> </v>
      </c>
      <c r="EA93" s="362" t="str">
        <f t="shared" si="265"/>
        <v xml:space="preserve"> </v>
      </c>
      <c r="EB93" s="624" t="str">
        <f t="shared" si="370"/>
        <v xml:space="preserve"> </v>
      </c>
      <c r="EC93" s="361" t="e">
        <f ca="1">INDEX(INDIRECT(VLOOKUP(LEFT(BO93,7),CLU!$Z$3:$AH$18,7)),M93-1,4+LEFT(DZ93,1)*0.5)</f>
        <v>#N/A</v>
      </c>
      <c r="ED93" s="362" t="str">
        <f t="shared" si="266"/>
        <v xml:space="preserve"> </v>
      </c>
      <c r="EE93" s="361" t="str">
        <f t="shared" si="267"/>
        <v xml:space="preserve"> </v>
      </c>
      <c r="EF93" s="362" t="str">
        <f>IF(L93&gt;0,IF(BR93&gt;0,IF(EE93="2P",IF(Calculation!DZ93="2P",IF(Calculation!DS93=13.75,IF(Calculation!DR93=13,Worksheet!$BD$43,IF(Calculation!DR93=37,Worksheet!$BD$44,Worksheet!$BD$45)),IF(Calculation!DS93=10,IF(Calculation!DR93=18,Worksheet!$BD$29,IF(Calculation!DR93=30,Worksheet!$BD$30,IF(Calculation!DR93=42,Worksheet!$BD$31,IF(Calculation!DR93=54,Worksheet!$BD$32,IF(Calculation!DR93=66,Worksheet!$BD$33,IF(Calculation!DR93=78,Worksheet!$BD$34,IF(Calculation!DR93=90,Worksheet!$BD$35,IF(Calculation!DR93=102,Worksheet!$BD$36,Worksheet!$BD$37)))))))),IF(Calculation!DS93=12.5,IF(Calculation!DR93=18,Worksheet!$BD$38,IF(Calculation!DR93=Worksheet!$BD$39,IF(Calculation!DR93=42,Worksheet!$BD$40,IF(Calculation!DR93=54,Worksheet!$BD$41,Worksheet!$BD$42)))),IF(Calculation!DR93=18,Worksheet!$BD$11,IF(Calculation!DR93=30,Worksheet!$BD$12,IF(Calculation!DR93=42,Worksheet!$BD$13,IF(Calculation!DR93=54,Worksheet!$BD$14,IF(Calculation!DR93=66,Worksheet!$BD$15,IF(Calculation!DR93=78,Worksheet!$BD$16,IF(Calculation!DR93=90,Worksheet!$BD$17,IF(Calculation!DR93=102,Worksheet!$BD$18,Worksheet!$BD$19))))))))))),IF(Calculation!DS93=13.75,IF(Calculation!DR93=13,Worksheet!$BD$78,IF(Calculation!DR93=37,Worksheet!$BD$79,Worksheet!$BD$80)),IF(Calculation!DS93=10,IF(Calculation!DR93=18,Worksheet!$BD$64,IF(Calculation!DR93=30,Worksheet!$BD$65,IF(Calculation!DR93=42,Worksheet!$BD$66,IF(Calculation!DR93=54,Worksheet!$BD$68,IF(Calculation!DR93=66,Worksheet!$BD$68,IF(Calculation!DR93=78,Worksheet!$BD$69,IF(Calculation!DR93=90,Worksheet!$BD$70,IF(Calculation!DR93=102,Worksheet!$BD$71,Worksheet!$BD$72)))))))),IF(Calculation!DS93=12.5,IF(Calculation!DR93=18,Worksheet!$BD$73,IF(Calculation!DR93=Worksheet!$BD$74,IF(Calculation!DR93=42,Worksheet!$BD$75,IF(Calculation!DR93=54,Worksheet!$BD$76,Worksheet!$BD$77)))),IF(Calculation!DR93=18,Worksheet!$BD$55,IF(Calculation!DR93=30,Worksheet!$BD$56,IF(Calculation!DR93=42,Worksheet!$BD$57,IF(Calculation!DR93=54,Worksheet!$BD$58,IF(Calculation!DR93=66,Worksheet!$BD$59,IF(Calculation!DR93=78,Worksheet!$BD$60,IF(Calculation!DR93=90,Worksheet!$BD$61,IF(Calculation!DR93=102,Worksheet!$BD$62,Worksheet!$BD$63)))))))))))),5),0)," ")</f>
        <v xml:space="preserve"> </v>
      </c>
      <c r="EG93" s="361" t="str">
        <f t="shared" si="268"/>
        <v xml:space="preserve"> </v>
      </c>
      <c r="EH93" s="361" t="e">
        <f ca="1">INDEX(INDIRECT(VLOOKUP(LEFT(BO93,7),CLU!$Z$3:$AH$18,7)),M93-1,3+LEFT(DZ93,1))</f>
        <v>#N/A</v>
      </c>
      <c r="EI93" s="362" t="str">
        <f t="shared" si="269"/>
        <v xml:space="preserve"> </v>
      </c>
      <c r="EJ93" s="363" t="str">
        <f t="shared" si="270"/>
        <v xml:space="preserve"> </v>
      </c>
      <c r="EK93" s="363" t="str">
        <f t="shared" si="271"/>
        <v xml:space="preserve"> </v>
      </c>
      <c r="EL93" s="363" t="str">
        <f t="shared" si="272"/>
        <v xml:space="preserve"> </v>
      </c>
      <c r="EM93" s="362" t="str">
        <f>IF(L93&gt;0,IF(BR93&gt;0,(Calculation!T93/ED93)^2,0)," ")</f>
        <v xml:space="preserve"> </v>
      </c>
      <c r="EN93" s="362" t="str">
        <f>IF(L93&gt;0,IF(O93="2 Pipe (Cooling)","N/A",IF(BR93&gt;0,(Calculation!U93/EI93)^2,0))," ")</f>
        <v xml:space="preserve"> </v>
      </c>
      <c r="EO93" s="361" t="str">
        <f t="shared" si="273"/>
        <v/>
      </c>
      <c r="EP93" s="361" t="str">
        <f t="shared" si="274"/>
        <v/>
      </c>
      <c r="EQ93" s="361" t="str">
        <f t="shared" si="275"/>
        <v/>
      </c>
      <c r="ER93" s="361" t="str">
        <f t="shared" si="276"/>
        <v/>
      </c>
      <c r="ES93" s="361" t="str">
        <f t="shared" si="277"/>
        <v/>
      </c>
      <c r="ET93" s="361" t="str">
        <f t="shared" si="278"/>
        <v/>
      </c>
      <c r="EU93" s="361" t="str">
        <f t="shared" si="279"/>
        <v/>
      </c>
      <c r="EV93" s="361" t="str">
        <f t="shared" si="280"/>
        <v/>
      </c>
      <c r="EW93" s="361" t="str">
        <f t="shared" si="281"/>
        <v/>
      </c>
      <c r="EX93" s="361" t="str">
        <f t="shared" si="371"/>
        <v>1 slot, 1 way</v>
      </c>
      <c r="EY93" s="361" t="str">
        <f t="shared" si="372"/>
        <v xml:space="preserve"> </v>
      </c>
      <c r="EZ93" s="361" t="str">
        <f t="shared" si="373"/>
        <v xml:space="preserve"> </v>
      </c>
      <c r="FA93" s="361" t="str">
        <f t="shared" si="374"/>
        <v xml:space="preserve"> </v>
      </c>
      <c r="FB93" s="361" t="str">
        <f t="shared" si="375"/>
        <v xml:space="preserve"> </v>
      </c>
      <c r="FC93" s="361"/>
      <c r="FD93" s="361" t="str">
        <f>IF(J93&gt;0,IF(Calculation!R93&lt;=70,4,IF(Calculation!R93&lt;=110,5,IF(Calculation!R93&lt;=160,6,IF(Calculation!R93&lt;=300,8,"10 EO")))),"")</f>
        <v/>
      </c>
      <c r="FE93" s="361" t="str">
        <f t="shared" si="376"/>
        <v/>
      </c>
      <c r="FF93" s="361" t="str">
        <f t="shared" si="377"/>
        <v/>
      </c>
      <c r="FG93" s="361" t="e">
        <f t="shared" si="282"/>
        <v>#N/A</v>
      </c>
      <c r="FH93" s="361">
        <f t="shared" si="283"/>
        <v>0</v>
      </c>
      <c r="FI93" s="361" t="e">
        <f t="shared" si="284"/>
        <v>#DIV/0!</v>
      </c>
      <c r="FJ93" s="361"/>
      <c r="FK93" s="356" t="e">
        <f t="shared" si="285"/>
        <v>#VALUE!</v>
      </c>
      <c r="FL93" s="361"/>
      <c r="FM93" s="361"/>
      <c r="FN93" s="362" t="str">
        <f t="shared" si="378"/>
        <v xml:space="preserve"> </v>
      </c>
      <c r="FO93" s="362" t="str">
        <f t="shared" si="379"/>
        <v xml:space="preserve"> </v>
      </c>
      <c r="FP93" s="362">
        <f t="shared" si="380"/>
        <v>0</v>
      </c>
      <c r="FQ93" s="361">
        <f t="shared" si="286"/>
        <v>0</v>
      </c>
      <c r="FR93" s="362" t="str">
        <f>IF(L93&gt;0,IF(J93="CBAL2",Worksheet!$P$67,IF(J93="CBE2-24",Worksheet!$Q$67,IF(J93="CBAM",Worksheet!$R$67,IF(J93="CBLV",Worksheet!$S$67,IF(J93="CBAB",Worksheet!$U$67,IF(J93="CBAW",Worksheet!$X$67,IF(J93="CBE2-12",Worksheet!$Y$67,IF(J93="CBAL2",Worksheet!$Z$67,"N/A"))))))))," ")</f>
        <v xml:space="preserve"> </v>
      </c>
      <c r="FS93" s="362" t="str">
        <f>IF(L93&gt;0,IF(J93="CBAL2",Worksheet!$P$68,IF(J93="CBE2-24",Worksheet!$Q$68,IF(J93="CBAM",Worksheet!$R$68,IF(J93="CBLV",Worksheet!$S$68,IF(J93="CBAB",Worksheet!$U$68,IF(J93="CBAW",Worksheet!$X$68,IF(J93="CBE2-12",Worksheet!$Y$68,IF(J93="CBAL2",Worksheet!$Z$68,"N/A"))))))))," ")</f>
        <v xml:space="preserve"> </v>
      </c>
      <c r="FT93" s="362" t="str">
        <f>IF(L93&gt;0,IF(J93="CBAL2",Worksheet!$P$69,IF(J93="CBE2-24",Worksheet!$Q$69,IF(J93="CBAM",Worksheet!$R$69,IF(J93="CBLV",Worksheet!$S$69,IF(J93="CBAB",Worksheet!$U$69,IF(J93="CBAW",Worksheet!$X$69,IF(J93="CBE2-12",Worksheet!$Y$69,IF(J93="CBAL2",Worksheet!$Z$69,"N/A"))))))))," ")</f>
        <v xml:space="preserve"> </v>
      </c>
      <c r="FU93" s="361" t="str">
        <f t="shared" si="381"/>
        <v xml:space="preserve"> </v>
      </c>
      <c r="FV93" s="362" t="str">
        <f t="shared" si="382"/>
        <v xml:space="preserve"> </v>
      </c>
      <c r="FW93" s="362" t="str">
        <f t="shared" si="383"/>
        <v xml:space="preserve"> </v>
      </c>
      <c r="FX93" s="362" t="str">
        <f t="shared" si="384"/>
        <v xml:space="preserve"> </v>
      </c>
      <c r="FY93" s="355" t="str">
        <f t="shared" si="385"/>
        <v xml:space="preserve"> </v>
      </c>
      <c r="FZ93" s="361" t="str">
        <f t="shared" si="386"/>
        <v xml:space="preserve"> </v>
      </c>
      <c r="GA93" s="347" t="str">
        <f t="shared" si="387"/>
        <v xml:space="preserve"> </v>
      </c>
      <c r="GB93" s="355" t="str">
        <f t="shared" si="388"/>
        <v xml:space="preserve"> </v>
      </c>
      <c r="GC93" s="328" t="str">
        <f t="shared" si="389"/>
        <v xml:space="preserve"> </v>
      </c>
      <c r="GD93" s="361" t="str">
        <f t="shared" si="390"/>
        <v xml:space="preserve"> </v>
      </c>
      <c r="GE93" s="347" t="str">
        <f t="shared" si="391"/>
        <v xml:space="preserve"> </v>
      </c>
      <c r="GF93" s="361" t="str">
        <f t="shared" si="392"/>
        <v xml:space="preserve"> </v>
      </c>
      <c r="GG93" s="347" t="str">
        <f t="shared" si="393"/>
        <v xml:space="preserve"> </v>
      </c>
      <c r="GH93" s="364">
        <f t="shared" si="287"/>
        <v>0</v>
      </c>
      <c r="GI93" s="362">
        <f t="shared" si="394"/>
        <v>2</v>
      </c>
      <c r="GJ93" s="433" t="e">
        <f>IF(6-COUNTBLANK(GT93:GY93)=4,MATCH(MID(BO93,9,3),CLU!$H$16:$K$16),MATCH(MID(BO93,9,3),CLU!$H$13:$M$13))</f>
        <v>#N/A</v>
      </c>
      <c r="GK93" s="433" t="e">
        <f>HLOOKUP(VALUE(BP93),CLU!$H$9:$M$10,2)</f>
        <v>#VALUE!</v>
      </c>
      <c r="GL93" s="433" t="e">
        <f ca="1">MATCH(BU93,CLU!$H$2:$V$2,1)</f>
        <v>#VALUE!</v>
      </c>
      <c r="GM93" s="433" t="e">
        <f t="shared" ca="1" si="395"/>
        <v>#VALUE!</v>
      </c>
      <c r="GN93" s="433" t="e">
        <f t="shared" ca="1" si="396"/>
        <v>#VALUE!</v>
      </c>
      <c r="GO93" s="433" t="e">
        <f t="shared" ca="1" si="397"/>
        <v>#VALUE!</v>
      </c>
      <c r="GP93" s="433" t="e">
        <f t="shared" ca="1" si="398"/>
        <v>#VALUE!</v>
      </c>
      <c r="GQ93" s="433" t="e">
        <f t="shared" ca="1" si="399"/>
        <v>#VALUE!</v>
      </c>
      <c r="GR93" s="433" t="e">
        <f ca="1">MATCH(T93,INDIRECT(VLOOKUP(CONCATENATE(LEFT(BO93,7),"-",MID(BO93,13,1)),CLU!$P$3:$Q$16,2)),1)</f>
        <v>#N/A</v>
      </c>
      <c r="GS93" s="433" t="e">
        <f ca="1">MATCH(U93,INDIRECT(VLOOKUP(CONCATENATE(LEFT(BO93,7),"-",MID(BO93,13,1)),CLU!$P$3:$Q$16,2)),1)</f>
        <v>#N/A</v>
      </c>
      <c r="GT93" s="347" t="s">
        <v>512</v>
      </c>
      <c r="GU93" s="97" t="s">
        <v>513</v>
      </c>
      <c r="GV93" s="97" t="str">
        <f t="shared" si="400"/>
        <v>M23</v>
      </c>
      <c r="GW93" s="97" t="str">
        <f t="shared" si="401"/>
        <v>M31</v>
      </c>
      <c r="GX93" s="97" t="str">
        <f t="shared" si="402"/>
        <v/>
      </c>
      <c r="GY93" s="97" t="str">
        <f t="shared" si="403"/>
        <v/>
      </c>
      <c r="GZ93" s="481"/>
      <c r="HA93" s="288"/>
      <c r="HB93" s="240"/>
      <c r="HC93" s="240"/>
      <c r="HD93" s="240"/>
      <c r="HE93" s="240"/>
      <c r="HF93" s="240"/>
      <c r="HG93" s="240"/>
      <c r="HH93" s="240"/>
      <c r="HI93" s="240"/>
      <c r="HJ93" s="240"/>
      <c r="HK93" s="240"/>
      <c r="HL93" s="240"/>
      <c r="HM93" s="240"/>
      <c r="HN93" s="240"/>
      <c r="HO93" s="240"/>
      <c r="HP93" s="240"/>
      <c r="HQ93" s="240"/>
      <c r="HR93" s="240"/>
      <c r="HS93" s="240"/>
      <c r="HT93" s="240"/>
      <c r="HU93" s="240"/>
      <c r="HV93" s="245"/>
      <c r="HW93" s="245" t="b">
        <v>1</v>
      </c>
      <c r="HX93" s="245" t="str">
        <f t="shared" si="288"/>
        <v/>
      </c>
      <c r="HY93" s="245" t="e">
        <f t="shared" si="289"/>
        <v>#DIV/0!</v>
      </c>
      <c r="HZ93" s="245" t="e">
        <f t="shared" si="290"/>
        <v>#DIV/0!</v>
      </c>
      <c r="IA93" s="245">
        <f t="shared" si="291"/>
        <v>0</v>
      </c>
      <c r="IB93" s="245"/>
      <c r="IC93" t="b">
        <f t="shared" si="292"/>
        <v>1</v>
      </c>
      <c r="ID93" s="245" t="b">
        <f t="shared" si="293"/>
        <v>1</v>
      </c>
      <c r="IE93" s="245" t="b">
        <f t="shared" si="294"/>
        <v>1</v>
      </c>
      <c r="IF93" s="245" t="b">
        <f t="shared" si="295"/>
        <v>0</v>
      </c>
      <c r="IG93" s="245" t="b">
        <f t="shared" si="296"/>
        <v>1</v>
      </c>
      <c r="IH93" s="245" t="b">
        <f t="shared" si="297"/>
        <v>1</v>
      </c>
      <c r="II93" s="245">
        <f t="shared" si="404"/>
        <v>0</v>
      </c>
      <c r="IJ93" s="245" t="e">
        <f t="shared" si="298"/>
        <v>#VALUE!</v>
      </c>
      <c r="IK93" s="245" t="e">
        <f t="shared" si="299"/>
        <v>#VALUE!</v>
      </c>
      <c r="IL93" s="245"/>
      <c r="IM93" s="245" t="e">
        <f t="shared" si="405"/>
        <v>#N/A</v>
      </c>
      <c r="IN93" s="245" t="e">
        <f t="shared" si="406"/>
        <v>#N/A</v>
      </c>
      <c r="IO93" s="245"/>
      <c r="IP93" s="245"/>
      <c r="IQ93" s="245" t="str">
        <f t="shared" si="300"/>
        <v/>
      </c>
      <c r="IR93" s="245" t="str">
        <f>IF(J93="","",VLOOKUP(J93,Worksheet!$R$4:$T$14,2))</f>
        <v/>
      </c>
      <c r="IS93" s="245"/>
      <c r="IT93" s="245">
        <f t="shared" si="301"/>
        <v>0</v>
      </c>
      <c r="IU93" s="245">
        <f t="shared" si="302"/>
        <v>0</v>
      </c>
      <c r="IV93" s="245">
        <f t="shared" si="303"/>
        <v>0</v>
      </c>
      <c r="IW93" s="245">
        <f t="shared" si="304"/>
        <v>0</v>
      </c>
      <c r="IX93" s="245">
        <f t="shared" si="407"/>
        <v>0</v>
      </c>
      <c r="IY93" s="245">
        <f t="shared" si="305"/>
        <v>0</v>
      </c>
      <c r="IZ93" s="245">
        <f t="shared" si="306"/>
        <v>0</v>
      </c>
      <c r="JA93">
        <f t="shared" si="307"/>
        <v>0</v>
      </c>
      <c r="JB93">
        <f t="shared" si="408"/>
        <v>0</v>
      </c>
      <c r="JC93">
        <f t="shared" si="308"/>
        <v>0</v>
      </c>
      <c r="JD93">
        <f t="shared" si="309"/>
        <v>0</v>
      </c>
      <c r="JE93">
        <f t="shared" si="310"/>
        <v>0</v>
      </c>
      <c r="JF93">
        <f t="shared" si="311"/>
        <v>0</v>
      </c>
      <c r="JG93">
        <f t="shared" si="312"/>
        <v>0</v>
      </c>
      <c r="JH93">
        <f t="shared" si="313"/>
        <v>0</v>
      </c>
      <c r="JI93">
        <f t="shared" si="314"/>
        <v>0</v>
      </c>
      <c r="JJ93" s="447">
        <f t="shared" si="315"/>
        <v>0</v>
      </c>
      <c r="JK93" s="447">
        <f t="shared" si="316"/>
        <v>0</v>
      </c>
      <c r="JL93">
        <f t="shared" si="317"/>
        <v>0</v>
      </c>
      <c r="JM93" s="245" t="str">
        <f>IFERROR(VLOOKUP(MATCH(BN93,#REF!,0),#REF!,7),"")</f>
        <v/>
      </c>
      <c r="JN93" t="e">
        <f>HLOOKUP(LEFT(BO93,7),Discharge_Area,MATCH(JO93,LookUps!$B$130:$B$149,1)+2)</f>
        <v>#N/A</v>
      </c>
      <c r="JO93" t="str">
        <f t="shared" si="318"/>
        <v>- S</v>
      </c>
      <c r="JP93" t="e">
        <f>HLOOKUP(LEFT(BO93,7),Discharge_Area,MATCH(JO93,LookUps!$B$130:$B$149,1)+2)</f>
        <v>#N/A</v>
      </c>
      <c r="JQ93" t="e">
        <f t="shared" si="319"/>
        <v>#N/A</v>
      </c>
      <c r="JR93" t="e">
        <f t="shared" si="320"/>
        <v>#N/A</v>
      </c>
      <c r="JS93" t="e">
        <f t="shared" si="321"/>
        <v>#N/A</v>
      </c>
      <c r="JT93" s="532" t="str">
        <f t="shared" si="322"/>
        <v xml:space="preserve"> </v>
      </c>
      <c r="JU93" s="532" t="str">
        <f t="shared" si="323"/>
        <v xml:space="preserve"> </v>
      </c>
      <c r="JV93" s="533" t="str">
        <f t="shared" si="324"/>
        <v xml:space="preserve"> </v>
      </c>
      <c r="JW93" s="534">
        <f t="shared" si="325"/>
        <v>0</v>
      </c>
      <c r="JX93" s="535" t="str">
        <f t="shared" si="409"/>
        <v xml:space="preserve"> </v>
      </c>
      <c r="JY93" s="535" t="str">
        <f t="shared" si="410"/>
        <v xml:space="preserve"> </v>
      </c>
      <c r="JZ93" s="535" t="str">
        <f t="shared" si="411"/>
        <v xml:space="preserve"> </v>
      </c>
      <c r="KA93" s="536" t="str">
        <f t="shared" si="326"/>
        <v xml:space="preserve"> </v>
      </c>
      <c r="KB93" s="535" t="e">
        <f t="shared" si="412"/>
        <v>#VALUE!</v>
      </c>
      <c r="KC93" s="535" t="str">
        <f t="shared" si="327"/>
        <v/>
      </c>
      <c r="KD93" s="537" t="str">
        <f t="shared" si="413"/>
        <v xml:space="preserve"> </v>
      </c>
      <c r="KE93" s="537" t="str">
        <f t="shared" si="414"/>
        <v xml:space="preserve"> </v>
      </c>
      <c r="KF93" s="534">
        <f t="shared" si="328"/>
        <v>0</v>
      </c>
      <c r="KG93" s="535" t="str">
        <f t="shared" si="329"/>
        <v xml:space="preserve"> </v>
      </c>
      <c r="KH93" s="535" t="str">
        <f t="shared" si="330"/>
        <v xml:space="preserve"> </v>
      </c>
      <c r="KI93" s="535" t="str">
        <f t="shared" si="331"/>
        <v xml:space="preserve"> </v>
      </c>
      <c r="KJ93" s="536" t="str">
        <f t="shared" si="332"/>
        <v xml:space="preserve"> </v>
      </c>
      <c r="KK93" s="535" t="str">
        <f t="shared" si="415"/>
        <v xml:space="preserve"> </v>
      </c>
      <c r="KL93" s="535" t="str">
        <f t="shared" si="416"/>
        <v xml:space="preserve"> </v>
      </c>
      <c r="KM93" s="537" t="str">
        <f t="shared" si="333"/>
        <v xml:space="preserve"> </v>
      </c>
      <c r="KN93" s="537" t="str">
        <f t="shared" si="417"/>
        <v xml:space="preserve"> </v>
      </c>
      <c r="KP93">
        <f t="shared" si="334"/>
        <v>0</v>
      </c>
      <c r="LA93" t="e">
        <f t="shared" si="335"/>
        <v>#VALUE!</v>
      </c>
      <c r="LB93" t="e">
        <f t="shared" si="336"/>
        <v>#VALUE!</v>
      </c>
      <c r="LC93" t="e">
        <f t="shared" si="337"/>
        <v>#VALUE!</v>
      </c>
      <c r="LD93" t="e">
        <f t="shared" si="338"/>
        <v>#VALUE!</v>
      </c>
      <c r="LE93" t="e">
        <f t="shared" si="418"/>
        <v>#VALUE!</v>
      </c>
      <c r="LF93">
        <f t="shared" si="339"/>
        <v>0</v>
      </c>
      <c r="LG93" t="e">
        <f t="shared" si="419"/>
        <v>#VALUE!</v>
      </c>
      <c r="LH93" t="str">
        <f t="shared" si="340"/>
        <v xml:space="preserve"> </v>
      </c>
      <c r="LI93">
        <f t="shared" si="420"/>
        <v>1</v>
      </c>
    </row>
    <row r="94" spans="2:321" ht="15" customHeight="1">
      <c r="B94" s="311"/>
      <c r="C94" s="311"/>
      <c r="D94" s="312"/>
      <c r="E94" s="311"/>
      <c r="F94" s="312"/>
      <c r="G94" s="311"/>
      <c r="H94" s="311"/>
      <c r="I94" s="37"/>
      <c r="J94" s="311"/>
      <c r="K94" s="305" t="str">
        <f t="shared" si="341"/>
        <v/>
      </c>
      <c r="L94" s="313"/>
      <c r="M94" s="312"/>
      <c r="N94" s="311"/>
      <c r="O94" s="312"/>
      <c r="P94" s="311"/>
      <c r="Q94" s="305" t="str">
        <f t="shared" si="342"/>
        <v/>
      </c>
      <c r="R94" s="314"/>
      <c r="S94" s="450" t="str">
        <f t="shared" si="225"/>
        <v/>
      </c>
      <c r="T94" s="315"/>
      <c r="U94" s="315"/>
      <c r="W94" s="149" t="str">
        <f t="shared" si="226"/>
        <v xml:space="preserve"> </v>
      </c>
      <c r="X94" s="243" t="str">
        <f t="shared" si="227"/>
        <v xml:space="preserve"> </v>
      </c>
      <c r="Y94" s="150" t="str">
        <f t="shared" si="228"/>
        <v/>
      </c>
      <c r="Z94" s="149" t="str">
        <f t="shared" si="229"/>
        <v xml:space="preserve"> </v>
      </c>
      <c r="AA94" s="98" t="str">
        <f t="shared" si="230"/>
        <v xml:space="preserve"> </v>
      </c>
      <c r="AB94" s="153" t="str">
        <f t="shared" si="231"/>
        <v xml:space="preserve"> </v>
      </c>
      <c r="AC94" s="153" t="str">
        <f t="shared" si="232"/>
        <v xml:space="preserve"> </v>
      </c>
      <c r="AD94" s="148" t="str">
        <f t="shared" si="233"/>
        <v/>
      </c>
      <c r="AE94" s="149" t="str">
        <f t="shared" si="234"/>
        <v/>
      </c>
      <c r="AF94" s="151" t="str">
        <f t="shared" si="235"/>
        <v xml:space="preserve"> </v>
      </c>
      <c r="AG94" s="153" t="str">
        <f t="shared" si="236"/>
        <v xml:space="preserve"> </v>
      </c>
      <c r="AH94" s="98" t="str">
        <f t="shared" si="237"/>
        <v xml:space="preserve"> </v>
      </c>
      <c r="AI94" s="149" t="str">
        <f t="shared" si="238"/>
        <v xml:space="preserve"> </v>
      </c>
      <c r="AK94" s="144" t="str">
        <f t="shared" si="239"/>
        <v xml:space="preserve"> </v>
      </c>
      <c r="AL94" s="144"/>
      <c r="AM94" s="243" t="str">
        <f t="shared" si="240"/>
        <v xml:space="preserve"> </v>
      </c>
      <c r="AN94" s="149" t="str">
        <f t="shared" si="343"/>
        <v xml:space="preserve"> </v>
      </c>
      <c r="AO94" s="144" t="str">
        <f>IF(JB94&gt;0,IF(GI94=10,-R94*1.085*(Calculation!$F$6-Calculation!$F$13)*$S$14," "),"")</f>
        <v/>
      </c>
      <c r="AP94" s="144" t="str">
        <f t="shared" si="241"/>
        <v/>
      </c>
      <c r="AQ94" s="56" t="str">
        <f t="shared" si="242"/>
        <v/>
      </c>
      <c r="AR94" s="144" t="str">
        <f t="shared" si="243"/>
        <v/>
      </c>
      <c r="AS94" s="176" t="str">
        <f t="shared" si="244"/>
        <v/>
      </c>
      <c r="AT94" s="176" t="str">
        <f t="shared" si="344"/>
        <v xml:space="preserve"> </v>
      </c>
      <c r="AU94" s="176" t="str">
        <f t="shared" si="245"/>
        <v/>
      </c>
      <c r="AV94" s="177" t="str">
        <f t="shared" si="246"/>
        <v xml:space="preserve"> </v>
      </c>
      <c r="AW94" s="144" t="str">
        <f t="shared" si="247"/>
        <v xml:space="preserve"> </v>
      </c>
      <c r="AX94" s="144" t="str">
        <f t="shared" si="248"/>
        <v xml:space="preserve"> </v>
      </c>
      <c r="AY94" s="152" t="str">
        <f t="shared" si="249"/>
        <v xml:space="preserve"> </v>
      </c>
      <c r="AZ94" s="246" t="str">
        <f t="shared" si="250"/>
        <v/>
      </c>
      <c r="BA94" s="176" t="str">
        <f t="shared" si="251"/>
        <v xml:space="preserve"> </v>
      </c>
      <c r="BB94" s="176" t="str">
        <f t="shared" si="252"/>
        <v xml:space="preserve"> </v>
      </c>
      <c r="BC94" s="195"/>
      <c r="BD94" s="316"/>
      <c r="BE94" s="317"/>
      <c r="BF94" s="318"/>
      <c r="BG94" s="318"/>
      <c r="BH94" s="144" t="str">
        <f t="shared" si="421"/>
        <v xml:space="preserve"> </v>
      </c>
      <c r="BI94" s="176" t="str">
        <f t="shared" si="253"/>
        <v/>
      </c>
      <c r="BJ94" s="144" t="str">
        <f t="shared" si="422"/>
        <v/>
      </c>
      <c r="BK94" s="246" t="str">
        <f t="shared" si="254"/>
        <v/>
      </c>
      <c r="BL94" s="144" t="str">
        <f t="shared" si="423"/>
        <v/>
      </c>
      <c r="BM94" s="246" t="str">
        <f t="shared" si="255"/>
        <v/>
      </c>
      <c r="BN94" s="337" t="str">
        <f t="shared" si="345"/>
        <v/>
      </c>
      <c r="BO94" s="371" t="str">
        <f t="shared" si="346"/>
        <v/>
      </c>
      <c r="BP94" s="328" t="str">
        <f t="shared" si="424"/>
        <v xml:space="preserve"> </v>
      </c>
      <c r="BQ94" s="347" t="str">
        <f t="shared" si="347"/>
        <v xml:space="preserve"> </v>
      </c>
      <c r="BR94" s="353" t="str">
        <f t="shared" si="348"/>
        <v xml:space="preserve"> </v>
      </c>
      <c r="BS94" s="626" t="str">
        <f>IF(L94&gt;0,IF(Calculation!P94="M13",BR94*3.1416*(0.134^2)/(4*144),IF(Calculation!P94="M17",BR94*3.1416*(0.165^2)/(4*144),IF(Calculation!P94="M20",BR94*3.1416*(0.198^2)/(4*144),IF(Calculation!P94="M23",BR94*3.1416*(0.228^2)/(4*144),IF(Calculation!P94="M27",BR94*3.1416*(0.269^2)/(4*144),BR94*3.1416*(0.307^2)/(4*144))))))," ")</f>
        <v xml:space="preserve"> </v>
      </c>
      <c r="BT94" s="353" t="str">
        <f>IF(L94&gt;0,IF(BS94&gt;0,R94/Calculation!BS94,0)," ")</f>
        <v xml:space="preserve"> </v>
      </c>
      <c r="BU94" s="438" t="e">
        <f t="shared" ca="1" si="256"/>
        <v>#VALUE!</v>
      </c>
      <c r="BV94" s="449" t="e">
        <f ca="1">INDEX(INDIRECT(VLOOKUP(LEFT(BO94,7),CLU!$Z$3:$AH$18,2)),GN94,GR94)</f>
        <v>#N/A</v>
      </c>
      <c r="BW94" s="433" t="e">
        <f ca="1">INDEX(INDIRECT(VLOOKUP(LEFT(BO94,7),CLU!$Z$3:$AH$18,3)),GN94,GR94)</f>
        <v>#N/A</v>
      </c>
      <c r="BX94" s="433" t="e">
        <f ca="1">INDEX(INDIRECT(VLOOKUP(LEFT(BO94,7),CLU!$Z$3:$AH$18,4)),GN94,GR94)</f>
        <v>#N/A</v>
      </c>
      <c r="BY94" s="433" t="e">
        <f ca="1">INDEX(INDIRECT(VLOOKUP(LEFT(BO94,7),CLU!$Z$3:$AH$18,9)),((M94-2)*(6-COUNTBLANK(GT94:GY94)))+GJ94)</f>
        <v>#N/A</v>
      </c>
      <c r="BZ94" s="426" t="e">
        <f t="shared" ca="1" si="349"/>
        <v>#N/A</v>
      </c>
      <c r="CA94" s="424" t="e">
        <f t="shared" ca="1" si="350"/>
        <v>#N/A</v>
      </c>
      <c r="CB94" s="429" t="e">
        <f ca="1">INDEX(INDIRECT(VLOOKUP(LEFT(BO94,7),CLU!$Z$3:$AH$18,2)),GN94,GS94)</f>
        <v>#N/A</v>
      </c>
      <c r="CC94" s="342" t="e">
        <f ca="1">INDEX(INDIRECT(VLOOKUP(LEFT(BO94,7),CLU!$Z$3:$AH$18,3)),GN94,GS94)</f>
        <v>#N/A</v>
      </c>
      <c r="CD94" s="342" t="e">
        <f ca="1">INDEX(INDIRECT(VLOOKUP(LEFT(BO94,7),CLU!$Z$3:$AH$18,4)),GN94,GS94)</f>
        <v>#N/A</v>
      </c>
      <c r="CE94" s="426" t="e">
        <f t="shared" ca="1" si="351"/>
        <v>#N/A</v>
      </c>
      <c r="CF94" s="440">
        <f t="shared" si="352"/>
        <v>0</v>
      </c>
      <c r="CG94" s="431" t="e">
        <f ca="1">INDEX(INDIRECT(VLOOKUP(LEFT(BO94,7),CLU!$Z$3:$AH$18,2)),GQ94,GR94)</f>
        <v>#N/A</v>
      </c>
      <c r="CH94" s="431" t="e">
        <f ca="1">INDEX(INDIRECT(VLOOKUP(LEFT(BO94,7),CLU!$Z$3:$AH$18,3)),GQ94,GR94)</f>
        <v>#N/A</v>
      </c>
      <c r="CI94" s="431" t="e">
        <f ca="1">INDEX(INDIRECT(VLOOKUP(LEFT(BO94,7),CLU!$Z$3:$AH$18,4)),GQ94,GR94)</f>
        <v>#N/A</v>
      </c>
      <c r="CJ94" s="448" t="e">
        <f t="shared" ca="1" si="353"/>
        <v>#N/A</v>
      </c>
      <c r="CK94" s="431" t="e">
        <f t="shared" ca="1" si="354"/>
        <v>#N/A</v>
      </c>
      <c r="CL94" s="440" t="e">
        <f t="shared" ca="1" si="355"/>
        <v>#N/A</v>
      </c>
      <c r="CM94" s="431" t="e">
        <f ca="1">INDEX(INDIRECT(VLOOKUP(LEFT(BO94,7),CLU!$Z$3:$AH$18,2)),GQ94,GS94)</f>
        <v>#N/A</v>
      </c>
      <c r="CN94" s="431" t="e">
        <f ca="1">INDEX(INDIRECT(VLOOKUP(LEFT(BO94,7),CLU!$Z$3:$AH$18,3)),GQ94,GS94)</f>
        <v>#N/A</v>
      </c>
      <c r="CO94" s="431" t="e">
        <f ca="1">INDEX(INDIRECT(VLOOKUP(LEFT(BO94,7),CLU!$Z$3:$AH$18,4)),GQ94,GS94)</f>
        <v>#N/A</v>
      </c>
      <c r="CP94" s="431" t="e">
        <f t="shared" ca="1" si="356"/>
        <v>#N/A</v>
      </c>
      <c r="CQ94" s="440">
        <f t="shared" si="357"/>
        <v>0</v>
      </c>
      <c r="CR94" s="51" t="e">
        <f t="shared" ca="1" si="358"/>
        <v>#N/A</v>
      </c>
      <c r="CS94" s="439" t="e">
        <f t="shared" ca="1" si="359"/>
        <v>#VALUE!</v>
      </c>
      <c r="CT94" s="51" t="e">
        <f t="shared" ca="1" si="360"/>
        <v>#VALUE!</v>
      </c>
      <c r="CU94" s="10"/>
      <c r="CV94" s="51" t="e">
        <f t="shared" ca="1" si="257"/>
        <v>#VALUE!</v>
      </c>
      <c r="CW94" s="51">
        <f t="shared" si="361"/>
        <v>0</v>
      </c>
      <c r="CX94" s="439" t="e">
        <f t="shared" ca="1" si="362"/>
        <v>#VALUE!</v>
      </c>
      <c r="CY94" s="51" t="e">
        <f t="shared" ca="1" si="363"/>
        <v>#VALUE!</v>
      </c>
      <c r="CZ94" s="10"/>
      <c r="DA94" s="51" t="e">
        <f t="shared" ca="1" si="364"/>
        <v>#VALUE!</v>
      </c>
      <c r="DB94" s="347" t="e">
        <f ca="1">INDEX(INDIRECT(VLOOKUP(LEFT(BO94,7),CLU!$Z$3:$AI$18,10)),((M94-2)*(6-COUNTBLANK(GT94:GY94)))+GJ94)*LI94</f>
        <v>#N/A</v>
      </c>
      <c r="DC94" s="347" t="str">
        <f>IF(L94&gt;0,((R94/Worksheet!$I$15)/DB94)^2," ")</f>
        <v xml:space="preserve"> </v>
      </c>
      <c r="DD94" s="602" t="str">
        <f t="shared" si="365"/>
        <v xml:space="preserve"> </v>
      </c>
      <c r="DE94" s="347" t="str">
        <f t="shared" si="258"/>
        <v xml:space="preserve"> </v>
      </c>
      <c r="DF94" s="356" t="e">
        <f ca="1">INDEX(INDIRECT(VLOOKUP(LEFT(BO94,7),CLU!$Z$3:$AH$18,8)),((M94-2)*(6-COUNTBLANK(GT94:GY94)))+GJ94)</f>
        <v>#N/A</v>
      </c>
      <c r="DG94" s="347" t="str">
        <f t="shared" si="259"/>
        <v xml:space="preserve"> </v>
      </c>
      <c r="DH94" s="357" t="str">
        <f t="shared" si="260"/>
        <v xml:space="preserve"> </v>
      </c>
      <c r="DI94" s="355" t="str">
        <f t="shared" si="261"/>
        <v xml:space="preserve"> </v>
      </c>
      <c r="DJ94" s="245" t="e">
        <f ca="1">INDEX(INDIRECT(VLOOKUP(LEFT(BO94,7),CLU!$Z$3:$AH$18,5)),GL94,GK94)</f>
        <v>#N/A</v>
      </c>
      <c r="DK94" s="245" t="e">
        <f ca="1">INDEX(INDIRECT(VLOOKUP(LEFT(BO94,7),CLU!$Z$3:$AH$18,6)),GL94,GK94)</f>
        <v>#N/A</v>
      </c>
      <c r="DL94" s="355">
        <f>(Calculation!R94*0.69143*(Calculation!$BQ$8-Calculation!$F$8))*$S$14</f>
        <v>0</v>
      </c>
      <c r="DM94" s="359" t="e">
        <f t="shared" si="366"/>
        <v>#VALUE!</v>
      </c>
      <c r="DN94" s="611">
        <f t="shared" si="367"/>
        <v>0</v>
      </c>
      <c r="DO94" s="359">
        <f t="shared" si="368"/>
        <v>100</v>
      </c>
      <c r="DP94" s="359">
        <f t="shared" si="369"/>
        <v>0</v>
      </c>
      <c r="DQ94" s="360"/>
      <c r="DR94" s="245" t="e">
        <f ca="1">INDEX(INDIRECT(VLOOKUP(LEFT(BO94,7),CLU!$Z$3:$AH$18,7)),M94-1,1)</f>
        <v>#N/A</v>
      </c>
      <c r="DS94" s="245" t="e">
        <f ca="1">INDEX(INDIRECT(VLOOKUP(LEFT(BO94,7),CLU!$Z$3:$AH$18,7)),M94-1,2)</f>
        <v>#N/A</v>
      </c>
      <c r="DT94" s="245" t="e">
        <f ca="1">INDEX(INDIRECT(VLOOKUP(LEFT(BO94,7),CLU!$Z$3:$AH$18,7)),M94-1,3)</f>
        <v>#N/A</v>
      </c>
      <c r="DU94" s="245" t="e">
        <f ca="1">INDEX(INDIRECT(VLOOKUP(LEFT(BO94,7),CLU!$Z$3:$AH$18,7)),M94-1,4)</f>
        <v>#N/A</v>
      </c>
      <c r="DV94" s="361" t="e">
        <f ca="1">INDEX(INDIRECT(VLOOKUP(LEFT(BO94,7),CLU!$Z$3:$AH$18,7)),M94-1,4+LEFT(DZ94,1)*0.5)</f>
        <v>#N/A</v>
      </c>
      <c r="DW94" s="245" t="e">
        <f ca="1">INDEX(INDIRECT(VLOOKUP(LEFT(BO94,7),CLU!$Z$3:$AH$18,7)),M94-1,8)</f>
        <v>#N/A</v>
      </c>
      <c r="DX94" s="361" t="str">
        <f t="shared" si="262"/>
        <v xml:space="preserve"> </v>
      </c>
      <c r="DY94" s="361" t="str">
        <f t="shared" si="263"/>
        <v xml:space="preserve"> </v>
      </c>
      <c r="DZ94" s="361" t="str">
        <f t="shared" si="264"/>
        <v xml:space="preserve"> </v>
      </c>
      <c r="EA94" s="362" t="str">
        <f t="shared" si="265"/>
        <v xml:space="preserve"> </v>
      </c>
      <c r="EB94" s="624" t="str">
        <f t="shared" si="370"/>
        <v xml:space="preserve"> </v>
      </c>
      <c r="EC94" s="361" t="e">
        <f ca="1">INDEX(INDIRECT(VLOOKUP(LEFT(BO94,7),CLU!$Z$3:$AH$18,7)),M94-1,4+LEFT(DZ94,1)*0.5)</f>
        <v>#N/A</v>
      </c>
      <c r="ED94" s="362" t="str">
        <f t="shared" si="266"/>
        <v xml:space="preserve"> </v>
      </c>
      <c r="EE94" s="361" t="str">
        <f t="shared" si="267"/>
        <v xml:space="preserve"> </v>
      </c>
      <c r="EF94" s="362" t="str">
        <f>IF(L94&gt;0,IF(BR94&gt;0,IF(EE94="2P",IF(Calculation!DZ94="2P",IF(Calculation!DS94=13.75,IF(Calculation!DR94=13,Worksheet!$BD$43,IF(Calculation!DR94=37,Worksheet!$BD$44,Worksheet!$BD$45)),IF(Calculation!DS94=10,IF(Calculation!DR94=18,Worksheet!$BD$29,IF(Calculation!DR94=30,Worksheet!$BD$30,IF(Calculation!DR94=42,Worksheet!$BD$31,IF(Calculation!DR94=54,Worksheet!$BD$32,IF(Calculation!DR94=66,Worksheet!$BD$33,IF(Calculation!DR94=78,Worksheet!$BD$34,IF(Calculation!DR94=90,Worksheet!$BD$35,IF(Calculation!DR94=102,Worksheet!$BD$36,Worksheet!$BD$37)))))))),IF(Calculation!DS94=12.5,IF(Calculation!DR94=18,Worksheet!$BD$38,IF(Calculation!DR94=Worksheet!$BD$39,IF(Calculation!DR94=42,Worksheet!$BD$40,IF(Calculation!DR94=54,Worksheet!$BD$41,Worksheet!$BD$42)))),IF(Calculation!DR94=18,Worksheet!$BD$11,IF(Calculation!DR94=30,Worksheet!$BD$12,IF(Calculation!DR94=42,Worksheet!$BD$13,IF(Calculation!DR94=54,Worksheet!$BD$14,IF(Calculation!DR94=66,Worksheet!$BD$15,IF(Calculation!DR94=78,Worksheet!$BD$16,IF(Calculation!DR94=90,Worksheet!$BD$17,IF(Calculation!DR94=102,Worksheet!$BD$18,Worksheet!$BD$19))))))))))),IF(Calculation!DS94=13.75,IF(Calculation!DR94=13,Worksheet!$BD$78,IF(Calculation!DR94=37,Worksheet!$BD$79,Worksheet!$BD$80)),IF(Calculation!DS94=10,IF(Calculation!DR94=18,Worksheet!$BD$64,IF(Calculation!DR94=30,Worksheet!$BD$65,IF(Calculation!DR94=42,Worksheet!$BD$66,IF(Calculation!DR94=54,Worksheet!$BD$68,IF(Calculation!DR94=66,Worksheet!$BD$68,IF(Calculation!DR94=78,Worksheet!$BD$69,IF(Calculation!DR94=90,Worksheet!$BD$70,IF(Calculation!DR94=102,Worksheet!$BD$71,Worksheet!$BD$72)))))))),IF(Calculation!DS94=12.5,IF(Calculation!DR94=18,Worksheet!$BD$73,IF(Calculation!DR94=Worksheet!$BD$74,IF(Calculation!DR94=42,Worksheet!$BD$75,IF(Calculation!DR94=54,Worksheet!$BD$76,Worksheet!$BD$77)))),IF(Calculation!DR94=18,Worksheet!$BD$55,IF(Calculation!DR94=30,Worksheet!$BD$56,IF(Calculation!DR94=42,Worksheet!$BD$57,IF(Calculation!DR94=54,Worksheet!$BD$58,IF(Calculation!DR94=66,Worksheet!$BD$59,IF(Calculation!DR94=78,Worksheet!$BD$60,IF(Calculation!DR94=90,Worksheet!$BD$61,IF(Calculation!DR94=102,Worksheet!$BD$62,Worksheet!$BD$63)))))))))))),5),0)," ")</f>
        <v xml:space="preserve"> </v>
      </c>
      <c r="EG94" s="361" t="str">
        <f t="shared" si="268"/>
        <v xml:space="preserve"> </v>
      </c>
      <c r="EH94" s="361" t="e">
        <f ca="1">INDEX(INDIRECT(VLOOKUP(LEFT(BO94,7),CLU!$Z$3:$AH$18,7)),M94-1,3+LEFT(DZ94,1))</f>
        <v>#N/A</v>
      </c>
      <c r="EI94" s="362" t="str">
        <f t="shared" si="269"/>
        <v xml:space="preserve"> </v>
      </c>
      <c r="EJ94" s="363" t="str">
        <f t="shared" si="270"/>
        <v xml:space="preserve"> </v>
      </c>
      <c r="EK94" s="363" t="str">
        <f t="shared" si="271"/>
        <v xml:space="preserve"> </v>
      </c>
      <c r="EL94" s="363" t="str">
        <f t="shared" si="272"/>
        <v xml:space="preserve"> </v>
      </c>
      <c r="EM94" s="362" t="str">
        <f>IF(L94&gt;0,IF(BR94&gt;0,(Calculation!T94/ED94)^2,0)," ")</f>
        <v xml:space="preserve"> </v>
      </c>
      <c r="EN94" s="362" t="str">
        <f>IF(L94&gt;0,IF(O94="2 Pipe (Cooling)","N/A",IF(BR94&gt;0,(Calculation!U94/EI94)^2,0))," ")</f>
        <v xml:space="preserve"> </v>
      </c>
      <c r="EO94" s="361" t="str">
        <f t="shared" si="273"/>
        <v/>
      </c>
      <c r="EP94" s="361" t="str">
        <f t="shared" si="274"/>
        <v/>
      </c>
      <c r="EQ94" s="361" t="str">
        <f t="shared" si="275"/>
        <v/>
      </c>
      <c r="ER94" s="361" t="str">
        <f t="shared" si="276"/>
        <v/>
      </c>
      <c r="ES94" s="361" t="str">
        <f t="shared" si="277"/>
        <v/>
      </c>
      <c r="ET94" s="361" t="str">
        <f t="shared" si="278"/>
        <v/>
      </c>
      <c r="EU94" s="361" t="str">
        <f t="shared" si="279"/>
        <v/>
      </c>
      <c r="EV94" s="361" t="str">
        <f t="shared" si="280"/>
        <v/>
      </c>
      <c r="EW94" s="361" t="str">
        <f t="shared" si="281"/>
        <v/>
      </c>
      <c r="EX94" s="361" t="str">
        <f t="shared" si="371"/>
        <v>1 slot, 1 way</v>
      </c>
      <c r="EY94" s="361" t="str">
        <f t="shared" si="372"/>
        <v xml:space="preserve"> </v>
      </c>
      <c r="EZ94" s="361" t="str">
        <f t="shared" si="373"/>
        <v xml:space="preserve"> </v>
      </c>
      <c r="FA94" s="361" t="str">
        <f t="shared" si="374"/>
        <v xml:space="preserve"> </v>
      </c>
      <c r="FB94" s="361" t="str">
        <f t="shared" si="375"/>
        <v xml:space="preserve"> </v>
      </c>
      <c r="FC94" s="361"/>
      <c r="FD94" s="361" t="str">
        <f>IF(J94&gt;0,IF(Calculation!R94&lt;=70,4,IF(Calculation!R94&lt;=110,5,IF(Calculation!R94&lt;=160,6,IF(Calculation!R94&lt;=300,8,"10 EO")))),"")</f>
        <v/>
      </c>
      <c r="FE94" s="361" t="str">
        <f t="shared" si="376"/>
        <v/>
      </c>
      <c r="FF94" s="361" t="str">
        <f t="shared" si="377"/>
        <v/>
      </c>
      <c r="FG94" s="361" t="e">
        <f t="shared" si="282"/>
        <v>#N/A</v>
      </c>
      <c r="FH94" s="361">
        <f t="shared" si="283"/>
        <v>0</v>
      </c>
      <c r="FI94" s="361" t="e">
        <f t="shared" si="284"/>
        <v>#DIV/0!</v>
      </c>
      <c r="FJ94" s="361"/>
      <c r="FK94" s="356" t="e">
        <f t="shared" si="285"/>
        <v>#VALUE!</v>
      </c>
      <c r="FL94" s="361"/>
      <c r="FM94" s="361"/>
      <c r="FN94" s="362" t="str">
        <f t="shared" si="378"/>
        <v xml:space="preserve"> </v>
      </c>
      <c r="FO94" s="362" t="str">
        <f t="shared" si="379"/>
        <v xml:space="preserve"> </v>
      </c>
      <c r="FP94" s="362">
        <f t="shared" si="380"/>
        <v>0</v>
      </c>
      <c r="FQ94" s="361">
        <f t="shared" si="286"/>
        <v>0</v>
      </c>
      <c r="FR94" s="362" t="str">
        <f>IF(L94&gt;0,IF(J94="CBAL2",Worksheet!$P$67,IF(J94="CBE2-24",Worksheet!$Q$67,IF(J94="CBAM",Worksheet!$R$67,IF(J94="CBLV",Worksheet!$S$67,IF(J94="CBAB",Worksheet!$U$67,IF(J94="CBAW",Worksheet!$X$67,IF(J94="CBE2-12",Worksheet!$Y$67,IF(J94="CBAL2",Worksheet!$Z$67,"N/A"))))))))," ")</f>
        <v xml:space="preserve"> </v>
      </c>
      <c r="FS94" s="362" t="str">
        <f>IF(L94&gt;0,IF(J94="CBAL2",Worksheet!$P$68,IF(J94="CBE2-24",Worksheet!$Q$68,IF(J94="CBAM",Worksheet!$R$68,IF(J94="CBLV",Worksheet!$S$68,IF(J94="CBAB",Worksheet!$U$68,IF(J94="CBAW",Worksheet!$X$68,IF(J94="CBE2-12",Worksheet!$Y$68,IF(J94="CBAL2",Worksheet!$Z$68,"N/A"))))))))," ")</f>
        <v xml:space="preserve"> </v>
      </c>
      <c r="FT94" s="362" t="str">
        <f>IF(L94&gt;0,IF(J94="CBAL2",Worksheet!$P$69,IF(J94="CBE2-24",Worksheet!$Q$69,IF(J94="CBAM",Worksheet!$R$69,IF(J94="CBLV",Worksheet!$S$69,IF(J94="CBAB",Worksheet!$U$69,IF(J94="CBAW",Worksheet!$X$69,IF(J94="CBE2-12",Worksheet!$Y$69,IF(J94="CBAL2",Worksheet!$Z$69,"N/A"))))))))," ")</f>
        <v xml:space="preserve"> </v>
      </c>
      <c r="FU94" s="361" t="str">
        <f t="shared" si="381"/>
        <v xml:space="preserve"> </v>
      </c>
      <c r="FV94" s="362" t="str">
        <f t="shared" si="382"/>
        <v xml:space="preserve"> </v>
      </c>
      <c r="FW94" s="362" t="str">
        <f t="shared" si="383"/>
        <v xml:space="preserve"> </v>
      </c>
      <c r="FX94" s="362" t="str">
        <f t="shared" si="384"/>
        <v xml:space="preserve"> </v>
      </c>
      <c r="FY94" s="355" t="str">
        <f t="shared" si="385"/>
        <v xml:space="preserve"> </v>
      </c>
      <c r="FZ94" s="361" t="str">
        <f t="shared" si="386"/>
        <v xml:space="preserve"> </v>
      </c>
      <c r="GA94" s="347" t="str">
        <f t="shared" si="387"/>
        <v xml:space="preserve"> </v>
      </c>
      <c r="GB94" s="355" t="str">
        <f t="shared" si="388"/>
        <v xml:space="preserve"> </v>
      </c>
      <c r="GC94" s="328" t="str">
        <f t="shared" si="389"/>
        <v xml:space="preserve"> </v>
      </c>
      <c r="GD94" s="361" t="str">
        <f t="shared" si="390"/>
        <v xml:space="preserve"> </v>
      </c>
      <c r="GE94" s="347" t="str">
        <f t="shared" si="391"/>
        <v xml:space="preserve"> </v>
      </c>
      <c r="GF94" s="361" t="str">
        <f t="shared" si="392"/>
        <v xml:space="preserve"> </v>
      </c>
      <c r="GG94" s="347" t="str">
        <f t="shared" si="393"/>
        <v xml:space="preserve"> </v>
      </c>
      <c r="GH94" s="364">
        <f t="shared" si="287"/>
        <v>0</v>
      </c>
      <c r="GI94" s="362">
        <f t="shared" si="394"/>
        <v>2</v>
      </c>
      <c r="GJ94" s="433" t="e">
        <f>IF(6-COUNTBLANK(GT94:GY94)=4,MATCH(MID(BO94,9,3),CLU!$H$16:$K$16),MATCH(MID(BO94,9,3),CLU!$H$13:$M$13))</f>
        <v>#N/A</v>
      </c>
      <c r="GK94" s="433" t="e">
        <f>HLOOKUP(VALUE(BP94),CLU!$H$9:$M$10,2)</f>
        <v>#VALUE!</v>
      </c>
      <c r="GL94" s="433" t="e">
        <f ca="1">MATCH(BU94,CLU!$H$2:$V$2,1)</f>
        <v>#VALUE!</v>
      </c>
      <c r="GM94" s="433" t="e">
        <f t="shared" ca="1" si="395"/>
        <v>#VALUE!</v>
      </c>
      <c r="GN94" s="433" t="e">
        <f t="shared" ca="1" si="396"/>
        <v>#VALUE!</v>
      </c>
      <c r="GO94" s="433" t="e">
        <f t="shared" ca="1" si="397"/>
        <v>#VALUE!</v>
      </c>
      <c r="GP94" s="433" t="e">
        <f t="shared" ca="1" si="398"/>
        <v>#VALUE!</v>
      </c>
      <c r="GQ94" s="433" t="e">
        <f t="shared" ca="1" si="399"/>
        <v>#VALUE!</v>
      </c>
      <c r="GR94" s="433" t="e">
        <f ca="1">MATCH(T94,INDIRECT(VLOOKUP(CONCATENATE(LEFT(BO94,7),"-",MID(BO94,13,1)),CLU!$P$3:$Q$16,2)),1)</f>
        <v>#N/A</v>
      </c>
      <c r="GS94" s="433" t="e">
        <f ca="1">MATCH(U94,INDIRECT(VLOOKUP(CONCATENATE(LEFT(BO94,7),"-",MID(BO94,13,1)),CLU!$P$3:$Q$16,2)),1)</f>
        <v>#N/A</v>
      </c>
      <c r="GT94" s="347" t="s">
        <v>512</v>
      </c>
      <c r="GU94" s="97" t="s">
        <v>513</v>
      </c>
      <c r="GV94" s="97" t="str">
        <f t="shared" si="400"/>
        <v>M23</v>
      </c>
      <c r="GW94" s="97" t="str">
        <f t="shared" si="401"/>
        <v>M31</v>
      </c>
      <c r="GX94" s="97" t="str">
        <f t="shared" si="402"/>
        <v/>
      </c>
      <c r="GY94" s="97" t="str">
        <f t="shared" si="403"/>
        <v/>
      </c>
      <c r="GZ94" s="481"/>
      <c r="HA94" s="288"/>
      <c r="HB94" s="240"/>
      <c r="HC94" s="240"/>
      <c r="HD94" s="240"/>
      <c r="HE94" s="240"/>
      <c r="HF94" s="240"/>
      <c r="HG94" s="240"/>
      <c r="HH94" s="240"/>
      <c r="HI94" s="240"/>
      <c r="HJ94" s="240"/>
      <c r="HK94" s="240"/>
      <c r="HL94" s="240"/>
      <c r="HM94" s="240"/>
      <c r="HN94" s="240"/>
      <c r="HO94" s="240"/>
      <c r="HP94" s="240"/>
      <c r="HQ94" s="240"/>
      <c r="HR94" s="240"/>
      <c r="HS94" s="240"/>
      <c r="HT94" s="240"/>
      <c r="HU94" s="240"/>
      <c r="HV94" s="245"/>
      <c r="HW94" s="245" t="b">
        <v>1</v>
      </c>
      <c r="HX94" s="245" t="str">
        <f t="shared" si="288"/>
        <v/>
      </c>
      <c r="HY94" s="245" t="e">
        <f t="shared" si="289"/>
        <v>#DIV/0!</v>
      </c>
      <c r="HZ94" s="245" t="e">
        <f t="shared" si="290"/>
        <v>#DIV/0!</v>
      </c>
      <c r="IA94" s="245">
        <f t="shared" si="291"/>
        <v>0</v>
      </c>
      <c r="IB94" s="245"/>
      <c r="IC94" t="b">
        <f t="shared" si="292"/>
        <v>1</v>
      </c>
      <c r="ID94" s="245" t="b">
        <f t="shared" si="293"/>
        <v>1</v>
      </c>
      <c r="IE94" s="245" t="b">
        <f t="shared" si="294"/>
        <v>1</v>
      </c>
      <c r="IF94" s="245" t="b">
        <f t="shared" si="295"/>
        <v>0</v>
      </c>
      <c r="IG94" s="245" t="b">
        <f t="shared" si="296"/>
        <v>1</v>
      </c>
      <c r="IH94" s="245" t="b">
        <f t="shared" si="297"/>
        <v>1</v>
      </c>
      <c r="II94" s="245">
        <f t="shared" si="404"/>
        <v>0</v>
      </c>
      <c r="IJ94" s="245" t="e">
        <f t="shared" si="298"/>
        <v>#VALUE!</v>
      </c>
      <c r="IK94" s="245" t="e">
        <f t="shared" si="299"/>
        <v>#VALUE!</v>
      </c>
      <c r="IL94" s="245"/>
      <c r="IM94" s="245" t="e">
        <f t="shared" si="405"/>
        <v>#N/A</v>
      </c>
      <c r="IN94" s="245" t="e">
        <f t="shared" si="406"/>
        <v>#N/A</v>
      </c>
      <c r="IO94" s="245"/>
      <c r="IP94" s="245"/>
      <c r="IQ94" s="245" t="str">
        <f t="shared" si="300"/>
        <v/>
      </c>
      <c r="IR94" s="245" t="str">
        <f>IF(J94="","",VLOOKUP(J94,Worksheet!$R$4:$T$14,2))</f>
        <v/>
      </c>
      <c r="IS94" s="245"/>
      <c r="IT94" s="245">
        <f t="shared" si="301"/>
        <v>0</v>
      </c>
      <c r="IU94" s="245">
        <f t="shared" si="302"/>
        <v>0</v>
      </c>
      <c r="IV94" s="245">
        <f t="shared" si="303"/>
        <v>0</v>
      </c>
      <c r="IW94" s="245">
        <f t="shared" si="304"/>
        <v>0</v>
      </c>
      <c r="IX94" s="245">
        <f t="shared" si="407"/>
        <v>0</v>
      </c>
      <c r="IY94" s="245">
        <f t="shared" si="305"/>
        <v>0</v>
      </c>
      <c r="IZ94" s="245">
        <f t="shared" si="306"/>
        <v>0</v>
      </c>
      <c r="JA94">
        <f t="shared" si="307"/>
        <v>0</v>
      </c>
      <c r="JB94">
        <f t="shared" si="408"/>
        <v>0</v>
      </c>
      <c r="JC94">
        <f t="shared" si="308"/>
        <v>0</v>
      </c>
      <c r="JD94">
        <f t="shared" si="309"/>
        <v>0</v>
      </c>
      <c r="JE94">
        <f t="shared" si="310"/>
        <v>0</v>
      </c>
      <c r="JF94">
        <f t="shared" si="311"/>
        <v>0</v>
      </c>
      <c r="JG94">
        <f t="shared" si="312"/>
        <v>0</v>
      </c>
      <c r="JH94">
        <f t="shared" si="313"/>
        <v>0</v>
      </c>
      <c r="JI94">
        <f t="shared" si="314"/>
        <v>0</v>
      </c>
      <c r="JJ94" s="447">
        <f t="shared" si="315"/>
        <v>0</v>
      </c>
      <c r="JK94" s="447">
        <f t="shared" si="316"/>
        <v>0</v>
      </c>
      <c r="JL94">
        <f t="shared" si="317"/>
        <v>0</v>
      </c>
      <c r="JM94" s="245" t="str">
        <f>IFERROR(VLOOKUP(MATCH(BN94,#REF!,0),#REF!,7),"")</f>
        <v/>
      </c>
      <c r="JN94" t="e">
        <f>HLOOKUP(LEFT(BO94,7),Discharge_Area,MATCH(JO94,LookUps!$B$130:$B$149,1)+2)</f>
        <v>#N/A</v>
      </c>
      <c r="JO94" t="str">
        <f t="shared" si="318"/>
        <v>- S</v>
      </c>
      <c r="JP94" t="e">
        <f>HLOOKUP(LEFT(BO94,7),Discharge_Area,MATCH(JO94,LookUps!$B$130:$B$149,1)+2)</f>
        <v>#N/A</v>
      </c>
      <c r="JQ94" t="e">
        <f t="shared" si="319"/>
        <v>#N/A</v>
      </c>
      <c r="JR94" t="e">
        <f t="shared" si="320"/>
        <v>#N/A</v>
      </c>
      <c r="JS94" t="e">
        <f t="shared" si="321"/>
        <v>#N/A</v>
      </c>
      <c r="JT94" s="532" t="str">
        <f t="shared" si="322"/>
        <v xml:space="preserve"> </v>
      </c>
      <c r="JU94" s="532" t="str">
        <f t="shared" si="323"/>
        <v xml:space="preserve"> </v>
      </c>
      <c r="JV94" s="533" t="str">
        <f t="shared" si="324"/>
        <v xml:space="preserve"> </v>
      </c>
      <c r="JW94" s="534">
        <f t="shared" si="325"/>
        <v>0</v>
      </c>
      <c r="JX94" s="535" t="str">
        <f t="shared" si="409"/>
        <v xml:space="preserve"> </v>
      </c>
      <c r="JY94" s="535" t="str">
        <f t="shared" si="410"/>
        <v xml:space="preserve"> </v>
      </c>
      <c r="JZ94" s="535" t="str">
        <f t="shared" si="411"/>
        <v xml:space="preserve"> </v>
      </c>
      <c r="KA94" s="536" t="str">
        <f t="shared" si="326"/>
        <v xml:space="preserve"> </v>
      </c>
      <c r="KB94" s="535" t="e">
        <f t="shared" si="412"/>
        <v>#VALUE!</v>
      </c>
      <c r="KC94" s="535" t="str">
        <f t="shared" si="327"/>
        <v/>
      </c>
      <c r="KD94" s="537" t="str">
        <f t="shared" si="413"/>
        <v xml:space="preserve"> </v>
      </c>
      <c r="KE94" s="537" t="str">
        <f t="shared" si="414"/>
        <v xml:space="preserve"> </v>
      </c>
      <c r="KF94" s="534">
        <f t="shared" si="328"/>
        <v>0</v>
      </c>
      <c r="KG94" s="535" t="str">
        <f t="shared" si="329"/>
        <v xml:space="preserve"> </v>
      </c>
      <c r="KH94" s="535" t="str">
        <f t="shared" si="330"/>
        <v xml:space="preserve"> </v>
      </c>
      <c r="KI94" s="535" t="str">
        <f t="shared" si="331"/>
        <v xml:space="preserve"> </v>
      </c>
      <c r="KJ94" s="536" t="str">
        <f t="shared" si="332"/>
        <v xml:space="preserve"> </v>
      </c>
      <c r="KK94" s="535" t="str">
        <f t="shared" si="415"/>
        <v xml:space="preserve"> </v>
      </c>
      <c r="KL94" s="535" t="str">
        <f t="shared" si="416"/>
        <v xml:space="preserve"> </v>
      </c>
      <c r="KM94" s="537" t="str">
        <f t="shared" si="333"/>
        <v xml:space="preserve"> </v>
      </c>
      <c r="KN94" s="537" t="str">
        <f t="shared" si="417"/>
        <v xml:space="preserve"> </v>
      </c>
      <c r="KP94">
        <f t="shared" si="334"/>
        <v>0</v>
      </c>
      <c r="LA94" t="e">
        <f t="shared" si="335"/>
        <v>#VALUE!</v>
      </c>
      <c r="LB94" t="e">
        <f t="shared" si="336"/>
        <v>#VALUE!</v>
      </c>
      <c r="LC94" t="e">
        <f t="shared" si="337"/>
        <v>#VALUE!</v>
      </c>
      <c r="LD94" t="e">
        <f t="shared" si="338"/>
        <v>#VALUE!</v>
      </c>
      <c r="LE94" t="e">
        <f t="shared" si="418"/>
        <v>#VALUE!</v>
      </c>
      <c r="LF94">
        <f t="shared" si="339"/>
        <v>0</v>
      </c>
      <c r="LG94" t="e">
        <f t="shared" si="419"/>
        <v>#VALUE!</v>
      </c>
      <c r="LH94" t="str">
        <f t="shared" si="340"/>
        <v xml:space="preserve"> </v>
      </c>
      <c r="LI94">
        <f t="shared" si="420"/>
        <v>1</v>
      </c>
    </row>
    <row r="95" spans="2:321" ht="15" customHeight="1">
      <c r="B95" s="311"/>
      <c r="C95" s="311"/>
      <c r="D95" s="312"/>
      <c r="E95" s="311"/>
      <c r="F95" s="312"/>
      <c r="G95" s="311"/>
      <c r="H95" s="311"/>
      <c r="I95" s="37"/>
      <c r="J95" s="311"/>
      <c r="K95" s="305" t="str">
        <f t="shared" si="341"/>
        <v/>
      </c>
      <c r="L95" s="313"/>
      <c r="M95" s="312"/>
      <c r="N95" s="311"/>
      <c r="O95" s="312"/>
      <c r="P95" s="311"/>
      <c r="Q95" s="305" t="str">
        <f t="shared" si="342"/>
        <v/>
      </c>
      <c r="R95" s="314"/>
      <c r="S95" s="450" t="str">
        <f t="shared" si="225"/>
        <v/>
      </c>
      <c r="T95" s="315"/>
      <c r="U95" s="315"/>
      <c r="W95" s="149" t="str">
        <f t="shared" si="226"/>
        <v xml:space="preserve"> </v>
      </c>
      <c r="X95" s="243" t="str">
        <f t="shared" si="227"/>
        <v xml:space="preserve"> </v>
      </c>
      <c r="Y95" s="150" t="str">
        <f t="shared" si="228"/>
        <v/>
      </c>
      <c r="Z95" s="149" t="str">
        <f t="shared" si="229"/>
        <v xml:space="preserve"> </v>
      </c>
      <c r="AA95" s="98" t="str">
        <f t="shared" si="230"/>
        <v xml:space="preserve"> </v>
      </c>
      <c r="AB95" s="153" t="str">
        <f t="shared" si="231"/>
        <v xml:space="preserve"> </v>
      </c>
      <c r="AC95" s="153" t="str">
        <f t="shared" si="232"/>
        <v xml:space="preserve"> </v>
      </c>
      <c r="AD95" s="148" t="str">
        <f t="shared" si="233"/>
        <v/>
      </c>
      <c r="AE95" s="149" t="str">
        <f t="shared" si="234"/>
        <v/>
      </c>
      <c r="AF95" s="151" t="str">
        <f t="shared" si="235"/>
        <v xml:space="preserve"> </v>
      </c>
      <c r="AG95" s="153" t="str">
        <f t="shared" si="236"/>
        <v xml:space="preserve"> </v>
      </c>
      <c r="AH95" s="98" t="str">
        <f t="shared" si="237"/>
        <v xml:space="preserve"> </v>
      </c>
      <c r="AI95" s="149" t="str">
        <f t="shared" si="238"/>
        <v xml:space="preserve"> </v>
      </c>
      <c r="AK95" s="144" t="str">
        <f t="shared" si="239"/>
        <v xml:space="preserve"> </v>
      </c>
      <c r="AL95" s="144"/>
      <c r="AM95" s="243" t="str">
        <f t="shared" si="240"/>
        <v xml:space="preserve"> </v>
      </c>
      <c r="AN95" s="149" t="str">
        <f t="shared" si="343"/>
        <v xml:space="preserve"> </v>
      </c>
      <c r="AO95" s="144" t="str">
        <f>IF(JB95&gt;0,IF(GI95=10,-R95*1.085*(Calculation!$F$6-Calculation!$F$13)*$S$14," "),"")</f>
        <v/>
      </c>
      <c r="AP95" s="144" t="str">
        <f t="shared" si="241"/>
        <v/>
      </c>
      <c r="AQ95" s="56" t="str">
        <f t="shared" si="242"/>
        <v/>
      </c>
      <c r="AR95" s="144" t="str">
        <f t="shared" si="243"/>
        <v/>
      </c>
      <c r="AS95" s="176" t="str">
        <f t="shared" si="244"/>
        <v/>
      </c>
      <c r="AT95" s="176" t="str">
        <f t="shared" si="344"/>
        <v xml:space="preserve"> </v>
      </c>
      <c r="AU95" s="176" t="str">
        <f t="shared" si="245"/>
        <v/>
      </c>
      <c r="AV95" s="177" t="str">
        <f t="shared" si="246"/>
        <v xml:space="preserve"> </v>
      </c>
      <c r="AW95" s="144" t="str">
        <f t="shared" si="247"/>
        <v xml:space="preserve"> </v>
      </c>
      <c r="AX95" s="144" t="str">
        <f t="shared" si="248"/>
        <v xml:space="preserve"> </v>
      </c>
      <c r="AY95" s="152" t="str">
        <f t="shared" si="249"/>
        <v xml:space="preserve"> </v>
      </c>
      <c r="AZ95" s="246" t="str">
        <f t="shared" si="250"/>
        <v/>
      </c>
      <c r="BA95" s="176" t="str">
        <f t="shared" si="251"/>
        <v xml:space="preserve"> </v>
      </c>
      <c r="BB95" s="176" t="str">
        <f t="shared" si="252"/>
        <v xml:space="preserve"> </v>
      </c>
      <c r="BC95" s="195"/>
      <c r="BD95" s="316"/>
      <c r="BE95" s="317"/>
      <c r="BF95" s="318"/>
      <c r="BG95" s="318"/>
      <c r="BH95" s="144" t="str">
        <f t="shared" si="421"/>
        <v xml:space="preserve"> </v>
      </c>
      <c r="BI95" s="176" t="str">
        <f t="shared" si="253"/>
        <v/>
      </c>
      <c r="BJ95" s="144" t="str">
        <f t="shared" si="422"/>
        <v/>
      </c>
      <c r="BK95" s="246" t="str">
        <f t="shared" si="254"/>
        <v/>
      </c>
      <c r="BL95" s="144" t="str">
        <f t="shared" si="423"/>
        <v/>
      </c>
      <c r="BM95" s="246" t="str">
        <f t="shared" si="255"/>
        <v/>
      </c>
      <c r="BN95" s="337" t="str">
        <f t="shared" si="345"/>
        <v/>
      </c>
      <c r="BO95" s="371" t="str">
        <f t="shared" si="346"/>
        <v/>
      </c>
      <c r="BP95" s="328" t="str">
        <f t="shared" si="424"/>
        <v xml:space="preserve"> </v>
      </c>
      <c r="BQ95" s="347" t="str">
        <f t="shared" si="347"/>
        <v xml:space="preserve"> </v>
      </c>
      <c r="BR95" s="353" t="str">
        <f t="shared" si="348"/>
        <v xml:space="preserve"> </v>
      </c>
      <c r="BS95" s="626" t="str">
        <f>IF(L95&gt;0,IF(Calculation!P95="M13",BR95*3.1416*(0.134^2)/(4*144),IF(Calculation!P95="M17",BR95*3.1416*(0.165^2)/(4*144),IF(Calculation!P95="M20",BR95*3.1416*(0.198^2)/(4*144),IF(Calculation!P95="M23",BR95*3.1416*(0.228^2)/(4*144),IF(Calculation!P95="M27",BR95*3.1416*(0.269^2)/(4*144),BR95*3.1416*(0.307^2)/(4*144))))))," ")</f>
        <v xml:space="preserve"> </v>
      </c>
      <c r="BT95" s="353" t="str">
        <f>IF(L95&gt;0,IF(BS95&gt;0,R95/Calculation!BS95,0)," ")</f>
        <v xml:space="preserve"> </v>
      </c>
      <c r="BU95" s="438" t="e">
        <f t="shared" ca="1" si="256"/>
        <v>#VALUE!</v>
      </c>
      <c r="BV95" s="449" t="e">
        <f ca="1">INDEX(INDIRECT(VLOOKUP(LEFT(BO95,7),CLU!$Z$3:$AH$18,2)),GN95,GR95)</f>
        <v>#N/A</v>
      </c>
      <c r="BW95" s="433" t="e">
        <f ca="1">INDEX(INDIRECT(VLOOKUP(LEFT(BO95,7),CLU!$Z$3:$AH$18,3)),GN95,GR95)</f>
        <v>#N/A</v>
      </c>
      <c r="BX95" s="433" t="e">
        <f ca="1">INDEX(INDIRECT(VLOOKUP(LEFT(BO95,7),CLU!$Z$3:$AH$18,4)),GN95,GR95)</f>
        <v>#N/A</v>
      </c>
      <c r="BY95" s="433" t="e">
        <f ca="1">INDEX(INDIRECT(VLOOKUP(LEFT(BO95,7),CLU!$Z$3:$AH$18,9)),((M95-2)*(6-COUNTBLANK(GT95:GY95)))+GJ95)</f>
        <v>#N/A</v>
      </c>
      <c r="BZ95" s="426" t="e">
        <f t="shared" ca="1" si="349"/>
        <v>#N/A</v>
      </c>
      <c r="CA95" s="424" t="e">
        <f t="shared" ca="1" si="350"/>
        <v>#N/A</v>
      </c>
      <c r="CB95" s="429" t="e">
        <f ca="1">INDEX(INDIRECT(VLOOKUP(LEFT(BO95,7),CLU!$Z$3:$AH$18,2)),GN95,GS95)</f>
        <v>#N/A</v>
      </c>
      <c r="CC95" s="342" t="e">
        <f ca="1">INDEX(INDIRECT(VLOOKUP(LEFT(BO95,7),CLU!$Z$3:$AH$18,3)),GN95,GS95)</f>
        <v>#N/A</v>
      </c>
      <c r="CD95" s="342" t="e">
        <f ca="1">INDEX(INDIRECT(VLOOKUP(LEFT(BO95,7),CLU!$Z$3:$AH$18,4)),GN95,GS95)</f>
        <v>#N/A</v>
      </c>
      <c r="CE95" s="426" t="e">
        <f t="shared" ca="1" si="351"/>
        <v>#N/A</v>
      </c>
      <c r="CF95" s="440">
        <f t="shared" si="352"/>
        <v>0</v>
      </c>
      <c r="CG95" s="431" t="e">
        <f ca="1">INDEX(INDIRECT(VLOOKUP(LEFT(BO95,7),CLU!$Z$3:$AH$18,2)),GQ95,GR95)</f>
        <v>#N/A</v>
      </c>
      <c r="CH95" s="431" t="e">
        <f ca="1">INDEX(INDIRECT(VLOOKUP(LEFT(BO95,7),CLU!$Z$3:$AH$18,3)),GQ95,GR95)</f>
        <v>#N/A</v>
      </c>
      <c r="CI95" s="431" t="e">
        <f ca="1">INDEX(INDIRECT(VLOOKUP(LEFT(BO95,7),CLU!$Z$3:$AH$18,4)),GQ95,GR95)</f>
        <v>#N/A</v>
      </c>
      <c r="CJ95" s="448" t="e">
        <f t="shared" ca="1" si="353"/>
        <v>#N/A</v>
      </c>
      <c r="CK95" s="431" t="e">
        <f t="shared" ca="1" si="354"/>
        <v>#N/A</v>
      </c>
      <c r="CL95" s="440" t="e">
        <f t="shared" ca="1" si="355"/>
        <v>#N/A</v>
      </c>
      <c r="CM95" s="431" t="e">
        <f ca="1">INDEX(INDIRECT(VLOOKUP(LEFT(BO95,7),CLU!$Z$3:$AH$18,2)),GQ95,GS95)</f>
        <v>#N/A</v>
      </c>
      <c r="CN95" s="431" t="e">
        <f ca="1">INDEX(INDIRECT(VLOOKUP(LEFT(BO95,7),CLU!$Z$3:$AH$18,3)),GQ95,GS95)</f>
        <v>#N/A</v>
      </c>
      <c r="CO95" s="431" t="e">
        <f ca="1">INDEX(INDIRECT(VLOOKUP(LEFT(BO95,7),CLU!$Z$3:$AH$18,4)),GQ95,GS95)</f>
        <v>#N/A</v>
      </c>
      <c r="CP95" s="431" t="e">
        <f t="shared" ca="1" si="356"/>
        <v>#N/A</v>
      </c>
      <c r="CQ95" s="440">
        <f t="shared" si="357"/>
        <v>0</v>
      </c>
      <c r="CR95" s="51" t="e">
        <f t="shared" ca="1" si="358"/>
        <v>#N/A</v>
      </c>
      <c r="CS95" s="439" t="e">
        <f t="shared" ca="1" si="359"/>
        <v>#VALUE!</v>
      </c>
      <c r="CT95" s="51" t="e">
        <f t="shared" ca="1" si="360"/>
        <v>#VALUE!</v>
      </c>
      <c r="CU95" s="10"/>
      <c r="CV95" s="51" t="e">
        <f t="shared" ca="1" si="257"/>
        <v>#VALUE!</v>
      </c>
      <c r="CW95" s="51">
        <f t="shared" si="361"/>
        <v>0</v>
      </c>
      <c r="CX95" s="439" t="e">
        <f t="shared" ca="1" si="362"/>
        <v>#VALUE!</v>
      </c>
      <c r="CY95" s="51" t="e">
        <f t="shared" ca="1" si="363"/>
        <v>#VALUE!</v>
      </c>
      <c r="CZ95" s="10"/>
      <c r="DA95" s="51" t="e">
        <f t="shared" ca="1" si="364"/>
        <v>#VALUE!</v>
      </c>
      <c r="DB95" s="347" t="e">
        <f ca="1">INDEX(INDIRECT(VLOOKUP(LEFT(BO95,7),CLU!$Z$3:$AI$18,10)),((M95-2)*(6-COUNTBLANK(GT95:GY95)))+GJ95)*LI95</f>
        <v>#N/A</v>
      </c>
      <c r="DC95" s="347" t="str">
        <f>IF(L95&gt;0,((R95/Worksheet!$I$15)/DB95)^2," ")</f>
        <v xml:space="preserve"> </v>
      </c>
      <c r="DD95" s="602" t="str">
        <f t="shared" si="365"/>
        <v xml:space="preserve"> </v>
      </c>
      <c r="DE95" s="347" t="str">
        <f t="shared" si="258"/>
        <v xml:space="preserve"> </v>
      </c>
      <c r="DF95" s="356" t="e">
        <f ca="1">INDEX(INDIRECT(VLOOKUP(LEFT(BO95,7),CLU!$Z$3:$AH$18,8)),((M95-2)*(6-COUNTBLANK(GT95:GY95)))+GJ95)</f>
        <v>#N/A</v>
      </c>
      <c r="DG95" s="347" t="str">
        <f t="shared" si="259"/>
        <v xml:space="preserve"> </v>
      </c>
      <c r="DH95" s="357" t="str">
        <f t="shared" si="260"/>
        <v xml:space="preserve"> </v>
      </c>
      <c r="DI95" s="355" t="str">
        <f t="shared" si="261"/>
        <v xml:space="preserve"> </v>
      </c>
      <c r="DJ95" s="245" t="e">
        <f ca="1">INDEX(INDIRECT(VLOOKUP(LEFT(BO95,7),CLU!$Z$3:$AH$18,5)),GL95,GK95)</f>
        <v>#N/A</v>
      </c>
      <c r="DK95" s="245" t="e">
        <f ca="1">INDEX(INDIRECT(VLOOKUP(LEFT(BO95,7),CLU!$Z$3:$AH$18,6)),GL95,GK95)</f>
        <v>#N/A</v>
      </c>
      <c r="DL95" s="355">
        <f>(Calculation!R95*0.69143*(Calculation!$BQ$8-Calculation!$F$8))*$S$14</f>
        <v>0</v>
      </c>
      <c r="DM95" s="359" t="e">
        <f t="shared" si="366"/>
        <v>#VALUE!</v>
      </c>
      <c r="DN95" s="611">
        <f t="shared" si="367"/>
        <v>0</v>
      </c>
      <c r="DO95" s="359">
        <f t="shared" si="368"/>
        <v>100</v>
      </c>
      <c r="DP95" s="359">
        <f t="shared" si="369"/>
        <v>0</v>
      </c>
      <c r="DQ95" s="360"/>
      <c r="DR95" s="245" t="e">
        <f ca="1">INDEX(INDIRECT(VLOOKUP(LEFT(BO95,7),CLU!$Z$3:$AH$18,7)),M95-1,1)</f>
        <v>#N/A</v>
      </c>
      <c r="DS95" s="245" t="e">
        <f ca="1">INDEX(INDIRECT(VLOOKUP(LEFT(BO95,7),CLU!$Z$3:$AH$18,7)),M95-1,2)</f>
        <v>#N/A</v>
      </c>
      <c r="DT95" s="245" t="e">
        <f ca="1">INDEX(INDIRECT(VLOOKUP(LEFT(BO95,7),CLU!$Z$3:$AH$18,7)),M95-1,3)</f>
        <v>#N/A</v>
      </c>
      <c r="DU95" s="245" t="e">
        <f ca="1">INDEX(INDIRECT(VLOOKUP(LEFT(BO95,7),CLU!$Z$3:$AH$18,7)),M95-1,4)</f>
        <v>#N/A</v>
      </c>
      <c r="DV95" s="361" t="e">
        <f ca="1">INDEX(INDIRECT(VLOOKUP(LEFT(BO95,7),CLU!$Z$3:$AH$18,7)),M95-1,4+LEFT(DZ95,1)*0.5)</f>
        <v>#N/A</v>
      </c>
      <c r="DW95" s="245" t="e">
        <f ca="1">INDEX(INDIRECT(VLOOKUP(LEFT(BO95,7),CLU!$Z$3:$AH$18,7)),M95-1,8)</f>
        <v>#N/A</v>
      </c>
      <c r="DX95" s="361" t="str">
        <f t="shared" si="262"/>
        <v xml:space="preserve"> </v>
      </c>
      <c r="DY95" s="361" t="str">
        <f t="shared" si="263"/>
        <v xml:space="preserve"> </v>
      </c>
      <c r="DZ95" s="361" t="str">
        <f t="shared" si="264"/>
        <v xml:space="preserve"> </v>
      </c>
      <c r="EA95" s="362" t="str">
        <f t="shared" si="265"/>
        <v xml:space="preserve"> </v>
      </c>
      <c r="EB95" s="624" t="str">
        <f t="shared" si="370"/>
        <v xml:space="preserve"> </v>
      </c>
      <c r="EC95" s="361" t="e">
        <f ca="1">INDEX(INDIRECT(VLOOKUP(LEFT(BO95,7),CLU!$Z$3:$AH$18,7)),M95-1,4+LEFT(DZ95,1)*0.5)</f>
        <v>#N/A</v>
      </c>
      <c r="ED95" s="362" t="str">
        <f t="shared" si="266"/>
        <v xml:space="preserve"> </v>
      </c>
      <c r="EE95" s="361" t="str">
        <f t="shared" si="267"/>
        <v xml:space="preserve"> </v>
      </c>
      <c r="EF95" s="362" t="str">
        <f>IF(L95&gt;0,IF(BR95&gt;0,IF(EE95="2P",IF(Calculation!DZ95="2P",IF(Calculation!DS95=13.75,IF(Calculation!DR95=13,Worksheet!$BD$43,IF(Calculation!DR95=37,Worksheet!$BD$44,Worksheet!$BD$45)),IF(Calculation!DS95=10,IF(Calculation!DR95=18,Worksheet!$BD$29,IF(Calculation!DR95=30,Worksheet!$BD$30,IF(Calculation!DR95=42,Worksheet!$BD$31,IF(Calculation!DR95=54,Worksheet!$BD$32,IF(Calculation!DR95=66,Worksheet!$BD$33,IF(Calculation!DR95=78,Worksheet!$BD$34,IF(Calculation!DR95=90,Worksheet!$BD$35,IF(Calculation!DR95=102,Worksheet!$BD$36,Worksheet!$BD$37)))))))),IF(Calculation!DS95=12.5,IF(Calculation!DR95=18,Worksheet!$BD$38,IF(Calculation!DR95=Worksheet!$BD$39,IF(Calculation!DR95=42,Worksheet!$BD$40,IF(Calculation!DR95=54,Worksheet!$BD$41,Worksheet!$BD$42)))),IF(Calculation!DR95=18,Worksheet!$BD$11,IF(Calculation!DR95=30,Worksheet!$BD$12,IF(Calculation!DR95=42,Worksheet!$BD$13,IF(Calculation!DR95=54,Worksheet!$BD$14,IF(Calculation!DR95=66,Worksheet!$BD$15,IF(Calculation!DR95=78,Worksheet!$BD$16,IF(Calculation!DR95=90,Worksheet!$BD$17,IF(Calculation!DR95=102,Worksheet!$BD$18,Worksheet!$BD$19))))))))))),IF(Calculation!DS95=13.75,IF(Calculation!DR95=13,Worksheet!$BD$78,IF(Calculation!DR95=37,Worksheet!$BD$79,Worksheet!$BD$80)),IF(Calculation!DS95=10,IF(Calculation!DR95=18,Worksheet!$BD$64,IF(Calculation!DR95=30,Worksheet!$BD$65,IF(Calculation!DR95=42,Worksheet!$BD$66,IF(Calculation!DR95=54,Worksheet!$BD$68,IF(Calculation!DR95=66,Worksheet!$BD$68,IF(Calculation!DR95=78,Worksheet!$BD$69,IF(Calculation!DR95=90,Worksheet!$BD$70,IF(Calculation!DR95=102,Worksheet!$BD$71,Worksheet!$BD$72)))))))),IF(Calculation!DS95=12.5,IF(Calculation!DR95=18,Worksheet!$BD$73,IF(Calculation!DR95=Worksheet!$BD$74,IF(Calculation!DR95=42,Worksheet!$BD$75,IF(Calculation!DR95=54,Worksheet!$BD$76,Worksheet!$BD$77)))),IF(Calculation!DR95=18,Worksheet!$BD$55,IF(Calculation!DR95=30,Worksheet!$BD$56,IF(Calculation!DR95=42,Worksheet!$BD$57,IF(Calculation!DR95=54,Worksheet!$BD$58,IF(Calculation!DR95=66,Worksheet!$BD$59,IF(Calculation!DR95=78,Worksheet!$BD$60,IF(Calculation!DR95=90,Worksheet!$BD$61,IF(Calculation!DR95=102,Worksheet!$BD$62,Worksheet!$BD$63)))))))))))),5),0)," ")</f>
        <v xml:space="preserve"> </v>
      </c>
      <c r="EG95" s="361" t="str">
        <f t="shared" si="268"/>
        <v xml:space="preserve"> </v>
      </c>
      <c r="EH95" s="361" t="e">
        <f ca="1">INDEX(INDIRECT(VLOOKUP(LEFT(BO95,7),CLU!$Z$3:$AH$18,7)),M95-1,3+LEFT(DZ95,1))</f>
        <v>#N/A</v>
      </c>
      <c r="EI95" s="362" t="str">
        <f t="shared" si="269"/>
        <v xml:space="preserve"> </v>
      </c>
      <c r="EJ95" s="363" t="str">
        <f t="shared" si="270"/>
        <v xml:space="preserve"> </v>
      </c>
      <c r="EK95" s="363" t="str">
        <f t="shared" si="271"/>
        <v xml:space="preserve"> </v>
      </c>
      <c r="EL95" s="363" t="str">
        <f t="shared" si="272"/>
        <v xml:space="preserve"> </v>
      </c>
      <c r="EM95" s="362" t="str">
        <f>IF(L95&gt;0,IF(BR95&gt;0,(Calculation!T95/ED95)^2,0)," ")</f>
        <v xml:space="preserve"> </v>
      </c>
      <c r="EN95" s="362" t="str">
        <f>IF(L95&gt;0,IF(O95="2 Pipe (Cooling)","N/A",IF(BR95&gt;0,(Calculation!U95/EI95)^2,0))," ")</f>
        <v xml:space="preserve"> </v>
      </c>
      <c r="EO95" s="361" t="str">
        <f t="shared" si="273"/>
        <v/>
      </c>
      <c r="EP95" s="361" t="str">
        <f t="shared" si="274"/>
        <v/>
      </c>
      <c r="EQ95" s="361" t="str">
        <f t="shared" si="275"/>
        <v/>
      </c>
      <c r="ER95" s="361" t="str">
        <f t="shared" si="276"/>
        <v/>
      </c>
      <c r="ES95" s="361" t="str">
        <f t="shared" si="277"/>
        <v/>
      </c>
      <c r="ET95" s="361" t="str">
        <f t="shared" si="278"/>
        <v/>
      </c>
      <c r="EU95" s="361" t="str">
        <f t="shared" si="279"/>
        <v/>
      </c>
      <c r="EV95" s="361" t="str">
        <f t="shared" si="280"/>
        <v/>
      </c>
      <c r="EW95" s="361" t="str">
        <f t="shared" si="281"/>
        <v/>
      </c>
      <c r="EX95" s="361" t="str">
        <f t="shared" si="371"/>
        <v>1 slot, 1 way</v>
      </c>
      <c r="EY95" s="361" t="str">
        <f t="shared" si="372"/>
        <v xml:space="preserve"> </v>
      </c>
      <c r="EZ95" s="361" t="str">
        <f t="shared" si="373"/>
        <v xml:space="preserve"> </v>
      </c>
      <c r="FA95" s="361" t="str">
        <f t="shared" si="374"/>
        <v xml:space="preserve"> </v>
      </c>
      <c r="FB95" s="361" t="str">
        <f t="shared" si="375"/>
        <v xml:space="preserve"> </v>
      </c>
      <c r="FC95" s="361"/>
      <c r="FD95" s="361" t="str">
        <f>IF(J95&gt;0,IF(Calculation!R95&lt;=70,4,IF(Calculation!R95&lt;=110,5,IF(Calculation!R95&lt;=160,6,IF(Calculation!R95&lt;=300,8,"10 EO")))),"")</f>
        <v/>
      </c>
      <c r="FE95" s="361" t="str">
        <f t="shared" si="376"/>
        <v/>
      </c>
      <c r="FF95" s="361" t="str">
        <f t="shared" si="377"/>
        <v/>
      </c>
      <c r="FG95" s="361" t="e">
        <f t="shared" si="282"/>
        <v>#N/A</v>
      </c>
      <c r="FH95" s="361">
        <f t="shared" si="283"/>
        <v>0</v>
      </c>
      <c r="FI95" s="361" t="e">
        <f t="shared" si="284"/>
        <v>#DIV/0!</v>
      </c>
      <c r="FJ95" s="361"/>
      <c r="FK95" s="356" t="e">
        <f t="shared" si="285"/>
        <v>#VALUE!</v>
      </c>
      <c r="FL95" s="361"/>
      <c r="FM95" s="361"/>
      <c r="FN95" s="362" t="str">
        <f t="shared" si="378"/>
        <v xml:space="preserve"> </v>
      </c>
      <c r="FO95" s="362" t="str">
        <f t="shared" si="379"/>
        <v xml:space="preserve"> </v>
      </c>
      <c r="FP95" s="362">
        <f t="shared" si="380"/>
        <v>0</v>
      </c>
      <c r="FQ95" s="361">
        <f t="shared" si="286"/>
        <v>0</v>
      </c>
      <c r="FR95" s="362" t="str">
        <f>IF(L95&gt;0,IF(J95="CBAL2",Worksheet!$P$67,IF(J95="CBE2-24",Worksheet!$Q$67,IF(J95="CBAM",Worksheet!$R$67,IF(J95="CBLV",Worksheet!$S$67,IF(J95="CBAB",Worksheet!$U$67,IF(J95="CBAW",Worksheet!$X$67,IF(J95="CBE2-12",Worksheet!$Y$67,IF(J95="CBAL2",Worksheet!$Z$67,"N/A"))))))))," ")</f>
        <v xml:space="preserve"> </v>
      </c>
      <c r="FS95" s="362" t="str">
        <f>IF(L95&gt;0,IF(J95="CBAL2",Worksheet!$P$68,IF(J95="CBE2-24",Worksheet!$Q$68,IF(J95="CBAM",Worksheet!$R$68,IF(J95="CBLV",Worksheet!$S$68,IF(J95="CBAB",Worksheet!$U$68,IF(J95="CBAW",Worksheet!$X$68,IF(J95="CBE2-12",Worksheet!$Y$68,IF(J95="CBAL2",Worksheet!$Z$68,"N/A"))))))))," ")</f>
        <v xml:space="preserve"> </v>
      </c>
      <c r="FT95" s="362" t="str">
        <f>IF(L95&gt;0,IF(J95="CBAL2",Worksheet!$P$69,IF(J95="CBE2-24",Worksheet!$Q$69,IF(J95="CBAM",Worksheet!$R$69,IF(J95="CBLV",Worksheet!$S$69,IF(J95="CBAB",Worksheet!$U$69,IF(J95="CBAW",Worksheet!$X$69,IF(J95="CBE2-12",Worksheet!$Y$69,IF(J95="CBAL2",Worksheet!$Z$69,"N/A"))))))))," ")</f>
        <v xml:space="preserve"> </v>
      </c>
      <c r="FU95" s="361" t="str">
        <f t="shared" si="381"/>
        <v xml:space="preserve"> </v>
      </c>
      <c r="FV95" s="362" t="str">
        <f t="shared" si="382"/>
        <v xml:space="preserve"> </v>
      </c>
      <c r="FW95" s="362" t="str">
        <f t="shared" si="383"/>
        <v xml:space="preserve"> </v>
      </c>
      <c r="FX95" s="362" t="str">
        <f t="shared" si="384"/>
        <v xml:space="preserve"> </v>
      </c>
      <c r="FY95" s="355" t="str">
        <f t="shared" si="385"/>
        <v xml:space="preserve"> </v>
      </c>
      <c r="FZ95" s="361" t="str">
        <f t="shared" si="386"/>
        <v xml:space="preserve"> </v>
      </c>
      <c r="GA95" s="347" t="str">
        <f t="shared" si="387"/>
        <v xml:space="preserve"> </v>
      </c>
      <c r="GB95" s="355" t="str">
        <f t="shared" si="388"/>
        <v xml:space="preserve"> </v>
      </c>
      <c r="GC95" s="328" t="str">
        <f t="shared" si="389"/>
        <v xml:space="preserve"> </v>
      </c>
      <c r="GD95" s="361" t="str">
        <f t="shared" si="390"/>
        <v xml:space="preserve"> </v>
      </c>
      <c r="GE95" s="347" t="str">
        <f t="shared" si="391"/>
        <v xml:space="preserve"> </v>
      </c>
      <c r="GF95" s="361" t="str">
        <f t="shared" si="392"/>
        <v xml:space="preserve"> </v>
      </c>
      <c r="GG95" s="347" t="str">
        <f t="shared" si="393"/>
        <v xml:space="preserve"> </v>
      </c>
      <c r="GH95" s="364">
        <f t="shared" si="287"/>
        <v>0</v>
      </c>
      <c r="GI95" s="362">
        <f t="shared" si="394"/>
        <v>2</v>
      </c>
      <c r="GJ95" s="433" t="e">
        <f>IF(6-COUNTBLANK(GT95:GY95)=4,MATCH(MID(BO95,9,3),CLU!$H$16:$K$16),MATCH(MID(BO95,9,3),CLU!$H$13:$M$13))</f>
        <v>#N/A</v>
      </c>
      <c r="GK95" s="433" t="e">
        <f>HLOOKUP(VALUE(BP95),CLU!$H$9:$M$10,2)</f>
        <v>#VALUE!</v>
      </c>
      <c r="GL95" s="433" t="e">
        <f ca="1">MATCH(BU95,CLU!$H$2:$V$2,1)</f>
        <v>#VALUE!</v>
      </c>
      <c r="GM95" s="433" t="e">
        <f t="shared" ca="1" si="395"/>
        <v>#VALUE!</v>
      </c>
      <c r="GN95" s="433" t="e">
        <f t="shared" ca="1" si="396"/>
        <v>#VALUE!</v>
      </c>
      <c r="GO95" s="433" t="e">
        <f t="shared" ca="1" si="397"/>
        <v>#VALUE!</v>
      </c>
      <c r="GP95" s="433" t="e">
        <f t="shared" ca="1" si="398"/>
        <v>#VALUE!</v>
      </c>
      <c r="GQ95" s="433" t="e">
        <f t="shared" ca="1" si="399"/>
        <v>#VALUE!</v>
      </c>
      <c r="GR95" s="433" t="e">
        <f ca="1">MATCH(T95,INDIRECT(VLOOKUP(CONCATENATE(LEFT(BO95,7),"-",MID(BO95,13,1)),CLU!$P$3:$Q$16,2)),1)</f>
        <v>#N/A</v>
      </c>
      <c r="GS95" s="433" t="e">
        <f ca="1">MATCH(U95,INDIRECT(VLOOKUP(CONCATENATE(LEFT(BO95,7),"-",MID(BO95,13,1)),CLU!$P$3:$Q$16,2)),1)</f>
        <v>#N/A</v>
      </c>
      <c r="GT95" s="347" t="s">
        <v>512</v>
      </c>
      <c r="GU95" s="97" t="s">
        <v>513</v>
      </c>
      <c r="GV95" s="97" t="str">
        <f t="shared" si="400"/>
        <v>M23</v>
      </c>
      <c r="GW95" s="97" t="str">
        <f t="shared" si="401"/>
        <v>M31</v>
      </c>
      <c r="GX95" s="97" t="str">
        <f t="shared" si="402"/>
        <v/>
      </c>
      <c r="GY95" s="97" t="str">
        <f t="shared" si="403"/>
        <v/>
      </c>
      <c r="GZ95" s="481"/>
      <c r="HA95" s="288"/>
      <c r="HB95" s="240"/>
      <c r="HC95" s="240"/>
      <c r="HD95" s="240"/>
      <c r="HE95" s="240"/>
      <c r="HF95" s="240"/>
      <c r="HG95" s="240"/>
      <c r="HH95" s="240"/>
      <c r="HI95" s="240"/>
      <c r="HJ95" s="240"/>
      <c r="HK95" s="240"/>
      <c r="HL95" s="240"/>
      <c r="HM95" s="240"/>
      <c r="HN95" s="240"/>
      <c r="HO95" s="240"/>
      <c r="HP95" s="240"/>
      <c r="HQ95" s="240"/>
      <c r="HR95" s="240"/>
      <c r="HS95" s="240"/>
      <c r="HT95" s="240"/>
      <c r="HU95" s="240"/>
      <c r="HV95" s="245"/>
      <c r="HW95" s="245" t="b">
        <v>1</v>
      </c>
      <c r="HX95" s="245" t="str">
        <f t="shared" si="288"/>
        <v/>
      </c>
      <c r="HY95" s="245" t="e">
        <f t="shared" si="289"/>
        <v>#DIV/0!</v>
      </c>
      <c r="HZ95" s="245" t="e">
        <f t="shared" si="290"/>
        <v>#DIV/0!</v>
      </c>
      <c r="IA95" s="245">
        <f t="shared" si="291"/>
        <v>0</v>
      </c>
      <c r="IB95" s="245"/>
      <c r="IC95" t="b">
        <f t="shared" si="292"/>
        <v>1</v>
      </c>
      <c r="ID95" s="245" t="b">
        <f t="shared" si="293"/>
        <v>1</v>
      </c>
      <c r="IE95" s="245" t="b">
        <f t="shared" si="294"/>
        <v>1</v>
      </c>
      <c r="IF95" s="245" t="b">
        <f t="shared" si="295"/>
        <v>0</v>
      </c>
      <c r="IG95" s="245" t="b">
        <f t="shared" si="296"/>
        <v>1</v>
      </c>
      <c r="IH95" s="245" t="b">
        <f t="shared" si="297"/>
        <v>1</v>
      </c>
      <c r="II95" s="245">
        <f t="shared" si="404"/>
        <v>0</v>
      </c>
      <c r="IJ95" s="245" t="e">
        <f t="shared" si="298"/>
        <v>#VALUE!</v>
      </c>
      <c r="IK95" s="245" t="e">
        <f t="shared" si="299"/>
        <v>#VALUE!</v>
      </c>
      <c r="IL95" s="245"/>
      <c r="IM95" s="245" t="e">
        <f t="shared" si="405"/>
        <v>#N/A</v>
      </c>
      <c r="IN95" s="245" t="e">
        <f t="shared" si="406"/>
        <v>#N/A</v>
      </c>
      <c r="IO95" s="245"/>
      <c r="IP95" s="245"/>
      <c r="IQ95" s="245" t="str">
        <f t="shared" si="300"/>
        <v/>
      </c>
      <c r="IR95" s="245" t="str">
        <f>IF(J95="","",VLOOKUP(J95,Worksheet!$R$4:$T$14,2))</f>
        <v/>
      </c>
      <c r="IS95" s="245"/>
      <c r="IT95" s="245">
        <f t="shared" si="301"/>
        <v>0</v>
      </c>
      <c r="IU95" s="245">
        <f t="shared" si="302"/>
        <v>0</v>
      </c>
      <c r="IV95" s="245">
        <f t="shared" si="303"/>
        <v>0</v>
      </c>
      <c r="IW95" s="245">
        <f t="shared" si="304"/>
        <v>0</v>
      </c>
      <c r="IX95" s="245">
        <f t="shared" si="407"/>
        <v>0</v>
      </c>
      <c r="IY95" s="245">
        <f t="shared" si="305"/>
        <v>0</v>
      </c>
      <c r="IZ95" s="245">
        <f t="shared" si="306"/>
        <v>0</v>
      </c>
      <c r="JA95">
        <f t="shared" si="307"/>
        <v>0</v>
      </c>
      <c r="JB95">
        <f t="shared" si="408"/>
        <v>0</v>
      </c>
      <c r="JC95">
        <f t="shared" si="308"/>
        <v>0</v>
      </c>
      <c r="JD95">
        <f t="shared" si="309"/>
        <v>0</v>
      </c>
      <c r="JE95">
        <f t="shared" si="310"/>
        <v>0</v>
      </c>
      <c r="JF95">
        <f t="shared" si="311"/>
        <v>0</v>
      </c>
      <c r="JG95">
        <f t="shared" si="312"/>
        <v>0</v>
      </c>
      <c r="JH95">
        <f t="shared" si="313"/>
        <v>0</v>
      </c>
      <c r="JI95">
        <f t="shared" si="314"/>
        <v>0</v>
      </c>
      <c r="JJ95" s="447">
        <f t="shared" si="315"/>
        <v>0</v>
      </c>
      <c r="JK95" s="447">
        <f t="shared" si="316"/>
        <v>0</v>
      </c>
      <c r="JL95">
        <f t="shared" si="317"/>
        <v>0</v>
      </c>
      <c r="JM95" s="245" t="str">
        <f>IFERROR(VLOOKUP(MATCH(BN95,#REF!,0),#REF!,7),"")</f>
        <v/>
      </c>
      <c r="JN95" t="e">
        <f>HLOOKUP(LEFT(BO95,7),Discharge_Area,MATCH(JO95,LookUps!$B$130:$B$149,1)+2)</f>
        <v>#N/A</v>
      </c>
      <c r="JO95" t="str">
        <f t="shared" si="318"/>
        <v>- S</v>
      </c>
      <c r="JP95" t="e">
        <f>HLOOKUP(LEFT(BO95,7),Discharge_Area,MATCH(JO95,LookUps!$B$130:$B$149,1)+2)</f>
        <v>#N/A</v>
      </c>
      <c r="JQ95" t="e">
        <f t="shared" si="319"/>
        <v>#N/A</v>
      </c>
      <c r="JR95" t="e">
        <f t="shared" si="320"/>
        <v>#N/A</v>
      </c>
      <c r="JS95" t="e">
        <f t="shared" si="321"/>
        <v>#N/A</v>
      </c>
      <c r="JT95" s="532" t="str">
        <f t="shared" si="322"/>
        <v xml:space="preserve"> </v>
      </c>
      <c r="JU95" s="532" t="str">
        <f t="shared" si="323"/>
        <v xml:space="preserve"> </v>
      </c>
      <c r="JV95" s="533" t="str">
        <f t="shared" si="324"/>
        <v xml:space="preserve"> </v>
      </c>
      <c r="JW95" s="534">
        <f t="shared" si="325"/>
        <v>0</v>
      </c>
      <c r="JX95" s="535" t="str">
        <f t="shared" si="409"/>
        <v xml:space="preserve"> </v>
      </c>
      <c r="JY95" s="535" t="str">
        <f t="shared" si="410"/>
        <v xml:space="preserve"> </v>
      </c>
      <c r="JZ95" s="535" t="str">
        <f t="shared" si="411"/>
        <v xml:space="preserve"> </v>
      </c>
      <c r="KA95" s="536" t="str">
        <f t="shared" si="326"/>
        <v xml:space="preserve"> </v>
      </c>
      <c r="KB95" s="535" t="e">
        <f t="shared" si="412"/>
        <v>#VALUE!</v>
      </c>
      <c r="KC95" s="535" t="str">
        <f t="shared" si="327"/>
        <v/>
      </c>
      <c r="KD95" s="537" t="str">
        <f t="shared" si="413"/>
        <v xml:space="preserve"> </v>
      </c>
      <c r="KE95" s="537" t="str">
        <f t="shared" si="414"/>
        <v xml:space="preserve"> </v>
      </c>
      <c r="KF95" s="534">
        <f t="shared" si="328"/>
        <v>0</v>
      </c>
      <c r="KG95" s="535" t="str">
        <f t="shared" si="329"/>
        <v xml:space="preserve"> </v>
      </c>
      <c r="KH95" s="535" t="str">
        <f t="shared" si="330"/>
        <v xml:space="preserve"> </v>
      </c>
      <c r="KI95" s="535" t="str">
        <f t="shared" si="331"/>
        <v xml:space="preserve"> </v>
      </c>
      <c r="KJ95" s="536" t="str">
        <f t="shared" si="332"/>
        <v xml:space="preserve"> </v>
      </c>
      <c r="KK95" s="535" t="str">
        <f t="shared" si="415"/>
        <v xml:space="preserve"> </v>
      </c>
      <c r="KL95" s="535" t="str">
        <f t="shared" si="416"/>
        <v xml:space="preserve"> </v>
      </c>
      <c r="KM95" s="537" t="str">
        <f t="shared" si="333"/>
        <v xml:space="preserve"> </v>
      </c>
      <c r="KN95" s="537" t="str">
        <f t="shared" si="417"/>
        <v xml:space="preserve"> </v>
      </c>
      <c r="KP95">
        <f t="shared" si="334"/>
        <v>0</v>
      </c>
      <c r="LA95" t="e">
        <f t="shared" si="335"/>
        <v>#VALUE!</v>
      </c>
      <c r="LB95" t="e">
        <f t="shared" si="336"/>
        <v>#VALUE!</v>
      </c>
      <c r="LC95" t="e">
        <f t="shared" si="337"/>
        <v>#VALUE!</v>
      </c>
      <c r="LD95" t="e">
        <f t="shared" si="338"/>
        <v>#VALUE!</v>
      </c>
      <c r="LE95" t="e">
        <f t="shared" si="418"/>
        <v>#VALUE!</v>
      </c>
      <c r="LF95">
        <f t="shared" si="339"/>
        <v>0</v>
      </c>
      <c r="LG95" t="e">
        <f t="shared" si="419"/>
        <v>#VALUE!</v>
      </c>
      <c r="LH95" t="str">
        <f t="shared" si="340"/>
        <v xml:space="preserve"> </v>
      </c>
      <c r="LI95">
        <f t="shared" si="420"/>
        <v>1</v>
      </c>
    </row>
    <row r="96" spans="2:321" ht="15" customHeight="1">
      <c r="B96" s="311"/>
      <c r="C96" s="311"/>
      <c r="D96" s="312"/>
      <c r="E96" s="311"/>
      <c r="F96" s="312"/>
      <c r="G96" s="311"/>
      <c r="H96" s="311"/>
      <c r="I96" s="37"/>
      <c r="J96" s="311"/>
      <c r="K96" s="305" t="str">
        <f t="shared" si="341"/>
        <v/>
      </c>
      <c r="L96" s="313"/>
      <c r="M96" s="312"/>
      <c r="N96" s="311"/>
      <c r="O96" s="312"/>
      <c r="P96" s="311"/>
      <c r="Q96" s="305" t="str">
        <f t="shared" si="342"/>
        <v/>
      </c>
      <c r="R96" s="314"/>
      <c r="S96" s="450" t="str">
        <f t="shared" si="225"/>
        <v/>
      </c>
      <c r="T96" s="315"/>
      <c r="U96" s="315"/>
      <c r="W96" s="149" t="str">
        <f t="shared" si="226"/>
        <v xml:space="preserve"> </v>
      </c>
      <c r="X96" s="243" t="str">
        <f t="shared" si="227"/>
        <v xml:space="preserve"> </v>
      </c>
      <c r="Y96" s="150" t="str">
        <f t="shared" si="228"/>
        <v/>
      </c>
      <c r="Z96" s="149" t="str">
        <f t="shared" si="229"/>
        <v xml:space="preserve"> </v>
      </c>
      <c r="AA96" s="98" t="str">
        <f t="shared" si="230"/>
        <v xml:space="preserve"> </v>
      </c>
      <c r="AB96" s="153" t="str">
        <f t="shared" si="231"/>
        <v xml:space="preserve"> </v>
      </c>
      <c r="AC96" s="153" t="str">
        <f t="shared" si="232"/>
        <v xml:space="preserve"> </v>
      </c>
      <c r="AD96" s="148" t="str">
        <f t="shared" si="233"/>
        <v/>
      </c>
      <c r="AE96" s="149" t="str">
        <f t="shared" si="234"/>
        <v/>
      </c>
      <c r="AF96" s="151" t="str">
        <f t="shared" si="235"/>
        <v xml:space="preserve"> </v>
      </c>
      <c r="AG96" s="153" t="str">
        <f t="shared" si="236"/>
        <v xml:space="preserve"> </v>
      </c>
      <c r="AH96" s="98" t="str">
        <f t="shared" si="237"/>
        <v xml:space="preserve"> </v>
      </c>
      <c r="AI96" s="149" t="str">
        <f t="shared" si="238"/>
        <v xml:space="preserve"> </v>
      </c>
      <c r="AK96" s="144" t="str">
        <f t="shared" si="239"/>
        <v xml:space="preserve"> </v>
      </c>
      <c r="AL96" s="144"/>
      <c r="AM96" s="243" t="str">
        <f t="shared" si="240"/>
        <v xml:space="preserve"> </v>
      </c>
      <c r="AN96" s="149" t="str">
        <f t="shared" si="343"/>
        <v xml:space="preserve"> </v>
      </c>
      <c r="AO96" s="144" t="str">
        <f>IF(JB96&gt;0,IF(GI96=10,-R96*1.085*(Calculation!$F$6-Calculation!$F$13)*$S$14," "),"")</f>
        <v/>
      </c>
      <c r="AP96" s="144" t="str">
        <f t="shared" si="241"/>
        <v/>
      </c>
      <c r="AQ96" s="56" t="str">
        <f t="shared" si="242"/>
        <v/>
      </c>
      <c r="AR96" s="144" t="str">
        <f t="shared" si="243"/>
        <v/>
      </c>
      <c r="AS96" s="176" t="str">
        <f t="shared" si="244"/>
        <v/>
      </c>
      <c r="AT96" s="176" t="str">
        <f t="shared" si="344"/>
        <v xml:space="preserve"> </v>
      </c>
      <c r="AU96" s="176" t="str">
        <f t="shared" si="245"/>
        <v/>
      </c>
      <c r="AV96" s="177" t="str">
        <f t="shared" si="246"/>
        <v xml:space="preserve"> </v>
      </c>
      <c r="AW96" s="144" t="str">
        <f t="shared" si="247"/>
        <v xml:space="preserve"> </v>
      </c>
      <c r="AX96" s="144" t="str">
        <f t="shared" si="248"/>
        <v xml:space="preserve"> </v>
      </c>
      <c r="AY96" s="152" t="str">
        <f t="shared" si="249"/>
        <v xml:space="preserve"> </v>
      </c>
      <c r="AZ96" s="246" t="str">
        <f t="shared" si="250"/>
        <v/>
      </c>
      <c r="BA96" s="176" t="str">
        <f t="shared" si="251"/>
        <v xml:space="preserve"> </v>
      </c>
      <c r="BB96" s="176" t="str">
        <f t="shared" si="252"/>
        <v xml:space="preserve"> </v>
      </c>
      <c r="BC96" s="195"/>
      <c r="BD96" s="316"/>
      <c r="BE96" s="317"/>
      <c r="BF96" s="318"/>
      <c r="BG96" s="318"/>
      <c r="BH96" s="144" t="str">
        <f t="shared" si="421"/>
        <v xml:space="preserve"> </v>
      </c>
      <c r="BI96" s="176" t="str">
        <f t="shared" si="253"/>
        <v/>
      </c>
      <c r="BJ96" s="144" t="str">
        <f t="shared" si="422"/>
        <v/>
      </c>
      <c r="BK96" s="246" t="str">
        <f t="shared" si="254"/>
        <v/>
      </c>
      <c r="BL96" s="144" t="str">
        <f t="shared" si="423"/>
        <v/>
      </c>
      <c r="BM96" s="246" t="str">
        <f t="shared" si="255"/>
        <v/>
      </c>
      <c r="BN96" s="337" t="str">
        <f t="shared" si="345"/>
        <v/>
      </c>
      <c r="BO96" s="371" t="str">
        <f t="shared" si="346"/>
        <v/>
      </c>
      <c r="BP96" s="328" t="str">
        <f t="shared" si="424"/>
        <v xml:space="preserve"> </v>
      </c>
      <c r="BQ96" s="347" t="str">
        <f t="shared" si="347"/>
        <v xml:space="preserve"> </v>
      </c>
      <c r="BR96" s="353" t="str">
        <f t="shared" si="348"/>
        <v xml:space="preserve"> </v>
      </c>
      <c r="BS96" s="626" t="str">
        <f>IF(L96&gt;0,IF(Calculation!P96="M13",BR96*3.1416*(0.134^2)/(4*144),IF(Calculation!P96="M17",BR96*3.1416*(0.165^2)/(4*144),IF(Calculation!P96="M20",BR96*3.1416*(0.198^2)/(4*144),IF(Calculation!P96="M23",BR96*3.1416*(0.228^2)/(4*144),IF(Calculation!P96="M27",BR96*3.1416*(0.269^2)/(4*144),BR96*3.1416*(0.307^2)/(4*144))))))," ")</f>
        <v xml:space="preserve"> </v>
      </c>
      <c r="BT96" s="353" t="str">
        <f>IF(L96&gt;0,IF(BS96&gt;0,R96/Calculation!BS96,0)," ")</f>
        <v xml:space="preserve"> </v>
      </c>
      <c r="BU96" s="438" t="e">
        <f t="shared" ca="1" si="256"/>
        <v>#VALUE!</v>
      </c>
      <c r="BV96" s="449" t="e">
        <f ca="1">INDEX(INDIRECT(VLOOKUP(LEFT(BO96,7),CLU!$Z$3:$AH$18,2)),GN96,GR96)</f>
        <v>#N/A</v>
      </c>
      <c r="BW96" s="433" t="e">
        <f ca="1">INDEX(INDIRECT(VLOOKUP(LEFT(BO96,7),CLU!$Z$3:$AH$18,3)),GN96,GR96)</f>
        <v>#N/A</v>
      </c>
      <c r="BX96" s="433" t="e">
        <f ca="1">INDEX(INDIRECT(VLOOKUP(LEFT(BO96,7),CLU!$Z$3:$AH$18,4)),GN96,GR96)</f>
        <v>#N/A</v>
      </c>
      <c r="BY96" s="433" t="e">
        <f ca="1">INDEX(INDIRECT(VLOOKUP(LEFT(BO96,7),CLU!$Z$3:$AH$18,9)),((M96-2)*(6-COUNTBLANK(GT96:GY96)))+GJ96)</f>
        <v>#N/A</v>
      </c>
      <c r="BZ96" s="426" t="e">
        <f t="shared" ca="1" si="349"/>
        <v>#N/A</v>
      </c>
      <c r="CA96" s="424" t="e">
        <f t="shared" ca="1" si="350"/>
        <v>#N/A</v>
      </c>
      <c r="CB96" s="429" t="e">
        <f ca="1">INDEX(INDIRECT(VLOOKUP(LEFT(BO96,7),CLU!$Z$3:$AH$18,2)),GN96,GS96)</f>
        <v>#N/A</v>
      </c>
      <c r="CC96" s="342" t="e">
        <f ca="1">INDEX(INDIRECT(VLOOKUP(LEFT(BO96,7),CLU!$Z$3:$AH$18,3)),GN96,GS96)</f>
        <v>#N/A</v>
      </c>
      <c r="CD96" s="342" t="e">
        <f ca="1">INDEX(INDIRECT(VLOOKUP(LEFT(BO96,7),CLU!$Z$3:$AH$18,4)),GN96,GS96)</f>
        <v>#N/A</v>
      </c>
      <c r="CE96" s="426" t="e">
        <f t="shared" ca="1" si="351"/>
        <v>#N/A</v>
      </c>
      <c r="CF96" s="440">
        <f t="shared" si="352"/>
        <v>0</v>
      </c>
      <c r="CG96" s="431" t="e">
        <f ca="1">INDEX(INDIRECT(VLOOKUP(LEFT(BO96,7),CLU!$Z$3:$AH$18,2)),GQ96,GR96)</f>
        <v>#N/A</v>
      </c>
      <c r="CH96" s="431" t="e">
        <f ca="1">INDEX(INDIRECT(VLOOKUP(LEFT(BO96,7),CLU!$Z$3:$AH$18,3)),GQ96,GR96)</f>
        <v>#N/A</v>
      </c>
      <c r="CI96" s="431" t="e">
        <f ca="1">INDEX(INDIRECT(VLOOKUP(LEFT(BO96,7),CLU!$Z$3:$AH$18,4)),GQ96,GR96)</f>
        <v>#N/A</v>
      </c>
      <c r="CJ96" s="448" t="e">
        <f t="shared" ca="1" si="353"/>
        <v>#N/A</v>
      </c>
      <c r="CK96" s="431" t="e">
        <f t="shared" ca="1" si="354"/>
        <v>#N/A</v>
      </c>
      <c r="CL96" s="440" t="e">
        <f t="shared" ca="1" si="355"/>
        <v>#N/A</v>
      </c>
      <c r="CM96" s="431" t="e">
        <f ca="1">INDEX(INDIRECT(VLOOKUP(LEFT(BO96,7),CLU!$Z$3:$AH$18,2)),GQ96,GS96)</f>
        <v>#N/A</v>
      </c>
      <c r="CN96" s="431" t="e">
        <f ca="1">INDEX(INDIRECT(VLOOKUP(LEFT(BO96,7),CLU!$Z$3:$AH$18,3)),GQ96,GS96)</f>
        <v>#N/A</v>
      </c>
      <c r="CO96" s="431" t="e">
        <f ca="1">INDEX(INDIRECT(VLOOKUP(LEFT(BO96,7),CLU!$Z$3:$AH$18,4)),GQ96,GS96)</f>
        <v>#N/A</v>
      </c>
      <c r="CP96" s="431" t="e">
        <f t="shared" ca="1" si="356"/>
        <v>#N/A</v>
      </c>
      <c r="CQ96" s="440">
        <f t="shared" si="357"/>
        <v>0</v>
      </c>
      <c r="CR96" s="51" t="e">
        <f t="shared" ca="1" si="358"/>
        <v>#N/A</v>
      </c>
      <c r="CS96" s="439" t="e">
        <f t="shared" ca="1" si="359"/>
        <v>#VALUE!</v>
      </c>
      <c r="CT96" s="51" t="e">
        <f t="shared" ca="1" si="360"/>
        <v>#VALUE!</v>
      </c>
      <c r="CU96" s="10"/>
      <c r="CV96" s="51" t="e">
        <f t="shared" ca="1" si="257"/>
        <v>#VALUE!</v>
      </c>
      <c r="CW96" s="51">
        <f t="shared" si="361"/>
        <v>0</v>
      </c>
      <c r="CX96" s="439" t="e">
        <f t="shared" ca="1" si="362"/>
        <v>#VALUE!</v>
      </c>
      <c r="CY96" s="51" t="e">
        <f t="shared" ca="1" si="363"/>
        <v>#VALUE!</v>
      </c>
      <c r="CZ96" s="10"/>
      <c r="DA96" s="51" t="e">
        <f t="shared" ca="1" si="364"/>
        <v>#VALUE!</v>
      </c>
      <c r="DB96" s="347" t="e">
        <f ca="1">INDEX(INDIRECT(VLOOKUP(LEFT(BO96,7),CLU!$Z$3:$AI$18,10)),((M96-2)*(6-COUNTBLANK(GT96:GY96)))+GJ96)*LI96</f>
        <v>#N/A</v>
      </c>
      <c r="DC96" s="347" t="str">
        <f>IF(L96&gt;0,((R96/Worksheet!$I$15)/DB96)^2," ")</f>
        <v xml:space="preserve"> </v>
      </c>
      <c r="DD96" s="602" t="str">
        <f t="shared" si="365"/>
        <v xml:space="preserve"> </v>
      </c>
      <c r="DE96" s="347" t="str">
        <f t="shared" si="258"/>
        <v xml:space="preserve"> </v>
      </c>
      <c r="DF96" s="356" t="e">
        <f ca="1">INDEX(INDIRECT(VLOOKUP(LEFT(BO96,7),CLU!$Z$3:$AH$18,8)),((M96-2)*(6-COUNTBLANK(GT96:GY96)))+GJ96)</f>
        <v>#N/A</v>
      </c>
      <c r="DG96" s="347" t="str">
        <f t="shared" si="259"/>
        <v xml:space="preserve"> </v>
      </c>
      <c r="DH96" s="357" t="str">
        <f t="shared" si="260"/>
        <v xml:space="preserve"> </v>
      </c>
      <c r="DI96" s="355" t="str">
        <f t="shared" si="261"/>
        <v xml:space="preserve"> </v>
      </c>
      <c r="DJ96" s="245" t="e">
        <f ca="1">INDEX(INDIRECT(VLOOKUP(LEFT(BO96,7),CLU!$Z$3:$AH$18,5)),GL96,GK96)</f>
        <v>#N/A</v>
      </c>
      <c r="DK96" s="245" t="e">
        <f ca="1">INDEX(INDIRECT(VLOOKUP(LEFT(BO96,7),CLU!$Z$3:$AH$18,6)),GL96,GK96)</f>
        <v>#N/A</v>
      </c>
      <c r="DL96" s="355">
        <f>(Calculation!R96*0.69143*(Calculation!$BQ$8-Calculation!$F$8))*$S$14</f>
        <v>0</v>
      </c>
      <c r="DM96" s="359" t="e">
        <f t="shared" si="366"/>
        <v>#VALUE!</v>
      </c>
      <c r="DN96" s="611">
        <f t="shared" si="367"/>
        <v>0</v>
      </c>
      <c r="DO96" s="359">
        <f t="shared" si="368"/>
        <v>100</v>
      </c>
      <c r="DP96" s="359">
        <f t="shared" si="369"/>
        <v>0</v>
      </c>
      <c r="DQ96" s="360"/>
      <c r="DR96" s="245" t="e">
        <f ca="1">INDEX(INDIRECT(VLOOKUP(LEFT(BO96,7),CLU!$Z$3:$AH$18,7)),M96-1,1)</f>
        <v>#N/A</v>
      </c>
      <c r="DS96" s="245" t="e">
        <f ca="1">INDEX(INDIRECT(VLOOKUP(LEFT(BO96,7),CLU!$Z$3:$AH$18,7)),M96-1,2)</f>
        <v>#N/A</v>
      </c>
      <c r="DT96" s="245" t="e">
        <f ca="1">INDEX(INDIRECT(VLOOKUP(LEFT(BO96,7),CLU!$Z$3:$AH$18,7)),M96-1,3)</f>
        <v>#N/A</v>
      </c>
      <c r="DU96" s="245" t="e">
        <f ca="1">INDEX(INDIRECT(VLOOKUP(LEFT(BO96,7),CLU!$Z$3:$AH$18,7)),M96-1,4)</f>
        <v>#N/A</v>
      </c>
      <c r="DV96" s="361" t="e">
        <f ca="1">INDEX(INDIRECT(VLOOKUP(LEFT(BO96,7),CLU!$Z$3:$AH$18,7)),M96-1,4+LEFT(DZ96,1)*0.5)</f>
        <v>#N/A</v>
      </c>
      <c r="DW96" s="245" t="e">
        <f ca="1">INDEX(INDIRECT(VLOOKUP(LEFT(BO96,7),CLU!$Z$3:$AH$18,7)),M96-1,8)</f>
        <v>#N/A</v>
      </c>
      <c r="DX96" s="361" t="str">
        <f t="shared" si="262"/>
        <v xml:space="preserve"> </v>
      </c>
      <c r="DY96" s="361" t="str">
        <f t="shared" si="263"/>
        <v xml:space="preserve"> </v>
      </c>
      <c r="DZ96" s="361" t="str">
        <f t="shared" si="264"/>
        <v xml:space="preserve"> </v>
      </c>
      <c r="EA96" s="362" t="str">
        <f t="shared" si="265"/>
        <v xml:space="preserve"> </v>
      </c>
      <c r="EB96" s="624" t="str">
        <f t="shared" si="370"/>
        <v xml:space="preserve"> </v>
      </c>
      <c r="EC96" s="361" t="e">
        <f ca="1">INDEX(INDIRECT(VLOOKUP(LEFT(BO96,7),CLU!$Z$3:$AH$18,7)),M96-1,4+LEFT(DZ96,1)*0.5)</f>
        <v>#N/A</v>
      </c>
      <c r="ED96" s="362" t="str">
        <f t="shared" si="266"/>
        <v xml:space="preserve"> </v>
      </c>
      <c r="EE96" s="361" t="str">
        <f t="shared" si="267"/>
        <v xml:space="preserve"> </v>
      </c>
      <c r="EF96" s="362" t="str">
        <f>IF(L96&gt;0,IF(BR96&gt;0,IF(EE96="2P",IF(Calculation!DZ96="2P",IF(Calculation!DS96=13.75,IF(Calculation!DR96=13,Worksheet!$BD$43,IF(Calculation!DR96=37,Worksheet!$BD$44,Worksheet!$BD$45)),IF(Calculation!DS96=10,IF(Calculation!DR96=18,Worksheet!$BD$29,IF(Calculation!DR96=30,Worksheet!$BD$30,IF(Calculation!DR96=42,Worksheet!$BD$31,IF(Calculation!DR96=54,Worksheet!$BD$32,IF(Calculation!DR96=66,Worksheet!$BD$33,IF(Calculation!DR96=78,Worksheet!$BD$34,IF(Calculation!DR96=90,Worksheet!$BD$35,IF(Calculation!DR96=102,Worksheet!$BD$36,Worksheet!$BD$37)))))))),IF(Calculation!DS96=12.5,IF(Calculation!DR96=18,Worksheet!$BD$38,IF(Calculation!DR96=Worksheet!$BD$39,IF(Calculation!DR96=42,Worksheet!$BD$40,IF(Calculation!DR96=54,Worksheet!$BD$41,Worksheet!$BD$42)))),IF(Calculation!DR96=18,Worksheet!$BD$11,IF(Calculation!DR96=30,Worksheet!$BD$12,IF(Calculation!DR96=42,Worksheet!$BD$13,IF(Calculation!DR96=54,Worksheet!$BD$14,IF(Calculation!DR96=66,Worksheet!$BD$15,IF(Calculation!DR96=78,Worksheet!$BD$16,IF(Calculation!DR96=90,Worksheet!$BD$17,IF(Calculation!DR96=102,Worksheet!$BD$18,Worksheet!$BD$19))))))))))),IF(Calculation!DS96=13.75,IF(Calculation!DR96=13,Worksheet!$BD$78,IF(Calculation!DR96=37,Worksheet!$BD$79,Worksheet!$BD$80)),IF(Calculation!DS96=10,IF(Calculation!DR96=18,Worksheet!$BD$64,IF(Calculation!DR96=30,Worksheet!$BD$65,IF(Calculation!DR96=42,Worksheet!$BD$66,IF(Calculation!DR96=54,Worksheet!$BD$68,IF(Calculation!DR96=66,Worksheet!$BD$68,IF(Calculation!DR96=78,Worksheet!$BD$69,IF(Calculation!DR96=90,Worksheet!$BD$70,IF(Calculation!DR96=102,Worksheet!$BD$71,Worksheet!$BD$72)))))))),IF(Calculation!DS96=12.5,IF(Calculation!DR96=18,Worksheet!$BD$73,IF(Calculation!DR96=Worksheet!$BD$74,IF(Calculation!DR96=42,Worksheet!$BD$75,IF(Calculation!DR96=54,Worksheet!$BD$76,Worksheet!$BD$77)))),IF(Calculation!DR96=18,Worksheet!$BD$55,IF(Calculation!DR96=30,Worksheet!$BD$56,IF(Calculation!DR96=42,Worksheet!$BD$57,IF(Calculation!DR96=54,Worksheet!$BD$58,IF(Calculation!DR96=66,Worksheet!$BD$59,IF(Calculation!DR96=78,Worksheet!$BD$60,IF(Calculation!DR96=90,Worksheet!$BD$61,IF(Calculation!DR96=102,Worksheet!$BD$62,Worksheet!$BD$63)))))))))))),5),0)," ")</f>
        <v xml:space="preserve"> </v>
      </c>
      <c r="EG96" s="361" t="str">
        <f t="shared" si="268"/>
        <v xml:space="preserve"> </v>
      </c>
      <c r="EH96" s="361" t="e">
        <f ca="1">INDEX(INDIRECT(VLOOKUP(LEFT(BO96,7),CLU!$Z$3:$AH$18,7)),M96-1,3+LEFT(DZ96,1))</f>
        <v>#N/A</v>
      </c>
      <c r="EI96" s="362" t="str">
        <f t="shared" si="269"/>
        <v xml:space="preserve"> </v>
      </c>
      <c r="EJ96" s="363" t="str">
        <f t="shared" si="270"/>
        <v xml:space="preserve"> </v>
      </c>
      <c r="EK96" s="363" t="str">
        <f t="shared" si="271"/>
        <v xml:space="preserve"> </v>
      </c>
      <c r="EL96" s="363" t="str">
        <f t="shared" si="272"/>
        <v xml:space="preserve"> </v>
      </c>
      <c r="EM96" s="362" t="str">
        <f>IF(L96&gt;0,IF(BR96&gt;0,(Calculation!T96/ED96)^2,0)," ")</f>
        <v xml:space="preserve"> </v>
      </c>
      <c r="EN96" s="362" t="str">
        <f>IF(L96&gt;0,IF(O96="2 Pipe (Cooling)","N/A",IF(BR96&gt;0,(Calculation!U96/EI96)^2,0))," ")</f>
        <v xml:space="preserve"> </v>
      </c>
      <c r="EO96" s="361" t="str">
        <f t="shared" si="273"/>
        <v/>
      </c>
      <c r="EP96" s="361" t="str">
        <f t="shared" si="274"/>
        <v/>
      </c>
      <c r="EQ96" s="361" t="str">
        <f t="shared" si="275"/>
        <v/>
      </c>
      <c r="ER96" s="361" t="str">
        <f t="shared" si="276"/>
        <v/>
      </c>
      <c r="ES96" s="361" t="str">
        <f t="shared" si="277"/>
        <v/>
      </c>
      <c r="ET96" s="361" t="str">
        <f t="shared" si="278"/>
        <v/>
      </c>
      <c r="EU96" s="361" t="str">
        <f t="shared" si="279"/>
        <v/>
      </c>
      <c r="EV96" s="361" t="str">
        <f t="shared" si="280"/>
        <v/>
      </c>
      <c r="EW96" s="361" t="str">
        <f t="shared" si="281"/>
        <v/>
      </c>
      <c r="EX96" s="361" t="str">
        <f t="shared" si="371"/>
        <v>1 slot, 1 way</v>
      </c>
      <c r="EY96" s="361" t="str">
        <f t="shared" si="372"/>
        <v xml:space="preserve"> </v>
      </c>
      <c r="EZ96" s="361" t="str">
        <f t="shared" si="373"/>
        <v xml:space="preserve"> </v>
      </c>
      <c r="FA96" s="361" t="str">
        <f t="shared" si="374"/>
        <v xml:space="preserve"> </v>
      </c>
      <c r="FB96" s="361" t="str">
        <f t="shared" si="375"/>
        <v xml:space="preserve"> </v>
      </c>
      <c r="FC96" s="361"/>
      <c r="FD96" s="361" t="str">
        <f>IF(J96&gt;0,IF(Calculation!R96&lt;=70,4,IF(Calculation!R96&lt;=110,5,IF(Calculation!R96&lt;=160,6,IF(Calculation!R96&lt;=300,8,"10 EO")))),"")</f>
        <v/>
      </c>
      <c r="FE96" s="361" t="str">
        <f t="shared" si="376"/>
        <v/>
      </c>
      <c r="FF96" s="361" t="str">
        <f t="shared" si="377"/>
        <v/>
      </c>
      <c r="FG96" s="361" t="e">
        <f t="shared" si="282"/>
        <v>#N/A</v>
      </c>
      <c r="FH96" s="361">
        <f t="shared" si="283"/>
        <v>0</v>
      </c>
      <c r="FI96" s="361" t="e">
        <f t="shared" si="284"/>
        <v>#DIV/0!</v>
      </c>
      <c r="FJ96" s="361"/>
      <c r="FK96" s="356" t="e">
        <f t="shared" si="285"/>
        <v>#VALUE!</v>
      </c>
      <c r="FL96" s="361"/>
      <c r="FM96" s="361"/>
      <c r="FN96" s="362" t="str">
        <f t="shared" si="378"/>
        <v xml:space="preserve"> </v>
      </c>
      <c r="FO96" s="362" t="str">
        <f t="shared" si="379"/>
        <v xml:space="preserve"> </v>
      </c>
      <c r="FP96" s="362">
        <f t="shared" si="380"/>
        <v>0</v>
      </c>
      <c r="FQ96" s="361">
        <f t="shared" si="286"/>
        <v>0</v>
      </c>
      <c r="FR96" s="362" t="str">
        <f>IF(L96&gt;0,IF(J96="CBAL2",Worksheet!$P$67,IF(J96="CBE2-24",Worksheet!$Q$67,IF(J96="CBAM",Worksheet!$R$67,IF(J96="CBLV",Worksheet!$S$67,IF(J96="CBAB",Worksheet!$U$67,IF(J96="CBAW",Worksheet!$X$67,IF(J96="CBE2-12",Worksheet!$Y$67,IF(J96="CBAL2",Worksheet!$Z$67,"N/A"))))))))," ")</f>
        <v xml:space="preserve"> </v>
      </c>
      <c r="FS96" s="362" t="str">
        <f>IF(L96&gt;0,IF(J96="CBAL2",Worksheet!$P$68,IF(J96="CBE2-24",Worksheet!$Q$68,IF(J96="CBAM",Worksheet!$R$68,IF(J96="CBLV",Worksheet!$S$68,IF(J96="CBAB",Worksheet!$U$68,IF(J96="CBAW",Worksheet!$X$68,IF(J96="CBE2-12",Worksheet!$Y$68,IF(J96="CBAL2",Worksheet!$Z$68,"N/A"))))))))," ")</f>
        <v xml:space="preserve"> </v>
      </c>
      <c r="FT96" s="362" t="str">
        <f>IF(L96&gt;0,IF(J96="CBAL2",Worksheet!$P$69,IF(J96="CBE2-24",Worksheet!$Q$69,IF(J96="CBAM",Worksheet!$R$69,IF(J96="CBLV",Worksheet!$S$69,IF(J96="CBAB",Worksheet!$U$69,IF(J96="CBAW",Worksheet!$X$69,IF(J96="CBE2-12",Worksheet!$Y$69,IF(J96="CBAL2",Worksheet!$Z$69,"N/A"))))))))," ")</f>
        <v xml:space="preserve"> </v>
      </c>
      <c r="FU96" s="361" t="str">
        <f t="shared" si="381"/>
        <v xml:space="preserve"> </v>
      </c>
      <c r="FV96" s="362" t="str">
        <f t="shared" si="382"/>
        <v xml:space="preserve"> </v>
      </c>
      <c r="FW96" s="362" t="str">
        <f t="shared" si="383"/>
        <v xml:space="preserve"> </v>
      </c>
      <c r="FX96" s="362" t="str">
        <f t="shared" si="384"/>
        <v xml:space="preserve"> </v>
      </c>
      <c r="FY96" s="355" t="str">
        <f t="shared" si="385"/>
        <v xml:space="preserve"> </v>
      </c>
      <c r="FZ96" s="361" t="str">
        <f t="shared" si="386"/>
        <v xml:space="preserve"> </v>
      </c>
      <c r="GA96" s="347" t="str">
        <f t="shared" si="387"/>
        <v xml:space="preserve"> </v>
      </c>
      <c r="GB96" s="355" t="str">
        <f t="shared" si="388"/>
        <v xml:space="preserve"> </v>
      </c>
      <c r="GC96" s="328" t="str">
        <f t="shared" si="389"/>
        <v xml:space="preserve"> </v>
      </c>
      <c r="GD96" s="361" t="str">
        <f t="shared" si="390"/>
        <v xml:space="preserve"> </v>
      </c>
      <c r="GE96" s="347" t="str">
        <f t="shared" si="391"/>
        <v xml:space="preserve"> </v>
      </c>
      <c r="GF96" s="361" t="str">
        <f t="shared" si="392"/>
        <v xml:space="preserve"> </v>
      </c>
      <c r="GG96" s="347" t="str">
        <f t="shared" si="393"/>
        <v xml:space="preserve"> </v>
      </c>
      <c r="GH96" s="364">
        <f t="shared" si="287"/>
        <v>0</v>
      </c>
      <c r="GI96" s="362">
        <f t="shared" si="394"/>
        <v>2</v>
      </c>
      <c r="GJ96" s="433" t="e">
        <f>IF(6-COUNTBLANK(GT96:GY96)=4,MATCH(MID(BO96,9,3),CLU!$H$16:$K$16),MATCH(MID(BO96,9,3),CLU!$H$13:$M$13))</f>
        <v>#N/A</v>
      </c>
      <c r="GK96" s="433" t="e">
        <f>HLOOKUP(VALUE(BP96),CLU!$H$9:$M$10,2)</f>
        <v>#VALUE!</v>
      </c>
      <c r="GL96" s="433" t="e">
        <f ca="1">MATCH(BU96,CLU!$H$2:$V$2,1)</f>
        <v>#VALUE!</v>
      </c>
      <c r="GM96" s="433" t="e">
        <f t="shared" ca="1" si="395"/>
        <v>#VALUE!</v>
      </c>
      <c r="GN96" s="433" t="e">
        <f t="shared" ca="1" si="396"/>
        <v>#VALUE!</v>
      </c>
      <c r="GO96" s="433" t="e">
        <f t="shared" ca="1" si="397"/>
        <v>#VALUE!</v>
      </c>
      <c r="GP96" s="433" t="e">
        <f t="shared" ca="1" si="398"/>
        <v>#VALUE!</v>
      </c>
      <c r="GQ96" s="433" t="e">
        <f t="shared" ca="1" si="399"/>
        <v>#VALUE!</v>
      </c>
      <c r="GR96" s="433" t="e">
        <f ca="1">MATCH(T96,INDIRECT(VLOOKUP(CONCATENATE(LEFT(BO96,7),"-",MID(BO96,13,1)),CLU!$P$3:$Q$16,2)),1)</f>
        <v>#N/A</v>
      </c>
      <c r="GS96" s="433" t="e">
        <f ca="1">MATCH(U96,INDIRECT(VLOOKUP(CONCATENATE(LEFT(BO96,7),"-",MID(BO96,13,1)),CLU!$P$3:$Q$16,2)),1)</f>
        <v>#N/A</v>
      </c>
      <c r="GT96" s="347" t="s">
        <v>512</v>
      </c>
      <c r="GU96" s="97" t="s">
        <v>513</v>
      </c>
      <c r="GV96" s="97" t="str">
        <f t="shared" si="400"/>
        <v>M23</v>
      </c>
      <c r="GW96" s="97" t="str">
        <f t="shared" si="401"/>
        <v>M31</v>
      </c>
      <c r="GX96" s="97" t="str">
        <f t="shared" si="402"/>
        <v/>
      </c>
      <c r="GY96" s="97" t="str">
        <f t="shared" si="403"/>
        <v/>
      </c>
      <c r="GZ96" s="481"/>
      <c r="HA96" s="288"/>
      <c r="HB96" s="240"/>
      <c r="HC96" s="240"/>
      <c r="HD96" s="240"/>
      <c r="HE96" s="240"/>
      <c r="HF96" s="240"/>
      <c r="HG96" s="240"/>
      <c r="HH96" s="240"/>
      <c r="HI96" s="240"/>
      <c r="HJ96" s="240"/>
      <c r="HK96" s="240"/>
      <c r="HL96" s="240"/>
      <c r="HM96" s="240"/>
      <c r="HN96" s="240"/>
      <c r="HO96" s="240"/>
      <c r="HP96" s="240"/>
      <c r="HQ96" s="240"/>
      <c r="HR96" s="240"/>
      <c r="HS96" s="240"/>
      <c r="HT96" s="240"/>
      <c r="HU96" s="240"/>
      <c r="HV96" s="245"/>
      <c r="HW96" s="245" t="b">
        <v>1</v>
      </c>
      <c r="HX96" s="245" t="str">
        <f t="shared" si="288"/>
        <v/>
      </c>
      <c r="HY96" s="245" t="e">
        <f t="shared" si="289"/>
        <v>#DIV/0!</v>
      </c>
      <c r="HZ96" s="245" t="e">
        <f t="shared" si="290"/>
        <v>#DIV/0!</v>
      </c>
      <c r="IA96" s="245">
        <f t="shared" si="291"/>
        <v>0</v>
      </c>
      <c r="IB96" s="245"/>
      <c r="IC96" t="b">
        <f t="shared" si="292"/>
        <v>1</v>
      </c>
      <c r="ID96" s="245" t="b">
        <f t="shared" si="293"/>
        <v>1</v>
      </c>
      <c r="IE96" s="245" t="b">
        <f t="shared" si="294"/>
        <v>1</v>
      </c>
      <c r="IF96" s="245" t="b">
        <f t="shared" si="295"/>
        <v>0</v>
      </c>
      <c r="IG96" s="245" t="b">
        <f t="shared" si="296"/>
        <v>1</v>
      </c>
      <c r="IH96" s="245" t="b">
        <f t="shared" si="297"/>
        <v>1</v>
      </c>
      <c r="II96" s="245">
        <f t="shared" si="404"/>
        <v>0</v>
      </c>
      <c r="IJ96" s="245" t="e">
        <f t="shared" si="298"/>
        <v>#VALUE!</v>
      </c>
      <c r="IK96" s="245" t="e">
        <f t="shared" si="299"/>
        <v>#VALUE!</v>
      </c>
      <c r="IL96" s="245"/>
      <c r="IM96" s="245" t="e">
        <f t="shared" si="405"/>
        <v>#N/A</v>
      </c>
      <c r="IN96" s="245" t="e">
        <f t="shared" si="406"/>
        <v>#N/A</v>
      </c>
      <c r="IO96" s="245"/>
      <c r="IP96" s="245"/>
      <c r="IQ96" s="245" t="str">
        <f t="shared" si="300"/>
        <v/>
      </c>
      <c r="IR96" s="245" t="str">
        <f>IF(J96="","",VLOOKUP(J96,Worksheet!$R$4:$T$14,2))</f>
        <v/>
      </c>
      <c r="IS96" s="245"/>
      <c r="IT96" s="245">
        <f t="shared" si="301"/>
        <v>0</v>
      </c>
      <c r="IU96" s="245">
        <f t="shared" si="302"/>
        <v>0</v>
      </c>
      <c r="IV96" s="245">
        <f t="shared" si="303"/>
        <v>0</v>
      </c>
      <c r="IW96" s="245">
        <f t="shared" si="304"/>
        <v>0</v>
      </c>
      <c r="IX96" s="245">
        <f t="shared" si="407"/>
        <v>0</v>
      </c>
      <c r="IY96" s="245">
        <f t="shared" si="305"/>
        <v>0</v>
      </c>
      <c r="IZ96" s="245">
        <f t="shared" si="306"/>
        <v>0</v>
      </c>
      <c r="JA96">
        <f t="shared" si="307"/>
        <v>0</v>
      </c>
      <c r="JB96">
        <f t="shared" si="408"/>
        <v>0</v>
      </c>
      <c r="JC96">
        <f t="shared" si="308"/>
        <v>0</v>
      </c>
      <c r="JD96">
        <f t="shared" si="309"/>
        <v>0</v>
      </c>
      <c r="JE96">
        <f t="shared" si="310"/>
        <v>0</v>
      </c>
      <c r="JF96">
        <f t="shared" si="311"/>
        <v>0</v>
      </c>
      <c r="JG96">
        <f t="shared" si="312"/>
        <v>0</v>
      </c>
      <c r="JH96">
        <f t="shared" si="313"/>
        <v>0</v>
      </c>
      <c r="JI96">
        <f t="shared" si="314"/>
        <v>0</v>
      </c>
      <c r="JJ96" s="447">
        <f t="shared" si="315"/>
        <v>0</v>
      </c>
      <c r="JK96" s="447">
        <f t="shared" si="316"/>
        <v>0</v>
      </c>
      <c r="JL96">
        <f t="shared" si="317"/>
        <v>0</v>
      </c>
      <c r="JM96" s="245" t="str">
        <f>IFERROR(VLOOKUP(MATCH(BN96,#REF!,0),#REF!,7),"")</f>
        <v/>
      </c>
      <c r="JN96" t="e">
        <f>HLOOKUP(LEFT(BO96,7),Discharge_Area,MATCH(JO96,LookUps!$B$130:$B$149,1)+2)</f>
        <v>#N/A</v>
      </c>
      <c r="JO96" t="str">
        <f t="shared" si="318"/>
        <v>- S</v>
      </c>
      <c r="JP96" t="e">
        <f>HLOOKUP(LEFT(BO96,7),Discharge_Area,MATCH(JO96,LookUps!$B$130:$B$149,1)+2)</f>
        <v>#N/A</v>
      </c>
      <c r="JQ96" t="e">
        <f t="shared" si="319"/>
        <v>#N/A</v>
      </c>
      <c r="JR96" t="e">
        <f t="shared" si="320"/>
        <v>#N/A</v>
      </c>
      <c r="JS96" t="e">
        <f t="shared" si="321"/>
        <v>#N/A</v>
      </c>
      <c r="JT96" s="532" t="str">
        <f t="shared" si="322"/>
        <v xml:space="preserve"> </v>
      </c>
      <c r="JU96" s="532" t="str">
        <f t="shared" si="323"/>
        <v xml:space="preserve"> </v>
      </c>
      <c r="JV96" s="533" t="str">
        <f t="shared" si="324"/>
        <v xml:space="preserve"> </v>
      </c>
      <c r="JW96" s="534">
        <f t="shared" si="325"/>
        <v>0</v>
      </c>
      <c r="JX96" s="535" t="str">
        <f t="shared" si="409"/>
        <v xml:space="preserve"> </v>
      </c>
      <c r="JY96" s="535" t="str">
        <f t="shared" si="410"/>
        <v xml:space="preserve"> </v>
      </c>
      <c r="JZ96" s="535" t="str">
        <f t="shared" si="411"/>
        <v xml:space="preserve"> </v>
      </c>
      <c r="KA96" s="536" t="str">
        <f t="shared" si="326"/>
        <v xml:space="preserve"> </v>
      </c>
      <c r="KB96" s="535" t="e">
        <f t="shared" si="412"/>
        <v>#VALUE!</v>
      </c>
      <c r="KC96" s="535" t="str">
        <f t="shared" si="327"/>
        <v/>
      </c>
      <c r="KD96" s="537" t="str">
        <f t="shared" si="413"/>
        <v xml:space="preserve"> </v>
      </c>
      <c r="KE96" s="537" t="str">
        <f t="shared" si="414"/>
        <v xml:space="preserve"> </v>
      </c>
      <c r="KF96" s="534">
        <f t="shared" si="328"/>
        <v>0</v>
      </c>
      <c r="KG96" s="535" t="str">
        <f t="shared" si="329"/>
        <v xml:space="preserve"> </v>
      </c>
      <c r="KH96" s="535" t="str">
        <f t="shared" si="330"/>
        <v xml:space="preserve"> </v>
      </c>
      <c r="KI96" s="535" t="str">
        <f t="shared" si="331"/>
        <v xml:space="preserve"> </v>
      </c>
      <c r="KJ96" s="536" t="str">
        <f t="shared" si="332"/>
        <v xml:space="preserve"> </v>
      </c>
      <c r="KK96" s="535" t="str">
        <f t="shared" si="415"/>
        <v xml:space="preserve"> </v>
      </c>
      <c r="KL96" s="535" t="str">
        <f t="shared" si="416"/>
        <v xml:space="preserve"> </v>
      </c>
      <c r="KM96" s="537" t="str">
        <f t="shared" si="333"/>
        <v xml:space="preserve"> </v>
      </c>
      <c r="KN96" s="537" t="str">
        <f t="shared" si="417"/>
        <v xml:space="preserve"> </v>
      </c>
      <c r="KP96">
        <f t="shared" si="334"/>
        <v>0</v>
      </c>
      <c r="LA96" t="e">
        <f t="shared" si="335"/>
        <v>#VALUE!</v>
      </c>
      <c r="LB96" t="e">
        <f t="shared" si="336"/>
        <v>#VALUE!</v>
      </c>
      <c r="LC96" t="e">
        <f t="shared" si="337"/>
        <v>#VALUE!</v>
      </c>
      <c r="LD96" t="e">
        <f t="shared" si="338"/>
        <v>#VALUE!</v>
      </c>
      <c r="LE96" t="e">
        <f t="shared" si="418"/>
        <v>#VALUE!</v>
      </c>
      <c r="LF96">
        <f t="shared" si="339"/>
        <v>0</v>
      </c>
      <c r="LG96" t="e">
        <f t="shared" si="419"/>
        <v>#VALUE!</v>
      </c>
      <c r="LH96" t="str">
        <f t="shared" si="340"/>
        <v xml:space="preserve"> </v>
      </c>
      <c r="LI96">
        <f t="shared" si="420"/>
        <v>1</v>
      </c>
    </row>
    <row r="97" spans="2:321" ht="15" customHeight="1">
      <c r="B97" s="311"/>
      <c r="C97" s="311"/>
      <c r="D97" s="312"/>
      <c r="E97" s="311"/>
      <c r="F97" s="312"/>
      <c r="G97" s="311"/>
      <c r="H97" s="311"/>
      <c r="I97" s="37"/>
      <c r="J97" s="311"/>
      <c r="K97" s="305" t="str">
        <f t="shared" si="341"/>
        <v/>
      </c>
      <c r="L97" s="313"/>
      <c r="M97" s="312"/>
      <c r="N97" s="311"/>
      <c r="O97" s="312"/>
      <c r="P97" s="311"/>
      <c r="Q97" s="305" t="str">
        <f t="shared" si="342"/>
        <v/>
      </c>
      <c r="R97" s="314"/>
      <c r="S97" s="450" t="str">
        <f t="shared" si="225"/>
        <v/>
      </c>
      <c r="T97" s="315"/>
      <c r="U97" s="315"/>
      <c r="W97" s="149" t="str">
        <f t="shared" si="226"/>
        <v xml:space="preserve"> </v>
      </c>
      <c r="X97" s="243" t="str">
        <f t="shared" si="227"/>
        <v xml:space="preserve"> </v>
      </c>
      <c r="Y97" s="150" t="str">
        <f t="shared" si="228"/>
        <v/>
      </c>
      <c r="Z97" s="149" t="str">
        <f t="shared" si="229"/>
        <v xml:space="preserve"> </v>
      </c>
      <c r="AA97" s="98" t="str">
        <f t="shared" si="230"/>
        <v xml:space="preserve"> </v>
      </c>
      <c r="AB97" s="153" t="str">
        <f t="shared" si="231"/>
        <v xml:space="preserve"> </v>
      </c>
      <c r="AC97" s="153" t="str">
        <f t="shared" si="232"/>
        <v xml:space="preserve"> </v>
      </c>
      <c r="AD97" s="148" t="str">
        <f t="shared" si="233"/>
        <v/>
      </c>
      <c r="AE97" s="149" t="str">
        <f t="shared" si="234"/>
        <v/>
      </c>
      <c r="AF97" s="151" t="str">
        <f t="shared" si="235"/>
        <v xml:space="preserve"> </v>
      </c>
      <c r="AG97" s="153" t="str">
        <f t="shared" si="236"/>
        <v xml:space="preserve"> </v>
      </c>
      <c r="AH97" s="98" t="str">
        <f t="shared" si="237"/>
        <v xml:space="preserve"> </v>
      </c>
      <c r="AI97" s="149" t="str">
        <f t="shared" si="238"/>
        <v xml:space="preserve"> </v>
      </c>
      <c r="AK97" s="144" t="str">
        <f t="shared" si="239"/>
        <v xml:space="preserve"> </v>
      </c>
      <c r="AL97" s="144"/>
      <c r="AM97" s="243" t="str">
        <f t="shared" si="240"/>
        <v xml:space="preserve"> </v>
      </c>
      <c r="AN97" s="149" t="str">
        <f t="shared" si="343"/>
        <v xml:space="preserve"> </v>
      </c>
      <c r="AO97" s="144" t="str">
        <f>IF(JB97&gt;0,IF(GI97=10,-R97*1.085*(Calculation!$F$6-Calculation!$F$13)*$S$14," "),"")</f>
        <v/>
      </c>
      <c r="AP97" s="144" t="str">
        <f t="shared" si="241"/>
        <v/>
      </c>
      <c r="AQ97" s="56" t="str">
        <f t="shared" si="242"/>
        <v/>
      </c>
      <c r="AR97" s="144" t="str">
        <f t="shared" si="243"/>
        <v/>
      </c>
      <c r="AS97" s="176" t="str">
        <f t="shared" si="244"/>
        <v/>
      </c>
      <c r="AT97" s="176" t="str">
        <f t="shared" si="344"/>
        <v xml:space="preserve"> </v>
      </c>
      <c r="AU97" s="176" t="str">
        <f t="shared" si="245"/>
        <v/>
      </c>
      <c r="AV97" s="177" t="str">
        <f t="shared" si="246"/>
        <v xml:space="preserve"> </v>
      </c>
      <c r="AW97" s="144" t="str">
        <f t="shared" si="247"/>
        <v xml:space="preserve"> </v>
      </c>
      <c r="AX97" s="144" t="str">
        <f t="shared" si="248"/>
        <v xml:space="preserve"> </v>
      </c>
      <c r="AY97" s="152" t="str">
        <f t="shared" si="249"/>
        <v xml:space="preserve"> </v>
      </c>
      <c r="AZ97" s="246" t="str">
        <f t="shared" si="250"/>
        <v/>
      </c>
      <c r="BA97" s="176" t="str">
        <f t="shared" si="251"/>
        <v xml:space="preserve"> </v>
      </c>
      <c r="BB97" s="176" t="str">
        <f t="shared" si="252"/>
        <v xml:space="preserve"> </v>
      </c>
      <c r="BC97" s="195"/>
      <c r="BD97" s="316"/>
      <c r="BE97" s="317"/>
      <c r="BF97" s="318"/>
      <c r="BG97" s="318"/>
      <c r="BH97" s="144" t="str">
        <f t="shared" si="421"/>
        <v xml:space="preserve"> </v>
      </c>
      <c r="BI97" s="176" t="str">
        <f t="shared" si="253"/>
        <v/>
      </c>
      <c r="BJ97" s="144" t="str">
        <f t="shared" si="422"/>
        <v/>
      </c>
      <c r="BK97" s="246" t="str">
        <f t="shared" si="254"/>
        <v/>
      </c>
      <c r="BL97" s="144" t="str">
        <f t="shared" si="423"/>
        <v/>
      </c>
      <c r="BM97" s="246" t="str">
        <f t="shared" si="255"/>
        <v/>
      </c>
      <c r="BN97" s="337" t="str">
        <f t="shared" si="345"/>
        <v/>
      </c>
      <c r="BO97" s="371" t="str">
        <f t="shared" si="346"/>
        <v/>
      </c>
      <c r="BP97" s="328" t="str">
        <f t="shared" si="424"/>
        <v xml:space="preserve"> </v>
      </c>
      <c r="BQ97" s="347" t="str">
        <f t="shared" si="347"/>
        <v xml:space="preserve"> </v>
      </c>
      <c r="BR97" s="353" t="str">
        <f t="shared" si="348"/>
        <v xml:space="preserve"> </v>
      </c>
      <c r="BS97" s="626" t="str">
        <f>IF(L97&gt;0,IF(Calculation!P97="M13",BR97*3.1416*(0.134^2)/(4*144),IF(Calculation!P97="M17",BR97*3.1416*(0.165^2)/(4*144),IF(Calculation!P97="M20",BR97*3.1416*(0.198^2)/(4*144),IF(Calculation!P97="M23",BR97*3.1416*(0.228^2)/(4*144),IF(Calculation!P97="M27",BR97*3.1416*(0.269^2)/(4*144),BR97*3.1416*(0.307^2)/(4*144))))))," ")</f>
        <v xml:space="preserve"> </v>
      </c>
      <c r="BT97" s="353" t="str">
        <f>IF(L97&gt;0,IF(BS97&gt;0,R97/Calculation!BS97,0)," ")</f>
        <v xml:space="preserve"> </v>
      </c>
      <c r="BU97" s="438" t="e">
        <f t="shared" ca="1" si="256"/>
        <v>#VALUE!</v>
      </c>
      <c r="BV97" s="449" t="e">
        <f ca="1">INDEX(INDIRECT(VLOOKUP(LEFT(BO97,7),CLU!$Z$3:$AH$18,2)),GN97,GR97)</f>
        <v>#N/A</v>
      </c>
      <c r="BW97" s="433" t="e">
        <f ca="1">INDEX(INDIRECT(VLOOKUP(LEFT(BO97,7),CLU!$Z$3:$AH$18,3)),GN97,GR97)</f>
        <v>#N/A</v>
      </c>
      <c r="BX97" s="433" t="e">
        <f ca="1">INDEX(INDIRECT(VLOOKUP(LEFT(BO97,7),CLU!$Z$3:$AH$18,4)),GN97,GR97)</f>
        <v>#N/A</v>
      </c>
      <c r="BY97" s="433" t="e">
        <f ca="1">INDEX(INDIRECT(VLOOKUP(LEFT(BO97,7),CLU!$Z$3:$AH$18,9)),((M97-2)*(6-COUNTBLANK(GT97:GY97)))+GJ97)</f>
        <v>#N/A</v>
      </c>
      <c r="BZ97" s="426" t="e">
        <f t="shared" ca="1" si="349"/>
        <v>#N/A</v>
      </c>
      <c r="CA97" s="424" t="e">
        <f t="shared" ca="1" si="350"/>
        <v>#N/A</v>
      </c>
      <c r="CB97" s="429" t="e">
        <f ca="1">INDEX(INDIRECT(VLOOKUP(LEFT(BO97,7),CLU!$Z$3:$AH$18,2)),GN97,GS97)</f>
        <v>#N/A</v>
      </c>
      <c r="CC97" s="342" t="e">
        <f ca="1">INDEX(INDIRECT(VLOOKUP(LEFT(BO97,7),CLU!$Z$3:$AH$18,3)),GN97,GS97)</f>
        <v>#N/A</v>
      </c>
      <c r="CD97" s="342" t="e">
        <f ca="1">INDEX(INDIRECT(VLOOKUP(LEFT(BO97,7),CLU!$Z$3:$AH$18,4)),GN97,GS97)</f>
        <v>#N/A</v>
      </c>
      <c r="CE97" s="426" t="e">
        <f t="shared" ca="1" si="351"/>
        <v>#N/A</v>
      </c>
      <c r="CF97" s="440">
        <f t="shared" si="352"/>
        <v>0</v>
      </c>
      <c r="CG97" s="431" t="e">
        <f ca="1">INDEX(INDIRECT(VLOOKUP(LEFT(BO97,7),CLU!$Z$3:$AH$18,2)),GQ97,GR97)</f>
        <v>#N/A</v>
      </c>
      <c r="CH97" s="431" t="e">
        <f ca="1">INDEX(INDIRECT(VLOOKUP(LEFT(BO97,7),CLU!$Z$3:$AH$18,3)),GQ97,GR97)</f>
        <v>#N/A</v>
      </c>
      <c r="CI97" s="431" t="e">
        <f ca="1">INDEX(INDIRECT(VLOOKUP(LEFT(BO97,7),CLU!$Z$3:$AH$18,4)),GQ97,GR97)</f>
        <v>#N/A</v>
      </c>
      <c r="CJ97" s="448" t="e">
        <f t="shared" ca="1" si="353"/>
        <v>#N/A</v>
      </c>
      <c r="CK97" s="431" t="e">
        <f t="shared" ca="1" si="354"/>
        <v>#N/A</v>
      </c>
      <c r="CL97" s="440" t="e">
        <f t="shared" ca="1" si="355"/>
        <v>#N/A</v>
      </c>
      <c r="CM97" s="431" t="e">
        <f ca="1">INDEX(INDIRECT(VLOOKUP(LEFT(BO97,7),CLU!$Z$3:$AH$18,2)),GQ97,GS97)</f>
        <v>#N/A</v>
      </c>
      <c r="CN97" s="431" t="e">
        <f ca="1">INDEX(INDIRECT(VLOOKUP(LEFT(BO97,7),CLU!$Z$3:$AH$18,3)),GQ97,GS97)</f>
        <v>#N/A</v>
      </c>
      <c r="CO97" s="431" t="e">
        <f ca="1">INDEX(INDIRECT(VLOOKUP(LEFT(BO97,7),CLU!$Z$3:$AH$18,4)),GQ97,GS97)</f>
        <v>#N/A</v>
      </c>
      <c r="CP97" s="431" t="e">
        <f t="shared" ca="1" si="356"/>
        <v>#N/A</v>
      </c>
      <c r="CQ97" s="440">
        <f t="shared" si="357"/>
        <v>0</v>
      </c>
      <c r="CR97" s="51" t="e">
        <f t="shared" ca="1" si="358"/>
        <v>#N/A</v>
      </c>
      <c r="CS97" s="439" t="e">
        <f t="shared" ca="1" si="359"/>
        <v>#VALUE!</v>
      </c>
      <c r="CT97" s="51" t="e">
        <f t="shared" ca="1" si="360"/>
        <v>#VALUE!</v>
      </c>
      <c r="CU97" s="10"/>
      <c r="CV97" s="51" t="e">
        <f t="shared" ca="1" si="257"/>
        <v>#VALUE!</v>
      </c>
      <c r="CW97" s="51">
        <f t="shared" si="361"/>
        <v>0</v>
      </c>
      <c r="CX97" s="439" t="e">
        <f t="shared" ca="1" si="362"/>
        <v>#VALUE!</v>
      </c>
      <c r="CY97" s="51" t="e">
        <f t="shared" ca="1" si="363"/>
        <v>#VALUE!</v>
      </c>
      <c r="CZ97" s="10"/>
      <c r="DA97" s="51" t="e">
        <f t="shared" ca="1" si="364"/>
        <v>#VALUE!</v>
      </c>
      <c r="DB97" s="347" t="e">
        <f ca="1">INDEX(INDIRECT(VLOOKUP(LEFT(BO97,7),CLU!$Z$3:$AI$18,10)),((M97-2)*(6-COUNTBLANK(GT97:GY97)))+GJ97)*LI97</f>
        <v>#N/A</v>
      </c>
      <c r="DC97" s="347" t="str">
        <f>IF(L97&gt;0,((R97/Worksheet!$I$15)/DB97)^2," ")</f>
        <v xml:space="preserve"> </v>
      </c>
      <c r="DD97" s="602" t="str">
        <f t="shared" si="365"/>
        <v xml:space="preserve"> </v>
      </c>
      <c r="DE97" s="347" t="str">
        <f t="shared" si="258"/>
        <v xml:space="preserve"> </v>
      </c>
      <c r="DF97" s="356" t="e">
        <f ca="1">INDEX(INDIRECT(VLOOKUP(LEFT(BO97,7),CLU!$Z$3:$AH$18,8)),((M97-2)*(6-COUNTBLANK(GT97:GY97)))+GJ97)</f>
        <v>#N/A</v>
      </c>
      <c r="DG97" s="347" t="str">
        <f t="shared" si="259"/>
        <v xml:space="preserve"> </v>
      </c>
      <c r="DH97" s="357" t="str">
        <f t="shared" si="260"/>
        <v xml:space="preserve"> </v>
      </c>
      <c r="DI97" s="355" t="str">
        <f t="shared" si="261"/>
        <v xml:space="preserve"> </v>
      </c>
      <c r="DJ97" s="245" t="e">
        <f ca="1">INDEX(INDIRECT(VLOOKUP(LEFT(BO97,7),CLU!$Z$3:$AH$18,5)),GL97,GK97)</f>
        <v>#N/A</v>
      </c>
      <c r="DK97" s="245" t="e">
        <f ca="1">INDEX(INDIRECT(VLOOKUP(LEFT(BO97,7),CLU!$Z$3:$AH$18,6)),GL97,GK97)</f>
        <v>#N/A</v>
      </c>
      <c r="DL97" s="355">
        <f>(Calculation!R97*0.69143*(Calculation!$BQ$8-Calculation!$F$8))*$S$14</f>
        <v>0</v>
      </c>
      <c r="DM97" s="359" t="e">
        <f t="shared" si="366"/>
        <v>#VALUE!</v>
      </c>
      <c r="DN97" s="611">
        <f t="shared" si="367"/>
        <v>0</v>
      </c>
      <c r="DO97" s="359">
        <f t="shared" si="368"/>
        <v>100</v>
      </c>
      <c r="DP97" s="359">
        <f t="shared" si="369"/>
        <v>0</v>
      </c>
      <c r="DQ97" s="360"/>
      <c r="DR97" s="245" t="e">
        <f ca="1">INDEX(INDIRECT(VLOOKUP(LEFT(BO97,7),CLU!$Z$3:$AH$18,7)),M97-1,1)</f>
        <v>#N/A</v>
      </c>
      <c r="DS97" s="245" t="e">
        <f ca="1">INDEX(INDIRECT(VLOOKUP(LEFT(BO97,7),CLU!$Z$3:$AH$18,7)),M97-1,2)</f>
        <v>#N/A</v>
      </c>
      <c r="DT97" s="245" t="e">
        <f ca="1">INDEX(INDIRECT(VLOOKUP(LEFT(BO97,7),CLU!$Z$3:$AH$18,7)),M97-1,3)</f>
        <v>#N/A</v>
      </c>
      <c r="DU97" s="245" t="e">
        <f ca="1">INDEX(INDIRECT(VLOOKUP(LEFT(BO97,7),CLU!$Z$3:$AH$18,7)),M97-1,4)</f>
        <v>#N/A</v>
      </c>
      <c r="DV97" s="361" t="e">
        <f ca="1">INDEX(INDIRECT(VLOOKUP(LEFT(BO97,7),CLU!$Z$3:$AH$18,7)),M97-1,4+LEFT(DZ97,1)*0.5)</f>
        <v>#N/A</v>
      </c>
      <c r="DW97" s="245" t="e">
        <f ca="1">INDEX(INDIRECT(VLOOKUP(LEFT(BO97,7),CLU!$Z$3:$AH$18,7)),M97-1,8)</f>
        <v>#N/A</v>
      </c>
      <c r="DX97" s="361" t="str">
        <f t="shared" si="262"/>
        <v xml:space="preserve"> </v>
      </c>
      <c r="DY97" s="361" t="str">
        <f t="shared" si="263"/>
        <v xml:space="preserve"> </v>
      </c>
      <c r="DZ97" s="361" t="str">
        <f t="shared" si="264"/>
        <v xml:space="preserve"> </v>
      </c>
      <c r="EA97" s="362" t="str">
        <f t="shared" si="265"/>
        <v xml:space="preserve"> </v>
      </c>
      <c r="EB97" s="624" t="str">
        <f t="shared" si="370"/>
        <v xml:space="preserve"> </v>
      </c>
      <c r="EC97" s="361" t="e">
        <f ca="1">INDEX(INDIRECT(VLOOKUP(LEFT(BO97,7),CLU!$Z$3:$AH$18,7)),M97-1,4+LEFT(DZ97,1)*0.5)</f>
        <v>#N/A</v>
      </c>
      <c r="ED97" s="362" t="str">
        <f t="shared" si="266"/>
        <v xml:space="preserve"> </v>
      </c>
      <c r="EE97" s="361" t="str">
        <f t="shared" si="267"/>
        <v xml:space="preserve"> </v>
      </c>
      <c r="EF97" s="362" t="str">
        <f>IF(L97&gt;0,IF(BR97&gt;0,IF(EE97="2P",IF(Calculation!DZ97="2P",IF(Calculation!DS97=13.75,IF(Calculation!DR97=13,Worksheet!$BD$43,IF(Calculation!DR97=37,Worksheet!$BD$44,Worksheet!$BD$45)),IF(Calculation!DS97=10,IF(Calculation!DR97=18,Worksheet!$BD$29,IF(Calculation!DR97=30,Worksheet!$BD$30,IF(Calculation!DR97=42,Worksheet!$BD$31,IF(Calculation!DR97=54,Worksheet!$BD$32,IF(Calculation!DR97=66,Worksheet!$BD$33,IF(Calculation!DR97=78,Worksheet!$BD$34,IF(Calculation!DR97=90,Worksheet!$BD$35,IF(Calculation!DR97=102,Worksheet!$BD$36,Worksheet!$BD$37)))))))),IF(Calculation!DS97=12.5,IF(Calculation!DR97=18,Worksheet!$BD$38,IF(Calculation!DR97=Worksheet!$BD$39,IF(Calculation!DR97=42,Worksheet!$BD$40,IF(Calculation!DR97=54,Worksheet!$BD$41,Worksheet!$BD$42)))),IF(Calculation!DR97=18,Worksheet!$BD$11,IF(Calculation!DR97=30,Worksheet!$BD$12,IF(Calculation!DR97=42,Worksheet!$BD$13,IF(Calculation!DR97=54,Worksheet!$BD$14,IF(Calculation!DR97=66,Worksheet!$BD$15,IF(Calculation!DR97=78,Worksheet!$BD$16,IF(Calculation!DR97=90,Worksheet!$BD$17,IF(Calculation!DR97=102,Worksheet!$BD$18,Worksheet!$BD$19))))))))))),IF(Calculation!DS97=13.75,IF(Calculation!DR97=13,Worksheet!$BD$78,IF(Calculation!DR97=37,Worksheet!$BD$79,Worksheet!$BD$80)),IF(Calculation!DS97=10,IF(Calculation!DR97=18,Worksheet!$BD$64,IF(Calculation!DR97=30,Worksheet!$BD$65,IF(Calculation!DR97=42,Worksheet!$BD$66,IF(Calculation!DR97=54,Worksheet!$BD$68,IF(Calculation!DR97=66,Worksheet!$BD$68,IF(Calculation!DR97=78,Worksheet!$BD$69,IF(Calculation!DR97=90,Worksheet!$BD$70,IF(Calculation!DR97=102,Worksheet!$BD$71,Worksheet!$BD$72)))))))),IF(Calculation!DS97=12.5,IF(Calculation!DR97=18,Worksheet!$BD$73,IF(Calculation!DR97=Worksheet!$BD$74,IF(Calculation!DR97=42,Worksheet!$BD$75,IF(Calculation!DR97=54,Worksheet!$BD$76,Worksheet!$BD$77)))),IF(Calculation!DR97=18,Worksheet!$BD$55,IF(Calculation!DR97=30,Worksheet!$BD$56,IF(Calculation!DR97=42,Worksheet!$BD$57,IF(Calculation!DR97=54,Worksheet!$BD$58,IF(Calculation!DR97=66,Worksheet!$BD$59,IF(Calculation!DR97=78,Worksheet!$BD$60,IF(Calculation!DR97=90,Worksheet!$BD$61,IF(Calculation!DR97=102,Worksheet!$BD$62,Worksheet!$BD$63)))))))))))),5),0)," ")</f>
        <v xml:space="preserve"> </v>
      </c>
      <c r="EG97" s="361" t="str">
        <f t="shared" si="268"/>
        <v xml:space="preserve"> </v>
      </c>
      <c r="EH97" s="361" t="e">
        <f ca="1">INDEX(INDIRECT(VLOOKUP(LEFT(BO97,7),CLU!$Z$3:$AH$18,7)),M97-1,3+LEFT(DZ97,1))</f>
        <v>#N/A</v>
      </c>
      <c r="EI97" s="362" t="str">
        <f t="shared" si="269"/>
        <v xml:space="preserve"> </v>
      </c>
      <c r="EJ97" s="363" t="str">
        <f t="shared" si="270"/>
        <v xml:space="preserve"> </v>
      </c>
      <c r="EK97" s="363" t="str">
        <f t="shared" si="271"/>
        <v xml:space="preserve"> </v>
      </c>
      <c r="EL97" s="363" t="str">
        <f t="shared" si="272"/>
        <v xml:space="preserve"> </v>
      </c>
      <c r="EM97" s="362" t="str">
        <f>IF(L97&gt;0,IF(BR97&gt;0,(Calculation!T97/ED97)^2,0)," ")</f>
        <v xml:space="preserve"> </v>
      </c>
      <c r="EN97" s="362" t="str">
        <f>IF(L97&gt;0,IF(O97="2 Pipe (Cooling)","N/A",IF(BR97&gt;0,(Calculation!U97/EI97)^2,0))," ")</f>
        <v xml:space="preserve"> </v>
      </c>
      <c r="EO97" s="361" t="str">
        <f t="shared" si="273"/>
        <v/>
      </c>
      <c r="EP97" s="361" t="str">
        <f t="shared" si="274"/>
        <v/>
      </c>
      <c r="EQ97" s="361" t="str">
        <f t="shared" si="275"/>
        <v/>
      </c>
      <c r="ER97" s="361" t="str">
        <f t="shared" si="276"/>
        <v/>
      </c>
      <c r="ES97" s="361" t="str">
        <f t="shared" si="277"/>
        <v/>
      </c>
      <c r="ET97" s="361" t="str">
        <f t="shared" si="278"/>
        <v/>
      </c>
      <c r="EU97" s="361" t="str">
        <f t="shared" si="279"/>
        <v/>
      </c>
      <c r="EV97" s="361" t="str">
        <f t="shared" si="280"/>
        <v/>
      </c>
      <c r="EW97" s="361" t="str">
        <f t="shared" si="281"/>
        <v/>
      </c>
      <c r="EX97" s="361" t="str">
        <f t="shared" si="371"/>
        <v>1 slot, 1 way</v>
      </c>
      <c r="EY97" s="361" t="str">
        <f t="shared" si="372"/>
        <v xml:space="preserve"> </v>
      </c>
      <c r="EZ97" s="361" t="str">
        <f t="shared" si="373"/>
        <v xml:space="preserve"> </v>
      </c>
      <c r="FA97" s="361" t="str">
        <f t="shared" si="374"/>
        <v xml:space="preserve"> </v>
      </c>
      <c r="FB97" s="361" t="str">
        <f t="shared" si="375"/>
        <v xml:space="preserve"> </v>
      </c>
      <c r="FC97" s="361"/>
      <c r="FD97" s="361" t="str">
        <f>IF(J97&gt;0,IF(Calculation!R97&lt;=70,4,IF(Calculation!R97&lt;=110,5,IF(Calculation!R97&lt;=160,6,IF(Calculation!R97&lt;=300,8,"10 EO")))),"")</f>
        <v/>
      </c>
      <c r="FE97" s="361" t="str">
        <f t="shared" si="376"/>
        <v/>
      </c>
      <c r="FF97" s="361" t="str">
        <f t="shared" si="377"/>
        <v/>
      </c>
      <c r="FG97" s="361" t="e">
        <f t="shared" si="282"/>
        <v>#N/A</v>
      </c>
      <c r="FH97" s="361">
        <f t="shared" si="283"/>
        <v>0</v>
      </c>
      <c r="FI97" s="361" t="e">
        <f t="shared" si="284"/>
        <v>#DIV/0!</v>
      </c>
      <c r="FJ97" s="361"/>
      <c r="FK97" s="356" t="e">
        <f t="shared" si="285"/>
        <v>#VALUE!</v>
      </c>
      <c r="FL97" s="361"/>
      <c r="FM97" s="361"/>
      <c r="FN97" s="362" t="str">
        <f t="shared" si="378"/>
        <v xml:space="preserve"> </v>
      </c>
      <c r="FO97" s="362" t="str">
        <f t="shared" si="379"/>
        <v xml:space="preserve"> </v>
      </c>
      <c r="FP97" s="362">
        <f t="shared" si="380"/>
        <v>0</v>
      </c>
      <c r="FQ97" s="361">
        <f t="shared" si="286"/>
        <v>0</v>
      </c>
      <c r="FR97" s="362" t="str">
        <f>IF(L97&gt;0,IF(J97="CBAL2",Worksheet!$P$67,IF(J97="CBE2-24",Worksheet!$Q$67,IF(J97="CBAM",Worksheet!$R$67,IF(J97="CBLV",Worksheet!$S$67,IF(J97="CBAB",Worksheet!$U$67,IF(J97="CBAW",Worksheet!$X$67,IF(J97="CBE2-12",Worksheet!$Y$67,IF(J97="CBAL2",Worksheet!$Z$67,"N/A"))))))))," ")</f>
        <v xml:space="preserve"> </v>
      </c>
      <c r="FS97" s="362" t="str">
        <f>IF(L97&gt;0,IF(J97="CBAL2",Worksheet!$P$68,IF(J97="CBE2-24",Worksheet!$Q$68,IF(J97="CBAM",Worksheet!$R$68,IF(J97="CBLV",Worksheet!$S$68,IF(J97="CBAB",Worksheet!$U$68,IF(J97="CBAW",Worksheet!$X$68,IF(J97="CBE2-12",Worksheet!$Y$68,IF(J97="CBAL2",Worksheet!$Z$68,"N/A"))))))))," ")</f>
        <v xml:space="preserve"> </v>
      </c>
      <c r="FT97" s="362" t="str">
        <f>IF(L97&gt;0,IF(J97="CBAL2",Worksheet!$P$69,IF(J97="CBE2-24",Worksheet!$Q$69,IF(J97="CBAM",Worksheet!$R$69,IF(J97="CBLV",Worksheet!$S$69,IF(J97="CBAB",Worksheet!$U$69,IF(J97="CBAW",Worksheet!$X$69,IF(J97="CBE2-12",Worksheet!$Y$69,IF(J97="CBAL2",Worksheet!$Z$69,"N/A"))))))))," ")</f>
        <v xml:space="preserve"> </v>
      </c>
      <c r="FU97" s="361" t="str">
        <f t="shared" si="381"/>
        <v xml:space="preserve"> </v>
      </c>
      <c r="FV97" s="362" t="str">
        <f t="shared" si="382"/>
        <v xml:space="preserve"> </v>
      </c>
      <c r="FW97" s="362" t="str">
        <f t="shared" si="383"/>
        <v xml:space="preserve"> </v>
      </c>
      <c r="FX97" s="362" t="str">
        <f t="shared" si="384"/>
        <v xml:space="preserve"> </v>
      </c>
      <c r="FY97" s="355" t="str">
        <f t="shared" si="385"/>
        <v xml:space="preserve"> </v>
      </c>
      <c r="FZ97" s="361" t="str">
        <f t="shared" si="386"/>
        <v xml:space="preserve"> </v>
      </c>
      <c r="GA97" s="347" t="str">
        <f t="shared" si="387"/>
        <v xml:space="preserve"> </v>
      </c>
      <c r="GB97" s="355" t="str">
        <f t="shared" si="388"/>
        <v xml:space="preserve"> </v>
      </c>
      <c r="GC97" s="328" t="str">
        <f t="shared" si="389"/>
        <v xml:space="preserve"> </v>
      </c>
      <c r="GD97" s="361" t="str">
        <f t="shared" si="390"/>
        <v xml:space="preserve"> </v>
      </c>
      <c r="GE97" s="347" t="str">
        <f t="shared" si="391"/>
        <v xml:space="preserve"> </v>
      </c>
      <c r="GF97" s="361" t="str">
        <f t="shared" si="392"/>
        <v xml:space="preserve"> </v>
      </c>
      <c r="GG97" s="347" t="str">
        <f t="shared" si="393"/>
        <v xml:space="preserve"> </v>
      </c>
      <c r="GH97" s="364">
        <f t="shared" si="287"/>
        <v>0</v>
      </c>
      <c r="GI97" s="362">
        <f t="shared" si="394"/>
        <v>2</v>
      </c>
      <c r="GJ97" s="433" t="e">
        <f>IF(6-COUNTBLANK(GT97:GY97)=4,MATCH(MID(BO97,9,3),CLU!$H$16:$K$16),MATCH(MID(BO97,9,3),CLU!$H$13:$M$13))</f>
        <v>#N/A</v>
      </c>
      <c r="GK97" s="433" t="e">
        <f>HLOOKUP(VALUE(BP97),CLU!$H$9:$M$10,2)</f>
        <v>#VALUE!</v>
      </c>
      <c r="GL97" s="433" t="e">
        <f ca="1">MATCH(BU97,CLU!$H$2:$V$2,1)</f>
        <v>#VALUE!</v>
      </c>
      <c r="GM97" s="433" t="e">
        <f t="shared" ca="1" si="395"/>
        <v>#VALUE!</v>
      </c>
      <c r="GN97" s="433" t="e">
        <f t="shared" ca="1" si="396"/>
        <v>#VALUE!</v>
      </c>
      <c r="GO97" s="433" t="e">
        <f t="shared" ca="1" si="397"/>
        <v>#VALUE!</v>
      </c>
      <c r="GP97" s="433" t="e">
        <f t="shared" ca="1" si="398"/>
        <v>#VALUE!</v>
      </c>
      <c r="GQ97" s="433" t="e">
        <f t="shared" ca="1" si="399"/>
        <v>#VALUE!</v>
      </c>
      <c r="GR97" s="433" t="e">
        <f ca="1">MATCH(T97,INDIRECT(VLOOKUP(CONCATENATE(LEFT(BO97,7),"-",MID(BO97,13,1)),CLU!$P$3:$Q$16,2)),1)</f>
        <v>#N/A</v>
      </c>
      <c r="GS97" s="433" t="e">
        <f ca="1">MATCH(U97,INDIRECT(VLOOKUP(CONCATENATE(LEFT(BO97,7),"-",MID(BO97,13,1)),CLU!$P$3:$Q$16,2)),1)</f>
        <v>#N/A</v>
      </c>
      <c r="GT97" s="347" t="s">
        <v>512</v>
      </c>
      <c r="GU97" s="97" t="s">
        <v>513</v>
      </c>
      <c r="GV97" s="97" t="str">
        <f t="shared" si="400"/>
        <v>M23</v>
      </c>
      <c r="GW97" s="97" t="str">
        <f t="shared" si="401"/>
        <v>M31</v>
      </c>
      <c r="GX97" s="97" t="str">
        <f t="shared" si="402"/>
        <v/>
      </c>
      <c r="GY97" s="97" t="str">
        <f t="shared" si="403"/>
        <v/>
      </c>
      <c r="GZ97" s="481"/>
      <c r="HA97" s="288"/>
      <c r="HB97" s="240"/>
      <c r="HC97" s="240"/>
      <c r="HD97" s="240"/>
      <c r="HE97" s="240"/>
      <c r="HF97" s="240"/>
      <c r="HG97" s="240"/>
      <c r="HH97" s="240"/>
      <c r="HI97" s="240"/>
      <c r="HJ97" s="240"/>
      <c r="HK97" s="240"/>
      <c r="HL97" s="240"/>
      <c r="HM97" s="240"/>
      <c r="HN97" s="240"/>
      <c r="HO97" s="240"/>
      <c r="HP97" s="240"/>
      <c r="HQ97" s="240"/>
      <c r="HR97" s="240"/>
      <c r="HS97" s="240"/>
      <c r="HT97" s="240"/>
      <c r="HU97" s="240"/>
      <c r="HV97" s="245"/>
      <c r="HW97" s="245" t="b">
        <v>1</v>
      </c>
      <c r="HX97" s="245" t="str">
        <f t="shared" si="288"/>
        <v/>
      </c>
      <c r="HY97" s="245" t="e">
        <f t="shared" si="289"/>
        <v>#DIV/0!</v>
      </c>
      <c r="HZ97" s="245" t="e">
        <f t="shared" si="290"/>
        <v>#DIV/0!</v>
      </c>
      <c r="IA97" s="245">
        <f t="shared" si="291"/>
        <v>0</v>
      </c>
      <c r="IB97" s="245"/>
      <c r="IC97" t="b">
        <f t="shared" si="292"/>
        <v>1</v>
      </c>
      <c r="ID97" s="245" t="b">
        <f t="shared" si="293"/>
        <v>1</v>
      </c>
      <c r="IE97" s="245" t="b">
        <f t="shared" si="294"/>
        <v>1</v>
      </c>
      <c r="IF97" s="245" t="b">
        <f t="shared" si="295"/>
        <v>0</v>
      </c>
      <c r="IG97" s="245" t="b">
        <f t="shared" si="296"/>
        <v>1</v>
      </c>
      <c r="IH97" s="245" t="b">
        <f t="shared" si="297"/>
        <v>1</v>
      </c>
      <c r="II97" s="245">
        <f t="shared" si="404"/>
        <v>0</v>
      </c>
      <c r="IJ97" s="245" t="e">
        <f t="shared" si="298"/>
        <v>#VALUE!</v>
      </c>
      <c r="IK97" s="245" t="e">
        <f t="shared" si="299"/>
        <v>#VALUE!</v>
      </c>
      <c r="IL97" s="245"/>
      <c r="IM97" s="245" t="e">
        <f t="shared" si="405"/>
        <v>#N/A</v>
      </c>
      <c r="IN97" s="245" t="e">
        <f t="shared" si="406"/>
        <v>#N/A</v>
      </c>
      <c r="IO97" s="245"/>
      <c r="IP97" s="245"/>
      <c r="IQ97" s="245" t="str">
        <f t="shared" si="300"/>
        <v/>
      </c>
      <c r="IR97" s="245" t="str">
        <f>IF(J97="","",VLOOKUP(J97,Worksheet!$R$4:$T$14,2))</f>
        <v/>
      </c>
      <c r="IS97" s="245"/>
      <c r="IT97" s="245">
        <f t="shared" si="301"/>
        <v>0</v>
      </c>
      <c r="IU97" s="245">
        <f t="shared" si="302"/>
        <v>0</v>
      </c>
      <c r="IV97" s="245">
        <f t="shared" si="303"/>
        <v>0</v>
      </c>
      <c r="IW97" s="245">
        <f t="shared" si="304"/>
        <v>0</v>
      </c>
      <c r="IX97" s="245">
        <f t="shared" si="407"/>
        <v>0</v>
      </c>
      <c r="IY97" s="245">
        <f t="shared" si="305"/>
        <v>0</v>
      </c>
      <c r="IZ97" s="245">
        <f t="shared" si="306"/>
        <v>0</v>
      </c>
      <c r="JA97">
        <f t="shared" si="307"/>
        <v>0</v>
      </c>
      <c r="JB97">
        <f t="shared" si="408"/>
        <v>0</v>
      </c>
      <c r="JC97">
        <f t="shared" si="308"/>
        <v>0</v>
      </c>
      <c r="JD97">
        <f t="shared" si="309"/>
        <v>0</v>
      </c>
      <c r="JE97">
        <f t="shared" si="310"/>
        <v>0</v>
      </c>
      <c r="JF97">
        <f t="shared" si="311"/>
        <v>0</v>
      </c>
      <c r="JG97">
        <f t="shared" si="312"/>
        <v>0</v>
      </c>
      <c r="JH97">
        <f t="shared" si="313"/>
        <v>0</v>
      </c>
      <c r="JI97">
        <f t="shared" si="314"/>
        <v>0</v>
      </c>
      <c r="JJ97" s="447">
        <f t="shared" si="315"/>
        <v>0</v>
      </c>
      <c r="JK97" s="447">
        <f t="shared" si="316"/>
        <v>0</v>
      </c>
      <c r="JL97">
        <f t="shared" si="317"/>
        <v>0</v>
      </c>
      <c r="JM97" s="245" t="str">
        <f>IFERROR(VLOOKUP(MATCH(BN97,#REF!,0),#REF!,7),"")</f>
        <v/>
      </c>
      <c r="JN97" t="e">
        <f>HLOOKUP(LEFT(BO97,7),Discharge_Area,MATCH(JO97,LookUps!$B$130:$B$149,1)+2)</f>
        <v>#N/A</v>
      </c>
      <c r="JO97" t="str">
        <f t="shared" si="318"/>
        <v>- S</v>
      </c>
      <c r="JP97" t="e">
        <f>HLOOKUP(LEFT(BO97,7),Discharge_Area,MATCH(JO97,LookUps!$B$130:$B$149,1)+2)</f>
        <v>#N/A</v>
      </c>
      <c r="JQ97" t="e">
        <f t="shared" si="319"/>
        <v>#N/A</v>
      </c>
      <c r="JR97" t="e">
        <f t="shared" si="320"/>
        <v>#N/A</v>
      </c>
      <c r="JS97" t="e">
        <f t="shared" si="321"/>
        <v>#N/A</v>
      </c>
      <c r="JT97" s="532" t="str">
        <f t="shared" si="322"/>
        <v xml:space="preserve"> </v>
      </c>
      <c r="JU97" s="532" t="str">
        <f t="shared" si="323"/>
        <v xml:space="preserve"> </v>
      </c>
      <c r="JV97" s="533" t="str">
        <f t="shared" si="324"/>
        <v xml:space="preserve"> </v>
      </c>
      <c r="JW97" s="534">
        <f t="shared" si="325"/>
        <v>0</v>
      </c>
      <c r="JX97" s="535" t="str">
        <f t="shared" si="409"/>
        <v xml:space="preserve"> </v>
      </c>
      <c r="JY97" s="535" t="str">
        <f t="shared" si="410"/>
        <v xml:space="preserve"> </v>
      </c>
      <c r="JZ97" s="535" t="str">
        <f t="shared" si="411"/>
        <v xml:space="preserve"> </v>
      </c>
      <c r="KA97" s="536" t="str">
        <f t="shared" si="326"/>
        <v xml:space="preserve"> </v>
      </c>
      <c r="KB97" s="535" t="e">
        <f t="shared" si="412"/>
        <v>#VALUE!</v>
      </c>
      <c r="KC97" s="535" t="str">
        <f t="shared" si="327"/>
        <v/>
      </c>
      <c r="KD97" s="537" t="str">
        <f t="shared" si="413"/>
        <v xml:space="preserve"> </v>
      </c>
      <c r="KE97" s="537" t="str">
        <f t="shared" si="414"/>
        <v xml:space="preserve"> </v>
      </c>
      <c r="KF97" s="534">
        <f t="shared" si="328"/>
        <v>0</v>
      </c>
      <c r="KG97" s="535" t="str">
        <f t="shared" si="329"/>
        <v xml:space="preserve"> </v>
      </c>
      <c r="KH97" s="535" t="str">
        <f t="shared" si="330"/>
        <v xml:space="preserve"> </v>
      </c>
      <c r="KI97" s="535" t="str">
        <f t="shared" si="331"/>
        <v xml:space="preserve"> </v>
      </c>
      <c r="KJ97" s="536" t="str">
        <f t="shared" si="332"/>
        <v xml:space="preserve"> </v>
      </c>
      <c r="KK97" s="535" t="str">
        <f t="shared" si="415"/>
        <v xml:space="preserve"> </v>
      </c>
      <c r="KL97" s="535" t="str">
        <f t="shared" si="416"/>
        <v xml:space="preserve"> </v>
      </c>
      <c r="KM97" s="537" t="str">
        <f t="shared" si="333"/>
        <v xml:space="preserve"> </v>
      </c>
      <c r="KN97" s="537" t="str">
        <f t="shared" si="417"/>
        <v xml:space="preserve"> </v>
      </c>
      <c r="KP97">
        <f t="shared" si="334"/>
        <v>0</v>
      </c>
      <c r="LA97" t="e">
        <f t="shared" si="335"/>
        <v>#VALUE!</v>
      </c>
      <c r="LB97" t="e">
        <f t="shared" si="336"/>
        <v>#VALUE!</v>
      </c>
      <c r="LC97" t="e">
        <f t="shared" si="337"/>
        <v>#VALUE!</v>
      </c>
      <c r="LD97" t="e">
        <f t="shared" si="338"/>
        <v>#VALUE!</v>
      </c>
      <c r="LE97" t="e">
        <f t="shared" si="418"/>
        <v>#VALUE!</v>
      </c>
      <c r="LF97">
        <f t="shared" si="339"/>
        <v>0</v>
      </c>
      <c r="LG97" t="e">
        <f t="shared" si="419"/>
        <v>#VALUE!</v>
      </c>
      <c r="LH97" t="str">
        <f t="shared" si="340"/>
        <v xml:space="preserve"> </v>
      </c>
      <c r="LI97">
        <f t="shared" si="420"/>
        <v>1</v>
      </c>
    </row>
    <row r="98" spans="2:321" ht="15" customHeight="1">
      <c r="B98" s="311"/>
      <c r="C98" s="311"/>
      <c r="D98" s="312"/>
      <c r="E98" s="311"/>
      <c r="F98" s="312"/>
      <c r="G98" s="311"/>
      <c r="H98" s="311"/>
      <c r="I98" s="37"/>
      <c r="J98" s="311"/>
      <c r="K98" s="305" t="str">
        <f t="shared" si="341"/>
        <v/>
      </c>
      <c r="L98" s="313"/>
      <c r="M98" s="312"/>
      <c r="N98" s="311"/>
      <c r="O98" s="312"/>
      <c r="P98" s="311"/>
      <c r="Q98" s="305" t="str">
        <f t="shared" si="342"/>
        <v/>
      </c>
      <c r="R98" s="314"/>
      <c r="S98" s="450" t="str">
        <f t="shared" si="225"/>
        <v/>
      </c>
      <c r="T98" s="315"/>
      <c r="U98" s="315"/>
      <c r="W98" s="149" t="str">
        <f t="shared" si="226"/>
        <v xml:space="preserve"> </v>
      </c>
      <c r="X98" s="243" t="str">
        <f t="shared" si="227"/>
        <v xml:space="preserve"> </v>
      </c>
      <c r="Y98" s="150" t="str">
        <f t="shared" si="228"/>
        <v/>
      </c>
      <c r="Z98" s="149" t="str">
        <f t="shared" si="229"/>
        <v xml:space="preserve"> </v>
      </c>
      <c r="AA98" s="98" t="str">
        <f t="shared" si="230"/>
        <v xml:space="preserve"> </v>
      </c>
      <c r="AB98" s="153" t="str">
        <f t="shared" si="231"/>
        <v xml:space="preserve"> </v>
      </c>
      <c r="AC98" s="153" t="str">
        <f t="shared" si="232"/>
        <v xml:space="preserve"> </v>
      </c>
      <c r="AD98" s="148" t="str">
        <f t="shared" si="233"/>
        <v/>
      </c>
      <c r="AE98" s="149" t="str">
        <f t="shared" si="234"/>
        <v/>
      </c>
      <c r="AF98" s="151" t="str">
        <f t="shared" si="235"/>
        <v xml:space="preserve"> </v>
      </c>
      <c r="AG98" s="153" t="str">
        <f t="shared" si="236"/>
        <v xml:space="preserve"> </v>
      </c>
      <c r="AH98" s="98" t="str">
        <f t="shared" si="237"/>
        <v xml:space="preserve"> </v>
      </c>
      <c r="AI98" s="149" t="str">
        <f t="shared" si="238"/>
        <v xml:space="preserve"> </v>
      </c>
      <c r="AK98" s="144" t="str">
        <f t="shared" si="239"/>
        <v xml:space="preserve"> </v>
      </c>
      <c r="AL98" s="144"/>
      <c r="AM98" s="243" t="str">
        <f t="shared" si="240"/>
        <v xml:space="preserve"> </v>
      </c>
      <c r="AN98" s="149" t="str">
        <f t="shared" si="343"/>
        <v xml:space="preserve"> </v>
      </c>
      <c r="AO98" s="144" t="str">
        <f>IF(JB98&gt;0,IF(GI98=10,-R98*1.085*(Calculation!$F$6-Calculation!$F$13)*$S$14," "),"")</f>
        <v/>
      </c>
      <c r="AP98" s="144" t="str">
        <f t="shared" si="241"/>
        <v/>
      </c>
      <c r="AQ98" s="56" t="str">
        <f t="shared" si="242"/>
        <v/>
      </c>
      <c r="AR98" s="144" t="str">
        <f t="shared" si="243"/>
        <v/>
      </c>
      <c r="AS98" s="176" t="str">
        <f t="shared" si="244"/>
        <v/>
      </c>
      <c r="AT98" s="176" t="str">
        <f t="shared" si="344"/>
        <v xml:space="preserve"> </v>
      </c>
      <c r="AU98" s="176" t="str">
        <f t="shared" si="245"/>
        <v/>
      </c>
      <c r="AV98" s="177" t="str">
        <f t="shared" si="246"/>
        <v xml:space="preserve"> </v>
      </c>
      <c r="AW98" s="144" t="str">
        <f t="shared" si="247"/>
        <v xml:space="preserve"> </v>
      </c>
      <c r="AX98" s="144" t="str">
        <f t="shared" si="248"/>
        <v xml:space="preserve"> </v>
      </c>
      <c r="AY98" s="152" t="str">
        <f t="shared" si="249"/>
        <v xml:space="preserve"> </v>
      </c>
      <c r="AZ98" s="246" t="str">
        <f t="shared" si="250"/>
        <v/>
      </c>
      <c r="BA98" s="176" t="str">
        <f t="shared" si="251"/>
        <v xml:space="preserve"> </v>
      </c>
      <c r="BB98" s="176" t="str">
        <f t="shared" si="252"/>
        <v xml:space="preserve"> </v>
      </c>
      <c r="BC98" s="195"/>
      <c r="BD98" s="316"/>
      <c r="BE98" s="317"/>
      <c r="BF98" s="318"/>
      <c r="BG98" s="318"/>
      <c r="BH98" s="144" t="str">
        <f t="shared" si="421"/>
        <v xml:space="preserve"> </v>
      </c>
      <c r="BI98" s="176" t="str">
        <f t="shared" si="253"/>
        <v/>
      </c>
      <c r="BJ98" s="144" t="str">
        <f t="shared" si="422"/>
        <v/>
      </c>
      <c r="BK98" s="246" t="str">
        <f t="shared" si="254"/>
        <v/>
      </c>
      <c r="BL98" s="144" t="str">
        <f t="shared" si="423"/>
        <v/>
      </c>
      <c r="BM98" s="246" t="str">
        <f t="shared" si="255"/>
        <v/>
      </c>
      <c r="BN98" s="337" t="str">
        <f t="shared" si="345"/>
        <v/>
      </c>
      <c r="BO98" s="371" t="str">
        <f t="shared" si="346"/>
        <v/>
      </c>
      <c r="BP98" s="328" t="str">
        <f t="shared" si="424"/>
        <v xml:space="preserve"> </v>
      </c>
      <c r="BQ98" s="347" t="str">
        <f t="shared" si="347"/>
        <v xml:space="preserve"> </v>
      </c>
      <c r="BR98" s="353" t="str">
        <f t="shared" si="348"/>
        <v xml:space="preserve"> </v>
      </c>
      <c r="BS98" s="626" t="str">
        <f>IF(L98&gt;0,IF(Calculation!P98="M13",BR98*3.1416*(0.134^2)/(4*144),IF(Calculation!P98="M17",BR98*3.1416*(0.165^2)/(4*144),IF(Calculation!P98="M20",BR98*3.1416*(0.198^2)/(4*144),IF(Calculation!P98="M23",BR98*3.1416*(0.228^2)/(4*144),IF(Calculation!P98="M27",BR98*3.1416*(0.269^2)/(4*144),BR98*3.1416*(0.307^2)/(4*144))))))," ")</f>
        <v xml:space="preserve"> </v>
      </c>
      <c r="BT98" s="353" t="str">
        <f>IF(L98&gt;0,IF(BS98&gt;0,R98/Calculation!BS98,0)," ")</f>
        <v xml:space="preserve"> </v>
      </c>
      <c r="BU98" s="438" t="e">
        <f t="shared" ca="1" si="256"/>
        <v>#VALUE!</v>
      </c>
      <c r="BV98" s="449" t="e">
        <f ca="1">INDEX(INDIRECT(VLOOKUP(LEFT(BO98,7),CLU!$Z$3:$AH$18,2)),GN98,GR98)</f>
        <v>#N/A</v>
      </c>
      <c r="BW98" s="433" t="e">
        <f ca="1">INDEX(INDIRECT(VLOOKUP(LEFT(BO98,7),CLU!$Z$3:$AH$18,3)),GN98,GR98)</f>
        <v>#N/A</v>
      </c>
      <c r="BX98" s="433" t="e">
        <f ca="1">INDEX(INDIRECT(VLOOKUP(LEFT(BO98,7),CLU!$Z$3:$AH$18,4)),GN98,GR98)</f>
        <v>#N/A</v>
      </c>
      <c r="BY98" s="433" t="e">
        <f ca="1">INDEX(INDIRECT(VLOOKUP(LEFT(BO98,7),CLU!$Z$3:$AH$18,9)),((M98-2)*(6-COUNTBLANK(GT98:GY98)))+GJ98)</f>
        <v>#N/A</v>
      </c>
      <c r="BZ98" s="426" t="e">
        <f t="shared" ca="1" si="349"/>
        <v>#N/A</v>
      </c>
      <c r="CA98" s="424" t="e">
        <f t="shared" ca="1" si="350"/>
        <v>#N/A</v>
      </c>
      <c r="CB98" s="429" t="e">
        <f ca="1">INDEX(INDIRECT(VLOOKUP(LEFT(BO98,7),CLU!$Z$3:$AH$18,2)),GN98,GS98)</f>
        <v>#N/A</v>
      </c>
      <c r="CC98" s="342" t="e">
        <f ca="1">INDEX(INDIRECT(VLOOKUP(LEFT(BO98,7),CLU!$Z$3:$AH$18,3)),GN98,GS98)</f>
        <v>#N/A</v>
      </c>
      <c r="CD98" s="342" t="e">
        <f ca="1">INDEX(INDIRECT(VLOOKUP(LEFT(BO98,7),CLU!$Z$3:$AH$18,4)),GN98,GS98)</f>
        <v>#N/A</v>
      </c>
      <c r="CE98" s="426" t="e">
        <f t="shared" ca="1" si="351"/>
        <v>#N/A</v>
      </c>
      <c r="CF98" s="440">
        <f t="shared" si="352"/>
        <v>0</v>
      </c>
      <c r="CG98" s="431" t="e">
        <f ca="1">INDEX(INDIRECT(VLOOKUP(LEFT(BO98,7),CLU!$Z$3:$AH$18,2)),GQ98,GR98)</f>
        <v>#N/A</v>
      </c>
      <c r="CH98" s="431" t="e">
        <f ca="1">INDEX(INDIRECT(VLOOKUP(LEFT(BO98,7),CLU!$Z$3:$AH$18,3)),GQ98,GR98)</f>
        <v>#N/A</v>
      </c>
      <c r="CI98" s="431" t="e">
        <f ca="1">INDEX(INDIRECT(VLOOKUP(LEFT(BO98,7),CLU!$Z$3:$AH$18,4)),GQ98,GR98)</f>
        <v>#N/A</v>
      </c>
      <c r="CJ98" s="448" t="e">
        <f t="shared" ca="1" si="353"/>
        <v>#N/A</v>
      </c>
      <c r="CK98" s="431" t="e">
        <f t="shared" ca="1" si="354"/>
        <v>#N/A</v>
      </c>
      <c r="CL98" s="440" t="e">
        <f t="shared" ca="1" si="355"/>
        <v>#N/A</v>
      </c>
      <c r="CM98" s="431" t="e">
        <f ca="1">INDEX(INDIRECT(VLOOKUP(LEFT(BO98,7),CLU!$Z$3:$AH$18,2)),GQ98,GS98)</f>
        <v>#N/A</v>
      </c>
      <c r="CN98" s="431" t="e">
        <f ca="1">INDEX(INDIRECT(VLOOKUP(LEFT(BO98,7),CLU!$Z$3:$AH$18,3)),GQ98,GS98)</f>
        <v>#N/A</v>
      </c>
      <c r="CO98" s="431" t="e">
        <f ca="1">INDEX(INDIRECT(VLOOKUP(LEFT(BO98,7),CLU!$Z$3:$AH$18,4)),GQ98,GS98)</f>
        <v>#N/A</v>
      </c>
      <c r="CP98" s="431" t="e">
        <f t="shared" ca="1" si="356"/>
        <v>#N/A</v>
      </c>
      <c r="CQ98" s="440">
        <f t="shared" si="357"/>
        <v>0</v>
      </c>
      <c r="CR98" s="51" t="e">
        <f t="shared" ca="1" si="358"/>
        <v>#N/A</v>
      </c>
      <c r="CS98" s="439" t="e">
        <f t="shared" ca="1" si="359"/>
        <v>#VALUE!</v>
      </c>
      <c r="CT98" s="51" t="e">
        <f t="shared" ca="1" si="360"/>
        <v>#VALUE!</v>
      </c>
      <c r="CU98" s="10"/>
      <c r="CV98" s="51" t="e">
        <f t="shared" ca="1" si="257"/>
        <v>#VALUE!</v>
      </c>
      <c r="CW98" s="51">
        <f t="shared" si="361"/>
        <v>0</v>
      </c>
      <c r="CX98" s="439" t="e">
        <f t="shared" ca="1" si="362"/>
        <v>#VALUE!</v>
      </c>
      <c r="CY98" s="51" t="e">
        <f t="shared" ca="1" si="363"/>
        <v>#VALUE!</v>
      </c>
      <c r="CZ98" s="10"/>
      <c r="DA98" s="51" t="e">
        <f t="shared" ca="1" si="364"/>
        <v>#VALUE!</v>
      </c>
      <c r="DB98" s="347" t="e">
        <f ca="1">INDEX(INDIRECT(VLOOKUP(LEFT(BO98,7),CLU!$Z$3:$AI$18,10)),((M98-2)*(6-COUNTBLANK(GT98:GY98)))+GJ98)*LI98</f>
        <v>#N/A</v>
      </c>
      <c r="DC98" s="347" t="str">
        <f>IF(L98&gt;0,((R98/Worksheet!$I$15)/DB98)^2," ")</f>
        <v xml:space="preserve"> </v>
      </c>
      <c r="DD98" s="602" t="str">
        <f t="shared" si="365"/>
        <v xml:space="preserve"> </v>
      </c>
      <c r="DE98" s="347" t="str">
        <f t="shared" si="258"/>
        <v xml:space="preserve"> </v>
      </c>
      <c r="DF98" s="356" t="e">
        <f ca="1">INDEX(INDIRECT(VLOOKUP(LEFT(BO98,7),CLU!$Z$3:$AH$18,8)),((M98-2)*(6-COUNTBLANK(GT98:GY98)))+GJ98)</f>
        <v>#N/A</v>
      </c>
      <c r="DG98" s="347" t="str">
        <f t="shared" si="259"/>
        <v xml:space="preserve"> </v>
      </c>
      <c r="DH98" s="357" t="str">
        <f t="shared" si="260"/>
        <v xml:space="preserve"> </v>
      </c>
      <c r="DI98" s="355" t="str">
        <f t="shared" si="261"/>
        <v xml:space="preserve"> </v>
      </c>
      <c r="DJ98" s="245" t="e">
        <f ca="1">INDEX(INDIRECT(VLOOKUP(LEFT(BO98,7),CLU!$Z$3:$AH$18,5)),GL98,GK98)</f>
        <v>#N/A</v>
      </c>
      <c r="DK98" s="245" t="e">
        <f ca="1">INDEX(INDIRECT(VLOOKUP(LEFT(BO98,7),CLU!$Z$3:$AH$18,6)),GL98,GK98)</f>
        <v>#N/A</v>
      </c>
      <c r="DL98" s="355">
        <f>(Calculation!R98*0.69143*(Calculation!$BQ$8-Calculation!$F$8))*$S$14</f>
        <v>0</v>
      </c>
      <c r="DM98" s="359" t="e">
        <f t="shared" si="366"/>
        <v>#VALUE!</v>
      </c>
      <c r="DN98" s="611">
        <f t="shared" si="367"/>
        <v>0</v>
      </c>
      <c r="DO98" s="359">
        <f t="shared" si="368"/>
        <v>100</v>
      </c>
      <c r="DP98" s="359">
        <f t="shared" si="369"/>
        <v>0</v>
      </c>
      <c r="DQ98" s="360"/>
      <c r="DR98" s="245" t="e">
        <f ca="1">INDEX(INDIRECT(VLOOKUP(LEFT(BO98,7),CLU!$Z$3:$AH$18,7)),M98-1,1)</f>
        <v>#N/A</v>
      </c>
      <c r="DS98" s="245" t="e">
        <f ca="1">INDEX(INDIRECT(VLOOKUP(LEFT(BO98,7),CLU!$Z$3:$AH$18,7)),M98-1,2)</f>
        <v>#N/A</v>
      </c>
      <c r="DT98" s="245" t="e">
        <f ca="1">INDEX(INDIRECT(VLOOKUP(LEFT(BO98,7),CLU!$Z$3:$AH$18,7)),M98-1,3)</f>
        <v>#N/A</v>
      </c>
      <c r="DU98" s="245" t="e">
        <f ca="1">INDEX(INDIRECT(VLOOKUP(LEFT(BO98,7),CLU!$Z$3:$AH$18,7)),M98-1,4)</f>
        <v>#N/A</v>
      </c>
      <c r="DV98" s="361" t="e">
        <f ca="1">INDEX(INDIRECT(VLOOKUP(LEFT(BO98,7),CLU!$Z$3:$AH$18,7)),M98-1,4+LEFT(DZ98,1)*0.5)</f>
        <v>#N/A</v>
      </c>
      <c r="DW98" s="245" t="e">
        <f ca="1">INDEX(INDIRECT(VLOOKUP(LEFT(BO98,7),CLU!$Z$3:$AH$18,7)),M98-1,8)</f>
        <v>#N/A</v>
      </c>
      <c r="DX98" s="361" t="str">
        <f t="shared" si="262"/>
        <v xml:space="preserve"> </v>
      </c>
      <c r="DY98" s="361" t="str">
        <f t="shared" si="263"/>
        <v xml:space="preserve"> </v>
      </c>
      <c r="DZ98" s="361" t="str">
        <f t="shared" si="264"/>
        <v xml:space="preserve"> </v>
      </c>
      <c r="EA98" s="362" t="str">
        <f t="shared" si="265"/>
        <v xml:space="preserve"> </v>
      </c>
      <c r="EB98" s="624" t="str">
        <f t="shared" si="370"/>
        <v xml:space="preserve"> </v>
      </c>
      <c r="EC98" s="361" t="e">
        <f ca="1">INDEX(INDIRECT(VLOOKUP(LEFT(BO98,7),CLU!$Z$3:$AH$18,7)),M98-1,4+LEFT(DZ98,1)*0.5)</f>
        <v>#N/A</v>
      </c>
      <c r="ED98" s="362" t="str">
        <f t="shared" si="266"/>
        <v xml:space="preserve"> </v>
      </c>
      <c r="EE98" s="361" t="str">
        <f t="shared" si="267"/>
        <v xml:space="preserve"> </v>
      </c>
      <c r="EF98" s="362" t="str">
        <f>IF(L98&gt;0,IF(BR98&gt;0,IF(EE98="2P",IF(Calculation!DZ98="2P",IF(Calculation!DS98=13.75,IF(Calculation!DR98=13,Worksheet!$BD$43,IF(Calculation!DR98=37,Worksheet!$BD$44,Worksheet!$BD$45)),IF(Calculation!DS98=10,IF(Calculation!DR98=18,Worksheet!$BD$29,IF(Calculation!DR98=30,Worksheet!$BD$30,IF(Calculation!DR98=42,Worksheet!$BD$31,IF(Calculation!DR98=54,Worksheet!$BD$32,IF(Calculation!DR98=66,Worksheet!$BD$33,IF(Calculation!DR98=78,Worksheet!$BD$34,IF(Calculation!DR98=90,Worksheet!$BD$35,IF(Calculation!DR98=102,Worksheet!$BD$36,Worksheet!$BD$37)))))))),IF(Calculation!DS98=12.5,IF(Calculation!DR98=18,Worksheet!$BD$38,IF(Calculation!DR98=Worksheet!$BD$39,IF(Calculation!DR98=42,Worksheet!$BD$40,IF(Calculation!DR98=54,Worksheet!$BD$41,Worksheet!$BD$42)))),IF(Calculation!DR98=18,Worksheet!$BD$11,IF(Calculation!DR98=30,Worksheet!$BD$12,IF(Calculation!DR98=42,Worksheet!$BD$13,IF(Calculation!DR98=54,Worksheet!$BD$14,IF(Calculation!DR98=66,Worksheet!$BD$15,IF(Calculation!DR98=78,Worksheet!$BD$16,IF(Calculation!DR98=90,Worksheet!$BD$17,IF(Calculation!DR98=102,Worksheet!$BD$18,Worksheet!$BD$19))))))))))),IF(Calculation!DS98=13.75,IF(Calculation!DR98=13,Worksheet!$BD$78,IF(Calculation!DR98=37,Worksheet!$BD$79,Worksheet!$BD$80)),IF(Calculation!DS98=10,IF(Calculation!DR98=18,Worksheet!$BD$64,IF(Calculation!DR98=30,Worksheet!$BD$65,IF(Calculation!DR98=42,Worksheet!$BD$66,IF(Calculation!DR98=54,Worksheet!$BD$68,IF(Calculation!DR98=66,Worksheet!$BD$68,IF(Calculation!DR98=78,Worksheet!$BD$69,IF(Calculation!DR98=90,Worksheet!$BD$70,IF(Calculation!DR98=102,Worksheet!$BD$71,Worksheet!$BD$72)))))))),IF(Calculation!DS98=12.5,IF(Calculation!DR98=18,Worksheet!$BD$73,IF(Calculation!DR98=Worksheet!$BD$74,IF(Calculation!DR98=42,Worksheet!$BD$75,IF(Calculation!DR98=54,Worksheet!$BD$76,Worksheet!$BD$77)))),IF(Calculation!DR98=18,Worksheet!$BD$55,IF(Calculation!DR98=30,Worksheet!$BD$56,IF(Calculation!DR98=42,Worksheet!$BD$57,IF(Calculation!DR98=54,Worksheet!$BD$58,IF(Calculation!DR98=66,Worksheet!$BD$59,IF(Calculation!DR98=78,Worksheet!$BD$60,IF(Calculation!DR98=90,Worksheet!$BD$61,IF(Calculation!DR98=102,Worksheet!$BD$62,Worksheet!$BD$63)))))))))))),5),0)," ")</f>
        <v xml:space="preserve"> </v>
      </c>
      <c r="EG98" s="361" t="str">
        <f t="shared" si="268"/>
        <v xml:space="preserve"> </v>
      </c>
      <c r="EH98" s="361" t="e">
        <f ca="1">INDEX(INDIRECT(VLOOKUP(LEFT(BO98,7),CLU!$Z$3:$AH$18,7)),M98-1,3+LEFT(DZ98,1))</f>
        <v>#N/A</v>
      </c>
      <c r="EI98" s="362" t="str">
        <f t="shared" si="269"/>
        <v xml:space="preserve"> </v>
      </c>
      <c r="EJ98" s="363" t="str">
        <f t="shared" si="270"/>
        <v xml:space="preserve"> </v>
      </c>
      <c r="EK98" s="363" t="str">
        <f t="shared" si="271"/>
        <v xml:space="preserve"> </v>
      </c>
      <c r="EL98" s="363" t="str">
        <f t="shared" si="272"/>
        <v xml:space="preserve"> </v>
      </c>
      <c r="EM98" s="362" t="str">
        <f>IF(L98&gt;0,IF(BR98&gt;0,(Calculation!T98/ED98)^2,0)," ")</f>
        <v xml:space="preserve"> </v>
      </c>
      <c r="EN98" s="362" t="str">
        <f>IF(L98&gt;0,IF(O98="2 Pipe (Cooling)","N/A",IF(BR98&gt;0,(Calculation!U98/EI98)^2,0))," ")</f>
        <v xml:space="preserve"> </v>
      </c>
      <c r="EO98" s="361" t="str">
        <f t="shared" si="273"/>
        <v/>
      </c>
      <c r="EP98" s="361" t="str">
        <f t="shared" si="274"/>
        <v/>
      </c>
      <c r="EQ98" s="361" t="str">
        <f t="shared" si="275"/>
        <v/>
      </c>
      <c r="ER98" s="361" t="str">
        <f t="shared" si="276"/>
        <v/>
      </c>
      <c r="ES98" s="361" t="str">
        <f t="shared" si="277"/>
        <v/>
      </c>
      <c r="ET98" s="361" t="str">
        <f t="shared" si="278"/>
        <v/>
      </c>
      <c r="EU98" s="361" t="str">
        <f t="shared" si="279"/>
        <v/>
      </c>
      <c r="EV98" s="361" t="str">
        <f t="shared" si="280"/>
        <v/>
      </c>
      <c r="EW98" s="361" t="str">
        <f t="shared" si="281"/>
        <v/>
      </c>
      <c r="EX98" s="361" t="str">
        <f t="shared" si="371"/>
        <v>1 slot, 1 way</v>
      </c>
      <c r="EY98" s="361" t="str">
        <f t="shared" si="372"/>
        <v xml:space="preserve"> </v>
      </c>
      <c r="EZ98" s="361" t="str">
        <f t="shared" si="373"/>
        <v xml:space="preserve"> </v>
      </c>
      <c r="FA98" s="361" t="str">
        <f t="shared" si="374"/>
        <v xml:space="preserve"> </v>
      </c>
      <c r="FB98" s="361" t="str">
        <f t="shared" si="375"/>
        <v xml:space="preserve"> </v>
      </c>
      <c r="FC98" s="361"/>
      <c r="FD98" s="361" t="str">
        <f>IF(J98&gt;0,IF(Calculation!R98&lt;=70,4,IF(Calculation!R98&lt;=110,5,IF(Calculation!R98&lt;=160,6,IF(Calculation!R98&lt;=300,8,"10 EO")))),"")</f>
        <v/>
      </c>
      <c r="FE98" s="361" t="str">
        <f t="shared" si="376"/>
        <v/>
      </c>
      <c r="FF98" s="361" t="str">
        <f t="shared" si="377"/>
        <v/>
      </c>
      <c r="FG98" s="361" t="e">
        <f t="shared" si="282"/>
        <v>#N/A</v>
      </c>
      <c r="FH98" s="361">
        <f t="shared" si="283"/>
        <v>0</v>
      </c>
      <c r="FI98" s="361" t="e">
        <f t="shared" si="284"/>
        <v>#DIV/0!</v>
      </c>
      <c r="FJ98" s="361"/>
      <c r="FK98" s="356" t="e">
        <f t="shared" si="285"/>
        <v>#VALUE!</v>
      </c>
      <c r="FL98" s="361"/>
      <c r="FM98" s="361"/>
      <c r="FN98" s="362" t="str">
        <f t="shared" si="378"/>
        <v xml:space="preserve"> </v>
      </c>
      <c r="FO98" s="362" t="str">
        <f t="shared" si="379"/>
        <v xml:space="preserve"> </v>
      </c>
      <c r="FP98" s="362">
        <f t="shared" si="380"/>
        <v>0</v>
      </c>
      <c r="FQ98" s="361">
        <f t="shared" si="286"/>
        <v>0</v>
      </c>
      <c r="FR98" s="362" t="str">
        <f>IF(L98&gt;0,IF(J98="CBAL2",Worksheet!$P$67,IF(J98="CBE2-24",Worksheet!$Q$67,IF(J98="CBAM",Worksheet!$R$67,IF(J98="CBLV",Worksheet!$S$67,IF(J98="CBAB",Worksheet!$U$67,IF(J98="CBAW",Worksheet!$X$67,IF(J98="CBE2-12",Worksheet!$Y$67,IF(J98="CBAL2",Worksheet!$Z$67,"N/A"))))))))," ")</f>
        <v xml:space="preserve"> </v>
      </c>
      <c r="FS98" s="362" t="str">
        <f>IF(L98&gt;0,IF(J98="CBAL2",Worksheet!$P$68,IF(J98="CBE2-24",Worksheet!$Q$68,IF(J98="CBAM",Worksheet!$R$68,IF(J98="CBLV",Worksheet!$S$68,IF(J98="CBAB",Worksheet!$U$68,IF(J98="CBAW",Worksheet!$X$68,IF(J98="CBE2-12",Worksheet!$Y$68,IF(J98="CBAL2",Worksheet!$Z$68,"N/A"))))))))," ")</f>
        <v xml:space="preserve"> </v>
      </c>
      <c r="FT98" s="362" t="str">
        <f>IF(L98&gt;0,IF(J98="CBAL2",Worksheet!$P$69,IF(J98="CBE2-24",Worksheet!$Q$69,IF(J98="CBAM",Worksheet!$R$69,IF(J98="CBLV",Worksheet!$S$69,IF(J98="CBAB",Worksheet!$U$69,IF(J98="CBAW",Worksheet!$X$69,IF(J98="CBE2-12",Worksheet!$Y$69,IF(J98="CBAL2",Worksheet!$Z$69,"N/A"))))))))," ")</f>
        <v xml:space="preserve"> </v>
      </c>
      <c r="FU98" s="361" t="str">
        <f t="shared" si="381"/>
        <v xml:space="preserve"> </v>
      </c>
      <c r="FV98" s="362" t="str">
        <f t="shared" si="382"/>
        <v xml:space="preserve"> </v>
      </c>
      <c r="FW98" s="362" t="str">
        <f t="shared" si="383"/>
        <v xml:space="preserve"> </v>
      </c>
      <c r="FX98" s="362" t="str">
        <f t="shared" si="384"/>
        <v xml:space="preserve"> </v>
      </c>
      <c r="FY98" s="355" t="str">
        <f t="shared" si="385"/>
        <v xml:space="preserve"> </v>
      </c>
      <c r="FZ98" s="361" t="str">
        <f t="shared" si="386"/>
        <v xml:space="preserve"> </v>
      </c>
      <c r="GA98" s="347" t="str">
        <f t="shared" si="387"/>
        <v xml:space="preserve"> </v>
      </c>
      <c r="GB98" s="355" t="str">
        <f t="shared" si="388"/>
        <v xml:space="preserve"> </v>
      </c>
      <c r="GC98" s="328" t="str">
        <f t="shared" si="389"/>
        <v xml:space="preserve"> </v>
      </c>
      <c r="GD98" s="361" t="str">
        <f t="shared" si="390"/>
        <v xml:space="preserve"> </v>
      </c>
      <c r="GE98" s="347" t="str">
        <f t="shared" si="391"/>
        <v xml:space="preserve"> </v>
      </c>
      <c r="GF98" s="361" t="str">
        <f t="shared" si="392"/>
        <v xml:space="preserve"> </v>
      </c>
      <c r="GG98" s="347" t="str">
        <f t="shared" si="393"/>
        <v xml:space="preserve"> </v>
      </c>
      <c r="GH98" s="364">
        <f t="shared" si="287"/>
        <v>0</v>
      </c>
      <c r="GI98" s="362">
        <f t="shared" si="394"/>
        <v>2</v>
      </c>
      <c r="GJ98" s="433" t="e">
        <f>IF(6-COUNTBLANK(GT98:GY98)=4,MATCH(MID(BO98,9,3),CLU!$H$16:$K$16),MATCH(MID(BO98,9,3),CLU!$H$13:$M$13))</f>
        <v>#N/A</v>
      </c>
      <c r="GK98" s="433" t="e">
        <f>HLOOKUP(VALUE(BP98),CLU!$H$9:$M$10,2)</f>
        <v>#VALUE!</v>
      </c>
      <c r="GL98" s="433" t="e">
        <f ca="1">MATCH(BU98,CLU!$H$2:$V$2,1)</f>
        <v>#VALUE!</v>
      </c>
      <c r="GM98" s="433" t="e">
        <f t="shared" ca="1" si="395"/>
        <v>#VALUE!</v>
      </c>
      <c r="GN98" s="433" t="e">
        <f t="shared" ca="1" si="396"/>
        <v>#VALUE!</v>
      </c>
      <c r="GO98" s="433" t="e">
        <f t="shared" ca="1" si="397"/>
        <v>#VALUE!</v>
      </c>
      <c r="GP98" s="433" t="e">
        <f t="shared" ca="1" si="398"/>
        <v>#VALUE!</v>
      </c>
      <c r="GQ98" s="433" t="e">
        <f t="shared" ca="1" si="399"/>
        <v>#VALUE!</v>
      </c>
      <c r="GR98" s="433" t="e">
        <f ca="1">MATCH(T98,INDIRECT(VLOOKUP(CONCATENATE(LEFT(BO98,7),"-",MID(BO98,13,1)),CLU!$P$3:$Q$16,2)),1)</f>
        <v>#N/A</v>
      </c>
      <c r="GS98" s="433" t="e">
        <f ca="1">MATCH(U98,INDIRECT(VLOOKUP(CONCATENATE(LEFT(BO98,7),"-",MID(BO98,13,1)),CLU!$P$3:$Q$16,2)),1)</f>
        <v>#N/A</v>
      </c>
      <c r="GT98" s="347" t="s">
        <v>512</v>
      </c>
      <c r="GU98" s="97" t="s">
        <v>513</v>
      </c>
      <c r="GV98" s="97" t="str">
        <f t="shared" si="400"/>
        <v>M23</v>
      </c>
      <c r="GW98" s="97" t="str">
        <f t="shared" si="401"/>
        <v>M31</v>
      </c>
      <c r="GX98" s="97" t="str">
        <f t="shared" si="402"/>
        <v/>
      </c>
      <c r="GY98" s="97" t="str">
        <f t="shared" si="403"/>
        <v/>
      </c>
      <c r="GZ98" s="481"/>
      <c r="HA98" s="288"/>
      <c r="HB98" s="240"/>
      <c r="HC98" s="240"/>
      <c r="HD98" s="240"/>
      <c r="HE98" s="240"/>
      <c r="HF98" s="240"/>
      <c r="HG98" s="240"/>
      <c r="HH98" s="240"/>
      <c r="HI98" s="240"/>
      <c r="HJ98" s="240"/>
      <c r="HK98" s="240"/>
      <c r="HL98" s="240"/>
      <c r="HM98" s="240"/>
      <c r="HN98" s="240"/>
      <c r="HO98" s="240"/>
      <c r="HP98" s="240"/>
      <c r="HQ98" s="240"/>
      <c r="HR98" s="240"/>
      <c r="HS98" s="240"/>
      <c r="HT98" s="240"/>
      <c r="HU98" s="240"/>
      <c r="HV98" s="245"/>
      <c r="HW98" s="245" t="b">
        <v>1</v>
      </c>
      <c r="HX98" s="245" t="str">
        <f t="shared" si="288"/>
        <v/>
      </c>
      <c r="HY98" s="245" t="e">
        <f t="shared" si="289"/>
        <v>#DIV/0!</v>
      </c>
      <c r="HZ98" s="245" t="e">
        <f t="shared" si="290"/>
        <v>#DIV/0!</v>
      </c>
      <c r="IA98" s="245">
        <f t="shared" si="291"/>
        <v>0</v>
      </c>
      <c r="IB98" s="245"/>
      <c r="IC98" t="b">
        <f t="shared" si="292"/>
        <v>1</v>
      </c>
      <c r="ID98" s="245" t="b">
        <f t="shared" si="293"/>
        <v>1</v>
      </c>
      <c r="IE98" s="245" t="b">
        <f t="shared" si="294"/>
        <v>1</v>
      </c>
      <c r="IF98" s="245" t="b">
        <f t="shared" si="295"/>
        <v>0</v>
      </c>
      <c r="IG98" s="245" t="b">
        <f t="shared" si="296"/>
        <v>1</v>
      </c>
      <c r="IH98" s="245" t="b">
        <f t="shared" si="297"/>
        <v>1</v>
      </c>
      <c r="II98" s="245">
        <f t="shared" si="404"/>
        <v>0</v>
      </c>
      <c r="IJ98" s="245" t="e">
        <f t="shared" si="298"/>
        <v>#VALUE!</v>
      </c>
      <c r="IK98" s="245" t="e">
        <f t="shared" si="299"/>
        <v>#VALUE!</v>
      </c>
      <c r="IL98" s="245"/>
      <c r="IM98" s="245" t="e">
        <f t="shared" si="405"/>
        <v>#N/A</v>
      </c>
      <c r="IN98" s="245" t="e">
        <f t="shared" si="406"/>
        <v>#N/A</v>
      </c>
      <c r="IO98" s="245"/>
      <c r="IP98" s="245"/>
      <c r="IQ98" s="245" t="str">
        <f t="shared" si="300"/>
        <v/>
      </c>
      <c r="IR98" s="245" t="str">
        <f>IF(J98="","",VLOOKUP(J98,Worksheet!$R$4:$T$14,2))</f>
        <v/>
      </c>
      <c r="IS98" s="245"/>
      <c r="IT98" s="245">
        <f t="shared" si="301"/>
        <v>0</v>
      </c>
      <c r="IU98" s="245">
        <f t="shared" si="302"/>
        <v>0</v>
      </c>
      <c r="IV98" s="245">
        <f t="shared" si="303"/>
        <v>0</v>
      </c>
      <c r="IW98" s="245">
        <f t="shared" si="304"/>
        <v>0</v>
      </c>
      <c r="IX98" s="245">
        <f t="shared" si="407"/>
        <v>0</v>
      </c>
      <c r="IY98" s="245">
        <f t="shared" si="305"/>
        <v>0</v>
      </c>
      <c r="IZ98" s="245">
        <f t="shared" si="306"/>
        <v>0</v>
      </c>
      <c r="JA98">
        <f t="shared" si="307"/>
        <v>0</v>
      </c>
      <c r="JB98">
        <f t="shared" si="408"/>
        <v>0</v>
      </c>
      <c r="JC98">
        <f t="shared" si="308"/>
        <v>0</v>
      </c>
      <c r="JD98">
        <f t="shared" si="309"/>
        <v>0</v>
      </c>
      <c r="JE98">
        <f t="shared" si="310"/>
        <v>0</v>
      </c>
      <c r="JF98">
        <f t="shared" si="311"/>
        <v>0</v>
      </c>
      <c r="JG98">
        <f t="shared" si="312"/>
        <v>0</v>
      </c>
      <c r="JH98">
        <f t="shared" si="313"/>
        <v>0</v>
      </c>
      <c r="JI98">
        <f t="shared" si="314"/>
        <v>0</v>
      </c>
      <c r="JJ98" s="447">
        <f t="shared" si="315"/>
        <v>0</v>
      </c>
      <c r="JK98" s="447">
        <f t="shared" si="316"/>
        <v>0</v>
      </c>
      <c r="JL98">
        <f t="shared" si="317"/>
        <v>0</v>
      </c>
      <c r="JM98" s="245" t="str">
        <f>IFERROR(VLOOKUP(MATCH(BN98,#REF!,0),#REF!,7),"")</f>
        <v/>
      </c>
      <c r="JN98" t="e">
        <f>HLOOKUP(LEFT(BO98,7),Discharge_Area,MATCH(JO98,LookUps!$B$130:$B$149,1)+2)</f>
        <v>#N/A</v>
      </c>
      <c r="JO98" t="str">
        <f t="shared" si="318"/>
        <v>- S</v>
      </c>
      <c r="JP98" t="e">
        <f>HLOOKUP(LEFT(BO98,7),Discharge_Area,MATCH(JO98,LookUps!$B$130:$B$149,1)+2)</f>
        <v>#N/A</v>
      </c>
      <c r="JQ98" t="e">
        <f t="shared" si="319"/>
        <v>#N/A</v>
      </c>
      <c r="JR98" t="e">
        <f t="shared" si="320"/>
        <v>#N/A</v>
      </c>
      <c r="JS98" t="e">
        <f t="shared" si="321"/>
        <v>#N/A</v>
      </c>
      <c r="JT98" s="532" t="str">
        <f t="shared" si="322"/>
        <v xml:space="preserve"> </v>
      </c>
      <c r="JU98" s="532" t="str">
        <f t="shared" si="323"/>
        <v xml:space="preserve"> </v>
      </c>
      <c r="JV98" s="533" t="str">
        <f t="shared" si="324"/>
        <v xml:space="preserve"> </v>
      </c>
      <c r="JW98" s="534">
        <f t="shared" si="325"/>
        <v>0</v>
      </c>
      <c r="JX98" s="535" t="str">
        <f t="shared" si="409"/>
        <v xml:space="preserve"> </v>
      </c>
      <c r="JY98" s="535" t="str">
        <f t="shared" si="410"/>
        <v xml:space="preserve"> </v>
      </c>
      <c r="JZ98" s="535" t="str">
        <f t="shared" si="411"/>
        <v xml:space="preserve"> </v>
      </c>
      <c r="KA98" s="536" t="str">
        <f t="shared" si="326"/>
        <v xml:space="preserve"> </v>
      </c>
      <c r="KB98" s="535" t="e">
        <f t="shared" si="412"/>
        <v>#VALUE!</v>
      </c>
      <c r="KC98" s="535" t="str">
        <f t="shared" si="327"/>
        <v/>
      </c>
      <c r="KD98" s="537" t="str">
        <f t="shared" si="413"/>
        <v xml:space="preserve"> </v>
      </c>
      <c r="KE98" s="537" t="str">
        <f t="shared" si="414"/>
        <v xml:space="preserve"> </v>
      </c>
      <c r="KF98" s="534">
        <f t="shared" si="328"/>
        <v>0</v>
      </c>
      <c r="KG98" s="535" t="str">
        <f t="shared" si="329"/>
        <v xml:space="preserve"> </v>
      </c>
      <c r="KH98" s="535" t="str">
        <f t="shared" si="330"/>
        <v xml:space="preserve"> </v>
      </c>
      <c r="KI98" s="535" t="str">
        <f t="shared" si="331"/>
        <v xml:space="preserve"> </v>
      </c>
      <c r="KJ98" s="536" t="str">
        <f t="shared" si="332"/>
        <v xml:space="preserve"> </v>
      </c>
      <c r="KK98" s="535" t="str">
        <f t="shared" si="415"/>
        <v xml:space="preserve"> </v>
      </c>
      <c r="KL98" s="535" t="str">
        <f t="shared" si="416"/>
        <v xml:space="preserve"> </v>
      </c>
      <c r="KM98" s="537" t="str">
        <f t="shared" si="333"/>
        <v xml:space="preserve"> </v>
      </c>
      <c r="KN98" s="537" t="str">
        <f t="shared" si="417"/>
        <v xml:space="preserve"> </v>
      </c>
      <c r="KP98">
        <f t="shared" si="334"/>
        <v>0</v>
      </c>
      <c r="LA98" t="e">
        <f t="shared" si="335"/>
        <v>#VALUE!</v>
      </c>
      <c r="LB98" t="e">
        <f t="shared" si="336"/>
        <v>#VALUE!</v>
      </c>
      <c r="LC98" t="e">
        <f t="shared" si="337"/>
        <v>#VALUE!</v>
      </c>
      <c r="LD98" t="e">
        <f t="shared" si="338"/>
        <v>#VALUE!</v>
      </c>
      <c r="LE98" t="e">
        <f t="shared" si="418"/>
        <v>#VALUE!</v>
      </c>
      <c r="LF98">
        <f t="shared" si="339"/>
        <v>0</v>
      </c>
      <c r="LG98" t="e">
        <f t="shared" si="419"/>
        <v>#VALUE!</v>
      </c>
      <c r="LH98" t="str">
        <f t="shared" si="340"/>
        <v xml:space="preserve"> </v>
      </c>
      <c r="LI98">
        <f t="shared" si="420"/>
        <v>1</v>
      </c>
    </row>
    <row r="99" spans="2:321" ht="15" customHeight="1">
      <c r="B99" s="311"/>
      <c r="C99" s="311"/>
      <c r="D99" s="312"/>
      <c r="E99" s="311"/>
      <c r="F99" s="312"/>
      <c r="G99" s="311"/>
      <c r="H99" s="311"/>
      <c r="I99" s="37"/>
      <c r="J99" s="311"/>
      <c r="K99" s="305" t="str">
        <f t="shared" si="341"/>
        <v/>
      </c>
      <c r="L99" s="313"/>
      <c r="M99" s="312"/>
      <c r="N99" s="311"/>
      <c r="O99" s="312"/>
      <c r="P99" s="311"/>
      <c r="Q99" s="305" t="str">
        <f t="shared" si="342"/>
        <v/>
      </c>
      <c r="R99" s="314"/>
      <c r="S99" s="450" t="str">
        <f t="shared" si="225"/>
        <v/>
      </c>
      <c r="T99" s="315"/>
      <c r="U99" s="315"/>
      <c r="W99" s="149" t="str">
        <f t="shared" si="226"/>
        <v xml:space="preserve"> </v>
      </c>
      <c r="X99" s="243" t="str">
        <f t="shared" si="227"/>
        <v xml:space="preserve"> </v>
      </c>
      <c r="Y99" s="150" t="str">
        <f t="shared" si="228"/>
        <v/>
      </c>
      <c r="Z99" s="149" t="str">
        <f t="shared" si="229"/>
        <v xml:space="preserve"> </v>
      </c>
      <c r="AA99" s="98" t="str">
        <f t="shared" si="230"/>
        <v xml:space="preserve"> </v>
      </c>
      <c r="AB99" s="153" t="str">
        <f t="shared" si="231"/>
        <v xml:space="preserve"> </v>
      </c>
      <c r="AC99" s="153" t="str">
        <f t="shared" si="232"/>
        <v xml:space="preserve"> </v>
      </c>
      <c r="AD99" s="148" t="str">
        <f t="shared" si="233"/>
        <v/>
      </c>
      <c r="AE99" s="149" t="str">
        <f t="shared" si="234"/>
        <v/>
      </c>
      <c r="AF99" s="151" t="str">
        <f t="shared" si="235"/>
        <v xml:space="preserve"> </v>
      </c>
      <c r="AG99" s="153" t="str">
        <f t="shared" si="236"/>
        <v xml:space="preserve"> </v>
      </c>
      <c r="AH99" s="98" t="str">
        <f t="shared" si="237"/>
        <v xml:space="preserve"> </v>
      </c>
      <c r="AI99" s="149" t="str">
        <f t="shared" si="238"/>
        <v xml:space="preserve"> </v>
      </c>
      <c r="AK99" s="144" t="str">
        <f t="shared" si="239"/>
        <v xml:space="preserve"> </v>
      </c>
      <c r="AL99" s="144"/>
      <c r="AM99" s="243" t="str">
        <f t="shared" si="240"/>
        <v xml:space="preserve"> </v>
      </c>
      <c r="AN99" s="149" t="str">
        <f t="shared" si="343"/>
        <v xml:space="preserve"> </v>
      </c>
      <c r="AO99" s="144" t="str">
        <f>IF(JB99&gt;0,IF(GI99=10,-R99*1.085*(Calculation!$F$6-Calculation!$F$13)*$S$14," "),"")</f>
        <v/>
      </c>
      <c r="AP99" s="144" t="str">
        <f t="shared" si="241"/>
        <v/>
      </c>
      <c r="AQ99" s="56" t="str">
        <f t="shared" si="242"/>
        <v/>
      </c>
      <c r="AR99" s="144" t="str">
        <f t="shared" si="243"/>
        <v/>
      </c>
      <c r="AS99" s="176" t="str">
        <f t="shared" si="244"/>
        <v/>
      </c>
      <c r="AT99" s="176" t="str">
        <f t="shared" si="344"/>
        <v xml:space="preserve"> </v>
      </c>
      <c r="AU99" s="176" t="str">
        <f t="shared" si="245"/>
        <v/>
      </c>
      <c r="AV99" s="177" t="str">
        <f t="shared" si="246"/>
        <v xml:space="preserve"> </v>
      </c>
      <c r="AW99" s="144" t="str">
        <f t="shared" si="247"/>
        <v xml:space="preserve"> </v>
      </c>
      <c r="AX99" s="144" t="str">
        <f t="shared" si="248"/>
        <v xml:space="preserve"> </v>
      </c>
      <c r="AY99" s="152" t="str">
        <f t="shared" si="249"/>
        <v xml:space="preserve"> </v>
      </c>
      <c r="AZ99" s="246" t="str">
        <f t="shared" si="250"/>
        <v/>
      </c>
      <c r="BA99" s="176" t="str">
        <f t="shared" si="251"/>
        <v xml:space="preserve"> </v>
      </c>
      <c r="BB99" s="176" t="str">
        <f t="shared" si="252"/>
        <v xml:space="preserve"> </v>
      </c>
      <c r="BC99" s="195"/>
      <c r="BD99" s="316"/>
      <c r="BE99" s="317"/>
      <c r="BF99" s="318"/>
      <c r="BG99" s="318"/>
      <c r="BH99" s="144" t="str">
        <f t="shared" si="421"/>
        <v xml:space="preserve"> </v>
      </c>
      <c r="BI99" s="176" t="str">
        <f t="shared" si="253"/>
        <v/>
      </c>
      <c r="BJ99" s="144" t="str">
        <f t="shared" si="422"/>
        <v/>
      </c>
      <c r="BK99" s="246" t="str">
        <f t="shared" si="254"/>
        <v/>
      </c>
      <c r="BL99" s="144" t="str">
        <f t="shared" si="423"/>
        <v/>
      </c>
      <c r="BM99" s="246" t="str">
        <f t="shared" si="255"/>
        <v/>
      </c>
      <c r="BN99" s="337" t="str">
        <f t="shared" si="345"/>
        <v/>
      </c>
      <c r="BO99" s="371" t="str">
        <f t="shared" si="346"/>
        <v/>
      </c>
      <c r="BP99" s="328" t="str">
        <f t="shared" si="424"/>
        <v xml:space="preserve"> </v>
      </c>
      <c r="BQ99" s="347" t="str">
        <f t="shared" si="347"/>
        <v xml:space="preserve"> </v>
      </c>
      <c r="BR99" s="353" t="str">
        <f t="shared" si="348"/>
        <v xml:space="preserve"> </v>
      </c>
      <c r="BS99" s="626" t="str">
        <f>IF(L99&gt;0,IF(Calculation!P99="M13",BR99*3.1416*(0.134^2)/(4*144),IF(Calculation!P99="M17",BR99*3.1416*(0.165^2)/(4*144),IF(Calculation!P99="M20",BR99*3.1416*(0.198^2)/(4*144),IF(Calculation!P99="M23",BR99*3.1416*(0.228^2)/(4*144),IF(Calculation!P99="M27",BR99*3.1416*(0.269^2)/(4*144),BR99*3.1416*(0.307^2)/(4*144))))))," ")</f>
        <v xml:space="preserve"> </v>
      </c>
      <c r="BT99" s="353" t="str">
        <f>IF(L99&gt;0,IF(BS99&gt;0,R99/Calculation!BS99,0)," ")</f>
        <v xml:space="preserve"> </v>
      </c>
      <c r="BU99" s="438" t="e">
        <f t="shared" ca="1" si="256"/>
        <v>#VALUE!</v>
      </c>
      <c r="BV99" s="449" t="e">
        <f ca="1">INDEX(INDIRECT(VLOOKUP(LEFT(BO99,7),CLU!$Z$3:$AH$18,2)),GN99,GR99)</f>
        <v>#N/A</v>
      </c>
      <c r="BW99" s="433" t="e">
        <f ca="1">INDEX(INDIRECT(VLOOKUP(LEFT(BO99,7),CLU!$Z$3:$AH$18,3)),GN99,GR99)</f>
        <v>#N/A</v>
      </c>
      <c r="BX99" s="433" t="e">
        <f ca="1">INDEX(INDIRECT(VLOOKUP(LEFT(BO99,7),CLU!$Z$3:$AH$18,4)),GN99,GR99)</f>
        <v>#N/A</v>
      </c>
      <c r="BY99" s="433" t="e">
        <f ca="1">INDEX(INDIRECT(VLOOKUP(LEFT(BO99,7),CLU!$Z$3:$AH$18,9)),((M99-2)*(6-COUNTBLANK(GT99:GY99)))+GJ99)</f>
        <v>#N/A</v>
      </c>
      <c r="BZ99" s="426" t="e">
        <f t="shared" ca="1" si="349"/>
        <v>#N/A</v>
      </c>
      <c r="CA99" s="424" t="e">
        <f t="shared" ca="1" si="350"/>
        <v>#N/A</v>
      </c>
      <c r="CB99" s="429" t="e">
        <f ca="1">INDEX(INDIRECT(VLOOKUP(LEFT(BO99,7),CLU!$Z$3:$AH$18,2)),GN99,GS99)</f>
        <v>#N/A</v>
      </c>
      <c r="CC99" s="342" t="e">
        <f ca="1">INDEX(INDIRECT(VLOOKUP(LEFT(BO99,7),CLU!$Z$3:$AH$18,3)),GN99,GS99)</f>
        <v>#N/A</v>
      </c>
      <c r="CD99" s="342" t="e">
        <f ca="1">INDEX(INDIRECT(VLOOKUP(LEFT(BO99,7),CLU!$Z$3:$AH$18,4)),GN99,GS99)</f>
        <v>#N/A</v>
      </c>
      <c r="CE99" s="426" t="e">
        <f t="shared" ca="1" si="351"/>
        <v>#N/A</v>
      </c>
      <c r="CF99" s="440">
        <f t="shared" si="352"/>
        <v>0</v>
      </c>
      <c r="CG99" s="431" t="e">
        <f ca="1">INDEX(INDIRECT(VLOOKUP(LEFT(BO99,7),CLU!$Z$3:$AH$18,2)),GQ99,GR99)</f>
        <v>#N/A</v>
      </c>
      <c r="CH99" s="431" t="e">
        <f ca="1">INDEX(INDIRECT(VLOOKUP(LEFT(BO99,7),CLU!$Z$3:$AH$18,3)),GQ99,GR99)</f>
        <v>#N/A</v>
      </c>
      <c r="CI99" s="431" t="e">
        <f ca="1">INDEX(INDIRECT(VLOOKUP(LEFT(BO99,7),CLU!$Z$3:$AH$18,4)),GQ99,GR99)</f>
        <v>#N/A</v>
      </c>
      <c r="CJ99" s="448" t="e">
        <f t="shared" ca="1" si="353"/>
        <v>#N/A</v>
      </c>
      <c r="CK99" s="431" t="e">
        <f t="shared" ca="1" si="354"/>
        <v>#N/A</v>
      </c>
      <c r="CL99" s="440" t="e">
        <f t="shared" ca="1" si="355"/>
        <v>#N/A</v>
      </c>
      <c r="CM99" s="431" t="e">
        <f ca="1">INDEX(INDIRECT(VLOOKUP(LEFT(BO99,7),CLU!$Z$3:$AH$18,2)),GQ99,GS99)</f>
        <v>#N/A</v>
      </c>
      <c r="CN99" s="431" t="e">
        <f ca="1">INDEX(INDIRECT(VLOOKUP(LEFT(BO99,7),CLU!$Z$3:$AH$18,3)),GQ99,GS99)</f>
        <v>#N/A</v>
      </c>
      <c r="CO99" s="431" t="e">
        <f ca="1">INDEX(INDIRECT(VLOOKUP(LEFT(BO99,7),CLU!$Z$3:$AH$18,4)),GQ99,GS99)</f>
        <v>#N/A</v>
      </c>
      <c r="CP99" s="431" t="e">
        <f t="shared" ca="1" si="356"/>
        <v>#N/A</v>
      </c>
      <c r="CQ99" s="440">
        <f t="shared" si="357"/>
        <v>0</v>
      </c>
      <c r="CR99" s="51" t="e">
        <f t="shared" ca="1" si="358"/>
        <v>#N/A</v>
      </c>
      <c r="CS99" s="439" t="e">
        <f t="shared" ca="1" si="359"/>
        <v>#VALUE!</v>
      </c>
      <c r="CT99" s="51" t="e">
        <f t="shared" ca="1" si="360"/>
        <v>#VALUE!</v>
      </c>
      <c r="CU99" s="10"/>
      <c r="CV99" s="51" t="e">
        <f t="shared" ca="1" si="257"/>
        <v>#VALUE!</v>
      </c>
      <c r="CW99" s="51">
        <f t="shared" si="361"/>
        <v>0</v>
      </c>
      <c r="CX99" s="439" t="e">
        <f t="shared" ca="1" si="362"/>
        <v>#VALUE!</v>
      </c>
      <c r="CY99" s="51" t="e">
        <f t="shared" ca="1" si="363"/>
        <v>#VALUE!</v>
      </c>
      <c r="CZ99" s="10"/>
      <c r="DA99" s="51" t="e">
        <f t="shared" ca="1" si="364"/>
        <v>#VALUE!</v>
      </c>
      <c r="DB99" s="347" t="e">
        <f ca="1">INDEX(INDIRECT(VLOOKUP(LEFT(BO99,7),CLU!$Z$3:$AI$18,10)),((M99-2)*(6-COUNTBLANK(GT99:GY99)))+GJ99)*LI99</f>
        <v>#N/A</v>
      </c>
      <c r="DC99" s="347" t="str">
        <f>IF(L99&gt;0,((R99/Worksheet!$I$15)/DB99)^2," ")</f>
        <v xml:space="preserve"> </v>
      </c>
      <c r="DD99" s="602" t="str">
        <f t="shared" si="365"/>
        <v xml:space="preserve"> </v>
      </c>
      <c r="DE99" s="347" t="str">
        <f t="shared" si="258"/>
        <v xml:space="preserve"> </v>
      </c>
      <c r="DF99" s="356" t="e">
        <f ca="1">INDEX(INDIRECT(VLOOKUP(LEFT(BO99,7),CLU!$Z$3:$AH$18,8)),((M99-2)*(6-COUNTBLANK(GT99:GY99)))+GJ99)</f>
        <v>#N/A</v>
      </c>
      <c r="DG99" s="347" t="str">
        <f t="shared" si="259"/>
        <v xml:space="preserve"> </v>
      </c>
      <c r="DH99" s="357" t="str">
        <f t="shared" si="260"/>
        <v xml:space="preserve"> </v>
      </c>
      <c r="DI99" s="355" t="str">
        <f t="shared" si="261"/>
        <v xml:space="preserve"> </v>
      </c>
      <c r="DJ99" s="245" t="e">
        <f ca="1">INDEX(INDIRECT(VLOOKUP(LEFT(BO99,7),CLU!$Z$3:$AH$18,5)),GL99,GK99)</f>
        <v>#N/A</v>
      </c>
      <c r="DK99" s="245" t="e">
        <f ca="1">INDEX(INDIRECT(VLOOKUP(LEFT(BO99,7),CLU!$Z$3:$AH$18,6)),GL99,GK99)</f>
        <v>#N/A</v>
      </c>
      <c r="DL99" s="355">
        <f>(Calculation!R99*0.69143*(Calculation!$BQ$8-Calculation!$F$8))*$S$14</f>
        <v>0</v>
      </c>
      <c r="DM99" s="359" t="e">
        <f t="shared" si="366"/>
        <v>#VALUE!</v>
      </c>
      <c r="DN99" s="611">
        <f t="shared" si="367"/>
        <v>0</v>
      </c>
      <c r="DO99" s="359">
        <f t="shared" si="368"/>
        <v>100</v>
      </c>
      <c r="DP99" s="359">
        <f t="shared" si="369"/>
        <v>0</v>
      </c>
      <c r="DQ99" s="360"/>
      <c r="DR99" s="245" t="e">
        <f ca="1">INDEX(INDIRECT(VLOOKUP(LEFT(BO99,7),CLU!$Z$3:$AH$18,7)),M99-1,1)</f>
        <v>#N/A</v>
      </c>
      <c r="DS99" s="245" t="e">
        <f ca="1">INDEX(INDIRECT(VLOOKUP(LEFT(BO99,7),CLU!$Z$3:$AH$18,7)),M99-1,2)</f>
        <v>#N/A</v>
      </c>
      <c r="DT99" s="245" t="e">
        <f ca="1">INDEX(INDIRECT(VLOOKUP(LEFT(BO99,7),CLU!$Z$3:$AH$18,7)),M99-1,3)</f>
        <v>#N/A</v>
      </c>
      <c r="DU99" s="245" t="e">
        <f ca="1">INDEX(INDIRECT(VLOOKUP(LEFT(BO99,7),CLU!$Z$3:$AH$18,7)),M99-1,4)</f>
        <v>#N/A</v>
      </c>
      <c r="DV99" s="361" t="e">
        <f ca="1">INDEX(INDIRECT(VLOOKUP(LEFT(BO99,7),CLU!$Z$3:$AH$18,7)),M99-1,4+LEFT(DZ99,1)*0.5)</f>
        <v>#N/A</v>
      </c>
      <c r="DW99" s="245" t="e">
        <f ca="1">INDEX(INDIRECT(VLOOKUP(LEFT(BO99,7),CLU!$Z$3:$AH$18,7)),M99-1,8)</f>
        <v>#N/A</v>
      </c>
      <c r="DX99" s="361" t="str">
        <f t="shared" si="262"/>
        <v xml:space="preserve"> </v>
      </c>
      <c r="DY99" s="361" t="str">
        <f t="shared" si="263"/>
        <v xml:space="preserve"> </v>
      </c>
      <c r="DZ99" s="361" t="str">
        <f t="shared" si="264"/>
        <v xml:space="preserve"> </v>
      </c>
      <c r="EA99" s="362" t="str">
        <f t="shared" si="265"/>
        <v xml:space="preserve"> </v>
      </c>
      <c r="EB99" s="624" t="str">
        <f t="shared" si="370"/>
        <v xml:space="preserve"> </v>
      </c>
      <c r="EC99" s="361" t="e">
        <f ca="1">INDEX(INDIRECT(VLOOKUP(LEFT(BO99,7),CLU!$Z$3:$AH$18,7)),M99-1,4+LEFT(DZ99,1)*0.5)</f>
        <v>#N/A</v>
      </c>
      <c r="ED99" s="362" t="str">
        <f t="shared" si="266"/>
        <v xml:space="preserve"> </v>
      </c>
      <c r="EE99" s="361" t="str">
        <f t="shared" si="267"/>
        <v xml:space="preserve"> </v>
      </c>
      <c r="EF99" s="362" t="str">
        <f>IF(L99&gt;0,IF(BR99&gt;0,IF(EE99="2P",IF(Calculation!DZ99="2P",IF(Calculation!DS99=13.75,IF(Calculation!DR99=13,Worksheet!$BD$43,IF(Calculation!DR99=37,Worksheet!$BD$44,Worksheet!$BD$45)),IF(Calculation!DS99=10,IF(Calculation!DR99=18,Worksheet!$BD$29,IF(Calculation!DR99=30,Worksheet!$BD$30,IF(Calculation!DR99=42,Worksheet!$BD$31,IF(Calculation!DR99=54,Worksheet!$BD$32,IF(Calculation!DR99=66,Worksheet!$BD$33,IF(Calculation!DR99=78,Worksheet!$BD$34,IF(Calculation!DR99=90,Worksheet!$BD$35,IF(Calculation!DR99=102,Worksheet!$BD$36,Worksheet!$BD$37)))))))),IF(Calculation!DS99=12.5,IF(Calculation!DR99=18,Worksheet!$BD$38,IF(Calculation!DR99=Worksheet!$BD$39,IF(Calculation!DR99=42,Worksheet!$BD$40,IF(Calculation!DR99=54,Worksheet!$BD$41,Worksheet!$BD$42)))),IF(Calculation!DR99=18,Worksheet!$BD$11,IF(Calculation!DR99=30,Worksheet!$BD$12,IF(Calculation!DR99=42,Worksheet!$BD$13,IF(Calculation!DR99=54,Worksheet!$BD$14,IF(Calculation!DR99=66,Worksheet!$BD$15,IF(Calculation!DR99=78,Worksheet!$BD$16,IF(Calculation!DR99=90,Worksheet!$BD$17,IF(Calculation!DR99=102,Worksheet!$BD$18,Worksheet!$BD$19))))))))))),IF(Calculation!DS99=13.75,IF(Calculation!DR99=13,Worksheet!$BD$78,IF(Calculation!DR99=37,Worksheet!$BD$79,Worksheet!$BD$80)),IF(Calculation!DS99=10,IF(Calculation!DR99=18,Worksheet!$BD$64,IF(Calculation!DR99=30,Worksheet!$BD$65,IF(Calculation!DR99=42,Worksheet!$BD$66,IF(Calculation!DR99=54,Worksheet!$BD$68,IF(Calculation!DR99=66,Worksheet!$BD$68,IF(Calculation!DR99=78,Worksheet!$BD$69,IF(Calculation!DR99=90,Worksheet!$BD$70,IF(Calculation!DR99=102,Worksheet!$BD$71,Worksheet!$BD$72)))))))),IF(Calculation!DS99=12.5,IF(Calculation!DR99=18,Worksheet!$BD$73,IF(Calculation!DR99=Worksheet!$BD$74,IF(Calculation!DR99=42,Worksheet!$BD$75,IF(Calculation!DR99=54,Worksheet!$BD$76,Worksheet!$BD$77)))),IF(Calculation!DR99=18,Worksheet!$BD$55,IF(Calculation!DR99=30,Worksheet!$BD$56,IF(Calculation!DR99=42,Worksheet!$BD$57,IF(Calculation!DR99=54,Worksheet!$BD$58,IF(Calculation!DR99=66,Worksheet!$BD$59,IF(Calculation!DR99=78,Worksheet!$BD$60,IF(Calculation!DR99=90,Worksheet!$BD$61,IF(Calculation!DR99=102,Worksheet!$BD$62,Worksheet!$BD$63)))))))))))),5),0)," ")</f>
        <v xml:space="preserve"> </v>
      </c>
      <c r="EG99" s="361" t="str">
        <f t="shared" si="268"/>
        <v xml:space="preserve"> </v>
      </c>
      <c r="EH99" s="361" t="e">
        <f ca="1">INDEX(INDIRECT(VLOOKUP(LEFT(BO99,7),CLU!$Z$3:$AH$18,7)),M99-1,3+LEFT(DZ99,1))</f>
        <v>#N/A</v>
      </c>
      <c r="EI99" s="362" t="str">
        <f t="shared" si="269"/>
        <v xml:space="preserve"> </v>
      </c>
      <c r="EJ99" s="363" t="str">
        <f t="shared" si="270"/>
        <v xml:space="preserve"> </v>
      </c>
      <c r="EK99" s="363" t="str">
        <f t="shared" si="271"/>
        <v xml:space="preserve"> </v>
      </c>
      <c r="EL99" s="363" t="str">
        <f t="shared" si="272"/>
        <v xml:space="preserve"> </v>
      </c>
      <c r="EM99" s="362" t="str">
        <f>IF(L99&gt;0,IF(BR99&gt;0,(Calculation!T99/ED99)^2,0)," ")</f>
        <v xml:space="preserve"> </v>
      </c>
      <c r="EN99" s="362" t="str">
        <f>IF(L99&gt;0,IF(O99="2 Pipe (Cooling)","N/A",IF(BR99&gt;0,(Calculation!U99/EI99)^2,0))," ")</f>
        <v xml:space="preserve"> </v>
      </c>
      <c r="EO99" s="361" t="str">
        <f t="shared" si="273"/>
        <v/>
      </c>
      <c r="EP99" s="361" t="str">
        <f t="shared" si="274"/>
        <v/>
      </c>
      <c r="EQ99" s="361" t="str">
        <f t="shared" si="275"/>
        <v/>
      </c>
      <c r="ER99" s="361" t="str">
        <f t="shared" si="276"/>
        <v/>
      </c>
      <c r="ES99" s="361" t="str">
        <f t="shared" si="277"/>
        <v/>
      </c>
      <c r="ET99" s="361" t="str">
        <f t="shared" si="278"/>
        <v/>
      </c>
      <c r="EU99" s="361" t="str">
        <f t="shared" si="279"/>
        <v/>
      </c>
      <c r="EV99" s="361" t="str">
        <f t="shared" si="280"/>
        <v/>
      </c>
      <c r="EW99" s="361" t="str">
        <f t="shared" si="281"/>
        <v/>
      </c>
      <c r="EX99" s="361" t="str">
        <f t="shared" si="371"/>
        <v>1 slot, 1 way</v>
      </c>
      <c r="EY99" s="361" t="str">
        <f t="shared" si="372"/>
        <v xml:space="preserve"> </v>
      </c>
      <c r="EZ99" s="361" t="str">
        <f t="shared" si="373"/>
        <v xml:space="preserve"> </v>
      </c>
      <c r="FA99" s="361" t="str">
        <f t="shared" si="374"/>
        <v xml:space="preserve"> </v>
      </c>
      <c r="FB99" s="361" t="str">
        <f t="shared" si="375"/>
        <v xml:space="preserve"> </v>
      </c>
      <c r="FC99" s="361"/>
      <c r="FD99" s="361" t="str">
        <f>IF(J99&gt;0,IF(Calculation!R99&lt;=70,4,IF(Calculation!R99&lt;=110,5,IF(Calculation!R99&lt;=160,6,IF(Calculation!R99&lt;=300,8,"10 EO")))),"")</f>
        <v/>
      </c>
      <c r="FE99" s="361" t="str">
        <f t="shared" si="376"/>
        <v/>
      </c>
      <c r="FF99" s="361" t="str">
        <f t="shared" si="377"/>
        <v/>
      </c>
      <c r="FG99" s="361" t="e">
        <f t="shared" si="282"/>
        <v>#N/A</v>
      </c>
      <c r="FH99" s="361">
        <f t="shared" si="283"/>
        <v>0</v>
      </c>
      <c r="FI99" s="361" t="e">
        <f t="shared" si="284"/>
        <v>#DIV/0!</v>
      </c>
      <c r="FJ99" s="361"/>
      <c r="FK99" s="356" t="e">
        <f t="shared" si="285"/>
        <v>#VALUE!</v>
      </c>
      <c r="FL99" s="361"/>
      <c r="FM99" s="361"/>
      <c r="FN99" s="362" t="str">
        <f t="shared" si="378"/>
        <v xml:space="preserve"> </v>
      </c>
      <c r="FO99" s="362" t="str">
        <f t="shared" si="379"/>
        <v xml:space="preserve"> </v>
      </c>
      <c r="FP99" s="362">
        <f t="shared" si="380"/>
        <v>0</v>
      </c>
      <c r="FQ99" s="361">
        <f t="shared" si="286"/>
        <v>0</v>
      </c>
      <c r="FR99" s="362" t="str">
        <f>IF(L99&gt;0,IF(J99="CBAL2",Worksheet!$P$67,IF(J99="CBE2-24",Worksheet!$Q$67,IF(J99="CBAM",Worksheet!$R$67,IF(J99="CBLV",Worksheet!$S$67,IF(J99="CBAB",Worksheet!$U$67,IF(J99="CBAW",Worksheet!$X$67,IF(J99="CBE2-12",Worksheet!$Y$67,IF(J99="CBAL2",Worksheet!$Z$67,"N/A"))))))))," ")</f>
        <v xml:space="preserve"> </v>
      </c>
      <c r="FS99" s="362" t="str">
        <f>IF(L99&gt;0,IF(J99="CBAL2",Worksheet!$P$68,IF(J99="CBE2-24",Worksheet!$Q$68,IF(J99="CBAM",Worksheet!$R$68,IF(J99="CBLV",Worksheet!$S$68,IF(J99="CBAB",Worksheet!$U$68,IF(J99="CBAW",Worksheet!$X$68,IF(J99="CBE2-12",Worksheet!$Y$68,IF(J99="CBAL2",Worksheet!$Z$68,"N/A"))))))))," ")</f>
        <v xml:space="preserve"> </v>
      </c>
      <c r="FT99" s="362" t="str">
        <f>IF(L99&gt;0,IF(J99="CBAL2",Worksheet!$P$69,IF(J99="CBE2-24",Worksheet!$Q$69,IF(J99="CBAM",Worksheet!$R$69,IF(J99="CBLV",Worksheet!$S$69,IF(J99="CBAB",Worksheet!$U$69,IF(J99="CBAW",Worksheet!$X$69,IF(J99="CBE2-12",Worksheet!$Y$69,IF(J99="CBAL2",Worksheet!$Z$69,"N/A"))))))))," ")</f>
        <v xml:space="preserve"> </v>
      </c>
      <c r="FU99" s="361" t="str">
        <f t="shared" si="381"/>
        <v xml:space="preserve"> </v>
      </c>
      <c r="FV99" s="362" t="str">
        <f t="shared" si="382"/>
        <v xml:space="preserve"> </v>
      </c>
      <c r="FW99" s="362" t="str">
        <f t="shared" si="383"/>
        <v xml:space="preserve"> </v>
      </c>
      <c r="FX99" s="362" t="str">
        <f t="shared" si="384"/>
        <v xml:space="preserve"> </v>
      </c>
      <c r="FY99" s="355" t="str">
        <f t="shared" si="385"/>
        <v xml:space="preserve"> </v>
      </c>
      <c r="FZ99" s="361" t="str">
        <f t="shared" si="386"/>
        <v xml:space="preserve"> </v>
      </c>
      <c r="GA99" s="347" t="str">
        <f t="shared" si="387"/>
        <v xml:space="preserve"> </v>
      </c>
      <c r="GB99" s="355" t="str">
        <f t="shared" si="388"/>
        <v xml:space="preserve"> </v>
      </c>
      <c r="GC99" s="328" t="str">
        <f t="shared" si="389"/>
        <v xml:space="preserve"> </v>
      </c>
      <c r="GD99" s="361" t="str">
        <f t="shared" si="390"/>
        <v xml:space="preserve"> </v>
      </c>
      <c r="GE99" s="347" t="str">
        <f t="shared" si="391"/>
        <v xml:space="preserve"> </v>
      </c>
      <c r="GF99" s="361" t="str">
        <f t="shared" si="392"/>
        <v xml:space="preserve"> </v>
      </c>
      <c r="GG99" s="347" t="str">
        <f t="shared" si="393"/>
        <v xml:space="preserve"> </v>
      </c>
      <c r="GH99" s="364">
        <f t="shared" si="287"/>
        <v>0</v>
      </c>
      <c r="GI99" s="362">
        <f t="shared" si="394"/>
        <v>2</v>
      </c>
      <c r="GJ99" s="433" t="e">
        <f>IF(6-COUNTBLANK(GT99:GY99)=4,MATCH(MID(BO99,9,3),CLU!$H$16:$K$16),MATCH(MID(BO99,9,3),CLU!$H$13:$M$13))</f>
        <v>#N/A</v>
      </c>
      <c r="GK99" s="433" t="e">
        <f>HLOOKUP(VALUE(BP99),CLU!$H$9:$M$10,2)</f>
        <v>#VALUE!</v>
      </c>
      <c r="GL99" s="433" t="e">
        <f ca="1">MATCH(BU99,CLU!$H$2:$V$2,1)</f>
        <v>#VALUE!</v>
      </c>
      <c r="GM99" s="433" t="e">
        <f t="shared" ca="1" si="395"/>
        <v>#VALUE!</v>
      </c>
      <c r="GN99" s="433" t="e">
        <f t="shared" ca="1" si="396"/>
        <v>#VALUE!</v>
      </c>
      <c r="GO99" s="433" t="e">
        <f t="shared" ca="1" si="397"/>
        <v>#VALUE!</v>
      </c>
      <c r="GP99" s="433" t="e">
        <f t="shared" ca="1" si="398"/>
        <v>#VALUE!</v>
      </c>
      <c r="GQ99" s="433" t="e">
        <f t="shared" ca="1" si="399"/>
        <v>#VALUE!</v>
      </c>
      <c r="GR99" s="433" t="e">
        <f ca="1">MATCH(T99,INDIRECT(VLOOKUP(CONCATENATE(LEFT(BO99,7),"-",MID(BO99,13,1)),CLU!$P$3:$Q$16,2)),1)</f>
        <v>#N/A</v>
      </c>
      <c r="GS99" s="433" t="e">
        <f ca="1">MATCH(U99,INDIRECT(VLOOKUP(CONCATENATE(LEFT(BO99,7),"-",MID(BO99,13,1)),CLU!$P$3:$Q$16,2)),1)</f>
        <v>#N/A</v>
      </c>
      <c r="GT99" s="347" t="s">
        <v>512</v>
      </c>
      <c r="GU99" s="97" t="s">
        <v>513</v>
      </c>
      <c r="GV99" s="97" t="str">
        <f t="shared" si="400"/>
        <v>M23</v>
      </c>
      <c r="GW99" s="97" t="str">
        <f t="shared" si="401"/>
        <v>M31</v>
      </c>
      <c r="GX99" s="97" t="str">
        <f t="shared" si="402"/>
        <v/>
      </c>
      <c r="GY99" s="97" t="str">
        <f t="shared" si="403"/>
        <v/>
      </c>
      <c r="GZ99" s="481"/>
      <c r="HA99" s="288"/>
      <c r="HB99" s="240"/>
      <c r="HC99" s="240"/>
      <c r="HD99" s="240"/>
      <c r="HE99" s="240"/>
      <c r="HF99" s="240"/>
      <c r="HG99" s="240"/>
      <c r="HH99" s="240"/>
      <c r="HI99" s="240"/>
      <c r="HJ99" s="240"/>
      <c r="HK99" s="240"/>
      <c r="HL99" s="240"/>
      <c r="HM99" s="240"/>
      <c r="HN99" s="240"/>
      <c r="HO99" s="240"/>
      <c r="HP99" s="240"/>
      <c r="HQ99" s="240"/>
      <c r="HR99" s="240"/>
      <c r="HS99" s="240"/>
      <c r="HT99" s="240"/>
      <c r="HU99" s="240"/>
      <c r="HV99" s="245"/>
      <c r="HW99" s="245" t="b">
        <v>1</v>
      </c>
      <c r="HX99" s="245" t="str">
        <f t="shared" si="288"/>
        <v/>
      </c>
      <c r="HY99" s="245" t="e">
        <f t="shared" si="289"/>
        <v>#DIV/0!</v>
      </c>
      <c r="HZ99" s="245" t="e">
        <f t="shared" si="290"/>
        <v>#DIV/0!</v>
      </c>
      <c r="IA99" s="245">
        <f t="shared" si="291"/>
        <v>0</v>
      </c>
      <c r="IB99" s="245"/>
      <c r="IC99" t="b">
        <f t="shared" si="292"/>
        <v>1</v>
      </c>
      <c r="ID99" s="245" t="b">
        <f t="shared" si="293"/>
        <v>1</v>
      </c>
      <c r="IE99" s="245" t="b">
        <f t="shared" si="294"/>
        <v>1</v>
      </c>
      <c r="IF99" s="245" t="b">
        <f t="shared" si="295"/>
        <v>0</v>
      </c>
      <c r="IG99" s="245" t="b">
        <f t="shared" si="296"/>
        <v>1</v>
      </c>
      <c r="IH99" s="245" t="b">
        <f t="shared" si="297"/>
        <v>1</v>
      </c>
      <c r="II99" s="245">
        <f t="shared" si="404"/>
        <v>0</v>
      </c>
      <c r="IJ99" s="245" t="e">
        <f t="shared" si="298"/>
        <v>#VALUE!</v>
      </c>
      <c r="IK99" s="245" t="e">
        <f t="shared" si="299"/>
        <v>#VALUE!</v>
      </c>
      <c r="IL99" s="245"/>
      <c r="IM99" s="245" t="e">
        <f t="shared" si="405"/>
        <v>#N/A</v>
      </c>
      <c r="IN99" s="245" t="e">
        <f t="shared" si="406"/>
        <v>#N/A</v>
      </c>
      <c r="IO99" s="245"/>
      <c r="IP99" s="245"/>
      <c r="IQ99" s="245" t="str">
        <f t="shared" si="300"/>
        <v/>
      </c>
      <c r="IR99" s="245" t="str">
        <f>IF(J99="","",VLOOKUP(J99,Worksheet!$R$4:$T$14,2))</f>
        <v/>
      </c>
      <c r="IS99" s="245"/>
      <c r="IT99" s="245">
        <f t="shared" si="301"/>
        <v>0</v>
      </c>
      <c r="IU99" s="245">
        <f t="shared" si="302"/>
        <v>0</v>
      </c>
      <c r="IV99" s="245">
        <f t="shared" si="303"/>
        <v>0</v>
      </c>
      <c r="IW99" s="245">
        <f t="shared" si="304"/>
        <v>0</v>
      </c>
      <c r="IX99" s="245">
        <f t="shared" si="407"/>
        <v>0</v>
      </c>
      <c r="IY99" s="245">
        <f t="shared" si="305"/>
        <v>0</v>
      </c>
      <c r="IZ99" s="245">
        <f t="shared" si="306"/>
        <v>0</v>
      </c>
      <c r="JA99">
        <f t="shared" si="307"/>
        <v>0</v>
      </c>
      <c r="JB99">
        <f t="shared" si="408"/>
        <v>0</v>
      </c>
      <c r="JC99">
        <f t="shared" si="308"/>
        <v>0</v>
      </c>
      <c r="JD99">
        <f t="shared" si="309"/>
        <v>0</v>
      </c>
      <c r="JE99">
        <f t="shared" si="310"/>
        <v>0</v>
      </c>
      <c r="JF99">
        <f t="shared" si="311"/>
        <v>0</v>
      </c>
      <c r="JG99">
        <f t="shared" si="312"/>
        <v>0</v>
      </c>
      <c r="JH99">
        <f t="shared" si="313"/>
        <v>0</v>
      </c>
      <c r="JI99">
        <f t="shared" si="314"/>
        <v>0</v>
      </c>
      <c r="JJ99" s="447">
        <f t="shared" si="315"/>
        <v>0</v>
      </c>
      <c r="JK99" s="447">
        <f t="shared" si="316"/>
        <v>0</v>
      </c>
      <c r="JL99">
        <f t="shared" si="317"/>
        <v>0</v>
      </c>
      <c r="JM99" s="245" t="str">
        <f>IFERROR(VLOOKUP(MATCH(BN99,#REF!,0),#REF!,7),"")</f>
        <v/>
      </c>
      <c r="JN99" t="e">
        <f>HLOOKUP(LEFT(BO99,7),Discharge_Area,MATCH(JO99,LookUps!$B$130:$B$149,1)+2)</f>
        <v>#N/A</v>
      </c>
      <c r="JO99" t="str">
        <f t="shared" si="318"/>
        <v>- S</v>
      </c>
      <c r="JP99" t="e">
        <f>HLOOKUP(LEFT(BO99,7),Discharge_Area,MATCH(JO99,LookUps!$B$130:$B$149,1)+2)</f>
        <v>#N/A</v>
      </c>
      <c r="JQ99" t="e">
        <f t="shared" si="319"/>
        <v>#N/A</v>
      </c>
      <c r="JR99" t="e">
        <f t="shared" si="320"/>
        <v>#N/A</v>
      </c>
      <c r="JS99" t="e">
        <f t="shared" si="321"/>
        <v>#N/A</v>
      </c>
      <c r="JT99" s="532" t="str">
        <f t="shared" si="322"/>
        <v xml:space="preserve"> </v>
      </c>
      <c r="JU99" s="532" t="str">
        <f t="shared" si="323"/>
        <v xml:space="preserve"> </v>
      </c>
      <c r="JV99" s="533" t="str">
        <f t="shared" si="324"/>
        <v xml:space="preserve"> </v>
      </c>
      <c r="JW99" s="534">
        <f t="shared" si="325"/>
        <v>0</v>
      </c>
      <c r="JX99" s="535" t="str">
        <f t="shared" si="409"/>
        <v xml:space="preserve"> </v>
      </c>
      <c r="JY99" s="535" t="str">
        <f t="shared" si="410"/>
        <v xml:space="preserve"> </v>
      </c>
      <c r="JZ99" s="535" t="str">
        <f t="shared" si="411"/>
        <v xml:space="preserve"> </v>
      </c>
      <c r="KA99" s="536" t="str">
        <f t="shared" si="326"/>
        <v xml:space="preserve"> </v>
      </c>
      <c r="KB99" s="535" t="e">
        <f t="shared" si="412"/>
        <v>#VALUE!</v>
      </c>
      <c r="KC99" s="535" t="str">
        <f t="shared" si="327"/>
        <v/>
      </c>
      <c r="KD99" s="537" t="str">
        <f t="shared" si="413"/>
        <v xml:space="preserve"> </v>
      </c>
      <c r="KE99" s="537" t="str">
        <f t="shared" si="414"/>
        <v xml:space="preserve"> </v>
      </c>
      <c r="KF99" s="534">
        <f t="shared" si="328"/>
        <v>0</v>
      </c>
      <c r="KG99" s="535" t="str">
        <f t="shared" si="329"/>
        <v xml:space="preserve"> </v>
      </c>
      <c r="KH99" s="535" t="str">
        <f t="shared" si="330"/>
        <v xml:space="preserve"> </v>
      </c>
      <c r="KI99" s="535" t="str">
        <f t="shared" si="331"/>
        <v xml:space="preserve"> </v>
      </c>
      <c r="KJ99" s="536" t="str">
        <f t="shared" si="332"/>
        <v xml:space="preserve"> </v>
      </c>
      <c r="KK99" s="535" t="str">
        <f t="shared" si="415"/>
        <v xml:space="preserve"> </v>
      </c>
      <c r="KL99" s="535" t="str">
        <f t="shared" si="416"/>
        <v xml:space="preserve"> </v>
      </c>
      <c r="KM99" s="537" t="str">
        <f t="shared" si="333"/>
        <v xml:space="preserve"> </v>
      </c>
      <c r="KN99" s="537" t="str">
        <f t="shared" si="417"/>
        <v xml:space="preserve"> </v>
      </c>
      <c r="KP99">
        <f t="shared" si="334"/>
        <v>0</v>
      </c>
      <c r="LA99" t="e">
        <f t="shared" si="335"/>
        <v>#VALUE!</v>
      </c>
      <c r="LB99" t="e">
        <f t="shared" si="336"/>
        <v>#VALUE!</v>
      </c>
      <c r="LC99" t="e">
        <f t="shared" si="337"/>
        <v>#VALUE!</v>
      </c>
      <c r="LD99" t="e">
        <f t="shared" si="338"/>
        <v>#VALUE!</v>
      </c>
      <c r="LE99" t="e">
        <f t="shared" si="418"/>
        <v>#VALUE!</v>
      </c>
      <c r="LF99">
        <f t="shared" si="339"/>
        <v>0</v>
      </c>
      <c r="LG99" t="e">
        <f t="shared" si="419"/>
        <v>#VALUE!</v>
      </c>
      <c r="LH99" t="str">
        <f t="shared" si="340"/>
        <v xml:space="preserve"> </v>
      </c>
      <c r="LI99">
        <f t="shared" si="420"/>
        <v>1</v>
      </c>
    </row>
    <row r="100" spans="2:321" ht="15" customHeight="1">
      <c r="B100" s="311"/>
      <c r="C100" s="311"/>
      <c r="D100" s="312"/>
      <c r="E100" s="311"/>
      <c r="F100" s="312"/>
      <c r="G100" s="311"/>
      <c r="H100" s="311"/>
      <c r="I100" s="37"/>
      <c r="J100" s="311"/>
      <c r="K100" s="305" t="str">
        <f t="shared" si="341"/>
        <v/>
      </c>
      <c r="L100" s="313"/>
      <c r="M100" s="312"/>
      <c r="N100" s="311"/>
      <c r="O100" s="312"/>
      <c r="P100" s="311"/>
      <c r="Q100" s="305" t="str">
        <f t="shared" si="342"/>
        <v/>
      </c>
      <c r="R100" s="314"/>
      <c r="S100" s="450" t="str">
        <f t="shared" si="225"/>
        <v/>
      </c>
      <c r="T100" s="315"/>
      <c r="U100" s="315"/>
      <c r="W100" s="149" t="str">
        <f t="shared" si="226"/>
        <v xml:space="preserve"> </v>
      </c>
      <c r="X100" s="243" t="str">
        <f t="shared" si="227"/>
        <v xml:space="preserve"> </v>
      </c>
      <c r="Y100" s="150" t="str">
        <f t="shared" si="228"/>
        <v/>
      </c>
      <c r="Z100" s="149" t="str">
        <f t="shared" si="229"/>
        <v xml:space="preserve"> </v>
      </c>
      <c r="AA100" s="98" t="str">
        <f t="shared" si="230"/>
        <v xml:space="preserve"> </v>
      </c>
      <c r="AB100" s="153" t="str">
        <f t="shared" si="231"/>
        <v xml:space="preserve"> </v>
      </c>
      <c r="AC100" s="153" t="str">
        <f t="shared" si="232"/>
        <v xml:space="preserve"> </v>
      </c>
      <c r="AD100" s="148" t="str">
        <f t="shared" si="233"/>
        <v/>
      </c>
      <c r="AE100" s="149" t="str">
        <f t="shared" si="234"/>
        <v/>
      </c>
      <c r="AF100" s="151" t="str">
        <f t="shared" si="235"/>
        <v xml:space="preserve"> </v>
      </c>
      <c r="AG100" s="153" t="str">
        <f t="shared" si="236"/>
        <v xml:space="preserve"> </v>
      </c>
      <c r="AH100" s="98" t="str">
        <f t="shared" si="237"/>
        <v xml:space="preserve"> </v>
      </c>
      <c r="AI100" s="149" t="str">
        <f t="shared" si="238"/>
        <v xml:space="preserve"> </v>
      </c>
      <c r="AK100" s="144" t="str">
        <f t="shared" si="239"/>
        <v xml:space="preserve"> </v>
      </c>
      <c r="AL100" s="144"/>
      <c r="AM100" s="243" t="str">
        <f t="shared" si="240"/>
        <v xml:space="preserve"> </v>
      </c>
      <c r="AN100" s="149" t="str">
        <f t="shared" si="343"/>
        <v xml:space="preserve"> </v>
      </c>
      <c r="AO100" s="144" t="str">
        <f>IF(JB100&gt;0,IF(GI100=10,-R100*1.085*(Calculation!$F$6-Calculation!$F$13)*$S$14," "),"")</f>
        <v/>
      </c>
      <c r="AP100" s="144" t="str">
        <f t="shared" si="241"/>
        <v/>
      </c>
      <c r="AQ100" s="56" t="str">
        <f t="shared" si="242"/>
        <v/>
      </c>
      <c r="AR100" s="144" t="str">
        <f t="shared" si="243"/>
        <v/>
      </c>
      <c r="AS100" s="176" t="str">
        <f t="shared" si="244"/>
        <v/>
      </c>
      <c r="AT100" s="176" t="str">
        <f t="shared" si="344"/>
        <v xml:space="preserve"> </v>
      </c>
      <c r="AU100" s="176" t="str">
        <f t="shared" si="245"/>
        <v/>
      </c>
      <c r="AV100" s="177" t="str">
        <f t="shared" si="246"/>
        <v xml:space="preserve"> </v>
      </c>
      <c r="AW100" s="144" t="str">
        <f t="shared" si="247"/>
        <v xml:space="preserve"> </v>
      </c>
      <c r="AX100" s="144" t="str">
        <f t="shared" si="248"/>
        <v xml:space="preserve"> </v>
      </c>
      <c r="AY100" s="152" t="str">
        <f t="shared" si="249"/>
        <v xml:space="preserve"> </v>
      </c>
      <c r="AZ100" s="246" t="str">
        <f t="shared" si="250"/>
        <v/>
      </c>
      <c r="BA100" s="176" t="str">
        <f t="shared" si="251"/>
        <v xml:space="preserve"> </v>
      </c>
      <c r="BB100" s="176" t="str">
        <f t="shared" si="252"/>
        <v xml:space="preserve"> </v>
      </c>
      <c r="BC100" s="195"/>
      <c r="BD100" s="316"/>
      <c r="BE100" s="317"/>
      <c r="BF100" s="318"/>
      <c r="BG100" s="318"/>
      <c r="BH100" s="144" t="str">
        <f t="shared" si="421"/>
        <v xml:space="preserve"> </v>
      </c>
      <c r="BI100" s="176" t="str">
        <f t="shared" si="253"/>
        <v/>
      </c>
      <c r="BJ100" s="144" t="str">
        <f t="shared" si="422"/>
        <v/>
      </c>
      <c r="BK100" s="246" t="str">
        <f t="shared" si="254"/>
        <v/>
      </c>
      <c r="BL100" s="144" t="str">
        <f t="shared" si="423"/>
        <v/>
      </c>
      <c r="BM100" s="246" t="str">
        <f t="shared" si="255"/>
        <v/>
      </c>
      <c r="BN100" s="337" t="str">
        <f t="shared" si="345"/>
        <v/>
      </c>
      <c r="BO100" s="371" t="str">
        <f t="shared" si="346"/>
        <v/>
      </c>
      <c r="BP100" s="328" t="str">
        <f t="shared" si="424"/>
        <v xml:space="preserve"> </v>
      </c>
      <c r="BQ100" s="347" t="str">
        <f t="shared" si="347"/>
        <v xml:space="preserve"> </v>
      </c>
      <c r="BR100" s="353" t="str">
        <f t="shared" si="348"/>
        <v xml:space="preserve"> </v>
      </c>
      <c r="BS100" s="626" t="str">
        <f>IF(L100&gt;0,IF(Calculation!P100="M13",BR100*3.1416*(0.134^2)/(4*144),IF(Calculation!P100="M17",BR100*3.1416*(0.165^2)/(4*144),IF(Calculation!P100="M20",BR100*3.1416*(0.198^2)/(4*144),IF(Calculation!P100="M23",BR100*3.1416*(0.228^2)/(4*144),IF(Calculation!P100="M27",BR100*3.1416*(0.269^2)/(4*144),BR100*3.1416*(0.307^2)/(4*144))))))," ")</f>
        <v xml:space="preserve"> </v>
      </c>
      <c r="BT100" s="353" t="str">
        <f>IF(L100&gt;0,IF(BS100&gt;0,R100/Calculation!BS100,0)," ")</f>
        <v xml:space="preserve"> </v>
      </c>
      <c r="BU100" s="438" t="e">
        <f t="shared" ca="1" si="256"/>
        <v>#VALUE!</v>
      </c>
      <c r="BV100" s="449" t="e">
        <f ca="1">INDEX(INDIRECT(VLOOKUP(LEFT(BO100,7),CLU!$Z$3:$AH$18,2)),GN100,GR100)</f>
        <v>#N/A</v>
      </c>
      <c r="BW100" s="433" t="e">
        <f ca="1">INDEX(INDIRECT(VLOOKUP(LEFT(BO100,7),CLU!$Z$3:$AH$18,3)),GN100,GR100)</f>
        <v>#N/A</v>
      </c>
      <c r="BX100" s="433" t="e">
        <f ca="1">INDEX(INDIRECT(VLOOKUP(LEFT(BO100,7),CLU!$Z$3:$AH$18,4)),GN100,GR100)</f>
        <v>#N/A</v>
      </c>
      <c r="BY100" s="433" t="e">
        <f ca="1">INDEX(INDIRECT(VLOOKUP(LEFT(BO100,7),CLU!$Z$3:$AH$18,9)),((M100-2)*(6-COUNTBLANK(GT100:GY100)))+GJ100)</f>
        <v>#N/A</v>
      </c>
      <c r="BZ100" s="426" t="e">
        <f t="shared" ca="1" si="349"/>
        <v>#N/A</v>
      </c>
      <c r="CA100" s="424" t="e">
        <f t="shared" ca="1" si="350"/>
        <v>#N/A</v>
      </c>
      <c r="CB100" s="429" t="e">
        <f ca="1">INDEX(INDIRECT(VLOOKUP(LEFT(BO100,7),CLU!$Z$3:$AH$18,2)),GN100,GS100)</f>
        <v>#N/A</v>
      </c>
      <c r="CC100" s="342" t="e">
        <f ca="1">INDEX(INDIRECT(VLOOKUP(LEFT(BO100,7),CLU!$Z$3:$AH$18,3)),GN100,GS100)</f>
        <v>#N/A</v>
      </c>
      <c r="CD100" s="342" t="e">
        <f ca="1">INDEX(INDIRECT(VLOOKUP(LEFT(BO100,7),CLU!$Z$3:$AH$18,4)),GN100,GS100)</f>
        <v>#N/A</v>
      </c>
      <c r="CE100" s="426" t="e">
        <f t="shared" ca="1" si="351"/>
        <v>#N/A</v>
      </c>
      <c r="CF100" s="440">
        <f t="shared" si="352"/>
        <v>0</v>
      </c>
      <c r="CG100" s="431" t="e">
        <f ca="1">INDEX(INDIRECT(VLOOKUP(LEFT(BO100,7),CLU!$Z$3:$AH$18,2)),GQ100,GR100)</f>
        <v>#N/A</v>
      </c>
      <c r="CH100" s="431" t="e">
        <f ca="1">INDEX(INDIRECT(VLOOKUP(LEFT(BO100,7),CLU!$Z$3:$AH$18,3)),GQ100,GR100)</f>
        <v>#N/A</v>
      </c>
      <c r="CI100" s="431" t="e">
        <f ca="1">INDEX(INDIRECT(VLOOKUP(LEFT(BO100,7),CLU!$Z$3:$AH$18,4)),GQ100,GR100)</f>
        <v>#N/A</v>
      </c>
      <c r="CJ100" s="448" t="e">
        <f t="shared" ca="1" si="353"/>
        <v>#N/A</v>
      </c>
      <c r="CK100" s="431" t="e">
        <f t="shared" ca="1" si="354"/>
        <v>#N/A</v>
      </c>
      <c r="CL100" s="440" t="e">
        <f t="shared" ca="1" si="355"/>
        <v>#N/A</v>
      </c>
      <c r="CM100" s="431" t="e">
        <f ca="1">INDEX(INDIRECT(VLOOKUP(LEFT(BO100,7),CLU!$Z$3:$AH$18,2)),GQ100,GS100)</f>
        <v>#N/A</v>
      </c>
      <c r="CN100" s="431" t="e">
        <f ca="1">INDEX(INDIRECT(VLOOKUP(LEFT(BO100,7),CLU!$Z$3:$AH$18,3)),GQ100,GS100)</f>
        <v>#N/A</v>
      </c>
      <c r="CO100" s="431" t="e">
        <f ca="1">INDEX(INDIRECT(VLOOKUP(LEFT(BO100,7),CLU!$Z$3:$AH$18,4)),GQ100,GS100)</f>
        <v>#N/A</v>
      </c>
      <c r="CP100" s="431" t="e">
        <f t="shared" ca="1" si="356"/>
        <v>#N/A</v>
      </c>
      <c r="CQ100" s="440">
        <f t="shared" si="357"/>
        <v>0</v>
      </c>
      <c r="CR100" s="51" t="e">
        <f t="shared" ca="1" si="358"/>
        <v>#N/A</v>
      </c>
      <c r="CS100" s="439" t="e">
        <f t="shared" ca="1" si="359"/>
        <v>#VALUE!</v>
      </c>
      <c r="CT100" s="51" t="e">
        <f t="shared" ca="1" si="360"/>
        <v>#VALUE!</v>
      </c>
      <c r="CU100" s="10"/>
      <c r="CV100" s="51" t="e">
        <f t="shared" ca="1" si="257"/>
        <v>#VALUE!</v>
      </c>
      <c r="CW100" s="51">
        <f t="shared" si="361"/>
        <v>0</v>
      </c>
      <c r="CX100" s="439" t="e">
        <f t="shared" ca="1" si="362"/>
        <v>#VALUE!</v>
      </c>
      <c r="CY100" s="51" t="e">
        <f t="shared" ca="1" si="363"/>
        <v>#VALUE!</v>
      </c>
      <c r="CZ100" s="10"/>
      <c r="DA100" s="51" t="e">
        <f t="shared" ca="1" si="364"/>
        <v>#VALUE!</v>
      </c>
      <c r="DB100" s="347" t="e">
        <f ca="1">INDEX(INDIRECT(VLOOKUP(LEFT(BO100,7),CLU!$Z$3:$AI$18,10)),((M100-2)*(6-COUNTBLANK(GT100:GY100)))+GJ100)*LI100</f>
        <v>#N/A</v>
      </c>
      <c r="DC100" s="347" t="str">
        <f>IF(L100&gt;0,((R100/Worksheet!$I$15)/DB100)^2," ")</f>
        <v xml:space="preserve"> </v>
      </c>
      <c r="DD100" s="602" t="str">
        <f t="shared" si="365"/>
        <v xml:space="preserve"> </v>
      </c>
      <c r="DE100" s="347" t="str">
        <f t="shared" si="258"/>
        <v xml:space="preserve"> </v>
      </c>
      <c r="DF100" s="356" t="e">
        <f ca="1">INDEX(INDIRECT(VLOOKUP(LEFT(BO100,7),CLU!$Z$3:$AH$18,8)),((M100-2)*(6-COUNTBLANK(GT100:GY100)))+GJ100)</f>
        <v>#N/A</v>
      </c>
      <c r="DG100" s="347" t="str">
        <f t="shared" si="259"/>
        <v xml:space="preserve"> </v>
      </c>
      <c r="DH100" s="357" t="str">
        <f t="shared" si="260"/>
        <v xml:space="preserve"> </v>
      </c>
      <c r="DI100" s="355" t="str">
        <f t="shared" si="261"/>
        <v xml:space="preserve"> </v>
      </c>
      <c r="DJ100" s="245" t="e">
        <f ca="1">INDEX(INDIRECT(VLOOKUP(LEFT(BO100,7),CLU!$Z$3:$AH$18,5)),GL100,GK100)</f>
        <v>#N/A</v>
      </c>
      <c r="DK100" s="245" t="e">
        <f ca="1">INDEX(INDIRECT(VLOOKUP(LEFT(BO100,7),CLU!$Z$3:$AH$18,6)),GL100,GK100)</f>
        <v>#N/A</v>
      </c>
      <c r="DL100" s="355">
        <f>(Calculation!R100*0.69143*(Calculation!$BQ$8-Calculation!$F$8))*$S$14</f>
        <v>0</v>
      </c>
      <c r="DM100" s="359" t="e">
        <f t="shared" si="366"/>
        <v>#VALUE!</v>
      </c>
      <c r="DN100" s="611">
        <f t="shared" si="367"/>
        <v>0</v>
      </c>
      <c r="DO100" s="359">
        <f t="shared" si="368"/>
        <v>100</v>
      </c>
      <c r="DP100" s="359">
        <f t="shared" si="369"/>
        <v>0</v>
      </c>
      <c r="DQ100" s="360"/>
      <c r="DR100" s="245" t="e">
        <f ca="1">INDEX(INDIRECT(VLOOKUP(LEFT(BO100,7),CLU!$Z$3:$AH$18,7)),M100-1,1)</f>
        <v>#N/A</v>
      </c>
      <c r="DS100" s="245" t="e">
        <f ca="1">INDEX(INDIRECT(VLOOKUP(LEFT(BO100,7),CLU!$Z$3:$AH$18,7)),M100-1,2)</f>
        <v>#N/A</v>
      </c>
      <c r="DT100" s="245" t="e">
        <f ca="1">INDEX(INDIRECT(VLOOKUP(LEFT(BO100,7),CLU!$Z$3:$AH$18,7)),M100-1,3)</f>
        <v>#N/A</v>
      </c>
      <c r="DU100" s="245" t="e">
        <f ca="1">INDEX(INDIRECT(VLOOKUP(LEFT(BO100,7),CLU!$Z$3:$AH$18,7)),M100-1,4)</f>
        <v>#N/A</v>
      </c>
      <c r="DV100" s="361" t="e">
        <f ca="1">INDEX(INDIRECT(VLOOKUP(LEFT(BO100,7),CLU!$Z$3:$AH$18,7)),M100-1,4+LEFT(DZ100,1)*0.5)</f>
        <v>#N/A</v>
      </c>
      <c r="DW100" s="245" t="e">
        <f ca="1">INDEX(INDIRECT(VLOOKUP(LEFT(BO100,7),CLU!$Z$3:$AH$18,7)),M100-1,8)</f>
        <v>#N/A</v>
      </c>
      <c r="DX100" s="361" t="str">
        <f t="shared" si="262"/>
        <v xml:space="preserve"> </v>
      </c>
      <c r="DY100" s="361" t="str">
        <f t="shared" si="263"/>
        <v xml:space="preserve"> </v>
      </c>
      <c r="DZ100" s="361" t="str">
        <f t="shared" si="264"/>
        <v xml:space="preserve"> </v>
      </c>
      <c r="EA100" s="362" t="str">
        <f t="shared" si="265"/>
        <v xml:space="preserve"> </v>
      </c>
      <c r="EB100" s="624" t="str">
        <f t="shared" si="370"/>
        <v xml:space="preserve"> </v>
      </c>
      <c r="EC100" s="361" t="e">
        <f ca="1">INDEX(INDIRECT(VLOOKUP(LEFT(BO100,7),CLU!$Z$3:$AH$18,7)),M100-1,4+LEFT(DZ100,1)*0.5)</f>
        <v>#N/A</v>
      </c>
      <c r="ED100" s="362" t="str">
        <f t="shared" si="266"/>
        <v xml:space="preserve"> </v>
      </c>
      <c r="EE100" s="361" t="str">
        <f t="shared" si="267"/>
        <v xml:space="preserve"> </v>
      </c>
      <c r="EF100" s="362" t="str">
        <f>IF(L100&gt;0,IF(BR100&gt;0,IF(EE100="2P",IF(Calculation!DZ100="2P",IF(Calculation!DS100=13.75,IF(Calculation!DR100=13,Worksheet!$BD$43,IF(Calculation!DR100=37,Worksheet!$BD$44,Worksheet!$BD$45)),IF(Calculation!DS100=10,IF(Calculation!DR100=18,Worksheet!$BD$29,IF(Calculation!DR100=30,Worksheet!$BD$30,IF(Calculation!DR100=42,Worksheet!$BD$31,IF(Calculation!DR100=54,Worksheet!$BD$32,IF(Calculation!DR100=66,Worksheet!$BD$33,IF(Calculation!DR100=78,Worksheet!$BD$34,IF(Calculation!DR100=90,Worksheet!$BD$35,IF(Calculation!DR100=102,Worksheet!$BD$36,Worksheet!$BD$37)))))))),IF(Calculation!DS100=12.5,IF(Calculation!DR100=18,Worksheet!$BD$38,IF(Calculation!DR100=Worksheet!$BD$39,IF(Calculation!DR100=42,Worksheet!$BD$40,IF(Calculation!DR100=54,Worksheet!$BD$41,Worksheet!$BD$42)))),IF(Calculation!DR100=18,Worksheet!$BD$11,IF(Calculation!DR100=30,Worksheet!$BD$12,IF(Calculation!DR100=42,Worksheet!$BD$13,IF(Calculation!DR100=54,Worksheet!$BD$14,IF(Calculation!DR100=66,Worksheet!$BD$15,IF(Calculation!DR100=78,Worksheet!$BD$16,IF(Calculation!DR100=90,Worksheet!$BD$17,IF(Calculation!DR100=102,Worksheet!$BD$18,Worksheet!$BD$19))))))))))),IF(Calculation!DS100=13.75,IF(Calculation!DR100=13,Worksheet!$BD$78,IF(Calculation!DR100=37,Worksheet!$BD$79,Worksheet!$BD$80)),IF(Calculation!DS100=10,IF(Calculation!DR100=18,Worksheet!$BD$64,IF(Calculation!DR100=30,Worksheet!$BD$65,IF(Calculation!DR100=42,Worksheet!$BD$66,IF(Calculation!DR100=54,Worksheet!$BD$68,IF(Calculation!DR100=66,Worksheet!$BD$68,IF(Calculation!DR100=78,Worksheet!$BD$69,IF(Calculation!DR100=90,Worksheet!$BD$70,IF(Calculation!DR100=102,Worksheet!$BD$71,Worksheet!$BD$72)))))))),IF(Calculation!DS100=12.5,IF(Calculation!DR100=18,Worksheet!$BD$73,IF(Calculation!DR100=Worksheet!$BD$74,IF(Calculation!DR100=42,Worksheet!$BD$75,IF(Calculation!DR100=54,Worksheet!$BD$76,Worksheet!$BD$77)))),IF(Calculation!DR100=18,Worksheet!$BD$55,IF(Calculation!DR100=30,Worksheet!$BD$56,IF(Calculation!DR100=42,Worksheet!$BD$57,IF(Calculation!DR100=54,Worksheet!$BD$58,IF(Calculation!DR100=66,Worksheet!$BD$59,IF(Calculation!DR100=78,Worksheet!$BD$60,IF(Calculation!DR100=90,Worksheet!$BD$61,IF(Calculation!DR100=102,Worksheet!$BD$62,Worksheet!$BD$63)))))))))))),5),0)," ")</f>
        <v xml:space="preserve"> </v>
      </c>
      <c r="EG100" s="361" t="str">
        <f t="shared" si="268"/>
        <v xml:space="preserve"> </v>
      </c>
      <c r="EH100" s="361" t="e">
        <f ca="1">INDEX(INDIRECT(VLOOKUP(LEFT(BO100,7),CLU!$Z$3:$AH$18,7)),M100-1,3+LEFT(DZ100,1))</f>
        <v>#N/A</v>
      </c>
      <c r="EI100" s="362" t="str">
        <f t="shared" si="269"/>
        <v xml:space="preserve"> </v>
      </c>
      <c r="EJ100" s="363" t="str">
        <f t="shared" si="270"/>
        <v xml:space="preserve"> </v>
      </c>
      <c r="EK100" s="363" t="str">
        <f t="shared" si="271"/>
        <v xml:space="preserve"> </v>
      </c>
      <c r="EL100" s="363" t="str">
        <f t="shared" si="272"/>
        <v xml:space="preserve"> </v>
      </c>
      <c r="EM100" s="362" t="str">
        <f>IF(L100&gt;0,IF(BR100&gt;0,(Calculation!T100/ED100)^2,0)," ")</f>
        <v xml:space="preserve"> </v>
      </c>
      <c r="EN100" s="362" t="str">
        <f>IF(L100&gt;0,IF(O100="2 Pipe (Cooling)","N/A",IF(BR100&gt;0,(Calculation!U100/EI100)^2,0))," ")</f>
        <v xml:space="preserve"> </v>
      </c>
      <c r="EO100" s="361" t="str">
        <f t="shared" si="273"/>
        <v/>
      </c>
      <c r="EP100" s="361" t="str">
        <f t="shared" si="274"/>
        <v/>
      </c>
      <c r="EQ100" s="361" t="str">
        <f t="shared" si="275"/>
        <v/>
      </c>
      <c r="ER100" s="361" t="str">
        <f t="shared" si="276"/>
        <v/>
      </c>
      <c r="ES100" s="361" t="str">
        <f t="shared" si="277"/>
        <v/>
      </c>
      <c r="ET100" s="361" t="str">
        <f t="shared" si="278"/>
        <v/>
      </c>
      <c r="EU100" s="361" t="str">
        <f t="shared" si="279"/>
        <v/>
      </c>
      <c r="EV100" s="361" t="str">
        <f t="shared" si="280"/>
        <v/>
      </c>
      <c r="EW100" s="361" t="str">
        <f t="shared" si="281"/>
        <v/>
      </c>
      <c r="EX100" s="361" t="str">
        <f t="shared" si="371"/>
        <v>1 slot, 1 way</v>
      </c>
      <c r="EY100" s="361" t="str">
        <f t="shared" si="372"/>
        <v xml:space="preserve"> </v>
      </c>
      <c r="EZ100" s="361" t="str">
        <f t="shared" si="373"/>
        <v xml:space="preserve"> </v>
      </c>
      <c r="FA100" s="361" t="str">
        <f t="shared" si="374"/>
        <v xml:space="preserve"> </v>
      </c>
      <c r="FB100" s="361" t="str">
        <f t="shared" si="375"/>
        <v xml:space="preserve"> </v>
      </c>
      <c r="FC100" s="361"/>
      <c r="FD100" s="361" t="str">
        <f>IF(J100&gt;0,IF(Calculation!R100&lt;=70,4,IF(Calculation!R100&lt;=110,5,IF(Calculation!R100&lt;=160,6,IF(Calculation!R100&lt;=300,8,"10 EO")))),"")</f>
        <v/>
      </c>
      <c r="FE100" s="361" t="str">
        <f t="shared" si="376"/>
        <v/>
      </c>
      <c r="FF100" s="361" t="str">
        <f t="shared" si="377"/>
        <v/>
      </c>
      <c r="FG100" s="361" t="e">
        <f t="shared" si="282"/>
        <v>#N/A</v>
      </c>
      <c r="FH100" s="361">
        <f t="shared" si="283"/>
        <v>0</v>
      </c>
      <c r="FI100" s="361" t="e">
        <f t="shared" si="284"/>
        <v>#DIV/0!</v>
      </c>
      <c r="FJ100" s="361"/>
      <c r="FK100" s="356" t="e">
        <f t="shared" si="285"/>
        <v>#VALUE!</v>
      </c>
      <c r="FL100" s="361"/>
      <c r="FM100" s="361"/>
      <c r="FN100" s="362" t="str">
        <f t="shared" si="378"/>
        <v xml:space="preserve"> </v>
      </c>
      <c r="FO100" s="362" t="str">
        <f t="shared" si="379"/>
        <v xml:space="preserve"> </v>
      </c>
      <c r="FP100" s="362">
        <f t="shared" si="380"/>
        <v>0</v>
      </c>
      <c r="FQ100" s="361">
        <f t="shared" si="286"/>
        <v>0</v>
      </c>
      <c r="FR100" s="362" t="str">
        <f>IF(L100&gt;0,IF(J100="CBAL2",Worksheet!$P$67,IF(J100="CBE2-24",Worksheet!$Q$67,IF(J100="CBAM",Worksheet!$R$67,IF(J100="CBLV",Worksheet!$S$67,IF(J100="CBAB",Worksheet!$U$67,IF(J100="CBAW",Worksheet!$X$67,IF(J100="CBE2-12",Worksheet!$Y$67,IF(J100="CBAL2",Worksheet!$Z$67,"N/A"))))))))," ")</f>
        <v xml:space="preserve"> </v>
      </c>
      <c r="FS100" s="362" t="str">
        <f>IF(L100&gt;0,IF(J100="CBAL2",Worksheet!$P$68,IF(J100="CBE2-24",Worksheet!$Q$68,IF(J100="CBAM",Worksheet!$R$68,IF(J100="CBLV",Worksheet!$S$68,IF(J100="CBAB",Worksheet!$U$68,IF(J100="CBAW",Worksheet!$X$68,IF(J100="CBE2-12",Worksheet!$Y$68,IF(J100="CBAL2",Worksheet!$Z$68,"N/A"))))))))," ")</f>
        <v xml:space="preserve"> </v>
      </c>
      <c r="FT100" s="362" t="str">
        <f>IF(L100&gt;0,IF(J100="CBAL2",Worksheet!$P$69,IF(J100="CBE2-24",Worksheet!$Q$69,IF(J100="CBAM",Worksheet!$R$69,IF(J100="CBLV",Worksheet!$S$69,IF(J100="CBAB",Worksheet!$U$69,IF(J100="CBAW",Worksheet!$X$69,IF(J100="CBE2-12",Worksheet!$Y$69,IF(J100="CBAL2",Worksheet!$Z$69,"N/A"))))))))," ")</f>
        <v xml:space="preserve"> </v>
      </c>
      <c r="FU100" s="361" t="str">
        <f t="shared" si="381"/>
        <v xml:space="preserve"> </v>
      </c>
      <c r="FV100" s="362" t="str">
        <f t="shared" si="382"/>
        <v xml:space="preserve"> </v>
      </c>
      <c r="FW100" s="362" t="str">
        <f t="shared" si="383"/>
        <v xml:space="preserve"> </v>
      </c>
      <c r="FX100" s="362" t="str">
        <f t="shared" si="384"/>
        <v xml:space="preserve"> </v>
      </c>
      <c r="FY100" s="355" t="str">
        <f t="shared" si="385"/>
        <v xml:space="preserve"> </v>
      </c>
      <c r="FZ100" s="361" t="str">
        <f t="shared" si="386"/>
        <v xml:space="preserve"> </v>
      </c>
      <c r="GA100" s="347" t="str">
        <f t="shared" si="387"/>
        <v xml:space="preserve"> </v>
      </c>
      <c r="GB100" s="355" t="str">
        <f t="shared" si="388"/>
        <v xml:space="preserve"> </v>
      </c>
      <c r="GC100" s="328" t="str">
        <f t="shared" si="389"/>
        <v xml:space="preserve"> </v>
      </c>
      <c r="GD100" s="361" t="str">
        <f t="shared" si="390"/>
        <v xml:space="preserve"> </v>
      </c>
      <c r="GE100" s="347" t="str">
        <f t="shared" si="391"/>
        <v xml:space="preserve"> </v>
      </c>
      <c r="GF100" s="361" t="str">
        <f t="shared" si="392"/>
        <v xml:space="preserve"> </v>
      </c>
      <c r="GG100" s="347" t="str">
        <f t="shared" si="393"/>
        <v xml:space="preserve"> </v>
      </c>
      <c r="GH100" s="364">
        <f t="shared" si="287"/>
        <v>0</v>
      </c>
      <c r="GI100" s="362">
        <f t="shared" si="394"/>
        <v>2</v>
      </c>
      <c r="GJ100" s="433" t="e">
        <f>IF(6-COUNTBLANK(GT100:GY100)=4,MATCH(MID(BO100,9,3),CLU!$H$16:$K$16),MATCH(MID(BO100,9,3),CLU!$H$13:$M$13))</f>
        <v>#N/A</v>
      </c>
      <c r="GK100" s="433" t="e">
        <f>HLOOKUP(VALUE(BP100),CLU!$H$9:$M$10,2)</f>
        <v>#VALUE!</v>
      </c>
      <c r="GL100" s="433" t="e">
        <f ca="1">MATCH(BU100,CLU!$H$2:$V$2,1)</f>
        <v>#VALUE!</v>
      </c>
      <c r="GM100" s="433" t="e">
        <f t="shared" ca="1" si="395"/>
        <v>#VALUE!</v>
      </c>
      <c r="GN100" s="433" t="e">
        <f t="shared" ca="1" si="396"/>
        <v>#VALUE!</v>
      </c>
      <c r="GO100" s="433" t="e">
        <f t="shared" ca="1" si="397"/>
        <v>#VALUE!</v>
      </c>
      <c r="GP100" s="433" t="e">
        <f t="shared" ca="1" si="398"/>
        <v>#VALUE!</v>
      </c>
      <c r="GQ100" s="433" t="e">
        <f t="shared" ca="1" si="399"/>
        <v>#VALUE!</v>
      </c>
      <c r="GR100" s="433" t="e">
        <f ca="1">MATCH(T100,INDIRECT(VLOOKUP(CONCATENATE(LEFT(BO100,7),"-",MID(BO100,13,1)),CLU!$P$3:$Q$16,2)),1)</f>
        <v>#N/A</v>
      </c>
      <c r="GS100" s="433" t="e">
        <f ca="1">MATCH(U100,INDIRECT(VLOOKUP(CONCATENATE(LEFT(BO100,7),"-",MID(BO100,13,1)),CLU!$P$3:$Q$16,2)),1)</f>
        <v>#N/A</v>
      </c>
      <c r="GT100" s="347" t="s">
        <v>512</v>
      </c>
      <c r="GU100" s="97" t="s">
        <v>513</v>
      </c>
      <c r="GV100" s="97" t="str">
        <f t="shared" si="400"/>
        <v>M23</v>
      </c>
      <c r="GW100" s="97" t="str">
        <f t="shared" si="401"/>
        <v>M31</v>
      </c>
      <c r="GX100" s="97" t="str">
        <f t="shared" si="402"/>
        <v/>
      </c>
      <c r="GY100" s="97" t="str">
        <f t="shared" si="403"/>
        <v/>
      </c>
      <c r="GZ100" s="481"/>
      <c r="HA100" s="288"/>
      <c r="HB100" s="240"/>
      <c r="HC100" s="240"/>
      <c r="HD100" s="240"/>
      <c r="HE100" s="240"/>
      <c r="HF100" s="240"/>
      <c r="HG100" s="240"/>
      <c r="HH100" s="240"/>
      <c r="HI100" s="240"/>
      <c r="HJ100" s="240"/>
      <c r="HK100" s="240"/>
      <c r="HL100" s="240"/>
      <c r="HM100" s="240"/>
      <c r="HN100" s="240"/>
      <c r="HO100" s="240"/>
      <c r="HP100" s="240"/>
      <c r="HQ100" s="240"/>
      <c r="HR100" s="240"/>
      <c r="HS100" s="240"/>
      <c r="HT100" s="240"/>
      <c r="HU100" s="240"/>
      <c r="HV100" s="245"/>
      <c r="HW100" s="245" t="b">
        <v>1</v>
      </c>
      <c r="HX100" s="245" t="str">
        <f t="shared" si="288"/>
        <v/>
      </c>
      <c r="HY100" s="245" t="e">
        <f t="shared" si="289"/>
        <v>#DIV/0!</v>
      </c>
      <c r="HZ100" s="245" t="e">
        <f t="shared" si="290"/>
        <v>#DIV/0!</v>
      </c>
      <c r="IA100" s="245">
        <f t="shared" si="291"/>
        <v>0</v>
      </c>
      <c r="IB100" s="245"/>
      <c r="IC100" t="b">
        <f t="shared" si="292"/>
        <v>1</v>
      </c>
      <c r="ID100" s="245" t="b">
        <f t="shared" si="293"/>
        <v>1</v>
      </c>
      <c r="IE100" s="245" t="b">
        <f t="shared" si="294"/>
        <v>1</v>
      </c>
      <c r="IF100" s="245" t="b">
        <f t="shared" si="295"/>
        <v>0</v>
      </c>
      <c r="IG100" s="245" t="b">
        <f t="shared" si="296"/>
        <v>1</v>
      </c>
      <c r="IH100" s="245" t="b">
        <f t="shared" si="297"/>
        <v>1</v>
      </c>
      <c r="II100" s="245">
        <f t="shared" si="404"/>
        <v>0</v>
      </c>
      <c r="IJ100" s="245" t="e">
        <f t="shared" si="298"/>
        <v>#VALUE!</v>
      </c>
      <c r="IK100" s="245" t="e">
        <f t="shared" si="299"/>
        <v>#VALUE!</v>
      </c>
      <c r="IL100" s="245"/>
      <c r="IM100" s="245" t="e">
        <f t="shared" si="405"/>
        <v>#N/A</v>
      </c>
      <c r="IN100" s="245" t="e">
        <f t="shared" si="406"/>
        <v>#N/A</v>
      </c>
      <c r="IO100" s="245"/>
      <c r="IP100" s="245"/>
      <c r="IQ100" s="245" t="str">
        <f t="shared" si="300"/>
        <v/>
      </c>
      <c r="IR100" s="245" t="str">
        <f>IF(J100="","",VLOOKUP(J100,Worksheet!$R$4:$T$14,2))</f>
        <v/>
      </c>
      <c r="IS100" s="245"/>
      <c r="IT100" s="245">
        <f t="shared" si="301"/>
        <v>0</v>
      </c>
      <c r="IU100" s="245">
        <f t="shared" si="302"/>
        <v>0</v>
      </c>
      <c r="IV100" s="245">
        <f t="shared" si="303"/>
        <v>0</v>
      </c>
      <c r="IW100" s="245">
        <f t="shared" si="304"/>
        <v>0</v>
      </c>
      <c r="IX100" s="245">
        <f t="shared" si="407"/>
        <v>0</v>
      </c>
      <c r="IY100" s="245">
        <f t="shared" si="305"/>
        <v>0</v>
      </c>
      <c r="IZ100" s="245">
        <f t="shared" si="306"/>
        <v>0</v>
      </c>
      <c r="JA100">
        <f t="shared" si="307"/>
        <v>0</v>
      </c>
      <c r="JB100">
        <f t="shared" si="408"/>
        <v>0</v>
      </c>
      <c r="JC100">
        <f t="shared" si="308"/>
        <v>0</v>
      </c>
      <c r="JD100">
        <f t="shared" si="309"/>
        <v>0</v>
      </c>
      <c r="JE100">
        <f t="shared" si="310"/>
        <v>0</v>
      </c>
      <c r="JF100">
        <f t="shared" si="311"/>
        <v>0</v>
      </c>
      <c r="JG100">
        <f t="shared" si="312"/>
        <v>0</v>
      </c>
      <c r="JH100">
        <f t="shared" si="313"/>
        <v>0</v>
      </c>
      <c r="JI100">
        <f t="shared" si="314"/>
        <v>0</v>
      </c>
      <c r="JJ100" s="447">
        <f t="shared" si="315"/>
        <v>0</v>
      </c>
      <c r="JK100" s="447">
        <f t="shared" si="316"/>
        <v>0</v>
      </c>
      <c r="JL100">
        <f t="shared" si="317"/>
        <v>0</v>
      </c>
      <c r="JM100" s="245" t="str">
        <f>IFERROR(VLOOKUP(MATCH(BN100,#REF!,0),#REF!,7),"")</f>
        <v/>
      </c>
      <c r="JN100" t="e">
        <f>HLOOKUP(LEFT(BO100,7),Discharge_Area,MATCH(JO100,LookUps!$B$130:$B$149,1)+2)</f>
        <v>#N/A</v>
      </c>
      <c r="JO100" t="str">
        <f t="shared" si="318"/>
        <v>- S</v>
      </c>
      <c r="JP100" t="e">
        <f>HLOOKUP(LEFT(BO100,7),Discharge_Area,MATCH(JO100,LookUps!$B$130:$B$149,1)+2)</f>
        <v>#N/A</v>
      </c>
      <c r="JQ100" t="e">
        <f t="shared" si="319"/>
        <v>#N/A</v>
      </c>
      <c r="JR100" t="e">
        <f t="shared" si="320"/>
        <v>#N/A</v>
      </c>
      <c r="JS100" t="e">
        <f t="shared" si="321"/>
        <v>#N/A</v>
      </c>
      <c r="JT100" s="532" t="str">
        <f t="shared" si="322"/>
        <v xml:space="preserve"> </v>
      </c>
      <c r="JU100" s="532" t="str">
        <f t="shared" si="323"/>
        <v xml:space="preserve"> </v>
      </c>
      <c r="JV100" s="533" t="str">
        <f t="shared" si="324"/>
        <v xml:space="preserve"> </v>
      </c>
      <c r="JW100" s="534">
        <f t="shared" si="325"/>
        <v>0</v>
      </c>
      <c r="JX100" s="535" t="str">
        <f t="shared" si="409"/>
        <v xml:space="preserve"> </v>
      </c>
      <c r="JY100" s="535" t="str">
        <f t="shared" si="410"/>
        <v xml:space="preserve"> </v>
      </c>
      <c r="JZ100" s="535" t="str">
        <f t="shared" si="411"/>
        <v xml:space="preserve"> </v>
      </c>
      <c r="KA100" s="536" t="str">
        <f t="shared" si="326"/>
        <v xml:space="preserve"> </v>
      </c>
      <c r="KB100" s="535" t="e">
        <f t="shared" si="412"/>
        <v>#VALUE!</v>
      </c>
      <c r="KC100" s="535" t="str">
        <f t="shared" si="327"/>
        <v/>
      </c>
      <c r="KD100" s="537" t="str">
        <f t="shared" si="413"/>
        <v xml:space="preserve"> </v>
      </c>
      <c r="KE100" s="537" t="str">
        <f t="shared" si="414"/>
        <v xml:space="preserve"> </v>
      </c>
      <c r="KF100" s="534">
        <f t="shared" si="328"/>
        <v>0</v>
      </c>
      <c r="KG100" s="535" t="str">
        <f t="shared" si="329"/>
        <v xml:space="preserve"> </v>
      </c>
      <c r="KH100" s="535" t="str">
        <f t="shared" si="330"/>
        <v xml:space="preserve"> </v>
      </c>
      <c r="KI100" s="535" t="str">
        <f t="shared" si="331"/>
        <v xml:space="preserve"> </v>
      </c>
      <c r="KJ100" s="536" t="str">
        <f t="shared" si="332"/>
        <v xml:space="preserve"> </v>
      </c>
      <c r="KK100" s="535" t="str">
        <f t="shared" si="415"/>
        <v xml:space="preserve"> </v>
      </c>
      <c r="KL100" s="535" t="str">
        <f t="shared" si="416"/>
        <v xml:space="preserve"> </v>
      </c>
      <c r="KM100" s="537" t="str">
        <f t="shared" si="333"/>
        <v xml:space="preserve"> </v>
      </c>
      <c r="KN100" s="537" t="str">
        <f t="shared" si="417"/>
        <v xml:space="preserve"> </v>
      </c>
      <c r="KP100">
        <f t="shared" si="334"/>
        <v>0</v>
      </c>
      <c r="LA100" t="e">
        <f t="shared" si="335"/>
        <v>#VALUE!</v>
      </c>
      <c r="LB100" t="e">
        <f t="shared" si="336"/>
        <v>#VALUE!</v>
      </c>
      <c r="LC100" t="e">
        <f t="shared" si="337"/>
        <v>#VALUE!</v>
      </c>
      <c r="LD100" t="e">
        <f t="shared" si="338"/>
        <v>#VALUE!</v>
      </c>
      <c r="LE100" t="e">
        <f t="shared" si="418"/>
        <v>#VALUE!</v>
      </c>
      <c r="LF100">
        <f t="shared" si="339"/>
        <v>0</v>
      </c>
      <c r="LG100" t="e">
        <f t="shared" si="419"/>
        <v>#VALUE!</v>
      </c>
      <c r="LH100" t="str">
        <f t="shared" si="340"/>
        <v xml:space="preserve"> </v>
      </c>
      <c r="LI100">
        <f t="shared" si="420"/>
        <v>1</v>
      </c>
    </row>
    <row r="101" spans="2:321" ht="15" customHeight="1">
      <c r="B101" s="311"/>
      <c r="C101" s="311"/>
      <c r="D101" s="312"/>
      <c r="E101" s="311"/>
      <c r="F101" s="312"/>
      <c r="G101" s="311"/>
      <c r="H101" s="311"/>
      <c r="I101" s="37"/>
      <c r="J101" s="311"/>
      <c r="K101" s="305" t="str">
        <f t="shared" si="341"/>
        <v/>
      </c>
      <c r="L101" s="313"/>
      <c r="M101" s="312"/>
      <c r="N101" s="311"/>
      <c r="O101" s="312"/>
      <c r="P101" s="311"/>
      <c r="Q101" s="305" t="str">
        <f t="shared" si="342"/>
        <v/>
      </c>
      <c r="R101" s="314"/>
      <c r="S101" s="450" t="str">
        <f t="shared" si="225"/>
        <v/>
      </c>
      <c r="T101" s="315"/>
      <c r="U101" s="315"/>
      <c r="W101" s="149" t="str">
        <f t="shared" si="226"/>
        <v xml:space="preserve"> </v>
      </c>
      <c r="X101" s="243" t="str">
        <f t="shared" si="227"/>
        <v xml:space="preserve"> </v>
      </c>
      <c r="Y101" s="150" t="str">
        <f t="shared" si="228"/>
        <v/>
      </c>
      <c r="Z101" s="149" t="str">
        <f t="shared" si="229"/>
        <v xml:space="preserve"> </v>
      </c>
      <c r="AA101" s="98" t="str">
        <f t="shared" si="230"/>
        <v xml:space="preserve"> </v>
      </c>
      <c r="AB101" s="153" t="str">
        <f t="shared" si="231"/>
        <v xml:space="preserve"> </v>
      </c>
      <c r="AC101" s="153" t="str">
        <f t="shared" si="232"/>
        <v xml:space="preserve"> </v>
      </c>
      <c r="AD101" s="148" t="str">
        <f t="shared" si="233"/>
        <v/>
      </c>
      <c r="AE101" s="149" t="str">
        <f t="shared" si="234"/>
        <v/>
      </c>
      <c r="AF101" s="151" t="str">
        <f t="shared" si="235"/>
        <v xml:space="preserve"> </v>
      </c>
      <c r="AG101" s="153" t="str">
        <f t="shared" si="236"/>
        <v xml:space="preserve"> </v>
      </c>
      <c r="AH101" s="98" t="str">
        <f t="shared" si="237"/>
        <v xml:space="preserve"> </v>
      </c>
      <c r="AI101" s="149" t="str">
        <f t="shared" si="238"/>
        <v xml:space="preserve"> </v>
      </c>
      <c r="AK101" s="144" t="str">
        <f t="shared" si="239"/>
        <v xml:space="preserve"> </v>
      </c>
      <c r="AL101" s="144"/>
      <c r="AM101" s="243" t="str">
        <f t="shared" si="240"/>
        <v xml:space="preserve"> </v>
      </c>
      <c r="AN101" s="149" t="str">
        <f t="shared" si="343"/>
        <v xml:space="preserve"> </v>
      </c>
      <c r="AO101" s="144" t="str">
        <f>IF(JB101&gt;0,IF(GI101=10,-R101*1.085*(Calculation!$F$6-Calculation!$F$13)*$S$14," "),"")</f>
        <v/>
      </c>
      <c r="AP101" s="144" t="str">
        <f t="shared" si="241"/>
        <v/>
      </c>
      <c r="AQ101" s="56" t="str">
        <f t="shared" si="242"/>
        <v/>
      </c>
      <c r="AR101" s="144" t="str">
        <f t="shared" si="243"/>
        <v/>
      </c>
      <c r="AS101" s="176" t="str">
        <f t="shared" si="244"/>
        <v/>
      </c>
      <c r="AT101" s="176" t="str">
        <f t="shared" si="344"/>
        <v xml:space="preserve"> </v>
      </c>
      <c r="AU101" s="176" t="str">
        <f t="shared" si="245"/>
        <v/>
      </c>
      <c r="AV101" s="177" t="str">
        <f t="shared" si="246"/>
        <v xml:space="preserve"> </v>
      </c>
      <c r="AW101" s="144" t="str">
        <f t="shared" si="247"/>
        <v xml:space="preserve"> </v>
      </c>
      <c r="AX101" s="144" t="str">
        <f t="shared" si="248"/>
        <v xml:space="preserve"> </v>
      </c>
      <c r="AY101" s="152" t="str">
        <f t="shared" si="249"/>
        <v xml:space="preserve"> </v>
      </c>
      <c r="AZ101" s="246" t="str">
        <f t="shared" si="250"/>
        <v/>
      </c>
      <c r="BA101" s="176" t="str">
        <f t="shared" si="251"/>
        <v xml:space="preserve"> </v>
      </c>
      <c r="BB101" s="176" t="str">
        <f t="shared" si="252"/>
        <v xml:space="preserve"> </v>
      </c>
      <c r="BC101" s="195"/>
      <c r="BD101" s="316"/>
      <c r="BE101" s="317"/>
      <c r="BF101" s="318"/>
      <c r="BG101" s="318"/>
      <c r="BH101" s="144" t="str">
        <f t="shared" si="421"/>
        <v xml:space="preserve"> </v>
      </c>
      <c r="BI101" s="176" t="str">
        <f t="shared" si="253"/>
        <v/>
      </c>
      <c r="BJ101" s="144" t="str">
        <f t="shared" si="422"/>
        <v/>
      </c>
      <c r="BK101" s="246" t="str">
        <f t="shared" si="254"/>
        <v/>
      </c>
      <c r="BL101" s="144" t="str">
        <f t="shared" si="423"/>
        <v/>
      </c>
      <c r="BM101" s="246" t="str">
        <f t="shared" si="255"/>
        <v/>
      </c>
      <c r="BN101" s="337" t="str">
        <f t="shared" si="345"/>
        <v/>
      </c>
      <c r="BO101" s="371" t="str">
        <f t="shared" si="346"/>
        <v/>
      </c>
      <c r="BP101" s="328" t="str">
        <f t="shared" si="424"/>
        <v xml:space="preserve"> </v>
      </c>
      <c r="BQ101" s="347" t="str">
        <f t="shared" si="347"/>
        <v xml:space="preserve"> </v>
      </c>
      <c r="BR101" s="353" t="str">
        <f t="shared" si="348"/>
        <v xml:space="preserve"> </v>
      </c>
      <c r="BS101" s="626" t="str">
        <f>IF(L101&gt;0,IF(Calculation!P101="M13",BR101*3.1416*(0.134^2)/(4*144),IF(Calculation!P101="M17",BR101*3.1416*(0.165^2)/(4*144),IF(Calculation!P101="M20",BR101*3.1416*(0.198^2)/(4*144),IF(Calculation!P101="M23",BR101*3.1416*(0.228^2)/(4*144),IF(Calculation!P101="M27",BR101*3.1416*(0.269^2)/(4*144),BR101*3.1416*(0.307^2)/(4*144))))))," ")</f>
        <v xml:space="preserve"> </v>
      </c>
      <c r="BT101" s="353" t="str">
        <f>IF(L101&gt;0,IF(BS101&gt;0,R101/Calculation!BS101,0)," ")</f>
        <v xml:space="preserve"> </v>
      </c>
      <c r="BU101" s="438" t="e">
        <f t="shared" ca="1" si="256"/>
        <v>#VALUE!</v>
      </c>
      <c r="BV101" s="449" t="e">
        <f ca="1">INDEX(INDIRECT(VLOOKUP(LEFT(BO101,7),CLU!$Z$3:$AH$18,2)),GN101,GR101)</f>
        <v>#N/A</v>
      </c>
      <c r="BW101" s="433" t="e">
        <f ca="1">INDEX(INDIRECT(VLOOKUP(LEFT(BO101,7),CLU!$Z$3:$AH$18,3)),GN101,GR101)</f>
        <v>#N/A</v>
      </c>
      <c r="BX101" s="433" t="e">
        <f ca="1">INDEX(INDIRECT(VLOOKUP(LEFT(BO101,7),CLU!$Z$3:$AH$18,4)),GN101,GR101)</f>
        <v>#N/A</v>
      </c>
      <c r="BY101" s="433" t="e">
        <f ca="1">INDEX(INDIRECT(VLOOKUP(LEFT(BO101,7),CLU!$Z$3:$AH$18,9)),((M101-2)*(6-COUNTBLANK(GT101:GY101)))+GJ101)</f>
        <v>#N/A</v>
      </c>
      <c r="BZ101" s="426" t="e">
        <f t="shared" ca="1" si="349"/>
        <v>#N/A</v>
      </c>
      <c r="CA101" s="424" t="e">
        <f t="shared" ca="1" si="350"/>
        <v>#N/A</v>
      </c>
      <c r="CB101" s="429" t="e">
        <f ca="1">INDEX(INDIRECT(VLOOKUP(LEFT(BO101,7),CLU!$Z$3:$AH$18,2)),GN101,GS101)</f>
        <v>#N/A</v>
      </c>
      <c r="CC101" s="342" t="e">
        <f ca="1">INDEX(INDIRECT(VLOOKUP(LEFT(BO101,7),CLU!$Z$3:$AH$18,3)),GN101,GS101)</f>
        <v>#N/A</v>
      </c>
      <c r="CD101" s="342" t="e">
        <f ca="1">INDEX(INDIRECT(VLOOKUP(LEFT(BO101,7),CLU!$Z$3:$AH$18,4)),GN101,GS101)</f>
        <v>#N/A</v>
      </c>
      <c r="CE101" s="426" t="e">
        <f t="shared" ca="1" si="351"/>
        <v>#N/A</v>
      </c>
      <c r="CF101" s="440">
        <f t="shared" si="352"/>
        <v>0</v>
      </c>
      <c r="CG101" s="431" t="e">
        <f ca="1">INDEX(INDIRECT(VLOOKUP(LEFT(BO101,7),CLU!$Z$3:$AH$18,2)),GQ101,GR101)</f>
        <v>#N/A</v>
      </c>
      <c r="CH101" s="431" t="e">
        <f ca="1">INDEX(INDIRECT(VLOOKUP(LEFT(BO101,7),CLU!$Z$3:$AH$18,3)),GQ101,GR101)</f>
        <v>#N/A</v>
      </c>
      <c r="CI101" s="431" t="e">
        <f ca="1">INDEX(INDIRECT(VLOOKUP(LEFT(BO101,7),CLU!$Z$3:$AH$18,4)),GQ101,GR101)</f>
        <v>#N/A</v>
      </c>
      <c r="CJ101" s="448" t="e">
        <f t="shared" ca="1" si="353"/>
        <v>#N/A</v>
      </c>
      <c r="CK101" s="431" t="e">
        <f t="shared" ca="1" si="354"/>
        <v>#N/A</v>
      </c>
      <c r="CL101" s="440" t="e">
        <f t="shared" ca="1" si="355"/>
        <v>#N/A</v>
      </c>
      <c r="CM101" s="431" t="e">
        <f ca="1">INDEX(INDIRECT(VLOOKUP(LEFT(BO101,7),CLU!$Z$3:$AH$18,2)),GQ101,GS101)</f>
        <v>#N/A</v>
      </c>
      <c r="CN101" s="431" t="e">
        <f ca="1">INDEX(INDIRECT(VLOOKUP(LEFT(BO101,7),CLU!$Z$3:$AH$18,3)),GQ101,GS101)</f>
        <v>#N/A</v>
      </c>
      <c r="CO101" s="431" t="e">
        <f ca="1">INDEX(INDIRECT(VLOOKUP(LEFT(BO101,7),CLU!$Z$3:$AH$18,4)),GQ101,GS101)</f>
        <v>#N/A</v>
      </c>
      <c r="CP101" s="431" t="e">
        <f t="shared" ca="1" si="356"/>
        <v>#N/A</v>
      </c>
      <c r="CQ101" s="440">
        <f t="shared" si="357"/>
        <v>0</v>
      </c>
      <c r="CR101" s="51" t="e">
        <f t="shared" ca="1" si="358"/>
        <v>#N/A</v>
      </c>
      <c r="CS101" s="439" t="e">
        <f t="shared" ca="1" si="359"/>
        <v>#VALUE!</v>
      </c>
      <c r="CT101" s="51" t="e">
        <f t="shared" ca="1" si="360"/>
        <v>#VALUE!</v>
      </c>
      <c r="CU101" s="10"/>
      <c r="CV101" s="51" t="e">
        <f t="shared" ca="1" si="257"/>
        <v>#VALUE!</v>
      </c>
      <c r="CW101" s="51">
        <f t="shared" si="361"/>
        <v>0</v>
      </c>
      <c r="CX101" s="439" t="e">
        <f t="shared" ca="1" si="362"/>
        <v>#VALUE!</v>
      </c>
      <c r="CY101" s="51" t="e">
        <f t="shared" ca="1" si="363"/>
        <v>#VALUE!</v>
      </c>
      <c r="CZ101" s="10"/>
      <c r="DA101" s="51" t="e">
        <f t="shared" ca="1" si="364"/>
        <v>#VALUE!</v>
      </c>
      <c r="DB101" s="347" t="e">
        <f ca="1">INDEX(INDIRECT(VLOOKUP(LEFT(BO101,7),CLU!$Z$3:$AI$18,10)),((M101-2)*(6-COUNTBLANK(GT101:GY101)))+GJ101)*LI101</f>
        <v>#N/A</v>
      </c>
      <c r="DC101" s="347" t="str">
        <f>IF(L101&gt;0,((R101/Worksheet!$I$15)/DB101)^2," ")</f>
        <v xml:space="preserve"> </v>
      </c>
      <c r="DD101" s="602" t="str">
        <f t="shared" si="365"/>
        <v xml:space="preserve"> </v>
      </c>
      <c r="DE101" s="347" t="str">
        <f t="shared" si="258"/>
        <v xml:space="preserve"> </v>
      </c>
      <c r="DF101" s="356" t="e">
        <f ca="1">INDEX(INDIRECT(VLOOKUP(LEFT(BO101,7),CLU!$Z$3:$AH$18,8)),((M101-2)*(6-COUNTBLANK(GT101:GY101)))+GJ101)</f>
        <v>#N/A</v>
      </c>
      <c r="DG101" s="347" t="str">
        <f t="shared" si="259"/>
        <v xml:space="preserve"> </v>
      </c>
      <c r="DH101" s="357" t="str">
        <f t="shared" si="260"/>
        <v xml:space="preserve"> </v>
      </c>
      <c r="DI101" s="355" t="str">
        <f t="shared" si="261"/>
        <v xml:space="preserve"> </v>
      </c>
      <c r="DJ101" s="245" t="e">
        <f ca="1">INDEX(INDIRECT(VLOOKUP(LEFT(BO101,7),CLU!$Z$3:$AH$18,5)),GL101,GK101)</f>
        <v>#N/A</v>
      </c>
      <c r="DK101" s="245" t="e">
        <f ca="1">INDEX(INDIRECT(VLOOKUP(LEFT(BO101,7),CLU!$Z$3:$AH$18,6)),GL101,GK101)</f>
        <v>#N/A</v>
      </c>
      <c r="DL101" s="355">
        <f>(Calculation!R101*0.69143*(Calculation!$BQ$8-Calculation!$F$8))*$S$14</f>
        <v>0</v>
      </c>
      <c r="DM101" s="359" t="e">
        <f t="shared" si="366"/>
        <v>#VALUE!</v>
      </c>
      <c r="DN101" s="611">
        <f t="shared" si="367"/>
        <v>0</v>
      </c>
      <c r="DO101" s="359">
        <f t="shared" si="368"/>
        <v>100</v>
      </c>
      <c r="DP101" s="359">
        <f t="shared" si="369"/>
        <v>0</v>
      </c>
      <c r="DQ101" s="360"/>
      <c r="DR101" s="245" t="e">
        <f ca="1">INDEX(INDIRECT(VLOOKUP(LEFT(BO101,7),CLU!$Z$3:$AH$18,7)),M101-1,1)</f>
        <v>#N/A</v>
      </c>
      <c r="DS101" s="245" t="e">
        <f ca="1">INDEX(INDIRECT(VLOOKUP(LEFT(BO101,7),CLU!$Z$3:$AH$18,7)),M101-1,2)</f>
        <v>#N/A</v>
      </c>
      <c r="DT101" s="245" t="e">
        <f ca="1">INDEX(INDIRECT(VLOOKUP(LEFT(BO101,7),CLU!$Z$3:$AH$18,7)),M101-1,3)</f>
        <v>#N/A</v>
      </c>
      <c r="DU101" s="245" t="e">
        <f ca="1">INDEX(INDIRECT(VLOOKUP(LEFT(BO101,7),CLU!$Z$3:$AH$18,7)),M101-1,4)</f>
        <v>#N/A</v>
      </c>
      <c r="DV101" s="361" t="e">
        <f ca="1">INDEX(INDIRECT(VLOOKUP(LEFT(BO101,7),CLU!$Z$3:$AH$18,7)),M101-1,4+LEFT(DZ101,1)*0.5)</f>
        <v>#N/A</v>
      </c>
      <c r="DW101" s="245" t="e">
        <f ca="1">INDEX(INDIRECT(VLOOKUP(LEFT(BO101,7),CLU!$Z$3:$AH$18,7)),M101-1,8)</f>
        <v>#N/A</v>
      </c>
      <c r="DX101" s="361" t="str">
        <f t="shared" si="262"/>
        <v xml:space="preserve"> </v>
      </c>
      <c r="DY101" s="361" t="str">
        <f t="shared" si="263"/>
        <v xml:space="preserve"> </v>
      </c>
      <c r="DZ101" s="361" t="str">
        <f t="shared" si="264"/>
        <v xml:space="preserve"> </v>
      </c>
      <c r="EA101" s="362" t="str">
        <f t="shared" si="265"/>
        <v xml:space="preserve"> </v>
      </c>
      <c r="EB101" s="624" t="str">
        <f t="shared" si="370"/>
        <v xml:space="preserve"> </v>
      </c>
      <c r="EC101" s="361" t="e">
        <f ca="1">INDEX(INDIRECT(VLOOKUP(LEFT(BO101,7),CLU!$Z$3:$AH$18,7)),M101-1,4+LEFT(DZ101,1)*0.5)</f>
        <v>#N/A</v>
      </c>
      <c r="ED101" s="362" t="str">
        <f t="shared" si="266"/>
        <v xml:space="preserve"> </v>
      </c>
      <c r="EE101" s="361" t="str">
        <f t="shared" si="267"/>
        <v xml:space="preserve"> </v>
      </c>
      <c r="EF101" s="362" t="str">
        <f>IF(L101&gt;0,IF(BR101&gt;0,IF(EE101="2P",IF(Calculation!DZ101="2P",IF(Calculation!DS101=13.75,IF(Calculation!DR101=13,Worksheet!$BD$43,IF(Calculation!DR101=37,Worksheet!$BD$44,Worksheet!$BD$45)),IF(Calculation!DS101=10,IF(Calculation!DR101=18,Worksheet!$BD$29,IF(Calculation!DR101=30,Worksheet!$BD$30,IF(Calculation!DR101=42,Worksheet!$BD$31,IF(Calculation!DR101=54,Worksheet!$BD$32,IF(Calculation!DR101=66,Worksheet!$BD$33,IF(Calculation!DR101=78,Worksheet!$BD$34,IF(Calculation!DR101=90,Worksheet!$BD$35,IF(Calculation!DR101=102,Worksheet!$BD$36,Worksheet!$BD$37)))))))),IF(Calculation!DS101=12.5,IF(Calculation!DR101=18,Worksheet!$BD$38,IF(Calculation!DR101=Worksheet!$BD$39,IF(Calculation!DR101=42,Worksheet!$BD$40,IF(Calculation!DR101=54,Worksheet!$BD$41,Worksheet!$BD$42)))),IF(Calculation!DR101=18,Worksheet!$BD$11,IF(Calculation!DR101=30,Worksheet!$BD$12,IF(Calculation!DR101=42,Worksheet!$BD$13,IF(Calculation!DR101=54,Worksheet!$BD$14,IF(Calculation!DR101=66,Worksheet!$BD$15,IF(Calculation!DR101=78,Worksheet!$BD$16,IF(Calculation!DR101=90,Worksheet!$BD$17,IF(Calculation!DR101=102,Worksheet!$BD$18,Worksheet!$BD$19))))))))))),IF(Calculation!DS101=13.75,IF(Calculation!DR101=13,Worksheet!$BD$78,IF(Calculation!DR101=37,Worksheet!$BD$79,Worksheet!$BD$80)),IF(Calculation!DS101=10,IF(Calculation!DR101=18,Worksheet!$BD$64,IF(Calculation!DR101=30,Worksheet!$BD$65,IF(Calculation!DR101=42,Worksheet!$BD$66,IF(Calculation!DR101=54,Worksheet!$BD$68,IF(Calculation!DR101=66,Worksheet!$BD$68,IF(Calculation!DR101=78,Worksheet!$BD$69,IF(Calculation!DR101=90,Worksheet!$BD$70,IF(Calculation!DR101=102,Worksheet!$BD$71,Worksheet!$BD$72)))))))),IF(Calculation!DS101=12.5,IF(Calculation!DR101=18,Worksheet!$BD$73,IF(Calculation!DR101=Worksheet!$BD$74,IF(Calculation!DR101=42,Worksheet!$BD$75,IF(Calculation!DR101=54,Worksheet!$BD$76,Worksheet!$BD$77)))),IF(Calculation!DR101=18,Worksheet!$BD$55,IF(Calculation!DR101=30,Worksheet!$BD$56,IF(Calculation!DR101=42,Worksheet!$BD$57,IF(Calculation!DR101=54,Worksheet!$BD$58,IF(Calculation!DR101=66,Worksheet!$BD$59,IF(Calculation!DR101=78,Worksheet!$BD$60,IF(Calculation!DR101=90,Worksheet!$BD$61,IF(Calculation!DR101=102,Worksheet!$BD$62,Worksheet!$BD$63)))))))))))),5),0)," ")</f>
        <v xml:space="preserve"> </v>
      </c>
      <c r="EG101" s="361" t="str">
        <f t="shared" si="268"/>
        <v xml:space="preserve"> </v>
      </c>
      <c r="EH101" s="361" t="e">
        <f ca="1">INDEX(INDIRECT(VLOOKUP(LEFT(BO101,7),CLU!$Z$3:$AH$18,7)),M101-1,3+LEFT(DZ101,1))</f>
        <v>#N/A</v>
      </c>
      <c r="EI101" s="362" t="str">
        <f t="shared" si="269"/>
        <v xml:space="preserve"> </v>
      </c>
      <c r="EJ101" s="363" t="str">
        <f t="shared" si="270"/>
        <v xml:space="preserve"> </v>
      </c>
      <c r="EK101" s="363" t="str">
        <f t="shared" si="271"/>
        <v xml:space="preserve"> </v>
      </c>
      <c r="EL101" s="363" t="str">
        <f t="shared" si="272"/>
        <v xml:space="preserve"> </v>
      </c>
      <c r="EM101" s="362" t="str">
        <f>IF(L101&gt;0,IF(BR101&gt;0,(Calculation!T101/ED101)^2,0)," ")</f>
        <v xml:space="preserve"> </v>
      </c>
      <c r="EN101" s="362" t="str">
        <f>IF(L101&gt;0,IF(O101="2 Pipe (Cooling)","N/A",IF(BR101&gt;0,(Calculation!U101/EI101)^2,0))," ")</f>
        <v xml:space="preserve"> </v>
      </c>
      <c r="EO101" s="361" t="str">
        <f t="shared" si="273"/>
        <v/>
      </c>
      <c r="EP101" s="361" t="str">
        <f t="shared" si="274"/>
        <v/>
      </c>
      <c r="EQ101" s="361" t="str">
        <f t="shared" si="275"/>
        <v/>
      </c>
      <c r="ER101" s="361" t="str">
        <f t="shared" si="276"/>
        <v/>
      </c>
      <c r="ES101" s="361" t="str">
        <f t="shared" si="277"/>
        <v/>
      </c>
      <c r="ET101" s="361" t="str">
        <f t="shared" si="278"/>
        <v/>
      </c>
      <c r="EU101" s="361" t="str">
        <f t="shared" si="279"/>
        <v/>
      </c>
      <c r="EV101" s="361" t="str">
        <f t="shared" si="280"/>
        <v/>
      </c>
      <c r="EW101" s="361" t="str">
        <f t="shared" si="281"/>
        <v/>
      </c>
      <c r="EX101" s="361" t="str">
        <f t="shared" si="371"/>
        <v>1 slot, 1 way</v>
      </c>
      <c r="EY101" s="361" t="str">
        <f t="shared" si="372"/>
        <v xml:space="preserve"> </v>
      </c>
      <c r="EZ101" s="361" t="str">
        <f t="shared" si="373"/>
        <v xml:space="preserve"> </v>
      </c>
      <c r="FA101" s="361" t="str">
        <f t="shared" si="374"/>
        <v xml:space="preserve"> </v>
      </c>
      <c r="FB101" s="361" t="str">
        <f t="shared" si="375"/>
        <v xml:space="preserve"> </v>
      </c>
      <c r="FC101" s="361"/>
      <c r="FD101" s="361" t="str">
        <f>IF(J101&gt;0,IF(Calculation!R101&lt;=70,4,IF(Calculation!R101&lt;=110,5,IF(Calculation!R101&lt;=160,6,IF(Calculation!R101&lt;=300,8,"10 EO")))),"")</f>
        <v/>
      </c>
      <c r="FE101" s="361" t="str">
        <f t="shared" si="376"/>
        <v/>
      </c>
      <c r="FF101" s="361" t="str">
        <f t="shared" si="377"/>
        <v/>
      </c>
      <c r="FG101" s="361" t="e">
        <f t="shared" si="282"/>
        <v>#N/A</v>
      </c>
      <c r="FH101" s="361">
        <f t="shared" si="283"/>
        <v>0</v>
      </c>
      <c r="FI101" s="361" t="e">
        <f t="shared" si="284"/>
        <v>#DIV/0!</v>
      </c>
      <c r="FJ101" s="361"/>
      <c r="FK101" s="356" t="e">
        <f t="shared" si="285"/>
        <v>#VALUE!</v>
      </c>
      <c r="FL101" s="361"/>
      <c r="FM101" s="361"/>
      <c r="FN101" s="362" t="str">
        <f t="shared" si="378"/>
        <v xml:space="preserve"> </v>
      </c>
      <c r="FO101" s="362" t="str">
        <f t="shared" si="379"/>
        <v xml:space="preserve"> </v>
      </c>
      <c r="FP101" s="362">
        <f t="shared" si="380"/>
        <v>0</v>
      </c>
      <c r="FQ101" s="361">
        <f t="shared" si="286"/>
        <v>0</v>
      </c>
      <c r="FR101" s="362" t="str">
        <f>IF(L101&gt;0,IF(J101="CBAL2",Worksheet!$P$67,IF(J101="CBE2-24",Worksheet!$Q$67,IF(J101="CBAM",Worksheet!$R$67,IF(J101="CBLV",Worksheet!$S$67,IF(J101="CBAB",Worksheet!$U$67,IF(J101="CBAW",Worksheet!$X$67,IF(J101="CBE2-12",Worksheet!$Y$67,IF(J101="CBAL2",Worksheet!$Z$67,"N/A"))))))))," ")</f>
        <v xml:space="preserve"> </v>
      </c>
      <c r="FS101" s="362" t="str">
        <f>IF(L101&gt;0,IF(J101="CBAL2",Worksheet!$P$68,IF(J101="CBE2-24",Worksheet!$Q$68,IF(J101="CBAM",Worksheet!$R$68,IF(J101="CBLV",Worksheet!$S$68,IF(J101="CBAB",Worksheet!$U$68,IF(J101="CBAW",Worksheet!$X$68,IF(J101="CBE2-12",Worksheet!$Y$68,IF(J101="CBAL2",Worksheet!$Z$68,"N/A"))))))))," ")</f>
        <v xml:space="preserve"> </v>
      </c>
      <c r="FT101" s="362" t="str">
        <f>IF(L101&gt;0,IF(J101="CBAL2",Worksheet!$P$69,IF(J101="CBE2-24",Worksheet!$Q$69,IF(J101="CBAM",Worksheet!$R$69,IF(J101="CBLV",Worksheet!$S$69,IF(J101="CBAB",Worksheet!$U$69,IF(J101="CBAW",Worksheet!$X$69,IF(J101="CBE2-12",Worksheet!$Y$69,IF(J101="CBAL2",Worksheet!$Z$69,"N/A"))))))))," ")</f>
        <v xml:space="preserve"> </v>
      </c>
      <c r="FU101" s="361" t="str">
        <f t="shared" si="381"/>
        <v xml:space="preserve"> </v>
      </c>
      <c r="FV101" s="362" t="str">
        <f t="shared" si="382"/>
        <v xml:space="preserve"> </v>
      </c>
      <c r="FW101" s="362" t="str">
        <f t="shared" si="383"/>
        <v xml:space="preserve"> </v>
      </c>
      <c r="FX101" s="362" t="str">
        <f t="shared" si="384"/>
        <v xml:space="preserve"> </v>
      </c>
      <c r="FY101" s="355" t="str">
        <f t="shared" si="385"/>
        <v xml:space="preserve"> </v>
      </c>
      <c r="FZ101" s="361" t="str">
        <f t="shared" si="386"/>
        <v xml:space="preserve"> </v>
      </c>
      <c r="GA101" s="347" t="str">
        <f t="shared" si="387"/>
        <v xml:space="preserve"> </v>
      </c>
      <c r="GB101" s="355" t="str">
        <f t="shared" si="388"/>
        <v xml:space="preserve"> </v>
      </c>
      <c r="GC101" s="328" t="str">
        <f t="shared" si="389"/>
        <v xml:space="preserve"> </v>
      </c>
      <c r="GD101" s="361" t="str">
        <f t="shared" si="390"/>
        <v xml:space="preserve"> </v>
      </c>
      <c r="GE101" s="347" t="str">
        <f t="shared" si="391"/>
        <v xml:space="preserve"> </v>
      </c>
      <c r="GF101" s="361" t="str">
        <f t="shared" si="392"/>
        <v xml:space="preserve"> </v>
      </c>
      <c r="GG101" s="347" t="str">
        <f t="shared" si="393"/>
        <v xml:space="preserve"> </v>
      </c>
      <c r="GH101" s="364">
        <f t="shared" si="287"/>
        <v>0</v>
      </c>
      <c r="GI101" s="362">
        <f t="shared" si="394"/>
        <v>2</v>
      </c>
      <c r="GJ101" s="433" t="e">
        <f>IF(6-COUNTBLANK(GT101:GY101)=4,MATCH(MID(BO101,9,3),CLU!$H$16:$K$16),MATCH(MID(BO101,9,3),CLU!$H$13:$M$13))</f>
        <v>#N/A</v>
      </c>
      <c r="GK101" s="433" t="e">
        <f>HLOOKUP(VALUE(BP101),CLU!$H$9:$M$10,2)</f>
        <v>#VALUE!</v>
      </c>
      <c r="GL101" s="433" t="e">
        <f ca="1">MATCH(BU101,CLU!$H$2:$V$2,1)</f>
        <v>#VALUE!</v>
      </c>
      <c r="GM101" s="433" t="e">
        <f t="shared" ca="1" si="395"/>
        <v>#VALUE!</v>
      </c>
      <c r="GN101" s="433" t="e">
        <f t="shared" ca="1" si="396"/>
        <v>#VALUE!</v>
      </c>
      <c r="GO101" s="433" t="e">
        <f t="shared" ca="1" si="397"/>
        <v>#VALUE!</v>
      </c>
      <c r="GP101" s="433" t="e">
        <f t="shared" ca="1" si="398"/>
        <v>#VALUE!</v>
      </c>
      <c r="GQ101" s="433" t="e">
        <f t="shared" ca="1" si="399"/>
        <v>#VALUE!</v>
      </c>
      <c r="GR101" s="433" t="e">
        <f ca="1">MATCH(T101,INDIRECT(VLOOKUP(CONCATENATE(LEFT(BO101,7),"-",MID(BO101,13,1)),CLU!$P$3:$Q$16,2)),1)</f>
        <v>#N/A</v>
      </c>
      <c r="GS101" s="433" t="e">
        <f ca="1">MATCH(U101,INDIRECT(VLOOKUP(CONCATENATE(LEFT(BO101,7),"-",MID(BO101,13,1)),CLU!$P$3:$Q$16,2)),1)</f>
        <v>#N/A</v>
      </c>
      <c r="GT101" s="347" t="s">
        <v>512</v>
      </c>
      <c r="GU101" s="97" t="s">
        <v>513</v>
      </c>
      <c r="GV101" s="97" t="str">
        <f t="shared" si="400"/>
        <v>M23</v>
      </c>
      <c r="GW101" s="97" t="str">
        <f t="shared" si="401"/>
        <v>M31</v>
      </c>
      <c r="GX101" s="97" t="str">
        <f t="shared" si="402"/>
        <v/>
      </c>
      <c r="GY101" s="97" t="str">
        <f t="shared" si="403"/>
        <v/>
      </c>
      <c r="GZ101" s="481"/>
      <c r="HA101" s="288"/>
      <c r="HB101" s="240"/>
      <c r="HC101" s="240"/>
      <c r="HD101" s="240"/>
      <c r="HE101" s="240"/>
      <c r="HF101" s="240"/>
      <c r="HG101" s="240"/>
      <c r="HH101" s="240"/>
      <c r="HI101" s="240"/>
      <c r="HJ101" s="240"/>
      <c r="HK101" s="240"/>
      <c r="HL101" s="240"/>
      <c r="HM101" s="240"/>
      <c r="HN101" s="240"/>
      <c r="HO101" s="240"/>
      <c r="HP101" s="240"/>
      <c r="HQ101" s="240"/>
      <c r="HR101" s="240"/>
      <c r="HS101" s="240"/>
      <c r="HT101" s="240"/>
      <c r="HU101" s="240"/>
      <c r="HV101" s="245"/>
      <c r="HW101" s="245" t="b">
        <v>1</v>
      </c>
      <c r="HX101" s="245" t="str">
        <f t="shared" si="288"/>
        <v/>
      </c>
      <c r="HY101" s="245" t="e">
        <f t="shared" si="289"/>
        <v>#DIV/0!</v>
      </c>
      <c r="HZ101" s="245" t="e">
        <f t="shared" si="290"/>
        <v>#DIV/0!</v>
      </c>
      <c r="IA101" s="245">
        <f t="shared" si="291"/>
        <v>0</v>
      </c>
      <c r="IB101" s="245"/>
      <c r="IC101" t="b">
        <f t="shared" si="292"/>
        <v>1</v>
      </c>
      <c r="ID101" s="245" t="b">
        <f t="shared" si="293"/>
        <v>1</v>
      </c>
      <c r="IE101" s="245" t="b">
        <f t="shared" si="294"/>
        <v>1</v>
      </c>
      <c r="IF101" s="245" t="b">
        <f t="shared" si="295"/>
        <v>0</v>
      </c>
      <c r="IG101" s="245" t="b">
        <f t="shared" si="296"/>
        <v>1</v>
      </c>
      <c r="IH101" s="245" t="b">
        <f t="shared" si="297"/>
        <v>1</v>
      </c>
      <c r="II101" s="245">
        <f t="shared" si="404"/>
        <v>0</v>
      </c>
      <c r="IJ101" s="245" t="e">
        <f t="shared" si="298"/>
        <v>#VALUE!</v>
      </c>
      <c r="IK101" s="245" t="e">
        <f t="shared" si="299"/>
        <v>#VALUE!</v>
      </c>
      <c r="IL101" s="245"/>
      <c r="IM101" s="245" t="e">
        <f t="shared" si="405"/>
        <v>#N/A</v>
      </c>
      <c r="IN101" s="245" t="e">
        <f t="shared" si="406"/>
        <v>#N/A</v>
      </c>
      <c r="IO101" s="245"/>
      <c r="IP101" s="245"/>
      <c r="IQ101" s="245" t="str">
        <f t="shared" si="300"/>
        <v/>
      </c>
      <c r="IR101" s="245" t="str">
        <f>IF(J101="","",VLOOKUP(J101,Worksheet!$R$4:$T$14,2))</f>
        <v/>
      </c>
      <c r="IS101" s="245"/>
      <c r="IT101" s="245">
        <f t="shared" si="301"/>
        <v>0</v>
      </c>
      <c r="IU101" s="245">
        <f t="shared" si="302"/>
        <v>0</v>
      </c>
      <c r="IV101" s="245">
        <f t="shared" si="303"/>
        <v>0</v>
      </c>
      <c r="IW101" s="245">
        <f t="shared" si="304"/>
        <v>0</v>
      </c>
      <c r="IX101" s="245">
        <f t="shared" si="407"/>
        <v>0</v>
      </c>
      <c r="IY101" s="245">
        <f t="shared" si="305"/>
        <v>0</v>
      </c>
      <c r="IZ101" s="245">
        <f t="shared" si="306"/>
        <v>0</v>
      </c>
      <c r="JA101">
        <f t="shared" si="307"/>
        <v>0</v>
      </c>
      <c r="JB101">
        <f t="shared" si="408"/>
        <v>0</v>
      </c>
      <c r="JC101">
        <f t="shared" si="308"/>
        <v>0</v>
      </c>
      <c r="JD101">
        <f t="shared" si="309"/>
        <v>0</v>
      </c>
      <c r="JE101">
        <f t="shared" si="310"/>
        <v>0</v>
      </c>
      <c r="JF101">
        <f t="shared" si="311"/>
        <v>0</v>
      </c>
      <c r="JG101">
        <f t="shared" si="312"/>
        <v>0</v>
      </c>
      <c r="JH101">
        <f t="shared" si="313"/>
        <v>0</v>
      </c>
      <c r="JI101">
        <f t="shared" si="314"/>
        <v>0</v>
      </c>
      <c r="JJ101" s="447">
        <f t="shared" si="315"/>
        <v>0</v>
      </c>
      <c r="JK101" s="447">
        <f t="shared" si="316"/>
        <v>0</v>
      </c>
      <c r="JL101">
        <f t="shared" si="317"/>
        <v>0</v>
      </c>
      <c r="JM101" s="245" t="str">
        <f>IFERROR(VLOOKUP(MATCH(BN101,#REF!,0),#REF!,7),"")</f>
        <v/>
      </c>
      <c r="JN101" t="e">
        <f>HLOOKUP(LEFT(BO101,7),Discharge_Area,MATCH(JO101,LookUps!$B$130:$B$149,1)+2)</f>
        <v>#N/A</v>
      </c>
      <c r="JO101" t="str">
        <f t="shared" si="318"/>
        <v>- S</v>
      </c>
      <c r="JP101" t="e">
        <f>HLOOKUP(LEFT(BO101,7),Discharge_Area,MATCH(JO101,LookUps!$B$130:$B$149,1)+2)</f>
        <v>#N/A</v>
      </c>
      <c r="JQ101" t="e">
        <f t="shared" si="319"/>
        <v>#N/A</v>
      </c>
      <c r="JR101" t="e">
        <f t="shared" si="320"/>
        <v>#N/A</v>
      </c>
      <c r="JS101" t="e">
        <f t="shared" si="321"/>
        <v>#N/A</v>
      </c>
      <c r="JT101" s="532" t="str">
        <f t="shared" si="322"/>
        <v xml:space="preserve"> </v>
      </c>
      <c r="JU101" s="532" t="str">
        <f t="shared" si="323"/>
        <v xml:space="preserve"> </v>
      </c>
      <c r="JV101" s="533" t="str">
        <f t="shared" si="324"/>
        <v xml:space="preserve"> </v>
      </c>
      <c r="JW101" s="534">
        <f t="shared" si="325"/>
        <v>0</v>
      </c>
      <c r="JX101" s="535" t="str">
        <f t="shared" si="409"/>
        <v xml:space="preserve"> </v>
      </c>
      <c r="JY101" s="535" t="str">
        <f t="shared" si="410"/>
        <v xml:space="preserve"> </v>
      </c>
      <c r="JZ101" s="535" t="str">
        <f t="shared" si="411"/>
        <v xml:space="preserve"> </v>
      </c>
      <c r="KA101" s="536" t="str">
        <f t="shared" si="326"/>
        <v xml:space="preserve"> </v>
      </c>
      <c r="KB101" s="535" t="e">
        <f t="shared" si="412"/>
        <v>#VALUE!</v>
      </c>
      <c r="KC101" s="535" t="str">
        <f t="shared" si="327"/>
        <v/>
      </c>
      <c r="KD101" s="537" t="str">
        <f t="shared" si="413"/>
        <v xml:space="preserve"> </v>
      </c>
      <c r="KE101" s="537" t="str">
        <f t="shared" si="414"/>
        <v xml:space="preserve"> </v>
      </c>
      <c r="KF101" s="534">
        <f t="shared" si="328"/>
        <v>0</v>
      </c>
      <c r="KG101" s="535" t="str">
        <f t="shared" si="329"/>
        <v xml:space="preserve"> </v>
      </c>
      <c r="KH101" s="535" t="str">
        <f t="shared" si="330"/>
        <v xml:space="preserve"> </v>
      </c>
      <c r="KI101" s="535" t="str">
        <f t="shared" si="331"/>
        <v xml:space="preserve"> </v>
      </c>
      <c r="KJ101" s="536" t="str">
        <f t="shared" si="332"/>
        <v xml:space="preserve"> </v>
      </c>
      <c r="KK101" s="535" t="str">
        <f t="shared" si="415"/>
        <v xml:space="preserve"> </v>
      </c>
      <c r="KL101" s="535" t="str">
        <f t="shared" si="416"/>
        <v xml:space="preserve"> </v>
      </c>
      <c r="KM101" s="537" t="str">
        <f t="shared" si="333"/>
        <v xml:space="preserve"> </v>
      </c>
      <c r="KN101" s="537" t="str">
        <f t="shared" si="417"/>
        <v xml:space="preserve"> </v>
      </c>
      <c r="KP101">
        <f t="shared" si="334"/>
        <v>0</v>
      </c>
      <c r="LA101" t="e">
        <f t="shared" si="335"/>
        <v>#VALUE!</v>
      </c>
      <c r="LB101" t="e">
        <f t="shared" si="336"/>
        <v>#VALUE!</v>
      </c>
      <c r="LC101" t="e">
        <f t="shared" si="337"/>
        <v>#VALUE!</v>
      </c>
      <c r="LD101" t="e">
        <f t="shared" si="338"/>
        <v>#VALUE!</v>
      </c>
      <c r="LE101" t="e">
        <f t="shared" si="418"/>
        <v>#VALUE!</v>
      </c>
      <c r="LF101">
        <f t="shared" si="339"/>
        <v>0</v>
      </c>
      <c r="LG101" t="e">
        <f t="shared" si="419"/>
        <v>#VALUE!</v>
      </c>
      <c r="LH101" t="str">
        <f t="shared" si="340"/>
        <v xml:space="preserve"> </v>
      </c>
      <c r="LI101">
        <f t="shared" si="420"/>
        <v>1</v>
      </c>
    </row>
    <row r="102" spans="2:321" ht="15" customHeight="1">
      <c r="B102" s="311"/>
      <c r="C102" s="311"/>
      <c r="D102" s="312"/>
      <c r="E102" s="311"/>
      <c r="F102" s="312"/>
      <c r="G102" s="311"/>
      <c r="H102" s="311"/>
      <c r="I102" s="37"/>
      <c r="J102" s="311"/>
      <c r="K102" s="305" t="str">
        <f t="shared" si="341"/>
        <v/>
      </c>
      <c r="L102" s="313"/>
      <c r="M102" s="312"/>
      <c r="N102" s="311"/>
      <c r="O102" s="312"/>
      <c r="P102" s="311"/>
      <c r="Q102" s="305" t="str">
        <f t="shared" si="342"/>
        <v/>
      </c>
      <c r="R102" s="314"/>
      <c r="S102" s="450" t="str">
        <f t="shared" si="225"/>
        <v/>
      </c>
      <c r="T102" s="315"/>
      <c r="U102" s="315"/>
      <c r="W102" s="149" t="str">
        <f t="shared" si="226"/>
        <v xml:space="preserve"> </v>
      </c>
      <c r="X102" s="243" t="str">
        <f t="shared" si="227"/>
        <v xml:space="preserve"> </v>
      </c>
      <c r="Y102" s="150" t="str">
        <f t="shared" si="228"/>
        <v/>
      </c>
      <c r="Z102" s="149" t="str">
        <f t="shared" si="229"/>
        <v xml:space="preserve"> </v>
      </c>
      <c r="AA102" s="98" t="str">
        <f t="shared" si="230"/>
        <v xml:space="preserve"> </v>
      </c>
      <c r="AB102" s="153" t="str">
        <f t="shared" si="231"/>
        <v xml:space="preserve"> </v>
      </c>
      <c r="AC102" s="153" t="str">
        <f t="shared" si="232"/>
        <v xml:space="preserve"> </v>
      </c>
      <c r="AD102" s="148" t="str">
        <f t="shared" si="233"/>
        <v/>
      </c>
      <c r="AE102" s="149" t="str">
        <f t="shared" si="234"/>
        <v/>
      </c>
      <c r="AF102" s="151" t="str">
        <f t="shared" si="235"/>
        <v xml:space="preserve"> </v>
      </c>
      <c r="AG102" s="153" t="str">
        <f t="shared" si="236"/>
        <v xml:space="preserve"> </v>
      </c>
      <c r="AH102" s="98" t="str">
        <f t="shared" si="237"/>
        <v xml:space="preserve"> </v>
      </c>
      <c r="AI102" s="149" t="str">
        <f t="shared" si="238"/>
        <v xml:space="preserve"> </v>
      </c>
      <c r="AK102" s="144" t="str">
        <f t="shared" si="239"/>
        <v xml:space="preserve"> </v>
      </c>
      <c r="AL102" s="144"/>
      <c r="AM102" s="243" t="str">
        <f t="shared" si="240"/>
        <v xml:space="preserve"> </v>
      </c>
      <c r="AN102" s="149" t="str">
        <f t="shared" si="343"/>
        <v xml:space="preserve"> </v>
      </c>
      <c r="AO102" s="144" t="str">
        <f>IF(JB102&gt;0,IF(GI102=10,-R102*1.085*(Calculation!$F$6-Calculation!$F$13)*$S$14," "),"")</f>
        <v/>
      </c>
      <c r="AP102" s="144" t="str">
        <f t="shared" si="241"/>
        <v/>
      </c>
      <c r="AQ102" s="56" t="str">
        <f t="shared" si="242"/>
        <v/>
      </c>
      <c r="AR102" s="144" t="str">
        <f t="shared" si="243"/>
        <v/>
      </c>
      <c r="AS102" s="176" t="str">
        <f t="shared" si="244"/>
        <v/>
      </c>
      <c r="AT102" s="176" t="str">
        <f t="shared" si="344"/>
        <v xml:space="preserve"> </v>
      </c>
      <c r="AU102" s="176" t="str">
        <f t="shared" si="245"/>
        <v/>
      </c>
      <c r="AV102" s="177" t="str">
        <f t="shared" si="246"/>
        <v xml:space="preserve"> </v>
      </c>
      <c r="AW102" s="144" t="str">
        <f t="shared" si="247"/>
        <v xml:space="preserve"> </v>
      </c>
      <c r="AX102" s="144" t="str">
        <f t="shared" si="248"/>
        <v xml:space="preserve"> </v>
      </c>
      <c r="AY102" s="152" t="str">
        <f t="shared" si="249"/>
        <v xml:space="preserve"> </v>
      </c>
      <c r="AZ102" s="246" t="str">
        <f t="shared" si="250"/>
        <v/>
      </c>
      <c r="BA102" s="176" t="str">
        <f t="shared" si="251"/>
        <v xml:space="preserve"> </v>
      </c>
      <c r="BB102" s="176" t="str">
        <f t="shared" si="252"/>
        <v xml:space="preserve"> </v>
      </c>
      <c r="BC102" s="195"/>
      <c r="BD102" s="316"/>
      <c r="BE102" s="317"/>
      <c r="BF102" s="318"/>
      <c r="BG102" s="318"/>
      <c r="BH102" s="144" t="str">
        <f t="shared" si="421"/>
        <v xml:space="preserve"> </v>
      </c>
      <c r="BI102" s="176" t="str">
        <f t="shared" si="253"/>
        <v/>
      </c>
      <c r="BJ102" s="144" t="str">
        <f t="shared" si="422"/>
        <v/>
      </c>
      <c r="BK102" s="246" t="str">
        <f t="shared" si="254"/>
        <v/>
      </c>
      <c r="BL102" s="144" t="str">
        <f t="shared" si="423"/>
        <v/>
      </c>
      <c r="BM102" s="246" t="str">
        <f t="shared" si="255"/>
        <v/>
      </c>
      <c r="BN102" s="337" t="str">
        <f t="shared" si="345"/>
        <v/>
      </c>
      <c r="BO102" s="371" t="str">
        <f t="shared" si="346"/>
        <v/>
      </c>
      <c r="BP102" s="328" t="str">
        <f t="shared" si="424"/>
        <v xml:space="preserve"> </v>
      </c>
      <c r="BQ102" s="347" t="str">
        <f t="shared" si="347"/>
        <v xml:space="preserve"> </v>
      </c>
      <c r="BR102" s="353" t="str">
        <f t="shared" si="348"/>
        <v xml:space="preserve"> </v>
      </c>
      <c r="BS102" s="626" t="str">
        <f>IF(L102&gt;0,IF(Calculation!P102="M13",BR102*3.1416*(0.134^2)/(4*144),IF(Calculation!P102="M17",BR102*3.1416*(0.165^2)/(4*144),IF(Calculation!P102="M20",BR102*3.1416*(0.198^2)/(4*144),IF(Calculation!P102="M23",BR102*3.1416*(0.228^2)/(4*144),IF(Calculation!P102="M27",BR102*3.1416*(0.269^2)/(4*144),BR102*3.1416*(0.307^2)/(4*144))))))," ")</f>
        <v xml:space="preserve"> </v>
      </c>
      <c r="BT102" s="353" t="str">
        <f>IF(L102&gt;0,IF(BS102&gt;0,R102/Calculation!BS102,0)," ")</f>
        <v xml:space="preserve"> </v>
      </c>
      <c r="BU102" s="438" t="e">
        <f t="shared" ca="1" si="256"/>
        <v>#VALUE!</v>
      </c>
      <c r="BV102" s="449" t="e">
        <f ca="1">INDEX(INDIRECT(VLOOKUP(LEFT(BO102,7),CLU!$Z$3:$AH$18,2)),GN102,GR102)</f>
        <v>#N/A</v>
      </c>
      <c r="BW102" s="433" t="e">
        <f ca="1">INDEX(INDIRECT(VLOOKUP(LEFT(BO102,7),CLU!$Z$3:$AH$18,3)),GN102,GR102)</f>
        <v>#N/A</v>
      </c>
      <c r="BX102" s="433" t="e">
        <f ca="1">INDEX(INDIRECT(VLOOKUP(LEFT(BO102,7),CLU!$Z$3:$AH$18,4)),GN102,GR102)</f>
        <v>#N/A</v>
      </c>
      <c r="BY102" s="433" t="e">
        <f ca="1">INDEX(INDIRECT(VLOOKUP(LEFT(BO102,7),CLU!$Z$3:$AH$18,9)),((M102-2)*(6-COUNTBLANK(GT102:GY102)))+GJ102)</f>
        <v>#N/A</v>
      </c>
      <c r="BZ102" s="426" t="e">
        <f t="shared" ca="1" si="349"/>
        <v>#N/A</v>
      </c>
      <c r="CA102" s="424" t="e">
        <f t="shared" ca="1" si="350"/>
        <v>#N/A</v>
      </c>
      <c r="CB102" s="429" t="e">
        <f ca="1">INDEX(INDIRECT(VLOOKUP(LEFT(BO102,7),CLU!$Z$3:$AH$18,2)),GN102,GS102)</f>
        <v>#N/A</v>
      </c>
      <c r="CC102" s="342" t="e">
        <f ca="1">INDEX(INDIRECT(VLOOKUP(LEFT(BO102,7),CLU!$Z$3:$AH$18,3)),GN102,GS102)</f>
        <v>#N/A</v>
      </c>
      <c r="CD102" s="342" t="e">
        <f ca="1">INDEX(INDIRECT(VLOOKUP(LEFT(BO102,7),CLU!$Z$3:$AH$18,4)),GN102,GS102)</f>
        <v>#N/A</v>
      </c>
      <c r="CE102" s="426" t="e">
        <f t="shared" ca="1" si="351"/>
        <v>#N/A</v>
      </c>
      <c r="CF102" s="440">
        <f t="shared" si="352"/>
        <v>0</v>
      </c>
      <c r="CG102" s="431" t="e">
        <f ca="1">INDEX(INDIRECT(VLOOKUP(LEFT(BO102,7),CLU!$Z$3:$AH$18,2)),GQ102,GR102)</f>
        <v>#N/A</v>
      </c>
      <c r="CH102" s="431" t="e">
        <f ca="1">INDEX(INDIRECT(VLOOKUP(LEFT(BO102,7),CLU!$Z$3:$AH$18,3)),GQ102,GR102)</f>
        <v>#N/A</v>
      </c>
      <c r="CI102" s="431" t="e">
        <f ca="1">INDEX(INDIRECT(VLOOKUP(LEFT(BO102,7),CLU!$Z$3:$AH$18,4)),GQ102,GR102)</f>
        <v>#N/A</v>
      </c>
      <c r="CJ102" s="448" t="e">
        <f t="shared" ca="1" si="353"/>
        <v>#N/A</v>
      </c>
      <c r="CK102" s="431" t="e">
        <f t="shared" ca="1" si="354"/>
        <v>#N/A</v>
      </c>
      <c r="CL102" s="440" t="e">
        <f t="shared" ca="1" si="355"/>
        <v>#N/A</v>
      </c>
      <c r="CM102" s="431" t="e">
        <f ca="1">INDEX(INDIRECT(VLOOKUP(LEFT(BO102,7),CLU!$Z$3:$AH$18,2)),GQ102,GS102)</f>
        <v>#N/A</v>
      </c>
      <c r="CN102" s="431" t="e">
        <f ca="1">INDEX(INDIRECT(VLOOKUP(LEFT(BO102,7),CLU!$Z$3:$AH$18,3)),GQ102,GS102)</f>
        <v>#N/A</v>
      </c>
      <c r="CO102" s="431" t="e">
        <f ca="1">INDEX(INDIRECT(VLOOKUP(LEFT(BO102,7),CLU!$Z$3:$AH$18,4)),GQ102,GS102)</f>
        <v>#N/A</v>
      </c>
      <c r="CP102" s="431" t="e">
        <f t="shared" ca="1" si="356"/>
        <v>#N/A</v>
      </c>
      <c r="CQ102" s="440">
        <f t="shared" si="357"/>
        <v>0</v>
      </c>
      <c r="CR102" s="51" t="e">
        <f t="shared" ca="1" si="358"/>
        <v>#N/A</v>
      </c>
      <c r="CS102" s="439" t="e">
        <f t="shared" ca="1" si="359"/>
        <v>#VALUE!</v>
      </c>
      <c r="CT102" s="51" t="e">
        <f t="shared" ca="1" si="360"/>
        <v>#VALUE!</v>
      </c>
      <c r="CU102" s="10"/>
      <c r="CV102" s="51" t="e">
        <f t="shared" ca="1" si="257"/>
        <v>#VALUE!</v>
      </c>
      <c r="CW102" s="51">
        <f t="shared" si="361"/>
        <v>0</v>
      </c>
      <c r="CX102" s="439" t="e">
        <f t="shared" ca="1" si="362"/>
        <v>#VALUE!</v>
      </c>
      <c r="CY102" s="51" t="e">
        <f t="shared" ca="1" si="363"/>
        <v>#VALUE!</v>
      </c>
      <c r="CZ102" s="10"/>
      <c r="DA102" s="51" t="e">
        <f t="shared" ca="1" si="364"/>
        <v>#VALUE!</v>
      </c>
      <c r="DB102" s="347" t="e">
        <f ca="1">INDEX(INDIRECT(VLOOKUP(LEFT(BO102,7),CLU!$Z$3:$AI$18,10)),((M102-2)*(6-COUNTBLANK(GT102:GY102)))+GJ102)*LI102</f>
        <v>#N/A</v>
      </c>
      <c r="DC102" s="347" t="str">
        <f>IF(L102&gt;0,((R102/Worksheet!$I$15)/DB102)^2," ")</f>
        <v xml:space="preserve"> </v>
      </c>
      <c r="DD102" s="602" t="str">
        <f t="shared" si="365"/>
        <v xml:space="preserve"> </v>
      </c>
      <c r="DE102" s="347" t="str">
        <f t="shared" si="258"/>
        <v xml:space="preserve"> </v>
      </c>
      <c r="DF102" s="356" t="e">
        <f ca="1">INDEX(INDIRECT(VLOOKUP(LEFT(BO102,7),CLU!$Z$3:$AH$18,8)),((M102-2)*(6-COUNTBLANK(GT102:GY102)))+GJ102)</f>
        <v>#N/A</v>
      </c>
      <c r="DG102" s="347" t="str">
        <f t="shared" si="259"/>
        <v xml:space="preserve"> </v>
      </c>
      <c r="DH102" s="357" t="str">
        <f t="shared" si="260"/>
        <v xml:space="preserve"> </v>
      </c>
      <c r="DI102" s="355" t="str">
        <f t="shared" si="261"/>
        <v xml:space="preserve"> </v>
      </c>
      <c r="DJ102" s="245" t="e">
        <f ca="1">INDEX(INDIRECT(VLOOKUP(LEFT(BO102,7),CLU!$Z$3:$AH$18,5)),GL102,GK102)</f>
        <v>#N/A</v>
      </c>
      <c r="DK102" s="245" t="e">
        <f ca="1">INDEX(INDIRECT(VLOOKUP(LEFT(BO102,7),CLU!$Z$3:$AH$18,6)),GL102,GK102)</f>
        <v>#N/A</v>
      </c>
      <c r="DL102" s="355">
        <f>(Calculation!R102*0.69143*(Calculation!$BQ$8-Calculation!$F$8))*$S$14</f>
        <v>0</v>
      </c>
      <c r="DM102" s="359" t="e">
        <f t="shared" si="366"/>
        <v>#VALUE!</v>
      </c>
      <c r="DN102" s="611">
        <f t="shared" si="367"/>
        <v>0</v>
      </c>
      <c r="DO102" s="359">
        <f t="shared" si="368"/>
        <v>100</v>
      </c>
      <c r="DP102" s="359">
        <f t="shared" si="369"/>
        <v>0</v>
      </c>
      <c r="DQ102" s="360"/>
      <c r="DR102" s="245" t="e">
        <f ca="1">INDEX(INDIRECT(VLOOKUP(LEFT(BO102,7),CLU!$Z$3:$AH$18,7)),M102-1,1)</f>
        <v>#N/A</v>
      </c>
      <c r="DS102" s="245" t="e">
        <f ca="1">INDEX(INDIRECT(VLOOKUP(LEFT(BO102,7),CLU!$Z$3:$AH$18,7)),M102-1,2)</f>
        <v>#N/A</v>
      </c>
      <c r="DT102" s="245" t="e">
        <f ca="1">INDEX(INDIRECT(VLOOKUP(LEFT(BO102,7),CLU!$Z$3:$AH$18,7)),M102-1,3)</f>
        <v>#N/A</v>
      </c>
      <c r="DU102" s="245" t="e">
        <f ca="1">INDEX(INDIRECT(VLOOKUP(LEFT(BO102,7),CLU!$Z$3:$AH$18,7)),M102-1,4)</f>
        <v>#N/A</v>
      </c>
      <c r="DV102" s="361" t="e">
        <f ca="1">INDEX(INDIRECT(VLOOKUP(LEFT(BO102,7),CLU!$Z$3:$AH$18,7)),M102-1,4+LEFT(DZ102,1)*0.5)</f>
        <v>#N/A</v>
      </c>
      <c r="DW102" s="245" t="e">
        <f ca="1">INDEX(INDIRECT(VLOOKUP(LEFT(BO102,7),CLU!$Z$3:$AH$18,7)),M102-1,8)</f>
        <v>#N/A</v>
      </c>
      <c r="DX102" s="361" t="str">
        <f t="shared" si="262"/>
        <v xml:space="preserve"> </v>
      </c>
      <c r="DY102" s="361" t="str">
        <f t="shared" si="263"/>
        <v xml:space="preserve"> </v>
      </c>
      <c r="DZ102" s="361" t="str">
        <f t="shared" si="264"/>
        <v xml:space="preserve"> </v>
      </c>
      <c r="EA102" s="362" t="str">
        <f t="shared" si="265"/>
        <v xml:space="preserve"> </v>
      </c>
      <c r="EB102" s="624" t="str">
        <f t="shared" si="370"/>
        <v xml:space="preserve"> </v>
      </c>
      <c r="EC102" s="361" t="e">
        <f ca="1">INDEX(INDIRECT(VLOOKUP(LEFT(BO102,7),CLU!$Z$3:$AH$18,7)),M102-1,4+LEFT(DZ102,1)*0.5)</f>
        <v>#N/A</v>
      </c>
      <c r="ED102" s="362" t="str">
        <f t="shared" si="266"/>
        <v xml:space="preserve"> </v>
      </c>
      <c r="EE102" s="361" t="str">
        <f t="shared" si="267"/>
        <v xml:space="preserve"> </v>
      </c>
      <c r="EF102" s="362" t="str">
        <f>IF(L102&gt;0,IF(BR102&gt;0,IF(EE102="2P",IF(Calculation!DZ102="2P",IF(Calculation!DS102=13.75,IF(Calculation!DR102=13,Worksheet!$BD$43,IF(Calculation!DR102=37,Worksheet!$BD$44,Worksheet!$BD$45)),IF(Calculation!DS102=10,IF(Calculation!DR102=18,Worksheet!$BD$29,IF(Calculation!DR102=30,Worksheet!$BD$30,IF(Calculation!DR102=42,Worksheet!$BD$31,IF(Calculation!DR102=54,Worksheet!$BD$32,IF(Calculation!DR102=66,Worksheet!$BD$33,IF(Calculation!DR102=78,Worksheet!$BD$34,IF(Calculation!DR102=90,Worksheet!$BD$35,IF(Calculation!DR102=102,Worksheet!$BD$36,Worksheet!$BD$37)))))))),IF(Calculation!DS102=12.5,IF(Calculation!DR102=18,Worksheet!$BD$38,IF(Calculation!DR102=Worksheet!$BD$39,IF(Calculation!DR102=42,Worksheet!$BD$40,IF(Calculation!DR102=54,Worksheet!$BD$41,Worksheet!$BD$42)))),IF(Calculation!DR102=18,Worksheet!$BD$11,IF(Calculation!DR102=30,Worksheet!$BD$12,IF(Calculation!DR102=42,Worksheet!$BD$13,IF(Calculation!DR102=54,Worksheet!$BD$14,IF(Calculation!DR102=66,Worksheet!$BD$15,IF(Calculation!DR102=78,Worksheet!$BD$16,IF(Calculation!DR102=90,Worksheet!$BD$17,IF(Calculation!DR102=102,Worksheet!$BD$18,Worksheet!$BD$19))))))))))),IF(Calculation!DS102=13.75,IF(Calculation!DR102=13,Worksheet!$BD$78,IF(Calculation!DR102=37,Worksheet!$BD$79,Worksheet!$BD$80)),IF(Calculation!DS102=10,IF(Calculation!DR102=18,Worksheet!$BD$64,IF(Calculation!DR102=30,Worksheet!$BD$65,IF(Calculation!DR102=42,Worksheet!$BD$66,IF(Calculation!DR102=54,Worksheet!$BD$68,IF(Calculation!DR102=66,Worksheet!$BD$68,IF(Calculation!DR102=78,Worksheet!$BD$69,IF(Calculation!DR102=90,Worksheet!$BD$70,IF(Calculation!DR102=102,Worksheet!$BD$71,Worksheet!$BD$72)))))))),IF(Calculation!DS102=12.5,IF(Calculation!DR102=18,Worksheet!$BD$73,IF(Calculation!DR102=Worksheet!$BD$74,IF(Calculation!DR102=42,Worksheet!$BD$75,IF(Calculation!DR102=54,Worksheet!$BD$76,Worksheet!$BD$77)))),IF(Calculation!DR102=18,Worksheet!$BD$55,IF(Calculation!DR102=30,Worksheet!$BD$56,IF(Calculation!DR102=42,Worksheet!$BD$57,IF(Calculation!DR102=54,Worksheet!$BD$58,IF(Calculation!DR102=66,Worksheet!$BD$59,IF(Calculation!DR102=78,Worksheet!$BD$60,IF(Calculation!DR102=90,Worksheet!$BD$61,IF(Calculation!DR102=102,Worksheet!$BD$62,Worksheet!$BD$63)))))))))))),5),0)," ")</f>
        <v xml:space="preserve"> </v>
      </c>
      <c r="EG102" s="361" t="str">
        <f t="shared" si="268"/>
        <v xml:space="preserve"> </v>
      </c>
      <c r="EH102" s="361" t="e">
        <f ca="1">INDEX(INDIRECT(VLOOKUP(LEFT(BO102,7),CLU!$Z$3:$AH$18,7)),M102-1,3+LEFT(DZ102,1))</f>
        <v>#N/A</v>
      </c>
      <c r="EI102" s="362" t="str">
        <f t="shared" si="269"/>
        <v xml:space="preserve"> </v>
      </c>
      <c r="EJ102" s="363" t="str">
        <f t="shared" si="270"/>
        <v xml:space="preserve"> </v>
      </c>
      <c r="EK102" s="363" t="str">
        <f t="shared" si="271"/>
        <v xml:space="preserve"> </v>
      </c>
      <c r="EL102" s="363" t="str">
        <f t="shared" si="272"/>
        <v xml:space="preserve"> </v>
      </c>
      <c r="EM102" s="362" t="str">
        <f>IF(L102&gt;0,IF(BR102&gt;0,(Calculation!T102/ED102)^2,0)," ")</f>
        <v xml:space="preserve"> </v>
      </c>
      <c r="EN102" s="362" t="str">
        <f>IF(L102&gt;0,IF(O102="2 Pipe (Cooling)","N/A",IF(BR102&gt;0,(Calculation!U102/EI102)^2,0))," ")</f>
        <v xml:space="preserve"> </v>
      </c>
      <c r="EO102" s="361" t="str">
        <f t="shared" si="273"/>
        <v/>
      </c>
      <c r="EP102" s="361" t="str">
        <f t="shared" si="274"/>
        <v/>
      </c>
      <c r="EQ102" s="361" t="str">
        <f t="shared" si="275"/>
        <v/>
      </c>
      <c r="ER102" s="361" t="str">
        <f t="shared" si="276"/>
        <v/>
      </c>
      <c r="ES102" s="361" t="str">
        <f t="shared" si="277"/>
        <v/>
      </c>
      <c r="ET102" s="361" t="str">
        <f t="shared" si="278"/>
        <v/>
      </c>
      <c r="EU102" s="361" t="str">
        <f t="shared" si="279"/>
        <v/>
      </c>
      <c r="EV102" s="361" t="str">
        <f t="shared" si="280"/>
        <v/>
      </c>
      <c r="EW102" s="361" t="str">
        <f t="shared" si="281"/>
        <v/>
      </c>
      <c r="EX102" s="361" t="str">
        <f t="shared" si="371"/>
        <v>1 slot, 1 way</v>
      </c>
      <c r="EY102" s="361" t="str">
        <f t="shared" si="372"/>
        <v xml:space="preserve"> </v>
      </c>
      <c r="EZ102" s="361" t="str">
        <f t="shared" si="373"/>
        <v xml:space="preserve"> </v>
      </c>
      <c r="FA102" s="361" t="str">
        <f t="shared" si="374"/>
        <v xml:space="preserve"> </v>
      </c>
      <c r="FB102" s="361" t="str">
        <f t="shared" si="375"/>
        <v xml:space="preserve"> </v>
      </c>
      <c r="FC102" s="361"/>
      <c r="FD102" s="361" t="str">
        <f>IF(J102&gt;0,IF(Calculation!R102&lt;=70,4,IF(Calculation!R102&lt;=110,5,IF(Calculation!R102&lt;=160,6,IF(Calculation!R102&lt;=300,8,"10 EO")))),"")</f>
        <v/>
      </c>
      <c r="FE102" s="361" t="str">
        <f t="shared" si="376"/>
        <v/>
      </c>
      <c r="FF102" s="361" t="str">
        <f t="shared" si="377"/>
        <v/>
      </c>
      <c r="FG102" s="361" t="e">
        <f t="shared" si="282"/>
        <v>#N/A</v>
      </c>
      <c r="FH102" s="361">
        <f t="shared" si="283"/>
        <v>0</v>
      </c>
      <c r="FI102" s="361" t="e">
        <f t="shared" si="284"/>
        <v>#DIV/0!</v>
      </c>
      <c r="FJ102" s="361"/>
      <c r="FK102" s="356" t="e">
        <f t="shared" si="285"/>
        <v>#VALUE!</v>
      </c>
      <c r="FL102" s="361"/>
      <c r="FM102" s="361"/>
      <c r="FN102" s="362" t="str">
        <f t="shared" si="378"/>
        <v xml:space="preserve"> </v>
      </c>
      <c r="FO102" s="362" t="str">
        <f t="shared" si="379"/>
        <v xml:space="preserve"> </v>
      </c>
      <c r="FP102" s="362">
        <f t="shared" si="380"/>
        <v>0</v>
      </c>
      <c r="FQ102" s="361">
        <f t="shared" si="286"/>
        <v>0</v>
      </c>
      <c r="FR102" s="362" t="str">
        <f>IF(L102&gt;0,IF(J102="CBAL2",Worksheet!$P$67,IF(J102="CBE2-24",Worksheet!$Q$67,IF(J102="CBAM",Worksheet!$R$67,IF(J102="CBLV",Worksheet!$S$67,IF(J102="CBAB",Worksheet!$U$67,IF(J102="CBAW",Worksheet!$X$67,IF(J102="CBE2-12",Worksheet!$Y$67,IF(J102="CBAL2",Worksheet!$Z$67,"N/A"))))))))," ")</f>
        <v xml:space="preserve"> </v>
      </c>
      <c r="FS102" s="362" t="str">
        <f>IF(L102&gt;0,IF(J102="CBAL2",Worksheet!$P$68,IF(J102="CBE2-24",Worksheet!$Q$68,IF(J102="CBAM",Worksheet!$R$68,IF(J102="CBLV",Worksheet!$S$68,IF(J102="CBAB",Worksheet!$U$68,IF(J102="CBAW",Worksheet!$X$68,IF(J102="CBE2-12",Worksheet!$Y$68,IF(J102="CBAL2",Worksheet!$Z$68,"N/A"))))))))," ")</f>
        <v xml:space="preserve"> </v>
      </c>
      <c r="FT102" s="362" t="str">
        <f>IF(L102&gt;0,IF(J102="CBAL2",Worksheet!$P$69,IF(J102="CBE2-24",Worksheet!$Q$69,IF(J102="CBAM",Worksheet!$R$69,IF(J102="CBLV",Worksheet!$S$69,IF(J102="CBAB",Worksheet!$U$69,IF(J102="CBAW",Worksheet!$X$69,IF(J102="CBE2-12",Worksheet!$Y$69,IF(J102="CBAL2",Worksheet!$Z$69,"N/A"))))))))," ")</f>
        <v xml:space="preserve"> </v>
      </c>
      <c r="FU102" s="361" t="str">
        <f t="shared" si="381"/>
        <v xml:space="preserve"> </v>
      </c>
      <c r="FV102" s="362" t="str">
        <f t="shared" si="382"/>
        <v xml:space="preserve"> </v>
      </c>
      <c r="FW102" s="362" t="str">
        <f t="shared" si="383"/>
        <v xml:space="preserve"> </v>
      </c>
      <c r="FX102" s="362" t="str">
        <f t="shared" si="384"/>
        <v xml:space="preserve"> </v>
      </c>
      <c r="FY102" s="355" t="str">
        <f t="shared" si="385"/>
        <v xml:space="preserve"> </v>
      </c>
      <c r="FZ102" s="361" t="str">
        <f t="shared" si="386"/>
        <v xml:space="preserve"> </v>
      </c>
      <c r="GA102" s="347" t="str">
        <f t="shared" si="387"/>
        <v xml:space="preserve"> </v>
      </c>
      <c r="GB102" s="355" t="str">
        <f t="shared" si="388"/>
        <v xml:space="preserve"> </v>
      </c>
      <c r="GC102" s="328" t="str">
        <f t="shared" si="389"/>
        <v xml:space="preserve"> </v>
      </c>
      <c r="GD102" s="361" t="str">
        <f t="shared" si="390"/>
        <v xml:space="preserve"> </v>
      </c>
      <c r="GE102" s="347" t="str">
        <f t="shared" si="391"/>
        <v xml:space="preserve"> </v>
      </c>
      <c r="GF102" s="361" t="str">
        <f t="shared" si="392"/>
        <v xml:space="preserve"> </v>
      </c>
      <c r="GG102" s="347" t="str">
        <f t="shared" si="393"/>
        <v xml:space="preserve"> </v>
      </c>
      <c r="GH102" s="364">
        <f t="shared" si="287"/>
        <v>0</v>
      </c>
      <c r="GI102" s="362">
        <f t="shared" si="394"/>
        <v>2</v>
      </c>
      <c r="GJ102" s="433" t="e">
        <f>IF(6-COUNTBLANK(GT102:GY102)=4,MATCH(MID(BO102,9,3),CLU!$H$16:$K$16),MATCH(MID(BO102,9,3),CLU!$H$13:$M$13))</f>
        <v>#N/A</v>
      </c>
      <c r="GK102" s="433" t="e">
        <f>HLOOKUP(VALUE(BP102),CLU!$H$9:$M$10,2)</f>
        <v>#VALUE!</v>
      </c>
      <c r="GL102" s="433" t="e">
        <f ca="1">MATCH(BU102,CLU!$H$2:$V$2,1)</f>
        <v>#VALUE!</v>
      </c>
      <c r="GM102" s="433" t="e">
        <f t="shared" ca="1" si="395"/>
        <v>#VALUE!</v>
      </c>
      <c r="GN102" s="433" t="e">
        <f t="shared" ca="1" si="396"/>
        <v>#VALUE!</v>
      </c>
      <c r="GO102" s="433" t="e">
        <f t="shared" ca="1" si="397"/>
        <v>#VALUE!</v>
      </c>
      <c r="GP102" s="433" t="e">
        <f t="shared" ca="1" si="398"/>
        <v>#VALUE!</v>
      </c>
      <c r="GQ102" s="433" t="e">
        <f t="shared" ca="1" si="399"/>
        <v>#VALUE!</v>
      </c>
      <c r="GR102" s="433" t="e">
        <f ca="1">MATCH(T102,INDIRECT(VLOOKUP(CONCATENATE(LEFT(BO102,7),"-",MID(BO102,13,1)),CLU!$P$3:$Q$16,2)),1)</f>
        <v>#N/A</v>
      </c>
      <c r="GS102" s="433" t="e">
        <f ca="1">MATCH(U102,INDIRECT(VLOOKUP(CONCATENATE(LEFT(BO102,7),"-",MID(BO102,13,1)),CLU!$P$3:$Q$16,2)),1)</f>
        <v>#N/A</v>
      </c>
      <c r="GT102" s="347" t="s">
        <v>512</v>
      </c>
      <c r="GU102" s="97" t="s">
        <v>513</v>
      </c>
      <c r="GV102" s="97" t="str">
        <f t="shared" si="400"/>
        <v>M23</v>
      </c>
      <c r="GW102" s="97" t="str">
        <f t="shared" si="401"/>
        <v>M31</v>
      </c>
      <c r="GX102" s="97" t="str">
        <f t="shared" si="402"/>
        <v/>
      </c>
      <c r="GY102" s="97" t="str">
        <f t="shared" si="403"/>
        <v/>
      </c>
      <c r="GZ102" s="481"/>
      <c r="HA102" s="288"/>
      <c r="HB102" s="240"/>
      <c r="HC102" s="240"/>
      <c r="HD102" s="240"/>
      <c r="HE102" s="240"/>
      <c r="HF102" s="240"/>
      <c r="HG102" s="240"/>
      <c r="HH102" s="240"/>
      <c r="HI102" s="240"/>
      <c r="HJ102" s="240"/>
      <c r="HK102" s="240"/>
      <c r="HL102" s="240"/>
      <c r="HM102" s="240"/>
      <c r="HN102" s="240"/>
      <c r="HO102" s="240"/>
      <c r="HP102" s="240"/>
      <c r="HQ102" s="240"/>
      <c r="HR102" s="240"/>
      <c r="HS102" s="240"/>
      <c r="HT102" s="240"/>
      <c r="HU102" s="240"/>
      <c r="HV102" s="245"/>
      <c r="HW102" s="245" t="b">
        <v>1</v>
      </c>
      <c r="HX102" s="245" t="str">
        <f t="shared" si="288"/>
        <v/>
      </c>
      <c r="HY102" s="245" t="e">
        <f t="shared" si="289"/>
        <v>#DIV/0!</v>
      </c>
      <c r="HZ102" s="245" t="e">
        <f t="shared" si="290"/>
        <v>#DIV/0!</v>
      </c>
      <c r="IA102" s="245">
        <f t="shared" si="291"/>
        <v>0</v>
      </c>
      <c r="IB102" s="245"/>
      <c r="IC102" t="b">
        <f t="shared" si="292"/>
        <v>1</v>
      </c>
      <c r="ID102" s="245" t="b">
        <f t="shared" si="293"/>
        <v>1</v>
      </c>
      <c r="IE102" s="245" t="b">
        <f t="shared" si="294"/>
        <v>1</v>
      </c>
      <c r="IF102" s="245" t="b">
        <f t="shared" si="295"/>
        <v>0</v>
      </c>
      <c r="IG102" s="245" t="b">
        <f t="shared" si="296"/>
        <v>1</v>
      </c>
      <c r="IH102" s="245" t="b">
        <f t="shared" si="297"/>
        <v>1</v>
      </c>
      <c r="II102" s="245">
        <f t="shared" si="404"/>
        <v>0</v>
      </c>
      <c r="IJ102" s="245" t="e">
        <f t="shared" si="298"/>
        <v>#VALUE!</v>
      </c>
      <c r="IK102" s="245" t="e">
        <f t="shared" si="299"/>
        <v>#VALUE!</v>
      </c>
      <c r="IL102" s="245"/>
      <c r="IM102" s="245" t="e">
        <f t="shared" si="405"/>
        <v>#N/A</v>
      </c>
      <c r="IN102" s="245" t="e">
        <f t="shared" si="406"/>
        <v>#N/A</v>
      </c>
      <c r="IO102" s="245"/>
      <c r="IP102" s="245"/>
      <c r="IQ102" s="245" t="str">
        <f t="shared" si="300"/>
        <v/>
      </c>
      <c r="IR102" s="245" t="str">
        <f>IF(J102="","",VLOOKUP(J102,Worksheet!$R$4:$T$14,2))</f>
        <v/>
      </c>
      <c r="IS102" s="245"/>
      <c r="IT102" s="245">
        <f t="shared" si="301"/>
        <v>0</v>
      </c>
      <c r="IU102" s="245">
        <f t="shared" si="302"/>
        <v>0</v>
      </c>
      <c r="IV102" s="245">
        <f t="shared" si="303"/>
        <v>0</v>
      </c>
      <c r="IW102" s="245">
        <f t="shared" si="304"/>
        <v>0</v>
      </c>
      <c r="IX102" s="245">
        <f t="shared" si="407"/>
        <v>0</v>
      </c>
      <c r="IY102" s="245">
        <f t="shared" si="305"/>
        <v>0</v>
      </c>
      <c r="IZ102" s="245">
        <f t="shared" si="306"/>
        <v>0</v>
      </c>
      <c r="JA102">
        <f t="shared" si="307"/>
        <v>0</v>
      </c>
      <c r="JB102">
        <f t="shared" si="408"/>
        <v>0</v>
      </c>
      <c r="JC102">
        <f t="shared" si="308"/>
        <v>0</v>
      </c>
      <c r="JD102">
        <f t="shared" si="309"/>
        <v>0</v>
      </c>
      <c r="JE102">
        <f t="shared" si="310"/>
        <v>0</v>
      </c>
      <c r="JF102">
        <f t="shared" si="311"/>
        <v>0</v>
      </c>
      <c r="JG102">
        <f t="shared" si="312"/>
        <v>0</v>
      </c>
      <c r="JH102">
        <f t="shared" si="313"/>
        <v>0</v>
      </c>
      <c r="JI102">
        <f t="shared" si="314"/>
        <v>0</v>
      </c>
      <c r="JJ102" s="447">
        <f t="shared" si="315"/>
        <v>0</v>
      </c>
      <c r="JK102" s="447">
        <f t="shared" si="316"/>
        <v>0</v>
      </c>
      <c r="JL102">
        <f t="shared" si="317"/>
        <v>0</v>
      </c>
      <c r="JM102" s="245" t="str">
        <f>IFERROR(VLOOKUP(MATCH(BN102,#REF!,0),#REF!,7),"")</f>
        <v/>
      </c>
      <c r="JN102" t="e">
        <f>HLOOKUP(LEFT(BO102,7),Discharge_Area,MATCH(JO102,LookUps!$B$130:$B$149,1)+2)</f>
        <v>#N/A</v>
      </c>
      <c r="JO102" t="str">
        <f t="shared" si="318"/>
        <v>- S</v>
      </c>
      <c r="JP102" t="e">
        <f>HLOOKUP(LEFT(BO102,7),Discharge_Area,MATCH(JO102,LookUps!$B$130:$B$149,1)+2)</f>
        <v>#N/A</v>
      </c>
      <c r="JQ102" t="e">
        <f t="shared" si="319"/>
        <v>#N/A</v>
      </c>
      <c r="JR102" t="e">
        <f t="shared" si="320"/>
        <v>#N/A</v>
      </c>
      <c r="JS102" t="e">
        <f t="shared" si="321"/>
        <v>#N/A</v>
      </c>
      <c r="JT102" s="532" t="str">
        <f t="shared" si="322"/>
        <v xml:space="preserve"> </v>
      </c>
      <c r="JU102" s="532" t="str">
        <f t="shared" si="323"/>
        <v xml:space="preserve"> </v>
      </c>
      <c r="JV102" s="533" t="str">
        <f t="shared" si="324"/>
        <v xml:space="preserve"> </v>
      </c>
      <c r="JW102" s="534">
        <f t="shared" si="325"/>
        <v>0</v>
      </c>
      <c r="JX102" s="535" t="str">
        <f t="shared" si="409"/>
        <v xml:space="preserve"> </v>
      </c>
      <c r="JY102" s="535" t="str">
        <f t="shared" si="410"/>
        <v xml:space="preserve"> </v>
      </c>
      <c r="JZ102" s="535" t="str">
        <f t="shared" si="411"/>
        <v xml:space="preserve"> </v>
      </c>
      <c r="KA102" s="536" t="str">
        <f t="shared" si="326"/>
        <v xml:space="preserve"> </v>
      </c>
      <c r="KB102" s="535" t="e">
        <f t="shared" si="412"/>
        <v>#VALUE!</v>
      </c>
      <c r="KC102" s="535" t="str">
        <f t="shared" si="327"/>
        <v/>
      </c>
      <c r="KD102" s="537" t="str">
        <f t="shared" si="413"/>
        <v xml:space="preserve"> </v>
      </c>
      <c r="KE102" s="537" t="str">
        <f t="shared" si="414"/>
        <v xml:space="preserve"> </v>
      </c>
      <c r="KF102" s="534">
        <f t="shared" si="328"/>
        <v>0</v>
      </c>
      <c r="KG102" s="535" t="str">
        <f t="shared" si="329"/>
        <v xml:space="preserve"> </v>
      </c>
      <c r="KH102" s="535" t="str">
        <f t="shared" si="330"/>
        <v xml:space="preserve"> </v>
      </c>
      <c r="KI102" s="535" t="str">
        <f t="shared" si="331"/>
        <v xml:space="preserve"> </v>
      </c>
      <c r="KJ102" s="536" t="str">
        <f t="shared" si="332"/>
        <v xml:space="preserve"> </v>
      </c>
      <c r="KK102" s="535" t="str">
        <f t="shared" si="415"/>
        <v xml:space="preserve"> </v>
      </c>
      <c r="KL102" s="535" t="str">
        <f t="shared" si="416"/>
        <v xml:space="preserve"> </v>
      </c>
      <c r="KM102" s="537" t="str">
        <f t="shared" si="333"/>
        <v xml:space="preserve"> </v>
      </c>
      <c r="KN102" s="537" t="str">
        <f t="shared" si="417"/>
        <v xml:space="preserve"> </v>
      </c>
      <c r="KP102">
        <f t="shared" si="334"/>
        <v>0</v>
      </c>
      <c r="LA102" t="e">
        <f t="shared" si="335"/>
        <v>#VALUE!</v>
      </c>
      <c r="LB102" t="e">
        <f t="shared" si="336"/>
        <v>#VALUE!</v>
      </c>
      <c r="LC102" t="e">
        <f t="shared" si="337"/>
        <v>#VALUE!</v>
      </c>
      <c r="LD102" t="e">
        <f t="shared" si="338"/>
        <v>#VALUE!</v>
      </c>
      <c r="LE102" t="e">
        <f t="shared" si="418"/>
        <v>#VALUE!</v>
      </c>
      <c r="LF102">
        <f t="shared" si="339"/>
        <v>0</v>
      </c>
      <c r="LG102" t="e">
        <f t="shared" si="419"/>
        <v>#VALUE!</v>
      </c>
      <c r="LH102" t="str">
        <f t="shared" si="340"/>
        <v xml:space="preserve"> </v>
      </c>
      <c r="LI102">
        <f t="shared" si="420"/>
        <v>1</v>
      </c>
    </row>
    <row r="103" spans="2:321" ht="15" customHeight="1">
      <c r="B103" s="311"/>
      <c r="C103" s="311"/>
      <c r="D103" s="312"/>
      <c r="E103" s="311"/>
      <c r="F103" s="312"/>
      <c r="G103" s="311"/>
      <c r="H103" s="311"/>
      <c r="I103" s="37"/>
      <c r="J103" s="311"/>
      <c r="K103" s="305" t="str">
        <f t="shared" si="341"/>
        <v/>
      </c>
      <c r="L103" s="313"/>
      <c r="M103" s="312"/>
      <c r="N103" s="311"/>
      <c r="O103" s="312"/>
      <c r="P103" s="311"/>
      <c r="Q103" s="305" t="str">
        <f t="shared" si="342"/>
        <v/>
      </c>
      <c r="R103" s="314"/>
      <c r="S103" s="450" t="str">
        <f t="shared" si="225"/>
        <v/>
      </c>
      <c r="T103" s="315"/>
      <c r="U103" s="315"/>
      <c r="W103" s="149" t="str">
        <f t="shared" si="226"/>
        <v xml:space="preserve"> </v>
      </c>
      <c r="X103" s="243" t="str">
        <f t="shared" si="227"/>
        <v xml:space="preserve"> </v>
      </c>
      <c r="Y103" s="150" t="str">
        <f t="shared" si="228"/>
        <v/>
      </c>
      <c r="Z103" s="149" t="str">
        <f t="shared" si="229"/>
        <v xml:space="preserve"> </v>
      </c>
      <c r="AA103" s="98" t="str">
        <f t="shared" si="230"/>
        <v xml:space="preserve"> </v>
      </c>
      <c r="AB103" s="153" t="str">
        <f t="shared" si="231"/>
        <v xml:space="preserve"> </v>
      </c>
      <c r="AC103" s="153" t="str">
        <f t="shared" si="232"/>
        <v xml:space="preserve"> </v>
      </c>
      <c r="AD103" s="148" t="str">
        <f t="shared" si="233"/>
        <v/>
      </c>
      <c r="AE103" s="149" t="str">
        <f t="shared" si="234"/>
        <v/>
      </c>
      <c r="AF103" s="151" t="str">
        <f t="shared" si="235"/>
        <v xml:space="preserve"> </v>
      </c>
      <c r="AG103" s="153" t="str">
        <f t="shared" si="236"/>
        <v xml:space="preserve"> </v>
      </c>
      <c r="AH103" s="98" t="str">
        <f t="shared" si="237"/>
        <v xml:space="preserve"> </v>
      </c>
      <c r="AI103" s="149" t="str">
        <f t="shared" si="238"/>
        <v xml:space="preserve"> </v>
      </c>
      <c r="AK103" s="144" t="str">
        <f t="shared" si="239"/>
        <v xml:space="preserve"> </v>
      </c>
      <c r="AL103" s="144"/>
      <c r="AM103" s="243" t="str">
        <f t="shared" si="240"/>
        <v xml:space="preserve"> </v>
      </c>
      <c r="AN103" s="149" t="str">
        <f t="shared" si="343"/>
        <v xml:space="preserve"> </v>
      </c>
      <c r="AO103" s="144" t="str">
        <f>IF(JB103&gt;0,IF(GI103=10,-R103*1.085*(Calculation!$F$6-Calculation!$F$13)*$S$14," "),"")</f>
        <v/>
      </c>
      <c r="AP103" s="144" t="str">
        <f t="shared" si="241"/>
        <v/>
      </c>
      <c r="AQ103" s="56" t="str">
        <f t="shared" si="242"/>
        <v/>
      </c>
      <c r="AR103" s="144" t="str">
        <f t="shared" si="243"/>
        <v/>
      </c>
      <c r="AS103" s="176" t="str">
        <f t="shared" si="244"/>
        <v/>
      </c>
      <c r="AT103" s="176" t="str">
        <f t="shared" si="344"/>
        <v xml:space="preserve"> </v>
      </c>
      <c r="AU103" s="176" t="str">
        <f t="shared" si="245"/>
        <v/>
      </c>
      <c r="AV103" s="177" t="str">
        <f t="shared" si="246"/>
        <v xml:space="preserve"> </v>
      </c>
      <c r="AW103" s="144" t="str">
        <f t="shared" si="247"/>
        <v xml:space="preserve"> </v>
      </c>
      <c r="AX103" s="144" t="str">
        <f t="shared" si="248"/>
        <v xml:space="preserve"> </v>
      </c>
      <c r="AY103" s="152" t="str">
        <f t="shared" si="249"/>
        <v xml:space="preserve"> </v>
      </c>
      <c r="AZ103" s="246" t="str">
        <f t="shared" si="250"/>
        <v/>
      </c>
      <c r="BA103" s="176" t="str">
        <f t="shared" si="251"/>
        <v xml:space="preserve"> </v>
      </c>
      <c r="BB103" s="176" t="str">
        <f t="shared" si="252"/>
        <v xml:space="preserve"> </v>
      </c>
      <c r="BC103" s="195"/>
      <c r="BD103" s="316"/>
      <c r="BE103" s="317"/>
      <c r="BF103" s="318"/>
      <c r="BG103" s="318"/>
      <c r="BH103" s="144" t="str">
        <f t="shared" si="421"/>
        <v xml:space="preserve"> </v>
      </c>
      <c r="BI103" s="176" t="str">
        <f t="shared" si="253"/>
        <v/>
      </c>
      <c r="BJ103" s="144" t="str">
        <f t="shared" si="422"/>
        <v/>
      </c>
      <c r="BK103" s="246" t="str">
        <f t="shared" si="254"/>
        <v/>
      </c>
      <c r="BL103" s="144" t="str">
        <f t="shared" si="423"/>
        <v/>
      </c>
      <c r="BM103" s="246" t="str">
        <f t="shared" si="255"/>
        <v/>
      </c>
      <c r="BN103" s="337" t="str">
        <f t="shared" si="345"/>
        <v/>
      </c>
      <c r="BO103" s="371" t="str">
        <f t="shared" si="346"/>
        <v/>
      </c>
      <c r="BP103" s="328" t="str">
        <f t="shared" si="424"/>
        <v xml:space="preserve"> </v>
      </c>
      <c r="BQ103" s="347" t="str">
        <f t="shared" si="347"/>
        <v xml:space="preserve"> </v>
      </c>
      <c r="BR103" s="353" t="str">
        <f t="shared" si="348"/>
        <v xml:space="preserve"> </v>
      </c>
      <c r="BS103" s="626" t="str">
        <f>IF(L103&gt;0,IF(Calculation!P103="M13",BR103*3.1416*(0.134^2)/(4*144),IF(Calculation!P103="M17",BR103*3.1416*(0.165^2)/(4*144),IF(Calculation!P103="M20",BR103*3.1416*(0.198^2)/(4*144),IF(Calculation!P103="M23",BR103*3.1416*(0.228^2)/(4*144),IF(Calculation!P103="M27",BR103*3.1416*(0.269^2)/(4*144),BR103*3.1416*(0.307^2)/(4*144))))))," ")</f>
        <v xml:space="preserve"> </v>
      </c>
      <c r="BT103" s="353" t="str">
        <f>IF(L103&gt;0,IF(BS103&gt;0,R103/Calculation!BS103,0)," ")</f>
        <v xml:space="preserve"> </v>
      </c>
      <c r="BU103" s="438" t="e">
        <f t="shared" ca="1" si="256"/>
        <v>#VALUE!</v>
      </c>
      <c r="BV103" s="449" t="e">
        <f ca="1">INDEX(INDIRECT(VLOOKUP(LEFT(BO103,7),CLU!$Z$3:$AH$18,2)),GN103,GR103)</f>
        <v>#N/A</v>
      </c>
      <c r="BW103" s="433" t="e">
        <f ca="1">INDEX(INDIRECT(VLOOKUP(LEFT(BO103,7),CLU!$Z$3:$AH$18,3)),GN103,GR103)</f>
        <v>#N/A</v>
      </c>
      <c r="BX103" s="433" t="e">
        <f ca="1">INDEX(INDIRECT(VLOOKUP(LEFT(BO103,7),CLU!$Z$3:$AH$18,4)),GN103,GR103)</f>
        <v>#N/A</v>
      </c>
      <c r="BY103" s="433" t="e">
        <f ca="1">INDEX(INDIRECT(VLOOKUP(LEFT(BO103,7),CLU!$Z$3:$AH$18,9)),((M103-2)*(6-COUNTBLANK(GT103:GY103)))+GJ103)</f>
        <v>#N/A</v>
      </c>
      <c r="BZ103" s="426" t="e">
        <f t="shared" ca="1" si="349"/>
        <v>#N/A</v>
      </c>
      <c r="CA103" s="424" t="e">
        <f t="shared" ca="1" si="350"/>
        <v>#N/A</v>
      </c>
      <c r="CB103" s="429" t="e">
        <f ca="1">INDEX(INDIRECT(VLOOKUP(LEFT(BO103,7),CLU!$Z$3:$AH$18,2)),GN103,GS103)</f>
        <v>#N/A</v>
      </c>
      <c r="CC103" s="342" t="e">
        <f ca="1">INDEX(INDIRECT(VLOOKUP(LEFT(BO103,7),CLU!$Z$3:$AH$18,3)),GN103,GS103)</f>
        <v>#N/A</v>
      </c>
      <c r="CD103" s="342" t="e">
        <f ca="1">INDEX(INDIRECT(VLOOKUP(LEFT(BO103,7),CLU!$Z$3:$AH$18,4)),GN103,GS103)</f>
        <v>#N/A</v>
      </c>
      <c r="CE103" s="426" t="e">
        <f t="shared" ca="1" si="351"/>
        <v>#N/A</v>
      </c>
      <c r="CF103" s="440">
        <f t="shared" si="352"/>
        <v>0</v>
      </c>
      <c r="CG103" s="431" t="e">
        <f ca="1">INDEX(INDIRECT(VLOOKUP(LEFT(BO103,7),CLU!$Z$3:$AH$18,2)),GQ103,GR103)</f>
        <v>#N/A</v>
      </c>
      <c r="CH103" s="431" t="e">
        <f ca="1">INDEX(INDIRECT(VLOOKUP(LEFT(BO103,7),CLU!$Z$3:$AH$18,3)),GQ103,GR103)</f>
        <v>#N/A</v>
      </c>
      <c r="CI103" s="431" t="e">
        <f ca="1">INDEX(INDIRECT(VLOOKUP(LEFT(BO103,7),CLU!$Z$3:$AH$18,4)),GQ103,GR103)</f>
        <v>#N/A</v>
      </c>
      <c r="CJ103" s="448" t="e">
        <f t="shared" ca="1" si="353"/>
        <v>#N/A</v>
      </c>
      <c r="CK103" s="431" t="e">
        <f t="shared" ca="1" si="354"/>
        <v>#N/A</v>
      </c>
      <c r="CL103" s="440" t="e">
        <f t="shared" ca="1" si="355"/>
        <v>#N/A</v>
      </c>
      <c r="CM103" s="431" t="e">
        <f ca="1">INDEX(INDIRECT(VLOOKUP(LEFT(BO103,7),CLU!$Z$3:$AH$18,2)),GQ103,GS103)</f>
        <v>#N/A</v>
      </c>
      <c r="CN103" s="431" t="e">
        <f ca="1">INDEX(INDIRECT(VLOOKUP(LEFT(BO103,7),CLU!$Z$3:$AH$18,3)),GQ103,GS103)</f>
        <v>#N/A</v>
      </c>
      <c r="CO103" s="431" t="e">
        <f ca="1">INDEX(INDIRECT(VLOOKUP(LEFT(BO103,7),CLU!$Z$3:$AH$18,4)),GQ103,GS103)</f>
        <v>#N/A</v>
      </c>
      <c r="CP103" s="431" t="e">
        <f t="shared" ca="1" si="356"/>
        <v>#N/A</v>
      </c>
      <c r="CQ103" s="440">
        <f t="shared" si="357"/>
        <v>0</v>
      </c>
      <c r="CR103" s="51" t="e">
        <f t="shared" ca="1" si="358"/>
        <v>#N/A</v>
      </c>
      <c r="CS103" s="439" t="e">
        <f t="shared" ca="1" si="359"/>
        <v>#VALUE!</v>
      </c>
      <c r="CT103" s="51" t="e">
        <f t="shared" ca="1" si="360"/>
        <v>#VALUE!</v>
      </c>
      <c r="CU103" s="10"/>
      <c r="CV103" s="51" t="e">
        <f t="shared" ca="1" si="257"/>
        <v>#VALUE!</v>
      </c>
      <c r="CW103" s="51">
        <f t="shared" si="361"/>
        <v>0</v>
      </c>
      <c r="CX103" s="439" t="e">
        <f t="shared" ca="1" si="362"/>
        <v>#VALUE!</v>
      </c>
      <c r="CY103" s="51" t="e">
        <f t="shared" ca="1" si="363"/>
        <v>#VALUE!</v>
      </c>
      <c r="CZ103" s="10"/>
      <c r="DA103" s="51" t="e">
        <f t="shared" ca="1" si="364"/>
        <v>#VALUE!</v>
      </c>
      <c r="DB103" s="347" t="e">
        <f ca="1">INDEX(INDIRECT(VLOOKUP(LEFT(BO103,7),CLU!$Z$3:$AI$18,10)),((M103-2)*(6-COUNTBLANK(GT103:GY103)))+GJ103)*LI103</f>
        <v>#N/A</v>
      </c>
      <c r="DC103" s="347" t="str">
        <f>IF(L103&gt;0,((R103/Worksheet!$I$15)/DB103)^2," ")</f>
        <v xml:space="preserve"> </v>
      </c>
      <c r="DD103" s="602" t="str">
        <f t="shared" si="365"/>
        <v xml:space="preserve"> </v>
      </c>
      <c r="DE103" s="347" t="str">
        <f t="shared" si="258"/>
        <v xml:space="preserve"> </v>
      </c>
      <c r="DF103" s="356" t="e">
        <f ca="1">INDEX(INDIRECT(VLOOKUP(LEFT(BO103,7),CLU!$Z$3:$AH$18,8)),((M103-2)*(6-COUNTBLANK(GT103:GY103)))+GJ103)</f>
        <v>#N/A</v>
      </c>
      <c r="DG103" s="347" t="str">
        <f t="shared" si="259"/>
        <v xml:space="preserve"> </v>
      </c>
      <c r="DH103" s="357" t="str">
        <f t="shared" si="260"/>
        <v xml:space="preserve"> </v>
      </c>
      <c r="DI103" s="355" t="str">
        <f t="shared" si="261"/>
        <v xml:space="preserve"> </v>
      </c>
      <c r="DJ103" s="245" t="e">
        <f ca="1">INDEX(INDIRECT(VLOOKUP(LEFT(BO103,7),CLU!$Z$3:$AH$18,5)),GL103,GK103)</f>
        <v>#N/A</v>
      </c>
      <c r="DK103" s="245" t="e">
        <f ca="1">INDEX(INDIRECT(VLOOKUP(LEFT(BO103,7),CLU!$Z$3:$AH$18,6)),GL103,GK103)</f>
        <v>#N/A</v>
      </c>
      <c r="DL103" s="355">
        <f>(Calculation!R103*0.69143*(Calculation!$BQ$8-Calculation!$F$8))*$S$14</f>
        <v>0</v>
      </c>
      <c r="DM103" s="359" t="e">
        <f t="shared" si="366"/>
        <v>#VALUE!</v>
      </c>
      <c r="DN103" s="611">
        <f t="shared" si="367"/>
        <v>0</v>
      </c>
      <c r="DO103" s="359">
        <f t="shared" si="368"/>
        <v>100</v>
      </c>
      <c r="DP103" s="359">
        <f t="shared" si="369"/>
        <v>0</v>
      </c>
      <c r="DQ103" s="360"/>
      <c r="DR103" s="245" t="e">
        <f ca="1">INDEX(INDIRECT(VLOOKUP(LEFT(BO103,7),CLU!$Z$3:$AH$18,7)),M103-1,1)</f>
        <v>#N/A</v>
      </c>
      <c r="DS103" s="245" t="e">
        <f ca="1">INDEX(INDIRECT(VLOOKUP(LEFT(BO103,7),CLU!$Z$3:$AH$18,7)),M103-1,2)</f>
        <v>#N/A</v>
      </c>
      <c r="DT103" s="245" t="e">
        <f ca="1">INDEX(INDIRECT(VLOOKUP(LEFT(BO103,7),CLU!$Z$3:$AH$18,7)),M103-1,3)</f>
        <v>#N/A</v>
      </c>
      <c r="DU103" s="245" t="e">
        <f ca="1">INDEX(INDIRECT(VLOOKUP(LEFT(BO103,7),CLU!$Z$3:$AH$18,7)),M103-1,4)</f>
        <v>#N/A</v>
      </c>
      <c r="DV103" s="361" t="e">
        <f ca="1">INDEX(INDIRECT(VLOOKUP(LEFT(BO103,7),CLU!$Z$3:$AH$18,7)),M103-1,4+LEFT(DZ103,1)*0.5)</f>
        <v>#N/A</v>
      </c>
      <c r="DW103" s="245" t="e">
        <f ca="1">INDEX(INDIRECT(VLOOKUP(LEFT(BO103,7),CLU!$Z$3:$AH$18,7)),M103-1,8)</f>
        <v>#N/A</v>
      </c>
      <c r="DX103" s="361" t="str">
        <f t="shared" si="262"/>
        <v xml:space="preserve"> </v>
      </c>
      <c r="DY103" s="361" t="str">
        <f t="shared" si="263"/>
        <v xml:space="preserve"> </v>
      </c>
      <c r="DZ103" s="361" t="str">
        <f t="shared" si="264"/>
        <v xml:space="preserve"> </v>
      </c>
      <c r="EA103" s="362" t="str">
        <f t="shared" si="265"/>
        <v xml:space="preserve"> </v>
      </c>
      <c r="EB103" s="624" t="str">
        <f t="shared" si="370"/>
        <v xml:space="preserve"> </v>
      </c>
      <c r="EC103" s="361" t="e">
        <f ca="1">INDEX(INDIRECT(VLOOKUP(LEFT(BO103,7),CLU!$Z$3:$AH$18,7)),M103-1,4+LEFT(DZ103,1)*0.5)</f>
        <v>#N/A</v>
      </c>
      <c r="ED103" s="362" t="str">
        <f t="shared" si="266"/>
        <v xml:space="preserve"> </v>
      </c>
      <c r="EE103" s="361" t="str">
        <f t="shared" si="267"/>
        <v xml:space="preserve"> </v>
      </c>
      <c r="EF103" s="362" t="str">
        <f>IF(L103&gt;0,IF(BR103&gt;0,IF(EE103="2P",IF(Calculation!DZ103="2P",IF(Calculation!DS103=13.75,IF(Calculation!DR103=13,Worksheet!$BD$43,IF(Calculation!DR103=37,Worksheet!$BD$44,Worksheet!$BD$45)),IF(Calculation!DS103=10,IF(Calculation!DR103=18,Worksheet!$BD$29,IF(Calculation!DR103=30,Worksheet!$BD$30,IF(Calculation!DR103=42,Worksheet!$BD$31,IF(Calculation!DR103=54,Worksheet!$BD$32,IF(Calculation!DR103=66,Worksheet!$BD$33,IF(Calculation!DR103=78,Worksheet!$BD$34,IF(Calculation!DR103=90,Worksheet!$BD$35,IF(Calculation!DR103=102,Worksheet!$BD$36,Worksheet!$BD$37)))))))),IF(Calculation!DS103=12.5,IF(Calculation!DR103=18,Worksheet!$BD$38,IF(Calculation!DR103=Worksheet!$BD$39,IF(Calculation!DR103=42,Worksheet!$BD$40,IF(Calculation!DR103=54,Worksheet!$BD$41,Worksheet!$BD$42)))),IF(Calculation!DR103=18,Worksheet!$BD$11,IF(Calculation!DR103=30,Worksheet!$BD$12,IF(Calculation!DR103=42,Worksheet!$BD$13,IF(Calculation!DR103=54,Worksheet!$BD$14,IF(Calculation!DR103=66,Worksheet!$BD$15,IF(Calculation!DR103=78,Worksheet!$BD$16,IF(Calculation!DR103=90,Worksheet!$BD$17,IF(Calculation!DR103=102,Worksheet!$BD$18,Worksheet!$BD$19))))))))))),IF(Calculation!DS103=13.75,IF(Calculation!DR103=13,Worksheet!$BD$78,IF(Calculation!DR103=37,Worksheet!$BD$79,Worksheet!$BD$80)),IF(Calculation!DS103=10,IF(Calculation!DR103=18,Worksheet!$BD$64,IF(Calculation!DR103=30,Worksheet!$BD$65,IF(Calculation!DR103=42,Worksheet!$BD$66,IF(Calculation!DR103=54,Worksheet!$BD$68,IF(Calculation!DR103=66,Worksheet!$BD$68,IF(Calculation!DR103=78,Worksheet!$BD$69,IF(Calculation!DR103=90,Worksheet!$BD$70,IF(Calculation!DR103=102,Worksheet!$BD$71,Worksheet!$BD$72)))))))),IF(Calculation!DS103=12.5,IF(Calculation!DR103=18,Worksheet!$BD$73,IF(Calculation!DR103=Worksheet!$BD$74,IF(Calculation!DR103=42,Worksheet!$BD$75,IF(Calculation!DR103=54,Worksheet!$BD$76,Worksheet!$BD$77)))),IF(Calculation!DR103=18,Worksheet!$BD$55,IF(Calculation!DR103=30,Worksheet!$BD$56,IF(Calculation!DR103=42,Worksheet!$BD$57,IF(Calculation!DR103=54,Worksheet!$BD$58,IF(Calculation!DR103=66,Worksheet!$BD$59,IF(Calculation!DR103=78,Worksheet!$BD$60,IF(Calculation!DR103=90,Worksheet!$BD$61,IF(Calculation!DR103=102,Worksheet!$BD$62,Worksheet!$BD$63)))))))))))),5),0)," ")</f>
        <v xml:space="preserve"> </v>
      </c>
      <c r="EG103" s="361" t="str">
        <f t="shared" si="268"/>
        <v xml:space="preserve"> </v>
      </c>
      <c r="EH103" s="361" t="e">
        <f ca="1">INDEX(INDIRECT(VLOOKUP(LEFT(BO103,7),CLU!$Z$3:$AH$18,7)),M103-1,3+LEFT(DZ103,1))</f>
        <v>#N/A</v>
      </c>
      <c r="EI103" s="362" t="str">
        <f t="shared" si="269"/>
        <v xml:space="preserve"> </v>
      </c>
      <c r="EJ103" s="363" t="str">
        <f t="shared" si="270"/>
        <v xml:space="preserve"> </v>
      </c>
      <c r="EK103" s="363" t="str">
        <f t="shared" si="271"/>
        <v xml:space="preserve"> </v>
      </c>
      <c r="EL103" s="363" t="str">
        <f t="shared" si="272"/>
        <v xml:space="preserve"> </v>
      </c>
      <c r="EM103" s="362" t="str">
        <f>IF(L103&gt;0,IF(BR103&gt;0,(Calculation!T103/ED103)^2,0)," ")</f>
        <v xml:space="preserve"> </v>
      </c>
      <c r="EN103" s="362" t="str">
        <f>IF(L103&gt;0,IF(O103="2 Pipe (Cooling)","N/A",IF(BR103&gt;0,(Calculation!U103/EI103)^2,0))," ")</f>
        <v xml:space="preserve"> </v>
      </c>
      <c r="EO103" s="361" t="str">
        <f t="shared" si="273"/>
        <v/>
      </c>
      <c r="EP103" s="361" t="str">
        <f t="shared" si="274"/>
        <v/>
      </c>
      <c r="EQ103" s="361" t="str">
        <f t="shared" si="275"/>
        <v/>
      </c>
      <c r="ER103" s="361" t="str">
        <f t="shared" si="276"/>
        <v/>
      </c>
      <c r="ES103" s="361" t="str">
        <f t="shared" si="277"/>
        <v/>
      </c>
      <c r="ET103" s="361" t="str">
        <f t="shared" si="278"/>
        <v/>
      </c>
      <c r="EU103" s="361" t="str">
        <f t="shared" si="279"/>
        <v/>
      </c>
      <c r="EV103" s="361" t="str">
        <f t="shared" si="280"/>
        <v/>
      </c>
      <c r="EW103" s="361" t="str">
        <f t="shared" si="281"/>
        <v/>
      </c>
      <c r="EX103" s="361" t="str">
        <f t="shared" si="371"/>
        <v>1 slot, 1 way</v>
      </c>
      <c r="EY103" s="361" t="str">
        <f t="shared" si="372"/>
        <v xml:space="preserve"> </v>
      </c>
      <c r="EZ103" s="361" t="str">
        <f t="shared" si="373"/>
        <v xml:space="preserve"> </v>
      </c>
      <c r="FA103" s="361" t="str">
        <f t="shared" si="374"/>
        <v xml:space="preserve"> </v>
      </c>
      <c r="FB103" s="361" t="str">
        <f t="shared" si="375"/>
        <v xml:space="preserve"> </v>
      </c>
      <c r="FC103" s="361"/>
      <c r="FD103" s="361" t="str">
        <f>IF(J103&gt;0,IF(Calculation!R103&lt;=70,4,IF(Calculation!R103&lt;=110,5,IF(Calculation!R103&lt;=160,6,IF(Calculation!R103&lt;=300,8,"10 EO")))),"")</f>
        <v/>
      </c>
      <c r="FE103" s="361" t="str">
        <f t="shared" si="376"/>
        <v/>
      </c>
      <c r="FF103" s="361" t="str">
        <f t="shared" si="377"/>
        <v/>
      </c>
      <c r="FG103" s="361" t="e">
        <f t="shared" si="282"/>
        <v>#N/A</v>
      </c>
      <c r="FH103" s="361">
        <f t="shared" si="283"/>
        <v>0</v>
      </c>
      <c r="FI103" s="361" t="e">
        <f t="shared" si="284"/>
        <v>#DIV/0!</v>
      </c>
      <c r="FJ103" s="361"/>
      <c r="FK103" s="356" t="e">
        <f t="shared" si="285"/>
        <v>#VALUE!</v>
      </c>
      <c r="FL103" s="361"/>
      <c r="FM103" s="361"/>
      <c r="FN103" s="362" t="str">
        <f t="shared" si="378"/>
        <v xml:space="preserve"> </v>
      </c>
      <c r="FO103" s="362" t="str">
        <f t="shared" si="379"/>
        <v xml:space="preserve"> </v>
      </c>
      <c r="FP103" s="362">
        <f t="shared" si="380"/>
        <v>0</v>
      </c>
      <c r="FQ103" s="361">
        <f t="shared" si="286"/>
        <v>0</v>
      </c>
      <c r="FR103" s="362" t="str">
        <f>IF(L103&gt;0,IF(J103="CBAL2",Worksheet!$P$67,IF(J103="CBE2-24",Worksheet!$Q$67,IF(J103="CBAM",Worksheet!$R$67,IF(J103="CBLV",Worksheet!$S$67,IF(J103="CBAB",Worksheet!$U$67,IF(J103="CBAW",Worksheet!$X$67,IF(J103="CBE2-12",Worksheet!$Y$67,IF(J103="CBAL2",Worksheet!$Z$67,"N/A"))))))))," ")</f>
        <v xml:space="preserve"> </v>
      </c>
      <c r="FS103" s="362" t="str">
        <f>IF(L103&gt;0,IF(J103="CBAL2",Worksheet!$P$68,IF(J103="CBE2-24",Worksheet!$Q$68,IF(J103="CBAM",Worksheet!$R$68,IF(J103="CBLV",Worksheet!$S$68,IF(J103="CBAB",Worksheet!$U$68,IF(J103="CBAW",Worksheet!$X$68,IF(J103="CBE2-12",Worksheet!$Y$68,IF(J103="CBAL2",Worksheet!$Z$68,"N/A"))))))))," ")</f>
        <v xml:space="preserve"> </v>
      </c>
      <c r="FT103" s="362" t="str">
        <f>IF(L103&gt;0,IF(J103="CBAL2",Worksheet!$P$69,IF(J103="CBE2-24",Worksheet!$Q$69,IF(J103="CBAM",Worksheet!$R$69,IF(J103="CBLV",Worksheet!$S$69,IF(J103="CBAB",Worksheet!$U$69,IF(J103="CBAW",Worksheet!$X$69,IF(J103="CBE2-12",Worksheet!$Y$69,IF(J103="CBAL2",Worksheet!$Z$69,"N/A"))))))))," ")</f>
        <v xml:space="preserve"> </v>
      </c>
      <c r="FU103" s="361" t="str">
        <f t="shared" si="381"/>
        <v xml:space="preserve"> </v>
      </c>
      <c r="FV103" s="362" t="str">
        <f t="shared" si="382"/>
        <v xml:space="preserve"> </v>
      </c>
      <c r="FW103" s="362" t="str">
        <f t="shared" si="383"/>
        <v xml:space="preserve"> </v>
      </c>
      <c r="FX103" s="362" t="str">
        <f t="shared" si="384"/>
        <v xml:space="preserve"> </v>
      </c>
      <c r="FY103" s="355" t="str">
        <f t="shared" si="385"/>
        <v xml:space="preserve"> </v>
      </c>
      <c r="FZ103" s="361" t="str">
        <f t="shared" si="386"/>
        <v xml:space="preserve"> </v>
      </c>
      <c r="GA103" s="347" t="str">
        <f t="shared" si="387"/>
        <v xml:space="preserve"> </v>
      </c>
      <c r="GB103" s="355" t="str">
        <f t="shared" si="388"/>
        <v xml:space="preserve"> </v>
      </c>
      <c r="GC103" s="328" t="str">
        <f t="shared" si="389"/>
        <v xml:space="preserve"> </v>
      </c>
      <c r="GD103" s="361" t="str">
        <f t="shared" si="390"/>
        <v xml:space="preserve"> </v>
      </c>
      <c r="GE103" s="347" t="str">
        <f t="shared" si="391"/>
        <v xml:space="preserve"> </v>
      </c>
      <c r="GF103" s="361" t="str">
        <f t="shared" si="392"/>
        <v xml:space="preserve"> </v>
      </c>
      <c r="GG103" s="347" t="str">
        <f t="shared" si="393"/>
        <v xml:space="preserve"> </v>
      </c>
      <c r="GH103" s="364">
        <f t="shared" si="287"/>
        <v>0</v>
      </c>
      <c r="GI103" s="362">
        <f t="shared" si="394"/>
        <v>2</v>
      </c>
      <c r="GJ103" s="433" t="e">
        <f>IF(6-COUNTBLANK(GT103:GY103)=4,MATCH(MID(BO103,9,3),CLU!$H$16:$K$16),MATCH(MID(BO103,9,3),CLU!$H$13:$M$13))</f>
        <v>#N/A</v>
      </c>
      <c r="GK103" s="433" t="e">
        <f>HLOOKUP(VALUE(BP103),CLU!$H$9:$M$10,2)</f>
        <v>#VALUE!</v>
      </c>
      <c r="GL103" s="433" t="e">
        <f ca="1">MATCH(BU103,CLU!$H$2:$V$2,1)</f>
        <v>#VALUE!</v>
      </c>
      <c r="GM103" s="433" t="e">
        <f t="shared" ca="1" si="395"/>
        <v>#VALUE!</v>
      </c>
      <c r="GN103" s="433" t="e">
        <f t="shared" ca="1" si="396"/>
        <v>#VALUE!</v>
      </c>
      <c r="GO103" s="433" t="e">
        <f t="shared" ca="1" si="397"/>
        <v>#VALUE!</v>
      </c>
      <c r="GP103" s="433" t="e">
        <f t="shared" ca="1" si="398"/>
        <v>#VALUE!</v>
      </c>
      <c r="GQ103" s="433" t="e">
        <f t="shared" ca="1" si="399"/>
        <v>#VALUE!</v>
      </c>
      <c r="GR103" s="433" t="e">
        <f ca="1">MATCH(T103,INDIRECT(VLOOKUP(CONCATENATE(LEFT(BO103,7),"-",MID(BO103,13,1)),CLU!$P$3:$Q$16,2)),1)</f>
        <v>#N/A</v>
      </c>
      <c r="GS103" s="433" t="e">
        <f ca="1">MATCH(U103,INDIRECT(VLOOKUP(CONCATENATE(LEFT(BO103,7),"-",MID(BO103,13,1)),CLU!$P$3:$Q$16,2)),1)</f>
        <v>#N/A</v>
      </c>
      <c r="GT103" s="347" t="s">
        <v>512</v>
      </c>
      <c r="GU103" s="97" t="s">
        <v>513</v>
      </c>
      <c r="GV103" s="97" t="str">
        <f t="shared" si="400"/>
        <v>M23</v>
      </c>
      <c r="GW103" s="97" t="str">
        <f t="shared" si="401"/>
        <v>M31</v>
      </c>
      <c r="GX103" s="97" t="str">
        <f t="shared" si="402"/>
        <v/>
      </c>
      <c r="GY103" s="97" t="str">
        <f t="shared" si="403"/>
        <v/>
      </c>
      <c r="GZ103" s="481"/>
      <c r="HA103" s="288"/>
      <c r="HB103" s="240"/>
      <c r="HC103" s="240"/>
      <c r="HD103" s="240"/>
      <c r="HE103" s="240"/>
      <c r="HF103" s="240"/>
      <c r="HG103" s="240"/>
      <c r="HH103" s="240"/>
      <c r="HI103" s="240"/>
      <c r="HJ103" s="240"/>
      <c r="HK103" s="240"/>
      <c r="HL103" s="240"/>
      <c r="HM103" s="240"/>
      <c r="HN103" s="240"/>
      <c r="HO103" s="240"/>
      <c r="HP103" s="240"/>
      <c r="HQ103" s="240"/>
      <c r="HR103" s="240"/>
      <c r="HS103" s="240"/>
      <c r="HT103" s="240"/>
      <c r="HU103" s="240"/>
      <c r="HV103" s="245"/>
      <c r="HW103" s="245" t="b">
        <v>1</v>
      </c>
      <c r="HX103" s="245" t="str">
        <f t="shared" si="288"/>
        <v/>
      </c>
      <c r="HY103" s="245" t="e">
        <f t="shared" si="289"/>
        <v>#DIV/0!</v>
      </c>
      <c r="HZ103" s="245" t="e">
        <f t="shared" si="290"/>
        <v>#DIV/0!</v>
      </c>
      <c r="IA103" s="245">
        <f t="shared" si="291"/>
        <v>0</v>
      </c>
      <c r="IB103" s="245"/>
      <c r="IC103" t="b">
        <f t="shared" si="292"/>
        <v>1</v>
      </c>
      <c r="ID103" s="245" t="b">
        <f t="shared" si="293"/>
        <v>1</v>
      </c>
      <c r="IE103" s="245" t="b">
        <f t="shared" si="294"/>
        <v>1</v>
      </c>
      <c r="IF103" s="245" t="b">
        <f t="shared" si="295"/>
        <v>0</v>
      </c>
      <c r="IG103" s="245" t="b">
        <f t="shared" si="296"/>
        <v>1</v>
      </c>
      <c r="IH103" s="245" t="b">
        <f t="shared" si="297"/>
        <v>1</v>
      </c>
      <c r="II103" s="245">
        <f t="shared" si="404"/>
        <v>0</v>
      </c>
      <c r="IJ103" s="245" t="e">
        <f t="shared" si="298"/>
        <v>#VALUE!</v>
      </c>
      <c r="IK103" s="245" t="e">
        <f t="shared" si="299"/>
        <v>#VALUE!</v>
      </c>
      <c r="IL103" s="245"/>
      <c r="IM103" s="245" t="e">
        <f t="shared" si="405"/>
        <v>#N/A</v>
      </c>
      <c r="IN103" s="245" t="e">
        <f t="shared" si="406"/>
        <v>#N/A</v>
      </c>
      <c r="IO103" s="245"/>
      <c r="IP103" s="245"/>
      <c r="IQ103" s="245" t="str">
        <f t="shared" si="300"/>
        <v/>
      </c>
      <c r="IR103" s="245" t="str">
        <f>IF(J103="","",VLOOKUP(J103,Worksheet!$R$4:$T$14,2))</f>
        <v/>
      </c>
      <c r="IS103" s="245"/>
      <c r="IT103" s="245">
        <f t="shared" si="301"/>
        <v>0</v>
      </c>
      <c r="IU103" s="245">
        <f t="shared" si="302"/>
        <v>0</v>
      </c>
      <c r="IV103" s="245">
        <f t="shared" si="303"/>
        <v>0</v>
      </c>
      <c r="IW103" s="245">
        <f t="shared" si="304"/>
        <v>0</v>
      </c>
      <c r="IX103" s="245">
        <f t="shared" si="407"/>
        <v>0</v>
      </c>
      <c r="IY103" s="245">
        <f t="shared" si="305"/>
        <v>0</v>
      </c>
      <c r="IZ103" s="245">
        <f t="shared" si="306"/>
        <v>0</v>
      </c>
      <c r="JA103">
        <f t="shared" si="307"/>
        <v>0</v>
      </c>
      <c r="JB103">
        <f t="shared" si="408"/>
        <v>0</v>
      </c>
      <c r="JC103">
        <f t="shared" si="308"/>
        <v>0</v>
      </c>
      <c r="JD103">
        <f t="shared" si="309"/>
        <v>0</v>
      </c>
      <c r="JE103">
        <f t="shared" si="310"/>
        <v>0</v>
      </c>
      <c r="JF103">
        <f t="shared" si="311"/>
        <v>0</v>
      </c>
      <c r="JG103">
        <f t="shared" si="312"/>
        <v>0</v>
      </c>
      <c r="JH103">
        <f t="shared" si="313"/>
        <v>0</v>
      </c>
      <c r="JI103">
        <f t="shared" si="314"/>
        <v>0</v>
      </c>
      <c r="JJ103" s="447">
        <f t="shared" si="315"/>
        <v>0</v>
      </c>
      <c r="JK103" s="447">
        <f t="shared" si="316"/>
        <v>0</v>
      </c>
      <c r="JL103">
        <f t="shared" si="317"/>
        <v>0</v>
      </c>
      <c r="JM103" s="245" t="str">
        <f>IFERROR(VLOOKUP(MATCH(BN103,#REF!,0),#REF!,7),"")</f>
        <v/>
      </c>
      <c r="JN103" t="e">
        <f>HLOOKUP(LEFT(BO103,7),Discharge_Area,MATCH(JO103,LookUps!$B$130:$B$149,1)+2)</f>
        <v>#N/A</v>
      </c>
      <c r="JO103" t="str">
        <f t="shared" si="318"/>
        <v>- S</v>
      </c>
      <c r="JP103" t="e">
        <f>HLOOKUP(LEFT(BO103,7),Discharge_Area,MATCH(JO103,LookUps!$B$130:$B$149,1)+2)</f>
        <v>#N/A</v>
      </c>
      <c r="JQ103" t="e">
        <f t="shared" si="319"/>
        <v>#N/A</v>
      </c>
      <c r="JR103" t="e">
        <f t="shared" si="320"/>
        <v>#N/A</v>
      </c>
      <c r="JS103" t="e">
        <f t="shared" si="321"/>
        <v>#N/A</v>
      </c>
      <c r="JT103" s="532" t="str">
        <f t="shared" si="322"/>
        <v xml:space="preserve"> </v>
      </c>
      <c r="JU103" s="532" t="str">
        <f t="shared" si="323"/>
        <v xml:space="preserve"> </v>
      </c>
      <c r="JV103" s="533" t="str">
        <f t="shared" si="324"/>
        <v xml:space="preserve"> </v>
      </c>
      <c r="JW103" s="534">
        <f t="shared" si="325"/>
        <v>0</v>
      </c>
      <c r="JX103" s="535" t="str">
        <f t="shared" si="409"/>
        <v xml:space="preserve"> </v>
      </c>
      <c r="JY103" s="535" t="str">
        <f t="shared" si="410"/>
        <v xml:space="preserve"> </v>
      </c>
      <c r="JZ103" s="535" t="str">
        <f t="shared" si="411"/>
        <v xml:space="preserve"> </v>
      </c>
      <c r="KA103" s="536" t="str">
        <f t="shared" si="326"/>
        <v xml:space="preserve"> </v>
      </c>
      <c r="KB103" s="535" t="e">
        <f t="shared" si="412"/>
        <v>#VALUE!</v>
      </c>
      <c r="KC103" s="535" t="str">
        <f t="shared" si="327"/>
        <v/>
      </c>
      <c r="KD103" s="537" t="str">
        <f t="shared" si="413"/>
        <v xml:space="preserve"> </v>
      </c>
      <c r="KE103" s="537" t="str">
        <f t="shared" si="414"/>
        <v xml:space="preserve"> </v>
      </c>
      <c r="KF103" s="534">
        <f t="shared" si="328"/>
        <v>0</v>
      </c>
      <c r="KG103" s="535" t="str">
        <f t="shared" si="329"/>
        <v xml:space="preserve"> </v>
      </c>
      <c r="KH103" s="535" t="str">
        <f t="shared" si="330"/>
        <v xml:space="preserve"> </v>
      </c>
      <c r="KI103" s="535" t="str">
        <f t="shared" si="331"/>
        <v xml:space="preserve"> </v>
      </c>
      <c r="KJ103" s="536" t="str">
        <f t="shared" si="332"/>
        <v xml:space="preserve"> </v>
      </c>
      <c r="KK103" s="535" t="str">
        <f t="shared" si="415"/>
        <v xml:space="preserve"> </v>
      </c>
      <c r="KL103" s="535" t="str">
        <f t="shared" si="416"/>
        <v xml:space="preserve"> </v>
      </c>
      <c r="KM103" s="537" t="str">
        <f t="shared" si="333"/>
        <v xml:space="preserve"> </v>
      </c>
      <c r="KN103" s="537" t="str">
        <f t="shared" si="417"/>
        <v xml:space="preserve"> </v>
      </c>
      <c r="KP103">
        <f t="shared" si="334"/>
        <v>0</v>
      </c>
      <c r="LA103" t="e">
        <f t="shared" si="335"/>
        <v>#VALUE!</v>
      </c>
      <c r="LB103" t="e">
        <f t="shared" si="336"/>
        <v>#VALUE!</v>
      </c>
      <c r="LC103" t="e">
        <f t="shared" si="337"/>
        <v>#VALUE!</v>
      </c>
      <c r="LD103" t="e">
        <f t="shared" si="338"/>
        <v>#VALUE!</v>
      </c>
      <c r="LE103" t="e">
        <f t="shared" si="418"/>
        <v>#VALUE!</v>
      </c>
      <c r="LF103">
        <f t="shared" si="339"/>
        <v>0</v>
      </c>
      <c r="LG103" t="e">
        <f t="shared" si="419"/>
        <v>#VALUE!</v>
      </c>
      <c r="LH103" t="str">
        <f t="shared" si="340"/>
        <v xml:space="preserve"> </v>
      </c>
      <c r="LI103">
        <f t="shared" si="420"/>
        <v>1</v>
      </c>
    </row>
    <row r="104" spans="2:321" ht="15" customHeight="1">
      <c r="B104" s="311"/>
      <c r="C104" s="311"/>
      <c r="D104" s="312"/>
      <c r="E104" s="311"/>
      <c r="F104" s="312"/>
      <c r="G104" s="311"/>
      <c r="H104" s="311"/>
      <c r="I104" s="37"/>
      <c r="J104" s="311"/>
      <c r="K104" s="305" t="str">
        <f t="shared" si="341"/>
        <v/>
      </c>
      <c r="L104" s="313"/>
      <c r="M104" s="312"/>
      <c r="N104" s="311"/>
      <c r="O104" s="312"/>
      <c r="P104" s="311"/>
      <c r="Q104" s="305" t="str">
        <f t="shared" si="342"/>
        <v/>
      </c>
      <c r="R104" s="314"/>
      <c r="S104" s="450" t="str">
        <f t="shared" si="225"/>
        <v/>
      </c>
      <c r="T104" s="315"/>
      <c r="U104" s="315"/>
      <c r="W104" s="149" t="str">
        <f t="shared" si="226"/>
        <v xml:space="preserve"> </v>
      </c>
      <c r="X104" s="243" t="str">
        <f t="shared" si="227"/>
        <v xml:space="preserve"> </v>
      </c>
      <c r="Y104" s="150" t="str">
        <f t="shared" si="228"/>
        <v/>
      </c>
      <c r="Z104" s="149" t="str">
        <f t="shared" si="229"/>
        <v xml:space="preserve"> </v>
      </c>
      <c r="AA104" s="98" t="str">
        <f t="shared" si="230"/>
        <v xml:space="preserve"> </v>
      </c>
      <c r="AB104" s="153" t="str">
        <f t="shared" si="231"/>
        <v xml:space="preserve"> </v>
      </c>
      <c r="AC104" s="153" t="str">
        <f t="shared" si="232"/>
        <v xml:space="preserve"> </v>
      </c>
      <c r="AD104" s="148" t="str">
        <f t="shared" si="233"/>
        <v/>
      </c>
      <c r="AE104" s="149" t="str">
        <f t="shared" si="234"/>
        <v/>
      </c>
      <c r="AF104" s="151" t="str">
        <f t="shared" si="235"/>
        <v xml:space="preserve"> </v>
      </c>
      <c r="AG104" s="153" t="str">
        <f t="shared" si="236"/>
        <v xml:space="preserve"> </v>
      </c>
      <c r="AH104" s="98" t="str">
        <f t="shared" si="237"/>
        <v xml:space="preserve"> </v>
      </c>
      <c r="AI104" s="149" t="str">
        <f t="shared" si="238"/>
        <v xml:space="preserve"> </v>
      </c>
      <c r="AK104" s="144" t="str">
        <f t="shared" si="239"/>
        <v xml:space="preserve"> </v>
      </c>
      <c r="AL104" s="144"/>
      <c r="AM104" s="243" t="str">
        <f t="shared" si="240"/>
        <v xml:space="preserve"> </v>
      </c>
      <c r="AN104" s="149" t="str">
        <f t="shared" si="343"/>
        <v xml:space="preserve"> </v>
      </c>
      <c r="AO104" s="144" t="str">
        <f>IF(JB104&gt;0,IF(GI104=10,-R104*1.085*(Calculation!$F$6-Calculation!$F$13)*$S$14," "),"")</f>
        <v/>
      </c>
      <c r="AP104" s="144" t="str">
        <f t="shared" si="241"/>
        <v/>
      </c>
      <c r="AQ104" s="56" t="str">
        <f t="shared" si="242"/>
        <v/>
      </c>
      <c r="AR104" s="144" t="str">
        <f t="shared" si="243"/>
        <v/>
      </c>
      <c r="AS104" s="176" t="str">
        <f t="shared" si="244"/>
        <v/>
      </c>
      <c r="AT104" s="176" t="str">
        <f t="shared" si="344"/>
        <v xml:space="preserve"> </v>
      </c>
      <c r="AU104" s="176" t="str">
        <f t="shared" si="245"/>
        <v/>
      </c>
      <c r="AV104" s="177" t="str">
        <f t="shared" si="246"/>
        <v xml:space="preserve"> </v>
      </c>
      <c r="AW104" s="144" t="str">
        <f t="shared" si="247"/>
        <v xml:space="preserve"> </v>
      </c>
      <c r="AX104" s="144" t="str">
        <f t="shared" si="248"/>
        <v xml:space="preserve"> </v>
      </c>
      <c r="AY104" s="152" t="str">
        <f t="shared" si="249"/>
        <v xml:space="preserve"> </v>
      </c>
      <c r="AZ104" s="246" t="str">
        <f t="shared" si="250"/>
        <v/>
      </c>
      <c r="BA104" s="176" t="str">
        <f t="shared" si="251"/>
        <v xml:space="preserve"> </v>
      </c>
      <c r="BB104" s="176" t="str">
        <f t="shared" si="252"/>
        <v xml:space="preserve"> </v>
      </c>
      <c r="BC104" s="195"/>
      <c r="BD104" s="316"/>
      <c r="BE104" s="317"/>
      <c r="BF104" s="318"/>
      <c r="BG104" s="318"/>
      <c r="BH104" s="144" t="str">
        <f t="shared" si="421"/>
        <v xml:space="preserve"> </v>
      </c>
      <c r="BI104" s="176" t="str">
        <f t="shared" si="253"/>
        <v/>
      </c>
      <c r="BJ104" s="144" t="str">
        <f t="shared" si="422"/>
        <v/>
      </c>
      <c r="BK104" s="246" t="str">
        <f t="shared" si="254"/>
        <v/>
      </c>
      <c r="BL104" s="144" t="str">
        <f t="shared" si="423"/>
        <v/>
      </c>
      <c r="BM104" s="246" t="str">
        <f t="shared" si="255"/>
        <v/>
      </c>
      <c r="BN104" s="337" t="str">
        <f t="shared" si="345"/>
        <v/>
      </c>
      <c r="BO104" s="371" t="str">
        <f t="shared" si="346"/>
        <v/>
      </c>
      <c r="BP104" s="328" t="str">
        <f t="shared" si="424"/>
        <v xml:space="preserve"> </v>
      </c>
      <c r="BQ104" s="347" t="str">
        <f t="shared" si="347"/>
        <v xml:space="preserve"> </v>
      </c>
      <c r="BR104" s="353" t="str">
        <f t="shared" si="348"/>
        <v xml:space="preserve"> </v>
      </c>
      <c r="BS104" s="626" t="str">
        <f>IF(L104&gt;0,IF(Calculation!P104="M13",BR104*3.1416*(0.134^2)/(4*144),IF(Calculation!P104="M17",BR104*3.1416*(0.165^2)/(4*144),IF(Calculation!P104="M20",BR104*3.1416*(0.198^2)/(4*144),IF(Calculation!P104="M23",BR104*3.1416*(0.228^2)/(4*144),IF(Calculation!P104="M27",BR104*3.1416*(0.269^2)/(4*144),BR104*3.1416*(0.307^2)/(4*144))))))," ")</f>
        <v xml:space="preserve"> </v>
      </c>
      <c r="BT104" s="353" t="str">
        <f>IF(L104&gt;0,IF(BS104&gt;0,R104/Calculation!BS104,0)," ")</f>
        <v xml:space="preserve"> </v>
      </c>
      <c r="BU104" s="438" t="e">
        <f t="shared" ca="1" si="256"/>
        <v>#VALUE!</v>
      </c>
      <c r="BV104" s="449" t="e">
        <f ca="1">INDEX(INDIRECT(VLOOKUP(LEFT(BO104,7),CLU!$Z$3:$AH$18,2)),GN104,GR104)</f>
        <v>#N/A</v>
      </c>
      <c r="BW104" s="433" t="e">
        <f ca="1">INDEX(INDIRECT(VLOOKUP(LEFT(BO104,7),CLU!$Z$3:$AH$18,3)),GN104,GR104)</f>
        <v>#N/A</v>
      </c>
      <c r="BX104" s="433" t="e">
        <f ca="1">INDEX(INDIRECT(VLOOKUP(LEFT(BO104,7),CLU!$Z$3:$AH$18,4)),GN104,GR104)</f>
        <v>#N/A</v>
      </c>
      <c r="BY104" s="433" t="e">
        <f ca="1">INDEX(INDIRECT(VLOOKUP(LEFT(BO104,7),CLU!$Z$3:$AH$18,9)),((M104-2)*(6-COUNTBLANK(GT104:GY104)))+GJ104)</f>
        <v>#N/A</v>
      </c>
      <c r="BZ104" s="426" t="e">
        <f t="shared" ca="1" si="349"/>
        <v>#N/A</v>
      </c>
      <c r="CA104" s="424" t="e">
        <f t="shared" ca="1" si="350"/>
        <v>#N/A</v>
      </c>
      <c r="CB104" s="429" t="e">
        <f ca="1">INDEX(INDIRECT(VLOOKUP(LEFT(BO104,7),CLU!$Z$3:$AH$18,2)),GN104,GS104)</f>
        <v>#N/A</v>
      </c>
      <c r="CC104" s="342" t="e">
        <f ca="1">INDEX(INDIRECT(VLOOKUP(LEFT(BO104,7),CLU!$Z$3:$AH$18,3)),GN104,GS104)</f>
        <v>#N/A</v>
      </c>
      <c r="CD104" s="342" t="e">
        <f ca="1">INDEX(INDIRECT(VLOOKUP(LEFT(BO104,7),CLU!$Z$3:$AH$18,4)),GN104,GS104)</f>
        <v>#N/A</v>
      </c>
      <c r="CE104" s="426" t="e">
        <f t="shared" ca="1" si="351"/>
        <v>#N/A</v>
      </c>
      <c r="CF104" s="440">
        <f t="shared" si="352"/>
        <v>0</v>
      </c>
      <c r="CG104" s="431" t="e">
        <f ca="1">INDEX(INDIRECT(VLOOKUP(LEFT(BO104,7),CLU!$Z$3:$AH$18,2)),GQ104,GR104)</f>
        <v>#N/A</v>
      </c>
      <c r="CH104" s="431" t="e">
        <f ca="1">INDEX(INDIRECT(VLOOKUP(LEFT(BO104,7),CLU!$Z$3:$AH$18,3)),GQ104,GR104)</f>
        <v>#N/A</v>
      </c>
      <c r="CI104" s="431" t="e">
        <f ca="1">INDEX(INDIRECT(VLOOKUP(LEFT(BO104,7),CLU!$Z$3:$AH$18,4)),GQ104,GR104)</f>
        <v>#N/A</v>
      </c>
      <c r="CJ104" s="448" t="e">
        <f t="shared" ca="1" si="353"/>
        <v>#N/A</v>
      </c>
      <c r="CK104" s="431" t="e">
        <f t="shared" ca="1" si="354"/>
        <v>#N/A</v>
      </c>
      <c r="CL104" s="440" t="e">
        <f t="shared" ca="1" si="355"/>
        <v>#N/A</v>
      </c>
      <c r="CM104" s="431" t="e">
        <f ca="1">INDEX(INDIRECT(VLOOKUP(LEFT(BO104,7),CLU!$Z$3:$AH$18,2)),GQ104,GS104)</f>
        <v>#N/A</v>
      </c>
      <c r="CN104" s="431" t="e">
        <f ca="1">INDEX(INDIRECT(VLOOKUP(LEFT(BO104,7),CLU!$Z$3:$AH$18,3)),GQ104,GS104)</f>
        <v>#N/A</v>
      </c>
      <c r="CO104" s="431" t="e">
        <f ca="1">INDEX(INDIRECT(VLOOKUP(LEFT(BO104,7),CLU!$Z$3:$AH$18,4)),GQ104,GS104)</f>
        <v>#N/A</v>
      </c>
      <c r="CP104" s="431" t="e">
        <f t="shared" ca="1" si="356"/>
        <v>#N/A</v>
      </c>
      <c r="CQ104" s="440">
        <f t="shared" si="357"/>
        <v>0</v>
      </c>
      <c r="CR104" s="51" t="e">
        <f t="shared" ca="1" si="358"/>
        <v>#N/A</v>
      </c>
      <c r="CS104" s="439" t="e">
        <f t="shared" ca="1" si="359"/>
        <v>#VALUE!</v>
      </c>
      <c r="CT104" s="51" t="e">
        <f t="shared" ca="1" si="360"/>
        <v>#VALUE!</v>
      </c>
      <c r="CU104" s="10"/>
      <c r="CV104" s="51" t="e">
        <f t="shared" ca="1" si="257"/>
        <v>#VALUE!</v>
      </c>
      <c r="CW104" s="51">
        <f t="shared" si="361"/>
        <v>0</v>
      </c>
      <c r="CX104" s="439" t="e">
        <f t="shared" ca="1" si="362"/>
        <v>#VALUE!</v>
      </c>
      <c r="CY104" s="51" t="e">
        <f t="shared" ca="1" si="363"/>
        <v>#VALUE!</v>
      </c>
      <c r="CZ104" s="10"/>
      <c r="DA104" s="51" t="e">
        <f t="shared" ca="1" si="364"/>
        <v>#VALUE!</v>
      </c>
      <c r="DB104" s="347" t="e">
        <f ca="1">INDEX(INDIRECT(VLOOKUP(LEFT(BO104,7),CLU!$Z$3:$AI$18,10)),((M104-2)*(6-COUNTBLANK(GT104:GY104)))+GJ104)*LI104</f>
        <v>#N/A</v>
      </c>
      <c r="DC104" s="347" t="str">
        <f>IF(L104&gt;0,((R104/Worksheet!$I$15)/DB104)^2," ")</f>
        <v xml:space="preserve"> </v>
      </c>
      <c r="DD104" s="602" t="str">
        <f t="shared" si="365"/>
        <v xml:space="preserve"> </v>
      </c>
      <c r="DE104" s="347" t="str">
        <f t="shared" si="258"/>
        <v xml:space="preserve"> </v>
      </c>
      <c r="DF104" s="356" t="e">
        <f ca="1">INDEX(INDIRECT(VLOOKUP(LEFT(BO104,7),CLU!$Z$3:$AH$18,8)),((M104-2)*(6-COUNTBLANK(GT104:GY104)))+GJ104)</f>
        <v>#N/A</v>
      </c>
      <c r="DG104" s="347" t="str">
        <f t="shared" si="259"/>
        <v xml:space="preserve"> </v>
      </c>
      <c r="DH104" s="357" t="str">
        <f t="shared" si="260"/>
        <v xml:space="preserve"> </v>
      </c>
      <c r="DI104" s="355" t="str">
        <f t="shared" si="261"/>
        <v xml:space="preserve"> </v>
      </c>
      <c r="DJ104" s="245" t="e">
        <f ca="1">INDEX(INDIRECT(VLOOKUP(LEFT(BO104,7),CLU!$Z$3:$AH$18,5)),GL104,GK104)</f>
        <v>#N/A</v>
      </c>
      <c r="DK104" s="245" t="e">
        <f ca="1">INDEX(INDIRECT(VLOOKUP(LEFT(BO104,7),CLU!$Z$3:$AH$18,6)),GL104,GK104)</f>
        <v>#N/A</v>
      </c>
      <c r="DL104" s="355">
        <f>(Calculation!R104*0.69143*(Calculation!$BQ$8-Calculation!$F$8))*$S$14</f>
        <v>0</v>
      </c>
      <c r="DM104" s="359" t="e">
        <f t="shared" si="366"/>
        <v>#VALUE!</v>
      </c>
      <c r="DN104" s="611">
        <f t="shared" si="367"/>
        <v>0</v>
      </c>
      <c r="DO104" s="359">
        <f t="shared" si="368"/>
        <v>100</v>
      </c>
      <c r="DP104" s="359">
        <f t="shared" si="369"/>
        <v>0</v>
      </c>
      <c r="DQ104" s="360"/>
      <c r="DR104" s="245" t="e">
        <f ca="1">INDEX(INDIRECT(VLOOKUP(LEFT(BO104,7),CLU!$Z$3:$AH$18,7)),M104-1,1)</f>
        <v>#N/A</v>
      </c>
      <c r="DS104" s="245" t="e">
        <f ca="1">INDEX(INDIRECT(VLOOKUP(LEFT(BO104,7),CLU!$Z$3:$AH$18,7)),M104-1,2)</f>
        <v>#N/A</v>
      </c>
      <c r="DT104" s="245" t="e">
        <f ca="1">INDEX(INDIRECT(VLOOKUP(LEFT(BO104,7),CLU!$Z$3:$AH$18,7)),M104-1,3)</f>
        <v>#N/A</v>
      </c>
      <c r="DU104" s="245" t="e">
        <f ca="1">INDEX(INDIRECT(VLOOKUP(LEFT(BO104,7),CLU!$Z$3:$AH$18,7)),M104-1,4)</f>
        <v>#N/A</v>
      </c>
      <c r="DV104" s="361" t="e">
        <f ca="1">INDEX(INDIRECT(VLOOKUP(LEFT(BO104,7),CLU!$Z$3:$AH$18,7)),M104-1,4+LEFT(DZ104,1)*0.5)</f>
        <v>#N/A</v>
      </c>
      <c r="DW104" s="245" t="e">
        <f ca="1">INDEX(INDIRECT(VLOOKUP(LEFT(BO104,7),CLU!$Z$3:$AH$18,7)),M104-1,8)</f>
        <v>#N/A</v>
      </c>
      <c r="DX104" s="361" t="str">
        <f t="shared" si="262"/>
        <v xml:space="preserve"> </v>
      </c>
      <c r="DY104" s="361" t="str">
        <f t="shared" si="263"/>
        <v xml:space="preserve"> </v>
      </c>
      <c r="DZ104" s="361" t="str">
        <f t="shared" si="264"/>
        <v xml:space="preserve"> </v>
      </c>
      <c r="EA104" s="362" t="str">
        <f t="shared" si="265"/>
        <v xml:space="preserve"> </v>
      </c>
      <c r="EB104" s="624" t="str">
        <f t="shared" si="370"/>
        <v xml:space="preserve"> </v>
      </c>
      <c r="EC104" s="361" t="e">
        <f ca="1">INDEX(INDIRECT(VLOOKUP(LEFT(BO104,7),CLU!$Z$3:$AH$18,7)),M104-1,4+LEFT(DZ104,1)*0.5)</f>
        <v>#N/A</v>
      </c>
      <c r="ED104" s="362" t="str">
        <f t="shared" si="266"/>
        <v xml:space="preserve"> </v>
      </c>
      <c r="EE104" s="361" t="str">
        <f t="shared" si="267"/>
        <v xml:space="preserve"> </v>
      </c>
      <c r="EF104" s="362" t="str">
        <f>IF(L104&gt;0,IF(BR104&gt;0,IF(EE104="2P",IF(Calculation!DZ104="2P",IF(Calculation!DS104=13.75,IF(Calculation!DR104=13,Worksheet!$BD$43,IF(Calculation!DR104=37,Worksheet!$BD$44,Worksheet!$BD$45)),IF(Calculation!DS104=10,IF(Calculation!DR104=18,Worksheet!$BD$29,IF(Calculation!DR104=30,Worksheet!$BD$30,IF(Calculation!DR104=42,Worksheet!$BD$31,IF(Calculation!DR104=54,Worksheet!$BD$32,IF(Calculation!DR104=66,Worksheet!$BD$33,IF(Calculation!DR104=78,Worksheet!$BD$34,IF(Calculation!DR104=90,Worksheet!$BD$35,IF(Calculation!DR104=102,Worksheet!$BD$36,Worksheet!$BD$37)))))))),IF(Calculation!DS104=12.5,IF(Calculation!DR104=18,Worksheet!$BD$38,IF(Calculation!DR104=Worksheet!$BD$39,IF(Calculation!DR104=42,Worksheet!$BD$40,IF(Calculation!DR104=54,Worksheet!$BD$41,Worksheet!$BD$42)))),IF(Calculation!DR104=18,Worksheet!$BD$11,IF(Calculation!DR104=30,Worksheet!$BD$12,IF(Calculation!DR104=42,Worksheet!$BD$13,IF(Calculation!DR104=54,Worksheet!$BD$14,IF(Calculation!DR104=66,Worksheet!$BD$15,IF(Calculation!DR104=78,Worksheet!$BD$16,IF(Calculation!DR104=90,Worksheet!$BD$17,IF(Calculation!DR104=102,Worksheet!$BD$18,Worksheet!$BD$19))))))))))),IF(Calculation!DS104=13.75,IF(Calculation!DR104=13,Worksheet!$BD$78,IF(Calculation!DR104=37,Worksheet!$BD$79,Worksheet!$BD$80)),IF(Calculation!DS104=10,IF(Calculation!DR104=18,Worksheet!$BD$64,IF(Calculation!DR104=30,Worksheet!$BD$65,IF(Calculation!DR104=42,Worksheet!$BD$66,IF(Calculation!DR104=54,Worksheet!$BD$68,IF(Calculation!DR104=66,Worksheet!$BD$68,IF(Calculation!DR104=78,Worksheet!$BD$69,IF(Calculation!DR104=90,Worksheet!$BD$70,IF(Calculation!DR104=102,Worksheet!$BD$71,Worksheet!$BD$72)))))))),IF(Calculation!DS104=12.5,IF(Calculation!DR104=18,Worksheet!$BD$73,IF(Calculation!DR104=Worksheet!$BD$74,IF(Calculation!DR104=42,Worksheet!$BD$75,IF(Calculation!DR104=54,Worksheet!$BD$76,Worksheet!$BD$77)))),IF(Calculation!DR104=18,Worksheet!$BD$55,IF(Calculation!DR104=30,Worksheet!$BD$56,IF(Calculation!DR104=42,Worksheet!$BD$57,IF(Calculation!DR104=54,Worksheet!$BD$58,IF(Calculation!DR104=66,Worksheet!$BD$59,IF(Calculation!DR104=78,Worksheet!$BD$60,IF(Calculation!DR104=90,Worksheet!$BD$61,IF(Calculation!DR104=102,Worksheet!$BD$62,Worksheet!$BD$63)))))))))))),5),0)," ")</f>
        <v xml:space="preserve"> </v>
      </c>
      <c r="EG104" s="361" t="str">
        <f t="shared" si="268"/>
        <v xml:space="preserve"> </v>
      </c>
      <c r="EH104" s="361" t="e">
        <f ca="1">INDEX(INDIRECT(VLOOKUP(LEFT(BO104,7),CLU!$Z$3:$AH$18,7)),M104-1,3+LEFT(DZ104,1))</f>
        <v>#N/A</v>
      </c>
      <c r="EI104" s="362" t="str">
        <f t="shared" si="269"/>
        <v xml:space="preserve"> </v>
      </c>
      <c r="EJ104" s="363" t="str">
        <f t="shared" si="270"/>
        <v xml:space="preserve"> </v>
      </c>
      <c r="EK104" s="363" t="str">
        <f t="shared" si="271"/>
        <v xml:space="preserve"> </v>
      </c>
      <c r="EL104" s="363" t="str">
        <f t="shared" si="272"/>
        <v xml:space="preserve"> </v>
      </c>
      <c r="EM104" s="362" t="str">
        <f>IF(L104&gt;0,IF(BR104&gt;0,(Calculation!T104/ED104)^2,0)," ")</f>
        <v xml:space="preserve"> </v>
      </c>
      <c r="EN104" s="362" t="str">
        <f>IF(L104&gt;0,IF(O104="2 Pipe (Cooling)","N/A",IF(BR104&gt;0,(Calculation!U104/EI104)^2,0))," ")</f>
        <v xml:space="preserve"> </v>
      </c>
      <c r="EO104" s="361" t="str">
        <f t="shared" si="273"/>
        <v/>
      </c>
      <c r="EP104" s="361" t="str">
        <f t="shared" si="274"/>
        <v/>
      </c>
      <c r="EQ104" s="361" t="str">
        <f t="shared" si="275"/>
        <v/>
      </c>
      <c r="ER104" s="361" t="str">
        <f t="shared" si="276"/>
        <v/>
      </c>
      <c r="ES104" s="361" t="str">
        <f t="shared" si="277"/>
        <v/>
      </c>
      <c r="ET104" s="361" t="str">
        <f t="shared" si="278"/>
        <v/>
      </c>
      <c r="EU104" s="361" t="str">
        <f t="shared" si="279"/>
        <v/>
      </c>
      <c r="EV104" s="361" t="str">
        <f t="shared" si="280"/>
        <v/>
      </c>
      <c r="EW104" s="361" t="str">
        <f t="shared" si="281"/>
        <v/>
      </c>
      <c r="EX104" s="361" t="str">
        <f t="shared" si="371"/>
        <v>1 slot, 1 way</v>
      </c>
      <c r="EY104" s="361" t="str">
        <f t="shared" si="372"/>
        <v xml:space="preserve"> </v>
      </c>
      <c r="EZ104" s="361" t="str">
        <f t="shared" si="373"/>
        <v xml:space="preserve"> </v>
      </c>
      <c r="FA104" s="361" t="str">
        <f t="shared" si="374"/>
        <v xml:space="preserve"> </v>
      </c>
      <c r="FB104" s="361" t="str">
        <f t="shared" si="375"/>
        <v xml:space="preserve"> </v>
      </c>
      <c r="FC104" s="361"/>
      <c r="FD104" s="361" t="str">
        <f>IF(J104&gt;0,IF(Calculation!R104&lt;=70,4,IF(Calculation!R104&lt;=110,5,IF(Calculation!R104&lt;=160,6,IF(Calculation!R104&lt;=300,8,"10 EO")))),"")</f>
        <v/>
      </c>
      <c r="FE104" s="361" t="str">
        <f t="shared" si="376"/>
        <v/>
      </c>
      <c r="FF104" s="361" t="str">
        <f t="shared" si="377"/>
        <v/>
      </c>
      <c r="FG104" s="361" t="e">
        <f t="shared" si="282"/>
        <v>#N/A</v>
      </c>
      <c r="FH104" s="361">
        <f t="shared" si="283"/>
        <v>0</v>
      </c>
      <c r="FI104" s="361" t="e">
        <f t="shared" si="284"/>
        <v>#DIV/0!</v>
      </c>
      <c r="FJ104" s="361"/>
      <c r="FK104" s="356" t="e">
        <f t="shared" si="285"/>
        <v>#VALUE!</v>
      </c>
      <c r="FL104" s="361"/>
      <c r="FM104" s="361"/>
      <c r="FN104" s="362" t="str">
        <f t="shared" si="378"/>
        <v xml:space="preserve"> </v>
      </c>
      <c r="FO104" s="362" t="str">
        <f t="shared" si="379"/>
        <v xml:space="preserve"> </v>
      </c>
      <c r="FP104" s="362">
        <f t="shared" si="380"/>
        <v>0</v>
      </c>
      <c r="FQ104" s="361">
        <f t="shared" si="286"/>
        <v>0</v>
      </c>
      <c r="FR104" s="362" t="str">
        <f>IF(L104&gt;0,IF(J104="CBAL2",Worksheet!$P$67,IF(J104="CBE2-24",Worksheet!$Q$67,IF(J104="CBAM",Worksheet!$R$67,IF(J104="CBLV",Worksheet!$S$67,IF(J104="CBAB",Worksheet!$U$67,IF(J104="CBAW",Worksheet!$X$67,IF(J104="CBE2-12",Worksheet!$Y$67,IF(J104="CBAL2",Worksheet!$Z$67,"N/A"))))))))," ")</f>
        <v xml:space="preserve"> </v>
      </c>
      <c r="FS104" s="362" t="str">
        <f>IF(L104&gt;0,IF(J104="CBAL2",Worksheet!$P$68,IF(J104="CBE2-24",Worksheet!$Q$68,IF(J104="CBAM",Worksheet!$R$68,IF(J104="CBLV",Worksheet!$S$68,IF(J104="CBAB",Worksheet!$U$68,IF(J104="CBAW",Worksheet!$X$68,IF(J104="CBE2-12",Worksheet!$Y$68,IF(J104="CBAL2",Worksheet!$Z$68,"N/A"))))))))," ")</f>
        <v xml:space="preserve"> </v>
      </c>
      <c r="FT104" s="362" t="str">
        <f>IF(L104&gt;0,IF(J104="CBAL2",Worksheet!$P$69,IF(J104="CBE2-24",Worksheet!$Q$69,IF(J104="CBAM",Worksheet!$R$69,IF(J104="CBLV",Worksheet!$S$69,IF(J104="CBAB",Worksheet!$U$69,IF(J104="CBAW",Worksheet!$X$69,IF(J104="CBE2-12",Worksheet!$Y$69,IF(J104="CBAL2",Worksheet!$Z$69,"N/A"))))))))," ")</f>
        <v xml:space="preserve"> </v>
      </c>
      <c r="FU104" s="361" t="str">
        <f t="shared" si="381"/>
        <v xml:space="preserve"> </v>
      </c>
      <c r="FV104" s="362" t="str">
        <f t="shared" si="382"/>
        <v xml:space="preserve"> </v>
      </c>
      <c r="FW104" s="362" t="str">
        <f t="shared" si="383"/>
        <v xml:space="preserve"> </v>
      </c>
      <c r="FX104" s="362" t="str">
        <f t="shared" si="384"/>
        <v xml:space="preserve"> </v>
      </c>
      <c r="FY104" s="355" t="str">
        <f t="shared" si="385"/>
        <v xml:space="preserve"> </v>
      </c>
      <c r="FZ104" s="361" t="str">
        <f t="shared" si="386"/>
        <v xml:space="preserve"> </v>
      </c>
      <c r="GA104" s="347" t="str">
        <f t="shared" si="387"/>
        <v xml:space="preserve"> </v>
      </c>
      <c r="GB104" s="355" t="str">
        <f t="shared" si="388"/>
        <v xml:space="preserve"> </v>
      </c>
      <c r="GC104" s="328" t="str">
        <f t="shared" si="389"/>
        <v xml:space="preserve"> </v>
      </c>
      <c r="GD104" s="361" t="str">
        <f t="shared" si="390"/>
        <v xml:space="preserve"> </v>
      </c>
      <c r="GE104" s="347" t="str">
        <f t="shared" si="391"/>
        <v xml:space="preserve"> </v>
      </c>
      <c r="GF104" s="361" t="str">
        <f t="shared" si="392"/>
        <v xml:space="preserve"> </v>
      </c>
      <c r="GG104" s="347" t="str">
        <f t="shared" si="393"/>
        <v xml:space="preserve"> </v>
      </c>
      <c r="GH104" s="364">
        <f t="shared" si="287"/>
        <v>0</v>
      </c>
      <c r="GI104" s="362">
        <f t="shared" si="394"/>
        <v>2</v>
      </c>
      <c r="GJ104" s="433" t="e">
        <f>IF(6-COUNTBLANK(GT104:GY104)=4,MATCH(MID(BO104,9,3),CLU!$H$16:$K$16),MATCH(MID(BO104,9,3),CLU!$H$13:$M$13))</f>
        <v>#N/A</v>
      </c>
      <c r="GK104" s="433" t="e">
        <f>HLOOKUP(VALUE(BP104),CLU!$H$9:$M$10,2)</f>
        <v>#VALUE!</v>
      </c>
      <c r="GL104" s="433" t="e">
        <f ca="1">MATCH(BU104,CLU!$H$2:$V$2,1)</f>
        <v>#VALUE!</v>
      </c>
      <c r="GM104" s="433" t="e">
        <f t="shared" ca="1" si="395"/>
        <v>#VALUE!</v>
      </c>
      <c r="GN104" s="433" t="e">
        <f t="shared" ca="1" si="396"/>
        <v>#VALUE!</v>
      </c>
      <c r="GO104" s="433" t="e">
        <f t="shared" ca="1" si="397"/>
        <v>#VALUE!</v>
      </c>
      <c r="GP104" s="433" t="e">
        <f t="shared" ca="1" si="398"/>
        <v>#VALUE!</v>
      </c>
      <c r="GQ104" s="433" t="e">
        <f t="shared" ca="1" si="399"/>
        <v>#VALUE!</v>
      </c>
      <c r="GR104" s="433" t="e">
        <f ca="1">MATCH(T104,INDIRECT(VLOOKUP(CONCATENATE(LEFT(BO104,7),"-",MID(BO104,13,1)),CLU!$P$3:$Q$16,2)),1)</f>
        <v>#N/A</v>
      </c>
      <c r="GS104" s="433" t="e">
        <f ca="1">MATCH(U104,INDIRECT(VLOOKUP(CONCATENATE(LEFT(BO104,7),"-",MID(BO104,13,1)),CLU!$P$3:$Q$16,2)),1)</f>
        <v>#N/A</v>
      </c>
      <c r="GT104" s="347" t="s">
        <v>512</v>
      </c>
      <c r="GU104" s="97" t="s">
        <v>513</v>
      </c>
      <c r="GV104" s="97" t="str">
        <f t="shared" si="400"/>
        <v>M23</v>
      </c>
      <c r="GW104" s="97" t="str">
        <f t="shared" si="401"/>
        <v>M31</v>
      </c>
      <c r="GX104" s="97" t="str">
        <f t="shared" si="402"/>
        <v/>
      </c>
      <c r="GY104" s="97" t="str">
        <f t="shared" si="403"/>
        <v/>
      </c>
      <c r="GZ104" s="481"/>
      <c r="HA104" s="288"/>
      <c r="HB104" s="240"/>
      <c r="HC104" s="240"/>
      <c r="HD104" s="240"/>
      <c r="HE104" s="240"/>
      <c r="HF104" s="240"/>
      <c r="HG104" s="240"/>
      <c r="HH104" s="240"/>
      <c r="HI104" s="240"/>
      <c r="HJ104" s="240"/>
      <c r="HK104" s="240"/>
      <c r="HL104" s="240"/>
      <c r="HM104" s="240"/>
      <c r="HN104" s="240"/>
      <c r="HO104" s="240"/>
      <c r="HP104" s="240"/>
      <c r="HQ104" s="240"/>
      <c r="HR104" s="240"/>
      <c r="HS104" s="240"/>
      <c r="HT104" s="240"/>
      <c r="HU104" s="240"/>
      <c r="HV104" s="245"/>
      <c r="HW104" s="245" t="b">
        <v>1</v>
      </c>
      <c r="HX104" s="245" t="str">
        <f t="shared" si="288"/>
        <v/>
      </c>
      <c r="HY104" s="245" t="e">
        <f t="shared" si="289"/>
        <v>#DIV/0!</v>
      </c>
      <c r="HZ104" s="245" t="e">
        <f t="shared" si="290"/>
        <v>#DIV/0!</v>
      </c>
      <c r="IA104" s="245">
        <f t="shared" si="291"/>
        <v>0</v>
      </c>
      <c r="IB104" s="245"/>
      <c r="IC104" t="b">
        <f t="shared" si="292"/>
        <v>1</v>
      </c>
      <c r="ID104" s="245" t="b">
        <f t="shared" si="293"/>
        <v>1</v>
      </c>
      <c r="IE104" s="245" t="b">
        <f t="shared" si="294"/>
        <v>1</v>
      </c>
      <c r="IF104" s="245" t="b">
        <f t="shared" si="295"/>
        <v>0</v>
      </c>
      <c r="IG104" s="245" t="b">
        <f t="shared" si="296"/>
        <v>1</v>
      </c>
      <c r="IH104" s="245" t="b">
        <f t="shared" si="297"/>
        <v>1</v>
      </c>
      <c r="II104" s="245">
        <f t="shared" si="404"/>
        <v>0</v>
      </c>
      <c r="IJ104" s="245" t="e">
        <f t="shared" si="298"/>
        <v>#VALUE!</v>
      </c>
      <c r="IK104" s="245" t="e">
        <f t="shared" si="299"/>
        <v>#VALUE!</v>
      </c>
      <c r="IL104" s="245"/>
      <c r="IM104" s="245" t="e">
        <f t="shared" si="405"/>
        <v>#N/A</v>
      </c>
      <c r="IN104" s="245" t="e">
        <f t="shared" si="406"/>
        <v>#N/A</v>
      </c>
      <c r="IO104" s="245"/>
      <c r="IP104" s="245"/>
      <c r="IQ104" s="245" t="str">
        <f t="shared" si="300"/>
        <v/>
      </c>
      <c r="IR104" s="245" t="str">
        <f>IF(J104="","",VLOOKUP(J104,Worksheet!$R$4:$T$14,2))</f>
        <v/>
      </c>
      <c r="IS104" s="245"/>
      <c r="IT104" s="245">
        <f t="shared" si="301"/>
        <v>0</v>
      </c>
      <c r="IU104" s="245">
        <f t="shared" si="302"/>
        <v>0</v>
      </c>
      <c r="IV104" s="245">
        <f t="shared" si="303"/>
        <v>0</v>
      </c>
      <c r="IW104" s="245">
        <f t="shared" si="304"/>
        <v>0</v>
      </c>
      <c r="IX104" s="245">
        <f t="shared" si="407"/>
        <v>0</v>
      </c>
      <c r="IY104" s="245">
        <f t="shared" si="305"/>
        <v>0</v>
      </c>
      <c r="IZ104" s="245">
        <f t="shared" si="306"/>
        <v>0</v>
      </c>
      <c r="JA104">
        <f t="shared" si="307"/>
        <v>0</v>
      </c>
      <c r="JB104">
        <f t="shared" si="408"/>
        <v>0</v>
      </c>
      <c r="JC104">
        <f t="shared" si="308"/>
        <v>0</v>
      </c>
      <c r="JD104">
        <f t="shared" si="309"/>
        <v>0</v>
      </c>
      <c r="JE104">
        <f t="shared" si="310"/>
        <v>0</v>
      </c>
      <c r="JF104">
        <f t="shared" si="311"/>
        <v>0</v>
      </c>
      <c r="JG104">
        <f t="shared" si="312"/>
        <v>0</v>
      </c>
      <c r="JH104">
        <f t="shared" si="313"/>
        <v>0</v>
      </c>
      <c r="JI104">
        <f t="shared" si="314"/>
        <v>0</v>
      </c>
      <c r="JJ104" s="447">
        <f t="shared" si="315"/>
        <v>0</v>
      </c>
      <c r="JK104" s="447">
        <f t="shared" si="316"/>
        <v>0</v>
      </c>
      <c r="JL104">
        <f t="shared" si="317"/>
        <v>0</v>
      </c>
      <c r="JM104" s="245" t="str">
        <f>IFERROR(VLOOKUP(MATCH(BN104,#REF!,0),#REF!,7),"")</f>
        <v/>
      </c>
      <c r="JN104" t="e">
        <f>HLOOKUP(LEFT(BO104,7),Discharge_Area,MATCH(JO104,LookUps!$B$130:$B$149,1)+2)</f>
        <v>#N/A</v>
      </c>
      <c r="JO104" t="str">
        <f t="shared" si="318"/>
        <v>- S</v>
      </c>
      <c r="JP104" t="e">
        <f>HLOOKUP(LEFT(BO104,7),Discharge_Area,MATCH(JO104,LookUps!$B$130:$B$149,1)+2)</f>
        <v>#N/A</v>
      </c>
      <c r="JQ104" t="e">
        <f t="shared" si="319"/>
        <v>#N/A</v>
      </c>
      <c r="JR104" t="e">
        <f t="shared" si="320"/>
        <v>#N/A</v>
      </c>
      <c r="JS104" t="e">
        <f t="shared" si="321"/>
        <v>#N/A</v>
      </c>
      <c r="JT104" s="532" t="str">
        <f t="shared" si="322"/>
        <v xml:space="preserve"> </v>
      </c>
      <c r="JU104" s="532" t="str">
        <f t="shared" si="323"/>
        <v xml:space="preserve"> </v>
      </c>
      <c r="JV104" s="533" t="str">
        <f t="shared" si="324"/>
        <v xml:space="preserve"> </v>
      </c>
      <c r="JW104" s="534">
        <f t="shared" si="325"/>
        <v>0</v>
      </c>
      <c r="JX104" s="535" t="str">
        <f t="shared" si="409"/>
        <v xml:space="preserve"> </v>
      </c>
      <c r="JY104" s="535" t="str">
        <f t="shared" si="410"/>
        <v xml:space="preserve"> </v>
      </c>
      <c r="JZ104" s="535" t="str">
        <f t="shared" si="411"/>
        <v xml:space="preserve"> </v>
      </c>
      <c r="KA104" s="536" t="str">
        <f t="shared" si="326"/>
        <v xml:space="preserve"> </v>
      </c>
      <c r="KB104" s="535" t="e">
        <f t="shared" si="412"/>
        <v>#VALUE!</v>
      </c>
      <c r="KC104" s="535" t="str">
        <f t="shared" si="327"/>
        <v/>
      </c>
      <c r="KD104" s="537" t="str">
        <f t="shared" si="413"/>
        <v xml:space="preserve"> </v>
      </c>
      <c r="KE104" s="537" t="str">
        <f t="shared" si="414"/>
        <v xml:space="preserve"> </v>
      </c>
      <c r="KF104" s="534">
        <f t="shared" si="328"/>
        <v>0</v>
      </c>
      <c r="KG104" s="535" t="str">
        <f t="shared" si="329"/>
        <v xml:space="preserve"> </v>
      </c>
      <c r="KH104" s="535" t="str">
        <f t="shared" si="330"/>
        <v xml:space="preserve"> </v>
      </c>
      <c r="KI104" s="535" t="str">
        <f t="shared" si="331"/>
        <v xml:space="preserve"> </v>
      </c>
      <c r="KJ104" s="536" t="str">
        <f t="shared" si="332"/>
        <v xml:space="preserve"> </v>
      </c>
      <c r="KK104" s="535" t="str">
        <f t="shared" si="415"/>
        <v xml:space="preserve"> </v>
      </c>
      <c r="KL104" s="535" t="str">
        <f t="shared" si="416"/>
        <v xml:space="preserve"> </v>
      </c>
      <c r="KM104" s="537" t="str">
        <f t="shared" si="333"/>
        <v xml:space="preserve"> </v>
      </c>
      <c r="KN104" s="537" t="str">
        <f t="shared" si="417"/>
        <v xml:space="preserve"> </v>
      </c>
      <c r="KP104">
        <f t="shared" si="334"/>
        <v>0</v>
      </c>
      <c r="LA104" t="e">
        <f t="shared" si="335"/>
        <v>#VALUE!</v>
      </c>
      <c r="LB104" t="e">
        <f t="shared" si="336"/>
        <v>#VALUE!</v>
      </c>
      <c r="LC104" t="e">
        <f t="shared" si="337"/>
        <v>#VALUE!</v>
      </c>
      <c r="LD104" t="e">
        <f t="shared" si="338"/>
        <v>#VALUE!</v>
      </c>
      <c r="LE104" t="e">
        <f t="shared" si="418"/>
        <v>#VALUE!</v>
      </c>
      <c r="LF104">
        <f t="shared" si="339"/>
        <v>0</v>
      </c>
      <c r="LG104" t="e">
        <f t="shared" si="419"/>
        <v>#VALUE!</v>
      </c>
      <c r="LH104" t="str">
        <f t="shared" si="340"/>
        <v xml:space="preserve"> </v>
      </c>
      <c r="LI104">
        <f t="shared" si="420"/>
        <v>1</v>
      </c>
    </row>
    <row r="105" spans="2:321" ht="15" customHeight="1">
      <c r="B105" s="311"/>
      <c r="C105" s="311"/>
      <c r="D105" s="312"/>
      <c r="E105" s="311"/>
      <c r="F105" s="312"/>
      <c r="G105" s="311"/>
      <c r="H105" s="311"/>
      <c r="I105" s="37"/>
      <c r="J105" s="311"/>
      <c r="K105" s="305" t="str">
        <f t="shared" si="341"/>
        <v/>
      </c>
      <c r="L105" s="313"/>
      <c r="M105" s="312"/>
      <c r="N105" s="311"/>
      <c r="O105" s="312"/>
      <c r="P105" s="311"/>
      <c r="Q105" s="305" t="str">
        <f t="shared" si="342"/>
        <v/>
      </c>
      <c r="R105" s="314"/>
      <c r="S105" s="450" t="str">
        <f t="shared" si="225"/>
        <v/>
      </c>
      <c r="T105" s="315"/>
      <c r="U105" s="315"/>
      <c r="W105" s="149" t="str">
        <f t="shared" si="226"/>
        <v xml:space="preserve"> </v>
      </c>
      <c r="X105" s="243" t="str">
        <f t="shared" si="227"/>
        <v xml:space="preserve"> </v>
      </c>
      <c r="Y105" s="150" t="str">
        <f t="shared" si="228"/>
        <v/>
      </c>
      <c r="Z105" s="149" t="str">
        <f t="shared" si="229"/>
        <v xml:space="preserve"> </v>
      </c>
      <c r="AA105" s="98" t="str">
        <f t="shared" si="230"/>
        <v xml:space="preserve"> </v>
      </c>
      <c r="AB105" s="153" t="str">
        <f t="shared" si="231"/>
        <v xml:space="preserve"> </v>
      </c>
      <c r="AC105" s="153" t="str">
        <f t="shared" si="232"/>
        <v xml:space="preserve"> </v>
      </c>
      <c r="AD105" s="148" t="str">
        <f t="shared" si="233"/>
        <v/>
      </c>
      <c r="AE105" s="149" t="str">
        <f t="shared" si="234"/>
        <v/>
      </c>
      <c r="AF105" s="151" t="str">
        <f t="shared" si="235"/>
        <v xml:space="preserve"> </v>
      </c>
      <c r="AG105" s="153" t="str">
        <f t="shared" si="236"/>
        <v xml:space="preserve"> </v>
      </c>
      <c r="AH105" s="98" t="str">
        <f t="shared" si="237"/>
        <v xml:space="preserve"> </v>
      </c>
      <c r="AI105" s="149" t="str">
        <f t="shared" si="238"/>
        <v xml:space="preserve"> </v>
      </c>
      <c r="AK105" s="144" t="str">
        <f t="shared" si="239"/>
        <v xml:space="preserve"> </v>
      </c>
      <c r="AL105" s="144"/>
      <c r="AM105" s="243" t="str">
        <f t="shared" si="240"/>
        <v xml:space="preserve"> </v>
      </c>
      <c r="AN105" s="149" t="str">
        <f t="shared" si="343"/>
        <v xml:space="preserve"> </v>
      </c>
      <c r="AO105" s="144" t="str">
        <f>IF(JB105&gt;0,IF(GI105=10,-R105*1.085*(Calculation!$F$6-Calculation!$F$13)*$S$14," "),"")</f>
        <v/>
      </c>
      <c r="AP105" s="144" t="str">
        <f t="shared" si="241"/>
        <v/>
      </c>
      <c r="AQ105" s="56" t="str">
        <f t="shared" si="242"/>
        <v/>
      </c>
      <c r="AR105" s="144" t="str">
        <f t="shared" si="243"/>
        <v/>
      </c>
      <c r="AS105" s="176" t="str">
        <f t="shared" si="244"/>
        <v/>
      </c>
      <c r="AT105" s="176" t="str">
        <f t="shared" si="344"/>
        <v xml:space="preserve"> </v>
      </c>
      <c r="AU105" s="176" t="str">
        <f t="shared" si="245"/>
        <v/>
      </c>
      <c r="AV105" s="177" t="str">
        <f t="shared" si="246"/>
        <v xml:space="preserve"> </v>
      </c>
      <c r="AW105" s="144" t="str">
        <f t="shared" si="247"/>
        <v xml:space="preserve"> </v>
      </c>
      <c r="AX105" s="144" t="str">
        <f t="shared" si="248"/>
        <v xml:space="preserve"> </v>
      </c>
      <c r="AY105" s="152" t="str">
        <f t="shared" si="249"/>
        <v xml:space="preserve"> </v>
      </c>
      <c r="AZ105" s="246" t="str">
        <f t="shared" si="250"/>
        <v/>
      </c>
      <c r="BA105" s="176" t="str">
        <f t="shared" si="251"/>
        <v xml:space="preserve"> </v>
      </c>
      <c r="BB105" s="176" t="str">
        <f t="shared" si="252"/>
        <v xml:space="preserve"> </v>
      </c>
      <c r="BC105" s="195"/>
      <c r="BD105" s="316"/>
      <c r="BE105" s="317"/>
      <c r="BF105" s="318"/>
      <c r="BG105" s="318"/>
      <c r="BH105" s="144" t="str">
        <f t="shared" si="421"/>
        <v xml:space="preserve"> </v>
      </c>
      <c r="BI105" s="176" t="str">
        <f t="shared" si="253"/>
        <v/>
      </c>
      <c r="BJ105" s="144" t="str">
        <f t="shared" si="422"/>
        <v/>
      </c>
      <c r="BK105" s="246" t="str">
        <f t="shared" si="254"/>
        <v/>
      </c>
      <c r="BL105" s="144" t="str">
        <f t="shared" si="423"/>
        <v/>
      </c>
      <c r="BM105" s="246" t="str">
        <f t="shared" si="255"/>
        <v/>
      </c>
      <c r="BN105" s="337" t="str">
        <f t="shared" si="345"/>
        <v/>
      </c>
      <c r="BO105" s="371" t="str">
        <f t="shared" si="346"/>
        <v/>
      </c>
      <c r="BP105" s="328" t="str">
        <f t="shared" si="424"/>
        <v xml:space="preserve"> </v>
      </c>
      <c r="BQ105" s="347" t="str">
        <f t="shared" si="347"/>
        <v xml:space="preserve"> </v>
      </c>
      <c r="BR105" s="353" t="str">
        <f t="shared" si="348"/>
        <v xml:space="preserve"> </v>
      </c>
      <c r="BS105" s="626" t="str">
        <f>IF(L105&gt;0,IF(Calculation!P105="M13",BR105*3.1416*(0.134^2)/(4*144),IF(Calculation!P105="M17",BR105*3.1416*(0.165^2)/(4*144),IF(Calculation!P105="M20",BR105*3.1416*(0.198^2)/(4*144),IF(Calculation!P105="M23",BR105*3.1416*(0.228^2)/(4*144),IF(Calculation!P105="M27",BR105*3.1416*(0.269^2)/(4*144),BR105*3.1416*(0.307^2)/(4*144))))))," ")</f>
        <v xml:space="preserve"> </v>
      </c>
      <c r="BT105" s="353" t="str">
        <f>IF(L105&gt;0,IF(BS105&gt;0,R105/Calculation!BS105,0)," ")</f>
        <v xml:space="preserve"> </v>
      </c>
      <c r="BU105" s="438" t="e">
        <f t="shared" ca="1" si="256"/>
        <v>#VALUE!</v>
      </c>
      <c r="BV105" s="449" t="e">
        <f ca="1">INDEX(INDIRECT(VLOOKUP(LEFT(BO105,7),CLU!$Z$3:$AH$18,2)),GN105,GR105)</f>
        <v>#N/A</v>
      </c>
      <c r="BW105" s="433" t="e">
        <f ca="1">INDEX(INDIRECT(VLOOKUP(LEFT(BO105,7),CLU!$Z$3:$AH$18,3)),GN105,GR105)</f>
        <v>#N/A</v>
      </c>
      <c r="BX105" s="433" t="e">
        <f ca="1">INDEX(INDIRECT(VLOOKUP(LEFT(BO105,7),CLU!$Z$3:$AH$18,4)),GN105,GR105)</f>
        <v>#N/A</v>
      </c>
      <c r="BY105" s="433" t="e">
        <f ca="1">INDEX(INDIRECT(VLOOKUP(LEFT(BO105,7),CLU!$Z$3:$AH$18,9)),((M105-2)*(6-COUNTBLANK(GT105:GY105)))+GJ105)</f>
        <v>#N/A</v>
      </c>
      <c r="BZ105" s="426" t="e">
        <f t="shared" ca="1" si="349"/>
        <v>#N/A</v>
      </c>
      <c r="CA105" s="424" t="e">
        <f t="shared" ca="1" si="350"/>
        <v>#N/A</v>
      </c>
      <c r="CB105" s="429" t="e">
        <f ca="1">INDEX(INDIRECT(VLOOKUP(LEFT(BO105,7),CLU!$Z$3:$AH$18,2)),GN105,GS105)</f>
        <v>#N/A</v>
      </c>
      <c r="CC105" s="342" t="e">
        <f ca="1">INDEX(INDIRECT(VLOOKUP(LEFT(BO105,7),CLU!$Z$3:$AH$18,3)),GN105,GS105)</f>
        <v>#N/A</v>
      </c>
      <c r="CD105" s="342" t="e">
        <f ca="1">INDEX(INDIRECT(VLOOKUP(LEFT(BO105,7),CLU!$Z$3:$AH$18,4)),GN105,GS105)</f>
        <v>#N/A</v>
      </c>
      <c r="CE105" s="426" t="e">
        <f t="shared" ca="1" si="351"/>
        <v>#N/A</v>
      </c>
      <c r="CF105" s="440">
        <f t="shared" si="352"/>
        <v>0</v>
      </c>
      <c r="CG105" s="431" t="e">
        <f ca="1">INDEX(INDIRECT(VLOOKUP(LEFT(BO105,7),CLU!$Z$3:$AH$18,2)),GQ105,GR105)</f>
        <v>#N/A</v>
      </c>
      <c r="CH105" s="431" t="e">
        <f ca="1">INDEX(INDIRECT(VLOOKUP(LEFT(BO105,7),CLU!$Z$3:$AH$18,3)),GQ105,GR105)</f>
        <v>#N/A</v>
      </c>
      <c r="CI105" s="431" t="e">
        <f ca="1">INDEX(INDIRECT(VLOOKUP(LEFT(BO105,7),CLU!$Z$3:$AH$18,4)),GQ105,GR105)</f>
        <v>#N/A</v>
      </c>
      <c r="CJ105" s="448" t="e">
        <f t="shared" ca="1" si="353"/>
        <v>#N/A</v>
      </c>
      <c r="CK105" s="431" t="e">
        <f t="shared" ca="1" si="354"/>
        <v>#N/A</v>
      </c>
      <c r="CL105" s="440" t="e">
        <f t="shared" ca="1" si="355"/>
        <v>#N/A</v>
      </c>
      <c r="CM105" s="431" t="e">
        <f ca="1">INDEX(INDIRECT(VLOOKUP(LEFT(BO105,7),CLU!$Z$3:$AH$18,2)),GQ105,GS105)</f>
        <v>#N/A</v>
      </c>
      <c r="CN105" s="431" t="e">
        <f ca="1">INDEX(INDIRECT(VLOOKUP(LEFT(BO105,7),CLU!$Z$3:$AH$18,3)),GQ105,GS105)</f>
        <v>#N/A</v>
      </c>
      <c r="CO105" s="431" t="e">
        <f ca="1">INDEX(INDIRECT(VLOOKUP(LEFT(BO105,7),CLU!$Z$3:$AH$18,4)),GQ105,GS105)</f>
        <v>#N/A</v>
      </c>
      <c r="CP105" s="431" t="e">
        <f t="shared" ca="1" si="356"/>
        <v>#N/A</v>
      </c>
      <c r="CQ105" s="440">
        <f t="shared" si="357"/>
        <v>0</v>
      </c>
      <c r="CR105" s="51" t="e">
        <f t="shared" ca="1" si="358"/>
        <v>#N/A</v>
      </c>
      <c r="CS105" s="439" t="e">
        <f t="shared" ca="1" si="359"/>
        <v>#VALUE!</v>
      </c>
      <c r="CT105" s="51" t="e">
        <f t="shared" ca="1" si="360"/>
        <v>#VALUE!</v>
      </c>
      <c r="CU105" s="10"/>
      <c r="CV105" s="51" t="e">
        <f t="shared" ca="1" si="257"/>
        <v>#VALUE!</v>
      </c>
      <c r="CW105" s="51">
        <f t="shared" si="361"/>
        <v>0</v>
      </c>
      <c r="CX105" s="439" t="e">
        <f t="shared" ca="1" si="362"/>
        <v>#VALUE!</v>
      </c>
      <c r="CY105" s="51" t="e">
        <f t="shared" ca="1" si="363"/>
        <v>#VALUE!</v>
      </c>
      <c r="CZ105" s="10"/>
      <c r="DA105" s="51" t="e">
        <f t="shared" ca="1" si="364"/>
        <v>#VALUE!</v>
      </c>
      <c r="DB105" s="347" t="e">
        <f ca="1">INDEX(INDIRECT(VLOOKUP(LEFT(BO105,7),CLU!$Z$3:$AI$18,10)),((M105-2)*(6-COUNTBLANK(GT105:GY105)))+GJ105)*LI105</f>
        <v>#N/A</v>
      </c>
      <c r="DC105" s="347" t="str">
        <f>IF(L105&gt;0,((R105/Worksheet!$I$15)/DB105)^2," ")</f>
        <v xml:space="preserve"> </v>
      </c>
      <c r="DD105" s="602" t="str">
        <f t="shared" si="365"/>
        <v xml:space="preserve"> </v>
      </c>
      <c r="DE105" s="347" t="str">
        <f t="shared" si="258"/>
        <v xml:space="preserve"> </v>
      </c>
      <c r="DF105" s="356" t="e">
        <f ca="1">INDEX(INDIRECT(VLOOKUP(LEFT(BO105,7),CLU!$Z$3:$AH$18,8)),((M105-2)*(6-COUNTBLANK(GT105:GY105)))+GJ105)</f>
        <v>#N/A</v>
      </c>
      <c r="DG105" s="347" t="str">
        <f t="shared" si="259"/>
        <v xml:space="preserve"> </v>
      </c>
      <c r="DH105" s="357" t="str">
        <f t="shared" si="260"/>
        <v xml:space="preserve"> </v>
      </c>
      <c r="DI105" s="355" t="str">
        <f t="shared" si="261"/>
        <v xml:space="preserve"> </v>
      </c>
      <c r="DJ105" s="245" t="e">
        <f ca="1">INDEX(INDIRECT(VLOOKUP(LEFT(BO105,7),CLU!$Z$3:$AH$18,5)),GL105,GK105)</f>
        <v>#N/A</v>
      </c>
      <c r="DK105" s="245" t="e">
        <f ca="1">INDEX(INDIRECT(VLOOKUP(LEFT(BO105,7),CLU!$Z$3:$AH$18,6)),GL105,GK105)</f>
        <v>#N/A</v>
      </c>
      <c r="DL105" s="355">
        <f>(Calculation!R105*0.69143*(Calculation!$BQ$8-Calculation!$F$8))*$S$14</f>
        <v>0</v>
      </c>
      <c r="DM105" s="359" t="e">
        <f t="shared" si="366"/>
        <v>#VALUE!</v>
      </c>
      <c r="DN105" s="611">
        <f t="shared" si="367"/>
        <v>0</v>
      </c>
      <c r="DO105" s="359">
        <f t="shared" si="368"/>
        <v>100</v>
      </c>
      <c r="DP105" s="359">
        <f t="shared" si="369"/>
        <v>0</v>
      </c>
      <c r="DQ105" s="360"/>
      <c r="DR105" s="245" t="e">
        <f ca="1">INDEX(INDIRECT(VLOOKUP(LEFT(BO105,7),CLU!$Z$3:$AH$18,7)),M105-1,1)</f>
        <v>#N/A</v>
      </c>
      <c r="DS105" s="245" t="e">
        <f ca="1">INDEX(INDIRECT(VLOOKUP(LEFT(BO105,7),CLU!$Z$3:$AH$18,7)),M105-1,2)</f>
        <v>#N/A</v>
      </c>
      <c r="DT105" s="245" t="e">
        <f ca="1">INDEX(INDIRECT(VLOOKUP(LEFT(BO105,7),CLU!$Z$3:$AH$18,7)),M105-1,3)</f>
        <v>#N/A</v>
      </c>
      <c r="DU105" s="245" t="e">
        <f ca="1">INDEX(INDIRECT(VLOOKUP(LEFT(BO105,7),CLU!$Z$3:$AH$18,7)),M105-1,4)</f>
        <v>#N/A</v>
      </c>
      <c r="DV105" s="361" t="e">
        <f ca="1">INDEX(INDIRECT(VLOOKUP(LEFT(BO105,7),CLU!$Z$3:$AH$18,7)),M105-1,4+LEFT(DZ105,1)*0.5)</f>
        <v>#N/A</v>
      </c>
      <c r="DW105" s="245" t="e">
        <f ca="1">INDEX(INDIRECT(VLOOKUP(LEFT(BO105,7),CLU!$Z$3:$AH$18,7)),M105-1,8)</f>
        <v>#N/A</v>
      </c>
      <c r="DX105" s="361" t="str">
        <f t="shared" si="262"/>
        <v xml:space="preserve"> </v>
      </c>
      <c r="DY105" s="361" t="str">
        <f t="shared" si="263"/>
        <v xml:space="preserve"> </v>
      </c>
      <c r="DZ105" s="361" t="str">
        <f t="shared" si="264"/>
        <v xml:space="preserve"> </v>
      </c>
      <c r="EA105" s="362" t="str">
        <f t="shared" si="265"/>
        <v xml:space="preserve"> </v>
      </c>
      <c r="EB105" s="624" t="str">
        <f t="shared" si="370"/>
        <v xml:space="preserve"> </v>
      </c>
      <c r="EC105" s="361" t="e">
        <f ca="1">INDEX(INDIRECT(VLOOKUP(LEFT(BO105,7),CLU!$Z$3:$AH$18,7)),M105-1,4+LEFT(DZ105,1)*0.5)</f>
        <v>#N/A</v>
      </c>
      <c r="ED105" s="362" t="str">
        <f t="shared" si="266"/>
        <v xml:space="preserve"> </v>
      </c>
      <c r="EE105" s="361" t="str">
        <f t="shared" si="267"/>
        <v xml:space="preserve"> </v>
      </c>
      <c r="EF105" s="362" t="str">
        <f>IF(L105&gt;0,IF(BR105&gt;0,IF(EE105="2P",IF(Calculation!DZ105="2P",IF(Calculation!DS105=13.75,IF(Calculation!DR105=13,Worksheet!$BD$43,IF(Calculation!DR105=37,Worksheet!$BD$44,Worksheet!$BD$45)),IF(Calculation!DS105=10,IF(Calculation!DR105=18,Worksheet!$BD$29,IF(Calculation!DR105=30,Worksheet!$BD$30,IF(Calculation!DR105=42,Worksheet!$BD$31,IF(Calculation!DR105=54,Worksheet!$BD$32,IF(Calculation!DR105=66,Worksheet!$BD$33,IF(Calculation!DR105=78,Worksheet!$BD$34,IF(Calculation!DR105=90,Worksheet!$BD$35,IF(Calculation!DR105=102,Worksheet!$BD$36,Worksheet!$BD$37)))))))),IF(Calculation!DS105=12.5,IF(Calculation!DR105=18,Worksheet!$BD$38,IF(Calculation!DR105=Worksheet!$BD$39,IF(Calculation!DR105=42,Worksheet!$BD$40,IF(Calculation!DR105=54,Worksheet!$BD$41,Worksheet!$BD$42)))),IF(Calculation!DR105=18,Worksheet!$BD$11,IF(Calculation!DR105=30,Worksheet!$BD$12,IF(Calculation!DR105=42,Worksheet!$BD$13,IF(Calculation!DR105=54,Worksheet!$BD$14,IF(Calculation!DR105=66,Worksheet!$BD$15,IF(Calculation!DR105=78,Worksheet!$BD$16,IF(Calculation!DR105=90,Worksheet!$BD$17,IF(Calculation!DR105=102,Worksheet!$BD$18,Worksheet!$BD$19))))))))))),IF(Calculation!DS105=13.75,IF(Calculation!DR105=13,Worksheet!$BD$78,IF(Calculation!DR105=37,Worksheet!$BD$79,Worksheet!$BD$80)),IF(Calculation!DS105=10,IF(Calculation!DR105=18,Worksheet!$BD$64,IF(Calculation!DR105=30,Worksheet!$BD$65,IF(Calculation!DR105=42,Worksheet!$BD$66,IF(Calculation!DR105=54,Worksheet!$BD$68,IF(Calculation!DR105=66,Worksheet!$BD$68,IF(Calculation!DR105=78,Worksheet!$BD$69,IF(Calculation!DR105=90,Worksheet!$BD$70,IF(Calculation!DR105=102,Worksheet!$BD$71,Worksheet!$BD$72)))))))),IF(Calculation!DS105=12.5,IF(Calculation!DR105=18,Worksheet!$BD$73,IF(Calculation!DR105=Worksheet!$BD$74,IF(Calculation!DR105=42,Worksheet!$BD$75,IF(Calculation!DR105=54,Worksheet!$BD$76,Worksheet!$BD$77)))),IF(Calculation!DR105=18,Worksheet!$BD$55,IF(Calculation!DR105=30,Worksheet!$BD$56,IF(Calculation!DR105=42,Worksheet!$BD$57,IF(Calculation!DR105=54,Worksheet!$BD$58,IF(Calculation!DR105=66,Worksheet!$BD$59,IF(Calculation!DR105=78,Worksheet!$BD$60,IF(Calculation!DR105=90,Worksheet!$BD$61,IF(Calculation!DR105=102,Worksheet!$BD$62,Worksheet!$BD$63)))))))))))),5),0)," ")</f>
        <v xml:space="preserve"> </v>
      </c>
      <c r="EG105" s="361" t="str">
        <f t="shared" si="268"/>
        <v xml:space="preserve"> </v>
      </c>
      <c r="EH105" s="361" t="e">
        <f ca="1">INDEX(INDIRECT(VLOOKUP(LEFT(BO105,7),CLU!$Z$3:$AH$18,7)),M105-1,3+LEFT(DZ105,1))</f>
        <v>#N/A</v>
      </c>
      <c r="EI105" s="362" t="str">
        <f t="shared" si="269"/>
        <v xml:space="preserve"> </v>
      </c>
      <c r="EJ105" s="363" t="str">
        <f t="shared" si="270"/>
        <v xml:space="preserve"> </v>
      </c>
      <c r="EK105" s="363" t="str">
        <f t="shared" si="271"/>
        <v xml:space="preserve"> </v>
      </c>
      <c r="EL105" s="363" t="str">
        <f t="shared" si="272"/>
        <v xml:space="preserve"> </v>
      </c>
      <c r="EM105" s="362" t="str">
        <f>IF(L105&gt;0,IF(BR105&gt;0,(Calculation!T105/ED105)^2,0)," ")</f>
        <v xml:space="preserve"> </v>
      </c>
      <c r="EN105" s="362" t="str">
        <f>IF(L105&gt;0,IF(O105="2 Pipe (Cooling)","N/A",IF(BR105&gt;0,(Calculation!U105/EI105)^2,0))," ")</f>
        <v xml:space="preserve"> </v>
      </c>
      <c r="EO105" s="361" t="str">
        <f t="shared" si="273"/>
        <v/>
      </c>
      <c r="EP105" s="361" t="str">
        <f t="shared" si="274"/>
        <v/>
      </c>
      <c r="EQ105" s="361" t="str">
        <f t="shared" si="275"/>
        <v/>
      </c>
      <c r="ER105" s="361" t="str">
        <f t="shared" si="276"/>
        <v/>
      </c>
      <c r="ES105" s="361" t="str">
        <f t="shared" si="277"/>
        <v/>
      </c>
      <c r="ET105" s="361" t="str">
        <f t="shared" si="278"/>
        <v/>
      </c>
      <c r="EU105" s="361" t="str">
        <f t="shared" si="279"/>
        <v/>
      </c>
      <c r="EV105" s="361" t="str">
        <f t="shared" si="280"/>
        <v/>
      </c>
      <c r="EW105" s="361" t="str">
        <f t="shared" si="281"/>
        <v/>
      </c>
      <c r="EX105" s="361" t="str">
        <f t="shared" si="371"/>
        <v>1 slot, 1 way</v>
      </c>
      <c r="EY105" s="361" t="str">
        <f t="shared" si="372"/>
        <v xml:space="preserve"> </v>
      </c>
      <c r="EZ105" s="361" t="str">
        <f t="shared" si="373"/>
        <v xml:space="preserve"> </v>
      </c>
      <c r="FA105" s="361" t="str">
        <f t="shared" si="374"/>
        <v xml:space="preserve"> </v>
      </c>
      <c r="FB105" s="361" t="str">
        <f t="shared" si="375"/>
        <v xml:space="preserve"> </v>
      </c>
      <c r="FC105" s="361"/>
      <c r="FD105" s="361" t="str">
        <f>IF(J105&gt;0,IF(Calculation!R105&lt;=70,4,IF(Calculation!R105&lt;=110,5,IF(Calculation!R105&lt;=160,6,IF(Calculation!R105&lt;=300,8,"10 EO")))),"")</f>
        <v/>
      </c>
      <c r="FE105" s="361" t="str">
        <f t="shared" si="376"/>
        <v/>
      </c>
      <c r="FF105" s="361" t="str">
        <f t="shared" si="377"/>
        <v/>
      </c>
      <c r="FG105" s="361" t="e">
        <f t="shared" si="282"/>
        <v>#N/A</v>
      </c>
      <c r="FH105" s="361">
        <f t="shared" si="283"/>
        <v>0</v>
      </c>
      <c r="FI105" s="361" t="e">
        <f t="shared" si="284"/>
        <v>#DIV/0!</v>
      </c>
      <c r="FJ105" s="361"/>
      <c r="FK105" s="356" t="e">
        <f t="shared" si="285"/>
        <v>#VALUE!</v>
      </c>
      <c r="FL105" s="361"/>
      <c r="FM105" s="361"/>
      <c r="FN105" s="362" t="str">
        <f t="shared" si="378"/>
        <v xml:space="preserve"> </v>
      </c>
      <c r="FO105" s="362" t="str">
        <f t="shared" si="379"/>
        <v xml:space="preserve"> </v>
      </c>
      <c r="FP105" s="362">
        <f t="shared" si="380"/>
        <v>0</v>
      </c>
      <c r="FQ105" s="361">
        <f t="shared" si="286"/>
        <v>0</v>
      </c>
      <c r="FR105" s="362" t="str">
        <f>IF(L105&gt;0,IF(J105="CBAL2",Worksheet!$P$67,IF(J105="CBE2-24",Worksheet!$Q$67,IF(J105="CBAM",Worksheet!$R$67,IF(J105="CBLV",Worksheet!$S$67,IF(J105="CBAB",Worksheet!$U$67,IF(J105="CBAW",Worksheet!$X$67,IF(J105="CBE2-12",Worksheet!$Y$67,IF(J105="CBAL2",Worksheet!$Z$67,"N/A"))))))))," ")</f>
        <v xml:space="preserve"> </v>
      </c>
      <c r="FS105" s="362" t="str">
        <f>IF(L105&gt;0,IF(J105="CBAL2",Worksheet!$P$68,IF(J105="CBE2-24",Worksheet!$Q$68,IF(J105="CBAM",Worksheet!$R$68,IF(J105="CBLV",Worksheet!$S$68,IF(J105="CBAB",Worksheet!$U$68,IF(J105="CBAW",Worksheet!$X$68,IF(J105="CBE2-12",Worksheet!$Y$68,IF(J105="CBAL2",Worksheet!$Z$68,"N/A"))))))))," ")</f>
        <v xml:space="preserve"> </v>
      </c>
      <c r="FT105" s="362" t="str">
        <f>IF(L105&gt;0,IF(J105="CBAL2",Worksheet!$P$69,IF(J105="CBE2-24",Worksheet!$Q$69,IF(J105="CBAM",Worksheet!$R$69,IF(J105="CBLV",Worksheet!$S$69,IF(J105="CBAB",Worksheet!$U$69,IF(J105="CBAW",Worksheet!$X$69,IF(J105="CBE2-12",Worksheet!$Y$69,IF(J105="CBAL2",Worksheet!$Z$69,"N/A"))))))))," ")</f>
        <v xml:space="preserve"> </v>
      </c>
      <c r="FU105" s="361" t="str">
        <f t="shared" si="381"/>
        <v xml:space="preserve"> </v>
      </c>
      <c r="FV105" s="362" t="str">
        <f t="shared" si="382"/>
        <v xml:space="preserve"> </v>
      </c>
      <c r="FW105" s="362" t="str">
        <f t="shared" si="383"/>
        <v xml:space="preserve"> </v>
      </c>
      <c r="FX105" s="362" t="str">
        <f t="shared" si="384"/>
        <v xml:space="preserve"> </v>
      </c>
      <c r="FY105" s="355" t="str">
        <f t="shared" si="385"/>
        <v xml:space="preserve"> </v>
      </c>
      <c r="FZ105" s="361" t="str">
        <f t="shared" si="386"/>
        <v xml:space="preserve"> </v>
      </c>
      <c r="GA105" s="347" t="str">
        <f t="shared" si="387"/>
        <v xml:space="preserve"> </v>
      </c>
      <c r="GB105" s="355" t="str">
        <f t="shared" si="388"/>
        <v xml:space="preserve"> </v>
      </c>
      <c r="GC105" s="328" t="str">
        <f t="shared" si="389"/>
        <v xml:space="preserve"> </v>
      </c>
      <c r="GD105" s="361" t="str">
        <f t="shared" si="390"/>
        <v xml:space="preserve"> </v>
      </c>
      <c r="GE105" s="347" t="str">
        <f t="shared" si="391"/>
        <v xml:space="preserve"> </v>
      </c>
      <c r="GF105" s="361" t="str">
        <f t="shared" si="392"/>
        <v xml:space="preserve"> </v>
      </c>
      <c r="GG105" s="347" t="str">
        <f t="shared" si="393"/>
        <v xml:space="preserve"> </v>
      </c>
      <c r="GH105" s="364">
        <f t="shared" si="287"/>
        <v>0</v>
      </c>
      <c r="GI105" s="362">
        <f t="shared" si="394"/>
        <v>2</v>
      </c>
      <c r="GJ105" s="433" t="e">
        <f>IF(6-COUNTBLANK(GT105:GY105)=4,MATCH(MID(BO105,9,3),CLU!$H$16:$K$16),MATCH(MID(BO105,9,3),CLU!$H$13:$M$13))</f>
        <v>#N/A</v>
      </c>
      <c r="GK105" s="433" t="e">
        <f>HLOOKUP(VALUE(BP105),CLU!$H$9:$M$10,2)</f>
        <v>#VALUE!</v>
      </c>
      <c r="GL105" s="433" t="e">
        <f ca="1">MATCH(BU105,CLU!$H$2:$V$2,1)</f>
        <v>#VALUE!</v>
      </c>
      <c r="GM105" s="433" t="e">
        <f t="shared" ca="1" si="395"/>
        <v>#VALUE!</v>
      </c>
      <c r="GN105" s="433" t="e">
        <f t="shared" ca="1" si="396"/>
        <v>#VALUE!</v>
      </c>
      <c r="GO105" s="433" t="e">
        <f t="shared" ca="1" si="397"/>
        <v>#VALUE!</v>
      </c>
      <c r="GP105" s="433" t="e">
        <f t="shared" ca="1" si="398"/>
        <v>#VALUE!</v>
      </c>
      <c r="GQ105" s="433" t="e">
        <f t="shared" ca="1" si="399"/>
        <v>#VALUE!</v>
      </c>
      <c r="GR105" s="433" t="e">
        <f ca="1">MATCH(T105,INDIRECT(VLOOKUP(CONCATENATE(LEFT(BO105,7),"-",MID(BO105,13,1)),CLU!$P$3:$Q$16,2)),1)</f>
        <v>#N/A</v>
      </c>
      <c r="GS105" s="433" t="e">
        <f ca="1">MATCH(U105,INDIRECT(VLOOKUP(CONCATENATE(LEFT(BO105,7),"-",MID(BO105,13,1)),CLU!$P$3:$Q$16,2)),1)</f>
        <v>#N/A</v>
      </c>
      <c r="GT105" s="347" t="s">
        <v>512</v>
      </c>
      <c r="GU105" s="97" t="s">
        <v>513</v>
      </c>
      <c r="GV105" s="97" t="str">
        <f t="shared" si="400"/>
        <v>M23</v>
      </c>
      <c r="GW105" s="97" t="str">
        <f t="shared" si="401"/>
        <v>M31</v>
      </c>
      <c r="GX105" s="97" t="str">
        <f t="shared" si="402"/>
        <v/>
      </c>
      <c r="GY105" s="97" t="str">
        <f t="shared" si="403"/>
        <v/>
      </c>
      <c r="GZ105" s="481"/>
      <c r="HA105" s="288"/>
      <c r="HB105" s="240"/>
      <c r="HC105" s="240"/>
      <c r="HD105" s="240"/>
      <c r="HE105" s="240"/>
      <c r="HF105" s="240"/>
      <c r="HG105" s="240"/>
      <c r="HH105" s="240"/>
      <c r="HI105" s="240"/>
      <c r="HJ105" s="240"/>
      <c r="HK105" s="240"/>
      <c r="HL105" s="240"/>
      <c r="HM105" s="240"/>
      <c r="HN105" s="240"/>
      <c r="HO105" s="240"/>
      <c r="HP105" s="240"/>
      <c r="HQ105" s="240"/>
      <c r="HR105" s="240"/>
      <c r="HS105" s="240"/>
      <c r="HT105" s="240"/>
      <c r="HU105" s="240"/>
      <c r="HV105" s="245"/>
      <c r="HW105" s="245" t="b">
        <v>1</v>
      </c>
      <c r="HX105" s="245" t="str">
        <f t="shared" si="288"/>
        <v/>
      </c>
      <c r="HY105" s="245" t="e">
        <f t="shared" si="289"/>
        <v>#DIV/0!</v>
      </c>
      <c r="HZ105" s="245" t="e">
        <f t="shared" si="290"/>
        <v>#DIV/0!</v>
      </c>
      <c r="IA105" s="245">
        <f t="shared" si="291"/>
        <v>0</v>
      </c>
      <c r="IB105" s="245"/>
      <c r="IC105" t="b">
        <f t="shared" si="292"/>
        <v>1</v>
      </c>
      <c r="ID105" s="245" t="b">
        <f t="shared" si="293"/>
        <v>1</v>
      </c>
      <c r="IE105" s="245" t="b">
        <f t="shared" si="294"/>
        <v>1</v>
      </c>
      <c r="IF105" s="245" t="b">
        <f t="shared" si="295"/>
        <v>0</v>
      </c>
      <c r="IG105" s="245" t="b">
        <f t="shared" si="296"/>
        <v>1</v>
      </c>
      <c r="IH105" s="245" t="b">
        <f t="shared" si="297"/>
        <v>1</v>
      </c>
      <c r="II105" s="245">
        <f t="shared" si="404"/>
        <v>0</v>
      </c>
      <c r="IJ105" s="245" t="e">
        <f t="shared" si="298"/>
        <v>#VALUE!</v>
      </c>
      <c r="IK105" s="245" t="e">
        <f t="shared" si="299"/>
        <v>#VALUE!</v>
      </c>
      <c r="IL105" s="245"/>
      <c r="IM105" s="245" t="e">
        <f t="shared" si="405"/>
        <v>#N/A</v>
      </c>
      <c r="IN105" s="245" t="e">
        <f t="shared" si="406"/>
        <v>#N/A</v>
      </c>
      <c r="IO105" s="245"/>
      <c r="IP105" s="245"/>
      <c r="IQ105" s="245" t="str">
        <f t="shared" si="300"/>
        <v/>
      </c>
      <c r="IR105" s="245" t="str">
        <f>IF(J105="","",VLOOKUP(J105,Worksheet!$R$4:$T$14,2))</f>
        <v/>
      </c>
      <c r="IS105" s="245"/>
      <c r="IT105" s="245">
        <f t="shared" si="301"/>
        <v>0</v>
      </c>
      <c r="IU105" s="245">
        <f t="shared" si="302"/>
        <v>0</v>
      </c>
      <c r="IV105" s="245">
        <f t="shared" si="303"/>
        <v>0</v>
      </c>
      <c r="IW105" s="245">
        <f t="shared" si="304"/>
        <v>0</v>
      </c>
      <c r="IX105" s="245">
        <f t="shared" si="407"/>
        <v>0</v>
      </c>
      <c r="IY105" s="245">
        <f t="shared" si="305"/>
        <v>0</v>
      </c>
      <c r="IZ105" s="245">
        <f t="shared" si="306"/>
        <v>0</v>
      </c>
      <c r="JA105">
        <f t="shared" si="307"/>
        <v>0</v>
      </c>
      <c r="JB105">
        <f t="shared" si="408"/>
        <v>0</v>
      </c>
      <c r="JC105">
        <f t="shared" si="308"/>
        <v>0</v>
      </c>
      <c r="JD105">
        <f t="shared" si="309"/>
        <v>0</v>
      </c>
      <c r="JE105">
        <f t="shared" si="310"/>
        <v>0</v>
      </c>
      <c r="JF105">
        <f t="shared" si="311"/>
        <v>0</v>
      </c>
      <c r="JG105">
        <f t="shared" si="312"/>
        <v>0</v>
      </c>
      <c r="JH105">
        <f t="shared" si="313"/>
        <v>0</v>
      </c>
      <c r="JI105">
        <f t="shared" si="314"/>
        <v>0</v>
      </c>
      <c r="JJ105" s="447">
        <f t="shared" si="315"/>
        <v>0</v>
      </c>
      <c r="JK105" s="447">
        <f t="shared" si="316"/>
        <v>0</v>
      </c>
      <c r="JL105">
        <f t="shared" si="317"/>
        <v>0</v>
      </c>
      <c r="JM105" s="245" t="str">
        <f>IFERROR(VLOOKUP(MATCH(BN105,#REF!,0),#REF!,7),"")</f>
        <v/>
      </c>
      <c r="JN105" t="e">
        <f>HLOOKUP(LEFT(BO105,7),Discharge_Area,MATCH(JO105,LookUps!$B$130:$B$149,1)+2)</f>
        <v>#N/A</v>
      </c>
      <c r="JO105" t="str">
        <f t="shared" si="318"/>
        <v>- S</v>
      </c>
      <c r="JP105" t="e">
        <f>HLOOKUP(LEFT(BO105,7),Discharge_Area,MATCH(JO105,LookUps!$B$130:$B$149,1)+2)</f>
        <v>#N/A</v>
      </c>
      <c r="JQ105" t="e">
        <f t="shared" si="319"/>
        <v>#N/A</v>
      </c>
      <c r="JR105" t="e">
        <f t="shared" si="320"/>
        <v>#N/A</v>
      </c>
      <c r="JS105" t="e">
        <f t="shared" si="321"/>
        <v>#N/A</v>
      </c>
      <c r="JT105" s="532" t="str">
        <f t="shared" si="322"/>
        <v xml:space="preserve"> </v>
      </c>
      <c r="JU105" s="532" t="str">
        <f t="shared" si="323"/>
        <v xml:space="preserve"> </v>
      </c>
      <c r="JV105" s="533" t="str">
        <f t="shared" si="324"/>
        <v xml:space="preserve"> </v>
      </c>
      <c r="JW105" s="534">
        <f t="shared" si="325"/>
        <v>0</v>
      </c>
      <c r="JX105" s="535" t="str">
        <f t="shared" si="409"/>
        <v xml:space="preserve"> </v>
      </c>
      <c r="JY105" s="535" t="str">
        <f t="shared" si="410"/>
        <v xml:space="preserve"> </v>
      </c>
      <c r="JZ105" s="535" t="str">
        <f t="shared" si="411"/>
        <v xml:space="preserve"> </v>
      </c>
      <c r="KA105" s="536" t="str">
        <f t="shared" si="326"/>
        <v xml:space="preserve"> </v>
      </c>
      <c r="KB105" s="535" t="e">
        <f t="shared" si="412"/>
        <v>#VALUE!</v>
      </c>
      <c r="KC105" s="535" t="str">
        <f t="shared" si="327"/>
        <v/>
      </c>
      <c r="KD105" s="537" t="str">
        <f t="shared" si="413"/>
        <v xml:space="preserve"> </v>
      </c>
      <c r="KE105" s="537" t="str">
        <f t="shared" si="414"/>
        <v xml:space="preserve"> </v>
      </c>
      <c r="KF105" s="534">
        <f t="shared" si="328"/>
        <v>0</v>
      </c>
      <c r="KG105" s="535" t="str">
        <f t="shared" si="329"/>
        <v xml:space="preserve"> </v>
      </c>
      <c r="KH105" s="535" t="str">
        <f t="shared" si="330"/>
        <v xml:space="preserve"> </v>
      </c>
      <c r="KI105" s="535" t="str">
        <f t="shared" si="331"/>
        <v xml:space="preserve"> </v>
      </c>
      <c r="KJ105" s="536" t="str">
        <f t="shared" si="332"/>
        <v xml:space="preserve"> </v>
      </c>
      <c r="KK105" s="535" t="str">
        <f t="shared" si="415"/>
        <v xml:space="preserve"> </v>
      </c>
      <c r="KL105" s="535" t="str">
        <f t="shared" si="416"/>
        <v xml:space="preserve"> </v>
      </c>
      <c r="KM105" s="537" t="str">
        <f t="shared" si="333"/>
        <v xml:space="preserve"> </v>
      </c>
      <c r="KN105" s="537" t="str">
        <f t="shared" si="417"/>
        <v xml:space="preserve"> </v>
      </c>
      <c r="KP105">
        <f t="shared" si="334"/>
        <v>0</v>
      </c>
      <c r="LA105" t="e">
        <f t="shared" si="335"/>
        <v>#VALUE!</v>
      </c>
      <c r="LB105" t="e">
        <f t="shared" si="336"/>
        <v>#VALUE!</v>
      </c>
      <c r="LC105" t="e">
        <f t="shared" si="337"/>
        <v>#VALUE!</v>
      </c>
      <c r="LD105" t="e">
        <f t="shared" si="338"/>
        <v>#VALUE!</v>
      </c>
      <c r="LE105" t="e">
        <f t="shared" si="418"/>
        <v>#VALUE!</v>
      </c>
      <c r="LF105">
        <f t="shared" si="339"/>
        <v>0</v>
      </c>
      <c r="LG105" t="e">
        <f t="shared" si="419"/>
        <v>#VALUE!</v>
      </c>
      <c r="LH105" t="str">
        <f t="shared" si="340"/>
        <v xml:space="preserve"> </v>
      </c>
      <c r="LI105">
        <f t="shared" si="420"/>
        <v>1</v>
      </c>
    </row>
    <row r="106" spans="2:321" ht="15" customHeight="1">
      <c r="B106" s="311"/>
      <c r="C106" s="311"/>
      <c r="D106" s="312"/>
      <c r="E106" s="311"/>
      <c r="F106" s="312"/>
      <c r="G106" s="311"/>
      <c r="H106" s="311"/>
      <c r="I106" s="37"/>
      <c r="J106" s="311"/>
      <c r="K106" s="305" t="str">
        <f t="shared" si="341"/>
        <v/>
      </c>
      <c r="L106" s="313"/>
      <c r="M106" s="312"/>
      <c r="N106" s="311"/>
      <c r="O106" s="312"/>
      <c r="P106" s="311"/>
      <c r="Q106" s="305" t="str">
        <f t="shared" si="342"/>
        <v/>
      </c>
      <c r="R106" s="314"/>
      <c r="S106" s="450" t="str">
        <f t="shared" si="225"/>
        <v/>
      </c>
      <c r="T106" s="315"/>
      <c r="U106" s="315"/>
      <c r="W106" s="149" t="str">
        <f t="shared" si="226"/>
        <v xml:space="preserve"> </v>
      </c>
      <c r="X106" s="243" t="str">
        <f t="shared" si="227"/>
        <v xml:space="preserve"> </v>
      </c>
      <c r="Y106" s="150" t="str">
        <f t="shared" si="228"/>
        <v/>
      </c>
      <c r="Z106" s="149" t="str">
        <f t="shared" si="229"/>
        <v xml:space="preserve"> </v>
      </c>
      <c r="AA106" s="98" t="str">
        <f t="shared" si="230"/>
        <v xml:space="preserve"> </v>
      </c>
      <c r="AB106" s="153" t="str">
        <f t="shared" si="231"/>
        <v xml:space="preserve"> </v>
      </c>
      <c r="AC106" s="153" t="str">
        <f t="shared" si="232"/>
        <v xml:space="preserve"> </v>
      </c>
      <c r="AD106" s="148" t="str">
        <f t="shared" si="233"/>
        <v/>
      </c>
      <c r="AE106" s="149" t="str">
        <f t="shared" si="234"/>
        <v/>
      </c>
      <c r="AF106" s="151" t="str">
        <f t="shared" si="235"/>
        <v xml:space="preserve"> </v>
      </c>
      <c r="AG106" s="153" t="str">
        <f t="shared" si="236"/>
        <v xml:space="preserve"> </v>
      </c>
      <c r="AH106" s="98" t="str">
        <f t="shared" si="237"/>
        <v xml:space="preserve"> </v>
      </c>
      <c r="AI106" s="149" t="str">
        <f t="shared" si="238"/>
        <v xml:space="preserve"> </v>
      </c>
      <c r="AK106" s="144" t="str">
        <f t="shared" si="239"/>
        <v xml:space="preserve"> </v>
      </c>
      <c r="AL106" s="144"/>
      <c r="AM106" s="243" t="str">
        <f t="shared" si="240"/>
        <v xml:space="preserve"> </v>
      </c>
      <c r="AN106" s="149" t="str">
        <f t="shared" si="343"/>
        <v xml:space="preserve"> </v>
      </c>
      <c r="AO106" s="144" t="str">
        <f>IF(JB106&gt;0,IF(GI106=10,-R106*1.085*(Calculation!$F$6-Calculation!$F$13)*$S$14," "),"")</f>
        <v/>
      </c>
      <c r="AP106" s="144" t="str">
        <f t="shared" si="241"/>
        <v/>
      </c>
      <c r="AQ106" s="56" t="str">
        <f t="shared" si="242"/>
        <v/>
      </c>
      <c r="AR106" s="144" t="str">
        <f t="shared" si="243"/>
        <v/>
      </c>
      <c r="AS106" s="176" t="str">
        <f t="shared" si="244"/>
        <v/>
      </c>
      <c r="AT106" s="176" t="str">
        <f t="shared" si="344"/>
        <v xml:space="preserve"> </v>
      </c>
      <c r="AU106" s="176" t="str">
        <f t="shared" si="245"/>
        <v/>
      </c>
      <c r="AV106" s="177" t="str">
        <f t="shared" si="246"/>
        <v xml:space="preserve"> </v>
      </c>
      <c r="AW106" s="144" t="str">
        <f t="shared" si="247"/>
        <v xml:space="preserve"> </v>
      </c>
      <c r="AX106" s="144" t="str">
        <f t="shared" si="248"/>
        <v xml:space="preserve"> </v>
      </c>
      <c r="AY106" s="152" t="str">
        <f t="shared" si="249"/>
        <v xml:space="preserve"> </v>
      </c>
      <c r="AZ106" s="246" t="str">
        <f t="shared" si="250"/>
        <v/>
      </c>
      <c r="BA106" s="176" t="str">
        <f t="shared" si="251"/>
        <v xml:space="preserve"> </v>
      </c>
      <c r="BB106" s="176" t="str">
        <f t="shared" si="252"/>
        <v xml:space="preserve"> </v>
      </c>
      <c r="BC106" s="195"/>
      <c r="BD106" s="316"/>
      <c r="BE106" s="317"/>
      <c r="BF106" s="318"/>
      <c r="BG106" s="318"/>
      <c r="BH106" s="144" t="str">
        <f t="shared" si="421"/>
        <v xml:space="preserve"> </v>
      </c>
      <c r="BI106" s="176" t="str">
        <f t="shared" si="253"/>
        <v/>
      </c>
      <c r="BJ106" s="144" t="str">
        <f t="shared" si="422"/>
        <v/>
      </c>
      <c r="BK106" s="246" t="str">
        <f t="shared" si="254"/>
        <v/>
      </c>
      <c r="BL106" s="144" t="str">
        <f t="shared" si="423"/>
        <v/>
      </c>
      <c r="BM106" s="246" t="str">
        <f t="shared" si="255"/>
        <v/>
      </c>
      <c r="BN106" s="337" t="str">
        <f t="shared" si="345"/>
        <v/>
      </c>
      <c r="BO106" s="371" t="str">
        <f t="shared" si="346"/>
        <v/>
      </c>
      <c r="BP106" s="328" t="str">
        <f t="shared" si="424"/>
        <v xml:space="preserve"> </v>
      </c>
      <c r="BQ106" s="347" t="str">
        <f t="shared" si="347"/>
        <v xml:space="preserve"> </v>
      </c>
      <c r="BR106" s="353" t="str">
        <f t="shared" si="348"/>
        <v xml:space="preserve"> </v>
      </c>
      <c r="BS106" s="626" t="str">
        <f>IF(L106&gt;0,IF(Calculation!P106="M13",BR106*3.1416*(0.134^2)/(4*144),IF(Calculation!P106="M17",BR106*3.1416*(0.165^2)/(4*144),IF(Calculation!P106="M20",BR106*3.1416*(0.198^2)/(4*144),IF(Calculation!P106="M23",BR106*3.1416*(0.228^2)/(4*144),IF(Calculation!P106="M27",BR106*3.1416*(0.269^2)/(4*144),BR106*3.1416*(0.307^2)/(4*144))))))," ")</f>
        <v xml:space="preserve"> </v>
      </c>
      <c r="BT106" s="353" t="str">
        <f>IF(L106&gt;0,IF(BS106&gt;0,R106/Calculation!BS106,0)," ")</f>
        <v xml:space="preserve"> </v>
      </c>
      <c r="BU106" s="438" t="e">
        <f t="shared" ca="1" si="256"/>
        <v>#VALUE!</v>
      </c>
      <c r="BV106" s="449" t="e">
        <f ca="1">INDEX(INDIRECT(VLOOKUP(LEFT(BO106,7),CLU!$Z$3:$AH$18,2)),GN106,GR106)</f>
        <v>#N/A</v>
      </c>
      <c r="BW106" s="433" t="e">
        <f ca="1">INDEX(INDIRECT(VLOOKUP(LEFT(BO106,7),CLU!$Z$3:$AH$18,3)),GN106,GR106)</f>
        <v>#N/A</v>
      </c>
      <c r="BX106" s="433" t="e">
        <f ca="1">INDEX(INDIRECT(VLOOKUP(LEFT(BO106,7),CLU!$Z$3:$AH$18,4)),GN106,GR106)</f>
        <v>#N/A</v>
      </c>
      <c r="BY106" s="433" t="e">
        <f ca="1">INDEX(INDIRECT(VLOOKUP(LEFT(BO106,7),CLU!$Z$3:$AH$18,9)),((M106-2)*(6-COUNTBLANK(GT106:GY106)))+GJ106)</f>
        <v>#N/A</v>
      </c>
      <c r="BZ106" s="426" t="e">
        <f t="shared" ca="1" si="349"/>
        <v>#N/A</v>
      </c>
      <c r="CA106" s="424" t="e">
        <f t="shared" ca="1" si="350"/>
        <v>#N/A</v>
      </c>
      <c r="CB106" s="429" t="e">
        <f ca="1">INDEX(INDIRECT(VLOOKUP(LEFT(BO106,7),CLU!$Z$3:$AH$18,2)),GN106,GS106)</f>
        <v>#N/A</v>
      </c>
      <c r="CC106" s="342" t="e">
        <f ca="1">INDEX(INDIRECT(VLOOKUP(LEFT(BO106,7),CLU!$Z$3:$AH$18,3)),GN106,GS106)</f>
        <v>#N/A</v>
      </c>
      <c r="CD106" s="342" t="e">
        <f ca="1">INDEX(INDIRECT(VLOOKUP(LEFT(BO106,7),CLU!$Z$3:$AH$18,4)),GN106,GS106)</f>
        <v>#N/A</v>
      </c>
      <c r="CE106" s="426" t="e">
        <f t="shared" ca="1" si="351"/>
        <v>#N/A</v>
      </c>
      <c r="CF106" s="440">
        <f t="shared" si="352"/>
        <v>0</v>
      </c>
      <c r="CG106" s="431" t="e">
        <f ca="1">INDEX(INDIRECT(VLOOKUP(LEFT(BO106,7),CLU!$Z$3:$AH$18,2)),GQ106,GR106)</f>
        <v>#N/A</v>
      </c>
      <c r="CH106" s="431" t="e">
        <f ca="1">INDEX(INDIRECT(VLOOKUP(LEFT(BO106,7),CLU!$Z$3:$AH$18,3)),GQ106,GR106)</f>
        <v>#N/A</v>
      </c>
      <c r="CI106" s="431" t="e">
        <f ca="1">INDEX(INDIRECT(VLOOKUP(LEFT(BO106,7),CLU!$Z$3:$AH$18,4)),GQ106,GR106)</f>
        <v>#N/A</v>
      </c>
      <c r="CJ106" s="448" t="e">
        <f t="shared" ca="1" si="353"/>
        <v>#N/A</v>
      </c>
      <c r="CK106" s="431" t="e">
        <f t="shared" ca="1" si="354"/>
        <v>#N/A</v>
      </c>
      <c r="CL106" s="440" t="e">
        <f t="shared" ca="1" si="355"/>
        <v>#N/A</v>
      </c>
      <c r="CM106" s="431" t="e">
        <f ca="1">INDEX(INDIRECT(VLOOKUP(LEFT(BO106,7),CLU!$Z$3:$AH$18,2)),GQ106,GS106)</f>
        <v>#N/A</v>
      </c>
      <c r="CN106" s="431" t="e">
        <f ca="1">INDEX(INDIRECT(VLOOKUP(LEFT(BO106,7),CLU!$Z$3:$AH$18,3)),GQ106,GS106)</f>
        <v>#N/A</v>
      </c>
      <c r="CO106" s="431" t="e">
        <f ca="1">INDEX(INDIRECT(VLOOKUP(LEFT(BO106,7),CLU!$Z$3:$AH$18,4)),GQ106,GS106)</f>
        <v>#N/A</v>
      </c>
      <c r="CP106" s="431" t="e">
        <f t="shared" ca="1" si="356"/>
        <v>#N/A</v>
      </c>
      <c r="CQ106" s="440">
        <f t="shared" si="357"/>
        <v>0</v>
      </c>
      <c r="CR106" s="51" t="e">
        <f t="shared" ca="1" si="358"/>
        <v>#N/A</v>
      </c>
      <c r="CS106" s="439" t="e">
        <f t="shared" ca="1" si="359"/>
        <v>#VALUE!</v>
      </c>
      <c r="CT106" s="51" t="e">
        <f t="shared" ca="1" si="360"/>
        <v>#VALUE!</v>
      </c>
      <c r="CU106" s="10"/>
      <c r="CV106" s="51" t="e">
        <f t="shared" ca="1" si="257"/>
        <v>#VALUE!</v>
      </c>
      <c r="CW106" s="51">
        <f t="shared" si="361"/>
        <v>0</v>
      </c>
      <c r="CX106" s="439" t="e">
        <f t="shared" ca="1" si="362"/>
        <v>#VALUE!</v>
      </c>
      <c r="CY106" s="51" t="e">
        <f t="shared" ca="1" si="363"/>
        <v>#VALUE!</v>
      </c>
      <c r="CZ106" s="10"/>
      <c r="DA106" s="51" t="e">
        <f t="shared" ca="1" si="364"/>
        <v>#VALUE!</v>
      </c>
      <c r="DB106" s="347" t="e">
        <f ca="1">INDEX(INDIRECT(VLOOKUP(LEFT(BO106,7),CLU!$Z$3:$AI$18,10)),((M106-2)*(6-COUNTBLANK(GT106:GY106)))+GJ106)*LI106</f>
        <v>#N/A</v>
      </c>
      <c r="DC106" s="347" t="str">
        <f>IF(L106&gt;0,((R106/Worksheet!$I$15)/DB106)^2," ")</f>
        <v xml:space="preserve"> </v>
      </c>
      <c r="DD106" s="602" t="str">
        <f t="shared" si="365"/>
        <v xml:space="preserve"> </v>
      </c>
      <c r="DE106" s="347" t="str">
        <f t="shared" si="258"/>
        <v xml:space="preserve"> </v>
      </c>
      <c r="DF106" s="356" t="e">
        <f ca="1">INDEX(INDIRECT(VLOOKUP(LEFT(BO106,7),CLU!$Z$3:$AH$18,8)),((M106-2)*(6-COUNTBLANK(GT106:GY106)))+GJ106)</f>
        <v>#N/A</v>
      </c>
      <c r="DG106" s="347" t="str">
        <f t="shared" si="259"/>
        <v xml:space="preserve"> </v>
      </c>
      <c r="DH106" s="357" t="str">
        <f t="shared" si="260"/>
        <v xml:space="preserve"> </v>
      </c>
      <c r="DI106" s="355" t="str">
        <f t="shared" si="261"/>
        <v xml:space="preserve"> </v>
      </c>
      <c r="DJ106" s="245" t="e">
        <f ca="1">INDEX(INDIRECT(VLOOKUP(LEFT(BO106,7),CLU!$Z$3:$AH$18,5)),GL106,GK106)</f>
        <v>#N/A</v>
      </c>
      <c r="DK106" s="245" t="e">
        <f ca="1">INDEX(INDIRECT(VLOOKUP(LEFT(BO106,7),CLU!$Z$3:$AH$18,6)),GL106,GK106)</f>
        <v>#N/A</v>
      </c>
      <c r="DL106" s="355">
        <f>(Calculation!R106*0.69143*(Calculation!$BQ$8-Calculation!$F$8))*$S$14</f>
        <v>0</v>
      </c>
      <c r="DM106" s="359" t="e">
        <f t="shared" si="366"/>
        <v>#VALUE!</v>
      </c>
      <c r="DN106" s="611">
        <f t="shared" si="367"/>
        <v>0</v>
      </c>
      <c r="DO106" s="359">
        <f t="shared" si="368"/>
        <v>100</v>
      </c>
      <c r="DP106" s="359">
        <f t="shared" si="369"/>
        <v>0</v>
      </c>
      <c r="DQ106" s="360"/>
      <c r="DR106" s="245" t="e">
        <f ca="1">INDEX(INDIRECT(VLOOKUP(LEFT(BO106,7),CLU!$Z$3:$AH$18,7)),M106-1,1)</f>
        <v>#N/A</v>
      </c>
      <c r="DS106" s="245" t="e">
        <f ca="1">INDEX(INDIRECT(VLOOKUP(LEFT(BO106,7),CLU!$Z$3:$AH$18,7)),M106-1,2)</f>
        <v>#N/A</v>
      </c>
      <c r="DT106" s="245" t="e">
        <f ca="1">INDEX(INDIRECT(VLOOKUP(LEFT(BO106,7),CLU!$Z$3:$AH$18,7)),M106-1,3)</f>
        <v>#N/A</v>
      </c>
      <c r="DU106" s="245" t="e">
        <f ca="1">INDEX(INDIRECT(VLOOKUP(LEFT(BO106,7),CLU!$Z$3:$AH$18,7)),M106-1,4)</f>
        <v>#N/A</v>
      </c>
      <c r="DV106" s="361" t="e">
        <f ca="1">INDEX(INDIRECT(VLOOKUP(LEFT(BO106,7),CLU!$Z$3:$AH$18,7)),M106-1,4+LEFT(DZ106,1)*0.5)</f>
        <v>#N/A</v>
      </c>
      <c r="DW106" s="245" t="e">
        <f ca="1">INDEX(INDIRECT(VLOOKUP(LEFT(BO106,7),CLU!$Z$3:$AH$18,7)),M106-1,8)</f>
        <v>#N/A</v>
      </c>
      <c r="DX106" s="361" t="str">
        <f t="shared" si="262"/>
        <v xml:space="preserve"> </v>
      </c>
      <c r="DY106" s="361" t="str">
        <f t="shared" si="263"/>
        <v xml:space="preserve"> </v>
      </c>
      <c r="DZ106" s="361" t="str">
        <f t="shared" si="264"/>
        <v xml:space="preserve"> </v>
      </c>
      <c r="EA106" s="362" t="str">
        <f t="shared" si="265"/>
        <v xml:space="preserve"> </v>
      </c>
      <c r="EB106" s="624" t="str">
        <f t="shared" si="370"/>
        <v xml:space="preserve"> </v>
      </c>
      <c r="EC106" s="361" t="e">
        <f ca="1">INDEX(INDIRECT(VLOOKUP(LEFT(BO106,7),CLU!$Z$3:$AH$18,7)),M106-1,4+LEFT(DZ106,1)*0.5)</f>
        <v>#N/A</v>
      </c>
      <c r="ED106" s="362" t="str">
        <f t="shared" si="266"/>
        <v xml:space="preserve"> </v>
      </c>
      <c r="EE106" s="361" t="str">
        <f t="shared" si="267"/>
        <v xml:space="preserve"> </v>
      </c>
      <c r="EF106" s="362" t="str">
        <f>IF(L106&gt;0,IF(BR106&gt;0,IF(EE106="2P",IF(Calculation!DZ106="2P",IF(Calculation!DS106=13.75,IF(Calculation!DR106=13,Worksheet!$BD$43,IF(Calculation!DR106=37,Worksheet!$BD$44,Worksheet!$BD$45)),IF(Calculation!DS106=10,IF(Calculation!DR106=18,Worksheet!$BD$29,IF(Calculation!DR106=30,Worksheet!$BD$30,IF(Calculation!DR106=42,Worksheet!$BD$31,IF(Calculation!DR106=54,Worksheet!$BD$32,IF(Calculation!DR106=66,Worksheet!$BD$33,IF(Calculation!DR106=78,Worksheet!$BD$34,IF(Calculation!DR106=90,Worksheet!$BD$35,IF(Calculation!DR106=102,Worksheet!$BD$36,Worksheet!$BD$37)))))))),IF(Calculation!DS106=12.5,IF(Calculation!DR106=18,Worksheet!$BD$38,IF(Calculation!DR106=Worksheet!$BD$39,IF(Calculation!DR106=42,Worksheet!$BD$40,IF(Calculation!DR106=54,Worksheet!$BD$41,Worksheet!$BD$42)))),IF(Calculation!DR106=18,Worksheet!$BD$11,IF(Calculation!DR106=30,Worksheet!$BD$12,IF(Calculation!DR106=42,Worksheet!$BD$13,IF(Calculation!DR106=54,Worksheet!$BD$14,IF(Calculation!DR106=66,Worksheet!$BD$15,IF(Calculation!DR106=78,Worksheet!$BD$16,IF(Calculation!DR106=90,Worksheet!$BD$17,IF(Calculation!DR106=102,Worksheet!$BD$18,Worksheet!$BD$19))))))))))),IF(Calculation!DS106=13.75,IF(Calculation!DR106=13,Worksheet!$BD$78,IF(Calculation!DR106=37,Worksheet!$BD$79,Worksheet!$BD$80)),IF(Calculation!DS106=10,IF(Calculation!DR106=18,Worksheet!$BD$64,IF(Calculation!DR106=30,Worksheet!$BD$65,IF(Calculation!DR106=42,Worksheet!$BD$66,IF(Calculation!DR106=54,Worksheet!$BD$68,IF(Calculation!DR106=66,Worksheet!$BD$68,IF(Calculation!DR106=78,Worksheet!$BD$69,IF(Calculation!DR106=90,Worksheet!$BD$70,IF(Calculation!DR106=102,Worksheet!$BD$71,Worksheet!$BD$72)))))))),IF(Calculation!DS106=12.5,IF(Calculation!DR106=18,Worksheet!$BD$73,IF(Calculation!DR106=Worksheet!$BD$74,IF(Calculation!DR106=42,Worksheet!$BD$75,IF(Calculation!DR106=54,Worksheet!$BD$76,Worksheet!$BD$77)))),IF(Calculation!DR106=18,Worksheet!$BD$55,IF(Calculation!DR106=30,Worksheet!$BD$56,IF(Calculation!DR106=42,Worksheet!$BD$57,IF(Calculation!DR106=54,Worksheet!$BD$58,IF(Calculation!DR106=66,Worksheet!$BD$59,IF(Calculation!DR106=78,Worksheet!$BD$60,IF(Calculation!DR106=90,Worksheet!$BD$61,IF(Calculation!DR106=102,Worksheet!$BD$62,Worksheet!$BD$63)))))))))))),5),0)," ")</f>
        <v xml:space="preserve"> </v>
      </c>
      <c r="EG106" s="361" t="str">
        <f t="shared" si="268"/>
        <v xml:space="preserve"> </v>
      </c>
      <c r="EH106" s="361" t="e">
        <f ca="1">INDEX(INDIRECT(VLOOKUP(LEFT(BO106,7),CLU!$Z$3:$AH$18,7)),M106-1,3+LEFT(DZ106,1))</f>
        <v>#N/A</v>
      </c>
      <c r="EI106" s="362" t="str">
        <f t="shared" si="269"/>
        <v xml:space="preserve"> </v>
      </c>
      <c r="EJ106" s="363" t="str">
        <f t="shared" si="270"/>
        <v xml:space="preserve"> </v>
      </c>
      <c r="EK106" s="363" t="str">
        <f t="shared" si="271"/>
        <v xml:space="preserve"> </v>
      </c>
      <c r="EL106" s="363" t="str">
        <f t="shared" si="272"/>
        <v xml:space="preserve"> </v>
      </c>
      <c r="EM106" s="362" t="str">
        <f>IF(L106&gt;0,IF(BR106&gt;0,(Calculation!T106/ED106)^2,0)," ")</f>
        <v xml:space="preserve"> </v>
      </c>
      <c r="EN106" s="362" t="str">
        <f>IF(L106&gt;0,IF(O106="2 Pipe (Cooling)","N/A",IF(BR106&gt;0,(Calculation!U106/EI106)^2,0))," ")</f>
        <v xml:space="preserve"> </v>
      </c>
      <c r="EO106" s="361" t="str">
        <f t="shared" si="273"/>
        <v/>
      </c>
      <c r="EP106" s="361" t="str">
        <f t="shared" si="274"/>
        <v/>
      </c>
      <c r="EQ106" s="361" t="str">
        <f t="shared" si="275"/>
        <v/>
      </c>
      <c r="ER106" s="361" t="str">
        <f t="shared" si="276"/>
        <v/>
      </c>
      <c r="ES106" s="361" t="str">
        <f t="shared" si="277"/>
        <v/>
      </c>
      <c r="ET106" s="361" t="str">
        <f t="shared" si="278"/>
        <v/>
      </c>
      <c r="EU106" s="361" t="str">
        <f t="shared" si="279"/>
        <v/>
      </c>
      <c r="EV106" s="361" t="str">
        <f t="shared" si="280"/>
        <v/>
      </c>
      <c r="EW106" s="361" t="str">
        <f t="shared" si="281"/>
        <v/>
      </c>
      <c r="EX106" s="361" t="str">
        <f t="shared" si="371"/>
        <v>1 slot, 1 way</v>
      </c>
      <c r="EY106" s="361" t="str">
        <f t="shared" si="372"/>
        <v xml:space="preserve"> </v>
      </c>
      <c r="EZ106" s="361" t="str">
        <f t="shared" si="373"/>
        <v xml:space="preserve"> </v>
      </c>
      <c r="FA106" s="361" t="str">
        <f t="shared" si="374"/>
        <v xml:space="preserve"> </v>
      </c>
      <c r="FB106" s="361" t="str">
        <f t="shared" si="375"/>
        <v xml:space="preserve"> </v>
      </c>
      <c r="FC106" s="361"/>
      <c r="FD106" s="361" t="str">
        <f>IF(J106&gt;0,IF(Calculation!R106&lt;=70,4,IF(Calculation!R106&lt;=110,5,IF(Calculation!R106&lt;=160,6,IF(Calculation!R106&lt;=300,8,"10 EO")))),"")</f>
        <v/>
      </c>
      <c r="FE106" s="361" t="str">
        <f t="shared" si="376"/>
        <v/>
      </c>
      <c r="FF106" s="361" t="str">
        <f t="shared" si="377"/>
        <v/>
      </c>
      <c r="FG106" s="361" t="e">
        <f t="shared" si="282"/>
        <v>#N/A</v>
      </c>
      <c r="FH106" s="361">
        <f t="shared" si="283"/>
        <v>0</v>
      </c>
      <c r="FI106" s="361" t="e">
        <f t="shared" si="284"/>
        <v>#DIV/0!</v>
      </c>
      <c r="FJ106" s="361"/>
      <c r="FK106" s="356" t="e">
        <f t="shared" si="285"/>
        <v>#VALUE!</v>
      </c>
      <c r="FL106" s="361"/>
      <c r="FM106" s="361"/>
      <c r="FN106" s="362" t="str">
        <f t="shared" si="378"/>
        <v xml:space="preserve"> </v>
      </c>
      <c r="FO106" s="362" t="str">
        <f t="shared" si="379"/>
        <v xml:space="preserve"> </v>
      </c>
      <c r="FP106" s="362">
        <f t="shared" si="380"/>
        <v>0</v>
      </c>
      <c r="FQ106" s="361">
        <f t="shared" si="286"/>
        <v>0</v>
      </c>
      <c r="FR106" s="362" t="str">
        <f>IF(L106&gt;0,IF(J106="CBAL2",Worksheet!$P$67,IF(J106="CBE2-24",Worksheet!$Q$67,IF(J106="CBAM",Worksheet!$R$67,IF(J106="CBLV",Worksheet!$S$67,IF(J106="CBAB",Worksheet!$U$67,IF(J106="CBAW",Worksheet!$X$67,IF(J106="CBE2-12",Worksheet!$Y$67,IF(J106="CBAL2",Worksheet!$Z$67,"N/A"))))))))," ")</f>
        <v xml:space="preserve"> </v>
      </c>
      <c r="FS106" s="362" t="str">
        <f>IF(L106&gt;0,IF(J106="CBAL2",Worksheet!$P$68,IF(J106="CBE2-24",Worksheet!$Q$68,IF(J106="CBAM",Worksheet!$R$68,IF(J106="CBLV",Worksheet!$S$68,IF(J106="CBAB",Worksheet!$U$68,IF(J106="CBAW",Worksheet!$X$68,IF(J106="CBE2-12",Worksheet!$Y$68,IF(J106="CBAL2",Worksheet!$Z$68,"N/A"))))))))," ")</f>
        <v xml:space="preserve"> </v>
      </c>
      <c r="FT106" s="362" t="str">
        <f>IF(L106&gt;0,IF(J106="CBAL2",Worksheet!$P$69,IF(J106="CBE2-24",Worksheet!$Q$69,IF(J106="CBAM",Worksheet!$R$69,IF(J106="CBLV",Worksheet!$S$69,IF(J106="CBAB",Worksheet!$U$69,IF(J106="CBAW",Worksheet!$X$69,IF(J106="CBE2-12",Worksheet!$Y$69,IF(J106="CBAL2",Worksheet!$Z$69,"N/A"))))))))," ")</f>
        <v xml:space="preserve"> </v>
      </c>
      <c r="FU106" s="361" t="str">
        <f t="shared" si="381"/>
        <v xml:space="preserve"> </v>
      </c>
      <c r="FV106" s="362" t="str">
        <f t="shared" si="382"/>
        <v xml:space="preserve"> </v>
      </c>
      <c r="FW106" s="362" t="str">
        <f t="shared" si="383"/>
        <v xml:space="preserve"> </v>
      </c>
      <c r="FX106" s="362" t="str">
        <f t="shared" si="384"/>
        <v xml:space="preserve"> </v>
      </c>
      <c r="FY106" s="355" t="str">
        <f t="shared" si="385"/>
        <v xml:space="preserve"> </v>
      </c>
      <c r="FZ106" s="361" t="str">
        <f t="shared" si="386"/>
        <v xml:space="preserve"> </v>
      </c>
      <c r="GA106" s="347" t="str">
        <f t="shared" si="387"/>
        <v xml:space="preserve"> </v>
      </c>
      <c r="GB106" s="355" t="str">
        <f t="shared" si="388"/>
        <v xml:space="preserve"> </v>
      </c>
      <c r="GC106" s="328" t="str">
        <f t="shared" si="389"/>
        <v xml:space="preserve"> </v>
      </c>
      <c r="GD106" s="361" t="str">
        <f t="shared" si="390"/>
        <v xml:space="preserve"> </v>
      </c>
      <c r="GE106" s="347" t="str">
        <f t="shared" si="391"/>
        <v xml:space="preserve"> </v>
      </c>
      <c r="GF106" s="361" t="str">
        <f t="shared" si="392"/>
        <v xml:space="preserve"> </v>
      </c>
      <c r="GG106" s="347" t="str">
        <f t="shared" si="393"/>
        <v xml:space="preserve"> </v>
      </c>
      <c r="GH106" s="364">
        <f t="shared" si="287"/>
        <v>0</v>
      </c>
      <c r="GI106" s="362">
        <f t="shared" si="394"/>
        <v>2</v>
      </c>
      <c r="GJ106" s="433" t="e">
        <f>IF(6-COUNTBLANK(GT106:GY106)=4,MATCH(MID(BO106,9,3),CLU!$H$16:$K$16),MATCH(MID(BO106,9,3),CLU!$H$13:$M$13))</f>
        <v>#N/A</v>
      </c>
      <c r="GK106" s="433" t="e">
        <f>HLOOKUP(VALUE(BP106),CLU!$H$9:$M$10,2)</f>
        <v>#VALUE!</v>
      </c>
      <c r="GL106" s="433" t="e">
        <f ca="1">MATCH(BU106,CLU!$H$2:$V$2,1)</f>
        <v>#VALUE!</v>
      </c>
      <c r="GM106" s="433" t="e">
        <f t="shared" ca="1" si="395"/>
        <v>#VALUE!</v>
      </c>
      <c r="GN106" s="433" t="e">
        <f t="shared" ca="1" si="396"/>
        <v>#VALUE!</v>
      </c>
      <c r="GO106" s="433" t="e">
        <f t="shared" ca="1" si="397"/>
        <v>#VALUE!</v>
      </c>
      <c r="GP106" s="433" t="e">
        <f t="shared" ca="1" si="398"/>
        <v>#VALUE!</v>
      </c>
      <c r="GQ106" s="433" t="e">
        <f t="shared" ca="1" si="399"/>
        <v>#VALUE!</v>
      </c>
      <c r="GR106" s="433" t="e">
        <f ca="1">MATCH(T106,INDIRECT(VLOOKUP(CONCATENATE(LEFT(BO106,7),"-",MID(BO106,13,1)),CLU!$P$3:$Q$16,2)),1)</f>
        <v>#N/A</v>
      </c>
      <c r="GS106" s="433" t="e">
        <f ca="1">MATCH(U106,INDIRECT(VLOOKUP(CONCATENATE(LEFT(BO106,7),"-",MID(BO106,13,1)),CLU!$P$3:$Q$16,2)),1)</f>
        <v>#N/A</v>
      </c>
      <c r="GT106" s="347" t="s">
        <v>512</v>
      </c>
      <c r="GU106" s="97" t="s">
        <v>513</v>
      </c>
      <c r="GV106" s="97" t="str">
        <f t="shared" si="400"/>
        <v>M23</v>
      </c>
      <c r="GW106" s="97" t="str">
        <f t="shared" si="401"/>
        <v>M31</v>
      </c>
      <c r="GX106" s="97" t="str">
        <f t="shared" si="402"/>
        <v/>
      </c>
      <c r="GY106" s="97" t="str">
        <f t="shared" si="403"/>
        <v/>
      </c>
      <c r="GZ106" s="481"/>
      <c r="HA106" s="288"/>
      <c r="HB106" s="240"/>
      <c r="HC106" s="240"/>
      <c r="HD106" s="240"/>
      <c r="HE106" s="240"/>
      <c r="HF106" s="240"/>
      <c r="HG106" s="240"/>
      <c r="HH106" s="240"/>
      <c r="HI106" s="240"/>
      <c r="HJ106" s="240"/>
      <c r="HK106" s="240"/>
      <c r="HL106" s="240"/>
      <c r="HM106" s="240"/>
      <c r="HN106" s="240"/>
      <c r="HO106" s="240"/>
      <c r="HP106" s="240"/>
      <c r="HQ106" s="240"/>
      <c r="HR106" s="240"/>
      <c r="HS106" s="240"/>
      <c r="HT106" s="240"/>
      <c r="HU106" s="240"/>
      <c r="HV106" s="245"/>
      <c r="HW106" s="245" t="b">
        <v>1</v>
      </c>
      <c r="HX106" s="245" t="str">
        <f t="shared" si="288"/>
        <v/>
      </c>
      <c r="HY106" s="245" t="e">
        <f t="shared" si="289"/>
        <v>#DIV/0!</v>
      </c>
      <c r="HZ106" s="245" t="e">
        <f t="shared" si="290"/>
        <v>#DIV/0!</v>
      </c>
      <c r="IA106" s="245">
        <f t="shared" si="291"/>
        <v>0</v>
      </c>
      <c r="IB106" s="245"/>
      <c r="IC106" t="b">
        <f t="shared" si="292"/>
        <v>1</v>
      </c>
      <c r="ID106" s="245" t="b">
        <f t="shared" si="293"/>
        <v>1</v>
      </c>
      <c r="IE106" s="245" t="b">
        <f t="shared" si="294"/>
        <v>1</v>
      </c>
      <c r="IF106" s="245" t="b">
        <f t="shared" si="295"/>
        <v>0</v>
      </c>
      <c r="IG106" s="245" t="b">
        <f t="shared" si="296"/>
        <v>1</v>
      </c>
      <c r="IH106" s="245" t="b">
        <f t="shared" si="297"/>
        <v>1</v>
      </c>
      <c r="II106" s="245">
        <f t="shared" si="404"/>
        <v>0</v>
      </c>
      <c r="IJ106" s="245" t="e">
        <f t="shared" si="298"/>
        <v>#VALUE!</v>
      </c>
      <c r="IK106" s="245" t="e">
        <f t="shared" si="299"/>
        <v>#VALUE!</v>
      </c>
      <c r="IL106" s="245"/>
      <c r="IM106" s="245" t="e">
        <f t="shared" si="405"/>
        <v>#N/A</v>
      </c>
      <c r="IN106" s="245" t="e">
        <f t="shared" si="406"/>
        <v>#N/A</v>
      </c>
      <c r="IO106" s="245"/>
      <c r="IP106" s="245"/>
      <c r="IQ106" s="245" t="str">
        <f t="shared" si="300"/>
        <v/>
      </c>
      <c r="IR106" s="245" t="str">
        <f>IF(J106="","",VLOOKUP(J106,Worksheet!$R$4:$T$14,2))</f>
        <v/>
      </c>
      <c r="IS106" s="245"/>
      <c r="IT106" s="245">
        <f t="shared" si="301"/>
        <v>0</v>
      </c>
      <c r="IU106" s="245">
        <f t="shared" si="302"/>
        <v>0</v>
      </c>
      <c r="IV106" s="245">
        <f t="shared" si="303"/>
        <v>0</v>
      </c>
      <c r="IW106" s="245">
        <f t="shared" si="304"/>
        <v>0</v>
      </c>
      <c r="IX106" s="245">
        <f t="shared" si="407"/>
        <v>0</v>
      </c>
      <c r="IY106" s="245">
        <f t="shared" si="305"/>
        <v>0</v>
      </c>
      <c r="IZ106" s="245">
        <f t="shared" si="306"/>
        <v>0</v>
      </c>
      <c r="JA106">
        <f t="shared" si="307"/>
        <v>0</v>
      </c>
      <c r="JB106">
        <f t="shared" si="408"/>
        <v>0</v>
      </c>
      <c r="JC106">
        <f t="shared" si="308"/>
        <v>0</v>
      </c>
      <c r="JD106">
        <f t="shared" si="309"/>
        <v>0</v>
      </c>
      <c r="JE106">
        <f t="shared" si="310"/>
        <v>0</v>
      </c>
      <c r="JF106">
        <f t="shared" si="311"/>
        <v>0</v>
      </c>
      <c r="JG106">
        <f t="shared" si="312"/>
        <v>0</v>
      </c>
      <c r="JH106">
        <f t="shared" si="313"/>
        <v>0</v>
      </c>
      <c r="JI106">
        <f t="shared" si="314"/>
        <v>0</v>
      </c>
      <c r="JJ106" s="447">
        <f t="shared" si="315"/>
        <v>0</v>
      </c>
      <c r="JK106" s="447">
        <f t="shared" si="316"/>
        <v>0</v>
      </c>
      <c r="JL106">
        <f t="shared" si="317"/>
        <v>0</v>
      </c>
      <c r="JM106" s="245" t="str">
        <f>IFERROR(VLOOKUP(MATCH(BN106,#REF!,0),#REF!,7),"")</f>
        <v/>
      </c>
      <c r="JN106" t="e">
        <f>HLOOKUP(LEFT(BO106,7),Discharge_Area,MATCH(JO106,LookUps!$B$130:$B$149,1)+2)</f>
        <v>#N/A</v>
      </c>
      <c r="JO106" t="str">
        <f t="shared" si="318"/>
        <v>- S</v>
      </c>
      <c r="JP106" t="e">
        <f>HLOOKUP(LEFT(BO106,7),Discharge_Area,MATCH(JO106,LookUps!$B$130:$B$149,1)+2)</f>
        <v>#N/A</v>
      </c>
      <c r="JQ106" t="e">
        <f t="shared" si="319"/>
        <v>#N/A</v>
      </c>
      <c r="JR106" t="e">
        <f t="shared" si="320"/>
        <v>#N/A</v>
      </c>
      <c r="JS106" t="e">
        <f t="shared" si="321"/>
        <v>#N/A</v>
      </c>
      <c r="JT106" s="532" t="str">
        <f t="shared" si="322"/>
        <v xml:space="preserve"> </v>
      </c>
      <c r="JU106" s="532" t="str">
        <f t="shared" si="323"/>
        <v xml:space="preserve"> </v>
      </c>
      <c r="JV106" s="533" t="str">
        <f t="shared" si="324"/>
        <v xml:space="preserve"> </v>
      </c>
      <c r="JW106" s="534">
        <f t="shared" si="325"/>
        <v>0</v>
      </c>
      <c r="JX106" s="535" t="str">
        <f t="shared" si="409"/>
        <v xml:space="preserve"> </v>
      </c>
      <c r="JY106" s="535" t="str">
        <f t="shared" si="410"/>
        <v xml:space="preserve"> </v>
      </c>
      <c r="JZ106" s="535" t="str">
        <f t="shared" si="411"/>
        <v xml:space="preserve"> </v>
      </c>
      <c r="KA106" s="536" t="str">
        <f t="shared" si="326"/>
        <v xml:space="preserve"> </v>
      </c>
      <c r="KB106" s="535" t="e">
        <f t="shared" si="412"/>
        <v>#VALUE!</v>
      </c>
      <c r="KC106" s="535" t="str">
        <f t="shared" si="327"/>
        <v/>
      </c>
      <c r="KD106" s="537" t="str">
        <f t="shared" si="413"/>
        <v xml:space="preserve"> </v>
      </c>
      <c r="KE106" s="537" t="str">
        <f t="shared" si="414"/>
        <v xml:space="preserve"> </v>
      </c>
      <c r="KF106" s="534">
        <f t="shared" si="328"/>
        <v>0</v>
      </c>
      <c r="KG106" s="535" t="str">
        <f t="shared" si="329"/>
        <v xml:space="preserve"> </v>
      </c>
      <c r="KH106" s="535" t="str">
        <f t="shared" si="330"/>
        <v xml:space="preserve"> </v>
      </c>
      <c r="KI106" s="535" t="str">
        <f t="shared" si="331"/>
        <v xml:space="preserve"> </v>
      </c>
      <c r="KJ106" s="536" t="str">
        <f t="shared" si="332"/>
        <v xml:space="preserve"> </v>
      </c>
      <c r="KK106" s="535" t="str">
        <f t="shared" si="415"/>
        <v xml:space="preserve"> </v>
      </c>
      <c r="KL106" s="535" t="str">
        <f t="shared" si="416"/>
        <v xml:space="preserve"> </v>
      </c>
      <c r="KM106" s="537" t="str">
        <f t="shared" si="333"/>
        <v xml:space="preserve"> </v>
      </c>
      <c r="KN106" s="537" t="str">
        <f t="shared" si="417"/>
        <v xml:space="preserve"> </v>
      </c>
      <c r="KP106">
        <f t="shared" si="334"/>
        <v>0</v>
      </c>
      <c r="LA106" t="e">
        <f t="shared" si="335"/>
        <v>#VALUE!</v>
      </c>
      <c r="LB106" t="e">
        <f t="shared" si="336"/>
        <v>#VALUE!</v>
      </c>
      <c r="LC106" t="e">
        <f t="shared" si="337"/>
        <v>#VALUE!</v>
      </c>
      <c r="LD106" t="e">
        <f t="shared" si="338"/>
        <v>#VALUE!</v>
      </c>
      <c r="LE106" t="e">
        <f t="shared" si="418"/>
        <v>#VALUE!</v>
      </c>
      <c r="LF106">
        <f t="shared" si="339"/>
        <v>0</v>
      </c>
      <c r="LG106" t="e">
        <f t="shared" si="419"/>
        <v>#VALUE!</v>
      </c>
      <c r="LH106" t="str">
        <f t="shared" si="340"/>
        <v xml:space="preserve"> </v>
      </c>
      <c r="LI106">
        <f t="shared" si="420"/>
        <v>1</v>
      </c>
    </row>
    <row r="107" spans="2:321" ht="15" customHeight="1">
      <c r="B107" s="311"/>
      <c r="C107" s="311"/>
      <c r="D107" s="312"/>
      <c r="E107" s="311"/>
      <c r="F107" s="312"/>
      <c r="G107" s="311"/>
      <c r="H107" s="311"/>
      <c r="I107" s="37"/>
      <c r="J107" s="311"/>
      <c r="K107" s="305" t="str">
        <f t="shared" si="341"/>
        <v/>
      </c>
      <c r="L107" s="313"/>
      <c r="M107" s="312"/>
      <c r="N107" s="311"/>
      <c r="O107" s="312"/>
      <c r="P107" s="311"/>
      <c r="Q107" s="305" t="str">
        <f t="shared" si="342"/>
        <v/>
      </c>
      <c r="R107" s="314"/>
      <c r="S107" s="450" t="str">
        <f t="shared" si="225"/>
        <v/>
      </c>
      <c r="T107" s="315"/>
      <c r="U107" s="315"/>
      <c r="W107" s="149" t="str">
        <f t="shared" si="226"/>
        <v xml:space="preserve"> </v>
      </c>
      <c r="X107" s="243" t="str">
        <f t="shared" si="227"/>
        <v xml:space="preserve"> </v>
      </c>
      <c r="Y107" s="150" t="str">
        <f t="shared" si="228"/>
        <v/>
      </c>
      <c r="Z107" s="149" t="str">
        <f t="shared" si="229"/>
        <v xml:space="preserve"> </v>
      </c>
      <c r="AA107" s="98" t="str">
        <f t="shared" si="230"/>
        <v xml:space="preserve"> </v>
      </c>
      <c r="AB107" s="153" t="str">
        <f t="shared" si="231"/>
        <v xml:space="preserve"> </v>
      </c>
      <c r="AC107" s="153" t="str">
        <f t="shared" si="232"/>
        <v xml:space="preserve"> </v>
      </c>
      <c r="AD107" s="148" t="str">
        <f t="shared" si="233"/>
        <v/>
      </c>
      <c r="AE107" s="149" t="str">
        <f t="shared" si="234"/>
        <v/>
      </c>
      <c r="AF107" s="151" t="str">
        <f t="shared" si="235"/>
        <v xml:space="preserve"> </v>
      </c>
      <c r="AG107" s="153" t="str">
        <f t="shared" si="236"/>
        <v xml:space="preserve"> </v>
      </c>
      <c r="AH107" s="98" t="str">
        <f t="shared" si="237"/>
        <v xml:space="preserve"> </v>
      </c>
      <c r="AI107" s="149" t="str">
        <f t="shared" si="238"/>
        <v xml:space="preserve"> </v>
      </c>
      <c r="AK107" s="144" t="str">
        <f t="shared" si="239"/>
        <v xml:space="preserve"> </v>
      </c>
      <c r="AL107" s="144"/>
      <c r="AM107" s="243" t="str">
        <f t="shared" si="240"/>
        <v xml:space="preserve"> </v>
      </c>
      <c r="AN107" s="149" t="str">
        <f t="shared" si="343"/>
        <v xml:space="preserve"> </v>
      </c>
      <c r="AO107" s="144" t="str">
        <f>IF(JB107&gt;0,IF(GI107=10,-R107*1.085*(Calculation!$F$6-Calculation!$F$13)*$S$14," "),"")</f>
        <v/>
      </c>
      <c r="AP107" s="144" t="str">
        <f t="shared" si="241"/>
        <v/>
      </c>
      <c r="AQ107" s="56" t="str">
        <f t="shared" si="242"/>
        <v/>
      </c>
      <c r="AR107" s="144" t="str">
        <f t="shared" si="243"/>
        <v/>
      </c>
      <c r="AS107" s="176" t="str">
        <f t="shared" si="244"/>
        <v/>
      </c>
      <c r="AT107" s="176" t="str">
        <f t="shared" si="344"/>
        <v xml:space="preserve"> </v>
      </c>
      <c r="AU107" s="176" t="str">
        <f t="shared" si="245"/>
        <v/>
      </c>
      <c r="AV107" s="177" t="str">
        <f t="shared" si="246"/>
        <v xml:space="preserve"> </v>
      </c>
      <c r="AW107" s="144" t="str">
        <f t="shared" si="247"/>
        <v xml:space="preserve"> </v>
      </c>
      <c r="AX107" s="144" t="str">
        <f t="shared" si="248"/>
        <v xml:space="preserve"> </v>
      </c>
      <c r="AY107" s="152" t="str">
        <f t="shared" si="249"/>
        <v xml:space="preserve"> </v>
      </c>
      <c r="AZ107" s="246" t="str">
        <f t="shared" si="250"/>
        <v/>
      </c>
      <c r="BA107" s="176" t="str">
        <f t="shared" si="251"/>
        <v xml:space="preserve"> </v>
      </c>
      <c r="BB107" s="176" t="str">
        <f t="shared" si="252"/>
        <v xml:space="preserve"> </v>
      </c>
      <c r="BC107" s="195"/>
      <c r="BD107" s="316"/>
      <c r="BE107" s="317"/>
      <c r="BF107" s="318"/>
      <c r="BG107" s="318"/>
      <c r="BH107" s="144" t="str">
        <f t="shared" si="421"/>
        <v xml:space="preserve"> </v>
      </c>
      <c r="BI107" s="176" t="str">
        <f t="shared" si="253"/>
        <v/>
      </c>
      <c r="BJ107" s="144" t="str">
        <f t="shared" si="422"/>
        <v/>
      </c>
      <c r="BK107" s="246" t="str">
        <f t="shared" si="254"/>
        <v/>
      </c>
      <c r="BL107" s="144" t="str">
        <f t="shared" si="423"/>
        <v/>
      </c>
      <c r="BM107" s="246" t="str">
        <f t="shared" si="255"/>
        <v/>
      </c>
      <c r="BN107" s="337" t="str">
        <f t="shared" si="345"/>
        <v/>
      </c>
      <c r="BO107" s="371" t="str">
        <f t="shared" si="346"/>
        <v/>
      </c>
      <c r="BP107" s="328" t="str">
        <f t="shared" si="424"/>
        <v xml:space="preserve"> </v>
      </c>
      <c r="BQ107" s="347" t="str">
        <f t="shared" si="347"/>
        <v xml:space="preserve"> </v>
      </c>
      <c r="BR107" s="353" t="str">
        <f t="shared" si="348"/>
        <v xml:space="preserve"> </v>
      </c>
      <c r="BS107" s="626" t="str">
        <f>IF(L107&gt;0,IF(Calculation!P107="M13",BR107*3.1416*(0.134^2)/(4*144),IF(Calculation!P107="M17",BR107*3.1416*(0.165^2)/(4*144),IF(Calculation!P107="M20",BR107*3.1416*(0.198^2)/(4*144),IF(Calculation!P107="M23",BR107*3.1416*(0.228^2)/(4*144),IF(Calculation!P107="M27",BR107*3.1416*(0.269^2)/(4*144),BR107*3.1416*(0.307^2)/(4*144))))))," ")</f>
        <v xml:space="preserve"> </v>
      </c>
      <c r="BT107" s="353" t="str">
        <f>IF(L107&gt;0,IF(BS107&gt;0,R107/Calculation!BS107,0)," ")</f>
        <v xml:space="preserve"> </v>
      </c>
      <c r="BU107" s="438" t="e">
        <f t="shared" ca="1" si="256"/>
        <v>#VALUE!</v>
      </c>
      <c r="BV107" s="449" t="e">
        <f ca="1">INDEX(INDIRECT(VLOOKUP(LEFT(BO107,7),CLU!$Z$3:$AH$18,2)),GN107,GR107)</f>
        <v>#N/A</v>
      </c>
      <c r="BW107" s="433" t="e">
        <f ca="1">INDEX(INDIRECT(VLOOKUP(LEFT(BO107,7),CLU!$Z$3:$AH$18,3)),GN107,GR107)</f>
        <v>#N/A</v>
      </c>
      <c r="BX107" s="433" t="e">
        <f ca="1">INDEX(INDIRECT(VLOOKUP(LEFT(BO107,7),CLU!$Z$3:$AH$18,4)),GN107,GR107)</f>
        <v>#N/A</v>
      </c>
      <c r="BY107" s="433" t="e">
        <f ca="1">INDEX(INDIRECT(VLOOKUP(LEFT(BO107,7),CLU!$Z$3:$AH$18,9)),((M107-2)*(6-COUNTBLANK(GT107:GY107)))+GJ107)</f>
        <v>#N/A</v>
      </c>
      <c r="BZ107" s="426" t="e">
        <f t="shared" ca="1" si="349"/>
        <v>#N/A</v>
      </c>
      <c r="CA107" s="424" t="e">
        <f t="shared" ca="1" si="350"/>
        <v>#N/A</v>
      </c>
      <c r="CB107" s="429" t="e">
        <f ca="1">INDEX(INDIRECT(VLOOKUP(LEFT(BO107,7),CLU!$Z$3:$AH$18,2)),GN107,GS107)</f>
        <v>#N/A</v>
      </c>
      <c r="CC107" s="342" t="e">
        <f ca="1">INDEX(INDIRECT(VLOOKUP(LEFT(BO107,7),CLU!$Z$3:$AH$18,3)),GN107,GS107)</f>
        <v>#N/A</v>
      </c>
      <c r="CD107" s="342" t="e">
        <f ca="1">INDEX(INDIRECT(VLOOKUP(LEFT(BO107,7),CLU!$Z$3:$AH$18,4)),GN107,GS107)</f>
        <v>#N/A</v>
      </c>
      <c r="CE107" s="426" t="e">
        <f t="shared" ca="1" si="351"/>
        <v>#N/A</v>
      </c>
      <c r="CF107" s="440">
        <f t="shared" si="352"/>
        <v>0</v>
      </c>
      <c r="CG107" s="431" t="e">
        <f ca="1">INDEX(INDIRECT(VLOOKUP(LEFT(BO107,7),CLU!$Z$3:$AH$18,2)),GQ107,GR107)</f>
        <v>#N/A</v>
      </c>
      <c r="CH107" s="431" t="e">
        <f ca="1">INDEX(INDIRECT(VLOOKUP(LEFT(BO107,7),CLU!$Z$3:$AH$18,3)),GQ107,GR107)</f>
        <v>#N/A</v>
      </c>
      <c r="CI107" s="431" t="e">
        <f ca="1">INDEX(INDIRECT(VLOOKUP(LEFT(BO107,7),CLU!$Z$3:$AH$18,4)),GQ107,GR107)</f>
        <v>#N/A</v>
      </c>
      <c r="CJ107" s="448" t="e">
        <f t="shared" ca="1" si="353"/>
        <v>#N/A</v>
      </c>
      <c r="CK107" s="431" t="e">
        <f t="shared" ca="1" si="354"/>
        <v>#N/A</v>
      </c>
      <c r="CL107" s="440" t="e">
        <f t="shared" ca="1" si="355"/>
        <v>#N/A</v>
      </c>
      <c r="CM107" s="431" t="e">
        <f ca="1">INDEX(INDIRECT(VLOOKUP(LEFT(BO107,7),CLU!$Z$3:$AH$18,2)),GQ107,GS107)</f>
        <v>#N/A</v>
      </c>
      <c r="CN107" s="431" t="e">
        <f ca="1">INDEX(INDIRECT(VLOOKUP(LEFT(BO107,7),CLU!$Z$3:$AH$18,3)),GQ107,GS107)</f>
        <v>#N/A</v>
      </c>
      <c r="CO107" s="431" t="e">
        <f ca="1">INDEX(INDIRECT(VLOOKUP(LEFT(BO107,7),CLU!$Z$3:$AH$18,4)),GQ107,GS107)</f>
        <v>#N/A</v>
      </c>
      <c r="CP107" s="431" t="e">
        <f t="shared" ca="1" si="356"/>
        <v>#N/A</v>
      </c>
      <c r="CQ107" s="440">
        <f t="shared" si="357"/>
        <v>0</v>
      </c>
      <c r="CR107" s="51" t="e">
        <f t="shared" ca="1" si="358"/>
        <v>#N/A</v>
      </c>
      <c r="CS107" s="439" t="e">
        <f t="shared" ca="1" si="359"/>
        <v>#VALUE!</v>
      </c>
      <c r="CT107" s="51" t="e">
        <f t="shared" ca="1" si="360"/>
        <v>#VALUE!</v>
      </c>
      <c r="CU107" s="10"/>
      <c r="CV107" s="51" t="e">
        <f t="shared" ca="1" si="257"/>
        <v>#VALUE!</v>
      </c>
      <c r="CW107" s="51">
        <f t="shared" si="361"/>
        <v>0</v>
      </c>
      <c r="CX107" s="439" t="e">
        <f t="shared" ca="1" si="362"/>
        <v>#VALUE!</v>
      </c>
      <c r="CY107" s="51" t="e">
        <f t="shared" ca="1" si="363"/>
        <v>#VALUE!</v>
      </c>
      <c r="CZ107" s="10"/>
      <c r="DA107" s="51" t="e">
        <f t="shared" ca="1" si="364"/>
        <v>#VALUE!</v>
      </c>
      <c r="DB107" s="347" t="e">
        <f ca="1">INDEX(INDIRECT(VLOOKUP(LEFT(BO107,7),CLU!$Z$3:$AI$18,10)),((M107-2)*(6-COUNTBLANK(GT107:GY107)))+GJ107)*LI107</f>
        <v>#N/A</v>
      </c>
      <c r="DC107" s="347" t="str">
        <f>IF(L107&gt;0,((R107/Worksheet!$I$15)/DB107)^2," ")</f>
        <v xml:space="preserve"> </v>
      </c>
      <c r="DD107" s="602" t="str">
        <f t="shared" si="365"/>
        <v xml:space="preserve"> </v>
      </c>
      <c r="DE107" s="347" t="str">
        <f t="shared" si="258"/>
        <v xml:space="preserve"> </v>
      </c>
      <c r="DF107" s="356" t="e">
        <f ca="1">INDEX(INDIRECT(VLOOKUP(LEFT(BO107,7),CLU!$Z$3:$AH$18,8)),((M107-2)*(6-COUNTBLANK(GT107:GY107)))+GJ107)</f>
        <v>#N/A</v>
      </c>
      <c r="DG107" s="347" t="str">
        <f t="shared" si="259"/>
        <v xml:space="preserve"> </v>
      </c>
      <c r="DH107" s="357" t="str">
        <f t="shared" si="260"/>
        <v xml:space="preserve"> </v>
      </c>
      <c r="DI107" s="355" t="str">
        <f t="shared" si="261"/>
        <v xml:space="preserve"> </v>
      </c>
      <c r="DJ107" s="245" t="e">
        <f ca="1">INDEX(INDIRECT(VLOOKUP(LEFT(BO107,7),CLU!$Z$3:$AH$18,5)),GL107,GK107)</f>
        <v>#N/A</v>
      </c>
      <c r="DK107" s="245" t="e">
        <f ca="1">INDEX(INDIRECT(VLOOKUP(LEFT(BO107,7),CLU!$Z$3:$AH$18,6)),GL107,GK107)</f>
        <v>#N/A</v>
      </c>
      <c r="DL107" s="355">
        <f>(Calculation!R107*0.69143*(Calculation!$BQ$8-Calculation!$F$8))*$S$14</f>
        <v>0</v>
      </c>
      <c r="DM107" s="359" t="e">
        <f t="shared" si="366"/>
        <v>#VALUE!</v>
      </c>
      <c r="DN107" s="611">
        <f t="shared" si="367"/>
        <v>0</v>
      </c>
      <c r="DO107" s="359">
        <f t="shared" si="368"/>
        <v>100</v>
      </c>
      <c r="DP107" s="359">
        <f t="shared" si="369"/>
        <v>0</v>
      </c>
      <c r="DQ107" s="360"/>
      <c r="DR107" s="245" t="e">
        <f ca="1">INDEX(INDIRECT(VLOOKUP(LEFT(BO107,7),CLU!$Z$3:$AH$18,7)),M107-1,1)</f>
        <v>#N/A</v>
      </c>
      <c r="DS107" s="245" t="e">
        <f ca="1">INDEX(INDIRECT(VLOOKUP(LEFT(BO107,7),CLU!$Z$3:$AH$18,7)),M107-1,2)</f>
        <v>#N/A</v>
      </c>
      <c r="DT107" s="245" t="e">
        <f ca="1">INDEX(INDIRECT(VLOOKUP(LEFT(BO107,7),CLU!$Z$3:$AH$18,7)),M107-1,3)</f>
        <v>#N/A</v>
      </c>
      <c r="DU107" s="245" t="e">
        <f ca="1">INDEX(INDIRECT(VLOOKUP(LEFT(BO107,7),CLU!$Z$3:$AH$18,7)),M107-1,4)</f>
        <v>#N/A</v>
      </c>
      <c r="DV107" s="361" t="e">
        <f ca="1">INDEX(INDIRECT(VLOOKUP(LEFT(BO107,7),CLU!$Z$3:$AH$18,7)),M107-1,4+LEFT(DZ107,1)*0.5)</f>
        <v>#N/A</v>
      </c>
      <c r="DW107" s="245" t="e">
        <f ca="1">INDEX(INDIRECT(VLOOKUP(LEFT(BO107,7),CLU!$Z$3:$AH$18,7)),M107-1,8)</f>
        <v>#N/A</v>
      </c>
      <c r="DX107" s="361" t="str">
        <f t="shared" si="262"/>
        <v xml:space="preserve"> </v>
      </c>
      <c r="DY107" s="361" t="str">
        <f t="shared" si="263"/>
        <v xml:space="preserve"> </v>
      </c>
      <c r="DZ107" s="361" t="str">
        <f t="shared" si="264"/>
        <v xml:space="preserve"> </v>
      </c>
      <c r="EA107" s="362" t="str">
        <f t="shared" si="265"/>
        <v xml:space="preserve"> </v>
      </c>
      <c r="EB107" s="624" t="str">
        <f t="shared" si="370"/>
        <v xml:space="preserve"> </v>
      </c>
      <c r="EC107" s="361" t="e">
        <f ca="1">INDEX(INDIRECT(VLOOKUP(LEFT(BO107,7),CLU!$Z$3:$AH$18,7)),M107-1,4+LEFT(DZ107,1)*0.5)</f>
        <v>#N/A</v>
      </c>
      <c r="ED107" s="362" t="str">
        <f t="shared" si="266"/>
        <v xml:space="preserve"> </v>
      </c>
      <c r="EE107" s="361" t="str">
        <f t="shared" si="267"/>
        <v xml:space="preserve"> </v>
      </c>
      <c r="EF107" s="362" t="str">
        <f>IF(L107&gt;0,IF(BR107&gt;0,IF(EE107="2P",IF(Calculation!DZ107="2P",IF(Calculation!DS107=13.75,IF(Calculation!DR107=13,Worksheet!$BD$43,IF(Calculation!DR107=37,Worksheet!$BD$44,Worksheet!$BD$45)),IF(Calculation!DS107=10,IF(Calculation!DR107=18,Worksheet!$BD$29,IF(Calculation!DR107=30,Worksheet!$BD$30,IF(Calculation!DR107=42,Worksheet!$BD$31,IF(Calculation!DR107=54,Worksheet!$BD$32,IF(Calculation!DR107=66,Worksheet!$BD$33,IF(Calculation!DR107=78,Worksheet!$BD$34,IF(Calculation!DR107=90,Worksheet!$BD$35,IF(Calculation!DR107=102,Worksheet!$BD$36,Worksheet!$BD$37)))))))),IF(Calculation!DS107=12.5,IF(Calculation!DR107=18,Worksheet!$BD$38,IF(Calculation!DR107=Worksheet!$BD$39,IF(Calculation!DR107=42,Worksheet!$BD$40,IF(Calculation!DR107=54,Worksheet!$BD$41,Worksheet!$BD$42)))),IF(Calculation!DR107=18,Worksheet!$BD$11,IF(Calculation!DR107=30,Worksheet!$BD$12,IF(Calculation!DR107=42,Worksheet!$BD$13,IF(Calculation!DR107=54,Worksheet!$BD$14,IF(Calculation!DR107=66,Worksheet!$BD$15,IF(Calculation!DR107=78,Worksheet!$BD$16,IF(Calculation!DR107=90,Worksheet!$BD$17,IF(Calculation!DR107=102,Worksheet!$BD$18,Worksheet!$BD$19))))))))))),IF(Calculation!DS107=13.75,IF(Calculation!DR107=13,Worksheet!$BD$78,IF(Calculation!DR107=37,Worksheet!$BD$79,Worksheet!$BD$80)),IF(Calculation!DS107=10,IF(Calculation!DR107=18,Worksheet!$BD$64,IF(Calculation!DR107=30,Worksheet!$BD$65,IF(Calculation!DR107=42,Worksheet!$BD$66,IF(Calculation!DR107=54,Worksheet!$BD$68,IF(Calculation!DR107=66,Worksheet!$BD$68,IF(Calculation!DR107=78,Worksheet!$BD$69,IF(Calculation!DR107=90,Worksheet!$BD$70,IF(Calculation!DR107=102,Worksheet!$BD$71,Worksheet!$BD$72)))))))),IF(Calculation!DS107=12.5,IF(Calculation!DR107=18,Worksheet!$BD$73,IF(Calculation!DR107=Worksheet!$BD$74,IF(Calculation!DR107=42,Worksheet!$BD$75,IF(Calculation!DR107=54,Worksheet!$BD$76,Worksheet!$BD$77)))),IF(Calculation!DR107=18,Worksheet!$BD$55,IF(Calculation!DR107=30,Worksheet!$BD$56,IF(Calculation!DR107=42,Worksheet!$BD$57,IF(Calculation!DR107=54,Worksheet!$BD$58,IF(Calculation!DR107=66,Worksheet!$BD$59,IF(Calculation!DR107=78,Worksheet!$BD$60,IF(Calculation!DR107=90,Worksheet!$BD$61,IF(Calculation!DR107=102,Worksheet!$BD$62,Worksheet!$BD$63)))))))))))),5),0)," ")</f>
        <v xml:space="preserve"> </v>
      </c>
      <c r="EG107" s="361" t="str">
        <f t="shared" si="268"/>
        <v xml:space="preserve"> </v>
      </c>
      <c r="EH107" s="361" t="e">
        <f ca="1">INDEX(INDIRECT(VLOOKUP(LEFT(BO107,7),CLU!$Z$3:$AH$18,7)),M107-1,3+LEFT(DZ107,1))</f>
        <v>#N/A</v>
      </c>
      <c r="EI107" s="362" t="str">
        <f t="shared" si="269"/>
        <v xml:space="preserve"> </v>
      </c>
      <c r="EJ107" s="363" t="str">
        <f t="shared" si="270"/>
        <v xml:space="preserve"> </v>
      </c>
      <c r="EK107" s="363" t="str">
        <f t="shared" si="271"/>
        <v xml:space="preserve"> </v>
      </c>
      <c r="EL107" s="363" t="str">
        <f t="shared" si="272"/>
        <v xml:space="preserve"> </v>
      </c>
      <c r="EM107" s="362" t="str">
        <f>IF(L107&gt;0,IF(BR107&gt;0,(Calculation!T107/ED107)^2,0)," ")</f>
        <v xml:space="preserve"> </v>
      </c>
      <c r="EN107" s="362" t="str">
        <f>IF(L107&gt;0,IF(O107="2 Pipe (Cooling)","N/A",IF(BR107&gt;0,(Calculation!U107/EI107)^2,0))," ")</f>
        <v xml:space="preserve"> </v>
      </c>
      <c r="EO107" s="361" t="str">
        <f t="shared" si="273"/>
        <v/>
      </c>
      <c r="EP107" s="361" t="str">
        <f t="shared" si="274"/>
        <v/>
      </c>
      <c r="EQ107" s="361" t="str">
        <f t="shared" si="275"/>
        <v/>
      </c>
      <c r="ER107" s="361" t="str">
        <f t="shared" si="276"/>
        <v/>
      </c>
      <c r="ES107" s="361" t="str">
        <f t="shared" si="277"/>
        <v/>
      </c>
      <c r="ET107" s="361" t="str">
        <f t="shared" si="278"/>
        <v/>
      </c>
      <c r="EU107" s="361" t="str">
        <f t="shared" si="279"/>
        <v/>
      </c>
      <c r="EV107" s="361" t="str">
        <f t="shared" si="280"/>
        <v/>
      </c>
      <c r="EW107" s="361" t="str">
        <f t="shared" si="281"/>
        <v/>
      </c>
      <c r="EX107" s="361" t="str">
        <f t="shared" si="371"/>
        <v>1 slot, 1 way</v>
      </c>
      <c r="EY107" s="361" t="str">
        <f t="shared" si="372"/>
        <v xml:space="preserve"> </v>
      </c>
      <c r="EZ107" s="361" t="str">
        <f t="shared" si="373"/>
        <v xml:space="preserve"> </v>
      </c>
      <c r="FA107" s="361" t="str">
        <f t="shared" si="374"/>
        <v xml:space="preserve"> </v>
      </c>
      <c r="FB107" s="361" t="str">
        <f t="shared" si="375"/>
        <v xml:space="preserve"> </v>
      </c>
      <c r="FC107" s="361"/>
      <c r="FD107" s="361" t="str">
        <f>IF(J107&gt;0,IF(Calculation!R107&lt;=70,4,IF(Calculation!R107&lt;=110,5,IF(Calculation!R107&lt;=160,6,IF(Calculation!R107&lt;=300,8,"10 EO")))),"")</f>
        <v/>
      </c>
      <c r="FE107" s="361" t="str">
        <f t="shared" si="376"/>
        <v/>
      </c>
      <c r="FF107" s="361" t="str">
        <f t="shared" si="377"/>
        <v/>
      </c>
      <c r="FG107" s="361" t="e">
        <f t="shared" si="282"/>
        <v>#N/A</v>
      </c>
      <c r="FH107" s="361">
        <f t="shared" si="283"/>
        <v>0</v>
      </c>
      <c r="FI107" s="361" t="e">
        <f t="shared" si="284"/>
        <v>#DIV/0!</v>
      </c>
      <c r="FJ107" s="361"/>
      <c r="FK107" s="356" t="e">
        <f t="shared" si="285"/>
        <v>#VALUE!</v>
      </c>
      <c r="FL107" s="361"/>
      <c r="FM107" s="361"/>
      <c r="FN107" s="362" t="str">
        <f t="shared" si="378"/>
        <v xml:space="preserve"> </v>
      </c>
      <c r="FO107" s="362" t="str">
        <f t="shared" si="379"/>
        <v xml:space="preserve"> </v>
      </c>
      <c r="FP107" s="362">
        <f t="shared" si="380"/>
        <v>0</v>
      </c>
      <c r="FQ107" s="361">
        <f t="shared" si="286"/>
        <v>0</v>
      </c>
      <c r="FR107" s="362" t="str">
        <f>IF(L107&gt;0,IF(J107="CBAL2",Worksheet!$P$67,IF(J107="CBE2-24",Worksheet!$Q$67,IF(J107="CBAM",Worksheet!$R$67,IF(J107="CBLV",Worksheet!$S$67,IF(J107="CBAB",Worksheet!$U$67,IF(J107="CBAW",Worksheet!$X$67,IF(J107="CBE2-12",Worksheet!$Y$67,IF(J107="CBAL2",Worksheet!$Z$67,"N/A"))))))))," ")</f>
        <v xml:space="preserve"> </v>
      </c>
      <c r="FS107" s="362" t="str">
        <f>IF(L107&gt;0,IF(J107="CBAL2",Worksheet!$P$68,IF(J107="CBE2-24",Worksheet!$Q$68,IF(J107="CBAM",Worksheet!$R$68,IF(J107="CBLV",Worksheet!$S$68,IF(J107="CBAB",Worksheet!$U$68,IF(J107="CBAW",Worksheet!$X$68,IF(J107="CBE2-12",Worksheet!$Y$68,IF(J107="CBAL2",Worksheet!$Z$68,"N/A"))))))))," ")</f>
        <v xml:space="preserve"> </v>
      </c>
      <c r="FT107" s="362" t="str">
        <f>IF(L107&gt;0,IF(J107="CBAL2",Worksheet!$P$69,IF(J107="CBE2-24",Worksheet!$Q$69,IF(J107="CBAM",Worksheet!$R$69,IF(J107="CBLV",Worksheet!$S$69,IF(J107="CBAB",Worksheet!$U$69,IF(J107="CBAW",Worksheet!$X$69,IF(J107="CBE2-12",Worksheet!$Y$69,IF(J107="CBAL2",Worksheet!$Z$69,"N/A"))))))))," ")</f>
        <v xml:space="preserve"> </v>
      </c>
      <c r="FU107" s="361" t="str">
        <f t="shared" si="381"/>
        <v xml:space="preserve"> </v>
      </c>
      <c r="FV107" s="362" t="str">
        <f t="shared" si="382"/>
        <v xml:space="preserve"> </v>
      </c>
      <c r="FW107" s="362" t="str">
        <f t="shared" si="383"/>
        <v xml:space="preserve"> </v>
      </c>
      <c r="FX107" s="362" t="str">
        <f t="shared" si="384"/>
        <v xml:space="preserve"> </v>
      </c>
      <c r="FY107" s="355" t="str">
        <f t="shared" si="385"/>
        <v xml:space="preserve"> </v>
      </c>
      <c r="FZ107" s="361" t="str">
        <f t="shared" si="386"/>
        <v xml:space="preserve"> </v>
      </c>
      <c r="GA107" s="347" t="str">
        <f t="shared" si="387"/>
        <v xml:space="preserve"> </v>
      </c>
      <c r="GB107" s="355" t="str">
        <f t="shared" si="388"/>
        <v xml:space="preserve"> </v>
      </c>
      <c r="GC107" s="328" t="str">
        <f t="shared" si="389"/>
        <v xml:space="preserve"> </v>
      </c>
      <c r="GD107" s="361" t="str">
        <f t="shared" si="390"/>
        <v xml:space="preserve"> </v>
      </c>
      <c r="GE107" s="347" t="str">
        <f t="shared" si="391"/>
        <v xml:space="preserve"> </v>
      </c>
      <c r="GF107" s="361" t="str">
        <f t="shared" si="392"/>
        <v xml:space="preserve"> </v>
      </c>
      <c r="GG107" s="347" t="str">
        <f t="shared" si="393"/>
        <v xml:space="preserve"> </v>
      </c>
      <c r="GH107" s="364">
        <f t="shared" si="287"/>
        <v>0</v>
      </c>
      <c r="GI107" s="362">
        <f t="shared" si="394"/>
        <v>2</v>
      </c>
      <c r="GJ107" s="433" t="e">
        <f>IF(6-COUNTBLANK(GT107:GY107)=4,MATCH(MID(BO107,9,3),CLU!$H$16:$K$16),MATCH(MID(BO107,9,3),CLU!$H$13:$M$13))</f>
        <v>#N/A</v>
      </c>
      <c r="GK107" s="433" t="e">
        <f>HLOOKUP(VALUE(BP107),CLU!$H$9:$M$10,2)</f>
        <v>#VALUE!</v>
      </c>
      <c r="GL107" s="433" t="e">
        <f ca="1">MATCH(BU107,CLU!$H$2:$V$2,1)</f>
        <v>#VALUE!</v>
      </c>
      <c r="GM107" s="433" t="e">
        <f t="shared" ca="1" si="395"/>
        <v>#VALUE!</v>
      </c>
      <c r="GN107" s="433" t="e">
        <f t="shared" ca="1" si="396"/>
        <v>#VALUE!</v>
      </c>
      <c r="GO107" s="433" t="e">
        <f t="shared" ca="1" si="397"/>
        <v>#VALUE!</v>
      </c>
      <c r="GP107" s="433" t="e">
        <f t="shared" ca="1" si="398"/>
        <v>#VALUE!</v>
      </c>
      <c r="GQ107" s="433" t="e">
        <f t="shared" ca="1" si="399"/>
        <v>#VALUE!</v>
      </c>
      <c r="GR107" s="433" t="e">
        <f ca="1">MATCH(T107,INDIRECT(VLOOKUP(CONCATENATE(LEFT(BO107,7),"-",MID(BO107,13,1)),CLU!$P$3:$Q$16,2)),1)</f>
        <v>#N/A</v>
      </c>
      <c r="GS107" s="433" t="e">
        <f ca="1">MATCH(U107,INDIRECT(VLOOKUP(CONCATENATE(LEFT(BO107,7),"-",MID(BO107,13,1)),CLU!$P$3:$Q$16,2)),1)</f>
        <v>#N/A</v>
      </c>
      <c r="GT107" s="347" t="s">
        <v>512</v>
      </c>
      <c r="GU107" s="97" t="s">
        <v>513</v>
      </c>
      <c r="GV107" s="97" t="str">
        <f t="shared" si="400"/>
        <v>M23</v>
      </c>
      <c r="GW107" s="97" t="str">
        <f t="shared" si="401"/>
        <v>M31</v>
      </c>
      <c r="GX107" s="97" t="str">
        <f t="shared" si="402"/>
        <v/>
      </c>
      <c r="GY107" s="97" t="str">
        <f t="shared" si="403"/>
        <v/>
      </c>
      <c r="GZ107" s="481"/>
      <c r="HA107" s="288"/>
      <c r="HB107" s="240"/>
      <c r="HC107" s="240"/>
      <c r="HD107" s="240"/>
      <c r="HE107" s="240"/>
      <c r="HF107" s="240"/>
      <c r="HG107" s="240"/>
      <c r="HH107" s="240"/>
      <c r="HI107" s="240"/>
      <c r="HJ107" s="240"/>
      <c r="HK107" s="240"/>
      <c r="HL107" s="240"/>
      <c r="HM107" s="240"/>
      <c r="HN107" s="240"/>
      <c r="HO107" s="240"/>
      <c r="HP107" s="240"/>
      <c r="HQ107" s="240"/>
      <c r="HR107" s="240"/>
      <c r="HS107" s="240"/>
      <c r="HT107" s="240"/>
      <c r="HU107" s="240"/>
      <c r="HV107" s="245"/>
      <c r="HW107" s="245" t="b">
        <v>1</v>
      </c>
      <c r="HX107" s="245" t="str">
        <f t="shared" si="288"/>
        <v/>
      </c>
      <c r="HY107" s="245" t="e">
        <f t="shared" si="289"/>
        <v>#DIV/0!</v>
      </c>
      <c r="HZ107" s="245" t="e">
        <f t="shared" si="290"/>
        <v>#DIV/0!</v>
      </c>
      <c r="IA107" s="245">
        <f t="shared" si="291"/>
        <v>0</v>
      </c>
      <c r="IB107" s="245"/>
      <c r="IC107" t="b">
        <f t="shared" si="292"/>
        <v>1</v>
      </c>
      <c r="ID107" s="245" t="b">
        <f t="shared" si="293"/>
        <v>1</v>
      </c>
      <c r="IE107" s="245" t="b">
        <f t="shared" si="294"/>
        <v>1</v>
      </c>
      <c r="IF107" s="245" t="b">
        <f t="shared" si="295"/>
        <v>0</v>
      </c>
      <c r="IG107" s="245" t="b">
        <f t="shared" si="296"/>
        <v>1</v>
      </c>
      <c r="IH107" s="245" t="b">
        <f t="shared" si="297"/>
        <v>1</v>
      </c>
      <c r="II107" s="245">
        <f t="shared" si="404"/>
        <v>0</v>
      </c>
      <c r="IJ107" s="245" t="e">
        <f t="shared" si="298"/>
        <v>#VALUE!</v>
      </c>
      <c r="IK107" s="245" t="e">
        <f t="shared" si="299"/>
        <v>#VALUE!</v>
      </c>
      <c r="IL107" s="245"/>
      <c r="IM107" s="245" t="e">
        <f t="shared" si="405"/>
        <v>#N/A</v>
      </c>
      <c r="IN107" s="245" t="e">
        <f t="shared" si="406"/>
        <v>#N/A</v>
      </c>
      <c r="IO107" s="245"/>
      <c r="IP107" s="245"/>
      <c r="IQ107" s="245" t="str">
        <f t="shared" si="300"/>
        <v/>
      </c>
      <c r="IR107" s="245" t="str">
        <f>IF(J107="","",VLOOKUP(J107,Worksheet!$R$4:$T$14,2))</f>
        <v/>
      </c>
      <c r="IS107" s="245"/>
      <c r="IT107" s="245">
        <f t="shared" si="301"/>
        <v>0</v>
      </c>
      <c r="IU107" s="245">
        <f t="shared" si="302"/>
        <v>0</v>
      </c>
      <c r="IV107" s="245">
        <f t="shared" si="303"/>
        <v>0</v>
      </c>
      <c r="IW107" s="245">
        <f t="shared" si="304"/>
        <v>0</v>
      </c>
      <c r="IX107" s="245">
        <f t="shared" si="407"/>
        <v>0</v>
      </c>
      <c r="IY107" s="245">
        <f t="shared" si="305"/>
        <v>0</v>
      </c>
      <c r="IZ107" s="245">
        <f t="shared" si="306"/>
        <v>0</v>
      </c>
      <c r="JA107">
        <f t="shared" si="307"/>
        <v>0</v>
      </c>
      <c r="JB107">
        <f t="shared" si="408"/>
        <v>0</v>
      </c>
      <c r="JC107">
        <f t="shared" si="308"/>
        <v>0</v>
      </c>
      <c r="JD107">
        <f t="shared" si="309"/>
        <v>0</v>
      </c>
      <c r="JE107">
        <f t="shared" si="310"/>
        <v>0</v>
      </c>
      <c r="JF107">
        <f t="shared" si="311"/>
        <v>0</v>
      </c>
      <c r="JG107">
        <f t="shared" si="312"/>
        <v>0</v>
      </c>
      <c r="JH107">
        <f t="shared" si="313"/>
        <v>0</v>
      </c>
      <c r="JI107">
        <f t="shared" si="314"/>
        <v>0</v>
      </c>
      <c r="JJ107" s="447">
        <f t="shared" si="315"/>
        <v>0</v>
      </c>
      <c r="JK107" s="447">
        <f t="shared" si="316"/>
        <v>0</v>
      </c>
      <c r="JL107">
        <f t="shared" si="317"/>
        <v>0</v>
      </c>
      <c r="JM107" s="245" t="str">
        <f>IFERROR(VLOOKUP(MATCH(BN107,#REF!,0),#REF!,7),"")</f>
        <v/>
      </c>
      <c r="JN107" t="e">
        <f>HLOOKUP(LEFT(BO107,7),Discharge_Area,MATCH(JO107,LookUps!$B$130:$B$149,1)+2)</f>
        <v>#N/A</v>
      </c>
      <c r="JO107" t="str">
        <f t="shared" si="318"/>
        <v>- S</v>
      </c>
      <c r="JP107" t="e">
        <f>HLOOKUP(LEFT(BO107,7),Discharge_Area,MATCH(JO107,LookUps!$B$130:$B$149,1)+2)</f>
        <v>#N/A</v>
      </c>
      <c r="JQ107" t="e">
        <f t="shared" si="319"/>
        <v>#N/A</v>
      </c>
      <c r="JR107" t="e">
        <f t="shared" si="320"/>
        <v>#N/A</v>
      </c>
      <c r="JS107" t="e">
        <f t="shared" si="321"/>
        <v>#N/A</v>
      </c>
      <c r="JT107" s="532" t="str">
        <f t="shared" si="322"/>
        <v xml:space="preserve"> </v>
      </c>
      <c r="JU107" s="532" t="str">
        <f t="shared" si="323"/>
        <v xml:space="preserve"> </v>
      </c>
      <c r="JV107" s="533" t="str">
        <f t="shared" si="324"/>
        <v xml:space="preserve"> </v>
      </c>
      <c r="JW107" s="534">
        <f t="shared" si="325"/>
        <v>0</v>
      </c>
      <c r="JX107" s="535" t="str">
        <f t="shared" si="409"/>
        <v xml:space="preserve"> </v>
      </c>
      <c r="JY107" s="535" t="str">
        <f t="shared" si="410"/>
        <v xml:space="preserve"> </v>
      </c>
      <c r="JZ107" s="535" t="str">
        <f t="shared" si="411"/>
        <v xml:space="preserve"> </v>
      </c>
      <c r="KA107" s="536" t="str">
        <f t="shared" si="326"/>
        <v xml:space="preserve"> </v>
      </c>
      <c r="KB107" s="535" t="e">
        <f t="shared" si="412"/>
        <v>#VALUE!</v>
      </c>
      <c r="KC107" s="535" t="str">
        <f t="shared" si="327"/>
        <v/>
      </c>
      <c r="KD107" s="537" t="str">
        <f t="shared" si="413"/>
        <v xml:space="preserve"> </v>
      </c>
      <c r="KE107" s="537" t="str">
        <f t="shared" si="414"/>
        <v xml:space="preserve"> </v>
      </c>
      <c r="KF107" s="534">
        <f t="shared" si="328"/>
        <v>0</v>
      </c>
      <c r="KG107" s="535" t="str">
        <f t="shared" si="329"/>
        <v xml:space="preserve"> </v>
      </c>
      <c r="KH107" s="535" t="str">
        <f t="shared" si="330"/>
        <v xml:space="preserve"> </v>
      </c>
      <c r="KI107" s="535" t="str">
        <f t="shared" si="331"/>
        <v xml:space="preserve"> </v>
      </c>
      <c r="KJ107" s="536" t="str">
        <f t="shared" si="332"/>
        <v xml:space="preserve"> </v>
      </c>
      <c r="KK107" s="535" t="str">
        <f t="shared" si="415"/>
        <v xml:space="preserve"> </v>
      </c>
      <c r="KL107" s="535" t="str">
        <f t="shared" si="416"/>
        <v xml:space="preserve"> </v>
      </c>
      <c r="KM107" s="537" t="str">
        <f t="shared" si="333"/>
        <v xml:space="preserve"> </v>
      </c>
      <c r="KN107" s="537" t="str">
        <f t="shared" si="417"/>
        <v xml:space="preserve"> </v>
      </c>
      <c r="KP107">
        <f t="shared" si="334"/>
        <v>0</v>
      </c>
      <c r="LA107" t="e">
        <f t="shared" si="335"/>
        <v>#VALUE!</v>
      </c>
      <c r="LB107" t="e">
        <f t="shared" si="336"/>
        <v>#VALUE!</v>
      </c>
      <c r="LC107" t="e">
        <f t="shared" si="337"/>
        <v>#VALUE!</v>
      </c>
      <c r="LD107" t="e">
        <f t="shared" si="338"/>
        <v>#VALUE!</v>
      </c>
      <c r="LE107" t="e">
        <f t="shared" si="418"/>
        <v>#VALUE!</v>
      </c>
      <c r="LF107">
        <f t="shared" si="339"/>
        <v>0</v>
      </c>
      <c r="LG107" t="e">
        <f t="shared" si="419"/>
        <v>#VALUE!</v>
      </c>
      <c r="LH107" t="str">
        <f t="shared" si="340"/>
        <v xml:space="preserve"> </v>
      </c>
      <c r="LI107">
        <f t="shared" si="420"/>
        <v>1</v>
      </c>
    </row>
    <row r="108" spans="2:321" ht="15" customHeight="1">
      <c r="B108" s="311"/>
      <c r="C108" s="311"/>
      <c r="D108" s="312"/>
      <c r="E108" s="311"/>
      <c r="F108" s="312"/>
      <c r="G108" s="311"/>
      <c r="H108" s="311"/>
      <c r="I108" s="37"/>
      <c r="J108" s="311"/>
      <c r="K108" s="305" t="str">
        <f t="shared" si="341"/>
        <v/>
      </c>
      <c r="L108" s="313"/>
      <c r="M108" s="312"/>
      <c r="N108" s="311"/>
      <c r="O108" s="312"/>
      <c r="P108" s="311"/>
      <c r="Q108" s="305" t="str">
        <f t="shared" si="342"/>
        <v/>
      </c>
      <c r="R108" s="314"/>
      <c r="S108" s="450" t="str">
        <f t="shared" si="225"/>
        <v/>
      </c>
      <c r="T108" s="315"/>
      <c r="U108" s="315"/>
      <c r="W108" s="149" t="str">
        <f t="shared" si="226"/>
        <v xml:space="preserve"> </v>
      </c>
      <c r="X108" s="243" t="str">
        <f t="shared" si="227"/>
        <v xml:space="preserve"> </v>
      </c>
      <c r="Y108" s="150" t="str">
        <f t="shared" si="228"/>
        <v/>
      </c>
      <c r="Z108" s="149" t="str">
        <f t="shared" si="229"/>
        <v xml:space="preserve"> </v>
      </c>
      <c r="AA108" s="98" t="str">
        <f t="shared" si="230"/>
        <v xml:space="preserve"> </v>
      </c>
      <c r="AB108" s="153" t="str">
        <f t="shared" si="231"/>
        <v xml:space="preserve"> </v>
      </c>
      <c r="AC108" s="153" t="str">
        <f t="shared" si="232"/>
        <v xml:space="preserve"> </v>
      </c>
      <c r="AD108" s="148" t="str">
        <f t="shared" si="233"/>
        <v/>
      </c>
      <c r="AE108" s="149" t="str">
        <f t="shared" si="234"/>
        <v/>
      </c>
      <c r="AF108" s="151" t="str">
        <f t="shared" si="235"/>
        <v xml:space="preserve"> </v>
      </c>
      <c r="AG108" s="153" t="str">
        <f t="shared" si="236"/>
        <v xml:space="preserve"> </v>
      </c>
      <c r="AH108" s="98" t="str">
        <f t="shared" si="237"/>
        <v xml:space="preserve"> </v>
      </c>
      <c r="AI108" s="149" t="str">
        <f t="shared" si="238"/>
        <v xml:space="preserve"> </v>
      </c>
      <c r="AK108" s="144" t="str">
        <f t="shared" si="239"/>
        <v xml:space="preserve"> </v>
      </c>
      <c r="AL108" s="144"/>
      <c r="AM108" s="243" t="str">
        <f t="shared" si="240"/>
        <v xml:space="preserve"> </v>
      </c>
      <c r="AN108" s="149" t="str">
        <f t="shared" si="343"/>
        <v xml:space="preserve"> </v>
      </c>
      <c r="AO108" s="144" t="str">
        <f>IF(JB108&gt;0,IF(GI108=10,-R108*1.085*(Calculation!$F$6-Calculation!$F$13)*$S$14," "),"")</f>
        <v/>
      </c>
      <c r="AP108" s="144" t="str">
        <f t="shared" si="241"/>
        <v/>
      </c>
      <c r="AQ108" s="56" t="str">
        <f t="shared" si="242"/>
        <v/>
      </c>
      <c r="AR108" s="144" t="str">
        <f t="shared" si="243"/>
        <v/>
      </c>
      <c r="AS108" s="176" t="str">
        <f t="shared" si="244"/>
        <v/>
      </c>
      <c r="AT108" s="176" t="str">
        <f t="shared" si="344"/>
        <v xml:space="preserve"> </v>
      </c>
      <c r="AU108" s="176" t="str">
        <f t="shared" si="245"/>
        <v/>
      </c>
      <c r="AV108" s="177" t="str">
        <f t="shared" si="246"/>
        <v xml:space="preserve"> </v>
      </c>
      <c r="AW108" s="144" t="str">
        <f t="shared" si="247"/>
        <v xml:space="preserve"> </v>
      </c>
      <c r="AX108" s="144" t="str">
        <f t="shared" si="248"/>
        <v xml:space="preserve"> </v>
      </c>
      <c r="AY108" s="152" t="str">
        <f t="shared" si="249"/>
        <v xml:space="preserve"> </v>
      </c>
      <c r="AZ108" s="246" t="str">
        <f t="shared" si="250"/>
        <v/>
      </c>
      <c r="BA108" s="176" t="str">
        <f t="shared" si="251"/>
        <v xml:space="preserve"> </v>
      </c>
      <c r="BB108" s="176" t="str">
        <f t="shared" si="252"/>
        <v xml:space="preserve"> </v>
      </c>
      <c r="BC108" s="195"/>
      <c r="BD108" s="316"/>
      <c r="BE108" s="317"/>
      <c r="BF108" s="318"/>
      <c r="BG108" s="318"/>
      <c r="BH108" s="144" t="str">
        <f t="shared" si="421"/>
        <v xml:space="preserve"> </v>
      </c>
      <c r="BI108" s="176" t="str">
        <f t="shared" si="253"/>
        <v/>
      </c>
      <c r="BJ108" s="144" t="str">
        <f t="shared" si="422"/>
        <v/>
      </c>
      <c r="BK108" s="246" t="str">
        <f t="shared" si="254"/>
        <v/>
      </c>
      <c r="BL108" s="144" t="str">
        <f t="shared" si="423"/>
        <v/>
      </c>
      <c r="BM108" s="246" t="str">
        <f t="shared" si="255"/>
        <v/>
      </c>
      <c r="BN108" s="337" t="str">
        <f t="shared" si="345"/>
        <v/>
      </c>
      <c r="BO108" s="371" t="str">
        <f t="shared" si="346"/>
        <v/>
      </c>
      <c r="BP108" s="328" t="str">
        <f t="shared" si="424"/>
        <v xml:space="preserve"> </v>
      </c>
      <c r="BQ108" s="347" t="str">
        <f t="shared" si="347"/>
        <v xml:space="preserve"> </v>
      </c>
      <c r="BR108" s="353" t="str">
        <f t="shared" si="348"/>
        <v xml:space="preserve"> </v>
      </c>
      <c r="BS108" s="626" t="str">
        <f>IF(L108&gt;0,IF(Calculation!P108="M13",BR108*3.1416*(0.134^2)/(4*144),IF(Calculation!P108="M17",BR108*3.1416*(0.165^2)/(4*144),IF(Calculation!P108="M20",BR108*3.1416*(0.198^2)/(4*144),IF(Calculation!P108="M23",BR108*3.1416*(0.228^2)/(4*144),IF(Calculation!P108="M27",BR108*3.1416*(0.269^2)/(4*144),BR108*3.1416*(0.307^2)/(4*144))))))," ")</f>
        <v xml:space="preserve"> </v>
      </c>
      <c r="BT108" s="353" t="str">
        <f>IF(L108&gt;0,IF(BS108&gt;0,R108/Calculation!BS108,0)," ")</f>
        <v xml:space="preserve"> </v>
      </c>
      <c r="BU108" s="438" t="e">
        <f t="shared" ca="1" si="256"/>
        <v>#VALUE!</v>
      </c>
      <c r="BV108" s="449" t="e">
        <f ca="1">INDEX(INDIRECT(VLOOKUP(LEFT(BO108,7),CLU!$Z$3:$AH$18,2)),GN108,GR108)</f>
        <v>#N/A</v>
      </c>
      <c r="BW108" s="433" t="e">
        <f ca="1">INDEX(INDIRECT(VLOOKUP(LEFT(BO108,7),CLU!$Z$3:$AH$18,3)),GN108,GR108)</f>
        <v>#N/A</v>
      </c>
      <c r="BX108" s="433" t="e">
        <f ca="1">INDEX(INDIRECT(VLOOKUP(LEFT(BO108,7),CLU!$Z$3:$AH$18,4)),GN108,GR108)</f>
        <v>#N/A</v>
      </c>
      <c r="BY108" s="433" t="e">
        <f ca="1">INDEX(INDIRECT(VLOOKUP(LEFT(BO108,7),CLU!$Z$3:$AH$18,9)),((M108-2)*(6-COUNTBLANK(GT108:GY108)))+GJ108)</f>
        <v>#N/A</v>
      </c>
      <c r="BZ108" s="426" t="e">
        <f t="shared" ca="1" si="349"/>
        <v>#N/A</v>
      </c>
      <c r="CA108" s="424" t="e">
        <f t="shared" ca="1" si="350"/>
        <v>#N/A</v>
      </c>
      <c r="CB108" s="429" t="e">
        <f ca="1">INDEX(INDIRECT(VLOOKUP(LEFT(BO108,7),CLU!$Z$3:$AH$18,2)),GN108,GS108)</f>
        <v>#N/A</v>
      </c>
      <c r="CC108" s="342" t="e">
        <f ca="1">INDEX(INDIRECT(VLOOKUP(LEFT(BO108,7),CLU!$Z$3:$AH$18,3)),GN108,GS108)</f>
        <v>#N/A</v>
      </c>
      <c r="CD108" s="342" t="e">
        <f ca="1">INDEX(INDIRECT(VLOOKUP(LEFT(BO108,7),CLU!$Z$3:$AH$18,4)),GN108,GS108)</f>
        <v>#N/A</v>
      </c>
      <c r="CE108" s="426" t="e">
        <f t="shared" ca="1" si="351"/>
        <v>#N/A</v>
      </c>
      <c r="CF108" s="440">
        <f t="shared" si="352"/>
        <v>0</v>
      </c>
      <c r="CG108" s="431" t="e">
        <f ca="1">INDEX(INDIRECT(VLOOKUP(LEFT(BO108,7),CLU!$Z$3:$AH$18,2)),GQ108,GR108)</f>
        <v>#N/A</v>
      </c>
      <c r="CH108" s="431" t="e">
        <f ca="1">INDEX(INDIRECT(VLOOKUP(LEFT(BO108,7),CLU!$Z$3:$AH$18,3)),GQ108,GR108)</f>
        <v>#N/A</v>
      </c>
      <c r="CI108" s="431" t="e">
        <f ca="1">INDEX(INDIRECT(VLOOKUP(LEFT(BO108,7),CLU!$Z$3:$AH$18,4)),GQ108,GR108)</f>
        <v>#N/A</v>
      </c>
      <c r="CJ108" s="448" t="e">
        <f t="shared" ca="1" si="353"/>
        <v>#N/A</v>
      </c>
      <c r="CK108" s="431" t="e">
        <f t="shared" ca="1" si="354"/>
        <v>#N/A</v>
      </c>
      <c r="CL108" s="440" t="e">
        <f t="shared" ca="1" si="355"/>
        <v>#N/A</v>
      </c>
      <c r="CM108" s="431" t="e">
        <f ca="1">INDEX(INDIRECT(VLOOKUP(LEFT(BO108,7),CLU!$Z$3:$AH$18,2)),GQ108,GS108)</f>
        <v>#N/A</v>
      </c>
      <c r="CN108" s="431" t="e">
        <f ca="1">INDEX(INDIRECT(VLOOKUP(LEFT(BO108,7),CLU!$Z$3:$AH$18,3)),GQ108,GS108)</f>
        <v>#N/A</v>
      </c>
      <c r="CO108" s="431" t="e">
        <f ca="1">INDEX(INDIRECT(VLOOKUP(LEFT(BO108,7),CLU!$Z$3:$AH$18,4)),GQ108,GS108)</f>
        <v>#N/A</v>
      </c>
      <c r="CP108" s="431" t="e">
        <f t="shared" ca="1" si="356"/>
        <v>#N/A</v>
      </c>
      <c r="CQ108" s="440">
        <f t="shared" si="357"/>
        <v>0</v>
      </c>
      <c r="CR108" s="51" t="e">
        <f t="shared" ca="1" si="358"/>
        <v>#N/A</v>
      </c>
      <c r="CS108" s="439" t="e">
        <f t="shared" ca="1" si="359"/>
        <v>#VALUE!</v>
      </c>
      <c r="CT108" s="51" t="e">
        <f t="shared" ca="1" si="360"/>
        <v>#VALUE!</v>
      </c>
      <c r="CU108" s="10"/>
      <c r="CV108" s="51" t="e">
        <f t="shared" ca="1" si="257"/>
        <v>#VALUE!</v>
      </c>
      <c r="CW108" s="51">
        <f t="shared" si="361"/>
        <v>0</v>
      </c>
      <c r="CX108" s="439" t="e">
        <f t="shared" ca="1" si="362"/>
        <v>#VALUE!</v>
      </c>
      <c r="CY108" s="51" t="e">
        <f t="shared" ca="1" si="363"/>
        <v>#VALUE!</v>
      </c>
      <c r="CZ108" s="10"/>
      <c r="DA108" s="51" t="e">
        <f t="shared" ca="1" si="364"/>
        <v>#VALUE!</v>
      </c>
      <c r="DB108" s="347" t="e">
        <f ca="1">INDEX(INDIRECT(VLOOKUP(LEFT(BO108,7),CLU!$Z$3:$AI$18,10)),((M108-2)*(6-COUNTBLANK(GT108:GY108)))+GJ108)*LI108</f>
        <v>#N/A</v>
      </c>
      <c r="DC108" s="347" t="str">
        <f>IF(L108&gt;0,((R108/Worksheet!$I$15)/DB108)^2," ")</f>
        <v xml:space="preserve"> </v>
      </c>
      <c r="DD108" s="602" t="str">
        <f t="shared" si="365"/>
        <v xml:space="preserve"> </v>
      </c>
      <c r="DE108" s="347" t="str">
        <f t="shared" si="258"/>
        <v xml:space="preserve"> </v>
      </c>
      <c r="DF108" s="356" t="e">
        <f ca="1">INDEX(INDIRECT(VLOOKUP(LEFT(BO108,7),CLU!$Z$3:$AH$18,8)),((M108-2)*(6-COUNTBLANK(GT108:GY108)))+GJ108)</f>
        <v>#N/A</v>
      </c>
      <c r="DG108" s="347" t="str">
        <f t="shared" si="259"/>
        <v xml:space="preserve"> </v>
      </c>
      <c r="DH108" s="357" t="str">
        <f t="shared" si="260"/>
        <v xml:space="preserve"> </v>
      </c>
      <c r="DI108" s="355" t="str">
        <f t="shared" si="261"/>
        <v xml:space="preserve"> </v>
      </c>
      <c r="DJ108" s="245" t="e">
        <f ca="1">INDEX(INDIRECT(VLOOKUP(LEFT(BO108,7),CLU!$Z$3:$AH$18,5)),GL108,GK108)</f>
        <v>#N/A</v>
      </c>
      <c r="DK108" s="245" t="e">
        <f ca="1">INDEX(INDIRECT(VLOOKUP(LEFT(BO108,7),CLU!$Z$3:$AH$18,6)),GL108,GK108)</f>
        <v>#N/A</v>
      </c>
      <c r="DL108" s="355">
        <f>(Calculation!R108*0.69143*(Calculation!$BQ$8-Calculation!$F$8))*$S$14</f>
        <v>0</v>
      </c>
      <c r="DM108" s="359" t="e">
        <f t="shared" si="366"/>
        <v>#VALUE!</v>
      </c>
      <c r="DN108" s="611">
        <f t="shared" si="367"/>
        <v>0</v>
      </c>
      <c r="DO108" s="359">
        <f t="shared" si="368"/>
        <v>100</v>
      </c>
      <c r="DP108" s="359">
        <f t="shared" si="369"/>
        <v>0</v>
      </c>
      <c r="DQ108" s="360"/>
      <c r="DR108" s="245" t="e">
        <f ca="1">INDEX(INDIRECT(VLOOKUP(LEFT(BO108,7),CLU!$Z$3:$AH$18,7)),M108-1,1)</f>
        <v>#N/A</v>
      </c>
      <c r="DS108" s="245" t="e">
        <f ca="1">INDEX(INDIRECT(VLOOKUP(LEFT(BO108,7),CLU!$Z$3:$AH$18,7)),M108-1,2)</f>
        <v>#N/A</v>
      </c>
      <c r="DT108" s="245" t="e">
        <f ca="1">INDEX(INDIRECT(VLOOKUP(LEFT(BO108,7),CLU!$Z$3:$AH$18,7)),M108-1,3)</f>
        <v>#N/A</v>
      </c>
      <c r="DU108" s="245" t="e">
        <f ca="1">INDEX(INDIRECT(VLOOKUP(LEFT(BO108,7),CLU!$Z$3:$AH$18,7)),M108-1,4)</f>
        <v>#N/A</v>
      </c>
      <c r="DV108" s="361" t="e">
        <f ca="1">INDEX(INDIRECT(VLOOKUP(LEFT(BO108,7),CLU!$Z$3:$AH$18,7)),M108-1,4+LEFT(DZ108,1)*0.5)</f>
        <v>#N/A</v>
      </c>
      <c r="DW108" s="245" t="e">
        <f ca="1">INDEX(INDIRECT(VLOOKUP(LEFT(BO108,7),CLU!$Z$3:$AH$18,7)),M108-1,8)</f>
        <v>#N/A</v>
      </c>
      <c r="DX108" s="361" t="str">
        <f t="shared" si="262"/>
        <v xml:space="preserve"> </v>
      </c>
      <c r="DY108" s="361" t="str">
        <f t="shared" si="263"/>
        <v xml:space="preserve"> </v>
      </c>
      <c r="DZ108" s="361" t="str">
        <f t="shared" si="264"/>
        <v xml:space="preserve"> </v>
      </c>
      <c r="EA108" s="362" t="str">
        <f t="shared" si="265"/>
        <v xml:space="preserve"> </v>
      </c>
      <c r="EB108" s="624" t="str">
        <f t="shared" si="370"/>
        <v xml:space="preserve"> </v>
      </c>
      <c r="EC108" s="361" t="e">
        <f ca="1">INDEX(INDIRECT(VLOOKUP(LEFT(BO108,7),CLU!$Z$3:$AH$18,7)),M108-1,4+LEFT(DZ108,1)*0.5)</f>
        <v>#N/A</v>
      </c>
      <c r="ED108" s="362" t="str">
        <f t="shared" si="266"/>
        <v xml:space="preserve"> </v>
      </c>
      <c r="EE108" s="361" t="str">
        <f t="shared" si="267"/>
        <v xml:space="preserve"> </v>
      </c>
      <c r="EF108" s="362" t="str">
        <f>IF(L108&gt;0,IF(BR108&gt;0,IF(EE108="2P",IF(Calculation!DZ108="2P",IF(Calculation!DS108=13.75,IF(Calculation!DR108=13,Worksheet!$BD$43,IF(Calculation!DR108=37,Worksheet!$BD$44,Worksheet!$BD$45)),IF(Calculation!DS108=10,IF(Calculation!DR108=18,Worksheet!$BD$29,IF(Calculation!DR108=30,Worksheet!$BD$30,IF(Calculation!DR108=42,Worksheet!$BD$31,IF(Calculation!DR108=54,Worksheet!$BD$32,IF(Calculation!DR108=66,Worksheet!$BD$33,IF(Calculation!DR108=78,Worksheet!$BD$34,IF(Calculation!DR108=90,Worksheet!$BD$35,IF(Calculation!DR108=102,Worksheet!$BD$36,Worksheet!$BD$37)))))))),IF(Calculation!DS108=12.5,IF(Calculation!DR108=18,Worksheet!$BD$38,IF(Calculation!DR108=Worksheet!$BD$39,IF(Calculation!DR108=42,Worksheet!$BD$40,IF(Calculation!DR108=54,Worksheet!$BD$41,Worksheet!$BD$42)))),IF(Calculation!DR108=18,Worksheet!$BD$11,IF(Calculation!DR108=30,Worksheet!$BD$12,IF(Calculation!DR108=42,Worksheet!$BD$13,IF(Calculation!DR108=54,Worksheet!$BD$14,IF(Calculation!DR108=66,Worksheet!$BD$15,IF(Calculation!DR108=78,Worksheet!$BD$16,IF(Calculation!DR108=90,Worksheet!$BD$17,IF(Calculation!DR108=102,Worksheet!$BD$18,Worksheet!$BD$19))))))))))),IF(Calculation!DS108=13.75,IF(Calculation!DR108=13,Worksheet!$BD$78,IF(Calculation!DR108=37,Worksheet!$BD$79,Worksheet!$BD$80)),IF(Calculation!DS108=10,IF(Calculation!DR108=18,Worksheet!$BD$64,IF(Calculation!DR108=30,Worksheet!$BD$65,IF(Calculation!DR108=42,Worksheet!$BD$66,IF(Calculation!DR108=54,Worksheet!$BD$68,IF(Calculation!DR108=66,Worksheet!$BD$68,IF(Calculation!DR108=78,Worksheet!$BD$69,IF(Calculation!DR108=90,Worksheet!$BD$70,IF(Calculation!DR108=102,Worksheet!$BD$71,Worksheet!$BD$72)))))))),IF(Calculation!DS108=12.5,IF(Calculation!DR108=18,Worksheet!$BD$73,IF(Calculation!DR108=Worksheet!$BD$74,IF(Calculation!DR108=42,Worksheet!$BD$75,IF(Calculation!DR108=54,Worksheet!$BD$76,Worksheet!$BD$77)))),IF(Calculation!DR108=18,Worksheet!$BD$55,IF(Calculation!DR108=30,Worksheet!$BD$56,IF(Calculation!DR108=42,Worksheet!$BD$57,IF(Calculation!DR108=54,Worksheet!$BD$58,IF(Calculation!DR108=66,Worksheet!$BD$59,IF(Calculation!DR108=78,Worksheet!$BD$60,IF(Calculation!DR108=90,Worksheet!$BD$61,IF(Calculation!DR108=102,Worksheet!$BD$62,Worksheet!$BD$63)))))))))))),5),0)," ")</f>
        <v xml:space="preserve"> </v>
      </c>
      <c r="EG108" s="361" t="str">
        <f t="shared" si="268"/>
        <v xml:space="preserve"> </v>
      </c>
      <c r="EH108" s="361" t="e">
        <f ca="1">INDEX(INDIRECT(VLOOKUP(LEFT(BO108,7),CLU!$Z$3:$AH$18,7)),M108-1,3+LEFT(DZ108,1))</f>
        <v>#N/A</v>
      </c>
      <c r="EI108" s="362" t="str">
        <f t="shared" si="269"/>
        <v xml:space="preserve"> </v>
      </c>
      <c r="EJ108" s="363" t="str">
        <f t="shared" si="270"/>
        <v xml:space="preserve"> </v>
      </c>
      <c r="EK108" s="363" t="str">
        <f t="shared" si="271"/>
        <v xml:space="preserve"> </v>
      </c>
      <c r="EL108" s="363" t="str">
        <f t="shared" si="272"/>
        <v xml:space="preserve"> </v>
      </c>
      <c r="EM108" s="362" t="str">
        <f>IF(L108&gt;0,IF(BR108&gt;0,(Calculation!T108/ED108)^2,0)," ")</f>
        <v xml:space="preserve"> </v>
      </c>
      <c r="EN108" s="362" t="str">
        <f>IF(L108&gt;0,IF(O108="2 Pipe (Cooling)","N/A",IF(BR108&gt;0,(Calculation!U108/EI108)^2,0))," ")</f>
        <v xml:space="preserve"> </v>
      </c>
      <c r="EO108" s="361" t="str">
        <f t="shared" si="273"/>
        <v/>
      </c>
      <c r="EP108" s="361" t="str">
        <f t="shared" si="274"/>
        <v/>
      </c>
      <c r="EQ108" s="361" t="str">
        <f t="shared" si="275"/>
        <v/>
      </c>
      <c r="ER108" s="361" t="str">
        <f t="shared" si="276"/>
        <v/>
      </c>
      <c r="ES108" s="361" t="str">
        <f t="shared" si="277"/>
        <v/>
      </c>
      <c r="ET108" s="361" t="str">
        <f t="shared" si="278"/>
        <v/>
      </c>
      <c r="EU108" s="361" t="str">
        <f t="shared" si="279"/>
        <v/>
      </c>
      <c r="EV108" s="361" t="str">
        <f t="shared" si="280"/>
        <v/>
      </c>
      <c r="EW108" s="361" t="str">
        <f t="shared" si="281"/>
        <v/>
      </c>
      <c r="EX108" s="361" t="str">
        <f t="shared" si="371"/>
        <v>1 slot, 1 way</v>
      </c>
      <c r="EY108" s="361" t="str">
        <f t="shared" si="372"/>
        <v xml:space="preserve"> </v>
      </c>
      <c r="EZ108" s="361" t="str">
        <f t="shared" si="373"/>
        <v xml:space="preserve"> </v>
      </c>
      <c r="FA108" s="361" t="str">
        <f t="shared" si="374"/>
        <v xml:space="preserve"> </v>
      </c>
      <c r="FB108" s="361" t="str">
        <f t="shared" si="375"/>
        <v xml:space="preserve"> </v>
      </c>
      <c r="FC108" s="361"/>
      <c r="FD108" s="361" t="str">
        <f>IF(J108&gt;0,IF(Calculation!R108&lt;=70,4,IF(Calculation!R108&lt;=110,5,IF(Calculation!R108&lt;=160,6,IF(Calculation!R108&lt;=300,8,"10 EO")))),"")</f>
        <v/>
      </c>
      <c r="FE108" s="361" t="str">
        <f t="shared" si="376"/>
        <v/>
      </c>
      <c r="FF108" s="361" t="str">
        <f t="shared" si="377"/>
        <v/>
      </c>
      <c r="FG108" s="361" t="e">
        <f t="shared" si="282"/>
        <v>#N/A</v>
      </c>
      <c r="FH108" s="361">
        <f t="shared" si="283"/>
        <v>0</v>
      </c>
      <c r="FI108" s="361" t="e">
        <f t="shared" si="284"/>
        <v>#DIV/0!</v>
      </c>
      <c r="FJ108" s="361"/>
      <c r="FK108" s="356" t="e">
        <f t="shared" si="285"/>
        <v>#VALUE!</v>
      </c>
      <c r="FL108" s="361"/>
      <c r="FM108" s="361"/>
      <c r="FN108" s="362" t="str">
        <f t="shared" si="378"/>
        <v xml:space="preserve"> </v>
      </c>
      <c r="FO108" s="362" t="str">
        <f t="shared" si="379"/>
        <v xml:space="preserve"> </v>
      </c>
      <c r="FP108" s="362">
        <f t="shared" si="380"/>
        <v>0</v>
      </c>
      <c r="FQ108" s="361">
        <f t="shared" si="286"/>
        <v>0</v>
      </c>
      <c r="FR108" s="362" t="str">
        <f>IF(L108&gt;0,IF(J108="CBAL2",Worksheet!$P$67,IF(J108="CBE2-24",Worksheet!$Q$67,IF(J108="CBAM",Worksheet!$R$67,IF(J108="CBLV",Worksheet!$S$67,IF(J108="CBAB",Worksheet!$U$67,IF(J108="CBAW",Worksheet!$X$67,IF(J108="CBE2-12",Worksheet!$Y$67,IF(J108="CBAL2",Worksheet!$Z$67,"N/A"))))))))," ")</f>
        <v xml:space="preserve"> </v>
      </c>
      <c r="FS108" s="362" t="str">
        <f>IF(L108&gt;0,IF(J108="CBAL2",Worksheet!$P$68,IF(J108="CBE2-24",Worksheet!$Q$68,IF(J108="CBAM",Worksheet!$R$68,IF(J108="CBLV",Worksheet!$S$68,IF(J108="CBAB",Worksheet!$U$68,IF(J108="CBAW",Worksheet!$X$68,IF(J108="CBE2-12",Worksheet!$Y$68,IF(J108="CBAL2",Worksheet!$Z$68,"N/A"))))))))," ")</f>
        <v xml:space="preserve"> </v>
      </c>
      <c r="FT108" s="362" t="str">
        <f>IF(L108&gt;0,IF(J108="CBAL2",Worksheet!$P$69,IF(J108="CBE2-24",Worksheet!$Q$69,IF(J108="CBAM",Worksheet!$R$69,IF(J108="CBLV",Worksheet!$S$69,IF(J108="CBAB",Worksheet!$U$69,IF(J108="CBAW",Worksheet!$X$69,IF(J108="CBE2-12",Worksheet!$Y$69,IF(J108="CBAL2",Worksheet!$Z$69,"N/A"))))))))," ")</f>
        <v xml:space="preserve"> </v>
      </c>
      <c r="FU108" s="361" t="str">
        <f t="shared" si="381"/>
        <v xml:space="preserve"> </v>
      </c>
      <c r="FV108" s="362" t="str">
        <f t="shared" si="382"/>
        <v xml:space="preserve"> </v>
      </c>
      <c r="FW108" s="362" t="str">
        <f t="shared" si="383"/>
        <v xml:space="preserve"> </v>
      </c>
      <c r="FX108" s="362" t="str">
        <f t="shared" si="384"/>
        <v xml:space="preserve"> </v>
      </c>
      <c r="FY108" s="355" t="str">
        <f t="shared" si="385"/>
        <v xml:space="preserve"> </v>
      </c>
      <c r="FZ108" s="361" t="str">
        <f t="shared" si="386"/>
        <v xml:space="preserve"> </v>
      </c>
      <c r="GA108" s="347" t="str">
        <f t="shared" si="387"/>
        <v xml:space="preserve"> </v>
      </c>
      <c r="GB108" s="355" t="str">
        <f t="shared" si="388"/>
        <v xml:space="preserve"> </v>
      </c>
      <c r="GC108" s="328" t="str">
        <f t="shared" si="389"/>
        <v xml:space="preserve"> </v>
      </c>
      <c r="GD108" s="361" t="str">
        <f t="shared" si="390"/>
        <v xml:space="preserve"> </v>
      </c>
      <c r="GE108" s="347" t="str">
        <f t="shared" si="391"/>
        <v xml:space="preserve"> </v>
      </c>
      <c r="GF108" s="361" t="str">
        <f t="shared" si="392"/>
        <v xml:space="preserve"> </v>
      </c>
      <c r="GG108" s="347" t="str">
        <f t="shared" si="393"/>
        <v xml:space="preserve"> </v>
      </c>
      <c r="GH108" s="364">
        <f t="shared" si="287"/>
        <v>0</v>
      </c>
      <c r="GI108" s="362">
        <f t="shared" si="394"/>
        <v>2</v>
      </c>
      <c r="GJ108" s="433" t="e">
        <f>IF(6-COUNTBLANK(GT108:GY108)=4,MATCH(MID(BO108,9,3),CLU!$H$16:$K$16),MATCH(MID(BO108,9,3),CLU!$H$13:$M$13))</f>
        <v>#N/A</v>
      </c>
      <c r="GK108" s="433" t="e">
        <f>HLOOKUP(VALUE(BP108),CLU!$H$9:$M$10,2)</f>
        <v>#VALUE!</v>
      </c>
      <c r="GL108" s="433" t="e">
        <f ca="1">MATCH(BU108,CLU!$H$2:$V$2,1)</f>
        <v>#VALUE!</v>
      </c>
      <c r="GM108" s="433" t="e">
        <f t="shared" ca="1" si="395"/>
        <v>#VALUE!</v>
      </c>
      <c r="GN108" s="433" t="e">
        <f t="shared" ca="1" si="396"/>
        <v>#VALUE!</v>
      </c>
      <c r="GO108" s="433" t="e">
        <f t="shared" ca="1" si="397"/>
        <v>#VALUE!</v>
      </c>
      <c r="GP108" s="433" t="e">
        <f t="shared" ca="1" si="398"/>
        <v>#VALUE!</v>
      </c>
      <c r="GQ108" s="433" t="e">
        <f t="shared" ca="1" si="399"/>
        <v>#VALUE!</v>
      </c>
      <c r="GR108" s="433" t="e">
        <f ca="1">MATCH(T108,INDIRECT(VLOOKUP(CONCATENATE(LEFT(BO108,7),"-",MID(BO108,13,1)),CLU!$P$3:$Q$16,2)),1)</f>
        <v>#N/A</v>
      </c>
      <c r="GS108" s="433" t="e">
        <f ca="1">MATCH(U108,INDIRECT(VLOOKUP(CONCATENATE(LEFT(BO108,7),"-",MID(BO108,13,1)),CLU!$P$3:$Q$16,2)),1)</f>
        <v>#N/A</v>
      </c>
      <c r="GT108" s="347" t="s">
        <v>512</v>
      </c>
      <c r="GU108" s="97" t="s">
        <v>513</v>
      </c>
      <c r="GV108" s="97" t="str">
        <f t="shared" si="400"/>
        <v>M23</v>
      </c>
      <c r="GW108" s="97" t="str">
        <f t="shared" si="401"/>
        <v>M31</v>
      </c>
      <c r="GX108" s="97" t="str">
        <f t="shared" si="402"/>
        <v/>
      </c>
      <c r="GY108" s="97" t="str">
        <f t="shared" si="403"/>
        <v/>
      </c>
      <c r="GZ108" s="481"/>
      <c r="HA108" s="288"/>
      <c r="HB108" s="240"/>
      <c r="HC108" s="240"/>
      <c r="HD108" s="240"/>
      <c r="HE108" s="240"/>
      <c r="HF108" s="240"/>
      <c r="HG108" s="240"/>
      <c r="HH108" s="240"/>
      <c r="HI108" s="240"/>
      <c r="HJ108" s="240"/>
      <c r="HK108" s="240"/>
      <c r="HL108" s="240"/>
      <c r="HM108" s="240"/>
      <c r="HN108" s="240"/>
      <c r="HO108" s="240"/>
      <c r="HP108" s="240"/>
      <c r="HQ108" s="240"/>
      <c r="HR108" s="240"/>
      <c r="HS108" s="240"/>
      <c r="HT108" s="240"/>
      <c r="HU108" s="240"/>
      <c r="HV108" s="245"/>
      <c r="HW108" s="245" t="b">
        <v>1</v>
      </c>
      <c r="HX108" s="245" t="str">
        <f t="shared" si="288"/>
        <v/>
      </c>
      <c r="HY108" s="245" t="e">
        <f t="shared" si="289"/>
        <v>#DIV/0!</v>
      </c>
      <c r="HZ108" s="245" t="e">
        <f t="shared" si="290"/>
        <v>#DIV/0!</v>
      </c>
      <c r="IA108" s="245">
        <f t="shared" si="291"/>
        <v>0</v>
      </c>
      <c r="IB108" s="245"/>
      <c r="IC108" t="b">
        <f t="shared" si="292"/>
        <v>1</v>
      </c>
      <c r="ID108" s="245" t="b">
        <f t="shared" si="293"/>
        <v>1</v>
      </c>
      <c r="IE108" s="245" t="b">
        <f t="shared" si="294"/>
        <v>1</v>
      </c>
      <c r="IF108" s="245" t="b">
        <f t="shared" si="295"/>
        <v>0</v>
      </c>
      <c r="IG108" s="245" t="b">
        <f t="shared" si="296"/>
        <v>1</v>
      </c>
      <c r="IH108" s="245" t="b">
        <f t="shared" si="297"/>
        <v>1</v>
      </c>
      <c r="II108" s="245">
        <f t="shared" si="404"/>
        <v>0</v>
      </c>
      <c r="IJ108" s="245" t="e">
        <f t="shared" si="298"/>
        <v>#VALUE!</v>
      </c>
      <c r="IK108" s="245" t="e">
        <f t="shared" si="299"/>
        <v>#VALUE!</v>
      </c>
      <c r="IL108" s="245"/>
      <c r="IM108" s="245" t="e">
        <f t="shared" si="405"/>
        <v>#N/A</v>
      </c>
      <c r="IN108" s="245" t="e">
        <f t="shared" si="406"/>
        <v>#N/A</v>
      </c>
      <c r="IO108" s="245"/>
      <c r="IP108" s="245"/>
      <c r="IQ108" s="245" t="str">
        <f t="shared" si="300"/>
        <v/>
      </c>
      <c r="IR108" s="245" t="str">
        <f>IF(J108="","",VLOOKUP(J108,Worksheet!$R$4:$T$14,2))</f>
        <v/>
      </c>
      <c r="IS108" s="245"/>
      <c r="IT108" s="245">
        <f t="shared" si="301"/>
        <v>0</v>
      </c>
      <c r="IU108" s="245">
        <f t="shared" si="302"/>
        <v>0</v>
      </c>
      <c r="IV108" s="245">
        <f t="shared" si="303"/>
        <v>0</v>
      </c>
      <c r="IW108" s="245">
        <f t="shared" si="304"/>
        <v>0</v>
      </c>
      <c r="IX108" s="245">
        <f t="shared" si="407"/>
        <v>0</v>
      </c>
      <c r="IY108" s="245">
        <f t="shared" si="305"/>
        <v>0</v>
      </c>
      <c r="IZ108" s="245">
        <f t="shared" si="306"/>
        <v>0</v>
      </c>
      <c r="JA108">
        <f t="shared" si="307"/>
        <v>0</v>
      </c>
      <c r="JB108">
        <f t="shared" si="408"/>
        <v>0</v>
      </c>
      <c r="JC108">
        <f t="shared" si="308"/>
        <v>0</v>
      </c>
      <c r="JD108">
        <f t="shared" si="309"/>
        <v>0</v>
      </c>
      <c r="JE108">
        <f t="shared" si="310"/>
        <v>0</v>
      </c>
      <c r="JF108">
        <f t="shared" si="311"/>
        <v>0</v>
      </c>
      <c r="JG108">
        <f t="shared" si="312"/>
        <v>0</v>
      </c>
      <c r="JH108">
        <f t="shared" si="313"/>
        <v>0</v>
      </c>
      <c r="JI108">
        <f t="shared" si="314"/>
        <v>0</v>
      </c>
      <c r="JJ108" s="447">
        <f t="shared" si="315"/>
        <v>0</v>
      </c>
      <c r="JK108" s="447">
        <f t="shared" si="316"/>
        <v>0</v>
      </c>
      <c r="JL108">
        <f t="shared" si="317"/>
        <v>0</v>
      </c>
      <c r="JM108" s="245" t="str">
        <f>IFERROR(VLOOKUP(MATCH(BN108,#REF!,0),#REF!,7),"")</f>
        <v/>
      </c>
      <c r="JN108" t="e">
        <f>HLOOKUP(LEFT(BO108,7),Discharge_Area,MATCH(JO108,LookUps!$B$130:$B$149,1)+2)</f>
        <v>#N/A</v>
      </c>
      <c r="JO108" t="str">
        <f t="shared" si="318"/>
        <v>- S</v>
      </c>
      <c r="JP108" t="e">
        <f>HLOOKUP(LEFT(BO108,7),Discharge_Area,MATCH(JO108,LookUps!$B$130:$B$149,1)+2)</f>
        <v>#N/A</v>
      </c>
      <c r="JQ108" t="e">
        <f t="shared" si="319"/>
        <v>#N/A</v>
      </c>
      <c r="JR108" t="e">
        <f t="shared" si="320"/>
        <v>#N/A</v>
      </c>
      <c r="JS108" t="e">
        <f t="shared" si="321"/>
        <v>#N/A</v>
      </c>
      <c r="JT108" s="532" t="str">
        <f t="shared" si="322"/>
        <v xml:space="preserve"> </v>
      </c>
      <c r="JU108" s="532" t="str">
        <f t="shared" si="323"/>
        <v xml:space="preserve"> </v>
      </c>
      <c r="JV108" s="533" t="str">
        <f t="shared" si="324"/>
        <v xml:space="preserve"> </v>
      </c>
      <c r="JW108" s="534">
        <f t="shared" si="325"/>
        <v>0</v>
      </c>
      <c r="JX108" s="535" t="str">
        <f t="shared" si="409"/>
        <v xml:space="preserve"> </v>
      </c>
      <c r="JY108" s="535" t="str">
        <f t="shared" si="410"/>
        <v xml:space="preserve"> </v>
      </c>
      <c r="JZ108" s="535" t="str">
        <f t="shared" si="411"/>
        <v xml:space="preserve"> </v>
      </c>
      <c r="KA108" s="536" t="str">
        <f t="shared" si="326"/>
        <v xml:space="preserve"> </v>
      </c>
      <c r="KB108" s="535" t="e">
        <f t="shared" si="412"/>
        <v>#VALUE!</v>
      </c>
      <c r="KC108" s="535" t="str">
        <f t="shared" si="327"/>
        <v/>
      </c>
      <c r="KD108" s="537" t="str">
        <f t="shared" si="413"/>
        <v xml:space="preserve"> </v>
      </c>
      <c r="KE108" s="537" t="str">
        <f t="shared" si="414"/>
        <v xml:space="preserve"> </v>
      </c>
      <c r="KF108" s="534">
        <f t="shared" si="328"/>
        <v>0</v>
      </c>
      <c r="KG108" s="535" t="str">
        <f t="shared" si="329"/>
        <v xml:space="preserve"> </v>
      </c>
      <c r="KH108" s="535" t="str">
        <f t="shared" si="330"/>
        <v xml:space="preserve"> </v>
      </c>
      <c r="KI108" s="535" t="str">
        <f t="shared" si="331"/>
        <v xml:space="preserve"> </v>
      </c>
      <c r="KJ108" s="536" t="str">
        <f t="shared" si="332"/>
        <v xml:space="preserve"> </v>
      </c>
      <c r="KK108" s="535" t="str">
        <f t="shared" si="415"/>
        <v xml:space="preserve"> </v>
      </c>
      <c r="KL108" s="535" t="str">
        <f t="shared" si="416"/>
        <v xml:space="preserve"> </v>
      </c>
      <c r="KM108" s="537" t="str">
        <f t="shared" si="333"/>
        <v xml:space="preserve"> </v>
      </c>
      <c r="KN108" s="537" t="str">
        <f t="shared" si="417"/>
        <v xml:space="preserve"> </v>
      </c>
      <c r="KP108">
        <f t="shared" si="334"/>
        <v>0</v>
      </c>
      <c r="LA108" t="e">
        <f t="shared" si="335"/>
        <v>#VALUE!</v>
      </c>
      <c r="LB108" t="e">
        <f t="shared" si="336"/>
        <v>#VALUE!</v>
      </c>
      <c r="LC108" t="e">
        <f t="shared" si="337"/>
        <v>#VALUE!</v>
      </c>
      <c r="LD108" t="e">
        <f t="shared" si="338"/>
        <v>#VALUE!</v>
      </c>
      <c r="LE108" t="e">
        <f t="shared" si="418"/>
        <v>#VALUE!</v>
      </c>
      <c r="LF108">
        <f t="shared" si="339"/>
        <v>0</v>
      </c>
      <c r="LG108" t="e">
        <f t="shared" si="419"/>
        <v>#VALUE!</v>
      </c>
      <c r="LH108" t="str">
        <f t="shared" si="340"/>
        <v xml:space="preserve"> </v>
      </c>
      <c r="LI108">
        <f t="shared" si="420"/>
        <v>1</v>
      </c>
    </row>
    <row r="109" spans="2:321" ht="15" customHeight="1">
      <c r="B109" s="311"/>
      <c r="C109" s="311"/>
      <c r="D109" s="312"/>
      <c r="E109" s="311"/>
      <c r="F109" s="312"/>
      <c r="G109" s="311"/>
      <c r="H109" s="311"/>
      <c r="I109" s="37"/>
      <c r="J109" s="311"/>
      <c r="K109" s="305" t="str">
        <f t="shared" si="341"/>
        <v/>
      </c>
      <c r="L109" s="313"/>
      <c r="M109" s="312"/>
      <c r="N109" s="311"/>
      <c r="O109" s="312"/>
      <c r="P109" s="311"/>
      <c r="Q109" s="305" t="str">
        <f t="shared" si="342"/>
        <v/>
      </c>
      <c r="R109" s="314"/>
      <c r="S109" s="450" t="str">
        <f t="shared" si="225"/>
        <v/>
      </c>
      <c r="T109" s="315"/>
      <c r="U109" s="315"/>
      <c r="W109" s="149" t="str">
        <f t="shared" si="226"/>
        <v xml:space="preserve"> </v>
      </c>
      <c r="X109" s="243" t="str">
        <f t="shared" si="227"/>
        <v xml:space="preserve"> </v>
      </c>
      <c r="Y109" s="150" t="str">
        <f t="shared" si="228"/>
        <v/>
      </c>
      <c r="Z109" s="149" t="str">
        <f t="shared" si="229"/>
        <v xml:space="preserve"> </v>
      </c>
      <c r="AA109" s="98" t="str">
        <f t="shared" si="230"/>
        <v xml:space="preserve"> </v>
      </c>
      <c r="AB109" s="153" t="str">
        <f t="shared" si="231"/>
        <v xml:space="preserve"> </v>
      </c>
      <c r="AC109" s="153" t="str">
        <f t="shared" si="232"/>
        <v xml:space="preserve"> </v>
      </c>
      <c r="AD109" s="148" t="str">
        <f t="shared" si="233"/>
        <v/>
      </c>
      <c r="AE109" s="149" t="str">
        <f t="shared" si="234"/>
        <v/>
      </c>
      <c r="AF109" s="151" t="str">
        <f t="shared" si="235"/>
        <v xml:space="preserve"> </v>
      </c>
      <c r="AG109" s="153" t="str">
        <f t="shared" si="236"/>
        <v xml:space="preserve"> </v>
      </c>
      <c r="AH109" s="98" t="str">
        <f t="shared" si="237"/>
        <v xml:space="preserve"> </v>
      </c>
      <c r="AI109" s="149" t="str">
        <f t="shared" si="238"/>
        <v xml:space="preserve"> </v>
      </c>
      <c r="AK109" s="144" t="str">
        <f t="shared" si="239"/>
        <v xml:space="preserve"> </v>
      </c>
      <c r="AL109" s="144"/>
      <c r="AM109" s="243" t="str">
        <f t="shared" si="240"/>
        <v xml:space="preserve"> </v>
      </c>
      <c r="AN109" s="149" t="str">
        <f t="shared" si="343"/>
        <v xml:space="preserve"> </v>
      </c>
      <c r="AO109" s="144" t="str">
        <f>IF(JB109&gt;0,IF(GI109=10,-R109*1.085*(Calculation!$F$6-Calculation!$F$13)*$S$14," "),"")</f>
        <v/>
      </c>
      <c r="AP109" s="144" t="str">
        <f t="shared" si="241"/>
        <v/>
      </c>
      <c r="AQ109" s="56" t="str">
        <f t="shared" si="242"/>
        <v/>
      </c>
      <c r="AR109" s="144" t="str">
        <f t="shared" si="243"/>
        <v/>
      </c>
      <c r="AS109" s="176" t="str">
        <f t="shared" si="244"/>
        <v/>
      </c>
      <c r="AT109" s="176" t="str">
        <f t="shared" si="344"/>
        <v xml:space="preserve"> </v>
      </c>
      <c r="AU109" s="176" t="str">
        <f t="shared" si="245"/>
        <v/>
      </c>
      <c r="AV109" s="177" t="str">
        <f t="shared" si="246"/>
        <v xml:space="preserve"> </v>
      </c>
      <c r="AW109" s="144" t="str">
        <f t="shared" si="247"/>
        <v xml:space="preserve"> </v>
      </c>
      <c r="AX109" s="144" t="str">
        <f t="shared" si="248"/>
        <v xml:space="preserve"> </v>
      </c>
      <c r="AY109" s="152" t="str">
        <f t="shared" si="249"/>
        <v xml:space="preserve"> </v>
      </c>
      <c r="AZ109" s="246" t="str">
        <f t="shared" si="250"/>
        <v/>
      </c>
      <c r="BA109" s="176" t="str">
        <f t="shared" si="251"/>
        <v xml:space="preserve"> </v>
      </c>
      <c r="BB109" s="176" t="str">
        <f t="shared" si="252"/>
        <v xml:space="preserve"> </v>
      </c>
      <c r="BC109" s="195"/>
      <c r="BD109" s="316"/>
      <c r="BE109" s="317"/>
      <c r="BF109" s="318"/>
      <c r="BG109" s="318"/>
      <c r="BH109" s="144" t="str">
        <f t="shared" si="421"/>
        <v xml:space="preserve"> </v>
      </c>
      <c r="BI109" s="176" t="str">
        <f t="shared" si="253"/>
        <v/>
      </c>
      <c r="BJ109" s="144" t="str">
        <f t="shared" si="422"/>
        <v/>
      </c>
      <c r="BK109" s="246" t="str">
        <f t="shared" si="254"/>
        <v/>
      </c>
      <c r="BL109" s="144" t="str">
        <f t="shared" si="423"/>
        <v/>
      </c>
      <c r="BM109" s="246" t="str">
        <f t="shared" si="255"/>
        <v/>
      </c>
      <c r="BN109" s="337" t="str">
        <f t="shared" si="345"/>
        <v/>
      </c>
      <c r="BO109" s="371" t="str">
        <f t="shared" si="346"/>
        <v/>
      </c>
      <c r="BP109" s="328" t="str">
        <f t="shared" si="424"/>
        <v xml:space="preserve"> </v>
      </c>
      <c r="BQ109" s="347" t="str">
        <f t="shared" si="347"/>
        <v xml:space="preserve"> </v>
      </c>
      <c r="BR109" s="353" t="str">
        <f t="shared" si="348"/>
        <v xml:space="preserve"> </v>
      </c>
      <c r="BS109" s="626" t="str">
        <f>IF(L109&gt;0,IF(Calculation!P109="M13",BR109*3.1416*(0.134^2)/(4*144),IF(Calculation!P109="M17",BR109*3.1416*(0.165^2)/(4*144),IF(Calculation!P109="M20",BR109*3.1416*(0.198^2)/(4*144),IF(Calculation!P109="M23",BR109*3.1416*(0.228^2)/(4*144),IF(Calculation!P109="M27",BR109*3.1416*(0.269^2)/(4*144),BR109*3.1416*(0.307^2)/(4*144))))))," ")</f>
        <v xml:space="preserve"> </v>
      </c>
      <c r="BT109" s="353" t="str">
        <f>IF(L109&gt;0,IF(BS109&gt;0,R109/Calculation!BS109,0)," ")</f>
        <v xml:space="preserve"> </v>
      </c>
      <c r="BU109" s="438" t="e">
        <f t="shared" ca="1" si="256"/>
        <v>#VALUE!</v>
      </c>
      <c r="BV109" s="449" t="e">
        <f ca="1">INDEX(INDIRECT(VLOOKUP(LEFT(BO109,7),CLU!$Z$3:$AH$18,2)),GN109,GR109)</f>
        <v>#N/A</v>
      </c>
      <c r="BW109" s="433" t="e">
        <f ca="1">INDEX(INDIRECT(VLOOKUP(LEFT(BO109,7),CLU!$Z$3:$AH$18,3)),GN109,GR109)</f>
        <v>#N/A</v>
      </c>
      <c r="BX109" s="433" t="e">
        <f ca="1">INDEX(INDIRECT(VLOOKUP(LEFT(BO109,7),CLU!$Z$3:$AH$18,4)),GN109,GR109)</f>
        <v>#N/A</v>
      </c>
      <c r="BY109" s="433" t="e">
        <f ca="1">INDEX(INDIRECT(VLOOKUP(LEFT(BO109,7),CLU!$Z$3:$AH$18,9)),((M109-2)*(6-COUNTBLANK(GT109:GY109)))+GJ109)</f>
        <v>#N/A</v>
      </c>
      <c r="BZ109" s="426" t="e">
        <f t="shared" ca="1" si="349"/>
        <v>#N/A</v>
      </c>
      <c r="CA109" s="424" t="e">
        <f t="shared" ca="1" si="350"/>
        <v>#N/A</v>
      </c>
      <c r="CB109" s="429" t="e">
        <f ca="1">INDEX(INDIRECT(VLOOKUP(LEFT(BO109,7),CLU!$Z$3:$AH$18,2)),GN109,GS109)</f>
        <v>#N/A</v>
      </c>
      <c r="CC109" s="342" t="e">
        <f ca="1">INDEX(INDIRECT(VLOOKUP(LEFT(BO109,7),CLU!$Z$3:$AH$18,3)),GN109,GS109)</f>
        <v>#N/A</v>
      </c>
      <c r="CD109" s="342" t="e">
        <f ca="1">INDEX(INDIRECT(VLOOKUP(LEFT(BO109,7),CLU!$Z$3:$AH$18,4)),GN109,GS109)</f>
        <v>#N/A</v>
      </c>
      <c r="CE109" s="426" t="e">
        <f t="shared" ca="1" si="351"/>
        <v>#N/A</v>
      </c>
      <c r="CF109" s="440">
        <f t="shared" si="352"/>
        <v>0</v>
      </c>
      <c r="CG109" s="431" t="e">
        <f ca="1">INDEX(INDIRECT(VLOOKUP(LEFT(BO109,7),CLU!$Z$3:$AH$18,2)),GQ109,GR109)</f>
        <v>#N/A</v>
      </c>
      <c r="CH109" s="431" t="e">
        <f ca="1">INDEX(INDIRECT(VLOOKUP(LEFT(BO109,7),CLU!$Z$3:$AH$18,3)),GQ109,GR109)</f>
        <v>#N/A</v>
      </c>
      <c r="CI109" s="431" t="e">
        <f ca="1">INDEX(INDIRECT(VLOOKUP(LEFT(BO109,7),CLU!$Z$3:$AH$18,4)),GQ109,GR109)</f>
        <v>#N/A</v>
      </c>
      <c r="CJ109" s="448" t="e">
        <f t="shared" ca="1" si="353"/>
        <v>#N/A</v>
      </c>
      <c r="CK109" s="431" t="e">
        <f t="shared" ca="1" si="354"/>
        <v>#N/A</v>
      </c>
      <c r="CL109" s="440" t="e">
        <f t="shared" ca="1" si="355"/>
        <v>#N/A</v>
      </c>
      <c r="CM109" s="431" t="e">
        <f ca="1">INDEX(INDIRECT(VLOOKUP(LEFT(BO109,7),CLU!$Z$3:$AH$18,2)),GQ109,GS109)</f>
        <v>#N/A</v>
      </c>
      <c r="CN109" s="431" t="e">
        <f ca="1">INDEX(INDIRECT(VLOOKUP(LEFT(BO109,7),CLU!$Z$3:$AH$18,3)),GQ109,GS109)</f>
        <v>#N/A</v>
      </c>
      <c r="CO109" s="431" t="e">
        <f ca="1">INDEX(INDIRECT(VLOOKUP(LEFT(BO109,7),CLU!$Z$3:$AH$18,4)),GQ109,GS109)</f>
        <v>#N/A</v>
      </c>
      <c r="CP109" s="431" t="e">
        <f t="shared" ca="1" si="356"/>
        <v>#N/A</v>
      </c>
      <c r="CQ109" s="440">
        <f t="shared" si="357"/>
        <v>0</v>
      </c>
      <c r="CR109" s="51" t="e">
        <f t="shared" ca="1" si="358"/>
        <v>#N/A</v>
      </c>
      <c r="CS109" s="439" t="e">
        <f t="shared" ca="1" si="359"/>
        <v>#VALUE!</v>
      </c>
      <c r="CT109" s="51" t="e">
        <f t="shared" ca="1" si="360"/>
        <v>#VALUE!</v>
      </c>
      <c r="CU109" s="10"/>
      <c r="CV109" s="51" t="e">
        <f t="shared" ca="1" si="257"/>
        <v>#VALUE!</v>
      </c>
      <c r="CW109" s="51">
        <f t="shared" si="361"/>
        <v>0</v>
      </c>
      <c r="CX109" s="439" t="e">
        <f t="shared" ca="1" si="362"/>
        <v>#VALUE!</v>
      </c>
      <c r="CY109" s="51" t="e">
        <f t="shared" ca="1" si="363"/>
        <v>#VALUE!</v>
      </c>
      <c r="CZ109" s="10"/>
      <c r="DA109" s="51" t="e">
        <f t="shared" ca="1" si="364"/>
        <v>#VALUE!</v>
      </c>
      <c r="DB109" s="347" t="e">
        <f ca="1">INDEX(INDIRECT(VLOOKUP(LEFT(BO109,7),CLU!$Z$3:$AI$18,10)),((M109-2)*(6-COUNTBLANK(GT109:GY109)))+GJ109)*LI109</f>
        <v>#N/A</v>
      </c>
      <c r="DC109" s="347" t="str">
        <f>IF(L109&gt;0,((R109/Worksheet!$I$15)/DB109)^2," ")</f>
        <v xml:space="preserve"> </v>
      </c>
      <c r="DD109" s="602" t="str">
        <f t="shared" si="365"/>
        <v xml:space="preserve"> </v>
      </c>
      <c r="DE109" s="347" t="str">
        <f t="shared" si="258"/>
        <v xml:space="preserve"> </v>
      </c>
      <c r="DF109" s="356" t="e">
        <f ca="1">INDEX(INDIRECT(VLOOKUP(LEFT(BO109,7),CLU!$Z$3:$AH$18,8)),((M109-2)*(6-COUNTBLANK(GT109:GY109)))+GJ109)</f>
        <v>#N/A</v>
      </c>
      <c r="DG109" s="347" t="str">
        <f t="shared" si="259"/>
        <v xml:space="preserve"> </v>
      </c>
      <c r="DH109" s="357" t="str">
        <f t="shared" si="260"/>
        <v xml:space="preserve"> </v>
      </c>
      <c r="DI109" s="355" t="str">
        <f t="shared" si="261"/>
        <v xml:space="preserve"> </v>
      </c>
      <c r="DJ109" s="245" t="e">
        <f ca="1">INDEX(INDIRECT(VLOOKUP(LEFT(BO109,7),CLU!$Z$3:$AH$18,5)),GL109,GK109)</f>
        <v>#N/A</v>
      </c>
      <c r="DK109" s="245" t="e">
        <f ca="1">INDEX(INDIRECT(VLOOKUP(LEFT(BO109,7),CLU!$Z$3:$AH$18,6)),GL109,GK109)</f>
        <v>#N/A</v>
      </c>
      <c r="DL109" s="355">
        <f>(Calculation!R109*0.69143*(Calculation!$BQ$8-Calculation!$F$8))*$S$14</f>
        <v>0</v>
      </c>
      <c r="DM109" s="359" t="e">
        <f t="shared" si="366"/>
        <v>#VALUE!</v>
      </c>
      <c r="DN109" s="611">
        <f t="shared" si="367"/>
        <v>0</v>
      </c>
      <c r="DO109" s="359">
        <f t="shared" si="368"/>
        <v>100</v>
      </c>
      <c r="DP109" s="359">
        <f t="shared" si="369"/>
        <v>0</v>
      </c>
      <c r="DQ109" s="360"/>
      <c r="DR109" s="245" t="e">
        <f ca="1">INDEX(INDIRECT(VLOOKUP(LEFT(BO109,7),CLU!$Z$3:$AH$18,7)),M109-1,1)</f>
        <v>#N/A</v>
      </c>
      <c r="DS109" s="245" t="e">
        <f ca="1">INDEX(INDIRECT(VLOOKUP(LEFT(BO109,7),CLU!$Z$3:$AH$18,7)),M109-1,2)</f>
        <v>#N/A</v>
      </c>
      <c r="DT109" s="245" t="e">
        <f ca="1">INDEX(INDIRECT(VLOOKUP(LEFT(BO109,7),CLU!$Z$3:$AH$18,7)),M109-1,3)</f>
        <v>#N/A</v>
      </c>
      <c r="DU109" s="245" t="e">
        <f ca="1">INDEX(INDIRECT(VLOOKUP(LEFT(BO109,7),CLU!$Z$3:$AH$18,7)),M109-1,4)</f>
        <v>#N/A</v>
      </c>
      <c r="DV109" s="361" t="e">
        <f ca="1">INDEX(INDIRECT(VLOOKUP(LEFT(BO109,7),CLU!$Z$3:$AH$18,7)),M109-1,4+LEFT(DZ109,1)*0.5)</f>
        <v>#N/A</v>
      </c>
      <c r="DW109" s="245" t="e">
        <f ca="1">INDEX(INDIRECT(VLOOKUP(LEFT(BO109,7),CLU!$Z$3:$AH$18,7)),M109-1,8)</f>
        <v>#N/A</v>
      </c>
      <c r="DX109" s="361" t="str">
        <f t="shared" si="262"/>
        <v xml:space="preserve"> </v>
      </c>
      <c r="DY109" s="361" t="str">
        <f t="shared" si="263"/>
        <v xml:space="preserve"> </v>
      </c>
      <c r="DZ109" s="361" t="str">
        <f t="shared" si="264"/>
        <v xml:space="preserve"> </v>
      </c>
      <c r="EA109" s="362" t="str">
        <f t="shared" si="265"/>
        <v xml:space="preserve"> </v>
      </c>
      <c r="EB109" s="624" t="str">
        <f t="shared" si="370"/>
        <v xml:space="preserve"> </v>
      </c>
      <c r="EC109" s="361" t="e">
        <f ca="1">INDEX(INDIRECT(VLOOKUP(LEFT(BO109,7),CLU!$Z$3:$AH$18,7)),M109-1,4+LEFT(DZ109,1)*0.5)</f>
        <v>#N/A</v>
      </c>
      <c r="ED109" s="362" t="str">
        <f t="shared" si="266"/>
        <v xml:space="preserve"> </v>
      </c>
      <c r="EE109" s="361" t="str">
        <f t="shared" si="267"/>
        <v xml:space="preserve"> </v>
      </c>
      <c r="EF109" s="362" t="str">
        <f>IF(L109&gt;0,IF(BR109&gt;0,IF(EE109="2P",IF(Calculation!DZ109="2P",IF(Calculation!DS109=13.75,IF(Calculation!DR109=13,Worksheet!$BD$43,IF(Calculation!DR109=37,Worksheet!$BD$44,Worksheet!$BD$45)),IF(Calculation!DS109=10,IF(Calculation!DR109=18,Worksheet!$BD$29,IF(Calculation!DR109=30,Worksheet!$BD$30,IF(Calculation!DR109=42,Worksheet!$BD$31,IF(Calculation!DR109=54,Worksheet!$BD$32,IF(Calculation!DR109=66,Worksheet!$BD$33,IF(Calculation!DR109=78,Worksheet!$BD$34,IF(Calculation!DR109=90,Worksheet!$BD$35,IF(Calculation!DR109=102,Worksheet!$BD$36,Worksheet!$BD$37)))))))),IF(Calculation!DS109=12.5,IF(Calculation!DR109=18,Worksheet!$BD$38,IF(Calculation!DR109=Worksheet!$BD$39,IF(Calculation!DR109=42,Worksheet!$BD$40,IF(Calculation!DR109=54,Worksheet!$BD$41,Worksheet!$BD$42)))),IF(Calculation!DR109=18,Worksheet!$BD$11,IF(Calculation!DR109=30,Worksheet!$BD$12,IF(Calculation!DR109=42,Worksheet!$BD$13,IF(Calculation!DR109=54,Worksheet!$BD$14,IF(Calculation!DR109=66,Worksheet!$BD$15,IF(Calculation!DR109=78,Worksheet!$BD$16,IF(Calculation!DR109=90,Worksheet!$BD$17,IF(Calculation!DR109=102,Worksheet!$BD$18,Worksheet!$BD$19))))))))))),IF(Calculation!DS109=13.75,IF(Calculation!DR109=13,Worksheet!$BD$78,IF(Calculation!DR109=37,Worksheet!$BD$79,Worksheet!$BD$80)),IF(Calculation!DS109=10,IF(Calculation!DR109=18,Worksheet!$BD$64,IF(Calculation!DR109=30,Worksheet!$BD$65,IF(Calculation!DR109=42,Worksheet!$BD$66,IF(Calculation!DR109=54,Worksheet!$BD$68,IF(Calculation!DR109=66,Worksheet!$BD$68,IF(Calculation!DR109=78,Worksheet!$BD$69,IF(Calculation!DR109=90,Worksheet!$BD$70,IF(Calculation!DR109=102,Worksheet!$BD$71,Worksheet!$BD$72)))))))),IF(Calculation!DS109=12.5,IF(Calculation!DR109=18,Worksheet!$BD$73,IF(Calculation!DR109=Worksheet!$BD$74,IF(Calculation!DR109=42,Worksheet!$BD$75,IF(Calculation!DR109=54,Worksheet!$BD$76,Worksheet!$BD$77)))),IF(Calculation!DR109=18,Worksheet!$BD$55,IF(Calculation!DR109=30,Worksheet!$BD$56,IF(Calculation!DR109=42,Worksheet!$BD$57,IF(Calculation!DR109=54,Worksheet!$BD$58,IF(Calculation!DR109=66,Worksheet!$BD$59,IF(Calculation!DR109=78,Worksheet!$BD$60,IF(Calculation!DR109=90,Worksheet!$BD$61,IF(Calculation!DR109=102,Worksheet!$BD$62,Worksheet!$BD$63)))))))))))),5),0)," ")</f>
        <v xml:space="preserve"> </v>
      </c>
      <c r="EG109" s="361" t="str">
        <f t="shared" si="268"/>
        <v xml:space="preserve"> </v>
      </c>
      <c r="EH109" s="361" t="e">
        <f ca="1">INDEX(INDIRECT(VLOOKUP(LEFT(BO109,7),CLU!$Z$3:$AH$18,7)),M109-1,3+LEFT(DZ109,1))</f>
        <v>#N/A</v>
      </c>
      <c r="EI109" s="362" t="str">
        <f t="shared" si="269"/>
        <v xml:space="preserve"> </v>
      </c>
      <c r="EJ109" s="363" t="str">
        <f t="shared" si="270"/>
        <v xml:space="preserve"> </v>
      </c>
      <c r="EK109" s="363" t="str">
        <f t="shared" si="271"/>
        <v xml:space="preserve"> </v>
      </c>
      <c r="EL109" s="363" t="str">
        <f t="shared" si="272"/>
        <v xml:space="preserve"> </v>
      </c>
      <c r="EM109" s="362" t="str">
        <f>IF(L109&gt;0,IF(BR109&gt;0,(Calculation!T109/ED109)^2,0)," ")</f>
        <v xml:space="preserve"> </v>
      </c>
      <c r="EN109" s="362" t="str">
        <f>IF(L109&gt;0,IF(O109="2 Pipe (Cooling)","N/A",IF(BR109&gt;0,(Calculation!U109/EI109)^2,0))," ")</f>
        <v xml:space="preserve"> </v>
      </c>
      <c r="EO109" s="361" t="str">
        <f t="shared" si="273"/>
        <v/>
      </c>
      <c r="EP109" s="361" t="str">
        <f t="shared" si="274"/>
        <v/>
      </c>
      <c r="EQ109" s="361" t="str">
        <f t="shared" si="275"/>
        <v/>
      </c>
      <c r="ER109" s="361" t="str">
        <f t="shared" si="276"/>
        <v/>
      </c>
      <c r="ES109" s="361" t="str">
        <f t="shared" si="277"/>
        <v/>
      </c>
      <c r="ET109" s="361" t="str">
        <f t="shared" si="278"/>
        <v/>
      </c>
      <c r="EU109" s="361" t="str">
        <f t="shared" si="279"/>
        <v/>
      </c>
      <c r="EV109" s="361" t="str">
        <f t="shared" si="280"/>
        <v/>
      </c>
      <c r="EW109" s="361" t="str">
        <f t="shared" si="281"/>
        <v/>
      </c>
      <c r="EX109" s="361" t="str">
        <f t="shared" si="371"/>
        <v>1 slot, 1 way</v>
      </c>
      <c r="EY109" s="361" t="str">
        <f t="shared" si="372"/>
        <v xml:space="preserve"> </v>
      </c>
      <c r="EZ109" s="361" t="str">
        <f t="shared" si="373"/>
        <v xml:space="preserve"> </v>
      </c>
      <c r="FA109" s="361" t="str">
        <f t="shared" si="374"/>
        <v xml:space="preserve"> </v>
      </c>
      <c r="FB109" s="361" t="str">
        <f t="shared" si="375"/>
        <v xml:space="preserve"> </v>
      </c>
      <c r="FC109" s="361"/>
      <c r="FD109" s="361" t="str">
        <f>IF(J109&gt;0,IF(Calculation!R109&lt;=70,4,IF(Calculation!R109&lt;=110,5,IF(Calculation!R109&lt;=160,6,IF(Calculation!R109&lt;=300,8,"10 EO")))),"")</f>
        <v/>
      </c>
      <c r="FE109" s="361" t="str">
        <f t="shared" si="376"/>
        <v/>
      </c>
      <c r="FF109" s="361" t="str">
        <f t="shared" si="377"/>
        <v/>
      </c>
      <c r="FG109" s="361" t="e">
        <f t="shared" si="282"/>
        <v>#N/A</v>
      </c>
      <c r="FH109" s="361">
        <f t="shared" si="283"/>
        <v>0</v>
      </c>
      <c r="FI109" s="361" t="e">
        <f t="shared" si="284"/>
        <v>#DIV/0!</v>
      </c>
      <c r="FJ109" s="361"/>
      <c r="FK109" s="356" t="e">
        <f t="shared" si="285"/>
        <v>#VALUE!</v>
      </c>
      <c r="FL109" s="361"/>
      <c r="FM109" s="361"/>
      <c r="FN109" s="362" t="str">
        <f t="shared" si="378"/>
        <v xml:space="preserve"> </v>
      </c>
      <c r="FO109" s="362" t="str">
        <f t="shared" si="379"/>
        <v xml:space="preserve"> </v>
      </c>
      <c r="FP109" s="362">
        <f t="shared" si="380"/>
        <v>0</v>
      </c>
      <c r="FQ109" s="361">
        <f t="shared" si="286"/>
        <v>0</v>
      </c>
      <c r="FR109" s="362" t="str">
        <f>IF(L109&gt;0,IF(J109="CBAL2",Worksheet!$P$67,IF(J109="CBE2-24",Worksheet!$Q$67,IF(J109="CBAM",Worksheet!$R$67,IF(J109="CBLV",Worksheet!$S$67,IF(J109="CBAB",Worksheet!$U$67,IF(J109="CBAW",Worksheet!$X$67,IF(J109="CBE2-12",Worksheet!$Y$67,IF(J109="CBAL2",Worksheet!$Z$67,"N/A"))))))))," ")</f>
        <v xml:space="preserve"> </v>
      </c>
      <c r="FS109" s="362" t="str">
        <f>IF(L109&gt;0,IF(J109="CBAL2",Worksheet!$P$68,IF(J109="CBE2-24",Worksheet!$Q$68,IF(J109="CBAM",Worksheet!$R$68,IF(J109="CBLV",Worksheet!$S$68,IF(J109="CBAB",Worksheet!$U$68,IF(J109="CBAW",Worksheet!$X$68,IF(J109="CBE2-12",Worksheet!$Y$68,IF(J109="CBAL2",Worksheet!$Z$68,"N/A"))))))))," ")</f>
        <v xml:space="preserve"> </v>
      </c>
      <c r="FT109" s="362" t="str">
        <f>IF(L109&gt;0,IF(J109="CBAL2",Worksheet!$P$69,IF(J109="CBE2-24",Worksheet!$Q$69,IF(J109="CBAM",Worksheet!$R$69,IF(J109="CBLV",Worksheet!$S$69,IF(J109="CBAB",Worksheet!$U$69,IF(J109="CBAW",Worksheet!$X$69,IF(J109="CBE2-12",Worksheet!$Y$69,IF(J109="CBAL2",Worksheet!$Z$69,"N/A"))))))))," ")</f>
        <v xml:space="preserve"> </v>
      </c>
      <c r="FU109" s="361" t="str">
        <f t="shared" si="381"/>
        <v xml:space="preserve"> </v>
      </c>
      <c r="FV109" s="362" t="str">
        <f t="shared" si="382"/>
        <v xml:space="preserve"> </v>
      </c>
      <c r="FW109" s="362" t="str">
        <f t="shared" si="383"/>
        <v xml:space="preserve"> </v>
      </c>
      <c r="FX109" s="362" t="str">
        <f t="shared" si="384"/>
        <v xml:space="preserve"> </v>
      </c>
      <c r="FY109" s="355" t="str">
        <f t="shared" si="385"/>
        <v xml:space="preserve"> </v>
      </c>
      <c r="FZ109" s="361" t="str">
        <f t="shared" si="386"/>
        <v xml:space="preserve"> </v>
      </c>
      <c r="GA109" s="347" t="str">
        <f t="shared" si="387"/>
        <v xml:space="preserve"> </v>
      </c>
      <c r="GB109" s="355" t="str">
        <f t="shared" si="388"/>
        <v xml:space="preserve"> </v>
      </c>
      <c r="GC109" s="328" t="str">
        <f t="shared" si="389"/>
        <v xml:space="preserve"> </v>
      </c>
      <c r="GD109" s="361" t="str">
        <f t="shared" si="390"/>
        <v xml:space="preserve"> </v>
      </c>
      <c r="GE109" s="347" t="str">
        <f t="shared" si="391"/>
        <v xml:space="preserve"> </v>
      </c>
      <c r="GF109" s="361" t="str">
        <f t="shared" si="392"/>
        <v xml:space="preserve"> </v>
      </c>
      <c r="GG109" s="347" t="str">
        <f t="shared" si="393"/>
        <v xml:space="preserve"> </v>
      </c>
      <c r="GH109" s="364">
        <f t="shared" si="287"/>
        <v>0</v>
      </c>
      <c r="GI109" s="362">
        <f t="shared" si="394"/>
        <v>2</v>
      </c>
      <c r="GJ109" s="433" t="e">
        <f>IF(6-COUNTBLANK(GT109:GY109)=4,MATCH(MID(BO109,9,3),CLU!$H$16:$K$16),MATCH(MID(BO109,9,3),CLU!$H$13:$M$13))</f>
        <v>#N/A</v>
      </c>
      <c r="GK109" s="433" t="e">
        <f>HLOOKUP(VALUE(BP109),CLU!$H$9:$M$10,2)</f>
        <v>#VALUE!</v>
      </c>
      <c r="GL109" s="433" t="e">
        <f ca="1">MATCH(BU109,CLU!$H$2:$V$2,1)</f>
        <v>#VALUE!</v>
      </c>
      <c r="GM109" s="433" t="e">
        <f t="shared" ca="1" si="395"/>
        <v>#VALUE!</v>
      </c>
      <c r="GN109" s="433" t="e">
        <f t="shared" ca="1" si="396"/>
        <v>#VALUE!</v>
      </c>
      <c r="GO109" s="433" t="e">
        <f t="shared" ca="1" si="397"/>
        <v>#VALUE!</v>
      </c>
      <c r="GP109" s="433" t="e">
        <f t="shared" ca="1" si="398"/>
        <v>#VALUE!</v>
      </c>
      <c r="GQ109" s="433" t="e">
        <f t="shared" ca="1" si="399"/>
        <v>#VALUE!</v>
      </c>
      <c r="GR109" s="433" t="e">
        <f ca="1">MATCH(T109,INDIRECT(VLOOKUP(CONCATENATE(LEFT(BO109,7),"-",MID(BO109,13,1)),CLU!$P$3:$Q$16,2)),1)</f>
        <v>#N/A</v>
      </c>
      <c r="GS109" s="433" t="e">
        <f ca="1">MATCH(U109,INDIRECT(VLOOKUP(CONCATENATE(LEFT(BO109,7),"-",MID(BO109,13,1)),CLU!$P$3:$Q$16,2)),1)</f>
        <v>#N/A</v>
      </c>
      <c r="GT109" s="347" t="s">
        <v>512</v>
      </c>
      <c r="GU109" s="97" t="s">
        <v>513</v>
      </c>
      <c r="GV109" s="97" t="str">
        <f t="shared" si="400"/>
        <v>M23</v>
      </c>
      <c r="GW109" s="97" t="str">
        <f t="shared" si="401"/>
        <v>M31</v>
      </c>
      <c r="GX109" s="97" t="str">
        <f t="shared" si="402"/>
        <v/>
      </c>
      <c r="GY109" s="97" t="str">
        <f t="shared" si="403"/>
        <v/>
      </c>
      <c r="GZ109" s="481"/>
      <c r="HA109" s="288"/>
      <c r="HB109" s="240"/>
      <c r="HC109" s="240"/>
      <c r="HD109" s="240"/>
      <c r="HE109" s="240"/>
      <c r="HF109" s="240"/>
      <c r="HG109" s="240"/>
      <c r="HH109" s="240"/>
      <c r="HI109" s="240"/>
      <c r="HJ109" s="240"/>
      <c r="HK109" s="240"/>
      <c r="HL109" s="240"/>
      <c r="HM109" s="240"/>
      <c r="HN109" s="240"/>
      <c r="HO109" s="240"/>
      <c r="HP109" s="240"/>
      <c r="HQ109" s="240"/>
      <c r="HR109" s="240"/>
      <c r="HS109" s="240"/>
      <c r="HT109" s="240"/>
      <c r="HU109" s="240"/>
      <c r="HV109" s="245"/>
      <c r="HW109" s="245" t="b">
        <v>1</v>
      </c>
      <c r="HX109" s="245" t="str">
        <f t="shared" si="288"/>
        <v/>
      </c>
      <c r="HY109" s="245" t="e">
        <f t="shared" si="289"/>
        <v>#DIV/0!</v>
      </c>
      <c r="HZ109" s="245" t="e">
        <f t="shared" si="290"/>
        <v>#DIV/0!</v>
      </c>
      <c r="IA109" s="245">
        <f t="shared" si="291"/>
        <v>0</v>
      </c>
      <c r="IB109" s="245"/>
      <c r="IC109" t="b">
        <f t="shared" si="292"/>
        <v>1</v>
      </c>
      <c r="ID109" s="245" t="b">
        <f t="shared" si="293"/>
        <v>1</v>
      </c>
      <c r="IE109" s="245" t="b">
        <f t="shared" si="294"/>
        <v>1</v>
      </c>
      <c r="IF109" s="245" t="b">
        <f t="shared" si="295"/>
        <v>0</v>
      </c>
      <c r="IG109" s="245" t="b">
        <f t="shared" si="296"/>
        <v>1</v>
      </c>
      <c r="IH109" s="245" t="b">
        <f t="shared" si="297"/>
        <v>1</v>
      </c>
      <c r="II109" s="245">
        <f t="shared" si="404"/>
        <v>0</v>
      </c>
      <c r="IJ109" s="245" t="e">
        <f t="shared" si="298"/>
        <v>#VALUE!</v>
      </c>
      <c r="IK109" s="245" t="e">
        <f t="shared" si="299"/>
        <v>#VALUE!</v>
      </c>
      <c r="IL109" s="245"/>
      <c r="IM109" s="245" t="e">
        <f t="shared" si="405"/>
        <v>#N/A</v>
      </c>
      <c r="IN109" s="245" t="e">
        <f t="shared" si="406"/>
        <v>#N/A</v>
      </c>
      <c r="IO109" s="245"/>
      <c r="IP109" s="245"/>
      <c r="IQ109" s="245" t="str">
        <f t="shared" si="300"/>
        <v/>
      </c>
      <c r="IR109" s="245" t="str">
        <f>IF(J109="","",VLOOKUP(J109,Worksheet!$R$4:$T$14,2))</f>
        <v/>
      </c>
      <c r="IS109" s="245"/>
      <c r="IT109" s="245">
        <f t="shared" si="301"/>
        <v>0</v>
      </c>
      <c r="IU109" s="245">
        <f t="shared" si="302"/>
        <v>0</v>
      </c>
      <c r="IV109" s="245">
        <f t="shared" si="303"/>
        <v>0</v>
      </c>
      <c r="IW109" s="245">
        <f t="shared" si="304"/>
        <v>0</v>
      </c>
      <c r="IX109" s="245">
        <f t="shared" si="407"/>
        <v>0</v>
      </c>
      <c r="IY109" s="245">
        <f t="shared" si="305"/>
        <v>0</v>
      </c>
      <c r="IZ109" s="245">
        <f t="shared" si="306"/>
        <v>0</v>
      </c>
      <c r="JA109">
        <f t="shared" si="307"/>
        <v>0</v>
      </c>
      <c r="JB109">
        <f t="shared" si="408"/>
        <v>0</v>
      </c>
      <c r="JC109">
        <f t="shared" si="308"/>
        <v>0</v>
      </c>
      <c r="JD109">
        <f t="shared" si="309"/>
        <v>0</v>
      </c>
      <c r="JE109">
        <f t="shared" si="310"/>
        <v>0</v>
      </c>
      <c r="JF109">
        <f t="shared" si="311"/>
        <v>0</v>
      </c>
      <c r="JG109">
        <f t="shared" si="312"/>
        <v>0</v>
      </c>
      <c r="JH109">
        <f t="shared" si="313"/>
        <v>0</v>
      </c>
      <c r="JI109">
        <f t="shared" si="314"/>
        <v>0</v>
      </c>
      <c r="JJ109" s="447">
        <f t="shared" si="315"/>
        <v>0</v>
      </c>
      <c r="JK109" s="447">
        <f t="shared" si="316"/>
        <v>0</v>
      </c>
      <c r="JL109">
        <f t="shared" si="317"/>
        <v>0</v>
      </c>
      <c r="JM109" s="245" t="str">
        <f>IFERROR(VLOOKUP(MATCH(BN109,#REF!,0),#REF!,7),"")</f>
        <v/>
      </c>
      <c r="JN109" t="e">
        <f>HLOOKUP(LEFT(BO109,7),Discharge_Area,MATCH(JO109,LookUps!$B$130:$B$149,1)+2)</f>
        <v>#N/A</v>
      </c>
      <c r="JO109" t="str">
        <f t="shared" si="318"/>
        <v>- S</v>
      </c>
      <c r="JP109" t="e">
        <f>HLOOKUP(LEFT(BO109,7),Discharge_Area,MATCH(JO109,LookUps!$B$130:$B$149,1)+2)</f>
        <v>#N/A</v>
      </c>
      <c r="JQ109" t="e">
        <f t="shared" si="319"/>
        <v>#N/A</v>
      </c>
      <c r="JR109" t="e">
        <f t="shared" si="320"/>
        <v>#N/A</v>
      </c>
      <c r="JS109" t="e">
        <f t="shared" si="321"/>
        <v>#N/A</v>
      </c>
      <c r="JT109" s="532" t="str">
        <f t="shared" si="322"/>
        <v xml:space="preserve"> </v>
      </c>
      <c r="JU109" s="532" t="str">
        <f t="shared" si="323"/>
        <v xml:space="preserve"> </v>
      </c>
      <c r="JV109" s="533" t="str">
        <f t="shared" si="324"/>
        <v xml:space="preserve"> </v>
      </c>
      <c r="JW109" s="534">
        <f t="shared" si="325"/>
        <v>0</v>
      </c>
      <c r="JX109" s="535" t="str">
        <f t="shared" si="409"/>
        <v xml:space="preserve"> </v>
      </c>
      <c r="JY109" s="535" t="str">
        <f t="shared" si="410"/>
        <v xml:space="preserve"> </v>
      </c>
      <c r="JZ109" s="535" t="str">
        <f t="shared" si="411"/>
        <v xml:space="preserve"> </v>
      </c>
      <c r="KA109" s="536" t="str">
        <f t="shared" si="326"/>
        <v xml:space="preserve"> </v>
      </c>
      <c r="KB109" s="535" t="e">
        <f t="shared" si="412"/>
        <v>#VALUE!</v>
      </c>
      <c r="KC109" s="535" t="str">
        <f t="shared" si="327"/>
        <v/>
      </c>
      <c r="KD109" s="537" t="str">
        <f t="shared" si="413"/>
        <v xml:space="preserve"> </v>
      </c>
      <c r="KE109" s="537" t="str">
        <f t="shared" si="414"/>
        <v xml:space="preserve"> </v>
      </c>
      <c r="KF109" s="534">
        <f t="shared" si="328"/>
        <v>0</v>
      </c>
      <c r="KG109" s="535" t="str">
        <f t="shared" si="329"/>
        <v xml:space="preserve"> </v>
      </c>
      <c r="KH109" s="535" t="str">
        <f t="shared" si="330"/>
        <v xml:space="preserve"> </v>
      </c>
      <c r="KI109" s="535" t="str">
        <f t="shared" si="331"/>
        <v xml:space="preserve"> </v>
      </c>
      <c r="KJ109" s="536" t="str">
        <f t="shared" si="332"/>
        <v xml:space="preserve"> </v>
      </c>
      <c r="KK109" s="535" t="str">
        <f t="shared" si="415"/>
        <v xml:space="preserve"> </v>
      </c>
      <c r="KL109" s="535" t="str">
        <f t="shared" si="416"/>
        <v xml:space="preserve"> </v>
      </c>
      <c r="KM109" s="537" t="str">
        <f t="shared" si="333"/>
        <v xml:space="preserve"> </v>
      </c>
      <c r="KN109" s="537" t="str">
        <f t="shared" si="417"/>
        <v xml:space="preserve"> </v>
      </c>
      <c r="KP109">
        <f t="shared" si="334"/>
        <v>0</v>
      </c>
      <c r="LA109" t="e">
        <f t="shared" si="335"/>
        <v>#VALUE!</v>
      </c>
      <c r="LB109" t="e">
        <f t="shared" si="336"/>
        <v>#VALUE!</v>
      </c>
      <c r="LC109" t="e">
        <f t="shared" si="337"/>
        <v>#VALUE!</v>
      </c>
      <c r="LD109" t="e">
        <f t="shared" si="338"/>
        <v>#VALUE!</v>
      </c>
      <c r="LE109" t="e">
        <f t="shared" si="418"/>
        <v>#VALUE!</v>
      </c>
      <c r="LF109">
        <f t="shared" si="339"/>
        <v>0</v>
      </c>
      <c r="LG109" t="e">
        <f t="shared" si="419"/>
        <v>#VALUE!</v>
      </c>
      <c r="LH109" t="str">
        <f t="shared" si="340"/>
        <v xml:space="preserve"> </v>
      </c>
      <c r="LI109">
        <f t="shared" si="420"/>
        <v>1</v>
      </c>
    </row>
    <row r="110" spans="2:321" ht="15" customHeight="1">
      <c r="B110" s="311"/>
      <c r="C110" s="311"/>
      <c r="D110" s="312"/>
      <c r="E110" s="311"/>
      <c r="F110" s="312"/>
      <c r="G110" s="311"/>
      <c r="H110" s="311"/>
      <c r="I110" s="37"/>
      <c r="J110" s="311"/>
      <c r="K110" s="305" t="str">
        <f t="shared" si="341"/>
        <v/>
      </c>
      <c r="L110" s="313"/>
      <c r="M110" s="312"/>
      <c r="N110" s="311"/>
      <c r="O110" s="312"/>
      <c r="P110" s="311"/>
      <c r="Q110" s="305" t="str">
        <f t="shared" si="342"/>
        <v/>
      </c>
      <c r="R110" s="314"/>
      <c r="S110" s="450" t="str">
        <f t="shared" si="225"/>
        <v/>
      </c>
      <c r="T110" s="315"/>
      <c r="U110" s="315"/>
      <c r="W110" s="149" t="str">
        <f t="shared" si="226"/>
        <v xml:space="preserve"> </v>
      </c>
      <c r="X110" s="243" t="str">
        <f t="shared" si="227"/>
        <v xml:space="preserve"> </v>
      </c>
      <c r="Y110" s="150" t="str">
        <f t="shared" si="228"/>
        <v/>
      </c>
      <c r="Z110" s="149" t="str">
        <f t="shared" si="229"/>
        <v xml:space="preserve"> </v>
      </c>
      <c r="AA110" s="98" t="str">
        <f t="shared" si="230"/>
        <v xml:space="preserve"> </v>
      </c>
      <c r="AB110" s="153" t="str">
        <f t="shared" si="231"/>
        <v xml:space="preserve"> </v>
      </c>
      <c r="AC110" s="153" t="str">
        <f t="shared" si="232"/>
        <v xml:space="preserve"> </v>
      </c>
      <c r="AD110" s="148" t="str">
        <f t="shared" si="233"/>
        <v/>
      </c>
      <c r="AE110" s="149" t="str">
        <f t="shared" si="234"/>
        <v/>
      </c>
      <c r="AF110" s="151" t="str">
        <f t="shared" si="235"/>
        <v xml:space="preserve"> </v>
      </c>
      <c r="AG110" s="153" t="str">
        <f t="shared" si="236"/>
        <v xml:space="preserve"> </v>
      </c>
      <c r="AH110" s="98" t="str">
        <f t="shared" si="237"/>
        <v xml:space="preserve"> </v>
      </c>
      <c r="AI110" s="149" t="str">
        <f t="shared" si="238"/>
        <v xml:space="preserve"> </v>
      </c>
      <c r="AK110" s="144" t="str">
        <f t="shared" si="239"/>
        <v xml:space="preserve"> </v>
      </c>
      <c r="AL110" s="144"/>
      <c r="AM110" s="243" t="str">
        <f t="shared" si="240"/>
        <v xml:space="preserve"> </v>
      </c>
      <c r="AN110" s="149" t="str">
        <f t="shared" si="343"/>
        <v xml:space="preserve"> </v>
      </c>
      <c r="AO110" s="144" t="str">
        <f>IF(JB110&gt;0,IF(GI110=10,-R110*1.085*(Calculation!$F$6-Calculation!$F$13)*$S$14," "),"")</f>
        <v/>
      </c>
      <c r="AP110" s="144" t="str">
        <f t="shared" si="241"/>
        <v/>
      </c>
      <c r="AQ110" s="56" t="str">
        <f t="shared" si="242"/>
        <v/>
      </c>
      <c r="AR110" s="144" t="str">
        <f t="shared" si="243"/>
        <v/>
      </c>
      <c r="AS110" s="176" t="str">
        <f t="shared" si="244"/>
        <v/>
      </c>
      <c r="AT110" s="176" t="str">
        <f t="shared" si="344"/>
        <v xml:space="preserve"> </v>
      </c>
      <c r="AU110" s="176" t="str">
        <f t="shared" si="245"/>
        <v/>
      </c>
      <c r="AV110" s="177" t="str">
        <f t="shared" si="246"/>
        <v xml:space="preserve"> </v>
      </c>
      <c r="AW110" s="144" t="str">
        <f t="shared" si="247"/>
        <v xml:space="preserve"> </v>
      </c>
      <c r="AX110" s="144" t="str">
        <f t="shared" si="248"/>
        <v xml:space="preserve"> </v>
      </c>
      <c r="AY110" s="152" t="str">
        <f t="shared" si="249"/>
        <v xml:space="preserve"> </v>
      </c>
      <c r="AZ110" s="246" t="str">
        <f t="shared" si="250"/>
        <v/>
      </c>
      <c r="BA110" s="176" t="str">
        <f t="shared" si="251"/>
        <v xml:space="preserve"> </v>
      </c>
      <c r="BB110" s="176" t="str">
        <f t="shared" si="252"/>
        <v xml:space="preserve"> </v>
      </c>
      <c r="BC110" s="195"/>
      <c r="BD110" s="316"/>
      <c r="BE110" s="317"/>
      <c r="BF110" s="318"/>
      <c r="BG110" s="318"/>
      <c r="BH110" s="144" t="str">
        <f t="shared" si="421"/>
        <v xml:space="preserve"> </v>
      </c>
      <c r="BI110" s="176" t="str">
        <f t="shared" si="253"/>
        <v/>
      </c>
      <c r="BJ110" s="144" t="str">
        <f t="shared" si="422"/>
        <v/>
      </c>
      <c r="BK110" s="246" t="str">
        <f t="shared" si="254"/>
        <v/>
      </c>
      <c r="BL110" s="144" t="str">
        <f t="shared" si="423"/>
        <v/>
      </c>
      <c r="BM110" s="246" t="str">
        <f t="shared" si="255"/>
        <v/>
      </c>
      <c r="BN110" s="337" t="str">
        <f t="shared" si="345"/>
        <v/>
      </c>
      <c r="BO110" s="371" t="str">
        <f t="shared" si="346"/>
        <v/>
      </c>
      <c r="BP110" s="328" t="str">
        <f t="shared" si="424"/>
        <v xml:space="preserve"> </v>
      </c>
      <c r="BQ110" s="347" t="str">
        <f t="shared" si="347"/>
        <v xml:space="preserve"> </v>
      </c>
      <c r="BR110" s="353" t="str">
        <f t="shared" si="348"/>
        <v xml:space="preserve"> </v>
      </c>
      <c r="BS110" s="626" t="str">
        <f>IF(L110&gt;0,IF(Calculation!P110="M13",BR110*3.1416*(0.134^2)/(4*144),IF(Calculation!P110="M17",BR110*3.1416*(0.165^2)/(4*144),IF(Calculation!P110="M20",BR110*3.1416*(0.198^2)/(4*144),IF(Calculation!P110="M23",BR110*3.1416*(0.228^2)/(4*144),IF(Calculation!P110="M27",BR110*3.1416*(0.269^2)/(4*144),BR110*3.1416*(0.307^2)/(4*144))))))," ")</f>
        <v xml:space="preserve"> </v>
      </c>
      <c r="BT110" s="353" t="str">
        <f>IF(L110&gt;0,IF(BS110&gt;0,R110/Calculation!BS110,0)," ")</f>
        <v xml:space="preserve"> </v>
      </c>
      <c r="BU110" s="438" t="e">
        <f t="shared" ca="1" si="256"/>
        <v>#VALUE!</v>
      </c>
      <c r="BV110" s="449" t="e">
        <f ca="1">INDEX(INDIRECT(VLOOKUP(LEFT(BO110,7),CLU!$Z$3:$AH$18,2)),GN110,GR110)</f>
        <v>#N/A</v>
      </c>
      <c r="BW110" s="433" t="e">
        <f ca="1">INDEX(INDIRECT(VLOOKUP(LEFT(BO110,7),CLU!$Z$3:$AH$18,3)),GN110,GR110)</f>
        <v>#N/A</v>
      </c>
      <c r="BX110" s="433" t="e">
        <f ca="1">INDEX(INDIRECT(VLOOKUP(LEFT(BO110,7),CLU!$Z$3:$AH$18,4)),GN110,GR110)</f>
        <v>#N/A</v>
      </c>
      <c r="BY110" s="433" t="e">
        <f ca="1">INDEX(INDIRECT(VLOOKUP(LEFT(BO110,7),CLU!$Z$3:$AH$18,9)),((M110-2)*(6-COUNTBLANK(GT110:GY110)))+GJ110)</f>
        <v>#N/A</v>
      </c>
      <c r="BZ110" s="426" t="e">
        <f t="shared" ca="1" si="349"/>
        <v>#N/A</v>
      </c>
      <c r="CA110" s="424" t="e">
        <f t="shared" ca="1" si="350"/>
        <v>#N/A</v>
      </c>
      <c r="CB110" s="429" t="e">
        <f ca="1">INDEX(INDIRECT(VLOOKUP(LEFT(BO110,7),CLU!$Z$3:$AH$18,2)),GN110,GS110)</f>
        <v>#N/A</v>
      </c>
      <c r="CC110" s="342" t="e">
        <f ca="1">INDEX(INDIRECT(VLOOKUP(LEFT(BO110,7),CLU!$Z$3:$AH$18,3)),GN110,GS110)</f>
        <v>#N/A</v>
      </c>
      <c r="CD110" s="342" t="e">
        <f ca="1">INDEX(INDIRECT(VLOOKUP(LEFT(BO110,7),CLU!$Z$3:$AH$18,4)),GN110,GS110)</f>
        <v>#N/A</v>
      </c>
      <c r="CE110" s="426" t="e">
        <f t="shared" ca="1" si="351"/>
        <v>#N/A</v>
      </c>
      <c r="CF110" s="440">
        <f t="shared" si="352"/>
        <v>0</v>
      </c>
      <c r="CG110" s="431" t="e">
        <f ca="1">INDEX(INDIRECT(VLOOKUP(LEFT(BO110,7),CLU!$Z$3:$AH$18,2)),GQ110,GR110)</f>
        <v>#N/A</v>
      </c>
      <c r="CH110" s="431" t="e">
        <f ca="1">INDEX(INDIRECT(VLOOKUP(LEFT(BO110,7),CLU!$Z$3:$AH$18,3)),GQ110,GR110)</f>
        <v>#N/A</v>
      </c>
      <c r="CI110" s="431" t="e">
        <f ca="1">INDEX(INDIRECT(VLOOKUP(LEFT(BO110,7),CLU!$Z$3:$AH$18,4)),GQ110,GR110)</f>
        <v>#N/A</v>
      </c>
      <c r="CJ110" s="448" t="e">
        <f t="shared" ca="1" si="353"/>
        <v>#N/A</v>
      </c>
      <c r="CK110" s="431" t="e">
        <f t="shared" ca="1" si="354"/>
        <v>#N/A</v>
      </c>
      <c r="CL110" s="440" t="e">
        <f t="shared" ca="1" si="355"/>
        <v>#N/A</v>
      </c>
      <c r="CM110" s="431" t="e">
        <f ca="1">INDEX(INDIRECT(VLOOKUP(LEFT(BO110,7),CLU!$Z$3:$AH$18,2)),GQ110,GS110)</f>
        <v>#N/A</v>
      </c>
      <c r="CN110" s="431" t="e">
        <f ca="1">INDEX(INDIRECT(VLOOKUP(LEFT(BO110,7),CLU!$Z$3:$AH$18,3)),GQ110,GS110)</f>
        <v>#N/A</v>
      </c>
      <c r="CO110" s="431" t="e">
        <f ca="1">INDEX(INDIRECT(VLOOKUP(LEFT(BO110,7),CLU!$Z$3:$AH$18,4)),GQ110,GS110)</f>
        <v>#N/A</v>
      </c>
      <c r="CP110" s="431" t="e">
        <f t="shared" ca="1" si="356"/>
        <v>#N/A</v>
      </c>
      <c r="CQ110" s="440">
        <f t="shared" si="357"/>
        <v>0</v>
      </c>
      <c r="CR110" s="51" t="e">
        <f t="shared" ca="1" si="358"/>
        <v>#N/A</v>
      </c>
      <c r="CS110" s="439" t="e">
        <f t="shared" ca="1" si="359"/>
        <v>#VALUE!</v>
      </c>
      <c r="CT110" s="51" t="e">
        <f t="shared" ca="1" si="360"/>
        <v>#VALUE!</v>
      </c>
      <c r="CU110" s="10"/>
      <c r="CV110" s="51" t="e">
        <f t="shared" ca="1" si="257"/>
        <v>#VALUE!</v>
      </c>
      <c r="CW110" s="51">
        <f t="shared" si="361"/>
        <v>0</v>
      </c>
      <c r="CX110" s="439" t="e">
        <f t="shared" ca="1" si="362"/>
        <v>#VALUE!</v>
      </c>
      <c r="CY110" s="51" t="e">
        <f t="shared" ca="1" si="363"/>
        <v>#VALUE!</v>
      </c>
      <c r="CZ110" s="10"/>
      <c r="DA110" s="51" t="e">
        <f t="shared" ca="1" si="364"/>
        <v>#VALUE!</v>
      </c>
      <c r="DB110" s="347" t="e">
        <f ca="1">INDEX(INDIRECT(VLOOKUP(LEFT(BO110,7),CLU!$Z$3:$AI$18,10)),((M110-2)*(6-COUNTBLANK(GT110:GY110)))+GJ110)*LI110</f>
        <v>#N/A</v>
      </c>
      <c r="DC110" s="347" t="str">
        <f>IF(L110&gt;0,((R110/Worksheet!$I$15)/DB110)^2," ")</f>
        <v xml:space="preserve"> </v>
      </c>
      <c r="DD110" s="602" t="str">
        <f t="shared" si="365"/>
        <v xml:space="preserve"> </v>
      </c>
      <c r="DE110" s="347" t="str">
        <f t="shared" si="258"/>
        <v xml:space="preserve"> </v>
      </c>
      <c r="DF110" s="356" t="e">
        <f ca="1">INDEX(INDIRECT(VLOOKUP(LEFT(BO110,7),CLU!$Z$3:$AH$18,8)),((M110-2)*(6-COUNTBLANK(GT110:GY110)))+GJ110)</f>
        <v>#N/A</v>
      </c>
      <c r="DG110" s="347" t="str">
        <f t="shared" si="259"/>
        <v xml:space="preserve"> </v>
      </c>
      <c r="DH110" s="357" t="str">
        <f t="shared" si="260"/>
        <v xml:space="preserve"> </v>
      </c>
      <c r="DI110" s="355" t="str">
        <f t="shared" si="261"/>
        <v xml:space="preserve"> </v>
      </c>
      <c r="DJ110" s="245" t="e">
        <f ca="1">INDEX(INDIRECT(VLOOKUP(LEFT(BO110,7),CLU!$Z$3:$AH$18,5)),GL110,GK110)</f>
        <v>#N/A</v>
      </c>
      <c r="DK110" s="245" t="e">
        <f ca="1">INDEX(INDIRECT(VLOOKUP(LEFT(BO110,7),CLU!$Z$3:$AH$18,6)),GL110,GK110)</f>
        <v>#N/A</v>
      </c>
      <c r="DL110" s="355">
        <f>(Calculation!R110*0.69143*(Calculation!$BQ$8-Calculation!$F$8))*$S$14</f>
        <v>0</v>
      </c>
      <c r="DM110" s="359" t="e">
        <f t="shared" si="366"/>
        <v>#VALUE!</v>
      </c>
      <c r="DN110" s="611">
        <f t="shared" si="367"/>
        <v>0</v>
      </c>
      <c r="DO110" s="359">
        <f t="shared" si="368"/>
        <v>100</v>
      </c>
      <c r="DP110" s="359">
        <f t="shared" si="369"/>
        <v>0</v>
      </c>
      <c r="DQ110" s="360"/>
      <c r="DR110" s="245" t="e">
        <f ca="1">INDEX(INDIRECT(VLOOKUP(LEFT(BO110,7),CLU!$Z$3:$AH$18,7)),M110-1,1)</f>
        <v>#N/A</v>
      </c>
      <c r="DS110" s="245" t="e">
        <f ca="1">INDEX(INDIRECT(VLOOKUP(LEFT(BO110,7),CLU!$Z$3:$AH$18,7)),M110-1,2)</f>
        <v>#N/A</v>
      </c>
      <c r="DT110" s="245" t="e">
        <f ca="1">INDEX(INDIRECT(VLOOKUP(LEFT(BO110,7),CLU!$Z$3:$AH$18,7)),M110-1,3)</f>
        <v>#N/A</v>
      </c>
      <c r="DU110" s="245" t="e">
        <f ca="1">INDEX(INDIRECT(VLOOKUP(LEFT(BO110,7),CLU!$Z$3:$AH$18,7)),M110-1,4)</f>
        <v>#N/A</v>
      </c>
      <c r="DV110" s="361" t="e">
        <f ca="1">INDEX(INDIRECT(VLOOKUP(LEFT(BO110,7),CLU!$Z$3:$AH$18,7)),M110-1,4+LEFT(DZ110,1)*0.5)</f>
        <v>#N/A</v>
      </c>
      <c r="DW110" s="245" t="e">
        <f ca="1">INDEX(INDIRECT(VLOOKUP(LEFT(BO110,7),CLU!$Z$3:$AH$18,7)),M110-1,8)</f>
        <v>#N/A</v>
      </c>
      <c r="DX110" s="361" t="str">
        <f t="shared" si="262"/>
        <v xml:space="preserve"> </v>
      </c>
      <c r="DY110" s="361" t="str">
        <f t="shared" si="263"/>
        <v xml:space="preserve"> </v>
      </c>
      <c r="DZ110" s="361" t="str">
        <f t="shared" si="264"/>
        <v xml:space="preserve"> </v>
      </c>
      <c r="EA110" s="362" t="str">
        <f t="shared" si="265"/>
        <v xml:space="preserve"> </v>
      </c>
      <c r="EB110" s="624" t="str">
        <f t="shared" si="370"/>
        <v xml:space="preserve"> </v>
      </c>
      <c r="EC110" s="361" t="e">
        <f ca="1">INDEX(INDIRECT(VLOOKUP(LEFT(BO110,7),CLU!$Z$3:$AH$18,7)),M110-1,4+LEFT(DZ110,1)*0.5)</f>
        <v>#N/A</v>
      </c>
      <c r="ED110" s="362" t="str">
        <f t="shared" si="266"/>
        <v xml:space="preserve"> </v>
      </c>
      <c r="EE110" s="361" t="str">
        <f t="shared" si="267"/>
        <v xml:space="preserve"> </v>
      </c>
      <c r="EF110" s="362" t="str">
        <f>IF(L110&gt;0,IF(BR110&gt;0,IF(EE110="2P",IF(Calculation!DZ110="2P",IF(Calculation!DS110=13.75,IF(Calculation!DR110=13,Worksheet!$BD$43,IF(Calculation!DR110=37,Worksheet!$BD$44,Worksheet!$BD$45)),IF(Calculation!DS110=10,IF(Calculation!DR110=18,Worksheet!$BD$29,IF(Calculation!DR110=30,Worksheet!$BD$30,IF(Calculation!DR110=42,Worksheet!$BD$31,IF(Calculation!DR110=54,Worksheet!$BD$32,IF(Calculation!DR110=66,Worksheet!$BD$33,IF(Calculation!DR110=78,Worksheet!$BD$34,IF(Calculation!DR110=90,Worksheet!$BD$35,IF(Calculation!DR110=102,Worksheet!$BD$36,Worksheet!$BD$37)))))))),IF(Calculation!DS110=12.5,IF(Calculation!DR110=18,Worksheet!$BD$38,IF(Calculation!DR110=Worksheet!$BD$39,IF(Calculation!DR110=42,Worksheet!$BD$40,IF(Calculation!DR110=54,Worksheet!$BD$41,Worksheet!$BD$42)))),IF(Calculation!DR110=18,Worksheet!$BD$11,IF(Calculation!DR110=30,Worksheet!$BD$12,IF(Calculation!DR110=42,Worksheet!$BD$13,IF(Calculation!DR110=54,Worksheet!$BD$14,IF(Calculation!DR110=66,Worksheet!$BD$15,IF(Calculation!DR110=78,Worksheet!$BD$16,IF(Calculation!DR110=90,Worksheet!$BD$17,IF(Calculation!DR110=102,Worksheet!$BD$18,Worksheet!$BD$19))))))))))),IF(Calculation!DS110=13.75,IF(Calculation!DR110=13,Worksheet!$BD$78,IF(Calculation!DR110=37,Worksheet!$BD$79,Worksheet!$BD$80)),IF(Calculation!DS110=10,IF(Calculation!DR110=18,Worksheet!$BD$64,IF(Calculation!DR110=30,Worksheet!$BD$65,IF(Calculation!DR110=42,Worksheet!$BD$66,IF(Calculation!DR110=54,Worksheet!$BD$68,IF(Calculation!DR110=66,Worksheet!$BD$68,IF(Calculation!DR110=78,Worksheet!$BD$69,IF(Calculation!DR110=90,Worksheet!$BD$70,IF(Calculation!DR110=102,Worksheet!$BD$71,Worksheet!$BD$72)))))))),IF(Calculation!DS110=12.5,IF(Calculation!DR110=18,Worksheet!$BD$73,IF(Calculation!DR110=Worksheet!$BD$74,IF(Calculation!DR110=42,Worksheet!$BD$75,IF(Calculation!DR110=54,Worksheet!$BD$76,Worksheet!$BD$77)))),IF(Calculation!DR110=18,Worksheet!$BD$55,IF(Calculation!DR110=30,Worksheet!$BD$56,IF(Calculation!DR110=42,Worksheet!$BD$57,IF(Calculation!DR110=54,Worksheet!$BD$58,IF(Calculation!DR110=66,Worksheet!$BD$59,IF(Calculation!DR110=78,Worksheet!$BD$60,IF(Calculation!DR110=90,Worksheet!$BD$61,IF(Calculation!DR110=102,Worksheet!$BD$62,Worksheet!$BD$63)))))))))))),5),0)," ")</f>
        <v xml:space="preserve"> </v>
      </c>
      <c r="EG110" s="361" t="str">
        <f t="shared" si="268"/>
        <v xml:space="preserve"> </v>
      </c>
      <c r="EH110" s="361" t="e">
        <f ca="1">INDEX(INDIRECT(VLOOKUP(LEFT(BO110,7),CLU!$Z$3:$AH$18,7)),M110-1,3+LEFT(DZ110,1))</f>
        <v>#N/A</v>
      </c>
      <c r="EI110" s="362" t="str">
        <f t="shared" si="269"/>
        <v xml:space="preserve"> </v>
      </c>
      <c r="EJ110" s="363" t="str">
        <f t="shared" si="270"/>
        <v xml:space="preserve"> </v>
      </c>
      <c r="EK110" s="363" t="str">
        <f t="shared" si="271"/>
        <v xml:space="preserve"> </v>
      </c>
      <c r="EL110" s="363" t="str">
        <f t="shared" si="272"/>
        <v xml:space="preserve"> </v>
      </c>
      <c r="EM110" s="362" t="str">
        <f>IF(L110&gt;0,IF(BR110&gt;0,(Calculation!T110/ED110)^2,0)," ")</f>
        <v xml:space="preserve"> </v>
      </c>
      <c r="EN110" s="362" t="str">
        <f>IF(L110&gt;0,IF(O110="2 Pipe (Cooling)","N/A",IF(BR110&gt;0,(Calculation!U110/EI110)^2,0))," ")</f>
        <v xml:space="preserve"> </v>
      </c>
      <c r="EO110" s="361" t="str">
        <f t="shared" si="273"/>
        <v/>
      </c>
      <c r="EP110" s="361" t="str">
        <f t="shared" si="274"/>
        <v/>
      </c>
      <c r="EQ110" s="361" t="str">
        <f t="shared" si="275"/>
        <v/>
      </c>
      <c r="ER110" s="361" t="str">
        <f t="shared" si="276"/>
        <v/>
      </c>
      <c r="ES110" s="361" t="str">
        <f t="shared" si="277"/>
        <v/>
      </c>
      <c r="ET110" s="361" t="str">
        <f t="shared" si="278"/>
        <v/>
      </c>
      <c r="EU110" s="361" t="str">
        <f t="shared" si="279"/>
        <v/>
      </c>
      <c r="EV110" s="361" t="str">
        <f t="shared" si="280"/>
        <v/>
      </c>
      <c r="EW110" s="361" t="str">
        <f t="shared" si="281"/>
        <v/>
      </c>
      <c r="EX110" s="361" t="str">
        <f t="shared" si="371"/>
        <v>1 slot, 1 way</v>
      </c>
      <c r="EY110" s="361" t="str">
        <f t="shared" si="372"/>
        <v xml:space="preserve"> </v>
      </c>
      <c r="EZ110" s="361" t="str">
        <f t="shared" si="373"/>
        <v xml:space="preserve"> </v>
      </c>
      <c r="FA110" s="361" t="str">
        <f t="shared" si="374"/>
        <v xml:space="preserve"> </v>
      </c>
      <c r="FB110" s="361" t="str">
        <f t="shared" si="375"/>
        <v xml:space="preserve"> </v>
      </c>
      <c r="FC110" s="361"/>
      <c r="FD110" s="361" t="str">
        <f>IF(J110&gt;0,IF(Calculation!R110&lt;=70,4,IF(Calculation!R110&lt;=110,5,IF(Calculation!R110&lt;=160,6,IF(Calculation!R110&lt;=300,8,"10 EO")))),"")</f>
        <v/>
      </c>
      <c r="FE110" s="361" t="str">
        <f t="shared" si="376"/>
        <v/>
      </c>
      <c r="FF110" s="361" t="str">
        <f t="shared" si="377"/>
        <v/>
      </c>
      <c r="FG110" s="361" t="e">
        <f t="shared" si="282"/>
        <v>#N/A</v>
      </c>
      <c r="FH110" s="361">
        <f t="shared" si="283"/>
        <v>0</v>
      </c>
      <c r="FI110" s="361" t="e">
        <f t="shared" si="284"/>
        <v>#DIV/0!</v>
      </c>
      <c r="FJ110" s="361"/>
      <c r="FK110" s="356" t="e">
        <f t="shared" si="285"/>
        <v>#VALUE!</v>
      </c>
      <c r="FL110" s="361"/>
      <c r="FM110" s="361"/>
      <c r="FN110" s="362" t="str">
        <f t="shared" si="378"/>
        <v xml:space="preserve"> </v>
      </c>
      <c r="FO110" s="362" t="str">
        <f t="shared" si="379"/>
        <v xml:space="preserve"> </v>
      </c>
      <c r="FP110" s="362">
        <f t="shared" si="380"/>
        <v>0</v>
      </c>
      <c r="FQ110" s="361">
        <f t="shared" si="286"/>
        <v>0</v>
      </c>
      <c r="FR110" s="362" t="str">
        <f>IF(L110&gt;0,IF(J110="CBAL2",Worksheet!$P$67,IF(J110="CBE2-24",Worksheet!$Q$67,IF(J110="CBAM",Worksheet!$R$67,IF(J110="CBLV",Worksheet!$S$67,IF(J110="CBAB",Worksheet!$U$67,IF(J110="CBAW",Worksheet!$X$67,IF(J110="CBE2-12",Worksheet!$Y$67,IF(J110="CBAL2",Worksheet!$Z$67,"N/A"))))))))," ")</f>
        <v xml:space="preserve"> </v>
      </c>
      <c r="FS110" s="362" t="str">
        <f>IF(L110&gt;0,IF(J110="CBAL2",Worksheet!$P$68,IF(J110="CBE2-24",Worksheet!$Q$68,IF(J110="CBAM",Worksheet!$R$68,IF(J110="CBLV",Worksheet!$S$68,IF(J110="CBAB",Worksheet!$U$68,IF(J110="CBAW",Worksheet!$X$68,IF(J110="CBE2-12",Worksheet!$Y$68,IF(J110="CBAL2",Worksheet!$Z$68,"N/A"))))))))," ")</f>
        <v xml:space="preserve"> </v>
      </c>
      <c r="FT110" s="362" t="str">
        <f>IF(L110&gt;0,IF(J110="CBAL2",Worksheet!$P$69,IF(J110="CBE2-24",Worksheet!$Q$69,IF(J110="CBAM",Worksheet!$R$69,IF(J110="CBLV",Worksheet!$S$69,IF(J110="CBAB",Worksheet!$U$69,IF(J110="CBAW",Worksheet!$X$69,IF(J110="CBE2-12",Worksheet!$Y$69,IF(J110="CBAL2",Worksheet!$Z$69,"N/A"))))))))," ")</f>
        <v xml:space="preserve"> </v>
      </c>
      <c r="FU110" s="361" t="str">
        <f t="shared" si="381"/>
        <v xml:space="preserve"> </v>
      </c>
      <c r="FV110" s="362" t="str">
        <f t="shared" si="382"/>
        <v xml:space="preserve"> </v>
      </c>
      <c r="FW110" s="362" t="str">
        <f t="shared" si="383"/>
        <v xml:space="preserve"> </v>
      </c>
      <c r="FX110" s="362" t="str">
        <f t="shared" si="384"/>
        <v xml:space="preserve"> </v>
      </c>
      <c r="FY110" s="355" t="str">
        <f t="shared" si="385"/>
        <v xml:space="preserve"> </v>
      </c>
      <c r="FZ110" s="361" t="str">
        <f t="shared" si="386"/>
        <v xml:space="preserve"> </v>
      </c>
      <c r="GA110" s="347" t="str">
        <f t="shared" si="387"/>
        <v xml:space="preserve"> </v>
      </c>
      <c r="GB110" s="355" t="str">
        <f t="shared" si="388"/>
        <v xml:space="preserve"> </v>
      </c>
      <c r="GC110" s="328" t="str">
        <f t="shared" si="389"/>
        <v xml:space="preserve"> </v>
      </c>
      <c r="GD110" s="361" t="str">
        <f t="shared" si="390"/>
        <v xml:space="preserve"> </v>
      </c>
      <c r="GE110" s="347" t="str">
        <f t="shared" si="391"/>
        <v xml:space="preserve"> </v>
      </c>
      <c r="GF110" s="361" t="str">
        <f t="shared" si="392"/>
        <v xml:space="preserve"> </v>
      </c>
      <c r="GG110" s="347" t="str">
        <f t="shared" si="393"/>
        <v xml:space="preserve"> </v>
      </c>
      <c r="GH110" s="364">
        <f t="shared" si="287"/>
        <v>0</v>
      </c>
      <c r="GI110" s="362">
        <f t="shared" si="394"/>
        <v>2</v>
      </c>
      <c r="GJ110" s="433" t="e">
        <f>IF(6-COUNTBLANK(GT110:GY110)=4,MATCH(MID(BO110,9,3),CLU!$H$16:$K$16),MATCH(MID(BO110,9,3),CLU!$H$13:$M$13))</f>
        <v>#N/A</v>
      </c>
      <c r="GK110" s="433" t="e">
        <f>HLOOKUP(VALUE(BP110),CLU!$H$9:$M$10,2)</f>
        <v>#VALUE!</v>
      </c>
      <c r="GL110" s="433" t="e">
        <f ca="1">MATCH(BU110,CLU!$H$2:$V$2,1)</f>
        <v>#VALUE!</v>
      </c>
      <c r="GM110" s="433" t="e">
        <f t="shared" ca="1" si="395"/>
        <v>#VALUE!</v>
      </c>
      <c r="GN110" s="433" t="e">
        <f t="shared" ca="1" si="396"/>
        <v>#VALUE!</v>
      </c>
      <c r="GO110" s="433" t="e">
        <f t="shared" ca="1" si="397"/>
        <v>#VALUE!</v>
      </c>
      <c r="GP110" s="433" t="e">
        <f t="shared" ca="1" si="398"/>
        <v>#VALUE!</v>
      </c>
      <c r="GQ110" s="433" t="e">
        <f t="shared" ca="1" si="399"/>
        <v>#VALUE!</v>
      </c>
      <c r="GR110" s="433" t="e">
        <f ca="1">MATCH(T110,INDIRECT(VLOOKUP(CONCATENATE(LEFT(BO110,7),"-",MID(BO110,13,1)),CLU!$P$3:$Q$16,2)),1)</f>
        <v>#N/A</v>
      </c>
      <c r="GS110" s="433" t="e">
        <f ca="1">MATCH(U110,INDIRECT(VLOOKUP(CONCATENATE(LEFT(BO110,7),"-",MID(BO110,13,1)),CLU!$P$3:$Q$16,2)),1)</f>
        <v>#N/A</v>
      </c>
      <c r="GT110" s="347" t="s">
        <v>512</v>
      </c>
      <c r="GU110" s="97" t="s">
        <v>513</v>
      </c>
      <c r="GV110" s="97" t="str">
        <f t="shared" si="400"/>
        <v>M23</v>
      </c>
      <c r="GW110" s="97" t="str">
        <f t="shared" si="401"/>
        <v>M31</v>
      </c>
      <c r="GX110" s="97" t="str">
        <f t="shared" si="402"/>
        <v/>
      </c>
      <c r="GY110" s="97" t="str">
        <f t="shared" si="403"/>
        <v/>
      </c>
      <c r="GZ110" s="481"/>
      <c r="HA110" s="288"/>
      <c r="HB110" s="240"/>
      <c r="HC110" s="240"/>
      <c r="HD110" s="240"/>
      <c r="HE110" s="240"/>
      <c r="HF110" s="240"/>
      <c r="HG110" s="240"/>
      <c r="HH110" s="240"/>
      <c r="HI110" s="240"/>
      <c r="HJ110" s="240"/>
      <c r="HK110" s="240"/>
      <c r="HL110" s="240"/>
      <c r="HM110" s="240"/>
      <c r="HN110" s="240"/>
      <c r="HO110" s="240"/>
      <c r="HP110" s="240"/>
      <c r="HQ110" s="240"/>
      <c r="HR110" s="240"/>
      <c r="HS110" s="240"/>
      <c r="HT110" s="240"/>
      <c r="HU110" s="240"/>
      <c r="HV110" s="245"/>
      <c r="HW110" s="245" t="b">
        <v>1</v>
      </c>
      <c r="HX110" s="245" t="str">
        <f t="shared" si="288"/>
        <v/>
      </c>
      <c r="HY110" s="245" t="e">
        <f t="shared" si="289"/>
        <v>#DIV/0!</v>
      </c>
      <c r="HZ110" s="245" t="e">
        <f t="shared" si="290"/>
        <v>#DIV/0!</v>
      </c>
      <c r="IA110" s="245">
        <f t="shared" si="291"/>
        <v>0</v>
      </c>
      <c r="IB110" s="245"/>
      <c r="IC110" t="b">
        <f t="shared" si="292"/>
        <v>1</v>
      </c>
      <c r="ID110" s="245" t="b">
        <f t="shared" si="293"/>
        <v>1</v>
      </c>
      <c r="IE110" s="245" t="b">
        <f t="shared" si="294"/>
        <v>1</v>
      </c>
      <c r="IF110" s="245" t="b">
        <f t="shared" si="295"/>
        <v>0</v>
      </c>
      <c r="IG110" s="245" t="b">
        <f t="shared" si="296"/>
        <v>1</v>
      </c>
      <c r="IH110" s="245" t="b">
        <f t="shared" si="297"/>
        <v>1</v>
      </c>
      <c r="II110" s="245">
        <f t="shared" si="404"/>
        <v>0</v>
      </c>
      <c r="IJ110" s="245" t="e">
        <f t="shared" si="298"/>
        <v>#VALUE!</v>
      </c>
      <c r="IK110" s="245" t="e">
        <f t="shared" si="299"/>
        <v>#VALUE!</v>
      </c>
      <c r="IL110" s="245"/>
      <c r="IM110" s="245" t="e">
        <f t="shared" si="405"/>
        <v>#N/A</v>
      </c>
      <c r="IN110" s="245" t="e">
        <f t="shared" si="406"/>
        <v>#N/A</v>
      </c>
      <c r="IO110" s="245"/>
      <c r="IP110" s="245"/>
      <c r="IQ110" s="245" t="str">
        <f t="shared" si="300"/>
        <v/>
      </c>
      <c r="IR110" s="245" t="str">
        <f>IF(J110="","",VLOOKUP(J110,Worksheet!$R$4:$T$14,2))</f>
        <v/>
      </c>
      <c r="IS110" s="245"/>
      <c r="IT110" s="245">
        <f t="shared" si="301"/>
        <v>0</v>
      </c>
      <c r="IU110" s="245">
        <f t="shared" si="302"/>
        <v>0</v>
      </c>
      <c r="IV110" s="245">
        <f t="shared" si="303"/>
        <v>0</v>
      </c>
      <c r="IW110" s="245">
        <f t="shared" si="304"/>
        <v>0</v>
      </c>
      <c r="IX110" s="245">
        <f t="shared" si="407"/>
        <v>0</v>
      </c>
      <c r="IY110" s="245">
        <f t="shared" si="305"/>
        <v>0</v>
      </c>
      <c r="IZ110" s="245">
        <f t="shared" si="306"/>
        <v>0</v>
      </c>
      <c r="JA110">
        <f t="shared" si="307"/>
        <v>0</v>
      </c>
      <c r="JB110">
        <f t="shared" si="408"/>
        <v>0</v>
      </c>
      <c r="JC110">
        <f t="shared" si="308"/>
        <v>0</v>
      </c>
      <c r="JD110">
        <f t="shared" si="309"/>
        <v>0</v>
      </c>
      <c r="JE110">
        <f t="shared" si="310"/>
        <v>0</v>
      </c>
      <c r="JF110">
        <f t="shared" si="311"/>
        <v>0</v>
      </c>
      <c r="JG110">
        <f t="shared" si="312"/>
        <v>0</v>
      </c>
      <c r="JH110">
        <f t="shared" si="313"/>
        <v>0</v>
      </c>
      <c r="JI110">
        <f t="shared" si="314"/>
        <v>0</v>
      </c>
      <c r="JJ110" s="447">
        <f t="shared" si="315"/>
        <v>0</v>
      </c>
      <c r="JK110" s="447">
        <f t="shared" si="316"/>
        <v>0</v>
      </c>
      <c r="JL110">
        <f t="shared" si="317"/>
        <v>0</v>
      </c>
      <c r="JM110" s="245" t="str">
        <f>IFERROR(VLOOKUP(MATCH(BN110,#REF!,0),#REF!,7),"")</f>
        <v/>
      </c>
      <c r="JN110" t="e">
        <f>HLOOKUP(LEFT(BO110,7),Discharge_Area,MATCH(JO110,LookUps!$B$130:$B$149,1)+2)</f>
        <v>#N/A</v>
      </c>
      <c r="JO110" t="str">
        <f t="shared" si="318"/>
        <v>- S</v>
      </c>
      <c r="JP110" t="e">
        <f>HLOOKUP(LEFT(BO110,7),Discharge_Area,MATCH(JO110,LookUps!$B$130:$B$149,1)+2)</f>
        <v>#N/A</v>
      </c>
      <c r="JQ110" t="e">
        <f t="shared" si="319"/>
        <v>#N/A</v>
      </c>
      <c r="JR110" t="e">
        <f t="shared" si="320"/>
        <v>#N/A</v>
      </c>
      <c r="JS110" t="e">
        <f t="shared" si="321"/>
        <v>#N/A</v>
      </c>
      <c r="JT110" s="532" t="str">
        <f t="shared" si="322"/>
        <v xml:space="preserve"> </v>
      </c>
      <c r="JU110" s="532" t="str">
        <f t="shared" si="323"/>
        <v xml:space="preserve"> </v>
      </c>
      <c r="JV110" s="533" t="str">
        <f t="shared" si="324"/>
        <v xml:space="preserve"> </v>
      </c>
      <c r="JW110" s="534">
        <f t="shared" si="325"/>
        <v>0</v>
      </c>
      <c r="JX110" s="535" t="str">
        <f t="shared" si="409"/>
        <v xml:space="preserve"> </v>
      </c>
      <c r="JY110" s="535" t="str">
        <f t="shared" si="410"/>
        <v xml:space="preserve"> </v>
      </c>
      <c r="JZ110" s="535" t="str">
        <f t="shared" si="411"/>
        <v xml:space="preserve"> </v>
      </c>
      <c r="KA110" s="536" t="str">
        <f t="shared" si="326"/>
        <v xml:space="preserve"> </v>
      </c>
      <c r="KB110" s="535" t="e">
        <f t="shared" si="412"/>
        <v>#VALUE!</v>
      </c>
      <c r="KC110" s="535" t="str">
        <f t="shared" si="327"/>
        <v/>
      </c>
      <c r="KD110" s="537" t="str">
        <f t="shared" si="413"/>
        <v xml:space="preserve"> </v>
      </c>
      <c r="KE110" s="537" t="str">
        <f t="shared" si="414"/>
        <v xml:space="preserve"> </v>
      </c>
      <c r="KF110" s="534">
        <f t="shared" si="328"/>
        <v>0</v>
      </c>
      <c r="KG110" s="535" t="str">
        <f t="shared" si="329"/>
        <v xml:space="preserve"> </v>
      </c>
      <c r="KH110" s="535" t="str">
        <f t="shared" si="330"/>
        <v xml:space="preserve"> </v>
      </c>
      <c r="KI110" s="535" t="str">
        <f t="shared" si="331"/>
        <v xml:space="preserve"> </v>
      </c>
      <c r="KJ110" s="536" t="str">
        <f t="shared" si="332"/>
        <v xml:space="preserve"> </v>
      </c>
      <c r="KK110" s="535" t="str">
        <f t="shared" si="415"/>
        <v xml:space="preserve"> </v>
      </c>
      <c r="KL110" s="535" t="str">
        <f t="shared" si="416"/>
        <v xml:space="preserve"> </v>
      </c>
      <c r="KM110" s="537" t="str">
        <f t="shared" si="333"/>
        <v xml:space="preserve"> </v>
      </c>
      <c r="KN110" s="537" t="str">
        <f t="shared" si="417"/>
        <v xml:space="preserve"> </v>
      </c>
      <c r="KP110">
        <f t="shared" si="334"/>
        <v>0</v>
      </c>
      <c r="LA110" t="e">
        <f t="shared" si="335"/>
        <v>#VALUE!</v>
      </c>
      <c r="LB110" t="e">
        <f t="shared" si="336"/>
        <v>#VALUE!</v>
      </c>
      <c r="LC110" t="e">
        <f t="shared" si="337"/>
        <v>#VALUE!</v>
      </c>
      <c r="LD110" t="e">
        <f t="shared" si="338"/>
        <v>#VALUE!</v>
      </c>
      <c r="LE110" t="e">
        <f t="shared" si="418"/>
        <v>#VALUE!</v>
      </c>
      <c r="LF110">
        <f t="shared" si="339"/>
        <v>0</v>
      </c>
      <c r="LG110" t="e">
        <f t="shared" si="419"/>
        <v>#VALUE!</v>
      </c>
      <c r="LH110" t="str">
        <f t="shared" si="340"/>
        <v xml:space="preserve"> </v>
      </c>
      <c r="LI110">
        <f t="shared" si="420"/>
        <v>1</v>
      </c>
    </row>
    <row r="111" spans="2:321" ht="15" customHeight="1">
      <c r="B111" s="311"/>
      <c r="C111" s="311"/>
      <c r="D111" s="312"/>
      <c r="E111" s="311"/>
      <c r="F111" s="312"/>
      <c r="G111" s="311"/>
      <c r="H111" s="311"/>
      <c r="I111" s="37"/>
      <c r="J111" s="311"/>
      <c r="K111" s="305" t="str">
        <f t="shared" si="341"/>
        <v/>
      </c>
      <c r="L111" s="313"/>
      <c r="M111" s="312"/>
      <c r="N111" s="311"/>
      <c r="O111" s="312"/>
      <c r="P111" s="311"/>
      <c r="Q111" s="305" t="str">
        <f t="shared" si="342"/>
        <v/>
      </c>
      <c r="R111" s="314"/>
      <c r="S111" s="450" t="str">
        <f t="shared" si="225"/>
        <v/>
      </c>
      <c r="T111" s="315"/>
      <c r="U111" s="315"/>
      <c r="W111" s="149" t="str">
        <f t="shared" si="226"/>
        <v xml:space="preserve"> </v>
      </c>
      <c r="X111" s="243" t="str">
        <f t="shared" si="227"/>
        <v xml:space="preserve"> </v>
      </c>
      <c r="Y111" s="150" t="str">
        <f t="shared" si="228"/>
        <v/>
      </c>
      <c r="Z111" s="149" t="str">
        <f t="shared" si="229"/>
        <v xml:space="preserve"> </v>
      </c>
      <c r="AA111" s="98" t="str">
        <f t="shared" si="230"/>
        <v xml:space="preserve"> </v>
      </c>
      <c r="AB111" s="153" t="str">
        <f t="shared" si="231"/>
        <v xml:space="preserve"> </v>
      </c>
      <c r="AC111" s="153" t="str">
        <f t="shared" si="232"/>
        <v xml:space="preserve"> </v>
      </c>
      <c r="AD111" s="148" t="str">
        <f t="shared" si="233"/>
        <v/>
      </c>
      <c r="AE111" s="149" t="str">
        <f t="shared" si="234"/>
        <v/>
      </c>
      <c r="AF111" s="151" t="str">
        <f t="shared" si="235"/>
        <v xml:space="preserve"> </v>
      </c>
      <c r="AG111" s="153" t="str">
        <f t="shared" si="236"/>
        <v xml:space="preserve"> </v>
      </c>
      <c r="AH111" s="98" t="str">
        <f t="shared" si="237"/>
        <v xml:space="preserve"> </v>
      </c>
      <c r="AI111" s="149" t="str">
        <f t="shared" si="238"/>
        <v xml:space="preserve"> </v>
      </c>
      <c r="AK111" s="144" t="str">
        <f t="shared" si="239"/>
        <v xml:space="preserve"> </v>
      </c>
      <c r="AL111" s="144"/>
      <c r="AM111" s="243" t="str">
        <f t="shared" si="240"/>
        <v xml:space="preserve"> </v>
      </c>
      <c r="AN111" s="149" t="str">
        <f t="shared" si="343"/>
        <v xml:space="preserve"> </v>
      </c>
      <c r="AO111" s="144" t="str">
        <f>IF(JB111&gt;0,IF(GI111=10,-R111*1.085*(Calculation!$F$6-Calculation!$F$13)*$S$14," "),"")</f>
        <v/>
      </c>
      <c r="AP111" s="144" t="str">
        <f t="shared" si="241"/>
        <v/>
      </c>
      <c r="AQ111" s="56" t="str">
        <f t="shared" si="242"/>
        <v/>
      </c>
      <c r="AR111" s="144" t="str">
        <f t="shared" si="243"/>
        <v/>
      </c>
      <c r="AS111" s="176" t="str">
        <f t="shared" si="244"/>
        <v/>
      </c>
      <c r="AT111" s="176" t="str">
        <f t="shared" si="344"/>
        <v xml:space="preserve"> </v>
      </c>
      <c r="AU111" s="176" t="str">
        <f t="shared" si="245"/>
        <v/>
      </c>
      <c r="AV111" s="177" t="str">
        <f t="shared" si="246"/>
        <v xml:space="preserve"> </v>
      </c>
      <c r="AW111" s="144" t="str">
        <f t="shared" si="247"/>
        <v xml:space="preserve"> </v>
      </c>
      <c r="AX111" s="144" t="str">
        <f t="shared" si="248"/>
        <v xml:space="preserve"> </v>
      </c>
      <c r="AY111" s="152" t="str">
        <f t="shared" si="249"/>
        <v xml:space="preserve"> </v>
      </c>
      <c r="AZ111" s="246" t="str">
        <f t="shared" si="250"/>
        <v/>
      </c>
      <c r="BA111" s="176" t="str">
        <f t="shared" si="251"/>
        <v xml:space="preserve"> </v>
      </c>
      <c r="BB111" s="176" t="str">
        <f t="shared" si="252"/>
        <v xml:space="preserve"> </v>
      </c>
      <c r="BC111" s="195"/>
      <c r="BD111" s="316"/>
      <c r="BE111" s="317"/>
      <c r="BF111" s="318"/>
      <c r="BG111" s="318"/>
      <c r="BH111" s="144" t="str">
        <f t="shared" si="421"/>
        <v xml:space="preserve"> </v>
      </c>
      <c r="BI111" s="176" t="str">
        <f t="shared" si="253"/>
        <v/>
      </c>
      <c r="BJ111" s="144" t="str">
        <f t="shared" si="422"/>
        <v/>
      </c>
      <c r="BK111" s="246" t="str">
        <f t="shared" si="254"/>
        <v/>
      </c>
      <c r="BL111" s="144" t="str">
        <f t="shared" si="423"/>
        <v/>
      </c>
      <c r="BM111" s="246" t="str">
        <f t="shared" si="255"/>
        <v/>
      </c>
      <c r="BN111" s="337" t="str">
        <f t="shared" si="345"/>
        <v/>
      </c>
      <c r="BO111" s="371" t="str">
        <f t="shared" si="346"/>
        <v/>
      </c>
      <c r="BP111" s="328" t="str">
        <f t="shared" si="424"/>
        <v xml:space="preserve"> </v>
      </c>
      <c r="BQ111" s="347" t="str">
        <f t="shared" si="347"/>
        <v xml:space="preserve"> </v>
      </c>
      <c r="BR111" s="353" t="str">
        <f t="shared" si="348"/>
        <v xml:space="preserve"> </v>
      </c>
      <c r="BS111" s="626" t="str">
        <f>IF(L111&gt;0,IF(Calculation!P111="M13",BR111*3.1416*(0.134^2)/(4*144),IF(Calculation!P111="M17",BR111*3.1416*(0.165^2)/(4*144),IF(Calculation!P111="M20",BR111*3.1416*(0.198^2)/(4*144),IF(Calculation!P111="M23",BR111*3.1416*(0.228^2)/(4*144),IF(Calculation!P111="M27",BR111*3.1416*(0.269^2)/(4*144),BR111*3.1416*(0.307^2)/(4*144))))))," ")</f>
        <v xml:space="preserve"> </v>
      </c>
      <c r="BT111" s="353" t="str">
        <f>IF(L111&gt;0,IF(BS111&gt;0,R111/Calculation!BS111,0)," ")</f>
        <v xml:space="preserve"> </v>
      </c>
      <c r="BU111" s="438" t="e">
        <f t="shared" ca="1" si="256"/>
        <v>#VALUE!</v>
      </c>
      <c r="BV111" s="449" t="e">
        <f ca="1">INDEX(INDIRECT(VLOOKUP(LEFT(BO111,7),CLU!$Z$3:$AH$18,2)),GN111,GR111)</f>
        <v>#N/A</v>
      </c>
      <c r="BW111" s="433" t="e">
        <f ca="1">INDEX(INDIRECT(VLOOKUP(LEFT(BO111,7),CLU!$Z$3:$AH$18,3)),GN111,GR111)</f>
        <v>#N/A</v>
      </c>
      <c r="BX111" s="433" t="e">
        <f ca="1">INDEX(INDIRECT(VLOOKUP(LEFT(BO111,7),CLU!$Z$3:$AH$18,4)),GN111,GR111)</f>
        <v>#N/A</v>
      </c>
      <c r="BY111" s="433" t="e">
        <f ca="1">INDEX(INDIRECT(VLOOKUP(LEFT(BO111,7),CLU!$Z$3:$AH$18,9)),((M111-2)*(6-COUNTBLANK(GT111:GY111)))+GJ111)</f>
        <v>#N/A</v>
      </c>
      <c r="BZ111" s="426" t="e">
        <f t="shared" ca="1" si="349"/>
        <v>#N/A</v>
      </c>
      <c r="CA111" s="424" t="e">
        <f t="shared" ca="1" si="350"/>
        <v>#N/A</v>
      </c>
      <c r="CB111" s="429" t="e">
        <f ca="1">INDEX(INDIRECT(VLOOKUP(LEFT(BO111,7),CLU!$Z$3:$AH$18,2)),GN111,GS111)</f>
        <v>#N/A</v>
      </c>
      <c r="CC111" s="342" t="e">
        <f ca="1">INDEX(INDIRECT(VLOOKUP(LEFT(BO111,7),CLU!$Z$3:$AH$18,3)),GN111,GS111)</f>
        <v>#N/A</v>
      </c>
      <c r="CD111" s="342" t="e">
        <f ca="1">INDEX(INDIRECT(VLOOKUP(LEFT(BO111,7),CLU!$Z$3:$AH$18,4)),GN111,GS111)</f>
        <v>#N/A</v>
      </c>
      <c r="CE111" s="426" t="e">
        <f t="shared" ca="1" si="351"/>
        <v>#N/A</v>
      </c>
      <c r="CF111" s="440">
        <f t="shared" si="352"/>
        <v>0</v>
      </c>
      <c r="CG111" s="431" t="e">
        <f ca="1">INDEX(INDIRECT(VLOOKUP(LEFT(BO111,7),CLU!$Z$3:$AH$18,2)),GQ111,GR111)</f>
        <v>#N/A</v>
      </c>
      <c r="CH111" s="431" t="e">
        <f ca="1">INDEX(INDIRECT(VLOOKUP(LEFT(BO111,7),CLU!$Z$3:$AH$18,3)),GQ111,GR111)</f>
        <v>#N/A</v>
      </c>
      <c r="CI111" s="431" t="e">
        <f ca="1">INDEX(INDIRECT(VLOOKUP(LEFT(BO111,7),CLU!$Z$3:$AH$18,4)),GQ111,GR111)</f>
        <v>#N/A</v>
      </c>
      <c r="CJ111" s="448" t="e">
        <f t="shared" ca="1" si="353"/>
        <v>#N/A</v>
      </c>
      <c r="CK111" s="431" t="e">
        <f t="shared" ca="1" si="354"/>
        <v>#N/A</v>
      </c>
      <c r="CL111" s="440" t="e">
        <f t="shared" ca="1" si="355"/>
        <v>#N/A</v>
      </c>
      <c r="CM111" s="431" t="e">
        <f ca="1">INDEX(INDIRECT(VLOOKUP(LEFT(BO111,7),CLU!$Z$3:$AH$18,2)),GQ111,GS111)</f>
        <v>#N/A</v>
      </c>
      <c r="CN111" s="431" t="e">
        <f ca="1">INDEX(INDIRECT(VLOOKUP(LEFT(BO111,7),CLU!$Z$3:$AH$18,3)),GQ111,GS111)</f>
        <v>#N/A</v>
      </c>
      <c r="CO111" s="431" t="e">
        <f ca="1">INDEX(INDIRECT(VLOOKUP(LEFT(BO111,7),CLU!$Z$3:$AH$18,4)),GQ111,GS111)</f>
        <v>#N/A</v>
      </c>
      <c r="CP111" s="431" t="e">
        <f t="shared" ca="1" si="356"/>
        <v>#N/A</v>
      </c>
      <c r="CQ111" s="440">
        <f t="shared" si="357"/>
        <v>0</v>
      </c>
      <c r="CR111" s="51" t="e">
        <f t="shared" ca="1" si="358"/>
        <v>#N/A</v>
      </c>
      <c r="CS111" s="439" t="e">
        <f t="shared" ca="1" si="359"/>
        <v>#VALUE!</v>
      </c>
      <c r="CT111" s="51" t="e">
        <f t="shared" ca="1" si="360"/>
        <v>#VALUE!</v>
      </c>
      <c r="CU111" s="10"/>
      <c r="CV111" s="51" t="e">
        <f t="shared" ca="1" si="257"/>
        <v>#VALUE!</v>
      </c>
      <c r="CW111" s="51">
        <f t="shared" si="361"/>
        <v>0</v>
      </c>
      <c r="CX111" s="439" t="e">
        <f t="shared" ca="1" si="362"/>
        <v>#VALUE!</v>
      </c>
      <c r="CY111" s="51" t="e">
        <f t="shared" ca="1" si="363"/>
        <v>#VALUE!</v>
      </c>
      <c r="CZ111" s="10"/>
      <c r="DA111" s="51" t="e">
        <f t="shared" ca="1" si="364"/>
        <v>#VALUE!</v>
      </c>
      <c r="DB111" s="347" t="e">
        <f ca="1">INDEX(INDIRECT(VLOOKUP(LEFT(BO111,7),CLU!$Z$3:$AI$18,10)),((M111-2)*(6-COUNTBLANK(GT111:GY111)))+GJ111)*LI111</f>
        <v>#N/A</v>
      </c>
      <c r="DC111" s="347" t="str">
        <f>IF(L111&gt;0,((R111/Worksheet!$I$15)/DB111)^2," ")</f>
        <v xml:space="preserve"> </v>
      </c>
      <c r="DD111" s="602" t="str">
        <f t="shared" si="365"/>
        <v xml:space="preserve"> </v>
      </c>
      <c r="DE111" s="347" t="str">
        <f t="shared" si="258"/>
        <v xml:space="preserve"> </v>
      </c>
      <c r="DF111" s="356" t="e">
        <f ca="1">INDEX(INDIRECT(VLOOKUP(LEFT(BO111,7),CLU!$Z$3:$AH$18,8)),((M111-2)*(6-COUNTBLANK(GT111:GY111)))+GJ111)</f>
        <v>#N/A</v>
      </c>
      <c r="DG111" s="347" t="str">
        <f t="shared" si="259"/>
        <v xml:space="preserve"> </v>
      </c>
      <c r="DH111" s="357" t="str">
        <f t="shared" si="260"/>
        <v xml:space="preserve"> </v>
      </c>
      <c r="DI111" s="355" t="str">
        <f t="shared" si="261"/>
        <v xml:space="preserve"> </v>
      </c>
      <c r="DJ111" s="245" t="e">
        <f ca="1">INDEX(INDIRECT(VLOOKUP(LEFT(BO111,7),CLU!$Z$3:$AH$18,5)),GL111,GK111)</f>
        <v>#N/A</v>
      </c>
      <c r="DK111" s="245" t="e">
        <f ca="1">INDEX(INDIRECT(VLOOKUP(LEFT(BO111,7),CLU!$Z$3:$AH$18,6)),GL111,GK111)</f>
        <v>#N/A</v>
      </c>
      <c r="DL111" s="355">
        <f>(Calculation!R111*0.69143*(Calculation!$BQ$8-Calculation!$F$8))*$S$14</f>
        <v>0</v>
      </c>
      <c r="DM111" s="359" t="e">
        <f t="shared" si="366"/>
        <v>#VALUE!</v>
      </c>
      <c r="DN111" s="611">
        <f t="shared" si="367"/>
        <v>0</v>
      </c>
      <c r="DO111" s="359">
        <f t="shared" si="368"/>
        <v>100</v>
      </c>
      <c r="DP111" s="359">
        <f t="shared" si="369"/>
        <v>0</v>
      </c>
      <c r="DQ111" s="360"/>
      <c r="DR111" s="245" t="e">
        <f ca="1">INDEX(INDIRECT(VLOOKUP(LEFT(BO111,7),CLU!$Z$3:$AH$18,7)),M111-1,1)</f>
        <v>#N/A</v>
      </c>
      <c r="DS111" s="245" t="e">
        <f ca="1">INDEX(INDIRECT(VLOOKUP(LEFT(BO111,7),CLU!$Z$3:$AH$18,7)),M111-1,2)</f>
        <v>#N/A</v>
      </c>
      <c r="DT111" s="245" t="e">
        <f ca="1">INDEX(INDIRECT(VLOOKUP(LEFT(BO111,7),CLU!$Z$3:$AH$18,7)),M111-1,3)</f>
        <v>#N/A</v>
      </c>
      <c r="DU111" s="245" t="e">
        <f ca="1">INDEX(INDIRECT(VLOOKUP(LEFT(BO111,7),CLU!$Z$3:$AH$18,7)),M111-1,4)</f>
        <v>#N/A</v>
      </c>
      <c r="DV111" s="361" t="e">
        <f ca="1">INDEX(INDIRECT(VLOOKUP(LEFT(BO111,7),CLU!$Z$3:$AH$18,7)),M111-1,4+LEFT(DZ111,1)*0.5)</f>
        <v>#N/A</v>
      </c>
      <c r="DW111" s="245" t="e">
        <f ca="1">INDEX(INDIRECT(VLOOKUP(LEFT(BO111,7),CLU!$Z$3:$AH$18,7)),M111-1,8)</f>
        <v>#N/A</v>
      </c>
      <c r="DX111" s="361" t="str">
        <f t="shared" si="262"/>
        <v xml:space="preserve"> </v>
      </c>
      <c r="DY111" s="361" t="str">
        <f t="shared" si="263"/>
        <v xml:space="preserve"> </v>
      </c>
      <c r="DZ111" s="361" t="str">
        <f t="shared" si="264"/>
        <v xml:space="preserve"> </v>
      </c>
      <c r="EA111" s="362" t="str">
        <f t="shared" si="265"/>
        <v xml:space="preserve"> </v>
      </c>
      <c r="EB111" s="624" t="str">
        <f t="shared" si="370"/>
        <v xml:space="preserve"> </v>
      </c>
      <c r="EC111" s="361" t="e">
        <f ca="1">INDEX(INDIRECT(VLOOKUP(LEFT(BO111,7),CLU!$Z$3:$AH$18,7)),M111-1,4+LEFT(DZ111,1)*0.5)</f>
        <v>#N/A</v>
      </c>
      <c r="ED111" s="362" t="str">
        <f t="shared" si="266"/>
        <v xml:space="preserve"> </v>
      </c>
      <c r="EE111" s="361" t="str">
        <f t="shared" si="267"/>
        <v xml:space="preserve"> </v>
      </c>
      <c r="EF111" s="362" t="str">
        <f>IF(L111&gt;0,IF(BR111&gt;0,IF(EE111="2P",IF(Calculation!DZ111="2P",IF(Calculation!DS111=13.75,IF(Calculation!DR111=13,Worksheet!$BD$43,IF(Calculation!DR111=37,Worksheet!$BD$44,Worksheet!$BD$45)),IF(Calculation!DS111=10,IF(Calculation!DR111=18,Worksheet!$BD$29,IF(Calculation!DR111=30,Worksheet!$BD$30,IF(Calculation!DR111=42,Worksheet!$BD$31,IF(Calculation!DR111=54,Worksheet!$BD$32,IF(Calculation!DR111=66,Worksheet!$BD$33,IF(Calculation!DR111=78,Worksheet!$BD$34,IF(Calculation!DR111=90,Worksheet!$BD$35,IF(Calculation!DR111=102,Worksheet!$BD$36,Worksheet!$BD$37)))))))),IF(Calculation!DS111=12.5,IF(Calculation!DR111=18,Worksheet!$BD$38,IF(Calculation!DR111=Worksheet!$BD$39,IF(Calculation!DR111=42,Worksheet!$BD$40,IF(Calculation!DR111=54,Worksheet!$BD$41,Worksheet!$BD$42)))),IF(Calculation!DR111=18,Worksheet!$BD$11,IF(Calculation!DR111=30,Worksheet!$BD$12,IF(Calculation!DR111=42,Worksheet!$BD$13,IF(Calculation!DR111=54,Worksheet!$BD$14,IF(Calculation!DR111=66,Worksheet!$BD$15,IF(Calculation!DR111=78,Worksheet!$BD$16,IF(Calculation!DR111=90,Worksheet!$BD$17,IF(Calculation!DR111=102,Worksheet!$BD$18,Worksheet!$BD$19))))))))))),IF(Calculation!DS111=13.75,IF(Calculation!DR111=13,Worksheet!$BD$78,IF(Calculation!DR111=37,Worksheet!$BD$79,Worksheet!$BD$80)),IF(Calculation!DS111=10,IF(Calculation!DR111=18,Worksheet!$BD$64,IF(Calculation!DR111=30,Worksheet!$BD$65,IF(Calculation!DR111=42,Worksheet!$BD$66,IF(Calculation!DR111=54,Worksheet!$BD$68,IF(Calculation!DR111=66,Worksheet!$BD$68,IF(Calculation!DR111=78,Worksheet!$BD$69,IF(Calculation!DR111=90,Worksheet!$BD$70,IF(Calculation!DR111=102,Worksheet!$BD$71,Worksheet!$BD$72)))))))),IF(Calculation!DS111=12.5,IF(Calculation!DR111=18,Worksheet!$BD$73,IF(Calculation!DR111=Worksheet!$BD$74,IF(Calculation!DR111=42,Worksheet!$BD$75,IF(Calculation!DR111=54,Worksheet!$BD$76,Worksheet!$BD$77)))),IF(Calculation!DR111=18,Worksheet!$BD$55,IF(Calculation!DR111=30,Worksheet!$BD$56,IF(Calculation!DR111=42,Worksheet!$BD$57,IF(Calculation!DR111=54,Worksheet!$BD$58,IF(Calculation!DR111=66,Worksheet!$BD$59,IF(Calculation!DR111=78,Worksheet!$BD$60,IF(Calculation!DR111=90,Worksheet!$BD$61,IF(Calculation!DR111=102,Worksheet!$BD$62,Worksheet!$BD$63)))))))))))),5),0)," ")</f>
        <v xml:space="preserve"> </v>
      </c>
      <c r="EG111" s="361" t="str">
        <f t="shared" si="268"/>
        <v xml:space="preserve"> </v>
      </c>
      <c r="EH111" s="361" t="e">
        <f ca="1">INDEX(INDIRECT(VLOOKUP(LEFT(BO111,7),CLU!$Z$3:$AH$18,7)),M111-1,3+LEFT(DZ111,1))</f>
        <v>#N/A</v>
      </c>
      <c r="EI111" s="362" t="str">
        <f t="shared" si="269"/>
        <v xml:space="preserve"> </v>
      </c>
      <c r="EJ111" s="363" t="str">
        <f t="shared" si="270"/>
        <v xml:space="preserve"> </v>
      </c>
      <c r="EK111" s="363" t="str">
        <f t="shared" si="271"/>
        <v xml:space="preserve"> </v>
      </c>
      <c r="EL111" s="363" t="str">
        <f t="shared" si="272"/>
        <v xml:space="preserve"> </v>
      </c>
      <c r="EM111" s="362" t="str">
        <f>IF(L111&gt;0,IF(BR111&gt;0,(Calculation!T111/ED111)^2,0)," ")</f>
        <v xml:space="preserve"> </v>
      </c>
      <c r="EN111" s="362" t="str">
        <f>IF(L111&gt;0,IF(O111="2 Pipe (Cooling)","N/A",IF(BR111&gt;0,(Calculation!U111/EI111)^2,0))," ")</f>
        <v xml:space="preserve"> </v>
      </c>
      <c r="EO111" s="361" t="str">
        <f t="shared" si="273"/>
        <v/>
      </c>
      <c r="EP111" s="361" t="str">
        <f t="shared" si="274"/>
        <v/>
      </c>
      <c r="EQ111" s="361" t="str">
        <f t="shared" si="275"/>
        <v/>
      </c>
      <c r="ER111" s="361" t="str">
        <f t="shared" si="276"/>
        <v/>
      </c>
      <c r="ES111" s="361" t="str">
        <f t="shared" si="277"/>
        <v/>
      </c>
      <c r="ET111" s="361" t="str">
        <f t="shared" si="278"/>
        <v/>
      </c>
      <c r="EU111" s="361" t="str">
        <f t="shared" si="279"/>
        <v/>
      </c>
      <c r="EV111" s="361" t="str">
        <f t="shared" si="280"/>
        <v/>
      </c>
      <c r="EW111" s="361" t="str">
        <f t="shared" si="281"/>
        <v/>
      </c>
      <c r="EX111" s="361" t="str">
        <f t="shared" si="371"/>
        <v>1 slot, 1 way</v>
      </c>
      <c r="EY111" s="361" t="str">
        <f t="shared" si="372"/>
        <v xml:space="preserve"> </v>
      </c>
      <c r="EZ111" s="361" t="str">
        <f t="shared" si="373"/>
        <v xml:space="preserve"> </v>
      </c>
      <c r="FA111" s="361" t="str">
        <f t="shared" si="374"/>
        <v xml:space="preserve"> </v>
      </c>
      <c r="FB111" s="361" t="str">
        <f t="shared" si="375"/>
        <v xml:space="preserve"> </v>
      </c>
      <c r="FC111" s="361"/>
      <c r="FD111" s="361" t="str">
        <f>IF(J111&gt;0,IF(Calculation!R111&lt;=70,4,IF(Calculation!R111&lt;=110,5,IF(Calculation!R111&lt;=160,6,IF(Calculation!R111&lt;=300,8,"10 EO")))),"")</f>
        <v/>
      </c>
      <c r="FE111" s="361" t="str">
        <f t="shared" si="376"/>
        <v/>
      </c>
      <c r="FF111" s="361" t="str">
        <f t="shared" si="377"/>
        <v/>
      </c>
      <c r="FG111" s="361" t="e">
        <f t="shared" si="282"/>
        <v>#N/A</v>
      </c>
      <c r="FH111" s="361">
        <f t="shared" si="283"/>
        <v>0</v>
      </c>
      <c r="FI111" s="361" t="e">
        <f t="shared" si="284"/>
        <v>#DIV/0!</v>
      </c>
      <c r="FJ111" s="361"/>
      <c r="FK111" s="356" t="e">
        <f t="shared" si="285"/>
        <v>#VALUE!</v>
      </c>
      <c r="FL111" s="361"/>
      <c r="FM111" s="361"/>
      <c r="FN111" s="362" t="str">
        <f t="shared" si="378"/>
        <v xml:space="preserve"> </v>
      </c>
      <c r="FO111" s="362" t="str">
        <f t="shared" si="379"/>
        <v xml:space="preserve"> </v>
      </c>
      <c r="FP111" s="362">
        <f t="shared" si="380"/>
        <v>0</v>
      </c>
      <c r="FQ111" s="361">
        <f t="shared" si="286"/>
        <v>0</v>
      </c>
      <c r="FR111" s="362" t="str">
        <f>IF(L111&gt;0,IF(J111="CBAL2",Worksheet!$P$67,IF(J111="CBE2-24",Worksheet!$Q$67,IF(J111="CBAM",Worksheet!$R$67,IF(J111="CBLV",Worksheet!$S$67,IF(J111="CBAB",Worksheet!$U$67,IF(J111="CBAW",Worksheet!$X$67,IF(J111="CBE2-12",Worksheet!$Y$67,IF(J111="CBAL2",Worksheet!$Z$67,"N/A"))))))))," ")</f>
        <v xml:space="preserve"> </v>
      </c>
      <c r="FS111" s="362" t="str">
        <f>IF(L111&gt;0,IF(J111="CBAL2",Worksheet!$P$68,IF(J111="CBE2-24",Worksheet!$Q$68,IF(J111="CBAM",Worksheet!$R$68,IF(J111="CBLV",Worksheet!$S$68,IF(J111="CBAB",Worksheet!$U$68,IF(J111="CBAW",Worksheet!$X$68,IF(J111="CBE2-12",Worksheet!$Y$68,IF(J111="CBAL2",Worksheet!$Z$68,"N/A"))))))))," ")</f>
        <v xml:space="preserve"> </v>
      </c>
      <c r="FT111" s="362" t="str">
        <f>IF(L111&gt;0,IF(J111="CBAL2",Worksheet!$P$69,IF(J111="CBE2-24",Worksheet!$Q$69,IF(J111="CBAM",Worksheet!$R$69,IF(J111="CBLV",Worksheet!$S$69,IF(J111="CBAB",Worksheet!$U$69,IF(J111="CBAW",Worksheet!$X$69,IF(J111="CBE2-12",Worksheet!$Y$69,IF(J111="CBAL2",Worksheet!$Z$69,"N/A"))))))))," ")</f>
        <v xml:space="preserve"> </v>
      </c>
      <c r="FU111" s="361" t="str">
        <f t="shared" si="381"/>
        <v xml:space="preserve"> </v>
      </c>
      <c r="FV111" s="362" t="str">
        <f t="shared" si="382"/>
        <v xml:space="preserve"> </v>
      </c>
      <c r="FW111" s="362" t="str">
        <f t="shared" si="383"/>
        <v xml:space="preserve"> </v>
      </c>
      <c r="FX111" s="362" t="str">
        <f t="shared" si="384"/>
        <v xml:space="preserve"> </v>
      </c>
      <c r="FY111" s="355" t="str">
        <f t="shared" si="385"/>
        <v xml:space="preserve"> </v>
      </c>
      <c r="FZ111" s="361" t="str">
        <f t="shared" si="386"/>
        <v xml:space="preserve"> </v>
      </c>
      <c r="GA111" s="347" t="str">
        <f t="shared" si="387"/>
        <v xml:space="preserve"> </v>
      </c>
      <c r="GB111" s="355" t="str">
        <f t="shared" si="388"/>
        <v xml:space="preserve"> </v>
      </c>
      <c r="GC111" s="328" t="str">
        <f t="shared" si="389"/>
        <v xml:space="preserve"> </v>
      </c>
      <c r="GD111" s="361" t="str">
        <f t="shared" si="390"/>
        <v xml:space="preserve"> </v>
      </c>
      <c r="GE111" s="347" t="str">
        <f t="shared" si="391"/>
        <v xml:space="preserve"> </v>
      </c>
      <c r="GF111" s="361" t="str">
        <f t="shared" si="392"/>
        <v xml:space="preserve"> </v>
      </c>
      <c r="GG111" s="347" t="str">
        <f t="shared" si="393"/>
        <v xml:space="preserve"> </v>
      </c>
      <c r="GH111" s="364">
        <f t="shared" si="287"/>
        <v>0</v>
      </c>
      <c r="GI111" s="362">
        <f t="shared" si="394"/>
        <v>2</v>
      </c>
      <c r="GJ111" s="433" t="e">
        <f>IF(6-COUNTBLANK(GT111:GY111)=4,MATCH(MID(BO111,9,3),CLU!$H$16:$K$16),MATCH(MID(BO111,9,3),CLU!$H$13:$M$13))</f>
        <v>#N/A</v>
      </c>
      <c r="GK111" s="433" t="e">
        <f>HLOOKUP(VALUE(BP111),CLU!$H$9:$M$10,2)</f>
        <v>#VALUE!</v>
      </c>
      <c r="GL111" s="433" t="e">
        <f ca="1">MATCH(BU111,CLU!$H$2:$V$2,1)</f>
        <v>#VALUE!</v>
      </c>
      <c r="GM111" s="433" t="e">
        <f t="shared" ca="1" si="395"/>
        <v>#VALUE!</v>
      </c>
      <c r="GN111" s="433" t="e">
        <f t="shared" ca="1" si="396"/>
        <v>#VALUE!</v>
      </c>
      <c r="GO111" s="433" t="e">
        <f t="shared" ca="1" si="397"/>
        <v>#VALUE!</v>
      </c>
      <c r="GP111" s="433" t="e">
        <f t="shared" ca="1" si="398"/>
        <v>#VALUE!</v>
      </c>
      <c r="GQ111" s="433" t="e">
        <f t="shared" ca="1" si="399"/>
        <v>#VALUE!</v>
      </c>
      <c r="GR111" s="433" t="e">
        <f ca="1">MATCH(T111,INDIRECT(VLOOKUP(CONCATENATE(LEFT(BO111,7),"-",MID(BO111,13,1)),CLU!$P$3:$Q$16,2)),1)</f>
        <v>#N/A</v>
      </c>
      <c r="GS111" s="433" t="e">
        <f ca="1">MATCH(U111,INDIRECT(VLOOKUP(CONCATENATE(LEFT(BO111,7),"-",MID(BO111,13,1)),CLU!$P$3:$Q$16,2)),1)</f>
        <v>#N/A</v>
      </c>
      <c r="GT111" s="347" t="s">
        <v>512</v>
      </c>
      <c r="GU111" s="97" t="s">
        <v>513</v>
      </c>
      <c r="GV111" s="97" t="str">
        <f t="shared" si="400"/>
        <v>M23</v>
      </c>
      <c r="GW111" s="97" t="str">
        <f t="shared" si="401"/>
        <v>M31</v>
      </c>
      <c r="GX111" s="97" t="str">
        <f t="shared" si="402"/>
        <v/>
      </c>
      <c r="GY111" s="97" t="str">
        <f t="shared" si="403"/>
        <v/>
      </c>
      <c r="GZ111" s="481"/>
      <c r="HA111" s="288"/>
      <c r="HB111" s="240"/>
      <c r="HC111" s="240"/>
      <c r="HD111" s="240"/>
      <c r="HE111" s="240"/>
      <c r="HF111" s="240"/>
      <c r="HG111" s="240"/>
      <c r="HH111" s="240"/>
      <c r="HI111" s="240"/>
      <c r="HJ111" s="240"/>
      <c r="HK111" s="240"/>
      <c r="HL111" s="240"/>
      <c r="HM111" s="240"/>
      <c r="HN111" s="240"/>
      <c r="HO111" s="240"/>
      <c r="HP111" s="240"/>
      <c r="HQ111" s="240"/>
      <c r="HR111" s="240"/>
      <c r="HS111" s="240"/>
      <c r="HT111" s="240"/>
      <c r="HU111" s="240"/>
      <c r="HV111" s="245"/>
      <c r="HW111" s="245" t="b">
        <v>1</v>
      </c>
      <c r="HX111" s="245" t="str">
        <f t="shared" si="288"/>
        <v/>
      </c>
      <c r="HY111" s="245" t="e">
        <f t="shared" si="289"/>
        <v>#DIV/0!</v>
      </c>
      <c r="HZ111" s="245" t="e">
        <f t="shared" si="290"/>
        <v>#DIV/0!</v>
      </c>
      <c r="IA111" s="245">
        <f t="shared" si="291"/>
        <v>0</v>
      </c>
      <c r="IB111" s="245"/>
      <c r="IC111" t="b">
        <f t="shared" si="292"/>
        <v>1</v>
      </c>
      <c r="ID111" s="245" t="b">
        <f t="shared" si="293"/>
        <v>1</v>
      </c>
      <c r="IE111" s="245" t="b">
        <f t="shared" si="294"/>
        <v>1</v>
      </c>
      <c r="IF111" s="245" t="b">
        <f t="shared" si="295"/>
        <v>0</v>
      </c>
      <c r="IG111" s="245" t="b">
        <f t="shared" si="296"/>
        <v>1</v>
      </c>
      <c r="IH111" s="245" t="b">
        <f t="shared" si="297"/>
        <v>1</v>
      </c>
      <c r="II111" s="245">
        <f t="shared" si="404"/>
        <v>0</v>
      </c>
      <c r="IJ111" s="245" t="e">
        <f t="shared" si="298"/>
        <v>#VALUE!</v>
      </c>
      <c r="IK111" s="245" t="e">
        <f t="shared" si="299"/>
        <v>#VALUE!</v>
      </c>
      <c r="IL111" s="245"/>
      <c r="IM111" s="245" t="e">
        <f t="shared" si="405"/>
        <v>#N/A</v>
      </c>
      <c r="IN111" s="245" t="e">
        <f t="shared" si="406"/>
        <v>#N/A</v>
      </c>
      <c r="IO111" s="245"/>
      <c r="IP111" s="245"/>
      <c r="IQ111" s="245" t="str">
        <f t="shared" si="300"/>
        <v/>
      </c>
      <c r="IR111" s="245" t="str">
        <f>IF(J111="","",VLOOKUP(J111,Worksheet!$R$4:$T$14,2))</f>
        <v/>
      </c>
      <c r="IS111" s="245"/>
      <c r="IT111" s="245">
        <f t="shared" si="301"/>
        <v>0</v>
      </c>
      <c r="IU111" s="245">
        <f t="shared" si="302"/>
        <v>0</v>
      </c>
      <c r="IV111" s="245">
        <f t="shared" si="303"/>
        <v>0</v>
      </c>
      <c r="IW111" s="245">
        <f t="shared" si="304"/>
        <v>0</v>
      </c>
      <c r="IX111" s="245">
        <f t="shared" si="407"/>
        <v>0</v>
      </c>
      <c r="IY111" s="245">
        <f t="shared" si="305"/>
        <v>0</v>
      </c>
      <c r="IZ111" s="245">
        <f t="shared" si="306"/>
        <v>0</v>
      </c>
      <c r="JA111">
        <f t="shared" si="307"/>
        <v>0</v>
      </c>
      <c r="JB111">
        <f t="shared" si="408"/>
        <v>0</v>
      </c>
      <c r="JC111">
        <f t="shared" si="308"/>
        <v>0</v>
      </c>
      <c r="JD111">
        <f t="shared" si="309"/>
        <v>0</v>
      </c>
      <c r="JE111">
        <f t="shared" si="310"/>
        <v>0</v>
      </c>
      <c r="JF111">
        <f t="shared" si="311"/>
        <v>0</v>
      </c>
      <c r="JG111">
        <f t="shared" si="312"/>
        <v>0</v>
      </c>
      <c r="JH111">
        <f t="shared" si="313"/>
        <v>0</v>
      </c>
      <c r="JI111">
        <f t="shared" si="314"/>
        <v>0</v>
      </c>
      <c r="JJ111" s="447">
        <f t="shared" si="315"/>
        <v>0</v>
      </c>
      <c r="JK111" s="447">
        <f t="shared" si="316"/>
        <v>0</v>
      </c>
      <c r="JL111">
        <f t="shared" si="317"/>
        <v>0</v>
      </c>
      <c r="JM111" s="245" t="str">
        <f>IFERROR(VLOOKUP(MATCH(BN111,#REF!,0),#REF!,7),"")</f>
        <v/>
      </c>
      <c r="JN111" t="e">
        <f>HLOOKUP(LEFT(BO111,7),Discharge_Area,MATCH(JO111,LookUps!$B$130:$B$149,1)+2)</f>
        <v>#N/A</v>
      </c>
      <c r="JO111" t="str">
        <f t="shared" si="318"/>
        <v>- S</v>
      </c>
      <c r="JP111" t="e">
        <f>HLOOKUP(LEFT(BO111,7),Discharge_Area,MATCH(JO111,LookUps!$B$130:$B$149,1)+2)</f>
        <v>#N/A</v>
      </c>
      <c r="JQ111" t="e">
        <f t="shared" si="319"/>
        <v>#N/A</v>
      </c>
      <c r="JR111" t="e">
        <f t="shared" si="320"/>
        <v>#N/A</v>
      </c>
      <c r="JS111" t="e">
        <f t="shared" si="321"/>
        <v>#N/A</v>
      </c>
      <c r="JT111" s="532" t="str">
        <f t="shared" si="322"/>
        <v xml:space="preserve"> </v>
      </c>
      <c r="JU111" s="532" t="str">
        <f t="shared" si="323"/>
        <v xml:space="preserve"> </v>
      </c>
      <c r="JV111" s="533" t="str">
        <f t="shared" si="324"/>
        <v xml:space="preserve"> </v>
      </c>
      <c r="JW111" s="534">
        <f t="shared" si="325"/>
        <v>0</v>
      </c>
      <c r="JX111" s="535" t="str">
        <f t="shared" si="409"/>
        <v xml:space="preserve"> </v>
      </c>
      <c r="JY111" s="535" t="str">
        <f t="shared" si="410"/>
        <v xml:space="preserve"> </v>
      </c>
      <c r="JZ111" s="535" t="str">
        <f t="shared" si="411"/>
        <v xml:space="preserve"> </v>
      </c>
      <c r="KA111" s="536" t="str">
        <f t="shared" si="326"/>
        <v xml:space="preserve"> </v>
      </c>
      <c r="KB111" s="535" t="e">
        <f t="shared" si="412"/>
        <v>#VALUE!</v>
      </c>
      <c r="KC111" s="535" t="str">
        <f t="shared" si="327"/>
        <v/>
      </c>
      <c r="KD111" s="537" t="str">
        <f t="shared" si="413"/>
        <v xml:space="preserve"> </v>
      </c>
      <c r="KE111" s="537" t="str">
        <f t="shared" si="414"/>
        <v xml:space="preserve"> </v>
      </c>
      <c r="KF111" s="534">
        <f t="shared" si="328"/>
        <v>0</v>
      </c>
      <c r="KG111" s="535" t="str">
        <f t="shared" si="329"/>
        <v xml:space="preserve"> </v>
      </c>
      <c r="KH111" s="535" t="str">
        <f t="shared" si="330"/>
        <v xml:space="preserve"> </v>
      </c>
      <c r="KI111" s="535" t="str">
        <f t="shared" si="331"/>
        <v xml:space="preserve"> </v>
      </c>
      <c r="KJ111" s="536" t="str">
        <f t="shared" si="332"/>
        <v xml:space="preserve"> </v>
      </c>
      <c r="KK111" s="535" t="str">
        <f t="shared" si="415"/>
        <v xml:space="preserve"> </v>
      </c>
      <c r="KL111" s="535" t="str">
        <f t="shared" si="416"/>
        <v xml:space="preserve"> </v>
      </c>
      <c r="KM111" s="537" t="str">
        <f t="shared" si="333"/>
        <v xml:space="preserve"> </v>
      </c>
      <c r="KN111" s="537" t="str">
        <f t="shared" si="417"/>
        <v xml:space="preserve"> </v>
      </c>
      <c r="KP111">
        <f t="shared" si="334"/>
        <v>0</v>
      </c>
      <c r="LA111" t="e">
        <f t="shared" si="335"/>
        <v>#VALUE!</v>
      </c>
      <c r="LB111" t="e">
        <f t="shared" si="336"/>
        <v>#VALUE!</v>
      </c>
      <c r="LC111" t="e">
        <f t="shared" si="337"/>
        <v>#VALUE!</v>
      </c>
      <c r="LD111" t="e">
        <f t="shared" si="338"/>
        <v>#VALUE!</v>
      </c>
      <c r="LE111" t="e">
        <f t="shared" si="418"/>
        <v>#VALUE!</v>
      </c>
      <c r="LF111">
        <f t="shared" si="339"/>
        <v>0</v>
      </c>
      <c r="LG111" t="e">
        <f t="shared" si="419"/>
        <v>#VALUE!</v>
      </c>
      <c r="LH111" t="str">
        <f t="shared" si="340"/>
        <v xml:space="preserve"> </v>
      </c>
      <c r="LI111">
        <f t="shared" si="420"/>
        <v>1</v>
      </c>
    </row>
    <row r="112" spans="2:321" ht="15" customHeight="1">
      <c r="B112" s="311"/>
      <c r="C112" s="311"/>
      <c r="D112" s="312"/>
      <c r="E112" s="311"/>
      <c r="F112" s="312"/>
      <c r="G112" s="311"/>
      <c r="H112" s="311"/>
      <c r="I112" s="37"/>
      <c r="J112" s="311"/>
      <c r="K112" s="305" t="str">
        <f t="shared" si="341"/>
        <v/>
      </c>
      <c r="L112" s="313"/>
      <c r="M112" s="312"/>
      <c r="N112" s="311"/>
      <c r="O112" s="312"/>
      <c r="P112" s="311"/>
      <c r="Q112" s="305" t="str">
        <f t="shared" si="342"/>
        <v/>
      </c>
      <c r="R112" s="314"/>
      <c r="S112" s="450" t="str">
        <f t="shared" si="225"/>
        <v/>
      </c>
      <c r="T112" s="315"/>
      <c r="U112" s="315"/>
      <c r="W112" s="149" t="str">
        <f t="shared" si="226"/>
        <v xml:space="preserve"> </v>
      </c>
      <c r="X112" s="243" t="str">
        <f t="shared" si="227"/>
        <v xml:space="preserve"> </v>
      </c>
      <c r="Y112" s="150" t="str">
        <f t="shared" si="228"/>
        <v/>
      </c>
      <c r="Z112" s="149" t="str">
        <f t="shared" si="229"/>
        <v xml:space="preserve"> </v>
      </c>
      <c r="AA112" s="98" t="str">
        <f t="shared" si="230"/>
        <v xml:space="preserve"> </v>
      </c>
      <c r="AB112" s="153" t="str">
        <f t="shared" si="231"/>
        <v xml:space="preserve"> </v>
      </c>
      <c r="AC112" s="153" t="str">
        <f t="shared" si="232"/>
        <v xml:space="preserve"> </v>
      </c>
      <c r="AD112" s="148" t="str">
        <f t="shared" si="233"/>
        <v/>
      </c>
      <c r="AE112" s="149" t="str">
        <f t="shared" si="234"/>
        <v/>
      </c>
      <c r="AF112" s="151" t="str">
        <f t="shared" si="235"/>
        <v xml:space="preserve"> </v>
      </c>
      <c r="AG112" s="153" t="str">
        <f t="shared" si="236"/>
        <v xml:space="preserve"> </v>
      </c>
      <c r="AH112" s="98" t="str">
        <f t="shared" si="237"/>
        <v xml:space="preserve"> </v>
      </c>
      <c r="AI112" s="149" t="str">
        <f t="shared" si="238"/>
        <v xml:space="preserve"> </v>
      </c>
      <c r="AK112" s="144" t="str">
        <f t="shared" si="239"/>
        <v xml:space="preserve"> </v>
      </c>
      <c r="AL112" s="144"/>
      <c r="AM112" s="243" t="str">
        <f t="shared" si="240"/>
        <v xml:space="preserve"> </v>
      </c>
      <c r="AN112" s="149" t="str">
        <f t="shared" si="343"/>
        <v xml:space="preserve"> </v>
      </c>
      <c r="AO112" s="144" t="str">
        <f>IF(JB112&gt;0,IF(GI112=10,-R112*1.085*(Calculation!$F$6-Calculation!$F$13)*$S$14," "),"")</f>
        <v/>
      </c>
      <c r="AP112" s="144" t="str">
        <f t="shared" si="241"/>
        <v/>
      </c>
      <c r="AQ112" s="56" t="str">
        <f t="shared" si="242"/>
        <v/>
      </c>
      <c r="AR112" s="144" t="str">
        <f t="shared" si="243"/>
        <v/>
      </c>
      <c r="AS112" s="176" t="str">
        <f t="shared" si="244"/>
        <v/>
      </c>
      <c r="AT112" s="176" t="str">
        <f t="shared" si="344"/>
        <v xml:space="preserve"> </v>
      </c>
      <c r="AU112" s="176" t="str">
        <f t="shared" si="245"/>
        <v/>
      </c>
      <c r="AV112" s="177" t="str">
        <f t="shared" si="246"/>
        <v xml:space="preserve"> </v>
      </c>
      <c r="AW112" s="144" t="str">
        <f t="shared" si="247"/>
        <v xml:space="preserve"> </v>
      </c>
      <c r="AX112" s="144" t="str">
        <f t="shared" si="248"/>
        <v xml:space="preserve"> </v>
      </c>
      <c r="AY112" s="152" t="str">
        <f t="shared" si="249"/>
        <v xml:space="preserve"> </v>
      </c>
      <c r="AZ112" s="246" t="str">
        <f t="shared" si="250"/>
        <v/>
      </c>
      <c r="BA112" s="176" t="str">
        <f t="shared" si="251"/>
        <v xml:space="preserve"> </v>
      </c>
      <c r="BB112" s="176" t="str">
        <f t="shared" si="252"/>
        <v xml:space="preserve"> </v>
      </c>
      <c r="BC112" s="195"/>
      <c r="BD112" s="316"/>
      <c r="BE112" s="317"/>
      <c r="BF112" s="318"/>
      <c r="BG112" s="318"/>
      <c r="BH112" s="144" t="str">
        <f t="shared" si="421"/>
        <v xml:space="preserve"> </v>
      </c>
      <c r="BI112" s="176" t="str">
        <f t="shared" si="253"/>
        <v/>
      </c>
      <c r="BJ112" s="144" t="str">
        <f t="shared" si="422"/>
        <v/>
      </c>
      <c r="BK112" s="246" t="str">
        <f t="shared" si="254"/>
        <v/>
      </c>
      <c r="BL112" s="144" t="str">
        <f t="shared" si="423"/>
        <v/>
      </c>
      <c r="BM112" s="246" t="str">
        <f t="shared" si="255"/>
        <v/>
      </c>
      <c r="BN112" s="337" t="str">
        <f t="shared" si="345"/>
        <v/>
      </c>
      <c r="BO112" s="371" t="str">
        <f t="shared" si="346"/>
        <v/>
      </c>
      <c r="BP112" s="328" t="str">
        <f t="shared" si="424"/>
        <v xml:space="preserve"> </v>
      </c>
      <c r="BQ112" s="347" t="str">
        <f t="shared" si="347"/>
        <v xml:space="preserve"> </v>
      </c>
      <c r="BR112" s="353" t="str">
        <f t="shared" si="348"/>
        <v xml:space="preserve"> </v>
      </c>
      <c r="BS112" s="626" t="str">
        <f>IF(L112&gt;0,IF(Calculation!P112="M13",BR112*3.1416*(0.134^2)/(4*144),IF(Calculation!P112="M17",BR112*3.1416*(0.165^2)/(4*144),IF(Calculation!P112="M20",BR112*3.1416*(0.198^2)/(4*144),IF(Calculation!P112="M23",BR112*3.1416*(0.228^2)/(4*144),IF(Calculation!P112="M27",BR112*3.1416*(0.269^2)/(4*144),BR112*3.1416*(0.307^2)/(4*144))))))," ")</f>
        <v xml:space="preserve"> </v>
      </c>
      <c r="BT112" s="353" t="str">
        <f>IF(L112&gt;0,IF(BS112&gt;0,R112/Calculation!BS112,0)," ")</f>
        <v xml:space="preserve"> </v>
      </c>
      <c r="BU112" s="438" t="e">
        <f t="shared" ca="1" si="256"/>
        <v>#VALUE!</v>
      </c>
      <c r="BV112" s="449" t="e">
        <f ca="1">INDEX(INDIRECT(VLOOKUP(LEFT(BO112,7),CLU!$Z$3:$AH$18,2)),GN112,GR112)</f>
        <v>#N/A</v>
      </c>
      <c r="BW112" s="433" t="e">
        <f ca="1">INDEX(INDIRECT(VLOOKUP(LEFT(BO112,7),CLU!$Z$3:$AH$18,3)),GN112,GR112)</f>
        <v>#N/A</v>
      </c>
      <c r="BX112" s="433" t="e">
        <f ca="1">INDEX(INDIRECT(VLOOKUP(LEFT(BO112,7),CLU!$Z$3:$AH$18,4)),GN112,GR112)</f>
        <v>#N/A</v>
      </c>
      <c r="BY112" s="433" t="e">
        <f ca="1">INDEX(INDIRECT(VLOOKUP(LEFT(BO112,7),CLU!$Z$3:$AH$18,9)),((M112-2)*(6-COUNTBLANK(GT112:GY112)))+GJ112)</f>
        <v>#N/A</v>
      </c>
      <c r="BZ112" s="426" t="e">
        <f t="shared" ca="1" si="349"/>
        <v>#N/A</v>
      </c>
      <c r="CA112" s="424" t="e">
        <f t="shared" ca="1" si="350"/>
        <v>#N/A</v>
      </c>
      <c r="CB112" s="429" t="e">
        <f ca="1">INDEX(INDIRECT(VLOOKUP(LEFT(BO112,7),CLU!$Z$3:$AH$18,2)),GN112,GS112)</f>
        <v>#N/A</v>
      </c>
      <c r="CC112" s="342" t="e">
        <f ca="1">INDEX(INDIRECT(VLOOKUP(LEFT(BO112,7),CLU!$Z$3:$AH$18,3)),GN112,GS112)</f>
        <v>#N/A</v>
      </c>
      <c r="CD112" s="342" t="e">
        <f ca="1">INDEX(INDIRECT(VLOOKUP(LEFT(BO112,7),CLU!$Z$3:$AH$18,4)),GN112,GS112)</f>
        <v>#N/A</v>
      </c>
      <c r="CE112" s="426" t="e">
        <f t="shared" ca="1" si="351"/>
        <v>#N/A</v>
      </c>
      <c r="CF112" s="440">
        <f t="shared" si="352"/>
        <v>0</v>
      </c>
      <c r="CG112" s="431" t="e">
        <f ca="1">INDEX(INDIRECT(VLOOKUP(LEFT(BO112,7),CLU!$Z$3:$AH$18,2)),GQ112,GR112)</f>
        <v>#N/A</v>
      </c>
      <c r="CH112" s="431" t="e">
        <f ca="1">INDEX(INDIRECT(VLOOKUP(LEFT(BO112,7),CLU!$Z$3:$AH$18,3)),GQ112,GR112)</f>
        <v>#N/A</v>
      </c>
      <c r="CI112" s="431" t="e">
        <f ca="1">INDEX(INDIRECT(VLOOKUP(LEFT(BO112,7),CLU!$Z$3:$AH$18,4)),GQ112,GR112)</f>
        <v>#N/A</v>
      </c>
      <c r="CJ112" s="448" t="e">
        <f t="shared" ca="1" si="353"/>
        <v>#N/A</v>
      </c>
      <c r="CK112" s="431" t="e">
        <f t="shared" ca="1" si="354"/>
        <v>#N/A</v>
      </c>
      <c r="CL112" s="440" t="e">
        <f t="shared" ca="1" si="355"/>
        <v>#N/A</v>
      </c>
      <c r="CM112" s="431" t="e">
        <f ca="1">INDEX(INDIRECT(VLOOKUP(LEFT(BO112,7),CLU!$Z$3:$AH$18,2)),GQ112,GS112)</f>
        <v>#N/A</v>
      </c>
      <c r="CN112" s="431" t="e">
        <f ca="1">INDEX(INDIRECT(VLOOKUP(LEFT(BO112,7),CLU!$Z$3:$AH$18,3)),GQ112,GS112)</f>
        <v>#N/A</v>
      </c>
      <c r="CO112" s="431" t="e">
        <f ca="1">INDEX(INDIRECT(VLOOKUP(LEFT(BO112,7),CLU!$Z$3:$AH$18,4)),GQ112,GS112)</f>
        <v>#N/A</v>
      </c>
      <c r="CP112" s="431" t="e">
        <f t="shared" ca="1" si="356"/>
        <v>#N/A</v>
      </c>
      <c r="CQ112" s="440">
        <f t="shared" si="357"/>
        <v>0</v>
      </c>
      <c r="CR112" s="51" t="e">
        <f t="shared" ca="1" si="358"/>
        <v>#N/A</v>
      </c>
      <c r="CS112" s="439" t="e">
        <f t="shared" ca="1" si="359"/>
        <v>#VALUE!</v>
      </c>
      <c r="CT112" s="51" t="e">
        <f t="shared" ca="1" si="360"/>
        <v>#VALUE!</v>
      </c>
      <c r="CU112" s="10"/>
      <c r="CV112" s="51" t="e">
        <f t="shared" ca="1" si="257"/>
        <v>#VALUE!</v>
      </c>
      <c r="CW112" s="51">
        <f t="shared" si="361"/>
        <v>0</v>
      </c>
      <c r="CX112" s="439" t="e">
        <f t="shared" ca="1" si="362"/>
        <v>#VALUE!</v>
      </c>
      <c r="CY112" s="51" t="e">
        <f t="shared" ca="1" si="363"/>
        <v>#VALUE!</v>
      </c>
      <c r="CZ112" s="10"/>
      <c r="DA112" s="51" t="e">
        <f t="shared" ca="1" si="364"/>
        <v>#VALUE!</v>
      </c>
      <c r="DB112" s="347" t="e">
        <f ca="1">INDEX(INDIRECT(VLOOKUP(LEFT(BO112,7),CLU!$Z$3:$AI$18,10)),((M112-2)*(6-COUNTBLANK(GT112:GY112)))+GJ112)*LI112</f>
        <v>#N/A</v>
      </c>
      <c r="DC112" s="347" t="str">
        <f>IF(L112&gt;0,((R112/Worksheet!$I$15)/DB112)^2," ")</f>
        <v xml:space="preserve"> </v>
      </c>
      <c r="DD112" s="602" t="str">
        <f t="shared" si="365"/>
        <v xml:space="preserve"> </v>
      </c>
      <c r="DE112" s="347" t="str">
        <f t="shared" si="258"/>
        <v xml:space="preserve"> </v>
      </c>
      <c r="DF112" s="356" t="e">
        <f ca="1">INDEX(INDIRECT(VLOOKUP(LEFT(BO112,7),CLU!$Z$3:$AH$18,8)),((M112-2)*(6-COUNTBLANK(GT112:GY112)))+GJ112)</f>
        <v>#N/A</v>
      </c>
      <c r="DG112" s="347" t="str">
        <f t="shared" si="259"/>
        <v xml:space="preserve"> </v>
      </c>
      <c r="DH112" s="357" t="str">
        <f t="shared" si="260"/>
        <v xml:space="preserve"> </v>
      </c>
      <c r="DI112" s="355" t="str">
        <f t="shared" si="261"/>
        <v xml:space="preserve"> </v>
      </c>
      <c r="DJ112" s="245" t="e">
        <f ca="1">INDEX(INDIRECT(VLOOKUP(LEFT(BO112,7),CLU!$Z$3:$AH$18,5)),GL112,GK112)</f>
        <v>#N/A</v>
      </c>
      <c r="DK112" s="245" t="e">
        <f ca="1">INDEX(INDIRECT(VLOOKUP(LEFT(BO112,7),CLU!$Z$3:$AH$18,6)),GL112,GK112)</f>
        <v>#N/A</v>
      </c>
      <c r="DL112" s="355">
        <f>(Calculation!R112*0.69143*(Calculation!$BQ$8-Calculation!$F$8))*$S$14</f>
        <v>0</v>
      </c>
      <c r="DM112" s="359" t="e">
        <f t="shared" si="366"/>
        <v>#VALUE!</v>
      </c>
      <c r="DN112" s="611">
        <f t="shared" si="367"/>
        <v>0</v>
      </c>
      <c r="DO112" s="359">
        <f t="shared" si="368"/>
        <v>100</v>
      </c>
      <c r="DP112" s="359">
        <f t="shared" si="369"/>
        <v>0</v>
      </c>
      <c r="DQ112" s="360"/>
      <c r="DR112" s="245" t="e">
        <f ca="1">INDEX(INDIRECT(VLOOKUP(LEFT(BO112,7),CLU!$Z$3:$AH$18,7)),M112-1,1)</f>
        <v>#N/A</v>
      </c>
      <c r="DS112" s="245" t="e">
        <f ca="1">INDEX(INDIRECT(VLOOKUP(LEFT(BO112,7),CLU!$Z$3:$AH$18,7)),M112-1,2)</f>
        <v>#N/A</v>
      </c>
      <c r="DT112" s="245" t="e">
        <f ca="1">INDEX(INDIRECT(VLOOKUP(LEFT(BO112,7),CLU!$Z$3:$AH$18,7)),M112-1,3)</f>
        <v>#N/A</v>
      </c>
      <c r="DU112" s="245" t="e">
        <f ca="1">INDEX(INDIRECT(VLOOKUP(LEFT(BO112,7),CLU!$Z$3:$AH$18,7)),M112-1,4)</f>
        <v>#N/A</v>
      </c>
      <c r="DV112" s="361" t="e">
        <f ca="1">INDEX(INDIRECT(VLOOKUP(LEFT(BO112,7),CLU!$Z$3:$AH$18,7)),M112-1,4+LEFT(DZ112,1)*0.5)</f>
        <v>#N/A</v>
      </c>
      <c r="DW112" s="245" t="e">
        <f ca="1">INDEX(INDIRECT(VLOOKUP(LEFT(BO112,7),CLU!$Z$3:$AH$18,7)),M112-1,8)</f>
        <v>#N/A</v>
      </c>
      <c r="DX112" s="361" t="str">
        <f t="shared" si="262"/>
        <v xml:space="preserve"> </v>
      </c>
      <c r="DY112" s="361" t="str">
        <f t="shared" si="263"/>
        <v xml:space="preserve"> </v>
      </c>
      <c r="DZ112" s="361" t="str">
        <f t="shared" si="264"/>
        <v xml:space="preserve"> </v>
      </c>
      <c r="EA112" s="362" t="str">
        <f t="shared" si="265"/>
        <v xml:space="preserve"> </v>
      </c>
      <c r="EB112" s="624" t="str">
        <f t="shared" si="370"/>
        <v xml:space="preserve"> </v>
      </c>
      <c r="EC112" s="361" t="e">
        <f ca="1">INDEX(INDIRECT(VLOOKUP(LEFT(BO112,7),CLU!$Z$3:$AH$18,7)),M112-1,4+LEFT(DZ112,1)*0.5)</f>
        <v>#N/A</v>
      </c>
      <c r="ED112" s="362" t="str">
        <f t="shared" si="266"/>
        <v xml:space="preserve"> </v>
      </c>
      <c r="EE112" s="361" t="str">
        <f t="shared" si="267"/>
        <v xml:space="preserve"> </v>
      </c>
      <c r="EF112" s="362" t="str">
        <f>IF(L112&gt;0,IF(BR112&gt;0,IF(EE112="2P",IF(Calculation!DZ112="2P",IF(Calculation!DS112=13.75,IF(Calculation!DR112=13,Worksheet!$BD$43,IF(Calculation!DR112=37,Worksheet!$BD$44,Worksheet!$BD$45)),IF(Calculation!DS112=10,IF(Calculation!DR112=18,Worksheet!$BD$29,IF(Calculation!DR112=30,Worksheet!$BD$30,IF(Calculation!DR112=42,Worksheet!$BD$31,IF(Calculation!DR112=54,Worksheet!$BD$32,IF(Calculation!DR112=66,Worksheet!$BD$33,IF(Calculation!DR112=78,Worksheet!$BD$34,IF(Calculation!DR112=90,Worksheet!$BD$35,IF(Calculation!DR112=102,Worksheet!$BD$36,Worksheet!$BD$37)))))))),IF(Calculation!DS112=12.5,IF(Calculation!DR112=18,Worksheet!$BD$38,IF(Calculation!DR112=Worksheet!$BD$39,IF(Calculation!DR112=42,Worksheet!$BD$40,IF(Calculation!DR112=54,Worksheet!$BD$41,Worksheet!$BD$42)))),IF(Calculation!DR112=18,Worksheet!$BD$11,IF(Calculation!DR112=30,Worksheet!$BD$12,IF(Calculation!DR112=42,Worksheet!$BD$13,IF(Calculation!DR112=54,Worksheet!$BD$14,IF(Calculation!DR112=66,Worksheet!$BD$15,IF(Calculation!DR112=78,Worksheet!$BD$16,IF(Calculation!DR112=90,Worksheet!$BD$17,IF(Calculation!DR112=102,Worksheet!$BD$18,Worksheet!$BD$19))))))))))),IF(Calculation!DS112=13.75,IF(Calculation!DR112=13,Worksheet!$BD$78,IF(Calculation!DR112=37,Worksheet!$BD$79,Worksheet!$BD$80)),IF(Calculation!DS112=10,IF(Calculation!DR112=18,Worksheet!$BD$64,IF(Calculation!DR112=30,Worksheet!$BD$65,IF(Calculation!DR112=42,Worksheet!$BD$66,IF(Calculation!DR112=54,Worksheet!$BD$68,IF(Calculation!DR112=66,Worksheet!$BD$68,IF(Calculation!DR112=78,Worksheet!$BD$69,IF(Calculation!DR112=90,Worksheet!$BD$70,IF(Calculation!DR112=102,Worksheet!$BD$71,Worksheet!$BD$72)))))))),IF(Calculation!DS112=12.5,IF(Calculation!DR112=18,Worksheet!$BD$73,IF(Calculation!DR112=Worksheet!$BD$74,IF(Calculation!DR112=42,Worksheet!$BD$75,IF(Calculation!DR112=54,Worksheet!$BD$76,Worksheet!$BD$77)))),IF(Calculation!DR112=18,Worksheet!$BD$55,IF(Calculation!DR112=30,Worksheet!$BD$56,IF(Calculation!DR112=42,Worksheet!$BD$57,IF(Calculation!DR112=54,Worksheet!$BD$58,IF(Calculation!DR112=66,Worksheet!$BD$59,IF(Calculation!DR112=78,Worksheet!$BD$60,IF(Calculation!DR112=90,Worksheet!$BD$61,IF(Calculation!DR112=102,Worksheet!$BD$62,Worksheet!$BD$63)))))))))))),5),0)," ")</f>
        <v xml:space="preserve"> </v>
      </c>
      <c r="EG112" s="361" t="str">
        <f t="shared" si="268"/>
        <v xml:space="preserve"> </v>
      </c>
      <c r="EH112" s="361" t="e">
        <f ca="1">INDEX(INDIRECT(VLOOKUP(LEFT(BO112,7),CLU!$Z$3:$AH$18,7)),M112-1,3+LEFT(DZ112,1))</f>
        <v>#N/A</v>
      </c>
      <c r="EI112" s="362" t="str">
        <f t="shared" si="269"/>
        <v xml:space="preserve"> </v>
      </c>
      <c r="EJ112" s="363" t="str">
        <f t="shared" si="270"/>
        <v xml:space="preserve"> </v>
      </c>
      <c r="EK112" s="363" t="str">
        <f t="shared" si="271"/>
        <v xml:space="preserve"> </v>
      </c>
      <c r="EL112" s="363" t="str">
        <f t="shared" si="272"/>
        <v xml:space="preserve"> </v>
      </c>
      <c r="EM112" s="362" t="str">
        <f>IF(L112&gt;0,IF(BR112&gt;0,(Calculation!T112/ED112)^2,0)," ")</f>
        <v xml:space="preserve"> </v>
      </c>
      <c r="EN112" s="362" t="str">
        <f>IF(L112&gt;0,IF(O112="2 Pipe (Cooling)","N/A",IF(BR112&gt;0,(Calculation!U112/EI112)^2,0))," ")</f>
        <v xml:space="preserve"> </v>
      </c>
      <c r="EO112" s="361" t="str">
        <f t="shared" si="273"/>
        <v/>
      </c>
      <c r="EP112" s="361" t="str">
        <f t="shared" si="274"/>
        <v/>
      </c>
      <c r="EQ112" s="361" t="str">
        <f t="shared" si="275"/>
        <v/>
      </c>
      <c r="ER112" s="361" t="str">
        <f t="shared" si="276"/>
        <v/>
      </c>
      <c r="ES112" s="361" t="str">
        <f t="shared" si="277"/>
        <v/>
      </c>
      <c r="ET112" s="361" t="str">
        <f t="shared" si="278"/>
        <v/>
      </c>
      <c r="EU112" s="361" t="str">
        <f t="shared" si="279"/>
        <v/>
      </c>
      <c r="EV112" s="361" t="str">
        <f t="shared" si="280"/>
        <v/>
      </c>
      <c r="EW112" s="361" t="str">
        <f t="shared" si="281"/>
        <v/>
      </c>
      <c r="EX112" s="361" t="str">
        <f t="shared" si="371"/>
        <v>1 slot, 1 way</v>
      </c>
      <c r="EY112" s="361" t="str">
        <f t="shared" si="372"/>
        <v xml:space="preserve"> </v>
      </c>
      <c r="EZ112" s="361" t="str">
        <f t="shared" si="373"/>
        <v xml:space="preserve"> </v>
      </c>
      <c r="FA112" s="361" t="str">
        <f t="shared" si="374"/>
        <v xml:space="preserve"> </v>
      </c>
      <c r="FB112" s="361" t="str">
        <f t="shared" si="375"/>
        <v xml:space="preserve"> </v>
      </c>
      <c r="FC112" s="361"/>
      <c r="FD112" s="361" t="str">
        <f>IF(J112&gt;0,IF(Calculation!R112&lt;=70,4,IF(Calculation!R112&lt;=110,5,IF(Calculation!R112&lt;=160,6,IF(Calculation!R112&lt;=300,8,"10 EO")))),"")</f>
        <v/>
      </c>
      <c r="FE112" s="361" t="str">
        <f t="shared" si="376"/>
        <v/>
      </c>
      <c r="FF112" s="361" t="str">
        <f t="shared" si="377"/>
        <v/>
      </c>
      <c r="FG112" s="361" t="e">
        <f t="shared" si="282"/>
        <v>#N/A</v>
      </c>
      <c r="FH112" s="361">
        <f t="shared" si="283"/>
        <v>0</v>
      </c>
      <c r="FI112" s="361" t="e">
        <f t="shared" si="284"/>
        <v>#DIV/0!</v>
      </c>
      <c r="FJ112" s="361"/>
      <c r="FK112" s="356" t="e">
        <f t="shared" si="285"/>
        <v>#VALUE!</v>
      </c>
      <c r="FL112" s="361"/>
      <c r="FM112" s="361"/>
      <c r="FN112" s="362" t="str">
        <f t="shared" si="378"/>
        <v xml:space="preserve"> </v>
      </c>
      <c r="FO112" s="362" t="str">
        <f t="shared" si="379"/>
        <v xml:space="preserve"> </v>
      </c>
      <c r="FP112" s="362">
        <f t="shared" si="380"/>
        <v>0</v>
      </c>
      <c r="FQ112" s="361">
        <f t="shared" si="286"/>
        <v>0</v>
      </c>
      <c r="FR112" s="362" t="str">
        <f>IF(L112&gt;0,IF(J112="CBAL2",Worksheet!$P$67,IF(J112="CBE2-24",Worksheet!$Q$67,IF(J112="CBAM",Worksheet!$R$67,IF(J112="CBLV",Worksheet!$S$67,IF(J112="CBAB",Worksheet!$U$67,IF(J112="CBAW",Worksheet!$X$67,IF(J112="CBE2-12",Worksheet!$Y$67,IF(J112="CBAL2",Worksheet!$Z$67,"N/A"))))))))," ")</f>
        <v xml:space="preserve"> </v>
      </c>
      <c r="FS112" s="362" t="str">
        <f>IF(L112&gt;0,IF(J112="CBAL2",Worksheet!$P$68,IF(J112="CBE2-24",Worksheet!$Q$68,IF(J112="CBAM",Worksheet!$R$68,IF(J112="CBLV",Worksheet!$S$68,IF(J112="CBAB",Worksheet!$U$68,IF(J112="CBAW",Worksheet!$X$68,IF(J112="CBE2-12",Worksheet!$Y$68,IF(J112="CBAL2",Worksheet!$Z$68,"N/A"))))))))," ")</f>
        <v xml:space="preserve"> </v>
      </c>
      <c r="FT112" s="362" t="str">
        <f>IF(L112&gt;0,IF(J112="CBAL2",Worksheet!$P$69,IF(J112="CBE2-24",Worksheet!$Q$69,IF(J112="CBAM",Worksheet!$R$69,IF(J112="CBLV",Worksheet!$S$69,IF(J112="CBAB",Worksheet!$U$69,IF(J112="CBAW",Worksheet!$X$69,IF(J112="CBE2-12",Worksheet!$Y$69,IF(J112="CBAL2",Worksheet!$Z$69,"N/A"))))))))," ")</f>
        <v xml:space="preserve"> </v>
      </c>
      <c r="FU112" s="361" t="str">
        <f t="shared" si="381"/>
        <v xml:space="preserve"> </v>
      </c>
      <c r="FV112" s="362" t="str">
        <f t="shared" si="382"/>
        <v xml:space="preserve"> </v>
      </c>
      <c r="FW112" s="362" t="str">
        <f t="shared" si="383"/>
        <v xml:space="preserve"> </v>
      </c>
      <c r="FX112" s="362" t="str">
        <f t="shared" si="384"/>
        <v xml:space="preserve"> </v>
      </c>
      <c r="FY112" s="355" t="str">
        <f t="shared" si="385"/>
        <v xml:space="preserve"> </v>
      </c>
      <c r="FZ112" s="361" t="str">
        <f t="shared" si="386"/>
        <v xml:space="preserve"> </v>
      </c>
      <c r="GA112" s="347" t="str">
        <f t="shared" si="387"/>
        <v xml:space="preserve"> </v>
      </c>
      <c r="GB112" s="355" t="str">
        <f t="shared" si="388"/>
        <v xml:space="preserve"> </v>
      </c>
      <c r="GC112" s="328" t="str">
        <f t="shared" si="389"/>
        <v xml:space="preserve"> </v>
      </c>
      <c r="GD112" s="361" t="str">
        <f t="shared" si="390"/>
        <v xml:space="preserve"> </v>
      </c>
      <c r="GE112" s="347" t="str">
        <f t="shared" si="391"/>
        <v xml:space="preserve"> </v>
      </c>
      <c r="GF112" s="361" t="str">
        <f t="shared" si="392"/>
        <v xml:space="preserve"> </v>
      </c>
      <c r="GG112" s="347" t="str">
        <f t="shared" si="393"/>
        <v xml:space="preserve"> </v>
      </c>
      <c r="GH112" s="364">
        <f t="shared" si="287"/>
        <v>0</v>
      </c>
      <c r="GI112" s="362">
        <f t="shared" si="394"/>
        <v>2</v>
      </c>
      <c r="GJ112" s="433" t="e">
        <f>IF(6-COUNTBLANK(GT112:GY112)=4,MATCH(MID(BO112,9,3),CLU!$H$16:$K$16),MATCH(MID(BO112,9,3),CLU!$H$13:$M$13))</f>
        <v>#N/A</v>
      </c>
      <c r="GK112" s="433" t="e">
        <f>HLOOKUP(VALUE(BP112),CLU!$H$9:$M$10,2)</f>
        <v>#VALUE!</v>
      </c>
      <c r="GL112" s="433" t="e">
        <f ca="1">MATCH(BU112,CLU!$H$2:$V$2,1)</f>
        <v>#VALUE!</v>
      </c>
      <c r="GM112" s="433" t="e">
        <f t="shared" ca="1" si="395"/>
        <v>#VALUE!</v>
      </c>
      <c r="GN112" s="433" t="e">
        <f t="shared" ca="1" si="396"/>
        <v>#VALUE!</v>
      </c>
      <c r="GO112" s="433" t="e">
        <f t="shared" ca="1" si="397"/>
        <v>#VALUE!</v>
      </c>
      <c r="GP112" s="433" t="e">
        <f t="shared" ca="1" si="398"/>
        <v>#VALUE!</v>
      </c>
      <c r="GQ112" s="433" t="e">
        <f t="shared" ca="1" si="399"/>
        <v>#VALUE!</v>
      </c>
      <c r="GR112" s="433" t="e">
        <f ca="1">MATCH(T112,INDIRECT(VLOOKUP(CONCATENATE(LEFT(BO112,7),"-",MID(BO112,13,1)),CLU!$P$3:$Q$16,2)),1)</f>
        <v>#N/A</v>
      </c>
      <c r="GS112" s="433" t="e">
        <f ca="1">MATCH(U112,INDIRECT(VLOOKUP(CONCATENATE(LEFT(BO112,7),"-",MID(BO112,13,1)),CLU!$P$3:$Q$16,2)),1)</f>
        <v>#N/A</v>
      </c>
      <c r="GT112" s="347" t="s">
        <v>512</v>
      </c>
      <c r="GU112" s="97" t="s">
        <v>513</v>
      </c>
      <c r="GV112" s="97" t="str">
        <f t="shared" si="400"/>
        <v>M23</v>
      </c>
      <c r="GW112" s="97" t="str">
        <f t="shared" si="401"/>
        <v>M31</v>
      </c>
      <c r="GX112" s="97" t="str">
        <f t="shared" si="402"/>
        <v/>
      </c>
      <c r="GY112" s="97" t="str">
        <f t="shared" si="403"/>
        <v/>
      </c>
      <c r="GZ112" s="481"/>
      <c r="HA112" s="288"/>
      <c r="HB112" s="240"/>
      <c r="HC112" s="240"/>
      <c r="HD112" s="240"/>
      <c r="HE112" s="240"/>
      <c r="HF112" s="240"/>
      <c r="HG112" s="240"/>
      <c r="HH112" s="240"/>
      <c r="HI112" s="240"/>
      <c r="HJ112" s="240"/>
      <c r="HK112" s="240"/>
      <c r="HL112" s="240"/>
      <c r="HM112" s="240"/>
      <c r="HN112" s="240"/>
      <c r="HO112" s="240"/>
      <c r="HP112" s="240"/>
      <c r="HQ112" s="240"/>
      <c r="HR112" s="240"/>
      <c r="HS112" s="240"/>
      <c r="HT112" s="240"/>
      <c r="HU112" s="240"/>
      <c r="HV112" s="245"/>
      <c r="HW112" s="245" t="b">
        <v>1</v>
      </c>
      <c r="HX112" s="245" t="str">
        <f t="shared" si="288"/>
        <v/>
      </c>
      <c r="HY112" s="245" t="e">
        <f t="shared" si="289"/>
        <v>#DIV/0!</v>
      </c>
      <c r="HZ112" s="245" t="e">
        <f t="shared" si="290"/>
        <v>#DIV/0!</v>
      </c>
      <c r="IA112" s="245">
        <f t="shared" si="291"/>
        <v>0</v>
      </c>
      <c r="IB112" s="245"/>
      <c r="IC112" t="b">
        <f t="shared" si="292"/>
        <v>1</v>
      </c>
      <c r="ID112" s="245" t="b">
        <f t="shared" si="293"/>
        <v>1</v>
      </c>
      <c r="IE112" s="245" t="b">
        <f t="shared" si="294"/>
        <v>1</v>
      </c>
      <c r="IF112" s="245" t="b">
        <f t="shared" si="295"/>
        <v>0</v>
      </c>
      <c r="IG112" s="245" t="b">
        <f t="shared" si="296"/>
        <v>1</v>
      </c>
      <c r="IH112" s="245" t="b">
        <f t="shared" si="297"/>
        <v>1</v>
      </c>
      <c r="II112" s="245">
        <f t="shared" si="404"/>
        <v>0</v>
      </c>
      <c r="IJ112" s="245" t="e">
        <f t="shared" si="298"/>
        <v>#VALUE!</v>
      </c>
      <c r="IK112" s="245" t="e">
        <f t="shared" si="299"/>
        <v>#VALUE!</v>
      </c>
      <c r="IL112" s="245"/>
      <c r="IM112" s="245" t="e">
        <f t="shared" si="405"/>
        <v>#N/A</v>
      </c>
      <c r="IN112" s="245" t="e">
        <f t="shared" si="406"/>
        <v>#N/A</v>
      </c>
      <c r="IO112" s="245"/>
      <c r="IP112" s="245"/>
      <c r="IQ112" s="245" t="str">
        <f t="shared" si="300"/>
        <v/>
      </c>
      <c r="IR112" s="245" t="str">
        <f>IF(J112="","",VLOOKUP(J112,Worksheet!$R$4:$T$14,2))</f>
        <v/>
      </c>
      <c r="IS112" s="245"/>
      <c r="IT112" s="245">
        <f t="shared" si="301"/>
        <v>0</v>
      </c>
      <c r="IU112" s="245">
        <f t="shared" si="302"/>
        <v>0</v>
      </c>
      <c r="IV112" s="245">
        <f t="shared" si="303"/>
        <v>0</v>
      </c>
      <c r="IW112" s="245">
        <f t="shared" si="304"/>
        <v>0</v>
      </c>
      <c r="IX112" s="245">
        <f t="shared" si="407"/>
        <v>0</v>
      </c>
      <c r="IY112" s="245">
        <f t="shared" si="305"/>
        <v>0</v>
      </c>
      <c r="IZ112" s="245">
        <f t="shared" si="306"/>
        <v>0</v>
      </c>
      <c r="JA112">
        <f t="shared" si="307"/>
        <v>0</v>
      </c>
      <c r="JB112">
        <f t="shared" si="408"/>
        <v>0</v>
      </c>
      <c r="JC112">
        <f t="shared" si="308"/>
        <v>0</v>
      </c>
      <c r="JD112">
        <f t="shared" si="309"/>
        <v>0</v>
      </c>
      <c r="JE112">
        <f t="shared" si="310"/>
        <v>0</v>
      </c>
      <c r="JF112">
        <f t="shared" si="311"/>
        <v>0</v>
      </c>
      <c r="JG112">
        <f t="shared" si="312"/>
        <v>0</v>
      </c>
      <c r="JH112">
        <f t="shared" si="313"/>
        <v>0</v>
      </c>
      <c r="JI112">
        <f t="shared" si="314"/>
        <v>0</v>
      </c>
      <c r="JJ112" s="447">
        <f t="shared" si="315"/>
        <v>0</v>
      </c>
      <c r="JK112" s="447">
        <f t="shared" si="316"/>
        <v>0</v>
      </c>
      <c r="JL112">
        <f t="shared" si="317"/>
        <v>0</v>
      </c>
      <c r="JM112" s="245" t="str">
        <f>IFERROR(VLOOKUP(MATCH(BN112,#REF!,0),#REF!,7),"")</f>
        <v/>
      </c>
      <c r="JN112" t="e">
        <f>HLOOKUP(LEFT(BO112,7),Discharge_Area,MATCH(JO112,LookUps!$B$130:$B$149,1)+2)</f>
        <v>#N/A</v>
      </c>
      <c r="JO112" t="str">
        <f t="shared" si="318"/>
        <v>- S</v>
      </c>
      <c r="JP112" t="e">
        <f>HLOOKUP(LEFT(BO112,7),Discharge_Area,MATCH(JO112,LookUps!$B$130:$B$149,1)+2)</f>
        <v>#N/A</v>
      </c>
      <c r="JQ112" t="e">
        <f t="shared" si="319"/>
        <v>#N/A</v>
      </c>
      <c r="JR112" t="e">
        <f t="shared" si="320"/>
        <v>#N/A</v>
      </c>
      <c r="JS112" t="e">
        <f t="shared" si="321"/>
        <v>#N/A</v>
      </c>
      <c r="JT112" s="532" t="str">
        <f t="shared" si="322"/>
        <v xml:space="preserve"> </v>
      </c>
      <c r="JU112" s="532" t="str">
        <f t="shared" si="323"/>
        <v xml:space="preserve"> </v>
      </c>
      <c r="JV112" s="533" t="str">
        <f t="shared" si="324"/>
        <v xml:space="preserve"> </v>
      </c>
      <c r="JW112" s="534">
        <f t="shared" si="325"/>
        <v>0</v>
      </c>
      <c r="JX112" s="535" t="str">
        <f t="shared" si="409"/>
        <v xml:space="preserve"> </v>
      </c>
      <c r="JY112" s="535" t="str">
        <f t="shared" si="410"/>
        <v xml:space="preserve"> </v>
      </c>
      <c r="JZ112" s="535" t="str">
        <f t="shared" si="411"/>
        <v xml:space="preserve"> </v>
      </c>
      <c r="KA112" s="536" t="str">
        <f t="shared" si="326"/>
        <v xml:space="preserve"> </v>
      </c>
      <c r="KB112" s="535" t="e">
        <f t="shared" si="412"/>
        <v>#VALUE!</v>
      </c>
      <c r="KC112" s="535" t="str">
        <f t="shared" si="327"/>
        <v/>
      </c>
      <c r="KD112" s="537" t="str">
        <f t="shared" si="413"/>
        <v xml:space="preserve"> </v>
      </c>
      <c r="KE112" s="537" t="str">
        <f t="shared" si="414"/>
        <v xml:space="preserve"> </v>
      </c>
      <c r="KF112" s="534">
        <f t="shared" si="328"/>
        <v>0</v>
      </c>
      <c r="KG112" s="535" t="str">
        <f t="shared" si="329"/>
        <v xml:space="preserve"> </v>
      </c>
      <c r="KH112" s="535" t="str">
        <f t="shared" si="330"/>
        <v xml:space="preserve"> </v>
      </c>
      <c r="KI112" s="535" t="str">
        <f t="shared" si="331"/>
        <v xml:space="preserve"> </v>
      </c>
      <c r="KJ112" s="536" t="str">
        <f t="shared" si="332"/>
        <v xml:space="preserve"> </v>
      </c>
      <c r="KK112" s="535" t="str">
        <f t="shared" si="415"/>
        <v xml:space="preserve"> </v>
      </c>
      <c r="KL112" s="535" t="str">
        <f t="shared" si="416"/>
        <v xml:space="preserve"> </v>
      </c>
      <c r="KM112" s="537" t="str">
        <f t="shared" si="333"/>
        <v xml:space="preserve"> </v>
      </c>
      <c r="KN112" s="537" t="str">
        <f t="shared" si="417"/>
        <v xml:space="preserve"> </v>
      </c>
      <c r="KP112">
        <f t="shared" si="334"/>
        <v>0</v>
      </c>
      <c r="LA112" t="e">
        <f t="shared" si="335"/>
        <v>#VALUE!</v>
      </c>
      <c r="LB112" t="e">
        <f t="shared" si="336"/>
        <v>#VALUE!</v>
      </c>
      <c r="LC112" t="e">
        <f t="shared" si="337"/>
        <v>#VALUE!</v>
      </c>
      <c r="LD112" t="e">
        <f t="shared" si="338"/>
        <v>#VALUE!</v>
      </c>
      <c r="LE112" t="e">
        <f t="shared" si="418"/>
        <v>#VALUE!</v>
      </c>
      <c r="LF112">
        <f t="shared" si="339"/>
        <v>0</v>
      </c>
      <c r="LG112" t="e">
        <f t="shared" si="419"/>
        <v>#VALUE!</v>
      </c>
      <c r="LH112" t="str">
        <f t="shared" si="340"/>
        <v xml:space="preserve"> </v>
      </c>
      <c r="LI112">
        <f t="shared" si="420"/>
        <v>1</v>
      </c>
    </row>
    <row r="113" spans="2:321" ht="15" customHeight="1">
      <c r="B113" s="311"/>
      <c r="C113" s="311"/>
      <c r="D113" s="312"/>
      <c r="E113" s="311"/>
      <c r="F113" s="312"/>
      <c r="G113" s="311"/>
      <c r="H113" s="311"/>
      <c r="I113" s="37"/>
      <c r="J113" s="311"/>
      <c r="K113" s="305" t="str">
        <f t="shared" si="341"/>
        <v/>
      </c>
      <c r="L113" s="313"/>
      <c r="M113" s="312"/>
      <c r="N113" s="311"/>
      <c r="O113" s="312"/>
      <c r="P113" s="311"/>
      <c r="Q113" s="305" t="str">
        <f t="shared" si="342"/>
        <v/>
      </c>
      <c r="R113" s="314"/>
      <c r="S113" s="450" t="str">
        <f t="shared" si="225"/>
        <v/>
      </c>
      <c r="T113" s="315"/>
      <c r="U113" s="315"/>
      <c r="W113" s="149" t="str">
        <f t="shared" si="226"/>
        <v xml:space="preserve"> </v>
      </c>
      <c r="X113" s="243" t="str">
        <f t="shared" si="227"/>
        <v xml:space="preserve"> </v>
      </c>
      <c r="Y113" s="150" t="str">
        <f t="shared" si="228"/>
        <v/>
      </c>
      <c r="Z113" s="149" t="str">
        <f t="shared" si="229"/>
        <v xml:space="preserve"> </v>
      </c>
      <c r="AA113" s="98" t="str">
        <f t="shared" si="230"/>
        <v xml:space="preserve"> </v>
      </c>
      <c r="AB113" s="153" t="str">
        <f t="shared" si="231"/>
        <v xml:space="preserve"> </v>
      </c>
      <c r="AC113" s="153" t="str">
        <f t="shared" si="232"/>
        <v xml:space="preserve"> </v>
      </c>
      <c r="AD113" s="148" t="str">
        <f t="shared" si="233"/>
        <v/>
      </c>
      <c r="AE113" s="149" t="str">
        <f t="shared" si="234"/>
        <v/>
      </c>
      <c r="AF113" s="151" t="str">
        <f t="shared" si="235"/>
        <v xml:space="preserve"> </v>
      </c>
      <c r="AG113" s="153" t="str">
        <f t="shared" si="236"/>
        <v xml:space="preserve"> </v>
      </c>
      <c r="AH113" s="98" t="str">
        <f t="shared" si="237"/>
        <v xml:space="preserve"> </v>
      </c>
      <c r="AI113" s="149" t="str">
        <f t="shared" si="238"/>
        <v xml:space="preserve"> </v>
      </c>
      <c r="AK113" s="144" t="str">
        <f t="shared" si="239"/>
        <v xml:space="preserve"> </v>
      </c>
      <c r="AL113" s="144"/>
      <c r="AM113" s="243" t="str">
        <f t="shared" si="240"/>
        <v xml:space="preserve"> </v>
      </c>
      <c r="AN113" s="149" t="str">
        <f t="shared" si="343"/>
        <v xml:space="preserve"> </v>
      </c>
      <c r="AO113" s="144" t="str">
        <f>IF(JB113&gt;0,IF(GI113=10,-R113*1.085*(Calculation!$F$6-Calculation!$F$13)*$S$14," "),"")</f>
        <v/>
      </c>
      <c r="AP113" s="144" t="str">
        <f t="shared" si="241"/>
        <v/>
      </c>
      <c r="AQ113" s="56" t="str">
        <f t="shared" si="242"/>
        <v/>
      </c>
      <c r="AR113" s="144" t="str">
        <f t="shared" si="243"/>
        <v/>
      </c>
      <c r="AS113" s="176" t="str">
        <f t="shared" si="244"/>
        <v/>
      </c>
      <c r="AT113" s="176" t="str">
        <f t="shared" si="344"/>
        <v xml:space="preserve"> </v>
      </c>
      <c r="AU113" s="176" t="str">
        <f t="shared" si="245"/>
        <v/>
      </c>
      <c r="AV113" s="177" t="str">
        <f t="shared" si="246"/>
        <v xml:space="preserve"> </v>
      </c>
      <c r="AW113" s="144" t="str">
        <f t="shared" si="247"/>
        <v xml:space="preserve"> </v>
      </c>
      <c r="AX113" s="144" t="str">
        <f t="shared" si="248"/>
        <v xml:space="preserve"> </v>
      </c>
      <c r="AY113" s="152" t="str">
        <f t="shared" si="249"/>
        <v xml:space="preserve"> </v>
      </c>
      <c r="AZ113" s="246" t="str">
        <f t="shared" si="250"/>
        <v/>
      </c>
      <c r="BA113" s="176" t="str">
        <f t="shared" si="251"/>
        <v xml:space="preserve"> </v>
      </c>
      <c r="BB113" s="176" t="str">
        <f t="shared" si="252"/>
        <v xml:space="preserve"> </v>
      </c>
      <c r="BC113" s="195"/>
      <c r="BD113" s="316"/>
      <c r="BE113" s="317"/>
      <c r="BF113" s="318"/>
      <c r="BG113" s="318"/>
      <c r="BH113" s="144" t="str">
        <f t="shared" si="421"/>
        <v xml:space="preserve"> </v>
      </c>
      <c r="BI113" s="176" t="str">
        <f t="shared" si="253"/>
        <v/>
      </c>
      <c r="BJ113" s="144" t="str">
        <f t="shared" si="422"/>
        <v/>
      </c>
      <c r="BK113" s="246" t="str">
        <f t="shared" si="254"/>
        <v/>
      </c>
      <c r="BL113" s="144" t="str">
        <f t="shared" si="423"/>
        <v/>
      </c>
      <c r="BM113" s="246" t="str">
        <f t="shared" si="255"/>
        <v/>
      </c>
      <c r="BN113" s="337" t="str">
        <f t="shared" si="345"/>
        <v/>
      </c>
      <c r="BO113" s="371" t="str">
        <f t="shared" si="346"/>
        <v/>
      </c>
      <c r="BP113" s="328" t="str">
        <f t="shared" si="424"/>
        <v xml:space="preserve"> </v>
      </c>
      <c r="BQ113" s="347" t="str">
        <f t="shared" si="347"/>
        <v xml:space="preserve"> </v>
      </c>
      <c r="BR113" s="353" t="str">
        <f t="shared" si="348"/>
        <v xml:space="preserve"> </v>
      </c>
      <c r="BS113" s="626" t="str">
        <f>IF(L113&gt;0,IF(Calculation!P113="M13",BR113*3.1416*(0.134^2)/(4*144),IF(Calculation!P113="M17",BR113*3.1416*(0.165^2)/(4*144),IF(Calculation!P113="M20",BR113*3.1416*(0.198^2)/(4*144),IF(Calculation!P113="M23",BR113*3.1416*(0.228^2)/(4*144),IF(Calculation!P113="M27",BR113*3.1416*(0.269^2)/(4*144),BR113*3.1416*(0.307^2)/(4*144))))))," ")</f>
        <v xml:space="preserve"> </v>
      </c>
      <c r="BT113" s="353" t="str">
        <f>IF(L113&gt;0,IF(BS113&gt;0,R113/Calculation!BS113,0)," ")</f>
        <v xml:space="preserve"> </v>
      </c>
      <c r="BU113" s="438" t="e">
        <f t="shared" ca="1" si="256"/>
        <v>#VALUE!</v>
      </c>
      <c r="BV113" s="449" t="e">
        <f ca="1">INDEX(INDIRECT(VLOOKUP(LEFT(BO113,7),CLU!$Z$3:$AH$18,2)),GN113,GR113)</f>
        <v>#N/A</v>
      </c>
      <c r="BW113" s="433" t="e">
        <f ca="1">INDEX(INDIRECT(VLOOKUP(LEFT(BO113,7),CLU!$Z$3:$AH$18,3)),GN113,GR113)</f>
        <v>#N/A</v>
      </c>
      <c r="BX113" s="433" t="e">
        <f ca="1">INDEX(INDIRECT(VLOOKUP(LEFT(BO113,7),CLU!$Z$3:$AH$18,4)),GN113,GR113)</f>
        <v>#N/A</v>
      </c>
      <c r="BY113" s="433" t="e">
        <f ca="1">INDEX(INDIRECT(VLOOKUP(LEFT(BO113,7),CLU!$Z$3:$AH$18,9)),((M113-2)*(6-COUNTBLANK(GT113:GY113)))+GJ113)</f>
        <v>#N/A</v>
      </c>
      <c r="BZ113" s="426" t="e">
        <f t="shared" ca="1" si="349"/>
        <v>#N/A</v>
      </c>
      <c r="CA113" s="424" t="e">
        <f t="shared" ca="1" si="350"/>
        <v>#N/A</v>
      </c>
      <c r="CB113" s="429" t="e">
        <f ca="1">INDEX(INDIRECT(VLOOKUP(LEFT(BO113,7),CLU!$Z$3:$AH$18,2)),GN113,GS113)</f>
        <v>#N/A</v>
      </c>
      <c r="CC113" s="342" t="e">
        <f ca="1">INDEX(INDIRECT(VLOOKUP(LEFT(BO113,7),CLU!$Z$3:$AH$18,3)),GN113,GS113)</f>
        <v>#N/A</v>
      </c>
      <c r="CD113" s="342" t="e">
        <f ca="1">INDEX(INDIRECT(VLOOKUP(LEFT(BO113,7),CLU!$Z$3:$AH$18,4)),GN113,GS113)</f>
        <v>#N/A</v>
      </c>
      <c r="CE113" s="426" t="e">
        <f t="shared" ca="1" si="351"/>
        <v>#N/A</v>
      </c>
      <c r="CF113" s="440">
        <f t="shared" si="352"/>
        <v>0</v>
      </c>
      <c r="CG113" s="431" t="e">
        <f ca="1">INDEX(INDIRECT(VLOOKUP(LEFT(BO113,7),CLU!$Z$3:$AH$18,2)),GQ113,GR113)</f>
        <v>#N/A</v>
      </c>
      <c r="CH113" s="431" t="e">
        <f ca="1">INDEX(INDIRECT(VLOOKUP(LEFT(BO113,7),CLU!$Z$3:$AH$18,3)),GQ113,GR113)</f>
        <v>#N/A</v>
      </c>
      <c r="CI113" s="431" t="e">
        <f ca="1">INDEX(INDIRECT(VLOOKUP(LEFT(BO113,7),CLU!$Z$3:$AH$18,4)),GQ113,GR113)</f>
        <v>#N/A</v>
      </c>
      <c r="CJ113" s="448" t="e">
        <f t="shared" ca="1" si="353"/>
        <v>#N/A</v>
      </c>
      <c r="CK113" s="431" t="e">
        <f t="shared" ca="1" si="354"/>
        <v>#N/A</v>
      </c>
      <c r="CL113" s="440" t="e">
        <f t="shared" ca="1" si="355"/>
        <v>#N/A</v>
      </c>
      <c r="CM113" s="431" t="e">
        <f ca="1">INDEX(INDIRECT(VLOOKUP(LEFT(BO113,7),CLU!$Z$3:$AH$18,2)),GQ113,GS113)</f>
        <v>#N/A</v>
      </c>
      <c r="CN113" s="431" t="e">
        <f ca="1">INDEX(INDIRECT(VLOOKUP(LEFT(BO113,7),CLU!$Z$3:$AH$18,3)),GQ113,GS113)</f>
        <v>#N/A</v>
      </c>
      <c r="CO113" s="431" t="e">
        <f ca="1">INDEX(INDIRECT(VLOOKUP(LEFT(BO113,7),CLU!$Z$3:$AH$18,4)),GQ113,GS113)</f>
        <v>#N/A</v>
      </c>
      <c r="CP113" s="431" t="e">
        <f t="shared" ca="1" si="356"/>
        <v>#N/A</v>
      </c>
      <c r="CQ113" s="440">
        <f t="shared" si="357"/>
        <v>0</v>
      </c>
      <c r="CR113" s="51" t="e">
        <f t="shared" ca="1" si="358"/>
        <v>#N/A</v>
      </c>
      <c r="CS113" s="439" t="e">
        <f t="shared" ca="1" si="359"/>
        <v>#VALUE!</v>
      </c>
      <c r="CT113" s="51" t="e">
        <f t="shared" ca="1" si="360"/>
        <v>#VALUE!</v>
      </c>
      <c r="CU113" s="10"/>
      <c r="CV113" s="51" t="e">
        <f t="shared" ca="1" si="257"/>
        <v>#VALUE!</v>
      </c>
      <c r="CW113" s="51">
        <f t="shared" si="361"/>
        <v>0</v>
      </c>
      <c r="CX113" s="439" t="e">
        <f t="shared" ca="1" si="362"/>
        <v>#VALUE!</v>
      </c>
      <c r="CY113" s="51" t="e">
        <f t="shared" ca="1" si="363"/>
        <v>#VALUE!</v>
      </c>
      <c r="CZ113" s="10"/>
      <c r="DA113" s="51" t="e">
        <f t="shared" ca="1" si="364"/>
        <v>#VALUE!</v>
      </c>
      <c r="DB113" s="347" t="e">
        <f ca="1">INDEX(INDIRECT(VLOOKUP(LEFT(BO113,7),CLU!$Z$3:$AI$18,10)),((M113-2)*(6-COUNTBLANK(GT113:GY113)))+GJ113)*LI113</f>
        <v>#N/A</v>
      </c>
      <c r="DC113" s="347" t="str">
        <f>IF(L113&gt;0,((R113/Worksheet!$I$15)/DB113)^2," ")</f>
        <v xml:space="preserve"> </v>
      </c>
      <c r="DD113" s="602" t="str">
        <f t="shared" si="365"/>
        <v xml:space="preserve"> </v>
      </c>
      <c r="DE113" s="347" t="str">
        <f t="shared" si="258"/>
        <v xml:space="preserve"> </v>
      </c>
      <c r="DF113" s="356" t="e">
        <f ca="1">INDEX(INDIRECT(VLOOKUP(LEFT(BO113,7),CLU!$Z$3:$AH$18,8)),((M113-2)*(6-COUNTBLANK(GT113:GY113)))+GJ113)</f>
        <v>#N/A</v>
      </c>
      <c r="DG113" s="347" t="str">
        <f t="shared" si="259"/>
        <v xml:space="preserve"> </v>
      </c>
      <c r="DH113" s="357" t="str">
        <f t="shared" si="260"/>
        <v xml:space="preserve"> </v>
      </c>
      <c r="DI113" s="355" t="str">
        <f t="shared" si="261"/>
        <v xml:space="preserve"> </v>
      </c>
      <c r="DJ113" s="245" t="e">
        <f ca="1">INDEX(INDIRECT(VLOOKUP(LEFT(BO113,7),CLU!$Z$3:$AH$18,5)),GL113,GK113)</f>
        <v>#N/A</v>
      </c>
      <c r="DK113" s="245" t="e">
        <f ca="1">INDEX(INDIRECT(VLOOKUP(LEFT(BO113,7),CLU!$Z$3:$AH$18,6)),GL113,GK113)</f>
        <v>#N/A</v>
      </c>
      <c r="DL113" s="355">
        <f>(Calculation!R113*0.69143*(Calculation!$BQ$8-Calculation!$F$8))*$S$14</f>
        <v>0</v>
      </c>
      <c r="DM113" s="359" t="e">
        <f t="shared" si="366"/>
        <v>#VALUE!</v>
      </c>
      <c r="DN113" s="611">
        <f t="shared" si="367"/>
        <v>0</v>
      </c>
      <c r="DO113" s="359">
        <f t="shared" si="368"/>
        <v>100</v>
      </c>
      <c r="DP113" s="359">
        <f t="shared" si="369"/>
        <v>0</v>
      </c>
      <c r="DQ113" s="360"/>
      <c r="DR113" s="245" t="e">
        <f ca="1">INDEX(INDIRECT(VLOOKUP(LEFT(BO113,7),CLU!$Z$3:$AH$18,7)),M113-1,1)</f>
        <v>#N/A</v>
      </c>
      <c r="DS113" s="245" t="e">
        <f ca="1">INDEX(INDIRECT(VLOOKUP(LEFT(BO113,7),CLU!$Z$3:$AH$18,7)),M113-1,2)</f>
        <v>#N/A</v>
      </c>
      <c r="DT113" s="245" t="e">
        <f ca="1">INDEX(INDIRECT(VLOOKUP(LEFT(BO113,7),CLU!$Z$3:$AH$18,7)),M113-1,3)</f>
        <v>#N/A</v>
      </c>
      <c r="DU113" s="245" t="e">
        <f ca="1">INDEX(INDIRECT(VLOOKUP(LEFT(BO113,7),CLU!$Z$3:$AH$18,7)),M113-1,4)</f>
        <v>#N/A</v>
      </c>
      <c r="DV113" s="361" t="e">
        <f ca="1">INDEX(INDIRECT(VLOOKUP(LEFT(BO113,7),CLU!$Z$3:$AH$18,7)),M113-1,4+LEFT(DZ113,1)*0.5)</f>
        <v>#N/A</v>
      </c>
      <c r="DW113" s="245" t="e">
        <f ca="1">INDEX(INDIRECT(VLOOKUP(LEFT(BO113,7),CLU!$Z$3:$AH$18,7)),M113-1,8)</f>
        <v>#N/A</v>
      </c>
      <c r="DX113" s="361" t="str">
        <f t="shared" si="262"/>
        <v xml:space="preserve"> </v>
      </c>
      <c r="DY113" s="361" t="str">
        <f t="shared" si="263"/>
        <v xml:space="preserve"> </v>
      </c>
      <c r="DZ113" s="361" t="str">
        <f t="shared" si="264"/>
        <v xml:space="preserve"> </v>
      </c>
      <c r="EA113" s="362" t="str">
        <f t="shared" si="265"/>
        <v xml:space="preserve"> </v>
      </c>
      <c r="EB113" s="624" t="str">
        <f t="shared" si="370"/>
        <v xml:space="preserve"> </v>
      </c>
      <c r="EC113" s="361" t="e">
        <f ca="1">INDEX(INDIRECT(VLOOKUP(LEFT(BO113,7),CLU!$Z$3:$AH$18,7)),M113-1,4+LEFT(DZ113,1)*0.5)</f>
        <v>#N/A</v>
      </c>
      <c r="ED113" s="362" t="str">
        <f t="shared" si="266"/>
        <v xml:space="preserve"> </v>
      </c>
      <c r="EE113" s="361" t="str">
        <f t="shared" si="267"/>
        <v xml:space="preserve"> </v>
      </c>
      <c r="EF113" s="362" t="str">
        <f>IF(L113&gt;0,IF(BR113&gt;0,IF(EE113="2P",IF(Calculation!DZ113="2P",IF(Calculation!DS113=13.75,IF(Calculation!DR113=13,Worksheet!$BD$43,IF(Calculation!DR113=37,Worksheet!$BD$44,Worksheet!$BD$45)),IF(Calculation!DS113=10,IF(Calculation!DR113=18,Worksheet!$BD$29,IF(Calculation!DR113=30,Worksheet!$BD$30,IF(Calculation!DR113=42,Worksheet!$BD$31,IF(Calculation!DR113=54,Worksheet!$BD$32,IF(Calculation!DR113=66,Worksheet!$BD$33,IF(Calculation!DR113=78,Worksheet!$BD$34,IF(Calculation!DR113=90,Worksheet!$BD$35,IF(Calculation!DR113=102,Worksheet!$BD$36,Worksheet!$BD$37)))))))),IF(Calculation!DS113=12.5,IF(Calculation!DR113=18,Worksheet!$BD$38,IF(Calculation!DR113=Worksheet!$BD$39,IF(Calculation!DR113=42,Worksheet!$BD$40,IF(Calculation!DR113=54,Worksheet!$BD$41,Worksheet!$BD$42)))),IF(Calculation!DR113=18,Worksheet!$BD$11,IF(Calculation!DR113=30,Worksheet!$BD$12,IF(Calculation!DR113=42,Worksheet!$BD$13,IF(Calculation!DR113=54,Worksheet!$BD$14,IF(Calculation!DR113=66,Worksheet!$BD$15,IF(Calculation!DR113=78,Worksheet!$BD$16,IF(Calculation!DR113=90,Worksheet!$BD$17,IF(Calculation!DR113=102,Worksheet!$BD$18,Worksheet!$BD$19))))))))))),IF(Calculation!DS113=13.75,IF(Calculation!DR113=13,Worksheet!$BD$78,IF(Calculation!DR113=37,Worksheet!$BD$79,Worksheet!$BD$80)),IF(Calculation!DS113=10,IF(Calculation!DR113=18,Worksheet!$BD$64,IF(Calculation!DR113=30,Worksheet!$BD$65,IF(Calculation!DR113=42,Worksheet!$BD$66,IF(Calculation!DR113=54,Worksheet!$BD$68,IF(Calculation!DR113=66,Worksheet!$BD$68,IF(Calculation!DR113=78,Worksheet!$BD$69,IF(Calculation!DR113=90,Worksheet!$BD$70,IF(Calculation!DR113=102,Worksheet!$BD$71,Worksheet!$BD$72)))))))),IF(Calculation!DS113=12.5,IF(Calculation!DR113=18,Worksheet!$BD$73,IF(Calculation!DR113=Worksheet!$BD$74,IF(Calculation!DR113=42,Worksheet!$BD$75,IF(Calculation!DR113=54,Worksheet!$BD$76,Worksheet!$BD$77)))),IF(Calculation!DR113=18,Worksheet!$BD$55,IF(Calculation!DR113=30,Worksheet!$BD$56,IF(Calculation!DR113=42,Worksheet!$BD$57,IF(Calculation!DR113=54,Worksheet!$BD$58,IF(Calculation!DR113=66,Worksheet!$BD$59,IF(Calculation!DR113=78,Worksheet!$BD$60,IF(Calculation!DR113=90,Worksheet!$BD$61,IF(Calculation!DR113=102,Worksheet!$BD$62,Worksheet!$BD$63)))))))))))),5),0)," ")</f>
        <v xml:space="preserve"> </v>
      </c>
      <c r="EG113" s="361" t="str">
        <f t="shared" si="268"/>
        <v xml:space="preserve"> </v>
      </c>
      <c r="EH113" s="361" t="e">
        <f ca="1">INDEX(INDIRECT(VLOOKUP(LEFT(BO113,7),CLU!$Z$3:$AH$18,7)),M113-1,3+LEFT(DZ113,1))</f>
        <v>#N/A</v>
      </c>
      <c r="EI113" s="362" t="str">
        <f t="shared" si="269"/>
        <v xml:space="preserve"> </v>
      </c>
      <c r="EJ113" s="363" t="str">
        <f t="shared" si="270"/>
        <v xml:space="preserve"> </v>
      </c>
      <c r="EK113" s="363" t="str">
        <f t="shared" si="271"/>
        <v xml:space="preserve"> </v>
      </c>
      <c r="EL113" s="363" t="str">
        <f t="shared" si="272"/>
        <v xml:space="preserve"> </v>
      </c>
      <c r="EM113" s="362" t="str">
        <f>IF(L113&gt;0,IF(BR113&gt;0,(Calculation!T113/ED113)^2,0)," ")</f>
        <v xml:space="preserve"> </v>
      </c>
      <c r="EN113" s="362" t="str">
        <f>IF(L113&gt;0,IF(O113="2 Pipe (Cooling)","N/A",IF(BR113&gt;0,(Calculation!U113/EI113)^2,0))," ")</f>
        <v xml:space="preserve"> </v>
      </c>
      <c r="EO113" s="361" t="str">
        <f t="shared" si="273"/>
        <v/>
      </c>
      <c r="EP113" s="361" t="str">
        <f t="shared" si="274"/>
        <v/>
      </c>
      <c r="EQ113" s="361" t="str">
        <f t="shared" si="275"/>
        <v/>
      </c>
      <c r="ER113" s="361" t="str">
        <f t="shared" si="276"/>
        <v/>
      </c>
      <c r="ES113" s="361" t="str">
        <f t="shared" si="277"/>
        <v/>
      </c>
      <c r="ET113" s="361" t="str">
        <f t="shared" si="278"/>
        <v/>
      </c>
      <c r="EU113" s="361" t="str">
        <f t="shared" si="279"/>
        <v/>
      </c>
      <c r="EV113" s="361" t="str">
        <f t="shared" si="280"/>
        <v/>
      </c>
      <c r="EW113" s="361" t="str">
        <f t="shared" si="281"/>
        <v/>
      </c>
      <c r="EX113" s="361" t="str">
        <f t="shared" si="371"/>
        <v>1 slot, 1 way</v>
      </c>
      <c r="EY113" s="361" t="str">
        <f t="shared" si="372"/>
        <v xml:space="preserve"> </v>
      </c>
      <c r="EZ113" s="361" t="str">
        <f t="shared" si="373"/>
        <v xml:space="preserve"> </v>
      </c>
      <c r="FA113" s="361" t="str">
        <f t="shared" si="374"/>
        <v xml:space="preserve"> </v>
      </c>
      <c r="FB113" s="361" t="str">
        <f t="shared" si="375"/>
        <v xml:space="preserve"> </v>
      </c>
      <c r="FC113" s="361"/>
      <c r="FD113" s="361" t="str">
        <f>IF(J113&gt;0,IF(Calculation!R113&lt;=70,4,IF(Calculation!R113&lt;=110,5,IF(Calculation!R113&lt;=160,6,IF(Calculation!R113&lt;=300,8,"10 EO")))),"")</f>
        <v/>
      </c>
      <c r="FE113" s="361" t="str">
        <f t="shared" si="376"/>
        <v/>
      </c>
      <c r="FF113" s="361" t="str">
        <f t="shared" si="377"/>
        <v/>
      </c>
      <c r="FG113" s="361" t="e">
        <f t="shared" si="282"/>
        <v>#N/A</v>
      </c>
      <c r="FH113" s="361">
        <f t="shared" si="283"/>
        <v>0</v>
      </c>
      <c r="FI113" s="361" t="e">
        <f t="shared" si="284"/>
        <v>#DIV/0!</v>
      </c>
      <c r="FJ113" s="361"/>
      <c r="FK113" s="356" t="e">
        <f t="shared" si="285"/>
        <v>#VALUE!</v>
      </c>
      <c r="FL113" s="361"/>
      <c r="FM113" s="361"/>
      <c r="FN113" s="362" t="str">
        <f t="shared" si="378"/>
        <v xml:space="preserve"> </v>
      </c>
      <c r="FO113" s="362" t="str">
        <f t="shared" si="379"/>
        <v xml:space="preserve"> </v>
      </c>
      <c r="FP113" s="362">
        <f t="shared" si="380"/>
        <v>0</v>
      </c>
      <c r="FQ113" s="361">
        <f t="shared" si="286"/>
        <v>0</v>
      </c>
      <c r="FR113" s="362" t="str">
        <f>IF(L113&gt;0,IF(J113="CBAL2",Worksheet!$P$67,IF(J113="CBE2-24",Worksheet!$Q$67,IF(J113="CBAM",Worksheet!$R$67,IF(J113="CBLV",Worksheet!$S$67,IF(J113="CBAB",Worksheet!$U$67,IF(J113="CBAW",Worksheet!$X$67,IF(J113="CBE2-12",Worksheet!$Y$67,IF(J113="CBAL2",Worksheet!$Z$67,"N/A"))))))))," ")</f>
        <v xml:space="preserve"> </v>
      </c>
      <c r="FS113" s="362" t="str">
        <f>IF(L113&gt;0,IF(J113="CBAL2",Worksheet!$P$68,IF(J113="CBE2-24",Worksheet!$Q$68,IF(J113="CBAM",Worksheet!$R$68,IF(J113="CBLV",Worksheet!$S$68,IF(J113="CBAB",Worksheet!$U$68,IF(J113="CBAW",Worksheet!$X$68,IF(J113="CBE2-12",Worksheet!$Y$68,IF(J113="CBAL2",Worksheet!$Z$68,"N/A"))))))))," ")</f>
        <v xml:space="preserve"> </v>
      </c>
      <c r="FT113" s="362" t="str">
        <f>IF(L113&gt;0,IF(J113="CBAL2",Worksheet!$P$69,IF(J113="CBE2-24",Worksheet!$Q$69,IF(J113="CBAM",Worksheet!$R$69,IF(J113="CBLV",Worksheet!$S$69,IF(J113="CBAB",Worksheet!$U$69,IF(J113="CBAW",Worksheet!$X$69,IF(J113="CBE2-12",Worksheet!$Y$69,IF(J113="CBAL2",Worksheet!$Z$69,"N/A"))))))))," ")</f>
        <v xml:space="preserve"> </v>
      </c>
      <c r="FU113" s="361" t="str">
        <f t="shared" si="381"/>
        <v xml:space="preserve"> </v>
      </c>
      <c r="FV113" s="362" t="str">
        <f t="shared" si="382"/>
        <v xml:space="preserve"> </v>
      </c>
      <c r="FW113" s="362" t="str">
        <f t="shared" si="383"/>
        <v xml:space="preserve"> </v>
      </c>
      <c r="FX113" s="362" t="str">
        <f t="shared" si="384"/>
        <v xml:space="preserve"> </v>
      </c>
      <c r="FY113" s="355" t="str">
        <f t="shared" si="385"/>
        <v xml:space="preserve"> </v>
      </c>
      <c r="FZ113" s="361" t="str">
        <f t="shared" si="386"/>
        <v xml:space="preserve"> </v>
      </c>
      <c r="GA113" s="347" t="str">
        <f t="shared" si="387"/>
        <v xml:space="preserve"> </v>
      </c>
      <c r="GB113" s="355" t="str">
        <f t="shared" si="388"/>
        <v xml:space="preserve"> </v>
      </c>
      <c r="GC113" s="328" t="str">
        <f t="shared" si="389"/>
        <v xml:space="preserve"> </v>
      </c>
      <c r="GD113" s="361" t="str">
        <f t="shared" si="390"/>
        <v xml:space="preserve"> </v>
      </c>
      <c r="GE113" s="347" t="str">
        <f t="shared" si="391"/>
        <v xml:space="preserve"> </v>
      </c>
      <c r="GF113" s="361" t="str">
        <f t="shared" si="392"/>
        <v xml:space="preserve"> </v>
      </c>
      <c r="GG113" s="347" t="str">
        <f t="shared" si="393"/>
        <v xml:space="preserve"> </v>
      </c>
      <c r="GH113" s="364">
        <f t="shared" si="287"/>
        <v>0</v>
      </c>
      <c r="GI113" s="362">
        <f t="shared" si="394"/>
        <v>2</v>
      </c>
      <c r="GJ113" s="433" t="e">
        <f>IF(6-COUNTBLANK(GT113:GY113)=4,MATCH(MID(BO113,9,3),CLU!$H$16:$K$16),MATCH(MID(BO113,9,3),CLU!$H$13:$M$13))</f>
        <v>#N/A</v>
      </c>
      <c r="GK113" s="433" t="e">
        <f>HLOOKUP(VALUE(BP113),CLU!$H$9:$M$10,2)</f>
        <v>#VALUE!</v>
      </c>
      <c r="GL113" s="433" t="e">
        <f ca="1">MATCH(BU113,CLU!$H$2:$V$2,1)</f>
        <v>#VALUE!</v>
      </c>
      <c r="GM113" s="433" t="e">
        <f t="shared" ca="1" si="395"/>
        <v>#VALUE!</v>
      </c>
      <c r="GN113" s="433" t="e">
        <f t="shared" ca="1" si="396"/>
        <v>#VALUE!</v>
      </c>
      <c r="GO113" s="433" t="e">
        <f t="shared" ca="1" si="397"/>
        <v>#VALUE!</v>
      </c>
      <c r="GP113" s="433" t="e">
        <f t="shared" ca="1" si="398"/>
        <v>#VALUE!</v>
      </c>
      <c r="GQ113" s="433" t="e">
        <f t="shared" ca="1" si="399"/>
        <v>#VALUE!</v>
      </c>
      <c r="GR113" s="433" t="e">
        <f ca="1">MATCH(T113,INDIRECT(VLOOKUP(CONCATENATE(LEFT(BO113,7),"-",MID(BO113,13,1)),CLU!$P$3:$Q$16,2)),1)</f>
        <v>#N/A</v>
      </c>
      <c r="GS113" s="433" t="e">
        <f ca="1">MATCH(U113,INDIRECT(VLOOKUP(CONCATENATE(LEFT(BO113,7),"-",MID(BO113,13,1)),CLU!$P$3:$Q$16,2)),1)</f>
        <v>#N/A</v>
      </c>
      <c r="GT113" s="347" t="s">
        <v>512</v>
      </c>
      <c r="GU113" s="97" t="s">
        <v>513</v>
      </c>
      <c r="GV113" s="97" t="str">
        <f t="shared" si="400"/>
        <v>M23</v>
      </c>
      <c r="GW113" s="97" t="str">
        <f t="shared" si="401"/>
        <v>M31</v>
      </c>
      <c r="GX113" s="97" t="str">
        <f t="shared" si="402"/>
        <v/>
      </c>
      <c r="GY113" s="97" t="str">
        <f t="shared" si="403"/>
        <v/>
      </c>
      <c r="GZ113" s="481"/>
      <c r="HA113" s="288"/>
      <c r="HB113" s="240"/>
      <c r="HC113" s="240"/>
      <c r="HD113" s="240"/>
      <c r="HE113" s="240"/>
      <c r="HF113" s="240"/>
      <c r="HG113" s="240"/>
      <c r="HH113" s="240"/>
      <c r="HI113" s="240"/>
      <c r="HJ113" s="240"/>
      <c r="HK113" s="240"/>
      <c r="HL113" s="240"/>
      <c r="HM113" s="240"/>
      <c r="HN113" s="240"/>
      <c r="HO113" s="240"/>
      <c r="HP113" s="240"/>
      <c r="HQ113" s="240"/>
      <c r="HR113" s="240"/>
      <c r="HS113" s="240"/>
      <c r="HT113" s="240"/>
      <c r="HU113" s="240"/>
      <c r="HV113" s="245"/>
      <c r="HW113" s="245" t="b">
        <v>1</v>
      </c>
      <c r="HX113" s="245" t="str">
        <f t="shared" si="288"/>
        <v/>
      </c>
      <c r="HY113" s="245" t="e">
        <f t="shared" si="289"/>
        <v>#DIV/0!</v>
      </c>
      <c r="HZ113" s="245" t="e">
        <f t="shared" si="290"/>
        <v>#DIV/0!</v>
      </c>
      <c r="IA113" s="245">
        <f t="shared" si="291"/>
        <v>0</v>
      </c>
      <c r="IB113" s="245"/>
      <c r="IC113" t="b">
        <f t="shared" si="292"/>
        <v>1</v>
      </c>
      <c r="ID113" s="245" t="b">
        <f t="shared" si="293"/>
        <v>1</v>
      </c>
      <c r="IE113" s="245" t="b">
        <f t="shared" si="294"/>
        <v>1</v>
      </c>
      <c r="IF113" s="245" t="b">
        <f t="shared" si="295"/>
        <v>0</v>
      </c>
      <c r="IG113" s="245" t="b">
        <f t="shared" si="296"/>
        <v>1</v>
      </c>
      <c r="IH113" s="245" t="b">
        <f t="shared" si="297"/>
        <v>1</v>
      </c>
      <c r="II113" s="245">
        <f t="shared" si="404"/>
        <v>0</v>
      </c>
      <c r="IJ113" s="245" t="e">
        <f t="shared" si="298"/>
        <v>#VALUE!</v>
      </c>
      <c r="IK113" s="245" t="e">
        <f t="shared" si="299"/>
        <v>#VALUE!</v>
      </c>
      <c r="IL113" s="245"/>
      <c r="IM113" s="245" t="e">
        <f t="shared" si="405"/>
        <v>#N/A</v>
      </c>
      <c r="IN113" s="245" t="e">
        <f t="shared" si="406"/>
        <v>#N/A</v>
      </c>
      <c r="IO113" s="245"/>
      <c r="IP113" s="245"/>
      <c r="IQ113" s="245" t="str">
        <f t="shared" si="300"/>
        <v/>
      </c>
      <c r="IR113" s="245" t="str">
        <f>IF(J113="","",VLOOKUP(J113,Worksheet!$R$4:$T$14,2))</f>
        <v/>
      </c>
      <c r="IS113" s="245"/>
      <c r="IT113" s="245">
        <f t="shared" si="301"/>
        <v>0</v>
      </c>
      <c r="IU113" s="245">
        <f t="shared" si="302"/>
        <v>0</v>
      </c>
      <c r="IV113" s="245">
        <f t="shared" si="303"/>
        <v>0</v>
      </c>
      <c r="IW113" s="245">
        <f t="shared" si="304"/>
        <v>0</v>
      </c>
      <c r="IX113" s="245">
        <f t="shared" si="407"/>
        <v>0</v>
      </c>
      <c r="IY113" s="245">
        <f t="shared" si="305"/>
        <v>0</v>
      </c>
      <c r="IZ113" s="245">
        <f t="shared" si="306"/>
        <v>0</v>
      </c>
      <c r="JA113">
        <f t="shared" si="307"/>
        <v>0</v>
      </c>
      <c r="JB113">
        <f t="shared" si="408"/>
        <v>0</v>
      </c>
      <c r="JC113">
        <f t="shared" si="308"/>
        <v>0</v>
      </c>
      <c r="JD113">
        <f t="shared" si="309"/>
        <v>0</v>
      </c>
      <c r="JE113">
        <f t="shared" si="310"/>
        <v>0</v>
      </c>
      <c r="JF113">
        <f t="shared" si="311"/>
        <v>0</v>
      </c>
      <c r="JG113">
        <f t="shared" si="312"/>
        <v>0</v>
      </c>
      <c r="JH113">
        <f t="shared" si="313"/>
        <v>0</v>
      </c>
      <c r="JI113">
        <f t="shared" si="314"/>
        <v>0</v>
      </c>
      <c r="JJ113" s="447">
        <f t="shared" si="315"/>
        <v>0</v>
      </c>
      <c r="JK113" s="447">
        <f t="shared" si="316"/>
        <v>0</v>
      </c>
      <c r="JL113">
        <f t="shared" si="317"/>
        <v>0</v>
      </c>
      <c r="JM113" s="245" t="str">
        <f>IFERROR(VLOOKUP(MATCH(BN113,#REF!,0),#REF!,7),"")</f>
        <v/>
      </c>
      <c r="JN113" t="e">
        <f>HLOOKUP(LEFT(BO113,7),Discharge_Area,MATCH(JO113,LookUps!$B$130:$B$149,1)+2)</f>
        <v>#N/A</v>
      </c>
      <c r="JO113" t="str">
        <f t="shared" si="318"/>
        <v>- S</v>
      </c>
      <c r="JP113" t="e">
        <f>HLOOKUP(LEFT(BO113,7),Discharge_Area,MATCH(JO113,LookUps!$B$130:$B$149,1)+2)</f>
        <v>#N/A</v>
      </c>
      <c r="JQ113" t="e">
        <f t="shared" si="319"/>
        <v>#N/A</v>
      </c>
      <c r="JR113" t="e">
        <f t="shared" si="320"/>
        <v>#N/A</v>
      </c>
      <c r="JS113" t="e">
        <f t="shared" si="321"/>
        <v>#N/A</v>
      </c>
      <c r="JT113" s="532" t="str">
        <f t="shared" si="322"/>
        <v xml:space="preserve"> </v>
      </c>
      <c r="JU113" s="532" t="str">
        <f t="shared" si="323"/>
        <v xml:space="preserve"> </v>
      </c>
      <c r="JV113" s="533" t="str">
        <f t="shared" si="324"/>
        <v xml:space="preserve"> </v>
      </c>
      <c r="JW113" s="534">
        <f t="shared" si="325"/>
        <v>0</v>
      </c>
      <c r="JX113" s="535" t="str">
        <f t="shared" si="409"/>
        <v xml:space="preserve"> </v>
      </c>
      <c r="JY113" s="535" t="str">
        <f t="shared" si="410"/>
        <v xml:space="preserve"> </v>
      </c>
      <c r="JZ113" s="535" t="str">
        <f t="shared" si="411"/>
        <v xml:space="preserve"> </v>
      </c>
      <c r="KA113" s="536" t="str">
        <f t="shared" si="326"/>
        <v xml:space="preserve"> </v>
      </c>
      <c r="KB113" s="535" t="e">
        <f t="shared" si="412"/>
        <v>#VALUE!</v>
      </c>
      <c r="KC113" s="535" t="str">
        <f t="shared" si="327"/>
        <v/>
      </c>
      <c r="KD113" s="537" t="str">
        <f t="shared" si="413"/>
        <v xml:space="preserve"> </v>
      </c>
      <c r="KE113" s="537" t="str">
        <f t="shared" si="414"/>
        <v xml:space="preserve"> </v>
      </c>
      <c r="KF113" s="534">
        <f t="shared" si="328"/>
        <v>0</v>
      </c>
      <c r="KG113" s="535" t="str">
        <f t="shared" si="329"/>
        <v xml:space="preserve"> </v>
      </c>
      <c r="KH113" s="535" t="str">
        <f t="shared" si="330"/>
        <v xml:space="preserve"> </v>
      </c>
      <c r="KI113" s="535" t="str">
        <f t="shared" si="331"/>
        <v xml:space="preserve"> </v>
      </c>
      <c r="KJ113" s="536" t="str">
        <f t="shared" si="332"/>
        <v xml:space="preserve"> </v>
      </c>
      <c r="KK113" s="535" t="str">
        <f t="shared" si="415"/>
        <v xml:space="preserve"> </v>
      </c>
      <c r="KL113" s="535" t="str">
        <f t="shared" si="416"/>
        <v xml:space="preserve"> </v>
      </c>
      <c r="KM113" s="537" t="str">
        <f t="shared" si="333"/>
        <v xml:space="preserve"> </v>
      </c>
      <c r="KN113" s="537" t="str">
        <f t="shared" si="417"/>
        <v xml:space="preserve"> </v>
      </c>
      <c r="KP113">
        <f t="shared" si="334"/>
        <v>0</v>
      </c>
      <c r="LA113" t="e">
        <f t="shared" si="335"/>
        <v>#VALUE!</v>
      </c>
      <c r="LB113" t="e">
        <f t="shared" si="336"/>
        <v>#VALUE!</v>
      </c>
      <c r="LC113" t="e">
        <f t="shared" si="337"/>
        <v>#VALUE!</v>
      </c>
      <c r="LD113" t="e">
        <f t="shared" si="338"/>
        <v>#VALUE!</v>
      </c>
      <c r="LE113" t="e">
        <f t="shared" si="418"/>
        <v>#VALUE!</v>
      </c>
      <c r="LF113">
        <f t="shared" si="339"/>
        <v>0</v>
      </c>
      <c r="LG113" t="e">
        <f t="shared" si="419"/>
        <v>#VALUE!</v>
      </c>
      <c r="LH113" t="str">
        <f t="shared" si="340"/>
        <v xml:space="preserve"> </v>
      </c>
      <c r="LI113">
        <f t="shared" si="420"/>
        <v>1</v>
      </c>
    </row>
    <row r="114" spans="2:321" ht="15" customHeight="1">
      <c r="B114" s="311"/>
      <c r="C114" s="311"/>
      <c r="D114" s="312"/>
      <c r="E114" s="311"/>
      <c r="F114" s="312"/>
      <c r="G114" s="311"/>
      <c r="H114" s="311"/>
      <c r="I114" s="37"/>
      <c r="J114" s="311"/>
      <c r="K114" s="305" t="str">
        <f t="shared" si="341"/>
        <v/>
      </c>
      <c r="L114" s="313"/>
      <c r="M114" s="312"/>
      <c r="N114" s="311"/>
      <c r="O114" s="312"/>
      <c r="P114" s="311"/>
      <c r="Q114" s="305" t="str">
        <f t="shared" si="342"/>
        <v/>
      </c>
      <c r="R114" s="314"/>
      <c r="S114" s="450" t="str">
        <f t="shared" si="225"/>
        <v/>
      </c>
      <c r="T114" s="315"/>
      <c r="U114" s="315"/>
      <c r="W114" s="149" t="str">
        <f t="shared" si="226"/>
        <v xml:space="preserve"> </v>
      </c>
      <c r="X114" s="243" t="str">
        <f t="shared" si="227"/>
        <v xml:space="preserve"> </v>
      </c>
      <c r="Y114" s="150" t="str">
        <f t="shared" si="228"/>
        <v/>
      </c>
      <c r="Z114" s="149" t="str">
        <f t="shared" si="229"/>
        <v xml:space="preserve"> </v>
      </c>
      <c r="AA114" s="98" t="str">
        <f t="shared" si="230"/>
        <v xml:space="preserve"> </v>
      </c>
      <c r="AB114" s="153" t="str">
        <f t="shared" si="231"/>
        <v xml:space="preserve"> </v>
      </c>
      <c r="AC114" s="153" t="str">
        <f t="shared" si="232"/>
        <v xml:space="preserve"> </v>
      </c>
      <c r="AD114" s="148" t="str">
        <f t="shared" si="233"/>
        <v/>
      </c>
      <c r="AE114" s="149" t="str">
        <f t="shared" si="234"/>
        <v/>
      </c>
      <c r="AF114" s="151" t="str">
        <f t="shared" si="235"/>
        <v xml:space="preserve"> </v>
      </c>
      <c r="AG114" s="153" t="str">
        <f t="shared" si="236"/>
        <v xml:space="preserve"> </v>
      </c>
      <c r="AH114" s="98" t="str">
        <f t="shared" si="237"/>
        <v xml:space="preserve"> </v>
      </c>
      <c r="AI114" s="149" t="str">
        <f t="shared" si="238"/>
        <v xml:space="preserve"> </v>
      </c>
      <c r="AK114" s="144" t="str">
        <f t="shared" si="239"/>
        <v xml:space="preserve"> </v>
      </c>
      <c r="AL114" s="144"/>
      <c r="AM114" s="243" t="str">
        <f t="shared" si="240"/>
        <v xml:space="preserve"> </v>
      </c>
      <c r="AN114" s="149" t="str">
        <f t="shared" si="343"/>
        <v xml:space="preserve"> </v>
      </c>
      <c r="AO114" s="144" t="str">
        <f>IF(JB114&gt;0,IF(GI114=10,-R114*1.085*(Calculation!$F$6-Calculation!$F$13)*$S$14," "),"")</f>
        <v/>
      </c>
      <c r="AP114" s="144" t="str">
        <f t="shared" si="241"/>
        <v/>
      </c>
      <c r="AQ114" s="56" t="str">
        <f t="shared" si="242"/>
        <v/>
      </c>
      <c r="AR114" s="144" t="str">
        <f t="shared" si="243"/>
        <v/>
      </c>
      <c r="AS114" s="176" t="str">
        <f t="shared" si="244"/>
        <v/>
      </c>
      <c r="AT114" s="176" t="str">
        <f t="shared" si="344"/>
        <v xml:space="preserve"> </v>
      </c>
      <c r="AU114" s="176" t="str">
        <f t="shared" si="245"/>
        <v/>
      </c>
      <c r="AV114" s="177" t="str">
        <f t="shared" si="246"/>
        <v xml:space="preserve"> </v>
      </c>
      <c r="AW114" s="144" t="str">
        <f t="shared" si="247"/>
        <v xml:space="preserve"> </v>
      </c>
      <c r="AX114" s="144" t="str">
        <f t="shared" si="248"/>
        <v xml:space="preserve"> </v>
      </c>
      <c r="AY114" s="152" t="str">
        <f t="shared" si="249"/>
        <v xml:space="preserve"> </v>
      </c>
      <c r="AZ114" s="246" t="str">
        <f t="shared" si="250"/>
        <v/>
      </c>
      <c r="BA114" s="176" t="str">
        <f t="shared" si="251"/>
        <v xml:space="preserve"> </v>
      </c>
      <c r="BB114" s="176" t="str">
        <f t="shared" si="252"/>
        <v xml:space="preserve"> </v>
      </c>
      <c r="BC114" s="195"/>
      <c r="BD114" s="316"/>
      <c r="BE114" s="317"/>
      <c r="BF114" s="318"/>
      <c r="BG114" s="318"/>
      <c r="BH114" s="144" t="str">
        <f t="shared" si="421"/>
        <v xml:space="preserve"> </v>
      </c>
      <c r="BI114" s="176" t="str">
        <f t="shared" si="253"/>
        <v/>
      </c>
      <c r="BJ114" s="144" t="str">
        <f t="shared" si="422"/>
        <v/>
      </c>
      <c r="BK114" s="246" t="str">
        <f t="shared" si="254"/>
        <v/>
      </c>
      <c r="BL114" s="144" t="str">
        <f t="shared" si="423"/>
        <v/>
      </c>
      <c r="BM114" s="246" t="str">
        <f t="shared" si="255"/>
        <v/>
      </c>
      <c r="BN114" s="337" t="str">
        <f t="shared" si="345"/>
        <v/>
      </c>
      <c r="BO114" s="371" t="str">
        <f t="shared" si="346"/>
        <v/>
      </c>
      <c r="BP114" s="328" t="str">
        <f t="shared" si="424"/>
        <v xml:space="preserve"> </v>
      </c>
      <c r="BQ114" s="347" t="str">
        <f t="shared" si="347"/>
        <v xml:space="preserve"> </v>
      </c>
      <c r="BR114" s="353" t="str">
        <f t="shared" si="348"/>
        <v xml:space="preserve"> </v>
      </c>
      <c r="BS114" s="626" t="str">
        <f>IF(L114&gt;0,IF(Calculation!P114="M13",BR114*3.1416*(0.134^2)/(4*144),IF(Calculation!P114="M17",BR114*3.1416*(0.165^2)/(4*144),IF(Calculation!P114="M20",BR114*3.1416*(0.198^2)/(4*144),IF(Calculation!P114="M23",BR114*3.1416*(0.228^2)/(4*144),IF(Calculation!P114="M27",BR114*3.1416*(0.269^2)/(4*144),BR114*3.1416*(0.307^2)/(4*144))))))," ")</f>
        <v xml:space="preserve"> </v>
      </c>
      <c r="BT114" s="353" t="str">
        <f>IF(L114&gt;0,IF(BS114&gt;0,R114/Calculation!BS114,0)," ")</f>
        <v xml:space="preserve"> </v>
      </c>
      <c r="BU114" s="438" t="e">
        <f t="shared" ca="1" si="256"/>
        <v>#VALUE!</v>
      </c>
      <c r="BV114" s="449" t="e">
        <f ca="1">INDEX(INDIRECT(VLOOKUP(LEFT(BO114,7),CLU!$Z$3:$AH$18,2)),GN114,GR114)</f>
        <v>#N/A</v>
      </c>
      <c r="BW114" s="433" t="e">
        <f ca="1">INDEX(INDIRECT(VLOOKUP(LEFT(BO114,7),CLU!$Z$3:$AH$18,3)),GN114,GR114)</f>
        <v>#N/A</v>
      </c>
      <c r="BX114" s="433" t="e">
        <f ca="1">INDEX(INDIRECT(VLOOKUP(LEFT(BO114,7),CLU!$Z$3:$AH$18,4)),GN114,GR114)</f>
        <v>#N/A</v>
      </c>
      <c r="BY114" s="433" t="e">
        <f ca="1">INDEX(INDIRECT(VLOOKUP(LEFT(BO114,7),CLU!$Z$3:$AH$18,9)),((M114-2)*(6-COUNTBLANK(GT114:GY114)))+GJ114)</f>
        <v>#N/A</v>
      </c>
      <c r="BZ114" s="426" t="e">
        <f t="shared" ca="1" si="349"/>
        <v>#N/A</v>
      </c>
      <c r="CA114" s="424" t="e">
        <f t="shared" ca="1" si="350"/>
        <v>#N/A</v>
      </c>
      <c r="CB114" s="429" t="e">
        <f ca="1">INDEX(INDIRECT(VLOOKUP(LEFT(BO114,7),CLU!$Z$3:$AH$18,2)),GN114,GS114)</f>
        <v>#N/A</v>
      </c>
      <c r="CC114" s="342" t="e">
        <f ca="1">INDEX(INDIRECT(VLOOKUP(LEFT(BO114,7),CLU!$Z$3:$AH$18,3)),GN114,GS114)</f>
        <v>#N/A</v>
      </c>
      <c r="CD114" s="342" t="e">
        <f ca="1">INDEX(INDIRECT(VLOOKUP(LEFT(BO114,7),CLU!$Z$3:$AH$18,4)),GN114,GS114)</f>
        <v>#N/A</v>
      </c>
      <c r="CE114" s="426" t="e">
        <f t="shared" ca="1" si="351"/>
        <v>#N/A</v>
      </c>
      <c r="CF114" s="440">
        <f t="shared" si="352"/>
        <v>0</v>
      </c>
      <c r="CG114" s="431" t="e">
        <f ca="1">INDEX(INDIRECT(VLOOKUP(LEFT(BO114,7),CLU!$Z$3:$AH$18,2)),GQ114,GR114)</f>
        <v>#N/A</v>
      </c>
      <c r="CH114" s="431" t="e">
        <f ca="1">INDEX(INDIRECT(VLOOKUP(LEFT(BO114,7),CLU!$Z$3:$AH$18,3)),GQ114,GR114)</f>
        <v>#N/A</v>
      </c>
      <c r="CI114" s="431" t="e">
        <f ca="1">INDEX(INDIRECT(VLOOKUP(LEFT(BO114,7),CLU!$Z$3:$AH$18,4)),GQ114,GR114)</f>
        <v>#N/A</v>
      </c>
      <c r="CJ114" s="448" t="e">
        <f t="shared" ca="1" si="353"/>
        <v>#N/A</v>
      </c>
      <c r="CK114" s="431" t="e">
        <f t="shared" ca="1" si="354"/>
        <v>#N/A</v>
      </c>
      <c r="CL114" s="440" t="e">
        <f t="shared" ca="1" si="355"/>
        <v>#N/A</v>
      </c>
      <c r="CM114" s="431" t="e">
        <f ca="1">INDEX(INDIRECT(VLOOKUP(LEFT(BO114,7),CLU!$Z$3:$AH$18,2)),GQ114,GS114)</f>
        <v>#N/A</v>
      </c>
      <c r="CN114" s="431" t="e">
        <f ca="1">INDEX(INDIRECT(VLOOKUP(LEFT(BO114,7),CLU!$Z$3:$AH$18,3)),GQ114,GS114)</f>
        <v>#N/A</v>
      </c>
      <c r="CO114" s="431" t="e">
        <f ca="1">INDEX(INDIRECT(VLOOKUP(LEFT(BO114,7),CLU!$Z$3:$AH$18,4)),GQ114,GS114)</f>
        <v>#N/A</v>
      </c>
      <c r="CP114" s="431" t="e">
        <f t="shared" ca="1" si="356"/>
        <v>#N/A</v>
      </c>
      <c r="CQ114" s="440">
        <f t="shared" si="357"/>
        <v>0</v>
      </c>
      <c r="CR114" s="51" t="e">
        <f t="shared" ca="1" si="358"/>
        <v>#N/A</v>
      </c>
      <c r="CS114" s="439" t="e">
        <f t="shared" ca="1" si="359"/>
        <v>#VALUE!</v>
      </c>
      <c r="CT114" s="51" t="e">
        <f t="shared" ca="1" si="360"/>
        <v>#VALUE!</v>
      </c>
      <c r="CU114" s="10"/>
      <c r="CV114" s="51" t="e">
        <f t="shared" ca="1" si="257"/>
        <v>#VALUE!</v>
      </c>
      <c r="CW114" s="51">
        <f t="shared" si="361"/>
        <v>0</v>
      </c>
      <c r="CX114" s="439" t="e">
        <f t="shared" ca="1" si="362"/>
        <v>#VALUE!</v>
      </c>
      <c r="CY114" s="51" t="e">
        <f t="shared" ca="1" si="363"/>
        <v>#VALUE!</v>
      </c>
      <c r="CZ114" s="10"/>
      <c r="DA114" s="51" t="e">
        <f t="shared" ca="1" si="364"/>
        <v>#VALUE!</v>
      </c>
      <c r="DB114" s="347" t="e">
        <f ca="1">INDEX(INDIRECT(VLOOKUP(LEFT(BO114,7),CLU!$Z$3:$AI$18,10)),((M114-2)*(6-COUNTBLANK(GT114:GY114)))+GJ114)*LI114</f>
        <v>#N/A</v>
      </c>
      <c r="DC114" s="347" t="str">
        <f>IF(L114&gt;0,((R114/Worksheet!$I$15)/DB114)^2," ")</f>
        <v xml:space="preserve"> </v>
      </c>
      <c r="DD114" s="602" t="str">
        <f t="shared" si="365"/>
        <v xml:space="preserve"> </v>
      </c>
      <c r="DE114" s="347" t="str">
        <f t="shared" si="258"/>
        <v xml:space="preserve"> </v>
      </c>
      <c r="DF114" s="356" t="e">
        <f ca="1">INDEX(INDIRECT(VLOOKUP(LEFT(BO114,7),CLU!$Z$3:$AH$18,8)),((M114-2)*(6-COUNTBLANK(GT114:GY114)))+GJ114)</f>
        <v>#N/A</v>
      </c>
      <c r="DG114" s="347" t="str">
        <f t="shared" si="259"/>
        <v xml:space="preserve"> </v>
      </c>
      <c r="DH114" s="357" t="str">
        <f t="shared" si="260"/>
        <v xml:space="preserve"> </v>
      </c>
      <c r="DI114" s="355" t="str">
        <f t="shared" si="261"/>
        <v xml:space="preserve"> </v>
      </c>
      <c r="DJ114" s="245" t="e">
        <f ca="1">INDEX(INDIRECT(VLOOKUP(LEFT(BO114,7),CLU!$Z$3:$AH$18,5)),GL114,GK114)</f>
        <v>#N/A</v>
      </c>
      <c r="DK114" s="245" t="e">
        <f ca="1">INDEX(INDIRECT(VLOOKUP(LEFT(BO114,7),CLU!$Z$3:$AH$18,6)),GL114,GK114)</f>
        <v>#N/A</v>
      </c>
      <c r="DL114" s="355">
        <f>(Calculation!R114*0.69143*(Calculation!$BQ$8-Calculation!$F$8))*$S$14</f>
        <v>0</v>
      </c>
      <c r="DM114" s="359" t="e">
        <f t="shared" si="366"/>
        <v>#VALUE!</v>
      </c>
      <c r="DN114" s="611">
        <f t="shared" si="367"/>
        <v>0</v>
      </c>
      <c r="DO114" s="359">
        <f t="shared" si="368"/>
        <v>100</v>
      </c>
      <c r="DP114" s="359">
        <f t="shared" si="369"/>
        <v>0</v>
      </c>
      <c r="DQ114" s="360"/>
      <c r="DR114" s="245" t="e">
        <f ca="1">INDEX(INDIRECT(VLOOKUP(LEFT(BO114,7),CLU!$Z$3:$AH$18,7)),M114-1,1)</f>
        <v>#N/A</v>
      </c>
      <c r="DS114" s="245" t="e">
        <f ca="1">INDEX(INDIRECT(VLOOKUP(LEFT(BO114,7),CLU!$Z$3:$AH$18,7)),M114-1,2)</f>
        <v>#N/A</v>
      </c>
      <c r="DT114" s="245" t="e">
        <f ca="1">INDEX(INDIRECT(VLOOKUP(LEFT(BO114,7),CLU!$Z$3:$AH$18,7)),M114-1,3)</f>
        <v>#N/A</v>
      </c>
      <c r="DU114" s="245" t="e">
        <f ca="1">INDEX(INDIRECT(VLOOKUP(LEFT(BO114,7),CLU!$Z$3:$AH$18,7)),M114-1,4)</f>
        <v>#N/A</v>
      </c>
      <c r="DV114" s="361" t="e">
        <f ca="1">INDEX(INDIRECT(VLOOKUP(LEFT(BO114,7),CLU!$Z$3:$AH$18,7)),M114-1,4+LEFT(DZ114,1)*0.5)</f>
        <v>#N/A</v>
      </c>
      <c r="DW114" s="245" t="e">
        <f ca="1">INDEX(INDIRECT(VLOOKUP(LEFT(BO114,7),CLU!$Z$3:$AH$18,7)),M114-1,8)</f>
        <v>#N/A</v>
      </c>
      <c r="DX114" s="361" t="str">
        <f t="shared" si="262"/>
        <v xml:space="preserve"> </v>
      </c>
      <c r="DY114" s="361" t="str">
        <f t="shared" si="263"/>
        <v xml:space="preserve"> </v>
      </c>
      <c r="DZ114" s="361" t="str">
        <f t="shared" si="264"/>
        <v xml:space="preserve"> </v>
      </c>
      <c r="EA114" s="362" t="str">
        <f t="shared" si="265"/>
        <v xml:space="preserve"> </v>
      </c>
      <c r="EB114" s="624" t="str">
        <f t="shared" si="370"/>
        <v xml:space="preserve"> </v>
      </c>
      <c r="EC114" s="361" t="e">
        <f ca="1">INDEX(INDIRECT(VLOOKUP(LEFT(BO114,7),CLU!$Z$3:$AH$18,7)),M114-1,4+LEFT(DZ114,1)*0.5)</f>
        <v>#N/A</v>
      </c>
      <c r="ED114" s="362" t="str">
        <f t="shared" si="266"/>
        <v xml:space="preserve"> </v>
      </c>
      <c r="EE114" s="361" t="str">
        <f t="shared" si="267"/>
        <v xml:space="preserve"> </v>
      </c>
      <c r="EF114" s="362" t="str">
        <f>IF(L114&gt;0,IF(BR114&gt;0,IF(EE114="2P",IF(Calculation!DZ114="2P",IF(Calculation!DS114=13.75,IF(Calculation!DR114=13,Worksheet!$BD$43,IF(Calculation!DR114=37,Worksheet!$BD$44,Worksheet!$BD$45)),IF(Calculation!DS114=10,IF(Calculation!DR114=18,Worksheet!$BD$29,IF(Calculation!DR114=30,Worksheet!$BD$30,IF(Calculation!DR114=42,Worksheet!$BD$31,IF(Calculation!DR114=54,Worksheet!$BD$32,IF(Calculation!DR114=66,Worksheet!$BD$33,IF(Calculation!DR114=78,Worksheet!$BD$34,IF(Calculation!DR114=90,Worksheet!$BD$35,IF(Calculation!DR114=102,Worksheet!$BD$36,Worksheet!$BD$37)))))))),IF(Calculation!DS114=12.5,IF(Calculation!DR114=18,Worksheet!$BD$38,IF(Calculation!DR114=Worksheet!$BD$39,IF(Calculation!DR114=42,Worksheet!$BD$40,IF(Calculation!DR114=54,Worksheet!$BD$41,Worksheet!$BD$42)))),IF(Calculation!DR114=18,Worksheet!$BD$11,IF(Calculation!DR114=30,Worksheet!$BD$12,IF(Calculation!DR114=42,Worksheet!$BD$13,IF(Calculation!DR114=54,Worksheet!$BD$14,IF(Calculation!DR114=66,Worksheet!$BD$15,IF(Calculation!DR114=78,Worksheet!$BD$16,IF(Calculation!DR114=90,Worksheet!$BD$17,IF(Calculation!DR114=102,Worksheet!$BD$18,Worksheet!$BD$19))))))))))),IF(Calculation!DS114=13.75,IF(Calculation!DR114=13,Worksheet!$BD$78,IF(Calculation!DR114=37,Worksheet!$BD$79,Worksheet!$BD$80)),IF(Calculation!DS114=10,IF(Calculation!DR114=18,Worksheet!$BD$64,IF(Calculation!DR114=30,Worksheet!$BD$65,IF(Calculation!DR114=42,Worksheet!$BD$66,IF(Calculation!DR114=54,Worksheet!$BD$68,IF(Calculation!DR114=66,Worksheet!$BD$68,IF(Calculation!DR114=78,Worksheet!$BD$69,IF(Calculation!DR114=90,Worksheet!$BD$70,IF(Calculation!DR114=102,Worksheet!$BD$71,Worksheet!$BD$72)))))))),IF(Calculation!DS114=12.5,IF(Calculation!DR114=18,Worksheet!$BD$73,IF(Calculation!DR114=Worksheet!$BD$74,IF(Calculation!DR114=42,Worksheet!$BD$75,IF(Calculation!DR114=54,Worksheet!$BD$76,Worksheet!$BD$77)))),IF(Calculation!DR114=18,Worksheet!$BD$55,IF(Calculation!DR114=30,Worksheet!$BD$56,IF(Calculation!DR114=42,Worksheet!$BD$57,IF(Calculation!DR114=54,Worksheet!$BD$58,IF(Calculation!DR114=66,Worksheet!$BD$59,IF(Calculation!DR114=78,Worksheet!$BD$60,IF(Calculation!DR114=90,Worksheet!$BD$61,IF(Calculation!DR114=102,Worksheet!$BD$62,Worksheet!$BD$63)))))))))))),5),0)," ")</f>
        <v xml:space="preserve"> </v>
      </c>
      <c r="EG114" s="361" t="str">
        <f t="shared" si="268"/>
        <v xml:space="preserve"> </v>
      </c>
      <c r="EH114" s="361" t="e">
        <f ca="1">INDEX(INDIRECT(VLOOKUP(LEFT(BO114,7),CLU!$Z$3:$AH$18,7)),M114-1,3+LEFT(DZ114,1))</f>
        <v>#N/A</v>
      </c>
      <c r="EI114" s="362" t="str">
        <f t="shared" si="269"/>
        <v xml:space="preserve"> </v>
      </c>
      <c r="EJ114" s="363" t="str">
        <f t="shared" si="270"/>
        <v xml:space="preserve"> </v>
      </c>
      <c r="EK114" s="363" t="str">
        <f t="shared" si="271"/>
        <v xml:space="preserve"> </v>
      </c>
      <c r="EL114" s="363" t="str">
        <f t="shared" si="272"/>
        <v xml:space="preserve"> </v>
      </c>
      <c r="EM114" s="362" t="str">
        <f>IF(L114&gt;0,IF(BR114&gt;0,(Calculation!T114/ED114)^2,0)," ")</f>
        <v xml:space="preserve"> </v>
      </c>
      <c r="EN114" s="362" t="str">
        <f>IF(L114&gt;0,IF(O114="2 Pipe (Cooling)","N/A",IF(BR114&gt;0,(Calculation!U114/EI114)^2,0))," ")</f>
        <v xml:space="preserve"> </v>
      </c>
      <c r="EO114" s="361" t="str">
        <f t="shared" si="273"/>
        <v/>
      </c>
      <c r="EP114" s="361" t="str">
        <f t="shared" si="274"/>
        <v/>
      </c>
      <c r="EQ114" s="361" t="str">
        <f t="shared" si="275"/>
        <v/>
      </c>
      <c r="ER114" s="361" t="str">
        <f t="shared" si="276"/>
        <v/>
      </c>
      <c r="ES114" s="361" t="str">
        <f t="shared" si="277"/>
        <v/>
      </c>
      <c r="ET114" s="361" t="str">
        <f t="shared" si="278"/>
        <v/>
      </c>
      <c r="EU114" s="361" t="str">
        <f t="shared" si="279"/>
        <v/>
      </c>
      <c r="EV114" s="361" t="str">
        <f t="shared" si="280"/>
        <v/>
      </c>
      <c r="EW114" s="361" t="str">
        <f t="shared" si="281"/>
        <v/>
      </c>
      <c r="EX114" s="361" t="str">
        <f t="shared" si="371"/>
        <v>1 slot, 1 way</v>
      </c>
      <c r="EY114" s="361" t="str">
        <f t="shared" si="372"/>
        <v xml:space="preserve"> </v>
      </c>
      <c r="EZ114" s="361" t="str">
        <f t="shared" si="373"/>
        <v xml:space="preserve"> </v>
      </c>
      <c r="FA114" s="361" t="str">
        <f t="shared" si="374"/>
        <v xml:space="preserve"> </v>
      </c>
      <c r="FB114" s="361" t="str">
        <f t="shared" si="375"/>
        <v xml:space="preserve"> </v>
      </c>
      <c r="FC114" s="361"/>
      <c r="FD114" s="361" t="str">
        <f>IF(J114&gt;0,IF(Calculation!R114&lt;=70,4,IF(Calculation!R114&lt;=110,5,IF(Calculation!R114&lt;=160,6,IF(Calculation!R114&lt;=300,8,"10 EO")))),"")</f>
        <v/>
      </c>
      <c r="FE114" s="361" t="str">
        <f t="shared" si="376"/>
        <v/>
      </c>
      <c r="FF114" s="361" t="str">
        <f t="shared" si="377"/>
        <v/>
      </c>
      <c r="FG114" s="361" t="e">
        <f t="shared" si="282"/>
        <v>#N/A</v>
      </c>
      <c r="FH114" s="361">
        <f t="shared" si="283"/>
        <v>0</v>
      </c>
      <c r="FI114" s="361" t="e">
        <f t="shared" si="284"/>
        <v>#DIV/0!</v>
      </c>
      <c r="FJ114" s="361"/>
      <c r="FK114" s="356" t="e">
        <f t="shared" si="285"/>
        <v>#VALUE!</v>
      </c>
      <c r="FL114" s="361"/>
      <c r="FM114" s="361"/>
      <c r="FN114" s="362" t="str">
        <f t="shared" si="378"/>
        <v xml:space="preserve"> </v>
      </c>
      <c r="FO114" s="362" t="str">
        <f t="shared" si="379"/>
        <v xml:space="preserve"> </v>
      </c>
      <c r="FP114" s="362">
        <f t="shared" si="380"/>
        <v>0</v>
      </c>
      <c r="FQ114" s="361">
        <f t="shared" si="286"/>
        <v>0</v>
      </c>
      <c r="FR114" s="362" t="str">
        <f>IF(L114&gt;0,IF(J114="CBAL2",Worksheet!$P$67,IF(J114="CBE2-24",Worksheet!$Q$67,IF(J114="CBAM",Worksheet!$R$67,IF(J114="CBLV",Worksheet!$S$67,IF(J114="CBAB",Worksheet!$U$67,IF(J114="CBAW",Worksheet!$X$67,IF(J114="CBE2-12",Worksheet!$Y$67,IF(J114="CBAL2",Worksheet!$Z$67,"N/A"))))))))," ")</f>
        <v xml:space="preserve"> </v>
      </c>
      <c r="FS114" s="362" t="str">
        <f>IF(L114&gt;0,IF(J114="CBAL2",Worksheet!$P$68,IF(J114="CBE2-24",Worksheet!$Q$68,IF(J114="CBAM",Worksheet!$R$68,IF(J114="CBLV",Worksheet!$S$68,IF(J114="CBAB",Worksheet!$U$68,IF(J114="CBAW",Worksheet!$X$68,IF(J114="CBE2-12",Worksheet!$Y$68,IF(J114="CBAL2",Worksheet!$Z$68,"N/A"))))))))," ")</f>
        <v xml:space="preserve"> </v>
      </c>
      <c r="FT114" s="362" t="str">
        <f>IF(L114&gt;0,IF(J114="CBAL2",Worksheet!$P$69,IF(J114="CBE2-24",Worksheet!$Q$69,IF(J114="CBAM",Worksheet!$R$69,IF(J114="CBLV",Worksheet!$S$69,IF(J114="CBAB",Worksheet!$U$69,IF(J114="CBAW",Worksheet!$X$69,IF(J114="CBE2-12",Worksheet!$Y$69,IF(J114="CBAL2",Worksheet!$Z$69,"N/A"))))))))," ")</f>
        <v xml:space="preserve"> </v>
      </c>
      <c r="FU114" s="361" t="str">
        <f t="shared" si="381"/>
        <v xml:space="preserve"> </v>
      </c>
      <c r="FV114" s="362" t="str">
        <f t="shared" si="382"/>
        <v xml:space="preserve"> </v>
      </c>
      <c r="FW114" s="362" t="str">
        <f t="shared" si="383"/>
        <v xml:space="preserve"> </v>
      </c>
      <c r="FX114" s="362" t="str">
        <f t="shared" si="384"/>
        <v xml:space="preserve"> </v>
      </c>
      <c r="FY114" s="355" t="str">
        <f t="shared" si="385"/>
        <v xml:space="preserve"> </v>
      </c>
      <c r="FZ114" s="361" t="str">
        <f t="shared" si="386"/>
        <v xml:space="preserve"> </v>
      </c>
      <c r="GA114" s="347" t="str">
        <f t="shared" si="387"/>
        <v xml:space="preserve"> </v>
      </c>
      <c r="GB114" s="355" t="str">
        <f t="shared" si="388"/>
        <v xml:space="preserve"> </v>
      </c>
      <c r="GC114" s="328" t="str">
        <f t="shared" si="389"/>
        <v xml:space="preserve"> </v>
      </c>
      <c r="GD114" s="361" t="str">
        <f t="shared" si="390"/>
        <v xml:space="preserve"> </v>
      </c>
      <c r="GE114" s="347" t="str">
        <f t="shared" si="391"/>
        <v xml:space="preserve"> </v>
      </c>
      <c r="GF114" s="361" t="str">
        <f t="shared" si="392"/>
        <v xml:space="preserve"> </v>
      </c>
      <c r="GG114" s="347" t="str">
        <f t="shared" si="393"/>
        <v xml:space="preserve"> </v>
      </c>
      <c r="GH114" s="364">
        <f t="shared" si="287"/>
        <v>0</v>
      </c>
      <c r="GI114" s="362">
        <f t="shared" si="394"/>
        <v>2</v>
      </c>
      <c r="GJ114" s="433" t="e">
        <f>IF(6-COUNTBLANK(GT114:GY114)=4,MATCH(MID(BO114,9,3),CLU!$H$16:$K$16),MATCH(MID(BO114,9,3),CLU!$H$13:$M$13))</f>
        <v>#N/A</v>
      </c>
      <c r="GK114" s="433" t="e">
        <f>HLOOKUP(VALUE(BP114),CLU!$H$9:$M$10,2)</f>
        <v>#VALUE!</v>
      </c>
      <c r="GL114" s="433" t="e">
        <f ca="1">MATCH(BU114,CLU!$H$2:$V$2,1)</f>
        <v>#VALUE!</v>
      </c>
      <c r="GM114" s="433" t="e">
        <f t="shared" ca="1" si="395"/>
        <v>#VALUE!</v>
      </c>
      <c r="GN114" s="433" t="e">
        <f t="shared" ca="1" si="396"/>
        <v>#VALUE!</v>
      </c>
      <c r="GO114" s="433" t="e">
        <f t="shared" ca="1" si="397"/>
        <v>#VALUE!</v>
      </c>
      <c r="GP114" s="433" t="e">
        <f t="shared" ca="1" si="398"/>
        <v>#VALUE!</v>
      </c>
      <c r="GQ114" s="433" t="e">
        <f t="shared" ca="1" si="399"/>
        <v>#VALUE!</v>
      </c>
      <c r="GR114" s="433" t="e">
        <f ca="1">MATCH(T114,INDIRECT(VLOOKUP(CONCATENATE(LEFT(BO114,7),"-",MID(BO114,13,1)),CLU!$P$3:$Q$16,2)),1)</f>
        <v>#N/A</v>
      </c>
      <c r="GS114" s="433" t="e">
        <f ca="1">MATCH(U114,INDIRECT(VLOOKUP(CONCATENATE(LEFT(BO114,7),"-",MID(BO114,13,1)),CLU!$P$3:$Q$16,2)),1)</f>
        <v>#N/A</v>
      </c>
      <c r="GT114" s="347" t="s">
        <v>512</v>
      </c>
      <c r="GU114" s="97" t="s">
        <v>513</v>
      </c>
      <c r="GV114" s="97" t="str">
        <f t="shared" si="400"/>
        <v>M23</v>
      </c>
      <c r="GW114" s="97" t="str">
        <f t="shared" si="401"/>
        <v>M31</v>
      </c>
      <c r="GX114" s="97" t="str">
        <f t="shared" si="402"/>
        <v/>
      </c>
      <c r="GY114" s="97" t="str">
        <f t="shared" si="403"/>
        <v/>
      </c>
      <c r="GZ114" s="481"/>
      <c r="HA114" s="288"/>
      <c r="HB114" s="240"/>
      <c r="HC114" s="240"/>
      <c r="HD114" s="240"/>
      <c r="HE114" s="240"/>
      <c r="HF114" s="240"/>
      <c r="HG114" s="240"/>
      <c r="HH114" s="240"/>
      <c r="HI114" s="240"/>
      <c r="HJ114" s="240"/>
      <c r="HK114" s="240"/>
      <c r="HL114" s="240"/>
      <c r="HM114" s="240"/>
      <c r="HN114" s="240"/>
      <c r="HO114" s="240"/>
      <c r="HP114" s="240"/>
      <c r="HQ114" s="240"/>
      <c r="HR114" s="240"/>
      <c r="HS114" s="240"/>
      <c r="HT114" s="240"/>
      <c r="HU114" s="240"/>
      <c r="HV114" s="245"/>
      <c r="HW114" s="245" t="b">
        <v>1</v>
      </c>
      <c r="HX114" s="245" t="str">
        <f t="shared" si="288"/>
        <v/>
      </c>
      <c r="HY114" s="245" t="e">
        <f t="shared" si="289"/>
        <v>#DIV/0!</v>
      </c>
      <c r="HZ114" s="245" t="e">
        <f t="shared" si="290"/>
        <v>#DIV/0!</v>
      </c>
      <c r="IA114" s="245">
        <f t="shared" si="291"/>
        <v>0</v>
      </c>
      <c r="IB114" s="245"/>
      <c r="IC114" t="b">
        <f t="shared" si="292"/>
        <v>1</v>
      </c>
      <c r="ID114" s="245" t="b">
        <f t="shared" si="293"/>
        <v>1</v>
      </c>
      <c r="IE114" s="245" t="b">
        <f t="shared" si="294"/>
        <v>1</v>
      </c>
      <c r="IF114" s="245" t="b">
        <f t="shared" si="295"/>
        <v>0</v>
      </c>
      <c r="IG114" s="245" t="b">
        <f t="shared" si="296"/>
        <v>1</v>
      </c>
      <c r="IH114" s="245" t="b">
        <f t="shared" si="297"/>
        <v>1</v>
      </c>
      <c r="II114" s="245">
        <f t="shared" si="404"/>
        <v>0</v>
      </c>
      <c r="IJ114" s="245" t="e">
        <f t="shared" si="298"/>
        <v>#VALUE!</v>
      </c>
      <c r="IK114" s="245" t="e">
        <f t="shared" si="299"/>
        <v>#VALUE!</v>
      </c>
      <c r="IL114" s="245"/>
      <c r="IM114" s="245" t="e">
        <f t="shared" si="405"/>
        <v>#N/A</v>
      </c>
      <c r="IN114" s="245" t="e">
        <f t="shared" si="406"/>
        <v>#N/A</v>
      </c>
      <c r="IO114" s="245"/>
      <c r="IP114" s="245"/>
      <c r="IQ114" s="245" t="str">
        <f t="shared" si="300"/>
        <v/>
      </c>
      <c r="IR114" s="245" t="str">
        <f>IF(J114="","",VLOOKUP(J114,Worksheet!$R$4:$T$14,2))</f>
        <v/>
      </c>
      <c r="IS114" s="245"/>
      <c r="IT114" s="245">
        <f t="shared" si="301"/>
        <v>0</v>
      </c>
      <c r="IU114" s="245">
        <f t="shared" si="302"/>
        <v>0</v>
      </c>
      <c r="IV114" s="245">
        <f t="shared" si="303"/>
        <v>0</v>
      </c>
      <c r="IW114" s="245">
        <f t="shared" si="304"/>
        <v>0</v>
      </c>
      <c r="IX114" s="245">
        <f t="shared" si="407"/>
        <v>0</v>
      </c>
      <c r="IY114" s="245">
        <f t="shared" si="305"/>
        <v>0</v>
      </c>
      <c r="IZ114" s="245">
        <f t="shared" si="306"/>
        <v>0</v>
      </c>
      <c r="JA114">
        <f t="shared" si="307"/>
        <v>0</v>
      </c>
      <c r="JB114">
        <f t="shared" si="408"/>
        <v>0</v>
      </c>
      <c r="JC114">
        <f t="shared" si="308"/>
        <v>0</v>
      </c>
      <c r="JD114">
        <f t="shared" si="309"/>
        <v>0</v>
      </c>
      <c r="JE114">
        <f t="shared" si="310"/>
        <v>0</v>
      </c>
      <c r="JF114">
        <f t="shared" si="311"/>
        <v>0</v>
      </c>
      <c r="JG114">
        <f t="shared" si="312"/>
        <v>0</v>
      </c>
      <c r="JH114">
        <f t="shared" si="313"/>
        <v>0</v>
      </c>
      <c r="JI114">
        <f t="shared" si="314"/>
        <v>0</v>
      </c>
      <c r="JJ114" s="447">
        <f t="shared" si="315"/>
        <v>0</v>
      </c>
      <c r="JK114" s="447">
        <f t="shared" si="316"/>
        <v>0</v>
      </c>
      <c r="JL114">
        <f t="shared" si="317"/>
        <v>0</v>
      </c>
      <c r="JM114" s="245" t="str">
        <f>IFERROR(VLOOKUP(MATCH(BN114,#REF!,0),#REF!,7),"")</f>
        <v/>
      </c>
      <c r="JN114" t="e">
        <f>HLOOKUP(LEFT(BO114,7),Discharge_Area,MATCH(JO114,LookUps!$B$130:$B$149,1)+2)</f>
        <v>#N/A</v>
      </c>
      <c r="JO114" t="str">
        <f t="shared" si="318"/>
        <v>- S</v>
      </c>
      <c r="JP114" t="e">
        <f>HLOOKUP(LEFT(BO114,7),Discharge_Area,MATCH(JO114,LookUps!$B$130:$B$149,1)+2)</f>
        <v>#N/A</v>
      </c>
      <c r="JQ114" t="e">
        <f t="shared" si="319"/>
        <v>#N/A</v>
      </c>
      <c r="JR114" t="e">
        <f t="shared" si="320"/>
        <v>#N/A</v>
      </c>
      <c r="JS114" t="e">
        <f t="shared" si="321"/>
        <v>#N/A</v>
      </c>
      <c r="JT114" s="532" t="str">
        <f t="shared" si="322"/>
        <v xml:space="preserve"> </v>
      </c>
      <c r="JU114" s="532" t="str">
        <f t="shared" si="323"/>
        <v xml:space="preserve"> </v>
      </c>
      <c r="JV114" s="533" t="str">
        <f t="shared" si="324"/>
        <v xml:space="preserve"> </v>
      </c>
      <c r="JW114" s="534">
        <f t="shared" si="325"/>
        <v>0</v>
      </c>
      <c r="JX114" s="535" t="str">
        <f t="shared" si="409"/>
        <v xml:space="preserve"> </v>
      </c>
      <c r="JY114" s="535" t="str">
        <f t="shared" si="410"/>
        <v xml:space="preserve"> </v>
      </c>
      <c r="JZ114" s="535" t="str">
        <f t="shared" si="411"/>
        <v xml:space="preserve"> </v>
      </c>
      <c r="KA114" s="536" t="str">
        <f t="shared" si="326"/>
        <v xml:space="preserve"> </v>
      </c>
      <c r="KB114" s="535" t="e">
        <f t="shared" si="412"/>
        <v>#VALUE!</v>
      </c>
      <c r="KC114" s="535" t="str">
        <f t="shared" si="327"/>
        <v/>
      </c>
      <c r="KD114" s="537" t="str">
        <f t="shared" si="413"/>
        <v xml:space="preserve"> </v>
      </c>
      <c r="KE114" s="537" t="str">
        <f t="shared" si="414"/>
        <v xml:space="preserve"> </v>
      </c>
      <c r="KF114" s="534">
        <f t="shared" si="328"/>
        <v>0</v>
      </c>
      <c r="KG114" s="535" t="str">
        <f t="shared" si="329"/>
        <v xml:space="preserve"> </v>
      </c>
      <c r="KH114" s="535" t="str">
        <f t="shared" si="330"/>
        <v xml:space="preserve"> </v>
      </c>
      <c r="KI114" s="535" t="str">
        <f t="shared" si="331"/>
        <v xml:space="preserve"> </v>
      </c>
      <c r="KJ114" s="536" t="str">
        <f t="shared" si="332"/>
        <v xml:space="preserve"> </v>
      </c>
      <c r="KK114" s="535" t="str">
        <f t="shared" si="415"/>
        <v xml:space="preserve"> </v>
      </c>
      <c r="KL114" s="535" t="str">
        <f t="shared" si="416"/>
        <v xml:space="preserve"> </v>
      </c>
      <c r="KM114" s="537" t="str">
        <f t="shared" si="333"/>
        <v xml:space="preserve"> </v>
      </c>
      <c r="KN114" s="537" t="str">
        <f t="shared" si="417"/>
        <v xml:space="preserve"> </v>
      </c>
      <c r="KP114">
        <f t="shared" si="334"/>
        <v>0</v>
      </c>
      <c r="LA114" t="e">
        <f t="shared" si="335"/>
        <v>#VALUE!</v>
      </c>
      <c r="LB114" t="e">
        <f t="shared" si="336"/>
        <v>#VALUE!</v>
      </c>
      <c r="LC114" t="e">
        <f t="shared" si="337"/>
        <v>#VALUE!</v>
      </c>
      <c r="LD114" t="e">
        <f t="shared" si="338"/>
        <v>#VALUE!</v>
      </c>
      <c r="LE114" t="e">
        <f t="shared" si="418"/>
        <v>#VALUE!</v>
      </c>
      <c r="LF114">
        <f t="shared" si="339"/>
        <v>0</v>
      </c>
      <c r="LG114" t="e">
        <f t="shared" si="419"/>
        <v>#VALUE!</v>
      </c>
      <c r="LH114" t="str">
        <f t="shared" si="340"/>
        <v xml:space="preserve"> </v>
      </c>
      <c r="LI114">
        <f t="shared" si="420"/>
        <v>1</v>
      </c>
    </row>
    <row r="115" spans="2:321" ht="15" customHeight="1">
      <c r="B115" s="311"/>
      <c r="C115" s="311"/>
      <c r="D115" s="312"/>
      <c r="E115" s="311"/>
      <c r="F115" s="312"/>
      <c r="G115" s="311"/>
      <c r="H115" s="311"/>
      <c r="I115" s="37"/>
      <c r="J115" s="311"/>
      <c r="K115" s="305" t="str">
        <f t="shared" si="341"/>
        <v/>
      </c>
      <c r="L115" s="313"/>
      <c r="M115" s="312"/>
      <c r="N115" s="311"/>
      <c r="O115" s="312"/>
      <c r="P115" s="311"/>
      <c r="Q115" s="305" t="str">
        <f t="shared" si="342"/>
        <v/>
      </c>
      <c r="R115" s="314"/>
      <c r="S115" s="450" t="str">
        <f t="shared" si="225"/>
        <v/>
      </c>
      <c r="T115" s="315"/>
      <c r="U115" s="315"/>
      <c r="W115" s="149" t="str">
        <f t="shared" si="226"/>
        <v xml:space="preserve"> </v>
      </c>
      <c r="X115" s="243" t="str">
        <f t="shared" si="227"/>
        <v xml:space="preserve"> </v>
      </c>
      <c r="Y115" s="150" t="str">
        <f t="shared" si="228"/>
        <v/>
      </c>
      <c r="Z115" s="149" t="str">
        <f t="shared" si="229"/>
        <v xml:space="preserve"> </v>
      </c>
      <c r="AA115" s="98" t="str">
        <f t="shared" si="230"/>
        <v xml:space="preserve"> </v>
      </c>
      <c r="AB115" s="153" t="str">
        <f t="shared" si="231"/>
        <v xml:space="preserve"> </v>
      </c>
      <c r="AC115" s="153" t="str">
        <f t="shared" si="232"/>
        <v xml:space="preserve"> </v>
      </c>
      <c r="AD115" s="148" t="str">
        <f t="shared" si="233"/>
        <v/>
      </c>
      <c r="AE115" s="149" t="str">
        <f t="shared" si="234"/>
        <v/>
      </c>
      <c r="AF115" s="151" t="str">
        <f t="shared" si="235"/>
        <v xml:space="preserve"> </v>
      </c>
      <c r="AG115" s="153" t="str">
        <f t="shared" si="236"/>
        <v xml:space="preserve"> </v>
      </c>
      <c r="AH115" s="98" t="str">
        <f t="shared" si="237"/>
        <v xml:space="preserve"> </v>
      </c>
      <c r="AI115" s="149" t="str">
        <f t="shared" si="238"/>
        <v xml:space="preserve"> </v>
      </c>
      <c r="AK115" s="144" t="str">
        <f t="shared" si="239"/>
        <v xml:space="preserve"> </v>
      </c>
      <c r="AL115" s="144"/>
      <c r="AM115" s="243" t="str">
        <f t="shared" si="240"/>
        <v xml:space="preserve"> </v>
      </c>
      <c r="AN115" s="149" t="str">
        <f t="shared" si="343"/>
        <v xml:space="preserve"> </v>
      </c>
      <c r="AO115" s="144" t="str">
        <f>IF(JB115&gt;0,IF(GI115=10,-R115*1.085*(Calculation!$F$6-Calculation!$F$13)*$S$14," "),"")</f>
        <v/>
      </c>
      <c r="AP115" s="144" t="str">
        <f t="shared" si="241"/>
        <v/>
      </c>
      <c r="AQ115" s="56" t="str">
        <f t="shared" si="242"/>
        <v/>
      </c>
      <c r="AR115" s="144" t="str">
        <f t="shared" si="243"/>
        <v/>
      </c>
      <c r="AS115" s="176" t="str">
        <f t="shared" si="244"/>
        <v/>
      </c>
      <c r="AT115" s="176" t="str">
        <f t="shared" si="344"/>
        <v xml:space="preserve"> </v>
      </c>
      <c r="AU115" s="176" t="str">
        <f t="shared" si="245"/>
        <v/>
      </c>
      <c r="AV115" s="177" t="str">
        <f t="shared" si="246"/>
        <v xml:space="preserve"> </v>
      </c>
      <c r="AW115" s="144" t="str">
        <f t="shared" si="247"/>
        <v xml:space="preserve"> </v>
      </c>
      <c r="AX115" s="144" t="str">
        <f t="shared" si="248"/>
        <v xml:space="preserve"> </v>
      </c>
      <c r="AY115" s="152" t="str">
        <f t="shared" si="249"/>
        <v xml:space="preserve"> </v>
      </c>
      <c r="AZ115" s="246" t="str">
        <f t="shared" si="250"/>
        <v/>
      </c>
      <c r="BA115" s="176" t="str">
        <f t="shared" si="251"/>
        <v xml:space="preserve"> </v>
      </c>
      <c r="BB115" s="176" t="str">
        <f t="shared" si="252"/>
        <v xml:space="preserve"> </v>
      </c>
      <c r="BC115" s="195"/>
      <c r="BD115" s="316"/>
      <c r="BE115" s="317"/>
      <c r="BF115" s="318"/>
      <c r="BG115" s="318"/>
      <c r="BH115" s="144" t="str">
        <f t="shared" si="421"/>
        <v xml:space="preserve"> </v>
      </c>
      <c r="BI115" s="176" t="str">
        <f t="shared" si="253"/>
        <v/>
      </c>
      <c r="BJ115" s="144" t="str">
        <f t="shared" si="422"/>
        <v/>
      </c>
      <c r="BK115" s="246" t="str">
        <f t="shared" si="254"/>
        <v/>
      </c>
      <c r="BL115" s="144" t="str">
        <f t="shared" si="423"/>
        <v/>
      </c>
      <c r="BM115" s="246" t="str">
        <f t="shared" si="255"/>
        <v/>
      </c>
      <c r="BN115" s="337" t="str">
        <f t="shared" si="345"/>
        <v/>
      </c>
      <c r="BO115" s="371" t="str">
        <f t="shared" si="346"/>
        <v/>
      </c>
      <c r="BP115" s="328" t="str">
        <f t="shared" si="424"/>
        <v xml:space="preserve"> </v>
      </c>
      <c r="BQ115" s="347" t="str">
        <f t="shared" si="347"/>
        <v xml:space="preserve"> </v>
      </c>
      <c r="BR115" s="353" t="str">
        <f t="shared" si="348"/>
        <v xml:space="preserve"> </v>
      </c>
      <c r="BS115" s="626" t="str">
        <f>IF(L115&gt;0,IF(Calculation!P115="M13",BR115*3.1416*(0.134^2)/(4*144),IF(Calculation!P115="M17",BR115*3.1416*(0.165^2)/(4*144),IF(Calculation!P115="M20",BR115*3.1416*(0.198^2)/(4*144),IF(Calculation!P115="M23",BR115*3.1416*(0.228^2)/(4*144),IF(Calculation!P115="M27",BR115*3.1416*(0.269^2)/(4*144),BR115*3.1416*(0.307^2)/(4*144))))))," ")</f>
        <v xml:space="preserve"> </v>
      </c>
      <c r="BT115" s="353" t="str">
        <f>IF(L115&gt;0,IF(BS115&gt;0,R115/Calculation!BS115,0)," ")</f>
        <v xml:space="preserve"> </v>
      </c>
      <c r="BU115" s="438" t="e">
        <f t="shared" ca="1" si="256"/>
        <v>#VALUE!</v>
      </c>
      <c r="BV115" s="449" t="e">
        <f ca="1">INDEX(INDIRECT(VLOOKUP(LEFT(BO115,7),CLU!$Z$3:$AH$18,2)),GN115,GR115)</f>
        <v>#N/A</v>
      </c>
      <c r="BW115" s="433" t="e">
        <f ca="1">INDEX(INDIRECT(VLOOKUP(LEFT(BO115,7),CLU!$Z$3:$AH$18,3)),GN115,GR115)</f>
        <v>#N/A</v>
      </c>
      <c r="BX115" s="433" t="e">
        <f ca="1">INDEX(INDIRECT(VLOOKUP(LEFT(BO115,7),CLU!$Z$3:$AH$18,4)),GN115,GR115)</f>
        <v>#N/A</v>
      </c>
      <c r="BY115" s="433" t="e">
        <f ca="1">INDEX(INDIRECT(VLOOKUP(LEFT(BO115,7),CLU!$Z$3:$AH$18,9)),((M115-2)*(6-COUNTBLANK(GT115:GY115)))+GJ115)</f>
        <v>#N/A</v>
      </c>
      <c r="BZ115" s="426" t="e">
        <f t="shared" ca="1" si="349"/>
        <v>#N/A</v>
      </c>
      <c r="CA115" s="424" t="e">
        <f t="shared" ca="1" si="350"/>
        <v>#N/A</v>
      </c>
      <c r="CB115" s="429" t="e">
        <f ca="1">INDEX(INDIRECT(VLOOKUP(LEFT(BO115,7),CLU!$Z$3:$AH$18,2)),GN115,GS115)</f>
        <v>#N/A</v>
      </c>
      <c r="CC115" s="342" t="e">
        <f ca="1">INDEX(INDIRECT(VLOOKUP(LEFT(BO115,7),CLU!$Z$3:$AH$18,3)),GN115,GS115)</f>
        <v>#N/A</v>
      </c>
      <c r="CD115" s="342" t="e">
        <f ca="1">INDEX(INDIRECT(VLOOKUP(LEFT(BO115,7),CLU!$Z$3:$AH$18,4)),GN115,GS115)</f>
        <v>#N/A</v>
      </c>
      <c r="CE115" s="426" t="e">
        <f t="shared" ca="1" si="351"/>
        <v>#N/A</v>
      </c>
      <c r="CF115" s="440">
        <f t="shared" si="352"/>
        <v>0</v>
      </c>
      <c r="CG115" s="431" t="e">
        <f ca="1">INDEX(INDIRECT(VLOOKUP(LEFT(BO115,7),CLU!$Z$3:$AH$18,2)),GQ115,GR115)</f>
        <v>#N/A</v>
      </c>
      <c r="CH115" s="431" t="e">
        <f ca="1">INDEX(INDIRECT(VLOOKUP(LEFT(BO115,7),CLU!$Z$3:$AH$18,3)),GQ115,GR115)</f>
        <v>#N/A</v>
      </c>
      <c r="CI115" s="431" t="e">
        <f ca="1">INDEX(INDIRECT(VLOOKUP(LEFT(BO115,7),CLU!$Z$3:$AH$18,4)),GQ115,GR115)</f>
        <v>#N/A</v>
      </c>
      <c r="CJ115" s="448" t="e">
        <f t="shared" ca="1" si="353"/>
        <v>#N/A</v>
      </c>
      <c r="CK115" s="431" t="e">
        <f t="shared" ca="1" si="354"/>
        <v>#N/A</v>
      </c>
      <c r="CL115" s="440" t="e">
        <f t="shared" ca="1" si="355"/>
        <v>#N/A</v>
      </c>
      <c r="CM115" s="431" t="e">
        <f ca="1">INDEX(INDIRECT(VLOOKUP(LEFT(BO115,7),CLU!$Z$3:$AH$18,2)),GQ115,GS115)</f>
        <v>#N/A</v>
      </c>
      <c r="CN115" s="431" t="e">
        <f ca="1">INDEX(INDIRECT(VLOOKUP(LEFT(BO115,7),CLU!$Z$3:$AH$18,3)),GQ115,GS115)</f>
        <v>#N/A</v>
      </c>
      <c r="CO115" s="431" t="e">
        <f ca="1">INDEX(INDIRECT(VLOOKUP(LEFT(BO115,7),CLU!$Z$3:$AH$18,4)),GQ115,GS115)</f>
        <v>#N/A</v>
      </c>
      <c r="CP115" s="431" t="e">
        <f t="shared" ca="1" si="356"/>
        <v>#N/A</v>
      </c>
      <c r="CQ115" s="440">
        <f t="shared" si="357"/>
        <v>0</v>
      </c>
      <c r="CR115" s="51" t="e">
        <f t="shared" ca="1" si="358"/>
        <v>#N/A</v>
      </c>
      <c r="CS115" s="439" t="e">
        <f t="shared" ca="1" si="359"/>
        <v>#VALUE!</v>
      </c>
      <c r="CT115" s="51" t="e">
        <f t="shared" ca="1" si="360"/>
        <v>#VALUE!</v>
      </c>
      <c r="CU115" s="10"/>
      <c r="CV115" s="51" t="e">
        <f t="shared" ca="1" si="257"/>
        <v>#VALUE!</v>
      </c>
      <c r="CW115" s="51">
        <f t="shared" si="361"/>
        <v>0</v>
      </c>
      <c r="CX115" s="439" t="e">
        <f t="shared" ca="1" si="362"/>
        <v>#VALUE!</v>
      </c>
      <c r="CY115" s="51" t="e">
        <f t="shared" ca="1" si="363"/>
        <v>#VALUE!</v>
      </c>
      <c r="CZ115" s="10"/>
      <c r="DA115" s="51" t="e">
        <f t="shared" ca="1" si="364"/>
        <v>#VALUE!</v>
      </c>
      <c r="DB115" s="347" t="e">
        <f ca="1">INDEX(INDIRECT(VLOOKUP(LEFT(BO115,7),CLU!$Z$3:$AI$18,10)),((M115-2)*(6-COUNTBLANK(GT115:GY115)))+GJ115)*LI115</f>
        <v>#N/A</v>
      </c>
      <c r="DC115" s="347" t="str">
        <f>IF(L115&gt;0,((R115/Worksheet!$I$15)/DB115)^2," ")</f>
        <v xml:space="preserve"> </v>
      </c>
      <c r="DD115" s="602" t="str">
        <f t="shared" si="365"/>
        <v xml:space="preserve"> </v>
      </c>
      <c r="DE115" s="347" t="str">
        <f t="shared" si="258"/>
        <v xml:space="preserve"> </v>
      </c>
      <c r="DF115" s="356" t="e">
        <f ca="1">INDEX(INDIRECT(VLOOKUP(LEFT(BO115,7),CLU!$Z$3:$AH$18,8)),((M115-2)*(6-COUNTBLANK(GT115:GY115)))+GJ115)</f>
        <v>#N/A</v>
      </c>
      <c r="DG115" s="347" t="str">
        <f t="shared" si="259"/>
        <v xml:space="preserve"> </v>
      </c>
      <c r="DH115" s="357" t="str">
        <f t="shared" si="260"/>
        <v xml:space="preserve"> </v>
      </c>
      <c r="DI115" s="355" t="str">
        <f t="shared" si="261"/>
        <v xml:space="preserve"> </v>
      </c>
      <c r="DJ115" s="245" t="e">
        <f ca="1">INDEX(INDIRECT(VLOOKUP(LEFT(BO115,7),CLU!$Z$3:$AH$18,5)),GL115,GK115)</f>
        <v>#N/A</v>
      </c>
      <c r="DK115" s="245" t="e">
        <f ca="1">INDEX(INDIRECT(VLOOKUP(LEFT(BO115,7),CLU!$Z$3:$AH$18,6)),GL115,GK115)</f>
        <v>#N/A</v>
      </c>
      <c r="DL115" s="355">
        <f>(Calculation!R115*0.69143*(Calculation!$BQ$8-Calculation!$F$8))*$S$14</f>
        <v>0</v>
      </c>
      <c r="DM115" s="359" t="e">
        <f t="shared" si="366"/>
        <v>#VALUE!</v>
      </c>
      <c r="DN115" s="611">
        <f t="shared" si="367"/>
        <v>0</v>
      </c>
      <c r="DO115" s="359">
        <f t="shared" si="368"/>
        <v>100</v>
      </c>
      <c r="DP115" s="359">
        <f t="shared" si="369"/>
        <v>0</v>
      </c>
      <c r="DQ115" s="360"/>
      <c r="DR115" s="245" t="e">
        <f ca="1">INDEX(INDIRECT(VLOOKUP(LEFT(BO115,7),CLU!$Z$3:$AH$18,7)),M115-1,1)</f>
        <v>#N/A</v>
      </c>
      <c r="DS115" s="245" t="e">
        <f ca="1">INDEX(INDIRECT(VLOOKUP(LEFT(BO115,7),CLU!$Z$3:$AH$18,7)),M115-1,2)</f>
        <v>#N/A</v>
      </c>
      <c r="DT115" s="245" t="e">
        <f ca="1">INDEX(INDIRECT(VLOOKUP(LEFT(BO115,7),CLU!$Z$3:$AH$18,7)),M115-1,3)</f>
        <v>#N/A</v>
      </c>
      <c r="DU115" s="245" t="e">
        <f ca="1">INDEX(INDIRECT(VLOOKUP(LEFT(BO115,7),CLU!$Z$3:$AH$18,7)),M115-1,4)</f>
        <v>#N/A</v>
      </c>
      <c r="DV115" s="361" t="e">
        <f ca="1">INDEX(INDIRECT(VLOOKUP(LEFT(BO115,7),CLU!$Z$3:$AH$18,7)),M115-1,4+LEFT(DZ115,1)*0.5)</f>
        <v>#N/A</v>
      </c>
      <c r="DW115" s="245" t="e">
        <f ca="1">INDEX(INDIRECT(VLOOKUP(LEFT(BO115,7),CLU!$Z$3:$AH$18,7)),M115-1,8)</f>
        <v>#N/A</v>
      </c>
      <c r="DX115" s="361" t="str">
        <f t="shared" si="262"/>
        <v xml:space="preserve"> </v>
      </c>
      <c r="DY115" s="361" t="str">
        <f t="shared" si="263"/>
        <v xml:space="preserve"> </v>
      </c>
      <c r="DZ115" s="361" t="str">
        <f t="shared" si="264"/>
        <v xml:space="preserve"> </v>
      </c>
      <c r="EA115" s="362" t="str">
        <f t="shared" si="265"/>
        <v xml:space="preserve"> </v>
      </c>
      <c r="EB115" s="624" t="str">
        <f t="shared" si="370"/>
        <v xml:space="preserve"> </v>
      </c>
      <c r="EC115" s="361" t="e">
        <f ca="1">INDEX(INDIRECT(VLOOKUP(LEFT(BO115,7),CLU!$Z$3:$AH$18,7)),M115-1,4+LEFT(DZ115,1)*0.5)</f>
        <v>#N/A</v>
      </c>
      <c r="ED115" s="362" t="str">
        <f t="shared" si="266"/>
        <v xml:space="preserve"> </v>
      </c>
      <c r="EE115" s="361" t="str">
        <f t="shared" si="267"/>
        <v xml:space="preserve"> </v>
      </c>
      <c r="EF115" s="362" t="str">
        <f>IF(L115&gt;0,IF(BR115&gt;0,IF(EE115="2P",IF(Calculation!DZ115="2P",IF(Calculation!DS115=13.75,IF(Calculation!DR115=13,Worksheet!$BD$43,IF(Calculation!DR115=37,Worksheet!$BD$44,Worksheet!$BD$45)),IF(Calculation!DS115=10,IF(Calculation!DR115=18,Worksheet!$BD$29,IF(Calculation!DR115=30,Worksheet!$BD$30,IF(Calculation!DR115=42,Worksheet!$BD$31,IF(Calculation!DR115=54,Worksheet!$BD$32,IF(Calculation!DR115=66,Worksheet!$BD$33,IF(Calculation!DR115=78,Worksheet!$BD$34,IF(Calculation!DR115=90,Worksheet!$BD$35,IF(Calculation!DR115=102,Worksheet!$BD$36,Worksheet!$BD$37)))))))),IF(Calculation!DS115=12.5,IF(Calculation!DR115=18,Worksheet!$BD$38,IF(Calculation!DR115=Worksheet!$BD$39,IF(Calculation!DR115=42,Worksheet!$BD$40,IF(Calculation!DR115=54,Worksheet!$BD$41,Worksheet!$BD$42)))),IF(Calculation!DR115=18,Worksheet!$BD$11,IF(Calculation!DR115=30,Worksheet!$BD$12,IF(Calculation!DR115=42,Worksheet!$BD$13,IF(Calculation!DR115=54,Worksheet!$BD$14,IF(Calculation!DR115=66,Worksheet!$BD$15,IF(Calculation!DR115=78,Worksheet!$BD$16,IF(Calculation!DR115=90,Worksheet!$BD$17,IF(Calculation!DR115=102,Worksheet!$BD$18,Worksheet!$BD$19))))))))))),IF(Calculation!DS115=13.75,IF(Calculation!DR115=13,Worksheet!$BD$78,IF(Calculation!DR115=37,Worksheet!$BD$79,Worksheet!$BD$80)),IF(Calculation!DS115=10,IF(Calculation!DR115=18,Worksheet!$BD$64,IF(Calculation!DR115=30,Worksheet!$BD$65,IF(Calculation!DR115=42,Worksheet!$BD$66,IF(Calculation!DR115=54,Worksheet!$BD$68,IF(Calculation!DR115=66,Worksheet!$BD$68,IF(Calculation!DR115=78,Worksheet!$BD$69,IF(Calculation!DR115=90,Worksheet!$BD$70,IF(Calculation!DR115=102,Worksheet!$BD$71,Worksheet!$BD$72)))))))),IF(Calculation!DS115=12.5,IF(Calculation!DR115=18,Worksheet!$BD$73,IF(Calculation!DR115=Worksheet!$BD$74,IF(Calculation!DR115=42,Worksheet!$BD$75,IF(Calculation!DR115=54,Worksheet!$BD$76,Worksheet!$BD$77)))),IF(Calculation!DR115=18,Worksheet!$BD$55,IF(Calculation!DR115=30,Worksheet!$BD$56,IF(Calculation!DR115=42,Worksheet!$BD$57,IF(Calculation!DR115=54,Worksheet!$BD$58,IF(Calculation!DR115=66,Worksheet!$BD$59,IF(Calculation!DR115=78,Worksheet!$BD$60,IF(Calculation!DR115=90,Worksheet!$BD$61,IF(Calculation!DR115=102,Worksheet!$BD$62,Worksheet!$BD$63)))))))))))),5),0)," ")</f>
        <v xml:space="preserve"> </v>
      </c>
      <c r="EG115" s="361" t="str">
        <f t="shared" si="268"/>
        <v xml:space="preserve"> </v>
      </c>
      <c r="EH115" s="361" t="e">
        <f ca="1">INDEX(INDIRECT(VLOOKUP(LEFT(BO115,7),CLU!$Z$3:$AH$18,7)),M115-1,3+LEFT(DZ115,1))</f>
        <v>#N/A</v>
      </c>
      <c r="EI115" s="362" t="str">
        <f t="shared" si="269"/>
        <v xml:space="preserve"> </v>
      </c>
      <c r="EJ115" s="363" t="str">
        <f t="shared" si="270"/>
        <v xml:space="preserve"> </v>
      </c>
      <c r="EK115" s="363" t="str">
        <f t="shared" si="271"/>
        <v xml:space="preserve"> </v>
      </c>
      <c r="EL115" s="363" t="str">
        <f t="shared" si="272"/>
        <v xml:space="preserve"> </v>
      </c>
      <c r="EM115" s="362" t="str">
        <f>IF(L115&gt;0,IF(BR115&gt;0,(Calculation!T115/ED115)^2,0)," ")</f>
        <v xml:space="preserve"> </v>
      </c>
      <c r="EN115" s="362" t="str">
        <f>IF(L115&gt;0,IF(O115="2 Pipe (Cooling)","N/A",IF(BR115&gt;0,(Calculation!U115/EI115)^2,0))," ")</f>
        <v xml:space="preserve"> </v>
      </c>
      <c r="EO115" s="361" t="str">
        <f t="shared" si="273"/>
        <v/>
      </c>
      <c r="EP115" s="361" t="str">
        <f t="shared" si="274"/>
        <v/>
      </c>
      <c r="EQ115" s="361" t="str">
        <f t="shared" si="275"/>
        <v/>
      </c>
      <c r="ER115" s="361" t="str">
        <f t="shared" si="276"/>
        <v/>
      </c>
      <c r="ES115" s="361" t="str">
        <f t="shared" si="277"/>
        <v/>
      </c>
      <c r="ET115" s="361" t="str">
        <f t="shared" si="278"/>
        <v/>
      </c>
      <c r="EU115" s="361" t="str">
        <f t="shared" si="279"/>
        <v/>
      </c>
      <c r="EV115" s="361" t="str">
        <f t="shared" si="280"/>
        <v/>
      </c>
      <c r="EW115" s="361" t="str">
        <f t="shared" si="281"/>
        <v/>
      </c>
      <c r="EX115" s="361" t="str">
        <f t="shared" si="371"/>
        <v>1 slot, 1 way</v>
      </c>
      <c r="EY115" s="361" t="str">
        <f t="shared" si="372"/>
        <v xml:space="preserve"> </v>
      </c>
      <c r="EZ115" s="361" t="str">
        <f t="shared" si="373"/>
        <v xml:space="preserve"> </v>
      </c>
      <c r="FA115" s="361" t="str">
        <f t="shared" si="374"/>
        <v xml:space="preserve"> </v>
      </c>
      <c r="FB115" s="361" t="str">
        <f t="shared" si="375"/>
        <v xml:space="preserve"> </v>
      </c>
      <c r="FC115" s="361"/>
      <c r="FD115" s="361" t="str">
        <f>IF(J115&gt;0,IF(Calculation!R115&lt;=70,4,IF(Calculation!R115&lt;=110,5,IF(Calculation!R115&lt;=160,6,IF(Calculation!R115&lt;=300,8,"10 EO")))),"")</f>
        <v/>
      </c>
      <c r="FE115" s="361" t="str">
        <f t="shared" si="376"/>
        <v/>
      </c>
      <c r="FF115" s="361" t="str">
        <f t="shared" si="377"/>
        <v/>
      </c>
      <c r="FG115" s="361" t="e">
        <f t="shared" si="282"/>
        <v>#N/A</v>
      </c>
      <c r="FH115" s="361">
        <f t="shared" si="283"/>
        <v>0</v>
      </c>
      <c r="FI115" s="361" t="e">
        <f t="shared" si="284"/>
        <v>#DIV/0!</v>
      </c>
      <c r="FJ115" s="361"/>
      <c r="FK115" s="356" t="e">
        <f t="shared" si="285"/>
        <v>#VALUE!</v>
      </c>
      <c r="FL115" s="361"/>
      <c r="FM115" s="361"/>
      <c r="FN115" s="362" t="str">
        <f t="shared" si="378"/>
        <v xml:space="preserve"> </v>
      </c>
      <c r="FO115" s="362" t="str">
        <f t="shared" si="379"/>
        <v xml:space="preserve"> </v>
      </c>
      <c r="FP115" s="362">
        <f t="shared" si="380"/>
        <v>0</v>
      </c>
      <c r="FQ115" s="361">
        <f t="shared" si="286"/>
        <v>0</v>
      </c>
      <c r="FR115" s="362" t="str">
        <f>IF(L115&gt;0,IF(J115="CBAL2",Worksheet!$P$67,IF(J115="CBE2-24",Worksheet!$Q$67,IF(J115="CBAM",Worksheet!$R$67,IF(J115="CBLV",Worksheet!$S$67,IF(J115="CBAB",Worksheet!$U$67,IF(J115="CBAW",Worksheet!$X$67,IF(J115="CBE2-12",Worksheet!$Y$67,IF(J115="CBAL2",Worksheet!$Z$67,"N/A"))))))))," ")</f>
        <v xml:space="preserve"> </v>
      </c>
      <c r="FS115" s="362" t="str">
        <f>IF(L115&gt;0,IF(J115="CBAL2",Worksheet!$P$68,IF(J115="CBE2-24",Worksheet!$Q$68,IF(J115="CBAM",Worksheet!$R$68,IF(J115="CBLV",Worksheet!$S$68,IF(J115="CBAB",Worksheet!$U$68,IF(J115="CBAW",Worksheet!$X$68,IF(J115="CBE2-12",Worksheet!$Y$68,IF(J115="CBAL2",Worksheet!$Z$68,"N/A"))))))))," ")</f>
        <v xml:space="preserve"> </v>
      </c>
      <c r="FT115" s="362" t="str">
        <f>IF(L115&gt;0,IF(J115="CBAL2",Worksheet!$P$69,IF(J115="CBE2-24",Worksheet!$Q$69,IF(J115="CBAM",Worksheet!$R$69,IF(J115="CBLV",Worksheet!$S$69,IF(J115="CBAB",Worksheet!$U$69,IF(J115="CBAW",Worksheet!$X$69,IF(J115="CBE2-12",Worksheet!$Y$69,IF(J115="CBAL2",Worksheet!$Z$69,"N/A"))))))))," ")</f>
        <v xml:space="preserve"> </v>
      </c>
      <c r="FU115" s="361" t="str">
        <f t="shared" si="381"/>
        <v xml:space="preserve"> </v>
      </c>
      <c r="FV115" s="362" t="str">
        <f t="shared" si="382"/>
        <v xml:space="preserve"> </v>
      </c>
      <c r="FW115" s="362" t="str">
        <f t="shared" si="383"/>
        <v xml:space="preserve"> </v>
      </c>
      <c r="FX115" s="362" t="str">
        <f t="shared" si="384"/>
        <v xml:space="preserve"> </v>
      </c>
      <c r="FY115" s="355" t="str">
        <f t="shared" si="385"/>
        <v xml:space="preserve"> </v>
      </c>
      <c r="FZ115" s="361" t="str">
        <f t="shared" si="386"/>
        <v xml:space="preserve"> </v>
      </c>
      <c r="GA115" s="347" t="str">
        <f t="shared" si="387"/>
        <v xml:space="preserve"> </v>
      </c>
      <c r="GB115" s="355" t="str">
        <f t="shared" si="388"/>
        <v xml:space="preserve"> </v>
      </c>
      <c r="GC115" s="328" t="str">
        <f t="shared" si="389"/>
        <v xml:space="preserve"> </v>
      </c>
      <c r="GD115" s="361" t="str">
        <f t="shared" si="390"/>
        <v xml:space="preserve"> </v>
      </c>
      <c r="GE115" s="347" t="str">
        <f t="shared" si="391"/>
        <v xml:space="preserve"> </v>
      </c>
      <c r="GF115" s="361" t="str">
        <f t="shared" si="392"/>
        <v xml:space="preserve"> </v>
      </c>
      <c r="GG115" s="347" t="str">
        <f t="shared" si="393"/>
        <v xml:space="preserve"> </v>
      </c>
      <c r="GH115" s="364">
        <f t="shared" si="287"/>
        <v>0</v>
      </c>
      <c r="GI115" s="362">
        <f t="shared" si="394"/>
        <v>2</v>
      </c>
      <c r="GJ115" s="433" t="e">
        <f>IF(6-COUNTBLANK(GT115:GY115)=4,MATCH(MID(BO115,9,3),CLU!$H$16:$K$16),MATCH(MID(BO115,9,3),CLU!$H$13:$M$13))</f>
        <v>#N/A</v>
      </c>
      <c r="GK115" s="433" t="e">
        <f>HLOOKUP(VALUE(BP115),CLU!$H$9:$M$10,2)</f>
        <v>#VALUE!</v>
      </c>
      <c r="GL115" s="433" t="e">
        <f ca="1">MATCH(BU115,CLU!$H$2:$V$2,1)</f>
        <v>#VALUE!</v>
      </c>
      <c r="GM115" s="433" t="e">
        <f t="shared" ca="1" si="395"/>
        <v>#VALUE!</v>
      </c>
      <c r="GN115" s="433" t="e">
        <f t="shared" ca="1" si="396"/>
        <v>#VALUE!</v>
      </c>
      <c r="GO115" s="433" t="e">
        <f t="shared" ca="1" si="397"/>
        <v>#VALUE!</v>
      </c>
      <c r="GP115" s="433" t="e">
        <f t="shared" ca="1" si="398"/>
        <v>#VALUE!</v>
      </c>
      <c r="GQ115" s="433" t="e">
        <f t="shared" ca="1" si="399"/>
        <v>#VALUE!</v>
      </c>
      <c r="GR115" s="433" t="e">
        <f ca="1">MATCH(T115,INDIRECT(VLOOKUP(CONCATENATE(LEFT(BO115,7),"-",MID(BO115,13,1)),CLU!$P$3:$Q$16,2)),1)</f>
        <v>#N/A</v>
      </c>
      <c r="GS115" s="433" t="e">
        <f ca="1">MATCH(U115,INDIRECT(VLOOKUP(CONCATENATE(LEFT(BO115,7),"-",MID(BO115,13,1)),CLU!$P$3:$Q$16,2)),1)</f>
        <v>#N/A</v>
      </c>
      <c r="GT115" s="347" t="s">
        <v>512</v>
      </c>
      <c r="GU115" s="97" t="s">
        <v>513</v>
      </c>
      <c r="GV115" s="97" t="str">
        <f t="shared" si="400"/>
        <v>M23</v>
      </c>
      <c r="GW115" s="97" t="str">
        <f t="shared" si="401"/>
        <v>M31</v>
      </c>
      <c r="GX115" s="97" t="str">
        <f t="shared" si="402"/>
        <v/>
      </c>
      <c r="GY115" s="97" t="str">
        <f t="shared" si="403"/>
        <v/>
      </c>
      <c r="GZ115" s="481"/>
      <c r="HA115" s="288"/>
      <c r="HB115" s="240"/>
      <c r="HC115" s="240"/>
      <c r="HD115" s="240"/>
      <c r="HE115" s="240"/>
      <c r="HF115" s="240"/>
      <c r="HG115" s="240"/>
      <c r="HH115" s="240"/>
      <c r="HI115" s="240"/>
      <c r="HJ115" s="240"/>
      <c r="HK115" s="240"/>
      <c r="HL115" s="240"/>
      <c r="HM115" s="240"/>
      <c r="HN115" s="240"/>
      <c r="HO115" s="240"/>
      <c r="HP115" s="240"/>
      <c r="HQ115" s="240"/>
      <c r="HR115" s="240"/>
      <c r="HS115" s="240"/>
      <c r="HT115" s="240"/>
      <c r="HU115" s="240"/>
      <c r="HV115" s="245"/>
      <c r="HW115" s="245" t="b">
        <v>1</v>
      </c>
      <c r="HX115" s="245" t="str">
        <f t="shared" si="288"/>
        <v/>
      </c>
      <c r="HY115" s="245" t="e">
        <f t="shared" si="289"/>
        <v>#DIV/0!</v>
      </c>
      <c r="HZ115" s="245" t="e">
        <f t="shared" si="290"/>
        <v>#DIV/0!</v>
      </c>
      <c r="IA115" s="245">
        <f t="shared" si="291"/>
        <v>0</v>
      </c>
      <c r="IB115" s="245"/>
      <c r="IC115" t="b">
        <f t="shared" si="292"/>
        <v>1</v>
      </c>
      <c r="ID115" s="245" t="b">
        <f t="shared" si="293"/>
        <v>1</v>
      </c>
      <c r="IE115" s="245" t="b">
        <f t="shared" si="294"/>
        <v>1</v>
      </c>
      <c r="IF115" s="245" t="b">
        <f t="shared" si="295"/>
        <v>0</v>
      </c>
      <c r="IG115" s="245" t="b">
        <f t="shared" si="296"/>
        <v>1</v>
      </c>
      <c r="IH115" s="245" t="b">
        <f t="shared" si="297"/>
        <v>1</v>
      </c>
      <c r="II115" s="245">
        <f t="shared" si="404"/>
        <v>0</v>
      </c>
      <c r="IJ115" s="245" t="e">
        <f t="shared" si="298"/>
        <v>#VALUE!</v>
      </c>
      <c r="IK115" s="245" t="e">
        <f t="shared" si="299"/>
        <v>#VALUE!</v>
      </c>
      <c r="IL115" s="245"/>
      <c r="IM115" s="245" t="e">
        <f t="shared" si="405"/>
        <v>#N/A</v>
      </c>
      <c r="IN115" s="245" t="e">
        <f t="shared" si="406"/>
        <v>#N/A</v>
      </c>
      <c r="IO115" s="245"/>
      <c r="IP115" s="245"/>
      <c r="IQ115" s="245" t="str">
        <f t="shared" si="300"/>
        <v/>
      </c>
      <c r="IR115" s="245" t="str">
        <f>IF(J115="","",VLOOKUP(J115,Worksheet!$R$4:$T$14,2))</f>
        <v/>
      </c>
      <c r="IS115" s="245"/>
      <c r="IT115" s="245">
        <f t="shared" si="301"/>
        <v>0</v>
      </c>
      <c r="IU115" s="245">
        <f t="shared" si="302"/>
        <v>0</v>
      </c>
      <c r="IV115" s="245">
        <f t="shared" si="303"/>
        <v>0</v>
      </c>
      <c r="IW115" s="245">
        <f t="shared" si="304"/>
        <v>0</v>
      </c>
      <c r="IX115" s="245">
        <f t="shared" si="407"/>
        <v>0</v>
      </c>
      <c r="IY115" s="245">
        <f t="shared" si="305"/>
        <v>0</v>
      </c>
      <c r="IZ115" s="245">
        <f t="shared" si="306"/>
        <v>0</v>
      </c>
      <c r="JA115">
        <f t="shared" si="307"/>
        <v>0</v>
      </c>
      <c r="JB115">
        <f t="shared" si="408"/>
        <v>0</v>
      </c>
      <c r="JC115">
        <f t="shared" si="308"/>
        <v>0</v>
      </c>
      <c r="JD115">
        <f t="shared" si="309"/>
        <v>0</v>
      </c>
      <c r="JE115">
        <f t="shared" si="310"/>
        <v>0</v>
      </c>
      <c r="JF115">
        <f t="shared" si="311"/>
        <v>0</v>
      </c>
      <c r="JG115">
        <f t="shared" si="312"/>
        <v>0</v>
      </c>
      <c r="JH115">
        <f t="shared" si="313"/>
        <v>0</v>
      </c>
      <c r="JI115">
        <f t="shared" si="314"/>
        <v>0</v>
      </c>
      <c r="JJ115" s="447">
        <f t="shared" si="315"/>
        <v>0</v>
      </c>
      <c r="JK115" s="447">
        <f t="shared" si="316"/>
        <v>0</v>
      </c>
      <c r="JL115">
        <f t="shared" si="317"/>
        <v>0</v>
      </c>
      <c r="JM115" s="245" t="str">
        <f>IFERROR(VLOOKUP(MATCH(BN115,#REF!,0),#REF!,7),"")</f>
        <v/>
      </c>
      <c r="JN115" t="e">
        <f>HLOOKUP(LEFT(BO115,7),Discharge_Area,MATCH(JO115,LookUps!$B$130:$B$149,1)+2)</f>
        <v>#N/A</v>
      </c>
      <c r="JO115" t="str">
        <f t="shared" si="318"/>
        <v>- S</v>
      </c>
      <c r="JP115" t="e">
        <f>HLOOKUP(LEFT(BO115,7),Discharge_Area,MATCH(JO115,LookUps!$B$130:$B$149,1)+2)</f>
        <v>#N/A</v>
      </c>
      <c r="JQ115" t="e">
        <f t="shared" si="319"/>
        <v>#N/A</v>
      </c>
      <c r="JR115" t="e">
        <f t="shared" si="320"/>
        <v>#N/A</v>
      </c>
      <c r="JS115" t="e">
        <f t="shared" si="321"/>
        <v>#N/A</v>
      </c>
      <c r="JT115" s="532" t="str">
        <f t="shared" si="322"/>
        <v xml:space="preserve"> </v>
      </c>
      <c r="JU115" s="532" t="str">
        <f t="shared" si="323"/>
        <v xml:space="preserve"> </v>
      </c>
      <c r="JV115" s="533" t="str">
        <f t="shared" si="324"/>
        <v xml:space="preserve"> </v>
      </c>
      <c r="JW115" s="534">
        <f t="shared" si="325"/>
        <v>0</v>
      </c>
      <c r="JX115" s="535" t="str">
        <f t="shared" si="409"/>
        <v xml:space="preserve"> </v>
      </c>
      <c r="JY115" s="535" t="str">
        <f t="shared" si="410"/>
        <v xml:space="preserve"> </v>
      </c>
      <c r="JZ115" s="535" t="str">
        <f t="shared" si="411"/>
        <v xml:space="preserve"> </v>
      </c>
      <c r="KA115" s="536" t="str">
        <f t="shared" si="326"/>
        <v xml:space="preserve"> </v>
      </c>
      <c r="KB115" s="535" t="e">
        <f t="shared" si="412"/>
        <v>#VALUE!</v>
      </c>
      <c r="KC115" s="535" t="str">
        <f t="shared" si="327"/>
        <v/>
      </c>
      <c r="KD115" s="537" t="str">
        <f t="shared" si="413"/>
        <v xml:space="preserve"> </v>
      </c>
      <c r="KE115" s="537" t="str">
        <f t="shared" si="414"/>
        <v xml:space="preserve"> </v>
      </c>
      <c r="KF115" s="534">
        <f t="shared" si="328"/>
        <v>0</v>
      </c>
      <c r="KG115" s="535" t="str">
        <f t="shared" si="329"/>
        <v xml:space="preserve"> </v>
      </c>
      <c r="KH115" s="535" t="str">
        <f t="shared" si="330"/>
        <v xml:space="preserve"> </v>
      </c>
      <c r="KI115" s="535" t="str">
        <f t="shared" si="331"/>
        <v xml:space="preserve"> </v>
      </c>
      <c r="KJ115" s="536" t="str">
        <f t="shared" si="332"/>
        <v xml:space="preserve"> </v>
      </c>
      <c r="KK115" s="535" t="str">
        <f t="shared" si="415"/>
        <v xml:space="preserve"> </v>
      </c>
      <c r="KL115" s="535" t="str">
        <f t="shared" si="416"/>
        <v xml:space="preserve"> </v>
      </c>
      <c r="KM115" s="537" t="str">
        <f t="shared" si="333"/>
        <v xml:space="preserve"> </v>
      </c>
      <c r="KN115" s="537" t="str">
        <f t="shared" si="417"/>
        <v xml:space="preserve"> </v>
      </c>
      <c r="KP115">
        <f t="shared" si="334"/>
        <v>0</v>
      </c>
      <c r="LA115" t="e">
        <f t="shared" si="335"/>
        <v>#VALUE!</v>
      </c>
      <c r="LB115" t="e">
        <f t="shared" si="336"/>
        <v>#VALUE!</v>
      </c>
      <c r="LC115" t="e">
        <f t="shared" si="337"/>
        <v>#VALUE!</v>
      </c>
      <c r="LD115" t="e">
        <f t="shared" si="338"/>
        <v>#VALUE!</v>
      </c>
      <c r="LE115" t="e">
        <f t="shared" si="418"/>
        <v>#VALUE!</v>
      </c>
      <c r="LF115">
        <f t="shared" si="339"/>
        <v>0</v>
      </c>
      <c r="LG115" t="e">
        <f t="shared" si="419"/>
        <v>#VALUE!</v>
      </c>
      <c r="LH115" t="str">
        <f t="shared" si="340"/>
        <v xml:space="preserve"> </v>
      </c>
      <c r="LI115">
        <f t="shared" si="420"/>
        <v>1</v>
      </c>
    </row>
    <row r="116" spans="2:321" ht="15" customHeight="1">
      <c r="B116" s="311"/>
      <c r="C116" s="311"/>
      <c r="D116" s="312"/>
      <c r="E116" s="311"/>
      <c r="F116" s="312"/>
      <c r="G116" s="311"/>
      <c r="H116" s="311"/>
      <c r="I116" s="37"/>
      <c r="J116" s="311"/>
      <c r="K116" s="305" t="str">
        <f t="shared" si="341"/>
        <v/>
      </c>
      <c r="L116" s="313"/>
      <c r="M116" s="312"/>
      <c r="N116" s="311"/>
      <c r="O116" s="312"/>
      <c r="P116" s="311"/>
      <c r="Q116" s="305" t="str">
        <f t="shared" si="342"/>
        <v/>
      </c>
      <c r="R116" s="314"/>
      <c r="S116" s="450" t="str">
        <f t="shared" si="225"/>
        <v/>
      </c>
      <c r="T116" s="315"/>
      <c r="U116" s="315"/>
      <c r="W116" s="149" t="str">
        <f t="shared" si="226"/>
        <v xml:space="preserve"> </v>
      </c>
      <c r="X116" s="243" t="str">
        <f t="shared" si="227"/>
        <v xml:space="preserve"> </v>
      </c>
      <c r="Y116" s="150" t="str">
        <f t="shared" si="228"/>
        <v/>
      </c>
      <c r="Z116" s="149" t="str">
        <f t="shared" si="229"/>
        <v xml:space="preserve"> </v>
      </c>
      <c r="AA116" s="98" t="str">
        <f t="shared" si="230"/>
        <v xml:space="preserve"> </v>
      </c>
      <c r="AB116" s="153" t="str">
        <f t="shared" si="231"/>
        <v xml:space="preserve"> </v>
      </c>
      <c r="AC116" s="153" t="str">
        <f t="shared" si="232"/>
        <v xml:space="preserve"> </v>
      </c>
      <c r="AD116" s="148" t="str">
        <f t="shared" si="233"/>
        <v/>
      </c>
      <c r="AE116" s="149" t="str">
        <f t="shared" si="234"/>
        <v/>
      </c>
      <c r="AF116" s="151" t="str">
        <f t="shared" si="235"/>
        <v xml:space="preserve"> </v>
      </c>
      <c r="AG116" s="153" t="str">
        <f t="shared" si="236"/>
        <v xml:space="preserve"> </v>
      </c>
      <c r="AH116" s="98" t="str">
        <f t="shared" si="237"/>
        <v xml:space="preserve"> </v>
      </c>
      <c r="AI116" s="149" t="str">
        <f t="shared" si="238"/>
        <v xml:space="preserve"> </v>
      </c>
      <c r="AK116" s="144" t="str">
        <f t="shared" si="239"/>
        <v xml:space="preserve"> </v>
      </c>
      <c r="AL116" s="144"/>
      <c r="AM116" s="243" t="str">
        <f t="shared" si="240"/>
        <v xml:space="preserve"> </v>
      </c>
      <c r="AN116" s="149" t="str">
        <f t="shared" si="343"/>
        <v xml:space="preserve"> </v>
      </c>
      <c r="AO116" s="144" t="str">
        <f>IF(JB116&gt;0,IF(GI116=10,-R116*1.085*(Calculation!$F$6-Calculation!$F$13)*$S$14," "),"")</f>
        <v/>
      </c>
      <c r="AP116" s="144" t="str">
        <f t="shared" si="241"/>
        <v/>
      </c>
      <c r="AQ116" s="56" t="str">
        <f t="shared" si="242"/>
        <v/>
      </c>
      <c r="AR116" s="144" t="str">
        <f t="shared" si="243"/>
        <v/>
      </c>
      <c r="AS116" s="176" t="str">
        <f t="shared" si="244"/>
        <v/>
      </c>
      <c r="AT116" s="176" t="str">
        <f t="shared" si="344"/>
        <v xml:space="preserve"> </v>
      </c>
      <c r="AU116" s="176" t="str">
        <f t="shared" si="245"/>
        <v/>
      </c>
      <c r="AV116" s="177" t="str">
        <f t="shared" si="246"/>
        <v xml:space="preserve"> </v>
      </c>
      <c r="AW116" s="144" t="str">
        <f t="shared" si="247"/>
        <v xml:space="preserve"> </v>
      </c>
      <c r="AX116" s="144" t="str">
        <f t="shared" si="248"/>
        <v xml:space="preserve"> </v>
      </c>
      <c r="AY116" s="152" t="str">
        <f t="shared" si="249"/>
        <v xml:space="preserve"> </v>
      </c>
      <c r="AZ116" s="246" t="str">
        <f t="shared" si="250"/>
        <v/>
      </c>
      <c r="BA116" s="176" t="str">
        <f t="shared" si="251"/>
        <v xml:space="preserve"> </v>
      </c>
      <c r="BB116" s="176" t="str">
        <f t="shared" si="252"/>
        <v xml:space="preserve"> </v>
      </c>
      <c r="BC116" s="195"/>
      <c r="BD116" s="316"/>
      <c r="BE116" s="317"/>
      <c r="BF116" s="318"/>
      <c r="BG116" s="318"/>
      <c r="BH116" s="144" t="str">
        <f t="shared" si="421"/>
        <v xml:space="preserve"> </v>
      </c>
      <c r="BI116" s="176" t="str">
        <f t="shared" si="253"/>
        <v/>
      </c>
      <c r="BJ116" s="144" t="str">
        <f t="shared" si="422"/>
        <v/>
      </c>
      <c r="BK116" s="246" t="str">
        <f t="shared" si="254"/>
        <v/>
      </c>
      <c r="BL116" s="144" t="str">
        <f t="shared" si="423"/>
        <v/>
      </c>
      <c r="BM116" s="246" t="str">
        <f t="shared" si="255"/>
        <v/>
      </c>
      <c r="BN116" s="337" t="str">
        <f t="shared" si="345"/>
        <v/>
      </c>
      <c r="BO116" s="371" t="str">
        <f t="shared" si="346"/>
        <v/>
      </c>
      <c r="BP116" s="328" t="str">
        <f t="shared" si="424"/>
        <v xml:space="preserve"> </v>
      </c>
      <c r="BQ116" s="347" t="str">
        <f t="shared" si="347"/>
        <v xml:space="preserve"> </v>
      </c>
      <c r="BR116" s="353" t="str">
        <f t="shared" si="348"/>
        <v xml:space="preserve"> </v>
      </c>
      <c r="BS116" s="626" t="str">
        <f>IF(L116&gt;0,IF(Calculation!P116="M13",BR116*3.1416*(0.134^2)/(4*144),IF(Calculation!P116="M17",BR116*3.1416*(0.165^2)/(4*144),IF(Calculation!P116="M20",BR116*3.1416*(0.198^2)/(4*144),IF(Calculation!P116="M23",BR116*3.1416*(0.228^2)/(4*144),IF(Calculation!P116="M27",BR116*3.1416*(0.269^2)/(4*144),BR116*3.1416*(0.307^2)/(4*144))))))," ")</f>
        <v xml:space="preserve"> </v>
      </c>
      <c r="BT116" s="353" t="str">
        <f>IF(L116&gt;0,IF(BS116&gt;0,R116/Calculation!BS116,0)," ")</f>
        <v xml:space="preserve"> </v>
      </c>
      <c r="BU116" s="438" t="e">
        <f t="shared" ca="1" si="256"/>
        <v>#VALUE!</v>
      </c>
      <c r="BV116" s="449" t="e">
        <f ca="1">INDEX(INDIRECT(VLOOKUP(LEFT(BO116,7),CLU!$Z$3:$AH$18,2)),GN116,GR116)</f>
        <v>#N/A</v>
      </c>
      <c r="BW116" s="433" t="e">
        <f ca="1">INDEX(INDIRECT(VLOOKUP(LEFT(BO116,7),CLU!$Z$3:$AH$18,3)),GN116,GR116)</f>
        <v>#N/A</v>
      </c>
      <c r="BX116" s="433" t="e">
        <f ca="1">INDEX(INDIRECT(VLOOKUP(LEFT(BO116,7),CLU!$Z$3:$AH$18,4)),GN116,GR116)</f>
        <v>#N/A</v>
      </c>
      <c r="BY116" s="433" t="e">
        <f ca="1">INDEX(INDIRECT(VLOOKUP(LEFT(BO116,7),CLU!$Z$3:$AH$18,9)),((M116-2)*(6-COUNTBLANK(GT116:GY116)))+GJ116)</f>
        <v>#N/A</v>
      </c>
      <c r="BZ116" s="426" t="e">
        <f t="shared" ca="1" si="349"/>
        <v>#N/A</v>
      </c>
      <c r="CA116" s="424" t="e">
        <f t="shared" ca="1" si="350"/>
        <v>#N/A</v>
      </c>
      <c r="CB116" s="429" t="e">
        <f ca="1">INDEX(INDIRECT(VLOOKUP(LEFT(BO116,7),CLU!$Z$3:$AH$18,2)),GN116,GS116)</f>
        <v>#N/A</v>
      </c>
      <c r="CC116" s="342" t="e">
        <f ca="1">INDEX(INDIRECT(VLOOKUP(LEFT(BO116,7),CLU!$Z$3:$AH$18,3)),GN116,GS116)</f>
        <v>#N/A</v>
      </c>
      <c r="CD116" s="342" t="e">
        <f ca="1">INDEX(INDIRECT(VLOOKUP(LEFT(BO116,7),CLU!$Z$3:$AH$18,4)),GN116,GS116)</f>
        <v>#N/A</v>
      </c>
      <c r="CE116" s="426" t="e">
        <f t="shared" ca="1" si="351"/>
        <v>#N/A</v>
      </c>
      <c r="CF116" s="440">
        <f t="shared" si="352"/>
        <v>0</v>
      </c>
      <c r="CG116" s="431" t="e">
        <f ca="1">INDEX(INDIRECT(VLOOKUP(LEFT(BO116,7),CLU!$Z$3:$AH$18,2)),GQ116,GR116)</f>
        <v>#N/A</v>
      </c>
      <c r="CH116" s="431" t="e">
        <f ca="1">INDEX(INDIRECT(VLOOKUP(LEFT(BO116,7),CLU!$Z$3:$AH$18,3)),GQ116,GR116)</f>
        <v>#N/A</v>
      </c>
      <c r="CI116" s="431" t="e">
        <f ca="1">INDEX(INDIRECT(VLOOKUP(LEFT(BO116,7),CLU!$Z$3:$AH$18,4)),GQ116,GR116)</f>
        <v>#N/A</v>
      </c>
      <c r="CJ116" s="448" t="e">
        <f t="shared" ca="1" si="353"/>
        <v>#N/A</v>
      </c>
      <c r="CK116" s="431" t="e">
        <f t="shared" ca="1" si="354"/>
        <v>#N/A</v>
      </c>
      <c r="CL116" s="440" t="e">
        <f t="shared" ca="1" si="355"/>
        <v>#N/A</v>
      </c>
      <c r="CM116" s="431" t="e">
        <f ca="1">INDEX(INDIRECT(VLOOKUP(LEFT(BO116,7),CLU!$Z$3:$AH$18,2)),GQ116,GS116)</f>
        <v>#N/A</v>
      </c>
      <c r="CN116" s="431" t="e">
        <f ca="1">INDEX(INDIRECT(VLOOKUP(LEFT(BO116,7),CLU!$Z$3:$AH$18,3)),GQ116,GS116)</f>
        <v>#N/A</v>
      </c>
      <c r="CO116" s="431" t="e">
        <f ca="1">INDEX(INDIRECT(VLOOKUP(LEFT(BO116,7),CLU!$Z$3:$AH$18,4)),GQ116,GS116)</f>
        <v>#N/A</v>
      </c>
      <c r="CP116" s="431" t="e">
        <f t="shared" ca="1" si="356"/>
        <v>#N/A</v>
      </c>
      <c r="CQ116" s="440">
        <f t="shared" si="357"/>
        <v>0</v>
      </c>
      <c r="CR116" s="51" t="e">
        <f t="shared" ca="1" si="358"/>
        <v>#N/A</v>
      </c>
      <c r="CS116" s="439" t="e">
        <f t="shared" ca="1" si="359"/>
        <v>#VALUE!</v>
      </c>
      <c r="CT116" s="51" t="e">
        <f t="shared" ca="1" si="360"/>
        <v>#VALUE!</v>
      </c>
      <c r="CU116" s="10"/>
      <c r="CV116" s="51" t="e">
        <f t="shared" ca="1" si="257"/>
        <v>#VALUE!</v>
      </c>
      <c r="CW116" s="51">
        <f t="shared" si="361"/>
        <v>0</v>
      </c>
      <c r="CX116" s="439" t="e">
        <f t="shared" ca="1" si="362"/>
        <v>#VALUE!</v>
      </c>
      <c r="CY116" s="51" t="e">
        <f t="shared" ca="1" si="363"/>
        <v>#VALUE!</v>
      </c>
      <c r="CZ116" s="10"/>
      <c r="DA116" s="51" t="e">
        <f t="shared" ca="1" si="364"/>
        <v>#VALUE!</v>
      </c>
      <c r="DB116" s="347" t="e">
        <f ca="1">INDEX(INDIRECT(VLOOKUP(LEFT(BO116,7),CLU!$Z$3:$AI$18,10)),((M116-2)*(6-COUNTBLANK(GT116:GY116)))+GJ116)*LI116</f>
        <v>#N/A</v>
      </c>
      <c r="DC116" s="347" t="str">
        <f>IF(L116&gt;0,((R116/Worksheet!$I$15)/DB116)^2," ")</f>
        <v xml:space="preserve"> </v>
      </c>
      <c r="DD116" s="602" t="str">
        <f t="shared" si="365"/>
        <v xml:space="preserve"> </v>
      </c>
      <c r="DE116" s="347" t="str">
        <f t="shared" si="258"/>
        <v xml:space="preserve"> </v>
      </c>
      <c r="DF116" s="356" t="e">
        <f ca="1">INDEX(INDIRECT(VLOOKUP(LEFT(BO116,7),CLU!$Z$3:$AH$18,8)),((M116-2)*(6-COUNTBLANK(GT116:GY116)))+GJ116)</f>
        <v>#N/A</v>
      </c>
      <c r="DG116" s="347" t="str">
        <f t="shared" si="259"/>
        <v xml:space="preserve"> </v>
      </c>
      <c r="DH116" s="357" t="str">
        <f t="shared" si="260"/>
        <v xml:space="preserve"> </v>
      </c>
      <c r="DI116" s="355" t="str">
        <f t="shared" si="261"/>
        <v xml:space="preserve"> </v>
      </c>
      <c r="DJ116" s="245" t="e">
        <f ca="1">INDEX(INDIRECT(VLOOKUP(LEFT(BO116,7),CLU!$Z$3:$AH$18,5)),GL116,GK116)</f>
        <v>#N/A</v>
      </c>
      <c r="DK116" s="245" t="e">
        <f ca="1">INDEX(INDIRECT(VLOOKUP(LEFT(BO116,7),CLU!$Z$3:$AH$18,6)),GL116,GK116)</f>
        <v>#N/A</v>
      </c>
      <c r="DL116" s="355">
        <f>(Calculation!R116*0.69143*(Calculation!$BQ$8-Calculation!$F$8))*$S$14</f>
        <v>0</v>
      </c>
      <c r="DM116" s="359" t="e">
        <f t="shared" si="366"/>
        <v>#VALUE!</v>
      </c>
      <c r="DN116" s="611">
        <f t="shared" si="367"/>
        <v>0</v>
      </c>
      <c r="DO116" s="359">
        <f t="shared" si="368"/>
        <v>100</v>
      </c>
      <c r="DP116" s="359">
        <f t="shared" si="369"/>
        <v>0</v>
      </c>
      <c r="DQ116" s="360"/>
      <c r="DR116" s="245" t="e">
        <f ca="1">INDEX(INDIRECT(VLOOKUP(LEFT(BO116,7),CLU!$Z$3:$AH$18,7)),M116-1,1)</f>
        <v>#N/A</v>
      </c>
      <c r="DS116" s="245" t="e">
        <f ca="1">INDEX(INDIRECT(VLOOKUP(LEFT(BO116,7),CLU!$Z$3:$AH$18,7)),M116-1,2)</f>
        <v>#N/A</v>
      </c>
      <c r="DT116" s="245" t="e">
        <f ca="1">INDEX(INDIRECT(VLOOKUP(LEFT(BO116,7),CLU!$Z$3:$AH$18,7)),M116-1,3)</f>
        <v>#N/A</v>
      </c>
      <c r="DU116" s="245" t="e">
        <f ca="1">INDEX(INDIRECT(VLOOKUP(LEFT(BO116,7),CLU!$Z$3:$AH$18,7)),M116-1,4)</f>
        <v>#N/A</v>
      </c>
      <c r="DV116" s="361" t="e">
        <f ca="1">INDEX(INDIRECT(VLOOKUP(LEFT(BO116,7),CLU!$Z$3:$AH$18,7)),M116-1,4+LEFT(DZ116,1)*0.5)</f>
        <v>#N/A</v>
      </c>
      <c r="DW116" s="245" t="e">
        <f ca="1">INDEX(INDIRECT(VLOOKUP(LEFT(BO116,7),CLU!$Z$3:$AH$18,7)),M116-1,8)</f>
        <v>#N/A</v>
      </c>
      <c r="DX116" s="361" t="str">
        <f t="shared" si="262"/>
        <v xml:space="preserve"> </v>
      </c>
      <c r="DY116" s="361" t="str">
        <f t="shared" si="263"/>
        <v xml:space="preserve"> </v>
      </c>
      <c r="DZ116" s="361" t="str">
        <f t="shared" si="264"/>
        <v xml:space="preserve"> </v>
      </c>
      <c r="EA116" s="362" t="str">
        <f t="shared" si="265"/>
        <v xml:space="preserve"> </v>
      </c>
      <c r="EB116" s="624" t="str">
        <f t="shared" si="370"/>
        <v xml:space="preserve"> </v>
      </c>
      <c r="EC116" s="361" t="e">
        <f ca="1">INDEX(INDIRECT(VLOOKUP(LEFT(BO116,7),CLU!$Z$3:$AH$18,7)),M116-1,4+LEFT(DZ116,1)*0.5)</f>
        <v>#N/A</v>
      </c>
      <c r="ED116" s="362" t="str">
        <f t="shared" si="266"/>
        <v xml:space="preserve"> </v>
      </c>
      <c r="EE116" s="361" t="str">
        <f t="shared" si="267"/>
        <v xml:space="preserve"> </v>
      </c>
      <c r="EF116" s="362" t="str">
        <f>IF(L116&gt;0,IF(BR116&gt;0,IF(EE116="2P",IF(Calculation!DZ116="2P",IF(Calculation!DS116=13.75,IF(Calculation!DR116=13,Worksheet!$BD$43,IF(Calculation!DR116=37,Worksheet!$BD$44,Worksheet!$BD$45)),IF(Calculation!DS116=10,IF(Calculation!DR116=18,Worksheet!$BD$29,IF(Calculation!DR116=30,Worksheet!$BD$30,IF(Calculation!DR116=42,Worksheet!$BD$31,IF(Calculation!DR116=54,Worksheet!$BD$32,IF(Calculation!DR116=66,Worksheet!$BD$33,IF(Calculation!DR116=78,Worksheet!$BD$34,IF(Calculation!DR116=90,Worksheet!$BD$35,IF(Calculation!DR116=102,Worksheet!$BD$36,Worksheet!$BD$37)))))))),IF(Calculation!DS116=12.5,IF(Calculation!DR116=18,Worksheet!$BD$38,IF(Calculation!DR116=Worksheet!$BD$39,IF(Calculation!DR116=42,Worksheet!$BD$40,IF(Calculation!DR116=54,Worksheet!$BD$41,Worksheet!$BD$42)))),IF(Calculation!DR116=18,Worksheet!$BD$11,IF(Calculation!DR116=30,Worksheet!$BD$12,IF(Calculation!DR116=42,Worksheet!$BD$13,IF(Calculation!DR116=54,Worksheet!$BD$14,IF(Calculation!DR116=66,Worksheet!$BD$15,IF(Calculation!DR116=78,Worksheet!$BD$16,IF(Calculation!DR116=90,Worksheet!$BD$17,IF(Calculation!DR116=102,Worksheet!$BD$18,Worksheet!$BD$19))))))))))),IF(Calculation!DS116=13.75,IF(Calculation!DR116=13,Worksheet!$BD$78,IF(Calculation!DR116=37,Worksheet!$BD$79,Worksheet!$BD$80)),IF(Calculation!DS116=10,IF(Calculation!DR116=18,Worksheet!$BD$64,IF(Calculation!DR116=30,Worksheet!$BD$65,IF(Calculation!DR116=42,Worksheet!$BD$66,IF(Calculation!DR116=54,Worksheet!$BD$68,IF(Calculation!DR116=66,Worksheet!$BD$68,IF(Calculation!DR116=78,Worksheet!$BD$69,IF(Calculation!DR116=90,Worksheet!$BD$70,IF(Calculation!DR116=102,Worksheet!$BD$71,Worksheet!$BD$72)))))))),IF(Calculation!DS116=12.5,IF(Calculation!DR116=18,Worksheet!$BD$73,IF(Calculation!DR116=Worksheet!$BD$74,IF(Calculation!DR116=42,Worksheet!$BD$75,IF(Calculation!DR116=54,Worksheet!$BD$76,Worksheet!$BD$77)))),IF(Calculation!DR116=18,Worksheet!$BD$55,IF(Calculation!DR116=30,Worksheet!$BD$56,IF(Calculation!DR116=42,Worksheet!$BD$57,IF(Calculation!DR116=54,Worksheet!$BD$58,IF(Calculation!DR116=66,Worksheet!$BD$59,IF(Calculation!DR116=78,Worksheet!$BD$60,IF(Calculation!DR116=90,Worksheet!$BD$61,IF(Calculation!DR116=102,Worksheet!$BD$62,Worksheet!$BD$63)))))))))))),5),0)," ")</f>
        <v xml:space="preserve"> </v>
      </c>
      <c r="EG116" s="361" t="str">
        <f t="shared" si="268"/>
        <v xml:space="preserve"> </v>
      </c>
      <c r="EH116" s="361" t="e">
        <f ca="1">INDEX(INDIRECT(VLOOKUP(LEFT(BO116,7),CLU!$Z$3:$AH$18,7)),M116-1,3+LEFT(DZ116,1))</f>
        <v>#N/A</v>
      </c>
      <c r="EI116" s="362" t="str">
        <f t="shared" si="269"/>
        <v xml:space="preserve"> </v>
      </c>
      <c r="EJ116" s="363" t="str">
        <f t="shared" si="270"/>
        <v xml:space="preserve"> </v>
      </c>
      <c r="EK116" s="363" t="str">
        <f t="shared" si="271"/>
        <v xml:space="preserve"> </v>
      </c>
      <c r="EL116" s="363" t="str">
        <f t="shared" si="272"/>
        <v xml:space="preserve"> </v>
      </c>
      <c r="EM116" s="362" t="str">
        <f>IF(L116&gt;0,IF(BR116&gt;0,(Calculation!T116/ED116)^2,0)," ")</f>
        <v xml:space="preserve"> </v>
      </c>
      <c r="EN116" s="362" t="str">
        <f>IF(L116&gt;0,IF(O116="2 Pipe (Cooling)","N/A",IF(BR116&gt;0,(Calculation!U116/EI116)^2,0))," ")</f>
        <v xml:space="preserve"> </v>
      </c>
      <c r="EO116" s="361" t="str">
        <f t="shared" si="273"/>
        <v/>
      </c>
      <c r="EP116" s="361" t="str">
        <f t="shared" si="274"/>
        <v/>
      </c>
      <c r="EQ116" s="361" t="str">
        <f t="shared" si="275"/>
        <v/>
      </c>
      <c r="ER116" s="361" t="str">
        <f t="shared" si="276"/>
        <v/>
      </c>
      <c r="ES116" s="361" t="str">
        <f t="shared" si="277"/>
        <v/>
      </c>
      <c r="ET116" s="361" t="str">
        <f t="shared" si="278"/>
        <v/>
      </c>
      <c r="EU116" s="361" t="str">
        <f t="shared" si="279"/>
        <v/>
      </c>
      <c r="EV116" s="361" t="str">
        <f t="shared" si="280"/>
        <v/>
      </c>
      <c r="EW116" s="361" t="str">
        <f t="shared" si="281"/>
        <v/>
      </c>
      <c r="EX116" s="361" t="str">
        <f t="shared" si="371"/>
        <v>1 slot, 1 way</v>
      </c>
      <c r="EY116" s="361" t="str">
        <f t="shared" si="372"/>
        <v xml:space="preserve"> </v>
      </c>
      <c r="EZ116" s="361" t="str">
        <f t="shared" si="373"/>
        <v xml:space="preserve"> </v>
      </c>
      <c r="FA116" s="361" t="str">
        <f t="shared" si="374"/>
        <v xml:space="preserve"> </v>
      </c>
      <c r="FB116" s="361" t="str">
        <f t="shared" si="375"/>
        <v xml:space="preserve"> </v>
      </c>
      <c r="FC116" s="361"/>
      <c r="FD116" s="361" t="str">
        <f>IF(J116&gt;0,IF(Calculation!R116&lt;=70,4,IF(Calculation!R116&lt;=110,5,IF(Calculation!R116&lt;=160,6,IF(Calculation!R116&lt;=300,8,"10 EO")))),"")</f>
        <v/>
      </c>
      <c r="FE116" s="361" t="str">
        <f t="shared" si="376"/>
        <v/>
      </c>
      <c r="FF116" s="361" t="str">
        <f t="shared" si="377"/>
        <v/>
      </c>
      <c r="FG116" s="361" t="e">
        <f t="shared" si="282"/>
        <v>#N/A</v>
      </c>
      <c r="FH116" s="361">
        <f t="shared" si="283"/>
        <v>0</v>
      </c>
      <c r="FI116" s="361" t="e">
        <f t="shared" si="284"/>
        <v>#DIV/0!</v>
      </c>
      <c r="FJ116" s="361"/>
      <c r="FK116" s="356" t="e">
        <f t="shared" si="285"/>
        <v>#VALUE!</v>
      </c>
      <c r="FL116" s="361"/>
      <c r="FM116" s="361"/>
      <c r="FN116" s="362" t="str">
        <f t="shared" si="378"/>
        <v xml:space="preserve"> </v>
      </c>
      <c r="FO116" s="362" t="str">
        <f t="shared" si="379"/>
        <v xml:space="preserve"> </v>
      </c>
      <c r="FP116" s="362">
        <f t="shared" si="380"/>
        <v>0</v>
      </c>
      <c r="FQ116" s="361">
        <f t="shared" si="286"/>
        <v>0</v>
      </c>
      <c r="FR116" s="362" t="str">
        <f>IF(L116&gt;0,IF(J116="CBAL2",Worksheet!$P$67,IF(J116="CBE2-24",Worksheet!$Q$67,IF(J116="CBAM",Worksheet!$R$67,IF(J116="CBLV",Worksheet!$S$67,IF(J116="CBAB",Worksheet!$U$67,IF(J116="CBAW",Worksheet!$X$67,IF(J116="CBE2-12",Worksheet!$Y$67,IF(J116="CBAL2",Worksheet!$Z$67,"N/A"))))))))," ")</f>
        <v xml:space="preserve"> </v>
      </c>
      <c r="FS116" s="362" t="str">
        <f>IF(L116&gt;0,IF(J116="CBAL2",Worksheet!$P$68,IF(J116="CBE2-24",Worksheet!$Q$68,IF(J116="CBAM",Worksheet!$R$68,IF(J116="CBLV",Worksheet!$S$68,IF(J116="CBAB",Worksheet!$U$68,IF(J116="CBAW",Worksheet!$X$68,IF(J116="CBE2-12",Worksheet!$Y$68,IF(J116="CBAL2",Worksheet!$Z$68,"N/A"))))))))," ")</f>
        <v xml:space="preserve"> </v>
      </c>
      <c r="FT116" s="362" t="str">
        <f>IF(L116&gt;0,IF(J116="CBAL2",Worksheet!$P$69,IF(J116="CBE2-24",Worksheet!$Q$69,IF(J116="CBAM",Worksheet!$R$69,IF(J116="CBLV",Worksheet!$S$69,IF(J116="CBAB",Worksheet!$U$69,IF(J116="CBAW",Worksheet!$X$69,IF(J116="CBE2-12",Worksheet!$Y$69,IF(J116="CBAL2",Worksheet!$Z$69,"N/A"))))))))," ")</f>
        <v xml:space="preserve"> </v>
      </c>
      <c r="FU116" s="361" t="str">
        <f t="shared" si="381"/>
        <v xml:space="preserve"> </v>
      </c>
      <c r="FV116" s="362" t="str">
        <f t="shared" si="382"/>
        <v xml:space="preserve"> </v>
      </c>
      <c r="FW116" s="362" t="str">
        <f t="shared" si="383"/>
        <v xml:space="preserve"> </v>
      </c>
      <c r="FX116" s="362" t="str">
        <f t="shared" si="384"/>
        <v xml:space="preserve"> </v>
      </c>
      <c r="FY116" s="355" t="str">
        <f t="shared" si="385"/>
        <v xml:space="preserve"> </v>
      </c>
      <c r="FZ116" s="361" t="str">
        <f t="shared" si="386"/>
        <v xml:space="preserve"> </v>
      </c>
      <c r="GA116" s="347" t="str">
        <f t="shared" si="387"/>
        <v xml:space="preserve"> </v>
      </c>
      <c r="GB116" s="355" t="str">
        <f t="shared" si="388"/>
        <v xml:space="preserve"> </v>
      </c>
      <c r="GC116" s="328" t="str">
        <f t="shared" si="389"/>
        <v xml:space="preserve"> </v>
      </c>
      <c r="GD116" s="361" t="str">
        <f t="shared" si="390"/>
        <v xml:space="preserve"> </v>
      </c>
      <c r="GE116" s="347" t="str">
        <f t="shared" si="391"/>
        <v xml:space="preserve"> </v>
      </c>
      <c r="GF116" s="361" t="str">
        <f t="shared" si="392"/>
        <v xml:space="preserve"> </v>
      </c>
      <c r="GG116" s="347" t="str">
        <f t="shared" si="393"/>
        <v xml:space="preserve"> </v>
      </c>
      <c r="GH116" s="364">
        <f t="shared" si="287"/>
        <v>0</v>
      </c>
      <c r="GI116" s="362">
        <f t="shared" si="394"/>
        <v>2</v>
      </c>
      <c r="GJ116" s="433" t="e">
        <f>IF(6-COUNTBLANK(GT116:GY116)=4,MATCH(MID(BO116,9,3),CLU!$H$16:$K$16),MATCH(MID(BO116,9,3),CLU!$H$13:$M$13))</f>
        <v>#N/A</v>
      </c>
      <c r="GK116" s="433" t="e">
        <f>HLOOKUP(VALUE(BP116),CLU!$H$9:$M$10,2)</f>
        <v>#VALUE!</v>
      </c>
      <c r="GL116" s="433" t="e">
        <f ca="1">MATCH(BU116,CLU!$H$2:$V$2,1)</f>
        <v>#VALUE!</v>
      </c>
      <c r="GM116" s="433" t="e">
        <f t="shared" ca="1" si="395"/>
        <v>#VALUE!</v>
      </c>
      <c r="GN116" s="433" t="e">
        <f t="shared" ca="1" si="396"/>
        <v>#VALUE!</v>
      </c>
      <c r="GO116" s="433" t="e">
        <f t="shared" ca="1" si="397"/>
        <v>#VALUE!</v>
      </c>
      <c r="GP116" s="433" t="e">
        <f t="shared" ca="1" si="398"/>
        <v>#VALUE!</v>
      </c>
      <c r="GQ116" s="433" t="e">
        <f t="shared" ca="1" si="399"/>
        <v>#VALUE!</v>
      </c>
      <c r="GR116" s="433" t="e">
        <f ca="1">MATCH(T116,INDIRECT(VLOOKUP(CONCATENATE(LEFT(BO116,7),"-",MID(BO116,13,1)),CLU!$P$3:$Q$16,2)),1)</f>
        <v>#N/A</v>
      </c>
      <c r="GS116" s="433" t="e">
        <f ca="1">MATCH(U116,INDIRECT(VLOOKUP(CONCATENATE(LEFT(BO116,7),"-",MID(BO116,13,1)),CLU!$P$3:$Q$16,2)),1)</f>
        <v>#N/A</v>
      </c>
      <c r="GT116" s="347" t="s">
        <v>512</v>
      </c>
      <c r="GU116" s="97" t="s">
        <v>513</v>
      </c>
      <c r="GV116" s="97" t="str">
        <f t="shared" si="400"/>
        <v>M23</v>
      </c>
      <c r="GW116" s="97" t="str">
        <f t="shared" si="401"/>
        <v>M31</v>
      </c>
      <c r="GX116" s="97" t="str">
        <f t="shared" si="402"/>
        <v/>
      </c>
      <c r="GY116" s="97" t="str">
        <f t="shared" si="403"/>
        <v/>
      </c>
      <c r="GZ116" s="481"/>
      <c r="HA116" s="288"/>
      <c r="HB116" s="240"/>
      <c r="HC116" s="240"/>
      <c r="HD116" s="240"/>
      <c r="HE116" s="240"/>
      <c r="HF116" s="240"/>
      <c r="HG116" s="240"/>
      <c r="HH116" s="240"/>
      <c r="HI116" s="240"/>
      <c r="HJ116" s="240"/>
      <c r="HK116" s="240"/>
      <c r="HL116" s="240"/>
      <c r="HM116" s="240"/>
      <c r="HN116" s="240"/>
      <c r="HO116" s="240"/>
      <c r="HP116" s="240"/>
      <c r="HQ116" s="240"/>
      <c r="HR116" s="240"/>
      <c r="HS116" s="240"/>
      <c r="HT116" s="240"/>
      <c r="HU116" s="240"/>
      <c r="HV116" s="245"/>
      <c r="HW116" s="245" t="b">
        <v>1</v>
      </c>
      <c r="HX116" s="245" t="str">
        <f t="shared" si="288"/>
        <v/>
      </c>
      <c r="HY116" s="245" t="e">
        <f t="shared" si="289"/>
        <v>#DIV/0!</v>
      </c>
      <c r="HZ116" s="245" t="e">
        <f t="shared" si="290"/>
        <v>#DIV/0!</v>
      </c>
      <c r="IA116" s="245">
        <f t="shared" si="291"/>
        <v>0</v>
      </c>
      <c r="IB116" s="245"/>
      <c r="IC116" t="b">
        <f t="shared" si="292"/>
        <v>1</v>
      </c>
      <c r="ID116" s="245" t="b">
        <f t="shared" si="293"/>
        <v>1</v>
      </c>
      <c r="IE116" s="245" t="b">
        <f t="shared" si="294"/>
        <v>1</v>
      </c>
      <c r="IF116" s="245" t="b">
        <f t="shared" si="295"/>
        <v>0</v>
      </c>
      <c r="IG116" s="245" t="b">
        <f t="shared" si="296"/>
        <v>1</v>
      </c>
      <c r="IH116" s="245" t="b">
        <f t="shared" si="297"/>
        <v>1</v>
      </c>
      <c r="II116" s="245">
        <f t="shared" si="404"/>
        <v>0</v>
      </c>
      <c r="IJ116" s="245" t="e">
        <f t="shared" si="298"/>
        <v>#VALUE!</v>
      </c>
      <c r="IK116" s="245" t="e">
        <f t="shared" si="299"/>
        <v>#VALUE!</v>
      </c>
      <c r="IL116" s="245"/>
      <c r="IM116" s="245" t="e">
        <f t="shared" si="405"/>
        <v>#N/A</v>
      </c>
      <c r="IN116" s="245" t="e">
        <f t="shared" si="406"/>
        <v>#N/A</v>
      </c>
      <c r="IO116" s="245"/>
      <c r="IP116" s="245"/>
      <c r="IQ116" s="245" t="str">
        <f t="shared" si="300"/>
        <v/>
      </c>
      <c r="IR116" s="245" t="str">
        <f>IF(J116="","",VLOOKUP(J116,Worksheet!$R$4:$T$14,2))</f>
        <v/>
      </c>
      <c r="IS116" s="245"/>
      <c r="IT116" s="245">
        <f t="shared" si="301"/>
        <v>0</v>
      </c>
      <c r="IU116" s="245">
        <f t="shared" si="302"/>
        <v>0</v>
      </c>
      <c r="IV116" s="245">
        <f t="shared" si="303"/>
        <v>0</v>
      </c>
      <c r="IW116" s="245">
        <f t="shared" si="304"/>
        <v>0</v>
      </c>
      <c r="IX116" s="245">
        <f t="shared" si="407"/>
        <v>0</v>
      </c>
      <c r="IY116" s="245">
        <f t="shared" si="305"/>
        <v>0</v>
      </c>
      <c r="IZ116" s="245">
        <f t="shared" si="306"/>
        <v>0</v>
      </c>
      <c r="JA116">
        <f t="shared" si="307"/>
        <v>0</v>
      </c>
      <c r="JB116">
        <f t="shared" si="408"/>
        <v>0</v>
      </c>
      <c r="JC116">
        <f t="shared" si="308"/>
        <v>0</v>
      </c>
      <c r="JD116">
        <f t="shared" si="309"/>
        <v>0</v>
      </c>
      <c r="JE116">
        <f t="shared" si="310"/>
        <v>0</v>
      </c>
      <c r="JF116">
        <f t="shared" si="311"/>
        <v>0</v>
      </c>
      <c r="JG116">
        <f t="shared" si="312"/>
        <v>0</v>
      </c>
      <c r="JH116">
        <f t="shared" si="313"/>
        <v>0</v>
      </c>
      <c r="JI116">
        <f t="shared" si="314"/>
        <v>0</v>
      </c>
      <c r="JJ116" s="447">
        <f t="shared" si="315"/>
        <v>0</v>
      </c>
      <c r="JK116" s="447">
        <f t="shared" si="316"/>
        <v>0</v>
      </c>
      <c r="JL116">
        <f t="shared" si="317"/>
        <v>0</v>
      </c>
      <c r="JM116" s="245" t="str">
        <f>IFERROR(VLOOKUP(MATCH(BN116,#REF!,0),#REF!,7),"")</f>
        <v/>
      </c>
      <c r="JN116" t="e">
        <f>HLOOKUP(LEFT(BO116,7),Discharge_Area,MATCH(JO116,LookUps!$B$130:$B$149,1)+2)</f>
        <v>#N/A</v>
      </c>
      <c r="JO116" t="str">
        <f t="shared" si="318"/>
        <v>- S</v>
      </c>
      <c r="JP116" t="e">
        <f>HLOOKUP(LEFT(BO116,7),Discharge_Area,MATCH(JO116,LookUps!$B$130:$B$149,1)+2)</f>
        <v>#N/A</v>
      </c>
      <c r="JQ116" t="e">
        <f t="shared" si="319"/>
        <v>#N/A</v>
      </c>
      <c r="JR116" t="e">
        <f t="shared" si="320"/>
        <v>#N/A</v>
      </c>
      <c r="JS116" t="e">
        <f t="shared" si="321"/>
        <v>#N/A</v>
      </c>
      <c r="JT116" s="532" t="str">
        <f t="shared" si="322"/>
        <v xml:space="preserve"> </v>
      </c>
      <c r="JU116" s="532" t="str">
        <f t="shared" si="323"/>
        <v xml:space="preserve"> </v>
      </c>
      <c r="JV116" s="533" t="str">
        <f t="shared" si="324"/>
        <v xml:space="preserve"> </v>
      </c>
      <c r="JW116" s="534">
        <f t="shared" si="325"/>
        <v>0</v>
      </c>
      <c r="JX116" s="535" t="str">
        <f t="shared" si="409"/>
        <v xml:space="preserve"> </v>
      </c>
      <c r="JY116" s="535" t="str">
        <f t="shared" si="410"/>
        <v xml:space="preserve"> </v>
      </c>
      <c r="JZ116" s="535" t="str">
        <f t="shared" si="411"/>
        <v xml:space="preserve"> </v>
      </c>
      <c r="KA116" s="536" t="str">
        <f t="shared" si="326"/>
        <v xml:space="preserve"> </v>
      </c>
      <c r="KB116" s="535" t="e">
        <f t="shared" si="412"/>
        <v>#VALUE!</v>
      </c>
      <c r="KC116" s="535" t="str">
        <f t="shared" si="327"/>
        <v/>
      </c>
      <c r="KD116" s="537" t="str">
        <f t="shared" si="413"/>
        <v xml:space="preserve"> </v>
      </c>
      <c r="KE116" s="537" t="str">
        <f t="shared" si="414"/>
        <v xml:space="preserve"> </v>
      </c>
      <c r="KF116" s="534">
        <f t="shared" si="328"/>
        <v>0</v>
      </c>
      <c r="KG116" s="535" t="str">
        <f t="shared" si="329"/>
        <v xml:space="preserve"> </v>
      </c>
      <c r="KH116" s="535" t="str">
        <f t="shared" si="330"/>
        <v xml:space="preserve"> </v>
      </c>
      <c r="KI116" s="535" t="str">
        <f t="shared" si="331"/>
        <v xml:space="preserve"> </v>
      </c>
      <c r="KJ116" s="536" t="str">
        <f t="shared" si="332"/>
        <v xml:space="preserve"> </v>
      </c>
      <c r="KK116" s="535" t="str">
        <f t="shared" si="415"/>
        <v xml:space="preserve"> </v>
      </c>
      <c r="KL116" s="535" t="str">
        <f t="shared" si="416"/>
        <v xml:space="preserve"> </v>
      </c>
      <c r="KM116" s="537" t="str">
        <f t="shared" si="333"/>
        <v xml:space="preserve"> </v>
      </c>
      <c r="KN116" s="537" t="str">
        <f t="shared" si="417"/>
        <v xml:space="preserve"> </v>
      </c>
      <c r="KP116">
        <f t="shared" si="334"/>
        <v>0</v>
      </c>
      <c r="LA116" t="e">
        <f t="shared" si="335"/>
        <v>#VALUE!</v>
      </c>
      <c r="LB116" t="e">
        <f t="shared" si="336"/>
        <v>#VALUE!</v>
      </c>
      <c r="LC116" t="e">
        <f t="shared" si="337"/>
        <v>#VALUE!</v>
      </c>
      <c r="LD116" t="e">
        <f t="shared" si="338"/>
        <v>#VALUE!</v>
      </c>
      <c r="LE116" t="e">
        <f t="shared" si="418"/>
        <v>#VALUE!</v>
      </c>
      <c r="LF116">
        <f t="shared" si="339"/>
        <v>0</v>
      </c>
      <c r="LG116" t="e">
        <f t="shared" si="419"/>
        <v>#VALUE!</v>
      </c>
      <c r="LH116" t="str">
        <f t="shared" si="340"/>
        <v xml:space="preserve"> </v>
      </c>
      <c r="LI116">
        <f t="shared" si="420"/>
        <v>1</v>
      </c>
    </row>
    <row r="117" spans="2:321" ht="15" customHeight="1">
      <c r="B117" s="311"/>
      <c r="C117" s="311"/>
      <c r="D117" s="312"/>
      <c r="E117" s="311"/>
      <c r="F117" s="312"/>
      <c r="G117" s="311"/>
      <c r="H117" s="311"/>
      <c r="I117" s="37"/>
      <c r="J117" s="311"/>
      <c r="K117" s="305" t="str">
        <f t="shared" si="341"/>
        <v/>
      </c>
      <c r="L117" s="313"/>
      <c r="M117" s="312"/>
      <c r="N117" s="311"/>
      <c r="O117" s="312"/>
      <c r="P117" s="311"/>
      <c r="Q117" s="305" t="str">
        <f t="shared" si="342"/>
        <v/>
      </c>
      <c r="R117" s="314"/>
      <c r="S117" s="450" t="str">
        <f t="shared" si="225"/>
        <v/>
      </c>
      <c r="T117" s="315"/>
      <c r="U117" s="315"/>
      <c r="W117" s="149" t="str">
        <f t="shared" si="226"/>
        <v xml:space="preserve"> </v>
      </c>
      <c r="X117" s="243" t="str">
        <f t="shared" si="227"/>
        <v xml:space="preserve"> </v>
      </c>
      <c r="Y117" s="150" t="str">
        <f t="shared" si="228"/>
        <v/>
      </c>
      <c r="Z117" s="149" t="str">
        <f t="shared" si="229"/>
        <v xml:space="preserve"> </v>
      </c>
      <c r="AA117" s="98" t="str">
        <f t="shared" si="230"/>
        <v xml:space="preserve"> </v>
      </c>
      <c r="AB117" s="153" t="str">
        <f t="shared" si="231"/>
        <v xml:space="preserve"> </v>
      </c>
      <c r="AC117" s="153" t="str">
        <f t="shared" si="232"/>
        <v xml:space="preserve"> </v>
      </c>
      <c r="AD117" s="148" t="str">
        <f t="shared" si="233"/>
        <v/>
      </c>
      <c r="AE117" s="149" t="str">
        <f t="shared" si="234"/>
        <v/>
      </c>
      <c r="AF117" s="151" t="str">
        <f t="shared" si="235"/>
        <v xml:space="preserve"> </v>
      </c>
      <c r="AG117" s="153" t="str">
        <f t="shared" si="236"/>
        <v xml:space="preserve"> </v>
      </c>
      <c r="AH117" s="98" t="str">
        <f t="shared" si="237"/>
        <v xml:space="preserve"> </v>
      </c>
      <c r="AI117" s="149" t="str">
        <f t="shared" si="238"/>
        <v xml:space="preserve"> </v>
      </c>
      <c r="AK117" s="144" t="str">
        <f t="shared" si="239"/>
        <v xml:space="preserve"> </v>
      </c>
      <c r="AL117" s="144"/>
      <c r="AM117" s="243" t="str">
        <f t="shared" si="240"/>
        <v xml:space="preserve"> </v>
      </c>
      <c r="AN117" s="149" t="str">
        <f t="shared" si="343"/>
        <v xml:space="preserve"> </v>
      </c>
      <c r="AO117" s="144" t="str">
        <f>IF(JB117&gt;0,IF(GI117=10,-R117*1.085*(Calculation!$F$6-Calculation!$F$13)*$S$14," "),"")</f>
        <v/>
      </c>
      <c r="AP117" s="144" t="str">
        <f t="shared" si="241"/>
        <v/>
      </c>
      <c r="AQ117" s="56" t="str">
        <f t="shared" si="242"/>
        <v/>
      </c>
      <c r="AR117" s="144" t="str">
        <f t="shared" si="243"/>
        <v/>
      </c>
      <c r="AS117" s="176" t="str">
        <f t="shared" si="244"/>
        <v/>
      </c>
      <c r="AT117" s="176" t="str">
        <f t="shared" si="344"/>
        <v xml:space="preserve"> </v>
      </c>
      <c r="AU117" s="176" t="str">
        <f t="shared" si="245"/>
        <v/>
      </c>
      <c r="AV117" s="177" t="str">
        <f t="shared" si="246"/>
        <v xml:space="preserve"> </v>
      </c>
      <c r="AW117" s="144" t="str">
        <f t="shared" si="247"/>
        <v xml:space="preserve"> </v>
      </c>
      <c r="AX117" s="144" t="str">
        <f t="shared" si="248"/>
        <v xml:space="preserve"> </v>
      </c>
      <c r="AY117" s="152" t="str">
        <f t="shared" si="249"/>
        <v xml:space="preserve"> </v>
      </c>
      <c r="AZ117" s="246" t="str">
        <f t="shared" si="250"/>
        <v/>
      </c>
      <c r="BA117" s="176" t="str">
        <f t="shared" si="251"/>
        <v xml:space="preserve"> </v>
      </c>
      <c r="BB117" s="176" t="str">
        <f t="shared" si="252"/>
        <v xml:space="preserve"> </v>
      </c>
      <c r="BC117" s="195"/>
      <c r="BD117" s="316"/>
      <c r="BE117" s="317"/>
      <c r="BF117" s="318"/>
      <c r="BG117" s="318"/>
      <c r="BH117" s="144" t="str">
        <f t="shared" si="421"/>
        <v xml:space="preserve"> </v>
      </c>
      <c r="BI117" s="176" t="str">
        <f t="shared" si="253"/>
        <v/>
      </c>
      <c r="BJ117" s="144" t="str">
        <f t="shared" si="422"/>
        <v/>
      </c>
      <c r="BK117" s="246" t="str">
        <f t="shared" si="254"/>
        <v/>
      </c>
      <c r="BL117" s="144" t="str">
        <f t="shared" si="423"/>
        <v/>
      </c>
      <c r="BM117" s="246" t="str">
        <f t="shared" si="255"/>
        <v/>
      </c>
      <c r="BN117" s="337" t="str">
        <f t="shared" si="345"/>
        <v/>
      </c>
      <c r="BO117" s="371" t="str">
        <f t="shared" si="346"/>
        <v/>
      </c>
      <c r="BP117" s="328" t="str">
        <f t="shared" si="424"/>
        <v xml:space="preserve"> </v>
      </c>
      <c r="BQ117" s="347" t="str">
        <f t="shared" si="347"/>
        <v xml:space="preserve"> </v>
      </c>
      <c r="BR117" s="353" t="str">
        <f t="shared" si="348"/>
        <v xml:space="preserve"> </v>
      </c>
      <c r="BS117" s="626" t="str">
        <f>IF(L117&gt;0,IF(Calculation!P117="M13",BR117*3.1416*(0.134^2)/(4*144),IF(Calculation!P117="M17",BR117*3.1416*(0.165^2)/(4*144),IF(Calculation!P117="M20",BR117*3.1416*(0.198^2)/(4*144),IF(Calculation!P117="M23",BR117*3.1416*(0.228^2)/(4*144),IF(Calculation!P117="M27",BR117*3.1416*(0.269^2)/(4*144),BR117*3.1416*(0.307^2)/(4*144))))))," ")</f>
        <v xml:space="preserve"> </v>
      </c>
      <c r="BT117" s="353" t="str">
        <f>IF(L117&gt;0,IF(BS117&gt;0,R117/Calculation!BS117,0)," ")</f>
        <v xml:space="preserve"> </v>
      </c>
      <c r="BU117" s="438" t="e">
        <f t="shared" ca="1" si="256"/>
        <v>#VALUE!</v>
      </c>
      <c r="BV117" s="449" t="e">
        <f ca="1">INDEX(INDIRECT(VLOOKUP(LEFT(BO117,7),CLU!$Z$3:$AH$18,2)),GN117,GR117)</f>
        <v>#N/A</v>
      </c>
      <c r="BW117" s="433" t="e">
        <f ca="1">INDEX(INDIRECT(VLOOKUP(LEFT(BO117,7),CLU!$Z$3:$AH$18,3)),GN117,GR117)</f>
        <v>#N/A</v>
      </c>
      <c r="BX117" s="433" t="e">
        <f ca="1">INDEX(INDIRECT(VLOOKUP(LEFT(BO117,7),CLU!$Z$3:$AH$18,4)),GN117,GR117)</f>
        <v>#N/A</v>
      </c>
      <c r="BY117" s="433" t="e">
        <f ca="1">INDEX(INDIRECT(VLOOKUP(LEFT(BO117,7),CLU!$Z$3:$AH$18,9)),((M117-2)*(6-COUNTBLANK(GT117:GY117)))+GJ117)</f>
        <v>#N/A</v>
      </c>
      <c r="BZ117" s="426" t="e">
        <f t="shared" ca="1" si="349"/>
        <v>#N/A</v>
      </c>
      <c r="CA117" s="424" t="e">
        <f t="shared" ca="1" si="350"/>
        <v>#N/A</v>
      </c>
      <c r="CB117" s="429" t="e">
        <f ca="1">INDEX(INDIRECT(VLOOKUP(LEFT(BO117,7),CLU!$Z$3:$AH$18,2)),GN117,GS117)</f>
        <v>#N/A</v>
      </c>
      <c r="CC117" s="342" t="e">
        <f ca="1">INDEX(INDIRECT(VLOOKUP(LEFT(BO117,7),CLU!$Z$3:$AH$18,3)),GN117,GS117)</f>
        <v>#N/A</v>
      </c>
      <c r="CD117" s="342" t="e">
        <f ca="1">INDEX(INDIRECT(VLOOKUP(LEFT(BO117,7),CLU!$Z$3:$AH$18,4)),GN117,GS117)</f>
        <v>#N/A</v>
      </c>
      <c r="CE117" s="426" t="e">
        <f t="shared" ca="1" si="351"/>
        <v>#N/A</v>
      </c>
      <c r="CF117" s="440">
        <f t="shared" si="352"/>
        <v>0</v>
      </c>
      <c r="CG117" s="431" t="e">
        <f ca="1">INDEX(INDIRECT(VLOOKUP(LEFT(BO117,7),CLU!$Z$3:$AH$18,2)),GQ117,GR117)</f>
        <v>#N/A</v>
      </c>
      <c r="CH117" s="431" t="e">
        <f ca="1">INDEX(INDIRECT(VLOOKUP(LEFT(BO117,7),CLU!$Z$3:$AH$18,3)),GQ117,GR117)</f>
        <v>#N/A</v>
      </c>
      <c r="CI117" s="431" t="e">
        <f ca="1">INDEX(INDIRECT(VLOOKUP(LEFT(BO117,7),CLU!$Z$3:$AH$18,4)),GQ117,GR117)</f>
        <v>#N/A</v>
      </c>
      <c r="CJ117" s="448" t="e">
        <f t="shared" ca="1" si="353"/>
        <v>#N/A</v>
      </c>
      <c r="CK117" s="431" t="e">
        <f t="shared" ca="1" si="354"/>
        <v>#N/A</v>
      </c>
      <c r="CL117" s="440" t="e">
        <f t="shared" ca="1" si="355"/>
        <v>#N/A</v>
      </c>
      <c r="CM117" s="431" t="e">
        <f ca="1">INDEX(INDIRECT(VLOOKUP(LEFT(BO117,7),CLU!$Z$3:$AH$18,2)),GQ117,GS117)</f>
        <v>#N/A</v>
      </c>
      <c r="CN117" s="431" t="e">
        <f ca="1">INDEX(INDIRECT(VLOOKUP(LEFT(BO117,7),CLU!$Z$3:$AH$18,3)),GQ117,GS117)</f>
        <v>#N/A</v>
      </c>
      <c r="CO117" s="431" t="e">
        <f ca="1">INDEX(INDIRECT(VLOOKUP(LEFT(BO117,7),CLU!$Z$3:$AH$18,4)),GQ117,GS117)</f>
        <v>#N/A</v>
      </c>
      <c r="CP117" s="431" t="e">
        <f t="shared" ca="1" si="356"/>
        <v>#N/A</v>
      </c>
      <c r="CQ117" s="440">
        <f t="shared" si="357"/>
        <v>0</v>
      </c>
      <c r="CR117" s="51" t="e">
        <f t="shared" ca="1" si="358"/>
        <v>#N/A</v>
      </c>
      <c r="CS117" s="439" t="e">
        <f t="shared" ca="1" si="359"/>
        <v>#VALUE!</v>
      </c>
      <c r="CT117" s="51" t="e">
        <f t="shared" ca="1" si="360"/>
        <v>#VALUE!</v>
      </c>
      <c r="CU117" s="10"/>
      <c r="CV117" s="51" t="e">
        <f t="shared" ca="1" si="257"/>
        <v>#VALUE!</v>
      </c>
      <c r="CW117" s="51">
        <f t="shared" si="361"/>
        <v>0</v>
      </c>
      <c r="CX117" s="439" t="e">
        <f t="shared" ca="1" si="362"/>
        <v>#VALUE!</v>
      </c>
      <c r="CY117" s="51" t="e">
        <f t="shared" ca="1" si="363"/>
        <v>#VALUE!</v>
      </c>
      <c r="CZ117" s="10"/>
      <c r="DA117" s="51" t="e">
        <f t="shared" ca="1" si="364"/>
        <v>#VALUE!</v>
      </c>
      <c r="DB117" s="347" t="e">
        <f ca="1">INDEX(INDIRECT(VLOOKUP(LEFT(BO117,7),CLU!$Z$3:$AI$18,10)),((M117-2)*(6-COUNTBLANK(GT117:GY117)))+GJ117)*LI117</f>
        <v>#N/A</v>
      </c>
      <c r="DC117" s="347" t="str">
        <f>IF(L117&gt;0,((R117/Worksheet!$I$15)/DB117)^2," ")</f>
        <v xml:space="preserve"> </v>
      </c>
      <c r="DD117" s="602" t="str">
        <f t="shared" si="365"/>
        <v xml:space="preserve"> </v>
      </c>
      <c r="DE117" s="347" t="str">
        <f t="shared" si="258"/>
        <v xml:space="preserve"> </v>
      </c>
      <c r="DF117" s="356" t="e">
        <f ca="1">INDEX(INDIRECT(VLOOKUP(LEFT(BO117,7),CLU!$Z$3:$AH$18,8)),((M117-2)*(6-COUNTBLANK(GT117:GY117)))+GJ117)</f>
        <v>#N/A</v>
      </c>
      <c r="DG117" s="347" t="str">
        <f t="shared" si="259"/>
        <v xml:space="preserve"> </v>
      </c>
      <c r="DH117" s="357" t="str">
        <f t="shared" si="260"/>
        <v xml:space="preserve"> </v>
      </c>
      <c r="DI117" s="355" t="str">
        <f t="shared" si="261"/>
        <v xml:space="preserve"> </v>
      </c>
      <c r="DJ117" s="245" t="e">
        <f ca="1">INDEX(INDIRECT(VLOOKUP(LEFT(BO117,7),CLU!$Z$3:$AH$18,5)),GL117,GK117)</f>
        <v>#N/A</v>
      </c>
      <c r="DK117" s="245" t="e">
        <f ca="1">INDEX(INDIRECT(VLOOKUP(LEFT(BO117,7),CLU!$Z$3:$AH$18,6)),GL117,GK117)</f>
        <v>#N/A</v>
      </c>
      <c r="DL117" s="355">
        <f>(Calculation!R117*0.69143*(Calculation!$BQ$8-Calculation!$F$8))*$S$14</f>
        <v>0</v>
      </c>
      <c r="DM117" s="359" t="e">
        <f t="shared" si="366"/>
        <v>#VALUE!</v>
      </c>
      <c r="DN117" s="611">
        <f t="shared" si="367"/>
        <v>0</v>
      </c>
      <c r="DO117" s="359">
        <f t="shared" si="368"/>
        <v>100</v>
      </c>
      <c r="DP117" s="359">
        <f t="shared" si="369"/>
        <v>0</v>
      </c>
      <c r="DQ117" s="360"/>
      <c r="DR117" s="245" t="e">
        <f ca="1">INDEX(INDIRECT(VLOOKUP(LEFT(BO117,7),CLU!$Z$3:$AH$18,7)),M117-1,1)</f>
        <v>#N/A</v>
      </c>
      <c r="DS117" s="245" t="e">
        <f ca="1">INDEX(INDIRECT(VLOOKUP(LEFT(BO117,7),CLU!$Z$3:$AH$18,7)),M117-1,2)</f>
        <v>#N/A</v>
      </c>
      <c r="DT117" s="245" t="e">
        <f ca="1">INDEX(INDIRECT(VLOOKUP(LEFT(BO117,7),CLU!$Z$3:$AH$18,7)),M117-1,3)</f>
        <v>#N/A</v>
      </c>
      <c r="DU117" s="245" t="e">
        <f ca="1">INDEX(INDIRECT(VLOOKUP(LEFT(BO117,7),CLU!$Z$3:$AH$18,7)),M117-1,4)</f>
        <v>#N/A</v>
      </c>
      <c r="DV117" s="361" t="e">
        <f ca="1">INDEX(INDIRECT(VLOOKUP(LEFT(BO117,7),CLU!$Z$3:$AH$18,7)),M117-1,4+LEFT(DZ117,1)*0.5)</f>
        <v>#N/A</v>
      </c>
      <c r="DW117" s="245" t="e">
        <f ca="1">INDEX(INDIRECT(VLOOKUP(LEFT(BO117,7),CLU!$Z$3:$AH$18,7)),M117-1,8)</f>
        <v>#N/A</v>
      </c>
      <c r="DX117" s="361" t="str">
        <f t="shared" si="262"/>
        <v xml:space="preserve"> </v>
      </c>
      <c r="DY117" s="361" t="str">
        <f t="shared" si="263"/>
        <v xml:space="preserve"> </v>
      </c>
      <c r="DZ117" s="361" t="str">
        <f t="shared" si="264"/>
        <v xml:space="preserve"> </v>
      </c>
      <c r="EA117" s="362" t="str">
        <f t="shared" si="265"/>
        <v xml:space="preserve"> </v>
      </c>
      <c r="EB117" s="624" t="str">
        <f t="shared" si="370"/>
        <v xml:space="preserve"> </v>
      </c>
      <c r="EC117" s="361" t="e">
        <f ca="1">INDEX(INDIRECT(VLOOKUP(LEFT(BO117,7),CLU!$Z$3:$AH$18,7)),M117-1,4+LEFT(DZ117,1)*0.5)</f>
        <v>#N/A</v>
      </c>
      <c r="ED117" s="362" t="str">
        <f t="shared" si="266"/>
        <v xml:space="preserve"> </v>
      </c>
      <c r="EE117" s="361" t="str">
        <f t="shared" si="267"/>
        <v xml:space="preserve"> </v>
      </c>
      <c r="EF117" s="362" t="str">
        <f>IF(L117&gt;0,IF(BR117&gt;0,IF(EE117="2P",IF(Calculation!DZ117="2P",IF(Calculation!DS117=13.75,IF(Calculation!DR117=13,Worksheet!$BD$43,IF(Calculation!DR117=37,Worksheet!$BD$44,Worksheet!$BD$45)),IF(Calculation!DS117=10,IF(Calculation!DR117=18,Worksheet!$BD$29,IF(Calculation!DR117=30,Worksheet!$BD$30,IF(Calculation!DR117=42,Worksheet!$BD$31,IF(Calculation!DR117=54,Worksheet!$BD$32,IF(Calculation!DR117=66,Worksheet!$BD$33,IF(Calculation!DR117=78,Worksheet!$BD$34,IF(Calculation!DR117=90,Worksheet!$BD$35,IF(Calculation!DR117=102,Worksheet!$BD$36,Worksheet!$BD$37)))))))),IF(Calculation!DS117=12.5,IF(Calculation!DR117=18,Worksheet!$BD$38,IF(Calculation!DR117=Worksheet!$BD$39,IF(Calculation!DR117=42,Worksheet!$BD$40,IF(Calculation!DR117=54,Worksheet!$BD$41,Worksheet!$BD$42)))),IF(Calculation!DR117=18,Worksheet!$BD$11,IF(Calculation!DR117=30,Worksheet!$BD$12,IF(Calculation!DR117=42,Worksheet!$BD$13,IF(Calculation!DR117=54,Worksheet!$BD$14,IF(Calculation!DR117=66,Worksheet!$BD$15,IF(Calculation!DR117=78,Worksheet!$BD$16,IF(Calculation!DR117=90,Worksheet!$BD$17,IF(Calculation!DR117=102,Worksheet!$BD$18,Worksheet!$BD$19))))))))))),IF(Calculation!DS117=13.75,IF(Calculation!DR117=13,Worksheet!$BD$78,IF(Calculation!DR117=37,Worksheet!$BD$79,Worksheet!$BD$80)),IF(Calculation!DS117=10,IF(Calculation!DR117=18,Worksheet!$BD$64,IF(Calculation!DR117=30,Worksheet!$BD$65,IF(Calculation!DR117=42,Worksheet!$BD$66,IF(Calculation!DR117=54,Worksheet!$BD$68,IF(Calculation!DR117=66,Worksheet!$BD$68,IF(Calculation!DR117=78,Worksheet!$BD$69,IF(Calculation!DR117=90,Worksheet!$BD$70,IF(Calculation!DR117=102,Worksheet!$BD$71,Worksheet!$BD$72)))))))),IF(Calculation!DS117=12.5,IF(Calculation!DR117=18,Worksheet!$BD$73,IF(Calculation!DR117=Worksheet!$BD$74,IF(Calculation!DR117=42,Worksheet!$BD$75,IF(Calculation!DR117=54,Worksheet!$BD$76,Worksheet!$BD$77)))),IF(Calculation!DR117=18,Worksheet!$BD$55,IF(Calculation!DR117=30,Worksheet!$BD$56,IF(Calculation!DR117=42,Worksheet!$BD$57,IF(Calculation!DR117=54,Worksheet!$BD$58,IF(Calculation!DR117=66,Worksheet!$BD$59,IF(Calculation!DR117=78,Worksheet!$BD$60,IF(Calculation!DR117=90,Worksheet!$BD$61,IF(Calculation!DR117=102,Worksheet!$BD$62,Worksheet!$BD$63)))))))))))),5),0)," ")</f>
        <v xml:space="preserve"> </v>
      </c>
      <c r="EG117" s="361" t="str">
        <f t="shared" si="268"/>
        <v xml:space="preserve"> </v>
      </c>
      <c r="EH117" s="361" t="e">
        <f ca="1">INDEX(INDIRECT(VLOOKUP(LEFT(BO117,7),CLU!$Z$3:$AH$18,7)),M117-1,3+LEFT(DZ117,1))</f>
        <v>#N/A</v>
      </c>
      <c r="EI117" s="362" t="str">
        <f t="shared" si="269"/>
        <v xml:space="preserve"> </v>
      </c>
      <c r="EJ117" s="363" t="str">
        <f t="shared" si="270"/>
        <v xml:space="preserve"> </v>
      </c>
      <c r="EK117" s="363" t="str">
        <f t="shared" si="271"/>
        <v xml:space="preserve"> </v>
      </c>
      <c r="EL117" s="363" t="str">
        <f t="shared" si="272"/>
        <v xml:space="preserve"> </v>
      </c>
      <c r="EM117" s="362" t="str">
        <f>IF(L117&gt;0,IF(BR117&gt;0,(Calculation!T117/ED117)^2,0)," ")</f>
        <v xml:space="preserve"> </v>
      </c>
      <c r="EN117" s="362" t="str">
        <f>IF(L117&gt;0,IF(O117="2 Pipe (Cooling)","N/A",IF(BR117&gt;0,(Calculation!U117/EI117)^2,0))," ")</f>
        <v xml:space="preserve"> </v>
      </c>
      <c r="EO117" s="361" t="str">
        <f t="shared" si="273"/>
        <v/>
      </c>
      <c r="EP117" s="361" t="str">
        <f t="shared" si="274"/>
        <v/>
      </c>
      <c r="EQ117" s="361" t="str">
        <f t="shared" si="275"/>
        <v/>
      </c>
      <c r="ER117" s="361" t="str">
        <f t="shared" si="276"/>
        <v/>
      </c>
      <c r="ES117" s="361" t="str">
        <f t="shared" si="277"/>
        <v/>
      </c>
      <c r="ET117" s="361" t="str">
        <f t="shared" si="278"/>
        <v/>
      </c>
      <c r="EU117" s="361" t="str">
        <f t="shared" si="279"/>
        <v/>
      </c>
      <c r="EV117" s="361" t="str">
        <f t="shared" si="280"/>
        <v/>
      </c>
      <c r="EW117" s="361" t="str">
        <f t="shared" si="281"/>
        <v/>
      </c>
      <c r="EX117" s="361" t="str">
        <f t="shared" si="371"/>
        <v>1 slot, 1 way</v>
      </c>
      <c r="EY117" s="361" t="str">
        <f t="shared" si="372"/>
        <v xml:space="preserve"> </v>
      </c>
      <c r="EZ117" s="361" t="str">
        <f t="shared" si="373"/>
        <v xml:space="preserve"> </v>
      </c>
      <c r="FA117" s="361" t="str">
        <f t="shared" si="374"/>
        <v xml:space="preserve"> </v>
      </c>
      <c r="FB117" s="361" t="str">
        <f t="shared" si="375"/>
        <v xml:space="preserve"> </v>
      </c>
      <c r="FC117" s="361"/>
      <c r="FD117" s="361" t="str">
        <f>IF(J117&gt;0,IF(Calculation!R117&lt;=70,4,IF(Calculation!R117&lt;=110,5,IF(Calculation!R117&lt;=160,6,IF(Calculation!R117&lt;=300,8,"10 EO")))),"")</f>
        <v/>
      </c>
      <c r="FE117" s="361" t="str">
        <f t="shared" si="376"/>
        <v/>
      </c>
      <c r="FF117" s="361" t="str">
        <f t="shared" si="377"/>
        <v/>
      </c>
      <c r="FG117" s="361" t="e">
        <f t="shared" si="282"/>
        <v>#N/A</v>
      </c>
      <c r="FH117" s="361">
        <f t="shared" si="283"/>
        <v>0</v>
      </c>
      <c r="FI117" s="361" t="e">
        <f t="shared" si="284"/>
        <v>#DIV/0!</v>
      </c>
      <c r="FJ117" s="361"/>
      <c r="FK117" s="356" t="e">
        <f t="shared" si="285"/>
        <v>#VALUE!</v>
      </c>
      <c r="FL117" s="361"/>
      <c r="FM117" s="361"/>
      <c r="FN117" s="362" t="str">
        <f t="shared" si="378"/>
        <v xml:space="preserve"> </v>
      </c>
      <c r="FO117" s="362" t="str">
        <f t="shared" si="379"/>
        <v xml:space="preserve"> </v>
      </c>
      <c r="FP117" s="362">
        <f t="shared" si="380"/>
        <v>0</v>
      </c>
      <c r="FQ117" s="361">
        <f t="shared" si="286"/>
        <v>0</v>
      </c>
      <c r="FR117" s="362" t="str">
        <f>IF(L117&gt;0,IF(J117="CBAL2",Worksheet!$P$67,IF(J117="CBE2-24",Worksheet!$Q$67,IF(J117="CBAM",Worksheet!$R$67,IF(J117="CBLV",Worksheet!$S$67,IF(J117="CBAB",Worksheet!$U$67,IF(J117="CBAW",Worksheet!$X$67,IF(J117="CBE2-12",Worksheet!$Y$67,IF(J117="CBAL2",Worksheet!$Z$67,"N/A"))))))))," ")</f>
        <v xml:space="preserve"> </v>
      </c>
      <c r="FS117" s="362" t="str">
        <f>IF(L117&gt;0,IF(J117="CBAL2",Worksheet!$P$68,IF(J117="CBE2-24",Worksheet!$Q$68,IF(J117="CBAM",Worksheet!$R$68,IF(J117="CBLV",Worksheet!$S$68,IF(J117="CBAB",Worksheet!$U$68,IF(J117="CBAW",Worksheet!$X$68,IF(J117="CBE2-12",Worksheet!$Y$68,IF(J117="CBAL2",Worksheet!$Z$68,"N/A"))))))))," ")</f>
        <v xml:space="preserve"> </v>
      </c>
      <c r="FT117" s="362" t="str">
        <f>IF(L117&gt;0,IF(J117="CBAL2",Worksheet!$P$69,IF(J117="CBE2-24",Worksheet!$Q$69,IF(J117="CBAM",Worksheet!$R$69,IF(J117="CBLV",Worksheet!$S$69,IF(J117="CBAB",Worksheet!$U$69,IF(J117="CBAW",Worksheet!$X$69,IF(J117="CBE2-12",Worksheet!$Y$69,IF(J117="CBAL2",Worksheet!$Z$69,"N/A"))))))))," ")</f>
        <v xml:space="preserve"> </v>
      </c>
      <c r="FU117" s="361" t="str">
        <f t="shared" si="381"/>
        <v xml:space="preserve"> </v>
      </c>
      <c r="FV117" s="362" t="str">
        <f t="shared" si="382"/>
        <v xml:space="preserve"> </v>
      </c>
      <c r="FW117" s="362" t="str">
        <f t="shared" si="383"/>
        <v xml:space="preserve"> </v>
      </c>
      <c r="FX117" s="362" t="str">
        <f t="shared" si="384"/>
        <v xml:space="preserve"> </v>
      </c>
      <c r="FY117" s="355" t="str">
        <f t="shared" si="385"/>
        <v xml:space="preserve"> </v>
      </c>
      <c r="FZ117" s="361" t="str">
        <f t="shared" si="386"/>
        <v xml:space="preserve"> </v>
      </c>
      <c r="GA117" s="347" t="str">
        <f t="shared" si="387"/>
        <v xml:space="preserve"> </v>
      </c>
      <c r="GB117" s="355" t="str">
        <f t="shared" si="388"/>
        <v xml:space="preserve"> </v>
      </c>
      <c r="GC117" s="328" t="str">
        <f t="shared" si="389"/>
        <v xml:space="preserve"> </v>
      </c>
      <c r="GD117" s="361" t="str">
        <f t="shared" si="390"/>
        <v xml:space="preserve"> </v>
      </c>
      <c r="GE117" s="347" t="str">
        <f t="shared" si="391"/>
        <v xml:space="preserve"> </v>
      </c>
      <c r="GF117" s="361" t="str">
        <f t="shared" si="392"/>
        <v xml:space="preserve"> </v>
      </c>
      <c r="GG117" s="347" t="str">
        <f t="shared" si="393"/>
        <v xml:space="preserve"> </v>
      </c>
      <c r="GH117" s="364">
        <f t="shared" si="287"/>
        <v>0</v>
      </c>
      <c r="GI117" s="362">
        <f t="shared" si="394"/>
        <v>2</v>
      </c>
      <c r="GJ117" s="433" t="e">
        <f>IF(6-COUNTBLANK(GT117:GY117)=4,MATCH(MID(BO117,9,3),CLU!$H$16:$K$16),MATCH(MID(BO117,9,3),CLU!$H$13:$M$13))</f>
        <v>#N/A</v>
      </c>
      <c r="GK117" s="433" t="e">
        <f>HLOOKUP(VALUE(BP117),CLU!$H$9:$M$10,2)</f>
        <v>#VALUE!</v>
      </c>
      <c r="GL117" s="433" t="e">
        <f ca="1">MATCH(BU117,CLU!$H$2:$V$2,1)</f>
        <v>#VALUE!</v>
      </c>
      <c r="GM117" s="433" t="e">
        <f t="shared" ca="1" si="395"/>
        <v>#VALUE!</v>
      </c>
      <c r="GN117" s="433" t="e">
        <f t="shared" ca="1" si="396"/>
        <v>#VALUE!</v>
      </c>
      <c r="GO117" s="433" t="e">
        <f t="shared" ca="1" si="397"/>
        <v>#VALUE!</v>
      </c>
      <c r="GP117" s="433" t="e">
        <f t="shared" ca="1" si="398"/>
        <v>#VALUE!</v>
      </c>
      <c r="GQ117" s="433" t="e">
        <f t="shared" ca="1" si="399"/>
        <v>#VALUE!</v>
      </c>
      <c r="GR117" s="433" t="e">
        <f ca="1">MATCH(T117,INDIRECT(VLOOKUP(CONCATENATE(LEFT(BO117,7),"-",MID(BO117,13,1)),CLU!$P$3:$Q$16,2)),1)</f>
        <v>#N/A</v>
      </c>
      <c r="GS117" s="433" t="e">
        <f ca="1">MATCH(U117,INDIRECT(VLOOKUP(CONCATENATE(LEFT(BO117,7),"-",MID(BO117,13,1)),CLU!$P$3:$Q$16,2)),1)</f>
        <v>#N/A</v>
      </c>
      <c r="GT117" s="347" t="s">
        <v>512</v>
      </c>
      <c r="GU117" s="97" t="s">
        <v>513</v>
      </c>
      <c r="GV117" s="97" t="str">
        <f t="shared" si="400"/>
        <v>M23</v>
      </c>
      <c r="GW117" s="97" t="str">
        <f t="shared" si="401"/>
        <v>M31</v>
      </c>
      <c r="GX117" s="97" t="str">
        <f t="shared" si="402"/>
        <v/>
      </c>
      <c r="GY117" s="97" t="str">
        <f t="shared" si="403"/>
        <v/>
      </c>
      <c r="GZ117" s="481"/>
      <c r="HA117" s="288"/>
      <c r="HB117" s="240"/>
      <c r="HC117" s="240"/>
      <c r="HD117" s="240"/>
      <c r="HE117" s="240"/>
      <c r="HF117" s="240"/>
      <c r="HG117" s="240"/>
      <c r="HH117" s="240"/>
      <c r="HI117" s="240"/>
      <c r="HJ117" s="240"/>
      <c r="HK117" s="240"/>
      <c r="HL117" s="240"/>
      <c r="HM117" s="240"/>
      <c r="HN117" s="240"/>
      <c r="HO117" s="240"/>
      <c r="HP117" s="240"/>
      <c r="HQ117" s="240"/>
      <c r="HR117" s="240"/>
      <c r="HS117" s="240"/>
      <c r="HT117" s="240"/>
      <c r="HU117" s="240"/>
      <c r="HV117" s="245"/>
      <c r="HW117" s="245" t="b">
        <v>1</v>
      </c>
      <c r="HX117" s="245" t="str">
        <f t="shared" si="288"/>
        <v/>
      </c>
      <c r="HY117" s="245" t="e">
        <f t="shared" si="289"/>
        <v>#DIV/0!</v>
      </c>
      <c r="HZ117" s="245" t="e">
        <f t="shared" si="290"/>
        <v>#DIV/0!</v>
      </c>
      <c r="IA117" s="245">
        <f t="shared" si="291"/>
        <v>0</v>
      </c>
      <c r="IB117" s="245"/>
      <c r="IC117" t="b">
        <f t="shared" si="292"/>
        <v>1</v>
      </c>
      <c r="ID117" s="245" t="b">
        <f t="shared" si="293"/>
        <v>1</v>
      </c>
      <c r="IE117" s="245" t="b">
        <f t="shared" si="294"/>
        <v>1</v>
      </c>
      <c r="IF117" s="245" t="b">
        <f t="shared" si="295"/>
        <v>0</v>
      </c>
      <c r="IG117" s="245" t="b">
        <f t="shared" si="296"/>
        <v>1</v>
      </c>
      <c r="IH117" s="245" t="b">
        <f t="shared" si="297"/>
        <v>1</v>
      </c>
      <c r="II117" s="245">
        <f t="shared" si="404"/>
        <v>0</v>
      </c>
      <c r="IJ117" s="245" t="e">
        <f t="shared" si="298"/>
        <v>#VALUE!</v>
      </c>
      <c r="IK117" s="245" t="e">
        <f t="shared" si="299"/>
        <v>#VALUE!</v>
      </c>
      <c r="IL117" s="245"/>
      <c r="IM117" s="245" t="e">
        <f t="shared" si="405"/>
        <v>#N/A</v>
      </c>
      <c r="IN117" s="245" t="e">
        <f t="shared" si="406"/>
        <v>#N/A</v>
      </c>
      <c r="IO117" s="245"/>
      <c r="IP117" s="245"/>
      <c r="IQ117" s="245" t="str">
        <f t="shared" si="300"/>
        <v/>
      </c>
      <c r="IR117" s="245" t="str">
        <f>IF(J117="","",VLOOKUP(J117,Worksheet!$R$4:$T$14,2))</f>
        <v/>
      </c>
      <c r="IS117" s="245"/>
      <c r="IT117" s="245">
        <f t="shared" si="301"/>
        <v>0</v>
      </c>
      <c r="IU117" s="245">
        <f t="shared" si="302"/>
        <v>0</v>
      </c>
      <c r="IV117" s="245">
        <f t="shared" si="303"/>
        <v>0</v>
      </c>
      <c r="IW117" s="245">
        <f t="shared" si="304"/>
        <v>0</v>
      </c>
      <c r="IX117" s="245">
        <f t="shared" si="407"/>
        <v>0</v>
      </c>
      <c r="IY117" s="245">
        <f t="shared" si="305"/>
        <v>0</v>
      </c>
      <c r="IZ117" s="245">
        <f t="shared" si="306"/>
        <v>0</v>
      </c>
      <c r="JA117">
        <f t="shared" si="307"/>
        <v>0</v>
      </c>
      <c r="JB117">
        <f t="shared" si="408"/>
        <v>0</v>
      </c>
      <c r="JC117">
        <f t="shared" si="308"/>
        <v>0</v>
      </c>
      <c r="JD117">
        <f t="shared" si="309"/>
        <v>0</v>
      </c>
      <c r="JE117">
        <f t="shared" si="310"/>
        <v>0</v>
      </c>
      <c r="JF117">
        <f t="shared" si="311"/>
        <v>0</v>
      </c>
      <c r="JG117">
        <f t="shared" si="312"/>
        <v>0</v>
      </c>
      <c r="JH117">
        <f t="shared" si="313"/>
        <v>0</v>
      </c>
      <c r="JI117">
        <f t="shared" si="314"/>
        <v>0</v>
      </c>
      <c r="JJ117" s="447">
        <f t="shared" si="315"/>
        <v>0</v>
      </c>
      <c r="JK117" s="447">
        <f t="shared" si="316"/>
        <v>0</v>
      </c>
      <c r="JL117">
        <f t="shared" si="317"/>
        <v>0</v>
      </c>
      <c r="JM117" s="245" t="str">
        <f>IFERROR(VLOOKUP(MATCH(BN117,#REF!,0),#REF!,7),"")</f>
        <v/>
      </c>
      <c r="JN117" t="e">
        <f>HLOOKUP(LEFT(BO117,7),Discharge_Area,MATCH(JO117,LookUps!$B$130:$B$149,1)+2)</f>
        <v>#N/A</v>
      </c>
      <c r="JO117" t="str">
        <f t="shared" si="318"/>
        <v>- S</v>
      </c>
      <c r="JP117" t="e">
        <f>HLOOKUP(LEFT(BO117,7),Discharge_Area,MATCH(JO117,LookUps!$B$130:$B$149,1)+2)</f>
        <v>#N/A</v>
      </c>
      <c r="JQ117" t="e">
        <f t="shared" si="319"/>
        <v>#N/A</v>
      </c>
      <c r="JR117" t="e">
        <f t="shared" si="320"/>
        <v>#N/A</v>
      </c>
      <c r="JS117" t="e">
        <f t="shared" si="321"/>
        <v>#N/A</v>
      </c>
      <c r="JT117" s="532" t="str">
        <f t="shared" si="322"/>
        <v xml:space="preserve"> </v>
      </c>
      <c r="JU117" s="532" t="str">
        <f t="shared" si="323"/>
        <v xml:space="preserve"> </v>
      </c>
      <c r="JV117" s="533" t="str">
        <f t="shared" si="324"/>
        <v xml:space="preserve"> </v>
      </c>
      <c r="JW117" s="534">
        <f t="shared" si="325"/>
        <v>0</v>
      </c>
      <c r="JX117" s="535" t="str">
        <f t="shared" si="409"/>
        <v xml:space="preserve"> </v>
      </c>
      <c r="JY117" s="535" t="str">
        <f t="shared" si="410"/>
        <v xml:space="preserve"> </v>
      </c>
      <c r="JZ117" s="535" t="str">
        <f t="shared" si="411"/>
        <v xml:space="preserve"> </v>
      </c>
      <c r="KA117" s="536" t="str">
        <f t="shared" si="326"/>
        <v xml:space="preserve"> </v>
      </c>
      <c r="KB117" s="535" t="e">
        <f t="shared" si="412"/>
        <v>#VALUE!</v>
      </c>
      <c r="KC117" s="535" t="str">
        <f t="shared" si="327"/>
        <v/>
      </c>
      <c r="KD117" s="537" t="str">
        <f t="shared" si="413"/>
        <v xml:space="preserve"> </v>
      </c>
      <c r="KE117" s="537" t="str">
        <f t="shared" si="414"/>
        <v xml:space="preserve"> </v>
      </c>
      <c r="KF117" s="534">
        <f t="shared" si="328"/>
        <v>0</v>
      </c>
      <c r="KG117" s="535" t="str">
        <f t="shared" si="329"/>
        <v xml:space="preserve"> </v>
      </c>
      <c r="KH117" s="535" t="str">
        <f t="shared" si="330"/>
        <v xml:space="preserve"> </v>
      </c>
      <c r="KI117" s="535" t="str">
        <f t="shared" si="331"/>
        <v xml:space="preserve"> </v>
      </c>
      <c r="KJ117" s="536" t="str">
        <f t="shared" si="332"/>
        <v xml:space="preserve"> </v>
      </c>
      <c r="KK117" s="535" t="str">
        <f t="shared" si="415"/>
        <v xml:space="preserve"> </v>
      </c>
      <c r="KL117" s="535" t="str">
        <f t="shared" si="416"/>
        <v xml:space="preserve"> </v>
      </c>
      <c r="KM117" s="537" t="str">
        <f t="shared" si="333"/>
        <v xml:space="preserve"> </v>
      </c>
      <c r="KN117" s="537" t="str">
        <f t="shared" si="417"/>
        <v xml:space="preserve"> </v>
      </c>
      <c r="KP117">
        <f t="shared" si="334"/>
        <v>0</v>
      </c>
      <c r="LA117" t="e">
        <f t="shared" si="335"/>
        <v>#VALUE!</v>
      </c>
      <c r="LB117" t="e">
        <f t="shared" si="336"/>
        <v>#VALUE!</v>
      </c>
      <c r="LC117" t="e">
        <f t="shared" si="337"/>
        <v>#VALUE!</v>
      </c>
      <c r="LD117" t="e">
        <f t="shared" si="338"/>
        <v>#VALUE!</v>
      </c>
      <c r="LE117" t="e">
        <f t="shared" si="418"/>
        <v>#VALUE!</v>
      </c>
      <c r="LF117">
        <f t="shared" si="339"/>
        <v>0</v>
      </c>
      <c r="LG117" t="e">
        <f t="shared" si="419"/>
        <v>#VALUE!</v>
      </c>
      <c r="LH117" t="str">
        <f t="shared" si="340"/>
        <v xml:space="preserve"> </v>
      </c>
      <c r="LI117">
        <f t="shared" si="420"/>
        <v>1</v>
      </c>
    </row>
    <row r="118" spans="2:321" ht="15" customHeight="1">
      <c r="B118" s="311"/>
      <c r="C118" s="311"/>
      <c r="D118" s="312"/>
      <c r="E118" s="311"/>
      <c r="F118" s="312"/>
      <c r="G118" s="311"/>
      <c r="H118" s="311"/>
      <c r="I118" s="37"/>
      <c r="J118" s="311"/>
      <c r="K118" s="305" t="str">
        <f t="shared" si="341"/>
        <v/>
      </c>
      <c r="L118" s="313"/>
      <c r="M118" s="312"/>
      <c r="N118" s="311"/>
      <c r="O118" s="312"/>
      <c r="P118" s="311"/>
      <c r="Q118" s="305" t="str">
        <f t="shared" si="342"/>
        <v/>
      </c>
      <c r="R118" s="314"/>
      <c r="S118" s="450" t="str">
        <f t="shared" si="225"/>
        <v/>
      </c>
      <c r="T118" s="315"/>
      <c r="U118" s="315"/>
      <c r="W118" s="149" t="str">
        <f t="shared" si="226"/>
        <v xml:space="preserve"> </v>
      </c>
      <c r="X118" s="243" t="str">
        <f t="shared" si="227"/>
        <v xml:space="preserve"> </v>
      </c>
      <c r="Y118" s="150" t="str">
        <f t="shared" si="228"/>
        <v/>
      </c>
      <c r="Z118" s="149" t="str">
        <f t="shared" si="229"/>
        <v xml:space="preserve"> </v>
      </c>
      <c r="AA118" s="98" t="str">
        <f t="shared" si="230"/>
        <v xml:space="preserve"> </v>
      </c>
      <c r="AB118" s="153" t="str">
        <f t="shared" si="231"/>
        <v xml:space="preserve"> </v>
      </c>
      <c r="AC118" s="153" t="str">
        <f t="shared" si="232"/>
        <v xml:space="preserve"> </v>
      </c>
      <c r="AD118" s="148" t="str">
        <f t="shared" si="233"/>
        <v/>
      </c>
      <c r="AE118" s="149" t="str">
        <f t="shared" si="234"/>
        <v/>
      </c>
      <c r="AF118" s="151" t="str">
        <f t="shared" si="235"/>
        <v xml:space="preserve"> </v>
      </c>
      <c r="AG118" s="153" t="str">
        <f t="shared" si="236"/>
        <v xml:space="preserve"> </v>
      </c>
      <c r="AH118" s="98" t="str">
        <f t="shared" si="237"/>
        <v xml:space="preserve"> </v>
      </c>
      <c r="AI118" s="149" t="str">
        <f t="shared" si="238"/>
        <v xml:space="preserve"> </v>
      </c>
      <c r="AK118" s="144" t="str">
        <f t="shared" si="239"/>
        <v xml:space="preserve"> </v>
      </c>
      <c r="AL118" s="144"/>
      <c r="AM118" s="243" t="str">
        <f t="shared" si="240"/>
        <v xml:space="preserve"> </v>
      </c>
      <c r="AN118" s="149" t="str">
        <f t="shared" si="343"/>
        <v xml:space="preserve"> </v>
      </c>
      <c r="AO118" s="144" t="str">
        <f>IF(JB118&gt;0,IF(GI118=10,-R118*1.085*(Calculation!$F$6-Calculation!$F$13)*$S$14," "),"")</f>
        <v/>
      </c>
      <c r="AP118" s="144" t="str">
        <f t="shared" si="241"/>
        <v/>
      </c>
      <c r="AQ118" s="56" t="str">
        <f t="shared" si="242"/>
        <v/>
      </c>
      <c r="AR118" s="144" t="str">
        <f t="shared" si="243"/>
        <v/>
      </c>
      <c r="AS118" s="176" t="str">
        <f t="shared" si="244"/>
        <v/>
      </c>
      <c r="AT118" s="176" t="str">
        <f t="shared" si="344"/>
        <v xml:space="preserve"> </v>
      </c>
      <c r="AU118" s="176" t="str">
        <f t="shared" si="245"/>
        <v/>
      </c>
      <c r="AV118" s="177" t="str">
        <f t="shared" si="246"/>
        <v xml:space="preserve"> </v>
      </c>
      <c r="AW118" s="144" t="str">
        <f t="shared" si="247"/>
        <v xml:space="preserve"> </v>
      </c>
      <c r="AX118" s="144" t="str">
        <f t="shared" si="248"/>
        <v xml:space="preserve"> </v>
      </c>
      <c r="AY118" s="152" t="str">
        <f t="shared" si="249"/>
        <v xml:space="preserve"> </v>
      </c>
      <c r="AZ118" s="246" t="str">
        <f t="shared" si="250"/>
        <v/>
      </c>
      <c r="BA118" s="176" t="str">
        <f t="shared" si="251"/>
        <v xml:space="preserve"> </v>
      </c>
      <c r="BB118" s="176" t="str">
        <f t="shared" si="252"/>
        <v xml:space="preserve"> </v>
      </c>
      <c r="BC118" s="195"/>
      <c r="BD118" s="316"/>
      <c r="BE118" s="317"/>
      <c r="BF118" s="318"/>
      <c r="BG118" s="318"/>
      <c r="BH118" s="144" t="str">
        <f t="shared" si="421"/>
        <v xml:space="preserve"> </v>
      </c>
      <c r="BI118" s="176" t="str">
        <f t="shared" si="253"/>
        <v/>
      </c>
      <c r="BJ118" s="144" t="str">
        <f t="shared" si="422"/>
        <v/>
      </c>
      <c r="BK118" s="246" t="str">
        <f t="shared" si="254"/>
        <v/>
      </c>
      <c r="BL118" s="144" t="str">
        <f t="shared" si="423"/>
        <v/>
      </c>
      <c r="BM118" s="246" t="str">
        <f t="shared" si="255"/>
        <v/>
      </c>
      <c r="BN118" s="337" t="str">
        <f t="shared" si="345"/>
        <v/>
      </c>
      <c r="BO118" s="371" t="str">
        <f t="shared" si="346"/>
        <v/>
      </c>
      <c r="BP118" s="328" t="str">
        <f t="shared" si="424"/>
        <v xml:space="preserve"> </v>
      </c>
      <c r="BQ118" s="347" t="str">
        <f t="shared" si="347"/>
        <v xml:space="preserve"> </v>
      </c>
      <c r="BR118" s="353" t="str">
        <f t="shared" si="348"/>
        <v xml:space="preserve"> </v>
      </c>
      <c r="BS118" s="626" t="str">
        <f>IF(L118&gt;0,IF(Calculation!P118="M13",BR118*3.1416*(0.134^2)/(4*144),IF(Calculation!P118="M17",BR118*3.1416*(0.165^2)/(4*144),IF(Calculation!P118="M20",BR118*3.1416*(0.198^2)/(4*144),IF(Calculation!P118="M23",BR118*3.1416*(0.228^2)/(4*144),IF(Calculation!P118="M27",BR118*3.1416*(0.269^2)/(4*144),BR118*3.1416*(0.307^2)/(4*144))))))," ")</f>
        <v xml:space="preserve"> </v>
      </c>
      <c r="BT118" s="353" t="str">
        <f>IF(L118&gt;0,IF(BS118&gt;0,R118/Calculation!BS118,0)," ")</f>
        <v xml:space="preserve"> </v>
      </c>
      <c r="BU118" s="438" t="e">
        <f t="shared" ca="1" si="256"/>
        <v>#VALUE!</v>
      </c>
      <c r="BV118" s="449" t="e">
        <f ca="1">INDEX(INDIRECT(VLOOKUP(LEFT(BO118,7),CLU!$Z$3:$AH$18,2)),GN118,GR118)</f>
        <v>#N/A</v>
      </c>
      <c r="BW118" s="433" t="e">
        <f ca="1">INDEX(INDIRECT(VLOOKUP(LEFT(BO118,7),CLU!$Z$3:$AH$18,3)),GN118,GR118)</f>
        <v>#N/A</v>
      </c>
      <c r="BX118" s="433" t="e">
        <f ca="1">INDEX(INDIRECT(VLOOKUP(LEFT(BO118,7),CLU!$Z$3:$AH$18,4)),GN118,GR118)</f>
        <v>#N/A</v>
      </c>
      <c r="BY118" s="433" t="e">
        <f ca="1">INDEX(INDIRECT(VLOOKUP(LEFT(BO118,7),CLU!$Z$3:$AH$18,9)),((M118-2)*(6-COUNTBLANK(GT118:GY118)))+GJ118)</f>
        <v>#N/A</v>
      </c>
      <c r="BZ118" s="426" t="e">
        <f t="shared" ca="1" si="349"/>
        <v>#N/A</v>
      </c>
      <c r="CA118" s="424" t="e">
        <f t="shared" ca="1" si="350"/>
        <v>#N/A</v>
      </c>
      <c r="CB118" s="429" t="e">
        <f ca="1">INDEX(INDIRECT(VLOOKUP(LEFT(BO118,7),CLU!$Z$3:$AH$18,2)),GN118,GS118)</f>
        <v>#N/A</v>
      </c>
      <c r="CC118" s="342" t="e">
        <f ca="1">INDEX(INDIRECT(VLOOKUP(LEFT(BO118,7),CLU!$Z$3:$AH$18,3)),GN118,GS118)</f>
        <v>#N/A</v>
      </c>
      <c r="CD118" s="342" t="e">
        <f ca="1">INDEX(INDIRECT(VLOOKUP(LEFT(BO118,7),CLU!$Z$3:$AH$18,4)),GN118,GS118)</f>
        <v>#N/A</v>
      </c>
      <c r="CE118" s="426" t="e">
        <f t="shared" ca="1" si="351"/>
        <v>#N/A</v>
      </c>
      <c r="CF118" s="440">
        <f t="shared" si="352"/>
        <v>0</v>
      </c>
      <c r="CG118" s="431" t="e">
        <f ca="1">INDEX(INDIRECT(VLOOKUP(LEFT(BO118,7),CLU!$Z$3:$AH$18,2)),GQ118,GR118)</f>
        <v>#N/A</v>
      </c>
      <c r="CH118" s="431" t="e">
        <f ca="1">INDEX(INDIRECT(VLOOKUP(LEFT(BO118,7),CLU!$Z$3:$AH$18,3)),GQ118,GR118)</f>
        <v>#N/A</v>
      </c>
      <c r="CI118" s="431" t="e">
        <f ca="1">INDEX(INDIRECT(VLOOKUP(LEFT(BO118,7),CLU!$Z$3:$AH$18,4)),GQ118,GR118)</f>
        <v>#N/A</v>
      </c>
      <c r="CJ118" s="448" t="e">
        <f t="shared" ca="1" si="353"/>
        <v>#N/A</v>
      </c>
      <c r="CK118" s="431" t="e">
        <f t="shared" ca="1" si="354"/>
        <v>#N/A</v>
      </c>
      <c r="CL118" s="440" t="e">
        <f t="shared" ca="1" si="355"/>
        <v>#N/A</v>
      </c>
      <c r="CM118" s="431" t="e">
        <f ca="1">INDEX(INDIRECT(VLOOKUP(LEFT(BO118,7),CLU!$Z$3:$AH$18,2)),GQ118,GS118)</f>
        <v>#N/A</v>
      </c>
      <c r="CN118" s="431" t="e">
        <f ca="1">INDEX(INDIRECT(VLOOKUP(LEFT(BO118,7),CLU!$Z$3:$AH$18,3)),GQ118,GS118)</f>
        <v>#N/A</v>
      </c>
      <c r="CO118" s="431" t="e">
        <f ca="1">INDEX(INDIRECT(VLOOKUP(LEFT(BO118,7),CLU!$Z$3:$AH$18,4)),GQ118,GS118)</f>
        <v>#N/A</v>
      </c>
      <c r="CP118" s="431" t="e">
        <f t="shared" ca="1" si="356"/>
        <v>#N/A</v>
      </c>
      <c r="CQ118" s="440">
        <f t="shared" si="357"/>
        <v>0</v>
      </c>
      <c r="CR118" s="51" t="e">
        <f t="shared" ca="1" si="358"/>
        <v>#N/A</v>
      </c>
      <c r="CS118" s="439" t="e">
        <f t="shared" ca="1" si="359"/>
        <v>#VALUE!</v>
      </c>
      <c r="CT118" s="51" t="e">
        <f t="shared" ca="1" si="360"/>
        <v>#VALUE!</v>
      </c>
      <c r="CU118" s="10"/>
      <c r="CV118" s="51" t="e">
        <f t="shared" ca="1" si="257"/>
        <v>#VALUE!</v>
      </c>
      <c r="CW118" s="51">
        <f t="shared" si="361"/>
        <v>0</v>
      </c>
      <c r="CX118" s="439" t="e">
        <f t="shared" ca="1" si="362"/>
        <v>#VALUE!</v>
      </c>
      <c r="CY118" s="51" t="e">
        <f t="shared" ca="1" si="363"/>
        <v>#VALUE!</v>
      </c>
      <c r="CZ118" s="10"/>
      <c r="DA118" s="51" t="e">
        <f t="shared" ca="1" si="364"/>
        <v>#VALUE!</v>
      </c>
      <c r="DB118" s="347" t="e">
        <f ca="1">INDEX(INDIRECT(VLOOKUP(LEFT(BO118,7),CLU!$Z$3:$AI$18,10)),((M118-2)*(6-COUNTBLANK(GT118:GY118)))+GJ118)*LI118</f>
        <v>#N/A</v>
      </c>
      <c r="DC118" s="347" t="str">
        <f>IF(L118&gt;0,((R118/Worksheet!$I$15)/DB118)^2," ")</f>
        <v xml:space="preserve"> </v>
      </c>
      <c r="DD118" s="602" t="str">
        <f t="shared" si="365"/>
        <v xml:space="preserve"> </v>
      </c>
      <c r="DE118" s="347" t="str">
        <f t="shared" si="258"/>
        <v xml:space="preserve"> </v>
      </c>
      <c r="DF118" s="356" t="e">
        <f ca="1">INDEX(INDIRECT(VLOOKUP(LEFT(BO118,7),CLU!$Z$3:$AH$18,8)),((M118-2)*(6-COUNTBLANK(GT118:GY118)))+GJ118)</f>
        <v>#N/A</v>
      </c>
      <c r="DG118" s="347" t="str">
        <f t="shared" si="259"/>
        <v xml:space="preserve"> </v>
      </c>
      <c r="DH118" s="357" t="str">
        <f t="shared" si="260"/>
        <v xml:space="preserve"> </v>
      </c>
      <c r="DI118" s="355" t="str">
        <f t="shared" si="261"/>
        <v xml:space="preserve"> </v>
      </c>
      <c r="DJ118" s="245" t="e">
        <f ca="1">INDEX(INDIRECT(VLOOKUP(LEFT(BO118,7),CLU!$Z$3:$AH$18,5)),GL118,GK118)</f>
        <v>#N/A</v>
      </c>
      <c r="DK118" s="245" t="e">
        <f ca="1">INDEX(INDIRECT(VLOOKUP(LEFT(BO118,7),CLU!$Z$3:$AH$18,6)),GL118,GK118)</f>
        <v>#N/A</v>
      </c>
      <c r="DL118" s="355">
        <f>(Calculation!R118*0.69143*(Calculation!$BQ$8-Calculation!$F$8))*$S$14</f>
        <v>0</v>
      </c>
      <c r="DM118" s="359" t="e">
        <f t="shared" si="366"/>
        <v>#VALUE!</v>
      </c>
      <c r="DN118" s="611">
        <f t="shared" si="367"/>
        <v>0</v>
      </c>
      <c r="DO118" s="359">
        <f t="shared" si="368"/>
        <v>100</v>
      </c>
      <c r="DP118" s="359">
        <f t="shared" si="369"/>
        <v>0</v>
      </c>
      <c r="DQ118" s="360"/>
      <c r="DR118" s="245" t="e">
        <f ca="1">INDEX(INDIRECT(VLOOKUP(LEFT(BO118,7),CLU!$Z$3:$AH$18,7)),M118-1,1)</f>
        <v>#N/A</v>
      </c>
      <c r="DS118" s="245" t="e">
        <f ca="1">INDEX(INDIRECT(VLOOKUP(LEFT(BO118,7),CLU!$Z$3:$AH$18,7)),M118-1,2)</f>
        <v>#N/A</v>
      </c>
      <c r="DT118" s="245" t="e">
        <f ca="1">INDEX(INDIRECT(VLOOKUP(LEFT(BO118,7),CLU!$Z$3:$AH$18,7)),M118-1,3)</f>
        <v>#N/A</v>
      </c>
      <c r="DU118" s="245" t="e">
        <f ca="1">INDEX(INDIRECT(VLOOKUP(LEFT(BO118,7),CLU!$Z$3:$AH$18,7)),M118-1,4)</f>
        <v>#N/A</v>
      </c>
      <c r="DV118" s="361" t="e">
        <f ca="1">INDEX(INDIRECT(VLOOKUP(LEFT(BO118,7),CLU!$Z$3:$AH$18,7)),M118-1,4+LEFT(DZ118,1)*0.5)</f>
        <v>#N/A</v>
      </c>
      <c r="DW118" s="245" t="e">
        <f ca="1">INDEX(INDIRECT(VLOOKUP(LEFT(BO118,7),CLU!$Z$3:$AH$18,7)),M118-1,8)</f>
        <v>#N/A</v>
      </c>
      <c r="DX118" s="361" t="str">
        <f t="shared" si="262"/>
        <v xml:space="preserve"> </v>
      </c>
      <c r="DY118" s="361" t="str">
        <f t="shared" si="263"/>
        <v xml:space="preserve"> </v>
      </c>
      <c r="DZ118" s="361" t="str">
        <f t="shared" si="264"/>
        <v xml:space="preserve"> </v>
      </c>
      <c r="EA118" s="362" t="str">
        <f t="shared" si="265"/>
        <v xml:space="preserve"> </v>
      </c>
      <c r="EB118" s="624" t="str">
        <f t="shared" si="370"/>
        <v xml:space="preserve"> </v>
      </c>
      <c r="EC118" s="361" t="e">
        <f ca="1">INDEX(INDIRECT(VLOOKUP(LEFT(BO118,7),CLU!$Z$3:$AH$18,7)),M118-1,4+LEFT(DZ118,1)*0.5)</f>
        <v>#N/A</v>
      </c>
      <c r="ED118" s="362" t="str">
        <f t="shared" si="266"/>
        <v xml:space="preserve"> </v>
      </c>
      <c r="EE118" s="361" t="str">
        <f t="shared" si="267"/>
        <v xml:space="preserve"> </v>
      </c>
      <c r="EF118" s="362" t="str">
        <f>IF(L118&gt;0,IF(BR118&gt;0,IF(EE118="2P",IF(Calculation!DZ118="2P",IF(Calculation!DS118=13.75,IF(Calculation!DR118=13,Worksheet!$BD$43,IF(Calculation!DR118=37,Worksheet!$BD$44,Worksheet!$BD$45)),IF(Calculation!DS118=10,IF(Calculation!DR118=18,Worksheet!$BD$29,IF(Calculation!DR118=30,Worksheet!$BD$30,IF(Calculation!DR118=42,Worksheet!$BD$31,IF(Calculation!DR118=54,Worksheet!$BD$32,IF(Calculation!DR118=66,Worksheet!$BD$33,IF(Calculation!DR118=78,Worksheet!$BD$34,IF(Calculation!DR118=90,Worksheet!$BD$35,IF(Calculation!DR118=102,Worksheet!$BD$36,Worksheet!$BD$37)))))))),IF(Calculation!DS118=12.5,IF(Calculation!DR118=18,Worksheet!$BD$38,IF(Calculation!DR118=Worksheet!$BD$39,IF(Calculation!DR118=42,Worksheet!$BD$40,IF(Calculation!DR118=54,Worksheet!$BD$41,Worksheet!$BD$42)))),IF(Calculation!DR118=18,Worksheet!$BD$11,IF(Calculation!DR118=30,Worksheet!$BD$12,IF(Calculation!DR118=42,Worksheet!$BD$13,IF(Calculation!DR118=54,Worksheet!$BD$14,IF(Calculation!DR118=66,Worksheet!$BD$15,IF(Calculation!DR118=78,Worksheet!$BD$16,IF(Calculation!DR118=90,Worksheet!$BD$17,IF(Calculation!DR118=102,Worksheet!$BD$18,Worksheet!$BD$19))))))))))),IF(Calculation!DS118=13.75,IF(Calculation!DR118=13,Worksheet!$BD$78,IF(Calculation!DR118=37,Worksheet!$BD$79,Worksheet!$BD$80)),IF(Calculation!DS118=10,IF(Calculation!DR118=18,Worksheet!$BD$64,IF(Calculation!DR118=30,Worksheet!$BD$65,IF(Calculation!DR118=42,Worksheet!$BD$66,IF(Calculation!DR118=54,Worksheet!$BD$68,IF(Calculation!DR118=66,Worksheet!$BD$68,IF(Calculation!DR118=78,Worksheet!$BD$69,IF(Calculation!DR118=90,Worksheet!$BD$70,IF(Calculation!DR118=102,Worksheet!$BD$71,Worksheet!$BD$72)))))))),IF(Calculation!DS118=12.5,IF(Calculation!DR118=18,Worksheet!$BD$73,IF(Calculation!DR118=Worksheet!$BD$74,IF(Calculation!DR118=42,Worksheet!$BD$75,IF(Calculation!DR118=54,Worksheet!$BD$76,Worksheet!$BD$77)))),IF(Calculation!DR118=18,Worksheet!$BD$55,IF(Calculation!DR118=30,Worksheet!$BD$56,IF(Calculation!DR118=42,Worksheet!$BD$57,IF(Calculation!DR118=54,Worksheet!$BD$58,IF(Calculation!DR118=66,Worksheet!$BD$59,IF(Calculation!DR118=78,Worksheet!$BD$60,IF(Calculation!DR118=90,Worksheet!$BD$61,IF(Calculation!DR118=102,Worksheet!$BD$62,Worksheet!$BD$63)))))))))))),5),0)," ")</f>
        <v xml:space="preserve"> </v>
      </c>
      <c r="EG118" s="361" t="str">
        <f t="shared" si="268"/>
        <v xml:space="preserve"> </v>
      </c>
      <c r="EH118" s="361" t="e">
        <f ca="1">INDEX(INDIRECT(VLOOKUP(LEFT(BO118,7),CLU!$Z$3:$AH$18,7)),M118-1,3+LEFT(DZ118,1))</f>
        <v>#N/A</v>
      </c>
      <c r="EI118" s="362" t="str">
        <f t="shared" si="269"/>
        <v xml:space="preserve"> </v>
      </c>
      <c r="EJ118" s="363" t="str">
        <f t="shared" si="270"/>
        <v xml:space="preserve"> </v>
      </c>
      <c r="EK118" s="363" t="str">
        <f t="shared" si="271"/>
        <v xml:space="preserve"> </v>
      </c>
      <c r="EL118" s="363" t="str">
        <f t="shared" si="272"/>
        <v xml:space="preserve"> </v>
      </c>
      <c r="EM118" s="362" t="str">
        <f>IF(L118&gt;0,IF(BR118&gt;0,(Calculation!T118/ED118)^2,0)," ")</f>
        <v xml:space="preserve"> </v>
      </c>
      <c r="EN118" s="362" t="str">
        <f>IF(L118&gt;0,IF(O118="2 Pipe (Cooling)","N/A",IF(BR118&gt;0,(Calculation!U118/EI118)^2,0))," ")</f>
        <v xml:space="preserve"> </v>
      </c>
      <c r="EO118" s="361" t="str">
        <f t="shared" si="273"/>
        <v/>
      </c>
      <c r="EP118" s="361" t="str">
        <f t="shared" si="274"/>
        <v/>
      </c>
      <c r="EQ118" s="361" t="str">
        <f t="shared" si="275"/>
        <v/>
      </c>
      <c r="ER118" s="361" t="str">
        <f t="shared" si="276"/>
        <v/>
      </c>
      <c r="ES118" s="361" t="str">
        <f t="shared" si="277"/>
        <v/>
      </c>
      <c r="ET118" s="361" t="str">
        <f t="shared" si="278"/>
        <v/>
      </c>
      <c r="EU118" s="361" t="str">
        <f t="shared" si="279"/>
        <v/>
      </c>
      <c r="EV118" s="361" t="str">
        <f t="shared" si="280"/>
        <v/>
      </c>
      <c r="EW118" s="361" t="str">
        <f t="shared" si="281"/>
        <v/>
      </c>
      <c r="EX118" s="361" t="str">
        <f t="shared" si="371"/>
        <v>1 slot, 1 way</v>
      </c>
      <c r="EY118" s="361" t="str">
        <f t="shared" si="372"/>
        <v xml:space="preserve"> </v>
      </c>
      <c r="EZ118" s="361" t="str">
        <f t="shared" si="373"/>
        <v xml:space="preserve"> </v>
      </c>
      <c r="FA118" s="361" t="str">
        <f t="shared" si="374"/>
        <v xml:space="preserve"> </v>
      </c>
      <c r="FB118" s="361" t="str">
        <f t="shared" si="375"/>
        <v xml:space="preserve"> </v>
      </c>
      <c r="FC118" s="361"/>
      <c r="FD118" s="361" t="str">
        <f>IF(J118&gt;0,IF(Calculation!R118&lt;=70,4,IF(Calculation!R118&lt;=110,5,IF(Calculation!R118&lt;=160,6,IF(Calculation!R118&lt;=300,8,"10 EO")))),"")</f>
        <v/>
      </c>
      <c r="FE118" s="361" t="str">
        <f t="shared" si="376"/>
        <v/>
      </c>
      <c r="FF118" s="361" t="str">
        <f t="shared" si="377"/>
        <v/>
      </c>
      <c r="FG118" s="361" t="e">
        <f t="shared" si="282"/>
        <v>#N/A</v>
      </c>
      <c r="FH118" s="361">
        <f t="shared" si="283"/>
        <v>0</v>
      </c>
      <c r="FI118" s="361" t="e">
        <f t="shared" si="284"/>
        <v>#DIV/0!</v>
      </c>
      <c r="FJ118" s="361"/>
      <c r="FK118" s="356" t="e">
        <f t="shared" si="285"/>
        <v>#VALUE!</v>
      </c>
      <c r="FL118" s="361"/>
      <c r="FM118" s="361"/>
      <c r="FN118" s="362" t="str">
        <f t="shared" si="378"/>
        <v xml:space="preserve"> </v>
      </c>
      <c r="FO118" s="362" t="str">
        <f t="shared" si="379"/>
        <v xml:space="preserve"> </v>
      </c>
      <c r="FP118" s="362">
        <f t="shared" si="380"/>
        <v>0</v>
      </c>
      <c r="FQ118" s="361">
        <f t="shared" si="286"/>
        <v>0</v>
      </c>
      <c r="FR118" s="362" t="str">
        <f>IF(L118&gt;0,IF(J118="CBAL2",Worksheet!$P$67,IF(J118="CBE2-24",Worksheet!$Q$67,IF(J118="CBAM",Worksheet!$R$67,IF(J118="CBLV",Worksheet!$S$67,IF(J118="CBAB",Worksheet!$U$67,IF(J118="CBAW",Worksheet!$X$67,IF(J118="CBE2-12",Worksheet!$Y$67,IF(J118="CBAL2",Worksheet!$Z$67,"N/A"))))))))," ")</f>
        <v xml:space="preserve"> </v>
      </c>
      <c r="FS118" s="362" t="str">
        <f>IF(L118&gt;0,IF(J118="CBAL2",Worksheet!$P$68,IF(J118="CBE2-24",Worksheet!$Q$68,IF(J118="CBAM",Worksheet!$R$68,IF(J118="CBLV",Worksheet!$S$68,IF(J118="CBAB",Worksheet!$U$68,IF(J118="CBAW",Worksheet!$X$68,IF(J118="CBE2-12",Worksheet!$Y$68,IF(J118="CBAL2",Worksheet!$Z$68,"N/A"))))))))," ")</f>
        <v xml:space="preserve"> </v>
      </c>
      <c r="FT118" s="362" t="str">
        <f>IF(L118&gt;0,IF(J118="CBAL2",Worksheet!$P$69,IF(J118="CBE2-24",Worksheet!$Q$69,IF(J118="CBAM",Worksheet!$R$69,IF(J118="CBLV",Worksheet!$S$69,IF(J118="CBAB",Worksheet!$U$69,IF(J118="CBAW",Worksheet!$X$69,IF(J118="CBE2-12",Worksheet!$Y$69,IF(J118="CBAL2",Worksheet!$Z$69,"N/A"))))))))," ")</f>
        <v xml:space="preserve"> </v>
      </c>
      <c r="FU118" s="361" t="str">
        <f t="shared" si="381"/>
        <v xml:space="preserve"> </v>
      </c>
      <c r="FV118" s="362" t="str">
        <f t="shared" si="382"/>
        <v xml:space="preserve"> </v>
      </c>
      <c r="FW118" s="362" t="str">
        <f t="shared" si="383"/>
        <v xml:space="preserve"> </v>
      </c>
      <c r="FX118" s="362" t="str">
        <f t="shared" si="384"/>
        <v xml:space="preserve"> </v>
      </c>
      <c r="FY118" s="355" t="str">
        <f t="shared" si="385"/>
        <v xml:space="preserve"> </v>
      </c>
      <c r="FZ118" s="361" t="str">
        <f t="shared" si="386"/>
        <v xml:space="preserve"> </v>
      </c>
      <c r="GA118" s="347" t="str">
        <f t="shared" si="387"/>
        <v xml:space="preserve"> </v>
      </c>
      <c r="GB118" s="355" t="str">
        <f t="shared" si="388"/>
        <v xml:space="preserve"> </v>
      </c>
      <c r="GC118" s="328" t="str">
        <f t="shared" si="389"/>
        <v xml:space="preserve"> </v>
      </c>
      <c r="GD118" s="361" t="str">
        <f t="shared" si="390"/>
        <v xml:space="preserve"> </v>
      </c>
      <c r="GE118" s="347" t="str">
        <f t="shared" si="391"/>
        <v xml:space="preserve"> </v>
      </c>
      <c r="GF118" s="361" t="str">
        <f t="shared" si="392"/>
        <v xml:space="preserve"> </v>
      </c>
      <c r="GG118" s="347" t="str">
        <f t="shared" si="393"/>
        <v xml:space="preserve"> </v>
      </c>
      <c r="GH118" s="364">
        <f t="shared" si="287"/>
        <v>0</v>
      </c>
      <c r="GI118" s="362">
        <f t="shared" si="394"/>
        <v>2</v>
      </c>
      <c r="GJ118" s="433" t="e">
        <f>IF(6-COUNTBLANK(GT118:GY118)=4,MATCH(MID(BO118,9,3),CLU!$H$16:$K$16),MATCH(MID(BO118,9,3),CLU!$H$13:$M$13))</f>
        <v>#N/A</v>
      </c>
      <c r="GK118" s="433" t="e">
        <f>HLOOKUP(VALUE(BP118),CLU!$H$9:$M$10,2)</f>
        <v>#VALUE!</v>
      </c>
      <c r="GL118" s="433" t="e">
        <f ca="1">MATCH(BU118,CLU!$H$2:$V$2,1)</f>
        <v>#VALUE!</v>
      </c>
      <c r="GM118" s="433" t="e">
        <f t="shared" ca="1" si="395"/>
        <v>#VALUE!</v>
      </c>
      <c r="GN118" s="433" t="e">
        <f t="shared" ca="1" si="396"/>
        <v>#VALUE!</v>
      </c>
      <c r="GO118" s="433" t="e">
        <f t="shared" ca="1" si="397"/>
        <v>#VALUE!</v>
      </c>
      <c r="GP118" s="433" t="e">
        <f t="shared" ca="1" si="398"/>
        <v>#VALUE!</v>
      </c>
      <c r="GQ118" s="433" t="e">
        <f t="shared" ca="1" si="399"/>
        <v>#VALUE!</v>
      </c>
      <c r="GR118" s="433" t="e">
        <f ca="1">MATCH(T118,INDIRECT(VLOOKUP(CONCATENATE(LEFT(BO118,7),"-",MID(BO118,13,1)),CLU!$P$3:$Q$16,2)),1)</f>
        <v>#N/A</v>
      </c>
      <c r="GS118" s="433" t="e">
        <f ca="1">MATCH(U118,INDIRECT(VLOOKUP(CONCATENATE(LEFT(BO118,7),"-",MID(BO118,13,1)),CLU!$P$3:$Q$16,2)),1)</f>
        <v>#N/A</v>
      </c>
      <c r="GT118" s="347" t="s">
        <v>512</v>
      </c>
      <c r="GU118" s="97" t="s">
        <v>513</v>
      </c>
      <c r="GV118" s="97" t="str">
        <f t="shared" si="400"/>
        <v>M23</v>
      </c>
      <c r="GW118" s="97" t="str">
        <f t="shared" si="401"/>
        <v>M31</v>
      </c>
      <c r="GX118" s="97" t="str">
        <f t="shared" si="402"/>
        <v/>
      </c>
      <c r="GY118" s="97" t="str">
        <f t="shared" si="403"/>
        <v/>
      </c>
      <c r="GZ118" s="481"/>
      <c r="HA118" s="288"/>
      <c r="HB118" s="240"/>
      <c r="HC118" s="240"/>
      <c r="HD118" s="240"/>
      <c r="HE118" s="240"/>
      <c r="HF118" s="240"/>
      <c r="HG118" s="240"/>
      <c r="HH118" s="240"/>
      <c r="HI118" s="240"/>
      <c r="HJ118" s="240"/>
      <c r="HK118" s="240"/>
      <c r="HL118" s="240"/>
      <c r="HM118" s="240"/>
      <c r="HN118" s="240"/>
      <c r="HO118" s="240"/>
      <c r="HP118" s="240"/>
      <c r="HQ118" s="240"/>
      <c r="HR118" s="240"/>
      <c r="HS118" s="240"/>
      <c r="HT118" s="240"/>
      <c r="HU118" s="240"/>
      <c r="HV118" s="245"/>
      <c r="HW118" s="245" t="b">
        <v>1</v>
      </c>
      <c r="HX118" s="245" t="str">
        <f t="shared" si="288"/>
        <v/>
      </c>
      <c r="HY118" s="245" t="e">
        <f t="shared" si="289"/>
        <v>#DIV/0!</v>
      </c>
      <c r="HZ118" s="245" t="e">
        <f t="shared" si="290"/>
        <v>#DIV/0!</v>
      </c>
      <c r="IA118" s="245">
        <f t="shared" si="291"/>
        <v>0</v>
      </c>
      <c r="IB118" s="245"/>
      <c r="IC118" t="b">
        <f t="shared" si="292"/>
        <v>1</v>
      </c>
      <c r="ID118" s="245" t="b">
        <f t="shared" si="293"/>
        <v>1</v>
      </c>
      <c r="IE118" s="245" t="b">
        <f t="shared" si="294"/>
        <v>1</v>
      </c>
      <c r="IF118" s="245" t="b">
        <f t="shared" si="295"/>
        <v>0</v>
      </c>
      <c r="IG118" s="245" t="b">
        <f t="shared" si="296"/>
        <v>1</v>
      </c>
      <c r="IH118" s="245" t="b">
        <f t="shared" si="297"/>
        <v>1</v>
      </c>
      <c r="II118" s="245">
        <f t="shared" si="404"/>
        <v>0</v>
      </c>
      <c r="IJ118" s="245" t="e">
        <f t="shared" si="298"/>
        <v>#VALUE!</v>
      </c>
      <c r="IK118" s="245" t="e">
        <f t="shared" si="299"/>
        <v>#VALUE!</v>
      </c>
      <c r="IL118" s="245"/>
      <c r="IM118" s="245" t="e">
        <f t="shared" si="405"/>
        <v>#N/A</v>
      </c>
      <c r="IN118" s="245" t="e">
        <f t="shared" si="406"/>
        <v>#N/A</v>
      </c>
      <c r="IO118" s="245"/>
      <c r="IP118" s="245"/>
      <c r="IQ118" s="245" t="str">
        <f t="shared" si="300"/>
        <v/>
      </c>
      <c r="IR118" s="245" t="str">
        <f>IF(J118="","",VLOOKUP(J118,Worksheet!$R$4:$T$14,2))</f>
        <v/>
      </c>
      <c r="IS118" s="245"/>
      <c r="IT118" s="245">
        <f t="shared" si="301"/>
        <v>0</v>
      </c>
      <c r="IU118" s="245">
        <f t="shared" si="302"/>
        <v>0</v>
      </c>
      <c r="IV118" s="245">
        <f t="shared" si="303"/>
        <v>0</v>
      </c>
      <c r="IW118" s="245">
        <f t="shared" si="304"/>
        <v>0</v>
      </c>
      <c r="IX118" s="245">
        <f t="shared" si="407"/>
        <v>0</v>
      </c>
      <c r="IY118" s="245">
        <f t="shared" si="305"/>
        <v>0</v>
      </c>
      <c r="IZ118" s="245">
        <f t="shared" si="306"/>
        <v>0</v>
      </c>
      <c r="JA118">
        <f t="shared" si="307"/>
        <v>0</v>
      </c>
      <c r="JB118">
        <f t="shared" si="408"/>
        <v>0</v>
      </c>
      <c r="JC118">
        <f t="shared" si="308"/>
        <v>0</v>
      </c>
      <c r="JD118">
        <f t="shared" si="309"/>
        <v>0</v>
      </c>
      <c r="JE118">
        <f t="shared" si="310"/>
        <v>0</v>
      </c>
      <c r="JF118">
        <f t="shared" si="311"/>
        <v>0</v>
      </c>
      <c r="JG118">
        <f t="shared" si="312"/>
        <v>0</v>
      </c>
      <c r="JH118">
        <f t="shared" si="313"/>
        <v>0</v>
      </c>
      <c r="JI118">
        <f t="shared" si="314"/>
        <v>0</v>
      </c>
      <c r="JJ118" s="447">
        <f t="shared" si="315"/>
        <v>0</v>
      </c>
      <c r="JK118" s="447">
        <f t="shared" si="316"/>
        <v>0</v>
      </c>
      <c r="JL118">
        <f t="shared" si="317"/>
        <v>0</v>
      </c>
      <c r="JM118" s="245" t="str">
        <f>IFERROR(VLOOKUP(MATCH(BN118,#REF!,0),#REF!,7),"")</f>
        <v/>
      </c>
      <c r="JN118" t="e">
        <f>HLOOKUP(LEFT(BO118,7),Discharge_Area,MATCH(JO118,LookUps!$B$130:$B$149,1)+2)</f>
        <v>#N/A</v>
      </c>
      <c r="JO118" t="str">
        <f t="shared" si="318"/>
        <v>- S</v>
      </c>
      <c r="JP118" t="e">
        <f>HLOOKUP(LEFT(BO118,7),Discharge_Area,MATCH(JO118,LookUps!$B$130:$B$149,1)+2)</f>
        <v>#N/A</v>
      </c>
      <c r="JQ118" t="e">
        <f t="shared" si="319"/>
        <v>#N/A</v>
      </c>
      <c r="JR118" t="e">
        <f t="shared" si="320"/>
        <v>#N/A</v>
      </c>
      <c r="JS118" t="e">
        <f t="shared" si="321"/>
        <v>#N/A</v>
      </c>
      <c r="JT118" s="532" t="str">
        <f t="shared" si="322"/>
        <v xml:space="preserve"> </v>
      </c>
      <c r="JU118" s="532" t="str">
        <f t="shared" si="323"/>
        <v xml:space="preserve"> </v>
      </c>
      <c r="JV118" s="533" t="str">
        <f t="shared" si="324"/>
        <v xml:space="preserve"> </v>
      </c>
      <c r="JW118" s="534">
        <f t="shared" si="325"/>
        <v>0</v>
      </c>
      <c r="JX118" s="535" t="str">
        <f t="shared" si="409"/>
        <v xml:space="preserve"> </v>
      </c>
      <c r="JY118" s="535" t="str">
        <f t="shared" si="410"/>
        <v xml:space="preserve"> </v>
      </c>
      <c r="JZ118" s="535" t="str">
        <f t="shared" si="411"/>
        <v xml:space="preserve"> </v>
      </c>
      <c r="KA118" s="536" t="str">
        <f t="shared" si="326"/>
        <v xml:space="preserve"> </v>
      </c>
      <c r="KB118" s="535" t="e">
        <f t="shared" si="412"/>
        <v>#VALUE!</v>
      </c>
      <c r="KC118" s="535" t="str">
        <f t="shared" si="327"/>
        <v/>
      </c>
      <c r="KD118" s="537" t="str">
        <f t="shared" si="413"/>
        <v xml:space="preserve"> </v>
      </c>
      <c r="KE118" s="537" t="str">
        <f t="shared" si="414"/>
        <v xml:space="preserve"> </v>
      </c>
      <c r="KF118" s="534">
        <f t="shared" si="328"/>
        <v>0</v>
      </c>
      <c r="KG118" s="535" t="str">
        <f t="shared" si="329"/>
        <v xml:space="preserve"> </v>
      </c>
      <c r="KH118" s="535" t="str">
        <f t="shared" si="330"/>
        <v xml:space="preserve"> </v>
      </c>
      <c r="KI118" s="535" t="str">
        <f t="shared" si="331"/>
        <v xml:space="preserve"> </v>
      </c>
      <c r="KJ118" s="536" t="str">
        <f t="shared" si="332"/>
        <v xml:space="preserve"> </v>
      </c>
      <c r="KK118" s="535" t="str">
        <f t="shared" si="415"/>
        <v xml:space="preserve"> </v>
      </c>
      <c r="KL118" s="535" t="str">
        <f t="shared" si="416"/>
        <v xml:space="preserve"> </v>
      </c>
      <c r="KM118" s="537" t="str">
        <f t="shared" si="333"/>
        <v xml:space="preserve"> </v>
      </c>
      <c r="KN118" s="537" t="str">
        <f t="shared" si="417"/>
        <v xml:space="preserve"> </v>
      </c>
      <c r="KP118">
        <f t="shared" si="334"/>
        <v>0</v>
      </c>
      <c r="LA118" t="e">
        <f t="shared" si="335"/>
        <v>#VALUE!</v>
      </c>
      <c r="LB118" t="e">
        <f t="shared" si="336"/>
        <v>#VALUE!</v>
      </c>
      <c r="LC118" t="e">
        <f t="shared" si="337"/>
        <v>#VALUE!</v>
      </c>
      <c r="LD118" t="e">
        <f t="shared" si="338"/>
        <v>#VALUE!</v>
      </c>
      <c r="LE118" t="e">
        <f t="shared" si="418"/>
        <v>#VALUE!</v>
      </c>
      <c r="LF118">
        <f t="shared" si="339"/>
        <v>0</v>
      </c>
      <c r="LG118" t="e">
        <f t="shared" si="419"/>
        <v>#VALUE!</v>
      </c>
      <c r="LH118" t="str">
        <f t="shared" si="340"/>
        <v xml:space="preserve"> </v>
      </c>
      <c r="LI118">
        <f t="shared" si="420"/>
        <v>1</v>
      </c>
    </row>
    <row r="119" spans="2:321" ht="15" customHeight="1">
      <c r="B119" s="311"/>
      <c r="C119" s="311"/>
      <c r="D119" s="312"/>
      <c r="E119" s="311"/>
      <c r="F119" s="312"/>
      <c r="G119" s="311"/>
      <c r="H119" s="311"/>
      <c r="I119" s="37"/>
      <c r="J119" s="311"/>
      <c r="K119" s="305" t="str">
        <f t="shared" si="341"/>
        <v/>
      </c>
      <c r="L119" s="313"/>
      <c r="M119" s="312"/>
      <c r="N119" s="311"/>
      <c r="O119" s="312"/>
      <c r="P119" s="311"/>
      <c r="Q119" s="305" t="str">
        <f t="shared" si="342"/>
        <v/>
      </c>
      <c r="R119" s="314"/>
      <c r="S119" s="450" t="str">
        <f t="shared" si="225"/>
        <v/>
      </c>
      <c r="T119" s="315"/>
      <c r="U119" s="315"/>
      <c r="W119" s="149" t="str">
        <f t="shared" si="226"/>
        <v xml:space="preserve"> </v>
      </c>
      <c r="X119" s="243" t="str">
        <f t="shared" si="227"/>
        <v xml:space="preserve"> </v>
      </c>
      <c r="Y119" s="150" t="str">
        <f t="shared" si="228"/>
        <v/>
      </c>
      <c r="Z119" s="149" t="str">
        <f t="shared" si="229"/>
        <v xml:space="preserve"> </v>
      </c>
      <c r="AA119" s="98" t="str">
        <f t="shared" si="230"/>
        <v xml:space="preserve"> </v>
      </c>
      <c r="AB119" s="153" t="str">
        <f t="shared" si="231"/>
        <v xml:space="preserve"> </v>
      </c>
      <c r="AC119" s="153" t="str">
        <f t="shared" si="232"/>
        <v xml:space="preserve"> </v>
      </c>
      <c r="AD119" s="148" t="str">
        <f t="shared" si="233"/>
        <v/>
      </c>
      <c r="AE119" s="149" t="str">
        <f t="shared" si="234"/>
        <v/>
      </c>
      <c r="AF119" s="151" t="str">
        <f t="shared" si="235"/>
        <v xml:space="preserve"> </v>
      </c>
      <c r="AG119" s="153" t="str">
        <f t="shared" si="236"/>
        <v xml:space="preserve"> </v>
      </c>
      <c r="AH119" s="98" t="str">
        <f t="shared" si="237"/>
        <v xml:space="preserve"> </v>
      </c>
      <c r="AI119" s="149" t="str">
        <f t="shared" si="238"/>
        <v xml:space="preserve"> </v>
      </c>
      <c r="AK119" s="144" t="str">
        <f t="shared" si="239"/>
        <v xml:space="preserve"> </v>
      </c>
      <c r="AL119" s="144"/>
      <c r="AM119" s="243" t="str">
        <f t="shared" si="240"/>
        <v xml:space="preserve"> </v>
      </c>
      <c r="AN119" s="149" t="str">
        <f t="shared" si="343"/>
        <v xml:space="preserve"> </v>
      </c>
      <c r="AO119" s="144" t="str">
        <f>IF(JB119&gt;0,IF(GI119=10,-R119*1.085*(Calculation!$F$6-Calculation!$F$13)*$S$14," "),"")</f>
        <v/>
      </c>
      <c r="AP119" s="144" t="str">
        <f t="shared" si="241"/>
        <v/>
      </c>
      <c r="AQ119" s="56" t="str">
        <f t="shared" si="242"/>
        <v/>
      </c>
      <c r="AR119" s="144" t="str">
        <f t="shared" si="243"/>
        <v/>
      </c>
      <c r="AS119" s="176" t="str">
        <f t="shared" si="244"/>
        <v/>
      </c>
      <c r="AT119" s="176" t="str">
        <f t="shared" si="344"/>
        <v xml:space="preserve"> </v>
      </c>
      <c r="AU119" s="176" t="str">
        <f t="shared" si="245"/>
        <v/>
      </c>
      <c r="AV119" s="177" t="str">
        <f t="shared" si="246"/>
        <v xml:space="preserve"> </v>
      </c>
      <c r="AW119" s="144" t="str">
        <f t="shared" si="247"/>
        <v xml:space="preserve"> </v>
      </c>
      <c r="AX119" s="144" t="str">
        <f t="shared" si="248"/>
        <v xml:space="preserve"> </v>
      </c>
      <c r="AY119" s="152" t="str">
        <f t="shared" si="249"/>
        <v xml:space="preserve"> </v>
      </c>
      <c r="AZ119" s="246" t="str">
        <f t="shared" si="250"/>
        <v/>
      </c>
      <c r="BA119" s="176" t="str">
        <f t="shared" si="251"/>
        <v xml:space="preserve"> </v>
      </c>
      <c r="BB119" s="176" t="str">
        <f t="shared" si="252"/>
        <v xml:space="preserve"> </v>
      </c>
      <c r="BC119" s="195"/>
      <c r="BD119" s="316"/>
      <c r="BE119" s="317"/>
      <c r="BF119" s="318"/>
      <c r="BG119" s="318"/>
      <c r="BH119" s="144" t="str">
        <f t="shared" si="421"/>
        <v xml:space="preserve"> </v>
      </c>
      <c r="BI119" s="176" t="str">
        <f t="shared" si="253"/>
        <v/>
      </c>
      <c r="BJ119" s="144" t="str">
        <f t="shared" si="422"/>
        <v/>
      </c>
      <c r="BK119" s="246" t="str">
        <f t="shared" si="254"/>
        <v/>
      </c>
      <c r="BL119" s="144" t="str">
        <f t="shared" si="423"/>
        <v/>
      </c>
      <c r="BM119" s="246" t="str">
        <f t="shared" si="255"/>
        <v/>
      </c>
      <c r="BN119" s="337" t="str">
        <f t="shared" si="345"/>
        <v/>
      </c>
      <c r="BO119" s="371" t="str">
        <f t="shared" si="346"/>
        <v/>
      </c>
      <c r="BP119" s="328" t="str">
        <f t="shared" si="424"/>
        <v xml:space="preserve"> </v>
      </c>
      <c r="BQ119" s="347" t="str">
        <f t="shared" si="347"/>
        <v xml:space="preserve"> </v>
      </c>
      <c r="BR119" s="353" t="str">
        <f t="shared" si="348"/>
        <v xml:space="preserve"> </v>
      </c>
      <c r="BS119" s="626" t="str">
        <f>IF(L119&gt;0,IF(Calculation!P119="M13",BR119*3.1416*(0.134^2)/(4*144),IF(Calculation!P119="M17",BR119*3.1416*(0.165^2)/(4*144),IF(Calculation!P119="M20",BR119*3.1416*(0.198^2)/(4*144),IF(Calculation!P119="M23",BR119*3.1416*(0.228^2)/(4*144),IF(Calculation!P119="M27",BR119*3.1416*(0.269^2)/(4*144),BR119*3.1416*(0.307^2)/(4*144))))))," ")</f>
        <v xml:space="preserve"> </v>
      </c>
      <c r="BT119" s="353" t="str">
        <f>IF(L119&gt;0,IF(BS119&gt;0,R119/Calculation!BS119,0)," ")</f>
        <v xml:space="preserve"> </v>
      </c>
      <c r="BU119" s="438" t="e">
        <f t="shared" ca="1" si="256"/>
        <v>#VALUE!</v>
      </c>
      <c r="BV119" s="449" t="e">
        <f ca="1">INDEX(INDIRECT(VLOOKUP(LEFT(BO119,7),CLU!$Z$3:$AH$18,2)),GN119,GR119)</f>
        <v>#N/A</v>
      </c>
      <c r="BW119" s="433" t="e">
        <f ca="1">INDEX(INDIRECT(VLOOKUP(LEFT(BO119,7),CLU!$Z$3:$AH$18,3)),GN119,GR119)</f>
        <v>#N/A</v>
      </c>
      <c r="BX119" s="433" t="e">
        <f ca="1">INDEX(INDIRECT(VLOOKUP(LEFT(BO119,7),CLU!$Z$3:$AH$18,4)),GN119,GR119)</f>
        <v>#N/A</v>
      </c>
      <c r="BY119" s="433" t="e">
        <f ca="1">INDEX(INDIRECT(VLOOKUP(LEFT(BO119,7),CLU!$Z$3:$AH$18,9)),((M119-2)*(6-COUNTBLANK(GT119:GY119)))+GJ119)</f>
        <v>#N/A</v>
      </c>
      <c r="BZ119" s="426" t="e">
        <f t="shared" ca="1" si="349"/>
        <v>#N/A</v>
      </c>
      <c r="CA119" s="424" t="e">
        <f t="shared" ca="1" si="350"/>
        <v>#N/A</v>
      </c>
      <c r="CB119" s="429" t="e">
        <f ca="1">INDEX(INDIRECT(VLOOKUP(LEFT(BO119,7),CLU!$Z$3:$AH$18,2)),GN119,GS119)</f>
        <v>#N/A</v>
      </c>
      <c r="CC119" s="342" t="e">
        <f ca="1">INDEX(INDIRECT(VLOOKUP(LEFT(BO119,7),CLU!$Z$3:$AH$18,3)),GN119,GS119)</f>
        <v>#N/A</v>
      </c>
      <c r="CD119" s="342" t="e">
        <f ca="1">INDEX(INDIRECT(VLOOKUP(LEFT(BO119,7),CLU!$Z$3:$AH$18,4)),GN119,GS119)</f>
        <v>#N/A</v>
      </c>
      <c r="CE119" s="426" t="e">
        <f t="shared" ca="1" si="351"/>
        <v>#N/A</v>
      </c>
      <c r="CF119" s="440">
        <f t="shared" si="352"/>
        <v>0</v>
      </c>
      <c r="CG119" s="431" t="e">
        <f ca="1">INDEX(INDIRECT(VLOOKUP(LEFT(BO119,7),CLU!$Z$3:$AH$18,2)),GQ119,GR119)</f>
        <v>#N/A</v>
      </c>
      <c r="CH119" s="431" t="e">
        <f ca="1">INDEX(INDIRECT(VLOOKUP(LEFT(BO119,7),CLU!$Z$3:$AH$18,3)),GQ119,GR119)</f>
        <v>#N/A</v>
      </c>
      <c r="CI119" s="431" t="e">
        <f ca="1">INDEX(INDIRECT(VLOOKUP(LEFT(BO119,7),CLU!$Z$3:$AH$18,4)),GQ119,GR119)</f>
        <v>#N/A</v>
      </c>
      <c r="CJ119" s="448" t="e">
        <f t="shared" ca="1" si="353"/>
        <v>#N/A</v>
      </c>
      <c r="CK119" s="431" t="e">
        <f t="shared" ca="1" si="354"/>
        <v>#N/A</v>
      </c>
      <c r="CL119" s="440" t="e">
        <f t="shared" ca="1" si="355"/>
        <v>#N/A</v>
      </c>
      <c r="CM119" s="431" t="e">
        <f ca="1">INDEX(INDIRECT(VLOOKUP(LEFT(BO119,7),CLU!$Z$3:$AH$18,2)),GQ119,GS119)</f>
        <v>#N/A</v>
      </c>
      <c r="CN119" s="431" t="e">
        <f ca="1">INDEX(INDIRECT(VLOOKUP(LEFT(BO119,7),CLU!$Z$3:$AH$18,3)),GQ119,GS119)</f>
        <v>#N/A</v>
      </c>
      <c r="CO119" s="431" t="e">
        <f ca="1">INDEX(INDIRECT(VLOOKUP(LEFT(BO119,7),CLU!$Z$3:$AH$18,4)),GQ119,GS119)</f>
        <v>#N/A</v>
      </c>
      <c r="CP119" s="431" t="e">
        <f t="shared" ca="1" si="356"/>
        <v>#N/A</v>
      </c>
      <c r="CQ119" s="440">
        <f t="shared" si="357"/>
        <v>0</v>
      </c>
      <c r="CR119" s="51" t="e">
        <f t="shared" ca="1" si="358"/>
        <v>#N/A</v>
      </c>
      <c r="CS119" s="439" t="e">
        <f t="shared" ca="1" si="359"/>
        <v>#VALUE!</v>
      </c>
      <c r="CT119" s="51" t="e">
        <f t="shared" ca="1" si="360"/>
        <v>#VALUE!</v>
      </c>
      <c r="CU119" s="10"/>
      <c r="CV119" s="51" t="e">
        <f t="shared" ca="1" si="257"/>
        <v>#VALUE!</v>
      </c>
      <c r="CW119" s="51">
        <f t="shared" si="361"/>
        <v>0</v>
      </c>
      <c r="CX119" s="439" t="e">
        <f t="shared" ca="1" si="362"/>
        <v>#VALUE!</v>
      </c>
      <c r="CY119" s="51" t="e">
        <f t="shared" ca="1" si="363"/>
        <v>#VALUE!</v>
      </c>
      <c r="CZ119" s="10"/>
      <c r="DA119" s="51" t="e">
        <f t="shared" ca="1" si="364"/>
        <v>#VALUE!</v>
      </c>
      <c r="DB119" s="347" t="e">
        <f ca="1">INDEX(INDIRECT(VLOOKUP(LEFT(BO119,7),CLU!$Z$3:$AI$18,10)),((M119-2)*(6-COUNTBLANK(GT119:GY119)))+GJ119)*LI119</f>
        <v>#N/A</v>
      </c>
      <c r="DC119" s="347" t="str">
        <f>IF(L119&gt;0,((R119/Worksheet!$I$15)/DB119)^2," ")</f>
        <v xml:space="preserve"> </v>
      </c>
      <c r="DD119" s="602" t="str">
        <f t="shared" si="365"/>
        <v xml:space="preserve"> </v>
      </c>
      <c r="DE119" s="347" t="str">
        <f t="shared" si="258"/>
        <v xml:space="preserve"> </v>
      </c>
      <c r="DF119" s="356" t="e">
        <f ca="1">INDEX(INDIRECT(VLOOKUP(LEFT(BO119,7),CLU!$Z$3:$AH$18,8)),((M119-2)*(6-COUNTBLANK(GT119:GY119)))+GJ119)</f>
        <v>#N/A</v>
      </c>
      <c r="DG119" s="347" t="str">
        <f t="shared" si="259"/>
        <v xml:space="preserve"> </v>
      </c>
      <c r="DH119" s="357" t="str">
        <f t="shared" si="260"/>
        <v xml:space="preserve"> </v>
      </c>
      <c r="DI119" s="355" t="str">
        <f t="shared" si="261"/>
        <v xml:space="preserve"> </v>
      </c>
      <c r="DJ119" s="245" t="e">
        <f ca="1">INDEX(INDIRECT(VLOOKUP(LEFT(BO119,7),CLU!$Z$3:$AH$18,5)),GL119,GK119)</f>
        <v>#N/A</v>
      </c>
      <c r="DK119" s="245" t="e">
        <f ca="1">INDEX(INDIRECT(VLOOKUP(LEFT(BO119,7),CLU!$Z$3:$AH$18,6)),GL119,GK119)</f>
        <v>#N/A</v>
      </c>
      <c r="DL119" s="355">
        <f>(Calculation!R119*0.69143*(Calculation!$BQ$8-Calculation!$F$8))*$S$14</f>
        <v>0</v>
      </c>
      <c r="DM119" s="359" t="e">
        <f t="shared" si="366"/>
        <v>#VALUE!</v>
      </c>
      <c r="DN119" s="611">
        <f t="shared" si="367"/>
        <v>0</v>
      </c>
      <c r="DO119" s="359">
        <f t="shared" si="368"/>
        <v>100</v>
      </c>
      <c r="DP119" s="359">
        <f t="shared" si="369"/>
        <v>0</v>
      </c>
      <c r="DQ119" s="360"/>
      <c r="DR119" s="245" t="e">
        <f ca="1">INDEX(INDIRECT(VLOOKUP(LEFT(BO119,7),CLU!$Z$3:$AH$18,7)),M119-1,1)</f>
        <v>#N/A</v>
      </c>
      <c r="DS119" s="245" t="e">
        <f ca="1">INDEX(INDIRECT(VLOOKUP(LEFT(BO119,7),CLU!$Z$3:$AH$18,7)),M119-1,2)</f>
        <v>#N/A</v>
      </c>
      <c r="DT119" s="245" t="e">
        <f ca="1">INDEX(INDIRECT(VLOOKUP(LEFT(BO119,7),CLU!$Z$3:$AH$18,7)),M119-1,3)</f>
        <v>#N/A</v>
      </c>
      <c r="DU119" s="245" t="e">
        <f ca="1">INDEX(INDIRECT(VLOOKUP(LEFT(BO119,7),CLU!$Z$3:$AH$18,7)),M119-1,4)</f>
        <v>#N/A</v>
      </c>
      <c r="DV119" s="361" t="e">
        <f ca="1">INDEX(INDIRECT(VLOOKUP(LEFT(BO119,7),CLU!$Z$3:$AH$18,7)),M119-1,4+LEFT(DZ119,1)*0.5)</f>
        <v>#N/A</v>
      </c>
      <c r="DW119" s="245" t="e">
        <f ca="1">INDEX(INDIRECT(VLOOKUP(LEFT(BO119,7),CLU!$Z$3:$AH$18,7)),M119-1,8)</f>
        <v>#N/A</v>
      </c>
      <c r="DX119" s="361" t="str">
        <f t="shared" si="262"/>
        <v xml:space="preserve"> </v>
      </c>
      <c r="DY119" s="361" t="str">
        <f t="shared" si="263"/>
        <v xml:space="preserve"> </v>
      </c>
      <c r="DZ119" s="361" t="str">
        <f t="shared" si="264"/>
        <v xml:space="preserve"> </v>
      </c>
      <c r="EA119" s="362" t="str">
        <f t="shared" si="265"/>
        <v xml:space="preserve"> </v>
      </c>
      <c r="EB119" s="624" t="str">
        <f t="shared" si="370"/>
        <v xml:space="preserve"> </v>
      </c>
      <c r="EC119" s="361" t="e">
        <f ca="1">INDEX(INDIRECT(VLOOKUP(LEFT(BO119,7),CLU!$Z$3:$AH$18,7)),M119-1,4+LEFT(DZ119,1)*0.5)</f>
        <v>#N/A</v>
      </c>
      <c r="ED119" s="362" t="str">
        <f t="shared" si="266"/>
        <v xml:space="preserve"> </v>
      </c>
      <c r="EE119" s="361" t="str">
        <f t="shared" si="267"/>
        <v xml:space="preserve"> </v>
      </c>
      <c r="EF119" s="362" t="str">
        <f>IF(L119&gt;0,IF(BR119&gt;0,IF(EE119="2P",IF(Calculation!DZ119="2P",IF(Calculation!DS119=13.75,IF(Calculation!DR119=13,Worksheet!$BD$43,IF(Calculation!DR119=37,Worksheet!$BD$44,Worksheet!$BD$45)),IF(Calculation!DS119=10,IF(Calculation!DR119=18,Worksheet!$BD$29,IF(Calculation!DR119=30,Worksheet!$BD$30,IF(Calculation!DR119=42,Worksheet!$BD$31,IF(Calculation!DR119=54,Worksheet!$BD$32,IF(Calculation!DR119=66,Worksheet!$BD$33,IF(Calculation!DR119=78,Worksheet!$BD$34,IF(Calculation!DR119=90,Worksheet!$BD$35,IF(Calculation!DR119=102,Worksheet!$BD$36,Worksheet!$BD$37)))))))),IF(Calculation!DS119=12.5,IF(Calculation!DR119=18,Worksheet!$BD$38,IF(Calculation!DR119=Worksheet!$BD$39,IF(Calculation!DR119=42,Worksheet!$BD$40,IF(Calculation!DR119=54,Worksheet!$BD$41,Worksheet!$BD$42)))),IF(Calculation!DR119=18,Worksheet!$BD$11,IF(Calculation!DR119=30,Worksheet!$BD$12,IF(Calculation!DR119=42,Worksheet!$BD$13,IF(Calculation!DR119=54,Worksheet!$BD$14,IF(Calculation!DR119=66,Worksheet!$BD$15,IF(Calculation!DR119=78,Worksheet!$BD$16,IF(Calculation!DR119=90,Worksheet!$BD$17,IF(Calculation!DR119=102,Worksheet!$BD$18,Worksheet!$BD$19))))))))))),IF(Calculation!DS119=13.75,IF(Calculation!DR119=13,Worksheet!$BD$78,IF(Calculation!DR119=37,Worksheet!$BD$79,Worksheet!$BD$80)),IF(Calculation!DS119=10,IF(Calculation!DR119=18,Worksheet!$BD$64,IF(Calculation!DR119=30,Worksheet!$BD$65,IF(Calculation!DR119=42,Worksheet!$BD$66,IF(Calculation!DR119=54,Worksheet!$BD$68,IF(Calculation!DR119=66,Worksheet!$BD$68,IF(Calculation!DR119=78,Worksheet!$BD$69,IF(Calculation!DR119=90,Worksheet!$BD$70,IF(Calculation!DR119=102,Worksheet!$BD$71,Worksheet!$BD$72)))))))),IF(Calculation!DS119=12.5,IF(Calculation!DR119=18,Worksheet!$BD$73,IF(Calculation!DR119=Worksheet!$BD$74,IF(Calculation!DR119=42,Worksheet!$BD$75,IF(Calculation!DR119=54,Worksheet!$BD$76,Worksheet!$BD$77)))),IF(Calculation!DR119=18,Worksheet!$BD$55,IF(Calculation!DR119=30,Worksheet!$BD$56,IF(Calculation!DR119=42,Worksheet!$BD$57,IF(Calculation!DR119=54,Worksheet!$BD$58,IF(Calculation!DR119=66,Worksheet!$BD$59,IF(Calculation!DR119=78,Worksheet!$BD$60,IF(Calculation!DR119=90,Worksheet!$BD$61,IF(Calculation!DR119=102,Worksheet!$BD$62,Worksheet!$BD$63)))))))))))),5),0)," ")</f>
        <v xml:space="preserve"> </v>
      </c>
      <c r="EG119" s="361" t="str">
        <f t="shared" si="268"/>
        <v xml:space="preserve"> </v>
      </c>
      <c r="EH119" s="361" t="e">
        <f ca="1">INDEX(INDIRECT(VLOOKUP(LEFT(BO119,7),CLU!$Z$3:$AH$18,7)),M119-1,3+LEFT(DZ119,1))</f>
        <v>#N/A</v>
      </c>
      <c r="EI119" s="362" t="str">
        <f t="shared" si="269"/>
        <v xml:space="preserve"> </v>
      </c>
      <c r="EJ119" s="363" t="str">
        <f t="shared" si="270"/>
        <v xml:space="preserve"> </v>
      </c>
      <c r="EK119" s="363" t="str">
        <f t="shared" si="271"/>
        <v xml:space="preserve"> </v>
      </c>
      <c r="EL119" s="363" t="str">
        <f t="shared" si="272"/>
        <v xml:space="preserve"> </v>
      </c>
      <c r="EM119" s="362" t="str">
        <f>IF(L119&gt;0,IF(BR119&gt;0,(Calculation!T119/ED119)^2,0)," ")</f>
        <v xml:space="preserve"> </v>
      </c>
      <c r="EN119" s="362" t="str">
        <f>IF(L119&gt;0,IF(O119="2 Pipe (Cooling)","N/A",IF(BR119&gt;0,(Calculation!U119/EI119)^2,0))," ")</f>
        <v xml:space="preserve"> </v>
      </c>
      <c r="EO119" s="361" t="str">
        <f t="shared" si="273"/>
        <v/>
      </c>
      <c r="EP119" s="361" t="str">
        <f t="shared" si="274"/>
        <v/>
      </c>
      <c r="EQ119" s="361" t="str">
        <f t="shared" si="275"/>
        <v/>
      </c>
      <c r="ER119" s="361" t="str">
        <f t="shared" si="276"/>
        <v/>
      </c>
      <c r="ES119" s="361" t="str">
        <f t="shared" si="277"/>
        <v/>
      </c>
      <c r="ET119" s="361" t="str">
        <f t="shared" si="278"/>
        <v/>
      </c>
      <c r="EU119" s="361" t="str">
        <f t="shared" si="279"/>
        <v/>
      </c>
      <c r="EV119" s="361" t="str">
        <f t="shared" si="280"/>
        <v/>
      </c>
      <c r="EW119" s="361" t="str">
        <f t="shared" si="281"/>
        <v/>
      </c>
      <c r="EX119" s="361" t="str">
        <f t="shared" si="371"/>
        <v>1 slot, 1 way</v>
      </c>
      <c r="EY119" s="361" t="str">
        <f t="shared" si="372"/>
        <v xml:space="preserve"> </v>
      </c>
      <c r="EZ119" s="361" t="str">
        <f t="shared" si="373"/>
        <v xml:space="preserve"> </v>
      </c>
      <c r="FA119" s="361" t="str">
        <f t="shared" si="374"/>
        <v xml:space="preserve"> </v>
      </c>
      <c r="FB119" s="361" t="str">
        <f t="shared" si="375"/>
        <v xml:space="preserve"> </v>
      </c>
      <c r="FC119" s="361"/>
      <c r="FD119" s="361" t="str">
        <f>IF(J119&gt;0,IF(Calculation!R119&lt;=70,4,IF(Calculation!R119&lt;=110,5,IF(Calculation!R119&lt;=160,6,IF(Calculation!R119&lt;=300,8,"10 EO")))),"")</f>
        <v/>
      </c>
      <c r="FE119" s="361" t="str">
        <f t="shared" si="376"/>
        <v/>
      </c>
      <c r="FF119" s="361" t="str">
        <f t="shared" si="377"/>
        <v/>
      </c>
      <c r="FG119" s="361" t="e">
        <f t="shared" si="282"/>
        <v>#N/A</v>
      </c>
      <c r="FH119" s="361">
        <f t="shared" si="283"/>
        <v>0</v>
      </c>
      <c r="FI119" s="361" t="e">
        <f t="shared" si="284"/>
        <v>#DIV/0!</v>
      </c>
      <c r="FJ119" s="361"/>
      <c r="FK119" s="356" t="e">
        <f t="shared" si="285"/>
        <v>#VALUE!</v>
      </c>
      <c r="FL119" s="361"/>
      <c r="FM119" s="361"/>
      <c r="FN119" s="362" t="str">
        <f t="shared" si="378"/>
        <v xml:space="preserve"> </v>
      </c>
      <c r="FO119" s="362" t="str">
        <f t="shared" si="379"/>
        <v xml:space="preserve"> </v>
      </c>
      <c r="FP119" s="362">
        <f t="shared" si="380"/>
        <v>0</v>
      </c>
      <c r="FQ119" s="361">
        <f t="shared" si="286"/>
        <v>0</v>
      </c>
      <c r="FR119" s="362" t="str">
        <f>IF(L119&gt;0,IF(J119="CBAL2",Worksheet!$P$67,IF(J119="CBE2-24",Worksheet!$Q$67,IF(J119="CBAM",Worksheet!$R$67,IF(J119="CBLV",Worksheet!$S$67,IF(J119="CBAB",Worksheet!$U$67,IF(J119="CBAW",Worksheet!$X$67,IF(J119="CBE2-12",Worksheet!$Y$67,IF(J119="CBAL2",Worksheet!$Z$67,"N/A"))))))))," ")</f>
        <v xml:space="preserve"> </v>
      </c>
      <c r="FS119" s="362" t="str">
        <f>IF(L119&gt;0,IF(J119="CBAL2",Worksheet!$P$68,IF(J119="CBE2-24",Worksheet!$Q$68,IF(J119="CBAM",Worksheet!$R$68,IF(J119="CBLV",Worksheet!$S$68,IF(J119="CBAB",Worksheet!$U$68,IF(J119="CBAW",Worksheet!$X$68,IF(J119="CBE2-12",Worksheet!$Y$68,IF(J119="CBAL2",Worksheet!$Z$68,"N/A"))))))))," ")</f>
        <v xml:space="preserve"> </v>
      </c>
      <c r="FT119" s="362" t="str">
        <f>IF(L119&gt;0,IF(J119="CBAL2",Worksheet!$P$69,IF(J119="CBE2-24",Worksheet!$Q$69,IF(J119="CBAM",Worksheet!$R$69,IF(J119="CBLV",Worksheet!$S$69,IF(J119="CBAB",Worksheet!$U$69,IF(J119="CBAW",Worksheet!$X$69,IF(J119="CBE2-12",Worksheet!$Y$69,IF(J119="CBAL2",Worksheet!$Z$69,"N/A"))))))))," ")</f>
        <v xml:space="preserve"> </v>
      </c>
      <c r="FU119" s="361" t="str">
        <f t="shared" si="381"/>
        <v xml:space="preserve"> </v>
      </c>
      <c r="FV119" s="362" t="str">
        <f t="shared" si="382"/>
        <v xml:space="preserve"> </v>
      </c>
      <c r="FW119" s="362" t="str">
        <f t="shared" si="383"/>
        <v xml:space="preserve"> </v>
      </c>
      <c r="FX119" s="362" t="str">
        <f t="shared" si="384"/>
        <v xml:space="preserve"> </v>
      </c>
      <c r="FY119" s="355" t="str">
        <f t="shared" si="385"/>
        <v xml:space="preserve"> </v>
      </c>
      <c r="FZ119" s="361" t="str">
        <f t="shared" si="386"/>
        <v xml:space="preserve"> </v>
      </c>
      <c r="GA119" s="347" t="str">
        <f t="shared" si="387"/>
        <v xml:space="preserve"> </v>
      </c>
      <c r="GB119" s="355" t="str">
        <f t="shared" si="388"/>
        <v xml:space="preserve"> </v>
      </c>
      <c r="GC119" s="328" t="str">
        <f t="shared" si="389"/>
        <v xml:space="preserve"> </v>
      </c>
      <c r="GD119" s="361" t="str">
        <f t="shared" si="390"/>
        <v xml:space="preserve"> </v>
      </c>
      <c r="GE119" s="347" t="str">
        <f t="shared" si="391"/>
        <v xml:space="preserve"> </v>
      </c>
      <c r="GF119" s="361" t="str">
        <f t="shared" si="392"/>
        <v xml:space="preserve"> </v>
      </c>
      <c r="GG119" s="347" t="str">
        <f t="shared" si="393"/>
        <v xml:space="preserve"> </v>
      </c>
      <c r="GH119" s="364">
        <f t="shared" si="287"/>
        <v>0</v>
      </c>
      <c r="GI119" s="362">
        <f t="shared" si="394"/>
        <v>2</v>
      </c>
      <c r="GJ119" s="433" t="e">
        <f>IF(6-COUNTBLANK(GT119:GY119)=4,MATCH(MID(BO119,9,3),CLU!$H$16:$K$16),MATCH(MID(BO119,9,3),CLU!$H$13:$M$13))</f>
        <v>#N/A</v>
      </c>
      <c r="GK119" s="433" t="e">
        <f>HLOOKUP(VALUE(BP119),CLU!$H$9:$M$10,2)</f>
        <v>#VALUE!</v>
      </c>
      <c r="GL119" s="433" t="e">
        <f ca="1">MATCH(BU119,CLU!$H$2:$V$2,1)</f>
        <v>#VALUE!</v>
      </c>
      <c r="GM119" s="433" t="e">
        <f t="shared" ca="1" si="395"/>
        <v>#VALUE!</v>
      </c>
      <c r="GN119" s="433" t="e">
        <f t="shared" ca="1" si="396"/>
        <v>#VALUE!</v>
      </c>
      <c r="GO119" s="433" t="e">
        <f t="shared" ca="1" si="397"/>
        <v>#VALUE!</v>
      </c>
      <c r="GP119" s="433" t="e">
        <f t="shared" ca="1" si="398"/>
        <v>#VALUE!</v>
      </c>
      <c r="GQ119" s="433" t="e">
        <f t="shared" ca="1" si="399"/>
        <v>#VALUE!</v>
      </c>
      <c r="GR119" s="433" t="e">
        <f ca="1">MATCH(T119,INDIRECT(VLOOKUP(CONCATENATE(LEFT(BO119,7),"-",MID(BO119,13,1)),CLU!$P$3:$Q$16,2)),1)</f>
        <v>#N/A</v>
      </c>
      <c r="GS119" s="433" t="e">
        <f ca="1">MATCH(U119,INDIRECT(VLOOKUP(CONCATENATE(LEFT(BO119,7),"-",MID(BO119,13,1)),CLU!$P$3:$Q$16,2)),1)</f>
        <v>#N/A</v>
      </c>
      <c r="GT119" s="347" t="s">
        <v>512</v>
      </c>
      <c r="GU119" s="97" t="s">
        <v>513</v>
      </c>
      <c r="GV119" s="97" t="str">
        <f t="shared" si="400"/>
        <v>M23</v>
      </c>
      <c r="GW119" s="97" t="str">
        <f t="shared" si="401"/>
        <v>M31</v>
      </c>
      <c r="GX119" s="97" t="str">
        <f t="shared" si="402"/>
        <v/>
      </c>
      <c r="GY119" s="97" t="str">
        <f t="shared" si="403"/>
        <v/>
      </c>
      <c r="GZ119" s="481"/>
      <c r="HA119" s="288"/>
      <c r="HB119" s="240"/>
      <c r="HC119" s="240"/>
      <c r="HD119" s="240"/>
      <c r="HE119" s="240"/>
      <c r="HF119" s="240"/>
      <c r="HG119" s="240"/>
      <c r="HH119" s="240"/>
      <c r="HI119" s="240"/>
      <c r="HJ119" s="240"/>
      <c r="HK119" s="240"/>
      <c r="HL119" s="240"/>
      <c r="HM119" s="240"/>
      <c r="HN119" s="240"/>
      <c r="HO119" s="240"/>
      <c r="HP119" s="240"/>
      <c r="HQ119" s="240"/>
      <c r="HR119" s="240"/>
      <c r="HS119" s="240"/>
      <c r="HT119" s="240"/>
      <c r="HU119" s="240"/>
      <c r="HV119" s="245"/>
      <c r="HW119" s="245" t="b">
        <v>1</v>
      </c>
      <c r="HX119" s="245" t="str">
        <f t="shared" si="288"/>
        <v/>
      </c>
      <c r="HY119" s="245" t="e">
        <f t="shared" si="289"/>
        <v>#DIV/0!</v>
      </c>
      <c r="HZ119" s="245" t="e">
        <f t="shared" si="290"/>
        <v>#DIV/0!</v>
      </c>
      <c r="IA119" s="245">
        <f t="shared" si="291"/>
        <v>0</v>
      </c>
      <c r="IB119" s="245"/>
      <c r="IC119" t="b">
        <f t="shared" si="292"/>
        <v>1</v>
      </c>
      <c r="ID119" s="245" t="b">
        <f t="shared" si="293"/>
        <v>1</v>
      </c>
      <c r="IE119" s="245" t="b">
        <f t="shared" si="294"/>
        <v>1</v>
      </c>
      <c r="IF119" s="245" t="b">
        <f t="shared" si="295"/>
        <v>0</v>
      </c>
      <c r="IG119" s="245" t="b">
        <f t="shared" si="296"/>
        <v>1</v>
      </c>
      <c r="IH119" s="245" t="b">
        <f t="shared" si="297"/>
        <v>1</v>
      </c>
      <c r="II119" s="245">
        <f t="shared" si="404"/>
        <v>0</v>
      </c>
      <c r="IJ119" s="245" t="e">
        <f t="shared" si="298"/>
        <v>#VALUE!</v>
      </c>
      <c r="IK119" s="245" t="e">
        <f t="shared" si="299"/>
        <v>#VALUE!</v>
      </c>
      <c r="IL119" s="245"/>
      <c r="IM119" s="245" t="e">
        <f t="shared" si="405"/>
        <v>#N/A</v>
      </c>
      <c r="IN119" s="245" t="e">
        <f t="shared" si="406"/>
        <v>#N/A</v>
      </c>
      <c r="IO119" s="245"/>
      <c r="IP119" s="245"/>
      <c r="IQ119" s="245" t="str">
        <f t="shared" si="300"/>
        <v/>
      </c>
      <c r="IR119" s="245" t="str">
        <f>IF(J119="","",VLOOKUP(J119,Worksheet!$R$4:$T$14,2))</f>
        <v/>
      </c>
      <c r="IS119" s="245"/>
      <c r="IT119" s="245">
        <f t="shared" si="301"/>
        <v>0</v>
      </c>
      <c r="IU119" s="245">
        <f t="shared" si="302"/>
        <v>0</v>
      </c>
      <c r="IV119" s="245">
        <f t="shared" si="303"/>
        <v>0</v>
      </c>
      <c r="IW119" s="245">
        <f t="shared" si="304"/>
        <v>0</v>
      </c>
      <c r="IX119" s="245">
        <f t="shared" si="407"/>
        <v>0</v>
      </c>
      <c r="IY119" s="245">
        <f t="shared" si="305"/>
        <v>0</v>
      </c>
      <c r="IZ119" s="245">
        <f t="shared" si="306"/>
        <v>0</v>
      </c>
      <c r="JA119">
        <f t="shared" si="307"/>
        <v>0</v>
      </c>
      <c r="JB119">
        <f t="shared" si="408"/>
        <v>0</v>
      </c>
      <c r="JC119">
        <f t="shared" si="308"/>
        <v>0</v>
      </c>
      <c r="JD119">
        <f t="shared" si="309"/>
        <v>0</v>
      </c>
      <c r="JE119">
        <f t="shared" si="310"/>
        <v>0</v>
      </c>
      <c r="JF119">
        <f t="shared" si="311"/>
        <v>0</v>
      </c>
      <c r="JG119">
        <f t="shared" si="312"/>
        <v>0</v>
      </c>
      <c r="JH119">
        <f t="shared" si="313"/>
        <v>0</v>
      </c>
      <c r="JI119">
        <f t="shared" si="314"/>
        <v>0</v>
      </c>
      <c r="JJ119" s="447">
        <f t="shared" si="315"/>
        <v>0</v>
      </c>
      <c r="JK119" s="447">
        <f t="shared" si="316"/>
        <v>0</v>
      </c>
      <c r="JL119">
        <f t="shared" si="317"/>
        <v>0</v>
      </c>
      <c r="JM119" s="245" t="str">
        <f>IFERROR(VLOOKUP(MATCH(BN119,#REF!,0),#REF!,7),"")</f>
        <v/>
      </c>
      <c r="JN119" t="e">
        <f>HLOOKUP(LEFT(BO119,7),Discharge_Area,MATCH(JO119,LookUps!$B$130:$B$149,1)+2)</f>
        <v>#N/A</v>
      </c>
      <c r="JO119" t="str">
        <f t="shared" si="318"/>
        <v>- S</v>
      </c>
      <c r="JP119" t="e">
        <f>HLOOKUP(LEFT(BO119,7),Discharge_Area,MATCH(JO119,LookUps!$B$130:$B$149,1)+2)</f>
        <v>#N/A</v>
      </c>
      <c r="JQ119" t="e">
        <f t="shared" si="319"/>
        <v>#N/A</v>
      </c>
      <c r="JR119" t="e">
        <f t="shared" si="320"/>
        <v>#N/A</v>
      </c>
      <c r="JS119" t="e">
        <f t="shared" si="321"/>
        <v>#N/A</v>
      </c>
      <c r="JT119" s="532" t="str">
        <f t="shared" si="322"/>
        <v xml:space="preserve"> </v>
      </c>
      <c r="JU119" s="532" t="str">
        <f t="shared" si="323"/>
        <v xml:space="preserve"> </v>
      </c>
      <c r="JV119" s="533" t="str">
        <f t="shared" si="324"/>
        <v xml:space="preserve"> </v>
      </c>
      <c r="JW119" s="534">
        <f t="shared" si="325"/>
        <v>0</v>
      </c>
      <c r="JX119" s="535" t="str">
        <f t="shared" si="409"/>
        <v xml:space="preserve"> </v>
      </c>
      <c r="JY119" s="535" t="str">
        <f t="shared" si="410"/>
        <v xml:space="preserve"> </v>
      </c>
      <c r="JZ119" s="535" t="str">
        <f t="shared" si="411"/>
        <v xml:space="preserve"> </v>
      </c>
      <c r="KA119" s="536" t="str">
        <f t="shared" si="326"/>
        <v xml:space="preserve"> </v>
      </c>
      <c r="KB119" s="535" t="e">
        <f t="shared" si="412"/>
        <v>#VALUE!</v>
      </c>
      <c r="KC119" s="535" t="str">
        <f t="shared" si="327"/>
        <v/>
      </c>
      <c r="KD119" s="537" t="str">
        <f t="shared" si="413"/>
        <v xml:space="preserve"> </v>
      </c>
      <c r="KE119" s="537" t="str">
        <f t="shared" si="414"/>
        <v xml:space="preserve"> </v>
      </c>
      <c r="KF119" s="534">
        <f t="shared" si="328"/>
        <v>0</v>
      </c>
      <c r="KG119" s="535" t="str">
        <f t="shared" si="329"/>
        <v xml:space="preserve"> </v>
      </c>
      <c r="KH119" s="535" t="str">
        <f t="shared" si="330"/>
        <v xml:space="preserve"> </v>
      </c>
      <c r="KI119" s="535" t="str">
        <f t="shared" si="331"/>
        <v xml:space="preserve"> </v>
      </c>
      <c r="KJ119" s="536" t="str">
        <f t="shared" si="332"/>
        <v xml:space="preserve"> </v>
      </c>
      <c r="KK119" s="535" t="str">
        <f t="shared" si="415"/>
        <v xml:space="preserve"> </v>
      </c>
      <c r="KL119" s="535" t="str">
        <f t="shared" si="416"/>
        <v xml:space="preserve"> </v>
      </c>
      <c r="KM119" s="537" t="str">
        <f t="shared" si="333"/>
        <v xml:space="preserve"> </v>
      </c>
      <c r="KN119" s="537" t="str">
        <f t="shared" si="417"/>
        <v xml:space="preserve"> </v>
      </c>
      <c r="KP119">
        <f t="shared" si="334"/>
        <v>0</v>
      </c>
      <c r="LA119" t="e">
        <f t="shared" si="335"/>
        <v>#VALUE!</v>
      </c>
      <c r="LB119" t="e">
        <f t="shared" si="336"/>
        <v>#VALUE!</v>
      </c>
      <c r="LC119" t="e">
        <f t="shared" si="337"/>
        <v>#VALUE!</v>
      </c>
      <c r="LD119" t="e">
        <f t="shared" si="338"/>
        <v>#VALUE!</v>
      </c>
      <c r="LE119" t="e">
        <f t="shared" si="418"/>
        <v>#VALUE!</v>
      </c>
      <c r="LF119">
        <f t="shared" si="339"/>
        <v>0</v>
      </c>
      <c r="LG119" t="e">
        <f t="shared" si="419"/>
        <v>#VALUE!</v>
      </c>
      <c r="LH119" t="str">
        <f t="shared" si="340"/>
        <v xml:space="preserve"> </v>
      </c>
      <c r="LI119">
        <f t="shared" si="420"/>
        <v>1</v>
      </c>
    </row>
    <row r="120" spans="2:321" ht="15" customHeight="1">
      <c r="B120" s="311"/>
      <c r="C120" s="311"/>
      <c r="D120" s="312"/>
      <c r="E120" s="311"/>
      <c r="F120" s="312"/>
      <c r="G120" s="311"/>
      <c r="H120" s="311"/>
      <c r="I120" s="37"/>
      <c r="J120" s="311"/>
      <c r="K120" s="305" t="str">
        <f t="shared" si="341"/>
        <v/>
      </c>
      <c r="L120" s="313"/>
      <c r="M120" s="312"/>
      <c r="N120" s="311"/>
      <c r="O120" s="312"/>
      <c r="P120" s="311"/>
      <c r="Q120" s="305" t="str">
        <f t="shared" si="342"/>
        <v/>
      </c>
      <c r="R120" s="314"/>
      <c r="S120" s="450" t="str">
        <f t="shared" si="225"/>
        <v/>
      </c>
      <c r="T120" s="315"/>
      <c r="U120" s="315"/>
      <c r="W120" s="149" t="str">
        <f t="shared" si="226"/>
        <v xml:space="preserve"> </v>
      </c>
      <c r="X120" s="243" t="str">
        <f t="shared" si="227"/>
        <v xml:space="preserve"> </v>
      </c>
      <c r="Y120" s="150" t="str">
        <f t="shared" si="228"/>
        <v/>
      </c>
      <c r="Z120" s="149" t="str">
        <f t="shared" si="229"/>
        <v xml:space="preserve"> </v>
      </c>
      <c r="AA120" s="98" t="str">
        <f t="shared" si="230"/>
        <v xml:space="preserve"> </v>
      </c>
      <c r="AB120" s="153" t="str">
        <f t="shared" si="231"/>
        <v xml:space="preserve"> </v>
      </c>
      <c r="AC120" s="153" t="str">
        <f t="shared" si="232"/>
        <v xml:space="preserve"> </v>
      </c>
      <c r="AD120" s="148" t="str">
        <f t="shared" si="233"/>
        <v/>
      </c>
      <c r="AE120" s="149" t="str">
        <f t="shared" si="234"/>
        <v/>
      </c>
      <c r="AF120" s="151" t="str">
        <f t="shared" si="235"/>
        <v xml:space="preserve"> </v>
      </c>
      <c r="AG120" s="153" t="str">
        <f t="shared" si="236"/>
        <v xml:space="preserve"> </v>
      </c>
      <c r="AH120" s="98" t="str">
        <f t="shared" si="237"/>
        <v xml:space="preserve"> </v>
      </c>
      <c r="AI120" s="149" t="str">
        <f t="shared" si="238"/>
        <v xml:space="preserve"> </v>
      </c>
      <c r="AK120" s="144" t="str">
        <f t="shared" si="239"/>
        <v xml:space="preserve"> </v>
      </c>
      <c r="AL120" s="144"/>
      <c r="AM120" s="243" t="str">
        <f t="shared" si="240"/>
        <v xml:space="preserve"> </v>
      </c>
      <c r="AN120" s="149" t="str">
        <f t="shared" si="343"/>
        <v xml:space="preserve"> </v>
      </c>
      <c r="AO120" s="144" t="str">
        <f>IF(JB120&gt;0,IF(GI120=10,-R120*1.085*(Calculation!$F$6-Calculation!$F$13)*$S$14," "),"")</f>
        <v/>
      </c>
      <c r="AP120" s="144" t="str">
        <f t="shared" si="241"/>
        <v/>
      </c>
      <c r="AQ120" s="56" t="str">
        <f t="shared" si="242"/>
        <v/>
      </c>
      <c r="AR120" s="144" t="str">
        <f t="shared" si="243"/>
        <v/>
      </c>
      <c r="AS120" s="176" t="str">
        <f t="shared" si="244"/>
        <v/>
      </c>
      <c r="AT120" s="176" t="str">
        <f t="shared" si="344"/>
        <v xml:space="preserve"> </v>
      </c>
      <c r="AU120" s="176" t="str">
        <f t="shared" si="245"/>
        <v/>
      </c>
      <c r="AV120" s="177" t="str">
        <f t="shared" si="246"/>
        <v xml:space="preserve"> </v>
      </c>
      <c r="AW120" s="144" t="str">
        <f t="shared" si="247"/>
        <v xml:space="preserve"> </v>
      </c>
      <c r="AX120" s="144" t="str">
        <f t="shared" si="248"/>
        <v xml:space="preserve"> </v>
      </c>
      <c r="AY120" s="152" t="str">
        <f t="shared" si="249"/>
        <v xml:space="preserve"> </v>
      </c>
      <c r="AZ120" s="246" t="str">
        <f t="shared" si="250"/>
        <v/>
      </c>
      <c r="BA120" s="176" t="str">
        <f t="shared" si="251"/>
        <v xml:space="preserve"> </v>
      </c>
      <c r="BB120" s="176" t="str">
        <f t="shared" si="252"/>
        <v xml:space="preserve"> </v>
      </c>
      <c r="BC120" s="195"/>
      <c r="BD120" s="316"/>
      <c r="BE120" s="317"/>
      <c r="BF120" s="318"/>
      <c r="BG120" s="318"/>
      <c r="BH120" s="144" t="str">
        <f t="shared" si="421"/>
        <v xml:space="preserve"> </v>
      </c>
      <c r="BI120" s="176" t="str">
        <f t="shared" si="253"/>
        <v/>
      </c>
      <c r="BJ120" s="144" t="str">
        <f t="shared" si="422"/>
        <v/>
      </c>
      <c r="BK120" s="246" t="str">
        <f t="shared" si="254"/>
        <v/>
      </c>
      <c r="BL120" s="144" t="str">
        <f t="shared" si="423"/>
        <v/>
      </c>
      <c r="BM120" s="246" t="str">
        <f t="shared" si="255"/>
        <v/>
      </c>
      <c r="BN120" s="337" t="str">
        <f t="shared" si="345"/>
        <v/>
      </c>
      <c r="BO120" s="371" t="str">
        <f t="shared" si="346"/>
        <v/>
      </c>
      <c r="BP120" s="328" t="str">
        <f t="shared" si="424"/>
        <v xml:space="preserve"> </v>
      </c>
      <c r="BQ120" s="347" t="str">
        <f t="shared" si="347"/>
        <v xml:space="preserve"> </v>
      </c>
      <c r="BR120" s="353" t="str">
        <f t="shared" si="348"/>
        <v xml:space="preserve"> </v>
      </c>
      <c r="BS120" s="626" t="str">
        <f>IF(L120&gt;0,IF(Calculation!P120="M13",BR120*3.1416*(0.134^2)/(4*144),IF(Calculation!P120="M17",BR120*3.1416*(0.165^2)/(4*144),IF(Calculation!P120="M20",BR120*3.1416*(0.198^2)/(4*144),IF(Calculation!P120="M23",BR120*3.1416*(0.228^2)/(4*144),IF(Calculation!P120="M27",BR120*3.1416*(0.269^2)/(4*144),BR120*3.1416*(0.307^2)/(4*144))))))," ")</f>
        <v xml:space="preserve"> </v>
      </c>
      <c r="BT120" s="353" t="str">
        <f>IF(L120&gt;0,IF(BS120&gt;0,R120/Calculation!BS120,0)," ")</f>
        <v xml:space="preserve"> </v>
      </c>
      <c r="BU120" s="438" t="e">
        <f t="shared" ca="1" si="256"/>
        <v>#VALUE!</v>
      </c>
      <c r="BV120" s="449" t="e">
        <f ca="1">INDEX(INDIRECT(VLOOKUP(LEFT(BO120,7),CLU!$Z$3:$AH$18,2)),GN120,GR120)</f>
        <v>#N/A</v>
      </c>
      <c r="BW120" s="433" t="e">
        <f ca="1">INDEX(INDIRECT(VLOOKUP(LEFT(BO120,7),CLU!$Z$3:$AH$18,3)),GN120,GR120)</f>
        <v>#N/A</v>
      </c>
      <c r="BX120" s="433" t="e">
        <f ca="1">INDEX(INDIRECT(VLOOKUP(LEFT(BO120,7),CLU!$Z$3:$AH$18,4)),GN120,GR120)</f>
        <v>#N/A</v>
      </c>
      <c r="BY120" s="433" t="e">
        <f ca="1">INDEX(INDIRECT(VLOOKUP(LEFT(BO120,7),CLU!$Z$3:$AH$18,9)),((M120-2)*(6-COUNTBLANK(GT120:GY120)))+GJ120)</f>
        <v>#N/A</v>
      </c>
      <c r="BZ120" s="426" t="e">
        <f t="shared" ca="1" si="349"/>
        <v>#N/A</v>
      </c>
      <c r="CA120" s="424" t="e">
        <f t="shared" ca="1" si="350"/>
        <v>#N/A</v>
      </c>
      <c r="CB120" s="429" t="e">
        <f ca="1">INDEX(INDIRECT(VLOOKUP(LEFT(BO120,7),CLU!$Z$3:$AH$18,2)),GN120,GS120)</f>
        <v>#N/A</v>
      </c>
      <c r="CC120" s="342" t="e">
        <f ca="1">INDEX(INDIRECT(VLOOKUP(LEFT(BO120,7),CLU!$Z$3:$AH$18,3)),GN120,GS120)</f>
        <v>#N/A</v>
      </c>
      <c r="CD120" s="342" t="e">
        <f ca="1">INDEX(INDIRECT(VLOOKUP(LEFT(BO120,7),CLU!$Z$3:$AH$18,4)),GN120,GS120)</f>
        <v>#N/A</v>
      </c>
      <c r="CE120" s="426" t="e">
        <f t="shared" ca="1" si="351"/>
        <v>#N/A</v>
      </c>
      <c r="CF120" s="440">
        <f t="shared" si="352"/>
        <v>0</v>
      </c>
      <c r="CG120" s="431" t="e">
        <f ca="1">INDEX(INDIRECT(VLOOKUP(LEFT(BO120,7),CLU!$Z$3:$AH$18,2)),GQ120,GR120)</f>
        <v>#N/A</v>
      </c>
      <c r="CH120" s="431" t="e">
        <f ca="1">INDEX(INDIRECT(VLOOKUP(LEFT(BO120,7),CLU!$Z$3:$AH$18,3)),GQ120,GR120)</f>
        <v>#N/A</v>
      </c>
      <c r="CI120" s="431" t="e">
        <f ca="1">INDEX(INDIRECT(VLOOKUP(LEFT(BO120,7),CLU!$Z$3:$AH$18,4)),GQ120,GR120)</f>
        <v>#N/A</v>
      </c>
      <c r="CJ120" s="448" t="e">
        <f t="shared" ca="1" si="353"/>
        <v>#N/A</v>
      </c>
      <c r="CK120" s="431" t="e">
        <f t="shared" ca="1" si="354"/>
        <v>#N/A</v>
      </c>
      <c r="CL120" s="440" t="e">
        <f t="shared" ca="1" si="355"/>
        <v>#N/A</v>
      </c>
      <c r="CM120" s="431" t="e">
        <f ca="1">INDEX(INDIRECT(VLOOKUP(LEFT(BO120,7),CLU!$Z$3:$AH$18,2)),GQ120,GS120)</f>
        <v>#N/A</v>
      </c>
      <c r="CN120" s="431" t="e">
        <f ca="1">INDEX(INDIRECT(VLOOKUP(LEFT(BO120,7),CLU!$Z$3:$AH$18,3)),GQ120,GS120)</f>
        <v>#N/A</v>
      </c>
      <c r="CO120" s="431" t="e">
        <f ca="1">INDEX(INDIRECT(VLOOKUP(LEFT(BO120,7),CLU!$Z$3:$AH$18,4)),GQ120,GS120)</f>
        <v>#N/A</v>
      </c>
      <c r="CP120" s="431" t="e">
        <f t="shared" ca="1" si="356"/>
        <v>#N/A</v>
      </c>
      <c r="CQ120" s="440">
        <f t="shared" si="357"/>
        <v>0</v>
      </c>
      <c r="CR120" s="51" t="e">
        <f t="shared" ca="1" si="358"/>
        <v>#N/A</v>
      </c>
      <c r="CS120" s="439" t="e">
        <f t="shared" ca="1" si="359"/>
        <v>#VALUE!</v>
      </c>
      <c r="CT120" s="51" t="e">
        <f t="shared" ca="1" si="360"/>
        <v>#VALUE!</v>
      </c>
      <c r="CU120" s="10"/>
      <c r="CV120" s="51" t="e">
        <f t="shared" ca="1" si="257"/>
        <v>#VALUE!</v>
      </c>
      <c r="CW120" s="51">
        <f t="shared" si="361"/>
        <v>0</v>
      </c>
      <c r="CX120" s="439" t="e">
        <f t="shared" ca="1" si="362"/>
        <v>#VALUE!</v>
      </c>
      <c r="CY120" s="51" t="e">
        <f t="shared" ca="1" si="363"/>
        <v>#VALUE!</v>
      </c>
      <c r="CZ120" s="10"/>
      <c r="DA120" s="51" t="e">
        <f t="shared" ca="1" si="364"/>
        <v>#VALUE!</v>
      </c>
      <c r="DB120" s="347" t="e">
        <f ca="1">INDEX(INDIRECT(VLOOKUP(LEFT(BO120,7),CLU!$Z$3:$AI$18,10)),((M120-2)*(6-COUNTBLANK(GT120:GY120)))+GJ120)*LI120</f>
        <v>#N/A</v>
      </c>
      <c r="DC120" s="347" t="str">
        <f>IF(L120&gt;0,((R120/Worksheet!$I$15)/DB120)^2," ")</f>
        <v xml:space="preserve"> </v>
      </c>
      <c r="DD120" s="602" t="str">
        <f t="shared" si="365"/>
        <v xml:space="preserve"> </v>
      </c>
      <c r="DE120" s="347" t="str">
        <f t="shared" si="258"/>
        <v xml:space="preserve"> </v>
      </c>
      <c r="DF120" s="356" t="e">
        <f ca="1">INDEX(INDIRECT(VLOOKUP(LEFT(BO120,7),CLU!$Z$3:$AH$18,8)),((M120-2)*(6-COUNTBLANK(GT120:GY120)))+GJ120)</f>
        <v>#N/A</v>
      </c>
      <c r="DG120" s="347" t="str">
        <f t="shared" si="259"/>
        <v xml:space="preserve"> </v>
      </c>
      <c r="DH120" s="357" t="str">
        <f t="shared" si="260"/>
        <v xml:space="preserve"> </v>
      </c>
      <c r="DI120" s="355" t="str">
        <f t="shared" si="261"/>
        <v xml:space="preserve"> </v>
      </c>
      <c r="DJ120" s="245" t="e">
        <f ca="1">INDEX(INDIRECT(VLOOKUP(LEFT(BO120,7),CLU!$Z$3:$AH$18,5)),GL120,GK120)</f>
        <v>#N/A</v>
      </c>
      <c r="DK120" s="245" t="e">
        <f ca="1">INDEX(INDIRECT(VLOOKUP(LEFT(BO120,7),CLU!$Z$3:$AH$18,6)),GL120,GK120)</f>
        <v>#N/A</v>
      </c>
      <c r="DL120" s="355">
        <f>(Calculation!R120*0.69143*(Calculation!$BQ$8-Calculation!$F$8))*$S$14</f>
        <v>0</v>
      </c>
      <c r="DM120" s="359" t="e">
        <f t="shared" si="366"/>
        <v>#VALUE!</v>
      </c>
      <c r="DN120" s="611">
        <f t="shared" si="367"/>
        <v>0</v>
      </c>
      <c r="DO120" s="359">
        <f t="shared" si="368"/>
        <v>100</v>
      </c>
      <c r="DP120" s="359">
        <f t="shared" si="369"/>
        <v>0</v>
      </c>
      <c r="DQ120" s="360"/>
      <c r="DR120" s="245" t="e">
        <f ca="1">INDEX(INDIRECT(VLOOKUP(LEFT(BO120,7),CLU!$Z$3:$AH$18,7)),M120-1,1)</f>
        <v>#N/A</v>
      </c>
      <c r="DS120" s="245" t="e">
        <f ca="1">INDEX(INDIRECT(VLOOKUP(LEFT(BO120,7),CLU!$Z$3:$AH$18,7)),M120-1,2)</f>
        <v>#N/A</v>
      </c>
      <c r="DT120" s="245" t="e">
        <f ca="1">INDEX(INDIRECT(VLOOKUP(LEFT(BO120,7),CLU!$Z$3:$AH$18,7)),M120-1,3)</f>
        <v>#N/A</v>
      </c>
      <c r="DU120" s="245" t="e">
        <f ca="1">INDEX(INDIRECT(VLOOKUP(LEFT(BO120,7),CLU!$Z$3:$AH$18,7)),M120-1,4)</f>
        <v>#N/A</v>
      </c>
      <c r="DV120" s="361" t="e">
        <f ca="1">INDEX(INDIRECT(VLOOKUP(LEFT(BO120,7),CLU!$Z$3:$AH$18,7)),M120-1,4+LEFT(DZ120,1)*0.5)</f>
        <v>#N/A</v>
      </c>
      <c r="DW120" s="245" t="e">
        <f ca="1">INDEX(INDIRECT(VLOOKUP(LEFT(BO120,7),CLU!$Z$3:$AH$18,7)),M120-1,8)</f>
        <v>#N/A</v>
      </c>
      <c r="DX120" s="361" t="str">
        <f t="shared" si="262"/>
        <v xml:space="preserve"> </v>
      </c>
      <c r="DY120" s="361" t="str">
        <f t="shared" si="263"/>
        <v xml:space="preserve"> </v>
      </c>
      <c r="DZ120" s="361" t="str">
        <f t="shared" si="264"/>
        <v xml:space="preserve"> </v>
      </c>
      <c r="EA120" s="362" t="str">
        <f t="shared" si="265"/>
        <v xml:space="preserve"> </v>
      </c>
      <c r="EB120" s="624" t="str">
        <f t="shared" si="370"/>
        <v xml:space="preserve"> </v>
      </c>
      <c r="EC120" s="361" t="e">
        <f ca="1">INDEX(INDIRECT(VLOOKUP(LEFT(BO120,7),CLU!$Z$3:$AH$18,7)),M120-1,4+LEFT(DZ120,1)*0.5)</f>
        <v>#N/A</v>
      </c>
      <c r="ED120" s="362" t="str">
        <f t="shared" si="266"/>
        <v xml:space="preserve"> </v>
      </c>
      <c r="EE120" s="361" t="str">
        <f t="shared" si="267"/>
        <v xml:space="preserve"> </v>
      </c>
      <c r="EF120" s="362" t="str">
        <f>IF(L120&gt;0,IF(BR120&gt;0,IF(EE120="2P",IF(Calculation!DZ120="2P",IF(Calculation!DS120=13.75,IF(Calculation!DR120=13,Worksheet!$BD$43,IF(Calculation!DR120=37,Worksheet!$BD$44,Worksheet!$BD$45)),IF(Calculation!DS120=10,IF(Calculation!DR120=18,Worksheet!$BD$29,IF(Calculation!DR120=30,Worksheet!$BD$30,IF(Calculation!DR120=42,Worksheet!$BD$31,IF(Calculation!DR120=54,Worksheet!$BD$32,IF(Calculation!DR120=66,Worksheet!$BD$33,IF(Calculation!DR120=78,Worksheet!$BD$34,IF(Calculation!DR120=90,Worksheet!$BD$35,IF(Calculation!DR120=102,Worksheet!$BD$36,Worksheet!$BD$37)))))))),IF(Calculation!DS120=12.5,IF(Calculation!DR120=18,Worksheet!$BD$38,IF(Calculation!DR120=Worksheet!$BD$39,IF(Calculation!DR120=42,Worksheet!$BD$40,IF(Calculation!DR120=54,Worksheet!$BD$41,Worksheet!$BD$42)))),IF(Calculation!DR120=18,Worksheet!$BD$11,IF(Calculation!DR120=30,Worksheet!$BD$12,IF(Calculation!DR120=42,Worksheet!$BD$13,IF(Calculation!DR120=54,Worksheet!$BD$14,IF(Calculation!DR120=66,Worksheet!$BD$15,IF(Calculation!DR120=78,Worksheet!$BD$16,IF(Calculation!DR120=90,Worksheet!$BD$17,IF(Calculation!DR120=102,Worksheet!$BD$18,Worksheet!$BD$19))))))))))),IF(Calculation!DS120=13.75,IF(Calculation!DR120=13,Worksheet!$BD$78,IF(Calculation!DR120=37,Worksheet!$BD$79,Worksheet!$BD$80)),IF(Calculation!DS120=10,IF(Calculation!DR120=18,Worksheet!$BD$64,IF(Calculation!DR120=30,Worksheet!$BD$65,IF(Calculation!DR120=42,Worksheet!$BD$66,IF(Calculation!DR120=54,Worksheet!$BD$68,IF(Calculation!DR120=66,Worksheet!$BD$68,IF(Calculation!DR120=78,Worksheet!$BD$69,IF(Calculation!DR120=90,Worksheet!$BD$70,IF(Calculation!DR120=102,Worksheet!$BD$71,Worksheet!$BD$72)))))))),IF(Calculation!DS120=12.5,IF(Calculation!DR120=18,Worksheet!$BD$73,IF(Calculation!DR120=Worksheet!$BD$74,IF(Calculation!DR120=42,Worksheet!$BD$75,IF(Calculation!DR120=54,Worksheet!$BD$76,Worksheet!$BD$77)))),IF(Calculation!DR120=18,Worksheet!$BD$55,IF(Calculation!DR120=30,Worksheet!$BD$56,IF(Calculation!DR120=42,Worksheet!$BD$57,IF(Calculation!DR120=54,Worksheet!$BD$58,IF(Calculation!DR120=66,Worksheet!$BD$59,IF(Calculation!DR120=78,Worksheet!$BD$60,IF(Calculation!DR120=90,Worksheet!$BD$61,IF(Calculation!DR120=102,Worksheet!$BD$62,Worksheet!$BD$63)))))))))))),5),0)," ")</f>
        <v xml:space="preserve"> </v>
      </c>
      <c r="EG120" s="361" t="str">
        <f t="shared" si="268"/>
        <v xml:space="preserve"> </v>
      </c>
      <c r="EH120" s="361" t="e">
        <f ca="1">INDEX(INDIRECT(VLOOKUP(LEFT(BO120,7),CLU!$Z$3:$AH$18,7)),M120-1,3+LEFT(DZ120,1))</f>
        <v>#N/A</v>
      </c>
      <c r="EI120" s="362" t="str">
        <f t="shared" si="269"/>
        <v xml:space="preserve"> </v>
      </c>
      <c r="EJ120" s="363" t="str">
        <f t="shared" si="270"/>
        <v xml:space="preserve"> </v>
      </c>
      <c r="EK120" s="363" t="str">
        <f t="shared" si="271"/>
        <v xml:space="preserve"> </v>
      </c>
      <c r="EL120" s="363" t="str">
        <f t="shared" si="272"/>
        <v xml:space="preserve"> </v>
      </c>
      <c r="EM120" s="362" t="str">
        <f>IF(L120&gt;0,IF(BR120&gt;0,(Calculation!T120/ED120)^2,0)," ")</f>
        <v xml:space="preserve"> </v>
      </c>
      <c r="EN120" s="362" t="str">
        <f>IF(L120&gt;0,IF(O120="2 Pipe (Cooling)","N/A",IF(BR120&gt;0,(Calculation!U120/EI120)^2,0))," ")</f>
        <v xml:space="preserve"> </v>
      </c>
      <c r="EO120" s="361" t="str">
        <f t="shared" si="273"/>
        <v/>
      </c>
      <c r="EP120" s="361" t="str">
        <f t="shared" si="274"/>
        <v/>
      </c>
      <c r="EQ120" s="361" t="str">
        <f t="shared" si="275"/>
        <v/>
      </c>
      <c r="ER120" s="361" t="str">
        <f t="shared" si="276"/>
        <v/>
      </c>
      <c r="ES120" s="361" t="str">
        <f t="shared" si="277"/>
        <v/>
      </c>
      <c r="ET120" s="361" t="str">
        <f t="shared" si="278"/>
        <v/>
      </c>
      <c r="EU120" s="361" t="str">
        <f t="shared" si="279"/>
        <v/>
      </c>
      <c r="EV120" s="361" t="str">
        <f t="shared" si="280"/>
        <v/>
      </c>
      <c r="EW120" s="361" t="str">
        <f t="shared" si="281"/>
        <v/>
      </c>
      <c r="EX120" s="361" t="str">
        <f t="shared" si="371"/>
        <v>1 slot, 1 way</v>
      </c>
      <c r="EY120" s="361" t="str">
        <f t="shared" si="372"/>
        <v xml:space="preserve"> </v>
      </c>
      <c r="EZ120" s="361" t="str">
        <f t="shared" si="373"/>
        <v xml:space="preserve"> </v>
      </c>
      <c r="FA120" s="361" t="str">
        <f t="shared" si="374"/>
        <v xml:space="preserve"> </v>
      </c>
      <c r="FB120" s="361" t="str">
        <f t="shared" si="375"/>
        <v xml:space="preserve"> </v>
      </c>
      <c r="FC120" s="361"/>
      <c r="FD120" s="361" t="str">
        <f>IF(J120&gt;0,IF(Calculation!R120&lt;=70,4,IF(Calculation!R120&lt;=110,5,IF(Calculation!R120&lt;=160,6,IF(Calculation!R120&lt;=300,8,"10 EO")))),"")</f>
        <v/>
      </c>
      <c r="FE120" s="361" t="str">
        <f t="shared" si="376"/>
        <v/>
      </c>
      <c r="FF120" s="361" t="str">
        <f t="shared" si="377"/>
        <v/>
      </c>
      <c r="FG120" s="361" t="e">
        <f t="shared" si="282"/>
        <v>#N/A</v>
      </c>
      <c r="FH120" s="361">
        <f t="shared" si="283"/>
        <v>0</v>
      </c>
      <c r="FI120" s="361" t="e">
        <f t="shared" si="284"/>
        <v>#DIV/0!</v>
      </c>
      <c r="FJ120" s="361"/>
      <c r="FK120" s="356" t="e">
        <f t="shared" si="285"/>
        <v>#VALUE!</v>
      </c>
      <c r="FL120" s="361"/>
      <c r="FM120" s="361"/>
      <c r="FN120" s="362" t="str">
        <f t="shared" si="378"/>
        <v xml:space="preserve"> </v>
      </c>
      <c r="FO120" s="362" t="str">
        <f t="shared" si="379"/>
        <v xml:space="preserve"> </v>
      </c>
      <c r="FP120" s="362">
        <f t="shared" si="380"/>
        <v>0</v>
      </c>
      <c r="FQ120" s="361">
        <f t="shared" si="286"/>
        <v>0</v>
      </c>
      <c r="FR120" s="362" t="str">
        <f>IF(L120&gt;0,IF(J120="CBAL2",Worksheet!$P$67,IF(J120="CBE2-24",Worksheet!$Q$67,IF(J120="CBAM",Worksheet!$R$67,IF(J120="CBLV",Worksheet!$S$67,IF(J120="CBAB",Worksheet!$U$67,IF(J120="CBAW",Worksheet!$X$67,IF(J120="CBE2-12",Worksheet!$Y$67,IF(J120="CBAL2",Worksheet!$Z$67,"N/A"))))))))," ")</f>
        <v xml:space="preserve"> </v>
      </c>
      <c r="FS120" s="362" t="str">
        <f>IF(L120&gt;0,IF(J120="CBAL2",Worksheet!$P$68,IF(J120="CBE2-24",Worksheet!$Q$68,IF(J120="CBAM",Worksheet!$R$68,IF(J120="CBLV",Worksheet!$S$68,IF(J120="CBAB",Worksheet!$U$68,IF(J120="CBAW",Worksheet!$X$68,IF(J120="CBE2-12",Worksheet!$Y$68,IF(J120="CBAL2",Worksheet!$Z$68,"N/A"))))))))," ")</f>
        <v xml:space="preserve"> </v>
      </c>
      <c r="FT120" s="362" t="str">
        <f>IF(L120&gt;0,IF(J120="CBAL2",Worksheet!$P$69,IF(J120="CBE2-24",Worksheet!$Q$69,IF(J120="CBAM",Worksheet!$R$69,IF(J120="CBLV",Worksheet!$S$69,IF(J120="CBAB",Worksheet!$U$69,IF(J120="CBAW",Worksheet!$X$69,IF(J120="CBE2-12",Worksheet!$Y$69,IF(J120="CBAL2",Worksheet!$Z$69,"N/A"))))))))," ")</f>
        <v xml:space="preserve"> </v>
      </c>
      <c r="FU120" s="361" t="str">
        <f t="shared" si="381"/>
        <v xml:space="preserve"> </v>
      </c>
      <c r="FV120" s="362" t="str">
        <f t="shared" si="382"/>
        <v xml:space="preserve"> </v>
      </c>
      <c r="FW120" s="362" t="str">
        <f t="shared" si="383"/>
        <v xml:space="preserve"> </v>
      </c>
      <c r="FX120" s="362" t="str">
        <f t="shared" si="384"/>
        <v xml:space="preserve"> </v>
      </c>
      <c r="FY120" s="355" t="str">
        <f t="shared" si="385"/>
        <v xml:space="preserve"> </v>
      </c>
      <c r="FZ120" s="361" t="str">
        <f t="shared" si="386"/>
        <v xml:space="preserve"> </v>
      </c>
      <c r="GA120" s="347" t="str">
        <f t="shared" si="387"/>
        <v xml:space="preserve"> </v>
      </c>
      <c r="GB120" s="355" t="str">
        <f t="shared" si="388"/>
        <v xml:space="preserve"> </v>
      </c>
      <c r="GC120" s="328" t="str">
        <f t="shared" si="389"/>
        <v xml:space="preserve"> </v>
      </c>
      <c r="GD120" s="361" t="str">
        <f t="shared" si="390"/>
        <v xml:space="preserve"> </v>
      </c>
      <c r="GE120" s="347" t="str">
        <f t="shared" si="391"/>
        <v xml:space="preserve"> </v>
      </c>
      <c r="GF120" s="361" t="str">
        <f t="shared" si="392"/>
        <v xml:space="preserve"> </v>
      </c>
      <c r="GG120" s="347" t="str">
        <f t="shared" si="393"/>
        <v xml:space="preserve"> </v>
      </c>
      <c r="GH120" s="364">
        <f t="shared" si="287"/>
        <v>0</v>
      </c>
      <c r="GI120" s="362">
        <f t="shared" si="394"/>
        <v>2</v>
      </c>
      <c r="GJ120" s="433" t="e">
        <f>IF(6-COUNTBLANK(GT120:GY120)=4,MATCH(MID(BO120,9,3),CLU!$H$16:$K$16),MATCH(MID(BO120,9,3),CLU!$H$13:$M$13))</f>
        <v>#N/A</v>
      </c>
      <c r="GK120" s="433" t="e">
        <f>HLOOKUP(VALUE(BP120),CLU!$H$9:$M$10,2)</f>
        <v>#VALUE!</v>
      </c>
      <c r="GL120" s="433" t="e">
        <f ca="1">MATCH(BU120,CLU!$H$2:$V$2,1)</f>
        <v>#VALUE!</v>
      </c>
      <c r="GM120" s="433" t="e">
        <f t="shared" ca="1" si="395"/>
        <v>#VALUE!</v>
      </c>
      <c r="GN120" s="433" t="e">
        <f t="shared" ca="1" si="396"/>
        <v>#VALUE!</v>
      </c>
      <c r="GO120" s="433" t="e">
        <f t="shared" ca="1" si="397"/>
        <v>#VALUE!</v>
      </c>
      <c r="GP120" s="433" t="e">
        <f t="shared" ca="1" si="398"/>
        <v>#VALUE!</v>
      </c>
      <c r="GQ120" s="433" t="e">
        <f t="shared" ca="1" si="399"/>
        <v>#VALUE!</v>
      </c>
      <c r="GR120" s="433" t="e">
        <f ca="1">MATCH(T120,INDIRECT(VLOOKUP(CONCATENATE(LEFT(BO120,7),"-",MID(BO120,13,1)),CLU!$P$3:$Q$16,2)),1)</f>
        <v>#N/A</v>
      </c>
      <c r="GS120" s="433" t="e">
        <f ca="1">MATCH(U120,INDIRECT(VLOOKUP(CONCATENATE(LEFT(BO120,7),"-",MID(BO120,13,1)),CLU!$P$3:$Q$16,2)),1)</f>
        <v>#N/A</v>
      </c>
      <c r="GT120" s="347" t="s">
        <v>512</v>
      </c>
      <c r="GU120" s="97" t="s">
        <v>513</v>
      </c>
      <c r="GV120" s="97" t="str">
        <f t="shared" si="400"/>
        <v>M23</v>
      </c>
      <c r="GW120" s="97" t="str">
        <f t="shared" si="401"/>
        <v>M31</v>
      </c>
      <c r="GX120" s="97" t="str">
        <f t="shared" si="402"/>
        <v/>
      </c>
      <c r="GY120" s="97" t="str">
        <f t="shared" si="403"/>
        <v/>
      </c>
      <c r="GZ120" s="481"/>
      <c r="HA120" s="288"/>
      <c r="HB120" s="240"/>
      <c r="HC120" s="240"/>
      <c r="HD120" s="240"/>
      <c r="HE120" s="240"/>
      <c r="HF120" s="240"/>
      <c r="HG120" s="240"/>
      <c r="HH120" s="240"/>
      <c r="HI120" s="240"/>
      <c r="HJ120" s="240"/>
      <c r="HK120" s="240"/>
      <c r="HL120" s="240"/>
      <c r="HM120" s="240"/>
      <c r="HN120" s="240"/>
      <c r="HO120" s="240"/>
      <c r="HP120" s="240"/>
      <c r="HQ120" s="240"/>
      <c r="HR120" s="240"/>
      <c r="HS120" s="240"/>
      <c r="HT120" s="240"/>
      <c r="HU120" s="240"/>
      <c r="HV120" s="245"/>
      <c r="HW120" s="245" t="b">
        <v>1</v>
      </c>
      <c r="HX120" s="245" t="str">
        <f t="shared" si="288"/>
        <v/>
      </c>
      <c r="HY120" s="245" t="e">
        <f t="shared" si="289"/>
        <v>#DIV/0!</v>
      </c>
      <c r="HZ120" s="245" t="e">
        <f t="shared" si="290"/>
        <v>#DIV/0!</v>
      </c>
      <c r="IA120" s="245">
        <f t="shared" si="291"/>
        <v>0</v>
      </c>
      <c r="IB120" s="245"/>
      <c r="IC120" t="b">
        <f t="shared" si="292"/>
        <v>1</v>
      </c>
      <c r="ID120" s="245" t="b">
        <f t="shared" si="293"/>
        <v>1</v>
      </c>
      <c r="IE120" s="245" t="b">
        <f t="shared" si="294"/>
        <v>1</v>
      </c>
      <c r="IF120" s="245" t="b">
        <f t="shared" si="295"/>
        <v>0</v>
      </c>
      <c r="IG120" s="245" t="b">
        <f t="shared" si="296"/>
        <v>1</v>
      </c>
      <c r="IH120" s="245" t="b">
        <f t="shared" si="297"/>
        <v>1</v>
      </c>
      <c r="II120" s="245">
        <f t="shared" si="404"/>
        <v>0</v>
      </c>
      <c r="IJ120" s="245" t="e">
        <f t="shared" si="298"/>
        <v>#VALUE!</v>
      </c>
      <c r="IK120" s="245" t="e">
        <f t="shared" si="299"/>
        <v>#VALUE!</v>
      </c>
      <c r="IL120" s="245"/>
      <c r="IM120" s="245" t="e">
        <f t="shared" si="405"/>
        <v>#N/A</v>
      </c>
      <c r="IN120" s="245" t="e">
        <f t="shared" si="406"/>
        <v>#N/A</v>
      </c>
      <c r="IO120" s="245"/>
      <c r="IP120" s="245"/>
      <c r="IQ120" s="245" t="str">
        <f t="shared" si="300"/>
        <v/>
      </c>
      <c r="IR120" s="245" t="str">
        <f>IF(J120="","",VLOOKUP(J120,Worksheet!$R$4:$T$14,2))</f>
        <v/>
      </c>
      <c r="IS120" s="245"/>
      <c r="IT120" s="245">
        <f t="shared" si="301"/>
        <v>0</v>
      </c>
      <c r="IU120" s="245">
        <f t="shared" si="302"/>
        <v>0</v>
      </c>
      <c r="IV120" s="245">
        <f t="shared" si="303"/>
        <v>0</v>
      </c>
      <c r="IW120" s="245">
        <f t="shared" si="304"/>
        <v>0</v>
      </c>
      <c r="IX120" s="245">
        <f t="shared" si="407"/>
        <v>0</v>
      </c>
      <c r="IY120" s="245">
        <f t="shared" si="305"/>
        <v>0</v>
      </c>
      <c r="IZ120" s="245">
        <f t="shared" si="306"/>
        <v>0</v>
      </c>
      <c r="JA120">
        <f t="shared" si="307"/>
        <v>0</v>
      </c>
      <c r="JB120">
        <f t="shared" si="408"/>
        <v>0</v>
      </c>
      <c r="JC120">
        <f t="shared" si="308"/>
        <v>0</v>
      </c>
      <c r="JD120">
        <f t="shared" si="309"/>
        <v>0</v>
      </c>
      <c r="JE120">
        <f t="shared" si="310"/>
        <v>0</v>
      </c>
      <c r="JF120">
        <f t="shared" si="311"/>
        <v>0</v>
      </c>
      <c r="JG120">
        <f t="shared" si="312"/>
        <v>0</v>
      </c>
      <c r="JH120">
        <f t="shared" si="313"/>
        <v>0</v>
      </c>
      <c r="JI120">
        <f t="shared" si="314"/>
        <v>0</v>
      </c>
      <c r="JJ120" s="447">
        <f t="shared" si="315"/>
        <v>0</v>
      </c>
      <c r="JK120" s="447">
        <f t="shared" si="316"/>
        <v>0</v>
      </c>
      <c r="JL120">
        <f t="shared" si="317"/>
        <v>0</v>
      </c>
      <c r="JM120" s="245" t="str">
        <f>IFERROR(VLOOKUP(MATCH(BN120,#REF!,0),#REF!,7),"")</f>
        <v/>
      </c>
      <c r="JN120" t="e">
        <f>HLOOKUP(LEFT(BO120,7),Discharge_Area,MATCH(JO120,LookUps!$B$130:$B$149,1)+2)</f>
        <v>#N/A</v>
      </c>
      <c r="JO120" t="str">
        <f t="shared" si="318"/>
        <v>- S</v>
      </c>
      <c r="JP120" t="e">
        <f>HLOOKUP(LEFT(BO120,7),Discharge_Area,MATCH(JO120,LookUps!$B$130:$B$149,1)+2)</f>
        <v>#N/A</v>
      </c>
      <c r="JQ120" t="e">
        <f t="shared" si="319"/>
        <v>#N/A</v>
      </c>
      <c r="JR120" t="e">
        <f t="shared" si="320"/>
        <v>#N/A</v>
      </c>
      <c r="JS120" t="e">
        <f t="shared" si="321"/>
        <v>#N/A</v>
      </c>
      <c r="JT120" s="532" t="str">
        <f t="shared" si="322"/>
        <v xml:space="preserve"> </v>
      </c>
      <c r="JU120" s="532" t="str">
        <f t="shared" si="323"/>
        <v xml:space="preserve"> </v>
      </c>
      <c r="JV120" s="533" t="str">
        <f t="shared" si="324"/>
        <v xml:space="preserve"> </v>
      </c>
      <c r="JW120" s="534">
        <f t="shared" si="325"/>
        <v>0</v>
      </c>
      <c r="JX120" s="535" t="str">
        <f t="shared" si="409"/>
        <v xml:space="preserve"> </v>
      </c>
      <c r="JY120" s="535" t="str">
        <f t="shared" si="410"/>
        <v xml:space="preserve"> </v>
      </c>
      <c r="JZ120" s="535" t="str">
        <f t="shared" si="411"/>
        <v xml:space="preserve"> </v>
      </c>
      <c r="KA120" s="536" t="str">
        <f t="shared" si="326"/>
        <v xml:space="preserve"> </v>
      </c>
      <c r="KB120" s="535" t="e">
        <f t="shared" si="412"/>
        <v>#VALUE!</v>
      </c>
      <c r="KC120" s="535" t="str">
        <f t="shared" si="327"/>
        <v/>
      </c>
      <c r="KD120" s="537" t="str">
        <f t="shared" si="413"/>
        <v xml:space="preserve"> </v>
      </c>
      <c r="KE120" s="537" t="str">
        <f t="shared" si="414"/>
        <v xml:space="preserve"> </v>
      </c>
      <c r="KF120" s="534">
        <f t="shared" si="328"/>
        <v>0</v>
      </c>
      <c r="KG120" s="535" t="str">
        <f t="shared" si="329"/>
        <v xml:space="preserve"> </v>
      </c>
      <c r="KH120" s="535" t="str">
        <f t="shared" si="330"/>
        <v xml:space="preserve"> </v>
      </c>
      <c r="KI120" s="535" t="str">
        <f t="shared" si="331"/>
        <v xml:space="preserve"> </v>
      </c>
      <c r="KJ120" s="536" t="str">
        <f t="shared" si="332"/>
        <v xml:space="preserve"> </v>
      </c>
      <c r="KK120" s="535" t="str">
        <f t="shared" si="415"/>
        <v xml:space="preserve"> </v>
      </c>
      <c r="KL120" s="535" t="str">
        <f t="shared" si="416"/>
        <v xml:space="preserve"> </v>
      </c>
      <c r="KM120" s="537" t="str">
        <f t="shared" si="333"/>
        <v xml:space="preserve"> </v>
      </c>
      <c r="KN120" s="537" t="str">
        <f t="shared" si="417"/>
        <v xml:space="preserve"> </v>
      </c>
      <c r="KP120">
        <f t="shared" si="334"/>
        <v>0</v>
      </c>
      <c r="LA120" t="e">
        <f t="shared" si="335"/>
        <v>#VALUE!</v>
      </c>
      <c r="LB120" t="e">
        <f t="shared" si="336"/>
        <v>#VALUE!</v>
      </c>
      <c r="LC120" t="e">
        <f t="shared" si="337"/>
        <v>#VALUE!</v>
      </c>
      <c r="LD120" t="e">
        <f t="shared" si="338"/>
        <v>#VALUE!</v>
      </c>
      <c r="LE120" t="e">
        <f t="shared" si="418"/>
        <v>#VALUE!</v>
      </c>
      <c r="LF120">
        <f t="shared" si="339"/>
        <v>0</v>
      </c>
      <c r="LG120" t="e">
        <f t="shared" si="419"/>
        <v>#VALUE!</v>
      </c>
      <c r="LH120" t="str">
        <f t="shared" si="340"/>
        <v xml:space="preserve"> </v>
      </c>
      <c r="LI120">
        <f t="shared" si="420"/>
        <v>1</v>
      </c>
    </row>
    <row r="121" spans="2:321" ht="15" customHeight="1">
      <c r="B121" s="311"/>
      <c r="C121" s="311"/>
      <c r="D121" s="312"/>
      <c r="E121" s="311"/>
      <c r="F121" s="312"/>
      <c r="G121" s="311"/>
      <c r="H121" s="311"/>
      <c r="I121" s="37"/>
      <c r="J121" s="311"/>
      <c r="K121" s="305" t="str">
        <f t="shared" si="341"/>
        <v/>
      </c>
      <c r="L121" s="313"/>
      <c r="M121" s="312"/>
      <c r="N121" s="311"/>
      <c r="O121" s="312"/>
      <c r="P121" s="311"/>
      <c r="Q121" s="305" t="str">
        <f t="shared" si="342"/>
        <v/>
      </c>
      <c r="R121" s="314"/>
      <c r="S121" s="450" t="str">
        <f t="shared" si="225"/>
        <v/>
      </c>
      <c r="T121" s="315"/>
      <c r="U121" s="315"/>
      <c r="W121" s="149" t="str">
        <f t="shared" si="226"/>
        <v xml:space="preserve"> </v>
      </c>
      <c r="X121" s="243" t="str">
        <f t="shared" si="227"/>
        <v xml:space="preserve"> </v>
      </c>
      <c r="Y121" s="150" t="str">
        <f t="shared" si="228"/>
        <v/>
      </c>
      <c r="Z121" s="149" t="str">
        <f t="shared" si="229"/>
        <v xml:space="preserve"> </v>
      </c>
      <c r="AA121" s="98" t="str">
        <f t="shared" si="230"/>
        <v xml:space="preserve"> </v>
      </c>
      <c r="AB121" s="153" t="str">
        <f t="shared" si="231"/>
        <v xml:space="preserve"> </v>
      </c>
      <c r="AC121" s="153" t="str">
        <f t="shared" si="232"/>
        <v xml:space="preserve"> </v>
      </c>
      <c r="AD121" s="148" t="str">
        <f t="shared" si="233"/>
        <v/>
      </c>
      <c r="AE121" s="149" t="str">
        <f t="shared" si="234"/>
        <v/>
      </c>
      <c r="AF121" s="151" t="str">
        <f t="shared" si="235"/>
        <v xml:space="preserve"> </v>
      </c>
      <c r="AG121" s="153" t="str">
        <f t="shared" si="236"/>
        <v xml:space="preserve"> </v>
      </c>
      <c r="AH121" s="98" t="str">
        <f t="shared" si="237"/>
        <v xml:space="preserve"> </v>
      </c>
      <c r="AI121" s="149" t="str">
        <f t="shared" si="238"/>
        <v xml:space="preserve"> </v>
      </c>
      <c r="AK121" s="144" t="str">
        <f t="shared" si="239"/>
        <v xml:space="preserve"> </v>
      </c>
      <c r="AL121" s="144"/>
      <c r="AM121" s="243" t="str">
        <f t="shared" si="240"/>
        <v xml:space="preserve"> </v>
      </c>
      <c r="AN121" s="149" t="str">
        <f t="shared" si="343"/>
        <v xml:space="preserve"> </v>
      </c>
      <c r="AO121" s="144" t="str">
        <f>IF(JB121&gt;0,IF(GI121=10,-R121*1.085*(Calculation!$F$6-Calculation!$F$13)*$S$14," "),"")</f>
        <v/>
      </c>
      <c r="AP121" s="144" t="str">
        <f t="shared" si="241"/>
        <v/>
      </c>
      <c r="AQ121" s="56" t="str">
        <f t="shared" si="242"/>
        <v/>
      </c>
      <c r="AR121" s="144" t="str">
        <f t="shared" si="243"/>
        <v/>
      </c>
      <c r="AS121" s="176" t="str">
        <f t="shared" si="244"/>
        <v/>
      </c>
      <c r="AT121" s="176" t="str">
        <f t="shared" si="344"/>
        <v xml:space="preserve"> </v>
      </c>
      <c r="AU121" s="176" t="str">
        <f t="shared" si="245"/>
        <v/>
      </c>
      <c r="AV121" s="177" t="str">
        <f t="shared" si="246"/>
        <v xml:space="preserve"> </v>
      </c>
      <c r="AW121" s="144" t="str">
        <f t="shared" si="247"/>
        <v xml:space="preserve"> </v>
      </c>
      <c r="AX121" s="144" t="str">
        <f t="shared" si="248"/>
        <v xml:space="preserve"> </v>
      </c>
      <c r="AY121" s="152" t="str">
        <f t="shared" si="249"/>
        <v xml:space="preserve"> </v>
      </c>
      <c r="AZ121" s="246" t="str">
        <f t="shared" si="250"/>
        <v/>
      </c>
      <c r="BA121" s="176" t="str">
        <f t="shared" si="251"/>
        <v xml:space="preserve"> </v>
      </c>
      <c r="BB121" s="176" t="str">
        <f t="shared" si="252"/>
        <v xml:space="preserve"> </v>
      </c>
      <c r="BC121" s="195"/>
      <c r="BD121" s="316"/>
      <c r="BE121" s="317"/>
      <c r="BF121" s="318"/>
      <c r="BG121" s="318"/>
      <c r="BH121" s="144" t="str">
        <f t="shared" si="421"/>
        <v xml:space="preserve"> </v>
      </c>
      <c r="BI121" s="176" t="str">
        <f t="shared" si="253"/>
        <v/>
      </c>
      <c r="BJ121" s="144" t="str">
        <f t="shared" si="422"/>
        <v/>
      </c>
      <c r="BK121" s="246" t="str">
        <f t="shared" si="254"/>
        <v/>
      </c>
      <c r="BL121" s="144" t="str">
        <f t="shared" si="423"/>
        <v/>
      </c>
      <c r="BM121" s="246" t="str">
        <f t="shared" si="255"/>
        <v/>
      </c>
      <c r="BN121" s="337" t="str">
        <f t="shared" si="345"/>
        <v/>
      </c>
      <c r="BO121" s="371" t="str">
        <f t="shared" si="346"/>
        <v/>
      </c>
      <c r="BP121" s="328" t="str">
        <f t="shared" si="424"/>
        <v xml:space="preserve"> </v>
      </c>
      <c r="BQ121" s="347" t="str">
        <f t="shared" si="347"/>
        <v xml:space="preserve"> </v>
      </c>
      <c r="BR121" s="353" t="str">
        <f t="shared" si="348"/>
        <v xml:space="preserve"> </v>
      </c>
      <c r="BS121" s="626" t="str">
        <f>IF(L121&gt;0,IF(Calculation!P121="M13",BR121*3.1416*(0.134^2)/(4*144),IF(Calculation!P121="M17",BR121*3.1416*(0.165^2)/(4*144),IF(Calculation!P121="M20",BR121*3.1416*(0.198^2)/(4*144),IF(Calculation!P121="M23",BR121*3.1416*(0.228^2)/(4*144),IF(Calculation!P121="M27",BR121*3.1416*(0.269^2)/(4*144),BR121*3.1416*(0.307^2)/(4*144))))))," ")</f>
        <v xml:space="preserve"> </v>
      </c>
      <c r="BT121" s="353" t="str">
        <f>IF(L121&gt;0,IF(BS121&gt;0,R121/Calculation!BS121,0)," ")</f>
        <v xml:space="preserve"> </v>
      </c>
      <c r="BU121" s="438" t="e">
        <f t="shared" ca="1" si="256"/>
        <v>#VALUE!</v>
      </c>
      <c r="BV121" s="449" t="e">
        <f ca="1">INDEX(INDIRECT(VLOOKUP(LEFT(BO121,7),CLU!$Z$3:$AH$18,2)),GN121,GR121)</f>
        <v>#N/A</v>
      </c>
      <c r="BW121" s="433" t="e">
        <f ca="1">INDEX(INDIRECT(VLOOKUP(LEFT(BO121,7),CLU!$Z$3:$AH$18,3)),GN121,GR121)</f>
        <v>#N/A</v>
      </c>
      <c r="BX121" s="433" t="e">
        <f ca="1">INDEX(INDIRECT(VLOOKUP(LEFT(BO121,7),CLU!$Z$3:$AH$18,4)),GN121,GR121)</f>
        <v>#N/A</v>
      </c>
      <c r="BY121" s="433" t="e">
        <f ca="1">INDEX(INDIRECT(VLOOKUP(LEFT(BO121,7),CLU!$Z$3:$AH$18,9)),((M121-2)*(6-COUNTBLANK(GT121:GY121)))+GJ121)</f>
        <v>#N/A</v>
      </c>
      <c r="BZ121" s="426" t="e">
        <f t="shared" ca="1" si="349"/>
        <v>#N/A</v>
      </c>
      <c r="CA121" s="424" t="e">
        <f t="shared" ca="1" si="350"/>
        <v>#N/A</v>
      </c>
      <c r="CB121" s="429" t="e">
        <f ca="1">INDEX(INDIRECT(VLOOKUP(LEFT(BO121,7),CLU!$Z$3:$AH$18,2)),GN121,GS121)</f>
        <v>#N/A</v>
      </c>
      <c r="CC121" s="342" t="e">
        <f ca="1">INDEX(INDIRECT(VLOOKUP(LEFT(BO121,7),CLU!$Z$3:$AH$18,3)),GN121,GS121)</f>
        <v>#N/A</v>
      </c>
      <c r="CD121" s="342" t="e">
        <f ca="1">INDEX(INDIRECT(VLOOKUP(LEFT(BO121,7),CLU!$Z$3:$AH$18,4)),GN121,GS121)</f>
        <v>#N/A</v>
      </c>
      <c r="CE121" s="426" t="e">
        <f t="shared" ca="1" si="351"/>
        <v>#N/A</v>
      </c>
      <c r="CF121" s="440">
        <f t="shared" si="352"/>
        <v>0</v>
      </c>
      <c r="CG121" s="431" t="e">
        <f ca="1">INDEX(INDIRECT(VLOOKUP(LEFT(BO121,7),CLU!$Z$3:$AH$18,2)),GQ121,GR121)</f>
        <v>#N/A</v>
      </c>
      <c r="CH121" s="431" t="e">
        <f ca="1">INDEX(INDIRECT(VLOOKUP(LEFT(BO121,7),CLU!$Z$3:$AH$18,3)),GQ121,GR121)</f>
        <v>#N/A</v>
      </c>
      <c r="CI121" s="431" t="e">
        <f ca="1">INDEX(INDIRECT(VLOOKUP(LEFT(BO121,7),CLU!$Z$3:$AH$18,4)),GQ121,GR121)</f>
        <v>#N/A</v>
      </c>
      <c r="CJ121" s="448" t="e">
        <f t="shared" ca="1" si="353"/>
        <v>#N/A</v>
      </c>
      <c r="CK121" s="431" t="e">
        <f t="shared" ca="1" si="354"/>
        <v>#N/A</v>
      </c>
      <c r="CL121" s="440" t="e">
        <f t="shared" ca="1" si="355"/>
        <v>#N/A</v>
      </c>
      <c r="CM121" s="431" t="e">
        <f ca="1">INDEX(INDIRECT(VLOOKUP(LEFT(BO121,7),CLU!$Z$3:$AH$18,2)),GQ121,GS121)</f>
        <v>#N/A</v>
      </c>
      <c r="CN121" s="431" t="e">
        <f ca="1">INDEX(INDIRECT(VLOOKUP(LEFT(BO121,7),CLU!$Z$3:$AH$18,3)),GQ121,GS121)</f>
        <v>#N/A</v>
      </c>
      <c r="CO121" s="431" t="e">
        <f ca="1">INDEX(INDIRECT(VLOOKUP(LEFT(BO121,7),CLU!$Z$3:$AH$18,4)),GQ121,GS121)</f>
        <v>#N/A</v>
      </c>
      <c r="CP121" s="431" t="e">
        <f t="shared" ca="1" si="356"/>
        <v>#N/A</v>
      </c>
      <c r="CQ121" s="440">
        <f t="shared" si="357"/>
        <v>0</v>
      </c>
      <c r="CR121" s="51" t="e">
        <f t="shared" ca="1" si="358"/>
        <v>#N/A</v>
      </c>
      <c r="CS121" s="439" t="e">
        <f t="shared" ca="1" si="359"/>
        <v>#VALUE!</v>
      </c>
      <c r="CT121" s="51" t="e">
        <f t="shared" ca="1" si="360"/>
        <v>#VALUE!</v>
      </c>
      <c r="CU121" s="10"/>
      <c r="CV121" s="51" t="e">
        <f t="shared" ca="1" si="257"/>
        <v>#VALUE!</v>
      </c>
      <c r="CW121" s="51">
        <f t="shared" si="361"/>
        <v>0</v>
      </c>
      <c r="CX121" s="439" t="e">
        <f t="shared" ca="1" si="362"/>
        <v>#VALUE!</v>
      </c>
      <c r="CY121" s="51" t="e">
        <f t="shared" ca="1" si="363"/>
        <v>#VALUE!</v>
      </c>
      <c r="CZ121" s="10"/>
      <c r="DA121" s="51" t="e">
        <f t="shared" ca="1" si="364"/>
        <v>#VALUE!</v>
      </c>
      <c r="DB121" s="347" t="e">
        <f ca="1">INDEX(INDIRECT(VLOOKUP(LEFT(BO121,7),CLU!$Z$3:$AI$18,10)),((M121-2)*(6-COUNTBLANK(GT121:GY121)))+GJ121)*LI121</f>
        <v>#N/A</v>
      </c>
      <c r="DC121" s="347" t="str">
        <f>IF(L121&gt;0,((R121/Worksheet!$I$15)/DB121)^2," ")</f>
        <v xml:space="preserve"> </v>
      </c>
      <c r="DD121" s="602" t="str">
        <f t="shared" si="365"/>
        <v xml:space="preserve"> </v>
      </c>
      <c r="DE121" s="347" t="str">
        <f t="shared" si="258"/>
        <v xml:space="preserve"> </v>
      </c>
      <c r="DF121" s="356" t="e">
        <f ca="1">INDEX(INDIRECT(VLOOKUP(LEFT(BO121,7),CLU!$Z$3:$AH$18,8)),((M121-2)*(6-COUNTBLANK(GT121:GY121)))+GJ121)</f>
        <v>#N/A</v>
      </c>
      <c r="DG121" s="347" t="str">
        <f t="shared" si="259"/>
        <v xml:space="preserve"> </v>
      </c>
      <c r="DH121" s="357" t="str">
        <f t="shared" si="260"/>
        <v xml:space="preserve"> </v>
      </c>
      <c r="DI121" s="355" t="str">
        <f t="shared" si="261"/>
        <v xml:space="preserve"> </v>
      </c>
      <c r="DJ121" s="245" t="e">
        <f ca="1">INDEX(INDIRECT(VLOOKUP(LEFT(BO121,7),CLU!$Z$3:$AH$18,5)),GL121,GK121)</f>
        <v>#N/A</v>
      </c>
      <c r="DK121" s="245" t="e">
        <f ca="1">INDEX(INDIRECT(VLOOKUP(LEFT(BO121,7),CLU!$Z$3:$AH$18,6)),GL121,GK121)</f>
        <v>#N/A</v>
      </c>
      <c r="DL121" s="355">
        <f>(Calculation!R121*0.69143*(Calculation!$BQ$8-Calculation!$F$8))*$S$14</f>
        <v>0</v>
      </c>
      <c r="DM121" s="359" t="e">
        <f t="shared" si="366"/>
        <v>#VALUE!</v>
      </c>
      <c r="DN121" s="611">
        <f t="shared" si="367"/>
        <v>0</v>
      </c>
      <c r="DO121" s="359">
        <f t="shared" si="368"/>
        <v>100</v>
      </c>
      <c r="DP121" s="359">
        <f t="shared" si="369"/>
        <v>0</v>
      </c>
      <c r="DQ121" s="360"/>
      <c r="DR121" s="245" t="e">
        <f ca="1">INDEX(INDIRECT(VLOOKUP(LEFT(BO121,7),CLU!$Z$3:$AH$18,7)),M121-1,1)</f>
        <v>#N/A</v>
      </c>
      <c r="DS121" s="245" t="e">
        <f ca="1">INDEX(INDIRECT(VLOOKUP(LEFT(BO121,7),CLU!$Z$3:$AH$18,7)),M121-1,2)</f>
        <v>#N/A</v>
      </c>
      <c r="DT121" s="245" t="e">
        <f ca="1">INDEX(INDIRECT(VLOOKUP(LEFT(BO121,7),CLU!$Z$3:$AH$18,7)),M121-1,3)</f>
        <v>#N/A</v>
      </c>
      <c r="DU121" s="245" t="e">
        <f ca="1">INDEX(INDIRECT(VLOOKUP(LEFT(BO121,7),CLU!$Z$3:$AH$18,7)),M121-1,4)</f>
        <v>#N/A</v>
      </c>
      <c r="DV121" s="361" t="e">
        <f ca="1">INDEX(INDIRECT(VLOOKUP(LEFT(BO121,7),CLU!$Z$3:$AH$18,7)),M121-1,4+LEFT(DZ121,1)*0.5)</f>
        <v>#N/A</v>
      </c>
      <c r="DW121" s="245" t="e">
        <f ca="1">INDEX(INDIRECT(VLOOKUP(LEFT(BO121,7),CLU!$Z$3:$AH$18,7)),M121-1,8)</f>
        <v>#N/A</v>
      </c>
      <c r="DX121" s="361" t="str">
        <f t="shared" si="262"/>
        <v xml:space="preserve"> </v>
      </c>
      <c r="DY121" s="361" t="str">
        <f t="shared" si="263"/>
        <v xml:space="preserve"> </v>
      </c>
      <c r="DZ121" s="361" t="str">
        <f t="shared" si="264"/>
        <v xml:space="preserve"> </v>
      </c>
      <c r="EA121" s="362" t="str">
        <f t="shared" si="265"/>
        <v xml:space="preserve"> </v>
      </c>
      <c r="EB121" s="624" t="str">
        <f t="shared" si="370"/>
        <v xml:space="preserve"> </v>
      </c>
      <c r="EC121" s="361" t="e">
        <f ca="1">INDEX(INDIRECT(VLOOKUP(LEFT(BO121,7),CLU!$Z$3:$AH$18,7)),M121-1,4+LEFT(DZ121,1)*0.5)</f>
        <v>#N/A</v>
      </c>
      <c r="ED121" s="362" t="str">
        <f t="shared" si="266"/>
        <v xml:space="preserve"> </v>
      </c>
      <c r="EE121" s="361" t="str">
        <f t="shared" si="267"/>
        <v xml:space="preserve"> </v>
      </c>
      <c r="EF121" s="362" t="str">
        <f>IF(L121&gt;0,IF(BR121&gt;0,IF(EE121="2P",IF(Calculation!DZ121="2P",IF(Calculation!DS121=13.75,IF(Calculation!DR121=13,Worksheet!$BD$43,IF(Calculation!DR121=37,Worksheet!$BD$44,Worksheet!$BD$45)),IF(Calculation!DS121=10,IF(Calculation!DR121=18,Worksheet!$BD$29,IF(Calculation!DR121=30,Worksheet!$BD$30,IF(Calculation!DR121=42,Worksheet!$BD$31,IF(Calculation!DR121=54,Worksheet!$BD$32,IF(Calculation!DR121=66,Worksheet!$BD$33,IF(Calculation!DR121=78,Worksheet!$BD$34,IF(Calculation!DR121=90,Worksheet!$BD$35,IF(Calculation!DR121=102,Worksheet!$BD$36,Worksheet!$BD$37)))))))),IF(Calculation!DS121=12.5,IF(Calculation!DR121=18,Worksheet!$BD$38,IF(Calculation!DR121=Worksheet!$BD$39,IF(Calculation!DR121=42,Worksheet!$BD$40,IF(Calculation!DR121=54,Worksheet!$BD$41,Worksheet!$BD$42)))),IF(Calculation!DR121=18,Worksheet!$BD$11,IF(Calculation!DR121=30,Worksheet!$BD$12,IF(Calculation!DR121=42,Worksheet!$BD$13,IF(Calculation!DR121=54,Worksheet!$BD$14,IF(Calculation!DR121=66,Worksheet!$BD$15,IF(Calculation!DR121=78,Worksheet!$BD$16,IF(Calculation!DR121=90,Worksheet!$BD$17,IF(Calculation!DR121=102,Worksheet!$BD$18,Worksheet!$BD$19))))))))))),IF(Calculation!DS121=13.75,IF(Calculation!DR121=13,Worksheet!$BD$78,IF(Calculation!DR121=37,Worksheet!$BD$79,Worksheet!$BD$80)),IF(Calculation!DS121=10,IF(Calculation!DR121=18,Worksheet!$BD$64,IF(Calculation!DR121=30,Worksheet!$BD$65,IF(Calculation!DR121=42,Worksheet!$BD$66,IF(Calculation!DR121=54,Worksheet!$BD$68,IF(Calculation!DR121=66,Worksheet!$BD$68,IF(Calculation!DR121=78,Worksheet!$BD$69,IF(Calculation!DR121=90,Worksheet!$BD$70,IF(Calculation!DR121=102,Worksheet!$BD$71,Worksheet!$BD$72)))))))),IF(Calculation!DS121=12.5,IF(Calculation!DR121=18,Worksheet!$BD$73,IF(Calculation!DR121=Worksheet!$BD$74,IF(Calculation!DR121=42,Worksheet!$BD$75,IF(Calculation!DR121=54,Worksheet!$BD$76,Worksheet!$BD$77)))),IF(Calculation!DR121=18,Worksheet!$BD$55,IF(Calculation!DR121=30,Worksheet!$BD$56,IF(Calculation!DR121=42,Worksheet!$BD$57,IF(Calculation!DR121=54,Worksheet!$BD$58,IF(Calculation!DR121=66,Worksheet!$BD$59,IF(Calculation!DR121=78,Worksheet!$BD$60,IF(Calculation!DR121=90,Worksheet!$BD$61,IF(Calculation!DR121=102,Worksheet!$BD$62,Worksheet!$BD$63)))))))))))),5),0)," ")</f>
        <v xml:space="preserve"> </v>
      </c>
      <c r="EG121" s="361" t="str">
        <f t="shared" si="268"/>
        <v xml:space="preserve"> </v>
      </c>
      <c r="EH121" s="361" t="e">
        <f ca="1">INDEX(INDIRECT(VLOOKUP(LEFT(BO121,7),CLU!$Z$3:$AH$18,7)),M121-1,3+LEFT(DZ121,1))</f>
        <v>#N/A</v>
      </c>
      <c r="EI121" s="362" t="str">
        <f t="shared" si="269"/>
        <v xml:space="preserve"> </v>
      </c>
      <c r="EJ121" s="363" t="str">
        <f t="shared" si="270"/>
        <v xml:space="preserve"> </v>
      </c>
      <c r="EK121" s="363" t="str">
        <f t="shared" si="271"/>
        <v xml:space="preserve"> </v>
      </c>
      <c r="EL121" s="363" t="str">
        <f t="shared" si="272"/>
        <v xml:space="preserve"> </v>
      </c>
      <c r="EM121" s="362" t="str">
        <f>IF(L121&gt;0,IF(BR121&gt;0,(Calculation!T121/ED121)^2,0)," ")</f>
        <v xml:space="preserve"> </v>
      </c>
      <c r="EN121" s="362" t="str">
        <f>IF(L121&gt;0,IF(O121="2 Pipe (Cooling)","N/A",IF(BR121&gt;0,(Calculation!U121/EI121)^2,0))," ")</f>
        <v xml:space="preserve"> </v>
      </c>
      <c r="EO121" s="361" t="str">
        <f t="shared" si="273"/>
        <v/>
      </c>
      <c r="EP121" s="361" t="str">
        <f t="shared" si="274"/>
        <v/>
      </c>
      <c r="EQ121" s="361" t="str">
        <f t="shared" si="275"/>
        <v/>
      </c>
      <c r="ER121" s="361" t="str">
        <f t="shared" si="276"/>
        <v/>
      </c>
      <c r="ES121" s="361" t="str">
        <f t="shared" si="277"/>
        <v/>
      </c>
      <c r="ET121" s="361" t="str">
        <f t="shared" si="278"/>
        <v/>
      </c>
      <c r="EU121" s="361" t="str">
        <f t="shared" si="279"/>
        <v/>
      </c>
      <c r="EV121" s="361" t="str">
        <f t="shared" si="280"/>
        <v/>
      </c>
      <c r="EW121" s="361" t="str">
        <f t="shared" si="281"/>
        <v/>
      </c>
      <c r="EX121" s="361" t="str">
        <f t="shared" si="371"/>
        <v>1 slot, 1 way</v>
      </c>
      <c r="EY121" s="361" t="str">
        <f t="shared" si="372"/>
        <v xml:space="preserve"> </v>
      </c>
      <c r="EZ121" s="361" t="str">
        <f t="shared" si="373"/>
        <v xml:space="preserve"> </v>
      </c>
      <c r="FA121" s="361" t="str">
        <f t="shared" si="374"/>
        <v xml:space="preserve"> </v>
      </c>
      <c r="FB121" s="361" t="str">
        <f t="shared" si="375"/>
        <v xml:space="preserve"> </v>
      </c>
      <c r="FC121" s="361"/>
      <c r="FD121" s="361" t="str">
        <f>IF(J121&gt;0,IF(Calculation!R121&lt;=70,4,IF(Calculation!R121&lt;=110,5,IF(Calculation!R121&lt;=160,6,IF(Calculation!R121&lt;=300,8,"10 EO")))),"")</f>
        <v/>
      </c>
      <c r="FE121" s="361" t="str">
        <f t="shared" si="376"/>
        <v/>
      </c>
      <c r="FF121" s="361" t="str">
        <f t="shared" si="377"/>
        <v/>
      </c>
      <c r="FG121" s="361" t="e">
        <f t="shared" si="282"/>
        <v>#N/A</v>
      </c>
      <c r="FH121" s="361">
        <f t="shared" si="283"/>
        <v>0</v>
      </c>
      <c r="FI121" s="361" t="e">
        <f t="shared" si="284"/>
        <v>#DIV/0!</v>
      </c>
      <c r="FJ121" s="361"/>
      <c r="FK121" s="356" t="e">
        <f t="shared" si="285"/>
        <v>#VALUE!</v>
      </c>
      <c r="FL121" s="361"/>
      <c r="FM121" s="361"/>
      <c r="FN121" s="362" t="str">
        <f t="shared" si="378"/>
        <v xml:space="preserve"> </v>
      </c>
      <c r="FO121" s="362" t="str">
        <f t="shared" si="379"/>
        <v xml:space="preserve"> </v>
      </c>
      <c r="FP121" s="362">
        <f t="shared" si="380"/>
        <v>0</v>
      </c>
      <c r="FQ121" s="361">
        <f t="shared" si="286"/>
        <v>0</v>
      </c>
      <c r="FR121" s="362" t="str">
        <f>IF(L121&gt;0,IF(J121="CBAL2",Worksheet!$P$67,IF(J121="CBE2-24",Worksheet!$Q$67,IF(J121="CBAM",Worksheet!$R$67,IF(J121="CBLV",Worksheet!$S$67,IF(J121="CBAB",Worksheet!$U$67,IF(J121="CBAW",Worksheet!$X$67,IF(J121="CBE2-12",Worksheet!$Y$67,IF(J121="CBAL2",Worksheet!$Z$67,"N/A"))))))))," ")</f>
        <v xml:space="preserve"> </v>
      </c>
      <c r="FS121" s="362" t="str">
        <f>IF(L121&gt;0,IF(J121="CBAL2",Worksheet!$P$68,IF(J121="CBE2-24",Worksheet!$Q$68,IF(J121="CBAM",Worksheet!$R$68,IF(J121="CBLV",Worksheet!$S$68,IF(J121="CBAB",Worksheet!$U$68,IF(J121="CBAW",Worksheet!$X$68,IF(J121="CBE2-12",Worksheet!$Y$68,IF(J121="CBAL2",Worksheet!$Z$68,"N/A"))))))))," ")</f>
        <v xml:space="preserve"> </v>
      </c>
      <c r="FT121" s="362" t="str">
        <f>IF(L121&gt;0,IF(J121="CBAL2",Worksheet!$P$69,IF(J121="CBE2-24",Worksheet!$Q$69,IF(J121="CBAM",Worksheet!$R$69,IF(J121="CBLV",Worksheet!$S$69,IF(J121="CBAB",Worksheet!$U$69,IF(J121="CBAW",Worksheet!$X$69,IF(J121="CBE2-12",Worksheet!$Y$69,IF(J121="CBAL2",Worksheet!$Z$69,"N/A"))))))))," ")</f>
        <v xml:space="preserve"> </v>
      </c>
      <c r="FU121" s="361" t="str">
        <f t="shared" si="381"/>
        <v xml:space="preserve"> </v>
      </c>
      <c r="FV121" s="362" t="str">
        <f t="shared" si="382"/>
        <v xml:space="preserve"> </v>
      </c>
      <c r="FW121" s="362" t="str">
        <f t="shared" si="383"/>
        <v xml:space="preserve"> </v>
      </c>
      <c r="FX121" s="362" t="str">
        <f t="shared" si="384"/>
        <v xml:space="preserve"> </v>
      </c>
      <c r="FY121" s="355" t="str">
        <f t="shared" si="385"/>
        <v xml:space="preserve"> </v>
      </c>
      <c r="FZ121" s="361" t="str">
        <f t="shared" si="386"/>
        <v xml:space="preserve"> </v>
      </c>
      <c r="GA121" s="347" t="str">
        <f t="shared" si="387"/>
        <v xml:space="preserve"> </v>
      </c>
      <c r="GB121" s="355" t="str">
        <f t="shared" si="388"/>
        <v xml:space="preserve"> </v>
      </c>
      <c r="GC121" s="328" t="str">
        <f t="shared" si="389"/>
        <v xml:space="preserve"> </v>
      </c>
      <c r="GD121" s="361" t="str">
        <f t="shared" si="390"/>
        <v xml:space="preserve"> </v>
      </c>
      <c r="GE121" s="347" t="str">
        <f t="shared" si="391"/>
        <v xml:space="preserve"> </v>
      </c>
      <c r="GF121" s="361" t="str">
        <f t="shared" si="392"/>
        <v xml:space="preserve"> </v>
      </c>
      <c r="GG121" s="347" t="str">
        <f t="shared" si="393"/>
        <v xml:space="preserve"> </v>
      </c>
      <c r="GH121" s="364">
        <f t="shared" si="287"/>
        <v>0</v>
      </c>
      <c r="GI121" s="362">
        <f t="shared" si="394"/>
        <v>2</v>
      </c>
      <c r="GJ121" s="433" t="e">
        <f>IF(6-COUNTBLANK(GT121:GY121)=4,MATCH(MID(BO121,9,3),CLU!$H$16:$K$16),MATCH(MID(BO121,9,3),CLU!$H$13:$M$13))</f>
        <v>#N/A</v>
      </c>
      <c r="GK121" s="433" t="e">
        <f>HLOOKUP(VALUE(BP121),CLU!$H$9:$M$10,2)</f>
        <v>#VALUE!</v>
      </c>
      <c r="GL121" s="433" t="e">
        <f ca="1">MATCH(BU121,CLU!$H$2:$V$2,1)</f>
        <v>#VALUE!</v>
      </c>
      <c r="GM121" s="433" t="e">
        <f t="shared" ca="1" si="395"/>
        <v>#VALUE!</v>
      </c>
      <c r="GN121" s="433" t="e">
        <f t="shared" ca="1" si="396"/>
        <v>#VALUE!</v>
      </c>
      <c r="GO121" s="433" t="e">
        <f t="shared" ca="1" si="397"/>
        <v>#VALUE!</v>
      </c>
      <c r="GP121" s="433" t="e">
        <f t="shared" ca="1" si="398"/>
        <v>#VALUE!</v>
      </c>
      <c r="GQ121" s="433" t="e">
        <f t="shared" ca="1" si="399"/>
        <v>#VALUE!</v>
      </c>
      <c r="GR121" s="433" t="e">
        <f ca="1">MATCH(T121,INDIRECT(VLOOKUP(CONCATENATE(LEFT(BO121,7),"-",MID(BO121,13,1)),CLU!$P$3:$Q$16,2)),1)</f>
        <v>#N/A</v>
      </c>
      <c r="GS121" s="433" t="e">
        <f ca="1">MATCH(U121,INDIRECT(VLOOKUP(CONCATENATE(LEFT(BO121,7),"-",MID(BO121,13,1)),CLU!$P$3:$Q$16,2)),1)</f>
        <v>#N/A</v>
      </c>
      <c r="GT121" s="347" t="s">
        <v>512</v>
      </c>
      <c r="GU121" s="97" t="s">
        <v>513</v>
      </c>
      <c r="GV121" s="97" t="str">
        <f t="shared" si="400"/>
        <v>M23</v>
      </c>
      <c r="GW121" s="97" t="str">
        <f t="shared" si="401"/>
        <v>M31</v>
      </c>
      <c r="GX121" s="97" t="str">
        <f t="shared" si="402"/>
        <v/>
      </c>
      <c r="GY121" s="97" t="str">
        <f t="shared" si="403"/>
        <v/>
      </c>
      <c r="GZ121" s="481"/>
      <c r="HA121" s="288"/>
      <c r="HB121" s="240"/>
      <c r="HC121" s="240"/>
      <c r="HD121" s="240"/>
      <c r="HE121" s="240"/>
      <c r="HF121" s="240"/>
      <c r="HG121" s="240"/>
      <c r="HH121" s="240"/>
      <c r="HI121" s="240"/>
      <c r="HJ121" s="240"/>
      <c r="HK121" s="240"/>
      <c r="HL121" s="240"/>
      <c r="HM121" s="240"/>
      <c r="HN121" s="240"/>
      <c r="HO121" s="240"/>
      <c r="HP121" s="240"/>
      <c r="HQ121" s="240"/>
      <c r="HR121" s="240"/>
      <c r="HS121" s="240"/>
      <c r="HT121" s="240"/>
      <c r="HU121" s="240"/>
      <c r="HV121" s="245"/>
      <c r="HW121" s="245" t="b">
        <v>1</v>
      </c>
      <c r="HX121" s="245" t="str">
        <f t="shared" si="288"/>
        <v/>
      </c>
      <c r="HY121" s="245" t="e">
        <f t="shared" si="289"/>
        <v>#DIV/0!</v>
      </c>
      <c r="HZ121" s="245" t="e">
        <f t="shared" si="290"/>
        <v>#DIV/0!</v>
      </c>
      <c r="IA121" s="245">
        <f t="shared" si="291"/>
        <v>0</v>
      </c>
      <c r="IB121" s="245"/>
      <c r="IC121" t="b">
        <f t="shared" si="292"/>
        <v>1</v>
      </c>
      <c r="ID121" s="245" t="b">
        <f t="shared" si="293"/>
        <v>1</v>
      </c>
      <c r="IE121" s="245" t="b">
        <f t="shared" si="294"/>
        <v>1</v>
      </c>
      <c r="IF121" s="245" t="b">
        <f t="shared" si="295"/>
        <v>0</v>
      </c>
      <c r="IG121" s="245" t="b">
        <f t="shared" si="296"/>
        <v>1</v>
      </c>
      <c r="IH121" s="245" t="b">
        <f t="shared" si="297"/>
        <v>1</v>
      </c>
      <c r="II121" s="245">
        <f t="shared" si="404"/>
        <v>0</v>
      </c>
      <c r="IJ121" s="245" t="e">
        <f t="shared" si="298"/>
        <v>#VALUE!</v>
      </c>
      <c r="IK121" s="245" t="e">
        <f t="shared" si="299"/>
        <v>#VALUE!</v>
      </c>
      <c r="IL121" s="245"/>
      <c r="IM121" s="245" t="e">
        <f t="shared" si="405"/>
        <v>#N/A</v>
      </c>
      <c r="IN121" s="245" t="e">
        <f t="shared" si="406"/>
        <v>#N/A</v>
      </c>
      <c r="IO121" s="245"/>
      <c r="IP121" s="245"/>
      <c r="IQ121" s="245" t="str">
        <f t="shared" si="300"/>
        <v/>
      </c>
      <c r="IR121" s="245" t="str">
        <f>IF(J121="","",VLOOKUP(J121,Worksheet!$R$4:$T$14,2))</f>
        <v/>
      </c>
      <c r="IS121" s="245"/>
      <c r="IT121" s="245">
        <f t="shared" si="301"/>
        <v>0</v>
      </c>
      <c r="IU121" s="245">
        <f t="shared" si="302"/>
        <v>0</v>
      </c>
      <c r="IV121" s="245">
        <f t="shared" si="303"/>
        <v>0</v>
      </c>
      <c r="IW121" s="245">
        <f t="shared" si="304"/>
        <v>0</v>
      </c>
      <c r="IX121" s="245">
        <f t="shared" si="407"/>
        <v>0</v>
      </c>
      <c r="IY121" s="245">
        <f t="shared" si="305"/>
        <v>0</v>
      </c>
      <c r="IZ121" s="245">
        <f t="shared" si="306"/>
        <v>0</v>
      </c>
      <c r="JA121">
        <f t="shared" si="307"/>
        <v>0</v>
      </c>
      <c r="JB121">
        <f t="shared" si="408"/>
        <v>0</v>
      </c>
      <c r="JC121">
        <f t="shared" si="308"/>
        <v>0</v>
      </c>
      <c r="JD121">
        <f t="shared" si="309"/>
        <v>0</v>
      </c>
      <c r="JE121">
        <f t="shared" si="310"/>
        <v>0</v>
      </c>
      <c r="JF121">
        <f t="shared" si="311"/>
        <v>0</v>
      </c>
      <c r="JG121">
        <f t="shared" si="312"/>
        <v>0</v>
      </c>
      <c r="JH121">
        <f t="shared" si="313"/>
        <v>0</v>
      </c>
      <c r="JI121">
        <f t="shared" si="314"/>
        <v>0</v>
      </c>
      <c r="JJ121" s="447">
        <f t="shared" si="315"/>
        <v>0</v>
      </c>
      <c r="JK121" s="447">
        <f t="shared" si="316"/>
        <v>0</v>
      </c>
      <c r="JL121">
        <f t="shared" si="317"/>
        <v>0</v>
      </c>
      <c r="JM121" s="245" t="str">
        <f>IFERROR(VLOOKUP(MATCH(BN121,#REF!,0),#REF!,7),"")</f>
        <v/>
      </c>
      <c r="JN121" t="e">
        <f>HLOOKUP(LEFT(BO121,7),Discharge_Area,MATCH(JO121,LookUps!$B$130:$B$149,1)+2)</f>
        <v>#N/A</v>
      </c>
      <c r="JO121" t="str">
        <f t="shared" si="318"/>
        <v>- S</v>
      </c>
      <c r="JP121" t="e">
        <f>HLOOKUP(LEFT(BO121,7),Discharge_Area,MATCH(JO121,LookUps!$B$130:$B$149,1)+2)</f>
        <v>#N/A</v>
      </c>
      <c r="JQ121" t="e">
        <f t="shared" si="319"/>
        <v>#N/A</v>
      </c>
      <c r="JR121" t="e">
        <f t="shared" si="320"/>
        <v>#N/A</v>
      </c>
      <c r="JS121" t="e">
        <f t="shared" si="321"/>
        <v>#N/A</v>
      </c>
      <c r="JT121" s="532" t="str">
        <f t="shared" si="322"/>
        <v xml:space="preserve"> </v>
      </c>
      <c r="JU121" s="532" t="str">
        <f t="shared" si="323"/>
        <v xml:space="preserve"> </v>
      </c>
      <c r="JV121" s="533" t="str">
        <f t="shared" si="324"/>
        <v xml:space="preserve"> </v>
      </c>
      <c r="JW121" s="534">
        <f t="shared" si="325"/>
        <v>0</v>
      </c>
      <c r="JX121" s="535" t="str">
        <f t="shared" si="409"/>
        <v xml:space="preserve"> </v>
      </c>
      <c r="JY121" s="535" t="str">
        <f t="shared" si="410"/>
        <v xml:space="preserve"> </v>
      </c>
      <c r="JZ121" s="535" t="str">
        <f t="shared" si="411"/>
        <v xml:space="preserve"> </v>
      </c>
      <c r="KA121" s="536" t="str">
        <f t="shared" si="326"/>
        <v xml:space="preserve"> </v>
      </c>
      <c r="KB121" s="535" t="e">
        <f t="shared" si="412"/>
        <v>#VALUE!</v>
      </c>
      <c r="KC121" s="535" t="str">
        <f t="shared" si="327"/>
        <v/>
      </c>
      <c r="KD121" s="537" t="str">
        <f t="shared" si="413"/>
        <v xml:space="preserve"> </v>
      </c>
      <c r="KE121" s="537" t="str">
        <f t="shared" si="414"/>
        <v xml:space="preserve"> </v>
      </c>
      <c r="KF121" s="534">
        <f t="shared" si="328"/>
        <v>0</v>
      </c>
      <c r="KG121" s="535" t="str">
        <f t="shared" si="329"/>
        <v xml:space="preserve"> </v>
      </c>
      <c r="KH121" s="535" t="str">
        <f t="shared" si="330"/>
        <v xml:space="preserve"> </v>
      </c>
      <c r="KI121" s="535" t="str">
        <f t="shared" si="331"/>
        <v xml:space="preserve"> </v>
      </c>
      <c r="KJ121" s="536" t="str">
        <f t="shared" si="332"/>
        <v xml:space="preserve"> </v>
      </c>
      <c r="KK121" s="535" t="str">
        <f t="shared" si="415"/>
        <v xml:space="preserve"> </v>
      </c>
      <c r="KL121" s="535" t="str">
        <f t="shared" si="416"/>
        <v xml:space="preserve"> </v>
      </c>
      <c r="KM121" s="537" t="str">
        <f t="shared" si="333"/>
        <v xml:space="preserve"> </v>
      </c>
      <c r="KN121" s="537" t="str">
        <f t="shared" si="417"/>
        <v xml:space="preserve"> </v>
      </c>
      <c r="KP121">
        <f t="shared" si="334"/>
        <v>0</v>
      </c>
      <c r="LA121" t="e">
        <f t="shared" si="335"/>
        <v>#VALUE!</v>
      </c>
      <c r="LB121" t="e">
        <f t="shared" si="336"/>
        <v>#VALUE!</v>
      </c>
      <c r="LC121" t="e">
        <f t="shared" si="337"/>
        <v>#VALUE!</v>
      </c>
      <c r="LD121" t="e">
        <f t="shared" si="338"/>
        <v>#VALUE!</v>
      </c>
      <c r="LE121" t="e">
        <f t="shared" si="418"/>
        <v>#VALUE!</v>
      </c>
      <c r="LF121">
        <f t="shared" si="339"/>
        <v>0</v>
      </c>
      <c r="LG121" t="e">
        <f t="shared" si="419"/>
        <v>#VALUE!</v>
      </c>
      <c r="LH121" t="str">
        <f t="shared" si="340"/>
        <v xml:space="preserve"> </v>
      </c>
      <c r="LI121">
        <f t="shared" si="420"/>
        <v>1</v>
      </c>
    </row>
    <row r="122" spans="2:321" ht="15" customHeight="1">
      <c r="B122" s="311"/>
      <c r="C122" s="311"/>
      <c r="D122" s="312"/>
      <c r="E122" s="311"/>
      <c r="F122" s="312"/>
      <c r="G122" s="311"/>
      <c r="H122" s="311"/>
      <c r="I122" s="37"/>
      <c r="J122" s="311"/>
      <c r="K122" s="305" t="str">
        <f t="shared" si="341"/>
        <v/>
      </c>
      <c r="L122" s="313"/>
      <c r="M122" s="312"/>
      <c r="N122" s="311"/>
      <c r="O122" s="312"/>
      <c r="P122" s="311"/>
      <c r="Q122" s="305" t="str">
        <f t="shared" si="342"/>
        <v/>
      </c>
      <c r="R122" s="314"/>
      <c r="S122" s="450" t="str">
        <f t="shared" si="225"/>
        <v/>
      </c>
      <c r="T122" s="315"/>
      <c r="U122" s="315"/>
      <c r="W122" s="149" t="str">
        <f t="shared" si="226"/>
        <v xml:space="preserve"> </v>
      </c>
      <c r="X122" s="243" t="str">
        <f t="shared" si="227"/>
        <v xml:space="preserve"> </v>
      </c>
      <c r="Y122" s="150" t="str">
        <f t="shared" si="228"/>
        <v/>
      </c>
      <c r="Z122" s="149" t="str">
        <f t="shared" si="229"/>
        <v xml:space="preserve"> </v>
      </c>
      <c r="AA122" s="98" t="str">
        <f t="shared" si="230"/>
        <v xml:space="preserve"> </v>
      </c>
      <c r="AB122" s="153" t="str">
        <f t="shared" si="231"/>
        <v xml:space="preserve"> </v>
      </c>
      <c r="AC122" s="153" t="str">
        <f t="shared" si="232"/>
        <v xml:space="preserve"> </v>
      </c>
      <c r="AD122" s="148" t="str">
        <f t="shared" si="233"/>
        <v/>
      </c>
      <c r="AE122" s="149" t="str">
        <f t="shared" si="234"/>
        <v/>
      </c>
      <c r="AF122" s="151" t="str">
        <f t="shared" si="235"/>
        <v xml:space="preserve"> </v>
      </c>
      <c r="AG122" s="153" t="str">
        <f t="shared" si="236"/>
        <v xml:space="preserve"> </v>
      </c>
      <c r="AH122" s="98" t="str">
        <f t="shared" si="237"/>
        <v xml:space="preserve"> </v>
      </c>
      <c r="AI122" s="149" t="str">
        <f t="shared" si="238"/>
        <v xml:space="preserve"> </v>
      </c>
      <c r="AK122" s="144" t="str">
        <f t="shared" si="239"/>
        <v xml:space="preserve"> </v>
      </c>
      <c r="AL122" s="144"/>
      <c r="AM122" s="243" t="str">
        <f t="shared" si="240"/>
        <v xml:space="preserve"> </v>
      </c>
      <c r="AN122" s="149" t="str">
        <f t="shared" si="343"/>
        <v xml:space="preserve"> </v>
      </c>
      <c r="AO122" s="144" t="str">
        <f>IF(JB122&gt;0,IF(GI122=10,-R122*1.085*(Calculation!$F$6-Calculation!$F$13)*$S$14," "),"")</f>
        <v/>
      </c>
      <c r="AP122" s="144" t="str">
        <f t="shared" si="241"/>
        <v/>
      </c>
      <c r="AQ122" s="56" t="str">
        <f t="shared" si="242"/>
        <v/>
      </c>
      <c r="AR122" s="144" t="str">
        <f t="shared" si="243"/>
        <v/>
      </c>
      <c r="AS122" s="176" t="str">
        <f t="shared" si="244"/>
        <v/>
      </c>
      <c r="AT122" s="176" t="str">
        <f t="shared" si="344"/>
        <v xml:space="preserve"> </v>
      </c>
      <c r="AU122" s="176" t="str">
        <f t="shared" si="245"/>
        <v/>
      </c>
      <c r="AV122" s="177" t="str">
        <f t="shared" si="246"/>
        <v xml:space="preserve"> </v>
      </c>
      <c r="AW122" s="144" t="str">
        <f t="shared" si="247"/>
        <v xml:space="preserve"> </v>
      </c>
      <c r="AX122" s="144" t="str">
        <f t="shared" si="248"/>
        <v xml:space="preserve"> </v>
      </c>
      <c r="AY122" s="152" t="str">
        <f t="shared" si="249"/>
        <v xml:space="preserve"> </v>
      </c>
      <c r="AZ122" s="246" t="str">
        <f t="shared" si="250"/>
        <v/>
      </c>
      <c r="BA122" s="176" t="str">
        <f t="shared" si="251"/>
        <v xml:space="preserve"> </v>
      </c>
      <c r="BB122" s="176" t="str">
        <f t="shared" si="252"/>
        <v xml:space="preserve"> </v>
      </c>
      <c r="BC122" s="195"/>
      <c r="BD122" s="316"/>
      <c r="BE122" s="317"/>
      <c r="BF122" s="318"/>
      <c r="BG122" s="318"/>
      <c r="BH122" s="144" t="str">
        <f t="shared" si="421"/>
        <v xml:space="preserve"> </v>
      </c>
      <c r="BI122" s="176" t="str">
        <f t="shared" si="253"/>
        <v/>
      </c>
      <c r="BJ122" s="144" t="str">
        <f t="shared" si="422"/>
        <v/>
      </c>
      <c r="BK122" s="246" t="str">
        <f t="shared" si="254"/>
        <v/>
      </c>
      <c r="BL122" s="144" t="str">
        <f t="shared" si="423"/>
        <v/>
      </c>
      <c r="BM122" s="246" t="str">
        <f t="shared" si="255"/>
        <v/>
      </c>
      <c r="BN122" s="337" t="str">
        <f t="shared" si="345"/>
        <v/>
      </c>
      <c r="BO122" s="371" t="str">
        <f t="shared" si="346"/>
        <v/>
      </c>
      <c r="BP122" s="328" t="str">
        <f t="shared" si="424"/>
        <v xml:space="preserve"> </v>
      </c>
      <c r="BQ122" s="347" t="str">
        <f t="shared" si="347"/>
        <v xml:space="preserve"> </v>
      </c>
      <c r="BR122" s="353" t="str">
        <f t="shared" si="348"/>
        <v xml:space="preserve"> </v>
      </c>
      <c r="BS122" s="626" t="str">
        <f>IF(L122&gt;0,IF(Calculation!P122="M13",BR122*3.1416*(0.134^2)/(4*144),IF(Calculation!P122="M17",BR122*3.1416*(0.165^2)/(4*144),IF(Calculation!P122="M20",BR122*3.1416*(0.198^2)/(4*144),IF(Calculation!P122="M23",BR122*3.1416*(0.228^2)/(4*144),IF(Calculation!P122="M27",BR122*3.1416*(0.269^2)/(4*144),BR122*3.1416*(0.307^2)/(4*144))))))," ")</f>
        <v xml:space="preserve"> </v>
      </c>
      <c r="BT122" s="353" t="str">
        <f>IF(L122&gt;0,IF(BS122&gt;0,R122/Calculation!BS122,0)," ")</f>
        <v xml:space="preserve"> </v>
      </c>
      <c r="BU122" s="438" t="e">
        <f t="shared" ca="1" si="256"/>
        <v>#VALUE!</v>
      </c>
      <c r="BV122" s="449" t="e">
        <f ca="1">INDEX(INDIRECT(VLOOKUP(LEFT(BO122,7),CLU!$Z$3:$AH$18,2)),GN122,GR122)</f>
        <v>#N/A</v>
      </c>
      <c r="BW122" s="433" t="e">
        <f ca="1">INDEX(INDIRECT(VLOOKUP(LEFT(BO122,7),CLU!$Z$3:$AH$18,3)),GN122,GR122)</f>
        <v>#N/A</v>
      </c>
      <c r="BX122" s="433" t="e">
        <f ca="1">INDEX(INDIRECT(VLOOKUP(LEFT(BO122,7),CLU!$Z$3:$AH$18,4)),GN122,GR122)</f>
        <v>#N/A</v>
      </c>
      <c r="BY122" s="433" t="e">
        <f ca="1">INDEX(INDIRECT(VLOOKUP(LEFT(BO122,7),CLU!$Z$3:$AH$18,9)),((M122-2)*(6-COUNTBLANK(GT122:GY122)))+GJ122)</f>
        <v>#N/A</v>
      </c>
      <c r="BZ122" s="426" t="e">
        <f t="shared" ca="1" si="349"/>
        <v>#N/A</v>
      </c>
      <c r="CA122" s="424" t="e">
        <f t="shared" ca="1" si="350"/>
        <v>#N/A</v>
      </c>
      <c r="CB122" s="429" t="e">
        <f ca="1">INDEX(INDIRECT(VLOOKUP(LEFT(BO122,7),CLU!$Z$3:$AH$18,2)),GN122,GS122)</f>
        <v>#N/A</v>
      </c>
      <c r="CC122" s="342" t="e">
        <f ca="1">INDEX(INDIRECT(VLOOKUP(LEFT(BO122,7),CLU!$Z$3:$AH$18,3)),GN122,GS122)</f>
        <v>#N/A</v>
      </c>
      <c r="CD122" s="342" t="e">
        <f ca="1">INDEX(INDIRECT(VLOOKUP(LEFT(BO122,7),CLU!$Z$3:$AH$18,4)),GN122,GS122)</f>
        <v>#N/A</v>
      </c>
      <c r="CE122" s="426" t="e">
        <f t="shared" ca="1" si="351"/>
        <v>#N/A</v>
      </c>
      <c r="CF122" s="440">
        <f t="shared" si="352"/>
        <v>0</v>
      </c>
      <c r="CG122" s="431" t="e">
        <f ca="1">INDEX(INDIRECT(VLOOKUP(LEFT(BO122,7),CLU!$Z$3:$AH$18,2)),GQ122,GR122)</f>
        <v>#N/A</v>
      </c>
      <c r="CH122" s="431" t="e">
        <f ca="1">INDEX(INDIRECT(VLOOKUP(LEFT(BO122,7),CLU!$Z$3:$AH$18,3)),GQ122,GR122)</f>
        <v>#N/A</v>
      </c>
      <c r="CI122" s="431" t="e">
        <f ca="1">INDEX(INDIRECT(VLOOKUP(LEFT(BO122,7),CLU!$Z$3:$AH$18,4)),GQ122,GR122)</f>
        <v>#N/A</v>
      </c>
      <c r="CJ122" s="448" t="e">
        <f t="shared" ca="1" si="353"/>
        <v>#N/A</v>
      </c>
      <c r="CK122" s="431" t="e">
        <f t="shared" ca="1" si="354"/>
        <v>#N/A</v>
      </c>
      <c r="CL122" s="440" t="e">
        <f t="shared" ca="1" si="355"/>
        <v>#N/A</v>
      </c>
      <c r="CM122" s="431" t="e">
        <f ca="1">INDEX(INDIRECT(VLOOKUP(LEFT(BO122,7),CLU!$Z$3:$AH$18,2)),GQ122,GS122)</f>
        <v>#N/A</v>
      </c>
      <c r="CN122" s="431" t="e">
        <f ca="1">INDEX(INDIRECT(VLOOKUP(LEFT(BO122,7),CLU!$Z$3:$AH$18,3)),GQ122,GS122)</f>
        <v>#N/A</v>
      </c>
      <c r="CO122" s="431" t="e">
        <f ca="1">INDEX(INDIRECT(VLOOKUP(LEFT(BO122,7),CLU!$Z$3:$AH$18,4)),GQ122,GS122)</f>
        <v>#N/A</v>
      </c>
      <c r="CP122" s="431" t="e">
        <f t="shared" ca="1" si="356"/>
        <v>#N/A</v>
      </c>
      <c r="CQ122" s="440">
        <f t="shared" si="357"/>
        <v>0</v>
      </c>
      <c r="CR122" s="51" t="e">
        <f t="shared" ca="1" si="358"/>
        <v>#N/A</v>
      </c>
      <c r="CS122" s="439" t="e">
        <f t="shared" ca="1" si="359"/>
        <v>#VALUE!</v>
      </c>
      <c r="CT122" s="51" t="e">
        <f t="shared" ca="1" si="360"/>
        <v>#VALUE!</v>
      </c>
      <c r="CU122" s="10"/>
      <c r="CV122" s="51" t="e">
        <f t="shared" ca="1" si="257"/>
        <v>#VALUE!</v>
      </c>
      <c r="CW122" s="51">
        <f t="shared" si="361"/>
        <v>0</v>
      </c>
      <c r="CX122" s="439" t="e">
        <f t="shared" ca="1" si="362"/>
        <v>#VALUE!</v>
      </c>
      <c r="CY122" s="51" t="e">
        <f t="shared" ca="1" si="363"/>
        <v>#VALUE!</v>
      </c>
      <c r="CZ122" s="10"/>
      <c r="DA122" s="51" t="e">
        <f t="shared" ca="1" si="364"/>
        <v>#VALUE!</v>
      </c>
      <c r="DB122" s="347" t="e">
        <f ca="1">INDEX(INDIRECT(VLOOKUP(LEFT(BO122,7),CLU!$Z$3:$AI$18,10)),((M122-2)*(6-COUNTBLANK(GT122:GY122)))+GJ122)*LI122</f>
        <v>#N/A</v>
      </c>
      <c r="DC122" s="347" t="str">
        <f>IF(L122&gt;0,((R122/Worksheet!$I$15)/DB122)^2," ")</f>
        <v xml:space="preserve"> </v>
      </c>
      <c r="DD122" s="602" t="str">
        <f t="shared" si="365"/>
        <v xml:space="preserve"> </v>
      </c>
      <c r="DE122" s="347" t="str">
        <f t="shared" si="258"/>
        <v xml:space="preserve"> </v>
      </c>
      <c r="DF122" s="356" t="e">
        <f ca="1">INDEX(INDIRECT(VLOOKUP(LEFT(BO122,7),CLU!$Z$3:$AH$18,8)),((M122-2)*(6-COUNTBLANK(GT122:GY122)))+GJ122)</f>
        <v>#N/A</v>
      </c>
      <c r="DG122" s="347" t="str">
        <f t="shared" si="259"/>
        <v xml:space="preserve"> </v>
      </c>
      <c r="DH122" s="357" t="str">
        <f t="shared" si="260"/>
        <v xml:space="preserve"> </v>
      </c>
      <c r="DI122" s="355" t="str">
        <f t="shared" si="261"/>
        <v xml:space="preserve"> </v>
      </c>
      <c r="DJ122" s="245" t="e">
        <f ca="1">INDEX(INDIRECT(VLOOKUP(LEFT(BO122,7),CLU!$Z$3:$AH$18,5)),GL122,GK122)</f>
        <v>#N/A</v>
      </c>
      <c r="DK122" s="245" t="e">
        <f ca="1">INDEX(INDIRECT(VLOOKUP(LEFT(BO122,7),CLU!$Z$3:$AH$18,6)),GL122,GK122)</f>
        <v>#N/A</v>
      </c>
      <c r="DL122" s="355">
        <f>(Calculation!R122*0.69143*(Calculation!$BQ$8-Calculation!$F$8))*$S$14</f>
        <v>0</v>
      </c>
      <c r="DM122" s="359" t="e">
        <f t="shared" si="366"/>
        <v>#VALUE!</v>
      </c>
      <c r="DN122" s="611">
        <f t="shared" si="367"/>
        <v>0</v>
      </c>
      <c r="DO122" s="359">
        <f t="shared" si="368"/>
        <v>100</v>
      </c>
      <c r="DP122" s="359">
        <f t="shared" si="369"/>
        <v>0</v>
      </c>
      <c r="DQ122" s="360"/>
      <c r="DR122" s="245" t="e">
        <f ca="1">INDEX(INDIRECT(VLOOKUP(LEFT(BO122,7),CLU!$Z$3:$AH$18,7)),M122-1,1)</f>
        <v>#N/A</v>
      </c>
      <c r="DS122" s="245" t="e">
        <f ca="1">INDEX(INDIRECT(VLOOKUP(LEFT(BO122,7),CLU!$Z$3:$AH$18,7)),M122-1,2)</f>
        <v>#N/A</v>
      </c>
      <c r="DT122" s="245" t="e">
        <f ca="1">INDEX(INDIRECT(VLOOKUP(LEFT(BO122,7),CLU!$Z$3:$AH$18,7)),M122-1,3)</f>
        <v>#N/A</v>
      </c>
      <c r="DU122" s="245" t="e">
        <f ca="1">INDEX(INDIRECT(VLOOKUP(LEFT(BO122,7),CLU!$Z$3:$AH$18,7)),M122-1,4)</f>
        <v>#N/A</v>
      </c>
      <c r="DV122" s="361" t="e">
        <f ca="1">INDEX(INDIRECT(VLOOKUP(LEFT(BO122,7),CLU!$Z$3:$AH$18,7)),M122-1,4+LEFT(DZ122,1)*0.5)</f>
        <v>#N/A</v>
      </c>
      <c r="DW122" s="245" t="e">
        <f ca="1">INDEX(INDIRECT(VLOOKUP(LEFT(BO122,7),CLU!$Z$3:$AH$18,7)),M122-1,8)</f>
        <v>#N/A</v>
      </c>
      <c r="DX122" s="361" t="str">
        <f t="shared" si="262"/>
        <v xml:space="preserve"> </v>
      </c>
      <c r="DY122" s="361" t="str">
        <f t="shared" si="263"/>
        <v xml:space="preserve"> </v>
      </c>
      <c r="DZ122" s="361" t="str">
        <f t="shared" si="264"/>
        <v xml:space="preserve"> </v>
      </c>
      <c r="EA122" s="362" t="str">
        <f t="shared" si="265"/>
        <v xml:space="preserve"> </v>
      </c>
      <c r="EB122" s="624" t="str">
        <f t="shared" si="370"/>
        <v xml:space="preserve"> </v>
      </c>
      <c r="EC122" s="361" t="e">
        <f ca="1">INDEX(INDIRECT(VLOOKUP(LEFT(BO122,7),CLU!$Z$3:$AH$18,7)),M122-1,4+LEFT(DZ122,1)*0.5)</f>
        <v>#N/A</v>
      </c>
      <c r="ED122" s="362" t="str">
        <f t="shared" si="266"/>
        <v xml:space="preserve"> </v>
      </c>
      <c r="EE122" s="361" t="str">
        <f t="shared" si="267"/>
        <v xml:space="preserve"> </v>
      </c>
      <c r="EF122" s="362" t="str">
        <f>IF(L122&gt;0,IF(BR122&gt;0,IF(EE122="2P",IF(Calculation!DZ122="2P",IF(Calculation!DS122=13.75,IF(Calculation!DR122=13,Worksheet!$BD$43,IF(Calculation!DR122=37,Worksheet!$BD$44,Worksheet!$BD$45)),IF(Calculation!DS122=10,IF(Calculation!DR122=18,Worksheet!$BD$29,IF(Calculation!DR122=30,Worksheet!$BD$30,IF(Calculation!DR122=42,Worksheet!$BD$31,IF(Calculation!DR122=54,Worksheet!$BD$32,IF(Calculation!DR122=66,Worksheet!$BD$33,IF(Calculation!DR122=78,Worksheet!$BD$34,IF(Calculation!DR122=90,Worksheet!$BD$35,IF(Calculation!DR122=102,Worksheet!$BD$36,Worksheet!$BD$37)))))))),IF(Calculation!DS122=12.5,IF(Calculation!DR122=18,Worksheet!$BD$38,IF(Calculation!DR122=Worksheet!$BD$39,IF(Calculation!DR122=42,Worksheet!$BD$40,IF(Calculation!DR122=54,Worksheet!$BD$41,Worksheet!$BD$42)))),IF(Calculation!DR122=18,Worksheet!$BD$11,IF(Calculation!DR122=30,Worksheet!$BD$12,IF(Calculation!DR122=42,Worksheet!$BD$13,IF(Calculation!DR122=54,Worksheet!$BD$14,IF(Calculation!DR122=66,Worksheet!$BD$15,IF(Calculation!DR122=78,Worksheet!$BD$16,IF(Calculation!DR122=90,Worksheet!$BD$17,IF(Calculation!DR122=102,Worksheet!$BD$18,Worksheet!$BD$19))))))))))),IF(Calculation!DS122=13.75,IF(Calculation!DR122=13,Worksheet!$BD$78,IF(Calculation!DR122=37,Worksheet!$BD$79,Worksheet!$BD$80)),IF(Calculation!DS122=10,IF(Calculation!DR122=18,Worksheet!$BD$64,IF(Calculation!DR122=30,Worksheet!$BD$65,IF(Calculation!DR122=42,Worksheet!$BD$66,IF(Calculation!DR122=54,Worksheet!$BD$68,IF(Calculation!DR122=66,Worksheet!$BD$68,IF(Calculation!DR122=78,Worksheet!$BD$69,IF(Calculation!DR122=90,Worksheet!$BD$70,IF(Calculation!DR122=102,Worksheet!$BD$71,Worksheet!$BD$72)))))))),IF(Calculation!DS122=12.5,IF(Calculation!DR122=18,Worksheet!$BD$73,IF(Calculation!DR122=Worksheet!$BD$74,IF(Calculation!DR122=42,Worksheet!$BD$75,IF(Calculation!DR122=54,Worksheet!$BD$76,Worksheet!$BD$77)))),IF(Calculation!DR122=18,Worksheet!$BD$55,IF(Calculation!DR122=30,Worksheet!$BD$56,IF(Calculation!DR122=42,Worksheet!$BD$57,IF(Calculation!DR122=54,Worksheet!$BD$58,IF(Calculation!DR122=66,Worksheet!$BD$59,IF(Calculation!DR122=78,Worksheet!$BD$60,IF(Calculation!DR122=90,Worksheet!$BD$61,IF(Calculation!DR122=102,Worksheet!$BD$62,Worksheet!$BD$63)))))))))))),5),0)," ")</f>
        <v xml:space="preserve"> </v>
      </c>
      <c r="EG122" s="361" t="str">
        <f t="shared" si="268"/>
        <v xml:space="preserve"> </v>
      </c>
      <c r="EH122" s="361" t="e">
        <f ca="1">INDEX(INDIRECT(VLOOKUP(LEFT(BO122,7),CLU!$Z$3:$AH$18,7)),M122-1,3+LEFT(DZ122,1))</f>
        <v>#N/A</v>
      </c>
      <c r="EI122" s="362" t="str">
        <f t="shared" si="269"/>
        <v xml:space="preserve"> </v>
      </c>
      <c r="EJ122" s="363" t="str">
        <f t="shared" si="270"/>
        <v xml:space="preserve"> </v>
      </c>
      <c r="EK122" s="363" t="str">
        <f t="shared" si="271"/>
        <v xml:space="preserve"> </v>
      </c>
      <c r="EL122" s="363" t="str">
        <f t="shared" si="272"/>
        <v xml:space="preserve"> </v>
      </c>
      <c r="EM122" s="362" t="str">
        <f>IF(L122&gt;0,IF(BR122&gt;0,(Calculation!T122/ED122)^2,0)," ")</f>
        <v xml:space="preserve"> </v>
      </c>
      <c r="EN122" s="362" t="str">
        <f>IF(L122&gt;0,IF(O122="2 Pipe (Cooling)","N/A",IF(BR122&gt;0,(Calculation!U122/EI122)^2,0))," ")</f>
        <v xml:space="preserve"> </v>
      </c>
      <c r="EO122" s="361" t="str">
        <f t="shared" si="273"/>
        <v/>
      </c>
      <c r="EP122" s="361" t="str">
        <f t="shared" si="274"/>
        <v/>
      </c>
      <c r="EQ122" s="361" t="str">
        <f t="shared" si="275"/>
        <v/>
      </c>
      <c r="ER122" s="361" t="str">
        <f t="shared" si="276"/>
        <v/>
      </c>
      <c r="ES122" s="361" t="str">
        <f t="shared" si="277"/>
        <v/>
      </c>
      <c r="ET122" s="361" t="str">
        <f t="shared" si="278"/>
        <v/>
      </c>
      <c r="EU122" s="361" t="str">
        <f t="shared" si="279"/>
        <v/>
      </c>
      <c r="EV122" s="361" t="str">
        <f t="shared" si="280"/>
        <v/>
      </c>
      <c r="EW122" s="361" t="str">
        <f t="shared" si="281"/>
        <v/>
      </c>
      <c r="EX122" s="361" t="str">
        <f t="shared" si="371"/>
        <v>1 slot, 1 way</v>
      </c>
      <c r="EY122" s="361" t="str">
        <f t="shared" si="372"/>
        <v xml:space="preserve"> </v>
      </c>
      <c r="EZ122" s="361" t="str">
        <f t="shared" si="373"/>
        <v xml:space="preserve"> </v>
      </c>
      <c r="FA122" s="361" t="str">
        <f t="shared" si="374"/>
        <v xml:space="preserve"> </v>
      </c>
      <c r="FB122" s="361" t="str">
        <f t="shared" si="375"/>
        <v xml:space="preserve"> </v>
      </c>
      <c r="FC122" s="361"/>
      <c r="FD122" s="361" t="str">
        <f>IF(J122&gt;0,IF(Calculation!R122&lt;=70,4,IF(Calculation!R122&lt;=110,5,IF(Calculation!R122&lt;=160,6,IF(Calculation!R122&lt;=300,8,"10 EO")))),"")</f>
        <v/>
      </c>
      <c r="FE122" s="361" t="str">
        <f t="shared" si="376"/>
        <v/>
      </c>
      <c r="FF122" s="361" t="str">
        <f t="shared" si="377"/>
        <v/>
      </c>
      <c r="FG122" s="361" t="e">
        <f t="shared" si="282"/>
        <v>#N/A</v>
      </c>
      <c r="FH122" s="361">
        <f t="shared" si="283"/>
        <v>0</v>
      </c>
      <c r="FI122" s="361" t="e">
        <f t="shared" si="284"/>
        <v>#DIV/0!</v>
      </c>
      <c r="FJ122" s="361"/>
      <c r="FK122" s="356" t="e">
        <f t="shared" si="285"/>
        <v>#VALUE!</v>
      </c>
      <c r="FL122" s="361"/>
      <c r="FM122" s="361"/>
      <c r="FN122" s="362" t="str">
        <f t="shared" si="378"/>
        <v xml:space="preserve"> </v>
      </c>
      <c r="FO122" s="362" t="str">
        <f t="shared" si="379"/>
        <v xml:space="preserve"> </v>
      </c>
      <c r="FP122" s="362">
        <f t="shared" si="380"/>
        <v>0</v>
      </c>
      <c r="FQ122" s="361">
        <f t="shared" si="286"/>
        <v>0</v>
      </c>
      <c r="FR122" s="362" t="str">
        <f>IF(L122&gt;0,IF(J122="CBAL2",Worksheet!$P$67,IF(J122="CBE2-24",Worksheet!$Q$67,IF(J122="CBAM",Worksheet!$R$67,IF(J122="CBLV",Worksheet!$S$67,IF(J122="CBAB",Worksheet!$U$67,IF(J122="CBAW",Worksheet!$X$67,IF(J122="CBE2-12",Worksheet!$Y$67,IF(J122="CBAL2",Worksheet!$Z$67,"N/A"))))))))," ")</f>
        <v xml:space="preserve"> </v>
      </c>
      <c r="FS122" s="362" t="str">
        <f>IF(L122&gt;0,IF(J122="CBAL2",Worksheet!$P$68,IF(J122="CBE2-24",Worksheet!$Q$68,IF(J122="CBAM",Worksheet!$R$68,IF(J122="CBLV",Worksheet!$S$68,IF(J122="CBAB",Worksheet!$U$68,IF(J122="CBAW",Worksheet!$X$68,IF(J122="CBE2-12",Worksheet!$Y$68,IF(J122="CBAL2",Worksheet!$Z$68,"N/A"))))))))," ")</f>
        <v xml:space="preserve"> </v>
      </c>
      <c r="FT122" s="362" t="str">
        <f>IF(L122&gt;0,IF(J122="CBAL2",Worksheet!$P$69,IF(J122="CBE2-24",Worksheet!$Q$69,IF(J122="CBAM",Worksheet!$R$69,IF(J122="CBLV",Worksheet!$S$69,IF(J122="CBAB",Worksheet!$U$69,IF(J122="CBAW",Worksheet!$X$69,IF(J122="CBE2-12",Worksheet!$Y$69,IF(J122="CBAL2",Worksheet!$Z$69,"N/A"))))))))," ")</f>
        <v xml:space="preserve"> </v>
      </c>
      <c r="FU122" s="361" t="str">
        <f t="shared" si="381"/>
        <v xml:space="preserve"> </v>
      </c>
      <c r="FV122" s="362" t="str">
        <f t="shared" si="382"/>
        <v xml:space="preserve"> </v>
      </c>
      <c r="FW122" s="362" t="str">
        <f t="shared" si="383"/>
        <v xml:space="preserve"> </v>
      </c>
      <c r="FX122" s="362" t="str">
        <f t="shared" si="384"/>
        <v xml:space="preserve"> </v>
      </c>
      <c r="FY122" s="355" t="str">
        <f t="shared" si="385"/>
        <v xml:space="preserve"> </v>
      </c>
      <c r="FZ122" s="361" t="str">
        <f t="shared" si="386"/>
        <v xml:space="preserve"> </v>
      </c>
      <c r="GA122" s="347" t="str">
        <f t="shared" si="387"/>
        <v xml:space="preserve"> </v>
      </c>
      <c r="GB122" s="355" t="str">
        <f t="shared" si="388"/>
        <v xml:space="preserve"> </v>
      </c>
      <c r="GC122" s="328" t="str">
        <f t="shared" si="389"/>
        <v xml:space="preserve"> </v>
      </c>
      <c r="GD122" s="361" t="str">
        <f t="shared" si="390"/>
        <v xml:space="preserve"> </v>
      </c>
      <c r="GE122" s="347" t="str">
        <f t="shared" si="391"/>
        <v xml:space="preserve"> </v>
      </c>
      <c r="GF122" s="361" t="str">
        <f t="shared" si="392"/>
        <v xml:space="preserve"> </v>
      </c>
      <c r="GG122" s="347" t="str">
        <f t="shared" si="393"/>
        <v xml:space="preserve"> </v>
      </c>
      <c r="GH122" s="364">
        <f t="shared" si="287"/>
        <v>0</v>
      </c>
      <c r="GI122" s="362">
        <f t="shared" si="394"/>
        <v>2</v>
      </c>
      <c r="GJ122" s="433" t="e">
        <f>IF(6-COUNTBLANK(GT122:GY122)=4,MATCH(MID(BO122,9,3),CLU!$H$16:$K$16),MATCH(MID(BO122,9,3),CLU!$H$13:$M$13))</f>
        <v>#N/A</v>
      </c>
      <c r="GK122" s="433" t="e">
        <f>HLOOKUP(VALUE(BP122),CLU!$H$9:$M$10,2)</f>
        <v>#VALUE!</v>
      </c>
      <c r="GL122" s="433" t="e">
        <f ca="1">MATCH(BU122,CLU!$H$2:$V$2,1)</f>
        <v>#VALUE!</v>
      </c>
      <c r="GM122" s="433" t="e">
        <f t="shared" ca="1" si="395"/>
        <v>#VALUE!</v>
      </c>
      <c r="GN122" s="433" t="e">
        <f t="shared" ca="1" si="396"/>
        <v>#VALUE!</v>
      </c>
      <c r="GO122" s="433" t="e">
        <f t="shared" ca="1" si="397"/>
        <v>#VALUE!</v>
      </c>
      <c r="GP122" s="433" t="e">
        <f t="shared" ca="1" si="398"/>
        <v>#VALUE!</v>
      </c>
      <c r="GQ122" s="433" t="e">
        <f t="shared" ca="1" si="399"/>
        <v>#VALUE!</v>
      </c>
      <c r="GR122" s="433" t="e">
        <f ca="1">MATCH(T122,INDIRECT(VLOOKUP(CONCATENATE(LEFT(BO122,7),"-",MID(BO122,13,1)),CLU!$P$3:$Q$16,2)),1)</f>
        <v>#N/A</v>
      </c>
      <c r="GS122" s="433" t="e">
        <f ca="1">MATCH(U122,INDIRECT(VLOOKUP(CONCATENATE(LEFT(BO122,7),"-",MID(BO122,13,1)),CLU!$P$3:$Q$16,2)),1)</f>
        <v>#N/A</v>
      </c>
      <c r="GT122" s="347" t="s">
        <v>512</v>
      </c>
      <c r="GU122" s="97" t="s">
        <v>513</v>
      </c>
      <c r="GV122" s="97" t="str">
        <f t="shared" si="400"/>
        <v>M23</v>
      </c>
      <c r="GW122" s="97" t="str">
        <f t="shared" si="401"/>
        <v>M31</v>
      </c>
      <c r="GX122" s="97" t="str">
        <f t="shared" si="402"/>
        <v/>
      </c>
      <c r="GY122" s="97" t="str">
        <f t="shared" si="403"/>
        <v/>
      </c>
      <c r="GZ122" s="481"/>
      <c r="HA122" s="288"/>
      <c r="HB122" s="240"/>
      <c r="HC122" s="240"/>
      <c r="HD122" s="240"/>
      <c r="HE122" s="240"/>
      <c r="HF122" s="240"/>
      <c r="HG122" s="240"/>
      <c r="HH122" s="240"/>
      <c r="HI122" s="240"/>
      <c r="HJ122" s="240"/>
      <c r="HK122" s="240"/>
      <c r="HL122" s="240"/>
      <c r="HM122" s="240"/>
      <c r="HN122" s="240"/>
      <c r="HO122" s="240"/>
      <c r="HP122" s="240"/>
      <c r="HQ122" s="240"/>
      <c r="HR122" s="240"/>
      <c r="HS122" s="240"/>
      <c r="HT122" s="240"/>
      <c r="HU122" s="240"/>
      <c r="HV122" s="245"/>
      <c r="HW122" s="245" t="b">
        <v>1</v>
      </c>
      <c r="HX122" s="245" t="str">
        <f t="shared" si="288"/>
        <v/>
      </c>
      <c r="HY122" s="245" t="e">
        <f t="shared" si="289"/>
        <v>#DIV/0!</v>
      </c>
      <c r="HZ122" s="245" t="e">
        <f t="shared" si="290"/>
        <v>#DIV/0!</v>
      </c>
      <c r="IA122" s="245">
        <f t="shared" si="291"/>
        <v>0</v>
      </c>
      <c r="IB122" s="245"/>
      <c r="IC122" t="b">
        <f t="shared" si="292"/>
        <v>1</v>
      </c>
      <c r="ID122" s="245" t="b">
        <f t="shared" si="293"/>
        <v>1</v>
      </c>
      <c r="IE122" s="245" t="b">
        <f t="shared" si="294"/>
        <v>1</v>
      </c>
      <c r="IF122" s="245" t="b">
        <f t="shared" si="295"/>
        <v>0</v>
      </c>
      <c r="IG122" s="245" t="b">
        <f t="shared" si="296"/>
        <v>1</v>
      </c>
      <c r="IH122" s="245" t="b">
        <f t="shared" si="297"/>
        <v>1</v>
      </c>
      <c r="II122" s="245">
        <f t="shared" si="404"/>
        <v>0</v>
      </c>
      <c r="IJ122" s="245" t="e">
        <f t="shared" si="298"/>
        <v>#VALUE!</v>
      </c>
      <c r="IK122" s="245" t="e">
        <f t="shared" si="299"/>
        <v>#VALUE!</v>
      </c>
      <c r="IL122" s="245"/>
      <c r="IM122" s="245" t="e">
        <f t="shared" si="405"/>
        <v>#N/A</v>
      </c>
      <c r="IN122" s="245" t="e">
        <f t="shared" si="406"/>
        <v>#N/A</v>
      </c>
      <c r="IO122" s="245"/>
      <c r="IP122" s="245"/>
      <c r="IQ122" s="245" t="str">
        <f t="shared" si="300"/>
        <v/>
      </c>
      <c r="IR122" s="245" t="str">
        <f>IF(J122="","",VLOOKUP(J122,Worksheet!$R$4:$T$14,2))</f>
        <v/>
      </c>
      <c r="IS122" s="245"/>
      <c r="IT122" s="245">
        <f t="shared" si="301"/>
        <v>0</v>
      </c>
      <c r="IU122" s="245">
        <f t="shared" si="302"/>
        <v>0</v>
      </c>
      <c r="IV122" s="245">
        <f t="shared" si="303"/>
        <v>0</v>
      </c>
      <c r="IW122" s="245">
        <f t="shared" si="304"/>
        <v>0</v>
      </c>
      <c r="IX122" s="245">
        <f t="shared" si="407"/>
        <v>0</v>
      </c>
      <c r="IY122" s="245">
        <f t="shared" si="305"/>
        <v>0</v>
      </c>
      <c r="IZ122" s="245">
        <f t="shared" si="306"/>
        <v>0</v>
      </c>
      <c r="JA122">
        <f t="shared" si="307"/>
        <v>0</v>
      </c>
      <c r="JB122">
        <f t="shared" si="408"/>
        <v>0</v>
      </c>
      <c r="JC122">
        <f t="shared" si="308"/>
        <v>0</v>
      </c>
      <c r="JD122">
        <f t="shared" si="309"/>
        <v>0</v>
      </c>
      <c r="JE122">
        <f t="shared" si="310"/>
        <v>0</v>
      </c>
      <c r="JF122">
        <f t="shared" si="311"/>
        <v>0</v>
      </c>
      <c r="JG122">
        <f t="shared" si="312"/>
        <v>0</v>
      </c>
      <c r="JH122">
        <f t="shared" si="313"/>
        <v>0</v>
      </c>
      <c r="JI122">
        <f t="shared" si="314"/>
        <v>0</v>
      </c>
      <c r="JJ122" s="447">
        <f t="shared" si="315"/>
        <v>0</v>
      </c>
      <c r="JK122" s="447">
        <f t="shared" si="316"/>
        <v>0</v>
      </c>
      <c r="JL122">
        <f t="shared" si="317"/>
        <v>0</v>
      </c>
      <c r="JM122" s="245" t="str">
        <f>IFERROR(VLOOKUP(MATCH(BN122,#REF!,0),#REF!,7),"")</f>
        <v/>
      </c>
      <c r="JN122" t="e">
        <f>HLOOKUP(LEFT(BO122,7),Discharge_Area,MATCH(JO122,LookUps!$B$130:$B$149,1)+2)</f>
        <v>#N/A</v>
      </c>
      <c r="JO122" t="str">
        <f t="shared" si="318"/>
        <v>- S</v>
      </c>
      <c r="JP122" t="e">
        <f>HLOOKUP(LEFT(BO122,7),Discharge_Area,MATCH(JO122,LookUps!$B$130:$B$149,1)+2)</f>
        <v>#N/A</v>
      </c>
      <c r="JQ122" t="e">
        <f t="shared" si="319"/>
        <v>#N/A</v>
      </c>
      <c r="JR122" t="e">
        <f t="shared" si="320"/>
        <v>#N/A</v>
      </c>
      <c r="JS122" t="e">
        <f t="shared" si="321"/>
        <v>#N/A</v>
      </c>
      <c r="JT122" s="532" t="str">
        <f t="shared" si="322"/>
        <v xml:space="preserve"> </v>
      </c>
      <c r="JU122" s="532" t="str">
        <f t="shared" si="323"/>
        <v xml:space="preserve"> </v>
      </c>
      <c r="JV122" s="533" t="str">
        <f t="shared" si="324"/>
        <v xml:space="preserve"> </v>
      </c>
      <c r="JW122" s="534">
        <f t="shared" si="325"/>
        <v>0</v>
      </c>
      <c r="JX122" s="535" t="str">
        <f t="shared" si="409"/>
        <v xml:space="preserve"> </v>
      </c>
      <c r="JY122" s="535" t="str">
        <f t="shared" si="410"/>
        <v xml:space="preserve"> </v>
      </c>
      <c r="JZ122" s="535" t="str">
        <f t="shared" si="411"/>
        <v xml:space="preserve"> </v>
      </c>
      <c r="KA122" s="536" t="str">
        <f t="shared" si="326"/>
        <v xml:space="preserve"> </v>
      </c>
      <c r="KB122" s="535" t="e">
        <f t="shared" si="412"/>
        <v>#VALUE!</v>
      </c>
      <c r="KC122" s="535" t="str">
        <f t="shared" si="327"/>
        <v/>
      </c>
      <c r="KD122" s="537" t="str">
        <f t="shared" si="413"/>
        <v xml:space="preserve"> </v>
      </c>
      <c r="KE122" s="537" t="str">
        <f t="shared" si="414"/>
        <v xml:space="preserve"> </v>
      </c>
      <c r="KF122" s="534">
        <f t="shared" si="328"/>
        <v>0</v>
      </c>
      <c r="KG122" s="535" t="str">
        <f t="shared" si="329"/>
        <v xml:space="preserve"> </v>
      </c>
      <c r="KH122" s="535" t="str">
        <f t="shared" si="330"/>
        <v xml:space="preserve"> </v>
      </c>
      <c r="KI122" s="535" t="str">
        <f t="shared" si="331"/>
        <v xml:space="preserve"> </v>
      </c>
      <c r="KJ122" s="536" t="str">
        <f t="shared" si="332"/>
        <v xml:space="preserve"> </v>
      </c>
      <c r="KK122" s="535" t="str">
        <f t="shared" si="415"/>
        <v xml:space="preserve"> </v>
      </c>
      <c r="KL122" s="535" t="str">
        <f t="shared" si="416"/>
        <v xml:space="preserve"> </v>
      </c>
      <c r="KM122" s="537" t="str">
        <f t="shared" si="333"/>
        <v xml:space="preserve"> </v>
      </c>
      <c r="KN122" s="537" t="str">
        <f t="shared" si="417"/>
        <v xml:space="preserve"> </v>
      </c>
      <c r="KP122">
        <f t="shared" si="334"/>
        <v>0</v>
      </c>
      <c r="LA122" t="e">
        <f t="shared" si="335"/>
        <v>#VALUE!</v>
      </c>
      <c r="LB122" t="e">
        <f t="shared" si="336"/>
        <v>#VALUE!</v>
      </c>
      <c r="LC122" t="e">
        <f t="shared" si="337"/>
        <v>#VALUE!</v>
      </c>
      <c r="LD122" t="e">
        <f t="shared" si="338"/>
        <v>#VALUE!</v>
      </c>
      <c r="LE122" t="e">
        <f t="shared" si="418"/>
        <v>#VALUE!</v>
      </c>
      <c r="LF122">
        <f t="shared" si="339"/>
        <v>0</v>
      </c>
      <c r="LG122" t="e">
        <f t="shared" si="419"/>
        <v>#VALUE!</v>
      </c>
      <c r="LH122" t="str">
        <f t="shared" si="340"/>
        <v xml:space="preserve"> </v>
      </c>
      <c r="LI122">
        <f t="shared" si="420"/>
        <v>1</v>
      </c>
    </row>
    <row r="123" spans="2:321" ht="15" customHeight="1">
      <c r="B123" s="311"/>
      <c r="C123" s="311"/>
      <c r="D123" s="312"/>
      <c r="E123" s="311"/>
      <c r="F123" s="312"/>
      <c r="G123" s="311"/>
      <c r="H123" s="311"/>
      <c r="I123" s="37"/>
      <c r="J123" s="311"/>
      <c r="K123" s="305" t="str">
        <f t="shared" si="341"/>
        <v/>
      </c>
      <c r="L123" s="313"/>
      <c r="M123" s="312"/>
      <c r="N123" s="311"/>
      <c r="O123" s="312"/>
      <c r="P123" s="311"/>
      <c r="Q123" s="305" t="str">
        <f t="shared" si="342"/>
        <v/>
      </c>
      <c r="R123" s="314"/>
      <c r="S123" s="450" t="str">
        <f t="shared" si="225"/>
        <v/>
      </c>
      <c r="T123" s="315"/>
      <c r="U123" s="315"/>
      <c r="W123" s="149" t="str">
        <f t="shared" si="226"/>
        <v xml:space="preserve"> </v>
      </c>
      <c r="X123" s="243" t="str">
        <f t="shared" si="227"/>
        <v xml:space="preserve"> </v>
      </c>
      <c r="Y123" s="150" t="str">
        <f t="shared" si="228"/>
        <v/>
      </c>
      <c r="Z123" s="149" t="str">
        <f t="shared" si="229"/>
        <v xml:space="preserve"> </v>
      </c>
      <c r="AA123" s="98" t="str">
        <f t="shared" si="230"/>
        <v xml:space="preserve"> </v>
      </c>
      <c r="AB123" s="153" t="str">
        <f t="shared" si="231"/>
        <v xml:space="preserve"> </v>
      </c>
      <c r="AC123" s="153" t="str">
        <f t="shared" si="232"/>
        <v xml:space="preserve"> </v>
      </c>
      <c r="AD123" s="148" t="str">
        <f t="shared" si="233"/>
        <v/>
      </c>
      <c r="AE123" s="149" t="str">
        <f t="shared" si="234"/>
        <v/>
      </c>
      <c r="AF123" s="151" t="str">
        <f t="shared" si="235"/>
        <v xml:space="preserve"> </v>
      </c>
      <c r="AG123" s="153" t="str">
        <f t="shared" si="236"/>
        <v xml:space="preserve"> </v>
      </c>
      <c r="AH123" s="98" t="str">
        <f t="shared" si="237"/>
        <v xml:space="preserve"> </v>
      </c>
      <c r="AI123" s="149" t="str">
        <f t="shared" si="238"/>
        <v xml:space="preserve"> </v>
      </c>
      <c r="AK123" s="144" t="str">
        <f t="shared" si="239"/>
        <v xml:space="preserve"> </v>
      </c>
      <c r="AL123" s="144"/>
      <c r="AM123" s="243" t="str">
        <f t="shared" si="240"/>
        <v xml:space="preserve"> </v>
      </c>
      <c r="AN123" s="149" t="str">
        <f t="shared" si="343"/>
        <v xml:space="preserve"> </v>
      </c>
      <c r="AO123" s="144" t="str">
        <f>IF(JB123&gt;0,IF(GI123=10,-R123*1.085*(Calculation!$F$6-Calculation!$F$13)*$S$14," "),"")</f>
        <v/>
      </c>
      <c r="AP123" s="144" t="str">
        <f t="shared" si="241"/>
        <v/>
      </c>
      <c r="AQ123" s="56" t="str">
        <f t="shared" si="242"/>
        <v/>
      </c>
      <c r="AR123" s="144" t="str">
        <f t="shared" si="243"/>
        <v/>
      </c>
      <c r="AS123" s="176" t="str">
        <f t="shared" si="244"/>
        <v/>
      </c>
      <c r="AT123" s="176" t="str">
        <f t="shared" si="344"/>
        <v xml:space="preserve"> </v>
      </c>
      <c r="AU123" s="176" t="str">
        <f t="shared" si="245"/>
        <v/>
      </c>
      <c r="AV123" s="177" t="str">
        <f t="shared" si="246"/>
        <v xml:space="preserve"> </v>
      </c>
      <c r="AW123" s="144" t="str">
        <f t="shared" si="247"/>
        <v xml:space="preserve"> </v>
      </c>
      <c r="AX123" s="144" t="str">
        <f t="shared" si="248"/>
        <v xml:space="preserve"> </v>
      </c>
      <c r="AY123" s="152" t="str">
        <f t="shared" si="249"/>
        <v xml:space="preserve"> </v>
      </c>
      <c r="AZ123" s="246" t="str">
        <f t="shared" si="250"/>
        <v/>
      </c>
      <c r="BA123" s="176" t="str">
        <f t="shared" si="251"/>
        <v xml:space="preserve"> </v>
      </c>
      <c r="BB123" s="176" t="str">
        <f t="shared" si="252"/>
        <v xml:space="preserve"> </v>
      </c>
      <c r="BC123" s="195"/>
      <c r="BD123" s="316"/>
      <c r="BE123" s="317"/>
      <c r="BF123" s="318"/>
      <c r="BG123" s="318"/>
      <c r="BH123" s="144" t="str">
        <f t="shared" si="421"/>
        <v xml:space="preserve"> </v>
      </c>
      <c r="BI123" s="176" t="str">
        <f t="shared" si="253"/>
        <v/>
      </c>
      <c r="BJ123" s="144" t="str">
        <f t="shared" si="422"/>
        <v/>
      </c>
      <c r="BK123" s="246" t="str">
        <f t="shared" si="254"/>
        <v/>
      </c>
      <c r="BL123" s="144" t="str">
        <f t="shared" si="423"/>
        <v/>
      </c>
      <c r="BM123" s="246" t="str">
        <f t="shared" si="255"/>
        <v/>
      </c>
      <c r="BN123" s="337" t="str">
        <f t="shared" si="345"/>
        <v/>
      </c>
      <c r="BO123" s="371" t="str">
        <f t="shared" si="346"/>
        <v/>
      </c>
      <c r="BP123" s="328" t="str">
        <f t="shared" si="424"/>
        <v xml:space="preserve"> </v>
      </c>
      <c r="BQ123" s="347" t="str">
        <f t="shared" si="347"/>
        <v xml:space="preserve"> </v>
      </c>
      <c r="BR123" s="353" t="str">
        <f t="shared" si="348"/>
        <v xml:space="preserve"> </v>
      </c>
      <c r="BS123" s="626" t="str">
        <f>IF(L123&gt;0,IF(Calculation!P123="M13",BR123*3.1416*(0.134^2)/(4*144),IF(Calculation!P123="M17",BR123*3.1416*(0.165^2)/(4*144),IF(Calculation!P123="M20",BR123*3.1416*(0.198^2)/(4*144),IF(Calculation!P123="M23",BR123*3.1416*(0.228^2)/(4*144),IF(Calculation!P123="M27",BR123*3.1416*(0.269^2)/(4*144),BR123*3.1416*(0.307^2)/(4*144))))))," ")</f>
        <v xml:space="preserve"> </v>
      </c>
      <c r="BT123" s="353" t="str">
        <f>IF(L123&gt;0,IF(BS123&gt;0,R123/Calculation!BS123,0)," ")</f>
        <v xml:space="preserve"> </v>
      </c>
      <c r="BU123" s="438" t="e">
        <f t="shared" ca="1" si="256"/>
        <v>#VALUE!</v>
      </c>
      <c r="BV123" s="449" t="e">
        <f ca="1">INDEX(INDIRECT(VLOOKUP(LEFT(BO123,7),CLU!$Z$3:$AH$18,2)),GN123,GR123)</f>
        <v>#N/A</v>
      </c>
      <c r="BW123" s="433" t="e">
        <f ca="1">INDEX(INDIRECT(VLOOKUP(LEFT(BO123,7),CLU!$Z$3:$AH$18,3)),GN123,GR123)</f>
        <v>#N/A</v>
      </c>
      <c r="BX123" s="433" t="e">
        <f ca="1">INDEX(INDIRECT(VLOOKUP(LEFT(BO123,7),CLU!$Z$3:$AH$18,4)),GN123,GR123)</f>
        <v>#N/A</v>
      </c>
      <c r="BY123" s="433" t="e">
        <f ca="1">INDEX(INDIRECT(VLOOKUP(LEFT(BO123,7),CLU!$Z$3:$AH$18,9)),((M123-2)*(6-COUNTBLANK(GT123:GY123)))+GJ123)</f>
        <v>#N/A</v>
      </c>
      <c r="BZ123" s="426" t="e">
        <f t="shared" ca="1" si="349"/>
        <v>#N/A</v>
      </c>
      <c r="CA123" s="424" t="e">
        <f t="shared" ca="1" si="350"/>
        <v>#N/A</v>
      </c>
      <c r="CB123" s="429" t="e">
        <f ca="1">INDEX(INDIRECT(VLOOKUP(LEFT(BO123,7),CLU!$Z$3:$AH$18,2)),GN123,GS123)</f>
        <v>#N/A</v>
      </c>
      <c r="CC123" s="342" t="e">
        <f ca="1">INDEX(INDIRECT(VLOOKUP(LEFT(BO123,7),CLU!$Z$3:$AH$18,3)),GN123,GS123)</f>
        <v>#N/A</v>
      </c>
      <c r="CD123" s="342" t="e">
        <f ca="1">INDEX(INDIRECT(VLOOKUP(LEFT(BO123,7),CLU!$Z$3:$AH$18,4)),GN123,GS123)</f>
        <v>#N/A</v>
      </c>
      <c r="CE123" s="426" t="e">
        <f t="shared" ca="1" si="351"/>
        <v>#N/A</v>
      </c>
      <c r="CF123" s="440">
        <f t="shared" si="352"/>
        <v>0</v>
      </c>
      <c r="CG123" s="431" t="e">
        <f ca="1">INDEX(INDIRECT(VLOOKUP(LEFT(BO123,7),CLU!$Z$3:$AH$18,2)),GQ123,GR123)</f>
        <v>#N/A</v>
      </c>
      <c r="CH123" s="431" t="e">
        <f ca="1">INDEX(INDIRECT(VLOOKUP(LEFT(BO123,7),CLU!$Z$3:$AH$18,3)),GQ123,GR123)</f>
        <v>#N/A</v>
      </c>
      <c r="CI123" s="431" t="e">
        <f ca="1">INDEX(INDIRECT(VLOOKUP(LEFT(BO123,7),CLU!$Z$3:$AH$18,4)),GQ123,GR123)</f>
        <v>#N/A</v>
      </c>
      <c r="CJ123" s="448" t="e">
        <f t="shared" ca="1" si="353"/>
        <v>#N/A</v>
      </c>
      <c r="CK123" s="431" t="e">
        <f t="shared" ca="1" si="354"/>
        <v>#N/A</v>
      </c>
      <c r="CL123" s="440" t="e">
        <f t="shared" ca="1" si="355"/>
        <v>#N/A</v>
      </c>
      <c r="CM123" s="431" t="e">
        <f ca="1">INDEX(INDIRECT(VLOOKUP(LEFT(BO123,7),CLU!$Z$3:$AH$18,2)),GQ123,GS123)</f>
        <v>#N/A</v>
      </c>
      <c r="CN123" s="431" t="e">
        <f ca="1">INDEX(INDIRECT(VLOOKUP(LEFT(BO123,7),CLU!$Z$3:$AH$18,3)),GQ123,GS123)</f>
        <v>#N/A</v>
      </c>
      <c r="CO123" s="431" t="e">
        <f ca="1">INDEX(INDIRECT(VLOOKUP(LEFT(BO123,7),CLU!$Z$3:$AH$18,4)),GQ123,GS123)</f>
        <v>#N/A</v>
      </c>
      <c r="CP123" s="431" t="e">
        <f t="shared" ca="1" si="356"/>
        <v>#N/A</v>
      </c>
      <c r="CQ123" s="440">
        <f t="shared" si="357"/>
        <v>0</v>
      </c>
      <c r="CR123" s="51" t="e">
        <f t="shared" ca="1" si="358"/>
        <v>#N/A</v>
      </c>
      <c r="CS123" s="439" t="e">
        <f t="shared" ca="1" si="359"/>
        <v>#VALUE!</v>
      </c>
      <c r="CT123" s="51" t="e">
        <f t="shared" ca="1" si="360"/>
        <v>#VALUE!</v>
      </c>
      <c r="CU123" s="10"/>
      <c r="CV123" s="51" t="e">
        <f t="shared" ca="1" si="257"/>
        <v>#VALUE!</v>
      </c>
      <c r="CW123" s="51">
        <f t="shared" si="361"/>
        <v>0</v>
      </c>
      <c r="CX123" s="439" t="e">
        <f t="shared" ca="1" si="362"/>
        <v>#VALUE!</v>
      </c>
      <c r="CY123" s="51" t="e">
        <f t="shared" ca="1" si="363"/>
        <v>#VALUE!</v>
      </c>
      <c r="CZ123" s="10"/>
      <c r="DA123" s="51" t="e">
        <f t="shared" ca="1" si="364"/>
        <v>#VALUE!</v>
      </c>
      <c r="DB123" s="347" t="e">
        <f ca="1">INDEX(INDIRECT(VLOOKUP(LEFT(BO123,7),CLU!$Z$3:$AI$18,10)),((M123-2)*(6-COUNTBLANK(GT123:GY123)))+GJ123)*LI123</f>
        <v>#N/A</v>
      </c>
      <c r="DC123" s="347" t="str">
        <f>IF(L123&gt;0,((R123/Worksheet!$I$15)/DB123)^2," ")</f>
        <v xml:space="preserve"> </v>
      </c>
      <c r="DD123" s="602" t="str">
        <f t="shared" si="365"/>
        <v xml:space="preserve"> </v>
      </c>
      <c r="DE123" s="347" t="str">
        <f t="shared" si="258"/>
        <v xml:space="preserve"> </v>
      </c>
      <c r="DF123" s="356" t="e">
        <f ca="1">INDEX(INDIRECT(VLOOKUP(LEFT(BO123,7),CLU!$Z$3:$AH$18,8)),((M123-2)*(6-COUNTBLANK(GT123:GY123)))+GJ123)</f>
        <v>#N/A</v>
      </c>
      <c r="DG123" s="347" t="str">
        <f t="shared" si="259"/>
        <v xml:space="preserve"> </v>
      </c>
      <c r="DH123" s="357" t="str">
        <f t="shared" si="260"/>
        <v xml:space="preserve"> </v>
      </c>
      <c r="DI123" s="355" t="str">
        <f t="shared" si="261"/>
        <v xml:space="preserve"> </v>
      </c>
      <c r="DJ123" s="245" t="e">
        <f ca="1">INDEX(INDIRECT(VLOOKUP(LEFT(BO123,7),CLU!$Z$3:$AH$18,5)),GL123,GK123)</f>
        <v>#N/A</v>
      </c>
      <c r="DK123" s="245" t="e">
        <f ca="1">INDEX(INDIRECT(VLOOKUP(LEFT(BO123,7),CLU!$Z$3:$AH$18,6)),GL123,GK123)</f>
        <v>#N/A</v>
      </c>
      <c r="DL123" s="355">
        <f>(Calculation!R123*0.69143*(Calculation!$BQ$8-Calculation!$F$8))*$S$14</f>
        <v>0</v>
      </c>
      <c r="DM123" s="359" t="e">
        <f t="shared" si="366"/>
        <v>#VALUE!</v>
      </c>
      <c r="DN123" s="611">
        <f t="shared" si="367"/>
        <v>0</v>
      </c>
      <c r="DO123" s="359">
        <f t="shared" si="368"/>
        <v>100</v>
      </c>
      <c r="DP123" s="359">
        <f t="shared" si="369"/>
        <v>0</v>
      </c>
      <c r="DQ123" s="360"/>
      <c r="DR123" s="245" t="e">
        <f ca="1">INDEX(INDIRECT(VLOOKUP(LEFT(BO123,7),CLU!$Z$3:$AH$18,7)),M123-1,1)</f>
        <v>#N/A</v>
      </c>
      <c r="DS123" s="245" t="e">
        <f ca="1">INDEX(INDIRECT(VLOOKUP(LEFT(BO123,7),CLU!$Z$3:$AH$18,7)),M123-1,2)</f>
        <v>#N/A</v>
      </c>
      <c r="DT123" s="245" t="e">
        <f ca="1">INDEX(INDIRECT(VLOOKUP(LEFT(BO123,7),CLU!$Z$3:$AH$18,7)),M123-1,3)</f>
        <v>#N/A</v>
      </c>
      <c r="DU123" s="245" t="e">
        <f ca="1">INDEX(INDIRECT(VLOOKUP(LEFT(BO123,7),CLU!$Z$3:$AH$18,7)),M123-1,4)</f>
        <v>#N/A</v>
      </c>
      <c r="DV123" s="361" t="e">
        <f ca="1">INDEX(INDIRECT(VLOOKUP(LEFT(BO123,7),CLU!$Z$3:$AH$18,7)),M123-1,4+LEFT(DZ123,1)*0.5)</f>
        <v>#N/A</v>
      </c>
      <c r="DW123" s="245" t="e">
        <f ca="1">INDEX(INDIRECT(VLOOKUP(LEFT(BO123,7),CLU!$Z$3:$AH$18,7)),M123-1,8)</f>
        <v>#N/A</v>
      </c>
      <c r="DX123" s="361" t="str">
        <f t="shared" si="262"/>
        <v xml:space="preserve"> </v>
      </c>
      <c r="DY123" s="361" t="str">
        <f t="shared" si="263"/>
        <v xml:space="preserve"> </v>
      </c>
      <c r="DZ123" s="361" t="str">
        <f t="shared" si="264"/>
        <v xml:space="preserve"> </v>
      </c>
      <c r="EA123" s="362" t="str">
        <f t="shared" si="265"/>
        <v xml:space="preserve"> </v>
      </c>
      <c r="EB123" s="624" t="str">
        <f t="shared" si="370"/>
        <v xml:space="preserve"> </v>
      </c>
      <c r="EC123" s="361" t="e">
        <f ca="1">INDEX(INDIRECT(VLOOKUP(LEFT(BO123,7),CLU!$Z$3:$AH$18,7)),M123-1,4+LEFT(DZ123,1)*0.5)</f>
        <v>#N/A</v>
      </c>
      <c r="ED123" s="362" t="str">
        <f t="shared" si="266"/>
        <v xml:space="preserve"> </v>
      </c>
      <c r="EE123" s="361" t="str">
        <f t="shared" si="267"/>
        <v xml:space="preserve"> </v>
      </c>
      <c r="EF123" s="362" t="str">
        <f>IF(L123&gt;0,IF(BR123&gt;0,IF(EE123="2P",IF(Calculation!DZ123="2P",IF(Calculation!DS123=13.75,IF(Calculation!DR123=13,Worksheet!$BD$43,IF(Calculation!DR123=37,Worksheet!$BD$44,Worksheet!$BD$45)),IF(Calculation!DS123=10,IF(Calculation!DR123=18,Worksheet!$BD$29,IF(Calculation!DR123=30,Worksheet!$BD$30,IF(Calculation!DR123=42,Worksheet!$BD$31,IF(Calculation!DR123=54,Worksheet!$BD$32,IF(Calculation!DR123=66,Worksheet!$BD$33,IF(Calculation!DR123=78,Worksheet!$BD$34,IF(Calculation!DR123=90,Worksheet!$BD$35,IF(Calculation!DR123=102,Worksheet!$BD$36,Worksheet!$BD$37)))))))),IF(Calculation!DS123=12.5,IF(Calculation!DR123=18,Worksheet!$BD$38,IF(Calculation!DR123=Worksheet!$BD$39,IF(Calculation!DR123=42,Worksheet!$BD$40,IF(Calculation!DR123=54,Worksheet!$BD$41,Worksheet!$BD$42)))),IF(Calculation!DR123=18,Worksheet!$BD$11,IF(Calculation!DR123=30,Worksheet!$BD$12,IF(Calculation!DR123=42,Worksheet!$BD$13,IF(Calculation!DR123=54,Worksheet!$BD$14,IF(Calculation!DR123=66,Worksheet!$BD$15,IF(Calculation!DR123=78,Worksheet!$BD$16,IF(Calculation!DR123=90,Worksheet!$BD$17,IF(Calculation!DR123=102,Worksheet!$BD$18,Worksheet!$BD$19))))))))))),IF(Calculation!DS123=13.75,IF(Calculation!DR123=13,Worksheet!$BD$78,IF(Calculation!DR123=37,Worksheet!$BD$79,Worksheet!$BD$80)),IF(Calculation!DS123=10,IF(Calculation!DR123=18,Worksheet!$BD$64,IF(Calculation!DR123=30,Worksheet!$BD$65,IF(Calculation!DR123=42,Worksheet!$BD$66,IF(Calculation!DR123=54,Worksheet!$BD$68,IF(Calculation!DR123=66,Worksheet!$BD$68,IF(Calculation!DR123=78,Worksheet!$BD$69,IF(Calculation!DR123=90,Worksheet!$BD$70,IF(Calculation!DR123=102,Worksheet!$BD$71,Worksheet!$BD$72)))))))),IF(Calculation!DS123=12.5,IF(Calculation!DR123=18,Worksheet!$BD$73,IF(Calculation!DR123=Worksheet!$BD$74,IF(Calculation!DR123=42,Worksheet!$BD$75,IF(Calculation!DR123=54,Worksheet!$BD$76,Worksheet!$BD$77)))),IF(Calculation!DR123=18,Worksheet!$BD$55,IF(Calculation!DR123=30,Worksheet!$BD$56,IF(Calculation!DR123=42,Worksheet!$BD$57,IF(Calculation!DR123=54,Worksheet!$BD$58,IF(Calculation!DR123=66,Worksheet!$BD$59,IF(Calculation!DR123=78,Worksheet!$BD$60,IF(Calculation!DR123=90,Worksheet!$BD$61,IF(Calculation!DR123=102,Worksheet!$BD$62,Worksheet!$BD$63)))))))))))),5),0)," ")</f>
        <v xml:space="preserve"> </v>
      </c>
      <c r="EG123" s="361" t="str">
        <f t="shared" si="268"/>
        <v xml:space="preserve"> </v>
      </c>
      <c r="EH123" s="361" t="e">
        <f ca="1">INDEX(INDIRECT(VLOOKUP(LEFT(BO123,7),CLU!$Z$3:$AH$18,7)),M123-1,3+LEFT(DZ123,1))</f>
        <v>#N/A</v>
      </c>
      <c r="EI123" s="362" t="str">
        <f t="shared" si="269"/>
        <v xml:space="preserve"> </v>
      </c>
      <c r="EJ123" s="363" t="str">
        <f t="shared" si="270"/>
        <v xml:space="preserve"> </v>
      </c>
      <c r="EK123" s="363" t="str">
        <f t="shared" si="271"/>
        <v xml:space="preserve"> </v>
      </c>
      <c r="EL123" s="363" t="str">
        <f t="shared" si="272"/>
        <v xml:space="preserve"> </v>
      </c>
      <c r="EM123" s="362" t="str">
        <f>IF(L123&gt;0,IF(BR123&gt;0,(Calculation!T123/ED123)^2,0)," ")</f>
        <v xml:space="preserve"> </v>
      </c>
      <c r="EN123" s="362" t="str">
        <f>IF(L123&gt;0,IF(O123="2 Pipe (Cooling)","N/A",IF(BR123&gt;0,(Calculation!U123/EI123)^2,0))," ")</f>
        <v xml:space="preserve"> </v>
      </c>
      <c r="EO123" s="361" t="str">
        <f t="shared" si="273"/>
        <v/>
      </c>
      <c r="EP123" s="361" t="str">
        <f t="shared" si="274"/>
        <v/>
      </c>
      <c r="EQ123" s="361" t="str">
        <f t="shared" si="275"/>
        <v/>
      </c>
      <c r="ER123" s="361" t="str">
        <f t="shared" si="276"/>
        <v/>
      </c>
      <c r="ES123" s="361" t="str">
        <f t="shared" si="277"/>
        <v/>
      </c>
      <c r="ET123" s="361" t="str">
        <f t="shared" si="278"/>
        <v/>
      </c>
      <c r="EU123" s="361" t="str">
        <f t="shared" si="279"/>
        <v/>
      </c>
      <c r="EV123" s="361" t="str">
        <f t="shared" si="280"/>
        <v/>
      </c>
      <c r="EW123" s="361" t="str">
        <f t="shared" si="281"/>
        <v/>
      </c>
      <c r="EX123" s="361" t="str">
        <f t="shared" si="371"/>
        <v>1 slot, 1 way</v>
      </c>
      <c r="EY123" s="361" t="str">
        <f t="shared" si="372"/>
        <v xml:space="preserve"> </v>
      </c>
      <c r="EZ123" s="361" t="str">
        <f t="shared" si="373"/>
        <v xml:space="preserve"> </v>
      </c>
      <c r="FA123" s="361" t="str">
        <f t="shared" si="374"/>
        <v xml:space="preserve"> </v>
      </c>
      <c r="FB123" s="361" t="str">
        <f t="shared" si="375"/>
        <v xml:space="preserve"> </v>
      </c>
      <c r="FC123" s="361"/>
      <c r="FD123" s="361" t="str">
        <f>IF(J123&gt;0,IF(Calculation!R123&lt;=70,4,IF(Calculation!R123&lt;=110,5,IF(Calculation!R123&lt;=160,6,IF(Calculation!R123&lt;=300,8,"10 EO")))),"")</f>
        <v/>
      </c>
      <c r="FE123" s="361" t="str">
        <f t="shared" si="376"/>
        <v/>
      </c>
      <c r="FF123" s="361" t="str">
        <f t="shared" si="377"/>
        <v/>
      </c>
      <c r="FG123" s="361" t="e">
        <f t="shared" si="282"/>
        <v>#N/A</v>
      </c>
      <c r="FH123" s="361">
        <f t="shared" si="283"/>
        <v>0</v>
      </c>
      <c r="FI123" s="361" t="e">
        <f t="shared" si="284"/>
        <v>#DIV/0!</v>
      </c>
      <c r="FJ123" s="361"/>
      <c r="FK123" s="356" t="e">
        <f t="shared" si="285"/>
        <v>#VALUE!</v>
      </c>
      <c r="FL123" s="361"/>
      <c r="FM123" s="361"/>
      <c r="FN123" s="362" t="str">
        <f t="shared" si="378"/>
        <v xml:space="preserve"> </v>
      </c>
      <c r="FO123" s="362" t="str">
        <f t="shared" si="379"/>
        <v xml:space="preserve"> </v>
      </c>
      <c r="FP123" s="362">
        <f t="shared" si="380"/>
        <v>0</v>
      </c>
      <c r="FQ123" s="361">
        <f t="shared" si="286"/>
        <v>0</v>
      </c>
      <c r="FR123" s="362" t="str">
        <f>IF(L123&gt;0,IF(J123="CBAL2",Worksheet!$P$67,IF(J123="CBE2-24",Worksheet!$Q$67,IF(J123="CBAM",Worksheet!$R$67,IF(J123="CBLV",Worksheet!$S$67,IF(J123="CBAB",Worksheet!$U$67,IF(J123="CBAW",Worksheet!$X$67,IF(J123="CBE2-12",Worksheet!$Y$67,IF(J123="CBAL2",Worksheet!$Z$67,"N/A"))))))))," ")</f>
        <v xml:space="preserve"> </v>
      </c>
      <c r="FS123" s="362" t="str">
        <f>IF(L123&gt;0,IF(J123="CBAL2",Worksheet!$P$68,IF(J123="CBE2-24",Worksheet!$Q$68,IF(J123="CBAM",Worksheet!$R$68,IF(J123="CBLV",Worksheet!$S$68,IF(J123="CBAB",Worksheet!$U$68,IF(J123="CBAW",Worksheet!$X$68,IF(J123="CBE2-12",Worksheet!$Y$68,IF(J123="CBAL2",Worksheet!$Z$68,"N/A"))))))))," ")</f>
        <v xml:space="preserve"> </v>
      </c>
      <c r="FT123" s="362" t="str">
        <f>IF(L123&gt;0,IF(J123="CBAL2",Worksheet!$P$69,IF(J123="CBE2-24",Worksheet!$Q$69,IF(J123="CBAM",Worksheet!$R$69,IF(J123="CBLV",Worksheet!$S$69,IF(J123="CBAB",Worksheet!$U$69,IF(J123="CBAW",Worksheet!$X$69,IF(J123="CBE2-12",Worksheet!$Y$69,IF(J123="CBAL2",Worksheet!$Z$69,"N/A"))))))))," ")</f>
        <v xml:space="preserve"> </v>
      </c>
      <c r="FU123" s="361" t="str">
        <f t="shared" si="381"/>
        <v xml:space="preserve"> </v>
      </c>
      <c r="FV123" s="362" t="str">
        <f t="shared" si="382"/>
        <v xml:space="preserve"> </v>
      </c>
      <c r="FW123" s="362" t="str">
        <f t="shared" si="383"/>
        <v xml:space="preserve"> </v>
      </c>
      <c r="FX123" s="362" t="str">
        <f t="shared" si="384"/>
        <v xml:space="preserve"> </v>
      </c>
      <c r="FY123" s="355" t="str">
        <f t="shared" si="385"/>
        <v xml:space="preserve"> </v>
      </c>
      <c r="FZ123" s="361" t="str">
        <f t="shared" si="386"/>
        <v xml:space="preserve"> </v>
      </c>
      <c r="GA123" s="347" t="str">
        <f t="shared" si="387"/>
        <v xml:space="preserve"> </v>
      </c>
      <c r="GB123" s="355" t="str">
        <f t="shared" si="388"/>
        <v xml:space="preserve"> </v>
      </c>
      <c r="GC123" s="328" t="str">
        <f t="shared" si="389"/>
        <v xml:space="preserve"> </v>
      </c>
      <c r="GD123" s="361" t="str">
        <f t="shared" si="390"/>
        <v xml:space="preserve"> </v>
      </c>
      <c r="GE123" s="347" t="str">
        <f t="shared" si="391"/>
        <v xml:space="preserve"> </v>
      </c>
      <c r="GF123" s="361" t="str">
        <f t="shared" si="392"/>
        <v xml:space="preserve"> </v>
      </c>
      <c r="GG123" s="347" t="str">
        <f t="shared" si="393"/>
        <v xml:space="preserve"> </v>
      </c>
      <c r="GH123" s="364">
        <f t="shared" si="287"/>
        <v>0</v>
      </c>
      <c r="GI123" s="362">
        <f t="shared" si="394"/>
        <v>2</v>
      </c>
      <c r="GJ123" s="433" t="e">
        <f>IF(6-COUNTBLANK(GT123:GY123)=4,MATCH(MID(BO123,9,3),CLU!$H$16:$K$16),MATCH(MID(BO123,9,3),CLU!$H$13:$M$13))</f>
        <v>#N/A</v>
      </c>
      <c r="GK123" s="433" t="e">
        <f>HLOOKUP(VALUE(BP123),CLU!$H$9:$M$10,2)</f>
        <v>#VALUE!</v>
      </c>
      <c r="GL123" s="433" t="e">
        <f ca="1">MATCH(BU123,CLU!$H$2:$V$2,1)</f>
        <v>#VALUE!</v>
      </c>
      <c r="GM123" s="433" t="e">
        <f t="shared" ca="1" si="395"/>
        <v>#VALUE!</v>
      </c>
      <c r="GN123" s="433" t="e">
        <f t="shared" ca="1" si="396"/>
        <v>#VALUE!</v>
      </c>
      <c r="GO123" s="433" t="e">
        <f t="shared" ca="1" si="397"/>
        <v>#VALUE!</v>
      </c>
      <c r="GP123" s="433" t="e">
        <f t="shared" ca="1" si="398"/>
        <v>#VALUE!</v>
      </c>
      <c r="GQ123" s="433" t="e">
        <f t="shared" ca="1" si="399"/>
        <v>#VALUE!</v>
      </c>
      <c r="GR123" s="433" t="e">
        <f ca="1">MATCH(T123,INDIRECT(VLOOKUP(CONCATENATE(LEFT(BO123,7),"-",MID(BO123,13,1)),CLU!$P$3:$Q$16,2)),1)</f>
        <v>#N/A</v>
      </c>
      <c r="GS123" s="433" t="e">
        <f ca="1">MATCH(U123,INDIRECT(VLOOKUP(CONCATENATE(LEFT(BO123,7),"-",MID(BO123,13,1)),CLU!$P$3:$Q$16,2)),1)</f>
        <v>#N/A</v>
      </c>
      <c r="GT123" s="347" t="s">
        <v>512</v>
      </c>
      <c r="GU123" s="97" t="s">
        <v>513</v>
      </c>
      <c r="GV123" s="97" t="str">
        <f t="shared" si="400"/>
        <v>M23</v>
      </c>
      <c r="GW123" s="97" t="str">
        <f t="shared" si="401"/>
        <v>M31</v>
      </c>
      <c r="GX123" s="97" t="str">
        <f t="shared" si="402"/>
        <v/>
      </c>
      <c r="GY123" s="97" t="str">
        <f t="shared" si="403"/>
        <v/>
      </c>
      <c r="GZ123" s="481"/>
      <c r="HA123" s="288"/>
      <c r="HB123" s="240"/>
      <c r="HC123" s="240"/>
      <c r="HD123" s="240"/>
      <c r="HE123" s="240"/>
      <c r="HF123" s="240"/>
      <c r="HG123" s="240"/>
      <c r="HH123" s="240"/>
      <c r="HI123" s="240"/>
      <c r="HJ123" s="240"/>
      <c r="HK123" s="240"/>
      <c r="HL123" s="240"/>
      <c r="HM123" s="240"/>
      <c r="HN123" s="240"/>
      <c r="HO123" s="240"/>
      <c r="HP123" s="240"/>
      <c r="HQ123" s="240"/>
      <c r="HR123" s="240"/>
      <c r="HS123" s="240"/>
      <c r="HT123" s="240"/>
      <c r="HU123" s="240"/>
      <c r="HV123" s="245"/>
      <c r="HW123" s="245" t="b">
        <v>1</v>
      </c>
      <c r="HX123" s="245" t="str">
        <f t="shared" si="288"/>
        <v/>
      </c>
      <c r="HY123" s="245" t="e">
        <f t="shared" si="289"/>
        <v>#DIV/0!</v>
      </c>
      <c r="HZ123" s="245" t="e">
        <f t="shared" si="290"/>
        <v>#DIV/0!</v>
      </c>
      <c r="IA123" s="245">
        <f t="shared" si="291"/>
        <v>0</v>
      </c>
      <c r="IB123" s="245"/>
      <c r="IC123" t="b">
        <f t="shared" si="292"/>
        <v>1</v>
      </c>
      <c r="ID123" s="245" t="b">
        <f t="shared" si="293"/>
        <v>1</v>
      </c>
      <c r="IE123" s="245" t="b">
        <f t="shared" si="294"/>
        <v>1</v>
      </c>
      <c r="IF123" s="245" t="b">
        <f t="shared" si="295"/>
        <v>0</v>
      </c>
      <c r="IG123" s="245" t="b">
        <f t="shared" si="296"/>
        <v>1</v>
      </c>
      <c r="IH123" s="245" t="b">
        <f t="shared" si="297"/>
        <v>1</v>
      </c>
      <c r="II123" s="245">
        <f t="shared" si="404"/>
        <v>0</v>
      </c>
      <c r="IJ123" s="245" t="e">
        <f t="shared" si="298"/>
        <v>#VALUE!</v>
      </c>
      <c r="IK123" s="245" t="e">
        <f t="shared" si="299"/>
        <v>#VALUE!</v>
      </c>
      <c r="IL123" s="245"/>
      <c r="IM123" s="245" t="e">
        <f t="shared" si="405"/>
        <v>#N/A</v>
      </c>
      <c r="IN123" s="245" t="e">
        <f t="shared" si="406"/>
        <v>#N/A</v>
      </c>
      <c r="IO123" s="245"/>
      <c r="IP123" s="245"/>
      <c r="IQ123" s="245" t="str">
        <f t="shared" si="300"/>
        <v/>
      </c>
      <c r="IR123" s="245" t="str">
        <f>IF(J123="","",VLOOKUP(J123,Worksheet!$R$4:$T$14,2))</f>
        <v/>
      </c>
      <c r="IS123" s="245"/>
      <c r="IT123" s="245">
        <f t="shared" si="301"/>
        <v>0</v>
      </c>
      <c r="IU123" s="245">
        <f t="shared" si="302"/>
        <v>0</v>
      </c>
      <c r="IV123" s="245">
        <f t="shared" si="303"/>
        <v>0</v>
      </c>
      <c r="IW123" s="245">
        <f t="shared" si="304"/>
        <v>0</v>
      </c>
      <c r="IX123" s="245">
        <f t="shared" si="407"/>
        <v>0</v>
      </c>
      <c r="IY123" s="245">
        <f t="shared" si="305"/>
        <v>0</v>
      </c>
      <c r="IZ123" s="245">
        <f t="shared" si="306"/>
        <v>0</v>
      </c>
      <c r="JA123">
        <f t="shared" si="307"/>
        <v>0</v>
      </c>
      <c r="JB123">
        <f t="shared" si="408"/>
        <v>0</v>
      </c>
      <c r="JC123">
        <f t="shared" si="308"/>
        <v>0</v>
      </c>
      <c r="JD123">
        <f t="shared" si="309"/>
        <v>0</v>
      </c>
      <c r="JE123">
        <f t="shared" si="310"/>
        <v>0</v>
      </c>
      <c r="JF123">
        <f t="shared" si="311"/>
        <v>0</v>
      </c>
      <c r="JG123">
        <f t="shared" si="312"/>
        <v>0</v>
      </c>
      <c r="JH123">
        <f t="shared" si="313"/>
        <v>0</v>
      </c>
      <c r="JI123">
        <f t="shared" si="314"/>
        <v>0</v>
      </c>
      <c r="JJ123" s="447">
        <f t="shared" si="315"/>
        <v>0</v>
      </c>
      <c r="JK123" s="447">
        <f t="shared" si="316"/>
        <v>0</v>
      </c>
      <c r="JL123">
        <f t="shared" si="317"/>
        <v>0</v>
      </c>
      <c r="JM123" s="245" t="str">
        <f>IFERROR(VLOOKUP(MATCH(BN123,#REF!,0),#REF!,7),"")</f>
        <v/>
      </c>
      <c r="JN123" t="e">
        <f>HLOOKUP(LEFT(BO123,7),Discharge_Area,MATCH(JO123,LookUps!$B$130:$B$149,1)+2)</f>
        <v>#N/A</v>
      </c>
      <c r="JO123" t="str">
        <f t="shared" si="318"/>
        <v>- S</v>
      </c>
      <c r="JP123" t="e">
        <f>HLOOKUP(LEFT(BO123,7),Discharge_Area,MATCH(JO123,LookUps!$B$130:$B$149,1)+2)</f>
        <v>#N/A</v>
      </c>
      <c r="JQ123" t="e">
        <f t="shared" si="319"/>
        <v>#N/A</v>
      </c>
      <c r="JR123" t="e">
        <f t="shared" si="320"/>
        <v>#N/A</v>
      </c>
      <c r="JS123" t="e">
        <f t="shared" si="321"/>
        <v>#N/A</v>
      </c>
      <c r="JT123" s="532" t="str">
        <f t="shared" si="322"/>
        <v xml:space="preserve"> </v>
      </c>
      <c r="JU123" s="532" t="str">
        <f t="shared" si="323"/>
        <v xml:space="preserve"> </v>
      </c>
      <c r="JV123" s="533" t="str">
        <f t="shared" si="324"/>
        <v xml:space="preserve"> </v>
      </c>
      <c r="JW123" s="534">
        <f t="shared" si="325"/>
        <v>0</v>
      </c>
      <c r="JX123" s="535" t="str">
        <f t="shared" si="409"/>
        <v xml:space="preserve"> </v>
      </c>
      <c r="JY123" s="535" t="str">
        <f t="shared" si="410"/>
        <v xml:space="preserve"> </v>
      </c>
      <c r="JZ123" s="535" t="str">
        <f t="shared" si="411"/>
        <v xml:space="preserve"> </v>
      </c>
      <c r="KA123" s="536" t="str">
        <f t="shared" si="326"/>
        <v xml:space="preserve"> </v>
      </c>
      <c r="KB123" s="535" t="e">
        <f t="shared" si="412"/>
        <v>#VALUE!</v>
      </c>
      <c r="KC123" s="535" t="str">
        <f t="shared" si="327"/>
        <v/>
      </c>
      <c r="KD123" s="537" t="str">
        <f t="shared" si="413"/>
        <v xml:space="preserve"> </v>
      </c>
      <c r="KE123" s="537" t="str">
        <f t="shared" si="414"/>
        <v xml:space="preserve"> </v>
      </c>
      <c r="KF123" s="534">
        <f t="shared" si="328"/>
        <v>0</v>
      </c>
      <c r="KG123" s="535" t="str">
        <f t="shared" si="329"/>
        <v xml:space="preserve"> </v>
      </c>
      <c r="KH123" s="535" t="str">
        <f t="shared" si="330"/>
        <v xml:space="preserve"> </v>
      </c>
      <c r="KI123" s="535" t="str">
        <f t="shared" si="331"/>
        <v xml:space="preserve"> </v>
      </c>
      <c r="KJ123" s="536" t="str">
        <f t="shared" si="332"/>
        <v xml:space="preserve"> </v>
      </c>
      <c r="KK123" s="535" t="str">
        <f t="shared" si="415"/>
        <v xml:space="preserve"> </v>
      </c>
      <c r="KL123" s="535" t="str">
        <f t="shared" si="416"/>
        <v xml:space="preserve"> </v>
      </c>
      <c r="KM123" s="537" t="str">
        <f t="shared" si="333"/>
        <v xml:space="preserve"> </v>
      </c>
      <c r="KN123" s="537" t="str">
        <f t="shared" si="417"/>
        <v xml:space="preserve"> </v>
      </c>
      <c r="KP123">
        <f t="shared" si="334"/>
        <v>0</v>
      </c>
      <c r="LA123" t="e">
        <f t="shared" si="335"/>
        <v>#VALUE!</v>
      </c>
      <c r="LB123" t="e">
        <f t="shared" si="336"/>
        <v>#VALUE!</v>
      </c>
      <c r="LC123" t="e">
        <f t="shared" si="337"/>
        <v>#VALUE!</v>
      </c>
      <c r="LD123" t="e">
        <f t="shared" si="338"/>
        <v>#VALUE!</v>
      </c>
      <c r="LE123" t="e">
        <f t="shared" si="418"/>
        <v>#VALUE!</v>
      </c>
      <c r="LF123">
        <f t="shared" si="339"/>
        <v>0</v>
      </c>
      <c r="LG123" t="e">
        <f t="shared" si="419"/>
        <v>#VALUE!</v>
      </c>
      <c r="LH123" t="str">
        <f t="shared" si="340"/>
        <v xml:space="preserve"> </v>
      </c>
      <c r="LI123">
        <f t="shared" si="420"/>
        <v>1</v>
      </c>
    </row>
    <row r="124" spans="2:321" ht="15" customHeight="1">
      <c r="B124" s="311"/>
      <c r="C124" s="311"/>
      <c r="D124" s="312"/>
      <c r="E124" s="311"/>
      <c r="F124" s="312"/>
      <c r="G124" s="311"/>
      <c r="H124" s="311"/>
      <c r="I124" s="37"/>
      <c r="J124" s="311"/>
      <c r="K124" s="305" t="str">
        <f t="shared" si="341"/>
        <v/>
      </c>
      <c r="L124" s="313"/>
      <c r="M124" s="312"/>
      <c r="N124" s="311"/>
      <c r="O124" s="312"/>
      <c r="P124" s="311"/>
      <c r="Q124" s="305" t="str">
        <f t="shared" si="342"/>
        <v/>
      </c>
      <c r="R124" s="314"/>
      <c r="S124" s="450" t="str">
        <f t="shared" si="225"/>
        <v/>
      </c>
      <c r="T124" s="315"/>
      <c r="U124" s="315"/>
      <c r="W124" s="149" t="str">
        <f t="shared" si="226"/>
        <v xml:space="preserve"> </v>
      </c>
      <c r="X124" s="243" t="str">
        <f t="shared" si="227"/>
        <v xml:space="preserve"> </v>
      </c>
      <c r="Y124" s="150" t="str">
        <f t="shared" si="228"/>
        <v/>
      </c>
      <c r="Z124" s="149" t="str">
        <f t="shared" si="229"/>
        <v xml:space="preserve"> </v>
      </c>
      <c r="AA124" s="98" t="str">
        <f t="shared" si="230"/>
        <v xml:space="preserve"> </v>
      </c>
      <c r="AB124" s="153" t="str">
        <f t="shared" si="231"/>
        <v xml:space="preserve"> </v>
      </c>
      <c r="AC124" s="153" t="str">
        <f t="shared" si="232"/>
        <v xml:space="preserve"> </v>
      </c>
      <c r="AD124" s="148" t="str">
        <f t="shared" si="233"/>
        <v/>
      </c>
      <c r="AE124" s="149" t="str">
        <f t="shared" si="234"/>
        <v/>
      </c>
      <c r="AF124" s="151" t="str">
        <f t="shared" si="235"/>
        <v xml:space="preserve"> </v>
      </c>
      <c r="AG124" s="153" t="str">
        <f t="shared" si="236"/>
        <v xml:space="preserve"> </v>
      </c>
      <c r="AH124" s="98" t="str">
        <f t="shared" si="237"/>
        <v xml:space="preserve"> </v>
      </c>
      <c r="AI124" s="149" t="str">
        <f t="shared" si="238"/>
        <v xml:space="preserve"> </v>
      </c>
      <c r="AK124" s="144" t="str">
        <f t="shared" si="239"/>
        <v xml:space="preserve"> </v>
      </c>
      <c r="AL124" s="144"/>
      <c r="AM124" s="243" t="str">
        <f t="shared" si="240"/>
        <v xml:space="preserve"> </v>
      </c>
      <c r="AN124" s="149" t="str">
        <f t="shared" si="343"/>
        <v xml:space="preserve"> </v>
      </c>
      <c r="AO124" s="144" t="str">
        <f>IF(JB124&gt;0,IF(GI124=10,-R124*1.085*(Calculation!$F$6-Calculation!$F$13)*$S$14," "),"")</f>
        <v/>
      </c>
      <c r="AP124" s="144" t="str">
        <f t="shared" si="241"/>
        <v/>
      </c>
      <c r="AQ124" s="56" t="str">
        <f t="shared" si="242"/>
        <v/>
      </c>
      <c r="AR124" s="144" t="str">
        <f t="shared" si="243"/>
        <v/>
      </c>
      <c r="AS124" s="176" t="str">
        <f t="shared" si="244"/>
        <v/>
      </c>
      <c r="AT124" s="176" t="str">
        <f t="shared" si="344"/>
        <v xml:space="preserve"> </v>
      </c>
      <c r="AU124" s="176" t="str">
        <f t="shared" si="245"/>
        <v/>
      </c>
      <c r="AV124" s="177" t="str">
        <f t="shared" si="246"/>
        <v xml:space="preserve"> </v>
      </c>
      <c r="AW124" s="144" t="str">
        <f t="shared" si="247"/>
        <v xml:space="preserve"> </v>
      </c>
      <c r="AX124" s="144" t="str">
        <f t="shared" si="248"/>
        <v xml:space="preserve"> </v>
      </c>
      <c r="AY124" s="152" t="str">
        <f t="shared" si="249"/>
        <v xml:space="preserve"> </v>
      </c>
      <c r="AZ124" s="246" t="str">
        <f t="shared" si="250"/>
        <v/>
      </c>
      <c r="BA124" s="176" t="str">
        <f t="shared" si="251"/>
        <v xml:space="preserve"> </v>
      </c>
      <c r="BB124" s="176" t="str">
        <f t="shared" si="252"/>
        <v xml:space="preserve"> </v>
      </c>
      <c r="BC124" s="195"/>
      <c r="BD124" s="316"/>
      <c r="BE124" s="317"/>
      <c r="BF124" s="318"/>
      <c r="BG124" s="318"/>
      <c r="BH124" s="144" t="str">
        <f t="shared" si="421"/>
        <v xml:space="preserve"> </v>
      </c>
      <c r="BI124" s="176" t="str">
        <f t="shared" si="253"/>
        <v/>
      </c>
      <c r="BJ124" s="144" t="str">
        <f t="shared" si="422"/>
        <v/>
      </c>
      <c r="BK124" s="246" t="str">
        <f t="shared" si="254"/>
        <v/>
      </c>
      <c r="BL124" s="144" t="str">
        <f t="shared" si="423"/>
        <v/>
      </c>
      <c r="BM124" s="246" t="str">
        <f t="shared" si="255"/>
        <v/>
      </c>
      <c r="BN124" s="337" t="str">
        <f t="shared" si="345"/>
        <v/>
      </c>
      <c r="BO124" s="371" t="str">
        <f t="shared" si="346"/>
        <v/>
      </c>
      <c r="BP124" s="328" t="str">
        <f t="shared" si="424"/>
        <v xml:space="preserve"> </v>
      </c>
      <c r="BQ124" s="347" t="str">
        <f t="shared" si="347"/>
        <v xml:space="preserve"> </v>
      </c>
      <c r="BR124" s="353" t="str">
        <f t="shared" si="348"/>
        <v xml:space="preserve"> </v>
      </c>
      <c r="BS124" s="626" t="str">
        <f>IF(L124&gt;0,IF(Calculation!P124="M13",BR124*3.1416*(0.134^2)/(4*144),IF(Calculation!P124="M17",BR124*3.1416*(0.165^2)/(4*144),IF(Calculation!P124="M20",BR124*3.1416*(0.198^2)/(4*144),IF(Calculation!P124="M23",BR124*3.1416*(0.228^2)/(4*144),IF(Calculation!P124="M27",BR124*3.1416*(0.269^2)/(4*144),BR124*3.1416*(0.307^2)/(4*144))))))," ")</f>
        <v xml:space="preserve"> </v>
      </c>
      <c r="BT124" s="353" t="str">
        <f>IF(L124&gt;0,IF(BS124&gt;0,R124/Calculation!BS124,0)," ")</f>
        <v xml:space="preserve"> </v>
      </c>
      <c r="BU124" s="438" t="e">
        <f t="shared" ca="1" si="256"/>
        <v>#VALUE!</v>
      </c>
      <c r="BV124" s="449" t="e">
        <f ca="1">INDEX(INDIRECT(VLOOKUP(LEFT(BO124,7),CLU!$Z$3:$AH$18,2)),GN124,GR124)</f>
        <v>#N/A</v>
      </c>
      <c r="BW124" s="433" t="e">
        <f ca="1">INDEX(INDIRECT(VLOOKUP(LEFT(BO124,7),CLU!$Z$3:$AH$18,3)),GN124,GR124)</f>
        <v>#N/A</v>
      </c>
      <c r="BX124" s="433" t="e">
        <f ca="1">INDEX(INDIRECT(VLOOKUP(LEFT(BO124,7),CLU!$Z$3:$AH$18,4)),GN124,GR124)</f>
        <v>#N/A</v>
      </c>
      <c r="BY124" s="433" t="e">
        <f ca="1">INDEX(INDIRECT(VLOOKUP(LEFT(BO124,7),CLU!$Z$3:$AH$18,9)),((M124-2)*(6-COUNTBLANK(GT124:GY124)))+GJ124)</f>
        <v>#N/A</v>
      </c>
      <c r="BZ124" s="426" t="e">
        <f t="shared" ca="1" si="349"/>
        <v>#N/A</v>
      </c>
      <c r="CA124" s="424" t="e">
        <f t="shared" ca="1" si="350"/>
        <v>#N/A</v>
      </c>
      <c r="CB124" s="429" t="e">
        <f ca="1">INDEX(INDIRECT(VLOOKUP(LEFT(BO124,7),CLU!$Z$3:$AH$18,2)),GN124,GS124)</f>
        <v>#N/A</v>
      </c>
      <c r="CC124" s="342" t="e">
        <f ca="1">INDEX(INDIRECT(VLOOKUP(LEFT(BO124,7),CLU!$Z$3:$AH$18,3)),GN124,GS124)</f>
        <v>#N/A</v>
      </c>
      <c r="CD124" s="342" t="e">
        <f ca="1">INDEX(INDIRECT(VLOOKUP(LEFT(BO124,7),CLU!$Z$3:$AH$18,4)),GN124,GS124)</f>
        <v>#N/A</v>
      </c>
      <c r="CE124" s="426" t="e">
        <f t="shared" ca="1" si="351"/>
        <v>#N/A</v>
      </c>
      <c r="CF124" s="440">
        <f t="shared" si="352"/>
        <v>0</v>
      </c>
      <c r="CG124" s="431" t="e">
        <f ca="1">INDEX(INDIRECT(VLOOKUP(LEFT(BO124,7),CLU!$Z$3:$AH$18,2)),GQ124,GR124)</f>
        <v>#N/A</v>
      </c>
      <c r="CH124" s="431" t="e">
        <f ca="1">INDEX(INDIRECT(VLOOKUP(LEFT(BO124,7),CLU!$Z$3:$AH$18,3)),GQ124,GR124)</f>
        <v>#N/A</v>
      </c>
      <c r="CI124" s="431" t="e">
        <f ca="1">INDEX(INDIRECT(VLOOKUP(LEFT(BO124,7),CLU!$Z$3:$AH$18,4)),GQ124,GR124)</f>
        <v>#N/A</v>
      </c>
      <c r="CJ124" s="448" t="e">
        <f t="shared" ca="1" si="353"/>
        <v>#N/A</v>
      </c>
      <c r="CK124" s="431" t="e">
        <f t="shared" ca="1" si="354"/>
        <v>#N/A</v>
      </c>
      <c r="CL124" s="440" t="e">
        <f t="shared" ca="1" si="355"/>
        <v>#N/A</v>
      </c>
      <c r="CM124" s="431" t="e">
        <f ca="1">INDEX(INDIRECT(VLOOKUP(LEFT(BO124,7),CLU!$Z$3:$AH$18,2)),GQ124,GS124)</f>
        <v>#N/A</v>
      </c>
      <c r="CN124" s="431" t="e">
        <f ca="1">INDEX(INDIRECT(VLOOKUP(LEFT(BO124,7),CLU!$Z$3:$AH$18,3)),GQ124,GS124)</f>
        <v>#N/A</v>
      </c>
      <c r="CO124" s="431" t="e">
        <f ca="1">INDEX(INDIRECT(VLOOKUP(LEFT(BO124,7),CLU!$Z$3:$AH$18,4)),GQ124,GS124)</f>
        <v>#N/A</v>
      </c>
      <c r="CP124" s="431" t="e">
        <f t="shared" ca="1" si="356"/>
        <v>#N/A</v>
      </c>
      <c r="CQ124" s="440">
        <f t="shared" si="357"/>
        <v>0</v>
      </c>
      <c r="CR124" s="51" t="e">
        <f t="shared" ca="1" si="358"/>
        <v>#N/A</v>
      </c>
      <c r="CS124" s="439" t="e">
        <f t="shared" ca="1" si="359"/>
        <v>#VALUE!</v>
      </c>
      <c r="CT124" s="51" t="e">
        <f t="shared" ca="1" si="360"/>
        <v>#VALUE!</v>
      </c>
      <c r="CU124" s="10"/>
      <c r="CV124" s="51" t="e">
        <f t="shared" ca="1" si="257"/>
        <v>#VALUE!</v>
      </c>
      <c r="CW124" s="51">
        <f t="shared" si="361"/>
        <v>0</v>
      </c>
      <c r="CX124" s="439" t="e">
        <f t="shared" ca="1" si="362"/>
        <v>#VALUE!</v>
      </c>
      <c r="CY124" s="51" t="e">
        <f t="shared" ca="1" si="363"/>
        <v>#VALUE!</v>
      </c>
      <c r="CZ124" s="10"/>
      <c r="DA124" s="51" t="e">
        <f t="shared" ca="1" si="364"/>
        <v>#VALUE!</v>
      </c>
      <c r="DB124" s="347" t="e">
        <f ca="1">INDEX(INDIRECT(VLOOKUP(LEFT(BO124,7),CLU!$Z$3:$AI$18,10)),((M124-2)*(6-COUNTBLANK(GT124:GY124)))+GJ124)*LI124</f>
        <v>#N/A</v>
      </c>
      <c r="DC124" s="347" t="str">
        <f>IF(L124&gt;0,((R124/Worksheet!$I$15)/DB124)^2," ")</f>
        <v xml:space="preserve"> </v>
      </c>
      <c r="DD124" s="602" t="str">
        <f t="shared" si="365"/>
        <v xml:space="preserve"> </v>
      </c>
      <c r="DE124" s="347" t="str">
        <f t="shared" si="258"/>
        <v xml:space="preserve"> </v>
      </c>
      <c r="DF124" s="356" t="e">
        <f ca="1">INDEX(INDIRECT(VLOOKUP(LEFT(BO124,7),CLU!$Z$3:$AH$18,8)),((M124-2)*(6-COUNTBLANK(GT124:GY124)))+GJ124)</f>
        <v>#N/A</v>
      </c>
      <c r="DG124" s="347" t="str">
        <f t="shared" si="259"/>
        <v xml:space="preserve"> </v>
      </c>
      <c r="DH124" s="357" t="str">
        <f t="shared" si="260"/>
        <v xml:space="preserve"> </v>
      </c>
      <c r="DI124" s="355" t="str">
        <f t="shared" si="261"/>
        <v xml:space="preserve"> </v>
      </c>
      <c r="DJ124" s="245" t="e">
        <f ca="1">INDEX(INDIRECT(VLOOKUP(LEFT(BO124,7),CLU!$Z$3:$AH$18,5)),GL124,GK124)</f>
        <v>#N/A</v>
      </c>
      <c r="DK124" s="245" t="e">
        <f ca="1">INDEX(INDIRECT(VLOOKUP(LEFT(BO124,7),CLU!$Z$3:$AH$18,6)),GL124,GK124)</f>
        <v>#N/A</v>
      </c>
      <c r="DL124" s="355">
        <f>(Calculation!R124*0.69143*(Calculation!$BQ$8-Calculation!$F$8))*$S$14</f>
        <v>0</v>
      </c>
      <c r="DM124" s="359" t="e">
        <f t="shared" si="366"/>
        <v>#VALUE!</v>
      </c>
      <c r="DN124" s="611">
        <f t="shared" si="367"/>
        <v>0</v>
      </c>
      <c r="DO124" s="359">
        <f t="shared" si="368"/>
        <v>100</v>
      </c>
      <c r="DP124" s="359">
        <f t="shared" si="369"/>
        <v>0</v>
      </c>
      <c r="DQ124" s="360"/>
      <c r="DR124" s="245" t="e">
        <f ca="1">INDEX(INDIRECT(VLOOKUP(LEFT(BO124,7),CLU!$Z$3:$AH$18,7)),M124-1,1)</f>
        <v>#N/A</v>
      </c>
      <c r="DS124" s="245" t="e">
        <f ca="1">INDEX(INDIRECT(VLOOKUP(LEFT(BO124,7),CLU!$Z$3:$AH$18,7)),M124-1,2)</f>
        <v>#N/A</v>
      </c>
      <c r="DT124" s="245" t="e">
        <f ca="1">INDEX(INDIRECT(VLOOKUP(LEFT(BO124,7),CLU!$Z$3:$AH$18,7)),M124-1,3)</f>
        <v>#N/A</v>
      </c>
      <c r="DU124" s="245" t="e">
        <f ca="1">INDEX(INDIRECT(VLOOKUP(LEFT(BO124,7),CLU!$Z$3:$AH$18,7)),M124-1,4)</f>
        <v>#N/A</v>
      </c>
      <c r="DV124" s="361" t="e">
        <f ca="1">INDEX(INDIRECT(VLOOKUP(LEFT(BO124,7),CLU!$Z$3:$AH$18,7)),M124-1,4+LEFT(DZ124,1)*0.5)</f>
        <v>#N/A</v>
      </c>
      <c r="DW124" s="245" t="e">
        <f ca="1">INDEX(INDIRECT(VLOOKUP(LEFT(BO124,7),CLU!$Z$3:$AH$18,7)),M124-1,8)</f>
        <v>#N/A</v>
      </c>
      <c r="DX124" s="361" t="str">
        <f t="shared" si="262"/>
        <v xml:space="preserve"> </v>
      </c>
      <c r="DY124" s="361" t="str">
        <f t="shared" si="263"/>
        <v xml:space="preserve"> </v>
      </c>
      <c r="DZ124" s="361" t="str">
        <f t="shared" si="264"/>
        <v xml:space="preserve"> </v>
      </c>
      <c r="EA124" s="362" t="str">
        <f t="shared" si="265"/>
        <v xml:space="preserve"> </v>
      </c>
      <c r="EB124" s="624" t="str">
        <f t="shared" si="370"/>
        <v xml:space="preserve"> </v>
      </c>
      <c r="EC124" s="361" t="e">
        <f ca="1">INDEX(INDIRECT(VLOOKUP(LEFT(BO124,7),CLU!$Z$3:$AH$18,7)),M124-1,4+LEFT(DZ124,1)*0.5)</f>
        <v>#N/A</v>
      </c>
      <c r="ED124" s="362" t="str">
        <f t="shared" si="266"/>
        <v xml:space="preserve"> </v>
      </c>
      <c r="EE124" s="361" t="str">
        <f t="shared" si="267"/>
        <v xml:space="preserve"> </v>
      </c>
      <c r="EF124" s="362" t="str">
        <f>IF(L124&gt;0,IF(BR124&gt;0,IF(EE124="2P",IF(Calculation!DZ124="2P",IF(Calculation!DS124=13.75,IF(Calculation!DR124=13,Worksheet!$BD$43,IF(Calculation!DR124=37,Worksheet!$BD$44,Worksheet!$BD$45)),IF(Calculation!DS124=10,IF(Calculation!DR124=18,Worksheet!$BD$29,IF(Calculation!DR124=30,Worksheet!$BD$30,IF(Calculation!DR124=42,Worksheet!$BD$31,IF(Calculation!DR124=54,Worksheet!$BD$32,IF(Calculation!DR124=66,Worksheet!$BD$33,IF(Calculation!DR124=78,Worksheet!$BD$34,IF(Calculation!DR124=90,Worksheet!$BD$35,IF(Calculation!DR124=102,Worksheet!$BD$36,Worksheet!$BD$37)))))))),IF(Calculation!DS124=12.5,IF(Calculation!DR124=18,Worksheet!$BD$38,IF(Calculation!DR124=Worksheet!$BD$39,IF(Calculation!DR124=42,Worksheet!$BD$40,IF(Calculation!DR124=54,Worksheet!$BD$41,Worksheet!$BD$42)))),IF(Calculation!DR124=18,Worksheet!$BD$11,IF(Calculation!DR124=30,Worksheet!$BD$12,IF(Calculation!DR124=42,Worksheet!$BD$13,IF(Calculation!DR124=54,Worksheet!$BD$14,IF(Calculation!DR124=66,Worksheet!$BD$15,IF(Calculation!DR124=78,Worksheet!$BD$16,IF(Calculation!DR124=90,Worksheet!$BD$17,IF(Calculation!DR124=102,Worksheet!$BD$18,Worksheet!$BD$19))))))))))),IF(Calculation!DS124=13.75,IF(Calculation!DR124=13,Worksheet!$BD$78,IF(Calculation!DR124=37,Worksheet!$BD$79,Worksheet!$BD$80)),IF(Calculation!DS124=10,IF(Calculation!DR124=18,Worksheet!$BD$64,IF(Calculation!DR124=30,Worksheet!$BD$65,IF(Calculation!DR124=42,Worksheet!$BD$66,IF(Calculation!DR124=54,Worksheet!$BD$68,IF(Calculation!DR124=66,Worksheet!$BD$68,IF(Calculation!DR124=78,Worksheet!$BD$69,IF(Calculation!DR124=90,Worksheet!$BD$70,IF(Calculation!DR124=102,Worksheet!$BD$71,Worksheet!$BD$72)))))))),IF(Calculation!DS124=12.5,IF(Calculation!DR124=18,Worksheet!$BD$73,IF(Calculation!DR124=Worksheet!$BD$74,IF(Calculation!DR124=42,Worksheet!$BD$75,IF(Calculation!DR124=54,Worksheet!$BD$76,Worksheet!$BD$77)))),IF(Calculation!DR124=18,Worksheet!$BD$55,IF(Calculation!DR124=30,Worksheet!$BD$56,IF(Calculation!DR124=42,Worksheet!$BD$57,IF(Calculation!DR124=54,Worksheet!$BD$58,IF(Calculation!DR124=66,Worksheet!$BD$59,IF(Calculation!DR124=78,Worksheet!$BD$60,IF(Calculation!DR124=90,Worksheet!$BD$61,IF(Calculation!DR124=102,Worksheet!$BD$62,Worksheet!$BD$63)))))))))))),5),0)," ")</f>
        <v xml:space="preserve"> </v>
      </c>
      <c r="EG124" s="361" t="str">
        <f t="shared" si="268"/>
        <v xml:space="preserve"> </v>
      </c>
      <c r="EH124" s="361" t="e">
        <f ca="1">INDEX(INDIRECT(VLOOKUP(LEFT(BO124,7),CLU!$Z$3:$AH$18,7)),M124-1,3+LEFT(DZ124,1))</f>
        <v>#N/A</v>
      </c>
      <c r="EI124" s="362" t="str">
        <f t="shared" si="269"/>
        <v xml:space="preserve"> </v>
      </c>
      <c r="EJ124" s="363" t="str">
        <f t="shared" si="270"/>
        <v xml:space="preserve"> </v>
      </c>
      <c r="EK124" s="363" t="str">
        <f t="shared" si="271"/>
        <v xml:space="preserve"> </v>
      </c>
      <c r="EL124" s="363" t="str">
        <f t="shared" si="272"/>
        <v xml:space="preserve"> </v>
      </c>
      <c r="EM124" s="362" t="str">
        <f>IF(L124&gt;0,IF(BR124&gt;0,(Calculation!T124/ED124)^2,0)," ")</f>
        <v xml:space="preserve"> </v>
      </c>
      <c r="EN124" s="362" t="str">
        <f>IF(L124&gt;0,IF(O124="2 Pipe (Cooling)","N/A",IF(BR124&gt;0,(Calculation!U124/EI124)^2,0))," ")</f>
        <v xml:space="preserve"> </v>
      </c>
      <c r="EO124" s="361" t="str">
        <f t="shared" si="273"/>
        <v/>
      </c>
      <c r="EP124" s="361" t="str">
        <f t="shared" si="274"/>
        <v/>
      </c>
      <c r="EQ124" s="361" t="str">
        <f t="shared" si="275"/>
        <v/>
      </c>
      <c r="ER124" s="361" t="str">
        <f t="shared" si="276"/>
        <v/>
      </c>
      <c r="ES124" s="361" t="str">
        <f t="shared" si="277"/>
        <v/>
      </c>
      <c r="ET124" s="361" t="str">
        <f t="shared" si="278"/>
        <v/>
      </c>
      <c r="EU124" s="361" t="str">
        <f t="shared" si="279"/>
        <v/>
      </c>
      <c r="EV124" s="361" t="str">
        <f t="shared" si="280"/>
        <v/>
      </c>
      <c r="EW124" s="361" t="str">
        <f t="shared" si="281"/>
        <v/>
      </c>
      <c r="EX124" s="361" t="str">
        <f t="shared" si="371"/>
        <v>1 slot, 1 way</v>
      </c>
      <c r="EY124" s="361" t="str">
        <f t="shared" si="372"/>
        <v xml:space="preserve"> </v>
      </c>
      <c r="EZ124" s="361" t="str">
        <f t="shared" si="373"/>
        <v xml:space="preserve"> </v>
      </c>
      <c r="FA124" s="361" t="str">
        <f t="shared" si="374"/>
        <v xml:space="preserve"> </v>
      </c>
      <c r="FB124" s="361" t="str">
        <f t="shared" si="375"/>
        <v xml:space="preserve"> </v>
      </c>
      <c r="FC124" s="361"/>
      <c r="FD124" s="361" t="str">
        <f>IF(J124&gt;0,IF(Calculation!R124&lt;=70,4,IF(Calculation!R124&lt;=110,5,IF(Calculation!R124&lt;=160,6,IF(Calculation!R124&lt;=300,8,"10 EO")))),"")</f>
        <v/>
      </c>
      <c r="FE124" s="361" t="str">
        <f t="shared" si="376"/>
        <v/>
      </c>
      <c r="FF124" s="361" t="str">
        <f t="shared" si="377"/>
        <v/>
      </c>
      <c r="FG124" s="361" t="e">
        <f t="shared" si="282"/>
        <v>#N/A</v>
      </c>
      <c r="FH124" s="361">
        <f t="shared" si="283"/>
        <v>0</v>
      </c>
      <c r="FI124" s="361" t="e">
        <f t="shared" si="284"/>
        <v>#DIV/0!</v>
      </c>
      <c r="FJ124" s="361"/>
      <c r="FK124" s="356" t="e">
        <f t="shared" si="285"/>
        <v>#VALUE!</v>
      </c>
      <c r="FL124" s="361"/>
      <c r="FM124" s="361"/>
      <c r="FN124" s="362" t="str">
        <f t="shared" si="378"/>
        <v xml:space="preserve"> </v>
      </c>
      <c r="FO124" s="362" t="str">
        <f t="shared" si="379"/>
        <v xml:space="preserve"> </v>
      </c>
      <c r="FP124" s="362">
        <f t="shared" si="380"/>
        <v>0</v>
      </c>
      <c r="FQ124" s="361">
        <f t="shared" si="286"/>
        <v>0</v>
      </c>
      <c r="FR124" s="362" t="str">
        <f>IF(L124&gt;0,IF(J124="CBAL2",Worksheet!$P$67,IF(J124="CBE2-24",Worksheet!$Q$67,IF(J124="CBAM",Worksheet!$R$67,IF(J124="CBLV",Worksheet!$S$67,IF(J124="CBAB",Worksheet!$U$67,IF(J124="CBAW",Worksheet!$X$67,IF(J124="CBE2-12",Worksheet!$Y$67,IF(J124="CBAL2",Worksheet!$Z$67,"N/A"))))))))," ")</f>
        <v xml:space="preserve"> </v>
      </c>
      <c r="FS124" s="362" t="str">
        <f>IF(L124&gt;0,IF(J124="CBAL2",Worksheet!$P$68,IF(J124="CBE2-24",Worksheet!$Q$68,IF(J124="CBAM",Worksheet!$R$68,IF(J124="CBLV",Worksheet!$S$68,IF(J124="CBAB",Worksheet!$U$68,IF(J124="CBAW",Worksheet!$X$68,IF(J124="CBE2-12",Worksheet!$Y$68,IF(J124="CBAL2",Worksheet!$Z$68,"N/A"))))))))," ")</f>
        <v xml:space="preserve"> </v>
      </c>
      <c r="FT124" s="362" t="str">
        <f>IF(L124&gt;0,IF(J124="CBAL2",Worksheet!$P$69,IF(J124="CBE2-24",Worksheet!$Q$69,IF(J124="CBAM",Worksheet!$R$69,IF(J124="CBLV",Worksheet!$S$69,IF(J124="CBAB",Worksheet!$U$69,IF(J124="CBAW",Worksheet!$X$69,IF(J124="CBE2-12",Worksheet!$Y$69,IF(J124="CBAL2",Worksheet!$Z$69,"N/A"))))))))," ")</f>
        <v xml:space="preserve"> </v>
      </c>
      <c r="FU124" s="361" t="str">
        <f t="shared" si="381"/>
        <v xml:space="preserve"> </v>
      </c>
      <c r="FV124" s="362" t="str">
        <f t="shared" si="382"/>
        <v xml:space="preserve"> </v>
      </c>
      <c r="FW124" s="362" t="str">
        <f t="shared" si="383"/>
        <v xml:space="preserve"> </v>
      </c>
      <c r="FX124" s="362" t="str">
        <f t="shared" si="384"/>
        <v xml:space="preserve"> </v>
      </c>
      <c r="FY124" s="355" t="str">
        <f t="shared" si="385"/>
        <v xml:space="preserve"> </v>
      </c>
      <c r="FZ124" s="361" t="str">
        <f t="shared" si="386"/>
        <v xml:space="preserve"> </v>
      </c>
      <c r="GA124" s="347" t="str">
        <f t="shared" si="387"/>
        <v xml:space="preserve"> </v>
      </c>
      <c r="GB124" s="355" t="str">
        <f t="shared" si="388"/>
        <v xml:space="preserve"> </v>
      </c>
      <c r="GC124" s="328" t="str">
        <f t="shared" si="389"/>
        <v xml:space="preserve"> </v>
      </c>
      <c r="GD124" s="361" t="str">
        <f t="shared" si="390"/>
        <v xml:space="preserve"> </v>
      </c>
      <c r="GE124" s="347" t="str">
        <f t="shared" si="391"/>
        <v xml:space="preserve"> </v>
      </c>
      <c r="GF124" s="361" t="str">
        <f t="shared" si="392"/>
        <v xml:space="preserve"> </v>
      </c>
      <c r="GG124" s="347" t="str">
        <f t="shared" si="393"/>
        <v xml:space="preserve"> </v>
      </c>
      <c r="GH124" s="364">
        <f t="shared" si="287"/>
        <v>0</v>
      </c>
      <c r="GI124" s="362">
        <f t="shared" si="394"/>
        <v>2</v>
      </c>
      <c r="GJ124" s="433" t="e">
        <f>IF(6-COUNTBLANK(GT124:GY124)=4,MATCH(MID(BO124,9,3),CLU!$H$16:$K$16),MATCH(MID(BO124,9,3),CLU!$H$13:$M$13))</f>
        <v>#N/A</v>
      </c>
      <c r="GK124" s="433" t="e">
        <f>HLOOKUP(VALUE(BP124),CLU!$H$9:$M$10,2)</f>
        <v>#VALUE!</v>
      </c>
      <c r="GL124" s="433" t="e">
        <f ca="1">MATCH(BU124,CLU!$H$2:$V$2,1)</f>
        <v>#VALUE!</v>
      </c>
      <c r="GM124" s="433" t="e">
        <f t="shared" ca="1" si="395"/>
        <v>#VALUE!</v>
      </c>
      <c r="GN124" s="433" t="e">
        <f t="shared" ca="1" si="396"/>
        <v>#VALUE!</v>
      </c>
      <c r="GO124" s="433" t="e">
        <f t="shared" ca="1" si="397"/>
        <v>#VALUE!</v>
      </c>
      <c r="GP124" s="433" t="e">
        <f t="shared" ca="1" si="398"/>
        <v>#VALUE!</v>
      </c>
      <c r="GQ124" s="433" t="e">
        <f t="shared" ca="1" si="399"/>
        <v>#VALUE!</v>
      </c>
      <c r="GR124" s="433" t="e">
        <f ca="1">MATCH(T124,INDIRECT(VLOOKUP(CONCATENATE(LEFT(BO124,7),"-",MID(BO124,13,1)),CLU!$P$3:$Q$16,2)),1)</f>
        <v>#N/A</v>
      </c>
      <c r="GS124" s="433" t="e">
        <f ca="1">MATCH(U124,INDIRECT(VLOOKUP(CONCATENATE(LEFT(BO124,7),"-",MID(BO124,13,1)),CLU!$P$3:$Q$16,2)),1)</f>
        <v>#N/A</v>
      </c>
      <c r="GT124" s="347" t="s">
        <v>512</v>
      </c>
      <c r="GU124" s="97" t="s">
        <v>513</v>
      </c>
      <c r="GV124" s="97" t="str">
        <f t="shared" si="400"/>
        <v>M23</v>
      </c>
      <c r="GW124" s="97" t="str">
        <f t="shared" si="401"/>
        <v>M31</v>
      </c>
      <c r="GX124" s="97" t="str">
        <f t="shared" si="402"/>
        <v/>
      </c>
      <c r="GY124" s="97" t="str">
        <f t="shared" si="403"/>
        <v/>
      </c>
      <c r="GZ124" s="481"/>
      <c r="HA124" s="288"/>
      <c r="HB124" s="240"/>
      <c r="HC124" s="240"/>
      <c r="HD124" s="240"/>
      <c r="HE124" s="240"/>
      <c r="HF124" s="240"/>
      <c r="HG124" s="240"/>
      <c r="HH124" s="240"/>
      <c r="HI124" s="240"/>
      <c r="HJ124" s="240"/>
      <c r="HK124" s="240"/>
      <c r="HL124" s="240"/>
      <c r="HM124" s="240"/>
      <c r="HN124" s="240"/>
      <c r="HO124" s="240"/>
      <c r="HP124" s="240"/>
      <c r="HQ124" s="240"/>
      <c r="HR124" s="240"/>
      <c r="HS124" s="240"/>
      <c r="HT124" s="240"/>
      <c r="HU124" s="240"/>
      <c r="HV124" s="245"/>
      <c r="HW124" s="245" t="b">
        <v>1</v>
      </c>
      <c r="HX124" s="245" t="str">
        <f t="shared" si="288"/>
        <v/>
      </c>
      <c r="HY124" s="245" t="e">
        <f t="shared" si="289"/>
        <v>#DIV/0!</v>
      </c>
      <c r="HZ124" s="245" t="e">
        <f t="shared" si="290"/>
        <v>#DIV/0!</v>
      </c>
      <c r="IA124" s="245">
        <f t="shared" si="291"/>
        <v>0</v>
      </c>
      <c r="IB124" s="245"/>
      <c r="IC124" t="b">
        <f t="shared" si="292"/>
        <v>1</v>
      </c>
      <c r="ID124" s="245" t="b">
        <f t="shared" si="293"/>
        <v>1</v>
      </c>
      <c r="IE124" s="245" t="b">
        <f t="shared" si="294"/>
        <v>1</v>
      </c>
      <c r="IF124" s="245" t="b">
        <f t="shared" si="295"/>
        <v>0</v>
      </c>
      <c r="IG124" s="245" t="b">
        <f t="shared" si="296"/>
        <v>1</v>
      </c>
      <c r="IH124" s="245" t="b">
        <f t="shared" si="297"/>
        <v>1</v>
      </c>
      <c r="II124" s="245">
        <f t="shared" si="404"/>
        <v>0</v>
      </c>
      <c r="IJ124" s="245" t="e">
        <f t="shared" si="298"/>
        <v>#VALUE!</v>
      </c>
      <c r="IK124" s="245" t="e">
        <f t="shared" si="299"/>
        <v>#VALUE!</v>
      </c>
      <c r="IL124" s="245"/>
      <c r="IM124" s="245" t="e">
        <f t="shared" si="405"/>
        <v>#N/A</v>
      </c>
      <c r="IN124" s="245" t="e">
        <f t="shared" si="406"/>
        <v>#N/A</v>
      </c>
      <c r="IO124" s="245"/>
      <c r="IP124" s="245"/>
      <c r="IQ124" s="245" t="str">
        <f t="shared" si="300"/>
        <v/>
      </c>
      <c r="IR124" s="245" t="str">
        <f>IF(J124="","",VLOOKUP(J124,Worksheet!$R$4:$T$14,2))</f>
        <v/>
      </c>
      <c r="IS124" s="245"/>
      <c r="IT124" s="245">
        <f t="shared" si="301"/>
        <v>0</v>
      </c>
      <c r="IU124" s="245">
        <f t="shared" si="302"/>
        <v>0</v>
      </c>
      <c r="IV124" s="245">
        <f t="shared" si="303"/>
        <v>0</v>
      </c>
      <c r="IW124" s="245">
        <f t="shared" si="304"/>
        <v>0</v>
      </c>
      <c r="IX124" s="245">
        <f t="shared" si="407"/>
        <v>0</v>
      </c>
      <c r="IY124" s="245">
        <f t="shared" si="305"/>
        <v>0</v>
      </c>
      <c r="IZ124" s="245">
        <f t="shared" si="306"/>
        <v>0</v>
      </c>
      <c r="JA124">
        <f t="shared" si="307"/>
        <v>0</v>
      </c>
      <c r="JB124">
        <f t="shared" si="408"/>
        <v>0</v>
      </c>
      <c r="JC124">
        <f t="shared" si="308"/>
        <v>0</v>
      </c>
      <c r="JD124">
        <f t="shared" si="309"/>
        <v>0</v>
      </c>
      <c r="JE124">
        <f t="shared" si="310"/>
        <v>0</v>
      </c>
      <c r="JF124">
        <f t="shared" si="311"/>
        <v>0</v>
      </c>
      <c r="JG124">
        <f t="shared" si="312"/>
        <v>0</v>
      </c>
      <c r="JH124">
        <f t="shared" si="313"/>
        <v>0</v>
      </c>
      <c r="JI124">
        <f t="shared" si="314"/>
        <v>0</v>
      </c>
      <c r="JJ124" s="447">
        <f t="shared" si="315"/>
        <v>0</v>
      </c>
      <c r="JK124" s="447">
        <f t="shared" si="316"/>
        <v>0</v>
      </c>
      <c r="JL124">
        <f t="shared" si="317"/>
        <v>0</v>
      </c>
      <c r="JM124" s="245" t="str">
        <f>IFERROR(VLOOKUP(MATCH(BN124,#REF!,0),#REF!,7),"")</f>
        <v/>
      </c>
      <c r="JN124" t="e">
        <f>HLOOKUP(LEFT(BO124,7),Discharge_Area,MATCH(JO124,LookUps!$B$130:$B$149,1)+2)</f>
        <v>#N/A</v>
      </c>
      <c r="JO124" t="str">
        <f t="shared" si="318"/>
        <v>- S</v>
      </c>
      <c r="JP124" t="e">
        <f>HLOOKUP(LEFT(BO124,7),Discharge_Area,MATCH(JO124,LookUps!$B$130:$B$149,1)+2)</f>
        <v>#N/A</v>
      </c>
      <c r="JQ124" t="e">
        <f t="shared" si="319"/>
        <v>#N/A</v>
      </c>
      <c r="JR124" t="e">
        <f t="shared" si="320"/>
        <v>#N/A</v>
      </c>
      <c r="JS124" t="e">
        <f t="shared" si="321"/>
        <v>#N/A</v>
      </c>
      <c r="JT124" s="532" t="str">
        <f t="shared" si="322"/>
        <v xml:space="preserve"> </v>
      </c>
      <c r="JU124" s="532" t="str">
        <f t="shared" si="323"/>
        <v xml:space="preserve"> </v>
      </c>
      <c r="JV124" s="533" t="str">
        <f t="shared" si="324"/>
        <v xml:space="preserve"> </v>
      </c>
      <c r="JW124" s="534">
        <f t="shared" si="325"/>
        <v>0</v>
      </c>
      <c r="JX124" s="535" t="str">
        <f t="shared" si="409"/>
        <v xml:space="preserve"> </v>
      </c>
      <c r="JY124" s="535" t="str">
        <f t="shared" si="410"/>
        <v xml:space="preserve"> </v>
      </c>
      <c r="JZ124" s="535" t="str">
        <f t="shared" si="411"/>
        <v xml:space="preserve"> </v>
      </c>
      <c r="KA124" s="536" t="str">
        <f t="shared" si="326"/>
        <v xml:space="preserve"> </v>
      </c>
      <c r="KB124" s="535" t="e">
        <f t="shared" si="412"/>
        <v>#VALUE!</v>
      </c>
      <c r="KC124" s="535" t="str">
        <f t="shared" si="327"/>
        <v/>
      </c>
      <c r="KD124" s="537" t="str">
        <f t="shared" si="413"/>
        <v xml:space="preserve"> </v>
      </c>
      <c r="KE124" s="537" t="str">
        <f t="shared" si="414"/>
        <v xml:space="preserve"> </v>
      </c>
      <c r="KF124" s="534">
        <f t="shared" si="328"/>
        <v>0</v>
      </c>
      <c r="KG124" s="535" t="str">
        <f t="shared" si="329"/>
        <v xml:space="preserve"> </v>
      </c>
      <c r="KH124" s="535" t="str">
        <f t="shared" si="330"/>
        <v xml:space="preserve"> </v>
      </c>
      <c r="KI124" s="535" t="str">
        <f t="shared" si="331"/>
        <v xml:space="preserve"> </v>
      </c>
      <c r="KJ124" s="536" t="str">
        <f t="shared" si="332"/>
        <v xml:space="preserve"> </v>
      </c>
      <c r="KK124" s="535" t="str">
        <f t="shared" si="415"/>
        <v xml:space="preserve"> </v>
      </c>
      <c r="KL124" s="535" t="str">
        <f t="shared" si="416"/>
        <v xml:space="preserve"> </v>
      </c>
      <c r="KM124" s="537" t="str">
        <f t="shared" si="333"/>
        <v xml:space="preserve"> </v>
      </c>
      <c r="KN124" s="537" t="str">
        <f t="shared" si="417"/>
        <v xml:space="preserve"> </v>
      </c>
      <c r="KP124">
        <f t="shared" si="334"/>
        <v>0</v>
      </c>
      <c r="LA124" t="e">
        <f t="shared" si="335"/>
        <v>#VALUE!</v>
      </c>
      <c r="LB124" t="e">
        <f t="shared" si="336"/>
        <v>#VALUE!</v>
      </c>
      <c r="LC124" t="e">
        <f t="shared" si="337"/>
        <v>#VALUE!</v>
      </c>
      <c r="LD124" t="e">
        <f t="shared" si="338"/>
        <v>#VALUE!</v>
      </c>
      <c r="LE124" t="e">
        <f t="shared" si="418"/>
        <v>#VALUE!</v>
      </c>
      <c r="LF124">
        <f t="shared" si="339"/>
        <v>0</v>
      </c>
      <c r="LG124" t="e">
        <f t="shared" si="419"/>
        <v>#VALUE!</v>
      </c>
      <c r="LH124" t="str">
        <f t="shared" si="340"/>
        <v xml:space="preserve"> </v>
      </c>
      <c r="LI124">
        <f t="shared" si="420"/>
        <v>1</v>
      </c>
    </row>
    <row r="125" spans="2:321" ht="15" customHeight="1">
      <c r="B125" s="311"/>
      <c r="C125" s="311"/>
      <c r="D125" s="312"/>
      <c r="E125" s="311"/>
      <c r="F125" s="312"/>
      <c r="G125" s="311"/>
      <c r="H125" s="311"/>
      <c r="I125" s="37"/>
      <c r="J125" s="311"/>
      <c r="K125" s="305" t="str">
        <f t="shared" si="341"/>
        <v/>
      </c>
      <c r="L125" s="313"/>
      <c r="M125" s="312"/>
      <c r="N125" s="311"/>
      <c r="O125" s="312"/>
      <c r="P125" s="311"/>
      <c r="Q125" s="305" t="str">
        <f t="shared" si="342"/>
        <v/>
      </c>
      <c r="R125" s="314"/>
      <c r="S125" s="450" t="str">
        <f t="shared" si="225"/>
        <v/>
      </c>
      <c r="T125" s="315"/>
      <c r="U125" s="315"/>
      <c r="W125" s="149" t="str">
        <f t="shared" si="226"/>
        <v xml:space="preserve"> </v>
      </c>
      <c r="X125" s="243" t="str">
        <f t="shared" si="227"/>
        <v xml:space="preserve"> </v>
      </c>
      <c r="Y125" s="150" t="str">
        <f t="shared" si="228"/>
        <v/>
      </c>
      <c r="Z125" s="149" t="str">
        <f t="shared" si="229"/>
        <v xml:space="preserve"> </v>
      </c>
      <c r="AA125" s="98" t="str">
        <f t="shared" si="230"/>
        <v xml:space="preserve"> </v>
      </c>
      <c r="AB125" s="153" t="str">
        <f t="shared" si="231"/>
        <v xml:space="preserve"> </v>
      </c>
      <c r="AC125" s="153" t="str">
        <f t="shared" si="232"/>
        <v xml:space="preserve"> </v>
      </c>
      <c r="AD125" s="148" t="str">
        <f t="shared" si="233"/>
        <v/>
      </c>
      <c r="AE125" s="149" t="str">
        <f t="shared" si="234"/>
        <v/>
      </c>
      <c r="AF125" s="151" t="str">
        <f t="shared" si="235"/>
        <v xml:space="preserve"> </v>
      </c>
      <c r="AG125" s="153" t="str">
        <f t="shared" si="236"/>
        <v xml:space="preserve"> </v>
      </c>
      <c r="AH125" s="98" t="str">
        <f t="shared" si="237"/>
        <v xml:space="preserve"> </v>
      </c>
      <c r="AI125" s="149" t="str">
        <f t="shared" si="238"/>
        <v xml:space="preserve"> </v>
      </c>
      <c r="AK125" s="144" t="str">
        <f t="shared" si="239"/>
        <v xml:space="preserve"> </v>
      </c>
      <c r="AL125" s="144"/>
      <c r="AM125" s="243" t="str">
        <f t="shared" si="240"/>
        <v xml:space="preserve"> </v>
      </c>
      <c r="AN125" s="149" t="str">
        <f t="shared" si="343"/>
        <v xml:space="preserve"> </v>
      </c>
      <c r="AO125" s="144" t="str">
        <f>IF(JB125&gt;0,IF(GI125=10,-R125*1.085*(Calculation!$F$6-Calculation!$F$13)*$S$14," "),"")</f>
        <v/>
      </c>
      <c r="AP125" s="144" t="str">
        <f t="shared" si="241"/>
        <v/>
      </c>
      <c r="AQ125" s="56" t="str">
        <f t="shared" si="242"/>
        <v/>
      </c>
      <c r="AR125" s="144" t="str">
        <f t="shared" si="243"/>
        <v/>
      </c>
      <c r="AS125" s="176" t="str">
        <f t="shared" si="244"/>
        <v/>
      </c>
      <c r="AT125" s="176" t="str">
        <f t="shared" si="344"/>
        <v xml:space="preserve"> </v>
      </c>
      <c r="AU125" s="176" t="str">
        <f t="shared" si="245"/>
        <v/>
      </c>
      <c r="AV125" s="177" t="str">
        <f t="shared" si="246"/>
        <v xml:space="preserve"> </v>
      </c>
      <c r="AW125" s="144" t="str">
        <f t="shared" si="247"/>
        <v xml:space="preserve"> </v>
      </c>
      <c r="AX125" s="144" t="str">
        <f t="shared" si="248"/>
        <v xml:space="preserve"> </v>
      </c>
      <c r="AY125" s="152" t="str">
        <f t="shared" si="249"/>
        <v xml:space="preserve"> </v>
      </c>
      <c r="AZ125" s="246" t="str">
        <f t="shared" si="250"/>
        <v/>
      </c>
      <c r="BA125" s="176" t="str">
        <f t="shared" si="251"/>
        <v xml:space="preserve"> </v>
      </c>
      <c r="BB125" s="176" t="str">
        <f t="shared" si="252"/>
        <v xml:space="preserve"> </v>
      </c>
      <c r="BC125" s="195"/>
      <c r="BD125" s="316"/>
      <c r="BE125" s="317"/>
      <c r="BF125" s="318"/>
      <c r="BG125" s="318"/>
      <c r="BH125" s="144" t="str">
        <f t="shared" si="421"/>
        <v xml:space="preserve"> </v>
      </c>
      <c r="BI125" s="176" t="str">
        <f t="shared" si="253"/>
        <v/>
      </c>
      <c r="BJ125" s="144" t="str">
        <f t="shared" si="422"/>
        <v/>
      </c>
      <c r="BK125" s="246" t="str">
        <f t="shared" si="254"/>
        <v/>
      </c>
      <c r="BL125" s="144" t="str">
        <f t="shared" si="423"/>
        <v/>
      </c>
      <c r="BM125" s="246" t="str">
        <f t="shared" si="255"/>
        <v/>
      </c>
      <c r="BN125" s="337" t="str">
        <f t="shared" si="345"/>
        <v/>
      </c>
      <c r="BO125" s="371" t="str">
        <f t="shared" si="346"/>
        <v/>
      </c>
      <c r="BP125" s="328" t="str">
        <f t="shared" si="424"/>
        <v xml:space="preserve"> </v>
      </c>
      <c r="BQ125" s="347" t="str">
        <f t="shared" si="347"/>
        <v xml:space="preserve"> </v>
      </c>
      <c r="BR125" s="353" t="str">
        <f t="shared" si="348"/>
        <v xml:space="preserve"> </v>
      </c>
      <c r="BS125" s="626" t="str">
        <f>IF(L125&gt;0,IF(Calculation!P125="M13",BR125*3.1416*(0.134^2)/(4*144),IF(Calculation!P125="M17",BR125*3.1416*(0.165^2)/(4*144),IF(Calculation!P125="M20",BR125*3.1416*(0.198^2)/(4*144),IF(Calculation!P125="M23",BR125*3.1416*(0.228^2)/(4*144),IF(Calculation!P125="M27",BR125*3.1416*(0.269^2)/(4*144),BR125*3.1416*(0.307^2)/(4*144))))))," ")</f>
        <v xml:space="preserve"> </v>
      </c>
      <c r="BT125" s="353" t="str">
        <f>IF(L125&gt;0,IF(BS125&gt;0,R125/Calculation!BS125,0)," ")</f>
        <v xml:space="preserve"> </v>
      </c>
      <c r="BU125" s="438" t="e">
        <f t="shared" ca="1" si="256"/>
        <v>#VALUE!</v>
      </c>
      <c r="BV125" s="449" t="e">
        <f ca="1">INDEX(INDIRECT(VLOOKUP(LEFT(BO125,7),CLU!$Z$3:$AH$18,2)),GN125,GR125)</f>
        <v>#N/A</v>
      </c>
      <c r="BW125" s="433" t="e">
        <f ca="1">INDEX(INDIRECT(VLOOKUP(LEFT(BO125,7),CLU!$Z$3:$AH$18,3)),GN125,GR125)</f>
        <v>#N/A</v>
      </c>
      <c r="BX125" s="433" t="e">
        <f ca="1">INDEX(INDIRECT(VLOOKUP(LEFT(BO125,7),CLU!$Z$3:$AH$18,4)),GN125,GR125)</f>
        <v>#N/A</v>
      </c>
      <c r="BY125" s="433" t="e">
        <f ca="1">INDEX(INDIRECT(VLOOKUP(LEFT(BO125,7),CLU!$Z$3:$AH$18,9)),((M125-2)*(6-COUNTBLANK(GT125:GY125)))+GJ125)</f>
        <v>#N/A</v>
      </c>
      <c r="BZ125" s="426" t="e">
        <f t="shared" ca="1" si="349"/>
        <v>#N/A</v>
      </c>
      <c r="CA125" s="424" t="e">
        <f t="shared" ca="1" si="350"/>
        <v>#N/A</v>
      </c>
      <c r="CB125" s="429" t="e">
        <f ca="1">INDEX(INDIRECT(VLOOKUP(LEFT(BO125,7),CLU!$Z$3:$AH$18,2)),GN125,GS125)</f>
        <v>#N/A</v>
      </c>
      <c r="CC125" s="342" t="e">
        <f ca="1">INDEX(INDIRECT(VLOOKUP(LEFT(BO125,7),CLU!$Z$3:$AH$18,3)),GN125,GS125)</f>
        <v>#N/A</v>
      </c>
      <c r="CD125" s="342" t="e">
        <f ca="1">INDEX(INDIRECT(VLOOKUP(LEFT(BO125,7),CLU!$Z$3:$AH$18,4)),GN125,GS125)</f>
        <v>#N/A</v>
      </c>
      <c r="CE125" s="426" t="e">
        <f t="shared" ca="1" si="351"/>
        <v>#N/A</v>
      </c>
      <c r="CF125" s="440">
        <f t="shared" si="352"/>
        <v>0</v>
      </c>
      <c r="CG125" s="431" t="e">
        <f ca="1">INDEX(INDIRECT(VLOOKUP(LEFT(BO125,7),CLU!$Z$3:$AH$18,2)),GQ125,GR125)</f>
        <v>#N/A</v>
      </c>
      <c r="CH125" s="431" t="e">
        <f ca="1">INDEX(INDIRECT(VLOOKUP(LEFT(BO125,7),CLU!$Z$3:$AH$18,3)),GQ125,GR125)</f>
        <v>#N/A</v>
      </c>
      <c r="CI125" s="431" t="e">
        <f ca="1">INDEX(INDIRECT(VLOOKUP(LEFT(BO125,7),CLU!$Z$3:$AH$18,4)),GQ125,GR125)</f>
        <v>#N/A</v>
      </c>
      <c r="CJ125" s="448" t="e">
        <f t="shared" ca="1" si="353"/>
        <v>#N/A</v>
      </c>
      <c r="CK125" s="431" t="e">
        <f t="shared" ca="1" si="354"/>
        <v>#N/A</v>
      </c>
      <c r="CL125" s="440" t="e">
        <f t="shared" ca="1" si="355"/>
        <v>#N/A</v>
      </c>
      <c r="CM125" s="431" t="e">
        <f ca="1">INDEX(INDIRECT(VLOOKUP(LEFT(BO125,7),CLU!$Z$3:$AH$18,2)),GQ125,GS125)</f>
        <v>#N/A</v>
      </c>
      <c r="CN125" s="431" t="e">
        <f ca="1">INDEX(INDIRECT(VLOOKUP(LEFT(BO125,7),CLU!$Z$3:$AH$18,3)),GQ125,GS125)</f>
        <v>#N/A</v>
      </c>
      <c r="CO125" s="431" t="e">
        <f ca="1">INDEX(INDIRECT(VLOOKUP(LEFT(BO125,7),CLU!$Z$3:$AH$18,4)),GQ125,GS125)</f>
        <v>#N/A</v>
      </c>
      <c r="CP125" s="431" t="e">
        <f t="shared" ca="1" si="356"/>
        <v>#N/A</v>
      </c>
      <c r="CQ125" s="440">
        <f t="shared" si="357"/>
        <v>0</v>
      </c>
      <c r="CR125" s="51" t="e">
        <f t="shared" ca="1" si="358"/>
        <v>#N/A</v>
      </c>
      <c r="CS125" s="439" t="e">
        <f t="shared" ca="1" si="359"/>
        <v>#VALUE!</v>
      </c>
      <c r="CT125" s="51" t="e">
        <f t="shared" ca="1" si="360"/>
        <v>#VALUE!</v>
      </c>
      <c r="CU125" s="10"/>
      <c r="CV125" s="51" t="e">
        <f t="shared" ca="1" si="257"/>
        <v>#VALUE!</v>
      </c>
      <c r="CW125" s="51">
        <f t="shared" si="361"/>
        <v>0</v>
      </c>
      <c r="CX125" s="439" t="e">
        <f t="shared" ca="1" si="362"/>
        <v>#VALUE!</v>
      </c>
      <c r="CY125" s="51" t="e">
        <f t="shared" ca="1" si="363"/>
        <v>#VALUE!</v>
      </c>
      <c r="CZ125" s="10"/>
      <c r="DA125" s="51" t="e">
        <f t="shared" ca="1" si="364"/>
        <v>#VALUE!</v>
      </c>
      <c r="DB125" s="347" t="e">
        <f ca="1">INDEX(INDIRECT(VLOOKUP(LEFT(BO125,7),CLU!$Z$3:$AI$18,10)),((M125-2)*(6-COUNTBLANK(GT125:GY125)))+GJ125)*LI125</f>
        <v>#N/A</v>
      </c>
      <c r="DC125" s="347" t="str">
        <f>IF(L125&gt;0,((R125/Worksheet!$I$15)/DB125)^2," ")</f>
        <v xml:space="preserve"> </v>
      </c>
      <c r="DD125" s="602" t="str">
        <f t="shared" si="365"/>
        <v xml:space="preserve"> </v>
      </c>
      <c r="DE125" s="347" t="str">
        <f t="shared" si="258"/>
        <v xml:space="preserve"> </v>
      </c>
      <c r="DF125" s="356" t="e">
        <f ca="1">INDEX(INDIRECT(VLOOKUP(LEFT(BO125,7),CLU!$Z$3:$AH$18,8)),((M125-2)*(6-COUNTBLANK(GT125:GY125)))+GJ125)</f>
        <v>#N/A</v>
      </c>
      <c r="DG125" s="347" t="str">
        <f t="shared" si="259"/>
        <v xml:space="preserve"> </v>
      </c>
      <c r="DH125" s="357" t="str">
        <f t="shared" si="260"/>
        <v xml:space="preserve"> </v>
      </c>
      <c r="DI125" s="355" t="str">
        <f t="shared" si="261"/>
        <v xml:space="preserve"> </v>
      </c>
      <c r="DJ125" s="245" t="e">
        <f ca="1">INDEX(INDIRECT(VLOOKUP(LEFT(BO125,7),CLU!$Z$3:$AH$18,5)),GL125,GK125)</f>
        <v>#N/A</v>
      </c>
      <c r="DK125" s="245" t="e">
        <f ca="1">INDEX(INDIRECT(VLOOKUP(LEFT(BO125,7),CLU!$Z$3:$AH$18,6)),GL125,GK125)</f>
        <v>#N/A</v>
      </c>
      <c r="DL125" s="355">
        <f>(Calculation!R125*0.69143*(Calculation!$BQ$8-Calculation!$F$8))*$S$14</f>
        <v>0</v>
      </c>
      <c r="DM125" s="359" t="e">
        <f t="shared" si="366"/>
        <v>#VALUE!</v>
      </c>
      <c r="DN125" s="611">
        <f t="shared" si="367"/>
        <v>0</v>
      </c>
      <c r="DO125" s="359">
        <f t="shared" si="368"/>
        <v>100</v>
      </c>
      <c r="DP125" s="359">
        <f t="shared" si="369"/>
        <v>0</v>
      </c>
      <c r="DQ125" s="360"/>
      <c r="DR125" s="245" t="e">
        <f ca="1">INDEX(INDIRECT(VLOOKUP(LEFT(BO125,7),CLU!$Z$3:$AH$18,7)),M125-1,1)</f>
        <v>#N/A</v>
      </c>
      <c r="DS125" s="245" t="e">
        <f ca="1">INDEX(INDIRECT(VLOOKUP(LEFT(BO125,7),CLU!$Z$3:$AH$18,7)),M125-1,2)</f>
        <v>#N/A</v>
      </c>
      <c r="DT125" s="245" t="e">
        <f ca="1">INDEX(INDIRECT(VLOOKUP(LEFT(BO125,7),CLU!$Z$3:$AH$18,7)),M125-1,3)</f>
        <v>#N/A</v>
      </c>
      <c r="DU125" s="245" t="e">
        <f ca="1">INDEX(INDIRECT(VLOOKUP(LEFT(BO125,7),CLU!$Z$3:$AH$18,7)),M125-1,4)</f>
        <v>#N/A</v>
      </c>
      <c r="DV125" s="361" t="e">
        <f ca="1">INDEX(INDIRECT(VLOOKUP(LEFT(BO125,7),CLU!$Z$3:$AH$18,7)),M125-1,4+LEFT(DZ125,1)*0.5)</f>
        <v>#N/A</v>
      </c>
      <c r="DW125" s="245" t="e">
        <f ca="1">INDEX(INDIRECT(VLOOKUP(LEFT(BO125,7),CLU!$Z$3:$AH$18,7)),M125-1,8)</f>
        <v>#N/A</v>
      </c>
      <c r="DX125" s="361" t="str">
        <f t="shared" si="262"/>
        <v xml:space="preserve"> </v>
      </c>
      <c r="DY125" s="361" t="str">
        <f t="shared" si="263"/>
        <v xml:space="preserve"> </v>
      </c>
      <c r="DZ125" s="361" t="str">
        <f t="shared" si="264"/>
        <v xml:space="preserve"> </v>
      </c>
      <c r="EA125" s="362" t="str">
        <f t="shared" si="265"/>
        <v xml:space="preserve"> </v>
      </c>
      <c r="EB125" s="624" t="str">
        <f t="shared" si="370"/>
        <v xml:space="preserve"> </v>
      </c>
      <c r="EC125" s="361" t="e">
        <f ca="1">INDEX(INDIRECT(VLOOKUP(LEFT(BO125,7),CLU!$Z$3:$AH$18,7)),M125-1,4+LEFT(DZ125,1)*0.5)</f>
        <v>#N/A</v>
      </c>
      <c r="ED125" s="362" t="str">
        <f t="shared" si="266"/>
        <v xml:space="preserve"> </v>
      </c>
      <c r="EE125" s="361" t="str">
        <f t="shared" si="267"/>
        <v xml:space="preserve"> </v>
      </c>
      <c r="EF125" s="362" t="str">
        <f>IF(L125&gt;0,IF(BR125&gt;0,IF(EE125="2P",IF(Calculation!DZ125="2P",IF(Calculation!DS125=13.75,IF(Calculation!DR125=13,Worksheet!$BD$43,IF(Calculation!DR125=37,Worksheet!$BD$44,Worksheet!$BD$45)),IF(Calculation!DS125=10,IF(Calculation!DR125=18,Worksheet!$BD$29,IF(Calculation!DR125=30,Worksheet!$BD$30,IF(Calculation!DR125=42,Worksheet!$BD$31,IF(Calculation!DR125=54,Worksheet!$BD$32,IF(Calculation!DR125=66,Worksheet!$BD$33,IF(Calculation!DR125=78,Worksheet!$BD$34,IF(Calculation!DR125=90,Worksheet!$BD$35,IF(Calculation!DR125=102,Worksheet!$BD$36,Worksheet!$BD$37)))))))),IF(Calculation!DS125=12.5,IF(Calculation!DR125=18,Worksheet!$BD$38,IF(Calculation!DR125=Worksheet!$BD$39,IF(Calculation!DR125=42,Worksheet!$BD$40,IF(Calculation!DR125=54,Worksheet!$BD$41,Worksheet!$BD$42)))),IF(Calculation!DR125=18,Worksheet!$BD$11,IF(Calculation!DR125=30,Worksheet!$BD$12,IF(Calculation!DR125=42,Worksheet!$BD$13,IF(Calculation!DR125=54,Worksheet!$BD$14,IF(Calculation!DR125=66,Worksheet!$BD$15,IF(Calculation!DR125=78,Worksheet!$BD$16,IF(Calculation!DR125=90,Worksheet!$BD$17,IF(Calculation!DR125=102,Worksheet!$BD$18,Worksheet!$BD$19))))))))))),IF(Calculation!DS125=13.75,IF(Calculation!DR125=13,Worksheet!$BD$78,IF(Calculation!DR125=37,Worksheet!$BD$79,Worksheet!$BD$80)),IF(Calculation!DS125=10,IF(Calculation!DR125=18,Worksheet!$BD$64,IF(Calculation!DR125=30,Worksheet!$BD$65,IF(Calculation!DR125=42,Worksheet!$BD$66,IF(Calculation!DR125=54,Worksheet!$BD$68,IF(Calculation!DR125=66,Worksheet!$BD$68,IF(Calculation!DR125=78,Worksheet!$BD$69,IF(Calculation!DR125=90,Worksheet!$BD$70,IF(Calculation!DR125=102,Worksheet!$BD$71,Worksheet!$BD$72)))))))),IF(Calculation!DS125=12.5,IF(Calculation!DR125=18,Worksheet!$BD$73,IF(Calculation!DR125=Worksheet!$BD$74,IF(Calculation!DR125=42,Worksheet!$BD$75,IF(Calculation!DR125=54,Worksheet!$BD$76,Worksheet!$BD$77)))),IF(Calculation!DR125=18,Worksheet!$BD$55,IF(Calculation!DR125=30,Worksheet!$BD$56,IF(Calculation!DR125=42,Worksheet!$BD$57,IF(Calculation!DR125=54,Worksheet!$BD$58,IF(Calculation!DR125=66,Worksheet!$BD$59,IF(Calculation!DR125=78,Worksheet!$BD$60,IF(Calculation!DR125=90,Worksheet!$BD$61,IF(Calculation!DR125=102,Worksheet!$BD$62,Worksheet!$BD$63)))))))))))),5),0)," ")</f>
        <v xml:space="preserve"> </v>
      </c>
      <c r="EG125" s="361" t="str">
        <f t="shared" si="268"/>
        <v xml:space="preserve"> </v>
      </c>
      <c r="EH125" s="361" t="e">
        <f ca="1">INDEX(INDIRECT(VLOOKUP(LEFT(BO125,7),CLU!$Z$3:$AH$18,7)),M125-1,3+LEFT(DZ125,1))</f>
        <v>#N/A</v>
      </c>
      <c r="EI125" s="362" t="str">
        <f t="shared" si="269"/>
        <v xml:space="preserve"> </v>
      </c>
      <c r="EJ125" s="363" t="str">
        <f t="shared" si="270"/>
        <v xml:space="preserve"> </v>
      </c>
      <c r="EK125" s="363" t="str">
        <f t="shared" si="271"/>
        <v xml:space="preserve"> </v>
      </c>
      <c r="EL125" s="363" t="str">
        <f t="shared" si="272"/>
        <v xml:space="preserve"> </v>
      </c>
      <c r="EM125" s="362" t="str">
        <f>IF(L125&gt;0,IF(BR125&gt;0,(Calculation!T125/ED125)^2,0)," ")</f>
        <v xml:space="preserve"> </v>
      </c>
      <c r="EN125" s="362" t="str">
        <f>IF(L125&gt;0,IF(O125="2 Pipe (Cooling)","N/A",IF(BR125&gt;0,(Calculation!U125/EI125)^2,0))," ")</f>
        <v xml:space="preserve"> </v>
      </c>
      <c r="EO125" s="361" t="str">
        <f t="shared" si="273"/>
        <v/>
      </c>
      <c r="EP125" s="361" t="str">
        <f t="shared" si="274"/>
        <v/>
      </c>
      <c r="EQ125" s="361" t="str">
        <f t="shared" si="275"/>
        <v/>
      </c>
      <c r="ER125" s="361" t="str">
        <f t="shared" si="276"/>
        <v/>
      </c>
      <c r="ES125" s="361" t="str">
        <f t="shared" si="277"/>
        <v/>
      </c>
      <c r="ET125" s="361" t="str">
        <f t="shared" si="278"/>
        <v/>
      </c>
      <c r="EU125" s="361" t="str">
        <f t="shared" si="279"/>
        <v/>
      </c>
      <c r="EV125" s="361" t="str">
        <f t="shared" si="280"/>
        <v/>
      </c>
      <c r="EW125" s="361" t="str">
        <f t="shared" si="281"/>
        <v/>
      </c>
      <c r="EX125" s="361" t="str">
        <f t="shared" si="371"/>
        <v>1 slot, 1 way</v>
      </c>
      <c r="EY125" s="361" t="str">
        <f t="shared" si="372"/>
        <v xml:space="preserve"> </v>
      </c>
      <c r="EZ125" s="361" t="str">
        <f t="shared" si="373"/>
        <v xml:space="preserve"> </v>
      </c>
      <c r="FA125" s="361" t="str">
        <f t="shared" si="374"/>
        <v xml:space="preserve"> </v>
      </c>
      <c r="FB125" s="361" t="str">
        <f t="shared" si="375"/>
        <v xml:space="preserve"> </v>
      </c>
      <c r="FC125" s="361"/>
      <c r="FD125" s="361" t="str">
        <f>IF(J125&gt;0,IF(Calculation!R125&lt;=70,4,IF(Calculation!R125&lt;=110,5,IF(Calculation!R125&lt;=160,6,IF(Calculation!R125&lt;=300,8,"10 EO")))),"")</f>
        <v/>
      </c>
      <c r="FE125" s="361" t="str">
        <f t="shared" si="376"/>
        <v/>
      </c>
      <c r="FF125" s="361" t="str">
        <f t="shared" si="377"/>
        <v/>
      </c>
      <c r="FG125" s="361" t="e">
        <f t="shared" si="282"/>
        <v>#N/A</v>
      </c>
      <c r="FH125" s="361">
        <f t="shared" si="283"/>
        <v>0</v>
      </c>
      <c r="FI125" s="361" t="e">
        <f t="shared" si="284"/>
        <v>#DIV/0!</v>
      </c>
      <c r="FJ125" s="361"/>
      <c r="FK125" s="356" t="e">
        <f t="shared" si="285"/>
        <v>#VALUE!</v>
      </c>
      <c r="FL125" s="361"/>
      <c r="FM125" s="361"/>
      <c r="FN125" s="362" t="str">
        <f t="shared" si="378"/>
        <v xml:space="preserve"> </v>
      </c>
      <c r="FO125" s="362" t="str">
        <f t="shared" si="379"/>
        <v xml:space="preserve"> </v>
      </c>
      <c r="FP125" s="362">
        <f t="shared" si="380"/>
        <v>0</v>
      </c>
      <c r="FQ125" s="361">
        <f t="shared" si="286"/>
        <v>0</v>
      </c>
      <c r="FR125" s="362" t="str">
        <f>IF(L125&gt;0,IF(J125="CBAL2",Worksheet!$P$67,IF(J125="CBE2-24",Worksheet!$Q$67,IF(J125="CBAM",Worksheet!$R$67,IF(J125="CBLV",Worksheet!$S$67,IF(J125="CBAB",Worksheet!$U$67,IF(J125="CBAW",Worksheet!$X$67,IF(J125="CBE2-12",Worksheet!$Y$67,IF(J125="CBAL2",Worksheet!$Z$67,"N/A"))))))))," ")</f>
        <v xml:space="preserve"> </v>
      </c>
      <c r="FS125" s="362" t="str">
        <f>IF(L125&gt;0,IF(J125="CBAL2",Worksheet!$P$68,IF(J125="CBE2-24",Worksheet!$Q$68,IF(J125="CBAM",Worksheet!$R$68,IF(J125="CBLV",Worksheet!$S$68,IF(J125="CBAB",Worksheet!$U$68,IF(J125="CBAW",Worksheet!$X$68,IF(J125="CBE2-12",Worksheet!$Y$68,IF(J125="CBAL2",Worksheet!$Z$68,"N/A"))))))))," ")</f>
        <v xml:space="preserve"> </v>
      </c>
      <c r="FT125" s="362" t="str">
        <f>IF(L125&gt;0,IF(J125="CBAL2",Worksheet!$P$69,IF(J125="CBE2-24",Worksheet!$Q$69,IF(J125="CBAM",Worksheet!$R$69,IF(J125="CBLV",Worksheet!$S$69,IF(J125="CBAB",Worksheet!$U$69,IF(J125="CBAW",Worksheet!$X$69,IF(J125="CBE2-12",Worksheet!$Y$69,IF(J125="CBAL2",Worksheet!$Z$69,"N/A"))))))))," ")</f>
        <v xml:space="preserve"> </v>
      </c>
      <c r="FU125" s="361" t="str">
        <f t="shared" si="381"/>
        <v xml:space="preserve"> </v>
      </c>
      <c r="FV125" s="362" t="str">
        <f t="shared" si="382"/>
        <v xml:space="preserve"> </v>
      </c>
      <c r="FW125" s="362" t="str">
        <f t="shared" si="383"/>
        <v xml:space="preserve"> </v>
      </c>
      <c r="FX125" s="362" t="str">
        <f t="shared" si="384"/>
        <v xml:space="preserve"> </v>
      </c>
      <c r="FY125" s="355" t="str">
        <f t="shared" si="385"/>
        <v xml:space="preserve"> </v>
      </c>
      <c r="FZ125" s="361" t="str">
        <f t="shared" si="386"/>
        <v xml:space="preserve"> </v>
      </c>
      <c r="GA125" s="347" t="str">
        <f t="shared" si="387"/>
        <v xml:space="preserve"> </v>
      </c>
      <c r="GB125" s="355" t="str">
        <f t="shared" si="388"/>
        <v xml:space="preserve"> </v>
      </c>
      <c r="GC125" s="328" t="str">
        <f t="shared" si="389"/>
        <v xml:space="preserve"> </v>
      </c>
      <c r="GD125" s="361" t="str">
        <f t="shared" si="390"/>
        <v xml:space="preserve"> </v>
      </c>
      <c r="GE125" s="347" t="str">
        <f t="shared" si="391"/>
        <v xml:space="preserve"> </v>
      </c>
      <c r="GF125" s="361" t="str">
        <f t="shared" si="392"/>
        <v xml:space="preserve"> </v>
      </c>
      <c r="GG125" s="347" t="str">
        <f t="shared" si="393"/>
        <v xml:space="preserve"> </v>
      </c>
      <c r="GH125" s="364">
        <f t="shared" si="287"/>
        <v>0</v>
      </c>
      <c r="GI125" s="362">
        <f t="shared" si="394"/>
        <v>2</v>
      </c>
      <c r="GJ125" s="433" t="e">
        <f>IF(6-COUNTBLANK(GT125:GY125)=4,MATCH(MID(BO125,9,3),CLU!$H$16:$K$16),MATCH(MID(BO125,9,3),CLU!$H$13:$M$13))</f>
        <v>#N/A</v>
      </c>
      <c r="GK125" s="433" t="e">
        <f>HLOOKUP(VALUE(BP125),CLU!$H$9:$M$10,2)</f>
        <v>#VALUE!</v>
      </c>
      <c r="GL125" s="433" t="e">
        <f ca="1">MATCH(BU125,CLU!$H$2:$V$2,1)</f>
        <v>#VALUE!</v>
      </c>
      <c r="GM125" s="433" t="e">
        <f t="shared" ca="1" si="395"/>
        <v>#VALUE!</v>
      </c>
      <c r="GN125" s="433" t="e">
        <f t="shared" ca="1" si="396"/>
        <v>#VALUE!</v>
      </c>
      <c r="GO125" s="433" t="e">
        <f t="shared" ca="1" si="397"/>
        <v>#VALUE!</v>
      </c>
      <c r="GP125" s="433" t="e">
        <f t="shared" ca="1" si="398"/>
        <v>#VALUE!</v>
      </c>
      <c r="GQ125" s="433" t="e">
        <f t="shared" ca="1" si="399"/>
        <v>#VALUE!</v>
      </c>
      <c r="GR125" s="433" t="e">
        <f ca="1">MATCH(T125,INDIRECT(VLOOKUP(CONCATENATE(LEFT(BO125,7),"-",MID(BO125,13,1)),CLU!$P$3:$Q$16,2)),1)</f>
        <v>#N/A</v>
      </c>
      <c r="GS125" s="433" t="e">
        <f ca="1">MATCH(U125,INDIRECT(VLOOKUP(CONCATENATE(LEFT(BO125,7),"-",MID(BO125,13,1)),CLU!$P$3:$Q$16,2)),1)</f>
        <v>#N/A</v>
      </c>
      <c r="GT125" s="347" t="s">
        <v>512</v>
      </c>
      <c r="GU125" s="97" t="s">
        <v>513</v>
      </c>
      <c r="GV125" s="97" t="str">
        <f t="shared" si="400"/>
        <v>M23</v>
      </c>
      <c r="GW125" s="97" t="str">
        <f t="shared" si="401"/>
        <v>M31</v>
      </c>
      <c r="GX125" s="97" t="str">
        <f t="shared" si="402"/>
        <v/>
      </c>
      <c r="GY125" s="97" t="str">
        <f t="shared" si="403"/>
        <v/>
      </c>
      <c r="GZ125" s="481"/>
      <c r="HA125" s="288"/>
      <c r="HB125" s="240"/>
      <c r="HC125" s="240"/>
      <c r="HD125" s="240"/>
      <c r="HE125" s="240"/>
      <c r="HF125" s="240"/>
      <c r="HG125" s="240"/>
      <c r="HH125" s="240"/>
      <c r="HI125" s="240"/>
      <c r="HJ125" s="240"/>
      <c r="HK125" s="240"/>
      <c r="HL125" s="240"/>
      <c r="HM125" s="240"/>
      <c r="HN125" s="240"/>
      <c r="HO125" s="240"/>
      <c r="HP125" s="240"/>
      <c r="HQ125" s="240"/>
      <c r="HR125" s="240"/>
      <c r="HS125" s="240"/>
      <c r="HT125" s="240"/>
      <c r="HU125" s="240"/>
      <c r="HV125" s="245"/>
      <c r="HW125" s="245" t="b">
        <v>1</v>
      </c>
      <c r="HX125" s="245" t="str">
        <f t="shared" si="288"/>
        <v/>
      </c>
      <c r="HY125" s="245" t="e">
        <f t="shared" si="289"/>
        <v>#DIV/0!</v>
      </c>
      <c r="HZ125" s="245" t="e">
        <f t="shared" si="290"/>
        <v>#DIV/0!</v>
      </c>
      <c r="IA125" s="245">
        <f t="shared" si="291"/>
        <v>0</v>
      </c>
      <c r="IB125" s="245"/>
      <c r="IC125" t="b">
        <f t="shared" si="292"/>
        <v>1</v>
      </c>
      <c r="ID125" s="245" t="b">
        <f t="shared" si="293"/>
        <v>1</v>
      </c>
      <c r="IE125" s="245" t="b">
        <f t="shared" si="294"/>
        <v>1</v>
      </c>
      <c r="IF125" s="245" t="b">
        <f t="shared" si="295"/>
        <v>0</v>
      </c>
      <c r="IG125" s="245" t="b">
        <f t="shared" si="296"/>
        <v>1</v>
      </c>
      <c r="IH125" s="245" t="b">
        <f t="shared" si="297"/>
        <v>1</v>
      </c>
      <c r="II125" s="245">
        <f t="shared" si="404"/>
        <v>0</v>
      </c>
      <c r="IJ125" s="245" t="e">
        <f t="shared" si="298"/>
        <v>#VALUE!</v>
      </c>
      <c r="IK125" s="245" t="e">
        <f t="shared" si="299"/>
        <v>#VALUE!</v>
      </c>
      <c r="IL125" s="245"/>
      <c r="IM125" s="245" t="e">
        <f t="shared" si="405"/>
        <v>#N/A</v>
      </c>
      <c r="IN125" s="245" t="e">
        <f t="shared" si="406"/>
        <v>#N/A</v>
      </c>
      <c r="IO125" s="245"/>
      <c r="IP125" s="245"/>
      <c r="IQ125" s="245" t="str">
        <f t="shared" si="300"/>
        <v/>
      </c>
      <c r="IR125" s="245" t="str">
        <f>IF(J125="","",VLOOKUP(J125,Worksheet!$R$4:$T$14,2))</f>
        <v/>
      </c>
      <c r="IS125" s="245"/>
      <c r="IT125" s="245">
        <f t="shared" si="301"/>
        <v>0</v>
      </c>
      <c r="IU125" s="245">
        <f t="shared" si="302"/>
        <v>0</v>
      </c>
      <c r="IV125" s="245">
        <f t="shared" si="303"/>
        <v>0</v>
      </c>
      <c r="IW125" s="245">
        <f t="shared" si="304"/>
        <v>0</v>
      </c>
      <c r="IX125" s="245">
        <f t="shared" si="407"/>
        <v>0</v>
      </c>
      <c r="IY125" s="245">
        <f t="shared" si="305"/>
        <v>0</v>
      </c>
      <c r="IZ125" s="245">
        <f t="shared" si="306"/>
        <v>0</v>
      </c>
      <c r="JA125">
        <f t="shared" si="307"/>
        <v>0</v>
      </c>
      <c r="JB125">
        <f t="shared" si="408"/>
        <v>0</v>
      </c>
      <c r="JC125">
        <f t="shared" si="308"/>
        <v>0</v>
      </c>
      <c r="JD125">
        <f t="shared" si="309"/>
        <v>0</v>
      </c>
      <c r="JE125">
        <f t="shared" si="310"/>
        <v>0</v>
      </c>
      <c r="JF125">
        <f t="shared" si="311"/>
        <v>0</v>
      </c>
      <c r="JG125">
        <f t="shared" si="312"/>
        <v>0</v>
      </c>
      <c r="JH125">
        <f t="shared" si="313"/>
        <v>0</v>
      </c>
      <c r="JI125">
        <f t="shared" si="314"/>
        <v>0</v>
      </c>
      <c r="JJ125" s="447">
        <f t="shared" si="315"/>
        <v>0</v>
      </c>
      <c r="JK125" s="447">
        <f t="shared" si="316"/>
        <v>0</v>
      </c>
      <c r="JL125">
        <f t="shared" si="317"/>
        <v>0</v>
      </c>
      <c r="JM125" s="245" t="str">
        <f>IFERROR(VLOOKUP(MATCH(BN125,#REF!,0),#REF!,7),"")</f>
        <v/>
      </c>
      <c r="JN125" t="e">
        <f>HLOOKUP(LEFT(BO125,7),Discharge_Area,MATCH(JO125,LookUps!$B$130:$B$149,1)+2)</f>
        <v>#N/A</v>
      </c>
      <c r="JO125" t="str">
        <f t="shared" si="318"/>
        <v>- S</v>
      </c>
      <c r="JP125" t="e">
        <f>HLOOKUP(LEFT(BO125,7),Discharge_Area,MATCH(JO125,LookUps!$B$130:$B$149,1)+2)</f>
        <v>#N/A</v>
      </c>
      <c r="JQ125" t="e">
        <f t="shared" si="319"/>
        <v>#N/A</v>
      </c>
      <c r="JR125" t="e">
        <f t="shared" si="320"/>
        <v>#N/A</v>
      </c>
      <c r="JS125" t="e">
        <f t="shared" si="321"/>
        <v>#N/A</v>
      </c>
      <c r="JT125" s="532" t="str">
        <f t="shared" si="322"/>
        <v xml:space="preserve"> </v>
      </c>
      <c r="JU125" s="532" t="str">
        <f t="shared" si="323"/>
        <v xml:space="preserve"> </v>
      </c>
      <c r="JV125" s="533" t="str">
        <f t="shared" si="324"/>
        <v xml:space="preserve"> </v>
      </c>
      <c r="JW125" s="534">
        <f t="shared" si="325"/>
        <v>0</v>
      </c>
      <c r="JX125" s="535" t="str">
        <f t="shared" si="409"/>
        <v xml:space="preserve"> </v>
      </c>
      <c r="JY125" s="535" t="str">
        <f t="shared" si="410"/>
        <v xml:space="preserve"> </v>
      </c>
      <c r="JZ125" s="535" t="str">
        <f t="shared" si="411"/>
        <v xml:space="preserve"> </v>
      </c>
      <c r="KA125" s="536" t="str">
        <f t="shared" si="326"/>
        <v xml:space="preserve"> </v>
      </c>
      <c r="KB125" s="535" t="e">
        <f t="shared" si="412"/>
        <v>#VALUE!</v>
      </c>
      <c r="KC125" s="535" t="str">
        <f t="shared" si="327"/>
        <v/>
      </c>
      <c r="KD125" s="537" t="str">
        <f t="shared" si="413"/>
        <v xml:space="preserve"> </v>
      </c>
      <c r="KE125" s="537" t="str">
        <f t="shared" si="414"/>
        <v xml:space="preserve"> </v>
      </c>
      <c r="KF125" s="534">
        <f t="shared" si="328"/>
        <v>0</v>
      </c>
      <c r="KG125" s="535" t="str">
        <f t="shared" si="329"/>
        <v xml:space="preserve"> </v>
      </c>
      <c r="KH125" s="535" t="str">
        <f t="shared" si="330"/>
        <v xml:space="preserve"> </v>
      </c>
      <c r="KI125" s="535" t="str">
        <f t="shared" si="331"/>
        <v xml:space="preserve"> </v>
      </c>
      <c r="KJ125" s="536" t="str">
        <f t="shared" si="332"/>
        <v xml:space="preserve"> </v>
      </c>
      <c r="KK125" s="535" t="str">
        <f t="shared" si="415"/>
        <v xml:space="preserve"> </v>
      </c>
      <c r="KL125" s="535" t="str">
        <f t="shared" si="416"/>
        <v xml:space="preserve"> </v>
      </c>
      <c r="KM125" s="537" t="str">
        <f t="shared" si="333"/>
        <v xml:space="preserve"> </v>
      </c>
      <c r="KN125" s="537" t="str">
        <f t="shared" si="417"/>
        <v xml:space="preserve"> </v>
      </c>
      <c r="KP125">
        <f t="shared" si="334"/>
        <v>0</v>
      </c>
      <c r="LA125" t="e">
        <f t="shared" si="335"/>
        <v>#VALUE!</v>
      </c>
      <c r="LB125" t="e">
        <f t="shared" si="336"/>
        <v>#VALUE!</v>
      </c>
      <c r="LC125" t="e">
        <f t="shared" si="337"/>
        <v>#VALUE!</v>
      </c>
      <c r="LD125" t="e">
        <f t="shared" si="338"/>
        <v>#VALUE!</v>
      </c>
      <c r="LE125" t="e">
        <f t="shared" si="418"/>
        <v>#VALUE!</v>
      </c>
      <c r="LF125">
        <f t="shared" si="339"/>
        <v>0</v>
      </c>
      <c r="LG125" t="e">
        <f t="shared" si="419"/>
        <v>#VALUE!</v>
      </c>
      <c r="LH125" t="str">
        <f t="shared" si="340"/>
        <v xml:space="preserve"> </v>
      </c>
      <c r="LI125">
        <f t="shared" si="420"/>
        <v>1</v>
      </c>
    </row>
    <row r="126" spans="2:321" ht="15" customHeight="1">
      <c r="B126" s="311"/>
      <c r="C126" s="311"/>
      <c r="D126" s="312"/>
      <c r="E126" s="311"/>
      <c r="F126" s="312"/>
      <c r="G126" s="311"/>
      <c r="H126" s="311"/>
      <c r="I126" s="37"/>
      <c r="J126" s="311"/>
      <c r="K126" s="305" t="str">
        <f t="shared" si="341"/>
        <v/>
      </c>
      <c r="L126" s="313"/>
      <c r="M126" s="312"/>
      <c r="N126" s="311"/>
      <c r="O126" s="312"/>
      <c r="P126" s="311"/>
      <c r="Q126" s="305" t="str">
        <f t="shared" si="342"/>
        <v/>
      </c>
      <c r="R126" s="314"/>
      <c r="S126" s="450" t="str">
        <f t="shared" si="225"/>
        <v/>
      </c>
      <c r="T126" s="315"/>
      <c r="U126" s="315"/>
      <c r="W126" s="149" t="str">
        <f t="shared" si="226"/>
        <v xml:space="preserve"> </v>
      </c>
      <c r="X126" s="243" t="str">
        <f t="shared" si="227"/>
        <v xml:space="preserve"> </v>
      </c>
      <c r="Y126" s="150" t="str">
        <f t="shared" si="228"/>
        <v/>
      </c>
      <c r="Z126" s="149" t="str">
        <f t="shared" si="229"/>
        <v xml:space="preserve"> </v>
      </c>
      <c r="AA126" s="98" t="str">
        <f t="shared" si="230"/>
        <v xml:space="preserve"> </v>
      </c>
      <c r="AB126" s="153" t="str">
        <f t="shared" si="231"/>
        <v xml:space="preserve"> </v>
      </c>
      <c r="AC126" s="153" t="str">
        <f t="shared" si="232"/>
        <v xml:space="preserve"> </v>
      </c>
      <c r="AD126" s="148" t="str">
        <f t="shared" si="233"/>
        <v/>
      </c>
      <c r="AE126" s="149" t="str">
        <f t="shared" si="234"/>
        <v/>
      </c>
      <c r="AF126" s="151" t="str">
        <f t="shared" si="235"/>
        <v xml:space="preserve"> </v>
      </c>
      <c r="AG126" s="153" t="str">
        <f t="shared" si="236"/>
        <v xml:space="preserve"> </v>
      </c>
      <c r="AH126" s="98" t="str">
        <f t="shared" si="237"/>
        <v xml:space="preserve"> </v>
      </c>
      <c r="AI126" s="149" t="str">
        <f t="shared" si="238"/>
        <v xml:space="preserve"> </v>
      </c>
      <c r="AK126" s="144" t="str">
        <f t="shared" si="239"/>
        <v xml:space="preserve"> </v>
      </c>
      <c r="AL126" s="144"/>
      <c r="AM126" s="243" t="str">
        <f t="shared" si="240"/>
        <v xml:space="preserve"> </v>
      </c>
      <c r="AN126" s="149" t="str">
        <f t="shared" si="343"/>
        <v xml:space="preserve"> </v>
      </c>
      <c r="AO126" s="144" t="str">
        <f>IF(JB126&gt;0,IF(GI126=10,-R126*1.085*(Calculation!$F$6-Calculation!$F$13)*$S$14," "),"")</f>
        <v/>
      </c>
      <c r="AP126" s="144" t="str">
        <f t="shared" si="241"/>
        <v/>
      </c>
      <c r="AQ126" s="56" t="str">
        <f t="shared" si="242"/>
        <v/>
      </c>
      <c r="AR126" s="144" t="str">
        <f t="shared" si="243"/>
        <v/>
      </c>
      <c r="AS126" s="176" t="str">
        <f t="shared" si="244"/>
        <v/>
      </c>
      <c r="AT126" s="176" t="str">
        <f t="shared" si="344"/>
        <v xml:space="preserve"> </v>
      </c>
      <c r="AU126" s="176" t="str">
        <f t="shared" si="245"/>
        <v/>
      </c>
      <c r="AV126" s="177" t="str">
        <f t="shared" si="246"/>
        <v xml:space="preserve"> </v>
      </c>
      <c r="AW126" s="144" t="str">
        <f t="shared" si="247"/>
        <v xml:space="preserve"> </v>
      </c>
      <c r="AX126" s="144" t="str">
        <f t="shared" si="248"/>
        <v xml:space="preserve"> </v>
      </c>
      <c r="AY126" s="152" t="str">
        <f t="shared" si="249"/>
        <v xml:space="preserve"> </v>
      </c>
      <c r="AZ126" s="246" t="str">
        <f t="shared" si="250"/>
        <v/>
      </c>
      <c r="BA126" s="176" t="str">
        <f t="shared" si="251"/>
        <v xml:space="preserve"> </v>
      </c>
      <c r="BB126" s="176" t="str">
        <f t="shared" si="252"/>
        <v xml:space="preserve"> </v>
      </c>
      <c r="BC126" s="195"/>
      <c r="BD126" s="316"/>
      <c r="BE126" s="317"/>
      <c r="BF126" s="318"/>
      <c r="BG126" s="318"/>
      <c r="BH126" s="144" t="str">
        <f t="shared" si="421"/>
        <v xml:space="preserve"> </v>
      </c>
      <c r="BI126" s="176" t="str">
        <f t="shared" si="253"/>
        <v/>
      </c>
      <c r="BJ126" s="144" t="str">
        <f t="shared" si="422"/>
        <v/>
      </c>
      <c r="BK126" s="246" t="str">
        <f t="shared" si="254"/>
        <v/>
      </c>
      <c r="BL126" s="144" t="str">
        <f t="shared" si="423"/>
        <v/>
      </c>
      <c r="BM126" s="246" t="str">
        <f t="shared" si="255"/>
        <v/>
      </c>
      <c r="BN126" s="337" t="str">
        <f t="shared" si="345"/>
        <v/>
      </c>
      <c r="BO126" s="371" t="str">
        <f t="shared" si="346"/>
        <v/>
      </c>
      <c r="BP126" s="328" t="str">
        <f t="shared" si="424"/>
        <v xml:space="preserve"> </v>
      </c>
      <c r="BQ126" s="347" t="str">
        <f t="shared" si="347"/>
        <v xml:space="preserve"> </v>
      </c>
      <c r="BR126" s="353" t="str">
        <f t="shared" si="348"/>
        <v xml:space="preserve"> </v>
      </c>
      <c r="BS126" s="626" t="str">
        <f>IF(L126&gt;0,IF(Calculation!P126="M13",BR126*3.1416*(0.134^2)/(4*144),IF(Calculation!P126="M17",BR126*3.1416*(0.165^2)/(4*144),IF(Calculation!P126="M20",BR126*3.1416*(0.198^2)/(4*144),IF(Calculation!P126="M23",BR126*3.1416*(0.228^2)/(4*144),IF(Calculation!P126="M27",BR126*3.1416*(0.269^2)/(4*144),BR126*3.1416*(0.307^2)/(4*144))))))," ")</f>
        <v xml:space="preserve"> </v>
      </c>
      <c r="BT126" s="353" t="str">
        <f>IF(L126&gt;0,IF(BS126&gt;0,R126/Calculation!BS126,0)," ")</f>
        <v xml:space="preserve"> </v>
      </c>
      <c r="BU126" s="438" t="e">
        <f t="shared" ca="1" si="256"/>
        <v>#VALUE!</v>
      </c>
      <c r="BV126" s="449" t="e">
        <f ca="1">INDEX(INDIRECT(VLOOKUP(LEFT(BO126,7),CLU!$Z$3:$AH$18,2)),GN126,GR126)</f>
        <v>#N/A</v>
      </c>
      <c r="BW126" s="433" t="e">
        <f ca="1">INDEX(INDIRECT(VLOOKUP(LEFT(BO126,7),CLU!$Z$3:$AH$18,3)),GN126,GR126)</f>
        <v>#N/A</v>
      </c>
      <c r="BX126" s="433" t="e">
        <f ca="1">INDEX(INDIRECT(VLOOKUP(LEFT(BO126,7),CLU!$Z$3:$AH$18,4)),GN126,GR126)</f>
        <v>#N/A</v>
      </c>
      <c r="BY126" s="433" t="e">
        <f ca="1">INDEX(INDIRECT(VLOOKUP(LEFT(BO126,7),CLU!$Z$3:$AH$18,9)),((M126-2)*(6-COUNTBLANK(GT126:GY126)))+GJ126)</f>
        <v>#N/A</v>
      </c>
      <c r="BZ126" s="426" t="e">
        <f t="shared" ca="1" si="349"/>
        <v>#N/A</v>
      </c>
      <c r="CA126" s="424" t="e">
        <f t="shared" ca="1" si="350"/>
        <v>#N/A</v>
      </c>
      <c r="CB126" s="429" t="e">
        <f ca="1">INDEX(INDIRECT(VLOOKUP(LEFT(BO126,7),CLU!$Z$3:$AH$18,2)),GN126,GS126)</f>
        <v>#N/A</v>
      </c>
      <c r="CC126" s="342" t="e">
        <f ca="1">INDEX(INDIRECT(VLOOKUP(LEFT(BO126,7),CLU!$Z$3:$AH$18,3)),GN126,GS126)</f>
        <v>#N/A</v>
      </c>
      <c r="CD126" s="342" t="e">
        <f ca="1">INDEX(INDIRECT(VLOOKUP(LEFT(BO126,7),CLU!$Z$3:$AH$18,4)),GN126,GS126)</f>
        <v>#N/A</v>
      </c>
      <c r="CE126" s="426" t="e">
        <f t="shared" ca="1" si="351"/>
        <v>#N/A</v>
      </c>
      <c r="CF126" s="440">
        <f t="shared" si="352"/>
        <v>0</v>
      </c>
      <c r="CG126" s="431" t="e">
        <f ca="1">INDEX(INDIRECT(VLOOKUP(LEFT(BO126,7),CLU!$Z$3:$AH$18,2)),GQ126,GR126)</f>
        <v>#N/A</v>
      </c>
      <c r="CH126" s="431" t="e">
        <f ca="1">INDEX(INDIRECT(VLOOKUP(LEFT(BO126,7),CLU!$Z$3:$AH$18,3)),GQ126,GR126)</f>
        <v>#N/A</v>
      </c>
      <c r="CI126" s="431" t="e">
        <f ca="1">INDEX(INDIRECT(VLOOKUP(LEFT(BO126,7),CLU!$Z$3:$AH$18,4)),GQ126,GR126)</f>
        <v>#N/A</v>
      </c>
      <c r="CJ126" s="448" t="e">
        <f t="shared" ca="1" si="353"/>
        <v>#N/A</v>
      </c>
      <c r="CK126" s="431" t="e">
        <f t="shared" ca="1" si="354"/>
        <v>#N/A</v>
      </c>
      <c r="CL126" s="440" t="e">
        <f t="shared" ca="1" si="355"/>
        <v>#N/A</v>
      </c>
      <c r="CM126" s="431" t="e">
        <f ca="1">INDEX(INDIRECT(VLOOKUP(LEFT(BO126,7),CLU!$Z$3:$AH$18,2)),GQ126,GS126)</f>
        <v>#N/A</v>
      </c>
      <c r="CN126" s="431" t="e">
        <f ca="1">INDEX(INDIRECT(VLOOKUP(LEFT(BO126,7),CLU!$Z$3:$AH$18,3)),GQ126,GS126)</f>
        <v>#N/A</v>
      </c>
      <c r="CO126" s="431" t="e">
        <f ca="1">INDEX(INDIRECT(VLOOKUP(LEFT(BO126,7),CLU!$Z$3:$AH$18,4)),GQ126,GS126)</f>
        <v>#N/A</v>
      </c>
      <c r="CP126" s="431" t="e">
        <f t="shared" ca="1" si="356"/>
        <v>#N/A</v>
      </c>
      <c r="CQ126" s="440">
        <f t="shared" si="357"/>
        <v>0</v>
      </c>
      <c r="CR126" s="51" t="e">
        <f t="shared" ca="1" si="358"/>
        <v>#N/A</v>
      </c>
      <c r="CS126" s="439" t="e">
        <f t="shared" ca="1" si="359"/>
        <v>#VALUE!</v>
      </c>
      <c r="CT126" s="51" t="e">
        <f t="shared" ca="1" si="360"/>
        <v>#VALUE!</v>
      </c>
      <c r="CU126" s="10"/>
      <c r="CV126" s="51" t="e">
        <f t="shared" ca="1" si="257"/>
        <v>#VALUE!</v>
      </c>
      <c r="CW126" s="51">
        <f t="shared" si="361"/>
        <v>0</v>
      </c>
      <c r="CX126" s="439" t="e">
        <f t="shared" ca="1" si="362"/>
        <v>#VALUE!</v>
      </c>
      <c r="CY126" s="51" t="e">
        <f t="shared" ca="1" si="363"/>
        <v>#VALUE!</v>
      </c>
      <c r="CZ126" s="10"/>
      <c r="DA126" s="51" t="e">
        <f t="shared" ca="1" si="364"/>
        <v>#VALUE!</v>
      </c>
      <c r="DB126" s="347" t="e">
        <f ca="1">INDEX(INDIRECT(VLOOKUP(LEFT(BO126,7),CLU!$Z$3:$AI$18,10)),((M126-2)*(6-COUNTBLANK(GT126:GY126)))+GJ126)*LI126</f>
        <v>#N/A</v>
      </c>
      <c r="DC126" s="347" t="str">
        <f>IF(L126&gt;0,((R126/Worksheet!$I$15)/DB126)^2," ")</f>
        <v xml:space="preserve"> </v>
      </c>
      <c r="DD126" s="602" t="str">
        <f t="shared" si="365"/>
        <v xml:space="preserve"> </v>
      </c>
      <c r="DE126" s="347" t="str">
        <f t="shared" si="258"/>
        <v xml:space="preserve"> </v>
      </c>
      <c r="DF126" s="356" t="e">
        <f ca="1">INDEX(INDIRECT(VLOOKUP(LEFT(BO126,7),CLU!$Z$3:$AH$18,8)),((M126-2)*(6-COUNTBLANK(GT126:GY126)))+GJ126)</f>
        <v>#N/A</v>
      </c>
      <c r="DG126" s="347" t="str">
        <f t="shared" si="259"/>
        <v xml:space="preserve"> </v>
      </c>
      <c r="DH126" s="357" t="str">
        <f t="shared" si="260"/>
        <v xml:space="preserve"> </v>
      </c>
      <c r="DI126" s="355" t="str">
        <f t="shared" si="261"/>
        <v xml:space="preserve"> </v>
      </c>
      <c r="DJ126" s="245" t="e">
        <f ca="1">INDEX(INDIRECT(VLOOKUP(LEFT(BO126,7),CLU!$Z$3:$AH$18,5)),GL126,GK126)</f>
        <v>#N/A</v>
      </c>
      <c r="DK126" s="245" t="e">
        <f ca="1">INDEX(INDIRECT(VLOOKUP(LEFT(BO126,7),CLU!$Z$3:$AH$18,6)),GL126,GK126)</f>
        <v>#N/A</v>
      </c>
      <c r="DL126" s="355">
        <f>(Calculation!R126*0.69143*(Calculation!$BQ$8-Calculation!$F$8))*$S$14</f>
        <v>0</v>
      </c>
      <c r="DM126" s="359" t="e">
        <f t="shared" si="366"/>
        <v>#VALUE!</v>
      </c>
      <c r="DN126" s="611">
        <f t="shared" si="367"/>
        <v>0</v>
      </c>
      <c r="DO126" s="359">
        <f t="shared" si="368"/>
        <v>100</v>
      </c>
      <c r="DP126" s="359">
        <f t="shared" si="369"/>
        <v>0</v>
      </c>
      <c r="DQ126" s="360"/>
      <c r="DR126" s="245" t="e">
        <f ca="1">INDEX(INDIRECT(VLOOKUP(LEFT(BO126,7),CLU!$Z$3:$AH$18,7)),M126-1,1)</f>
        <v>#N/A</v>
      </c>
      <c r="DS126" s="245" t="e">
        <f ca="1">INDEX(INDIRECT(VLOOKUP(LEFT(BO126,7),CLU!$Z$3:$AH$18,7)),M126-1,2)</f>
        <v>#N/A</v>
      </c>
      <c r="DT126" s="245" t="e">
        <f ca="1">INDEX(INDIRECT(VLOOKUP(LEFT(BO126,7),CLU!$Z$3:$AH$18,7)),M126-1,3)</f>
        <v>#N/A</v>
      </c>
      <c r="DU126" s="245" t="e">
        <f ca="1">INDEX(INDIRECT(VLOOKUP(LEFT(BO126,7),CLU!$Z$3:$AH$18,7)),M126-1,4)</f>
        <v>#N/A</v>
      </c>
      <c r="DV126" s="361" t="e">
        <f ca="1">INDEX(INDIRECT(VLOOKUP(LEFT(BO126,7),CLU!$Z$3:$AH$18,7)),M126-1,4+LEFT(DZ126,1)*0.5)</f>
        <v>#N/A</v>
      </c>
      <c r="DW126" s="245" t="e">
        <f ca="1">INDEX(INDIRECT(VLOOKUP(LEFT(BO126,7),CLU!$Z$3:$AH$18,7)),M126-1,8)</f>
        <v>#N/A</v>
      </c>
      <c r="DX126" s="361" t="str">
        <f t="shared" si="262"/>
        <v xml:space="preserve"> </v>
      </c>
      <c r="DY126" s="361" t="str">
        <f t="shared" si="263"/>
        <v xml:space="preserve"> </v>
      </c>
      <c r="DZ126" s="361" t="str">
        <f t="shared" si="264"/>
        <v xml:space="preserve"> </v>
      </c>
      <c r="EA126" s="362" t="str">
        <f t="shared" si="265"/>
        <v xml:space="preserve"> </v>
      </c>
      <c r="EB126" s="624" t="str">
        <f t="shared" si="370"/>
        <v xml:space="preserve"> </v>
      </c>
      <c r="EC126" s="361" t="e">
        <f ca="1">INDEX(INDIRECT(VLOOKUP(LEFT(BO126,7),CLU!$Z$3:$AH$18,7)),M126-1,4+LEFT(DZ126,1)*0.5)</f>
        <v>#N/A</v>
      </c>
      <c r="ED126" s="362" t="str">
        <f t="shared" si="266"/>
        <v xml:space="preserve"> </v>
      </c>
      <c r="EE126" s="361" t="str">
        <f t="shared" si="267"/>
        <v xml:space="preserve"> </v>
      </c>
      <c r="EF126" s="362" t="str">
        <f>IF(L126&gt;0,IF(BR126&gt;0,IF(EE126="2P",IF(Calculation!DZ126="2P",IF(Calculation!DS126=13.75,IF(Calculation!DR126=13,Worksheet!$BD$43,IF(Calculation!DR126=37,Worksheet!$BD$44,Worksheet!$BD$45)),IF(Calculation!DS126=10,IF(Calculation!DR126=18,Worksheet!$BD$29,IF(Calculation!DR126=30,Worksheet!$BD$30,IF(Calculation!DR126=42,Worksheet!$BD$31,IF(Calculation!DR126=54,Worksheet!$BD$32,IF(Calculation!DR126=66,Worksheet!$BD$33,IF(Calculation!DR126=78,Worksheet!$BD$34,IF(Calculation!DR126=90,Worksheet!$BD$35,IF(Calculation!DR126=102,Worksheet!$BD$36,Worksheet!$BD$37)))))))),IF(Calculation!DS126=12.5,IF(Calculation!DR126=18,Worksheet!$BD$38,IF(Calculation!DR126=Worksheet!$BD$39,IF(Calculation!DR126=42,Worksheet!$BD$40,IF(Calculation!DR126=54,Worksheet!$BD$41,Worksheet!$BD$42)))),IF(Calculation!DR126=18,Worksheet!$BD$11,IF(Calculation!DR126=30,Worksheet!$BD$12,IF(Calculation!DR126=42,Worksheet!$BD$13,IF(Calculation!DR126=54,Worksheet!$BD$14,IF(Calculation!DR126=66,Worksheet!$BD$15,IF(Calculation!DR126=78,Worksheet!$BD$16,IF(Calculation!DR126=90,Worksheet!$BD$17,IF(Calculation!DR126=102,Worksheet!$BD$18,Worksheet!$BD$19))))))))))),IF(Calculation!DS126=13.75,IF(Calculation!DR126=13,Worksheet!$BD$78,IF(Calculation!DR126=37,Worksheet!$BD$79,Worksheet!$BD$80)),IF(Calculation!DS126=10,IF(Calculation!DR126=18,Worksheet!$BD$64,IF(Calculation!DR126=30,Worksheet!$BD$65,IF(Calculation!DR126=42,Worksheet!$BD$66,IF(Calculation!DR126=54,Worksheet!$BD$68,IF(Calculation!DR126=66,Worksheet!$BD$68,IF(Calculation!DR126=78,Worksheet!$BD$69,IF(Calculation!DR126=90,Worksheet!$BD$70,IF(Calculation!DR126=102,Worksheet!$BD$71,Worksheet!$BD$72)))))))),IF(Calculation!DS126=12.5,IF(Calculation!DR126=18,Worksheet!$BD$73,IF(Calculation!DR126=Worksheet!$BD$74,IF(Calculation!DR126=42,Worksheet!$BD$75,IF(Calculation!DR126=54,Worksheet!$BD$76,Worksheet!$BD$77)))),IF(Calculation!DR126=18,Worksheet!$BD$55,IF(Calculation!DR126=30,Worksheet!$BD$56,IF(Calculation!DR126=42,Worksheet!$BD$57,IF(Calculation!DR126=54,Worksheet!$BD$58,IF(Calculation!DR126=66,Worksheet!$BD$59,IF(Calculation!DR126=78,Worksheet!$BD$60,IF(Calculation!DR126=90,Worksheet!$BD$61,IF(Calculation!DR126=102,Worksheet!$BD$62,Worksheet!$BD$63)))))))))))),5),0)," ")</f>
        <v xml:space="preserve"> </v>
      </c>
      <c r="EG126" s="361" t="str">
        <f t="shared" si="268"/>
        <v xml:space="preserve"> </v>
      </c>
      <c r="EH126" s="361" t="e">
        <f ca="1">INDEX(INDIRECT(VLOOKUP(LEFT(BO126,7),CLU!$Z$3:$AH$18,7)),M126-1,3+LEFT(DZ126,1))</f>
        <v>#N/A</v>
      </c>
      <c r="EI126" s="362" t="str">
        <f t="shared" si="269"/>
        <v xml:space="preserve"> </v>
      </c>
      <c r="EJ126" s="363" t="str">
        <f t="shared" si="270"/>
        <v xml:space="preserve"> </v>
      </c>
      <c r="EK126" s="363" t="str">
        <f t="shared" si="271"/>
        <v xml:space="preserve"> </v>
      </c>
      <c r="EL126" s="363" t="str">
        <f t="shared" si="272"/>
        <v xml:space="preserve"> </v>
      </c>
      <c r="EM126" s="362" t="str">
        <f>IF(L126&gt;0,IF(BR126&gt;0,(Calculation!T126/ED126)^2,0)," ")</f>
        <v xml:space="preserve"> </v>
      </c>
      <c r="EN126" s="362" t="str">
        <f>IF(L126&gt;0,IF(O126="2 Pipe (Cooling)","N/A",IF(BR126&gt;0,(Calculation!U126/EI126)^2,0))," ")</f>
        <v xml:space="preserve"> </v>
      </c>
      <c r="EO126" s="361" t="str">
        <f t="shared" si="273"/>
        <v/>
      </c>
      <c r="EP126" s="361" t="str">
        <f t="shared" si="274"/>
        <v/>
      </c>
      <c r="EQ126" s="361" t="str">
        <f t="shared" si="275"/>
        <v/>
      </c>
      <c r="ER126" s="361" t="str">
        <f t="shared" si="276"/>
        <v/>
      </c>
      <c r="ES126" s="361" t="str">
        <f t="shared" si="277"/>
        <v/>
      </c>
      <c r="ET126" s="361" t="str">
        <f t="shared" si="278"/>
        <v/>
      </c>
      <c r="EU126" s="361" t="str">
        <f t="shared" si="279"/>
        <v/>
      </c>
      <c r="EV126" s="361" t="str">
        <f t="shared" si="280"/>
        <v/>
      </c>
      <c r="EW126" s="361" t="str">
        <f t="shared" si="281"/>
        <v/>
      </c>
      <c r="EX126" s="361" t="str">
        <f t="shared" si="371"/>
        <v>1 slot, 1 way</v>
      </c>
      <c r="EY126" s="361" t="str">
        <f t="shared" si="372"/>
        <v xml:space="preserve"> </v>
      </c>
      <c r="EZ126" s="361" t="str">
        <f t="shared" si="373"/>
        <v xml:space="preserve"> </v>
      </c>
      <c r="FA126" s="361" t="str">
        <f t="shared" si="374"/>
        <v xml:space="preserve"> </v>
      </c>
      <c r="FB126" s="361" t="str">
        <f t="shared" si="375"/>
        <v xml:space="preserve"> </v>
      </c>
      <c r="FC126" s="361"/>
      <c r="FD126" s="361" t="str">
        <f>IF(J126&gt;0,IF(Calculation!R126&lt;=70,4,IF(Calculation!R126&lt;=110,5,IF(Calculation!R126&lt;=160,6,IF(Calculation!R126&lt;=300,8,"10 EO")))),"")</f>
        <v/>
      </c>
      <c r="FE126" s="361" t="str">
        <f t="shared" si="376"/>
        <v/>
      </c>
      <c r="FF126" s="361" t="str">
        <f t="shared" si="377"/>
        <v/>
      </c>
      <c r="FG126" s="361" t="e">
        <f t="shared" si="282"/>
        <v>#N/A</v>
      </c>
      <c r="FH126" s="361">
        <f t="shared" si="283"/>
        <v>0</v>
      </c>
      <c r="FI126" s="361" t="e">
        <f t="shared" si="284"/>
        <v>#DIV/0!</v>
      </c>
      <c r="FJ126" s="361"/>
      <c r="FK126" s="356" t="e">
        <f t="shared" si="285"/>
        <v>#VALUE!</v>
      </c>
      <c r="FL126" s="361"/>
      <c r="FM126" s="361"/>
      <c r="FN126" s="362" t="str">
        <f t="shared" si="378"/>
        <v xml:space="preserve"> </v>
      </c>
      <c r="FO126" s="362" t="str">
        <f t="shared" si="379"/>
        <v xml:space="preserve"> </v>
      </c>
      <c r="FP126" s="362">
        <f t="shared" si="380"/>
        <v>0</v>
      </c>
      <c r="FQ126" s="361">
        <f t="shared" si="286"/>
        <v>0</v>
      </c>
      <c r="FR126" s="362" t="str">
        <f>IF(L126&gt;0,IF(J126="CBAL2",Worksheet!$P$67,IF(J126="CBE2-24",Worksheet!$Q$67,IF(J126="CBAM",Worksheet!$R$67,IF(J126="CBLV",Worksheet!$S$67,IF(J126="CBAB",Worksheet!$U$67,IF(J126="CBAW",Worksheet!$X$67,IF(J126="CBE2-12",Worksheet!$Y$67,IF(J126="CBAL2",Worksheet!$Z$67,"N/A"))))))))," ")</f>
        <v xml:space="preserve"> </v>
      </c>
      <c r="FS126" s="362" t="str">
        <f>IF(L126&gt;0,IF(J126="CBAL2",Worksheet!$P$68,IF(J126="CBE2-24",Worksheet!$Q$68,IF(J126="CBAM",Worksheet!$R$68,IF(J126="CBLV",Worksheet!$S$68,IF(J126="CBAB",Worksheet!$U$68,IF(J126="CBAW",Worksheet!$X$68,IF(J126="CBE2-12",Worksheet!$Y$68,IF(J126="CBAL2",Worksheet!$Z$68,"N/A"))))))))," ")</f>
        <v xml:space="preserve"> </v>
      </c>
      <c r="FT126" s="362" t="str">
        <f>IF(L126&gt;0,IF(J126="CBAL2",Worksheet!$P$69,IF(J126="CBE2-24",Worksheet!$Q$69,IF(J126="CBAM",Worksheet!$R$69,IF(J126="CBLV",Worksheet!$S$69,IF(J126="CBAB",Worksheet!$U$69,IF(J126="CBAW",Worksheet!$X$69,IF(J126="CBE2-12",Worksheet!$Y$69,IF(J126="CBAL2",Worksheet!$Z$69,"N/A"))))))))," ")</f>
        <v xml:space="preserve"> </v>
      </c>
      <c r="FU126" s="361" t="str">
        <f t="shared" si="381"/>
        <v xml:space="preserve"> </v>
      </c>
      <c r="FV126" s="362" t="str">
        <f t="shared" si="382"/>
        <v xml:space="preserve"> </v>
      </c>
      <c r="FW126" s="362" t="str">
        <f t="shared" si="383"/>
        <v xml:space="preserve"> </v>
      </c>
      <c r="FX126" s="362" t="str">
        <f t="shared" si="384"/>
        <v xml:space="preserve"> </v>
      </c>
      <c r="FY126" s="355" t="str">
        <f t="shared" si="385"/>
        <v xml:space="preserve"> </v>
      </c>
      <c r="FZ126" s="361" t="str">
        <f t="shared" si="386"/>
        <v xml:space="preserve"> </v>
      </c>
      <c r="GA126" s="347" t="str">
        <f t="shared" si="387"/>
        <v xml:space="preserve"> </v>
      </c>
      <c r="GB126" s="355" t="str">
        <f t="shared" si="388"/>
        <v xml:space="preserve"> </v>
      </c>
      <c r="GC126" s="328" t="str">
        <f t="shared" si="389"/>
        <v xml:space="preserve"> </v>
      </c>
      <c r="GD126" s="361" t="str">
        <f t="shared" si="390"/>
        <v xml:space="preserve"> </v>
      </c>
      <c r="GE126" s="347" t="str">
        <f t="shared" si="391"/>
        <v xml:space="preserve"> </v>
      </c>
      <c r="GF126" s="361" t="str">
        <f t="shared" si="392"/>
        <v xml:space="preserve"> </v>
      </c>
      <c r="GG126" s="347" t="str">
        <f t="shared" si="393"/>
        <v xml:space="preserve"> </v>
      </c>
      <c r="GH126" s="364">
        <f t="shared" si="287"/>
        <v>0</v>
      </c>
      <c r="GI126" s="362">
        <f t="shared" si="394"/>
        <v>2</v>
      </c>
      <c r="GJ126" s="433" t="e">
        <f>IF(6-COUNTBLANK(GT126:GY126)=4,MATCH(MID(BO126,9,3),CLU!$H$16:$K$16),MATCH(MID(BO126,9,3),CLU!$H$13:$M$13))</f>
        <v>#N/A</v>
      </c>
      <c r="GK126" s="433" t="e">
        <f>HLOOKUP(VALUE(BP126),CLU!$H$9:$M$10,2)</f>
        <v>#VALUE!</v>
      </c>
      <c r="GL126" s="433" t="e">
        <f ca="1">MATCH(BU126,CLU!$H$2:$V$2,1)</f>
        <v>#VALUE!</v>
      </c>
      <c r="GM126" s="433" t="e">
        <f t="shared" ca="1" si="395"/>
        <v>#VALUE!</v>
      </c>
      <c r="GN126" s="433" t="e">
        <f t="shared" ca="1" si="396"/>
        <v>#VALUE!</v>
      </c>
      <c r="GO126" s="433" t="e">
        <f t="shared" ca="1" si="397"/>
        <v>#VALUE!</v>
      </c>
      <c r="GP126" s="433" t="e">
        <f t="shared" ca="1" si="398"/>
        <v>#VALUE!</v>
      </c>
      <c r="GQ126" s="433" t="e">
        <f t="shared" ca="1" si="399"/>
        <v>#VALUE!</v>
      </c>
      <c r="GR126" s="433" t="e">
        <f ca="1">MATCH(T126,INDIRECT(VLOOKUP(CONCATENATE(LEFT(BO126,7),"-",MID(BO126,13,1)),CLU!$P$3:$Q$16,2)),1)</f>
        <v>#N/A</v>
      </c>
      <c r="GS126" s="433" t="e">
        <f ca="1">MATCH(U126,INDIRECT(VLOOKUP(CONCATENATE(LEFT(BO126,7),"-",MID(BO126,13,1)),CLU!$P$3:$Q$16,2)),1)</f>
        <v>#N/A</v>
      </c>
      <c r="GT126" s="347" t="s">
        <v>512</v>
      </c>
      <c r="GU126" s="97" t="s">
        <v>513</v>
      </c>
      <c r="GV126" s="97" t="str">
        <f t="shared" si="400"/>
        <v>M23</v>
      </c>
      <c r="GW126" s="97" t="str">
        <f t="shared" si="401"/>
        <v>M31</v>
      </c>
      <c r="GX126" s="97" t="str">
        <f t="shared" si="402"/>
        <v/>
      </c>
      <c r="GY126" s="97" t="str">
        <f t="shared" si="403"/>
        <v/>
      </c>
      <c r="GZ126" s="481"/>
      <c r="HA126" s="288"/>
      <c r="HB126" s="240"/>
      <c r="HC126" s="240"/>
      <c r="HD126" s="240"/>
      <c r="HE126" s="240"/>
      <c r="HF126" s="240"/>
      <c r="HG126" s="240"/>
      <c r="HH126" s="240"/>
      <c r="HI126" s="240"/>
      <c r="HJ126" s="240"/>
      <c r="HK126" s="240"/>
      <c r="HL126" s="240"/>
      <c r="HM126" s="240"/>
      <c r="HN126" s="240"/>
      <c r="HO126" s="240"/>
      <c r="HP126" s="240"/>
      <c r="HQ126" s="240"/>
      <c r="HR126" s="240"/>
      <c r="HS126" s="240"/>
      <c r="HT126" s="240"/>
      <c r="HU126" s="240"/>
      <c r="HV126" s="245"/>
      <c r="HW126" s="245" t="b">
        <v>1</v>
      </c>
      <c r="HX126" s="245" t="str">
        <f t="shared" si="288"/>
        <v/>
      </c>
      <c r="HY126" s="245" t="e">
        <f t="shared" si="289"/>
        <v>#DIV/0!</v>
      </c>
      <c r="HZ126" s="245" t="e">
        <f t="shared" si="290"/>
        <v>#DIV/0!</v>
      </c>
      <c r="IA126" s="245">
        <f t="shared" si="291"/>
        <v>0</v>
      </c>
      <c r="IB126" s="245"/>
      <c r="IC126" t="b">
        <f t="shared" si="292"/>
        <v>1</v>
      </c>
      <c r="ID126" s="245" t="b">
        <f t="shared" si="293"/>
        <v>1</v>
      </c>
      <c r="IE126" s="245" t="b">
        <f t="shared" si="294"/>
        <v>1</v>
      </c>
      <c r="IF126" s="245" t="b">
        <f t="shared" si="295"/>
        <v>0</v>
      </c>
      <c r="IG126" s="245" t="b">
        <f t="shared" si="296"/>
        <v>1</v>
      </c>
      <c r="IH126" s="245" t="b">
        <f t="shared" si="297"/>
        <v>1</v>
      </c>
      <c r="II126" s="245">
        <f t="shared" si="404"/>
        <v>0</v>
      </c>
      <c r="IJ126" s="245" t="e">
        <f t="shared" si="298"/>
        <v>#VALUE!</v>
      </c>
      <c r="IK126" s="245" t="e">
        <f t="shared" si="299"/>
        <v>#VALUE!</v>
      </c>
      <c r="IL126" s="245"/>
      <c r="IM126" s="245" t="e">
        <f t="shared" si="405"/>
        <v>#N/A</v>
      </c>
      <c r="IN126" s="245" t="e">
        <f t="shared" si="406"/>
        <v>#N/A</v>
      </c>
      <c r="IO126" s="245"/>
      <c r="IP126" s="245"/>
      <c r="IQ126" s="245" t="str">
        <f t="shared" si="300"/>
        <v/>
      </c>
      <c r="IR126" s="245" t="str">
        <f>IF(J126="","",VLOOKUP(J126,Worksheet!$R$4:$T$14,2))</f>
        <v/>
      </c>
      <c r="IS126" s="245"/>
      <c r="IT126" s="245">
        <f t="shared" si="301"/>
        <v>0</v>
      </c>
      <c r="IU126" s="245">
        <f t="shared" si="302"/>
        <v>0</v>
      </c>
      <c r="IV126" s="245">
        <f t="shared" si="303"/>
        <v>0</v>
      </c>
      <c r="IW126" s="245">
        <f t="shared" si="304"/>
        <v>0</v>
      </c>
      <c r="IX126" s="245">
        <f t="shared" si="407"/>
        <v>0</v>
      </c>
      <c r="IY126" s="245">
        <f t="shared" si="305"/>
        <v>0</v>
      </c>
      <c r="IZ126" s="245">
        <f t="shared" si="306"/>
        <v>0</v>
      </c>
      <c r="JA126">
        <f t="shared" si="307"/>
        <v>0</v>
      </c>
      <c r="JB126">
        <f t="shared" si="408"/>
        <v>0</v>
      </c>
      <c r="JC126">
        <f t="shared" si="308"/>
        <v>0</v>
      </c>
      <c r="JD126">
        <f t="shared" si="309"/>
        <v>0</v>
      </c>
      <c r="JE126">
        <f t="shared" si="310"/>
        <v>0</v>
      </c>
      <c r="JF126">
        <f t="shared" si="311"/>
        <v>0</v>
      </c>
      <c r="JG126">
        <f t="shared" si="312"/>
        <v>0</v>
      </c>
      <c r="JH126">
        <f t="shared" si="313"/>
        <v>0</v>
      </c>
      <c r="JI126">
        <f t="shared" si="314"/>
        <v>0</v>
      </c>
      <c r="JJ126" s="447">
        <f t="shared" si="315"/>
        <v>0</v>
      </c>
      <c r="JK126" s="447">
        <f t="shared" si="316"/>
        <v>0</v>
      </c>
      <c r="JL126">
        <f t="shared" si="317"/>
        <v>0</v>
      </c>
      <c r="JM126" s="245" t="str">
        <f>IFERROR(VLOOKUP(MATCH(BN126,#REF!,0),#REF!,7),"")</f>
        <v/>
      </c>
      <c r="JN126" t="e">
        <f>HLOOKUP(LEFT(BO126,7),Discharge_Area,MATCH(JO126,LookUps!$B$130:$B$149,1)+2)</f>
        <v>#N/A</v>
      </c>
      <c r="JO126" t="str">
        <f t="shared" si="318"/>
        <v>- S</v>
      </c>
      <c r="JP126" t="e">
        <f>HLOOKUP(LEFT(BO126,7),Discharge_Area,MATCH(JO126,LookUps!$B$130:$B$149,1)+2)</f>
        <v>#N/A</v>
      </c>
      <c r="JQ126" t="e">
        <f t="shared" si="319"/>
        <v>#N/A</v>
      </c>
      <c r="JR126" t="e">
        <f t="shared" si="320"/>
        <v>#N/A</v>
      </c>
      <c r="JS126" t="e">
        <f t="shared" si="321"/>
        <v>#N/A</v>
      </c>
      <c r="JT126" s="532" t="str">
        <f t="shared" si="322"/>
        <v xml:space="preserve"> </v>
      </c>
      <c r="JU126" s="532" t="str">
        <f t="shared" si="323"/>
        <v xml:space="preserve"> </v>
      </c>
      <c r="JV126" s="533" t="str">
        <f t="shared" si="324"/>
        <v xml:space="preserve"> </v>
      </c>
      <c r="JW126" s="534">
        <f t="shared" si="325"/>
        <v>0</v>
      </c>
      <c r="JX126" s="535" t="str">
        <f t="shared" si="409"/>
        <v xml:space="preserve"> </v>
      </c>
      <c r="JY126" s="535" t="str">
        <f t="shared" si="410"/>
        <v xml:space="preserve"> </v>
      </c>
      <c r="JZ126" s="535" t="str">
        <f t="shared" si="411"/>
        <v xml:space="preserve"> </v>
      </c>
      <c r="KA126" s="536" t="str">
        <f t="shared" si="326"/>
        <v xml:space="preserve"> </v>
      </c>
      <c r="KB126" s="535" t="e">
        <f t="shared" si="412"/>
        <v>#VALUE!</v>
      </c>
      <c r="KC126" s="535" t="str">
        <f t="shared" si="327"/>
        <v/>
      </c>
      <c r="KD126" s="537" t="str">
        <f t="shared" si="413"/>
        <v xml:space="preserve"> </v>
      </c>
      <c r="KE126" s="537" t="str">
        <f t="shared" si="414"/>
        <v xml:space="preserve"> </v>
      </c>
      <c r="KF126" s="534">
        <f t="shared" si="328"/>
        <v>0</v>
      </c>
      <c r="KG126" s="535" t="str">
        <f t="shared" si="329"/>
        <v xml:space="preserve"> </v>
      </c>
      <c r="KH126" s="535" t="str">
        <f t="shared" si="330"/>
        <v xml:space="preserve"> </v>
      </c>
      <c r="KI126" s="535" t="str">
        <f t="shared" si="331"/>
        <v xml:space="preserve"> </v>
      </c>
      <c r="KJ126" s="536" t="str">
        <f t="shared" si="332"/>
        <v xml:space="preserve"> </v>
      </c>
      <c r="KK126" s="535" t="str">
        <f t="shared" si="415"/>
        <v xml:space="preserve"> </v>
      </c>
      <c r="KL126" s="535" t="str">
        <f t="shared" si="416"/>
        <v xml:space="preserve"> </v>
      </c>
      <c r="KM126" s="537" t="str">
        <f t="shared" si="333"/>
        <v xml:space="preserve"> </v>
      </c>
      <c r="KN126" s="537" t="str">
        <f t="shared" si="417"/>
        <v xml:space="preserve"> </v>
      </c>
      <c r="KP126">
        <f t="shared" si="334"/>
        <v>0</v>
      </c>
      <c r="LA126" t="e">
        <f t="shared" si="335"/>
        <v>#VALUE!</v>
      </c>
      <c r="LB126" t="e">
        <f t="shared" si="336"/>
        <v>#VALUE!</v>
      </c>
      <c r="LC126" t="e">
        <f t="shared" si="337"/>
        <v>#VALUE!</v>
      </c>
      <c r="LD126" t="e">
        <f t="shared" si="338"/>
        <v>#VALUE!</v>
      </c>
      <c r="LE126" t="e">
        <f t="shared" si="418"/>
        <v>#VALUE!</v>
      </c>
      <c r="LF126">
        <f t="shared" si="339"/>
        <v>0</v>
      </c>
      <c r="LG126" t="e">
        <f t="shared" si="419"/>
        <v>#VALUE!</v>
      </c>
      <c r="LH126" t="str">
        <f t="shared" si="340"/>
        <v xml:space="preserve"> </v>
      </c>
      <c r="LI126">
        <f t="shared" si="420"/>
        <v>1</v>
      </c>
    </row>
    <row r="127" spans="2:321" ht="15" customHeight="1">
      <c r="B127" s="311"/>
      <c r="C127" s="311"/>
      <c r="D127" s="312"/>
      <c r="E127" s="311"/>
      <c r="F127" s="312"/>
      <c r="G127" s="311"/>
      <c r="H127" s="311"/>
      <c r="I127" s="37"/>
      <c r="J127" s="311"/>
      <c r="K127" s="305" t="str">
        <f t="shared" si="341"/>
        <v/>
      </c>
      <c r="L127" s="313"/>
      <c r="M127" s="312"/>
      <c r="N127" s="311"/>
      <c r="O127" s="312"/>
      <c r="P127" s="311"/>
      <c r="Q127" s="305" t="str">
        <f t="shared" si="342"/>
        <v/>
      </c>
      <c r="R127" s="314"/>
      <c r="S127" s="450" t="str">
        <f t="shared" si="225"/>
        <v/>
      </c>
      <c r="T127" s="315"/>
      <c r="U127" s="315"/>
      <c r="W127" s="149" t="str">
        <f t="shared" si="226"/>
        <v xml:space="preserve"> </v>
      </c>
      <c r="X127" s="243" t="str">
        <f t="shared" si="227"/>
        <v xml:space="preserve"> </v>
      </c>
      <c r="Y127" s="150" t="str">
        <f t="shared" si="228"/>
        <v/>
      </c>
      <c r="Z127" s="149" t="str">
        <f t="shared" si="229"/>
        <v xml:space="preserve"> </v>
      </c>
      <c r="AA127" s="98" t="str">
        <f t="shared" si="230"/>
        <v xml:space="preserve"> </v>
      </c>
      <c r="AB127" s="153" t="str">
        <f t="shared" si="231"/>
        <v xml:space="preserve"> </v>
      </c>
      <c r="AC127" s="153" t="str">
        <f t="shared" si="232"/>
        <v xml:space="preserve"> </v>
      </c>
      <c r="AD127" s="148" t="str">
        <f t="shared" si="233"/>
        <v/>
      </c>
      <c r="AE127" s="149" t="str">
        <f t="shared" si="234"/>
        <v/>
      </c>
      <c r="AF127" s="151" t="str">
        <f t="shared" si="235"/>
        <v xml:space="preserve"> </v>
      </c>
      <c r="AG127" s="153" t="str">
        <f t="shared" si="236"/>
        <v xml:space="preserve"> </v>
      </c>
      <c r="AH127" s="98" t="str">
        <f t="shared" si="237"/>
        <v xml:space="preserve"> </v>
      </c>
      <c r="AI127" s="149" t="str">
        <f t="shared" si="238"/>
        <v xml:space="preserve"> </v>
      </c>
      <c r="AK127" s="144" t="str">
        <f t="shared" si="239"/>
        <v xml:space="preserve"> </v>
      </c>
      <c r="AL127" s="144"/>
      <c r="AM127" s="243" t="str">
        <f t="shared" si="240"/>
        <v xml:space="preserve"> </v>
      </c>
      <c r="AN127" s="149" t="str">
        <f t="shared" si="343"/>
        <v xml:space="preserve"> </v>
      </c>
      <c r="AO127" s="144" t="str">
        <f>IF(JB127&gt;0,IF(GI127=10,-R127*1.085*(Calculation!$F$6-Calculation!$F$13)*$S$14," "),"")</f>
        <v/>
      </c>
      <c r="AP127" s="144" t="str">
        <f t="shared" si="241"/>
        <v/>
      </c>
      <c r="AQ127" s="56" t="str">
        <f t="shared" si="242"/>
        <v/>
      </c>
      <c r="AR127" s="144" t="str">
        <f t="shared" si="243"/>
        <v/>
      </c>
      <c r="AS127" s="176" t="str">
        <f t="shared" si="244"/>
        <v/>
      </c>
      <c r="AT127" s="176" t="str">
        <f t="shared" si="344"/>
        <v xml:space="preserve"> </v>
      </c>
      <c r="AU127" s="176" t="str">
        <f t="shared" si="245"/>
        <v/>
      </c>
      <c r="AV127" s="177" t="str">
        <f t="shared" si="246"/>
        <v xml:space="preserve"> </v>
      </c>
      <c r="AW127" s="144" t="str">
        <f t="shared" si="247"/>
        <v xml:space="preserve"> </v>
      </c>
      <c r="AX127" s="144" t="str">
        <f t="shared" si="248"/>
        <v xml:space="preserve"> </v>
      </c>
      <c r="AY127" s="152" t="str">
        <f t="shared" si="249"/>
        <v xml:space="preserve"> </v>
      </c>
      <c r="AZ127" s="246" t="str">
        <f t="shared" si="250"/>
        <v/>
      </c>
      <c r="BA127" s="176" t="str">
        <f t="shared" si="251"/>
        <v xml:space="preserve"> </v>
      </c>
      <c r="BB127" s="176" t="str">
        <f t="shared" si="252"/>
        <v xml:space="preserve"> </v>
      </c>
      <c r="BC127" s="195"/>
      <c r="BD127" s="316"/>
      <c r="BE127" s="317"/>
      <c r="BF127" s="318"/>
      <c r="BG127" s="318"/>
      <c r="BH127" s="144" t="str">
        <f t="shared" si="421"/>
        <v xml:space="preserve"> </v>
      </c>
      <c r="BI127" s="176" t="str">
        <f t="shared" si="253"/>
        <v/>
      </c>
      <c r="BJ127" s="144" t="str">
        <f t="shared" si="422"/>
        <v/>
      </c>
      <c r="BK127" s="246" t="str">
        <f t="shared" si="254"/>
        <v/>
      </c>
      <c r="BL127" s="144" t="str">
        <f t="shared" si="423"/>
        <v/>
      </c>
      <c r="BM127" s="246" t="str">
        <f t="shared" si="255"/>
        <v/>
      </c>
      <c r="BN127" s="337" t="str">
        <f t="shared" si="345"/>
        <v/>
      </c>
      <c r="BO127" s="371" t="str">
        <f t="shared" si="346"/>
        <v/>
      </c>
      <c r="BP127" s="328" t="str">
        <f t="shared" si="424"/>
        <v xml:space="preserve"> </v>
      </c>
      <c r="BQ127" s="347" t="str">
        <f t="shared" si="347"/>
        <v xml:space="preserve"> </v>
      </c>
      <c r="BR127" s="353" t="str">
        <f t="shared" si="348"/>
        <v xml:space="preserve"> </v>
      </c>
      <c r="BS127" s="626" t="str">
        <f>IF(L127&gt;0,IF(Calculation!P127="M13",BR127*3.1416*(0.134^2)/(4*144),IF(Calculation!P127="M17",BR127*3.1416*(0.165^2)/(4*144),IF(Calculation!P127="M20",BR127*3.1416*(0.198^2)/(4*144),IF(Calculation!P127="M23",BR127*3.1416*(0.228^2)/(4*144),IF(Calculation!P127="M27",BR127*3.1416*(0.269^2)/(4*144),BR127*3.1416*(0.307^2)/(4*144))))))," ")</f>
        <v xml:space="preserve"> </v>
      </c>
      <c r="BT127" s="353" t="str">
        <f>IF(L127&gt;0,IF(BS127&gt;0,R127/Calculation!BS127,0)," ")</f>
        <v xml:space="preserve"> </v>
      </c>
      <c r="BU127" s="438" t="e">
        <f t="shared" ca="1" si="256"/>
        <v>#VALUE!</v>
      </c>
      <c r="BV127" s="449" t="e">
        <f ca="1">INDEX(INDIRECT(VLOOKUP(LEFT(BO127,7),CLU!$Z$3:$AH$18,2)),GN127,GR127)</f>
        <v>#N/A</v>
      </c>
      <c r="BW127" s="433" t="e">
        <f ca="1">INDEX(INDIRECT(VLOOKUP(LEFT(BO127,7),CLU!$Z$3:$AH$18,3)),GN127,GR127)</f>
        <v>#N/A</v>
      </c>
      <c r="BX127" s="433" t="e">
        <f ca="1">INDEX(INDIRECT(VLOOKUP(LEFT(BO127,7),CLU!$Z$3:$AH$18,4)),GN127,GR127)</f>
        <v>#N/A</v>
      </c>
      <c r="BY127" s="433" t="e">
        <f ca="1">INDEX(INDIRECT(VLOOKUP(LEFT(BO127,7),CLU!$Z$3:$AH$18,9)),((M127-2)*(6-COUNTBLANK(GT127:GY127)))+GJ127)</f>
        <v>#N/A</v>
      </c>
      <c r="BZ127" s="426" t="e">
        <f t="shared" ca="1" si="349"/>
        <v>#N/A</v>
      </c>
      <c r="CA127" s="424" t="e">
        <f t="shared" ca="1" si="350"/>
        <v>#N/A</v>
      </c>
      <c r="CB127" s="429" t="e">
        <f ca="1">INDEX(INDIRECT(VLOOKUP(LEFT(BO127,7),CLU!$Z$3:$AH$18,2)),GN127,GS127)</f>
        <v>#N/A</v>
      </c>
      <c r="CC127" s="342" t="e">
        <f ca="1">INDEX(INDIRECT(VLOOKUP(LEFT(BO127,7),CLU!$Z$3:$AH$18,3)),GN127,GS127)</f>
        <v>#N/A</v>
      </c>
      <c r="CD127" s="342" t="e">
        <f ca="1">INDEX(INDIRECT(VLOOKUP(LEFT(BO127,7),CLU!$Z$3:$AH$18,4)),GN127,GS127)</f>
        <v>#N/A</v>
      </c>
      <c r="CE127" s="426" t="e">
        <f t="shared" ca="1" si="351"/>
        <v>#N/A</v>
      </c>
      <c r="CF127" s="440">
        <f t="shared" si="352"/>
        <v>0</v>
      </c>
      <c r="CG127" s="431" t="e">
        <f ca="1">INDEX(INDIRECT(VLOOKUP(LEFT(BO127,7),CLU!$Z$3:$AH$18,2)),GQ127,GR127)</f>
        <v>#N/A</v>
      </c>
      <c r="CH127" s="431" t="e">
        <f ca="1">INDEX(INDIRECT(VLOOKUP(LEFT(BO127,7),CLU!$Z$3:$AH$18,3)),GQ127,GR127)</f>
        <v>#N/A</v>
      </c>
      <c r="CI127" s="431" t="e">
        <f ca="1">INDEX(INDIRECT(VLOOKUP(LEFT(BO127,7),CLU!$Z$3:$AH$18,4)),GQ127,GR127)</f>
        <v>#N/A</v>
      </c>
      <c r="CJ127" s="448" t="e">
        <f t="shared" ca="1" si="353"/>
        <v>#N/A</v>
      </c>
      <c r="CK127" s="431" t="e">
        <f t="shared" ca="1" si="354"/>
        <v>#N/A</v>
      </c>
      <c r="CL127" s="440" t="e">
        <f t="shared" ca="1" si="355"/>
        <v>#N/A</v>
      </c>
      <c r="CM127" s="431" t="e">
        <f ca="1">INDEX(INDIRECT(VLOOKUP(LEFT(BO127,7),CLU!$Z$3:$AH$18,2)),GQ127,GS127)</f>
        <v>#N/A</v>
      </c>
      <c r="CN127" s="431" t="e">
        <f ca="1">INDEX(INDIRECT(VLOOKUP(LEFT(BO127,7),CLU!$Z$3:$AH$18,3)),GQ127,GS127)</f>
        <v>#N/A</v>
      </c>
      <c r="CO127" s="431" t="e">
        <f ca="1">INDEX(INDIRECT(VLOOKUP(LEFT(BO127,7),CLU!$Z$3:$AH$18,4)),GQ127,GS127)</f>
        <v>#N/A</v>
      </c>
      <c r="CP127" s="431" t="e">
        <f t="shared" ca="1" si="356"/>
        <v>#N/A</v>
      </c>
      <c r="CQ127" s="440">
        <f t="shared" si="357"/>
        <v>0</v>
      </c>
      <c r="CR127" s="51" t="e">
        <f t="shared" ca="1" si="358"/>
        <v>#N/A</v>
      </c>
      <c r="CS127" s="439" t="e">
        <f t="shared" ca="1" si="359"/>
        <v>#VALUE!</v>
      </c>
      <c r="CT127" s="51" t="e">
        <f t="shared" ca="1" si="360"/>
        <v>#VALUE!</v>
      </c>
      <c r="CU127" s="10"/>
      <c r="CV127" s="51" t="e">
        <f t="shared" ca="1" si="257"/>
        <v>#VALUE!</v>
      </c>
      <c r="CW127" s="51">
        <f t="shared" si="361"/>
        <v>0</v>
      </c>
      <c r="CX127" s="439" t="e">
        <f t="shared" ca="1" si="362"/>
        <v>#VALUE!</v>
      </c>
      <c r="CY127" s="51" t="e">
        <f t="shared" ca="1" si="363"/>
        <v>#VALUE!</v>
      </c>
      <c r="CZ127" s="10"/>
      <c r="DA127" s="51" t="e">
        <f t="shared" ca="1" si="364"/>
        <v>#VALUE!</v>
      </c>
      <c r="DB127" s="347" t="e">
        <f ca="1">INDEX(INDIRECT(VLOOKUP(LEFT(BO127,7),CLU!$Z$3:$AI$18,10)),((M127-2)*(6-COUNTBLANK(GT127:GY127)))+GJ127)*LI127</f>
        <v>#N/A</v>
      </c>
      <c r="DC127" s="347" t="str">
        <f>IF(L127&gt;0,((R127/Worksheet!$I$15)/DB127)^2," ")</f>
        <v xml:space="preserve"> </v>
      </c>
      <c r="DD127" s="602" t="str">
        <f t="shared" si="365"/>
        <v xml:space="preserve"> </v>
      </c>
      <c r="DE127" s="347" t="str">
        <f t="shared" si="258"/>
        <v xml:space="preserve"> </v>
      </c>
      <c r="DF127" s="356" t="e">
        <f ca="1">INDEX(INDIRECT(VLOOKUP(LEFT(BO127,7),CLU!$Z$3:$AH$18,8)),((M127-2)*(6-COUNTBLANK(GT127:GY127)))+GJ127)</f>
        <v>#N/A</v>
      </c>
      <c r="DG127" s="347" t="str">
        <f t="shared" si="259"/>
        <v xml:space="preserve"> </v>
      </c>
      <c r="DH127" s="357" t="str">
        <f t="shared" si="260"/>
        <v xml:space="preserve"> </v>
      </c>
      <c r="DI127" s="355" t="str">
        <f t="shared" si="261"/>
        <v xml:space="preserve"> </v>
      </c>
      <c r="DJ127" s="245" t="e">
        <f ca="1">INDEX(INDIRECT(VLOOKUP(LEFT(BO127,7),CLU!$Z$3:$AH$18,5)),GL127,GK127)</f>
        <v>#N/A</v>
      </c>
      <c r="DK127" s="245" t="e">
        <f ca="1">INDEX(INDIRECT(VLOOKUP(LEFT(BO127,7),CLU!$Z$3:$AH$18,6)),GL127,GK127)</f>
        <v>#N/A</v>
      </c>
      <c r="DL127" s="355">
        <f>(Calculation!R127*0.69143*(Calculation!$BQ$8-Calculation!$F$8))*$S$14</f>
        <v>0</v>
      </c>
      <c r="DM127" s="359" t="e">
        <f t="shared" si="366"/>
        <v>#VALUE!</v>
      </c>
      <c r="DN127" s="611">
        <f t="shared" si="367"/>
        <v>0</v>
      </c>
      <c r="DO127" s="359">
        <f t="shared" si="368"/>
        <v>100</v>
      </c>
      <c r="DP127" s="359">
        <f t="shared" si="369"/>
        <v>0</v>
      </c>
      <c r="DQ127" s="360"/>
      <c r="DR127" s="245" t="e">
        <f ca="1">INDEX(INDIRECT(VLOOKUP(LEFT(BO127,7),CLU!$Z$3:$AH$18,7)),M127-1,1)</f>
        <v>#N/A</v>
      </c>
      <c r="DS127" s="245" t="e">
        <f ca="1">INDEX(INDIRECT(VLOOKUP(LEFT(BO127,7),CLU!$Z$3:$AH$18,7)),M127-1,2)</f>
        <v>#N/A</v>
      </c>
      <c r="DT127" s="245" t="e">
        <f ca="1">INDEX(INDIRECT(VLOOKUP(LEFT(BO127,7),CLU!$Z$3:$AH$18,7)),M127-1,3)</f>
        <v>#N/A</v>
      </c>
      <c r="DU127" s="245" t="e">
        <f ca="1">INDEX(INDIRECT(VLOOKUP(LEFT(BO127,7),CLU!$Z$3:$AH$18,7)),M127-1,4)</f>
        <v>#N/A</v>
      </c>
      <c r="DV127" s="361" t="e">
        <f ca="1">INDEX(INDIRECT(VLOOKUP(LEFT(BO127,7),CLU!$Z$3:$AH$18,7)),M127-1,4+LEFT(DZ127,1)*0.5)</f>
        <v>#N/A</v>
      </c>
      <c r="DW127" s="245" t="e">
        <f ca="1">INDEX(INDIRECT(VLOOKUP(LEFT(BO127,7),CLU!$Z$3:$AH$18,7)),M127-1,8)</f>
        <v>#N/A</v>
      </c>
      <c r="DX127" s="361" t="str">
        <f t="shared" si="262"/>
        <v xml:space="preserve"> </v>
      </c>
      <c r="DY127" s="361" t="str">
        <f t="shared" si="263"/>
        <v xml:space="preserve"> </v>
      </c>
      <c r="DZ127" s="361" t="str">
        <f t="shared" si="264"/>
        <v xml:space="preserve"> </v>
      </c>
      <c r="EA127" s="362" t="str">
        <f t="shared" si="265"/>
        <v xml:space="preserve"> </v>
      </c>
      <c r="EB127" s="624" t="str">
        <f t="shared" si="370"/>
        <v xml:space="preserve"> </v>
      </c>
      <c r="EC127" s="361" t="e">
        <f ca="1">INDEX(INDIRECT(VLOOKUP(LEFT(BO127,7),CLU!$Z$3:$AH$18,7)),M127-1,4+LEFT(DZ127,1)*0.5)</f>
        <v>#N/A</v>
      </c>
      <c r="ED127" s="362" t="str">
        <f t="shared" si="266"/>
        <v xml:space="preserve"> </v>
      </c>
      <c r="EE127" s="361" t="str">
        <f t="shared" si="267"/>
        <v xml:space="preserve"> </v>
      </c>
      <c r="EF127" s="362" t="str">
        <f>IF(L127&gt;0,IF(BR127&gt;0,IF(EE127="2P",IF(Calculation!DZ127="2P",IF(Calculation!DS127=13.75,IF(Calculation!DR127=13,Worksheet!$BD$43,IF(Calculation!DR127=37,Worksheet!$BD$44,Worksheet!$BD$45)),IF(Calculation!DS127=10,IF(Calculation!DR127=18,Worksheet!$BD$29,IF(Calculation!DR127=30,Worksheet!$BD$30,IF(Calculation!DR127=42,Worksheet!$BD$31,IF(Calculation!DR127=54,Worksheet!$BD$32,IF(Calculation!DR127=66,Worksheet!$BD$33,IF(Calculation!DR127=78,Worksheet!$BD$34,IF(Calculation!DR127=90,Worksheet!$BD$35,IF(Calculation!DR127=102,Worksheet!$BD$36,Worksheet!$BD$37)))))))),IF(Calculation!DS127=12.5,IF(Calculation!DR127=18,Worksheet!$BD$38,IF(Calculation!DR127=Worksheet!$BD$39,IF(Calculation!DR127=42,Worksheet!$BD$40,IF(Calculation!DR127=54,Worksheet!$BD$41,Worksheet!$BD$42)))),IF(Calculation!DR127=18,Worksheet!$BD$11,IF(Calculation!DR127=30,Worksheet!$BD$12,IF(Calculation!DR127=42,Worksheet!$BD$13,IF(Calculation!DR127=54,Worksheet!$BD$14,IF(Calculation!DR127=66,Worksheet!$BD$15,IF(Calculation!DR127=78,Worksheet!$BD$16,IF(Calculation!DR127=90,Worksheet!$BD$17,IF(Calculation!DR127=102,Worksheet!$BD$18,Worksheet!$BD$19))))))))))),IF(Calculation!DS127=13.75,IF(Calculation!DR127=13,Worksheet!$BD$78,IF(Calculation!DR127=37,Worksheet!$BD$79,Worksheet!$BD$80)),IF(Calculation!DS127=10,IF(Calculation!DR127=18,Worksheet!$BD$64,IF(Calculation!DR127=30,Worksheet!$BD$65,IF(Calculation!DR127=42,Worksheet!$BD$66,IF(Calculation!DR127=54,Worksheet!$BD$68,IF(Calculation!DR127=66,Worksheet!$BD$68,IF(Calculation!DR127=78,Worksheet!$BD$69,IF(Calculation!DR127=90,Worksheet!$BD$70,IF(Calculation!DR127=102,Worksheet!$BD$71,Worksheet!$BD$72)))))))),IF(Calculation!DS127=12.5,IF(Calculation!DR127=18,Worksheet!$BD$73,IF(Calculation!DR127=Worksheet!$BD$74,IF(Calculation!DR127=42,Worksheet!$BD$75,IF(Calculation!DR127=54,Worksheet!$BD$76,Worksheet!$BD$77)))),IF(Calculation!DR127=18,Worksheet!$BD$55,IF(Calculation!DR127=30,Worksheet!$BD$56,IF(Calculation!DR127=42,Worksheet!$BD$57,IF(Calculation!DR127=54,Worksheet!$BD$58,IF(Calculation!DR127=66,Worksheet!$BD$59,IF(Calculation!DR127=78,Worksheet!$BD$60,IF(Calculation!DR127=90,Worksheet!$BD$61,IF(Calculation!DR127=102,Worksheet!$BD$62,Worksheet!$BD$63)))))))))))),5),0)," ")</f>
        <v xml:space="preserve"> </v>
      </c>
      <c r="EG127" s="361" t="str">
        <f t="shared" si="268"/>
        <v xml:space="preserve"> </v>
      </c>
      <c r="EH127" s="361" t="e">
        <f ca="1">INDEX(INDIRECT(VLOOKUP(LEFT(BO127,7),CLU!$Z$3:$AH$18,7)),M127-1,3+LEFT(DZ127,1))</f>
        <v>#N/A</v>
      </c>
      <c r="EI127" s="362" t="str">
        <f t="shared" si="269"/>
        <v xml:space="preserve"> </v>
      </c>
      <c r="EJ127" s="363" t="str">
        <f t="shared" si="270"/>
        <v xml:space="preserve"> </v>
      </c>
      <c r="EK127" s="363" t="str">
        <f t="shared" si="271"/>
        <v xml:space="preserve"> </v>
      </c>
      <c r="EL127" s="363" t="str">
        <f t="shared" si="272"/>
        <v xml:space="preserve"> </v>
      </c>
      <c r="EM127" s="362" t="str">
        <f>IF(L127&gt;0,IF(BR127&gt;0,(Calculation!T127/ED127)^2,0)," ")</f>
        <v xml:space="preserve"> </v>
      </c>
      <c r="EN127" s="362" t="str">
        <f>IF(L127&gt;0,IF(O127="2 Pipe (Cooling)","N/A",IF(BR127&gt;0,(Calculation!U127/EI127)^2,0))," ")</f>
        <v xml:space="preserve"> </v>
      </c>
      <c r="EO127" s="361" t="str">
        <f t="shared" si="273"/>
        <v/>
      </c>
      <c r="EP127" s="361" t="str">
        <f t="shared" si="274"/>
        <v/>
      </c>
      <c r="EQ127" s="361" t="str">
        <f t="shared" si="275"/>
        <v/>
      </c>
      <c r="ER127" s="361" t="str">
        <f t="shared" si="276"/>
        <v/>
      </c>
      <c r="ES127" s="361" t="str">
        <f t="shared" si="277"/>
        <v/>
      </c>
      <c r="ET127" s="361" t="str">
        <f t="shared" si="278"/>
        <v/>
      </c>
      <c r="EU127" s="361" t="str">
        <f t="shared" si="279"/>
        <v/>
      </c>
      <c r="EV127" s="361" t="str">
        <f t="shared" si="280"/>
        <v/>
      </c>
      <c r="EW127" s="361" t="str">
        <f t="shared" si="281"/>
        <v/>
      </c>
      <c r="EX127" s="361" t="str">
        <f t="shared" si="371"/>
        <v>1 slot, 1 way</v>
      </c>
      <c r="EY127" s="361" t="str">
        <f t="shared" si="372"/>
        <v xml:space="preserve"> </v>
      </c>
      <c r="EZ127" s="361" t="str">
        <f t="shared" si="373"/>
        <v xml:space="preserve"> </v>
      </c>
      <c r="FA127" s="361" t="str">
        <f t="shared" si="374"/>
        <v xml:space="preserve"> </v>
      </c>
      <c r="FB127" s="361" t="str">
        <f t="shared" si="375"/>
        <v xml:space="preserve"> </v>
      </c>
      <c r="FC127" s="361"/>
      <c r="FD127" s="361" t="str">
        <f>IF(J127&gt;0,IF(Calculation!R127&lt;=70,4,IF(Calculation!R127&lt;=110,5,IF(Calculation!R127&lt;=160,6,IF(Calculation!R127&lt;=300,8,"10 EO")))),"")</f>
        <v/>
      </c>
      <c r="FE127" s="361" t="str">
        <f t="shared" si="376"/>
        <v/>
      </c>
      <c r="FF127" s="361" t="str">
        <f t="shared" si="377"/>
        <v/>
      </c>
      <c r="FG127" s="361" t="e">
        <f t="shared" si="282"/>
        <v>#N/A</v>
      </c>
      <c r="FH127" s="361">
        <f t="shared" si="283"/>
        <v>0</v>
      </c>
      <c r="FI127" s="361" t="e">
        <f t="shared" si="284"/>
        <v>#DIV/0!</v>
      </c>
      <c r="FJ127" s="361"/>
      <c r="FK127" s="356" t="e">
        <f t="shared" si="285"/>
        <v>#VALUE!</v>
      </c>
      <c r="FL127" s="361"/>
      <c r="FM127" s="361"/>
      <c r="FN127" s="362" t="str">
        <f t="shared" si="378"/>
        <v xml:space="preserve"> </v>
      </c>
      <c r="FO127" s="362" t="str">
        <f t="shared" si="379"/>
        <v xml:space="preserve"> </v>
      </c>
      <c r="FP127" s="362">
        <f t="shared" si="380"/>
        <v>0</v>
      </c>
      <c r="FQ127" s="361">
        <f t="shared" si="286"/>
        <v>0</v>
      </c>
      <c r="FR127" s="362" t="str">
        <f>IF(L127&gt;0,IF(J127="CBAL2",Worksheet!$P$67,IF(J127="CBE2-24",Worksheet!$Q$67,IF(J127="CBAM",Worksheet!$R$67,IF(J127="CBLV",Worksheet!$S$67,IF(J127="CBAB",Worksheet!$U$67,IF(J127="CBAW",Worksheet!$X$67,IF(J127="CBE2-12",Worksheet!$Y$67,IF(J127="CBAL2",Worksheet!$Z$67,"N/A"))))))))," ")</f>
        <v xml:space="preserve"> </v>
      </c>
      <c r="FS127" s="362" t="str">
        <f>IF(L127&gt;0,IF(J127="CBAL2",Worksheet!$P$68,IF(J127="CBE2-24",Worksheet!$Q$68,IF(J127="CBAM",Worksheet!$R$68,IF(J127="CBLV",Worksheet!$S$68,IF(J127="CBAB",Worksheet!$U$68,IF(J127="CBAW",Worksheet!$X$68,IF(J127="CBE2-12",Worksheet!$Y$68,IF(J127="CBAL2",Worksheet!$Z$68,"N/A"))))))))," ")</f>
        <v xml:space="preserve"> </v>
      </c>
      <c r="FT127" s="362" t="str">
        <f>IF(L127&gt;0,IF(J127="CBAL2",Worksheet!$P$69,IF(J127="CBE2-24",Worksheet!$Q$69,IF(J127="CBAM",Worksheet!$R$69,IF(J127="CBLV",Worksheet!$S$69,IF(J127="CBAB",Worksheet!$U$69,IF(J127="CBAW",Worksheet!$X$69,IF(J127="CBE2-12",Worksheet!$Y$69,IF(J127="CBAL2",Worksheet!$Z$69,"N/A"))))))))," ")</f>
        <v xml:space="preserve"> </v>
      </c>
      <c r="FU127" s="361" t="str">
        <f t="shared" si="381"/>
        <v xml:space="preserve"> </v>
      </c>
      <c r="FV127" s="362" t="str">
        <f t="shared" si="382"/>
        <v xml:space="preserve"> </v>
      </c>
      <c r="FW127" s="362" t="str">
        <f t="shared" si="383"/>
        <v xml:space="preserve"> </v>
      </c>
      <c r="FX127" s="362" t="str">
        <f t="shared" si="384"/>
        <v xml:space="preserve"> </v>
      </c>
      <c r="FY127" s="355" t="str">
        <f t="shared" si="385"/>
        <v xml:space="preserve"> </v>
      </c>
      <c r="FZ127" s="361" t="str">
        <f t="shared" si="386"/>
        <v xml:space="preserve"> </v>
      </c>
      <c r="GA127" s="347" t="str">
        <f t="shared" si="387"/>
        <v xml:space="preserve"> </v>
      </c>
      <c r="GB127" s="355" t="str">
        <f t="shared" si="388"/>
        <v xml:space="preserve"> </v>
      </c>
      <c r="GC127" s="328" t="str">
        <f t="shared" si="389"/>
        <v xml:space="preserve"> </v>
      </c>
      <c r="GD127" s="361" t="str">
        <f t="shared" si="390"/>
        <v xml:space="preserve"> </v>
      </c>
      <c r="GE127" s="347" t="str">
        <f t="shared" si="391"/>
        <v xml:space="preserve"> </v>
      </c>
      <c r="GF127" s="361" t="str">
        <f t="shared" si="392"/>
        <v xml:space="preserve"> </v>
      </c>
      <c r="GG127" s="347" t="str">
        <f t="shared" si="393"/>
        <v xml:space="preserve"> </v>
      </c>
      <c r="GH127" s="364">
        <f t="shared" si="287"/>
        <v>0</v>
      </c>
      <c r="GI127" s="362">
        <f t="shared" si="394"/>
        <v>2</v>
      </c>
      <c r="GJ127" s="433" t="e">
        <f>IF(6-COUNTBLANK(GT127:GY127)=4,MATCH(MID(BO127,9,3),CLU!$H$16:$K$16),MATCH(MID(BO127,9,3),CLU!$H$13:$M$13))</f>
        <v>#N/A</v>
      </c>
      <c r="GK127" s="433" t="e">
        <f>HLOOKUP(VALUE(BP127),CLU!$H$9:$M$10,2)</f>
        <v>#VALUE!</v>
      </c>
      <c r="GL127" s="433" t="e">
        <f ca="1">MATCH(BU127,CLU!$H$2:$V$2,1)</f>
        <v>#VALUE!</v>
      </c>
      <c r="GM127" s="433" t="e">
        <f t="shared" ca="1" si="395"/>
        <v>#VALUE!</v>
      </c>
      <c r="GN127" s="433" t="e">
        <f t="shared" ca="1" si="396"/>
        <v>#VALUE!</v>
      </c>
      <c r="GO127" s="433" t="e">
        <f t="shared" ca="1" si="397"/>
        <v>#VALUE!</v>
      </c>
      <c r="GP127" s="433" t="e">
        <f t="shared" ca="1" si="398"/>
        <v>#VALUE!</v>
      </c>
      <c r="GQ127" s="433" t="e">
        <f t="shared" ca="1" si="399"/>
        <v>#VALUE!</v>
      </c>
      <c r="GR127" s="433" t="e">
        <f ca="1">MATCH(T127,INDIRECT(VLOOKUP(CONCATENATE(LEFT(BO127,7),"-",MID(BO127,13,1)),CLU!$P$3:$Q$16,2)),1)</f>
        <v>#N/A</v>
      </c>
      <c r="GS127" s="433" t="e">
        <f ca="1">MATCH(U127,INDIRECT(VLOOKUP(CONCATENATE(LEFT(BO127,7),"-",MID(BO127,13,1)),CLU!$P$3:$Q$16,2)),1)</f>
        <v>#N/A</v>
      </c>
      <c r="GT127" s="347" t="s">
        <v>512</v>
      </c>
      <c r="GU127" s="97" t="s">
        <v>513</v>
      </c>
      <c r="GV127" s="97" t="str">
        <f t="shared" si="400"/>
        <v>M23</v>
      </c>
      <c r="GW127" s="97" t="str">
        <f t="shared" si="401"/>
        <v>M31</v>
      </c>
      <c r="GX127" s="97" t="str">
        <f t="shared" si="402"/>
        <v/>
      </c>
      <c r="GY127" s="97" t="str">
        <f t="shared" si="403"/>
        <v/>
      </c>
      <c r="GZ127" s="481"/>
      <c r="HA127" s="288"/>
      <c r="HB127" s="240"/>
      <c r="HC127" s="240"/>
      <c r="HD127" s="240"/>
      <c r="HE127" s="240"/>
      <c r="HF127" s="240"/>
      <c r="HG127" s="240"/>
      <c r="HH127" s="240"/>
      <c r="HI127" s="240"/>
      <c r="HJ127" s="240"/>
      <c r="HK127" s="240"/>
      <c r="HL127" s="240"/>
      <c r="HM127" s="240"/>
      <c r="HN127" s="240"/>
      <c r="HO127" s="240"/>
      <c r="HP127" s="240"/>
      <c r="HQ127" s="240"/>
      <c r="HR127" s="240"/>
      <c r="HS127" s="240"/>
      <c r="HT127" s="240"/>
      <c r="HU127" s="240"/>
      <c r="HV127" s="245"/>
      <c r="HW127" s="245" t="b">
        <v>1</v>
      </c>
      <c r="HX127" s="245" t="str">
        <f t="shared" si="288"/>
        <v/>
      </c>
      <c r="HY127" s="245" t="e">
        <f t="shared" si="289"/>
        <v>#DIV/0!</v>
      </c>
      <c r="HZ127" s="245" t="e">
        <f t="shared" si="290"/>
        <v>#DIV/0!</v>
      </c>
      <c r="IA127" s="245">
        <f t="shared" si="291"/>
        <v>0</v>
      </c>
      <c r="IB127" s="245"/>
      <c r="IC127" t="b">
        <f t="shared" si="292"/>
        <v>1</v>
      </c>
      <c r="ID127" s="245" t="b">
        <f t="shared" si="293"/>
        <v>1</v>
      </c>
      <c r="IE127" s="245" t="b">
        <f t="shared" si="294"/>
        <v>1</v>
      </c>
      <c r="IF127" s="245" t="b">
        <f t="shared" si="295"/>
        <v>0</v>
      </c>
      <c r="IG127" s="245" t="b">
        <f t="shared" si="296"/>
        <v>1</v>
      </c>
      <c r="IH127" s="245" t="b">
        <f t="shared" si="297"/>
        <v>1</v>
      </c>
      <c r="II127" s="245">
        <f t="shared" si="404"/>
        <v>0</v>
      </c>
      <c r="IJ127" s="245" t="e">
        <f t="shared" si="298"/>
        <v>#VALUE!</v>
      </c>
      <c r="IK127" s="245" t="e">
        <f t="shared" si="299"/>
        <v>#VALUE!</v>
      </c>
      <c r="IL127" s="245"/>
      <c r="IM127" s="245" t="e">
        <f t="shared" si="405"/>
        <v>#N/A</v>
      </c>
      <c r="IN127" s="245" t="e">
        <f t="shared" si="406"/>
        <v>#N/A</v>
      </c>
      <c r="IO127" s="245"/>
      <c r="IP127" s="245"/>
      <c r="IQ127" s="245" t="str">
        <f t="shared" si="300"/>
        <v/>
      </c>
      <c r="IR127" s="245" t="str">
        <f>IF(J127="","",VLOOKUP(J127,Worksheet!$R$4:$T$14,2))</f>
        <v/>
      </c>
      <c r="IS127" s="245"/>
      <c r="IT127" s="245">
        <f t="shared" si="301"/>
        <v>0</v>
      </c>
      <c r="IU127" s="245">
        <f t="shared" si="302"/>
        <v>0</v>
      </c>
      <c r="IV127" s="245">
        <f t="shared" si="303"/>
        <v>0</v>
      </c>
      <c r="IW127" s="245">
        <f t="shared" si="304"/>
        <v>0</v>
      </c>
      <c r="IX127" s="245">
        <f t="shared" si="407"/>
        <v>0</v>
      </c>
      <c r="IY127" s="245">
        <f t="shared" si="305"/>
        <v>0</v>
      </c>
      <c r="IZ127" s="245">
        <f t="shared" si="306"/>
        <v>0</v>
      </c>
      <c r="JA127">
        <f t="shared" si="307"/>
        <v>0</v>
      </c>
      <c r="JB127">
        <f t="shared" si="408"/>
        <v>0</v>
      </c>
      <c r="JC127">
        <f t="shared" si="308"/>
        <v>0</v>
      </c>
      <c r="JD127">
        <f t="shared" si="309"/>
        <v>0</v>
      </c>
      <c r="JE127">
        <f t="shared" si="310"/>
        <v>0</v>
      </c>
      <c r="JF127">
        <f t="shared" si="311"/>
        <v>0</v>
      </c>
      <c r="JG127">
        <f t="shared" si="312"/>
        <v>0</v>
      </c>
      <c r="JH127">
        <f t="shared" si="313"/>
        <v>0</v>
      </c>
      <c r="JI127">
        <f t="shared" si="314"/>
        <v>0</v>
      </c>
      <c r="JJ127" s="447">
        <f t="shared" si="315"/>
        <v>0</v>
      </c>
      <c r="JK127" s="447">
        <f t="shared" si="316"/>
        <v>0</v>
      </c>
      <c r="JL127">
        <f t="shared" si="317"/>
        <v>0</v>
      </c>
      <c r="JM127" s="245" t="str">
        <f>IFERROR(VLOOKUP(MATCH(BN127,#REF!,0),#REF!,7),"")</f>
        <v/>
      </c>
      <c r="JN127" t="e">
        <f>HLOOKUP(LEFT(BO127,7),Discharge_Area,MATCH(JO127,LookUps!$B$130:$B$149,1)+2)</f>
        <v>#N/A</v>
      </c>
      <c r="JO127" t="str">
        <f t="shared" si="318"/>
        <v>- S</v>
      </c>
      <c r="JP127" t="e">
        <f>HLOOKUP(LEFT(BO127,7),Discharge_Area,MATCH(JO127,LookUps!$B$130:$B$149,1)+2)</f>
        <v>#N/A</v>
      </c>
      <c r="JQ127" t="e">
        <f t="shared" si="319"/>
        <v>#N/A</v>
      </c>
      <c r="JR127" t="e">
        <f t="shared" si="320"/>
        <v>#N/A</v>
      </c>
      <c r="JS127" t="e">
        <f t="shared" si="321"/>
        <v>#N/A</v>
      </c>
      <c r="JT127" s="532" t="str">
        <f t="shared" si="322"/>
        <v xml:space="preserve"> </v>
      </c>
      <c r="JU127" s="532" t="str">
        <f t="shared" si="323"/>
        <v xml:space="preserve"> </v>
      </c>
      <c r="JV127" s="533" t="str">
        <f t="shared" si="324"/>
        <v xml:space="preserve"> </v>
      </c>
      <c r="JW127" s="534">
        <f t="shared" si="325"/>
        <v>0</v>
      </c>
      <c r="JX127" s="535" t="str">
        <f t="shared" si="409"/>
        <v xml:space="preserve"> </v>
      </c>
      <c r="JY127" s="535" t="str">
        <f t="shared" si="410"/>
        <v xml:space="preserve"> </v>
      </c>
      <c r="JZ127" s="535" t="str">
        <f t="shared" si="411"/>
        <v xml:space="preserve"> </v>
      </c>
      <c r="KA127" s="536" t="str">
        <f t="shared" si="326"/>
        <v xml:space="preserve"> </v>
      </c>
      <c r="KB127" s="535" t="e">
        <f t="shared" si="412"/>
        <v>#VALUE!</v>
      </c>
      <c r="KC127" s="535" t="str">
        <f t="shared" si="327"/>
        <v/>
      </c>
      <c r="KD127" s="537" t="str">
        <f t="shared" si="413"/>
        <v xml:space="preserve"> </v>
      </c>
      <c r="KE127" s="537" t="str">
        <f t="shared" si="414"/>
        <v xml:space="preserve"> </v>
      </c>
      <c r="KF127" s="534">
        <f t="shared" si="328"/>
        <v>0</v>
      </c>
      <c r="KG127" s="535" t="str">
        <f t="shared" si="329"/>
        <v xml:space="preserve"> </v>
      </c>
      <c r="KH127" s="535" t="str">
        <f t="shared" si="330"/>
        <v xml:space="preserve"> </v>
      </c>
      <c r="KI127" s="535" t="str">
        <f t="shared" si="331"/>
        <v xml:space="preserve"> </v>
      </c>
      <c r="KJ127" s="536" t="str">
        <f t="shared" si="332"/>
        <v xml:space="preserve"> </v>
      </c>
      <c r="KK127" s="535" t="str">
        <f t="shared" si="415"/>
        <v xml:space="preserve"> </v>
      </c>
      <c r="KL127" s="535" t="str">
        <f t="shared" si="416"/>
        <v xml:space="preserve"> </v>
      </c>
      <c r="KM127" s="537" t="str">
        <f t="shared" si="333"/>
        <v xml:space="preserve"> </v>
      </c>
      <c r="KN127" s="537" t="str">
        <f t="shared" si="417"/>
        <v xml:space="preserve"> </v>
      </c>
      <c r="KP127">
        <f t="shared" si="334"/>
        <v>0</v>
      </c>
      <c r="LA127" t="e">
        <f t="shared" si="335"/>
        <v>#VALUE!</v>
      </c>
      <c r="LB127" t="e">
        <f t="shared" si="336"/>
        <v>#VALUE!</v>
      </c>
      <c r="LC127" t="e">
        <f t="shared" si="337"/>
        <v>#VALUE!</v>
      </c>
      <c r="LD127" t="e">
        <f t="shared" si="338"/>
        <v>#VALUE!</v>
      </c>
      <c r="LE127" t="e">
        <f t="shared" si="418"/>
        <v>#VALUE!</v>
      </c>
      <c r="LF127">
        <f t="shared" si="339"/>
        <v>0</v>
      </c>
      <c r="LG127" t="e">
        <f t="shared" si="419"/>
        <v>#VALUE!</v>
      </c>
      <c r="LH127" t="str">
        <f t="shared" si="340"/>
        <v xml:space="preserve"> </v>
      </c>
      <c r="LI127">
        <f t="shared" si="420"/>
        <v>1</v>
      </c>
    </row>
    <row r="128" spans="2:321" ht="15" customHeight="1">
      <c r="B128" s="311"/>
      <c r="C128" s="311"/>
      <c r="D128" s="312"/>
      <c r="E128" s="311"/>
      <c r="F128" s="312"/>
      <c r="G128" s="311"/>
      <c r="H128" s="311"/>
      <c r="I128" s="37"/>
      <c r="J128" s="311"/>
      <c r="K128" s="305" t="str">
        <f t="shared" si="341"/>
        <v/>
      </c>
      <c r="L128" s="313"/>
      <c r="M128" s="312"/>
      <c r="N128" s="311"/>
      <c r="O128" s="312"/>
      <c r="P128" s="311"/>
      <c r="Q128" s="305" t="str">
        <f t="shared" si="342"/>
        <v/>
      </c>
      <c r="R128" s="314"/>
      <c r="S128" s="450" t="str">
        <f t="shared" si="225"/>
        <v/>
      </c>
      <c r="T128" s="315"/>
      <c r="U128" s="315"/>
      <c r="W128" s="149" t="str">
        <f t="shared" si="226"/>
        <v xml:space="preserve"> </v>
      </c>
      <c r="X128" s="243" t="str">
        <f t="shared" si="227"/>
        <v xml:space="preserve"> </v>
      </c>
      <c r="Y128" s="150" t="str">
        <f t="shared" si="228"/>
        <v/>
      </c>
      <c r="Z128" s="149" t="str">
        <f t="shared" si="229"/>
        <v xml:space="preserve"> </v>
      </c>
      <c r="AA128" s="98" t="str">
        <f t="shared" si="230"/>
        <v xml:space="preserve"> </v>
      </c>
      <c r="AB128" s="153" t="str">
        <f t="shared" si="231"/>
        <v xml:space="preserve"> </v>
      </c>
      <c r="AC128" s="153" t="str">
        <f t="shared" si="232"/>
        <v xml:space="preserve"> </v>
      </c>
      <c r="AD128" s="148" t="str">
        <f t="shared" si="233"/>
        <v/>
      </c>
      <c r="AE128" s="149" t="str">
        <f t="shared" si="234"/>
        <v/>
      </c>
      <c r="AF128" s="151" t="str">
        <f t="shared" si="235"/>
        <v xml:space="preserve"> </v>
      </c>
      <c r="AG128" s="153" t="str">
        <f t="shared" si="236"/>
        <v xml:space="preserve"> </v>
      </c>
      <c r="AH128" s="98" t="str">
        <f t="shared" si="237"/>
        <v xml:space="preserve"> </v>
      </c>
      <c r="AI128" s="149" t="str">
        <f t="shared" si="238"/>
        <v xml:space="preserve"> </v>
      </c>
      <c r="AK128" s="144" t="str">
        <f t="shared" si="239"/>
        <v xml:space="preserve"> </v>
      </c>
      <c r="AL128" s="144"/>
      <c r="AM128" s="243" t="str">
        <f t="shared" si="240"/>
        <v xml:space="preserve"> </v>
      </c>
      <c r="AN128" s="149" t="str">
        <f t="shared" si="343"/>
        <v xml:space="preserve"> </v>
      </c>
      <c r="AO128" s="144" t="str">
        <f>IF(JB128&gt;0,IF(GI128=10,-R128*1.085*(Calculation!$F$6-Calculation!$F$13)*$S$14," "),"")</f>
        <v/>
      </c>
      <c r="AP128" s="144" t="str">
        <f t="shared" si="241"/>
        <v/>
      </c>
      <c r="AQ128" s="56" t="str">
        <f t="shared" si="242"/>
        <v/>
      </c>
      <c r="AR128" s="144" t="str">
        <f t="shared" si="243"/>
        <v/>
      </c>
      <c r="AS128" s="176" t="str">
        <f t="shared" si="244"/>
        <v/>
      </c>
      <c r="AT128" s="176" t="str">
        <f t="shared" si="344"/>
        <v xml:space="preserve"> </v>
      </c>
      <c r="AU128" s="176" t="str">
        <f t="shared" si="245"/>
        <v/>
      </c>
      <c r="AV128" s="177" t="str">
        <f t="shared" si="246"/>
        <v xml:space="preserve"> </v>
      </c>
      <c r="AW128" s="144" t="str">
        <f t="shared" si="247"/>
        <v xml:space="preserve"> </v>
      </c>
      <c r="AX128" s="144" t="str">
        <f t="shared" si="248"/>
        <v xml:space="preserve"> </v>
      </c>
      <c r="AY128" s="152" t="str">
        <f t="shared" si="249"/>
        <v xml:space="preserve"> </v>
      </c>
      <c r="AZ128" s="246" t="str">
        <f t="shared" si="250"/>
        <v/>
      </c>
      <c r="BA128" s="176" t="str">
        <f t="shared" si="251"/>
        <v xml:space="preserve"> </v>
      </c>
      <c r="BB128" s="176" t="str">
        <f t="shared" si="252"/>
        <v xml:space="preserve"> </v>
      </c>
      <c r="BC128" s="195"/>
      <c r="BD128" s="316"/>
      <c r="BE128" s="317"/>
      <c r="BF128" s="318"/>
      <c r="BG128" s="318"/>
      <c r="BH128" s="144" t="str">
        <f t="shared" si="421"/>
        <v xml:space="preserve"> </v>
      </c>
      <c r="BI128" s="176" t="str">
        <f t="shared" si="253"/>
        <v/>
      </c>
      <c r="BJ128" s="144" t="str">
        <f t="shared" si="422"/>
        <v/>
      </c>
      <c r="BK128" s="246" t="str">
        <f t="shared" si="254"/>
        <v/>
      </c>
      <c r="BL128" s="144" t="str">
        <f t="shared" si="423"/>
        <v/>
      </c>
      <c r="BM128" s="246" t="str">
        <f t="shared" si="255"/>
        <v/>
      </c>
      <c r="BN128" s="337" t="str">
        <f t="shared" si="345"/>
        <v/>
      </c>
      <c r="BO128" s="371" t="str">
        <f t="shared" si="346"/>
        <v/>
      </c>
      <c r="BP128" s="328" t="str">
        <f t="shared" si="424"/>
        <v xml:space="preserve"> </v>
      </c>
      <c r="BQ128" s="347" t="str">
        <f t="shared" si="347"/>
        <v xml:space="preserve"> </v>
      </c>
      <c r="BR128" s="353" t="str">
        <f t="shared" si="348"/>
        <v xml:space="preserve"> </v>
      </c>
      <c r="BS128" s="626" t="str">
        <f>IF(L128&gt;0,IF(Calculation!P128="M13",BR128*3.1416*(0.134^2)/(4*144),IF(Calculation!P128="M17",BR128*3.1416*(0.165^2)/(4*144),IF(Calculation!P128="M20",BR128*3.1416*(0.198^2)/(4*144),IF(Calculation!P128="M23",BR128*3.1416*(0.228^2)/(4*144),IF(Calculation!P128="M27",BR128*3.1416*(0.269^2)/(4*144),BR128*3.1416*(0.307^2)/(4*144))))))," ")</f>
        <v xml:space="preserve"> </v>
      </c>
      <c r="BT128" s="353" t="str">
        <f>IF(L128&gt;0,IF(BS128&gt;0,R128/Calculation!BS128,0)," ")</f>
        <v xml:space="preserve"> </v>
      </c>
      <c r="BU128" s="438" t="e">
        <f t="shared" ca="1" si="256"/>
        <v>#VALUE!</v>
      </c>
      <c r="BV128" s="449" t="e">
        <f ca="1">INDEX(INDIRECT(VLOOKUP(LEFT(BO128,7),CLU!$Z$3:$AH$18,2)),GN128,GR128)</f>
        <v>#N/A</v>
      </c>
      <c r="BW128" s="433" t="e">
        <f ca="1">INDEX(INDIRECT(VLOOKUP(LEFT(BO128,7),CLU!$Z$3:$AH$18,3)),GN128,GR128)</f>
        <v>#N/A</v>
      </c>
      <c r="BX128" s="433" t="e">
        <f ca="1">INDEX(INDIRECT(VLOOKUP(LEFT(BO128,7),CLU!$Z$3:$AH$18,4)),GN128,GR128)</f>
        <v>#N/A</v>
      </c>
      <c r="BY128" s="433" t="e">
        <f ca="1">INDEX(INDIRECT(VLOOKUP(LEFT(BO128,7),CLU!$Z$3:$AH$18,9)),((M128-2)*(6-COUNTBLANK(GT128:GY128)))+GJ128)</f>
        <v>#N/A</v>
      </c>
      <c r="BZ128" s="426" t="e">
        <f t="shared" ca="1" si="349"/>
        <v>#N/A</v>
      </c>
      <c r="CA128" s="424" t="e">
        <f t="shared" ca="1" si="350"/>
        <v>#N/A</v>
      </c>
      <c r="CB128" s="429" t="e">
        <f ca="1">INDEX(INDIRECT(VLOOKUP(LEFT(BO128,7),CLU!$Z$3:$AH$18,2)),GN128,GS128)</f>
        <v>#N/A</v>
      </c>
      <c r="CC128" s="342" t="e">
        <f ca="1">INDEX(INDIRECT(VLOOKUP(LEFT(BO128,7),CLU!$Z$3:$AH$18,3)),GN128,GS128)</f>
        <v>#N/A</v>
      </c>
      <c r="CD128" s="342" t="e">
        <f ca="1">INDEX(INDIRECT(VLOOKUP(LEFT(BO128,7),CLU!$Z$3:$AH$18,4)),GN128,GS128)</f>
        <v>#N/A</v>
      </c>
      <c r="CE128" s="426" t="e">
        <f t="shared" ca="1" si="351"/>
        <v>#N/A</v>
      </c>
      <c r="CF128" s="440">
        <f t="shared" si="352"/>
        <v>0</v>
      </c>
      <c r="CG128" s="431" t="e">
        <f ca="1">INDEX(INDIRECT(VLOOKUP(LEFT(BO128,7),CLU!$Z$3:$AH$18,2)),GQ128,GR128)</f>
        <v>#N/A</v>
      </c>
      <c r="CH128" s="431" t="e">
        <f ca="1">INDEX(INDIRECT(VLOOKUP(LEFT(BO128,7),CLU!$Z$3:$AH$18,3)),GQ128,GR128)</f>
        <v>#N/A</v>
      </c>
      <c r="CI128" s="431" t="e">
        <f ca="1">INDEX(INDIRECT(VLOOKUP(LEFT(BO128,7),CLU!$Z$3:$AH$18,4)),GQ128,GR128)</f>
        <v>#N/A</v>
      </c>
      <c r="CJ128" s="448" t="e">
        <f t="shared" ca="1" si="353"/>
        <v>#N/A</v>
      </c>
      <c r="CK128" s="431" t="e">
        <f t="shared" ca="1" si="354"/>
        <v>#N/A</v>
      </c>
      <c r="CL128" s="440" t="e">
        <f t="shared" ca="1" si="355"/>
        <v>#N/A</v>
      </c>
      <c r="CM128" s="431" t="e">
        <f ca="1">INDEX(INDIRECT(VLOOKUP(LEFT(BO128,7),CLU!$Z$3:$AH$18,2)),GQ128,GS128)</f>
        <v>#N/A</v>
      </c>
      <c r="CN128" s="431" t="e">
        <f ca="1">INDEX(INDIRECT(VLOOKUP(LEFT(BO128,7),CLU!$Z$3:$AH$18,3)),GQ128,GS128)</f>
        <v>#N/A</v>
      </c>
      <c r="CO128" s="431" t="e">
        <f ca="1">INDEX(INDIRECT(VLOOKUP(LEFT(BO128,7),CLU!$Z$3:$AH$18,4)),GQ128,GS128)</f>
        <v>#N/A</v>
      </c>
      <c r="CP128" s="431" t="e">
        <f t="shared" ca="1" si="356"/>
        <v>#N/A</v>
      </c>
      <c r="CQ128" s="440">
        <f t="shared" si="357"/>
        <v>0</v>
      </c>
      <c r="CR128" s="51" t="e">
        <f t="shared" ca="1" si="358"/>
        <v>#N/A</v>
      </c>
      <c r="CS128" s="439" t="e">
        <f t="shared" ca="1" si="359"/>
        <v>#VALUE!</v>
      </c>
      <c r="CT128" s="51" t="e">
        <f t="shared" ca="1" si="360"/>
        <v>#VALUE!</v>
      </c>
      <c r="CU128" s="10"/>
      <c r="CV128" s="51" t="e">
        <f t="shared" ca="1" si="257"/>
        <v>#VALUE!</v>
      </c>
      <c r="CW128" s="51">
        <f t="shared" si="361"/>
        <v>0</v>
      </c>
      <c r="CX128" s="439" t="e">
        <f t="shared" ca="1" si="362"/>
        <v>#VALUE!</v>
      </c>
      <c r="CY128" s="51" t="e">
        <f t="shared" ca="1" si="363"/>
        <v>#VALUE!</v>
      </c>
      <c r="CZ128" s="10"/>
      <c r="DA128" s="51" t="e">
        <f t="shared" ca="1" si="364"/>
        <v>#VALUE!</v>
      </c>
      <c r="DB128" s="347" t="e">
        <f ca="1">INDEX(INDIRECT(VLOOKUP(LEFT(BO128,7),CLU!$Z$3:$AI$18,10)),((M128-2)*(6-COUNTBLANK(GT128:GY128)))+GJ128)*LI128</f>
        <v>#N/A</v>
      </c>
      <c r="DC128" s="347" t="str">
        <f>IF(L128&gt;0,((R128/Worksheet!$I$15)/DB128)^2," ")</f>
        <v xml:space="preserve"> </v>
      </c>
      <c r="DD128" s="602" t="str">
        <f t="shared" si="365"/>
        <v xml:space="preserve"> </v>
      </c>
      <c r="DE128" s="347" t="str">
        <f t="shared" si="258"/>
        <v xml:space="preserve"> </v>
      </c>
      <c r="DF128" s="356" t="e">
        <f ca="1">INDEX(INDIRECT(VLOOKUP(LEFT(BO128,7),CLU!$Z$3:$AH$18,8)),((M128-2)*(6-COUNTBLANK(GT128:GY128)))+GJ128)</f>
        <v>#N/A</v>
      </c>
      <c r="DG128" s="347" t="str">
        <f t="shared" si="259"/>
        <v xml:space="preserve"> </v>
      </c>
      <c r="DH128" s="357" t="str">
        <f t="shared" si="260"/>
        <v xml:space="preserve"> </v>
      </c>
      <c r="DI128" s="355" t="str">
        <f t="shared" si="261"/>
        <v xml:space="preserve"> </v>
      </c>
      <c r="DJ128" s="245" t="e">
        <f ca="1">INDEX(INDIRECT(VLOOKUP(LEFT(BO128,7),CLU!$Z$3:$AH$18,5)),GL128,GK128)</f>
        <v>#N/A</v>
      </c>
      <c r="DK128" s="245" t="e">
        <f ca="1">INDEX(INDIRECT(VLOOKUP(LEFT(BO128,7),CLU!$Z$3:$AH$18,6)),GL128,GK128)</f>
        <v>#N/A</v>
      </c>
      <c r="DL128" s="355">
        <f>(Calculation!R128*0.69143*(Calculation!$BQ$8-Calculation!$F$8))*$S$14</f>
        <v>0</v>
      </c>
      <c r="DM128" s="359" t="e">
        <f t="shared" si="366"/>
        <v>#VALUE!</v>
      </c>
      <c r="DN128" s="611">
        <f t="shared" si="367"/>
        <v>0</v>
      </c>
      <c r="DO128" s="359">
        <f t="shared" si="368"/>
        <v>100</v>
      </c>
      <c r="DP128" s="359">
        <f t="shared" si="369"/>
        <v>0</v>
      </c>
      <c r="DQ128" s="360"/>
      <c r="DR128" s="245" t="e">
        <f ca="1">INDEX(INDIRECT(VLOOKUP(LEFT(BO128,7),CLU!$Z$3:$AH$18,7)),M128-1,1)</f>
        <v>#N/A</v>
      </c>
      <c r="DS128" s="245" t="e">
        <f ca="1">INDEX(INDIRECT(VLOOKUP(LEFT(BO128,7),CLU!$Z$3:$AH$18,7)),M128-1,2)</f>
        <v>#N/A</v>
      </c>
      <c r="DT128" s="245" t="e">
        <f ca="1">INDEX(INDIRECT(VLOOKUP(LEFT(BO128,7),CLU!$Z$3:$AH$18,7)),M128-1,3)</f>
        <v>#N/A</v>
      </c>
      <c r="DU128" s="245" t="e">
        <f ca="1">INDEX(INDIRECT(VLOOKUP(LEFT(BO128,7),CLU!$Z$3:$AH$18,7)),M128-1,4)</f>
        <v>#N/A</v>
      </c>
      <c r="DV128" s="361" t="e">
        <f ca="1">INDEX(INDIRECT(VLOOKUP(LEFT(BO128,7),CLU!$Z$3:$AH$18,7)),M128-1,4+LEFT(DZ128,1)*0.5)</f>
        <v>#N/A</v>
      </c>
      <c r="DW128" s="245" t="e">
        <f ca="1">INDEX(INDIRECT(VLOOKUP(LEFT(BO128,7),CLU!$Z$3:$AH$18,7)),M128-1,8)</f>
        <v>#N/A</v>
      </c>
      <c r="DX128" s="361" t="str">
        <f t="shared" si="262"/>
        <v xml:space="preserve"> </v>
      </c>
      <c r="DY128" s="361" t="str">
        <f t="shared" si="263"/>
        <v xml:space="preserve"> </v>
      </c>
      <c r="DZ128" s="361" t="str">
        <f t="shared" si="264"/>
        <v xml:space="preserve"> </v>
      </c>
      <c r="EA128" s="362" t="str">
        <f t="shared" si="265"/>
        <v xml:space="preserve"> </v>
      </c>
      <c r="EB128" s="624" t="str">
        <f t="shared" si="370"/>
        <v xml:space="preserve"> </v>
      </c>
      <c r="EC128" s="361" t="e">
        <f ca="1">INDEX(INDIRECT(VLOOKUP(LEFT(BO128,7),CLU!$Z$3:$AH$18,7)),M128-1,4+LEFT(DZ128,1)*0.5)</f>
        <v>#N/A</v>
      </c>
      <c r="ED128" s="362" t="str">
        <f t="shared" si="266"/>
        <v xml:space="preserve"> </v>
      </c>
      <c r="EE128" s="361" t="str">
        <f t="shared" si="267"/>
        <v xml:space="preserve"> </v>
      </c>
      <c r="EF128" s="362" t="str">
        <f>IF(L128&gt;0,IF(BR128&gt;0,IF(EE128="2P",IF(Calculation!DZ128="2P",IF(Calculation!DS128=13.75,IF(Calculation!DR128=13,Worksheet!$BD$43,IF(Calculation!DR128=37,Worksheet!$BD$44,Worksheet!$BD$45)),IF(Calculation!DS128=10,IF(Calculation!DR128=18,Worksheet!$BD$29,IF(Calculation!DR128=30,Worksheet!$BD$30,IF(Calculation!DR128=42,Worksheet!$BD$31,IF(Calculation!DR128=54,Worksheet!$BD$32,IF(Calculation!DR128=66,Worksheet!$BD$33,IF(Calculation!DR128=78,Worksheet!$BD$34,IF(Calculation!DR128=90,Worksheet!$BD$35,IF(Calculation!DR128=102,Worksheet!$BD$36,Worksheet!$BD$37)))))))),IF(Calculation!DS128=12.5,IF(Calculation!DR128=18,Worksheet!$BD$38,IF(Calculation!DR128=Worksheet!$BD$39,IF(Calculation!DR128=42,Worksheet!$BD$40,IF(Calculation!DR128=54,Worksheet!$BD$41,Worksheet!$BD$42)))),IF(Calculation!DR128=18,Worksheet!$BD$11,IF(Calculation!DR128=30,Worksheet!$BD$12,IF(Calculation!DR128=42,Worksheet!$BD$13,IF(Calculation!DR128=54,Worksheet!$BD$14,IF(Calculation!DR128=66,Worksheet!$BD$15,IF(Calculation!DR128=78,Worksheet!$BD$16,IF(Calculation!DR128=90,Worksheet!$BD$17,IF(Calculation!DR128=102,Worksheet!$BD$18,Worksheet!$BD$19))))))))))),IF(Calculation!DS128=13.75,IF(Calculation!DR128=13,Worksheet!$BD$78,IF(Calculation!DR128=37,Worksheet!$BD$79,Worksheet!$BD$80)),IF(Calculation!DS128=10,IF(Calculation!DR128=18,Worksheet!$BD$64,IF(Calculation!DR128=30,Worksheet!$BD$65,IF(Calculation!DR128=42,Worksheet!$BD$66,IF(Calculation!DR128=54,Worksheet!$BD$68,IF(Calculation!DR128=66,Worksheet!$BD$68,IF(Calculation!DR128=78,Worksheet!$BD$69,IF(Calculation!DR128=90,Worksheet!$BD$70,IF(Calculation!DR128=102,Worksheet!$BD$71,Worksheet!$BD$72)))))))),IF(Calculation!DS128=12.5,IF(Calculation!DR128=18,Worksheet!$BD$73,IF(Calculation!DR128=Worksheet!$BD$74,IF(Calculation!DR128=42,Worksheet!$BD$75,IF(Calculation!DR128=54,Worksheet!$BD$76,Worksheet!$BD$77)))),IF(Calculation!DR128=18,Worksheet!$BD$55,IF(Calculation!DR128=30,Worksheet!$BD$56,IF(Calculation!DR128=42,Worksheet!$BD$57,IF(Calculation!DR128=54,Worksheet!$BD$58,IF(Calculation!DR128=66,Worksheet!$BD$59,IF(Calculation!DR128=78,Worksheet!$BD$60,IF(Calculation!DR128=90,Worksheet!$BD$61,IF(Calculation!DR128=102,Worksheet!$BD$62,Worksheet!$BD$63)))))))))))),5),0)," ")</f>
        <v xml:space="preserve"> </v>
      </c>
      <c r="EG128" s="361" t="str">
        <f t="shared" si="268"/>
        <v xml:space="preserve"> </v>
      </c>
      <c r="EH128" s="361" t="e">
        <f ca="1">INDEX(INDIRECT(VLOOKUP(LEFT(BO128,7),CLU!$Z$3:$AH$18,7)),M128-1,3+LEFT(DZ128,1))</f>
        <v>#N/A</v>
      </c>
      <c r="EI128" s="362" t="str">
        <f t="shared" si="269"/>
        <v xml:space="preserve"> </v>
      </c>
      <c r="EJ128" s="363" t="str">
        <f t="shared" si="270"/>
        <v xml:space="preserve"> </v>
      </c>
      <c r="EK128" s="363" t="str">
        <f t="shared" si="271"/>
        <v xml:space="preserve"> </v>
      </c>
      <c r="EL128" s="363" t="str">
        <f t="shared" si="272"/>
        <v xml:space="preserve"> </v>
      </c>
      <c r="EM128" s="362" t="str">
        <f>IF(L128&gt;0,IF(BR128&gt;0,(Calculation!T128/ED128)^2,0)," ")</f>
        <v xml:space="preserve"> </v>
      </c>
      <c r="EN128" s="362" t="str">
        <f>IF(L128&gt;0,IF(O128="2 Pipe (Cooling)","N/A",IF(BR128&gt;0,(Calculation!U128/EI128)^2,0))," ")</f>
        <v xml:space="preserve"> </v>
      </c>
      <c r="EO128" s="361" t="str">
        <f t="shared" si="273"/>
        <v/>
      </c>
      <c r="EP128" s="361" t="str">
        <f t="shared" si="274"/>
        <v/>
      </c>
      <c r="EQ128" s="361" t="str">
        <f t="shared" si="275"/>
        <v/>
      </c>
      <c r="ER128" s="361" t="str">
        <f t="shared" si="276"/>
        <v/>
      </c>
      <c r="ES128" s="361" t="str">
        <f t="shared" si="277"/>
        <v/>
      </c>
      <c r="ET128" s="361" t="str">
        <f t="shared" si="278"/>
        <v/>
      </c>
      <c r="EU128" s="361" t="str">
        <f t="shared" si="279"/>
        <v/>
      </c>
      <c r="EV128" s="361" t="str">
        <f t="shared" si="280"/>
        <v/>
      </c>
      <c r="EW128" s="361" t="str">
        <f t="shared" si="281"/>
        <v/>
      </c>
      <c r="EX128" s="361" t="str">
        <f t="shared" si="371"/>
        <v>1 slot, 1 way</v>
      </c>
      <c r="EY128" s="361" t="str">
        <f t="shared" si="372"/>
        <v xml:space="preserve"> </v>
      </c>
      <c r="EZ128" s="361" t="str">
        <f t="shared" si="373"/>
        <v xml:space="preserve"> </v>
      </c>
      <c r="FA128" s="361" t="str">
        <f t="shared" si="374"/>
        <v xml:space="preserve"> </v>
      </c>
      <c r="FB128" s="361" t="str">
        <f t="shared" si="375"/>
        <v xml:space="preserve"> </v>
      </c>
      <c r="FC128" s="361"/>
      <c r="FD128" s="361" t="str">
        <f>IF(J128&gt;0,IF(Calculation!R128&lt;=70,4,IF(Calculation!R128&lt;=110,5,IF(Calculation!R128&lt;=160,6,IF(Calculation!R128&lt;=300,8,"10 EO")))),"")</f>
        <v/>
      </c>
      <c r="FE128" s="361" t="str">
        <f t="shared" si="376"/>
        <v/>
      </c>
      <c r="FF128" s="361" t="str">
        <f t="shared" si="377"/>
        <v/>
      </c>
      <c r="FG128" s="361" t="e">
        <f t="shared" si="282"/>
        <v>#N/A</v>
      </c>
      <c r="FH128" s="361">
        <f t="shared" si="283"/>
        <v>0</v>
      </c>
      <c r="FI128" s="361" t="e">
        <f t="shared" si="284"/>
        <v>#DIV/0!</v>
      </c>
      <c r="FJ128" s="361"/>
      <c r="FK128" s="356" t="e">
        <f t="shared" si="285"/>
        <v>#VALUE!</v>
      </c>
      <c r="FL128" s="361"/>
      <c r="FM128" s="361"/>
      <c r="FN128" s="362" t="str">
        <f t="shared" si="378"/>
        <v xml:space="preserve"> </v>
      </c>
      <c r="FO128" s="362" t="str">
        <f t="shared" si="379"/>
        <v xml:space="preserve"> </v>
      </c>
      <c r="FP128" s="362">
        <f t="shared" si="380"/>
        <v>0</v>
      </c>
      <c r="FQ128" s="361">
        <f t="shared" si="286"/>
        <v>0</v>
      </c>
      <c r="FR128" s="362" t="str">
        <f>IF(L128&gt;0,IF(J128="CBAL2",Worksheet!$P$67,IF(J128="CBE2-24",Worksheet!$Q$67,IF(J128="CBAM",Worksheet!$R$67,IF(J128="CBLV",Worksheet!$S$67,IF(J128="CBAB",Worksheet!$U$67,IF(J128="CBAW",Worksheet!$X$67,IF(J128="CBE2-12",Worksheet!$Y$67,IF(J128="CBAL2",Worksheet!$Z$67,"N/A"))))))))," ")</f>
        <v xml:space="preserve"> </v>
      </c>
      <c r="FS128" s="362" t="str">
        <f>IF(L128&gt;0,IF(J128="CBAL2",Worksheet!$P$68,IF(J128="CBE2-24",Worksheet!$Q$68,IF(J128="CBAM",Worksheet!$R$68,IF(J128="CBLV",Worksheet!$S$68,IF(J128="CBAB",Worksheet!$U$68,IF(J128="CBAW",Worksheet!$X$68,IF(J128="CBE2-12",Worksheet!$Y$68,IF(J128="CBAL2",Worksheet!$Z$68,"N/A"))))))))," ")</f>
        <v xml:space="preserve"> </v>
      </c>
      <c r="FT128" s="362" t="str">
        <f>IF(L128&gt;0,IF(J128="CBAL2",Worksheet!$P$69,IF(J128="CBE2-24",Worksheet!$Q$69,IF(J128="CBAM",Worksheet!$R$69,IF(J128="CBLV",Worksheet!$S$69,IF(J128="CBAB",Worksheet!$U$69,IF(J128="CBAW",Worksheet!$X$69,IF(J128="CBE2-12",Worksheet!$Y$69,IF(J128="CBAL2",Worksheet!$Z$69,"N/A"))))))))," ")</f>
        <v xml:space="preserve"> </v>
      </c>
      <c r="FU128" s="361" t="str">
        <f t="shared" si="381"/>
        <v xml:space="preserve"> </v>
      </c>
      <c r="FV128" s="362" t="str">
        <f t="shared" si="382"/>
        <v xml:space="preserve"> </v>
      </c>
      <c r="FW128" s="362" t="str">
        <f t="shared" si="383"/>
        <v xml:space="preserve"> </v>
      </c>
      <c r="FX128" s="362" t="str">
        <f t="shared" si="384"/>
        <v xml:space="preserve"> </v>
      </c>
      <c r="FY128" s="355" t="str">
        <f t="shared" si="385"/>
        <v xml:space="preserve"> </v>
      </c>
      <c r="FZ128" s="361" t="str">
        <f t="shared" si="386"/>
        <v xml:space="preserve"> </v>
      </c>
      <c r="GA128" s="347" t="str">
        <f t="shared" si="387"/>
        <v xml:space="preserve"> </v>
      </c>
      <c r="GB128" s="355" t="str">
        <f t="shared" si="388"/>
        <v xml:space="preserve"> </v>
      </c>
      <c r="GC128" s="328" t="str">
        <f t="shared" si="389"/>
        <v xml:space="preserve"> </v>
      </c>
      <c r="GD128" s="361" t="str">
        <f t="shared" si="390"/>
        <v xml:space="preserve"> </v>
      </c>
      <c r="GE128" s="347" t="str">
        <f t="shared" si="391"/>
        <v xml:space="preserve"> </v>
      </c>
      <c r="GF128" s="361" t="str">
        <f t="shared" si="392"/>
        <v xml:space="preserve"> </v>
      </c>
      <c r="GG128" s="347" t="str">
        <f t="shared" si="393"/>
        <v xml:space="preserve"> </v>
      </c>
      <c r="GH128" s="364">
        <f t="shared" si="287"/>
        <v>0</v>
      </c>
      <c r="GI128" s="362">
        <f t="shared" si="394"/>
        <v>2</v>
      </c>
      <c r="GJ128" s="433" t="e">
        <f>IF(6-COUNTBLANK(GT128:GY128)=4,MATCH(MID(BO128,9,3),CLU!$H$16:$K$16),MATCH(MID(BO128,9,3),CLU!$H$13:$M$13))</f>
        <v>#N/A</v>
      </c>
      <c r="GK128" s="433" t="e">
        <f>HLOOKUP(VALUE(BP128),CLU!$H$9:$M$10,2)</f>
        <v>#VALUE!</v>
      </c>
      <c r="GL128" s="433" t="e">
        <f ca="1">MATCH(BU128,CLU!$H$2:$V$2,1)</f>
        <v>#VALUE!</v>
      </c>
      <c r="GM128" s="433" t="e">
        <f t="shared" ca="1" si="395"/>
        <v>#VALUE!</v>
      </c>
      <c r="GN128" s="433" t="e">
        <f t="shared" ca="1" si="396"/>
        <v>#VALUE!</v>
      </c>
      <c r="GO128" s="433" t="e">
        <f t="shared" ca="1" si="397"/>
        <v>#VALUE!</v>
      </c>
      <c r="GP128" s="433" t="e">
        <f t="shared" ca="1" si="398"/>
        <v>#VALUE!</v>
      </c>
      <c r="GQ128" s="433" t="e">
        <f t="shared" ca="1" si="399"/>
        <v>#VALUE!</v>
      </c>
      <c r="GR128" s="433" t="e">
        <f ca="1">MATCH(T128,INDIRECT(VLOOKUP(CONCATENATE(LEFT(BO128,7),"-",MID(BO128,13,1)),CLU!$P$3:$Q$16,2)),1)</f>
        <v>#N/A</v>
      </c>
      <c r="GS128" s="433" t="e">
        <f ca="1">MATCH(U128,INDIRECT(VLOOKUP(CONCATENATE(LEFT(BO128,7),"-",MID(BO128,13,1)),CLU!$P$3:$Q$16,2)),1)</f>
        <v>#N/A</v>
      </c>
      <c r="GT128" s="347" t="s">
        <v>512</v>
      </c>
      <c r="GU128" s="97" t="s">
        <v>513</v>
      </c>
      <c r="GV128" s="97" t="str">
        <f t="shared" si="400"/>
        <v>M23</v>
      </c>
      <c r="GW128" s="97" t="str">
        <f t="shared" si="401"/>
        <v>M31</v>
      </c>
      <c r="GX128" s="97" t="str">
        <f t="shared" si="402"/>
        <v/>
      </c>
      <c r="GY128" s="97" t="str">
        <f t="shared" si="403"/>
        <v/>
      </c>
      <c r="GZ128" s="481"/>
      <c r="HA128" s="288"/>
      <c r="HB128" s="240"/>
      <c r="HC128" s="240"/>
      <c r="HD128" s="240"/>
      <c r="HE128" s="240"/>
      <c r="HF128" s="240"/>
      <c r="HG128" s="240"/>
      <c r="HH128" s="240"/>
      <c r="HI128" s="240"/>
      <c r="HJ128" s="240"/>
      <c r="HK128" s="240"/>
      <c r="HL128" s="240"/>
      <c r="HM128" s="240"/>
      <c r="HN128" s="240"/>
      <c r="HO128" s="240"/>
      <c r="HP128" s="240"/>
      <c r="HQ128" s="240"/>
      <c r="HR128" s="240"/>
      <c r="HS128" s="240"/>
      <c r="HT128" s="240"/>
      <c r="HU128" s="240"/>
      <c r="HV128" s="245"/>
      <c r="HW128" s="245" t="b">
        <v>1</v>
      </c>
      <c r="HX128" s="245" t="str">
        <f t="shared" si="288"/>
        <v/>
      </c>
      <c r="HY128" s="245" t="e">
        <f t="shared" si="289"/>
        <v>#DIV/0!</v>
      </c>
      <c r="HZ128" s="245" t="e">
        <f t="shared" si="290"/>
        <v>#DIV/0!</v>
      </c>
      <c r="IA128" s="245">
        <f t="shared" si="291"/>
        <v>0</v>
      </c>
      <c r="IB128" s="245"/>
      <c r="IC128" t="b">
        <f t="shared" si="292"/>
        <v>1</v>
      </c>
      <c r="ID128" s="245" t="b">
        <f t="shared" si="293"/>
        <v>1</v>
      </c>
      <c r="IE128" s="245" t="b">
        <f t="shared" si="294"/>
        <v>1</v>
      </c>
      <c r="IF128" s="245" t="b">
        <f t="shared" si="295"/>
        <v>0</v>
      </c>
      <c r="IG128" s="245" t="b">
        <f t="shared" si="296"/>
        <v>1</v>
      </c>
      <c r="IH128" s="245" t="b">
        <f t="shared" si="297"/>
        <v>1</v>
      </c>
      <c r="II128" s="245">
        <f t="shared" si="404"/>
        <v>0</v>
      </c>
      <c r="IJ128" s="245" t="e">
        <f t="shared" si="298"/>
        <v>#VALUE!</v>
      </c>
      <c r="IK128" s="245" t="e">
        <f t="shared" si="299"/>
        <v>#VALUE!</v>
      </c>
      <c r="IL128" s="245"/>
      <c r="IM128" s="245" t="e">
        <f t="shared" si="405"/>
        <v>#N/A</v>
      </c>
      <c r="IN128" s="245" t="e">
        <f t="shared" si="406"/>
        <v>#N/A</v>
      </c>
      <c r="IO128" s="245"/>
      <c r="IP128" s="245"/>
      <c r="IQ128" s="245" t="str">
        <f t="shared" si="300"/>
        <v/>
      </c>
      <c r="IR128" s="245" t="str">
        <f>IF(J128="","",VLOOKUP(J128,Worksheet!$R$4:$T$14,2))</f>
        <v/>
      </c>
      <c r="IS128" s="245"/>
      <c r="IT128" s="245">
        <f t="shared" si="301"/>
        <v>0</v>
      </c>
      <c r="IU128" s="245">
        <f t="shared" si="302"/>
        <v>0</v>
      </c>
      <c r="IV128" s="245">
        <f t="shared" si="303"/>
        <v>0</v>
      </c>
      <c r="IW128" s="245">
        <f t="shared" si="304"/>
        <v>0</v>
      </c>
      <c r="IX128" s="245">
        <f t="shared" si="407"/>
        <v>0</v>
      </c>
      <c r="IY128" s="245">
        <f t="shared" si="305"/>
        <v>0</v>
      </c>
      <c r="IZ128" s="245">
        <f t="shared" si="306"/>
        <v>0</v>
      </c>
      <c r="JA128">
        <f t="shared" si="307"/>
        <v>0</v>
      </c>
      <c r="JB128">
        <f t="shared" si="408"/>
        <v>0</v>
      </c>
      <c r="JC128">
        <f t="shared" si="308"/>
        <v>0</v>
      </c>
      <c r="JD128">
        <f t="shared" si="309"/>
        <v>0</v>
      </c>
      <c r="JE128">
        <f t="shared" si="310"/>
        <v>0</v>
      </c>
      <c r="JF128">
        <f t="shared" si="311"/>
        <v>0</v>
      </c>
      <c r="JG128">
        <f t="shared" si="312"/>
        <v>0</v>
      </c>
      <c r="JH128">
        <f t="shared" si="313"/>
        <v>0</v>
      </c>
      <c r="JI128">
        <f t="shared" si="314"/>
        <v>0</v>
      </c>
      <c r="JJ128" s="447">
        <f t="shared" si="315"/>
        <v>0</v>
      </c>
      <c r="JK128" s="447">
        <f t="shared" si="316"/>
        <v>0</v>
      </c>
      <c r="JL128">
        <f t="shared" si="317"/>
        <v>0</v>
      </c>
      <c r="JM128" s="245" t="str">
        <f>IFERROR(VLOOKUP(MATCH(BN128,#REF!,0),#REF!,7),"")</f>
        <v/>
      </c>
      <c r="JN128" t="e">
        <f>HLOOKUP(LEFT(BO128,7),Discharge_Area,MATCH(JO128,LookUps!$B$130:$B$149,1)+2)</f>
        <v>#N/A</v>
      </c>
      <c r="JO128" t="str">
        <f t="shared" si="318"/>
        <v>- S</v>
      </c>
      <c r="JP128" t="e">
        <f>HLOOKUP(LEFT(BO128,7),Discharge_Area,MATCH(JO128,LookUps!$B$130:$B$149,1)+2)</f>
        <v>#N/A</v>
      </c>
      <c r="JQ128" t="e">
        <f t="shared" si="319"/>
        <v>#N/A</v>
      </c>
      <c r="JR128" t="e">
        <f t="shared" si="320"/>
        <v>#N/A</v>
      </c>
      <c r="JS128" t="e">
        <f t="shared" si="321"/>
        <v>#N/A</v>
      </c>
      <c r="JT128" s="532" t="str">
        <f t="shared" si="322"/>
        <v xml:space="preserve"> </v>
      </c>
      <c r="JU128" s="532" t="str">
        <f t="shared" si="323"/>
        <v xml:space="preserve"> </v>
      </c>
      <c r="JV128" s="533" t="str">
        <f t="shared" si="324"/>
        <v xml:space="preserve"> </v>
      </c>
      <c r="JW128" s="534">
        <f t="shared" si="325"/>
        <v>0</v>
      </c>
      <c r="JX128" s="535" t="str">
        <f t="shared" si="409"/>
        <v xml:space="preserve"> </v>
      </c>
      <c r="JY128" s="535" t="str">
        <f t="shared" si="410"/>
        <v xml:space="preserve"> </v>
      </c>
      <c r="JZ128" s="535" t="str">
        <f t="shared" si="411"/>
        <v xml:space="preserve"> </v>
      </c>
      <c r="KA128" s="536" t="str">
        <f t="shared" si="326"/>
        <v xml:space="preserve"> </v>
      </c>
      <c r="KB128" s="535" t="e">
        <f t="shared" si="412"/>
        <v>#VALUE!</v>
      </c>
      <c r="KC128" s="535" t="str">
        <f t="shared" si="327"/>
        <v/>
      </c>
      <c r="KD128" s="537" t="str">
        <f t="shared" si="413"/>
        <v xml:space="preserve"> </v>
      </c>
      <c r="KE128" s="537" t="str">
        <f t="shared" si="414"/>
        <v xml:space="preserve"> </v>
      </c>
      <c r="KF128" s="534">
        <f t="shared" si="328"/>
        <v>0</v>
      </c>
      <c r="KG128" s="535" t="str">
        <f t="shared" si="329"/>
        <v xml:space="preserve"> </v>
      </c>
      <c r="KH128" s="535" t="str">
        <f t="shared" si="330"/>
        <v xml:space="preserve"> </v>
      </c>
      <c r="KI128" s="535" t="str">
        <f t="shared" si="331"/>
        <v xml:space="preserve"> </v>
      </c>
      <c r="KJ128" s="536" t="str">
        <f t="shared" si="332"/>
        <v xml:space="preserve"> </v>
      </c>
      <c r="KK128" s="535" t="str">
        <f t="shared" si="415"/>
        <v xml:space="preserve"> </v>
      </c>
      <c r="KL128" s="535" t="str">
        <f t="shared" si="416"/>
        <v xml:space="preserve"> </v>
      </c>
      <c r="KM128" s="537" t="str">
        <f t="shared" si="333"/>
        <v xml:space="preserve"> </v>
      </c>
      <c r="KN128" s="537" t="str">
        <f t="shared" si="417"/>
        <v xml:space="preserve"> </v>
      </c>
      <c r="KP128">
        <f t="shared" si="334"/>
        <v>0</v>
      </c>
      <c r="LA128" t="e">
        <f t="shared" si="335"/>
        <v>#VALUE!</v>
      </c>
      <c r="LB128" t="e">
        <f t="shared" si="336"/>
        <v>#VALUE!</v>
      </c>
      <c r="LC128" t="e">
        <f t="shared" si="337"/>
        <v>#VALUE!</v>
      </c>
      <c r="LD128" t="e">
        <f t="shared" si="338"/>
        <v>#VALUE!</v>
      </c>
      <c r="LE128" t="e">
        <f t="shared" si="418"/>
        <v>#VALUE!</v>
      </c>
      <c r="LF128">
        <f t="shared" si="339"/>
        <v>0</v>
      </c>
      <c r="LG128" t="e">
        <f t="shared" si="419"/>
        <v>#VALUE!</v>
      </c>
      <c r="LH128" t="str">
        <f t="shared" si="340"/>
        <v xml:space="preserve"> </v>
      </c>
      <c r="LI128">
        <f t="shared" si="420"/>
        <v>1</v>
      </c>
    </row>
    <row r="129" spans="2:321" ht="15" customHeight="1">
      <c r="B129" s="311"/>
      <c r="C129" s="311"/>
      <c r="D129" s="312"/>
      <c r="E129" s="311"/>
      <c r="F129" s="312"/>
      <c r="G129" s="311"/>
      <c r="H129" s="311"/>
      <c r="I129" s="37"/>
      <c r="J129" s="311"/>
      <c r="K129" s="305" t="str">
        <f t="shared" si="341"/>
        <v/>
      </c>
      <c r="L129" s="313"/>
      <c r="M129" s="312"/>
      <c r="N129" s="311"/>
      <c r="O129" s="312"/>
      <c r="P129" s="311"/>
      <c r="Q129" s="305" t="str">
        <f t="shared" si="342"/>
        <v/>
      </c>
      <c r="R129" s="314"/>
      <c r="S129" s="450" t="str">
        <f t="shared" si="225"/>
        <v/>
      </c>
      <c r="T129" s="315"/>
      <c r="U129" s="315"/>
      <c r="W129" s="149" t="str">
        <f t="shared" si="226"/>
        <v xml:space="preserve"> </v>
      </c>
      <c r="X129" s="243" t="str">
        <f t="shared" si="227"/>
        <v xml:space="preserve"> </v>
      </c>
      <c r="Y129" s="150" t="str">
        <f t="shared" si="228"/>
        <v/>
      </c>
      <c r="Z129" s="149" t="str">
        <f t="shared" si="229"/>
        <v xml:space="preserve"> </v>
      </c>
      <c r="AA129" s="98" t="str">
        <f t="shared" si="230"/>
        <v xml:space="preserve"> </v>
      </c>
      <c r="AB129" s="153" t="str">
        <f t="shared" si="231"/>
        <v xml:space="preserve"> </v>
      </c>
      <c r="AC129" s="153" t="str">
        <f t="shared" si="232"/>
        <v xml:space="preserve"> </v>
      </c>
      <c r="AD129" s="148" t="str">
        <f t="shared" si="233"/>
        <v/>
      </c>
      <c r="AE129" s="149" t="str">
        <f t="shared" si="234"/>
        <v/>
      </c>
      <c r="AF129" s="151" t="str">
        <f t="shared" si="235"/>
        <v xml:space="preserve"> </v>
      </c>
      <c r="AG129" s="153" t="str">
        <f t="shared" si="236"/>
        <v xml:space="preserve"> </v>
      </c>
      <c r="AH129" s="98" t="str">
        <f t="shared" si="237"/>
        <v xml:space="preserve"> </v>
      </c>
      <c r="AI129" s="149" t="str">
        <f t="shared" si="238"/>
        <v xml:space="preserve"> </v>
      </c>
      <c r="AK129" s="144" t="str">
        <f t="shared" si="239"/>
        <v xml:space="preserve"> </v>
      </c>
      <c r="AL129" s="144"/>
      <c r="AM129" s="243" t="str">
        <f t="shared" si="240"/>
        <v xml:space="preserve"> </v>
      </c>
      <c r="AN129" s="149" t="str">
        <f t="shared" si="343"/>
        <v xml:space="preserve"> </v>
      </c>
      <c r="AO129" s="144" t="str">
        <f>IF(JB129&gt;0,IF(GI129=10,-R129*1.085*(Calculation!$F$6-Calculation!$F$13)*$S$14," "),"")</f>
        <v/>
      </c>
      <c r="AP129" s="144" t="str">
        <f t="shared" si="241"/>
        <v/>
      </c>
      <c r="AQ129" s="56" t="str">
        <f t="shared" si="242"/>
        <v/>
      </c>
      <c r="AR129" s="144" t="str">
        <f t="shared" si="243"/>
        <v/>
      </c>
      <c r="AS129" s="176" t="str">
        <f t="shared" si="244"/>
        <v/>
      </c>
      <c r="AT129" s="176" t="str">
        <f t="shared" si="344"/>
        <v xml:space="preserve"> </v>
      </c>
      <c r="AU129" s="176" t="str">
        <f t="shared" si="245"/>
        <v/>
      </c>
      <c r="AV129" s="177" t="str">
        <f t="shared" si="246"/>
        <v xml:space="preserve"> </v>
      </c>
      <c r="AW129" s="144" t="str">
        <f t="shared" si="247"/>
        <v xml:space="preserve"> </v>
      </c>
      <c r="AX129" s="144" t="str">
        <f t="shared" si="248"/>
        <v xml:space="preserve"> </v>
      </c>
      <c r="AY129" s="152" t="str">
        <f t="shared" si="249"/>
        <v xml:space="preserve"> </v>
      </c>
      <c r="AZ129" s="246" t="str">
        <f t="shared" si="250"/>
        <v/>
      </c>
      <c r="BA129" s="176" t="str">
        <f t="shared" si="251"/>
        <v xml:space="preserve"> </v>
      </c>
      <c r="BB129" s="176" t="str">
        <f t="shared" si="252"/>
        <v xml:space="preserve"> </v>
      </c>
      <c r="BC129" s="195"/>
      <c r="BD129" s="316"/>
      <c r="BE129" s="317"/>
      <c r="BF129" s="318"/>
      <c r="BG129" s="318"/>
      <c r="BH129" s="144" t="str">
        <f t="shared" si="421"/>
        <v xml:space="preserve"> </v>
      </c>
      <c r="BI129" s="176" t="str">
        <f t="shared" si="253"/>
        <v/>
      </c>
      <c r="BJ129" s="144" t="str">
        <f t="shared" si="422"/>
        <v/>
      </c>
      <c r="BK129" s="246" t="str">
        <f t="shared" si="254"/>
        <v/>
      </c>
      <c r="BL129" s="144" t="str">
        <f t="shared" si="423"/>
        <v/>
      </c>
      <c r="BM129" s="246" t="str">
        <f t="shared" si="255"/>
        <v/>
      </c>
      <c r="BN129" s="337" t="str">
        <f t="shared" si="345"/>
        <v/>
      </c>
      <c r="BO129" s="371" t="str">
        <f t="shared" si="346"/>
        <v/>
      </c>
      <c r="BP129" s="328" t="str">
        <f t="shared" si="424"/>
        <v xml:space="preserve"> </v>
      </c>
      <c r="BQ129" s="347" t="str">
        <f t="shared" si="347"/>
        <v xml:space="preserve"> </v>
      </c>
      <c r="BR129" s="353" t="str">
        <f t="shared" si="348"/>
        <v xml:space="preserve"> </v>
      </c>
      <c r="BS129" s="626" t="str">
        <f>IF(L129&gt;0,IF(Calculation!P129="M13",BR129*3.1416*(0.134^2)/(4*144),IF(Calculation!P129="M17",BR129*3.1416*(0.165^2)/(4*144),IF(Calculation!P129="M20",BR129*3.1416*(0.198^2)/(4*144),IF(Calculation!P129="M23",BR129*3.1416*(0.228^2)/(4*144),IF(Calculation!P129="M27",BR129*3.1416*(0.269^2)/(4*144),BR129*3.1416*(0.307^2)/(4*144))))))," ")</f>
        <v xml:space="preserve"> </v>
      </c>
      <c r="BT129" s="353" t="str">
        <f>IF(L129&gt;0,IF(BS129&gt;0,R129/Calculation!BS129,0)," ")</f>
        <v xml:space="preserve"> </v>
      </c>
      <c r="BU129" s="438" t="e">
        <f t="shared" ca="1" si="256"/>
        <v>#VALUE!</v>
      </c>
      <c r="BV129" s="449" t="e">
        <f ca="1">INDEX(INDIRECT(VLOOKUP(LEFT(BO129,7),CLU!$Z$3:$AH$18,2)),GN129,GR129)</f>
        <v>#N/A</v>
      </c>
      <c r="BW129" s="433" t="e">
        <f ca="1">INDEX(INDIRECT(VLOOKUP(LEFT(BO129,7),CLU!$Z$3:$AH$18,3)),GN129,GR129)</f>
        <v>#N/A</v>
      </c>
      <c r="BX129" s="433" t="e">
        <f ca="1">INDEX(INDIRECT(VLOOKUP(LEFT(BO129,7),CLU!$Z$3:$AH$18,4)),GN129,GR129)</f>
        <v>#N/A</v>
      </c>
      <c r="BY129" s="433" t="e">
        <f ca="1">INDEX(INDIRECT(VLOOKUP(LEFT(BO129,7),CLU!$Z$3:$AH$18,9)),((M129-2)*(6-COUNTBLANK(GT129:GY129)))+GJ129)</f>
        <v>#N/A</v>
      </c>
      <c r="BZ129" s="426" t="e">
        <f t="shared" ca="1" si="349"/>
        <v>#N/A</v>
      </c>
      <c r="CA129" s="424" t="e">
        <f t="shared" ca="1" si="350"/>
        <v>#N/A</v>
      </c>
      <c r="CB129" s="429" t="e">
        <f ca="1">INDEX(INDIRECT(VLOOKUP(LEFT(BO129,7),CLU!$Z$3:$AH$18,2)),GN129,GS129)</f>
        <v>#N/A</v>
      </c>
      <c r="CC129" s="342" t="e">
        <f ca="1">INDEX(INDIRECT(VLOOKUP(LEFT(BO129,7),CLU!$Z$3:$AH$18,3)),GN129,GS129)</f>
        <v>#N/A</v>
      </c>
      <c r="CD129" s="342" t="e">
        <f ca="1">INDEX(INDIRECT(VLOOKUP(LEFT(BO129,7),CLU!$Z$3:$AH$18,4)),GN129,GS129)</f>
        <v>#N/A</v>
      </c>
      <c r="CE129" s="426" t="e">
        <f t="shared" ca="1" si="351"/>
        <v>#N/A</v>
      </c>
      <c r="CF129" s="440">
        <f t="shared" si="352"/>
        <v>0</v>
      </c>
      <c r="CG129" s="431" t="e">
        <f ca="1">INDEX(INDIRECT(VLOOKUP(LEFT(BO129,7),CLU!$Z$3:$AH$18,2)),GQ129,GR129)</f>
        <v>#N/A</v>
      </c>
      <c r="CH129" s="431" t="e">
        <f ca="1">INDEX(INDIRECT(VLOOKUP(LEFT(BO129,7),CLU!$Z$3:$AH$18,3)),GQ129,GR129)</f>
        <v>#N/A</v>
      </c>
      <c r="CI129" s="431" t="e">
        <f ca="1">INDEX(INDIRECT(VLOOKUP(LEFT(BO129,7),CLU!$Z$3:$AH$18,4)),GQ129,GR129)</f>
        <v>#N/A</v>
      </c>
      <c r="CJ129" s="448" t="e">
        <f t="shared" ca="1" si="353"/>
        <v>#N/A</v>
      </c>
      <c r="CK129" s="431" t="e">
        <f t="shared" ca="1" si="354"/>
        <v>#N/A</v>
      </c>
      <c r="CL129" s="440" t="e">
        <f t="shared" ca="1" si="355"/>
        <v>#N/A</v>
      </c>
      <c r="CM129" s="431" t="e">
        <f ca="1">INDEX(INDIRECT(VLOOKUP(LEFT(BO129,7),CLU!$Z$3:$AH$18,2)),GQ129,GS129)</f>
        <v>#N/A</v>
      </c>
      <c r="CN129" s="431" t="e">
        <f ca="1">INDEX(INDIRECT(VLOOKUP(LEFT(BO129,7),CLU!$Z$3:$AH$18,3)),GQ129,GS129)</f>
        <v>#N/A</v>
      </c>
      <c r="CO129" s="431" t="e">
        <f ca="1">INDEX(INDIRECT(VLOOKUP(LEFT(BO129,7),CLU!$Z$3:$AH$18,4)),GQ129,GS129)</f>
        <v>#N/A</v>
      </c>
      <c r="CP129" s="431" t="e">
        <f t="shared" ca="1" si="356"/>
        <v>#N/A</v>
      </c>
      <c r="CQ129" s="440">
        <f t="shared" si="357"/>
        <v>0</v>
      </c>
      <c r="CR129" s="51" t="e">
        <f t="shared" ca="1" si="358"/>
        <v>#N/A</v>
      </c>
      <c r="CS129" s="439" t="e">
        <f t="shared" ca="1" si="359"/>
        <v>#VALUE!</v>
      </c>
      <c r="CT129" s="51" t="e">
        <f t="shared" ca="1" si="360"/>
        <v>#VALUE!</v>
      </c>
      <c r="CU129" s="10"/>
      <c r="CV129" s="51" t="e">
        <f t="shared" ca="1" si="257"/>
        <v>#VALUE!</v>
      </c>
      <c r="CW129" s="51">
        <f t="shared" si="361"/>
        <v>0</v>
      </c>
      <c r="CX129" s="439" t="e">
        <f t="shared" ca="1" si="362"/>
        <v>#VALUE!</v>
      </c>
      <c r="CY129" s="51" t="e">
        <f t="shared" ca="1" si="363"/>
        <v>#VALUE!</v>
      </c>
      <c r="CZ129" s="10"/>
      <c r="DA129" s="51" t="e">
        <f t="shared" ca="1" si="364"/>
        <v>#VALUE!</v>
      </c>
      <c r="DB129" s="347" t="e">
        <f ca="1">INDEX(INDIRECT(VLOOKUP(LEFT(BO129,7),CLU!$Z$3:$AI$18,10)),((M129-2)*(6-COUNTBLANK(GT129:GY129)))+GJ129)*LI129</f>
        <v>#N/A</v>
      </c>
      <c r="DC129" s="347" t="str">
        <f>IF(L129&gt;0,((R129/Worksheet!$I$15)/DB129)^2," ")</f>
        <v xml:space="preserve"> </v>
      </c>
      <c r="DD129" s="602" t="str">
        <f t="shared" si="365"/>
        <v xml:space="preserve"> </v>
      </c>
      <c r="DE129" s="347" t="str">
        <f t="shared" si="258"/>
        <v xml:space="preserve"> </v>
      </c>
      <c r="DF129" s="356" t="e">
        <f ca="1">INDEX(INDIRECT(VLOOKUP(LEFT(BO129,7),CLU!$Z$3:$AH$18,8)),((M129-2)*(6-COUNTBLANK(GT129:GY129)))+GJ129)</f>
        <v>#N/A</v>
      </c>
      <c r="DG129" s="347" t="str">
        <f t="shared" si="259"/>
        <v xml:space="preserve"> </v>
      </c>
      <c r="DH129" s="357" t="str">
        <f t="shared" si="260"/>
        <v xml:space="preserve"> </v>
      </c>
      <c r="DI129" s="355" t="str">
        <f t="shared" si="261"/>
        <v xml:space="preserve"> </v>
      </c>
      <c r="DJ129" s="245" t="e">
        <f ca="1">INDEX(INDIRECT(VLOOKUP(LEFT(BO129,7),CLU!$Z$3:$AH$18,5)),GL129,GK129)</f>
        <v>#N/A</v>
      </c>
      <c r="DK129" s="245" t="e">
        <f ca="1">INDEX(INDIRECT(VLOOKUP(LEFT(BO129,7),CLU!$Z$3:$AH$18,6)),GL129,GK129)</f>
        <v>#N/A</v>
      </c>
      <c r="DL129" s="355">
        <f>(Calculation!R129*0.69143*(Calculation!$BQ$8-Calculation!$F$8))*$S$14</f>
        <v>0</v>
      </c>
      <c r="DM129" s="359" t="e">
        <f t="shared" si="366"/>
        <v>#VALUE!</v>
      </c>
      <c r="DN129" s="611">
        <f t="shared" si="367"/>
        <v>0</v>
      </c>
      <c r="DO129" s="359">
        <f t="shared" si="368"/>
        <v>100</v>
      </c>
      <c r="DP129" s="359">
        <f t="shared" si="369"/>
        <v>0</v>
      </c>
      <c r="DQ129" s="360"/>
      <c r="DR129" s="245" t="e">
        <f ca="1">INDEX(INDIRECT(VLOOKUP(LEFT(BO129,7),CLU!$Z$3:$AH$18,7)),M129-1,1)</f>
        <v>#N/A</v>
      </c>
      <c r="DS129" s="245" t="e">
        <f ca="1">INDEX(INDIRECT(VLOOKUP(LEFT(BO129,7),CLU!$Z$3:$AH$18,7)),M129-1,2)</f>
        <v>#N/A</v>
      </c>
      <c r="DT129" s="245" t="e">
        <f ca="1">INDEX(INDIRECT(VLOOKUP(LEFT(BO129,7),CLU!$Z$3:$AH$18,7)),M129-1,3)</f>
        <v>#N/A</v>
      </c>
      <c r="DU129" s="245" t="e">
        <f ca="1">INDEX(INDIRECT(VLOOKUP(LEFT(BO129,7),CLU!$Z$3:$AH$18,7)),M129-1,4)</f>
        <v>#N/A</v>
      </c>
      <c r="DV129" s="361" t="e">
        <f ca="1">INDEX(INDIRECT(VLOOKUP(LEFT(BO129,7),CLU!$Z$3:$AH$18,7)),M129-1,4+LEFT(DZ129,1)*0.5)</f>
        <v>#N/A</v>
      </c>
      <c r="DW129" s="245" t="e">
        <f ca="1">INDEX(INDIRECT(VLOOKUP(LEFT(BO129,7),CLU!$Z$3:$AH$18,7)),M129-1,8)</f>
        <v>#N/A</v>
      </c>
      <c r="DX129" s="361" t="str">
        <f t="shared" si="262"/>
        <v xml:space="preserve"> </v>
      </c>
      <c r="DY129" s="361" t="str">
        <f t="shared" si="263"/>
        <v xml:space="preserve"> </v>
      </c>
      <c r="DZ129" s="361" t="str">
        <f t="shared" si="264"/>
        <v xml:space="preserve"> </v>
      </c>
      <c r="EA129" s="362" t="str">
        <f t="shared" si="265"/>
        <v xml:space="preserve"> </v>
      </c>
      <c r="EB129" s="624" t="str">
        <f t="shared" si="370"/>
        <v xml:space="preserve"> </v>
      </c>
      <c r="EC129" s="361" t="e">
        <f ca="1">INDEX(INDIRECT(VLOOKUP(LEFT(BO129,7),CLU!$Z$3:$AH$18,7)),M129-1,4+LEFT(DZ129,1)*0.5)</f>
        <v>#N/A</v>
      </c>
      <c r="ED129" s="362" t="str">
        <f t="shared" si="266"/>
        <v xml:space="preserve"> </v>
      </c>
      <c r="EE129" s="361" t="str">
        <f t="shared" si="267"/>
        <v xml:space="preserve"> </v>
      </c>
      <c r="EF129" s="362" t="str">
        <f>IF(L129&gt;0,IF(BR129&gt;0,IF(EE129="2P",IF(Calculation!DZ129="2P",IF(Calculation!DS129=13.75,IF(Calculation!DR129=13,Worksheet!$BD$43,IF(Calculation!DR129=37,Worksheet!$BD$44,Worksheet!$BD$45)),IF(Calculation!DS129=10,IF(Calculation!DR129=18,Worksheet!$BD$29,IF(Calculation!DR129=30,Worksheet!$BD$30,IF(Calculation!DR129=42,Worksheet!$BD$31,IF(Calculation!DR129=54,Worksheet!$BD$32,IF(Calculation!DR129=66,Worksheet!$BD$33,IF(Calculation!DR129=78,Worksheet!$BD$34,IF(Calculation!DR129=90,Worksheet!$BD$35,IF(Calculation!DR129=102,Worksheet!$BD$36,Worksheet!$BD$37)))))))),IF(Calculation!DS129=12.5,IF(Calculation!DR129=18,Worksheet!$BD$38,IF(Calculation!DR129=Worksheet!$BD$39,IF(Calculation!DR129=42,Worksheet!$BD$40,IF(Calculation!DR129=54,Worksheet!$BD$41,Worksheet!$BD$42)))),IF(Calculation!DR129=18,Worksheet!$BD$11,IF(Calculation!DR129=30,Worksheet!$BD$12,IF(Calculation!DR129=42,Worksheet!$BD$13,IF(Calculation!DR129=54,Worksheet!$BD$14,IF(Calculation!DR129=66,Worksheet!$BD$15,IF(Calculation!DR129=78,Worksheet!$BD$16,IF(Calculation!DR129=90,Worksheet!$BD$17,IF(Calculation!DR129=102,Worksheet!$BD$18,Worksheet!$BD$19))))))))))),IF(Calculation!DS129=13.75,IF(Calculation!DR129=13,Worksheet!$BD$78,IF(Calculation!DR129=37,Worksheet!$BD$79,Worksheet!$BD$80)),IF(Calculation!DS129=10,IF(Calculation!DR129=18,Worksheet!$BD$64,IF(Calculation!DR129=30,Worksheet!$BD$65,IF(Calculation!DR129=42,Worksheet!$BD$66,IF(Calculation!DR129=54,Worksheet!$BD$68,IF(Calculation!DR129=66,Worksheet!$BD$68,IF(Calculation!DR129=78,Worksheet!$BD$69,IF(Calculation!DR129=90,Worksheet!$BD$70,IF(Calculation!DR129=102,Worksheet!$BD$71,Worksheet!$BD$72)))))))),IF(Calculation!DS129=12.5,IF(Calculation!DR129=18,Worksheet!$BD$73,IF(Calculation!DR129=Worksheet!$BD$74,IF(Calculation!DR129=42,Worksheet!$BD$75,IF(Calculation!DR129=54,Worksheet!$BD$76,Worksheet!$BD$77)))),IF(Calculation!DR129=18,Worksheet!$BD$55,IF(Calculation!DR129=30,Worksheet!$BD$56,IF(Calculation!DR129=42,Worksheet!$BD$57,IF(Calculation!DR129=54,Worksheet!$BD$58,IF(Calculation!DR129=66,Worksheet!$BD$59,IF(Calculation!DR129=78,Worksheet!$BD$60,IF(Calculation!DR129=90,Worksheet!$BD$61,IF(Calculation!DR129=102,Worksheet!$BD$62,Worksheet!$BD$63)))))))))))),5),0)," ")</f>
        <v xml:space="preserve"> </v>
      </c>
      <c r="EG129" s="361" t="str">
        <f t="shared" si="268"/>
        <v xml:space="preserve"> </v>
      </c>
      <c r="EH129" s="361" t="e">
        <f ca="1">INDEX(INDIRECT(VLOOKUP(LEFT(BO129,7),CLU!$Z$3:$AH$18,7)),M129-1,3+LEFT(DZ129,1))</f>
        <v>#N/A</v>
      </c>
      <c r="EI129" s="362" t="str">
        <f t="shared" si="269"/>
        <v xml:space="preserve"> </v>
      </c>
      <c r="EJ129" s="363" t="str">
        <f t="shared" si="270"/>
        <v xml:space="preserve"> </v>
      </c>
      <c r="EK129" s="363" t="str">
        <f t="shared" si="271"/>
        <v xml:space="preserve"> </v>
      </c>
      <c r="EL129" s="363" t="str">
        <f t="shared" si="272"/>
        <v xml:space="preserve"> </v>
      </c>
      <c r="EM129" s="362" t="str">
        <f>IF(L129&gt;0,IF(BR129&gt;0,(Calculation!T129/ED129)^2,0)," ")</f>
        <v xml:space="preserve"> </v>
      </c>
      <c r="EN129" s="362" t="str">
        <f>IF(L129&gt;0,IF(O129="2 Pipe (Cooling)","N/A",IF(BR129&gt;0,(Calculation!U129/EI129)^2,0))," ")</f>
        <v xml:space="preserve"> </v>
      </c>
      <c r="EO129" s="361" t="str">
        <f t="shared" si="273"/>
        <v/>
      </c>
      <c r="EP129" s="361" t="str">
        <f t="shared" si="274"/>
        <v/>
      </c>
      <c r="EQ129" s="361" t="str">
        <f t="shared" si="275"/>
        <v/>
      </c>
      <c r="ER129" s="361" t="str">
        <f t="shared" si="276"/>
        <v/>
      </c>
      <c r="ES129" s="361" t="str">
        <f t="shared" si="277"/>
        <v/>
      </c>
      <c r="ET129" s="361" t="str">
        <f t="shared" si="278"/>
        <v/>
      </c>
      <c r="EU129" s="361" t="str">
        <f t="shared" si="279"/>
        <v/>
      </c>
      <c r="EV129" s="361" t="str">
        <f t="shared" si="280"/>
        <v/>
      </c>
      <c r="EW129" s="361" t="str">
        <f t="shared" si="281"/>
        <v/>
      </c>
      <c r="EX129" s="361" t="str">
        <f t="shared" si="371"/>
        <v>1 slot, 1 way</v>
      </c>
      <c r="EY129" s="361" t="str">
        <f t="shared" si="372"/>
        <v xml:space="preserve"> </v>
      </c>
      <c r="EZ129" s="361" t="str">
        <f t="shared" si="373"/>
        <v xml:space="preserve"> </v>
      </c>
      <c r="FA129" s="361" t="str">
        <f t="shared" si="374"/>
        <v xml:space="preserve"> </v>
      </c>
      <c r="FB129" s="361" t="str">
        <f t="shared" si="375"/>
        <v xml:space="preserve"> </v>
      </c>
      <c r="FC129" s="361"/>
      <c r="FD129" s="361" t="str">
        <f>IF(J129&gt;0,IF(Calculation!R129&lt;=70,4,IF(Calculation!R129&lt;=110,5,IF(Calculation!R129&lt;=160,6,IF(Calculation!R129&lt;=300,8,"10 EO")))),"")</f>
        <v/>
      </c>
      <c r="FE129" s="361" t="str">
        <f t="shared" si="376"/>
        <v/>
      </c>
      <c r="FF129" s="361" t="str">
        <f t="shared" si="377"/>
        <v/>
      </c>
      <c r="FG129" s="361" t="e">
        <f t="shared" si="282"/>
        <v>#N/A</v>
      </c>
      <c r="FH129" s="361">
        <f t="shared" si="283"/>
        <v>0</v>
      </c>
      <c r="FI129" s="361" t="e">
        <f t="shared" si="284"/>
        <v>#DIV/0!</v>
      </c>
      <c r="FJ129" s="361"/>
      <c r="FK129" s="356" t="e">
        <f t="shared" si="285"/>
        <v>#VALUE!</v>
      </c>
      <c r="FL129" s="361"/>
      <c r="FM129" s="361"/>
      <c r="FN129" s="362" t="str">
        <f t="shared" si="378"/>
        <v xml:space="preserve"> </v>
      </c>
      <c r="FO129" s="362" t="str">
        <f t="shared" si="379"/>
        <v xml:space="preserve"> </v>
      </c>
      <c r="FP129" s="362">
        <f t="shared" si="380"/>
        <v>0</v>
      </c>
      <c r="FQ129" s="361">
        <f t="shared" si="286"/>
        <v>0</v>
      </c>
      <c r="FR129" s="362" t="str">
        <f>IF(L129&gt;0,IF(J129="CBAL2",Worksheet!$P$67,IF(J129="CBE2-24",Worksheet!$Q$67,IF(J129="CBAM",Worksheet!$R$67,IF(J129="CBLV",Worksheet!$S$67,IF(J129="CBAB",Worksheet!$U$67,IF(J129="CBAW",Worksheet!$X$67,IF(J129="CBE2-12",Worksheet!$Y$67,IF(J129="CBAL2",Worksheet!$Z$67,"N/A"))))))))," ")</f>
        <v xml:space="preserve"> </v>
      </c>
      <c r="FS129" s="362" t="str">
        <f>IF(L129&gt;0,IF(J129="CBAL2",Worksheet!$P$68,IF(J129="CBE2-24",Worksheet!$Q$68,IF(J129="CBAM",Worksheet!$R$68,IF(J129="CBLV",Worksheet!$S$68,IF(J129="CBAB",Worksheet!$U$68,IF(J129="CBAW",Worksheet!$X$68,IF(J129="CBE2-12",Worksheet!$Y$68,IF(J129="CBAL2",Worksheet!$Z$68,"N/A"))))))))," ")</f>
        <v xml:space="preserve"> </v>
      </c>
      <c r="FT129" s="362" t="str">
        <f>IF(L129&gt;0,IF(J129="CBAL2",Worksheet!$P$69,IF(J129="CBE2-24",Worksheet!$Q$69,IF(J129="CBAM",Worksheet!$R$69,IF(J129="CBLV",Worksheet!$S$69,IF(J129="CBAB",Worksheet!$U$69,IF(J129="CBAW",Worksheet!$X$69,IF(J129="CBE2-12",Worksheet!$Y$69,IF(J129="CBAL2",Worksheet!$Z$69,"N/A"))))))))," ")</f>
        <v xml:space="preserve"> </v>
      </c>
      <c r="FU129" s="361" t="str">
        <f t="shared" si="381"/>
        <v xml:space="preserve"> </v>
      </c>
      <c r="FV129" s="362" t="str">
        <f t="shared" si="382"/>
        <v xml:space="preserve"> </v>
      </c>
      <c r="FW129" s="362" t="str">
        <f t="shared" si="383"/>
        <v xml:space="preserve"> </v>
      </c>
      <c r="FX129" s="362" t="str">
        <f t="shared" si="384"/>
        <v xml:space="preserve"> </v>
      </c>
      <c r="FY129" s="355" t="str">
        <f t="shared" si="385"/>
        <v xml:space="preserve"> </v>
      </c>
      <c r="FZ129" s="361" t="str">
        <f t="shared" si="386"/>
        <v xml:space="preserve"> </v>
      </c>
      <c r="GA129" s="347" t="str">
        <f t="shared" si="387"/>
        <v xml:space="preserve"> </v>
      </c>
      <c r="GB129" s="355" t="str">
        <f t="shared" si="388"/>
        <v xml:space="preserve"> </v>
      </c>
      <c r="GC129" s="328" t="str">
        <f t="shared" si="389"/>
        <v xml:space="preserve"> </v>
      </c>
      <c r="GD129" s="361" t="str">
        <f t="shared" si="390"/>
        <v xml:space="preserve"> </v>
      </c>
      <c r="GE129" s="347" t="str">
        <f t="shared" si="391"/>
        <v xml:space="preserve"> </v>
      </c>
      <c r="GF129" s="361" t="str">
        <f t="shared" si="392"/>
        <v xml:space="preserve"> </v>
      </c>
      <c r="GG129" s="347" t="str">
        <f t="shared" si="393"/>
        <v xml:space="preserve"> </v>
      </c>
      <c r="GH129" s="364">
        <f t="shared" si="287"/>
        <v>0</v>
      </c>
      <c r="GI129" s="362">
        <f t="shared" si="394"/>
        <v>2</v>
      </c>
      <c r="GJ129" s="433" t="e">
        <f>IF(6-COUNTBLANK(GT129:GY129)=4,MATCH(MID(BO129,9,3),CLU!$H$16:$K$16),MATCH(MID(BO129,9,3),CLU!$H$13:$M$13))</f>
        <v>#N/A</v>
      </c>
      <c r="GK129" s="433" t="e">
        <f>HLOOKUP(VALUE(BP129),CLU!$H$9:$M$10,2)</f>
        <v>#VALUE!</v>
      </c>
      <c r="GL129" s="433" t="e">
        <f ca="1">MATCH(BU129,CLU!$H$2:$V$2,1)</f>
        <v>#VALUE!</v>
      </c>
      <c r="GM129" s="433" t="e">
        <f t="shared" ca="1" si="395"/>
        <v>#VALUE!</v>
      </c>
      <c r="GN129" s="433" t="e">
        <f t="shared" ca="1" si="396"/>
        <v>#VALUE!</v>
      </c>
      <c r="GO129" s="433" t="e">
        <f t="shared" ca="1" si="397"/>
        <v>#VALUE!</v>
      </c>
      <c r="GP129" s="433" t="e">
        <f t="shared" ca="1" si="398"/>
        <v>#VALUE!</v>
      </c>
      <c r="GQ129" s="433" t="e">
        <f t="shared" ca="1" si="399"/>
        <v>#VALUE!</v>
      </c>
      <c r="GR129" s="433" t="e">
        <f ca="1">MATCH(T129,INDIRECT(VLOOKUP(CONCATENATE(LEFT(BO129,7),"-",MID(BO129,13,1)),CLU!$P$3:$Q$16,2)),1)</f>
        <v>#N/A</v>
      </c>
      <c r="GS129" s="433" t="e">
        <f ca="1">MATCH(U129,INDIRECT(VLOOKUP(CONCATENATE(LEFT(BO129,7),"-",MID(BO129,13,1)),CLU!$P$3:$Q$16,2)),1)</f>
        <v>#N/A</v>
      </c>
      <c r="GT129" s="347" t="s">
        <v>512</v>
      </c>
      <c r="GU129" s="97" t="s">
        <v>513</v>
      </c>
      <c r="GV129" s="97" t="str">
        <f t="shared" si="400"/>
        <v>M23</v>
      </c>
      <c r="GW129" s="97" t="str">
        <f t="shared" si="401"/>
        <v>M31</v>
      </c>
      <c r="GX129" s="97" t="str">
        <f t="shared" si="402"/>
        <v/>
      </c>
      <c r="GY129" s="97" t="str">
        <f t="shared" si="403"/>
        <v/>
      </c>
      <c r="GZ129" s="481"/>
      <c r="HA129" s="288"/>
      <c r="HB129" s="240"/>
      <c r="HC129" s="240"/>
      <c r="HD129" s="240"/>
      <c r="HE129" s="240"/>
      <c r="HF129" s="240"/>
      <c r="HG129" s="240"/>
      <c r="HH129" s="240"/>
      <c r="HI129" s="240"/>
      <c r="HJ129" s="240"/>
      <c r="HK129" s="240"/>
      <c r="HL129" s="240"/>
      <c r="HM129" s="240"/>
      <c r="HN129" s="240"/>
      <c r="HO129" s="240"/>
      <c r="HP129" s="240"/>
      <c r="HQ129" s="240"/>
      <c r="HR129" s="240"/>
      <c r="HS129" s="240"/>
      <c r="HT129" s="240"/>
      <c r="HU129" s="240"/>
      <c r="HV129" s="245"/>
      <c r="HW129" s="245" t="b">
        <v>1</v>
      </c>
      <c r="HX129" s="245" t="str">
        <f t="shared" si="288"/>
        <v/>
      </c>
      <c r="HY129" s="245" t="e">
        <f t="shared" si="289"/>
        <v>#DIV/0!</v>
      </c>
      <c r="HZ129" s="245" t="e">
        <f t="shared" si="290"/>
        <v>#DIV/0!</v>
      </c>
      <c r="IA129" s="245">
        <f t="shared" si="291"/>
        <v>0</v>
      </c>
      <c r="IB129" s="245"/>
      <c r="IC129" t="b">
        <f t="shared" si="292"/>
        <v>1</v>
      </c>
      <c r="ID129" s="245" t="b">
        <f t="shared" si="293"/>
        <v>1</v>
      </c>
      <c r="IE129" s="245" t="b">
        <f t="shared" si="294"/>
        <v>1</v>
      </c>
      <c r="IF129" s="245" t="b">
        <f t="shared" si="295"/>
        <v>0</v>
      </c>
      <c r="IG129" s="245" t="b">
        <f t="shared" si="296"/>
        <v>1</v>
      </c>
      <c r="IH129" s="245" t="b">
        <f t="shared" si="297"/>
        <v>1</v>
      </c>
      <c r="II129" s="245">
        <f t="shared" si="404"/>
        <v>0</v>
      </c>
      <c r="IJ129" s="245" t="e">
        <f t="shared" si="298"/>
        <v>#VALUE!</v>
      </c>
      <c r="IK129" s="245" t="e">
        <f t="shared" si="299"/>
        <v>#VALUE!</v>
      </c>
      <c r="IL129" s="245"/>
      <c r="IM129" s="245" t="e">
        <f t="shared" si="405"/>
        <v>#N/A</v>
      </c>
      <c r="IN129" s="245" t="e">
        <f t="shared" si="406"/>
        <v>#N/A</v>
      </c>
      <c r="IO129" s="245"/>
      <c r="IP129" s="245"/>
      <c r="IQ129" s="245" t="str">
        <f t="shared" si="300"/>
        <v/>
      </c>
      <c r="IR129" s="245" t="str">
        <f>IF(J129="","",VLOOKUP(J129,Worksheet!$R$4:$T$14,2))</f>
        <v/>
      </c>
      <c r="IS129" s="245"/>
      <c r="IT129" s="245">
        <f t="shared" si="301"/>
        <v>0</v>
      </c>
      <c r="IU129" s="245">
        <f t="shared" si="302"/>
        <v>0</v>
      </c>
      <c r="IV129" s="245">
        <f t="shared" si="303"/>
        <v>0</v>
      </c>
      <c r="IW129" s="245">
        <f t="shared" si="304"/>
        <v>0</v>
      </c>
      <c r="IX129" s="245">
        <f t="shared" si="407"/>
        <v>0</v>
      </c>
      <c r="IY129" s="245">
        <f t="shared" si="305"/>
        <v>0</v>
      </c>
      <c r="IZ129" s="245">
        <f t="shared" si="306"/>
        <v>0</v>
      </c>
      <c r="JA129">
        <f t="shared" si="307"/>
        <v>0</v>
      </c>
      <c r="JB129">
        <f t="shared" si="408"/>
        <v>0</v>
      </c>
      <c r="JC129">
        <f t="shared" si="308"/>
        <v>0</v>
      </c>
      <c r="JD129">
        <f t="shared" si="309"/>
        <v>0</v>
      </c>
      <c r="JE129">
        <f t="shared" si="310"/>
        <v>0</v>
      </c>
      <c r="JF129">
        <f t="shared" si="311"/>
        <v>0</v>
      </c>
      <c r="JG129">
        <f t="shared" si="312"/>
        <v>0</v>
      </c>
      <c r="JH129">
        <f t="shared" si="313"/>
        <v>0</v>
      </c>
      <c r="JI129">
        <f t="shared" si="314"/>
        <v>0</v>
      </c>
      <c r="JJ129" s="447">
        <f t="shared" si="315"/>
        <v>0</v>
      </c>
      <c r="JK129" s="447">
        <f t="shared" si="316"/>
        <v>0</v>
      </c>
      <c r="JL129">
        <f t="shared" si="317"/>
        <v>0</v>
      </c>
      <c r="JM129" s="245" t="str">
        <f>IFERROR(VLOOKUP(MATCH(BN129,#REF!,0),#REF!,7),"")</f>
        <v/>
      </c>
      <c r="JN129" t="e">
        <f>HLOOKUP(LEFT(BO129,7),Discharge_Area,MATCH(JO129,LookUps!$B$130:$B$149,1)+2)</f>
        <v>#N/A</v>
      </c>
      <c r="JO129" t="str">
        <f t="shared" si="318"/>
        <v>- S</v>
      </c>
      <c r="JP129" t="e">
        <f>HLOOKUP(LEFT(BO129,7),Discharge_Area,MATCH(JO129,LookUps!$B$130:$B$149,1)+2)</f>
        <v>#N/A</v>
      </c>
      <c r="JQ129" t="e">
        <f t="shared" si="319"/>
        <v>#N/A</v>
      </c>
      <c r="JR129" t="e">
        <f t="shared" si="320"/>
        <v>#N/A</v>
      </c>
      <c r="JS129" t="e">
        <f t="shared" si="321"/>
        <v>#N/A</v>
      </c>
      <c r="JT129" s="532" t="str">
        <f t="shared" si="322"/>
        <v xml:space="preserve"> </v>
      </c>
      <c r="JU129" s="532" t="str">
        <f t="shared" si="323"/>
        <v xml:space="preserve"> </v>
      </c>
      <c r="JV129" s="533" t="str">
        <f t="shared" si="324"/>
        <v xml:space="preserve"> </v>
      </c>
      <c r="JW129" s="534">
        <f t="shared" si="325"/>
        <v>0</v>
      </c>
      <c r="JX129" s="535" t="str">
        <f t="shared" si="409"/>
        <v xml:space="preserve"> </v>
      </c>
      <c r="JY129" s="535" t="str">
        <f t="shared" si="410"/>
        <v xml:space="preserve"> </v>
      </c>
      <c r="JZ129" s="535" t="str">
        <f t="shared" si="411"/>
        <v xml:space="preserve"> </v>
      </c>
      <c r="KA129" s="536" t="str">
        <f t="shared" si="326"/>
        <v xml:space="preserve"> </v>
      </c>
      <c r="KB129" s="535" t="e">
        <f t="shared" si="412"/>
        <v>#VALUE!</v>
      </c>
      <c r="KC129" s="535" t="str">
        <f t="shared" si="327"/>
        <v/>
      </c>
      <c r="KD129" s="537" t="str">
        <f t="shared" si="413"/>
        <v xml:space="preserve"> </v>
      </c>
      <c r="KE129" s="537" t="str">
        <f t="shared" si="414"/>
        <v xml:space="preserve"> </v>
      </c>
      <c r="KF129" s="534">
        <f t="shared" si="328"/>
        <v>0</v>
      </c>
      <c r="KG129" s="535" t="str">
        <f t="shared" si="329"/>
        <v xml:space="preserve"> </v>
      </c>
      <c r="KH129" s="535" t="str">
        <f t="shared" si="330"/>
        <v xml:space="preserve"> </v>
      </c>
      <c r="KI129" s="535" t="str">
        <f t="shared" si="331"/>
        <v xml:space="preserve"> </v>
      </c>
      <c r="KJ129" s="536" t="str">
        <f t="shared" si="332"/>
        <v xml:space="preserve"> </v>
      </c>
      <c r="KK129" s="535" t="str">
        <f t="shared" si="415"/>
        <v xml:space="preserve"> </v>
      </c>
      <c r="KL129" s="535" t="str">
        <f t="shared" si="416"/>
        <v xml:space="preserve"> </v>
      </c>
      <c r="KM129" s="537" t="str">
        <f t="shared" si="333"/>
        <v xml:space="preserve"> </v>
      </c>
      <c r="KN129" s="537" t="str">
        <f t="shared" si="417"/>
        <v xml:space="preserve"> </v>
      </c>
      <c r="KP129">
        <f t="shared" si="334"/>
        <v>0</v>
      </c>
      <c r="LA129" t="e">
        <f t="shared" si="335"/>
        <v>#VALUE!</v>
      </c>
      <c r="LB129" t="e">
        <f t="shared" si="336"/>
        <v>#VALUE!</v>
      </c>
      <c r="LC129" t="e">
        <f t="shared" si="337"/>
        <v>#VALUE!</v>
      </c>
      <c r="LD129" t="e">
        <f t="shared" si="338"/>
        <v>#VALUE!</v>
      </c>
      <c r="LE129" t="e">
        <f t="shared" si="418"/>
        <v>#VALUE!</v>
      </c>
      <c r="LF129">
        <f t="shared" si="339"/>
        <v>0</v>
      </c>
      <c r="LG129" t="e">
        <f t="shared" si="419"/>
        <v>#VALUE!</v>
      </c>
      <c r="LH129" t="str">
        <f t="shared" si="340"/>
        <v xml:space="preserve"> </v>
      </c>
      <c r="LI129">
        <f t="shared" si="420"/>
        <v>1</v>
      </c>
    </row>
    <row r="130" spans="2:321" ht="15" customHeight="1">
      <c r="B130" s="311"/>
      <c r="C130" s="311"/>
      <c r="D130" s="312"/>
      <c r="E130" s="311"/>
      <c r="F130" s="312"/>
      <c r="G130" s="311"/>
      <c r="H130" s="311"/>
      <c r="I130" s="37"/>
      <c r="J130" s="311"/>
      <c r="K130" s="305" t="str">
        <f t="shared" si="341"/>
        <v/>
      </c>
      <c r="L130" s="313"/>
      <c r="M130" s="312"/>
      <c r="N130" s="311"/>
      <c r="O130" s="312"/>
      <c r="P130" s="311"/>
      <c r="Q130" s="305" t="str">
        <f t="shared" si="342"/>
        <v/>
      </c>
      <c r="R130" s="314"/>
      <c r="S130" s="450" t="str">
        <f t="shared" si="225"/>
        <v/>
      </c>
      <c r="T130" s="315"/>
      <c r="U130" s="315"/>
      <c r="W130" s="149" t="str">
        <f t="shared" si="226"/>
        <v xml:space="preserve"> </v>
      </c>
      <c r="X130" s="243" t="str">
        <f t="shared" si="227"/>
        <v xml:space="preserve"> </v>
      </c>
      <c r="Y130" s="150" t="str">
        <f t="shared" si="228"/>
        <v/>
      </c>
      <c r="Z130" s="149" t="str">
        <f t="shared" si="229"/>
        <v xml:space="preserve"> </v>
      </c>
      <c r="AA130" s="98" t="str">
        <f t="shared" si="230"/>
        <v xml:space="preserve"> </v>
      </c>
      <c r="AB130" s="153" t="str">
        <f t="shared" si="231"/>
        <v xml:space="preserve"> </v>
      </c>
      <c r="AC130" s="153" t="str">
        <f t="shared" si="232"/>
        <v xml:space="preserve"> </v>
      </c>
      <c r="AD130" s="148" t="str">
        <f t="shared" si="233"/>
        <v/>
      </c>
      <c r="AE130" s="149" t="str">
        <f t="shared" si="234"/>
        <v/>
      </c>
      <c r="AF130" s="151" t="str">
        <f t="shared" si="235"/>
        <v xml:space="preserve"> </v>
      </c>
      <c r="AG130" s="153" t="str">
        <f t="shared" si="236"/>
        <v xml:space="preserve"> </v>
      </c>
      <c r="AH130" s="98" t="str">
        <f t="shared" si="237"/>
        <v xml:space="preserve"> </v>
      </c>
      <c r="AI130" s="149" t="str">
        <f t="shared" si="238"/>
        <v xml:space="preserve"> </v>
      </c>
      <c r="AK130" s="144" t="str">
        <f t="shared" si="239"/>
        <v xml:space="preserve"> </v>
      </c>
      <c r="AL130" s="144"/>
      <c r="AM130" s="243" t="str">
        <f t="shared" si="240"/>
        <v xml:space="preserve"> </v>
      </c>
      <c r="AN130" s="149" t="str">
        <f t="shared" si="343"/>
        <v xml:space="preserve"> </v>
      </c>
      <c r="AO130" s="144" t="str">
        <f>IF(JB130&gt;0,IF(GI130=10,-R130*1.085*(Calculation!$F$6-Calculation!$F$13)*$S$14," "),"")</f>
        <v/>
      </c>
      <c r="AP130" s="144" t="str">
        <f t="shared" si="241"/>
        <v/>
      </c>
      <c r="AQ130" s="56" t="str">
        <f t="shared" si="242"/>
        <v/>
      </c>
      <c r="AR130" s="144" t="str">
        <f t="shared" si="243"/>
        <v/>
      </c>
      <c r="AS130" s="176" t="str">
        <f t="shared" si="244"/>
        <v/>
      </c>
      <c r="AT130" s="176" t="str">
        <f t="shared" si="344"/>
        <v xml:space="preserve"> </v>
      </c>
      <c r="AU130" s="176" t="str">
        <f t="shared" si="245"/>
        <v/>
      </c>
      <c r="AV130" s="177" t="str">
        <f t="shared" si="246"/>
        <v xml:space="preserve"> </v>
      </c>
      <c r="AW130" s="144" t="str">
        <f t="shared" si="247"/>
        <v xml:space="preserve"> </v>
      </c>
      <c r="AX130" s="144" t="str">
        <f t="shared" si="248"/>
        <v xml:space="preserve"> </v>
      </c>
      <c r="AY130" s="152" t="str">
        <f t="shared" si="249"/>
        <v xml:space="preserve"> </v>
      </c>
      <c r="AZ130" s="246" t="str">
        <f t="shared" si="250"/>
        <v/>
      </c>
      <c r="BA130" s="176" t="str">
        <f t="shared" si="251"/>
        <v xml:space="preserve"> </v>
      </c>
      <c r="BB130" s="176" t="str">
        <f t="shared" si="252"/>
        <v xml:space="preserve"> </v>
      </c>
      <c r="BC130" s="195"/>
      <c r="BD130" s="316"/>
      <c r="BE130" s="317"/>
      <c r="BF130" s="318"/>
      <c r="BG130" s="318"/>
      <c r="BH130" s="144" t="str">
        <f t="shared" si="421"/>
        <v xml:space="preserve"> </v>
      </c>
      <c r="BI130" s="176" t="str">
        <f t="shared" si="253"/>
        <v/>
      </c>
      <c r="BJ130" s="144" t="str">
        <f t="shared" si="422"/>
        <v/>
      </c>
      <c r="BK130" s="246" t="str">
        <f t="shared" si="254"/>
        <v/>
      </c>
      <c r="BL130" s="144" t="str">
        <f t="shared" si="423"/>
        <v/>
      </c>
      <c r="BM130" s="246" t="str">
        <f t="shared" si="255"/>
        <v/>
      </c>
      <c r="BN130" s="337" t="str">
        <f t="shared" si="345"/>
        <v/>
      </c>
      <c r="BO130" s="371" t="str">
        <f t="shared" si="346"/>
        <v/>
      </c>
      <c r="BP130" s="328" t="str">
        <f t="shared" si="424"/>
        <v xml:space="preserve"> </v>
      </c>
      <c r="BQ130" s="347" t="str">
        <f t="shared" si="347"/>
        <v xml:space="preserve"> </v>
      </c>
      <c r="BR130" s="353" t="str">
        <f t="shared" si="348"/>
        <v xml:space="preserve"> </v>
      </c>
      <c r="BS130" s="626" t="str">
        <f>IF(L130&gt;0,IF(Calculation!P130="M13",BR130*3.1416*(0.134^2)/(4*144),IF(Calculation!P130="M17",BR130*3.1416*(0.165^2)/(4*144),IF(Calculation!P130="M20",BR130*3.1416*(0.198^2)/(4*144),IF(Calculation!P130="M23",BR130*3.1416*(0.228^2)/(4*144),IF(Calculation!P130="M27",BR130*3.1416*(0.269^2)/(4*144),BR130*3.1416*(0.307^2)/(4*144))))))," ")</f>
        <v xml:space="preserve"> </v>
      </c>
      <c r="BT130" s="353" t="str">
        <f>IF(L130&gt;0,IF(BS130&gt;0,R130/Calculation!BS130,0)," ")</f>
        <v xml:space="preserve"> </v>
      </c>
      <c r="BU130" s="438" t="e">
        <f t="shared" ca="1" si="256"/>
        <v>#VALUE!</v>
      </c>
      <c r="BV130" s="449" t="e">
        <f ca="1">INDEX(INDIRECT(VLOOKUP(LEFT(BO130,7),CLU!$Z$3:$AH$18,2)),GN130,GR130)</f>
        <v>#N/A</v>
      </c>
      <c r="BW130" s="433" t="e">
        <f ca="1">INDEX(INDIRECT(VLOOKUP(LEFT(BO130,7),CLU!$Z$3:$AH$18,3)),GN130,GR130)</f>
        <v>#N/A</v>
      </c>
      <c r="BX130" s="433" t="e">
        <f ca="1">INDEX(INDIRECT(VLOOKUP(LEFT(BO130,7),CLU!$Z$3:$AH$18,4)),GN130,GR130)</f>
        <v>#N/A</v>
      </c>
      <c r="BY130" s="433" t="e">
        <f ca="1">INDEX(INDIRECT(VLOOKUP(LEFT(BO130,7),CLU!$Z$3:$AH$18,9)),((M130-2)*(6-COUNTBLANK(GT130:GY130)))+GJ130)</f>
        <v>#N/A</v>
      </c>
      <c r="BZ130" s="426" t="e">
        <f t="shared" ca="1" si="349"/>
        <v>#N/A</v>
      </c>
      <c r="CA130" s="424" t="e">
        <f t="shared" ca="1" si="350"/>
        <v>#N/A</v>
      </c>
      <c r="CB130" s="429" t="e">
        <f ca="1">INDEX(INDIRECT(VLOOKUP(LEFT(BO130,7),CLU!$Z$3:$AH$18,2)),GN130,GS130)</f>
        <v>#N/A</v>
      </c>
      <c r="CC130" s="342" t="e">
        <f ca="1">INDEX(INDIRECT(VLOOKUP(LEFT(BO130,7),CLU!$Z$3:$AH$18,3)),GN130,GS130)</f>
        <v>#N/A</v>
      </c>
      <c r="CD130" s="342" t="e">
        <f ca="1">INDEX(INDIRECT(VLOOKUP(LEFT(BO130,7),CLU!$Z$3:$AH$18,4)),GN130,GS130)</f>
        <v>#N/A</v>
      </c>
      <c r="CE130" s="426" t="e">
        <f t="shared" ca="1" si="351"/>
        <v>#N/A</v>
      </c>
      <c r="CF130" s="440">
        <f t="shared" si="352"/>
        <v>0</v>
      </c>
      <c r="CG130" s="431" t="e">
        <f ca="1">INDEX(INDIRECT(VLOOKUP(LEFT(BO130,7),CLU!$Z$3:$AH$18,2)),GQ130,GR130)</f>
        <v>#N/A</v>
      </c>
      <c r="CH130" s="431" t="e">
        <f ca="1">INDEX(INDIRECT(VLOOKUP(LEFT(BO130,7),CLU!$Z$3:$AH$18,3)),GQ130,GR130)</f>
        <v>#N/A</v>
      </c>
      <c r="CI130" s="431" t="e">
        <f ca="1">INDEX(INDIRECT(VLOOKUP(LEFT(BO130,7),CLU!$Z$3:$AH$18,4)),GQ130,GR130)</f>
        <v>#N/A</v>
      </c>
      <c r="CJ130" s="448" t="e">
        <f t="shared" ca="1" si="353"/>
        <v>#N/A</v>
      </c>
      <c r="CK130" s="431" t="e">
        <f t="shared" ca="1" si="354"/>
        <v>#N/A</v>
      </c>
      <c r="CL130" s="440" t="e">
        <f t="shared" ca="1" si="355"/>
        <v>#N/A</v>
      </c>
      <c r="CM130" s="431" t="e">
        <f ca="1">INDEX(INDIRECT(VLOOKUP(LEFT(BO130,7),CLU!$Z$3:$AH$18,2)),GQ130,GS130)</f>
        <v>#N/A</v>
      </c>
      <c r="CN130" s="431" t="e">
        <f ca="1">INDEX(INDIRECT(VLOOKUP(LEFT(BO130,7),CLU!$Z$3:$AH$18,3)),GQ130,GS130)</f>
        <v>#N/A</v>
      </c>
      <c r="CO130" s="431" t="e">
        <f ca="1">INDEX(INDIRECT(VLOOKUP(LEFT(BO130,7),CLU!$Z$3:$AH$18,4)),GQ130,GS130)</f>
        <v>#N/A</v>
      </c>
      <c r="CP130" s="431" t="e">
        <f t="shared" ca="1" si="356"/>
        <v>#N/A</v>
      </c>
      <c r="CQ130" s="440">
        <f t="shared" si="357"/>
        <v>0</v>
      </c>
      <c r="CR130" s="51" t="e">
        <f t="shared" ca="1" si="358"/>
        <v>#N/A</v>
      </c>
      <c r="CS130" s="439" t="e">
        <f t="shared" ca="1" si="359"/>
        <v>#VALUE!</v>
      </c>
      <c r="CT130" s="51" t="e">
        <f t="shared" ca="1" si="360"/>
        <v>#VALUE!</v>
      </c>
      <c r="CU130" s="10"/>
      <c r="CV130" s="51" t="e">
        <f t="shared" ca="1" si="257"/>
        <v>#VALUE!</v>
      </c>
      <c r="CW130" s="51">
        <f t="shared" si="361"/>
        <v>0</v>
      </c>
      <c r="CX130" s="439" t="e">
        <f t="shared" ca="1" si="362"/>
        <v>#VALUE!</v>
      </c>
      <c r="CY130" s="51" t="e">
        <f t="shared" ca="1" si="363"/>
        <v>#VALUE!</v>
      </c>
      <c r="CZ130" s="10"/>
      <c r="DA130" s="51" t="e">
        <f t="shared" ca="1" si="364"/>
        <v>#VALUE!</v>
      </c>
      <c r="DB130" s="347" t="e">
        <f ca="1">INDEX(INDIRECT(VLOOKUP(LEFT(BO130,7),CLU!$Z$3:$AI$18,10)),((M130-2)*(6-COUNTBLANK(GT130:GY130)))+GJ130)*LI130</f>
        <v>#N/A</v>
      </c>
      <c r="DC130" s="347" t="str">
        <f>IF(L130&gt;0,((R130/Worksheet!$I$15)/DB130)^2," ")</f>
        <v xml:space="preserve"> </v>
      </c>
      <c r="DD130" s="602" t="str">
        <f t="shared" si="365"/>
        <v xml:space="preserve"> </v>
      </c>
      <c r="DE130" s="347" t="str">
        <f t="shared" si="258"/>
        <v xml:space="preserve"> </v>
      </c>
      <c r="DF130" s="356" t="e">
        <f ca="1">INDEX(INDIRECT(VLOOKUP(LEFT(BO130,7),CLU!$Z$3:$AH$18,8)),((M130-2)*(6-COUNTBLANK(GT130:GY130)))+GJ130)</f>
        <v>#N/A</v>
      </c>
      <c r="DG130" s="347" t="str">
        <f t="shared" si="259"/>
        <v xml:space="preserve"> </v>
      </c>
      <c r="DH130" s="357" t="str">
        <f t="shared" si="260"/>
        <v xml:space="preserve"> </v>
      </c>
      <c r="DI130" s="355" t="str">
        <f t="shared" si="261"/>
        <v xml:space="preserve"> </v>
      </c>
      <c r="DJ130" s="245" t="e">
        <f ca="1">INDEX(INDIRECT(VLOOKUP(LEFT(BO130,7),CLU!$Z$3:$AH$18,5)),GL130,GK130)</f>
        <v>#N/A</v>
      </c>
      <c r="DK130" s="245" t="e">
        <f ca="1">INDEX(INDIRECT(VLOOKUP(LEFT(BO130,7),CLU!$Z$3:$AH$18,6)),GL130,GK130)</f>
        <v>#N/A</v>
      </c>
      <c r="DL130" s="355">
        <f>(Calculation!R130*0.69143*(Calculation!$BQ$8-Calculation!$F$8))*$S$14</f>
        <v>0</v>
      </c>
      <c r="DM130" s="359" t="e">
        <f t="shared" si="366"/>
        <v>#VALUE!</v>
      </c>
      <c r="DN130" s="611">
        <f t="shared" si="367"/>
        <v>0</v>
      </c>
      <c r="DO130" s="359">
        <f t="shared" si="368"/>
        <v>100</v>
      </c>
      <c r="DP130" s="359">
        <f t="shared" si="369"/>
        <v>0</v>
      </c>
      <c r="DQ130" s="360"/>
      <c r="DR130" s="245" t="e">
        <f ca="1">INDEX(INDIRECT(VLOOKUP(LEFT(BO130,7),CLU!$Z$3:$AH$18,7)),M130-1,1)</f>
        <v>#N/A</v>
      </c>
      <c r="DS130" s="245" t="e">
        <f ca="1">INDEX(INDIRECT(VLOOKUP(LEFT(BO130,7),CLU!$Z$3:$AH$18,7)),M130-1,2)</f>
        <v>#N/A</v>
      </c>
      <c r="DT130" s="245" t="e">
        <f ca="1">INDEX(INDIRECT(VLOOKUP(LEFT(BO130,7),CLU!$Z$3:$AH$18,7)),M130-1,3)</f>
        <v>#N/A</v>
      </c>
      <c r="DU130" s="245" t="e">
        <f ca="1">INDEX(INDIRECT(VLOOKUP(LEFT(BO130,7),CLU!$Z$3:$AH$18,7)),M130-1,4)</f>
        <v>#N/A</v>
      </c>
      <c r="DV130" s="361" t="e">
        <f ca="1">INDEX(INDIRECT(VLOOKUP(LEFT(BO130,7),CLU!$Z$3:$AH$18,7)),M130-1,4+LEFT(DZ130,1)*0.5)</f>
        <v>#N/A</v>
      </c>
      <c r="DW130" s="245" t="e">
        <f ca="1">INDEX(INDIRECT(VLOOKUP(LEFT(BO130,7),CLU!$Z$3:$AH$18,7)),M130-1,8)</f>
        <v>#N/A</v>
      </c>
      <c r="DX130" s="361" t="str">
        <f t="shared" si="262"/>
        <v xml:space="preserve"> </v>
      </c>
      <c r="DY130" s="361" t="str">
        <f t="shared" si="263"/>
        <v xml:space="preserve"> </v>
      </c>
      <c r="DZ130" s="361" t="str">
        <f t="shared" si="264"/>
        <v xml:space="preserve"> </v>
      </c>
      <c r="EA130" s="362" t="str">
        <f t="shared" si="265"/>
        <v xml:space="preserve"> </v>
      </c>
      <c r="EB130" s="624" t="str">
        <f t="shared" si="370"/>
        <v xml:space="preserve"> </v>
      </c>
      <c r="EC130" s="361" t="e">
        <f ca="1">INDEX(INDIRECT(VLOOKUP(LEFT(BO130,7),CLU!$Z$3:$AH$18,7)),M130-1,4+LEFT(DZ130,1)*0.5)</f>
        <v>#N/A</v>
      </c>
      <c r="ED130" s="362" t="str">
        <f t="shared" si="266"/>
        <v xml:space="preserve"> </v>
      </c>
      <c r="EE130" s="361" t="str">
        <f t="shared" si="267"/>
        <v xml:space="preserve"> </v>
      </c>
      <c r="EF130" s="362" t="str">
        <f>IF(L130&gt;0,IF(BR130&gt;0,IF(EE130="2P",IF(Calculation!DZ130="2P",IF(Calculation!DS130=13.75,IF(Calculation!DR130=13,Worksheet!$BD$43,IF(Calculation!DR130=37,Worksheet!$BD$44,Worksheet!$BD$45)),IF(Calculation!DS130=10,IF(Calculation!DR130=18,Worksheet!$BD$29,IF(Calculation!DR130=30,Worksheet!$BD$30,IF(Calculation!DR130=42,Worksheet!$BD$31,IF(Calculation!DR130=54,Worksheet!$BD$32,IF(Calculation!DR130=66,Worksheet!$BD$33,IF(Calculation!DR130=78,Worksheet!$BD$34,IF(Calculation!DR130=90,Worksheet!$BD$35,IF(Calculation!DR130=102,Worksheet!$BD$36,Worksheet!$BD$37)))))))),IF(Calculation!DS130=12.5,IF(Calculation!DR130=18,Worksheet!$BD$38,IF(Calculation!DR130=Worksheet!$BD$39,IF(Calculation!DR130=42,Worksheet!$BD$40,IF(Calculation!DR130=54,Worksheet!$BD$41,Worksheet!$BD$42)))),IF(Calculation!DR130=18,Worksheet!$BD$11,IF(Calculation!DR130=30,Worksheet!$BD$12,IF(Calculation!DR130=42,Worksheet!$BD$13,IF(Calculation!DR130=54,Worksheet!$BD$14,IF(Calculation!DR130=66,Worksheet!$BD$15,IF(Calculation!DR130=78,Worksheet!$BD$16,IF(Calculation!DR130=90,Worksheet!$BD$17,IF(Calculation!DR130=102,Worksheet!$BD$18,Worksheet!$BD$19))))))))))),IF(Calculation!DS130=13.75,IF(Calculation!DR130=13,Worksheet!$BD$78,IF(Calculation!DR130=37,Worksheet!$BD$79,Worksheet!$BD$80)),IF(Calculation!DS130=10,IF(Calculation!DR130=18,Worksheet!$BD$64,IF(Calculation!DR130=30,Worksheet!$BD$65,IF(Calculation!DR130=42,Worksheet!$BD$66,IF(Calculation!DR130=54,Worksheet!$BD$68,IF(Calculation!DR130=66,Worksheet!$BD$68,IF(Calculation!DR130=78,Worksheet!$BD$69,IF(Calculation!DR130=90,Worksheet!$BD$70,IF(Calculation!DR130=102,Worksheet!$BD$71,Worksheet!$BD$72)))))))),IF(Calculation!DS130=12.5,IF(Calculation!DR130=18,Worksheet!$BD$73,IF(Calculation!DR130=Worksheet!$BD$74,IF(Calculation!DR130=42,Worksheet!$BD$75,IF(Calculation!DR130=54,Worksheet!$BD$76,Worksheet!$BD$77)))),IF(Calculation!DR130=18,Worksheet!$BD$55,IF(Calculation!DR130=30,Worksheet!$BD$56,IF(Calculation!DR130=42,Worksheet!$BD$57,IF(Calculation!DR130=54,Worksheet!$BD$58,IF(Calculation!DR130=66,Worksheet!$BD$59,IF(Calculation!DR130=78,Worksheet!$BD$60,IF(Calculation!DR130=90,Worksheet!$BD$61,IF(Calculation!DR130=102,Worksheet!$BD$62,Worksheet!$BD$63)))))))))))),5),0)," ")</f>
        <v xml:space="preserve"> </v>
      </c>
      <c r="EG130" s="361" t="str">
        <f t="shared" si="268"/>
        <v xml:space="preserve"> </v>
      </c>
      <c r="EH130" s="361" t="e">
        <f ca="1">INDEX(INDIRECT(VLOOKUP(LEFT(BO130,7),CLU!$Z$3:$AH$18,7)),M130-1,3+LEFT(DZ130,1))</f>
        <v>#N/A</v>
      </c>
      <c r="EI130" s="362" t="str">
        <f t="shared" si="269"/>
        <v xml:space="preserve"> </v>
      </c>
      <c r="EJ130" s="363" t="str">
        <f t="shared" si="270"/>
        <v xml:space="preserve"> </v>
      </c>
      <c r="EK130" s="363" t="str">
        <f t="shared" si="271"/>
        <v xml:space="preserve"> </v>
      </c>
      <c r="EL130" s="363" t="str">
        <f t="shared" si="272"/>
        <v xml:space="preserve"> </v>
      </c>
      <c r="EM130" s="362" t="str">
        <f>IF(L130&gt;0,IF(BR130&gt;0,(Calculation!T130/ED130)^2,0)," ")</f>
        <v xml:space="preserve"> </v>
      </c>
      <c r="EN130" s="362" t="str">
        <f>IF(L130&gt;0,IF(O130="2 Pipe (Cooling)","N/A",IF(BR130&gt;0,(Calculation!U130/EI130)^2,0))," ")</f>
        <v xml:space="preserve"> </v>
      </c>
      <c r="EO130" s="361" t="str">
        <f t="shared" si="273"/>
        <v/>
      </c>
      <c r="EP130" s="361" t="str">
        <f t="shared" si="274"/>
        <v/>
      </c>
      <c r="EQ130" s="361" t="str">
        <f t="shared" si="275"/>
        <v/>
      </c>
      <c r="ER130" s="361" t="str">
        <f t="shared" si="276"/>
        <v/>
      </c>
      <c r="ES130" s="361" t="str">
        <f t="shared" si="277"/>
        <v/>
      </c>
      <c r="ET130" s="361" t="str">
        <f t="shared" si="278"/>
        <v/>
      </c>
      <c r="EU130" s="361" t="str">
        <f t="shared" si="279"/>
        <v/>
      </c>
      <c r="EV130" s="361" t="str">
        <f t="shared" si="280"/>
        <v/>
      </c>
      <c r="EW130" s="361" t="str">
        <f t="shared" si="281"/>
        <v/>
      </c>
      <c r="EX130" s="361" t="str">
        <f t="shared" si="371"/>
        <v>1 slot, 1 way</v>
      </c>
      <c r="EY130" s="361" t="str">
        <f t="shared" si="372"/>
        <v xml:space="preserve"> </v>
      </c>
      <c r="EZ130" s="361" t="str">
        <f t="shared" si="373"/>
        <v xml:space="preserve"> </v>
      </c>
      <c r="FA130" s="361" t="str">
        <f t="shared" si="374"/>
        <v xml:space="preserve"> </v>
      </c>
      <c r="FB130" s="361" t="str">
        <f t="shared" si="375"/>
        <v xml:space="preserve"> </v>
      </c>
      <c r="FC130" s="361"/>
      <c r="FD130" s="361" t="str">
        <f>IF(J130&gt;0,IF(Calculation!R130&lt;=70,4,IF(Calculation!R130&lt;=110,5,IF(Calculation!R130&lt;=160,6,IF(Calculation!R130&lt;=300,8,"10 EO")))),"")</f>
        <v/>
      </c>
      <c r="FE130" s="361" t="str">
        <f t="shared" si="376"/>
        <v/>
      </c>
      <c r="FF130" s="361" t="str">
        <f t="shared" si="377"/>
        <v/>
      </c>
      <c r="FG130" s="361" t="e">
        <f t="shared" si="282"/>
        <v>#N/A</v>
      </c>
      <c r="FH130" s="361">
        <f t="shared" si="283"/>
        <v>0</v>
      </c>
      <c r="FI130" s="361" t="e">
        <f t="shared" si="284"/>
        <v>#DIV/0!</v>
      </c>
      <c r="FJ130" s="361"/>
      <c r="FK130" s="356" t="e">
        <f t="shared" si="285"/>
        <v>#VALUE!</v>
      </c>
      <c r="FL130" s="361"/>
      <c r="FM130" s="361"/>
      <c r="FN130" s="362" t="str">
        <f t="shared" si="378"/>
        <v xml:space="preserve"> </v>
      </c>
      <c r="FO130" s="362" t="str">
        <f t="shared" si="379"/>
        <v xml:space="preserve"> </v>
      </c>
      <c r="FP130" s="362">
        <f t="shared" si="380"/>
        <v>0</v>
      </c>
      <c r="FQ130" s="361">
        <f t="shared" si="286"/>
        <v>0</v>
      </c>
      <c r="FR130" s="362" t="str">
        <f>IF(L130&gt;0,IF(J130="CBAL2",Worksheet!$P$67,IF(J130="CBE2-24",Worksheet!$Q$67,IF(J130="CBAM",Worksheet!$R$67,IF(J130="CBLV",Worksheet!$S$67,IF(J130="CBAB",Worksheet!$U$67,IF(J130="CBAW",Worksheet!$X$67,IF(J130="CBE2-12",Worksheet!$Y$67,IF(J130="CBAL2",Worksheet!$Z$67,"N/A"))))))))," ")</f>
        <v xml:space="preserve"> </v>
      </c>
      <c r="FS130" s="362" t="str">
        <f>IF(L130&gt;0,IF(J130="CBAL2",Worksheet!$P$68,IF(J130="CBE2-24",Worksheet!$Q$68,IF(J130="CBAM",Worksheet!$R$68,IF(J130="CBLV",Worksheet!$S$68,IF(J130="CBAB",Worksheet!$U$68,IF(J130="CBAW",Worksheet!$X$68,IF(J130="CBE2-12",Worksheet!$Y$68,IF(J130="CBAL2",Worksheet!$Z$68,"N/A"))))))))," ")</f>
        <v xml:space="preserve"> </v>
      </c>
      <c r="FT130" s="362" t="str">
        <f>IF(L130&gt;0,IF(J130="CBAL2",Worksheet!$P$69,IF(J130="CBE2-24",Worksheet!$Q$69,IF(J130="CBAM",Worksheet!$R$69,IF(J130="CBLV",Worksheet!$S$69,IF(J130="CBAB",Worksheet!$U$69,IF(J130="CBAW",Worksheet!$X$69,IF(J130="CBE2-12",Worksheet!$Y$69,IF(J130="CBAL2",Worksheet!$Z$69,"N/A"))))))))," ")</f>
        <v xml:space="preserve"> </v>
      </c>
      <c r="FU130" s="361" t="str">
        <f t="shared" si="381"/>
        <v xml:space="preserve"> </v>
      </c>
      <c r="FV130" s="362" t="str">
        <f t="shared" si="382"/>
        <v xml:space="preserve"> </v>
      </c>
      <c r="FW130" s="362" t="str">
        <f t="shared" si="383"/>
        <v xml:space="preserve"> </v>
      </c>
      <c r="FX130" s="362" t="str">
        <f t="shared" si="384"/>
        <v xml:space="preserve"> </v>
      </c>
      <c r="FY130" s="355" t="str">
        <f t="shared" si="385"/>
        <v xml:space="preserve"> </v>
      </c>
      <c r="FZ130" s="361" t="str">
        <f t="shared" si="386"/>
        <v xml:space="preserve"> </v>
      </c>
      <c r="GA130" s="347" t="str">
        <f t="shared" si="387"/>
        <v xml:space="preserve"> </v>
      </c>
      <c r="GB130" s="355" t="str">
        <f t="shared" si="388"/>
        <v xml:space="preserve"> </v>
      </c>
      <c r="GC130" s="328" t="str">
        <f t="shared" si="389"/>
        <v xml:space="preserve"> </v>
      </c>
      <c r="GD130" s="361" t="str">
        <f t="shared" si="390"/>
        <v xml:space="preserve"> </v>
      </c>
      <c r="GE130" s="347" t="str">
        <f t="shared" si="391"/>
        <v xml:space="preserve"> </v>
      </c>
      <c r="GF130" s="361" t="str">
        <f t="shared" si="392"/>
        <v xml:space="preserve"> </v>
      </c>
      <c r="GG130" s="347" t="str">
        <f t="shared" si="393"/>
        <v xml:space="preserve"> </v>
      </c>
      <c r="GH130" s="364">
        <f t="shared" si="287"/>
        <v>0</v>
      </c>
      <c r="GI130" s="362">
        <f t="shared" si="394"/>
        <v>2</v>
      </c>
      <c r="GJ130" s="433" t="e">
        <f>IF(6-COUNTBLANK(GT130:GY130)=4,MATCH(MID(BO130,9,3),CLU!$H$16:$K$16),MATCH(MID(BO130,9,3),CLU!$H$13:$M$13))</f>
        <v>#N/A</v>
      </c>
      <c r="GK130" s="433" t="e">
        <f>HLOOKUP(VALUE(BP130),CLU!$H$9:$M$10,2)</f>
        <v>#VALUE!</v>
      </c>
      <c r="GL130" s="433" t="e">
        <f ca="1">MATCH(BU130,CLU!$H$2:$V$2,1)</f>
        <v>#VALUE!</v>
      </c>
      <c r="GM130" s="433" t="e">
        <f t="shared" ca="1" si="395"/>
        <v>#VALUE!</v>
      </c>
      <c r="GN130" s="433" t="e">
        <f t="shared" ca="1" si="396"/>
        <v>#VALUE!</v>
      </c>
      <c r="GO130" s="433" t="e">
        <f t="shared" ca="1" si="397"/>
        <v>#VALUE!</v>
      </c>
      <c r="GP130" s="433" t="e">
        <f t="shared" ca="1" si="398"/>
        <v>#VALUE!</v>
      </c>
      <c r="GQ130" s="433" t="e">
        <f t="shared" ca="1" si="399"/>
        <v>#VALUE!</v>
      </c>
      <c r="GR130" s="433" t="e">
        <f ca="1">MATCH(T130,INDIRECT(VLOOKUP(CONCATENATE(LEFT(BO130,7),"-",MID(BO130,13,1)),CLU!$P$3:$Q$16,2)),1)</f>
        <v>#N/A</v>
      </c>
      <c r="GS130" s="433" t="e">
        <f ca="1">MATCH(U130,INDIRECT(VLOOKUP(CONCATENATE(LEFT(BO130,7),"-",MID(BO130,13,1)),CLU!$P$3:$Q$16,2)),1)</f>
        <v>#N/A</v>
      </c>
      <c r="GT130" s="347" t="s">
        <v>512</v>
      </c>
      <c r="GU130" s="97" t="s">
        <v>513</v>
      </c>
      <c r="GV130" s="97" t="str">
        <f t="shared" si="400"/>
        <v>M23</v>
      </c>
      <c r="GW130" s="97" t="str">
        <f t="shared" si="401"/>
        <v>M31</v>
      </c>
      <c r="GX130" s="97" t="str">
        <f t="shared" si="402"/>
        <v/>
      </c>
      <c r="GY130" s="97" t="str">
        <f t="shared" si="403"/>
        <v/>
      </c>
      <c r="GZ130" s="481"/>
      <c r="HA130" s="288"/>
      <c r="HB130" s="240"/>
      <c r="HC130" s="240"/>
      <c r="HD130" s="240"/>
      <c r="HE130" s="240"/>
      <c r="HF130" s="240"/>
      <c r="HG130" s="240"/>
      <c r="HH130" s="240"/>
      <c r="HI130" s="240"/>
      <c r="HJ130" s="240"/>
      <c r="HK130" s="240"/>
      <c r="HL130" s="240"/>
      <c r="HM130" s="240"/>
      <c r="HN130" s="240"/>
      <c r="HO130" s="240"/>
      <c r="HP130" s="240"/>
      <c r="HQ130" s="240"/>
      <c r="HR130" s="240"/>
      <c r="HS130" s="240"/>
      <c r="HT130" s="240"/>
      <c r="HU130" s="240"/>
      <c r="HV130" s="245"/>
      <c r="HW130" s="245" t="b">
        <v>1</v>
      </c>
      <c r="HX130" s="245" t="str">
        <f t="shared" si="288"/>
        <v/>
      </c>
      <c r="HY130" s="245" t="e">
        <f t="shared" si="289"/>
        <v>#DIV/0!</v>
      </c>
      <c r="HZ130" s="245" t="e">
        <f t="shared" si="290"/>
        <v>#DIV/0!</v>
      </c>
      <c r="IA130" s="245">
        <f t="shared" si="291"/>
        <v>0</v>
      </c>
      <c r="IB130" s="245"/>
      <c r="IC130" t="b">
        <f t="shared" si="292"/>
        <v>1</v>
      </c>
      <c r="ID130" s="245" t="b">
        <f t="shared" si="293"/>
        <v>1</v>
      </c>
      <c r="IE130" s="245" t="b">
        <f t="shared" si="294"/>
        <v>1</v>
      </c>
      <c r="IF130" s="245" t="b">
        <f t="shared" si="295"/>
        <v>0</v>
      </c>
      <c r="IG130" s="245" t="b">
        <f t="shared" si="296"/>
        <v>1</v>
      </c>
      <c r="IH130" s="245" t="b">
        <f t="shared" si="297"/>
        <v>1</v>
      </c>
      <c r="II130" s="245">
        <f t="shared" si="404"/>
        <v>0</v>
      </c>
      <c r="IJ130" s="245" t="e">
        <f t="shared" si="298"/>
        <v>#VALUE!</v>
      </c>
      <c r="IK130" s="245" t="e">
        <f t="shared" si="299"/>
        <v>#VALUE!</v>
      </c>
      <c r="IL130" s="245"/>
      <c r="IM130" s="245" t="e">
        <f t="shared" si="405"/>
        <v>#N/A</v>
      </c>
      <c r="IN130" s="245" t="e">
        <f t="shared" si="406"/>
        <v>#N/A</v>
      </c>
      <c r="IO130" s="245"/>
      <c r="IP130" s="245"/>
      <c r="IQ130" s="245" t="str">
        <f t="shared" si="300"/>
        <v/>
      </c>
      <c r="IR130" s="245" t="str">
        <f>IF(J130="","",VLOOKUP(J130,Worksheet!$R$4:$T$14,2))</f>
        <v/>
      </c>
      <c r="IS130" s="245"/>
      <c r="IT130" s="245">
        <f t="shared" si="301"/>
        <v>0</v>
      </c>
      <c r="IU130" s="245">
        <f t="shared" si="302"/>
        <v>0</v>
      </c>
      <c r="IV130" s="245">
        <f t="shared" si="303"/>
        <v>0</v>
      </c>
      <c r="IW130" s="245">
        <f t="shared" si="304"/>
        <v>0</v>
      </c>
      <c r="IX130" s="245">
        <f t="shared" si="407"/>
        <v>0</v>
      </c>
      <c r="IY130" s="245">
        <f t="shared" si="305"/>
        <v>0</v>
      </c>
      <c r="IZ130" s="245">
        <f t="shared" si="306"/>
        <v>0</v>
      </c>
      <c r="JA130">
        <f t="shared" si="307"/>
        <v>0</v>
      </c>
      <c r="JB130">
        <f t="shared" si="408"/>
        <v>0</v>
      </c>
      <c r="JC130">
        <f t="shared" si="308"/>
        <v>0</v>
      </c>
      <c r="JD130">
        <f t="shared" si="309"/>
        <v>0</v>
      </c>
      <c r="JE130">
        <f t="shared" si="310"/>
        <v>0</v>
      </c>
      <c r="JF130">
        <f t="shared" si="311"/>
        <v>0</v>
      </c>
      <c r="JG130">
        <f t="shared" si="312"/>
        <v>0</v>
      </c>
      <c r="JH130">
        <f t="shared" si="313"/>
        <v>0</v>
      </c>
      <c r="JI130">
        <f t="shared" si="314"/>
        <v>0</v>
      </c>
      <c r="JJ130" s="447">
        <f t="shared" si="315"/>
        <v>0</v>
      </c>
      <c r="JK130" s="447">
        <f t="shared" si="316"/>
        <v>0</v>
      </c>
      <c r="JL130">
        <f t="shared" si="317"/>
        <v>0</v>
      </c>
      <c r="JM130" s="245" t="str">
        <f>IFERROR(VLOOKUP(MATCH(BN130,#REF!,0),#REF!,7),"")</f>
        <v/>
      </c>
      <c r="JN130" t="e">
        <f>HLOOKUP(LEFT(BO130,7),Discharge_Area,MATCH(JO130,LookUps!$B$130:$B$149,1)+2)</f>
        <v>#N/A</v>
      </c>
      <c r="JO130" t="str">
        <f t="shared" si="318"/>
        <v>- S</v>
      </c>
      <c r="JP130" t="e">
        <f>HLOOKUP(LEFT(BO130,7),Discharge_Area,MATCH(JO130,LookUps!$B$130:$B$149,1)+2)</f>
        <v>#N/A</v>
      </c>
      <c r="JQ130" t="e">
        <f t="shared" si="319"/>
        <v>#N/A</v>
      </c>
      <c r="JR130" t="e">
        <f t="shared" si="320"/>
        <v>#N/A</v>
      </c>
      <c r="JS130" t="e">
        <f t="shared" si="321"/>
        <v>#N/A</v>
      </c>
      <c r="JT130" s="532" t="str">
        <f t="shared" si="322"/>
        <v xml:space="preserve"> </v>
      </c>
      <c r="JU130" s="532" t="str">
        <f t="shared" si="323"/>
        <v xml:space="preserve"> </v>
      </c>
      <c r="JV130" s="533" t="str">
        <f t="shared" si="324"/>
        <v xml:space="preserve"> </v>
      </c>
      <c r="JW130" s="534">
        <f t="shared" si="325"/>
        <v>0</v>
      </c>
      <c r="JX130" s="535" t="str">
        <f t="shared" si="409"/>
        <v xml:space="preserve"> </v>
      </c>
      <c r="JY130" s="535" t="str">
        <f t="shared" si="410"/>
        <v xml:space="preserve"> </v>
      </c>
      <c r="JZ130" s="535" t="str">
        <f t="shared" si="411"/>
        <v xml:space="preserve"> </v>
      </c>
      <c r="KA130" s="536" t="str">
        <f t="shared" si="326"/>
        <v xml:space="preserve"> </v>
      </c>
      <c r="KB130" s="535" t="e">
        <f t="shared" si="412"/>
        <v>#VALUE!</v>
      </c>
      <c r="KC130" s="535" t="str">
        <f t="shared" si="327"/>
        <v/>
      </c>
      <c r="KD130" s="537" t="str">
        <f t="shared" si="413"/>
        <v xml:space="preserve"> </v>
      </c>
      <c r="KE130" s="537" t="str">
        <f t="shared" si="414"/>
        <v xml:space="preserve"> </v>
      </c>
      <c r="KF130" s="534">
        <f t="shared" si="328"/>
        <v>0</v>
      </c>
      <c r="KG130" s="535" t="str">
        <f t="shared" si="329"/>
        <v xml:space="preserve"> </v>
      </c>
      <c r="KH130" s="535" t="str">
        <f t="shared" si="330"/>
        <v xml:space="preserve"> </v>
      </c>
      <c r="KI130" s="535" t="str">
        <f t="shared" si="331"/>
        <v xml:space="preserve"> </v>
      </c>
      <c r="KJ130" s="536" t="str">
        <f t="shared" si="332"/>
        <v xml:space="preserve"> </v>
      </c>
      <c r="KK130" s="535" t="str">
        <f t="shared" si="415"/>
        <v xml:space="preserve"> </v>
      </c>
      <c r="KL130" s="535" t="str">
        <f t="shared" si="416"/>
        <v xml:space="preserve"> </v>
      </c>
      <c r="KM130" s="537" t="str">
        <f t="shared" si="333"/>
        <v xml:space="preserve"> </v>
      </c>
      <c r="KN130" s="537" t="str">
        <f t="shared" si="417"/>
        <v xml:space="preserve"> </v>
      </c>
      <c r="KP130">
        <f t="shared" si="334"/>
        <v>0</v>
      </c>
      <c r="LA130" t="e">
        <f t="shared" si="335"/>
        <v>#VALUE!</v>
      </c>
      <c r="LB130" t="e">
        <f t="shared" si="336"/>
        <v>#VALUE!</v>
      </c>
      <c r="LC130" t="e">
        <f t="shared" si="337"/>
        <v>#VALUE!</v>
      </c>
      <c r="LD130" t="e">
        <f t="shared" si="338"/>
        <v>#VALUE!</v>
      </c>
      <c r="LE130" t="e">
        <f t="shared" si="418"/>
        <v>#VALUE!</v>
      </c>
      <c r="LF130">
        <f t="shared" si="339"/>
        <v>0</v>
      </c>
      <c r="LG130" t="e">
        <f t="shared" si="419"/>
        <v>#VALUE!</v>
      </c>
      <c r="LH130" t="str">
        <f t="shared" si="340"/>
        <v xml:space="preserve"> </v>
      </c>
      <c r="LI130">
        <f t="shared" si="420"/>
        <v>1</v>
      </c>
    </row>
    <row r="131" spans="2:321" ht="15" customHeight="1">
      <c r="B131" s="311"/>
      <c r="C131" s="311"/>
      <c r="D131" s="312"/>
      <c r="E131" s="311"/>
      <c r="F131" s="312"/>
      <c r="G131" s="311"/>
      <c r="H131" s="311"/>
      <c r="I131" s="37"/>
      <c r="J131" s="311"/>
      <c r="K131" s="305" t="str">
        <f t="shared" si="341"/>
        <v/>
      </c>
      <c r="L131" s="313"/>
      <c r="M131" s="312"/>
      <c r="N131" s="311"/>
      <c r="O131" s="312"/>
      <c r="P131" s="311"/>
      <c r="Q131" s="305" t="str">
        <f t="shared" si="342"/>
        <v/>
      </c>
      <c r="R131" s="314"/>
      <c r="S131" s="450" t="str">
        <f t="shared" si="225"/>
        <v/>
      </c>
      <c r="T131" s="315"/>
      <c r="U131" s="315"/>
      <c r="W131" s="149" t="str">
        <f t="shared" si="226"/>
        <v xml:space="preserve"> </v>
      </c>
      <c r="X131" s="243" t="str">
        <f t="shared" si="227"/>
        <v xml:space="preserve"> </v>
      </c>
      <c r="Y131" s="150" t="str">
        <f t="shared" si="228"/>
        <v/>
      </c>
      <c r="Z131" s="149" t="str">
        <f t="shared" si="229"/>
        <v xml:space="preserve"> </v>
      </c>
      <c r="AA131" s="98" t="str">
        <f t="shared" si="230"/>
        <v xml:space="preserve"> </v>
      </c>
      <c r="AB131" s="153" t="str">
        <f t="shared" si="231"/>
        <v xml:space="preserve"> </v>
      </c>
      <c r="AC131" s="153" t="str">
        <f t="shared" si="232"/>
        <v xml:space="preserve"> </v>
      </c>
      <c r="AD131" s="148" t="str">
        <f t="shared" si="233"/>
        <v/>
      </c>
      <c r="AE131" s="149" t="str">
        <f t="shared" si="234"/>
        <v/>
      </c>
      <c r="AF131" s="151" t="str">
        <f t="shared" si="235"/>
        <v xml:space="preserve"> </v>
      </c>
      <c r="AG131" s="153" t="str">
        <f t="shared" si="236"/>
        <v xml:space="preserve"> </v>
      </c>
      <c r="AH131" s="98" t="str">
        <f t="shared" si="237"/>
        <v xml:space="preserve"> </v>
      </c>
      <c r="AI131" s="149" t="str">
        <f t="shared" si="238"/>
        <v xml:space="preserve"> </v>
      </c>
      <c r="AK131" s="144" t="str">
        <f t="shared" si="239"/>
        <v xml:space="preserve"> </v>
      </c>
      <c r="AL131" s="144"/>
      <c r="AM131" s="243" t="str">
        <f t="shared" si="240"/>
        <v xml:space="preserve"> </v>
      </c>
      <c r="AN131" s="149" t="str">
        <f t="shared" si="343"/>
        <v xml:space="preserve"> </v>
      </c>
      <c r="AO131" s="144" t="str">
        <f>IF(JB131&gt;0,IF(GI131=10,-R131*1.085*(Calculation!$F$6-Calculation!$F$13)*$S$14," "),"")</f>
        <v/>
      </c>
      <c r="AP131" s="144" t="str">
        <f t="shared" si="241"/>
        <v/>
      </c>
      <c r="AQ131" s="56" t="str">
        <f t="shared" si="242"/>
        <v/>
      </c>
      <c r="AR131" s="144" t="str">
        <f t="shared" si="243"/>
        <v/>
      </c>
      <c r="AS131" s="176" t="str">
        <f t="shared" si="244"/>
        <v/>
      </c>
      <c r="AT131" s="176" t="str">
        <f t="shared" si="344"/>
        <v xml:space="preserve"> </v>
      </c>
      <c r="AU131" s="176" t="str">
        <f t="shared" si="245"/>
        <v/>
      </c>
      <c r="AV131" s="177" t="str">
        <f t="shared" si="246"/>
        <v xml:space="preserve"> </v>
      </c>
      <c r="AW131" s="144" t="str">
        <f t="shared" si="247"/>
        <v xml:space="preserve"> </v>
      </c>
      <c r="AX131" s="144" t="str">
        <f t="shared" si="248"/>
        <v xml:space="preserve"> </v>
      </c>
      <c r="AY131" s="152" t="str">
        <f t="shared" si="249"/>
        <v xml:space="preserve"> </v>
      </c>
      <c r="AZ131" s="246" t="str">
        <f t="shared" si="250"/>
        <v/>
      </c>
      <c r="BA131" s="176" t="str">
        <f t="shared" si="251"/>
        <v xml:space="preserve"> </v>
      </c>
      <c r="BB131" s="176" t="str">
        <f t="shared" si="252"/>
        <v xml:space="preserve"> </v>
      </c>
      <c r="BC131" s="195"/>
      <c r="BD131" s="316"/>
      <c r="BE131" s="317"/>
      <c r="BF131" s="318"/>
      <c r="BG131" s="318"/>
      <c r="BH131" s="144" t="str">
        <f t="shared" si="421"/>
        <v xml:space="preserve"> </v>
      </c>
      <c r="BI131" s="176" t="str">
        <f t="shared" si="253"/>
        <v/>
      </c>
      <c r="BJ131" s="144" t="str">
        <f t="shared" si="422"/>
        <v/>
      </c>
      <c r="BK131" s="246" t="str">
        <f t="shared" si="254"/>
        <v/>
      </c>
      <c r="BL131" s="144" t="str">
        <f t="shared" si="423"/>
        <v/>
      </c>
      <c r="BM131" s="246" t="str">
        <f t="shared" si="255"/>
        <v/>
      </c>
      <c r="BN131" s="337" t="str">
        <f t="shared" si="345"/>
        <v/>
      </c>
      <c r="BO131" s="371" t="str">
        <f t="shared" si="346"/>
        <v/>
      </c>
      <c r="BP131" s="328" t="str">
        <f t="shared" si="424"/>
        <v xml:space="preserve"> </v>
      </c>
      <c r="BQ131" s="347" t="str">
        <f t="shared" si="347"/>
        <v xml:space="preserve"> </v>
      </c>
      <c r="BR131" s="353" t="str">
        <f t="shared" si="348"/>
        <v xml:space="preserve"> </v>
      </c>
      <c r="BS131" s="626" t="str">
        <f>IF(L131&gt;0,IF(Calculation!P131="M13",BR131*3.1416*(0.134^2)/(4*144),IF(Calculation!P131="M17",BR131*3.1416*(0.165^2)/(4*144),IF(Calculation!P131="M20",BR131*3.1416*(0.198^2)/(4*144),IF(Calculation!P131="M23",BR131*3.1416*(0.228^2)/(4*144),IF(Calculation!P131="M27",BR131*3.1416*(0.269^2)/(4*144),BR131*3.1416*(0.307^2)/(4*144))))))," ")</f>
        <v xml:space="preserve"> </v>
      </c>
      <c r="BT131" s="353" t="str">
        <f>IF(L131&gt;0,IF(BS131&gt;0,R131/Calculation!BS131,0)," ")</f>
        <v xml:space="preserve"> </v>
      </c>
      <c r="BU131" s="438" t="e">
        <f t="shared" ca="1" si="256"/>
        <v>#VALUE!</v>
      </c>
      <c r="BV131" s="449" t="e">
        <f ca="1">INDEX(INDIRECT(VLOOKUP(LEFT(BO131,7),CLU!$Z$3:$AH$18,2)),GN131,GR131)</f>
        <v>#N/A</v>
      </c>
      <c r="BW131" s="433" t="e">
        <f ca="1">INDEX(INDIRECT(VLOOKUP(LEFT(BO131,7),CLU!$Z$3:$AH$18,3)),GN131,GR131)</f>
        <v>#N/A</v>
      </c>
      <c r="BX131" s="433" t="e">
        <f ca="1">INDEX(INDIRECT(VLOOKUP(LEFT(BO131,7),CLU!$Z$3:$AH$18,4)),GN131,GR131)</f>
        <v>#N/A</v>
      </c>
      <c r="BY131" s="433" t="e">
        <f ca="1">INDEX(INDIRECT(VLOOKUP(LEFT(BO131,7),CLU!$Z$3:$AH$18,9)),((M131-2)*(6-COUNTBLANK(GT131:GY131)))+GJ131)</f>
        <v>#N/A</v>
      </c>
      <c r="BZ131" s="426" t="e">
        <f t="shared" ca="1" si="349"/>
        <v>#N/A</v>
      </c>
      <c r="CA131" s="424" t="e">
        <f t="shared" ca="1" si="350"/>
        <v>#N/A</v>
      </c>
      <c r="CB131" s="429" t="e">
        <f ca="1">INDEX(INDIRECT(VLOOKUP(LEFT(BO131,7),CLU!$Z$3:$AH$18,2)),GN131,GS131)</f>
        <v>#N/A</v>
      </c>
      <c r="CC131" s="342" t="e">
        <f ca="1">INDEX(INDIRECT(VLOOKUP(LEFT(BO131,7),CLU!$Z$3:$AH$18,3)),GN131,GS131)</f>
        <v>#N/A</v>
      </c>
      <c r="CD131" s="342" t="e">
        <f ca="1">INDEX(INDIRECT(VLOOKUP(LEFT(BO131,7),CLU!$Z$3:$AH$18,4)),GN131,GS131)</f>
        <v>#N/A</v>
      </c>
      <c r="CE131" s="426" t="e">
        <f t="shared" ca="1" si="351"/>
        <v>#N/A</v>
      </c>
      <c r="CF131" s="440">
        <f t="shared" si="352"/>
        <v>0</v>
      </c>
      <c r="CG131" s="431" t="e">
        <f ca="1">INDEX(INDIRECT(VLOOKUP(LEFT(BO131,7),CLU!$Z$3:$AH$18,2)),GQ131,GR131)</f>
        <v>#N/A</v>
      </c>
      <c r="CH131" s="431" t="e">
        <f ca="1">INDEX(INDIRECT(VLOOKUP(LEFT(BO131,7),CLU!$Z$3:$AH$18,3)),GQ131,GR131)</f>
        <v>#N/A</v>
      </c>
      <c r="CI131" s="431" t="e">
        <f ca="1">INDEX(INDIRECT(VLOOKUP(LEFT(BO131,7),CLU!$Z$3:$AH$18,4)),GQ131,GR131)</f>
        <v>#N/A</v>
      </c>
      <c r="CJ131" s="448" t="e">
        <f t="shared" ca="1" si="353"/>
        <v>#N/A</v>
      </c>
      <c r="CK131" s="431" t="e">
        <f t="shared" ca="1" si="354"/>
        <v>#N/A</v>
      </c>
      <c r="CL131" s="440" t="e">
        <f t="shared" ca="1" si="355"/>
        <v>#N/A</v>
      </c>
      <c r="CM131" s="431" t="e">
        <f ca="1">INDEX(INDIRECT(VLOOKUP(LEFT(BO131,7),CLU!$Z$3:$AH$18,2)),GQ131,GS131)</f>
        <v>#N/A</v>
      </c>
      <c r="CN131" s="431" t="e">
        <f ca="1">INDEX(INDIRECT(VLOOKUP(LEFT(BO131,7),CLU!$Z$3:$AH$18,3)),GQ131,GS131)</f>
        <v>#N/A</v>
      </c>
      <c r="CO131" s="431" t="e">
        <f ca="1">INDEX(INDIRECT(VLOOKUP(LEFT(BO131,7),CLU!$Z$3:$AH$18,4)),GQ131,GS131)</f>
        <v>#N/A</v>
      </c>
      <c r="CP131" s="431" t="e">
        <f t="shared" ca="1" si="356"/>
        <v>#N/A</v>
      </c>
      <c r="CQ131" s="440">
        <f t="shared" si="357"/>
        <v>0</v>
      </c>
      <c r="CR131" s="51" t="e">
        <f t="shared" ca="1" si="358"/>
        <v>#N/A</v>
      </c>
      <c r="CS131" s="439" t="e">
        <f t="shared" ca="1" si="359"/>
        <v>#VALUE!</v>
      </c>
      <c r="CT131" s="51" t="e">
        <f t="shared" ca="1" si="360"/>
        <v>#VALUE!</v>
      </c>
      <c r="CU131" s="10"/>
      <c r="CV131" s="51" t="e">
        <f t="shared" ca="1" si="257"/>
        <v>#VALUE!</v>
      </c>
      <c r="CW131" s="51">
        <f t="shared" si="361"/>
        <v>0</v>
      </c>
      <c r="CX131" s="439" t="e">
        <f t="shared" ca="1" si="362"/>
        <v>#VALUE!</v>
      </c>
      <c r="CY131" s="51" t="e">
        <f t="shared" ca="1" si="363"/>
        <v>#VALUE!</v>
      </c>
      <c r="CZ131" s="10"/>
      <c r="DA131" s="51" t="e">
        <f t="shared" ca="1" si="364"/>
        <v>#VALUE!</v>
      </c>
      <c r="DB131" s="347" t="e">
        <f ca="1">INDEX(INDIRECT(VLOOKUP(LEFT(BO131,7),CLU!$Z$3:$AI$18,10)),((M131-2)*(6-COUNTBLANK(GT131:GY131)))+GJ131)*LI131</f>
        <v>#N/A</v>
      </c>
      <c r="DC131" s="347" t="str">
        <f>IF(L131&gt;0,((R131/Worksheet!$I$15)/DB131)^2," ")</f>
        <v xml:space="preserve"> </v>
      </c>
      <c r="DD131" s="602" t="str">
        <f t="shared" si="365"/>
        <v xml:space="preserve"> </v>
      </c>
      <c r="DE131" s="347" t="str">
        <f t="shared" si="258"/>
        <v xml:space="preserve"> </v>
      </c>
      <c r="DF131" s="356" t="e">
        <f ca="1">INDEX(INDIRECT(VLOOKUP(LEFT(BO131,7),CLU!$Z$3:$AH$18,8)),((M131-2)*(6-COUNTBLANK(GT131:GY131)))+GJ131)</f>
        <v>#N/A</v>
      </c>
      <c r="DG131" s="347" t="str">
        <f t="shared" si="259"/>
        <v xml:space="preserve"> </v>
      </c>
      <c r="DH131" s="357" t="str">
        <f t="shared" si="260"/>
        <v xml:space="preserve"> </v>
      </c>
      <c r="DI131" s="355" t="str">
        <f t="shared" si="261"/>
        <v xml:space="preserve"> </v>
      </c>
      <c r="DJ131" s="245" t="e">
        <f ca="1">INDEX(INDIRECT(VLOOKUP(LEFT(BO131,7),CLU!$Z$3:$AH$18,5)),GL131,GK131)</f>
        <v>#N/A</v>
      </c>
      <c r="DK131" s="245" t="e">
        <f ca="1">INDEX(INDIRECT(VLOOKUP(LEFT(BO131,7),CLU!$Z$3:$AH$18,6)),GL131,GK131)</f>
        <v>#N/A</v>
      </c>
      <c r="DL131" s="355">
        <f>(Calculation!R131*0.69143*(Calculation!$BQ$8-Calculation!$F$8))*$S$14</f>
        <v>0</v>
      </c>
      <c r="DM131" s="359" t="e">
        <f t="shared" si="366"/>
        <v>#VALUE!</v>
      </c>
      <c r="DN131" s="611">
        <f t="shared" si="367"/>
        <v>0</v>
      </c>
      <c r="DO131" s="359">
        <f t="shared" si="368"/>
        <v>100</v>
      </c>
      <c r="DP131" s="359">
        <f t="shared" si="369"/>
        <v>0</v>
      </c>
      <c r="DQ131" s="360"/>
      <c r="DR131" s="245" t="e">
        <f ca="1">INDEX(INDIRECT(VLOOKUP(LEFT(BO131,7),CLU!$Z$3:$AH$18,7)),M131-1,1)</f>
        <v>#N/A</v>
      </c>
      <c r="DS131" s="245" t="e">
        <f ca="1">INDEX(INDIRECT(VLOOKUP(LEFT(BO131,7),CLU!$Z$3:$AH$18,7)),M131-1,2)</f>
        <v>#N/A</v>
      </c>
      <c r="DT131" s="245" t="e">
        <f ca="1">INDEX(INDIRECT(VLOOKUP(LEFT(BO131,7),CLU!$Z$3:$AH$18,7)),M131-1,3)</f>
        <v>#N/A</v>
      </c>
      <c r="DU131" s="245" t="e">
        <f ca="1">INDEX(INDIRECT(VLOOKUP(LEFT(BO131,7),CLU!$Z$3:$AH$18,7)),M131-1,4)</f>
        <v>#N/A</v>
      </c>
      <c r="DV131" s="361" t="e">
        <f ca="1">INDEX(INDIRECT(VLOOKUP(LEFT(BO131,7),CLU!$Z$3:$AH$18,7)),M131-1,4+LEFT(DZ131,1)*0.5)</f>
        <v>#N/A</v>
      </c>
      <c r="DW131" s="245" t="e">
        <f ca="1">INDEX(INDIRECT(VLOOKUP(LEFT(BO131,7),CLU!$Z$3:$AH$18,7)),M131-1,8)</f>
        <v>#N/A</v>
      </c>
      <c r="DX131" s="361" t="str">
        <f t="shared" si="262"/>
        <v xml:space="preserve"> </v>
      </c>
      <c r="DY131" s="361" t="str">
        <f t="shared" si="263"/>
        <v xml:space="preserve"> </v>
      </c>
      <c r="DZ131" s="361" t="str">
        <f t="shared" si="264"/>
        <v xml:space="preserve"> </v>
      </c>
      <c r="EA131" s="362" t="str">
        <f t="shared" si="265"/>
        <v xml:space="preserve"> </v>
      </c>
      <c r="EB131" s="624" t="str">
        <f t="shared" si="370"/>
        <v xml:space="preserve"> </v>
      </c>
      <c r="EC131" s="361" t="e">
        <f ca="1">INDEX(INDIRECT(VLOOKUP(LEFT(BO131,7),CLU!$Z$3:$AH$18,7)),M131-1,4+LEFT(DZ131,1)*0.5)</f>
        <v>#N/A</v>
      </c>
      <c r="ED131" s="362" t="str">
        <f t="shared" si="266"/>
        <v xml:space="preserve"> </v>
      </c>
      <c r="EE131" s="361" t="str">
        <f t="shared" si="267"/>
        <v xml:space="preserve"> </v>
      </c>
      <c r="EF131" s="362" t="str">
        <f>IF(L131&gt;0,IF(BR131&gt;0,IF(EE131="2P",IF(Calculation!DZ131="2P",IF(Calculation!DS131=13.75,IF(Calculation!DR131=13,Worksheet!$BD$43,IF(Calculation!DR131=37,Worksheet!$BD$44,Worksheet!$BD$45)),IF(Calculation!DS131=10,IF(Calculation!DR131=18,Worksheet!$BD$29,IF(Calculation!DR131=30,Worksheet!$BD$30,IF(Calculation!DR131=42,Worksheet!$BD$31,IF(Calculation!DR131=54,Worksheet!$BD$32,IF(Calculation!DR131=66,Worksheet!$BD$33,IF(Calculation!DR131=78,Worksheet!$BD$34,IF(Calculation!DR131=90,Worksheet!$BD$35,IF(Calculation!DR131=102,Worksheet!$BD$36,Worksheet!$BD$37)))))))),IF(Calculation!DS131=12.5,IF(Calculation!DR131=18,Worksheet!$BD$38,IF(Calculation!DR131=Worksheet!$BD$39,IF(Calculation!DR131=42,Worksheet!$BD$40,IF(Calculation!DR131=54,Worksheet!$BD$41,Worksheet!$BD$42)))),IF(Calculation!DR131=18,Worksheet!$BD$11,IF(Calculation!DR131=30,Worksheet!$BD$12,IF(Calculation!DR131=42,Worksheet!$BD$13,IF(Calculation!DR131=54,Worksheet!$BD$14,IF(Calculation!DR131=66,Worksheet!$BD$15,IF(Calculation!DR131=78,Worksheet!$BD$16,IF(Calculation!DR131=90,Worksheet!$BD$17,IF(Calculation!DR131=102,Worksheet!$BD$18,Worksheet!$BD$19))))))))))),IF(Calculation!DS131=13.75,IF(Calculation!DR131=13,Worksheet!$BD$78,IF(Calculation!DR131=37,Worksheet!$BD$79,Worksheet!$BD$80)),IF(Calculation!DS131=10,IF(Calculation!DR131=18,Worksheet!$BD$64,IF(Calculation!DR131=30,Worksheet!$BD$65,IF(Calculation!DR131=42,Worksheet!$BD$66,IF(Calculation!DR131=54,Worksheet!$BD$68,IF(Calculation!DR131=66,Worksheet!$BD$68,IF(Calculation!DR131=78,Worksheet!$BD$69,IF(Calculation!DR131=90,Worksheet!$BD$70,IF(Calculation!DR131=102,Worksheet!$BD$71,Worksheet!$BD$72)))))))),IF(Calculation!DS131=12.5,IF(Calculation!DR131=18,Worksheet!$BD$73,IF(Calculation!DR131=Worksheet!$BD$74,IF(Calculation!DR131=42,Worksheet!$BD$75,IF(Calculation!DR131=54,Worksheet!$BD$76,Worksheet!$BD$77)))),IF(Calculation!DR131=18,Worksheet!$BD$55,IF(Calculation!DR131=30,Worksheet!$BD$56,IF(Calculation!DR131=42,Worksheet!$BD$57,IF(Calculation!DR131=54,Worksheet!$BD$58,IF(Calculation!DR131=66,Worksheet!$BD$59,IF(Calculation!DR131=78,Worksheet!$BD$60,IF(Calculation!DR131=90,Worksheet!$BD$61,IF(Calculation!DR131=102,Worksheet!$BD$62,Worksheet!$BD$63)))))))))))),5),0)," ")</f>
        <v xml:space="preserve"> </v>
      </c>
      <c r="EG131" s="361" t="str">
        <f t="shared" si="268"/>
        <v xml:space="preserve"> </v>
      </c>
      <c r="EH131" s="361" t="e">
        <f ca="1">INDEX(INDIRECT(VLOOKUP(LEFT(BO131,7),CLU!$Z$3:$AH$18,7)),M131-1,3+LEFT(DZ131,1))</f>
        <v>#N/A</v>
      </c>
      <c r="EI131" s="362" t="str">
        <f t="shared" si="269"/>
        <v xml:space="preserve"> </v>
      </c>
      <c r="EJ131" s="363" t="str">
        <f t="shared" si="270"/>
        <v xml:space="preserve"> </v>
      </c>
      <c r="EK131" s="363" t="str">
        <f t="shared" si="271"/>
        <v xml:space="preserve"> </v>
      </c>
      <c r="EL131" s="363" t="str">
        <f t="shared" si="272"/>
        <v xml:space="preserve"> </v>
      </c>
      <c r="EM131" s="362" t="str">
        <f>IF(L131&gt;0,IF(BR131&gt;0,(Calculation!T131/ED131)^2,0)," ")</f>
        <v xml:space="preserve"> </v>
      </c>
      <c r="EN131" s="362" t="str">
        <f>IF(L131&gt;0,IF(O131="2 Pipe (Cooling)","N/A",IF(BR131&gt;0,(Calculation!U131/EI131)^2,0))," ")</f>
        <v xml:space="preserve"> </v>
      </c>
      <c r="EO131" s="361" t="str">
        <f t="shared" si="273"/>
        <v/>
      </c>
      <c r="EP131" s="361" t="str">
        <f t="shared" si="274"/>
        <v/>
      </c>
      <c r="EQ131" s="361" t="str">
        <f t="shared" si="275"/>
        <v/>
      </c>
      <c r="ER131" s="361" t="str">
        <f t="shared" si="276"/>
        <v/>
      </c>
      <c r="ES131" s="361" t="str">
        <f t="shared" si="277"/>
        <v/>
      </c>
      <c r="ET131" s="361" t="str">
        <f t="shared" si="278"/>
        <v/>
      </c>
      <c r="EU131" s="361" t="str">
        <f t="shared" si="279"/>
        <v/>
      </c>
      <c r="EV131" s="361" t="str">
        <f t="shared" si="280"/>
        <v/>
      </c>
      <c r="EW131" s="361" t="str">
        <f t="shared" si="281"/>
        <v/>
      </c>
      <c r="EX131" s="361" t="str">
        <f t="shared" si="371"/>
        <v>1 slot, 1 way</v>
      </c>
      <c r="EY131" s="361" t="str">
        <f t="shared" si="372"/>
        <v xml:space="preserve"> </v>
      </c>
      <c r="EZ131" s="361" t="str">
        <f t="shared" si="373"/>
        <v xml:space="preserve"> </v>
      </c>
      <c r="FA131" s="361" t="str">
        <f t="shared" si="374"/>
        <v xml:space="preserve"> </v>
      </c>
      <c r="FB131" s="361" t="str">
        <f t="shared" si="375"/>
        <v xml:space="preserve"> </v>
      </c>
      <c r="FC131" s="361"/>
      <c r="FD131" s="361" t="str">
        <f>IF(J131&gt;0,IF(Calculation!R131&lt;=70,4,IF(Calculation!R131&lt;=110,5,IF(Calculation!R131&lt;=160,6,IF(Calculation!R131&lt;=300,8,"10 EO")))),"")</f>
        <v/>
      </c>
      <c r="FE131" s="361" t="str">
        <f t="shared" si="376"/>
        <v/>
      </c>
      <c r="FF131" s="361" t="str">
        <f t="shared" si="377"/>
        <v/>
      </c>
      <c r="FG131" s="361" t="e">
        <f t="shared" si="282"/>
        <v>#N/A</v>
      </c>
      <c r="FH131" s="361">
        <f t="shared" si="283"/>
        <v>0</v>
      </c>
      <c r="FI131" s="361" t="e">
        <f t="shared" si="284"/>
        <v>#DIV/0!</v>
      </c>
      <c r="FJ131" s="361"/>
      <c r="FK131" s="356" t="e">
        <f t="shared" si="285"/>
        <v>#VALUE!</v>
      </c>
      <c r="FL131" s="361"/>
      <c r="FM131" s="361"/>
      <c r="FN131" s="362" t="str">
        <f t="shared" si="378"/>
        <v xml:space="preserve"> </v>
      </c>
      <c r="FO131" s="362" t="str">
        <f t="shared" si="379"/>
        <v xml:space="preserve"> </v>
      </c>
      <c r="FP131" s="362">
        <f t="shared" si="380"/>
        <v>0</v>
      </c>
      <c r="FQ131" s="361">
        <f t="shared" si="286"/>
        <v>0</v>
      </c>
      <c r="FR131" s="362" t="str">
        <f>IF(L131&gt;0,IF(J131="CBAL2",Worksheet!$P$67,IF(J131="CBE2-24",Worksheet!$Q$67,IF(J131="CBAM",Worksheet!$R$67,IF(J131="CBLV",Worksheet!$S$67,IF(J131="CBAB",Worksheet!$U$67,IF(J131="CBAW",Worksheet!$X$67,IF(J131="CBE2-12",Worksheet!$Y$67,IF(J131="CBAL2",Worksheet!$Z$67,"N/A"))))))))," ")</f>
        <v xml:space="preserve"> </v>
      </c>
      <c r="FS131" s="362" t="str">
        <f>IF(L131&gt;0,IF(J131="CBAL2",Worksheet!$P$68,IF(J131="CBE2-24",Worksheet!$Q$68,IF(J131="CBAM",Worksheet!$R$68,IF(J131="CBLV",Worksheet!$S$68,IF(J131="CBAB",Worksheet!$U$68,IF(J131="CBAW",Worksheet!$X$68,IF(J131="CBE2-12",Worksheet!$Y$68,IF(J131="CBAL2",Worksheet!$Z$68,"N/A"))))))))," ")</f>
        <v xml:space="preserve"> </v>
      </c>
      <c r="FT131" s="362" t="str">
        <f>IF(L131&gt;0,IF(J131="CBAL2",Worksheet!$P$69,IF(J131="CBE2-24",Worksheet!$Q$69,IF(J131="CBAM",Worksheet!$R$69,IF(J131="CBLV",Worksheet!$S$69,IF(J131="CBAB",Worksheet!$U$69,IF(J131="CBAW",Worksheet!$X$69,IF(J131="CBE2-12",Worksheet!$Y$69,IF(J131="CBAL2",Worksheet!$Z$69,"N/A"))))))))," ")</f>
        <v xml:space="preserve"> </v>
      </c>
      <c r="FU131" s="361" t="str">
        <f t="shared" si="381"/>
        <v xml:space="preserve"> </v>
      </c>
      <c r="FV131" s="362" t="str">
        <f t="shared" si="382"/>
        <v xml:space="preserve"> </v>
      </c>
      <c r="FW131" s="362" t="str">
        <f t="shared" si="383"/>
        <v xml:space="preserve"> </v>
      </c>
      <c r="FX131" s="362" t="str">
        <f t="shared" si="384"/>
        <v xml:space="preserve"> </v>
      </c>
      <c r="FY131" s="355" t="str">
        <f t="shared" si="385"/>
        <v xml:space="preserve"> </v>
      </c>
      <c r="FZ131" s="361" t="str">
        <f t="shared" si="386"/>
        <v xml:space="preserve"> </v>
      </c>
      <c r="GA131" s="347" t="str">
        <f t="shared" si="387"/>
        <v xml:space="preserve"> </v>
      </c>
      <c r="GB131" s="355" t="str">
        <f t="shared" si="388"/>
        <v xml:space="preserve"> </v>
      </c>
      <c r="GC131" s="328" t="str">
        <f t="shared" si="389"/>
        <v xml:space="preserve"> </v>
      </c>
      <c r="GD131" s="361" t="str">
        <f t="shared" si="390"/>
        <v xml:space="preserve"> </v>
      </c>
      <c r="GE131" s="347" t="str">
        <f t="shared" si="391"/>
        <v xml:space="preserve"> </v>
      </c>
      <c r="GF131" s="361" t="str">
        <f t="shared" si="392"/>
        <v xml:space="preserve"> </v>
      </c>
      <c r="GG131" s="347" t="str">
        <f t="shared" si="393"/>
        <v xml:space="preserve"> </v>
      </c>
      <c r="GH131" s="364">
        <f t="shared" si="287"/>
        <v>0</v>
      </c>
      <c r="GI131" s="362">
        <f t="shared" si="394"/>
        <v>2</v>
      </c>
      <c r="GJ131" s="433" t="e">
        <f>IF(6-COUNTBLANK(GT131:GY131)=4,MATCH(MID(BO131,9,3),CLU!$H$16:$K$16),MATCH(MID(BO131,9,3),CLU!$H$13:$M$13))</f>
        <v>#N/A</v>
      </c>
      <c r="GK131" s="433" t="e">
        <f>HLOOKUP(VALUE(BP131),CLU!$H$9:$M$10,2)</f>
        <v>#VALUE!</v>
      </c>
      <c r="GL131" s="433" t="e">
        <f ca="1">MATCH(BU131,CLU!$H$2:$V$2,1)</f>
        <v>#VALUE!</v>
      </c>
      <c r="GM131" s="433" t="e">
        <f t="shared" ca="1" si="395"/>
        <v>#VALUE!</v>
      </c>
      <c r="GN131" s="433" t="e">
        <f t="shared" ca="1" si="396"/>
        <v>#VALUE!</v>
      </c>
      <c r="GO131" s="433" t="e">
        <f t="shared" ca="1" si="397"/>
        <v>#VALUE!</v>
      </c>
      <c r="GP131" s="433" t="e">
        <f t="shared" ca="1" si="398"/>
        <v>#VALUE!</v>
      </c>
      <c r="GQ131" s="433" t="e">
        <f t="shared" ca="1" si="399"/>
        <v>#VALUE!</v>
      </c>
      <c r="GR131" s="433" t="e">
        <f ca="1">MATCH(T131,INDIRECT(VLOOKUP(CONCATENATE(LEFT(BO131,7),"-",MID(BO131,13,1)),CLU!$P$3:$Q$16,2)),1)</f>
        <v>#N/A</v>
      </c>
      <c r="GS131" s="433" t="e">
        <f ca="1">MATCH(U131,INDIRECT(VLOOKUP(CONCATENATE(LEFT(BO131,7),"-",MID(BO131,13,1)),CLU!$P$3:$Q$16,2)),1)</f>
        <v>#N/A</v>
      </c>
      <c r="GT131" s="347" t="s">
        <v>512</v>
      </c>
      <c r="GU131" s="97" t="s">
        <v>513</v>
      </c>
      <c r="GV131" s="97" t="str">
        <f t="shared" si="400"/>
        <v>M23</v>
      </c>
      <c r="GW131" s="97" t="str">
        <f t="shared" si="401"/>
        <v>M31</v>
      </c>
      <c r="GX131" s="97" t="str">
        <f t="shared" si="402"/>
        <v/>
      </c>
      <c r="GY131" s="97" t="str">
        <f t="shared" si="403"/>
        <v/>
      </c>
      <c r="GZ131" s="481"/>
      <c r="HA131" s="288"/>
      <c r="HB131" s="240"/>
      <c r="HC131" s="240"/>
      <c r="HD131" s="240"/>
      <c r="HE131" s="240"/>
      <c r="HF131" s="240"/>
      <c r="HG131" s="240"/>
      <c r="HH131" s="240"/>
      <c r="HI131" s="240"/>
      <c r="HJ131" s="240"/>
      <c r="HK131" s="240"/>
      <c r="HL131" s="240"/>
      <c r="HM131" s="240"/>
      <c r="HN131" s="240"/>
      <c r="HO131" s="240"/>
      <c r="HP131" s="240"/>
      <c r="HQ131" s="240"/>
      <c r="HR131" s="240"/>
      <c r="HS131" s="240"/>
      <c r="HT131" s="240"/>
      <c r="HU131" s="240"/>
      <c r="HV131" s="245"/>
      <c r="HW131" s="245" t="b">
        <v>1</v>
      </c>
      <c r="HX131" s="245" t="str">
        <f t="shared" si="288"/>
        <v/>
      </c>
      <c r="HY131" s="245" t="e">
        <f t="shared" si="289"/>
        <v>#DIV/0!</v>
      </c>
      <c r="HZ131" s="245" t="e">
        <f t="shared" si="290"/>
        <v>#DIV/0!</v>
      </c>
      <c r="IA131" s="245">
        <f t="shared" si="291"/>
        <v>0</v>
      </c>
      <c r="IB131" s="245"/>
      <c r="IC131" t="b">
        <f t="shared" si="292"/>
        <v>1</v>
      </c>
      <c r="ID131" s="245" t="b">
        <f t="shared" si="293"/>
        <v>1</v>
      </c>
      <c r="IE131" s="245" t="b">
        <f t="shared" si="294"/>
        <v>1</v>
      </c>
      <c r="IF131" s="245" t="b">
        <f t="shared" si="295"/>
        <v>0</v>
      </c>
      <c r="IG131" s="245" t="b">
        <f t="shared" si="296"/>
        <v>1</v>
      </c>
      <c r="IH131" s="245" t="b">
        <f t="shared" si="297"/>
        <v>1</v>
      </c>
      <c r="II131" s="245">
        <f t="shared" si="404"/>
        <v>0</v>
      </c>
      <c r="IJ131" s="245" t="e">
        <f t="shared" si="298"/>
        <v>#VALUE!</v>
      </c>
      <c r="IK131" s="245" t="e">
        <f t="shared" si="299"/>
        <v>#VALUE!</v>
      </c>
      <c r="IL131" s="245"/>
      <c r="IM131" s="245" t="e">
        <f t="shared" si="405"/>
        <v>#N/A</v>
      </c>
      <c r="IN131" s="245" t="e">
        <f t="shared" si="406"/>
        <v>#N/A</v>
      </c>
      <c r="IO131" s="245"/>
      <c r="IP131" s="245"/>
      <c r="IQ131" s="245" t="str">
        <f t="shared" si="300"/>
        <v/>
      </c>
      <c r="IR131" s="245" t="str">
        <f>IF(J131="","",VLOOKUP(J131,Worksheet!$R$4:$T$14,2))</f>
        <v/>
      </c>
      <c r="IS131" s="245"/>
      <c r="IT131" s="245">
        <f t="shared" si="301"/>
        <v>0</v>
      </c>
      <c r="IU131" s="245">
        <f t="shared" si="302"/>
        <v>0</v>
      </c>
      <c r="IV131" s="245">
        <f t="shared" si="303"/>
        <v>0</v>
      </c>
      <c r="IW131" s="245">
        <f t="shared" si="304"/>
        <v>0</v>
      </c>
      <c r="IX131" s="245">
        <f t="shared" si="407"/>
        <v>0</v>
      </c>
      <c r="IY131" s="245">
        <f t="shared" si="305"/>
        <v>0</v>
      </c>
      <c r="IZ131" s="245">
        <f t="shared" si="306"/>
        <v>0</v>
      </c>
      <c r="JA131">
        <f t="shared" si="307"/>
        <v>0</v>
      </c>
      <c r="JB131">
        <f t="shared" si="408"/>
        <v>0</v>
      </c>
      <c r="JC131">
        <f t="shared" si="308"/>
        <v>0</v>
      </c>
      <c r="JD131">
        <f t="shared" si="309"/>
        <v>0</v>
      </c>
      <c r="JE131">
        <f t="shared" si="310"/>
        <v>0</v>
      </c>
      <c r="JF131">
        <f t="shared" si="311"/>
        <v>0</v>
      </c>
      <c r="JG131">
        <f t="shared" si="312"/>
        <v>0</v>
      </c>
      <c r="JH131">
        <f t="shared" si="313"/>
        <v>0</v>
      </c>
      <c r="JI131">
        <f t="shared" si="314"/>
        <v>0</v>
      </c>
      <c r="JJ131" s="447">
        <f t="shared" si="315"/>
        <v>0</v>
      </c>
      <c r="JK131" s="447">
        <f t="shared" si="316"/>
        <v>0</v>
      </c>
      <c r="JL131">
        <f t="shared" si="317"/>
        <v>0</v>
      </c>
      <c r="JM131" s="245" t="str">
        <f>IFERROR(VLOOKUP(MATCH(BN131,#REF!,0),#REF!,7),"")</f>
        <v/>
      </c>
      <c r="JN131" t="e">
        <f>HLOOKUP(LEFT(BO131,7),Discharge_Area,MATCH(JO131,LookUps!$B$130:$B$149,1)+2)</f>
        <v>#N/A</v>
      </c>
      <c r="JO131" t="str">
        <f t="shared" si="318"/>
        <v>- S</v>
      </c>
      <c r="JP131" t="e">
        <f>HLOOKUP(LEFT(BO131,7),Discharge_Area,MATCH(JO131,LookUps!$B$130:$B$149,1)+2)</f>
        <v>#N/A</v>
      </c>
      <c r="JQ131" t="e">
        <f t="shared" si="319"/>
        <v>#N/A</v>
      </c>
      <c r="JR131" t="e">
        <f t="shared" si="320"/>
        <v>#N/A</v>
      </c>
      <c r="JS131" t="e">
        <f t="shared" si="321"/>
        <v>#N/A</v>
      </c>
      <c r="JT131" s="532" t="str">
        <f t="shared" si="322"/>
        <v xml:space="preserve"> </v>
      </c>
      <c r="JU131" s="532" t="str">
        <f t="shared" si="323"/>
        <v xml:space="preserve"> </v>
      </c>
      <c r="JV131" s="533" t="str">
        <f t="shared" si="324"/>
        <v xml:space="preserve"> </v>
      </c>
      <c r="JW131" s="534">
        <f t="shared" si="325"/>
        <v>0</v>
      </c>
      <c r="JX131" s="535" t="str">
        <f t="shared" si="409"/>
        <v xml:space="preserve"> </v>
      </c>
      <c r="JY131" s="535" t="str">
        <f t="shared" si="410"/>
        <v xml:space="preserve"> </v>
      </c>
      <c r="JZ131" s="535" t="str">
        <f t="shared" si="411"/>
        <v xml:space="preserve"> </v>
      </c>
      <c r="KA131" s="536" t="str">
        <f t="shared" si="326"/>
        <v xml:space="preserve"> </v>
      </c>
      <c r="KB131" s="535" t="e">
        <f t="shared" si="412"/>
        <v>#VALUE!</v>
      </c>
      <c r="KC131" s="535" t="str">
        <f t="shared" si="327"/>
        <v/>
      </c>
      <c r="KD131" s="537" t="str">
        <f t="shared" si="413"/>
        <v xml:space="preserve"> </v>
      </c>
      <c r="KE131" s="537" t="str">
        <f t="shared" si="414"/>
        <v xml:space="preserve"> </v>
      </c>
      <c r="KF131" s="534">
        <f t="shared" si="328"/>
        <v>0</v>
      </c>
      <c r="KG131" s="535" t="str">
        <f t="shared" si="329"/>
        <v xml:space="preserve"> </v>
      </c>
      <c r="KH131" s="535" t="str">
        <f t="shared" si="330"/>
        <v xml:space="preserve"> </v>
      </c>
      <c r="KI131" s="535" t="str">
        <f t="shared" si="331"/>
        <v xml:space="preserve"> </v>
      </c>
      <c r="KJ131" s="536" t="str">
        <f t="shared" si="332"/>
        <v xml:space="preserve"> </v>
      </c>
      <c r="KK131" s="535" t="str">
        <f t="shared" si="415"/>
        <v xml:space="preserve"> </v>
      </c>
      <c r="KL131" s="535" t="str">
        <f t="shared" si="416"/>
        <v xml:space="preserve"> </v>
      </c>
      <c r="KM131" s="537" t="str">
        <f t="shared" si="333"/>
        <v xml:space="preserve"> </v>
      </c>
      <c r="KN131" s="537" t="str">
        <f t="shared" si="417"/>
        <v xml:space="preserve"> </v>
      </c>
      <c r="KP131">
        <f t="shared" si="334"/>
        <v>0</v>
      </c>
      <c r="LA131" t="e">
        <f t="shared" si="335"/>
        <v>#VALUE!</v>
      </c>
      <c r="LB131" t="e">
        <f t="shared" si="336"/>
        <v>#VALUE!</v>
      </c>
      <c r="LC131" t="e">
        <f t="shared" si="337"/>
        <v>#VALUE!</v>
      </c>
      <c r="LD131" t="e">
        <f t="shared" si="338"/>
        <v>#VALUE!</v>
      </c>
      <c r="LE131" t="e">
        <f t="shared" si="418"/>
        <v>#VALUE!</v>
      </c>
      <c r="LF131">
        <f t="shared" si="339"/>
        <v>0</v>
      </c>
      <c r="LG131" t="e">
        <f t="shared" si="419"/>
        <v>#VALUE!</v>
      </c>
      <c r="LH131" t="str">
        <f t="shared" si="340"/>
        <v xml:space="preserve"> </v>
      </c>
      <c r="LI131">
        <f t="shared" si="420"/>
        <v>1</v>
      </c>
    </row>
    <row r="132" spans="2:321" ht="15" customHeight="1">
      <c r="B132" s="311"/>
      <c r="C132" s="311"/>
      <c r="D132" s="312"/>
      <c r="E132" s="311"/>
      <c r="F132" s="312"/>
      <c r="G132" s="311"/>
      <c r="H132" s="311"/>
      <c r="I132" s="37"/>
      <c r="J132" s="311"/>
      <c r="K132" s="305" t="str">
        <f t="shared" si="341"/>
        <v/>
      </c>
      <c r="L132" s="313"/>
      <c r="M132" s="312"/>
      <c r="N132" s="311"/>
      <c r="O132" s="312"/>
      <c r="P132" s="311"/>
      <c r="Q132" s="305" t="str">
        <f t="shared" si="342"/>
        <v/>
      </c>
      <c r="R132" s="314"/>
      <c r="S132" s="450" t="str">
        <f t="shared" si="225"/>
        <v/>
      </c>
      <c r="T132" s="315"/>
      <c r="U132" s="315"/>
      <c r="W132" s="149" t="str">
        <f t="shared" si="226"/>
        <v xml:space="preserve"> </v>
      </c>
      <c r="X132" s="243" t="str">
        <f t="shared" si="227"/>
        <v xml:space="preserve"> </v>
      </c>
      <c r="Y132" s="150" t="str">
        <f t="shared" si="228"/>
        <v/>
      </c>
      <c r="Z132" s="149" t="str">
        <f t="shared" si="229"/>
        <v xml:space="preserve"> </v>
      </c>
      <c r="AA132" s="98" t="str">
        <f t="shared" si="230"/>
        <v xml:space="preserve"> </v>
      </c>
      <c r="AB132" s="153" t="str">
        <f t="shared" si="231"/>
        <v xml:space="preserve"> </v>
      </c>
      <c r="AC132" s="153" t="str">
        <f t="shared" si="232"/>
        <v xml:space="preserve"> </v>
      </c>
      <c r="AD132" s="148" t="str">
        <f t="shared" si="233"/>
        <v/>
      </c>
      <c r="AE132" s="149" t="str">
        <f t="shared" si="234"/>
        <v/>
      </c>
      <c r="AF132" s="151" t="str">
        <f t="shared" si="235"/>
        <v xml:space="preserve"> </v>
      </c>
      <c r="AG132" s="153" t="str">
        <f t="shared" si="236"/>
        <v xml:space="preserve"> </v>
      </c>
      <c r="AH132" s="98" t="str">
        <f t="shared" si="237"/>
        <v xml:space="preserve"> </v>
      </c>
      <c r="AI132" s="149" t="str">
        <f t="shared" si="238"/>
        <v xml:space="preserve"> </v>
      </c>
      <c r="AK132" s="144" t="str">
        <f t="shared" si="239"/>
        <v xml:space="preserve"> </v>
      </c>
      <c r="AL132" s="144"/>
      <c r="AM132" s="243" t="str">
        <f t="shared" si="240"/>
        <v xml:space="preserve"> </v>
      </c>
      <c r="AN132" s="149" t="str">
        <f t="shared" si="343"/>
        <v xml:space="preserve"> </v>
      </c>
      <c r="AO132" s="144" t="str">
        <f>IF(JB132&gt;0,IF(GI132=10,-R132*1.085*(Calculation!$F$6-Calculation!$F$13)*$S$14," "),"")</f>
        <v/>
      </c>
      <c r="AP132" s="144" t="str">
        <f t="shared" si="241"/>
        <v/>
      </c>
      <c r="AQ132" s="56" t="str">
        <f t="shared" si="242"/>
        <v/>
      </c>
      <c r="AR132" s="144" t="str">
        <f t="shared" si="243"/>
        <v/>
      </c>
      <c r="AS132" s="176" t="str">
        <f t="shared" si="244"/>
        <v/>
      </c>
      <c r="AT132" s="176" t="str">
        <f t="shared" si="344"/>
        <v xml:space="preserve"> </v>
      </c>
      <c r="AU132" s="176" t="str">
        <f t="shared" si="245"/>
        <v/>
      </c>
      <c r="AV132" s="177" t="str">
        <f t="shared" si="246"/>
        <v xml:space="preserve"> </v>
      </c>
      <c r="AW132" s="144" t="str">
        <f t="shared" si="247"/>
        <v xml:space="preserve"> </v>
      </c>
      <c r="AX132" s="144" t="str">
        <f t="shared" si="248"/>
        <v xml:space="preserve"> </v>
      </c>
      <c r="AY132" s="152" t="str">
        <f t="shared" si="249"/>
        <v xml:space="preserve"> </v>
      </c>
      <c r="AZ132" s="246" t="str">
        <f t="shared" si="250"/>
        <v/>
      </c>
      <c r="BA132" s="176" t="str">
        <f t="shared" si="251"/>
        <v xml:space="preserve"> </v>
      </c>
      <c r="BB132" s="176" t="str">
        <f t="shared" si="252"/>
        <v xml:space="preserve"> </v>
      </c>
      <c r="BC132" s="195"/>
      <c r="BD132" s="316"/>
      <c r="BE132" s="317"/>
      <c r="BF132" s="318"/>
      <c r="BG132" s="318"/>
      <c r="BH132" s="144" t="str">
        <f t="shared" si="421"/>
        <v xml:space="preserve"> </v>
      </c>
      <c r="BI132" s="176" t="str">
        <f t="shared" si="253"/>
        <v/>
      </c>
      <c r="BJ132" s="144" t="str">
        <f t="shared" si="422"/>
        <v/>
      </c>
      <c r="BK132" s="246" t="str">
        <f t="shared" si="254"/>
        <v/>
      </c>
      <c r="BL132" s="144" t="str">
        <f t="shared" si="423"/>
        <v/>
      </c>
      <c r="BM132" s="246" t="str">
        <f t="shared" si="255"/>
        <v/>
      </c>
      <c r="BN132" s="337" t="str">
        <f t="shared" si="345"/>
        <v/>
      </c>
      <c r="BO132" s="371" t="str">
        <f t="shared" si="346"/>
        <v/>
      </c>
      <c r="BP132" s="328" t="str">
        <f t="shared" si="424"/>
        <v xml:space="preserve"> </v>
      </c>
      <c r="BQ132" s="347" t="str">
        <f t="shared" si="347"/>
        <v xml:space="preserve"> </v>
      </c>
      <c r="BR132" s="353" t="str">
        <f t="shared" si="348"/>
        <v xml:space="preserve"> </v>
      </c>
      <c r="BS132" s="626" t="str">
        <f>IF(L132&gt;0,IF(Calculation!P132="M13",BR132*3.1416*(0.134^2)/(4*144),IF(Calculation!P132="M17",BR132*3.1416*(0.165^2)/(4*144),IF(Calculation!P132="M20",BR132*3.1416*(0.198^2)/(4*144),IF(Calculation!P132="M23",BR132*3.1416*(0.228^2)/(4*144),IF(Calculation!P132="M27",BR132*3.1416*(0.269^2)/(4*144),BR132*3.1416*(0.307^2)/(4*144))))))," ")</f>
        <v xml:space="preserve"> </v>
      </c>
      <c r="BT132" s="353" t="str">
        <f>IF(L132&gt;0,IF(BS132&gt;0,R132/Calculation!BS132,0)," ")</f>
        <v xml:space="preserve"> </v>
      </c>
      <c r="BU132" s="438" t="e">
        <f t="shared" ca="1" si="256"/>
        <v>#VALUE!</v>
      </c>
      <c r="BV132" s="449" t="e">
        <f ca="1">INDEX(INDIRECT(VLOOKUP(LEFT(BO132,7),CLU!$Z$3:$AH$18,2)),GN132,GR132)</f>
        <v>#N/A</v>
      </c>
      <c r="BW132" s="433" t="e">
        <f ca="1">INDEX(INDIRECT(VLOOKUP(LEFT(BO132,7),CLU!$Z$3:$AH$18,3)),GN132,GR132)</f>
        <v>#N/A</v>
      </c>
      <c r="BX132" s="433" t="e">
        <f ca="1">INDEX(INDIRECT(VLOOKUP(LEFT(BO132,7),CLU!$Z$3:$AH$18,4)),GN132,GR132)</f>
        <v>#N/A</v>
      </c>
      <c r="BY132" s="433" t="e">
        <f ca="1">INDEX(INDIRECT(VLOOKUP(LEFT(BO132,7),CLU!$Z$3:$AH$18,9)),((M132-2)*(6-COUNTBLANK(GT132:GY132)))+GJ132)</f>
        <v>#N/A</v>
      </c>
      <c r="BZ132" s="426" t="e">
        <f t="shared" ca="1" si="349"/>
        <v>#N/A</v>
      </c>
      <c r="CA132" s="424" t="e">
        <f t="shared" ca="1" si="350"/>
        <v>#N/A</v>
      </c>
      <c r="CB132" s="429" t="e">
        <f ca="1">INDEX(INDIRECT(VLOOKUP(LEFT(BO132,7),CLU!$Z$3:$AH$18,2)),GN132,GS132)</f>
        <v>#N/A</v>
      </c>
      <c r="CC132" s="342" t="e">
        <f ca="1">INDEX(INDIRECT(VLOOKUP(LEFT(BO132,7),CLU!$Z$3:$AH$18,3)),GN132,GS132)</f>
        <v>#N/A</v>
      </c>
      <c r="CD132" s="342" t="e">
        <f ca="1">INDEX(INDIRECT(VLOOKUP(LEFT(BO132,7),CLU!$Z$3:$AH$18,4)),GN132,GS132)</f>
        <v>#N/A</v>
      </c>
      <c r="CE132" s="426" t="e">
        <f t="shared" ca="1" si="351"/>
        <v>#N/A</v>
      </c>
      <c r="CF132" s="440">
        <f t="shared" si="352"/>
        <v>0</v>
      </c>
      <c r="CG132" s="431" t="e">
        <f ca="1">INDEX(INDIRECT(VLOOKUP(LEFT(BO132,7),CLU!$Z$3:$AH$18,2)),GQ132,GR132)</f>
        <v>#N/A</v>
      </c>
      <c r="CH132" s="431" t="e">
        <f ca="1">INDEX(INDIRECT(VLOOKUP(LEFT(BO132,7),CLU!$Z$3:$AH$18,3)),GQ132,GR132)</f>
        <v>#N/A</v>
      </c>
      <c r="CI132" s="431" t="e">
        <f ca="1">INDEX(INDIRECT(VLOOKUP(LEFT(BO132,7),CLU!$Z$3:$AH$18,4)),GQ132,GR132)</f>
        <v>#N/A</v>
      </c>
      <c r="CJ132" s="448" t="e">
        <f t="shared" ca="1" si="353"/>
        <v>#N/A</v>
      </c>
      <c r="CK132" s="431" t="e">
        <f t="shared" ca="1" si="354"/>
        <v>#N/A</v>
      </c>
      <c r="CL132" s="440" t="e">
        <f t="shared" ca="1" si="355"/>
        <v>#N/A</v>
      </c>
      <c r="CM132" s="431" t="e">
        <f ca="1">INDEX(INDIRECT(VLOOKUP(LEFT(BO132,7),CLU!$Z$3:$AH$18,2)),GQ132,GS132)</f>
        <v>#N/A</v>
      </c>
      <c r="CN132" s="431" t="e">
        <f ca="1">INDEX(INDIRECT(VLOOKUP(LEFT(BO132,7),CLU!$Z$3:$AH$18,3)),GQ132,GS132)</f>
        <v>#N/A</v>
      </c>
      <c r="CO132" s="431" t="e">
        <f ca="1">INDEX(INDIRECT(VLOOKUP(LEFT(BO132,7),CLU!$Z$3:$AH$18,4)),GQ132,GS132)</f>
        <v>#N/A</v>
      </c>
      <c r="CP132" s="431" t="e">
        <f t="shared" ca="1" si="356"/>
        <v>#N/A</v>
      </c>
      <c r="CQ132" s="440">
        <f t="shared" si="357"/>
        <v>0</v>
      </c>
      <c r="CR132" s="51" t="e">
        <f t="shared" ca="1" si="358"/>
        <v>#N/A</v>
      </c>
      <c r="CS132" s="439" t="e">
        <f t="shared" ca="1" si="359"/>
        <v>#VALUE!</v>
      </c>
      <c r="CT132" s="51" t="e">
        <f t="shared" ca="1" si="360"/>
        <v>#VALUE!</v>
      </c>
      <c r="CU132" s="10"/>
      <c r="CV132" s="51" t="e">
        <f t="shared" ca="1" si="257"/>
        <v>#VALUE!</v>
      </c>
      <c r="CW132" s="51">
        <f t="shared" si="361"/>
        <v>0</v>
      </c>
      <c r="CX132" s="439" t="e">
        <f t="shared" ca="1" si="362"/>
        <v>#VALUE!</v>
      </c>
      <c r="CY132" s="51" t="e">
        <f t="shared" ca="1" si="363"/>
        <v>#VALUE!</v>
      </c>
      <c r="CZ132" s="10"/>
      <c r="DA132" s="51" t="e">
        <f t="shared" ca="1" si="364"/>
        <v>#VALUE!</v>
      </c>
      <c r="DB132" s="347" t="e">
        <f ca="1">INDEX(INDIRECT(VLOOKUP(LEFT(BO132,7),CLU!$Z$3:$AI$18,10)),((M132-2)*(6-COUNTBLANK(GT132:GY132)))+GJ132)*LI132</f>
        <v>#N/A</v>
      </c>
      <c r="DC132" s="347" t="str">
        <f>IF(L132&gt;0,((R132/Worksheet!$I$15)/DB132)^2," ")</f>
        <v xml:space="preserve"> </v>
      </c>
      <c r="DD132" s="602" t="str">
        <f t="shared" si="365"/>
        <v xml:space="preserve"> </v>
      </c>
      <c r="DE132" s="347" t="str">
        <f t="shared" si="258"/>
        <v xml:space="preserve"> </v>
      </c>
      <c r="DF132" s="356" t="e">
        <f ca="1">INDEX(INDIRECT(VLOOKUP(LEFT(BO132,7),CLU!$Z$3:$AH$18,8)),((M132-2)*(6-COUNTBLANK(GT132:GY132)))+GJ132)</f>
        <v>#N/A</v>
      </c>
      <c r="DG132" s="347" t="str">
        <f t="shared" si="259"/>
        <v xml:space="preserve"> </v>
      </c>
      <c r="DH132" s="357" t="str">
        <f t="shared" si="260"/>
        <v xml:space="preserve"> </v>
      </c>
      <c r="DI132" s="355" t="str">
        <f t="shared" si="261"/>
        <v xml:space="preserve"> </v>
      </c>
      <c r="DJ132" s="245" t="e">
        <f ca="1">INDEX(INDIRECT(VLOOKUP(LEFT(BO132,7),CLU!$Z$3:$AH$18,5)),GL132,GK132)</f>
        <v>#N/A</v>
      </c>
      <c r="DK132" s="245" t="e">
        <f ca="1">INDEX(INDIRECT(VLOOKUP(LEFT(BO132,7),CLU!$Z$3:$AH$18,6)),GL132,GK132)</f>
        <v>#N/A</v>
      </c>
      <c r="DL132" s="355">
        <f>(Calculation!R132*0.69143*(Calculation!$BQ$8-Calculation!$F$8))*$S$14</f>
        <v>0</v>
      </c>
      <c r="DM132" s="359" t="e">
        <f t="shared" si="366"/>
        <v>#VALUE!</v>
      </c>
      <c r="DN132" s="611">
        <f t="shared" si="367"/>
        <v>0</v>
      </c>
      <c r="DO132" s="359">
        <f t="shared" si="368"/>
        <v>100</v>
      </c>
      <c r="DP132" s="359">
        <f t="shared" si="369"/>
        <v>0</v>
      </c>
      <c r="DQ132" s="360"/>
      <c r="DR132" s="245" t="e">
        <f ca="1">INDEX(INDIRECT(VLOOKUP(LEFT(BO132,7),CLU!$Z$3:$AH$18,7)),M132-1,1)</f>
        <v>#N/A</v>
      </c>
      <c r="DS132" s="245" t="e">
        <f ca="1">INDEX(INDIRECT(VLOOKUP(LEFT(BO132,7),CLU!$Z$3:$AH$18,7)),M132-1,2)</f>
        <v>#N/A</v>
      </c>
      <c r="DT132" s="245" t="e">
        <f ca="1">INDEX(INDIRECT(VLOOKUP(LEFT(BO132,7),CLU!$Z$3:$AH$18,7)),M132-1,3)</f>
        <v>#N/A</v>
      </c>
      <c r="DU132" s="245" t="e">
        <f ca="1">INDEX(INDIRECT(VLOOKUP(LEFT(BO132,7),CLU!$Z$3:$AH$18,7)),M132-1,4)</f>
        <v>#N/A</v>
      </c>
      <c r="DV132" s="361" t="e">
        <f ca="1">INDEX(INDIRECT(VLOOKUP(LEFT(BO132,7),CLU!$Z$3:$AH$18,7)),M132-1,4+LEFT(DZ132,1)*0.5)</f>
        <v>#N/A</v>
      </c>
      <c r="DW132" s="245" t="e">
        <f ca="1">INDEX(INDIRECT(VLOOKUP(LEFT(BO132,7),CLU!$Z$3:$AH$18,7)),M132-1,8)</f>
        <v>#N/A</v>
      </c>
      <c r="DX132" s="361" t="str">
        <f t="shared" si="262"/>
        <v xml:space="preserve"> </v>
      </c>
      <c r="DY132" s="361" t="str">
        <f t="shared" si="263"/>
        <v xml:space="preserve"> </v>
      </c>
      <c r="DZ132" s="361" t="str">
        <f t="shared" si="264"/>
        <v xml:space="preserve"> </v>
      </c>
      <c r="EA132" s="362" t="str">
        <f t="shared" si="265"/>
        <v xml:space="preserve"> </v>
      </c>
      <c r="EB132" s="624" t="str">
        <f t="shared" si="370"/>
        <v xml:space="preserve"> </v>
      </c>
      <c r="EC132" s="361" t="e">
        <f ca="1">INDEX(INDIRECT(VLOOKUP(LEFT(BO132,7),CLU!$Z$3:$AH$18,7)),M132-1,4+LEFT(DZ132,1)*0.5)</f>
        <v>#N/A</v>
      </c>
      <c r="ED132" s="362" t="str">
        <f t="shared" si="266"/>
        <v xml:space="preserve"> </v>
      </c>
      <c r="EE132" s="361" t="str">
        <f t="shared" si="267"/>
        <v xml:space="preserve"> </v>
      </c>
      <c r="EF132" s="362" t="str">
        <f>IF(L132&gt;0,IF(BR132&gt;0,IF(EE132="2P",IF(Calculation!DZ132="2P",IF(Calculation!DS132=13.75,IF(Calculation!DR132=13,Worksheet!$BD$43,IF(Calculation!DR132=37,Worksheet!$BD$44,Worksheet!$BD$45)),IF(Calculation!DS132=10,IF(Calculation!DR132=18,Worksheet!$BD$29,IF(Calculation!DR132=30,Worksheet!$BD$30,IF(Calculation!DR132=42,Worksheet!$BD$31,IF(Calculation!DR132=54,Worksheet!$BD$32,IF(Calculation!DR132=66,Worksheet!$BD$33,IF(Calculation!DR132=78,Worksheet!$BD$34,IF(Calculation!DR132=90,Worksheet!$BD$35,IF(Calculation!DR132=102,Worksheet!$BD$36,Worksheet!$BD$37)))))))),IF(Calculation!DS132=12.5,IF(Calculation!DR132=18,Worksheet!$BD$38,IF(Calculation!DR132=Worksheet!$BD$39,IF(Calculation!DR132=42,Worksheet!$BD$40,IF(Calculation!DR132=54,Worksheet!$BD$41,Worksheet!$BD$42)))),IF(Calculation!DR132=18,Worksheet!$BD$11,IF(Calculation!DR132=30,Worksheet!$BD$12,IF(Calculation!DR132=42,Worksheet!$BD$13,IF(Calculation!DR132=54,Worksheet!$BD$14,IF(Calculation!DR132=66,Worksheet!$BD$15,IF(Calculation!DR132=78,Worksheet!$BD$16,IF(Calculation!DR132=90,Worksheet!$BD$17,IF(Calculation!DR132=102,Worksheet!$BD$18,Worksheet!$BD$19))))))))))),IF(Calculation!DS132=13.75,IF(Calculation!DR132=13,Worksheet!$BD$78,IF(Calculation!DR132=37,Worksheet!$BD$79,Worksheet!$BD$80)),IF(Calculation!DS132=10,IF(Calculation!DR132=18,Worksheet!$BD$64,IF(Calculation!DR132=30,Worksheet!$BD$65,IF(Calculation!DR132=42,Worksheet!$BD$66,IF(Calculation!DR132=54,Worksheet!$BD$68,IF(Calculation!DR132=66,Worksheet!$BD$68,IF(Calculation!DR132=78,Worksheet!$BD$69,IF(Calculation!DR132=90,Worksheet!$BD$70,IF(Calculation!DR132=102,Worksheet!$BD$71,Worksheet!$BD$72)))))))),IF(Calculation!DS132=12.5,IF(Calculation!DR132=18,Worksheet!$BD$73,IF(Calculation!DR132=Worksheet!$BD$74,IF(Calculation!DR132=42,Worksheet!$BD$75,IF(Calculation!DR132=54,Worksheet!$BD$76,Worksheet!$BD$77)))),IF(Calculation!DR132=18,Worksheet!$BD$55,IF(Calculation!DR132=30,Worksheet!$BD$56,IF(Calculation!DR132=42,Worksheet!$BD$57,IF(Calculation!DR132=54,Worksheet!$BD$58,IF(Calculation!DR132=66,Worksheet!$BD$59,IF(Calculation!DR132=78,Worksheet!$BD$60,IF(Calculation!DR132=90,Worksheet!$BD$61,IF(Calculation!DR132=102,Worksheet!$BD$62,Worksheet!$BD$63)))))))))))),5),0)," ")</f>
        <v xml:space="preserve"> </v>
      </c>
      <c r="EG132" s="361" t="str">
        <f t="shared" si="268"/>
        <v xml:space="preserve"> </v>
      </c>
      <c r="EH132" s="361" t="e">
        <f ca="1">INDEX(INDIRECT(VLOOKUP(LEFT(BO132,7),CLU!$Z$3:$AH$18,7)),M132-1,3+LEFT(DZ132,1))</f>
        <v>#N/A</v>
      </c>
      <c r="EI132" s="362" t="str">
        <f t="shared" si="269"/>
        <v xml:space="preserve"> </v>
      </c>
      <c r="EJ132" s="363" t="str">
        <f t="shared" si="270"/>
        <v xml:space="preserve"> </v>
      </c>
      <c r="EK132" s="363" t="str">
        <f t="shared" si="271"/>
        <v xml:space="preserve"> </v>
      </c>
      <c r="EL132" s="363" t="str">
        <f t="shared" si="272"/>
        <v xml:space="preserve"> </v>
      </c>
      <c r="EM132" s="362" t="str">
        <f>IF(L132&gt;0,IF(BR132&gt;0,(Calculation!T132/ED132)^2,0)," ")</f>
        <v xml:space="preserve"> </v>
      </c>
      <c r="EN132" s="362" t="str">
        <f>IF(L132&gt;0,IF(O132="2 Pipe (Cooling)","N/A",IF(BR132&gt;0,(Calculation!U132/EI132)^2,0))," ")</f>
        <v xml:space="preserve"> </v>
      </c>
      <c r="EO132" s="361" t="str">
        <f t="shared" si="273"/>
        <v/>
      </c>
      <c r="EP132" s="361" t="str">
        <f t="shared" si="274"/>
        <v/>
      </c>
      <c r="EQ132" s="361" t="str">
        <f t="shared" si="275"/>
        <v/>
      </c>
      <c r="ER132" s="361" t="str">
        <f t="shared" si="276"/>
        <v/>
      </c>
      <c r="ES132" s="361" t="str">
        <f t="shared" si="277"/>
        <v/>
      </c>
      <c r="ET132" s="361" t="str">
        <f t="shared" si="278"/>
        <v/>
      </c>
      <c r="EU132" s="361" t="str">
        <f t="shared" si="279"/>
        <v/>
      </c>
      <c r="EV132" s="361" t="str">
        <f t="shared" si="280"/>
        <v/>
      </c>
      <c r="EW132" s="361" t="str">
        <f t="shared" si="281"/>
        <v/>
      </c>
      <c r="EX132" s="361" t="str">
        <f t="shared" si="371"/>
        <v>1 slot, 1 way</v>
      </c>
      <c r="EY132" s="361" t="str">
        <f t="shared" si="372"/>
        <v xml:space="preserve"> </v>
      </c>
      <c r="EZ132" s="361" t="str">
        <f t="shared" si="373"/>
        <v xml:space="preserve"> </v>
      </c>
      <c r="FA132" s="361" t="str">
        <f t="shared" si="374"/>
        <v xml:space="preserve"> </v>
      </c>
      <c r="FB132" s="361" t="str">
        <f t="shared" si="375"/>
        <v xml:space="preserve"> </v>
      </c>
      <c r="FC132" s="361"/>
      <c r="FD132" s="361" t="str">
        <f>IF(J132&gt;0,IF(Calculation!R132&lt;=70,4,IF(Calculation!R132&lt;=110,5,IF(Calculation!R132&lt;=160,6,IF(Calculation!R132&lt;=300,8,"10 EO")))),"")</f>
        <v/>
      </c>
      <c r="FE132" s="361" t="str">
        <f t="shared" si="376"/>
        <v/>
      </c>
      <c r="FF132" s="361" t="str">
        <f t="shared" si="377"/>
        <v/>
      </c>
      <c r="FG132" s="361" t="e">
        <f t="shared" si="282"/>
        <v>#N/A</v>
      </c>
      <c r="FH132" s="361">
        <f t="shared" si="283"/>
        <v>0</v>
      </c>
      <c r="FI132" s="361" t="e">
        <f t="shared" si="284"/>
        <v>#DIV/0!</v>
      </c>
      <c r="FJ132" s="361"/>
      <c r="FK132" s="356" t="e">
        <f t="shared" si="285"/>
        <v>#VALUE!</v>
      </c>
      <c r="FL132" s="361"/>
      <c r="FM132" s="361"/>
      <c r="FN132" s="362" t="str">
        <f t="shared" si="378"/>
        <v xml:space="preserve"> </v>
      </c>
      <c r="FO132" s="362" t="str">
        <f t="shared" si="379"/>
        <v xml:space="preserve"> </v>
      </c>
      <c r="FP132" s="362">
        <f t="shared" si="380"/>
        <v>0</v>
      </c>
      <c r="FQ132" s="361">
        <f t="shared" si="286"/>
        <v>0</v>
      </c>
      <c r="FR132" s="362" t="str">
        <f>IF(L132&gt;0,IF(J132="CBAL2",Worksheet!$P$67,IF(J132="CBE2-24",Worksheet!$Q$67,IF(J132="CBAM",Worksheet!$R$67,IF(J132="CBLV",Worksheet!$S$67,IF(J132="CBAB",Worksheet!$U$67,IF(J132="CBAW",Worksheet!$X$67,IF(J132="CBE2-12",Worksheet!$Y$67,IF(J132="CBAL2",Worksheet!$Z$67,"N/A"))))))))," ")</f>
        <v xml:space="preserve"> </v>
      </c>
      <c r="FS132" s="362" t="str">
        <f>IF(L132&gt;0,IF(J132="CBAL2",Worksheet!$P$68,IF(J132="CBE2-24",Worksheet!$Q$68,IF(J132="CBAM",Worksheet!$R$68,IF(J132="CBLV",Worksheet!$S$68,IF(J132="CBAB",Worksheet!$U$68,IF(J132="CBAW",Worksheet!$X$68,IF(J132="CBE2-12",Worksheet!$Y$68,IF(J132="CBAL2",Worksheet!$Z$68,"N/A"))))))))," ")</f>
        <v xml:space="preserve"> </v>
      </c>
      <c r="FT132" s="362" t="str">
        <f>IF(L132&gt;0,IF(J132="CBAL2",Worksheet!$P$69,IF(J132="CBE2-24",Worksheet!$Q$69,IF(J132="CBAM",Worksheet!$R$69,IF(J132="CBLV",Worksheet!$S$69,IF(J132="CBAB",Worksheet!$U$69,IF(J132="CBAW",Worksheet!$X$69,IF(J132="CBE2-12",Worksheet!$Y$69,IF(J132="CBAL2",Worksheet!$Z$69,"N/A"))))))))," ")</f>
        <v xml:space="preserve"> </v>
      </c>
      <c r="FU132" s="361" t="str">
        <f t="shared" si="381"/>
        <v xml:space="preserve"> </v>
      </c>
      <c r="FV132" s="362" t="str">
        <f t="shared" si="382"/>
        <v xml:space="preserve"> </v>
      </c>
      <c r="FW132" s="362" t="str">
        <f t="shared" si="383"/>
        <v xml:space="preserve"> </v>
      </c>
      <c r="FX132" s="362" t="str">
        <f t="shared" si="384"/>
        <v xml:space="preserve"> </v>
      </c>
      <c r="FY132" s="355" t="str">
        <f t="shared" si="385"/>
        <v xml:space="preserve"> </v>
      </c>
      <c r="FZ132" s="361" t="str">
        <f t="shared" si="386"/>
        <v xml:space="preserve"> </v>
      </c>
      <c r="GA132" s="347" t="str">
        <f t="shared" si="387"/>
        <v xml:space="preserve"> </v>
      </c>
      <c r="GB132" s="355" t="str">
        <f t="shared" si="388"/>
        <v xml:space="preserve"> </v>
      </c>
      <c r="GC132" s="328" t="str">
        <f t="shared" si="389"/>
        <v xml:space="preserve"> </v>
      </c>
      <c r="GD132" s="361" t="str">
        <f t="shared" si="390"/>
        <v xml:space="preserve"> </v>
      </c>
      <c r="GE132" s="347" t="str">
        <f t="shared" si="391"/>
        <v xml:space="preserve"> </v>
      </c>
      <c r="GF132" s="361" t="str">
        <f t="shared" si="392"/>
        <v xml:space="preserve"> </v>
      </c>
      <c r="GG132" s="347" t="str">
        <f t="shared" si="393"/>
        <v xml:space="preserve"> </v>
      </c>
      <c r="GH132" s="364">
        <f t="shared" si="287"/>
        <v>0</v>
      </c>
      <c r="GI132" s="362">
        <f t="shared" si="394"/>
        <v>2</v>
      </c>
      <c r="GJ132" s="433" t="e">
        <f>IF(6-COUNTBLANK(GT132:GY132)=4,MATCH(MID(BO132,9,3),CLU!$H$16:$K$16),MATCH(MID(BO132,9,3),CLU!$H$13:$M$13))</f>
        <v>#N/A</v>
      </c>
      <c r="GK132" s="433" t="e">
        <f>HLOOKUP(VALUE(BP132),CLU!$H$9:$M$10,2)</f>
        <v>#VALUE!</v>
      </c>
      <c r="GL132" s="433" t="e">
        <f ca="1">MATCH(BU132,CLU!$H$2:$V$2,1)</f>
        <v>#VALUE!</v>
      </c>
      <c r="GM132" s="433" t="e">
        <f t="shared" ca="1" si="395"/>
        <v>#VALUE!</v>
      </c>
      <c r="GN132" s="433" t="e">
        <f t="shared" ca="1" si="396"/>
        <v>#VALUE!</v>
      </c>
      <c r="GO132" s="433" t="e">
        <f t="shared" ca="1" si="397"/>
        <v>#VALUE!</v>
      </c>
      <c r="GP132" s="433" t="e">
        <f t="shared" ca="1" si="398"/>
        <v>#VALUE!</v>
      </c>
      <c r="GQ132" s="433" t="e">
        <f t="shared" ca="1" si="399"/>
        <v>#VALUE!</v>
      </c>
      <c r="GR132" s="433" t="e">
        <f ca="1">MATCH(T132,INDIRECT(VLOOKUP(CONCATENATE(LEFT(BO132,7),"-",MID(BO132,13,1)),CLU!$P$3:$Q$16,2)),1)</f>
        <v>#N/A</v>
      </c>
      <c r="GS132" s="433" t="e">
        <f ca="1">MATCH(U132,INDIRECT(VLOOKUP(CONCATENATE(LEFT(BO132,7),"-",MID(BO132,13,1)),CLU!$P$3:$Q$16,2)),1)</f>
        <v>#N/A</v>
      </c>
      <c r="GT132" s="347" t="s">
        <v>512</v>
      </c>
      <c r="GU132" s="97" t="s">
        <v>513</v>
      </c>
      <c r="GV132" s="97" t="str">
        <f t="shared" si="400"/>
        <v>M23</v>
      </c>
      <c r="GW132" s="97" t="str">
        <f t="shared" si="401"/>
        <v>M31</v>
      </c>
      <c r="GX132" s="97" t="str">
        <f t="shared" si="402"/>
        <v/>
      </c>
      <c r="GY132" s="97" t="str">
        <f t="shared" si="403"/>
        <v/>
      </c>
      <c r="GZ132" s="481"/>
      <c r="HA132" s="288"/>
      <c r="HB132" s="240"/>
      <c r="HC132" s="240"/>
      <c r="HD132" s="240"/>
      <c r="HE132" s="240"/>
      <c r="HF132" s="240"/>
      <c r="HG132" s="240"/>
      <c r="HH132" s="240"/>
      <c r="HI132" s="240"/>
      <c r="HJ132" s="240"/>
      <c r="HK132" s="240"/>
      <c r="HL132" s="240"/>
      <c r="HM132" s="240"/>
      <c r="HN132" s="240"/>
      <c r="HO132" s="240"/>
      <c r="HP132" s="240"/>
      <c r="HQ132" s="240"/>
      <c r="HR132" s="240"/>
      <c r="HS132" s="240"/>
      <c r="HT132" s="240"/>
      <c r="HU132" s="240"/>
      <c r="HV132" s="245"/>
      <c r="HW132" s="245" t="b">
        <v>1</v>
      </c>
      <c r="HX132" s="245" t="str">
        <f t="shared" si="288"/>
        <v/>
      </c>
      <c r="HY132" s="245" t="e">
        <f t="shared" si="289"/>
        <v>#DIV/0!</v>
      </c>
      <c r="HZ132" s="245" t="e">
        <f t="shared" si="290"/>
        <v>#DIV/0!</v>
      </c>
      <c r="IA132" s="245">
        <f t="shared" si="291"/>
        <v>0</v>
      </c>
      <c r="IB132" s="245"/>
      <c r="IC132" t="b">
        <f t="shared" si="292"/>
        <v>1</v>
      </c>
      <c r="ID132" s="245" t="b">
        <f t="shared" si="293"/>
        <v>1</v>
      </c>
      <c r="IE132" s="245" t="b">
        <f t="shared" si="294"/>
        <v>1</v>
      </c>
      <c r="IF132" s="245" t="b">
        <f t="shared" si="295"/>
        <v>0</v>
      </c>
      <c r="IG132" s="245" t="b">
        <f t="shared" si="296"/>
        <v>1</v>
      </c>
      <c r="IH132" s="245" t="b">
        <f t="shared" si="297"/>
        <v>1</v>
      </c>
      <c r="II132" s="245">
        <f t="shared" si="404"/>
        <v>0</v>
      </c>
      <c r="IJ132" s="245" t="e">
        <f t="shared" si="298"/>
        <v>#VALUE!</v>
      </c>
      <c r="IK132" s="245" t="e">
        <f t="shared" si="299"/>
        <v>#VALUE!</v>
      </c>
      <c r="IL132" s="245"/>
      <c r="IM132" s="245" t="e">
        <f t="shared" si="405"/>
        <v>#N/A</v>
      </c>
      <c r="IN132" s="245" t="e">
        <f t="shared" si="406"/>
        <v>#N/A</v>
      </c>
      <c r="IO132" s="245"/>
      <c r="IP132" s="245"/>
      <c r="IQ132" s="245" t="str">
        <f t="shared" si="300"/>
        <v/>
      </c>
      <c r="IR132" s="245" t="str">
        <f>IF(J132="","",VLOOKUP(J132,Worksheet!$R$4:$T$14,2))</f>
        <v/>
      </c>
      <c r="IS132" s="245"/>
      <c r="IT132" s="245">
        <f t="shared" si="301"/>
        <v>0</v>
      </c>
      <c r="IU132" s="245">
        <f t="shared" si="302"/>
        <v>0</v>
      </c>
      <c r="IV132" s="245">
        <f t="shared" si="303"/>
        <v>0</v>
      </c>
      <c r="IW132" s="245">
        <f t="shared" si="304"/>
        <v>0</v>
      </c>
      <c r="IX132" s="245">
        <f t="shared" si="407"/>
        <v>0</v>
      </c>
      <c r="IY132" s="245">
        <f t="shared" si="305"/>
        <v>0</v>
      </c>
      <c r="IZ132" s="245">
        <f t="shared" si="306"/>
        <v>0</v>
      </c>
      <c r="JA132">
        <f t="shared" si="307"/>
        <v>0</v>
      </c>
      <c r="JB132">
        <f t="shared" si="408"/>
        <v>0</v>
      </c>
      <c r="JC132">
        <f t="shared" si="308"/>
        <v>0</v>
      </c>
      <c r="JD132">
        <f t="shared" si="309"/>
        <v>0</v>
      </c>
      <c r="JE132">
        <f t="shared" si="310"/>
        <v>0</v>
      </c>
      <c r="JF132">
        <f t="shared" si="311"/>
        <v>0</v>
      </c>
      <c r="JG132">
        <f t="shared" si="312"/>
        <v>0</v>
      </c>
      <c r="JH132">
        <f t="shared" si="313"/>
        <v>0</v>
      </c>
      <c r="JI132">
        <f t="shared" si="314"/>
        <v>0</v>
      </c>
      <c r="JJ132" s="447">
        <f t="shared" si="315"/>
        <v>0</v>
      </c>
      <c r="JK132" s="447">
        <f t="shared" si="316"/>
        <v>0</v>
      </c>
      <c r="JL132">
        <f t="shared" si="317"/>
        <v>0</v>
      </c>
      <c r="JM132" s="245" t="str">
        <f>IFERROR(VLOOKUP(MATCH(BN132,#REF!,0),#REF!,7),"")</f>
        <v/>
      </c>
      <c r="JN132" t="e">
        <f>HLOOKUP(LEFT(BO132,7),Discharge_Area,MATCH(JO132,LookUps!$B$130:$B$149,1)+2)</f>
        <v>#N/A</v>
      </c>
      <c r="JO132" t="str">
        <f t="shared" si="318"/>
        <v>- S</v>
      </c>
      <c r="JP132" t="e">
        <f>HLOOKUP(LEFT(BO132,7),Discharge_Area,MATCH(JO132,LookUps!$B$130:$B$149,1)+2)</f>
        <v>#N/A</v>
      </c>
      <c r="JQ132" t="e">
        <f t="shared" si="319"/>
        <v>#N/A</v>
      </c>
      <c r="JR132" t="e">
        <f t="shared" si="320"/>
        <v>#N/A</v>
      </c>
      <c r="JS132" t="e">
        <f t="shared" si="321"/>
        <v>#N/A</v>
      </c>
      <c r="JT132" s="532" t="str">
        <f t="shared" si="322"/>
        <v xml:space="preserve"> </v>
      </c>
      <c r="JU132" s="532" t="str">
        <f t="shared" si="323"/>
        <v xml:space="preserve"> </v>
      </c>
      <c r="JV132" s="533" t="str">
        <f t="shared" si="324"/>
        <v xml:space="preserve"> </v>
      </c>
      <c r="JW132" s="534">
        <f t="shared" si="325"/>
        <v>0</v>
      </c>
      <c r="JX132" s="535" t="str">
        <f t="shared" si="409"/>
        <v xml:space="preserve"> </v>
      </c>
      <c r="JY132" s="535" t="str">
        <f t="shared" si="410"/>
        <v xml:space="preserve"> </v>
      </c>
      <c r="JZ132" s="535" t="str">
        <f t="shared" si="411"/>
        <v xml:space="preserve"> </v>
      </c>
      <c r="KA132" s="536" t="str">
        <f t="shared" si="326"/>
        <v xml:space="preserve"> </v>
      </c>
      <c r="KB132" s="535" t="e">
        <f t="shared" si="412"/>
        <v>#VALUE!</v>
      </c>
      <c r="KC132" s="535" t="str">
        <f t="shared" si="327"/>
        <v/>
      </c>
      <c r="KD132" s="537" t="str">
        <f t="shared" si="413"/>
        <v xml:space="preserve"> </v>
      </c>
      <c r="KE132" s="537" t="str">
        <f t="shared" si="414"/>
        <v xml:space="preserve"> </v>
      </c>
      <c r="KF132" s="534">
        <f t="shared" si="328"/>
        <v>0</v>
      </c>
      <c r="KG132" s="535" t="str">
        <f t="shared" si="329"/>
        <v xml:space="preserve"> </v>
      </c>
      <c r="KH132" s="535" t="str">
        <f t="shared" si="330"/>
        <v xml:space="preserve"> </v>
      </c>
      <c r="KI132" s="535" t="str">
        <f t="shared" si="331"/>
        <v xml:space="preserve"> </v>
      </c>
      <c r="KJ132" s="536" t="str">
        <f t="shared" si="332"/>
        <v xml:space="preserve"> </v>
      </c>
      <c r="KK132" s="535" t="str">
        <f t="shared" si="415"/>
        <v xml:space="preserve"> </v>
      </c>
      <c r="KL132" s="535" t="str">
        <f t="shared" si="416"/>
        <v xml:space="preserve"> </v>
      </c>
      <c r="KM132" s="537" t="str">
        <f t="shared" si="333"/>
        <v xml:space="preserve"> </v>
      </c>
      <c r="KN132" s="537" t="str">
        <f t="shared" si="417"/>
        <v xml:space="preserve"> </v>
      </c>
      <c r="KP132">
        <f t="shared" si="334"/>
        <v>0</v>
      </c>
      <c r="LA132" t="e">
        <f t="shared" si="335"/>
        <v>#VALUE!</v>
      </c>
      <c r="LB132" t="e">
        <f t="shared" si="336"/>
        <v>#VALUE!</v>
      </c>
      <c r="LC132" t="e">
        <f t="shared" si="337"/>
        <v>#VALUE!</v>
      </c>
      <c r="LD132" t="e">
        <f t="shared" si="338"/>
        <v>#VALUE!</v>
      </c>
      <c r="LE132" t="e">
        <f t="shared" si="418"/>
        <v>#VALUE!</v>
      </c>
      <c r="LF132">
        <f t="shared" si="339"/>
        <v>0</v>
      </c>
      <c r="LG132" t="e">
        <f t="shared" si="419"/>
        <v>#VALUE!</v>
      </c>
      <c r="LH132" t="str">
        <f t="shared" si="340"/>
        <v xml:space="preserve"> </v>
      </c>
      <c r="LI132">
        <f t="shared" si="420"/>
        <v>1</v>
      </c>
    </row>
    <row r="133" spans="2:321" ht="15" customHeight="1">
      <c r="B133" s="311"/>
      <c r="C133" s="311"/>
      <c r="D133" s="312"/>
      <c r="E133" s="311"/>
      <c r="F133" s="312"/>
      <c r="G133" s="311"/>
      <c r="H133" s="311"/>
      <c r="I133" s="37"/>
      <c r="J133" s="311"/>
      <c r="K133" s="305" t="str">
        <f t="shared" si="341"/>
        <v/>
      </c>
      <c r="L133" s="313"/>
      <c r="M133" s="312"/>
      <c r="N133" s="311"/>
      <c r="O133" s="312"/>
      <c r="P133" s="311"/>
      <c r="Q133" s="305" t="str">
        <f t="shared" si="342"/>
        <v/>
      </c>
      <c r="R133" s="314"/>
      <c r="S133" s="450" t="str">
        <f t="shared" si="225"/>
        <v/>
      </c>
      <c r="T133" s="315"/>
      <c r="U133" s="315"/>
      <c r="W133" s="149" t="str">
        <f t="shared" si="226"/>
        <v xml:space="preserve"> </v>
      </c>
      <c r="X133" s="243" t="str">
        <f t="shared" si="227"/>
        <v xml:space="preserve"> </v>
      </c>
      <c r="Y133" s="150" t="str">
        <f t="shared" si="228"/>
        <v/>
      </c>
      <c r="Z133" s="149" t="str">
        <f t="shared" si="229"/>
        <v xml:space="preserve"> </v>
      </c>
      <c r="AA133" s="98" t="str">
        <f t="shared" si="230"/>
        <v xml:space="preserve"> </v>
      </c>
      <c r="AB133" s="153" t="str">
        <f t="shared" si="231"/>
        <v xml:space="preserve"> </v>
      </c>
      <c r="AC133" s="153" t="str">
        <f t="shared" si="232"/>
        <v xml:space="preserve"> </v>
      </c>
      <c r="AD133" s="148" t="str">
        <f t="shared" si="233"/>
        <v/>
      </c>
      <c r="AE133" s="149" t="str">
        <f t="shared" si="234"/>
        <v/>
      </c>
      <c r="AF133" s="151" t="str">
        <f t="shared" si="235"/>
        <v xml:space="preserve"> </v>
      </c>
      <c r="AG133" s="153" t="str">
        <f t="shared" si="236"/>
        <v xml:space="preserve"> </v>
      </c>
      <c r="AH133" s="98" t="str">
        <f t="shared" si="237"/>
        <v xml:space="preserve"> </v>
      </c>
      <c r="AI133" s="149" t="str">
        <f t="shared" si="238"/>
        <v xml:space="preserve"> </v>
      </c>
      <c r="AK133" s="144" t="str">
        <f t="shared" si="239"/>
        <v xml:space="preserve"> </v>
      </c>
      <c r="AL133" s="144"/>
      <c r="AM133" s="243" t="str">
        <f t="shared" si="240"/>
        <v xml:space="preserve"> </v>
      </c>
      <c r="AN133" s="149" t="str">
        <f t="shared" si="343"/>
        <v xml:space="preserve"> </v>
      </c>
      <c r="AO133" s="144" t="str">
        <f>IF(JB133&gt;0,IF(GI133=10,-R133*1.085*(Calculation!$F$6-Calculation!$F$13)*$S$14," "),"")</f>
        <v/>
      </c>
      <c r="AP133" s="144" t="str">
        <f t="shared" si="241"/>
        <v/>
      </c>
      <c r="AQ133" s="56" t="str">
        <f t="shared" si="242"/>
        <v/>
      </c>
      <c r="AR133" s="144" t="str">
        <f t="shared" si="243"/>
        <v/>
      </c>
      <c r="AS133" s="176" t="str">
        <f t="shared" si="244"/>
        <v/>
      </c>
      <c r="AT133" s="176" t="str">
        <f t="shared" si="344"/>
        <v xml:space="preserve"> </v>
      </c>
      <c r="AU133" s="176" t="str">
        <f t="shared" si="245"/>
        <v/>
      </c>
      <c r="AV133" s="177" t="str">
        <f t="shared" si="246"/>
        <v xml:space="preserve"> </v>
      </c>
      <c r="AW133" s="144" t="str">
        <f t="shared" si="247"/>
        <v xml:space="preserve"> </v>
      </c>
      <c r="AX133" s="144" t="str">
        <f t="shared" si="248"/>
        <v xml:space="preserve"> </v>
      </c>
      <c r="AY133" s="152" t="str">
        <f t="shared" si="249"/>
        <v xml:space="preserve"> </v>
      </c>
      <c r="AZ133" s="246" t="str">
        <f t="shared" si="250"/>
        <v/>
      </c>
      <c r="BA133" s="176" t="str">
        <f t="shared" si="251"/>
        <v xml:space="preserve"> </v>
      </c>
      <c r="BB133" s="176" t="str">
        <f t="shared" si="252"/>
        <v xml:space="preserve"> </v>
      </c>
      <c r="BC133" s="195"/>
      <c r="BD133" s="316"/>
      <c r="BE133" s="317"/>
      <c r="BF133" s="318"/>
      <c r="BG133" s="318"/>
      <c r="BH133" s="144" t="str">
        <f t="shared" si="421"/>
        <v xml:space="preserve"> </v>
      </c>
      <c r="BI133" s="176" t="str">
        <f t="shared" si="253"/>
        <v/>
      </c>
      <c r="BJ133" s="144" t="str">
        <f t="shared" si="422"/>
        <v/>
      </c>
      <c r="BK133" s="246" t="str">
        <f t="shared" si="254"/>
        <v/>
      </c>
      <c r="BL133" s="144" t="str">
        <f t="shared" si="423"/>
        <v/>
      </c>
      <c r="BM133" s="246" t="str">
        <f t="shared" si="255"/>
        <v/>
      </c>
      <c r="BN133" s="337" t="str">
        <f t="shared" si="345"/>
        <v/>
      </c>
      <c r="BO133" s="371" t="str">
        <f t="shared" si="346"/>
        <v/>
      </c>
      <c r="BP133" s="328" t="str">
        <f t="shared" si="424"/>
        <v xml:space="preserve"> </v>
      </c>
      <c r="BQ133" s="347" t="str">
        <f t="shared" si="347"/>
        <v xml:space="preserve"> </v>
      </c>
      <c r="BR133" s="353" t="str">
        <f t="shared" si="348"/>
        <v xml:space="preserve"> </v>
      </c>
      <c r="BS133" s="626" t="str">
        <f>IF(L133&gt;0,IF(Calculation!P133="M13",BR133*3.1416*(0.134^2)/(4*144),IF(Calculation!P133="M17",BR133*3.1416*(0.165^2)/(4*144),IF(Calculation!P133="M20",BR133*3.1416*(0.198^2)/(4*144),IF(Calculation!P133="M23",BR133*3.1416*(0.228^2)/(4*144),IF(Calculation!P133="M27",BR133*3.1416*(0.269^2)/(4*144),BR133*3.1416*(0.307^2)/(4*144))))))," ")</f>
        <v xml:space="preserve"> </v>
      </c>
      <c r="BT133" s="353" t="str">
        <f>IF(L133&gt;0,IF(BS133&gt;0,R133/Calculation!BS133,0)," ")</f>
        <v xml:space="preserve"> </v>
      </c>
      <c r="BU133" s="438" t="e">
        <f t="shared" ca="1" si="256"/>
        <v>#VALUE!</v>
      </c>
      <c r="BV133" s="449" t="e">
        <f ca="1">INDEX(INDIRECT(VLOOKUP(LEFT(BO133,7),CLU!$Z$3:$AH$18,2)),GN133,GR133)</f>
        <v>#N/A</v>
      </c>
      <c r="BW133" s="433" t="e">
        <f ca="1">INDEX(INDIRECT(VLOOKUP(LEFT(BO133,7),CLU!$Z$3:$AH$18,3)),GN133,GR133)</f>
        <v>#N/A</v>
      </c>
      <c r="BX133" s="433" t="e">
        <f ca="1">INDEX(INDIRECT(VLOOKUP(LEFT(BO133,7),CLU!$Z$3:$AH$18,4)),GN133,GR133)</f>
        <v>#N/A</v>
      </c>
      <c r="BY133" s="433" t="e">
        <f ca="1">INDEX(INDIRECT(VLOOKUP(LEFT(BO133,7),CLU!$Z$3:$AH$18,9)),((M133-2)*(6-COUNTBLANK(GT133:GY133)))+GJ133)</f>
        <v>#N/A</v>
      </c>
      <c r="BZ133" s="426" t="e">
        <f t="shared" ca="1" si="349"/>
        <v>#N/A</v>
      </c>
      <c r="CA133" s="424" t="e">
        <f t="shared" ca="1" si="350"/>
        <v>#N/A</v>
      </c>
      <c r="CB133" s="429" t="e">
        <f ca="1">INDEX(INDIRECT(VLOOKUP(LEFT(BO133,7),CLU!$Z$3:$AH$18,2)),GN133,GS133)</f>
        <v>#N/A</v>
      </c>
      <c r="CC133" s="342" t="e">
        <f ca="1">INDEX(INDIRECT(VLOOKUP(LEFT(BO133,7),CLU!$Z$3:$AH$18,3)),GN133,GS133)</f>
        <v>#N/A</v>
      </c>
      <c r="CD133" s="342" t="e">
        <f ca="1">INDEX(INDIRECT(VLOOKUP(LEFT(BO133,7),CLU!$Z$3:$AH$18,4)),GN133,GS133)</f>
        <v>#N/A</v>
      </c>
      <c r="CE133" s="426" t="e">
        <f t="shared" ca="1" si="351"/>
        <v>#N/A</v>
      </c>
      <c r="CF133" s="440">
        <f t="shared" si="352"/>
        <v>0</v>
      </c>
      <c r="CG133" s="431" t="e">
        <f ca="1">INDEX(INDIRECT(VLOOKUP(LEFT(BO133,7),CLU!$Z$3:$AH$18,2)),GQ133,GR133)</f>
        <v>#N/A</v>
      </c>
      <c r="CH133" s="431" t="e">
        <f ca="1">INDEX(INDIRECT(VLOOKUP(LEFT(BO133,7),CLU!$Z$3:$AH$18,3)),GQ133,GR133)</f>
        <v>#N/A</v>
      </c>
      <c r="CI133" s="431" t="e">
        <f ca="1">INDEX(INDIRECT(VLOOKUP(LEFT(BO133,7),CLU!$Z$3:$AH$18,4)),GQ133,GR133)</f>
        <v>#N/A</v>
      </c>
      <c r="CJ133" s="448" t="e">
        <f t="shared" ca="1" si="353"/>
        <v>#N/A</v>
      </c>
      <c r="CK133" s="431" t="e">
        <f t="shared" ca="1" si="354"/>
        <v>#N/A</v>
      </c>
      <c r="CL133" s="440" t="e">
        <f t="shared" ca="1" si="355"/>
        <v>#N/A</v>
      </c>
      <c r="CM133" s="431" t="e">
        <f ca="1">INDEX(INDIRECT(VLOOKUP(LEFT(BO133,7),CLU!$Z$3:$AH$18,2)),GQ133,GS133)</f>
        <v>#N/A</v>
      </c>
      <c r="CN133" s="431" t="e">
        <f ca="1">INDEX(INDIRECT(VLOOKUP(LEFT(BO133,7),CLU!$Z$3:$AH$18,3)),GQ133,GS133)</f>
        <v>#N/A</v>
      </c>
      <c r="CO133" s="431" t="e">
        <f ca="1">INDEX(INDIRECT(VLOOKUP(LEFT(BO133,7),CLU!$Z$3:$AH$18,4)),GQ133,GS133)</f>
        <v>#N/A</v>
      </c>
      <c r="CP133" s="431" t="e">
        <f t="shared" ca="1" si="356"/>
        <v>#N/A</v>
      </c>
      <c r="CQ133" s="440">
        <f t="shared" si="357"/>
        <v>0</v>
      </c>
      <c r="CR133" s="51" t="e">
        <f t="shared" ca="1" si="358"/>
        <v>#N/A</v>
      </c>
      <c r="CS133" s="439" t="e">
        <f t="shared" ca="1" si="359"/>
        <v>#VALUE!</v>
      </c>
      <c r="CT133" s="51" t="e">
        <f t="shared" ca="1" si="360"/>
        <v>#VALUE!</v>
      </c>
      <c r="CU133" s="10"/>
      <c r="CV133" s="51" t="e">
        <f t="shared" ca="1" si="257"/>
        <v>#VALUE!</v>
      </c>
      <c r="CW133" s="51">
        <f t="shared" si="361"/>
        <v>0</v>
      </c>
      <c r="CX133" s="439" t="e">
        <f t="shared" ca="1" si="362"/>
        <v>#VALUE!</v>
      </c>
      <c r="CY133" s="51" t="e">
        <f t="shared" ca="1" si="363"/>
        <v>#VALUE!</v>
      </c>
      <c r="CZ133" s="10"/>
      <c r="DA133" s="51" t="e">
        <f t="shared" ca="1" si="364"/>
        <v>#VALUE!</v>
      </c>
      <c r="DB133" s="347" t="e">
        <f ca="1">INDEX(INDIRECT(VLOOKUP(LEFT(BO133,7),CLU!$Z$3:$AI$18,10)),((M133-2)*(6-COUNTBLANK(GT133:GY133)))+GJ133)*LI133</f>
        <v>#N/A</v>
      </c>
      <c r="DC133" s="347" t="str">
        <f>IF(L133&gt;0,((R133/Worksheet!$I$15)/DB133)^2," ")</f>
        <v xml:space="preserve"> </v>
      </c>
      <c r="DD133" s="602" t="str">
        <f t="shared" si="365"/>
        <v xml:space="preserve"> </v>
      </c>
      <c r="DE133" s="347" t="str">
        <f t="shared" si="258"/>
        <v xml:space="preserve"> </v>
      </c>
      <c r="DF133" s="356" t="e">
        <f ca="1">INDEX(INDIRECT(VLOOKUP(LEFT(BO133,7),CLU!$Z$3:$AH$18,8)),((M133-2)*(6-COUNTBLANK(GT133:GY133)))+GJ133)</f>
        <v>#N/A</v>
      </c>
      <c r="DG133" s="347" t="str">
        <f t="shared" si="259"/>
        <v xml:space="preserve"> </v>
      </c>
      <c r="DH133" s="357" t="str">
        <f t="shared" si="260"/>
        <v xml:space="preserve"> </v>
      </c>
      <c r="DI133" s="355" t="str">
        <f t="shared" si="261"/>
        <v xml:space="preserve"> </v>
      </c>
      <c r="DJ133" s="245" t="e">
        <f ca="1">INDEX(INDIRECT(VLOOKUP(LEFT(BO133,7),CLU!$Z$3:$AH$18,5)),GL133,GK133)</f>
        <v>#N/A</v>
      </c>
      <c r="DK133" s="245" t="e">
        <f ca="1">INDEX(INDIRECT(VLOOKUP(LEFT(BO133,7),CLU!$Z$3:$AH$18,6)),GL133,GK133)</f>
        <v>#N/A</v>
      </c>
      <c r="DL133" s="355">
        <f>(Calculation!R133*0.69143*(Calculation!$BQ$8-Calculation!$F$8))*$S$14</f>
        <v>0</v>
      </c>
      <c r="DM133" s="359" t="e">
        <f t="shared" si="366"/>
        <v>#VALUE!</v>
      </c>
      <c r="DN133" s="611">
        <f t="shared" si="367"/>
        <v>0</v>
      </c>
      <c r="DO133" s="359">
        <f t="shared" si="368"/>
        <v>100</v>
      </c>
      <c r="DP133" s="359">
        <f t="shared" si="369"/>
        <v>0</v>
      </c>
      <c r="DQ133" s="360"/>
      <c r="DR133" s="245" t="e">
        <f ca="1">INDEX(INDIRECT(VLOOKUP(LEFT(BO133,7),CLU!$Z$3:$AH$18,7)),M133-1,1)</f>
        <v>#N/A</v>
      </c>
      <c r="DS133" s="245" t="e">
        <f ca="1">INDEX(INDIRECT(VLOOKUP(LEFT(BO133,7),CLU!$Z$3:$AH$18,7)),M133-1,2)</f>
        <v>#N/A</v>
      </c>
      <c r="DT133" s="245" t="e">
        <f ca="1">INDEX(INDIRECT(VLOOKUP(LEFT(BO133,7),CLU!$Z$3:$AH$18,7)),M133-1,3)</f>
        <v>#N/A</v>
      </c>
      <c r="DU133" s="245" t="e">
        <f ca="1">INDEX(INDIRECT(VLOOKUP(LEFT(BO133,7),CLU!$Z$3:$AH$18,7)),M133-1,4)</f>
        <v>#N/A</v>
      </c>
      <c r="DV133" s="361" t="e">
        <f ca="1">INDEX(INDIRECT(VLOOKUP(LEFT(BO133,7),CLU!$Z$3:$AH$18,7)),M133-1,4+LEFT(DZ133,1)*0.5)</f>
        <v>#N/A</v>
      </c>
      <c r="DW133" s="245" t="e">
        <f ca="1">INDEX(INDIRECT(VLOOKUP(LEFT(BO133,7),CLU!$Z$3:$AH$18,7)),M133-1,8)</f>
        <v>#N/A</v>
      </c>
      <c r="DX133" s="361" t="str">
        <f t="shared" si="262"/>
        <v xml:space="preserve"> </v>
      </c>
      <c r="DY133" s="361" t="str">
        <f t="shared" si="263"/>
        <v xml:space="preserve"> </v>
      </c>
      <c r="DZ133" s="361" t="str">
        <f t="shared" si="264"/>
        <v xml:space="preserve"> </v>
      </c>
      <c r="EA133" s="362" t="str">
        <f t="shared" si="265"/>
        <v xml:space="preserve"> </v>
      </c>
      <c r="EB133" s="624" t="str">
        <f t="shared" si="370"/>
        <v xml:space="preserve"> </v>
      </c>
      <c r="EC133" s="361" t="e">
        <f ca="1">INDEX(INDIRECT(VLOOKUP(LEFT(BO133,7),CLU!$Z$3:$AH$18,7)),M133-1,4+LEFT(DZ133,1)*0.5)</f>
        <v>#N/A</v>
      </c>
      <c r="ED133" s="362" t="str">
        <f t="shared" si="266"/>
        <v xml:space="preserve"> </v>
      </c>
      <c r="EE133" s="361" t="str">
        <f t="shared" si="267"/>
        <v xml:space="preserve"> </v>
      </c>
      <c r="EF133" s="362" t="str">
        <f>IF(L133&gt;0,IF(BR133&gt;0,IF(EE133="2P",IF(Calculation!DZ133="2P",IF(Calculation!DS133=13.75,IF(Calculation!DR133=13,Worksheet!$BD$43,IF(Calculation!DR133=37,Worksheet!$BD$44,Worksheet!$BD$45)),IF(Calculation!DS133=10,IF(Calculation!DR133=18,Worksheet!$BD$29,IF(Calculation!DR133=30,Worksheet!$BD$30,IF(Calculation!DR133=42,Worksheet!$BD$31,IF(Calculation!DR133=54,Worksheet!$BD$32,IF(Calculation!DR133=66,Worksheet!$BD$33,IF(Calculation!DR133=78,Worksheet!$BD$34,IF(Calculation!DR133=90,Worksheet!$BD$35,IF(Calculation!DR133=102,Worksheet!$BD$36,Worksheet!$BD$37)))))))),IF(Calculation!DS133=12.5,IF(Calculation!DR133=18,Worksheet!$BD$38,IF(Calculation!DR133=Worksheet!$BD$39,IF(Calculation!DR133=42,Worksheet!$BD$40,IF(Calculation!DR133=54,Worksheet!$BD$41,Worksheet!$BD$42)))),IF(Calculation!DR133=18,Worksheet!$BD$11,IF(Calculation!DR133=30,Worksheet!$BD$12,IF(Calculation!DR133=42,Worksheet!$BD$13,IF(Calculation!DR133=54,Worksheet!$BD$14,IF(Calculation!DR133=66,Worksheet!$BD$15,IF(Calculation!DR133=78,Worksheet!$BD$16,IF(Calculation!DR133=90,Worksheet!$BD$17,IF(Calculation!DR133=102,Worksheet!$BD$18,Worksheet!$BD$19))))))))))),IF(Calculation!DS133=13.75,IF(Calculation!DR133=13,Worksheet!$BD$78,IF(Calculation!DR133=37,Worksheet!$BD$79,Worksheet!$BD$80)),IF(Calculation!DS133=10,IF(Calculation!DR133=18,Worksheet!$BD$64,IF(Calculation!DR133=30,Worksheet!$BD$65,IF(Calculation!DR133=42,Worksheet!$BD$66,IF(Calculation!DR133=54,Worksheet!$BD$68,IF(Calculation!DR133=66,Worksheet!$BD$68,IF(Calculation!DR133=78,Worksheet!$BD$69,IF(Calculation!DR133=90,Worksheet!$BD$70,IF(Calculation!DR133=102,Worksheet!$BD$71,Worksheet!$BD$72)))))))),IF(Calculation!DS133=12.5,IF(Calculation!DR133=18,Worksheet!$BD$73,IF(Calculation!DR133=Worksheet!$BD$74,IF(Calculation!DR133=42,Worksheet!$BD$75,IF(Calculation!DR133=54,Worksheet!$BD$76,Worksheet!$BD$77)))),IF(Calculation!DR133=18,Worksheet!$BD$55,IF(Calculation!DR133=30,Worksheet!$BD$56,IF(Calculation!DR133=42,Worksheet!$BD$57,IF(Calculation!DR133=54,Worksheet!$BD$58,IF(Calculation!DR133=66,Worksheet!$BD$59,IF(Calculation!DR133=78,Worksheet!$BD$60,IF(Calculation!DR133=90,Worksheet!$BD$61,IF(Calculation!DR133=102,Worksheet!$BD$62,Worksheet!$BD$63)))))))))))),5),0)," ")</f>
        <v xml:space="preserve"> </v>
      </c>
      <c r="EG133" s="361" t="str">
        <f t="shared" si="268"/>
        <v xml:space="preserve"> </v>
      </c>
      <c r="EH133" s="361" t="e">
        <f ca="1">INDEX(INDIRECT(VLOOKUP(LEFT(BO133,7),CLU!$Z$3:$AH$18,7)),M133-1,3+LEFT(DZ133,1))</f>
        <v>#N/A</v>
      </c>
      <c r="EI133" s="362" t="str">
        <f t="shared" si="269"/>
        <v xml:space="preserve"> </v>
      </c>
      <c r="EJ133" s="363" t="str">
        <f t="shared" si="270"/>
        <v xml:space="preserve"> </v>
      </c>
      <c r="EK133" s="363" t="str">
        <f t="shared" si="271"/>
        <v xml:space="preserve"> </v>
      </c>
      <c r="EL133" s="363" t="str">
        <f t="shared" si="272"/>
        <v xml:space="preserve"> </v>
      </c>
      <c r="EM133" s="362" t="str">
        <f>IF(L133&gt;0,IF(BR133&gt;0,(Calculation!T133/ED133)^2,0)," ")</f>
        <v xml:space="preserve"> </v>
      </c>
      <c r="EN133" s="362" t="str">
        <f>IF(L133&gt;0,IF(O133="2 Pipe (Cooling)","N/A",IF(BR133&gt;0,(Calculation!U133/EI133)^2,0))," ")</f>
        <v xml:space="preserve"> </v>
      </c>
      <c r="EO133" s="361" t="str">
        <f t="shared" si="273"/>
        <v/>
      </c>
      <c r="EP133" s="361" t="str">
        <f t="shared" si="274"/>
        <v/>
      </c>
      <c r="EQ133" s="361" t="str">
        <f t="shared" si="275"/>
        <v/>
      </c>
      <c r="ER133" s="361" t="str">
        <f t="shared" si="276"/>
        <v/>
      </c>
      <c r="ES133" s="361" t="str">
        <f t="shared" si="277"/>
        <v/>
      </c>
      <c r="ET133" s="361" t="str">
        <f t="shared" si="278"/>
        <v/>
      </c>
      <c r="EU133" s="361" t="str">
        <f t="shared" si="279"/>
        <v/>
      </c>
      <c r="EV133" s="361" t="str">
        <f t="shared" si="280"/>
        <v/>
      </c>
      <c r="EW133" s="361" t="str">
        <f t="shared" si="281"/>
        <v/>
      </c>
      <c r="EX133" s="361" t="str">
        <f t="shared" si="371"/>
        <v>1 slot, 1 way</v>
      </c>
      <c r="EY133" s="361" t="str">
        <f t="shared" si="372"/>
        <v xml:space="preserve"> </v>
      </c>
      <c r="EZ133" s="361" t="str">
        <f t="shared" si="373"/>
        <v xml:space="preserve"> </v>
      </c>
      <c r="FA133" s="361" t="str">
        <f t="shared" si="374"/>
        <v xml:space="preserve"> </v>
      </c>
      <c r="FB133" s="361" t="str">
        <f t="shared" si="375"/>
        <v xml:space="preserve"> </v>
      </c>
      <c r="FC133" s="361"/>
      <c r="FD133" s="361" t="str">
        <f>IF(J133&gt;0,IF(Calculation!R133&lt;=70,4,IF(Calculation!R133&lt;=110,5,IF(Calculation!R133&lt;=160,6,IF(Calculation!R133&lt;=300,8,"10 EO")))),"")</f>
        <v/>
      </c>
      <c r="FE133" s="361" t="str">
        <f t="shared" si="376"/>
        <v/>
      </c>
      <c r="FF133" s="361" t="str">
        <f t="shared" si="377"/>
        <v/>
      </c>
      <c r="FG133" s="361" t="e">
        <f t="shared" si="282"/>
        <v>#N/A</v>
      </c>
      <c r="FH133" s="361">
        <f t="shared" si="283"/>
        <v>0</v>
      </c>
      <c r="FI133" s="361" t="e">
        <f t="shared" si="284"/>
        <v>#DIV/0!</v>
      </c>
      <c r="FJ133" s="361"/>
      <c r="FK133" s="356" t="e">
        <f t="shared" si="285"/>
        <v>#VALUE!</v>
      </c>
      <c r="FL133" s="361"/>
      <c r="FM133" s="361"/>
      <c r="FN133" s="362" t="str">
        <f t="shared" si="378"/>
        <v xml:space="preserve"> </v>
      </c>
      <c r="FO133" s="362" t="str">
        <f t="shared" si="379"/>
        <v xml:space="preserve"> </v>
      </c>
      <c r="FP133" s="362">
        <f t="shared" si="380"/>
        <v>0</v>
      </c>
      <c r="FQ133" s="361">
        <f t="shared" si="286"/>
        <v>0</v>
      </c>
      <c r="FR133" s="362" t="str">
        <f>IF(L133&gt;0,IF(J133="CBAL2",Worksheet!$P$67,IF(J133="CBE2-24",Worksheet!$Q$67,IF(J133="CBAM",Worksheet!$R$67,IF(J133="CBLV",Worksheet!$S$67,IF(J133="CBAB",Worksheet!$U$67,IF(J133="CBAW",Worksheet!$X$67,IF(J133="CBE2-12",Worksheet!$Y$67,IF(J133="CBAL2",Worksheet!$Z$67,"N/A"))))))))," ")</f>
        <v xml:space="preserve"> </v>
      </c>
      <c r="FS133" s="362" t="str">
        <f>IF(L133&gt;0,IF(J133="CBAL2",Worksheet!$P$68,IF(J133="CBE2-24",Worksheet!$Q$68,IF(J133="CBAM",Worksheet!$R$68,IF(J133="CBLV",Worksheet!$S$68,IF(J133="CBAB",Worksheet!$U$68,IF(J133="CBAW",Worksheet!$X$68,IF(J133="CBE2-12",Worksheet!$Y$68,IF(J133="CBAL2",Worksheet!$Z$68,"N/A"))))))))," ")</f>
        <v xml:space="preserve"> </v>
      </c>
      <c r="FT133" s="362" t="str">
        <f>IF(L133&gt;0,IF(J133="CBAL2",Worksheet!$P$69,IF(J133="CBE2-24",Worksheet!$Q$69,IF(J133="CBAM",Worksheet!$R$69,IF(J133="CBLV",Worksheet!$S$69,IF(J133="CBAB",Worksheet!$U$69,IF(J133="CBAW",Worksheet!$X$69,IF(J133="CBE2-12",Worksheet!$Y$69,IF(J133="CBAL2",Worksheet!$Z$69,"N/A"))))))))," ")</f>
        <v xml:space="preserve"> </v>
      </c>
      <c r="FU133" s="361" t="str">
        <f t="shared" si="381"/>
        <v xml:space="preserve"> </v>
      </c>
      <c r="FV133" s="362" t="str">
        <f t="shared" si="382"/>
        <v xml:space="preserve"> </v>
      </c>
      <c r="FW133" s="362" t="str">
        <f t="shared" si="383"/>
        <v xml:space="preserve"> </v>
      </c>
      <c r="FX133" s="362" t="str">
        <f t="shared" si="384"/>
        <v xml:space="preserve"> </v>
      </c>
      <c r="FY133" s="355" t="str">
        <f t="shared" si="385"/>
        <v xml:space="preserve"> </v>
      </c>
      <c r="FZ133" s="361" t="str">
        <f t="shared" si="386"/>
        <v xml:space="preserve"> </v>
      </c>
      <c r="GA133" s="347" t="str">
        <f t="shared" si="387"/>
        <v xml:space="preserve"> </v>
      </c>
      <c r="GB133" s="355" t="str">
        <f t="shared" si="388"/>
        <v xml:space="preserve"> </v>
      </c>
      <c r="GC133" s="328" t="str">
        <f t="shared" si="389"/>
        <v xml:space="preserve"> </v>
      </c>
      <c r="GD133" s="361" t="str">
        <f t="shared" si="390"/>
        <v xml:space="preserve"> </v>
      </c>
      <c r="GE133" s="347" t="str">
        <f t="shared" si="391"/>
        <v xml:space="preserve"> </v>
      </c>
      <c r="GF133" s="361" t="str">
        <f t="shared" si="392"/>
        <v xml:space="preserve"> </v>
      </c>
      <c r="GG133" s="347" t="str">
        <f t="shared" si="393"/>
        <v xml:space="preserve"> </v>
      </c>
      <c r="GH133" s="364">
        <f t="shared" si="287"/>
        <v>0</v>
      </c>
      <c r="GI133" s="362">
        <f t="shared" si="394"/>
        <v>2</v>
      </c>
      <c r="GJ133" s="433" t="e">
        <f>IF(6-COUNTBLANK(GT133:GY133)=4,MATCH(MID(BO133,9,3),CLU!$H$16:$K$16),MATCH(MID(BO133,9,3),CLU!$H$13:$M$13))</f>
        <v>#N/A</v>
      </c>
      <c r="GK133" s="433" t="e">
        <f>HLOOKUP(VALUE(BP133),CLU!$H$9:$M$10,2)</f>
        <v>#VALUE!</v>
      </c>
      <c r="GL133" s="433" t="e">
        <f ca="1">MATCH(BU133,CLU!$H$2:$V$2,1)</f>
        <v>#VALUE!</v>
      </c>
      <c r="GM133" s="433" t="e">
        <f t="shared" ca="1" si="395"/>
        <v>#VALUE!</v>
      </c>
      <c r="GN133" s="433" t="e">
        <f t="shared" ca="1" si="396"/>
        <v>#VALUE!</v>
      </c>
      <c r="GO133" s="433" t="e">
        <f t="shared" ca="1" si="397"/>
        <v>#VALUE!</v>
      </c>
      <c r="GP133" s="433" t="e">
        <f t="shared" ca="1" si="398"/>
        <v>#VALUE!</v>
      </c>
      <c r="GQ133" s="433" t="e">
        <f t="shared" ca="1" si="399"/>
        <v>#VALUE!</v>
      </c>
      <c r="GR133" s="433" t="e">
        <f ca="1">MATCH(T133,INDIRECT(VLOOKUP(CONCATENATE(LEFT(BO133,7),"-",MID(BO133,13,1)),CLU!$P$3:$Q$16,2)),1)</f>
        <v>#N/A</v>
      </c>
      <c r="GS133" s="433" t="e">
        <f ca="1">MATCH(U133,INDIRECT(VLOOKUP(CONCATENATE(LEFT(BO133,7),"-",MID(BO133,13,1)),CLU!$P$3:$Q$16,2)),1)</f>
        <v>#N/A</v>
      </c>
      <c r="GT133" s="347" t="s">
        <v>512</v>
      </c>
      <c r="GU133" s="97" t="s">
        <v>513</v>
      </c>
      <c r="GV133" s="97" t="str">
        <f t="shared" si="400"/>
        <v>M23</v>
      </c>
      <c r="GW133" s="97" t="str">
        <f t="shared" si="401"/>
        <v>M31</v>
      </c>
      <c r="GX133" s="97" t="str">
        <f t="shared" si="402"/>
        <v/>
      </c>
      <c r="GY133" s="97" t="str">
        <f t="shared" si="403"/>
        <v/>
      </c>
      <c r="GZ133" s="481"/>
      <c r="HA133" s="288"/>
      <c r="HB133" s="240"/>
      <c r="HC133" s="240"/>
      <c r="HD133" s="240"/>
      <c r="HE133" s="240"/>
      <c r="HF133" s="240"/>
      <c r="HG133" s="240"/>
      <c r="HH133" s="240"/>
      <c r="HI133" s="240"/>
      <c r="HJ133" s="240"/>
      <c r="HK133" s="240"/>
      <c r="HL133" s="240"/>
      <c r="HM133" s="240"/>
      <c r="HN133" s="240"/>
      <c r="HO133" s="240"/>
      <c r="HP133" s="240"/>
      <c r="HQ133" s="240"/>
      <c r="HR133" s="240"/>
      <c r="HS133" s="240"/>
      <c r="HT133" s="240"/>
      <c r="HU133" s="240"/>
      <c r="HV133" s="245"/>
      <c r="HW133" s="245" t="b">
        <v>1</v>
      </c>
      <c r="HX133" s="245" t="str">
        <f t="shared" si="288"/>
        <v/>
      </c>
      <c r="HY133" s="245" t="e">
        <f t="shared" si="289"/>
        <v>#DIV/0!</v>
      </c>
      <c r="HZ133" s="245" t="e">
        <f t="shared" si="290"/>
        <v>#DIV/0!</v>
      </c>
      <c r="IA133" s="245">
        <f t="shared" si="291"/>
        <v>0</v>
      </c>
      <c r="IB133" s="245"/>
      <c r="IC133" t="b">
        <f t="shared" si="292"/>
        <v>1</v>
      </c>
      <c r="ID133" s="245" t="b">
        <f t="shared" si="293"/>
        <v>1</v>
      </c>
      <c r="IE133" s="245" t="b">
        <f t="shared" si="294"/>
        <v>1</v>
      </c>
      <c r="IF133" s="245" t="b">
        <f t="shared" si="295"/>
        <v>0</v>
      </c>
      <c r="IG133" s="245" t="b">
        <f t="shared" si="296"/>
        <v>1</v>
      </c>
      <c r="IH133" s="245" t="b">
        <f t="shared" si="297"/>
        <v>1</v>
      </c>
      <c r="II133" s="245">
        <f t="shared" si="404"/>
        <v>0</v>
      </c>
      <c r="IJ133" s="245" t="e">
        <f t="shared" si="298"/>
        <v>#VALUE!</v>
      </c>
      <c r="IK133" s="245" t="e">
        <f t="shared" si="299"/>
        <v>#VALUE!</v>
      </c>
      <c r="IL133" s="245"/>
      <c r="IM133" s="245" t="e">
        <f t="shared" si="405"/>
        <v>#N/A</v>
      </c>
      <c r="IN133" s="245" t="e">
        <f t="shared" si="406"/>
        <v>#N/A</v>
      </c>
      <c r="IO133" s="245"/>
      <c r="IP133" s="245"/>
      <c r="IQ133" s="245" t="str">
        <f t="shared" si="300"/>
        <v/>
      </c>
      <c r="IR133" s="245" t="str">
        <f>IF(J133="","",VLOOKUP(J133,Worksheet!$R$4:$T$14,2))</f>
        <v/>
      </c>
      <c r="IS133" s="245"/>
      <c r="IT133" s="245">
        <f t="shared" si="301"/>
        <v>0</v>
      </c>
      <c r="IU133" s="245">
        <f t="shared" si="302"/>
        <v>0</v>
      </c>
      <c r="IV133" s="245">
        <f t="shared" si="303"/>
        <v>0</v>
      </c>
      <c r="IW133" s="245">
        <f t="shared" si="304"/>
        <v>0</v>
      </c>
      <c r="IX133" s="245">
        <f t="shared" si="407"/>
        <v>0</v>
      </c>
      <c r="IY133" s="245">
        <f t="shared" si="305"/>
        <v>0</v>
      </c>
      <c r="IZ133" s="245">
        <f t="shared" si="306"/>
        <v>0</v>
      </c>
      <c r="JA133">
        <f t="shared" si="307"/>
        <v>0</v>
      </c>
      <c r="JB133">
        <f t="shared" si="408"/>
        <v>0</v>
      </c>
      <c r="JC133">
        <f t="shared" si="308"/>
        <v>0</v>
      </c>
      <c r="JD133">
        <f t="shared" si="309"/>
        <v>0</v>
      </c>
      <c r="JE133">
        <f t="shared" si="310"/>
        <v>0</v>
      </c>
      <c r="JF133">
        <f t="shared" si="311"/>
        <v>0</v>
      </c>
      <c r="JG133">
        <f t="shared" si="312"/>
        <v>0</v>
      </c>
      <c r="JH133">
        <f t="shared" si="313"/>
        <v>0</v>
      </c>
      <c r="JI133">
        <f t="shared" si="314"/>
        <v>0</v>
      </c>
      <c r="JJ133" s="447">
        <f t="shared" si="315"/>
        <v>0</v>
      </c>
      <c r="JK133" s="447">
        <f t="shared" si="316"/>
        <v>0</v>
      </c>
      <c r="JL133">
        <f t="shared" si="317"/>
        <v>0</v>
      </c>
      <c r="JM133" s="245" t="str">
        <f>IFERROR(VLOOKUP(MATCH(BN133,#REF!,0),#REF!,7),"")</f>
        <v/>
      </c>
      <c r="JN133" t="e">
        <f>HLOOKUP(LEFT(BO133,7),Discharge_Area,MATCH(JO133,LookUps!$B$130:$B$149,1)+2)</f>
        <v>#N/A</v>
      </c>
      <c r="JO133" t="str">
        <f t="shared" si="318"/>
        <v>- S</v>
      </c>
      <c r="JP133" t="e">
        <f>HLOOKUP(LEFT(BO133,7),Discharge_Area,MATCH(JO133,LookUps!$B$130:$B$149,1)+2)</f>
        <v>#N/A</v>
      </c>
      <c r="JQ133" t="e">
        <f t="shared" si="319"/>
        <v>#N/A</v>
      </c>
      <c r="JR133" t="e">
        <f t="shared" si="320"/>
        <v>#N/A</v>
      </c>
      <c r="JS133" t="e">
        <f t="shared" si="321"/>
        <v>#N/A</v>
      </c>
      <c r="JT133" s="532" t="str">
        <f t="shared" si="322"/>
        <v xml:space="preserve"> </v>
      </c>
      <c r="JU133" s="532" t="str">
        <f t="shared" si="323"/>
        <v xml:space="preserve"> </v>
      </c>
      <c r="JV133" s="533" t="str">
        <f t="shared" si="324"/>
        <v xml:space="preserve"> </v>
      </c>
      <c r="JW133" s="534">
        <f t="shared" si="325"/>
        <v>0</v>
      </c>
      <c r="JX133" s="535" t="str">
        <f t="shared" si="409"/>
        <v xml:space="preserve"> </v>
      </c>
      <c r="JY133" s="535" t="str">
        <f t="shared" si="410"/>
        <v xml:space="preserve"> </v>
      </c>
      <c r="JZ133" s="535" t="str">
        <f t="shared" si="411"/>
        <v xml:space="preserve"> </v>
      </c>
      <c r="KA133" s="536" t="str">
        <f t="shared" si="326"/>
        <v xml:space="preserve"> </v>
      </c>
      <c r="KB133" s="535" t="e">
        <f t="shared" si="412"/>
        <v>#VALUE!</v>
      </c>
      <c r="KC133" s="535" t="str">
        <f t="shared" si="327"/>
        <v/>
      </c>
      <c r="KD133" s="537" t="str">
        <f t="shared" si="413"/>
        <v xml:space="preserve"> </v>
      </c>
      <c r="KE133" s="537" t="str">
        <f t="shared" si="414"/>
        <v xml:space="preserve"> </v>
      </c>
      <c r="KF133" s="534">
        <f t="shared" si="328"/>
        <v>0</v>
      </c>
      <c r="KG133" s="535" t="str">
        <f t="shared" si="329"/>
        <v xml:space="preserve"> </v>
      </c>
      <c r="KH133" s="535" t="str">
        <f t="shared" si="330"/>
        <v xml:space="preserve"> </v>
      </c>
      <c r="KI133" s="535" t="str">
        <f t="shared" si="331"/>
        <v xml:space="preserve"> </v>
      </c>
      <c r="KJ133" s="536" t="str">
        <f t="shared" si="332"/>
        <v xml:space="preserve"> </v>
      </c>
      <c r="KK133" s="535" t="str">
        <f t="shared" si="415"/>
        <v xml:space="preserve"> </v>
      </c>
      <c r="KL133" s="535" t="str">
        <f t="shared" si="416"/>
        <v xml:space="preserve"> </v>
      </c>
      <c r="KM133" s="537" t="str">
        <f t="shared" si="333"/>
        <v xml:space="preserve"> </v>
      </c>
      <c r="KN133" s="537" t="str">
        <f t="shared" si="417"/>
        <v xml:space="preserve"> </v>
      </c>
      <c r="KP133">
        <f t="shared" si="334"/>
        <v>0</v>
      </c>
      <c r="LA133" t="e">
        <f t="shared" si="335"/>
        <v>#VALUE!</v>
      </c>
      <c r="LB133" t="e">
        <f t="shared" si="336"/>
        <v>#VALUE!</v>
      </c>
      <c r="LC133" t="e">
        <f t="shared" si="337"/>
        <v>#VALUE!</v>
      </c>
      <c r="LD133" t="e">
        <f t="shared" si="338"/>
        <v>#VALUE!</v>
      </c>
      <c r="LE133" t="e">
        <f t="shared" si="418"/>
        <v>#VALUE!</v>
      </c>
      <c r="LF133">
        <f t="shared" si="339"/>
        <v>0</v>
      </c>
      <c r="LG133" t="e">
        <f t="shared" si="419"/>
        <v>#VALUE!</v>
      </c>
      <c r="LH133" t="str">
        <f t="shared" si="340"/>
        <v xml:space="preserve"> </v>
      </c>
      <c r="LI133">
        <f t="shared" si="420"/>
        <v>1</v>
      </c>
    </row>
    <row r="134" spans="2:321" ht="15" customHeight="1">
      <c r="B134" s="311"/>
      <c r="C134" s="311"/>
      <c r="D134" s="312"/>
      <c r="E134" s="311"/>
      <c r="F134" s="312"/>
      <c r="G134" s="311"/>
      <c r="H134" s="311"/>
      <c r="I134" s="37"/>
      <c r="J134" s="311"/>
      <c r="K134" s="305" t="str">
        <f t="shared" si="341"/>
        <v/>
      </c>
      <c r="L134" s="313"/>
      <c r="M134" s="312"/>
      <c r="N134" s="311"/>
      <c r="O134" s="312"/>
      <c r="P134" s="311"/>
      <c r="Q134" s="305" t="str">
        <f t="shared" si="342"/>
        <v/>
      </c>
      <c r="R134" s="314"/>
      <c r="S134" s="450" t="str">
        <f t="shared" si="225"/>
        <v/>
      </c>
      <c r="T134" s="315"/>
      <c r="U134" s="315"/>
      <c r="W134" s="149" t="str">
        <f t="shared" si="226"/>
        <v xml:space="preserve"> </v>
      </c>
      <c r="X134" s="243" t="str">
        <f t="shared" si="227"/>
        <v xml:space="preserve"> </v>
      </c>
      <c r="Y134" s="150" t="str">
        <f t="shared" si="228"/>
        <v/>
      </c>
      <c r="Z134" s="149" t="str">
        <f t="shared" si="229"/>
        <v xml:space="preserve"> </v>
      </c>
      <c r="AA134" s="98" t="str">
        <f t="shared" si="230"/>
        <v xml:space="preserve"> </v>
      </c>
      <c r="AB134" s="153" t="str">
        <f t="shared" si="231"/>
        <v xml:space="preserve"> </v>
      </c>
      <c r="AC134" s="153" t="str">
        <f t="shared" si="232"/>
        <v xml:space="preserve"> </v>
      </c>
      <c r="AD134" s="148" t="str">
        <f t="shared" si="233"/>
        <v/>
      </c>
      <c r="AE134" s="149" t="str">
        <f t="shared" si="234"/>
        <v/>
      </c>
      <c r="AF134" s="151" t="str">
        <f t="shared" si="235"/>
        <v xml:space="preserve"> </v>
      </c>
      <c r="AG134" s="153" t="str">
        <f t="shared" si="236"/>
        <v xml:space="preserve"> </v>
      </c>
      <c r="AH134" s="98" t="str">
        <f t="shared" si="237"/>
        <v xml:space="preserve"> </v>
      </c>
      <c r="AI134" s="149" t="str">
        <f t="shared" si="238"/>
        <v xml:space="preserve"> </v>
      </c>
      <c r="AK134" s="144" t="str">
        <f t="shared" si="239"/>
        <v xml:space="preserve"> </v>
      </c>
      <c r="AL134" s="144"/>
      <c r="AM134" s="243" t="str">
        <f t="shared" si="240"/>
        <v xml:space="preserve"> </v>
      </c>
      <c r="AN134" s="149" t="str">
        <f t="shared" si="343"/>
        <v xml:space="preserve"> </v>
      </c>
      <c r="AO134" s="144" t="str">
        <f>IF(JB134&gt;0,IF(GI134=10,-R134*1.085*(Calculation!$F$6-Calculation!$F$13)*$S$14," "),"")</f>
        <v/>
      </c>
      <c r="AP134" s="144" t="str">
        <f t="shared" si="241"/>
        <v/>
      </c>
      <c r="AQ134" s="56" t="str">
        <f t="shared" si="242"/>
        <v/>
      </c>
      <c r="AR134" s="144" t="str">
        <f t="shared" si="243"/>
        <v/>
      </c>
      <c r="AS134" s="176" t="str">
        <f t="shared" si="244"/>
        <v/>
      </c>
      <c r="AT134" s="176" t="str">
        <f t="shared" si="344"/>
        <v xml:space="preserve"> </v>
      </c>
      <c r="AU134" s="176" t="str">
        <f t="shared" si="245"/>
        <v/>
      </c>
      <c r="AV134" s="177" t="str">
        <f t="shared" si="246"/>
        <v xml:space="preserve"> </v>
      </c>
      <c r="AW134" s="144" t="str">
        <f t="shared" si="247"/>
        <v xml:space="preserve"> </v>
      </c>
      <c r="AX134" s="144" t="str">
        <f t="shared" si="248"/>
        <v xml:space="preserve"> </v>
      </c>
      <c r="AY134" s="152" t="str">
        <f t="shared" si="249"/>
        <v xml:space="preserve"> </v>
      </c>
      <c r="AZ134" s="246" t="str">
        <f t="shared" si="250"/>
        <v/>
      </c>
      <c r="BA134" s="176" t="str">
        <f t="shared" si="251"/>
        <v xml:space="preserve"> </v>
      </c>
      <c r="BB134" s="176" t="str">
        <f t="shared" si="252"/>
        <v xml:space="preserve"> </v>
      </c>
      <c r="BC134" s="195"/>
      <c r="BD134" s="316"/>
      <c r="BE134" s="317"/>
      <c r="BF134" s="318"/>
      <c r="BG134" s="318"/>
      <c r="BH134" s="144" t="str">
        <f t="shared" si="421"/>
        <v xml:space="preserve"> </v>
      </c>
      <c r="BI134" s="176" t="str">
        <f t="shared" si="253"/>
        <v/>
      </c>
      <c r="BJ134" s="144" t="str">
        <f t="shared" si="422"/>
        <v/>
      </c>
      <c r="BK134" s="246" t="str">
        <f t="shared" si="254"/>
        <v/>
      </c>
      <c r="BL134" s="144" t="str">
        <f t="shared" si="423"/>
        <v/>
      </c>
      <c r="BM134" s="246" t="str">
        <f t="shared" si="255"/>
        <v/>
      </c>
      <c r="BN134" s="337" t="str">
        <f t="shared" si="345"/>
        <v/>
      </c>
      <c r="BO134" s="371" t="str">
        <f t="shared" si="346"/>
        <v/>
      </c>
      <c r="BP134" s="328" t="str">
        <f t="shared" si="424"/>
        <v xml:space="preserve"> </v>
      </c>
      <c r="BQ134" s="347" t="str">
        <f t="shared" si="347"/>
        <v xml:space="preserve"> </v>
      </c>
      <c r="BR134" s="353" t="str">
        <f t="shared" si="348"/>
        <v xml:space="preserve"> </v>
      </c>
      <c r="BS134" s="626" t="str">
        <f>IF(L134&gt;0,IF(Calculation!P134="M13",BR134*3.1416*(0.134^2)/(4*144),IF(Calculation!P134="M17",BR134*3.1416*(0.165^2)/(4*144),IF(Calculation!P134="M20",BR134*3.1416*(0.198^2)/(4*144),IF(Calculation!P134="M23",BR134*3.1416*(0.228^2)/(4*144),IF(Calculation!P134="M27",BR134*3.1416*(0.269^2)/(4*144),BR134*3.1416*(0.307^2)/(4*144))))))," ")</f>
        <v xml:space="preserve"> </v>
      </c>
      <c r="BT134" s="353" t="str">
        <f>IF(L134&gt;0,IF(BS134&gt;0,R134/Calculation!BS134,0)," ")</f>
        <v xml:space="preserve"> </v>
      </c>
      <c r="BU134" s="438" t="e">
        <f t="shared" ca="1" si="256"/>
        <v>#VALUE!</v>
      </c>
      <c r="BV134" s="449" t="e">
        <f ca="1">INDEX(INDIRECT(VLOOKUP(LEFT(BO134,7),CLU!$Z$3:$AH$18,2)),GN134,GR134)</f>
        <v>#N/A</v>
      </c>
      <c r="BW134" s="433" t="e">
        <f ca="1">INDEX(INDIRECT(VLOOKUP(LEFT(BO134,7),CLU!$Z$3:$AH$18,3)),GN134,GR134)</f>
        <v>#N/A</v>
      </c>
      <c r="BX134" s="433" t="e">
        <f ca="1">INDEX(INDIRECT(VLOOKUP(LEFT(BO134,7),CLU!$Z$3:$AH$18,4)),GN134,GR134)</f>
        <v>#N/A</v>
      </c>
      <c r="BY134" s="433" t="e">
        <f ca="1">INDEX(INDIRECT(VLOOKUP(LEFT(BO134,7),CLU!$Z$3:$AH$18,9)),((M134-2)*(6-COUNTBLANK(GT134:GY134)))+GJ134)</f>
        <v>#N/A</v>
      </c>
      <c r="BZ134" s="426" t="e">
        <f t="shared" ca="1" si="349"/>
        <v>#N/A</v>
      </c>
      <c r="CA134" s="424" t="e">
        <f t="shared" ca="1" si="350"/>
        <v>#N/A</v>
      </c>
      <c r="CB134" s="429" t="e">
        <f ca="1">INDEX(INDIRECT(VLOOKUP(LEFT(BO134,7),CLU!$Z$3:$AH$18,2)),GN134,GS134)</f>
        <v>#N/A</v>
      </c>
      <c r="CC134" s="342" t="e">
        <f ca="1">INDEX(INDIRECT(VLOOKUP(LEFT(BO134,7),CLU!$Z$3:$AH$18,3)),GN134,GS134)</f>
        <v>#N/A</v>
      </c>
      <c r="CD134" s="342" t="e">
        <f ca="1">INDEX(INDIRECT(VLOOKUP(LEFT(BO134,7),CLU!$Z$3:$AH$18,4)),GN134,GS134)</f>
        <v>#N/A</v>
      </c>
      <c r="CE134" s="426" t="e">
        <f t="shared" ca="1" si="351"/>
        <v>#N/A</v>
      </c>
      <c r="CF134" s="440">
        <f t="shared" si="352"/>
        <v>0</v>
      </c>
      <c r="CG134" s="431" t="e">
        <f ca="1">INDEX(INDIRECT(VLOOKUP(LEFT(BO134,7),CLU!$Z$3:$AH$18,2)),GQ134,GR134)</f>
        <v>#N/A</v>
      </c>
      <c r="CH134" s="431" t="e">
        <f ca="1">INDEX(INDIRECT(VLOOKUP(LEFT(BO134,7),CLU!$Z$3:$AH$18,3)),GQ134,GR134)</f>
        <v>#N/A</v>
      </c>
      <c r="CI134" s="431" t="e">
        <f ca="1">INDEX(INDIRECT(VLOOKUP(LEFT(BO134,7),CLU!$Z$3:$AH$18,4)),GQ134,GR134)</f>
        <v>#N/A</v>
      </c>
      <c r="CJ134" s="448" t="e">
        <f t="shared" ca="1" si="353"/>
        <v>#N/A</v>
      </c>
      <c r="CK134" s="431" t="e">
        <f t="shared" ca="1" si="354"/>
        <v>#N/A</v>
      </c>
      <c r="CL134" s="440" t="e">
        <f t="shared" ca="1" si="355"/>
        <v>#N/A</v>
      </c>
      <c r="CM134" s="431" t="e">
        <f ca="1">INDEX(INDIRECT(VLOOKUP(LEFT(BO134,7),CLU!$Z$3:$AH$18,2)),GQ134,GS134)</f>
        <v>#N/A</v>
      </c>
      <c r="CN134" s="431" t="e">
        <f ca="1">INDEX(INDIRECT(VLOOKUP(LEFT(BO134,7),CLU!$Z$3:$AH$18,3)),GQ134,GS134)</f>
        <v>#N/A</v>
      </c>
      <c r="CO134" s="431" t="e">
        <f ca="1">INDEX(INDIRECT(VLOOKUP(LEFT(BO134,7),CLU!$Z$3:$AH$18,4)),GQ134,GS134)</f>
        <v>#N/A</v>
      </c>
      <c r="CP134" s="431" t="e">
        <f t="shared" ca="1" si="356"/>
        <v>#N/A</v>
      </c>
      <c r="CQ134" s="440">
        <f t="shared" si="357"/>
        <v>0</v>
      </c>
      <c r="CR134" s="51" t="e">
        <f t="shared" ca="1" si="358"/>
        <v>#N/A</v>
      </c>
      <c r="CS134" s="439" t="e">
        <f t="shared" ca="1" si="359"/>
        <v>#VALUE!</v>
      </c>
      <c r="CT134" s="51" t="e">
        <f t="shared" ca="1" si="360"/>
        <v>#VALUE!</v>
      </c>
      <c r="CU134" s="10"/>
      <c r="CV134" s="51" t="e">
        <f t="shared" ca="1" si="257"/>
        <v>#VALUE!</v>
      </c>
      <c r="CW134" s="51">
        <f t="shared" si="361"/>
        <v>0</v>
      </c>
      <c r="CX134" s="439" t="e">
        <f t="shared" ca="1" si="362"/>
        <v>#VALUE!</v>
      </c>
      <c r="CY134" s="51" t="e">
        <f t="shared" ca="1" si="363"/>
        <v>#VALUE!</v>
      </c>
      <c r="CZ134" s="10"/>
      <c r="DA134" s="51" t="e">
        <f t="shared" ca="1" si="364"/>
        <v>#VALUE!</v>
      </c>
      <c r="DB134" s="347" t="e">
        <f ca="1">INDEX(INDIRECT(VLOOKUP(LEFT(BO134,7),CLU!$Z$3:$AI$18,10)),((M134-2)*(6-COUNTBLANK(GT134:GY134)))+GJ134)*LI134</f>
        <v>#N/A</v>
      </c>
      <c r="DC134" s="347" t="str">
        <f>IF(L134&gt;0,((R134/Worksheet!$I$15)/DB134)^2," ")</f>
        <v xml:space="preserve"> </v>
      </c>
      <c r="DD134" s="602" t="str">
        <f t="shared" si="365"/>
        <v xml:space="preserve"> </v>
      </c>
      <c r="DE134" s="347" t="str">
        <f t="shared" si="258"/>
        <v xml:space="preserve"> </v>
      </c>
      <c r="DF134" s="356" t="e">
        <f ca="1">INDEX(INDIRECT(VLOOKUP(LEFT(BO134,7),CLU!$Z$3:$AH$18,8)),((M134-2)*(6-COUNTBLANK(GT134:GY134)))+GJ134)</f>
        <v>#N/A</v>
      </c>
      <c r="DG134" s="347" t="str">
        <f t="shared" si="259"/>
        <v xml:space="preserve"> </v>
      </c>
      <c r="DH134" s="357" t="str">
        <f t="shared" si="260"/>
        <v xml:space="preserve"> </v>
      </c>
      <c r="DI134" s="355" t="str">
        <f t="shared" si="261"/>
        <v xml:space="preserve"> </v>
      </c>
      <c r="DJ134" s="245" t="e">
        <f ca="1">INDEX(INDIRECT(VLOOKUP(LEFT(BO134,7),CLU!$Z$3:$AH$18,5)),GL134,GK134)</f>
        <v>#N/A</v>
      </c>
      <c r="DK134" s="245" t="e">
        <f ca="1">INDEX(INDIRECT(VLOOKUP(LEFT(BO134,7),CLU!$Z$3:$AH$18,6)),GL134,GK134)</f>
        <v>#N/A</v>
      </c>
      <c r="DL134" s="355">
        <f>(Calculation!R134*0.69143*(Calculation!$BQ$8-Calculation!$F$8))*$S$14</f>
        <v>0</v>
      </c>
      <c r="DM134" s="359" t="e">
        <f t="shared" si="366"/>
        <v>#VALUE!</v>
      </c>
      <c r="DN134" s="611">
        <f t="shared" si="367"/>
        <v>0</v>
      </c>
      <c r="DO134" s="359">
        <f t="shared" si="368"/>
        <v>100</v>
      </c>
      <c r="DP134" s="359">
        <f t="shared" si="369"/>
        <v>0</v>
      </c>
      <c r="DQ134" s="360"/>
      <c r="DR134" s="245" t="e">
        <f ca="1">INDEX(INDIRECT(VLOOKUP(LEFT(BO134,7),CLU!$Z$3:$AH$18,7)),M134-1,1)</f>
        <v>#N/A</v>
      </c>
      <c r="DS134" s="245" t="e">
        <f ca="1">INDEX(INDIRECT(VLOOKUP(LEFT(BO134,7),CLU!$Z$3:$AH$18,7)),M134-1,2)</f>
        <v>#N/A</v>
      </c>
      <c r="DT134" s="245" t="e">
        <f ca="1">INDEX(INDIRECT(VLOOKUP(LEFT(BO134,7),CLU!$Z$3:$AH$18,7)),M134-1,3)</f>
        <v>#N/A</v>
      </c>
      <c r="DU134" s="245" t="e">
        <f ca="1">INDEX(INDIRECT(VLOOKUP(LEFT(BO134,7),CLU!$Z$3:$AH$18,7)),M134-1,4)</f>
        <v>#N/A</v>
      </c>
      <c r="DV134" s="361" t="e">
        <f ca="1">INDEX(INDIRECT(VLOOKUP(LEFT(BO134,7),CLU!$Z$3:$AH$18,7)),M134-1,4+LEFT(DZ134,1)*0.5)</f>
        <v>#N/A</v>
      </c>
      <c r="DW134" s="245" t="e">
        <f ca="1">INDEX(INDIRECT(VLOOKUP(LEFT(BO134,7),CLU!$Z$3:$AH$18,7)),M134-1,8)</f>
        <v>#N/A</v>
      </c>
      <c r="DX134" s="361" t="str">
        <f t="shared" si="262"/>
        <v xml:space="preserve"> </v>
      </c>
      <c r="DY134" s="361" t="str">
        <f t="shared" si="263"/>
        <v xml:space="preserve"> </v>
      </c>
      <c r="DZ134" s="361" t="str">
        <f t="shared" si="264"/>
        <v xml:space="preserve"> </v>
      </c>
      <c r="EA134" s="362" t="str">
        <f t="shared" si="265"/>
        <v xml:space="preserve"> </v>
      </c>
      <c r="EB134" s="624" t="str">
        <f t="shared" si="370"/>
        <v xml:space="preserve"> </v>
      </c>
      <c r="EC134" s="361" t="e">
        <f ca="1">INDEX(INDIRECT(VLOOKUP(LEFT(BO134,7),CLU!$Z$3:$AH$18,7)),M134-1,4+LEFT(DZ134,1)*0.5)</f>
        <v>#N/A</v>
      </c>
      <c r="ED134" s="362" t="str">
        <f t="shared" si="266"/>
        <v xml:space="preserve"> </v>
      </c>
      <c r="EE134" s="361" t="str">
        <f t="shared" si="267"/>
        <v xml:space="preserve"> </v>
      </c>
      <c r="EF134" s="362" t="str">
        <f>IF(L134&gt;0,IF(BR134&gt;0,IF(EE134="2P",IF(Calculation!DZ134="2P",IF(Calculation!DS134=13.75,IF(Calculation!DR134=13,Worksheet!$BD$43,IF(Calculation!DR134=37,Worksheet!$BD$44,Worksheet!$BD$45)),IF(Calculation!DS134=10,IF(Calculation!DR134=18,Worksheet!$BD$29,IF(Calculation!DR134=30,Worksheet!$BD$30,IF(Calculation!DR134=42,Worksheet!$BD$31,IF(Calculation!DR134=54,Worksheet!$BD$32,IF(Calculation!DR134=66,Worksheet!$BD$33,IF(Calculation!DR134=78,Worksheet!$BD$34,IF(Calculation!DR134=90,Worksheet!$BD$35,IF(Calculation!DR134=102,Worksheet!$BD$36,Worksheet!$BD$37)))))))),IF(Calculation!DS134=12.5,IF(Calculation!DR134=18,Worksheet!$BD$38,IF(Calculation!DR134=Worksheet!$BD$39,IF(Calculation!DR134=42,Worksheet!$BD$40,IF(Calculation!DR134=54,Worksheet!$BD$41,Worksheet!$BD$42)))),IF(Calculation!DR134=18,Worksheet!$BD$11,IF(Calculation!DR134=30,Worksheet!$BD$12,IF(Calculation!DR134=42,Worksheet!$BD$13,IF(Calculation!DR134=54,Worksheet!$BD$14,IF(Calculation!DR134=66,Worksheet!$BD$15,IF(Calculation!DR134=78,Worksheet!$BD$16,IF(Calculation!DR134=90,Worksheet!$BD$17,IF(Calculation!DR134=102,Worksheet!$BD$18,Worksheet!$BD$19))))))))))),IF(Calculation!DS134=13.75,IF(Calculation!DR134=13,Worksheet!$BD$78,IF(Calculation!DR134=37,Worksheet!$BD$79,Worksheet!$BD$80)),IF(Calculation!DS134=10,IF(Calculation!DR134=18,Worksheet!$BD$64,IF(Calculation!DR134=30,Worksheet!$BD$65,IF(Calculation!DR134=42,Worksheet!$BD$66,IF(Calculation!DR134=54,Worksheet!$BD$68,IF(Calculation!DR134=66,Worksheet!$BD$68,IF(Calculation!DR134=78,Worksheet!$BD$69,IF(Calculation!DR134=90,Worksheet!$BD$70,IF(Calculation!DR134=102,Worksheet!$BD$71,Worksheet!$BD$72)))))))),IF(Calculation!DS134=12.5,IF(Calculation!DR134=18,Worksheet!$BD$73,IF(Calculation!DR134=Worksheet!$BD$74,IF(Calculation!DR134=42,Worksheet!$BD$75,IF(Calculation!DR134=54,Worksheet!$BD$76,Worksheet!$BD$77)))),IF(Calculation!DR134=18,Worksheet!$BD$55,IF(Calculation!DR134=30,Worksheet!$BD$56,IF(Calculation!DR134=42,Worksheet!$BD$57,IF(Calculation!DR134=54,Worksheet!$BD$58,IF(Calculation!DR134=66,Worksheet!$BD$59,IF(Calculation!DR134=78,Worksheet!$BD$60,IF(Calculation!DR134=90,Worksheet!$BD$61,IF(Calculation!DR134=102,Worksheet!$BD$62,Worksheet!$BD$63)))))))))))),5),0)," ")</f>
        <v xml:space="preserve"> </v>
      </c>
      <c r="EG134" s="361" t="str">
        <f t="shared" si="268"/>
        <v xml:space="preserve"> </v>
      </c>
      <c r="EH134" s="361" t="e">
        <f ca="1">INDEX(INDIRECT(VLOOKUP(LEFT(BO134,7),CLU!$Z$3:$AH$18,7)),M134-1,3+LEFT(DZ134,1))</f>
        <v>#N/A</v>
      </c>
      <c r="EI134" s="362" t="str">
        <f t="shared" si="269"/>
        <v xml:space="preserve"> </v>
      </c>
      <c r="EJ134" s="363" t="str">
        <f t="shared" si="270"/>
        <v xml:space="preserve"> </v>
      </c>
      <c r="EK134" s="363" t="str">
        <f t="shared" si="271"/>
        <v xml:space="preserve"> </v>
      </c>
      <c r="EL134" s="363" t="str">
        <f t="shared" si="272"/>
        <v xml:space="preserve"> </v>
      </c>
      <c r="EM134" s="362" t="str">
        <f>IF(L134&gt;0,IF(BR134&gt;0,(Calculation!T134/ED134)^2,0)," ")</f>
        <v xml:space="preserve"> </v>
      </c>
      <c r="EN134" s="362" t="str">
        <f>IF(L134&gt;0,IF(O134="2 Pipe (Cooling)","N/A",IF(BR134&gt;0,(Calculation!U134/EI134)^2,0))," ")</f>
        <v xml:space="preserve"> </v>
      </c>
      <c r="EO134" s="361" t="str">
        <f t="shared" si="273"/>
        <v/>
      </c>
      <c r="EP134" s="361" t="str">
        <f t="shared" si="274"/>
        <v/>
      </c>
      <c r="EQ134" s="361" t="str">
        <f t="shared" si="275"/>
        <v/>
      </c>
      <c r="ER134" s="361" t="str">
        <f t="shared" si="276"/>
        <v/>
      </c>
      <c r="ES134" s="361" t="str">
        <f t="shared" si="277"/>
        <v/>
      </c>
      <c r="ET134" s="361" t="str">
        <f t="shared" si="278"/>
        <v/>
      </c>
      <c r="EU134" s="361" t="str">
        <f t="shared" si="279"/>
        <v/>
      </c>
      <c r="EV134" s="361" t="str">
        <f t="shared" si="280"/>
        <v/>
      </c>
      <c r="EW134" s="361" t="str">
        <f t="shared" si="281"/>
        <v/>
      </c>
      <c r="EX134" s="361" t="str">
        <f t="shared" si="371"/>
        <v>1 slot, 1 way</v>
      </c>
      <c r="EY134" s="361" t="str">
        <f t="shared" si="372"/>
        <v xml:space="preserve"> </v>
      </c>
      <c r="EZ134" s="361" t="str">
        <f t="shared" si="373"/>
        <v xml:space="preserve"> </v>
      </c>
      <c r="FA134" s="361" t="str">
        <f t="shared" si="374"/>
        <v xml:space="preserve"> </v>
      </c>
      <c r="FB134" s="361" t="str">
        <f t="shared" si="375"/>
        <v xml:space="preserve"> </v>
      </c>
      <c r="FC134" s="361"/>
      <c r="FD134" s="361" t="str">
        <f>IF(J134&gt;0,IF(Calculation!R134&lt;=70,4,IF(Calculation!R134&lt;=110,5,IF(Calculation!R134&lt;=160,6,IF(Calculation!R134&lt;=300,8,"10 EO")))),"")</f>
        <v/>
      </c>
      <c r="FE134" s="361" t="str">
        <f t="shared" si="376"/>
        <v/>
      </c>
      <c r="FF134" s="361" t="str">
        <f t="shared" si="377"/>
        <v/>
      </c>
      <c r="FG134" s="361" t="e">
        <f t="shared" si="282"/>
        <v>#N/A</v>
      </c>
      <c r="FH134" s="361">
        <f t="shared" si="283"/>
        <v>0</v>
      </c>
      <c r="FI134" s="361" t="e">
        <f t="shared" si="284"/>
        <v>#DIV/0!</v>
      </c>
      <c r="FJ134" s="361"/>
      <c r="FK134" s="356" t="e">
        <f t="shared" si="285"/>
        <v>#VALUE!</v>
      </c>
      <c r="FL134" s="361"/>
      <c r="FM134" s="361"/>
      <c r="FN134" s="362" t="str">
        <f t="shared" si="378"/>
        <v xml:space="preserve"> </v>
      </c>
      <c r="FO134" s="362" t="str">
        <f t="shared" si="379"/>
        <v xml:space="preserve"> </v>
      </c>
      <c r="FP134" s="362">
        <f t="shared" si="380"/>
        <v>0</v>
      </c>
      <c r="FQ134" s="361">
        <f t="shared" si="286"/>
        <v>0</v>
      </c>
      <c r="FR134" s="362" t="str">
        <f>IF(L134&gt;0,IF(J134="CBAL2",Worksheet!$P$67,IF(J134="CBE2-24",Worksheet!$Q$67,IF(J134="CBAM",Worksheet!$R$67,IF(J134="CBLV",Worksheet!$S$67,IF(J134="CBAB",Worksheet!$U$67,IF(J134="CBAW",Worksheet!$X$67,IF(J134="CBE2-12",Worksheet!$Y$67,IF(J134="CBAL2",Worksheet!$Z$67,"N/A"))))))))," ")</f>
        <v xml:space="preserve"> </v>
      </c>
      <c r="FS134" s="362" t="str">
        <f>IF(L134&gt;0,IF(J134="CBAL2",Worksheet!$P$68,IF(J134="CBE2-24",Worksheet!$Q$68,IF(J134="CBAM",Worksheet!$R$68,IF(J134="CBLV",Worksheet!$S$68,IF(J134="CBAB",Worksheet!$U$68,IF(J134="CBAW",Worksheet!$X$68,IF(J134="CBE2-12",Worksheet!$Y$68,IF(J134="CBAL2",Worksheet!$Z$68,"N/A"))))))))," ")</f>
        <v xml:space="preserve"> </v>
      </c>
      <c r="FT134" s="362" t="str">
        <f>IF(L134&gt;0,IF(J134="CBAL2",Worksheet!$P$69,IF(J134="CBE2-24",Worksheet!$Q$69,IF(J134="CBAM",Worksheet!$R$69,IF(J134="CBLV",Worksheet!$S$69,IF(J134="CBAB",Worksheet!$U$69,IF(J134="CBAW",Worksheet!$X$69,IF(J134="CBE2-12",Worksheet!$Y$69,IF(J134="CBAL2",Worksheet!$Z$69,"N/A"))))))))," ")</f>
        <v xml:space="preserve"> </v>
      </c>
      <c r="FU134" s="361" t="str">
        <f t="shared" si="381"/>
        <v xml:space="preserve"> </v>
      </c>
      <c r="FV134" s="362" t="str">
        <f t="shared" si="382"/>
        <v xml:space="preserve"> </v>
      </c>
      <c r="FW134" s="362" t="str">
        <f t="shared" si="383"/>
        <v xml:space="preserve"> </v>
      </c>
      <c r="FX134" s="362" t="str">
        <f t="shared" si="384"/>
        <v xml:space="preserve"> </v>
      </c>
      <c r="FY134" s="355" t="str">
        <f t="shared" si="385"/>
        <v xml:space="preserve"> </v>
      </c>
      <c r="FZ134" s="361" t="str">
        <f t="shared" si="386"/>
        <v xml:space="preserve"> </v>
      </c>
      <c r="GA134" s="347" t="str">
        <f t="shared" si="387"/>
        <v xml:space="preserve"> </v>
      </c>
      <c r="GB134" s="355" t="str">
        <f t="shared" si="388"/>
        <v xml:space="preserve"> </v>
      </c>
      <c r="GC134" s="328" t="str">
        <f t="shared" si="389"/>
        <v xml:space="preserve"> </v>
      </c>
      <c r="GD134" s="361" t="str">
        <f t="shared" si="390"/>
        <v xml:space="preserve"> </v>
      </c>
      <c r="GE134" s="347" t="str">
        <f t="shared" si="391"/>
        <v xml:space="preserve"> </v>
      </c>
      <c r="GF134" s="361" t="str">
        <f t="shared" si="392"/>
        <v xml:space="preserve"> </v>
      </c>
      <c r="GG134" s="347" t="str">
        <f t="shared" si="393"/>
        <v xml:space="preserve"> </v>
      </c>
      <c r="GH134" s="364">
        <f t="shared" si="287"/>
        <v>0</v>
      </c>
      <c r="GI134" s="362">
        <f t="shared" si="394"/>
        <v>2</v>
      </c>
      <c r="GJ134" s="433" t="e">
        <f>IF(6-COUNTBLANK(GT134:GY134)=4,MATCH(MID(BO134,9,3),CLU!$H$16:$K$16),MATCH(MID(BO134,9,3),CLU!$H$13:$M$13))</f>
        <v>#N/A</v>
      </c>
      <c r="GK134" s="433" t="e">
        <f>HLOOKUP(VALUE(BP134),CLU!$H$9:$M$10,2)</f>
        <v>#VALUE!</v>
      </c>
      <c r="GL134" s="433" t="e">
        <f ca="1">MATCH(BU134,CLU!$H$2:$V$2,1)</f>
        <v>#VALUE!</v>
      </c>
      <c r="GM134" s="433" t="e">
        <f t="shared" ca="1" si="395"/>
        <v>#VALUE!</v>
      </c>
      <c r="GN134" s="433" t="e">
        <f t="shared" ca="1" si="396"/>
        <v>#VALUE!</v>
      </c>
      <c r="GO134" s="433" t="e">
        <f t="shared" ca="1" si="397"/>
        <v>#VALUE!</v>
      </c>
      <c r="GP134" s="433" t="e">
        <f t="shared" ca="1" si="398"/>
        <v>#VALUE!</v>
      </c>
      <c r="GQ134" s="433" t="e">
        <f t="shared" ca="1" si="399"/>
        <v>#VALUE!</v>
      </c>
      <c r="GR134" s="433" t="e">
        <f ca="1">MATCH(T134,INDIRECT(VLOOKUP(CONCATENATE(LEFT(BO134,7),"-",MID(BO134,13,1)),CLU!$P$3:$Q$16,2)),1)</f>
        <v>#N/A</v>
      </c>
      <c r="GS134" s="433" t="e">
        <f ca="1">MATCH(U134,INDIRECT(VLOOKUP(CONCATENATE(LEFT(BO134,7),"-",MID(BO134,13,1)),CLU!$P$3:$Q$16,2)),1)</f>
        <v>#N/A</v>
      </c>
      <c r="GT134" s="347" t="s">
        <v>512</v>
      </c>
      <c r="GU134" s="97" t="s">
        <v>513</v>
      </c>
      <c r="GV134" s="97" t="str">
        <f t="shared" si="400"/>
        <v>M23</v>
      </c>
      <c r="GW134" s="97" t="str">
        <f t="shared" si="401"/>
        <v>M31</v>
      </c>
      <c r="GX134" s="97" t="str">
        <f t="shared" si="402"/>
        <v/>
      </c>
      <c r="GY134" s="97" t="str">
        <f t="shared" si="403"/>
        <v/>
      </c>
      <c r="GZ134" s="481"/>
      <c r="HA134" s="288"/>
      <c r="HB134" s="240"/>
      <c r="HC134" s="240"/>
      <c r="HD134" s="240"/>
      <c r="HE134" s="240"/>
      <c r="HF134" s="240"/>
      <c r="HG134" s="240"/>
      <c r="HH134" s="240"/>
      <c r="HI134" s="240"/>
      <c r="HJ134" s="240"/>
      <c r="HK134" s="240"/>
      <c r="HL134" s="240"/>
      <c r="HM134" s="240"/>
      <c r="HN134" s="240"/>
      <c r="HO134" s="240"/>
      <c r="HP134" s="240"/>
      <c r="HQ134" s="240"/>
      <c r="HR134" s="240"/>
      <c r="HS134" s="240"/>
      <c r="HT134" s="240"/>
      <c r="HU134" s="240"/>
      <c r="HV134" s="245"/>
      <c r="HW134" s="245" t="b">
        <v>1</v>
      </c>
      <c r="HX134" s="245" t="str">
        <f t="shared" si="288"/>
        <v/>
      </c>
      <c r="HY134" s="245" t="e">
        <f t="shared" si="289"/>
        <v>#DIV/0!</v>
      </c>
      <c r="HZ134" s="245" t="e">
        <f t="shared" si="290"/>
        <v>#DIV/0!</v>
      </c>
      <c r="IA134" s="245">
        <f t="shared" si="291"/>
        <v>0</v>
      </c>
      <c r="IB134" s="245"/>
      <c r="IC134" t="b">
        <f t="shared" si="292"/>
        <v>1</v>
      </c>
      <c r="ID134" s="245" t="b">
        <f t="shared" si="293"/>
        <v>1</v>
      </c>
      <c r="IE134" s="245" t="b">
        <f t="shared" si="294"/>
        <v>1</v>
      </c>
      <c r="IF134" s="245" t="b">
        <f t="shared" si="295"/>
        <v>0</v>
      </c>
      <c r="IG134" s="245" t="b">
        <f t="shared" si="296"/>
        <v>1</v>
      </c>
      <c r="IH134" s="245" t="b">
        <f t="shared" si="297"/>
        <v>1</v>
      </c>
      <c r="II134" s="245">
        <f t="shared" si="404"/>
        <v>0</v>
      </c>
      <c r="IJ134" s="245" t="e">
        <f t="shared" si="298"/>
        <v>#VALUE!</v>
      </c>
      <c r="IK134" s="245" t="e">
        <f t="shared" si="299"/>
        <v>#VALUE!</v>
      </c>
      <c r="IL134" s="245"/>
      <c r="IM134" s="245" t="e">
        <f t="shared" si="405"/>
        <v>#N/A</v>
      </c>
      <c r="IN134" s="245" t="e">
        <f t="shared" si="406"/>
        <v>#N/A</v>
      </c>
      <c r="IO134" s="245"/>
      <c r="IP134" s="245"/>
      <c r="IQ134" s="245" t="str">
        <f t="shared" si="300"/>
        <v/>
      </c>
      <c r="IR134" s="245" t="str">
        <f>IF(J134="","",VLOOKUP(J134,Worksheet!$R$4:$T$14,2))</f>
        <v/>
      </c>
      <c r="IS134" s="245"/>
      <c r="IT134" s="245">
        <f t="shared" si="301"/>
        <v>0</v>
      </c>
      <c r="IU134" s="245">
        <f t="shared" si="302"/>
        <v>0</v>
      </c>
      <c r="IV134" s="245">
        <f t="shared" si="303"/>
        <v>0</v>
      </c>
      <c r="IW134" s="245">
        <f t="shared" si="304"/>
        <v>0</v>
      </c>
      <c r="IX134" s="245">
        <f t="shared" si="407"/>
        <v>0</v>
      </c>
      <c r="IY134" s="245">
        <f t="shared" si="305"/>
        <v>0</v>
      </c>
      <c r="IZ134" s="245">
        <f t="shared" si="306"/>
        <v>0</v>
      </c>
      <c r="JA134">
        <f t="shared" si="307"/>
        <v>0</v>
      </c>
      <c r="JB134">
        <f t="shared" si="408"/>
        <v>0</v>
      </c>
      <c r="JC134">
        <f t="shared" si="308"/>
        <v>0</v>
      </c>
      <c r="JD134">
        <f t="shared" si="309"/>
        <v>0</v>
      </c>
      <c r="JE134">
        <f t="shared" si="310"/>
        <v>0</v>
      </c>
      <c r="JF134">
        <f t="shared" si="311"/>
        <v>0</v>
      </c>
      <c r="JG134">
        <f t="shared" si="312"/>
        <v>0</v>
      </c>
      <c r="JH134">
        <f t="shared" si="313"/>
        <v>0</v>
      </c>
      <c r="JI134">
        <f t="shared" si="314"/>
        <v>0</v>
      </c>
      <c r="JJ134" s="447">
        <f t="shared" si="315"/>
        <v>0</v>
      </c>
      <c r="JK134" s="447">
        <f t="shared" si="316"/>
        <v>0</v>
      </c>
      <c r="JL134">
        <f t="shared" si="317"/>
        <v>0</v>
      </c>
      <c r="JM134" s="245" t="str">
        <f>IFERROR(VLOOKUP(MATCH(BN134,#REF!,0),#REF!,7),"")</f>
        <v/>
      </c>
      <c r="JN134" t="e">
        <f>HLOOKUP(LEFT(BO134,7),Discharge_Area,MATCH(JO134,LookUps!$B$130:$B$149,1)+2)</f>
        <v>#N/A</v>
      </c>
      <c r="JO134" t="str">
        <f t="shared" si="318"/>
        <v>- S</v>
      </c>
      <c r="JP134" t="e">
        <f>HLOOKUP(LEFT(BO134,7),Discharge_Area,MATCH(JO134,LookUps!$B$130:$B$149,1)+2)</f>
        <v>#N/A</v>
      </c>
      <c r="JQ134" t="e">
        <f t="shared" si="319"/>
        <v>#N/A</v>
      </c>
      <c r="JR134" t="e">
        <f t="shared" si="320"/>
        <v>#N/A</v>
      </c>
      <c r="JS134" t="e">
        <f t="shared" si="321"/>
        <v>#N/A</v>
      </c>
      <c r="JT134" s="532" t="str">
        <f t="shared" si="322"/>
        <v xml:space="preserve"> </v>
      </c>
      <c r="JU134" s="532" t="str">
        <f t="shared" si="323"/>
        <v xml:space="preserve"> </v>
      </c>
      <c r="JV134" s="533" t="str">
        <f t="shared" si="324"/>
        <v xml:space="preserve"> </v>
      </c>
      <c r="JW134" s="534">
        <f t="shared" si="325"/>
        <v>0</v>
      </c>
      <c r="JX134" s="535" t="str">
        <f t="shared" si="409"/>
        <v xml:space="preserve"> </v>
      </c>
      <c r="JY134" s="535" t="str">
        <f t="shared" si="410"/>
        <v xml:space="preserve"> </v>
      </c>
      <c r="JZ134" s="535" t="str">
        <f t="shared" si="411"/>
        <v xml:space="preserve"> </v>
      </c>
      <c r="KA134" s="536" t="str">
        <f t="shared" si="326"/>
        <v xml:space="preserve"> </v>
      </c>
      <c r="KB134" s="535" t="e">
        <f t="shared" si="412"/>
        <v>#VALUE!</v>
      </c>
      <c r="KC134" s="535" t="str">
        <f t="shared" si="327"/>
        <v/>
      </c>
      <c r="KD134" s="537" t="str">
        <f t="shared" si="413"/>
        <v xml:space="preserve"> </v>
      </c>
      <c r="KE134" s="537" t="str">
        <f t="shared" si="414"/>
        <v xml:space="preserve"> </v>
      </c>
      <c r="KF134" s="534">
        <f t="shared" si="328"/>
        <v>0</v>
      </c>
      <c r="KG134" s="535" t="str">
        <f t="shared" si="329"/>
        <v xml:space="preserve"> </v>
      </c>
      <c r="KH134" s="535" t="str">
        <f t="shared" si="330"/>
        <v xml:space="preserve"> </v>
      </c>
      <c r="KI134" s="535" t="str">
        <f t="shared" si="331"/>
        <v xml:space="preserve"> </v>
      </c>
      <c r="KJ134" s="536" t="str">
        <f t="shared" si="332"/>
        <v xml:space="preserve"> </v>
      </c>
      <c r="KK134" s="535" t="str">
        <f t="shared" si="415"/>
        <v xml:space="preserve"> </v>
      </c>
      <c r="KL134" s="535" t="str">
        <f t="shared" si="416"/>
        <v xml:space="preserve"> </v>
      </c>
      <c r="KM134" s="537" t="str">
        <f t="shared" si="333"/>
        <v xml:space="preserve"> </v>
      </c>
      <c r="KN134" s="537" t="str">
        <f t="shared" si="417"/>
        <v xml:space="preserve"> </v>
      </c>
      <c r="KP134">
        <f t="shared" si="334"/>
        <v>0</v>
      </c>
      <c r="LA134" t="e">
        <f t="shared" si="335"/>
        <v>#VALUE!</v>
      </c>
      <c r="LB134" t="e">
        <f t="shared" si="336"/>
        <v>#VALUE!</v>
      </c>
      <c r="LC134" t="e">
        <f t="shared" si="337"/>
        <v>#VALUE!</v>
      </c>
      <c r="LD134" t="e">
        <f t="shared" si="338"/>
        <v>#VALUE!</v>
      </c>
      <c r="LE134" t="e">
        <f t="shared" si="418"/>
        <v>#VALUE!</v>
      </c>
      <c r="LF134">
        <f t="shared" si="339"/>
        <v>0</v>
      </c>
      <c r="LG134" t="e">
        <f t="shared" si="419"/>
        <v>#VALUE!</v>
      </c>
      <c r="LH134" t="str">
        <f t="shared" si="340"/>
        <v xml:space="preserve"> </v>
      </c>
      <c r="LI134">
        <f t="shared" si="420"/>
        <v>1</v>
      </c>
    </row>
    <row r="135" spans="2:321" ht="15" customHeight="1">
      <c r="B135" s="311"/>
      <c r="C135" s="311"/>
      <c r="D135" s="312"/>
      <c r="E135" s="311"/>
      <c r="F135" s="312"/>
      <c r="G135" s="311"/>
      <c r="H135" s="311"/>
      <c r="I135" s="37"/>
      <c r="J135" s="311"/>
      <c r="K135" s="305" t="str">
        <f t="shared" si="341"/>
        <v/>
      </c>
      <c r="L135" s="313"/>
      <c r="M135" s="312"/>
      <c r="N135" s="311"/>
      <c r="O135" s="312"/>
      <c r="P135" s="311"/>
      <c r="Q135" s="305" t="str">
        <f t="shared" si="342"/>
        <v/>
      </c>
      <c r="R135" s="314"/>
      <c r="S135" s="450" t="str">
        <f t="shared" si="225"/>
        <v/>
      </c>
      <c r="T135" s="315"/>
      <c r="U135" s="315"/>
      <c r="W135" s="149" t="str">
        <f t="shared" si="226"/>
        <v xml:space="preserve"> </v>
      </c>
      <c r="X135" s="243" t="str">
        <f t="shared" si="227"/>
        <v xml:space="preserve"> </v>
      </c>
      <c r="Y135" s="150" t="str">
        <f t="shared" si="228"/>
        <v/>
      </c>
      <c r="Z135" s="149" t="str">
        <f t="shared" si="229"/>
        <v xml:space="preserve"> </v>
      </c>
      <c r="AA135" s="98" t="str">
        <f t="shared" si="230"/>
        <v xml:space="preserve"> </v>
      </c>
      <c r="AB135" s="153" t="str">
        <f t="shared" si="231"/>
        <v xml:space="preserve"> </v>
      </c>
      <c r="AC135" s="153" t="str">
        <f t="shared" si="232"/>
        <v xml:space="preserve"> </v>
      </c>
      <c r="AD135" s="148" t="str">
        <f t="shared" si="233"/>
        <v/>
      </c>
      <c r="AE135" s="149" t="str">
        <f t="shared" si="234"/>
        <v/>
      </c>
      <c r="AF135" s="151" t="str">
        <f t="shared" si="235"/>
        <v xml:space="preserve"> </v>
      </c>
      <c r="AG135" s="153" t="str">
        <f t="shared" si="236"/>
        <v xml:space="preserve"> </v>
      </c>
      <c r="AH135" s="98" t="str">
        <f t="shared" si="237"/>
        <v xml:space="preserve"> </v>
      </c>
      <c r="AI135" s="149" t="str">
        <f t="shared" si="238"/>
        <v xml:space="preserve"> </v>
      </c>
      <c r="AK135" s="144" t="str">
        <f t="shared" si="239"/>
        <v xml:space="preserve"> </v>
      </c>
      <c r="AL135" s="144"/>
      <c r="AM135" s="243" t="str">
        <f t="shared" si="240"/>
        <v xml:space="preserve"> </v>
      </c>
      <c r="AN135" s="149" t="str">
        <f t="shared" si="343"/>
        <v xml:space="preserve"> </v>
      </c>
      <c r="AO135" s="144" t="str">
        <f>IF(JB135&gt;0,IF(GI135=10,-R135*1.085*(Calculation!$F$6-Calculation!$F$13)*$S$14," "),"")</f>
        <v/>
      </c>
      <c r="AP135" s="144" t="str">
        <f t="shared" si="241"/>
        <v/>
      </c>
      <c r="AQ135" s="56" t="str">
        <f t="shared" si="242"/>
        <v/>
      </c>
      <c r="AR135" s="144" t="str">
        <f t="shared" si="243"/>
        <v/>
      </c>
      <c r="AS135" s="176" t="str">
        <f t="shared" si="244"/>
        <v/>
      </c>
      <c r="AT135" s="176" t="str">
        <f t="shared" si="344"/>
        <v xml:space="preserve"> </v>
      </c>
      <c r="AU135" s="176" t="str">
        <f t="shared" si="245"/>
        <v/>
      </c>
      <c r="AV135" s="177" t="str">
        <f t="shared" si="246"/>
        <v xml:space="preserve"> </v>
      </c>
      <c r="AW135" s="144" t="str">
        <f t="shared" si="247"/>
        <v xml:space="preserve"> </v>
      </c>
      <c r="AX135" s="144" t="str">
        <f t="shared" si="248"/>
        <v xml:space="preserve"> </v>
      </c>
      <c r="AY135" s="152" t="str">
        <f t="shared" si="249"/>
        <v xml:space="preserve"> </v>
      </c>
      <c r="AZ135" s="246" t="str">
        <f t="shared" si="250"/>
        <v/>
      </c>
      <c r="BA135" s="176" t="str">
        <f t="shared" si="251"/>
        <v xml:space="preserve"> </v>
      </c>
      <c r="BB135" s="176" t="str">
        <f t="shared" si="252"/>
        <v xml:space="preserve"> </v>
      </c>
      <c r="BC135" s="195"/>
      <c r="BD135" s="316"/>
      <c r="BE135" s="317"/>
      <c r="BF135" s="318"/>
      <c r="BG135" s="318"/>
      <c r="BH135" s="144" t="str">
        <f t="shared" si="421"/>
        <v xml:space="preserve"> </v>
      </c>
      <c r="BI135" s="176" t="str">
        <f t="shared" si="253"/>
        <v/>
      </c>
      <c r="BJ135" s="144" t="str">
        <f t="shared" si="422"/>
        <v/>
      </c>
      <c r="BK135" s="246" t="str">
        <f t="shared" si="254"/>
        <v/>
      </c>
      <c r="BL135" s="144" t="str">
        <f t="shared" si="423"/>
        <v/>
      </c>
      <c r="BM135" s="246" t="str">
        <f t="shared" si="255"/>
        <v/>
      </c>
      <c r="BN135" s="337" t="str">
        <f t="shared" si="345"/>
        <v/>
      </c>
      <c r="BO135" s="371" t="str">
        <f t="shared" si="346"/>
        <v/>
      </c>
      <c r="BP135" s="328" t="str">
        <f t="shared" si="424"/>
        <v xml:space="preserve"> </v>
      </c>
      <c r="BQ135" s="347" t="str">
        <f t="shared" si="347"/>
        <v xml:space="preserve"> </v>
      </c>
      <c r="BR135" s="353" t="str">
        <f t="shared" si="348"/>
        <v xml:space="preserve"> </v>
      </c>
      <c r="BS135" s="626" t="str">
        <f>IF(L135&gt;0,IF(Calculation!P135="M13",BR135*3.1416*(0.134^2)/(4*144),IF(Calculation!P135="M17",BR135*3.1416*(0.165^2)/(4*144),IF(Calculation!P135="M20",BR135*3.1416*(0.198^2)/(4*144),IF(Calculation!P135="M23",BR135*3.1416*(0.228^2)/(4*144),IF(Calculation!P135="M27",BR135*3.1416*(0.269^2)/(4*144),BR135*3.1416*(0.307^2)/(4*144))))))," ")</f>
        <v xml:space="preserve"> </v>
      </c>
      <c r="BT135" s="353" t="str">
        <f>IF(L135&gt;0,IF(BS135&gt;0,R135/Calculation!BS135,0)," ")</f>
        <v xml:space="preserve"> </v>
      </c>
      <c r="BU135" s="438" t="e">
        <f t="shared" ca="1" si="256"/>
        <v>#VALUE!</v>
      </c>
      <c r="BV135" s="449" t="e">
        <f ca="1">INDEX(INDIRECT(VLOOKUP(LEFT(BO135,7),CLU!$Z$3:$AH$18,2)),GN135,GR135)</f>
        <v>#N/A</v>
      </c>
      <c r="BW135" s="433" t="e">
        <f ca="1">INDEX(INDIRECT(VLOOKUP(LEFT(BO135,7),CLU!$Z$3:$AH$18,3)),GN135,GR135)</f>
        <v>#N/A</v>
      </c>
      <c r="BX135" s="433" t="e">
        <f ca="1">INDEX(INDIRECT(VLOOKUP(LEFT(BO135,7),CLU!$Z$3:$AH$18,4)),GN135,GR135)</f>
        <v>#N/A</v>
      </c>
      <c r="BY135" s="433" t="e">
        <f ca="1">INDEX(INDIRECT(VLOOKUP(LEFT(BO135,7),CLU!$Z$3:$AH$18,9)),((M135-2)*(6-COUNTBLANK(GT135:GY135)))+GJ135)</f>
        <v>#N/A</v>
      </c>
      <c r="BZ135" s="426" t="e">
        <f t="shared" ca="1" si="349"/>
        <v>#N/A</v>
      </c>
      <c r="CA135" s="424" t="e">
        <f t="shared" ca="1" si="350"/>
        <v>#N/A</v>
      </c>
      <c r="CB135" s="429" t="e">
        <f ca="1">INDEX(INDIRECT(VLOOKUP(LEFT(BO135,7),CLU!$Z$3:$AH$18,2)),GN135,GS135)</f>
        <v>#N/A</v>
      </c>
      <c r="CC135" s="342" t="e">
        <f ca="1">INDEX(INDIRECT(VLOOKUP(LEFT(BO135,7),CLU!$Z$3:$AH$18,3)),GN135,GS135)</f>
        <v>#N/A</v>
      </c>
      <c r="CD135" s="342" t="e">
        <f ca="1">INDEX(INDIRECT(VLOOKUP(LEFT(BO135,7),CLU!$Z$3:$AH$18,4)),GN135,GS135)</f>
        <v>#N/A</v>
      </c>
      <c r="CE135" s="426" t="e">
        <f t="shared" ca="1" si="351"/>
        <v>#N/A</v>
      </c>
      <c r="CF135" s="440">
        <f t="shared" si="352"/>
        <v>0</v>
      </c>
      <c r="CG135" s="431" t="e">
        <f ca="1">INDEX(INDIRECT(VLOOKUP(LEFT(BO135,7),CLU!$Z$3:$AH$18,2)),GQ135,GR135)</f>
        <v>#N/A</v>
      </c>
      <c r="CH135" s="431" t="e">
        <f ca="1">INDEX(INDIRECT(VLOOKUP(LEFT(BO135,7),CLU!$Z$3:$AH$18,3)),GQ135,GR135)</f>
        <v>#N/A</v>
      </c>
      <c r="CI135" s="431" t="e">
        <f ca="1">INDEX(INDIRECT(VLOOKUP(LEFT(BO135,7),CLU!$Z$3:$AH$18,4)),GQ135,GR135)</f>
        <v>#N/A</v>
      </c>
      <c r="CJ135" s="448" t="e">
        <f t="shared" ca="1" si="353"/>
        <v>#N/A</v>
      </c>
      <c r="CK135" s="431" t="e">
        <f t="shared" ca="1" si="354"/>
        <v>#N/A</v>
      </c>
      <c r="CL135" s="440" t="e">
        <f t="shared" ca="1" si="355"/>
        <v>#N/A</v>
      </c>
      <c r="CM135" s="431" t="e">
        <f ca="1">INDEX(INDIRECT(VLOOKUP(LEFT(BO135,7),CLU!$Z$3:$AH$18,2)),GQ135,GS135)</f>
        <v>#N/A</v>
      </c>
      <c r="CN135" s="431" t="e">
        <f ca="1">INDEX(INDIRECT(VLOOKUP(LEFT(BO135,7),CLU!$Z$3:$AH$18,3)),GQ135,GS135)</f>
        <v>#N/A</v>
      </c>
      <c r="CO135" s="431" t="e">
        <f ca="1">INDEX(INDIRECT(VLOOKUP(LEFT(BO135,7),CLU!$Z$3:$AH$18,4)),GQ135,GS135)</f>
        <v>#N/A</v>
      </c>
      <c r="CP135" s="431" t="e">
        <f t="shared" ca="1" si="356"/>
        <v>#N/A</v>
      </c>
      <c r="CQ135" s="440">
        <f t="shared" si="357"/>
        <v>0</v>
      </c>
      <c r="CR135" s="51" t="e">
        <f t="shared" ca="1" si="358"/>
        <v>#N/A</v>
      </c>
      <c r="CS135" s="439" t="e">
        <f t="shared" ca="1" si="359"/>
        <v>#VALUE!</v>
      </c>
      <c r="CT135" s="51" t="e">
        <f t="shared" ca="1" si="360"/>
        <v>#VALUE!</v>
      </c>
      <c r="CU135" s="10"/>
      <c r="CV135" s="51" t="e">
        <f t="shared" ca="1" si="257"/>
        <v>#VALUE!</v>
      </c>
      <c r="CW135" s="51">
        <f t="shared" si="361"/>
        <v>0</v>
      </c>
      <c r="CX135" s="439" t="e">
        <f t="shared" ca="1" si="362"/>
        <v>#VALUE!</v>
      </c>
      <c r="CY135" s="51" t="e">
        <f t="shared" ca="1" si="363"/>
        <v>#VALUE!</v>
      </c>
      <c r="CZ135" s="10"/>
      <c r="DA135" s="51" t="e">
        <f t="shared" ca="1" si="364"/>
        <v>#VALUE!</v>
      </c>
      <c r="DB135" s="347" t="e">
        <f ca="1">INDEX(INDIRECT(VLOOKUP(LEFT(BO135,7),CLU!$Z$3:$AI$18,10)),((M135-2)*(6-COUNTBLANK(GT135:GY135)))+GJ135)*LI135</f>
        <v>#N/A</v>
      </c>
      <c r="DC135" s="347" t="str">
        <f>IF(L135&gt;0,((R135/Worksheet!$I$15)/DB135)^2," ")</f>
        <v xml:space="preserve"> </v>
      </c>
      <c r="DD135" s="602" t="str">
        <f t="shared" si="365"/>
        <v xml:space="preserve"> </v>
      </c>
      <c r="DE135" s="347" t="str">
        <f t="shared" si="258"/>
        <v xml:space="preserve"> </v>
      </c>
      <c r="DF135" s="356" t="e">
        <f ca="1">INDEX(INDIRECT(VLOOKUP(LEFT(BO135,7),CLU!$Z$3:$AH$18,8)),((M135-2)*(6-COUNTBLANK(GT135:GY135)))+GJ135)</f>
        <v>#N/A</v>
      </c>
      <c r="DG135" s="347" t="str">
        <f t="shared" si="259"/>
        <v xml:space="preserve"> </v>
      </c>
      <c r="DH135" s="357" t="str">
        <f t="shared" si="260"/>
        <v xml:space="preserve"> </v>
      </c>
      <c r="DI135" s="355" t="str">
        <f t="shared" si="261"/>
        <v xml:space="preserve"> </v>
      </c>
      <c r="DJ135" s="245" t="e">
        <f ca="1">INDEX(INDIRECT(VLOOKUP(LEFT(BO135,7),CLU!$Z$3:$AH$18,5)),GL135,GK135)</f>
        <v>#N/A</v>
      </c>
      <c r="DK135" s="245" t="e">
        <f ca="1">INDEX(INDIRECT(VLOOKUP(LEFT(BO135,7),CLU!$Z$3:$AH$18,6)),GL135,GK135)</f>
        <v>#N/A</v>
      </c>
      <c r="DL135" s="355">
        <f>(Calculation!R135*0.69143*(Calculation!$BQ$8-Calculation!$F$8))*$S$14</f>
        <v>0</v>
      </c>
      <c r="DM135" s="359" t="e">
        <f t="shared" si="366"/>
        <v>#VALUE!</v>
      </c>
      <c r="DN135" s="611">
        <f t="shared" si="367"/>
        <v>0</v>
      </c>
      <c r="DO135" s="359">
        <f t="shared" si="368"/>
        <v>100</v>
      </c>
      <c r="DP135" s="359">
        <f t="shared" si="369"/>
        <v>0</v>
      </c>
      <c r="DQ135" s="360"/>
      <c r="DR135" s="245" t="e">
        <f ca="1">INDEX(INDIRECT(VLOOKUP(LEFT(BO135,7),CLU!$Z$3:$AH$18,7)),M135-1,1)</f>
        <v>#N/A</v>
      </c>
      <c r="DS135" s="245" t="e">
        <f ca="1">INDEX(INDIRECT(VLOOKUP(LEFT(BO135,7),CLU!$Z$3:$AH$18,7)),M135-1,2)</f>
        <v>#N/A</v>
      </c>
      <c r="DT135" s="245" t="e">
        <f ca="1">INDEX(INDIRECT(VLOOKUP(LEFT(BO135,7),CLU!$Z$3:$AH$18,7)),M135-1,3)</f>
        <v>#N/A</v>
      </c>
      <c r="DU135" s="245" t="e">
        <f ca="1">INDEX(INDIRECT(VLOOKUP(LEFT(BO135,7),CLU!$Z$3:$AH$18,7)),M135-1,4)</f>
        <v>#N/A</v>
      </c>
      <c r="DV135" s="361" t="e">
        <f ca="1">INDEX(INDIRECT(VLOOKUP(LEFT(BO135,7),CLU!$Z$3:$AH$18,7)),M135-1,4+LEFT(DZ135,1)*0.5)</f>
        <v>#N/A</v>
      </c>
      <c r="DW135" s="245" t="e">
        <f ca="1">INDEX(INDIRECT(VLOOKUP(LEFT(BO135,7),CLU!$Z$3:$AH$18,7)),M135-1,8)</f>
        <v>#N/A</v>
      </c>
      <c r="DX135" s="361" t="str">
        <f t="shared" si="262"/>
        <v xml:space="preserve"> </v>
      </c>
      <c r="DY135" s="361" t="str">
        <f t="shared" si="263"/>
        <v xml:space="preserve"> </v>
      </c>
      <c r="DZ135" s="361" t="str">
        <f t="shared" si="264"/>
        <v xml:space="preserve"> </v>
      </c>
      <c r="EA135" s="362" t="str">
        <f t="shared" si="265"/>
        <v xml:space="preserve"> </v>
      </c>
      <c r="EB135" s="624" t="str">
        <f t="shared" si="370"/>
        <v xml:space="preserve"> </v>
      </c>
      <c r="EC135" s="361" t="e">
        <f ca="1">INDEX(INDIRECT(VLOOKUP(LEFT(BO135,7),CLU!$Z$3:$AH$18,7)),M135-1,4+LEFT(DZ135,1)*0.5)</f>
        <v>#N/A</v>
      </c>
      <c r="ED135" s="362" t="str">
        <f t="shared" si="266"/>
        <v xml:space="preserve"> </v>
      </c>
      <c r="EE135" s="361" t="str">
        <f t="shared" si="267"/>
        <v xml:space="preserve"> </v>
      </c>
      <c r="EF135" s="362" t="str">
        <f>IF(L135&gt;0,IF(BR135&gt;0,IF(EE135="2P",IF(Calculation!DZ135="2P",IF(Calculation!DS135=13.75,IF(Calculation!DR135=13,Worksheet!$BD$43,IF(Calculation!DR135=37,Worksheet!$BD$44,Worksheet!$BD$45)),IF(Calculation!DS135=10,IF(Calculation!DR135=18,Worksheet!$BD$29,IF(Calculation!DR135=30,Worksheet!$BD$30,IF(Calculation!DR135=42,Worksheet!$BD$31,IF(Calculation!DR135=54,Worksheet!$BD$32,IF(Calculation!DR135=66,Worksheet!$BD$33,IF(Calculation!DR135=78,Worksheet!$BD$34,IF(Calculation!DR135=90,Worksheet!$BD$35,IF(Calculation!DR135=102,Worksheet!$BD$36,Worksheet!$BD$37)))))))),IF(Calculation!DS135=12.5,IF(Calculation!DR135=18,Worksheet!$BD$38,IF(Calculation!DR135=Worksheet!$BD$39,IF(Calculation!DR135=42,Worksheet!$BD$40,IF(Calculation!DR135=54,Worksheet!$BD$41,Worksheet!$BD$42)))),IF(Calculation!DR135=18,Worksheet!$BD$11,IF(Calculation!DR135=30,Worksheet!$BD$12,IF(Calculation!DR135=42,Worksheet!$BD$13,IF(Calculation!DR135=54,Worksheet!$BD$14,IF(Calculation!DR135=66,Worksheet!$BD$15,IF(Calculation!DR135=78,Worksheet!$BD$16,IF(Calculation!DR135=90,Worksheet!$BD$17,IF(Calculation!DR135=102,Worksheet!$BD$18,Worksheet!$BD$19))))))))))),IF(Calculation!DS135=13.75,IF(Calculation!DR135=13,Worksheet!$BD$78,IF(Calculation!DR135=37,Worksheet!$BD$79,Worksheet!$BD$80)),IF(Calculation!DS135=10,IF(Calculation!DR135=18,Worksheet!$BD$64,IF(Calculation!DR135=30,Worksheet!$BD$65,IF(Calculation!DR135=42,Worksheet!$BD$66,IF(Calculation!DR135=54,Worksheet!$BD$68,IF(Calculation!DR135=66,Worksheet!$BD$68,IF(Calculation!DR135=78,Worksheet!$BD$69,IF(Calculation!DR135=90,Worksheet!$BD$70,IF(Calculation!DR135=102,Worksheet!$BD$71,Worksheet!$BD$72)))))))),IF(Calculation!DS135=12.5,IF(Calculation!DR135=18,Worksheet!$BD$73,IF(Calculation!DR135=Worksheet!$BD$74,IF(Calculation!DR135=42,Worksheet!$BD$75,IF(Calculation!DR135=54,Worksheet!$BD$76,Worksheet!$BD$77)))),IF(Calculation!DR135=18,Worksheet!$BD$55,IF(Calculation!DR135=30,Worksheet!$BD$56,IF(Calculation!DR135=42,Worksheet!$BD$57,IF(Calculation!DR135=54,Worksheet!$BD$58,IF(Calculation!DR135=66,Worksheet!$BD$59,IF(Calculation!DR135=78,Worksheet!$BD$60,IF(Calculation!DR135=90,Worksheet!$BD$61,IF(Calculation!DR135=102,Worksheet!$BD$62,Worksheet!$BD$63)))))))))))),5),0)," ")</f>
        <v xml:space="preserve"> </v>
      </c>
      <c r="EG135" s="361" t="str">
        <f t="shared" si="268"/>
        <v xml:space="preserve"> </v>
      </c>
      <c r="EH135" s="361" t="e">
        <f ca="1">INDEX(INDIRECT(VLOOKUP(LEFT(BO135,7),CLU!$Z$3:$AH$18,7)),M135-1,3+LEFT(DZ135,1))</f>
        <v>#N/A</v>
      </c>
      <c r="EI135" s="362" t="str">
        <f t="shared" si="269"/>
        <v xml:space="preserve"> </v>
      </c>
      <c r="EJ135" s="363" t="str">
        <f t="shared" si="270"/>
        <v xml:space="preserve"> </v>
      </c>
      <c r="EK135" s="363" t="str">
        <f t="shared" si="271"/>
        <v xml:space="preserve"> </v>
      </c>
      <c r="EL135" s="363" t="str">
        <f t="shared" si="272"/>
        <v xml:space="preserve"> </v>
      </c>
      <c r="EM135" s="362" t="str">
        <f>IF(L135&gt;0,IF(BR135&gt;0,(Calculation!T135/ED135)^2,0)," ")</f>
        <v xml:space="preserve"> </v>
      </c>
      <c r="EN135" s="362" t="str">
        <f>IF(L135&gt;0,IF(O135="2 Pipe (Cooling)","N/A",IF(BR135&gt;0,(Calculation!U135/EI135)^2,0))," ")</f>
        <v xml:space="preserve"> </v>
      </c>
      <c r="EO135" s="361" t="str">
        <f t="shared" si="273"/>
        <v/>
      </c>
      <c r="EP135" s="361" t="str">
        <f t="shared" si="274"/>
        <v/>
      </c>
      <c r="EQ135" s="361" t="str">
        <f t="shared" si="275"/>
        <v/>
      </c>
      <c r="ER135" s="361" t="str">
        <f t="shared" si="276"/>
        <v/>
      </c>
      <c r="ES135" s="361" t="str">
        <f t="shared" si="277"/>
        <v/>
      </c>
      <c r="ET135" s="361" t="str">
        <f t="shared" si="278"/>
        <v/>
      </c>
      <c r="EU135" s="361" t="str">
        <f t="shared" si="279"/>
        <v/>
      </c>
      <c r="EV135" s="361" t="str">
        <f t="shared" si="280"/>
        <v/>
      </c>
      <c r="EW135" s="361" t="str">
        <f t="shared" si="281"/>
        <v/>
      </c>
      <c r="EX135" s="361" t="str">
        <f t="shared" si="371"/>
        <v>1 slot, 1 way</v>
      </c>
      <c r="EY135" s="361" t="str">
        <f t="shared" si="372"/>
        <v xml:space="preserve"> </v>
      </c>
      <c r="EZ135" s="361" t="str">
        <f t="shared" si="373"/>
        <v xml:space="preserve"> </v>
      </c>
      <c r="FA135" s="361" t="str">
        <f t="shared" si="374"/>
        <v xml:space="preserve"> </v>
      </c>
      <c r="FB135" s="361" t="str">
        <f t="shared" si="375"/>
        <v xml:space="preserve"> </v>
      </c>
      <c r="FC135" s="361"/>
      <c r="FD135" s="361" t="str">
        <f>IF(J135&gt;0,IF(Calculation!R135&lt;=70,4,IF(Calculation!R135&lt;=110,5,IF(Calculation!R135&lt;=160,6,IF(Calculation!R135&lt;=300,8,"10 EO")))),"")</f>
        <v/>
      </c>
      <c r="FE135" s="361" t="str">
        <f t="shared" si="376"/>
        <v/>
      </c>
      <c r="FF135" s="361" t="str">
        <f t="shared" si="377"/>
        <v/>
      </c>
      <c r="FG135" s="361" t="e">
        <f t="shared" si="282"/>
        <v>#N/A</v>
      </c>
      <c r="FH135" s="361">
        <f t="shared" si="283"/>
        <v>0</v>
      </c>
      <c r="FI135" s="361" t="e">
        <f t="shared" si="284"/>
        <v>#DIV/0!</v>
      </c>
      <c r="FJ135" s="361"/>
      <c r="FK135" s="356" t="e">
        <f t="shared" si="285"/>
        <v>#VALUE!</v>
      </c>
      <c r="FL135" s="361"/>
      <c r="FM135" s="361"/>
      <c r="FN135" s="362" t="str">
        <f t="shared" si="378"/>
        <v xml:space="preserve"> </v>
      </c>
      <c r="FO135" s="362" t="str">
        <f t="shared" si="379"/>
        <v xml:space="preserve"> </v>
      </c>
      <c r="FP135" s="362">
        <f t="shared" si="380"/>
        <v>0</v>
      </c>
      <c r="FQ135" s="361">
        <f t="shared" si="286"/>
        <v>0</v>
      </c>
      <c r="FR135" s="362" t="str">
        <f>IF(L135&gt;0,IF(J135="CBAL2",Worksheet!$P$67,IF(J135="CBE2-24",Worksheet!$Q$67,IF(J135="CBAM",Worksheet!$R$67,IF(J135="CBLV",Worksheet!$S$67,IF(J135="CBAB",Worksheet!$U$67,IF(J135="CBAW",Worksheet!$X$67,IF(J135="CBE2-12",Worksheet!$Y$67,IF(J135="CBAL2",Worksheet!$Z$67,"N/A"))))))))," ")</f>
        <v xml:space="preserve"> </v>
      </c>
      <c r="FS135" s="362" t="str">
        <f>IF(L135&gt;0,IF(J135="CBAL2",Worksheet!$P$68,IF(J135="CBE2-24",Worksheet!$Q$68,IF(J135="CBAM",Worksheet!$R$68,IF(J135="CBLV",Worksheet!$S$68,IF(J135="CBAB",Worksheet!$U$68,IF(J135="CBAW",Worksheet!$X$68,IF(J135="CBE2-12",Worksheet!$Y$68,IF(J135="CBAL2",Worksheet!$Z$68,"N/A"))))))))," ")</f>
        <v xml:space="preserve"> </v>
      </c>
      <c r="FT135" s="362" t="str">
        <f>IF(L135&gt;0,IF(J135="CBAL2",Worksheet!$P$69,IF(J135="CBE2-24",Worksheet!$Q$69,IF(J135="CBAM",Worksheet!$R$69,IF(J135="CBLV",Worksheet!$S$69,IF(J135="CBAB",Worksheet!$U$69,IF(J135="CBAW",Worksheet!$X$69,IF(J135="CBE2-12",Worksheet!$Y$69,IF(J135="CBAL2",Worksheet!$Z$69,"N/A"))))))))," ")</f>
        <v xml:space="preserve"> </v>
      </c>
      <c r="FU135" s="361" t="str">
        <f t="shared" si="381"/>
        <v xml:space="preserve"> </v>
      </c>
      <c r="FV135" s="362" t="str">
        <f t="shared" si="382"/>
        <v xml:space="preserve"> </v>
      </c>
      <c r="FW135" s="362" t="str">
        <f t="shared" si="383"/>
        <v xml:space="preserve"> </v>
      </c>
      <c r="FX135" s="362" t="str">
        <f t="shared" si="384"/>
        <v xml:space="preserve"> </v>
      </c>
      <c r="FY135" s="355" t="str">
        <f t="shared" si="385"/>
        <v xml:space="preserve"> </v>
      </c>
      <c r="FZ135" s="361" t="str">
        <f t="shared" si="386"/>
        <v xml:space="preserve"> </v>
      </c>
      <c r="GA135" s="347" t="str">
        <f t="shared" si="387"/>
        <v xml:space="preserve"> </v>
      </c>
      <c r="GB135" s="355" t="str">
        <f t="shared" si="388"/>
        <v xml:space="preserve"> </v>
      </c>
      <c r="GC135" s="328" t="str">
        <f t="shared" si="389"/>
        <v xml:space="preserve"> </v>
      </c>
      <c r="GD135" s="361" t="str">
        <f t="shared" si="390"/>
        <v xml:space="preserve"> </v>
      </c>
      <c r="GE135" s="347" t="str">
        <f t="shared" si="391"/>
        <v xml:space="preserve"> </v>
      </c>
      <c r="GF135" s="361" t="str">
        <f t="shared" si="392"/>
        <v xml:space="preserve"> </v>
      </c>
      <c r="GG135" s="347" t="str">
        <f t="shared" si="393"/>
        <v xml:space="preserve"> </v>
      </c>
      <c r="GH135" s="364">
        <f t="shared" si="287"/>
        <v>0</v>
      </c>
      <c r="GI135" s="362">
        <f t="shared" si="394"/>
        <v>2</v>
      </c>
      <c r="GJ135" s="433" t="e">
        <f>IF(6-COUNTBLANK(GT135:GY135)=4,MATCH(MID(BO135,9,3),CLU!$H$16:$K$16),MATCH(MID(BO135,9,3),CLU!$H$13:$M$13))</f>
        <v>#N/A</v>
      </c>
      <c r="GK135" s="433" t="e">
        <f>HLOOKUP(VALUE(BP135),CLU!$H$9:$M$10,2)</f>
        <v>#VALUE!</v>
      </c>
      <c r="GL135" s="433" t="e">
        <f ca="1">MATCH(BU135,CLU!$H$2:$V$2,1)</f>
        <v>#VALUE!</v>
      </c>
      <c r="GM135" s="433" t="e">
        <f t="shared" ca="1" si="395"/>
        <v>#VALUE!</v>
      </c>
      <c r="GN135" s="433" t="e">
        <f t="shared" ca="1" si="396"/>
        <v>#VALUE!</v>
      </c>
      <c r="GO135" s="433" t="e">
        <f t="shared" ca="1" si="397"/>
        <v>#VALUE!</v>
      </c>
      <c r="GP135" s="433" t="e">
        <f t="shared" ca="1" si="398"/>
        <v>#VALUE!</v>
      </c>
      <c r="GQ135" s="433" t="e">
        <f t="shared" ca="1" si="399"/>
        <v>#VALUE!</v>
      </c>
      <c r="GR135" s="433" t="e">
        <f ca="1">MATCH(T135,INDIRECT(VLOOKUP(CONCATENATE(LEFT(BO135,7),"-",MID(BO135,13,1)),CLU!$P$3:$Q$16,2)),1)</f>
        <v>#N/A</v>
      </c>
      <c r="GS135" s="433" t="e">
        <f ca="1">MATCH(U135,INDIRECT(VLOOKUP(CONCATENATE(LEFT(BO135,7),"-",MID(BO135,13,1)),CLU!$P$3:$Q$16,2)),1)</f>
        <v>#N/A</v>
      </c>
      <c r="GT135" s="347" t="s">
        <v>512</v>
      </c>
      <c r="GU135" s="97" t="s">
        <v>513</v>
      </c>
      <c r="GV135" s="97" t="str">
        <f t="shared" si="400"/>
        <v>M23</v>
      </c>
      <c r="GW135" s="97" t="str">
        <f t="shared" si="401"/>
        <v>M31</v>
      </c>
      <c r="GX135" s="97" t="str">
        <f t="shared" si="402"/>
        <v/>
      </c>
      <c r="GY135" s="97" t="str">
        <f t="shared" si="403"/>
        <v/>
      </c>
      <c r="GZ135" s="481"/>
      <c r="HA135" s="288"/>
      <c r="HB135" s="240"/>
      <c r="HC135" s="240"/>
      <c r="HD135" s="240"/>
      <c r="HE135" s="240"/>
      <c r="HF135" s="240"/>
      <c r="HG135" s="240"/>
      <c r="HH135" s="240"/>
      <c r="HI135" s="240"/>
      <c r="HJ135" s="240"/>
      <c r="HK135" s="240"/>
      <c r="HL135" s="240"/>
      <c r="HM135" s="240"/>
      <c r="HN135" s="240"/>
      <c r="HO135" s="240"/>
      <c r="HP135" s="240"/>
      <c r="HQ135" s="240"/>
      <c r="HR135" s="240"/>
      <c r="HS135" s="240"/>
      <c r="HT135" s="240"/>
      <c r="HU135" s="240"/>
      <c r="HV135" s="245"/>
      <c r="HW135" s="245" t="b">
        <v>1</v>
      </c>
      <c r="HX135" s="245" t="str">
        <f t="shared" si="288"/>
        <v/>
      </c>
      <c r="HY135" s="245" t="e">
        <f t="shared" si="289"/>
        <v>#DIV/0!</v>
      </c>
      <c r="HZ135" s="245" t="e">
        <f t="shared" si="290"/>
        <v>#DIV/0!</v>
      </c>
      <c r="IA135" s="245">
        <f t="shared" si="291"/>
        <v>0</v>
      </c>
      <c r="IB135" s="245"/>
      <c r="IC135" t="b">
        <f t="shared" si="292"/>
        <v>1</v>
      </c>
      <c r="ID135" s="245" t="b">
        <f t="shared" si="293"/>
        <v>1</v>
      </c>
      <c r="IE135" s="245" t="b">
        <f t="shared" si="294"/>
        <v>1</v>
      </c>
      <c r="IF135" s="245" t="b">
        <f t="shared" si="295"/>
        <v>0</v>
      </c>
      <c r="IG135" s="245" t="b">
        <f t="shared" si="296"/>
        <v>1</v>
      </c>
      <c r="IH135" s="245" t="b">
        <f t="shared" si="297"/>
        <v>1</v>
      </c>
      <c r="II135" s="245">
        <f t="shared" si="404"/>
        <v>0</v>
      </c>
      <c r="IJ135" s="245" t="e">
        <f t="shared" si="298"/>
        <v>#VALUE!</v>
      </c>
      <c r="IK135" s="245" t="e">
        <f t="shared" si="299"/>
        <v>#VALUE!</v>
      </c>
      <c r="IL135" s="245"/>
      <c r="IM135" s="245" t="e">
        <f t="shared" si="405"/>
        <v>#N/A</v>
      </c>
      <c r="IN135" s="245" t="e">
        <f t="shared" si="406"/>
        <v>#N/A</v>
      </c>
      <c r="IO135" s="245"/>
      <c r="IP135" s="245"/>
      <c r="IQ135" s="245" t="str">
        <f t="shared" si="300"/>
        <v/>
      </c>
      <c r="IR135" s="245" t="str">
        <f>IF(J135="","",VLOOKUP(J135,Worksheet!$R$4:$T$14,2))</f>
        <v/>
      </c>
      <c r="IS135" s="245"/>
      <c r="IT135" s="245">
        <f t="shared" si="301"/>
        <v>0</v>
      </c>
      <c r="IU135" s="245">
        <f t="shared" si="302"/>
        <v>0</v>
      </c>
      <c r="IV135" s="245">
        <f t="shared" si="303"/>
        <v>0</v>
      </c>
      <c r="IW135" s="245">
        <f t="shared" si="304"/>
        <v>0</v>
      </c>
      <c r="IX135" s="245">
        <f t="shared" si="407"/>
        <v>0</v>
      </c>
      <c r="IY135" s="245">
        <f t="shared" si="305"/>
        <v>0</v>
      </c>
      <c r="IZ135" s="245">
        <f t="shared" si="306"/>
        <v>0</v>
      </c>
      <c r="JA135">
        <f t="shared" si="307"/>
        <v>0</v>
      </c>
      <c r="JB135">
        <f t="shared" si="408"/>
        <v>0</v>
      </c>
      <c r="JC135">
        <f t="shared" si="308"/>
        <v>0</v>
      </c>
      <c r="JD135">
        <f t="shared" si="309"/>
        <v>0</v>
      </c>
      <c r="JE135">
        <f t="shared" si="310"/>
        <v>0</v>
      </c>
      <c r="JF135">
        <f t="shared" si="311"/>
        <v>0</v>
      </c>
      <c r="JG135">
        <f t="shared" si="312"/>
        <v>0</v>
      </c>
      <c r="JH135">
        <f t="shared" si="313"/>
        <v>0</v>
      </c>
      <c r="JI135">
        <f t="shared" si="314"/>
        <v>0</v>
      </c>
      <c r="JJ135" s="447">
        <f t="shared" si="315"/>
        <v>0</v>
      </c>
      <c r="JK135" s="447">
        <f t="shared" si="316"/>
        <v>0</v>
      </c>
      <c r="JL135">
        <f t="shared" si="317"/>
        <v>0</v>
      </c>
      <c r="JM135" s="245" t="str">
        <f>IFERROR(VLOOKUP(MATCH(BN135,#REF!,0),#REF!,7),"")</f>
        <v/>
      </c>
      <c r="JN135" t="e">
        <f>HLOOKUP(LEFT(BO135,7),Discharge_Area,MATCH(JO135,LookUps!$B$130:$B$149,1)+2)</f>
        <v>#N/A</v>
      </c>
      <c r="JO135" t="str">
        <f t="shared" si="318"/>
        <v>- S</v>
      </c>
      <c r="JP135" t="e">
        <f>HLOOKUP(LEFT(BO135,7),Discharge_Area,MATCH(JO135,LookUps!$B$130:$B$149,1)+2)</f>
        <v>#N/A</v>
      </c>
      <c r="JQ135" t="e">
        <f t="shared" si="319"/>
        <v>#N/A</v>
      </c>
      <c r="JR135" t="e">
        <f t="shared" si="320"/>
        <v>#N/A</v>
      </c>
      <c r="JS135" t="e">
        <f t="shared" si="321"/>
        <v>#N/A</v>
      </c>
      <c r="JT135" s="532" t="str">
        <f t="shared" si="322"/>
        <v xml:space="preserve"> </v>
      </c>
      <c r="JU135" s="532" t="str">
        <f t="shared" si="323"/>
        <v xml:space="preserve"> </v>
      </c>
      <c r="JV135" s="533" t="str">
        <f t="shared" si="324"/>
        <v xml:space="preserve"> </v>
      </c>
      <c r="JW135" s="534">
        <f t="shared" si="325"/>
        <v>0</v>
      </c>
      <c r="JX135" s="535" t="str">
        <f t="shared" si="409"/>
        <v xml:space="preserve"> </v>
      </c>
      <c r="JY135" s="535" t="str">
        <f t="shared" si="410"/>
        <v xml:space="preserve"> </v>
      </c>
      <c r="JZ135" s="535" t="str">
        <f t="shared" si="411"/>
        <v xml:space="preserve"> </v>
      </c>
      <c r="KA135" s="536" t="str">
        <f t="shared" si="326"/>
        <v xml:space="preserve"> </v>
      </c>
      <c r="KB135" s="535" t="e">
        <f t="shared" si="412"/>
        <v>#VALUE!</v>
      </c>
      <c r="KC135" s="535" t="str">
        <f t="shared" si="327"/>
        <v/>
      </c>
      <c r="KD135" s="537" t="str">
        <f t="shared" si="413"/>
        <v xml:space="preserve"> </v>
      </c>
      <c r="KE135" s="537" t="str">
        <f t="shared" si="414"/>
        <v xml:space="preserve"> </v>
      </c>
      <c r="KF135" s="534">
        <f t="shared" si="328"/>
        <v>0</v>
      </c>
      <c r="KG135" s="535" t="str">
        <f t="shared" si="329"/>
        <v xml:space="preserve"> </v>
      </c>
      <c r="KH135" s="535" t="str">
        <f t="shared" si="330"/>
        <v xml:space="preserve"> </v>
      </c>
      <c r="KI135" s="535" t="str">
        <f t="shared" si="331"/>
        <v xml:space="preserve"> </v>
      </c>
      <c r="KJ135" s="536" t="str">
        <f t="shared" si="332"/>
        <v xml:space="preserve"> </v>
      </c>
      <c r="KK135" s="535" t="str">
        <f t="shared" si="415"/>
        <v xml:space="preserve"> </v>
      </c>
      <c r="KL135" s="535" t="str">
        <f t="shared" si="416"/>
        <v xml:space="preserve"> </v>
      </c>
      <c r="KM135" s="537" t="str">
        <f t="shared" si="333"/>
        <v xml:space="preserve"> </v>
      </c>
      <c r="KN135" s="537" t="str">
        <f t="shared" si="417"/>
        <v xml:space="preserve"> </v>
      </c>
      <c r="KP135">
        <f t="shared" si="334"/>
        <v>0</v>
      </c>
      <c r="LA135" t="e">
        <f t="shared" si="335"/>
        <v>#VALUE!</v>
      </c>
      <c r="LB135" t="e">
        <f t="shared" si="336"/>
        <v>#VALUE!</v>
      </c>
      <c r="LC135" t="e">
        <f t="shared" si="337"/>
        <v>#VALUE!</v>
      </c>
      <c r="LD135" t="e">
        <f t="shared" si="338"/>
        <v>#VALUE!</v>
      </c>
      <c r="LE135" t="e">
        <f t="shared" si="418"/>
        <v>#VALUE!</v>
      </c>
      <c r="LF135">
        <f t="shared" si="339"/>
        <v>0</v>
      </c>
      <c r="LG135" t="e">
        <f t="shared" si="419"/>
        <v>#VALUE!</v>
      </c>
      <c r="LH135" t="str">
        <f t="shared" si="340"/>
        <v xml:space="preserve"> </v>
      </c>
      <c r="LI135">
        <f t="shared" si="420"/>
        <v>1</v>
      </c>
    </row>
    <row r="136" spans="2:321" ht="15" customHeight="1">
      <c r="B136" s="311"/>
      <c r="C136" s="311"/>
      <c r="D136" s="312"/>
      <c r="E136" s="311"/>
      <c r="F136" s="312"/>
      <c r="G136" s="311"/>
      <c r="H136" s="311"/>
      <c r="I136" s="37"/>
      <c r="J136" s="311"/>
      <c r="K136" s="305" t="str">
        <f t="shared" si="341"/>
        <v/>
      </c>
      <c r="L136" s="313"/>
      <c r="M136" s="312"/>
      <c r="N136" s="311"/>
      <c r="O136" s="312"/>
      <c r="P136" s="311"/>
      <c r="Q136" s="305" t="str">
        <f t="shared" si="342"/>
        <v/>
      </c>
      <c r="R136" s="314"/>
      <c r="S136" s="450" t="str">
        <f t="shared" si="225"/>
        <v/>
      </c>
      <c r="T136" s="315"/>
      <c r="U136" s="315"/>
      <c r="W136" s="149" t="str">
        <f t="shared" si="226"/>
        <v xml:space="preserve"> </v>
      </c>
      <c r="X136" s="243" t="str">
        <f t="shared" si="227"/>
        <v xml:space="preserve"> </v>
      </c>
      <c r="Y136" s="150" t="str">
        <f t="shared" si="228"/>
        <v/>
      </c>
      <c r="Z136" s="149" t="str">
        <f t="shared" si="229"/>
        <v xml:space="preserve"> </v>
      </c>
      <c r="AA136" s="98" t="str">
        <f t="shared" si="230"/>
        <v xml:space="preserve"> </v>
      </c>
      <c r="AB136" s="153" t="str">
        <f t="shared" si="231"/>
        <v xml:space="preserve"> </v>
      </c>
      <c r="AC136" s="153" t="str">
        <f t="shared" si="232"/>
        <v xml:space="preserve"> </v>
      </c>
      <c r="AD136" s="148" t="str">
        <f t="shared" si="233"/>
        <v/>
      </c>
      <c r="AE136" s="149" t="str">
        <f t="shared" si="234"/>
        <v/>
      </c>
      <c r="AF136" s="151" t="str">
        <f t="shared" si="235"/>
        <v xml:space="preserve"> </v>
      </c>
      <c r="AG136" s="153" t="str">
        <f t="shared" si="236"/>
        <v xml:space="preserve"> </v>
      </c>
      <c r="AH136" s="98" t="str">
        <f t="shared" si="237"/>
        <v xml:space="preserve"> </v>
      </c>
      <c r="AI136" s="149" t="str">
        <f t="shared" si="238"/>
        <v xml:space="preserve"> </v>
      </c>
      <c r="AK136" s="144" t="str">
        <f t="shared" si="239"/>
        <v xml:space="preserve"> </v>
      </c>
      <c r="AL136" s="144"/>
      <c r="AM136" s="243" t="str">
        <f t="shared" si="240"/>
        <v xml:space="preserve"> </v>
      </c>
      <c r="AN136" s="149" t="str">
        <f t="shared" si="343"/>
        <v xml:space="preserve"> </v>
      </c>
      <c r="AO136" s="144" t="str">
        <f>IF(JB136&gt;0,IF(GI136=10,-R136*1.085*(Calculation!$F$6-Calculation!$F$13)*$S$14," "),"")</f>
        <v/>
      </c>
      <c r="AP136" s="144" t="str">
        <f t="shared" si="241"/>
        <v/>
      </c>
      <c r="AQ136" s="56" t="str">
        <f t="shared" si="242"/>
        <v/>
      </c>
      <c r="AR136" s="144" t="str">
        <f t="shared" si="243"/>
        <v/>
      </c>
      <c r="AS136" s="176" t="str">
        <f t="shared" si="244"/>
        <v/>
      </c>
      <c r="AT136" s="176" t="str">
        <f t="shared" si="344"/>
        <v xml:space="preserve"> </v>
      </c>
      <c r="AU136" s="176" t="str">
        <f t="shared" si="245"/>
        <v/>
      </c>
      <c r="AV136" s="177" t="str">
        <f t="shared" si="246"/>
        <v xml:space="preserve"> </v>
      </c>
      <c r="AW136" s="144" t="str">
        <f t="shared" si="247"/>
        <v xml:space="preserve"> </v>
      </c>
      <c r="AX136" s="144" t="str">
        <f t="shared" si="248"/>
        <v xml:space="preserve"> </v>
      </c>
      <c r="AY136" s="152" t="str">
        <f t="shared" si="249"/>
        <v xml:space="preserve"> </v>
      </c>
      <c r="AZ136" s="246" t="str">
        <f t="shared" si="250"/>
        <v/>
      </c>
      <c r="BA136" s="176" t="str">
        <f t="shared" si="251"/>
        <v xml:space="preserve"> </v>
      </c>
      <c r="BB136" s="176" t="str">
        <f t="shared" si="252"/>
        <v xml:space="preserve"> </v>
      </c>
      <c r="BC136" s="195"/>
      <c r="BD136" s="316"/>
      <c r="BE136" s="317"/>
      <c r="BF136" s="318"/>
      <c r="BG136" s="318"/>
      <c r="BH136" s="144" t="str">
        <f t="shared" si="421"/>
        <v xml:space="preserve"> </v>
      </c>
      <c r="BI136" s="176" t="str">
        <f t="shared" si="253"/>
        <v/>
      </c>
      <c r="BJ136" s="144" t="str">
        <f t="shared" si="422"/>
        <v/>
      </c>
      <c r="BK136" s="246" t="str">
        <f t="shared" si="254"/>
        <v/>
      </c>
      <c r="BL136" s="144" t="str">
        <f t="shared" si="423"/>
        <v/>
      </c>
      <c r="BM136" s="246" t="str">
        <f t="shared" si="255"/>
        <v/>
      </c>
      <c r="BN136" s="337" t="str">
        <f t="shared" si="345"/>
        <v/>
      </c>
      <c r="BO136" s="371" t="str">
        <f t="shared" si="346"/>
        <v/>
      </c>
      <c r="BP136" s="328" t="str">
        <f t="shared" si="424"/>
        <v xml:space="preserve"> </v>
      </c>
      <c r="BQ136" s="347" t="str">
        <f t="shared" si="347"/>
        <v xml:space="preserve"> </v>
      </c>
      <c r="BR136" s="353" t="str">
        <f t="shared" si="348"/>
        <v xml:space="preserve"> </v>
      </c>
      <c r="BS136" s="626" t="str">
        <f>IF(L136&gt;0,IF(Calculation!P136="M13",BR136*3.1416*(0.134^2)/(4*144),IF(Calculation!P136="M17",BR136*3.1416*(0.165^2)/(4*144),IF(Calculation!P136="M20",BR136*3.1416*(0.198^2)/(4*144),IF(Calculation!P136="M23",BR136*3.1416*(0.228^2)/(4*144),IF(Calculation!P136="M27",BR136*3.1416*(0.269^2)/(4*144),BR136*3.1416*(0.307^2)/(4*144))))))," ")</f>
        <v xml:space="preserve"> </v>
      </c>
      <c r="BT136" s="353" t="str">
        <f>IF(L136&gt;0,IF(BS136&gt;0,R136/Calculation!BS136,0)," ")</f>
        <v xml:space="preserve"> </v>
      </c>
      <c r="BU136" s="438" t="e">
        <f t="shared" ca="1" si="256"/>
        <v>#VALUE!</v>
      </c>
      <c r="BV136" s="449" t="e">
        <f ca="1">INDEX(INDIRECT(VLOOKUP(LEFT(BO136,7),CLU!$Z$3:$AH$18,2)),GN136,GR136)</f>
        <v>#N/A</v>
      </c>
      <c r="BW136" s="433" t="e">
        <f ca="1">INDEX(INDIRECT(VLOOKUP(LEFT(BO136,7),CLU!$Z$3:$AH$18,3)),GN136,GR136)</f>
        <v>#N/A</v>
      </c>
      <c r="BX136" s="433" t="e">
        <f ca="1">INDEX(INDIRECT(VLOOKUP(LEFT(BO136,7),CLU!$Z$3:$AH$18,4)),GN136,GR136)</f>
        <v>#N/A</v>
      </c>
      <c r="BY136" s="433" t="e">
        <f ca="1">INDEX(INDIRECT(VLOOKUP(LEFT(BO136,7),CLU!$Z$3:$AH$18,9)),((M136-2)*(6-COUNTBLANK(GT136:GY136)))+GJ136)</f>
        <v>#N/A</v>
      </c>
      <c r="BZ136" s="426" t="e">
        <f t="shared" ca="1" si="349"/>
        <v>#N/A</v>
      </c>
      <c r="CA136" s="424" t="e">
        <f t="shared" ca="1" si="350"/>
        <v>#N/A</v>
      </c>
      <c r="CB136" s="429" t="e">
        <f ca="1">INDEX(INDIRECT(VLOOKUP(LEFT(BO136,7),CLU!$Z$3:$AH$18,2)),GN136,GS136)</f>
        <v>#N/A</v>
      </c>
      <c r="CC136" s="342" t="e">
        <f ca="1">INDEX(INDIRECT(VLOOKUP(LEFT(BO136,7),CLU!$Z$3:$AH$18,3)),GN136,GS136)</f>
        <v>#N/A</v>
      </c>
      <c r="CD136" s="342" t="e">
        <f ca="1">INDEX(INDIRECT(VLOOKUP(LEFT(BO136,7),CLU!$Z$3:$AH$18,4)),GN136,GS136)</f>
        <v>#N/A</v>
      </c>
      <c r="CE136" s="426" t="e">
        <f t="shared" ca="1" si="351"/>
        <v>#N/A</v>
      </c>
      <c r="CF136" s="440">
        <f t="shared" si="352"/>
        <v>0</v>
      </c>
      <c r="CG136" s="431" t="e">
        <f ca="1">INDEX(INDIRECT(VLOOKUP(LEFT(BO136,7),CLU!$Z$3:$AH$18,2)),GQ136,GR136)</f>
        <v>#N/A</v>
      </c>
      <c r="CH136" s="431" t="e">
        <f ca="1">INDEX(INDIRECT(VLOOKUP(LEFT(BO136,7),CLU!$Z$3:$AH$18,3)),GQ136,GR136)</f>
        <v>#N/A</v>
      </c>
      <c r="CI136" s="431" t="e">
        <f ca="1">INDEX(INDIRECT(VLOOKUP(LEFT(BO136,7),CLU!$Z$3:$AH$18,4)),GQ136,GR136)</f>
        <v>#N/A</v>
      </c>
      <c r="CJ136" s="448" t="e">
        <f t="shared" ca="1" si="353"/>
        <v>#N/A</v>
      </c>
      <c r="CK136" s="431" t="e">
        <f t="shared" ca="1" si="354"/>
        <v>#N/A</v>
      </c>
      <c r="CL136" s="440" t="e">
        <f t="shared" ca="1" si="355"/>
        <v>#N/A</v>
      </c>
      <c r="CM136" s="431" t="e">
        <f ca="1">INDEX(INDIRECT(VLOOKUP(LEFT(BO136,7),CLU!$Z$3:$AH$18,2)),GQ136,GS136)</f>
        <v>#N/A</v>
      </c>
      <c r="CN136" s="431" t="e">
        <f ca="1">INDEX(INDIRECT(VLOOKUP(LEFT(BO136,7),CLU!$Z$3:$AH$18,3)),GQ136,GS136)</f>
        <v>#N/A</v>
      </c>
      <c r="CO136" s="431" t="e">
        <f ca="1">INDEX(INDIRECT(VLOOKUP(LEFT(BO136,7),CLU!$Z$3:$AH$18,4)),GQ136,GS136)</f>
        <v>#N/A</v>
      </c>
      <c r="CP136" s="431" t="e">
        <f t="shared" ca="1" si="356"/>
        <v>#N/A</v>
      </c>
      <c r="CQ136" s="440">
        <f t="shared" si="357"/>
        <v>0</v>
      </c>
      <c r="CR136" s="51" t="e">
        <f t="shared" ca="1" si="358"/>
        <v>#N/A</v>
      </c>
      <c r="CS136" s="439" t="e">
        <f t="shared" ca="1" si="359"/>
        <v>#VALUE!</v>
      </c>
      <c r="CT136" s="51" t="e">
        <f t="shared" ca="1" si="360"/>
        <v>#VALUE!</v>
      </c>
      <c r="CU136" s="10"/>
      <c r="CV136" s="51" t="e">
        <f t="shared" ca="1" si="257"/>
        <v>#VALUE!</v>
      </c>
      <c r="CW136" s="51">
        <f t="shared" si="361"/>
        <v>0</v>
      </c>
      <c r="CX136" s="439" t="e">
        <f t="shared" ca="1" si="362"/>
        <v>#VALUE!</v>
      </c>
      <c r="CY136" s="51" t="e">
        <f t="shared" ca="1" si="363"/>
        <v>#VALUE!</v>
      </c>
      <c r="CZ136" s="10"/>
      <c r="DA136" s="51" t="e">
        <f t="shared" ca="1" si="364"/>
        <v>#VALUE!</v>
      </c>
      <c r="DB136" s="347" t="e">
        <f ca="1">INDEX(INDIRECT(VLOOKUP(LEFT(BO136,7),CLU!$Z$3:$AI$18,10)),((M136-2)*(6-COUNTBLANK(GT136:GY136)))+GJ136)*LI136</f>
        <v>#N/A</v>
      </c>
      <c r="DC136" s="347" t="str">
        <f>IF(L136&gt;0,((R136/Worksheet!$I$15)/DB136)^2," ")</f>
        <v xml:space="preserve"> </v>
      </c>
      <c r="DD136" s="602" t="str">
        <f t="shared" si="365"/>
        <v xml:space="preserve"> </v>
      </c>
      <c r="DE136" s="347" t="str">
        <f t="shared" si="258"/>
        <v xml:space="preserve"> </v>
      </c>
      <c r="DF136" s="356" t="e">
        <f ca="1">INDEX(INDIRECT(VLOOKUP(LEFT(BO136,7),CLU!$Z$3:$AH$18,8)),((M136-2)*(6-COUNTBLANK(GT136:GY136)))+GJ136)</f>
        <v>#N/A</v>
      </c>
      <c r="DG136" s="347" t="str">
        <f t="shared" si="259"/>
        <v xml:space="preserve"> </v>
      </c>
      <c r="DH136" s="357" t="str">
        <f t="shared" si="260"/>
        <v xml:space="preserve"> </v>
      </c>
      <c r="DI136" s="355" t="str">
        <f t="shared" si="261"/>
        <v xml:space="preserve"> </v>
      </c>
      <c r="DJ136" s="245" t="e">
        <f ca="1">INDEX(INDIRECT(VLOOKUP(LEFT(BO136,7),CLU!$Z$3:$AH$18,5)),GL136,GK136)</f>
        <v>#N/A</v>
      </c>
      <c r="DK136" s="245" t="e">
        <f ca="1">INDEX(INDIRECT(VLOOKUP(LEFT(BO136,7),CLU!$Z$3:$AH$18,6)),GL136,GK136)</f>
        <v>#N/A</v>
      </c>
      <c r="DL136" s="355">
        <f>(Calculation!R136*0.69143*(Calculation!$BQ$8-Calculation!$F$8))*$S$14</f>
        <v>0</v>
      </c>
      <c r="DM136" s="359" t="e">
        <f t="shared" si="366"/>
        <v>#VALUE!</v>
      </c>
      <c r="DN136" s="611">
        <f t="shared" si="367"/>
        <v>0</v>
      </c>
      <c r="DO136" s="359">
        <f t="shared" si="368"/>
        <v>100</v>
      </c>
      <c r="DP136" s="359">
        <f t="shared" si="369"/>
        <v>0</v>
      </c>
      <c r="DQ136" s="360"/>
      <c r="DR136" s="245" t="e">
        <f ca="1">INDEX(INDIRECT(VLOOKUP(LEFT(BO136,7),CLU!$Z$3:$AH$18,7)),M136-1,1)</f>
        <v>#N/A</v>
      </c>
      <c r="DS136" s="245" t="e">
        <f ca="1">INDEX(INDIRECT(VLOOKUP(LEFT(BO136,7),CLU!$Z$3:$AH$18,7)),M136-1,2)</f>
        <v>#N/A</v>
      </c>
      <c r="DT136" s="245" t="e">
        <f ca="1">INDEX(INDIRECT(VLOOKUP(LEFT(BO136,7),CLU!$Z$3:$AH$18,7)),M136-1,3)</f>
        <v>#N/A</v>
      </c>
      <c r="DU136" s="245" t="e">
        <f ca="1">INDEX(INDIRECT(VLOOKUP(LEFT(BO136,7),CLU!$Z$3:$AH$18,7)),M136-1,4)</f>
        <v>#N/A</v>
      </c>
      <c r="DV136" s="361" t="e">
        <f ca="1">INDEX(INDIRECT(VLOOKUP(LEFT(BO136,7),CLU!$Z$3:$AH$18,7)),M136-1,4+LEFT(DZ136,1)*0.5)</f>
        <v>#N/A</v>
      </c>
      <c r="DW136" s="245" t="e">
        <f ca="1">INDEX(INDIRECT(VLOOKUP(LEFT(BO136,7),CLU!$Z$3:$AH$18,7)),M136-1,8)</f>
        <v>#N/A</v>
      </c>
      <c r="DX136" s="361" t="str">
        <f t="shared" si="262"/>
        <v xml:space="preserve"> </v>
      </c>
      <c r="DY136" s="361" t="str">
        <f t="shared" si="263"/>
        <v xml:space="preserve"> </v>
      </c>
      <c r="DZ136" s="361" t="str">
        <f t="shared" si="264"/>
        <v xml:space="preserve"> </v>
      </c>
      <c r="EA136" s="362" t="str">
        <f t="shared" si="265"/>
        <v xml:space="preserve"> </v>
      </c>
      <c r="EB136" s="624" t="str">
        <f t="shared" si="370"/>
        <v xml:space="preserve"> </v>
      </c>
      <c r="EC136" s="361" t="e">
        <f ca="1">INDEX(INDIRECT(VLOOKUP(LEFT(BO136,7),CLU!$Z$3:$AH$18,7)),M136-1,4+LEFT(DZ136,1)*0.5)</f>
        <v>#N/A</v>
      </c>
      <c r="ED136" s="362" t="str">
        <f t="shared" si="266"/>
        <v xml:space="preserve"> </v>
      </c>
      <c r="EE136" s="361" t="str">
        <f t="shared" si="267"/>
        <v xml:space="preserve"> </v>
      </c>
      <c r="EF136" s="362" t="str">
        <f>IF(L136&gt;0,IF(BR136&gt;0,IF(EE136="2P",IF(Calculation!DZ136="2P",IF(Calculation!DS136=13.75,IF(Calculation!DR136=13,Worksheet!$BD$43,IF(Calculation!DR136=37,Worksheet!$BD$44,Worksheet!$BD$45)),IF(Calculation!DS136=10,IF(Calculation!DR136=18,Worksheet!$BD$29,IF(Calculation!DR136=30,Worksheet!$BD$30,IF(Calculation!DR136=42,Worksheet!$BD$31,IF(Calculation!DR136=54,Worksheet!$BD$32,IF(Calculation!DR136=66,Worksheet!$BD$33,IF(Calculation!DR136=78,Worksheet!$BD$34,IF(Calculation!DR136=90,Worksheet!$BD$35,IF(Calculation!DR136=102,Worksheet!$BD$36,Worksheet!$BD$37)))))))),IF(Calculation!DS136=12.5,IF(Calculation!DR136=18,Worksheet!$BD$38,IF(Calculation!DR136=Worksheet!$BD$39,IF(Calculation!DR136=42,Worksheet!$BD$40,IF(Calculation!DR136=54,Worksheet!$BD$41,Worksheet!$BD$42)))),IF(Calculation!DR136=18,Worksheet!$BD$11,IF(Calculation!DR136=30,Worksheet!$BD$12,IF(Calculation!DR136=42,Worksheet!$BD$13,IF(Calculation!DR136=54,Worksheet!$BD$14,IF(Calculation!DR136=66,Worksheet!$BD$15,IF(Calculation!DR136=78,Worksheet!$BD$16,IF(Calculation!DR136=90,Worksheet!$BD$17,IF(Calculation!DR136=102,Worksheet!$BD$18,Worksheet!$BD$19))))))))))),IF(Calculation!DS136=13.75,IF(Calculation!DR136=13,Worksheet!$BD$78,IF(Calculation!DR136=37,Worksheet!$BD$79,Worksheet!$BD$80)),IF(Calculation!DS136=10,IF(Calculation!DR136=18,Worksheet!$BD$64,IF(Calculation!DR136=30,Worksheet!$BD$65,IF(Calculation!DR136=42,Worksheet!$BD$66,IF(Calculation!DR136=54,Worksheet!$BD$68,IF(Calculation!DR136=66,Worksheet!$BD$68,IF(Calculation!DR136=78,Worksheet!$BD$69,IF(Calculation!DR136=90,Worksheet!$BD$70,IF(Calculation!DR136=102,Worksheet!$BD$71,Worksheet!$BD$72)))))))),IF(Calculation!DS136=12.5,IF(Calculation!DR136=18,Worksheet!$BD$73,IF(Calculation!DR136=Worksheet!$BD$74,IF(Calculation!DR136=42,Worksheet!$BD$75,IF(Calculation!DR136=54,Worksheet!$BD$76,Worksheet!$BD$77)))),IF(Calculation!DR136=18,Worksheet!$BD$55,IF(Calculation!DR136=30,Worksheet!$BD$56,IF(Calculation!DR136=42,Worksheet!$BD$57,IF(Calculation!DR136=54,Worksheet!$BD$58,IF(Calculation!DR136=66,Worksheet!$BD$59,IF(Calculation!DR136=78,Worksheet!$BD$60,IF(Calculation!DR136=90,Worksheet!$BD$61,IF(Calculation!DR136=102,Worksheet!$BD$62,Worksheet!$BD$63)))))))))))),5),0)," ")</f>
        <v xml:space="preserve"> </v>
      </c>
      <c r="EG136" s="361" t="str">
        <f t="shared" si="268"/>
        <v xml:space="preserve"> </v>
      </c>
      <c r="EH136" s="361" t="e">
        <f ca="1">INDEX(INDIRECT(VLOOKUP(LEFT(BO136,7),CLU!$Z$3:$AH$18,7)),M136-1,3+LEFT(DZ136,1))</f>
        <v>#N/A</v>
      </c>
      <c r="EI136" s="362" t="str">
        <f t="shared" si="269"/>
        <v xml:space="preserve"> </v>
      </c>
      <c r="EJ136" s="363" t="str">
        <f t="shared" si="270"/>
        <v xml:space="preserve"> </v>
      </c>
      <c r="EK136" s="363" t="str">
        <f t="shared" si="271"/>
        <v xml:space="preserve"> </v>
      </c>
      <c r="EL136" s="363" t="str">
        <f t="shared" si="272"/>
        <v xml:space="preserve"> </v>
      </c>
      <c r="EM136" s="362" t="str">
        <f>IF(L136&gt;0,IF(BR136&gt;0,(Calculation!T136/ED136)^2,0)," ")</f>
        <v xml:space="preserve"> </v>
      </c>
      <c r="EN136" s="362" t="str">
        <f>IF(L136&gt;0,IF(O136="2 Pipe (Cooling)","N/A",IF(BR136&gt;0,(Calculation!U136/EI136)^2,0))," ")</f>
        <v xml:space="preserve"> </v>
      </c>
      <c r="EO136" s="361" t="str">
        <f t="shared" si="273"/>
        <v/>
      </c>
      <c r="EP136" s="361" t="str">
        <f t="shared" si="274"/>
        <v/>
      </c>
      <c r="EQ136" s="361" t="str">
        <f t="shared" si="275"/>
        <v/>
      </c>
      <c r="ER136" s="361" t="str">
        <f t="shared" si="276"/>
        <v/>
      </c>
      <c r="ES136" s="361" t="str">
        <f t="shared" si="277"/>
        <v/>
      </c>
      <c r="ET136" s="361" t="str">
        <f t="shared" si="278"/>
        <v/>
      </c>
      <c r="EU136" s="361" t="str">
        <f t="shared" si="279"/>
        <v/>
      </c>
      <c r="EV136" s="361" t="str">
        <f t="shared" si="280"/>
        <v/>
      </c>
      <c r="EW136" s="361" t="str">
        <f t="shared" si="281"/>
        <v/>
      </c>
      <c r="EX136" s="361" t="str">
        <f t="shared" si="371"/>
        <v>1 slot, 1 way</v>
      </c>
      <c r="EY136" s="361" t="str">
        <f t="shared" si="372"/>
        <v xml:space="preserve"> </v>
      </c>
      <c r="EZ136" s="361" t="str">
        <f t="shared" si="373"/>
        <v xml:space="preserve"> </v>
      </c>
      <c r="FA136" s="361" t="str">
        <f t="shared" si="374"/>
        <v xml:space="preserve"> </v>
      </c>
      <c r="FB136" s="361" t="str">
        <f t="shared" si="375"/>
        <v xml:space="preserve"> </v>
      </c>
      <c r="FC136" s="361"/>
      <c r="FD136" s="361" t="str">
        <f>IF(J136&gt;0,IF(Calculation!R136&lt;=70,4,IF(Calculation!R136&lt;=110,5,IF(Calculation!R136&lt;=160,6,IF(Calculation!R136&lt;=300,8,"10 EO")))),"")</f>
        <v/>
      </c>
      <c r="FE136" s="361" t="str">
        <f t="shared" si="376"/>
        <v/>
      </c>
      <c r="FF136" s="361" t="str">
        <f t="shared" si="377"/>
        <v/>
      </c>
      <c r="FG136" s="361" t="e">
        <f t="shared" si="282"/>
        <v>#N/A</v>
      </c>
      <c r="FH136" s="361">
        <f t="shared" si="283"/>
        <v>0</v>
      </c>
      <c r="FI136" s="361" t="e">
        <f t="shared" si="284"/>
        <v>#DIV/0!</v>
      </c>
      <c r="FJ136" s="361"/>
      <c r="FK136" s="356" t="e">
        <f t="shared" si="285"/>
        <v>#VALUE!</v>
      </c>
      <c r="FL136" s="361"/>
      <c r="FM136" s="361"/>
      <c r="FN136" s="362" t="str">
        <f t="shared" si="378"/>
        <v xml:space="preserve"> </v>
      </c>
      <c r="FO136" s="362" t="str">
        <f t="shared" si="379"/>
        <v xml:space="preserve"> </v>
      </c>
      <c r="FP136" s="362">
        <f t="shared" si="380"/>
        <v>0</v>
      </c>
      <c r="FQ136" s="361">
        <f t="shared" si="286"/>
        <v>0</v>
      </c>
      <c r="FR136" s="362" t="str">
        <f>IF(L136&gt;0,IF(J136="CBAL2",Worksheet!$P$67,IF(J136="CBE2-24",Worksheet!$Q$67,IF(J136="CBAM",Worksheet!$R$67,IF(J136="CBLV",Worksheet!$S$67,IF(J136="CBAB",Worksheet!$U$67,IF(J136="CBAW",Worksheet!$X$67,IF(J136="CBE2-12",Worksheet!$Y$67,IF(J136="CBAL2",Worksheet!$Z$67,"N/A"))))))))," ")</f>
        <v xml:space="preserve"> </v>
      </c>
      <c r="FS136" s="362" t="str">
        <f>IF(L136&gt;0,IF(J136="CBAL2",Worksheet!$P$68,IF(J136="CBE2-24",Worksheet!$Q$68,IF(J136="CBAM",Worksheet!$R$68,IF(J136="CBLV",Worksheet!$S$68,IF(J136="CBAB",Worksheet!$U$68,IF(J136="CBAW",Worksheet!$X$68,IF(J136="CBE2-12",Worksheet!$Y$68,IF(J136="CBAL2",Worksheet!$Z$68,"N/A"))))))))," ")</f>
        <v xml:space="preserve"> </v>
      </c>
      <c r="FT136" s="362" t="str">
        <f>IF(L136&gt;0,IF(J136="CBAL2",Worksheet!$P$69,IF(J136="CBE2-24",Worksheet!$Q$69,IF(J136="CBAM",Worksheet!$R$69,IF(J136="CBLV",Worksheet!$S$69,IF(J136="CBAB",Worksheet!$U$69,IF(J136="CBAW",Worksheet!$X$69,IF(J136="CBE2-12",Worksheet!$Y$69,IF(J136="CBAL2",Worksheet!$Z$69,"N/A"))))))))," ")</f>
        <v xml:space="preserve"> </v>
      </c>
      <c r="FU136" s="361" t="str">
        <f t="shared" si="381"/>
        <v xml:space="preserve"> </v>
      </c>
      <c r="FV136" s="362" t="str">
        <f t="shared" si="382"/>
        <v xml:space="preserve"> </v>
      </c>
      <c r="FW136" s="362" t="str">
        <f t="shared" si="383"/>
        <v xml:space="preserve"> </v>
      </c>
      <c r="FX136" s="362" t="str">
        <f t="shared" si="384"/>
        <v xml:space="preserve"> </v>
      </c>
      <c r="FY136" s="355" t="str">
        <f t="shared" si="385"/>
        <v xml:space="preserve"> </v>
      </c>
      <c r="FZ136" s="361" t="str">
        <f t="shared" si="386"/>
        <v xml:space="preserve"> </v>
      </c>
      <c r="GA136" s="347" t="str">
        <f t="shared" si="387"/>
        <v xml:space="preserve"> </v>
      </c>
      <c r="GB136" s="355" t="str">
        <f t="shared" si="388"/>
        <v xml:space="preserve"> </v>
      </c>
      <c r="GC136" s="328" t="str">
        <f t="shared" si="389"/>
        <v xml:space="preserve"> </v>
      </c>
      <c r="GD136" s="361" t="str">
        <f t="shared" si="390"/>
        <v xml:space="preserve"> </v>
      </c>
      <c r="GE136" s="347" t="str">
        <f t="shared" si="391"/>
        <v xml:space="preserve"> </v>
      </c>
      <c r="GF136" s="361" t="str">
        <f t="shared" si="392"/>
        <v xml:space="preserve"> </v>
      </c>
      <c r="GG136" s="347" t="str">
        <f t="shared" si="393"/>
        <v xml:space="preserve"> </v>
      </c>
      <c r="GH136" s="364">
        <f t="shared" si="287"/>
        <v>0</v>
      </c>
      <c r="GI136" s="362">
        <f t="shared" si="394"/>
        <v>2</v>
      </c>
      <c r="GJ136" s="433" t="e">
        <f>IF(6-COUNTBLANK(GT136:GY136)=4,MATCH(MID(BO136,9,3),CLU!$H$16:$K$16),MATCH(MID(BO136,9,3),CLU!$H$13:$M$13))</f>
        <v>#N/A</v>
      </c>
      <c r="GK136" s="433" t="e">
        <f>HLOOKUP(VALUE(BP136),CLU!$H$9:$M$10,2)</f>
        <v>#VALUE!</v>
      </c>
      <c r="GL136" s="433" t="e">
        <f ca="1">MATCH(BU136,CLU!$H$2:$V$2,1)</f>
        <v>#VALUE!</v>
      </c>
      <c r="GM136" s="433" t="e">
        <f t="shared" ca="1" si="395"/>
        <v>#VALUE!</v>
      </c>
      <c r="GN136" s="433" t="e">
        <f t="shared" ca="1" si="396"/>
        <v>#VALUE!</v>
      </c>
      <c r="GO136" s="433" t="e">
        <f t="shared" ca="1" si="397"/>
        <v>#VALUE!</v>
      </c>
      <c r="GP136" s="433" t="e">
        <f t="shared" ca="1" si="398"/>
        <v>#VALUE!</v>
      </c>
      <c r="GQ136" s="433" t="e">
        <f t="shared" ca="1" si="399"/>
        <v>#VALUE!</v>
      </c>
      <c r="GR136" s="433" t="e">
        <f ca="1">MATCH(T136,INDIRECT(VLOOKUP(CONCATENATE(LEFT(BO136,7),"-",MID(BO136,13,1)),CLU!$P$3:$Q$16,2)),1)</f>
        <v>#N/A</v>
      </c>
      <c r="GS136" s="433" t="e">
        <f ca="1">MATCH(U136,INDIRECT(VLOOKUP(CONCATENATE(LEFT(BO136,7),"-",MID(BO136,13,1)),CLU!$P$3:$Q$16,2)),1)</f>
        <v>#N/A</v>
      </c>
      <c r="GT136" s="347" t="s">
        <v>512</v>
      </c>
      <c r="GU136" s="97" t="s">
        <v>513</v>
      </c>
      <c r="GV136" s="97" t="str">
        <f t="shared" si="400"/>
        <v>M23</v>
      </c>
      <c r="GW136" s="97" t="str">
        <f t="shared" si="401"/>
        <v>M31</v>
      </c>
      <c r="GX136" s="97" t="str">
        <f t="shared" si="402"/>
        <v/>
      </c>
      <c r="GY136" s="97" t="str">
        <f t="shared" si="403"/>
        <v/>
      </c>
      <c r="GZ136" s="481"/>
      <c r="HA136" s="288"/>
      <c r="HB136" s="240"/>
      <c r="HC136" s="240"/>
      <c r="HD136" s="240"/>
      <c r="HE136" s="240"/>
      <c r="HF136" s="240"/>
      <c r="HG136" s="240"/>
      <c r="HH136" s="240"/>
      <c r="HI136" s="240"/>
      <c r="HJ136" s="240"/>
      <c r="HK136" s="240"/>
      <c r="HL136" s="240"/>
      <c r="HM136" s="240"/>
      <c r="HN136" s="240"/>
      <c r="HO136" s="240"/>
      <c r="HP136" s="240"/>
      <c r="HQ136" s="240"/>
      <c r="HR136" s="240"/>
      <c r="HS136" s="240"/>
      <c r="HT136" s="240"/>
      <c r="HU136" s="240"/>
      <c r="HV136" s="245"/>
      <c r="HW136" s="245" t="b">
        <v>1</v>
      </c>
      <c r="HX136" s="245" t="str">
        <f t="shared" si="288"/>
        <v/>
      </c>
      <c r="HY136" s="245" t="e">
        <f t="shared" si="289"/>
        <v>#DIV/0!</v>
      </c>
      <c r="HZ136" s="245" t="e">
        <f t="shared" si="290"/>
        <v>#DIV/0!</v>
      </c>
      <c r="IA136" s="245">
        <f t="shared" si="291"/>
        <v>0</v>
      </c>
      <c r="IB136" s="245"/>
      <c r="IC136" t="b">
        <f t="shared" si="292"/>
        <v>1</v>
      </c>
      <c r="ID136" s="245" t="b">
        <f t="shared" si="293"/>
        <v>1</v>
      </c>
      <c r="IE136" s="245" t="b">
        <f t="shared" si="294"/>
        <v>1</v>
      </c>
      <c r="IF136" s="245" t="b">
        <f t="shared" si="295"/>
        <v>0</v>
      </c>
      <c r="IG136" s="245" t="b">
        <f t="shared" si="296"/>
        <v>1</v>
      </c>
      <c r="IH136" s="245" t="b">
        <f t="shared" si="297"/>
        <v>1</v>
      </c>
      <c r="II136" s="245">
        <f t="shared" si="404"/>
        <v>0</v>
      </c>
      <c r="IJ136" s="245" t="e">
        <f t="shared" si="298"/>
        <v>#VALUE!</v>
      </c>
      <c r="IK136" s="245" t="e">
        <f t="shared" si="299"/>
        <v>#VALUE!</v>
      </c>
      <c r="IL136" s="245"/>
      <c r="IM136" s="245" t="e">
        <f t="shared" si="405"/>
        <v>#N/A</v>
      </c>
      <c r="IN136" s="245" t="e">
        <f t="shared" si="406"/>
        <v>#N/A</v>
      </c>
      <c r="IO136" s="245"/>
      <c r="IP136" s="245"/>
      <c r="IQ136" s="245" t="str">
        <f t="shared" si="300"/>
        <v/>
      </c>
      <c r="IR136" s="245" t="str">
        <f>IF(J136="","",VLOOKUP(J136,Worksheet!$R$4:$T$14,2))</f>
        <v/>
      </c>
      <c r="IS136" s="245"/>
      <c r="IT136" s="245">
        <f t="shared" si="301"/>
        <v>0</v>
      </c>
      <c r="IU136" s="245">
        <f t="shared" si="302"/>
        <v>0</v>
      </c>
      <c r="IV136" s="245">
        <f t="shared" si="303"/>
        <v>0</v>
      </c>
      <c r="IW136" s="245">
        <f t="shared" si="304"/>
        <v>0</v>
      </c>
      <c r="IX136" s="245">
        <f t="shared" si="407"/>
        <v>0</v>
      </c>
      <c r="IY136" s="245">
        <f t="shared" si="305"/>
        <v>0</v>
      </c>
      <c r="IZ136" s="245">
        <f t="shared" si="306"/>
        <v>0</v>
      </c>
      <c r="JA136">
        <f t="shared" si="307"/>
        <v>0</v>
      </c>
      <c r="JB136">
        <f t="shared" si="408"/>
        <v>0</v>
      </c>
      <c r="JC136">
        <f t="shared" si="308"/>
        <v>0</v>
      </c>
      <c r="JD136">
        <f t="shared" si="309"/>
        <v>0</v>
      </c>
      <c r="JE136">
        <f t="shared" si="310"/>
        <v>0</v>
      </c>
      <c r="JF136">
        <f t="shared" si="311"/>
        <v>0</v>
      </c>
      <c r="JG136">
        <f t="shared" si="312"/>
        <v>0</v>
      </c>
      <c r="JH136">
        <f t="shared" si="313"/>
        <v>0</v>
      </c>
      <c r="JI136">
        <f t="shared" si="314"/>
        <v>0</v>
      </c>
      <c r="JJ136" s="447">
        <f t="shared" si="315"/>
        <v>0</v>
      </c>
      <c r="JK136" s="447">
        <f t="shared" si="316"/>
        <v>0</v>
      </c>
      <c r="JL136">
        <f t="shared" si="317"/>
        <v>0</v>
      </c>
      <c r="JM136" s="245" t="str">
        <f>IFERROR(VLOOKUP(MATCH(BN136,#REF!,0),#REF!,7),"")</f>
        <v/>
      </c>
      <c r="JN136" t="e">
        <f>HLOOKUP(LEFT(BO136,7),Discharge_Area,MATCH(JO136,LookUps!$B$130:$B$149,1)+2)</f>
        <v>#N/A</v>
      </c>
      <c r="JO136" t="str">
        <f t="shared" si="318"/>
        <v>- S</v>
      </c>
      <c r="JP136" t="e">
        <f>HLOOKUP(LEFT(BO136,7),Discharge_Area,MATCH(JO136,LookUps!$B$130:$B$149,1)+2)</f>
        <v>#N/A</v>
      </c>
      <c r="JQ136" t="e">
        <f t="shared" si="319"/>
        <v>#N/A</v>
      </c>
      <c r="JR136" t="e">
        <f t="shared" si="320"/>
        <v>#N/A</v>
      </c>
      <c r="JS136" t="e">
        <f t="shared" si="321"/>
        <v>#N/A</v>
      </c>
      <c r="JT136" s="532" t="str">
        <f t="shared" si="322"/>
        <v xml:space="preserve"> </v>
      </c>
      <c r="JU136" s="532" t="str">
        <f t="shared" si="323"/>
        <v xml:space="preserve"> </v>
      </c>
      <c r="JV136" s="533" t="str">
        <f t="shared" si="324"/>
        <v xml:space="preserve"> </v>
      </c>
      <c r="JW136" s="534">
        <f t="shared" si="325"/>
        <v>0</v>
      </c>
      <c r="JX136" s="535" t="str">
        <f t="shared" si="409"/>
        <v xml:space="preserve"> </v>
      </c>
      <c r="JY136" s="535" t="str">
        <f t="shared" si="410"/>
        <v xml:space="preserve"> </v>
      </c>
      <c r="JZ136" s="535" t="str">
        <f t="shared" si="411"/>
        <v xml:space="preserve"> </v>
      </c>
      <c r="KA136" s="536" t="str">
        <f t="shared" si="326"/>
        <v xml:space="preserve"> </v>
      </c>
      <c r="KB136" s="535" t="e">
        <f t="shared" si="412"/>
        <v>#VALUE!</v>
      </c>
      <c r="KC136" s="535" t="str">
        <f t="shared" si="327"/>
        <v/>
      </c>
      <c r="KD136" s="537" t="str">
        <f t="shared" si="413"/>
        <v xml:space="preserve"> </v>
      </c>
      <c r="KE136" s="537" t="str">
        <f t="shared" si="414"/>
        <v xml:space="preserve"> </v>
      </c>
      <c r="KF136" s="534">
        <f t="shared" si="328"/>
        <v>0</v>
      </c>
      <c r="KG136" s="535" t="str">
        <f t="shared" si="329"/>
        <v xml:space="preserve"> </v>
      </c>
      <c r="KH136" s="535" t="str">
        <f t="shared" si="330"/>
        <v xml:space="preserve"> </v>
      </c>
      <c r="KI136" s="535" t="str">
        <f t="shared" si="331"/>
        <v xml:space="preserve"> </v>
      </c>
      <c r="KJ136" s="536" t="str">
        <f t="shared" si="332"/>
        <v xml:space="preserve"> </v>
      </c>
      <c r="KK136" s="535" t="str">
        <f t="shared" si="415"/>
        <v xml:space="preserve"> </v>
      </c>
      <c r="KL136" s="535" t="str">
        <f t="shared" si="416"/>
        <v xml:space="preserve"> </v>
      </c>
      <c r="KM136" s="537" t="str">
        <f t="shared" si="333"/>
        <v xml:space="preserve"> </v>
      </c>
      <c r="KN136" s="537" t="str">
        <f t="shared" si="417"/>
        <v xml:space="preserve"> </v>
      </c>
      <c r="KP136">
        <f t="shared" si="334"/>
        <v>0</v>
      </c>
      <c r="LA136" t="e">
        <f t="shared" si="335"/>
        <v>#VALUE!</v>
      </c>
      <c r="LB136" t="e">
        <f t="shared" si="336"/>
        <v>#VALUE!</v>
      </c>
      <c r="LC136" t="e">
        <f t="shared" si="337"/>
        <v>#VALUE!</v>
      </c>
      <c r="LD136" t="e">
        <f t="shared" si="338"/>
        <v>#VALUE!</v>
      </c>
      <c r="LE136" t="e">
        <f t="shared" si="418"/>
        <v>#VALUE!</v>
      </c>
      <c r="LF136">
        <f t="shared" si="339"/>
        <v>0</v>
      </c>
      <c r="LG136" t="e">
        <f t="shared" si="419"/>
        <v>#VALUE!</v>
      </c>
      <c r="LH136" t="str">
        <f t="shared" si="340"/>
        <v xml:space="preserve"> </v>
      </c>
      <c r="LI136">
        <f t="shared" si="420"/>
        <v>1</v>
      </c>
    </row>
    <row r="137" spans="2:321" ht="15" customHeight="1">
      <c r="B137" s="311"/>
      <c r="C137" s="311"/>
      <c r="D137" s="312"/>
      <c r="E137" s="311"/>
      <c r="F137" s="312"/>
      <c r="G137" s="311"/>
      <c r="H137" s="311"/>
      <c r="I137" s="37"/>
      <c r="J137" s="311"/>
      <c r="K137" s="305" t="str">
        <f t="shared" si="341"/>
        <v/>
      </c>
      <c r="L137" s="313"/>
      <c r="M137" s="312"/>
      <c r="N137" s="311"/>
      <c r="O137" s="312"/>
      <c r="P137" s="311"/>
      <c r="Q137" s="305" t="str">
        <f t="shared" si="342"/>
        <v/>
      </c>
      <c r="R137" s="314"/>
      <c r="S137" s="450" t="str">
        <f t="shared" si="225"/>
        <v/>
      </c>
      <c r="T137" s="315"/>
      <c r="U137" s="315"/>
      <c r="W137" s="149" t="str">
        <f t="shared" si="226"/>
        <v xml:space="preserve"> </v>
      </c>
      <c r="X137" s="243" t="str">
        <f t="shared" si="227"/>
        <v xml:space="preserve"> </v>
      </c>
      <c r="Y137" s="150" t="str">
        <f t="shared" si="228"/>
        <v/>
      </c>
      <c r="Z137" s="149" t="str">
        <f t="shared" si="229"/>
        <v xml:space="preserve"> </v>
      </c>
      <c r="AA137" s="98" t="str">
        <f t="shared" si="230"/>
        <v xml:space="preserve"> </v>
      </c>
      <c r="AB137" s="153" t="str">
        <f t="shared" si="231"/>
        <v xml:space="preserve"> </v>
      </c>
      <c r="AC137" s="153" t="str">
        <f t="shared" si="232"/>
        <v xml:space="preserve"> </v>
      </c>
      <c r="AD137" s="148" t="str">
        <f t="shared" si="233"/>
        <v/>
      </c>
      <c r="AE137" s="149" t="str">
        <f t="shared" si="234"/>
        <v/>
      </c>
      <c r="AF137" s="151" t="str">
        <f t="shared" si="235"/>
        <v xml:space="preserve"> </v>
      </c>
      <c r="AG137" s="153" t="str">
        <f t="shared" si="236"/>
        <v xml:space="preserve"> </v>
      </c>
      <c r="AH137" s="98" t="str">
        <f t="shared" si="237"/>
        <v xml:space="preserve"> </v>
      </c>
      <c r="AI137" s="149" t="str">
        <f t="shared" si="238"/>
        <v xml:space="preserve"> </v>
      </c>
      <c r="AK137" s="144" t="str">
        <f t="shared" si="239"/>
        <v xml:space="preserve"> </v>
      </c>
      <c r="AL137" s="144"/>
      <c r="AM137" s="243" t="str">
        <f t="shared" si="240"/>
        <v xml:space="preserve"> </v>
      </c>
      <c r="AN137" s="149" t="str">
        <f t="shared" si="343"/>
        <v xml:space="preserve"> </v>
      </c>
      <c r="AO137" s="144" t="str">
        <f>IF(JB137&gt;0,IF(GI137=10,-R137*1.085*(Calculation!$F$6-Calculation!$F$13)*$S$14," "),"")</f>
        <v/>
      </c>
      <c r="AP137" s="144" t="str">
        <f t="shared" si="241"/>
        <v/>
      </c>
      <c r="AQ137" s="56" t="str">
        <f t="shared" si="242"/>
        <v/>
      </c>
      <c r="AR137" s="144" t="str">
        <f t="shared" si="243"/>
        <v/>
      </c>
      <c r="AS137" s="176" t="str">
        <f t="shared" si="244"/>
        <v/>
      </c>
      <c r="AT137" s="176" t="str">
        <f t="shared" si="344"/>
        <v xml:space="preserve"> </v>
      </c>
      <c r="AU137" s="176" t="str">
        <f t="shared" si="245"/>
        <v/>
      </c>
      <c r="AV137" s="177" t="str">
        <f t="shared" si="246"/>
        <v xml:space="preserve"> </v>
      </c>
      <c r="AW137" s="144" t="str">
        <f t="shared" si="247"/>
        <v xml:space="preserve"> </v>
      </c>
      <c r="AX137" s="144" t="str">
        <f t="shared" si="248"/>
        <v xml:space="preserve"> </v>
      </c>
      <c r="AY137" s="152" t="str">
        <f t="shared" si="249"/>
        <v xml:space="preserve"> </v>
      </c>
      <c r="AZ137" s="246" t="str">
        <f t="shared" si="250"/>
        <v/>
      </c>
      <c r="BA137" s="176" t="str">
        <f t="shared" si="251"/>
        <v xml:space="preserve"> </v>
      </c>
      <c r="BB137" s="176" t="str">
        <f t="shared" si="252"/>
        <v xml:space="preserve"> </v>
      </c>
      <c r="BC137" s="195"/>
      <c r="BD137" s="316"/>
      <c r="BE137" s="317"/>
      <c r="BF137" s="318"/>
      <c r="BG137" s="318"/>
      <c r="BH137" s="144" t="str">
        <f t="shared" si="421"/>
        <v xml:space="preserve"> </v>
      </c>
      <c r="BI137" s="176" t="str">
        <f t="shared" si="253"/>
        <v/>
      </c>
      <c r="BJ137" s="144" t="str">
        <f t="shared" si="422"/>
        <v/>
      </c>
      <c r="BK137" s="246" t="str">
        <f t="shared" si="254"/>
        <v/>
      </c>
      <c r="BL137" s="144" t="str">
        <f t="shared" si="423"/>
        <v/>
      </c>
      <c r="BM137" s="246" t="str">
        <f t="shared" si="255"/>
        <v/>
      </c>
      <c r="BN137" s="337" t="str">
        <f t="shared" si="345"/>
        <v/>
      </c>
      <c r="BO137" s="371" t="str">
        <f t="shared" si="346"/>
        <v/>
      </c>
      <c r="BP137" s="328" t="str">
        <f t="shared" si="424"/>
        <v xml:space="preserve"> </v>
      </c>
      <c r="BQ137" s="347" t="str">
        <f t="shared" si="347"/>
        <v xml:space="preserve"> </v>
      </c>
      <c r="BR137" s="353" t="str">
        <f t="shared" si="348"/>
        <v xml:space="preserve"> </v>
      </c>
      <c r="BS137" s="626" t="str">
        <f>IF(L137&gt;0,IF(Calculation!P137="M13",BR137*3.1416*(0.134^2)/(4*144),IF(Calculation!P137="M17",BR137*3.1416*(0.165^2)/(4*144),IF(Calculation!P137="M20",BR137*3.1416*(0.198^2)/(4*144),IF(Calculation!P137="M23",BR137*3.1416*(0.228^2)/(4*144),IF(Calculation!P137="M27",BR137*3.1416*(0.269^2)/(4*144),BR137*3.1416*(0.307^2)/(4*144))))))," ")</f>
        <v xml:space="preserve"> </v>
      </c>
      <c r="BT137" s="353" t="str">
        <f>IF(L137&gt;0,IF(BS137&gt;0,R137/Calculation!BS137,0)," ")</f>
        <v xml:space="preserve"> </v>
      </c>
      <c r="BU137" s="438" t="e">
        <f t="shared" ca="1" si="256"/>
        <v>#VALUE!</v>
      </c>
      <c r="BV137" s="449" t="e">
        <f ca="1">INDEX(INDIRECT(VLOOKUP(LEFT(BO137,7),CLU!$Z$3:$AH$18,2)),GN137,GR137)</f>
        <v>#N/A</v>
      </c>
      <c r="BW137" s="433" t="e">
        <f ca="1">INDEX(INDIRECT(VLOOKUP(LEFT(BO137,7),CLU!$Z$3:$AH$18,3)),GN137,GR137)</f>
        <v>#N/A</v>
      </c>
      <c r="BX137" s="433" t="e">
        <f ca="1">INDEX(INDIRECT(VLOOKUP(LEFT(BO137,7),CLU!$Z$3:$AH$18,4)),GN137,GR137)</f>
        <v>#N/A</v>
      </c>
      <c r="BY137" s="433" t="e">
        <f ca="1">INDEX(INDIRECT(VLOOKUP(LEFT(BO137,7),CLU!$Z$3:$AH$18,9)),((M137-2)*(6-COUNTBLANK(GT137:GY137)))+GJ137)</f>
        <v>#N/A</v>
      </c>
      <c r="BZ137" s="426" t="e">
        <f t="shared" ca="1" si="349"/>
        <v>#N/A</v>
      </c>
      <c r="CA137" s="424" t="e">
        <f t="shared" ca="1" si="350"/>
        <v>#N/A</v>
      </c>
      <c r="CB137" s="429" t="e">
        <f ca="1">INDEX(INDIRECT(VLOOKUP(LEFT(BO137,7),CLU!$Z$3:$AH$18,2)),GN137,GS137)</f>
        <v>#N/A</v>
      </c>
      <c r="CC137" s="342" t="e">
        <f ca="1">INDEX(INDIRECT(VLOOKUP(LEFT(BO137,7),CLU!$Z$3:$AH$18,3)),GN137,GS137)</f>
        <v>#N/A</v>
      </c>
      <c r="CD137" s="342" t="e">
        <f ca="1">INDEX(INDIRECT(VLOOKUP(LEFT(BO137,7),CLU!$Z$3:$AH$18,4)),GN137,GS137)</f>
        <v>#N/A</v>
      </c>
      <c r="CE137" s="426" t="e">
        <f t="shared" ca="1" si="351"/>
        <v>#N/A</v>
      </c>
      <c r="CF137" s="440">
        <f t="shared" si="352"/>
        <v>0</v>
      </c>
      <c r="CG137" s="431" t="e">
        <f ca="1">INDEX(INDIRECT(VLOOKUP(LEFT(BO137,7),CLU!$Z$3:$AH$18,2)),GQ137,GR137)</f>
        <v>#N/A</v>
      </c>
      <c r="CH137" s="431" t="e">
        <f ca="1">INDEX(INDIRECT(VLOOKUP(LEFT(BO137,7),CLU!$Z$3:$AH$18,3)),GQ137,GR137)</f>
        <v>#N/A</v>
      </c>
      <c r="CI137" s="431" t="e">
        <f ca="1">INDEX(INDIRECT(VLOOKUP(LEFT(BO137,7),CLU!$Z$3:$AH$18,4)),GQ137,GR137)</f>
        <v>#N/A</v>
      </c>
      <c r="CJ137" s="448" t="e">
        <f t="shared" ca="1" si="353"/>
        <v>#N/A</v>
      </c>
      <c r="CK137" s="431" t="e">
        <f t="shared" ca="1" si="354"/>
        <v>#N/A</v>
      </c>
      <c r="CL137" s="440" t="e">
        <f t="shared" ca="1" si="355"/>
        <v>#N/A</v>
      </c>
      <c r="CM137" s="431" t="e">
        <f ca="1">INDEX(INDIRECT(VLOOKUP(LEFT(BO137,7),CLU!$Z$3:$AH$18,2)),GQ137,GS137)</f>
        <v>#N/A</v>
      </c>
      <c r="CN137" s="431" t="e">
        <f ca="1">INDEX(INDIRECT(VLOOKUP(LEFT(BO137,7),CLU!$Z$3:$AH$18,3)),GQ137,GS137)</f>
        <v>#N/A</v>
      </c>
      <c r="CO137" s="431" t="e">
        <f ca="1">INDEX(INDIRECT(VLOOKUP(LEFT(BO137,7),CLU!$Z$3:$AH$18,4)),GQ137,GS137)</f>
        <v>#N/A</v>
      </c>
      <c r="CP137" s="431" t="e">
        <f t="shared" ca="1" si="356"/>
        <v>#N/A</v>
      </c>
      <c r="CQ137" s="440">
        <f t="shared" si="357"/>
        <v>0</v>
      </c>
      <c r="CR137" s="51" t="e">
        <f t="shared" ca="1" si="358"/>
        <v>#N/A</v>
      </c>
      <c r="CS137" s="439" t="e">
        <f t="shared" ca="1" si="359"/>
        <v>#VALUE!</v>
      </c>
      <c r="CT137" s="51" t="e">
        <f t="shared" ca="1" si="360"/>
        <v>#VALUE!</v>
      </c>
      <c r="CU137" s="10"/>
      <c r="CV137" s="51" t="e">
        <f t="shared" ca="1" si="257"/>
        <v>#VALUE!</v>
      </c>
      <c r="CW137" s="51">
        <f t="shared" si="361"/>
        <v>0</v>
      </c>
      <c r="CX137" s="439" t="e">
        <f t="shared" ca="1" si="362"/>
        <v>#VALUE!</v>
      </c>
      <c r="CY137" s="51" t="e">
        <f t="shared" ca="1" si="363"/>
        <v>#VALUE!</v>
      </c>
      <c r="CZ137" s="10"/>
      <c r="DA137" s="51" t="e">
        <f t="shared" ca="1" si="364"/>
        <v>#VALUE!</v>
      </c>
      <c r="DB137" s="347" t="e">
        <f ca="1">INDEX(INDIRECT(VLOOKUP(LEFT(BO137,7),CLU!$Z$3:$AI$18,10)),((M137-2)*(6-COUNTBLANK(GT137:GY137)))+GJ137)*LI137</f>
        <v>#N/A</v>
      </c>
      <c r="DC137" s="347" t="str">
        <f>IF(L137&gt;0,((R137/Worksheet!$I$15)/DB137)^2," ")</f>
        <v xml:space="preserve"> </v>
      </c>
      <c r="DD137" s="602" t="str">
        <f t="shared" si="365"/>
        <v xml:space="preserve"> </v>
      </c>
      <c r="DE137" s="347" t="str">
        <f t="shared" si="258"/>
        <v xml:space="preserve"> </v>
      </c>
      <c r="DF137" s="356" t="e">
        <f ca="1">INDEX(INDIRECT(VLOOKUP(LEFT(BO137,7),CLU!$Z$3:$AH$18,8)),((M137-2)*(6-COUNTBLANK(GT137:GY137)))+GJ137)</f>
        <v>#N/A</v>
      </c>
      <c r="DG137" s="347" t="str">
        <f t="shared" si="259"/>
        <v xml:space="preserve"> </v>
      </c>
      <c r="DH137" s="357" t="str">
        <f t="shared" si="260"/>
        <v xml:space="preserve"> </v>
      </c>
      <c r="DI137" s="355" t="str">
        <f t="shared" si="261"/>
        <v xml:space="preserve"> </v>
      </c>
      <c r="DJ137" s="245" t="e">
        <f ca="1">INDEX(INDIRECT(VLOOKUP(LEFT(BO137,7),CLU!$Z$3:$AH$18,5)),GL137,GK137)</f>
        <v>#N/A</v>
      </c>
      <c r="DK137" s="245" t="e">
        <f ca="1">INDEX(INDIRECT(VLOOKUP(LEFT(BO137,7),CLU!$Z$3:$AH$18,6)),GL137,GK137)</f>
        <v>#N/A</v>
      </c>
      <c r="DL137" s="355">
        <f>(Calculation!R137*0.69143*(Calculation!$BQ$8-Calculation!$F$8))*$S$14</f>
        <v>0</v>
      </c>
      <c r="DM137" s="359" t="e">
        <f t="shared" si="366"/>
        <v>#VALUE!</v>
      </c>
      <c r="DN137" s="611">
        <f t="shared" si="367"/>
        <v>0</v>
      </c>
      <c r="DO137" s="359">
        <f t="shared" si="368"/>
        <v>100</v>
      </c>
      <c r="DP137" s="359">
        <f t="shared" si="369"/>
        <v>0</v>
      </c>
      <c r="DQ137" s="360"/>
      <c r="DR137" s="245" t="e">
        <f ca="1">INDEX(INDIRECT(VLOOKUP(LEFT(BO137,7),CLU!$Z$3:$AH$18,7)),M137-1,1)</f>
        <v>#N/A</v>
      </c>
      <c r="DS137" s="245" t="e">
        <f ca="1">INDEX(INDIRECT(VLOOKUP(LEFT(BO137,7),CLU!$Z$3:$AH$18,7)),M137-1,2)</f>
        <v>#N/A</v>
      </c>
      <c r="DT137" s="245" t="e">
        <f ca="1">INDEX(INDIRECT(VLOOKUP(LEFT(BO137,7),CLU!$Z$3:$AH$18,7)),M137-1,3)</f>
        <v>#N/A</v>
      </c>
      <c r="DU137" s="245" t="e">
        <f ca="1">INDEX(INDIRECT(VLOOKUP(LEFT(BO137,7),CLU!$Z$3:$AH$18,7)),M137-1,4)</f>
        <v>#N/A</v>
      </c>
      <c r="DV137" s="361" t="e">
        <f ca="1">INDEX(INDIRECT(VLOOKUP(LEFT(BO137,7),CLU!$Z$3:$AH$18,7)),M137-1,4+LEFT(DZ137,1)*0.5)</f>
        <v>#N/A</v>
      </c>
      <c r="DW137" s="245" t="e">
        <f ca="1">INDEX(INDIRECT(VLOOKUP(LEFT(BO137,7),CLU!$Z$3:$AH$18,7)),M137-1,8)</f>
        <v>#N/A</v>
      </c>
      <c r="DX137" s="361" t="str">
        <f t="shared" si="262"/>
        <v xml:space="preserve"> </v>
      </c>
      <c r="DY137" s="361" t="str">
        <f t="shared" si="263"/>
        <v xml:space="preserve"> </v>
      </c>
      <c r="DZ137" s="361" t="str">
        <f t="shared" si="264"/>
        <v xml:space="preserve"> </v>
      </c>
      <c r="EA137" s="362" t="str">
        <f t="shared" si="265"/>
        <v xml:space="preserve"> </v>
      </c>
      <c r="EB137" s="624" t="str">
        <f t="shared" si="370"/>
        <v xml:space="preserve"> </v>
      </c>
      <c r="EC137" s="361" t="e">
        <f ca="1">INDEX(INDIRECT(VLOOKUP(LEFT(BO137,7),CLU!$Z$3:$AH$18,7)),M137-1,4+LEFT(DZ137,1)*0.5)</f>
        <v>#N/A</v>
      </c>
      <c r="ED137" s="362" t="str">
        <f t="shared" si="266"/>
        <v xml:space="preserve"> </v>
      </c>
      <c r="EE137" s="361" t="str">
        <f t="shared" si="267"/>
        <v xml:space="preserve"> </v>
      </c>
      <c r="EF137" s="362" t="str">
        <f>IF(L137&gt;0,IF(BR137&gt;0,IF(EE137="2P",IF(Calculation!DZ137="2P",IF(Calculation!DS137=13.75,IF(Calculation!DR137=13,Worksheet!$BD$43,IF(Calculation!DR137=37,Worksheet!$BD$44,Worksheet!$BD$45)),IF(Calculation!DS137=10,IF(Calculation!DR137=18,Worksheet!$BD$29,IF(Calculation!DR137=30,Worksheet!$BD$30,IF(Calculation!DR137=42,Worksheet!$BD$31,IF(Calculation!DR137=54,Worksheet!$BD$32,IF(Calculation!DR137=66,Worksheet!$BD$33,IF(Calculation!DR137=78,Worksheet!$BD$34,IF(Calculation!DR137=90,Worksheet!$BD$35,IF(Calculation!DR137=102,Worksheet!$BD$36,Worksheet!$BD$37)))))))),IF(Calculation!DS137=12.5,IF(Calculation!DR137=18,Worksheet!$BD$38,IF(Calculation!DR137=Worksheet!$BD$39,IF(Calculation!DR137=42,Worksheet!$BD$40,IF(Calculation!DR137=54,Worksheet!$BD$41,Worksheet!$BD$42)))),IF(Calculation!DR137=18,Worksheet!$BD$11,IF(Calculation!DR137=30,Worksheet!$BD$12,IF(Calculation!DR137=42,Worksheet!$BD$13,IF(Calculation!DR137=54,Worksheet!$BD$14,IF(Calculation!DR137=66,Worksheet!$BD$15,IF(Calculation!DR137=78,Worksheet!$BD$16,IF(Calculation!DR137=90,Worksheet!$BD$17,IF(Calculation!DR137=102,Worksheet!$BD$18,Worksheet!$BD$19))))))))))),IF(Calculation!DS137=13.75,IF(Calculation!DR137=13,Worksheet!$BD$78,IF(Calculation!DR137=37,Worksheet!$BD$79,Worksheet!$BD$80)),IF(Calculation!DS137=10,IF(Calculation!DR137=18,Worksheet!$BD$64,IF(Calculation!DR137=30,Worksheet!$BD$65,IF(Calculation!DR137=42,Worksheet!$BD$66,IF(Calculation!DR137=54,Worksheet!$BD$68,IF(Calculation!DR137=66,Worksheet!$BD$68,IF(Calculation!DR137=78,Worksheet!$BD$69,IF(Calculation!DR137=90,Worksheet!$BD$70,IF(Calculation!DR137=102,Worksheet!$BD$71,Worksheet!$BD$72)))))))),IF(Calculation!DS137=12.5,IF(Calculation!DR137=18,Worksheet!$BD$73,IF(Calculation!DR137=Worksheet!$BD$74,IF(Calculation!DR137=42,Worksheet!$BD$75,IF(Calculation!DR137=54,Worksheet!$BD$76,Worksheet!$BD$77)))),IF(Calculation!DR137=18,Worksheet!$BD$55,IF(Calculation!DR137=30,Worksheet!$BD$56,IF(Calculation!DR137=42,Worksheet!$BD$57,IF(Calculation!DR137=54,Worksheet!$BD$58,IF(Calculation!DR137=66,Worksheet!$BD$59,IF(Calculation!DR137=78,Worksheet!$BD$60,IF(Calculation!DR137=90,Worksheet!$BD$61,IF(Calculation!DR137=102,Worksheet!$BD$62,Worksheet!$BD$63)))))))))))),5),0)," ")</f>
        <v xml:space="preserve"> </v>
      </c>
      <c r="EG137" s="361" t="str">
        <f t="shared" si="268"/>
        <v xml:space="preserve"> </v>
      </c>
      <c r="EH137" s="361" t="e">
        <f ca="1">INDEX(INDIRECT(VLOOKUP(LEFT(BO137,7),CLU!$Z$3:$AH$18,7)),M137-1,3+LEFT(DZ137,1))</f>
        <v>#N/A</v>
      </c>
      <c r="EI137" s="362" t="str">
        <f t="shared" si="269"/>
        <v xml:space="preserve"> </v>
      </c>
      <c r="EJ137" s="363" t="str">
        <f t="shared" si="270"/>
        <v xml:space="preserve"> </v>
      </c>
      <c r="EK137" s="363" t="str">
        <f t="shared" si="271"/>
        <v xml:space="preserve"> </v>
      </c>
      <c r="EL137" s="363" t="str">
        <f t="shared" si="272"/>
        <v xml:space="preserve"> </v>
      </c>
      <c r="EM137" s="362" t="str">
        <f>IF(L137&gt;0,IF(BR137&gt;0,(Calculation!T137/ED137)^2,0)," ")</f>
        <v xml:space="preserve"> </v>
      </c>
      <c r="EN137" s="362" t="str">
        <f>IF(L137&gt;0,IF(O137="2 Pipe (Cooling)","N/A",IF(BR137&gt;0,(Calculation!U137/EI137)^2,0))," ")</f>
        <v xml:space="preserve"> </v>
      </c>
      <c r="EO137" s="361" t="str">
        <f t="shared" si="273"/>
        <v/>
      </c>
      <c r="EP137" s="361" t="str">
        <f t="shared" si="274"/>
        <v/>
      </c>
      <c r="EQ137" s="361" t="str">
        <f t="shared" si="275"/>
        <v/>
      </c>
      <c r="ER137" s="361" t="str">
        <f t="shared" si="276"/>
        <v/>
      </c>
      <c r="ES137" s="361" t="str">
        <f t="shared" si="277"/>
        <v/>
      </c>
      <c r="ET137" s="361" t="str">
        <f t="shared" si="278"/>
        <v/>
      </c>
      <c r="EU137" s="361" t="str">
        <f t="shared" si="279"/>
        <v/>
      </c>
      <c r="EV137" s="361" t="str">
        <f t="shared" si="280"/>
        <v/>
      </c>
      <c r="EW137" s="361" t="str">
        <f t="shared" si="281"/>
        <v/>
      </c>
      <c r="EX137" s="361" t="str">
        <f t="shared" si="371"/>
        <v>1 slot, 1 way</v>
      </c>
      <c r="EY137" s="361" t="str">
        <f t="shared" si="372"/>
        <v xml:space="preserve"> </v>
      </c>
      <c r="EZ137" s="361" t="str">
        <f t="shared" si="373"/>
        <v xml:space="preserve"> </v>
      </c>
      <c r="FA137" s="361" t="str">
        <f t="shared" si="374"/>
        <v xml:space="preserve"> </v>
      </c>
      <c r="FB137" s="361" t="str">
        <f t="shared" si="375"/>
        <v xml:space="preserve"> </v>
      </c>
      <c r="FC137" s="361"/>
      <c r="FD137" s="361" t="str">
        <f>IF(J137&gt;0,IF(Calculation!R137&lt;=70,4,IF(Calculation!R137&lt;=110,5,IF(Calculation!R137&lt;=160,6,IF(Calculation!R137&lt;=300,8,"10 EO")))),"")</f>
        <v/>
      </c>
      <c r="FE137" s="361" t="str">
        <f t="shared" si="376"/>
        <v/>
      </c>
      <c r="FF137" s="361" t="str">
        <f t="shared" si="377"/>
        <v/>
      </c>
      <c r="FG137" s="361" t="e">
        <f t="shared" si="282"/>
        <v>#N/A</v>
      </c>
      <c r="FH137" s="361">
        <f t="shared" si="283"/>
        <v>0</v>
      </c>
      <c r="FI137" s="361" t="e">
        <f t="shared" si="284"/>
        <v>#DIV/0!</v>
      </c>
      <c r="FJ137" s="361"/>
      <c r="FK137" s="356" t="e">
        <f t="shared" si="285"/>
        <v>#VALUE!</v>
      </c>
      <c r="FL137" s="361"/>
      <c r="FM137" s="361"/>
      <c r="FN137" s="362" t="str">
        <f t="shared" si="378"/>
        <v xml:space="preserve"> </v>
      </c>
      <c r="FO137" s="362" t="str">
        <f t="shared" si="379"/>
        <v xml:space="preserve"> </v>
      </c>
      <c r="FP137" s="362">
        <f t="shared" si="380"/>
        <v>0</v>
      </c>
      <c r="FQ137" s="361">
        <f t="shared" si="286"/>
        <v>0</v>
      </c>
      <c r="FR137" s="362" t="str">
        <f>IF(L137&gt;0,IF(J137="CBAL2",Worksheet!$P$67,IF(J137="CBE2-24",Worksheet!$Q$67,IF(J137="CBAM",Worksheet!$R$67,IF(J137="CBLV",Worksheet!$S$67,IF(J137="CBAB",Worksheet!$U$67,IF(J137="CBAW",Worksheet!$X$67,IF(J137="CBE2-12",Worksheet!$Y$67,IF(J137="CBAL2",Worksheet!$Z$67,"N/A"))))))))," ")</f>
        <v xml:space="preserve"> </v>
      </c>
      <c r="FS137" s="362" t="str">
        <f>IF(L137&gt;0,IF(J137="CBAL2",Worksheet!$P$68,IF(J137="CBE2-24",Worksheet!$Q$68,IF(J137="CBAM",Worksheet!$R$68,IF(J137="CBLV",Worksheet!$S$68,IF(J137="CBAB",Worksheet!$U$68,IF(J137="CBAW",Worksheet!$X$68,IF(J137="CBE2-12",Worksheet!$Y$68,IF(J137="CBAL2",Worksheet!$Z$68,"N/A"))))))))," ")</f>
        <v xml:space="preserve"> </v>
      </c>
      <c r="FT137" s="362" t="str">
        <f>IF(L137&gt;0,IF(J137="CBAL2",Worksheet!$P$69,IF(J137="CBE2-24",Worksheet!$Q$69,IF(J137="CBAM",Worksheet!$R$69,IF(J137="CBLV",Worksheet!$S$69,IF(J137="CBAB",Worksheet!$U$69,IF(J137="CBAW",Worksheet!$X$69,IF(J137="CBE2-12",Worksheet!$Y$69,IF(J137="CBAL2",Worksheet!$Z$69,"N/A"))))))))," ")</f>
        <v xml:space="preserve"> </v>
      </c>
      <c r="FU137" s="361" t="str">
        <f t="shared" si="381"/>
        <v xml:space="preserve"> </v>
      </c>
      <c r="FV137" s="362" t="str">
        <f t="shared" si="382"/>
        <v xml:space="preserve"> </v>
      </c>
      <c r="FW137" s="362" t="str">
        <f t="shared" si="383"/>
        <v xml:space="preserve"> </v>
      </c>
      <c r="FX137" s="362" t="str">
        <f t="shared" si="384"/>
        <v xml:space="preserve"> </v>
      </c>
      <c r="FY137" s="355" t="str">
        <f t="shared" si="385"/>
        <v xml:space="preserve"> </v>
      </c>
      <c r="FZ137" s="361" t="str">
        <f t="shared" si="386"/>
        <v xml:space="preserve"> </v>
      </c>
      <c r="GA137" s="347" t="str">
        <f t="shared" si="387"/>
        <v xml:space="preserve"> </v>
      </c>
      <c r="GB137" s="355" t="str">
        <f t="shared" si="388"/>
        <v xml:space="preserve"> </v>
      </c>
      <c r="GC137" s="328" t="str">
        <f t="shared" si="389"/>
        <v xml:space="preserve"> </v>
      </c>
      <c r="GD137" s="361" t="str">
        <f t="shared" si="390"/>
        <v xml:space="preserve"> </v>
      </c>
      <c r="GE137" s="347" t="str">
        <f t="shared" si="391"/>
        <v xml:space="preserve"> </v>
      </c>
      <c r="GF137" s="361" t="str">
        <f t="shared" si="392"/>
        <v xml:space="preserve"> </v>
      </c>
      <c r="GG137" s="347" t="str">
        <f t="shared" si="393"/>
        <v xml:space="preserve"> </v>
      </c>
      <c r="GH137" s="364">
        <f t="shared" si="287"/>
        <v>0</v>
      </c>
      <c r="GI137" s="362">
        <f t="shared" si="394"/>
        <v>2</v>
      </c>
      <c r="GJ137" s="433" t="e">
        <f>IF(6-COUNTBLANK(GT137:GY137)=4,MATCH(MID(BO137,9,3),CLU!$H$16:$K$16),MATCH(MID(BO137,9,3),CLU!$H$13:$M$13))</f>
        <v>#N/A</v>
      </c>
      <c r="GK137" s="433" t="e">
        <f>HLOOKUP(VALUE(BP137),CLU!$H$9:$M$10,2)</f>
        <v>#VALUE!</v>
      </c>
      <c r="GL137" s="433" t="e">
        <f ca="1">MATCH(BU137,CLU!$H$2:$V$2,1)</f>
        <v>#VALUE!</v>
      </c>
      <c r="GM137" s="433" t="e">
        <f t="shared" ca="1" si="395"/>
        <v>#VALUE!</v>
      </c>
      <c r="GN137" s="433" t="e">
        <f t="shared" ca="1" si="396"/>
        <v>#VALUE!</v>
      </c>
      <c r="GO137" s="433" t="e">
        <f t="shared" ca="1" si="397"/>
        <v>#VALUE!</v>
      </c>
      <c r="GP137" s="433" t="e">
        <f t="shared" ca="1" si="398"/>
        <v>#VALUE!</v>
      </c>
      <c r="GQ137" s="433" t="e">
        <f t="shared" ca="1" si="399"/>
        <v>#VALUE!</v>
      </c>
      <c r="GR137" s="433" t="e">
        <f ca="1">MATCH(T137,INDIRECT(VLOOKUP(CONCATENATE(LEFT(BO137,7),"-",MID(BO137,13,1)),CLU!$P$3:$Q$16,2)),1)</f>
        <v>#N/A</v>
      </c>
      <c r="GS137" s="433" t="e">
        <f ca="1">MATCH(U137,INDIRECT(VLOOKUP(CONCATENATE(LEFT(BO137,7),"-",MID(BO137,13,1)),CLU!$P$3:$Q$16,2)),1)</f>
        <v>#N/A</v>
      </c>
      <c r="GT137" s="347" t="s">
        <v>512</v>
      </c>
      <c r="GU137" s="97" t="s">
        <v>513</v>
      </c>
      <c r="GV137" s="97" t="str">
        <f t="shared" si="400"/>
        <v>M23</v>
      </c>
      <c r="GW137" s="97" t="str">
        <f t="shared" si="401"/>
        <v>M31</v>
      </c>
      <c r="GX137" s="97" t="str">
        <f t="shared" si="402"/>
        <v/>
      </c>
      <c r="GY137" s="97" t="str">
        <f t="shared" si="403"/>
        <v/>
      </c>
      <c r="GZ137" s="481"/>
      <c r="HA137" s="288"/>
      <c r="HB137" s="240"/>
      <c r="HC137" s="240"/>
      <c r="HD137" s="240"/>
      <c r="HE137" s="240"/>
      <c r="HF137" s="240"/>
      <c r="HG137" s="240"/>
      <c r="HH137" s="240"/>
      <c r="HI137" s="240"/>
      <c r="HJ137" s="240"/>
      <c r="HK137" s="240"/>
      <c r="HL137" s="240"/>
      <c r="HM137" s="240"/>
      <c r="HN137" s="240"/>
      <c r="HO137" s="240"/>
      <c r="HP137" s="240"/>
      <c r="HQ137" s="240"/>
      <c r="HR137" s="240"/>
      <c r="HS137" s="240"/>
      <c r="HT137" s="240"/>
      <c r="HU137" s="240"/>
      <c r="HV137" s="245"/>
      <c r="HW137" s="245" t="b">
        <v>1</v>
      </c>
      <c r="HX137" s="245" t="str">
        <f t="shared" si="288"/>
        <v/>
      </c>
      <c r="HY137" s="245" t="e">
        <f t="shared" si="289"/>
        <v>#DIV/0!</v>
      </c>
      <c r="HZ137" s="245" t="e">
        <f t="shared" si="290"/>
        <v>#DIV/0!</v>
      </c>
      <c r="IA137" s="245">
        <f t="shared" si="291"/>
        <v>0</v>
      </c>
      <c r="IB137" s="245"/>
      <c r="IC137" t="b">
        <f t="shared" si="292"/>
        <v>1</v>
      </c>
      <c r="ID137" s="245" t="b">
        <f t="shared" si="293"/>
        <v>1</v>
      </c>
      <c r="IE137" s="245" t="b">
        <f t="shared" si="294"/>
        <v>1</v>
      </c>
      <c r="IF137" s="245" t="b">
        <f t="shared" si="295"/>
        <v>0</v>
      </c>
      <c r="IG137" s="245" t="b">
        <f t="shared" si="296"/>
        <v>1</v>
      </c>
      <c r="IH137" s="245" t="b">
        <f t="shared" si="297"/>
        <v>1</v>
      </c>
      <c r="II137" s="245">
        <f t="shared" si="404"/>
        <v>0</v>
      </c>
      <c r="IJ137" s="245" t="e">
        <f t="shared" si="298"/>
        <v>#VALUE!</v>
      </c>
      <c r="IK137" s="245" t="e">
        <f t="shared" si="299"/>
        <v>#VALUE!</v>
      </c>
      <c r="IL137" s="245"/>
      <c r="IM137" s="245" t="e">
        <f t="shared" si="405"/>
        <v>#N/A</v>
      </c>
      <c r="IN137" s="245" t="e">
        <f t="shared" si="406"/>
        <v>#N/A</v>
      </c>
      <c r="IO137" s="245"/>
      <c r="IP137" s="245"/>
      <c r="IQ137" s="245" t="str">
        <f t="shared" si="300"/>
        <v/>
      </c>
      <c r="IR137" s="245" t="str">
        <f>IF(J137="","",VLOOKUP(J137,Worksheet!$R$4:$T$14,2))</f>
        <v/>
      </c>
      <c r="IS137" s="245"/>
      <c r="IT137" s="245">
        <f t="shared" si="301"/>
        <v>0</v>
      </c>
      <c r="IU137" s="245">
        <f t="shared" si="302"/>
        <v>0</v>
      </c>
      <c r="IV137" s="245">
        <f t="shared" si="303"/>
        <v>0</v>
      </c>
      <c r="IW137" s="245">
        <f t="shared" si="304"/>
        <v>0</v>
      </c>
      <c r="IX137" s="245">
        <f t="shared" si="407"/>
        <v>0</v>
      </c>
      <c r="IY137" s="245">
        <f t="shared" si="305"/>
        <v>0</v>
      </c>
      <c r="IZ137" s="245">
        <f t="shared" si="306"/>
        <v>0</v>
      </c>
      <c r="JA137">
        <f t="shared" si="307"/>
        <v>0</v>
      </c>
      <c r="JB137">
        <f t="shared" si="408"/>
        <v>0</v>
      </c>
      <c r="JC137">
        <f t="shared" si="308"/>
        <v>0</v>
      </c>
      <c r="JD137">
        <f t="shared" si="309"/>
        <v>0</v>
      </c>
      <c r="JE137">
        <f t="shared" si="310"/>
        <v>0</v>
      </c>
      <c r="JF137">
        <f t="shared" si="311"/>
        <v>0</v>
      </c>
      <c r="JG137">
        <f t="shared" si="312"/>
        <v>0</v>
      </c>
      <c r="JH137">
        <f t="shared" si="313"/>
        <v>0</v>
      </c>
      <c r="JI137">
        <f t="shared" si="314"/>
        <v>0</v>
      </c>
      <c r="JJ137" s="447">
        <f t="shared" si="315"/>
        <v>0</v>
      </c>
      <c r="JK137" s="447">
        <f t="shared" si="316"/>
        <v>0</v>
      </c>
      <c r="JL137">
        <f t="shared" si="317"/>
        <v>0</v>
      </c>
      <c r="JM137" s="245" t="str">
        <f>IFERROR(VLOOKUP(MATCH(BN137,#REF!,0),#REF!,7),"")</f>
        <v/>
      </c>
      <c r="JN137" t="e">
        <f>HLOOKUP(LEFT(BO137,7),Discharge_Area,MATCH(JO137,LookUps!$B$130:$B$149,1)+2)</f>
        <v>#N/A</v>
      </c>
      <c r="JO137" t="str">
        <f t="shared" si="318"/>
        <v>- S</v>
      </c>
      <c r="JP137" t="e">
        <f>HLOOKUP(LEFT(BO137,7),Discharge_Area,MATCH(JO137,LookUps!$B$130:$B$149,1)+2)</f>
        <v>#N/A</v>
      </c>
      <c r="JQ137" t="e">
        <f t="shared" si="319"/>
        <v>#N/A</v>
      </c>
      <c r="JR137" t="e">
        <f t="shared" si="320"/>
        <v>#N/A</v>
      </c>
      <c r="JS137" t="e">
        <f t="shared" si="321"/>
        <v>#N/A</v>
      </c>
      <c r="JT137" s="532" t="str">
        <f t="shared" si="322"/>
        <v xml:space="preserve"> </v>
      </c>
      <c r="JU137" s="532" t="str">
        <f t="shared" si="323"/>
        <v xml:space="preserve"> </v>
      </c>
      <c r="JV137" s="533" t="str">
        <f t="shared" si="324"/>
        <v xml:space="preserve"> </v>
      </c>
      <c r="JW137" s="534">
        <f t="shared" si="325"/>
        <v>0</v>
      </c>
      <c r="JX137" s="535" t="str">
        <f t="shared" si="409"/>
        <v xml:space="preserve"> </v>
      </c>
      <c r="JY137" s="535" t="str">
        <f t="shared" si="410"/>
        <v xml:space="preserve"> </v>
      </c>
      <c r="JZ137" s="535" t="str">
        <f t="shared" si="411"/>
        <v xml:space="preserve"> </v>
      </c>
      <c r="KA137" s="536" t="str">
        <f t="shared" si="326"/>
        <v xml:space="preserve"> </v>
      </c>
      <c r="KB137" s="535" t="e">
        <f t="shared" si="412"/>
        <v>#VALUE!</v>
      </c>
      <c r="KC137" s="535" t="str">
        <f t="shared" si="327"/>
        <v/>
      </c>
      <c r="KD137" s="537" t="str">
        <f t="shared" si="413"/>
        <v xml:space="preserve"> </v>
      </c>
      <c r="KE137" s="537" t="str">
        <f t="shared" si="414"/>
        <v xml:space="preserve"> </v>
      </c>
      <c r="KF137" s="534">
        <f t="shared" si="328"/>
        <v>0</v>
      </c>
      <c r="KG137" s="535" t="str">
        <f t="shared" si="329"/>
        <v xml:space="preserve"> </v>
      </c>
      <c r="KH137" s="535" t="str">
        <f t="shared" si="330"/>
        <v xml:space="preserve"> </v>
      </c>
      <c r="KI137" s="535" t="str">
        <f t="shared" si="331"/>
        <v xml:space="preserve"> </v>
      </c>
      <c r="KJ137" s="536" t="str">
        <f t="shared" si="332"/>
        <v xml:space="preserve"> </v>
      </c>
      <c r="KK137" s="535" t="str">
        <f t="shared" si="415"/>
        <v xml:space="preserve"> </v>
      </c>
      <c r="KL137" s="535" t="str">
        <f t="shared" si="416"/>
        <v xml:space="preserve"> </v>
      </c>
      <c r="KM137" s="537" t="str">
        <f t="shared" si="333"/>
        <v xml:space="preserve"> </v>
      </c>
      <c r="KN137" s="537" t="str">
        <f t="shared" si="417"/>
        <v xml:space="preserve"> </v>
      </c>
      <c r="KP137">
        <f t="shared" si="334"/>
        <v>0</v>
      </c>
      <c r="LA137" t="e">
        <f t="shared" si="335"/>
        <v>#VALUE!</v>
      </c>
      <c r="LB137" t="e">
        <f t="shared" si="336"/>
        <v>#VALUE!</v>
      </c>
      <c r="LC137" t="e">
        <f t="shared" si="337"/>
        <v>#VALUE!</v>
      </c>
      <c r="LD137" t="e">
        <f t="shared" si="338"/>
        <v>#VALUE!</v>
      </c>
      <c r="LE137" t="e">
        <f t="shared" si="418"/>
        <v>#VALUE!</v>
      </c>
      <c r="LF137">
        <f t="shared" si="339"/>
        <v>0</v>
      </c>
      <c r="LG137" t="e">
        <f t="shared" si="419"/>
        <v>#VALUE!</v>
      </c>
      <c r="LH137" t="str">
        <f t="shared" si="340"/>
        <v xml:space="preserve"> </v>
      </c>
      <c r="LI137">
        <f t="shared" si="420"/>
        <v>1</v>
      </c>
    </row>
    <row r="138" spans="2:321" ht="15" customHeight="1">
      <c r="B138" s="311"/>
      <c r="C138" s="311"/>
      <c r="D138" s="312"/>
      <c r="E138" s="311"/>
      <c r="F138" s="312"/>
      <c r="G138" s="311"/>
      <c r="H138" s="311"/>
      <c r="I138" s="37"/>
      <c r="J138" s="311"/>
      <c r="K138" s="305" t="str">
        <f t="shared" si="341"/>
        <v/>
      </c>
      <c r="L138" s="313"/>
      <c r="M138" s="312"/>
      <c r="N138" s="311"/>
      <c r="O138" s="312"/>
      <c r="P138" s="311"/>
      <c r="Q138" s="305" t="str">
        <f t="shared" si="342"/>
        <v/>
      </c>
      <c r="R138" s="314"/>
      <c r="S138" s="450" t="str">
        <f t="shared" si="225"/>
        <v/>
      </c>
      <c r="T138" s="315"/>
      <c r="U138" s="315"/>
      <c r="W138" s="149" t="str">
        <f t="shared" si="226"/>
        <v xml:space="preserve"> </v>
      </c>
      <c r="X138" s="243" t="str">
        <f t="shared" si="227"/>
        <v xml:space="preserve"> </v>
      </c>
      <c r="Y138" s="150" t="str">
        <f t="shared" si="228"/>
        <v/>
      </c>
      <c r="Z138" s="149" t="str">
        <f t="shared" si="229"/>
        <v xml:space="preserve"> </v>
      </c>
      <c r="AA138" s="98" t="str">
        <f t="shared" si="230"/>
        <v xml:space="preserve"> </v>
      </c>
      <c r="AB138" s="153" t="str">
        <f t="shared" si="231"/>
        <v xml:space="preserve"> </v>
      </c>
      <c r="AC138" s="153" t="str">
        <f t="shared" si="232"/>
        <v xml:space="preserve"> </v>
      </c>
      <c r="AD138" s="148" t="str">
        <f t="shared" si="233"/>
        <v/>
      </c>
      <c r="AE138" s="149" t="str">
        <f t="shared" si="234"/>
        <v/>
      </c>
      <c r="AF138" s="151" t="str">
        <f t="shared" si="235"/>
        <v xml:space="preserve"> </v>
      </c>
      <c r="AG138" s="153" t="str">
        <f t="shared" si="236"/>
        <v xml:space="preserve"> </v>
      </c>
      <c r="AH138" s="98" t="str">
        <f t="shared" si="237"/>
        <v xml:space="preserve"> </v>
      </c>
      <c r="AI138" s="149" t="str">
        <f t="shared" si="238"/>
        <v xml:space="preserve"> </v>
      </c>
      <c r="AK138" s="144" t="str">
        <f t="shared" si="239"/>
        <v xml:space="preserve"> </v>
      </c>
      <c r="AL138" s="144"/>
      <c r="AM138" s="243" t="str">
        <f t="shared" si="240"/>
        <v xml:space="preserve"> </v>
      </c>
      <c r="AN138" s="149" t="str">
        <f t="shared" si="343"/>
        <v xml:space="preserve"> </v>
      </c>
      <c r="AO138" s="144" t="str">
        <f>IF(JB138&gt;0,IF(GI138=10,-R138*1.085*(Calculation!$F$6-Calculation!$F$13)*$S$14," "),"")</f>
        <v/>
      </c>
      <c r="AP138" s="144" t="str">
        <f t="shared" si="241"/>
        <v/>
      </c>
      <c r="AQ138" s="56" t="str">
        <f t="shared" si="242"/>
        <v/>
      </c>
      <c r="AR138" s="144" t="str">
        <f t="shared" si="243"/>
        <v/>
      </c>
      <c r="AS138" s="176" t="str">
        <f t="shared" si="244"/>
        <v/>
      </c>
      <c r="AT138" s="176" t="str">
        <f t="shared" si="344"/>
        <v xml:space="preserve"> </v>
      </c>
      <c r="AU138" s="176" t="str">
        <f t="shared" si="245"/>
        <v/>
      </c>
      <c r="AV138" s="177" t="str">
        <f t="shared" si="246"/>
        <v xml:space="preserve"> </v>
      </c>
      <c r="AW138" s="144" t="str">
        <f t="shared" si="247"/>
        <v xml:space="preserve"> </v>
      </c>
      <c r="AX138" s="144" t="str">
        <f t="shared" si="248"/>
        <v xml:space="preserve"> </v>
      </c>
      <c r="AY138" s="152" t="str">
        <f t="shared" si="249"/>
        <v xml:space="preserve"> </v>
      </c>
      <c r="AZ138" s="246" t="str">
        <f t="shared" si="250"/>
        <v/>
      </c>
      <c r="BA138" s="176" t="str">
        <f t="shared" si="251"/>
        <v xml:space="preserve"> </v>
      </c>
      <c r="BB138" s="176" t="str">
        <f t="shared" si="252"/>
        <v xml:space="preserve"> </v>
      </c>
      <c r="BC138" s="195"/>
      <c r="BD138" s="316"/>
      <c r="BE138" s="317"/>
      <c r="BF138" s="318"/>
      <c r="BG138" s="318"/>
      <c r="BH138" s="144" t="str">
        <f t="shared" si="421"/>
        <v xml:space="preserve"> </v>
      </c>
      <c r="BI138" s="176" t="str">
        <f t="shared" si="253"/>
        <v/>
      </c>
      <c r="BJ138" s="144" t="str">
        <f t="shared" si="422"/>
        <v/>
      </c>
      <c r="BK138" s="246" t="str">
        <f t="shared" si="254"/>
        <v/>
      </c>
      <c r="BL138" s="144" t="str">
        <f t="shared" si="423"/>
        <v/>
      </c>
      <c r="BM138" s="246" t="str">
        <f t="shared" si="255"/>
        <v/>
      </c>
      <c r="BN138" s="337" t="str">
        <f t="shared" si="345"/>
        <v/>
      </c>
      <c r="BO138" s="371" t="str">
        <f t="shared" si="346"/>
        <v/>
      </c>
      <c r="BP138" s="328" t="str">
        <f t="shared" si="424"/>
        <v xml:space="preserve"> </v>
      </c>
      <c r="BQ138" s="347" t="str">
        <f t="shared" si="347"/>
        <v xml:space="preserve"> </v>
      </c>
      <c r="BR138" s="353" t="str">
        <f t="shared" si="348"/>
        <v xml:space="preserve"> </v>
      </c>
      <c r="BS138" s="626" t="str">
        <f>IF(L138&gt;0,IF(Calculation!P138="M13",BR138*3.1416*(0.134^2)/(4*144),IF(Calculation!P138="M17",BR138*3.1416*(0.165^2)/(4*144),IF(Calculation!P138="M20",BR138*3.1416*(0.198^2)/(4*144),IF(Calculation!P138="M23",BR138*3.1416*(0.228^2)/(4*144),IF(Calculation!P138="M27",BR138*3.1416*(0.269^2)/(4*144),BR138*3.1416*(0.307^2)/(4*144))))))," ")</f>
        <v xml:space="preserve"> </v>
      </c>
      <c r="BT138" s="353" t="str">
        <f>IF(L138&gt;0,IF(BS138&gt;0,R138/Calculation!BS138,0)," ")</f>
        <v xml:space="preserve"> </v>
      </c>
      <c r="BU138" s="438" t="e">
        <f t="shared" ca="1" si="256"/>
        <v>#VALUE!</v>
      </c>
      <c r="BV138" s="449" t="e">
        <f ca="1">INDEX(INDIRECT(VLOOKUP(LEFT(BO138,7),CLU!$Z$3:$AH$18,2)),GN138,GR138)</f>
        <v>#N/A</v>
      </c>
      <c r="BW138" s="433" t="e">
        <f ca="1">INDEX(INDIRECT(VLOOKUP(LEFT(BO138,7),CLU!$Z$3:$AH$18,3)),GN138,GR138)</f>
        <v>#N/A</v>
      </c>
      <c r="BX138" s="433" t="e">
        <f ca="1">INDEX(INDIRECT(VLOOKUP(LEFT(BO138,7),CLU!$Z$3:$AH$18,4)),GN138,GR138)</f>
        <v>#N/A</v>
      </c>
      <c r="BY138" s="433" t="e">
        <f ca="1">INDEX(INDIRECT(VLOOKUP(LEFT(BO138,7),CLU!$Z$3:$AH$18,9)),((M138-2)*(6-COUNTBLANK(GT138:GY138)))+GJ138)</f>
        <v>#N/A</v>
      </c>
      <c r="BZ138" s="426" t="e">
        <f t="shared" ca="1" si="349"/>
        <v>#N/A</v>
      </c>
      <c r="CA138" s="424" t="e">
        <f t="shared" ca="1" si="350"/>
        <v>#N/A</v>
      </c>
      <c r="CB138" s="429" t="e">
        <f ca="1">INDEX(INDIRECT(VLOOKUP(LEFT(BO138,7),CLU!$Z$3:$AH$18,2)),GN138,GS138)</f>
        <v>#N/A</v>
      </c>
      <c r="CC138" s="342" t="e">
        <f ca="1">INDEX(INDIRECT(VLOOKUP(LEFT(BO138,7),CLU!$Z$3:$AH$18,3)),GN138,GS138)</f>
        <v>#N/A</v>
      </c>
      <c r="CD138" s="342" t="e">
        <f ca="1">INDEX(INDIRECT(VLOOKUP(LEFT(BO138,7),CLU!$Z$3:$AH$18,4)),GN138,GS138)</f>
        <v>#N/A</v>
      </c>
      <c r="CE138" s="426" t="e">
        <f t="shared" ca="1" si="351"/>
        <v>#N/A</v>
      </c>
      <c r="CF138" s="440">
        <f t="shared" si="352"/>
        <v>0</v>
      </c>
      <c r="CG138" s="431" t="e">
        <f ca="1">INDEX(INDIRECT(VLOOKUP(LEFT(BO138,7),CLU!$Z$3:$AH$18,2)),GQ138,GR138)</f>
        <v>#N/A</v>
      </c>
      <c r="CH138" s="431" t="e">
        <f ca="1">INDEX(INDIRECT(VLOOKUP(LEFT(BO138,7),CLU!$Z$3:$AH$18,3)),GQ138,GR138)</f>
        <v>#N/A</v>
      </c>
      <c r="CI138" s="431" t="e">
        <f ca="1">INDEX(INDIRECT(VLOOKUP(LEFT(BO138,7),CLU!$Z$3:$AH$18,4)),GQ138,GR138)</f>
        <v>#N/A</v>
      </c>
      <c r="CJ138" s="448" t="e">
        <f t="shared" ca="1" si="353"/>
        <v>#N/A</v>
      </c>
      <c r="CK138" s="431" t="e">
        <f t="shared" ca="1" si="354"/>
        <v>#N/A</v>
      </c>
      <c r="CL138" s="440" t="e">
        <f t="shared" ca="1" si="355"/>
        <v>#N/A</v>
      </c>
      <c r="CM138" s="431" t="e">
        <f ca="1">INDEX(INDIRECT(VLOOKUP(LEFT(BO138,7),CLU!$Z$3:$AH$18,2)),GQ138,GS138)</f>
        <v>#N/A</v>
      </c>
      <c r="CN138" s="431" t="e">
        <f ca="1">INDEX(INDIRECT(VLOOKUP(LEFT(BO138,7),CLU!$Z$3:$AH$18,3)),GQ138,GS138)</f>
        <v>#N/A</v>
      </c>
      <c r="CO138" s="431" t="e">
        <f ca="1">INDEX(INDIRECT(VLOOKUP(LEFT(BO138,7),CLU!$Z$3:$AH$18,4)),GQ138,GS138)</f>
        <v>#N/A</v>
      </c>
      <c r="CP138" s="431" t="e">
        <f t="shared" ca="1" si="356"/>
        <v>#N/A</v>
      </c>
      <c r="CQ138" s="440">
        <f t="shared" si="357"/>
        <v>0</v>
      </c>
      <c r="CR138" s="51" t="e">
        <f t="shared" ca="1" si="358"/>
        <v>#N/A</v>
      </c>
      <c r="CS138" s="439" t="e">
        <f t="shared" ca="1" si="359"/>
        <v>#VALUE!</v>
      </c>
      <c r="CT138" s="51" t="e">
        <f t="shared" ca="1" si="360"/>
        <v>#VALUE!</v>
      </c>
      <c r="CU138" s="10"/>
      <c r="CV138" s="51" t="e">
        <f t="shared" ca="1" si="257"/>
        <v>#VALUE!</v>
      </c>
      <c r="CW138" s="51">
        <f t="shared" si="361"/>
        <v>0</v>
      </c>
      <c r="CX138" s="439" t="e">
        <f t="shared" ca="1" si="362"/>
        <v>#VALUE!</v>
      </c>
      <c r="CY138" s="51" t="e">
        <f t="shared" ca="1" si="363"/>
        <v>#VALUE!</v>
      </c>
      <c r="CZ138" s="10"/>
      <c r="DA138" s="51" t="e">
        <f t="shared" ca="1" si="364"/>
        <v>#VALUE!</v>
      </c>
      <c r="DB138" s="347" t="e">
        <f ca="1">INDEX(INDIRECT(VLOOKUP(LEFT(BO138,7),CLU!$Z$3:$AI$18,10)),((M138-2)*(6-COUNTBLANK(GT138:GY138)))+GJ138)*LI138</f>
        <v>#N/A</v>
      </c>
      <c r="DC138" s="347" t="str">
        <f>IF(L138&gt;0,((R138/Worksheet!$I$15)/DB138)^2," ")</f>
        <v xml:space="preserve"> </v>
      </c>
      <c r="DD138" s="602" t="str">
        <f t="shared" si="365"/>
        <v xml:space="preserve"> </v>
      </c>
      <c r="DE138" s="347" t="str">
        <f t="shared" si="258"/>
        <v xml:space="preserve"> </v>
      </c>
      <c r="DF138" s="356" t="e">
        <f ca="1">INDEX(INDIRECT(VLOOKUP(LEFT(BO138,7),CLU!$Z$3:$AH$18,8)),((M138-2)*(6-COUNTBLANK(GT138:GY138)))+GJ138)</f>
        <v>#N/A</v>
      </c>
      <c r="DG138" s="347" t="str">
        <f t="shared" si="259"/>
        <v xml:space="preserve"> </v>
      </c>
      <c r="DH138" s="357" t="str">
        <f t="shared" si="260"/>
        <v xml:space="preserve"> </v>
      </c>
      <c r="DI138" s="355" t="str">
        <f t="shared" si="261"/>
        <v xml:space="preserve"> </v>
      </c>
      <c r="DJ138" s="245" t="e">
        <f ca="1">INDEX(INDIRECT(VLOOKUP(LEFT(BO138,7),CLU!$Z$3:$AH$18,5)),GL138,GK138)</f>
        <v>#N/A</v>
      </c>
      <c r="DK138" s="245" t="e">
        <f ca="1">INDEX(INDIRECT(VLOOKUP(LEFT(BO138,7),CLU!$Z$3:$AH$18,6)),GL138,GK138)</f>
        <v>#N/A</v>
      </c>
      <c r="DL138" s="355">
        <f>(Calculation!R138*0.69143*(Calculation!$BQ$8-Calculation!$F$8))*$S$14</f>
        <v>0</v>
      </c>
      <c r="DM138" s="359" t="e">
        <f t="shared" si="366"/>
        <v>#VALUE!</v>
      </c>
      <c r="DN138" s="611">
        <f t="shared" si="367"/>
        <v>0</v>
      </c>
      <c r="DO138" s="359">
        <f t="shared" si="368"/>
        <v>100</v>
      </c>
      <c r="DP138" s="359">
        <f t="shared" si="369"/>
        <v>0</v>
      </c>
      <c r="DQ138" s="360"/>
      <c r="DR138" s="245" t="e">
        <f ca="1">INDEX(INDIRECT(VLOOKUP(LEFT(BO138,7),CLU!$Z$3:$AH$18,7)),M138-1,1)</f>
        <v>#N/A</v>
      </c>
      <c r="DS138" s="245" t="e">
        <f ca="1">INDEX(INDIRECT(VLOOKUP(LEFT(BO138,7),CLU!$Z$3:$AH$18,7)),M138-1,2)</f>
        <v>#N/A</v>
      </c>
      <c r="DT138" s="245" t="e">
        <f ca="1">INDEX(INDIRECT(VLOOKUP(LEFT(BO138,7),CLU!$Z$3:$AH$18,7)),M138-1,3)</f>
        <v>#N/A</v>
      </c>
      <c r="DU138" s="245" t="e">
        <f ca="1">INDEX(INDIRECT(VLOOKUP(LEFT(BO138,7),CLU!$Z$3:$AH$18,7)),M138-1,4)</f>
        <v>#N/A</v>
      </c>
      <c r="DV138" s="361" t="e">
        <f ca="1">INDEX(INDIRECT(VLOOKUP(LEFT(BO138,7),CLU!$Z$3:$AH$18,7)),M138-1,4+LEFT(DZ138,1)*0.5)</f>
        <v>#N/A</v>
      </c>
      <c r="DW138" s="245" t="e">
        <f ca="1">INDEX(INDIRECT(VLOOKUP(LEFT(BO138,7),CLU!$Z$3:$AH$18,7)),M138-1,8)</f>
        <v>#N/A</v>
      </c>
      <c r="DX138" s="361" t="str">
        <f t="shared" si="262"/>
        <v xml:space="preserve"> </v>
      </c>
      <c r="DY138" s="361" t="str">
        <f t="shared" si="263"/>
        <v xml:space="preserve"> </v>
      </c>
      <c r="DZ138" s="361" t="str">
        <f t="shared" si="264"/>
        <v xml:space="preserve"> </v>
      </c>
      <c r="EA138" s="362" t="str">
        <f t="shared" si="265"/>
        <v xml:space="preserve"> </v>
      </c>
      <c r="EB138" s="624" t="str">
        <f t="shared" si="370"/>
        <v xml:space="preserve"> </v>
      </c>
      <c r="EC138" s="361" t="e">
        <f ca="1">INDEX(INDIRECT(VLOOKUP(LEFT(BO138,7),CLU!$Z$3:$AH$18,7)),M138-1,4+LEFT(DZ138,1)*0.5)</f>
        <v>#N/A</v>
      </c>
      <c r="ED138" s="362" t="str">
        <f t="shared" si="266"/>
        <v xml:space="preserve"> </v>
      </c>
      <c r="EE138" s="361" t="str">
        <f t="shared" si="267"/>
        <v xml:space="preserve"> </v>
      </c>
      <c r="EF138" s="362" t="str">
        <f>IF(L138&gt;0,IF(BR138&gt;0,IF(EE138="2P",IF(Calculation!DZ138="2P",IF(Calculation!DS138=13.75,IF(Calculation!DR138=13,Worksheet!$BD$43,IF(Calculation!DR138=37,Worksheet!$BD$44,Worksheet!$BD$45)),IF(Calculation!DS138=10,IF(Calculation!DR138=18,Worksheet!$BD$29,IF(Calculation!DR138=30,Worksheet!$BD$30,IF(Calculation!DR138=42,Worksheet!$BD$31,IF(Calculation!DR138=54,Worksheet!$BD$32,IF(Calculation!DR138=66,Worksheet!$BD$33,IF(Calculation!DR138=78,Worksheet!$BD$34,IF(Calculation!DR138=90,Worksheet!$BD$35,IF(Calculation!DR138=102,Worksheet!$BD$36,Worksheet!$BD$37)))))))),IF(Calculation!DS138=12.5,IF(Calculation!DR138=18,Worksheet!$BD$38,IF(Calculation!DR138=Worksheet!$BD$39,IF(Calculation!DR138=42,Worksheet!$BD$40,IF(Calculation!DR138=54,Worksheet!$BD$41,Worksheet!$BD$42)))),IF(Calculation!DR138=18,Worksheet!$BD$11,IF(Calculation!DR138=30,Worksheet!$BD$12,IF(Calculation!DR138=42,Worksheet!$BD$13,IF(Calculation!DR138=54,Worksheet!$BD$14,IF(Calculation!DR138=66,Worksheet!$BD$15,IF(Calculation!DR138=78,Worksheet!$BD$16,IF(Calculation!DR138=90,Worksheet!$BD$17,IF(Calculation!DR138=102,Worksheet!$BD$18,Worksheet!$BD$19))))))))))),IF(Calculation!DS138=13.75,IF(Calculation!DR138=13,Worksheet!$BD$78,IF(Calculation!DR138=37,Worksheet!$BD$79,Worksheet!$BD$80)),IF(Calculation!DS138=10,IF(Calculation!DR138=18,Worksheet!$BD$64,IF(Calculation!DR138=30,Worksheet!$BD$65,IF(Calculation!DR138=42,Worksheet!$BD$66,IF(Calculation!DR138=54,Worksheet!$BD$68,IF(Calculation!DR138=66,Worksheet!$BD$68,IF(Calculation!DR138=78,Worksheet!$BD$69,IF(Calculation!DR138=90,Worksheet!$BD$70,IF(Calculation!DR138=102,Worksheet!$BD$71,Worksheet!$BD$72)))))))),IF(Calculation!DS138=12.5,IF(Calculation!DR138=18,Worksheet!$BD$73,IF(Calculation!DR138=Worksheet!$BD$74,IF(Calculation!DR138=42,Worksheet!$BD$75,IF(Calculation!DR138=54,Worksheet!$BD$76,Worksheet!$BD$77)))),IF(Calculation!DR138=18,Worksheet!$BD$55,IF(Calculation!DR138=30,Worksheet!$BD$56,IF(Calculation!DR138=42,Worksheet!$BD$57,IF(Calculation!DR138=54,Worksheet!$BD$58,IF(Calculation!DR138=66,Worksheet!$BD$59,IF(Calculation!DR138=78,Worksheet!$BD$60,IF(Calculation!DR138=90,Worksheet!$BD$61,IF(Calculation!DR138=102,Worksheet!$BD$62,Worksheet!$BD$63)))))))))))),5),0)," ")</f>
        <v xml:space="preserve"> </v>
      </c>
      <c r="EG138" s="361" t="str">
        <f t="shared" si="268"/>
        <v xml:space="preserve"> </v>
      </c>
      <c r="EH138" s="361" t="e">
        <f ca="1">INDEX(INDIRECT(VLOOKUP(LEFT(BO138,7),CLU!$Z$3:$AH$18,7)),M138-1,3+LEFT(DZ138,1))</f>
        <v>#N/A</v>
      </c>
      <c r="EI138" s="362" t="str">
        <f t="shared" si="269"/>
        <v xml:space="preserve"> </v>
      </c>
      <c r="EJ138" s="363" t="str">
        <f t="shared" si="270"/>
        <v xml:space="preserve"> </v>
      </c>
      <c r="EK138" s="363" t="str">
        <f t="shared" si="271"/>
        <v xml:space="preserve"> </v>
      </c>
      <c r="EL138" s="363" t="str">
        <f t="shared" si="272"/>
        <v xml:space="preserve"> </v>
      </c>
      <c r="EM138" s="362" t="str">
        <f>IF(L138&gt;0,IF(BR138&gt;0,(Calculation!T138/ED138)^2,0)," ")</f>
        <v xml:space="preserve"> </v>
      </c>
      <c r="EN138" s="362" t="str">
        <f>IF(L138&gt;0,IF(O138="2 Pipe (Cooling)","N/A",IF(BR138&gt;0,(Calculation!U138/EI138)^2,0))," ")</f>
        <v xml:space="preserve"> </v>
      </c>
      <c r="EO138" s="361" t="str">
        <f t="shared" si="273"/>
        <v/>
      </c>
      <c r="EP138" s="361" t="str">
        <f t="shared" si="274"/>
        <v/>
      </c>
      <c r="EQ138" s="361" t="str">
        <f t="shared" si="275"/>
        <v/>
      </c>
      <c r="ER138" s="361" t="str">
        <f t="shared" si="276"/>
        <v/>
      </c>
      <c r="ES138" s="361" t="str">
        <f t="shared" si="277"/>
        <v/>
      </c>
      <c r="ET138" s="361" t="str">
        <f t="shared" si="278"/>
        <v/>
      </c>
      <c r="EU138" s="361" t="str">
        <f t="shared" si="279"/>
        <v/>
      </c>
      <c r="EV138" s="361" t="str">
        <f t="shared" si="280"/>
        <v/>
      </c>
      <c r="EW138" s="361" t="str">
        <f t="shared" si="281"/>
        <v/>
      </c>
      <c r="EX138" s="361" t="str">
        <f t="shared" si="371"/>
        <v>1 slot, 1 way</v>
      </c>
      <c r="EY138" s="361" t="str">
        <f t="shared" si="372"/>
        <v xml:space="preserve"> </v>
      </c>
      <c r="EZ138" s="361" t="str">
        <f t="shared" si="373"/>
        <v xml:space="preserve"> </v>
      </c>
      <c r="FA138" s="361" t="str">
        <f t="shared" si="374"/>
        <v xml:space="preserve"> </v>
      </c>
      <c r="FB138" s="361" t="str">
        <f t="shared" si="375"/>
        <v xml:space="preserve"> </v>
      </c>
      <c r="FC138" s="361"/>
      <c r="FD138" s="361" t="str">
        <f>IF(J138&gt;0,IF(Calculation!R138&lt;=70,4,IF(Calculation!R138&lt;=110,5,IF(Calculation!R138&lt;=160,6,IF(Calculation!R138&lt;=300,8,"10 EO")))),"")</f>
        <v/>
      </c>
      <c r="FE138" s="361" t="str">
        <f t="shared" si="376"/>
        <v/>
      </c>
      <c r="FF138" s="361" t="str">
        <f t="shared" si="377"/>
        <v/>
      </c>
      <c r="FG138" s="361" t="e">
        <f t="shared" si="282"/>
        <v>#N/A</v>
      </c>
      <c r="FH138" s="361">
        <f t="shared" si="283"/>
        <v>0</v>
      </c>
      <c r="FI138" s="361" t="e">
        <f t="shared" si="284"/>
        <v>#DIV/0!</v>
      </c>
      <c r="FJ138" s="361"/>
      <c r="FK138" s="356" t="e">
        <f t="shared" si="285"/>
        <v>#VALUE!</v>
      </c>
      <c r="FL138" s="361"/>
      <c r="FM138" s="361"/>
      <c r="FN138" s="362" t="str">
        <f t="shared" si="378"/>
        <v xml:space="preserve"> </v>
      </c>
      <c r="FO138" s="362" t="str">
        <f t="shared" si="379"/>
        <v xml:space="preserve"> </v>
      </c>
      <c r="FP138" s="362">
        <f t="shared" si="380"/>
        <v>0</v>
      </c>
      <c r="FQ138" s="361">
        <f t="shared" si="286"/>
        <v>0</v>
      </c>
      <c r="FR138" s="362" t="str">
        <f>IF(L138&gt;0,IF(J138="CBAL2",Worksheet!$P$67,IF(J138="CBE2-24",Worksheet!$Q$67,IF(J138="CBAM",Worksheet!$R$67,IF(J138="CBLV",Worksheet!$S$67,IF(J138="CBAB",Worksheet!$U$67,IF(J138="CBAW",Worksheet!$X$67,IF(J138="CBE2-12",Worksheet!$Y$67,IF(J138="CBAL2",Worksheet!$Z$67,"N/A"))))))))," ")</f>
        <v xml:space="preserve"> </v>
      </c>
      <c r="FS138" s="362" t="str">
        <f>IF(L138&gt;0,IF(J138="CBAL2",Worksheet!$P$68,IF(J138="CBE2-24",Worksheet!$Q$68,IF(J138="CBAM",Worksheet!$R$68,IF(J138="CBLV",Worksheet!$S$68,IF(J138="CBAB",Worksheet!$U$68,IF(J138="CBAW",Worksheet!$X$68,IF(J138="CBE2-12",Worksheet!$Y$68,IF(J138="CBAL2",Worksheet!$Z$68,"N/A"))))))))," ")</f>
        <v xml:space="preserve"> </v>
      </c>
      <c r="FT138" s="362" t="str">
        <f>IF(L138&gt;0,IF(J138="CBAL2",Worksheet!$P$69,IF(J138="CBE2-24",Worksheet!$Q$69,IF(J138="CBAM",Worksheet!$R$69,IF(J138="CBLV",Worksheet!$S$69,IF(J138="CBAB",Worksheet!$U$69,IF(J138="CBAW",Worksheet!$X$69,IF(J138="CBE2-12",Worksheet!$Y$69,IF(J138="CBAL2",Worksheet!$Z$69,"N/A"))))))))," ")</f>
        <v xml:space="preserve"> </v>
      </c>
      <c r="FU138" s="361" t="str">
        <f t="shared" si="381"/>
        <v xml:space="preserve"> </v>
      </c>
      <c r="FV138" s="362" t="str">
        <f t="shared" si="382"/>
        <v xml:space="preserve"> </v>
      </c>
      <c r="FW138" s="362" t="str">
        <f t="shared" si="383"/>
        <v xml:space="preserve"> </v>
      </c>
      <c r="FX138" s="362" t="str">
        <f t="shared" si="384"/>
        <v xml:space="preserve"> </v>
      </c>
      <c r="FY138" s="355" t="str">
        <f t="shared" si="385"/>
        <v xml:space="preserve"> </v>
      </c>
      <c r="FZ138" s="361" t="str">
        <f t="shared" si="386"/>
        <v xml:space="preserve"> </v>
      </c>
      <c r="GA138" s="347" t="str">
        <f t="shared" si="387"/>
        <v xml:space="preserve"> </v>
      </c>
      <c r="GB138" s="355" t="str">
        <f t="shared" si="388"/>
        <v xml:space="preserve"> </v>
      </c>
      <c r="GC138" s="328" t="str">
        <f t="shared" si="389"/>
        <v xml:space="preserve"> </v>
      </c>
      <c r="GD138" s="361" t="str">
        <f t="shared" si="390"/>
        <v xml:space="preserve"> </v>
      </c>
      <c r="GE138" s="347" t="str">
        <f t="shared" si="391"/>
        <v xml:space="preserve"> </v>
      </c>
      <c r="GF138" s="361" t="str">
        <f t="shared" si="392"/>
        <v xml:space="preserve"> </v>
      </c>
      <c r="GG138" s="347" t="str">
        <f t="shared" si="393"/>
        <v xml:space="preserve"> </v>
      </c>
      <c r="GH138" s="364">
        <f t="shared" si="287"/>
        <v>0</v>
      </c>
      <c r="GI138" s="362">
        <f t="shared" si="394"/>
        <v>2</v>
      </c>
      <c r="GJ138" s="433" t="e">
        <f>IF(6-COUNTBLANK(GT138:GY138)=4,MATCH(MID(BO138,9,3),CLU!$H$16:$K$16),MATCH(MID(BO138,9,3),CLU!$H$13:$M$13))</f>
        <v>#N/A</v>
      </c>
      <c r="GK138" s="433" t="e">
        <f>HLOOKUP(VALUE(BP138),CLU!$H$9:$M$10,2)</f>
        <v>#VALUE!</v>
      </c>
      <c r="GL138" s="433" t="e">
        <f ca="1">MATCH(BU138,CLU!$H$2:$V$2,1)</f>
        <v>#VALUE!</v>
      </c>
      <c r="GM138" s="433" t="e">
        <f t="shared" ca="1" si="395"/>
        <v>#VALUE!</v>
      </c>
      <c r="GN138" s="433" t="e">
        <f t="shared" ca="1" si="396"/>
        <v>#VALUE!</v>
      </c>
      <c r="GO138" s="433" t="e">
        <f t="shared" ca="1" si="397"/>
        <v>#VALUE!</v>
      </c>
      <c r="GP138" s="433" t="e">
        <f t="shared" ca="1" si="398"/>
        <v>#VALUE!</v>
      </c>
      <c r="GQ138" s="433" t="e">
        <f t="shared" ca="1" si="399"/>
        <v>#VALUE!</v>
      </c>
      <c r="GR138" s="433" t="e">
        <f ca="1">MATCH(T138,INDIRECT(VLOOKUP(CONCATENATE(LEFT(BO138,7),"-",MID(BO138,13,1)),CLU!$P$3:$Q$16,2)),1)</f>
        <v>#N/A</v>
      </c>
      <c r="GS138" s="433" t="e">
        <f ca="1">MATCH(U138,INDIRECT(VLOOKUP(CONCATENATE(LEFT(BO138,7),"-",MID(BO138,13,1)),CLU!$P$3:$Q$16,2)),1)</f>
        <v>#N/A</v>
      </c>
      <c r="GT138" s="347" t="s">
        <v>512</v>
      </c>
      <c r="GU138" s="97" t="s">
        <v>513</v>
      </c>
      <c r="GV138" s="97" t="str">
        <f t="shared" si="400"/>
        <v>M23</v>
      </c>
      <c r="GW138" s="97" t="str">
        <f t="shared" si="401"/>
        <v>M31</v>
      </c>
      <c r="GX138" s="97" t="str">
        <f t="shared" si="402"/>
        <v/>
      </c>
      <c r="GY138" s="97" t="str">
        <f t="shared" si="403"/>
        <v/>
      </c>
      <c r="GZ138" s="481"/>
      <c r="HA138" s="288"/>
      <c r="HB138" s="240"/>
      <c r="HC138" s="240"/>
      <c r="HD138" s="240"/>
      <c r="HE138" s="240"/>
      <c r="HF138" s="240"/>
      <c r="HG138" s="240"/>
      <c r="HH138" s="240"/>
      <c r="HI138" s="240"/>
      <c r="HJ138" s="240"/>
      <c r="HK138" s="240"/>
      <c r="HL138" s="240"/>
      <c r="HM138" s="240"/>
      <c r="HN138" s="240"/>
      <c r="HO138" s="240"/>
      <c r="HP138" s="240"/>
      <c r="HQ138" s="240"/>
      <c r="HR138" s="240"/>
      <c r="HS138" s="240"/>
      <c r="HT138" s="240"/>
      <c r="HU138" s="240"/>
      <c r="HV138" s="245"/>
      <c r="HW138" s="245" t="b">
        <v>1</v>
      </c>
      <c r="HX138" s="245" t="str">
        <f t="shared" si="288"/>
        <v/>
      </c>
      <c r="HY138" s="245" t="e">
        <f t="shared" si="289"/>
        <v>#DIV/0!</v>
      </c>
      <c r="HZ138" s="245" t="e">
        <f t="shared" si="290"/>
        <v>#DIV/0!</v>
      </c>
      <c r="IA138" s="245">
        <f t="shared" si="291"/>
        <v>0</v>
      </c>
      <c r="IB138" s="245"/>
      <c r="IC138" t="b">
        <f t="shared" si="292"/>
        <v>1</v>
      </c>
      <c r="ID138" s="245" t="b">
        <f t="shared" si="293"/>
        <v>1</v>
      </c>
      <c r="IE138" s="245" t="b">
        <f t="shared" si="294"/>
        <v>1</v>
      </c>
      <c r="IF138" s="245" t="b">
        <f t="shared" si="295"/>
        <v>0</v>
      </c>
      <c r="IG138" s="245" t="b">
        <f t="shared" si="296"/>
        <v>1</v>
      </c>
      <c r="IH138" s="245" t="b">
        <f t="shared" si="297"/>
        <v>1</v>
      </c>
      <c r="II138" s="245">
        <f t="shared" si="404"/>
        <v>0</v>
      </c>
      <c r="IJ138" s="245" t="e">
        <f t="shared" si="298"/>
        <v>#VALUE!</v>
      </c>
      <c r="IK138" s="245" t="e">
        <f t="shared" si="299"/>
        <v>#VALUE!</v>
      </c>
      <c r="IL138" s="245"/>
      <c r="IM138" s="245" t="e">
        <f t="shared" si="405"/>
        <v>#N/A</v>
      </c>
      <c r="IN138" s="245" t="e">
        <f t="shared" si="406"/>
        <v>#N/A</v>
      </c>
      <c r="IO138" s="245"/>
      <c r="IP138" s="245"/>
      <c r="IQ138" s="245" t="str">
        <f t="shared" si="300"/>
        <v/>
      </c>
      <c r="IR138" s="245" t="str">
        <f>IF(J138="","",VLOOKUP(J138,Worksheet!$R$4:$T$14,2))</f>
        <v/>
      </c>
      <c r="IS138" s="245"/>
      <c r="IT138" s="245">
        <f t="shared" si="301"/>
        <v>0</v>
      </c>
      <c r="IU138" s="245">
        <f t="shared" si="302"/>
        <v>0</v>
      </c>
      <c r="IV138" s="245">
        <f t="shared" si="303"/>
        <v>0</v>
      </c>
      <c r="IW138" s="245">
        <f t="shared" si="304"/>
        <v>0</v>
      </c>
      <c r="IX138" s="245">
        <f t="shared" si="407"/>
        <v>0</v>
      </c>
      <c r="IY138" s="245">
        <f t="shared" si="305"/>
        <v>0</v>
      </c>
      <c r="IZ138" s="245">
        <f t="shared" si="306"/>
        <v>0</v>
      </c>
      <c r="JA138">
        <f t="shared" si="307"/>
        <v>0</v>
      </c>
      <c r="JB138">
        <f t="shared" si="408"/>
        <v>0</v>
      </c>
      <c r="JC138">
        <f t="shared" si="308"/>
        <v>0</v>
      </c>
      <c r="JD138">
        <f t="shared" si="309"/>
        <v>0</v>
      </c>
      <c r="JE138">
        <f t="shared" si="310"/>
        <v>0</v>
      </c>
      <c r="JF138">
        <f t="shared" si="311"/>
        <v>0</v>
      </c>
      <c r="JG138">
        <f t="shared" si="312"/>
        <v>0</v>
      </c>
      <c r="JH138">
        <f t="shared" si="313"/>
        <v>0</v>
      </c>
      <c r="JI138">
        <f t="shared" si="314"/>
        <v>0</v>
      </c>
      <c r="JJ138" s="447">
        <f t="shared" si="315"/>
        <v>0</v>
      </c>
      <c r="JK138" s="447">
        <f t="shared" si="316"/>
        <v>0</v>
      </c>
      <c r="JL138">
        <f t="shared" si="317"/>
        <v>0</v>
      </c>
      <c r="JM138" s="245" t="str">
        <f>IFERROR(VLOOKUP(MATCH(BN138,#REF!,0),#REF!,7),"")</f>
        <v/>
      </c>
      <c r="JN138" t="e">
        <f>HLOOKUP(LEFT(BO138,7),Discharge_Area,MATCH(JO138,LookUps!$B$130:$B$149,1)+2)</f>
        <v>#N/A</v>
      </c>
      <c r="JO138" t="str">
        <f t="shared" si="318"/>
        <v>- S</v>
      </c>
      <c r="JP138" t="e">
        <f>HLOOKUP(LEFT(BO138,7),Discharge_Area,MATCH(JO138,LookUps!$B$130:$B$149,1)+2)</f>
        <v>#N/A</v>
      </c>
      <c r="JQ138" t="e">
        <f t="shared" si="319"/>
        <v>#N/A</v>
      </c>
      <c r="JR138" t="e">
        <f t="shared" si="320"/>
        <v>#N/A</v>
      </c>
      <c r="JS138" t="e">
        <f t="shared" si="321"/>
        <v>#N/A</v>
      </c>
      <c r="JT138" s="532" t="str">
        <f t="shared" si="322"/>
        <v xml:space="preserve"> </v>
      </c>
      <c r="JU138" s="532" t="str">
        <f t="shared" si="323"/>
        <v xml:space="preserve"> </v>
      </c>
      <c r="JV138" s="533" t="str">
        <f t="shared" si="324"/>
        <v xml:space="preserve"> </v>
      </c>
      <c r="JW138" s="534">
        <f t="shared" si="325"/>
        <v>0</v>
      </c>
      <c r="JX138" s="535" t="str">
        <f t="shared" si="409"/>
        <v xml:space="preserve"> </v>
      </c>
      <c r="JY138" s="535" t="str">
        <f t="shared" si="410"/>
        <v xml:space="preserve"> </v>
      </c>
      <c r="JZ138" s="535" t="str">
        <f t="shared" si="411"/>
        <v xml:space="preserve"> </v>
      </c>
      <c r="KA138" s="536" t="str">
        <f t="shared" si="326"/>
        <v xml:space="preserve"> </v>
      </c>
      <c r="KB138" s="535" t="e">
        <f t="shared" si="412"/>
        <v>#VALUE!</v>
      </c>
      <c r="KC138" s="535" t="str">
        <f t="shared" si="327"/>
        <v/>
      </c>
      <c r="KD138" s="537" t="str">
        <f t="shared" si="413"/>
        <v xml:space="preserve"> </v>
      </c>
      <c r="KE138" s="537" t="str">
        <f t="shared" si="414"/>
        <v xml:space="preserve"> </v>
      </c>
      <c r="KF138" s="534">
        <f t="shared" si="328"/>
        <v>0</v>
      </c>
      <c r="KG138" s="535" t="str">
        <f t="shared" si="329"/>
        <v xml:space="preserve"> </v>
      </c>
      <c r="KH138" s="535" t="str">
        <f t="shared" si="330"/>
        <v xml:space="preserve"> </v>
      </c>
      <c r="KI138" s="535" t="str">
        <f t="shared" si="331"/>
        <v xml:space="preserve"> </v>
      </c>
      <c r="KJ138" s="536" t="str">
        <f t="shared" si="332"/>
        <v xml:space="preserve"> </v>
      </c>
      <c r="KK138" s="535" t="str">
        <f t="shared" si="415"/>
        <v xml:space="preserve"> </v>
      </c>
      <c r="KL138" s="535" t="str">
        <f t="shared" si="416"/>
        <v xml:space="preserve"> </v>
      </c>
      <c r="KM138" s="537" t="str">
        <f t="shared" si="333"/>
        <v xml:space="preserve"> </v>
      </c>
      <c r="KN138" s="537" t="str">
        <f t="shared" si="417"/>
        <v xml:space="preserve"> </v>
      </c>
      <c r="KP138">
        <f t="shared" si="334"/>
        <v>0</v>
      </c>
      <c r="LA138" t="e">
        <f t="shared" si="335"/>
        <v>#VALUE!</v>
      </c>
      <c r="LB138" t="e">
        <f t="shared" si="336"/>
        <v>#VALUE!</v>
      </c>
      <c r="LC138" t="e">
        <f t="shared" si="337"/>
        <v>#VALUE!</v>
      </c>
      <c r="LD138" t="e">
        <f t="shared" si="338"/>
        <v>#VALUE!</v>
      </c>
      <c r="LE138" t="e">
        <f t="shared" si="418"/>
        <v>#VALUE!</v>
      </c>
      <c r="LF138">
        <f t="shared" si="339"/>
        <v>0</v>
      </c>
      <c r="LG138" t="e">
        <f t="shared" si="419"/>
        <v>#VALUE!</v>
      </c>
      <c r="LH138" t="str">
        <f t="shared" si="340"/>
        <v xml:space="preserve"> </v>
      </c>
      <c r="LI138">
        <f t="shared" si="420"/>
        <v>1</v>
      </c>
    </row>
    <row r="139" spans="2:321" ht="15" customHeight="1">
      <c r="B139" s="311"/>
      <c r="C139" s="311"/>
      <c r="D139" s="312"/>
      <c r="E139" s="311"/>
      <c r="F139" s="312"/>
      <c r="G139" s="311"/>
      <c r="H139" s="311"/>
      <c r="I139" s="37"/>
      <c r="J139" s="311"/>
      <c r="K139" s="305" t="str">
        <f t="shared" si="341"/>
        <v/>
      </c>
      <c r="L139" s="313"/>
      <c r="M139" s="312"/>
      <c r="N139" s="311"/>
      <c r="O139" s="312"/>
      <c r="P139" s="311"/>
      <c r="Q139" s="305" t="str">
        <f t="shared" si="342"/>
        <v/>
      </c>
      <c r="R139" s="314"/>
      <c r="S139" s="450" t="str">
        <f t="shared" si="225"/>
        <v/>
      </c>
      <c r="T139" s="315"/>
      <c r="U139" s="315"/>
      <c r="W139" s="149" t="str">
        <f t="shared" si="226"/>
        <v xml:space="preserve"> </v>
      </c>
      <c r="X139" s="243" t="str">
        <f t="shared" si="227"/>
        <v xml:space="preserve"> </v>
      </c>
      <c r="Y139" s="150" t="str">
        <f t="shared" si="228"/>
        <v/>
      </c>
      <c r="Z139" s="149" t="str">
        <f t="shared" si="229"/>
        <v xml:space="preserve"> </v>
      </c>
      <c r="AA139" s="98" t="str">
        <f t="shared" si="230"/>
        <v xml:space="preserve"> </v>
      </c>
      <c r="AB139" s="153" t="str">
        <f t="shared" si="231"/>
        <v xml:space="preserve"> </v>
      </c>
      <c r="AC139" s="153" t="str">
        <f t="shared" si="232"/>
        <v xml:space="preserve"> </v>
      </c>
      <c r="AD139" s="148" t="str">
        <f t="shared" si="233"/>
        <v/>
      </c>
      <c r="AE139" s="149" t="str">
        <f t="shared" si="234"/>
        <v/>
      </c>
      <c r="AF139" s="151" t="str">
        <f t="shared" si="235"/>
        <v xml:space="preserve"> </v>
      </c>
      <c r="AG139" s="153" t="str">
        <f t="shared" si="236"/>
        <v xml:space="preserve"> </v>
      </c>
      <c r="AH139" s="98" t="str">
        <f t="shared" si="237"/>
        <v xml:space="preserve"> </v>
      </c>
      <c r="AI139" s="149" t="str">
        <f t="shared" si="238"/>
        <v xml:space="preserve"> </v>
      </c>
      <c r="AK139" s="144" t="str">
        <f t="shared" si="239"/>
        <v xml:space="preserve"> </v>
      </c>
      <c r="AL139" s="144"/>
      <c r="AM139" s="243" t="str">
        <f t="shared" si="240"/>
        <v xml:space="preserve"> </v>
      </c>
      <c r="AN139" s="149" t="str">
        <f t="shared" si="343"/>
        <v xml:space="preserve"> </v>
      </c>
      <c r="AO139" s="144" t="str">
        <f>IF(JB139&gt;0,IF(GI139=10,-R139*1.085*(Calculation!$F$6-Calculation!$F$13)*$S$14," "),"")</f>
        <v/>
      </c>
      <c r="AP139" s="144" t="str">
        <f t="shared" si="241"/>
        <v/>
      </c>
      <c r="AQ139" s="56" t="str">
        <f t="shared" si="242"/>
        <v/>
      </c>
      <c r="AR139" s="144" t="str">
        <f t="shared" si="243"/>
        <v/>
      </c>
      <c r="AS139" s="176" t="str">
        <f t="shared" si="244"/>
        <v/>
      </c>
      <c r="AT139" s="176" t="str">
        <f t="shared" si="344"/>
        <v xml:space="preserve"> </v>
      </c>
      <c r="AU139" s="176" t="str">
        <f t="shared" si="245"/>
        <v/>
      </c>
      <c r="AV139" s="177" t="str">
        <f t="shared" si="246"/>
        <v xml:space="preserve"> </v>
      </c>
      <c r="AW139" s="144" t="str">
        <f t="shared" si="247"/>
        <v xml:space="preserve"> </v>
      </c>
      <c r="AX139" s="144" t="str">
        <f t="shared" si="248"/>
        <v xml:space="preserve"> </v>
      </c>
      <c r="AY139" s="152" t="str">
        <f t="shared" si="249"/>
        <v xml:space="preserve"> </v>
      </c>
      <c r="AZ139" s="246" t="str">
        <f t="shared" si="250"/>
        <v/>
      </c>
      <c r="BA139" s="176" t="str">
        <f t="shared" si="251"/>
        <v xml:space="preserve"> </v>
      </c>
      <c r="BB139" s="176" t="str">
        <f t="shared" si="252"/>
        <v xml:space="preserve"> </v>
      </c>
      <c r="BC139" s="195"/>
      <c r="BD139" s="316"/>
      <c r="BE139" s="317"/>
      <c r="BF139" s="318"/>
      <c r="BG139" s="318"/>
      <c r="BH139" s="144" t="str">
        <f t="shared" si="421"/>
        <v xml:space="preserve"> </v>
      </c>
      <c r="BI139" s="176" t="str">
        <f t="shared" si="253"/>
        <v/>
      </c>
      <c r="BJ139" s="144" t="str">
        <f t="shared" si="422"/>
        <v/>
      </c>
      <c r="BK139" s="246" t="str">
        <f t="shared" si="254"/>
        <v/>
      </c>
      <c r="BL139" s="144" t="str">
        <f t="shared" si="423"/>
        <v/>
      </c>
      <c r="BM139" s="246" t="str">
        <f t="shared" si="255"/>
        <v/>
      </c>
      <c r="BN139" s="337" t="str">
        <f t="shared" si="345"/>
        <v/>
      </c>
      <c r="BO139" s="371" t="str">
        <f t="shared" si="346"/>
        <v/>
      </c>
      <c r="BP139" s="328" t="str">
        <f t="shared" si="424"/>
        <v xml:space="preserve"> </v>
      </c>
      <c r="BQ139" s="347" t="str">
        <f t="shared" si="347"/>
        <v xml:space="preserve"> </v>
      </c>
      <c r="BR139" s="353" t="str">
        <f t="shared" si="348"/>
        <v xml:space="preserve"> </v>
      </c>
      <c r="BS139" s="626" t="str">
        <f>IF(L139&gt;0,IF(Calculation!P139="M13",BR139*3.1416*(0.134^2)/(4*144),IF(Calculation!P139="M17",BR139*3.1416*(0.165^2)/(4*144),IF(Calculation!P139="M20",BR139*3.1416*(0.198^2)/(4*144),IF(Calculation!P139="M23",BR139*3.1416*(0.228^2)/(4*144),IF(Calculation!P139="M27",BR139*3.1416*(0.269^2)/(4*144),BR139*3.1416*(0.307^2)/(4*144))))))," ")</f>
        <v xml:space="preserve"> </v>
      </c>
      <c r="BT139" s="353" t="str">
        <f>IF(L139&gt;0,IF(BS139&gt;0,R139/Calculation!BS139,0)," ")</f>
        <v xml:space="preserve"> </v>
      </c>
      <c r="BU139" s="438" t="e">
        <f t="shared" ca="1" si="256"/>
        <v>#VALUE!</v>
      </c>
      <c r="BV139" s="449" t="e">
        <f ca="1">INDEX(INDIRECT(VLOOKUP(LEFT(BO139,7),CLU!$Z$3:$AH$18,2)),GN139,GR139)</f>
        <v>#N/A</v>
      </c>
      <c r="BW139" s="433" t="e">
        <f ca="1">INDEX(INDIRECT(VLOOKUP(LEFT(BO139,7),CLU!$Z$3:$AH$18,3)),GN139,GR139)</f>
        <v>#N/A</v>
      </c>
      <c r="BX139" s="433" t="e">
        <f ca="1">INDEX(INDIRECT(VLOOKUP(LEFT(BO139,7),CLU!$Z$3:$AH$18,4)),GN139,GR139)</f>
        <v>#N/A</v>
      </c>
      <c r="BY139" s="433" t="e">
        <f ca="1">INDEX(INDIRECT(VLOOKUP(LEFT(BO139,7),CLU!$Z$3:$AH$18,9)),((M139-2)*(6-COUNTBLANK(GT139:GY139)))+GJ139)</f>
        <v>#N/A</v>
      </c>
      <c r="BZ139" s="426" t="e">
        <f t="shared" ca="1" si="349"/>
        <v>#N/A</v>
      </c>
      <c r="CA139" s="424" t="e">
        <f t="shared" ca="1" si="350"/>
        <v>#N/A</v>
      </c>
      <c r="CB139" s="429" t="e">
        <f ca="1">INDEX(INDIRECT(VLOOKUP(LEFT(BO139,7),CLU!$Z$3:$AH$18,2)),GN139,GS139)</f>
        <v>#N/A</v>
      </c>
      <c r="CC139" s="342" t="e">
        <f ca="1">INDEX(INDIRECT(VLOOKUP(LEFT(BO139,7),CLU!$Z$3:$AH$18,3)),GN139,GS139)</f>
        <v>#N/A</v>
      </c>
      <c r="CD139" s="342" t="e">
        <f ca="1">INDEX(INDIRECT(VLOOKUP(LEFT(BO139,7),CLU!$Z$3:$AH$18,4)),GN139,GS139)</f>
        <v>#N/A</v>
      </c>
      <c r="CE139" s="426" t="e">
        <f t="shared" ca="1" si="351"/>
        <v>#N/A</v>
      </c>
      <c r="CF139" s="440">
        <f t="shared" si="352"/>
        <v>0</v>
      </c>
      <c r="CG139" s="431" t="e">
        <f ca="1">INDEX(INDIRECT(VLOOKUP(LEFT(BO139,7),CLU!$Z$3:$AH$18,2)),GQ139,GR139)</f>
        <v>#N/A</v>
      </c>
      <c r="CH139" s="431" t="e">
        <f ca="1">INDEX(INDIRECT(VLOOKUP(LEFT(BO139,7),CLU!$Z$3:$AH$18,3)),GQ139,GR139)</f>
        <v>#N/A</v>
      </c>
      <c r="CI139" s="431" t="e">
        <f ca="1">INDEX(INDIRECT(VLOOKUP(LEFT(BO139,7),CLU!$Z$3:$AH$18,4)),GQ139,GR139)</f>
        <v>#N/A</v>
      </c>
      <c r="CJ139" s="448" t="e">
        <f t="shared" ca="1" si="353"/>
        <v>#N/A</v>
      </c>
      <c r="CK139" s="431" t="e">
        <f t="shared" ca="1" si="354"/>
        <v>#N/A</v>
      </c>
      <c r="CL139" s="440" t="e">
        <f t="shared" ca="1" si="355"/>
        <v>#N/A</v>
      </c>
      <c r="CM139" s="431" t="e">
        <f ca="1">INDEX(INDIRECT(VLOOKUP(LEFT(BO139,7),CLU!$Z$3:$AH$18,2)),GQ139,GS139)</f>
        <v>#N/A</v>
      </c>
      <c r="CN139" s="431" t="e">
        <f ca="1">INDEX(INDIRECT(VLOOKUP(LEFT(BO139,7),CLU!$Z$3:$AH$18,3)),GQ139,GS139)</f>
        <v>#N/A</v>
      </c>
      <c r="CO139" s="431" t="e">
        <f ca="1">INDEX(INDIRECT(VLOOKUP(LEFT(BO139,7),CLU!$Z$3:$AH$18,4)),GQ139,GS139)</f>
        <v>#N/A</v>
      </c>
      <c r="CP139" s="431" t="e">
        <f t="shared" ca="1" si="356"/>
        <v>#N/A</v>
      </c>
      <c r="CQ139" s="440">
        <f t="shared" si="357"/>
        <v>0</v>
      </c>
      <c r="CR139" s="51" t="e">
        <f t="shared" ca="1" si="358"/>
        <v>#N/A</v>
      </c>
      <c r="CS139" s="439" t="e">
        <f t="shared" ca="1" si="359"/>
        <v>#VALUE!</v>
      </c>
      <c r="CT139" s="51" t="e">
        <f t="shared" ca="1" si="360"/>
        <v>#VALUE!</v>
      </c>
      <c r="CU139" s="10"/>
      <c r="CV139" s="51" t="e">
        <f t="shared" ca="1" si="257"/>
        <v>#VALUE!</v>
      </c>
      <c r="CW139" s="51">
        <f t="shared" si="361"/>
        <v>0</v>
      </c>
      <c r="CX139" s="439" t="e">
        <f t="shared" ca="1" si="362"/>
        <v>#VALUE!</v>
      </c>
      <c r="CY139" s="51" t="e">
        <f t="shared" ca="1" si="363"/>
        <v>#VALUE!</v>
      </c>
      <c r="CZ139" s="10"/>
      <c r="DA139" s="51" t="e">
        <f t="shared" ca="1" si="364"/>
        <v>#VALUE!</v>
      </c>
      <c r="DB139" s="347" t="e">
        <f ca="1">INDEX(INDIRECT(VLOOKUP(LEFT(BO139,7),CLU!$Z$3:$AI$18,10)),((M139-2)*(6-COUNTBLANK(GT139:GY139)))+GJ139)*LI139</f>
        <v>#N/A</v>
      </c>
      <c r="DC139" s="347" t="str">
        <f>IF(L139&gt;0,((R139/Worksheet!$I$15)/DB139)^2," ")</f>
        <v xml:space="preserve"> </v>
      </c>
      <c r="DD139" s="602" t="str">
        <f t="shared" si="365"/>
        <v xml:space="preserve"> </v>
      </c>
      <c r="DE139" s="347" t="str">
        <f t="shared" si="258"/>
        <v xml:space="preserve"> </v>
      </c>
      <c r="DF139" s="356" t="e">
        <f ca="1">INDEX(INDIRECT(VLOOKUP(LEFT(BO139,7),CLU!$Z$3:$AH$18,8)),((M139-2)*(6-COUNTBLANK(GT139:GY139)))+GJ139)</f>
        <v>#N/A</v>
      </c>
      <c r="DG139" s="347" t="str">
        <f t="shared" si="259"/>
        <v xml:space="preserve"> </v>
      </c>
      <c r="DH139" s="357" t="str">
        <f t="shared" si="260"/>
        <v xml:space="preserve"> </v>
      </c>
      <c r="DI139" s="355" t="str">
        <f t="shared" si="261"/>
        <v xml:space="preserve"> </v>
      </c>
      <c r="DJ139" s="245" t="e">
        <f ca="1">INDEX(INDIRECT(VLOOKUP(LEFT(BO139,7),CLU!$Z$3:$AH$18,5)),GL139,GK139)</f>
        <v>#N/A</v>
      </c>
      <c r="DK139" s="245" t="e">
        <f ca="1">INDEX(INDIRECT(VLOOKUP(LEFT(BO139,7),CLU!$Z$3:$AH$18,6)),GL139,GK139)</f>
        <v>#N/A</v>
      </c>
      <c r="DL139" s="355">
        <f>(Calculation!R139*0.69143*(Calculation!$BQ$8-Calculation!$F$8))*$S$14</f>
        <v>0</v>
      </c>
      <c r="DM139" s="359" t="e">
        <f t="shared" si="366"/>
        <v>#VALUE!</v>
      </c>
      <c r="DN139" s="611">
        <f t="shared" si="367"/>
        <v>0</v>
      </c>
      <c r="DO139" s="359">
        <f t="shared" si="368"/>
        <v>100</v>
      </c>
      <c r="DP139" s="359">
        <f t="shared" si="369"/>
        <v>0</v>
      </c>
      <c r="DQ139" s="360"/>
      <c r="DR139" s="245" t="e">
        <f ca="1">INDEX(INDIRECT(VLOOKUP(LEFT(BO139,7),CLU!$Z$3:$AH$18,7)),M139-1,1)</f>
        <v>#N/A</v>
      </c>
      <c r="DS139" s="245" t="e">
        <f ca="1">INDEX(INDIRECT(VLOOKUP(LEFT(BO139,7),CLU!$Z$3:$AH$18,7)),M139-1,2)</f>
        <v>#N/A</v>
      </c>
      <c r="DT139" s="245" t="e">
        <f ca="1">INDEX(INDIRECT(VLOOKUP(LEFT(BO139,7),CLU!$Z$3:$AH$18,7)),M139-1,3)</f>
        <v>#N/A</v>
      </c>
      <c r="DU139" s="245" t="e">
        <f ca="1">INDEX(INDIRECT(VLOOKUP(LEFT(BO139,7),CLU!$Z$3:$AH$18,7)),M139-1,4)</f>
        <v>#N/A</v>
      </c>
      <c r="DV139" s="361" t="e">
        <f ca="1">INDEX(INDIRECT(VLOOKUP(LEFT(BO139,7),CLU!$Z$3:$AH$18,7)),M139-1,4+LEFT(DZ139,1)*0.5)</f>
        <v>#N/A</v>
      </c>
      <c r="DW139" s="245" t="e">
        <f ca="1">INDEX(INDIRECT(VLOOKUP(LEFT(BO139,7),CLU!$Z$3:$AH$18,7)),M139-1,8)</f>
        <v>#N/A</v>
      </c>
      <c r="DX139" s="361" t="str">
        <f t="shared" si="262"/>
        <v xml:space="preserve"> </v>
      </c>
      <c r="DY139" s="361" t="str">
        <f t="shared" si="263"/>
        <v xml:space="preserve"> </v>
      </c>
      <c r="DZ139" s="361" t="str">
        <f t="shared" si="264"/>
        <v xml:space="preserve"> </v>
      </c>
      <c r="EA139" s="362" t="str">
        <f t="shared" si="265"/>
        <v xml:space="preserve"> </v>
      </c>
      <c r="EB139" s="624" t="str">
        <f t="shared" si="370"/>
        <v xml:space="preserve"> </v>
      </c>
      <c r="EC139" s="361" t="e">
        <f ca="1">INDEX(INDIRECT(VLOOKUP(LEFT(BO139,7),CLU!$Z$3:$AH$18,7)),M139-1,4+LEFT(DZ139,1)*0.5)</f>
        <v>#N/A</v>
      </c>
      <c r="ED139" s="362" t="str">
        <f t="shared" si="266"/>
        <v xml:space="preserve"> </v>
      </c>
      <c r="EE139" s="361" t="str">
        <f t="shared" si="267"/>
        <v xml:space="preserve"> </v>
      </c>
      <c r="EF139" s="362" t="str">
        <f>IF(L139&gt;0,IF(BR139&gt;0,IF(EE139="2P",IF(Calculation!DZ139="2P",IF(Calculation!DS139=13.75,IF(Calculation!DR139=13,Worksheet!$BD$43,IF(Calculation!DR139=37,Worksheet!$BD$44,Worksheet!$BD$45)),IF(Calculation!DS139=10,IF(Calculation!DR139=18,Worksheet!$BD$29,IF(Calculation!DR139=30,Worksheet!$BD$30,IF(Calculation!DR139=42,Worksheet!$BD$31,IF(Calculation!DR139=54,Worksheet!$BD$32,IF(Calculation!DR139=66,Worksheet!$BD$33,IF(Calculation!DR139=78,Worksheet!$BD$34,IF(Calculation!DR139=90,Worksheet!$BD$35,IF(Calculation!DR139=102,Worksheet!$BD$36,Worksheet!$BD$37)))))))),IF(Calculation!DS139=12.5,IF(Calculation!DR139=18,Worksheet!$BD$38,IF(Calculation!DR139=Worksheet!$BD$39,IF(Calculation!DR139=42,Worksheet!$BD$40,IF(Calculation!DR139=54,Worksheet!$BD$41,Worksheet!$BD$42)))),IF(Calculation!DR139=18,Worksheet!$BD$11,IF(Calculation!DR139=30,Worksheet!$BD$12,IF(Calculation!DR139=42,Worksheet!$BD$13,IF(Calculation!DR139=54,Worksheet!$BD$14,IF(Calculation!DR139=66,Worksheet!$BD$15,IF(Calculation!DR139=78,Worksheet!$BD$16,IF(Calculation!DR139=90,Worksheet!$BD$17,IF(Calculation!DR139=102,Worksheet!$BD$18,Worksheet!$BD$19))))))))))),IF(Calculation!DS139=13.75,IF(Calculation!DR139=13,Worksheet!$BD$78,IF(Calculation!DR139=37,Worksheet!$BD$79,Worksheet!$BD$80)),IF(Calculation!DS139=10,IF(Calculation!DR139=18,Worksheet!$BD$64,IF(Calculation!DR139=30,Worksheet!$BD$65,IF(Calculation!DR139=42,Worksheet!$BD$66,IF(Calculation!DR139=54,Worksheet!$BD$68,IF(Calculation!DR139=66,Worksheet!$BD$68,IF(Calculation!DR139=78,Worksheet!$BD$69,IF(Calculation!DR139=90,Worksheet!$BD$70,IF(Calculation!DR139=102,Worksheet!$BD$71,Worksheet!$BD$72)))))))),IF(Calculation!DS139=12.5,IF(Calculation!DR139=18,Worksheet!$BD$73,IF(Calculation!DR139=Worksheet!$BD$74,IF(Calculation!DR139=42,Worksheet!$BD$75,IF(Calculation!DR139=54,Worksheet!$BD$76,Worksheet!$BD$77)))),IF(Calculation!DR139=18,Worksheet!$BD$55,IF(Calculation!DR139=30,Worksheet!$BD$56,IF(Calculation!DR139=42,Worksheet!$BD$57,IF(Calculation!DR139=54,Worksheet!$BD$58,IF(Calculation!DR139=66,Worksheet!$BD$59,IF(Calculation!DR139=78,Worksheet!$BD$60,IF(Calculation!DR139=90,Worksheet!$BD$61,IF(Calculation!DR139=102,Worksheet!$BD$62,Worksheet!$BD$63)))))))))))),5),0)," ")</f>
        <v xml:space="preserve"> </v>
      </c>
      <c r="EG139" s="361" t="str">
        <f t="shared" si="268"/>
        <v xml:space="preserve"> </v>
      </c>
      <c r="EH139" s="361" t="e">
        <f ca="1">INDEX(INDIRECT(VLOOKUP(LEFT(BO139,7),CLU!$Z$3:$AH$18,7)),M139-1,3+LEFT(DZ139,1))</f>
        <v>#N/A</v>
      </c>
      <c r="EI139" s="362" t="str">
        <f t="shared" si="269"/>
        <v xml:space="preserve"> </v>
      </c>
      <c r="EJ139" s="363" t="str">
        <f t="shared" si="270"/>
        <v xml:space="preserve"> </v>
      </c>
      <c r="EK139" s="363" t="str">
        <f t="shared" si="271"/>
        <v xml:space="preserve"> </v>
      </c>
      <c r="EL139" s="363" t="str">
        <f t="shared" si="272"/>
        <v xml:space="preserve"> </v>
      </c>
      <c r="EM139" s="362" t="str">
        <f>IF(L139&gt;0,IF(BR139&gt;0,(Calculation!T139/ED139)^2,0)," ")</f>
        <v xml:space="preserve"> </v>
      </c>
      <c r="EN139" s="362" t="str">
        <f>IF(L139&gt;0,IF(O139="2 Pipe (Cooling)","N/A",IF(BR139&gt;0,(Calculation!U139/EI139)^2,0))," ")</f>
        <v xml:space="preserve"> </v>
      </c>
      <c r="EO139" s="361" t="str">
        <f t="shared" si="273"/>
        <v/>
      </c>
      <c r="EP139" s="361" t="str">
        <f t="shared" si="274"/>
        <v/>
      </c>
      <c r="EQ139" s="361" t="str">
        <f t="shared" si="275"/>
        <v/>
      </c>
      <c r="ER139" s="361" t="str">
        <f t="shared" si="276"/>
        <v/>
      </c>
      <c r="ES139" s="361" t="str">
        <f t="shared" si="277"/>
        <v/>
      </c>
      <c r="ET139" s="361" t="str">
        <f t="shared" si="278"/>
        <v/>
      </c>
      <c r="EU139" s="361" t="str">
        <f t="shared" si="279"/>
        <v/>
      </c>
      <c r="EV139" s="361" t="str">
        <f t="shared" si="280"/>
        <v/>
      </c>
      <c r="EW139" s="361" t="str">
        <f t="shared" si="281"/>
        <v/>
      </c>
      <c r="EX139" s="361" t="str">
        <f t="shared" si="371"/>
        <v>1 slot, 1 way</v>
      </c>
      <c r="EY139" s="361" t="str">
        <f t="shared" si="372"/>
        <v xml:space="preserve"> </v>
      </c>
      <c r="EZ139" s="361" t="str">
        <f t="shared" si="373"/>
        <v xml:space="preserve"> </v>
      </c>
      <c r="FA139" s="361" t="str">
        <f t="shared" si="374"/>
        <v xml:space="preserve"> </v>
      </c>
      <c r="FB139" s="361" t="str">
        <f t="shared" si="375"/>
        <v xml:space="preserve"> </v>
      </c>
      <c r="FC139" s="361"/>
      <c r="FD139" s="361" t="str">
        <f>IF(J139&gt;0,IF(Calculation!R139&lt;=70,4,IF(Calculation!R139&lt;=110,5,IF(Calculation!R139&lt;=160,6,IF(Calculation!R139&lt;=300,8,"10 EO")))),"")</f>
        <v/>
      </c>
      <c r="FE139" s="361" t="str">
        <f t="shared" si="376"/>
        <v/>
      </c>
      <c r="FF139" s="361" t="str">
        <f t="shared" si="377"/>
        <v/>
      </c>
      <c r="FG139" s="361" t="e">
        <f t="shared" si="282"/>
        <v>#N/A</v>
      </c>
      <c r="FH139" s="361">
        <f t="shared" si="283"/>
        <v>0</v>
      </c>
      <c r="FI139" s="361" t="e">
        <f t="shared" si="284"/>
        <v>#DIV/0!</v>
      </c>
      <c r="FJ139" s="361"/>
      <c r="FK139" s="356" t="e">
        <f t="shared" si="285"/>
        <v>#VALUE!</v>
      </c>
      <c r="FL139" s="361"/>
      <c r="FM139" s="361"/>
      <c r="FN139" s="362" t="str">
        <f t="shared" si="378"/>
        <v xml:space="preserve"> </v>
      </c>
      <c r="FO139" s="362" t="str">
        <f t="shared" si="379"/>
        <v xml:space="preserve"> </v>
      </c>
      <c r="FP139" s="362">
        <f t="shared" si="380"/>
        <v>0</v>
      </c>
      <c r="FQ139" s="361">
        <f t="shared" si="286"/>
        <v>0</v>
      </c>
      <c r="FR139" s="362" t="str">
        <f>IF(L139&gt;0,IF(J139="CBAL2",Worksheet!$P$67,IF(J139="CBE2-24",Worksheet!$Q$67,IF(J139="CBAM",Worksheet!$R$67,IF(J139="CBLV",Worksheet!$S$67,IF(J139="CBAB",Worksheet!$U$67,IF(J139="CBAW",Worksheet!$X$67,IF(J139="CBE2-12",Worksheet!$Y$67,IF(J139="CBAL2",Worksheet!$Z$67,"N/A"))))))))," ")</f>
        <v xml:space="preserve"> </v>
      </c>
      <c r="FS139" s="362" t="str">
        <f>IF(L139&gt;0,IF(J139="CBAL2",Worksheet!$P$68,IF(J139="CBE2-24",Worksheet!$Q$68,IF(J139="CBAM",Worksheet!$R$68,IF(J139="CBLV",Worksheet!$S$68,IF(J139="CBAB",Worksheet!$U$68,IF(J139="CBAW",Worksheet!$X$68,IF(J139="CBE2-12",Worksheet!$Y$68,IF(J139="CBAL2",Worksheet!$Z$68,"N/A"))))))))," ")</f>
        <v xml:space="preserve"> </v>
      </c>
      <c r="FT139" s="362" t="str">
        <f>IF(L139&gt;0,IF(J139="CBAL2",Worksheet!$P$69,IF(J139="CBE2-24",Worksheet!$Q$69,IF(J139="CBAM",Worksheet!$R$69,IF(J139="CBLV",Worksheet!$S$69,IF(J139="CBAB",Worksheet!$U$69,IF(J139="CBAW",Worksheet!$X$69,IF(J139="CBE2-12",Worksheet!$Y$69,IF(J139="CBAL2",Worksheet!$Z$69,"N/A"))))))))," ")</f>
        <v xml:space="preserve"> </v>
      </c>
      <c r="FU139" s="361" t="str">
        <f t="shared" si="381"/>
        <v xml:space="preserve"> </v>
      </c>
      <c r="FV139" s="362" t="str">
        <f t="shared" si="382"/>
        <v xml:space="preserve"> </v>
      </c>
      <c r="FW139" s="362" t="str">
        <f t="shared" si="383"/>
        <v xml:space="preserve"> </v>
      </c>
      <c r="FX139" s="362" t="str">
        <f t="shared" si="384"/>
        <v xml:space="preserve"> </v>
      </c>
      <c r="FY139" s="355" t="str">
        <f t="shared" si="385"/>
        <v xml:space="preserve"> </v>
      </c>
      <c r="FZ139" s="361" t="str">
        <f t="shared" si="386"/>
        <v xml:space="preserve"> </v>
      </c>
      <c r="GA139" s="347" t="str">
        <f t="shared" si="387"/>
        <v xml:space="preserve"> </v>
      </c>
      <c r="GB139" s="355" t="str">
        <f t="shared" si="388"/>
        <v xml:space="preserve"> </v>
      </c>
      <c r="GC139" s="328" t="str">
        <f t="shared" si="389"/>
        <v xml:space="preserve"> </v>
      </c>
      <c r="GD139" s="361" t="str">
        <f t="shared" si="390"/>
        <v xml:space="preserve"> </v>
      </c>
      <c r="GE139" s="347" t="str">
        <f t="shared" si="391"/>
        <v xml:space="preserve"> </v>
      </c>
      <c r="GF139" s="361" t="str">
        <f t="shared" si="392"/>
        <v xml:space="preserve"> </v>
      </c>
      <c r="GG139" s="347" t="str">
        <f t="shared" si="393"/>
        <v xml:space="preserve"> </v>
      </c>
      <c r="GH139" s="364">
        <f t="shared" si="287"/>
        <v>0</v>
      </c>
      <c r="GI139" s="362">
        <f t="shared" si="394"/>
        <v>2</v>
      </c>
      <c r="GJ139" s="433" t="e">
        <f>IF(6-COUNTBLANK(GT139:GY139)=4,MATCH(MID(BO139,9,3),CLU!$H$16:$K$16),MATCH(MID(BO139,9,3),CLU!$H$13:$M$13))</f>
        <v>#N/A</v>
      </c>
      <c r="GK139" s="433" t="e">
        <f>HLOOKUP(VALUE(BP139),CLU!$H$9:$M$10,2)</f>
        <v>#VALUE!</v>
      </c>
      <c r="GL139" s="433" t="e">
        <f ca="1">MATCH(BU139,CLU!$H$2:$V$2,1)</f>
        <v>#VALUE!</v>
      </c>
      <c r="GM139" s="433" t="e">
        <f t="shared" ca="1" si="395"/>
        <v>#VALUE!</v>
      </c>
      <c r="GN139" s="433" t="e">
        <f t="shared" ca="1" si="396"/>
        <v>#VALUE!</v>
      </c>
      <c r="GO139" s="433" t="e">
        <f t="shared" ca="1" si="397"/>
        <v>#VALUE!</v>
      </c>
      <c r="GP139" s="433" t="e">
        <f t="shared" ca="1" si="398"/>
        <v>#VALUE!</v>
      </c>
      <c r="GQ139" s="433" t="e">
        <f t="shared" ca="1" si="399"/>
        <v>#VALUE!</v>
      </c>
      <c r="GR139" s="433" t="e">
        <f ca="1">MATCH(T139,INDIRECT(VLOOKUP(CONCATENATE(LEFT(BO139,7),"-",MID(BO139,13,1)),CLU!$P$3:$Q$16,2)),1)</f>
        <v>#N/A</v>
      </c>
      <c r="GS139" s="433" t="e">
        <f ca="1">MATCH(U139,INDIRECT(VLOOKUP(CONCATENATE(LEFT(BO139,7),"-",MID(BO139,13,1)),CLU!$P$3:$Q$16,2)),1)</f>
        <v>#N/A</v>
      </c>
      <c r="GT139" s="347" t="s">
        <v>512</v>
      </c>
      <c r="GU139" s="97" t="s">
        <v>513</v>
      </c>
      <c r="GV139" s="97" t="str">
        <f t="shared" si="400"/>
        <v>M23</v>
      </c>
      <c r="GW139" s="97" t="str">
        <f t="shared" si="401"/>
        <v>M31</v>
      </c>
      <c r="GX139" s="97" t="str">
        <f t="shared" si="402"/>
        <v/>
      </c>
      <c r="GY139" s="97" t="str">
        <f t="shared" si="403"/>
        <v/>
      </c>
      <c r="GZ139" s="481"/>
      <c r="HA139" s="288"/>
      <c r="HB139" s="240"/>
      <c r="HC139" s="240"/>
      <c r="HD139" s="240"/>
      <c r="HE139" s="240"/>
      <c r="HF139" s="240"/>
      <c r="HG139" s="240"/>
      <c r="HH139" s="240"/>
      <c r="HI139" s="240"/>
      <c r="HJ139" s="240"/>
      <c r="HK139" s="240"/>
      <c r="HL139" s="240"/>
      <c r="HM139" s="240"/>
      <c r="HN139" s="240"/>
      <c r="HO139" s="240"/>
      <c r="HP139" s="240"/>
      <c r="HQ139" s="240"/>
      <c r="HR139" s="240"/>
      <c r="HS139" s="240"/>
      <c r="HT139" s="240"/>
      <c r="HU139" s="240"/>
      <c r="HV139" s="245"/>
      <c r="HW139" s="245" t="b">
        <v>1</v>
      </c>
      <c r="HX139" s="245" t="str">
        <f t="shared" si="288"/>
        <v/>
      </c>
      <c r="HY139" s="245" t="e">
        <f t="shared" si="289"/>
        <v>#DIV/0!</v>
      </c>
      <c r="HZ139" s="245" t="e">
        <f t="shared" si="290"/>
        <v>#DIV/0!</v>
      </c>
      <c r="IA139" s="245">
        <f t="shared" si="291"/>
        <v>0</v>
      </c>
      <c r="IB139" s="245"/>
      <c r="IC139" t="b">
        <f t="shared" si="292"/>
        <v>1</v>
      </c>
      <c r="ID139" s="245" t="b">
        <f t="shared" si="293"/>
        <v>1</v>
      </c>
      <c r="IE139" s="245" t="b">
        <f t="shared" si="294"/>
        <v>1</v>
      </c>
      <c r="IF139" s="245" t="b">
        <f t="shared" si="295"/>
        <v>0</v>
      </c>
      <c r="IG139" s="245" t="b">
        <f t="shared" si="296"/>
        <v>1</v>
      </c>
      <c r="IH139" s="245" t="b">
        <f t="shared" si="297"/>
        <v>1</v>
      </c>
      <c r="II139" s="245">
        <f t="shared" si="404"/>
        <v>0</v>
      </c>
      <c r="IJ139" s="245" t="e">
        <f t="shared" si="298"/>
        <v>#VALUE!</v>
      </c>
      <c r="IK139" s="245" t="e">
        <f t="shared" si="299"/>
        <v>#VALUE!</v>
      </c>
      <c r="IL139" s="245"/>
      <c r="IM139" s="245" t="e">
        <f t="shared" si="405"/>
        <v>#N/A</v>
      </c>
      <c r="IN139" s="245" t="e">
        <f t="shared" si="406"/>
        <v>#N/A</v>
      </c>
      <c r="IO139" s="245"/>
      <c r="IP139" s="245"/>
      <c r="IQ139" s="245" t="str">
        <f t="shared" si="300"/>
        <v/>
      </c>
      <c r="IR139" s="245" t="str">
        <f>IF(J139="","",VLOOKUP(J139,Worksheet!$R$4:$T$14,2))</f>
        <v/>
      </c>
      <c r="IS139" s="245"/>
      <c r="IT139" s="245">
        <f t="shared" si="301"/>
        <v>0</v>
      </c>
      <c r="IU139" s="245">
        <f t="shared" si="302"/>
        <v>0</v>
      </c>
      <c r="IV139" s="245">
        <f t="shared" si="303"/>
        <v>0</v>
      </c>
      <c r="IW139" s="245">
        <f t="shared" si="304"/>
        <v>0</v>
      </c>
      <c r="IX139" s="245">
        <f t="shared" si="407"/>
        <v>0</v>
      </c>
      <c r="IY139" s="245">
        <f t="shared" si="305"/>
        <v>0</v>
      </c>
      <c r="IZ139" s="245">
        <f t="shared" si="306"/>
        <v>0</v>
      </c>
      <c r="JA139">
        <f t="shared" si="307"/>
        <v>0</v>
      </c>
      <c r="JB139">
        <f t="shared" si="408"/>
        <v>0</v>
      </c>
      <c r="JC139">
        <f t="shared" si="308"/>
        <v>0</v>
      </c>
      <c r="JD139">
        <f t="shared" si="309"/>
        <v>0</v>
      </c>
      <c r="JE139">
        <f t="shared" si="310"/>
        <v>0</v>
      </c>
      <c r="JF139">
        <f t="shared" si="311"/>
        <v>0</v>
      </c>
      <c r="JG139">
        <f t="shared" si="312"/>
        <v>0</v>
      </c>
      <c r="JH139">
        <f t="shared" si="313"/>
        <v>0</v>
      </c>
      <c r="JI139">
        <f t="shared" si="314"/>
        <v>0</v>
      </c>
      <c r="JJ139" s="447">
        <f t="shared" si="315"/>
        <v>0</v>
      </c>
      <c r="JK139" s="447">
        <f t="shared" si="316"/>
        <v>0</v>
      </c>
      <c r="JL139">
        <f t="shared" si="317"/>
        <v>0</v>
      </c>
      <c r="JM139" s="245" t="str">
        <f>IFERROR(VLOOKUP(MATCH(BN139,#REF!,0),#REF!,7),"")</f>
        <v/>
      </c>
      <c r="JN139" t="e">
        <f>HLOOKUP(LEFT(BO139,7),Discharge_Area,MATCH(JO139,LookUps!$B$130:$B$149,1)+2)</f>
        <v>#N/A</v>
      </c>
      <c r="JO139" t="str">
        <f t="shared" si="318"/>
        <v>- S</v>
      </c>
      <c r="JP139" t="e">
        <f>HLOOKUP(LEFT(BO139,7),Discharge_Area,MATCH(JO139,LookUps!$B$130:$B$149,1)+2)</f>
        <v>#N/A</v>
      </c>
      <c r="JQ139" t="e">
        <f t="shared" si="319"/>
        <v>#N/A</v>
      </c>
      <c r="JR139" t="e">
        <f t="shared" si="320"/>
        <v>#N/A</v>
      </c>
      <c r="JS139" t="e">
        <f t="shared" si="321"/>
        <v>#N/A</v>
      </c>
      <c r="JT139" s="532" t="str">
        <f t="shared" si="322"/>
        <v xml:space="preserve"> </v>
      </c>
      <c r="JU139" s="532" t="str">
        <f t="shared" si="323"/>
        <v xml:space="preserve"> </v>
      </c>
      <c r="JV139" s="533" t="str">
        <f t="shared" si="324"/>
        <v xml:space="preserve"> </v>
      </c>
      <c r="JW139" s="534">
        <f t="shared" si="325"/>
        <v>0</v>
      </c>
      <c r="JX139" s="535" t="str">
        <f t="shared" si="409"/>
        <v xml:space="preserve"> </v>
      </c>
      <c r="JY139" s="535" t="str">
        <f t="shared" si="410"/>
        <v xml:space="preserve"> </v>
      </c>
      <c r="JZ139" s="535" t="str">
        <f t="shared" si="411"/>
        <v xml:space="preserve"> </v>
      </c>
      <c r="KA139" s="536" t="str">
        <f t="shared" si="326"/>
        <v xml:space="preserve"> </v>
      </c>
      <c r="KB139" s="535" t="e">
        <f t="shared" si="412"/>
        <v>#VALUE!</v>
      </c>
      <c r="KC139" s="535" t="str">
        <f t="shared" si="327"/>
        <v/>
      </c>
      <c r="KD139" s="537" t="str">
        <f t="shared" si="413"/>
        <v xml:space="preserve"> </v>
      </c>
      <c r="KE139" s="537" t="str">
        <f t="shared" si="414"/>
        <v xml:space="preserve"> </v>
      </c>
      <c r="KF139" s="534">
        <f t="shared" si="328"/>
        <v>0</v>
      </c>
      <c r="KG139" s="535" t="str">
        <f t="shared" si="329"/>
        <v xml:space="preserve"> </v>
      </c>
      <c r="KH139" s="535" t="str">
        <f t="shared" si="330"/>
        <v xml:space="preserve"> </v>
      </c>
      <c r="KI139" s="535" t="str">
        <f t="shared" si="331"/>
        <v xml:space="preserve"> </v>
      </c>
      <c r="KJ139" s="536" t="str">
        <f t="shared" si="332"/>
        <v xml:space="preserve"> </v>
      </c>
      <c r="KK139" s="535" t="str">
        <f t="shared" si="415"/>
        <v xml:space="preserve"> </v>
      </c>
      <c r="KL139" s="535" t="str">
        <f t="shared" si="416"/>
        <v xml:space="preserve"> </v>
      </c>
      <c r="KM139" s="537" t="str">
        <f t="shared" si="333"/>
        <v xml:space="preserve"> </v>
      </c>
      <c r="KN139" s="537" t="str">
        <f t="shared" si="417"/>
        <v xml:space="preserve"> </v>
      </c>
      <c r="KP139">
        <f t="shared" si="334"/>
        <v>0</v>
      </c>
      <c r="LA139" t="e">
        <f t="shared" si="335"/>
        <v>#VALUE!</v>
      </c>
      <c r="LB139" t="e">
        <f t="shared" si="336"/>
        <v>#VALUE!</v>
      </c>
      <c r="LC139" t="e">
        <f t="shared" si="337"/>
        <v>#VALUE!</v>
      </c>
      <c r="LD139" t="e">
        <f t="shared" si="338"/>
        <v>#VALUE!</v>
      </c>
      <c r="LE139" t="e">
        <f t="shared" si="418"/>
        <v>#VALUE!</v>
      </c>
      <c r="LF139">
        <f t="shared" si="339"/>
        <v>0</v>
      </c>
      <c r="LG139" t="e">
        <f t="shared" si="419"/>
        <v>#VALUE!</v>
      </c>
      <c r="LH139" t="str">
        <f t="shared" si="340"/>
        <v xml:space="preserve"> </v>
      </c>
      <c r="LI139">
        <f t="shared" si="420"/>
        <v>1</v>
      </c>
    </row>
    <row r="140" spans="2:321" ht="15" customHeight="1">
      <c r="B140" s="311"/>
      <c r="C140" s="311"/>
      <c r="D140" s="312"/>
      <c r="E140" s="311"/>
      <c r="F140" s="312"/>
      <c r="G140" s="311"/>
      <c r="H140" s="311"/>
      <c r="I140" s="37"/>
      <c r="J140" s="311"/>
      <c r="K140" s="305" t="str">
        <f t="shared" si="341"/>
        <v/>
      </c>
      <c r="L140" s="313"/>
      <c r="M140" s="312"/>
      <c r="N140" s="311"/>
      <c r="O140" s="312"/>
      <c r="P140" s="311"/>
      <c r="Q140" s="305" t="str">
        <f t="shared" si="342"/>
        <v/>
      </c>
      <c r="R140" s="314"/>
      <c r="S140" s="450" t="str">
        <f t="shared" si="225"/>
        <v/>
      </c>
      <c r="T140" s="315"/>
      <c r="U140" s="315"/>
      <c r="W140" s="149" t="str">
        <f t="shared" si="226"/>
        <v xml:space="preserve"> </v>
      </c>
      <c r="X140" s="243" t="str">
        <f t="shared" si="227"/>
        <v xml:space="preserve"> </v>
      </c>
      <c r="Y140" s="150" t="str">
        <f t="shared" si="228"/>
        <v/>
      </c>
      <c r="Z140" s="149" t="str">
        <f t="shared" si="229"/>
        <v xml:space="preserve"> </v>
      </c>
      <c r="AA140" s="98" t="str">
        <f t="shared" si="230"/>
        <v xml:space="preserve"> </v>
      </c>
      <c r="AB140" s="153" t="str">
        <f t="shared" si="231"/>
        <v xml:space="preserve"> </v>
      </c>
      <c r="AC140" s="153" t="str">
        <f t="shared" si="232"/>
        <v xml:space="preserve"> </v>
      </c>
      <c r="AD140" s="148" t="str">
        <f t="shared" si="233"/>
        <v/>
      </c>
      <c r="AE140" s="149" t="str">
        <f t="shared" si="234"/>
        <v/>
      </c>
      <c r="AF140" s="151" t="str">
        <f t="shared" si="235"/>
        <v xml:space="preserve"> </v>
      </c>
      <c r="AG140" s="153" t="str">
        <f t="shared" si="236"/>
        <v xml:space="preserve"> </v>
      </c>
      <c r="AH140" s="98" t="str">
        <f t="shared" si="237"/>
        <v xml:space="preserve"> </v>
      </c>
      <c r="AI140" s="149" t="str">
        <f t="shared" si="238"/>
        <v xml:space="preserve"> </v>
      </c>
      <c r="AK140" s="144" t="str">
        <f t="shared" si="239"/>
        <v xml:space="preserve"> </v>
      </c>
      <c r="AL140" s="144"/>
      <c r="AM140" s="243" t="str">
        <f t="shared" si="240"/>
        <v xml:space="preserve"> </v>
      </c>
      <c r="AN140" s="149" t="str">
        <f t="shared" si="343"/>
        <v xml:space="preserve"> </v>
      </c>
      <c r="AO140" s="144" t="str">
        <f>IF(JB140&gt;0,IF(GI140=10,-R140*1.085*(Calculation!$F$6-Calculation!$F$13)*$S$14," "),"")</f>
        <v/>
      </c>
      <c r="AP140" s="144" t="str">
        <f t="shared" si="241"/>
        <v/>
      </c>
      <c r="AQ140" s="56" t="str">
        <f t="shared" si="242"/>
        <v/>
      </c>
      <c r="AR140" s="144" t="str">
        <f t="shared" si="243"/>
        <v/>
      </c>
      <c r="AS140" s="176" t="str">
        <f t="shared" si="244"/>
        <v/>
      </c>
      <c r="AT140" s="176" t="str">
        <f t="shared" si="344"/>
        <v xml:space="preserve"> </v>
      </c>
      <c r="AU140" s="176" t="str">
        <f t="shared" si="245"/>
        <v/>
      </c>
      <c r="AV140" s="177" t="str">
        <f t="shared" si="246"/>
        <v xml:space="preserve"> </v>
      </c>
      <c r="AW140" s="144" t="str">
        <f t="shared" si="247"/>
        <v xml:space="preserve"> </v>
      </c>
      <c r="AX140" s="144" t="str">
        <f t="shared" si="248"/>
        <v xml:space="preserve"> </v>
      </c>
      <c r="AY140" s="152" t="str">
        <f t="shared" si="249"/>
        <v xml:space="preserve"> </v>
      </c>
      <c r="AZ140" s="246" t="str">
        <f t="shared" si="250"/>
        <v/>
      </c>
      <c r="BA140" s="176" t="str">
        <f t="shared" si="251"/>
        <v xml:space="preserve"> </v>
      </c>
      <c r="BB140" s="176" t="str">
        <f t="shared" si="252"/>
        <v xml:space="preserve"> </v>
      </c>
      <c r="BC140" s="195"/>
      <c r="BD140" s="316"/>
      <c r="BE140" s="317"/>
      <c r="BF140" s="318"/>
      <c r="BG140" s="318"/>
      <c r="BH140" s="144" t="str">
        <f t="shared" si="421"/>
        <v xml:space="preserve"> </v>
      </c>
      <c r="BI140" s="176" t="str">
        <f t="shared" si="253"/>
        <v/>
      </c>
      <c r="BJ140" s="144" t="str">
        <f t="shared" si="422"/>
        <v/>
      </c>
      <c r="BK140" s="246" t="str">
        <f t="shared" si="254"/>
        <v/>
      </c>
      <c r="BL140" s="144" t="str">
        <f t="shared" si="423"/>
        <v/>
      </c>
      <c r="BM140" s="246" t="str">
        <f t="shared" si="255"/>
        <v/>
      </c>
      <c r="BN140" s="337" t="str">
        <f t="shared" si="345"/>
        <v/>
      </c>
      <c r="BO140" s="371" t="str">
        <f t="shared" si="346"/>
        <v/>
      </c>
      <c r="BP140" s="328" t="str">
        <f t="shared" si="424"/>
        <v xml:space="preserve"> </v>
      </c>
      <c r="BQ140" s="347" t="str">
        <f t="shared" si="347"/>
        <v xml:space="preserve"> </v>
      </c>
      <c r="BR140" s="353" t="str">
        <f t="shared" si="348"/>
        <v xml:space="preserve"> </v>
      </c>
      <c r="BS140" s="626" t="str">
        <f>IF(L140&gt;0,IF(Calculation!P140="M13",BR140*3.1416*(0.134^2)/(4*144),IF(Calculation!P140="M17",BR140*3.1416*(0.165^2)/(4*144),IF(Calculation!P140="M20",BR140*3.1416*(0.198^2)/(4*144),IF(Calculation!P140="M23",BR140*3.1416*(0.228^2)/(4*144),IF(Calculation!P140="M27",BR140*3.1416*(0.269^2)/(4*144),BR140*3.1416*(0.307^2)/(4*144))))))," ")</f>
        <v xml:space="preserve"> </v>
      </c>
      <c r="BT140" s="353" t="str">
        <f>IF(L140&gt;0,IF(BS140&gt;0,R140/Calculation!BS140,0)," ")</f>
        <v xml:space="preserve"> </v>
      </c>
      <c r="BU140" s="438" t="e">
        <f t="shared" ca="1" si="256"/>
        <v>#VALUE!</v>
      </c>
      <c r="BV140" s="449" t="e">
        <f ca="1">INDEX(INDIRECT(VLOOKUP(LEFT(BO140,7),CLU!$Z$3:$AH$18,2)),GN140,GR140)</f>
        <v>#N/A</v>
      </c>
      <c r="BW140" s="433" t="e">
        <f ca="1">INDEX(INDIRECT(VLOOKUP(LEFT(BO140,7),CLU!$Z$3:$AH$18,3)),GN140,GR140)</f>
        <v>#N/A</v>
      </c>
      <c r="BX140" s="433" t="e">
        <f ca="1">INDEX(INDIRECT(VLOOKUP(LEFT(BO140,7),CLU!$Z$3:$AH$18,4)),GN140,GR140)</f>
        <v>#N/A</v>
      </c>
      <c r="BY140" s="433" t="e">
        <f ca="1">INDEX(INDIRECT(VLOOKUP(LEFT(BO140,7),CLU!$Z$3:$AH$18,9)),((M140-2)*(6-COUNTBLANK(GT140:GY140)))+GJ140)</f>
        <v>#N/A</v>
      </c>
      <c r="BZ140" s="426" t="e">
        <f t="shared" ca="1" si="349"/>
        <v>#N/A</v>
      </c>
      <c r="CA140" s="424" t="e">
        <f t="shared" ca="1" si="350"/>
        <v>#N/A</v>
      </c>
      <c r="CB140" s="429" t="e">
        <f ca="1">INDEX(INDIRECT(VLOOKUP(LEFT(BO140,7),CLU!$Z$3:$AH$18,2)),GN140,GS140)</f>
        <v>#N/A</v>
      </c>
      <c r="CC140" s="342" t="e">
        <f ca="1">INDEX(INDIRECT(VLOOKUP(LEFT(BO140,7),CLU!$Z$3:$AH$18,3)),GN140,GS140)</f>
        <v>#N/A</v>
      </c>
      <c r="CD140" s="342" t="e">
        <f ca="1">INDEX(INDIRECT(VLOOKUP(LEFT(BO140,7),CLU!$Z$3:$AH$18,4)),GN140,GS140)</f>
        <v>#N/A</v>
      </c>
      <c r="CE140" s="426" t="e">
        <f t="shared" ca="1" si="351"/>
        <v>#N/A</v>
      </c>
      <c r="CF140" s="440">
        <f t="shared" si="352"/>
        <v>0</v>
      </c>
      <c r="CG140" s="431" t="e">
        <f ca="1">INDEX(INDIRECT(VLOOKUP(LEFT(BO140,7),CLU!$Z$3:$AH$18,2)),GQ140,GR140)</f>
        <v>#N/A</v>
      </c>
      <c r="CH140" s="431" t="e">
        <f ca="1">INDEX(INDIRECT(VLOOKUP(LEFT(BO140,7),CLU!$Z$3:$AH$18,3)),GQ140,GR140)</f>
        <v>#N/A</v>
      </c>
      <c r="CI140" s="431" t="e">
        <f ca="1">INDEX(INDIRECT(VLOOKUP(LEFT(BO140,7),CLU!$Z$3:$AH$18,4)),GQ140,GR140)</f>
        <v>#N/A</v>
      </c>
      <c r="CJ140" s="448" t="e">
        <f t="shared" ca="1" si="353"/>
        <v>#N/A</v>
      </c>
      <c r="CK140" s="431" t="e">
        <f t="shared" ca="1" si="354"/>
        <v>#N/A</v>
      </c>
      <c r="CL140" s="440" t="e">
        <f t="shared" ca="1" si="355"/>
        <v>#N/A</v>
      </c>
      <c r="CM140" s="431" t="e">
        <f ca="1">INDEX(INDIRECT(VLOOKUP(LEFT(BO140,7),CLU!$Z$3:$AH$18,2)),GQ140,GS140)</f>
        <v>#N/A</v>
      </c>
      <c r="CN140" s="431" t="e">
        <f ca="1">INDEX(INDIRECT(VLOOKUP(LEFT(BO140,7),CLU!$Z$3:$AH$18,3)),GQ140,GS140)</f>
        <v>#N/A</v>
      </c>
      <c r="CO140" s="431" t="e">
        <f ca="1">INDEX(INDIRECT(VLOOKUP(LEFT(BO140,7),CLU!$Z$3:$AH$18,4)),GQ140,GS140)</f>
        <v>#N/A</v>
      </c>
      <c r="CP140" s="431" t="e">
        <f t="shared" ca="1" si="356"/>
        <v>#N/A</v>
      </c>
      <c r="CQ140" s="440">
        <f t="shared" si="357"/>
        <v>0</v>
      </c>
      <c r="CR140" s="51" t="e">
        <f t="shared" ca="1" si="358"/>
        <v>#N/A</v>
      </c>
      <c r="CS140" s="439" t="e">
        <f t="shared" ca="1" si="359"/>
        <v>#VALUE!</v>
      </c>
      <c r="CT140" s="51" t="e">
        <f t="shared" ca="1" si="360"/>
        <v>#VALUE!</v>
      </c>
      <c r="CU140" s="10"/>
      <c r="CV140" s="51" t="e">
        <f t="shared" ca="1" si="257"/>
        <v>#VALUE!</v>
      </c>
      <c r="CW140" s="51">
        <f t="shared" si="361"/>
        <v>0</v>
      </c>
      <c r="CX140" s="439" t="e">
        <f t="shared" ca="1" si="362"/>
        <v>#VALUE!</v>
      </c>
      <c r="CY140" s="51" t="e">
        <f t="shared" ca="1" si="363"/>
        <v>#VALUE!</v>
      </c>
      <c r="CZ140" s="10"/>
      <c r="DA140" s="51" t="e">
        <f t="shared" ca="1" si="364"/>
        <v>#VALUE!</v>
      </c>
      <c r="DB140" s="347" t="e">
        <f ca="1">INDEX(INDIRECT(VLOOKUP(LEFT(BO140,7),CLU!$Z$3:$AI$18,10)),((M140-2)*(6-COUNTBLANK(GT140:GY140)))+GJ140)*LI140</f>
        <v>#N/A</v>
      </c>
      <c r="DC140" s="347" t="str">
        <f>IF(L140&gt;0,((R140/Worksheet!$I$15)/DB140)^2," ")</f>
        <v xml:space="preserve"> </v>
      </c>
      <c r="DD140" s="602" t="str">
        <f t="shared" si="365"/>
        <v xml:space="preserve"> </v>
      </c>
      <c r="DE140" s="347" t="str">
        <f t="shared" si="258"/>
        <v xml:space="preserve"> </v>
      </c>
      <c r="DF140" s="356" t="e">
        <f ca="1">INDEX(INDIRECT(VLOOKUP(LEFT(BO140,7),CLU!$Z$3:$AH$18,8)),((M140-2)*(6-COUNTBLANK(GT140:GY140)))+GJ140)</f>
        <v>#N/A</v>
      </c>
      <c r="DG140" s="347" t="str">
        <f t="shared" si="259"/>
        <v xml:space="preserve"> </v>
      </c>
      <c r="DH140" s="357" t="str">
        <f t="shared" si="260"/>
        <v xml:space="preserve"> </v>
      </c>
      <c r="DI140" s="355" t="str">
        <f t="shared" si="261"/>
        <v xml:space="preserve"> </v>
      </c>
      <c r="DJ140" s="245" t="e">
        <f ca="1">INDEX(INDIRECT(VLOOKUP(LEFT(BO140,7),CLU!$Z$3:$AH$18,5)),GL140,GK140)</f>
        <v>#N/A</v>
      </c>
      <c r="DK140" s="245" t="e">
        <f ca="1">INDEX(INDIRECT(VLOOKUP(LEFT(BO140,7),CLU!$Z$3:$AH$18,6)),GL140,GK140)</f>
        <v>#N/A</v>
      </c>
      <c r="DL140" s="355">
        <f>(Calculation!R140*0.69143*(Calculation!$BQ$8-Calculation!$F$8))*$S$14</f>
        <v>0</v>
      </c>
      <c r="DM140" s="359" t="e">
        <f t="shared" si="366"/>
        <v>#VALUE!</v>
      </c>
      <c r="DN140" s="611">
        <f t="shared" si="367"/>
        <v>0</v>
      </c>
      <c r="DO140" s="359">
        <f t="shared" si="368"/>
        <v>100</v>
      </c>
      <c r="DP140" s="359">
        <f t="shared" si="369"/>
        <v>0</v>
      </c>
      <c r="DQ140" s="360"/>
      <c r="DR140" s="245" t="e">
        <f ca="1">INDEX(INDIRECT(VLOOKUP(LEFT(BO140,7),CLU!$Z$3:$AH$18,7)),M140-1,1)</f>
        <v>#N/A</v>
      </c>
      <c r="DS140" s="245" t="e">
        <f ca="1">INDEX(INDIRECT(VLOOKUP(LEFT(BO140,7),CLU!$Z$3:$AH$18,7)),M140-1,2)</f>
        <v>#N/A</v>
      </c>
      <c r="DT140" s="245" t="e">
        <f ca="1">INDEX(INDIRECT(VLOOKUP(LEFT(BO140,7),CLU!$Z$3:$AH$18,7)),M140-1,3)</f>
        <v>#N/A</v>
      </c>
      <c r="DU140" s="245" t="e">
        <f ca="1">INDEX(INDIRECT(VLOOKUP(LEFT(BO140,7),CLU!$Z$3:$AH$18,7)),M140-1,4)</f>
        <v>#N/A</v>
      </c>
      <c r="DV140" s="361" t="e">
        <f ca="1">INDEX(INDIRECT(VLOOKUP(LEFT(BO140,7),CLU!$Z$3:$AH$18,7)),M140-1,4+LEFT(DZ140,1)*0.5)</f>
        <v>#N/A</v>
      </c>
      <c r="DW140" s="245" t="e">
        <f ca="1">INDEX(INDIRECT(VLOOKUP(LEFT(BO140,7),CLU!$Z$3:$AH$18,7)),M140-1,8)</f>
        <v>#N/A</v>
      </c>
      <c r="DX140" s="361" t="str">
        <f t="shared" si="262"/>
        <v xml:space="preserve"> </v>
      </c>
      <c r="DY140" s="361" t="str">
        <f t="shared" si="263"/>
        <v xml:space="preserve"> </v>
      </c>
      <c r="DZ140" s="361" t="str">
        <f t="shared" si="264"/>
        <v xml:space="preserve"> </v>
      </c>
      <c r="EA140" s="362" t="str">
        <f t="shared" si="265"/>
        <v xml:space="preserve"> </v>
      </c>
      <c r="EB140" s="624" t="str">
        <f t="shared" si="370"/>
        <v xml:space="preserve"> </v>
      </c>
      <c r="EC140" s="361" t="e">
        <f ca="1">INDEX(INDIRECT(VLOOKUP(LEFT(BO140,7),CLU!$Z$3:$AH$18,7)),M140-1,4+LEFT(DZ140,1)*0.5)</f>
        <v>#N/A</v>
      </c>
      <c r="ED140" s="362" t="str">
        <f t="shared" si="266"/>
        <v xml:space="preserve"> </v>
      </c>
      <c r="EE140" s="361" t="str">
        <f t="shared" si="267"/>
        <v xml:space="preserve"> </v>
      </c>
      <c r="EF140" s="362" t="str">
        <f>IF(L140&gt;0,IF(BR140&gt;0,IF(EE140="2P",IF(Calculation!DZ140="2P",IF(Calculation!DS140=13.75,IF(Calculation!DR140=13,Worksheet!$BD$43,IF(Calculation!DR140=37,Worksheet!$BD$44,Worksheet!$BD$45)),IF(Calculation!DS140=10,IF(Calculation!DR140=18,Worksheet!$BD$29,IF(Calculation!DR140=30,Worksheet!$BD$30,IF(Calculation!DR140=42,Worksheet!$BD$31,IF(Calculation!DR140=54,Worksheet!$BD$32,IF(Calculation!DR140=66,Worksheet!$BD$33,IF(Calculation!DR140=78,Worksheet!$BD$34,IF(Calculation!DR140=90,Worksheet!$BD$35,IF(Calculation!DR140=102,Worksheet!$BD$36,Worksheet!$BD$37)))))))),IF(Calculation!DS140=12.5,IF(Calculation!DR140=18,Worksheet!$BD$38,IF(Calculation!DR140=Worksheet!$BD$39,IF(Calculation!DR140=42,Worksheet!$BD$40,IF(Calculation!DR140=54,Worksheet!$BD$41,Worksheet!$BD$42)))),IF(Calculation!DR140=18,Worksheet!$BD$11,IF(Calculation!DR140=30,Worksheet!$BD$12,IF(Calculation!DR140=42,Worksheet!$BD$13,IF(Calculation!DR140=54,Worksheet!$BD$14,IF(Calculation!DR140=66,Worksheet!$BD$15,IF(Calculation!DR140=78,Worksheet!$BD$16,IF(Calculation!DR140=90,Worksheet!$BD$17,IF(Calculation!DR140=102,Worksheet!$BD$18,Worksheet!$BD$19))))))))))),IF(Calculation!DS140=13.75,IF(Calculation!DR140=13,Worksheet!$BD$78,IF(Calculation!DR140=37,Worksheet!$BD$79,Worksheet!$BD$80)),IF(Calculation!DS140=10,IF(Calculation!DR140=18,Worksheet!$BD$64,IF(Calculation!DR140=30,Worksheet!$BD$65,IF(Calculation!DR140=42,Worksheet!$BD$66,IF(Calculation!DR140=54,Worksheet!$BD$68,IF(Calculation!DR140=66,Worksheet!$BD$68,IF(Calculation!DR140=78,Worksheet!$BD$69,IF(Calculation!DR140=90,Worksheet!$BD$70,IF(Calculation!DR140=102,Worksheet!$BD$71,Worksheet!$BD$72)))))))),IF(Calculation!DS140=12.5,IF(Calculation!DR140=18,Worksheet!$BD$73,IF(Calculation!DR140=Worksheet!$BD$74,IF(Calculation!DR140=42,Worksheet!$BD$75,IF(Calculation!DR140=54,Worksheet!$BD$76,Worksheet!$BD$77)))),IF(Calculation!DR140=18,Worksheet!$BD$55,IF(Calculation!DR140=30,Worksheet!$BD$56,IF(Calculation!DR140=42,Worksheet!$BD$57,IF(Calculation!DR140=54,Worksheet!$BD$58,IF(Calculation!DR140=66,Worksheet!$BD$59,IF(Calculation!DR140=78,Worksheet!$BD$60,IF(Calculation!DR140=90,Worksheet!$BD$61,IF(Calculation!DR140=102,Worksheet!$BD$62,Worksheet!$BD$63)))))))))))),5),0)," ")</f>
        <v xml:space="preserve"> </v>
      </c>
      <c r="EG140" s="361" t="str">
        <f t="shared" si="268"/>
        <v xml:space="preserve"> </v>
      </c>
      <c r="EH140" s="361" t="e">
        <f ca="1">INDEX(INDIRECT(VLOOKUP(LEFT(BO140,7),CLU!$Z$3:$AH$18,7)),M140-1,3+LEFT(DZ140,1))</f>
        <v>#N/A</v>
      </c>
      <c r="EI140" s="362" t="str">
        <f t="shared" si="269"/>
        <v xml:space="preserve"> </v>
      </c>
      <c r="EJ140" s="363" t="str">
        <f t="shared" si="270"/>
        <v xml:space="preserve"> </v>
      </c>
      <c r="EK140" s="363" t="str">
        <f t="shared" si="271"/>
        <v xml:space="preserve"> </v>
      </c>
      <c r="EL140" s="363" t="str">
        <f t="shared" si="272"/>
        <v xml:space="preserve"> </v>
      </c>
      <c r="EM140" s="362" t="str">
        <f>IF(L140&gt;0,IF(BR140&gt;0,(Calculation!T140/ED140)^2,0)," ")</f>
        <v xml:space="preserve"> </v>
      </c>
      <c r="EN140" s="362" t="str">
        <f>IF(L140&gt;0,IF(O140="2 Pipe (Cooling)","N/A",IF(BR140&gt;0,(Calculation!U140/EI140)^2,0))," ")</f>
        <v xml:space="preserve"> </v>
      </c>
      <c r="EO140" s="361" t="str">
        <f t="shared" si="273"/>
        <v/>
      </c>
      <c r="EP140" s="361" t="str">
        <f t="shared" si="274"/>
        <v/>
      </c>
      <c r="EQ140" s="361" t="str">
        <f t="shared" si="275"/>
        <v/>
      </c>
      <c r="ER140" s="361" t="str">
        <f t="shared" si="276"/>
        <v/>
      </c>
      <c r="ES140" s="361" t="str">
        <f t="shared" si="277"/>
        <v/>
      </c>
      <c r="ET140" s="361" t="str">
        <f t="shared" si="278"/>
        <v/>
      </c>
      <c r="EU140" s="361" t="str">
        <f t="shared" si="279"/>
        <v/>
      </c>
      <c r="EV140" s="361" t="str">
        <f t="shared" si="280"/>
        <v/>
      </c>
      <c r="EW140" s="361" t="str">
        <f t="shared" si="281"/>
        <v/>
      </c>
      <c r="EX140" s="361" t="str">
        <f t="shared" si="371"/>
        <v>1 slot, 1 way</v>
      </c>
      <c r="EY140" s="361" t="str">
        <f t="shared" si="372"/>
        <v xml:space="preserve"> </v>
      </c>
      <c r="EZ140" s="361" t="str">
        <f t="shared" si="373"/>
        <v xml:space="preserve"> </v>
      </c>
      <c r="FA140" s="361" t="str">
        <f t="shared" si="374"/>
        <v xml:space="preserve"> </v>
      </c>
      <c r="FB140" s="361" t="str">
        <f t="shared" si="375"/>
        <v xml:space="preserve"> </v>
      </c>
      <c r="FC140" s="361"/>
      <c r="FD140" s="361" t="str">
        <f>IF(J140&gt;0,IF(Calculation!R140&lt;=70,4,IF(Calculation!R140&lt;=110,5,IF(Calculation!R140&lt;=160,6,IF(Calculation!R140&lt;=300,8,"10 EO")))),"")</f>
        <v/>
      </c>
      <c r="FE140" s="361" t="str">
        <f t="shared" si="376"/>
        <v/>
      </c>
      <c r="FF140" s="361" t="str">
        <f t="shared" si="377"/>
        <v/>
      </c>
      <c r="FG140" s="361" t="e">
        <f t="shared" si="282"/>
        <v>#N/A</v>
      </c>
      <c r="FH140" s="361">
        <f t="shared" si="283"/>
        <v>0</v>
      </c>
      <c r="FI140" s="361" t="e">
        <f t="shared" si="284"/>
        <v>#DIV/0!</v>
      </c>
      <c r="FJ140" s="361"/>
      <c r="FK140" s="356" t="e">
        <f t="shared" si="285"/>
        <v>#VALUE!</v>
      </c>
      <c r="FL140" s="361"/>
      <c r="FM140" s="361"/>
      <c r="FN140" s="362" t="str">
        <f t="shared" si="378"/>
        <v xml:space="preserve"> </v>
      </c>
      <c r="FO140" s="362" t="str">
        <f t="shared" si="379"/>
        <v xml:space="preserve"> </v>
      </c>
      <c r="FP140" s="362">
        <f t="shared" si="380"/>
        <v>0</v>
      </c>
      <c r="FQ140" s="361">
        <f t="shared" si="286"/>
        <v>0</v>
      </c>
      <c r="FR140" s="362" t="str">
        <f>IF(L140&gt;0,IF(J140="CBAL2",Worksheet!$P$67,IF(J140="CBE2-24",Worksheet!$Q$67,IF(J140="CBAM",Worksheet!$R$67,IF(J140="CBLV",Worksheet!$S$67,IF(J140="CBAB",Worksheet!$U$67,IF(J140="CBAW",Worksheet!$X$67,IF(J140="CBE2-12",Worksheet!$Y$67,IF(J140="CBAL2",Worksheet!$Z$67,"N/A"))))))))," ")</f>
        <v xml:space="preserve"> </v>
      </c>
      <c r="FS140" s="362" t="str">
        <f>IF(L140&gt;0,IF(J140="CBAL2",Worksheet!$P$68,IF(J140="CBE2-24",Worksheet!$Q$68,IF(J140="CBAM",Worksheet!$R$68,IF(J140="CBLV",Worksheet!$S$68,IF(J140="CBAB",Worksheet!$U$68,IF(J140="CBAW",Worksheet!$X$68,IF(J140="CBE2-12",Worksheet!$Y$68,IF(J140="CBAL2",Worksheet!$Z$68,"N/A"))))))))," ")</f>
        <v xml:space="preserve"> </v>
      </c>
      <c r="FT140" s="362" t="str">
        <f>IF(L140&gt;0,IF(J140="CBAL2",Worksheet!$P$69,IF(J140="CBE2-24",Worksheet!$Q$69,IF(J140="CBAM",Worksheet!$R$69,IF(J140="CBLV",Worksheet!$S$69,IF(J140="CBAB",Worksheet!$U$69,IF(J140="CBAW",Worksheet!$X$69,IF(J140="CBE2-12",Worksheet!$Y$69,IF(J140="CBAL2",Worksheet!$Z$69,"N/A"))))))))," ")</f>
        <v xml:space="preserve"> </v>
      </c>
      <c r="FU140" s="361" t="str">
        <f t="shared" si="381"/>
        <v xml:space="preserve"> </v>
      </c>
      <c r="FV140" s="362" t="str">
        <f t="shared" si="382"/>
        <v xml:space="preserve"> </v>
      </c>
      <c r="FW140" s="362" t="str">
        <f t="shared" si="383"/>
        <v xml:space="preserve"> </v>
      </c>
      <c r="FX140" s="362" t="str">
        <f t="shared" si="384"/>
        <v xml:space="preserve"> </v>
      </c>
      <c r="FY140" s="355" t="str">
        <f t="shared" si="385"/>
        <v xml:space="preserve"> </v>
      </c>
      <c r="FZ140" s="361" t="str">
        <f t="shared" si="386"/>
        <v xml:space="preserve"> </v>
      </c>
      <c r="GA140" s="347" t="str">
        <f t="shared" si="387"/>
        <v xml:space="preserve"> </v>
      </c>
      <c r="GB140" s="355" t="str">
        <f t="shared" si="388"/>
        <v xml:space="preserve"> </v>
      </c>
      <c r="GC140" s="328" t="str">
        <f t="shared" si="389"/>
        <v xml:space="preserve"> </v>
      </c>
      <c r="GD140" s="361" t="str">
        <f t="shared" si="390"/>
        <v xml:space="preserve"> </v>
      </c>
      <c r="GE140" s="347" t="str">
        <f t="shared" si="391"/>
        <v xml:space="preserve"> </v>
      </c>
      <c r="GF140" s="361" t="str">
        <f t="shared" si="392"/>
        <v xml:space="preserve"> </v>
      </c>
      <c r="GG140" s="347" t="str">
        <f t="shared" si="393"/>
        <v xml:space="preserve"> </v>
      </c>
      <c r="GH140" s="364">
        <f t="shared" si="287"/>
        <v>0</v>
      </c>
      <c r="GI140" s="362">
        <f t="shared" si="394"/>
        <v>2</v>
      </c>
      <c r="GJ140" s="433" t="e">
        <f>IF(6-COUNTBLANK(GT140:GY140)=4,MATCH(MID(BO140,9,3),CLU!$H$16:$K$16),MATCH(MID(BO140,9,3),CLU!$H$13:$M$13))</f>
        <v>#N/A</v>
      </c>
      <c r="GK140" s="433" t="e">
        <f>HLOOKUP(VALUE(BP140),CLU!$H$9:$M$10,2)</f>
        <v>#VALUE!</v>
      </c>
      <c r="GL140" s="433" t="e">
        <f ca="1">MATCH(BU140,CLU!$H$2:$V$2,1)</f>
        <v>#VALUE!</v>
      </c>
      <c r="GM140" s="433" t="e">
        <f t="shared" ca="1" si="395"/>
        <v>#VALUE!</v>
      </c>
      <c r="GN140" s="433" t="e">
        <f t="shared" ca="1" si="396"/>
        <v>#VALUE!</v>
      </c>
      <c r="GO140" s="433" t="e">
        <f t="shared" ca="1" si="397"/>
        <v>#VALUE!</v>
      </c>
      <c r="GP140" s="433" t="e">
        <f t="shared" ca="1" si="398"/>
        <v>#VALUE!</v>
      </c>
      <c r="GQ140" s="433" t="e">
        <f t="shared" ca="1" si="399"/>
        <v>#VALUE!</v>
      </c>
      <c r="GR140" s="433" t="e">
        <f ca="1">MATCH(T140,INDIRECT(VLOOKUP(CONCATENATE(LEFT(BO140,7),"-",MID(BO140,13,1)),CLU!$P$3:$Q$16,2)),1)</f>
        <v>#N/A</v>
      </c>
      <c r="GS140" s="433" t="e">
        <f ca="1">MATCH(U140,INDIRECT(VLOOKUP(CONCATENATE(LEFT(BO140,7),"-",MID(BO140,13,1)),CLU!$P$3:$Q$16,2)),1)</f>
        <v>#N/A</v>
      </c>
      <c r="GT140" s="347" t="s">
        <v>512</v>
      </c>
      <c r="GU140" s="97" t="s">
        <v>513</v>
      </c>
      <c r="GV140" s="97" t="str">
        <f t="shared" si="400"/>
        <v>M23</v>
      </c>
      <c r="GW140" s="97" t="str">
        <f t="shared" si="401"/>
        <v>M31</v>
      </c>
      <c r="GX140" s="97" t="str">
        <f t="shared" si="402"/>
        <v/>
      </c>
      <c r="GY140" s="97" t="str">
        <f t="shared" si="403"/>
        <v/>
      </c>
      <c r="GZ140" s="481"/>
      <c r="HA140" s="288"/>
      <c r="HB140" s="240"/>
      <c r="HC140" s="240"/>
      <c r="HD140" s="240"/>
      <c r="HE140" s="240"/>
      <c r="HF140" s="240"/>
      <c r="HG140" s="240"/>
      <c r="HH140" s="240"/>
      <c r="HI140" s="240"/>
      <c r="HJ140" s="240"/>
      <c r="HK140" s="240"/>
      <c r="HL140" s="240"/>
      <c r="HM140" s="240"/>
      <c r="HN140" s="240"/>
      <c r="HO140" s="240"/>
      <c r="HP140" s="240"/>
      <c r="HQ140" s="240"/>
      <c r="HR140" s="240"/>
      <c r="HS140" s="240"/>
      <c r="HT140" s="240"/>
      <c r="HU140" s="240"/>
      <c r="HV140" s="245"/>
      <c r="HW140" s="245" t="b">
        <v>1</v>
      </c>
      <c r="HX140" s="245" t="str">
        <f t="shared" si="288"/>
        <v/>
      </c>
      <c r="HY140" s="245" t="e">
        <f t="shared" si="289"/>
        <v>#DIV/0!</v>
      </c>
      <c r="HZ140" s="245" t="e">
        <f t="shared" si="290"/>
        <v>#DIV/0!</v>
      </c>
      <c r="IA140" s="245">
        <f t="shared" si="291"/>
        <v>0</v>
      </c>
      <c r="IB140" s="245"/>
      <c r="IC140" t="b">
        <f t="shared" si="292"/>
        <v>1</v>
      </c>
      <c r="ID140" s="245" t="b">
        <f t="shared" si="293"/>
        <v>1</v>
      </c>
      <c r="IE140" s="245" t="b">
        <f t="shared" si="294"/>
        <v>1</v>
      </c>
      <c r="IF140" s="245" t="b">
        <f t="shared" si="295"/>
        <v>0</v>
      </c>
      <c r="IG140" s="245" t="b">
        <f t="shared" si="296"/>
        <v>1</v>
      </c>
      <c r="IH140" s="245" t="b">
        <f t="shared" si="297"/>
        <v>1</v>
      </c>
      <c r="II140" s="245">
        <f t="shared" si="404"/>
        <v>0</v>
      </c>
      <c r="IJ140" s="245" t="e">
        <f t="shared" si="298"/>
        <v>#VALUE!</v>
      </c>
      <c r="IK140" s="245" t="e">
        <f t="shared" si="299"/>
        <v>#VALUE!</v>
      </c>
      <c r="IL140" s="245"/>
      <c r="IM140" s="245" t="e">
        <f t="shared" si="405"/>
        <v>#N/A</v>
      </c>
      <c r="IN140" s="245" t="e">
        <f t="shared" si="406"/>
        <v>#N/A</v>
      </c>
      <c r="IO140" s="245"/>
      <c r="IP140" s="245"/>
      <c r="IQ140" s="245" t="str">
        <f t="shared" si="300"/>
        <v/>
      </c>
      <c r="IR140" s="245" t="str">
        <f>IF(J140="","",VLOOKUP(J140,Worksheet!$R$4:$T$14,2))</f>
        <v/>
      </c>
      <c r="IS140" s="245"/>
      <c r="IT140" s="245">
        <f t="shared" si="301"/>
        <v>0</v>
      </c>
      <c r="IU140" s="245">
        <f t="shared" si="302"/>
        <v>0</v>
      </c>
      <c r="IV140" s="245">
        <f t="shared" si="303"/>
        <v>0</v>
      </c>
      <c r="IW140" s="245">
        <f t="shared" si="304"/>
        <v>0</v>
      </c>
      <c r="IX140" s="245">
        <f t="shared" si="407"/>
        <v>0</v>
      </c>
      <c r="IY140" s="245">
        <f t="shared" si="305"/>
        <v>0</v>
      </c>
      <c r="IZ140" s="245">
        <f t="shared" si="306"/>
        <v>0</v>
      </c>
      <c r="JA140">
        <f t="shared" si="307"/>
        <v>0</v>
      </c>
      <c r="JB140">
        <f t="shared" si="408"/>
        <v>0</v>
      </c>
      <c r="JC140">
        <f t="shared" si="308"/>
        <v>0</v>
      </c>
      <c r="JD140">
        <f t="shared" si="309"/>
        <v>0</v>
      </c>
      <c r="JE140">
        <f t="shared" si="310"/>
        <v>0</v>
      </c>
      <c r="JF140">
        <f t="shared" si="311"/>
        <v>0</v>
      </c>
      <c r="JG140">
        <f t="shared" si="312"/>
        <v>0</v>
      </c>
      <c r="JH140">
        <f t="shared" si="313"/>
        <v>0</v>
      </c>
      <c r="JI140">
        <f t="shared" si="314"/>
        <v>0</v>
      </c>
      <c r="JJ140" s="447">
        <f t="shared" si="315"/>
        <v>0</v>
      </c>
      <c r="JK140" s="447">
        <f t="shared" si="316"/>
        <v>0</v>
      </c>
      <c r="JL140">
        <f t="shared" si="317"/>
        <v>0</v>
      </c>
      <c r="JM140" s="245" t="str">
        <f>IFERROR(VLOOKUP(MATCH(BN140,#REF!,0),#REF!,7),"")</f>
        <v/>
      </c>
      <c r="JN140" t="e">
        <f>HLOOKUP(LEFT(BO140,7),Discharge_Area,MATCH(JO140,LookUps!$B$130:$B$149,1)+2)</f>
        <v>#N/A</v>
      </c>
      <c r="JO140" t="str">
        <f t="shared" si="318"/>
        <v>- S</v>
      </c>
      <c r="JP140" t="e">
        <f>HLOOKUP(LEFT(BO140,7),Discharge_Area,MATCH(JO140,LookUps!$B$130:$B$149,1)+2)</f>
        <v>#N/A</v>
      </c>
      <c r="JQ140" t="e">
        <f t="shared" si="319"/>
        <v>#N/A</v>
      </c>
      <c r="JR140" t="e">
        <f t="shared" si="320"/>
        <v>#N/A</v>
      </c>
      <c r="JS140" t="e">
        <f t="shared" si="321"/>
        <v>#N/A</v>
      </c>
      <c r="JT140" s="532" t="str">
        <f t="shared" si="322"/>
        <v xml:space="preserve"> </v>
      </c>
      <c r="JU140" s="532" t="str">
        <f t="shared" si="323"/>
        <v xml:space="preserve"> </v>
      </c>
      <c r="JV140" s="533" t="str">
        <f t="shared" si="324"/>
        <v xml:space="preserve"> </v>
      </c>
      <c r="JW140" s="534">
        <f t="shared" si="325"/>
        <v>0</v>
      </c>
      <c r="JX140" s="535" t="str">
        <f t="shared" si="409"/>
        <v xml:space="preserve"> </v>
      </c>
      <c r="JY140" s="535" t="str">
        <f t="shared" si="410"/>
        <v xml:space="preserve"> </v>
      </c>
      <c r="JZ140" s="535" t="str">
        <f t="shared" si="411"/>
        <v xml:space="preserve"> </v>
      </c>
      <c r="KA140" s="536" t="str">
        <f t="shared" si="326"/>
        <v xml:space="preserve"> </v>
      </c>
      <c r="KB140" s="535" t="e">
        <f t="shared" si="412"/>
        <v>#VALUE!</v>
      </c>
      <c r="KC140" s="535" t="str">
        <f t="shared" si="327"/>
        <v/>
      </c>
      <c r="KD140" s="537" t="str">
        <f t="shared" si="413"/>
        <v xml:space="preserve"> </v>
      </c>
      <c r="KE140" s="537" t="str">
        <f t="shared" si="414"/>
        <v xml:space="preserve"> </v>
      </c>
      <c r="KF140" s="534">
        <f t="shared" si="328"/>
        <v>0</v>
      </c>
      <c r="KG140" s="535" t="str">
        <f t="shared" si="329"/>
        <v xml:space="preserve"> </v>
      </c>
      <c r="KH140" s="535" t="str">
        <f t="shared" si="330"/>
        <v xml:space="preserve"> </v>
      </c>
      <c r="KI140" s="535" t="str">
        <f t="shared" si="331"/>
        <v xml:space="preserve"> </v>
      </c>
      <c r="KJ140" s="536" t="str">
        <f t="shared" si="332"/>
        <v xml:space="preserve"> </v>
      </c>
      <c r="KK140" s="535" t="str">
        <f t="shared" si="415"/>
        <v xml:space="preserve"> </v>
      </c>
      <c r="KL140" s="535" t="str">
        <f t="shared" si="416"/>
        <v xml:space="preserve"> </v>
      </c>
      <c r="KM140" s="537" t="str">
        <f t="shared" si="333"/>
        <v xml:space="preserve"> </v>
      </c>
      <c r="KN140" s="537" t="str">
        <f t="shared" si="417"/>
        <v xml:space="preserve"> </v>
      </c>
      <c r="KP140">
        <f t="shared" si="334"/>
        <v>0</v>
      </c>
      <c r="LA140" t="e">
        <f t="shared" si="335"/>
        <v>#VALUE!</v>
      </c>
      <c r="LB140" t="e">
        <f t="shared" si="336"/>
        <v>#VALUE!</v>
      </c>
      <c r="LC140" t="e">
        <f t="shared" si="337"/>
        <v>#VALUE!</v>
      </c>
      <c r="LD140" t="e">
        <f t="shared" si="338"/>
        <v>#VALUE!</v>
      </c>
      <c r="LE140" t="e">
        <f t="shared" si="418"/>
        <v>#VALUE!</v>
      </c>
      <c r="LF140">
        <f t="shared" si="339"/>
        <v>0</v>
      </c>
      <c r="LG140" t="e">
        <f t="shared" si="419"/>
        <v>#VALUE!</v>
      </c>
      <c r="LH140" t="str">
        <f t="shared" si="340"/>
        <v xml:space="preserve"> </v>
      </c>
      <c r="LI140">
        <f t="shared" si="420"/>
        <v>1</v>
      </c>
    </row>
    <row r="141" spans="2:321" ht="15" customHeight="1">
      <c r="B141" s="311"/>
      <c r="C141" s="311"/>
      <c r="D141" s="312"/>
      <c r="E141" s="311"/>
      <c r="F141" s="312"/>
      <c r="G141" s="311"/>
      <c r="H141" s="311"/>
      <c r="I141" s="37"/>
      <c r="J141" s="311"/>
      <c r="K141" s="305" t="str">
        <f t="shared" si="341"/>
        <v/>
      </c>
      <c r="L141" s="313"/>
      <c r="M141" s="312"/>
      <c r="N141" s="311"/>
      <c r="O141" s="312"/>
      <c r="P141" s="311"/>
      <c r="Q141" s="305" t="str">
        <f t="shared" si="342"/>
        <v/>
      </c>
      <c r="R141" s="314"/>
      <c r="S141" s="450" t="str">
        <f t="shared" si="225"/>
        <v/>
      </c>
      <c r="T141" s="315"/>
      <c r="U141" s="315"/>
      <c r="W141" s="149" t="str">
        <f t="shared" si="226"/>
        <v xml:space="preserve"> </v>
      </c>
      <c r="X141" s="243" t="str">
        <f t="shared" si="227"/>
        <v xml:space="preserve"> </v>
      </c>
      <c r="Y141" s="150" t="str">
        <f t="shared" si="228"/>
        <v/>
      </c>
      <c r="Z141" s="149" t="str">
        <f t="shared" si="229"/>
        <v xml:space="preserve"> </v>
      </c>
      <c r="AA141" s="98" t="str">
        <f t="shared" si="230"/>
        <v xml:space="preserve"> </v>
      </c>
      <c r="AB141" s="153" t="str">
        <f t="shared" si="231"/>
        <v xml:space="preserve"> </v>
      </c>
      <c r="AC141" s="153" t="str">
        <f t="shared" si="232"/>
        <v xml:space="preserve"> </v>
      </c>
      <c r="AD141" s="148" t="str">
        <f t="shared" si="233"/>
        <v/>
      </c>
      <c r="AE141" s="149" t="str">
        <f t="shared" si="234"/>
        <v/>
      </c>
      <c r="AF141" s="151" t="str">
        <f t="shared" si="235"/>
        <v xml:space="preserve"> </v>
      </c>
      <c r="AG141" s="153" t="str">
        <f t="shared" si="236"/>
        <v xml:space="preserve"> </v>
      </c>
      <c r="AH141" s="98" t="str">
        <f t="shared" si="237"/>
        <v xml:space="preserve"> </v>
      </c>
      <c r="AI141" s="149" t="str">
        <f t="shared" si="238"/>
        <v xml:space="preserve"> </v>
      </c>
      <c r="AK141" s="144" t="str">
        <f t="shared" si="239"/>
        <v xml:space="preserve"> </v>
      </c>
      <c r="AL141" s="144"/>
      <c r="AM141" s="243" t="str">
        <f t="shared" si="240"/>
        <v xml:space="preserve"> </v>
      </c>
      <c r="AN141" s="149" t="str">
        <f t="shared" si="343"/>
        <v xml:space="preserve"> </v>
      </c>
      <c r="AO141" s="144" t="str">
        <f>IF(JB141&gt;0,IF(GI141=10,-R141*1.085*(Calculation!$F$6-Calculation!$F$13)*$S$14," "),"")</f>
        <v/>
      </c>
      <c r="AP141" s="144" t="str">
        <f t="shared" si="241"/>
        <v/>
      </c>
      <c r="AQ141" s="56" t="str">
        <f t="shared" si="242"/>
        <v/>
      </c>
      <c r="AR141" s="144" t="str">
        <f t="shared" si="243"/>
        <v/>
      </c>
      <c r="AS141" s="176" t="str">
        <f t="shared" si="244"/>
        <v/>
      </c>
      <c r="AT141" s="176" t="str">
        <f t="shared" si="344"/>
        <v xml:space="preserve"> </v>
      </c>
      <c r="AU141" s="176" t="str">
        <f t="shared" si="245"/>
        <v/>
      </c>
      <c r="AV141" s="177" t="str">
        <f t="shared" si="246"/>
        <v xml:space="preserve"> </v>
      </c>
      <c r="AW141" s="144" t="str">
        <f t="shared" si="247"/>
        <v xml:space="preserve"> </v>
      </c>
      <c r="AX141" s="144" t="str">
        <f t="shared" si="248"/>
        <v xml:space="preserve"> </v>
      </c>
      <c r="AY141" s="152" t="str">
        <f t="shared" si="249"/>
        <v xml:space="preserve"> </v>
      </c>
      <c r="AZ141" s="246" t="str">
        <f t="shared" si="250"/>
        <v/>
      </c>
      <c r="BA141" s="176" t="str">
        <f t="shared" si="251"/>
        <v xml:space="preserve"> </v>
      </c>
      <c r="BB141" s="176" t="str">
        <f t="shared" si="252"/>
        <v xml:space="preserve"> </v>
      </c>
      <c r="BC141" s="195"/>
      <c r="BD141" s="316"/>
      <c r="BE141" s="317"/>
      <c r="BF141" s="318"/>
      <c r="BG141" s="318"/>
      <c r="BH141" s="144" t="str">
        <f t="shared" si="421"/>
        <v xml:space="preserve"> </v>
      </c>
      <c r="BI141" s="176" t="str">
        <f t="shared" si="253"/>
        <v/>
      </c>
      <c r="BJ141" s="144" t="str">
        <f t="shared" si="422"/>
        <v/>
      </c>
      <c r="BK141" s="246" t="str">
        <f t="shared" si="254"/>
        <v/>
      </c>
      <c r="BL141" s="144" t="str">
        <f t="shared" si="423"/>
        <v/>
      </c>
      <c r="BM141" s="246" t="str">
        <f t="shared" si="255"/>
        <v/>
      </c>
      <c r="BN141" s="337" t="str">
        <f t="shared" si="345"/>
        <v/>
      </c>
      <c r="BO141" s="371" t="str">
        <f t="shared" si="346"/>
        <v/>
      </c>
      <c r="BP141" s="328" t="str">
        <f t="shared" si="424"/>
        <v xml:space="preserve"> </v>
      </c>
      <c r="BQ141" s="347" t="str">
        <f t="shared" si="347"/>
        <v xml:space="preserve"> </v>
      </c>
      <c r="BR141" s="353" t="str">
        <f t="shared" si="348"/>
        <v xml:space="preserve"> </v>
      </c>
      <c r="BS141" s="626" t="str">
        <f>IF(L141&gt;0,IF(Calculation!P141="M13",BR141*3.1416*(0.134^2)/(4*144),IF(Calculation!P141="M17",BR141*3.1416*(0.165^2)/(4*144),IF(Calculation!P141="M20",BR141*3.1416*(0.198^2)/(4*144),IF(Calculation!P141="M23",BR141*3.1416*(0.228^2)/(4*144),IF(Calculation!P141="M27",BR141*3.1416*(0.269^2)/(4*144),BR141*3.1416*(0.307^2)/(4*144))))))," ")</f>
        <v xml:space="preserve"> </v>
      </c>
      <c r="BT141" s="353" t="str">
        <f>IF(L141&gt;0,IF(BS141&gt;0,R141/Calculation!BS141,0)," ")</f>
        <v xml:space="preserve"> </v>
      </c>
      <c r="BU141" s="438" t="e">
        <f t="shared" ca="1" si="256"/>
        <v>#VALUE!</v>
      </c>
      <c r="BV141" s="449" t="e">
        <f ca="1">INDEX(INDIRECT(VLOOKUP(LEFT(BO141,7),CLU!$Z$3:$AH$18,2)),GN141,GR141)</f>
        <v>#N/A</v>
      </c>
      <c r="BW141" s="433" t="e">
        <f ca="1">INDEX(INDIRECT(VLOOKUP(LEFT(BO141,7),CLU!$Z$3:$AH$18,3)),GN141,GR141)</f>
        <v>#N/A</v>
      </c>
      <c r="BX141" s="433" t="e">
        <f ca="1">INDEX(INDIRECT(VLOOKUP(LEFT(BO141,7),CLU!$Z$3:$AH$18,4)),GN141,GR141)</f>
        <v>#N/A</v>
      </c>
      <c r="BY141" s="433" t="e">
        <f ca="1">INDEX(INDIRECT(VLOOKUP(LEFT(BO141,7),CLU!$Z$3:$AH$18,9)),((M141-2)*(6-COUNTBLANK(GT141:GY141)))+GJ141)</f>
        <v>#N/A</v>
      </c>
      <c r="BZ141" s="426" t="e">
        <f t="shared" ca="1" si="349"/>
        <v>#N/A</v>
      </c>
      <c r="CA141" s="424" t="e">
        <f t="shared" ca="1" si="350"/>
        <v>#N/A</v>
      </c>
      <c r="CB141" s="429" t="e">
        <f ca="1">INDEX(INDIRECT(VLOOKUP(LEFT(BO141,7),CLU!$Z$3:$AH$18,2)),GN141,GS141)</f>
        <v>#N/A</v>
      </c>
      <c r="CC141" s="342" t="e">
        <f ca="1">INDEX(INDIRECT(VLOOKUP(LEFT(BO141,7),CLU!$Z$3:$AH$18,3)),GN141,GS141)</f>
        <v>#N/A</v>
      </c>
      <c r="CD141" s="342" t="e">
        <f ca="1">INDEX(INDIRECT(VLOOKUP(LEFT(BO141,7),CLU!$Z$3:$AH$18,4)),GN141,GS141)</f>
        <v>#N/A</v>
      </c>
      <c r="CE141" s="426" t="e">
        <f t="shared" ca="1" si="351"/>
        <v>#N/A</v>
      </c>
      <c r="CF141" s="440">
        <f t="shared" si="352"/>
        <v>0</v>
      </c>
      <c r="CG141" s="431" t="e">
        <f ca="1">INDEX(INDIRECT(VLOOKUP(LEFT(BO141,7),CLU!$Z$3:$AH$18,2)),GQ141,GR141)</f>
        <v>#N/A</v>
      </c>
      <c r="CH141" s="431" t="e">
        <f ca="1">INDEX(INDIRECT(VLOOKUP(LEFT(BO141,7),CLU!$Z$3:$AH$18,3)),GQ141,GR141)</f>
        <v>#N/A</v>
      </c>
      <c r="CI141" s="431" t="e">
        <f ca="1">INDEX(INDIRECT(VLOOKUP(LEFT(BO141,7),CLU!$Z$3:$AH$18,4)),GQ141,GR141)</f>
        <v>#N/A</v>
      </c>
      <c r="CJ141" s="448" t="e">
        <f t="shared" ca="1" si="353"/>
        <v>#N/A</v>
      </c>
      <c r="CK141" s="431" t="e">
        <f t="shared" ca="1" si="354"/>
        <v>#N/A</v>
      </c>
      <c r="CL141" s="440" t="e">
        <f t="shared" ca="1" si="355"/>
        <v>#N/A</v>
      </c>
      <c r="CM141" s="431" t="e">
        <f ca="1">INDEX(INDIRECT(VLOOKUP(LEFT(BO141,7),CLU!$Z$3:$AH$18,2)),GQ141,GS141)</f>
        <v>#N/A</v>
      </c>
      <c r="CN141" s="431" t="e">
        <f ca="1">INDEX(INDIRECT(VLOOKUP(LEFT(BO141,7),CLU!$Z$3:$AH$18,3)),GQ141,GS141)</f>
        <v>#N/A</v>
      </c>
      <c r="CO141" s="431" t="e">
        <f ca="1">INDEX(INDIRECT(VLOOKUP(LEFT(BO141,7),CLU!$Z$3:$AH$18,4)),GQ141,GS141)</f>
        <v>#N/A</v>
      </c>
      <c r="CP141" s="431" t="e">
        <f t="shared" ca="1" si="356"/>
        <v>#N/A</v>
      </c>
      <c r="CQ141" s="440">
        <f t="shared" si="357"/>
        <v>0</v>
      </c>
      <c r="CR141" s="51" t="e">
        <f t="shared" ca="1" si="358"/>
        <v>#N/A</v>
      </c>
      <c r="CS141" s="439" t="e">
        <f t="shared" ca="1" si="359"/>
        <v>#VALUE!</v>
      </c>
      <c r="CT141" s="51" t="e">
        <f t="shared" ca="1" si="360"/>
        <v>#VALUE!</v>
      </c>
      <c r="CU141" s="10"/>
      <c r="CV141" s="51" t="e">
        <f t="shared" ca="1" si="257"/>
        <v>#VALUE!</v>
      </c>
      <c r="CW141" s="51">
        <f t="shared" si="361"/>
        <v>0</v>
      </c>
      <c r="CX141" s="439" t="e">
        <f t="shared" ca="1" si="362"/>
        <v>#VALUE!</v>
      </c>
      <c r="CY141" s="51" t="e">
        <f t="shared" ca="1" si="363"/>
        <v>#VALUE!</v>
      </c>
      <c r="CZ141" s="10"/>
      <c r="DA141" s="51" t="e">
        <f t="shared" ca="1" si="364"/>
        <v>#VALUE!</v>
      </c>
      <c r="DB141" s="347" t="e">
        <f ca="1">INDEX(INDIRECT(VLOOKUP(LEFT(BO141,7),CLU!$Z$3:$AI$18,10)),((M141-2)*(6-COUNTBLANK(GT141:GY141)))+GJ141)*LI141</f>
        <v>#N/A</v>
      </c>
      <c r="DC141" s="347" t="str">
        <f>IF(L141&gt;0,((R141/Worksheet!$I$15)/DB141)^2," ")</f>
        <v xml:space="preserve"> </v>
      </c>
      <c r="DD141" s="602" t="str">
        <f t="shared" si="365"/>
        <v xml:space="preserve"> </v>
      </c>
      <c r="DE141" s="347" t="str">
        <f t="shared" si="258"/>
        <v xml:space="preserve"> </v>
      </c>
      <c r="DF141" s="356" t="e">
        <f ca="1">INDEX(INDIRECT(VLOOKUP(LEFT(BO141,7),CLU!$Z$3:$AH$18,8)),((M141-2)*(6-COUNTBLANK(GT141:GY141)))+GJ141)</f>
        <v>#N/A</v>
      </c>
      <c r="DG141" s="347" t="str">
        <f t="shared" si="259"/>
        <v xml:space="preserve"> </v>
      </c>
      <c r="DH141" s="357" t="str">
        <f t="shared" si="260"/>
        <v xml:space="preserve"> </v>
      </c>
      <c r="DI141" s="355" t="str">
        <f t="shared" si="261"/>
        <v xml:space="preserve"> </v>
      </c>
      <c r="DJ141" s="245" t="e">
        <f ca="1">INDEX(INDIRECT(VLOOKUP(LEFT(BO141,7),CLU!$Z$3:$AH$18,5)),GL141,GK141)</f>
        <v>#N/A</v>
      </c>
      <c r="DK141" s="245" t="e">
        <f ca="1">INDEX(INDIRECT(VLOOKUP(LEFT(BO141,7),CLU!$Z$3:$AH$18,6)),GL141,GK141)</f>
        <v>#N/A</v>
      </c>
      <c r="DL141" s="355">
        <f>(Calculation!R141*0.69143*(Calculation!$BQ$8-Calculation!$F$8))*$S$14</f>
        <v>0</v>
      </c>
      <c r="DM141" s="359" t="e">
        <f t="shared" si="366"/>
        <v>#VALUE!</v>
      </c>
      <c r="DN141" s="611">
        <f t="shared" si="367"/>
        <v>0</v>
      </c>
      <c r="DO141" s="359">
        <f t="shared" si="368"/>
        <v>100</v>
      </c>
      <c r="DP141" s="359">
        <f t="shared" si="369"/>
        <v>0</v>
      </c>
      <c r="DQ141" s="360"/>
      <c r="DR141" s="245" t="e">
        <f ca="1">INDEX(INDIRECT(VLOOKUP(LEFT(BO141,7),CLU!$Z$3:$AH$18,7)),M141-1,1)</f>
        <v>#N/A</v>
      </c>
      <c r="DS141" s="245" t="e">
        <f ca="1">INDEX(INDIRECT(VLOOKUP(LEFT(BO141,7),CLU!$Z$3:$AH$18,7)),M141-1,2)</f>
        <v>#N/A</v>
      </c>
      <c r="DT141" s="245" t="e">
        <f ca="1">INDEX(INDIRECT(VLOOKUP(LEFT(BO141,7),CLU!$Z$3:$AH$18,7)),M141-1,3)</f>
        <v>#N/A</v>
      </c>
      <c r="DU141" s="245" t="e">
        <f ca="1">INDEX(INDIRECT(VLOOKUP(LEFT(BO141,7),CLU!$Z$3:$AH$18,7)),M141-1,4)</f>
        <v>#N/A</v>
      </c>
      <c r="DV141" s="361" t="e">
        <f ca="1">INDEX(INDIRECT(VLOOKUP(LEFT(BO141,7),CLU!$Z$3:$AH$18,7)),M141-1,4+LEFT(DZ141,1)*0.5)</f>
        <v>#N/A</v>
      </c>
      <c r="DW141" s="245" t="e">
        <f ca="1">INDEX(INDIRECT(VLOOKUP(LEFT(BO141,7),CLU!$Z$3:$AH$18,7)),M141-1,8)</f>
        <v>#N/A</v>
      </c>
      <c r="DX141" s="361" t="str">
        <f t="shared" si="262"/>
        <v xml:space="preserve"> </v>
      </c>
      <c r="DY141" s="361" t="str">
        <f t="shared" si="263"/>
        <v xml:space="preserve"> </v>
      </c>
      <c r="DZ141" s="361" t="str">
        <f t="shared" si="264"/>
        <v xml:space="preserve"> </v>
      </c>
      <c r="EA141" s="362" t="str">
        <f t="shared" si="265"/>
        <v xml:space="preserve"> </v>
      </c>
      <c r="EB141" s="624" t="str">
        <f t="shared" si="370"/>
        <v xml:space="preserve"> </v>
      </c>
      <c r="EC141" s="361" t="e">
        <f ca="1">INDEX(INDIRECT(VLOOKUP(LEFT(BO141,7),CLU!$Z$3:$AH$18,7)),M141-1,4+LEFT(DZ141,1)*0.5)</f>
        <v>#N/A</v>
      </c>
      <c r="ED141" s="362" t="str">
        <f t="shared" si="266"/>
        <v xml:space="preserve"> </v>
      </c>
      <c r="EE141" s="361" t="str">
        <f t="shared" si="267"/>
        <v xml:space="preserve"> </v>
      </c>
      <c r="EF141" s="362" t="str">
        <f>IF(L141&gt;0,IF(BR141&gt;0,IF(EE141="2P",IF(Calculation!DZ141="2P",IF(Calculation!DS141=13.75,IF(Calculation!DR141=13,Worksheet!$BD$43,IF(Calculation!DR141=37,Worksheet!$BD$44,Worksheet!$BD$45)),IF(Calculation!DS141=10,IF(Calculation!DR141=18,Worksheet!$BD$29,IF(Calculation!DR141=30,Worksheet!$BD$30,IF(Calculation!DR141=42,Worksheet!$BD$31,IF(Calculation!DR141=54,Worksheet!$BD$32,IF(Calculation!DR141=66,Worksheet!$BD$33,IF(Calculation!DR141=78,Worksheet!$BD$34,IF(Calculation!DR141=90,Worksheet!$BD$35,IF(Calculation!DR141=102,Worksheet!$BD$36,Worksheet!$BD$37)))))))),IF(Calculation!DS141=12.5,IF(Calculation!DR141=18,Worksheet!$BD$38,IF(Calculation!DR141=Worksheet!$BD$39,IF(Calculation!DR141=42,Worksheet!$BD$40,IF(Calculation!DR141=54,Worksheet!$BD$41,Worksheet!$BD$42)))),IF(Calculation!DR141=18,Worksheet!$BD$11,IF(Calculation!DR141=30,Worksheet!$BD$12,IF(Calculation!DR141=42,Worksheet!$BD$13,IF(Calculation!DR141=54,Worksheet!$BD$14,IF(Calculation!DR141=66,Worksheet!$BD$15,IF(Calculation!DR141=78,Worksheet!$BD$16,IF(Calculation!DR141=90,Worksheet!$BD$17,IF(Calculation!DR141=102,Worksheet!$BD$18,Worksheet!$BD$19))))))))))),IF(Calculation!DS141=13.75,IF(Calculation!DR141=13,Worksheet!$BD$78,IF(Calculation!DR141=37,Worksheet!$BD$79,Worksheet!$BD$80)),IF(Calculation!DS141=10,IF(Calculation!DR141=18,Worksheet!$BD$64,IF(Calculation!DR141=30,Worksheet!$BD$65,IF(Calculation!DR141=42,Worksheet!$BD$66,IF(Calculation!DR141=54,Worksheet!$BD$68,IF(Calculation!DR141=66,Worksheet!$BD$68,IF(Calculation!DR141=78,Worksheet!$BD$69,IF(Calculation!DR141=90,Worksheet!$BD$70,IF(Calculation!DR141=102,Worksheet!$BD$71,Worksheet!$BD$72)))))))),IF(Calculation!DS141=12.5,IF(Calculation!DR141=18,Worksheet!$BD$73,IF(Calculation!DR141=Worksheet!$BD$74,IF(Calculation!DR141=42,Worksheet!$BD$75,IF(Calculation!DR141=54,Worksheet!$BD$76,Worksheet!$BD$77)))),IF(Calculation!DR141=18,Worksheet!$BD$55,IF(Calculation!DR141=30,Worksheet!$BD$56,IF(Calculation!DR141=42,Worksheet!$BD$57,IF(Calculation!DR141=54,Worksheet!$BD$58,IF(Calculation!DR141=66,Worksheet!$BD$59,IF(Calculation!DR141=78,Worksheet!$BD$60,IF(Calculation!DR141=90,Worksheet!$BD$61,IF(Calculation!DR141=102,Worksheet!$BD$62,Worksheet!$BD$63)))))))))))),5),0)," ")</f>
        <v xml:space="preserve"> </v>
      </c>
      <c r="EG141" s="361" t="str">
        <f t="shared" si="268"/>
        <v xml:space="preserve"> </v>
      </c>
      <c r="EH141" s="361" t="e">
        <f ca="1">INDEX(INDIRECT(VLOOKUP(LEFT(BO141,7),CLU!$Z$3:$AH$18,7)),M141-1,3+LEFT(DZ141,1))</f>
        <v>#N/A</v>
      </c>
      <c r="EI141" s="362" t="str">
        <f t="shared" si="269"/>
        <v xml:space="preserve"> </v>
      </c>
      <c r="EJ141" s="363" t="str">
        <f t="shared" si="270"/>
        <v xml:space="preserve"> </v>
      </c>
      <c r="EK141" s="363" t="str">
        <f t="shared" si="271"/>
        <v xml:space="preserve"> </v>
      </c>
      <c r="EL141" s="363" t="str">
        <f t="shared" si="272"/>
        <v xml:space="preserve"> </v>
      </c>
      <c r="EM141" s="362" t="str">
        <f>IF(L141&gt;0,IF(BR141&gt;0,(Calculation!T141/ED141)^2,0)," ")</f>
        <v xml:space="preserve"> </v>
      </c>
      <c r="EN141" s="362" t="str">
        <f>IF(L141&gt;0,IF(O141="2 Pipe (Cooling)","N/A",IF(BR141&gt;0,(Calculation!U141/EI141)^2,0))," ")</f>
        <v xml:space="preserve"> </v>
      </c>
      <c r="EO141" s="361" t="str">
        <f t="shared" si="273"/>
        <v/>
      </c>
      <c r="EP141" s="361" t="str">
        <f t="shared" si="274"/>
        <v/>
      </c>
      <c r="EQ141" s="361" t="str">
        <f t="shared" si="275"/>
        <v/>
      </c>
      <c r="ER141" s="361" t="str">
        <f t="shared" si="276"/>
        <v/>
      </c>
      <c r="ES141" s="361" t="str">
        <f t="shared" si="277"/>
        <v/>
      </c>
      <c r="ET141" s="361" t="str">
        <f t="shared" si="278"/>
        <v/>
      </c>
      <c r="EU141" s="361" t="str">
        <f t="shared" si="279"/>
        <v/>
      </c>
      <c r="EV141" s="361" t="str">
        <f t="shared" si="280"/>
        <v/>
      </c>
      <c r="EW141" s="361" t="str">
        <f t="shared" si="281"/>
        <v/>
      </c>
      <c r="EX141" s="361" t="str">
        <f t="shared" si="371"/>
        <v>1 slot, 1 way</v>
      </c>
      <c r="EY141" s="361" t="str">
        <f t="shared" si="372"/>
        <v xml:space="preserve"> </v>
      </c>
      <c r="EZ141" s="361" t="str">
        <f t="shared" si="373"/>
        <v xml:space="preserve"> </v>
      </c>
      <c r="FA141" s="361" t="str">
        <f t="shared" si="374"/>
        <v xml:space="preserve"> </v>
      </c>
      <c r="FB141" s="361" t="str">
        <f t="shared" si="375"/>
        <v xml:space="preserve"> </v>
      </c>
      <c r="FC141" s="361"/>
      <c r="FD141" s="361" t="str">
        <f>IF(J141&gt;0,IF(Calculation!R141&lt;=70,4,IF(Calculation!R141&lt;=110,5,IF(Calculation!R141&lt;=160,6,IF(Calculation!R141&lt;=300,8,"10 EO")))),"")</f>
        <v/>
      </c>
      <c r="FE141" s="361" t="str">
        <f t="shared" si="376"/>
        <v/>
      </c>
      <c r="FF141" s="361" t="str">
        <f t="shared" si="377"/>
        <v/>
      </c>
      <c r="FG141" s="361" t="e">
        <f t="shared" si="282"/>
        <v>#N/A</v>
      </c>
      <c r="FH141" s="361">
        <f t="shared" si="283"/>
        <v>0</v>
      </c>
      <c r="FI141" s="361" t="e">
        <f t="shared" si="284"/>
        <v>#DIV/0!</v>
      </c>
      <c r="FJ141" s="361"/>
      <c r="FK141" s="356" t="e">
        <f t="shared" si="285"/>
        <v>#VALUE!</v>
      </c>
      <c r="FL141" s="361"/>
      <c r="FM141" s="361"/>
      <c r="FN141" s="362" t="str">
        <f t="shared" si="378"/>
        <v xml:space="preserve"> </v>
      </c>
      <c r="FO141" s="362" t="str">
        <f t="shared" si="379"/>
        <v xml:space="preserve"> </v>
      </c>
      <c r="FP141" s="362">
        <f t="shared" si="380"/>
        <v>0</v>
      </c>
      <c r="FQ141" s="361">
        <f t="shared" si="286"/>
        <v>0</v>
      </c>
      <c r="FR141" s="362" t="str">
        <f>IF(L141&gt;0,IF(J141="CBAL2",Worksheet!$P$67,IF(J141="CBE2-24",Worksheet!$Q$67,IF(J141="CBAM",Worksheet!$R$67,IF(J141="CBLV",Worksheet!$S$67,IF(J141="CBAB",Worksheet!$U$67,IF(J141="CBAW",Worksheet!$X$67,IF(J141="CBE2-12",Worksheet!$Y$67,IF(J141="CBAL2",Worksheet!$Z$67,"N/A"))))))))," ")</f>
        <v xml:space="preserve"> </v>
      </c>
      <c r="FS141" s="362" t="str">
        <f>IF(L141&gt;0,IF(J141="CBAL2",Worksheet!$P$68,IF(J141="CBE2-24",Worksheet!$Q$68,IF(J141="CBAM",Worksheet!$R$68,IF(J141="CBLV",Worksheet!$S$68,IF(J141="CBAB",Worksheet!$U$68,IF(J141="CBAW",Worksheet!$X$68,IF(J141="CBE2-12",Worksheet!$Y$68,IF(J141="CBAL2",Worksheet!$Z$68,"N/A"))))))))," ")</f>
        <v xml:space="preserve"> </v>
      </c>
      <c r="FT141" s="362" t="str">
        <f>IF(L141&gt;0,IF(J141="CBAL2",Worksheet!$P$69,IF(J141="CBE2-24",Worksheet!$Q$69,IF(J141="CBAM",Worksheet!$R$69,IF(J141="CBLV",Worksheet!$S$69,IF(J141="CBAB",Worksheet!$U$69,IF(J141="CBAW",Worksheet!$X$69,IF(J141="CBE2-12",Worksheet!$Y$69,IF(J141="CBAL2",Worksheet!$Z$69,"N/A"))))))))," ")</f>
        <v xml:space="preserve"> </v>
      </c>
      <c r="FU141" s="361" t="str">
        <f t="shared" si="381"/>
        <v xml:space="preserve"> </v>
      </c>
      <c r="FV141" s="362" t="str">
        <f t="shared" si="382"/>
        <v xml:space="preserve"> </v>
      </c>
      <c r="FW141" s="362" t="str">
        <f t="shared" si="383"/>
        <v xml:space="preserve"> </v>
      </c>
      <c r="FX141" s="362" t="str">
        <f t="shared" si="384"/>
        <v xml:space="preserve"> </v>
      </c>
      <c r="FY141" s="355" t="str">
        <f t="shared" si="385"/>
        <v xml:space="preserve"> </v>
      </c>
      <c r="FZ141" s="361" t="str">
        <f t="shared" si="386"/>
        <v xml:space="preserve"> </v>
      </c>
      <c r="GA141" s="347" t="str">
        <f t="shared" si="387"/>
        <v xml:space="preserve"> </v>
      </c>
      <c r="GB141" s="355" t="str">
        <f t="shared" si="388"/>
        <v xml:space="preserve"> </v>
      </c>
      <c r="GC141" s="328" t="str">
        <f t="shared" si="389"/>
        <v xml:space="preserve"> </v>
      </c>
      <c r="GD141" s="361" t="str">
        <f t="shared" si="390"/>
        <v xml:space="preserve"> </v>
      </c>
      <c r="GE141" s="347" t="str">
        <f t="shared" si="391"/>
        <v xml:space="preserve"> </v>
      </c>
      <c r="GF141" s="361" t="str">
        <f t="shared" si="392"/>
        <v xml:space="preserve"> </v>
      </c>
      <c r="GG141" s="347" t="str">
        <f t="shared" si="393"/>
        <v xml:space="preserve"> </v>
      </c>
      <c r="GH141" s="364">
        <f t="shared" si="287"/>
        <v>0</v>
      </c>
      <c r="GI141" s="362">
        <f t="shared" si="394"/>
        <v>2</v>
      </c>
      <c r="GJ141" s="433" t="e">
        <f>IF(6-COUNTBLANK(GT141:GY141)=4,MATCH(MID(BO141,9,3),CLU!$H$16:$K$16),MATCH(MID(BO141,9,3),CLU!$H$13:$M$13))</f>
        <v>#N/A</v>
      </c>
      <c r="GK141" s="433" t="e">
        <f>HLOOKUP(VALUE(BP141),CLU!$H$9:$M$10,2)</f>
        <v>#VALUE!</v>
      </c>
      <c r="GL141" s="433" t="e">
        <f ca="1">MATCH(BU141,CLU!$H$2:$V$2,1)</f>
        <v>#VALUE!</v>
      </c>
      <c r="GM141" s="433" t="e">
        <f t="shared" ca="1" si="395"/>
        <v>#VALUE!</v>
      </c>
      <c r="GN141" s="433" t="e">
        <f t="shared" ca="1" si="396"/>
        <v>#VALUE!</v>
      </c>
      <c r="GO141" s="433" t="e">
        <f t="shared" ca="1" si="397"/>
        <v>#VALUE!</v>
      </c>
      <c r="GP141" s="433" t="e">
        <f t="shared" ca="1" si="398"/>
        <v>#VALUE!</v>
      </c>
      <c r="GQ141" s="433" t="e">
        <f t="shared" ca="1" si="399"/>
        <v>#VALUE!</v>
      </c>
      <c r="GR141" s="433" t="e">
        <f ca="1">MATCH(T141,INDIRECT(VLOOKUP(CONCATENATE(LEFT(BO141,7),"-",MID(BO141,13,1)),CLU!$P$3:$Q$16,2)),1)</f>
        <v>#N/A</v>
      </c>
      <c r="GS141" s="433" t="e">
        <f ca="1">MATCH(U141,INDIRECT(VLOOKUP(CONCATENATE(LEFT(BO141,7),"-",MID(BO141,13,1)),CLU!$P$3:$Q$16,2)),1)</f>
        <v>#N/A</v>
      </c>
      <c r="GT141" s="347" t="s">
        <v>512</v>
      </c>
      <c r="GU141" s="97" t="s">
        <v>513</v>
      </c>
      <c r="GV141" s="97" t="str">
        <f t="shared" si="400"/>
        <v>M23</v>
      </c>
      <c r="GW141" s="97" t="str">
        <f t="shared" si="401"/>
        <v>M31</v>
      </c>
      <c r="GX141" s="97" t="str">
        <f t="shared" si="402"/>
        <v/>
      </c>
      <c r="GY141" s="97" t="str">
        <f t="shared" si="403"/>
        <v/>
      </c>
      <c r="GZ141" s="481"/>
      <c r="HA141" s="288"/>
      <c r="HB141" s="240"/>
      <c r="HC141" s="240"/>
      <c r="HD141" s="240"/>
      <c r="HE141" s="240"/>
      <c r="HF141" s="240"/>
      <c r="HG141" s="240"/>
      <c r="HH141" s="240"/>
      <c r="HI141" s="240"/>
      <c r="HJ141" s="240"/>
      <c r="HK141" s="240"/>
      <c r="HL141" s="240"/>
      <c r="HM141" s="240"/>
      <c r="HN141" s="240"/>
      <c r="HO141" s="240"/>
      <c r="HP141" s="240"/>
      <c r="HQ141" s="240"/>
      <c r="HR141" s="240"/>
      <c r="HS141" s="240"/>
      <c r="HT141" s="240"/>
      <c r="HU141" s="240"/>
      <c r="HV141" s="245"/>
      <c r="HW141" s="245" t="b">
        <v>1</v>
      </c>
      <c r="HX141" s="245" t="str">
        <f t="shared" si="288"/>
        <v/>
      </c>
      <c r="HY141" s="245" t="e">
        <f t="shared" si="289"/>
        <v>#DIV/0!</v>
      </c>
      <c r="HZ141" s="245" t="e">
        <f t="shared" si="290"/>
        <v>#DIV/0!</v>
      </c>
      <c r="IA141" s="245">
        <f t="shared" si="291"/>
        <v>0</v>
      </c>
      <c r="IB141" s="245"/>
      <c r="IC141" t="b">
        <f t="shared" si="292"/>
        <v>1</v>
      </c>
      <c r="ID141" s="245" t="b">
        <f t="shared" si="293"/>
        <v>1</v>
      </c>
      <c r="IE141" s="245" t="b">
        <f t="shared" si="294"/>
        <v>1</v>
      </c>
      <c r="IF141" s="245" t="b">
        <f t="shared" si="295"/>
        <v>0</v>
      </c>
      <c r="IG141" s="245" t="b">
        <f t="shared" si="296"/>
        <v>1</v>
      </c>
      <c r="IH141" s="245" t="b">
        <f t="shared" si="297"/>
        <v>1</v>
      </c>
      <c r="II141" s="245">
        <f t="shared" si="404"/>
        <v>0</v>
      </c>
      <c r="IJ141" s="245" t="e">
        <f t="shared" si="298"/>
        <v>#VALUE!</v>
      </c>
      <c r="IK141" s="245" t="e">
        <f t="shared" si="299"/>
        <v>#VALUE!</v>
      </c>
      <c r="IL141" s="245"/>
      <c r="IM141" s="245" t="e">
        <f t="shared" si="405"/>
        <v>#N/A</v>
      </c>
      <c r="IN141" s="245" t="e">
        <f t="shared" si="406"/>
        <v>#N/A</v>
      </c>
      <c r="IO141" s="245"/>
      <c r="IP141" s="245"/>
      <c r="IQ141" s="245" t="str">
        <f t="shared" si="300"/>
        <v/>
      </c>
      <c r="IR141" s="245" t="str">
        <f>IF(J141="","",VLOOKUP(J141,Worksheet!$R$4:$T$14,2))</f>
        <v/>
      </c>
      <c r="IS141" s="245"/>
      <c r="IT141" s="245">
        <f t="shared" si="301"/>
        <v>0</v>
      </c>
      <c r="IU141" s="245">
        <f t="shared" si="302"/>
        <v>0</v>
      </c>
      <c r="IV141" s="245">
        <f t="shared" si="303"/>
        <v>0</v>
      </c>
      <c r="IW141" s="245">
        <f t="shared" si="304"/>
        <v>0</v>
      </c>
      <c r="IX141" s="245">
        <f t="shared" si="407"/>
        <v>0</v>
      </c>
      <c r="IY141" s="245">
        <f t="shared" si="305"/>
        <v>0</v>
      </c>
      <c r="IZ141" s="245">
        <f t="shared" si="306"/>
        <v>0</v>
      </c>
      <c r="JA141">
        <f t="shared" si="307"/>
        <v>0</v>
      </c>
      <c r="JB141">
        <f t="shared" si="408"/>
        <v>0</v>
      </c>
      <c r="JC141">
        <f t="shared" si="308"/>
        <v>0</v>
      </c>
      <c r="JD141">
        <f t="shared" si="309"/>
        <v>0</v>
      </c>
      <c r="JE141">
        <f t="shared" si="310"/>
        <v>0</v>
      </c>
      <c r="JF141">
        <f t="shared" si="311"/>
        <v>0</v>
      </c>
      <c r="JG141">
        <f t="shared" si="312"/>
        <v>0</v>
      </c>
      <c r="JH141">
        <f t="shared" si="313"/>
        <v>0</v>
      </c>
      <c r="JI141">
        <f t="shared" si="314"/>
        <v>0</v>
      </c>
      <c r="JJ141" s="447">
        <f t="shared" si="315"/>
        <v>0</v>
      </c>
      <c r="JK141" s="447">
        <f t="shared" si="316"/>
        <v>0</v>
      </c>
      <c r="JL141">
        <f t="shared" si="317"/>
        <v>0</v>
      </c>
      <c r="JM141" s="245" t="str">
        <f>IFERROR(VLOOKUP(MATCH(BN141,#REF!,0),#REF!,7),"")</f>
        <v/>
      </c>
      <c r="JN141" t="e">
        <f>HLOOKUP(LEFT(BO141,7),Discharge_Area,MATCH(JO141,LookUps!$B$130:$B$149,1)+2)</f>
        <v>#N/A</v>
      </c>
      <c r="JO141" t="str">
        <f t="shared" si="318"/>
        <v>- S</v>
      </c>
      <c r="JP141" t="e">
        <f>HLOOKUP(LEFT(BO141,7),Discharge_Area,MATCH(JO141,LookUps!$B$130:$B$149,1)+2)</f>
        <v>#N/A</v>
      </c>
      <c r="JQ141" t="e">
        <f t="shared" si="319"/>
        <v>#N/A</v>
      </c>
      <c r="JR141" t="e">
        <f t="shared" si="320"/>
        <v>#N/A</v>
      </c>
      <c r="JS141" t="e">
        <f t="shared" si="321"/>
        <v>#N/A</v>
      </c>
      <c r="JT141" s="532" t="str">
        <f t="shared" si="322"/>
        <v xml:space="preserve"> </v>
      </c>
      <c r="JU141" s="532" t="str">
        <f t="shared" si="323"/>
        <v xml:space="preserve"> </v>
      </c>
      <c r="JV141" s="533" t="str">
        <f t="shared" si="324"/>
        <v xml:space="preserve"> </v>
      </c>
      <c r="JW141" s="534">
        <f t="shared" si="325"/>
        <v>0</v>
      </c>
      <c r="JX141" s="535" t="str">
        <f t="shared" si="409"/>
        <v xml:space="preserve"> </v>
      </c>
      <c r="JY141" s="535" t="str">
        <f t="shared" si="410"/>
        <v xml:space="preserve"> </v>
      </c>
      <c r="JZ141" s="535" t="str">
        <f t="shared" si="411"/>
        <v xml:space="preserve"> </v>
      </c>
      <c r="KA141" s="536" t="str">
        <f t="shared" si="326"/>
        <v xml:space="preserve"> </v>
      </c>
      <c r="KB141" s="535" t="e">
        <f t="shared" si="412"/>
        <v>#VALUE!</v>
      </c>
      <c r="KC141" s="535" t="str">
        <f t="shared" si="327"/>
        <v/>
      </c>
      <c r="KD141" s="537" t="str">
        <f t="shared" si="413"/>
        <v xml:space="preserve"> </v>
      </c>
      <c r="KE141" s="537" t="str">
        <f t="shared" si="414"/>
        <v xml:space="preserve"> </v>
      </c>
      <c r="KF141" s="534">
        <f t="shared" si="328"/>
        <v>0</v>
      </c>
      <c r="KG141" s="535" t="str">
        <f t="shared" si="329"/>
        <v xml:space="preserve"> </v>
      </c>
      <c r="KH141" s="535" t="str">
        <f t="shared" si="330"/>
        <v xml:space="preserve"> </v>
      </c>
      <c r="KI141" s="535" t="str">
        <f t="shared" si="331"/>
        <v xml:space="preserve"> </v>
      </c>
      <c r="KJ141" s="536" t="str">
        <f t="shared" si="332"/>
        <v xml:space="preserve"> </v>
      </c>
      <c r="KK141" s="535" t="str">
        <f t="shared" si="415"/>
        <v xml:space="preserve"> </v>
      </c>
      <c r="KL141" s="535" t="str">
        <f t="shared" si="416"/>
        <v xml:space="preserve"> </v>
      </c>
      <c r="KM141" s="537" t="str">
        <f t="shared" si="333"/>
        <v xml:space="preserve"> </v>
      </c>
      <c r="KN141" s="537" t="str">
        <f t="shared" si="417"/>
        <v xml:space="preserve"> </v>
      </c>
      <c r="KP141">
        <f t="shared" si="334"/>
        <v>0</v>
      </c>
      <c r="LA141" t="e">
        <f t="shared" si="335"/>
        <v>#VALUE!</v>
      </c>
      <c r="LB141" t="e">
        <f t="shared" si="336"/>
        <v>#VALUE!</v>
      </c>
      <c r="LC141" t="e">
        <f t="shared" si="337"/>
        <v>#VALUE!</v>
      </c>
      <c r="LD141" t="e">
        <f t="shared" si="338"/>
        <v>#VALUE!</v>
      </c>
      <c r="LE141" t="e">
        <f t="shared" si="418"/>
        <v>#VALUE!</v>
      </c>
      <c r="LF141">
        <f t="shared" si="339"/>
        <v>0</v>
      </c>
      <c r="LG141" t="e">
        <f t="shared" si="419"/>
        <v>#VALUE!</v>
      </c>
      <c r="LH141" t="str">
        <f t="shared" si="340"/>
        <v xml:space="preserve"> </v>
      </c>
      <c r="LI141">
        <f t="shared" si="420"/>
        <v>1</v>
      </c>
    </row>
    <row r="142" spans="2:321" ht="15" customHeight="1">
      <c r="B142" s="311"/>
      <c r="C142" s="311"/>
      <c r="D142" s="312"/>
      <c r="E142" s="311"/>
      <c r="F142" s="312"/>
      <c r="G142" s="311"/>
      <c r="H142" s="311"/>
      <c r="I142" s="37"/>
      <c r="J142" s="311"/>
      <c r="K142" s="305" t="str">
        <f t="shared" si="341"/>
        <v/>
      </c>
      <c r="L142" s="313"/>
      <c r="M142" s="312"/>
      <c r="N142" s="311"/>
      <c r="O142" s="312"/>
      <c r="P142" s="311"/>
      <c r="Q142" s="305" t="str">
        <f t="shared" si="342"/>
        <v/>
      </c>
      <c r="R142" s="314"/>
      <c r="S142" s="450" t="str">
        <f t="shared" si="225"/>
        <v/>
      </c>
      <c r="T142" s="315"/>
      <c r="U142" s="315"/>
      <c r="W142" s="149" t="str">
        <f t="shared" si="226"/>
        <v xml:space="preserve"> </v>
      </c>
      <c r="X142" s="243" t="str">
        <f t="shared" si="227"/>
        <v xml:space="preserve"> </v>
      </c>
      <c r="Y142" s="150" t="str">
        <f t="shared" si="228"/>
        <v/>
      </c>
      <c r="Z142" s="149" t="str">
        <f t="shared" si="229"/>
        <v xml:space="preserve"> </v>
      </c>
      <c r="AA142" s="98" t="str">
        <f t="shared" si="230"/>
        <v xml:space="preserve"> </v>
      </c>
      <c r="AB142" s="153" t="str">
        <f t="shared" si="231"/>
        <v xml:space="preserve"> </v>
      </c>
      <c r="AC142" s="153" t="str">
        <f t="shared" si="232"/>
        <v xml:space="preserve"> </v>
      </c>
      <c r="AD142" s="148" t="str">
        <f t="shared" si="233"/>
        <v/>
      </c>
      <c r="AE142" s="149" t="str">
        <f t="shared" si="234"/>
        <v/>
      </c>
      <c r="AF142" s="151" t="str">
        <f t="shared" si="235"/>
        <v xml:space="preserve"> </v>
      </c>
      <c r="AG142" s="153" t="str">
        <f t="shared" si="236"/>
        <v xml:space="preserve"> </v>
      </c>
      <c r="AH142" s="98" t="str">
        <f t="shared" si="237"/>
        <v xml:space="preserve"> </v>
      </c>
      <c r="AI142" s="149" t="str">
        <f t="shared" si="238"/>
        <v xml:space="preserve"> </v>
      </c>
      <c r="AK142" s="144" t="str">
        <f t="shared" si="239"/>
        <v xml:space="preserve"> </v>
      </c>
      <c r="AL142" s="144"/>
      <c r="AM142" s="243" t="str">
        <f t="shared" si="240"/>
        <v xml:space="preserve"> </v>
      </c>
      <c r="AN142" s="149" t="str">
        <f t="shared" si="343"/>
        <v xml:space="preserve"> </v>
      </c>
      <c r="AO142" s="144" t="str">
        <f>IF(JB142&gt;0,IF(GI142=10,-R142*1.085*(Calculation!$F$6-Calculation!$F$13)*$S$14," "),"")</f>
        <v/>
      </c>
      <c r="AP142" s="144" t="str">
        <f t="shared" si="241"/>
        <v/>
      </c>
      <c r="AQ142" s="56" t="str">
        <f t="shared" si="242"/>
        <v/>
      </c>
      <c r="AR142" s="144" t="str">
        <f t="shared" si="243"/>
        <v/>
      </c>
      <c r="AS142" s="176" t="str">
        <f t="shared" si="244"/>
        <v/>
      </c>
      <c r="AT142" s="176" t="str">
        <f t="shared" si="344"/>
        <v xml:space="preserve"> </v>
      </c>
      <c r="AU142" s="176" t="str">
        <f t="shared" si="245"/>
        <v/>
      </c>
      <c r="AV142" s="177" t="str">
        <f t="shared" si="246"/>
        <v xml:space="preserve"> </v>
      </c>
      <c r="AW142" s="144" t="str">
        <f t="shared" si="247"/>
        <v xml:space="preserve"> </v>
      </c>
      <c r="AX142" s="144" t="str">
        <f t="shared" si="248"/>
        <v xml:space="preserve"> </v>
      </c>
      <c r="AY142" s="152" t="str">
        <f t="shared" si="249"/>
        <v xml:space="preserve"> </v>
      </c>
      <c r="AZ142" s="246" t="str">
        <f t="shared" si="250"/>
        <v/>
      </c>
      <c r="BA142" s="176" t="str">
        <f t="shared" si="251"/>
        <v xml:space="preserve"> </v>
      </c>
      <c r="BB142" s="176" t="str">
        <f t="shared" si="252"/>
        <v xml:space="preserve"> </v>
      </c>
      <c r="BC142" s="195"/>
      <c r="BD142" s="316"/>
      <c r="BE142" s="317"/>
      <c r="BF142" s="318"/>
      <c r="BG142" s="318"/>
      <c r="BH142" s="144" t="str">
        <f t="shared" si="421"/>
        <v xml:space="preserve"> </v>
      </c>
      <c r="BI142" s="176" t="str">
        <f t="shared" si="253"/>
        <v/>
      </c>
      <c r="BJ142" s="144" t="str">
        <f t="shared" si="422"/>
        <v/>
      </c>
      <c r="BK142" s="246" t="str">
        <f t="shared" si="254"/>
        <v/>
      </c>
      <c r="BL142" s="144" t="str">
        <f t="shared" si="423"/>
        <v/>
      </c>
      <c r="BM142" s="246" t="str">
        <f t="shared" si="255"/>
        <v/>
      </c>
      <c r="BN142" s="337" t="str">
        <f t="shared" si="345"/>
        <v/>
      </c>
      <c r="BO142" s="371" t="str">
        <f t="shared" si="346"/>
        <v/>
      </c>
      <c r="BP142" s="328" t="str">
        <f t="shared" si="424"/>
        <v xml:space="preserve"> </v>
      </c>
      <c r="BQ142" s="347" t="str">
        <f t="shared" si="347"/>
        <v xml:space="preserve"> </v>
      </c>
      <c r="BR142" s="353" t="str">
        <f t="shared" si="348"/>
        <v xml:space="preserve"> </v>
      </c>
      <c r="BS142" s="626" t="str">
        <f>IF(L142&gt;0,IF(Calculation!P142="M13",BR142*3.1416*(0.134^2)/(4*144),IF(Calculation!P142="M17",BR142*3.1416*(0.165^2)/(4*144),IF(Calculation!P142="M20",BR142*3.1416*(0.198^2)/(4*144),IF(Calculation!P142="M23",BR142*3.1416*(0.228^2)/(4*144),IF(Calculation!P142="M27",BR142*3.1416*(0.269^2)/(4*144),BR142*3.1416*(0.307^2)/(4*144))))))," ")</f>
        <v xml:space="preserve"> </v>
      </c>
      <c r="BT142" s="353" t="str">
        <f>IF(L142&gt;0,IF(BS142&gt;0,R142/Calculation!BS142,0)," ")</f>
        <v xml:space="preserve"> </v>
      </c>
      <c r="BU142" s="438" t="e">
        <f t="shared" ca="1" si="256"/>
        <v>#VALUE!</v>
      </c>
      <c r="BV142" s="449" t="e">
        <f ca="1">INDEX(INDIRECT(VLOOKUP(LEFT(BO142,7),CLU!$Z$3:$AH$18,2)),GN142,GR142)</f>
        <v>#N/A</v>
      </c>
      <c r="BW142" s="433" t="e">
        <f ca="1">INDEX(INDIRECT(VLOOKUP(LEFT(BO142,7),CLU!$Z$3:$AH$18,3)),GN142,GR142)</f>
        <v>#N/A</v>
      </c>
      <c r="BX142" s="433" t="e">
        <f ca="1">INDEX(INDIRECT(VLOOKUP(LEFT(BO142,7),CLU!$Z$3:$AH$18,4)),GN142,GR142)</f>
        <v>#N/A</v>
      </c>
      <c r="BY142" s="433" t="e">
        <f ca="1">INDEX(INDIRECT(VLOOKUP(LEFT(BO142,7),CLU!$Z$3:$AH$18,9)),((M142-2)*(6-COUNTBLANK(GT142:GY142)))+GJ142)</f>
        <v>#N/A</v>
      </c>
      <c r="BZ142" s="426" t="e">
        <f t="shared" ca="1" si="349"/>
        <v>#N/A</v>
      </c>
      <c r="CA142" s="424" t="e">
        <f t="shared" ca="1" si="350"/>
        <v>#N/A</v>
      </c>
      <c r="CB142" s="429" t="e">
        <f ca="1">INDEX(INDIRECT(VLOOKUP(LEFT(BO142,7),CLU!$Z$3:$AH$18,2)),GN142,GS142)</f>
        <v>#N/A</v>
      </c>
      <c r="CC142" s="342" t="e">
        <f ca="1">INDEX(INDIRECT(VLOOKUP(LEFT(BO142,7),CLU!$Z$3:$AH$18,3)),GN142,GS142)</f>
        <v>#N/A</v>
      </c>
      <c r="CD142" s="342" t="e">
        <f ca="1">INDEX(INDIRECT(VLOOKUP(LEFT(BO142,7),CLU!$Z$3:$AH$18,4)),GN142,GS142)</f>
        <v>#N/A</v>
      </c>
      <c r="CE142" s="426" t="e">
        <f t="shared" ca="1" si="351"/>
        <v>#N/A</v>
      </c>
      <c r="CF142" s="440">
        <f t="shared" si="352"/>
        <v>0</v>
      </c>
      <c r="CG142" s="431" t="e">
        <f ca="1">INDEX(INDIRECT(VLOOKUP(LEFT(BO142,7),CLU!$Z$3:$AH$18,2)),GQ142,GR142)</f>
        <v>#N/A</v>
      </c>
      <c r="CH142" s="431" t="e">
        <f ca="1">INDEX(INDIRECT(VLOOKUP(LEFT(BO142,7),CLU!$Z$3:$AH$18,3)),GQ142,GR142)</f>
        <v>#N/A</v>
      </c>
      <c r="CI142" s="431" t="e">
        <f ca="1">INDEX(INDIRECT(VLOOKUP(LEFT(BO142,7),CLU!$Z$3:$AH$18,4)),GQ142,GR142)</f>
        <v>#N/A</v>
      </c>
      <c r="CJ142" s="448" t="e">
        <f t="shared" ca="1" si="353"/>
        <v>#N/A</v>
      </c>
      <c r="CK142" s="431" t="e">
        <f t="shared" ca="1" si="354"/>
        <v>#N/A</v>
      </c>
      <c r="CL142" s="440" t="e">
        <f t="shared" ca="1" si="355"/>
        <v>#N/A</v>
      </c>
      <c r="CM142" s="431" t="e">
        <f ca="1">INDEX(INDIRECT(VLOOKUP(LEFT(BO142,7),CLU!$Z$3:$AH$18,2)),GQ142,GS142)</f>
        <v>#N/A</v>
      </c>
      <c r="CN142" s="431" t="e">
        <f ca="1">INDEX(INDIRECT(VLOOKUP(LEFT(BO142,7),CLU!$Z$3:$AH$18,3)),GQ142,GS142)</f>
        <v>#N/A</v>
      </c>
      <c r="CO142" s="431" t="e">
        <f ca="1">INDEX(INDIRECT(VLOOKUP(LEFT(BO142,7),CLU!$Z$3:$AH$18,4)),GQ142,GS142)</f>
        <v>#N/A</v>
      </c>
      <c r="CP142" s="431" t="e">
        <f t="shared" ca="1" si="356"/>
        <v>#N/A</v>
      </c>
      <c r="CQ142" s="440">
        <f t="shared" si="357"/>
        <v>0</v>
      </c>
      <c r="CR142" s="51" t="e">
        <f t="shared" ca="1" si="358"/>
        <v>#N/A</v>
      </c>
      <c r="CS142" s="439" t="e">
        <f t="shared" ca="1" si="359"/>
        <v>#VALUE!</v>
      </c>
      <c r="CT142" s="51" t="e">
        <f t="shared" ca="1" si="360"/>
        <v>#VALUE!</v>
      </c>
      <c r="CU142" s="10"/>
      <c r="CV142" s="51" t="e">
        <f t="shared" ca="1" si="257"/>
        <v>#VALUE!</v>
      </c>
      <c r="CW142" s="51">
        <f t="shared" si="361"/>
        <v>0</v>
      </c>
      <c r="CX142" s="439" t="e">
        <f t="shared" ca="1" si="362"/>
        <v>#VALUE!</v>
      </c>
      <c r="CY142" s="51" t="e">
        <f t="shared" ca="1" si="363"/>
        <v>#VALUE!</v>
      </c>
      <c r="CZ142" s="10"/>
      <c r="DA142" s="51" t="e">
        <f t="shared" ca="1" si="364"/>
        <v>#VALUE!</v>
      </c>
      <c r="DB142" s="347" t="e">
        <f ca="1">INDEX(INDIRECT(VLOOKUP(LEFT(BO142,7),CLU!$Z$3:$AI$18,10)),((M142-2)*(6-COUNTBLANK(GT142:GY142)))+GJ142)*LI142</f>
        <v>#N/A</v>
      </c>
      <c r="DC142" s="347" t="str">
        <f>IF(L142&gt;0,((R142/Worksheet!$I$15)/DB142)^2," ")</f>
        <v xml:space="preserve"> </v>
      </c>
      <c r="DD142" s="602" t="str">
        <f t="shared" si="365"/>
        <v xml:space="preserve"> </v>
      </c>
      <c r="DE142" s="347" t="str">
        <f t="shared" si="258"/>
        <v xml:space="preserve"> </v>
      </c>
      <c r="DF142" s="356" t="e">
        <f ca="1">INDEX(INDIRECT(VLOOKUP(LEFT(BO142,7),CLU!$Z$3:$AH$18,8)),((M142-2)*(6-COUNTBLANK(GT142:GY142)))+GJ142)</f>
        <v>#N/A</v>
      </c>
      <c r="DG142" s="347" t="str">
        <f t="shared" si="259"/>
        <v xml:space="preserve"> </v>
      </c>
      <c r="DH142" s="357" t="str">
        <f t="shared" si="260"/>
        <v xml:space="preserve"> </v>
      </c>
      <c r="DI142" s="355" t="str">
        <f t="shared" si="261"/>
        <v xml:space="preserve"> </v>
      </c>
      <c r="DJ142" s="245" t="e">
        <f ca="1">INDEX(INDIRECT(VLOOKUP(LEFT(BO142,7),CLU!$Z$3:$AH$18,5)),GL142,GK142)</f>
        <v>#N/A</v>
      </c>
      <c r="DK142" s="245" t="e">
        <f ca="1">INDEX(INDIRECT(VLOOKUP(LEFT(BO142,7),CLU!$Z$3:$AH$18,6)),GL142,GK142)</f>
        <v>#N/A</v>
      </c>
      <c r="DL142" s="355">
        <f>(Calculation!R142*0.69143*(Calculation!$BQ$8-Calculation!$F$8))*$S$14</f>
        <v>0</v>
      </c>
      <c r="DM142" s="359" t="e">
        <f t="shared" si="366"/>
        <v>#VALUE!</v>
      </c>
      <c r="DN142" s="611">
        <f t="shared" si="367"/>
        <v>0</v>
      </c>
      <c r="DO142" s="359">
        <f t="shared" si="368"/>
        <v>100</v>
      </c>
      <c r="DP142" s="359">
        <f t="shared" si="369"/>
        <v>0</v>
      </c>
      <c r="DQ142" s="360"/>
      <c r="DR142" s="245" t="e">
        <f ca="1">INDEX(INDIRECT(VLOOKUP(LEFT(BO142,7),CLU!$Z$3:$AH$18,7)),M142-1,1)</f>
        <v>#N/A</v>
      </c>
      <c r="DS142" s="245" t="e">
        <f ca="1">INDEX(INDIRECT(VLOOKUP(LEFT(BO142,7),CLU!$Z$3:$AH$18,7)),M142-1,2)</f>
        <v>#N/A</v>
      </c>
      <c r="DT142" s="245" t="e">
        <f ca="1">INDEX(INDIRECT(VLOOKUP(LEFT(BO142,7),CLU!$Z$3:$AH$18,7)),M142-1,3)</f>
        <v>#N/A</v>
      </c>
      <c r="DU142" s="245" t="e">
        <f ca="1">INDEX(INDIRECT(VLOOKUP(LEFT(BO142,7),CLU!$Z$3:$AH$18,7)),M142-1,4)</f>
        <v>#N/A</v>
      </c>
      <c r="DV142" s="361" t="e">
        <f ca="1">INDEX(INDIRECT(VLOOKUP(LEFT(BO142,7),CLU!$Z$3:$AH$18,7)),M142-1,4+LEFT(DZ142,1)*0.5)</f>
        <v>#N/A</v>
      </c>
      <c r="DW142" s="245" t="e">
        <f ca="1">INDEX(INDIRECT(VLOOKUP(LEFT(BO142,7),CLU!$Z$3:$AH$18,7)),M142-1,8)</f>
        <v>#N/A</v>
      </c>
      <c r="DX142" s="361" t="str">
        <f t="shared" si="262"/>
        <v xml:space="preserve"> </v>
      </c>
      <c r="DY142" s="361" t="str">
        <f t="shared" si="263"/>
        <v xml:space="preserve"> </v>
      </c>
      <c r="DZ142" s="361" t="str">
        <f t="shared" si="264"/>
        <v xml:space="preserve"> </v>
      </c>
      <c r="EA142" s="362" t="str">
        <f t="shared" si="265"/>
        <v xml:space="preserve"> </v>
      </c>
      <c r="EB142" s="624" t="str">
        <f t="shared" si="370"/>
        <v xml:space="preserve"> </v>
      </c>
      <c r="EC142" s="361" t="e">
        <f ca="1">INDEX(INDIRECT(VLOOKUP(LEFT(BO142,7),CLU!$Z$3:$AH$18,7)),M142-1,4+LEFT(DZ142,1)*0.5)</f>
        <v>#N/A</v>
      </c>
      <c r="ED142" s="362" t="str">
        <f t="shared" si="266"/>
        <v xml:space="preserve"> </v>
      </c>
      <c r="EE142" s="361" t="str">
        <f t="shared" si="267"/>
        <v xml:space="preserve"> </v>
      </c>
      <c r="EF142" s="362" t="str">
        <f>IF(L142&gt;0,IF(BR142&gt;0,IF(EE142="2P",IF(Calculation!DZ142="2P",IF(Calculation!DS142=13.75,IF(Calculation!DR142=13,Worksheet!$BD$43,IF(Calculation!DR142=37,Worksheet!$BD$44,Worksheet!$BD$45)),IF(Calculation!DS142=10,IF(Calculation!DR142=18,Worksheet!$BD$29,IF(Calculation!DR142=30,Worksheet!$BD$30,IF(Calculation!DR142=42,Worksheet!$BD$31,IF(Calculation!DR142=54,Worksheet!$BD$32,IF(Calculation!DR142=66,Worksheet!$BD$33,IF(Calculation!DR142=78,Worksheet!$BD$34,IF(Calculation!DR142=90,Worksheet!$BD$35,IF(Calculation!DR142=102,Worksheet!$BD$36,Worksheet!$BD$37)))))))),IF(Calculation!DS142=12.5,IF(Calculation!DR142=18,Worksheet!$BD$38,IF(Calculation!DR142=Worksheet!$BD$39,IF(Calculation!DR142=42,Worksheet!$BD$40,IF(Calculation!DR142=54,Worksheet!$BD$41,Worksheet!$BD$42)))),IF(Calculation!DR142=18,Worksheet!$BD$11,IF(Calculation!DR142=30,Worksheet!$BD$12,IF(Calculation!DR142=42,Worksheet!$BD$13,IF(Calculation!DR142=54,Worksheet!$BD$14,IF(Calculation!DR142=66,Worksheet!$BD$15,IF(Calculation!DR142=78,Worksheet!$BD$16,IF(Calculation!DR142=90,Worksheet!$BD$17,IF(Calculation!DR142=102,Worksheet!$BD$18,Worksheet!$BD$19))))))))))),IF(Calculation!DS142=13.75,IF(Calculation!DR142=13,Worksheet!$BD$78,IF(Calculation!DR142=37,Worksheet!$BD$79,Worksheet!$BD$80)),IF(Calculation!DS142=10,IF(Calculation!DR142=18,Worksheet!$BD$64,IF(Calculation!DR142=30,Worksheet!$BD$65,IF(Calculation!DR142=42,Worksheet!$BD$66,IF(Calculation!DR142=54,Worksheet!$BD$68,IF(Calculation!DR142=66,Worksheet!$BD$68,IF(Calculation!DR142=78,Worksheet!$BD$69,IF(Calculation!DR142=90,Worksheet!$BD$70,IF(Calculation!DR142=102,Worksheet!$BD$71,Worksheet!$BD$72)))))))),IF(Calculation!DS142=12.5,IF(Calculation!DR142=18,Worksheet!$BD$73,IF(Calculation!DR142=Worksheet!$BD$74,IF(Calculation!DR142=42,Worksheet!$BD$75,IF(Calculation!DR142=54,Worksheet!$BD$76,Worksheet!$BD$77)))),IF(Calculation!DR142=18,Worksheet!$BD$55,IF(Calculation!DR142=30,Worksheet!$BD$56,IF(Calculation!DR142=42,Worksheet!$BD$57,IF(Calculation!DR142=54,Worksheet!$BD$58,IF(Calculation!DR142=66,Worksheet!$BD$59,IF(Calculation!DR142=78,Worksheet!$BD$60,IF(Calculation!DR142=90,Worksheet!$BD$61,IF(Calculation!DR142=102,Worksheet!$BD$62,Worksheet!$BD$63)))))))))))),5),0)," ")</f>
        <v xml:space="preserve"> </v>
      </c>
      <c r="EG142" s="361" t="str">
        <f t="shared" si="268"/>
        <v xml:space="preserve"> </v>
      </c>
      <c r="EH142" s="361" t="e">
        <f ca="1">INDEX(INDIRECT(VLOOKUP(LEFT(BO142,7),CLU!$Z$3:$AH$18,7)),M142-1,3+LEFT(DZ142,1))</f>
        <v>#N/A</v>
      </c>
      <c r="EI142" s="362" t="str">
        <f t="shared" si="269"/>
        <v xml:space="preserve"> </v>
      </c>
      <c r="EJ142" s="363" t="str">
        <f t="shared" si="270"/>
        <v xml:space="preserve"> </v>
      </c>
      <c r="EK142" s="363" t="str">
        <f t="shared" si="271"/>
        <v xml:space="preserve"> </v>
      </c>
      <c r="EL142" s="363" t="str">
        <f t="shared" si="272"/>
        <v xml:space="preserve"> </v>
      </c>
      <c r="EM142" s="362" t="str">
        <f>IF(L142&gt;0,IF(BR142&gt;0,(Calculation!T142/ED142)^2,0)," ")</f>
        <v xml:space="preserve"> </v>
      </c>
      <c r="EN142" s="362" t="str">
        <f>IF(L142&gt;0,IF(O142="2 Pipe (Cooling)","N/A",IF(BR142&gt;0,(Calculation!U142/EI142)^2,0))," ")</f>
        <v xml:space="preserve"> </v>
      </c>
      <c r="EO142" s="361" t="str">
        <f t="shared" si="273"/>
        <v/>
      </c>
      <c r="EP142" s="361" t="str">
        <f t="shared" si="274"/>
        <v/>
      </c>
      <c r="EQ142" s="361" t="str">
        <f t="shared" si="275"/>
        <v/>
      </c>
      <c r="ER142" s="361" t="str">
        <f t="shared" si="276"/>
        <v/>
      </c>
      <c r="ES142" s="361" t="str">
        <f t="shared" si="277"/>
        <v/>
      </c>
      <c r="ET142" s="361" t="str">
        <f t="shared" si="278"/>
        <v/>
      </c>
      <c r="EU142" s="361" t="str">
        <f t="shared" si="279"/>
        <v/>
      </c>
      <c r="EV142" s="361" t="str">
        <f t="shared" si="280"/>
        <v/>
      </c>
      <c r="EW142" s="361" t="str">
        <f t="shared" si="281"/>
        <v/>
      </c>
      <c r="EX142" s="361" t="str">
        <f t="shared" si="371"/>
        <v>1 slot, 1 way</v>
      </c>
      <c r="EY142" s="361" t="str">
        <f t="shared" si="372"/>
        <v xml:space="preserve"> </v>
      </c>
      <c r="EZ142" s="361" t="str">
        <f t="shared" si="373"/>
        <v xml:space="preserve"> </v>
      </c>
      <c r="FA142" s="361" t="str">
        <f t="shared" si="374"/>
        <v xml:space="preserve"> </v>
      </c>
      <c r="FB142" s="361" t="str">
        <f t="shared" si="375"/>
        <v xml:space="preserve"> </v>
      </c>
      <c r="FC142" s="361"/>
      <c r="FD142" s="361" t="str">
        <f>IF(J142&gt;0,IF(Calculation!R142&lt;=70,4,IF(Calculation!R142&lt;=110,5,IF(Calculation!R142&lt;=160,6,IF(Calculation!R142&lt;=300,8,"10 EO")))),"")</f>
        <v/>
      </c>
      <c r="FE142" s="361" t="str">
        <f t="shared" si="376"/>
        <v/>
      </c>
      <c r="FF142" s="361" t="str">
        <f t="shared" si="377"/>
        <v/>
      </c>
      <c r="FG142" s="361" t="e">
        <f t="shared" si="282"/>
        <v>#N/A</v>
      </c>
      <c r="FH142" s="361">
        <f t="shared" si="283"/>
        <v>0</v>
      </c>
      <c r="FI142" s="361" t="e">
        <f t="shared" si="284"/>
        <v>#DIV/0!</v>
      </c>
      <c r="FJ142" s="361"/>
      <c r="FK142" s="356" t="e">
        <f t="shared" si="285"/>
        <v>#VALUE!</v>
      </c>
      <c r="FL142" s="361"/>
      <c r="FM142" s="361"/>
      <c r="FN142" s="362" t="str">
        <f t="shared" si="378"/>
        <v xml:space="preserve"> </v>
      </c>
      <c r="FO142" s="362" t="str">
        <f t="shared" si="379"/>
        <v xml:space="preserve"> </v>
      </c>
      <c r="FP142" s="362">
        <f t="shared" si="380"/>
        <v>0</v>
      </c>
      <c r="FQ142" s="361">
        <f t="shared" si="286"/>
        <v>0</v>
      </c>
      <c r="FR142" s="362" t="str">
        <f>IF(L142&gt;0,IF(J142="CBAL2",Worksheet!$P$67,IF(J142="CBE2-24",Worksheet!$Q$67,IF(J142="CBAM",Worksheet!$R$67,IF(J142="CBLV",Worksheet!$S$67,IF(J142="CBAB",Worksheet!$U$67,IF(J142="CBAW",Worksheet!$X$67,IF(J142="CBE2-12",Worksheet!$Y$67,IF(J142="CBAL2",Worksheet!$Z$67,"N/A"))))))))," ")</f>
        <v xml:space="preserve"> </v>
      </c>
      <c r="FS142" s="362" t="str">
        <f>IF(L142&gt;0,IF(J142="CBAL2",Worksheet!$P$68,IF(J142="CBE2-24",Worksheet!$Q$68,IF(J142="CBAM",Worksheet!$R$68,IF(J142="CBLV",Worksheet!$S$68,IF(J142="CBAB",Worksheet!$U$68,IF(J142="CBAW",Worksheet!$X$68,IF(J142="CBE2-12",Worksheet!$Y$68,IF(J142="CBAL2",Worksheet!$Z$68,"N/A"))))))))," ")</f>
        <v xml:space="preserve"> </v>
      </c>
      <c r="FT142" s="362" t="str">
        <f>IF(L142&gt;0,IF(J142="CBAL2",Worksheet!$P$69,IF(J142="CBE2-24",Worksheet!$Q$69,IF(J142="CBAM",Worksheet!$R$69,IF(J142="CBLV",Worksheet!$S$69,IF(J142="CBAB",Worksheet!$U$69,IF(J142="CBAW",Worksheet!$X$69,IF(J142="CBE2-12",Worksheet!$Y$69,IF(J142="CBAL2",Worksheet!$Z$69,"N/A"))))))))," ")</f>
        <v xml:space="preserve"> </v>
      </c>
      <c r="FU142" s="361" t="str">
        <f t="shared" si="381"/>
        <v xml:space="preserve"> </v>
      </c>
      <c r="FV142" s="362" t="str">
        <f t="shared" si="382"/>
        <v xml:space="preserve"> </v>
      </c>
      <c r="FW142" s="362" t="str">
        <f t="shared" si="383"/>
        <v xml:space="preserve"> </v>
      </c>
      <c r="FX142" s="362" t="str">
        <f t="shared" si="384"/>
        <v xml:space="preserve"> </v>
      </c>
      <c r="FY142" s="355" t="str">
        <f t="shared" si="385"/>
        <v xml:space="preserve"> </v>
      </c>
      <c r="FZ142" s="361" t="str">
        <f t="shared" si="386"/>
        <v xml:space="preserve"> </v>
      </c>
      <c r="GA142" s="347" t="str">
        <f t="shared" si="387"/>
        <v xml:space="preserve"> </v>
      </c>
      <c r="GB142" s="355" t="str">
        <f t="shared" si="388"/>
        <v xml:space="preserve"> </v>
      </c>
      <c r="GC142" s="328" t="str">
        <f t="shared" si="389"/>
        <v xml:space="preserve"> </v>
      </c>
      <c r="GD142" s="361" t="str">
        <f t="shared" si="390"/>
        <v xml:space="preserve"> </v>
      </c>
      <c r="GE142" s="347" t="str">
        <f t="shared" si="391"/>
        <v xml:space="preserve"> </v>
      </c>
      <c r="GF142" s="361" t="str">
        <f t="shared" si="392"/>
        <v xml:space="preserve"> </v>
      </c>
      <c r="GG142" s="347" t="str">
        <f t="shared" si="393"/>
        <v xml:space="preserve"> </v>
      </c>
      <c r="GH142" s="364">
        <f t="shared" si="287"/>
        <v>0</v>
      </c>
      <c r="GI142" s="362">
        <f t="shared" si="394"/>
        <v>2</v>
      </c>
      <c r="GJ142" s="433" t="e">
        <f>IF(6-COUNTBLANK(GT142:GY142)=4,MATCH(MID(BO142,9,3),CLU!$H$16:$K$16),MATCH(MID(BO142,9,3),CLU!$H$13:$M$13))</f>
        <v>#N/A</v>
      </c>
      <c r="GK142" s="433" t="e">
        <f>HLOOKUP(VALUE(BP142),CLU!$H$9:$M$10,2)</f>
        <v>#VALUE!</v>
      </c>
      <c r="GL142" s="433" t="e">
        <f ca="1">MATCH(BU142,CLU!$H$2:$V$2,1)</f>
        <v>#VALUE!</v>
      </c>
      <c r="GM142" s="433" t="e">
        <f t="shared" ca="1" si="395"/>
        <v>#VALUE!</v>
      </c>
      <c r="GN142" s="433" t="e">
        <f t="shared" ca="1" si="396"/>
        <v>#VALUE!</v>
      </c>
      <c r="GO142" s="433" t="e">
        <f t="shared" ca="1" si="397"/>
        <v>#VALUE!</v>
      </c>
      <c r="GP142" s="433" t="e">
        <f t="shared" ca="1" si="398"/>
        <v>#VALUE!</v>
      </c>
      <c r="GQ142" s="433" t="e">
        <f t="shared" ca="1" si="399"/>
        <v>#VALUE!</v>
      </c>
      <c r="GR142" s="433" t="e">
        <f ca="1">MATCH(T142,INDIRECT(VLOOKUP(CONCATENATE(LEFT(BO142,7),"-",MID(BO142,13,1)),CLU!$P$3:$Q$16,2)),1)</f>
        <v>#N/A</v>
      </c>
      <c r="GS142" s="433" t="e">
        <f ca="1">MATCH(U142,INDIRECT(VLOOKUP(CONCATENATE(LEFT(BO142,7),"-",MID(BO142,13,1)),CLU!$P$3:$Q$16,2)),1)</f>
        <v>#N/A</v>
      </c>
      <c r="GT142" s="347" t="s">
        <v>512</v>
      </c>
      <c r="GU142" s="97" t="s">
        <v>513</v>
      </c>
      <c r="GV142" s="97" t="str">
        <f t="shared" si="400"/>
        <v>M23</v>
      </c>
      <c r="GW142" s="97" t="str">
        <f t="shared" si="401"/>
        <v>M31</v>
      </c>
      <c r="GX142" s="97" t="str">
        <f t="shared" si="402"/>
        <v/>
      </c>
      <c r="GY142" s="97" t="str">
        <f t="shared" si="403"/>
        <v/>
      </c>
      <c r="GZ142" s="481"/>
      <c r="HA142" s="288"/>
      <c r="HB142" s="240"/>
      <c r="HC142" s="240"/>
      <c r="HD142" s="240"/>
      <c r="HE142" s="240"/>
      <c r="HF142" s="240"/>
      <c r="HG142" s="240"/>
      <c r="HH142" s="240"/>
      <c r="HI142" s="240"/>
      <c r="HJ142" s="240"/>
      <c r="HK142" s="240"/>
      <c r="HL142" s="240"/>
      <c r="HM142" s="240"/>
      <c r="HN142" s="240"/>
      <c r="HO142" s="240"/>
      <c r="HP142" s="240"/>
      <c r="HQ142" s="240"/>
      <c r="HR142" s="240"/>
      <c r="HS142" s="240"/>
      <c r="HT142" s="240"/>
      <c r="HU142" s="240"/>
      <c r="HV142" s="245"/>
      <c r="HW142" s="245" t="b">
        <v>1</v>
      </c>
      <c r="HX142" s="245" t="str">
        <f t="shared" si="288"/>
        <v/>
      </c>
      <c r="HY142" s="245" t="e">
        <f t="shared" si="289"/>
        <v>#DIV/0!</v>
      </c>
      <c r="HZ142" s="245" t="e">
        <f t="shared" si="290"/>
        <v>#DIV/0!</v>
      </c>
      <c r="IA142" s="245">
        <f t="shared" si="291"/>
        <v>0</v>
      </c>
      <c r="IB142" s="245"/>
      <c r="IC142" t="b">
        <f t="shared" si="292"/>
        <v>1</v>
      </c>
      <c r="ID142" s="245" t="b">
        <f t="shared" si="293"/>
        <v>1</v>
      </c>
      <c r="IE142" s="245" t="b">
        <f t="shared" si="294"/>
        <v>1</v>
      </c>
      <c r="IF142" s="245" t="b">
        <f t="shared" si="295"/>
        <v>0</v>
      </c>
      <c r="IG142" s="245" t="b">
        <f t="shared" si="296"/>
        <v>1</v>
      </c>
      <c r="IH142" s="245" t="b">
        <f t="shared" si="297"/>
        <v>1</v>
      </c>
      <c r="II142" s="245">
        <f t="shared" si="404"/>
        <v>0</v>
      </c>
      <c r="IJ142" s="245" t="e">
        <f t="shared" si="298"/>
        <v>#VALUE!</v>
      </c>
      <c r="IK142" s="245" t="e">
        <f t="shared" si="299"/>
        <v>#VALUE!</v>
      </c>
      <c r="IL142" s="245"/>
      <c r="IM142" s="245" t="e">
        <f t="shared" si="405"/>
        <v>#N/A</v>
      </c>
      <c r="IN142" s="245" t="e">
        <f t="shared" si="406"/>
        <v>#N/A</v>
      </c>
      <c r="IO142" s="245"/>
      <c r="IP142" s="245"/>
      <c r="IQ142" s="245" t="str">
        <f t="shared" si="300"/>
        <v/>
      </c>
      <c r="IR142" s="245" t="str">
        <f>IF(J142="","",VLOOKUP(J142,Worksheet!$R$4:$T$14,2))</f>
        <v/>
      </c>
      <c r="IS142" s="245"/>
      <c r="IT142" s="245">
        <f t="shared" si="301"/>
        <v>0</v>
      </c>
      <c r="IU142" s="245">
        <f t="shared" si="302"/>
        <v>0</v>
      </c>
      <c r="IV142" s="245">
        <f t="shared" si="303"/>
        <v>0</v>
      </c>
      <c r="IW142" s="245">
        <f t="shared" si="304"/>
        <v>0</v>
      </c>
      <c r="IX142" s="245">
        <f t="shared" si="407"/>
        <v>0</v>
      </c>
      <c r="IY142" s="245">
        <f t="shared" si="305"/>
        <v>0</v>
      </c>
      <c r="IZ142" s="245">
        <f t="shared" si="306"/>
        <v>0</v>
      </c>
      <c r="JA142">
        <f t="shared" si="307"/>
        <v>0</v>
      </c>
      <c r="JB142">
        <f t="shared" si="408"/>
        <v>0</v>
      </c>
      <c r="JC142">
        <f t="shared" si="308"/>
        <v>0</v>
      </c>
      <c r="JD142">
        <f t="shared" si="309"/>
        <v>0</v>
      </c>
      <c r="JE142">
        <f t="shared" si="310"/>
        <v>0</v>
      </c>
      <c r="JF142">
        <f t="shared" si="311"/>
        <v>0</v>
      </c>
      <c r="JG142">
        <f t="shared" si="312"/>
        <v>0</v>
      </c>
      <c r="JH142">
        <f t="shared" si="313"/>
        <v>0</v>
      </c>
      <c r="JI142">
        <f t="shared" si="314"/>
        <v>0</v>
      </c>
      <c r="JJ142" s="447">
        <f t="shared" si="315"/>
        <v>0</v>
      </c>
      <c r="JK142" s="447">
        <f t="shared" si="316"/>
        <v>0</v>
      </c>
      <c r="JL142">
        <f t="shared" si="317"/>
        <v>0</v>
      </c>
      <c r="JM142" s="245" t="str">
        <f>IFERROR(VLOOKUP(MATCH(BN142,#REF!,0),#REF!,7),"")</f>
        <v/>
      </c>
      <c r="JN142" t="e">
        <f>HLOOKUP(LEFT(BO142,7),Discharge_Area,MATCH(JO142,LookUps!$B$130:$B$149,1)+2)</f>
        <v>#N/A</v>
      </c>
      <c r="JO142" t="str">
        <f t="shared" si="318"/>
        <v>- S</v>
      </c>
      <c r="JP142" t="e">
        <f>HLOOKUP(LEFT(BO142,7),Discharge_Area,MATCH(JO142,LookUps!$B$130:$B$149,1)+2)</f>
        <v>#N/A</v>
      </c>
      <c r="JQ142" t="e">
        <f t="shared" si="319"/>
        <v>#N/A</v>
      </c>
      <c r="JR142" t="e">
        <f t="shared" si="320"/>
        <v>#N/A</v>
      </c>
      <c r="JS142" t="e">
        <f t="shared" si="321"/>
        <v>#N/A</v>
      </c>
      <c r="JT142" s="532" t="str">
        <f t="shared" si="322"/>
        <v xml:space="preserve"> </v>
      </c>
      <c r="JU142" s="532" t="str">
        <f t="shared" si="323"/>
        <v xml:space="preserve"> </v>
      </c>
      <c r="JV142" s="533" t="str">
        <f t="shared" si="324"/>
        <v xml:space="preserve"> </v>
      </c>
      <c r="JW142" s="534">
        <f t="shared" si="325"/>
        <v>0</v>
      </c>
      <c r="JX142" s="535" t="str">
        <f t="shared" si="409"/>
        <v xml:space="preserve"> </v>
      </c>
      <c r="JY142" s="535" t="str">
        <f t="shared" si="410"/>
        <v xml:space="preserve"> </v>
      </c>
      <c r="JZ142" s="535" t="str">
        <f t="shared" si="411"/>
        <v xml:space="preserve"> </v>
      </c>
      <c r="KA142" s="536" t="str">
        <f t="shared" si="326"/>
        <v xml:space="preserve"> </v>
      </c>
      <c r="KB142" s="535" t="e">
        <f t="shared" si="412"/>
        <v>#VALUE!</v>
      </c>
      <c r="KC142" s="535" t="str">
        <f t="shared" si="327"/>
        <v/>
      </c>
      <c r="KD142" s="537" t="str">
        <f t="shared" si="413"/>
        <v xml:space="preserve"> </v>
      </c>
      <c r="KE142" s="537" t="str">
        <f t="shared" si="414"/>
        <v xml:space="preserve"> </v>
      </c>
      <c r="KF142" s="534">
        <f t="shared" si="328"/>
        <v>0</v>
      </c>
      <c r="KG142" s="535" t="str">
        <f t="shared" si="329"/>
        <v xml:space="preserve"> </v>
      </c>
      <c r="KH142" s="535" t="str">
        <f t="shared" si="330"/>
        <v xml:space="preserve"> </v>
      </c>
      <c r="KI142" s="535" t="str">
        <f t="shared" si="331"/>
        <v xml:space="preserve"> </v>
      </c>
      <c r="KJ142" s="536" t="str">
        <f t="shared" si="332"/>
        <v xml:space="preserve"> </v>
      </c>
      <c r="KK142" s="535" t="str">
        <f t="shared" si="415"/>
        <v xml:space="preserve"> </v>
      </c>
      <c r="KL142" s="535" t="str">
        <f t="shared" si="416"/>
        <v xml:space="preserve"> </v>
      </c>
      <c r="KM142" s="537" t="str">
        <f t="shared" si="333"/>
        <v xml:space="preserve"> </v>
      </c>
      <c r="KN142" s="537" t="str">
        <f t="shared" si="417"/>
        <v xml:space="preserve"> </v>
      </c>
      <c r="KP142">
        <f t="shared" si="334"/>
        <v>0</v>
      </c>
      <c r="LA142" t="e">
        <f t="shared" si="335"/>
        <v>#VALUE!</v>
      </c>
      <c r="LB142" t="e">
        <f t="shared" si="336"/>
        <v>#VALUE!</v>
      </c>
      <c r="LC142" t="e">
        <f t="shared" si="337"/>
        <v>#VALUE!</v>
      </c>
      <c r="LD142" t="e">
        <f t="shared" si="338"/>
        <v>#VALUE!</v>
      </c>
      <c r="LE142" t="e">
        <f t="shared" si="418"/>
        <v>#VALUE!</v>
      </c>
      <c r="LF142">
        <f t="shared" si="339"/>
        <v>0</v>
      </c>
      <c r="LG142" t="e">
        <f t="shared" si="419"/>
        <v>#VALUE!</v>
      </c>
      <c r="LH142" t="str">
        <f t="shared" si="340"/>
        <v xml:space="preserve"> </v>
      </c>
      <c r="LI142">
        <f t="shared" si="420"/>
        <v>1</v>
      </c>
    </row>
    <row r="143" spans="2:321" ht="15" customHeight="1">
      <c r="B143" s="311"/>
      <c r="C143" s="311"/>
      <c r="D143" s="312"/>
      <c r="E143" s="311"/>
      <c r="F143" s="312"/>
      <c r="G143" s="311"/>
      <c r="H143" s="311"/>
      <c r="I143" s="37"/>
      <c r="J143" s="311"/>
      <c r="K143" s="305" t="str">
        <f t="shared" si="341"/>
        <v/>
      </c>
      <c r="L143" s="313"/>
      <c r="M143" s="312"/>
      <c r="N143" s="311"/>
      <c r="O143" s="312"/>
      <c r="P143" s="311"/>
      <c r="Q143" s="305" t="str">
        <f t="shared" si="342"/>
        <v/>
      </c>
      <c r="R143" s="314"/>
      <c r="S143" s="450" t="str">
        <f t="shared" si="225"/>
        <v/>
      </c>
      <c r="T143" s="315"/>
      <c r="U143" s="315"/>
      <c r="W143" s="149" t="str">
        <f t="shared" si="226"/>
        <v xml:space="preserve"> </v>
      </c>
      <c r="X143" s="243" t="str">
        <f t="shared" si="227"/>
        <v xml:space="preserve"> </v>
      </c>
      <c r="Y143" s="150" t="str">
        <f t="shared" si="228"/>
        <v/>
      </c>
      <c r="Z143" s="149" t="str">
        <f t="shared" si="229"/>
        <v xml:space="preserve"> </v>
      </c>
      <c r="AA143" s="98" t="str">
        <f t="shared" si="230"/>
        <v xml:space="preserve"> </v>
      </c>
      <c r="AB143" s="153" t="str">
        <f t="shared" si="231"/>
        <v xml:space="preserve"> </v>
      </c>
      <c r="AC143" s="153" t="str">
        <f t="shared" si="232"/>
        <v xml:space="preserve"> </v>
      </c>
      <c r="AD143" s="148" t="str">
        <f t="shared" si="233"/>
        <v/>
      </c>
      <c r="AE143" s="149" t="str">
        <f t="shared" si="234"/>
        <v/>
      </c>
      <c r="AF143" s="151" t="str">
        <f t="shared" si="235"/>
        <v xml:space="preserve"> </v>
      </c>
      <c r="AG143" s="153" t="str">
        <f t="shared" si="236"/>
        <v xml:space="preserve"> </v>
      </c>
      <c r="AH143" s="98" t="str">
        <f t="shared" si="237"/>
        <v xml:space="preserve"> </v>
      </c>
      <c r="AI143" s="149" t="str">
        <f t="shared" si="238"/>
        <v xml:space="preserve"> </v>
      </c>
      <c r="AK143" s="144" t="str">
        <f t="shared" si="239"/>
        <v xml:space="preserve"> </v>
      </c>
      <c r="AL143" s="144"/>
      <c r="AM143" s="243" t="str">
        <f t="shared" si="240"/>
        <v xml:space="preserve"> </v>
      </c>
      <c r="AN143" s="149" t="str">
        <f t="shared" si="343"/>
        <v xml:space="preserve"> </v>
      </c>
      <c r="AO143" s="144" t="str">
        <f>IF(JB143&gt;0,IF(GI143=10,-R143*1.085*(Calculation!$F$6-Calculation!$F$13)*$S$14," "),"")</f>
        <v/>
      </c>
      <c r="AP143" s="144" t="str">
        <f t="shared" si="241"/>
        <v/>
      </c>
      <c r="AQ143" s="56" t="str">
        <f t="shared" si="242"/>
        <v/>
      </c>
      <c r="AR143" s="144" t="str">
        <f t="shared" si="243"/>
        <v/>
      </c>
      <c r="AS143" s="176" t="str">
        <f t="shared" si="244"/>
        <v/>
      </c>
      <c r="AT143" s="176" t="str">
        <f t="shared" si="344"/>
        <v xml:space="preserve"> </v>
      </c>
      <c r="AU143" s="176" t="str">
        <f t="shared" si="245"/>
        <v/>
      </c>
      <c r="AV143" s="177" t="str">
        <f t="shared" si="246"/>
        <v xml:space="preserve"> </v>
      </c>
      <c r="AW143" s="144" t="str">
        <f t="shared" si="247"/>
        <v xml:space="preserve"> </v>
      </c>
      <c r="AX143" s="144" t="str">
        <f t="shared" si="248"/>
        <v xml:space="preserve"> </v>
      </c>
      <c r="AY143" s="152" t="str">
        <f t="shared" si="249"/>
        <v xml:space="preserve"> </v>
      </c>
      <c r="AZ143" s="246" t="str">
        <f t="shared" si="250"/>
        <v/>
      </c>
      <c r="BA143" s="176" t="str">
        <f t="shared" si="251"/>
        <v xml:space="preserve"> </v>
      </c>
      <c r="BB143" s="176" t="str">
        <f t="shared" si="252"/>
        <v xml:space="preserve"> </v>
      </c>
      <c r="BC143" s="195"/>
      <c r="BD143" s="316"/>
      <c r="BE143" s="317"/>
      <c r="BF143" s="318"/>
      <c r="BG143" s="318"/>
      <c r="BH143" s="144" t="str">
        <f t="shared" si="421"/>
        <v xml:space="preserve"> </v>
      </c>
      <c r="BI143" s="176" t="str">
        <f t="shared" si="253"/>
        <v/>
      </c>
      <c r="BJ143" s="144" t="str">
        <f t="shared" si="422"/>
        <v/>
      </c>
      <c r="BK143" s="246" t="str">
        <f t="shared" si="254"/>
        <v/>
      </c>
      <c r="BL143" s="144" t="str">
        <f t="shared" si="423"/>
        <v/>
      </c>
      <c r="BM143" s="246" t="str">
        <f t="shared" si="255"/>
        <v/>
      </c>
      <c r="BN143" s="337" t="str">
        <f t="shared" si="345"/>
        <v/>
      </c>
      <c r="BO143" s="371" t="str">
        <f t="shared" si="346"/>
        <v/>
      </c>
      <c r="BP143" s="328" t="str">
        <f t="shared" si="424"/>
        <v xml:space="preserve"> </v>
      </c>
      <c r="BQ143" s="347" t="str">
        <f t="shared" si="347"/>
        <v xml:space="preserve"> </v>
      </c>
      <c r="BR143" s="353" t="str">
        <f t="shared" si="348"/>
        <v xml:space="preserve"> </v>
      </c>
      <c r="BS143" s="626" t="str">
        <f>IF(L143&gt;0,IF(Calculation!P143="M13",BR143*3.1416*(0.134^2)/(4*144),IF(Calculation!P143="M17",BR143*3.1416*(0.165^2)/(4*144),IF(Calculation!P143="M20",BR143*3.1416*(0.198^2)/(4*144),IF(Calculation!P143="M23",BR143*3.1416*(0.228^2)/(4*144),IF(Calculation!P143="M27",BR143*3.1416*(0.269^2)/(4*144),BR143*3.1416*(0.307^2)/(4*144))))))," ")</f>
        <v xml:space="preserve"> </v>
      </c>
      <c r="BT143" s="353" t="str">
        <f>IF(L143&gt;0,IF(BS143&gt;0,R143/Calculation!BS143,0)," ")</f>
        <v xml:space="preserve"> </v>
      </c>
      <c r="BU143" s="438" t="e">
        <f t="shared" ca="1" si="256"/>
        <v>#VALUE!</v>
      </c>
      <c r="BV143" s="449" t="e">
        <f ca="1">INDEX(INDIRECT(VLOOKUP(LEFT(BO143,7),CLU!$Z$3:$AH$18,2)),GN143,GR143)</f>
        <v>#N/A</v>
      </c>
      <c r="BW143" s="433" t="e">
        <f ca="1">INDEX(INDIRECT(VLOOKUP(LEFT(BO143,7),CLU!$Z$3:$AH$18,3)),GN143,GR143)</f>
        <v>#N/A</v>
      </c>
      <c r="BX143" s="433" t="e">
        <f ca="1">INDEX(INDIRECT(VLOOKUP(LEFT(BO143,7),CLU!$Z$3:$AH$18,4)),GN143,GR143)</f>
        <v>#N/A</v>
      </c>
      <c r="BY143" s="433" t="e">
        <f ca="1">INDEX(INDIRECT(VLOOKUP(LEFT(BO143,7),CLU!$Z$3:$AH$18,9)),((M143-2)*(6-COUNTBLANK(GT143:GY143)))+GJ143)</f>
        <v>#N/A</v>
      </c>
      <c r="BZ143" s="426" t="e">
        <f t="shared" ca="1" si="349"/>
        <v>#N/A</v>
      </c>
      <c r="CA143" s="424" t="e">
        <f t="shared" ca="1" si="350"/>
        <v>#N/A</v>
      </c>
      <c r="CB143" s="429" t="e">
        <f ca="1">INDEX(INDIRECT(VLOOKUP(LEFT(BO143,7),CLU!$Z$3:$AH$18,2)),GN143,GS143)</f>
        <v>#N/A</v>
      </c>
      <c r="CC143" s="342" t="e">
        <f ca="1">INDEX(INDIRECT(VLOOKUP(LEFT(BO143,7),CLU!$Z$3:$AH$18,3)),GN143,GS143)</f>
        <v>#N/A</v>
      </c>
      <c r="CD143" s="342" t="e">
        <f ca="1">INDEX(INDIRECT(VLOOKUP(LEFT(BO143,7),CLU!$Z$3:$AH$18,4)),GN143,GS143)</f>
        <v>#N/A</v>
      </c>
      <c r="CE143" s="426" t="e">
        <f t="shared" ca="1" si="351"/>
        <v>#N/A</v>
      </c>
      <c r="CF143" s="440">
        <f t="shared" si="352"/>
        <v>0</v>
      </c>
      <c r="CG143" s="431" t="e">
        <f ca="1">INDEX(INDIRECT(VLOOKUP(LEFT(BO143,7),CLU!$Z$3:$AH$18,2)),GQ143,GR143)</f>
        <v>#N/A</v>
      </c>
      <c r="CH143" s="431" t="e">
        <f ca="1">INDEX(INDIRECT(VLOOKUP(LEFT(BO143,7),CLU!$Z$3:$AH$18,3)),GQ143,GR143)</f>
        <v>#N/A</v>
      </c>
      <c r="CI143" s="431" t="e">
        <f ca="1">INDEX(INDIRECT(VLOOKUP(LEFT(BO143,7),CLU!$Z$3:$AH$18,4)),GQ143,GR143)</f>
        <v>#N/A</v>
      </c>
      <c r="CJ143" s="448" t="e">
        <f t="shared" ca="1" si="353"/>
        <v>#N/A</v>
      </c>
      <c r="CK143" s="431" t="e">
        <f t="shared" ca="1" si="354"/>
        <v>#N/A</v>
      </c>
      <c r="CL143" s="440" t="e">
        <f t="shared" ca="1" si="355"/>
        <v>#N/A</v>
      </c>
      <c r="CM143" s="431" t="e">
        <f ca="1">INDEX(INDIRECT(VLOOKUP(LEFT(BO143,7),CLU!$Z$3:$AH$18,2)),GQ143,GS143)</f>
        <v>#N/A</v>
      </c>
      <c r="CN143" s="431" t="e">
        <f ca="1">INDEX(INDIRECT(VLOOKUP(LEFT(BO143,7),CLU!$Z$3:$AH$18,3)),GQ143,GS143)</f>
        <v>#N/A</v>
      </c>
      <c r="CO143" s="431" t="e">
        <f ca="1">INDEX(INDIRECT(VLOOKUP(LEFT(BO143,7),CLU!$Z$3:$AH$18,4)),GQ143,GS143)</f>
        <v>#N/A</v>
      </c>
      <c r="CP143" s="431" t="e">
        <f t="shared" ca="1" si="356"/>
        <v>#N/A</v>
      </c>
      <c r="CQ143" s="440">
        <f t="shared" si="357"/>
        <v>0</v>
      </c>
      <c r="CR143" s="51" t="e">
        <f t="shared" ca="1" si="358"/>
        <v>#N/A</v>
      </c>
      <c r="CS143" s="439" t="e">
        <f t="shared" ca="1" si="359"/>
        <v>#VALUE!</v>
      </c>
      <c r="CT143" s="51" t="e">
        <f t="shared" ca="1" si="360"/>
        <v>#VALUE!</v>
      </c>
      <c r="CU143" s="10"/>
      <c r="CV143" s="51" t="e">
        <f t="shared" ca="1" si="257"/>
        <v>#VALUE!</v>
      </c>
      <c r="CW143" s="51">
        <f t="shared" si="361"/>
        <v>0</v>
      </c>
      <c r="CX143" s="439" t="e">
        <f t="shared" ca="1" si="362"/>
        <v>#VALUE!</v>
      </c>
      <c r="CY143" s="51" t="e">
        <f t="shared" ca="1" si="363"/>
        <v>#VALUE!</v>
      </c>
      <c r="CZ143" s="10"/>
      <c r="DA143" s="51" t="e">
        <f t="shared" ca="1" si="364"/>
        <v>#VALUE!</v>
      </c>
      <c r="DB143" s="347" t="e">
        <f ca="1">INDEX(INDIRECT(VLOOKUP(LEFT(BO143,7),CLU!$Z$3:$AI$18,10)),((M143-2)*(6-COUNTBLANK(GT143:GY143)))+GJ143)*LI143</f>
        <v>#N/A</v>
      </c>
      <c r="DC143" s="347" t="str">
        <f>IF(L143&gt;0,((R143/Worksheet!$I$15)/DB143)^2," ")</f>
        <v xml:space="preserve"> </v>
      </c>
      <c r="DD143" s="602" t="str">
        <f t="shared" si="365"/>
        <v xml:space="preserve"> </v>
      </c>
      <c r="DE143" s="347" t="str">
        <f t="shared" si="258"/>
        <v xml:space="preserve"> </v>
      </c>
      <c r="DF143" s="356" t="e">
        <f ca="1">INDEX(INDIRECT(VLOOKUP(LEFT(BO143,7),CLU!$Z$3:$AH$18,8)),((M143-2)*(6-COUNTBLANK(GT143:GY143)))+GJ143)</f>
        <v>#N/A</v>
      </c>
      <c r="DG143" s="347" t="str">
        <f t="shared" si="259"/>
        <v xml:space="preserve"> </v>
      </c>
      <c r="DH143" s="357" t="str">
        <f t="shared" si="260"/>
        <v xml:space="preserve"> </v>
      </c>
      <c r="DI143" s="355" t="str">
        <f t="shared" si="261"/>
        <v xml:space="preserve"> </v>
      </c>
      <c r="DJ143" s="245" t="e">
        <f ca="1">INDEX(INDIRECT(VLOOKUP(LEFT(BO143,7),CLU!$Z$3:$AH$18,5)),GL143,GK143)</f>
        <v>#N/A</v>
      </c>
      <c r="DK143" s="245" t="e">
        <f ca="1">INDEX(INDIRECT(VLOOKUP(LEFT(BO143,7),CLU!$Z$3:$AH$18,6)),GL143,GK143)</f>
        <v>#N/A</v>
      </c>
      <c r="DL143" s="355">
        <f>(Calculation!R143*0.69143*(Calculation!$BQ$8-Calculation!$F$8))*$S$14</f>
        <v>0</v>
      </c>
      <c r="DM143" s="359" t="e">
        <f t="shared" si="366"/>
        <v>#VALUE!</v>
      </c>
      <c r="DN143" s="611">
        <f t="shared" si="367"/>
        <v>0</v>
      </c>
      <c r="DO143" s="359">
        <f t="shared" si="368"/>
        <v>100</v>
      </c>
      <c r="DP143" s="359">
        <f t="shared" si="369"/>
        <v>0</v>
      </c>
      <c r="DQ143" s="360"/>
      <c r="DR143" s="245" t="e">
        <f ca="1">INDEX(INDIRECT(VLOOKUP(LEFT(BO143,7),CLU!$Z$3:$AH$18,7)),M143-1,1)</f>
        <v>#N/A</v>
      </c>
      <c r="DS143" s="245" t="e">
        <f ca="1">INDEX(INDIRECT(VLOOKUP(LEFT(BO143,7),CLU!$Z$3:$AH$18,7)),M143-1,2)</f>
        <v>#N/A</v>
      </c>
      <c r="DT143" s="245" t="e">
        <f ca="1">INDEX(INDIRECT(VLOOKUP(LEFT(BO143,7),CLU!$Z$3:$AH$18,7)),M143-1,3)</f>
        <v>#N/A</v>
      </c>
      <c r="DU143" s="245" t="e">
        <f ca="1">INDEX(INDIRECT(VLOOKUP(LEFT(BO143,7),CLU!$Z$3:$AH$18,7)),M143-1,4)</f>
        <v>#N/A</v>
      </c>
      <c r="DV143" s="361" t="e">
        <f ca="1">INDEX(INDIRECT(VLOOKUP(LEFT(BO143,7),CLU!$Z$3:$AH$18,7)),M143-1,4+LEFT(DZ143,1)*0.5)</f>
        <v>#N/A</v>
      </c>
      <c r="DW143" s="245" t="e">
        <f ca="1">INDEX(INDIRECT(VLOOKUP(LEFT(BO143,7),CLU!$Z$3:$AH$18,7)),M143-1,8)</f>
        <v>#N/A</v>
      </c>
      <c r="DX143" s="361" t="str">
        <f t="shared" si="262"/>
        <v xml:space="preserve"> </v>
      </c>
      <c r="DY143" s="361" t="str">
        <f t="shared" si="263"/>
        <v xml:space="preserve"> </v>
      </c>
      <c r="DZ143" s="361" t="str">
        <f t="shared" si="264"/>
        <v xml:space="preserve"> </v>
      </c>
      <c r="EA143" s="362" t="str">
        <f t="shared" si="265"/>
        <v xml:space="preserve"> </v>
      </c>
      <c r="EB143" s="624" t="str">
        <f t="shared" si="370"/>
        <v xml:space="preserve"> </v>
      </c>
      <c r="EC143" s="361" t="e">
        <f ca="1">INDEX(INDIRECT(VLOOKUP(LEFT(BO143,7),CLU!$Z$3:$AH$18,7)),M143-1,4+LEFT(DZ143,1)*0.5)</f>
        <v>#N/A</v>
      </c>
      <c r="ED143" s="362" t="str">
        <f t="shared" si="266"/>
        <v xml:space="preserve"> </v>
      </c>
      <c r="EE143" s="361" t="str">
        <f t="shared" si="267"/>
        <v xml:space="preserve"> </v>
      </c>
      <c r="EF143" s="362" t="str">
        <f>IF(L143&gt;0,IF(BR143&gt;0,IF(EE143="2P",IF(Calculation!DZ143="2P",IF(Calculation!DS143=13.75,IF(Calculation!DR143=13,Worksheet!$BD$43,IF(Calculation!DR143=37,Worksheet!$BD$44,Worksheet!$BD$45)),IF(Calculation!DS143=10,IF(Calculation!DR143=18,Worksheet!$BD$29,IF(Calculation!DR143=30,Worksheet!$BD$30,IF(Calculation!DR143=42,Worksheet!$BD$31,IF(Calculation!DR143=54,Worksheet!$BD$32,IF(Calculation!DR143=66,Worksheet!$BD$33,IF(Calculation!DR143=78,Worksheet!$BD$34,IF(Calculation!DR143=90,Worksheet!$BD$35,IF(Calculation!DR143=102,Worksheet!$BD$36,Worksheet!$BD$37)))))))),IF(Calculation!DS143=12.5,IF(Calculation!DR143=18,Worksheet!$BD$38,IF(Calculation!DR143=Worksheet!$BD$39,IF(Calculation!DR143=42,Worksheet!$BD$40,IF(Calculation!DR143=54,Worksheet!$BD$41,Worksheet!$BD$42)))),IF(Calculation!DR143=18,Worksheet!$BD$11,IF(Calculation!DR143=30,Worksheet!$BD$12,IF(Calculation!DR143=42,Worksheet!$BD$13,IF(Calculation!DR143=54,Worksheet!$BD$14,IF(Calculation!DR143=66,Worksheet!$BD$15,IF(Calculation!DR143=78,Worksheet!$BD$16,IF(Calculation!DR143=90,Worksheet!$BD$17,IF(Calculation!DR143=102,Worksheet!$BD$18,Worksheet!$BD$19))))))))))),IF(Calculation!DS143=13.75,IF(Calculation!DR143=13,Worksheet!$BD$78,IF(Calculation!DR143=37,Worksheet!$BD$79,Worksheet!$BD$80)),IF(Calculation!DS143=10,IF(Calculation!DR143=18,Worksheet!$BD$64,IF(Calculation!DR143=30,Worksheet!$BD$65,IF(Calculation!DR143=42,Worksheet!$BD$66,IF(Calculation!DR143=54,Worksheet!$BD$68,IF(Calculation!DR143=66,Worksheet!$BD$68,IF(Calculation!DR143=78,Worksheet!$BD$69,IF(Calculation!DR143=90,Worksheet!$BD$70,IF(Calculation!DR143=102,Worksheet!$BD$71,Worksheet!$BD$72)))))))),IF(Calculation!DS143=12.5,IF(Calculation!DR143=18,Worksheet!$BD$73,IF(Calculation!DR143=Worksheet!$BD$74,IF(Calculation!DR143=42,Worksheet!$BD$75,IF(Calculation!DR143=54,Worksheet!$BD$76,Worksheet!$BD$77)))),IF(Calculation!DR143=18,Worksheet!$BD$55,IF(Calculation!DR143=30,Worksheet!$BD$56,IF(Calculation!DR143=42,Worksheet!$BD$57,IF(Calculation!DR143=54,Worksheet!$BD$58,IF(Calculation!DR143=66,Worksheet!$BD$59,IF(Calculation!DR143=78,Worksheet!$BD$60,IF(Calculation!DR143=90,Worksheet!$BD$61,IF(Calculation!DR143=102,Worksheet!$BD$62,Worksheet!$BD$63)))))))))))),5),0)," ")</f>
        <v xml:space="preserve"> </v>
      </c>
      <c r="EG143" s="361" t="str">
        <f t="shared" si="268"/>
        <v xml:space="preserve"> </v>
      </c>
      <c r="EH143" s="361" t="e">
        <f ca="1">INDEX(INDIRECT(VLOOKUP(LEFT(BO143,7),CLU!$Z$3:$AH$18,7)),M143-1,3+LEFT(DZ143,1))</f>
        <v>#N/A</v>
      </c>
      <c r="EI143" s="362" t="str">
        <f t="shared" si="269"/>
        <v xml:space="preserve"> </v>
      </c>
      <c r="EJ143" s="363" t="str">
        <f t="shared" si="270"/>
        <v xml:space="preserve"> </v>
      </c>
      <c r="EK143" s="363" t="str">
        <f t="shared" si="271"/>
        <v xml:space="preserve"> </v>
      </c>
      <c r="EL143" s="363" t="str">
        <f t="shared" si="272"/>
        <v xml:space="preserve"> </v>
      </c>
      <c r="EM143" s="362" t="str">
        <f>IF(L143&gt;0,IF(BR143&gt;0,(Calculation!T143/ED143)^2,0)," ")</f>
        <v xml:space="preserve"> </v>
      </c>
      <c r="EN143" s="362" t="str">
        <f>IF(L143&gt;0,IF(O143="2 Pipe (Cooling)","N/A",IF(BR143&gt;0,(Calculation!U143/EI143)^2,0))," ")</f>
        <v xml:space="preserve"> </v>
      </c>
      <c r="EO143" s="361" t="str">
        <f t="shared" si="273"/>
        <v/>
      </c>
      <c r="EP143" s="361" t="str">
        <f t="shared" si="274"/>
        <v/>
      </c>
      <c r="EQ143" s="361" t="str">
        <f t="shared" si="275"/>
        <v/>
      </c>
      <c r="ER143" s="361" t="str">
        <f t="shared" si="276"/>
        <v/>
      </c>
      <c r="ES143" s="361" t="str">
        <f t="shared" si="277"/>
        <v/>
      </c>
      <c r="ET143" s="361" t="str">
        <f t="shared" si="278"/>
        <v/>
      </c>
      <c r="EU143" s="361" t="str">
        <f t="shared" si="279"/>
        <v/>
      </c>
      <c r="EV143" s="361" t="str">
        <f t="shared" si="280"/>
        <v/>
      </c>
      <c r="EW143" s="361" t="str">
        <f t="shared" si="281"/>
        <v/>
      </c>
      <c r="EX143" s="361" t="str">
        <f t="shared" si="371"/>
        <v>1 slot, 1 way</v>
      </c>
      <c r="EY143" s="361" t="str">
        <f t="shared" si="372"/>
        <v xml:space="preserve"> </v>
      </c>
      <c r="EZ143" s="361" t="str">
        <f t="shared" si="373"/>
        <v xml:space="preserve"> </v>
      </c>
      <c r="FA143" s="361" t="str">
        <f t="shared" si="374"/>
        <v xml:space="preserve"> </v>
      </c>
      <c r="FB143" s="361" t="str">
        <f t="shared" si="375"/>
        <v xml:space="preserve"> </v>
      </c>
      <c r="FC143" s="361"/>
      <c r="FD143" s="361" t="str">
        <f>IF(J143&gt;0,IF(Calculation!R143&lt;=70,4,IF(Calculation!R143&lt;=110,5,IF(Calculation!R143&lt;=160,6,IF(Calculation!R143&lt;=300,8,"10 EO")))),"")</f>
        <v/>
      </c>
      <c r="FE143" s="361" t="str">
        <f t="shared" si="376"/>
        <v/>
      </c>
      <c r="FF143" s="361" t="str">
        <f t="shared" si="377"/>
        <v/>
      </c>
      <c r="FG143" s="361" t="e">
        <f t="shared" si="282"/>
        <v>#N/A</v>
      </c>
      <c r="FH143" s="361">
        <f t="shared" si="283"/>
        <v>0</v>
      </c>
      <c r="FI143" s="361" t="e">
        <f t="shared" si="284"/>
        <v>#DIV/0!</v>
      </c>
      <c r="FJ143" s="361"/>
      <c r="FK143" s="356" t="e">
        <f t="shared" si="285"/>
        <v>#VALUE!</v>
      </c>
      <c r="FL143" s="361"/>
      <c r="FM143" s="361"/>
      <c r="FN143" s="362" t="str">
        <f t="shared" si="378"/>
        <v xml:space="preserve"> </v>
      </c>
      <c r="FO143" s="362" t="str">
        <f t="shared" si="379"/>
        <v xml:space="preserve"> </v>
      </c>
      <c r="FP143" s="362">
        <f t="shared" si="380"/>
        <v>0</v>
      </c>
      <c r="FQ143" s="361">
        <f t="shared" si="286"/>
        <v>0</v>
      </c>
      <c r="FR143" s="362" t="str">
        <f>IF(L143&gt;0,IF(J143="CBAL2",Worksheet!$P$67,IF(J143="CBE2-24",Worksheet!$Q$67,IF(J143="CBAM",Worksheet!$R$67,IF(J143="CBLV",Worksheet!$S$67,IF(J143="CBAB",Worksheet!$U$67,IF(J143="CBAW",Worksheet!$X$67,IF(J143="CBE2-12",Worksheet!$Y$67,IF(J143="CBAL2",Worksheet!$Z$67,"N/A"))))))))," ")</f>
        <v xml:space="preserve"> </v>
      </c>
      <c r="FS143" s="362" t="str">
        <f>IF(L143&gt;0,IF(J143="CBAL2",Worksheet!$P$68,IF(J143="CBE2-24",Worksheet!$Q$68,IF(J143="CBAM",Worksheet!$R$68,IF(J143="CBLV",Worksheet!$S$68,IF(J143="CBAB",Worksheet!$U$68,IF(J143="CBAW",Worksheet!$X$68,IF(J143="CBE2-12",Worksheet!$Y$68,IF(J143="CBAL2",Worksheet!$Z$68,"N/A"))))))))," ")</f>
        <v xml:space="preserve"> </v>
      </c>
      <c r="FT143" s="362" t="str">
        <f>IF(L143&gt;0,IF(J143="CBAL2",Worksheet!$P$69,IF(J143="CBE2-24",Worksheet!$Q$69,IF(J143="CBAM",Worksheet!$R$69,IF(J143="CBLV",Worksheet!$S$69,IF(J143="CBAB",Worksheet!$U$69,IF(J143="CBAW",Worksheet!$X$69,IF(J143="CBE2-12",Worksheet!$Y$69,IF(J143="CBAL2",Worksheet!$Z$69,"N/A"))))))))," ")</f>
        <v xml:space="preserve"> </v>
      </c>
      <c r="FU143" s="361" t="str">
        <f t="shared" si="381"/>
        <v xml:space="preserve"> </v>
      </c>
      <c r="FV143" s="362" t="str">
        <f t="shared" si="382"/>
        <v xml:space="preserve"> </v>
      </c>
      <c r="FW143" s="362" t="str">
        <f t="shared" si="383"/>
        <v xml:space="preserve"> </v>
      </c>
      <c r="FX143" s="362" t="str">
        <f t="shared" si="384"/>
        <v xml:space="preserve"> </v>
      </c>
      <c r="FY143" s="355" t="str">
        <f t="shared" si="385"/>
        <v xml:space="preserve"> </v>
      </c>
      <c r="FZ143" s="361" t="str">
        <f t="shared" si="386"/>
        <v xml:space="preserve"> </v>
      </c>
      <c r="GA143" s="347" t="str">
        <f t="shared" si="387"/>
        <v xml:space="preserve"> </v>
      </c>
      <c r="GB143" s="355" t="str">
        <f t="shared" si="388"/>
        <v xml:space="preserve"> </v>
      </c>
      <c r="GC143" s="328" t="str">
        <f t="shared" si="389"/>
        <v xml:space="preserve"> </v>
      </c>
      <c r="GD143" s="361" t="str">
        <f t="shared" si="390"/>
        <v xml:space="preserve"> </v>
      </c>
      <c r="GE143" s="347" t="str">
        <f t="shared" si="391"/>
        <v xml:space="preserve"> </v>
      </c>
      <c r="GF143" s="361" t="str">
        <f t="shared" si="392"/>
        <v xml:space="preserve"> </v>
      </c>
      <c r="GG143" s="347" t="str">
        <f t="shared" si="393"/>
        <v xml:space="preserve"> </v>
      </c>
      <c r="GH143" s="364">
        <f t="shared" si="287"/>
        <v>0</v>
      </c>
      <c r="GI143" s="362">
        <f t="shared" si="394"/>
        <v>2</v>
      </c>
      <c r="GJ143" s="433" t="e">
        <f>IF(6-COUNTBLANK(GT143:GY143)=4,MATCH(MID(BO143,9,3),CLU!$H$16:$K$16),MATCH(MID(BO143,9,3),CLU!$H$13:$M$13))</f>
        <v>#N/A</v>
      </c>
      <c r="GK143" s="433" t="e">
        <f>HLOOKUP(VALUE(BP143),CLU!$H$9:$M$10,2)</f>
        <v>#VALUE!</v>
      </c>
      <c r="GL143" s="433" t="e">
        <f ca="1">MATCH(BU143,CLU!$H$2:$V$2,1)</f>
        <v>#VALUE!</v>
      </c>
      <c r="GM143" s="433" t="e">
        <f t="shared" ca="1" si="395"/>
        <v>#VALUE!</v>
      </c>
      <c r="GN143" s="433" t="e">
        <f t="shared" ca="1" si="396"/>
        <v>#VALUE!</v>
      </c>
      <c r="GO143" s="433" t="e">
        <f t="shared" ca="1" si="397"/>
        <v>#VALUE!</v>
      </c>
      <c r="GP143" s="433" t="e">
        <f t="shared" ca="1" si="398"/>
        <v>#VALUE!</v>
      </c>
      <c r="GQ143" s="433" t="e">
        <f t="shared" ca="1" si="399"/>
        <v>#VALUE!</v>
      </c>
      <c r="GR143" s="433" t="e">
        <f ca="1">MATCH(T143,INDIRECT(VLOOKUP(CONCATENATE(LEFT(BO143,7),"-",MID(BO143,13,1)),CLU!$P$3:$Q$16,2)),1)</f>
        <v>#N/A</v>
      </c>
      <c r="GS143" s="433" t="e">
        <f ca="1">MATCH(U143,INDIRECT(VLOOKUP(CONCATENATE(LEFT(BO143,7),"-",MID(BO143,13,1)),CLU!$P$3:$Q$16,2)),1)</f>
        <v>#N/A</v>
      </c>
      <c r="GT143" s="347" t="s">
        <v>512</v>
      </c>
      <c r="GU143" s="97" t="s">
        <v>513</v>
      </c>
      <c r="GV143" s="97" t="str">
        <f t="shared" si="400"/>
        <v>M23</v>
      </c>
      <c r="GW143" s="97" t="str">
        <f t="shared" si="401"/>
        <v>M31</v>
      </c>
      <c r="GX143" s="97" t="str">
        <f t="shared" si="402"/>
        <v/>
      </c>
      <c r="GY143" s="97" t="str">
        <f t="shared" si="403"/>
        <v/>
      </c>
      <c r="GZ143" s="481"/>
      <c r="HA143" s="288"/>
      <c r="HB143" s="240"/>
      <c r="HC143" s="240"/>
      <c r="HD143" s="240"/>
      <c r="HE143" s="240"/>
      <c r="HF143" s="240"/>
      <c r="HG143" s="240"/>
      <c r="HH143" s="240"/>
      <c r="HI143" s="240"/>
      <c r="HJ143" s="240"/>
      <c r="HK143" s="240"/>
      <c r="HL143" s="240"/>
      <c r="HM143" s="240"/>
      <c r="HN143" s="240"/>
      <c r="HO143" s="240"/>
      <c r="HP143" s="240"/>
      <c r="HQ143" s="240"/>
      <c r="HR143" s="240"/>
      <c r="HS143" s="240"/>
      <c r="HT143" s="240"/>
      <c r="HU143" s="240"/>
      <c r="HV143" s="245"/>
      <c r="HW143" s="245" t="b">
        <v>1</v>
      </c>
      <c r="HX143" s="245" t="str">
        <f t="shared" si="288"/>
        <v/>
      </c>
      <c r="HY143" s="245" t="e">
        <f t="shared" si="289"/>
        <v>#DIV/0!</v>
      </c>
      <c r="HZ143" s="245" t="e">
        <f t="shared" si="290"/>
        <v>#DIV/0!</v>
      </c>
      <c r="IA143" s="245">
        <f t="shared" si="291"/>
        <v>0</v>
      </c>
      <c r="IB143" s="245"/>
      <c r="IC143" t="b">
        <f t="shared" si="292"/>
        <v>1</v>
      </c>
      <c r="ID143" s="245" t="b">
        <f t="shared" si="293"/>
        <v>1</v>
      </c>
      <c r="IE143" s="245" t="b">
        <f t="shared" si="294"/>
        <v>1</v>
      </c>
      <c r="IF143" s="245" t="b">
        <f t="shared" si="295"/>
        <v>0</v>
      </c>
      <c r="IG143" s="245" t="b">
        <f t="shared" si="296"/>
        <v>1</v>
      </c>
      <c r="IH143" s="245" t="b">
        <f t="shared" si="297"/>
        <v>1</v>
      </c>
      <c r="II143" s="245">
        <f t="shared" si="404"/>
        <v>0</v>
      </c>
      <c r="IJ143" s="245" t="e">
        <f t="shared" si="298"/>
        <v>#VALUE!</v>
      </c>
      <c r="IK143" s="245" t="e">
        <f t="shared" si="299"/>
        <v>#VALUE!</v>
      </c>
      <c r="IL143" s="245"/>
      <c r="IM143" s="245" t="e">
        <f t="shared" si="405"/>
        <v>#N/A</v>
      </c>
      <c r="IN143" s="245" t="e">
        <f t="shared" si="406"/>
        <v>#N/A</v>
      </c>
      <c r="IO143" s="245"/>
      <c r="IP143" s="245"/>
      <c r="IQ143" s="245" t="str">
        <f t="shared" si="300"/>
        <v/>
      </c>
      <c r="IR143" s="245" t="str">
        <f>IF(J143="","",VLOOKUP(J143,Worksheet!$R$4:$T$14,2))</f>
        <v/>
      </c>
      <c r="IS143" s="245"/>
      <c r="IT143" s="245">
        <f t="shared" si="301"/>
        <v>0</v>
      </c>
      <c r="IU143" s="245">
        <f t="shared" si="302"/>
        <v>0</v>
      </c>
      <c r="IV143" s="245">
        <f t="shared" si="303"/>
        <v>0</v>
      </c>
      <c r="IW143" s="245">
        <f t="shared" si="304"/>
        <v>0</v>
      </c>
      <c r="IX143" s="245">
        <f t="shared" si="407"/>
        <v>0</v>
      </c>
      <c r="IY143" s="245">
        <f t="shared" si="305"/>
        <v>0</v>
      </c>
      <c r="IZ143" s="245">
        <f t="shared" si="306"/>
        <v>0</v>
      </c>
      <c r="JA143">
        <f t="shared" si="307"/>
        <v>0</v>
      </c>
      <c r="JB143">
        <f t="shared" si="408"/>
        <v>0</v>
      </c>
      <c r="JC143">
        <f t="shared" si="308"/>
        <v>0</v>
      </c>
      <c r="JD143">
        <f t="shared" si="309"/>
        <v>0</v>
      </c>
      <c r="JE143">
        <f t="shared" si="310"/>
        <v>0</v>
      </c>
      <c r="JF143">
        <f t="shared" si="311"/>
        <v>0</v>
      </c>
      <c r="JG143">
        <f t="shared" si="312"/>
        <v>0</v>
      </c>
      <c r="JH143">
        <f t="shared" si="313"/>
        <v>0</v>
      </c>
      <c r="JI143">
        <f t="shared" si="314"/>
        <v>0</v>
      </c>
      <c r="JJ143" s="447">
        <f t="shared" si="315"/>
        <v>0</v>
      </c>
      <c r="JK143" s="447">
        <f t="shared" si="316"/>
        <v>0</v>
      </c>
      <c r="JL143">
        <f t="shared" si="317"/>
        <v>0</v>
      </c>
      <c r="JM143" s="245" t="str">
        <f>IFERROR(VLOOKUP(MATCH(BN143,#REF!,0),#REF!,7),"")</f>
        <v/>
      </c>
      <c r="JN143" t="e">
        <f>HLOOKUP(LEFT(BO143,7),Discharge_Area,MATCH(JO143,LookUps!$B$130:$B$149,1)+2)</f>
        <v>#N/A</v>
      </c>
      <c r="JO143" t="str">
        <f t="shared" si="318"/>
        <v>- S</v>
      </c>
      <c r="JP143" t="e">
        <f>HLOOKUP(LEFT(BO143,7),Discharge_Area,MATCH(JO143,LookUps!$B$130:$B$149,1)+2)</f>
        <v>#N/A</v>
      </c>
      <c r="JQ143" t="e">
        <f t="shared" si="319"/>
        <v>#N/A</v>
      </c>
      <c r="JR143" t="e">
        <f t="shared" si="320"/>
        <v>#N/A</v>
      </c>
      <c r="JS143" t="e">
        <f t="shared" si="321"/>
        <v>#N/A</v>
      </c>
      <c r="JT143" s="532" t="str">
        <f t="shared" si="322"/>
        <v xml:space="preserve"> </v>
      </c>
      <c r="JU143" s="532" t="str">
        <f t="shared" si="323"/>
        <v xml:space="preserve"> </v>
      </c>
      <c r="JV143" s="533" t="str">
        <f t="shared" si="324"/>
        <v xml:space="preserve"> </v>
      </c>
      <c r="JW143" s="534">
        <f t="shared" si="325"/>
        <v>0</v>
      </c>
      <c r="JX143" s="535" t="str">
        <f t="shared" si="409"/>
        <v xml:space="preserve"> </v>
      </c>
      <c r="JY143" s="535" t="str">
        <f t="shared" si="410"/>
        <v xml:space="preserve"> </v>
      </c>
      <c r="JZ143" s="535" t="str">
        <f t="shared" si="411"/>
        <v xml:space="preserve"> </v>
      </c>
      <c r="KA143" s="536" t="str">
        <f t="shared" si="326"/>
        <v xml:space="preserve"> </v>
      </c>
      <c r="KB143" s="535" t="e">
        <f t="shared" si="412"/>
        <v>#VALUE!</v>
      </c>
      <c r="KC143" s="535" t="str">
        <f t="shared" si="327"/>
        <v/>
      </c>
      <c r="KD143" s="537" t="str">
        <f t="shared" si="413"/>
        <v xml:space="preserve"> </v>
      </c>
      <c r="KE143" s="537" t="str">
        <f t="shared" si="414"/>
        <v xml:space="preserve"> </v>
      </c>
      <c r="KF143" s="534">
        <f t="shared" si="328"/>
        <v>0</v>
      </c>
      <c r="KG143" s="535" t="str">
        <f t="shared" si="329"/>
        <v xml:space="preserve"> </v>
      </c>
      <c r="KH143" s="535" t="str">
        <f t="shared" si="330"/>
        <v xml:space="preserve"> </v>
      </c>
      <c r="KI143" s="535" t="str">
        <f t="shared" si="331"/>
        <v xml:space="preserve"> </v>
      </c>
      <c r="KJ143" s="536" t="str">
        <f t="shared" si="332"/>
        <v xml:space="preserve"> </v>
      </c>
      <c r="KK143" s="535" t="str">
        <f t="shared" si="415"/>
        <v xml:space="preserve"> </v>
      </c>
      <c r="KL143" s="535" t="str">
        <f t="shared" si="416"/>
        <v xml:space="preserve"> </v>
      </c>
      <c r="KM143" s="537" t="str">
        <f t="shared" si="333"/>
        <v xml:space="preserve"> </v>
      </c>
      <c r="KN143" s="537" t="str">
        <f t="shared" si="417"/>
        <v xml:space="preserve"> </v>
      </c>
      <c r="KP143">
        <f t="shared" si="334"/>
        <v>0</v>
      </c>
      <c r="LA143" t="e">
        <f t="shared" si="335"/>
        <v>#VALUE!</v>
      </c>
      <c r="LB143" t="e">
        <f t="shared" si="336"/>
        <v>#VALUE!</v>
      </c>
      <c r="LC143" t="e">
        <f t="shared" si="337"/>
        <v>#VALUE!</v>
      </c>
      <c r="LD143" t="e">
        <f t="shared" si="338"/>
        <v>#VALUE!</v>
      </c>
      <c r="LE143" t="e">
        <f t="shared" si="418"/>
        <v>#VALUE!</v>
      </c>
      <c r="LF143">
        <f t="shared" si="339"/>
        <v>0</v>
      </c>
      <c r="LG143" t="e">
        <f t="shared" si="419"/>
        <v>#VALUE!</v>
      </c>
      <c r="LH143" t="str">
        <f t="shared" si="340"/>
        <v xml:space="preserve"> </v>
      </c>
      <c r="LI143">
        <f t="shared" si="420"/>
        <v>1</v>
      </c>
    </row>
    <row r="144" spans="2:321" ht="15" customHeight="1">
      <c r="B144" s="311"/>
      <c r="C144" s="311"/>
      <c r="D144" s="312"/>
      <c r="E144" s="311"/>
      <c r="F144" s="312"/>
      <c r="G144" s="311"/>
      <c r="H144" s="311"/>
      <c r="I144" s="37"/>
      <c r="J144" s="311"/>
      <c r="K144" s="305" t="str">
        <f t="shared" si="341"/>
        <v/>
      </c>
      <c r="L144" s="313"/>
      <c r="M144" s="312"/>
      <c r="N144" s="311"/>
      <c r="O144" s="312"/>
      <c r="P144" s="311"/>
      <c r="Q144" s="305" t="str">
        <f t="shared" si="342"/>
        <v/>
      </c>
      <c r="R144" s="314"/>
      <c r="S144" s="450" t="str">
        <f t="shared" si="225"/>
        <v/>
      </c>
      <c r="T144" s="315"/>
      <c r="U144" s="315"/>
      <c r="W144" s="149" t="str">
        <f t="shared" si="226"/>
        <v xml:space="preserve"> </v>
      </c>
      <c r="X144" s="243" t="str">
        <f t="shared" si="227"/>
        <v xml:space="preserve"> </v>
      </c>
      <c r="Y144" s="150" t="str">
        <f t="shared" si="228"/>
        <v/>
      </c>
      <c r="Z144" s="149" t="str">
        <f t="shared" si="229"/>
        <v xml:space="preserve"> </v>
      </c>
      <c r="AA144" s="98" t="str">
        <f t="shared" si="230"/>
        <v xml:space="preserve"> </v>
      </c>
      <c r="AB144" s="153" t="str">
        <f t="shared" si="231"/>
        <v xml:space="preserve"> </v>
      </c>
      <c r="AC144" s="153" t="str">
        <f t="shared" si="232"/>
        <v xml:space="preserve"> </v>
      </c>
      <c r="AD144" s="148" t="str">
        <f t="shared" si="233"/>
        <v/>
      </c>
      <c r="AE144" s="149" t="str">
        <f t="shared" si="234"/>
        <v/>
      </c>
      <c r="AF144" s="151" t="str">
        <f t="shared" si="235"/>
        <v xml:space="preserve"> </v>
      </c>
      <c r="AG144" s="153" t="str">
        <f t="shared" si="236"/>
        <v xml:space="preserve"> </v>
      </c>
      <c r="AH144" s="98" t="str">
        <f t="shared" si="237"/>
        <v xml:space="preserve"> </v>
      </c>
      <c r="AI144" s="149" t="str">
        <f t="shared" si="238"/>
        <v xml:space="preserve"> </v>
      </c>
      <c r="AK144" s="144" t="str">
        <f t="shared" si="239"/>
        <v xml:space="preserve"> </v>
      </c>
      <c r="AL144" s="144"/>
      <c r="AM144" s="243" t="str">
        <f t="shared" si="240"/>
        <v xml:space="preserve"> </v>
      </c>
      <c r="AN144" s="149" t="str">
        <f t="shared" si="343"/>
        <v xml:space="preserve"> </v>
      </c>
      <c r="AO144" s="144" t="str">
        <f>IF(JB144&gt;0,IF(GI144=10,-R144*1.085*(Calculation!$F$6-Calculation!$F$13)*$S$14," "),"")</f>
        <v/>
      </c>
      <c r="AP144" s="144" t="str">
        <f t="shared" si="241"/>
        <v/>
      </c>
      <c r="AQ144" s="56" t="str">
        <f t="shared" si="242"/>
        <v/>
      </c>
      <c r="AR144" s="144" t="str">
        <f t="shared" si="243"/>
        <v/>
      </c>
      <c r="AS144" s="176" t="str">
        <f t="shared" si="244"/>
        <v/>
      </c>
      <c r="AT144" s="176" t="str">
        <f t="shared" si="344"/>
        <v xml:space="preserve"> </v>
      </c>
      <c r="AU144" s="176" t="str">
        <f t="shared" si="245"/>
        <v/>
      </c>
      <c r="AV144" s="177" t="str">
        <f t="shared" si="246"/>
        <v xml:space="preserve"> </v>
      </c>
      <c r="AW144" s="144" t="str">
        <f t="shared" si="247"/>
        <v xml:space="preserve"> </v>
      </c>
      <c r="AX144" s="144" t="str">
        <f t="shared" si="248"/>
        <v xml:space="preserve"> </v>
      </c>
      <c r="AY144" s="152" t="str">
        <f t="shared" si="249"/>
        <v xml:space="preserve"> </v>
      </c>
      <c r="AZ144" s="246" t="str">
        <f t="shared" si="250"/>
        <v/>
      </c>
      <c r="BA144" s="176" t="str">
        <f t="shared" si="251"/>
        <v xml:space="preserve"> </v>
      </c>
      <c r="BB144" s="176" t="str">
        <f t="shared" si="252"/>
        <v xml:space="preserve"> </v>
      </c>
      <c r="BC144" s="195"/>
      <c r="BD144" s="316"/>
      <c r="BE144" s="317"/>
      <c r="BF144" s="318"/>
      <c r="BG144" s="318"/>
      <c r="BH144" s="144" t="str">
        <f t="shared" si="421"/>
        <v xml:space="preserve"> </v>
      </c>
      <c r="BI144" s="176" t="str">
        <f t="shared" si="253"/>
        <v/>
      </c>
      <c r="BJ144" s="144" t="str">
        <f t="shared" si="422"/>
        <v/>
      </c>
      <c r="BK144" s="246" t="str">
        <f t="shared" si="254"/>
        <v/>
      </c>
      <c r="BL144" s="144" t="str">
        <f t="shared" si="423"/>
        <v/>
      </c>
      <c r="BM144" s="246" t="str">
        <f t="shared" si="255"/>
        <v/>
      </c>
      <c r="BN144" s="337" t="str">
        <f t="shared" si="345"/>
        <v/>
      </c>
      <c r="BO144" s="371" t="str">
        <f t="shared" si="346"/>
        <v/>
      </c>
      <c r="BP144" s="328" t="str">
        <f t="shared" si="424"/>
        <v xml:space="preserve"> </v>
      </c>
      <c r="BQ144" s="347" t="str">
        <f t="shared" si="347"/>
        <v xml:space="preserve"> </v>
      </c>
      <c r="BR144" s="353" t="str">
        <f t="shared" si="348"/>
        <v xml:space="preserve"> </v>
      </c>
      <c r="BS144" s="626" t="str">
        <f>IF(L144&gt;0,IF(Calculation!P144="M13",BR144*3.1416*(0.134^2)/(4*144),IF(Calculation!P144="M17",BR144*3.1416*(0.165^2)/(4*144),IF(Calculation!P144="M20",BR144*3.1416*(0.198^2)/(4*144),IF(Calculation!P144="M23",BR144*3.1416*(0.228^2)/(4*144),IF(Calculation!P144="M27",BR144*3.1416*(0.269^2)/(4*144),BR144*3.1416*(0.307^2)/(4*144))))))," ")</f>
        <v xml:space="preserve"> </v>
      </c>
      <c r="BT144" s="353" t="str">
        <f>IF(L144&gt;0,IF(BS144&gt;0,R144/Calculation!BS144,0)," ")</f>
        <v xml:space="preserve"> </v>
      </c>
      <c r="BU144" s="438" t="e">
        <f t="shared" ca="1" si="256"/>
        <v>#VALUE!</v>
      </c>
      <c r="BV144" s="449" t="e">
        <f ca="1">INDEX(INDIRECT(VLOOKUP(LEFT(BO144,7),CLU!$Z$3:$AH$18,2)),GN144,GR144)</f>
        <v>#N/A</v>
      </c>
      <c r="BW144" s="433" t="e">
        <f ca="1">INDEX(INDIRECT(VLOOKUP(LEFT(BO144,7),CLU!$Z$3:$AH$18,3)),GN144,GR144)</f>
        <v>#N/A</v>
      </c>
      <c r="BX144" s="433" t="e">
        <f ca="1">INDEX(INDIRECT(VLOOKUP(LEFT(BO144,7),CLU!$Z$3:$AH$18,4)),GN144,GR144)</f>
        <v>#N/A</v>
      </c>
      <c r="BY144" s="433" t="e">
        <f ca="1">INDEX(INDIRECT(VLOOKUP(LEFT(BO144,7),CLU!$Z$3:$AH$18,9)),((M144-2)*(6-COUNTBLANK(GT144:GY144)))+GJ144)</f>
        <v>#N/A</v>
      </c>
      <c r="BZ144" s="426" t="e">
        <f t="shared" ca="1" si="349"/>
        <v>#N/A</v>
      </c>
      <c r="CA144" s="424" t="e">
        <f t="shared" ca="1" si="350"/>
        <v>#N/A</v>
      </c>
      <c r="CB144" s="429" t="e">
        <f ca="1">INDEX(INDIRECT(VLOOKUP(LEFT(BO144,7),CLU!$Z$3:$AH$18,2)),GN144,GS144)</f>
        <v>#N/A</v>
      </c>
      <c r="CC144" s="342" t="e">
        <f ca="1">INDEX(INDIRECT(VLOOKUP(LEFT(BO144,7),CLU!$Z$3:$AH$18,3)),GN144,GS144)</f>
        <v>#N/A</v>
      </c>
      <c r="CD144" s="342" t="e">
        <f ca="1">INDEX(INDIRECT(VLOOKUP(LEFT(BO144,7),CLU!$Z$3:$AH$18,4)),GN144,GS144)</f>
        <v>#N/A</v>
      </c>
      <c r="CE144" s="426" t="e">
        <f t="shared" ca="1" si="351"/>
        <v>#N/A</v>
      </c>
      <c r="CF144" s="440">
        <f t="shared" si="352"/>
        <v>0</v>
      </c>
      <c r="CG144" s="431" t="e">
        <f ca="1">INDEX(INDIRECT(VLOOKUP(LEFT(BO144,7),CLU!$Z$3:$AH$18,2)),GQ144,GR144)</f>
        <v>#N/A</v>
      </c>
      <c r="CH144" s="431" t="e">
        <f ca="1">INDEX(INDIRECT(VLOOKUP(LEFT(BO144,7),CLU!$Z$3:$AH$18,3)),GQ144,GR144)</f>
        <v>#N/A</v>
      </c>
      <c r="CI144" s="431" t="e">
        <f ca="1">INDEX(INDIRECT(VLOOKUP(LEFT(BO144,7),CLU!$Z$3:$AH$18,4)),GQ144,GR144)</f>
        <v>#N/A</v>
      </c>
      <c r="CJ144" s="448" t="e">
        <f t="shared" ca="1" si="353"/>
        <v>#N/A</v>
      </c>
      <c r="CK144" s="431" t="e">
        <f t="shared" ca="1" si="354"/>
        <v>#N/A</v>
      </c>
      <c r="CL144" s="440" t="e">
        <f t="shared" ca="1" si="355"/>
        <v>#N/A</v>
      </c>
      <c r="CM144" s="431" t="e">
        <f ca="1">INDEX(INDIRECT(VLOOKUP(LEFT(BO144,7),CLU!$Z$3:$AH$18,2)),GQ144,GS144)</f>
        <v>#N/A</v>
      </c>
      <c r="CN144" s="431" t="e">
        <f ca="1">INDEX(INDIRECT(VLOOKUP(LEFT(BO144,7),CLU!$Z$3:$AH$18,3)),GQ144,GS144)</f>
        <v>#N/A</v>
      </c>
      <c r="CO144" s="431" t="e">
        <f ca="1">INDEX(INDIRECT(VLOOKUP(LEFT(BO144,7),CLU!$Z$3:$AH$18,4)),GQ144,GS144)</f>
        <v>#N/A</v>
      </c>
      <c r="CP144" s="431" t="e">
        <f t="shared" ca="1" si="356"/>
        <v>#N/A</v>
      </c>
      <c r="CQ144" s="440">
        <f t="shared" si="357"/>
        <v>0</v>
      </c>
      <c r="CR144" s="51" t="e">
        <f t="shared" ca="1" si="358"/>
        <v>#N/A</v>
      </c>
      <c r="CS144" s="439" t="e">
        <f t="shared" ca="1" si="359"/>
        <v>#VALUE!</v>
      </c>
      <c r="CT144" s="51" t="e">
        <f t="shared" ca="1" si="360"/>
        <v>#VALUE!</v>
      </c>
      <c r="CU144" s="10"/>
      <c r="CV144" s="51" t="e">
        <f t="shared" ca="1" si="257"/>
        <v>#VALUE!</v>
      </c>
      <c r="CW144" s="51">
        <f t="shared" si="361"/>
        <v>0</v>
      </c>
      <c r="CX144" s="439" t="e">
        <f t="shared" ca="1" si="362"/>
        <v>#VALUE!</v>
      </c>
      <c r="CY144" s="51" t="e">
        <f t="shared" ca="1" si="363"/>
        <v>#VALUE!</v>
      </c>
      <c r="CZ144" s="10"/>
      <c r="DA144" s="51" t="e">
        <f t="shared" ca="1" si="364"/>
        <v>#VALUE!</v>
      </c>
      <c r="DB144" s="347" t="e">
        <f ca="1">INDEX(INDIRECT(VLOOKUP(LEFT(BO144,7),CLU!$Z$3:$AI$18,10)),((M144-2)*(6-COUNTBLANK(GT144:GY144)))+GJ144)*LI144</f>
        <v>#N/A</v>
      </c>
      <c r="DC144" s="347" t="str">
        <f>IF(L144&gt;0,((R144/Worksheet!$I$15)/DB144)^2," ")</f>
        <v xml:space="preserve"> </v>
      </c>
      <c r="DD144" s="602" t="str">
        <f t="shared" si="365"/>
        <v xml:space="preserve"> </v>
      </c>
      <c r="DE144" s="347" t="str">
        <f t="shared" si="258"/>
        <v xml:space="preserve"> </v>
      </c>
      <c r="DF144" s="356" t="e">
        <f ca="1">INDEX(INDIRECT(VLOOKUP(LEFT(BO144,7),CLU!$Z$3:$AH$18,8)),((M144-2)*(6-COUNTBLANK(GT144:GY144)))+GJ144)</f>
        <v>#N/A</v>
      </c>
      <c r="DG144" s="347" t="str">
        <f t="shared" si="259"/>
        <v xml:space="preserve"> </v>
      </c>
      <c r="DH144" s="357" t="str">
        <f t="shared" si="260"/>
        <v xml:space="preserve"> </v>
      </c>
      <c r="DI144" s="355" t="str">
        <f t="shared" si="261"/>
        <v xml:space="preserve"> </v>
      </c>
      <c r="DJ144" s="245" t="e">
        <f ca="1">INDEX(INDIRECT(VLOOKUP(LEFT(BO144,7),CLU!$Z$3:$AH$18,5)),GL144,GK144)</f>
        <v>#N/A</v>
      </c>
      <c r="DK144" s="245" t="e">
        <f ca="1">INDEX(INDIRECT(VLOOKUP(LEFT(BO144,7),CLU!$Z$3:$AH$18,6)),GL144,GK144)</f>
        <v>#N/A</v>
      </c>
      <c r="DL144" s="355">
        <f>(Calculation!R144*0.69143*(Calculation!$BQ$8-Calculation!$F$8))*$S$14</f>
        <v>0</v>
      </c>
      <c r="DM144" s="359" t="e">
        <f t="shared" si="366"/>
        <v>#VALUE!</v>
      </c>
      <c r="DN144" s="611">
        <f t="shared" si="367"/>
        <v>0</v>
      </c>
      <c r="DO144" s="359">
        <f t="shared" si="368"/>
        <v>100</v>
      </c>
      <c r="DP144" s="359">
        <f t="shared" si="369"/>
        <v>0</v>
      </c>
      <c r="DQ144" s="360"/>
      <c r="DR144" s="245" t="e">
        <f ca="1">INDEX(INDIRECT(VLOOKUP(LEFT(BO144,7),CLU!$Z$3:$AH$18,7)),M144-1,1)</f>
        <v>#N/A</v>
      </c>
      <c r="DS144" s="245" t="e">
        <f ca="1">INDEX(INDIRECT(VLOOKUP(LEFT(BO144,7),CLU!$Z$3:$AH$18,7)),M144-1,2)</f>
        <v>#N/A</v>
      </c>
      <c r="DT144" s="245" t="e">
        <f ca="1">INDEX(INDIRECT(VLOOKUP(LEFT(BO144,7),CLU!$Z$3:$AH$18,7)),M144-1,3)</f>
        <v>#N/A</v>
      </c>
      <c r="DU144" s="245" t="e">
        <f ca="1">INDEX(INDIRECT(VLOOKUP(LEFT(BO144,7),CLU!$Z$3:$AH$18,7)),M144-1,4)</f>
        <v>#N/A</v>
      </c>
      <c r="DV144" s="361" t="e">
        <f ca="1">INDEX(INDIRECT(VLOOKUP(LEFT(BO144,7),CLU!$Z$3:$AH$18,7)),M144-1,4+LEFT(DZ144,1)*0.5)</f>
        <v>#N/A</v>
      </c>
      <c r="DW144" s="245" t="e">
        <f ca="1">INDEX(INDIRECT(VLOOKUP(LEFT(BO144,7),CLU!$Z$3:$AH$18,7)),M144-1,8)</f>
        <v>#N/A</v>
      </c>
      <c r="DX144" s="361" t="str">
        <f t="shared" si="262"/>
        <v xml:space="preserve"> </v>
      </c>
      <c r="DY144" s="361" t="str">
        <f t="shared" si="263"/>
        <v xml:space="preserve"> </v>
      </c>
      <c r="DZ144" s="361" t="str">
        <f t="shared" si="264"/>
        <v xml:space="preserve"> </v>
      </c>
      <c r="EA144" s="362" t="str">
        <f t="shared" si="265"/>
        <v xml:space="preserve"> </v>
      </c>
      <c r="EB144" s="624" t="str">
        <f t="shared" si="370"/>
        <v xml:space="preserve"> </v>
      </c>
      <c r="EC144" s="361" t="e">
        <f ca="1">INDEX(INDIRECT(VLOOKUP(LEFT(BO144,7),CLU!$Z$3:$AH$18,7)),M144-1,4+LEFT(DZ144,1)*0.5)</f>
        <v>#N/A</v>
      </c>
      <c r="ED144" s="362" t="str">
        <f t="shared" si="266"/>
        <v xml:space="preserve"> </v>
      </c>
      <c r="EE144" s="361" t="str">
        <f t="shared" si="267"/>
        <v xml:space="preserve"> </v>
      </c>
      <c r="EF144" s="362" t="str">
        <f>IF(L144&gt;0,IF(BR144&gt;0,IF(EE144="2P",IF(Calculation!DZ144="2P",IF(Calculation!DS144=13.75,IF(Calculation!DR144=13,Worksheet!$BD$43,IF(Calculation!DR144=37,Worksheet!$BD$44,Worksheet!$BD$45)),IF(Calculation!DS144=10,IF(Calculation!DR144=18,Worksheet!$BD$29,IF(Calculation!DR144=30,Worksheet!$BD$30,IF(Calculation!DR144=42,Worksheet!$BD$31,IF(Calculation!DR144=54,Worksheet!$BD$32,IF(Calculation!DR144=66,Worksheet!$BD$33,IF(Calculation!DR144=78,Worksheet!$BD$34,IF(Calculation!DR144=90,Worksheet!$BD$35,IF(Calculation!DR144=102,Worksheet!$BD$36,Worksheet!$BD$37)))))))),IF(Calculation!DS144=12.5,IF(Calculation!DR144=18,Worksheet!$BD$38,IF(Calculation!DR144=Worksheet!$BD$39,IF(Calculation!DR144=42,Worksheet!$BD$40,IF(Calculation!DR144=54,Worksheet!$BD$41,Worksheet!$BD$42)))),IF(Calculation!DR144=18,Worksheet!$BD$11,IF(Calculation!DR144=30,Worksheet!$BD$12,IF(Calculation!DR144=42,Worksheet!$BD$13,IF(Calculation!DR144=54,Worksheet!$BD$14,IF(Calculation!DR144=66,Worksheet!$BD$15,IF(Calculation!DR144=78,Worksheet!$BD$16,IF(Calculation!DR144=90,Worksheet!$BD$17,IF(Calculation!DR144=102,Worksheet!$BD$18,Worksheet!$BD$19))))))))))),IF(Calculation!DS144=13.75,IF(Calculation!DR144=13,Worksheet!$BD$78,IF(Calculation!DR144=37,Worksheet!$BD$79,Worksheet!$BD$80)),IF(Calculation!DS144=10,IF(Calculation!DR144=18,Worksheet!$BD$64,IF(Calculation!DR144=30,Worksheet!$BD$65,IF(Calculation!DR144=42,Worksheet!$BD$66,IF(Calculation!DR144=54,Worksheet!$BD$68,IF(Calculation!DR144=66,Worksheet!$BD$68,IF(Calculation!DR144=78,Worksheet!$BD$69,IF(Calculation!DR144=90,Worksheet!$BD$70,IF(Calculation!DR144=102,Worksheet!$BD$71,Worksheet!$BD$72)))))))),IF(Calculation!DS144=12.5,IF(Calculation!DR144=18,Worksheet!$BD$73,IF(Calculation!DR144=Worksheet!$BD$74,IF(Calculation!DR144=42,Worksheet!$BD$75,IF(Calculation!DR144=54,Worksheet!$BD$76,Worksheet!$BD$77)))),IF(Calculation!DR144=18,Worksheet!$BD$55,IF(Calculation!DR144=30,Worksheet!$BD$56,IF(Calculation!DR144=42,Worksheet!$BD$57,IF(Calculation!DR144=54,Worksheet!$BD$58,IF(Calculation!DR144=66,Worksheet!$BD$59,IF(Calculation!DR144=78,Worksheet!$BD$60,IF(Calculation!DR144=90,Worksheet!$BD$61,IF(Calculation!DR144=102,Worksheet!$BD$62,Worksheet!$BD$63)))))))))))),5),0)," ")</f>
        <v xml:space="preserve"> </v>
      </c>
      <c r="EG144" s="361" t="str">
        <f t="shared" si="268"/>
        <v xml:space="preserve"> </v>
      </c>
      <c r="EH144" s="361" t="e">
        <f ca="1">INDEX(INDIRECT(VLOOKUP(LEFT(BO144,7),CLU!$Z$3:$AH$18,7)),M144-1,3+LEFT(DZ144,1))</f>
        <v>#N/A</v>
      </c>
      <c r="EI144" s="362" t="str">
        <f t="shared" si="269"/>
        <v xml:space="preserve"> </v>
      </c>
      <c r="EJ144" s="363" t="str">
        <f t="shared" si="270"/>
        <v xml:space="preserve"> </v>
      </c>
      <c r="EK144" s="363" t="str">
        <f t="shared" si="271"/>
        <v xml:space="preserve"> </v>
      </c>
      <c r="EL144" s="363" t="str">
        <f t="shared" si="272"/>
        <v xml:space="preserve"> </v>
      </c>
      <c r="EM144" s="362" t="str">
        <f>IF(L144&gt;0,IF(BR144&gt;0,(Calculation!T144/ED144)^2,0)," ")</f>
        <v xml:space="preserve"> </v>
      </c>
      <c r="EN144" s="362" t="str">
        <f>IF(L144&gt;0,IF(O144="2 Pipe (Cooling)","N/A",IF(BR144&gt;0,(Calculation!U144/EI144)^2,0))," ")</f>
        <v xml:space="preserve"> </v>
      </c>
      <c r="EO144" s="361" t="str">
        <f t="shared" si="273"/>
        <v/>
      </c>
      <c r="EP144" s="361" t="str">
        <f t="shared" si="274"/>
        <v/>
      </c>
      <c r="EQ144" s="361" t="str">
        <f t="shared" si="275"/>
        <v/>
      </c>
      <c r="ER144" s="361" t="str">
        <f t="shared" si="276"/>
        <v/>
      </c>
      <c r="ES144" s="361" t="str">
        <f t="shared" si="277"/>
        <v/>
      </c>
      <c r="ET144" s="361" t="str">
        <f t="shared" si="278"/>
        <v/>
      </c>
      <c r="EU144" s="361" t="str">
        <f t="shared" si="279"/>
        <v/>
      </c>
      <c r="EV144" s="361" t="str">
        <f t="shared" si="280"/>
        <v/>
      </c>
      <c r="EW144" s="361" t="str">
        <f t="shared" si="281"/>
        <v/>
      </c>
      <c r="EX144" s="361" t="str">
        <f t="shared" si="371"/>
        <v>1 slot, 1 way</v>
      </c>
      <c r="EY144" s="361" t="str">
        <f t="shared" si="372"/>
        <v xml:space="preserve"> </v>
      </c>
      <c r="EZ144" s="361" t="str">
        <f t="shared" si="373"/>
        <v xml:space="preserve"> </v>
      </c>
      <c r="FA144" s="361" t="str">
        <f t="shared" si="374"/>
        <v xml:space="preserve"> </v>
      </c>
      <c r="FB144" s="361" t="str">
        <f t="shared" si="375"/>
        <v xml:space="preserve"> </v>
      </c>
      <c r="FC144" s="361"/>
      <c r="FD144" s="361" t="str">
        <f>IF(J144&gt;0,IF(Calculation!R144&lt;=70,4,IF(Calculation!R144&lt;=110,5,IF(Calculation!R144&lt;=160,6,IF(Calculation!R144&lt;=300,8,"10 EO")))),"")</f>
        <v/>
      </c>
      <c r="FE144" s="361" t="str">
        <f t="shared" si="376"/>
        <v/>
      </c>
      <c r="FF144" s="361" t="str">
        <f t="shared" si="377"/>
        <v/>
      </c>
      <c r="FG144" s="361" t="e">
        <f t="shared" si="282"/>
        <v>#N/A</v>
      </c>
      <c r="FH144" s="361">
        <f t="shared" si="283"/>
        <v>0</v>
      </c>
      <c r="FI144" s="361" t="e">
        <f t="shared" si="284"/>
        <v>#DIV/0!</v>
      </c>
      <c r="FJ144" s="361"/>
      <c r="FK144" s="356" t="e">
        <f t="shared" si="285"/>
        <v>#VALUE!</v>
      </c>
      <c r="FL144" s="361"/>
      <c r="FM144" s="361"/>
      <c r="FN144" s="362" t="str">
        <f t="shared" si="378"/>
        <v xml:space="preserve"> </v>
      </c>
      <c r="FO144" s="362" t="str">
        <f t="shared" si="379"/>
        <v xml:space="preserve"> </v>
      </c>
      <c r="FP144" s="362">
        <f t="shared" si="380"/>
        <v>0</v>
      </c>
      <c r="FQ144" s="361">
        <f t="shared" si="286"/>
        <v>0</v>
      </c>
      <c r="FR144" s="362" t="str">
        <f>IF(L144&gt;0,IF(J144="CBAL2",Worksheet!$P$67,IF(J144="CBE2-24",Worksheet!$Q$67,IF(J144="CBAM",Worksheet!$R$67,IF(J144="CBLV",Worksheet!$S$67,IF(J144="CBAB",Worksheet!$U$67,IF(J144="CBAW",Worksheet!$X$67,IF(J144="CBE2-12",Worksheet!$Y$67,IF(J144="CBAL2",Worksheet!$Z$67,"N/A"))))))))," ")</f>
        <v xml:space="preserve"> </v>
      </c>
      <c r="FS144" s="362" t="str">
        <f>IF(L144&gt;0,IF(J144="CBAL2",Worksheet!$P$68,IF(J144="CBE2-24",Worksheet!$Q$68,IF(J144="CBAM",Worksheet!$R$68,IF(J144="CBLV",Worksheet!$S$68,IF(J144="CBAB",Worksheet!$U$68,IF(J144="CBAW",Worksheet!$X$68,IF(J144="CBE2-12",Worksheet!$Y$68,IF(J144="CBAL2",Worksheet!$Z$68,"N/A"))))))))," ")</f>
        <v xml:space="preserve"> </v>
      </c>
      <c r="FT144" s="362" t="str">
        <f>IF(L144&gt;0,IF(J144="CBAL2",Worksheet!$P$69,IF(J144="CBE2-24",Worksheet!$Q$69,IF(J144="CBAM",Worksheet!$R$69,IF(J144="CBLV",Worksheet!$S$69,IF(J144="CBAB",Worksheet!$U$69,IF(J144="CBAW",Worksheet!$X$69,IF(J144="CBE2-12",Worksheet!$Y$69,IF(J144="CBAL2",Worksheet!$Z$69,"N/A"))))))))," ")</f>
        <v xml:space="preserve"> </v>
      </c>
      <c r="FU144" s="361" t="str">
        <f t="shared" si="381"/>
        <v xml:space="preserve"> </v>
      </c>
      <c r="FV144" s="362" t="str">
        <f t="shared" si="382"/>
        <v xml:space="preserve"> </v>
      </c>
      <c r="FW144" s="362" t="str">
        <f t="shared" si="383"/>
        <v xml:space="preserve"> </v>
      </c>
      <c r="FX144" s="362" t="str">
        <f t="shared" si="384"/>
        <v xml:space="preserve"> </v>
      </c>
      <c r="FY144" s="355" t="str">
        <f t="shared" si="385"/>
        <v xml:space="preserve"> </v>
      </c>
      <c r="FZ144" s="361" t="str">
        <f t="shared" si="386"/>
        <v xml:space="preserve"> </v>
      </c>
      <c r="GA144" s="347" t="str">
        <f t="shared" si="387"/>
        <v xml:space="preserve"> </v>
      </c>
      <c r="GB144" s="355" t="str">
        <f t="shared" si="388"/>
        <v xml:space="preserve"> </v>
      </c>
      <c r="GC144" s="328" t="str">
        <f t="shared" si="389"/>
        <v xml:space="preserve"> </v>
      </c>
      <c r="GD144" s="361" t="str">
        <f t="shared" si="390"/>
        <v xml:space="preserve"> </v>
      </c>
      <c r="GE144" s="347" t="str">
        <f t="shared" si="391"/>
        <v xml:space="preserve"> </v>
      </c>
      <c r="GF144" s="361" t="str">
        <f t="shared" si="392"/>
        <v xml:space="preserve"> </v>
      </c>
      <c r="GG144" s="347" t="str">
        <f t="shared" si="393"/>
        <v xml:space="preserve"> </v>
      </c>
      <c r="GH144" s="364">
        <f t="shared" si="287"/>
        <v>0</v>
      </c>
      <c r="GI144" s="362">
        <f t="shared" si="394"/>
        <v>2</v>
      </c>
      <c r="GJ144" s="433" t="e">
        <f>IF(6-COUNTBLANK(GT144:GY144)=4,MATCH(MID(BO144,9,3),CLU!$H$16:$K$16),MATCH(MID(BO144,9,3),CLU!$H$13:$M$13))</f>
        <v>#N/A</v>
      </c>
      <c r="GK144" s="433" t="e">
        <f>HLOOKUP(VALUE(BP144),CLU!$H$9:$M$10,2)</f>
        <v>#VALUE!</v>
      </c>
      <c r="GL144" s="433" t="e">
        <f ca="1">MATCH(BU144,CLU!$H$2:$V$2,1)</f>
        <v>#VALUE!</v>
      </c>
      <c r="GM144" s="433" t="e">
        <f t="shared" ca="1" si="395"/>
        <v>#VALUE!</v>
      </c>
      <c r="GN144" s="433" t="e">
        <f t="shared" ca="1" si="396"/>
        <v>#VALUE!</v>
      </c>
      <c r="GO144" s="433" t="e">
        <f t="shared" ca="1" si="397"/>
        <v>#VALUE!</v>
      </c>
      <c r="GP144" s="433" t="e">
        <f t="shared" ca="1" si="398"/>
        <v>#VALUE!</v>
      </c>
      <c r="GQ144" s="433" t="e">
        <f t="shared" ca="1" si="399"/>
        <v>#VALUE!</v>
      </c>
      <c r="GR144" s="433" t="e">
        <f ca="1">MATCH(T144,INDIRECT(VLOOKUP(CONCATENATE(LEFT(BO144,7),"-",MID(BO144,13,1)),CLU!$P$3:$Q$16,2)),1)</f>
        <v>#N/A</v>
      </c>
      <c r="GS144" s="433" t="e">
        <f ca="1">MATCH(U144,INDIRECT(VLOOKUP(CONCATENATE(LEFT(BO144,7),"-",MID(BO144,13,1)),CLU!$P$3:$Q$16,2)),1)</f>
        <v>#N/A</v>
      </c>
      <c r="GT144" s="347" t="s">
        <v>512</v>
      </c>
      <c r="GU144" s="97" t="s">
        <v>513</v>
      </c>
      <c r="GV144" s="97" t="str">
        <f t="shared" si="400"/>
        <v>M23</v>
      </c>
      <c r="GW144" s="97" t="str">
        <f t="shared" si="401"/>
        <v>M31</v>
      </c>
      <c r="GX144" s="97" t="str">
        <f t="shared" si="402"/>
        <v/>
      </c>
      <c r="GY144" s="97" t="str">
        <f t="shared" si="403"/>
        <v/>
      </c>
      <c r="GZ144" s="481"/>
      <c r="HA144" s="288"/>
      <c r="HB144" s="240"/>
      <c r="HC144" s="240"/>
      <c r="HD144" s="240"/>
      <c r="HE144" s="240"/>
      <c r="HF144" s="240"/>
      <c r="HG144" s="240"/>
      <c r="HH144" s="240"/>
      <c r="HI144" s="240"/>
      <c r="HJ144" s="240"/>
      <c r="HK144" s="240"/>
      <c r="HL144" s="240"/>
      <c r="HM144" s="240"/>
      <c r="HN144" s="240"/>
      <c r="HO144" s="240"/>
      <c r="HP144" s="240"/>
      <c r="HQ144" s="240"/>
      <c r="HR144" s="240"/>
      <c r="HS144" s="240"/>
      <c r="HT144" s="240"/>
      <c r="HU144" s="240"/>
      <c r="HV144" s="245"/>
      <c r="HW144" s="245" t="b">
        <v>1</v>
      </c>
      <c r="HX144" s="245" t="str">
        <f t="shared" si="288"/>
        <v/>
      </c>
      <c r="HY144" s="245" t="e">
        <f t="shared" si="289"/>
        <v>#DIV/0!</v>
      </c>
      <c r="HZ144" s="245" t="e">
        <f t="shared" si="290"/>
        <v>#DIV/0!</v>
      </c>
      <c r="IA144" s="245">
        <f t="shared" si="291"/>
        <v>0</v>
      </c>
      <c r="IB144" s="245"/>
      <c r="IC144" t="b">
        <f t="shared" si="292"/>
        <v>1</v>
      </c>
      <c r="ID144" s="245" t="b">
        <f t="shared" si="293"/>
        <v>1</v>
      </c>
      <c r="IE144" s="245" t="b">
        <f t="shared" si="294"/>
        <v>1</v>
      </c>
      <c r="IF144" s="245" t="b">
        <f t="shared" si="295"/>
        <v>0</v>
      </c>
      <c r="IG144" s="245" t="b">
        <f t="shared" si="296"/>
        <v>1</v>
      </c>
      <c r="IH144" s="245" t="b">
        <f t="shared" si="297"/>
        <v>1</v>
      </c>
      <c r="II144" s="245">
        <f t="shared" si="404"/>
        <v>0</v>
      </c>
      <c r="IJ144" s="245" t="e">
        <f t="shared" si="298"/>
        <v>#VALUE!</v>
      </c>
      <c r="IK144" s="245" t="e">
        <f t="shared" si="299"/>
        <v>#VALUE!</v>
      </c>
      <c r="IL144" s="245"/>
      <c r="IM144" s="245" t="e">
        <f t="shared" si="405"/>
        <v>#N/A</v>
      </c>
      <c r="IN144" s="245" t="e">
        <f t="shared" si="406"/>
        <v>#N/A</v>
      </c>
      <c r="IO144" s="245"/>
      <c r="IP144" s="245"/>
      <c r="IQ144" s="245" t="str">
        <f t="shared" si="300"/>
        <v/>
      </c>
      <c r="IR144" s="245" t="str">
        <f>IF(J144="","",VLOOKUP(J144,Worksheet!$R$4:$T$14,2))</f>
        <v/>
      </c>
      <c r="IS144" s="245"/>
      <c r="IT144" s="245">
        <f t="shared" si="301"/>
        <v>0</v>
      </c>
      <c r="IU144" s="245">
        <f t="shared" si="302"/>
        <v>0</v>
      </c>
      <c r="IV144" s="245">
        <f t="shared" si="303"/>
        <v>0</v>
      </c>
      <c r="IW144" s="245">
        <f t="shared" si="304"/>
        <v>0</v>
      </c>
      <c r="IX144" s="245">
        <f t="shared" si="407"/>
        <v>0</v>
      </c>
      <c r="IY144" s="245">
        <f t="shared" si="305"/>
        <v>0</v>
      </c>
      <c r="IZ144" s="245">
        <f t="shared" si="306"/>
        <v>0</v>
      </c>
      <c r="JA144">
        <f t="shared" si="307"/>
        <v>0</v>
      </c>
      <c r="JB144">
        <f t="shared" si="408"/>
        <v>0</v>
      </c>
      <c r="JC144">
        <f t="shared" si="308"/>
        <v>0</v>
      </c>
      <c r="JD144">
        <f t="shared" si="309"/>
        <v>0</v>
      </c>
      <c r="JE144">
        <f t="shared" si="310"/>
        <v>0</v>
      </c>
      <c r="JF144">
        <f t="shared" si="311"/>
        <v>0</v>
      </c>
      <c r="JG144">
        <f t="shared" si="312"/>
        <v>0</v>
      </c>
      <c r="JH144">
        <f t="shared" si="313"/>
        <v>0</v>
      </c>
      <c r="JI144">
        <f t="shared" si="314"/>
        <v>0</v>
      </c>
      <c r="JJ144" s="447">
        <f t="shared" si="315"/>
        <v>0</v>
      </c>
      <c r="JK144" s="447">
        <f t="shared" si="316"/>
        <v>0</v>
      </c>
      <c r="JL144">
        <f t="shared" si="317"/>
        <v>0</v>
      </c>
      <c r="JM144" s="245" t="str">
        <f>IFERROR(VLOOKUP(MATCH(BN144,#REF!,0),#REF!,7),"")</f>
        <v/>
      </c>
      <c r="JN144" t="e">
        <f>HLOOKUP(LEFT(BO144,7),Discharge_Area,MATCH(JO144,LookUps!$B$130:$B$149,1)+2)</f>
        <v>#N/A</v>
      </c>
      <c r="JO144" t="str">
        <f t="shared" si="318"/>
        <v>- S</v>
      </c>
      <c r="JP144" t="e">
        <f>HLOOKUP(LEFT(BO144,7),Discharge_Area,MATCH(JO144,LookUps!$B$130:$B$149,1)+2)</f>
        <v>#N/A</v>
      </c>
      <c r="JQ144" t="e">
        <f t="shared" si="319"/>
        <v>#N/A</v>
      </c>
      <c r="JR144" t="e">
        <f t="shared" si="320"/>
        <v>#N/A</v>
      </c>
      <c r="JS144" t="e">
        <f t="shared" si="321"/>
        <v>#N/A</v>
      </c>
      <c r="JT144" s="532" t="str">
        <f t="shared" si="322"/>
        <v xml:space="preserve"> </v>
      </c>
      <c r="JU144" s="532" t="str">
        <f t="shared" si="323"/>
        <v xml:space="preserve"> </v>
      </c>
      <c r="JV144" s="533" t="str">
        <f t="shared" si="324"/>
        <v xml:space="preserve"> </v>
      </c>
      <c r="JW144" s="534">
        <f t="shared" si="325"/>
        <v>0</v>
      </c>
      <c r="JX144" s="535" t="str">
        <f t="shared" si="409"/>
        <v xml:space="preserve"> </v>
      </c>
      <c r="JY144" s="535" t="str">
        <f t="shared" si="410"/>
        <v xml:space="preserve"> </v>
      </c>
      <c r="JZ144" s="535" t="str">
        <f t="shared" si="411"/>
        <v xml:space="preserve"> </v>
      </c>
      <c r="KA144" s="536" t="str">
        <f t="shared" si="326"/>
        <v xml:space="preserve"> </v>
      </c>
      <c r="KB144" s="535" t="e">
        <f t="shared" si="412"/>
        <v>#VALUE!</v>
      </c>
      <c r="KC144" s="535" t="str">
        <f t="shared" si="327"/>
        <v/>
      </c>
      <c r="KD144" s="537" t="str">
        <f t="shared" si="413"/>
        <v xml:space="preserve"> </v>
      </c>
      <c r="KE144" s="537" t="str">
        <f t="shared" si="414"/>
        <v xml:space="preserve"> </v>
      </c>
      <c r="KF144" s="534">
        <f t="shared" si="328"/>
        <v>0</v>
      </c>
      <c r="KG144" s="535" t="str">
        <f t="shared" si="329"/>
        <v xml:space="preserve"> </v>
      </c>
      <c r="KH144" s="535" t="str">
        <f t="shared" si="330"/>
        <v xml:space="preserve"> </v>
      </c>
      <c r="KI144" s="535" t="str">
        <f t="shared" si="331"/>
        <v xml:space="preserve"> </v>
      </c>
      <c r="KJ144" s="536" t="str">
        <f t="shared" si="332"/>
        <v xml:space="preserve"> </v>
      </c>
      <c r="KK144" s="535" t="str">
        <f t="shared" si="415"/>
        <v xml:space="preserve"> </v>
      </c>
      <c r="KL144" s="535" t="str">
        <f t="shared" si="416"/>
        <v xml:space="preserve"> </v>
      </c>
      <c r="KM144" s="537" t="str">
        <f t="shared" si="333"/>
        <v xml:space="preserve"> </v>
      </c>
      <c r="KN144" s="537" t="str">
        <f t="shared" si="417"/>
        <v xml:space="preserve"> </v>
      </c>
      <c r="KP144">
        <f t="shared" si="334"/>
        <v>0</v>
      </c>
      <c r="LA144" t="e">
        <f t="shared" si="335"/>
        <v>#VALUE!</v>
      </c>
      <c r="LB144" t="e">
        <f t="shared" si="336"/>
        <v>#VALUE!</v>
      </c>
      <c r="LC144" t="e">
        <f t="shared" si="337"/>
        <v>#VALUE!</v>
      </c>
      <c r="LD144" t="e">
        <f t="shared" si="338"/>
        <v>#VALUE!</v>
      </c>
      <c r="LE144" t="e">
        <f t="shared" si="418"/>
        <v>#VALUE!</v>
      </c>
      <c r="LF144">
        <f t="shared" si="339"/>
        <v>0</v>
      </c>
      <c r="LG144" t="e">
        <f t="shared" si="419"/>
        <v>#VALUE!</v>
      </c>
      <c r="LH144" t="str">
        <f t="shared" si="340"/>
        <v xml:space="preserve"> </v>
      </c>
      <c r="LI144">
        <f t="shared" si="420"/>
        <v>1</v>
      </c>
    </row>
    <row r="145" spans="2:321" ht="15" customHeight="1">
      <c r="B145" s="311"/>
      <c r="C145" s="311"/>
      <c r="D145" s="312"/>
      <c r="E145" s="311"/>
      <c r="F145" s="312"/>
      <c r="G145" s="311"/>
      <c r="H145" s="311"/>
      <c r="I145" s="37"/>
      <c r="J145" s="311"/>
      <c r="K145" s="305" t="str">
        <f t="shared" si="341"/>
        <v/>
      </c>
      <c r="L145" s="313"/>
      <c r="M145" s="312"/>
      <c r="N145" s="311"/>
      <c r="O145" s="312"/>
      <c r="P145" s="311"/>
      <c r="Q145" s="305" t="str">
        <f t="shared" si="342"/>
        <v/>
      </c>
      <c r="R145" s="314"/>
      <c r="S145" s="450" t="str">
        <f t="shared" si="225"/>
        <v/>
      </c>
      <c r="T145" s="315"/>
      <c r="U145" s="315"/>
      <c r="W145" s="149" t="str">
        <f t="shared" si="226"/>
        <v xml:space="preserve"> </v>
      </c>
      <c r="X145" s="243" t="str">
        <f t="shared" si="227"/>
        <v xml:space="preserve"> </v>
      </c>
      <c r="Y145" s="150" t="str">
        <f t="shared" si="228"/>
        <v/>
      </c>
      <c r="Z145" s="149" t="str">
        <f t="shared" si="229"/>
        <v xml:space="preserve"> </v>
      </c>
      <c r="AA145" s="98" t="str">
        <f t="shared" si="230"/>
        <v xml:space="preserve"> </v>
      </c>
      <c r="AB145" s="153" t="str">
        <f t="shared" si="231"/>
        <v xml:space="preserve"> </v>
      </c>
      <c r="AC145" s="153" t="str">
        <f t="shared" si="232"/>
        <v xml:space="preserve"> </v>
      </c>
      <c r="AD145" s="148" t="str">
        <f t="shared" si="233"/>
        <v/>
      </c>
      <c r="AE145" s="149" t="str">
        <f t="shared" si="234"/>
        <v/>
      </c>
      <c r="AF145" s="151" t="str">
        <f t="shared" si="235"/>
        <v xml:space="preserve"> </v>
      </c>
      <c r="AG145" s="153" t="str">
        <f t="shared" si="236"/>
        <v xml:space="preserve"> </v>
      </c>
      <c r="AH145" s="98" t="str">
        <f t="shared" si="237"/>
        <v xml:space="preserve"> </v>
      </c>
      <c r="AI145" s="149" t="str">
        <f t="shared" si="238"/>
        <v xml:space="preserve"> </v>
      </c>
      <c r="AK145" s="144" t="str">
        <f t="shared" si="239"/>
        <v xml:space="preserve"> </v>
      </c>
      <c r="AL145" s="144"/>
      <c r="AM145" s="243" t="str">
        <f t="shared" si="240"/>
        <v xml:space="preserve"> </v>
      </c>
      <c r="AN145" s="149" t="str">
        <f t="shared" si="343"/>
        <v xml:space="preserve"> </v>
      </c>
      <c r="AO145" s="144" t="str">
        <f>IF(JB145&gt;0,IF(GI145=10,-R145*1.085*(Calculation!$F$6-Calculation!$F$13)*$S$14," "),"")</f>
        <v/>
      </c>
      <c r="AP145" s="144" t="str">
        <f t="shared" si="241"/>
        <v/>
      </c>
      <c r="AQ145" s="56" t="str">
        <f t="shared" si="242"/>
        <v/>
      </c>
      <c r="AR145" s="144" t="str">
        <f t="shared" si="243"/>
        <v/>
      </c>
      <c r="AS145" s="176" t="str">
        <f t="shared" si="244"/>
        <v/>
      </c>
      <c r="AT145" s="176" t="str">
        <f t="shared" si="344"/>
        <v xml:space="preserve"> </v>
      </c>
      <c r="AU145" s="176" t="str">
        <f t="shared" si="245"/>
        <v/>
      </c>
      <c r="AV145" s="177" t="str">
        <f t="shared" si="246"/>
        <v xml:space="preserve"> </v>
      </c>
      <c r="AW145" s="144" t="str">
        <f t="shared" si="247"/>
        <v xml:space="preserve"> </v>
      </c>
      <c r="AX145" s="144" t="str">
        <f t="shared" si="248"/>
        <v xml:space="preserve"> </v>
      </c>
      <c r="AY145" s="152" t="str">
        <f t="shared" si="249"/>
        <v xml:space="preserve"> </v>
      </c>
      <c r="AZ145" s="246" t="str">
        <f t="shared" si="250"/>
        <v/>
      </c>
      <c r="BA145" s="176" t="str">
        <f t="shared" si="251"/>
        <v xml:space="preserve"> </v>
      </c>
      <c r="BB145" s="176" t="str">
        <f t="shared" si="252"/>
        <v xml:space="preserve"> </v>
      </c>
      <c r="BC145" s="195"/>
      <c r="BD145" s="316"/>
      <c r="BE145" s="317"/>
      <c r="BF145" s="318"/>
      <c r="BG145" s="318"/>
      <c r="BH145" s="144" t="str">
        <f t="shared" si="421"/>
        <v xml:space="preserve"> </v>
      </c>
      <c r="BI145" s="176" t="str">
        <f t="shared" si="253"/>
        <v/>
      </c>
      <c r="BJ145" s="144" t="str">
        <f t="shared" si="422"/>
        <v/>
      </c>
      <c r="BK145" s="246" t="str">
        <f t="shared" si="254"/>
        <v/>
      </c>
      <c r="BL145" s="144" t="str">
        <f t="shared" si="423"/>
        <v/>
      </c>
      <c r="BM145" s="246" t="str">
        <f t="shared" si="255"/>
        <v/>
      </c>
      <c r="BN145" s="337" t="str">
        <f t="shared" si="345"/>
        <v/>
      </c>
      <c r="BO145" s="371" t="str">
        <f t="shared" si="346"/>
        <v/>
      </c>
      <c r="BP145" s="328" t="str">
        <f t="shared" si="424"/>
        <v xml:space="preserve"> </v>
      </c>
      <c r="BQ145" s="347" t="str">
        <f t="shared" si="347"/>
        <v xml:space="preserve"> </v>
      </c>
      <c r="BR145" s="353" t="str">
        <f t="shared" si="348"/>
        <v xml:space="preserve"> </v>
      </c>
      <c r="BS145" s="626" t="str">
        <f>IF(L145&gt;0,IF(Calculation!P145="M13",BR145*3.1416*(0.134^2)/(4*144),IF(Calculation!P145="M17",BR145*3.1416*(0.165^2)/(4*144),IF(Calculation!P145="M20",BR145*3.1416*(0.198^2)/(4*144),IF(Calculation!P145="M23",BR145*3.1416*(0.228^2)/(4*144),IF(Calculation!P145="M27",BR145*3.1416*(0.269^2)/(4*144),BR145*3.1416*(0.307^2)/(4*144))))))," ")</f>
        <v xml:space="preserve"> </v>
      </c>
      <c r="BT145" s="353" t="str">
        <f>IF(L145&gt;0,IF(BS145&gt;0,R145/Calculation!BS145,0)," ")</f>
        <v xml:space="preserve"> </v>
      </c>
      <c r="BU145" s="438" t="e">
        <f t="shared" ca="1" si="256"/>
        <v>#VALUE!</v>
      </c>
      <c r="BV145" s="449" t="e">
        <f ca="1">INDEX(INDIRECT(VLOOKUP(LEFT(BO145,7),CLU!$Z$3:$AH$18,2)),GN145,GR145)</f>
        <v>#N/A</v>
      </c>
      <c r="BW145" s="433" t="e">
        <f ca="1">INDEX(INDIRECT(VLOOKUP(LEFT(BO145,7),CLU!$Z$3:$AH$18,3)),GN145,GR145)</f>
        <v>#N/A</v>
      </c>
      <c r="BX145" s="433" t="e">
        <f ca="1">INDEX(INDIRECT(VLOOKUP(LEFT(BO145,7),CLU!$Z$3:$AH$18,4)),GN145,GR145)</f>
        <v>#N/A</v>
      </c>
      <c r="BY145" s="433" t="e">
        <f ca="1">INDEX(INDIRECT(VLOOKUP(LEFT(BO145,7),CLU!$Z$3:$AH$18,9)),((M145-2)*(6-COUNTBLANK(GT145:GY145)))+GJ145)</f>
        <v>#N/A</v>
      </c>
      <c r="BZ145" s="426" t="e">
        <f t="shared" ca="1" si="349"/>
        <v>#N/A</v>
      </c>
      <c r="CA145" s="424" t="e">
        <f t="shared" ca="1" si="350"/>
        <v>#N/A</v>
      </c>
      <c r="CB145" s="429" t="e">
        <f ca="1">INDEX(INDIRECT(VLOOKUP(LEFT(BO145,7),CLU!$Z$3:$AH$18,2)),GN145,GS145)</f>
        <v>#N/A</v>
      </c>
      <c r="CC145" s="342" t="e">
        <f ca="1">INDEX(INDIRECT(VLOOKUP(LEFT(BO145,7),CLU!$Z$3:$AH$18,3)),GN145,GS145)</f>
        <v>#N/A</v>
      </c>
      <c r="CD145" s="342" t="e">
        <f ca="1">INDEX(INDIRECT(VLOOKUP(LEFT(BO145,7),CLU!$Z$3:$AH$18,4)),GN145,GS145)</f>
        <v>#N/A</v>
      </c>
      <c r="CE145" s="426" t="e">
        <f t="shared" ca="1" si="351"/>
        <v>#N/A</v>
      </c>
      <c r="CF145" s="440">
        <f t="shared" si="352"/>
        <v>0</v>
      </c>
      <c r="CG145" s="431" t="e">
        <f ca="1">INDEX(INDIRECT(VLOOKUP(LEFT(BO145,7),CLU!$Z$3:$AH$18,2)),GQ145,GR145)</f>
        <v>#N/A</v>
      </c>
      <c r="CH145" s="431" t="e">
        <f ca="1">INDEX(INDIRECT(VLOOKUP(LEFT(BO145,7),CLU!$Z$3:$AH$18,3)),GQ145,GR145)</f>
        <v>#N/A</v>
      </c>
      <c r="CI145" s="431" t="e">
        <f ca="1">INDEX(INDIRECT(VLOOKUP(LEFT(BO145,7),CLU!$Z$3:$AH$18,4)),GQ145,GR145)</f>
        <v>#N/A</v>
      </c>
      <c r="CJ145" s="448" t="e">
        <f t="shared" ca="1" si="353"/>
        <v>#N/A</v>
      </c>
      <c r="CK145" s="431" t="e">
        <f t="shared" ca="1" si="354"/>
        <v>#N/A</v>
      </c>
      <c r="CL145" s="440" t="e">
        <f t="shared" ca="1" si="355"/>
        <v>#N/A</v>
      </c>
      <c r="CM145" s="431" t="e">
        <f ca="1">INDEX(INDIRECT(VLOOKUP(LEFT(BO145,7),CLU!$Z$3:$AH$18,2)),GQ145,GS145)</f>
        <v>#N/A</v>
      </c>
      <c r="CN145" s="431" t="e">
        <f ca="1">INDEX(INDIRECT(VLOOKUP(LEFT(BO145,7),CLU!$Z$3:$AH$18,3)),GQ145,GS145)</f>
        <v>#N/A</v>
      </c>
      <c r="CO145" s="431" t="e">
        <f ca="1">INDEX(INDIRECT(VLOOKUP(LEFT(BO145,7),CLU!$Z$3:$AH$18,4)),GQ145,GS145)</f>
        <v>#N/A</v>
      </c>
      <c r="CP145" s="431" t="e">
        <f t="shared" ca="1" si="356"/>
        <v>#N/A</v>
      </c>
      <c r="CQ145" s="440">
        <f t="shared" si="357"/>
        <v>0</v>
      </c>
      <c r="CR145" s="51" t="e">
        <f t="shared" ca="1" si="358"/>
        <v>#N/A</v>
      </c>
      <c r="CS145" s="439" t="e">
        <f t="shared" ca="1" si="359"/>
        <v>#VALUE!</v>
      </c>
      <c r="CT145" s="51" t="e">
        <f t="shared" ca="1" si="360"/>
        <v>#VALUE!</v>
      </c>
      <c r="CU145" s="10"/>
      <c r="CV145" s="51" t="e">
        <f t="shared" ca="1" si="257"/>
        <v>#VALUE!</v>
      </c>
      <c r="CW145" s="51">
        <f t="shared" si="361"/>
        <v>0</v>
      </c>
      <c r="CX145" s="439" t="e">
        <f t="shared" ca="1" si="362"/>
        <v>#VALUE!</v>
      </c>
      <c r="CY145" s="51" t="e">
        <f t="shared" ca="1" si="363"/>
        <v>#VALUE!</v>
      </c>
      <c r="CZ145" s="10"/>
      <c r="DA145" s="51" t="e">
        <f t="shared" ca="1" si="364"/>
        <v>#VALUE!</v>
      </c>
      <c r="DB145" s="347" t="e">
        <f ca="1">INDEX(INDIRECT(VLOOKUP(LEFT(BO145,7),CLU!$Z$3:$AI$18,10)),((M145-2)*(6-COUNTBLANK(GT145:GY145)))+GJ145)*LI145</f>
        <v>#N/A</v>
      </c>
      <c r="DC145" s="347" t="str">
        <f>IF(L145&gt;0,((R145/Worksheet!$I$15)/DB145)^2," ")</f>
        <v xml:space="preserve"> </v>
      </c>
      <c r="DD145" s="602" t="str">
        <f t="shared" si="365"/>
        <v xml:space="preserve"> </v>
      </c>
      <c r="DE145" s="347" t="str">
        <f t="shared" si="258"/>
        <v xml:space="preserve"> </v>
      </c>
      <c r="DF145" s="356" t="e">
        <f ca="1">INDEX(INDIRECT(VLOOKUP(LEFT(BO145,7),CLU!$Z$3:$AH$18,8)),((M145-2)*(6-COUNTBLANK(GT145:GY145)))+GJ145)</f>
        <v>#N/A</v>
      </c>
      <c r="DG145" s="347" t="str">
        <f t="shared" si="259"/>
        <v xml:space="preserve"> </v>
      </c>
      <c r="DH145" s="357" t="str">
        <f t="shared" si="260"/>
        <v xml:space="preserve"> </v>
      </c>
      <c r="DI145" s="355" t="str">
        <f t="shared" si="261"/>
        <v xml:space="preserve"> </v>
      </c>
      <c r="DJ145" s="245" t="e">
        <f ca="1">INDEX(INDIRECT(VLOOKUP(LEFT(BO145,7),CLU!$Z$3:$AH$18,5)),GL145,GK145)</f>
        <v>#N/A</v>
      </c>
      <c r="DK145" s="245" t="e">
        <f ca="1">INDEX(INDIRECT(VLOOKUP(LEFT(BO145,7),CLU!$Z$3:$AH$18,6)),GL145,GK145)</f>
        <v>#N/A</v>
      </c>
      <c r="DL145" s="355">
        <f>(Calculation!R145*0.69143*(Calculation!$BQ$8-Calculation!$F$8))*$S$14</f>
        <v>0</v>
      </c>
      <c r="DM145" s="359" t="e">
        <f t="shared" si="366"/>
        <v>#VALUE!</v>
      </c>
      <c r="DN145" s="611">
        <f t="shared" si="367"/>
        <v>0</v>
      </c>
      <c r="DO145" s="359">
        <f t="shared" si="368"/>
        <v>100</v>
      </c>
      <c r="DP145" s="359">
        <f t="shared" si="369"/>
        <v>0</v>
      </c>
      <c r="DQ145" s="360"/>
      <c r="DR145" s="245" t="e">
        <f ca="1">INDEX(INDIRECT(VLOOKUP(LEFT(BO145,7),CLU!$Z$3:$AH$18,7)),M145-1,1)</f>
        <v>#N/A</v>
      </c>
      <c r="DS145" s="245" t="e">
        <f ca="1">INDEX(INDIRECT(VLOOKUP(LEFT(BO145,7),CLU!$Z$3:$AH$18,7)),M145-1,2)</f>
        <v>#N/A</v>
      </c>
      <c r="DT145" s="245" t="e">
        <f ca="1">INDEX(INDIRECT(VLOOKUP(LEFT(BO145,7),CLU!$Z$3:$AH$18,7)),M145-1,3)</f>
        <v>#N/A</v>
      </c>
      <c r="DU145" s="245" t="e">
        <f ca="1">INDEX(INDIRECT(VLOOKUP(LEFT(BO145,7),CLU!$Z$3:$AH$18,7)),M145-1,4)</f>
        <v>#N/A</v>
      </c>
      <c r="DV145" s="361" t="e">
        <f ca="1">INDEX(INDIRECT(VLOOKUP(LEFT(BO145,7),CLU!$Z$3:$AH$18,7)),M145-1,4+LEFT(DZ145,1)*0.5)</f>
        <v>#N/A</v>
      </c>
      <c r="DW145" s="245" t="e">
        <f ca="1">INDEX(INDIRECT(VLOOKUP(LEFT(BO145,7),CLU!$Z$3:$AH$18,7)),M145-1,8)</f>
        <v>#N/A</v>
      </c>
      <c r="DX145" s="361" t="str">
        <f t="shared" si="262"/>
        <v xml:space="preserve"> </v>
      </c>
      <c r="DY145" s="361" t="str">
        <f t="shared" si="263"/>
        <v xml:space="preserve"> </v>
      </c>
      <c r="DZ145" s="361" t="str">
        <f t="shared" si="264"/>
        <v xml:space="preserve"> </v>
      </c>
      <c r="EA145" s="362" t="str">
        <f t="shared" si="265"/>
        <v xml:space="preserve"> </v>
      </c>
      <c r="EB145" s="624" t="str">
        <f t="shared" si="370"/>
        <v xml:space="preserve"> </v>
      </c>
      <c r="EC145" s="361" t="e">
        <f ca="1">INDEX(INDIRECT(VLOOKUP(LEFT(BO145,7),CLU!$Z$3:$AH$18,7)),M145-1,4+LEFT(DZ145,1)*0.5)</f>
        <v>#N/A</v>
      </c>
      <c r="ED145" s="362" t="str">
        <f t="shared" si="266"/>
        <v xml:space="preserve"> </v>
      </c>
      <c r="EE145" s="361" t="str">
        <f t="shared" si="267"/>
        <v xml:space="preserve"> </v>
      </c>
      <c r="EF145" s="362" t="str">
        <f>IF(L145&gt;0,IF(BR145&gt;0,IF(EE145="2P",IF(Calculation!DZ145="2P",IF(Calculation!DS145=13.75,IF(Calculation!DR145=13,Worksheet!$BD$43,IF(Calculation!DR145=37,Worksheet!$BD$44,Worksheet!$BD$45)),IF(Calculation!DS145=10,IF(Calculation!DR145=18,Worksheet!$BD$29,IF(Calculation!DR145=30,Worksheet!$BD$30,IF(Calculation!DR145=42,Worksheet!$BD$31,IF(Calculation!DR145=54,Worksheet!$BD$32,IF(Calculation!DR145=66,Worksheet!$BD$33,IF(Calculation!DR145=78,Worksheet!$BD$34,IF(Calculation!DR145=90,Worksheet!$BD$35,IF(Calculation!DR145=102,Worksheet!$BD$36,Worksheet!$BD$37)))))))),IF(Calculation!DS145=12.5,IF(Calculation!DR145=18,Worksheet!$BD$38,IF(Calculation!DR145=Worksheet!$BD$39,IF(Calculation!DR145=42,Worksheet!$BD$40,IF(Calculation!DR145=54,Worksheet!$BD$41,Worksheet!$BD$42)))),IF(Calculation!DR145=18,Worksheet!$BD$11,IF(Calculation!DR145=30,Worksheet!$BD$12,IF(Calculation!DR145=42,Worksheet!$BD$13,IF(Calculation!DR145=54,Worksheet!$BD$14,IF(Calculation!DR145=66,Worksheet!$BD$15,IF(Calculation!DR145=78,Worksheet!$BD$16,IF(Calculation!DR145=90,Worksheet!$BD$17,IF(Calculation!DR145=102,Worksheet!$BD$18,Worksheet!$BD$19))))))))))),IF(Calculation!DS145=13.75,IF(Calculation!DR145=13,Worksheet!$BD$78,IF(Calculation!DR145=37,Worksheet!$BD$79,Worksheet!$BD$80)),IF(Calculation!DS145=10,IF(Calculation!DR145=18,Worksheet!$BD$64,IF(Calculation!DR145=30,Worksheet!$BD$65,IF(Calculation!DR145=42,Worksheet!$BD$66,IF(Calculation!DR145=54,Worksheet!$BD$68,IF(Calculation!DR145=66,Worksheet!$BD$68,IF(Calculation!DR145=78,Worksheet!$BD$69,IF(Calculation!DR145=90,Worksheet!$BD$70,IF(Calculation!DR145=102,Worksheet!$BD$71,Worksheet!$BD$72)))))))),IF(Calculation!DS145=12.5,IF(Calculation!DR145=18,Worksheet!$BD$73,IF(Calculation!DR145=Worksheet!$BD$74,IF(Calculation!DR145=42,Worksheet!$BD$75,IF(Calculation!DR145=54,Worksheet!$BD$76,Worksheet!$BD$77)))),IF(Calculation!DR145=18,Worksheet!$BD$55,IF(Calculation!DR145=30,Worksheet!$BD$56,IF(Calculation!DR145=42,Worksheet!$BD$57,IF(Calculation!DR145=54,Worksheet!$BD$58,IF(Calculation!DR145=66,Worksheet!$BD$59,IF(Calculation!DR145=78,Worksheet!$BD$60,IF(Calculation!DR145=90,Worksheet!$BD$61,IF(Calculation!DR145=102,Worksheet!$BD$62,Worksheet!$BD$63)))))))))))),5),0)," ")</f>
        <v xml:space="preserve"> </v>
      </c>
      <c r="EG145" s="361" t="str">
        <f t="shared" si="268"/>
        <v xml:space="preserve"> </v>
      </c>
      <c r="EH145" s="361" t="e">
        <f ca="1">INDEX(INDIRECT(VLOOKUP(LEFT(BO145,7),CLU!$Z$3:$AH$18,7)),M145-1,3+LEFT(DZ145,1))</f>
        <v>#N/A</v>
      </c>
      <c r="EI145" s="362" t="str">
        <f t="shared" si="269"/>
        <v xml:space="preserve"> </v>
      </c>
      <c r="EJ145" s="363" t="str">
        <f t="shared" si="270"/>
        <v xml:space="preserve"> </v>
      </c>
      <c r="EK145" s="363" t="str">
        <f t="shared" si="271"/>
        <v xml:space="preserve"> </v>
      </c>
      <c r="EL145" s="363" t="str">
        <f t="shared" si="272"/>
        <v xml:space="preserve"> </v>
      </c>
      <c r="EM145" s="362" t="str">
        <f>IF(L145&gt;0,IF(BR145&gt;0,(Calculation!T145/ED145)^2,0)," ")</f>
        <v xml:space="preserve"> </v>
      </c>
      <c r="EN145" s="362" t="str">
        <f>IF(L145&gt;0,IF(O145="2 Pipe (Cooling)","N/A",IF(BR145&gt;0,(Calculation!U145/EI145)^2,0))," ")</f>
        <v xml:space="preserve"> </v>
      </c>
      <c r="EO145" s="361" t="str">
        <f t="shared" si="273"/>
        <v/>
      </c>
      <c r="EP145" s="361" t="str">
        <f t="shared" si="274"/>
        <v/>
      </c>
      <c r="EQ145" s="361" t="str">
        <f t="shared" si="275"/>
        <v/>
      </c>
      <c r="ER145" s="361" t="str">
        <f t="shared" si="276"/>
        <v/>
      </c>
      <c r="ES145" s="361" t="str">
        <f t="shared" si="277"/>
        <v/>
      </c>
      <c r="ET145" s="361" t="str">
        <f t="shared" si="278"/>
        <v/>
      </c>
      <c r="EU145" s="361" t="str">
        <f t="shared" si="279"/>
        <v/>
      </c>
      <c r="EV145" s="361" t="str">
        <f t="shared" si="280"/>
        <v/>
      </c>
      <c r="EW145" s="361" t="str">
        <f t="shared" si="281"/>
        <v/>
      </c>
      <c r="EX145" s="361" t="str">
        <f t="shared" si="371"/>
        <v>1 slot, 1 way</v>
      </c>
      <c r="EY145" s="361" t="str">
        <f t="shared" si="372"/>
        <v xml:space="preserve"> </v>
      </c>
      <c r="EZ145" s="361" t="str">
        <f t="shared" si="373"/>
        <v xml:space="preserve"> </v>
      </c>
      <c r="FA145" s="361" t="str">
        <f t="shared" si="374"/>
        <v xml:space="preserve"> </v>
      </c>
      <c r="FB145" s="361" t="str">
        <f t="shared" si="375"/>
        <v xml:space="preserve"> </v>
      </c>
      <c r="FC145" s="361"/>
      <c r="FD145" s="361" t="str">
        <f>IF(J145&gt;0,IF(Calculation!R145&lt;=70,4,IF(Calculation!R145&lt;=110,5,IF(Calculation!R145&lt;=160,6,IF(Calculation!R145&lt;=300,8,"10 EO")))),"")</f>
        <v/>
      </c>
      <c r="FE145" s="361" t="str">
        <f t="shared" si="376"/>
        <v/>
      </c>
      <c r="FF145" s="361" t="str">
        <f t="shared" si="377"/>
        <v/>
      </c>
      <c r="FG145" s="361" t="e">
        <f t="shared" si="282"/>
        <v>#N/A</v>
      </c>
      <c r="FH145" s="361">
        <f t="shared" si="283"/>
        <v>0</v>
      </c>
      <c r="FI145" s="361" t="e">
        <f t="shared" si="284"/>
        <v>#DIV/0!</v>
      </c>
      <c r="FJ145" s="361"/>
      <c r="FK145" s="356" t="e">
        <f t="shared" si="285"/>
        <v>#VALUE!</v>
      </c>
      <c r="FL145" s="361"/>
      <c r="FM145" s="361"/>
      <c r="FN145" s="362" t="str">
        <f t="shared" si="378"/>
        <v xml:space="preserve"> </v>
      </c>
      <c r="FO145" s="362" t="str">
        <f t="shared" si="379"/>
        <v xml:space="preserve"> </v>
      </c>
      <c r="FP145" s="362">
        <f t="shared" si="380"/>
        <v>0</v>
      </c>
      <c r="FQ145" s="361">
        <f t="shared" si="286"/>
        <v>0</v>
      </c>
      <c r="FR145" s="362" t="str">
        <f>IF(L145&gt;0,IF(J145="CBAL2",Worksheet!$P$67,IF(J145="CBE2-24",Worksheet!$Q$67,IF(J145="CBAM",Worksheet!$R$67,IF(J145="CBLV",Worksheet!$S$67,IF(J145="CBAB",Worksheet!$U$67,IF(J145="CBAW",Worksheet!$X$67,IF(J145="CBE2-12",Worksheet!$Y$67,IF(J145="CBAL2",Worksheet!$Z$67,"N/A"))))))))," ")</f>
        <v xml:space="preserve"> </v>
      </c>
      <c r="FS145" s="362" t="str">
        <f>IF(L145&gt;0,IF(J145="CBAL2",Worksheet!$P$68,IF(J145="CBE2-24",Worksheet!$Q$68,IF(J145="CBAM",Worksheet!$R$68,IF(J145="CBLV",Worksheet!$S$68,IF(J145="CBAB",Worksheet!$U$68,IF(J145="CBAW",Worksheet!$X$68,IF(J145="CBE2-12",Worksheet!$Y$68,IF(J145="CBAL2",Worksheet!$Z$68,"N/A"))))))))," ")</f>
        <v xml:space="preserve"> </v>
      </c>
      <c r="FT145" s="362" t="str">
        <f>IF(L145&gt;0,IF(J145="CBAL2",Worksheet!$P$69,IF(J145="CBE2-24",Worksheet!$Q$69,IF(J145="CBAM",Worksheet!$R$69,IF(J145="CBLV",Worksheet!$S$69,IF(J145="CBAB",Worksheet!$U$69,IF(J145="CBAW",Worksheet!$X$69,IF(J145="CBE2-12",Worksheet!$Y$69,IF(J145="CBAL2",Worksheet!$Z$69,"N/A"))))))))," ")</f>
        <v xml:space="preserve"> </v>
      </c>
      <c r="FU145" s="361" t="str">
        <f t="shared" si="381"/>
        <v xml:space="preserve"> </v>
      </c>
      <c r="FV145" s="362" t="str">
        <f t="shared" si="382"/>
        <v xml:space="preserve"> </v>
      </c>
      <c r="FW145" s="362" t="str">
        <f t="shared" si="383"/>
        <v xml:space="preserve"> </v>
      </c>
      <c r="FX145" s="362" t="str">
        <f t="shared" si="384"/>
        <v xml:space="preserve"> </v>
      </c>
      <c r="FY145" s="355" t="str">
        <f t="shared" si="385"/>
        <v xml:space="preserve"> </v>
      </c>
      <c r="FZ145" s="361" t="str">
        <f t="shared" si="386"/>
        <v xml:space="preserve"> </v>
      </c>
      <c r="GA145" s="347" t="str">
        <f t="shared" si="387"/>
        <v xml:space="preserve"> </v>
      </c>
      <c r="GB145" s="355" t="str">
        <f t="shared" si="388"/>
        <v xml:space="preserve"> </v>
      </c>
      <c r="GC145" s="328" t="str">
        <f t="shared" si="389"/>
        <v xml:space="preserve"> </v>
      </c>
      <c r="GD145" s="361" t="str">
        <f t="shared" si="390"/>
        <v xml:space="preserve"> </v>
      </c>
      <c r="GE145" s="347" t="str">
        <f t="shared" si="391"/>
        <v xml:space="preserve"> </v>
      </c>
      <c r="GF145" s="361" t="str">
        <f t="shared" si="392"/>
        <v xml:space="preserve"> </v>
      </c>
      <c r="GG145" s="347" t="str">
        <f t="shared" si="393"/>
        <v xml:space="preserve"> </v>
      </c>
      <c r="GH145" s="364">
        <f t="shared" si="287"/>
        <v>0</v>
      </c>
      <c r="GI145" s="362">
        <f t="shared" si="394"/>
        <v>2</v>
      </c>
      <c r="GJ145" s="433" t="e">
        <f>IF(6-COUNTBLANK(GT145:GY145)=4,MATCH(MID(BO145,9,3),CLU!$H$16:$K$16),MATCH(MID(BO145,9,3),CLU!$H$13:$M$13))</f>
        <v>#N/A</v>
      </c>
      <c r="GK145" s="433" t="e">
        <f>HLOOKUP(VALUE(BP145),CLU!$H$9:$M$10,2)</f>
        <v>#VALUE!</v>
      </c>
      <c r="GL145" s="433" t="e">
        <f ca="1">MATCH(BU145,CLU!$H$2:$V$2,1)</f>
        <v>#VALUE!</v>
      </c>
      <c r="GM145" s="433" t="e">
        <f t="shared" ca="1" si="395"/>
        <v>#VALUE!</v>
      </c>
      <c r="GN145" s="433" t="e">
        <f t="shared" ca="1" si="396"/>
        <v>#VALUE!</v>
      </c>
      <c r="GO145" s="433" t="e">
        <f t="shared" ca="1" si="397"/>
        <v>#VALUE!</v>
      </c>
      <c r="GP145" s="433" t="e">
        <f t="shared" ca="1" si="398"/>
        <v>#VALUE!</v>
      </c>
      <c r="GQ145" s="433" t="e">
        <f t="shared" ca="1" si="399"/>
        <v>#VALUE!</v>
      </c>
      <c r="GR145" s="433" t="e">
        <f ca="1">MATCH(T145,INDIRECT(VLOOKUP(CONCATENATE(LEFT(BO145,7),"-",MID(BO145,13,1)),CLU!$P$3:$Q$16,2)),1)</f>
        <v>#N/A</v>
      </c>
      <c r="GS145" s="433" t="e">
        <f ca="1">MATCH(U145,INDIRECT(VLOOKUP(CONCATENATE(LEFT(BO145,7),"-",MID(BO145,13,1)),CLU!$P$3:$Q$16,2)),1)</f>
        <v>#N/A</v>
      </c>
      <c r="GT145" s="347" t="s">
        <v>512</v>
      </c>
      <c r="GU145" s="97" t="s">
        <v>513</v>
      </c>
      <c r="GV145" s="97" t="str">
        <f t="shared" si="400"/>
        <v>M23</v>
      </c>
      <c r="GW145" s="97" t="str">
        <f t="shared" si="401"/>
        <v>M31</v>
      </c>
      <c r="GX145" s="97" t="str">
        <f t="shared" si="402"/>
        <v/>
      </c>
      <c r="GY145" s="97" t="str">
        <f t="shared" si="403"/>
        <v/>
      </c>
      <c r="GZ145" s="481"/>
      <c r="HA145" s="288"/>
      <c r="HB145" s="240"/>
      <c r="HC145" s="240"/>
      <c r="HD145" s="240"/>
      <c r="HE145" s="240"/>
      <c r="HF145" s="240"/>
      <c r="HG145" s="240"/>
      <c r="HH145" s="240"/>
      <c r="HI145" s="240"/>
      <c r="HJ145" s="240"/>
      <c r="HK145" s="240"/>
      <c r="HL145" s="240"/>
      <c r="HM145" s="240"/>
      <c r="HN145" s="240"/>
      <c r="HO145" s="240"/>
      <c r="HP145" s="240"/>
      <c r="HQ145" s="240"/>
      <c r="HR145" s="240"/>
      <c r="HS145" s="240"/>
      <c r="HT145" s="240"/>
      <c r="HU145" s="240"/>
      <c r="HV145" s="245"/>
      <c r="HW145" s="245" t="b">
        <v>1</v>
      </c>
      <c r="HX145" s="245" t="str">
        <f t="shared" si="288"/>
        <v/>
      </c>
      <c r="HY145" s="245" t="e">
        <f t="shared" si="289"/>
        <v>#DIV/0!</v>
      </c>
      <c r="HZ145" s="245" t="e">
        <f t="shared" si="290"/>
        <v>#DIV/0!</v>
      </c>
      <c r="IA145" s="245">
        <f t="shared" si="291"/>
        <v>0</v>
      </c>
      <c r="IB145" s="245"/>
      <c r="IC145" t="b">
        <f t="shared" si="292"/>
        <v>1</v>
      </c>
      <c r="ID145" s="245" t="b">
        <f t="shared" si="293"/>
        <v>1</v>
      </c>
      <c r="IE145" s="245" t="b">
        <f t="shared" si="294"/>
        <v>1</v>
      </c>
      <c r="IF145" s="245" t="b">
        <f t="shared" si="295"/>
        <v>0</v>
      </c>
      <c r="IG145" s="245" t="b">
        <f t="shared" si="296"/>
        <v>1</v>
      </c>
      <c r="IH145" s="245" t="b">
        <f t="shared" si="297"/>
        <v>1</v>
      </c>
      <c r="II145" s="245">
        <f t="shared" si="404"/>
        <v>0</v>
      </c>
      <c r="IJ145" s="245" t="e">
        <f t="shared" si="298"/>
        <v>#VALUE!</v>
      </c>
      <c r="IK145" s="245" t="e">
        <f t="shared" si="299"/>
        <v>#VALUE!</v>
      </c>
      <c r="IL145" s="245"/>
      <c r="IM145" s="245" t="e">
        <f t="shared" si="405"/>
        <v>#N/A</v>
      </c>
      <c r="IN145" s="245" t="e">
        <f t="shared" si="406"/>
        <v>#N/A</v>
      </c>
      <c r="IO145" s="245"/>
      <c r="IP145" s="245"/>
      <c r="IQ145" s="245" t="str">
        <f t="shared" si="300"/>
        <v/>
      </c>
      <c r="IR145" s="245" t="str">
        <f>IF(J145="","",VLOOKUP(J145,Worksheet!$R$4:$T$14,2))</f>
        <v/>
      </c>
      <c r="IS145" s="245"/>
      <c r="IT145" s="245">
        <f t="shared" si="301"/>
        <v>0</v>
      </c>
      <c r="IU145" s="245">
        <f t="shared" si="302"/>
        <v>0</v>
      </c>
      <c r="IV145" s="245">
        <f t="shared" si="303"/>
        <v>0</v>
      </c>
      <c r="IW145" s="245">
        <f t="shared" si="304"/>
        <v>0</v>
      </c>
      <c r="IX145" s="245">
        <f t="shared" si="407"/>
        <v>0</v>
      </c>
      <c r="IY145" s="245">
        <f t="shared" si="305"/>
        <v>0</v>
      </c>
      <c r="IZ145" s="245">
        <f t="shared" si="306"/>
        <v>0</v>
      </c>
      <c r="JA145">
        <f t="shared" si="307"/>
        <v>0</v>
      </c>
      <c r="JB145">
        <f t="shared" si="408"/>
        <v>0</v>
      </c>
      <c r="JC145">
        <f t="shared" si="308"/>
        <v>0</v>
      </c>
      <c r="JD145">
        <f t="shared" si="309"/>
        <v>0</v>
      </c>
      <c r="JE145">
        <f t="shared" si="310"/>
        <v>0</v>
      </c>
      <c r="JF145">
        <f t="shared" si="311"/>
        <v>0</v>
      </c>
      <c r="JG145">
        <f t="shared" si="312"/>
        <v>0</v>
      </c>
      <c r="JH145">
        <f t="shared" si="313"/>
        <v>0</v>
      </c>
      <c r="JI145">
        <f t="shared" si="314"/>
        <v>0</v>
      </c>
      <c r="JJ145" s="447">
        <f t="shared" si="315"/>
        <v>0</v>
      </c>
      <c r="JK145" s="447">
        <f t="shared" si="316"/>
        <v>0</v>
      </c>
      <c r="JL145">
        <f t="shared" si="317"/>
        <v>0</v>
      </c>
      <c r="JM145" s="245" t="str">
        <f>IFERROR(VLOOKUP(MATCH(BN145,#REF!,0),#REF!,7),"")</f>
        <v/>
      </c>
      <c r="JN145" t="e">
        <f>HLOOKUP(LEFT(BO145,7),Discharge_Area,MATCH(JO145,LookUps!$B$130:$B$149,1)+2)</f>
        <v>#N/A</v>
      </c>
      <c r="JO145" t="str">
        <f t="shared" si="318"/>
        <v>- S</v>
      </c>
      <c r="JP145" t="e">
        <f>HLOOKUP(LEFT(BO145,7),Discharge_Area,MATCH(JO145,LookUps!$B$130:$B$149,1)+2)</f>
        <v>#N/A</v>
      </c>
      <c r="JQ145" t="e">
        <f t="shared" si="319"/>
        <v>#N/A</v>
      </c>
      <c r="JR145" t="e">
        <f t="shared" si="320"/>
        <v>#N/A</v>
      </c>
      <c r="JS145" t="e">
        <f t="shared" si="321"/>
        <v>#N/A</v>
      </c>
      <c r="JT145" s="532" t="str">
        <f t="shared" si="322"/>
        <v xml:space="preserve"> </v>
      </c>
      <c r="JU145" s="532" t="str">
        <f t="shared" si="323"/>
        <v xml:space="preserve"> </v>
      </c>
      <c r="JV145" s="533" t="str">
        <f t="shared" si="324"/>
        <v xml:space="preserve"> </v>
      </c>
      <c r="JW145" s="534">
        <f t="shared" si="325"/>
        <v>0</v>
      </c>
      <c r="JX145" s="535" t="str">
        <f t="shared" si="409"/>
        <v xml:space="preserve"> </v>
      </c>
      <c r="JY145" s="535" t="str">
        <f t="shared" si="410"/>
        <v xml:space="preserve"> </v>
      </c>
      <c r="JZ145" s="535" t="str">
        <f t="shared" si="411"/>
        <v xml:space="preserve"> </v>
      </c>
      <c r="KA145" s="536" t="str">
        <f t="shared" si="326"/>
        <v xml:space="preserve"> </v>
      </c>
      <c r="KB145" s="535" t="e">
        <f t="shared" si="412"/>
        <v>#VALUE!</v>
      </c>
      <c r="KC145" s="535" t="str">
        <f t="shared" si="327"/>
        <v/>
      </c>
      <c r="KD145" s="537" t="str">
        <f t="shared" si="413"/>
        <v xml:space="preserve"> </v>
      </c>
      <c r="KE145" s="537" t="str">
        <f t="shared" si="414"/>
        <v xml:space="preserve"> </v>
      </c>
      <c r="KF145" s="534">
        <f t="shared" si="328"/>
        <v>0</v>
      </c>
      <c r="KG145" s="535" t="str">
        <f t="shared" si="329"/>
        <v xml:space="preserve"> </v>
      </c>
      <c r="KH145" s="535" t="str">
        <f t="shared" si="330"/>
        <v xml:space="preserve"> </v>
      </c>
      <c r="KI145" s="535" t="str">
        <f t="shared" si="331"/>
        <v xml:space="preserve"> </v>
      </c>
      <c r="KJ145" s="536" t="str">
        <f t="shared" si="332"/>
        <v xml:space="preserve"> </v>
      </c>
      <c r="KK145" s="535" t="str">
        <f t="shared" si="415"/>
        <v xml:space="preserve"> </v>
      </c>
      <c r="KL145" s="535" t="str">
        <f t="shared" si="416"/>
        <v xml:space="preserve"> </v>
      </c>
      <c r="KM145" s="537" t="str">
        <f t="shared" si="333"/>
        <v xml:space="preserve"> </v>
      </c>
      <c r="KN145" s="537" t="str">
        <f t="shared" si="417"/>
        <v xml:space="preserve"> </v>
      </c>
      <c r="KP145">
        <f t="shared" si="334"/>
        <v>0</v>
      </c>
      <c r="LA145" t="e">
        <f t="shared" si="335"/>
        <v>#VALUE!</v>
      </c>
      <c r="LB145" t="e">
        <f t="shared" si="336"/>
        <v>#VALUE!</v>
      </c>
      <c r="LC145" t="e">
        <f t="shared" si="337"/>
        <v>#VALUE!</v>
      </c>
      <c r="LD145" t="e">
        <f t="shared" si="338"/>
        <v>#VALUE!</v>
      </c>
      <c r="LE145" t="e">
        <f t="shared" si="418"/>
        <v>#VALUE!</v>
      </c>
      <c r="LF145">
        <f t="shared" si="339"/>
        <v>0</v>
      </c>
      <c r="LG145" t="e">
        <f t="shared" si="419"/>
        <v>#VALUE!</v>
      </c>
      <c r="LH145" t="str">
        <f t="shared" si="340"/>
        <v xml:space="preserve"> </v>
      </c>
      <c r="LI145">
        <f t="shared" si="420"/>
        <v>1</v>
      </c>
    </row>
    <row r="146" spans="2:321" ht="15" customHeight="1">
      <c r="B146" s="311"/>
      <c r="C146" s="311"/>
      <c r="D146" s="312"/>
      <c r="E146" s="311"/>
      <c r="F146" s="312"/>
      <c r="G146" s="311"/>
      <c r="H146" s="311"/>
      <c r="I146" s="37"/>
      <c r="J146" s="311"/>
      <c r="K146" s="305" t="str">
        <f t="shared" si="341"/>
        <v/>
      </c>
      <c r="L146" s="313"/>
      <c r="M146" s="312"/>
      <c r="N146" s="311"/>
      <c r="O146" s="312"/>
      <c r="P146" s="311"/>
      <c r="Q146" s="305" t="str">
        <f t="shared" si="342"/>
        <v/>
      </c>
      <c r="R146" s="314"/>
      <c r="S146" s="450" t="str">
        <f t="shared" si="225"/>
        <v/>
      </c>
      <c r="T146" s="315"/>
      <c r="U146" s="315"/>
      <c r="W146" s="149" t="str">
        <f t="shared" si="226"/>
        <v xml:space="preserve"> </v>
      </c>
      <c r="X146" s="243" t="str">
        <f t="shared" si="227"/>
        <v xml:space="preserve"> </v>
      </c>
      <c r="Y146" s="150" t="str">
        <f t="shared" si="228"/>
        <v/>
      </c>
      <c r="Z146" s="149" t="str">
        <f t="shared" si="229"/>
        <v xml:space="preserve"> </v>
      </c>
      <c r="AA146" s="98" t="str">
        <f t="shared" si="230"/>
        <v xml:space="preserve"> </v>
      </c>
      <c r="AB146" s="153" t="str">
        <f t="shared" si="231"/>
        <v xml:space="preserve"> </v>
      </c>
      <c r="AC146" s="153" t="str">
        <f t="shared" si="232"/>
        <v xml:space="preserve"> </v>
      </c>
      <c r="AD146" s="148" t="str">
        <f t="shared" si="233"/>
        <v/>
      </c>
      <c r="AE146" s="149" t="str">
        <f t="shared" si="234"/>
        <v/>
      </c>
      <c r="AF146" s="151" t="str">
        <f t="shared" si="235"/>
        <v xml:space="preserve"> </v>
      </c>
      <c r="AG146" s="153" t="str">
        <f t="shared" si="236"/>
        <v xml:space="preserve"> </v>
      </c>
      <c r="AH146" s="98" t="str">
        <f t="shared" si="237"/>
        <v xml:space="preserve"> </v>
      </c>
      <c r="AI146" s="149" t="str">
        <f t="shared" si="238"/>
        <v xml:space="preserve"> </v>
      </c>
      <c r="AK146" s="144" t="str">
        <f t="shared" si="239"/>
        <v xml:space="preserve"> </v>
      </c>
      <c r="AL146" s="144"/>
      <c r="AM146" s="243" t="str">
        <f t="shared" si="240"/>
        <v xml:space="preserve"> </v>
      </c>
      <c r="AN146" s="149" t="str">
        <f t="shared" si="343"/>
        <v xml:space="preserve"> </v>
      </c>
      <c r="AO146" s="144" t="str">
        <f>IF(JB146&gt;0,IF(GI146=10,-R146*1.085*(Calculation!$F$6-Calculation!$F$13)*$S$14," "),"")</f>
        <v/>
      </c>
      <c r="AP146" s="144" t="str">
        <f t="shared" si="241"/>
        <v/>
      </c>
      <c r="AQ146" s="56" t="str">
        <f t="shared" si="242"/>
        <v/>
      </c>
      <c r="AR146" s="144" t="str">
        <f t="shared" si="243"/>
        <v/>
      </c>
      <c r="AS146" s="176" t="str">
        <f t="shared" si="244"/>
        <v/>
      </c>
      <c r="AT146" s="176" t="str">
        <f t="shared" si="344"/>
        <v xml:space="preserve"> </v>
      </c>
      <c r="AU146" s="176" t="str">
        <f t="shared" si="245"/>
        <v/>
      </c>
      <c r="AV146" s="177" t="str">
        <f t="shared" si="246"/>
        <v xml:space="preserve"> </v>
      </c>
      <c r="AW146" s="144" t="str">
        <f t="shared" si="247"/>
        <v xml:space="preserve"> </v>
      </c>
      <c r="AX146" s="144" t="str">
        <f t="shared" si="248"/>
        <v xml:space="preserve"> </v>
      </c>
      <c r="AY146" s="152" t="str">
        <f t="shared" si="249"/>
        <v xml:space="preserve"> </v>
      </c>
      <c r="AZ146" s="246" t="str">
        <f t="shared" si="250"/>
        <v/>
      </c>
      <c r="BA146" s="176" t="str">
        <f t="shared" si="251"/>
        <v xml:space="preserve"> </v>
      </c>
      <c r="BB146" s="176" t="str">
        <f t="shared" si="252"/>
        <v xml:space="preserve"> </v>
      </c>
      <c r="BC146" s="195"/>
      <c r="BD146" s="316"/>
      <c r="BE146" s="317"/>
      <c r="BF146" s="318"/>
      <c r="BG146" s="318"/>
      <c r="BH146" s="144" t="str">
        <f t="shared" si="421"/>
        <v xml:space="preserve"> </v>
      </c>
      <c r="BI146" s="176" t="str">
        <f t="shared" si="253"/>
        <v/>
      </c>
      <c r="BJ146" s="144" t="str">
        <f t="shared" si="422"/>
        <v/>
      </c>
      <c r="BK146" s="246" t="str">
        <f t="shared" si="254"/>
        <v/>
      </c>
      <c r="BL146" s="144" t="str">
        <f t="shared" si="423"/>
        <v/>
      </c>
      <c r="BM146" s="246" t="str">
        <f t="shared" si="255"/>
        <v/>
      </c>
      <c r="BN146" s="337" t="str">
        <f t="shared" si="345"/>
        <v/>
      </c>
      <c r="BO146" s="371" t="str">
        <f t="shared" si="346"/>
        <v/>
      </c>
      <c r="BP146" s="328" t="str">
        <f t="shared" si="424"/>
        <v xml:space="preserve"> </v>
      </c>
      <c r="BQ146" s="347" t="str">
        <f t="shared" si="347"/>
        <v xml:space="preserve"> </v>
      </c>
      <c r="BR146" s="353" t="str">
        <f t="shared" si="348"/>
        <v xml:space="preserve"> </v>
      </c>
      <c r="BS146" s="626" t="str">
        <f>IF(L146&gt;0,IF(Calculation!P146="M13",BR146*3.1416*(0.134^2)/(4*144),IF(Calculation!P146="M17",BR146*3.1416*(0.165^2)/(4*144),IF(Calculation!P146="M20",BR146*3.1416*(0.198^2)/(4*144),IF(Calculation!P146="M23",BR146*3.1416*(0.228^2)/(4*144),IF(Calculation!P146="M27",BR146*3.1416*(0.269^2)/(4*144),BR146*3.1416*(0.307^2)/(4*144))))))," ")</f>
        <v xml:space="preserve"> </v>
      </c>
      <c r="BT146" s="353" t="str">
        <f>IF(L146&gt;0,IF(BS146&gt;0,R146/Calculation!BS146,0)," ")</f>
        <v xml:space="preserve"> </v>
      </c>
      <c r="BU146" s="438" t="e">
        <f t="shared" ca="1" si="256"/>
        <v>#VALUE!</v>
      </c>
      <c r="BV146" s="449" t="e">
        <f ca="1">INDEX(INDIRECT(VLOOKUP(LEFT(BO146,7),CLU!$Z$3:$AH$18,2)),GN146,GR146)</f>
        <v>#N/A</v>
      </c>
      <c r="BW146" s="433" t="e">
        <f ca="1">INDEX(INDIRECT(VLOOKUP(LEFT(BO146,7),CLU!$Z$3:$AH$18,3)),GN146,GR146)</f>
        <v>#N/A</v>
      </c>
      <c r="BX146" s="433" t="e">
        <f ca="1">INDEX(INDIRECT(VLOOKUP(LEFT(BO146,7),CLU!$Z$3:$AH$18,4)),GN146,GR146)</f>
        <v>#N/A</v>
      </c>
      <c r="BY146" s="433" t="e">
        <f ca="1">INDEX(INDIRECT(VLOOKUP(LEFT(BO146,7),CLU!$Z$3:$AH$18,9)),((M146-2)*(6-COUNTBLANK(GT146:GY146)))+GJ146)</f>
        <v>#N/A</v>
      </c>
      <c r="BZ146" s="426" t="e">
        <f t="shared" ca="1" si="349"/>
        <v>#N/A</v>
      </c>
      <c r="CA146" s="424" t="e">
        <f t="shared" ca="1" si="350"/>
        <v>#N/A</v>
      </c>
      <c r="CB146" s="429" t="e">
        <f ca="1">INDEX(INDIRECT(VLOOKUP(LEFT(BO146,7),CLU!$Z$3:$AH$18,2)),GN146,GS146)</f>
        <v>#N/A</v>
      </c>
      <c r="CC146" s="342" t="e">
        <f ca="1">INDEX(INDIRECT(VLOOKUP(LEFT(BO146,7),CLU!$Z$3:$AH$18,3)),GN146,GS146)</f>
        <v>#N/A</v>
      </c>
      <c r="CD146" s="342" t="e">
        <f ca="1">INDEX(INDIRECT(VLOOKUP(LEFT(BO146,7),CLU!$Z$3:$AH$18,4)),GN146,GS146)</f>
        <v>#N/A</v>
      </c>
      <c r="CE146" s="426" t="e">
        <f t="shared" ca="1" si="351"/>
        <v>#N/A</v>
      </c>
      <c r="CF146" s="440">
        <f t="shared" si="352"/>
        <v>0</v>
      </c>
      <c r="CG146" s="431" t="e">
        <f ca="1">INDEX(INDIRECT(VLOOKUP(LEFT(BO146,7),CLU!$Z$3:$AH$18,2)),GQ146,GR146)</f>
        <v>#N/A</v>
      </c>
      <c r="CH146" s="431" t="e">
        <f ca="1">INDEX(INDIRECT(VLOOKUP(LEFT(BO146,7),CLU!$Z$3:$AH$18,3)),GQ146,GR146)</f>
        <v>#N/A</v>
      </c>
      <c r="CI146" s="431" t="e">
        <f ca="1">INDEX(INDIRECT(VLOOKUP(LEFT(BO146,7),CLU!$Z$3:$AH$18,4)),GQ146,GR146)</f>
        <v>#N/A</v>
      </c>
      <c r="CJ146" s="448" t="e">
        <f t="shared" ca="1" si="353"/>
        <v>#N/A</v>
      </c>
      <c r="CK146" s="431" t="e">
        <f t="shared" ca="1" si="354"/>
        <v>#N/A</v>
      </c>
      <c r="CL146" s="440" t="e">
        <f t="shared" ca="1" si="355"/>
        <v>#N/A</v>
      </c>
      <c r="CM146" s="431" t="e">
        <f ca="1">INDEX(INDIRECT(VLOOKUP(LEFT(BO146,7),CLU!$Z$3:$AH$18,2)),GQ146,GS146)</f>
        <v>#N/A</v>
      </c>
      <c r="CN146" s="431" t="e">
        <f ca="1">INDEX(INDIRECT(VLOOKUP(LEFT(BO146,7),CLU!$Z$3:$AH$18,3)),GQ146,GS146)</f>
        <v>#N/A</v>
      </c>
      <c r="CO146" s="431" t="e">
        <f ca="1">INDEX(INDIRECT(VLOOKUP(LEFT(BO146,7),CLU!$Z$3:$AH$18,4)),GQ146,GS146)</f>
        <v>#N/A</v>
      </c>
      <c r="CP146" s="431" t="e">
        <f t="shared" ca="1" si="356"/>
        <v>#N/A</v>
      </c>
      <c r="CQ146" s="440">
        <f t="shared" si="357"/>
        <v>0</v>
      </c>
      <c r="CR146" s="51" t="e">
        <f t="shared" ca="1" si="358"/>
        <v>#N/A</v>
      </c>
      <c r="CS146" s="439" t="e">
        <f t="shared" ca="1" si="359"/>
        <v>#VALUE!</v>
      </c>
      <c r="CT146" s="51" t="e">
        <f t="shared" ca="1" si="360"/>
        <v>#VALUE!</v>
      </c>
      <c r="CU146" s="10"/>
      <c r="CV146" s="51" t="e">
        <f t="shared" ca="1" si="257"/>
        <v>#VALUE!</v>
      </c>
      <c r="CW146" s="51">
        <f t="shared" si="361"/>
        <v>0</v>
      </c>
      <c r="CX146" s="439" t="e">
        <f t="shared" ca="1" si="362"/>
        <v>#VALUE!</v>
      </c>
      <c r="CY146" s="51" t="e">
        <f t="shared" ca="1" si="363"/>
        <v>#VALUE!</v>
      </c>
      <c r="CZ146" s="10"/>
      <c r="DA146" s="51" t="e">
        <f t="shared" ca="1" si="364"/>
        <v>#VALUE!</v>
      </c>
      <c r="DB146" s="347" t="e">
        <f ca="1">INDEX(INDIRECT(VLOOKUP(LEFT(BO146,7),CLU!$Z$3:$AI$18,10)),((M146-2)*(6-COUNTBLANK(GT146:GY146)))+GJ146)*LI146</f>
        <v>#N/A</v>
      </c>
      <c r="DC146" s="347" t="str">
        <f>IF(L146&gt;0,((R146/Worksheet!$I$15)/DB146)^2," ")</f>
        <v xml:space="preserve"> </v>
      </c>
      <c r="DD146" s="602" t="str">
        <f t="shared" si="365"/>
        <v xml:space="preserve"> </v>
      </c>
      <c r="DE146" s="347" t="str">
        <f t="shared" si="258"/>
        <v xml:space="preserve"> </v>
      </c>
      <c r="DF146" s="356" t="e">
        <f ca="1">INDEX(INDIRECT(VLOOKUP(LEFT(BO146,7),CLU!$Z$3:$AH$18,8)),((M146-2)*(6-COUNTBLANK(GT146:GY146)))+GJ146)</f>
        <v>#N/A</v>
      </c>
      <c r="DG146" s="347" t="str">
        <f t="shared" si="259"/>
        <v xml:space="preserve"> </v>
      </c>
      <c r="DH146" s="357" t="str">
        <f t="shared" si="260"/>
        <v xml:space="preserve"> </v>
      </c>
      <c r="DI146" s="355" t="str">
        <f t="shared" si="261"/>
        <v xml:space="preserve"> </v>
      </c>
      <c r="DJ146" s="245" t="e">
        <f ca="1">INDEX(INDIRECT(VLOOKUP(LEFT(BO146,7),CLU!$Z$3:$AH$18,5)),GL146,GK146)</f>
        <v>#N/A</v>
      </c>
      <c r="DK146" s="245" t="e">
        <f ca="1">INDEX(INDIRECT(VLOOKUP(LEFT(BO146,7),CLU!$Z$3:$AH$18,6)),GL146,GK146)</f>
        <v>#N/A</v>
      </c>
      <c r="DL146" s="355">
        <f>(Calculation!R146*0.69143*(Calculation!$BQ$8-Calculation!$F$8))*$S$14</f>
        <v>0</v>
      </c>
      <c r="DM146" s="359" t="e">
        <f t="shared" si="366"/>
        <v>#VALUE!</v>
      </c>
      <c r="DN146" s="611">
        <f t="shared" si="367"/>
        <v>0</v>
      </c>
      <c r="DO146" s="359">
        <f t="shared" si="368"/>
        <v>100</v>
      </c>
      <c r="DP146" s="359">
        <f t="shared" si="369"/>
        <v>0</v>
      </c>
      <c r="DQ146" s="360"/>
      <c r="DR146" s="245" t="e">
        <f ca="1">INDEX(INDIRECT(VLOOKUP(LEFT(BO146,7),CLU!$Z$3:$AH$18,7)),M146-1,1)</f>
        <v>#N/A</v>
      </c>
      <c r="DS146" s="245" t="e">
        <f ca="1">INDEX(INDIRECT(VLOOKUP(LEFT(BO146,7),CLU!$Z$3:$AH$18,7)),M146-1,2)</f>
        <v>#N/A</v>
      </c>
      <c r="DT146" s="245" t="e">
        <f ca="1">INDEX(INDIRECT(VLOOKUP(LEFT(BO146,7),CLU!$Z$3:$AH$18,7)),M146-1,3)</f>
        <v>#N/A</v>
      </c>
      <c r="DU146" s="245" t="e">
        <f ca="1">INDEX(INDIRECT(VLOOKUP(LEFT(BO146,7),CLU!$Z$3:$AH$18,7)),M146-1,4)</f>
        <v>#N/A</v>
      </c>
      <c r="DV146" s="361" t="e">
        <f ca="1">INDEX(INDIRECT(VLOOKUP(LEFT(BO146,7),CLU!$Z$3:$AH$18,7)),M146-1,4+LEFT(DZ146,1)*0.5)</f>
        <v>#N/A</v>
      </c>
      <c r="DW146" s="245" t="e">
        <f ca="1">INDEX(INDIRECT(VLOOKUP(LEFT(BO146,7),CLU!$Z$3:$AH$18,7)),M146-1,8)</f>
        <v>#N/A</v>
      </c>
      <c r="DX146" s="361" t="str">
        <f t="shared" si="262"/>
        <v xml:space="preserve"> </v>
      </c>
      <c r="DY146" s="361" t="str">
        <f t="shared" si="263"/>
        <v xml:space="preserve"> </v>
      </c>
      <c r="DZ146" s="361" t="str">
        <f t="shared" si="264"/>
        <v xml:space="preserve"> </v>
      </c>
      <c r="EA146" s="362" t="str">
        <f t="shared" si="265"/>
        <v xml:space="preserve"> </v>
      </c>
      <c r="EB146" s="624" t="str">
        <f t="shared" si="370"/>
        <v xml:space="preserve"> </v>
      </c>
      <c r="EC146" s="361" t="e">
        <f ca="1">INDEX(INDIRECT(VLOOKUP(LEFT(BO146,7),CLU!$Z$3:$AH$18,7)),M146-1,4+LEFT(DZ146,1)*0.5)</f>
        <v>#N/A</v>
      </c>
      <c r="ED146" s="362" t="str">
        <f t="shared" si="266"/>
        <v xml:space="preserve"> </v>
      </c>
      <c r="EE146" s="361" t="str">
        <f t="shared" si="267"/>
        <v xml:space="preserve"> </v>
      </c>
      <c r="EF146" s="362" t="str">
        <f>IF(L146&gt;0,IF(BR146&gt;0,IF(EE146="2P",IF(Calculation!DZ146="2P",IF(Calculation!DS146=13.75,IF(Calculation!DR146=13,Worksheet!$BD$43,IF(Calculation!DR146=37,Worksheet!$BD$44,Worksheet!$BD$45)),IF(Calculation!DS146=10,IF(Calculation!DR146=18,Worksheet!$BD$29,IF(Calculation!DR146=30,Worksheet!$BD$30,IF(Calculation!DR146=42,Worksheet!$BD$31,IF(Calculation!DR146=54,Worksheet!$BD$32,IF(Calculation!DR146=66,Worksheet!$BD$33,IF(Calculation!DR146=78,Worksheet!$BD$34,IF(Calculation!DR146=90,Worksheet!$BD$35,IF(Calculation!DR146=102,Worksheet!$BD$36,Worksheet!$BD$37)))))))),IF(Calculation!DS146=12.5,IF(Calculation!DR146=18,Worksheet!$BD$38,IF(Calculation!DR146=Worksheet!$BD$39,IF(Calculation!DR146=42,Worksheet!$BD$40,IF(Calculation!DR146=54,Worksheet!$BD$41,Worksheet!$BD$42)))),IF(Calculation!DR146=18,Worksheet!$BD$11,IF(Calculation!DR146=30,Worksheet!$BD$12,IF(Calculation!DR146=42,Worksheet!$BD$13,IF(Calculation!DR146=54,Worksheet!$BD$14,IF(Calculation!DR146=66,Worksheet!$BD$15,IF(Calculation!DR146=78,Worksheet!$BD$16,IF(Calculation!DR146=90,Worksheet!$BD$17,IF(Calculation!DR146=102,Worksheet!$BD$18,Worksheet!$BD$19))))))))))),IF(Calculation!DS146=13.75,IF(Calculation!DR146=13,Worksheet!$BD$78,IF(Calculation!DR146=37,Worksheet!$BD$79,Worksheet!$BD$80)),IF(Calculation!DS146=10,IF(Calculation!DR146=18,Worksheet!$BD$64,IF(Calculation!DR146=30,Worksheet!$BD$65,IF(Calculation!DR146=42,Worksheet!$BD$66,IF(Calculation!DR146=54,Worksheet!$BD$68,IF(Calculation!DR146=66,Worksheet!$BD$68,IF(Calculation!DR146=78,Worksheet!$BD$69,IF(Calculation!DR146=90,Worksheet!$BD$70,IF(Calculation!DR146=102,Worksheet!$BD$71,Worksheet!$BD$72)))))))),IF(Calculation!DS146=12.5,IF(Calculation!DR146=18,Worksheet!$BD$73,IF(Calculation!DR146=Worksheet!$BD$74,IF(Calculation!DR146=42,Worksheet!$BD$75,IF(Calculation!DR146=54,Worksheet!$BD$76,Worksheet!$BD$77)))),IF(Calculation!DR146=18,Worksheet!$BD$55,IF(Calculation!DR146=30,Worksheet!$BD$56,IF(Calculation!DR146=42,Worksheet!$BD$57,IF(Calculation!DR146=54,Worksheet!$BD$58,IF(Calculation!DR146=66,Worksheet!$BD$59,IF(Calculation!DR146=78,Worksheet!$BD$60,IF(Calculation!DR146=90,Worksheet!$BD$61,IF(Calculation!DR146=102,Worksheet!$BD$62,Worksheet!$BD$63)))))))))))),5),0)," ")</f>
        <v xml:space="preserve"> </v>
      </c>
      <c r="EG146" s="361" t="str">
        <f t="shared" si="268"/>
        <v xml:space="preserve"> </v>
      </c>
      <c r="EH146" s="361" t="e">
        <f ca="1">INDEX(INDIRECT(VLOOKUP(LEFT(BO146,7),CLU!$Z$3:$AH$18,7)),M146-1,3+LEFT(DZ146,1))</f>
        <v>#N/A</v>
      </c>
      <c r="EI146" s="362" t="str">
        <f t="shared" si="269"/>
        <v xml:space="preserve"> </v>
      </c>
      <c r="EJ146" s="363" t="str">
        <f t="shared" si="270"/>
        <v xml:space="preserve"> </v>
      </c>
      <c r="EK146" s="363" t="str">
        <f t="shared" si="271"/>
        <v xml:space="preserve"> </v>
      </c>
      <c r="EL146" s="363" t="str">
        <f t="shared" si="272"/>
        <v xml:space="preserve"> </v>
      </c>
      <c r="EM146" s="362" t="str">
        <f>IF(L146&gt;0,IF(BR146&gt;0,(Calculation!T146/ED146)^2,0)," ")</f>
        <v xml:space="preserve"> </v>
      </c>
      <c r="EN146" s="362" t="str">
        <f>IF(L146&gt;0,IF(O146="2 Pipe (Cooling)","N/A",IF(BR146&gt;0,(Calculation!U146/EI146)^2,0))," ")</f>
        <v xml:space="preserve"> </v>
      </c>
      <c r="EO146" s="361" t="str">
        <f t="shared" si="273"/>
        <v/>
      </c>
      <c r="EP146" s="361" t="str">
        <f t="shared" si="274"/>
        <v/>
      </c>
      <c r="EQ146" s="361" t="str">
        <f t="shared" si="275"/>
        <v/>
      </c>
      <c r="ER146" s="361" t="str">
        <f t="shared" si="276"/>
        <v/>
      </c>
      <c r="ES146" s="361" t="str">
        <f t="shared" si="277"/>
        <v/>
      </c>
      <c r="ET146" s="361" t="str">
        <f t="shared" si="278"/>
        <v/>
      </c>
      <c r="EU146" s="361" t="str">
        <f t="shared" si="279"/>
        <v/>
      </c>
      <c r="EV146" s="361" t="str">
        <f t="shared" si="280"/>
        <v/>
      </c>
      <c r="EW146" s="361" t="str">
        <f t="shared" si="281"/>
        <v/>
      </c>
      <c r="EX146" s="361" t="str">
        <f t="shared" si="371"/>
        <v>1 slot, 1 way</v>
      </c>
      <c r="EY146" s="361" t="str">
        <f t="shared" si="372"/>
        <v xml:space="preserve"> </v>
      </c>
      <c r="EZ146" s="361" t="str">
        <f t="shared" si="373"/>
        <v xml:space="preserve"> </v>
      </c>
      <c r="FA146" s="361" t="str">
        <f t="shared" si="374"/>
        <v xml:space="preserve"> </v>
      </c>
      <c r="FB146" s="361" t="str">
        <f t="shared" si="375"/>
        <v xml:space="preserve"> </v>
      </c>
      <c r="FC146" s="361"/>
      <c r="FD146" s="361" t="str">
        <f>IF(J146&gt;0,IF(Calculation!R146&lt;=70,4,IF(Calculation!R146&lt;=110,5,IF(Calculation!R146&lt;=160,6,IF(Calculation!R146&lt;=300,8,"10 EO")))),"")</f>
        <v/>
      </c>
      <c r="FE146" s="361" t="str">
        <f t="shared" si="376"/>
        <v/>
      </c>
      <c r="FF146" s="361" t="str">
        <f t="shared" si="377"/>
        <v/>
      </c>
      <c r="FG146" s="361" t="e">
        <f t="shared" si="282"/>
        <v>#N/A</v>
      </c>
      <c r="FH146" s="361">
        <f t="shared" si="283"/>
        <v>0</v>
      </c>
      <c r="FI146" s="361" t="e">
        <f t="shared" si="284"/>
        <v>#DIV/0!</v>
      </c>
      <c r="FJ146" s="361"/>
      <c r="FK146" s="356" t="e">
        <f t="shared" si="285"/>
        <v>#VALUE!</v>
      </c>
      <c r="FL146" s="361"/>
      <c r="FM146" s="361"/>
      <c r="FN146" s="362" t="str">
        <f t="shared" si="378"/>
        <v xml:space="preserve"> </v>
      </c>
      <c r="FO146" s="362" t="str">
        <f t="shared" si="379"/>
        <v xml:space="preserve"> </v>
      </c>
      <c r="FP146" s="362">
        <f t="shared" si="380"/>
        <v>0</v>
      </c>
      <c r="FQ146" s="361">
        <f t="shared" si="286"/>
        <v>0</v>
      </c>
      <c r="FR146" s="362" t="str">
        <f>IF(L146&gt;0,IF(J146="CBAL2",Worksheet!$P$67,IF(J146="CBE2-24",Worksheet!$Q$67,IF(J146="CBAM",Worksheet!$R$67,IF(J146="CBLV",Worksheet!$S$67,IF(J146="CBAB",Worksheet!$U$67,IF(J146="CBAW",Worksheet!$X$67,IF(J146="CBE2-12",Worksheet!$Y$67,IF(J146="CBAL2",Worksheet!$Z$67,"N/A"))))))))," ")</f>
        <v xml:space="preserve"> </v>
      </c>
      <c r="FS146" s="362" t="str">
        <f>IF(L146&gt;0,IF(J146="CBAL2",Worksheet!$P$68,IF(J146="CBE2-24",Worksheet!$Q$68,IF(J146="CBAM",Worksheet!$R$68,IF(J146="CBLV",Worksheet!$S$68,IF(J146="CBAB",Worksheet!$U$68,IF(J146="CBAW",Worksheet!$X$68,IF(J146="CBE2-12",Worksheet!$Y$68,IF(J146="CBAL2",Worksheet!$Z$68,"N/A"))))))))," ")</f>
        <v xml:space="preserve"> </v>
      </c>
      <c r="FT146" s="362" t="str">
        <f>IF(L146&gt;0,IF(J146="CBAL2",Worksheet!$P$69,IF(J146="CBE2-24",Worksheet!$Q$69,IF(J146="CBAM",Worksheet!$R$69,IF(J146="CBLV",Worksheet!$S$69,IF(J146="CBAB",Worksheet!$U$69,IF(J146="CBAW",Worksheet!$X$69,IF(J146="CBE2-12",Worksheet!$Y$69,IF(J146="CBAL2",Worksheet!$Z$69,"N/A"))))))))," ")</f>
        <v xml:space="preserve"> </v>
      </c>
      <c r="FU146" s="361" t="str">
        <f t="shared" si="381"/>
        <v xml:space="preserve"> </v>
      </c>
      <c r="FV146" s="362" t="str">
        <f t="shared" si="382"/>
        <v xml:space="preserve"> </v>
      </c>
      <c r="FW146" s="362" t="str">
        <f t="shared" si="383"/>
        <v xml:space="preserve"> </v>
      </c>
      <c r="FX146" s="362" t="str">
        <f t="shared" si="384"/>
        <v xml:space="preserve"> </v>
      </c>
      <c r="FY146" s="355" t="str">
        <f t="shared" si="385"/>
        <v xml:space="preserve"> </v>
      </c>
      <c r="FZ146" s="361" t="str">
        <f t="shared" si="386"/>
        <v xml:space="preserve"> </v>
      </c>
      <c r="GA146" s="347" t="str">
        <f t="shared" si="387"/>
        <v xml:space="preserve"> </v>
      </c>
      <c r="GB146" s="355" t="str">
        <f t="shared" si="388"/>
        <v xml:space="preserve"> </v>
      </c>
      <c r="GC146" s="328" t="str">
        <f t="shared" si="389"/>
        <v xml:space="preserve"> </v>
      </c>
      <c r="GD146" s="361" t="str">
        <f t="shared" si="390"/>
        <v xml:space="preserve"> </v>
      </c>
      <c r="GE146" s="347" t="str">
        <f t="shared" si="391"/>
        <v xml:space="preserve"> </v>
      </c>
      <c r="GF146" s="361" t="str">
        <f t="shared" si="392"/>
        <v xml:space="preserve"> </v>
      </c>
      <c r="GG146" s="347" t="str">
        <f t="shared" si="393"/>
        <v xml:space="preserve"> </v>
      </c>
      <c r="GH146" s="364">
        <f t="shared" si="287"/>
        <v>0</v>
      </c>
      <c r="GI146" s="362">
        <f t="shared" si="394"/>
        <v>2</v>
      </c>
      <c r="GJ146" s="433" t="e">
        <f>IF(6-COUNTBLANK(GT146:GY146)=4,MATCH(MID(BO146,9,3),CLU!$H$16:$K$16),MATCH(MID(BO146,9,3),CLU!$H$13:$M$13))</f>
        <v>#N/A</v>
      </c>
      <c r="GK146" s="433" t="e">
        <f>HLOOKUP(VALUE(BP146),CLU!$H$9:$M$10,2)</f>
        <v>#VALUE!</v>
      </c>
      <c r="GL146" s="433" t="e">
        <f ca="1">MATCH(BU146,CLU!$H$2:$V$2,1)</f>
        <v>#VALUE!</v>
      </c>
      <c r="GM146" s="433" t="e">
        <f t="shared" ca="1" si="395"/>
        <v>#VALUE!</v>
      </c>
      <c r="GN146" s="433" t="e">
        <f t="shared" ca="1" si="396"/>
        <v>#VALUE!</v>
      </c>
      <c r="GO146" s="433" t="e">
        <f t="shared" ca="1" si="397"/>
        <v>#VALUE!</v>
      </c>
      <c r="GP146" s="433" t="e">
        <f t="shared" ca="1" si="398"/>
        <v>#VALUE!</v>
      </c>
      <c r="GQ146" s="433" t="e">
        <f t="shared" ca="1" si="399"/>
        <v>#VALUE!</v>
      </c>
      <c r="GR146" s="433" t="e">
        <f ca="1">MATCH(T146,INDIRECT(VLOOKUP(CONCATENATE(LEFT(BO146,7),"-",MID(BO146,13,1)),CLU!$P$3:$Q$16,2)),1)</f>
        <v>#N/A</v>
      </c>
      <c r="GS146" s="433" t="e">
        <f ca="1">MATCH(U146,INDIRECT(VLOOKUP(CONCATENATE(LEFT(BO146,7),"-",MID(BO146,13,1)),CLU!$P$3:$Q$16,2)),1)</f>
        <v>#N/A</v>
      </c>
      <c r="GT146" s="347" t="s">
        <v>512</v>
      </c>
      <c r="GU146" s="97" t="s">
        <v>513</v>
      </c>
      <c r="GV146" s="97" t="str">
        <f t="shared" si="400"/>
        <v>M23</v>
      </c>
      <c r="GW146" s="97" t="str">
        <f t="shared" si="401"/>
        <v>M31</v>
      </c>
      <c r="GX146" s="97" t="str">
        <f t="shared" si="402"/>
        <v/>
      </c>
      <c r="GY146" s="97" t="str">
        <f t="shared" si="403"/>
        <v/>
      </c>
      <c r="GZ146" s="481"/>
      <c r="HA146" s="288"/>
      <c r="HB146" s="240"/>
      <c r="HC146" s="240"/>
      <c r="HD146" s="240"/>
      <c r="HE146" s="240"/>
      <c r="HF146" s="240"/>
      <c r="HG146" s="240"/>
      <c r="HH146" s="240"/>
      <c r="HI146" s="240"/>
      <c r="HJ146" s="240"/>
      <c r="HK146" s="240"/>
      <c r="HL146" s="240"/>
      <c r="HM146" s="240"/>
      <c r="HN146" s="240"/>
      <c r="HO146" s="240"/>
      <c r="HP146" s="240"/>
      <c r="HQ146" s="240"/>
      <c r="HR146" s="240"/>
      <c r="HS146" s="240"/>
      <c r="HT146" s="240"/>
      <c r="HU146" s="240"/>
      <c r="HV146" s="245"/>
      <c r="HW146" s="245" t="b">
        <v>1</v>
      </c>
      <c r="HX146" s="245" t="str">
        <f t="shared" si="288"/>
        <v/>
      </c>
      <c r="HY146" s="245" t="e">
        <f t="shared" si="289"/>
        <v>#DIV/0!</v>
      </c>
      <c r="HZ146" s="245" t="e">
        <f t="shared" si="290"/>
        <v>#DIV/0!</v>
      </c>
      <c r="IA146" s="245">
        <f t="shared" si="291"/>
        <v>0</v>
      </c>
      <c r="IB146" s="245"/>
      <c r="IC146" t="b">
        <f t="shared" si="292"/>
        <v>1</v>
      </c>
      <c r="ID146" s="245" t="b">
        <f t="shared" si="293"/>
        <v>1</v>
      </c>
      <c r="IE146" s="245" t="b">
        <f t="shared" si="294"/>
        <v>1</v>
      </c>
      <c r="IF146" s="245" t="b">
        <f t="shared" si="295"/>
        <v>0</v>
      </c>
      <c r="IG146" s="245" t="b">
        <f t="shared" si="296"/>
        <v>1</v>
      </c>
      <c r="IH146" s="245" t="b">
        <f t="shared" si="297"/>
        <v>1</v>
      </c>
      <c r="II146" s="245">
        <f t="shared" si="404"/>
        <v>0</v>
      </c>
      <c r="IJ146" s="245" t="e">
        <f t="shared" si="298"/>
        <v>#VALUE!</v>
      </c>
      <c r="IK146" s="245" t="e">
        <f t="shared" si="299"/>
        <v>#VALUE!</v>
      </c>
      <c r="IL146" s="245"/>
      <c r="IM146" s="245" t="e">
        <f t="shared" si="405"/>
        <v>#N/A</v>
      </c>
      <c r="IN146" s="245" t="e">
        <f t="shared" si="406"/>
        <v>#N/A</v>
      </c>
      <c r="IO146" s="245"/>
      <c r="IP146" s="245"/>
      <c r="IQ146" s="245" t="str">
        <f t="shared" si="300"/>
        <v/>
      </c>
      <c r="IR146" s="245" t="str">
        <f>IF(J146="","",VLOOKUP(J146,Worksheet!$R$4:$T$14,2))</f>
        <v/>
      </c>
      <c r="IS146" s="245"/>
      <c r="IT146" s="245">
        <f t="shared" si="301"/>
        <v>0</v>
      </c>
      <c r="IU146" s="245">
        <f t="shared" si="302"/>
        <v>0</v>
      </c>
      <c r="IV146" s="245">
        <f t="shared" si="303"/>
        <v>0</v>
      </c>
      <c r="IW146" s="245">
        <f t="shared" si="304"/>
        <v>0</v>
      </c>
      <c r="IX146" s="245">
        <f t="shared" si="407"/>
        <v>0</v>
      </c>
      <c r="IY146" s="245">
        <f t="shared" si="305"/>
        <v>0</v>
      </c>
      <c r="IZ146" s="245">
        <f t="shared" si="306"/>
        <v>0</v>
      </c>
      <c r="JA146">
        <f t="shared" si="307"/>
        <v>0</v>
      </c>
      <c r="JB146">
        <f t="shared" si="408"/>
        <v>0</v>
      </c>
      <c r="JC146">
        <f t="shared" si="308"/>
        <v>0</v>
      </c>
      <c r="JD146">
        <f t="shared" si="309"/>
        <v>0</v>
      </c>
      <c r="JE146">
        <f t="shared" si="310"/>
        <v>0</v>
      </c>
      <c r="JF146">
        <f t="shared" si="311"/>
        <v>0</v>
      </c>
      <c r="JG146">
        <f t="shared" si="312"/>
        <v>0</v>
      </c>
      <c r="JH146">
        <f t="shared" si="313"/>
        <v>0</v>
      </c>
      <c r="JI146">
        <f t="shared" si="314"/>
        <v>0</v>
      </c>
      <c r="JJ146" s="447">
        <f t="shared" si="315"/>
        <v>0</v>
      </c>
      <c r="JK146" s="447">
        <f t="shared" si="316"/>
        <v>0</v>
      </c>
      <c r="JL146">
        <f t="shared" si="317"/>
        <v>0</v>
      </c>
      <c r="JM146" s="245" t="str">
        <f>IFERROR(VLOOKUP(MATCH(BN146,#REF!,0),#REF!,7),"")</f>
        <v/>
      </c>
      <c r="JN146" t="e">
        <f>HLOOKUP(LEFT(BO146,7),Discharge_Area,MATCH(JO146,LookUps!$B$130:$B$149,1)+2)</f>
        <v>#N/A</v>
      </c>
      <c r="JO146" t="str">
        <f t="shared" si="318"/>
        <v>- S</v>
      </c>
      <c r="JP146" t="e">
        <f>HLOOKUP(LEFT(BO146,7),Discharge_Area,MATCH(JO146,LookUps!$B$130:$B$149,1)+2)</f>
        <v>#N/A</v>
      </c>
      <c r="JQ146" t="e">
        <f t="shared" si="319"/>
        <v>#N/A</v>
      </c>
      <c r="JR146" t="e">
        <f t="shared" si="320"/>
        <v>#N/A</v>
      </c>
      <c r="JS146" t="e">
        <f t="shared" si="321"/>
        <v>#N/A</v>
      </c>
      <c r="JT146" s="532" t="str">
        <f t="shared" si="322"/>
        <v xml:space="preserve"> </v>
      </c>
      <c r="JU146" s="532" t="str">
        <f t="shared" si="323"/>
        <v xml:space="preserve"> </v>
      </c>
      <c r="JV146" s="533" t="str">
        <f t="shared" si="324"/>
        <v xml:space="preserve"> </v>
      </c>
      <c r="JW146" s="534">
        <f t="shared" si="325"/>
        <v>0</v>
      </c>
      <c r="JX146" s="535" t="str">
        <f t="shared" si="409"/>
        <v xml:space="preserve"> </v>
      </c>
      <c r="JY146" s="535" t="str">
        <f t="shared" si="410"/>
        <v xml:space="preserve"> </v>
      </c>
      <c r="JZ146" s="535" t="str">
        <f t="shared" si="411"/>
        <v xml:space="preserve"> </v>
      </c>
      <c r="KA146" s="536" t="str">
        <f t="shared" si="326"/>
        <v xml:space="preserve"> </v>
      </c>
      <c r="KB146" s="535" t="e">
        <f t="shared" si="412"/>
        <v>#VALUE!</v>
      </c>
      <c r="KC146" s="535" t="str">
        <f t="shared" si="327"/>
        <v/>
      </c>
      <c r="KD146" s="537" t="str">
        <f t="shared" si="413"/>
        <v xml:space="preserve"> </v>
      </c>
      <c r="KE146" s="537" t="str">
        <f t="shared" si="414"/>
        <v xml:space="preserve"> </v>
      </c>
      <c r="KF146" s="534">
        <f t="shared" si="328"/>
        <v>0</v>
      </c>
      <c r="KG146" s="535" t="str">
        <f t="shared" si="329"/>
        <v xml:space="preserve"> </v>
      </c>
      <c r="KH146" s="535" t="str">
        <f t="shared" si="330"/>
        <v xml:space="preserve"> </v>
      </c>
      <c r="KI146" s="535" t="str">
        <f t="shared" si="331"/>
        <v xml:space="preserve"> </v>
      </c>
      <c r="KJ146" s="536" t="str">
        <f t="shared" si="332"/>
        <v xml:space="preserve"> </v>
      </c>
      <c r="KK146" s="535" t="str">
        <f t="shared" si="415"/>
        <v xml:space="preserve"> </v>
      </c>
      <c r="KL146" s="535" t="str">
        <f t="shared" si="416"/>
        <v xml:space="preserve"> </v>
      </c>
      <c r="KM146" s="537" t="str">
        <f t="shared" si="333"/>
        <v xml:space="preserve"> </v>
      </c>
      <c r="KN146" s="537" t="str">
        <f t="shared" si="417"/>
        <v xml:space="preserve"> </v>
      </c>
      <c r="KP146">
        <f t="shared" si="334"/>
        <v>0</v>
      </c>
      <c r="LA146" t="e">
        <f t="shared" si="335"/>
        <v>#VALUE!</v>
      </c>
      <c r="LB146" t="e">
        <f t="shared" si="336"/>
        <v>#VALUE!</v>
      </c>
      <c r="LC146" t="e">
        <f t="shared" si="337"/>
        <v>#VALUE!</v>
      </c>
      <c r="LD146" t="e">
        <f t="shared" si="338"/>
        <v>#VALUE!</v>
      </c>
      <c r="LE146" t="e">
        <f t="shared" si="418"/>
        <v>#VALUE!</v>
      </c>
      <c r="LF146">
        <f t="shared" si="339"/>
        <v>0</v>
      </c>
      <c r="LG146" t="e">
        <f t="shared" si="419"/>
        <v>#VALUE!</v>
      </c>
      <c r="LH146" t="str">
        <f t="shared" si="340"/>
        <v xml:space="preserve"> </v>
      </c>
      <c r="LI146">
        <f t="shared" si="420"/>
        <v>1</v>
      </c>
    </row>
    <row r="147" spans="2:321" ht="15" customHeight="1">
      <c r="B147" s="311"/>
      <c r="C147" s="311"/>
      <c r="D147" s="312"/>
      <c r="E147" s="311"/>
      <c r="F147" s="312"/>
      <c r="G147" s="311"/>
      <c r="H147" s="311"/>
      <c r="I147" s="37"/>
      <c r="J147" s="311"/>
      <c r="K147" s="305" t="str">
        <f t="shared" si="341"/>
        <v/>
      </c>
      <c r="L147" s="313"/>
      <c r="M147" s="312"/>
      <c r="N147" s="311"/>
      <c r="O147" s="312"/>
      <c r="P147" s="311"/>
      <c r="Q147" s="305" t="str">
        <f t="shared" si="342"/>
        <v/>
      </c>
      <c r="R147" s="314"/>
      <c r="S147" s="450" t="str">
        <f t="shared" si="225"/>
        <v/>
      </c>
      <c r="T147" s="315"/>
      <c r="U147" s="315"/>
      <c r="W147" s="149" t="str">
        <f t="shared" si="226"/>
        <v xml:space="preserve"> </v>
      </c>
      <c r="X147" s="243" t="str">
        <f t="shared" si="227"/>
        <v xml:space="preserve"> </v>
      </c>
      <c r="Y147" s="150" t="str">
        <f t="shared" si="228"/>
        <v/>
      </c>
      <c r="Z147" s="149" t="str">
        <f t="shared" si="229"/>
        <v xml:space="preserve"> </v>
      </c>
      <c r="AA147" s="98" t="str">
        <f t="shared" si="230"/>
        <v xml:space="preserve"> </v>
      </c>
      <c r="AB147" s="153" t="str">
        <f t="shared" si="231"/>
        <v xml:space="preserve"> </v>
      </c>
      <c r="AC147" s="153" t="str">
        <f t="shared" si="232"/>
        <v xml:space="preserve"> </v>
      </c>
      <c r="AD147" s="148" t="str">
        <f t="shared" si="233"/>
        <v/>
      </c>
      <c r="AE147" s="149" t="str">
        <f t="shared" si="234"/>
        <v/>
      </c>
      <c r="AF147" s="151" t="str">
        <f t="shared" si="235"/>
        <v xml:space="preserve"> </v>
      </c>
      <c r="AG147" s="153" t="str">
        <f t="shared" si="236"/>
        <v xml:space="preserve"> </v>
      </c>
      <c r="AH147" s="98" t="str">
        <f t="shared" si="237"/>
        <v xml:space="preserve"> </v>
      </c>
      <c r="AI147" s="149" t="str">
        <f t="shared" si="238"/>
        <v xml:space="preserve"> </v>
      </c>
      <c r="AK147" s="144" t="str">
        <f t="shared" si="239"/>
        <v xml:space="preserve"> </v>
      </c>
      <c r="AL147" s="144"/>
      <c r="AM147" s="243" t="str">
        <f t="shared" si="240"/>
        <v xml:space="preserve"> </v>
      </c>
      <c r="AN147" s="149" t="str">
        <f t="shared" si="343"/>
        <v xml:space="preserve"> </v>
      </c>
      <c r="AO147" s="144" t="str">
        <f>IF(JB147&gt;0,IF(GI147=10,-R147*1.085*(Calculation!$F$6-Calculation!$F$13)*$S$14," "),"")</f>
        <v/>
      </c>
      <c r="AP147" s="144" t="str">
        <f t="shared" si="241"/>
        <v/>
      </c>
      <c r="AQ147" s="56" t="str">
        <f t="shared" si="242"/>
        <v/>
      </c>
      <c r="AR147" s="144" t="str">
        <f t="shared" si="243"/>
        <v/>
      </c>
      <c r="AS147" s="176" t="str">
        <f t="shared" si="244"/>
        <v/>
      </c>
      <c r="AT147" s="176" t="str">
        <f t="shared" si="344"/>
        <v xml:space="preserve"> </v>
      </c>
      <c r="AU147" s="176" t="str">
        <f t="shared" si="245"/>
        <v/>
      </c>
      <c r="AV147" s="177" t="str">
        <f t="shared" si="246"/>
        <v xml:space="preserve"> </v>
      </c>
      <c r="AW147" s="144" t="str">
        <f t="shared" si="247"/>
        <v xml:space="preserve"> </v>
      </c>
      <c r="AX147" s="144" t="str">
        <f t="shared" si="248"/>
        <v xml:space="preserve"> </v>
      </c>
      <c r="AY147" s="152" t="str">
        <f t="shared" si="249"/>
        <v xml:space="preserve"> </v>
      </c>
      <c r="AZ147" s="246" t="str">
        <f t="shared" si="250"/>
        <v/>
      </c>
      <c r="BA147" s="176" t="str">
        <f t="shared" si="251"/>
        <v xml:space="preserve"> </v>
      </c>
      <c r="BB147" s="176" t="str">
        <f t="shared" si="252"/>
        <v xml:space="preserve"> </v>
      </c>
      <c r="BC147" s="195"/>
      <c r="BD147" s="316"/>
      <c r="BE147" s="317"/>
      <c r="BF147" s="318"/>
      <c r="BG147" s="318"/>
      <c r="BH147" s="144" t="str">
        <f t="shared" si="421"/>
        <v xml:space="preserve"> </v>
      </c>
      <c r="BI147" s="176" t="str">
        <f t="shared" si="253"/>
        <v/>
      </c>
      <c r="BJ147" s="144" t="str">
        <f t="shared" si="422"/>
        <v/>
      </c>
      <c r="BK147" s="246" t="str">
        <f t="shared" si="254"/>
        <v/>
      </c>
      <c r="BL147" s="144" t="str">
        <f t="shared" si="423"/>
        <v/>
      </c>
      <c r="BM147" s="246" t="str">
        <f t="shared" si="255"/>
        <v/>
      </c>
      <c r="BN147" s="337" t="str">
        <f t="shared" si="345"/>
        <v/>
      </c>
      <c r="BO147" s="371" t="str">
        <f t="shared" si="346"/>
        <v/>
      </c>
      <c r="BP147" s="328" t="str">
        <f t="shared" si="424"/>
        <v xml:space="preserve"> </v>
      </c>
      <c r="BQ147" s="347" t="str">
        <f t="shared" si="347"/>
        <v xml:space="preserve"> </v>
      </c>
      <c r="BR147" s="353" t="str">
        <f t="shared" si="348"/>
        <v xml:space="preserve"> </v>
      </c>
      <c r="BS147" s="626" t="str">
        <f>IF(L147&gt;0,IF(Calculation!P147="M13",BR147*3.1416*(0.134^2)/(4*144),IF(Calculation!P147="M17",BR147*3.1416*(0.165^2)/(4*144),IF(Calculation!P147="M20",BR147*3.1416*(0.198^2)/(4*144),IF(Calculation!P147="M23",BR147*3.1416*(0.228^2)/(4*144),IF(Calculation!P147="M27",BR147*3.1416*(0.269^2)/(4*144),BR147*3.1416*(0.307^2)/(4*144))))))," ")</f>
        <v xml:space="preserve"> </v>
      </c>
      <c r="BT147" s="353" t="str">
        <f>IF(L147&gt;0,IF(BS147&gt;0,R147/Calculation!BS147,0)," ")</f>
        <v xml:space="preserve"> </v>
      </c>
      <c r="BU147" s="438" t="e">
        <f t="shared" ca="1" si="256"/>
        <v>#VALUE!</v>
      </c>
      <c r="BV147" s="449" t="e">
        <f ca="1">INDEX(INDIRECT(VLOOKUP(LEFT(BO147,7),CLU!$Z$3:$AH$18,2)),GN147,GR147)</f>
        <v>#N/A</v>
      </c>
      <c r="BW147" s="433" t="e">
        <f ca="1">INDEX(INDIRECT(VLOOKUP(LEFT(BO147,7),CLU!$Z$3:$AH$18,3)),GN147,GR147)</f>
        <v>#N/A</v>
      </c>
      <c r="BX147" s="433" t="e">
        <f ca="1">INDEX(INDIRECT(VLOOKUP(LEFT(BO147,7),CLU!$Z$3:$AH$18,4)),GN147,GR147)</f>
        <v>#N/A</v>
      </c>
      <c r="BY147" s="433" t="e">
        <f ca="1">INDEX(INDIRECT(VLOOKUP(LEFT(BO147,7),CLU!$Z$3:$AH$18,9)),((M147-2)*(6-COUNTBLANK(GT147:GY147)))+GJ147)</f>
        <v>#N/A</v>
      </c>
      <c r="BZ147" s="426" t="e">
        <f t="shared" ca="1" si="349"/>
        <v>#N/A</v>
      </c>
      <c r="CA147" s="424" t="e">
        <f t="shared" ca="1" si="350"/>
        <v>#N/A</v>
      </c>
      <c r="CB147" s="429" t="e">
        <f ca="1">INDEX(INDIRECT(VLOOKUP(LEFT(BO147,7),CLU!$Z$3:$AH$18,2)),GN147,GS147)</f>
        <v>#N/A</v>
      </c>
      <c r="CC147" s="342" t="e">
        <f ca="1">INDEX(INDIRECT(VLOOKUP(LEFT(BO147,7),CLU!$Z$3:$AH$18,3)),GN147,GS147)</f>
        <v>#N/A</v>
      </c>
      <c r="CD147" s="342" t="e">
        <f ca="1">INDEX(INDIRECT(VLOOKUP(LEFT(BO147,7),CLU!$Z$3:$AH$18,4)),GN147,GS147)</f>
        <v>#N/A</v>
      </c>
      <c r="CE147" s="426" t="e">
        <f t="shared" ca="1" si="351"/>
        <v>#N/A</v>
      </c>
      <c r="CF147" s="440">
        <f t="shared" si="352"/>
        <v>0</v>
      </c>
      <c r="CG147" s="431" t="e">
        <f ca="1">INDEX(INDIRECT(VLOOKUP(LEFT(BO147,7),CLU!$Z$3:$AH$18,2)),GQ147,GR147)</f>
        <v>#N/A</v>
      </c>
      <c r="CH147" s="431" t="e">
        <f ca="1">INDEX(INDIRECT(VLOOKUP(LEFT(BO147,7),CLU!$Z$3:$AH$18,3)),GQ147,GR147)</f>
        <v>#N/A</v>
      </c>
      <c r="CI147" s="431" t="e">
        <f ca="1">INDEX(INDIRECT(VLOOKUP(LEFT(BO147,7),CLU!$Z$3:$AH$18,4)),GQ147,GR147)</f>
        <v>#N/A</v>
      </c>
      <c r="CJ147" s="448" t="e">
        <f t="shared" ca="1" si="353"/>
        <v>#N/A</v>
      </c>
      <c r="CK147" s="431" t="e">
        <f t="shared" ca="1" si="354"/>
        <v>#N/A</v>
      </c>
      <c r="CL147" s="440" t="e">
        <f t="shared" ca="1" si="355"/>
        <v>#N/A</v>
      </c>
      <c r="CM147" s="431" t="e">
        <f ca="1">INDEX(INDIRECT(VLOOKUP(LEFT(BO147,7),CLU!$Z$3:$AH$18,2)),GQ147,GS147)</f>
        <v>#N/A</v>
      </c>
      <c r="CN147" s="431" t="e">
        <f ca="1">INDEX(INDIRECT(VLOOKUP(LEFT(BO147,7),CLU!$Z$3:$AH$18,3)),GQ147,GS147)</f>
        <v>#N/A</v>
      </c>
      <c r="CO147" s="431" t="e">
        <f ca="1">INDEX(INDIRECT(VLOOKUP(LEFT(BO147,7),CLU!$Z$3:$AH$18,4)),GQ147,GS147)</f>
        <v>#N/A</v>
      </c>
      <c r="CP147" s="431" t="e">
        <f t="shared" ca="1" si="356"/>
        <v>#N/A</v>
      </c>
      <c r="CQ147" s="440">
        <f t="shared" si="357"/>
        <v>0</v>
      </c>
      <c r="CR147" s="51" t="e">
        <f t="shared" ca="1" si="358"/>
        <v>#N/A</v>
      </c>
      <c r="CS147" s="439" t="e">
        <f t="shared" ca="1" si="359"/>
        <v>#VALUE!</v>
      </c>
      <c r="CT147" s="51" t="e">
        <f t="shared" ca="1" si="360"/>
        <v>#VALUE!</v>
      </c>
      <c r="CU147" s="10"/>
      <c r="CV147" s="51" t="e">
        <f t="shared" ca="1" si="257"/>
        <v>#VALUE!</v>
      </c>
      <c r="CW147" s="51">
        <f t="shared" si="361"/>
        <v>0</v>
      </c>
      <c r="CX147" s="439" t="e">
        <f t="shared" ca="1" si="362"/>
        <v>#VALUE!</v>
      </c>
      <c r="CY147" s="51" t="e">
        <f t="shared" ca="1" si="363"/>
        <v>#VALUE!</v>
      </c>
      <c r="CZ147" s="10"/>
      <c r="DA147" s="51" t="e">
        <f t="shared" ca="1" si="364"/>
        <v>#VALUE!</v>
      </c>
      <c r="DB147" s="347" t="e">
        <f ca="1">INDEX(INDIRECT(VLOOKUP(LEFT(BO147,7),CLU!$Z$3:$AI$18,10)),((M147-2)*(6-COUNTBLANK(GT147:GY147)))+GJ147)*LI147</f>
        <v>#N/A</v>
      </c>
      <c r="DC147" s="347" t="str">
        <f>IF(L147&gt;0,((R147/Worksheet!$I$15)/DB147)^2," ")</f>
        <v xml:space="preserve"> </v>
      </c>
      <c r="DD147" s="602" t="str">
        <f t="shared" si="365"/>
        <v xml:space="preserve"> </v>
      </c>
      <c r="DE147" s="347" t="str">
        <f t="shared" si="258"/>
        <v xml:space="preserve"> </v>
      </c>
      <c r="DF147" s="356" t="e">
        <f ca="1">INDEX(INDIRECT(VLOOKUP(LEFT(BO147,7),CLU!$Z$3:$AH$18,8)),((M147-2)*(6-COUNTBLANK(GT147:GY147)))+GJ147)</f>
        <v>#N/A</v>
      </c>
      <c r="DG147" s="347" t="str">
        <f t="shared" si="259"/>
        <v xml:space="preserve"> </v>
      </c>
      <c r="DH147" s="357" t="str">
        <f t="shared" si="260"/>
        <v xml:space="preserve"> </v>
      </c>
      <c r="DI147" s="355" t="str">
        <f t="shared" si="261"/>
        <v xml:space="preserve"> </v>
      </c>
      <c r="DJ147" s="245" t="e">
        <f ca="1">INDEX(INDIRECT(VLOOKUP(LEFT(BO147,7),CLU!$Z$3:$AH$18,5)),GL147,GK147)</f>
        <v>#N/A</v>
      </c>
      <c r="DK147" s="245" t="e">
        <f ca="1">INDEX(INDIRECT(VLOOKUP(LEFT(BO147,7),CLU!$Z$3:$AH$18,6)),GL147,GK147)</f>
        <v>#N/A</v>
      </c>
      <c r="DL147" s="355">
        <f>(Calculation!R147*0.69143*(Calculation!$BQ$8-Calculation!$F$8))*$S$14</f>
        <v>0</v>
      </c>
      <c r="DM147" s="359" t="e">
        <f t="shared" si="366"/>
        <v>#VALUE!</v>
      </c>
      <c r="DN147" s="611">
        <f t="shared" si="367"/>
        <v>0</v>
      </c>
      <c r="DO147" s="359">
        <f t="shared" si="368"/>
        <v>100</v>
      </c>
      <c r="DP147" s="359">
        <f t="shared" si="369"/>
        <v>0</v>
      </c>
      <c r="DQ147" s="360"/>
      <c r="DR147" s="245" t="e">
        <f ca="1">INDEX(INDIRECT(VLOOKUP(LEFT(BO147,7),CLU!$Z$3:$AH$18,7)),M147-1,1)</f>
        <v>#N/A</v>
      </c>
      <c r="DS147" s="245" t="e">
        <f ca="1">INDEX(INDIRECT(VLOOKUP(LEFT(BO147,7),CLU!$Z$3:$AH$18,7)),M147-1,2)</f>
        <v>#N/A</v>
      </c>
      <c r="DT147" s="245" t="e">
        <f ca="1">INDEX(INDIRECT(VLOOKUP(LEFT(BO147,7),CLU!$Z$3:$AH$18,7)),M147-1,3)</f>
        <v>#N/A</v>
      </c>
      <c r="DU147" s="245" t="e">
        <f ca="1">INDEX(INDIRECT(VLOOKUP(LEFT(BO147,7),CLU!$Z$3:$AH$18,7)),M147-1,4)</f>
        <v>#N/A</v>
      </c>
      <c r="DV147" s="361" t="e">
        <f ca="1">INDEX(INDIRECT(VLOOKUP(LEFT(BO147,7),CLU!$Z$3:$AH$18,7)),M147-1,4+LEFT(DZ147,1)*0.5)</f>
        <v>#N/A</v>
      </c>
      <c r="DW147" s="245" t="e">
        <f ca="1">INDEX(INDIRECT(VLOOKUP(LEFT(BO147,7),CLU!$Z$3:$AH$18,7)),M147-1,8)</f>
        <v>#N/A</v>
      </c>
      <c r="DX147" s="361" t="str">
        <f t="shared" si="262"/>
        <v xml:space="preserve"> </v>
      </c>
      <c r="DY147" s="361" t="str">
        <f t="shared" si="263"/>
        <v xml:space="preserve"> </v>
      </c>
      <c r="DZ147" s="361" t="str">
        <f t="shared" si="264"/>
        <v xml:space="preserve"> </v>
      </c>
      <c r="EA147" s="362" t="str">
        <f t="shared" si="265"/>
        <v xml:space="preserve"> </v>
      </c>
      <c r="EB147" s="624" t="str">
        <f t="shared" si="370"/>
        <v xml:space="preserve"> </v>
      </c>
      <c r="EC147" s="361" t="e">
        <f ca="1">INDEX(INDIRECT(VLOOKUP(LEFT(BO147,7),CLU!$Z$3:$AH$18,7)),M147-1,4+LEFT(DZ147,1)*0.5)</f>
        <v>#N/A</v>
      </c>
      <c r="ED147" s="362" t="str">
        <f t="shared" si="266"/>
        <v xml:space="preserve"> </v>
      </c>
      <c r="EE147" s="361" t="str">
        <f t="shared" si="267"/>
        <v xml:space="preserve"> </v>
      </c>
      <c r="EF147" s="362" t="str">
        <f>IF(L147&gt;0,IF(BR147&gt;0,IF(EE147="2P",IF(Calculation!DZ147="2P",IF(Calculation!DS147=13.75,IF(Calculation!DR147=13,Worksheet!$BD$43,IF(Calculation!DR147=37,Worksheet!$BD$44,Worksheet!$BD$45)),IF(Calculation!DS147=10,IF(Calculation!DR147=18,Worksheet!$BD$29,IF(Calculation!DR147=30,Worksheet!$BD$30,IF(Calculation!DR147=42,Worksheet!$BD$31,IF(Calculation!DR147=54,Worksheet!$BD$32,IF(Calculation!DR147=66,Worksheet!$BD$33,IF(Calculation!DR147=78,Worksheet!$BD$34,IF(Calculation!DR147=90,Worksheet!$BD$35,IF(Calculation!DR147=102,Worksheet!$BD$36,Worksheet!$BD$37)))))))),IF(Calculation!DS147=12.5,IF(Calculation!DR147=18,Worksheet!$BD$38,IF(Calculation!DR147=Worksheet!$BD$39,IF(Calculation!DR147=42,Worksheet!$BD$40,IF(Calculation!DR147=54,Worksheet!$BD$41,Worksheet!$BD$42)))),IF(Calculation!DR147=18,Worksheet!$BD$11,IF(Calculation!DR147=30,Worksheet!$BD$12,IF(Calculation!DR147=42,Worksheet!$BD$13,IF(Calculation!DR147=54,Worksheet!$BD$14,IF(Calculation!DR147=66,Worksheet!$BD$15,IF(Calculation!DR147=78,Worksheet!$BD$16,IF(Calculation!DR147=90,Worksheet!$BD$17,IF(Calculation!DR147=102,Worksheet!$BD$18,Worksheet!$BD$19))))))))))),IF(Calculation!DS147=13.75,IF(Calculation!DR147=13,Worksheet!$BD$78,IF(Calculation!DR147=37,Worksheet!$BD$79,Worksheet!$BD$80)),IF(Calculation!DS147=10,IF(Calculation!DR147=18,Worksheet!$BD$64,IF(Calculation!DR147=30,Worksheet!$BD$65,IF(Calculation!DR147=42,Worksheet!$BD$66,IF(Calculation!DR147=54,Worksheet!$BD$68,IF(Calculation!DR147=66,Worksheet!$BD$68,IF(Calculation!DR147=78,Worksheet!$BD$69,IF(Calculation!DR147=90,Worksheet!$BD$70,IF(Calculation!DR147=102,Worksheet!$BD$71,Worksheet!$BD$72)))))))),IF(Calculation!DS147=12.5,IF(Calculation!DR147=18,Worksheet!$BD$73,IF(Calculation!DR147=Worksheet!$BD$74,IF(Calculation!DR147=42,Worksheet!$BD$75,IF(Calculation!DR147=54,Worksheet!$BD$76,Worksheet!$BD$77)))),IF(Calculation!DR147=18,Worksheet!$BD$55,IF(Calculation!DR147=30,Worksheet!$BD$56,IF(Calculation!DR147=42,Worksheet!$BD$57,IF(Calculation!DR147=54,Worksheet!$BD$58,IF(Calculation!DR147=66,Worksheet!$BD$59,IF(Calculation!DR147=78,Worksheet!$BD$60,IF(Calculation!DR147=90,Worksheet!$BD$61,IF(Calculation!DR147=102,Worksheet!$BD$62,Worksheet!$BD$63)))))))))))),5),0)," ")</f>
        <v xml:space="preserve"> </v>
      </c>
      <c r="EG147" s="361" t="str">
        <f t="shared" si="268"/>
        <v xml:space="preserve"> </v>
      </c>
      <c r="EH147" s="361" t="e">
        <f ca="1">INDEX(INDIRECT(VLOOKUP(LEFT(BO147,7),CLU!$Z$3:$AH$18,7)),M147-1,3+LEFT(DZ147,1))</f>
        <v>#N/A</v>
      </c>
      <c r="EI147" s="362" t="str">
        <f t="shared" si="269"/>
        <v xml:space="preserve"> </v>
      </c>
      <c r="EJ147" s="363" t="str">
        <f t="shared" si="270"/>
        <v xml:space="preserve"> </v>
      </c>
      <c r="EK147" s="363" t="str">
        <f t="shared" si="271"/>
        <v xml:space="preserve"> </v>
      </c>
      <c r="EL147" s="363" t="str">
        <f t="shared" si="272"/>
        <v xml:space="preserve"> </v>
      </c>
      <c r="EM147" s="362" t="str">
        <f>IF(L147&gt;0,IF(BR147&gt;0,(Calculation!T147/ED147)^2,0)," ")</f>
        <v xml:space="preserve"> </v>
      </c>
      <c r="EN147" s="362" t="str">
        <f>IF(L147&gt;0,IF(O147="2 Pipe (Cooling)","N/A",IF(BR147&gt;0,(Calculation!U147/EI147)^2,0))," ")</f>
        <v xml:space="preserve"> </v>
      </c>
      <c r="EO147" s="361" t="str">
        <f t="shared" si="273"/>
        <v/>
      </c>
      <c r="EP147" s="361" t="str">
        <f t="shared" si="274"/>
        <v/>
      </c>
      <c r="EQ147" s="361" t="str">
        <f t="shared" si="275"/>
        <v/>
      </c>
      <c r="ER147" s="361" t="str">
        <f t="shared" si="276"/>
        <v/>
      </c>
      <c r="ES147" s="361" t="str">
        <f t="shared" si="277"/>
        <v/>
      </c>
      <c r="ET147" s="361" t="str">
        <f t="shared" si="278"/>
        <v/>
      </c>
      <c r="EU147" s="361" t="str">
        <f t="shared" si="279"/>
        <v/>
      </c>
      <c r="EV147" s="361" t="str">
        <f t="shared" si="280"/>
        <v/>
      </c>
      <c r="EW147" s="361" t="str">
        <f t="shared" si="281"/>
        <v/>
      </c>
      <c r="EX147" s="361" t="str">
        <f t="shared" si="371"/>
        <v>1 slot, 1 way</v>
      </c>
      <c r="EY147" s="361" t="str">
        <f t="shared" si="372"/>
        <v xml:space="preserve"> </v>
      </c>
      <c r="EZ147" s="361" t="str">
        <f t="shared" si="373"/>
        <v xml:space="preserve"> </v>
      </c>
      <c r="FA147" s="361" t="str">
        <f t="shared" si="374"/>
        <v xml:space="preserve"> </v>
      </c>
      <c r="FB147" s="361" t="str">
        <f t="shared" si="375"/>
        <v xml:space="preserve"> </v>
      </c>
      <c r="FC147" s="361"/>
      <c r="FD147" s="361" t="str">
        <f>IF(J147&gt;0,IF(Calculation!R147&lt;=70,4,IF(Calculation!R147&lt;=110,5,IF(Calculation!R147&lt;=160,6,IF(Calculation!R147&lt;=300,8,"10 EO")))),"")</f>
        <v/>
      </c>
      <c r="FE147" s="361" t="str">
        <f t="shared" si="376"/>
        <v/>
      </c>
      <c r="FF147" s="361" t="str">
        <f t="shared" si="377"/>
        <v/>
      </c>
      <c r="FG147" s="361" t="e">
        <f t="shared" si="282"/>
        <v>#N/A</v>
      </c>
      <c r="FH147" s="361">
        <f t="shared" si="283"/>
        <v>0</v>
      </c>
      <c r="FI147" s="361" t="e">
        <f t="shared" si="284"/>
        <v>#DIV/0!</v>
      </c>
      <c r="FJ147" s="361"/>
      <c r="FK147" s="356" t="e">
        <f t="shared" si="285"/>
        <v>#VALUE!</v>
      </c>
      <c r="FL147" s="361"/>
      <c r="FM147" s="361"/>
      <c r="FN147" s="362" t="str">
        <f t="shared" si="378"/>
        <v xml:space="preserve"> </v>
      </c>
      <c r="FO147" s="362" t="str">
        <f t="shared" si="379"/>
        <v xml:space="preserve"> </v>
      </c>
      <c r="FP147" s="362">
        <f t="shared" si="380"/>
        <v>0</v>
      </c>
      <c r="FQ147" s="361">
        <f t="shared" si="286"/>
        <v>0</v>
      </c>
      <c r="FR147" s="362" t="str">
        <f>IF(L147&gt;0,IF(J147="CBAL2",Worksheet!$P$67,IF(J147="CBE2-24",Worksheet!$Q$67,IF(J147="CBAM",Worksheet!$R$67,IF(J147="CBLV",Worksheet!$S$67,IF(J147="CBAB",Worksheet!$U$67,IF(J147="CBAW",Worksheet!$X$67,IF(J147="CBE2-12",Worksheet!$Y$67,IF(J147="CBAL2",Worksheet!$Z$67,"N/A"))))))))," ")</f>
        <v xml:space="preserve"> </v>
      </c>
      <c r="FS147" s="362" t="str">
        <f>IF(L147&gt;0,IF(J147="CBAL2",Worksheet!$P$68,IF(J147="CBE2-24",Worksheet!$Q$68,IF(J147="CBAM",Worksheet!$R$68,IF(J147="CBLV",Worksheet!$S$68,IF(J147="CBAB",Worksheet!$U$68,IF(J147="CBAW",Worksheet!$X$68,IF(J147="CBE2-12",Worksheet!$Y$68,IF(J147="CBAL2",Worksheet!$Z$68,"N/A"))))))))," ")</f>
        <v xml:space="preserve"> </v>
      </c>
      <c r="FT147" s="362" t="str">
        <f>IF(L147&gt;0,IF(J147="CBAL2",Worksheet!$P$69,IF(J147="CBE2-24",Worksheet!$Q$69,IF(J147="CBAM",Worksheet!$R$69,IF(J147="CBLV",Worksheet!$S$69,IF(J147="CBAB",Worksheet!$U$69,IF(J147="CBAW",Worksheet!$X$69,IF(J147="CBE2-12",Worksheet!$Y$69,IF(J147="CBAL2",Worksheet!$Z$69,"N/A"))))))))," ")</f>
        <v xml:space="preserve"> </v>
      </c>
      <c r="FU147" s="361" t="str">
        <f t="shared" si="381"/>
        <v xml:space="preserve"> </v>
      </c>
      <c r="FV147" s="362" t="str">
        <f t="shared" si="382"/>
        <v xml:space="preserve"> </v>
      </c>
      <c r="FW147" s="362" t="str">
        <f t="shared" si="383"/>
        <v xml:space="preserve"> </v>
      </c>
      <c r="FX147" s="362" t="str">
        <f t="shared" si="384"/>
        <v xml:space="preserve"> </v>
      </c>
      <c r="FY147" s="355" t="str">
        <f t="shared" si="385"/>
        <v xml:space="preserve"> </v>
      </c>
      <c r="FZ147" s="361" t="str">
        <f t="shared" si="386"/>
        <v xml:space="preserve"> </v>
      </c>
      <c r="GA147" s="347" t="str">
        <f t="shared" si="387"/>
        <v xml:space="preserve"> </v>
      </c>
      <c r="GB147" s="355" t="str">
        <f t="shared" si="388"/>
        <v xml:space="preserve"> </v>
      </c>
      <c r="GC147" s="328" t="str">
        <f t="shared" si="389"/>
        <v xml:space="preserve"> </v>
      </c>
      <c r="GD147" s="361" t="str">
        <f t="shared" si="390"/>
        <v xml:space="preserve"> </v>
      </c>
      <c r="GE147" s="347" t="str">
        <f t="shared" si="391"/>
        <v xml:space="preserve"> </v>
      </c>
      <c r="GF147" s="361" t="str">
        <f t="shared" si="392"/>
        <v xml:space="preserve"> </v>
      </c>
      <c r="GG147" s="347" t="str">
        <f t="shared" si="393"/>
        <v xml:space="preserve"> </v>
      </c>
      <c r="GH147" s="364">
        <f t="shared" si="287"/>
        <v>0</v>
      </c>
      <c r="GI147" s="362">
        <f t="shared" si="394"/>
        <v>2</v>
      </c>
      <c r="GJ147" s="433" t="e">
        <f>IF(6-COUNTBLANK(GT147:GY147)=4,MATCH(MID(BO147,9,3),CLU!$H$16:$K$16),MATCH(MID(BO147,9,3),CLU!$H$13:$M$13))</f>
        <v>#N/A</v>
      </c>
      <c r="GK147" s="433" t="e">
        <f>HLOOKUP(VALUE(BP147),CLU!$H$9:$M$10,2)</f>
        <v>#VALUE!</v>
      </c>
      <c r="GL147" s="433" t="e">
        <f ca="1">MATCH(BU147,CLU!$H$2:$V$2,1)</f>
        <v>#VALUE!</v>
      </c>
      <c r="GM147" s="433" t="e">
        <f t="shared" ca="1" si="395"/>
        <v>#VALUE!</v>
      </c>
      <c r="GN147" s="433" t="e">
        <f t="shared" ca="1" si="396"/>
        <v>#VALUE!</v>
      </c>
      <c r="GO147" s="433" t="e">
        <f t="shared" ca="1" si="397"/>
        <v>#VALUE!</v>
      </c>
      <c r="GP147" s="433" t="e">
        <f t="shared" ca="1" si="398"/>
        <v>#VALUE!</v>
      </c>
      <c r="GQ147" s="433" t="e">
        <f t="shared" ca="1" si="399"/>
        <v>#VALUE!</v>
      </c>
      <c r="GR147" s="433" t="e">
        <f ca="1">MATCH(T147,INDIRECT(VLOOKUP(CONCATENATE(LEFT(BO147,7),"-",MID(BO147,13,1)),CLU!$P$3:$Q$16,2)),1)</f>
        <v>#N/A</v>
      </c>
      <c r="GS147" s="433" t="e">
        <f ca="1">MATCH(U147,INDIRECT(VLOOKUP(CONCATENATE(LEFT(BO147,7),"-",MID(BO147,13,1)),CLU!$P$3:$Q$16,2)),1)</f>
        <v>#N/A</v>
      </c>
      <c r="GT147" s="347" t="s">
        <v>512</v>
      </c>
      <c r="GU147" s="97" t="s">
        <v>513</v>
      </c>
      <c r="GV147" s="97" t="str">
        <f t="shared" si="400"/>
        <v>M23</v>
      </c>
      <c r="GW147" s="97" t="str">
        <f t="shared" si="401"/>
        <v>M31</v>
      </c>
      <c r="GX147" s="97" t="str">
        <f t="shared" si="402"/>
        <v/>
      </c>
      <c r="GY147" s="97" t="str">
        <f t="shared" si="403"/>
        <v/>
      </c>
      <c r="GZ147" s="481"/>
      <c r="HA147" s="288"/>
      <c r="HB147" s="240"/>
      <c r="HC147" s="240"/>
      <c r="HD147" s="240"/>
      <c r="HE147" s="240"/>
      <c r="HF147" s="240"/>
      <c r="HG147" s="240"/>
      <c r="HH147" s="240"/>
      <c r="HI147" s="240"/>
      <c r="HJ147" s="240"/>
      <c r="HK147" s="240"/>
      <c r="HL147" s="240"/>
      <c r="HM147" s="240"/>
      <c r="HN147" s="240"/>
      <c r="HO147" s="240"/>
      <c r="HP147" s="240"/>
      <c r="HQ147" s="240"/>
      <c r="HR147" s="240"/>
      <c r="HS147" s="240"/>
      <c r="HT147" s="240"/>
      <c r="HU147" s="240"/>
      <c r="HV147" s="245"/>
      <c r="HW147" s="245" t="b">
        <v>1</v>
      </c>
      <c r="HX147" s="245" t="str">
        <f t="shared" si="288"/>
        <v/>
      </c>
      <c r="HY147" s="245" t="e">
        <f t="shared" si="289"/>
        <v>#DIV/0!</v>
      </c>
      <c r="HZ147" s="245" t="e">
        <f t="shared" si="290"/>
        <v>#DIV/0!</v>
      </c>
      <c r="IA147" s="245">
        <f t="shared" si="291"/>
        <v>0</v>
      </c>
      <c r="IB147" s="245"/>
      <c r="IC147" t="b">
        <f t="shared" si="292"/>
        <v>1</v>
      </c>
      <c r="ID147" s="245" t="b">
        <f t="shared" si="293"/>
        <v>1</v>
      </c>
      <c r="IE147" s="245" t="b">
        <f t="shared" si="294"/>
        <v>1</v>
      </c>
      <c r="IF147" s="245" t="b">
        <f t="shared" si="295"/>
        <v>0</v>
      </c>
      <c r="IG147" s="245" t="b">
        <f t="shared" si="296"/>
        <v>1</v>
      </c>
      <c r="IH147" s="245" t="b">
        <f t="shared" si="297"/>
        <v>1</v>
      </c>
      <c r="II147" s="245">
        <f t="shared" si="404"/>
        <v>0</v>
      </c>
      <c r="IJ147" s="245" t="e">
        <f t="shared" si="298"/>
        <v>#VALUE!</v>
      </c>
      <c r="IK147" s="245" t="e">
        <f t="shared" si="299"/>
        <v>#VALUE!</v>
      </c>
      <c r="IL147" s="245"/>
      <c r="IM147" s="245" t="e">
        <f t="shared" si="405"/>
        <v>#N/A</v>
      </c>
      <c r="IN147" s="245" t="e">
        <f t="shared" si="406"/>
        <v>#N/A</v>
      </c>
      <c r="IO147" s="245"/>
      <c r="IP147" s="245"/>
      <c r="IQ147" s="245" t="str">
        <f t="shared" si="300"/>
        <v/>
      </c>
      <c r="IR147" s="245" t="str">
        <f>IF(J147="","",VLOOKUP(J147,Worksheet!$R$4:$T$14,2))</f>
        <v/>
      </c>
      <c r="IS147" s="245"/>
      <c r="IT147" s="245">
        <f t="shared" si="301"/>
        <v>0</v>
      </c>
      <c r="IU147" s="245">
        <f t="shared" si="302"/>
        <v>0</v>
      </c>
      <c r="IV147" s="245">
        <f t="shared" si="303"/>
        <v>0</v>
      </c>
      <c r="IW147" s="245">
        <f t="shared" si="304"/>
        <v>0</v>
      </c>
      <c r="IX147" s="245">
        <f t="shared" si="407"/>
        <v>0</v>
      </c>
      <c r="IY147" s="245">
        <f t="shared" si="305"/>
        <v>0</v>
      </c>
      <c r="IZ147" s="245">
        <f t="shared" si="306"/>
        <v>0</v>
      </c>
      <c r="JA147">
        <f t="shared" si="307"/>
        <v>0</v>
      </c>
      <c r="JB147">
        <f t="shared" si="408"/>
        <v>0</v>
      </c>
      <c r="JC147">
        <f t="shared" si="308"/>
        <v>0</v>
      </c>
      <c r="JD147">
        <f t="shared" si="309"/>
        <v>0</v>
      </c>
      <c r="JE147">
        <f t="shared" si="310"/>
        <v>0</v>
      </c>
      <c r="JF147">
        <f t="shared" si="311"/>
        <v>0</v>
      </c>
      <c r="JG147">
        <f t="shared" si="312"/>
        <v>0</v>
      </c>
      <c r="JH147">
        <f t="shared" si="313"/>
        <v>0</v>
      </c>
      <c r="JI147">
        <f t="shared" si="314"/>
        <v>0</v>
      </c>
      <c r="JJ147" s="447">
        <f t="shared" si="315"/>
        <v>0</v>
      </c>
      <c r="JK147" s="447">
        <f t="shared" si="316"/>
        <v>0</v>
      </c>
      <c r="JL147">
        <f t="shared" si="317"/>
        <v>0</v>
      </c>
      <c r="JM147" s="245" t="str">
        <f>IFERROR(VLOOKUP(MATCH(BN147,#REF!,0),#REF!,7),"")</f>
        <v/>
      </c>
      <c r="JN147" t="e">
        <f>HLOOKUP(LEFT(BO147,7),Discharge_Area,MATCH(JO147,LookUps!$B$130:$B$149,1)+2)</f>
        <v>#N/A</v>
      </c>
      <c r="JO147" t="str">
        <f t="shared" si="318"/>
        <v>- S</v>
      </c>
      <c r="JP147" t="e">
        <f>HLOOKUP(LEFT(BO147,7),Discharge_Area,MATCH(JO147,LookUps!$B$130:$B$149,1)+2)</f>
        <v>#N/A</v>
      </c>
      <c r="JQ147" t="e">
        <f t="shared" si="319"/>
        <v>#N/A</v>
      </c>
      <c r="JR147" t="e">
        <f t="shared" si="320"/>
        <v>#N/A</v>
      </c>
      <c r="JS147" t="e">
        <f t="shared" si="321"/>
        <v>#N/A</v>
      </c>
      <c r="JT147" s="532" t="str">
        <f t="shared" si="322"/>
        <v xml:space="preserve"> </v>
      </c>
      <c r="JU147" s="532" t="str">
        <f t="shared" si="323"/>
        <v xml:space="preserve"> </v>
      </c>
      <c r="JV147" s="533" t="str">
        <f t="shared" si="324"/>
        <v xml:space="preserve"> </v>
      </c>
      <c r="JW147" s="534">
        <f t="shared" si="325"/>
        <v>0</v>
      </c>
      <c r="JX147" s="535" t="str">
        <f t="shared" si="409"/>
        <v xml:space="preserve"> </v>
      </c>
      <c r="JY147" s="535" t="str">
        <f t="shared" si="410"/>
        <v xml:space="preserve"> </v>
      </c>
      <c r="JZ147" s="535" t="str">
        <f t="shared" si="411"/>
        <v xml:space="preserve"> </v>
      </c>
      <c r="KA147" s="536" t="str">
        <f t="shared" si="326"/>
        <v xml:space="preserve"> </v>
      </c>
      <c r="KB147" s="535" t="e">
        <f t="shared" si="412"/>
        <v>#VALUE!</v>
      </c>
      <c r="KC147" s="535" t="str">
        <f t="shared" si="327"/>
        <v/>
      </c>
      <c r="KD147" s="537" t="str">
        <f t="shared" si="413"/>
        <v xml:space="preserve"> </v>
      </c>
      <c r="KE147" s="537" t="str">
        <f t="shared" si="414"/>
        <v xml:space="preserve"> </v>
      </c>
      <c r="KF147" s="534">
        <f t="shared" si="328"/>
        <v>0</v>
      </c>
      <c r="KG147" s="535" t="str">
        <f t="shared" si="329"/>
        <v xml:space="preserve"> </v>
      </c>
      <c r="KH147" s="535" t="str">
        <f t="shared" si="330"/>
        <v xml:space="preserve"> </v>
      </c>
      <c r="KI147" s="535" t="str">
        <f t="shared" si="331"/>
        <v xml:space="preserve"> </v>
      </c>
      <c r="KJ147" s="536" t="str">
        <f t="shared" si="332"/>
        <v xml:space="preserve"> </v>
      </c>
      <c r="KK147" s="535" t="str">
        <f t="shared" si="415"/>
        <v xml:space="preserve"> </v>
      </c>
      <c r="KL147" s="535" t="str">
        <f t="shared" si="416"/>
        <v xml:space="preserve"> </v>
      </c>
      <c r="KM147" s="537" t="str">
        <f t="shared" si="333"/>
        <v xml:space="preserve"> </v>
      </c>
      <c r="KN147" s="537" t="str">
        <f t="shared" si="417"/>
        <v xml:space="preserve"> </v>
      </c>
      <c r="KP147">
        <f t="shared" si="334"/>
        <v>0</v>
      </c>
      <c r="LA147" t="e">
        <f t="shared" si="335"/>
        <v>#VALUE!</v>
      </c>
      <c r="LB147" t="e">
        <f t="shared" si="336"/>
        <v>#VALUE!</v>
      </c>
      <c r="LC147" t="e">
        <f t="shared" si="337"/>
        <v>#VALUE!</v>
      </c>
      <c r="LD147" t="e">
        <f t="shared" si="338"/>
        <v>#VALUE!</v>
      </c>
      <c r="LE147" t="e">
        <f t="shared" si="418"/>
        <v>#VALUE!</v>
      </c>
      <c r="LF147">
        <f t="shared" si="339"/>
        <v>0</v>
      </c>
      <c r="LG147" t="e">
        <f t="shared" si="419"/>
        <v>#VALUE!</v>
      </c>
      <c r="LH147" t="str">
        <f t="shared" si="340"/>
        <v xml:space="preserve"> </v>
      </c>
      <c r="LI147">
        <f t="shared" si="420"/>
        <v>1</v>
      </c>
    </row>
    <row r="148" spans="2:321" ht="15" customHeight="1">
      <c r="B148" s="311"/>
      <c r="C148" s="311"/>
      <c r="D148" s="312"/>
      <c r="E148" s="311"/>
      <c r="F148" s="312"/>
      <c r="G148" s="311"/>
      <c r="H148" s="311"/>
      <c r="I148" s="37"/>
      <c r="J148" s="311"/>
      <c r="K148" s="305" t="str">
        <f t="shared" si="341"/>
        <v/>
      </c>
      <c r="L148" s="313"/>
      <c r="M148" s="312"/>
      <c r="N148" s="311"/>
      <c r="O148" s="312"/>
      <c r="P148" s="311"/>
      <c r="Q148" s="305" t="str">
        <f t="shared" si="342"/>
        <v/>
      </c>
      <c r="R148" s="314"/>
      <c r="S148" s="450" t="str">
        <f t="shared" si="225"/>
        <v/>
      </c>
      <c r="T148" s="315"/>
      <c r="U148" s="315"/>
      <c r="W148" s="149" t="str">
        <f t="shared" si="226"/>
        <v xml:space="preserve"> </v>
      </c>
      <c r="X148" s="243" t="str">
        <f t="shared" si="227"/>
        <v xml:space="preserve"> </v>
      </c>
      <c r="Y148" s="150" t="str">
        <f t="shared" si="228"/>
        <v/>
      </c>
      <c r="Z148" s="149" t="str">
        <f t="shared" si="229"/>
        <v xml:space="preserve"> </v>
      </c>
      <c r="AA148" s="98" t="str">
        <f t="shared" si="230"/>
        <v xml:space="preserve"> </v>
      </c>
      <c r="AB148" s="153" t="str">
        <f t="shared" si="231"/>
        <v xml:space="preserve"> </v>
      </c>
      <c r="AC148" s="153" t="str">
        <f t="shared" si="232"/>
        <v xml:space="preserve"> </v>
      </c>
      <c r="AD148" s="148" t="str">
        <f t="shared" si="233"/>
        <v/>
      </c>
      <c r="AE148" s="149" t="str">
        <f t="shared" si="234"/>
        <v/>
      </c>
      <c r="AF148" s="151" t="str">
        <f t="shared" si="235"/>
        <v xml:space="preserve"> </v>
      </c>
      <c r="AG148" s="153" t="str">
        <f t="shared" si="236"/>
        <v xml:space="preserve"> </v>
      </c>
      <c r="AH148" s="98" t="str">
        <f t="shared" si="237"/>
        <v xml:space="preserve"> </v>
      </c>
      <c r="AI148" s="149" t="str">
        <f t="shared" si="238"/>
        <v xml:space="preserve"> </v>
      </c>
      <c r="AK148" s="144" t="str">
        <f t="shared" si="239"/>
        <v xml:space="preserve"> </v>
      </c>
      <c r="AL148" s="144"/>
      <c r="AM148" s="243" t="str">
        <f t="shared" si="240"/>
        <v xml:space="preserve"> </v>
      </c>
      <c r="AN148" s="149" t="str">
        <f t="shared" si="343"/>
        <v xml:space="preserve"> </v>
      </c>
      <c r="AO148" s="144" t="str">
        <f>IF(JB148&gt;0,IF(GI148=10,-R148*1.085*(Calculation!$F$6-Calculation!$F$13)*$S$14," "),"")</f>
        <v/>
      </c>
      <c r="AP148" s="144" t="str">
        <f t="shared" si="241"/>
        <v/>
      </c>
      <c r="AQ148" s="56" t="str">
        <f t="shared" si="242"/>
        <v/>
      </c>
      <c r="AR148" s="144" t="str">
        <f t="shared" si="243"/>
        <v/>
      </c>
      <c r="AS148" s="176" t="str">
        <f t="shared" si="244"/>
        <v/>
      </c>
      <c r="AT148" s="176" t="str">
        <f t="shared" si="344"/>
        <v xml:space="preserve"> </v>
      </c>
      <c r="AU148" s="176" t="str">
        <f t="shared" si="245"/>
        <v/>
      </c>
      <c r="AV148" s="177" t="str">
        <f t="shared" si="246"/>
        <v xml:space="preserve"> </v>
      </c>
      <c r="AW148" s="144" t="str">
        <f t="shared" si="247"/>
        <v xml:space="preserve"> </v>
      </c>
      <c r="AX148" s="144" t="str">
        <f t="shared" si="248"/>
        <v xml:space="preserve"> </v>
      </c>
      <c r="AY148" s="152" t="str">
        <f t="shared" si="249"/>
        <v xml:space="preserve"> </v>
      </c>
      <c r="AZ148" s="246" t="str">
        <f t="shared" si="250"/>
        <v/>
      </c>
      <c r="BA148" s="176" t="str">
        <f t="shared" si="251"/>
        <v xml:space="preserve"> </v>
      </c>
      <c r="BB148" s="176" t="str">
        <f t="shared" si="252"/>
        <v xml:space="preserve"> </v>
      </c>
      <c r="BC148" s="195"/>
      <c r="BD148" s="316"/>
      <c r="BE148" s="317"/>
      <c r="BF148" s="318"/>
      <c r="BG148" s="318"/>
      <c r="BH148" s="144" t="str">
        <f t="shared" si="421"/>
        <v xml:space="preserve"> </v>
      </c>
      <c r="BI148" s="176" t="str">
        <f t="shared" si="253"/>
        <v/>
      </c>
      <c r="BJ148" s="144" t="str">
        <f t="shared" si="422"/>
        <v/>
      </c>
      <c r="BK148" s="246" t="str">
        <f t="shared" si="254"/>
        <v/>
      </c>
      <c r="BL148" s="144" t="str">
        <f t="shared" si="423"/>
        <v/>
      </c>
      <c r="BM148" s="246" t="str">
        <f t="shared" si="255"/>
        <v/>
      </c>
      <c r="BN148" s="337" t="str">
        <f t="shared" si="345"/>
        <v/>
      </c>
      <c r="BO148" s="371" t="str">
        <f t="shared" si="346"/>
        <v/>
      </c>
      <c r="BP148" s="328" t="str">
        <f t="shared" si="424"/>
        <v xml:space="preserve"> </v>
      </c>
      <c r="BQ148" s="347" t="str">
        <f t="shared" si="347"/>
        <v xml:space="preserve"> </v>
      </c>
      <c r="BR148" s="353" t="str">
        <f t="shared" si="348"/>
        <v xml:space="preserve"> </v>
      </c>
      <c r="BS148" s="626" t="str">
        <f>IF(L148&gt;0,IF(Calculation!P148="M13",BR148*3.1416*(0.134^2)/(4*144),IF(Calculation!P148="M17",BR148*3.1416*(0.165^2)/(4*144),IF(Calculation!P148="M20",BR148*3.1416*(0.198^2)/(4*144),IF(Calculation!P148="M23",BR148*3.1416*(0.228^2)/(4*144),IF(Calculation!P148="M27",BR148*3.1416*(0.269^2)/(4*144),BR148*3.1416*(0.307^2)/(4*144))))))," ")</f>
        <v xml:space="preserve"> </v>
      </c>
      <c r="BT148" s="353" t="str">
        <f>IF(L148&gt;0,IF(BS148&gt;0,R148/Calculation!BS148,0)," ")</f>
        <v xml:space="preserve"> </v>
      </c>
      <c r="BU148" s="438" t="e">
        <f t="shared" ca="1" si="256"/>
        <v>#VALUE!</v>
      </c>
      <c r="BV148" s="449" t="e">
        <f ca="1">INDEX(INDIRECT(VLOOKUP(LEFT(BO148,7),CLU!$Z$3:$AH$18,2)),GN148,GR148)</f>
        <v>#N/A</v>
      </c>
      <c r="BW148" s="433" t="e">
        <f ca="1">INDEX(INDIRECT(VLOOKUP(LEFT(BO148,7),CLU!$Z$3:$AH$18,3)),GN148,GR148)</f>
        <v>#N/A</v>
      </c>
      <c r="BX148" s="433" t="e">
        <f ca="1">INDEX(INDIRECT(VLOOKUP(LEFT(BO148,7),CLU!$Z$3:$AH$18,4)),GN148,GR148)</f>
        <v>#N/A</v>
      </c>
      <c r="BY148" s="433" t="e">
        <f ca="1">INDEX(INDIRECT(VLOOKUP(LEFT(BO148,7),CLU!$Z$3:$AH$18,9)),((M148-2)*(6-COUNTBLANK(GT148:GY148)))+GJ148)</f>
        <v>#N/A</v>
      </c>
      <c r="BZ148" s="426" t="e">
        <f t="shared" ca="1" si="349"/>
        <v>#N/A</v>
      </c>
      <c r="CA148" s="424" t="e">
        <f t="shared" ca="1" si="350"/>
        <v>#N/A</v>
      </c>
      <c r="CB148" s="429" t="e">
        <f ca="1">INDEX(INDIRECT(VLOOKUP(LEFT(BO148,7),CLU!$Z$3:$AH$18,2)),GN148,GS148)</f>
        <v>#N/A</v>
      </c>
      <c r="CC148" s="342" t="e">
        <f ca="1">INDEX(INDIRECT(VLOOKUP(LEFT(BO148,7),CLU!$Z$3:$AH$18,3)),GN148,GS148)</f>
        <v>#N/A</v>
      </c>
      <c r="CD148" s="342" t="e">
        <f ca="1">INDEX(INDIRECT(VLOOKUP(LEFT(BO148,7),CLU!$Z$3:$AH$18,4)),GN148,GS148)</f>
        <v>#N/A</v>
      </c>
      <c r="CE148" s="426" t="e">
        <f t="shared" ca="1" si="351"/>
        <v>#N/A</v>
      </c>
      <c r="CF148" s="440">
        <f t="shared" si="352"/>
        <v>0</v>
      </c>
      <c r="CG148" s="431" t="e">
        <f ca="1">INDEX(INDIRECT(VLOOKUP(LEFT(BO148,7),CLU!$Z$3:$AH$18,2)),GQ148,GR148)</f>
        <v>#N/A</v>
      </c>
      <c r="CH148" s="431" t="e">
        <f ca="1">INDEX(INDIRECT(VLOOKUP(LEFT(BO148,7),CLU!$Z$3:$AH$18,3)),GQ148,GR148)</f>
        <v>#N/A</v>
      </c>
      <c r="CI148" s="431" t="e">
        <f ca="1">INDEX(INDIRECT(VLOOKUP(LEFT(BO148,7),CLU!$Z$3:$AH$18,4)),GQ148,GR148)</f>
        <v>#N/A</v>
      </c>
      <c r="CJ148" s="448" t="e">
        <f t="shared" ca="1" si="353"/>
        <v>#N/A</v>
      </c>
      <c r="CK148" s="431" t="e">
        <f t="shared" ca="1" si="354"/>
        <v>#N/A</v>
      </c>
      <c r="CL148" s="440" t="e">
        <f t="shared" ca="1" si="355"/>
        <v>#N/A</v>
      </c>
      <c r="CM148" s="431" t="e">
        <f ca="1">INDEX(INDIRECT(VLOOKUP(LEFT(BO148,7),CLU!$Z$3:$AH$18,2)),GQ148,GS148)</f>
        <v>#N/A</v>
      </c>
      <c r="CN148" s="431" t="e">
        <f ca="1">INDEX(INDIRECT(VLOOKUP(LEFT(BO148,7),CLU!$Z$3:$AH$18,3)),GQ148,GS148)</f>
        <v>#N/A</v>
      </c>
      <c r="CO148" s="431" t="e">
        <f ca="1">INDEX(INDIRECT(VLOOKUP(LEFT(BO148,7),CLU!$Z$3:$AH$18,4)),GQ148,GS148)</f>
        <v>#N/A</v>
      </c>
      <c r="CP148" s="431" t="e">
        <f t="shared" ca="1" si="356"/>
        <v>#N/A</v>
      </c>
      <c r="CQ148" s="440">
        <f t="shared" si="357"/>
        <v>0</v>
      </c>
      <c r="CR148" s="51" t="e">
        <f t="shared" ca="1" si="358"/>
        <v>#N/A</v>
      </c>
      <c r="CS148" s="439" t="e">
        <f t="shared" ca="1" si="359"/>
        <v>#VALUE!</v>
      </c>
      <c r="CT148" s="51" t="e">
        <f t="shared" ca="1" si="360"/>
        <v>#VALUE!</v>
      </c>
      <c r="CU148" s="10"/>
      <c r="CV148" s="51" t="e">
        <f t="shared" ca="1" si="257"/>
        <v>#VALUE!</v>
      </c>
      <c r="CW148" s="51">
        <f t="shared" si="361"/>
        <v>0</v>
      </c>
      <c r="CX148" s="439" t="e">
        <f t="shared" ca="1" si="362"/>
        <v>#VALUE!</v>
      </c>
      <c r="CY148" s="51" t="e">
        <f t="shared" ca="1" si="363"/>
        <v>#VALUE!</v>
      </c>
      <c r="CZ148" s="10"/>
      <c r="DA148" s="51" t="e">
        <f t="shared" ca="1" si="364"/>
        <v>#VALUE!</v>
      </c>
      <c r="DB148" s="347" t="e">
        <f ca="1">INDEX(INDIRECT(VLOOKUP(LEFT(BO148,7),CLU!$Z$3:$AI$18,10)),((M148-2)*(6-COUNTBLANK(GT148:GY148)))+GJ148)*LI148</f>
        <v>#N/A</v>
      </c>
      <c r="DC148" s="347" t="str">
        <f>IF(L148&gt;0,((R148/Worksheet!$I$15)/DB148)^2," ")</f>
        <v xml:space="preserve"> </v>
      </c>
      <c r="DD148" s="602" t="str">
        <f t="shared" si="365"/>
        <v xml:space="preserve"> </v>
      </c>
      <c r="DE148" s="347" t="str">
        <f t="shared" si="258"/>
        <v xml:space="preserve"> </v>
      </c>
      <c r="DF148" s="356" t="e">
        <f ca="1">INDEX(INDIRECT(VLOOKUP(LEFT(BO148,7),CLU!$Z$3:$AH$18,8)),((M148-2)*(6-COUNTBLANK(GT148:GY148)))+GJ148)</f>
        <v>#N/A</v>
      </c>
      <c r="DG148" s="347" t="str">
        <f t="shared" si="259"/>
        <v xml:space="preserve"> </v>
      </c>
      <c r="DH148" s="357" t="str">
        <f t="shared" si="260"/>
        <v xml:space="preserve"> </v>
      </c>
      <c r="DI148" s="355" t="str">
        <f t="shared" si="261"/>
        <v xml:space="preserve"> </v>
      </c>
      <c r="DJ148" s="245" t="e">
        <f ca="1">INDEX(INDIRECT(VLOOKUP(LEFT(BO148,7),CLU!$Z$3:$AH$18,5)),GL148,GK148)</f>
        <v>#N/A</v>
      </c>
      <c r="DK148" s="245" t="e">
        <f ca="1">INDEX(INDIRECT(VLOOKUP(LEFT(BO148,7),CLU!$Z$3:$AH$18,6)),GL148,GK148)</f>
        <v>#N/A</v>
      </c>
      <c r="DL148" s="355">
        <f>(Calculation!R148*0.69143*(Calculation!$BQ$8-Calculation!$F$8))*$S$14</f>
        <v>0</v>
      </c>
      <c r="DM148" s="359" t="e">
        <f t="shared" si="366"/>
        <v>#VALUE!</v>
      </c>
      <c r="DN148" s="611">
        <f t="shared" si="367"/>
        <v>0</v>
      </c>
      <c r="DO148" s="359">
        <f t="shared" si="368"/>
        <v>100</v>
      </c>
      <c r="DP148" s="359">
        <f t="shared" si="369"/>
        <v>0</v>
      </c>
      <c r="DQ148" s="360"/>
      <c r="DR148" s="245" t="e">
        <f ca="1">INDEX(INDIRECT(VLOOKUP(LEFT(BO148,7),CLU!$Z$3:$AH$18,7)),M148-1,1)</f>
        <v>#N/A</v>
      </c>
      <c r="DS148" s="245" t="e">
        <f ca="1">INDEX(INDIRECT(VLOOKUP(LEFT(BO148,7),CLU!$Z$3:$AH$18,7)),M148-1,2)</f>
        <v>#N/A</v>
      </c>
      <c r="DT148" s="245" t="e">
        <f ca="1">INDEX(INDIRECT(VLOOKUP(LEFT(BO148,7),CLU!$Z$3:$AH$18,7)),M148-1,3)</f>
        <v>#N/A</v>
      </c>
      <c r="DU148" s="245" t="e">
        <f ca="1">INDEX(INDIRECT(VLOOKUP(LEFT(BO148,7),CLU!$Z$3:$AH$18,7)),M148-1,4)</f>
        <v>#N/A</v>
      </c>
      <c r="DV148" s="361" t="e">
        <f ca="1">INDEX(INDIRECT(VLOOKUP(LEFT(BO148,7),CLU!$Z$3:$AH$18,7)),M148-1,4+LEFT(DZ148,1)*0.5)</f>
        <v>#N/A</v>
      </c>
      <c r="DW148" s="245" t="e">
        <f ca="1">INDEX(INDIRECT(VLOOKUP(LEFT(BO148,7),CLU!$Z$3:$AH$18,7)),M148-1,8)</f>
        <v>#N/A</v>
      </c>
      <c r="DX148" s="361" t="str">
        <f t="shared" si="262"/>
        <v xml:space="preserve"> </v>
      </c>
      <c r="DY148" s="361" t="str">
        <f t="shared" si="263"/>
        <v xml:space="preserve"> </v>
      </c>
      <c r="DZ148" s="361" t="str">
        <f t="shared" si="264"/>
        <v xml:space="preserve"> </v>
      </c>
      <c r="EA148" s="362" t="str">
        <f t="shared" si="265"/>
        <v xml:space="preserve"> </v>
      </c>
      <c r="EB148" s="624" t="str">
        <f t="shared" si="370"/>
        <v xml:space="preserve"> </v>
      </c>
      <c r="EC148" s="361" t="e">
        <f ca="1">INDEX(INDIRECT(VLOOKUP(LEFT(BO148,7),CLU!$Z$3:$AH$18,7)),M148-1,4+LEFT(DZ148,1)*0.5)</f>
        <v>#N/A</v>
      </c>
      <c r="ED148" s="362" t="str">
        <f t="shared" si="266"/>
        <v xml:space="preserve"> </v>
      </c>
      <c r="EE148" s="361" t="str">
        <f t="shared" si="267"/>
        <v xml:space="preserve"> </v>
      </c>
      <c r="EF148" s="362" t="str">
        <f>IF(L148&gt;0,IF(BR148&gt;0,IF(EE148="2P",IF(Calculation!DZ148="2P",IF(Calculation!DS148=13.75,IF(Calculation!DR148=13,Worksheet!$BD$43,IF(Calculation!DR148=37,Worksheet!$BD$44,Worksheet!$BD$45)),IF(Calculation!DS148=10,IF(Calculation!DR148=18,Worksheet!$BD$29,IF(Calculation!DR148=30,Worksheet!$BD$30,IF(Calculation!DR148=42,Worksheet!$BD$31,IF(Calculation!DR148=54,Worksheet!$BD$32,IF(Calculation!DR148=66,Worksheet!$BD$33,IF(Calculation!DR148=78,Worksheet!$BD$34,IF(Calculation!DR148=90,Worksheet!$BD$35,IF(Calculation!DR148=102,Worksheet!$BD$36,Worksheet!$BD$37)))))))),IF(Calculation!DS148=12.5,IF(Calculation!DR148=18,Worksheet!$BD$38,IF(Calculation!DR148=Worksheet!$BD$39,IF(Calculation!DR148=42,Worksheet!$BD$40,IF(Calculation!DR148=54,Worksheet!$BD$41,Worksheet!$BD$42)))),IF(Calculation!DR148=18,Worksheet!$BD$11,IF(Calculation!DR148=30,Worksheet!$BD$12,IF(Calculation!DR148=42,Worksheet!$BD$13,IF(Calculation!DR148=54,Worksheet!$BD$14,IF(Calculation!DR148=66,Worksheet!$BD$15,IF(Calculation!DR148=78,Worksheet!$BD$16,IF(Calculation!DR148=90,Worksheet!$BD$17,IF(Calculation!DR148=102,Worksheet!$BD$18,Worksheet!$BD$19))))))))))),IF(Calculation!DS148=13.75,IF(Calculation!DR148=13,Worksheet!$BD$78,IF(Calculation!DR148=37,Worksheet!$BD$79,Worksheet!$BD$80)),IF(Calculation!DS148=10,IF(Calculation!DR148=18,Worksheet!$BD$64,IF(Calculation!DR148=30,Worksheet!$BD$65,IF(Calculation!DR148=42,Worksheet!$BD$66,IF(Calculation!DR148=54,Worksheet!$BD$68,IF(Calculation!DR148=66,Worksheet!$BD$68,IF(Calculation!DR148=78,Worksheet!$BD$69,IF(Calculation!DR148=90,Worksheet!$BD$70,IF(Calculation!DR148=102,Worksheet!$BD$71,Worksheet!$BD$72)))))))),IF(Calculation!DS148=12.5,IF(Calculation!DR148=18,Worksheet!$BD$73,IF(Calculation!DR148=Worksheet!$BD$74,IF(Calculation!DR148=42,Worksheet!$BD$75,IF(Calculation!DR148=54,Worksheet!$BD$76,Worksheet!$BD$77)))),IF(Calculation!DR148=18,Worksheet!$BD$55,IF(Calculation!DR148=30,Worksheet!$BD$56,IF(Calculation!DR148=42,Worksheet!$BD$57,IF(Calculation!DR148=54,Worksheet!$BD$58,IF(Calculation!DR148=66,Worksheet!$BD$59,IF(Calculation!DR148=78,Worksheet!$BD$60,IF(Calculation!DR148=90,Worksheet!$BD$61,IF(Calculation!DR148=102,Worksheet!$BD$62,Worksheet!$BD$63)))))))))))),5),0)," ")</f>
        <v xml:space="preserve"> </v>
      </c>
      <c r="EG148" s="361" t="str">
        <f t="shared" si="268"/>
        <v xml:space="preserve"> </v>
      </c>
      <c r="EH148" s="361" t="e">
        <f ca="1">INDEX(INDIRECT(VLOOKUP(LEFT(BO148,7),CLU!$Z$3:$AH$18,7)),M148-1,3+LEFT(DZ148,1))</f>
        <v>#N/A</v>
      </c>
      <c r="EI148" s="362" t="str">
        <f t="shared" si="269"/>
        <v xml:space="preserve"> </v>
      </c>
      <c r="EJ148" s="363" t="str">
        <f t="shared" si="270"/>
        <v xml:space="preserve"> </v>
      </c>
      <c r="EK148" s="363" t="str">
        <f t="shared" si="271"/>
        <v xml:space="preserve"> </v>
      </c>
      <c r="EL148" s="363" t="str">
        <f t="shared" si="272"/>
        <v xml:space="preserve"> </v>
      </c>
      <c r="EM148" s="362" t="str">
        <f>IF(L148&gt;0,IF(BR148&gt;0,(Calculation!T148/ED148)^2,0)," ")</f>
        <v xml:space="preserve"> </v>
      </c>
      <c r="EN148" s="362" t="str">
        <f>IF(L148&gt;0,IF(O148="2 Pipe (Cooling)","N/A",IF(BR148&gt;0,(Calculation!U148/EI148)^2,0))," ")</f>
        <v xml:space="preserve"> </v>
      </c>
      <c r="EO148" s="361" t="str">
        <f t="shared" si="273"/>
        <v/>
      </c>
      <c r="EP148" s="361" t="str">
        <f t="shared" si="274"/>
        <v/>
      </c>
      <c r="EQ148" s="361" t="str">
        <f t="shared" si="275"/>
        <v/>
      </c>
      <c r="ER148" s="361" t="str">
        <f t="shared" si="276"/>
        <v/>
      </c>
      <c r="ES148" s="361" t="str">
        <f t="shared" si="277"/>
        <v/>
      </c>
      <c r="ET148" s="361" t="str">
        <f t="shared" si="278"/>
        <v/>
      </c>
      <c r="EU148" s="361" t="str">
        <f t="shared" si="279"/>
        <v/>
      </c>
      <c r="EV148" s="361" t="str">
        <f t="shared" si="280"/>
        <v/>
      </c>
      <c r="EW148" s="361" t="str">
        <f t="shared" si="281"/>
        <v/>
      </c>
      <c r="EX148" s="361" t="str">
        <f t="shared" si="371"/>
        <v>1 slot, 1 way</v>
      </c>
      <c r="EY148" s="361" t="str">
        <f t="shared" si="372"/>
        <v xml:space="preserve"> </v>
      </c>
      <c r="EZ148" s="361" t="str">
        <f t="shared" si="373"/>
        <v xml:space="preserve"> </v>
      </c>
      <c r="FA148" s="361" t="str">
        <f t="shared" si="374"/>
        <v xml:space="preserve"> </v>
      </c>
      <c r="FB148" s="361" t="str">
        <f t="shared" si="375"/>
        <v xml:space="preserve"> </v>
      </c>
      <c r="FC148" s="361"/>
      <c r="FD148" s="361" t="str">
        <f>IF(J148&gt;0,IF(Calculation!R148&lt;=70,4,IF(Calculation!R148&lt;=110,5,IF(Calculation!R148&lt;=160,6,IF(Calculation!R148&lt;=300,8,"10 EO")))),"")</f>
        <v/>
      </c>
      <c r="FE148" s="361" t="str">
        <f t="shared" si="376"/>
        <v/>
      </c>
      <c r="FF148" s="361" t="str">
        <f t="shared" si="377"/>
        <v/>
      </c>
      <c r="FG148" s="361" t="e">
        <f t="shared" si="282"/>
        <v>#N/A</v>
      </c>
      <c r="FH148" s="361">
        <f t="shared" si="283"/>
        <v>0</v>
      </c>
      <c r="FI148" s="361" t="e">
        <f t="shared" si="284"/>
        <v>#DIV/0!</v>
      </c>
      <c r="FJ148" s="361"/>
      <c r="FK148" s="356" t="e">
        <f t="shared" si="285"/>
        <v>#VALUE!</v>
      </c>
      <c r="FL148" s="361"/>
      <c r="FM148" s="361"/>
      <c r="FN148" s="362" t="str">
        <f t="shared" si="378"/>
        <v xml:space="preserve"> </v>
      </c>
      <c r="FO148" s="362" t="str">
        <f t="shared" si="379"/>
        <v xml:space="preserve"> </v>
      </c>
      <c r="FP148" s="362">
        <f t="shared" si="380"/>
        <v>0</v>
      </c>
      <c r="FQ148" s="361">
        <f t="shared" si="286"/>
        <v>0</v>
      </c>
      <c r="FR148" s="362" t="str">
        <f>IF(L148&gt;0,IF(J148="CBAL2",Worksheet!$P$67,IF(J148="CBE2-24",Worksheet!$Q$67,IF(J148="CBAM",Worksheet!$R$67,IF(J148="CBLV",Worksheet!$S$67,IF(J148="CBAB",Worksheet!$U$67,IF(J148="CBAW",Worksheet!$X$67,IF(J148="CBE2-12",Worksheet!$Y$67,IF(J148="CBAL2",Worksheet!$Z$67,"N/A"))))))))," ")</f>
        <v xml:space="preserve"> </v>
      </c>
      <c r="FS148" s="362" t="str">
        <f>IF(L148&gt;0,IF(J148="CBAL2",Worksheet!$P$68,IF(J148="CBE2-24",Worksheet!$Q$68,IF(J148="CBAM",Worksheet!$R$68,IF(J148="CBLV",Worksheet!$S$68,IF(J148="CBAB",Worksheet!$U$68,IF(J148="CBAW",Worksheet!$X$68,IF(J148="CBE2-12",Worksheet!$Y$68,IF(J148="CBAL2",Worksheet!$Z$68,"N/A"))))))))," ")</f>
        <v xml:space="preserve"> </v>
      </c>
      <c r="FT148" s="362" t="str">
        <f>IF(L148&gt;0,IF(J148="CBAL2",Worksheet!$P$69,IF(J148="CBE2-24",Worksheet!$Q$69,IF(J148="CBAM",Worksheet!$R$69,IF(J148="CBLV",Worksheet!$S$69,IF(J148="CBAB",Worksheet!$U$69,IF(J148="CBAW",Worksheet!$X$69,IF(J148="CBE2-12",Worksheet!$Y$69,IF(J148="CBAL2",Worksheet!$Z$69,"N/A"))))))))," ")</f>
        <v xml:space="preserve"> </v>
      </c>
      <c r="FU148" s="361" t="str">
        <f t="shared" si="381"/>
        <v xml:space="preserve"> </v>
      </c>
      <c r="FV148" s="362" t="str">
        <f t="shared" si="382"/>
        <v xml:space="preserve"> </v>
      </c>
      <c r="FW148" s="362" t="str">
        <f t="shared" si="383"/>
        <v xml:space="preserve"> </v>
      </c>
      <c r="FX148" s="362" t="str">
        <f t="shared" si="384"/>
        <v xml:space="preserve"> </v>
      </c>
      <c r="FY148" s="355" t="str">
        <f t="shared" si="385"/>
        <v xml:space="preserve"> </v>
      </c>
      <c r="FZ148" s="361" t="str">
        <f t="shared" si="386"/>
        <v xml:space="preserve"> </v>
      </c>
      <c r="GA148" s="347" t="str">
        <f t="shared" si="387"/>
        <v xml:space="preserve"> </v>
      </c>
      <c r="GB148" s="355" t="str">
        <f t="shared" si="388"/>
        <v xml:space="preserve"> </v>
      </c>
      <c r="GC148" s="328" t="str">
        <f t="shared" si="389"/>
        <v xml:space="preserve"> </v>
      </c>
      <c r="GD148" s="361" t="str">
        <f t="shared" si="390"/>
        <v xml:space="preserve"> </v>
      </c>
      <c r="GE148" s="347" t="str">
        <f t="shared" si="391"/>
        <v xml:space="preserve"> </v>
      </c>
      <c r="GF148" s="361" t="str">
        <f t="shared" si="392"/>
        <v xml:space="preserve"> </v>
      </c>
      <c r="GG148" s="347" t="str">
        <f t="shared" si="393"/>
        <v xml:space="preserve"> </v>
      </c>
      <c r="GH148" s="364">
        <f t="shared" si="287"/>
        <v>0</v>
      </c>
      <c r="GI148" s="362">
        <f t="shared" si="394"/>
        <v>2</v>
      </c>
      <c r="GJ148" s="433" t="e">
        <f>IF(6-COUNTBLANK(GT148:GY148)=4,MATCH(MID(BO148,9,3),CLU!$H$16:$K$16),MATCH(MID(BO148,9,3),CLU!$H$13:$M$13))</f>
        <v>#N/A</v>
      </c>
      <c r="GK148" s="433" t="e">
        <f>HLOOKUP(VALUE(BP148),CLU!$H$9:$M$10,2)</f>
        <v>#VALUE!</v>
      </c>
      <c r="GL148" s="433" t="e">
        <f ca="1">MATCH(BU148,CLU!$H$2:$V$2,1)</f>
        <v>#VALUE!</v>
      </c>
      <c r="GM148" s="433" t="e">
        <f t="shared" ca="1" si="395"/>
        <v>#VALUE!</v>
      </c>
      <c r="GN148" s="433" t="e">
        <f t="shared" ca="1" si="396"/>
        <v>#VALUE!</v>
      </c>
      <c r="GO148" s="433" t="e">
        <f t="shared" ca="1" si="397"/>
        <v>#VALUE!</v>
      </c>
      <c r="GP148" s="433" t="e">
        <f t="shared" ca="1" si="398"/>
        <v>#VALUE!</v>
      </c>
      <c r="GQ148" s="433" t="e">
        <f t="shared" ca="1" si="399"/>
        <v>#VALUE!</v>
      </c>
      <c r="GR148" s="433" t="e">
        <f ca="1">MATCH(T148,INDIRECT(VLOOKUP(CONCATENATE(LEFT(BO148,7),"-",MID(BO148,13,1)),CLU!$P$3:$Q$16,2)),1)</f>
        <v>#N/A</v>
      </c>
      <c r="GS148" s="433" t="e">
        <f ca="1">MATCH(U148,INDIRECT(VLOOKUP(CONCATENATE(LEFT(BO148,7),"-",MID(BO148,13,1)),CLU!$P$3:$Q$16,2)),1)</f>
        <v>#N/A</v>
      </c>
      <c r="GT148" s="347" t="s">
        <v>512</v>
      </c>
      <c r="GU148" s="97" t="s">
        <v>513</v>
      </c>
      <c r="GV148" s="97" t="str">
        <f t="shared" si="400"/>
        <v>M23</v>
      </c>
      <c r="GW148" s="97" t="str">
        <f t="shared" si="401"/>
        <v>M31</v>
      </c>
      <c r="GX148" s="97" t="str">
        <f t="shared" si="402"/>
        <v/>
      </c>
      <c r="GY148" s="97" t="str">
        <f t="shared" si="403"/>
        <v/>
      </c>
      <c r="GZ148" s="481"/>
      <c r="HA148" s="288"/>
      <c r="HB148" s="240"/>
      <c r="HC148" s="240"/>
      <c r="HD148" s="240"/>
      <c r="HE148" s="240"/>
      <c r="HF148" s="240"/>
      <c r="HG148" s="240"/>
      <c r="HH148" s="240"/>
      <c r="HI148" s="240"/>
      <c r="HJ148" s="240"/>
      <c r="HK148" s="240"/>
      <c r="HL148" s="240"/>
      <c r="HM148" s="240"/>
      <c r="HN148" s="240"/>
      <c r="HO148" s="240"/>
      <c r="HP148" s="240"/>
      <c r="HQ148" s="240"/>
      <c r="HR148" s="240"/>
      <c r="HS148" s="240"/>
      <c r="HT148" s="240"/>
      <c r="HU148" s="240"/>
      <c r="HV148" s="245"/>
      <c r="HW148" s="245" t="b">
        <v>1</v>
      </c>
      <c r="HX148" s="245" t="str">
        <f t="shared" si="288"/>
        <v/>
      </c>
      <c r="HY148" s="245" t="e">
        <f t="shared" si="289"/>
        <v>#DIV/0!</v>
      </c>
      <c r="HZ148" s="245" t="e">
        <f t="shared" si="290"/>
        <v>#DIV/0!</v>
      </c>
      <c r="IA148" s="245">
        <f t="shared" si="291"/>
        <v>0</v>
      </c>
      <c r="IB148" s="245"/>
      <c r="IC148" t="b">
        <f t="shared" si="292"/>
        <v>1</v>
      </c>
      <c r="ID148" s="245" t="b">
        <f t="shared" si="293"/>
        <v>1</v>
      </c>
      <c r="IE148" s="245" t="b">
        <f t="shared" si="294"/>
        <v>1</v>
      </c>
      <c r="IF148" s="245" t="b">
        <f t="shared" si="295"/>
        <v>0</v>
      </c>
      <c r="IG148" s="245" t="b">
        <f t="shared" si="296"/>
        <v>1</v>
      </c>
      <c r="IH148" s="245" t="b">
        <f t="shared" si="297"/>
        <v>1</v>
      </c>
      <c r="II148" s="245">
        <f t="shared" si="404"/>
        <v>0</v>
      </c>
      <c r="IJ148" s="245" t="e">
        <f t="shared" si="298"/>
        <v>#VALUE!</v>
      </c>
      <c r="IK148" s="245" t="e">
        <f t="shared" si="299"/>
        <v>#VALUE!</v>
      </c>
      <c r="IL148" s="245"/>
      <c r="IM148" s="245" t="e">
        <f t="shared" si="405"/>
        <v>#N/A</v>
      </c>
      <c r="IN148" s="245" t="e">
        <f t="shared" si="406"/>
        <v>#N/A</v>
      </c>
      <c r="IO148" s="245"/>
      <c r="IP148" s="245"/>
      <c r="IQ148" s="245" t="str">
        <f t="shared" si="300"/>
        <v/>
      </c>
      <c r="IR148" s="245" t="str">
        <f>IF(J148="","",VLOOKUP(J148,Worksheet!$R$4:$T$14,2))</f>
        <v/>
      </c>
      <c r="IS148" s="245"/>
      <c r="IT148" s="245">
        <f t="shared" si="301"/>
        <v>0</v>
      </c>
      <c r="IU148" s="245">
        <f t="shared" si="302"/>
        <v>0</v>
      </c>
      <c r="IV148" s="245">
        <f t="shared" si="303"/>
        <v>0</v>
      </c>
      <c r="IW148" s="245">
        <f t="shared" si="304"/>
        <v>0</v>
      </c>
      <c r="IX148" s="245">
        <f t="shared" si="407"/>
        <v>0</v>
      </c>
      <c r="IY148" s="245">
        <f t="shared" si="305"/>
        <v>0</v>
      </c>
      <c r="IZ148" s="245">
        <f t="shared" si="306"/>
        <v>0</v>
      </c>
      <c r="JA148">
        <f t="shared" si="307"/>
        <v>0</v>
      </c>
      <c r="JB148">
        <f t="shared" si="408"/>
        <v>0</v>
      </c>
      <c r="JC148">
        <f t="shared" si="308"/>
        <v>0</v>
      </c>
      <c r="JD148">
        <f t="shared" si="309"/>
        <v>0</v>
      </c>
      <c r="JE148">
        <f t="shared" si="310"/>
        <v>0</v>
      </c>
      <c r="JF148">
        <f t="shared" si="311"/>
        <v>0</v>
      </c>
      <c r="JG148">
        <f t="shared" si="312"/>
        <v>0</v>
      </c>
      <c r="JH148">
        <f t="shared" si="313"/>
        <v>0</v>
      </c>
      <c r="JI148">
        <f t="shared" si="314"/>
        <v>0</v>
      </c>
      <c r="JJ148" s="447">
        <f t="shared" si="315"/>
        <v>0</v>
      </c>
      <c r="JK148" s="447">
        <f t="shared" si="316"/>
        <v>0</v>
      </c>
      <c r="JL148">
        <f t="shared" si="317"/>
        <v>0</v>
      </c>
      <c r="JM148" s="245" t="str">
        <f>IFERROR(VLOOKUP(MATCH(BN148,#REF!,0),#REF!,7),"")</f>
        <v/>
      </c>
      <c r="JN148" t="e">
        <f>HLOOKUP(LEFT(BO148,7),Discharge_Area,MATCH(JO148,LookUps!$B$130:$B$149,1)+2)</f>
        <v>#N/A</v>
      </c>
      <c r="JO148" t="str">
        <f t="shared" si="318"/>
        <v>- S</v>
      </c>
      <c r="JP148" t="e">
        <f>HLOOKUP(LEFT(BO148,7),Discharge_Area,MATCH(JO148,LookUps!$B$130:$B$149,1)+2)</f>
        <v>#N/A</v>
      </c>
      <c r="JQ148" t="e">
        <f t="shared" si="319"/>
        <v>#N/A</v>
      </c>
      <c r="JR148" t="e">
        <f t="shared" si="320"/>
        <v>#N/A</v>
      </c>
      <c r="JS148" t="e">
        <f t="shared" si="321"/>
        <v>#N/A</v>
      </c>
      <c r="JT148" s="532" t="str">
        <f t="shared" si="322"/>
        <v xml:space="preserve"> </v>
      </c>
      <c r="JU148" s="532" t="str">
        <f t="shared" si="323"/>
        <v xml:space="preserve"> </v>
      </c>
      <c r="JV148" s="533" t="str">
        <f t="shared" si="324"/>
        <v xml:space="preserve"> </v>
      </c>
      <c r="JW148" s="534">
        <f t="shared" si="325"/>
        <v>0</v>
      </c>
      <c r="JX148" s="535" t="str">
        <f t="shared" si="409"/>
        <v xml:space="preserve"> </v>
      </c>
      <c r="JY148" s="535" t="str">
        <f t="shared" si="410"/>
        <v xml:space="preserve"> </v>
      </c>
      <c r="JZ148" s="535" t="str">
        <f t="shared" si="411"/>
        <v xml:space="preserve"> </v>
      </c>
      <c r="KA148" s="536" t="str">
        <f t="shared" si="326"/>
        <v xml:space="preserve"> </v>
      </c>
      <c r="KB148" s="535" t="e">
        <f t="shared" si="412"/>
        <v>#VALUE!</v>
      </c>
      <c r="KC148" s="535" t="str">
        <f t="shared" si="327"/>
        <v/>
      </c>
      <c r="KD148" s="537" t="str">
        <f t="shared" si="413"/>
        <v xml:space="preserve"> </v>
      </c>
      <c r="KE148" s="537" t="str">
        <f t="shared" si="414"/>
        <v xml:space="preserve"> </v>
      </c>
      <c r="KF148" s="534">
        <f t="shared" si="328"/>
        <v>0</v>
      </c>
      <c r="KG148" s="535" t="str">
        <f t="shared" si="329"/>
        <v xml:space="preserve"> </v>
      </c>
      <c r="KH148" s="535" t="str">
        <f t="shared" si="330"/>
        <v xml:space="preserve"> </v>
      </c>
      <c r="KI148" s="535" t="str">
        <f t="shared" si="331"/>
        <v xml:space="preserve"> </v>
      </c>
      <c r="KJ148" s="536" t="str">
        <f t="shared" si="332"/>
        <v xml:space="preserve"> </v>
      </c>
      <c r="KK148" s="535" t="str">
        <f t="shared" si="415"/>
        <v xml:space="preserve"> </v>
      </c>
      <c r="KL148" s="535" t="str">
        <f t="shared" si="416"/>
        <v xml:space="preserve"> </v>
      </c>
      <c r="KM148" s="537" t="str">
        <f t="shared" si="333"/>
        <v xml:space="preserve"> </v>
      </c>
      <c r="KN148" s="537" t="str">
        <f t="shared" si="417"/>
        <v xml:space="preserve"> </v>
      </c>
      <c r="KP148">
        <f t="shared" si="334"/>
        <v>0</v>
      </c>
      <c r="LA148" t="e">
        <f t="shared" si="335"/>
        <v>#VALUE!</v>
      </c>
      <c r="LB148" t="e">
        <f t="shared" si="336"/>
        <v>#VALUE!</v>
      </c>
      <c r="LC148" t="e">
        <f t="shared" si="337"/>
        <v>#VALUE!</v>
      </c>
      <c r="LD148" t="e">
        <f t="shared" si="338"/>
        <v>#VALUE!</v>
      </c>
      <c r="LE148" t="e">
        <f t="shared" si="418"/>
        <v>#VALUE!</v>
      </c>
      <c r="LF148">
        <f t="shared" si="339"/>
        <v>0</v>
      </c>
      <c r="LG148" t="e">
        <f t="shared" si="419"/>
        <v>#VALUE!</v>
      </c>
      <c r="LH148" t="str">
        <f t="shared" si="340"/>
        <v xml:space="preserve"> </v>
      </c>
      <c r="LI148">
        <f t="shared" si="420"/>
        <v>1</v>
      </c>
    </row>
    <row r="149" spans="2:321" ht="15" customHeight="1">
      <c r="B149" s="311"/>
      <c r="C149" s="311"/>
      <c r="D149" s="312"/>
      <c r="E149" s="311"/>
      <c r="F149" s="312"/>
      <c r="G149" s="311"/>
      <c r="H149" s="311"/>
      <c r="I149" s="37"/>
      <c r="J149" s="311"/>
      <c r="K149" s="305" t="str">
        <f t="shared" si="341"/>
        <v/>
      </c>
      <c r="L149" s="313"/>
      <c r="M149" s="312"/>
      <c r="N149" s="311"/>
      <c r="O149" s="312"/>
      <c r="P149" s="311"/>
      <c r="Q149" s="305" t="str">
        <f t="shared" si="342"/>
        <v/>
      </c>
      <c r="R149" s="314"/>
      <c r="S149" s="450" t="str">
        <f t="shared" si="225"/>
        <v/>
      </c>
      <c r="T149" s="315"/>
      <c r="U149" s="315"/>
      <c r="W149" s="149" t="str">
        <f t="shared" si="226"/>
        <v xml:space="preserve"> </v>
      </c>
      <c r="X149" s="243" t="str">
        <f t="shared" si="227"/>
        <v xml:space="preserve"> </v>
      </c>
      <c r="Y149" s="150" t="str">
        <f t="shared" si="228"/>
        <v/>
      </c>
      <c r="Z149" s="149" t="str">
        <f t="shared" si="229"/>
        <v xml:space="preserve"> </v>
      </c>
      <c r="AA149" s="98" t="str">
        <f t="shared" si="230"/>
        <v xml:space="preserve"> </v>
      </c>
      <c r="AB149" s="153" t="str">
        <f t="shared" si="231"/>
        <v xml:space="preserve"> </v>
      </c>
      <c r="AC149" s="153" t="str">
        <f t="shared" si="232"/>
        <v xml:space="preserve"> </v>
      </c>
      <c r="AD149" s="148" t="str">
        <f t="shared" si="233"/>
        <v/>
      </c>
      <c r="AE149" s="149" t="str">
        <f t="shared" si="234"/>
        <v/>
      </c>
      <c r="AF149" s="151" t="str">
        <f t="shared" si="235"/>
        <v xml:space="preserve"> </v>
      </c>
      <c r="AG149" s="153" t="str">
        <f t="shared" si="236"/>
        <v xml:space="preserve"> </v>
      </c>
      <c r="AH149" s="98" t="str">
        <f t="shared" si="237"/>
        <v xml:space="preserve"> </v>
      </c>
      <c r="AI149" s="149" t="str">
        <f t="shared" si="238"/>
        <v xml:space="preserve"> </v>
      </c>
      <c r="AK149" s="144" t="str">
        <f t="shared" si="239"/>
        <v xml:space="preserve"> </v>
      </c>
      <c r="AL149" s="144"/>
      <c r="AM149" s="243" t="str">
        <f t="shared" si="240"/>
        <v xml:space="preserve"> </v>
      </c>
      <c r="AN149" s="149" t="str">
        <f t="shared" si="343"/>
        <v xml:space="preserve"> </v>
      </c>
      <c r="AO149" s="144" t="str">
        <f>IF(JB149&gt;0,IF(GI149=10,-R149*1.085*(Calculation!$F$6-Calculation!$F$13)*$S$14," "),"")</f>
        <v/>
      </c>
      <c r="AP149" s="144" t="str">
        <f t="shared" si="241"/>
        <v/>
      </c>
      <c r="AQ149" s="56" t="str">
        <f t="shared" si="242"/>
        <v/>
      </c>
      <c r="AR149" s="144" t="str">
        <f t="shared" si="243"/>
        <v/>
      </c>
      <c r="AS149" s="176" t="str">
        <f t="shared" si="244"/>
        <v/>
      </c>
      <c r="AT149" s="176" t="str">
        <f t="shared" si="344"/>
        <v xml:space="preserve"> </v>
      </c>
      <c r="AU149" s="176" t="str">
        <f t="shared" si="245"/>
        <v/>
      </c>
      <c r="AV149" s="177" t="str">
        <f t="shared" si="246"/>
        <v xml:space="preserve"> </v>
      </c>
      <c r="AW149" s="144" t="str">
        <f t="shared" si="247"/>
        <v xml:space="preserve"> </v>
      </c>
      <c r="AX149" s="144" t="str">
        <f t="shared" si="248"/>
        <v xml:space="preserve"> </v>
      </c>
      <c r="AY149" s="152" t="str">
        <f t="shared" si="249"/>
        <v xml:space="preserve"> </v>
      </c>
      <c r="AZ149" s="246" t="str">
        <f t="shared" si="250"/>
        <v/>
      </c>
      <c r="BA149" s="176" t="str">
        <f t="shared" si="251"/>
        <v xml:space="preserve"> </v>
      </c>
      <c r="BB149" s="176" t="str">
        <f t="shared" si="252"/>
        <v xml:space="preserve"> </v>
      </c>
      <c r="BC149" s="195"/>
      <c r="BD149" s="316"/>
      <c r="BE149" s="317"/>
      <c r="BF149" s="318"/>
      <c r="BG149" s="318"/>
      <c r="BH149" s="144" t="str">
        <f t="shared" si="421"/>
        <v xml:space="preserve"> </v>
      </c>
      <c r="BI149" s="176" t="str">
        <f t="shared" si="253"/>
        <v/>
      </c>
      <c r="BJ149" s="144" t="str">
        <f t="shared" si="422"/>
        <v/>
      </c>
      <c r="BK149" s="246" t="str">
        <f t="shared" si="254"/>
        <v/>
      </c>
      <c r="BL149" s="144" t="str">
        <f t="shared" si="423"/>
        <v/>
      </c>
      <c r="BM149" s="246" t="str">
        <f t="shared" si="255"/>
        <v/>
      </c>
      <c r="BN149" s="337" t="str">
        <f t="shared" si="345"/>
        <v/>
      </c>
      <c r="BO149" s="371" t="str">
        <f t="shared" si="346"/>
        <v/>
      </c>
      <c r="BP149" s="328" t="str">
        <f t="shared" si="424"/>
        <v xml:space="preserve"> </v>
      </c>
      <c r="BQ149" s="347" t="str">
        <f t="shared" si="347"/>
        <v xml:space="preserve"> </v>
      </c>
      <c r="BR149" s="353" t="str">
        <f t="shared" si="348"/>
        <v xml:space="preserve"> </v>
      </c>
      <c r="BS149" s="626" t="str">
        <f>IF(L149&gt;0,IF(Calculation!P149="M13",BR149*3.1416*(0.134^2)/(4*144),IF(Calculation!P149="M17",BR149*3.1416*(0.165^2)/(4*144),IF(Calculation!P149="M20",BR149*3.1416*(0.198^2)/(4*144),IF(Calculation!P149="M23",BR149*3.1416*(0.228^2)/(4*144),IF(Calculation!P149="M27",BR149*3.1416*(0.269^2)/(4*144),BR149*3.1416*(0.307^2)/(4*144))))))," ")</f>
        <v xml:space="preserve"> </v>
      </c>
      <c r="BT149" s="353" t="str">
        <f>IF(L149&gt;0,IF(BS149&gt;0,R149/Calculation!BS149,0)," ")</f>
        <v xml:space="preserve"> </v>
      </c>
      <c r="BU149" s="438" t="e">
        <f t="shared" ca="1" si="256"/>
        <v>#VALUE!</v>
      </c>
      <c r="BV149" s="449" t="e">
        <f ca="1">INDEX(INDIRECT(VLOOKUP(LEFT(BO149,7),CLU!$Z$3:$AH$18,2)),GN149,GR149)</f>
        <v>#N/A</v>
      </c>
      <c r="BW149" s="433" t="e">
        <f ca="1">INDEX(INDIRECT(VLOOKUP(LEFT(BO149,7),CLU!$Z$3:$AH$18,3)),GN149,GR149)</f>
        <v>#N/A</v>
      </c>
      <c r="BX149" s="433" t="e">
        <f ca="1">INDEX(INDIRECT(VLOOKUP(LEFT(BO149,7),CLU!$Z$3:$AH$18,4)),GN149,GR149)</f>
        <v>#N/A</v>
      </c>
      <c r="BY149" s="433" t="e">
        <f ca="1">INDEX(INDIRECT(VLOOKUP(LEFT(BO149,7),CLU!$Z$3:$AH$18,9)),((M149-2)*(6-COUNTBLANK(GT149:GY149)))+GJ149)</f>
        <v>#N/A</v>
      </c>
      <c r="BZ149" s="426" t="e">
        <f t="shared" ca="1" si="349"/>
        <v>#N/A</v>
      </c>
      <c r="CA149" s="424" t="e">
        <f t="shared" ca="1" si="350"/>
        <v>#N/A</v>
      </c>
      <c r="CB149" s="429" t="e">
        <f ca="1">INDEX(INDIRECT(VLOOKUP(LEFT(BO149,7),CLU!$Z$3:$AH$18,2)),GN149,GS149)</f>
        <v>#N/A</v>
      </c>
      <c r="CC149" s="342" t="e">
        <f ca="1">INDEX(INDIRECT(VLOOKUP(LEFT(BO149,7),CLU!$Z$3:$AH$18,3)),GN149,GS149)</f>
        <v>#N/A</v>
      </c>
      <c r="CD149" s="342" t="e">
        <f ca="1">INDEX(INDIRECT(VLOOKUP(LEFT(BO149,7),CLU!$Z$3:$AH$18,4)),GN149,GS149)</f>
        <v>#N/A</v>
      </c>
      <c r="CE149" s="426" t="e">
        <f t="shared" ca="1" si="351"/>
        <v>#N/A</v>
      </c>
      <c r="CF149" s="440">
        <f t="shared" si="352"/>
        <v>0</v>
      </c>
      <c r="CG149" s="431" t="e">
        <f ca="1">INDEX(INDIRECT(VLOOKUP(LEFT(BO149,7),CLU!$Z$3:$AH$18,2)),GQ149,GR149)</f>
        <v>#N/A</v>
      </c>
      <c r="CH149" s="431" t="e">
        <f ca="1">INDEX(INDIRECT(VLOOKUP(LEFT(BO149,7),CLU!$Z$3:$AH$18,3)),GQ149,GR149)</f>
        <v>#N/A</v>
      </c>
      <c r="CI149" s="431" t="e">
        <f ca="1">INDEX(INDIRECT(VLOOKUP(LEFT(BO149,7),CLU!$Z$3:$AH$18,4)),GQ149,GR149)</f>
        <v>#N/A</v>
      </c>
      <c r="CJ149" s="448" t="e">
        <f t="shared" ca="1" si="353"/>
        <v>#N/A</v>
      </c>
      <c r="CK149" s="431" t="e">
        <f t="shared" ca="1" si="354"/>
        <v>#N/A</v>
      </c>
      <c r="CL149" s="440" t="e">
        <f t="shared" ca="1" si="355"/>
        <v>#N/A</v>
      </c>
      <c r="CM149" s="431" t="e">
        <f ca="1">INDEX(INDIRECT(VLOOKUP(LEFT(BO149,7),CLU!$Z$3:$AH$18,2)),GQ149,GS149)</f>
        <v>#N/A</v>
      </c>
      <c r="CN149" s="431" t="e">
        <f ca="1">INDEX(INDIRECT(VLOOKUP(LEFT(BO149,7),CLU!$Z$3:$AH$18,3)),GQ149,GS149)</f>
        <v>#N/A</v>
      </c>
      <c r="CO149" s="431" t="e">
        <f ca="1">INDEX(INDIRECT(VLOOKUP(LEFT(BO149,7),CLU!$Z$3:$AH$18,4)),GQ149,GS149)</f>
        <v>#N/A</v>
      </c>
      <c r="CP149" s="431" t="e">
        <f t="shared" ca="1" si="356"/>
        <v>#N/A</v>
      </c>
      <c r="CQ149" s="440">
        <f t="shared" si="357"/>
        <v>0</v>
      </c>
      <c r="CR149" s="51" t="e">
        <f t="shared" ca="1" si="358"/>
        <v>#N/A</v>
      </c>
      <c r="CS149" s="439" t="e">
        <f t="shared" ca="1" si="359"/>
        <v>#VALUE!</v>
      </c>
      <c r="CT149" s="51" t="e">
        <f t="shared" ca="1" si="360"/>
        <v>#VALUE!</v>
      </c>
      <c r="CU149" s="10"/>
      <c r="CV149" s="51" t="e">
        <f t="shared" ca="1" si="257"/>
        <v>#VALUE!</v>
      </c>
      <c r="CW149" s="51">
        <f t="shared" si="361"/>
        <v>0</v>
      </c>
      <c r="CX149" s="439" t="e">
        <f t="shared" ca="1" si="362"/>
        <v>#VALUE!</v>
      </c>
      <c r="CY149" s="51" t="e">
        <f t="shared" ca="1" si="363"/>
        <v>#VALUE!</v>
      </c>
      <c r="CZ149" s="10"/>
      <c r="DA149" s="51" t="e">
        <f t="shared" ca="1" si="364"/>
        <v>#VALUE!</v>
      </c>
      <c r="DB149" s="347" t="e">
        <f ca="1">INDEX(INDIRECT(VLOOKUP(LEFT(BO149,7),CLU!$Z$3:$AI$18,10)),((M149-2)*(6-COUNTBLANK(GT149:GY149)))+GJ149)*LI149</f>
        <v>#N/A</v>
      </c>
      <c r="DC149" s="347" t="str">
        <f>IF(L149&gt;0,((R149/Worksheet!$I$15)/DB149)^2," ")</f>
        <v xml:space="preserve"> </v>
      </c>
      <c r="DD149" s="602" t="str">
        <f t="shared" si="365"/>
        <v xml:space="preserve"> </v>
      </c>
      <c r="DE149" s="347" t="str">
        <f t="shared" si="258"/>
        <v xml:space="preserve"> </v>
      </c>
      <c r="DF149" s="356" t="e">
        <f ca="1">INDEX(INDIRECT(VLOOKUP(LEFT(BO149,7),CLU!$Z$3:$AH$18,8)),((M149-2)*(6-COUNTBLANK(GT149:GY149)))+GJ149)</f>
        <v>#N/A</v>
      </c>
      <c r="DG149" s="347" t="str">
        <f t="shared" si="259"/>
        <v xml:space="preserve"> </v>
      </c>
      <c r="DH149" s="357" t="str">
        <f t="shared" si="260"/>
        <v xml:space="preserve"> </v>
      </c>
      <c r="DI149" s="355" t="str">
        <f t="shared" si="261"/>
        <v xml:space="preserve"> </v>
      </c>
      <c r="DJ149" s="245" t="e">
        <f ca="1">INDEX(INDIRECT(VLOOKUP(LEFT(BO149,7),CLU!$Z$3:$AH$18,5)),GL149,GK149)</f>
        <v>#N/A</v>
      </c>
      <c r="DK149" s="245" t="e">
        <f ca="1">INDEX(INDIRECT(VLOOKUP(LEFT(BO149,7),CLU!$Z$3:$AH$18,6)),GL149,GK149)</f>
        <v>#N/A</v>
      </c>
      <c r="DL149" s="355">
        <f>(Calculation!R149*0.69143*(Calculation!$BQ$8-Calculation!$F$8))*$S$14</f>
        <v>0</v>
      </c>
      <c r="DM149" s="359" t="e">
        <f t="shared" si="366"/>
        <v>#VALUE!</v>
      </c>
      <c r="DN149" s="611">
        <f t="shared" si="367"/>
        <v>0</v>
      </c>
      <c r="DO149" s="359">
        <f t="shared" si="368"/>
        <v>100</v>
      </c>
      <c r="DP149" s="359">
        <f t="shared" si="369"/>
        <v>0</v>
      </c>
      <c r="DQ149" s="360"/>
      <c r="DR149" s="245" t="e">
        <f ca="1">INDEX(INDIRECT(VLOOKUP(LEFT(BO149,7),CLU!$Z$3:$AH$18,7)),M149-1,1)</f>
        <v>#N/A</v>
      </c>
      <c r="DS149" s="245" t="e">
        <f ca="1">INDEX(INDIRECT(VLOOKUP(LEFT(BO149,7),CLU!$Z$3:$AH$18,7)),M149-1,2)</f>
        <v>#N/A</v>
      </c>
      <c r="DT149" s="245" t="e">
        <f ca="1">INDEX(INDIRECT(VLOOKUP(LEFT(BO149,7),CLU!$Z$3:$AH$18,7)),M149-1,3)</f>
        <v>#N/A</v>
      </c>
      <c r="DU149" s="245" t="e">
        <f ca="1">INDEX(INDIRECT(VLOOKUP(LEFT(BO149,7),CLU!$Z$3:$AH$18,7)),M149-1,4)</f>
        <v>#N/A</v>
      </c>
      <c r="DV149" s="361" t="e">
        <f ca="1">INDEX(INDIRECT(VLOOKUP(LEFT(BO149,7),CLU!$Z$3:$AH$18,7)),M149-1,4+LEFT(DZ149,1)*0.5)</f>
        <v>#N/A</v>
      </c>
      <c r="DW149" s="245" t="e">
        <f ca="1">INDEX(INDIRECT(VLOOKUP(LEFT(BO149,7),CLU!$Z$3:$AH$18,7)),M149-1,8)</f>
        <v>#N/A</v>
      </c>
      <c r="DX149" s="361" t="str">
        <f t="shared" si="262"/>
        <v xml:space="preserve"> </v>
      </c>
      <c r="DY149" s="361" t="str">
        <f t="shared" si="263"/>
        <v xml:space="preserve"> </v>
      </c>
      <c r="DZ149" s="361" t="str">
        <f t="shared" si="264"/>
        <v xml:space="preserve"> </v>
      </c>
      <c r="EA149" s="362" t="str">
        <f t="shared" si="265"/>
        <v xml:space="preserve"> </v>
      </c>
      <c r="EB149" s="624" t="str">
        <f t="shared" si="370"/>
        <v xml:space="preserve"> </v>
      </c>
      <c r="EC149" s="361" t="e">
        <f ca="1">INDEX(INDIRECT(VLOOKUP(LEFT(BO149,7),CLU!$Z$3:$AH$18,7)),M149-1,4+LEFT(DZ149,1)*0.5)</f>
        <v>#N/A</v>
      </c>
      <c r="ED149" s="362" t="str">
        <f t="shared" si="266"/>
        <v xml:space="preserve"> </v>
      </c>
      <c r="EE149" s="361" t="str">
        <f t="shared" si="267"/>
        <v xml:space="preserve"> </v>
      </c>
      <c r="EF149" s="362" t="str">
        <f>IF(L149&gt;0,IF(BR149&gt;0,IF(EE149="2P",IF(Calculation!DZ149="2P",IF(Calculation!DS149=13.75,IF(Calculation!DR149=13,Worksheet!$BD$43,IF(Calculation!DR149=37,Worksheet!$BD$44,Worksheet!$BD$45)),IF(Calculation!DS149=10,IF(Calculation!DR149=18,Worksheet!$BD$29,IF(Calculation!DR149=30,Worksheet!$BD$30,IF(Calculation!DR149=42,Worksheet!$BD$31,IF(Calculation!DR149=54,Worksheet!$BD$32,IF(Calculation!DR149=66,Worksheet!$BD$33,IF(Calculation!DR149=78,Worksheet!$BD$34,IF(Calculation!DR149=90,Worksheet!$BD$35,IF(Calculation!DR149=102,Worksheet!$BD$36,Worksheet!$BD$37)))))))),IF(Calculation!DS149=12.5,IF(Calculation!DR149=18,Worksheet!$BD$38,IF(Calculation!DR149=Worksheet!$BD$39,IF(Calculation!DR149=42,Worksheet!$BD$40,IF(Calculation!DR149=54,Worksheet!$BD$41,Worksheet!$BD$42)))),IF(Calculation!DR149=18,Worksheet!$BD$11,IF(Calculation!DR149=30,Worksheet!$BD$12,IF(Calculation!DR149=42,Worksheet!$BD$13,IF(Calculation!DR149=54,Worksheet!$BD$14,IF(Calculation!DR149=66,Worksheet!$BD$15,IF(Calculation!DR149=78,Worksheet!$BD$16,IF(Calculation!DR149=90,Worksheet!$BD$17,IF(Calculation!DR149=102,Worksheet!$BD$18,Worksheet!$BD$19))))))))))),IF(Calculation!DS149=13.75,IF(Calculation!DR149=13,Worksheet!$BD$78,IF(Calculation!DR149=37,Worksheet!$BD$79,Worksheet!$BD$80)),IF(Calculation!DS149=10,IF(Calculation!DR149=18,Worksheet!$BD$64,IF(Calculation!DR149=30,Worksheet!$BD$65,IF(Calculation!DR149=42,Worksheet!$BD$66,IF(Calculation!DR149=54,Worksheet!$BD$68,IF(Calculation!DR149=66,Worksheet!$BD$68,IF(Calculation!DR149=78,Worksheet!$BD$69,IF(Calculation!DR149=90,Worksheet!$BD$70,IF(Calculation!DR149=102,Worksheet!$BD$71,Worksheet!$BD$72)))))))),IF(Calculation!DS149=12.5,IF(Calculation!DR149=18,Worksheet!$BD$73,IF(Calculation!DR149=Worksheet!$BD$74,IF(Calculation!DR149=42,Worksheet!$BD$75,IF(Calculation!DR149=54,Worksheet!$BD$76,Worksheet!$BD$77)))),IF(Calculation!DR149=18,Worksheet!$BD$55,IF(Calculation!DR149=30,Worksheet!$BD$56,IF(Calculation!DR149=42,Worksheet!$BD$57,IF(Calculation!DR149=54,Worksheet!$BD$58,IF(Calculation!DR149=66,Worksheet!$BD$59,IF(Calculation!DR149=78,Worksheet!$BD$60,IF(Calculation!DR149=90,Worksheet!$BD$61,IF(Calculation!DR149=102,Worksheet!$BD$62,Worksheet!$BD$63)))))))))))),5),0)," ")</f>
        <v xml:space="preserve"> </v>
      </c>
      <c r="EG149" s="361" t="str">
        <f t="shared" si="268"/>
        <v xml:space="preserve"> </v>
      </c>
      <c r="EH149" s="361" t="e">
        <f ca="1">INDEX(INDIRECT(VLOOKUP(LEFT(BO149,7),CLU!$Z$3:$AH$18,7)),M149-1,3+LEFT(DZ149,1))</f>
        <v>#N/A</v>
      </c>
      <c r="EI149" s="362" t="str">
        <f t="shared" si="269"/>
        <v xml:space="preserve"> </v>
      </c>
      <c r="EJ149" s="363" t="str">
        <f t="shared" si="270"/>
        <v xml:space="preserve"> </v>
      </c>
      <c r="EK149" s="363" t="str">
        <f t="shared" si="271"/>
        <v xml:space="preserve"> </v>
      </c>
      <c r="EL149" s="363" t="str">
        <f t="shared" si="272"/>
        <v xml:space="preserve"> </v>
      </c>
      <c r="EM149" s="362" t="str">
        <f>IF(L149&gt;0,IF(BR149&gt;0,(Calculation!T149/ED149)^2,0)," ")</f>
        <v xml:space="preserve"> </v>
      </c>
      <c r="EN149" s="362" t="str">
        <f>IF(L149&gt;0,IF(O149="2 Pipe (Cooling)","N/A",IF(BR149&gt;0,(Calculation!U149/EI149)^2,0))," ")</f>
        <v xml:space="preserve"> </v>
      </c>
      <c r="EO149" s="361" t="str">
        <f t="shared" si="273"/>
        <v/>
      </c>
      <c r="EP149" s="361" t="str">
        <f t="shared" si="274"/>
        <v/>
      </c>
      <c r="EQ149" s="361" t="str">
        <f t="shared" si="275"/>
        <v/>
      </c>
      <c r="ER149" s="361" t="str">
        <f t="shared" si="276"/>
        <v/>
      </c>
      <c r="ES149" s="361" t="str">
        <f t="shared" si="277"/>
        <v/>
      </c>
      <c r="ET149" s="361" t="str">
        <f t="shared" si="278"/>
        <v/>
      </c>
      <c r="EU149" s="361" t="str">
        <f t="shared" si="279"/>
        <v/>
      </c>
      <c r="EV149" s="361" t="str">
        <f t="shared" si="280"/>
        <v/>
      </c>
      <c r="EW149" s="361" t="str">
        <f t="shared" si="281"/>
        <v/>
      </c>
      <c r="EX149" s="361" t="str">
        <f t="shared" si="371"/>
        <v>1 slot, 1 way</v>
      </c>
      <c r="EY149" s="361" t="str">
        <f t="shared" si="372"/>
        <v xml:space="preserve"> </v>
      </c>
      <c r="EZ149" s="361" t="str">
        <f t="shared" si="373"/>
        <v xml:space="preserve"> </v>
      </c>
      <c r="FA149" s="361" t="str">
        <f t="shared" si="374"/>
        <v xml:space="preserve"> </v>
      </c>
      <c r="FB149" s="361" t="str">
        <f t="shared" si="375"/>
        <v xml:space="preserve"> </v>
      </c>
      <c r="FC149" s="361"/>
      <c r="FD149" s="361" t="str">
        <f>IF(J149&gt;0,IF(Calculation!R149&lt;=70,4,IF(Calculation!R149&lt;=110,5,IF(Calculation!R149&lt;=160,6,IF(Calculation!R149&lt;=300,8,"10 EO")))),"")</f>
        <v/>
      </c>
      <c r="FE149" s="361" t="str">
        <f t="shared" si="376"/>
        <v/>
      </c>
      <c r="FF149" s="361" t="str">
        <f t="shared" si="377"/>
        <v/>
      </c>
      <c r="FG149" s="361" t="e">
        <f t="shared" si="282"/>
        <v>#N/A</v>
      </c>
      <c r="FH149" s="361">
        <f t="shared" si="283"/>
        <v>0</v>
      </c>
      <c r="FI149" s="361" t="e">
        <f t="shared" si="284"/>
        <v>#DIV/0!</v>
      </c>
      <c r="FJ149" s="361"/>
      <c r="FK149" s="356" t="e">
        <f t="shared" si="285"/>
        <v>#VALUE!</v>
      </c>
      <c r="FL149" s="361"/>
      <c r="FM149" s="361"/>
      <c r="FN149" s="362" t="str">
        <f t="shared" si="378"/>
        <v xml:space="preserve"> </v>
      </c>
      <c r="FO149" s="362" t="str">
        <f t="shared" si="379"/>
        <v xml:space="preserve"> </v>
      </c>
      <c r="FP149" s="362">
        <f t="shared" si="380"/>
        <v>0</v>
      </c>
      <c r="FQ149" s="361">
        <f t="shared" si="286"/>
        <v>0</v>
      </c>
      <c r="FR149" s="362" t="str">
        <f>IF(L149&gt;0,IF(J149="CBAL2",Worksheet!$P$67,IF(J149="CBE2-24",Worksheet!$Q$67,IF(J149="CBAM",Worksheet!$R$67,IF(J149="CBLV",Worksheet!$S$67,IF(J149="CBAB",Worksheet!$U$67,IF(J149="CBAW",Worksheet!$X$67,IF(J149="CBE2-12",Worksheet!$Y$67,IF(J149="CBAL2",Worksheet!$Z$67,"N/A"))))))))," ")</f>
        <v xml:space="preserve"> </v>
      </c>
      <c r="FS149" s="362" t="str">
        <f>IF(L149&gt;0,IF(J149="CBAL2",Worksheet!$P$68,IF(J149="CBE2-24",Worksheet!$Q$68,IF(J149="CBAM",Worksheet!$R$68,IF(J149="CBLV",Worksheet!$S$68,IF(J149="CBAB",Worksheet!$U$68,IF(J149="CBAW",Worksheet!$X$68,IF(J149="CBE2-12",Worksheet!$Y$68,IF(J149="CBAL2",Worksheet!$Z$68,"N/A"))))))))," ")</f>
        <v xml:space="preserve"> </v>
      </c>
      <c r="FT149" s="362" t="str">
        <f>IF(L149&gt;0,IF(J149="CBAL2",Worksheet!$P$69,IF(J149="CBE2-24",Worksheet!$Q$69,IF(J149="CBAM",Worksheet!$R$69,IF(J149="CBLV",Worksheet!$S$69,IF(J149="CBAB",Worksheet!$U$69,IF(J149="CBAW",Worksheet!$X$69,IF(J149="CBE2-12",Worksheet!$Y$69,IF(J149="CBAL2",Worksheet!$Z$69,"N/A"))))))))," ")</f>
        <v xml:space="preserve"> </v>
      </c>
      <c r="FU149" s="361" t="str">
        <f t="shared" si="381"/>
        <v xml:space="preserve"> </v>
      </c>
      <c r="FV149" s="362" t="str">
        <f t="shared" si="382"/>
        <v xml:space="preserve"> </v>
      </c>
      <c r="FW149" s="362" t="str">
        <f t="shared" si="383"/>
        <v xml:space="preserve"> </v>
      </c>
      <c r="FX149" s="362" t="str">
        <f t="shared" si="384"/>
        <v xml:space="preserve"> </v>
      </c>
      <c r="FY149" s="355" t="str">
        <f t="shared" si="385"/>
        <v xml:space="preserve"> </v>
      </c>
      <c r="FZ149" s="361" t="str">
        <f t="shared" si="386"/>
        <v xml:space="preserve"> </v>
      </c>
      <c r="GA149" s="347" t="str">
        <f t="shared" si="387"/>
        <v xml:space="preserve"> </v>
      </c>
      <c r="GB149" s="355" t="str">
        <f t="shared" si="388"/>
        <v xml:space="preserve"> </v>
      </c>
      <c r="GC149" s="328" t="str">
        <f t="shared" si="389"/>
        <v xml:space="preserve"> </v>
      </c>
      <c r="GD149" s="361" t="str">
        <f t="shared" si="390"/>
        <v xml:space="preserve"> </v>
      </c>
      <c r="GE149" s="347" t="str">
        <f t="shared" si="391"/>
        <v xml:space="preserve"> </v>
      </c>
      <c r="GF149" s="361" t="str">
        <f t="shared" si="392"/>
        <v xml:space="preserve"> </v>
      </c>
      <c r="GG149" s="347" t="str">
        <f t="shared" si="393"/>
        <v xml:space="preserve"> </v>
      </c>
      <c r="GH149" s="364">
        <f t="shared" si="287"/>
        <v>0</v>
      </c>
      <c r="GI149" s="362">
        <f t="shared" si="394"/>
        <v>2</v>
      </c>
      <c r="GJ149" s="433" t="e">
        <f>IF(6-COUNTBLANK(GT149:GY149)=4,MATCH(MID(BO149,9,3),CLU!$H$16:$K$16),MATCH(MID(BO149,9,3),CLU!$H$13:$M$13))</f>
        <v>#N/A</v>
      </c>
      <c r="GK149" s="433" t="e">
        <f>HLOOKUP(VALUE(BP149),CLU!$H$9:$M$10,2)</f>
        <v>#VALUE!</v>
      </c>
      <c r="GL149" s="433" t="e">
        <f ca="1">MATCH(BU149,CLU!$H$2:$V$2,1)</f>
        <v>#VALUE!</v>
      </c>
      <c r="GM149" s="433" t="e">
        <f t="shared" ca="1" si="395"/>
        <v>#VALUE!</v>
      </c>
      <c r="GN149" s="433" t="e">
        <f t="shared" ca="1" si="396"/>
        <v>#VALUE!</v>
      </c>
      <c r="GO149" s="433" t="e">
        <f t="shared" ca="1" si="397"/>
        <v>#VALUE!</v>
      </c>
      <c r="GP149" s="433" t="e">
        <f t="shared" ca="1" si="398"/>
        <v>#VALUE!</v>
      </c>
      <c r="GQ149" s="433" t="e">
        <f t="shared" ca="1" si="399"/>
        <v>#VALUE!</v>
      </c>
      <c r="GR149" s="433" t="e">
        <f ca="1">MATCH(T149,INDIRECT(VLOOKUP(CONCATENATE(LEFT(BO149,7),"-",MID(BO149,13,1)),CLU!$P$3:$Q$16,2)),1)</f>
        <v>#N/A</v>
      </c>
      <c r="GS149" s="433" t="e">
        <f ca="1">MATCH(U149,INDIRECT(VLOOKUP(CONCATENATE(LEFT(BO149,7),"-",MID(BO149,13,1)),CLU!$P$3:$Q$16,2)),1)</f>
        <v>#N/A</v>
      </c>
      <c r="GT149" s="347" t="s">
        <v>512</v>
      </c>
      <c r="GU149" s="97" t="s">
        <v>513</v>
      </c>
      <c r="GV149" s="97" t="str">
        <f t="shared" si="400"/>
        <v>M23</v>
      </c>
      <c r="GW149" s="97" t="str">
        <f t="shared" si="401"/>
        <v>M31</v>
      </c>
      <c r="GX149" s="97" t="str">
        <f t="shared" si="402"/>
        <v/>
      </c>
      <c r="GY149" s="97" t="str">
        <f t="shared" si="403"/>
        <v/>
      </c>
      <c r="GZ149" s="481"/>
      <c r="HA149" s="288"/>
      <c r="HB149" s="240"/>
      <c r="HC149" s="240"/>
      <c r="HD149" s="240"/>
      <c r="HE149" s="240"/>
      <c r="HF149" s="240"/>
      <c r="HG149" s="240"/>
      <c r="HH149" s="240"/>
      <c r="HI149" s="240"/>
      <c r="HJ149" s="240"/>
      <c r="HK149" s="240"/>
      <c r="HL149" s="240"/>
      <c r="HM149" s="240"/>
      <c r="HN149" s="240"/>
      <c r="HO149" s="240"/>
      <c r="HP149" s="240"/>
      <c r="HQ149" s="240"/>
      <c r="HR149" s="240"/>
      <c r="HS149" s="240"/>
      <c r="HT149" s="240"/>
      <c r="HU149" s="240"/>
      <c r="HV149" s="245"/>
      <c r="HW149" s="245" t="b">
        <v>1</v>
      </c>
      <c r="HX149" s="245" t="str">
        <f t="shared" si="288"/>
        <v/>
      </c>
      <c r="HY149" s="245" t="e">
        <f t="shared" si="289"/>
        <v>#DIV/0!</v>
      </c>
      <c r="HZ149" s="245" t="e">
        <f t="shared" si="290"/>
        <v>#DIV/0!</v>
      </c>
      <c r="IA149" s="245">
        <f t="shared" si="291"/>
        <v>0</v>
      </c>
      <c r="IB149" s="245"/>
      <c r="IC149" t="b">
        <f t="shared" si="292"/>
        <v>1</v>
      </c>
      <c r="ID149" s="245" t="b">
        <f t="shared" si="293"/>
        <v>1</v>
      </c>
      <c r="IE149" s="245" t="b">
        <f t="shared" si="294"/>
        <v>1</v>
      </c>
      <c r="IF149" s="245" t="b">
        <f t="shared" si="295"/>
        <v>0</v>
      </c>
      <c r="IG149" s="245" t="b">
        <f t="shared" si="296"/>
        <v>1</v>
      </c>
      <c r="IH149" s="245" t="b">
        <f t="shared" si="297"/>
        <v>1</v>
      </c>
      <c r="II149" s="245">
        <f t="shared" si="404"/>
        <v>0</v>
      </c>
      <c r="IJ149" s="245" t="e">
        <f t="shared" si="298"/>
        <v>#VALUE!</v>
      </c>
      <c r="IK149" s="245" t="e">
        <f t="shared" si="299"/>
        <v>#VALUE!</v>
      </c>
      <c r="IL149" s="245"/>
      <c r="IM149" s="245" t="e">
        <f t="shared" si="405"/>
        <v>#N/A</v>
      </c>
      <c r="IN149" s="245" t="e">
        <f t="shared" si="406"/>
        <v>#N/A</v>
      </c>
      <c r="IO149" s="245"/>
      <c r="IP149" s="245"/>
      <c r="IQ149" s="245" t="str">
        <f t="shared" si="300"/>
        <v/>
      </c>
      <c r="IR149" s="245" t="str">
        <f>IF(J149="","",VLOOKUP(J149,Worksheet!$R$4:$T$14,2))</f>
        <v/>
      </c>
      <c r="IS149" s="245"/>
      <c r="IT149" s="245">
        <f t="shared" si="301"/>
        <v>0</v>
      </c>
      <c r="IU149" s="245">
        <f t="shared" si="302"/>
        <v>0</v>
      </c>
      <c r="IV149" s="245">
        <f t="shared" si="303"/>
        <v>0</v>
      </c>
      <c r="IW149" s="245">
        <f t="shared" si="304"/>
        <v>0</v>
      </c>
      <c r="IX149" s="245">
        <f t="shared" si="407"/>
        <v>0</v>
      </c>
      <c r="IY149" s="245">
        <f t="shared" si="305"/>
        <v>0</v>
      </c>
      <c r="IZ149" s="245">
        <f t="shared" si="306"/>
        <v>0</v>
      </c>
      <c r="JA149">
        <f t="shared" si="307"/>
        <v>0</v>
      </c>
      <c r="JB149">
        <f t="shared" si="408"/>
        <v>0</v>
      </c>
      <c r="JC149">
        <f t="shared" si="308"/>
        <v>0</v>
      </c>
      <c r="JD149">
        <f t="shared" si="309"/>
        <v>0</v>
      </c>
      <c r="JE149">
        <f t="shared" si="310"/>
        <v>0</v>
      </c>
      <c r="JF149">
        <f t="shared" si="311"/>
        <v>0</v>
      </c>
      <c r="JG149">
        <f t="shared" si="312"/>
        <v>0</v>
      </c>
      <c r="JH149">
        <f t="shared" si="313"/>
        <v>0</v>
      </c>
      <c r="JI149">
        <f t="shared" si="314"/>
        <v>0</v>
      </c>
      <c r="JJ149" s="447">
        <f t="shared" si="315"/>
        <v>0</v>
      </c>
      <c r="JK149" s="447">
        <f t="shared" si="316"/>
        <v>0</v>
      </c>
      <c r="JL149">
        <f t="shared" si="317"/>
        <v>0</v>
      </c>
      <c r="JM149" s="245" t="str">
        <f>IFERROR(VLOOKUP(MATCH(BN149,#REF!,0),#REF!,7),"")</f>
        <v/>
      </c>
      <c r="JN149" t="e">
        <f>HLOOKUP(LEFT(BO149,7),Discharge_Area,MATCH(JO149,LookUps!$B$130:$B$149,1)+2)</f>
        <v>#N/A</v>
      </c>
      <c r="JO149" t="str">
        <f t="shared" si="318"/>
        <v>- S</v>
      </c>
      <c r="JP149" t="e">
        <f>HLOOKUP(LEFT(BO149,7),Discharge_Area,MATCH(JO149,LookUps!$B$130:$B$149,1)+2)</f>
        <v>#N/A</v>
      </c>
      <c r="JQ149" t="e">
        <f t="shared" si="319"/>
        <v>#N/A</v>
      </c>
      <c r="JR149" t="e">
        <f t="shared" si="320"/>
        <v>#N/A</v>
      </c>
      <c r="JS149" t="e">
        <f t="shared" si="321"/>
        <v>#N/A</v>
      </c>
      <c r="JT149" s="532" t="str">
        <f t="shared" si="322"/>
        <v xml:space="preserve"> </v>
      </c>
      <c r="JU149" s="532" t="str">
        <f t="shared" si="323"/>
        <v xml:space="preserve"> </v>
      </c>
      <c r="JV149" s="533" t="str">
        <f t="shared" si="324"/>
        <v xml:space="preserve"> </v>
      </c>
      <c r="JW149" s="534">
        <f t="shared" si="325"/>
        <v>0</v>
      </c>
      <c r="JX149" s="535" t="str">
        <f t="shared" si="409"/>
        <v xml:space="preserve"> </v>
      </c>
      <c r="JY149" s="535" t="str">
        <f t="shared" si="410"/>
        <v xml:space="preserve"> </v>
      </c>
      <c r="JZ149" s="535" t="str">
        <f t="shared" si="411"/>
        <v xml:space="preserve"> </v>
      </c>
      <c r="KA149" s="536" t="str">
        <f t="shared" si="326"/>
        <v xml:space="preserve"> </v>
      </c>
      <c r="KB149" s="535" t="e">
        <f t="shared" si="412"/>
        <v>#VALUE!</v>
      </c>
      <c r="KC149" s="535" t="str">
        <f t="shared" si="327"/>
        <v/>
      </c>
      <c r="KD149" s="537" t="str">
        <f t="shared" si="413"/>
        <v xml:space="preserve"> </v>
      </c>
      <c r="KE149" s="537" t="str">
        <f t="shared" si="414"/>
        <v xml:space="preserve"> </v>
      </c>
      <c r="KF149" s="534">
        <f t="shared" si="328"/>
        <v>0</v>
      </c>
      <c r="KG149" s="535" t="str">
        <f t="shared" si="329"/>
        <v xml:space="preserve"> </v>
      </c>
      <c r="KH149" s="535" t="str">
        <f t="shared" si="330"/>
        <v xml:space="preserve"> </v>
      </c>
      <c r="KI149" s="535" t="str">
        <f t="shared" si="331"/>
        <v xml:space="preserve"> </v>
      </c>
      <c r="KJ149" s="536" t="str">
        <f t="shared" si="332"/>
        <v xml:space="preserve"> </v>
      </c>
      <c r="KK149" s="535" t="str">
        <f t="shared" si="415"/>
        <v xml:space="preserve"> </v>
      </c>
      <c r="KL149" s="535" t="str">
        <f t="shared" si="416"/>
        <v xml:space="preserve"> </v>
      </c>
      <c r="KM149" s="537" t="str">
        <f t="shared" si="333"/>
        <v xml:space="preserve"> </v>
      </c>
      <c r="KN149" s="537" t="str">
        <f t="shared" si="417"/>
        <v xml:space="preserve"> </v>
      </c>
      <c r="KP149">
        <f t="shared" si="334"/>
        <v>0</v>
      </c>
      <c r="LA149" t="e">
        <f t="shared" si="335"/>
        <v>#VALUE!</v>
      </c>
      <c r="LB149" t="e">
        <f t="shared" si="336"/>
        <v>#VALUE!</v>
      </c>
      <c r="LC149" t="e">
        <f t="shared" si="337"/>
        <v>#VALUE!</v>
      </c>
      <c r="LD149" t="e">
        <f t="shared" si="338"/>
        <v>#VALUE!</v>
      </c>
      <c r="LE149" t="e">
        <f t="shared" si="418"/>
        <v>#VALUE!</v>
      </c>
      <c r="LF149">
        <f t="shared" si="339"/>
        <v>0</v>
      </c>
      <c r="LG149" t="e">
        <f t="shared" si="419"/>
        <v>#VALUE!</v>
      </c>
      <c r="LH149" t="str">
        <f t="shared" si="340"/>
        <v xml:space="preserve"> </v>
      </c>
      <c r="LI149">
        <f t="shared" si="420"/>
        <v>1</v>
      </c>
    </row>
    <row r="150" spans="2:321" ht="15" customHeight="1">
      <c r="B150" s="311"/>
      <c r="C150" s="311"/>
      <c r="D150" s="312"/>
      <c r="E150" s="311"/>
      <c r="F150" s="312"/>
      <c r="G150" s="311"/>
      <c r="H150" s="311"/>
      <c r="I150" s="37"/>
      <c r="J150" s="311"/>
      <c r="K150" s="305" t="str">
        <f t="shared" si="341"/>
        <v/>
      </c>
      <c r="L150" s="313"/>
      <c r="M150" s="312"/>
      <c r="N150" s="311"/>
      <c r="O150" s="312"/>
      <c r="P150" s="311"/>
      <c r="Q150" s="305" t="str">
        <f t="shared" si="342"/>
        <v/>
      </c>
      <c r="R150" s="314"/>
      <c r="S150" s="450" t="str">
        <f t="shared" ref="S150:S213" si="425">IF(COUNTBLANK(FD150:FF150)=0,FE150,FD150)</f>
        <v/>
      </c>
      <c r="T150" s="315"/>
      <c r="U150" s="315"/>
      <c r="W150" s="149" t="str">
        <f t="shared" ref="W150:W213" si="426">IF((JB150&gt;0),R150*L150," ")</f>
        <v xml:space="preserve"> </v>
      </c>
      <c r="X150" s="243" t="str">
        <f t="shared" ref="X150:X213" si="427">IF((JB150&gt;0),DC150+DE150," ")</f>
        <v xml:space="preserve"> </v>
      </c>
      <c r="Y150" s="150" t="str">
        <f t="shared" ref="Y150:Y213" si="428">IF((JB150&gt;0),IF(L150&gt;1,IF(AN150="&lt;15","&lt;15",AN150+3),AN150),"")</f>
        <v/>
      </c>
      <c r="Z150" s="149" t="str">
        <f t="shared" ref="Z150:Z213" si="429">IF(JB150&gt;0,CONCATENATE(DN150,"/",DO150)," ")</f>
        <v xml:space="preserve"> </v>
      </c>
      <c r="AA150" s="98" t="str">
        <f t="shared" ref="AA150:AA213" si="430">IF(JB150&gt;0,T150*L150," ")</f>
        <v xml:space="preserve"> </v>
      </c>
      <c r="AB150" s="153" t="str">
        <f t="shared" ref="AB150:AB213" si="431">IF(JB150&gt;0,AT150," ")</f>
        <v xml:space="preserve"> </v>
      </c>
      <c r="AC150" s="153" t="str">
        <f t="shared" ref="AC150:AC213" si="432">IF(JB150&gt;0,IF(T150&gt;0,AU150-$P$6," ")," ")</f>
        <v xml:space="preserve"> </v>
      </c>
      <c r="AD150" s="148" t="str">
        <f t="shared" ref="AD150:AD213" si="433">IF(JB150&gt;0,IF(GI150=10,IF(AQ150*L150&lt;0,AQ150*L150," ")," "),"")</f>
        <v/>
      </c>
      <c r="AE150" s="149" t="str">
        <f t="shared" ref="AE150:AE213" si="434">IF(JB150&gt;0,IF(GI150=10,L150*AR150," "),"")</f>
        <v/>
      </c>
      <c r="AF150" s="151" t="str">
        <f t="shared" ref="AF150:AF213" si="435">IF(JB150&gt;0,L150*U150," ")</f>
        <v xml:space="preserve"> </v>
      </c>
      <c r="AG150" s="153" t="str">
        <f t="shared" ref="AG150:AG213" si="436">IF(AF150&gt;0,IF(JB150&gt;0,EN150," "),"N/A")</f>
        <v xml:space="preserve"> </v>
      </c>
      <c r="AH150" s="98" t="str">
        <f t="shared" ref="AH150:AH213" si="437">IF(AF150&gt;0,IF((JB150&gt;0),IF(AX150&gt;0,-(AX150*L150)/(500*AF150),0)," "),"N/A")</f>
        <v xml:space="preserve"> </v>
      </c>
      <c r="AI150" s="149" t="str">
        <f t="shared" ref="AI150:AI213" si="438">IF((JB150&gt;0),IF(AY150*L150&lt;0,"",AY150*L150)," ")</f>
        <v xml:space="preserve"> </v>
      </c>
      <c r="AK150" s="144" t="str">
        <f t="shared" ref="AK150:AK213" si="439">IF((JB150&gt;0),R150," ")</f>
        <v xml:space="preserve"> </v>
      </c>
      <c r="AL150" s="144"/>
      <c r="AM150" s="243" t="str">
        <f t="shared" ref="AM150:AM213" si="440">IF((JB150&gt;0),X150," ")</f>
        <v xml:space="preserve"> </v>
      </c>
      <c r="AN150" s="149" t="str">
        <f t="shared" si="343"/>
        <v xml:space="preserve"> </v>
      </c>
      <c r="AO150" s="144" t="str">
        <f>IF(JB150&gt;0,IF(GI150=10,-R150*1.085*(Calculation!$F$6-Calculation!$F$13)*$S$14," "),"")</f>
        <v/>
      </c>
      <c r="AP150" s="144" t="str">
        <f t="shared" ref="AP150:AP213" si="441">IF(JB150&gt;0,IF(GI150=10,-CV150," "),"")</f>
        <v/>
      </c>
      <c r="AQ150" s="56" t="str">
        <f t="shared" ref="AQ150:AQ213" si="442">IF(JB150&gt;0,IF(GI150=10,AO150+AP150," "),"")</f>
        <v/>
      </c>
      <c r="AR150" s="144" t="str">
        <f t="shared" ref="AR150:AR213" si="443">IF(JB150&gt;0,IF(GI150=10,DL150," "),"")</f>
        <v/>
      </c>
      <c r="AS150" s="176" t="str">
        <f t="shared" ref="AS150:AS213" si="444">IF(JB150&gt;0,IF(GI150=10,$F$6-(-AQ150/(1.085*LH150)),""),"")</f>
        <v/>
      </c>
      <c r="AT150" s="176" t="str">
        <f t="shared" si="344"/>
        <v xml:space="preserve"> </v>
      </c>
      <c r="AU150" s="176" t="str">
        <f t="shared" ref="AU150:AU213" si="445">IF(JB150&gt;0,IF(GI150=10,$P$6-AP150/(500*T150)," "),"")</f>
        <v/>
      </c>
      <c r="AV150" s="177" t="str">
        <f t="shared" ref="AV150:AV213" si="446">IF(JB150&gt;0,DX150," ")</f>
        <v xml:space="preserve"> </v>
      </c>
      <c r="AW150" s="144" t="str">
        <f t="shared" ref="AW150:AW213" si="447">IF(JB150&gt;0,1.085*R150*$S$14*(EJ150-$H$6)," ")</f>
        <v xml:space="preserve"> </v>
      </c>
      <c r="AX150" s="144" t="str">
        <f t="shared" ref="AX150:AX213" si="448">IF(JB150&gt;0,IF(O150="2 pipe (cooling)",0,(IF(L150&gt;0,DA150," ")))," ")</f>
        <v xml:space="preserve"> </v>
      </c>
      <c r="AY150" s="152" t="str">
        <f t="shared" ref="AY150:AY213" si="449">IF(JB150&gt;0,IF(AW150+AX150&lt;0,0,AW150+AX150)," ")</f>
        <v xml:space="preserve"> </v>
      </c>
      <c r="AZ150" s="246" t="str">
        <f t="shared" ref="AZ150:AZ213" si="450">IF(AY150&gt;0,IF((JB150&gt;0),EL150,""),0)</f>
        <v/>
      </c>
      <c r="BA150" s="176" t="str">
        <f t="shared" ref="BA150:BA213" si="451">IF(AX150&gt;0,IF((JB150&gt;0),IF(O150="2 pipe (cooling)",0,IF(L150&gt;0,EN150," "))," "),"N/A")</f>
        <v xml:space="preserve"> </v>
      </c>
      <c r="BB150" s="176" t="str">
        <f t="shared" ref="BB150:BB213" si="452">IF(AX150&gt;0,IF((JB150&gt;0),$S$6-AX150/(500*U150)," "),"N/A")</f>
        <v xml:space="preserve"> </v>
      </c>
      <c r="BC150" s="195"/>
      <c r="BD150" s="316"/>
      <c r="BE150" s="317"/>
      <c r="BF150" s="318"/>
      <c r="BG150" s="318"/>
      <c r="BH150" s="144" t="str">
        <f t="shared" si="421"/>
        <v xml:space="preserve"> </v>
      </c>
      <c r="BI150" s="176" t="str">
        <f t="shared" ref="BI150:BI213" si="453">IFERROR(($F$6+KM150),"")</f>
        <v/>
      </c>
      <c r="BJ150" s="144" t="str">
        <f t="shared" si="422"/>
        <v/>
      </c>
      <c r="BK150" s="246" t="str">
        <f t="shared" ref="BK150:BK213" si="454">IFERROR(($F$6+KD150),"")</f>
        <v/>
      </c>
      <c r="BL150" s="144" t="str">
        <f t="shared" si="423"/>
        <v/>
      </c>
      <c r="BM150" s="246" t="str">
        <f t="shared" ref="BM150:BM213" si="455">IFERROR(($H$6+KE150),"")</f>
        <v/>
      </c>
      <c r="BN150" s="337" t="str">
        <f t="shared" si="345"/>
        <v/>
      </c>
      <c r="BO150" s="371" t="str">
        <f t="shared" si="346"/>
        <v/>
      </c>
      <c r="BP150" s="328" t="str">
        <f t="shared" si="424"/>
        <v xml:space="preserve"> </v>
      </c>
      <c r="BQ150" s="347" t="str">
        <f t="shared" si="347"/>
        <v xml:space="preserve"> </v>
      </c>
      <c r="BR150" s="353" t="str">
        <f t="shared" si="348"/>
        <v xml:space="preserve"> </v>
      </c>
      <c r="BS150" s="626" t="str">
        <f>IF(L150&gt;0,IF(Calculation!P150="M13",BR150*3.1416*(0.134^2)/(4*144),IF(Calculation!P150="M17",BR150*3.1416*(0.165^2)/(4*144),IF(Calculation!P150="M20",BR150*3.1416*(0.198^2)/(4*144),IF(Calculation!P150="M23",BR150*3.1416*(0.228^2)/(4*144),IF(Calculation!P150="M27",BR150*3.1416*(0.269^2)/(4*144),BR150*3.1416*(0.307^2)/(4*144))))))," ")</f>
        <v xml:space="preserve"> </v>
      </c>
      <c r="BT150" s="353" t="str">
        <f>IF(L150&gt;0,IF(BS150&gt;0,R150/Calculation!BS150,0)," ")</f>
        <v xml:space="preserve"> </v>
      </c>
      <c r="BU150" s="438" t="e">
        <f t="shared" ref="BU150:BU213" ca="1" si="456">(LH150-R150)/DW150</f>
        <v>#VALUE!</v>
      </c>
      <c r="BV150" s="449" t="e">
        <f ca="1">INDEX(INDIRECT(VLOOKUP(LEFT(BO150,7),CLU!$Z$3:$AH$18,2)),GN150,GR150)</f>
        <v>#N/A</v>
      </c>
      <c r="BW150" s="433" t="e">
        <f ca="1">INDEX(INDIRECT(VLOOKUP(LEFT(BO150,7),CLU!$Z$3:$AH$18,3)),GN150,GR150)</f>
        <v>#N/A</v>
      </c>
      <c r="BX150" s="433" t="e">
        <f ca="1">INDEX(INDIRECT(VLOOKUP(LEFT(BO150,7),CLU!$Z$3:$AH$18,4)),GN150,GR150)</f>
        <v>#N/A</v>
      </c>
      <c r="BY150" s="433" t="e">
        <f ca="1">INDEX(INDIRECT(VLOOKUP(LEFT(BO150,7),CLU!$Z$3:$AH$18,9)),((M150-2)*(6-COUNTBLANK(GT150:GY150)))+GJ150)</f>
        <v>#N/A</v>
      </c>
      <c r="BZ150" s="426" t="e">
        <f t="shared" ca="1" si="349"/>
        <v>#N/A</v>
      </c>
      <c r="CA150" s="424" t="e">
        <f t="shared" ca="1" si="350"/>
        <v>#N/A</v>
      </c>
      <c r="CB150" s="429" t="e">
        <f ca="1">INDEX(INDIRECT(VLOOKUP(LEFT(BO150,7),CLU!$Z$3:$AH$18,2)),GN150,GS150)</f>
        <v>#N/A</v>
      </c>
      <c r="CC150" s="342" t="e">
        <f ca="1">INDEX(INDIRECT(VLOOKUP(LEFT(BO150,7),CLU!$Z$3:$AH$18,3)),GN150,GS150)</f>
        <v>#N/A</v>
      </c>
      <c r="CD150" s="342" t="e">
        <f ca="1">INDEX(INDIRECT(VLOOKUP(LEFT(BO150,7),CLU!$Z$3:$AH$18,4)),GN150,GS150)</f>
        <v>#N/A</v>
      </c>
      <c r="CE150" s="426" t="e">
        <f t="shared" ca="1" si="351"/>
        <v>#N/A</v>
      </c>
      <c r="CF150" s="440">
        <f t="shared" si="352"/>
        <v>0</v>
      </c>
      <c r="CG150" s="431" t="e">
        <f ca="1">INDEX(INDIRECT(VLOOKUP(LEFT(BO150,7),CLU!$Z$3:$AH$18,2)),GQ150,GR150)</f>
        <v>#N/A</v>
      </c>
      <c r="CH150" s="431" t="e">
        <f ca="1">INDEX(INDIRECT(VLOOKUP(LEFT(BO150,7),CLU!$Z$3:$AH$18,3)),GQ150,GR150)</f>
        <v>#N/A</v>
      </c>
      <c r="CI150" s="431" t="e">
        <f ca="1">INDEX(INDIRECT(VLOOKUP(LEFT(BO150,7),CLU!$Z$3:$AH$18,4)),GQ150,GR150)</f>
        <v>#N/A</v>
      </c>
      <c r="CJ150" s="448" t="e">
        <f t="shared" ca="1" si="353"/>
        <v>#N/A</v>
      </c>
      <c r="CK150" s="431" t="e">
        <f t="shared" ca="1" si="354"/>
        <v>#N/A</v>
      </c>
      <c r="CL150" s="440" t="e">
        <f t="shared" ca="1" si="355"/>
        <v>#N/A</v>
      </c>
      <c r="CM150" s="431" t="e">
        <f ca="1">INDEX(INDIRECT(VLOOKUP(LEFT(BO150,7),CLU!$Z$3:$AH$18,2)),GQ150,GS150)</f>
        <v>#N/A</v>
      </c>
      <c r="CN150" s="431" t="e">
        <f ca="1">INDEX(INDIRECT(VLOOKUP(LEFT(BO150,7),CLU!$Z$3:$AH$18,3)),GQ150,GS150)</f>
        <v>#N/A</v>
      </c>
      <c r="CO150" s="431" t="e">
        <f ca="1">INDEX(INDIRECT(VLOOKUP(LEFT(BO150,7),CLU!$Z$3:$AH$18,4)),GQ150,GS150)</f>
        <v>#N/A</v>
      </c>
      <c r="CP150" s="431" t="e">
        <f t="shared" ca="1" si="356"/>
        <v>#N/A</v>
      </c>
      <c r="CQ150" s="440">
        <f t="shared" si="357"/>
        <v>0</v>
      </c>
      <c r="CR150" s="51" t="e">
        <f t="shared" ca="1" si="358"/>
        <v>#N/A</v>
      </c>
      <c r="CS150" s="439" t="e">
        <f t="shared" ca="1" si="359"/>
        <v>#VALUE!</v>
      </c>
      <c r="CT150" s="51" t="e">
        <f t="shared" ca="1" si="360"/>
        <v>#VALUE!</v>
      </c>
      <c r="CU150" s="10"/>
      <c r="CV150" s="51" t="e">
        <f t="shared" ref="CV150:CV213" ca="1" si="457">MIN((CT150+CA150)*$CU$21,KP150)</f>
        <v>#VALUE!</v>
      </c>
      <c r="CW150" s="51">
        <f t="shared" si="361"/>
        <v>0</v>
      </c>
      <c r="CX150" s="439" t="e">
        <f t="shared" ca="1" si="362"/>
        <v>#VALUE!</v>
      </c>
      <c r="CY150" s="51" t="e">
        <f t="shared" ca="1" si="363"/>
        <v>#VALUE!</v>
      </c>
      <c r="CZ150" s="10"/>
      <c r="DA150" s="51" t="e">
        <f t="shared" ca="1" si="364"/>
        <v>#VALUE!</v>
      </c>
      <c r="DB150" s="347" t="e">
        <f ca="1">INDEX(INDIRECT(VLOOKUP(LEFT(BO150,7),CLU!$Z$3:$AI$18,10)),((M150-2)*(6-COUNTBLANK(GT150:GY150)))+GJ150)*LI150</f>
        <v>#N/A</v>
      </c>
      <c r="DC150" s="347" t="str">
        <f>IF(L150&gt;0,((R150/Worksheet!$I$15)/DB150)^2," ")</f>
        <v xml:space="preserve"> </v>
      </c>
      <c r="DD150" s="602" t="str">
        <f t="shared" si="365"/>
        <v xml:space="preserve"> </v>
      </c>
      <c r="DE150" s="347" t="str">
        <f t="shared" ref="DE150:DE213" si="458">IF(L150&gt;0,(DD150/4005)^2," ")</f>
        <v xml:space="preserve"> </v>
      </c>
      <c r="DF150" s="356" t="e">
        <f ca="1">INDEX(INDIRECT(VLOOKUP(LEFT(BO150,7),CLU!$Z$3:$AH$18,8)),((M150-2)*(6-COUNTBLANK(GT150:GY150)))+GJ150)</f>
        <v>#N/A</v>
      </c>
      <c r="DG150" s="347" t="str">
        <f t="shared" ref="DG150:DG213" si="459">IF(L150&gt;0,IF(J150="CBAM",(DF150+1)*R150*IF(J150=2,0.25,0.35),R150*(DF150+1)/BQ150)," ")</f>
        <v xml:space="preserve"> </v>
      </c>
      <c r="DH150" s="357" t="str">
        <f t="shared" ref="DH150:DH213" si="460">IF(L150&gt;0,IF(J150="CBAM",IF(M150=2,0.168,0.333),(M150*12-1)/144)," ")</f>
        <v xml:space="preserve"> </v>
      </c>
      <c r="DI150" s="355" t="str">
        <f t="shared" ref="DI150:DI213" si="461">IF(L150&gt;0,DG150/DH150," ")</f>
        <v xml:space="preserve"> </v>
      </c>
      <c r="DJ150" s="245" t="e">
        <f ca="1">INDEX(INDIRECT(VLOOKUP(LEFT(BO150,7),CLU!$Z$3:$AH$18,5)),GL150,GK150)</f>
        <v>#N/A</v>
      </c>
      <c r="DK150" s="245" t="e">
        <f ca="1">INDEX(INDIRECT(VLOOKUP(LEFT(BO150,7),CLU!$Z$3:$AH$18,6)),GL150,GK150)</f>
        <v>#N/A</v>
      </c>
      <c r="DL150" s="355">
        <f>(Calculation!R150*0.69143*(Calculation!$BQ$8-Calculation!$F$8))*$S$14</f>
        <v>0</v>
      </c>
      <c r="DM150" s="359" t="e">
        <f t="shared" si="366"/>
        <v>#VALUE!</v>
      </c>
      <c r="DN150" s="611">
        <f t="shared" si="367"/>
        <v>0</v>
      </c>
      <c r="DO150" s="359">
        <f t="shared" si="368"/>
        <v>100</v>
      </c>
      <c r="DP150" s="359">
        <f t="shared" si="369"/>
        <v>0</v>
      </c>
      <c r="DQ150" s="360"/>
      <c r="DR150" s="245" t="e">
        <f ca="1">INDEX(INDIRECT(VLOOKUP(LEFT(BO150,7),CLU!$Z$3:$AH$18,7)),M150-1,1)</f>
        <v>#N/A</v>
      </c>
      <c r="DS150" s="245" t="e">
        <f ca="1">INDEX(INDIRECT(VLOOKUP(LEFT(BO150,7),CLU!$Z$3:$AH$18,7)),M150-1,2)</f>
        <v>#N/A</v>
      </c>
      <c r="DT150" s="245" t="e">
        <f ca="1">INDEX(INDIRECT(VLOOKUP(LEFT(BO150,7),CLU!$Z$3:$AH$18,7)),M150-1,3)</f>
        <v>#N/A</v>
      </c>
      <c r="DU150" s="245" t="e">
        <f ca="1">INDEX(INDIRECT(VLOOKUP(LEFT(BO150,7),CLU!$Z$3:$AH$18,7)),M150-1,4)</f>
        <v>#N/A</v>
      </c>
      <c r="DV150" s="361" t="e">
        <f ca="1">INDEX(INDIRECT(VLOOKUP(LEFT(BO150,7),CLU!$Z$3:$AH$18,7)),M150-1,4+LEFT(DZ150,1)*0.5)</f>
        <v>#N/A</v>
      </c>
      <c r="DW150" s="245" t="e">
        <f ca="1">INDEX(INDIRECT(VLOOKUP(LEFT(BO150,7),CLU!$Z$3:$AH$18,7)),M150-1,8)</f>
        <v>#N/A</v>
      </c>
      <c r="DX150" s="361" t="str">
        <f t="shared" ref="DX150:DX213" si="462">IF(L150&gt;0,IF(BR150&gt;0,IF(DZ150="2P",IF(EB150=1,"2P1C","2P2C"),IF(EB150=1,"4P1C","4P2C")),0)," ")</f>
        <v xml:space="preserve"> </v>
      </c>
      <c r="DY150" s="361" t="str">
        <f t="shared" ref="DY150:DY213" si="463">IF(L150&gt;0,CONCATENATE(IF(LEN(M150)=1,"0",""),M150,"-",DX150)," ")</f>
        <v xml:space="preserve"> </v>
      </c>
      <c r="DZ150" s="361" t="str">
        <f t="shared" ref="DZ150:DZ213" si="464">IF(L150&gt;0,IF(BR150&gt;0,IF(O150="2 Pipe (Cooling)","2P",IF(O150="2 Pipe (Heating)","NA",IF(O150="2 Pipe (H/C)","2P","4P"))),0)," ")</f>
        <v xml:space="preserve"> </v>
      </c>
      <c r="EA150" s="362" t="str">
        <f t="shared" ref="EA150:EA213" si="465">IF(L150&gt;0,HLOOKUP(LEFT(BO150,7),SCMG,(MATCH(CONCATENATE(IF(LEN(M150)=1,"0",""),M150,"-",DZ150),SCMG_LU))+2)," ")</f>
        <v xml:space="preserve"> </v>
      </c>
      <c r="EB150" s="624" t="str">
        <f t="shared" si="370"/>
        <v xml:space="preserve"> </v>
      </c>
      <c r="EC150" s="361" t="e">
        <f ca="1">INDEX(INDIRECT(VLOOKUP(LEFT(BO150,7),CLU!$Z$3:$AH$18,7)),M150-1,4+LEFT(DZ150,1)*0.5)</f>
        <v>#N/A</v>
      </c>
      <c r="ED150" s="362" t="str">
        <f t="shared" ref="ED150:ED213" si="466">IF(L150&gt;0,HLOOKUP(LEFT(BO150,7),Coil_K,(MATCH(DY150,LengthCoilLU))+2)," ")</f>
        <v xml:space="preserve"> </v>
      </c>
      <c r="EE150" s="361" t="str">
        <f t="shared" ref="EE150:EE213" si="467">IF(L150&gt;0,IF(BR150&gt;0,IF(O150="2 Pipe (Cooling)","N/A",IF(O150="2 Pipe (Heating)","2P",IF(O150="2 Pipe (H/C)","2P","4P"))),0)," ")</f>
        <v xml:space="preserve"> </v>
      </c>
      <c r="EF150" s="362" t="str">
        <f>IF(L150&gt;0,IF(BR150&gt;0,IF(EE150="2P",IF(Calculation!DZ150="2P",IF(Calculation!DS150=13.75,IF(Calculation!DR150=13,Worksheet!$BD$43,IF(Calculation!DR150=37,Worksheet!$BD$44,Worksheet!$BD$45)),IF(Calculation!DS150=10,IF(Calculation!DR150=18,Worksheet!$BD$29,IF(Calculation!DR150=30,Worksheet!$BD$30,IF(Calculation!DR150=42,Worksheet!$BD$31,IF(Calculation!DR150=54,Worksheet!$BD$32,IF(Calculation!DR150=66,Worksheet!$BD$33,IF(Calculation!DR150=78,Worksheet!$BD$34,IF(Calculation!DR150=90,Worksheet!$BD$35,IF(Calculation!DR150=102,Worksheet!$BD$36,Worksheet!$BD$37)))))))),IF(Calculation!DS150=12.5,IF(Calculation!DR150=18,Worksheet!$BD$38,IF(Calculation!DR150=Worksheet!$BD$39,IF(Calculation!DR150=42,Worksheet!$BD$40,IF(Calculation!DR150=54,Worksheet!$BD$41,Worksheet!$BD$42)))),IF(Calculation!DR150=18,Worksheet!$BD$11,IF(Calculation!DR150=30,Worksheet!$BD$12,IF(Calculation!DR150=42,Worksheet!$BD$13,IF(Calculation!DR150=54,Worksheet!$BD$14,IF(Calculation!DR150=66,Worksheet!$BD$15,IF(Calculation!DR150=78,Worksheet!$BD$16,IF(Calculation!DR150=90,Worksheet!$BD$17,IF(Calculation!DR150=102,Worksheet!$BD$18,Worksheet!$BD$19))))))))))),IF(Calculation!DS150=13.75,IF(Calculation!DR150=13,Worksheet!$BD$78,IF(Calculation!DR150=37,Worksheet!$BD$79,Worksheet!$BD$80)),IF(Calculation!DS150=10,IF(Calculation!DR150=18,Worksheet!$BD$64,IF(Calculation!DR150=30,Worksheet!$BD$65,IF(Calculation!DR150=42,Worksheet!$BD$66,IF(Calculation!DR150=54,Worksheet!$BD$68,IF(Calculation!DR150=66,Worksheet!$BD$68,IF(Calculation!DR150=78,Worksheet!$BD$69,IF(Calculation!DR150=90,Worksheet!$BD$70,IF(Calculation!DR150=102,Worksheet!$BD$71,Worksheet!$BD$72)))))))),IF(Calculation!DS150=12.5,IF(Calculation!DR150=18,Worksheet!$BD$73,IF(Calculation!DR150=Worksheet!$BD$74,IF(Calculation!DR150=42,Worksheet!$BD$75,IF(Calculation!DR150=54,Worksheet!$BD$76,Worksheet!$BD$77)))),IF(Calculation!DR150=18,Worksheet!$BD$55,IF(Calculation!DR150=30,Worksheet!$BD$56,IF(Calculation!DR150=42,Worksheet!$BD$57,IF(Calculation!DR150=54,Worksheet!$BD$58,IF(Calculation!DR150=66,Worksheet!$BD$59,IF(Calculation!DR150=78,Worksheet!$BD$60,IF(Calculation!DR150=90,Worksheet!$BD$61,IF(Calculation!DR150=102,Worksheet!$BD$62,Worksheet!$BD$63)))))))))))),5),0)," ")</f>
        <v xml:space="preserve"> </v>
      </c>
      <c r="EG150" s="361" t="str">
        <f t="shared" ref="EG150:EG213" si="468">IF(L150&gt;0,IF(BR150&gt;0,IF(U150&gt;EF150,2,1),0)," ")</f>
        <v xml:space="preserve"> </v>
      </c>
      <c r="EH150" s="361" t="e">
        <f ca="1">INDEX(INDIRECT(VLOOKUP(LEFT(BO150,7),CLU!$Z$3:$AH$18,7)),M150-1,3+LEFT(DZ150,1))</f>
        <v>#N/A</v>
      </c>
      <c r="EI150" s="362" t="str">
        <f t="shared" ref="EI150:EI213" si="469">IF(L150&gt;0,IF(O150="2 Pipe (Cooling)","N/A",IF(EE150="2P",ED150,HLOOKUP(LEFT(BO150,7),Sec_Coil_K,MATCH(LEFT(DY150,5),FourP_Coil_LU)+2)))," ")</f>
        <v xml:space="preserve"> </v>
      </c>
      <c r="EJ150" s="363" t="str">
        <f t="shared" ref="EJ150:EJ213" si="470">IF(L150&gt;0,IF(O150="2 pipe (cooling)",IF(G150&gt;0,$H$6+(G150/(1.085*W150*$S$14)),$H$13),$H$13)," ")</f>
        <v xml:space="preserve"> </v>
      </c>
      <c r="EK150" s="363" t="str">
        <f t="shared" ref="EK150:EK213" si="471">IF(L150&gt;0,IF(AX150=0,$H$6,$H$6+AX150/(1.085*$S$14*(R150*DF150)))," ")</f>
        <v xml:space="preserve"> </v>
      </c>
      <c r="EL150" s="363" t="str">
        <f t="shared" ref="EL150:EL213" si="472">IF(L150&gt;0,((R150*EJ150)+(DF150*R150*EK150))/(R150*(DF150+1))," ")</f>
        <v xml:space="preserve"> </v>
      </c>
      <c r="EM150" s="362" t="str">
        <f>IF(L150&gt;0,IF(BR150&gt;0,(Calculation!T150/ED150)^2,0)," ")</f>
        <v xml:space="preserve"> </v>
      </c>
      <c r="EN150" s="362" t="str">
        <f>IF(L150&gt;0,IF(O150="2 Pipe (Cooling)","N/A",IF(BR150&gt;0,(Calculation!U150/EI150)^2,0))," ")</f>
        <v xml:space="preserve"> </v>
      </c>
      <c r="EO150" s="361" t="str">
        <f t="shared" ref="EO150:EO213" si="473">IF($J150&gt;0,HLOOKUP($BO150,Avail_Lengths,3),"")</f>
        <v/>
      </c>
      <c r="EP150" s="361" t="str">
        <f t="shared" ref="EP150:EP213" si="474">IF($J150&gt;0,HLOOKUP($BO150,Avail_Lengths,4),"")</f>
        <v/>
      </c>
      <c r="EQ150" s="361" t="str">
        <f t="shared" ref="EQ150:EQ213" si="475">IF($J150&gt;0,HLOOKUP($BO150,Avail_Lengths,5),"")</f>
        <v/>
      </c>
      <c r="ER150" s="361" t="str">
        <f t="shared" ref="ER150:ER213" si="476">IF($J150&gt;0,HLOOKUP($BO150,Avail_Lengths,6),"")</f>
        <v/>
      </c>
      <c r="ES150" s="361" t="str">
        <f t="shared" ref="ES150:ES213" si="477">IF($J150&gt;0,HLOOKUP($BO150,Avail_Lengths,7),"")</f>
        <v/>
      </c>
      <c r="ET150" s="361" t="str">
        <f t="shared" ref="ET150:ET213" si="478">IF($J150&gt;0,HLOOKUP($BO150,Avail_Lengths,8),"")</f>
        <v/>
      </c>
      <c r="EU150" s="361" t="str">
        <f t="shared" ref="EU150:EU213" si="479">IF($J150&gt;0,HLOOKUP($BO150,Avail_Lengths,9),"")</f>
        <v/>
      </c>
      <c r="EV150" s="361" t="str">
        <f t="shared" ref="EV150:EV213" si="480">IF($J150&gt;0,HLOOKUP($BO150,Avail_Lengths,10),"")</f>
        <v/>
      </c>
      <c r="EW150" s="361" t="str">
        <f t="shared" ref="EW150:EW213" si="481">IF($J150&gt;0,HLOOKUP($BO150,Avail_Lengths,11),"")</f>
        <v/>
      </c>
      <c r="EX150" s="361" t="str">
        <f t="shared" si="371"/>
        <v>1 slot, 1 way</v>
      </c>
      <c r="EY150" s="361" t="str">
        <f t="shared" si="372"/>
        <v xml:space="preserve"> </v>
      </c>
      <c r="EZ150" s="361" t="str">
        <f t="shared" si="373"/>
        <v xml:space="preserve"> </v>
      </c>
      <c r="FA150" s="361" t="str">
        <f t="shared" si="374"/>
        <v xml:space="preserve"> </v>
      </c>
      <c r="FB150" s="361" t="str">
        <f t="shared" si="375"/>
        <v xml:space="preserve"> </v>
      </c>
      <c r="FC150" s="361"/>
      <c r="FD150" s="361" t="str">
        <f>IF(J150&gt;0,IF(Calculation!R150&lt;=70,4,IF(Calculation!R150&lt;=110,5,IF(Calculation!R150&lt;=160,6,IF(Calculation!R150&lt;=300,8,"10 EO")))),"")</f>
        <v/>
      </c>
      <c r="FE150" s="361" t="str">
        <f t="shared" si="376"/>
        <v/>
      </c>
      <c r="FF150" s="361" t="str">
        <f t="shared" si="377"/>
        <v/>
      </c>
      <c r="FG150" s="361" t="e">
        <f t="shared" ref="FG150:FG213" si="482">HLOOKUP(LEFT(BO150,7),Approx_Cool,3)*IFERROR((BQ150/VALUE(LEFT(EY150))),1)</f>
        <v>#N/A</v>
      </c>
      <c r="FH150" s="361">
        <f t="shared" ref="FH150:FH213" si="483">F150/$CB$8</f>
        <v>0</v>
      </c>
      <c r="FI150" s="361" t="e">
        <f t="shared" ref="FI150:FI213" si="484">(F150/$CB$8)/L150</f>
        <v>#DIV/0!</v>
      </c>
      <c r="FJ150" s="361"/>
      <c r="FK150" s="356" t="e">
        <f t="shared" ref="FK150:FK213" si="485">0+X150</f>
        <v>#VALUE!</v>
      </c>
      <c r="FL150" s="361"/>
      <c r="FM150" s="361"/>
      <c r="FN150" s="362" t="str">
        <f t="shared" si="378"/>
        <v xml:space="preserve"> </v>
      </c>
      <c r="FO150" s="362" t="str">
        <f t="shared" si="379"/>
        <v xml:space="preserve"> </v>
      </c>
      <c r="FP150" s="362">
        <f t="shared" si="380"/>
        <v>0</v>
      </c>
      <c r="FQ150" s="361">
        <f t="shared" ref="FQ150:FQ213" si="486">IF(T150=0,0,IF(T150&lt;FP150,1,0))</f>
        <v>0</v>
      </c>
      <c r="FR150" s="362" t="str">
        <f>IF(L150&gt;0,IF(J150="CBAL2",Worksheet!$P$67,IF(J150="CBE2-24",Worksheet!$Q$67,IF(J150="CBAM",Worksheet!$R$67,IF(J150="CBLV",Worksheet!$S$67,IF(J150="CBAB",Worksheet!$U$67,IF(J150="CBAW",Worksheet!$X$67,IF(J150="CBE2-12",Worksheet!$Y$67,IF(J150="CBAL2",Worksheet!$Z$67,"N/A"))))))))," ")</f>
        <v xml:space="preserve"> </v>
      </c>
      <c r="FS150" s="362" t="str">
        <f>IF(L150&gt;0,IF(J150="CBAL2",Worksheet!$P$68,IF(J150="CBE2-24",Worksheet!$Q$68,IF(J150="CBAM",Worksheet!$R$68,IF(J150="CBLV",Worksheet!$S$68,IF(J150="CBAB",Worksheet!$U$68,IF(J150="CBAW",Worksheet!$X$68,IF(J150="CBE2-12",Worksheet!$Y$68,IF(J150="CBAL2",Worksheet!$Z$68,"N/A"))))))))," ")</f>
        <v xml:space="preserve"> </v>
      </c>
      <c r="FT150" s="362" t="str">
        <f>IF(L150&gt;0,IF(J150="CBAL2",Worksheet!$P$69,IF(J150="CBE2-24",Worksheet!$Q$69,IF(J150="CBAM",Worksheet!$R$69,IF(J150="CBLV",Worksheet!$S$69,IF(J150="CBAB",Worksheet!$U$69,IF(J150="CBAW",Worksheet!$X$69,IF(J150="CBE2-12",Worksheet!$Y$69,IF(J150="CBAL2",Worksheet!$Z$69,"N/A"))))))))," ")</f>
        <v xml:space="preserve"> </v>
      </c>
      <c r="FU150" s="361" t="str">
        <f t="shared" si="381"/>
        <v xml:space="preserve"> </v>
      </c>
      <c r="FV150" s="362" t="str">
        <f t="shared" si="382"/>
        <v xml:space="preserve"> </v>
      </c>
      <c r="FW150" s="362" t="str">
        <f t="shared" si="383"/>
        <v xml:space="preserve"> </v>
      </c>
      <c r="FX150" s="362" t="str">
        <f t="shared" si="384"/>
        <v xml:space="preserve"> </v>
      </c>
      <c r="FY150" s="355" t="str">
        <f t="shared" si="385"/>
        <v xml:space="preserve"> </v>
      </c>
      <c r="FZ150" s="361" t="str">
        <f t="shared" si="386"/>
        <v xml:space="preserve"> </v>
      </c>
      <c r="GA150" s="347" t="str">
        <f t="shared" si="387"/>
        <v xml:space="preserve"> </v>
      </c>
      <c r="GB150" s="355" t="str">
        <f t="shared" si="388"/>
        <v xml:space="preserve"> </v>
      </c>
      <c r="GC150" s="328" t="str">
        <f t="shared" si="389"/>
        <v xml:space="preserve"> </v>
      </c>
      <c r="GD150" s="361" t="str">
        <f t="shared" si="390"/>
        <v xml:space="preserve"> </v>
      </c>
      <c r="GE150" s="347" t="str">
        <f t="shared" si="391"/>
        <v xml:space="preserve"> </v>
      </c>
      <c r="GF150" s="361" t="str">
        <f t="shared" si="392"/>
        <v xml:space="preserve"> </v>
      </c>
      <c r="GG150" s="347" t="str">
        <f t="shared" si="393"/>
        <v xml:space="preserve"> </v>
      </c>
      <c r="GH150" s="364">
        <f t="shared" ref="GH150:GH213" si="487">IFERROR(IF(AZ150="",0,AZ150-$H$6),0)</f>
        <v>0</v>
      </c>
      <c r="GI150" s="362">
        <f t="shared" si="394"/>
        <v>2</v>
      </c>
      <c r="GJ150" s="433" t="e">
        <f>IF(6-COUNTBLANK(GT150:GY150)=4,MATCH(MID(BO150,9,3),CLU!$H$16:$K$16),MATCH(MID(BO150,9,3),CLU!$H$13:$M$13))</f>
        <v>#N/A</v>
      </c>
      <c r="GK150" s="433" t="e">
        <f>HLOOKUP(VALUE(BP150),CLU!$H$9:$M$10,2)</f>
        <v>#VALUE!</v>
      </c>
      <c r="GL150" s="433" t="e">
        <f ca="1">MATCH(BU150,CLU!$H$2:$V$2,1)</f>
        <v>#VALUE!</v>
      </c>
      <c r="GM150" s="433" t="e">
        <f t="shared" ca="1" si="395"/>
        <v>#VALUE!</v>
      </c>
      <c r="GN150" s="433" t="e">
        <f t="shared" ca="1" si="396"/>
        <v>#VALUE!</v>
      </c>
      <c r="GO150" s="433" t="e">
        <f t="shared" ca="1" si="397"/>
        <v>#VALUE!</v>
      </c>
      <c r="GP150" s="433" t="e">
        <f t="shared" ca="1" si="398"/>
        <v>#VALUE!</v>
      </c>
      <c r="GQ150" s="433" t="e">
        <f t="shared" ca="1" si="399"/>
        <v>#VALUE!</v>
      </c>
      <c r="GR150" s="433" t="e">
        <f ca="1">MATCH(T150,INDIRECT(VLOOKUP(CONCATENATE(LEFT(BO150,7),"-",MID(BO150,13,1)),CLU!$P$3:$Q$16,2)),1)</f>
        <v>#N/A</v>
      </c>
      <c r="GS150" s="433" t="e">
        <f ca="1">MATCH(U150,INDIRECT(VLOOKUP(CONCATENATE(LEFT(BO150,7),"-",MID(BO150,13,1)),CLU!$P$3:$Q$16,2)),1)</f>
        <v>#N/A</v>
      </c>
      <c r="GT150" s="347" t="s">
        <v>512</v>
      </c>
      <c r="GU150" s="97" t="s">
        <v>513</v>
      </c>
      <c r="GV150" s="97" t="str">
        <f t="shared" si="400"/>
        <v>M23</v>
      </c>
      <c r="GW150" s="97" t="str">
        <f t="shared" si="401"/>
        <v>M31</v>
      </c>
      <c r="GX150" s="97" t="str">
        <f t="shared" si="402"/>
        <v/>
      </c>
      <c r="GY150" s="97" t="str">
        <f t="shared" si="403"/>
        <v/>
      </c>
      <c r="GZ150" s="481"/>
      <c r="HA150" s="288"/>
      <c r="HB150" s="240"/>
      <c r="HC150" s="240"/>
      <c r="HD150" s="240"/>
      <c r="HE150" s="240"/>
      <c r="HF150" s="240"/>
      <c r="HG150" s="240"/>
      <c r="HH150" s="240"/>
      <c r="HI150" s="240"/>
      <c r="HJ150" s="240"/>
      <c r="HK150" s="240"/>
      <c r="HL150" s="240"/>
      <c r="HM150" s="240"/>
      <c r="HN150" s="240"/>
      <c r="HO150" s="240"/>
      <c r="HP150" s="240"/>
      <c r="HQ150" s="240"/>
      <c r="HR150" s="240"/>
      <c r="HS150" s="240"/>
      <c r="HT150" s="240"/>
      <c r="HU150" s="240"/>
      <c r="HV150" s="245"/>
      <c r="HW150" s="245" t="b">
        <v>1</v>
      </c>
      <c r="HX150" s="245" t="str">
        <f t="shared" ref="HX150:HX213" si="488">IF(J150="","",CONCATENATE(LEFT(BO150,7),"-",BQ150,"-",LEFT(O150,1)))</f>
        <v/>
      </c>
      <c r="HY150" s="245" t="e">
        <f t="shared" ref="HY150:HY213" si="489">ROUNDUP(MAX(H150/L150,FI150),0)</f>
        <v>#DIV/0!</v>
      </c>
      <c r="HZ150" s="245" t="e">
        <f t="shared" ref="HZ150:HZ213" si="490">ROUNDUP((E150/L150)*$X$5,0)</f>
        <v>#DIV/0!</v>
      </c>
      <c r="IA150" s="245">
        <f t="shared" ref="IA150:IA213" si="491">IF(G150=0,0,G150/L150)</f>
        <v>0</v>
      </c>
      <c r="IB150" s="245"/>
      <c r="IC150" t="b">
        <f t="shared" ref="IC150:IC213" si="492">ISBLANK(E150)</f>
        <v>1</v>
      </c>
      <c r="ID150" s="245" t="b">
        <f t="shared" ref="ID150:ID213" si="493">ISBLANK(J150)</f>
        <v>1</v>
      </c>
      <c r="IE150" s="245" t="b">
        <f t="shared" ref="IE150:IE213" si="494">ISBLANK(J150)</f>
        <v>1</v>
      </c>
      <c r="IF150" s="245" t="b">
        <f t="shared" ref="IF150:IF213" si="495">ISNUMBER(L150)</f>
        <v>0</v>
      </c>
      <c r="IG150" s="245" t="b">
        <f t="shared" ref="IG150:IG213" si="496">ISBLANK(N150)</f>
        <v>1</v>
      </c>
      <c r="IH150" s="245" t="b">
        <f t="shared" ref="IH150:IH213" si="497">ISBLANK(O150)</f>
        <v>1</v>
      </c>
      <c r="II150" s="245">
        <f t="shared" si="404"/>
        <v>0</v>
      </c>
      <c r="IJ150" s="245" t="e">
        <f t="shared" ref="IJ150:IJ213" si="498">INT(ABS(AQ150))</f>
        <v>#VALUE!</v>
      </c>
      <c r="IK150" s="245" t="e">
        <f t="shared" ref="IK150:IK213" si="499">INT(ABS(AY150))</f>
        <v>#VALUE!</v>
      </c>
      <c r="IL150" s="245"/>
      <c r="IM150" s="245" t="e">
        <f t="shared" si="405"/>
        <v>#N/A</v>
      </c>
      <c r="IN150" s="245" t="e">
        <f t="shared" si="406"/>
        <v>#N/A</v>
      </c>
      <c r="IO150" s="245"/>
      <c r="IP150" s="245"/>
      <c r="IQ150" s="245" t="str">
        <f t="shared" ref="IQ150:IQ213" si="500">IF(J150="","",$X$8)</f>
        <v/>
      </c>
      <c r="IR150" s="245" t="str">
        <f>IF(J150="","",VLOOKUP(J150,Worksheet!$R$4:$T$14,2))</f>
        <v/>
      </c>
      <c r="IS150" s="245"/>
      <c r="IT150" s="245">
        <f t="shared" ref="IT150:IT213" si="501">IF((L150&gt;0),1,0)</f>
        <v>0</v>
      </c>
      <c r="IU150" s="245">
        <f t="shared" ref="IU150:IU213" si="502">IFERROR(MATCH(M150,EO150:EW150,0),0)</f>
        <v>0</v>
      </c>
      <c r="IV150" s="245">
        <f t="shared" ref="IV150:IV213" si="503">IFERROR(MATCH(N150,EX150:EY150,0),0)</f>
        <v>0</v>
      </c>
      <c r="IW150" s="245">
        <f t="shared" ref="IW150:IW213" si="504">IFERROR(MATCH(O150,EZ150:FC150,0),0)</f>
        <v>0</v>
      </c>
      <c r="IX150" s="245">
        <f t="shared" si="407"/>
        <v>0</v>
      </c>
      <c r="IY150" s="245">
        <f t="shared" ref="IY150:IY213" si="505">IF(LEN(S150)=0,0,1)</f>
        <v>0</v>
      </c>
      <c r="IZ150" s="245">
        <f t="shared" ref="IZ150:IZ213" si="506">IFERROR(IF((R150&gt;BS150*1250),1,0),0)</f>
        <v>0</v>
      </c>
      <c r="JA150">
        <f t="shared" ref="JA150:JA213" si="507">IFERROR(IF(AND(T150&gt;0.24,T150&lt;(IN150+0.01)),1,0),0)</f>
        <v>0</v>
      </c>
      <c r="JB150">
        <f t="shared" si="408"/>
        <v>0</v>
      </c>
      <c r="JC150">
        <f t="shared" ref="JC150:JC213" si="508">IF($JB150=1,W150,0)</f>
        <v>0</v>
      </c>
      <c r="JD150">
        <f t="shared" ref="JD150:JD213" si="509">IF($JB150=1,Z150,0)</f>
        <v>0</v>
      </c>
      <c r="JE150">
        <f t="shared" ref="JE150:JE213" si="510">IF($JB150=1,AA150,0)</f>
        <v>0</v>
      </c>
      <c r="JF150">
        <f t="shared" ref="JF150:JF213" si="511">IF($JB150=1,AF150,0)</f>
        <v>0</v>
      </c>
      <c r="JG150">
        <f t="shared" ref="JG150:JG213" si="512">IF($JB150=1,L150,0)</f>
        <v>0</v>
      </c>
      <c r="JH150">
        <f t="shared" ref="JH150:JH213" si="513">IF($JB150=1,L150*M150,0)</f>
        <v>0</v>
      </c>
      <c r="JI150">
        <f t="shared" ref="JI150:JI213" si="514">IF($JB150=1,AO150*L150,0)</f>
        <v>0</v>
      </c>
      <c r="JJ150" s="447">
        <f t="shared" ref="JJ150:JJ213" si="515">ABS(IF($JB150=1,AP150*L150,0))</f>
        <v>0</v>
      </c>
      <c r="JK150" s="447">
        <f t="shared" ref="JK150:JK213" si="516">ABS(IF($JB150=1,AE150,0))</f>
        <v>0</v>
      </c>
      <c r="JL150">
        <f t="shared" ref="JL150:JL213" si="517">IF($JB150=1,AI150,0)</f>
        <v>0</v>
      </c>
      <c r="JM150" s="245" t="str">
        <f>IFERROR(VLOOKUP(MATCH(BN150,#REF!,0),#REF!,7),"")</f>
        <v/>
      </c>
      <c r="JN150" t="e">
        <f>HLOOKUP(LEFT(BO150,7),Discharge_Area,MATCH(JO150,LookUps!$B$130:$B$149,1)+2)</f>
        <v>#N/A</v>
      </c>
      <c r="JO150" t="str">
        <f t="shared" ref="JO150:JO213" si="518">CONCATENATE(M150,"-",BQ150,"S")</f>
        <v>- S</v>
      </c>
      <c r="JP150" t="e">
        <f>HLOOKUP(LEFT(BO150,7),Discharge_Area,MATCH(JO150,LookUps!$B$130:$B$149,1)+2)</f>
        <v>#N/A</v>
      </c>
      <c r="JQ150" t="e">
        <f t="shared" ref="JQ150:JQ213" si="519">HLOOKUP(LEFT(BO150,7),Throw_Coeff,3)</f>
        <v>#N/A</v>
      </c>
      <c r="JR150" t="e">
        <f t="shared" ref="JR150:JR213" si="520">HLOOKUP(LEFT(BO150,7),Throw_Coeff,4)</f>
        <v>#N/A</v>
      </c>
      <c r="JS150" t="e">
        <f t="shared" ref="JS150:JS213" si="521">HLOOKUP(LEFT(BO150,7),Throw_Coeff,5)</f>
        <v>#N/A</v>
      </c>
      <c r="JT150" s="532" t="str">
        <f t="shared" ref="JT150:JT213" si="522">IF(L150&gt;0,AS150-$F$6," ")</f>
        <v xml:space="preserve"> </v>
      </c>
      <c r="JU150" s="532" t="str">
        <f t="shared" ref="JU150:JU213" si="523">IF(L150&gt;0,AZ150-$H$6," ")</f>
        <v xml:space="preserve"> </v>
      </c>
      <c r="JV150" s="533" t="str">
        <f t="shared" ref="JV150:JV213" si="524">IF(L150&gt;0,LH150/JP150," ")</f>
        <v xml:space="preserve"> </v>
      </c>
      <c r="JW150" s="534">
        <f t="shared" ref="JW150:JW213" si="525">IF(L150&gt;0,IF(BD150&gt;0,IF(BE150&gt;0,IF(BF150&gt;0,BF150+(BD150-BE150),0),0),0),0)</f>
        <v>0</v>
      </c>
      <c r="JX150" s="535" t="str">
        <f t="shared" si="409"/>
        <v xml:space="preserve"> </v>
      </c>
      <c r="JY150" s="535" t="str">
        <f t="shared" si="410"/>
        <v xml:space="preserve"> </v>
      </c>
      <c r="JZ150" s="535" t="str">
        <f t="shared" si="411"/>
        <v xml:space="preserve"> </v>
      </c>
      <c r="KA150" s="536" t="str">
        <f t="shared" ref="KA150:KA213" si="526">IF(JW150&gt;0,0.8*(JV150/200)^0.2*(M150/4)^0.05," ")</f>
        <v xml:space="preserve"> </v>
      </c>
      <c r="KB150" s="535" t="e">
        <f t="shared" si="412"/>
        <v>#VALUE!</v>
      </c>
      <c r="KC150" s="535" t="str">
        <f t="shared" ref="KC150:KC213" si="527">IF(U150=0,"",IF(JW150&gt;0,KA150*0.8*MIN(JX150:JZ150)/(JU150/10)^0.3," "))</f>
        <v/>
      </c>
      <c r="KD150" s="537" t="str">
        <f t="shared" si="413"/>
        <v xml:space="preserve"> </v>
      </c>
      <c r="KE150" s="537" t="str">
        <f t="shared" si="414"/>
        <v xml:space="preserve"> </v>
      </c>
      <c r="KF150" s="534">
        <f t="shared" ref="KF150:KF213" si="528">IF(L150&gt;0,IF(BG150&gt;0,IF(BD150&gt;0,IF(BE150&gt;0,BG150/2,0),0),0),0)</f>
        <v>0</v>
      </c>
      <c r="KG150" s="535" t="str">
        <f t="shared" ref="KG150:KG213" si="529">IF(KF150&gt;0,JV150/(BG150*0.5/JQ150/SQRT(JP150/2))^0.5," ")</f>
        <v xml:space="preserve"> </v>
      </c>
      <c r="KH150" s="535" t="str">
        <f t="shared" ref="KH150:KH213" si="530">IF(KF150&gt;0,JV150/(BG150*0.5/JR150/SQRT(JP150/2))," ")</f>
        <v xml:space="preserve"> </v>
      </c>
      <c r="KI150" s="535" t="str">
        <f t="shared" ref="KI150:KI213" si="531">IF(KF150&gt;0,JV150/(BG150*0.5/JS150/SQRT(JP150/2))^2," ")</f>
        <v xml:space="preserve"> </v>
      </c>
      <c r="KJ150" s="536" t="str">
        <f t="shared" ref="KJ150:KJ213" si="532">IF(KF150&gt;0,3.3/(BD150-BE150)*0.53*0.8*(JV150/200)^0.2*(M150/4)^0.05," ")</f>
        <v xml:space="preserve"> </v>
      </c>
      <c r="KK150" s="535" t="str">
        <f t="shared" si="415"/>
        <v xml:space="preserve"> </v>
      </c>
      <c r="KL150" s="535" t="str">
        <f t="shared" si="416"/>
        <v xml:space="preserve"> </v>
      </c>
      <c r="KM150" s="537" t="str">
        <f t="shared" ref="KM150:KM213" si="533">IF(KF150&gt;0,0.35*KD150*(BG150*0.5+(BD150-BE150))/JW150," ")</f>
        <v xml:space="preserve"> </v>
      </c>
      <c r="KN150" s="537" t="str">
        <f t="shared" si="417"/>
        <v xml:space="preserve"> </v>
      </c>
      <c r="KP150">
        <f t="shared" ref="KP150:KP213" si="534">12*500*T150</f>
        <v>0</v>
      </c>
      <c r="LA150" t="e">
        <f t="shared" ref="LA150:LA213" si="535">(2.241*(LN(BS150))-5.325)</f>
        <v>#VALUE!</v>
      </c>
      <c r="LB150" t="e">
        <f t="shared" ref="LB150:LB213" si="536">(24.173*(LN(DC150+DE150))+133.37)</f>
        <v>#VALUE!</v>
      </c>
      <c r="LC150" t="e">
        <f t="shared" ref="LC150:LC213" si="537">IF(DD150&lt;590,15.827*(LN(590))-83.608,(15.827*(LN(DD150))-83.608))</f>
        <v>#VALUE!</v>
      </c>
      <c r="LD150" t="e">
        <f t="shared" ref="LD150:LD213" si="538">(35.444*(LN(BT150))-187.23)</f>
        <v>#VALUE!</v>
      </c>
      <c r="LE150" t="e">
        <f t="shared" si="418"/>
        <v>#VALUE!</v>
      </c>
      <c r="LF150">
        <f t="shared" ref="LF150:LF213" si="539">IF(AND(R150&gt;210,P150="M31")=TRUE,((R150-210)/26),0)</f>
        <v>0</v>
      </c>
      <c r="LG150" t="e">
        <f t="shared" si="419"/>
        <v>#VALUE!</v>
      </c>
      <c r="LH150" t="str">
        <f t="shared" ref="LH150:LH213" si="540">IF((JB150&gt;0),(DF150+1)*R150," ")</f>
        <v xml:space="preserve"> </v>
      </c>
      <c r="LI150">
        <f t="shared" si="420"/>
        <v>1</v>
      </c>
    </row>
    <row r="151" spans="2:321" ht="15" customHeight="1">
      <c r="B151" s="311"/>
      <c r="C151" s="311"/>
      <c r="D151" s="312"/>
      <c r="E151" s="311"/>
      <c r="F151" s="312"/>
      <c r="G151" s="311"/>
      <c r="H151" s="311"/>
      <c r="I151" s="37"/>
      <c r="J151" s="311"/>
      <c r="K151" s="305" t="str">
        <f t="shared" ref="K151:K214" si="541">IF(AND(E151&gt;0,J151&gt;0),ROUNDUP(MAX(D151/$X$9,E151/FG151,H151/220,FH151/220),0),"")</f>
        <v/>
      </c>
      <c r="L151" s="313"/>
      <c r="M151" s="312"/>
      <c r="N151" s="311"/>
      <c r="O151" s="312"/>
      <c r="P151" s="311"/>
      <c r="Q151" s="305" t="str">
        <f t="shared" ref="Q151:Q214" si="542">IF(AND(J151&gt;0,L151&gt;0,M151&gt;0,N151&gt;0,O151&gt;0,P151&gt;0),ROUNDUP(MAX(H151/L151,BS151*1250,FI151),0),"")</f>
        <v/>
      </c>
      <c r="R151" s="314"/>
      <c r="S151" s="450" t="str">
        <f t="shared" si="425"/>
        <v/>
      </c>
      <c r="T151" s="315"/>
      <c r="U151" s="315"/>
      <c r="W151" s="149" t="str">
        <f t="shared" si="426"/>
        <v xml:space="preserve"> </v>
      </c>
      <c r="X151" s="243" t="str">
        <f t="shared" si="427"/>
        <v xml:space="preserve"> </v>
      </c>
      <c r="Y151" s="150" t="str">
        <f t="shared" si="428"/>
        <v/>
      </c>
      <c r="Z151" s="149" t="str">
        <f t="shared" si="429"/>
        <v xml:space="preserve"> </v>
      </c>
      <c r="AA151" s="98" t="str">
        <f t="shared" si="430"/>
        <v xml:space="preserve"> </v>
      </c>
      <c r="AB151" s="153" t="str">
        <f t="shared" si="431"/>
        <v xml:space="preserve"> </v>
      </c>
      <c r="AC151" s="153" t="str">
        <f t="shared" si="432"/>
        <v xml:space="preserve"> </v>
      </c>
      <c r="AD151" s="148" t="str">
        <f t="shared" si="433"/>
        <v/>
      </c>
      <c r="AE151" s="149" t="str">
        <f t="shared" si="434"/>
        <v/>
      </c>
      <c r="AF151" s="151" t="str">
        <f t="shared" si="435"/>
        <v xml:space="preserve"> </v>
      </c>
      <c r="AG151" s="153" t="str">
        <f t="shared" si="436"/>
        <v xml:space="preserve"> </v>
      </c>
      <c r="AH151" s="98" t="str">
        <f t="shared" si="437"/>
        <v xml:space="preserve"> </v>
      </c>
      <c r="AI151" s="149" t="str">
        <f t="shared" si="438"/>
        <v xml:space="preserve"> </v>
      </c>
      <c r="AK151" s="144" t="str">
        <f t="shared" si="439"/>
        <v xml:space="preserve"> </v>
      </c>
      <c r="AL151" s="144"/>
      <c r="AM151" s="243" t="str">
        <f t="shared" si="440"/>
        <v xml:space="preserve"> </v>
      </c>
      <c r="AN151" s="149" t="str">
        <f t="shared" ref="AN151:AN214" si="543">IF((JB151&gt;0),LG151," ")</f>
        <v xml:space="preserve"> </v>
      </c>
      <c r="AO151" s="144" t="str">
        <f>IF(JB151&gt;0,IF(GI151=10,-R151*1.085*(Calculation!$F$6-Calculation!$F$13)*$S$14," "),"")</f>
        <v/>
      </c>
      <c r="AP151" s="144" t="str">
        <f t="shared" si="441"/>
        <v/>
      </c>
      <c r="AQ151" s="56" t="str">
        <f t="shared" si="442"/>
        <v/>
      </c>
      <c r="AR151" s="144" t="str">
        <f t="shared" si="443"/>
        <v/>
      </c>
      <c r="AS151" s="176" t="str">
        <f t="shared" si="444"/>
        <v/>
      </c>
      <c r="AT151" s="176" t="str">
        <f t="shared" ref="AT151:AT214" si="544">IF(GI151=10,EM151," ")</f>
        <v xml:space="preserve"> </v>
      </c>
      <c r="AU151" s="176" t="str">
        <f t="shared" si="445"/>
        <v/>
      </c>
      <c r="AV151" s="177" t="str">
        <f t="shared" si="446"/>
        <v xml:space="preserve"> </v>
      </c>
      <c r="AW151" s="144" t="str">
        <f t="shared" si="447"/>
        <v xml:space="preserve"> </v>
      </c>
      <c r="AX151" s="144" t="str">
        <f t="shared" si="448"/>
        <v xml:space="preserve"> </v>
      </c>
      <c r="AY151" s="152" t="str">
        <f t="shared" si="449"/>
        <v xml:space="preserve"> </v>
      </c>
      <c r="AZ151" s="246" t="str">
        <f t="shared" si="450"/>
        <v/>
      </c>
      <c r="BA151" s="176" t="str">
        <f t="shared" si="451"/>
        <v xml:space="preserve"> </v>
      </c>
      <c r="BB151" s="176" t="str">
        <f t="shared" si="452"/>
        <v xml:space="preserve"> </v>
      </c>
      <c r="BC151" s="195"/>
      <c r="BD151" s="316"/>
      <c r="BE151" s="317"/>
      <c r="BF151" s="318"/>
      <c r="BG151" s="318"/>
      <c r="BH151" s="144" t="str">
        <f t="shared" si="421"/>
        <v xml:space="preserve"> </v>
      </c>
      <c r="BI151" s="176" t="str">
        <f t="shared" si="453"/>
        <v/>
      </c>
      <c r="BJ151" s="144" t="str">
        <f t="shared" si="422"/>
        <v/>
      </c>
      <c r="BK151" s="246" t="str">
        <f t="shared" si="454"/>
        <v/>
      </c>
      <c r="BL151" s="144" t="str">
        <f t="shared" si="423"/>
        <v/>
      </c>
      <c r="BM151" s="246" t="str">
        <f t="shared" si="455"/>
        <v/>
      </c>
      <c r="BN151" s="337" t="str">
        <f t="shared" ref="BN151:BN214" si="545">IF(COUNTBLANK(L151:T151)+COUNTBLANK(J151)=0,CONCATENATE(BO151,"-",R151,"-",S151,"-",T151,"-",U151),"")</f>
        <v/>
      </c>
      <c r="BO151" s="371" t="str">
        <f t="shared" ref="BO151:BO214" si="546">IF(AND(J151="",N151="",O151=""),"",CONCATENATE(J151,(IF(LEN(J151)=4,("-00"),IF(LEN(J151)=5,("-0"),""))),"-",P151,"-",(LEFT(N151,1)),"-",M151,"-",(LEFT(O151,1))))</f>
        <v/>
      </c>
      <c r="BP151" s="328" t="str">
        <f t="shared" si="424"/>
        <v xml:space="preserve"> </v>
      </c>
      <c r="BQ151" s="347" t="str">
        <f t="shared" ref="BQ151:BQ214" si="547">LEFT(BP151,1)</f>
        <v xml:space="preserve"> </v>
      </c>
      <c r="BR151" s="353" t="str">
        <f t="shared" ref="BR151:BR214" si="548">IF(L151&gt;0,HLOOKUP(LEFT(BO151,7),Noz_Qty,(MATCH(CONCATENATE(IF(LEN(M151)=1,("0"),""),M151,"-",LEFT(BP151,1),"S"),Len_SlotLU,0)+2))," ")</f>
        <v xml:space="preserve"> </v>
      </c>
      <c r="BS151" s="626" t="str">
        <f>IF(L151&gt;0,IF(Calculation!P151="M13",BR151*3.1416*(0.134^2)/(4*144),IF(Calculation!P151="M17",BR151*3.1416*(0.165^2)/(4*144),IF(Calculation!P151="M20",BR151*3.1416*(0.198^2)/(4*144),IF(Calculation!P151="M23",BR151*3.1416*(0.228^2)/(4*144),IF(Calculation!P151="M27",BR151*3.1416*(0.269^2)/(4*144),BR151*3.1416*(0.307^2)/(4*144))))))," ")</f>
        <v xml:space="preserve"> </v>
      </c>
      <c r="BT151" s="353" t="str">
        <f>IF(L151&gt;0,IF(BS151&gt;0,R151/Calculation!BS151,0)," ")</f>
        <v xml:space="preserve"> </v>
      </c>
      <c r="BU151" s="438" t="e">
        <f t="shared" ca="1" si="456"/>
        <v>#VALUE!</v>
      </c>
      <c r="BV151" s="449" t="e">
        <f ca="1">INDEX(INDIRECT(VLOOKUP(LEFT(BO151,7),CLU!$Z$3:$AH$18,2)),GN151,GR151)</f>
        <v>#N/A</v>
      </c>
      <c r="BW151" s="433" t="e">
        <f ca="1">INDEX(INDIRECT(VLOOKUP(LEFT(BO151,7),CLU!$Z$3:$AH$18,3)),GN151,GR151)</f>
        <v>#N/A</v>
      </c>
      <c r="BX151" s="433" t="e">
        <f ca="1">INDEX(INDIRECT(VLOOKUP(LEFT(BO151,7),CLU!$Z$3:$AH$18,4)),GN151,GR151)</f>
        <v>#N/A</v>
      </c>
      <c r="BY151" s="433" t="e">
        <f ca="1">INDEX(INDIRECT(VLOOKUP(LEFT(BO151,7),CLU!$Z$3:$AH$18,9)),((M151-2)*(6-COUNTBLANK(GT151:GY151)))+GJ151)</f>
        <v>#N/A</v>
      </c>
      <c r="BZ151" s="426" t="e">
        <f t="shared" ref="BZ151:BZ214" ca="1" si="549">((BV151*T151)+BW151)*BX151*BY151</f>
        <v>#N/A</v>
      </c>
      <c r="CA151" s="424" t="e">
        <f t="shared" ref="CA151:CA214" ca="1" si="550">BZ151*DJ151*$BT$8</f>
        <v>#N/A</v>
      </c>
      <c r="CB151" s="429" t="e">
        <f ca="1">INDEX(INDIRECT(VLOOKUP(LEFT(BO151,7),CLU!$Z$3:$AH$18,2)),GN151,GS151)</f>
        <v>#N/A</v>
      </c>
      <c r="CC151" s="342" t="e">
        <f ca="1">INDEX(INDIRECT(VLOOKUP(LEFT(BO151,7),CLU!$Z$3:$AH$18,3)),GN151,GS151)</f>
        <v>#N/A</v>
      </c>
      <c r="CD151" s="342" t="e">
        <f ca="1">INDEX(INDIRECT(VLOOKUP(LEFT(BO151,7),CLU!$Z$3:$AH$18,4)),GN151,GS151)</f>
        <v>#N/A</v>
      </c>
      <c r="CE151" s="426" t="e">
        <f t="shared" ref="CE151:CE214" ca="1" si="551">((CB151*U151)+CC151)*CD151*BY151</f>
        <v>#N/A</v>
      </c>
      <c r="CF151" s="440">
        <f t="shared" ref="CF151:CF214" si="552">IF(U151=0,0,IF(O151="2 pipe (cooling)",0,CE151*DK151))*$BV$8</f>
        <v>0</v>
      </c>
      <c r="CG151" s="431" t="e">
        <f ca="1">INDEX(INDIRECT(VLOOKUP(LEFT(BO151,7),CLU!$Z$3:$AH$18,2)),GQ151,GR151)</f>
        <v>#N/A</v>
      </c>
      <c r="CH151" s="431" t="e">
        <f ca="1">INDEX(INDIRECT(VLOOKUP(LEFT(BO151,7),CLU!$Z$3:$AH$18,3)),GQ151,GR151)</f>
        <v>#N/A</v>
      </c>
      <c r="CI151" s="431" t="e">
        <f ca="1">INDEX(INDIRECT(VLOOKUP(LEFT(BO151,7),CLU!$Z$3:$AH$18,4)),GQ151,GR151)</f>
        <v>#N/A</v>
      </c>
      <c r="CJ151" s="448" t="e">
        <f t="shared" ref="CJ151:CJ214" ca="1" si="553">BY151</f>
        <v>#N/A</v>
      </c>
      <c r="CK151" s="431" t="e">
        <f t="shared" ref="CK151:CK214" ca="1" si="554">((CG151*T151)+CH151)*CI151*CJ151</f>
        <v>#N/A</v>
      </c>
      <c r="CL151" s="440" t="e">
        <f t="shared" ref="CL151:CL214" ca="1" si="555">CK151*DJ151*$BT$8</f>
        <v>#N/A</v>
      </c>
      <c r="CM151" s="431" t="e">
        <f ca="1">INDEX(INDIRECT(VLOOKUP(LEFT(BO151,7),CLU!$Z$3:$AH$18,2)),GQ151,GS151)</f>
        <v>#N/A</v>
      </c>
      <c r="CN151" s="431" t="e">
        <f ca="1">INDEX(INDIRECT(VLOOKUP(LEFT(BO151,7),CLU!$Z$3:$AH$18,3)),GQ151,GS151)</f>
        <v>#N/A</v>
      </c>
      <c r="CO151" s="431" t="e">
        <f ca="1">INDEX(INDIRECT(VLOOKUP(LEFT(BO151,7),CLU!$Z$3:$AH$18,4)),GQ151,GS151)</f>
        <v>#N/A</v>
      </c>
      <c r="CP151" s="431" t="e">
        <f t="shared" ref="CP151:CP214" ca="1" si="556">((CM151*U151)+CN151)*CO151*CJ151</f>
        <v>#N/A</v>
      </c>
      <c r="CQ151" s="440">
        <f t="shared" ref="CQ151:CQ214" si="557">IF(U151=0,0,IF(O151="2 pipe (cooling)",0,CP151*DK151))*$BV$8</f>
        <v>0</v>
      </c>
      <c r="CR151" s="51" t="e">
        <f t="shared" ref="CR151:CR214" ca="1" si="558">CL151-CA151</f>
        <v>#N/A</v>
      </c>
      <c r="CS151" s="439" t="e">
        <f t="shared" ref="CS151:CS214" ca="1" si="559">(BU151-GM151)/10</f>
        <v>#VALUE!</v>
      </c>
      <c r="CT151" s="51" t="e">
        <f t="shared" ref="CT151:CT214" ca="1" si="560">CS151*CR151</f>
        <v>#VALUE!</v>
      </c>
      <c r="CU151" s="10"/>
      <c r="CV151" s="51" t="e">
        <f t="shared" ca="1" si="457"/>
        <v>#VALUE!</v>
      </c>
      <c r="CW151" s="51">
        <f t="shared" ref="CW151:CW214" si="561">CQ151-CF151</f>
        <v>0</v>
      </c>
      <c r="CX151" s="439" t="e">
        <f t="shared" ref="CX151:CX214" ca="1" si="562">(BU151-GM151)/10</f>
        <v>#VALUE!</v>
      </c>
      <c r="CY151" s="51" t="e">
        <f t="shared" ref="CY151:CY214" ca="1" si="563">CX151*CW151</f>
        <v>#VALUE!</v>
      </c>
      <c r="CZ151" s="10"/>
      <c r="DA151" s="51" t="e">
        <f t="shared" ref="DA151:DA214" ca="1" si="564">(CF151+CY151)*$CZ$21</f>
        <v>#VALUE!</v>
      </c>
      <c r="DB151" s="347" t="e">
        <f ca="1">INDEX(INDIRECT(VLOOKUP(LEFT(BO151,7),CLU!$Z$3:$AI$18,10)),((M151-2)*(6-COUNTBLANK(GT151:GY151)))+GJ151)*LI151</f>
        <v>#N/A</v>
      </c>
      <c r="DC151" s="347" t="str">
        <f>IF(L151&gt;0,((R151/Worksheet!$I$15)/DB151)^2," ")</f>
        <v xml:space="preserve"> </v>
      </c>
      <c r="DD151" s="602" t="str">
        <f t="shared" ref="DD151:DD214" si="565">IF(L151&gt;0,IF(S151=4,R151/0.087,IF(S151=5,R151/0.136,IF(S151=6,R151/0.197,IF(S151=8,R151/0.35,R151/0.415))))," ")</f>
        <v xml:space="preserve"> </v>
      </c>
      <c r="DE151" s="347" t="str">
        <f t="shared" si="458"/>
        <v xml:space="preserve"> </v>
      </c>
      <c r="DF151" s="356" t="e">
        <f ca="1">INDEX(INDIRECT(VLOOKUP(LEFT(BO151,7),CLU!$Z$3:$AH$18,8)),((M151-2)*(6-COUNTBLANK(GT151:GY151)))+GJ151)</f>
        <v>#N/A</v>
      </c>
      <c r="DG151" s="347" t="str">
        <f t="shared" si="459"/>
        <v xml:space="preserve"> </v>
      </c>
      <c r="DH151" s="357" t="str">
        <f t="shared" si="460"/>
        <v xml:space="preserve"> </v>
      </c>
      <c r="DI151" s="355" t="str">
        <f t="shared" si="461"/>
        <v xml:space="preserve"> </v>
      </c>
      <c r="DJ151" s="245" t="e">
        <f ca="1">INDEX(INDIRECT(VLOOKUP(LEFT(BO151,7),CLU!$Z$3:$AH$18,5)),GL151,GK151)</f>
        <v>#N/A</v>
      </c>
      <c r="DK151" s="245" t="e">
        <f ca="1">INDEX(INDIRECT(VLOOKUP(LEFT(BO151,7),CLU!$Z$3:$AH$18,6)),GL151,GK151)</f>
        <v>#N/A</v>
      </c>
      <c r="DL151" s="355">
        <f>(Calculation!R151*0.69143*(Calculation!$BQ$8-Calculation!$F$8))*$S$14</f>
        <v>0</v>
      </c>
      <c r="DM151" s="359" t="e">
        <f t="shared" ref="DM151:DM214" si="566">ABS(AO151*L151)</f>
        <v>#VALUE!</v>
      </c>
      <c r="DN151" s="611">
        <f t="shared" ref="DN151:DN214" si="567">IF(E151=0,DP151,ROUND((DM151/E151)*100,0))</f>
        <v>0</v>
      </c>
      <c r="DO151" s="359">
        <f t="shared" ref="DO151:DO214" si="568">100-DN151</f>
        <v>100</v>
      </c>
      <c r="DP151" s="359">
        <f t="shared" ref="DP151:DP214" si="569">IF(AO151="",0,ROUND(ABS(AO151)/ABS(AQ151)*100,0))</f>
        <v>0</v>
      </c>
      <c r="DQ151" s="360"/>
      <c r="DR151" s="245" t="e">
        <f ca="1">INDEX(INDIRECT(VLOOKUP(LEFT(BO151,7),CLU!$Z$3:$AH$18,7)),M151-1,1)</f>
        <v>#N/A</v>
      </c>
      <c r="DS151" s="245" t="e">
        <f ca="1">INDEX(INDIRECT(VLOOKUP(LEFT(BO151,7),CLU!$Z$3:$AH$18,7)),M151-1,2)</f>
        <v>#N/A</v>
      </c>
      <c r="DT151" s="245" t="e">
        <f ca="1">INDEX(INDIRECT(VLOOKUP(LEFT(BO151,7),CLU!$Z$3:$AH$18,7)),M151-1,3)</f>
        <v>#N/A</v>
      </c>
      <c r="DU151" s="245" t="e">
        <f ca="1">INDEX(INDIRECT(VLOOKUP(LEFT(BO151,7),CLU!$Z$3:$AH$18,7)),M151-1,4)</f>
        <v>#N/A</v>
      </c>
      <c r="DV151" s="361" t="e">
        <f ca="1">INDEX(INDIRECT(VLOOKUP(LEFT(BO151,7),CLU!$Z$3:$AH$18,7)),M151-1,4+LEFT(DZ151,1)*0.5)</f>
        <v>#N/A</v>
      </c>
      <c r="DW151" s="245" t="e">
        <f ca="1">INDEX(INDIRECT(VLOOKUP(LEFT(BO151,7),CLU!$Z$3:$AH$18,7)),M151-1,8)</f>
        <v>#N/A</v>
      </c>
      <c r="DX151" s="361" t="str">
        <f t="shared" si="462"/>
        <v xml:space="preserve"> </v>
      </c>
      <c r="DY151" s="361" t="str">
        <f t="shared" si="463"/>
        <v xml:space="preserve"> </v>
      </c>
      <c r="DZ151" s="361" t="str">
        <f t="shared" si="464"/>
        <v xml:space="preserve"> </v>
      </c>
      <c r="EA151" s="362" t="str">
        <f t="shared" si="465"/>
        <v xml:space="preserve"> </v>
      </c>
      <c r="EB151" s="624" t="str">
        <f t="shared" ref="EB151:EB214" si="570">IF(AND(MID(J151,6,2)="12",O151="4 pipe (H/C)"),1,IF(L151&gt;0,IF(BR151&gt;0,IF(MAX(T151,U151)&gt;EA151,2,1),0)," "))</f>
        <v xml:space="preserve"> </v>
      </c>
      <c r="EC151" s="361" t="e">
        <f ca="1">INDEX(INDIRECT(VLOOKUP(LEFT(BO151,7),CLU!$Z$3:$AH$18,7)),M151-1,4+LEFT(DZ151,1)*0.5)</f>
        <v>#N/A</v>
      </c>
      <c r="ED151" s="362" t="str">
        <f t="shared" si="466"/>
        <v xml:space="preserve"> </v>
      </c>
      <c r="EE151" s="361" t="str">
        <f t="shared" si="467"/>
        <v xml:space="preserve"> </v>
      </c>
      <c r="EF151" s="362" t="str">
        <f>IF(L151&gt;0,IF(BR151&gt;0,IF(EE151="2P",IF(Calculation!DZ151="2P",IF(Calculation!DS151=13.75,IF(Calculation!DR151=13,Worksheet!$BD$43,IF(Calculation!DR151=37,Worksheet!$BD$44,Worksheet!$BD$45)),IF(Calculation!DS151=10,IF(Calculation!DR151=18,Worksheet!$BD$29,IF(Calculation!DR151=30,Worksheet!$BD$30,IF(Calculation!DR151=42,Worksheet!$BD$31,IF(Calculation!DR151=54,Worksheet!$BD$32,IF(Calculation!DR151=66,Worksheet!$BD$33,IF(Calculation!DR151=78,Worksheet!$BD$34,IF(Calculation!DR151=90,Worksheet!$BD$35,IF(Calculation!DR151=102,Worksheet!$BD$36,Worksheet!$BD$37)))))))),IF(Calculation!DS151=12.5,IF(Calculation!DR151=18,Worksheet!$BD$38,IF(Calculation!DR151=Worksheet!$BD$39,IF(Calculation!DR151=42,Worksheet!$BD$40,IF(Calculation!DR151=54,Worksheet!$BD$41,Worksheet!$BD$42)))),IF(Calculation!DR151=18,Worksheet!$BD$11,IF(Calculation!DR151=30,Worksheet!$BD$12,IF(Calculation!DR151=42,Worksheet!$BD$13,IF(Calculation!DR151=54,Worksheet!$BD$14,IF(Calculation!DR151=66,Worksheet!$BD$15,IF(Calculation!DR151=78,Worksheet!$BD$16,IF(Calculation!DR151=90,Worksheet!$BD$17,IF(Calculation!DR151=102,Worksheet!$BD$18,Worksheet!$BD$19))))))))))),IF(Calculation!DS151=13.75,IF(Calculation!DR151=13,Worksheet!$BD$78,IF(Calculation!DR151=37,Worksheet!$BD$79,Worksheet!$BD$80)),IF(Calculation!DS151=10,IF(Calculation!DR151=18,Worksheet!$BD$64,IF(Calculation!DR151=30,Worksheet!$BD$65,IF(Calculation!DR151=42,Worksheet!$BD$66,IF(Calculation!DR151=54,Worksheet!$BD$68,IF(Calculation!DR151=66,Worksheet!$BD$68,IF(Calculation!DR151=78,Worksheet!$BD$69,IF(Calculation!DR151=90,Worksheet!$BD$70,IF(Calculation!DR151=102,Worksheet!$BD$71,Worksheet!$BD$72)))))))),IF(Calculation!DS151=12.5,IF(Calculation!DR151=18,Worksheet!$BD$73,IF(Calculation!DR151=Worksheet!$BD$74,IF(Calculation!DR151=42,Worksheet!$BD$75,IF(Calculation!DR151=54,Worksheet!$BD$76,Worksheet!$BD$77)))),IF(Calculation!DR151=18,Worksheet!$BD$55,IF(Calculation!DR151=30,Worksheet!$BD$56,IF(Calculation!DR151=42,Worksheet!$BD$57,IF(Calculation!DR151=54,Worksheet!$BD$58,IF(Calculation!DR151=66,Worksheet!$BD$59,IF(Calculation!DR151=78,Worksheet!$BD$60,IF(Calculation!DR151=90,Worksheet!$BD$61,IF(Calculation!DR151=102,Worksheet!$BD$62,Worksheet!$BD$63)))))))))))),5),0)," ")</f>
        <v xml:space="preserve"> </v>
      </c>
      <c r="EG151" s="361" t="str">
        <f t="shared" si="468"/>
        <v xml:space="preserve"> </v>
      </c>
      <c r="EH151" s="361" t="e">
        <f ca="1">INDEX(INDIRECT(VLOOKUP(LEFT(BO151,7),CLU!$Z$3:$AH$18,7)),M151-1,3+LEFT(DZ151,1))</f>
        <v>#N/A</v>
      </c>
      <c r="EI151" s="362" t="str">
        <f t="shared" si="469"/>
        <v xml:space="preserve"> </v>
      </c>
      <c r="EJ151" s="363" t="str">
        <f t="shared" si="470"/>
        <v xml:space="preserve"> </v>
      </c>
      <c r="EK151" s="363" t="str">
        <f t="shared" si="471"/>
        <v xml:space="preserve"> </v>
      </c>
      <c r="EL151" s="363" t="str">
        <f t="shared" si="472"/>
        <v xml:space="preserve"> </v>
      </c>
      <c r="EM151" s="362" t="str">
        <f>IF(L151&gt;0,IF(BR151&gt;0,(Calculation!T151/ED151)^2,0)," ")</f>
        <v xml:space="preserve"> </v>
      </c>
      <c r="EN151" s="362" t="str">
        <f>IF(L151&gt;0,IF(O151="2 Pipe (Cooling)","N/A",IF(BR151&gt;0,(Calculation!U151/EI151)^2,0))," ")</f>
        <v xml:space="preserve"> </v>
      </c>
      <c r="EO151" s="361" t="str">
        <f t="shared" si="473"/>
        <v/>
      </c>
      <c r="EP151" s="361" t="str">
        <f t="shared" si="474"/>
        <v/>
      </c>
      <c r="EQ151" s="361" t="str">
        <f t="shared" si="475"/>
        <v/>
      </c>
      <c r="ER151" s="361" t="str">
        <f t="shared" si="476"/>
        <v/>
      </c>
      <c r="ES151" s="361" t="str">
        <f t="shared" si="477"/>
        <v/>
      </c>
      <c r="ET151" s="361" t="str">
        <f t="shared" si="478"/>
        <v/>
      </c>
      <c r="EU151" s="361" t="str">
        <f t="shared" si="479"/>
        <v/>
      </c>
      <c r="EV151" s="361" t="str">
        <f t="shared" si="480"/>
        <v/>
      </c>
      <c r="EW151" s="361" t="str">
        <f t="shared" si="481"/>
        <v/>
      </c>
      <c r="EX151" s="361" t="str">
        <f t="shared" ref="EX151:EX214" si="571">IF(J151="CBAM","4 way",IF(J151="CBLV","2 slots, 2 way",IF(J151="CBAV","As specified *","1 slot, 1 way")))</f>
        <v>1 slot, 1 way</v>
      </c>
      <c r="EY151" s="361" t="str">
        <f t="shared" ref="EY151:EY214" si="572">IF(J151="CBAL2","2 slots, 2 way",IF(J151="CBE2-24","2 slots, 2 way",IF(J151="CBLV-12","2 slots, 2 way",IF(J151="CBE2-12","2 slots, 2 way"," "))))</f>
        <v xml:space="preserve"> </v>
      </c>
      <c r="EZ151" s="361" t="str">
        <f t="shared" ref="EZ151:EZ214" si="573">IF(J151&gt;0,"2 pipe (cooling)"," ")</f>
        <v xml:space="preserve"> </v>
      </c>
      <c r="FA151" s="361" t="str">
        <f t="shared" ref="FA151:FA214" si="574">IF(J151&gt;0,"2 pipe (H/C)"," ")</f>
        <v xml:space="preserve"> </v>
      </c>
      <c r="FB151" s="361" t="str">
        <f t="shared" ref="FB151:FB214" si="575">IF(J151&gt;0,"4 pipe (H/C)"," ")</f>
        <v xml:space="preserve"> </v>
      </c>
      <c r="FC151" s="361"/>
      <c r="FD151" s="361" t="str">
        <f>IF(J151&gt;0,IF(Calculation!R151&lt;=70,4,IF(Calculation!R151&lt;=110,5,IF(Calculation!R151&lt;=160,6,IF(Calculation!R151&lt;=300,8,"10 EO")))),"")</f>
        <v/>
      </c>
      <c r="FE151" s="361" t="str">
        <f t="shared" ref="FE151:FE214" si="576">IF(J151&gt;0,IF(FD151=4,5,IF(FD151=5,6,IF(FD151=6,8,IF(FD151=8,"10 EO","")))),"")</f>
        <v/>
      </c>
      <c r="FF151" s="361" t="str">
        <f t="shared" ref="FF151:FF214" si="577">IF(J151&gt;0,IF(FE151=4,5,IF(FE151=5,6,IF(FE151=6,8,IF(FE151=8,"10 EO","")))),"")</f>
        <v/>
      </c>
      <c r="FG151" s="361" t="e">
        <f t="shared" si="482"/>
        <v>#N/A</v>
      </c>
      <c r="FH151" s="361">
        <f t="shared" si="483"/>
        <v>0</v>
      </c>
      <c r="FI151" s="361" t="e">
        <f t="shared" si="484"/>
        <v>#DIV/0!</v>
      </c>
      <c r="FJ151" s="361"/>
      <c r="FK151" s="356" t="e">
        <f t="shared" si="485"/>
        <v>#VALUE!</v>
      </c>
      <c r="FL151" s="361"/>
      <c r="FM151" s="361"/>
      <c r="FN151" s="362" t="str">
        <f t="shared" ref="FN151:FN214" si="578">IF(L151&gt;0,IF(J151="CBLV-12",0.5,IF(J151="CBE2-12",0.5,IF(J151="CBLV",0.5,0.25)))," ")</f>
        <v xml:space="preserve"> </v>
      </c>
      <c r="FO151" s="362" t="str">
        <f t="shared" ref="FO151:FO214" si="579">IF(L151&gt;0,IF(J151="CBAW",1.9,IF(J151="CBAM",1.7,IF(J151="CBAL-12",4,IF(J151="CBE2-12",4,IF(J151="CBLV",4,2.5)))))," ")</f>
        <v xml:space="preserve"> </v>
      </c>
      <c r="FP151" s="362">
        <f t="shared" ref="FP151:FP214" si="580">IF(T151=0,0,IF(OR(LEFT(BO151,7)="CBLV-00",LEFT(BO151,7)="CBLV-12"),1,0.5))</f>
        <v>0</v>
      </c>
      <c r="FQ151" s="361">
        <f t="shared" si="486"/>
        <v>0</v>
      </c>
      <c r="FR151" s="362" t="str">
        <f>IF(L151&gt;0,IF(J151="CBAL2",Worksheet!$P$67,IF(J151="CBE2-24",Worksheet!$Q$67,IF(J151="CBAM",Worksheet!$R$67,IF(J151="CBLV",Worksheet!$S$67,IF(J151="CBAB",Worksheet!$U$67,IF(J151="CBAW",Worksheet!$X$67,IF(J151="CBE2-12",Worksheet!$Y$67,IF(J151="CBAL2",Worksheet!$Z$67,"N/A"))))))))," ")</f>
        <v xml:space="preserve"> </v>
      </c>
      <c r="FS151" s="362" t="str">
        <f>IF(L151&gt;0,IF(J151="CBAL2",Worksheet!$P$68,IF(J151="CBE2-24",Worksheet!$Q$68,IF(J151="CBAM",Worksheet!$R$68,IF(J151="CBLV",Worksheet!$S$68,IF(J151="CBAB",Worksheet!$U$68,IF(J151="CBAW",Worksheet!$X$68,IF(J151="CBE2-12",Worksheet!$Y$68,IF(J151="CBAL2",Worksheet!$Z$68,"N/A"))))))))," ")</f>
        <v xml:space="preserve"> </v>
      </c>
      <c r="FT151" s="362" t="str">
        <f>IF(L151&gt;0,IF(J151="CBAL2",Worksheet!$P$69,IF(J151="CBE2-24",Worksheet!$Q$69,IF(J151="CBAM",Worksheet!$R$69,IF(J151="CBLV",Worksheet!$S$69,IF(J151="CBAB",Worksheet!$U$69,IF(J151="CBAW",Worksheet!$X$69,IF(J151="CBE2-12",Worksheet!$Y$69,IF(J151="CBAL2",Worksheet!$Z$69,"N/A"))))))))," ")</f>
        <v xml:space="preserve"> </v>
      </c>
      <c r="FU151" s="361" t="str">
        <f t="shared" ref="FU151:FU214" si="581">IF(FR151="N/A","N/A",IF(BD151&gt;0,MIN(FR151*(DI151/(0.5*BG151))^2/(DH151^2),FS151*(DI151/(0.5*BG151))/DH151,FT151*(DI151/(0.5*BG151))^0.5/(DH151^0.5))," "))</f>
        <v xml:space="preserve"> </v>
      </c>
      <c r="FV151" s="362" t="str">
        <f t="shared" ref="FV151:FV214" si="582">IF(FU151="N/A","N/A",IF(BD151&gt;0,0.5*(3.5/(BD151-BE151))^0.8," "))</f>
        <v xml:space="preserve"> </v>
      </c>
      <c r="FW151" s="362" t="str">
        <f t="shared" ref="FW151:FW214" si="583">IF(FU151="N/A","N/A",IF(BD151&gt;0,($F$6-AS151)*0.01," "))</f>
        <v xml:space="preserve"> </v>
      </c>
      <c r="FX151" s="362" t="str">
        <f t="shared" ref="FX151:FX214" si="584">IF(FU151="N/A","N/A",IF(BD151&gt;0,(AZ151-$H$6)*0.01," "))</f>
        <v xml:space="preserve"> </v>
      </c>
      <c r="FY151" s="355" t="str">
        <f t="shared" ref="FY151:FY214" si="585">IF(FR151="N/A","N/A",IF(BD151&gt;0,MIN(FR151*(DI151/(BD151+BF151-BE151))^2/(DH151^2),FS151*(DI151/(BD151-BE151+BF151))/DH151,FT151*(DI151/(BD151-BE151+BF151))^0.5/(DH151^0.5))," "))</f>
        <v xml:space="preserve"> </v>
      </c>
      <c r="FZ151" s="361" t="str">
        <f t="shared" ref="FZ151:FZ214" si="586">IF(BD151&gt;0,IF(FU151="N/A","N/A",FU151*FV151*(1-FW151))," ")</f>
        <v xml:space="preserve"> </v>
      </c>
      <c r="GA151" s="347" t="str">
        <f t="shared" ref="GA151:GA214" si="587">IF(BD151&gt;0,IF(FU151="N/A","N/A",$F$6-(FZ151/DI151)*($F$6-AS151))," ")</f>
        <v xml:space="preserve"> </v>
      </c>
      <c r="GB151" s="355" t="str">
        <f t="shared" ref="GB151:GB214" si="588">IF(BD151&gt;0,IF(FU151="N/A","N/A",FY151*(1+FW151))," ")</f>
        <v xml:space="preserve"> </v>
      </c>
      <c r="GC151" s="328" t="str">
        <f t="shared" ref="GC151:GC214" si="589">IF(BD151&gt;0,IF(FU151="N/A","N/A",$F$6-(FY151/DI151)*($F$6-AS151))," ")</f>
        <v xml:space="preserve"> </v>
      </c>
      <c r="GD151" s="361" t="str">
        <f t="shared" ref="GD151:GD214" si="590">IF(BD151&gt;0,IF(FU151="N/A","N/A",FU151*FV151*(1-FX151))," ")</f>
        <v xml:space="preserve"> </v>
      </c>
      <c r="GE151" s="347" t="str">
        <f t="shared" ref="GE151:GE214" si="591">IF(BD151&gt;0,IF(FU151="N/A","N/A",$H$6-(GD151/DI151)*($H$6-AZ151))," ")</f>
        <v xml:space="preserve"> </v>
      </c>
      <c r="GF151" s="361" t="str">
        <f t="shared" ref="GF151:GF214" si="592">IF(BD151&gt;0,IF(FU151="N/A","N/A",FY151*(1-FX151))," ")</f>
        <v xml:space="preserve"> </v>
      </c>
      <c r="GG151" s="347" t="str">
        <f t="shared" ref="GG151:GG214" si="593">IF(BD151&gt;0,IF(FU151="N/A","N/A",$H$6-(GF151/DI151)*($H$6-AZ151))," ")</f>
        <v xml:space="preserve"> </v>
      </c>
      <c r="GH151" s="364">
        <f t="shared" si="487"/>
        <v>0</v>
      </c>
      <c r="GI151" s="362">
        <f t="shared" ref="GI151:GI214" si="594">COUNTA(J151:R151)+COUNTA(T151)</f>
        <v>2</v>
      </c>
      <c r="GJ151" s="433" t="e">
        <f>IF(6-COUNTBLANK(GT151:GY151)=4,MATCH(MID(BO151,9,3),CLU!$H$16:$K$16),MATCH(MID(BO151,9,3),CLU!$H$13:$M$13))</f>
        <v>#N/A</v>
      </c>
      <c r="GK151" s="433" t="e">
        <f>HLOOKUP(VALUE(BP151),CLU!$H$9:$M$10,2)</f>
        <v>#VALUE!</v>
      </c>
      <c r="GL151" s="433" t="e">
        <f ca="1">MATCH(BU151,CLU!$H$2:$V$2,1)</f>
        <v>#VALUE!</v>
      </c>
      <c r="GM151" s="433" t="e">
        <f t="shared" ref="GM151:GM214" ca="1" si="595">((GL151-1)*10)+15</f>
        <v>#VALUE!</v>
      </c>
      <c r="GN151" s="433" t="e">
        <f t="shared" ref="GN151:GN214" ca="1" si="596">((M151-2)*15)+GL151</f>
        <v>#VALUE!</v>
      </c>
      <c r="GO151" s="433" t="e">
        <f t="shared" ref="GO151:GO214" ca="1" si="597">IF(GL151=15,15,GL151+1)</f>
        <v>#VALUE!</v>
      </c>
      <c r="GP151" s="433" t="e">
        <f t="shared" ref="GP151:GP214" ca="1" si="598">((GO151-1)*10)+15</f>
        <v>#VALUE!</v>
      </c>
      <c r="GQ151" s="433" t="e">
        <f t="shared" ref="GQ151:GQ214" ca="1" si="599">((M151-2)*15)+GO151</f>
        <v>#VALUE!</v>
      </c>
      <c r="GR151" s="433" t="e">
        <f ca="1">MATCH(T151,INDIRECT(VLOOKUP(CONCATENATE(LEFT(BO151,7),"-",MID(BO151,13,1)),CLU!$P$3:$Q$16,2)),1)</f>
        <v>#N/A</v>
      </c>
      <c r="GS151" s="433" t="e">
        <f ca="1">MATCH(U151,INDIRECT(VLOOKUP(CONCATENATE(LEFT(BO151,7),"-",MID(BO151,13,1)),CLU!$P$3:$Q$16,2)),1)</f>
        <v>#N/A</v>
      </c>
      <c r="GT151" s="347" t="s">
        <v>512</v>
      </c>
      <c r="GU151" s="97" t="s">
        <v>513</v>
      </c>
      <c r="GV151" s="97" t="str">
        <f t="shared" ref="GV151:GV214" si="600">IF(J151="CBAL2","M20",IF(J151="CBE2-24","M20","M23"))</f>
        <v>M23</v>
      </c>
      <c r="GW151" s="97" t="str">
        <f t="shared" ref="GW151:GW214" si="601">IF(J151="CBAL2","M23",IF(J151="CBE2-24","M23","M31"))</f>
        <v>M31</v>
      </c>
      <c r="GX151" s="97" t="str">
        <f t="shared" ref="GX151:GX214" si="602">IF(J151="CBAL2","M27",IF(J151="CBE2-24","M27",""))</f>
        <v/>
      </c>
      <c r="GY151" s="97" t="str">
        <f t="shared" ref="GY151:GY214" si="603">IF(J151="CBAL2","M31",IF(J151="CBE2-24","M31",""))</f>
        <v/>
      </c>
      <c r="GZ151" s="481"/>
      <c r="HA151" s="288"/>
      <c r="HB151" s="240"/>
      <c r="HC151" s="240"/>
      <c r="HD151" s="240"/>
      <c r="HE151" s="240"/>
      <c r="HF151" s="240"/>
      <c r="HG151" s="240"/>
      <c r="HH151" s="240"/>
      <c r="HI151" s="240"/>
      <c r="HJ151" s="240"/>
      <c r="HK151" s="240"/>
      <c r="HL151" s="240"/>
      <c r="HM151" s="240"/>
      <c r="HN151" s="240"/>
      <c r="HO151" s="240"/>
      <c r="HP151" s="240"/>
      <c r="HQ151" s="240"/>
      <c r="HR151" s="240"/>
      <c r="HS151" s="240"/>
      <c r="HT151" s="240"/>
      <c r="HU151" s="240"/>
      <c r="HV151" s="245"/>
      <c r="HW151" s="245" t="b">
        <v>1</v>
      </c>
      <c r="HX151" s="245" t="str">
        <f t="shared" si="488"/>
        <v/>
      </c>
      <c r="HY151" s="245" t="e">
        <f t="shared" si="489"/>
        <v>#DIV/0!</v>
      </c>
      <c r="HZ151" s="245" t="e">
        <f t="shared" si="490"/>
        <v>#DIV/0!</v>
      </c>
      <c r="IA151" s="245">
        <f t="shared" si="491"/>
        <v>0</v>
      </c>
      <c r="IB151" s="245"/>
      <c r="IC151" t="b">
        <f t="shared" si="492"/>
        <v>1</v>
      </c>
      <c r="ID151" s="245" t="b">
        <f t="shared" si="493"/>
        <v>1</v>
      </c>
      <c r="IE151" s="245" t="b">
        <f t="shared" si="494"/>
        <v>1</v>
      </c>
      <c r="IF151" s="245" t="b">
        <f t="shared" si="495"/>
        <v>0</v>
      </c>
      <c r="IG151" s="245" t="b">
        <f t="shared" si="496"/>
        <v>1</v>
      </c>
      <c r="IH151" s="245" t="b">
        <f t="shared" si="497"/>
        <v>1</v>
      </c>
      <c r="II151" s="245">
        <f t="shared" ref="II151:II214" si="604">IFERROR(IF(AND(IV151&gt;0,HW151=TRUE,IW151&gt;0,HX151&gt;0,IC151=FALSE,ID151=FALSE,IE151=FALSE,IF151=TRUE,IG151=FALSE,IH151=FALSE),1,0),0)</f>
        <v>0</v>
      </c>
      <c r="IJ151" s="245" t="e">
        <f t="shared" si="498"/>
        <v>#VALUE!</v>
      </c>
      <c r="IK151" s="245" t="e">
        <f t="shared" si="499"/>
        <v>#VALUE!</v>
      </c>
      <c r="IL151" s="245"/>
      <c r="IM151" s="245" t="e">
        <f t="shared" ref="IM151:IM214" si="605">VLOOKUP(MATCH(LEFT(HX151,7),$IM$7:$IM$17,0),$IL$7:$IO$17,3)</f>
        <v>#N/A</v>
      </c>
      <c r="IN151" s="245" t="e">
        <f t="shared" ref="IN151:IN214" si="606">VLOOKUP(MATCH(LEFT(HX151,7),$IM$7:$IM$17,0),$IL$7:$IO$17,4)</f>
        <v>#N/A</v>
      </c>
      <c r="IO151" s="245"/>
      <c r="IP151" s="245"/>
      <c r="IQ151" s="245" t="str">
        <f t="shared" si="500"/>
        <v/>
      </c>
      <c r="IR151" s="245" t="str">
        <f>IF(J151="","",VLOOKUP(J151,Worksheet!$R$4:$T$14,2))</f>
        <v/>
      </c>
      <c r="IS151" s="245"/>
      <c r="IT151" s="245">
        <f t="shared" si="501"/>
        <v>0</v>
      </c>
      <c r="IU151" s="245">
        <f t="shared" si="502"/>
        <v>0</v>
      </c>
      <c r="IV151" s="245">
        <f t="shared" si="503"/>
        <v>0</v>
      </c>
      <c r="IW151" s="245">
        <f t="shared" si="504"/>
        <v>0</v>
      </c>
      <c r="IX151" s="245">
        <f t="shared" ref="IX151:IX214" si="607">IFERROR(MATCH(P151,GT151:GY151,0),0)</f>
        <v>0</v>
      </c>
      <c r="IY151" s="245">
        <f t="shared" si="505"/>
        <v>0</v>
      </c>
      <c r="IZ151" s="245">
        <f t="shared" si="506"/>
        <v>0</v>
      </c>
      <c r="JA151">
        <f t="shared" si="507"/>
        <v>0</v>
      </c>
      <c r="JB151">
        <f t="shared" ref="JB151:JB214" si="608">IF(ISERROR(IF(MIN(IT151,IU151,IV151,IW151,IX151,IZ151,JA151)=0,0,1))=TRUE,0,MIN(IT151,IU151,IV151,IW151,IX151,IZ151,JA151))</f>
        <v>0</v>
      </c>
      <c r="JC151">
        <f t="shared" si="508"/>
        <v>0</v>
      </c>
      <c r="JD151">
        <f t="shared" si="509"/>
        <v>0</v>
      </c>
      <c r="JE151">
        <f t="shared" si="510"/>
        <v>0</v>
      </c>
      <c r="JF151">
        <f t="shared" si="511"/>
        <v>0</v>
      </c>
      <c r="JG151">
        <f t="shared" si="512"/>
        <v>0</v>
      </c>
      <c r="JH151">
        <f t="shared" si="513"/>
        <v>0</v>
      </c>
      <c r="JI151">
        <f t="shared" si="514"/>
        <v>0</v>
      </c>
      <c r="JJ151" s="447">
        <f t="shared" si="515"/>
        <v>0</v>
      </c>
      <c r="JK151" s="447">
        <f t="shared" si="516"/>
        <v>0</v>
      </c>
      <c r="JL151">
        <f t="shared" si="517"/>
        <v>0</v>
      </c>
      <c r="JM151" s="245" t="str">
        <f>IFERROR(VLOOKUP(MATCH(BN151,#REF!,0),#REF!,7),"")</f>
        <v/>
      </c>
      <c r="JN151" t="e">
        <f>HLOOKUP(LEFT(BO151,7),Discharge_Area,MATCH(JO151,LookUps!$B$130:$B$149,1)+2)</f>
        <v>#N/A</v>
      </c>
      <c r="JO151" t="str">
        <f t="shared" si="518"/>
        <v>- S</v>
      </c>
      <c r="JP151" t="e">
        <f>HLOOKUP(LEFT(BO151,7),Discharge_Area,MATCH(JO151,LookUps!$B$130:$B$149,1)+2)</f>
        <v>#N/A</v>
      </c>
      <c r="JQ151" t="e">
        <f t="shared" si="519"/>
        <v>#N/A</v>
      </c>
      <c r="JR151" t="e">
        <f t="shared" si="520"/>
        <v>#N/A</v>
      </c>
      <c r="JS151" t="e">
        <f t="shared" si="521"/>
        <v>#N/A</v>
      </c>
      <c r="JT151" s="532" t="str">
        <f t="shared" si="522"/>
        <v xml:space="preserve"> </v>
      </c>
      <c r="JU151" s="532" t="str">
        <f t="shared" si="523"/>
        <v xml:space="preserve"> </v>
      </c>
      <c r="JV151" s="533" t="str">
        <f t="shared" si="524"/>
        <v xml:space="preserve"> </v>
      </c>
      <c r="JW151" s="534">
        <f t="shared" si="525"/>
        <v>0</v>
      </c>
      <c r="JX151" s="535" t="str">
        <f t="shared" ref="JX151:JX214" si="609">IF(JW151&gt;0,JV151/(JW151/JQ151/SQRT(JP151/2))^0.5," ")</f>
        <v xml:space="preserve"> </v>
      </c>
      <c r="JY151" s="535" t="str">
        <f t="shared" ref="JY151:JY214" si="610">IF(JW151&gt;0,JV151/(JW151/JR151/SQRT(JP151/2))," ")</f>
        <v xml:space="preserve"> </v>
      </c>
      <c r="JZ151" s="535" t="str">
        <f t="shared" ref="JZ151:JZ214" si="611">IF(JW151&gt;0,JV151/(JW151/JS151/SQRT(JP151/2))^2," ")</f>
        <v xml:space="preserve"> </v>
      </c>
      <c r="KA151" s="536" t="str">
        <f t="shared" si="526"/>
        <v xml:space="preserve"> </v>
      </c>
      <c r="KB151" s="535" t="e">
        <f t="shared" ref="KB151:KB214" si="612">IF(JW151&gt;0,MIN(JX151:JZ151)*KA151," ")*0.6</f>
        <v>#VALUE!</v>
      </c>
      <c r="KC151" s="535" t="str">
        <f t="shared" si="527"/>
        <v/>
      </c>
      <c r="KD151" s="537" t="str">
        <f t="shared" ref="KD151:KD214" si="613">IF(JW151&gt;0,(0.72*(KB151/JV151)*(JV151/200)^0.2)*JT151," ")</f>
        <v xml:space="preserve"> </v>
      </c>
      <c r="KE151" s="537" t="str">
        <f t="shared" ref="KE151:KE214" si="614">IF(JW151&gt;0,(0.72*(KC151/JV151)*(JV151/200)^0.2)*JU151," ")</f>
        <v xml:space="preserve"> </v>
      </c>
      <c r="KF151" s="534">
        <f t="shared" si="528"/>
        <v>0</v>
      </c>
      <c r="KG151" s="535" t="str">
        <f t="shared" si="529"/>
        <v xml:space="preserve"> </v>
      </c>
      <c r="KH151" s="535" t="str">
        <f t="shared" si="530"/>
        <v xml:space="preserve"> </v>
      </c>
      <c r="KI151" s="535" t="str">
        <f t="shared" si="531"/>
        <v xml:space="preserve"> </v>
      </c>
      <c r="KJ151" s="536" t="str">
        <f t="shared" si="532"/>
        <v xml:space="preserve"> </v>
      </c>
      <c r="KK151" s="535" t="str">
        <f t="shared" ref="KK151:KK214" si="615">IF(KF151&gt;0,MIN(KG151:KI151)*KJ151," ")</f>
        <v xml:space="preserve"> </v>
      </c>
      <c r="KL151" s="535" t="str">
        <f t="shared" ref="KL151:KL214" si="616">IF(KF151&gt;0,KJ151*MIN(KG151:KI151)/(KB151/10)^0.3," ")</f>
        <v xml:space="preserve"> </v>
      </c>
      <c r="KM151" s="537" t="str">
        <f t="shared" si="533"/>
        <v xml:space="preserve"> </v>
      </c>
      <c r="KN151" s="537" t="str">
        <f t="shared" ref="KN151:KN214" si="617">IF(KF151&gt;0,KM151*JU151/JT151," ")</f>
        <v xml:space="preserve"> </v>
      </c>
      <c r="KP151">
        <f t="shared" si="534"/>
        <v>0</v>
      </c>
      <c r="LA151" t="e">
        <f t="shared" si="535"/>
        <v>#VALUE!</v>
      </c>
      <c r="LB151" t="e">
        <f t="shared" si="536"/>
        <v>#VALUE!</v>
      </c>
      <c r="LC151" t="e">
        <f t="shared" si="537"/>
        <v>#VALUE!</v>
      </c>
      <c r="LD151" t="e">
        <f t="shared" si="538"/>
        <v>#VALUE!</v>
      </c>
      <c r="LE151" t="e">
        <f t="shared" ref="LE151:LE214" si="618">SUM(LA151+LB151+LC151-LD151)+11.198</f>
        <v>#VALUE!</v>
      </c>
      <c r="LF151">
        <f t="shared" si="539"/>
        <v>0</v>
      </c>
      <c r="LG151" t="e">
        <f t="shared" ref="LG151:LG214" si="619">ROUND(IF((LE151-17)&lt;15,15,LE151-17)+LF151,0)</f>
        <v>#VALUE!</v>
      </c>
      <c r="LH151" t="str">
        <f t="shared" si="540"/>
        <v xml:space="preserve"> </v>
      </c>
      <c r="LI151">
        <f t="shared" ref="LI151:LI214" si="620">IF(OR(LEFT(HX151,9)="CBAL2-0-1",LEFT(HX151,9)="CBLV-12-1",LEFT(HX151,9)="CBE2-24-1",LEFT(HX151,9)="CBE2-12-1")=TRUE,0.525,1)</f>
        <v>1</v>
      </c>
    </row>
    <row r="152" spans="2:321" ht="15" customHeight="1">
      <c r="B152" s="311"/>
      <c r="C152" s="311"/>
      <c r="D152" s="312"/>
      <c r="E152" s="311"/>
      <c r="F152" s="312"/>
      <c r="G152" s="311"/>
      <c r="H152" s="311"/>
      <c r="I152" s="37"/>
      <c r="J152" s="311"/>
      <c r="K152" s="305" t="str">
        <f t="shared" si="541"/>
        <v/>
      </c>
      <c r="L152" s="313"/>
      <c r="M152" s="312"/>
      <c r="N152" s="311"/>
      <c r="O152" s="312"/>
      <c r="P152" s="311"/>
      <c r="Q152" s="305" t="str">
        <f t="shared" si="542"/>
        <v/>
      </c>
      <c r="R152" s="314"/>
      <c r="S152" s="450" t="str">
        <f t="shared" si="425"/>
        <v/>
      </c>
      <c r="T152" s="315"/>
      <c r="U152" s="315"/>
      <c r="W152" s="149" t="str">
        <f t="shared" si="426"/>
        <v xml:space="preserve"> </v>
      </c>
      <c r="X152" s="243" t="str">
        <f t="shared" si="427"/>
        <v xml:space="preserve"> </v>
      </c>
      <c r="Y152" s="150" t="str">
        <f t="shared" si="428"/>
        <v/>
      </c>
      <c r="Z152" s="149" t="str">
        <f t="shared" si="429"/>
        <v xml:space="preserve"> </v>
      </c>
      <c r="AA152" s="98" t="str">
        <f t="shared" si="430"/>
        <v xml:space="preserve"> </v>
      </c>
      <c r="AB152" s="153" t="str">
        <f t="shared" si="431"/>
        <v xml:space="preserve"> </v>
      </c>
      <c r="AC152" s="153" t="str">
        <f t="shared" si="432"/>
        <v xml:space="preserve"> </v>
      </c>
      <c r="AD152" s="148" t="str">
        <f t="shared" si="433"/>
        <v/>
      </c>
      <c r="AE152" s="149" t="str">
        <f t="shared" si="434"/>
        <v/>
      </c>
      <c r="AF152" s="151" t="str">
        <f t="shared" si="435"/>
        <v xml:space="preserve"> </v>
      </c>
      <c r="AG152" s="153" t="str">
        <f t="shared" si="436"/>
        <v xml:space="preserve"> </v>
      </c>
      <c r="AH152" s="98" t="str">
        <f t="shared" si="437"/>
        <v xml:space="preserve"> </v>
      </c>
      <c r="AI152" s="149" t="str">
        <f t="shared" si="438"/>
        <v xml:space="preserve"> </v>
      </c>
      <c r="AK152" s="144" t="str">
        <f t="shared" si="439"/>
        <v xml:space="preserve"> </v>
      </c>
      <c r="AL152" s="144"/>
      <c r="AM152" s="243" t="str">
        <f t="shared" si="440"/>
        <v xml:space="preserve"> </v>
      </c>
      <c r="AN152" s="149" t="str">
        <f t="shared" si="543"/>
        <v xml:space="preserve"> </v>
      </c>
      <c r="AO152" s="144" t="str">
        <f>IF(JB152&gt;0,IF(GI152=10,-R152*1.085*(Calculation!$F$6-Calculation!$F$13)*$S$14," "),"")</f>
        <v/>
      </c>
      <c r="AP152" s="144" t="str">
        <f t="shared" si="441"/>
        <v/>
      </c>
      <c r="AQ152" s="56" t="str">
        <f t="shared" si="442"/>
        <v/>
      </c>
      <c r="AR152" s="144" t="str">
        <f t="shared" si="443"/>
        <v/>
      </c>
      <c r="AS152" s="176" t="str">
        <f t="shared" si="444"/>
        <v/>
      </c>
      <c r="AT152" s="176" t="str">
        <f t="shared" si="544"/>
        <v xml:space="preserve"> </v>
      </c>
      <c r="AU152" s="176" t="str">
        <f t="shared" si="445"/>
        <v/>
      </c>
      <c r="AV152" s="177" t="str">
        <f t="shared" si="446"/>
        <v xml:space="preserve"> </v>
      </c>
      <c r="AW152" s="144" t="str">
        <f t="shared" si="447"/>
        <v xml:space="preserve"> </v>
      </c>
      <c r="AX152" s="144" t="str">
        <f t="shared" si="448"/>
        <v xml:space="preserve"> </v>
      </c>
      <c r="AY152" s="152" t="str">
        <f t="shared" si="449"/>
        <v xml:space="preserve"> </v>
      </c>
      <c r="AZ152" s="246" t="str">
        <f t="shared" si="450"/>
        <v/>
      </c>
      <c r="BA152" s="176" t="str">
        <f t="shared" si="451"/>
        <v xml:space="preserve"> </v>
      </c>
      <c r="BB152" s="176" t="str">
        <f t="shared" si="452"/>
        <v xml:space="preserve"> </v>
      </c>
      <c r="BC152" s="195"/>
      <c r="BD152" s="316"/>
      <c r="BE152" s="317"/>
      <c r="BF152" s="318"/>
      <c r="BG152" s="318"/>
      <c r="BH152" s="144" t="str">
        <f t="shared" ref="BH152:BH215" si="621">IFERROR(KK152,"")</f>
        <v xml:space="preserve"> </v>
      </c>
      <c r="BI152" s="176" t="str">
        <f t="shared" si="453"/>
        <v/>
      </c>
      <c r="BJ152" s="144" t="str">
        <f t="shared" ref="BJ152:BJ215" si="622">IFERROR(KB152,"")</f>
        <v/>
      </c>
      <c r="BK152" s="246" t="str">
        <f t="shared" si="454"/>
        <v/>
      </c>
      <c r="BL152" s="144" t="str">
        <f t="shared" ref="BL152:BL215" si="623">IFERROR(KC152,"")</f>
        <v/>
      </c>
      <c r="BM152" s="246" t="str">
        <f t="shared" si="455"/>
        <v/>
      </c>
      <c r="BN152" s="337" t="str">
        <f t="shared" si="545"/>
        <v/>
      </c>
      <c r="BO152" s="371" t="str">
        <f t="shared" si="546"/>
        <v/>
      </c>
      <c r="BP152" s="328" t="str">
        <f t="shared" ref="BP152:BP215" si="624">IF(AND(N152&gt;0,O152&gt;0),IF(LEFT(BO152,4)="CBAV",VALUE(CONCATENATE(1,LEFT(O152,1))),VALUE(CONCATENATE(LEFT(N152,1),(LEFT(O152,1)))))," ")</f>
        <v xml:space="preserve"> </v>
      </c>
      <c r="BQ152" s="347" t="str">
        <f t="shared" si="547"/>
        <v xml:space="preserve"> </v>
      </c>
      <c r="BR152" s="353" t="str">
        <f t="shared" si="548"/>
        <v xml:space="preserve"> </v>
      </c>
      <c r="BS152" s="626" t="str">
        <f>IF(L152&gt;0,IF(Calculation!P152="M13",BR152*3.1416*(0.134^2)/(4*144),IF(Calculation!P152="M17",BR152*3.1416*(0.165^2)/(4*144),IF(Calculation!P152="M20",BR152*3.1416*(0.198^2)/(4*144),IF(Calculation!P152="M23",BR152*3.1416*(0.228^2)/(4*144),IF(Calculation!P152="M27",BR152*3.1416*(0.269^2)/(4*144),BR152*3.1416*(0.307^2)/(4*144))))))," ")</f>
        <v xml:space="preserve"> </v>
      </c>
      <c r="BT152" s="353" t="str">
        <f>IF(L152&gt;0,IF(BS152&gt;0,R152/Calculation!BS152,0)," ")</f>
        <v xml:space="preserve"> </v>
      </c>
      <c r="BU152" s="438" t="e">
        <f t="shared" ca="1" si="456"/>
        <v>#VALUE!</v>
      </c>
      <c r="BV152" s="449" t="e">
        <f ca="1">INDEX(INDIRECT(VLOOKUP(LEFT(BO152,7),CLU!$Z$3:$AH$18,2)),GN152,GR152)</f>
        <v>#N/A</v>
      </c>
      <c r="BW152" s="433" t="e">
        <f ca="1">INDEX(INDIRECT(VLOOKUP(LEFT(BO152,7),CLU!$Z$3:$AH$18,3)),GN152,GR152)</f>
        <v>#N/A</v>
      </c>
      <c r="BX152" s="433" t="e">
        <f ca="1">INDEX(INDIRECT(VLOOKUP(LEFT(BO152,7),CLU!$Z$3:$AH$18,4)),GN152,GR152)</f>
        <v>#N/A</v>
      </c>
      <c r="BY152" s="433" t="e">
        <f ca="1">INDEX(INDIRECT(VLOOKUP(LEFT(BO152,7),CLU!$Z$3:$AH$18,9)),((M152-2)*(6-COUNTBLANK(GT152:GY152)))+GJ152)</f>
        <v>#N/A</v>
      </c>
      <c r="BZ152" s="426" t="e">
        <f t="shared" ca="1" si="549"/>
        <v>#N/A</v>
      </c>
      <c r="CA152" s="424" t="e">
        <f t="shared" ca="1" si="550"/>
        <v>#N/A</v>
      </c>
      <c r="CB152" s="429" t="e">
        <f ca="1">INDEX(INDIRECT(VLOOKUP(LEFT(BO152,7),CLU!$Z$3:$AH$18,2)),GN152,GS152)</f>
        <v>#N/A</v>
      </c>
      <c r="CC152" s="342" t="e">
        <f ca="1">INDEX(INDIRECT(VLOOKUP(LEFT(BO152,7),CLU!$Z$3:$AH$18,3)),GN152,GS152)</f>
        <v>#N/A</v>
      </c>
      <c r="CD152" s="342" t="e">
        <f ca="1">INDEX(INDIRECT(VLOOKUP(LEFT(BO152,7),CLU!$Z$3:$AH$18,4)),GN152,GS152)</f>
        <v>#N/A</v>
      </c>
      <c r="CE152" s="426" t="e">
        <f t="shared" ca="1" si="551"/>
        <v>#N/A</v>
      </c>
      <c r="CF152" s="440">
        <f t="shared" si="552"/>
        <v>0</v>
      </c>
      <c r="CG152" s="431" t="e">
        <f ca="1">INDEX(INDIRECT(VLOOKUP(LEFT(BO152,7),CLU!$Z$3:$AH$18,2)),GQ152,GR152)</f>
        <v>#N/A</v>
      </c>
      <c r="CH152" s="431" t="e">
        <f ca="1">INDEX(INDIRECT(VLOOKUP(LEFT(BO152,7),CLU!$Z$3:$AH$18,3)),GQ152,GR152)</f>
        <v>#N/A</v>
      </c>
      <c r="CI152" s="431" t="e">
        <f ca="1">INDEX(INDIRECT(VLOOKUP(LEFT(BO152,7),CLU!$Z$3:$AH$18,4)),GQ152,GR152)</f>
        <v>#N/A</v>
      </c>
      <c r="CJ152" s="448" t="e">
        <f t="shared" ca="1" si="553"/>
        <v>#N/A</v>
      </c>
      <c r="CK152" s="431" t="e">
        <f t="shared" ca="1" si="554"/>
        <v>#N/A</v>
      </c>
      <c r="CL152" s="440" t="e">
        <f t="shared" ca="1" si="555"/>
        <v>#N/A</v>
      </c>
      <c r="CM152" s="431" t="e">
        <f ca="1">INDEX(INDIRECT(VLOOKUP(LEFT(BO152,7),CLU!$Z$3:$AH$18,2)),GQ152,GS152)</f>
        <v>#N/A</v>
      </c>
      <c r="CN152" s="431" t="e">
        <f ca="1">INDEX(INDIRECT(VLOOKUP(LEFT(BO152,7),CLU!$Z$3:$AH$18,3)),GQ152,GS152)</f>
        <v>#N/A</v>
      </c>
      <c r="CO152" s="431" t="e">
        <f ca="1">INDEX(INDIRECT(VLOOKUP(LEFT(BO152,7),CLU!$Z$3:$AH$18,4)),GQ152,GS152)</f>
        <v>#N/A</v>
      </c>
      <c r="CP152" s="431" t="e">
        <f t="shared" ca="1" si="556"/>
        <v>#N/A</v>
      </c>
      <c r="CQ152" s="440">
        <f t="shared" si="557"/>
        <v>0</v>
      </c>
      <c r="CR152" s="51" t="e">
        <f t="shared" ca="1" si="558"/>
        <v>#N/A</v>
      </c>
      <c r="CS152" s="439" t="e">
        <f t="shared" ca="1" si="559"/>
        <v>#VALUE!</v>
      </c>
      <c r="CT152" s="51" t="e">
        <f t="shared" ca="1" si="560"/>
        <v>#VALUE!</v>
      </c>
      <c r="CU152" s="10"/>
      <c r="CV152" s="51" t="e">
        <f t="shared" ca="1" si="457"/>
        <v>#VALUE!</v>
      </c>
      <c r="CW152" s="51">
        <f t="shared" si="561"/>
        <v>0</v>
      </c>
      <c r="CX152" s="439" t="e">
        <f t="shared" ca="1" si="562"/>
        <v>#VALUE!</v>
      </c>
      <c r="CY152" s="51" t="e">
        <f t="shared" ca="1" si="563"/>
        <v>#VALUE!</v>
      </c>
      <c r="CZ152" s="10"/>
      <c r="DA152" s="51" t="e">
        <f t="shared" ca="1" si="564"/>
        <v>#VALUE!</v>
      </c>
      <c r="DB152" s="347" t="e">
        <f ca="1">INDEX(INDIRECT(VLOOKUP(LEFT(BO152,7),CLU!$Z$3:$AI$18,10)),((M152-2)*(6-COUNTBLANK(GT152:GY152)))+GJ152)*LI152</f>
        <v>#N/A</v>
      </c>
      <c r="DC152" s="347" t="str">
        <f>IF(L152&gt;0,((R152/Worksheet!$I$15)/DB152)^2," ")</f>
        <v xml:space="preserve"> </v>
      </c>
      <c r="DD152" s="602" t="str">
        <f t="shared" si="565"/>
        <v xml:space="preserve"> </v>
      </c>
      <c r="DE152" s="347" t="str">
        <f t="shared" si="458"/>
        <v xml:space="preserve"> </v>
      </c>
      <c r="DF152" s="356" t="e">
        <f ca="1">INDEX(INDIRECT(VLOOKUP(LEFT(BO152,7),CLU!$Z$3:$AH$18,8)),((M152-2)*(6-COUNTBLANK(GT152:GY152)))+GJ152)</f>
        <v>#N/A</v>
      </c>
      <c r="DG152" s="347" t="str">
        <f t="shared" si="459"/>
        <v xml:space="preserve"> </v>
      </c>
      <c r="DH152" s="357" t="str">
        <f t="shared" si="460"/>
        <v xml:space="preserve"> </v>
      </c>
      <c r="DI152" s="355" t="str">
        <f t="shared" si="461"/>
        <v xml:space="preserve"> </v>
      </c>
      <c r="DJ152" s="245" t="e">
        <f ca="1">INDEX(INDIRECT(VLOOKUP(LEFT(BO152,7),CLU!$Z$3:$AH$18,5)),GL152,GK152)</f>
        <v>#N/A</v>
      </c>
      <c r="DK152" s="245" t="e">
        <f ca="1">INDEX(INDIRECT(VLOOKUP(LEFT(BO152,7),CLU!$Z$3:$AH$18,6)),GL152,GK152)</f>
        <v>#N/A</v>
      </c>
      <c r="DL152" s="355">
        <f>(Calculation!R152*0.69143*(Calculation!$BQ$8-Calculation!$F$8))*$S$14</f>
        <v>0</v>
      </c>
      <c r="DM152" s="359" t="e">
        <f t="shared" si="566"/>
        <v>#VALUE!</v>
      </c>
      <c r="DN152" s="611">
        <f t="shared" si="567"/>
        <v>0</v>
      </c>
      <c r="DO152" s="359">
        <f t="shared" si="568"/>
        <v>100</v>
      </c>
      <c r="DP152" s="359">
        <f t="shared" si="569"/>
        <v>0</v>
      </c>
      <c r="DQ152" s="360"/>
      <c r="DR152" s="245" t="e">
        <f ca="1">INDEX(INDIRECT(VLOOKUP(LEFT(BO152,7),CLU!$Z$3:$AH$18,7)),M152-1,1)</f>
        <v>#N/A</v>
      </c>
      <c r="DS152" s="245" t="e">
        <f ca="1">INDEX(INDIRECT(VLOOKUP(LEFT(BO152,7),CLU!$Z$3:$AH$18,7)),M152-1,2)</f>
        <v>#N/A</v>
      </c>
      <c r="DT152" s="245" t="e">
        <f ca="1">INDEX(INDIRECT(VLOOKUP(LEFT(BO152,7),CLU!$Z$3:$AH$18,7)),M152-1,3)</f>
        <v>#N/A</v>
      </c>
      <c r="DU152" s="245" t="e">
        <f ca="1">INDEX(INDIRECT(VLOOKUP(LEFT(BO152,7),CLU!$Z$3:$AH$18,7)),M152-1,4)</f>
        <v>#N/A</v>
      </c>
      <c r="DV152" s="361" t="e">
        <f ca="1">INDEX(INDIRECT(VLOOKUP(LEFT(BO152,7),CLU!$Z$3:$AH$18,7)),M152-1,4+LEFT(DZ152,1)*0.5)</f>
        <v>#N/A</v>
      </c>
      <c r="DW152" s="245" t="e">
        <f ca="1">INDEX(INDIRECT(VLOOKUP(LEFT(BO152,7),CLU!$Z$3:$AH$18,7)),M152-1,8)</f>
        <v>#N/A</v>
      </c>
      <c r="DX152" s="361" t="str">
        <f t="shared" si="462"/>
        <v xml:space="preserve"> </v>
      </c>
      <c r="DY152" s="361" t="str">
        <f t="shared" si="463"/>
        <v xml:space="preserve"> </v>
      </c>
      <c r="DZ152" s="361" t="str">
        <f t="shared" si="464"/>
        <v xml:space="preserve"> </v>
      </c>
      <c r="EA152" s="362" t="str">
        <f t="shared" si="465"/>
        <v xml:space="preserve"> </v>
      </c>
      <c r="EB152" s="624" t="str">
        <f t="shared" si="570"/>
        <v xml:space="preserve"> </v>
      </c>
      <c r="EC152" s="361" t="e">
        <f ca="1">INDEX(INDIRECT(VLOOKUP(LEFT(BO152,7),CLU!$Z$3:$AH$18,7)),M152-1,4+LEFT(DZ152,1)*0.5)</f>
        <v>#N/A</v>
      </c>
      <c r="ED152" s="362" t="str">
        <f t="shared" si="466"/>
        <v xml:space="preserve"> </v>
      </c>
      <c r="EE152" s="361" t="str">
        <f t="shared" si="467"/>
        <v xml:space="preserve"> </v>
      </c>
      <c r="EF152" s="362" t="str">
        <f>IF(L152&gt;0,IF(BR152&gt;0,IF(EE152="2P",IF(Calculation!DZ152="2P",IF(Calculation!DS152=13.75,IF(Calculation!DR152=13,Worksheet!$BD$43,IF(Calculation!DR152=37,Worksheet!$BD$44,Worksheet!$BD$45)),IF(Calculation!DS152=10,IF(Calculation!DR152=18,Worksheet!$BD$29,IF(Calculation!DR152=30,Worksheet!$BD$30,IF(Calculation!DR152=42,Worksheet!$BD$31,IF(Calculation!DR152=54,Worksheet!$BD$32,IF(Calculation!DR152=66,Worksheet!$BD$33,IF(Calculation!DR152=78,Worksheet!$BD$34,IF(Calculation!DR152=90,Worksheet!$BD$35,IF(Calculation!DR152=102,Worksheet!$BD$36,Worksheet!$BD$37)))))))),IF(Calculation!DS152=12.5,IF(Calculation!DR152=18,Worksheet!$BD$38,IF(Calculation!DR152=Worksheet!$BD$39,IF(Calculation!DR152=42,Worksheet!$BD$40,IF(Calculation!DR152=54,Worksheet!$BD$41,Worksheet!$BD$42)))),IF(Calculation!DR152=18,Worksheet!$BD$11,IF(Calculation!DR152=30,Worksheet!$BD$12,IF(Calculation!DR152=42,Worksheet!$BD$13,IF(Calculation!DR152=54,Worksheet!$BD$14,IF(Calculation!DR152=66,Worksheet!$BD$15,IF(Calculation!DR152=78,Worksheet!$BD$16,IF(Calculation!DR152=90,Worksheet!$BD$17,IF(Calculation!DR152=102,Worksheet!$BD$18,Worksheet!$BD$19))))))))))),IF(Calculation!DS152=13.75,IF(Calculation!DR152=13,Worksheet!$BD$78,IF(Calculation!DR152=37,Worksheet!$BD$79,Worksheet!$BD$80)),IF(Calculation!DS152=10,IF(Calculation!DR152=18,Worksheet!$BD$64,IF(Calculation!DR152=30,Worksheet!$BD$65,IF(Calculation!DR152=42,Worksheet!$BD$66,IF(Calculation!DR152=54,Worksheet!$BD$68,IF(Calculation!DR152=66,Worksheet!$BD$68,IF(Calculation!DR152=78,Worksheet!$BD$69,IF(Calculation!DR152=90,Worksheet!$BD$70,IF(Calculation!DR152=102,Worksheet!$BD$71,Worksheet!$BD$72)))))))),IF(Calculation!DS152=12.5,IF(Calculation!DR152=18,Worksheet!$BD$73,IF(Calculation!DR152=Worksheet!$BD$74,IF(Calculation!DR152=42,Worksheet!$BD$75,IF(Calculation!DR152=54,Worksheet!$BD$76,Worksheet!$BD$77)))),IF(Calculation!DR152=18,Worksheet!$BD$55,IF(Calculation!DR152=30,Worksheet!$BD$56,IF(Calculation!DR152=42,Worksheet!$BD$57,IF(Calculation!DR152=54,Worksheet!$BD$58,IF(Calculation!DR152=66,Worksheet!$BD$59,IF(Calculation!DR152=78,Worksheet!$BD$60,IF(Calculation!DR152=90,Worksheet!$BD$61,IF(Calculation!DR152=102,Worksheet!$BD$62,Worksheet!$BD$63)))))))))))),5),0)," ")</f>
        <v xml:space="preserve"> </v>
      </c>
      <c r="EG152" s="361" t="str">
        <f t="shared" si="468"/>
        <v xml:space="preserve"> </v>
      </c>
      <c r="EH152" s="361" t="e">
        <f ca="1">INDEX(INDIRECT(VLOOKUP(LEFT(BO152,7),CLU!$Z$3:$AH$18,7)),M152-1,3+LEFT(DZ152,1))</f>
        <v>#N/A</v>
      </c>
      <c r="EI152" s="362" t="str">
        <f t="shared" si="469"/>
        <v xml:space="preserve"> </v>
      </c>
      <c r="EJ152" s="363" t="str">
        <f t="shared" si="470"/>
        <v xml:space="preserve"> </v>
      </c>
      <c r="EK152" s="363" t="str">
        <f t="shared" si="471"/>
        <v xml:space="preserve"> </v>
      </c>
      <c r="EL152" s="363" t="str">
        <f t="shared" si="472"/>
        <v xml:space="preserve"> </v>
      </c>
      <c r="EM152" s="362" t="str">
        <f>IF(L152&gt;0,IF(BR152&gt;0,(Calculation!T152/ED152)^2,0)," ")</f>
        <v xml:space="preserve"> </v>
      </c>
      <c r="EN152" s="362" t="str">
        <f>IF(L152&gt;0,IF(O152="2 Pipe (Cooling)","N/A",IF(BR152&gt;0,(Calculation!U152/EI152)^2,0))," ")</f>
        <v xml:space="preserve"> </v>
      </c>
      <c r="EO152" s="361" t="str">
        <f t="shared" si="473"/>
        <v/>
      </c>
      <c r="EP152" s="361" t="str">
        <f t="shared" si="474"/>
        <v/>
      </c>
      <c r="EQ152" s="361" t="str">
        <f t="shared" si="475"/>
        <v/>
      </c>
      <c r="ER152" s="361" t="str">
        <f t="shared" si="476"/>
        <v/>
      </c>
      <c r="ES152" s="361" t="str">
        <f t="shared" si="477"/>
        <v/>
      </c>
      <c r="ET152" s="361" t="str">
        <f t="shared" si="478"/>
        <v/>
      </c>
      <c r="EU152" s="361" t="str">
        <f t="shared" si="479"/>
        <v/>
      </c>
      <c r="EV152" s="361" t="str">
        <f t="shared" si="480"/>
        <v/>
      </c>
      <c r="EW152" s="361" t="str">
        <f t="shared" si="481"/>
        <v/>
      </c>
      <c r="EX152" s="361" t="str">
        <f t="shared" si="571"/>
        <v>1 slot, 1 way</v>
      </c>
      <c r="EY152" s="361" t="str">
        <f t="shared" si="572"/>
        <v xml:space="preserve"> </v>
      </c>
      <c r="EZ152" s="361" t="str">
        <f t="shared" si="573"/>
        <v xml:space="preserve"> </v>
      </c>
      <c r="FA152" s="361" t="str">
        <f t="shared" si="574"/>
        <v xml:space="preserve"> </v>
      </c>
      <c r="FB152" s="361" t="str">
        <f t="shared" si="575"/>
        <v xml:space="preserve"> </v>
      </c>
      <c r="FC152" s="361"/>
      <c r="FD152" s="361" t="str">
        <f>IF(J152&gt;0,IF(Calculation!R152&lt;=70,4,IF(Calculation!R152&lt;=110,5,IF(Calculation!R152&lt;=160,6,IF(Calculation!R152&lt;=300,8,"10 EO")))),"")</f>
        <v/>
      </c>
      <c r="FE152" s="361" t="str">
        <f t="shared" si="576"/>
        <v/>
      </c>
      <c r="FF152" s="361" t="str">
        <f t="shared" si="577"/>
        <v/>
      </c>
      <c r="FG152" s="361" t="e">
        <f t="shared" si="482"/>
        <v>#N/A</v>
      </c>
      <c r="FH152" s="361">
        <f t="shared" si="483"/>
        <v>0</v>
      </c>
      <c r="FI152" s="361" t="e">
        <f t="shared" si="484"/>
        <v>#DIV/0!</v>
      </c>
      <c r="FJ152" s="361"/>
      <c r="FK152" s="356" t="e">
        <f t="shared" si="485"/>
        <v>#VALUE!</v>
      </c>
      <c r="FL152" s="361"/>
      <c r="FM152" s="361"/>
      <c r="FN152" s="362" t="str">
        <f t="shared" si="578"/>
        <v xml:space="preserve"> </v>
      </c>
      <c r="FO152" s="362" t="str">
        <f t="shared" si="579"/>
        <v xml:space="preserve"> </v>
      </c>
      <c r="FP152" s="362">
        <f t="shared" si="580"/>
        <v>0</v>
      </c>
      <c r="FQ152" s="361">
        <f t="shared" si="486"/>
        <v>0</v>
      </c>
      <c r="FR152" s="362" t="str">
        <f>IF(L152&gt;0,IF(J152="CBAL2",Worksheet!$P$67,IF(J152="CBE2-24",Worksheet!$Q$67,IF(J152="CBAM",Worksheet!$R$67,IF(J152="CBLV",Worksheet!$S$67,IF(J152="CBAB",Worksheet!$U$67,IF(J152="CBAW",Worksheet!$X$67,IF(J152="CBE2-12",Worksheet!$Y$67,IF(J152="CBAL2",Worksheet!$Z$67,"N/A"))))))))," ")</f>
        <v xml:space="preserve"> </v>
      </c>
      <c r="FS152" s="362" t="str">
        <f>IF(L152&gt;0,IF(J152="CBAL2",Worksheet!$P$68,IF(J152="CBE2-24",Worksheet!$Q$68,IF(J152="CBAM",Worksheet!$R$68,IF(J152="CBLV",Worksheet!$S$68,IF(J152="CBAB",Worksheet!$U$68,IF(J152="CBAW",Worksheet!$X$68,IF(J152="CBE2-12",Worksheet!$Y$68,IF(J152="CBAL2",Worksheet!$Z$68,"N/A"))))))))," ")</f>
        <v xml:space="preserve"> </v>
      </c>
      <c r="FT152" s="362" t="str">
        <f>IF(L152&gt;0,IF(J152="CBAL2",Worksheet!$P$69,IF(J152="CBE2-24",Worksheet!$Q$69,IF(J152="CBAM",Worksheet!$R$69,IF(J152="CBLV",Worksheet!$S$69,IF(J152="CBAB",Worksheet!$U$69,IF(J152="CBAW",Worksheet!$X$69,IF(J152="CBE2-12",Worksheet!$Y$69,IF(J152="CBAL2",Worksheet!$Z$69,"N/A"))))))))," ")</f>
        <v xml:space="preserve"> </v>
      </c>
      <c r="FU152" s="361" t="str">
        <f t="shared" si="581"/>
        <v xml:space="preserve"> </v>
      </c>
      <c r="FV152" s="362" t="str">
        <f t="shared" si="582"/>
        <v xml:space="preserve"> </v>
      </c>
      <c r="FW152" s="362" t="str">
        <f t="shared" si="583"/>
        <v xml:space="preserve"> </v>
      </c>
      <c r="FX152" s="362" t="str">
        <f t="shared" si="584"/>
        <v xml:space="preserve"> </v>
      </c>
      <c r="FY152" s="355" t="str">
        <f t="shared" si="585"/>
        <v xml:space="preserve"> </v>
      </c>
      <c r="FZ152" s="361" t="str">
        <f t="shared" si="586"/>
        <v xml:space="preserve"> </v>
      </c>
      <c r="GA152" s="347" t="str">
        <f t="shared" si="587"/>
        <v xml:space="preserve"> </v>
      </c>
      <c r="GB152" s="355" t="str">
        <f t="shared" si="588"/>
        <v xml:space="preserve"> </v>
      </c>
      <c r="GC152" s="328" t="str">
        <f t="shared" si="589"/>
        <v xml:space="preserve"> </v>
      </c>
      <c r="GD152" s="361" t="str">
        <f t="shared" si="590"/>
        <v xml:space="preserve"> </v>
      </c>
      <c r="GE152" s="347" t="str">
        <f t="shared" si="591"/>
        <v xml:space="preserve"> </v>
      </c>
      <c r="GF152" s="361" t="str">
        <f t="shared" si="592"/>
        <v xml:space="preserve"> </v>
      </c>
      <c r="GG152" s="347" t="str">
        <f t="shared" si="593"/>
        <v xml:space="preserve"> </v>
      </c>
      <c r="GH152" s="364">
        <f t="shared" si="487"/>
        <v>0</v>
      </c>
      <c r="GI152" s="362">
        <f t="shared" si="594"/>
        <v>2</v>
      </c>
      <c r="GJ152" s="433" t="e">
        <f>IF(6-COUNTBLANK(GT152:GY152)=4,MATCH(MID(BO152,9,3),CLU!$H$16:$K$16),MATCH(MID(BO152,9,3),CLU!$H$13:$M$13))</f>
        <v>#N/A</v>
      </c>
      <c r="GK152" s="433" t="e">
        <f>HLOOKUP(VALUE(BP152),CLU!$H$9:$M$10,2)</f>
        <v>#VALUE!</v>
      </c>
      <c r="GL152" s="433" t="e">
        <f ca="1">MATCH(BU152,CLU!$H$2:$V$2,1)</f>
        <v>#VALUE!</v>
      </c>
      <c r="GM152" s="433" t="e">
        <f t="shared" ca="1" si="595"/>
        <v>#VALUE!</v>
      </c>
      <c r="GN152" s="433" t="e">
        <f t="shared" ca="1" si="596"/>
        <v>#VALUE!</v>
      </c>
      <c r="GO152" s="433" t="e">
        <f t="shared" ca="1" si="597"/>
        <v>#VALUE!</v>
      </c>
      <c r="GP152" s="433" t="e">
        <f t="shared" ca="1" si="598"/>
        <v>#VALUE!</v>
      </c>
      <c r="GQ152" s="433" t="e">
        <f t="shared" ca="1" si="599"/>
        <v>#VALUE!</v>
      </c>
      <c r="GR152" s="433" t="e">
        <f ca="1">MATCH(T152,INDIRECT(VLOOKUP(CONCATENATE(LEFT(BO152,7),"-",MID(BO152,13,1)),CLU!$P$3:$Q$16,2)),1)</f>
        <v>#N/A</v>
      </c>
      <c r="GS152" s="433" t="e">
        <f ca="1">MATCH(U152,INDIRECT(VLOOKUP(CONCATENATE(LEFT(BO152,7),"-",MID(BO152,13,1)),CLU!$P$3:$Q$16,2)),1)</f>
        <v>#N/A</v>
      </c>
      <c r="GT152" s="347" t="s">
        <v>512</v>
      </c>
      <c r="GU152" s="97" t="s">
        <v>513</v>
      </c>
      <c r="GV152" s="97" t="str">
        <f t="shared" si="600"/>
        <v>M23</v>
      </c>
      <c r="GW152" s="97" t="str">
        <f t="shared" si="601"/>
        <v>M31</v>
      </c>
      <c r="GX152" s="97" t="str">
        <f t="shared" si="602"/>
        <v/>
      </c>
      <c r="GY152" s="97" t="str">
        <f t="shared" si="603"/>
        <v/>
      </c>
      <c r="GZ152" s="481"/>
      <c r="HA152" s="288"/>
      <c r="HB152" s="240"/>
      <c r="HC152" s="240"/>
      <c r="HD152" s="240"/>
      <c r="HE152" s="240"/>
      <c r="HF152" s="240"/>
      <c r="HG152" s="240"/>
      <c r="HH152" s="240"/>
      <c r="HI152" s="240"/>
      <c r="HJ152" s="240"/>
      <c r="HK152" s="240"/>
      <c r="HL152" s="240"/>
      <c r="HM152" s="240"/>
      <c r="HN152" s="240"/>
      <c r="HO152" s="240"/>
      <c r="HP152" s="240"/>
      <c r="HQ152" s="240"/>
      <c r="HR152" s="240"/>
      <c r="HS152" s="240"/>
      <c r="HT152" s="240"/>
      <c r="HU152" s="240"/>
      <c r="HV152" s="245"/>
      <c r="HW152" s="245" t="b">
        <v>1</v>
      </c>
      <c r="HX152" s="245" t="str">
        <f t="shared" si="488"/>
        <v/>
      </c>
      <c r="HY152" s="245" t="e">
        <f t="shared" si="489"/>
        <v>#DIV/0!</v>
      </c>
      <c r="HZ152" s="245" t="e">
        <f t="shared" si="490"/>
        <v>#DIV/0!</v>
      </c>
      <c r="IA152" s="245">
        <f t="shared" si="491"/>
        <v>0</v>
      </c>
      <c r="IB152" s="245"/>
      <c r="IC152" t="b">
        <f t="shared" si="492"/>
        <v>1</v>
      </c>
      <c r="ID152" s="245" t="b">
        <f t="shared" si="493"/>
        <v>1</v>
      </c>
      <c r="IE152" s="245" t="b">
        <f t="shared" si="494"/>
        <v>1</v>
      </c>
      <c r="IF152" s="245" t="b">
        <f t="shared" si="495"/>
        <v>0</v>
      </c>
      <c r="IG152" s="245" t="b">
        <f t="shared" si="496"/>
        <v>1</v>
      </c>
      <c r="IH152" s="245" t="b">
        <f t="shared" si="497"/>
        <v>1</v>
      </c>
      <c r="II152" s="245">
        <f t="shared" si="604"/>
        <v>0</v>
      </c>
      <c r="IJ152" s="245" t="e">
        <f t="shared" si="498"/>
        <v>#VALUE!</v>
      </c>
      <c r="IK152" s="245" t="e">
        <f t="shared" si="499"/>
        <v>#VALUE!</v>
      </c>
      <c r="IL152" s="245"/>
      <c r="IM152" s="245" t="e">
        <f t="shared" si="605"/>
        <v>#N/A</v>
      </c>
      <c r="IN152" s="245" t="e">
        <f t="shared" si="606"/>
        <v>#N/A</v>
      </c>
      <c r="IO152" s="245"/>
      <c r="IP152" s="245"/>
      <c r="IQ152" s="245" t="str">
        <f t="shared" si="500"/>
        <v/>
      </c>
      <c r="IR152" s="245" t="str">
        <f>IF(J152="","",VLOOKUP(J152,Worksheet!$R$4:$T$14,2))</f>
        <v/>
      </c>
      <c r="IS152" s="245"/>
      <c r="IT152" s="245">
        <f t="shared" si="501"/>
        <v>0</v>
      </c>
      <c r="IU152" s="245">
        <f t="shared" si="502"/>
        <v>0</v>
      </c>
      <c r="IV152" s="245">
        <f t="shared" si="503"/>
        <v>0</v>
      </c>
      <c r="IW152" s="245">
        <f t="shared" si="504"/>
        <v>0</v>
      </c>
      <c r="IX152" s="245">
        <f t="shared" si="607"/>
        <v>0</v>
      </c>
      <c r="IY152" s="245">
        <f t="shared" si="505"/>
        <v>0</v>
      </c>
      <c r="IZ152" s="245">
        <f t="shared" si="506"/>
        <v>0</v>
      </c>
      <c r="JA152">
        <f t="shared" si="507"/>
        <v>0</v>
      </c>
      <c r="JB152">
        <f t="shared" si="608"/>
        <v>0</v>
      </c>
      <c r="JC152">
        <f t="shared" si="508"/>
        <v>0</v>
      </c>
      <c r="JD152">
        <f t="shared" si="509"/>
        <v>0</v>
      </c>
      <c r="JE152">
        <f t="shared" si="510"/>
        <v>0</v>
      </c>
      <c r="JF152">
        <f t="shared" si="511"/>
        <v>0</v>
      </c>
      <c r="JG152">
        <f t="shared" si="512"/>
        <v>0</v>
      </c>
      <c r="JH152">
        <f t="shared" si="513"/>
        <v>0</v>
      </c>
      <c r="JI152">
        <f t="shared" si="514"/>
        <v>0</v>
      </c>
      <c r="JJ152" s="447">
        <f t="shared" si="515"/>
        <v>0</v>
      </c>
      <c r="JK152" s="447">
        <f t="shared" si="516"/>
        <v>0</v>
      </c>
      <c r="JL152">
        <f t="shared" si="517"/>
        <v>0</v>
      </c>
      <c r="JM152" s="245" t="str">
        <f>IFERROR(VLOOKUP(MATCH(BN152,#REF!,0),#REF!,7),"")</f>
        <v/>
      </c>
      <c r="JN152" t="e">
        <f>HLOOKUP(LEFT(BO152,7),Discharge_Area,MATCH(JO152,LookUps!$B$130:$B$149,1)+2)</f>
        <v>#N/A</v>
      </c>
      <c r="JO152" t="str">
        <f t="shared" si="518"/>
        <v>- S</v>
      </c>
      <c r="JP152" t="e">
        <f>HLOOKUP(LEFT(BO152,7),Discharge_Area,MATCH(JO152,LookUps!$B$130:$B$149,1)+2)</f>
        <v>#N/A</v>
      </c>
      <c r="JQ152" t="e">
        <f t="shared" si="519"/>
        <v>#N/A</v>
      </c>
      <c r="JR152" t="e">
        <f t="shared" si="520"/>
        <v>#N/A</v>
      </c>
      <c r="JS152" t="e">
        <f t="shared" si="521"/>
        <v>#N/A</v>
      </c>
      <c r="JT152" s="532" t="str">
        <f t="shared" si="522"/>
        <v xml:space="preserve"> </v>
      </c>
      <c r="JU152" s="532" t="str">
        <f t="shared" si="523"/>
        <v xml:space="preserve"> </v>
      </c>
      <c r="JV152" s="533" t="str">
        <f t="shared" si="524"/>
        <v xml:space="preserve"> </v>
      </c>
      <c r="JW152" s="534">
        <f t="shared" si="525"/>
        <v>0</v>
      </c>
      <c r="JX152" s="535" t="str">
        <f t="shared" si="609"/>
        <v xml:space="preserve"> </v>
      </c>
      <c r="JY152" s="535" t="str">
        <f t="shared" si="610"/>
        <v xml:space="preserve"> </v>
      </c>
      <c r="JZ152" s="535" t="str">
        <f t="shared" si="611"/>
        <v xml:space="preserve"> </v>
      </c>
      <c r="KA152" s="536" t="str">
        <f t="shared" si="526"/>
        <v xml:space="preserve"> </v>
      </c>
      <c r="KB152" s="535" t="e">
        <f t="shared" si="612"/>
        <v>#VALUE!</v>
      </c>
      <c r="KC152" s="535" t="str">
        <f t="shared" si="527"/>
        <v/>
      </c>
      <c r="KD152" s="537" t="str">
        <f t="shared" si="613"/>
        <v xml:space="preserve"> </v>
      </c>
      <c r="KE152" s="537" t="str">
        <f t="shared" si="614"/>
        <v xml:space="preserve"> </v>
      </c>
      <c r="KF152" s="534">
        <f t="shared" si="528"/>
        <v>0</v>
      </c>
      <c r="KG152" s="535" t="str">
        <f t="shared" si="529"/>
        <v xml:space="preserve"> </v>
      </c>
      <c r="KH152" s="535" t="str">
        <f t="shared" si="530"/>
        <v xml:space="preserve"> </v>
      </c>
      <c r="KI152" s="535" t="str">
        <f t="shared" si="531"/>
        <v xml:space="preserve"> </v>
      </c>
      <c r="KJ152" s="536" t="str">
        <f t="shared" si="532"/>
        <v xml:space="preserve"> </v>
      </c>
      <c r="KK152" s="535" t="str">
        <f t="shared" si="615"/>
        <v xml:space="preserve"> </v>
      </c>
      <c r="KL152" s="535" t="str">
        <f t="shared" si="616"/>
        <v xml:space="preserve"> </v>
      </c>
      <c r="KM152" s="537" t="str">
        <f t="shared" si="533"/>
        <v xml:space="preserve"> </v>
      </c>
      <c r="KN152" s="537" t="str">
        <f t="shared" si="617"/>
        <v xml:space="preserve"> </v>
      </c>
      <c r="KP152">
        <f t="shared" si="534"/>
        <v>0</v>
      </c>
      <c r="LA152" t="e">
        <f t="shared" si="535"/>
        <v>#VALUE!</v>
      </c>
      <c r="LB152" t="e">
        <f t="shared" si="536"/>
        <v>#VALUE!</v>
      </c>
      <c r="LC152" t="e">
        <f t="shared" si="537"/>
        <v>#VALUE!</v>
      </c>
      <c r="LD152" t="e">
        <f t="shared" si="538"/>
        <v>#VALUE!</v>
      </c>
      <c r="LE152" t="e">
        <f t="shared" si="618"/>
        <v>#VALUE!</v>
      </c>
      <c r="LF152">
        <f t="shared" si="539"/>
        <v>0</v>
      </c>
      <c r="LG152" t="e">
        <f t="shared" si="619"/>
        <v>#VALUE!</v>
      </c>
      <c r="LH152" t="str">
        <f t="shared" si="540"/>
        <v xml:space="preserve"> </v>
      </c>
      <c r="LI152">
        <f t="shared" si="620"/>
        <v>1</v>
      </c>
    </row>
    <row r="153" spans="2:321" ht="15" customHeight="1">
      <c r="B153" s="311"/>
      <c r="C153" s="311"/>
      <c r="D153" s="312"/>
      <c r="E153" s="311"/>
      <c r="F153" s="312"/>
      <c r="G153" s="311"/>
      <c r="H153" s="311"/>
      <c r="I153" s="37"/>
      <c r="J153" s="311"/>
      <c r="K153" s="305" t="str">
        <f t="shared" si="541"/>
        <v/>
      </c>
      <c r="L153" s="313"/>
      <c r="M153" s="312"/>
      <c r="N153" s="311"/>
      <c r="O153" s="312"/>
      <c r="P153" s="311"/>
      <c r="Q153" s="305" t="str">
        <f t="shared" si="542"/>
        <v/>
      </c>
      <c r="R153" s="314"/>
      <c r="S153" s="450" t="str">
        <f t="shared" si="425"/>
        <v/>
      </c>
      <c r="T153" s="315"/>
      <c r="U153" s="315"/>
      <c r="W153" s="149" t="str">
        <f t="shared" si="426"/>
        <v xml:space="preserve"> </v>
      </c>
      <c r="X153" s="243" t="str">
        <f t="shared" si="427"/>
        <v xml:space="preserve"> </v>
      </c>
      <c r="Y153" s="150" t="str">
        <f t="shared" si="428"/>
        <v/>
      </c>
      <c r="Z153" s="149" t="str">
        <f t="shared" si="429"/>
        <v xml:space="preserve"> </v>
      </c>
      <c r="AA153" s="98" t="str">
        <f t="shared" si="430"/>
        <v xml:space="preserve"> </v>
      </c>
      <c r="AB153" s="153" t="str">
        <f t="shared" si="431"/>
        <v xml:space="preserve"> </v>
      </c>
      <c r="AC153" s="153" t="str">
        <f t="shared" si="432"/>
        <v xml:space="preserve"> </v>
      </c>
      <c r="AD153" s="148" t="str">
        <f t="shared" si="433"/>
        <v/>
      </c>
      <c r="AE153" s="149" t="str">
        <f t="shared" si="434"/>
        <v/>
      </c>
      <c r="AF153" s="151" t="str">
        <f t="shared" si="435"/>
        <v xml:space="preserve"> </v>
      </c>
      <c r="AG153" s="153" t="str">
        <f t="shared" si="436"/>
        <v xml:space="preserve"> </v>
      </c>
      <c r="AH153" s="98" t="str">
        <f t="shared" si="437"/>
        <v xml:space="preserve"> </v>
      </c>
      <c r="AI153" s="149" t="str">
        <f t="shared" si="438"/>
        <v xml:space="preserve"> </v>
      </c>
      <c r="AK153" s="144" t="str">
        <f t="shared" si="439"/>
        <v xml:space="preserve"> </v>
      </c>
      <c r="AL153" s="144"/>
      <c r="AM153" s="243" t="str">
        <f t="shared" si="440"/>
        <v xml:space="preserve"> </v>
      </c>
      <c r="AN153" s="149" t="str">
        <f t="shared" si="543"/>
        <v xml:space="preserve"> </v>
      </c>
      <c r="AO153" s="144" t="str">
        <f>IF(JB153&gt;0,IF(GI153=10,-R153*1.085*(Calculation!$F$6-Calculation!$F$13)*$S$14," "),"")</f>
        <v/>
      </c>
      <c r="AP153" s="144" t="str">
        <f t="shared" si="441"/>
        <v/>
      </c>
      <c r="AQ153" s="56" t="str">
        <f t="shared" si="442"/>
        <v/>
      </c>
      <c r="AR153" s="144" t="str">
        <f t="shared" si="443"/>
        <v/>
      </c>
      <c r="AS153" s="176" t="str">
        <f t="shared" si="444"/>
        <v/>
      </c>
      <c r="AT153" s="176" t="str">
        <f t="shared" si="544"/>
        <v xml:space="preserve"> </v>
      </c>
      <c r="AU153" s="176" t="str">
        <f t="shared" si="445"/>
        <v/>
      </c>
      <c r="AV153" s="177" t="str">
        <f t="shared" si="446"/>
        <v xml:space="preserve"> </v>
      </c>
      <c r="AW153" s="144" t="str">
        <f t="shared" si="447"/>
        <v xml:space="preserve"> </v>
      </c>
      <c r="AX153" s="144" t="str">
        <f t="shared" si="448"/>
        <v xml:space="preserve"> </v>
      </c>
      <c r="AY153" s="152" t="str">
        <f t="shared" si="449"/>
        <v xml:space="preserve"> </v>
      </c>
      <c r="AZ153" s="246" t="str">
        <f t="shared" si="450"/>
        <v/>
      </c>
      <c r="BA153" s="176" t="str">
        <f t="shared" si="451"/>
        <v xml:space="preserve"> </v>
      </c>
      <c r="BB153" s="176" t="str">
        <f t="shared" si="452"/>
        <v xml:space="preserve"> </v>
      </c>
      <c r="BC153" s="195"/>
      <c r="BD153" s="316"/>
      <c r="BE153" s="317"/>
      <c r="BF153" s="318"/>
      <c r="BG153" s="318"/>
      <c r="BH153" s="144" t="str">
        <f t="shared" si="621"/>
        <v xml:space="preserve"> </v>
      </c>
      <c r="BI153" s="176" t="str">
        <f t="shared" si="453"/>
        <v/>
      </c>
      <c r="BJ153" s="144" t="str">
        <f t="shared" si="622"/>
        <v/>
      </c>
      <c r="BK153" s="246" t="str">
        <f t="shared" si="454"/>
        <v/>
      </c>
      <c r="BL153" s="144" t="str">
        <f t="shared" si="623"/>
        <v/>
      </c>
      <c r="BM153" s="246" t="str">
        <f t="shared" si="455"/>
        <v/>
      </c>
      <c r="BN153" s="337" t="str">
        <f t="shared" si="545"/>
        <v/>
      </c>
      <c r="BO153" s="371" t="str">
        <f t="shared" si="546"/>
        <v/>
      </c>
      <c r="BP153" s="328" t="str">
        <f t="shared" si="624"/>
        <v xml:space="preserve"> </v>
      </c>
      <c r="BQ153" s="347" t="str">
        <f t="shared" si="547"/>
        <v xml:space="preserve"> </v>
      </c>
      <c r="BR153" s="353" t="str">
        <f t="shared" si="548"/>
        <v xml:space="preserve"> </v>
      </c>
      <c r="BS153" s="626" t="str">
        <f>IF(L153&gt;0,IF(Calculation!P153="M13",BR153*3.1416*(0.134^2)/(4*144),IF(Calculation!P153="M17",BR153*3.1416*(0.165^2)/(4*144),IF(Calculation!P153="M20",BR153*3.1416*(0.198^2)/(4*144),IF(Calculation!P153="M23",BR153*3.1416*(0.228^2)/(4*144),IF(Calculation!P153="M27",BR153*3.1416*(0.269^2)/(4*144),BR153*3.1416*(0.307^2)/(4*144))))))," ")</f>
        <v xml:space="preserve"> </v>
      </c>
      <c r="BT153" s="353" t="str">
        <f>IF(L153&gt;0,IF(BS153&gt;0,R153/Calculation!BS153,0)," ")</f>
        <v xml:space="preserve"> </v>
      </c>
      <c r="BU153" s="438" t="e">
        <f t="shared" ca="1" si="456"/>
        <v>#VALUE!</v>
      </c>
      <c r="BV153" s="449" t="e">
        <f ca="1">INDEX(INDIRECT(VLOOKUP(LEFT(BO153,7),CLU!$Z$3:$AH$18,2)),GN153,GR153)</f>
        <v>#N/A</v>
      </c>
      <c r="BW153" s="433" t="e">
        <f ca="1">INDEX(INDIRECT(VLOOKUP(LEFT(BO153,7),CLU!$Z$3:$AH$18,3)),GN153,GR153)</f>
        <v>#N/A</v>
      </c>
      <c r="BX153" s="433" t="e">
        <f ca="1">INDEX(INDIRECT(VLOOKUP(LEFT(BO153,7),CLU!$Z$3:$AH$18,4)),GN153,GR153)</f>
        <v>#N/A</v>
      </c>
      <c r="BY153" s="433" t="e">
        <f ca="1">INDEX(INDIRECT(VLOOKUP(LEFT(BO153,7),CLU!$Z$3:$AH$18,9)),((M153-2)*(6-COUNTBLANK(GT153:GY153)))+GJ153)</f>
        <v>#N/A</v>
      </c>
      <c r="BZ153" s="426" t="e">
        <f t="shared" ca="1" si="549"/>
        <v>#N/A</v>
      </c>
      <c r="CA153" s="424" t="e">
        <f t="shared" ca="1" si="550"/>
        <v>#N/A</v>
      </c>
      <c r="CB153" s="429" t="e">
        <f ca="1">INDEX(INDIRECT(VLOOKUP(LEFT(BO153,7),CLU!$Z$3:$AH$18,2)),GN153,GS153)</f>
        <v>#N/A</v>
      </c>
      <c r="CC153" s="342" t="e">
        <f ca="1">INDEX(INDIRECT(VLOOKUP(LEFT(BO153,7),CLU!$Z$3:$AH$18,3)),GN153,GS153)</f>
        <v>#N/A</v>
      </c>
      <c r="CD153" s="342" t="e">
        <f ca="1">INDEX(INDIRECT(VLOOKUP(LEFT(BO153,7),CLU!$Z$3:$AH$18,4)),GN153,GS153)</f>
        <v>#N/A</v>
      </c>
      <c r="CE153" s="426" t="e">
        <f t="shared" ca="1" si="551"/>
        <v>#N/A</v>
      </c>
      <c r="CF153" s="440">
        <f t="shared" si="552"/>
        <v>0</v>
      </c>
      <c r="CG153" s="431" t="e">
        <f ca="1">INDEX(INDIRECT(VLOOKUP(LEFT(BO153,7),CLU!$Z$3:$AH$18,2)),GQ153,GR153)</f>
        <v>#N/A</v>
      </c>
      <c r="CH153" s="431" t="e">
        <f ca="1">INDEX(INDIRECT(VLOOKUP(LEFT(BO153,7),CLU!$Z$3:$AH$18,3)),GQ153,GR153)</f>
        <v>#N/A</v>
      </c>
      <c r="CI153" s="431" t="e">
        <f ca="1">INDEX(INDIRECT(VLOOKUP(LEFT(BO153,7),CLU!$Z$3:$AH$18,4)),GQ153,GR153)</f>
        <v>#N/A</v>
      </c>
      <c r="CJ153" s="448" t="e">
        <f t="shared" ca="1" si="553"/>
        <v>#N/A</v>
      </c>
      <c r="CK153" s="431" t="e">
        <f t="shared" ca="1" si="554"/>
        <v>#N/A</v>
      </c>
      <c r="CL153" s="440" t="e">
        <f t="shared" ca="1" si="555"/>
        <v>#N/A</v>
      </c>
      <c r="CM153" s="431" t="e">
        <f ca="1">INDEX(INDIRECT(VLOOKUP(LEFT(BO153,7),CLU!$Z$3:$AH$18,2)),GQ153,GS153)</f>
        <v>#N/A</v>
      </c>
      <c r="CN153" s="431" t="e">
        <f ca="1">INDEX(INDIRECT(VLOOKUP(LEFT(BO153,7),CLU!$Z$3:$AH$18,3)),GQ153,GS153)</f>
        <v>#N/A</v>
      </c>
      <c r="CO153" s="431" t="e">
        <f ca="1">INDEX(INDIRECT(VLOOKUP(LEFT(BO153,7),CLU!$Z$3:$AH$18,4)),GQ153,GS153)</f>
        <v>#N/A</v>
      </c>
      <c r="CP153" s="431" t="e">
        <f t="shared" ca="1" si="556"/>
        <v>#N/A</v>
      </c>
      <c r="CQ153" s="440">
        <f t="shared" si="557"/>
        <v>0</v>
      </c>
      <c r="CR153" s="51" t="e">
        <f t="shared" ca="1" si="558"/>
        <v>#N/A</v>
      </c>
      <c r="CS153" s="439" t="e">
        <f t="shared" ca="1" si="559"/>
        <v>#VALUE!</v>
      </c>
      <c r="CT153" s="51" t="e">
        <f t="shared" ca="1" si="560"/>
        <v>#VALUE!</v>
      </c>
      <c r="CU153" s="10"/>
      <c r="CV153" s="51" t="e">
        <f t="shared" ca="1" si="457"/>
        <v>#VALUE!</v>
      </c>
      <c r="CW153" s="51">
        <f t="shared" si="561"/>
        <v>0</v>
      </c>
      <c r="CX153" s="439" t="e">
        <f t="shared" ca="1" si="562"/>
        <v>#VALUE!</v>
      </c>
      <c r="CY153" s="51" t="e">
        <f t="shared" ca="1" si="563"/>
        <v>#VALUE!</v>
      </c>
      <c r="CZ153" s="10"/>
      <c r="DA153" s="51" t="e">
        <f t="shared" ca="1" si="564"/>
        <v>#VALUE!</v>
      </c>
      <c r="DB153" s="347" t="e">
        <f ca="1">INDEX(INDIRECT(VLOOKUP(LEFT(BO153,7),CLU!$Z$3:$AI$18,10)),((M153-2)*(6-COUNTBLANK(GT153:GY153)))+GJ153)*LI153</f>
        <v>#N/A</v>
      </c>
      <c r="DC153" s="347" t="str">
        <f>IF(L153&gt;0,((R153/Worksheet!$I$15)/DB153)^2," ")</f>
        <v xml:space="preserve"> </v>
      </c>
      <c r="DD153" s="602" t="str">
        <f t="shared" si="565"/>
        <v xml:space="preserve"> </v>
      </c>
      <c r="DE153" s="347" t="str">
        <f t="shared" si="458"/>
        <v xml:space="preserve"> </v>
      </c>
      <c r="DF153" s="356" t="e">
        <f ca="1">INDEX(INDIRECT(VLOOKUP(LEFT(BO153,7),CLU!$Z$3:$AH$18,8)),((M153-2)*(6-COUNTBLANK(GT153:GY153)))+GJ153)</f>
        <v>#N/A</v>
      </c>
      <c r="DG153" s="347" t="str">
        <f t="shared" si="459"/>
        <v xml:space="preserve"> </v>
      </c>
      <c r="DH153" s="357" t="str">
        <f t="shared" si="460"/>
        <v xml:space="preserve"> </v>
      </c>
      <c r="DI153" s="355" t="str">
        <f t="shared" si="461"/>
        <v xml:space="preserve"> </v>
      </c>
      <c r="DJ153" s="245" t="e">
        <f ca="1">INDEX(INDIRECT(VLOOKUP(LEFT(BO153,7),CLU!$Z$3:$AH$18,5)),GL153,GK153)</f>
        <v>#N/A</v>
      </c>
      <c r="DK153" s="245" t="e">
        <f ca="1">INDEX(INDIRECT(VLOOKUP(LEFT(BO153,7),CLU!$Z$3:$AH$18,6)),GL153,GK153)</f>
        <v>#N/A</v>
      </c>
      <c r="DL153" s="355">
        <f>(Calculation!R153*0.69143*(Calculation!$BQ$8-Calculation!$F$8))*$S$14</f>
        <v>0</v>
      </c>
      <c r="DM153" s="359" t="e">
        <f t="shared" si="566"/>
        <v>#VALUE!</v>
      </c>
      <c r="DN153" s="611">
        <f t="shared" si="567"/>
        <v>0</v>
      </c>
      <c r="DO153" s="359">
        <f t="shared" si="568"/>
        <v>100</v>
      </c>
      <c r="DP153" s="359">
        <f t="shared" si="569"/>
        <v>0</v>
      </c>
      <c r="DQ153" s="360"/>
      <c r="DR153" s="245" t="e">
        <f ca="1">INDEX(INDIRECT(VLOOKUP(LEFT(BO153,7),CLU!$Z$3:$AH$18,7)),M153-1,1)</f>
        <v>#N/A</v>
      </c>
      <c r="DS153" s="245" t="e">
        <f ca="1">INDEX(INDIRECT(VLOOKUP(LEFT(BO153,7),CLU!$Z$3:$AH$18,7)),M153-1,2)</f>
        <v>#N/A</v>
      </c>
      <c r="DT153" s="245" t="e">
        <f ca="1">INDEX(INDIRECT(VLOOKUP(LEFT(BO153,7),CLU!$Z$3:$AH$18,7)),M153-1,3)</f>
        <v>#N/A</v>
      </c>
      <c r="DU153" s="245" t="e">
        <f ca="1">INDEX(INDIRECT(VLOOKUP(LEFT(BO153,7),CLU!$Z$3:$AH$18,7)),M153-1,4)</f>
        <v>#N/A</v>
      </c>
      <c r="DV153" s="361" t="e">
        <f ca="1">INDEX(INDIRECT(VLOOKUP(LEFT(BO153,7),CLU!$Z$3:$AH$18,7)),M153-1,4+LEFT(DZ153,1)*0.5)</f>
        <v>#N/A</v>
      </c>
      <c r="DW153" s="245" t="e">
        <f ca="1">INDEX(INDIRECT(VLOOKUP(LEFT(BO153,7),CLU!$Z$3:$AH$18,7)),M153-1,8)</f>
        <v>#N/A</v>
      </c>
      <c r="DX153" s="361" t="str">
        <f t="shared" si="462"/>
        <v xml:space="preserve"> </v>
      </c>
      <c r="DY153" s="361" t="str">
        <f t="shared" si="463"/>
        <v xml:space="preserve"> </v>
      </c>
      <c r="DZ153" s="361" t="str">
        <f t="shared" si="464"/>
        <v xml:space="preserve"> </v>
      </c>
      <c r="EA153" s="362" t="str">
        <f t="shared" si="465"/>
        <v xml:space="preserve"> </v>
      </c>
      <c r="EB153" s="624" t="str">
        <f t="shared" si="570"/>
        <v xml:space="preserve"> </v>
      </c>
      <c r="EC153" s="361" t="e">
        <f ca="1">INDEX(INDIRECT(VLOOKUP(LEFT(BO153,7),CLU!$Z$3:$AH$18,7)),M153-1,4+LEFT(DZ153,1)*0.5)</f>
        <v>#N/A</v>
      </c>
      <c r="ED153" s="362" t="str">
        <f t="shared" si="466"/>
        <v xml:space="preserve"> </v>
      </c>
      <c r="EE153" s="361" t="str">
        <f t="shared" si="467"/>
        <v xml:space="preserve"> </v>
      </c>
      <c r="EF153" s="362" t="str">
        <f>IF(L153&gt;0,IF(BR153&gt;0,IF(EE153="2P",IF(Calculation!DZ153="2P",IF(Calculation!DS153=13.75,IF(Calculation!DR153=13,Worksheet!$BD$43,IF(Calculation!DR153=37,Worksheet!$BD$44,Worksheet!$BD$45)),IF(Calculation!DS153=10,IF(Calculation!DR153=18,Worksheet!$BD$29,IF(Calculation!DR153=30,Worksheet!$BD$30,IF(Calculation!DR153=42,Worksheet!$BD$31,IF(Calculation!DR153=54,Worksheet!$BD$32,IF(Calculation!DR153=66,Worksheet!$BD$33,IF(Calculation!DR153=78,Worksheet!$BD$34,IF(Calculation!DR153=90,Worksheet!$BD$35,IF(Calculation!DR153=102,Worksheet!$BD$36,Worksheet!$BD$37)))))))),IF(Calculation!DS153=12.5,IF(Calculation!DR153=18,Worksheet!$BD$38,IF(Calculation!DR153=Worksheet!$BD$39,IF(Calculation!DR153=42,Worksheet!$BD$40,IF(Calculation!DR153=54,Worksheet!$BD$41,Worksheet!$BD$42)))),IF(Calculation!DR153=18,Worksheet!$BD$11,IF(Calculation!DR153=30,Worksheet!$BD$12,IF(Calculation!DR153=42,Worksheet!$BD$13,IF(Calculation!DR153=54,Worksheet!$BD$14,IF(Calculation!DR153=66,Worksheet!$BD$15,IF(Calculation!DR153=78,Worksheet!$BD$16,IF(Calculation!DR153=90,Worksheet!$BD$17,IF(Calculation!DR153=102,Worksheet!$BD$18,Worksheet!$BD$19))))))))))),IF(Calculation!DS153=13.75,IF(Calculation!DR153=13,Worksheet!$BD$78,IF(Calculation!DR153=37,Worksheet!$BD$79,Worksheet!$BD$80)),IF(Calculation!DS153=10,IF(Calculation!DR153=18,Worksheet!$BD$64,IF(Calculation!DR153=30,Worksheet!$BD$65,IF(Calculation!DR153=42,Worksheet!$BD$66,IF(Calculation!DR153=54,Worksheet!$BD$68,IF(Calculation!DR153=66,Worksheet!$BD$68,IF(Calculation!DR153=78,Worksheet!$BD$69,IF(Calculation!DR153=90,Worksheet!$BD$70,IF(Calculation!DR153=102,Worksheet!$BD$71,Worksheet!$BD$72)))))))),IF(Calculation!DS153=12.5,IF(Calculation!DR153=18,Worksheet!$BD$73,IF(Calculation!DR153=Worksheet!$BD$74,IF(Calculation!DR153=42,Worksheet!$BD$75,IF(Calculation!DR153=54,Worksheet!$BD$76,Worksheet!$BD$77)))),IF(Calculation!DR153=18,Worksheet!$BD$55,IF(Calculation!DR153=30,Worksheet!$BD$56,IF(Calculation!DR153=42,Worksheet!$BD$57,IF(Calculation!DR153=54,Worksheet!$BD$58,IF(Calculation!DR153=66,Worksheet!$BD$59,IF(Calculation!DR153=78,Worksheet!$BD$60,IF(Calculation!DR153=90,Worksheet!$BD$61,IF(Calculation!DR153=102,Worksheet!$BD$62,Worksheet!$BD$63)))))))))))),5),0)," ")</f>
        <v xml:space="preserve"> </v>
      </c>
      <c r="EG153" s="361" t="str">
        <f t="shared" si="468"/>
        <v xml:space="preserve"> </v>
      </c>
      <c r="EH153" s="361" t="e">
        <f ca="1">INDEX(INDIRECT(VLOOKUP(LEFT(BO153,7),CLU!$Z$3:$AH$18,7)),M153-1,3+LEFT(DZ153,1))</f>
        <v>#N/A</v>
      </c>
      <c r="EI153" s="362" t="str">
        <f t="shared" si="469"/>
        <v xml:space="preserve"> </v>
      </c>
      <c r="EJ153" s="363" t="str">
        <f t="shared" si="470"/>
        <v xml:space="preserve"> </v>
      </c>
      <c r="EK153" s="363" t="str">
        <f t="shared" si="471"/>
        <v xml:space="preserve"> </v>
      </c>
      <c r="EL153" s="363" t="str">
        <f t="shared" si="472"/>
        <v xml:space="preserve"> </v>
      </c>
      <c r="EM153" s="362" t="str">
        <f>IF(L153&gt;0,IF(BR153&gt;0,(Calculation!T153/ED153)^2,0)," ")</f>
        <v xml:space="preserve"> </v>
      </c>
      <c r="EN153" s="362" t="str">
        <f>IF(L153&gt;0,IF(O153="2 Pipe (Cooling)","N/A",IF(BR153&gt;0,(Calculation!U153/EI153)^2,0))," ")</f>
        <v xml:space="preserve"> </v>
      </c>
      <c r="EO153" s="361" t="str">
        <f t="shared" si="473"/>
        <v/>
      </c>
      <c r="EP153" s="361" t="str">
        <f t="shared" si="474"/>
        <v/>
      </c>
      <c r="EQ153" s="361" t="str">
        <f t="shared" si="475"/>
        <v/>
      </c>
      <c r="ER153" s="361" t="str">
        <f t="shared" si="476"/>
        <v/>
      </c>
      <c r="ES153" s="361" t="str">
        <f t="shared" si="477"/>
        <v/>
      </c>
      <c r="ET153" s="361" t="str">
        <f t="shared" si="478"/>
        <v/>
      </c>
      <c r="EU153" s="361" t="str">
        <f t="shared" si="479"/>
        <v/>
      </c>
      <c r="EV153" s="361" t="str">
        <f t="shared" si="480"/>
        <v/>
      </c>
      <c r="EW153" s="361" t="str">
        <f t="shared" si="481"/>
        <v/>
      </c>
      <c r="EX153" s="361" t="str">
        <f t="shared" si="571"/>
        <v>1 slot, 1 way</v>
      </c>
      <c r="EY153" s="361" t="str">
        <f t="shared" si="572"/>
        <v xml:space="preserve"> </v>
      </c>
      <c r="EZ153" s="361" t="str">
        <f t="shared" si="573"/>
        <v xml:space="preserve"> </v>
      </c>
      <c r="FA153" s="361" t="str">
        <f t="shared" si="574"/>
        <v xml:space="preserve"> </v>
      </c>
      <c r="FB153" s="361" t="str">
        <f t="shared" si="575"/>
        <v xml:space="preserve"> </v>
      </c>
      <c r="FC153" s="361"/>
      <c r="FD153" s="361" t="str">
        <f>IF(J153&gt;0,IF(Calculation!R153&lt;=70,4,IF(Calculation!R153&lt;=110,5,IF(Calculation!R153&lt;=160,6,IF(Calculation!R153&lt;=300,8,"10 EO")))),"")</f>
        <v/>
      </c>
      <c r="FE153" s="361" t="str">
        <f t="shared" si="576"/>
        <v/>
      </c>
      <c r="FF153" s="361" t="str">
        <f t="shared" si="577"/>
        <v/>
      </c>
      <c r="FG153" s="361" t="e">
        <f t="shared" si="482"/>
        <v>#N/A</v>
      </c>
      <c r="FH153" s="361">
        <f t="shared" si="483"/>
        <v>0</v>
      </c>
      <c r="FI153" s="361" t="e">
        <f t="shared" si="484"/>
        <v>#DIV/0!</v>
      </c>
      <c r="FJ153" s="361"/>
      <c r="FK153" s="356" t="e">
        <f t="shared" si="485"/>
        <v>#VALUE!</v>
      </c>
      <c r="FL153" s="361"/>
      <c r="FM153" s="361"/>
      <c r="FN153" s="362" t="str">
        <f t="shared" si="578"/>
        <v xml:space="preserve"> </v>
      </c>
      <c r="FO153" s="362" t="str">
        <f t="shared" si="579"/>
        <v xml:space="preserve"> </v>
      </c>
      <c r="FP153" s="362">
        <f t="shared" si="580"/>
        <v>0</v>
      </c>
      <c r="FQ153" s="361">
        <f t="shared" si="486"/>
        <v>0</v>
      </c>
      <c r="FR153" s="362" t="str">
        <f>IF(L153&gt;0,IF(J153="CBAL2",Worksheet!$P$67,IF(J153="CBE2-24",Worksheet!$Q$67,IF(J153="CBAM",Worksheet!$R$67,IF(J153="CBLV",Worksheet!$S$67,IF(J153="CBAB",Worksheet!$U$67,IF(J153="CBAW",Worksheet!$X$67,IF(J153="CBE2-12",Worksheet!$Y$67,IF(J153="CBAL2",Worksheet!$Z$67,"N/A"))))))))," ")</f>
        <v xml:space="preserve"> </v>
      </c>
      <c r="FS153" s="362" t="str">
        <f>IF(L153&gt;0,IF(J153="CBAL2",Worksheet!$P$68,IF(J153="CBE2-24",Worksheet!$Q$68,IF(J153="CBAM",Worksheet!$R$68,IF(J153="CBLV",Worksheet!$S$68,IF(J153="CBAB",Worksheet!$U$68,IF(J153="CBAW",Worksheet!$X$68,IF(J153="CBE2-12",Worksheet!$Y$68,IF(J153="CBAL2",Worksheet!$Z$68,"N/A"))))))))," ")</f>
        <v xml:space="preserve"> </v>
      </c>
      <c r="FT153" s="362" t="str">
        <f>IF(L153&gt;0,IF(J153="CBAL2",Worksheet!$P$69,IF(J153="CBE2-24",Worksheet!$Q$69,IF(J153="CBAM",Worksheet!$R$69,IF(J153="CBLV",Worksheet!$S$69,IF(J153="CBAB",Worksheet!$U$69,IF(J153="CBAW",Worksheet!$X$69,IF(J153="CBE2-12",Worksheet!$Y$69,IF(J153="CBAL2",Worksheet!$Z$69,"N/A"))))))))," ")</f>
        <v xml:space="preserve"> </v>
      </c>
      <c r="FU153" s="361" t="str">
        <f t="shared" si="581"/>
        <v xml:space="preserve"> </v>
      </c>
      <c r="FV153" s="362" t="str">
        <f t="shared" si="582"/>
        <v xml:space="preserve"> </v>
      </c>
      <c r="FW153" s="362" t="str">
        <f t="shared" si="583"/>
        <v xml:space="preserve"> </v>
      </c>
      <c r="FX153" s="362" t="str">
        <f t="shared" si="584"/>
        <v xml:space="preserve"> </v>
      </c>
      <c r="FY153" s="355" t="str">
        <f t="shared" si="585"/>
        <v xml:space="preserve"> </v>
      </c>
      <c r="FZ153" s="361" t="str">
        <f t="shared" si="586"/>
        <v xml:space="preserve"> </v>
      </c>
      <c r="GA153" s="347" t="str">
        <f t="shared" si="587"/>
        <v xml:space="preserve"> </v>
      </c>
      <c r="GB153" s="355" t="str">
        <f t="shared" si="588"/>
        <v xml:space="preserve"> </v>
      </c>
      <c r="GC153" s="328" t="str">
        <f t="shared" si="589"/>
        <v xml:space="preserve"> </v>
      </c>
      <c r="GD153" s="361" t="str">
        <f t="shared" si="590"/>
        <v xml:space="preserve"> </v>
      </c>
      <c r="GE153" s="347" t="str">
        <f t="shared" si="591"/>
        <v xml:space="preserve"> </v>
      </c>
      <c r="GF153" s="361" t="str">
        <f t="shared" si="592"/>
        <v xml:space="preserve"> </v>
      </c>
      <c r="GG153" s="347" t="str">
        <f t="shared" si="593"/>
        <v xml:space="preserve"> </v>
      </c>
      <c r="GH153" s="364">
        <f t="shared" si="487"/>
        <v>0</v>
      </c>
      <c r="GI153" s="362">
        <f t="shared" si="594"/>
        <v>2</v>
      </c>
      <c r="GJ153" s="433" t="e">
        <f>IF(6-COUNTBLANK(GT153:GY153)=4,MATCH(MID(BO153,9,3),CLU!$H$16:$K$16),MATCH(MID(BO153,9,3),CLU!$H$13:$M$13))</f>
        <v>#N/A</v>
      </c>
      <c r="GK153" s="433" t="e">
        <f>HLOOKUP(VALUE(BP153),CLU!$H$9:$M$10,2)</f>
        <v>#VALUE!</v>
      </c>
      <c r="GL153" s="433" t="e">
        <f ca="1">MATCH(BU153,CLU!$H$2:$V$2,1)</f>
        <v>#VALUE!</v>
      </c>
      <c r="GM153" s="433" t="e">
        <f t="shared" ca="1" si="595"/>
        <v>#VALUE!</v>
      </c>
      <c r="GN153" s="433" t="e">
        <f t="shared" ca="1" si="596"/>
        <v>#VALUE!</v>
      </c>
      <c r="GO153" s="433" t="e">
        <f t="shared" ca="1" si="597"/>
        <v>#VALUE!</v>
      </c>
      <c r="GP153" s="433" t="e">
        <f t="shared" ca="1" si="598"/>
        <v>#VALUE!</v>
      </c>
      <c r="GQ153" s="433" t="e">
        <f t="shared" ca="1" si="599"/>
        <v>#VALUE!</v>
      </c>
      <c r="GR153" s="433" t="e">
        <f ca="1">MATCH(T153,INDIRECT(VLOOKUP(CONCATENATE(LEFT(BO153,7),"-",MID(BO153,13,1)),CLU!$P$3:$Q$16,2)),1)</f>
        <v>#N/A</v>
      </c>
      <c r="GS153" s="433" t="e">
        <f ca="1">MATCH(U153,INDIRECT(VLOOKUP(CONCATENATE(LEFT(BO153,7),"-",MID(BO153,13,1)),CLU!$P$3:$Q$16,2)),1)</f>
        <v>#N/A</v>
      </c>
      <c r="GT153" s="347" t="s">
        <v>512</v>
      </c>
      <c r="GU153" s="97" t="s">
        <v>513</v>
      </c>
      <c r="GV153" s="97" t="str">
        <f t="shared" si="600"/>
        <v>M23</v>
      </c>
      <c r="GW153" s="97" t="str">
        <f t="shared" si="601"/>
        <v>M31</v>
      </c>
      <c r="GX153" s="97" t="str">
        <f t="shared" si="602"/>
        <v/>
      </c>
      <c r="GY153" s="97" t="str">
        <f t="shared" si="603"/>
        <v/>
      </c>
      <c r="GZ153" s="481"/>
      <c r="HA153" s="288"/>
      <c r="HB153" s="240"/>
      <c r="HC153" s="240"/>
      <c r="HD153" s="240"/>
      <c r="HE153" s="240"/>
      <c r="HF153" s="240"/>
      <c r="HG153" s="240"/>
      <c r="HH153" s="240"/>
      <c r="HI153" s="240"/>
      <c r="HJ153" s="240"/>
      <c r="HK153" s="240"/>
      <c r="HL153" s="240"/>
      <c r="HM153" s="240"/>
      <c r="HN153" s="240"/>
      <c r="HO153" s="240"/>
      <c r="HP153" s="240"/>
      <c r="HQ153" s="240"/>
      <c r="HR153" s="240"/>
      <c r="HS153" s="240"/>
      <c r="HT153" s="240"/>
      <c r="HU153" s="240"/>
      <c r="HV153" s="245"/>
      <c r="HW153" s="245" t="b">
        <v>1</v>
      </c>
      <c r="HX153" s="245" t="str">
        <f t="shared" si="488"/>
        <v/>
      </c>
      <c r="HY153" s="245" t="e">
        <f t="shared" si="489"/>
        <v>#DIV/0!</v>
      </c>
      <c r="HZ153" s="245" t="e">
        <f t="shared" si="490"/>
        <v>#DIV/0!</v>
      </c>
      <c r="IA153" s="245">
        <f t="shared" si="491"/>
        <v>0</v>
      </c>
      <c r="IB153" s="245"/>
      <c r="IC153" t="b">
        <f t="shared" si="492"/>
        <v>1</v>
      </c>
      <c r="ID153" s="245" t="b">
        <f t="shared" si="493"/>
        <v>1</v>
      </c>
      <c r="IE153" s="245" t="b">
        <f t="shared" si="494"/>
        <v>1</v>
      </c>
      <c r="IF153" s="245" t="b">
        <f t="shared" si="495"/>
        <v>0</v>
      </c>
      <c r="IG153" s="245" t="b">
        <f t="shared" si="496"/>
        <v>1</v>
      </c>
      <c r="IH153" s="245" t="b">
        <f t="shared" si="497"/>
        <v>1</v>
      </c>
      <c r="II153" s="245">
        <f t="shared" si="604"/>
        <v>0</v>
      </c>
      <c r="IJ153" s="245" t="e">
        <f t="shared" si="498"/>
        <v>#VALUE!</v>
      </c>
      <c r="IK153" s="245" t="e">
        <f t="shared" si="499"/>
        <v>#VALUE!</v>
      </c>
      <c r="IL153" s="245"/>
      <c r="IM153" s="245" t="e">
        <f t="shared" si="605"/>
        <v>#N/A</v>
      </c>
      <c r="IN153" s="245" t="e">
        <f t="shared" si="606"/>
        <v>#N/A</v>
      </c>
      <c r="IO153" s="245"/>
      <c r="IP153" s="245"/>
      <c r="IQ153" s="245" t="str">
        <f t="shared" si="500"/>
        <v/>
      </c>
      <c r="IR153" s="245" t="str">
        <f>IF(J153="","",VLOOKUP(J153,Worksheet!$R$4:$T$14,2))</f>
        <v/>
      </c>
      <c r="IS153" s="245"/>
      <c r="IT153" s="245">
        <f t="shared" si="501"/>
        <v>0</v>
      </c>
      <c r="IU153" s="245">
        <f t="shared" si="502"/>
        <v>0</v>
      </c>
      <c r="IV153" s="245">
        <f t="shared" si="503"/>
        <v>0</v>
      </c>
      <c r="IW153" s="245">
        <f t="shared" si="504"/>
        <v>0</v>
      </c>
      <c r="IX153" s="245">
        <f t="shared" si="607"/>
        <v>0</v>
      </c>
      <c r="IY153" s="245">
        <f t="shared" si="505"/>
        <v>0</v>
      </c>
      <c r="IZ153" s="245">
        <f t="shared" si="506"/>
        <v>0</v>
      </c>
      <c r="JA153">
        <f t="shared" si="507"/>
        <v>0</v>
      </c>
      <c r="JB153">
        <f t="shared" si="608"/>
        <v>0</v>
      </c>
      <c r="JC153">
        <f t="shared" si="508"/>
        <v>0</v>
      </c>
      <c r="JD153">
        <f t="shared" si="509"/>
        <v>0</v>
      </c>
      <c r="JE153">
        <f t="shared" si="510"/>
        <v>0</v>
      </c>
      <c r="JF153">
        <f t="shared" si="511"/>
        <v>0</v>
      </c>
      <c r="JG153">
        <f t="shared" si="512"/>
        <v>0</v>
      </c>
      <c r="JH153">
        <f t="shared" si="513"/>
        <v>0</v>
      </c>
      <c r="JI153">
        <f t="shared" si="514"/>
        <v>0</v>
      </c>
      <c r="JJ153" s="447">
        <f t="shared" si="515"/>
        <v>0</v>
      </c>
      <c r="JK153" s="447">
        <f t="shared" si="516"/>
        <v>0</v>
      </c>
      <c r="JL153">
        <f t="shared" si="517"/>
        <v>0</v>
      </c>
      <c r="JM153" s="245" t="str">
        <f>IFERROR(VLOOKUP(MATCH(BN153,#REF!,0),#REF!,7),"")</f>
        <v/>
      </c>
      <c r="JN153" t="e">
        <f>HLOOKUP(LEFT(BO153,7),Discharge_Area,MATCH(JO153,LookUps!$B$130:$B$149,1)+2)</f>
        <v>#N/A</v>
      </c>
      <c r="JO153" t="str">
        <f t="shared" si="518"/>
        <v>- S</v>
      </c>
      <c r="JP153" t="e">
        <f>HLOOKUP(LEFT(BO153,7),Discharge_Area,MATCH(JO153,LookUps!$B$130:$B$149,1)+2)</f>
        <v>#N/A</v>
      </c>
      <c r="JQ153" t="e">
        <f t="shared" si="519"/>
        <v>#N/A</v>
      </c>
      <c r="JR153" t="e">
        <f t="shared" si="520"/>
        <v>#N/A</v>
      </c>
      <c r="JS153" t="e">
        <f t="shared" si="521"/>
        <v>#N/A</v>
      </c>
      <c r="JT153" s="532" t="str">
        <f t="shared" si="522"/>
        <v xml:space="preserve"> </v>
      </c>
      <c r="JU153" s="532" t="str">
        <f t="shared" si="523"/>
        <v xml:space="preserve"> </v>
      </c>
      <c r="JV153" s="533" t="str">
        <f t="shared" si="524"/>
        <v xml:space="preserve"> </v>
      </c>
      <c r="JW153" s="534">
        <f t="shared" si="525"/>
        <v>0</v>
      </c>
      <c r="JX153" s="535" t="str">
        <f t="shared" si="609"/>
        <v xml:space="preserve"> </v>
      </c>
      <c r="JY153" s="535" t="str">
        <f t="shared" si="610"/>
        <v xml:space="preserve"> </v>
      </c>
      <c r="JZ153" s="535" t="str">
        <f t="shared" si="611"/>
        <v xml:space="preserve"> </v>
      </c>
      <c r="KA153" s="536" t="str">
        <f t="shared" si="526"/>
        <v xml:space="preserve"> </v>
      </c>
      <c r="KB153" s="535" t="e">
        <f t="shared" si="612"/>
        <v>#VALUE!</v>
      </c>
      <c r="KC153" s="535" t="str">
        <f t="shared" si="527"/>
        <v/>
      </c>
      <c r="KD153" s="537" t="str">
        <f t="shared" si="613"/>
        <v xml:space="preserve"> </v>
      </c>
      <c r="KE153" s="537" t="str">
        <f t="shared" si="614"/>
        <v xml:space="preserve"> </v>
      </c>
      <c r="KF153" s="534">
        <f t="shared" si="528"/>
        <v>0</v>
      </c>
      <c r="KG153" s="535" t="str">
        <f t="shared" si="529"/>
        <v xml:space="preserve"> </v>
      </c>
      <c r="KH153" s="535" t="str">
        <f t="shared" si="530"/>
        <v xml:space="preserve"> </v>
      </c>
      <c r="KI153" s="535" t="str">
        <f t="shared" si="531"/>
        <v xml:space="preserve"> </v>
      </c>
      <c r="KJ153" s="536" t="str">
        <f t="shared" si="532"/>
        <v xml:space="preserve"> </v>
      </c>
      <c r="KK153" s="535" t="str">
        <f t="shared" si="615"/>
        <v xml:space="preserve"> </v>
      </c>
      <c r="KL153" s="535" t="str">
        <f t="shared" si="616"/>
        <v xml:space="preserve"> </v>
      </c>
      <c r="KM153" s="537" t="str">
        <f t="shared" si="533"/>
        <v xml:space="preserve"> </v>
      </c>
      <c r="KN153" s="537" t="str">
        <f t="shared" si="617"/>
        <v xml:space="preserve"> </v>
      </c>
      <c r="KP153">
        <f t="shared" si="534"/>
        <v>0</v>
      </c>
      <c r="LA153" t="e">
        <f t="shared" si="535"/>
        <v>#VALUE!</v>
      </c>
      <c r="LB153" t="e">
        <f t="shared" si="536"/>
        <v>#VALUE!</v>
      </c>
      <c r="LC153" t="e">
        <f t="shared" si="537"/>
        <v>#VALUE!</v>
      </c>
      <c r="LD153" t="e">
        <f t="shared" si="538"/>
        <v>#VALUE!</v>
      </c>
      <c r="LE153" t="e">
        <f t="shared" si="618"/>
        <v>#VALUE!</v>
      </c>
      <c r="LF153">
        <f t="shared" si="539"/>
        <v>0</v>
      </c>
      <c r="LG153" t="e">
        <f t="shared" si="619"/>
        <v>#VALUE!</v>
      </c>
      <c r="LH153" t="str">
        <f t="shared" si="540"/>
        <v xml:space="preserve"> </v>
      </c>
      <c r="LI153">
        <f t="shared" si="620"/>
        <v>1</v>
      </c>
    </row>
    <row r="154" spans="2:321" ht="15" customHeight="1">
      <c r="B154" s="311"/>
      <c r="C154" s="311"/>
      <c r="D154" s="312"/>
      <c r="E154" s="311"/>
      <c r="F154" s="312"/>
      <c r="G154" s="311"/>
      <c r="H154" s="311"/>
      <c r="I154" s="37"/>
      <c r="J154" s="311"/>
      <c r="K154" s="305" t="str">
        <f t="shared" si="541"/>
        <v/>
      </c>
      <c r="L154" s="313"/>
      <c r="M154" s="312"/>
      <c r="N154" s="311"/>
      <c r="O154" s="312"/>
      <c r="P154" s="311"/>
      <c r="Q154" s="305" t="str">
        <f t="shared" si="542"/>
        <v/>
      </c>
      <c r="R154" s="314"/>
      <c r="S154" s="450" t="str">
        <f t="shared" si="425"/>
        <v/>
      </c>
      <c r="T154" s="315"/>
      <c r="U154" s="315"/>
      <c r="W154" s="149" t="str">
        <f t="shared" si="426"/>
        <v xml:space="preserve"> </v>
      </c>
      <c r="X154" s="243" t="str">
        <f t="shared" si="427"/>
        <v xml:space="preserve"> </v>
      </c>
      <c r="Y154" s="150" t="str">
        <f t="shared" si="428"/>
        <v/>
      </c>
      <c r="Z154" s="149" t="str">
        <f t="shared" si="429"/>
        <v xml:space="preserve"> </v>
      </c>
      <c r="AA154" s="98" t="str">
        <f t="shared" si="430"/>
        <v xml:space="preserve"> </v>
      </c>
      <c r="AB154" s="153" t="str">
        <f t="shared" si="431"/>
        <v xml:space="preserve"> </v>
      </c>
      <c r="AC154" s="153" t="str">
        <f t="shared" si="432"/>
        <v xml:space="preserve"> </v>
      </c>
      <c r="AD154" s="148" t="str">
        <f t="shared" si="433"/>
        <v/>
      </c>
      <c r="AE154" s="149" t="str">
        <f t="shared" si="434"/>
        <v/>
      </c>
      <c r="AF154" s="151" t="str">
        <f t="shared" si="435"/>
        <v xml:space="preserve"> </v>
      </c>
      <c r="AG154" s="153" t="str">
        <f t="shared" si="436"/>
        <v xml:space="preserve"> </v>
      </c>
      <c r="AH154" s="98" t="str">
        <f t="shared" si="437"/>
        <v xml:space="preserve"> </v>
      </c>
      <c r="AI154" s="149" t="str">
        <f t="shared" si="438"/>
        <v xml:space="preserve"> </v>
      </c>
      <c r="AK154" s="144" t="str">
        <f t="shared" si="439"/>
        <v xml:space="preserve"> </v>
      </c>
      <c r="AL154" s="144"/>
      <c r="AM154" s="243" t="str">
        <f t="shared" si="440"/>
        <v xml:space="preserve"> </v>
      </c>
      <c r="AN154" s="149" t="str">
        <f t="shared" si="543"/>
        <v xml:space="preserve"> </v>
      </c>
      <c r="AO154" s="144" t="str">
        <f>IF(JB154&gt;0,IF(GI154=10,-R154*1.085*(Calculation!$F$6-Calculation!$F$13)*$S$14," "),"")</f>
        <v/>
      </c>
      <c r="AP154" s="144" t="str">
        <f t="shared" si="441"/>
        <v/>
      </c>
      <c r="AQ154" s="56" t="str">
        <f t="shared" si="442"/>
        <v/>
      </c>
      <c r="AR154" s="144" t="str">
        <f t="shared" si="443"/>
        <v/>
      </c>
      <c r="AS154" s="176" t="str">
        <f t="shared" si="444"/>
        <v/>
      </c>
      <c r="AT154" s="176" t="str">
        <f t="shared" si="544"/>
        <v xml:space="preserve"> </v>
      </c>
      <c r="AU154" s="176" t="str">
        <f t="shared" si="445"/>
        <v/>
      </c>
      <c r="AV154" s="177" t="str">
        <f t="shared" si="446"/>
        <v xml:space="preserve"> </v>
      </c>
      <c r="AW154" s="144" t="str">
        <f t="shared" si="447"/>
        <v xml:space="preserve"> </v>
      </c>
      <c r="AX154" s="144" t="str">
        <f t="shared" si="448"/>
        <v xml:space="preserve"> </v>
      </c>
      <c r="AY154" s="152" t="str">
        <f t="shared" si="449"/>
        <v xml:space="preserve"> </v>
      </c>
      <c r="AZ154" s="246" t="str">
        <f t="shared" si="450"/>
        <v/>
      </c>
      <c r="BA154" s="176" t="str">
        <f t="shared" si="451"/>
        <v xml:space="preserve"> </v>
      </c>
      <c r="BB154" s="176" t="str">
        <f t="shared" si="452"/>
        <v xml:space="preserve"> </v>
      </c>
      <c r="BC154" s="195"/>
      <c r="BD154" s="316"/>
      <c r="BE154" s="317"/>
      <c r="BF154" s="318"/>
      <c r="BG154" s="318"/>
      <c r="BH154" s="144" t="str">
        <f t="shared" si="621"/>
        <v xml:space="preserve"> </v>
      </c>
      <c r="BI154" s="176" t="str">
        <f t="shared" si="453"/>
        <v/>
      </c>
      <c r="BJ154" s="144" t="str">
        <f t="shared" si="622"/>
        <v/>
      </c>
      <c r="BK154" s="246" t="str">
        <f t="shared" si="454"/>
        <v/>
      </c>
      <c r="BL154" s="144" t="str">
        <f t="shared" si="623"/>
        <v/>
      </c>
      <c r="BM154" s="246" t="str">
        <f t="shared" si="455"/>
        <v/>
      </c>
      <c r="BN154" s="337" t="str">
        <f t="shared" si="545"/>
        <v/>
      </c>
      <c r="BO154" s="371" t="str">
        <f t="shared" si="546"/>
        <v/>
      </c>
      <c r="BP154" s="328" t="str">
        <f t="shared" si="624"/>
        <v xml:space="preserve"> </v>
      </c>
      <c r="BQ154" s="347" t="str">
        <f t="shared" si="547"/>
        <v xml:space="preserve"> </v>
      </c>
      <c r="BR154" s="353" t="str">
        <f t="shared" si="548"/>
        <v xml:space="preserve"> </v>
      </c>
      <c r="BS154" s="626" t="str">
        <f>IF(L154&gt;0,IF(Calculation!P154="M13",BR154*3.1416*(0.134^2)/(4*144),IF(Calculation!P154="M17",BR154*3.1416*(0.165^2)/(4*144),IF(Calculation!P154="M20",BR154*3.1416*(0.198^2)/(4*144),IF(Calculation!P154="M23",BR154*3.1416*(0.228^2)/(4*144),IF(Calculation!P154="M27",BR154*3.1416*(0.269^2)/(4*144),BR154*3.1416*(0.307^2)/(4*144))))))," ")</f>
        <v xml:space="preserve"> </v>
      </c>
      <c r="BT154" s="353" t="str">
        <f>IF(L154&gt;0,IF(BS154&gt;0,R154/Calculation!BS154,0)," ")</f>
        <v xml:space="preserve"> </v>
      </c>
      <c r="BU154" s="438" t="e">
        <f t="shared" ca="1" si="456"/>
        <v>#VALUE!</v>
      </c>
      <c r="BV154" s="449" t="e">
        <f ca="1">INDEX(INDIRECT(VLOOKUP(LEFT(BO154,7),CLU!$Z$3:$AH$18,2)),GN154,GR154)</f>
        <v>#N/A</v>
      </c>
      <c r="BW154" s="433" t="e">
        <f ca="1">INDEX(INDIRECT(VLOOKUP(LEFT(BO154,7),CLU!$Z$3:$AH$18,3)),GN154,GR154)</f>
        <v>#N/A</v>
      </c>
      <c r="BX154" s="433" t="e">
        <f ca="1">INDEX(INDIRECT(VLOOKUP(LEFT(BO154,7),CLU!$Z$3:$AH$18,4)),GN154,GR154)</f>
        <v>#N/A</v>
      </c>
      <c r="BY154" s="433" t="e">
        <f ca="1">INDEX(INDIRECT(VLOOKUP(LEFT(BO154,7),CLU!$Z$3:$AH$18,9)),((M154-2)*(6-COUNTBLANK(GT154:GY154)))+GJ154)</f>
        <v>#N/A</v>
      </c>
      <c r="BZ154" s="426" t="e">
        <f t="shared" ca="1" si="549"/>
        <v>#N/A</v>
      </c>
      <c r="CA154" s="424" t="e">
        <f t="shared" ca="1" si="550"/>
        <v>#N/A</v>
      </c>
      <c r="CB154" s="429" t="e">
        <f ca="1">INDEX(INDIRECT(VLOOKUP(LEFT(BO154,7),CLU!$Z$3:$AH$18,2)),GN154,GS154)</f>
        <v>#N/A</v>
      </c>
      <c r="CC154" s="342" t="e">
        <f ca="1">INDEX(INDIRECT(VLOOKUP(LEFT(BO154,7),CLU!$Z$3:$AH$18,3)),GN154,GS154)</f>
        <v>#N/A</v>
      </c>
      <c r="CD154" s="342" t="e">
        <f ca="1">INDEX(INDIRECT(VLOOKUP(LEFT(BO154,7),CLU!$Z$3:$AH$18,4)),GN154,GS154)</f>
        <v>#N/A</v>
      </c>
      <c r="CE154" s="426" t="e">
        <f t="shared" ca="1" si="551"/>
        <v>#N/A</v>
      </c>
      <c r="CF154" s="440">
        <f t="shared" si="552"/>
        <v>0</v>
      </c>
      <c r="CG154" s="431" t="e">
        <f ca="1">INDEX(INDIRECT(VLOOKUP(LEFT(BO154,7),CLU!$Z$3:$AH$18,2)),GQ154,GR154)</f>
        <v>#N/A</v>
      </c>
      <c r="CH154" s="431" t="e">
        <f ca="1">INDEX(INDIRECT(VLOOKUP(LEFT(BO154,7),CLU!$Z$3:$AH$18,3)),GQ154,GR154)</f>
        <v>#N/A</v>
      </c>
      <c r="CI154" s="431" t="e">
        <f ca="1">INDEX(INDIRECT(VLOOKUP(LEFT(BO154,7),CLU!$Z$3:$AH$18,4)),GQ154,GR154)</f>
        <v>#N/A</v>
      </c>
      <c r="CJ154" s="448" t="e">
        <f t="shared" ca="1" si="553"/>
        <v>#N/A</v>
      </c>
      <c r="CK154" s="431" t="e">
        <f t="shared" ca="1" si="554"/>
        <v>#N/A</v>
      </c>
      <c r="CL154" s="440" t="e">
        <f t="shared" ca="1" si="555"/>
        <v>#N/A</v>
      </c>
      <c r="CM154" s="431" t="e">
        <f ca="1">INDEX(INDIRECT(VLOOKUP(LEFT(BO154,7),CLU!$Z$3:$AH$18,2)),GQ154,GS154)</f>
        <v>#N/A</v>
      </c>
      <c r="CN154" s="431" t="e">
        <f ca="1">INDEX(INDIRECT(VLOOKUP(LEFT(BO154,7),CLU!$Z$3:$AH$18,3)),GQ154,GS154)</f>
        <v>#N/A</v>
      </c>
      <c r="CO154" s="431" t="e">
        <f ca="1">INDEX(INDIRECT(VLOOKUP(LEFT(BO154,7),CLU!$Z$3:$AH$18,4)),GQ154,GS154)</f>
        <v>#N/A</v>
      </c>
      <c r="CP154" s="431" t="e">
        <f t="shared" ca="1" si="556"/>
        <v>#N/A</v>
      </c>
      <c r="CQ154" s="440">
        <f t="shared" si="557"/>
        <v>0</v>
      </c>
      <c r="CR154" s="51" t="e">
        <f t="shared" ca="1" si="558"/>
        <v>#N/A</v>
      </c>
      <c r="CS154" s="439" t="e">
        <f t="shared" ca="1" si="559"/>
        <v>#VALUE!</v>
      </c>
      <c r="CT154" s="51" t="e">
        <f t="shared" ca="1" si="560"/>
        <v>#VALUE!</v>
      </c>
      <c r="CU154" s="10"/>
      <c r="CV154" s="51" t="e">
        <f t="shared" ca="1" si="457"/>
        <v>#VALUE!</v>
      </c>
      <c r="CW154" s="51">
        <f t="shared" si="561"/>
        <v>0</v>
      </c>
      <c r="CX154" s="439" t="e">
        <f t="shared" ca="1" si="562"/>
        <v>#VALUE!</v>
      </c>
      <c r="CY154" s="51" t="e">
        <f t="shared" ca="1" si="563"/>
        <v>#VALUE!</v>
      </c>
      <c r="CZ154" s="10"/>
      <c r="DA154" s="51" t="e">
        <f t="shared" ca="1" si="564"/>
        <v>#VALUE!</v>
      </c>
      <c r="DB154" s="347" t="e">
        <f ca="1">INDEX(INDIRECT(VLOOKUP(LEFT(BO154,7),CLU!$Z$3:$AI$18,10)),((M154-2)*(6-COUNTBLANK(GT154:GY154)))+GJ154)*LI154</f>
        <v>#N/A</v>
      </c>
      <c r="DC154" s="347" t="str">
        <f>IF(L154&gt;0,((R154/Worksheet!$I$15)/DB154)^2," ")</f>
        <v xml:space="preserve"> </v>
      </c>
      <c r="DD154" s="602" t="str">
        <f t="shared" si="565"/>
        <v xml:space="preserve"> </v>
      </c>
      <c r="DE154" s="347" t="str">
        <f t="shared" si="458"/>
        <v xml:space="preserve"> </v>
      </c>
      <c r="DF154" s="356" t="e">
        <f ca="1">INDEX(INDIRECT(VLOOKUP(LEFT(BO154,7),CLU!$Z$3:$AH$18,8)),((M154-2)*(6-COUNTBLANK(GT154:GY154)))+GJ154)</f>
        <v>#N/A</v>
      </c>
      <c r="DG154" s="347" t="str">
        <f t="shared" si="459"/>
        <v xml:space="preserve"> </v>
      </c>
      <c r="DH154" s="357" t="str">
        <f t="shared" si="460"/>
        <v xml:space="preserve"> </v>
      </c>
      <c r="DI154" s="355" t="str">
        <f t="shared" si="461"/>
        <v xml:space="preserve"> </v>
      </c>
      <c r="DJ154" s="245" t="e">
        <f ca="1">INDEX(INDIRECT(VLOOKUP(LEFT(BO154,7),CLU!$Z$3:$AH$18,5)),GL154,GK154)</f>
        <v>#N/A</v>
      </c>
      <c r="DK154" s="245" t="e">
        <f ca="1">INDEX(INDIRECT(VLOOKUP(LEFT(BO154,7),CLU!$Z$3:$AH$18,6)),GL154,GK154)</f>
        <v>#N/A</v>
      </c>
      <c r="DL154" s="355">
        <f>(Calculation!R154*0.69143*(Calculation!$BQ$8-Calculation!$F$8))*$S$14</f>
        <v>0</v>
      </c>
      <c r="DM154" s="359" t="e">
        <f t="shared" si="566"/>
        <v>#VALUE!</v>
      </c>
      <c r="DN154" s="611">
        <f t="shared" si="567"/>
        <v>0</v>
      </c>
      <c r="DO154" s="359">
        <f t="shared" si="568"/>
        <v>100</v>
      </c>
      <c r="DP154" s="359">
        <f t="shared" si="569"/>
        <v>0</v>
      </c>
      <c r="DQ154" s="360"/>
      <c r="DR154" s="245" t="e">
        <f ca="1">INDEX(INDIRECT(VLOOKUP(LEFT(BO154,7),CLU!$Z$3:$AH$18,7)),M154-1,1)</f>
        <v>#N/A</v>
      </c>
      <c r="DS154" s="245" t="e">
        <f ca="1">INDEX(INDIRECT(VLOOKUP(LEFT(BO154,7),CLU!$Z$3:$AH$18,7)),M154-1,2)</f>
        <v>#N/A</v>
      </c>
      <c r="DT154" s="245" t="e">
        <f ca="1">INDEX(INDIRECT(VLOOKUP(LEFT(BO154,7),CLU!$Z$3:$AH$18,7)),M154-1,3)</f>
        <v>#N/A</v>
      </c>
      <c r="DU154" s="245" t="e">
        <f ca="1">INDEX(INDIRECT(VLOOKUP(LEFT(BO154,7),CLU!$Z$3:$AH$18,7)),M154-1,4)</f>
        <v>#N/A</v>
      </c>
      <c r="DV154" s="361" t="e">
        <f ca="1">INDEX(INDIRECT(VLOOKUP(LEFT(BO154,7),CLU!$Z$3:$AH$18,7)),M154-1,4+LEFT(DZ154,1)*0.5)</f>
        <v>#N/A</v>
      </c>
      <c r="DW154" s="245" t="e">
        <f ca="1">INDEX(INDIRECT(VLOOKUP(LEFT(BO154,7),CLU!$Z$3:$AH$18,7)),M154-1,8)</f>
        <v>#N/A</v>
      </c>
      <c r="DX154" s="361" t="str">
        <f t="shared" si="462"/>
        <v xml:space="preserve"> </v>
      </c>
      <c r="DY154" s="361" t="str">
        <f t="shared" si="463"/>
        <v xml:space="preserve"> </v>
      </c>
      <c r="DZ154" s="361" t="str">
        <f t="shared" si="464"/>
        <v xml:space="preserve"> </v>
      </c>
      <c r="EA154" s="362" t="str">
        <f t="shared" si="465"/>
        <v xml:space="preserve"> </v>
      </c>
      <c r="EB154" s="624" t="str">
        <f t="shared" si="570"/>
        <v xml:space="preserve"> </v>
      </c>
      <c r="EC154" s="361" t="e">
        <f ca="1">INDEX(INDIRECT(VLOOKUP(LEFT(BO154,7),CLU!$Z$3:$AH$18,7)),M154-1,4+LEFT(DZ154,1)*0.5)</f>
        <v>#N/A</v>
      </c>
      <c r="ED154" s="362" t="str">
        <f t="shared" si="466"/>
        <v xml:space="preserve"> </v>
      </c>
      <c r="EE154" s="361" t="str">
        <f t="shared" si="467"/>
        <v xml:space="preserve"> </v>
      </c>
      <c r="EF154" s="362" t="str">
        <f>IF(L154&gt;0,IF(BR154&gt;0,IF(EE154="2P",IF(Calculation!DZ154="2P",IF(Calculation!DS154=13.75,IF(Calculation!DR154=13,Worksheet!$BD$43,IF(Calculation!DR154=37,Worksheet!$BD$44,Worksheet!$BD$45)),IF(Calculation!DS154=10,IF(Calculation!DR154=18,Worksheet!$BD$29,IF(Calculation!DR154=30,Worksheet!$BD$30,IF(Calculation!DR154=42,Worksheet!$BD$31,IF(Calculation!DR154=54,Worksheet!$BD$32,IF(Calculation!DR154=66,Worksheet!$BD$33,IF(Calculation!DR154=78,Worksheet!$BD$34,IF(Calculation!DR154=90,Worksheet!$BD$35,IF(Calculation!DR154=102,Worksheet!$BD$36,Worksheet!$BD$37)))))))),IF(Calculation!DS154=12.5,IF(Calculation!DR154=18,Worksheet!$BD$38,IF(Calculation!DR154=Worksheet!$BD$39,IF(Calculation!DR154=42,Worksheet!$BD$40,IF(Calculation!DR154=54,Worksheet!$BD$41,Worksheet!$BD$42)))),IF(Calculation!DR154=18,Worksheet!$BD$11,IF(Calculation!DR154=30,Worksheet!$BD$12,IF(Calculation!DR154=42,Worksheet!$BD$13,IF(Calculation!DR154=54,Worksheet!$BD$14,IF(Calculation!DR154=66,Worksheet!$BD$15,IF(Calculation!DR154=78,Worksheet!$BD$16,IF(Calculation!DR154=90,Worksheet!$BD$17,IF(Calculation!DR154=102,Worksheet!$BD$18,Worksheet!$BD$19))))))))))),IF(Calculation!DS154=13.75,IF(Calculation!DR154=13,Worksheet!$BD$78,IF(Calculation!DR154=37,Worksheet!$BD$79,Worksheet!$BD$80)),IF(Calculation!DS154=10,IF(Calculation!DR154=18,Worksheet!$BD$64,IF(Calculation!DR154=30,Worksheet!$BD$65,IF(Calculation!DR154=42,Worksheet!$BD$66,IF(Calculation!DR154=54,Worksheet!$BD$68,IF(Calculation!DR154=66,Worksheet!$BD$68,IF(Calculation!DR154=78,Worksheet!$BD$69,IF(Calculation!DR154=90,Worksheet!$BD$70,IF(Calculation!DR154=102,Worksheet!$BD$71,Worksheet!$BD$72)))))))),IF(Calculation!DS154=12.5,IF(Calculation!DR154=18,Worksheet!$BD$73,IF(Calculation!DR154=Worksheet!$BD$74,IF(Calculation!DR154=42,Worksheet!$BD$75,IF(Calculation!DR154=54,Worksheet!$BD$76,Worksheet!$BD$77)))),IF(Calculation!DR154=18,Worksheet!$BD$55,IF(Calculation!DR154=30,Worksheet!$BD$56,IF(Calculation!DR154=42,Worksheet!$BD$57,IF(Calculation!DR154=54,Worksheet!$BD$58,IF(Calculation!DR154=66,Worksheet!$BD$59,IF(Calculation!DR154=78,Worksheet!$BD$60,IF(Calculation!DR154=90,Worksheet!$BD$61,IF(Calculation!DR154=102,Worksheet!$BD$62,Worksheet!$BD$63)))))))))))),5),0)," ")</f>
        <v xml:space="preserve"> </v>
      </c>
      <c r="EG154" s="361" t="str">
        <f t="shared" si="468"/>
        <v xml:space="preserve"> </v>
      </c>
      <c r="EH154" s="361" t="e">
        <f ca="1">INDEX(INDIRECT(VLOOKUP(LEFT(BO154,7),CLU!$Z$3:$AH$18,7)),M154-1,3+LEFT(DZ154,1))</f>
        <v>#N/A</v>
      </c>
      <c r="EI154" s="362" t="str">
        <f t="shared" si="469"/>
        <v xml:space="preserve"> </v>
      </c>
      <c r="EJ154" s="363" t="str">
        <f t="shared" si="470"/>
        <v xml:space="preserve"> </v>
      </c>
      <c r="EK154" s="363" t="str">
        <f t="shared" si="471"/>
        <v xml:space="preserve"> </v>
      </c>
      <c r="EL154" s="363" t="str">
        <f t="shared" si="472"/>
        <v xml:space="preserve"> </v>
      </c>
      <c r="EM154" s="362" t="str">
        <f>IF(L154&gt;0,IF(BR154&gt;0,(Calculation!T154/ED154)^2,0)," ")</f>
        <v xml:space="preserve"> </v>
      </c>
      <c r="EN154" s="362" t="str">
        <f>IF(L154&gt;0,IF(O154="2 Pipe (Cooling)","N/A",IF(BR154&gt;0,(Calculation!U154/EI154)^2,0))," ")</f>
        <v xml:space="preserve"> </v>
      </c>
      <c r="EO154" s="361" t="str">
        <f t="shared" si="473"/>
        <v/>
      </c>
      <c r="EP154" s="361" t="str">
        <f t="shared" si="474"/>
        <v/>
      </c>
      <c r="EQ154" s="361" t="str">
        <f t="shared" si="475"/>
        <v/>
      </c>
      <c r="ER154" s="361" t="str">
        <f t="shared" si="476"/>
        <v/>
      </c>
      <c r="ES154" s="361" t="str">
        <f t="shared" si="477"/>
        <v/>
      </c>
      <c r="ET154" s="361" t="str">
        <f t="shared" si="478"/>
        <v/>
      </c>
      <c r="EU154" s="361" t="str">
        <f t="shared" si="479"/>
        <v/>
      </c>
      <c r="EV154" s="361" t="str">
        <f t="shared" si="480"/>
        <v/>
      </c>
      <c r="EW154" s="361" t="str">
        <f t="shared" si="481"/>
        <v/>
      </c>
      <c r="EX154" s="361" t="str">
        <f t="shared" si="571"/>
        <v>1 slot, 1 way</v>
      </c>
      <c r="EY154" s="361" t="str">
        <f t="shared" si="572"/>
        <v xml:space="preserve"> </v>
      </c>
      <c r="EZ154" s="361" t="str">
        <f t="shared" si="573"/>
        <v xml:space="preserve"> </v>
      </c>
      <c r="FA154" s="361" t="str">
        <f t="shared" si="574"/>
        <v xml:space="preserve"> </v>
      </c>
      <c r="FB154" s="361" t="str">
        <f t="shared" si="575"/>
        <v xml:space="preserve"> </v>
      </c>
      <c r="FC154" s="361"/>
      <c r="FD154" s="361" t="str">
        <f>IF(J154&gt;0,IF(Calculation!R154&lt;=70,4,IF(Calculation!R154&lt;=110,5,IF(Calculation!R154&lt;=160,6,IF(Calculation!R154&lt;=300,8,"10 EO")))),"")</f>
        <v/>
      </c>
      <c r="FE154" s="361" t="str">
        <f t="shared" si="576"/>
        <v/>
      </c>
      <c r="FF154" s="361" t="str">
        <f t="shared" si="577"/>
        <v/>
      </c>
      <c r="FG154" s="361" t="e">
        <f t="shared" si="482"/>
        <v>#N/A</v>
      </c>
      <c r="FH154" s="361">
        <f t="shared" si="483"/>
        <v>0</v>
      </c>
      <c r="FI154" s="361" t="e">
        <f t="shared" si="484"/>
        <v>#DIV/0!</v>
      </c>
      <c r="FJ154" s="361"/>
      <c r="FK154" s="356" t="e">
        <f t="shared" si="485"/>
        <v>#VALUE!</v>
      </c>
      <c r="FL154" s="361"/>
      <c r="FM154" s="361"/>
      <c r="FN154" s="362" t="str">
        <f t="shared" si="578"/>
        <v xml:space="preserve"> </v>
      </c>
      <c r="FO154" s="362" t="str">
        <f t="shared" si="579"/>
        <v xml:space="preserve"> </v>
      </c>
      <c r="FP154" s="362">
        <f t="shared" si="580"/>
        <v>0</v>
      </c>
      <c r="FQ154" s="361">
        <f t="shared" si="486"/>
        <v>0</v>
      </c>
      <c r="FR154" s="362" t="str">
        <f>IF(L154&gt;0,IF(J154="CBAL2",Worksheet!$P$67,IF(J154="CBE2-24",Worksheet!$Q$67,IF(J154="CBAM",Worksheet!$R$67,IF(J154="CBLV",Worksheet!$S$67,IF(J154="CBAB",Worksheet!$U$67,IF(J154="CBAW",Worksheet!$X$67,IF(J154="CBE2-12",Worksheet!$Y$67,IF(J154="CBAL2",Worksheet!$Z$67,"N/A"))))))))," ")</f>
        <v xml:space="preserve"> </v>
      </c>
      <c r="FS154" s="362" t="str">
        <f>IF(L154&gt;0,IF(J154="CBAL2",Worksheet!$P$68,IF(J154="CBE2-24",Worksheet!$Q$68,IF(J154="CBAM",Worksheet!$R$68,IF(J154="CBLV",Worksheet!$S$68,IF(J154="CBAB",Worksheet!$U$68,IF(J154="CBAW",Worksheet!$X$68,IF(J154="CBE2-12",Worksheet!$Y$68,IF(J154="CBAL2",Worksheet!$Z$68,"N/A"))))))))," ")</f>
        <v xml:space="preserve"> </v>
      </c>
      <c r="FT154" s="362" t="str">
        <f>IF(L154&gt;0,IF(J154="CBAL2",Worksheet!$P$69,IF(J154="CBE2-24",Worksheet!$Q$69,IF(J154="CBAM",Worksheet!$R$69,IF(J154="CBLV",Worksheet!$S$69,IF(J154="CBAB",Worksheet!$U$69,IF(J154="CBAW",Worksheet!$X$69,IF(J154="CBE2-12",Worksheet!$Y$69,IF(J154="CBAL2",Worksheet!$Z$69,"N/A"))))))))," ")</f>
        <v xml:space="preserve"> </v>
      </c>
      <c r="FU154" s="361" t="str">
        <f t="shared" si="581"/>
        <v xml:space="preserve"> </v>
      </c>
      <c r="FV154" s="362" t="str">
        <f t="shared" si="582"/>
        <v xml:space="preserve"> </v>
      </c>
      <c r="FW154" s="362" t="str">
        <f t="shared" si="583"/>
        <v xml:space="preserve"> </v>
      </c>
      <c r="FX154" s="362" t="str">
        <f t="shared" si="584"/>
        <v xml:space="preserve"> </v>
      </c>
      <c r="FY154" s="355" t="str">
        <f t="shared" si="585"/>
        <v xml:space="preserve"> </v>
      </c>
      <c r="FZ154" s="361" t="str">
        <f t="shared" si="586"/>
        <v xml:space="preserve"> </v>
      </c>
      <c r="GA154" s="347" t="str">
        <f t="shared" si="587"/>
        <v xml:space="preserve"> </v>
      </c>
      <c r="GB154" s="355" t="str">
        <f t="shared" si="588"/>
        <v xml:space="preserve"> </v>
      </c>
      <c r="GC154" s="328" t="str">
        <f t="shared" si="589"/>
        <v xml:space="preserve"> </v>
      </c>
      <c r="GD154" s="361" t="str">
        <f t="shared" si="590"/>
        <v xml:space="preserve"> </v>
      </c>
      <c r="GE154" s="347" t="str">
        <f t="shared" si="591"/>
        <v xml:space="preserve"> </v>
      </c>
      <c r="GF154" s="361" t="str">
        <f t="shared" si="592"/>
        <v xml:space="preserve"> </v>
      </c>
      <c r="GG154" s="347" t="str">
        <f t="shared" si="593"/>
        <v xml:space="preserve"> </v>
      </c>
      <c r="GH154" s="364">
        <f t="shared" si="487"/>
        <v>0</v>
      </c>
      <c r="GI154" s="362">
        <f t="shared" si="594"/>
        <v>2</v>
      </c>
      <c r="GJ154" s="433" t="e">
        <f>IF(6-COUNTBLANK(GT154:GY154)=4,MATCH(MID(BO154,9,3),CLU!$H$16:$K$16),MATCH(MID(BO154,9,3),CLU!$H$13:$M$13))</f>
        <v>#N/A</v>
      </c>
      <c r="GK154" s="433" t="e">
        <f>HLOOKUP(VALUE(BP154),CLU!$H$9:$M$10,2)</f>
        <v>#VALUE!</v>
      </c>
      <c r="GL154" s="433" t="e">
        <f ca="1">MATCH(BU154,CLU!$H$2:$V$2,1)</f>
        <v>#VALUE!</v>
      </c>
      <c r="GM154" s="433" t="e">
        <f t="shared" ca="1" si="595"/>
        <v>#VALUE!</v>
      </c>
      <c r="GN154" s="433" t="e">
        <f t="shared" ca="1" si="596"/>
        <v>#VALUE!</v>
      </c>
      <c r="GO154" s="433" t="e">
        <f t="shared" ca="1" si="597"/>
        <v>#VALUE!</v>
      </c>
      <c r="GP154" s="433" t="e">
        <f t="shared" ca="1" si="598"/>
        <v>#VALUE!</v>
      </c>
      <c r="GQ154" s="433" t="e">
        <f t="shared" ca="1" si="599"/>
        <v>#VALUE!</v>
      </c>
      <c r="GR154" s="433" t="e">
        <f ca="1">MATCH(T154,INDIRECT(VLOOKUP(CONCATENATE(LEFT(BO154,7),"-",MID(BO154,13,1)),CLU!$P$3:$Q$16,2)),1)</f>
        <v>#N/A</v>
      </c>
      <c r="GS154" s="433" t="e">
        <f ca="1">MATCH(U154,INDIRECT(VLOOKUP(CONCATENATE(LEFT(BO154,7),"-",MID(BO154,13,1)),CLU!$P$3:$Q$16,2)),1)</f>
        <v>#N/A</v>
      </c>
      <c r="GT154" s="347" t="s">
        <v>512</v>
      </c>
      <c r="GU154" s="97" t="s">
        <v>513</v>
      </c>
      <c r="GV154" s="97" t="str">
        <f t="shared" si="600"/>
        <v>M23</v>
      </c>
      <c r="GW154" s="97" t="str">
        <f t="shared" si="601"/>
        <v>M31</v>
      </c>
      <c r="GX154" s="97" t="str">
        <f t="shared" si="602"/>
        <v/>
      </c>
      <c r="GY154" s="97" t="str">
        <f t="shared" si="603"/>
        <v/>
      </c>
      <c r="GZ154" s="481"/>
      <c r="HA154" s="288"/>
      <c r="HB154" s="240"/>
      <c r="HC154" s="240"/>
      <c r="HD154" s="240"/>
      <c r="HE154" s="240"/>
      <c r="HF154" s="240"/>
      <c r="HG154" s="240"/>
      <c r="HH154" s="240"/>
      <c r="HI154" s="240"/>
      <c r="HJ154" s="240"/>
      <c r="HK154" s="240"/>
      <c r="HL154" s="240"/>
      <c r="HM154" s="240"/>
      <c r="HN154" s="240"/>
      <c r="HO154" s="240"/>
      <c r="HP154" s="240"/>
      <c r="HQ154" s="240"/>
      <c r="HR154" s="240"/>
      <c r="HS154" s="240"/>
      <c r="HT154" s="240"/>
      <c r="HU154" s="240"/>
      <c r="HV154" s="245"/>
      <c r="HW154" s="245" t="b">
        <v>1</v>
      </c>
      <c r="HX154" s="245" t="str">
        <f t="shared" si="488"/>
        <v/>
      </c>
      <c r="HY154" s="245" t="e">
        <f t="shared" si="489"/>
        <v>#DIV/0!</v>
      </c>
      <c r="HZ154" s="245" t="e">
        <f t="shared" si="490"/>
        <v>#DIV/0!</v>
      </c>
      <c r="IA154" s="245">
        <f t="shared" si="491"/>
        <v>0</v>
      </c>
      <c r="IB154" s="245"/>
      <c r="IC154" t="b">
        <f t="shared" si="492"/>
        <v>1</v>
      </c>
      <c r="ID154" s="245" t="b">
        <f t="shared" si="493"/>
        <v>1</v>
      </c>
      <c r="IE154" s="245" t="b">
        <f t="shared" si="494"/>
        <v>1</v>
      </c>
      <c r="IF154" s="245" t="b">
        <f t="shared" si="495"/>
        <v>0</v>
      </c>
      <c r="IG154" s="245" t="b">
        <f t="shared" si="496"/>
        <v>1</v>
      </c>
      <c r="IH154" s="245" t="b">
        <f t="shared" si="497"/>
        <v>1</v>
      </c>
      <c r="II154" s="245">
        <f t="shared" si="604"/>
        <v>0</v>
      </c>
      <c r="IJ154" s="245" t="e">
        <f t="shared" si="498"/>
        <v>#VALUE!</v>
      </c>
      <c r="IK154" s="245" t="e">
        <f t="shared" si="499"/>
        <v>#VALUE!</v>
      </c>
      <c r="IL154" s="245"/>
      <c r="IM154" s="245" t="e">
        <f t="shared" si="605"/>
        <v>#N/A</v>
      </c>
      <c r="IN154" s="245" t="e">
        <f t="shared" si="606"/>
        <v>#N/A</v>
      </c>
      <c r="IO154" s="245"/>
      <c r="IP154" s="245"/>
      <c r="IQ154" s="245" t="str">
        <f t="shared" si="500"/>
        <v/>
      </c>
      <c r="IR154" s="245" t="str">
        <f>IF(J154="","",VLOOKUP(J154,Worksheet!$R$4:$T$14,2))</f>
        <v/>
      </c>
      <c r="IS154" s="245"/>
      <c r="IT154" s="245">
        <f t="shared" si="501"/>
        <v>0</v>
      </c>
      <c r="IU154" s="245">
        <f t="shared" si="502"/>
        <v>0</v>
      </c>
      <c r="IV154" s="245">
        <f t="shared" si="503"/>
        <v>0</v>
      </c>
      <c r="IW154" s="245">
        <f t="shared" si="504"/>
        <v>0</v>
      </c>
      <c r="IX154" s="245">
        <f t="shared" si="607"/>
        <v>0</v>
      </c>
      <c r="IY154" s="245">
        <f t="shared" si="505"/>
        <v>0</v>
      </c>
      <c r="IZ154" s="245">
        <f t="shared" si="506"/>
        <v>0</v>
      </c>
      <c r="JA154">
        <f t="shared" si="507"/>
        <v>0</v>
      </c>
      <c r="JB154">
        <f t="shared" si="608"/>
        <v>0</v>
      </c>
      <c r="JC154">
        <f t="shared" si="508"/>
        <v>0</v>
      </c>
      <c r="JD154">
        <f t="shared" si="509"/>
        <v>0</v>
      </c>
      <c r="JE154">
        <f t="shared" si="510"/>
        <v>0</v>
      </c>
      <c r="JF154">
        <f t="shared" si="511"/>
        <v>0</v>
      </c>
      <c r="JG154">
        <f t="shared" si="512"/>
        <v>0</v>
      </c>
      <c r="JH154">
        <f t="shared" si="513"/>
        <v>0</v>
      </c>
      <c r="JI154">
        <f t="shared" si="514"/>
        <v>0</v>
      </c>
      <c r="JJ154" s="447">
        <f t="shared" si="515"/>
        <v>0</v>
      </c>
      <c r="JK154" s="447">
        <f t="shared" si="516"/>
        <v>0</v>
      </c>
      <c r="JL154">
        <f t="shared" si="517"/>
        <v>0</v>
      </c>
      <c r="JM154" s="245" t="str">
        <f>IFERROR(VLOOKUP(MATCH(BN154,#REF!,0),#REF!,7),"")</f>
        <v/>
      </c>
      <c r="JN154" t="e">
        <f>HLOOKUP(LEFT(BO154,7),Discharge_Area,MATCH(JO154,LookUps!$B$130:$B$149,1)+2)</f>
        <v>#N/A</v>
      </c>
      <c r="JO154" t="str">
        <f t="shared" si="518"/>
        <v>- S</v>
      </c>
      <c r="JP154" t="e">
        <f>HLOOKUP(LEFT(BO154,7),Discharge_Area,MATCH(JO154,LookUps!$B$130:$B$149,1)+2)</f>
        <v>#N/A</v>
      </c>
      <c r="JQ154" t="e">
        <f t="shared" si="519"/>
        <v>#N/A</v>
      </c>
      <c r="JR154" t="e">
        <f t="shared" si="520"/>
        <v>#N/A</v>
      </c>
      <c r="JS154" t="e">
        <f t="shared" si="521"/>
        <v>#N/A</v>
      </c>
      <c r="JT154" s="532" t="str">
        <f t="shared" si="522"/>
        <v xml:space="preserve"> </v>
      </c>
      <c r="JU154" s="532" t="str">
        <f t="shared" si="523"/>
        <v xml:space="preserve"> </v>
      </c>
      <c r="JV154" s="533" t="str">
        <f t="shared" si="524"/>
        <v xml:space="preserve"> </v>
      </c>
      <c r="JW154" s="534">
        <f t="shared" si="525"/>
        <v>0</v>
      </c>
      <c r="JX154" s="535" t="str">
        <f t="shared" si="609"/>
        <v xml:space="preserve"> </v>
      </c>
      <c r="JY154" s="535" t="str">
        <f t="shared" si="610"/>
        <v xml:space="preserve"> </v>
      </c>
      <c r="JZ154" s="535" t="str">
        <f t="shared" si="611"/>
        <v xml:space="preserve"> </v>
      </c>
      <c r="KA154" s="536" t="str">
        <f t="shared" si="526"/>
        <v xml:space="preserve"> </v>
      </c>
      <c r="KB154" s="535" t="e">
        <f t="shared" si="612"/>
        <v>#VALUE!</v>
      </c>
      <c r="KC154" s="535" t="str">
        <f t="shared" si="527"/>
        <v/>
      </c>
      <c r="KD154" s="537" t="str">
        <f t="shared" si="613"/>
        <v xml:space="preserve"> </v>
      </c>
      <c r="KE154" s="537" t="str">
        <f t="shared" si="614"/>
        <v xml:space="preserve"> </v>
      </c>
      <c r="KF154" s="534">
        <f t="shared" si="528"/>
        <v>0</v>
      </c>
      <c r="KG154" s="535" t="str">
        <f t="shared" si="529"/>
        <v xml:space="preserve"> </v>
      </c>
      <c r="KH154" s="535" t="str">
        <f t="shared" si="530"/>
        <v xml:space="preserve"> </v>
      </c>
      <c r="KI154" s="535" t="str">
        <f t="shared" si="531"/>
        <v xml:space="preserve"> </v>
      </c>
      <c r="KJ154" s="536" t="str">
        <f t="shared" si="532"/>
        <v xml:space="preserve"> </v>
      </c>
      <c r="KK154" s="535" t="str">
        <f t="shared" si="615"/>
        <v xml:space="preserve"> </v>
      </c>
      <c r="KL154" s="535" t="str">
        <f t="shared" si="616"/>
        <v xml:space="preserve"> </v>
      </c>
      <c r="KM154" s="537" t="str">
        <f t="shared" si="533"/>
        <v xml:space="preserve"> </v>
      </c>
      <c r="KN154" s="537" t="str">
        <f t="shared" si="617"/>
        <v xml:space="preserve"> </v>
      </c>
      <c r="KP154">
        <f t="shared" si="534"/>
        <v>0</v>
      </c>
      <c r="LA154" t="e">
        <f t="shared" si="535"/>
        <v>#VALUE!</v>
      </c>
      <c r="LB154" t="e">
        <f t="shared" si="536"/>
        <v>#VALUE!</v>
      </c>
      <c r="LC154" t="e">
        <f t="shared" si="537"/>
        <v>#VALUE!</v>
      </c>
      <c r="LD154" t="e">
        <f t="shared" si="538"/>
        <v>#VALUE!</v>
      </c>
      <c r="LE154" t="e">
        <f t="shared" si="618"/>
        <v>#VALUE!</v>
      </c>
      <c r="LF154">
        <f t="shared" si="539"/>
        <v>0</v>
      </c>
      <c r="LG154" t="e">
        <f t="shared" si="619"/>
        <v>#VALUE!</v>
      </c>
      <c r="LH154" t="str">
        <f t="shared" si="540"/>
        <v xml:space="preserve"> </v>
      </c>
      <c r="LI154">
        <f t="shared" si="620"/>
        <v>1</v>
      </c>
    </row>
    <row r="155" spans="2:321" ht="15" customHeight="1">
      <c r="B155" s="311"/>
      <c r="C155" s="311"/>
      <c r="D155" s="312"/>
      <c r="E155" s="311"/>
      <c r="F155" s="312"/>
      <c r="G155" s="311"/>
      <c r="H155" s="311"/>
      <c r="I155" s="37"/>
      <c r="J155" s="311"/>
      <c r="K155" s="305" t="str">
        <f t="shared" si="541"/>
        <v/>
      </c>
      <c r="L155" s="313"/>
      <c r="M155" s="312"/>
      <c r="N155" s="311"/>
      <c r="O155" s="312"/>
      <c r="P155" s="311"/>
      <c r="Q155" s="305" t="str">
        <f t="shared" si="542"/>
        <v/>
      </c>
      <c r="R155" s="314"/>
      <c r="S155" s="450" t="str">
        <f t="shared" si="425"/>
        <v/>
      </c>
      <c r="T155" s="315"/>
      <c r="U155" s="315"/>
      <c r="W155" s="149" t="str">
        <f t="shared" si="426"/>
        <v xml:space="preserve"> </v>
      </c>
      <c r="X155" s="243" t="str">
        <f t="shared" si="427"/>
        <v xml:space="preserve"> </v>
      </c>
      <c r="Y155" s="150" t="str">
        <f t="shared" si="428"/>
        <v/>
      </c>
      <c r="Z155" s="149" t="str">
        <f t="shared" si="429"/>
        <v xml:space="preserve"> </v>
      </c>
      <c r="AA155" s="98" t="str">
        <f t="shared" si="430"/>
        <v xml:space="preserve"> </v>
      </c>
      <c r="AB155" s="153" t="str">
        <f t="shared" si="431"/>
        <v xml:space="preserve"> </v>
      </c>
      <c r="AC155" s="153" t="str">
        <f t="shared" si="432"/>
        <v xml:space="preserve"> </v>
      </c>
      <c r="AD155" s="148" t="str">
        <f t="shared" si="433"/>
        <v/>
      </c>
      <c r="AE155" s="149" t="str">
        <f t="shared" si="434"/>
        <v/>
      </c>
      <c r="AF155" s="151" t="str">
        <f t="shared" si="435"/>
        <v xml:space="preserve"> </v>
      </c>
      <c r="AG155" s="153" t="str">
        <f t="shared" si="436"/>
        <v xml:space="preserve"> </v>
      </c>
      <c r="AH155" s="98" t="str">
        <f t="shared" si="437"/>
        <v xml:space="preserve"> </v>
      </c>
      <c r="AI155" s="149" t="str">
        <f t="shared" si="438"/>
        <v xml:space="preserve"> </v>
      </c>
      <c r="AK155" s="144" t="str">
        <f t="shared" si="439"/>
        <v xml:space="preserve"> </v>
      </c>
      <c r="AL155" s="144"/>
      <c r="AM155" s="243" t="str">
        <f t="shared" si="440"/>
        <v xml:space="preserve"> </v>
      </c>
      <c r="AN155" s="149" t="str">
        <f t="shared" si="543"/>
        <v xml:space="preserve"> </v>
      </c>
      <c r="AO155" s="144" t="str">
        <f>IF(JB155&gt;0,IF(GI155=10,-R155*1.085*(Calculation!$F$6-Calculation!$F$13)*$S$14," "),"")</f>
        <v/>
      </c>
      <c r="AP155" s="144" t="str">
        <f t="shared" si="441"/>
        <v/>
      </c>
      <c r="AQ155" s="56" t="str">
        <f t="shared" si="442"/>
        <v/>
      </c>
      <c r="AR155" s="144" t="str">
        <f t="shared" si="443"/>
        <v/>
      </c>
      <c r="AS155" s="176" t="str">
        <f t="shared" si="444"/>
        <v/>
      </c>
      <c r="AT155" s="176" t="str">
        <f t="shared" si="544"/>
        <v xml:space="preserve"> </v>
      </c>
      <c r="AU155" s="176" t="str">
        <f t="shared" si="445"/>
        <v/>
      </c>
      <c r="AV155" s="177" t="str">
        <f t="shared" si="446"/>
        <v xml:space="preserve"> </v>
      </c>
      <c r="AW155" s="144" t="str">
        <f t="shared" si="447"/>
        <v xml:space="preserve"> </v>
      </c>
      <c r="AX155" s="144" t="str">
        <f t="shared" si="448"/>
        <v xml:space="preserve"> </v>
      </c>
      <c r="AY155" s="152" t="str">
        <f t="shared" si="449"/>
        <v xml:space="preserve"> </v>
      </c>
      <c r="AZ155" s="246" t="str">
        <f t="shared" si="450"/>
        <v/>
      </c>
      <c r="BA155" s="176" t="str">
        <f t="shared" si="451"/>
        <v xml:space="preserve"> </v>
      </c>
      <c r="BB155" s="176" t="str">
        <f t="shared" si="452"/>
        <v xml:space="preserve"> </v>
      </c>
      <c r="BC155" s="195"/>
      <c r="BD155" s="316"/>
      <c r="BE155" s="317"/>
      <c r="BF155" s="318"/>
      <c r="BG155" s="318"/>
      <c r="BH155" s="144" t="str">
        <f t="shared" si="621"/>
        <v xml:space="preserve"> </v>
      </c>
      <c r="BI155" s="176" t="str">
        <f t="shared" si="453"/>
        <v/>
      </c>
      <c r="BJ155" s="144" t="str">
        <f t="shared" si="622"/>
        <v/>
      </c>
      <c r="BK155" s="246" t="str">
        <f t="shared" si="454"/>
        <v/>
      </c>
      <c r="BL155" s="144" t="str">
        <f t="shared" si="623"/>
        <v/>
      </c>
      <c r="BM155" s="246" t="str">
        <f t="shared" si="455"/>
        <v/>
      </c>
      <c r="BN155" s="337" t="str">
        <f t="shared" si="545"/>
        <v/>
      </c>
      <c r="BO155" s="371" t="str">
        <f t="shared" si="546"/>
        <v/>
      </c>
      <c r="BP155" s="328" t="str">
        <f t="shared" si="624"/>
        <v xml:space="preserve"> </v>
      </c>
      <c r="BQ155" s="347" t="str">
        <f t="shared" si="547"/>
        <v xml:space="preserve"> </v>
      </c>
      <c r="BR155" s="353" t="str">
        <f t="shared" si="548"/>
        <v xml:space="preserve"> </v>
      </c>
      <c r="BS155" s="626" t="str">
        <f>IF(L155&gt;0,IF(Calculation!P155="M13",BR155*3.1416*(0.134^2)/(4*144),IF(Calculation!P155="M17",BR155*3.1416*(0.165^2)/(4*144),IF(Calculation!P155="M20",BR155*3.1416*(0.198^2)/(4*144),IF(Calculation!P155="M23",BR155*3.1416*(0.228^2)/(4*144),IF(Calculation!P155="M27",BR155*3.1416*(0.269^2)/(4*144),BR155*3.1416*(0.307^2)/(4*144))))))," ")</f>
        <v xml:space="preserve"> </v>
      </c>
      <c r="BT155" s="353" t="str">
        <f>IF(L155&gt;0,IF(BS155&gt;0,R155/Calculation!BS155,0)," ")</f>
        <v xml:space="preserve"> </v>
      </c>
      <c r="BU155" s="438" t="e">
        <f t="shared" ca="1" si="456"/>
        <v>#VALUE!</v>
      </c>
      <c r="BV155" s="449" t="e">
        <f ca="1">INDEX(INDIRECT(VLOOKUP(LEFT(BO155,7),CLU!$Z$3:$AH$18,2)),GN155,GR155)</f>
        <v>#N/A</v>
      </c>
      <c r="BW155" s="433" t="e">
        <f ca="1">INDEX(INDIRECT(VLOOKUP(LEFT(BO155,7),CLU!$Z$3:$AH$18,3)),GN155,GR155)</f>
        <v>#N/A</v>
      </c>
      <c r="BX155" s="433" t="e">
        <f ca="1">INDEX(INDIRECT(VLOOKUP(LEFT(BO155,7),CLU!$Z$3:$AH$18,4)),GN155,GR155)</f>
        <v>#N/A</v>
      </c>
      <c r="BY155" s="433" t="e">
        <f ca="1">INDEX(INDIRECT(VLOOKUP(LEFT(BO155,7),CLU!$Z$3:$AH$18,9)),((M155-2)*(6-COUNTBLANK(GT155:GY155)))+GJ155)</f>
        <v>#N/A</v>
      </c>
      <c r="BZ155" s="426" t="e">
        <f t="shared" ca="1" si="549"/>
        <v>#N/A</v>
      </c>
      <c r="CA155" s="424" t="e">
        <f t="shared" ca="1" si="550"/>
        <v>#N/A</v>
      </c>
      <c r="CB155" s="429" t="e">
        <f ca="1">INDEX(INDIRECT(VLOOKUP(LEFT(BO155,7),CLU!$Z$3:$AH$18,2)),GN155,GS155)</f>
        <v>#N/A</v>
      </c>
      <c r="CC155" s="342" t="e">
        <f ca="1">INDEX(INDIRECT(VLOOKUP(LEFT(BO155,7),CLU!$Z$3:$AH$18,3)),GN155,GS155)</f>
        <v>#N/A</v>
      </c>
      <c r="CD155" s="342" t="e">
        <f ca="1">INDEX(INDIRECT(VLOOKUP(LEFT(BO155,7),CLU!$Z$3:$AH$18,4)),GN155,GS155)</f>
        <v>#N/A</v>
      </c>
      <c r="CE155" s="426" t="e">
        <f t="shared" ca="1" si="551"/>
        <v>#N/A</v>
      </c>
      <c r="CF155" s="440">
        <f t="shared" si="552"/>
        <v>0</v>
      </c>
      <c r="CG155" s="431" t="e">
        <f ca="1">INDEX(INDIRECT(VLOOKUP(LEFT(BO155,7),CLU!$Z$3:$AH$18,2)),GQ155,GR155)</f>
        <v>#N/A</v>
      </c>
      <c r="CH155" s="431" t="e">
        <f ca="1">INDEX(INDIRECT(VLOOKUP(LEFT(BO155,7),CLU!$Z$3:$AH$18,3)),GQ155,GR155)</f>
        <v>#N/A</v>
      </c>
      <c r="CI155" s="431" t="e">
        <f ca="1">INDEX(INDIRECT(VLOOKUP(LEFT(BO155,7),CLU!$Z$3:$AH$18,4)),GQ155,GR155)</f>
        <v>#N/A</v>
      </c>
      <c r="CJ155" s="448" t="e">
        <f t="shared" ca="1" si="553"/>
        <v>#N/A</v>
      </c>
      <c r="CK155" s="431" t="e">
        <f t="shared" ca="1" si="554"/>
        <v>#N/A</v>
      </c>
      <c r="CL155" s="440" t="e">
        <f t="shared" ca="1" si="555"/>
        <v>#N/A</v>
      </c>
      <c r="CM155" s="431" t="e">
        <f ca="1">INDEX(INDIRECT(VLOOKUP(LEFT(BO155,7),CLU!$Z$3:$AH$18,2)),GQ155,GS155)</f>
        <v>#N/A</v>
      </c>
      <c r="CN155" s="431" t="e">
        <f ca="1">INDEX(INDIRECT(VLOOKUP(LEFT(BO155,7),CLU!$Z$3:$AH$18,3)),GQ155,GS155)</f>
        <v>#N/A</v>
      </c>
      <c r="CO155" s="431" t="e">
        <f ca="1">INDEX(INDIRECT(VLOOKUP(LEFT(BO155,7),CLU!$Z$3:$AH$18,4)),GQ155,GS155)</f>
        <v>#N/A</v>
      </c>
      <c r="CP155" s="431" t="e">
        <f t="shared" ca="1" si="556"/>
        <v>#N/A</v>
      </c>
      <c r="CQ155" s="440">
        <f t="shared" si="557"/>
        <v>0</v>
      </c>
      <c r="CR155" s="51" t="e">
        <f t="shared" ca="1" si="558"/>
        <v>#N/A</v>
      </c>
      <c r="CS155" s="439" t="e">
        <f t="shared" ca="1" si="559"/>
        <v>#VALUE!</v>
      </c>
      <c r="CT155" s="51" t="e">
        <f t="shared" ca="1" si="560"/>
        <v>#VALUE!</v>
      </c>
      <c r="CU155" s="10"/>
      <c r="CV155" s="51" t="e">
        <f t="shared" ca="1" si="457"/>
        <v>#VALUE!</v>
      </c>
      <c r="CW155" s="51">
        <f t="shared" si="561"/>
        <v>0</v>
      </c>
      <c r="CX155" s="439" t="e">
        <f t="shared" ca="1" si="562"/>
        <v>#VALUE!</v>
      </c>
      <c r="CY155" s="51" t="e">
        <f t="shared" ca="1" si="563"/>
        <v>#VALUE!</v>
      </c>
      <c r="CZ155" s="10"/>
      <c r="DA155" s="51" t="e">
        <f t="shared" ca="1" si="564"/>
        <v>#VALUE!</v>
      </c>
      <c r="DB155" s="347" t="e">
        <f ca="1">INDEX(INDIRECT(VLOOKUP(LEFT(BO155,7),CLU!$Z$3:$AI$18,10)),((M155-2)*(6-COUNTBLANK(GT155:GY155)))+GJ155)*LI155</f>
        <v>#N/A</v>
      </c>
      <c r="DC155" s="347" t="str">
        <f>IF(L155&gt;0,((R155/Worksheet!$I$15)/DB155)^2," ")</f>
        <v xml:space="preserve"> </v>
      </c>
      <c r="DD155" s="602" t="str">
        <f t="shared" si="565"/>
        <v xml:space="preserve"> </v>
      </c>
      <c r="DE155" s="347" t="str">
        <f t="shared" si="458"/>
        <v xml:space="preserve"> </v>
      </c>
      <c r="DF155" s="356" t="e">
        <f ca="1">INDEX(INDIRECT(VLOOKUP(LEFT(BO155,7),CLU!$Z$3:$AH$18,8)),((M155-2)*(6-COUNTBLANK(GT155:GY155)))+GJ155)</f>
        <v>#N/A</v>
      </c>
      <c r="DG155" s="347" t="str">
        <f t="shared" si="459"/>
        <v xml:space="preserve"> </v>
      </c>
      <c r="DH155" s="357" t="str">
        <f t="shared" si="460"/>
        <v xml:space="preserve"> </v>
      </c>
      <c r="DI155" s="355" t="str">
        <f t="shared" si="461"/>
        <v xml:space="preserve"> </v>
      </c>
      <c r="DJ155" s="245" t="e">
        <f ca="1">INDEX(INDIRECT(VLOOKUP(LEFT(BO155,7),CLU!$Z$3:$AH$18,5)),GL155,GK155)</f>
        <v>#N/A</v>
      </c>
      <c r="DK155" s="245" t="e">
        <f ca="1">INDEX(INDIRECT(VLOOKUP(LEFT(BO155,7),CLU!$Z$3:$AH$18,6)),GL155,GK155)</f>
        <v>#N/A</v>
      </c>
      <c r="DL155" s="355">
        <f>(Calculation!R155*0.69143*(Calculation!$BQ$8-Calculation!$F$8))*$S$14</f>
        <v>0</v>
      </c>
      <c r="DM155" s="359" t="e">
        <f t="shared" si="566"/>
        <v>#VALUE!</v>
      </c>
      <c r="DN155" s="611">
        <f t="shared" si="567"/>
        <v>0</v>
      </c>
      <c r="DO155" s="359">
        <f t="shared" si="568"/>
        <v>100</v>
      </c>
      <c r="DP155" s="359">
        <f t="shared" si="569"/>
        <v>0</v>
      </c>
      <c r="DQ155" s="360"/>
      <c r="DR155" s="245" t="e">
        <f ca="1">INDEX(INDIRECT(VLOOKUP(LEFT(BO155,7),CLU!$Z$3:$AH$18,7)),M155-1,1)</f>
        <v>#N/A</v>
      </c>
      <c r="DS155" s="245" t="e">
        <f ca="1">INDEX(INDIRECT(VLOOKUP(LEFT(BO155,7),CLU!$Z$3:$AH$18,7)),M155-1,2)</f>
        <v>#N/A</v>
      </c>
      <c r="DT155" s="245" t="e">
        <f ca="1">INDEX(INDIRECT(VLOOKUP(LEFT(BO155,7),CLU!$Z$3:$AH$18,7)),M155-1,3)</f>
        <v>#N/A</v>
      </c>
      <c r="DU155" s="245" t="e">
        <f ca="1">INDEX(INDIRECT(VLOOKUP(LEFT(BO155,7),CLU!$Z$3:$AH$18,7)),M155-1,4)</f>
        <v>#N/A</v>
      </c>
      <c r="DV155" s="361" t="e">
        <f ca="1">INDEX(INDIRECT(VLOOKUP(LEFT(BO155,7),CLU!$Z$3:$AH$18,7)),M155-1,4+LEFT(DZ155,1)*0.5)</f>
        <v>#N/A</v>
      </c>
      <c r="DW155" s="245" t="e">
        <f ca="1">INDEX(INDIRECT(VLOOKUP(LEFT(BO155,7),CLU!$Z$3:$AH$18,7)),M155-1,8)</f>
        <v>#N/A</v>
      </c>
      <c r="DX155" s="361" t="str">
        <f t="shared" si="462"/>
        <v xml:space="preserve"> </v>
      </c>
      <c r="DY155" s="361" t="str">
        <f t="shared" si="463"/>
        <v xml:space="preserve"> </v>
      </c>
      <c r="DZ155" s="361" t="str">
        <f t="shared" si="464"/>
        <v xml:space="preserve"> </v>
      </c>
      <c r="EA155" s="362" t="str">
        <f t="shared" si="465"/>
        <v xml:space="preserve"> </v>
      </c>
      <c r="EB155" s="624" t="str">
        <f t="shared" si="570"/>
        <v xml:space="preserve"> </v>
      </c>
      <c r="EC155" s="361" t="e">
        <f ca="1">INDEX(INDIRECT(VLOOKUP(LEFT(BO155,7),CLU!$Z$3:$AH$18,7)),M155-1,4+LEFT(DZ155,1)*0.5)</f>
        <v>#N/A</v>
      </c>
      <c r="ED155" s="362" t="str">
        <f t="shared" si="466"/>
        <v xml:space="preserve"> </v>
      </c>
      <c r="EE155" s="361" t="str">
        <f t="shared" si="467"/>
        <v xml:space="preserve"> </v>
      </c>
      <c r="EF155" s="362" t="str">
        <f>IF(L155&gt;0,IF(BR155&gt;0,IF(EE155="2P",IF(Calculation!DZ155="2P",IF(Calculation!DS155=13.75,IF(Calculation!DR155=13,Worksheet!$BD$43,IF(Calculation!DR155=37,Worksheet!$BD$44,Worksheet!$BD$45)),IF(Calculation!DS155=10,IF(Calculation!DR155=18,Worksheet!$BD$29,IF(Calculation!DR155=30,Worksheet!$BD$30,IF(Calculation!DR155=42,Worksheet!$BD$31,IF(Calculation!DR155=54,Worksheet!$BD$32,IF(Calculation!DR155=66,Worksheet!$BD$33,IF(Calculation!DR155=78,Worksheet!$BD$34,IF(Calculation!DR155=90,Worksheet!$BD$35,IF(Calculation!DR155=102,Worksheet!$BD$36,Worksheet!$BD$37)))))))),IF(Calculation!DS155=12.5,IF(Calculation!DR155=18,Worksheet!$BD$38,IF(Calculation!DR155=Worksheet!$BD$39,IF(Calculation!DR155=42,Worksheet!$BD$40,IF(Calculation!DR155=54,Worksheet!$BD$41,Worksheet!$BD$42)))),IF(Calculation!DR155=18,Worksheet!$BD$11,IF(Calculation!DR155=30,Worksheet!$BD$12,IF(Calculation!DR155=42,Worksheet!$BD$13,IF(Calculation!DR155=54,Worksheet!$BD$14,IF(Calculation!DR155=66,Worksheet!$BD$15,IF(Calculation!DR155=78,Worksheet!$BD$16,IF(Calculation!DR155=90,Worksheet!$BD$17,IF(Calculation!DR155=102,Worksheet!$BD$18,Worksheet!$BD$19))))))))))),IF(Calculation!DS155=13.75,IF(Calculation!DR155=13,Worksheet!$BD$78,IF(Calculation!DR155=37,Worksheet!$BD$79,Worksheet!$BD$80)),IF(Calculation!DS155=10,IF(Calculation!DR155=18,Worksheet!$BD$64,IF(Calculation!DR155=30,Worksheet!$BD$65,IF(Calculation!DR155=42,Worksheet!$BD$66,IF(Calculation!DR155=54,Worksheet!$BD$68,IF(Calculation!DR155=66,Worksheet!$BD$68,IF(Calculation!DR155=78,Worksheet!$BD$69,IF(Calculation!DR155=90,Worksheet!$BD$70,IF(Calculation!DR155=102,Worksheet!$BD$71,Worksheet!$BD$72)))))))),IF(Calculation!DS155=12.5,IF(Calculation!DR155=18,Worksheet!$BD$73,IF(Calculation!DR155=Worksheet!$BD$74,IF(Calculation!DR155=42,Worksheet!$BD$75,IF(Calculation!DR155=54,Worksheet!$BD$76,Worksheet!$BD$77)))),IF(Calculation!DR155=18,Worksheet!$BD$55,IF(Calculation!DR155=30,Worksheet!$BD$56,IF(Calculation!DR155=42,Worksheet!$BD$57,IF(Calculation!DR155=54,Worksheet!$BD$58,IF(Calculation!DR155=66,Worksheet!$BD$59,IF(Calculation!DR155=78,Worksheet!$BD$60,IF(Calculation!DR155=90,Worksheet!$BD$61,IF(Calculation!DR155=102,Worksheet!$BD$62,Worksheet!$BD$63)))))))))))),5),0)," ")</f>
        <v xml:space="preserve"> </v>
      </c>
      <c r="EG155" s="361" t="str">
        <f t="shared" si="468"/>
        <v xml:space="preserve"> </v>
      </c>
      <c r="EH155" s="361" t="e">
        <f ca="1">INDEX(INDIRECT(VLOOKUP(LEFT(BO155,7),CLU!$Z$3:$AH$18,7)),M155-1,3+LEFT(DZ155,1))</f>
        <v>#N/A</v>
      </c>
      <c r="EI155" s="362" t="str">
        <f t="shared" si="469"/>
        <v xml:space="preserve"> </v>
      </c>
      <c r="EJ155" s="363" t="str">
        <f t="shared" si="470"/>
        <v xml:space="preserve"> </v>
      </c>
      <c r="EK155" s="363" t="str">
        <f t="shared" si="471"/>
        <v xml:space="preserve"> </v>
      </c>
      <c r="EL155" s="363" t="str">
        <f t="shared" si="472"/>
        <v xml:space="preserve"> </v>
      </c>
      <c r="EM155" s="362" t="str">
        <f>IF(L155&gt;0,IF(BR155&gt;0,(Calculation!T155/ED155)^2,0)," ")</f>
        <v xml:space="preserve"> </v>
      </c>
      <c r="EN155" s="362" t="str">
        <f>IF(L155&gt;0,IF(O155="2 Pipe (Cooling)","N/A",IF(BR155&gt;0,(Calculation!U155/EI155)^2,0))," ")</f>
        <v xml:space="preserve"> </v>
      </c>
      <c r="EO155" s="361" t="str">
        <f t="shared" si="473"/>
        <v/>
      </c>
      <c r="EP155" s="361" t="str">
        <f t="shared" si="474"/>
        <v/>
      </c>
      <c r="EQ155" s="361" t="str">
        <f t="shared" si="475"/>
        <v/>
      </c>
      <c r="ER155" s="361" t="str">
        <f t="shared" si="476"/>
        <v/>
      </c>
      <c r="ES155" s="361" t="str">
        <f t="shared" si="477"/>
        <v/>
      </c>
      <c r="ET155" s="361" t="str">
        <f t="shared" si="478"/>
        <v/>
      </c>
      <c r="EU155" s="361" t="str">
        <f t="shared" si="479"/>
        <v/>
      </c>
      <c r="EV155" s="361" t="str">
        <f t="shared" si="480"/>
        <v/>
      </c>
      <c r="EW155" s="361" t="str">
        <f t="shared" si="481"/>
        <v/>
      </c>
      <c r="EX155" s="361" t="str">
        <f t="shared" si="571"/>
        <v>1 slot, 1 way</v>
      </c>
      <c r="EY155" s="361" t="str">
        <f t="shared" si="572"/>
        <v xml:space="preserve"> </v>
      </c>
      <c r="EZ155" s="361" t="str">
        <f t="shared" si="573"/>
        <v xml:space="preserve"> </v>
      </c>
      <c r="FA155" s="361" t="str">
        <f t="shared" si="574"/>
        <v xml:space="preserve"> </v>
      </c>
      <c r="FB155" s="361" t="str">
        <f t="shared" si="575"/>
        <v xml:space="preserve"> </v>
      </c>
      <c r="FC155" s="361"/>
      <c r="FD155" s="361" t="str">
        <f>IF(J155&gt;0,IF(Calculation!R155&lt;=70,4,IF(Calculation!R155&lt;=110,5,IF(Calculation!R155&lt;=160,6,IF(Calculation!R155&lt;=300,8,"10 EO")))),"")</f>
        <v/>
      </c>
      <c r="FE155" s="361" t="str">
        <f t="shared" si="576"/>
        <v/>
      </c>
      <c r="FF155" s="361" t="str">
        <f t="shared" si="577"/>
        <v/>
      </c>
      <c r="FG155" s="361" t="e">
        <f t="shared" si="482"/>
        <v>#N/A</v>
      </c>
      <c r="FH155" s="361">
        <f t="shared" si="483"/>
        <v>0</v>
      </c>
      <c r="FI155" s="361" t="e">
        <f t="shared" si="484"/>
        <v>#DIV/0!</v>
      </c>
      <c r="FJ155" s="361"/>
      <c r="FK155" s="356" t="e">
        <f t="shared" si="485"/>
        <v>#VALUE!</v>
      </c>
      <c r="FL155" s="361"/>
      <c r="FM155" s="361"/>
      <c r="FN155" s="362" t="str">
        <f t="shared" si="578"/>
        <v xml:space="preserve"> </v>
      </c>
      <c r="FO155" s="362" t="str">
        <f t="shared" si="579"/>
        <v xml:space="preserve"> </v>
      </c>
      <c r="FP155" s="362">
        <f t="shared" si="580"/>
        <v>0</v>
      </c>
      <c r="FQ155" s="361">
        <f t="shared" si="486"/>
        <v>0</v>
      </c>
      <c r="FR155" s="362" t="str">
        <f>IF(L155&gt;0,IF(J155="CBAL2",Worksheet!$P$67,IF(J155="CBE2-24",Worksheet!$Q$67,IF(J155="CBAM",Worksheet!$R$67,IF(J155="CBLV",Worksheet!$S$67,IF(J155="CBAB",Worksheet!$U$67,IF(J155="CBAW",Worksheet!$X$67,IF(J155="CBE2-12",Worksheet!$Y$67,IF(J155="CBAL2",Worksheet!$Z$67,"N/A"))))))))," ")</f>
        <v xml:space="preserve"> </v>
      </c>
      <c r="FS155" s="362" t="str">
        <f>IF(L155&gt;0,IF(J155="CBAL2",Worksheet!$P$68,IF(J155="CBE2-24",Worksheet!$Q$68,IF(J155="CBAM",Worksheet!$R$68,IF(J155="CBLV",Worksheet!$S$68,IF(J155="CBAB",Worksheet!$U$68,IF(J155="CBAW",Worksheet!$X$68,IF(J155="CBE2-12",Worksheet!$Y$68,IF(J155="CBAL2",Worksheet!$Z$68,"N/A"))))))))," ")</f>
        <v xml:space="preserve"> </v>
      </c>
      <c r="FT155" s="362" t="str">
        <f>IF(L155&gt;0,IF(J155="CBAL2",Worksheet!$P$69,IF(J155="CBE2-24",Worksheet!$Q$69,IF(J155="CBAM",Worksheet!$R$69,IF(J155="CBLV",Worksheet!$S$69,IF(J155="CBAB",Worksheet!$U$69,IF(J155="CBAW",Worksheet!$X$69,IF(J155="CBE2-12",Worksheet!$Y$69,IF(J155="CBAL2",Worksheet!$Z$69,"N/A"))))))))," ")</f>
        <v xml:space="preserve"> </v>
      </c>
      <c r="FU155" s="361" t="str">
        <f t="shared" si="581"/>
        <v xml:space="preserve"> </v>
      </c>
      <c r="FV155" s="362" t="str">
        <f t="shared" si="582"/>
        <v xml:space="preserve"> </v>
      </c>
      <c r="FW155" s="362" t="str">
        <f t="shared" si="583"/>
        <v xml:space="preserve"> </v>
      </c>
      <c r="FX155" s="362" t="str">
        <f t="shared" si="584"/>
        <v xml:space="preserve"> </v>
      </c>
      <c r="FY155" s="355" t="str">
        <f t="shared" si="585"/>
        <v xml:space="preserve"> </v>
      </c>
      <c r="FZ155" s="361" t="str">
        <f t="shared" si="586"/>
        <v xml:space="preserve"> </v>
      </c>
      <c r="GA155" s="347" t="str">
        <f t="shared" si="587"/>
        <v xml:space="preserve"> </v>
      </c>
      <c r="GB155" s="355" t="str">
        <f t="shared" si="588"/>
        <v xml:space="preserve"> </v>
      </c>
      <c r="GC155" s="328" t="str">
        <f t="shared" si="589"/>
        <v xml:space="preserve"> </v>
      </c>
      <c r="GD155" s="361" t="str">
        <f t="shared" si="590"/>
        <v xml:space="preserve"> </v>
      </c>
      <c r="GE155" s="347" t="str">
        <f t="shared" si="591"/>
        <v xml:space="preserve"> </v>
      </c>
      <c r="GF155" s="361" t="str">
        <f t="shared" si="592"/>
        <v xml:space="preserve"> </v>
      </c>
      <c r="GG155" s="347" t="str">
        <f t="shared" si="593"/>
        <v xml:space="preserve"> </v>
      </c>
      <c r="GH155" s="364">
        <f t="shared" si="487"/>
        <v>0</v>
      </c>
      <c r="GI155" s="362">
        <f t="shared" si="594"/>
        <v>2</v>
      </c>
      <c r="GJ155" s="433" t="e">
        <f>IF(6-COUNTBLANK(GT155:GY155)=4,MATCH(MID(BO155,9,3),CLU!$H$16:$K$16),MATCH(MID(BO155,9,3),CLU!$H$13:$M$13))</f>
        <v>#N/A</v>
      </c>
      <c r="GK155" s="433" t="e">
        <f>HLOOKUP(VALUE(BP155),CLU!$H$9:$M$10,2)</f>
        <v>#VALUE!</v>
      </c>
      <c r="GL155" s="433" t="e">
        <f ca="1">MATCH(BU155,CLU!$H$2:$V$2,1)</f>
        <v>#VALUE!</v>
      </c>
      <c r="GM155" s="433" t="e">
        <f t="shared" ca="1" si="595"/>
        <v>#VALUE!</v>
      </c>
      <c r="GN155" s="433" t="e">
        <f t="shared" ca="1" si="596"/>
        <v>#VALUE!</v>
      </c>
      <c r="GO155" s="433" t="e">
        <f t="shared" ca="1" si="597"/>
        <v>#VALUE!</v>
      </c>
      <c r="GP155" s="433" t="e">
        <f t="shared" ca="1" si="598"/>
        <v>#VALUE!</v>
      </c>
      <c r="GQ155" s="433" t="e">
        <f t="shared" ca="1" si="599"/>
        <v>#VALUE!</v>
      </c>
      <c r="GR155" s="433" t="e">
        <f ca="1">MATCH(T155,INDIRECT(VLOOKUP(CONCATENATE(LEFT(BO155,7),"-",MID(BO155,13,1)),CLU!$P$3:$Q$16,2)),1)</f>
        <v>#N/A</v>
      </c>
      <c r="GS155" s="433" t="e">
        <f ca="1">MATCH(U155,INDIRECT(VLOOKUP(CONCATENATE(LEFT(BO155,7),"-",MID(BO155,13,1)),CLU!$P$3:$Q$16,2)),1)</f>
        <v>#N/A</v>
      </c>
      <c r="GT155" s="347" t="s">
        <v>512</v>
      </c>
      <c r="GU155" s="97" t="s">
        <v>513</v>
      </c>
      <c r="GV155" s="97" t="str">
        <f t="shared" si="600"/>
        <v>M23</v>
      </c>
      <c r="GW155" s="97" t="str">
        <f t="shared" si="601"/>
        <v>M31</v>
      </c>
      <c r="GX155" s="97" t="str">
        <f t="shared" si="602"/>
        <v/>
      </c>
      <c r="GY155" s="97" t="str">
        <f t="shared" si="603"/>
        <v/>
      </c>
      <c r="GZ155" s="481"/>
      <c r="HA155" s="288"/>
      <c r="HB155" s="240"/>
      <c r="HC155" s="240"/>
      <c r="HD155" s="240"/>
      <c r="HE155" s="240"/>
      <c r="HF155" s="240"/>
      <c r="HG155" s="240"/>
      <c r="HH155" s="240"/>
      <c r="HI155" s="240"/>
      <c r="HJ155" s="240"/>
      <c r="HK155" s="240"/>
      <c r="HL155" s="240"/>
      <c r="HM155" s="240"/>
      <c r="HN155" s="240"/>
      <c r="HO155" s="240"/>
      <c r="HP155" s="240"/>
      <c r="HQ155" s="240"/>
      <c r="HR155" s="240"/>
      <c r="HS155" s="240"/>
      <c r="HT155" s="240"/>
      <c r="HU155" s="240"/>
      <c r="HV155" s="245"/>
      <c r="HW155" s="245" t="b">
        <v>1</v>
      </c>
      <c r="HX155" s="245" t="str">
        <f t="shared" si="488"/>
        <v/>
      </c>
      <c r="HY155" s="245" t="e">
        <f t="shared" si="489"/>
        <v>#DIV/0!</v>
      </c>
      <c r="HZ155" s="245" t="e">
        <f t="shared" si="490"/>
        <v>#DIV/0!</v>
      </c>
      <c r="IA155" s="245">
        <f t="shared" si="491"/>
        <v>0</v>
      </c>
      <c r="IB155" s="245"/>
      <c r="IC155" t="b">
        <f t="shared" si="492"/>
        <v>1</v>
      </c>
      <c r="ID155" s="245" t="b">
        <f t="shared" si="493"/>
        <v>1</v>
      </c>
      <c r="IE155" s="245" t="b">
        <f t="shared" si="494"/>
        <v>1</v>
      </c>
      <c r="IF155" s="245" t="b">
        <f t="shared" si="495"/>
        <v>0</v>
      </c>
      <c r="IG155" s="245" t="b">
        <f t="shared" si="496"/>
        <v>1</v>
      </c>
      <c r="IH155" s="245" t="b">
        <f t="shared" si="497"/>
        <v>1</v>
      </c>
      <c r="II155" s="245">
        <f t="shared" si="604"/>
        <v>0</v>
      </c>
      <c r="IJ155" s="245" t="e">
        <f t="shared" si="498"/>
        <v>#VALUE!</v>
      </c>
      <c r="IK155" s="245" t="e">
        <f t="shared" si="499"/>
        <v>#VALUE!</v>
      </c>
      <c r="IL155" s="245"/>
      <c r="IM155" s="245" t="e">
        <f t="shared" si="605"/>
        <v>#N/A</v>
      </c>
      <c r="IN155" s="245" t="e">
        <f t="shared" si="606"/>
        <v>#N/A</v>
      </c>
      <c r="IO155" s="245"/>
      <c r="IP155" s="245"/>
      <c r="IQ155" s="245" t="str">
        <f t="shared" si="500"/>
        <v/>
      </c>
      <c r="IR155" s="245" t="str">
        <f>IF(J155="","",VLOOKUP(J155,Worksheet!$R$4:$T$14,2))</f>
        <v/>
      </c>
      <c r="IS155" s="245"/>
      <c r="IT155" s="245">
        <f t="shared" si="501"/>
        <v>0</v>
      </c>
      <c r="IU155" s="245">
        <f t="shared" si="502"/>
        <v>0</v>
      </c>
      <c r="IV155" s="245">
        <f t="shared" si="503"/>
        <v>0</v>
      </c>
      <c r="IW155" s="245">
        <f t="shared" si="504"/>
        <v>0</v>
      </c>
      <c r="IX155" s="245">
        <f t="shared" si="607"/>
        <v>0</v>
      </c>
      <c r="IY155" s="245">
        <f t="shared" si="505"/>
        <v>0</v>
      </c>
      <c r="IZ155" s="245">
        <f t="shared" si="506"/>
        <v>0</v>
      </c>
      <c r="JA155">
        <f t="shared" si="507"/>
        <v>0</v>
      </c>
      <c r="JB155">
        <f t="shared" si="608"/>
        <v>0</v>
      </c>
      <c r="JC155">
        <f t="shared" si="508"/>
        <v>0</v>
      </c>
      <c r="JD155">
        <f t="shared" si="509"/>
        <v>0</v>
      </c>
      <c r="JE155">
        <f t="shared" si="510"/>
        <v>0</v>
      </c>
      <c r="JF155">
        <f t="shared" si="511"/>
        <v>0</v>
      </c>
      <c r="JG155">
        <f t="shared" si="512"/>
        <v>0</v>
      </c>
      <c r="JH155">
        <f t="shared" si="513"/>
        <v>0</v>
      </c>
      <c r="JI155">
        <f t="shared" si="514"/>
        <v>0</v>
      </c>
      <c r="JJ155" s="447">
        <f t="shared" si="515"/>
        <v>0</v>
      </c>
      <c r="JK155" s="447">
        <f t="shared" si="516"/>
        <v>0</v>
      </c>
      <c r="JL155">
        <f t="shared" si="517"/>
        <v>0</v>
      </c>
      <c r="JM155" s="245" t="str">
        <f>IFERROR(VLOOKUP(MATCH(BN155,#REF!,0),#REF!,7),"")</f>
        <v/>
      </c>
      <c r="JN155" t="e">
        <f>HLOOKUP(LEFT(BO155,7),Discharge_Area,MATCH(JO155,LookUps!$B$130:$B$149,1)+2)</f>
        <v>#N/A</v>
      </c>
      <c r="JO155" t="str">
        <f t="shared" si="518"/>
        <v>- S</v>
      </c>
      <c r="JP155" t="e">
        <f>HLOOKUP(LEFT(BO155,7),Discharge_Area,MATCH(JO155,LookUps!$B$130:$B$149,1)+2)</f>
        <v>#N/A</v>
      </c>
      <c r="JQ155" t="e">
        <f t="shared" si="519"/>
        <v>#N/A</v>
      </c>
      <c r="JR155" t="e">
        <f t="shared" si="520"/>
        <v>#N/A</v>
      </c>
      <c r="JS155" t="e">
        <f t="shared" si="521"/>
        <v>#N/A</v>
      </c>
      <c r="JT155" s="532" t="str">
        <f t="shared" si="522"/>
        <v xml:space="preserve"> </v>
      </c>
      <c r="JU155" s="532" t="str">
        <f t="shared" si="523"/>
        <v xml:space="preserve"> </v>
      </c>
      <c r="JV155" s="533" t="str">
        <f t="shared" si="524"/>
        <v xml:space="preserve"> </v>
      </c>
      <c r="JW155" s="534">
        <f t="shared" si="525"/>
        <v>0</v>
      </c>
      <c r="JX155" s="535" t="str">
        <f t="shared" si="609"/>
        <v xml:space="preserve"> </v>
      </c>
      <c r="JY155" s="535" t="str">
        <f t="shared" si="610"/>
        <v xml:space="preserve"> </v>
      </c>
      <c r="JZ155" s="535" t="str">
        <f t="shared" si="611"/>
        <v xml:space="preserve"> </v>
      </c>
      <c r="KA155" s="536" t="str">
        <f t="shared" si="526"/>
        <v xml:space="preserve"> </v>
      </c>
      <c r="KB155" s="535" t="e">
        <f t="shared" si="612"/>
        <v>#VALUE!</v>
      </c>
      <c r="KC155" s="535" t="str">
        <f t="shared" si="527"/>
        <v/>
      </c>
      <c r="KD155" s="537" t="str">
        <f t="shared" si="613"/>
        <v xml:space="preserve"> </v>
      </c>
      <c r="KE155" s="537" t="str">
        <f t="shared" si="614"/>
        <v xml:space="preserve"> </v>
      </c>
      <c r="KF155" s="534">
        <f t="shared" si="528"/>
        <v>0</v>
      </c>
      <c r="KG155" s="535" t="str">
        <f t="shared" si="529"/>
        <v xml:space="preserve"> </v>
      </c>
      <c r="KH155" s="535" t="str">
        <f t="shared" si="530"/>
        <v xml:space="preserve"> </v>
      </c>
      <c r="KI155" s="535" t="str">
        <f t="shared" si="531"/>
        <v xml:space="preserve"> </v>
      </c>
      <c r="KJ155" s="536" t="str">
        <f t="shared" si="532"/>
        <v xml:space="preserve"> </v>
      </c>
      <c r="KK155" s="535" t="str">
        <f t="shared" si="615"/>
        <v xml:space="preserve"> </v>
      </c>
      <c r="KL155" s="535" t="str">
        <f t="shared" si="616"/>
        <v xml:space="preserve"> </v>
      </c>
      <c r="KM155" s="537" t="str">
        <f t="shared" si="533"/>
        <v xml:space="preserve"> </v>
      </c>
      <c r="KN155" s="537" t="str">
        <f t="shared" si="617"/>
        <v xml:space="preserve"> </v>
      </c>
      <c r="KP155">
        <f t="shared" si="534"/>
        <v>0</v>
      </c>
      <c r="LA155" t="e">
        <f t="shared" si="535"/>
        <v>#VALUE!</v>
      </c>
      <c r="LB155" t="e">
        <f t="shared" si="536"/>
        <v>#VALUE!</v>
      </c>
      <c r="LC155" t="e">
        <f t="shared" si="537"/>
        <v>#VALUE!</v>
      </c>
      <c r="LD155" t="e">
        <f t="shared" si="538"/>
        <v>#VALUE!</v>
      </c>
      <c r="LE155" t="e">
        <f t="shared" si="618"/>
        <v>#VALUE!</v>
      </c>
      <c r="LF155">
        <f t="shared" si="539"/>
        <v>0</v>
      </c>
      <c r="LG155" t="e">
        <f t="shared" si="619"/>
        <v>#VALUE!</v>
      </c>
      <c r="LH155" t="str">
        <f t="shared" si="540"/>
        <v xml:space="preserve"> </v>
      </c>
      <c r="LI155">
        <f t="shared" si="620"/>
        <v>1</v>
      </c>
    </row>
    <row r="156" spans="2:321" ht="15" customHeight="1">
      <c r="B156" s="311"/>
      <c r="C156" s="311"/>
      <c r="D156" s="312"/>
      <c r="E156" s="311"/>
      <c r="F156" s="312"/>
      <c r="G156" s="311"/>
      <c r="H156" s="311"/>
      <c r="I156" s="37"/>
      <c r="J156" s="311"/>
      <c r="K156" s="305" t="str">
        <f t="shared" si="541"/>
        <v/>
      </c>
      <c r="L156" s="313"/>
      <c r="M156" s="312"/>
      <c r="N156" s="311"/>
      <c r="O156" s="312"/>
      <c r="P156" s="311"/>
      <c r="Q156" s="305" t="str">
        <f t="shared" si="542"/>
        <v/>
      </c>
      <c r="R156" s="314"/>
      <c r="S156" s="450" t="str">
        <f t="shared" si="425"/>
        <v/>
      </c>
      <c r="T156" s="315"/>
      <c r="U156" s="315"/>
      <c r="W156" s="149" t="str">
        <f t="shared" si="426"/>
        <v xml:space="preserve"> </v>
      </c>
      <c r="X156" s="243" t="str">
        <f t="shared" si="427"/>
        <v xml:space="preserve"> </v>
      </c>
      <c r="Y156" s="150" t="str">
        <f t="shared" si="428"/>
        <v/>
      </c>
      <c r="Z156" s="149" t="str">
        <f t="shared" si="429"/>
        <v xml:space="preserve"> </v>
      </c>
      <c r="AA156" s="98" t="str">
        <f t="shared" si="430"/>
        <v xml:space="preserve"> </v>
      </c>
      <c r="AB156" s="153" t="str">
        <f t="shared" si="431"/>
        <v xml:space="preserve"> </v>
      </c>
      <c r="AC156" s="153" t="str">
        <f t="shared" si="432"/>
        <v xml:space="preserve"> </v>
      </c>
      <c r="AD156" s="148" t="str">
        <f t="shared" si="433"/>
        <v/>
      </c>
      <c r="AE156" s="149" t="str">
        <f t="shared" si="434"/>
        <v/>
      </c>
      <c r="AF156" s="151" t="str">
        <f t="shared" si="435"/>
        <v xml:space="preserve"> </v>
      </c>
      <c r="AG156" s="153" t="str">
        <f t="shared" si="436"/>
        <v xml:space="preserve"> </v>
      </c>
      <c r="AH156" s="98" t="str">
        <f t="shared" si="437"/>
        <v xml:space="preserve"> </v>
      </c>
      <c r="AI156" s="149" t="str">
        <f t="shared" si="438"/>
        <v xml:space="preserve"> </v>
      </c>
      <c r="AK156" s="144" t="str">
        <f t="shared" si="439"/>
        <v xml:space="preserve"> </v>
      </c>
      <c r="AL156" s="144"/>
      <c r="AM156" s="243" t="str">
        <f t="shared" si="440"/>
        <v xml:space="preserve"> </v>
      </c>
      <c r="AN156" s="149" t="str">
        <f t="shared" si="543"/>
        <v xml:space="preserve"> </v>
      </c>
      <c r="AO156" s="144" t="str">
        <f>IF(JB156&gt;0,IF(GI156=10,-R156*1.085*(Calculation!$F$6-Calculation!$F$13)*$S$14," "),"")</f>
        <v/>
      </c>
      <c r="AP156" s="144" t="str">
        <f t="shared" si="441"/>
        <v/>
      </c>
      <c r="AQ156" s="56" t="str">
        <f t="shared" si="442"/>
        <v/>
      </c>
      <c r="AR156" s="144" t="str">
        <f t="shared" si="443"/>
        <v/>
      </c>
      <c r="AS156" s="176" t="str">
        <f t="shared" si="444"/>
        <v/>
      </c>
      <c r="AT156" s="176" t="str">
        <f t="shared" si="544"/>
        <v xml:space="preserve"> </v>
      </c>
      <c r="AU156" s="176" t="str">
        <f t="shared" si="445"/>
        <v/>
      </c>
      <c r="AV156" s="177" t="str">
        <f t="shared" si="446"/>
        <v xml:space="preserve"> </v>
      </c>
      <c r="AW156" s="144" t="str">
        <f t="shared" si="447"/>
        <v xml:space="preserve"> </v>
      </c>
      <c r="AX156" s="144" t="str">
        <f t="shared" si="448"/>
        <v xml:space="preserve"> </v>
      </c>
      <c r="AY156" s="152" t="str">
        <f t="shared" si="449"/>
        <v xml:space="preserve"> </v>
      </c>
      <c r="AZ156" s="246" t="str">
        <f t="shared" si="450"/>
        <v/>
      </c>
      <c r="BA156" s="176" t="str">
        <f t="shared" si="451"/>
        <v xml:space="preserve"> </v>
      </c>
      <c r="BB156" s="176" t="str">
        <f t="shared" si="452"/>
        <v xml:space="preserve"> </v>
      </c>
      <c r="BC156" s="195"/>
      <c r="BD156" s="316"/>
      <c r="BE156" s="317"/>
      <c r="BF156" s="318"/>
      <c r="BG156" s="318"/>
      <c r="BH156" s="144" t="str">
        <f t="shared" si="621"/>
        <v xml:space="preserve"> </v>
      </c>
      <c r="BI156" s="176" t="str">
        <f t="shared" si="453"/>
        <v/>
      </c>
      <c r="BJ156" s="144" t="str">
        <f t="shared" si="622"/>
        <v/>
      </c>
      <c r="BK156" s="246" t="str">
        <f t="shared" si="454"/>
        <v/>
      </c>
      <c r="BL156" s="144" t="str">
        <f t="shared" si="623"/>
        <v/>
      </c>
      <c r="BM156" s="246" t="str">
        <f t="shared" si="455"/>
        <v/>
      </c>
      <c r="BN156" s="337" t="str">
        <f t="shared" si="545"/>
        <v/>
      </c>
      <c r="BO156" s="371" t="str">
        <f t="shared" si="546"/>
        <v/>
      </c>
      <c r="BP156" s="328" t="str">
        <f t="shared" si="624"/>
        <v xml:space="preserve"> </v>
      </c>
      <c r="BQ156" s="347" t="str">
        <f t="shared" si="547"/>
        <v xml:space="preserve"> </v>
      </c>
      <c r="BR156" s="353" t="str">
        <f t="shared" si="548"/>
        <v xml:space="preserve"> </v>
      </c>
      <c r="BS156" s="626" t="str">
        <f>IF(L156&gt;0,IF(Calculation!P156="M13",BR156*3.1416*(0.134^2)/(4*144),IF(Calculation!P156="M17",BR156*3.1416*(0.165^2)/(4*144),IF(Calculation!P156="M20",BR156*3.1416*(0.198^2)/(4*144),IF(Calculation!P156="M23",BR156*3.1416*(0.228^2)/(4*144),IF(Calculation!P156="M27",BR156*3.1416*(0.269^2)/(4*144),BR156*3.1416*(0.307^2)/(4*144))))))," ")</f>
        <v xml:space="preserve"> </v>
      </c>
      <c r="BT156" s="353" t="str">
        <f>IF(L156&gt;0,IF(BS156&gt;0,R156/Calculation!BS156,0)," ")</f>
        <v xml:space="preserve"> </v>
      </c>
      <c r="BU156" s="438" t="e">
        <f t="shared" ca="1" si="456"/>
        <v>#VALUE!</v>
      </c>
      <c r="BV156" s="449" t="e">
        <f ca="1">INDEX(INDIRECT(VLOOKUP(LEFT(BO156,7),CLU!$Z$3:$AH$18,2)),GN156,GR156)</f>
        <v>#N/A</v>
      </c>
      <c r="BW156" s="433" t="e">
        <f ca="1">INDEX(INDIRECT(VLOOKUP(LEFT(BO156,7),CLU!$Z$3:$AH$18,3)),GN156,GR156)</f>
        <v>#N/A</v>
      </c>
      <c r="BX156" s="433" t="e">
        <f ca="1">INDEX(INDIRECT(VLOOKUP(LEFT(BO156,7),CLU!$Z$3:$AH$18,4)),GN156,GR156)</f>
        <v>#N/A</v>
      </c>
      <c r="BY156" s="433" t="e">
        <f ca="1">INDEX(INDIRECT(VLOOKUP(LEFT(BO156,7),CLU!$Z$3:$AH$18,9)),((M156-2)*(6-COUNTBLANK(GT156:GY156)))+GJ156)</f>
        <v>#N/A</v>
      </c>
      <c r="BZ156" s="426" t="e">
        <f t="shared" ca="1" si="549"/>
        <v>#N/A</v>
      </c>
      <c r="CA156" s="424" t="e">
        <f t="shared" ca="1" si="550"/>
        <v>#N/A</v>
      </c>
      <c r="CB156" s="429" t="e">
        <f ca="1">INDEX(INDIRECT(VLOOKUP(LEFT(BO156,7),CLU!$Z$3:$AH$18,2)),GN156,GS156)</f>
        <v>#N/A</v>
      </c>
      <c r="CC156" s="342" t="e">
        <f ca="1">INDEX(INDIRECT(VLOOKUP(LEFT(BO156,7),CLU!$Z$3:$AH$18,3)),GN156,GS156)</f>
        <v>#N/A</v>
      </c>
      <c r="CD156" s="342" t="e">
        <f ca="1">INDEX(INDIRECT(VLOOKUP(LEFT(BO156,7),CLU!$Z$3:$AH$18,4)),GN156,GS156)</f>
        <v>#N/A</v>
      </c>
      <c r="CE156" s="426" t="e">
        <f t="shared" ca="1" si="551"/>
        <v>#N/A</v>
      </c>
      <c r="CF156" s="440">
        <f t="shared" si="552"/>
        <v>0</v>
      </c>
      <c r="CG156" s="431" t="e">
        <f ca="1">INDEX(INDIRECT(VLOOKUP(LEFT(BO156,7),CLU!$Z$3:$AH$18,2)),GQ156,GR156)</f>
        <v>#N/A</v>
      </c>
      <c r="CH156" s="431" t="e">
        <f ca="1">INDEX(INDIRECT(VLOOKUP(LEFT(BO156,7),CLU!$Z$3:$AH$18,3)),GQ156,GR156)</f>
        <v>#N/A</v>
      </c>
      <c r="CI156" s="431" t="e">
        <f ca="1">INDEX(INDIRECT(VLOOKUP(LEFT(BO156,7),CLU!$Z$3:$AH$18,4)),GQ156,GR156)</f>
        <v>#N/A</v>
      </c>
      <c r="CJ156" s="448" t="e">
        <f t="shared" ca="1" si="553"/>
        <v>#N/A</v>
      </c>
      <c r="CK156" s="431" t="e">
        <f t="shared" ca="1" si="554"/>
        <v>#N/A</v>
      </c>
      <c r="CL156" s="440" t="e">
        <f t="shared" ca="1" si="555"/>
        <v>#N/A</v>
      </c>
      <c r="CM156" s="431" t="e">
        <f ca="1">INDEX(INDIRECT(VLOOKUP(LEFT(BO156,7),CLU!$Z$3:$AH$18,2)),GQ156,GS156)</f>
        <v>#N/A</v>
      </c>
      <c r="CN156" s="431" t="e">
        <f ca="1">INDEX(INDIRECT(VLOOKUP(LEFT(BO156,7),CLU!$Z$3:$AH$18,3)),GQ156,GS156)</f>
        <v>#N/A</v>
      </c>
      <c r="CO156" s="431" t="e">
        <f ca="1">INDEX(INDIRECT(VLOOKUP(LEFT(BO156,7),CLU!$Z$3:$AH$18,4)),GQ156,GS156)</f>
        <v>#N/A</v>
      </c>
      <c r="CP156" s="431" t="e">
        <f t="shared" ca="1" si="556"/>
        <v>#N/A</v>
      </c>
      <c r="CQ156" s="440">
        <f t="shared" si="557"/>
        <v>0</v>
      </c>
      <c r="CR156" s="51" t="e">
        <f t="shared" ca="1" si="558"/>
        <v>#N/A</v>
      </c>
      <c r="CS156" s="439" t="e">
        <f t="shared" ca="1" si="559"/>
        <v>#VALUE!</v>
      </c>
      <c r="CT156" s="51" t="e">
        <f t="shared" ca="1" si="560"/>
        <v>#VALUE!</v>
      </c>
      <c r="CU156" s="10"/>
      <c r="CV156" s="51" t="e">
        <f t="shared" ca="1" si="457"/>
        <v>#VALUE!</v>
      </c>
      <c r="CW156" s="51">
        <f t="shared" si="561"/>
        <v>0</v>
      </c>
      <c r="CX156" s="439" t="e">
        <f t="shared" ca="1" si="562"/>
        <v>#VALUE!</v>
      </c>
      <c r="CY156" s="51" t="e">
        <f t="shared" ca="1" si="563"/>
        <v>#VALUE!</v>
      </c>
      <c r="CZ156" s="10"/>
      <c r="DA156" s="51" t="e">
        <f t="shared" ca="1" si="564"/>
        <v>#VALUE!</v>
      </c>
      <c r="DB156" s="347" t="e">
        <f ca="1">INDEX(INDIRECT(VLOOKUP(LEFT(BO156,7),CLU!$Z$3:$AI$18,10)),((M156-2)*(6-COUNTBLANK(GT156:GY156)))+GJ156)*LI156</f>
        <v>#N/A</v>
      </c>
      <c r="DC156" s="347" t="str">
        <f>IF(L156&gt;0,((R156/Worksheet!$I$15)/DB156)^2," ")</f>
        <v xml:space="preserve"> </v>
      </c>
      <c r="DD156" s="602" t="str">
        <f t="shared" si="565"/>
        <v xml:space="preserve"> </v>
      </c>
      <c r="DE156" s="347" t="str">
        <f t="shared" si="458"/>
        <v xml:space="preserve"> </v>
      </c>
      <c r="DF156" s="356" t="e">
        <f ca="1">INDEX(INDIRECT(VLOOKUP(LEFT(BO156,7),CLU!$Z$3:$AH$18,8)),((M156-2)*(6-COUNTBLANK(GT156:GY156)))+GJ156)</f>
        <v>#N/A</v>
      </c>
      <c r="DG156" s="347" t="str">
        <f t="shared" si="459"/>
        <v xml:space="preserve"> </v>
      </c>
      <c r="DH156" s="357" t="str">
        <f t="shared" si="460"/>
        <v xml:space="preserve"> </v>
      </c>
      <c r="DI156" s="355" t="str">
        <f t="shared" si="461"/>
        <v xml:space="preserve"> </v>
      </c>
      <c r="DJ156" s="245" t="e">
        <f ca="1">INDEX(INDIRECT(VLOOKUP(LEFT(BO156,7),CLU!$Z$3:$AH$18,5)),GL156,GK156)</f>
        <v>#N/A</v>
      </c>
      <c r="DK156" s="245" t="e">
        <f ca="1">INDEX(INDIRECT(VLOOKUP(LEFT(BO156,7),CLU!$Z$3:$AH$18,6)),GL156,GK156)</f>
        <v>#N/A</v>
      </c>
      <c r="DL156" s="355">
        <f>(Calculation!R156*0.69143*(Calculation!$BQ$8-Calculation!$F$8))*$S$14</f>
        <v>0</v>
      </c>
      <c r="DM156" s="359" t="e">
        <f t="shared" si="566"/>
        <v>#VALUE!</v>
      </c>
      <c r="DN156" s="611">
        <f t="shared" si="567"/>
        <v>0</v>
      </c>
      <c r="DO156" s="359">
        <f t="shared" si="568"/>
        <v>100</v>
      </c>
      <c r="DP156" s="359">
        <f t="shared" si="569"/>
        <v>0</v>
      </c>
      <c r="DQ156" s="360"/>
      <c r="DR156" s="245" t="e">
        <f ca="1">INDEX(INDIRECT(VLOOKUP(LEFT(BO156,7),CLU!$Z$3:$AH$18,7)),M156-1,1)</f>
        <v>#N/A</v>
      </c>
      <c r="DS156" s="245" t="e">
        <f ca="1">INDEX(INDIRECT(VLOOKUP(LEFT(BO156,7),CLU!$Z$3:$AH$18,7)),M156-1,2)</f>
        <v>#N/A</v>
      </c>
      <c r="DT156" s="245" t="e">
        <f ca="1">INDEX(INDIRECT(VLOOKUP(LEFT(BO156,7),CLU!$Z$3:$AH$18,7)),M156-1,3)</f>
        <v>#N/A</v>
      </c>
      <c r="DU156" s="245" t="e">
        <f ca="1">INDEX(INDIRECT(VLOOKUP(LEFT(BO156,7),CLU!$Z$3:$AH$18,7)),M156-1,4)</f>
        <v>#N/A</v>
      </c>
      <c r="DV156" s="361" t="e">
        <f ca="1">INDEX(INDIRECT(VLOOKUP(LEFT(BO156,7),CLU!$Z$3:$AH$18,7)),M156-1,4+LEFT(DZ156,1)*0.5)</f>
        <v>#N/A</v>
      </c>
      <c r="DW156" s="245" t="e">
        <f ca="1">INDEX(INDIRECT(VLOOKUP(LEFT(BO156,7),CLU!$Z$3:$AH$18,7)),M156-1,8)</f>
        <v>#N/A</v>
      </c>
      <c r="DX156" s="361" t="str">
        <f t="shared" si="462"/>
        <v xml:space="preserve"> </v>
      </c>
      <c r="DY156" s="361" t="str">
        <f t="shared" si="463"/>
        <v xml:space="preserve"> </v>
      </c>
      <c r="DZ156" s="361" t="str">
        <f t="shared" si="464"/>
        <v xml:space="preserve"> </v>
      </c>
      <c r="EA156" s="362" t="str">
        <f t="shared" si="465"/>
        <v xml:space="preserve"> </v>
      </c>
      <c r="EB156" s="624" t="str">
        <f t="shared" si="570"/>
        <v xml:space="preserve"> </v>
      </c>
      <c r="EC156" s="361" t="e">
        <f ca="1">INDEX(INDIRECT(VLOOKUP(LEFT(BO156,7),CLU!$Z$3:$AH$18,7)),M156-1,4+LEFT(DZ156,1)*0.5)</f>
        <v>#N/A</v>
      </c>
      <c r="ED156" s="362" t="str">
        <f t="shared" si="466"/>
        <v xml:space="preserve"> </v>
      </c>
      <c r="EE156" s="361" t="str">
        <f t="shared" si="467"/>
        <v xml:space="preserve"> </v>
      </c>
      <c r="EF156" s="362" t="str">
        <f>IF(L156&gt;0,IF(BR156&gt;0,IF(EE156="2P",IF(Calculation!DZ156="2P",IF(Calculation!DS156=13.75,IF(Calculation!DR156=13,Worksheet!$BD$43,IF(Calculation!DR156=37,Worksheet!$BD$44,Worksheet!$BD$45)),IF(Calculation!DS156=10,IF(Calculation!DR156=18,Worksheet!$BD$29,IF(Calculation!DR156=30,Worksheet!$BD$30,IF(Calculation!DR156=42,Worksheet!$BD$31,IF(Calculation!DR156=54,Worksheet!$BD$32,IF(Calculation!DR156=66,Worksheet!$BD$33,IF(Calculation!DR156=78,Worksheet!$BD$34,IF(Calculation!DR156=90,Worksheet!$BD$35,IF(Calculation!DR156=102,Worksheet!$BD$36,Worksheet!$BD$37)))))))),IF(Calculation!DS156=12.5,IF(Calculation!DR156=18,Worksheet!$BD$38,IF(Calculation!DR156=Worksheet!$BD$39,IF(Calculation!DR156=42,Worksheet!$BD$40,IF(Calculation!DR156=54,Worksheet!$BD$41,Worksheet!$BD$42)))),IF(Calculation!DR156=18,Worksheet!$BD$11,IF(Calculation!DR156=30,Worksheet!$BD$12,IF(Calculation!DR156=42,Worksheet!$BD$13,IF(Calculation!DR156=54,Worksheet!$BD$14,IF(Calculation!DR156=66,Worksheet!$BD$15,IF(Calculation!DR156=78,Worksheet!$BD$16,IF(Calculation!DR156=90,Worksheet!$BD$17,IF(Calculation!DR156=102,Worksheet!$BD$18,Worksheet!$BD$19))))))))))),IF(Calculation!DS156=13.75,IF(Calculation!DR156=13,Worksheet!$BD$78,IF(Calculation!DR156=37,Worksheet!$BD$79,Worksheet!$BD$80)),IF(Calculation!DS156=10,IF(Calculation!DR156=18,Worksheet!$BD$64,IF(Calculation!DR156=30,Worksheet!$BD$65,IF(Calculation!DR156=42,Worksheet!$BD$66,IF(Calculation!DR156=54,Worksheet!$BD$68,IF(Calculation!DR156=66,Worksheet!$BD$68,IF(Calculation!DR156=78,Worksheet!$BD$69,IF(Calculation!DR156=90,Worksheet!$BD$70,IF(Calculation!DR156=102,Worksheet!$BD$71,Worksheet!$BD$72)))))))),IF(Calculation!DS156=12.5,IF(Calculation!DR156=18,Worksheet!$BD$73,IF(Calculation!DR156=Worksheet!$BD$74,IF(Calculation!DR156=42,Worksheet!$BD$75,IF(Calculation!DR156=54,Worksheet!$BD$76,Worksheet!$BD$77)))),IF(Calculation!DR156=18,Worksheet!$BD$55,IF(Calculation!DR156=30,Worksheet!$BD$56,IF(Calculation!DR156=42,Worksheet!$BD$57,IF(Calculation!DR156=54,Worksheet!$BD$58,IF(Calculation!DR156=66,Worksheet!$BD$59,IF(Calculation!DR156=78,Worksheet!$BD$60,IF(Calculation!DR156=90,Worksheet!$BD$61,IF(Calculation!DR156=102,Worksheet!$BD$62,Worksheet!$BD$63)))))))))))),5),0)," ")</f>
        <v xml:space="preserve"> </v>
      </c>
      <c r="EG156" s="361" t="str">
        <f t="shared" si="468"/>
        <v xml:space="preserve"> </v>
      </c>
      <c r="EH156" s="361" t="e">
        <f ca="1">INDEX(INDIRECT(VLOOKUP(LEFT(BO156,7),CLU!$Z$3:$AH$18,7)),M156-1,3+LEFT(DZ156,1))</f>
        <v>#N/A</v>
      </c>
      <c r="EI156" s="362" t="str">
        <f t="shared" si="469"/>
        <v xml:space="preserve"> </v>
      </c>
      <c r="EJ156" s="363" t="str">
        <f t="shared" si="470"/>
        <v xml:space="preserve"> </v>
      </c>
      <c r="EK156" s="363" t="str">
        <f t="shared" si="471"/>
        <v xml:space="preserve"> </v>
      </c>
      <c r="EL156" s="363" t="str">
        <f t="shared" si="472"/>
        <v xml:space="preserve"> </v>
      </c>
      <c r="EM156" s="362" t="str">
        <f>IF(L156&gt;0,IF(BR156&gt;0,(Calculation!T156/ED156)^2,0)," ")</f>
        <v xml:space="preserve"> </v>
      </c>
      <c r="EN156" s="362" t="str">
        <f>IF(L156&gt;0,IF(O156="2 Pipe (Cooling)","N/A",IF(BR156&gt;0,(Calculation!U156/EI156)^2,0))," ")</f>
        <v xml:space="preserve"> </v>
      </c>
      <c r="EO156" s="361" t="str">
        <f t="shared" si="473"/>
        <v/>
      </c>
      <c r="EP156" s="361" t="str">
        <f t="shared" si="474"/>
        <v/>
      </c>
      <c r="EQ156" s="361" t="str">
        <f t="shared" si="475"/>
        <v/>
      </c>
      <c r="ER156" s="361" t="str">
        <f t="shared" si="476"/>
        <v/>
      </c>
      <c r="ES156" s="361" t="str">
        <f t="shared" si="477"/>
        <v/>
      </c>
      <c r="ET156" s="361" t="str">
        <f t="shared" si="478"/>
        <v/>
      </c>
      <c r="EU156" s="361" t="str">
        <f t="shared" si="479"/>
        <v/>
      </c>
      <c r="EV156" s="361" t="str">
        <f t="shared" si="480"/>
        <v/>
      </c>
      <c r="EW156" s="361" t="str">
        <f t="shared" si="481"/>
        <v/>
      </c>
      <c r="EX156" s="361" t="str">
        <f t="shared" si="571"/>
        <v>1 slot, 1 way</v>
      </c>
      <c r="EY156" s="361" t="str">
        <f t="shared" si="572"/>
        <v xml:space="preserve"> </v>
      </c>
      <c r="EZ156" s="361" t="str">
        <f t="shared" si="573"/>
        <v xml:space="preserve"> </v>
      </c>
      <c r="FA156" s="361" t="str">
        <f t="shared" si="574"/>
        <v xml:space="preserve"> </v>
      </c>
      <c r="FB156" s="361" t="str">
        <f t="shared" si="575"/>
        <v xml:space="preserve"> </v>
      </c>
      <c r="FC156" s="361"/>
      <c r="FD156" s="361" t="str">
        <f>IF(J156&gt;0,IF(Calculation!R156&lt;=70,4,IF(Calculation!R156&lt;=110,5,IF(Calculation!R156&lt;=160,6,IF(Calculation!R156&lt;=300,8,"10 EO")))),"")</f>
        <v/>
      </c>
      <c r="FE156" s="361" t="str">
        <f t="shared" si="576"/>
        <v/>
      </c>
      <c r="FF156" s="361" t="str">
        <f t="shared" si="577"/>
        <v/>
      </c>
      <c r="FG156" s="361" t="e">
        <f t="shared" si="482"/>
        <v>#N/A</v>
      </c>
      <c r="FH156" s="361">
        <f t="shared" si="483"/>
        <v>0</v>
      </c>
      <c r="FI156" s="361" t="e">
        <f t="shared" si="484"/>
        <v>#DIV/0!</v>
      </c>
      <c r="FJ156" s="361"/>
      <c r="FK156" s="356" t="e">
        <f t="shared" si="485"/>
        <v>#VALUE!</v>
      </c>
      <c r="FL156" s="361"/>
      <c r="FM156" s="361"/>
      <c r="FN156" s="362" t="str">
        <f t="shared" si="578"/>
        <v xml:space="preserve"> </v>
      </c>
      <c r="FO156" s="362" t="str">
        <f t="shared" si="579"/>
        <v xml:space="preserve"> </v>
      </c>
      <c r="FP156" s="362">
        <f t="shared" si="580"/>
        <v>0</v>
      </c>
      <c r="FQ156" s="361">
        <f t="shared" si="486"/>
        <v>0</v>
      </c>
      <c r="FR156" s="362" t="str">
        <f>IF(L156&gt;0,IF(J156="CBAL2",Worksheet!$P$67,IF(J156="CBE2-24",Worksheet!$Q$67,IF(J156="CBAM",Worksheet!$R$67,IF(J156="CBLV",Worksheet!$S$67,IF(J156="CBAB",Worksheet!$U$67,IF(J156="CBAW",Worksheet!$X$67,IF(J156="CBE2-12",Worksheet!$Y$67,IF(J156="CBAL2",Worksheet!$Z$67,"N/A"))))))))," ")</f>
        <v xml:space="preserve"> </v>
      </c>
      <c r="FS156" s="362" t="str">
        <f>IF(L156&gt;0,IF(J156="CBAL2",Worksheet!$P$68,IF(J156="CBE2-24",Worksheet!$Q$68,IF(J156="CBAM",Worksheet!$R$68,IF(J156="CBLV",Worksheet!$S$68,IF(J156="CBAB",Worksheet!$U$68,IF(J156="CBAW",Worksheet!$X$68,IF(J156="CBE2-12",Worksheet!$Y$68,IF(J156="CBAL2",Worksheet!$Z$68,"N/A"))))))))," ")</f>
        <v xml:space="preserve"> </v>
      </c>
      <c r="FT156" s="362" t="str">
        <f>IF(L156&gt;0,IF(J156="CBAL2",Worksheet!$P$69,IF(J156="CBE2-24",Worksheet!$Q$69,IF(J156="CBAM",Worksheet!$R$69,IF(J156="CBLV",Worksheet!$S$69,IF(J156="CBAB",Worksheet!$U$69,IF(J156="CBAW",Worksheet!$X$69,IF(J156="CBE2-12",Worksheet!$Y$69,IF(J156="CBAL2",Worksheet!$Z$69,"N/A"))))))))," ")</f>
        <v xml:space="preserve"> </v>
      </c>
      <c r="FU156" s="361" t="str">
        <f t="shared" si="581"/>
        <v xml:space="preserve"> </v>
      </c>
      <c r="FV156" s="362" t="str">
        <f t="shared" si="582"/>
        <v xml:space="preserve"> </v>
      </c>
      <c r="FW156" s="362" t="str">
        <f t="shared" si="583"/>
        <v xml:space="preserve"> </v>
      </c>
      <c r="FX156" s="362" t="str">
        <f t="shared" si="584"/>
        <v xml:space="preserve"> </v>
      </c>
      <c r="FY156" s="355" t="str">
        <f t="shared" si="585"/>
        <v xml:space="preserve"> </v>
      </c>
      <c r="FZ156" s="361" t="str">
        <f t="shared" si="586"/>
        <v xml:space="preserve"> </v>
      </c>
      <c r="GA156" s="347" t="str">
        <f t="shared" si="587"/>
        <v xml:space="preserve"> </v>
      </c>
      <c r="GB156" s="355" t="str">
        <f t="shared" si="588"/>
        <v xml:space="preserve"> </v>
      </c>
      <c r="GC156" s="328" t="str">
        <f t="shared" si="589"/>
        <v xml:space="preserve"> </v>
      </c>
      <c r="GD156" s="361" t="str">
        <f t="shared" si="590"/>
        <v xml:space="preserve"> </v>
      </c>
      <c r="GE156" s="347" t="str">
        <f t="shared" si="591"/>
        <v xml:space="preserve"> </v>
      </c>
      <c r="GF156" s="361" t="str">
        <f t="shared" si="592"/>
        <v xml:space="preserve"> </v>
      </c>
      <c r="GG156" s="347" t="str">
        <f t="shared" si="593"/>
        <v xml:space="preserve"> </v>
      </c>
      <c r="GH156" s="364">
        <f t="shared" si="487"/>
        <v>0</v>
      </c>
      <c r="GI156" s="362">
        <f t="shared" si="594"/>
        <v>2</v>
      </c>
      <c r="GJ156" s="433" t="e">
        <f>IF(6-COUNTBLANK(GT156:GY156)=4,MATCH(MID(BO156,9,3),CLU!$H$16:$K$16),MATCH(MID(BO156,9,3),CLU!$H$13:$M$13))</f>
        <v>#N/A</v>
      </c>
      <c r="GK156" s="433" t="e">
        <f>HLOOKUP(VALUE(BP156),CLU!$H$9:$M$10,2)</f>
        <v>#VALUE!</v>
      </c>
      <c r="GL156" s="433" t="e">
        <f ca="1">MATCH(BU156,CLU!$H$2:$V$2,1)</f>
        <v>#VALUE!</v>
      </c>
      <c r="GM156" s="433" t="e">
        <f t="shared" ca="1" si="595"/>
        <v>#VALUE!</v>
      </c>
      <c r="GN156" s="433" t="e">
        <f t="shared" ca="1" si="596"/>
        <v>#VALUE!</v>
      </c>
      <c r="GO156" s="433" t="e">
        <f t="shared" ca="1" si="597"/>
        <v>#VALUE!</v>
      </c>
      <c r="GP156" s="433" t="e">
        <f t="shared" ca="1" si="598"/>
        <v>#VALUE!</v>
      </c>
      <c r="GQ156" s="433" t="e">
        <f t="shared" ca="1" si="599"/>
        <v>#VALUE!</v>
      </c>
      <c r="GR156" s="433" t="e">
        <f ca="1">MATCH(T156,INDIRECT(VLOOKUP(CONCATENATE(LEFT(BO156,7),"-",MID(BO156,13,1)),CLU!$P$3:$Q$16,2)),1)</f>
        <v>#N/A</v>
      </c>
      <c r="GS156" s="433" t="e">
        <f ca="1">MATCH(U156,INDIRECT(VLOOKUP(CONCATENATE(LEFT(BO156,7),"-",MID(BO156,13,1)),CLU!$P$3:$Q$16,2)),1)</f>
        <v>#N/A</v>
      </c>
      <c r="GT156" s="347" t="s">
        <v>512</v>
      </c>
      <c r="GU156" s="97" t="s">
        <v>513</v>
      </c>
      <c r="GV156" s="97" t="str">
        <f t="shared" si="600"/>
        <v>M23</v>
      </c>
      <c r="GW156" s="97" t="str">
        <f t="shared" si="601"/>
        <v>M31</v>
      </c>
      <c r="GX156" s="97" t="str">
        <f t="shared" si="602"/>
        <v/>
      </c>
      <c r="GY156" s="97" t="str">
        <f t="shared" si="603"/>
        <v/>
      </c>
      <c r="GZ156" s="481"/>
      <c r="HA156" s="288"/>
      <c r="HB156" s="240"/>
      <c r="HC156" s="240"/>
      <c r="HD156" s="240"/>
      <c r="HE156" s="240"/>
      <c r="HF156" s="240"/>
      <c r="HG156" s="240"/>
      <c r="HH156" s="240"/>
      <c r="HI156" s="240"/>
      <c r="HJ156" s="240"/>
      <c r="HK156" s="240"/>
      <c r="HL156" s="240"/>
      <c r="HM156" s="240"/>
      <c r="HN156" s="240"/>
      <c r="HO156" s="240"/>
      <c r="HP156" s="240"/>
      <c r="HQ156" s="240"/>
      <c r="HR156" s="240"/>
      <c r="HS156" s="240"/>
      <c r="HT156" s="240"/>
      <c r="HU156" s="240"/>
      <c r="HV156" s="245"/>
      <c r="HW156" s="245" t="b">
        <v>1</v>
      </c>
      <c r="HX156" s="245" t="str">
        <f t="shared" si="488"/>
        <v/>
      </c>
      <c r="HY156" s="245" t="e">
        <f t="shared" si="489"/>
        <v>#DIV/0!</v>
      </c>
      <c r="HZ156" s="245" t="e">
        <f t="shared" si="490"/>
        <v>#DIV/0!</v>
      </c>
      <c r="IA156" s="245">
        <f t="shared" si="491"/>
        <v>0</v>
      </c>
      <c r="IB156" s="245"/>
      <c r="IC156" t="b">
        <f t="shared" si="492"/>
        <v>1</v>
      </c>
      <c r="ID156" s="245" t="b">
        <f t="shared" si="493"/>
        <v>1</v>
      </c>
      <c r="IE156" s="245" t="b">
        <f t="shared" si="494"/>
        <v>1</v>
      </c>
      <c r="IF156" s="245" t="b">
        <f t="shared" si="495"/>
        <v>0</v>
      </c>
      <c r="IG156" s="245" t="b">
        <f t="shared" si="496"/>
        <v>1</v>
      </c>
      <c r="IH156" s="245" t="b">
        <f t="shared" si="497"/>
        <v>1</v>
      </c>
      <c r="II156" s="245">
        <f t="shared" si="604"/>
        <v>0</v>
      </c>
      <c r="IJ156" s="245" t="e">
        <f t="shared" si="498"/>
        <v>#VALUE!</v>
      </c>
      <c r="IK156" s="245" t="e">
        <f t="shared" si="499"/>
        <v>#VALUE!</v>
      </c>
      <c r="IL156" s="245"/>
      <c r="IM156" s="245" t="e">
        <f t="shared" si="605"/>
        <v>#N/A</v>
      </c>
      <c r="IN156" s="245" t="e">
        <f t="shared" si="606"/>
        <v>#N/A</v>
      </c>
      <c r="IO156" s="245"/>
      <c r="IP156" s="245"/>
      <c r="IQ156" s="245" t="str">
        <f t="shared" si="500"/>
        <v/>
      </c>
      <c r="IR156" s="245" t="str">
        <f>IF(J156="","",VLOOKUP(J156,Worksheet!$R$4:$T$14,2))</f>
        <v/>
      </c>
      <c r="IS156" s="245"/>
      <c r="IT156" s="245">
        <f t="shared" si="501"/>
        <v>0</v>
      </c>
      <c r="IU156" s="245">
        <f t="shared" si="502"/>
        <v>0</v>
      </c>
      <c r="IV156" s="245">
        <f t="shared" si="503"/>
        <v>0</v>
      </c>
      <c r="IW156" s="245">
        <f t="shared" si="504"/>
        <v>0</v>
      </c>
      <c r="IX156" s="245">
        <f t="shared" si="607"/>
        <v>0</v>
      </c>
      <c r="IY156" s="245">
        <f t="shared" si="505"/>
        <v>0</v>
      </c>
      <c r="IZ156" s="245">
        <f t="shared" si="506"/>
        <v>0</v>
      </c>
      <c r="JA156">
        <f t="shared" si="507"/>
        <v>0</v>
      </c>
      <c r="JB156">
        <f t="shared" si="608"/>
        <v>0</v>
      </c>
      <c r="JC156">
        <f t="shared" si="508"/>
        <v>0</v>
      </c>
      <c r="JD156">
        <f t="shared" si="509"/>
        <v>0</v>
      </c>
      <c r="JE156">
        <f t="shared" si="510"/>
        <v>0</v>
      </c>
      <c r="JF156">
        <f t="shared" si="511"/>
        <v>0</v>
      </c>
      <c r="JG156">
        <f t="shared" si="512"/>
        <v>0</v>
      </c>
      <c r="JH156">
        <f t="shared" si="513"/>
        <v>0</v>
      </c>
      <c r="JI156">
        <f t="shared" si="514"/>
        <v>0</v>
      </c>
      <c r="JJ156" s="447">
        <f t="shared" si="515"/>
        <v>0</v>
      </c>
      <c r="JK156" s="447">
        <f t="shared" si="516"/>
        <v>0</v>
      </c>
      <c r="JL156">
        <f t="shared" si="517"/>
        <v>0</v>
      </c>
      <c r="JM156" s="245" t="str">
        <f>IFERROR(VLOOKUP(MATCH(BN156,#REF!,0),#REF!,7),"")</f>
        <v/>
      </c>
      <c r="JN156" t="e">
        <f>HLOOKUP(LEFT(BO156,7),Discharge_Area,MATCH(JO156,LookUps!$B$130:$B$149,1)+2)</f>
        <v>#N/A</v>
      </c>
      <c r="JO156" t="str">
        <f t="shared" si="518"/>
        <v>- S</v>
      </c>
      <c r="JP156" t="e">
        <f>HLOOKUP(LEFT(BO156,7),Discharge_Area,MATCH(JO156,LookUps!$B$130:$B$149,1)+2)</f>
        <v>#N/A</v>
      </c>
      <c r="JQ156" t="e">
        <f t="shared" si="519"/>
        <v>#N/A</v>
      </c>
      <c r="JR156" t="e">
        <f t="shared" si="520"/>
        <v>#N/A</v>
      </c>
      <c r="JS156" t="e">
        <f t="shared" si="521"/>
        <v>#N/A</v>
      </c>
      <c r="JT156" s="532" t="str">
        <f t="shared" si="522"/>
        <v xml:space="preserve"> </v>
      </c>
      <c r="JU156" s="532" t="str">
        <f t="shared" si="523"/>
        <v xml:space="preserve"> </v>
      </c>
      <c r="JV156" s="533" t="str">
        <f t="shared" si="524"/>
        <v xml:space="preserve"> </v>
      </c>
      <c r="JW156" s="534">
        <f t="shared" si="525"/>
        <v>0</v>
      </c>
      <c r="JX156" s="535" t="str">
        <f t="shared" si="609"/>
        <v xml:space="preserve"> </v>
      </c>
      <c r="JY156" s="535" t="str">
        <f t="shared" si="610"/>
        <v xml:space="preserve"> </v>
      </c>
      <c r="JZ156" s="535" t="str">
        <f t="shared" si="611"/>
        <v xml:space="preserve"> </v>
      </c>
      <c r="KA156" s="536" t="str">
        <f t="shared" si="526"/>
        <v xml:space="preserve"> </v>
      </c>
      <c r="KB156" s="535" t="e">
        <f t="shared" si="612"/>
        <v>#VALUE!</v>
      </c>
      <c r="KC156" s="535" t="str">
        <f t="shared" si="527"/>
        <v/>
      </c>
      <c r="KD156" s="537" t="str">
        <f t="shared" si="613"/>
        <v xml:space="preserve"> </v>
      </c>
      <c r="KE156" s="537" t="str">
        <f t="shared" si="614"/>
        <v xml:space="preserve"> </v>
      </c>
      <c r="KF156" s="534">
        <f t="shared" si="528"/>
        <v>0</v>
      </c>
      <c r="KG156" s="535" t="str">
        <f t="shared" si="529"/>
        <v xml:space="preserve"> </v>
      </c>
      <c r="KH156" s="535" t="str">
        <f t="shared" si="530"/>
        <v xml:space="preserve"> </v>
      </c>
      <c r="KI156" s="535" t="str">
        <f t="shared" si="531"/>
        <v xml:space="preserve"> </v>
      </c>
      <c r="KJ156" s="536" t="str">
        <f t="shared" si="532"/>
        <v xml:space="preserve"> </v>
      </c>
      <c r="KK156" s="535" t="str">
        <f t="shared" si="615"/>
        <v xml:space="preserve"> </v>
      </c>
      <c r="KL156" s="535" t="str">
        <f t="shared" si="616"/>
        <v xml:space="preserve"> </v>
      </c>
      <c r="KM156" s="537" t="str">
        <f t="shared" si="533"/>
        <v xml:space="preserve"> </v>
      </c>
      <c r="KN156" s="537" t="str">
        <f t="shared" si="617"/>
        <v xml:space="preserve"> </v>
      </c>
      <c r="KP156">
        <f t="shared" si="534"/>
        <v>0</v>
      </c>
      <c r="LA156" t="e">
        <f t="shared" si="535"/>
        <v>#VALUE!</v>
      </c>
      <c r="LB156" t="e">
        <f t="shared" si="536"/>
        <v>#VALUE!</v>
      </c>
      <c r="LC156" t="e">
        <f t="shared" si="537"/>
        <v>#VALUE!</v>
      </c>
      <c r="LD156" t="e">
        <f t="shared" si="538"/>
        <v>#VALUE!</v>
      </c>
      <c r="LE156" t="e">
        <f t="shared" si="618"/>
        <v>#VALUE!</v>
      </c>
      <c r="LF156">
        <f t="shared" si="539"/>
        <v>0</v>
      </c>
      <c r="LG156" t="e">
        <f t="shared" si="619"/>
        <v>#VALUE!</v>
      </c>
      <c r="LH156" t="str">
        <f t="shared" si="540"/>
        <v xml:space="preserve"> </v>
      </c>
      <c r="LI156">
        <f t="shared" si="620"/>
        <v>1</v>
      </c>
    </row>
    <row r="157" spans="2:321" ht="15" customHeight="1">
      <c r="B157" s="311"/>
      <c r="C157" s="311"/>
      <c r="D157" s="312"/>
      <c r="E157" s="311"/>
      <c r="F157" s="312"/>
      <c r="G157" s="311"/>
      <c r="H157" s="311"/>
      <c r="I157" s="37"/>
      <c r="J157" s="311"/>
      <c r="K157" s="305" t="str">
        <f t="shared" si="541"/>
        <v/>
      </c>
      <c r="L157" s="313"/>
      <c r="M157" s="312"/>
      <c r="N157" s="311"/>
      <c r="O157" s="312"/>
      <c r="P157" s="311"/>
      <c r="Q157" s="305" t="str">
        <f t="shared" si="542"/>
        <v/>
      </c>
      <c r="R157" s="314"/>
      <c r="S157" s="450" t="str">
        <f t="shared" si="425"/>
        <v/>
      </c>
      <c r="T157" s="315"/>
      <c r="U157" s="315"/>
      <c r="W157" s="149" t="str">
        <f t="shared" si="426"/>
        <v xml:space="preserve"> </v>
      </c>
      <c r="X157" s="243" t="str">
        <f t="shared" si="427"/>
        <v xml:space="preserve"> </v>
      </c>
      <c r="Y157" s="150" t="str">
        <f t="shared" si="428"/>
        <v/>
      </c>
      <c r="Z157" s="149" t="str">
        <f t="shared" si="429"/>
        <v xml:space="preserve"> </v>
      </c>
      <c r="AA157" s="98" t="str">
        <f t="shared" si="430"/>
        <v xml:space="preserve"> </v>
      </c>
      <c r="AB157" s="153" t="str">
        <f t="shared" si="431"/>
        <v xml:space="preserve"> </v>
      </c>
      <c r="AC157" s="153" t="str">
        <f t="shared" si="432"/>
        <v xml:space="preserve"> </v>
      </c>
      <c r="AD157" s="148" t="str">
        <f t="shared" si="433"/>
        <v/>
      </c>
      <c r="AE157" s="149" t="str">
        <f t="shared" si="434"/>
        <v/>
      </c>
      <c r="AF157" s="151" t="str">
        <f t="shared" si="435"/>
        <v xml:space="preserve"> </v>
      </c>
      <c r="AG157" s="153" t="str">
        <f t="shared" si="436"/>
        <v xml:space="preserve"> </v>
      </c>
      <c r="AH157" s="98" t="str">
        <f t="shared" si="437"/>
        <v xml:space="preserve"> </v>
      </c>
      <c r="AI157" s="149" t="str">
        <f t="shared" si="438"/>
        <v xml:space="preserve"> </v>
      </c>
      <c r="AK157" s="144" t="str">
        <f t="shared" si="439"/>
        <v xml:space="preserve"> </v>
      </c>
      <c r="AL157" s="144"/>
      <c r="AM157" s="243" t="str">
        <f t="shared" si="440"/>
        <v xml:space="preserve"> </v>
      </c>
      <c r="AN157" s="149" t="str">
        <f t="shared" si="543"/>
        <v xml:space="preserve"> </v>
      </c>
      <c r="AO157" s="144" t="str">
        <f>IF(JB157&gt;0,IF(GI157=10,-R157*1.085*(Calculation!$F$6-Calculation!$F$13)*$S$14," "),"")</f>
        <v/>
      </c>
      <c r="AP157" s="144" t="str">
        <f t="shared" si="441"/>
        <v/>
      </c>
      <c r="AQ157" s="56" t="str">
        <f t="shared" si="442"/>
        <v/>
      </c>
      <c r="AR157" s="144" t="str">
        <f t="shared" si="443"/>
        <v/>
      </c>
      <c r="AS157" s="176" t="str">
        <f t="shared" si="444"/>
        <v/>
      </c>
      <c r="AT157" s="176" t="str">
        <f t="shared" si="544"/>
        <v xml:space="preserve"> </v>
      </c>
      <c r="AU157" s="176" t="str">
        <f t="shared" si="445"/>
        <v/>
      </c>
      <c r="AV157" s="177" t="str">
        <f t="shared" si="446"/>
        <v xml:space="preserve"> </v>
      </c>
      <c r="AW157" s="144" t="str">
        <f t="shared" si="447"/>
        <v xml:space="preserve"> </v>
      </c>
      <c r="AX157" s="144" t="str">
        <f t="shared" si="448"/>
        <v xml:space="preserve"> </v>
      </c>
      <c r="AY157" s="152" t="str">
        <f t="shared" si="449"/>
        <v xml:space="preserve"> </v>
      </c>
      <c r="AZ157" s="246" t="str">
        <f t="shared" si="450"/>
        <v/>
      </c>
      <c r="BA157" s="176" t="str">
        <f t="shared" si="451"/>
        <v xml:space="preserve"> </v>
      </c>
      <c r="BB157" s="176" t="str">
        <f t="shared" si="452"/>
        <v xml:space="preserve"> </v>
      </c>
      <c r="BC157" s="195"/>
      <c r="BD157" s="316"/>
      <c r="BE157" s="317"/>
      <c r="BF157" s="318"/>
      <c r="BG157" s="318"/>
      <c r="BH157" s="144" t="str">
        <f t="shared" si="621"/>
        <v xml:space="preserve"> </v>
      </c>
      <c r="BI157" s="176" t="str">
        <f t="shared" si="453"/>
        <v/>
      </c>
      <c r="BJ157" s="144" t="str">
        <f t="shared" si="622"/>
        <v/>
      </c>
      <c r="BK157" s="246" t="str">
        <f t="shared" si="454"/>
        <v/>
      </c>
      <c r="BL157" s="144" t="str">
        <f t="shared" si="623"/>
        <v/>
      </c>
      <c r="BM157" s="246" t="str">
        <f t="shared" si="455"/>
        <v/>
      </c>
      <c r="BN157" s="337" t="str">
        <f t="shared" si="545"/>
        <v/>
      </c>
      <c r="BO157" s="371" t="str">
        <f t="shared" si="546"/>
        <v/>
      </c>
      <c r="BP157" s="328" t="str">
        <f t="shared" si="624"/>
        <v xml:space="preserve"> </v>
      </c>
      <c r="BQ157" s="347" t="str">
        <f t="shared" si="547"/>
        <v xml:space="preserve"> </v>
      </c>
      <c r="BR157" s="353" t="str">
        <f t="shared" si="548"/>
        <v xml:space="preserve"> </v>
      </c>
      <c r="BS157" s="626" t="str">
        <f>IF(L157&gt;0,IF(Calculation!P157="M13",BR157*3.1416*(0.134^2)/(4*144),IF(Calculation!P157="M17",BR157*3.1416*(0.165^2)/(4*144),IF(Calculation!P157="M20",BR157*3.1416*(0.198^2)/(4*144),IF(Calculation!P157="M23",BR157*3.1416*(0.228^2)/(4*144),IF(Calculation!P157="M27",BR157*3.1416*(0.269^2)/(4*144),BR157*3.1416*(0.307^2)/(4*144))))))," ")</f>
        <v xml:space="preserve"> </v>
      </c>
      <c r="BT157" s="353" t="str">
        <f>IF(L157&gt;0,IF(BS157&gt;0,R157/Calculation!BS157,0)," ")</f>
        <v xml:space="preserve"> </v>
      </c>
      <c r="BU157" s="438" t="e">
        <f t="shared" ca="1" si="456"/>
        <v>#VALUE!</v>
      </c>
      <c r="BV157" s="449" t="e">
        <f ca="1">INDEX(INDIRECT(VLOOKUP(LEFT(BO157,7),CLU!$Z$3:$AH$18,2)),GN157,GR157)</f>
        <v>#N/A</v>
      </c>
      <c r="BW157" s="433" t="e">
        <f ca="1">INDEX(INDIRECT(VLOOKUP(LEFT(BO157,7),CLU!$Z$3:$AH$18,3)),GN157,GR157)</f>
        <v>#N/A</v>
      </c>
      <c r="BX157" s="433" t="e">
        <f ca="1">INDEX(INDIRECT(VLOOKUP(LEFT(BO157,7),CLU!$Z$3:$AH$18,4)),GN157,GR157)</f>
        <v>#N/A</v>
      </c>
      <c r="BY157" s="433" t="e">
        <f ca="1">INDEX(INDIRECT(VLOOKUP(LEFT(BO157,7),CLU!$Z$3:$AH$18,9)),((M157-2)*(6-COUNTBLANK(GT157:GY157)))+GJ157)</f>
        <v>#N/A</v>
      </c>
      <c r="BZ157" s="426" t="e">
        <f t="shared" ca="1" si="549"/>
        <v>#N/A</v>
      </c>
      <c r="CA157" s="424" t="e">
        <f t="shared" ca="1" si="550"/>
        <v>#N/A</v>
      </c>
      <c r="CB157" s="429" t="e">
        <f ca="1">INDEX(INDIRECT(VLOOKUP(LEFT(BO157,7),CLU!$Z$3:$AH$18,2)),GN157,GS157)</f>
        <v>#N/A</v>
      </c>
      <c r="CC157" s="342" t="e">
        <f ca="1">INDEX(INDIRECT(VLOOKUP(LEFT(BO157,7),CLU!$Z$3:$AH$18,3)),GN157,GS157)</f>
        <v>#N/A</v>
      </c>
      <c r="CD157" s="342" t="e">
        <f ca="1">INDEX(INDIRECT(VLOOKUP(LEFT(BO157,7),CLU!$Z$3:$AH$18,4)),GN157,GS157)</f>
        <v>#N/A</v>
      </c>
      <c r="CE157" s="426" t="e">
        <f t="shared" ca="1" si="551"/>
        <v>#N/A</v>
      </c>
      <c r="CF157" s="440">
        <f t="shared" si="552"/>
        <v>0</v>
      </c>
      <c r="CG157" s="431" t="e">
        <f ca="1">INDEX(INDIRECT(VLOOKUP(LEFT(BO157,7),CLU!$Z$3:$AH$18,2)),GQ157,GR157)</f>
        <v>#N/A</v>
      </c>
      <c r="CH157" s="431" t="e">
        <f ca="1">INDEX(INDIRECT(VLOOKUP(LEFT(BO157,7),CLU!$Z$3:$AH$18,3)),GQ157,GR157)</f>
        <v>#N/A</v>
      </c>
      <c r="CI157" s="431" t="e">
        <f ca="1">INDEX(INDIRECT(VLOOKUP(LEFT(BO157,7),CLU!$Z$3:$AH$18,4)),GQ157,GR157)</f>
        <v>#N/A</v>
      </c>
      <c r="CJ157" s="448" t="e">
        <f t="shared" ca="1" si="553"/>
        <v>#N/A</v>
      </c>
      <c r="CK157" s="431" t="e">
        <f t="shared" ca="1" si="554"/>
        <v>#N/A</v>
      </c>
      <c r="CL157" s="440" t="e">
        <f t="shared" ca="1" si="555"/>
        <v>#N/A</v>
      </c>
      <c r="CM157" s="431" t="e">
        <f ca="1">INDEX(INDIRECT(VLOOKUP(LEFT(BO157,7),CLU!$Z$3:$AH$18,2)),GQ157,GS157)</f>
        <v>#N/A</v>
      </c>
      <c r="CN157" s="431" t="e">
        <f ca="1">INDEX(INDIRECT(VLOOKUP(LEFT(BO157,7),CLU!$Z$3:$AH$18,3)),GQ157,GS157)</f>
        <v>#N/A</v>
      </c>
      <c r="CO157" s="431" t="e">
        <f ca="1">INDEX(INDIRECT(VLOOKUP(LEFT(BO157,7),CLU!$Z$3:$AH$18,4)),GQ157,GS157)</f>
        <v>#N/A</v>
      </c>
      <c r="CP157" s="431" t="e">
        <f t="shared" ca="1" si="556"/>
        <v>#N/A</v>
      </c>
      <c r="CQ157" s="440">
        <f t="shared" si="557"/>
        <v>0</v>
      </c>
      <c r="CR157" s="51" t="e">
        <f t="shared" ca="1" si="558"/>
        <v>#N/A</v>
      </c>
      <c r="CS157" s="439" t="e">
        <f t="shared" ca="1" si="559"/>
        <v>#VALUE!</v>
      </c>
      <c r="CT157" s="51" t="e">
        <f t="shared" ca="1" si="560"/>
        <v>#VALUE!</v>
      </c>
      <c r="CU157" s="10"/>
      <c r="CV157" s="51" t="e">
        <f t="shared" ca="1" si="457"/>
        <v>#VALUE!</v>
      </c>
      <c r="CW157" s="51">
        <f t="shared" si="561"/>
        <v>0</v>
      </c>
      <c r="CX157" s="439" t="e">
        <f t="shared" ca="1" si="562"/>
        <v>#VALUE!</v>
      </c>
      <c r="CY157" s="51" t="e">
        <f t="shared" ca="1" si="563"/>
        <v>#VALUE!</v>
      </c>
      <c r="CZ157" s="10"/>
      <c r="DA157" s="51" t="e">
        <f t="shared" ca="1" si="564"/>
        <v>#VALUE!</v>
      </c>
      <c r="DB157" s="347" t="e">
        <f ca="1">INDEX(INDIRECT(VLOOKUP(LEFT(BO157,7),CLU!$Z$3:$AI$18,10)),((M157-2)*(6-COUNTBLANK(GT157:GY157)))+GJ157)*LI157</f>
        <v>#N/A</v>
      </c>
      <c r="DC157" s="347" t="str">
        <f>IF(L157&gt;0,((R157/Worksheet!$I$15)/DB157)^2," ")</f>
        <v xml:space="preserve"> </v>
      </c>
      <c r="DD157" s="602" t="str">
        <f t="shared" si="565"/>
        <v xml:space="preserve"> </v>
      </c>
      <c r="DE157" s="347" t="str">
        <f t="shared" si="458"/>
        <v xml:space="preserve"> </v>
      </c>
      <c r="DF157" s="356" t="e">
        <f ca="1">INDEX(INDIRECT(VLOOKUP(LEFT(BO157,7),CLU!$Z$3:$AH$18,8)),((M157-2)*(6-COUNTBLANK(GT157:GY157)))+GJ157)</f>
        <v>#N/A</v>
      </c>
      <c r="DG157" s="347" t="str">
        <f t="shared" si="459"/>
        <v xml:space="preserve"> </v>
      </c>
      <c r="DH157" s="357" t="str">
        <f t="shared" si="460"/>
        <v xml:space="preserve"> </v>
      </c>
      <c r="DI157" s="355" t="str">
        <f t="shared" si="461"/>
        <v xml:space="preserve"> </v>
      </c>
      <c r="DJ157" s="245" t="e">
        <f ca="1">INDEX(INDIRECT(VLOOKUP(LEFT(BO157,7),CLU!$Z$3:$AH$18,5)),GL157,GK157)</f>
        <v>#N/A</v>
      </c>
      <c r="DK157" s="245" t="e">
        <f ca="1">INDEX(INDIRECT(VLOOKUP(LEFT(BO157,7),CLU!$Z$3:$AH$18,6)),GL157,GK157)</f>
        <v>#N/A</v>
      </c>
      <c r="DL157" s="355">
        <f>(Calculation!R157*0.69143*(Calculation!$BQ$8-Calculation!$F$8))*$S$14</f>
        <v>0</v>
      </c>
      <c r="DM157" s="359" t="e">
        <f t="shared" si="566"/>
        <v>#VALUE!</v>
      </c>
      <c r="DN157" s="611">
        <f t="shared" si="567"/>
        <v>0</v>
      </c>
      <c r="DO157" s="359">
        <f t="shared" si="568"/>
        <v>100</v>
      </c>
      <c r="DP157" s="359">
        <f t="shared" si="569"/>
        <v>0</v>
      </c>
      <c r="DQ157" s="360"/>
      <c r="DR157" s="245" t="e">
        <f ca="1">INDEX(INDIRECT(VLOOKUP(LEFT(BO157,7),CLU!$Z$3:$AH$18,7)),M157-1,1)</f>
        <v>#N/A</v>
      </c>
      <c r="DS157" s="245" t="e">
        <f ca="1">INDEX(INDIRECT(VLOOKUP(LEFT(BO157,7),CLU!$Z$3:$AH$18,7)),M157-1,2)</f>
        <v>#N/A</v>
      </c>
      <c r="DT157" s="245" t="e">
        <f ca="1">INDEX(INDIRECT(VLOOKUP(LEFT(BO157,7),CLU!$Z$3:$AH$18,7)),M157-1,3)</f>
        <v>#N/A</v>
      </c>
      <c r="DU157" s="245" t="e">
        <f ca="1">INDEX(INDIRECT(VLOOKUP(LEFT(BO157,7),CLU!$Z$3:$AH$18,7)),M157-1,4)</f>
        <v>#N/A</v>
      </c>
      <c r="DV157" s="361" t="e">
        <f ca="1">INDEX(INDIRECT(VLOOKUP(LEFT(BO157,7),CLU!$Z$3:$AH$18,7)),M157-1,4+LEFT(DZ157,1)*0.5)</f>
        <v>#N/A</v>
      </c>
      <c r="DW157" s="245" t="e">
        <f ca="1">INDEX(INDIRECT(VLOOKUP(LEFT(BO157,7),CLU!$Z$3:$AH$18,7)),M157-1,8)</f>
        <v>#N/A</v>
      </c>
      <c r="DX157" s="361" t="str">
        <f t="shared" si="462"/>
        <v xml:space="preserve"> </v>
      </c>
      <c r="DY157" s="361" t="str">
        <f t="shared" si="463"/>
        <v xml:space="preserve"> </v>
      </c>
      <c r="DZ157" s="361" t="str">
        <f t="shared" si="464"/>
        <v xml:space="preserve"> </v>
      </c>
      <c r="EA157" s="362" t="str">
        <f t="shared" si="465"/>
        <v xml:space="preserve"> </v>
      </c>
      <c r="EB157" s="624" t="str">
        <f t="shared" si="570"/>
        <v xml:space="preserve"> </v>
      </c>
      <c r="EC157" s="361" t="e">
        <f ca="1">INDEX(INDIRECT(VLOOKUP(LEFT(BO157,7),CLU!$Z$3:$AH$18,7)),M157-1,4+LEFT(DZ157,1)*0.5)</f>
        <v>#N/A</v>
      </c>
      <c r="ED157" s="362" t="str">
        <f t="shared" si="466"/>
        <v xml:space="preserve"> </v>
      </c>
      <c r="EE157" s="361" t="str">
        <f t="shared" si="467"/>
        <v xml:space="preserve"> </v>
      </c>
      <c r="EF157" s="362" t="str">
        <f>IF(L157&gt;0,IF(BR157&gt;0,IF(EE157="2P",IF(Calculation!DZ157="2P",IF(Calculation!DS157=13.75,IF(Calculation!DR157=13,Worksheet!$BD$43,IF(Calculation!DR157=37,Worksheet!$BD$44,Worksheet!$BD$45)),IF(Calculation!DS157=10,IF(Calculation!DR157=18,Worksheet!$BD$29,IF(Calculation!DR157=30,Worksheet!$BD$30,IF(Calculation!DR157=42,Worksheet!$BD$31,IF(Calculation!DR157=54,Worksheet!$BD$32,IF(Calculation!DR157=66,Worksheet!$BD$33,IF(Calculation!DR157=78,Worksheet!$BD$34,IF(Calculation!DR157=90,Worksheet!$BD$35,IF(Calculation!DR157=102,Worksheet!$BD$36,Worksheet!$BD$37)))))))),IF(Calculation!DS157=12.5,IF(Calculation!DR157=18,Worksheet!$BD$38,IF(Calculation!DR157=Worksheet!$BD$39,IF(Calculation!DR157=42,Worksheet!$BD$40,IF(Calculation!DR157=54,Worksheet!$BD$41,Worksheet!$BD$42)))),IF(Calculation!DR157=18,Worksheet!$BD$11,IF(Calculation!DR157=30,Worksheet!$BD$12,IF(Calculation!DR157=42,Worksheet!$BD$13,IF(Calculation!DR157=54,Worksheet!$BD$14,IF(Calculation!DR157=66,Worksheet!$BD$15,IF(Calculation!DR157=78,Worksheet!$BD$16,IF(Calculation!DR157=90,Worksheet!$BD$17,IF(Calculation!DR157=102,Worksheet!$BD$18,Worksheet!$BD$19))))))))))),IF(Calculation!DS157=13.75,IF(Calculation!DR157=13,Worksheet!$BD$78,IF(Calculation!DR157=37,Worksheet!$BD$79,Worksheet!$BD$80)),IF(Calculation!DS157=10,IF(Calculation!DR157=18,Worksheet!$BD$64,IF(Calculation!DR157=30,Worksheet!$BD$65,IF(Calculation!DR157=42,Worksheet!$BD$66,IF(Calculation!DR157=54,Worksheet!$BD$68,IF(Calculation!DR157=66,Worksheet!$BD$68,IF(Calculation!DR157=78,Worksheet!$BD$69,IF(Calculation!DR157=90,Worksheet!$BD$70,IF(Calculation!DR157=102,Worksheet!$BD$71,Worksheet!$BD$72)))))))),IF(Calculation!DS157=12.5,IF(Calculation!DR157=18,Worksheet!$BD$73,IF(Calculation!DR157=Worksheet!$BD$74,IF(Calculation!DR157=42,Worksheet!$BD$75,IF(Calculation!DR157=54,Worksheet!$BD$76,Worksheet!$BD$77)))),IF(Calculation!DR157=18,Worksheet!$BD$55,IF(Calculation!DR157=30,Worksheet!$BD$56,IF(Calculation!DR157=42,Worksheet!$BD$57,IF(Calculation!DR157=54,Worksheet!$BD$58,IF(Calculation!DR157=66,Worksheet!$BD$59,IF(Calculation!DR157=78,Worksheet!$BD$60,IF(Calculation!DR157=90,Worksheet!$BD$61,IF(Calculation!DR157=102,Worksheet!$BD$62,Worksheet!$BD$63)))))))))))),5),0)," ")</f>
        <v xml:space="preserve"> </v>
      </c>
      <c r="EG157" s="361" t="str">
        <f t="shared" si="468"/>
        <v xml:space="preserve"> </v>
      </c>
      <c r="EH157" s="361" t="e">
        <f ca="1">INDEX(INDIRECT(VLOOKUP(LEFT(BO157,7),CLU!$Z$3:$AH$18,7)),M157-1,3+LEFT(DZ157,1))</f>
        <v>#N/A</v>
      </c>
      <c r="EI157" s="362" t="str">
        <f t="shared" si="469"/>
        <v xml:space="preserve"> </v>
      </c>
      <c r="EJ157" s="363" t="str">
        <f t="shared" si="470"/>
        <v xml:space="preserve"> </v>
      </c>
      <c r="EK157" s="363" t="str">
        <f t="shared" si="471"/>
        <v xml:space="preserve"> </v>
      </c>
      <c r="EL157" s="363" t="str">
        <f t="shared" si="472"/>
        <v xml:space="preserve"> </v>
      </c>
      <c r="EM157" s="362" t="str">
        <f>IF(L157&gt;0,IF(BR157&gt;0,(Calculation!T157/ED157)^2,0)," ")</f>
        <v xml:space="preserve"> </v>
      </c>
      <c r="EN157" s="362" t="str">
        <f>IF(L157&gt;0,IF(O157="2 Pipe (Cooling)","N/A",IF(BR157&gt;0,(Calculation!U157/EI157)^2,0))," ")</f>
        <v xml:space="preserve"> </v>
      </c>
      <c r="EO157" s="361" t="str">
        <f t="shared" si="473"/>
        <v/>
      </c>
      <c r="EP157" s="361" t="str">
        <f t="shared" si="474"/>
        <v/>
      </c>
      <c r="EQ157" s="361" t="str">
        <f t="shared" si="475"/>
        <v/>
      </c>
      <c r="ER157" s="361" t="str">
        <f t="shared" si="476"/>
        <v/>
      </c>
      <c r="ES157" s="361" t="str">
        <f t="shared" si="477"/>
        <v/>
      </c>
      <c r="ET157" s="361" t="str">
        <f t="shared" si="478"/>
        <v/>
      </c>
      <c r="EU157" s="361" t="str">
        <f t="shared" si="479"/>
        <v/>
      </c>
      <c r="EV157" s="361" t="str">
        <f t="shared" si="480"/>
        <v/>
      </c>
      <c r="EW157" s="361" t="str">
        <f t="shared" si="481"/>
        <v/>
      </c>
      <c r="EX157" s="361" t="str">
        <f t="shared" si="571"/>
        <v>1 slot, 1 way</v>
      </c>
      <c r="EY157" s="361" t="str">
        <f t="shared" si="572"/>
        <v xml:space="preserve"> </v>
      </c>
      <c r="EZ157" s="361" t="str">
        <f t="shared" si="573"/>
        <v xml:space="preserve"> </v>
      </c>
      <c r="FA157" s="361" t="str">
        <f t="shared" si="574"/>
        <v xml:space="preserve"> </v>
      </c>
      <c r="FB157" s="361" t="str">
        <f t="shared" si="575"/>
        <v xml:space="preserve"> </v>
      </c>
      <c r="FC157" s="361"/>
      <c r="FD157" s="361" t="str">
        <f>IF(J157&gt;0,IF(Calculation!R157&lt;=70,4,IF(Calculation!R157&lt;=110,5,IF(Calculation!R157&lt;=160,6,IF(Calculation!R157&lt;=300,8,"10 EO")))),"")</f>
        <v/>
      </c>
      <c r="FE157" s="361" t="str">
        <f t="shared" si="576"/>
        <v/>
      </c>
      <c r="FF157" s="361" t="str">
        <f t="shared" si="577"/>
        <v/>
      </c>
      <c r="FG157" s="361" t="e">
        <f t="shared" si="482"/>
        <v>#N/A</v>
      </c>
      <c r="FH157" s="361">
        <f t="shared" si="483"/>
        <v>0</v>
      </c>
      <c r="FI157" s="361" t="e">
        <f t="shared" si="484"/>
        <v>#DIV/0!</v>
      </c>
      <c r="FJ157" s="361"/>
      <c r="FK157" s="356" t="e">
        <f t="shared" si="485"/>
        <v>#VALUE!</v>
      </c>
      <c r="FL157" s="361"/>
      <c r="FM157" s="361"/>
      <c r="FN157" s="362" t="str">
        <f t="shared" si="578"/>
        <v xml:space="preserve"> </v>
      </c>
      <c r="FO157" s="362" t="str">
        <f t="shared" si="579"/>
        <v xml:space="preserve"> </v>
      </c>
      <c r="FP157" s="362">
        <f t="shared" si="580"/>
        <v>0</v>
      </c>
      <c r="FQ157" s="361">
        <f t="shared" si="486"/>
        <v>0</v>
      </c>
      <c r="FR157" s="362" t="str">
        <f>IF(L157&gt;0,IF(J157="CBAL2",Worksheet!$P$67,IF(J157="CBE2-24",Worksheet!$Q$67,IF(J157="CBAM",Worksheet!$R$67,IF(J157="CBLV",Worksheet!$S$67,IF(J157="CBAB",Worksheet!$U$67,IF(J157="CBAW",Worksheet!$X$67,IF(J157="CBE2-12",Worksheet!$Y$67,IF(J157="CBAL2",Worksheet!$Z$67,"N/A"))))))))," ")</f>
        <v xml:space="preserve"> </v>
      </c>
      <c r="FS157" s="362" t="str">
        <f>IF(L157&gt;0,IF(J157="CBAL2",Worksheet!$P$68,IF(J157="CBE2-24",Worksheet!$Q$68,IF(J157="CBAM",Worksheet!$R$68,IF(J157="CBLV",Worksheet!$S$68,IF(J157="CBAB",Worksheet!$U$68,IF(J157="CBAW",Worksheet!$X$68,IF(J157="CBE2-12",Worksheet!$Y$68,IF(J157="CBAL2",Worksheet!$Z$68,"N/A"))))))))," ")</f>
        <v xml:space="preserve"> </v>
      </c>
      <c r="FT157" s="362" t="str">
        <f>IF(L157&gt;0,IF(J157="CBAL2",Worksheet!$P$69,IF(J157="CBE2-24",Worksheet!$Q$69,IF(J157="CBAM",Worksheet!$R$69,IF(J157="CBLV",Worksheet!$S$69,IF(J157="CBAB",Worksheet!$U$69,IF(J157="CBAW",Worksheet!$X$69,IF(J157="CBE2-12",Worksheet!$Y$69,IF(J157="CBAL2",Worksheet!$Z$69,"N/A"))))))))," ")</f>
        <v xml:space="preserve"> </v>
      </c>
      <c r="FU157" s="361" t="str">
        <f t="shared" si="581"/>
        <v xml:space="preserve"> </v>
      </c>
      <c r="FV157" s="362" t="str">
        <f t="shared" si="582"/>
        <v xml:space="preserve"> </v>
      </c>
      <c r="FW157" s="362" t="str">
        <f t="shared" si="583"/>
        <v xml:space="preserve"> </v>
      </c>
      <c r="FX157" s="362" t="str">
        <f t="shared" si="584"/>
        <v xml:space="preserve"> </v>
      </c>
      <c r="FY157" s="355" t="str">
        <f t="shared" si="585"/>
        <v xml:space="preserve"> </v>
      </c>
      <c r="FZ157" s="361" t="str">
        <f t="shared" si="586"/>
        <v xml:space="preserve"> </v>
      </c>
      <c r="GA157" s="347" t="str">
        <f t="shared" si="587"/>
        <v xml:space="preserve"> </v>
      </c>
      <c r="GB157" s="355" t="str">
        <f t="shared" si="588"/>
        <v xml:space="preserve"> </v>
      </c>
      <c r="GC157" s="328" t="str">
        <f t="shared" si="589"/>
        <v xml:space="preserve"> </v>
      </c>
      <c r="GD157" s="361" t="str">
        <f t="shared" si="590"/>
        <v xml:space="preserve"> </v>
      </c>
      <c r="GE157" s="347" t="str">
        <f t="shared" si="591"/>
        <v xml:space="preserve"> </v>
      </c>
      <c r="GF157" s="361" t="str">
        <f t="shared" si="592"/>
        <v xml:space="preserve"> </v>
      </c>
      <c r="GG157" s="347" t="str">
        <f t="shared" si="593"/>
        <v xml:space="preserve"> </v>
      </c>
      <c r="GH157" s="364">
        <f t="shared" si="487"/>
        <v>0</v>
      </c>
      <c r="GI157" s="362">
        <f t="shared" si="594"/>
        <v>2</v>
      </c>
      <c r="GJ157" s="433" t="e">
        <f>IF(6-COUNTBLANK(GT157:GY157)=4,MATCH(MID(BO157,9,3),CLU!$H$16:$K$16),MATCH(MID(BO157,9,3),CLU!$H$13:$M$13))</f>
        <v>#N/A</v>
      </c>
      <c r="GK157" s="433" t="e">
        <f>HLOOKUP(VALUE(BP157),CLU!$H$9:$M$10,2)</f>
        <v>#VALUE!</v>
      </c>
      <c r="GL157" s="433" t="e">
        <f ca="1">MATCH(BU157,CLU!$H$2:$V$2,1)</f>
        <v>#VALUE!</v>
      </c>
      <c r="GM157" s="433" t="e">
        <f t="shared" ca="1" si="595"/>
        <v>#VALUE!</v>
      </c>
      <c r="GN157" s="433" t="e">
        <f t="shared" ca="1" si="596"/>
        <v>#VALUE!</v>
      </c>
      <c r="GO157" s="433" t="e">
        <f t="shared" ca="1" si="597"/>
        <v>#VALUE!</v>
      </c>
      <c r="GP157" s="433" t="e">
        <f t="shared" ca="1" si="598"/>
        <v>#VALUE!</v>
      </c>
      <c r="GQ157" s="433" t="e">
        <f t="shared" ca="1" si="599"/>
        <v>#VALUE!</v>
      </c>
      <c r="GR157" s="433" t="e">
        <f ca="1">MATCH(T157,INDIRECT(VLOOKUP(CONCATENATE(LEFT(BO157,7),"-",MID(BO157,13,1)),CLU!$P$3:$Q$16,2)),1)</f>
        <v>#N/A</v>
      </c>
      <c r="GS157" s="433" t="e">
        <f ca="1">MATCH(U157,INDIRECT(VLOOKUP(CONCATENATE(LEFT(BO157,7),"-",MID(BO157,13,1)),CLU!$P$3:$Q$16,2)),1)</f>
        <v>#N/A</v>
      </c>
      <c r="GT157" s="347" t="s">
        <v>512</v>
      </c>
      <c r="GU157" s="97" t="s">
        <v>513</v>
      </c>
      <c r="GV157" s="97" t="str">
        <f t="shared" si="600"/>
        <v>M23</v>
      </c>
      <c r="GW157" s="97" t="str">
        <f t="shared" si="601"/>
        <v>M31</v>
      </c>
      <c r="GX157" s="97" t="str">
        <f t="shared" si="602"/>
        <v/>
      </c>
      <c r="GY157" s="97" t="str">
        <f t="shared" si="603"/>
        <v/>
      </c>
      <c r="GZ157" s="481"/>
      <c r="HA157" s="288"/>
      <c r="HB157" s="240"/>
      <c r="HC157" s="240"/>
      <c r="HD157" s="240"/>
      <c r="HE157" s="240"/>
      <c r="HF157" s="240"/>
      <c r="HG157" s="240"/>
      <c r="HH157" s="240"/>
      <c r="HI157" s="240"/>
      <c r="HJ157" s="240"/>
      <c r="HK157" s="240"/>
      <c r="HL157" s="240"/>
      <c r="HM157" s="240"/>
      <c r="HN157" s="240"/>
      <c r="HO157" s="240"/>
      <c r="HP157" s="240"/>
      <c r="HQ157" s="240"/>
      <c r="HR157" s="240"/>
      <c r="HS157" s="240"/>
      <c r="HT157" s="240"/>
      <c r="HU157" s="240"/>
      <c r="HV157" s="245"/>
      <c r="HW157" s="245" t="b">
        <v>1</v>
      </c>
      <c r="HX157" s="245" t="str">
        <f t="shared" si="488"/>
        <v/>
      </c>
      <c r="HY157" s="245" t="e">
        <f t="shared" si="489"/>
        <v>#DIV/0!</v>
      </c>
      <c r="HZ157" s="245" t="e">
        <f t="shared" si="490"/>
        <v>#DIV/0!</v>
      </c>
      <c r="IA157" s="245">
        <f t="shared" si="491"/>
        <v>0</v>
      </c>
      <c r="IB157" s="245"/>
      <c r="IC157" t="b">
        <f t="shared" si="492"/>
        <v>1</v>
      </c>
      <c r="ID157" s="245" t="b">
        <f t="shared" si="493"/>
        <v>1</v>
      </c>
      <c r="IE157" s="245" t="b">
        <f t="shared" si="494"/>
        <v>1</v>
      </c>
      <c r="IF157" s="245" t="b">
        <f t="shared" si="495"/>
        <v>0</v>
      </c>
      <c r="IG157" s="245" t="b">
        <f t="shared" si="496"/>
        <v>1</v>
      </c>
      <c r="IH157" s="245" t="b">
        <f t="shared" si="497"/>
        <v>1</v>
      </c>
      <c r="II157" s="245">
        <f t="shared" si="604"/>
        <v>0</v>
      </c>
      <c r="IJ157" s="245" t="e">
        <f t="shared" si="498"/>
        <v>#VALUE!</v>
      </c>
      <c r="IK157" s="245" t="e">
        <f t="shared" si="499"/>
        <v>#VALUE!</v>
      </c>
      <c r="IL157" s="245"/>
      <c r="IM157" s="245" t="e">
        <f t="shared" si="605"/>
        <v>#N/A</v>
      </c>
      <c r="IN157" s="245" t="e">
        <f t="shared" si="606"/>
        <v>#N/A</v>
      </c>
      <c r="IO157" s="245"/>
      <c r="IP157" s="245"/>
      <c r="IQ157" s="245" t="str">
        <f t="shared" si="500"/>
        <v/>
      </c>
      <c r="IR157" s="245" t="str">
        <f>IF(J157="","",VLOOKUP(J157,Worksheet!$R$4:$T$14,2))</f>
        <v/>
      </c>
      <c r="IS157" s="245"/>
      <c r="IT157" s="245">
        <f t="shared" si="501"/>
        <v>0</v>
      </c>
      <c r="IU157" s="245">
        <f t="shared" si="502"/>
        <v>0</v>
      </c>
      <c r="IV157" s="245">
        <f t="shared" si="503"/>
        <v>0</v>
      </c>
      <c r="IW157" s="245">
        <f t="shared" si="504"/>
        <v>0</v>
      </c>
      <c r="IX157" s="245">
        <f t="shared" si="607"/>
        <v>0</v>
      </c>
      <c r="IY157" s="245">
        <f t="shared" si="505"/>
        <v>0</v>
      </c>
      <c r="IZ157" s="245">
        <f t="shared" si="506"/>
        <v>0</v>
      </c>
      <c r="JA157">
        <f t="shared" si="507"/>
        <v>0</v>
      </c>
      <c r="JB157">
        <f t="shared" si="608"/>
        <v>0</v>
      </c>
      <c r="JC157">
        <f t="shared" si="508"/>
        <v>0</v>
      </c>
      <c r="JD157">
        <f t="shared" si="509"/>
        <v>0</v>
      </c>
      <c r="JE157">
        <f t="shared" si="510"/>
        <v>0</v>
      </c>
      <c r="JF157">
        <f t="shared" si="511"/>
        <v>0</v>
      </c>
      <c r="JG157">
        <f t="shared" si="512"/>
        <v>0</v>
      </c>
      <c r="JH157">
        <f t="shared" si="513"/>
        <v>0</v>
      </c>
      <c r="JI157">
        <f t="shared" si="514"/>
        <v>0</v>
      </c>
      <c r="JJ157" s="447">
        <f t="shared" si="515"/>
        <v>0</v>
      </c>
      <c r="JK157" s="447">
        <f t="shared" si="516"/>
        <v>0</v>
      </c>
      <c r="JL157">
        <f t="shared" si="517"/>
        <v>0</v>
      </c>
      <c r="JM157" s="245" t="str">
        <f>IFERROR(VLOOKUP(MATCH(BN157,#REF!,0),#REF!,7),"")</f>
        <v/>
      </c>
      <c r="JN157" t="e">
        <f>HLOOKUP(LEFT(BO157,7),Discharge_Area,MATCH(JO157,LookUps!$B$130:$B$149,1)+2)</f>
        <v>#N/A</v>
      </c>
      <c r="JO157" t="str">
        <f t="shared" si="518"/>
        <v>- S</v>
      </c>
      <c r="JP157" t="e">
        <f>HLOOKUP(LEFT(BO157,7),Discharge_Area,MATCH(JO157,LookUps!$B$130:$B$149,1)+2)</f>
        <v>#N/A</v>
      </c>
      <c r="JQ157" t="e">
        <f t="shared" si="519"/>
        <v>#N/A</v>
      </c>
      <c r="JR157" t="e">
        <f t="shared" si="520"/>
        <v>#N/A</v>
      </c>
      <c r="JS157" t="e">
        <f t="shared" si="521"/>
        <v>#N/A</v>
      </c>
      <c r="JT157" s="532" t="str">
        <f t="shared" si="522"/>
        <v xml:space="preserve"> </v>
      </c>
      <c r="JU157" s="532" t="str">
        <f t="shared" si="523"/>
        <v xml:space="preserve"> </v>
      </c>
      <c r="JV157" s="533" t="str">
        <f t="shared" si="524"/>
        <v xml:space="preserve"> </v>
      </c>
      <c r="JW157" s="534">
        <f t="shared" si="525"/>
        <v>0</v>
      </c>
      <c r="JX157" s="535" t="str">
        <f t="shared" si="609"/>
        <v xml:space="preserve"> </v>
      </c>
      <c r="JY157" s="535" t="str">
        <f t="shared" si="610"/>
        <v xml:space="preserve"> </v>
      </c>
      <c r="JZ157" s="535" t="str">
        <f t="shared" si="611"/>
        <v xml:space="preserve"> </v>
      </c>
      <c r="KA157" s="536" t="str">
        <f t="shared" si="526"/>
        <v xml:space="preserve"> </v>
      </c>
      <c r="KB157" s="535" t="e">
        <f t="shared" si="612"/>
        <v>#VALUE!</v>
      </c>
      <c r="KC157" s="535" t="str">
        <f t="shared" si="527"/>
        <v/>
      </c>
      <c r="KD157" s="537" t="str">
        <f t="shared" si="613"/>
        <v xml:space="preserve"> </v>
      </c>
      <c r="KE157" s="537" t="str">
        <f t="shared" si="614"/>
        <v xml:space="preserve"> </v>
      </c>
      <c r="KF157" s="534">
        <f t="shared" si="528"/>
        <v>0</v>
      </c>
      <c r="KG157" s="535" t="str">
        <f t="shared" si="529"/>
        <v xml:space="preserve"> </v>
      </c>
      <c r="KH157" s="535" t="str">
        <f t="shared" si="530"/>
        <v xml:space="preserve"> </v>
      </c>
      <c r="KI157" s="535" t="str">
        <f t="shared" si="531"/>
        <v xml:space="preserve"> </v>
      </c>
      <c r="KJ157" s="536" t="str">
        <f t="shared" si="532"/>
        <v xml:space="preserve"> </v>
      </c>
      <c r="KK157" s="535" t="str">
        <f t="shared" si="615"/>
        <v xml:space="preserve"> </v>
      </c>
      <c r="KL157" s="535" t="str">
        <f t="shared" si="616"/>
        <v xml:space="preserve"> </v>
      </c>
      <c r="KM157" s="537" t="str">
        <f t="shared" si="533"/>
        <v xml:space="preserve"> </v>
      </c>
      <c r="KN157" s="537" t="str">
        <f t="shared" si="617"/>
        <v xml:space="preserve"> </v>
      </c>
      <c r="KP157">
        <f t="shared" si="534"/>
        <v>0</v>
      </c>
      <c r="LA157" t="e">
        <f t="shared" si="535"/>
        <v>#VALUE!</v>
      </c>
      <c r="LB157" t="e">
        <f t="shared" si="536"/>
        <v>#VALUE!</v>
      </c>
      <c r="LC157" t="e">
        <f t="shared" si="537"/>
        <v>#VALUE!</v>
      </c>
      <c r="LD157" t="e">
        <f t="shared" si="538"/>
        <v>#VALUE!</v>
      </c>
      <c r="LE157" t="e">
        <f t="shared" si="618"/>
        <v>#VALUE!</v>
      </c>
      <c r="LF157">
        <f t="shared" si="539"/>
        <v>0</v>
      </c>
      <c r="LG157" t="e">
        <f t="shared" si="619"/>
        <v>#VALUE!</v>
      </c>
      <c r="LH157" t="str">
        <f t="shared" si="540"/>
        <v xml:space="preserve"> </v>
      </c>
      <c r="LI157">
        <f t="shared" si="620"/>
        <v>1</v>
      </c>
    </row>
    <row r="158" spans="2:321" ht="15" customHeight="1">
      <c r="B158" s="311"/>
      <c r="C158" s="311"/>
      <c r="D158" s="312"/>
      <c r="E158" s="311"/>
      <c r="F158" s="312"/>
      <c r="G158" s="311"/>
      <c r="H158" s="311"/>
      <c r="I158" s="37"/>
      <c r="J158" s="311"/>
      <c r="K158" s="305" t="str">
        <f t="shared" si="541"/>
        <v/>
      </c>
      <c r="L158" s="313"/>
      <c r="M158" s="312"/>
      <c r="N158" s="311"/>
      <c r="O158" s="312"/>
      <c r="P158" s="311"/>
      <c r="Q158" s="305" t="str">
        <f t="shared" si="542"/>
        <v/>
      </c>
      <c r="R158" s="314"/>
      <c r="S158" s="450" t="str">
        <f t="shared" si="425"/>
        <v/>
      </c>
      <c r="T158" s="315"/>
      <c r="U158" s="315"/>
      <c r="W158" s="149" t="str">
        <f t="shared" si="426"/>
        <v xml:space="preserve"> </v>
      </c>
      <c r="X158" s="243" t="str">
        <f t="shared" si="427"/>
        <v xml:space="preserve"> </v>
      </c>
      <c r="Y158" s="150" t="str">
        <f t="shared" si="428"/>
        <v/>
      </c>
      <c r="Z158" s="149" t="str">
        <f t="shared" si="429"/>
        <v xml:space="preserve"> </v>
      </c>
      <c r="AA158" s="98" t="str">
        <f t="shared" si="430"/>
        <v xml:space="preserve"> </v>
      </c>
      <c r="AB158" s="153" t="str">
        <f t="shared" si="431"/>
        <v xml:space="preserve"> </v>
      </c>
      <c r="AC158" s="153" t="str">
        <f t="shared" si="432"/>
        <v xml:space="preserve"> </v>
      </c>
      <c r="AD158" s="148" t="str">
        <f t="shared" si="433"/>
        <v/>
      </c>
      <c r="AE158" s="149" t="str">
        <f t="shared" si="434"/>
        <v/>
      </c>
      <c r="AF158" s="151" t="str">
        <f t="shared" si="435"/>
        <v xml:space="preserve"> </v>
      </c>
      <c r="AG158" s="153" t="str">
        <f t="shared" si="436"/>
        <v xml:space="preserve"> </v>
      </c>
      <c r="AH158" s="98" t="str">
        <f t="shared" si="437"/>
        <v xml:space="preserve"> </v>
      </c>
      <c r="AI158" s="149" t="str">
        <f t="shared" si="438"/>
        <v xml:space="preserve"> </v>
      </c>
      <c r="AK158" s="144" t="str">
        <f t="shared" si="439"/>
        <v xml:space="preserve"> </v>
      </c>
      <c r="AL158" s="144"/>
      <c r="AM158" s="243" t="str">
        <f t="shared" si="440"/>
        <v xml:space="preserve"> </v>
      </c>
      <c r="AN158" s="149" t="str">
        <f t="shared" si="543"/>
        <v xml:space="preserve"> </v>
      </c>
      <c r="AO158" s="144" t="str">
        <f>IF(JB158&gt;0,IF(GI158=10,-R158*1.085*(Calculation!$F$6-Calculation!$F$13)*$S$14," "),"")</f>
        <v/>
      </c>
      <c r="AP158" s="144" t="str">
        <f t="shared" si="441"/>
        <v/>
      </c>
      <c r="AQ158" s="56" t="str">
        <f t="shared" si="442"/>
        <v/>
      </c>
      <c r="AR158" s="144" t="str">
        <f t="shared" si="443"/>
        <v/>
      </c>
      <c r="AS158" s="176" t="str">
        <f t="shared" si="444"/>
        <v/>
      </c>
      <c r="AT158" s="176" t="str">
        <f t="shared" si="544"/>
        <v xml:space="preserve"> </v>
      </c>
      <c r="AU158" s="176" t="str">
        <f t="shared" si="445"/>
        <v/>
      </c>
      <c r="AV158" s="177" t="str">
        <f t="shared" si="446"/>
        <v xml:space="preserve"> </v>
      </c>
      <c r="AW158" s="144" t="str">
        <f t="shared" si="447"/>
        <v xml:space="preserve"> </v>
      </c>
      <c r="AX158" s="144" t="str">
        <f t="shared" si="448"/>
        <v xml:space="preserve"> </v>
      </c>
      <c r="AY158" s="152" t="str">
        <f t="shared" si="449"/>
        <v xml:space="preserve"> </v>
      </c>
      <c r="AZ158" s="246" t="str">
        <f t="shared" si="450"/>
        <v/>
      </c>
      <c r="BA158" s="176" t="str">
        <f t="shared" si="451"/>
        <v xml:space="preserve"> </v>
      </c>
      <c r="BB158" s="176" t="str">
        <f t="shared" si="452"/>
        <v xml:space="preserve"> </v>
      </c>
      <c r="BC158" s="195"/>
      <c r="BD158" s="316"/>
      <c r="BE158" s="317"/>
      <c r="BF158" s="318"/>
      <c r="BG158" s="318"/>
      <c r="BH158" s="144" t="str">
        <f t="shared" si="621"/>
        <v xml:space="preserve"> </v>
      </c>
      <c r="BI158" s="176" t="str">
        <f t="shared" si="453"/>
        <v/>
      </c>
      <c r="BJ158" s="144" t="str">
        <f t="shared" si="622"/>
        <v/>
      </c>
      <c r="BK158" s="246" t="str">
        <f t="shared" si="454"/>
        <v/>
      </c>
      <c r="BL158" s="144" t="str">
        <f t="shared" si="623"/>
        <v/>
      </c>
      <c r="BM158" s="246" t="str">
        <f t="shared" si="455"/>
        <v/>
      </c>
      <c r="BN158" s="337" t="str">
        <f t="shared" si="545"/>
        <v/>
      </c>
      <c r="BO158" s="371" t="str">
        <f t="shared" si="546"/>
        <v/>
      </c>
      <c r="BP158" s="328" t="str">
        <f t="shared" si="624"/>
        <v xml:space="preserve"> </v>
      </c>
      <c r="BQ158" s="347" t="str">
        <f t="shared" si="547"/>
        <v xml:space="preserve"> </v>
      </c>
      <c r="BR158" s="353" t="str">
        <f t="shared" si="548"/>
        <v xml:space="preserve"> </v>
      </c>
      <c r="BS158" s="626" t="str">
        <f>IF(L158&gt;0,IF(Calculation!P158="M13",BR158*3.1416*(0.134^2)/(4*144),IF(Calculation!P158="M17",BR158*3.1416*(0.165^2)/(4*144),IF(Calculation!P158="M20",BR158*3.1416*(0.198^2)/(4*144),IF(Calculation!P158="M23",BR158*3.1416*(0.228^2)/(4*144),IF(Calculation!P158="M27",BR158*3.1416*(0.269^2)/(4*144),BR158*3.1416*(0.307^2)/(4*144))))))," ")</f>
        <v xml:space="preserve"> </v>
      </c>
      <c r="BT158" s="353" t="str">
        <f>IF(L158&gt;0,IF(BS158&gt;0,R158/Calculation!BS158,0)," ")</f>
        <v xml:space="preserve"> </v>
      </c>
      <c r="BU158" s="438" t="e">
        <f t="shared" ca="1" si="456"/>
        <v>#VALUE!</v>
      </c>
      <c r="BV158" s="449" t="e">
        <f ca="1">INDEX(INDIRECT(VLOOKUP(LEFT(BO158,7),CLU!$Z$3:$AH$18,2)),GN158,GR158)</f>
        <v>#N/A</v>
      </c>
      <c r="BW158" s="433" t="e">
        <f ca="1">INDEX(INDIRECT(VLOOKUP(LEFT(BO158,7),CLU!$Z$3:$AH$18,3)),GN158,GR158)</f>
        <v>#N/A</v>
      </c>
      <c r="BX158" s="433" t="e">
        <f ca="1">INDEX(INDIRECT(VLOOKUP(LEFT(BO158,7),CLU!$Z$3:$AH$18,4)),GN158,GR158)</f>
        <v>#N/A</v>
      </c>
      <c r="BY158" s="433" t="e">
        <f ca="1">INDEX(INDIRECT(VLOOKUP(LEFT(BO158,7),CLU!$Z$3:$AH$18,9)),((M158-2)*(6-COUNTBLANK(GT158:GY158)))+GJ158)</f>
        <v>#N/A</v>
      </c>
      <c r="BZ158" s="426" t="e">
        <f t="shared" ca="1" si="549"/>
        <v>#N/A</v>
      </c>
      <c r="CA158" s="424" t="e">
        <f t="shared" ca="1" si="550"/>
        <v>#N/A</v>
      </c>
      <c r="CB158" s="429" t="e">
        <f ca="1">INDEX(INDIRECT(VLOOKUP(LEFT(BO158,7),CLU!$Z$3:$AH$18,2)),GN158,GS158)</f>
        <v>#N/A</v>
      </c>
      <c r="CC158" s="342" t="e">
        <f ca="1">INDEX(INDIRECT(VLOOKUP(LEFT(BO158,7),CLU!$Z$3:$AH$18,3)),GN158,GS158)</f>
        <v>#N/A</v>
      </c>
      <c r="CD158" s="342" t="e">
        <f ca="1">INDEX(INDIRECT(VLOOKUP(LEFT(BO158,7),CLU!$Z$3:$AH$18,4)),GN158,GS158)</f>
        <v>#N/A</v>
      </c>
      <c r="CE158" s="426" t="e">
        <f t="shared" ca="1" si="551"/>
        <v>#N/A</v>
      </c>
      <c r="CF158" s="440">
        <f t="shared" si="552"/>
        <v>0</v>
      </c>
      <c r="CG158" s="431" t="e">
        <f ca="1">INDEX(INDIRECT(VLOOKUP(LEFT(BO158,7),CLU!$Z$3:$AH$18,2)),GQ158,GR158)</f>
        <v>#N/A</v>
      </c>
      <c r="CH158" s="431" t="e">
        <f ca="1">INDEX(INDIRECT(VLOOKUP(LEFT(BO158,7),CLU!$Z$3:$AH$18,3)),GQ158,GR158)</f>
        <v>#N/A</v>
      </c>
      <c r="CI158" s="431" t="e">
        <f ca="1">INDEX(INDIRECT(VLOOKUP(LEFT(BO158,7),CLU!$Z$3:$AH$18,4)),GQ158,GR158)</f>
        <v>#N/A</v>
      </c>
      <c r="CJ158" s="448" t="e">
        <f t="shared" ca="1" si="553"/>
        <v>#N/A</v>
      </c>
      <c r="CK158" s="431" t="e">
        <f t="shared" ca="1" si="554"/>
        <v>#N/A</v>
      </c>
      <c r="CL158" s="440" t="e">
        <f t="shared" ca="1" si="555"/>
        <v>#N/A</v>
      </c>
      <c r="CM158" s="431" t="e">
        <f ca="1">INDEX(INDIRECT(VLOOKUP(LEFT(BO158,7),CLU!$Z$3:$AH$18,2)),GQ158,GS158)</f>
        <v>#N/A</v>
      </c>
      <c r="CN158" s="431" t="e">
        <f ca="1">INDEX(INDIRECT(VLOOKUP(LEFT(BO158,7),CLU!$Z$3:$AH$18,3)),GQ158,GS158)</f>
        <v>#N/A</v>
      </c>
      <c r="CO158" s="431" t="e">
        <f ca="1">INDEX(INDIRECT(VLOOKUP(LEFT(BO158,7),CLU!$Z$3:$AH$18,4)),GQ158,GS158)</f>
        <v>#N/A</v>
      </c>
      <c r="CP158" s="431" t="e">
        <f t="shared" ca="1" si="556"/>
        <v>#N/A</v>
      </c>
      <c r="CQ158" s="440">
        <f t="shared" si="557"/>
        <v>0</v>
      </c>
      <c r="CR158" s="51" t="e">
        <f t="shared" ca="1" si="558"/>
        <v>#N/A</v>
      </c>
      <c r="CS158" s="439" t="e">
        <f t="shared" ca="1" si="559"/>
        <v>#VALUE!</v>
      </c>
      <c r="CT158" s="51" t="e">
        <f t="shared" ca="1" si="560"/>
        <v>#VALUE!</v>
      </c>
      <c r="CU158" s="10"/>
      <c r="CV158" s="51" t="e">
        <f t="shared" ca="1" si="457"/>
        <v>#VALUE!</v>
      </c>
      <c r="CW158" s="51">
        <f t="shared" si="561"/>
        <v>0</v>
      </c>
      <c r="CX158" s="439" t="e">
        <f t="shared" ca="1" si="562"/>
        <v>#VALUE!</v>
      </c>
      <c r="CY158" s="51" t="e">
        <f t="shared" ca="1" si="563"/>
        <v>#VALUE!</v>
      </c>
      <c r="CZ158" s="10"/>
      <c r="DA158" s="51" t="e">
        <f t="shared" ca="1" si="564"/>
        <v>#VALUE!</v>
      </c>
      <c r="DB158" s="347" t="e">
        <f ca="1">INDEX(INDIRECT(VLOOKUP(LEFT(BO158,7),CLU!$Z$3:$AI$18,10)),((M158-2)*(6-COUNTBLANK(GT158:GY158)))+GJ158)*LI158</f>
        <v>#N/A</v>
      </c>
      <c r="DC158" s="347" t="str">
        <f>IF(L158&gt;0,((R158/Worksheet!$I$15)/DB158)^2," ")</f>
        <v xml:space="preserve"> </v>
      </c>
      <c r="DD158" s="602" t="str">
        <f t="shared" si="565"/>
        <v xml:space="preserve"> </v>
      </c>
      <c r="DE158" s="347" t="str">
        <f t="shared" si="458"/>
        <v xml:space="preserve"> </v>
      </c>
      <c r="DF158" s="356" t="e">
        <f ca="1">INDEX(INDIRECT(VLOOKUP(LEFT(BO158,7),CLU!$Z$3:$AH$18,8)),((M158-2)*(6-COUNTBLANK(GT158:GY158)))+GJ158)</f>
        <v>#N/A</v>
      </c>
      <c r="DG158" s="347" t="str">
        <f t="shared" si="459"/>
        <v xml:space="preserve"> </v>
      </c>
      <c r="DH158" s="357" t="str">
        <f t="shared" si="460"/>
        <v xml:space="preserve"> </v>
      </c>
      <c r="DI158" s="355" t="str">
        <f t="shared" si="461"/>
        <v xml:space="preserve"> </v>
      </c>
      <c r="DJ158" s="245" t="e">
        <f ca="1">INDEX(INDIRECT(VLOOKUP(LEFT(BO158,7),CLU!$Z$3:$AH$18,5)),GL158,GK158)</f>
        <v>#N/A</v>
      </c>
      <c r="DK158" s="245" t="e">
        <f ca="1">INDEX(INDIRECT(VLOOKUP(LEFT(BO158,7),CLU!$Z$3:$AH$18,6)),GL158,GK158)</f>
        <v>#N/A</v>
      </c>
      <c r="DL158" s="355">
        <f>(Calculation!R158*0.69143*(Calculation!$BQ$8-Calculation!$F$8))*$S$14</f>
        <v>0</v>
      </c>
      <c r="DM158" s="359" t="e">
        <f t="shared" si="566"/>
        <v>#VALUE!</v>
      </c>
      <c r="DN158" s="611">
        <f t="shared" si="567"/>
        <v>0</v>
      </c>
      <c r="DO158" s="359">
        <f t="shared" si="568"/>
        <v>100</v>
      </c>
      <c r="DP158" s="359">
        <f t="shared" si="569"/>
        <v>0</v>
      </c>
      <c r="DQ158" s="360"/>
      <c r="DR158" s="245" t="e">
        <f ca="1">INDEX(INDIRECT(VLOOKUP(LEFT(BO158,7),CLU!$Z$3:$AH$18,7)),M158-1,1)</f>
        <v>#N/A</v>
      </c>
      <c r="DS158" s="245" t="e">
        <f ca="1">INDEX(INDIRECT(VLOOKUP(LEFT(BO158,7),CLU!$Z$3:$AH$18,7)),M158-1,2)</f>
        <v>#N/A</v>
      </c>
      <c r="DT158" s="245" t="e">
        <f ca="1">INDEX(INDIRECT(VLOOKUP(LEFT(BO158,7),CLU!$Z$3:$AH$18,7)),M158-1,3)</f>
        <v>#N/A</v>
      </c>
      <c r="DU158" s="245" t="e">
        <f ca="1">INDEX(INDIRECT(VLOOKUP(LEFT(BO158,7),CLU!$Z$3:$AH$18,7)),M158-1,4)</f>
        <v>#N/A</v>
      </c>
      <c r="DV158" s="361" t="e">
        <f ca="1">INDEX(INDIRECT(VLOOKUP(LEFT(BO158,7),CLU!$Z$3:$AH$18,7)),M158-1,4+LEFT(DZ158,1)*0.5)</f>
        <v>#N/A</v>
      </c>
      <c r="DW158" s="245" t="e">
        <f ca="1">INDEX(INDIRECT(VLOOKUP(LEFT(BO158,7),CLU!$Z$3:$AH$18,7)),M158-1,8)</f>
        <v>#N/A</v>
      </c>
      <c r="DX158" s="361" t="str">
        <f t="shared" si="462"/>
        <v xml:space="preserve"> </v>
      </c>
      <c r="DY158" s="361" t="str">
        <f t="shared" si="463"/>
        <v xml:space="preserve"> </v>
      </c>
      <c r="DZ158" s="361" t="str">
        <f t="shared" si="464"/>
        <v xml:space="preserve"> </v>
      </c>
      <c r="EA158" s="362" t="str">
        <f t="shared" si="465"/>
        <v xml:space="preserve"> </v>
      </c>
      <c r="EB158" s="624" t="str">
        <f t="shared" si="570"/>
        <v xml:space="preserve"> </v>
      </c>
      <c r="EC158" s="361" t="e">
        <f ca="1">INDEX(INDIRECT(VLOOKUP(LEFT(BO158,7),CLU!$Z$3:$AH$18,7)),M158-1,4+LEFT(DZ158,1)*0.5)</f>
        <v>#N/A</v>
      </c>
      <c r="ED158" s="362" t="str">
        <f t="shared" si="466"/>
        <v xml:space="preserve"> </v>
      </c>
      <c r="EE158" s="361" t="str">
        <f t="shared" si="467"/>
        <v xml:space="preserve"> </v>
      </c>
      <c r="EF158" s="362" t="str">
        <f>IF(L158&gt;0,IF(BR158&gt;0,IF(EE158="2P",IF(Calculation!DZ158="2P",IF(Calculation!DS158=13.75,IF(Calculation!DR158=13,Worksheet!$BD$43,IF(Calculation!DR158=37,Worksheet!$BD$44,Worksheet!$BD$45)),IF(Calculation!DS158=10,IF(Calculation!DR158=18,Worksheet!$BD$29,IF(Calculation!DR158=30,Worksheet!$BD$30,IF(Calculation!DR158=42,Worksheet!$BD$31,IF(Calculation!DR158=54,Worksheet!$BD$32,IF(Calculation!DR158=66,Worksheet!$BD$33,IF(Calculation!DR158=78,Worksheet!$BD$34,IF(Calculation!DR158=90,Worksheet!$BD$35,IF(Calculation!DR158=102,Worksheet!$BD$36,Worksheet!$BD$37)))))))),IF(Calculation!DS158=12.5,IF(Calculation!DR158=18,Worksheet!$BD$38,IF(Calculation!DR158=Worksheet!$BD$39,IF(Calculation!DR158=42,Worksheet!$BD$40,IF(Calculation!DR158=54,Worksheet!$BD$41,Worksheet!$BD$42)))),IF(Calculation!DR158=18,Worksheet!$BD$11,IF(Calculation!DR158=30,Worksheet!$BD$12,IF(Calculation!DR158=42,Worksheet!$BD$13,IF(Calculation!DR158=54,Worksheet!$BD$14,IF(Calculation!DR158=66,Worksheet!$BD$15,IF(Calculation!DR158=78,Worksheet!$BD$16,IF(Calculation!DR158=90,Worksheet!$BD$17,IF(Calculation!DR158=102,Worksheet!$BD$18,Worksheet!$BD$19))))))))))),IF(Calculation!DS158=13.75,IF(Calculation!DR158=13,Worksheet!$BD$78,IF(Calculation!DR158=37,Worksheet!$BD$79,Worksheet!$BD$80)),IF(Calculation!DS158=10,IF(Calculation!DR158=18,Worksheet!$BD$64,IF(Calculation!DR158=30,Worksheet!$BD$65,IF(Calculation!DR158=42,Worksheet!$BD$66,IF(Calculation!DR158=54,Worksheet!$BD$68,IF(Calculation!DR158=66,Worksheet!$BD$68,IF(Calculation!DR158=78,Worksheet!$BD$69,IF(Calculation!DR158=90,Worksheet!$BD$70,IF(Calculation!DR158=102,Worksheet!$BD$71,Worksheet!$BD$72)))))))),IF(Calculation!DS158=12.5,IF(Calculation!DR158=18,Worksheet!$BD$73,IF(Calculation!DR158=Worksheet!$BD$74,IF(Calculation!DR158=42,Worksheet!$BD$75,IF(Calculation!DR158=54,Worksheet!$BD$76,Worksheet!$BD$77)))),IF(Calculation!DR158=18,Worksheet!$BD$55,IF(Calculation!DR158=30,Worksheet!$BD$56,IF(Calculation!DR158=42,Worksheet!$BD$57,IF(Calculation!DR158=54,Worksheet!$BD$58,IF(Calculation!DR158=66,Worksheet!$BD$59,IF(Calculation!DR158=78,Worksheet!$BD$60,IF(Calculation!DR158=90,Worksheet!$BD$61,IF(Calculation!DR158=102,Worksheet!$BD$62,Worksheet!$BD$63)))))))))))),5),0)," ")</f>
        <v xml:space="preserve"> </v>
      </c>
      <c r="EG158" s="361" t="str">
        <f t="shared" si="468"/>
        <v xml:space="preserve"> </v>
      </c>
      <c r="EH158" s="361" t="e">
        <f ca="1">INDEX(INDIRECT(VLOOKUP(LEFT(BO158,7),CLU!$Z$3:$AH$18,7)),M158-1,3+LEFT(DZ158,1))</f>
        <v>#N/A</v>
      </c>
      <c r="EI158" s="362" t="str">
        <f t="shared" si="469"/>
        <v xml:space="preserve"> </v>
      </c>
      <c r="EJ158" s="363" t="str">
        <f t="shared" si="470"/>
        <v xml:space="preserve"> </v>
      </c>
      <c r="EK158" s="363" t="str">
        <f t="shared" si="471"/>
        <v xml:space="preserve"> </v>
      </c>
      <c r="EL158" s="363" t="str">
        <f t="shared" si="472"/>
        <v xml:space="preserve"> </v>
      </c>
      <c r="EM158" s="362" t="str">
        <f>IF(L158&gt;0,IF(BR158&gt;0,(Calculation!T158/ED158)^2,0)," ")</f>
        <v xml:space="preserve"> </v>
      </c>
      <c r="EN158" s="362" t="str">
        <f>IF(L158&gt;0,IF(O158="2 Pipe (Cooling)","N/A",IF(BR158&gt;0,(Calculation!U158/EI158)^2,0))," ")</f>
        <v xml:space="preserve"> </v>
      </c>
      <c r="EO158" s="361" t="str">
        <f t="shared" si="473"/>
        <v/>
      </c>
      <c r="EP158" s="361" t="str">
        <f t="shared" si="474"/>
        <v/>
      </c>
      <c r="EQ158" s="361" t="str">
        <f t="shared" si="475"/>
        <v/>
      </c>
      <c r="ER158" s="361" t="str">
        <f t="shared" si="476"/>
        <v/>
      </c>
      <c r="ES158" s="361" t="str">
        <f t="shared" si="477"/>
        <v/>
      </c>
      <c r="ET158" s="361" t="str">
        <f t="shared" si="478"/>
        <v/>
      </c>
      <c r="EU158" s="361" t="str">
        <f t="shared" si="479"/>
        <v/>
      </c>
      <c r="EV158" s="361" t="str">
        <f t="shared" si="480"/>
        <v/>
      </c>
      <c r="EW158" s="361" t="str">
        <f t="shared" si="481"/>
        <v/>
      </c>
      <c r="EX158" s="361" t="str">
        <f t="shared" si="571"/>
        <v>1 slot, 1 way</v>
      </c>
      <c r="EY158" s="361" t="str">
        <f t="shared" si="572"/>
        <v xml:space="preserve"> </v>
      </c>
      <c r="EZ158" s="361" t="str">
        <f t="shared" si="573"/>
        <v xml:space="preserve"> </v>
      </c>
      <c r="FA158" s="361" t="str">
        <f t="shared" si="574"/>
        <v xml:space="preserve"> </v>
      </c>
      <c r="FB158" s="361" t="str">
        <f t="shared" si="575"/>
        <v xml:space="preserve"> </v>
      </c>
      <c r="FC158" s="361"/>
      <c r="FD158" s="361" t="str">
        <f>IF(J158&gt;0,IF(Calculation!R158&lt;=70,4,IF(Calculation!R158&lt;=110,5,IF(Calculation!R158&lt;=160,6,IF(Calculation!R158&lt;=300,8,"10 EO")))),"")</f>
        <v/>
      </c>
      <c r="FE158" s="361" t="str">
        <f t="shared" si="576"/>
        <v/>
      </c>
      <c r="FF158" s="361" t="str">
        <f t="shared" si="577"/>
        <v/>
      </c>
      <c r="FG158" s="361" t="e">
        <f t="shared" si="482"/>
        <v>#N/A</v>
      </c>
      <c r="FH158" s="361">
        <f t="shared" si="483"/>
        <v>0</v>
      </c>
      <c r="FI158" s="361" t="e">
        <f t="shared" si="484"/>
        <v>#DIV/0!</v>
      </c>
      <c r="FJ158" s="361"/>
      <c r="FK158" s="356" t="e">
        <f t="shared" si="485"/>
        <v>#VALUE!</v>
      </c>
      <c r="FL158" s="361"/>
      <c r="FM158" s="361"/>
      <c r="FN158" s="362" t="str">
        <f t="shared" si="578"/>
        <v xml:space="preserve"> </v>
      </c>
      <c r="FO158" s="362" t="str">
        <f t="shared" si="579"/>
        <v xml:space="preserve"> </v>
      </c>
      <c r="FP158" s="362">
        <f t="shared" si="580"/>
        <v>0</v>
      </c>
      <c r="FQ158" s="361">
        <f t="shared" si="486"/>
        <v>0</v>
      </c>
      <c r="FR158" s="362" t="str">
        <f>IF(L158&gt;0,IF(J158="CBAL2",Worksheet!$P$67,IF(J158="CBE2-24",Worksheet!$Q$67,IF(J158="CBAM",Worksheet!$R$67,IF(J158="CBLV",Worksheet!$S$67,IF(J158="CBAB",Worksheet!$U$67,IF(J158="CBAW",Worksheet!$X$67,IF(J158="CBE2-12",Worksheet!$Y$67,IF(J158="CBAL2",Worksheet!$Z$67,"N/A"))))))))," ")</f>
        <v xml:space="preserve"> </v>
      </c>
      <c r="FS158" s="362" t="str">
        <f>IF(L158&gt;0,IF(J158="CBAL2",Worksheet!$P$68,IF(J158="CBE2-24",Worksheet!$Q$68,IF(J158="CBAM",Worksheet!$R$68,IF(J158="CBLV",Worksheet!$S$68,IF(J158="CBAB",Worksheet!$U$68,IF(J158="CBAW",Worksheet!$X$68,IF(J158="CBE2-12",Worksheet!$Y$68,IF(J158="CBAL2",Worksheet!$Z$68,"N/A"))))))))," ")</f>
        <v xml:space="preserve"> </v>
      </c>
      <c r="FT158" s="362" t="str">
        <f>IF(L158&gt;0,IF(J158="CBAL2",Worksheet!$P$69,IF(J158="CBE2-24",Worksheet!$Q$69,IF(J158="CBAM",Worksheet!$R$69,IF(J158="CBLV",Worksheet!$S$69,IF(J158="CBAB",Worksheet!$U$69,IF(J158="CBAW",Worksheet!$X$69,IF(J158="CBE2-12",Worksheet!$Y$69,IF(J158="CBAL2",Worksheet!$Z$69,"N/A"))))))))," ")</f>
        <v xml:space="preserve"> </v>
      </c>
      <c r="FU158" s="361" t="str">
        <f t="shared" si="581"/>
        <v xml:space="preserve"> </v>
      </c>
      <c r="FV158" s="362" t="str">
        <f t="shared" si="582"/>
        <v xml:space="preserve"> </v>
      </c>
      <c r="FW158" s="362" t="str">
        <f t="shared" si="583"/>
        <v xml:space="preserve"> </v>
      </c>
      <c r="FX158" s="362" t="str">
        <f t="shared" si="584"/>
        <v xml:space="preserve"> </v>
      </c>
      <c r="FY158" s="355" t="str">
        <f t="shared" si="585"/>
        <v xml:space="preserve"> </v>
      </c>
      <c r="FZ158" s="361" t="str">
        <f t="shared" si="586"/>
        <v xml:space="preserve"> </v>
      </c>
      <c r="GA158" s="347" t="str">
        <f t="shared" si="587"/>
        <v xml:space="preserve"> </v>
      </c>
      <c r="GB158" s="355" t="str">
        <f t="shared" si="588"/>
        <v xml:space="preserve"> </v>
      </c>
      <c r="GC158" s="328" t="str">
        <f t="shared" si="589"/>
        <v xml:space="preserve"> </v>
      </c>
      <c r="GD158" s="361" t="str">
        <f t="shared" si="590"/>
        <v xml:space="preserve"> </v>
      </c>
      <c r="GE158" s="347" t="str">
        <f t="shared" si="591"/>
        <v xml:space="preserve"> </v>
      </c>
      <c r="GF158" s="361" t="str">
        <f t="shared" si="592"/>
        <v xml:space="preserve"> </v>
      </c>
      <c r="GG158" s="347" t="str">
        <f t="shared" si="593"/>
        <v xml:space="preserve"> </v>
      </c>
      <c r="GH158" s="364">
        <f t="shared" si="487"/>
        <v>0</v>
      </c>
      <c r="GI158" s="362">
        <f t="shared" si="594"/>
        <v>2</v>
      </c>
      <c r="GJ158" s="433" t="e">
        <f>IF(6-COUNTBLANK(GT158:GY158)=4,MATCH(MID(BO158,9,3),CLU!$H$16:$K$16),MATCH(MID(BO158,9,3),CLU!$H$13:$M$13))</f>
        <v>#N/A</v>
      </c>
      <c r="GK158" s="433" t="e">
        <f>HLOOKUP(VALUE(BP158),CLU!$H$9:$M$10,2)</f>
        <v>#VALUE!</v>
      </c>
      <c r="GL158" s="433" t="e">
        <f ca="1">MATCH(BU158,CLU!$H$2:$V$2,1)</f>
        <v>#VALUE!</v>
      </c>
      <c r="GM158" s="433" t="e">
        <f t="shared" ca="1" si="595"/>
        <v>#VALUE!</v>
      </c>
      <c r="GN158" s="433" t="e">
        <f t="shared" ca="1" si="596"/>
        <v>#VALUE!</v>
      </c>
      <c r="GO158" s="433" t="e">
        <f t="shared" ca="1" si="597"/>
        <v>#VALUE!</v>
      </c>
      <c r="GP158" s="433" t="e">
        <f t="shared" ca="1" si="598"/>
        <v>#VALUE!</v>
      </c>
      <c r="GQ158" s="433" t="e">
        <f t="shared" ca="1" si="599"/>
        <v>#VALUE!</v>
      </c>
      <c r="GR158" s="433" t="e">
        <f ca="1">MATCH(T158,INDIRECT(VLOOKUP(CONCATENATE(LEFT(BO158,7),"-",MID(BO158,13,1)),CLU!$P$3:$Q$16,2)),1)</f>
        <v>#N/A</v>
      </c>
      <c r="GS158" s="433" t="e">
        <f ca="1">MATCH(U158,INDIRECT(VLOOKUP(CONCATENATE(LEFT(BO158,7),"-",MID(BO158,13,1)),CLU!$P$3:$Q$16,2)),1)</f>
        <v>#N/A</v>
      </c>
      <c r="GT158" s="347" t="s">
        <v>512</v>
      </c>
      <c r="GU158" s="97" t="s">
        <v>513</v>
      </c>
      <c r="GV158" s="97" t="str">
        <f t="shared" si="600"/>
        <v>M23</v>
      </c>
      <c r="GW158" s="97" t="str">
        <f t="shared" si="601"/>
        <v>M31</v>
      </c>
      <c r="GX158" s="97" t="str">
        <f t="shared" si="602"/>
        <v/>
      </c>
      <c r="GY158" s="97" t="str">
        <f t="shared" si="603"/>
        <v/>
      </c>
      <c r="GZ158" s="481"/>
      <c r="HA158" s="288"/>
      <c r="HB158" s="240"/>
      <c r="HC158" s="240"/>
      <c r="HD158" s="240"/>
      <c r="HE158" s="240"/>
      <c r="HF158" s="240"/>
      <c r="HG158" s="240"/>
      <c r="HH158" s="240"/>
      <c r="HI158" s="240"/>
      <c r="HJ158" s="240"/>
      <c r="HK158" s="240"/>
      <c r="HL158" s="240"/>
      <c r="HM158" s="240"/>
      <c r="HN158" s="240"/>
      <c r="HO158" s="240"/>
      <c r="HP158" s="240"/>
      <c r="HQ158" s="240"/>
      <c r="HR158" s="240"/>
      <c r="HS158" s="240"/>
      <c r="HT158" s="240"/>
      <c r="HU158" s="240"/>
      <c r="HV158" s="245"/>
      <c r="HW158" s="245" t="b">
        <v>1</v>
      </c>
      <c r="HX158" s="245" t="str">
        <f t="shared" si="488"/>
        <v/>
      </c>
      <c r="HY158" s="245" t="e">
        <f t="shared" si="489"/>
        <v>#DIV/0!</v>
      </c>
      <c r="HZ158" s="245" t="e">
        <f t="shared" si="490"/>
        <v>#DIV/0!</v>
      </c>
      <c r="IA158" s="245">
        <f t="shared" si="491"/>
        <v>0</v>
      </c>
      <c r="IB158" s="245"/>
      <c r="IC158" t="b">
        <f t="shared" si="492"/>
        <v>1</v>
      </c>
      <c r="ID158" s="245" t="b">
        <f t="shared" si="493"/>
        <v>1</v>
      </c>
      <c r="IE158" s="245" t="b">
        <f t="shared" si="494"/>
        <v>1</v>
      </c>
      <c r="IF158" s="245" t="b">
        <f t="shared" si="495"/>
        <v>0</v>
      </c>
      <c r="IG158" s="245" t="b">
        <f t="shared" si="496"/>
        <v>1</v>
      </c>
      <c r="IH158" s="245" t="b">
        <f t="shared" si="497"/>
        <v>1</v>
      </c>
      <c r="II158" s="245">
        <f t="shared" si="604"/>
        <v>0</v>
      </c>
      <c r="IJ158" s="245" t="e">
        <f t="shared" si="498"/>
        <v>#VALUE!</v>
      </c>
      <c r="IK158" s="245" t="e">
        <f t="shared" si="499"/>
        <v>#VALUE!</v>
      </c>
      <c r="IL158" s="245"/>
      <c r="IM158" s="245" t="e">
        <f t="shared" si="605"/>
        <v>#N/A</v>
      </c>
      <c r="IN158" s="245" t="e">
        <f t="shared" si="606"/>
        <v>#N/A</v>
      </c>
      <c r="IO158" s="245"/>
      <c r="IP158" s="245"/>
      <c r="IQ158" s="245" t="str">
        <f t="shared" si="500"/>
        <v/>
      </c>
      <c r="IR158" s="245" t="str">
        <f>IF(J158="","",VLOOKUP(J158,Worksheet!$R$4:$T$14,2))</f>
        <v/>
      </c>
      <c r="IS158" s="245"/>
      <c r="IT158" s="245">
        <f t="shared" si="501"/>
        <v>0</v>
      </c>
      <c r="IU158" s="245">
        <f t="shared" si="502"/>
        <v>0</v>
      </c>
      <c r="IV158" s="245">
        <f t="shared" si="503"/>
        <v>0</v>
      </c>
      <c r="IW158" s="245">
        <f t="shared" si="504"/>
        <v>0</v>
      </c>
      <c r="IX158" s="245">
        <f t="shared" si="607"/>
        <v>0</v>
      </c>
      <c r="IY158" s="245">
        <f t="shared" si="505"/>
        <v>0</v>
      </c>
      <c r="IZ158" s="245">
        <f t="shared" si="506"/>
        <v>0</v>
      </c>
      <c r="JA158">
        <f t="shared" si="507"/>
        <v>0</v>
      </c>
      <c r="JB158">
        <f t="shared" si="608"/>
        <v>0</v>
      </c>
      <c r="JC158">
        <f t="shared" si="508"/>
        <v>0</v>
      </c>
      <c r="JD158">
        <f t="shared" si="509"/>
        <v>0</v>
      </c>
      <c r="JE158">
        <f t="shared" si="510"/>
        <v>0</v>
      </c>
      <c r="JF158">
        <f t="shared" si="511"/>
        <v>0</v>
      </c>
      <c r="JG158">
        <f t="shared" si="512"/>
        <v>0</v>
      </c>
      <c r="JH158">
        <f t="shared" si="513"/>
        <v>0</v>
      </c>
      <c r="JI158">
        <f t="shared" si="514"/>
        <v>0</v>
      </c>
      <c r="JJ158" s="447">
        <f t="shared" si="515"/>
        <v>0</v>
      </c>
      <c r="JK158" s="447">
        <f t="shared" si="516"/>
        <v>0</v>
      </c>
      <c r="JL158">
        <f t="shared" si="517"/>
        <v>0</v>
      </c>
      <c r="JM158" s="245" t="str">
        <f>IFERROR(VLOOKUP(MATCH(BN158,#REF!,0),#REF!,7),"")</f>
        <v/>
      </c>
      <c r="JN158" t="e">
        <f>HLOOKUP(LEFT(BO158,7),Discharge_Area,MATCH(JO158,LookUps!$B$130:$B$149,1)+2)</f>
        <v>#N/A</v>
      </c>
      <c r="JO158" t="str">
        <f t="shared" si="518"/>
        <v>- S</v>
      </c>
      <c r="JP158" t="e">
        <f>HLOOKUP(LEFT(BO158,7),Discharge_Area,MATCH(JO158,LookUps!$B$130:$B$149,1)+2)</f>
        <v>#N/A</v>
      </c>
      <c r="JQ158" t="e">
        <f t="shared" si="519"/>
        <v>#N/A</v>
      </c>
      <c r="JR158" t="e">
        <f t="shared" si="520"/>
        <v>#N/A</v>
      </c>
      <c r="JS158" t="e">
        <f t="shared" si="521"/>
        <v>#N/A</v>
      </c>
      <c r="JT158" s="532" t="str">
        <f t="shared" si="522"/>
        <v xml:space="preserve"> </v>
      </c>
      <c r="JU158" s="532" t="str">
        <f t="shared" si="523"/>
        <v xml:space="preserve"> </v>
      </c>
      <c r="JV158" s="533" t="str">
        <f t="shared" si="524"/>
        <v xml:space="preserve"> </v>
      </c>
      <c r="JW158" s="534">
        <f t="shared" si="525"/>
        <v>0</v>
      </c>
      <c r="JX158" s="535" t="str">
        <f t="shared" si="609"/>
        <v xml:space="preserve"> </v>
      </c>
      <c r="JY158" s="535" t="str">
        <f t="shared" si="610"/>
        <v xml:space="preserve"> </v>
      </c>
      <c r="JZ158" s="535" t="str">
        <f t="shared" si="611"/>
        <v xml:space="preserve"> </v>
      </c>
      <c r="KA158" s="536" t="str">
        <f t="shared" si="526"/>
        <v xml:space="preserve"> </v>
      </c>
      <c r="KB158" s="535" t="e">
        <f t="shared" si="612"/>
        <v>#VALUE!</v>
      </c>
      <c r="KC158" s="535" t="str">
        <f t="shared" si="527"/>
        <v/>
      </c>
      <c r="KD158" s="537" t="str">
        <f t="shared" si="613"/>
        <v xml:space="preserve"> </v>
      </c>
      <c r="KE158" s="537" t="str">
        <f t="shared" si="614"/>
        <v xml:space="preserve"> </v>
      </c>
      <c r="KF158" s="534">
        <f t="shared" si="528"/>
        <v>0</v>
      </c>
      <c r="KG158" s="535" t="str">
        <f t="shared" si="529"/>
        <v xml:space="preserve"> </v>
      </c>
      <c r="KH158" s="535" t="str">
        <f t="shared" si="530"/>
        <v xml:space="preserve"> </v>
      </c>
      <c r="KI158" s="535" t="str">
        <f t="shared" si="531"/>
        <v xml:space="preserve"> </v>
      </c>
      <c r="KJ158" s="536" t="str">
        <f t="shared" si="532"/>
        <v xml:space="preserve"> </v>
      </c>
      <c r="KK158" s="535" t="str">
        <f t="shared" si="615"/>
        <v xml:space="preserve"> </v>
      </c>
      <c r="KL158" s="535" t="str">
        <f t="shared" si="616"/>
        <v xml:space="preserve"> </v>
      </c>
      <c r="KM158" s="537" t="str">
        <f t="shared" si="533"/>
        <v xml:space="preserve"> </v>
      </c>
      <c r="KN158" s="537" t="str">
        <f t="shared" si="617"/>
        <v xml:space="preserve"> </v>
      </c>
      <c r="KP158">
        <f t="shared" si="534"/>
        <v>0</v>
      </c>
      <c r="LA158" t="e">
        <f t="shared" si="535"/>
        <v>#VALUE!</v>
      </c>
      <c r="LB158" t="e">
        <f t="shared" si="536"/>
        <v>#VALUE!</v>
      </c>
      <c r="LC158" t="e">
        <f t="shared" si="537"/>
        <v>#VALUE!</v>
      </c>
      <c r="LD158" t="e">
        <f t="shared" si="538"/>
        <v>#VALUE!</v>
      </c>
      <c r="LE158" t="e">
        <f t="shared" si="618"/>
        <v>#VALUE!</v>
      </c>
      <c r="LF158">
        <f t="shared" si="539"/>
        <v>0</v>
      </c>
      <c r="LG158" t="e">
        <f t="shared" si="619"/>
        <v>#VALUE!</v>
      </c>
      <c r="LH158" t="str">
        <f t="shared" si="540"/>
        <v xml:space="preserve"> </v>
      </c>
      <c r="LI158">
        <f t="shared" si="620"/>
        <v>1</v>
      </c>
    </row>
    <row r="159" spans="2:321" ht="15" customHeight="1">
      <c r="B159" s="311"/>
      <c r="C159" s="311"/>
      <c r="D159" s="312"/>
      <c r="E159" s="311"/>
      <c r="F159" s="312"/>
      <c r="G159" s="311"/>
      <c r="H159" s="311"/>
      <c r="I159" s="37"/>
      <c r="J159" s="311"/>
      <c r="K159" s="305" t="str">
        <f t="shared" si="541"/>
        <v/>
      </c>
      <c r="L159" s="313"/>
      <c r="M159" s="312"/>
      <c r="N159" s="311"/>
      <c r="O159" s="312"/>
      <c r="P159" s="311"/>
      <c r="Q159" s="305" t="str">
        <f t="shared" si="542"/>
        <v/>
      </c>
      <c r="R159" s="314"/>
      <c r="S159" s="450" t="str">
        <f t="shared" si="425"/>
        <v/>
      </c>
      <c r="T159" s="315"/>
      <c r="U159" s="315"/>
      <c r="W159" s="149" t="str">
        <f t="shared" si="426"/>
        <v xml:space="preserve"> </v>
      </c>
      <c r="X159" s="243" t="str">
        <f t="shared" si="427"/>
        <v xml:space="preserve"> </v>
      </c>
      <c r="Y159" s="150" t="str">
        <f t="shared" si="428"/>
        <v/>
      </c>
      <c r="Z159" s="149" t="str">
        <f t="shared" si="429"/>
        <v xml:space="preserve"> </v>
      </c>
      <c r="AA159" s="98" t="str">
        <f t="shared" si="430"/>
        <v xml:space="preserve"> </v>
      </c>
      <c r="AB159" s="153" t="str">
        <f t="shared" si="431"/>
        <v xml:space="preserve"> </v>
      </c>
      <c r="AC159" s="153" t="str">
        <f t="shared" si="432"/>
        <v xml:space="preserve"> </v>
      </c>
      <c r="AD159" s="148" t="str">
        <f t="shared" si="433"/>
        <v/>
      </c>
      <c r="AE159" s="149" t="str">
        <f t="shared" si="434"/>
        <v/>
      </c>
      <c r="AF159" s="151" t="str">
        <f t="shared" si="435"/>
        <v xml:space="preserve"> </v>
      </c>
      <c r="AG159" s="153" t="str">
        <f t="shared" si="436"/>
        <v xml:space="preserve"> </v>
      </c>
      <c r="AH159" s="98" t="str">
        <f t="shared" si="437"/>
        <v xml:space="preserve"> </v>
      </c>
      <c r="AI159" s="149" t="str">
        <f t="shared" si="438"/>
        <v xml:space="preserve"> </v>
      </c>
      <c r="AK159" s="144" t="str">
        <f t="shared" si="439"/>
        <v xml:space="preserve"> </v>
      </c>
      <c r="AL159" s="144"/>
      <c r="AM159" s="243" t="str">
        <f t="shared" si="440"/>
        <v xml:space="preserve"> </v>
      </c>
      <c r="AN159" s="149" t="str">
        <f t="shared" si="543"/>
        <v xml:space="preserve"> </v>
      </c>
      <c r="AO159" s="144" t="str">
        <f>IF(JB159&gt;0,IF(GI159=10,-R159*1.085*(Calculation!$F$6-Calculation!$F$13)*$S$14," "),"")</f>
        <v/>
      </c>
      <c r="AP159" s="144" t="str">
        <f t="shared" si="441"/>
        <v/>
      </c>
      <c r="AQ159" s="56" t="str">
        <f t="shared" si="442"/>
        <v/>
      </c>
      <c r="AR159" s="144" t="str">
        <f t="shared" si="443"/>
        <v/>
      </c>
      <c r="AS159" s="176" t="str">
        <f t="shared" si="444"/>
        <v/>
      </c>
      <c r="AT159" s="176" t="str">
        <f t="shared" si="544"/>
        <v xml:space="preserve"> </v>
      </c>
      <c r="AU159" s="176" t="str">
        <f t="shared" si="445"/>
        <v/>
      </c>
      <c r="AV159" s="177" t="str">
        <f t="shared" si="446"/>
        <v xml:space="preserve"> </v>
      </c>
      <c r="AW159" s="144" t="str">
        <f t="shared" si="447"/>
        <v xml:space="preserve"> </v>
      </c>
      <c r="AX159" s="144" t="str">
        <f t="shared" si="448"/>
        <v xml:space="preserve"> </v>
      </c>
      <c r="AY159" s="152" t="str">
        <f t="shared" si="449"/>
        <v xml:space="preserve"> </v>
      </c>
      <c r="AZ159" s="246" t="str">
        <f t="shared" si="450"/>
        <v/>
      </c>
      <c r="BA159" s="176" t="str">
        <f t="shared" si="451"/>
        <v xml:space="preserve"> </v>
      </c>
      <c r="BB159" s="176" t="str">
        <f t="shared" si="452"/>
        <v xml:space="preserve"> </v>
      </c>
      <c r="BC159" s="195"/>
      <c r="BD159" s="316"/>
      <c r="BE159" s="317"/>
      <c r="BF159" s="318"/>
      <c r="BG159" s="318"/>
      <c r="BH159" s="144" t="str">
        <f t="shared" si="621"/>
        <v xml:space="preserve"> </v>
      </c>
      <c r="BI159" s="176" t="str">
        <f t="shared" si="453"/>
        <v/>
      </c>
      <c r="BJ159" s="144" t="str">
        <f t="shared" si="622"/>
        <v/>
      </c>
      <c r="BK159" s="246" t="str">
        <f t="shared" si="454"/>
        <v/>
      </c>
      <c r="BL159" s="144" t="str">
        <f t="shared" si="623"/>
        <v/>
      </c>
      <c r="BM159" s="246" t="str">
        <f t="shared" si="455"/>
        <v/>
      </c>
      <c r="BN159" s="337" t="str">
        <f t="shared" si="545"/>
        <v/>
      </c>
      <c r="BO159" s="371" t="str">
        <f t="shared" si="546"/>
        <v/>
      </c>
      <c r="BP159" s="328" t="str">
        <f t="shared" si="624"/>
        <v xml:space="preserve"> </v>
      </c>
      <c r="BQ159" s="347" t="str">
        <f t="shared" si="547"/>
        <v xml:space="preserve"> </v>
      </c>
      <c r="BR159" s="353" t="str">
        <f t="shared" si="548"/>
        <v xml:space="preserve"> </v>
      </c>
      <c r="BS159" s="626" t="str">
        <f>IF(L159&gt;0,IF(Calculation!P159="M13",BR159*3.1416*(0.134^2)/(4*144),IF(Calculation!P159="M17",BR159*3.1416*(0.165^2)/(4*144),IF(Calculation!P159="M20",BR159*3.1416*(0.198^2)/(4*144),IF(Calculation!P159="M23",BR159*3.1416*(0.228^2)/(4*144),IF(Calculation!P159="M27",BR159*3.1416*(0.269^2)/(4*144),BR159*3.1416*(0.307^2)/(4*144))))))," ")</f>
        <v xml:space="preserve"> </v>
      </c>
      <c r="BT159" s="353" t="str">
        <f>IF(L159&gt;0,IF(BS159&gt;0,R159/Calculation!BS159,0)," ")</f>
        <v xml:space="preserve"> </v>
      </c>
      <c r="BU159" s="438" t="e">
        <f t="shared" ca="1" si="456"/>
        <v>#VALUE!</v>
      </c>
      <c r="BV159" s="449" t="e">
        <f ca="1">INDEX(INDIRECT(VLOOKUP(LEFT(BO159,7),CLU!$Z$3:$AH$18,2)),GN159,GR159)</f>
        <v>#N/A</v>
      </c>
      <c r="BW159" s="433" t="e">
        <f ca="1">INDEX(INDIRECT(VLOOKUP(LEFT(BO159,7),CLU!$Z$3:$AH$18,3)),GN159,GR159)</f>
        <v>#N/A</v>
      </c>
      <c r="BX159" s="433" t="e">
        <f ca="1">INDEX(INDIRECT(VLOOKUP(LEFT(BO159,7),CLU!$Z$3:$AH$18,4)),GN159,GR159)</f>
        <v>#N/A</v>
      </c>
      <c r="BY159" s="433" t="e">
        <f ca="1">INDEX(INDIRECT(VLOOKUP(LEFT(BO159,7),CLU!$Z$3:$AH$18,9)),((M159-2)*(6-COUNTBLANK(GT159:GY159)))+GJ159)</f>
        <v>#N/A</v>
      </c>
      <c r="BZ159" s="426" t="e">
        <f t="shared" ca="1" si="549"/>
        <v>#N/A</v>
      </c>
      <c r="CA159" s="424" t="e">
        <f t="shared" ca="1" si="550"/>
        <v>#N/A</v>
      </c>
      <c r="CB159" s="429" t="e">
        <f ca="1">INDEX(INDIRECT(VLOOKUP(LEFT(BO159,7),CLU!$Z$3:$AH$18,2)),GN159,GS159)</f>
        <v>#N/A</v>
      </c>
      <c r="CC159" s="342" t="e">
        <f ca="1">INDEX(INDIRECT(VLOOKUP(LEFT(BO159,7),CLU!$Z$3:$AH$18,3)),GN159,GS159)</f>
        <v>#N/A</v>
      </c>
      <c r="CD159" s="342" t="e">
        <f ca="1">INDEX(INDIRECT(VLOOKUP(LEFT(BO159,7),CLU!$Z$3:$AH$18,4)),GN159,GS159)</f>
        <v>#N/A</v>
      </c>
      <c r="CE159" s="426" t="e">
        <f t="shared" ca="1" si="551"/>
        <v>#N/A</v>
      </c>
      <c r="CF159" s="440">
        <f t="shared" si="552"/>
        <v>0</v>
      </c>
      <c r="CG159" s="431" t="e">
        <f ca="1">INDEX(INDIRECT(VLOOKUP(LEFT(BO159,7),CLU!$Z$3:$AH$18,2)),GQ159,GR159)</f>
        <v>#N/A</v>
      </c>
      <c r="CH159" s="431" t="e">
        <f ca="1">INDEX(INDIRECT(VLOOKUP(LEFT(BO159,7),CLU!$Z$3:$AH$18,3)),GQ159,GR159)</f>
        <v>#N/A</v>
      </c>
      <c r="CI159" s="431" t="e">
        <f ca="1">INDEX(INDIRECT(VLOOKUP(LEFT(BO159,7),CLU!$Z$3:$AH$18,4)),GQ159,GR159)</f>
        <v>#N/A</v>
      </c>
      <c r="CJ159" s="448" t="e">
        <f t="shared" ca="1" si="553"/>
        <v>#N/A</v>
      </c>
      <c r="CK159" s="431" t="e">
        <f t="shared" ca="1" si="554"/>
        <v>#N/A</v>
      </c>
      <c r="CL159" s="440" t="e">
        <f t="shared" ca="1" si="555"/>
        <v>#N/A</v>
      </c>
      <c r="CM159" s="431" t="e">
        <f ca="1">INDEX(INDIRECT(VLOOKUP(LEFT(BO159,7),CLU!$Z$3:$AH$18,2)),GQ159,GS159)</f>
        <v>#N/A</v>
      </c>
      <c r="CN159" s="431" t="e">
        <f ca="1">INDEX(INDIRECT(VLOOKUP(LEFT(BO159,7),CLU!$Z$3:$AH$18,3)),GQ159,GS159)</f>
        <v>#N/A</v>
      </c>
      <c r="CO159" s="431" t="e">
        <f ca="1">INDEX(INDIRECT(VLOOKUP(LEFT(BO159,7),CLU!$Z$3:$AH$18,4)),GQ159,GS159)</f>
        <v>#N/A</v>
      </c>
      <c r="CP159" s="431" t="e">
        <f t="shared" ca="1" si="556"/>
        <v>#N/A</v>
      </c>
      <c r="CQ159" s="440">
        <f t="shared" si="557"/>
        <v>0</v>
      </c>
      <c r="CR159" s="51" t="e">
        <f t="shared" ca="1" si="558"/>
        <v>#N/A</v>
      </c>
      <c r="CS159" s="439" t="e">
        <f t="shared" ca="1" si="559"/>
        <v>#VALUE!</v>
      </c>
      <c r="CT159" s="51" t="e">
        <f t="shared" ca="1" si="560"/>
        <v>#VALUE!</v>
      </c>
      <c r="CU159" s="10"/>
      <c r="CV159" s="51" t="e">
        <f t="shared" ca="1" si="457"/>
        <v>#VALUE!</v>
      </c>
      <c r="CW159" s="51">
        <f t="shared" si="561"/>
        <v>0</v>
      </c>
      <c r="CX159" s="439" t="e">
        <f t="shared" ca="1" si="562"/>
        <v>#VALUE!</v>
      </c>
      <c r="CY159" s="51" t="e">
        <f t="shared" ca="1" si="563"/>
        <v>#VALUE!</v>
      </c>
      <c r="CZ159" s="10"/>
      <c r="DA159" s="51" t="e">
        <f t="shared" ca="1" si="564"/>
        <v>#VALUE!</v>
      </c>
      <c r="DB159" s="347" t="e">
        <f ca="1">INDEX(INDIRECT(VLOOKUP(LEFT(BO159,7),CLU!$Z$3:$AI$18,10)),((M159-2)*(6-COUNTBLANK(GT159:GY159)))+GJ159)*LI159</f>
        <v>#N/A</v>
      </c>
      <c r="DC159" s="347" t="str">
        <f>IF(L159&gt;0,((R159/Worksheet!$I$15)/DB159)^2," ")</f>
        <v xml:space="preserve"> </v>
      </c>
      <c r="DD159" s="602" t="str">
        <f t="shared" si="565"/>
        <v xml:space="preserve"> </v>
      </c>
      <c r="DE159" s="347" t="str">
        <f t="shared" si="458"/>
        <v xml:space="preserve"> </v>
      </c>
      <c r="DF159" s="356" t="e">
        <f ca="1">INDEX(INDIRECT(VLOOKUP(LEFT(BO159,7),CLU!$Z$3:$AH$18,8)),((M159-2)*(6-COUNTBLANK(GT159:GY159)))+GJ159)</f>
        <v>#N/A</v>
      </c>
      <c r="DG159" s="347" t="str">
        <f t="shared" si="459"/>
        <v xml:space="preserve"> </v>
      </c>
      <c r="DH159" s="357" t="str">
        <f t="shared" si="460"/>
        <v xml:space="preserve"> </v>
      </c>
      <c r="DI159" s="355" t="str">
        <f t="shared" si="461"/>
        <v xml:space="preserve"> </v>
      </c>
      <c r="DJ159" s="245" t="e">
        <f ca="1">INDEX(INDIRECT(VLOOKUP(LEFT(BO159,7),CLU!$Z$3:$AH$18,5)),GL159,GK159)</f>
        <v>#N/A</v>
      </c>
      <c r="DK159" s="245" t="e">
        <f ca="1">INDEX(INDIRECT(VLOOKUP(LEFT(BO159,7),CLU!$Z$3:$AH$18,6)),GL159,GK159)</f>
        <v>#N/A</v>
      </c>
      <c r="DL159" s="355">
        <f>(Calculation!R159*0.69143*(Calculation!$BQ$8-Calculation!$F$8))*$S$14</f>
        <v>0</v>
      </c>
      <c r="DM159" s="359" t="e">
        <f t="shared" si="566"/>
        <v>#VALUE!</v>
      </c>
      <c r="DN159" s="611">
        <f t="shared" si="567"/>
        <v>0</v>
      </c>
      <c r="DO159" s="359">
        <f t="shared" si="568"/>
        <v>100</v>
      </c>
      <c r="DP159" s="359">
        <f t="shared" si="569"/>
        <v>0</v>
      </c>
      <c r="DQ159" s="360"/>
      <c r="DR159" s="245" t="e">
        <f ca="1">INDEX(INDIRECT(VLOOKUP(LEFT(BO159,7),CLU!$Z$3:$AH$18,7)),M159-1,1)</f>
        <v>#N/A</v>
      </c>
      <c r="DS159" s="245" t="e">
        <f ca="1">INDEX(INDIRECT(VLOOKUP(LEFT(BO159,7),CLU!$Z$3:$AH$18,7)),M159-1,2)</f>
        <v>#N/A</v>
      </c>
      <c r="DT159" s="245" t="e">
        <f ca="1">INDEX(INDIRECT(VLOOKUP(LEFT(BO159,7),CLU!$Z$3:$AH$18,7)),M159-1,3)</f>
        <v>#N/A</v>
      </c>
      <c r="DU159" s="245" t="e">
        <f ca="1">INDEX(INDIRECT(VLOOKUP(LEFT(BO159,7),CLU!$Z$3:$AH$18,7)),M159-1,4)</f>
        <v>#N/A</v>
      </c>
      <c r="DV159" s="361" t="e">
        <f ca="1">INDEX(INDIRECT(VLOOKUP(LEFT(BO159,7),CLU!$Z$3:$AH$18,7)),M159-1,4+LEFT(DZ159,1)*0.5)</f>
        <v>#N/A</v>
      </c>
      <c r="DW159" s="245" t="e">
        <f ca="1">INDEX(INDIRECT(VLOOKUP(LEFT(BO159,7),CLU!$Z$3:$AH$18,7)),M159-1,8)</f>
        <v>#N/A</v>
      </c>
      <c r="DX159" s="361" t="str">
        <f t="shared" si="462"/>
        <v xml:space="preserve"> </v>
      </c>
      <c r="DY159" s="361" t="str">
        <f t="shared" si="463"/>
        <v xml:space="preserve"> </v>
      </c>
      <c r="DZ159" s="361" t="str">
        <f t="shared" si="464"/>
        <v xml:space="preserve"> </v>
      </c>
      <c r="EA159" s="362" t="str">
        <f t="shared" si="465"/>
        <v xml:space="preserve"> </v>
      </c>
      <c r="EB159" s="624" t="str">
        <f t="shared" si="570"/>
        <v xml:space="preserve"> </v>
      </c>
      <c r="EC159" s="361" t="e">
        <f ca="1">INDEX(INDIRECT(VLOOKUP(LEFT(BO159,7),CLU!$Z$3:$AH$18,7)),M159-1,4+LEFT(DZ159,1)*0.5)</f>
        <v>#N/A</v>
      </c>
      <c r="ED159" s="362" t="str">
        <f t="shared" si="466"/>
        <v xml:space="preserve"> </v>
      </c>
      <c r="EE159" s="361" t="str">
        <f t="shared" si="467"/>
        <v xml:space="preserve"> </v>
      </c>
      <c r="EF159" s="362" t="str">
        <f>IF(L159&gt;0,IF(BR159&gt;0,IF(EE159="2P",IF(Calculation!DZ159="2P",IF(Calculation!DS159=13.75,IF(Calculation!DR159=13,Worksheet!$BD$43,IF(Calculation!DR159=37,Worksheet!$BD$44,Worksheet!$BD$45)),IF(Calculation!DS159=10,IF(Calculation!DR159=18,Worksheet!$BD$29,IF(Calculation!DR159=30,Worksheet!$BD$30,IF(Calculation!DR159=42,Worksheet!$BD$31,IF(Calculation!DR159=54,Worksheet!$BD$32,IF(Calculation!DR159=66,Worksheet!$BD$33,IF(Calculation!DR159=78,Worksheet!$BD$34,IF(Calculation!DR159=90,Worksheet!$BD$35,IF(Calculation!DR159=102,Worksheet!$BD$36,Worksheet!$BD$37)))))))),IF(Calculation!DS159=12.5,IF(Calculation!DR159=18,Worksheet!$BD$38,IF(Calculation!DR159=Worksheet!$BD$39,IF(Calculation!DR159=42,Worksheet!$BD$40,IF(Calculation!DR159=54,Worksheet!$BD$41,Worksheet!$BD$42)))),IF(Calculation!DR159=18,Worksheet!$BD$11,IF(Calculation!DR159=30,Worksheet!$BD$12,IF(Calculation!DR159=42,Worksheet!$BD$13,IF(Calculation!DR159=54,Worksheet!$BD$14,IF(Calculation!DR159=66,Worksheet!$BD$15,IF(Calculation!DR159=78,Worksheet!$BD$16,IF(Calculation!DR159=90,Worksheet!$BD$17,IF(Calculation!DR159=102,Worksheet!$BD$18,Worksheet!$BD$19))))))))))),IF(Calculation!DS159=13.75,IF(Calculation!DR159=13,Worksheet!$BD$78,IF(Calculation!DR159=37,Worksheet!$BD$79,Worksheet!$BD$80)),IF(Calculation!DS159=10,IF(Calculation!DR159=18,Worksheet!$BD$64,IF(Calculation!DR159=30,Worksheet!$BD$65,IF(Calculation!DR159=42,Worksheet!$BD$66,IF(Calculation!DR159=54,Worksheet!$BD$68,IF(Calculation!DR159=66,Worksheet!$BD$68,IF(Calculation!DR159=78,Worksheet!$BD$69,IF(Calculation!DR159=90,Worksheet!$BD$70,IF(Calculation!DR159=102,Worksheet!$BD$71,Worksheet!$BD$72)))))))),IF(Calculation!DS159=12.5,IF(Calculation!DR159=18,Worksheet!$BD$73,IF(Calculation!DR159=Worksheet!$BD$74,IF(Calculation!DR159=42,Worksheet!$BD$75,IF(Calculation!DR159=54,Worksheet!$BD$76,Worksheet!$BD$77)))),IF(Calculation!DR159=18,Worksheet!$BD$55,IF(Calculation!DR159=30,Worksheet!$BD$56,IF(Calculation!DR159=42,Worksheet!$BD$57,IF(Calculation!DR159=54,Worksheet!$BD$58,IF(Calculation!DR159=66,Worksheet!$BD$59,IF(Calculation!DR159=78,Worksheet!$BD$60,IF(Calculation!DR159=90,Worksheet!$BD$61,IF(Calculation!DR159=102,Worksheet!$BD$62,Worksheet!$BD$63)))))))))))),5),0)," ")</f>
        <v xml:space="preserve"> </v>
      </c>
      <c r="EG159" s="361" t="str">
        <f t="shared" si="468"/>
        <v xml:space="preserve"> </v>
      </c>
      <c r="EH159" s="361" t="e">
        <f ca="1">INDEX(INDIRECT(VLOOKUP(LEFT(BO159,7),CLU!$Z$3:$AH$18,7)),M159-1,3+LEFT(DZ159,1))</f>
        <v>#N/A</v>
      </c>
      <c r="EI159" s="362" t="str">
        <f t="shared" si="469"/>
        <v xml:space="preserve"> </v>
      </c>
      <c r="EJ159" s="363" t="str">
        <f t="shared" si="470"/>
        <v xml:space="preserve"> </v>
      </c>
      <c r="EK159" s="363" t="str">
        <f t="shared" si="471"/>
        <v xml:space="preserve"> </v>
      </c>
      <c r="EL159" s="363" t="str">
        <f t="shared" si="472"/>
        <v xml:space="preserve"> </v>
      </c>
      <c r="EM159" s="362" t="str">
        <f>IF(L159&gt;0,IF(BR159&gt;0,(Calculation!T159/ED159)^2,0)," ")</f>
        <v xml:space="preserve"> </v>
      </c>
      <c r="EN159" s="362" t="str">
        <f>IF(L159&gt;0,IF(O159="2 Pipe (Cooling)","N/A",IF(BR159&gt;0,(Calculation!U159/EI159)^2,0))," ")</f>
        <v xml:space="preserve"> </v>
      </c>
      <c r="EO159" s="361" t="str">
        <f t="shared" si="473"/>
        <v/>
      </c>
      <c r="EP159" s="361" t="str">
        <f t="shared" si="474"/>
        <v/>
      </c>
      <c r="EQ159" s="361" t="str">
        <f t="shared" si="475"/>
        <v/>
      </c>
      <c r="ER159" s="361" t="str">
        <f t="shared" si="476"/>
        <v/>
      </c>
      <c r="ES159" s="361" t="str">
        <f t="shared" si="477"/>
        <v/>
      </c>
      <c r="ET159" s="361" t="str">
        <f t="shared" si="478"/>
        <v/>
      </c>
      <c r="EU159" s="361" t="str">
        <f t="shared" si="479"/>
        <v/>
      </c>
      <c r="EV159" s="361" t="str">
        <f t="shared" si="480"/>
        <v/>
      </c>
      <c r="EW159" s="361" t="str">
        <f t="shared" si="481"/>
        <v/>
      </c>
      <c r="EX159" s="361" t="str">
        <f t="shared" si="571"/>
        <v>1 slot, 1 way</v>
      </c>
      <c r="EY159" s="361" t="str">
        <f t="shared" si="572"/>
        <v xml:space="preserve"> </v>
      </c>
      <c r="EZ159" s="361" t="str">
        <f t="shared" si="573"/>
        <v xml:space="preserve"> </v>
      </c>
      <c r="FA159" s="361" t="str">
        <f t="shared" si="574"/>
        <v xml:space="preserve"> </v>
      </c>
      <c r="FB159" s="361" t="str">
        <f t="shared" si="575"/>
        <v xml:space="preserve"> </v>
      </c>
      <c r="FC159" s="361"/>
      <c r="FD159" s="361" t="str">
        <f>IF(J159&gt;0,IF(Calculation!R159&lt;=70,4,IF(Calculation!R159&lt;=110,5,IF(Calculation!R159&lt;=160,6,IF(Calculation!R159&lt;=300,8,"10 EO")))),"")</f>
        <v/>
      </c>
      <c r="FE159" s="361" t="str">
        <f t="shared" si="576"/>
        <v/>
      </c>
      <c r="FF159" s="361" t="str">
        <f t="shared" si="577"/>
        <v/>
      </c>
      <c r="FG159" s="361" t="e">
        <f t="shared" si="482"/>
        <v>#N/A</v>
      </c>
      <c r="FH159" s="361">
        <f t="shared" si="483"/>
        <v>0</v>
      </c>
      <c r="FI159" s="361" t="e">
        <f t="shared" si="484"/>
        <v>#DIV/0!</v>
      </c>
      <c r="FJ159" s="361"/>
      <c r="FK159" s="356" t="e">
        <f t="shared" si="485"/>
        <v>#VALUE!</v>
      </c>
      <c r="FL159" s="361"/>
      <c r="FM159" s="361"/>
      <c r="FN159" s="362" t="str">
        <f t="shared" si="578"/>
        <v xml:space="preserve"> </v>
      </c>
      <c r="FO159" s="362" t="str">
        <f t="shared" si="579"/>
        <v xml:space="preserve"> </v>
      </c>
      <c r="FP159" s="362">
        <f t="shared" si="580"/>
        <v>0</v>
      </c>
      <c r="FQ159" s="361">
        <f t="shared" si="486"/>
        <v>0</v>
      </c>
      <c r="FR159" s="362" t="str">
        <f>IF(L159&gt;0,IF(J159="CBAL2",Worksheet!$P$67,IF(J159="CBE2-24",Worksheet!$Q$67,IF(J159="CBAM",Worksheet!$R$67,IF(J159="CBLV",Worksheet!$S$67,IF(J159="CBAB",Worksheet!$U$67,IF(J159="CBAW",Worksheet!$X$67,IF(J159="CBE2-12",Worksheet!$Y$67,IF(J159="CBAL2",Worksheet!$Z$67,"N/A"))))))))," ")</f>
        <v xml:space="preserve"> </v>
      </c>
      <c r="FS159" s="362" t="str">
        <f>IF(L159&gt;0,IF(J159="CBAL2",Worksheet!$P$68,IF(J159="CBE2-24",Worksheet!$Q$68,IF(J159="CBAM",Worksheet!$R$68,IF(J159="CBLV",Worksheet!$S$68,IF(J159="CBAB",Worksheet!$U$68,IF(J159="CBAW",Worksheet!$X$68,IF(J159="CBE2-12",Worksheet!$Y$68,IF(J159="CBAL2",Worksheet!$Z$68,"N/A"))))))))," ")</f>
        <v xml:space="preserve"> </v>
      </c>
      <c r="FT159" s="362" t="str">
        <f>IF(L159&gt;0,IF(J159="CBAL2",Worksheet!$P$69,IF(J159="CBE2-24",Worksheet!$Q$69,IF(J159="CBAM",Worksheet!$R$69,IF(J159="CBLV",Worksheet!$S$69,IF(J159="CBAB",Worksheet!$U$69,IF(J159="CBAW",Worksheet!$X$69,IF(J159="CBE2-12",Worksheet!$Y$69,IF(J159="CBAL2",Worksheet!$Z$69,"N/A"))))))))," ")</f>
        <v xml:space="preserve"> </v>
      </c>
      <c r="FU159" s="361" t="str">
        <f t="shared" si="581"/>
        <v xml:space="preserve"> </v>
      </c>
      <c r="FV159" s="362" t="str">
        <f t="shared" si="582"/>
        <v xml:space="preserve"> </v>
      </c>
      <c r="FW159" s="362" t="str">
        <f t="shared" si="583"/>
        <v xml:space="preserve"> </v>
      </c>
      <c r="FX159" s="362" t="str">
        <f t="shared" si="584"/>
        <v xml:space="preserve"> </v>
      </c>
      <c r="FY159" s="355" t="str">
        <f t="shared" si="585"/>
        <v xml:space="preserve"> </v>
      </c>
      <c r="FZ159" s="361" t="str">
        <f t="shared" si="586"/>
        <v xml:space="preserve"> </v>
      </c>
      <c r="GA159" s="347" t="str">
        <f t="shared" si="587"/>
        <v xml:space="preserve"> </v>
      </c>
      <c r="GB159" s="355" t="str">
        <f t="shared" si="588"/>
        <v xml:space="preserve"> </v>
      </c>
      <c r="GC159" s="328" t="str">
        <f t="shared" si="589"/>
        <v xml:space="preserve"> </v>
      </c>
      <c r="GD159" s="361" t="str">
        <f t="shared" si="590"/>
        <v xml:space="preserve"> </v>
      </c>
      <c r="GE159" s="347" t="str">
        <f t="shared" si="591"/>
        <v xml:space="preserve"> </v>
      </c>
      <c r="GF159" s="361" t="str">
        <f t="shared" si="592"/>
        <v xml:space="preserve"> </v>
      </c>
      <c r="GG159" s="347" t="str">
        <f t="shared" si="593"/>
        <v xml:space="preserve"> </v>
      </c>
      <c r="GH159" s="364">
        <f t="shared" si="487"/>
        <v>0</v>
      </c>
      <c r="GI159" s="362">
        <f t="shared" si="594"/>
        <v>2</v>
      </c>
      <c r="GJ159" s="433" t="e">
        <f>IF(6-COUNTBLANK(GT159:GY159)=4,MATCH(MID(BO159,9,3),CLU!$H$16:$K$16),MATCH(MID(BO159,9,3),CLU!$H$13:$M$13))</f>
        <v>#N/A</v>
      </c>
      <c r="GK159" s="433" t="e">
        <f>HLOOKUP(VALUE(BP159),CLU!$H$9:$M$10,2)</f>
        <v>#VALUE!</v>
      </c>
      <c r="GL159" s="433" t="e">
        <f ca="1">MATCH(BU159,CLU!$H$2:$V$2,1)</f>
        <v>#VALUE!</v>
      </c>
      <c r="GM159" s="433" t="e">
        <f t="shared" ca="1" si="595"/>
        <v>#VALUE!</v>
      </c>
      <c r="GN159" s="433" t="e">
        <f t="shared" ca="1" si="596"/>
        <v>#VALUE!</v>
      </c>
      <c r="GO159" s="433" t="e">
        <f t="shared" ca="1" si="597"/>
        <v>#VALUE!</v>
      </c>
      <c r="GP159" s="433" t="e">
        <f t="shared" ca="1" si="598"/>
        <v>#VALUE!</v>
      </c>
      <c r="GQ159" s="433" t="e">
        <f t="shared" ca="1" si="599"/>
        <v>#VALUE!</v>
      </c>
      <c r="GR159" s="433" t="e">
        <f ca="1">MATCH(T159,INDIRECT(VLOOKUP(CONCATENATE(LEFT(BO159,7),"-",MID(BO159,13,1)),CLU!$P$3:$Q$16,2)),1)</f>
        <v>#N/A</v>
      </c>
      <c r="GS159" s="433" t="e">
        <f ca="1">MATCH(U159,INDIRECT(VLOOKUP(CONCATENATE(LEFT(BO159,7),"-",MID(BO159,13,1)),CLU!$P$3:$Q$16,2)),1)</f>
        <v>#N/A</v>
      </c>
      <c r="GT159" s="347" t="s">
        <v>512</v>
      </c>
      <c r="GU159" s="97" t="s">
        <v>513</v>
      </c>
      <c r="GV159" s="97" t="str">
        <f t="shared" si="600"/>
        <v>M23</v>
      </c>
      <c r="GW159" s="97" t="str">
        <f t="shared" si="601"/>
        <v>M31</v>
      </c>
      <c r="GX159" s="97" t="str">
        <f t="shared" si="602"/>
        <v/>
      </c>
      <c r="GY159" s="97" t="str">
        <f t="shared" si="603"/>
        <v/>
      </c>
      <c r="GZ159" s="481"/>
      <c r="HA159" s="288"/>
      <c r="HB159" s="240"/>
      <c r="HC159" s="240"/>
      <c r="HD159" s="240"/>
      <c r="HE159" s="240"/>
      <c r="HF159" s="240"/>
      <c r="HG159" s="240"/>
      <c r="HH159" s="240"/>
      <c r="HI159" s="240"/>
      <c r="HJ159" s="240"/>
      <c r="HK159" s="240"/>
      <c r="HL159" s="240"/>
      <c r="HM159" s="240"/>
      <c r="HN159" s="240"/>
      <c r="HO159" s="240"/>
      <c r="HP159" s="240"/>
      <c r="HQ159" s="240"/>
      <c r="HR159" s="240"/>
      <c r="HS159" s="240"/>
      <c r="HT159" s="240"/>
      <c r="HU159" s="240"/>
      <c r="HV159" s="245"/>
      <c r="HW159" s="245" t="b">
        <v>1</v>
      </c>
      <c r="HX159" s="245" t="str">
        <f t="shared" si="488"/>
        <v/>
      </c>
      <c r="HY159" s="245" t="e">
        <f t="shared" si="489"/>
        <v>#DIV/0!</v>
      </c>
      <c r="HZ159" s="245" t="e">
        <f t="shared" si="490"/>
        <v>#DIV/0!</v>
      </c>
      <c r="IA159" s="245">
        <f t="shared" si="491"/>
        <v>0</v>
      </c>
      <c r="IB159" s="245"/>
      <c r="IC159" t="b">
        <f t="shared" si="492"/>
        <v>1</v>
      </c>
      <c r="ID159" s="245" t="b">
        <f t="shared" si="493"/>
        <v>1</v>
      </c>
      <c r="IE159" s="245" t="b">
        <f t="shared" si="494"/>
        <v>1</v>
      </c>
      <c r="IF159" s="245" t="b">
        <f t="shared" si="495"/>
        <v>0</v>
      </c>
      <c r="IG159" s="245" t="b">
        <f t="shared" si="496"/>
        <v>1</v>
      </c>
      <c r="IH159" s="245" t="b">
        <f t="shared" si="497"/>
        <v>1</v>
      </c>
      <c r="II159" s="245">
        <f t="shared" si="604"/>
        <v>0</v>
      </c>
      <c r="IJ159" s="245" t="e">
        <f t="shared" si="498"/>
        <v>#VALUE!</v>
      </c>
      <c r="IK159" s="245" t="e">
        <f t="shared" si="499"/>
        <v>#VALUE!</v>
      </c>
      <c r="IL159" s="245"/>
      <c r="IM159" s="245" t="e">
        <f t="shared" si="605"/>
        <v>#N/A</v>
      </c>
      <c r="IN159" s="245" t="e">
        <f t="shared" si="606"/>
        <v>#N/A</v>
      </c>
      <c r="IO159" s="245"/>
      <c r="IP159" s="245"/>
      <c r="IQ159" s="245" t="str">
        <f t="shared" si="500"/>
        <v/>
      </c>
      <c r="IR159" s="245" t="str">
        <f>IF(J159="","",VLOOKUP(J159,Worksheet!$R$4:$T$14,2))</f>
        <v/>
      </c>
      <c r="IS159" s="245"/>
      <c r="IT159" s="245">
        <f t="shared" si="501"/>
        <v>0</v>
      </c>
      <c r="IU159" s="245">
        <f t="shared" si="502"/>
        <v>0</v>
      </c>
      <c r="IV159" s="245">
        <f t="shared" si="503"/>
        <v>0</v>
      </c>
      <c r="IW159" s="245">
        <f t="shared" si="504"/>
        <v>0</v>
      </c>
      <c r="IX159" s="245">
        <f t="shared" si="607"/>
        <v>0</v>
      </c>
      <c r="IY159" s="245">
        <f t="shared" si="505"/>
        <v>0</v>
      </c>
      <c r="IZ159" s="245">
        <f t="shared" si="506"/>
        <v>0</v>
      </c>
      <c r="JA159">
        <f t="shared" si="507"/>
        <v>0</v>
      </c>
      <c r="JB159">
        <f t="shared" si="608"/>
        <v>0</v>
      </c>
      <c r="JC159">
        <f t="shared" si="508"/>
        <v>0</v>
      </c>
      <c r="JD159">
        <f t="shared" si="509"/>
        <v>0</v>
      </c>
      <c r="JE159">
        <f t="shared" si="510"/>
        <v>0</v>
      </c>
      <c r="JF159">
        <f t="shared" si="511"/>
        <v>0</v>
      </c>
      <c r="JG159">
        <f t="shared" si="512"/>
        <v>0</v>
      </c>
      <c r="JH159">
        <f t="shared" si="513"/>
        <v>0</v>
      </c>
      <c r="JI159">
        <f t="shared" si="514"/>
        <v>0</v>
      </c>
      <c r="JJ159" s="447">
        <f t="shared" si="515"/>
        <v>0</v>
      </c>
      <c r="JK159" s="447">
        <f t="shared" si="516"/>
        <v>0</v>
      </c>
      <c r="JL159">
        <f t="shared" si="517"/>
        <v>0</v>
      </c>
      <c r="JM159" s="245" t="str">
        <f>IFERROR(VLOOKUP(MATCH(BN159,#REF!,0),#REF!,7),"")</f>
        <v/>
      </c>
      <c r="JN159" t="e">
        <f>HLOOKUP(LEFT(BO159,7),Discharge_Area,MATCH(JO159,LookUps!$B$130:$B$149,1)+2)</f>
        <v>#N/A</v>
      </c>
      <c r="JO159" t="str">
        <f t="shared" si="518"/>
        <v>- S</v>
      </c>
      <c r="JP159" t="e">
        <f>HLOOKUP(LEFT(BO159,7),Discharge_Area,MATCH(JO159,LookUps!$B$130:$B$149,1)+2)</f>
        <v>#N/A</v>
      </c>
      <c r="JQ159" t="e">
        <f t="shared" si="519"/>
        <v>#N/A</v>
      </c>
      <c r="JR159" t="e">
        <f t="shared" si="520"/>
        <v>#N/A</v>
      </c>
      <c r="JS159" t="e">
        <f t="shared" si="521"/>
        <v>#N/A</v>
      </c>
      <c r="JT159" s="532" t="str">
        <f t="shared" si="522"/>
        <v xml:space="preserve"> </v>
      </c>
      <c r="JU159" s="532" t="str">
        <f t="shared" si="523"/>
        <v xml:space="preserve"> </v>
      </c>
      <c r="JV159" s="533" t="str">
        <f t="shared" si="524"/>
        <v xml:space="preserve"> </v>
      </c>
      <c r="JW159" s="534">
        <f t="shared" si="525"/>
        <v>0</v>
      </c>
      <c r="JX159" s="535" t="str">
        <f t="shared" si="609"/>
        <v xml:space="preserve"> </v>
      </c>
      <c r="JY159" s="535" t="str">
        <f t="shared" si="610"/>
        <v xml:space="preserve"> </v>
      </c>
      <c r="JZ159" s="535" t="str">
        <f t="shared" si="611"/>
        <v xml:space="preserve"> </v>
      </c>
      <c r="KA159" s="536" t="str">
        <f t="shared" si="526"/>
        <v xml:space="preserve"> </v>
      </c>
      <c r="KB159" s="535" t="e">
        <f t="shared" si="612"/>
        <v>#VALUE!</v>
      </c>
      <c r="KC159" s="535" t="str">
        <f t="shared" si="527"/>
        <v/>
      </c>
      <c r="KD159" s="537" t="str">
        <f t="shared" si="613"/>
        <v xml:space="preserve"> </v>
      </c>
      <c r="KE159" s="537" t="str">
        <f t="shared" si="614"/>
        <v xml:space="preserve"> </v>
      </c>
      <c r="KF159" s="534">
        <f t="shared" si="528"/>
        <v>0</v>
      </c>
      <c r="KG159" s="535" t="str">
        <f t="shared" si="529"/>
        <v xml:space="preserve"> </v>
      </c>
      <c r="KH159" s="535" t="str">
        <f t="shared" si="530"/>
        <v xml:space="preserve"> </v>
      </c>
      <c r="KI159" s="535" t="str">
        <f t="shared" si="531"/>
        <v xml:space="preserve"> </v>
      </c>
      <c r="KJ159" s="536" t="str">
        <f t="shared" si="532"/>
        <v xml:space="preserve"> </v>
      </c>
      <c r="KK159" s="535" t="str">
        <f t="shared" si="615"/>
        <v xml:space="preserve"> </v>
      </c>
      <c r="KL159" s="535" t="str">
        <f t="shared" si="616"/>
        <v xml:space="preserve"> </v>
      </c>
      <c r="KM159" s="537" t="str">
        <f t="shared" si="533"/>
        <v xml:space="preserve"> </v>
      </c>
      <c r="KN159" s="537" t="str">
        <f t="shared" si="617"/>
        <v xml:space="preserve"> </v>
      </c>
      <c r="KP159">
        <f t="shared" si="534"/>
        <v>0</v>
      </c>
      <c r="LA159" t="e">
        <f t="shared" si="535"/>
        <v>#VALUE!</v>
      </c>
      <c r="LB159" t="e">
        <f t="shared" si="536"/>
        <v>#VALUE!</v>
      </c>
      <c r="LC159" t="e">
        <f t="shared" si="537"/>
        <v>#VALUE!</v>
      </c>
      <c r="LD159" t="e">
        <f t="shared" si="538"/>
        <v>#VALUE!</v>
      </c>
      <c r="LE159" t="e">
        <f t="shared" si="618"/>
        <v>#VALUE!</v>
      </c>
      <c r="LF159">
        <f t="shared" si="539"/>
        <v>0</v>
      </c>
      <c r="LG159" t="e">
        <f t="shared" si="619"/>
        <v>#VALUE!</v>
      </c>
      <c r="LH159" t="str">
        <f t="shared" si="540"/>
        <v xml:space="preserve"> </v>
      </c>
      <c r="LI159">
        <f t="shared" si="620"/>
        <v>1</v>
      </c>
    </row>
    <row r="160" spans="2:321" ht="15" customHeight="1">
      <c r="B160" s="311"/>
      <c r="C160" s="311"/>
      <c r="D160" s="312"/>
      <c r="E160" s="311"/>
      <c r="F160" s="312"/>
      <c r="G160" s="311"/>
      <c r="H160" s="311"/>
      <c r="I160" s="37"/>
      <c r="J160" s="311"/>
      <c r="K160" s="305" t="str">
        <f t="shared" si="541"/>
        <v/>
      </c>
      <c r="L160" s="313"/>
      <c r="M160" s="312"/>
      <c r="N160" s="311"/>
      <c r="O160" s="312"/>
      <c r="P160" s="311"/>
      <c r="Q160" s="305" t="str">
        <f t="shared" si="542"/>
        <v/>
      </c>
      <c r="R160" s="314"/>
      <c r="S160" s="450" t="str">
        <f t="shared" si="425"/>
        <v/>
      </c>
      <c r="T160" s="315"/>
      <c r="U160" s="315"/>
      <c r="W160" s="149" t="str">
        <f t="shared" si="426"/>
        <v xml:space="preserve"> </v>
      </c>
      <c r="X160" s="243" t="str">
        <f t="shared" si="427"/>
        <v xml:space="preserve"> </v>
      </c>
      <c r="Y160" s="150" t="str">
        <f t="shared" si="428"/>
        <v/>
      </c>
      <c r="Z160" s="149" t="str">
        <f t="shared" si="429"/>
        <v xml:space="preserve"> </v>
      </c>
      <c r="AA160" s="98" t="str">
        <f t="shared" si="430"/>
        <v xml:space="preserve"> </v>
      </c>
      <c r="AB160" s="153" t="str">
        <f t="shared" si="431"/>
        <v xml:space="preserve"> </v>
      </c>
      <c r="AC160" s="153" t="str">
        <f t="shared" si="432"/>
        <v xml:space="preserve"> </v>
      </c>
      <c r="AD160" s="148" t="str">
        <f t="shared" si="433"/>
        <v/>
      </c>
      <c r="AE160" s="149" t="str">
        <f t="shared" si="434"/>
        <v/>
      </c>
      <c r="AF160" s="151" t="str">
        <f t="shared" si="435"/>
        <v xml:space="preserve"> </v>
      </c>
      <c r="AG160" s="153" t="str">
        <f t="shared" si="436"/>
        <v xml:space="preserve"> </v>
      </c>
      <c r="AH160" s="98" t="str">
        <f t="shared" si="437"/>
        <v xml:space="preserve"> </v>
      </c>
      <c r="AI160" s="149" t="str">
        <f t="shared" si="438"/>
        <v xml:space="preserve"> </v>
      </c>
      <c r="AK160" s="144" t="str">
        <f t="shared" si="439"/>
        <v xml:space="preserve"> </v>
      </c>
      <c r="AL160" s="144"/>
      <c r="AM160" s="243" t="str">
        <f t="shared" si="440"/>
        <v xml:space="preserve"> </v>
      </c>
      <c r="AN160" s="149" t="str">
        <f t="shared" si="543"/>
        <v xml:space="preserve"> </v>
      </c>
      <c r="AO160" s="144" t="str">
        <f>IF(JB160&gt;0,IF(GI160=10,-R160*1.085*(Calculation!$F$6-Calculation!$F$13)*$S$14," "),"")</f>
        <v/>
      </c>
      <c r="AP160" s="144" t="str">
        <f t="shared" si="441"/>
        <v/>
      </c>
      <c r="AQ160" s="56" t="str">
        <f t="shared" si="442"/>
        <v/>
      </c>
      <c r="AR160" s="144" t="str">
        <f t="shared" si="443"/>
        <v/>
      </c>
      <c r="AS160" s="176" t="str">
        <f t="shared" si="444"/>
        <v/>
      </c>
      <c r="AT160" s="176" t="str">
        <f t="shared" si="544"/>
        <v xml:space="preserve"> </v>
      </c>
      <c r="AU160" s="176" t="str">
        <f t="shared" si="445"/>
        <v/>
      </c>
      <c r="AV160" s="177" t="str">
        <f t="shared" si="446"/>
        <v xml:space="preserve"> </v>
      </c>
      <c r="AW160" s="144" t="str">
        <f t="shared" si="447"/>
        <v xml:space="preserve"> </v>
      </c>
      <c r="AX160" s="144" t="str">
        <f t="shared" si="448"/>
        <v xml:space="preserve"> </v>
      </c>
      <c r="AY160" s="152" t="str">
        <f t="shared" si="449"/>
        <v xml:space="preserve"> </v>
      </c>
      <c r="AZ160" s="246" t="str">
        <f t="shared" si="450"/>
        <v/>
      </c>
      <c r="BA160" s="176" t="str">
        <f t="shared" si="451"/>
        <v xml:space="preserve"> </v>
      </c>
      <c r="BB160" s="176" t="str">
        <f t="shared" si="452"/>
        <v xml:space="preserve"> </v>
      </c>
      <c r="BC160" s="195"/>
      <c r="BD160" s="316"/>
      <c r="BE160" s="317"/>
      <c r="BF160" s="318"/>
      <c r="BG160" s="318"/>
      <c r="BH160" s="144" t="str">
        <f t="shared" si="621"/>
        <v xml:space="preserve"> </v>
      </c>
      <c r="BI160" s="176" t="str">
        <f t="shared" si="453"/>
        <v/>
      </c>
      <c r="BJ160" s="144" t="str">
        <f t="shared" si="622"/>
        <v/>
      </c>
      <c r="BK160" s="246" t="str">
        <f t="shared" si="454"/>
        <v/>
      </c>
      <c r="BL160" s="144" t="str">
        <f t="shared" si="623"/>
        <v/>
      </c>
      <c r="BM160" s="246" t="str">
        <f t="shared" si="455"/>
        <v/>
      </c>
      <c r="BN160" s="337" t="str">
        <f t="shared" si="545"/>
        <v/>
      </c>
      <c r="BO160" s="371" t="str">
        <f t="shared" si="546"/>
        <v/>
      </c>
      <c r="BP160" s="328" t="str">
        <f t="shared" si="624"/>
        <v xml:space="preserve"> </v>
      </c>
      <c r="BQ160" s="347" t="str">
        <f t="shared" si="547"/>
        <v xml:space="preserve"> </v>
      </c>
      <c r="BR160" s="353" t="str">
        <f t="shared" si="548"/>
        <v xml:space="preserve"> </v>
      </c>
      <c r="BS160" s="626" t="str">
        <f>IF(L160&gt;0,IF(Calculation!P160="M13",BR160*3.1416*(0.134^2)/(4*144),IF(Calculation!P160="M17",BR160*3.1416*(0.165^2)/(4*144),IF(Calculation!P160="M20",BR160*3.1416*(0.198^2)/(4*144),IF(Calculation!P160="M23",BR160*3.1416*(0.228^2)/(4*144),IF(Calculation!P160="M27",BR160*3.1416*(0.269^2)/(4*144),BR160*3.1416*(0.307^2)/(4*144))))))," ")</f>
        <v xml:space="preserve"> </v>
      </c>
      <c r="BT160" s="353" t="str">
        <f>IF(L160&gt;0,IF(BS160&gt;0,R160/Calculation!BS160,0)," ")</f>
        <v xml:space="preserve"> </v>
      </c>
      <c r="BU160" s="438" t="e">
        <f t="shared" ca="1" si="456"/>
        <v>#VALUE!</v>
      </c>
      <c r="BV160" s="449" t="e">
        <f ca="1">INDEX(INDIRECT(VLOOKUP(LEFT(BO160,7),CLU!$Z$3:$AH$18,2)),GN160,GR160)</f>
        <v>#N/A</v>
      </c>
      <c r="BW160" s="433" t="e">
        <f ca="1">INDEX(INDIRECT(VLOOKUP(LEFT(BO160,7),CLU!$Z$3:$AH$18,3)),GN160,GR160)</f>
        <v>#N/A</v>
      </c>
      <c r="BX160" s="433" t="e">
        <f ca="1">INDEX(INDIRECT(VLOOKUP(LEFT(BO160,7),CLU!$Z$3:$AH$18,4)),GN160,GR160)</f>
        <v>#N/A</v>
      </c>
      <c r="BY160" s="433" t="e">
        <f ca="1">INDEX(INDIRECT(VLOOKUP(LEFT(BO160,7),CLU!$Z$3:$AH$18,9)),((M160-2)*(6-COUNTBLANK(GT160:GY160)))+GJ160)</f>
        <v>#N/A</v>
      </c>
      <c r="BZ160" s="426" t="e">
        <f t="shared" ca="1" si="549"/>
        <v>#N/A</v>
      </c>
      <c r="CA160" s="424" t="e">
        <f t="shared" ca="1" si="550"/>
        <v>#N/A</v>
      </c>
      <c r="CB160" s="429" t="e">
        <f ca="1">INDEX(INDIRECT(VLOOKUP(LEFT(BO160,7),CLU!$Z$3:$AH$18,2)),GN160,GS160)</f>
        <v>#N/A</v>
      </c>
      <c r="CC160" s="342" t="e">
        <f ca="1">INDEX(INDIRECT(VLOOKUP(LEFT(BO160,7),CLU!$Z$3:$AH$18,3)),GN160,GS160)</f>
        <v>#N/A</v>
      </c>
      <c r="CD160" s="342" t="e">
        <f ca="1">INDEX(INDIRECT(VLOOKUP(LEFT(BO160,7),CLU!$Z$3:$AH$18,4)),GN160,GS160)</f>
        <v>#N/A</v>
      </c>
      <c r="CE160" s="426" t="e">
        <f t="shared" ca="1" si="551"/>
        <v>#N/A</v>
      </c>
      <c r="CF160" s="440">
        <f t="shared" si="552"/>
        <v>0</v>
      </c>
      <c r="CG160" s="431" t="e">
        <f ca="1">INDEX(INDIRECT(VLOOKUP(LEFT(BO160,7),CLU!$Z$3:$AH$18,2)),GQ160,GR160)</f>
        <v>#N/A</v>
      </c>
      <c r="CH160" s="431" t="e">
        <f ca="1">INDEX(INDIRECT(VLOOKUP(LEFT(BO160,7),CLU!$Z$3:$AH$18,3)),GQ160,GR160)</f>
        <v>#N/A</v>
      </c>
      <c r="CI160" s="431" t="e">
        <f ca="1">INDEX(INDIRECT(VLOOKUP(LEFT(BO160,7),CLU!$Z$3:$AH$18,4)),GQ160,GR160)</f>
        <v>#N/A</v>
      </c>
      <c r="CJ160" s="448" t="e">
        <f t="shared" ca="1" si="553"/>
        <v>#N/A</v>
      </c>
      <c r="CK160" s="431" t="e">
        <f t="shared" ca="1" si="554"/>
        <v>#N/A</v>
      </c>
      <c r="CL160" s="440" t="e">
        <f t="shared" ca="1" si="555"/>
        <v>#N/A</v>
      </c>
      <c r="CM160" s="431" t="e">
        <f ca="1">INDEX(INDIRECT(VLOOKUP(LEFT(BO160,7),CLU!$Z$3:$AH$18,2)),GQ160,GS160)</f>
        <v>#N/A</v>
      </c>
      <c r="CN160" s="431" t="e">
        <f ca="1">INDEX(INDIRECT(VLOOKUP(LEFT(BO160,7),CLU!$Z$3:$AH$18,3)),GQ160,GS160)</f>
        <v>#N/A</v>
      </c>
      <c r="CO160" s="431" t="e">
        <f ca="1">INDEX(INDIRECT(VLOOKUP(LEFT(BO160,7),CLU!$Z$3:$AH$18,4)),GQ160,GS160)</f>
        <v>#N/A</v>
      </c>
      <c r="CP160" s="431" t="e">
        <f t="shared" ca="1" si="556"/>
        <v>#N/A</v>
      </c>
      <c r="CQ160" s="440">
        <f t="shared" si="557"/>
        <v>0</v>
      </c>
      <c r="CR160" s="51" t="e">
        <f t="shared" ca="1" si="558"/>
        <v>#N/A</v>
      </c>
      <c r="CS160" s="439" t="e">
        <f t="shared" ca="1" si="559"/>
        <v>#VALUE!</v>
      </c>
      <c r="CT160" s="51" t="e">
        <f t="shared" ca="1" si="560"/>
        <v>#VALUE!</v>
      </c>
      <c r="CU160" s="10"/>
      <c r="CV160" s="51" t="e">
        <f t="shared" ca="1" si="457"/>
        <v>#VALUE!</v>
      </c>
      <c r="CW160" s="51">
        <f t="shared" si="561"/>
        <v>0</v>
      </c>
      <c r="CX160" s="439" t="e">
        <f t="shared" ca="1" si="562"/>
        <v>#VALUE!</v>
      </c>
      <c r="CY160" s="51" t="e">
        <f t="shared" ca="1" si="563"/>
        <v>#VALUE!</v>
      </c>
      <c r="CZ160" s="10"/>
      <c r="DA160" s="51" t="e">
        <f t="shared" ca="1" si="564"/>
        <v>#VALUE!</v>
      </c>
      <c r="DB160" s="347" t="e">
        <f ca="1">INDEX(INDIRECT(VLOOKUP(LEFT(BO160,7),CLU!$Z$3:$AI$18,10)),((M160-2)*(6-COUNTBLANK(GT160:GY160)))+GJ160)*LI160</f>
        <v>#N/A</v>
      </c>
      <c r="DC160" s="347" t="str">
        <f>IF(L160&gt;0,((R160/Worksheet!$I$15)/DB160)^2," ")</f>
        <v xml:space="preserve"> </v>
      </c>
      <c r="DD160" s="602" t="str">
        <f t="shared" si="565"/>
        <v xml:space="preserve"> </v>
      </c>
      <c r="DE160" s="347" t="str">
        <f t="shared" si="458"/>
        <v xml:space="preserve"> </v>
      </c>
      <c r="DF160" s="356" t="e">
        <f ca="1">INDEX(INDIRECT(VLOOKUP(LEFT(BO160,7),CLU!$Z$3:$AH$18,8)),((M160-2)*(6-COUNTBLANK(GT160:GY160)))+GJ160)</f>
        <v>#N/A</v>
      </c>
      <c r="DG160" s="347" t="str">
        <f t="shared" si="459"/>
        <v xml:space="preserve"> </v>
      </c>
      <c r="DH160" s="357" t="str">
        <f t="shared" si="460"/>
        <v xml:space="preserve"> </v>
      </c>
      <c r="DI160" s="355" t="str">
        <f t="shared" si="461"/>
        <v xml:space="preserve"> </v>
      </c>
      <c r="DJ160" s="245" t="e">
        <f ca="1">INDEX(INDIRECT(VLOOKUP(LEFT(BO160,7),CLU!$Z$3:$AH$18,5)),GL160,GK160)</f>
        <v>#N/A</v>
      </c>
      <c r="DK160" s="245" t="e">
        <f ca="1">INDEX(INDIRECT(VLOOKUP(LEFT(BO160,7),CLU!$Z$3:$AH$18,6)),GL160,GK160)</f>
        <v>#N/A</v>
      </c>
      <c r="DL160" s="355">
        <f>(Calculation!R160*0.69143*(Calculation!$BQ$8-Calculation!$F$8))*$S$14</f>
        <v>0</v>
      </c>
      <c r="DM160" s="359" t="e">
        <f t="shared" si="566"/>
        <v>#VALUE!</v>
      </c>
      <c r="DN160" s="611">
        <f t="shared" si="567"/>
        <v>0</v>
      </c>
      <c r="DO160" s="359">
        <f t="shared" si="568"/>
        <v>100</v>
      </c>
      <c r="DP160" s="359">
        <f t="shared" si="569"/>
        <v>0</v>
      </c>
      <c r="DQ160" s="360"/>
      <c r="DR160" s="245" t="e">
        <f ca="1">INDEX(INDIRECT(VLOOKUP(LEFT(BO160,7),CLU!$Z$3:$AH$18,7)),M160-1,1)</f>
        <v>#N/A</v>
      </c>
      <c r="DS160" s="245" t="e">
        <f ca="1">INDEX(INDIRECT(VLOOKUP(LEFT(BO160,7),CLU!$Z$3:$AH$18,7)),M160-1,2)</f>
        <v>#N/A</v>
      </c>
      <c r="DT160" s="245" t="e">
        <f ca="1">INDEX(INDIRECT(VLOOKUP(LEFT(BO160,7),CLU!$Z$3:$AH$18,7)),M160-1,3)</f>
        <v>#N/A</v>
      </c>
      <c r="DU160" s="245" t="e">
        <f ca="1">INDEX(INDIRECT(VLOOKUP(LEFT(BO160,7),CLU!$Z$3:$AH$18,7)),M160-1,4)</f>
        <v>#N/A</v>
      </c>
      <c r="DV160" s="361" t="e">
        <f ca="1">INDEX(INDIRECT(VLOOKUP(LEFT(BO160,7),CLU!$Z$3:$AH$18,7)),M160-1,4+LEFT(DZ160,1)*0.5)</f>
        <v>#N/A</v>
      </c>
      <c r="DW160" s="245" t="e">
        <f ca="1">INDEX(INDIRECT(VLOOKUP(LEFT(BO160,7),CLU!$Z$3:$AH$18,7)),M160-1,8)</f>
        <v>#N/A</v>
      </c>
      <c r="DX160" s="361" t="str">
        <f t="shared" si="462"/>
        <v xml:space="preserve"> </v>
      </c>
      <c r="DY160" s="361" t="str">
        <f t="shared" si="463"/>
        <v xml:space="preserve"> </v>
      </c>
      <c r="DZ160" s="361" t="str">
        <f t="shared" si="464"/>
        <v xml:space="preserve"> </v>
      </c>
      <c r="EA160" s="362" t="str">
        <f t="shared" si="465"/>
        <v xml:space="preserve"> </v>
      </c>
      <c r="EB160" s="624" t="str">
        <f t="shared" si="570"/>
        <v xml:space="preserve"> </v>
      </c>
      <c r="EC160" s="361" t="e">
        <f ca="1">INDEX(INDIRECT(VLOOKUP(LEFT(BO160,7),CLU!$Z$3:$AH$18,7)),M160-1,4+LEFT(DZ160,1)*0.5)</f>
        <v>#N/A</v>
      </c>
      <c r="ED160" s="362" t="str">
        <f t="shared" si="466"/>
        <v xml:space="preserve"> </v>
      </c>
      <c r="EE160" s="361" t="str">
        <f t="shared" si="467"/>
        <v xml:space="preserve"> </v>
      </c>
      <c r="EF160" s="362" t="str">
        <f>IF(L160&gt;0,IF(BR160&gt;0,IF(EE160="2P",IF(Calculation!DZ160="2P",IF(Calculation!DS160=13.75,IF(Calculation!DR160=13,Worksheet!$BD$43,IF(Calculation!DR160=37,Worksheet!$BD$44,Worksheet!$BD$45)),IF(Calculation!DS160=10,IF(Calculation!DR160=18,Worksheet!$BD$29,IF(Calculation!DR160=30,Worksheet!$BD$30,IF(Calculation!DR160=42,Worksheet!$BD$31,IF(Calculation!DR160=54,Worksheet!$BD$32,IF(Calculation!DR160=66,Worksheet!$BD$33,IF(Calculation!DR160=78,Worksheet!$BD$34,IF(Calculation!DR160=90,Worksheet!$BD$35,IF(Calculation!DR160=102,Worksheet!$BD$36,Worksheet!$BD$37)))))))),IF(Calculation!DS160=12.5,IF(Calculation!DR160=18,Worksheet!$BD$38,IF(Calculation!DR160=Worksheet!$BD$39,IF(Calculation!DR160=42,Worksheet!$BD$40,IF(Calculation!DR160=54,Worksheet!$BD$41,Worksheet!$BD$42)))),IF(Calculation!DR160=18,Worksheet!$BD$11,IF(Calculation!DR160=30,Worksheet!$BD$12,IF(Calculation!DR160=42,Worksheet!$BD$13,IF(Calculation!DR160=54,Worksheet!$BD$14,IF(Calculation!DR160=66,Worksheet!$BD$15,IF(Calculation!DR160=78,Worksheet!$BD$16,IF(Calculation!DR160=90,Worksheet!$BD$17,IF(Calculation!DR160=102,Worksheet!$BD$18,Worksheet!$BD$19))))))))))),IF(Calculation!DS160=13.75,IF(Calculation!DR160=13,Worksheet!$BD$78,IF(Calculation!DR160=37,Worksheet!$BD$79,Worksheet!$BD$80)),IF(Calculation!DS160=10,IF(Calculation!DR160=18,Worksheet!$BD$64,IF(Calculation!DR160=30,Worksheet!$BD$65,IF(Calculation!DR160=42,Worksheet!$BD$66,IF(Calculation!DR160=54,Worksheet!$BD$68,IF(Calculation!DR160=66,Worksheet!$BD$68,IF(Calculation!DR160=78,Worksheet!$BD$69,IF(Calculation!DR160=90,Worksheet!$BD$70,IF(Calculation!DR160=102,Worksheet!$BD$71,Worksheet!$BD$72)))))))),IF(Calculation!DS160=12.5,IF(Calculation!DR160=18,Worksheet!$BD$73,IF(Calculation!DR160=Worksheet!$BD$74,IF(Calculation!DR160=42,Worksheet!$BD$75,IF(Calculation!DR160=54,Worksheet!$BD$76,Worksheet!$BD$77)))),IF(Calculation!DR160=18,Worksheet!$BD$55,IF(Calculation!DR160=30,Worksheet!$BD$56,IF(Calculation!DR160=42,Worksheet!$BD$57,IF(Calculation!DR160=54,Worksheet!$BD$58,IF(Calculation!DR160=66,Worksheet!$BD$59,IF(Calculation!DR160=78,Worksheet!$BD$60,IF(Calculation!DR160=90,Worksheet!$BD$61,IF(Calculation!DR160=102,Worksheet!$BD$62,Worksheet!$BD$63)))))))))))),5),0)," ")</f>
        <v xml:space="preserve"> </v>
      </c>
      <c r="EG160" s="361" t="str">
        <f t="shared" si="468"/>
        <v xml:space="preserve"> </v>
      </c>
      <c r="EH160" s="361" t="e">
        <f ca="1">INDEX(INDIRECT(VLOOKUP(LEFT(BO160,7),CLU!$Z$3:$AH$18,7)),M160-1,3+LEFT(DZ160,1))</f>
        <v>#N/A</v>
      </c>
      <c r="EI160" s="362" t="str">
        <f t="shared" si="469"/>
        <v xml:space="preserve"> </v>
      </c>
      <c r="EJ160" s="363" t="str">
        <f t="shared" si="470"/>
        <v xml:space="preserve"> </v>
      </c>
      <c r="EK160" s="363" t="str">
        <f t="shared" si="471"/>
        <v xml:space="preserve"> </v>
      </c>
      <c r="EL160" s="363" t="str">
        <f t="shared" si="472"/>
        <v xml:space="preserve"> </v>
      </c>
      <c r="EM160" s="362" t="str">
        <f>IF(L160&gt;0,IF(BR160&gt;0,(Calculation!T160/ED160)^2,0)," ")</f>
        <v xml:space="preserve"> </v>
      </c>
      <c r="EN160" s="362" t="str">
        <f>IF(L160&gt;0,IF(O160="2 Pipe (Cooling)","N/A",IF(BR160&gt;0,(Calculation!U160/EI160)^2,0))," ")</f>
        <v xml:space="preserve"> </v>
      </c>
      <c r="EO160" s="361" t="str">
        <f t="shared" si="473"/>
        <v/>
      </c>
      <c r="EP160" s="361" t="str">
        <f t="shared" si="474"/>
        <v/>
      </c>
      <c r="EQ160" s="361" t="str">
        <f t="shared" si="475"/>
        <v/>
      </c>
      <c r="ER160" s="361" t="str">
        <f t="shared" si="476"/>
        <v/>
      </c>
      <c r="ES160" s="361" t="str">
        <f t="shared" si="477"/>
        <v/>
      </c>
      <c r="ET160" s="361" t="str">
        <f t="shared" si="478"/>
        <v/>
      </c>
      <c r="EU160" s="361" t="str">
        <f t="shared" si="479"/>
        <v/>
      </c>
      <c r="EV160" s="361" t="str">
        <f t="shared" si="480"/>
        <v/>
      </c>
      <c r="EW160" s="361" t="str">
        <f t="shared" si="481"/>
        <v/>
      </c>
      <c r="EX160" s="361" t="str">
        <f t="shared" si="571"/>
        <v>1 slot, 1 way</v>
      </c>
      <c r="EY160" s="361" t="str">
        <f t="shared" si="572"/>
        <v xml:space="preserve"> </v>
      </c>
      <c r="EZ160" s="361" t="str">
        <f t="shared" si="573"/>
        <v xml:space="preserve"> </v>
      </c>
      <c r="FA160" s="361" t="str">
        <f t="shared" si="574"/>
        <v xml:space="preserve"> </v>
      </c>
      <c r="FB160" s="361" t="str">
        <f t="shared" si="575"/>
        <v xml:space="preserve"> </v>
      </c>
      <c r="FC160" s="361"/>
      <c r="FD160" s="361" t="str">
        <f>IF(J160&gt;0,IF(Calculation!R160&lt;=70,4,IF(Calculation!R160&lt;=110,5,IF(Calculation!R160&lt;=160,6,IF(Calculation!R160&lt;=300,8,"10 EO")))),"")</f>
        <v/>
      </c>
      <c r="FE160" s="361" t="str">
        <f t="shared" si="576"/>
        <v/>
      </c>
      <c r="FF160" s="361" t="str">
        <f t="shared" si="577"/>
        <v/>
      </c>
      <c r="FG160" s="361" t="e">
        <f t="shared" si="482"/>
        <v>#N/A</v>
      </c>
      <c r="FH160" s="361">
        <f t="shared" si="483"/>
        <v>0</v>
      </c>
      <c r="FI160" s="361" t="e">
        <f t="shared" si="484"/>
        <v>#DIV/0!</v>
      </c>
      <c r="FJ160" s="361"/>
      <c r="FK160" s="356" t="e">
        <f t="shared" si="485"/>
        <v>#VALUE!</v>
      </c>
      <c r="FL160" s="361"/>
      <c r="FM160" s="361"/>
      <c r="FN160" s="362" t="str">
        <f t="shared" si="578"/>
        <v xml:space="preserve"> </v>
      </c>
      <c r="FO160" s="362" t="str">
        <f t="shared" si="579"/>
        <v xml:space="preserve"> </v>
      </c>
      <c r="FP160" s="362">
        <f t="shared" si="580"/>
        <v>0</v>
      </c>
      <c r="FQ160" s="361">
        <f t="shared" si="486"/>
        <v>0</v>
      </c>
      <c r="FR160" s="362" t="str">
        <f>IF(L160&gt;0,IF(J160="CBAL2",Worksheet!$P$67,IF(J160="CBE2-24",Worksheet!$Q$67,IF(J160="CBAM",Worksheet!$R$67,IF(J160="CBLV",Worksheet!$S$67,IF(J160="CBAB",Worksheet!$U$67,IF(J160="CBAW",Worksheet!$X$67,IF(J160="CBE2-12",Worksheet!$Y$67,IF(J160="CBAL2",Worksheet!$Z$67,"N/A"))))))))," ")</f>
        <v xml:space="preserve"> </v>
      </c>
      <c r="FS160" s="362" t="str">
        <f>IF(L160&gt;0,IF(J160="CBAL2",Worksheet!$P$68,IF(J160="CBE2-24",Worksheet!$Q$68,IF(J160="CBAM",Worksheet!$R$68,IF(J160="CBLV",Worksheet!$S$68,IF(J160="CBAB",Worksheet!$U$68,IF(J160="CBAW",Worksheet!$X$68,IF(J160="CBE2-12",Worksheet!$Y$68,IF(J160="CBAL2",Worksheet!$Z$68,"N/A"))))))))," ")</f>
        <v xml:space="preserve"> </v>
      </c>
      <c r="FT160" s="362" t="str">
        <f>IF(L160&gt;0,IF(J160="CBAL2",Worksheet!$P$69,IF(J160="CBE2-24",Worksheet!$Q$69,IF(J160="CBAM",Worksheet!$R$69,IF(J160="CBLV",Worksheet!$S$69,IF(J160="CBAB",Worksheet!$U$69,IF(J160="CBAW",Worksheet!$X$69,IF(J160="CBE2-12",Worksheet!$Y$69,IF(J160="CBAL2",Worksheet!$Z$69,"N/A"))))))))," ")</f>
        <v xml:space="preserve"> </v>
      </c>
      <c r="FU160" s="361" t="str">
        <f t="shared" si="581"/>
        <v xml:space="preserve"> </v>
      </c>
      <c r="FV160" s="362" t="str">
        <f t="shared" si="582"/>
        <v xml:space="preserve"> </v>
      </c>
      <c r="FW160" s="362" t="str">
        <f t="shared" si="583"/>
        <v xml:space="preserve"> </v>
      </c>
      <c r="FX160" s="362" t="str">
        <f t="shared" si="584"/>
        <v xml:space="preserve"> </v>
      </c>
      <c r="FY160" s="355" t="str">
        <f t="shared" si="585"/>
        <v xml:space="preserve"> </v>
      </c>
      <c r="FZ160" s="361" t="str">
        <f t="shared" si="586"/>
        <v xml:space="preserve"> </v>
      </c>
      <c r="GA160" s="347" t="str">
        <f t="shared" si="587"/>
        <v xml:space="preserve"> </v>
      </c>
      <c r="GB160" s="355" t="str">
        <f t="shared" si="588"/>
        <v xml:space="preserve"> </v>
      </c>
      <c r="GC160" s="328" t="str">
        <f t="shared" si="589"/>
        <v xml:space="preserve"> </v>
      </c>
      <c r="GD160" s="361" t="str">
        <f t="shared" si="590"/>
        <v xml:space="preserve"> </v>
      </c>
      <c r="GE160" s="347" t="str">
        <f t="shared" si="591"/>
        <v xml:space="preserve"> </v>
      </c>
      <c r="GF160" s="361" t="str">
        <f t="shared" si="592"/>
        <v xml:space="preserve"> </v>
      </c>
      <c r="GG160" s="347" t="str">
        <f t="shared" si="593"/>
        <v xml:space="preserve"> </v>
      </c>
      <c r="GH160" s="364">
        <f t="shared" si="487"/>
        <v>0</v>
      </c>
      <c r="GI160" s="362">
        <f t="shared" si="594"/>
        <v>2</v>
      </c>
      <c r="GJ160" s="433" t="e">
        <f>IF(6-COUNTBLANK(GT160:GY160)=4,MATCH(MID(BO160,9,3),CLU!$H$16:$K$16),MATCH(MID(BO160,9,3),CLU!$H$13:$M$13))</f>
        <v>#N/A</v>
      </c>
      <c r="GK160" s="433" t="e">
        <f>HLOOKUP(VALUE(BP160),CLU!$H$9:$M$10,2)</f>
        <v>#VALUE!</v>
      </c>
      <c r="GL160" s="433" t="e">
        <f ca="1">MATCH(BU160,CLU!$H$2:$V$2,1)</f>
        <v>#VALUE!</v>
      </c>
      <c r="GM160" s="433" t="e">
        <f t="shared" ca="1" si="595"/>
        <v>#VALUE!</v>
      </c>
      <c r="GN160" s="433" t="e">
        <f t="shared" ca="1" si="596"/>
        <v>#VALUE!</v>
      </c>
      <c r="GO160" s="433" t="e">
        <f t="shared" ca="1" si="597"/>
        <v>#VALUE!</v>
      </c>
      <c r="GP160" s="433" t="e">
        <f t="shared" ca="1" si="598"/>
        <v>#VALUE!</v>
      </c>
      <c r="GQ160" s="433" t="e">
        <f t="shared" ca="1" si="599"/>
        <v>#VALUE!</v>
      </c>
      <c r="GR160" s="433" t="e">
        <f ca="1">MATCH(T160,INDIRECT(VLOOKUP(CONCATENATE(LEFT(BO160,7),"-",MID(BO160,13,1)),CLU!$P$3:$Q$16,2)),1)</f>
        <v>#N/A</v>
      </c>
      <c r="GS160" s="433" t="e">
        <f ca="1">MATCH(U160,INDIRECT(VLOOKUP(CONCATENATE(LEFT(BO160,7),"-",MID(BO160,13,1)),CLU!$P$3:$Q$16,2)),1)</f>
        <v>#N/A</v>
      </c>
      <c r="GT160" s="347" t="s">
        <v>512</v>
      </c>
      <c r="GU160" s="97" t="s">
        <v>513</v>
      </c>
      <c r="GV160" s="97" t="str">
        <f t="shared" si="600"/>
        <v>M23</v>
      </c>
      <c r="GW160" s="97" t="str">
        <f t="shared" si="601"/>
        <v>M31</v>
      </c>
      <c r="GX160" s="97" t="str">
        <f t="shared" si="602"/>
        <v/>
      </c>
      <c r="GY160" s="97" t="str">
        <f t="shared" si="603"/>
        <v/>
      </c>
      <c r="GZ160" s="481"/>
      <c r="HA160" s="288"/>
      <c r="HB160" s="240"/>
      <c r="HC160" s="240"/>
      <c r="HD160" s="240"/>
      <c r="HE160" s="240"/>
      <c r="HF160" s="240"/>
      <c r="HG160" s="240"/>
      <c r="HH160" s="240"/>
      <c r="HI160" s="240"/>
      <c r="HJ160" s="240"/>
      <c r="HK160" s="240"/>
      <c r="HL160" s="240"/>
      <c r="HM160" s="240"/>
      <c r="HN160" s="240"/>
      <c r="HO160" s="240"/>
      <c r="HP160" s="240"/>
      <c r="HQ160" s="240"/>
      <c r="HR160" s="240"/>
      <c r="HS160" s="240"/>
      <c r="HT160" s="240"/>
      <c r="HU160" s="240"/>
      <c r="HV160" s="245"/>
      <c r="HW160" s="245" t="b">
        <v>1</v>
      </c>
      <c r="HX160" s="245" t="str">
        <f t="shared" si="488"/>
        <v/>
      </c>
      <c r="HY160" s="245" t="e">
        <f t="shared" si="489"/>
        <v>#DIV/0!</v>
      </c>
      <c r="HZ160" s="245" t="e">
        <f t="shared" si="490"/>
        <v>#DIV/0!</v>
      </c>
      <c r="IA160" s="245">
        <f t="shared" si="491"/>
        <v>0</v>
      </c>
      <c r="IB160" s="245"/>
      <c r="IC160" t="b">
        <f t="shared" si="492"/>
        <v>1</v>
      </c>
      <c r="ID160" s="245" t="b">
        <f t="shared" si="493"/>
        <v>1</v>
      </c>
      <c r="IE160" s="245" t="b">
        <f t="shared" si="494"/>
        <v>1</v>
      </c>
      <c r="IF160" s="245" t="b">
        <f t="shared" si="495"/>
        <v>0</v>
      </c>
      <c r="IG160" s="245" t="b">
        <f t="shared" si="496"/>
        <v>1</v>
      </c>
      <c r="IH160" s="245" t="b">
        <f t="shared" si="497"/>
        <v>1</v>
      </c>
      <c r="II160" s="245">
        <f t="shared" si="604"/>
        <v>0</v>
      </c>
      <c r="IJ160" s="245" t="e">
        <f t="shared" si="498"/>
        <v>#VALUE!</v>
      </c>
      <c r="IK160" s="245" t="e">
        <f t="shared" si="499"/>
        <v>#VALUE!</v>
      </c>
      <c r="IL160" s="245"/>
      <c r="IM160" s="245" t="e">
        <f t="shared" si="605"/>
        <v>#N/A</v>
      </c>
      <c r="IN160" s="245" t="e">
        <f t="shared" si="606"/>
        <v>#N/A</v>
      </c>
      <c r="IO160" s="245"/>
      <c r="IP160" s="245"/>
      <c r="IQ160" s="245" t="str">
        <f t="shared" si="500"/>
        <v/>
      </c>
      <c r="IR160" s="245" t="str">
        <f>IF(J160="","",VLOOKUP(J160,Worksheet!$R$4:$T$14,2))</f>
        <v/>
      </c>
      <c r="IS160" s="245"/>
      <c r="IT160" s="245">
        <f t="shared" si="501"/>
        <v>0</v>
      </c>
      <c r="IU160" s="245">
        <f t="shared" si="502"/>
        <v>0</v>
      </c>
      <c r="IV160" s="245">
        <f t="shared" si="503"/>
        <v>0</v>
      </c>
      <c r="IW160" s="245">
        <f t="shared" si="504"/>
        <v>0</v>
      </c>
      <c r="IX160" s="245">
        <f t="shared" si="607"/>
        <v>0</v>
      </c>
      <c r="IY160" s="245">
        <f t="shared" si="505"/>
        <v>0</v>
      </c>
      <c r="IZ160" s="245">
        <f t="shared" si="506"/>
        <v>0</v>
      </c>
      <c r="JA160">
        <f t="shared" si="507"/>
        <v>0</v>
      </c>
      <c r="JB160">
        <f t="shared" si="608"/>
        <v>0</v>
      </c>
      <c r="JC160">
        <f t="shared" si="508"/>
        <v>0</v>
      </c>
      <c r="JD160">
        <f t="shared" si="509"/>
        <v>0</v>
      </c>
      <c r="JE160">
        <f t="shared" si="510"/>
        <v>0</v>
      </c>
      <c r="JF160">
        <f t="shared" si="511"/>
        <v>0</v>
      </c>
      <c r="JG160">
        <f t="shared" si="512"/>
        <v>0</v>
      </c>
      <c r="JH160">
        <f t="shared" si="513"/>
        <v>0</v>
      </c>
      <c r="JI160">
        <f t="shared" si="514"/>
        <v>0</v>
      </c>
      <c r="JJ160" s="447">
        <f t="shared" si="515"/>
        <v>0</v>
      </c>
      <c r="JK160" s="447">
        <f t="shared" si="516"/>
        <v>0</v>
      </c>
      <c r="JL160">
        <f t="shared" si="517"/>
        <v>0</v>
      </c>
      <c r="JM160" s="245" t="str">
        <f>IFERROR(VLOOKUP(MATCH(BN160,#REF!,0),#REF!,7),"")</f>
        <v/>
      </c>
      <c r="JN160" t="e">
        <f>HLOOKUP(LEFT(BO160,7),Discharge_Area,MATCH(JO160,LookUps!$B$130:$B$149,1)+2)</f>
        <v>#N/A</v>
      </c>
      <c r="JO160" t="str">
        <f t="shared" si="518"/>
        <v>- S</v>
      </c>
      <c r="JP160" t="e">
        <f>HLOOKUP(LEFT(BO160,7),Discharge_Area,MATCH(JO160,LookUps!$B$130:$B$149,1)+2)</f>
        <v>#N/A</v>
      </c>
      <c r="JQ160" t="e">
        <f t="shared" si="519"/>
        <v>#N/A</v>
      </c>
      <c r="JR160" t="e">
        <f t="shared" si="520"/>
        <v>#N/A</v>
      </c>
      <c r="JS160" t="e">
        <f t="shared" si="521"/>
        <v>#N/A</v>
      </c>
      <c r="JT160" s="532" t="str">
        <f t="shared" si="522"/>
        <v xml:space="preserve"> </v>
      </c>
      <c r="JU160" s="532" t="str">
        <f t="shared" si="523"/>
        <v xml:space="preserve"> </v>
      </c>
      <c r="JV160" s="533" t="str">
        <f t="shared" si="524"/>
        <v xml:space="preserve"> </v>
      </c>
      <c r="JW160" s="534">
        <f t="shared" si="525"/>
        <v>0</v>
      </c>
      <c r="JX160" s="535" t="str">
        <f t="shared" si="609"/>
        <v xml:space="preserve"> </v>
      </c>
      <c r="JY160" s="535" t="str">
        <f t="shared" si="610"/>
        <v xml:space="preserve"> </v>
      </c>
      <c r="JZ160" s="535" t="str">
        <f t="shared" si="611"/>
        <v xml:space="preserve"> </v>
      </c>
      <c r="KA160" s="536" t="str">
        <f t="shared" si="526"/>
        <v xml:space="preserve"> </v>
      </c>
      <c r="KB160" s="535" t="e">
        <f t="shared" si="612"/>
        <v>#VALUE!</v>
      </c>
      <c r="KC160" s="535" t="str">
        <f t="shared" si="527"/>
        <v/>
      </c>
      <c r="KD160" s="537" t="str">
        <f t="shared" si="613"/>
        <v xml:space="preserve"> </v>
      </c>
      <c r="KE160" s="537" t="str">
        <f t="shared" si="614"/>
        <v xml:space="preserve"> </v>
      </c>
      <c r="KF160" s="534">
        <f t="shared" si="528"/>
        <v>0</v>
      </c>
      <c r="KG160" s="535" t="str">
        <f t="shared" si="529"/>
        <v xml:space="preserve"> </v>
      </c>
      <c r="KH160" s="535" t="str">
        <f t="shared" si="530"/>
        <v xml:space="preserve"> </v>
      </c>
      <c r="KI160" s="535" t="str">
        <f t="shared" si="531"/>
        <v xml:space="preserve"> </v>
      </c>
      <c r="KJ160" s="536" t="str">
        <f t="shared" si="532"/>
        <v xml:space="preserve"> </v>
      </c>
      <c r="KK160" s="535" t="str">
        <f t="shared" si="615"/>
        <v xml:space="preserve"> </v>
      </c>
      <c r="KL160" s="535" t="str">
        <f t="shared" si="616"/>
        <v xml:space="preserve"> </v>
      </c>
      <c r="KM160" s="537" t="str">
        <f t="shared" si="533"/>
        <v xml:space="preserve"> </v>
      </c>
      <c r="KN160" s="537" t="str">
        <f t="shared" si="617"/>
        <v xml:space="preserve"> </v>
      </c>
      <c r="KP160">
        <f t="shared" si="534"/>
        <v>0</v>
      </c>
      <c r="LA160" t="e">
        <f t="shared" si="535"/>
        <v>#VALUE!</v>
      </c>
      <c r="LB160" t="e">
        <f t="shared" si="536"/>
        <v>#VALUE!</v>
      </c>
      <c r="LC160" t="e">
        <f t="shared" si="537"/>
        <v>#VALUE!</v>
      </c>
      <c r="LD160" t="e">
        <f t="shared" si="538"/>
        <v>#VALUE!</v>
      </c>
      <c r="LE160" t="e">
        <f t="shared" si="618"/>
        <v>#VALUE!</v>
      </c>
      <c r="LF160">
        <f t="shared" si="539"/>
        <v>0</v>
      </c>
      <c r="LG160" t="e">
        <f t="shared" si="619"/>
        <v>#VALUE!</v>
      </c>
      <c r="LH160" t="str">
        <f t="shared" si="540"/>
        <v xml:space="preserve"> </v>
      </c>
      <c r="LI160">
        <f t="shared" si="620"/>
        <v>1</v>
      </c>
    </row>
    <row r="161" spans="2:321" ht="15" customHeight="1">
      <c r="B161" s="311"/>
      <c r="C161" s="311"/>
      <c r="D161" s="312"/>
      <c r="E161" s="311"/>
      <c r="F161" s="312"/>
      <c r="G161" s="311"/>
      <c r="H161" s="311"/>
      <c r="I161" s="37"/>
      <c r="J161" s="311"/>
      <c r="K161" s="305" t="str">
        <f t="shared" si="541"/>
        <v/>
      </c>
      <c r="L161" s="313"/>
      <c r="M161" s="312"/>
      <c r="N161" s="311"/>
      <c r="O161" s="312"/>
      <c r="P161" s="311"/>
      <c r="Q161" s="305" t="str">
        <f t="shared" si="542"/>
        <v/>
      </c>
      <c r="R161" s="314"/>
      <c r="S161" s="450" t="str">
        <f t="shared" si="425"/>
        <v/>
      </c>
      <c r="T161" s="315"/>
      <c r="U161" s="315"/>
      <c r="W161" s="149" t="str">
        <f t="shared" si="426"/>
        <v xml:space="preserve"> </v>
      </c>
      <c r="X161" s="243" t="str">
        <f t="shared" si="427"/>
        <v xml:space="preserve"> </v>
      </c>
      <c r="Y161" s="150" t="str">
        <f t="shared" si="428"/>
        <v/>
      </c>
      <c r="Z161" s="149" t="str">
        <f t="shared" si="429"/>
        <v xml:space="preserve"> </v>
      </c>
      <c r="AA161" s="98" t="str">
        <f t="shared" si="430"/>
        <v xml:space="preserve"> </v>
      </c>
      <c r="AB161" s="153" t="str">
        <f t="shared" si="431"/>
        <v xml:space="preserve"> </v>
      </c>
      <c r="AC161" s="153" t="str">
        <f t="shared" si="432"/>
        <v xml:space="preserve"> </v>
      </c>
      <c r="AD161" s="148" t="str">
        <f t="shared" si="433"/>
        <v/>
      </c>
      <c r="AE161" s="149" t="str">
        <f t="shared" si="434"/>
        <v/>
      </c>
      <c r="AF161" s="151" t="str">
        <f t="shared" si="435"/>
        <v xml:space="preserve"> </v>
      </c>
      <c r="AG161" s="153" t="str">
        <f t="shared" si="436"/>
        <v xml:space="preserve"> </v>
      </c>
      <c r="AH161" s="98" t="str">
        <f t="shared" si="437"/>
        <v xml:space="preserve"> </v>
      </c>
      <c r="AI161" s="149" t="str">
        <f t="shared" si="438"/>
        <v xml:space="preserve"> </v>
      </c>
      <c r="AK161" s="144" t="str">
        <f t="shared" si="439"/>
        <v xml:space="preserve"> </v>
      </c>
      <c r="AL161" s="144"/>
      <c r="AM161" s="243" t="str">
        <f t="shared" si="440"/>
        <v xml:space="preserve"> </v>
      </c>
      <c r="AN161" s="149" t="str">
        <f t="shared" si="543"/>
        <v xml:space="preserve"> </v>
      </c>
      <c r="AO161" s="144" t="str">
        <f>IF(JB161&gt;0,IF(GI161=10,-R161*1.085*(Calculation!$F$6-Calculation!$F$13)*$S$14," "),"")</f>
        <v/>
      </c>
      <c r="AP161" s="144" t="str">
        <f t="shared" si="441"/>
        <v/>
      </c>
      <c r="AQ161" s="56" t="str">
        <f t="shared" si="442"/>
        <v/>
      </c>
      <c r="AR161" s="144" t="str">
        <f t="shared" si="443"/>
        <v/>
      </c>
      <c r="AS161" s="176" t="str">
        <f t="shared" si="444"/>
        <v/>
      </c>
      <c r="AT161" s="176" t="str">
        <f t="shared" si="544"/>
        <v xml:space="preserve"> </v>
      </c>
      <c r="AU161" s="176" t="str">
        <f t="shared" si="445"/>
        <v/>
      </c>
      <c r="AV161" s="177" t="str">
        <f t="shared" si="446"/>
        <v xml:space="preserve"> </v>
      </c>
      <c r="AW161" s="144" t="str">
        <f t="shared" si="447"/>
        <v xml:space="preserve"> </v>
      </c>
      <c r="AX161" s="144" t="str">
        <f t="shared" si="448"/>
        <v xml:space="preserve"> </v>
      </c>
      <c r="AY161" s="152" t="str">
        <f t="shared" si="449"/>
        <v xml:space="preserve"> </v>
      </c>
      <c r="AZ161" s="246" t="str">
        <f t="shared" si="450"/>
        <v/>
      </c>
      <c r="BA161" s="176" t="str">
        <f t="shared" si="451"/>
        <v xml:space="preserve"> </v>
      </c>
      <c r="BB161" s="176" t="str">
        <f t="shared" si="452"/>
        <v xml:space="preserve"> </v>
      </c>
      <c r="BC161" s="195"/>
      <c r="BD161" s="316"/>
      <c r="BE161" s="317"/>
      <c r="BF161" s="318"/>
      <c r="BG161" s="318"/>
      <c r="BH161" s="144" t="str">
        <f t="shared" si="621"/>
        <v xml:space="preserve"> </v>
      </c>
      <c r="BI161" s="176" t="str">
        <f t="shared" si="453"/>
        <v/>
      </c>
      <c r="BJ161" s="144" t="str">
        <f t="shared" si="622"/>
        <v/>
      </c>
      <c r="BK161" s="246" t="str">
        <f t="shared" si="454"/>
        <v/>
      </c>
      <c r="BL161" s="144" t="str">
        <f t="shared" si="623"/>
        <v/>
      </c>
      <c r="BM161" s="246" t="str">
        <f t="shared" si="455"/>
        <v/>
      </c>
      <c r="BN161" s="337" t="str">
        <f t="shared" si="545"/>
        <v/>
      </c>
      <c r="BO161" s="371" t="str">
        <f t="shared" si="546"/>
        <v/>
      </c>
      <c r="BP161" s="328" t="str">
        <f t="shared" si="624"/>
        <v xml:space="preserve"> </v>
      </c>
      <c r="BQ161" s="347" t="str">
        <f t="shared" si="547"/>
        <v xml:space="preserve"> </v>
      </c>
      <c r="BR161" s="353" t="str">
        <f t="shared" si="548"/>
        <v xml:space="preserve"> </v>
      </c>
      <c r="BS161" s="626" t="str">
        <f>IF(L161&gt;0,IF(Calculation!P161="M13",BR161*3.1416*(0.134^2)/(4*144),IF(Calculation!P161="M17",BR161*3.1416*(0.165^2)/(4*144),IF(Calculation!P161="M20",BR161*3.1416*(0.198^2)/(4*144),IF(Calculation!P161="M23",BR161*3.1416*(0.228^2)/(4*144),IF(Calculation!P161="M27",BR161*3.1416*(0.269^2)/(4*144),BR161*3.1416*(0.307^2)/(4*144))))))," ")</f>
        <v xml:space="preserve"> </v>
      </c>
      <c r="BT161" s="353" t="str">
        <f>IF(L161&gt;0,IF(BS161&gt;0,R161/Calculation!BS161,0)," ")</f>
        <v xml:space="preserve"> </v>
      </c>
      <c r="BU161" s="438" t="e">
        <f t="shared" ca="1" si="456"/>
        <v>#VALUE!</v>
      </c>
      <c r="BV161" s="449" t="e">
        <f ca="1">INDEX(INDIRECT(VLOOKUP(LEFT(BO161,7),CLU!$Z$3:$AH$18,2)),GN161,GR161)</f>
        <v>#N/A</v>
      </c>
      <c r="BW161" s="433" t="e">
        <f ca="1">INDEX(INDIRECT(VLOOKUP(LEFT(BO161,7),CLU!$Z$3:$AH$18,3)),GN161,GR161)</f>
        <v>#N/A</v>
      </c>
      <c r="BX161" s="433" t="e">
        <f ca="1">INDEX(INDIRECT(VLOOKUP(LEFT(BO161,7),CLU!$Z$3:$AH$18,4)),GN161,GR161)</f>
        <v>#N/A</v>
      </c>
      <c r="BY161" s="433" t="e">
        <f ca="1">INDEX(INDIRECT(VLOOKUP(LEFT(BO161,7),CLU!$Z$3:$AH$18,9)),((M161-2)*(6-COUNTBLANK(GT161:GY161)))+GJ161)</f>
        <v>#N/A</v>
      </c>
      <c r="BZ161" s="426" t="e">
        <f t="shared" ca="1" si="549"/>
        <v>#N/A</v>
      </c>
      <c r="CA161" s="424" t="e">
        <f t="shared" ca="1" si="550"/>
        <v>#N/A</v>
      </c>
      <c r="CB161" s="429" t="e">
        <f ca="1">INDEX(INDIRECT(VLOOKUP(LEFT(BO161,7),CLU!$Z$3:$AH$18,2)),GN161,GS161)</f>
        <v>#N/A</v>
      </c>
      <c r="CC161" s="342" t="e">
        <f ca="1">INDEX(INDIRECT(VLOOKUP(LEFT(BO161,7),CLU!$Z$3:$AH$18,3)),GN161,GS161)</f>
        <v>#N/A</v>
      </c>
      <c r="CD161" s="342" t="e">
        <f ca="1">INDEX(INDIRECT(VLOOKUP(LEFT(BO161,7),CLU!$Z$3:$AH$18,4)),GN161,GS161)</f>
        <v>#N/A</v>
      </c>
      <c r="CE161" s="426" t="e">
        <f t="shared" ca="1" si="551"/>
        <v>#N/A</v>
      </c>
      <c r="CF161" s="440">
        <f t="shared" si="552"/>
        <v>0</v>
      </c>
      <c r="CG161" s="431" t="e">
        <f ca="1">INDEX(INDIRECT(VLOOKUP(LEFT(BO161,7),CLU!$Z$3:$AH$18,2)),GQ161,GR161)</f>
        <v>#N/A</v>
      </c>
      <c r="CH161" s="431" t="e">
        <f ca="1">INDEX(INDIRECT(VLOOKUP(LEFT(BO161,7),CLU!$Z$3:$AH$18,3)),GQ161,GR161)</f>
        <v>#N/A</v>
      </c>
      <c r="CI161" s="431" t="e">
        <f ca="1">INDEX(INDIRECT(VLOOKUP(LEFT(BO161,7),CLU!$Z$3:$AH$18,4)),GQ161,GR161)</f>
        <v>#N/A</v>
      </c>
      <c r="CJ161" s="448" t="e">
        <f t="shared" ca="1" si="553"/>
        <v>#N/A</v>
      </c>
      <c r="CK161" s="431" t="e">
        <f t="shared" ca="1" si="554"/>
        <v>#N/A</v>
      </c>
      <c r="CL161" s="440" t="e">
        <f t="shared" ca="1" si="555"/>
        <v>#N/A</v>
      </c>
      <c r="CM161" s="431" t="e">
        <f ca="1">INDEX(INDIRECT(VLOOKUP(LEFT(BO161,7),CLU!$Z$3:$AH$18,2)),GQ161,GS161)</f>
        <v>#N/A</v>
      </c>
      <c r="CN161" s="431" t="e">
        <f ca="1">INDEX(INDIRECT(VLOOKUP(LEFT(BO161,7),CLU!$Z$3:$AH$18,3)),GQ161,GS161)</f>
        <v>#N/A</v>
      </c>
      <c r="CO161" s="431" t="e">
        <f ca="1">INDEX(INDIRECT(VLOOKUP(LEFT(BO161,7),CLU!$Z$3:$AH$18,4)),GQ161,GS161)</f>
        <v>#N/A</v>
      </c>
      <c r="CP161" s="431" t="e">
        <f t="shared" ca="1" si="556"/>
        <v>#N/A</v>
      </c>
      <c r="CQ161" s="440">
        <f t="shared" si="557"/>
        <v>0</v>
      </c>
      <c r="CR161" s="51" t="e">
        <f t="shared" ca="1" si="558"/>
        <v>#N/A</v>
      </c>
      <c r="CS161" s="439" t="e">
        <f t="shared" ca="1" si="559"/>
        <v>#VALUE!</v>
      </c>
      <c r="CT161" s="51" t="e">
        <f t="shared" ca="1" si="560"/>
        <v>#VALUE!</v>
      </c>
      <c r="CU161" s="10"/>
      <c r="CV161" s="51" t="e">
        <f t="shared" ca="1" si="457"/>
        <v>#VALUE!</v>
      </c>
      <c r="CW161" s="51">
        <f t="shared" si="561"/>
        <v>0</v>
      </c>
      <c r="CX161" s="439" t="e">
        <f t="shared" ca="1" si="562"/>
        <v>#VALUE!</v>
      </c>
      <c r="CY161" s="51" t="e">
        <f t="shared" ca="1" si="563"/>
        <v>#VALUE!</v>
      </c>
      <c r="CZ161" s="10"/>
      <c r="DA161" s="51" t="e">
        <f t="shared" ca="1" si="564"/>
        <v>#VALUE!</v>
      </c>
      <c r="DB161" s="347" t="e">
        <f ca="1">INDEX(INDIRECT(VLOOKUP(LEFT(BO161,7),CLU!$Z$3:$AI$18,10)),((M161-2)*(6-COUNTBLANK(GT161:GY161)))+GJ161)*LI161</f>
        <v>#N/A</v>
      </c>
      <c r="DC161" s="347" t="str">
        <f>IF(L161&gt;0,((R161/Worksheet!$I$15)/DB161)^2," ")</f>
        <v xml:space="preserve"> </v>
      </c>
      <c r="DD161" s="602" t="str">
        <f t="shared" si="565"/>
        <v xml:space="preserve"> </v>
      </c>
      <c r="DE161" s="347" t="str">
        <f t="shared" si="458"/>
        <v xml:space="preserve"> </v>
      </c>
      <c r="DF161" s="356" t="e">
        <f ca="1">INDEX(INDIRECT(VLOOKUP(LEFT(BO161,7),CLU!$Z$3:$AH$18,8)),((M161-2)*(6-COUNTBLANK(GT161:GY161)))+GJ161)</f>
        <v>#N/A</v>
      </c>
      <c r="DG161" s="347" t="str">
        <f t="shared" si="459"/>
        <v xml:space="preserve"> </v>
      </c>
      <c r="DH161" s="357" t="str">
        <f t="shared" si="460"/>
        <v xml:space="preserve"> </v>
      </c>
      <c r="DI161" s="355" t="str">
        <f t="shared" si="461"/>
        <v xml:space="preserve"> </v>
      </c>
      <c r="DJ161" s="245" t="e">
        <f ca="1">INDEX(INDIRECT(VLOOKUP(LEFT(BO161,7),CLU!$Z$3:$AH$18,5)),GL161,GK161)</f>
        <v>#N/A</v>
      </c>
      <c r="DK161" s="245" t="e">
        <f ca="1">INDEX(INDIRECT(VLOOKUP(LEFT(BO161,7),CLU!$Z$3:$AH$18,6)),GL161,GK161)</f>
        <v>#N/A</v>
      </c>
      <c r="DL161" s="355">
        <f>(Calculation!R161*0.69143*(Calculation!$BQ$8-Calculation!$F$8))*$S$14</f>
        <v>0</v>
      </c>
      <c r="DM161" s="359" t="e">
        <f t="shared" si="566"/>
        <v>#VALUE!</v>
      </c>
      <c r="DN161" s="611">
        <f t="shared" si="567"/>
        <v>0</v>
      </c>
      <c r="DO161" s="359">
        <f t="shared" si="568"/>
        <v>100</v>
      </c>
      <c r="DP161" s="359">
        <f t="shared" si="569"/>
        <v>0</v>
      </c>
      <c r="DQ161" s="360"/>
      <c r="DR161" s="245" t="e">
        <f ca="1">INDEX(INDIRECT(VLOOKUP(LEFT(BO161,7),CLU!$Z$3:$AH$18,7)),M161-1,1)</f>
        <v>#N/A</v>
      </c>
      <c r="DS161" s="245" t="e">
        <f ca="1">INDEX(INDIRECT(VLOOKUP(LEFT(BO161,7),CLU!$Z$3:$AH$18,7)),M161-1,2)</f>
        <v>#N/A</v>
      </c>
      <c r="DT161" s="245" t="e">
        <f ca="1">INDEX(INDIRECT(VLOOKUP(LEFT(BO161,7),CLU!$Z$3:$AH$18,7)),M161-1,3)</f>
        <v>#N/A</v>
      </c>
      <c r="DU161" s="245" t="e">
        <f ca="1">INDEX(INDIRECT(VLOOKUP(LEFT(BO161,7),CLU!$Z$3:$AH$18,7)),M161-1,4)</f>
        <v>#N/A</v>
      </c>
      <c r="DV161" s="361" t="e">
        <f ca="1">INDEX(INDIRECT(VLOOKUP(LEFT(BO161,7),CLU!$Z$3:$AH$18,7)),M161-1,4+LEFT(DZ161,1)*0.5)</f>
        <v>#N/A</v>
      </c>
      <c r="DW161" s="245" t="e">
        <f ca="1">INDEX(INDIRECT(VLOOKUP(LEFT(BO161,7),CLU!$Z$3:$AH$18,7)),M161-1,8)</f>
        <v>#N/A</v>
      </c>
      <c r="DX161" s="361" t="str">
        <f t="shared" si="462"/>
        <v xml:space="preserve"> </v>
      </c>
      <c r="DY161" s="361" t="str">
        <f t="shared" si="463"/>
        <v xml:space="preserve"> </v>
      </c>
      <c r="DZ161" s="361" t="str">
        <f t="shared" si="464"/>
        <v xml:space="preserve"> </v>
      </c>
      <c r="EA161" s="362" t="str">
        <f t="shared" si="465"/>
        <v xml:space="preserve"> </v>
      </c>
      <c r="EB161" s="624" t="str">
        <f t="shared" si="570"/>
        <v xml:space="preserve"> </v>
      </c>
      <c r="EC161" s="361" t="e">
        <f ca="1">INDEX(INDIRECT(VLOOKUP(LEFT(BO161,7),CLU!$Z$3:$AH$18,7)),M161-1,4+LEFT(DZ161,1)*0.5)</f>
        <v>#N/A</v>
      </c>
      <c r="ED161" s="362" t="str">
        <f t="shared" si="466"/>
        <v xml:space="preserve"> </v>
      </c>
      <c r="EE161" s="361" t="str">
        <f t="shared" si="467"/>
        <v xml:space="preserve"> </v>
      </c>
      <c r="EF161" s="362" t="str">
        <f>IF(L161&gt;0,IF(BR161&gt;0,IF(EE161="2P",IF(Calculation!DZ161="2P",IF(Calculation!DS161=13.75,IF(Calculation!DR161=13,Worksheet!$BD$43,IF(Calculation!DR161=37,Worksheet!$BD$44,Worksheet!$BD$45)),IF(Calculation!DS161=10,IF(Calculation!DR161=18,Worksheet!$BD$29,IF(Calculation!DR161=30,Worksheet!$BD$30,IF(Calculation!DR161=42,Worksheet!$BD$31,IF(Calculation!DR161=54,Worksheet!$BD$32,IF(Calculation!DR161=66,Worksheet!$BD$33,IF(Calculation!DR161=78,Worksheet!$BD$34,IF(Calculation!DR161=90,Worksheet!$BD$35,IF(Calculation!DR161=102,Worksheet!$BD$36,Worksheet!$BD$37)))))))),IF(Calculation!DS161=12.5,IF(Calculation!DR161=18,Worksheet!$BD$38,IF(Calculation!DR161=Worksheet!$BD$39,IF(Calculation!DR161=42,Worksheet!$BD$40,IF(Calculation!DR161=54,Worksheet!$BD$41,Worksheet!$BD$42)))),IF(Calculation!DR161=18,Worksheet!$BD$11,IF(Calculation!DR161=30,Worksheet!$BD$12,IF(Calculation!DR161=42,Worksheet!$BD$13,IF(Calculation!DR161=54,Worksheet!$BD$14,IF(Calculation!DR161=66,Worksheet!$BD$15,IF(Calculation!DR161=78,Worksheet!$BD$16,IF(Calculation!DR161=90,Worksheet!$BD$17,IF(Calculation!DR161=102,Worksheet!$BD$18,Worksheet!$BD$19))))))))))),IF(Calculation!DS161=13.75,IF(Calculation!DR161=13,Worksheet!$BD$78,IF(Calculation!DR161=37,Worksheet!$BD$79,Worksheet!$BD$80)),IF(Calculation!DS161=10,IF(Calculation!DR161=18,Worksheet!$BD$64,IF(Calculation!DR161=30,Worksheet!$BD$65,IF(Calculation!DR161=42,Worksheet!$BD$66,IF(Calculation!DR161=54,Worksheet!$BD$68,IF(Calculation!DR161=66,Worksheet!$BD$68,IF(Calculation!DR161=78,Worksheet!$BD$69,IF(Calculation!DR161=90,Worksheet!$BD$70,IF(Calculation!DR161=102,Worksheet!$BD$71,Worksheet!$BD$72)))))))),IF(Calculation!DS161=12.5,IF(Calculation!DR161=18,Worksheet!$BD$73,IF(Calculation!DR161=Worksheet!$BD$74,IF(Calculation!DR161=42,Worksheet!$BD$75,IF(Calculation!DR161=54,Worksheet!$BD$76,Worksheet!$BD$77)))),IF(Calculation!DR161=18,Worksheet!$BD$55,IF(Calculation!DR161=30,Worksheet!$BD$56,IF(Calculation!DR161=42,Worksheet!$BD$57,IF(Calculation!DR161=54,Worksheet!$BD$58,IF(Calculation!DR161=66,Worksheet!$BD$59,IF(Calculation!DR161=78,Worksheet!$BD$60,IF(Calculation!DR161=90,Worksheet!$BD$61,IF(Calculation!DR161=102,Worksheet!$BD$62,Worksheet!$BD$63)))))))))))),5),0)," ")</f>
        <v xml:space="preserve"> </v>
      </c>
      <c r="EG161" s="361" t="str">
        <f t="shared" si="468"/>
        <v xml:space="preserve"> </v>
      </c>
      <c r="EH161" s="361" t="e">
        <f ca="1">INDEX(INDIRECT(VLOOKUP(LEFT(BO161,7),CLU!$Z$3:$AH$18,7)),M161-1,3+LEFT(DZ161,1))</f>
        <v>#N/A</v>
      </c>
      <c r="EI161" s="362" t="str">
        <f t="shared" si="469"/>
        <v xml:space="preserve"> </v>
      </c>
      <c r="EJ161" s="363" t="str">
        <f t="shared" si="470"/>
        <v xml:space="preserve"> </v>
      </c>
      <c r="EK161" s="363" t="str">
        <f t="shared" si="471"/>
        <v xml:space="preserve"> </v>
      </c>
      <c r="EL161" s="363" t="str">
        <f t="shared" si="472"/>
        <v xml:space="preserve"> </v>
      </c>
      <c r="EM161" s="362" t="str">
        <f>IF(L161&gt;0,IF(BR161&gt;0,(Calculation!T161/ED161)^2,0)," ")</f>
        <v xml:space="preserve"> </v>
      </c>
      <c r="EN161" s="362" t="str">
        <f>IF(L161&gt;0,IF(O161="2 Pipe (Cooling)","N/A",IF(BR161&gt;0,(Calculation!U161/EI161)^2,0))," ")</f>
        <v xml:space="preserve"> </v>
      </c>
      <c r="EO161" s="361" t="str">
        <f t="shared" si="473"/>
        <v/>
      </c>
      <c r="EP161" s="361" t="str">
        <f t="shared" si="474"/>
        <v/>
      </c>
      <c r="EQ161" s="361" t="str">
        <f t="shared" si="475"/>
        <v/>
      </c>
      <c r="ER161" s="361" t="str">
        <f t="shared" si="476"/>
        <v/>
      </c>
      <c r="ES161" s="361" t="str">
        <f t="shared" si="477"/>
        <v/>
      </c>
      <c r="ET161" s="361" t="str">
        <f t="shared" si="478"/>
        <v/>
      </c>
      <c r="EU161" s="361" t="str">
        <f t="shared" si="479"/>
        <v/>
      </c>
      <c r="EV161" s="361" t="str">
        <f t="shared" si="480"/>
        <v/>
      </c>
      <c r="EW161" s="361" t="str">
        <f t="shared" si="481"/>
        <v/>
      </c>
      <c r="EX161" s="361" t="str">
        <f t="shared" si="571"/>
        <v>1 slot, 1 way</v>
      </c>
      <c r="EY161" s="361" t="str">
        <f t="shared" si="572"/>
        <v xml:space="preserve"> </v>
      </c>
      <c r="EZ161" s="361" t="str">
        <f t="shared" si="573"/>
        <v xml:space="preserve"> </v>
      </c>
      <c r="FA161" s="361" t="str">
        <f t="shared" si="574"/>
        <v xml:space="preserve"> </v>
      </c>
      <c r="FB161" s="361" t="str">
        <f t="shared" si="575"/>
        <v xml:space="preserve"> </v>
      </c>
      <c r="FC161" s="361"/>
      <c r="FD161" s="361" t="str">
        <f>IF(J161&gt;0,IF(Calculation!R161&lt;=70,4,IF(Calculation!R161&lt;=110,5,IF(Calculation!R161&lt;=160,6,IF(Calculation!R161&lt;=300,8,"10 EO")))),"")</f>
        <v/>
      </c>
      <c r="FE161" s="361" t="str">
        <f t="shared" si="576"/>
        <v/>
      </c>
      <c r="FF161" s="361" t="str">
        <f t="shared" si="577"/>
        <v/>
      </c>
      <c r="FG161" s="361" t="e">
        <f t="shared" si="482"/>
        <v>#N/A</v>
      </c>
      <c r="FH161" s="361">
        <f t="shared" si="483"/>
        <v>0</v>
      </c>
      <c r="FI161" s="361" t="e">
        <f t="shared" si="484"/>
        <v>#DIV/0!</v>
      </c>
      <c r="FJ161" s="361"/>
      <c r="FK161" s="356" t="e">
        <f t="shared" si="485"/>
        <v>#VALUE!</v>
      </c>
      <c r="FL161" s="361"/>
      <c r="FM161" s="361"/>
      <c r="FN161" s="362" t="str">
        <f t="shared" si="578"/>
        <v xml:space="preserve"> </v>
      </c>
      <c r="FO161" s="362" t="str">
        <f t="shared" si="579"/>
        <v xml:space="preserve"> </v>
      </c>
      <c r="FP161" s="362">
        <f t="shared" si="580"/>
        <v>0</v>
      </c>
      <c r="FQ161" s="361">
        <f t="shared" si="486"/>
        <v>0</v>
      </c>
      <c r="FR161" s="362" t="str">
        <f>IF(L161&gt;0,IF(J161="CBAL2",Worksheet!$P$67,IF(J161="CBE2-24",Worksheet!$Q$67,IF(J161="CBAM",Worksheet!$R$67,IF(J161="CBLV",Worksheet!$S$67,IF(J161="CBAB",Worksheet!$U$67,IF(J161="CBAW",Worksheet!$X$67,IF(J161="CBE2-12",Worksheet!$Y$67,IF(J161="CBAL2",Worksheet!$Z$67,"N/A"))))))))," ")</f>
        <v xml:space="preserve"> </v>
      </c>
      <c r="FS161" s="362" t="str">
        <f>IF(L161&gt;0,IF(J161="CBAL2",Worksheet!$P$68,IF(J161="CBE2-24",Worksheet!$Q$68,IF(J161="CBAM",Worksheet!$R$68,IF(J161="CBLV",Worksheet!$S$68,IF(J161="CBAB",Worksheet!$U$68,IF(J161="CBAW",Worksheet!$X$68,IF(J161="CBE2-12",Worksheet!$Y$68,IF(J161="CBAL2",Worksheet!$Z$68,"N/A"))))))))," ")</f>
        <v xml:space="preserve"> </v>
      </c>
      <c r="FT161" s="362" t="str">
        <f>IF(L161&gt;0,IF(J161="CBAL2",Worksheet!$P$69,IF(J161="CBE2-24",Worksheet!$Q$69,IF(J161="CBAM",Worksheet!$R$69,IF(J161="CBLV",Worksheet!$S$69,IF(J161="CBAB",Worksheet!$U$69,IF(J161="CBAW",Worksheet!$X$69,IF(J161="CBE2-12",Worksheet!$Y$69,IF(J161="CBAL2",Worksheet!$Z$69,"N/A"))))))))," ")</f>
        <v xml:space="preserve"> </v>
      </c>
      <c r="FU161" s="361" t="str">
        <f t="shared" si="581"/>
        <v xml:space="preserve"> </v>
      </c>
      <c r="FV161" s="362" t="str">
        <f t="shared" si="582"/>
        <v xml:space="preserve"> </v>
      </c>
      <c r="FW161" s="362" t="str">
        <f t="shared" si="583"/>
        <v xml:space="preserve"> </v>
      </c>
      <c r="FX161" s="362" t="str">
        <f t="shared" si="584"/>
        <v xml:space="preserve"> </v>
      </c>
      <c r="FY161" s="355" t="str">
        <f t="shared" si="585"/>
        <v xml:space="preserve"> </v>
      </c>
      <c r="FZ161" s="361" t="str">
        <f t="shared" si="586"/>
        <v xml:space="preserve"> </v>
      </c>
      <c r="GA161" s="347" t="str">
        <f t="shared" si="587"/>
        <v xml:space="preserve"> </v>
      </c>
      <c r="GB161" s="355" t="str">
        <f t="shared" si="588"/>
        <v xml:space="preserve"> </v>
      </c>
      <c r="GC161" s="328" t="str">
        <f t="shared" si="589"/>
        <v xml:space="preserve"> </v>
      </c>
      <c r="GD161" s="361" t="str">
        <f t="shared" si="590"/>
        <v xml:space="preserve"> </v>
      </c>
      <c r="GE161" s="347" t="str">
        <f t="shared" si="591"/>
        <v xml:space="preserve"> </v>
      </c>
      <c r="GF161" s="361" t="str">
        <f t="shared" si="592"/>
        <v xml:space="preserve"> </v>
      </c>
      <c r="GG161" s="347" t="str">
        <f t="shared" si="593"/>
        <v xml:space="preserve"> </v>
      </c>
      <c r="GH161" s="364">
        <f t="shared" si="487"/>
        <v>0</v>
      </c>
      <c r="GI161" s="362">
        <f t="shared" si="594"/>
        <v>2</v>
      </c>
      <c r="GJ161" s="433" t="e">
        <f>IF(6-COUNTBLANK(GT161:GY161)=4,MATCH(MID(BO161,9,3),CLU!$H$16:$K$16),MATCH(MID(BO161,9,3),CLU!$H$13:$M$13))</f>
        <v>#N/A</v>
      </c>
      <c r="GK161" s="433" t="e">
        <f>HLOOKUP(VALUE(BP161),CLU!$H$9:$M$10,2)</f>
        <v>#VALUE!</v>
      </c>
      <c r="GL161" s="433" t="e">
        <f ca="1">MATCH(BU161,CLU!$H$2:$V$2,1)</f>
        <v>#VALUE!</v>
      </c>
      <c r="GM161" s="433" t="e">
        <f t="shared" ca="1" si="595"/>
        <v>#VALUE!</v>
      </c>
      <c r="GN161" s="433" t="e">
        <f t="shared" ca="1" si="596"/>
        <v>#VALUE!</v>
      </c>
      <c r="GO161" s="433" t="e">
        <f t="shared" ca="1" si="597"/>
        <v>#VALUE!</v>
      </c>
      <c r="GP161" s="433" t="e">
        <f t="shared" ca="1" si="598"/>
        <v>#VALUE!</v>
      </c>
      <c r="GQ161" s="433" t="e">
        <f t="shared" ca="1" si="599"/>
        <v>#VALUE!</v>
      </c>
      <c r="GR161" s="433" t="e">
        <f ca="1">MATCH(T161,INDIRECT(VLOOKUP(CONCATENATE(LEFT(BO161,7),"-",MID(BO161,13,1)),CLU!$P$3:$Q$16,2)),1)</f>
        <v>#N/A</v>
      </c>
      <c r="GS161" s="433" t="e">
        <f ca="1">MATCH(U161,INDIRECT(VLOOKUP(CONCATENATE(LEFT(BO161,7),"-",MID(BO161,13,1)),CLU!$P$3:$Q$16,2)),1)</f>
        <v>#N/A</v>
      </c>
      <c r="GT161" s="347" t="s">
        <v>512</v>
      </c>
      <c r="GU161" s="97" t="s">
        <v>513</v>
      </c>
      <c r="GV161" s="97" t="str">
        <f t="shared" si="600"/>
        <v>M23</v>
      </c>
      <c r="GW161" s="97" t="str">
        <f t="shared" si="601"/>
        <v>M31</v>
      </c>
      <c r="GX161" s="97" t="str">
        <f t="shared" si="602"/>
        <v/>
      </c>
      <c r="GY161" s="97" t="str">
        <f t="shared" si="603"/>
        <v/>
      </c>
      <c r="GZ161" s="481"/>
      <c r="HA161" s="288"/>
      <c r="HB161" s="240"/>
      <c r="HC161" s="240"/>
      <c r="HD161" s="240"/>
      <c r="HE161" s="240"/>
      <c r="HF161" s="240"/>
      <c r="HG161" s="240"/>
      <c r="HH161" s="240"/>
      <c r="HI161" s="240"/>
      <c r="HJ161" s="240"/>
      <c r="HK161" s="240"/>
      <c r="HL161" s="240"/>
      <c r="HM161" s="240"/>
      <c r="HN161" s="240"/>
      <c r="HO161" s="240"/>
      <c r="HP161" s="240"/>
      <c r="HQ161" s="240"/>
      <c r="HR161" s="240"/>
      <c r="HS161" s="240"/>
      <c r="HT161" s="240"/>
      <c r="HU161" s="240"/>
      <c r="HV161" s="245"/>
      <c r="HW161" s="245" t="b">
        <v>1</v>
      </c>
      <c r="HX161" s="245" t="str">
        <f t="shared" si="488"/>
        <v/>
      </c>
      <c r="HY161" s="245" t="e">
        <f t="shared" si="489"/>
        <v>#DIV/0!</v>
      </c>
      <c r="HZ161" s="245" t="e">
        <f t="shared" si="490"/>
        <v>#DIV/0!</v>
      </c>
      <c r="IA161" s="245">
        <f t="shared" si="491"/>
        <v>0</v>
      </c>
      <c r="IB161" s="245"/>
      <c r="IC161" t="b">
        <f t="shared" si="492"/>
        <v>1</v>
      </c>
      <c r="ID161" s="245" t="b">
        <f t="shared" si="493"/>
        <v>1</v>
      </c>
      <c r="IE161" s="245" t="b">
        <f t="shared" si="494"/>
        <v>1</v>
      </c>
      <c r="IF161" s="245" t="b">
        <f t="shared" si="495"/>
        <v>0</v>
      </c>
      <c r="IG161" s="245" t="b">
        <f t="shared" si="496"/>
        <v>1</v>
      </c>
      <c r="IH161" s="245" t="b">
        <f t="shared" si="497"/>
        <v>1</v>
      </c>
      <c r="II161" s="245">
        <f t="shared" si="604"/>
        <v>0</v>
      </c>
      <c r="IJ161" s="245" t="e">
        <f t="shared" si="498"/>
        <v>#VALUE!</v>
      </c>
      <c r="IK161" s="245" t="e">
        <f t="shared" si="499"/>
        <v>#VALUE!</v>
      </c>
      <c r="IL161" s="245"/>
      <c r="IM161" s="245" t="e">
        <f t="shared" si="605"/>
        <v>#N/A</v>
      </c>
      <c r="IN161" s="245" t="e">
        <f t="shared" si="606"/>
        <v>#N/A</v>
      </c>
      <c r="IO161" s="245"/>
      <c r="IP161" s="245"/>
      <c r="IQ161" s="245" t="str">
        <f t="shared" si="500"/>
        <v/>
      </c>
      <c r="IR161" s="245" t="str">
        <f>IF(J161="","",VLOOKUP(J161,Worksheet!$R$4:$T$14,2))</f>
        <v/>
      </c>
      <c r="IS161" s="245"/>
      <c r="IT161" s="245">
        <f t="shared" si="501"/>
        <v>0</v>
      </c>
      <c r="IU161" s="245">
        <f t="shared" si="502"/>
        <v>0</v>
      </c>
      <c r="IV161" s="245">
        <f t="shared" si="503"/>
        <v>0</v>
      </c>
      <c r="IW161" s="245">
        <f t="shared" si="504"/>
        <v>0</v>
      </c>
      <c r="IX161" s="245">
        <f t="shared" si="607"/>
        <v>0</v>
      </c>
      <c r="IY161" s="245">
        <f t="shared" si="505"/>
        <v>0</v>
      </c>
      <c r="IZ161" s="245">
        <f t="shared" si="506"/>
        <v>0</v>
      </c>
      <c r="JA161">
        <f t="shared" si="507"/>
        <v>0</v>
      </c>
      <c r="JB161">
        <f t="shared" si="608"/>
        <v>0</v>
      </c>
      <c r="JC161">
        <f t="shared" si="508"/>
        <v>0</v>
      </c>
      <c r="JD161">
        <f t="shared" si="509"/>
        <v>0</v>
      </c>
      <c r="JE161">
        <f t="shared" si="510"/>
        <v>0</v>
      </c>
      <c r="JF161">
        <f t="shared" si="511"/>
        <v>0</v>
      </c>
      <c r="JG161">
        <f t="shared" si="512"/>
        <v>0</v>
      </c>
      <c r="JH161">
        <f t="shared" si="513"/>
        <v>0</v>
      </c>
      <c r="JI161">
        <f t="shared" si="514"/>
        <v>0</v>
      </c>
      <c r="JJ161" s="447">
        <f t="shared" si="515"/>
        <v>0</v>
      </c>
      <c r="JK161" s="447">
        <f t="shared" si="516"/>
        <v>0</v>
      </c>
      <c r="JL161">
        <f t="shared" si="517"/>
        <v>0</v>
      </c>
      <c r="JM161" s="245" t="str">
        <f>IFERROR(VLOOKUP(MATCH(BN161,#REF!,0),#REF!,7),"")</f>
        <v/>
      </c>
      <c r="JN161" t="e">
        <f>HLOOKUP(LEFT(BO161,7),Discharge_Area,MATCH(JO161,LookUps!$B$130:$B$149,1)+2)</f>
        <v>#N/A</v>
      </c>
      <c r="JO161" t="str">
        <f t="shared" si="518"/>
        <v>- S</v>
      </c>
      <c r="JP161" t="e">
        <f>HLOOKUP(LEFT(BO161,7),Discharge_Area,MATCH(JO161,LookUps!$B$130:$B$149,1)+2)</f>
        <v>#N/A</v>
      </c>
      <c r="JQ161" t="e">
        <f t="shared" si="519"/>
        <v>#N/A</v>
      </c>
      <c r="JR161" t="e">
        <f t="shared" si="520"/>
        <v>#N/A</v>
      </c>
      <c r="JS161" t="e">
        <f t="shared" si="521"/>
        <v>#N/A</v>
      </c>
      <c r="JT161" s="532" t="str">
        <f t="shared" si="522"/>
        <v xml:space="preserve"> </v>
      </c>
      <c r="JU161" s="532" t="str">
        <f t="shared" si="523"/>
        <v xml:space="preserve"> </v>
      </c>
      <c r="JV161" s="533" t="str">
        <f t="shared" si="524"/>
        <v xml:space="preserve"> </v>
      </c>
      <c r="JW161" s="534">
        <f t="shared" si="525"/>
        <v>0</v>
      </c>
      <c r="JX161" s="535" t="str">
        <f t="shared" si="609"/>
        <v xml:space="preserve"> </v>
      </c>
      <c r="JY161" s="535" t="str">
        <f t="shared" si="610"/>
        <v xml:space="preserve"> </v>
      </c>
      <c r="JZ161" s="535" t="str">
        <f t="shared" si="611"/>
        <v xml:space="preserve"> </v>
      </c>
      <c r="KA161" s="536" t="str">
        <f t="shared" si="526"/>
        <v xml:space="preserve"> </v>
      </c>
      <c r="KB161" s="535" t="e">
        <f t="shared" si="612"/>
        <v>#VALUE!</v>
      </c>
      <c r="KC161" s="535" t="str">
        <f t="shared" si="527"/>
        <v/>
      </c>
      <c r="KD161" s="537" t="str">
        <f t="shared" si="613"/>
        <v xml:space="preserve"> </v>
      </c>
      <c r="KE161" s="537" t="str">
        <f t="shared" si="614"/>
        <v xml:space="preserve"> </v>
      </c>
      <c r="KF161" s="534">
        <f t="shared" si="528"/>
        <v>0</v>
      </c>
      <c r="KG161" s="535" t="str">
        <f t="shared" si="529"/>
        <v xml:space="preserve"> </v>
      </c>
      <c r="KH161" s="535" t="str">
        <f t="shared" si="530"/>
        <v xml:space="preserve"> </v>
      </c>
      <c r="KI161" s="535" t="str">
        <f t="shared" si="531"/>
        <v xml:space="preserve"> </v>
      </c>
      <c r="KJ161" s="536" t="str">
        <f t="shared" si="532"/>
        <v xml:space="preserve"> </v>
      </c>
      <c r="KK161" s="535" t="str">
        <f t="shared" si="615"/>
        <v xml:space="preserve"> </v>
      </c>
      <c r="KL161" s="535" t="str">
        <f t="shared" si="616"/>
        <v xml:space="preserve"> </v>
      </c>
      <c r="KM161" s="537" t="str">
        <f t="shared" si="533"/>
        <v xml:space="preserve"> </v>
      </c>
      <c r="KN161" s="537" t="str">
        <f t="shared" si="617"/>
        <v xml:space="preserve"> </v>
      </c>
      <c r="KP161">
        <f t="shared" si="534"/>
        <v>0</v>
      </c>
      <c r="LA161" t="e">
        <f t="shared" si="535"/>
        <v>#VALUE!</v>
      </c>
      <c r="LB161" t="e">
        <f t="shared" si="536"/>
        <v>#VALUE!</v>
      </c>
      <c r="LC161" t="e">
        <f t="shared" si="537"/>
        <v>#VALUE!</v>
      </c>
      <c r="LD161" t="e">
        <f t="shared" si="538"/>
        <v>#VALUE!</v>
      </c>
      <c r="LE161" t="e">
        <f t="shared" si="618"/>
        <v>#VALUE!</v>
      </c>
      <c r="LF161">
        <f t="shared" si="539"/>
        <v>0</v>
      </c>
      <c r="LG161" t="e">
        <f t="shared" si="619"/>
        <v>#VALUE!</v>
      </c>
      <c r="LH161" t="str">
        <f t="shared" si="540"/>
        <v xml:space="preserve"> </v>
      </c>
      <c r="LI161">
        <f t="shared" si="620"/>
        <v>1</v>
      </c>
    </row>
    <row r="162" spans="2:321" ht="15" customHeight="1">
      <c r="B162" s="311"/>
      <c r="C162" s="311"/>
      <c r="D162" s="312"/>
      <c r="E162" s="311"/>
      <c r="F162" s="312"/>
      <c r="G162" s="311"/>
      <c r="H162" s="311"/>
      <c r="I162" s="37"/>
      <c r="J162" s="311"/>
      <c r="K162" s="305" t="str">
        <f t="shared" si="541"/>
        <v/>
      </c>
      <c r="L162" s="313"/>
      <c r="M162" s="312"/>
      <c r="N162" s="311"/>
      <c r="O162" s="312"/>
      <c r="P162" s="311"/>
      <c r="Q162" s="305" t="str">
        <f t="shared" si="542"/>
        <v/>
      </c>
      <c r="R162" s="314"/>
      <c r="S162" s="450" t="str">
        <f t="shared" si="425"/>
        <v/>
      </c>
      <c r="T162" s="315"/>
      <c r="U162" s="315"/>
      <c r="W162" s="149" t="str">
        <f t="shared" si="426"/>
        <v xml:space="preserve"> </v>
      </c>
      <c r="X162" s="243" t="str">
        <f t="shared" si="427"/>
        <v xml:space="preserve"> </v>
      </c>
      <c r="Y162" s="150" t="str">
        <f t="shared" si="428"/>
        <v/>
      </c>
      <c r="Z162" s="149" t="str">
        <f t="shared" si="429"/>
        <v xml:space="preserve"> </v>
      </c>
      <c r="AA162" s="98" t="str">
        <f t="shared" si="430"/>
        <v xml:space="preserve"> </v>
      </c>
      <c r="AB162" s="153" t="str">
        <f t="shared" si="431"/>
        <v xml:space="preserve"> </v>
      </c>
      <c r="AC162" s="153" t="str">
        <f t="shared" si="432"/>
        <v xml:space="preserve"> </v>
      </c>
      <c r="AD162" s="148" t="str">
        <f t="shared" si="433"/>
        <v/>
      </c>
      <c r="AE162" s="149" t="str">
        <f t="shared" si="434"/>
        <v/>
      </c>
      <c r="AF162" s="151" t="str">
        <f t="shared" si="435"/>
        <v xml:space="preserve"> </v>
      </c>
      <c r="AG162" s="153" t="str">
        <f t="shared" si="436"/>
        <v xml:space="preserve"> </v>
      </c>
      <c r="AH162" s="98" t="str">
        <f t="shared" si="437"/>
        <v xml:space="preserve"> </v>
      </c>
      <c r="AI162" s="149" t="str">
        <f t="shared" si="438"/>
        <v xml:space="preserve"> </v>
      </c>
      <c r="AK162" s="144" t="str">
        <f t="shared" si="439"/>
        <v xml:space="preserve"> </v>
      </c>
      <c r="AL162" s="144"/>
      <c r="AM162" s="243" t="str">
        <f t="shared" si="440"/>
        <v xml:space="preserve"> </v>
      </c>
      <c r="AN162" s="149" t="str">
        <f t="shared" si="543"/>
        <v xml:space="preserve"> </v>
      </c>
      <c r="AO162" s="144" t="str">
        <f>IF(JB162&gt;0,IF(GI162=10,-R162*1.085*(Calculation!$F$6-Calculation!$F$13)*$S$14," "),"")</f>
        <v/>
      </c>
      <c r="AP162" s="144" t="str">
        <f t="shared" si="441"/>
        <v/>
      </c>
      <c r="AQ162" s="56" t="str">
        <f t="shared" si="442"/>
        <v/>
      </c>
      <c r="AR162" s="144" t="str">
        <f t="shared" si="443"/>
        <v/>
      </c>
      <c r="AS162" s="176" t="str">
        <f t="shared" si="444"/>
        <v/>
      </c>
      <c r="AT162" s="176" t="str">
        <f t="shared" si="544"/>
        <v xml:space="preserve"> </v>
      </c>
      <c r="AU162" s="176" t="str">
        <f t="shared" si="445"/>
        <v/>
      </c>
      <c r="AV162" s="177" t="str">
        <f t="shared" si="446"/>
        <v xml:space="preserve"> </v>
      </c>
      <c r="AW162" s="144" t="str">
        <f t="shared" si="447"/>
        <v xml:space="preserve"> </v>
      </c>
      <c r="AX162" s="144" t="str">
        <f t="shared" si="448"/>
        <v xml:space="preserve"> </v>
      </c>
      <c r="AY162" s="152" t="str">
        <f t="shared" si="449"/>
        <v xml:space="preserve"> </v>
      </c>
      <c r="AZ162" s="246" t="str">
        <f t="shared" si="450"/>
        <v/>
      </c>
      <c r="BA162" s="176" t="str">
        <f t="shared" si="451"/>
        <v xml:space="preserve"> </v>
      </c>
      <c r="BB162" s="176" t="str">
        <f t="shared" si="452"/>
        <v xml:space="preserve"> </v>
      </c>
      <c r="BC162" s="195"/>
      <c r="BD162" s="316"/>
      <c r="BE162" s="317"/>
      <c r="BF162" s="318"/>
      <c r="BG162" s="318"/>
      <c r="BH162" s="144" t="str">
        <f t="shared" si="621"/>
        <v xml:space="preserve"> </v>
      </c>
      <c r="BI162" s="176" t="str">
        <f t="shared" si="453"/>
        <v/>
      </c>
      <c r="BJ162" s="144" t="str">
        <f t="shared" si="622"/>
        <v/>
      </c>
      <c r="BK162" s="246" t="str">
        <f t="shared" si="454"/>
        <v/>
      </c>
      <c r="BL162" s="144" t="str">
        <f t="shared" si="623"/>
        <v/>
      </c>
      <c r="BM162" s="246" t="str">
        <f t="shared" si="455"/>
        <v/>
      </c>
      <c r="BN162" s="337" t="str">
        <f t="shared" si="545"/>
        <v/>
      </c>
      <c r="BO162" s="371" t="str">
        <f t="shared" si="546"/>
        <v/>
      </c>
      <c r="BP162" s="328" t="str">
        <f t="shared" si="624"/>
        <v xml:space="preserve"> </v>
      </c>
      <c r="BQ162" s="347" t="str">
        <f t="shared" si="547"/>
        <v xml:space="preserve"> </v>
      </c>
      <c r="BR162" s="353" t="str">
        <f t="shared" si="548"/>
        <v xml:space="preserve"> </v>
      </c>
      <c r="BS162" s="626" t="str">
        <f>IF(L162&gt;0,IF(Calculation!P162="M13",BR162*3.1416*(0.134^2)/(4*144),IF(Calculation!P162="M17",BR162*3.1416*(0.165^2)/(4*144),IF(Calculation!P162="M20",BR162*3.1416*(0.198^2)/(4*144),IF(Calculation!P162="M23",BR162*3.1416*(0.228^2)/(4*144),IF(Calculation!P162="M27",BR162*3.1416*(0.269^2)/(4*144),BR162*3.1416*(0.307^2)/(4*144))))))," ")</f>
        <v xml:space="preserve"> </v>
      </c>
      <c r="BT162" s="353" t="str">
        <f>IF(L162&gt;0,IF(BS162&gt;0,R162/Calculation!BS162,0)," ")</f>
        <v xml:space="preserve"> </v>
      </c>
      <c r="BU162" s="438" t="e">
        <f t="shared" ca="1" si="456"/>
        <v>#VALUE!</v>
      </c>
      <c r="BV162" s="449" t="e">
        <f ca="1">INDEX(INDIRECT(VLOOKUP(LEFT(BO162,7),CLU!$Z$3:$AH$18,2)),GN162,GR162)</f>
        <v>#N/A</v>
      </c>
      <c r="BW162" s="433" t="e">
        <f ca="1">INDEX(INDIRECT(VLOOKUP(LEFT(BO162,7),CLU!$Z$3:$AH$18,3)),GN162,GR162)</f>
        <v>#N/A</v>
      </c>
      <c r="BX162" s="433" t="e">
        <f ca="1">INDEX(INDIRECT(VLOOKUP(LEFT(BO162,7),CLU!$Z$3:$AH$18,4)),GN162,GR162)</f>
        <v>#N/A</v>
      </c>
      <c r="BY162" s="433" t="e">
        <f ca="1">INDEX(INDIRECT(VLOOKUP(LEFT(BO162,7),CLU!$Z$3:$AH$18,9)),((M162-2)*(6-COUNTBLANK(GT162:GY162)))+GJ162)</f>
        <v>#N/A</v>
      </c>
      <c r="BZ162" s="426" t="e">
        <f t="shared" ca="1" si="549"/>
        <v>#N/A</v>
      </c>
      <c r="CA162" s="424" t="e">
        <f t="shared" ca="1" si="550"/>
        <v>#N/A</v>
      </c>
      <c r="CB162" s="429" t="e">
        <f ca="1">INDEX(INDIRECT(VLOOKUP(LEFT(BO162,7),CLU!$Z$3:$AH$18,2)),GN162,GS162)</f>
        <v>#N/A</v>
      </c>
      <c r="CC162" s="342" t="e">
        <f ca="1">INDEX(INDIRECT(VLOOKUP(LEFT(BO162,7),CLU!$Z$3:$AH$18,3)),GN162,GS162)</f>
        <v>#N/A</v>
      </c>
      <c r="CD162" s="342" t="e">
        <f ca="1">INDEX(INDIRECT(VLOOKUP(LEFT(BO162,7),CLU!$Z$3:$AH$18,4)),GN162,GS162)</f>
        <v>#N/A</v>
      </c>
      <c r="CE162" s="426" t="e">
        <f t="shared" ca="1" si="551"/>
        <v>#N/A</v>
      </c>
      <c r="CF162" s="440">
        <f t="shared" si="552"/>
        <v>0</v>
      </c>
      <c r="CG162" s="431" t="e">
        <f ca="1">INDEX(INDIRECT(VLOOKUP(LEFT(BO162,7),CLU!$Z$3:$AH$18,2)),GQ162,GR162)</f>
        <v>#N/A</v>
      </c>
      <c r="CH162" s="431" t="e">
        <f ca="1">INDEX(INDIRECT(VLOOKUP(LEFT(BO162,7),CLU!$Z$3:$AH$18,3)),GQ162,GR162)</f>
        <v>#N/A</v>
      </c>
      <c r="CI162" s="431" t="e">
        <f ca="1">INDEX(INDIRECT(VLOOKUP(LEFT(BO162,7),CLU!$Z$3:$AH$18,4)),GQ162,GR162)</f>
        <v>#N/A</v>
      </c>
      <c r="CJ162" s="448" t="e">
        <f t="shared" ca="1" si="553"/>
        <v>#N/A</v>
      </c>
      <c r="CK162" s="431" t="e">
        <f t="shared" ca="1" si="554"/>
        <v>#N/A</v>
      </c>
      <c r="CL162" s="440" t="e">
        <f t="shared" ca="1" si="555"/>
        <v>#N/A</v>
      </c>
      <c r="CM162" s="431" t="e">
        <f ca="1">INDEX(INDIRECT(VLOOKUP(LEFT(BO162,7),CLU!$Z$3:$AH$18,2)),GQ162,GS162)</f>
        <v>#N/A</v>
      </c>
      <c r="CN162" s="431" t="e">
        <f ca="1">INDEX(INDIRECT(VLOOKUP(LEFT(BO162,7),CLU!$Z$3:$AH$18,3)),GQ162,GS162)</f>
        <v>#N/A</v>
      </c>
      <c r="CO162" s="431" t="e">
        <f ca="1">INDEX(INDIRECT(VLOOKUP(LEFT(BO162,7),CLU!$Z$3:$AH$18,4)),GQ162,GS162)</f>
        <v>#N/A</v>
      </c>
      <c r="CP162" s="431" t="e">
        <f t="shared" ca="1" si="556"/>
        <v>#N/A</v>
      </c>
      <c r="CQ162" s="440">
        <f t="shared" si="557"/>
        <v>0</v>
      </c>
      <c r="CR162" s="51" t="e">
        <f t="shared" ca="1" si="558"/>
        <v>#N/A</v>
      </c>
      <c r="CS162" s="439" t="e">
        <f t="shared" ca="1" si="559"/>
        <v>#VALUE!</v>
      </c>
      <c r="CT162" s="51" t="e">
        <f t="shared" ca="1" si="560"/>
        <v>#VALUE!</v>
      </c>
      <c r="CU162" s="10"/>
      <c r="CV162" s="51" t="e">
        <f t="shared" ca="1" si="457"/>
        <v>#VALUE!</v>
      </c>
      <c r="CW162" s="51">
        <f t="shared" si="561"/>
        <v>0</v>
      </c>
      <c r="CX162" s="439" t="e">
        <f t="shared" ca="1" si="562"/>
        <v>#VALUE!</v>
      </c>
      <c r="CY162" s="51" t="e">
        <f t="shared" ca="1" si="563"/>
        <v>#VALUE!</v>
      </c>
      <c r="CZ162" s="10"/>
      <c r="DA162" s="51" t="e">
        <f t="shared" ca="1" si="564"/>
        <v>#VALUE!</v>
      </c>
      <c r="DB162" s="347" t="e">
        <f ca="1">INDEX(INDIRECT(VLOOKUP(LEFT(BO162,7),CLU!$Z$3:$AI$18,10)),((M162-2)*(6-COUNTBLANK(GT162:GY162)))+GJ162)*LI162</f>
        <v>#N/A</v>
      </c>
      <c r="DC162" s="347" t="str">
        <f>IF(L162&gt;0,((R162/Worksheet!$I$15)/DB162)^2," ")</f>
        <v xml:space="preserve"> </v>
      </c>
      <c r="DD162" s="602" t="str">
        <f t="shared" si="565"/>
        <v xml:space="preserve"> </v>
      </c>
      <c r="DE162" s="347" t="str">
        <f t="shared" si="458"/>
        <v xml:space="preserve"> </v>
      </c>
      <c r="DF162" s="356" t="e">
        <f ca="1">INDEX(INDIRECT(VLOOKUP(LEFT(BO162,7),CLU!$Z$3:$AH$18,8)),((M162-2)*(6-COUNTBLANK(GT162:GY162)))+GJ162)</f>
        <v>#N/A</v>
      </c>
      <c r="DG162" s="347" t="str">
        <f t="shared" si="459"/>
        <v xml:space="preserve"> </v>
      </c>
      <c r="DH162" s="357" t="str">
        <f t="shared" si="460"/>
        <v xml:space="preserve"> </v>
      </c>
      <c r="DI162" s="355" t="str">
        <f t="shared" si="461"/>
        <v xml:space="preserve"> </v>
      </c>
      <c r="DJ162" s="245" t="e">
        <f ca="1">INDEX(INDIRECT(VLOOKUP(LEFT(BO162,7),CLU!$Z$3:$AH$18,5)),GL162,GK162)</f>
        <v>#N/A</v>
      </c>
      <c r="DK162" s="245" t="e">
        <f ca="1">INDEX(INDIRECT(VLOOKUP(LEFT(BO162,7),CLU!$Z$3:$AH$18,6)),GL162,GK162)</f>
        <v>#N/A</v>
      </c>
      <c r="DL162" s="355">
        <f>(Calculation!R162*0.69143*(Calculation!$BQ$8-Calculation!$F$8))*$S$14</f>
        <v>0</v>
      </c>
      <c r="DM162" s="359" t="e">
        <f t="shared" si="566"/>
        <v>#VALUE!</v>
      </c>
      <c r="DN162" s="611">
        <f t="shared" si="567"/>
        <v>0</v>
      </c>
      <c r="DO162" s="359">
        <f t="shared" si="568"/>
        <v>100</v>
      </c>
      <c r="DP162" s="359">
        <f t="shared" si="569"/>
        <v>0</v>
      </c>
      <c r="DQ162" s="360"/>
      <c r="DR162" s="245" t="e">
        <f ca="1">INDEX(INDIRECT(VLOOKUP(LEFT(BO162,7),CLU!$Z$3:$AH$18,7)),M162-1,1)</f>
        <v>#N/A</v>
      </c>
      <c r="DS162" s="245" t="e">
        <f ca="1">INDEX(INDIRECT(VLOOKUP(LEFT(BO162,7),CLU!$Z$3:$AH$18,7)),M162-1,2)</f>
        <v>#N/A</v>
      </c>
      <c r="DT162" s="245" t="e">
        <f ca="1">INDEX(INDIRECT(VLOOKUP(LEFT(BO162,7),CLU!$Z$3:$AH$18,7)),M162-1,3)</f>
        <v>#N/A</v>
      </c>
      <c r="DU162" s="245" t="e">
        <f ca="1">INDEX(INDIRECT(VLOOKUP(LEFT(BO162,7),CLU!$Z$3:$AH$18,7)),M162-1,4)</f>
        <v>#N/A</v>
      </c>
      <c r="DV162" s="361" t="e">
        <f ca="1">INDEX(INDIRECT(VLOOKUP(LEFT(BO162,7),CLU!$Z$3:$AH$18,7)),M162-1,4+LEFT(DZ162,1)*0.5)</f>
        <v>#N/A</v>
      </c>
      <c r="DW162" s="245" t="e">
        <f ca="1">INDEX(INDIRECT(VLOOKUP(LEFT(BO162,7),CLU!$Z$3:$AH$18,7)),M162-1,8)</f>
        <v>#N/A</v>
      </c>
      <c r="DX162" s="361" t="str">
        <f t="shared" si="462"/>
        <v xml:space="preserve"> </v>
      </c>
      <c r="DY162" s="361" t="str">
        <f t="shared" si="463"/>
        <v xml:space="preserve"> </v>
      </c>
      <c r="DZ162" s="361" t="str">
        <f t="shared" si="464"/>
        <v xml:space="preserve"> </v>
      </c>
      <c r="EA162" s="362" t="str">
        <f t="shared" si="465"/>
        <v xml:space="preserve"> </v>
      </c>
      <c r="EB162" s="624" t="str">
        <f t="shared" si="570"/>
        <v xml:space="preserve"> </v>
      </c>
      <c r="EC162" s="361" t="e">
        <f ca="1">INDEX(INDIRECT(VLOOKUP(LEFT(BO162,7),CLU!$Z$3:$AH$18,7)),M162-1,4+LEFT(DZ162,1)*0.5)</f>
        <v>#N/A</v>
      </c>
      <c r="ED162" s="362" t="str">
        <f t="shared" si="466"/>
        <v xml:space="preserve"> </v>
      </c>
      <c r="EE162" s="361" t="str">
        <f t="shared" si="467"/>
        <v xml:space="preserve"> </v>
      </c>
      <c r="EF162" s="362" t="str">
        <f>IF(L162&gt;0,IF(BR162&gt;0,IF(EE162="2P",IF(Calculation!DZ162="2P",IF(Calculation!DS162=13.75,IF(Calculation!DR162=13,Worksheet!$BD$43,IF(Calculation!DR162=37,Worksheet!$BD$44,Worksheet!$BD$45)),IF(Calculation!DS162=10,IF(Calculation!DR162=18,Worksheet!$BD$29,IF(Calculation!DR162=30,Worksheet!$BD$30,IF(Calculation!DR162=42,Worksheet!$BD$31,IF(Calculation!DR162=54,Worksheet!$BD$32,IF(Calculation!DR162=66,Worksheet!$BD$33,IF(Calculation!DR162=78,Worksheet!$BD$34,IF(Calculation!DR162=90,Worksheet!$BD$35,IF(Calculation!DR162=102,Worksheet!$BD$36,Worksheet!$BD$37)))))))),IF(Calculation!DS162=12.5,IF(Calculation!DR162=18,Worksheet!$BD$38,IF(Calculation!DR162=Worksheet!$BD$39,IF(Calculation!DR162=42,Worksheet!$BD$40,IF(Calculation!DR162=54,Worksheet!$BD$41,Worksheet!$BD$42)))),IF(Calculation!DR162=18,Worksheet!$BD$11,IF(Calculation!DR162=30,Worksheet!$BD$12,IF(Calculation!DR162=42,Worksheet!$BD$13,IF(Calculation!DR162=54,Worksheet!$BD$14,IF(Calculation!DR162=66,Worksheet!$BD$15,IF(Calculation!DR162=78,Worksheet!$BD$16,IF(Calculation!DR162=90,Worksheet!$BD$17,IF(Calculation!DR162=102,Worksheet!$BD$18,Worksheet!$BD$19))))))))))),IF(Calculation!DS162=13.75,IF(Calculation!DR162=13,Worksheet!$BD$78,IF(Calculation!DR162=37,Worksheet!$BD$79,Worksheet!$BD$80)),IF(Calculation!DS162=10,IF(Calculation!DR162=18,Worksheet!$BD$64,IF(Calculation!DR162=30,Worksheet!$BD$65,IF(Calculation!DR162=42,Worksheet!$BD$66,IF(Calculation!DR162=54,Worksheet!$BD$68,IF(Calculation!DR162=66,Worksheet!$BD$68,IF(Calculation!DR162=78,Worksheet!$BD$69,IF(Calculation!DR162=90,Worksheet!$BD$70,IF(Calculation!DR162=102,Worksheet!$BD$71,Worksheet!$BD$72)))))))),IF(Calculation!DS162=12.5,IF(Calculation!DR162=18,Worksheet!$BD$73,IF(Calculation!DR162=Worksheet!$BD$74,IF(Calculation!DR162=42,Worksheet!$BD$75,IF(Calculation!DR162=54,Worksheet!$BD$76,Worksheet!$BD$77)))),IF(Calculation!DR162=18,Worksheet!$BD$55,IF(Calculation!DR162=30,Worksheet!$BD$56,IF(Calculation!DR162=42,Worksheet!$BD$57,IF(Calculation!DR162=54,Worksheet!$BD$58,IF(Calculation!DR162=66,Worksheet!$BD$59,IF(Calculation!DR162=78,Worksheet!$BD$60,IF(Calculation!DR162=90,Worksheet!$BD$61,IF(Calculation!DR162=102,Worksheet!$BD$62,Worksheet!$BD$63)))))))))))),5),0)," ")</f>
        <v xml:space="preserve"> </v>
      </c>
      <c r="EG162" s="361" t="str">
        <f t="shared" si="468"/>
        <v xml:space="preserve"> </v>
      </c>
      <c r="EH162" s="361" t="e">
        <f ca="1">INDEX(INDIRECT(VLOOKUP(LEFT(BO162,7),CLU!$Z$3:$AH$18,7)),M162-1,3+LEFT(DZ162,1))</f>
        <v>#N/A</v>
      </c>
      <c r="EI162" s="362" t="str">
        <f t="shared" si="469"/>
        <v xml:space="preserve"> </v>
      </c>
      <c r="EJ162" s="363" t="str">
        <f t="shared" si="470"/>
        <v xml:space="preserve"> </v>
      </c>
      <c r="EK162" s="363" t="str">
        <f t="shared" si="471"/>
        <v xml:space="preserve"> </v>
      </c>
      <c r="EL162" s="363" t="str">
        <f t="shared" si="472"/>
        <v xml:space="preserve"> </v>
      </c>
      <c r="EM162" s="362" t="str">
        <f>IF(L162&gt;0,IF(BR162&gt;0,(Calculation!T162/ED162)^2,0)," ")</f>
        <v xml:space="preserve"> </v>
      </c>
      <c r="EN162" s="362" t="str">
        <f>IF(L162&gt;0,IF(O162="2 Pipe (Cooling)","N/A",IF(BR162&gt;0,(Calculation!U162/EI162)^2,0))," ")</f>
        <v xml:space="preserve"> </v>
      </c>
      <c r="EO162" s="361" t="str">
        <f t="shared" si="473"/>
        <v/>
      </c>
      <c r="EP162" s="361" t="str">
        <f t="shared" si="474"/>
        <v/>
      </c>
      <c r="EQ162" s="361" t="str">
        <f t="shared" si="475"/>
        <v/>
      </c>
      <c r="ER162" s="361" t="str">
        <f t="shared" si="476"/>
        <v/>
      </c>
      <c r="ES162" s="361" t="str">
        <f t="shared" si="477"/>
        <v/>
      </c>
      <c r="ET162" s="361" t="str">
        <f t="shared" si="478"/>
        <v/>
      </c>
      <c r="EU162" s="361" t="str">
        <f t="shared" si="479"/>
        <v/>
      </c>
      <c r="EV162" s="361" t="str">
        <f t="shared" si="480"/>
        <v/>
      </c>
      <c r="EW162" s="361" t="str">
        <f t="shared" si="481"/>
        <v/>
      </c>
      <c r="EX162" s="361" t="str">
        <f t="shared" si="571"/>
        <v>1 slot, 1 way</v>
      </c>
      <c r="EY162" s="361" t="str">
        <f t="shared" si="572"/>
        <v xml:space="preserve"> </v>
      </c>
      <c r="EZ162" s="361" t="str">
        <f t="shared" si="573"/>
        <v xml:space="preserve"> </v>
      </c>
      <c r="FA162" s="361" t="str">
        <f t="shared" si="574"/>
        <v xml:space="preserve"> </v>
      </c>
      <c r="FB162" s="361" t="str">
        <f t="shared" si="575"/>
        <v xml:space="preserve"> </v>
      </c>
      <c r="FC162" s="361"/>
      <c r="FD162" s="361" t="str">
        <f>IF(J162&gt;0,IF(Calculation!R162&lt;=70,4,IF(Calculation!R162&lt;=110,5,IF(Calculation!R162&lt;=160,6,IF(Calculation!R162&lt;=300,8,"10 EO")))),"")</f>
        <v/>
      </c>
      <c r="FE162" s="361" t="str">
        <f t="shared" si="576"/>
        <v/>
      </c>
      <c r="FF162" s="361" t="str">
        <f t="shared" si="577"/>
        <v/>
      </c>
      <c r="FG162" s="361" t="e">
        <f t="shared" si="482"/>
        <v>#N/A</v>
      </c>
      <c r="FH162" s="361">
        <f t="shared" si="483"/>
        <v>0</v>
      </c>
      <c r="FI162" s="361" t="e">
        <f t="shared" si="484"/>
        <v>#DIV/0!</v>
      </c>
      <c r="FJ162" s="361"/>
      <c r="FK162" s="356" t="e">
        <f t="shared" si="485"/>
        <v>#VALUE!</v>
      </c>
      <c r="FL162" s="361"/>
      <c r="FM162" s="361"/>
      <c r="FN162" s="362" t="str">
        <f t="shared" si="578"/>
        <v xml:space="preserve"> </v>
      </c>
      <c r="FO162" s="362" t="str">
        <f t="shared" si="579"/>
        <v xml:space="preserve"> </v>
      </c>
      <c r="FP162" s="362">
        <f t="shared" si="580"/>
        <v>0</v>
      </c>
      <c r="FQ162" s="361">
        <f t="shared" si="486"/>
        <v>0</v>
      </c>
      <c r="FR162" s="362" t="str">
        <f>IF(L162&gt;0,IF(J162="CBAL2",Worksheet!$P$67,IF(J162="CBE2-24",Worksheet!$Q$67,IF(J162="CBAM",Worksheet!$R$67,IF(J162="CBLV",Worksheet!$S$67,IF(J162="CBAB",Worksheet!$U$67,IF(J162="CBAW",Worksheet!$X$67,IF(J162="CBE2-12",Worksheet!$Y$67,IF(J162="CBAL2",Worksheet!$Z$67,"N/A"))))))))," ")</f>
        <v xml:space="preserve"> </v>
      </c>
      <c r="FS162" s="362" t="str">
        <f>IF(L162&gt;0,IF(J162="CBAL2",Worksheet!$P$68,IF(J162="CBE2-24",Worksheet!$Q$68,IF(J162="CBAM",Worksheet!$R$68,IF(J162="CBLV",Worksheet!$S$68,IF(J162="CBAB",Worksheet!$U$68,IF(J162="CBAW",Worksheet!$X$68,IF(J162="CBE2-12",Worksheet!$Y$68,IF(J162="CBAL2",Worksheet!$Z$68,"N/A"))))))))," ")</f>
        <v xml:space="preserve"> </v>
      </c>
      <c r="FT162" s="362" t="str">
        <f>IF(L162&gt;0,IF(J162="CBAL2",Worksheet!$P$69,IF(J162="CBE2-24",Worksheet!$Q$69,IF(J162="CBAM",Worksheet!$R$69,IF(J162="CBLV",Worksheet!$S$69,IF(J162="CBAB",Worksheet!$U$69,IF(J162="CBAW",Worksheet!$X$69,IF(J162="CBE2-12",Worksheet!$Y$69,IF(J162="CBAL2",Worksheet!$Z$69,"N/A"))))))))," ")</f>
        <v xml:space="preserve"> </v>
      </c>
      <c r="FU162" s="361" t="str">
        <f t="shared" si="581"/>
        <v xml:space="preserve"> </v>
      </c>
      <c r="FV162" s="362" t="str">
        <f t="shared" si="582"/>
        <v xml:space="preserve"> </v>
      </c>
      <c r="FW162" s="362" t="str">
        <f t="shared" si="583"/>
        <v xml:space="preserve"> </v>
      </c>
      <c r="FX162" s="362" t="str">
        <f t="shared" si="584"/>
        <v xml:space="preserve"> </v>
      </c>
      <c r="FY162" s="355" t="str">
        <f t="shared" si="585"/>
        <v xml:space="preserve"> </v>
      </c>
      <c r="FZ162" s="361" t="str">
        <f t="shared" si="586"/>
        <v xml:space="preserve"> </v>
      </c>
      <c r="GA162" s="347" t="str">
        <f t="shared" si="587"/>
        <v xml:space="preserve"> </v>
      </c>
      <c r="GB162" s="355" t="str">
        <f t="shared" si="588"/>
        <v xml:space="preserve"> </v>
      </c>
      <c r="GC162" s="328" t="str">
        <f t="shared" si="589"/>
        <v xml:space="preserve"> </v>
      </c>
      <c r="GD162" s="361" t="str">
        <f t="shared" si="590"/>
        <v xml:space="preserve"> </v>
      </c>
      <c r="GE162" s="347" t="str">
        <f t="shared" si="591"/>
        <v xml:space="preserve"> </v>
      </c>
      <c r="GF162" s="361" t="str">
        <f t="shared" si="592"/>
        <v xml:space="preserve"> </v>
      </c>
      <c r="GG162" s="347" t="str">
        <f t="shared" si="593"/>
        <v xml:space="preserve"> </v>
      </c>
      <c r="GH162" s="364">
        <f t="shared" si="487"/>
        <v>0</v>
      </c>
      <c r="GI162" s="362">
        <f t="shared" si="594"/>
        <v>2</v>
      </c>
      <c r="GJ162" s="433" t="e">
        <f>IF(6-COUNTBLANK(GT162:GY162)=4,MATCH(MID(BO162,9,3),CLU!$H$16:$K$16),MATCH(MID(BO162,9,3),CLU!$H$13:$M$13))</f>
        <v>#N/A</v>
      </c>
      <c r="GK162" s="433" t="e">
        <f>HLOOKUP(VALUE(BP162),CLU!$H$9:$M$10,2)</f>
        <v>#VALUE!</v>
      </c>
      <c r="GL162" s="433" t="e">
        <f ca="1">MATCH(BU162,CLU!$H$2:$V$2,1)</f>
        <v>#VALUE!</v>
      </c>
      <c r="GM162" s="433" t="e">
        <f t="shared" ca="1" si="595"/>
        <v>#VALUE!</v>
      </c>
      <c r="GN162" s="433" t="e">
        <f t="shared" ca="1" si="596"/>
        <v>#VALUE!</v>
      </c>
      <c r="GO162" s="433" t="e">
        <f t="shared" ca="1" si="597"/>
        <v>#VALUE!</v>
      </c>
      <c r="GP162" s="433" t="e">
        <f t="shared" ca="1" si="598"/>
        <v>#VALUE!</v>
      </c>
      <c r="GQ162" s="433" t="e">
        <f t="shared" ca="1" si="599"/>
        <v>#VALUE!</v>
      </c>
      <c r="GR162" s="433" t="e">
        <f ca="1">MATCH(T162,INDIRECT(VLOOKUP(CONCATENATE(LEFT(BO162,7),"-",MID(BO162,13,1)),CLU!$P$3:$Q$16,2)),1)</f>
        <v>#N/A</v>
      </c>
      <c r="GS162" s="433" t="e">
        <f ca="1">MATCH(U162,INDIRECT(VLOOKUP(CONCATENATE(LEFT(BO162,7),"-",MID(BO162,13,1)),CLU!$P$3:$Q$16,2)),1)</f>
        <v>#N/A</v>
      </c>
      <c r="GT162" s="347" t="s">
        <v>512</v>
      </c>
      <c r="GU162" s="97" t="s">
        <v>513</v>
      </c>
      <c r="GV162" s="97" t="str">
        <f t="shared" si="600"/>
        <v>M23</v>
      </c>
      <c r="GW162" s="97" t="str">
        <f t="shared" si="601"/>
        <v>M31</v>
      </c>
      <c r="GX162" s="97" t="str">
        <f t="shared" si="602"/>
        <v/>
      </c>
      <c r="GY162" s="97" t="str">
        <f t="shared" si="603"/>
        <v/>
      </c>
      <c r="GZ162" s="481"/>
      <c r="HA162" s="288"/>
      <c r="HB162" s="240"/>
      <c r="HC162" s="240"/>
      <c r="HD162" s="240"/>
      <c r="HE162" s="240"/>
      <c r="HF162" s="240"/>
      <c r="HG162" s="240"/>
      <c r="HH162" s="240"/>
      <c r="HI162" s="240"/>
      <c r="HJ162" s="240"/>
      <c r="HK162" s="240"/>
      <c r="HL162" s="240"/>
      <c r="HM162" s="240"/>
      <c r="HN162" s="240"/>
      <c r="HO162" s="240"/>
      <c r="HP162" s="240"/>
      <c r="HQ162" s="240"/>
      <c r="HR162" s="240"/>
      <c r="HS162" s="240"/>
      <c r="HT162" s="240"/>
      <c r="HU162" s="240"/>
      <c r="HV162" s="245"/>
      <c r="HW162" s="245" t="b">
        <v>1</v>
      </c>
      <c r="HX162" s="245" t="str">
        <f t="shared" si="488"/>
        <v/>
      </c>
      <c r="HY162" s="245" t="e">
        <f t="shared" si="489"/>
        <v>#DIV/0!</v>
      </c>
      <c r="HZ162" s="245" t="e">
        <f t="shared" si="490"/>
        <v>#DIV/0!</v>
      </c>
      <c r="IA162" s="245">
        <f t="shared" si="491"/>
        <v>0</v>
      </c>
      <c r="IB162" s="245"/>
      <c r="IC162" t="b">
        <f t="shared" si="492"/>
        <v>1</v>
      </c>
      <c r="ID162" s="245" t="b">
        <f t="shared" si="493"/>
        <v>1</v>
      </c>
      <c r="IE162" s="245" t="b">
        <f t="shared" si="494"/>
        <v>1</v>
      </c>
      <c r="IF162" s="245" t="b">
        <f t="shared" si="495"/>
        <v>0</v>
      </c>
      <c r="IG162" s="245" t="b">
        <f t="shared" si="496"/>
        <v>1</v>
      </c>
      <c r="IH162" s="245" t="b">
        <f t="shared" si="497"/>
        <v>1</v>
      </c>
      <c r="II162" s="245">
        <f t="shared" si="604"/>
        <v>0</v>
      </c>
      <c r="IJ162" s="245" t="e">
        <f t="shared" si="498"/>
        <v>#VALUE!</v>
      </c>
      <c r="IK162" s="245" t="e">
        <f t="shared" si="499"/>
        <v>#VALUE!</v>
      </c>
      <c r="IL162" s="245"/>
      <c r="IM162" s="245" t="e">
        <f t="shared" si="605"/>
        <v>#N/A</v>
      </c>
      <c r="IN162" s="245" t="e">
        <f t="shared" si="606"/>
        <v>#N/A</v>
      </c>
      <c r="IO162" s="245"/>
      <c r="IP162" s="245"/>
      <c r="IQ162" s="245" t="str">
        <f t="shared" si="500"/>
        <v/>
      </c>
      <c r="IR162" s="245" t="str">
        <f>IF(J162="","",VLOOKUP(J162,Worksheet!$R$4:$T$14,2))</f>
        <v/>
      </c>
      <c r="IS162" s="245"/>
      <c r="IT162" s="245">
        <f t="shared" si="501"/>
        <v>0</v>
      </c>
      <c r="IU162" s="245">
        <f t="shared" si="502"/>
        <v>0</v>
      </c>
      <c r="IV162" s="245">
        <f t="shared" si="503"/>
        <v>0</v>
      </c>
      <c r="IW162" s="245">
        <f t="shared" si="504"/>
        <v>0</v>
      </c>
      <c r="IX162" s="245">
        <f t="shared" si="607"/>
        <v>0</v>
      </c>
      <c r="IY162" s="245">
        <f t="shared" si="505"/>
        <v>0</v>
      </c>
      <c r="IZ162" s="245">
        <f t="shared" si="506"/>
        <v>0</v>
      </c>
      <c r="JA162">
        <f t="shared" si="507"/>
        <v>0</v>
      </c>
      <c r="JB162">
        <f t="shared" si="608"/>
        <v>0</v>
      </c>
      <c r="JC162">
        <f t="shared" si="508"/>
        <v>0</v>
      </c>
      <c r="JD162">
        <f t="shared" si="509"/>
        <v>0</v>
      </c>
      <c r="JE162">
        <f t="shared" si="510"/>
        <v>0</v>
      </c>
      <c r="JF162">
        <f t="shared" si="511"/>
        <v>0</v>
      </c>
      <c r="JG162">
        <f t="shared" si="512"/>
        <v>0</v>
      </c>
      <c r="JH162">
        <f t="shared" si="513"/>
        <v>0</v>
      </c>
      <c r="JI162">
        <f t="shared" si="514"/>
        <v>0</v>
      </c>
      <c r="JJ162" s="447">
        <f t="shared" si="515"/>
        <v>0</v>
      </c>
      <c r="JK162" s="447">
        <f t="shared" si="516"/>
        <v>0</v>
      </c>
      <c r="JL162">
        <f t="shared" si="517"/>
        <v>0</v>
      </c>
      <c r="JM162" s="245" t="str">
        <f>IFERROR(VLOOKUP(MATCH(BN162,#REF!,0),#REF!,7),"")</f>
        <v/>
      </c>
      <c r="JN162" t="e">
        <f>HLOOKUP(LEFT(BO162,7),Discharge_Area,MATCH(JO162,LookUps!$B$130:$B$149,1)+2)</f>
        <v>#N/A</v>
      </c>
      <c r="JO162" t="str">
        <f t="shared" si="518"/>
        <v>- S</v>
      </c>
      <c r="JP162" t="e">
        <f>HLOOKUP(LEFT(BO162,7),Discharge_Area,MATCH(JO162,LookUps!$B$130:$B$149,1)+2)</f>
        <v>#N/A</v>
      </c>
      <c r="JQ162" t="e">
        <f t="shared" si="519"/>
        <v>#N/A</v>
      </c>
      <c r="JR162" t="e">
        <f t="shared" si="520"/>
        <v>#N/A</v>
      </c>
      <c r="JS162" t="e">
        <f t="shared" si="521"/>
        <v>#N/A</v>
      </c>
      <c r="JT162" s="532" t="str">
        <f t="shared" si="522"/>
        <v xml:space="preserve"> </v>
      </c>
      <c r="JU162" s="532" t="str">
        <f t="shared" si="523"/>
        <v xml:space="preserve"> </v>
      </c>
      <c r="JV162" s="533" t="str">
        <f t="shared" si="524"/>
        <v xml:space="preserve"> </v>
      </c>
      <c r="JW162" s="534">
        <f t="shared" si="525"/>
        <v>0</v>
      </c>
      <c r="JX162" s="535" t="str">
        <f t="shared" si="609"/>
        <v xml:space="preserve"> </v>
      </c>
      <c r="JY162" s="535" t="str">
        <f t="shared" si="610"/>
        <v xml:space="preserve"> </v>
      </c>
      <c r="JZ162" s="535" t="str">
        <f t="shared" si="611"/>
        <v xml:space="preserve"> </v>
      </c>
      <c r="KA162" s="536" t="str">
        <f t="shared" si="526"/>
        <v xml:space="preserve"> </v>
      </c>
      <c r="KB162" s="535" t="e">
        <f t="shared" si="612"/>
        <v>#VALUE!</v>
      </c>
      <c r="KC162" s="535" t="str">
        <f t="shared" si="527"/>
        <v/>
      </c>
      <c r="KD162" s="537" t="str">
        <f t="shared" si="613"/>
        <v xml:space="preserve"> </v>
      </c>
      <c r="KE162" s="537" t="str">
        <f t="shared" si="614"/>
        <v xml:space="preserve"> </v>
      </c>
      <c r="KF162" s="534">
        <f t="shared" si="528"/>
        <v>0</v>
      </c>
      <c r="KG162" s="535" t="str">
        <f t="shared" si="529"/>
        <v xml:space="preserve"> </v>
      </c>
      <c r="KH162" s="535" t="str">
        <f t="shared" si="530"/>
        <v xml:space="preserve"> </v>
      </c>
      <c r="KI162" s="535" t="str">
        <f t="shared" si="531"/>
        <v xml:space="preserve"> </v>
      </c>
      <c r="KJ162" s="536" t="str">
        <f t="shared" si="532"/>
        <v xml:space="preserve"> </v>
      </c>
      <c r="KK162" s="535" t="str">
        <f t="shared" si="615"/>
        <v xml:space="preserve"> </v>
      </c>
      <c r="KL162" s="535" t="str">
        <f t="shared" si="616"/>
        <v xml:space="preserve"> </v>
      </c>
      <c r="KM162" s="537" t="str">
        <f t="shared" si="533"/>
        <v xml:space="preserve"> </v>
      </c>
      <c r="KN162" s="537" t="str">
        <f t="shared" si="617"/>
        <v xml:space="preserve"> </v>
      </c>
      <c r="KP162">
        <f t="shared" si="534"/>
        <v>0</v>
      </c>
      <c r="LA162" t="e">
        <f t="shared" si="535"/>
        <v>#VALUE!</v>
      </c>
      <c r="LB162" t="e">
        <f t="shared" si="536"/>
        <v>#VALUE!</v>
      </c>
      <c r="LC162" t="e">
        <f t="shared" si="537"/>
        <v>#VALUE!</v>
      </c>
      <c r="LD162" t="e">
        <f t="shared" si="538"/>
        <v>#VALUE!</v>
      </c>
      <c r="LE162" t="e">
        <f t="shared" si="618"/>
        <v>#VALUE!</v>
      </c>
      <c r="LF162">
        <f t="shared" si="539"/>
        <v>0</v>
      </c>
      <c r="LG162" t="e">
        <f t="shared" si="619"/>
        <v>#VALUE!</v>
      </c>
      <c r="LH162" t="str">
        <f t="shared" si="540"/>
        <v xml:space="preserve"> </v>
      </c>
      <c r="LI162">
        <f t="shared" si="620"/>
        <v>1</v>
      </c>
    </row>
    <row r="163" spans="2:321" ht="15" customHeight="1">
      <c r="B163" s="311"/>
      <c r="C163" s="311"/>
      <c r="D163" s="312"/>
      <c r="E163" s="311"/>
      <c r="F163" s="312"/>
      <c r="G163" s="311"/>
      <c r="H163" s="311"/>
      <c r="I163" s="37"/>
      <c r="J163" s="311"/>
      <c r="K163" s="305" t="str">
        <f t="shared" si="541"/>
        <v/>
      </c>
      <c r="L163" s="313"/>
      <c r="M163" s="312"/>
      <c r="N163" s="311"/>
      <c r="O163" s="312"/>
      <c r="P163" s="311"/>
      <c r="Q163" s="305" t="str">
        <f t="shared" si="542"/>
        <v/>
      </c>
      <c r="R163" s="314"/>
      <c r="S163" s="450" t="str">
        <f t="shared" si="425"/>
        <v/>
      </c>
      <c r="T163" s="315"/>
      <c r="U163" s="315"/>
      <c r="W163" s="149" t="str">
        <f t="shared" si="426"/>
        <v xml:space="preserve"> </v>
      </c>
      <c r="X163" s="243" t="str">
        <f t="shared" si="427"/>
        <v xml:space="preserve"> </v>
      </c>
      <c r="Y163" s="150" t="str">
        <f t="shared" si="428"/>
        <v/>
      </c>
      <c r="Z163" s="149" t="str">
        <f t="shared" si="429"/>
        <v xml:space="preserve"> </v>
      </c>
      <c r="AA163" s="98" t="str">
        <f t="shared" si="430"/>
        <v xml:space="preserve"> </v>
      </c>
      <c r="AB163" s="153" t="str">
        <f t="shared" si="431"/>
        <v xml:space="preserve"> </v>
      </c>
      <c r="AC163" s="153" t="str">
        <f t="shared" si="432"/>
        <v xml:space="preserve"> </v>
      </c>
      <c r="AD163" s="148" t="str">
        <f t="shared" si="433"/>
        <v/>
      </c>
      <c r="AE163" s="149" t="str">
        <f t="shared" si="434"/>
        <v/>
      </c>
      <c r="AF163" s="151" t="str">
        <f t="shared" si="435"/>
        <v xml:space="preserve"> </v>
      </c>
      <c r="AG163" s="153" t="str">
        <f t="shared" si="436"/>
        <v xml:space="preserve"> </v>
      </c>
      <c r="AH163" s="98" t="str">
        <f t="shared" si="437"/>
        <v xml:space="preserve"> </v>
      </c>
      <c r="AI163" s="149" t="str">
        <f t="shared" si="438"/>
        <v xml:space="preserve"> </v>
      </c>
      <c r="AK163" s="144" t="str">
        <f t="shared" si="439"/>
        <v xml:space="preserve"> </v>
      </c>
      <c r="AL163" s="144"/>
      <c r="AM163" s="243" t="str">
        <f t="shared" si="440"/>
        <v xml:space="preserve"> </v>
      </c>
      <c r="AN163" s="149" t="str">
        <f t="shared" si="543"/>
        <v xml:space="preserve"> </v>
      </c>
      <c r="AO163" s="144" t="str">
        <f>IF(JB163&gt;0,IF(GI163=10,-R163*1.085*(Calculation!$F$6-Calculation!$F$13)*$S$14," "),"")</f>
        <v/>
      </c>
      <c r="AP163" s="144" t="str">
        <f t="shared" si="441"/>
        <v/>
      </c>
      <c r="AQ163" s="56" t="str">
        <f t="shared" si="442"/>
        <v/>
      </c>
      <c r="AR163" s="144" t="str">
        <f t="shared" si="443"/>
        <v/>
      </c>
      <c r="AS163" s="176" t="str">
        <f t="shared" si="444"/>
        <v/>
      </c>
      <c r="AT163" s="176" t="str">
        <f t="shared" si="544"/>
        <v xml:space="preserve"> </v>
      </c>
      <c r="AU163" s="176" t="str">
        <f t="shared" si="445"/>
        <v/>
      </c>
      <c r="AV163" s="177" t="str">
        <f t="shared" si="446"/>
        <v xml:space="preserve"> </v>
      </c>
      <c r="AW163" s="144" t="str">
        <f t="shared" si="447"/>
        <v xml:space="preserve"> </v>
      </c>
      <c r="AX163" s="144" t="str">
        <f t="shared" si="448"/>
        <v xml:space="preserve"> </v>
      </c>
      <c r="AY163" s="152" t="str">
        <f t="shared" si="449"/>
        <v xml:space="preserve"> </v>
      </c>
      <c r="AZ163" s="246" t="str">
        <f t="shared" si="450"/>
        <v/>
      </c>
      <c r="BA163" s="176" t="str">
        <f t="shared" si="451"/>
        <v xml:space="preserve"> </v>
      </c>
      <c r="BB163" s="176" t="str">
        <f t="shared" si="452"/>
        <v xml:space="preserve"> </v>
      </c>
      <c r="BC163" s="195"/>
      <c r="BD163" s="316"/>
      <c r="BE163" s="317"/>
      <c r="BF163" s="318"/>
      <c r="BG163" s="318"/>
      <c r="BH163" s="144" t="str">
        <f t="shared" si="621"/>
        <v xml:space="preserve"> </v>
      </c>
      <c r="BI163" s="176" t="str">
        <f t="shared" si="453"/>
        <v/>
      </c>
      <c r="BJ163" s="144" t="str">
        <f t="shared" si="622"/>
        <v/>
      </c>
      <c r="BK163" s="246" t="str">
        <f t="shared" si="454"/>
        <v/>
      </c>
      <c r="BL163" s="144" t="str">
        <f t="shared" si="623"/>
        <v/>
      </c>
      <c r="BM163" s="246" t="str">
        <f t="shared" si="455"/>
        <v/>
      </c>
      <c r="BN163" s="337" t="str">
        <f t="shared" si="545"/>
        <v/>
      </c>
      <c r="BO163" s="371" t="str">
        <f t="shared" si="546"/>
        <v/>
      </c>
      <c r="BP163" s="328" t="str">
        <f t="shared" si="624"/>
        <v xml:space="preserve"> </v>
      </c>
      <c r="BQ163" s="347" t="str">
        <f t="shared" si="547"/>
        <v xml:space="preserve"> </v>
      </c>
      <c r="BR163" s="353" t="str">
        <f t="shared" si="548"/>
        <v xml:space="preserve"> </v>
      </c>
      <c r="BS163" s="626" t="str">
        <f>IF(L163&gt;0,IF(Calculation!P163="M13",BR163*3.1416*(0.134^2)/(4*144),IF(Calculation!P163="M17",BR163*3.1416*(0.165^2)/(4*144),IF(Calculation!P163="M20",BR163*3.1416*(0.198^2)/(4*144),IF(Calculation!P163="M23",BR163*3.1416*(0.228^2)/(4*144),IF(Calculation!P163="M27",BR163*3.1416*(0.269^2)/(4*144),BR163*3.1416*(0.307^2)/(4*144))))))," ")</f>
        <v xml:space="preserve"> </v>
      </c>
      <c r="BT163" s="353" t="str">
        <f>IF(L163&gt;0,IF(BS163&gt;0,R163/Calculation!BS163,0)," ")</f>
        <v xml:space="preserve"> </v>
      </c>
      <c r="BU163" s="438" t="e">
        <f t="shared" ca="1" si="456"/>
        <v>#VALUE!</v>
      </c>
      <c r="BV163" s="449" t="e">
        <f ca="1">INDEX(INDIRECT(VLOOKUP(LEFT(BO163,7),CLU!$Z$3:$AH$18,2)),GN163,GR163)</f>
        <v>#N/A</v>
      </c>
      <c r="BW163" s="433" t="e">
        <f ca="1">INDEX(INDIRECT(VLOOKUP(LEFT(BO163,7),CLU!$Z$3:$AH$18,3)),GN163,GR163)</f>
        <v>#N/A</v>
      </c>
      <c r="BX163" s="433" t="e">
        <f ca="1">INDEX(INDIRECT(VLOOKUP(LEFT(BO163,7),CLU!$Z$3:$AH$18,4)),GN163,GR163)</f>
        <v>#N/A</v>
      </c>
      <c r="BY163" s="433" t="e">
        <f ca="1">INDEX(INDIRECT(VLOOKUP(LEFT(BO163,7),CLU!$Z$3:$AH$18,9)),((M163-2)*(6-COUNTBLANK(GT163:GY163)))+GJ163)</f>
        <v>#N/A</v>
      </c>
      <c r="BZ163" s="426" t="e">
        <f t="shared" ca="1" si="549"/>
        <v>#N/A</v>
      </c>
      <c r="CA163" s="424" t="e">
        <f t="shared" ca="1" si="550"/>
        <v>#N/A</v>
      </c>
      <c r="CB163" s="429" t="e">
        <f ca="1">INDEX(INDIRECT(VLOOKUP(LEFT(BO163,7),CLU!$Z$3:$AH$18,2)),GN163,GS163)</f>
        <v>#N/A</v>
      </c>
      <c r="CC163" s="342" t="e">
        <f ca="1">INDEX(INDIRECT(VLOOKUP(LEFT(BO163,7),CLU!$Z$3:$AH$18,3)),GN163,GS163)</f>
        <v>#N/A</v>
      </c>
      <c r="CD163" s="342" t="e">
        <f ca="1">INDEX(INDIRECT(VLOOKUP(LEFT(BO163,7),CLU!$Z$3:$AH$18,4)),GN163,GS163)</f>
        <v>#N/A</v>
      </c>
      <c r="CE163" s="426" t="e">
        <f t="shared" ca="1" si="551"/>
        <v>#N/A</v>
      </c>
      <c r="CF163" s="440">
        <f t="shared" si="552"/>
        <v>0</v>
      </c>
      <c r="CG163" s="431" t="e">
        <f ca="1">INDEX(INDIRECT(VLOOKUP(LEFT(BO163,7),CLU!$Z$3:$AH$18,2)),GQ163,GR163)</f>
        <v>#N/A</v>
      </c>
      <c r="CH163" s="431" t="e">
        <f ca="1">INDEX(INDIRECT(VLOOKUP(LEFT(BO163,7),CLU!$Z$3:$AH$18,3)),GQ163,GR163)</f>
        <v>#N/A</v>
      </c>
      <c r="CI163" s="431" t="e">
        <f ca="1">INDEX(INDIRECT(VLOOKUP(LEFT(BO163,7),CLU!$Z$3:$AH$18,4)),GQ163,GR163)</f>
        <v>#N/A</v>
      </c>
      <c r="CJ163" s="448" t="e">
        <f t="shared" ca="1" si="553"/>
        <v>#N/A</v>
      </c>
      <c r="CK163" s="431" t="e">
        <f t="shared" ca="1" si="554"/>
        <v>#N/A</v>
      </c>
      <c r="CL163" s="440" t="e">
        <f t="shared" ca="1" si="555"/>
        <v>#N/A</v>
      </c>
      <c r="CM163" s="431" t="e">
        <f ca="1">INDEX(INDIRECT(VLOOKUP(LEFT(BO163,7),CLU!$Z$3:$AH$18,2)),GQ163,GS163)</f>
        <v>#N/A</v>
      </c>
      <c r="CN163" s="431" t="e">
        <f ca="1">INDEX(INDIRECT(VLOOKUP(LEFT(BO163,7),CLU!$Z$3:$AH$18,3)),GQ163,GS163)</f>
        <v>#N/A</v>
      </c>
      <c r="CO163" s="431" t="e">
        <f ca="1">INDEX(INDIRECT(VLOOKUP(LEFT(BO163,7),CLU!$Z$3:$AH$18,4)),GQ163,GS163)</f>
        <v>#N/A</v>
      </c>
      <c r="CP163" s="431" t="e">
        <f t="shared" ca="1" si="556"/>
        <v>#N/A</v>
      </c>
      <c r="CQ163" s="440">
        <f t="shared" si="557"/>
        <v>0</v>
      </c>
      <c r="CR163" s="51" t="e">
        <f t="shared" ca="1" si="558"/>
        <v>#N/A</v>
      </c>
      <c r="CS163" s="439" t="e">
        <f t="shared" ca="1" si="559"/>
        <v>#VALUE!</v>
      </c>
      <c r="CT163" s="51" t="e">
        <f t="shared" ca="1" si="560"/>
        <v>#VALUE!</v>
      </c>
      <c r="CU163" s="10"/>
      <c r="CV163" s="51" t="e">
        <f t="shared" ca="1" si="457"/>
        <v>#VALUE!</v>
      </c>
      <c r="CW163" s="51">
        <f t="shared" si="561"/>
        <v>0</v>
      </c>
      <c r="CX163" s="439" t="e">
        <f t="shared" ca="1" si="562"/>
        <v>#VALUE!</v>
      </c>
      <c r="CY163" s="51" t="e">
        <f t="shared" ca="1" si="563"/>
        <v>#VALUE!</v>
      </c>
      <c r="CZ163" s="10"/>
      <c r="DA163" s="51" t="e">
        <f t="shared" ca="1" si="564"/>
        <v>#VALUE!</v>
      </c>
      <c r="DB163" s="347" t="e">
        <f ca="1">INDEX(INDIRECT(VLOOKUP(LEFT(BO163,7),CLU!$Z$3:$AI$18,10)),((M163-2)*(6-COUNTBLANK(GT163:GY163)))+GJ163)*LI163</f>
        <v>#N/A</v>
      </c>
      <c r="DC163" s="347" t="str">
        <f>IF(L163&gt;0,((R163/Worksheet!$I$15)/DB163)^2," ")</f>
        <v xml:space="preserve"> </v>
      </c>
      <c r="DD163" s="602" t="str">
        <f t="shared" si="565"/>
        <v xml:space="preserve"> </v>
      </c>
      <c r="DE163" s="347" t="str">
        <f t="shared" si="458"/>
        <v xml:space="preserve"> </v>
      </c>
      <c r="DF163" s="356" t="e">
        <f ca="1">INDEX(INDIRECT(VLOOKUP(LEFT(BO163,7),CLU!$Z$3:$AH$18,8)),((M163-2)*(6-COUNTBLANK(GT163:GY163)))+GJ163)</f>
        <v>#N/A</v>
      </c>
      <c r="DG163" s="347" t="str">
        <f t="shared" si="459"/>
        <v xml:space="preserve"> </v>
      </c>
      <c r="DH163" s="357" t="str">
        <f t="shared" si="460"/>
        <v xml:space="preserve"> </v>
      </c>
      <c r="DI163" s="355" t="str">
        <f t="shared" si="461"/>
        <v xml:space="preserve"> </v>
      </c>
      <c r="DJ163" s="245" t="e">
        <f ca="1">INDEX(INDIRECT(VLOOKUP(LEFT(BO163,7),CLU!$Z$3:$AH$18,5)),GL163,GK163)</f>
        <v>#N/A</v>
      </c>
      <c r="DK163" s="245" t="e">
        <f ca="1">INDEX(INDIRECT(VLOOKUP(LEFT(BO163,7),CLU!$Z$3:$AH$18,6)),GL163,GK163)</f>
        <v>#N/A</v>
      </c>
      <c r="DL163" s="355">
        <f>(Calculation!R163*0.69143*(Calculation!$BQ$8-Calculation!$F$8))*$S$14</f>
        <v>0</v>
      </c>
      <c r="DM163" s="359" t="e">
        <f t="shared" si="566"/>
        <v>#VALUE!</v>
      </c>
      <c r="DN163" s="611">
        <f t="shared" si="567"/>
        <v>0</v>
      </c>
      <c r="DO163" s="359">
        <f t="shared" si="568"/>
        <v>100</v>
      </c>
      <c r="DP163" s="359">
        <f t="shared" si="569"/>
        <v>0</v>
      </c>
      <c r="DQ163" s="360"/>
      <c r="DR163" s="245" t="e">
        <f ca="1">INDEX(INDIRECT(VLOOKUP(LEFT(BO163,7),CLU!$Z$3:$AH$18,7)),M163-1,1)</f>
        <v>#N/A</v>
      </c>
      <c r="DS163" s="245" t="e">
        <f ca="1">INDEX(INDIRECT(VLOOKUP(LEFT(BO163,7),CLU!$Z$3:$AH$18,7)),M163-1,2)</f>
        <v>#N/A</v>
      </c>
      <c r="DT163" s="245" t="e">
        <f ca="1">INDEX(INDIRECT(VLOOKUP(LEFT(BO163,7),CLU!$Z$3:$AH$18,7)),M163-1,3)</f>
        <v>#N/A</v>
      </c>
      <c r="DU163" s="245" t="e">
        <f ca="1">INDEX(INDIRECT(VLOOKUP(LEFT(BO163,7),CLU!$Z$3:$AH$18,7)),M163-1,4)</f>
        <v>#N/A</v>
      </c>
      <c r="DV163" s="361" t="e">
        <f ca="1">INDEX(INDIRECT(VLOOKUP(LEFT(BO163,7),CLU!$Z$3:$AH$18,7)),M163-1,4+LEFT(DZ163,1)*0.5)</f>
        <v>#N/A</v>
      </c>
      <c r="DW163" s="245" t="e">
        <f ca="1">INDEX(INDIRECT(VLOOKUP(LEFT(BO163,7),CLU!$Z$3:$AH$18,7)),M163-1,8)</f>
        <v>#N/A</v>
      </c>
      <c r="DX163" s="361" t="str">
        <f t="shared" si="462"/>
        <v xml:space="preserve"> </v>
      </c>
      <c r="DY163" s="361" t="str">
        <f t="shared" si="463"/>
        <v xml:space="preserve"> </v>
      </c>
      <c r="DZ163" s="361" t="str">
        <f t="shared" si="464"/>
        <v xml:space="preserve"> </v>
      </c>
      <c r="EA163" s="362" t="str">
        <f t="shared" si="465"/>
        <v xml:space="preserve"> </v>
      </c>
      <c r="EB163" s="624" t="str">
        <f t="shared" si="570"/>
        <v xml:space="preserve"> </v>
      </c>
      <c r="EC163" s="361" t="e">
        <f ca="1">INDEX(INDIRECT(VLOOKUP(LEFT(BO163,7),CLU!$Z$3:$AH$18,7)),M163-1,4+LEFT(DZ163,1)*0.5)</f>
        <v>#N/A</v>
      </c>
      <c r="ED163" s="362" t="str">
        <f t="shared" si="466"/>
        <v xml:space="preserve"> </v>
      </c>
      <c r="EE163" s="361" t="str">
        <f t="shared" si="467"/>
        <v xml:space="preserve"> </v>
      </c>
      <c r="EF163" s="362" t="str">
        <f>IF(L163&gt;0,IF(BR163&gt;0,IF(EE163="2P",IF(Calculation!DZ163="2P",IF(Calculation!DS163=13.75,IF(Calculation!DR163=13,Worksheet!$BD$43,IF(Calculation!DR163=37,Worksheet!$BD$44,Worksheet!$BD$45)),IF(Calculation!DS163=10,IF(Calculation!DR163=18,Worksheet!$BD$29,IF(Calculation!DR163=30,Worksheet!$BD$30,IF(Calculation!DR163=42,Worksheet!$BD$31,IF(Calculation!DR163=54,Worksheet!$BD$32,IF(Calculation!DR163=66,Worksheet!$BD$33,IF(Calculation!DR163=78,Worksheet!$BD$34,IF(Calculation!DR163=90,Worksheet!$BD$35,IF(Calculation!DR163=102,Worksheet!$BD$36,Worksheet!$BD$37)))))))),IF(Calculation!DS163=12.5,IF(Calculation!DR163=18,Worksheet!$BD$38,IF(Calculation!DR163=Worksheet!$BD$39,IF(Calculation!DR163=42,Worksheet!$BD$40,IF(Calculation!DR163=54,Worksheet!$BD$41,Worksheet!$BD$42)))),IF(Calculation!DR163=18,Worksheet!$BD$11,IF(Calculation!DR163=30,Worksheet!$BD$12,IF(Calculation!DR163=42,Worksheet!$BD$13,IF(Calculation!DR163=54,Worksheet!$BD$14,IF(Calculation!DR163=66,Worksheet!$BD$15,IF(Calculation!DR163=78,Worksheet!$BD$16,IF(Calculation!DR163=90,Worksheet!$BD$17,IF(Calculation!DR163=102,Worksheet!$BD$18,Worksheet!$BD$19))))))))))),IF(Calculation!DS163=13.75,IF(Calculation!DR163=13,Worksheet!$BD$78,IF(Calculation!DR163=37,Worksheet!$BD$79,Worksheet!$BD$80)),IF(Calculation!DS163=10,IF(Calculation!DR163=18,Worksheet!$BD$64,IF(Calculation!DR163=30,Worksheet!$BD$65,IF(Calculation!DR163=42,Worksheet!$BD$66,IF(Calculation!DR163=54,Worksheet!$BD$68,IF(Calculation!DR163=66,Worksheet!$BD$68,IF(Calculation!DR163=78,Worksheet!$BD$69,IF(Calculation!DR163=90,Worksheet!$BD$70,IF(Calculation!DR163=102,Worksheet!$BD$71,Worksheet!$BD$72)))))))),IF(Calculation!DS163=12.5,IF(Calculation!DR163=18,Worksheet!$BD$73,IF(Calculation!DR163=Worksheet!$BD$74,IF(Calculation!DR163=42,Worksheet!$BD$75,IF(Calculation!DR163=54,Worksheet!$BD$76,Worksheet!$BD$77)))),IF(Calculation!DR163=18,Worksheet!$BD$55,IF(Calculation!DR163=30,Worksheet!$BD$56,IF(Calculation!DR163=42,Worksheet!$BD$57,IF(Calculation!DR163=54,Worksheet!$BD$58,IF(Calculation!DR163=66,Worksheet!$BD$59,IF(Calculation!DR163=78,Worksheet!$BD$60,IF(Calculation!DR163=90,Worksheet!$BD$61,IF(Calculation!DR163=102,Worksheet!$BD$62,Worksheet!$BD$63)))))))))))),5),0)," ")</f>
        <v xml:space="preserve"> </v>
      </c>
      <c r="EG163" s="361" t="str">
        <f t="shared" si="468"/>
        <v xml:space="preserve"> </v>
      </c>
      <c r="EH163" s="361" t="e">
        <f ca="1">INDEX(INDIRECT(VLOOKUP(LEFT(BO163,7),CLU!$Z$3:$AH$18,7)),M163-1,3+LEFT(DZ163,1))</f>
        <v>#N/A</v>
      </c>
      <c r="EI163" s="362" t="str">
        <f t="shared" si="469"/>
        <v xml:space="preserve"> </v>
      </c>
      <c r="EJ163" s="363" t="str">
        <f t="shared" si="470"/>
        <v xml:space="preserve"> </v>
      </c>
      <c r="EK163" s="363" t="str">
        <f t="shared" si="471"/>
        <v xml:space="preserve"> </v>
      </c>
      <c r="EL163" s="363" t="str">
        <f t="shared" si="472"/>
        <v xml:space="preserve"> </v>
      </c>
      <c r="EM163" s="362" t="str">
        <f>IF(L163&gt;0,IF(BR163&gt;0,(Calculation!T163/ED163)^2,0)," ")</f>
        <v xml:space="preserve"> </v>
      </c>
      <c r="EN163" s="362" t="str">
        <f>IF(L163&gt;0,IF(O163="2 Pipe (Cooling)","N/A",IF(BR163&gt;0,(Calculation!U163/EI163)^2,0))," ")</f>
        <v xml:space="preserve"> </v>
      </c>
      <c r="EO163" s="361" t="str">
        <f t="shared" si="473"/>
        <v/>
      </c>
      <c r="EP163" s="361" t="str">
        <f t="shared" si="474"/>
        <v/>
      </c>
      <c r="EQ163" s="361" t="str">
        <f t="shared" si="475"/>
        <v/>
      </c>
      <c r="ER163" s="361" t="str">
        <f t="shared" si="476"/>
        <v/>
      </c>
      <c r="ES163" s="361" t="str">
        <f t="shared" si="477"/>
        <v/>
      </c>
      <c r="ET163" s="361" t="str">
        <f t="shared" si="478"/>
        <v/>
      </c>
      <c r="EU163" s="361" t="str">
        <f t="shared" si="479"/>
        <v/>
      </c>
      <c r="EV163" s="361" t="str">
        <f t="shared" si="480"/>
        <v/>
      </c>
      <c r="EW163" s="361" t="str">
        <f t="shared" si="481"/>
        <v/>
      </c>
      <c r="EX163" s="361" t="str">
        <f t="shared" si="571"/>
        <v>1 slot, 1 way</v>
      </c>
      <c r="EY163" s="361" t="str">
        <f t="shared" si="572"/>
        <v xml:space="preserve"> </v>
      </c>
      <c r="EZ163" s="361" t="str">
        <f t="shared" si="573"/>
        <v xml:space="preserve"> </v>
      </c>
      <c r="FA163" s="361" t="str">
        <f t="shared" si="574"/>
        <v xml:space="preserve"> </v>
      </c>
      <c r="FB163" s="361" t="str">
        <f t="shared" si="575"/>
        <v xml:space="preserve"> </v>
      </c>
      <c r="FC163" s="361"/>
      <c r="FD163" s="361" t="str">
        <f>IF(J163&gt;0,IF(Calculation!R163&lt;=70,4,IF(Calculation!R163&lt;=110,5,IF(Calculation!R163&lt;=160,6,IF(Calculation!R163&lt;=300,8,"10 EO")))),"")</f>
        <v/>
      </c>
      <c r="FE163" s="361" t="str">
        <f t="shared" si="576"/>
        <v/>
      </c>
      <c r="FF163" s="361" t="str">
        <f t="shared" si="577"/>
        <v/>
      </c>
      <c r="FG163" s="361" t="e">
        <f t="shared" si="482"/>
        <v>#N/A</v>
      </c>
      <c r="FH163" s="361">
        <f t="shared" si="483"/>
        <v>0</v>
      </c>
      <c r="FI163" s="361" t="e">
        <f t="shared" si="484"/>
        <v>#DIV/0!</v>
      </c>
      <c r="FJ163" s="361"/>
      <c r="FK163" s="356" t="e">
        <f t="shared" si="485"/>
        <v>#VALUE!</v>
      </c>
      <c r="FL163" s="361"/>
      <c r="FM163" s="361"/>
      <c r="FN163" s="362" t="str">
        <f t="shared" si="578"/>
        <v xml:space="preserve"> </v>
      </c>
      <c r="FO163" s="362" t="str">
        <f t="shared" si="579"/>
        <v xml:space="preserve"> </v>
      </c>
      <c r="FP163" s="362">
        <f t="shared" si="580"/>
        <v>0</v>
      </c>
      <c r="FQ163" s="361">
        <f t="shared" si="486"/>
        <v>0</v>
      </c>
      <c r="FR163" s="362" t="str">
        <f>IF(L163&gt;0,IF(J163="CBAL2",Worksheet!$P$67,IF(J163="CBE2-24",Worksheet!$Q$67,IF(J163="CBAM",Worksheet!$R$67,IF(J163="CBLV",Worksheet!$S$67,IF(J163="CBAB",Worksheet!$U$67,IF(J163="CBAW",Worksheet!$X$67,IF(J163="CBE2-12",Worksheet!$Y$67,IF(J163="CBAL2",Worksheet!$Z$67,"N/A"))))))))," ")</f>
        <v xml:space="preserve"> </v>
      </c>
      <c r="FS163" s="362" t="str">
        <f>IF(L163&gt;0,IF(J163="CBAL2",Worksheet!$P$68,IF(J163="CBE2-24",Worksheet!$Q$68,IF(J163="CBAM",Worksheet!$R$68,IF(J163="CBLV",Worksheet!$S$68,IF(J163="CBAB",Worksheet!$U$68,IF(J163="CBAW",Worksheet!$X$68,IF(J163="CBE2-12",Worksheet!$Y$68,IF(J163="CBAL2",Worksheet!$Z$68,"N/A"))))))))," ")</f>
        <v xml:space="preserve"> </v>
      </c>
      <c r="FT163" s="362" t="str">
        <f>IF(L163&gt;0,IF(J163="CBAL2",Worksheet!$P$69,IF(J163="CBE2-24",Worksheet!$Q$69,IF(J163="CBAM",Worksheet!$R$69,IF(J163="CBLV",Worksheet!$S$69,IF(J163="CBAB",Worksheet!$U$69,IF(J163="CBAW",Worksheet!$X$69,IF(J163="CBE2-12",Worksheet!$Y$69,IF(J163="CBAL2",Worksheet!$Z$69,"N/A"))))))))," ")</f>
        <v xml:space="preserve"> </v>
      </c>
      <c r="FU163" s="361" t="str">
        <f t="shared" si="581"/>
        <v xml:space="preserve"> </v>
      </c>
      <c r="FV163" s="362" t="str">
        <f t="shared" si="582"/>
        <v xml:space="preserve"> </v>
      </c>
      <c r="FW163" s="362" t="str">
        <f t="shared" si="583"/>
        <v xml:space="preserve"> </v>
      </c>
      <c r="FX163" s="362" t="str">
        <f t="shared" si="584"/>
        <v xml:space="preserve"> </v>
      </c>
      <c r="FY163" s="355" t="str">
        <f t="shared" si="585"/>
        <v xml:space="preserve"> </v>
      </c>
      <c r="FZ163" s="361" t="str">
        <f t="shared" si="586"/>
        <v xml:space="preserve"> </v>
      </c>
      <c r="GA163" s="347" t="str">
        <f t="shared" si="587"/>
        <v xml:space="preserve"> </v>
      </c>
      <c r="GB163" s="355" t="str">
        <f t="shared" si="588"/>
        <v xml:space="preserve"> </v>
      </c>
      <c r="GC163" s="328" t="str">
        <f t="shared" si="589"/>
        <v xml:space="preserve"> </v>
      </c>
      <c r="GD163" s="361" t="str">
        <f t="shared" si="590"/>
        <v xml:space="preserve"> </v>
      </c>
      <c r="GE163" s="347" t="str">
        <f t="shared" si="591"/>
        <v xml:space="preserve"> </v>
      </c>
      <c r="GF163" s="361" t="str">
        <f t="shared" si="592"/>
        <v xml:space="preserve"> </v>
      </c>
      <c r="GG163" s="347" t="str">
        <f t="shared" si="593"/>
        <v xml:space="preserve"> </v>
      </c>
      <c r="GH163" s="364">
        <f t="shared" si="487"/>
        <v>0</v>
      </c>
      <c r="GI163" s="362">
        <f t="shared" si="594"/>
        <v>2</v>
      </c>
      <c r="GJ163" s="433" t="e">
        <f>IF(6-COUNTBLANK(GT163:GY163)=4,MATCH(MID(BO163,9,3),CLU!$H$16:$K$16),MATCH(MID(BO163,9,3),CLU!$H$13:$M$13))</f>
        <v>#N/A</v>
      </c>
      <c r="GK163" s="433" t="e">
        <f>HLOOKUP(VALUE(BP163),CLU!$H$9:$M$10,2)</f>
        <v>#VALUE!</v>
      </c>
      <c r="GL163" s="433" t="e">
        <f ca="1">MATCH(BU163,CLU!$H$2:$V$2,1)</f>
        <v>#VALUE!</v>
      </c>
      <c r="GM163" s="433" t="e">
        <f t="shared" ca="1" si="595"/>
        <v>#VALUE!</v>
      </c>
      <c r="GN163" s="433" t="e">
        <f t="shared" ca="1" si="596"/>
        <v>#VALUE!</v>
      </c>
      <c r="GO163" s="433" t="e">
        <f t="shared" ca="1" si="597"/>
        <v>#VALUE!</v>
      </c>
      <c r="GP163" s="433" t="e">
        <f t="shared" ca="1" si="598"/>
        <v>#VALUE!</v>
      </c>
      <c r="GQ163" s="433" t="e">
        <f t="shared" ca="1" si="599"/>
        <v>#VALUE!</v>
      </c>
      <c r="GR163" s="433" t="e">
        <f ca="1">MATCH(T163,INDIRECT(VLOOKUP(CONCATENATE(LEFT(BO163,7),"-",MID(BO163,13,1)),CLU!$P$3:$Q$16,2)),1)</f>
        <v>#N/A</v>
      </c>
      <c r="GS163" s="433" t="e">
        <f ca="1">MATCH(U163,INDIRECT(VLOOKUP(CONCATENATE(LEFT(BO163,7),"-",MID(BO163,13,1)),CLU!$P$3:$Q$16,2)),1)</f>
        <v>#N/A</v>
      </c>
      <c r="GT163" s="347" t="s">
        <v>512</v>
      </c>
      <c r="GU163" s="97" t="s">
        <v>513</v>
      </c>
      <c r="GV163" s="97" t="str">
        <f t="shared" si="600"/>
        <v>M23</v>
      </c>
      <c r="GW163" s="97" t="str">
        <f t="shared" si="601"/>
        <v>M31</v>
      </c>
      <c r="GX163" s="97" t="str">
        <f t="shared" si="602"/>
        <v/>
      </c>
      <c r="GY163" s="97" t="str">
        <f t="shared" si="603"/>
        <v/>
      </c>
      <c r="GZ163" s="481"/>
      <c r="HA163" s="288"/>
      <c r="HB163" s="240"/>
      <c r="HC163" s="240"/>
      <c r="HD163" s="240"/>
      <c r="HE163" s="240"/>
      <c r="HF163" s="240"/>
      <c r="HG163" s="240"/>
      <c r="HH163" s="240"/>
      <c r="HI163" s="240"/>
      <c r="HJ163" s="240"/>
      <c r="HK163" s="240"/>
      <c r="HL163" s="240"/>
      <c r="HM163" s="240"/>
      <c r="HN163" s="240"/>
      <c r="HO163" s="240"/>
      <c r="HP163" s="240"/>
      <c r="HQ163" s="240"/>
      <c r="HR163" s="240"/>
      <c r="HS163" s="240"/>
      <c r="HT163" s="240"/>
      <c r="HU163" s="240"/>
      <c r="HV163" s="245"/>
      <c r="HW163" s="245" t="b">
        <v>1</v>
      </c>
      <c r="HX163" s="245" t="str">
        <f t="shared" si="488"/>
        <v/>
      </c>
      <c r="HY163" s="245" t="e">
        <f t="shared" si="489"/>
        <v>#DIV/0!</v>
      </c>
      <c r="HZ163" s="245" t="e">
        <f t="shared" si="490"/>
        <v>#DIV/0!</v>
      </c>
      <c r="IA163" s="245">
        <f t="shared" si="491"/>
        <v>0</v>
      </c>
      <c r="IB163" s="245"/>
      <c r="IC163" t="b">
        <f t="shared" si="492"/>
        <v>1</v>
      </c>
      <c r="ID163" s="245" t="b">
        <f t="shared" si="493"/>
        <v>1</v>
      </c>
      <c r="IE163" s="245" t="b">
        <f t="shared" si="494"/>
        <v>1</v>
      </c>
      <c r="IF163" s="245" t="b">
        <f t="shared" si="495"/>
        <v>0</v>
      </c>
      <c r="IG163" s="245" t="b">
        <f t="shared" si="496"/>
        <v>1</v>
      </c>
      <c r="IH163" s="245" t="b">
        <f t="shared" si="497"/>
        <v>1</v>
      </c>
      <c r="II163" s="245">
        <f t="shared" si="604"/>
        <v>0</v>
      </c>
      <c r="IJ163" s="245" t="e">
        <f t="shared" si="498"/>
        <v>#VALUE!</v>
      </c>
      <c r="IK163" s="245" t="e">
        <f t="shared" si="499"/>
        <v>#VALUE!</v>
      </c>
      <c r="IL163" s="245"/>
      <c r="IM163" s="245" t="e">
        <f t="shared" si="605"/>
        <v>#N/A</v>
      </c>
      <c r="IN163" s="245" t="e">
        <f t="shared" si="606"/>
        <v>#N/A</v>
      </c>
      <c r="IO163" s="245"/>
      <c r="IP163" s="245"/>
      <c r="IQ163" s="245" t="str">
        <f t="shared" si="500"/>
        <v/>
      </c>
      <c r="IR163" s="245" t="str">
        <f>IF(J163="","",VLOOKUP(J163,Worksheet!$R$4:$T$14,2))</f>
        <v/>
      </c>
      <c r="IS163" s="245"/>
      <c r="IT163" s="245">
        <f t="shared" si="501"/>
        <v>0</v>
      </c>
      <c r="IU163" s="245">
        <f t="shared" si="502"/>
        <v>0</v>
      </c>
      <c r="IV163" s="245">
        <f t="shared" si="503"/>
        <v>0</v>
      </c>
      <c r="IW163" s="245">
        <f t="shared" si="504"/>
        <v>0</v>
      </c>
      <c r="IX163" s="245">
        <f t="shared" si="607"/>
        <v>0</v>
      </c>
      <c r="IY163" s="245">
        <f t="shared" si="505"/>
        <v>0</v>
      </c>
      <c r="IZ163" s="245">
        <f t="shared" si="506"/>
        <v>0</v>
      </c>
      <c r="JA163">
        <f t="shared" si="507"/>
        <v>0</v>
      </c>
      <c r="JB163">
        <f t="shared" si="608"/>
        <v>0</v>
      </c>
      <c r="JC163">
        <f t="shared" si="508"/>
        <v>0</v>
      </c>
      <c r="JD163">
        <f t="shared" si="509"/>
        <v>0</v>
      </c>
      <c r="JE163">
        <f t="shared" si="510"/>
        <v>0</v>
      </c>
      <c r="JF163">
        <f t="shared" si="511"/>
        <v>0</v>
      </c>
      <c r="JG163">
        <f t="shared" si="512"/>
        <v>0</v>
      </c>
      <c r="JH163">
        <f t="shared" si="513"/>
        <v>0</v>
      </c>
      <c r="JI163">
        <f t="shared" si="514"/>
        <v>0</v>
      </c>
      <c r="JJ163" s="447">
        <f t="shared" si="515"/>
        <v>0</v>
      </c>
      <c r="JK163" s="447">
        <f t="shared" si="516"/>
        <v>0</v>
      </c>
      <c r="JL163">
        <f t="shared" si="517"/>
        <v>0</v>
      </c>
      <c r="JM163" s="245" t="str">
        <f>IFERROR(VLOOKUP(MATCH(BN163,#REF!,0),#REF!,7),"")</f>
        <v/>
      </c>
      <c r="JN163" t="e">
        <f>HLOOKUP(LEFT(BO163,7),Discharge_Area,MATCH(JO163,LookUps!$B$130:$B$149,1)+2)</f>
        <v>#N/A</v>
      </c>
      <c r="JO163" t="str">
        <f t="shared" si="518"/>
        <v>- S</v>
      </c>
      <c r="JP163" t="e">
        <f>HLOOKUP(LEFT(BO163,7),Discharge_Area,MATCH(JO163,LookUps!$B$130:$B$149,1)+2)</f>
        <v>#N/A</v>
      </c>
      <c r="JQ163" t="e">
        <f t="shared" si="519"/>
        <v>#N/A</v>
      </c>
      <c r="JR163" t="e">
        <f t="shared" si="520"/>
        <v>#N/A</v>
      </c>
      <c r="JS163" t="e">
        <f t="shared" si="521"/>
        <v>#N/A</v>
      </c>
      <c r="JT163" s="532" t="str">
        <f t="shared" si="522"/>
        <v xml:space="preserve"> </v>
      </c>
      <c r="JU163" s="532" t="str">
        <f t="shared" si="523"/>
        <v xml:space="preserve"> </v>
      </c>
      <c r="JV163" s="533" t="str">
        <f t="shared" si="524"/>
        <v xml:space="preserve"> </v>
      </c>
      <c r="JW163" s="534">
        <f t="shared" si="525"/>
        <v>0</v>
      </c>
      <c r="JX163" s="535" t="str">
        <f t="shared" si="609"/>
        <v xml:space="preserve"> </v>
      </c>
      <c r="JY163" s="535" t="str">
        <f t="shared" si="610"/>
        <v xml:space="preserve"> </v>
      </c>
      <c r="JZ163" s="535" t="str">
        <f t="shared" si="611"/>
        <v xml:space="preserve"> </v>
      </c>
      <c r="KA163" s="536" t="str">
        <f t="shared" si="526"/>
        <v xml:space="preserve"> </v>
      </c>
      <c r="KB163" s="535" t="e">
        <f t="shared" si="612"/>
        <v>#VALUE!</v>
      </c>
      <c r="KC163" s="535" t="str">
        <f t="shared" si="527"/>
        <v/>
      </c>
      <c r="KD163" s="537" t="str">
        <f t="shared" si="613"/>
        <v xml:space="preserve"> </v>
      </c>
      <c r="KE163" s="537" t="str">
        <f t="shared" si="614"/>
        <v xml:space="preserve"> </v>
      </c>
      <c r="KF163" s="534">
        <f t="shared" si="528"/>
        <v>0</v>
      </c>
      <c r="KG163" s="535" t="str">
        <f t="shared" si="529"/>
        <v xml:space="preserve"> </v>
      </c>
      <c r="KH163" s="535" t="str">
        <f t="shared" si="530"/>
        <v xml:space="preserve"> </v>
      </c>
      <c r="KI163" s="535" t="str">
        <f t="shared" si="531"/>
        <v xml:space="preserve"> </v>
      </c>
      <c r="KJ163" s="536" t="str">
        <f t="shared" si="532"/>
        <v xml:space="preserve"> </v>
      </c>
      <c r="KK163" s="535" t="str">
        <f t="shared" si="615"/>
        <v xml:space="preserve"> </v>
      </c>
      <c r="KL163" s="535" t="str">
        <f t="shared" si="616"/>
        <v xml:space="preserve"> </v>
      </c>
      <c r="KM163" s="537" t="str">
        <f t="shared" si="533"/>
        <v xml:space="preserve"> </v>
      </c>
      <c r="KN163" s="537" t="str">
        <f t="shared" si="617"/>
        <v xml:space="preserve"> </v>
      </c>
      <c r="KP163">
        <f t="shared" si="534"/>
        <v>0</v>
      </c>
      <c r="LA163" t="e">
        <f t="shared" si="535"/>
        <v>#VALUE!</v>
      </c>
      <c r="LB163" t="e">
        <f t="shared" si="536"/>
        <v>#VALUE!</v>
      </c>
      <c r="LC163" t="e">
        <f t="shared" si="537"/>
        <v>#VALUE!</v>
      </c>
      <c r="LD163" t="e">
        <f t="shared" si="538"/>
        <v>#VALUE!</v>
      </c>
      <c r="LE163" t="e">
        <f t="shared" si="618"/>
        <v>#VALUE!</v>
      </c>
      <c r="LF163">
        <f t="shared" si="539"/>
        <v>0</v>
      </c>
      <c r="LG163" t="e">
        <f t="shared" si="619"/>
        <v>#VALUE!</v>
      </c>
      <c r="LH163" t="str">
        <f t="shared" si="540"/>
        <v xml:space="preserve"> </v>
      </c>
      <c r="LI163">
        <f t="shared" si="620"/>
        <v>1</v>
      </c>
    </row>
    <row r="164" spans="2:321" ht="15" customHeight="1">
      <c r="B164" s="311"/>
      <c r="C164" s="311"/>
      <c r="D164" s="312"/>
      <c r="E164" s="311"/>
      <c r="F164" s="312"/>
      <c r="G164" s="311"/>
      <c r="H164" s="311"/>
      <c r="I164" s="37"/>
      <c r="J164" s="311"/>
      <c r="K164" s="305" t="str">
        <f t="shared" si="541"/>
        <v/>
      </c>
      <c r="L164" s="313"/>
      <c r="M164" s="312"/>
      <c r="N164" s="311"/>
      <c r="O164" s="312"/>
      <c r="P164" s="311"/>
      <c r="Q164" s="305" t="str">
        <f t="shared" si="542"/>
        <v/>
      </c>
      <c r="R164" s="314"/>
      <c r="S164" s="450" t="str">
        <f t="shared" si="425"/>
        <v/>
      </c>
      <c r="T164" s="315"/>
      <c r="U164" s="315"/>
      <c r="W164" s="149" t="str">
        <f t="shared" si="426"/>
        <v xml:space="preserve"> </v>
      </c>
      <c r="X164" s="243" t="str">
        <f t="shared" si="427"/>
        <v xml:space="preserve"> </v>
      </c>
      <c r="Y164" s="150" t="str">
        <f t="shared" si="428"/>
        <v/>
      </c>
      <c r="Z164" s="149" t="str">
        <f t="shared" si="429"/>
        <v xml:space="preserve"> </v>
      </c>
      <c r="AA164" s="98" t="str">
        <f t="shared" si="430"/>
        <v xml:space="preserve"> </v>
      </c>
      <c r="AB164" s="153" t="str">
        <f t="shared" si="431"/>
        <v xml:space="preserve"> </v>
      </c>
      <c r="AC164" s="153" t="str">
        <f t="shared" si="432"/>
        <v xml:space="preserve"> </v>
      </c>
      <c r="AD164" s="148" t="str">
        <f t="shared" si="433"/>
        <v/>
      </c>
      <c r="AE164" s="149" t="str">
        <f t="shared" si="434"/>
        <v/>
      </c>
      <c r="AF164" s="151" t="str">
        <f t="shared" si="435"/>
        <v xml:space="preserve"> </v>
      </c>
      <c r="AG164" s="153" t="str">
        <f t="shared" si="436"/>
        <v xml:space="preserve"> </v>
      </c>
      <c r="AH164" s="98" t="str">
        <f t="shared" si="437"/>
        <v xml:space="preserve"> </v>
      </c>
      <c r="AI164" s="149" t="str">
        <f t="shared" si="438"/>
        <v xml:space="preserve"> </v>
      </c>
      <c r="AK164" s="144" t="str">
        <f t="shared" si="439"/>
        <v xml:space="preserve"> </v>
      </c>
      <c r="AL164" s="144"/>
      <c r="AM164" s="243" t="str">
        <f t="shared" si="440"/>
        <v xml:space="preserve"> </v>
      </c>
      <c r="AN164" s="149" t="str">
        <f t="shared" si="543"/>
        <v xml:space="preserve"> </v>
      </c>
      <c r="AO164" s="144" t="str">
        <f>IF(JB164&gt;0,IF(GI164=10,-R164*1.085*(Calculation!$F$6-Calculation!$F$13)*$S$14," "),"")</f>
        <v/>
      </c>
      <c r="AP164" s="144" t="str">
        <f t="shared" si="441"/>
        <v/>
      </c>
      <c r="AQ164" s="56" t="str">
        <f t="shared" si="442"/>
        <v/>
      </c>
      <c r="AR164" s="144" t="str">
        <f t="shared" si="443"/>
        <v/>
      </c>
      <c r="AS164" s="176" t="str">
        <f t="shared" si="444"/>
        <v/>
      </c>
      <c r="AT164" s="176" t="str">
        <f t="shared" si="544"/>
        <v xml:space="preserve"> </v>
      </c>
      <c r="AU164" s="176" t="str">
        <f t="shared" si="445"/>
        <v/>
      </c>
      <c r="AV164" s="177" t="str">
        <f t="shared" si="446"/>
        <v xml:space="preserve"> </v>
      </c>
      <c r="AW164" s="144" t="str">
        <f t="shared" si="447"/>
        <v xml:space="preserve"> </v>
      </c>
      <c r="AX164" s="144" t="str">
        <f t="shared" si="448"/>
        <v xml:space="preserve"> </v>
      </c>
      <c r="AY164" s="152" t="str">
        <f t="shared" si="449"/>
        <v xml:space="preserve"> </v>
      </c>
      <c r="AZ164" s="246" t="str">
        <f t="shared" si="450"/>
        <v/>
      </c>
      <c r="BA164" s="176" t="str">
        <f t="shared" si="451"/>
        <v xml:space="preserve"> </v>
      </c>
      <c r="BB164" s="176" t="str">
        <f t="shared" si="452"/>
        <v xml:space="preserve"> </v>
      </c>
      <c r="BC164" s="195"/>
      <c r="BD164" s="316"/>
      <c r="BE164" s="317"/>
      <c r="BF164" s="318"/>
      <c r="BG164" s="318"/>
      <c r="BH164" s="144" t="str">
        <f t="shared" si="621"/>
        <v xml:space="preserve"> </v>
      </c>
      <c r="BI164" s="176" t="str">
        <f t="shared" si="453"/>
        <v/>
      </c>
      <c r="BJ164" s="144" t="str">
        <f t="shared" si="622"/>
        <v/>
      </c>
      <c r="BK164" s="246" t="str">
        <f t="shared" si="454"/>
        <v/>
      </c>
      <c r="BL164" s="144" t="str">
        <f t="shared" si="623"/>
        <v/>
      </c>
      <c r="BM164" s="246" t="str">
        <f t="shared" si="455"/>
        <v/>
      </c>
      <c r="BN164" s="337" t="str">
        <f t="shared" si="545"/>
        <v/>
      </c>
      <c r="BO164" s="371" t="str">
        <f t="shared" si="546"/>
        <v/>
      </c>
      <c r="BP164" s="328" t="str">
        <f t="shared" si="624"/>
        <v xml:space="preserve"> </v>
      </c>
      <c r="BQ164" s="347" t="str">
        <f t="shared" si="547"/>
        <v xml:space="preserve"> </v>
      </c>
      <c r="BR164" s="353" t="str">
        <f t="shared" si="548"/>
        <v xml:space="preserve"> </v>
      </c>
      <c r="BS164" s="626" t="str">
        <f>IF(L164&gt;0,IF(Calculation!P164="M13",BR164*3.1416*(0.134^2)/(4*144),IF(Calculation!P164="M17",BR164*3.1416*(0.165^2)/(4*144),IF(Calculation!P164="M20",BR164*3.1416*(0.198^2)/(4*144),IF(Calculation!P164="M23",BR164*3.1416*(0.228^2)/(4*144),IF(Calculation!P164="M27",BR164*3.1416*(0.269^2)/(4*144),BR164*3.1416*(0.307^2)/(4*144))))))," ")</f>
        <v xml:space="preserve"> </v>
      </c>
      <c r="BT164" s="353" t="str">
        <f>IF(L164&gt;0,IF(BS164&gt;0,R164/Calculation!BS164,0)," ")</f>
        <v xml:space="preserve"> </v>
      </c>
      <c r="BU164" s="438" t="e">
        <f t="shared" ca="1" si="456"/>
        <v>#VALUE!</v>
      </c>
      <c r="BV164" s="449" t="e">
        <f ca="1">INDEX(INDIRECT(VLOOKUP(LEFT(BO164,7),CLU!$Z$3:$AH$18,2)),GN164,GR164)</f>
        <v>#N/A</v>
      </c>
      <c r="BW164" s="433" t="e">
        <f ca="1">INDEX(INDIRECT(VLOOKUP(LEFT(BO164,7),CLU!$Z$3:$AH$18,3)),GN164,GR164)</f>
        <v>#N/A</v>
      </c>
      <c r="BX164" s="433" t="e">
        <f ca="1">INDEX(INDIRECT(VLOOKUP(LEFT(BO164,7),CLU!$Z$3:$AH$18,4)),GN164,GR164)</f>
        <v>#N/A</v>
      </c>
      <c r="BY164" s="433" t="e">
        <f ca="1">INDEX(INDIRECT(VLOOKUP(LEFT(BO164,7),CLU!$Z$3:$AH$18,9)),((M164-2)*(6-COUNTBLANK(GT164:GY164)))+GJ164)</f>
        <v>#N/A</v>
      </c>
      <c r="BZ164" s="426" t="e">
        <f t="shared" ca="1" si="549"/>
        <v>#N/A</v>
      </c>
      <c r="CA164" s="424" t="e">
        <f t="shared" ca="1" si="550"/>
        <v>#N/A</v>
      </c>
      <c r="CB164" s="429" t="e">
        <f ca="1">INDEX(INDIRECT(VLOOKUP(LEFT(BO164,7),CLU!$Z$3:$AH$18,2)),GN164,GS164)</f>
        <v>#N/A</v>
      </c>
      <c r="CC164" s="342" t="e">
        <f ca="1">INDEX(INDIRECT(VLOOKUP(LEFT(BO164,7),CLU!$Z$3:$AH$18,3)),GN164,GS164)</f>
        <v>#N/A</v>
      </c>
      <c r="CD164" s="342" t="e">
        <f ca="1">INDEX(INDIRECT(VLOOKUP(LEFT(BO164,7),CLU!$Z$3:$AH$18,4)),GN164,GS164)</f>
        <v>#N/A</v>
      </c>
      <c r="CE164" s="426" t="e">
        <f t="shared" ca="1" si="551"/>
        <v>#N/A</v>
      </c>
      <c r="CF164" s="440">
        <f t="shared" si="552"/>
        <v>0</v>
      </c>
      <c r="CG164" s="431" t="e">
        <f ca="1">INDEX(INDIRECT(VLOOKUP(LEFT(BO164,7),CLU!$Z$3:$AH$18,2)),GQ164,GR164)</f>
        <v>#N/A</v>
      </c>
      <c r="CH164" s="431" t="e">
        <f ca="1">INDEX(INDIRECT(VLOOKUP(LEFT(BO164,7),CLU!$Z$3:$AH$18,3)),GQ164,GR164)</f>
        <v>#N/A</v>
      </c>
      <c r="CI164" s="431" t="e">
        <f ca="1">INDEX(INDIRECT(VLOOKUP(LEFT(BO164,7),CLU!$Z$3:$AH$18,4)),GQ164,GR164)</f>
        <v>#N/A</v>
      </c>
      <c r="CJ164" s="448" t="e">
        <f t="shared" ca="1" si="553"/>
        <v>#N/A</v>
      </c>
      <c r="CK164" s="431" t="e">
        <f t="shared" ca="1" si="554"/>
        <v>#N/A</v>
      </c>
      <c r="CL164" s="440" t="e">
        <f t="shared" ca="1" si="555"/>
        <v>#N/A</v>
      </c>
      <c r="CM164" s="431" t="e">
        <f ca="1">INDEX(INDIRECT(VLOOKUP(LEFT(BO164,7),CLU!$Z$3:$AH$18,2)),GQ164,GS164)</f>
        <v>#N/A</v>
      </c>
      <c r="CN164" s="431" t="e">
        <f ca="1">INDEX(INDIRECT(VLOOKUP(LEFT(BO164,7),CLU!$Z$3:$AH$18,3)),GQ164,GS164)</f>
        <v>#N/A</v>
      </c>
      <c r="CO164" s="431" t="e">
        <f ca="1">INDEX(INDIRECT(VLOOKUP(LEFT(BO164,7),CLU!$Z$3:$AH$18,4)),GQ164,GS164)</f>
        <v>#N/A</v>
      </c>
      <c r="CP164" s="431" t="e">
        <f t="shared" ca="1" si="556"/>
        <v>#N/A</v>
      </c>
      <c r="CQ164" s="440">
        <f t="shared" si="557"/>
        <v>0</v>
      </c>
      <c r="CR164" s="51" t="e">
        <f t="shared" ca="1" si="558"/>
        <v>#N/A</v>
      </c>
      <c r="CS164" s="439" t="e">
        <f t="shared" ca="1" si="559"/>
        <v>#VALUE!</v>
      </c>
      <c r="CT164" s="51" t="e">
        <f t="shared" ca="1" si="560"/>
        <v>#VALUE!</v>
      </c>
      <c r="CU164" s="10"/>
      <c r="CV164" s="51" t="e">
        <f t="shared" ca="1" si="457"/>
        <v>#VALUE!</v>
      </c>
      <c r="CW164" s="51">
        <f t="shared" si="561"/>
        <v>0</v>
      </c>
      <c r="CX164" s="439" t="e">
        <f t="shared" ca="1" si="562"/>
        <v>#VALUE!</v>
      </c>
      <c r="CY164" s="51" t="e">
        <f t="shared" ca="1" si="563"/>
        <v>#VALUE!</v>
      </c>
      <c r="CZ164" s="10"/>
      <c r="DA164" s="51" t="e">
        <f t="shared" ca="1" si="564"/>
        <v>#VALUE!</v>
      </c>
      <c r="DB164" s="347" t="e">
        <f ca="1">INDEX(INDIRECT(VLOOKUP(LEFT(BO164,7),CLU!$Z$3:$AI$18,10)),((M164-2)*(6-COUNTBLANK(GT164:GY164)))+GJ164)*LI164</f>
        <v>#N/A</v>
      </c>
      <c r="DC164" s="347" t="str">
        <f>IF(L164&gt;0,((R164/Worksheet!$I$15)/DB164)^2," ")</f>
        <v xml:space="preserve"> </v>
      </c>
      <c r="DD164" s="602" t="str">
        <f t="shared" si="565"/>
        <v xml:space="preserve"> </v>
      </c>
      <c r="DE164" s="347" t="str">
        <f t="shared" si="458"/>
        <v xml:space="preserve"> </v>
      </c>
      <c r="DF164" s="356" t="e">
        <f ca="1">INDEX(INDIRECT(VLOOKUP(LEFT(BO164,7),CLU!$Z$3:$AH$18,8)),((M164-2)*(6-COUNTBLANK(GT164:GY164)))+GJ164)</f>
        <v>#N/A</v>
      </c>
      <c r="DG164" s="347" t="str">
        <f t="shared" si="459"/>
        <v xml:space="preserve"> </v>
      </c>
      <c r="DH164" s="357" t="str">
        <f t="shared" si="460"/>
        <v xml:space="preserve"> </v>
      </c>
      <c r="DI164" s="355" t="str">
        <f t="shared" si="461"/>
        <v xml:space="preserve"> </v>
      </c>
      <c r="DJ164" s="245" t="e">
        <f ca="1">INDEX(INDIRECT(VLOOKUP(LEFT(BO164,7),CLU!$Z$3:$AH$18,5)),GL164,GK164)</f>
        <v>#N/A</v>
      </c>
      <c r="DK164" s="245" t="e">
        <f ca="1">INDEX(INDIRECT(VLOOKUP(LEFT(BO164,7),CLU!$Z$3:$AH$18,6)),GL164,GK164)</f>
        <v>#N/A</v>
      </c>
      <c r="DL164" s="355">
        <f>(Calculation!R164*0.69143*(Calculation!$BQ$8-Calculation!$F$8))*$S$14</f>
        <v>0</v>
      </c>
      <c r="DM164" s="359" t="e">
        <f t="shared" si="566"/>
        <v>#VALUE!</v>
      </c>
      <c r="DN164" s="611">
        <f t="shared" si="567"/>
        <v>0</v>
      </c>
      <c r="DO164" s="359">
        <f t="shared" si="568"/>
        <v>100</v>
      </c>
      <c r="DP164" s="359">
        <f t="shared" si="569"/>
        <v>0</v>
      </c>
      <c r="DQ164" s="360"/>
      <c r="DR164" s="245" t="e">
        <f ca="1">INDEX(INDIRECT(VLOOKUP(LEFT(BO164,7),CLU!$Z$3:$AH$18,7)),M164-1,1)</f>
        <v>#N/A</v>
      </c>
      <c r="DS164" s="245" t="e">
        <f ca="1">INDEX(INDIRECT(VLOOKUP(LEFT(BO164,7),CLU!$Z$3:$AH$18,7)),M164-1,2)</f>
        <v>#N/A</v>
      </c>
      <c r="DT164" s="245" t="e">
        <f ca="1">INDEX(INDIRECT(VLOOKUP(LEFT(BO164,7),CLU!$Z$3:$AH$18,7)),M164-1,3)</f>
        <v>#N/A</v>
      </c>
      <c r="DU164" s="245" t="e">
        <f ca="1">INDEX(INDIRECT(VLOOKUP(LEFT(BO164,7),CLU!$Z$3:$AH$18,7)),M164-1,4)</f>
        <v>#N/A</v>
      </c>
      <c r="DV164" s="361" t="e">
        <f ca="1">INDEX(INDIRECT(VLOOKUP(LEFT(BO164,7),CLU!$Z$3:$AH$18,7)),M164-1,4+LEFT(DZ164,1)*0.5)</f>
        <v>#N/A</v>
      </c>
      <c r="DW164" s="245" t="e">
        <f ca="1">INDEX(INDIRECT(VLOOKUP(LEFT(BO164,7),CLU!$Z$3:$AH$18,7)),M164-1,8)</f>
        <v>#N/A</v>
      </c>
      <c r="DX164" s="361" t="str">
        <f t="shared" si="462"/>
        <v xml:space="preserve"> </v>
      </c>
      <c r="DY164" s="361" t="str">
        <f t="shared" si="463"/>
        <v xml:space="preserve"> </v>
      </c>
      <c r="DZ164" s="361" t="str">
        <f t="shared" si="464"/>
        <v xml:space="preserve"> </v>
      </c>
      <c r="EA164" s="362" t="str">
        <f t="shared" si="465"/>
        <v xml:space="preserve"> </v>
      </c>
      <c r="EB164" s="624" t="str">
        <f t="shared" si="570"/>
        <v xml:space="preserve"> </v>
      </c>
      <c r="EC164" s="361" t="e">
        <f ca="1">INDEX(INDIRECT(VLOOKUP(LEFT(BO164,7),CLU!$Z$3:$AH$18,7)),M164-1,4+LEFT(DZ164,1)*0.5)</f>
        <v>#N/A</v>
      </c>
      <c r="ED164" s="362" t="str">
        <f t="shared" si="466"/>
        <v xml:space="preserve"> </v>
      </c>
      <c r="EE164" s="361" t="str">
        <f t="shared" si="467"/>
        <v xml:space="preserve"> </v>
      </c>
      <c r="EF164" s="362" t="str">
        <f>IF(L164&gt;0,IF(BR164&gt;0,IF(EE164="2P",IF(Calculation!DZ164="2P",IF(Calculation!DS164=13.75,IF(Calculation!DR164=13,Worksheet!$BD$43,IF(Calculation!DR164=37,Worksheet!$BD$44,Worksheet!$BD$45)),IF(Calculation!DS164=10,IF(Calculation!DR164=18,Worksheet!$BD$29,IF(Calculation!DR164=30,Worksheet!$BD$30,IF(Calculation!DR164=42,Worksheet!$BD$31,IF(Calculation!DR164=54,Worksheet!$BD$32,IF(Calculation!DR164=66,Worksheet!$BD$33,IF(Calculation!DR164=78,Worksheet!$BD$34,IF(Calculation!DR164=90,Worksheet!$BD$35,IF(Calculation!DR164=102,Worksheet!$BD$36,Worksheet!$BD$37)))))))),IF(Calculation!DS164=12.5,IF(Calculation!DR164=18,Worksheet!$BD$38,IF(Calculation!DR164=Worksheet!$BD$39,IF(Calculation!DR164=42,Worksheet!$BD$40,IF(Calculation!DR164=54,Worksheet!$BD$41,Worksheet!$BD$42)))),IF(Calculation!DR164=18,Worksheet!$BD$11,IF(Calculation!DR164=30,Worksheet!$BD$12,IF(Calculation!DR164=42,Worksheet!$BD$13,IF(Calculation!DR164=54,Worksheet!$BD$14,IF(Calculation!DR164=66,Worksheet!$BD$15,IF(Calculation!DR164=78,Worksheet!$BD$16,IF(Calculation!DR164=90,Worksheet!$BD$17,IF(Calculation!DR164=102,Worksheet!$BD$18,Worksheet!$BD$19))))))))))),IF(Calculation!DS164=13.75,IF(Calculation!DR164=13,Worksheet!$BD$78,IF(Calculation!DR164=37,Worksheet!$BD$79,Worksheet!$BD$80)),IF(Calculation!DS164=10,IF(Calculation!DR164=18,Worksheet!$BD$64,IF(Calculation!DR164=30,Worksheet!$BD$65,IF(Calculation!DR164=42,Worksheet!$BD$66,IF(Calculation!DR164=54,Worksheet!$BD$68,IF(Calculation!DR164=66,Worksheet!$BD$68,IF(Calculation!DR164=78,Worksheet!$BD$69,IF(Calculation!DR164=90,Worksheet!$BD$70,IF(Calculation!DR164=102,Worksheet!$BD$71,Worksheet!$BD$72)))))))),IF(Calculation!DS164=12.5,IF(Calculation!DR164=18,Worksheet!$BD$73,IF(Calculation!DR164=Worksheet!$BD$74,IF(Calculation!DR164=42,Worksheet!$BD$75,IF(Calculation!DR164=54,Worksheet!$BD$76,Worksheet!$BD$77)))),IF(Calculation!DR164=18,Worksheet!$BD$55,IF(Calculation!DR164=30,Worksheet!$BD$56,IF(Calculation!DR164=42,Worksheet!$BD$57,IF(Calculation!DR164=54,Worksheet!$BD$58,IF(Calculation!DR164=66,Worksheet!$BD$59,IF(Calculation!DR164=78,Worksheet!$BD$60,IF(Calculation!DR164=90,Worksheet!$BD$61,IF(Calculation!DR164=102,Worksheet!$BD$62,Worksheet!$BD$63)))))))))))),5),0)," ")</f>
        <v xml:space="preserve"> </v>
      </c>
      <c r="EG164" s="361" t="str">
        <f t="shared" si="468"/>
        <v xml:space="preserve"> </v>
      </c>
      <c r="EH164" s="361" t="e">
        <f ca="1">INDEX(INDIRECT(VLOOKUP(LEFT(BO164,7),CLU!$Z$3:$AH$18,7)),M164-1,3+LEFT(DZ164,1))</f>
        <v>#N/A</v>
      </c>
      <c r="EI164" s="362" t="str">
        <f t="shared" si="469"/>
        <v xml:space="preserve"> </v>
      </c>
      <c r="EJ164" s="363" t="str">
        <f t="shared" si="470"/>
        <v xml:space="preserve"> </v>
      </c>
      <c r="EK164" s="363" t="str">
        <f t="shared" si="471"/>
        <v xml:space="preserve"> </v>
      </c>
      <c r="EL164" s="363" t="str">
        <f t="shared" si="472"/>
        <v xml:space="preserve"> </v>
      </c>
      <c r="EM164" s="362" t="str">
        <f>IF(L164&gt;0,IF(BR164&gt;0,(Calculation!T164/ED164)^2,0)," ")</f>
        <v xml:space="preserve"> </v>
      </c>
      <c r="EN164" s="362" t="str">
        <f>IF(L164&gt;0,IF(O164="2 Pipe (Cooling)","N/A",IF(BR164&gt;0,(Calculation!U164/EI164)^2,0))," ")</f>
        <v xml:space="preserve"> </v>
      </c>
      <c r="EO164" s="361" t="str">
        <f t="shared" si="473"/>
        <v/>
      </c>
      <c r="EP164" s="361" t="str">
        <f t="shared" si="474"/>
        <v/>
      </c>
      <c r="EQ164" s="361" t="str">
        <f t="shared" si="475"/>
        <v/>
      </c>
      <c r="ER164" s="361" t="str">
        <f t="shared" si="476"/>
        <v/>
      </c>
      <c r="ES164" s="361" t="str">
        <f t="shared" si="477"/>
        <v/>
      </c>
      <c r="ET164" s="361" t="str">
        <f t="shared" si="478"/>
        <v/>
      </c>
      <c r="EU164" s="361" t="str">
        <f t="shared" si="479"/>
        <v/>
      </c>
      <c r="EV164" s="361" t="str">
        <f t="shared" si="480"/>
        <v/>
      </c>
      <c r="EW164" s="361" t="str">
        <f t="shared" si="481"/>
        <v/>
      </c>
      <c r="EX164" s="361" t="str">
        <f t="shared" si="571"/>
        <v>1 slot, 1 way</v>
      </c>
      <c r="EY164" s="361" t="str">
        <f t="shared" si="572"/>
        <v xml:space="preserve"> </v>
      </c>
      <c r="EZ164" s="361" t="str">
        <f t="shared" si="573"/>
        <v xml:space="preserve"> </v>
      </c>
      <c r="FA164" s="361" t="str">
        <f t="shared" si="574"/>
        <v xml:space="preserve"> </v>
      </c>
      <c r="FB164" s="361" t="str">
        <f t="shared" si="575"/>
        <v xml:space="preserve"> </v>
      </c>
      <c r="FC164" s="361"/>
      <c r="FD164" s="361" t="str">
        <f>IF(J164&gt;0,IF(Calculation!R164&lt;=70,4,IF(Calculation!R164&lt;=110,5,IF(Calculation!R164&lt;=160,6,IF(Calculation!R164&lt;=300,8,"10 EO")))),"")</f>
        <v/>
      </c>
      <c r="FE164" s="361" t="str">
        <f t="shared" si="576"/>
        <v/>
      </c>
      <c r="FF164" s="361" t="str">
        <f t="shared" si="577"/>
        <v/>
      </c>
      <c r="FG164" s="361" t="e">
        <f t="shared" si="482"/>
        <v>#N/A</v>
      </c>
      <c r="FH164" s="361">
        <f t="shared" si="483"/>
        <v>0</v>
      </c>
      <c r="FI164" s="361" t="e">
        <f t="shared" si="484"/>
        <v>#DIV/0!</v>
      </c>
      <c r="FJ164" s="361"/>
      <c r="FK164" s="356" t="e">
        <f t="shared" si="485"/>
        <v>#VALUE!</v>
      </c>
      <c r="FL164" s="361"/>
      <c r="FM164" s="361"/>
      <c r="FN164" s="362" t="str">
        <f t="shared" si="578"/>
        <v xml:space="preserve"> </v>
      </c>
      <c r="FO164" s="362" t="str">
        <f t="shared" si="579"/>
        <v xml:space="preserve"> </v>
      </c>
      <c r="FP164" s="362">
        <f t="shared" si="580"/>
        <v>0</v>
      </c>
      <c r="FQ164" s="361">
        <f t="shared" si="486"/>
        <v>0</v>
      </c>
      <c r="FR164" s="362" t="str">
        <f>IF(L164&gt;0,IF(J164="CBAL2",Worksheet!$P$67,IF(J164="CBE2-24",Worksheet!$Q$67,IF(J164="CBAM",Worksheet!$R$67,IF(J164="CBLV",Worksheet!$S$67,IF(J164="CBAB",Worksheet!$U$67,IF(J164="CBAW",Worksheet!$X$67,IF(J164="CBE2-12",Worksheet!$Y$67,IF(J164="CBAL2",Worksheet!$Z$67,"N/A"))))))))," ")</f>
        <v xml:space="preserve"> </v>
      </c>
      <c r="FS164" s="362" t="str">
        <f>IF(L164&gt;0,IF(J164="CBAL2",Worksheet!$P$68,IF(J164="CBE2-24",Worksheet!$Q$68,IF(J164="CBAM",Worksheet!$R$68,IF(J164="CBLV",Worksheet!$S$68,IF(J164="CBAB",Worksheet!$U$68,IF(J164="CBAW",Worksheet!$X$68,IF(J164="CBE2-12",Worksheet!$Y$68,IF(J164="CBAL2",Worksheet!$Z$68,"N/A"))))))))," ")</f>
        <v xml:space="preserve"> </v>
      </c>
      <c r="FT164" s="362" t="str">
        <f>IF(L164&gt;0,IF(J164="CBAL2",Worksheet!$P$69,IF(J164="CBE2-24",Worksheet!$Q$69,IF(J164="CBAM",Worksheet!$R$69,IF(J164="CBLV",Worksheet!$S$69,IF(J164="CBAB",Worksheet!$U$69,IF(J164="CBAW",Worksheet!$X$69,IF(J164="CBE2-12",Worksheet!$Y$69,IF(J164="CBAL2",Worksheet!$Z$69,"N/A"))))))))," ")</f>
        <v xml:space="preserve"> </v>
      </c>
      <c r="FU164" s="361" t="str">
        <f t="shared" si="581"/>
        <v xml:space="preserve"> </v>
      </c>
      <c r="FV164" s="362" t="str">
        <f t="shared" si="582"/>
        <v xml:space="preserve"> </v>
      </c>
      <c r="FW164" s="362" t="str">
        <f t="shared" si="583"/>
        <v xml:space="preserve"> </v>
      </c>
      <c r="FX164" s="362" t="str">
        <f t="shared" si="584"/>
        <v xml:space="preserve"> </v>
      </c>
      <c r="FY164" s="355" t="str">
        <f t="shared" si="585"/>
        <v xml:space="preserve"> </v>
      </c>
      <c r="FZ164" s="361" t="str">
        <f t="shared" si="586"/>
        <v xml:space="preserve"> </v>
      </c>
      <c r="GA164" s="347" t="str">
        <f t="shared" si="587"/>
        <v xml:space="preserve"> </v>
      </c>
      <c r="GB164" s="355" t="str">
        <f t="shared" si="588"/>
        <v xml:space="preserve"> </v>
      </c>
      <c r="GC164" s="328" t="str">
        <f t="shared" si="589"/>
        <v xml:space="preserve"> </v>
      </c>
      <c r="GD164" s="361" t="str">
        <f t="shared" si="590"/>
        <v xml:space="preserve"> </v>
      </c>
      <c r="GE164" s="347" t="str">
        <f t="shared" si="591"/>
        <v xml:space="preserve"> </v>
      </c>
      <c r="GF164" s="361" t="str">
        <f t="shared" si="592"/>
        <v xml:space="preserve"> </v>
      </c>
      <c r="GG164" s="347" t="str">
        <f t="shared" si="593"/>
        <v xml:space="preserve"> </v>
      </c>
      <c r="GH164" s="364">
        <f t="shared" si="487"/>
        <v>0</v>
      </c>
      <c r="GI164" s="362">
        <f t="shared" si="594"/>
        <v>2</v>
      </c>
      <c r="GJ164" s="433" t="e">
        <f>IF(6-COUNTBLANK(GT164:GY164)=4,MATCH(MID(BO164,9,3),CLU!$H$16:$K$16),MATCH(MID(BO164,9,3),CLU!$H$13:$M$13))</f>
        <v>#N/A</v>
      </c>
      <c r="GK164" s="433" t="e">
        <f>HLOOKUP(VALUE(BP164),CLU!$H$9:$M$10,2)</f>
        <v>#VALUE!</v>
      </c>
      <c r="GL164" s="433" t="e">
        <f ca="1">MATCH(BU164,CLU!$H$2:$V$2,1)</f>
        <v>#VALUE!</v>
      </c>
      <c r="GM164" s="433" t="e">
        <f t="shared" ca="1" si="595"/>
        <v>#VALUE!</v>
      </c>
      <c r="GN164" s="433" t="e">
        <f t="shared" ca="1" si="596"/>
        <v>#VALUE!</v>
      </c>
      <c r="GO164" s="433" t="e">
        <f t="shared" ca="1" si="597"/>
        <v>#VALUE!</v>
      </c>
      <c r="GP164" s="433" t="e">
        <f t="shared" ca="1" si="598"/>
        <v>#VALUE!</v>
      </c>
      <c r="GQ164" s="433" t="e">
        <f t="shared" ca="1" si="599"/>
        <v>#VALUE!</v>
      </c>
      <c r="GR164" s="433" t="e">
        <f ca="1">MATCH(T164,INDIRECT(VLOOKUP(CONCATENATE(LEFT(BO164,7),"-",MID(BO164,13,1)),CLU!$P$3:$Q$16,2)),1)</f>
        <v>#N/A</v>
      </c>
      <c r="GS164" s="433" t="e">
        <f ca="1">MATCH(U164,INDIRECT(VLOOKUP(CONCATENATE(LEFT(BO164,7),"-",MID(BO164,13,1)),CLU!$P$3:$Q$16,2)),1)</f>
        <v>#N/A</v>
      </c>
      <c r="GT164" s="347" t="s">
        <v>512</v>
      </c>
      <c r="GU164" s="97" t="s">
        <v>513</v>
      </c>
      <c r="GV164" s="97" t="str">
        <f t="shared" si="600"/>
        <v>M23</v>
      </c>
      <c r="GW164" s="97" t="str">
        <f t="shared" si="601"/>
        <v>M31</v>
      </c>
      <c r="GX164" s="97" t="str">
        <f t="shared" si="602"/>
        <v/>
      </c>
      <c r="GY164" s="97" t="str">
        <f t="shared" si="603"/>
        <v/>
      </c>
      <c r="GZ164" s="481"/>
      <c r="HA164" s="288"/>
      <c r="HB164" s="240"/>
      <c r="HC164" s="240"/>
      <c r="HD164" s="240"/>
      <c r="HE164" s="240"/>
      <c r="HF164" s="240"/>
      <c r="HG164" s="240"/>
      <c r="HH164" s="240"/>
      <c r="HI164" s="240"/>
      <c r="HJ164" s="240"/>
      <c r="HK164" s="240"/>
      <c r="HL164" s="240"/>
      <c r="HM164" s="240"/>
      <c r="HN164" s="240"/>
      <c r="HO164" s="240"/>
      <c r="HP164" s="240"/>
      <c r="HQ164" s="240"/>
      <c r="HR164" s="240"/>
      <c r="HS164" s="240"/>
      <c r="HT164" s="240"/>
      <c r="HU164" s="240"/>
      <c r="HV164" s="245"/>
      <c r="HW164" s="245" t="b">
        <v>1</v>
      </c>
      <c r="HX164" s="245" t="str">
        <f t="shared" si="488"/>
        <v/>
      </c>
      <c r="HY164" s="245" t="e">
        <f t="shared" si="489"/>
        <v>#DIV/0!</v>
      </c>
      <c r="HZ164" s="245" t="e">
        <f t="shared" si="490"/>
        <v>#DIV/0!</v>
      </c>
      <c r="IA164" s="245">
        <f t="shared" si="491"/>
        <v>0</v>
      </c>
      <c r="IB164" s="245"/>
      <c r="IC164" t="b">
        <f t="shared" si="492"/>
        <v>1</v>
      </c>
      <c r="ID164" s="245" t="b">
        <f t="shared" si="493"/>
        <v>1</v>
      </c>
      <c r="IE164" s="245" t="b">
        <f t="shared" si="494"/>
        <v>1</v>
      </c>
      <c r="IF164" s="245" t="b">
        <f t="shared" si="495"/>
        <v>0</v>
      </c>
      <c r="IG164" s="245" t="b">
        <f t="shared" si="496"/>
        <v>1</v>
      </c>
      <c r="IH164" s="245" t="b">
        <f t="shared" si="497"/>
        <v>1</v>
      </c>
      <c r="II164" s="245">
        <f t="shared" si="604"/>
        <v>0</v>
      </c>
      <c r="IJ164" s="245" t="e">
        <f t="shared" si="498"/>
        <v>#VALUE!</v>
      </c>
      <c r="IK164" s="245" t="e">
        <f t="shared" si="499"/>
        <v>#VALUE!</v>
      </c>
      <c r="IL164" s="245"/>
      <c r="IM164" s="245" t="e">
        <f t="shared" si="605"/>
        <v>#N/A</v>
      </c>
      <c r="IN164" s="245" t="e">
        <f t="shared" si="606"/>
        <v>#N/A</v>
      </c>
      <c r="IO164" s="245"/>
      <c r="IP164" s="245"/>
      <c r="IQ164" s="245" t="str">
        <f t="shared" si="500"/>
        <v/>
      </c>
      <c r="IR164" s="245" t="str">
        <f>IF(J164="","",VLOOKUP(J164,Worksheet!$R$4:$T$14,2))</f>
        <v/>
      </c>
      <c r="IS164" s="245"/>
      <c r="IT164" s="245">
        <f t="shared" si="501"/>
        <v>0</v>
      </c>
      <c r="IU164" s="245">
        <f t="shared" si="502"/>
        <v>0</v>
      </c>
      <c r="IV164" s="245">
        <f t="shared" si="503"/>
        <v>0</v>
      </c>
      <c r="IW164" s="245">
        <f t="shared" si="504"/>
        <v>0</v>
      </c>
      <c r="IX164" s="245">
        <f t="shared" si="607"/>
        <v>0</v>
      </c>
      <c r="IY164" s="245">
        <f t="shared" si="505"/>
        <v>0</v>
      </c>
      <c r="IZ164" s="245">
        <f t="shared" si="506"/>
        <v>0</v>
      </c>
      <c r="JA164">
        <f t="shared" si="507"/>
        <v>0</v>
      </c>
      <c r="JB164">
        <f t="shared" si="608"/>
        <v>0</v>
      </c>
      <c r="JC164">
        <f t="shared" si="508"/>
        <v>0</v>
      </c>
      <c r="JD164">
        <f t="shared" si="509"/>
        <v>0</v>
      </c>
      <c r="JE164">
        <f t="shared" si="510"/>
        <v>0</v>
      </c>
      <c r="JF164">
        <f t="shared" si="511"/>
        <v>0</v>
      </c>
      <c r="JG164">
        <f t="shared" si="512"/>
        <v>0</v>
      </c>
      <c r="JH164">
        <f t="shared" si="513"/>
        <v>0</v>
      </c>
      <c r="JI164">
        <f t="shared" si="514"/>
        <v>0</v>
      </c>
      <c r="JJ164" s="447">
        <f t="shared" si="515"/>
        <v>0</v>
      </c>
      <c r="JK164" s="447">
        <f t="shared" si="516"/>
        <v>0</v>
      </c>
      <c r="JL164">
        <f t="shared" si="517"/>
        <v>0</v>
      </c>
      <c r="JM164" s="245" t="str">
        <f>IFERROR(VLOOKUP(MATCH(BN164,#REF!,0),#REF!,7),"")</f>
        <v/>
      </c>
      <c r="JN164" t="e">
        <f>HLOOKUP(LEFT(BO164,7),Discharge_Area,MATCH(JO164,LookUps!$B$130:$B$149,1)+2)</f>
        <v>#N/A</v>
      </c>
      <c r="JO164" t="str">
        <f t="shared" si="518"/>
        <v>- S</v>
      </c>
      <c r="JP164" t="e">
        <f>HLOOKUP(LEFT(BO164,7),Discharge_Area,MATCH(JO164,LookUps!$B$130:$B$149,1)+2)</f>
        <v>#N/A</v>
      </c>
      <c r="JQ164" t="e">
        <f t="shared" si="519"/>
        <v>#N/A</v>
      </c>
      <c r="JR164" t="e">
        <f t="shared" si="520"/>
        <v>#N/A</v>
      </c>
      <c r="JS164" t="e">
        <f t="shared" si="521"/>
        <v>#N/A</v>
      </c>
      <c r="JT164" s="532" t="str">
        <f t="shared" si="522"/>
        <v xml:space="preserve"> </v>
      </c>
      <c r="JU164" s="532" t="str">
        <f t="shared" si="523"/>
        <v xml:space="preserve"> </v>
      </c>
      <c r="JV164" s="533" t="str">
        <f t="shared" si="524"/>
        <v xml:space="preserve"> </v>
      </c>
      <c r="JW164" s="534">
        <f t="shared" si="525"/>
        <v>0</v>
      </c>
      <c r="JX164" s="535" t="str">
        <f t="shared" si="609"/>
        <v xml:space="preserve"> </v>
      </c>
      <c r="JY164" s="535" t="str">
        <f t="shared" si="610"/>
        <v xml:space="preserve"> </v>
      </c>
      <c r="JZ164" s="535" t="str">
        <f t="shared" si="611"/>
        <v xml:space="preserve"> </v>
      </c>
      <c r="KA164" s="536" t="str">
        <f t="shared" si="526"/>
        <v xml:space="preserve"> </v>
      </c>
      <c r="KB164" s="535" t="e">
        <f t="shared" si="612"/>
        <v>#VALUE!</v>
      </c>
      <c r="KC164" s="535" t="str">
        <f t="shared" si="527"/>
        <v/>
      </c>
      <c r="KD164" s="537" t="str">
        <f t="shared" si="613"/>
        <v xml:space="preserve"> </v>
      </c>
      <c r="KE164" s="537" t="str">
        <f t="shared" si="614"/>
        <v xml:space="preserve"> </v>
      </c>
      <c r="KF164" s="534">
        <f t="shared" si="528"/>
        <v>0</v>
      </c>
      <c r="KG164" s="535" t="str">
        <f t="shared" si="529"/>
        <v xml:space="preserve"> </v>
      </c>
      <c r="KH164" s="535" t="str">
        <f t="shared" si="530"/>
        <v xml:space="preserve"> </v>
      </c>
      <c r="KI164" s="535" t="str">
        <f t="shared" si="531"/>
        <v xml:space="preserve"> </v>
      </c>
      <c r="KJ164" s="536" t="str">
        <f t="shared" si="532"/>
        <v xml:space="preserve"> </v>
      </c>
      <c r="KK164" s="535" t="str">
        <f t="shared" si="615"/>
        <v xml:space="preserve"> </v>
      </c>
      <c r="KL164" s="535" t="str">
        <f t="shared" si="616"/>
        <v xml:space="preserve"> </v>
      </c>
      <c r="KM164" s="537" t="str">
        <f t="shared" si="533"/>
        <v xml:space="preserve"> </v>
      </c>
      <c r="KN164" s="537" t="str">
        <f t="shared" si="617"/>
        <v xml:space="preserve"> </v>
      </c>
      <c r="KP164">
        <f t="shared" si="534"/>
        <v>0</v>
      </c>
      <c r="LA164" t="e">
        <f t="shared" si="535"/>
        <v>#VALUE!</v>
      </c>
      <c r="LB164" t="e">
        <f t="shared" si="536"/>
        <v>#VALUE!</v>
      </c>
      <c r="LC164" t="e">
        <f t="shared" si="537"/>
        <v>#VALUE!</v>
      </c>
      <c r="LD164" t="e">
        <f t="shared" si="538"/>
        <v>#VALUE!</v>
      </c>
      <c r="LE164" t="e">
        <f t="shared" si="618"/>
        <v>#VALUE!</v>
      </c>
      <c r="LF164">
        <f t="shared" si="539"/>
        <v>0</v>
      </c>
      <c r="LG164" t="e">
        <f t="shared" si="619"/>
        <v>#VALUE!</v>
      </c>
      <c r="LH164" t="str">
        <f t="shared" si="540"/>
        <v xml:space="preserve"> </v>
      </c>
      <c r="LI164">
        <f t="shared" si="620"/>
        <v>1</v>
      </c>
    </row>
    <row r="165" spans="2:321" ht="15" customHeight="1">
      <c r="B165" s="311"/>
      <c r="C165" s="311"/>
      <c r="D165" s="312"/>
      <c r="E165" s="311"/>
      <c r="F165" s="312"/>
      <c r="G165" s="311"/>
      <c r="H165" s="311"/>
      <c r="I165" s="37"/>
      <c r="J165" s="311"/>
      <c r="K165" s="305" t="str">
        <f t="shared" si="541"/>
        <v/>
      </c>
      <c r="L165" s="313"/>
      <c r="M165" s="312"/>
      <c r="N165" s="311"/>
      <c r="O165" s="312"/>
      <c r="P165" s="311"/>
      <c r="Q165" s="305" t="str">
        <f t="shared" si="542"/>
        <v/>
      </c>
      <c r="R165" s="314"/>
      <c r="S165" s="450" t="str">
        <f t="shared" si="425"/>
        <v/>
      </c>
      <c r="T165" s="315"/>
      <c r="U165" s="315"/>
      <c r="W165" s="149" t="str">
        <f t="shared" si="426"/>
        <v xml:space="preserve"> </v>
      </c>
      <c r="X165" s="243" t="str">
        <f t="shared" si="427"/>
        <v xml:space="preserve"> </v>
      </c>
      <c r="Y165" s="150" t="str">
        <f t="shared" si="428"/>
        <v/>
      </c>
      <c r="Z165" s="149" t="str">
        <f t="shared" si="429"/>
        <v xml:space="preserve"> </v>
      </c>
      <c r="AA165" s="98" t="str">
        <f t="shared" si="430"/>
        <v xml:space="preserve"> </v>
      </c>
      <c r="AB165" s="153" t="str">
        <f t="shared" si="431"/>
        <v xml:space="preserve"> </v>
      </c>
      <c r="AC165" s="153" t="str">
        <f t="shared" si="432"/>
        <v xml:space="preserve"> </v>
      </c>
      <c r="AD165" s="148" t="str">
        <f t="shared" si="433"/>
        <v/>
      </c>
      <c r="AE165" s="149" t="str">
        <f t="shared" si="434"/>
        <v/>
      </c>
      <c r="AF165" s="151" t="str">
        <f t="shared" si="435"/>
        <v xml:space="preserve"> </v>
      </c>
      <c r="AG165" s="153" t="str">
        <f t="shared" si="436"/>
        <v xml:space="preserve"> </v>
      </c>
      <c r="AH165" s="98" t="str">
        <f t="shared" si="437"/>
        <v xml:space="preserve"> </v>
      </c>
      <c r="AI165" s="149" t="str">
        <f t="shared" si="438"/>
        <v xml:space="preserve"> </v>
      </c>
      <c r="AK165" s="144" t="str">
        <f t="shared" si="439"/>
        <v xml:space="preserve"> </v>
      </c>
      <c r="AL165" s="144"/>
      <c r="AM165" s="243" t="str">
        <f t="shared" si="440"/>
        <v xml:space="preserve"> </v>
      </c>
      <c r="AN165" s="149" t="str">
        <f t="shared" si="543"/>
        <v xml:space="preserve"> </v>
      </c>
      <c r="AO165" s="144" t="str">
        <f>IF(JB165&gt;0,IF(GI165=10,-R165*1.085*(Calculation!$F$6-Calculation!$F$13)*$S$14," "),"")</f>
        <v/>
      </c>
      <c r="AP165" s="144" t="str">
        <f t="shared" si="441"/>
        <v/>
      </c>
      <c r="AQ165" s="56" t="str">
        <f t="shared" si="442"/>
        <v/>
      </c>
      <c r="AR165" s="144" t="str">
        <f t="shared" si="443"/>
        <v/>
      </c>
      <c r="AS165" s="176" t="str">
        <f t="shared" si="444"/>
        <v/>
      </c>
      <c r="AT165" s="176" t="str">
        <f t="shared" si="544"/>
        <v xml:space="preserve"> </v>
      </c>
      <c r="AU165" s="176" t="str">
        <f t="shared" si="445"/>
        <v/>
      </c>
      <c r="AV165" s="177" t="str">
        <f t="shared" si="446"/>
        <v xml:space="preserve"> </v>
      </c>
      <c r="AW165" s="144" t="str">
        <f t="shared" si="447"/>
        <v xml:space="preserve"> </v>
      </c>
      <c r="AX165" s="144" t="str">
        <f t="shared" si="448"/>
        <v xml:space="preserve"> </v>
      </c>
      <c r="AY165" s="152" t="str">
        <f t="shared" si="449"/>
        <v xml:space="preserve"> </v>
      </c>
      <c r="AZ165" s="246" t="str">
        <f t="shared" si="450"/>
        <v/>
      </c>
      <c r="BA165" s="176" t="str">
        <f t="shared" si="451"/>
        <v xml:space="preserve"> </v>
      </c>
      <c r="BB165" s="176" t="str">
        <f t="shared" si="452"/>
        <v xml:space="preserve"> </v>
      </c>
      <c r="BC165" s="195"/>
      <c r="BD165" s="316"/>
      <c r="BE165" s="317"/>
      <c r="BF165" s="318"/>
      <c r="BG165" s="318"/>
      <c r="BH165" s="144" t="str">
        <f t="shared" si="621"/>
        <v xml:space="preserve"> </v>
      </c>
      <c r="BI165" s="176" t="str">
        <f t="shared" si="453"/>
        <v/>
      </c>
      <c r="BJ165" s="144" t="str">
        <f t="shared" si="622"/>
        <v/>
      </c>
      <c r="BK165" s="246" t="str">
        <f t="shared" si="454"/>
        <v/>
      </c>
      <c r="BL165" s="144" t="str">
        <f t="shared" si="623"/>
        <v/>
      </c>
      <c r="BM165" s="246" t="str">
        <f t="shared" si="455"/>
        <v/>
      </c>
      <c r="BN165" s="337" t="str">
        <f t="shared" si="545"/>
        <v/>
      </c>
      <c r="BO165" s="371" t="str">
        <f t="shared" si="546"/>
        <v/>
      </c>
      <c r="BP165" s="328" t="str">
        <f t="shared" si="624"/>
        <v xml:space="preserve"> </v>
      </c>
      <c r="BQ165" s="347" t="str">
        <f t="shared" si="547"/>
        <v xml:space="preserve"> </v>
      </c>
      <c r="BR165" s="353" t="str">
        <f t="shared" si="548"/>
        <v xml:space="preserve"> </v>
      </c>
      <c r="BS165" s="626" t="str">
        <f>IF(L165&gt;0,IF(Calculation!P165="M13",BR165*3.1416*(0.134^2)/(4*144),IF(Calculation!P165="M17",BR165*3.1416*(0.165^2)/(4*144),IF(Calculation!P165="M20",BR165*3.1416*(0.198^2)/(4*144),IF(Calculation!P165="M23",BR165*3.1416*(0.228^2)/(4*144),IF(Calculation!P165="M27",BR165*3.1416*(0.269^2)/(4*144),BR165*3.1416*(0.307^2)/(4*144))))))," ")</f>
        <v xml:space="preserve"> </v>
      </c>
      <c r="BT165" s="353" t="str">
        <f>IF(L165&gt;0,IF(BS165&gt;0,R165/Calculation!BS165,0)," ")</f>
        <v xml:space="preserve"> </v>
      </c>
      <c r="BU165" s="438" t="e">
        <f t="shared" ca="1" si="456"/>
        <v>#VALUE!</v>
      </c>
      <c r="BV165" s="449" t="e">
        <f ca="1">INDEX(INDIRECT(VLOOKUP(LEFT(BO165,7),CLU!$Z$3:$AH$18,2)),GN165,GR165)</f>
        <v>#N/A</v>
      </c>
      <c r="BW165" s="433" t="e">
        <f ca="1">INDEX(INDIRECT(VLOOKUP(LEFT(BO165,7),CLU!$Z$3:$AH$18,3)),GN165,GR165)</f>
        <v>#N/A</v>
      </c>
      <c r="BX165" s="433" t="e">
        <f ca="1">INDEX(INDIRECT(VLOOKUP(LEFT(BO165,7),CLU!$Z$3:$AH$18,4)),GN165,GR165)</f>
        <v>#N/A</v>
      </c>
      <c r="BY165" s="433" t="e">
        <f ca="1">INDEX(INDIRECT(VLOOKUP(LEFT(BO165,7),CLU!$Z$3:$AH$18,9)),((M165-2)*(6-COUNTBLANK(GT165:GY165)))+GJ165)</f>
        <v>#N/A</v>
      </c>
      <c r="BZ165" s="426" t="e">
        <f t="shared" ca="1" si="549"/>
        <v>#N/A</v>
      </c>
      <c r="CA165" s="424" t="e">
        <f t="shared" ca="1" si="550"/>
        <v>#N/A</v>
      </c>
      <c r="CB165" s="429" t="e">
        <f ca="1">INDEX(INDIRECT(VLOOKUP(LEFT(BO165,7),CLU!$Z$3:$AH$18,2)),GN165,GS165)</f>
        <v>#N/A</v>
      </c>
      <c r="CC165" s="342" t="e">
        <f ca="1">INDEX(INDIRECT(VLOOKUP(LEFT(BO165,7),CLU!$Z$3:$AH$18,3)),GN165,GS165)</f>
        <v>#N/A</v>
      </c>
      <c r="CD165" s="342" t="e">
        <f ca="1">INDEX(INDIRECT(VLOOKUP(LEFT(BO165,7),CLU!$Z$3:$AH$18,4)),GN165,GS165)</f>
        <v>#N/A</v>
      </c>
      <c r="CE165" s="426" t="e">
        <f t="shared" ca="1" si="551"/>
        <v>#N/A</v>
      </c>
      <c r="CF165" s="440">
        <f t="shared" si="552"/>
        <v>0</v>
      </c>
      <c r="CG165" s="431" t="e">
        <f ca="1">INDEX(INDIRECT(VLOOKUP(LEFT(BO165,7),CLU!$Z$3:$AH$18,2)),GQ165,GR165)</f>
        <v>#N/A</v>
      </c>
      <c r="CH165" s="431" t="e">
        <f ca="1">INDEX(INDIRECT(VLOOKUP(LEFT(BO165,7),CLU!$Z$3:$AH$18,3)),GQ165,GR165)</f>
        <v>#N/A</v>
      </c>
      <c r="CI165" s="431" t="e">
        <f ca="1">INDEX(INDIRECT(VLOOKUP(LEFT(BO165,7),CLU!$Z$3:$AH$18,4)),GQ165,GR165)</f>
        <v>#N/A</v>
      </c>
      <c r="CJ165" s="448" t="e">
        <f t="shared" ca="1" si="553"/>
        <v>#N/A</v>
      </c>
      <c r="CK165" s="431" t="e">
        <f t="shared" ca="1" si="554"/>
        <v>#N/A</v>
      </c>
      <c r="CL165" s="440" t="e">
        <f t="shared" ca="1" si="555"/>
        <v>#N/A</v>
      </c>
      <c r="CM165" s="431" t="e">
        <f ca="1">INDEX(INDIRECT(VLOOKUP(LEFT(BO165,7),CLU!$Z$3:$AH$18,2)),GQ165,GS165)</f>
        <v>#N/A</v>
      </c>
      <c r="CN165" s="431" t="e">
        <f ca="1">INDEX(INDIRECT(VLOOKUP(LEFT(BO165,7),CLU!$Z$3:$AH$18,3)),GQ165,GS165)</f>
        <v>#N/A</v>
      </c>
      <c r="CO165" s="431" t="e">
        <f ca="1">INDEX(INDIRECT(VLOOKUP(LEFT(BO165,7),CLU!$Z$3:$AH$18,4)),GQ165,GS165)</f>
        <v>#N/A</v>
      </c>
      <c r="CP165" s="431" t="e">
        <f t="shared" ca="1" si="556"/>
        <v>#N/A</v>
      </c>
      <c r="CQ165" s="440">
        <f t="shared" si="557"/>
        <v>0</v>
      </c>
      <c r="CR165" s="51" t="e">
        <f t="shared" ca="1" si="558"/>
        <v>#N/A</v>
      </c>
      <c r="CS165" s="439" t="e">
        <f t="shared" ca="1" si="559"/>
        <v>#VALUE!</v>
      </c>
      <c r="CT165" s="51" t="e">
        <f t="shared" ca="1" si="560"/>
        <v>#VALUE!</v>
      </c>
      <c r="CU165" s="10"/>
      <c r="CV165" s="51" t="e">
        <f t="shared" ca="1" si="457"/>
        <v>#VALUE!</v>
      </c>
      <c r="CW165" s="51">
        <f t="shared" si="561"/>
        <v>0</v>
      </c>
      <c r="CX165" s="439" t="e">
        <f t="shared" ca="1" si="562"/>
        <v>#VALUE!</v>
      </c>
      <c r="CY165" s="51" t="e">
        <f t="shared" ca="1" si="563"/>
        <v>#VALUE!</v>
      </c>
      <c r="CZ165" s="10"/>
      <c r="DA165" s="51" t="e">
        <f t="shared" ca="1" si="564"/>
        <v>#VALUE!</v>
      </c>
      <c r="DB165" s="347" t="e">
        <f ca="1">INDEX(INDIRECT(VLOOKUP(LEFT(BO165,7),CLU!$Z$3:$AI$18,10)),((M165-2)*(6-COUNTBLANK(GT165:GY165)))+GJ165)*LI165</f>
        <v>#N/A</v>
      </c>
      <c r="DC165" s="347" t="str">
        <f>IF(L165&gt;0,((R165/Worksheet!$I$15)/DB165)^2," ")</f>
        <v xml:space="preserve"> </v>
      </c>
      <c r="DD165" s="602" t="str">
        <f t="shared" si="565"/>
        <v xml:space="preserve"> </v>
      </c>
      <c r="DE165" s="347" t="str">
        <f t="shared" si="458"/>
        <v xml:space="preserve"> </v>
      </c>
      <c r="DF165" s="356" t="e">
        <f ca="1">INDEX(INDIRECT(VLOOKUP(LEFT(BO165,7),CLU!$Z$3:$AH$18,8)),((M165-2)*(6-COUNTBLANK(GT165:GY165)))+GJ165)</f>
        <v>#N/A</v>
      </c>
      <c r="DG165" s="347" t="str">
        <f t="shared" si="459"/>
        <v xml:space="preserve"> </v>
      </c>
      <c r="DH165" s="357" t="str">
        <f t="shared" si="460"/>
        <v xml:space="preserve"> </v>
      </c>
      <c r="DI165" s="355" t="str">
        <f t="shared" si="461"/>
        <v xml:space="preserve"> </v>
      </c>
      <c r="DJ165" s="245" t="e">
        <f ca="1">INDEX(INDIRECT(VLOOKUP(LEFT(BO165,7),CLU!$Z$3:$AH$18,5)),GL165,GK165)</f>
        <v>#N/A</v>
      </c>
      <c r="DK165" s="245" t="e">
        <f ca="1">INDEX(INDIRECT(VLOOKUP(LEFT(BO165,7),CLU!$Z$3:$AH$18,6)),GL165,GK165)</f>
        <v>#N/A</v>
      </c>
      <c r="DL165" s="355">
        <f>(Calculation!R165*0.69143*(Calculation!$BQ$8-Calculation!$F$8))*$S$14</f>
        <v>0</v>
      </c>
      <c r="DM165" s="359" t="e">
        <f t="shared" si="566"/>
        <v>#VALUE!</v>
      </c>
      <c r="DN165" s="611">
        <f t="shared" si="567"/>
        <v>0</v>
      </c>
      <c r="DO165" s="359">
        <f t="shared" si="568"/>
        <v>100</v>
      </c>
      <c r="DP165" s="359">
        <f t="shared" si="569"/>
        <v>0</v>
      </c>
      <c r="DQ165" s="360"/>
      <c r="DR165" s="245" t="e">
        <f ca="1">INDEX(INDIRECT(VLOOKUP(LEFT(BO165,7),CLU!$Z$3:$AH$18,7)),M165-1,1)</f>
        <v>#N/A</v>
      </c>
      <c r="DS165" s="245" t="e">
        <f ca="1">INDEX(INDIRECT(VLOOKUP(LEFT(BO165,7),CLU!$Z$3:$AH$18,7)),M165-1,2)</f>
        <v>#N/A</v>
      </c>
      <c r="DT165" s="245" t="e">
        <f ca="1">INDEX(INDIRECT(VLOOKUP(LEFT(BO165,7),CLU!$Z$3:$AH$18,7)),M165-1,3)</f>
        <v>#N/A</v>
      </c>
      <c r="DU165" s="245" t="e">
        <f ca="1">INDEX(INDIRECT(VLOOKUP(LEFT(BO165,7),CLU!$Z$3:$AH$18,7)),M165-1,4)</f>
        <v>#N/A</v>
      </c>
      <c r="DV165" s="361" t="e">
        <f ca="1">INDEX(INDIRECT(VLOOKUP(LEFT(BO165,7),CLU!$Z$3:$AH$18,7)),M165-1,4+LEFT(DZ165,1)*0.5)</f>
        <v>#N/A</v>
      </c>
      <c r="DW165" s="245" t="e">
        <f ca="1">INDEX(INDIRECT(VLOOKUP(LEFT(BO165,7),CLU!$Z$3:$AH$18,7)),M165-1,8)</f>
        <v>#N/A</v>
      </c>
      <c r="DX165" s="361" t="str">
        <f t="shared" si="462"/>
        <v xml:space="preserve"> </v>
      </c>
      <c r="DY165" s="361" t="str">
        <f t="shared" si="463"/>
        <v xml:space="preserve"> </v>
      </c>
      <c r="DZ165" s="361" t="str">
        <f t="shared" si="464"/>
        <v xml:space="preserve"> </v>
      </c>
      <c r="EA165" s="362" t="str">
        <f t="shared" si="465"/>
        <v xml:space="preserve"> </v>
      </c>
      <c r="EB165" s="624" t="str">
        <f t="shared" si="570"/>
        <v xml:space="preserve"> </v>
      </c>
      <c r="EC165" s="361" t="e">
        <f ca="1">INDEX(INDIRECT(VLOOKUP(LEFT(BO165,7),CLU!$Z$3:$AH$18,7)),M165-1,4+LEFT(DZ165,1)*0.5)</f>
        <v>#N/A</v>
      </c>
      <c r="ED165" s="362" t="str">
        <f t="shared" si="466"/>
        <v xml:space="preserve"> </v>
      </c>
      <c r="EE165" s="361" t="str">
        <f t="shared" si="467"/>
        <v xml:space="preserve"> </v>
      </c>
      <c r="EF165" s="362" t="str">
        <f>IF(L165&gt;0,IF(BR165&gt;0,IF(EE165="2P",IF(Calculation!DZ165="2P",IF(Calculation!DS165=13.75,IF(Calculation!DR165=13,Worksheet!$BD$43,IF(Calculation!DR165=37,Worksheet!$BD$44,Worksheet!$BD$45)),IF(Calculation!DS165=10,IF(Calculation!DR165=18,Worksheet!$BD$29,IF(Calculation!DR165=30,Worksheet!$BD$30,IF(Calculation!DR165=42,Worksheet!$BD$31,IF(Calculation!DR165=54,Worksheet!$BD$32,IF(Calculation!DR165=66,Worksheet!$BD$33,IF(Calculation!DR165=78,Worksheet!$BD$34,IF(Calculation!DR165=90,Worksheet!$BD$35,IF(Calculation!DR165=102,Worksheet!$BD$36,Worksheet!$BD$37)))))))),IF(Calculation!DS165=12.5,IF(Calculation!DR165=18,Worksheet!$BD$38,IF(Calculation!DR165=Worksheet!$BD$39,IF(Calculation!DR165=42,Worksheet!$BD$40,IF(Calculation!DR165=54,Worksheet!$BD$41,Worksheet!$BD$42)))),IF(Calculation!DR165=18,Worksheet!$BD$11,IF(Calculation!DR165=30,Worksheet!$BD$12,IF(Calculation!DR165=42,Worksheet!$BD$13,IF(Calculation!DR165=54,Worksheet!$BD$14,IF(Calculation!DR165=66,Worksheet!$BD$15,IF(Calculation!DR165=78,Worksheet!$BD$16,IF(Calculation!DR165=90,Worksheet!$BD$17,IF(Calculation!DR165=102,Worksheet!$BD$18,Worksheet!$BD$19))))))))))),IF(Calculation!DS165=13.75,IF(Calculation!DR165=13,Worksheet!$BD$78,IF(Calculation!DR165=37,Worksheet!$BD$79,Worksheet!$BD$80)),IF(Calculation!DS165=10,IF(Calculation!DR165=18,Worksheet!$BD$64,IF(Calculation!DR165=30,Worksheet!$BD$65,IF(Calculation!DR165=42,Worksheet!$BD$66,IF(Calculation!DR165=54,Worksheet!$BD$68,IF(Calculation!DR165=66,Worksheet!$BD$68,IF(Calculation!DR165=78,Worksheet!$BD$69,IF(Calculation!DR165=90,Worksheet!$BD$70,IF(Calculation!DR165=102,Worksheet!$BD$71,Worksheet!$BD$72)))))))),IF(Calculation!DS165=12.5,IF(Calculation!DR165=18,Worksheet!$BD$73,IF(Calculation!DR165=Worksheet!$BD$74,IF(Calculation!DR165=42,Worksheet!$BD$75,IF(Calculation!DR165=54,Worksheet!$BD$76,Worksheet!$BD$77)))),IF(Calculation!DR165=18,Worksheet!$BD$55,IF(Calculation!DR165=30,Worksheet!$BD$56,IF(Calculation!DR165=42,Worksheet!$BD$57,IF(Calculation!DR165=54,Worksheet!$BD$58,IF(Calculation!DR165=66,Worksheet!$BD$59,IF(Calculation!DR165=78,Worksheet!$BD$60,IF(Calculation!DR165=90,Worksheet!$BD$61,IF(Calculation!DR165=102,Worksheet!$BD$62,Worksheet!$BD$63)))))))))))),5),0)," ")</f>
        <v xml:space="preserve"> </v>
      </c>
      <c r="EG165" s="361" t="str">
        <f t="shared" si="468"/>
        <v xml:space="preserve"> </v>
      </c>
      <c r="EH165" s="361" t="e">
        <f ca="1">INDEX(INDIRECT(VLOOKUP(LEFT(BO165,7),CLU!$Z$3:$AH$18,7)),M165-1,3+LEFT(DZ165,1))</f>
        <v>#N/A</v>
      </c>
      <c r="EI165" s="362" t="str">
        <f t="shared" si="469"/>
        <v xml:space="preserve"> </v>
      </c>
      <c r="EJ165" s="363" t="str">
        <f t="shared" si="470"/>
        <v xml:space="preserve"> </v>
      </c>
      <c r="EK165" s="363" t="str">
        <f t="shared" si="471"/>
        <v xml:space="preserve"> </v>
      </c>
      <c r="EL165" s="363" t="str">
        <f t="shared" si="472"/>
        <v xml:space="preserve"> </v>
      </c>
      <c r="EM165" s="362" t="str">
        <f>IF(L165&gt;0,IF(BR165&gt;0,(Calculation!T165/ED165)^2,0)," ")</f>
        <v xml:space="preserve"> </v>
      </c>
      <c r="EN165" s="362" t="str">
        <f>IF(L165&gt;0,IF(O165="2 Pipe (Cooling)","N/A",IF(BR165&gt;0,(Calculation!U165/EI165)^2,0))," ")</f>
        <v xml:space="preserve"> </v>
      </c>
      <c r="EO165" s="361" t="str">
        <f t="shared" si="473"/>
        <v/>
      </c>
      <c r="EP165" s="361" t="str">
        <f t="shared" si="474"/>
        <v/>
      </c>
      <c r="EQ165" s="361" t="str">
        <f t="shared" si="475"/>
        <v/>
      </c>
      <c r="ER165" s="361" t="str">
        <f t="shared" si="476"/>
        <v/>
      </c>
      <c r="ES165" s="361" t="str">
        <f t="shared" si="477"/>
        <v/>
      </c>
      <c r="ET165" s="361" t="str">
        <f t="shared" si="478"/>
        <v/>
      </c>
      <c r="EU165" s="361" t="str">
        <f t="shared" si="479"/>
        <v/>
      </c>
      <c r="EV165" s="361" t="str">
        <f t="shared" si="480"/>
        <v/>
      </c>
      <c r="EW165" s="361" t="str">
        <f t="shared" si="481"/>
        <v/>
      </c>
      <c r="EX165" s="361" t="str">
        <f t="shared" si="571"/>
        <v>1 slot, 1 way</v>
      </c>
      <c r="EY165" s="361" t="str">
        <f t="shared" si="572"/>
        <v xml:space="preserve"> </v>
      </c>
      <c r="EZ165" s="361" t="str">
        <f t="shared" si="573"/>
        <v xml:space="preserve"> </v>
      </c>
      <c r="FA165" s="361" t="str">
        <f t="shared" si="574"/>
        <v xml:space="preserve"> </v>
      </c>
      <c r="FB165" s="361" t="str">
        <f t="shared" si="575"/>
        <v xml:space="preserve"> </v>
      </c>
      <c r="FC165" s="361"/>
      <c r="FD165" s="361" t="str">
        <f>IF(J165&gt;0,IF(Calculation!R165&lt;=70,4,IF(Calculation!R165&lt;=110,5,IF(Calculation!R165&lt;=160,6,IF(Calculation!R165&lt;=300,8,"10 EO")))),"")</f>
        <v/>
      </c>
      <c r="FE165" s="361" t="str">
        <f t="shared" si="576"/>
        <v/>
      </c>
      <c r="FF165" s="361" t="str">
        <f t="shared" si="577"/>
        <v/>
      </c>
      <c r="FG165" s="361" t="e">
        <f t="shared" si="482"/>
        <v>#N/A</v>
      </c>
      <c r="FH165" s="361">
        <f t="shared" si="483"/>
        <v>0</v>
      </c>
      <c r="FI165" s="361" t="e">
        <f t="shared" si="484"/>
        <v>#DIV/0!</v>
      </c>
      <c r="FJ165" s="361"/>
      <c r="FK165" s="356" t="e">
        <f t="shared" si="485"/>
        <v>#VALUE!</v>
      </c>
      <c r="FL165" s="361"/>
      <c r="FM165" s="361"/>
      <c r="FN165" s="362" t="str">
        <f t="shared" si="578"/>
        <v xml:space="preserve"> </v>
      </c>
      <c r="FO165" s="362" t="str">
        <f t="shared" si="579"/>
        <v xml:space="preserve"> </v>
      </c>
      <c r="FP165" s="362">
        <f t="shared" si="580"/>
        <v>0</v>
      </c>
      <c r="FQ165" s="361">
        <f t="shared" si="486"/>
        <v>0</v>
      </c>
      <c r="FR165" s="362" t="str">
        <f>IF(L165&gt;0,IF(J165="CBAL2",Worksheet!$P$67,IF(J165="CBE2-24",Worksheet!$Q$67,IF(J165="CBAM",Worksheet!$R$67,IF(J165="CBLV",Worksheet!$S$67,IF(J165="CBAB",Worksheet!$U$67,IF(J165="CBAW",Worksheet!$X$67,IF(J165="CBE2-12",Worksheet!$Y$67,IF(J165="CBAL2",Worksheet!$Z$67,"N/A"))))))))," ")</f>
        <v xml:space="preserve"> </v>
      </c>
      <c r="FS165" s="362" t="str">
        <f>IF(L165&gt;0,IF(J165="CBAL2",Worksheet!$P$68,IF(J165="CBE2-24",Worksheet!$Q$68,IF(J165="CBAM",Worksheet!$R$68,IF(J165="CBLV",Worksheet!$S$68,IF(J165="CBAB",Worksheet!$U$68,IF(J165="CBAW",Worksheet!$X$68,IF(J165="CBE2-12",Worksheet!$Y$68,IF(J165="CBAL2",Worksheet!$Z$68,"N/A"))))))))," ")</f>
        <v xml:space="preserve"> </v>
      </c>
      <c r="FT165" s="362" t="str">
        <f>IF(L165&gt;0,IF(J165="CBAL2",Worksheet!$P$69,IF(J165="CBE2-24",Worksheet!$Q$69,IF(J165="CBAM",Worksheet!$R$69,IF(J165="CBLV",Worksheet!$S$69,IF(J165="CBAB",Worksheet!$U$69,IF(J165="CBAW",Worksheet!$X$69,IF(J165="CBE2-12",Worksheet!$Y$69,IF(J165="CBAL2",Worksheet!$Z$69,"N/A"))))))))," ")</f>
        <v xml:space="preserve"> </v>
      </c>
      <c r="FU165" s="361" t="str">
        <f t="shared" si="581"/>
        <v xml:space="preserve"> </v>
      </c>
      <c r="FV165" s="362" t="str">
        <f t="shared" si="582"/>
        <v xml:space="preserve"> </v>
      </c>
      <c r="FW165" s="362" t="str">
        <f t="shared" si="583"/>
        <v xml:space="preserve"> </v>
      </c>
      <c r="FX165" s="362" t="str">
        <f t="shared" si="584"/>
        <v xml:space="preserve"> </v>
      </c>
      <c r="FY165" s="355" t="str">
        <f t="shared" si="585"/>
        <v xml:space="preserve"> </v>
      </c>
      <c r="FZ165" s="361" t="str">
        <f t="shared" si="586"/>
        <v xml:space="preserve"> </v>
      </c>
      <c r="GA165" s="347" t="str">
        <f t="shared" si="587"/>
        <v xml:space="preserve"> </v>
      </c>
      <c r="GB165" s="355" t="str">
        <f t="shared" si="588"/>
        <v xml:space="preserve"> </v>
      </c>
      <c r="GC165" s="328" t="str">
        <f t="shared" si="589"/>
        <v xml:space="preserve"> </v>
      </c>
      <c r="GD165" s="361" t="str">
        <f t="shared" si="590"/>
        <v xml:space="preserve"> </v>
      </c>
      <c r="GE165" s="347" t="str">
        <f t="shared" si="591"/>
        <v xml:space="preserve"> </v>
      </c>
      <c r="GF165" s="361" t="str">
        <f t="shared" si="592"/>
        <v xml:space="preserve"> </v>
      </c>
      <c r="GG165" s="347" t="str">
        <f t="shared" si="593"/>
        <v xml:space="preserve"> </v>
      </c>
      <c r="GH165" s="364">
        <f t="shared" si="487"/>
        <v>0</v>
      </c>
      <c r="GI165" s="362">
        <f t="shared" si="594"/>
        <v>2</v>
      </c>
      <c r="GJ165" s="433" t="e">
        <f>IF(6-COUNTBLANK(GT165:GY165)=4,MATCH(MID(BO165,9,3),CLU!$H$16:$K$16),MATCH(MID(BO165,9,3),CLU!$H$13:$M$13))</f>
        <v>#N/A</v>
      </c>
      <c r="GK165" s="433" t="e">
        <f>HLOOKUP(VALUE(BP165),CLU!$H$9:$M$10,2)</f>
        <v>#VALUE!</v>
      </c>
      <c r="GL165" s="433" t="e">
        <f ca="1">MATCH(BU165,CLU!$H$2:$V$2,1)</f>
        <v>#VALUE!</v>
      </c>
      <c r="GM165" s="433" t="e">
        <f t="shared" ca="1" si="595"/>
        <v>#VALUE!</v>
      </c>
      <c r="GN165" s="433" t="e">
        <f t="shared" ca="1" si="596"/>
        <v>#VALUE!</v>
      </c>
      <c r="GO165" s="433" t="e">
        <f t="shared" ca="1" si="597"/>
        <v>#VALUE!</v>
      </c>
      <c r="GP165" s="433" t="e">
        <f t="shared" ca="1" si="598"/>
        <v>#VALUE!</v>
      </c>
      <c r="GQ165" s="433" t="e">
        <f t="shared" ca="1" si="599"/>
        <v>#VALUE!</v>
      </c>
      <c r="GR165" s="433" t="e">
        <f ca="1">MATCH(T165,INDIRECT(VLOOKUP(CONCATENATE(LEFT(BO165,7),"-",MID(BO165,13,1)),CLU!$P$3:$Q$16,2)),1)</f>
        <v>#N/A</v>
      </c>
      <c r="GS165" s="433" t="e">
        <f ca="1">MATCH(U165,INDIRECT(VLOOKUP(CONCATENATE(LEFT(BO165,7),"-",MID(BO165,13,1)),CLU!$P$3:$Q$16,2)),1)</f>
        <v>#N/A</v>
      </c>
      <c r="GT165" s="347" t="s">
        <v>512</v>
      </c>
      <c r="GU165" s="97" t="s">
        <v>513</v>
      </c>
      <c r="GV165" s="97" t="str">
        <f t="shared" si="600"/>
        <v>M23</v>
      </c>
      <c r="GW165" s="97" t="str">
        <f t="shared" si="601"/>
        <v>M31</v>
      </c>
      <c r="GX165" s="97" t="str">
        <f t="shared" si="602"/>
        <v/>
      </c>
      <c r="GY165" s="97" t="str">
        <f t="shared" si="603"/>
        <v/>
      </c>
      <c r="GZ165" s="481"/>
      <c r="HA165" s="288"/>
      <c r="HB165" s="240"/>
      <c r="HC165" s="240"/>
      <c r="HD165" s="240"/>
      <c r="HE165" s="240"/>
      <c r="HF165" s="240"/>
      <c r="HG165" s="240"/>
      <c r="HH165" s="240"/>
      <c r="HI165" s="240"/>
      <c r="HJ165" s="240"/>
      <c r="HK165" s="240"/>
      <c r="HL165" s="240"/>
      <c r="HM165" s="240"/>
      <c r="HN165" s="240"/>
      <c r="HO165" s="240"/>
      <c r="HP165" s="240"/>
      <c r="HQ165" s="240"/>
      <c r="HR165" s="240"/>
      <c r="HS165" s="240"/>
      <c r="HT165" s="240"/>
      <c r="HU165" s="240"/>
      <c r="HV165" s="245"/>
      <c r="HW165" s="245" t="b">
        <v>1</v>
      </c>
      <c r="HX165" s="245" t="str">
        <f t="shared" si="488"/>
        <v/>
      </c>
      <c r="HY165" s="245" t="e">
        <f t="shared" si="489"/>
        <v>#DIV/0!</v>
      </c>
      <c r="HZ165" s="245" t="e">
        <f t="shared" si="490"/>
        <v>#DIV/0!</v>
      </c>
      <c r="IA165" s="245">
        <f t="shared" si="491"/>
        <v>0</v>
      </c>
      <c r="IB165" s="245"/>
      <c r="IC165" t="b">
        <f t="shared" si="492"/>
        <v>1</v>
      </c>
      <c r="ID165" s="245" t="b">
        <f t="shared" si="493"/>
        <v>1</v>
      </c>
      <c r="IE165" s="245" t="b">
        <f t="shared" si="494"/>
        <v>1</v>
      </c>
      <c r="IF165" s="245" t="b">
        <f t="shared" si="495"/>
        <v>0</v>
      </c>
      <c r="IG165" s="245" t="b">
        <f t="shared" si="496"/>
        <v>1</v>
      </c>
      <c r="IH165" s="245" t="b">
        <f t="shared" si="497"/>
        <v>1</v>
      </c>
      <c r="II165" s="245">
        <f t="shared" si="604"/>
        <v>0</v>
      </c>
      <c r="IJ165" s="245" t="e">
        <f t="shared" si="498"/>
        <v>#VALUE!</v>
      </c>
      <c r="IK165" s="245" t="e">
        <f t="shared" si="499"/>
        <v>#VALUE!</v>
      </c>
      <c r="IL165" s="245"/>
      <c r="IM165" s="245" t="e">
        <f t="shared" si="605"/>
        <v>#N/A</v>
      </c>
      <c r="IN165" s="245" t="e">
        <f t="shared" si="606"/>
        <v>#N/A</v>
      </c>
      <c r="IO165" s="245"/>
      <c r="IP165" s="245"/>
      <c r="IQ165" s="245" t="str">
        <f t="shared" si="500"/>
        <v/>
      </c>
      <c r="IR165" s="245" t="str">
        <f>IF(J165="","",VLOOKUP(J165,Worksheet!$R$4:$T$14,2))</f>
        <v/>
      </c>
      <c r="IS165" s="245"/>
      <c r="IT165" s="245">
        <f t="shared" si="501"/>
        <v>0</v>
      </c>
      <c r="IU165" s="245">
        <f t="shared" si="502"/>
        <v>0</v>
      </c>
      <c r="IV165" s="245">
        <f t="shared" si="503"/>
        <v>0</v>
      </c>
      <c r="IW165" s="245">
        <f t="shared" si="504"/>
        <v>0</v>
      </c>
      <c r="IX165" s="245">
        <f t="shared" si="607"/>
        <v>0</v>
      </c>
      <c r="IY165" s="245">
        <f t="shared" si="505"/>
        <v>0</v>
      </c>
      <c r="IZ165" s="245">
        <f t="shared" si="506"/>
        <v>0</v>
      </c>
      <c r="JA165">
        <f t="shared" si="507"/>
        <v>0</v>
      </c>
      <c r="JB165">
        <f t="shared" si="608"/>
        <v>0</v>
      </c>
      <c r="JC165">
        <f t="shared" si="508"/>
        <v>0</v>
      </c>
      <c r="JD165">
        <f t="shared" si="509"/>
        <v>0</v>
      </c>
      <c r="JE165">
        <f t="shared" si="510"/>
        <v>0</v>
      </c>
      <c r="JF165">
        <f t="shared" si="511"/>
        <v>0</v>
      </c>
      <c r="JG165">
        <f t="shared" si="512"/>
        <v>0</v>
      </c>
      <c r="JH165">
        <f t="shared" si="513"/>
        <v>0</v>
      </c>
      <c r="JI165">
        <f t="shared" si="514"/>
        <v>0</v>
      </c>
      <c r="JJ165" s="447">
        <f t="shared" si="515"/>
        <v>0</v>
      </c>
      <c r="JK165" s="447">
        <f t="shared" si="516"/>
        <v>0</v>
      </c>
      <c r="JL165">
        <f t="shared" si="517"/>
        <v>0</v>
      </c>
      <c r="JM165" s="245" t="str">
        <f>IFERROR(VLOOKUP(MATCH(BN165,#REF!,0),#REF!,7),"")</f>
        <v/>
      </c>
      <c r="JN165" t="e">
        <f>HLOOKUP(LEFT(BO165,7),Discharge_Area,MATCH(JO165,LookUps!$B$130:$B$149,1)+2)</f>
        <v>#N/A</v>
      </c>
      <c r="JO165" t="str">
        <f t="shared" si="518"/>
        <v>- S</v>
      </c>
      <c r="JP165" t="e">
        <f>HLOOKUP(LEFT(BO165,7),Discharge_Area,MATCH(JO165,LookUps!$B$130:$B$149,1)+2)</f>
        <v>#N/A</v>
      </c>
      <c r="JQ165" t="e">
        <f t="shared" si="519"/>
        <v>#N/A</v>
      </c>
      <c r="JR165" t="e">
        <f t="shared" si="520"/>
        <v>#N/A</v>
      </c>
      <c r="JS165" t="e">
        <f t="shared" si="521"/>
        <v>#N/A</v>
      </c>
      <c r="JT165" s="532" t="str">
        <f t="shared" si="522"/>
        <v xml:space="preserve"> </v>
      </c>
      <c r="JU165" s="532" t="str">
        <f t="shared" si="523"/>
        <v xml:space="preserve"> </v>
      </c>
      <c r="JV165" s="533" t="str">
        <f t="shared" si="524"/>
        <v xml:space="preserve"> </v>
      </c>
      <c r="JW165" s="534">
        <f t="shared" si="525"/>
        <v>0</v>
      </c>
      <c r="JX165" s="535" t="str">
        <f t="shared" si="609"/>
        <v xml:space="preserve"> </v>
      </c>
      <c r="JY165" s="535" t="str">
        <f t="shared" si="610"/>
        <v xml:space="preserve"> </v>
      </c>
      <c r="JZ165" s="535" t="str">
        <f t="shared" si="611"/>
        <v xml:space="preserve"> </v>
      </c>
      <c r="KA165" s="536" t="str">
        <f t="shared" si="526"/>
        <v xml:space="preserve"> </v>
      </c>
      <c r="KB165" s="535" t="e">
        <f t="shared" si="612"/>
        <v>#VALUE!</v>
      </c>
      <c r="KC165" s="535" t="str">
        <f t="shared" si="527"/>
        <v/>
      </c>
      <c r="KD165" s="537" t="str">
        <f t="shared" si="613"/>
        <v xml:space="preserve"> </v>
      </c>
      <c r="KE165" s="537" t="str">
        <f t="shared" si="614"/>
        <v xml:space="preserve"> </v>
      </c>
      <c r="KF165" s="534">
        <f t="shared" si="528"/>
        <v>0</v>
      </c>
      <c r="KG165" s="535" t="str">
        <f t="shared" si="529"/>
        <v xml:space="preserve"> </v>
      </c>
      <c r="KH165" s="535" t="str">
        <f t="shared" si="530"/>
        <v xml:space="preserve"> </v>
      </c>
      <c r="KI165" s="535" t="str">
        <f t="shared" si="531"/>
        <v xml:space="preserve"> </v>
      </c>
      <c r="KJ165" s="536" t="str">
        <f t="shared" si="532"/>
        <v xml:space="preserve"> </v>
      </c>
      <c r="KK165" s="535" t="str">
        <f t="shared" si="615"/>
        <v xml:space="preserve"> </v>
      </c>
      <c r="KL165" s="535" t="str">
        <f t="shared" si="616"/>
        <v xml:space="preserve"> </v>
      </c>
      <c r="KM165" s="537" t="str">
        <f t="shared" si="533"/>
        <v xml:space="preserve"> </v>
      </c>
      <c r="KN165" s="537" t="str">
        <f t="shared" si="617"/>
        <v xml:space="preserve"> </v>
      </c>
      <c r="KP165">
        <f t="shared" si="534"/>
        <v>0</v>
      </c>
      <c r="LA165" t="e">
        <f t="shared" si="535"/>
        <v>#VALUE!</v>
      </c>
      <c r="LB165" t="e">
        <f t="shared" si="536"/>
        <v>#VALUE!</v>
      </c>
      <c r="LC165" t="e">
        <f t="shared" si="537"/>
        <v>#VALUE!</v>
      </c>
      <c r="LD165" t="e">
        <f t="shared" si="538"/>
        <v>#VALUE!</v>
      </c>
      <c r="LE165" t="e">
        <f t="shared" si="618"/>
        <v>#VALUE!</v>
      </c>
      <c r="LF165">
        <f t="shared" si="539"/>
        <v>0</v>
      </c>
      <c r="LG165" t="e">
        <f t="shared" si="619"/>
        <v>#VALUE!</v>
      </c>
      <c r="LH165" t="str">
        <f t="shared" si="540"/>
        <v xml:space="preserve"> </v>
      </c>
      <c r="LI165">
        <f t="shared" si="620"/>
        <v>1</v>
      </c>
    </row>
    <row r="166" spans="2:321" ht="15" customHeight="1">
      <c r="B166" s="311"/>
      <c r="C166" s="311"/>
      <c r="D166" s="312"/>
      <c r="E166" s="311"/>
      <c r="F166" s="312"/>
      <c r="G166" s="311"/>
      <c r="H166" s="311"/>
      <c r="I166" s="37"/>
      <c r="J166" s="311"/>
      <c r="K166" s="305" t="str">
        <f t="shared" si="541"/>
        <v/>
      </c>
      <c r="L166" s="313"/>
      <c r="M166" s="312"/>
      <c r="N166" s="311"/>
      <c r="O166" s="312"/>
      <c r="P166" s="311"/>
      <c r="Q166" s="305" t="str">
        <f t="shared" si="542"/>
        <v/>
      </c>
      <c r="R166" s="314"/>
      <c r="S166" s="450" t="str">
        <f t="shared" si="425"/>
        <v/>
      </c>
      <c r="T166" s="315"/>
      <c r="U166" s="315"/>
      <c r="W166" s="149" t="str">
        <f t="shared" si="426"/>
        <v xml:space="preserve"> </v>
      </c>
      <c r="X166" s="243" t="str">
        <f t="shared" si="427"/>
        <v xml:space="preserve"> </v>
      </c>
      <c r="Y166" s="150" t="str">
        <f t="shared" si="428"/>
        <v/>
      </c>
      <c r="Z166" s="149" t="str">
        <f t="shared" si="429"/>
        <v xml:space="preserve"> </v>
      </c>
      <c r="AA166" s="98" t="str">
        <f t="shared" si="430"/>
        <v xml:space="preserve"> </v>
      </c>
      <c r="AB166" s="153" t="str">
        <f t="shared" si="431"/>
        <v xml:space="preserve"> </v>
      </c>
      <c r="AC166" s="153" t="str">
        <f t="shared" si="432"/>
        <v xml:space="preserve"> </v>
      </c>
      <c r="AD166" s="148" t="str">
        <f t="shared" si="433"/>
        <v/>
      </c>
      <c r="AE166" s="149" t="str">
        <f t="shared" si="434"/>
        <v/>
      </c>
      <c r="AF166" s="151" t="str">
        <f t="shared" si="435"/>
        <v xml:space="preserve"> </v>
      </c>
      <c r="AG166" s="153" t="str">
        <f t="shared" si="436"/>
        <v xml:space="preserve"> </v>
      </c>
      <c r="AH166" s="98" t="str">
        <f t="shared" si="437"/>
        <v xml:space="preserve"> </v>
      </c>
      <c r="AI166" s="149" t="str">
        <f t="shared" si="438"/>
        <v xml:space="preserve"> </v>
      </c>
      <c r="AK166" s="144" t="str">
        <f t="shared" si="439"/>
        <v xml:space="preserve"> </v>
      </c>
      <c r="AL166" s="144"/>
      <c r="AM166" s="243" t="str">
        <f t="shared" si="440"/>
        <v xml:space="preserve"> </v>
      </c>
      <c r="AN166" s="149" t="str">
        <f t="shared" si="543"/>
        <v xml:space="preserve"> </v>
      </c>
      <c r="AO166" s="144" t="str">
        <f>IF(JB166&gt;0,IF(GI166=10,-R166*1.085*(Calculation!$F$6-Calculation!$F$13)*$S$14," "),"")</f>
        <v/>
      </c>
      <c r="AP166" s="144" t="str">
        <f t="shared" si="441"/>
        <v/>
      </c>
      <c r="AQ166" s="56" t="str">
        <f t="shared" si="442"/>
        <v/>
      </c>
      <c r="AR166" s="144" t="str">
        <f t="shared" si="443"/>
        <v/>
      </c>
      <c r="AS166" s="176" t="str">
        <f t="shared" si="444"/>
        <v/>
      </c>
      <c r="AT166" s="176" t="str">
        <f t="shared" si="544"/>
        <v xml:space="preserve"> </v>
      </c>
      <c r="AU166" s="176" t="str">
        <f t="shared" si="445"/>
        <v/>
      </c>
      <c r="AV166" s="177" t="str">
        <f t="shared" si="446"/>
        <v xml:space="preserve"> </v>
      </c>
      <c r="AW166" s="144" t="str">
        <f t="shared" si="447"/>
        <v xml:space="preserve"> </v>
      </c>
      <c r="AX166" s="144" t="str">
        <f t="shared" si="448"/>
        <v xml:space="preserve"> </v>
      </c>
      <c r="AY166" s="152" t="str">
        <f t="shared" si="449"/>
        <v xml:space="preserve"> </v>
      </c>
      <c r="AZ166" s="246" t="str">
        <f t="shared" si="450"/>
        <v/>
      </c>
      <c r="BA166" s="176" t="str">
        <f t="shared" si="451"/>
        <v xml:space="preserve"> </v>
      </c>
      <c r="BB166" s="176" t="str">
        <f t="shared" si="452"/>
        <v xml:space="preserve"> </v>
      </c>
      <c r="BC166" s="195"/>
      <c r="BD166" s="316"/>
      <c r="BE166" s="317"/>
      <c r="BF166" s="318"/>
      <c r="BG166" s="318"/>
      <c r="BH166" s="144" t="str">
        <f t="shared" si="621"/>
        <v xml:space="preserve"> </v>
      </c>
      <c r="BI166" s="176" t="str">
        <f t="shared" si="453"/>
        <v/>
      </c>
      <c r="BJ166" s="144" t="str">
        <f t="shared" si="622"/>
        <v/>
      </c>
      <c r="BK166" s="246" t="str">
        <f t="shared" si="454"/>
        <v/>
      </c>
      <c r="BL166" s="144" t="str">
        <f t="shared" si="623"/>
        <v/>
      </c>
      <c r="BM166" s="246" t="str">
        <f t="shared" si="455"/>
        <v/>
      </c>
      <c r="BN166" s="337" t="str">
        <f t="shared" si="545"/>
        <v/>
      </c>
      <c r="BO166" s="371" t="str">
        <f t="shared" si="546"/>
        <v/>
      </c>
      <c r="BP166" s="328" t="str">
        <f t="shared" si="624"/>
        <v xml:space="preserve"> </v>
      </c>
      <c r="BQ166" s="347" t="str">
        <f t="shared" si="547"/>
        <v xml:space="preserve"> </v>
      </c>
      <c r="BR166" s="353" t="str">
        <f t="shared" si="548"/>
        <v xml:space="preserve"> </v>
      </c>
      <c r="BS166" s="626" t="str">
        <f>IF(L166&gt;0,IF(Calculation!P166="M13",BR166*3.1416*(0.134^2)/(4*144),IF(Calculation!P166="M17",BR166*3.1416*(0.165^2)/(4*144),IF(Calculation!P166="M20",BR166*3.1416*(0.198^2)/(4*144),IF(Calculation!P166="M23",BR166*3.1416*(0.228^2)/(4*144),IF(Calculation!P166="M27",BR166*3.1416*(0.269^2)/(4*144),BR166*3.1416*(0.307^2)/(4*144))))))," ")</f>
        <v xml:space="preserve"> </v>
      </c>
      <c r="BT166" s="353" t="str">
        <f>IF(L166&gt;0,IF(BS166&gt;0,R166/Calculation!BS166,0)," ")</f>
        <v xml:space="preserve"> </v>
      </c>
      <c r="BU166" s="438" t="e">
        <f t="shared" ca="1" si="456"/>
        <v>#VALUE!</v>
      </c>
      <c r="BV166" s="449" t="e">
        <f ca="1">INDEX(INDIRECT(VLOOKUP(LEFT(BO166,7),CLU!$Z$3:$AH$18,2)),GN166,GR166)</f>
        <v>#N/A</v>
      </c>
      <c r="BW166" s="433" t="e">
        <f ca="1">INDEX(INDIRECT(VLOOKUP(LEFT(BO166,7),CLU!$Z$3:$AH$18,3)),GN166,GR166)</f>
        <v>#N/A</v>
      </c>
      <c r="BX166" s="433" t="e">
        <f ca="1">INDEX(INDIRECT(VLOOKUP(LEFT(BO166,7),CLU!$Z$3:$AH$18,4)),GN166,GR166)</f>
        <v>#N/A</v>
      </c>
      <c r="BY166" s="433" t="e">
        <f ca="1">INDEX(INDIRECT(VLOOKUP(LEFT(BO166,7),CLU!$Z$3:$AH$18,9)),((M166-2)*(6-COUNTBLANK(GT166:GY166)))+GJ166)</f>
        <v>#N/A</v>
      </c>
      <c r="BZ166" s="426" t="e">
        <f t="shared" ca="1" si="549"/>
        <v>#N/A</v>
      </c>
      <c r="CA166" s="424" t="e">
        <f t="shared" ca="1" si="550"/>
        <v>#N/A</v>
      </c>
      <c r="CB166" s="429" t="e">
        <f ca="1">INDEX(INDIRECT(VLOOKUP(LEFT(BO166,7),CLU!$Z$3:$AH$18,2)),GN166,GS166)</f>
        <v>#N/A</v>
      </c>
      <c r="CC166" s="342" t="e">
        <f ca="1">INDEX(INDIRECT(VLOOKUP(LEFT(BO166,7),CLU!$Z$3:$AH$18,3)),GN166,GS166)</f>
        <v>#N/A</v>
      </c>
      <c r="CD166" s="342" t="e">
        <f ca="1">INDEX(INDIRECT(VLOOKUP(LEFT(BO166,7),CLU!$Z$3:$AH$18,4)),GN166,GS166)</f>
        <v>#N/A</v>
      </c>
      <c r="CE166" s="426" t="e">
        <f t="shared" ca="1" si="551"/>
        <v>#N/A</v>
      </c>
      <c r="CF166" s="440">
        <f t="shared" si="552"/>
        <v>0</v>
      </c>
      <c r="CG166" s="431" t="e">
        <f ca="1">INDEX(INDIRECT(VLOOKUP(LEFT(BO166,7),CLU!$Z$3:$AH$18,2)),GQ166,GR166)</f>
        <v>#N/A</v>
      </c>
      <c r="CH166" s="431" t="e">
        <f ca="1">INDEX(INDIRECT(VLOOKUP(LEFT(BO166,7),CLU!$Z$3:$AH$18,3)),GQ166,GR166)</f>
        <v>#N/A</v>
      </c>
      <c r="CI166" s="431" t="e">
        <f ca="1">INDEX(INDIRECT(VLOOKUP(LEFT(BO166,7),CLU!$Z$3:$AH$18,4)),GQ166,GR166)</f>
        <v>#N/A</v>
      </c>
      <c r="CJ166" s="448" t="e">
        <f t="shared" ca="1" si="553"/>
        <v>#N/A</v>
      </c>
      <c r="CK166" s="431" t="e">
        <f t="shared" ca="1" si="554"/>
        <v>#N/A</v>
      </c>
      <c r="CL166" s="440" t="e">
        <f t="shared" ca="1" si="555"/>
        <v>#N/A</v>
      </c>
      <c r="CM166" s="431" t="e">
        <f ca="1">INDEX(INDIRECT(VLOOKUP(LEFT(BO166,7),CLU!$Z$3:$AH$18,2)),GQ166,GS166)</f>
        <v>#N/A</v>
      </c>
      <c r="CN166" s="431" t="e">
        <f ca="1">INDEX(INDIRECT(VLOOKUP(LEFT(BO166,7),CLU!$Z$3:$AH$18,3)),GQ166,GS166)</f>
        <v>#N/A</v>
      </c>
      <c r="CO166" s="431" t="e">
        <f ca="1">INDEX(INDIRECT(VLOOKUP(LEFT(BO166,7),CLU!$Z$3:$AH$18,4)),GQ166,GS166)</f>
        <v>#N/A</v>
      </c>
      <c r="CP166" s="431" t="e">
        <f t="shared" ca="1" si="556"/>
        <v>#N/A</v>
      </c>
      <c r="CQ166" s="440">
        <f t="shared" si="557"/>
        <v>0</v>
      </c>
      <c r="CR166" s="51" t="e">
        <f t="shared" ca="1" si="558"/>
        <v>#N/A</v>
      </c>
      <c r="CS166" s="439" t="e">
        <f t="shared" ca="1" si="559"/>
        <v>#VALUE!</v>
      </c>
      <c r="CT166" s="51" t="e">
        <f t="shared" ca="1" si="560"/>
        <v>#VALUE!</v>
      </c>
      <c r="CU166" s="10"/>
      <c r="CV166" s="51" t="e">
        <f t="shared" ca="1" si="457"/>
        <v>#VALUE!</v>
      </c>
      <c r="CW166" s="51">
        <f t="shared" si="561"/>
        <v>0</v>
      </c>
      <c r="CX166" s="439" t="e">
        <f t="shared" ca="1" si="562"/>
        <v>#VALUE!</v>
      </c>
      <c r="CY166" s="51" t="e">
        <f t="shared" ca="1" si="563"/>
        <v>#VALUE!</v>
      </c>
      <c r="CZ166" s="10"/>
      <c r="DA166" s="51" t="e">
        <f t="shared" ca="1" si="564"/>
        <v>#VALUE!</v>
      </c>
      <c r="DB166" s="347" t="e">
        <f ca="1">INDEX(INDIRECT(VLOOKUP(LEFT(BO166,7),CLU!$Z$3:$AI$18,10)),((M166-2)*(6-COUNTBLANK(GT166:GY166)))+GJ166)*LI166</f>
        <v>#N/A</v>
      </c>
      <c r="DC166" s="347" t="str">
        <f>IF(L166&gt;0,((R166/Worksheet!$I$15)/DB166)^2," ")</f>
        <v xml:space="preserve"> </v>
      </c>
      <c r="DD166" s="602" t="str">
        <f t="shared" si="565"/>
        <v xml:space="preserve"> </v>
      </c>
      <c r="DE166" s="347" t="str">
        <f t="shared" si="458"/>
        <v xml:space="preserve"> </v>
      </c>
      <c r="DF166" s="356" t="e">
        <f ca="1">INDEX(INDIRECT(VLOOKUP(LEFT(BO166,7),CLU!$Z$3:$AH$18,8)),((M166-2)*(6-COUNTBLANK(GT166:GY166)))+GJ166)</f>
        <v>#N/A</v>
      </c>
      <c r="DG166" s="347" t="str">
        <f t="shared" si="459"/>
        <v xml:space="preserve"> </v>
      </c>
      <c r="DH166" s="357" t="str">
        <f t="shared" si="460"/>
        <v xml:space="preserve"> </v>
      </c>
      <c r="DI166" s="355" t="str">
        <f t="shared" si="461"/>
        <v xml:space="preserve"> </v>
      </c>
      <c r="DJ166" s="245" t="e">
        <f ca="1">INDEX(INDIRECT(VLOOKUP(LEFT(BO166,7),CLU!$Z$3:$AH$18,5)),GL166,GK166)</f>
        <v>#N/A</v>
      </c>
      <c r="DK166" s="245" t="e">
        <f ca="1">INDEX(INDIRECT(VLOOKUP(LEFT(BO166,7),CLU!$Z$3:$AH$18,6)),GL166,GK166)</f>
        <v>#N/A</v>
      </c>
      <c r="DL166" s="355">
        <f>(Calculation!R166*0.69143*(Calculation!$BQ$8-Calculation!$F$8))*$S$14</f>
        <v>0</v>
      </c>
      <c r="DM166" s="359" t="e">
        <f t="shared" si="566"/>
        <v>#VALUE!</v>
      </c>
      <c r="DN166" s="611">
        <f t="shared" si="567"/>
        <v>0</v>
      </c>
      <c r="DO166" s="359">
        <f t="shared" si="568"/>
        <v>100</v>
      </c>
      <c r="DP166" s="359">
        <f t="shared" si="569"/>
        <v>0</v>
      </c>
      <c r="DQ166" s="360"/>
      <c r="DR166" s="245" t="e">
        <f ca="1">INDEX(INDIRECT(VLOOKUP(LEFT(BO166,7),CLU!$Z$3:$AH$18,7)),M166-1,1)</f>
        <v>#N/A</v>
      </c>
      <c r="DS166" s="245" t="e">
        <f ca="1">INDEX(INDIRECT(VLOOKUP(LEFT(BO166,7),CLU!$Z$3:$AH$18,7)),M166-1,2)</f>
        <v>#N/A</v>
      </c>
      <c r="DT166" s="245" t="e">
        <f ca="1">INDEX(INDIRECT(VLOOKUP(LEFT(BO166,7),CLU!$Z$3:$AH$18,7)),M166-1,3)</f>
        <v>#N/A</v>
      </c>
      <c r="DU166" s="245" t="e">
        <f ca="1">INDEX(INDIRECT(VLOOKUP(LEFT(BO166,7),CLU!$Z$3:$AH$18,7)),M166-1,4)</f>
        <v>#N/A</v>
      </c>
      <c r="DV166" s="361" t="e">
        <f ca="1">INDEX(INDIRECT(VLOOKUP(LEFT(BO166,7),CLU!$Z$3:$AH$18,7)),M166-1,4+LEFT(DZ166,1)*0.5)</f>
        <v>#N/A</v>
      </c>
      <c r="DW166" s="245" t="e">
        <f ca="1">INDEX(INDIRECT(VLOOKUP(LEFT(BO166,7),CLU!$Z$3:$AH$18,7)),M166-1,8)</f>
        <v>#N/A</v>
      </c>
      <c r="DX166" s="361" t="str">
        <f t="shared" si="462"/>
        <v xml:space="preserve"> </v>
      </c>
      <c r="DY166" s="361" t="str">
        <f t="shared" si="463"/>
        <v xml:space="preserve"> </v>
      </c>
      <c r="DZ166" s="361" t="str">
        <f t="shared" si="464"/>
        <v xml:space="preserve"> </v>
      </c>
      <c r="EA166" s="362" t="str">
        <f t="shared" si="465"/>
        <v xml:space="preserve"> </v>
      </c>
      <c r="EB166" s="624" t="str">
        <f t="shared" si="570"/>
        <v xml:space="preserve"> </v>
      </c>
      <c r="EC166" s="361" t="e">
        <f ca="1">INDEX(INDIRECT(VLOOKUP(LEFT(BO166,7),CLU!$Z$3:$AH$18,7)),M166-1,4+LEFT(DZ166,1)*0.5)</f>
        <v>#N/A</v>
      </c>
      <c r="ED166" s="362" t="str">
        <f t="shared" si="466"/>
        <v xml:space="preserve"> </v>
      </c>
      <c r="EE166" s="361" t="str">
        <f t="shared" si="467"/>
        <v xml:space="preserve"> </v>
      </c>
      <c r="EF166" s="362" t="str">
        <f>IF(L166&gt;0,IF(BR166&gt;0,IF(EE166="2P",IF(Calculation!DZ166="2P",IF(Calculation!DS166=13.75,IF(Calculation!DR166=13,Worksheet!$BD$43,IF(Calculation!DR166=37,Worksheet!$BD$44,Worksheet!$BD$45)),IF(Calculation!DS166=10,IF(Calculation!DR166=18,Worksheet!$BD$29,IF(Calculation!DR166=30,Worksheet!$BD$30,IF(Calculation!DR166=42,Worksheet!$BD$31,IF(Calculation!DR166=54,Worksheet!$BD$32,IF(Calculation!DR166=66,Worksheet!$BD$33,IF(Calculation!DR166=78,Worksheet!$BD$34,IF(Calculation!DR166=90,Worksheet!$BD$35,IF(Calculation!DR166=102,Worksheet!$BD$36,Worksheet!$BD$37)))))))),IF(Calculation!DS166=12.5,IF(Calculation!DR166=18,Worksheet!$BD$38,IF(Calculation!DR166=Worksheet!$BD$39,IF(Calculation!DR166=42,Worksheet!$BD$40,IF(Calculation!DR166=54,Worksheet!$BD$41,Worksheet!$BD$42)))),IF(Calculation!DR166=18,Worksheet!$BD$11,IF(Calculation!DR166=30,Worksheet!$BD$12,IF(Calculation!DR166=42,Worksheet!$BD$13,IF(Calculation!DR166=54,Worksheet!$BD$14,IF(Calculation!DR166=66,Worksheet!$BD$15,IF(Calculation!DR166=78,Worksheet!$BD$16,IF(Calculation!DR166=90,Worksheet!$BD$17,IF(Calculation!DR166=102,Worksheet!$BD$18,Worksheet!$BD$19))))))))))),IF(Calculation!DS166=13.75,IF(Calculation!DR166=13,Worksheet!$BD$78,IF(Calculation!DR166=37,Worksheet!$BD$79,Worksheet!$BD$80)),IF(Calculation!DS166=10,IF(Calculation!DR166=18,Worksheet!$BD$64,IF(Calculation!DR166=30,Worksheet!$BD$65,IF(Calculation!DR166=42,Worksheet!$BD$66,IF(Calculation!DR166=54,Worksheet!$BD$68,IF(Calculation!DR166=66,Worksheet!$BD$68,IF(Calculation!DR166=78,Worksheet!$BD$69,IF(Calculation!DR166=90,Worksheet!$BD$70,IF(Calculation!DR166=102,Worksheet!$BD$71,Worksheet!$BD$72)))))))),IF(Calculation!DS166=12.5,IF(Calculation!DR166=18,Worksheet!$BD$73,IF(Calculation!DR166=Worksheet!$BD$74,IF(Calculation!DR166=42,Worksheet!$BD$75,IF(Calculation!DR166=54,Worksheet!$BD$76,Worksheet!$BD$77)))),IF(Calculation!DR166=18,Worksheet!$BD$55,IF(Calculation!DR166=30,Worksheet!$BD$56,IF(Calculation!DR166=42,Worksheet!$BD$57,IF(Calculation!DR166=54,Worksheet!$BD$58,IF(Calculation!DR166=66,Worksheet!$BD$59,IF(Calculation!DR166=78,Worksheet!$BD$60,IF(Calculation!DR166=90,Worksheet!$BD$61,IF(Calculation!DR166=102,Worksheet!$BD$62,Worksheet!$BD$63)))))))))))),5),0)," ")</f>
        <v xml:space="preserve"> </v>
      </c>
      <c r="EG166" s="361" t="str">
        <f t="shared" si="468"/>
        <v xml:space="preserve"> </v>
      </c>
      <c r="EH166" s="361" t="e">
        <f ca="1">INDEX(INDIRECT(VLOOKUP(LEFT(BO166,7),CLU!$Z$3:$AH$18,7)),M166-1,3+LEFT(DZ166,1))</f>
        <v>#N/A</v>
      </c>
      <c r="EI166" s="362" t="str">
        <f t="shared" si="469"/>
        <v xml:space="preserve"> </v>
      </c>
      <c r="EJ166" s="363" t="str">
        <f t="shared" si="470"/>
        <v xml:space="preserve"> </v>
      </c>
      <c r="EK166" s="363" t="str">
        <f t="shared" si="471"/>
        <v xml:space="preserve"> </v>
      </c>
      <c r="EL166" s="363" t="str">
        <f t="shared" si="472"/>
        <v xml:space="preserve"> </v>
      </c>
      <c r="EM166" s="362" t="str">
        <f>IF(L166&gt;0,IF(BR166&gt;0,(Calculation!T166/ED166)^2,0)," ")</f>
        <v xml:space="preserve"> </v>
      </c>
      <c r="EN166" s="362" t="str">
        <f>IF(L166&gt;0,IF(O166="2 Pipe (Cooling)","N/A",IF(BR166&gt;0,(Calculation!U166/EI166)^2,0))," ")</f>
        <v xml:space="preserve"> </v>
      </c>
      <c r="EO166" s="361" t="str">
        <f t="shared" si="473"/>
        <v/>
      </c>
      <c r="EP166" s="361" t="str">
        <f t="shared" si="474"/>
        <v/>
      </c>
      <c r="EQ166" s="361" t="str">
        <f t="shared" si="475"/>
        <v/>
      </c>
      <c r="ER166" s="361" t="str">
        <f t="shared" si="476"/>
        <v/>
      </c>
      <c r="ES166" s="361" t="str">
        <f t="shared" si="477"/>
        <v/>
      </c>
      <c r="ET166" s="361" t="str">
        <f t="shared" si="478"/>
        <v/>
      </c>
      <c r="EU166" s="361" t="str">
        <f t="shared" si="479"/>
        <v/>
      </c>
      <c r="EV166" s="361" t="str">
        <f t="shared" si="480"/>
        <v/>
      </c>
      <c r="EW166" s="361" t="str">
        <f t="shared" si="481"/>
        <v/>
      </c>
      <c r="EX166" s="361" t="str">
        <f t="shared" si="571"/>
        <v>1 slot, 1 way</v>
      </c>
      <c r="EY166" s="361" t="str">
        <f t="shared" si="572"/>
        <v xml:space="preserve"> </v>
      </c>
      <c r="EZ166" s="361" t="str">
        <f t="shared" si="573"/>
        <v xml:space="preserve"> </v>
      </c>
      <c r="FA166" s="361" t="str">
        <f t="shared" si="574"/>
        <v xml:space="preserve"> </v>
      </c>
      <c r="FB166" s="361" t="str">
        <f t="shared" si="575"/>
        <v xml:space="preserve"> </v>
      </c>
      <c r="FC166" s="361"/>
      <c r="FD166" s="361" t="str">
        <f>IF(J166&gt;0,IF(Calculation!R166&lt;=70,4,IF(Calculation!R166&lt;=110,5,IF(Calculation!R166&lt;=160,6,IF(Calculation!R166&lt;=300,8,"10 EO")))),"")</f>
        <v/>
      </c>
      <c r="FE166" s="361" t="str">
        <f t="shared" si="576"/>
        <v/>
      </c>
      <c r="FF166" s="361" t="str">
        <f t="shared" si="577"/>
        <v/>
      </c>
      <c r="FG166" s="361" t="e">
        <f t="shared" si="482"/>
        <v>#N/A</v>
      </c>
      <c r="FH166" s="361">
        <f t="shared" si="483"/>
        <v>0</v>
      </c>
      <c r="FI166" s="361" t="e">
        <f t="shared" si="484"/>
        <v>#DIV/0!</v>
      </c>
      <c r="FJ166" s="361"/>
      <c r="FK166" s="356" t="e">
        <f t="shared" si="485"/>
        <v>#VALUE!</v>
      </c>
      <c r="FL166" s="361"/>
      <c r="FM166" s="361"/>
      <c r="FN166" s="362" t="str">
        <f t="shared" si="578"/>
        <v xml:space="preserve"> </v>
      </c>
      <c r="FO166" s="362" t="str">
        <f t="shared" si="579"/>
        <v xml:space="preserve"> </v>
      </c>
      <c r="FP166" s="362">
        <f t="shared" si="580"/>
        <v>0</v>
      </c>
      <c r="FQ166" s="361">
        <f t="shared" si="486"/>
        <v>0</v>
      </c>
      <c r="FR166" s="362" t="str">
        <f>IF(L166&gt;0,IF(J166="CBAL2",Worksheet!$P$67,IF(J166="CBE2-24",Worksheet!$Q$67,IF(J166="CBAM",Worksheet!$R$67,IF(J166="CBLV",Worksheet!$S$67,IF(J166="CBAB",Worksheet!$U$67,IF(J166="CBAW",Worksheet!$X$67,IF(J166="CBE2-12",Worksheet!$Y$67,IF(J166="CBAL2",Worksheet!$Z$67,"N/A"))))))))," ")</f>
        <v xml:space="preserve"> </v>
      </c>
      <c r="FS166" s="362" t="str">
        <f>IF(L166&gt;0,IF(J166="CBAL2",Worksheet!$P$68,IF(J166="CBE2-24",Worksheet!$Q$68,IF(J166="CBAM",Worksheet!$R$68,IF(J166="CBLV",Worksheet!$S$68,IF(J166="CBAB",Worksheet!$U$68,IF(J166="CBAW",Worksheet!$X$68,IF(J166="CBE2-12",Worksheet!$Y$68,IF(J166="CBAL2",Worksheet!$Z$68,"N/A"))))))))," ")</f>
        <v xml:space="preserve"> </v>
      </c>
      <c r="FT166" s="362" t="str">
        <f>IF(L166&gt;0,IF(J166="CBAL2",Worksheet!$P$69,IF(J166="CBE2-24",Worksheet!$Q$69,IF(J166="CBAM",Worksheet!$R$69,IF(J166="CBLV",Worksheet!$S$69,IF(J166="CBAB",Worksheet!$U$69,IF(J166="CBAW",Worksheet!$X$69,IF(J166="CBE2-12",Worksheet!$Y$69,IF(J166="CBAL2",Worksheet!$Z$69,"N/A"))))))))," ")</f>
        <v xml:space="preserve"> </v>
      </c>
      <c r="FU166" s="361" t="str">
        <f t="shared" si="581"/>
        <v xml:space="preserve"> </v>
      </c>
      <c r="FV166" s="362" t="str">
        <f t="shared" si="582"/>
        <v xml:space="preserve"> </v>
      </c>
      <c r="FW166" s="362" t="str">
        <f t="shared" si="583"/>
        <v xml:space="preserve"> </v>
      </c>
      <c r="FX166" s="362" t="str">
        <f t="shared" si="584"/>
        <v xml:space="preserve"> </v>
      </c>
      <c r="FY166" s="355" t="str">
        <f t="shared" si="585"/>
        <v xml:space="preserve"> </v>
      </c>
      <c r="FZ166" s="361" t="str">
        <f t="shared" si="586"/>
        <v xml:space="preserve"> </v>
      </c>
      <c r="GA166" s="347" t="str">
        <f t="shared" si="587"/>
        <v xml:space="preserve"> </v>
      </c>
      <c r="GB166" s="355" t="str">
        <f t="shared" si="588"/>
        <v xml:space="preserve"> </v>
      </c>
      <c r="GC166" s="328" t="str">
        <f t="shared" si="589"/>
        <v xml:space="preserve"> </v>
      </c>
      <c r="GD166" s="361" t="str">
        <f t="shared" si="590"/>
        <v xml:space="preserve"> </v>
      </c>
      <c r="GE166" s="347" t="str">
        <f t="shared" si="591"/>
        <v xml:space="preserve"> </v>
      </c>
      <c r="GF166" s="361" t="str">
        <f t="shared" si="592"/>
        <v xml:space="preserve"> </v>
      </c>
      <c r="GG166" s="347" t="str">
        <f t="shared" si="593"/>
        <v xml:space="preserve"> </v>
      </c>
      <c r="GH166" s="364">
        <f t="shared" si="487"/>
        <v>0</v>
      </c>
      <c r="GI166" s="362">
        <f t="shared" si="594"/>
        <v>2</v>
      </c>
      <c r="GJ166" s="433" t="e">
        <f>IF(6-COUNTBLANK(GT166:GY166)=4,MATCH(MID(BO166,9,3),CLU!$H$16:$K$16),MATCH(MID(BO166,9,3),CLU!$H$13:$M$13))</f>
        <v>#N/A</v>
      </c>
      <c r="GK166" s="433" t="e">
        <f>HLOOKUP(VALUE(BP166),CLU!$H$9:$M$10,2)</f>
        <v>#VALUE!</v>
      </c>
      <c r="GL166" s="433" t="e">
        <f ca="1">MATCH(BU166,CLU!$H$2:$V$2,1)</f>
        <v>#VALUE!</v>
      </c>
      <c r="GM166" s="433" t="e">
        <f t="shared" ca="1" si="595"/>
        <v>#VALUE!</v>
      </c>
      <c r="GN166" s="433" t="e">
        <f t="shared" ca="1" si="596"/>
        <v>#VALUE!</v>
      </c>
      <c r="GO166" s="433" t="e">
        <f t="shared" ca="1" si="597"/>
        <v>#VALUE!</v>
      </c>
      <c r="GP166" s="433" t="e">
        <f t="shared" ca="1" si="598"/>
        <v>#VALUE!</v>
      </c>
      <c r="GQ166" s="433" t="e">
        <f t="shared" ca="1" si="599"/>
        <v>#VALUE!</v>
      </c>
      <c r="GR166" s="433" t="e">
        <f ca="1">MATCH(T166,INDIRECT(VLOOKUP(CONCATENATE(LEFT(BO166,7),"-",MID(BO166,13,1)),CLU!$P$3:$Q$16,2)),1)</f>
        <v>#N/A</v>
      </c>
      <c r="GS166" s="433" t="e">
        <f ca="1">MATCH(U166,INDIRECT(VLOOKUP(CONCATENATE(LEFT(BO166,7),"-",MID(BO166,13,1)),CLU!$P$3:$Q$16,2)),1)</f>
        <v>#N/A</v>
      </c>
      <c r="GT166" s="347" t="s">
        <v>512</v>
      </c>
      <c r="GU166" s="97" t="s">
        <v>513</v>
      </c>
      <c r="GV166" s="97" t="str">
        <f t="shared" si="600"/>
        <v>M23</v>
      </c>
      <c r="GW166" s="97" t="str">
        <f t="shared" si="601"/>
        <v>M31</v>
      </c>
      <c r="GX166" s="97" t="str">
        <f t="shared" si="602"/>
        <v/>
      </c>
      <c r="GY166" s="97" t="str">
        <f t="shared" si="603"/>
        <v/>
      </c>
      <c r="GZ166" s="481"/>
      <c r="HA166" s="288"/>
      <c r="HB166" s="240"/>
      <c r="HC166" s="240"/>
      <c r="HD166" s="240"/>
      <c r="HE166" s="240"/>
      <c r="HF166" s="240"/>
      <c r="HG166" s="240"/>
      <c r="HH166" s="240"/>
      <c r="HI166" s="240"/>
      <c r="HJ166" s="240"/>
      <c r="HK166" s="240"/>
      <c r="HL166" s="240"/>
      <c r="HM166" s="240"/>
      <c r="HN166" s="240"/>
      <c r="HO166" s="240"/>
      <c r="HP166" s="240"/>
      <c r="HQ166" s="240"/>
      <c r="HR166" s="240"/>
      <c r="HS166" s="240"/>
      <c r="HT166" s="240"/>
      <c r="HU166" s="240"/>
      <c r="HV166" s="245"/>
      <c r="HW166" s="245" t="b">
        <v>1</v>
      </c>
      <c r="HX166" s="245" t="str">
        <f t="shared" si="488"/>
        <v/>
      </c>
      <c r="HY166" s="245" t="e">
        <f t="shared" si="489"/>
        <v>#DIV/0!</v>
      </c>
      <c r="HZ166" s="245" t="e">
        <f t="shared" si="490"/>
        <v>#DIV/0!</v>
      </c>
      <c r="IA166" s="245">
        <f t="shared" si="491"/>
        <v>0</v>
      </c>
      <c r="IB166" s="245"/>
      <c r="IC166" t="b">
        <f t="shared" si="492"/>
        <v>1</v>
      </c>
      <c r="ID166" s="245" t="b">
        <f t="shared" si="493"/>
        <v>1</v>
      </c>
      <c r="IE166" s="245" t="b">
        <f t="shared" si="494"/>
        <v>1</v>
      </c>
      <c r="IF166" s="245" t="b">
        <f t="shared" si="495"/>
        <v>0</v>
      </c>
      <c r="IG166" s="245" t="b">
        <f t="shared" si="496"/>
        <v>1</v>
      </c>
      <c r="IH166" s="245" t="b">
        <f t="shared" si="497"/>
        <v>1</v>
      </c>
      <c r="II166" s="245">
        <f t="shared" si="604"/>
        <v>0</v>
      </c>
      <c r="IJ166" s="245" t="e">
        <f t="shared" si="498"/>
        <v>#VALUE!</v>
      </c>
      <c r="IK166" s="245" t="e">
        <f t="shared" si="499"/>
        <v>#VALUE!</v>
      </c>
      <c r="IL166" s="245"/>
      <c r="IM166" s="245" t="e">
        <f t="shared" si="605"/>
        <v>#N/A</v>
      </c>
      <c r="IN166" s="245" t="e">
        <f t="shared" si="606"/>
        <v>#N/A</v>
      </c>
      <c r="IO166" s="245"/>
      <c r="IP166" s="245"/>
      <c r="IQ166" s="245" t="str">
        <f t="shared" si="500"/>
        <v/>
      </c>
      <c r="IR166" s="245" t="str">
        <f>IF(J166="","",VLOOKUP(J166,Worksheet!$R$4:$T$14,2))</f>
        <v/>
      </c>
      <c r="IS166" s="245"/>
      <c r="IT166" s="245">
        <f t="shared" si="501"/>
        <v>0</v>
      </c>
      <c r="IU166" s="245">
        <f t="shared" si="502"/>
        <v>0</v>
      </c>
      <c r="IV166" s="245">
        <f t="shared" si="503"/>
        <v>0</v>
      </c>
      <c r="IW166" s="245">
        <f t="shared" si="504"/>
        <v>0</v>
      </c>
      <c r="IX166" s="245">
        <f t="shared" si="607"/>
        <v>0</v>
      </c>
      <c r="IY166" s="245">
        <f t="shared" si="505"/>
        <v>0</v>
      </c>
      <c r="IZ166" s="245">
        <f t="shared" si="506"/>
        <v>0</v>
      </c>
      <c r="JA166">
        <f t="shared" si="507"/>
        <v>0</v>
      </c>
      <c r="JB166">
        <f t="shared" si="608"/>
        <v>0</v>
      </c>
      <c r="JC166">
        <f t="shared" si="508"/>
        <v>0</v>
      </c>
      <c r="JD166">
        <f t="shared" si="509"/>
        <v>0</v>
      </c>
      <c r="JE166">
        <f t="shared" si="510"/>
        <v>0</v>
      </c>
      <c r="JF166">
        <f t="shared" si="511"/>
        <v>0</v>
      </c>
      <c r="JG166">
        <f t="shared" si="512"/>
        <v>0</v>
      </c>
      <c r="JH166">
        <f t="shared" si="513"/>
        <v>0</v>
      </c>
      <c r="JI166">
        <f t="shared" si="514"/>
        <v>0</v>
      </c>
      <c r="JJ166" s="447">
        <f t="shared" si="515"/>
        <v>0</v>
      </c>
      <c r="JK166" s="447">
        <f t="shared" si="516"/>
        <v>0</v>
      </c>
      <c r="JL166">
        <f t="shared" si="517"/>
        <v>0</v>
      </c>
      <c r="JM166" s="245" t="str">
        <f>IFERROR(VLOOKUP(MATCH(BN166,#REF!,0),#REF!,7),"")</f>
        <v/>
      </c>
      <c r="JN166" t="e">
        <f>HLOOKUP(LEFT(BO166,7),Discharge_Area,MATCH(JO166,LookUps!$B$130:$B$149,1)+2)</f>
        <v>#N/A</v>
      </c>
      <c r="JO166" t="str">
        <f t="shared" si="518"/>
        <v>- S</v>
      </c>
      <c r="JP166" t="e">
        <f>HLOOKUP(LEFT(BO166,7),Discharge_Area,MATCH(JO166,LookUps!$B$130:$B$149,1)+2)</f>
        <v>#N/A</v>
      </c>
      <c r="JQ166" t="e">
        <f t="shared" si="519"/>
        <v>#N/A</v>
      </c>
      <c r="JR166" t="e">
        <f t="shared" si="520"/>
        <v>#N/A</v>
      </c>
      <c r="JS166" t="e">
        <f t="shared" si="521"/>
        <v>#N/A</v>
      </c>
      <c r="JT166" s="532" t="str">
        <f t="shared" si="522"/>
        <v xml:space="preserve"> </v>
      </c>
      <c r="JU166" s="532" t="str">
        <f t="shared" si="523"/>
        <v xml:space="preserve"> </v>
      </c>
      <c r="JV166" s="533" t="str">
        <f t="shared" si="524"/>
        <v xml:space="preserve"> </v>
      </c>
      <c r="JW166" s="534">
        <f t="shared" si="525"/>
        <v>0</v>
      </c>
      <c r="JX166" s="535" t="str">
        <f t="shared" si="609"/>
        <v xml:space="preserve"> </v>
      </c>
      <c r="JY166" s="535" t="str">
        <f t="shared" si="610"/>
        <v xml:space="preserve"> </v>
      </c>
      <c r="JZ166" s="535" t="str">
        <f t="shared" si="611"/>
        <v xml:space="preserve"> </v>
      </c>
      <c r="KA166" s="536" t="str">
        <f t="shared" si="526"/>
        <v xml:space="preserve"> </v>
      </c>
      <c r="KB166" s="535" t="e">
        <f t="shared" si="612"/>
        <v>#VALUE!</v>
      </c>
      <c r="KC166" s="535" t="str">
        <f t="shared" si="527"/>
        <v/>
      </c>
      <c r="KD166" s="537" t="str">
        <f t="shared" si="613"/>
        <v xml:space="preserve"> </v>
      </c>
      <c r="KE166" s="537" t="str">
        <f t="shared" si="614"/>
        <v xml:space="preserve"> </v>
      </c>
      <c r="KF166" s="534">
        <f t="shared" si="528"/>
        <v>0</v>
      </c>
      <c r="KG166" s="535" t="str">
        <f t="shared" si="529"/>
        <v xml:space="preserve"> </v>
      </c>
      <c r="KH166" s="535" t="str">
        <f t="shared" si="530"/>
        <v xml:space="preserve"> </v>
      </c>
      <c r="KI166" s="535" t="str">
        <f t="shared" si="531"/>
        <v xml:space="preserve"> </v>
      </c>
      <c r="KJ166" s="536" t="str">
        <f t="shared" si="532"/>
        <v xml:space="preserve"> </v>
      </c>
      <c r="KK166" s="535" t="str">
        <f t="shared" si="615"/>
        <v xml:space="preserve"> </v>
      </c>
      <c r="KL166" s="535" t="str">
        <f t="shared" si="616"/>
        <v xml:space="preserve"> </v>
      </c>
      <c r="KM166" s="537" t="str">
        <f t="shared" si="533"/>
        <v xml:space="preserve"> </v>
      </c>
      <c r="KN166" s="537" t="str">
        <f t="shared" si="617"/>
        <v xml:space="preserve"> </v>
      </c>
      <c r="KP166">
        <f t="shared" si="534"/>
        <v>0</v>
      </c>
      <c r="LA166" t="e">
        <f t="shared" si="535"/>
        <v>#VALUE!</v>
      </c>
      <c r="LB166" t="e">
        <f t="shared" si="536"/>
        <v>#VALUE!</v>
      </c>
      <c r="LC166" t="e">
        <f t="shared" si="537"/>
        <v>#VALUE!</v>
      </c>
      <c r="LD166" t="e">
        <f t="shared" si="538"/>
        <v>#VALUE!</v>
      </c>
      <c r="LE166" t="e">
        <f t="shared" si="618"/>
        <v>#VALUE!</v>
      </c>
      <c r="LF166">
        <f t="shared" si="539"/>
        <v>0</v>
      </c>
      <c r="LG166" t="e">
        <f t="shared" si="619"/>
        <v>#VALUE!</v>
      </c>
      <c r="LH166" t="str">
        <f t="shared" si="540"/>
        <v xml:space="preserve"> </v>
      </c>
      <c r="LI166">
        <f t="shared" si="620"/>
        <v>1</v>
      </c>
    </row>
    <row r="167" spans="2:321" ht="15" customHeight="1">
      <c r="B167" s="311"/>
      <c r="C167" s="311"/>
      <c r="D167" s="312"/>
      <c r="E167" s="311"/>
      <c r="F167" s="312"/>
      <c r="G167" s="311"/>
      <c r="H167" s="311"/>
      <c r="I167" s="37"/>
      <c r="J167" s="311"/>
      <c r="K167" s="305" t="str">
        <f t="shared" si="541"/>
        <v/>
      </c>
      <c r="L167" s="313"/>
      <c r="M167" s="312"/>
      <c r="N167" s="311"/>
      <c r="O167" s="312"/>
      <c r="P167" s="311"/>
      <c r="Q167" s="305" t="str">
        <f t="shared" si="542"/>
        <v/>
      </c>
      <c r="R167" s="314"/>
      <c r="S167" s="450" t="str">
        <f t="shared" si="425"/>
        <v/>
      </c>
      <c r="T167" s="315"/>
      <c r="U167" s="315"/>
      <c r="W167" s="149" t="str">
        <f t="shared" si="426"/>
        <v xml:space="preserve"> </v>
      </c>
      <c r="X167" s="243" t="str">
        <f t="shared" si="427"/>
        <v xml:space="preserve"> </v>
      </c>
      <c r="Y167" s="150" t="str">
        <f t="shared" si="428"/>
        <v/>
      </c>
      <c r="Z167" s="149" t="str">
        <f t="shared" si="429"/>
        <v xml:space="preserve"> </v>
      </c>
      <c r="AA167" s="98" t="str">
        <f t="shared" si="430"/>
        <v xml:space="preserve"> </v>
      </c>
      <c r="AB167" s="153" t="str">
        <f t="shared" si="431"/>
        <v xml:space="preserve"> </v>
      </c>
      <c r="AC167" s="153" t="str">
        <f t="shared" si="432"/>
        <v xml:space="preserve"> </v>
      </c>
      <c r="AD167" s="148" t="str">
        <f t="shared" si="433"/>
        <v/>
      </c>
      <c r="AE167" s="149" t="str">
        <f t="shared" si="434"/>
        <v/>
      </c>
      <c r="AF167" s="151" t="str">
        <f t="shared" si="435"/>
        <v xml:space="preserve"> </v>
      </c>
      <c r="AG167" s="153" t="str">
        <f t="shared" si="436"/>
        <v xml:space="preserve"> </v>
      </c>
      <c r="AH167" s="98" t="str">
        <f t="shared" si="437"/>
        <v xml:space="preserve"> </v>
      </c>
      <c r="AI167" s="149" t="str">
        <f t="shared" si="438"/>
        <v xml:space="preserve"> </v>
      </c>
      <c r="AK167" s="144" t="str">
        <f t="shared" si="439"/>
        <v xml:space="preserve"> </v>
      </c>
      <c r="AL167" s="144"/>
      <c r="AM167" s="243" t="str">
        <f t="shared" si="440"/>
        <v xml:space="preserve"> </v>
      </c>
      <c r="AN167" s="149" t="str">
        <f t="shared" si="543"/>
        <v xml:space="preserve"> </v>
      </c>
      <c r="AO167" s="144" t="str">
        <f>IF(JB167&gt;0,IF(GI167=10,-R167*1.085*(Calculation!$F$6-Calculation!$F$13)*$S$14," "),"")</f>
        <v/>
      </c>
      <c r="AP167" s="144" t="str">
        <f t="shared" si="441"/>
        <v/>
      </c>
      <c r="AQ167" s="56" t="str">
        <f t="shared" si="442"/>
        <v/>
      </c>
      <c r="AR167" s="144" t="str">
        <f t="shared" si="443"/>
        <v/>
      </c>
      <c r="AS167" s="176" t="str">
        <f t="shared" si="444"/>
        <v/>
      </c>
      <c r="AT167" s="176" t="str">
        <f t="shared" si="544"/>
        <v xml:space="preserve"> </v>
      </c>
      <c r="AU167" s="176" t="str">
        <f t="shared" si="445"/>
        <v/>
      </c>
      <c r="AV167" s="177" t="str">
        <f t="shared" si="446"/>
        <v xml:space="preserve"> </v>
      </c>
      <c r="AW167" s="144" t="str">
        <f t="shared" si="447"/>
        <v xml:space="preserve"> </v>
      </c>
      <c r="AX167" s="144" t="str">
        <f t="shared" si="448"/>
        <v xml:space="preserve"> </v>
      </c>
      <c r="AY167" s="152" t="str">
        <f t="shared" si="449"/>
        <v xml:space="preserve"> </v>
      </c>
      <c r="AZ167" s="246" t="str">
        <f t="shared" si="450"/>
        <v/>
      </c>
      <c r="BA167" s="176" t="str">
        <f t="shared" si="451"/>
        <v xml:space="preserve"> </v>
      </c>
      <c r="BB167" s="176" t="str">
        <f t="shared" si="452"/>
        <v xml:space="preserve"> </v>
      </c>
      <c r="BC167" s="195"/>
      <c r="BD167" s="316"/>
      <c r="BE167" s="317"/>
      <c r="BF167" s="318"/>
      <c r="BG167" s="318"/>
      <c r="BH167" s="144" t="str">
        <f t="shared" si="621"/>
        <v xml:space="preserve"> </v>
      </c>
      <c r="BI167" s="176" t="str">
        <f t="shared" si="453"/>
        <v/>
      </c>
      <c r="BJ167" s="144" t="str">
        <f t="shared" si="622"/>
        <v/>
      </c>
      <c r="BK167" s="246" t="str">
        <f t="shared" si="454"/>
        <v/>
      </c>
      <c r="BL167" s="144" t="str">
        <f t="shared" si="623"/>
        <v/>
      </c>
      <c r="BM167" s="246" t="str">
        <f t="shared" si="455"/>
        <v/>
      </c>
      <c r="BN167" s="337" t="str">
        <f t="shared" si="545"/>
        <v/>
      </c>
      <c r="BO167" s="371" t="str">
        <f t="shared" si="546"/>
        <v/>
      </c>
      <c r="BP167" s="328" t="str">
        <f t="shared" si="624"/>
        <v xml:space="preserve"> </v>
      </c>
      <c r="BQ167" s="347" t="str">
        <f t="shared" si="547"/>
        <v xml:space="preserve"> </v>
      </c>
      <c r="BR167" s="353" t="str">
        <f t="shared" si="548"/>
        <v xml:space="preserve"> </v>
      </c>
      <c r="BS167" s="626" t="str">
        <f>IF(L167&gt;0,IF(Calculation!P167="M13",BR167*3.1416*(0.134^2)/(4*144),IF(Calculation!P167="M17",BR167*3.1416*(0.165^2)/(4*144),IF(Calculation!P167="M20",BR167*3.1416*(0.198^2)/(4*144),IF(Calculation!P167="M23",BR167*3.1416*(0.228^2)/(4*144),IF(Calculation!P167="M27",BR167*3.1416*(0.269^2)/(4*144),BR167*3.1416*(0.307^2)/(4*144))))))," ")</f>
        <v xml:space="preserve"> </v>
      </c>
      <c r="BT167" s="353" t="str">
        <f>IF(L167&gt;0,IF(BS167&gt;0,R167/Calculation!BS167,0)," ")</f>
        <v xml:space="preserve"> </v>
      </c>
      <c r="BU167" s="438" t="e">
        <f t="shared" ca="1" si="456"/>
        <v>#VALUE!</v>
      </c>
      <c r="BV167" s="449" t="e">
        <f ca="1">INDEX(INDIRECT(VLOOKUP(LEFT(BO167,7),CLU!$Z$3:$AH$18,2)),GN167,GR167)</f>
        <v>#N/A</v>
      </c>
      <c r="BW167" s="433" t="e">
        <f ca="1">INDEX(INDIRECT(VLOOKUP(LEFT(BO167,7),CLU!$Z$3:$AH$18,3)),GN167,GR167)</f>
        <v>#N/A</v>
      </c>
      <c r="BX167" s="433" t="e">
        <f ca="1">INDEX(INDIRECT(VLOOKUP(LEFT(BO167,7),CLU!$Z$3:$AH$18,4)),GN167,GR167)</f>
        <v>#N/A</v>
      </c>
      <c r="BY167" s="433" t="e">
        <f ca="1">INDEX(INDIRECT(VLOOKUP(LEFT(BO167,7),CLU!$Z$3:$AH$18,9)),((M167-2)*(6-COUNTBLANK(GT167:GY167)))+GJ167)</f>
        <v>#N/A</v>
      </c>
      <c r="BZ167" s="426" t="e">
        <f t="shared" ca="1" si="549"/>
        <v>#N/A</v>
      </c>
      <c r="CA167" s="424" t="e">
        <f t="shared" ca="1" si="550"/>
        <v>#N/A</v>
      </c>
      <c r="CB167" s="429" t="e">
        <f ca="1">INDEX(INDIRECT(VLOOKUP(LEFT(BO167,7),CLU!$Z$3:$AH$18,2)),GN167,GS167)</f>
        <v>#N/A</v>
      </c>
      <c r="CC167" s="342" t="e">
        <f ca="1">INDEX(INDIRECT(VLOOKUP(LEFT(BO167,7),CLU!$Z$3:$AH$18,3)),GN167,GS167)</f>
        <v>#N/A</v>
      </c>
      <c r="CD167" s="342" t="e">
        <f ca="1">INDEX(INDIRECT(VLOOKUP(LEFT(BO167,7),CLU!$Z$3:$AH$18,4)),GN167,GS167)</f>
        <v>#N/A</v>
      </c>
      <c r="CE167" s="426" t="e">
        <f t="shared" ca="1" si="551"/>
        <v>#N/A</v>
      </c>
      <c r="CF167" s="440">
        <f t="shared" si="552"/>
        <v>0</v>
      </c>
      <c r="CG167" s="431" t="e">
        <f ca="1">INDEX(INDIRECT(VLOOKUP(LEFT(BO167,7),CLU!$Z$3:$AH$18,2)),GQ167,GR167)</f>
        <v>#N/A</v>
      </c>
      <c r="CH167" s="431" t="e">
        <f ca="1">INDEX(INDIRECT(VLOOKUP(LEFT(BO167,7),CLU!$Z$3:$AH$18,3)),GQ167,GR167)</f>
        <v>#N/A</v>
      </c>
      <c r="CI167" s="431" t="e">
        <f ca="1">INDEX(INDIRECT(VLOOKUP(LEFT(BO167,7),CLU!$Z$3:$AH$18,4)),GQ167,GR167)</f>
        <v>#N/A</v>
      </c>
      <c r="CJ167" s="448" t="e">
        <f t="shared" ca="1" si="553"/>
        <v>#N/A</v>
      </c>
      <c r="CK167" s="431" t="e">
        <f t="shared" ca="1" si="554"/>
        <v>#N/A</v>
      </c>
      <c r="CL167" s="440" t="e">
        <f t="shared" ca="1" si="555"/>
        <v>#N/A</v>
      </c>
      <c r="CM167" s="431" t="e">
        <f ca="1">INDEX(INDIRECT(VLOOKUP(LEFT(BO167,7),CLU!$Z$3:$AH$18,2)),GQ167,GS167)</f>
        <v>#N/A</v>
      </c>
      <c r="CN167" s="431" t="e">
        <f ca="1">INDEX(INDIRECT(VLOOKUP(LEFT(BO167,7),CLU!$Z$3:$AH$18,3)),GQ167,GS167)</f>
        <v>#N/A</v>
      </c>
      <c r="CO167" s="431" t="e">
        <f ca="1">INDEX(INDIRECT(VLOOKUP(LEFT(BO167,7),CLU!$Z$3:$AH$18,4)),GQ167,GS167)</f>
        <v>#N/A</v>
      </c>
      <c r="CP167" s="431" t="e">
        <f t="shared" ca="1" si="556"/>
        <v>#N/A</v>
      </c>
      <c r="CQ167" s="440">
        <f t="shared" si="557"/>
        <v>0</v>
      </c>
      <c r="CR167" s="51" t="e">
        <f t="shared" ca="1" si="558"/>
        <v>#N/A</v>
      </c>
      <c r="CS167" s="439" t="e">
        <f t="shared" ca="1" si="559"/>
        <v>#VALUE!</v>
      </c>
      <c r="CT167" s="51" t="e">
        <f t="shared" ca="1" si="560"/>
        <v>#VALUE!</v>
      </c>
      <c r="CU167" s="10"/>
      <c r="CV167" s="51" t="e">
        <f t="shared" ca="1" si="457"/>
        <v>#VALUE!</v>
      </c>
      <c r="CW167" s="51">
        <f t="shared" si="561"/>
        <v>0</v>
      </c>
      <c r="CX167" s="439" t="e">
        <f t="shared" ca="1" si="562"/>
        <v>#VALUE!</v>
      </c>
      <c r="CY167" s="51" t="e">
        <f t="shared" ca="1" si="563"/>
        <v>#VALUE!</v>
      </c>
      <c r="CZ167" s="10"/>
      <c r="DA167" s="51" t="e">
        <f t="shared" ca="1" si="564"/>
        <v>#VALUE!</v>
      </c>
      <c r="DB167" s="347" t="e">
        <f ca="1">INDEX(INDIRECT(VLOOKUP(LEFT(BO167,7),CLU!$Z$3:$AI$18,10)),((M167-2)*(6-COUNTBLANK(GT167:GY167)))+GJ167)*LI167</f>
        <v>#N/A</v>
      </c>
      <c r="DC167" s="347" t="str">
        <f>IF(L167&gt;0,((R167/Worksheet!$I$15)/DB167)^2," ")</f>
        <v xml:space="preserve"> </v>
      </c>
      <c r="DD167" s="602" t="str">
        <f t="shared" si="565"/>
        <v xml:space="preserve"> </v>
      </c>
      <c r="DE167" s="347" t="str">
        <f t="shared" si="458"/>
        <v xml:space="preserve"> </v>
      </c>
      <c r="DF167" s="356" t="e">
        <f ca="1">INDEX(INDIRECT(VLOOKUP(LEFT(BO167,7),CLU!$Z$3:$AH$18,8)),((M167-2)*(6-COUNTBLANK(GT167:GY167)))+GJ167)</f>
        <v>#N/A</v>
      </c>
      <c r="DG167" s="347" t="str">
        <f t="shared" si="459"/>
        <v xml:space="preserve"> </v>
      </c>
      <c r="DH167" s="357" t="str">
        <f t="shared" si="460"/>
        <v xml:space="preserve"> </v>
      </c>
      <c r="DI167" s="355" t="str">
        <f t="shared" si="461"/>
        <v xml:space="preserve"> </v>
      </c>
      <c r="DJ167" s="245" t="e">
        <f ca="1">INDEX(INDIRECT(VLOOKUP(LEFT(BO167,7),CLU!$Z$3:$AH$18,5)),GL167,GK167)</f>
        <v>#N/A</v>
      </c>
      <c r="DK167" s="245" t="e">
        <f ca="1">INDEX(INDIRECT(VLOOKUP(LEFT(BO167,7),CLU!$Z$3:$AH$18,6)),GL167,GK167)</f>
        <v>#N/A</v>
      </c>
      <c r="DL167" s="355">
        <f>(Calculation!R167*0.69143*(Calculation!$BQ$8-Calculation!$F$8))*$S$14</f>
        <v>0</v>
      </c>
      <c r="DM167" s="359" t="e">
        <f t="shared" si="566"/>
        <v>#VALUE!</v>
      </c>
      <c r="DN167" s="611">
        <f t="shared" si="567"/>
        <v>0</v>
      </c>
      <c r="DO167" s="359">
        <f t="shared" si="568"/>
        <v>100</v>
      </c>
      <c r="DP167" s="359">
        <f t="shared" si="569"/>
        <v>0</v>
      </c>
      <c r="DQ167" s="360"/>
      <c r="DR167" s="245" t="e">
        <f ca="1">INDEX(INDIRECT(VLOOKUP(LEFT(BO167,7),CLU!$Z$3:$AH$18,7)),M167-1,1)</f>
        <v>#N/A</v>
      </c>
      <c r="DS167" s="245" t="e">
        <f ca="1">INDEX(INDIRECT(VLOOKUP(LEFT(BO167,7),CLU!$Z$3:$AH$18,7)),M167-1,2)</f>
        <v>#N/A</v>
      </c>
      <c r="DT167" s="245" t="e">
        <f ca="1">INDEX(INDIRECT(VLOOKUP(LEFT(BO167,7),CLU!$Z$3:$AH$18,7)),M167-1,3)</f>
        <v>#N/A</v>
      </c>
      <c r="DU167" s="245" t="e">
        <f ca="1">INDEX(INDIRECT(VLOOKUP(LEFT(BO167,7),CLU!$Z$3:$AH$18,7)),M167-1,4)</f>
        <v>#N/A</v>
      </c>
      <c r="DV167" s="361" t="e">
        <f ca="1">INDEX(INDIRECT(VLOOKUP(LEFT(BO167,7),CLU!$Z$3:$AH$18,7)),M167-1,4+LEFT(DZ167,1)*0.5)</f>
        <v>#N/A</v>
      </c>
      <c r="DW167" s="245" t="e">
        <f ca="1">INDEX(INDIRECT(VLOOKUP(LEFT(BO167,7),CLU!$Z$3:$AH$18,7)),M167-1,8)</f>
        <v>#N/A</v>
      </c>
      <c r="DX167" s="361" t="str">
        <f t="shared" si="462"/>
        <v xml:space="preserve"> </v>
      </c>
      <c r="DY167" s="361" t="str">
        <f t="shared" si="463"/>
        <v xml:space="preserve"> </v>
      </c>
      <c r="DZ167" s="361" t="str">
        <f t="shared" si="464"/>
        <v xml:space="preserve"> </v>
      </c>
      <c r="EA167" s="362" t="str">
        <f t="shared" si="465"/>
        <v xml:space="preserve"> </v>
      </c>
      <c r="EB167" s="624" t="str">
        <f t="shared" si="570"/>
        <v xml:space="preserve"> </v>
      </c>
      <c r="EC167" s="361" t="e">
        <f ca="1">INDEX(INDIRECT(VLOOKUP(LEFT(BO167,7),CLU!$Z$3:$AH$18,7)),M167-1,4+LEFT(DZ167,1)*0.5)</f>
        <v>#N/A</v>
      </c>
      <c r="ED167" s="362" t="str">
        <f t="shared" si="466"/>
        <v xml:space="preserve"> </v>
      </c>
      <c r="EE167" s="361" t="str">
        <f t="shared" si="467"/>
        <v xml:space="preserve"> </v>
      </c>
      <c r="EF167" s="362" t="str">
        <f>IF(L167&gt;0,IF(BR167&gt;0,IF(EE167="2P",IF(Calculation!DZ167="2P",IF(Calculation!DS167=13.75,IF(Calculation!DR167=13,Worksheet!$BD$43,IF(Calculation!DR167=37,Worksheet!$BD$44,Worksheet!$BD$45)),IF(Calculation!DS167=10,IF(Calculation!DR167=18,Worksheet!$BD$29,IF(Calculation!DR167=30,Worksheet!$BD$30,IF(Calculation!DR167=42,Worksheet!$BD$31,IF(Calculation!DR167=54,Worksheet!$BD$32,IF(Calculation!DR167=66,Worksheet!$BD$33,IF(Calculation!DR167=78,Worksheet!$BD$34,IF(Calculation!DR167=90,Worksheet!$BD$35,IF(Calculation!DR167=102,Worksheet!$BD$36,Worksheet!$BD$37)))))))),IF(Calculation!DS167=12.5,IF(Calculation!DR167=18,Worksheet!$BD$38,IF(Calculation!DR167=Worksheet!$BD$39,IF(Calculation!DR167=42,Worksheet!$BD$40,IF(Calculation!DR167=54,Worksheet!$BD$41,Worksheet!$BD$42)))),IF(Calculation!DR167=18,Worksheet!$BD$11,IF(Calculation!DR167=30,Worksheet!$BD$12,IF(Calculation!DR167=42,Worksheet!$BD$13,IF(Calculation!DR167=54,Worksheet!$BD$14,IF(Calculation!DR167=66,Worksheet!$BD$15,IF(Calculation!DR167=78,Worksheet!$BD$16,IF(Calculation!DR167=90,Worksheet!$BD$17,IF(Calculation!DR167=102,Worksheet!$BD$18,Worksheet!$BD$19))))))))))),IF(Calculation!DS167=13.75,IF(Calculation!DR167=13,Worksheet!$BD$78,IF(Calculation!DR167=37,Worksheet!$BD$79,Worksheet!$BD$80)),IF(Calculation!DS167=10,IF(Calculation!DR167=18,Worksheet!$BD$64,IF(Calculation!DR167=30,Worksheet!$BD$65,IF(Calculation!DR167=42,Worksheet!$BD$66,IF(Calculation!DR167=54,Worksheet!$BD$68,IF(Calculation!DR167=66,Worksheet!$BD$68,IF(Calculation!DR167=78,Worksheet!$BD$69,IF(Calculation!DR167=90,Worksheet!$BD$70,IF(Calculation!DR167=102,Worksheet!$BD$71,Worksheet!$BD$72)))))))),IF(Calculation!DS167=12.5,IF(Calculation!DR167=18,Worksheet!$BD$73,IF(Calculation!DR167=Worksheet!$BD$74,IF(Calculation!DR167=42,Worksheet!$BD$75,IF(Calculation!DR167=54,Worksheet!$BD$76,Worksheet!$BD$77)))),IF(Calculation!DR167=18,Worksheet!$BD$55,IF(Calculation!DR167=30,Worksheet!$BD$56,IF(Calculation!DR167=42,Worksheet!$BD$57,IF(Calculation!DR167=54,Worksheet!$BD$58,IF(Calculation!DR167=66,Worksheet!$BD$59,IF(Calculation!DR167=78,Worksheet!$BD$60,IF(Calculation!DR167=90,Worksheet!$BD$61,IF(Calculation!DR167=102,Worksheet!$BD$62,Worksheet!$BD$63)))))))))))),5),0)," ")</f>
        <v xml:space="preserve"> </v>
      </c>
      <c r="EG167" s="361" t="str">
        <f t="shared" si="468"/>
        <v xml:space="preserve"> </v>
      </c>
      <c r="EH167" s="361" t="e">
        <f ca="1">INDEX(INDIRECT(VLOOKUP(LEFT(BO167,7),CLU!$Z$3:$AH$18,7)),M167-1,3+LEFT(DZ167,1))</f>
        <v>#N/A</v>
      </c>
      <c r="EI167" s="362" t="str">
        <f t="shared" si="469"/>
        <v xml:space="preserve"> </v>
      </c>
      <c r="EJ167" s="363" t="str">
        <f t="shared" si="470"/>
        <v xml:space="preserve"> </v>
      </c>
      <c r="EK167" s="363" t="str">
        <f t="shared" si="471"/>
        <v xml:space="preserve"> </v>
      </c>
      <c r="EL167" s="363" t="str">
        <f t="shared" si="472"/>
        <v xml:space="preserve"> </v>
      </c>
      <c r="EM167" s="362" t="str">
        <f>IF(L167&gt;0,IF(BR167&gt;0,(Calculation!T167/ED167)^2,0)," ")</f>
        <v xml:space="preserve"> </v>
      </c>
      <c r="EN167" s="362" t="str">
        <f>IF(L167&gt;0,IF(O167="2 Pipe (Cooling)","N/A",IF(BR167&gt;0,(Calculation!U167/EI167)^2,0))," ")</f>
        <v xml:space="preserve"> </v>
      </c>
      <c r="EO167" s="361" t="str">
        <f t="shared" si="473"/>
        <v/>
      </c>
      <c r="EP167" s="361" t="str">
        <f t="shared" si="474"/>
        <v/>
      </c>
      <c r="EQ167" s="361" t="str">
        <f t="shared" si="475"/>
        <v/>
      </c>
      <c r="ER167" s="361" t="str">
        <f t="shared" si="476"/>
        <v/>
      </c>
      <c r="ES167" s="361" t="str">
        <f t="shared" si="477"/>
        <v/>
      </c>
      <c r="ET167" s="361" t="str">
        <f t="shared" si="478"/>
        <v/>
      </c>
      <c r="EU167" s="361" t="str">
        <f t="shared" si="479"/>
        <v/>
      </c>
      <c r="EV167" s="361" t="str">
        <f t="shared" si="480"/>
        <v/>
      </c>
      <c r="EW167" s="361" t="str">
        <f t="shared" si="481"/>
        <v/>
      </c>
      <c r="EX167" s="361" t="str">
        <f t="shared" si="571"/>
        <v>1 slot, 1 way</v>
      </c>
      <c r="EY167" s="361" t="str">
        <f t="shared" si="572"/>
        <v xml:space="preserve"> </v>
      </c>
      <c r="EZ167" s="361" t="str">
        <f t="shared" si="573"/>
        <v xml:space="preserve"> </v>
      </c>
      <c r="FA167" s="361" t="str">
        <f t="shared" si="574"/>
        <v xml:space="preserve"> </v>
      </c>
      <c r="FB167" s="361" t="str">
        <f t="shared" si="575"/>
        <v xml:space="preserve"> </v>
      </c>
      <c r="FC167" s="361"/>
      <c r="FD167" s="361" t="str">
        <f>IF(J167&gt;0,IF(Calculation!R167&lt;=70,4,IF(Calculation!R167&lt;=110,5,IF(Calculation!R167&lt;=160,6,IF(Calculation!R167&lt;=300,8,"10 EO")))),"")</f>
        <v/>
      </c>
      <c r="FE167" s="361" t="str">
        <f t="shared" si="576"/>
        <v/>
      </c>
      <c r="FF167" s="361" t="str">
        <f t="shared" si="577"/>
        <v/>
      </c>
      <c r="FG167" s="361" t="e">
        <f t="shared" si="482"/>
        <v>#N/A</v>
      </c>
      <c r="FH167" s="361">
        <f t="shared" si="483"/>
        <v>0</v>
      </c>
      <c r="FI167" s="361" t="e">
        <f t="shared" si="484"/>
        <v>#DIV/0!</v>
      </c>
      <c r="FJ167" s="361"/>
      <c r="FK167" s="356" t="e">
        <f t="shared" si="485"/>
        <v>#VALUE!</v>
      </c>
      <c r="FL167" s="361"/>
      <c r="FM167" s="361"/>
      <c r="FN167" s="362" t="str">
        <f t="shared" si="578"/>
        <v xml:space="preserve"> </v>
      </c>
      <c r="FO167" s="362" t="str">
        <f t="shared" si="579"/>
        <v xml:space="preserve"> </v>
      </c>
      <c r="FP167" s="362">
        <f t="shared" si="580"/>
        <v>0</v>
      </c>
      <c r="FQ167" s="361">
        <f t="shared" si="486"/>
        <v>0</v>
      </c>
      <c r="FR167" s="362" t="str">
        <f>IF(L167&gt;0,IF(J167="CBAL2",Worksheet!$P$67,IF(J167="CBE2-24",Worksheet!$Q$67,IF(J167="CBAM",Worksheet!$R$67,IF(J167="CBLV",Worksheet!$S$67,IF(J167="CBAB",Worksheet!$U$67,IF(J167="CBAW",Worksheet!$X$67,IF(J167="CBE2-12",Worksheet!$Y$67,IF(J167="CBAL2",Worksheet!$Z$67,"N/A"))))))))," ")</f>
        <v xml:space="preserve"> </v>
      </c>
      <c r="FS167" s="362" t="str">
        <f>IF(L167&gt;0,IF(J167="CBAL2",Worksheet!$P$68,IF(J167="CBE2-24",Worksheet!$Q$68,IF(J167="CBAM",Worksheet!$R$68,IF(J167="CBLV",Worksheet!$S$68,IF(J167="CBAB",Worksheet!$U$68,IF(J167="CBAW",Worksheet!$X$68,IF(J167="CBE2-12",Worksheet!$Y$68,IF(J167="CBAL2",Worksheet!$Z$68,"N/A"))))))))," ")</f>
        <v xml:space="preserve"> </v>
      </c>
      <c r="FT167" s="362" t="str">
        <f>IF(L167&gt;0,IF(J167="CBAL2",Worksheet!$P$69,IF(J167="CBE2-24",Worksheet!$Q$69,IF(J167="CBAM",Worksheet!$R$69,IF(J167="CBLV",Worksheet!$S$69,IF(J167="CBAB",Worksheet!$U$69,IF(J167="CBAW",Worksheet!$X$69,IF(J167="CBE2-12",Worksheet!$Y$69,IF(J167="CBAL2",Worksheet!$Z$69,"N/A"))))))))," ")</f>
        <v xml:space="preserve"> </v>
      </c>
      <c r="FU167" s="361" t="str">
        <f t="shared" si="581"/>
        <v xml:space="preserve"> </v>
      </c>
      <c r="FV167" s="362" t="str">
        <f t="shared" si="582"/>
        <v xml:space="preserve"> </v>
      </c>
      <c r="FW167" s="362" t="str">
        <f t="shared" si="583"/>
        <v xml:space="preserve"> </v>
      </c>
      <c r="FX167" s="362" t="str">
        <f t="shared" si="584"/>
        <v xml:space="preserve"> </v>
      </c>
      <c r="FY167" s="355" t="str">
        <f t="shared" si="585"/>
        <v xml:space="preserve"> </v>
      </c>
      <c r="FZ167" s="361" t="str">
        <f t="shared" si="586"/>
        <v xml:space="preserve"> </v>
      </c>
      <c r="GA167" s="347" t="str">
        <f t="shared" si="587"/>
        <v xml:space="preserve"> </v>
      </c>
      <c r="GB167" s="355" t="str">
        <f t="shared" si="588"/>
        <v xml:space="preserve"> </v>
      </c>
      <c r="GC167" s="328" t="str">
        <f t="shared" si="589"/>
        <v xml:space="preserve"> </v>
      </c>
      <c r="GD167" s="361" t="str">
        <f t="shared" si="590"/>
        <v xml:space="preserve"> </v>
      </c>
      <c r="GE167" s="347" t="str">
        <f t="shared" si="591"/>
        <v xml:space="preserve"> </v>
      </c>
      <c r="GF167" s="361" t="str">
        <f t="shared" si="592"/>
        <v xml:space="preserve"> </v>
      </c>
      <c r="GG167" s="347" t="str">
        <f t="shared" si="593"/>
        <v xml:space="preserve"> </v>
      </c>
      <c r="GH167" s="364">
        <f t="shared" si="487"/>
        <v>0</v>
      </c>
      <c r="GI167" s="362">
        <f t="shared" si="594"/>
        <v>2</v>
      </c>
      <c r="GJ167" s="433" t="e">
        <f>IF(6-COUNTBLANK(GT167:GY167)=4,MATCH(MID(BO167,9,3),CLU!$H$16:$K$16),MATCH(MID(BO167,9,3),CLU!$H$13:$M$13))</f>
        <v>#N/A</v>
      </c>
      <c r="GK167" s="433" t="e">
        <f>HLOOKUP(VALUE(BP167),CLU!$H$9:$M$10,2)</f>
        <v>#VALUE!</v>
      </c>
      <c r="GL167" s="433" t="e">
        <f ca="1">MATCH(BU167,CLU!$H$2:$V$2,1)</f>
        <v>#VALUE!</v>
      </c>
      <c r="GM167" s="433" t="e">
        <f t="shared" ca="1" si="595"/>
        <v>#VALUE!</v>
      </c>
      <c r="GN167" s="433" t="e">
        <f t="shared" ca="1" si="596"/>
        <v>#VALUE!</v>
      </c>
      <c r="GO167" s="433" t="e">
        <f t="shared" ca="1" si="597"/>
        <v>#VALUE!</v>
      </c>
      <c r="GP167" s="433" t="e">
        <f t="shared" ca="1" si="598"/>
        <v>#VALUE!</v>
      </c>
      <c r="GQ167" s="433" t="e">
        <f t="shared" ca="1" si="599"/>
        <v>#VALUE!</v>
      </c>
      <c r="GR167" s="433" t="e">
        <f ca="1">MATCH(T167,INDIRECT(VLOOKUP(CONCATENATE(LEFT(BO167,7),"-",MID(BO167,13,1)),CLU!$P$3:$Q$16,2)),1)</f>
        <v>#N/A</v>
      </c>
      <c r="GS167" s="433" t="e">
        <f ca="1">MATCH(U167,INDIRECT(VLOOKUP(CONCATENATE(LEFT(BO167,7),"-",MID(BO167,13,1)),CLU!$P$3:$Q$16,2)),1)</f>
        <v>#N/A</v>
      </c>
      <c r="GT167" s="347" t="s">
        <v>512</v>
      </c>
      <c r="GU167" s="97" t="s">
        <v>513</v>
      </c>
      <c r="GV167" s="97" t="str">
        <f t="shared" si="600"/>
        <v>M23</v>
      </c>
      <c r="GW167" s="97" t="str">
        <f t="shared" si="601"/>
        <v>M31</v>
      </c>
      <c r="GX167" s="97" t="str">
        <f t="shared" si="602"/>
        <v/>
      </c>
      <c r="GY167" s="97" t="str">
        <f t="shared" si="603"/>
        <v/>
      </c>
      <c r="GZ167" s="481"/>
      <c r="HA167" s="288"/>
      <c r="HB167" s="240"/>
      <c r="HC167" s="240"/>
      <c r="HD167" s="240"/>
      <c r="HE167" s="240"/>
      <c r="HF167" s="240"/>
      <c r="HG167" s="240"/>
      <c r="HH167" s="240"/>
      <c r="HI167" s="240"/>
      <c r="HJ167" s="240"/>
      <c r="HK167" s="240"/>
      <c r="HL167" s="240"/>
      <c r="HM167" s="240"/>
      <c r="HN167" s="240"/>
      <c r="HO167" s="240"/>
      <c r="HP167" s="240"/>
      <c r="HQ167" s="240"/>
      <c r="HR167" s="240"/>
      <c r="HS167" s="240"/>
      <c r="HT167" s="240"/>
      <c r="HU167" s="240"/>
      <c r="HV167" s="245"/>
      <c r="HW167" s="245" t="b">
        <v>1</v>
      </c>
      <c r="HX167" s="245" t="str">
        <f t="shared" si="488"/>
        <v/>
      </c>
      <c r="HY167" s="245" t="e">
        <f t="shared" si="489"/>
        <v>#DIV/0!</v>
      </c>
      <c r="HZ167" s="245" t="e">
        <f t="shared" si="490"/>
        <v>#DIV/0!</v>
      </c>
      <c r="IA167" s="245">
        <f t="shared" si="491"/>
        <v>0</v>
      </c>
      <c r="IB167" s="245"/>
      <c r="IC167" t="b">
        <f t="shared" si="492"/>
        <v>1</v>
      </c>
      <c r="ID167" s="245" t="b">
        <f t="shared" si="493"/>
        <v>1</v>
      </c>
      <c r="IE167" s="245" t="b">
        <f t="shared" si="494"/>
        <v>1</v>
      </c>
      <c r="IF167" s="245" t="b">
        <f t="shared" si="495"/>
        <v>0</v>
      </c>
      <c r="IG167" s="245" t="b">
        <f t="shared" si="496"/>
        <v>1</v>
      </c>
      <c r="IH167" s="245" t="b">
        <f t="shared" si="497"/>
        <v>1</v>
      </c>
      <c r="II167" s="245">
        <f t="shared" si="604"/>
        <v>0</v>
      </c>
      <c r="IJ167" s="245" t="e">
        <f t="shared" si="498"/>
        <v>#VALUE!</v>
      </c>
      <c r="IK167" s="245" t="e">
        <f t="shared" si="499"/>
        <v>#VALUE!</v>
      </c>
      <c r="IL167" s="245"/>
      <c r="IM167" s="245" t="e">
        <f t="shared" si="605"/>
        <v>#N/A</v>
      </c>
      <c r="IN167" s="245" t="e">
        <f t="shared" si="606"/>
        <v>#N/A</v>
      </c>
      <c r="IO167" s="245"/>
      <c r="IP167" s="245"/>
      <c r="IQ167" s="245" t="str">
        <f t="shared" si="500"/>
        <v/>
      </c>
      <c r="IR167" s="245" t="str">
        <f>IF(J167="","",VLOOKUP(J167,Worksheet!$R$4:$T$14,2))</f>
        <v/>
      </c>
      <c r="IS167" s="245"/>
      <c r="IT167" s="245">
        <f t="shared" si="501"/>
        <v>0</v>
      </c>
      <c r="IU167" s="245">
        <f t="shared" si="502"/>
        <v>0</v>
      </c>
      <c r="IV167" s="245">
        <f t="shared" si="503"/>
        <v>0</v>
      </c>
      <c r="IW167" s="245">
        <f t="shared" si="504"/>
        <v>0</v>
      </c>
      <c r="IX167" s="245">
        <f t="shared" si="607"/>
        <v>0</v>
      </c>
      <c r="IY167" s="245">
        <f t="shared" si="505"/>
        <v>0</v>
      </c>
      <c r="IZ167" s="245">
        <f t="shared" si="506"/>
        <v>0</v>
      </c>
      <c r="JA167">
        <f t="shared" si="507"/>
        <v>0</v>
      </c>
      <c r="JB167">
        <f t="shared" si="608"/>
        <v>0</v>
      </c>
      <c r="JC167">
        <f t="shared" si="508"/>
        <v>0</v>
      </c>
      <c r="JD167">
        <f t="shared" si="509"/>
        <v>0</v>
      </c>
      <c r="JE167">
        <f t="shared" si="510"/>
        <v>0</v>
      </c>
      <c r="JF167">
        <f t="shared" si="511"/>
        <v>0</v>
      </c>
      <c r="JG167">
        <f t="shared" si="512"/>
        <v>0</v>
      </c>
      <c r="JH167">
        <f t="shared" si="513"/>
        <v>0</v>
      </c>
      <c r="JI167">
        <f t="shared" si="514"/>
        <v>0</v>
      </c>
      <c r="JJ167" s="447">
        <f t="shared" si="515"/>
        <v>0</v>
      </c>
      <c r="JK167" s="447">
        <f t="shared" si="516"/>
        <v>0</v>
      </c>
      <c r="JL167">
        <f t="shared" si="517"/>
        <v>0</v>
      </c>
      <c r="JM167" s="245" t="str">
        <f>IFERROR(VLOOKUP(MATCH(BN167,#REF!,0),#REF!,7),"")</f>
        <v/>
      </c>
      <c r="JN167" t="e">
        <f>HLOOKUP(LEFT(BO167,7),Discharge_Area,MATCH(JO167,LookUps!$B$130:$B$149,1)+2)</f>
        <v>#N/A</v>
      </c>
      <c r="JO167" t="str">
        <f t="shared" si="518"/>
        <v>- S</v>
      </c>
      <c r="JP167" t="e">
        <f>HLOOKUP(LEFT(BO167,7),Discharge_Area,MATCH(JO167,LookUps!$B$130:$B$149,1)+2)</f>
        <v>#N/A</v>
      </c>
      <c r="JQ167" t="e">
        <f t="shared" si="519"/>
        <v>#N/A</v>
      </c>
      <c r="JR167" t="e">
        <f t="shared" si="520"/>
        <v>#N/A</v>
      </c>
      <c r="JS167" t="e">
        <f t="shared" si="521"/>
        <v>#N/A</v>
      </c>
      <c r="JT167" s="532" t="str">
        <f t="shared" si="522"/>
        <v xml:space="preserve"> </v>
      </c>
      <c r="JU167" s="532" t="str">
        <f t="shared" si="523"/>
        <v xml:space="preserve"> </v>
      </c>
      <c r="JV167" s="533" t="str">
        <f t="shared" si="524"/>
        <v xml:space="preserve"> </v>
      </c>
      <c r="JW167" s="534">
        <f t="shared" si="525"/>
        <v>0</v>
      </c>
      <c r="JX167" s="535" t="str">
        <f t="shared" si="609"/>
        <v xml:space="preserve"> </v>
      </c>
      <c r="JY167" s="535" t="str">
        <f t="shared" si="610"/>
        <v xml:space="preserve"> </v>
      </c>
      <c r="JZ167" s="535" t="str">
        <f t="shared" si="611"/>
        <v xml:space="preserve"> </v>
      </c>
      <c r="KA167" s="536" t="str">
        <f t="shared" si="526"/>
        <v xml:space="preserve"> </v>
      </c>
      <c r="KB167" s="535" t="e">
        <f t="shared" si="612"/>
        <v>#VALUE!</v>
      </c>
      <c r="KC167" s="535" t="str">
        <f t="shared" si="527"/>
        <v/>
      </c>
      <c r="KD167" s="537" t="str">
        <f t="shared" si="613"/>
        <v xml:space="preserve"> </v>
      </c>
      <c r="KE167" s="537" t="str">
        <f t="shared" si="614"/>
        <v xml:space="preserve"> </v>
      </c>
      <c r="KF167" s="534">
        <f t="shared" si="528"/>
        <v>0</v>
      </c>
      <c r="KG167" s="535" t="str">
        <f t="shared" si="529"/>
        <v xml:space="preserve"> </v>
      </c>
      <c r="KH167" s="535" t="str">
        <f t="shared" si="530"/>
        <v xml:space="preserve"> </v>
      </c>
      <c r="KI167" s="535" t="str">
        <f t="shared" si="531"/>
        <v xml:space="preserve"> </v>
      </c>
      <c r="KJ167" s="536" t="str">
        <f t="shared" si="532"/>
        <v xml:space="preserve"> </v>
      </c>
      <c r="KK167" s="535" t="str">
        <f t="shared" si="615"/>
        <v xml:space="preserve"> </v>
      </c>
      <c r="KL167" s="535" t="str">
        <f t="shared" si="616"/>
        <v xml:space="preserve"> </v>
      </c>
      <c r="KM167" s="537" t="str">
        <f t="shared" si="533"/>
        <v xml:space="preserve"> </v>
      </c>
      <c r="KN167" s="537" t="str">
        <f t="shared" si="617"/>
        <v xml:space="preserve"> </v>
      </c>
      <c r="KP167">
        <f t="shared" si="534"/>
        <v>0</v>
      </c>
      <c r="LA167" t="e">
        <f t="shared" si="535"/>
        <v>#VALUE!</v>
      </c>
      <c r="LB167" t="e">
        <f t="shared" si="536"/>
        <v>#VALUE!</v>
      </c>
      <c r="LC167" t="e">
        <f t="shared" si="537"/>
        <v>#VALUE!</v>
      </c>
      <c r="LD167" t="e">
        <f t="shared" si="538"/>
        <v>#VALUE!</v>
      </c>
      <c r="LE167" t="e">
        <f t="shared" si="618"/>
        <v>#VALUE!</v>
      </c>
      <c r="LF167">
        <f t="shared" si="539"/>
        <v>0</v>
      </c>
      <c r="LG167" t="e">
        <f t="shared" si="619"/>
        <v>#VALUE!</v>
      </c>
      <c r="LH167" t="str">
        <f t="shared" si="540"/>
        <v xml:space="preserve"> </v>
      </c>
      <c r="LI167">
        <f t="shared" si="620"/>
        <v>1</v>
      </c>
    </row>
    <row r="168" spans="2:321" ht="15" customHeight="1">
      <c r="B168" s="311"/>
      <c r="C168" s="311"/>
      <c r="D168" s="312"/>
      <c r="E168" s="311"/>
      <c r="F168" s="312"/>
      <c r="G168" s="311"/>
      <c r="H168" s="311"/>
      <c r="I168" s="37"/>
      <c r="J168" s="311"/>
      <c r="K168" s="305" t="str">
        <f t="shared" si="541"/>
        <v/>
      </c>
      <c r="L168" s="313"/>
      <c r="M168" s="312"/>
      <c r="N168" s="311"/>
      <c r="O168" s="312"/>
      <c r="P168" s="311"/>
      <c r="Q168" s="305" t="str">
        <f t="shared" si="542"/>
        <v/>
      </c>
      <c r="R168" s="314"/>
      <c r="S168" s="450" t="str">
        <f t="shared" si="425"/>
        <v/>
      </c>
      <c r="T168" s="315"/>
      <c r="U168" s="315"/>
      <c r="W168" s="149" t="str">
        <f t="shared" si="426"/>
        <v xml:space="preserve"> </v>
      </c>
      <c r="X168" s="243" t="str">
        <f t="shared" si="427"/>
        <v xml:space="preserve"> </v>
      </c>
      <c r="Y168" s="150" t="str">
        <f t="shared" si="428"/>
        <v/>
      </c>
      <c r="Z168" s="149" t="str">
        <f t="shared" si="429"/>
        <v xml:space="preserve"> </v>
      </c>
      <c r="AA168" s="98" t="str">
        <f t="shared" si="430"/>
        <v xml:space="preserve"> </v>
      </c>
      <c r="AB168" s="153" t="str">
        <f t="shared" si="431"/>
        <v xml:space="preserve"> </v>
      </c>
      <c r="AC168" s="153" t="str">
        <f t="shared" si="432"/>
        <v xml:space="preserve"> </v>
      </c>
      <c r="AD168" s="148" t="str">
        <f t="shared" si="433"/>
        <v/>
      </c>
      <c r="AE168" s="149" t="str">
        <f t="shared" si="434"/>
        <v/>
      </c>
      <c r="AF168" s="151" t="str">
        <f t="shared" si="435"/>
        <v xml:space="preserve"> </v>
      </c>
      <c r="AG168" s="153" t="str">
        <f t="shared" si="436"/>
        <v xml:space="preserve"> </v>
      </c>
      <c r="AH168" s="98" t="str">
        <f t="shared" si="437"/>
        <v xml:space="preserve"> </v>
      </c>
      <c r="AI168" s="149" t="str">
        <f t="shared" si="438"/>
        <v xml:space="preserve"> </v>
      </c>
      <c r="AK168" s="144" t="str">
        <f t="shared" si="439"/>
        <v xml:space="preserve"> </v>
      </c>
      <c r="AL168" s="144"/>
      <c r="AM168" s="243" t="str">
        <f t="shared" si="440"/>
        <v xml:space="preserve"> </v>
      </c>
      <c r="AN168" s="149" t="str">
        <f t="shared" si="543"/>
        <v xml:space="preserve"> </v>
      </c>
      <c r="AO168" s="144" t="str">
        <f>IF(JB168&gt;0,IF(GI168=10,-R168*1.085*(Calculation!$F$6-Calculation!$F$13)*$S$14," "),"")</f>
        <v/>
      </c>
      <c r="AP168" s="144" t="str">
        <f t="shared" si="441"/>
        <v/>
      </c>
      <c r="AQ168" s="56" t="str">
        <f t="shared" si="442"/>
        <v/>
      </c>
      <c r="AR168" s="144" t="str">
        <f t="shared" si="443"/>
        <v/>
      </c>
      <c r="AS168" s="176" t="str">
        <f t="shared" si="444"/>
        <v/>
      </c>
      <c r="AT168" s="176" t="str">
        <f t="shared" si="544"/>
        <v xml:space="preserve"> </v>
      </c>
      <c r="AU168" s="176" t="str">
        <f t="shared" si="445"/>
        <v/>
      </c>
      <c r="AV168" s="177" t="str">
        <f t="shared" si="446"/>
        <v xml:space="preserve"> </v>
      </c>
      <c r="AW168" s="144" t="str">
        <f t="shared" si="447"/>
        <v xml:space="preserve"> </v>
      </c>
      <c r="AX168" s="144" t="str">
        <f t="shared" si="448"/>
        <v xml:space="preserve"> </v>
      </c>
      <c r="AY168" s="152" t="str">
        <f t="shared" si="449"/>
        <v xml:space="preserve"> </v>
      </c>
      <c r="AZ168" s="246" t="str">
        <f t="shared" si="450"/>
        <v/>
      </c>
      <c r="BA168" s="176" t="str">
        <f t="shared" si="451"/>
        <v xml:space="preserve"> </v>
      </c>
      <c r="BB168" s="176" t="str">
        <f t="shared" si="452"/>
        <v xml:space="preserve"> </v>
      </c>
      <c r="BC168" s="195"/>
      <c r="BD168" s="316"/>
      <c r="BE168" s="317"/>
      <c r="BF168" s="318"/>
      <c r="BG168" s="318"/>
      <c r="BH168" s="144" t="str">
        <f t="shared" si="621"/>
        <v xml:space="preserve"> </v>
      </c>
      <c r="BI168" s="176" t="str">
        <f t="shared" si="453"/>
        <v/>
      </c>
      <c r="BJ168" s="144" t="str">
        <f t="shared" si="622"/>
        <v/>
      </c>
      <c r="BK168" s="246" t="str">
        <f t="shared" si="454"/>
        <v/>
      </c>
      <c r="BL168" s="144" t="str">
        <f t="shared" si="623"/>
        <v/>
      </c>
      <c r="BM168" s="246" t="str">
        <f t="shared" si="455"/>
        <v/>
      </c>
      <c r="BN168" s="337" t="str">
        <f t="shared" si="545"/>
        <v/>
      </c>
      <c r="BO168" s="371" t="str">
        <f t="shared" si="546"/>
        <v/>
      </c>
      <c r="BP168" s="328" t="str">
        <f t="shared" si="624"/>
        <v xml:space="preserve"> </v>
      </c>
      <c r="BQ168" s="347" t="str">
        <f t="shared" si="547"/>
        <v xml:space="preserve"> </v>
      </c>
      <c r="BR168" s="353" t="str">
        <f t="shared" si="548"/>
        <v xml:space="preserve"> </v>
      </c>
      <c r="BS168" s="626" t="str">
        <f>IF(L168&gt;0,IF(Calculation!P168="M13",BR168*3.1416*(0.134^2)/(4*144),IF(Calculation!P168="M17",BR168*3.1416*(0.165^2)/(4*144),IF(Calculation!P168="M20",BR168*3.1416*(0.198^2)/(4*144),IF(Calculation!P168="M23",BR168*3.1416*(0.228^2)/(4*144),IF(Calculation!P168="M27",BR168*3.1416*(0.269^2)/(4*144),BR168*3.1416*(0.307^2)/(4*144))))))," ")</f>
        <v xml:space="preserve"> </v>
      </c>
      <c r="BT168" s="353" t="str">
        <f>IF(L168&gt;0,IF(BS168&gt;0,R168/Calculation!BS168,0)," ")</f>
        <v xml:space="preserve"> </v>
      </c>
      <c r="BU168" s="438" t="e">
        <f t="shared" ca="1" si="456"/>
        <v>#VALUE!</v>
      </c>
      <c r="BV168" s="449" t="e">
        <f ca="1">INDEX(INDIRECT(VLOOKUP(LEFT(BO168,7),CLU!$Z$3:$AH$18,2)),GN168,GR168)</f>
        <v>#N/A</v>
      </c>
      <c r="BW168" s="433" t="e">
        <f ca="1">INDEX(INDIRECT(VLOOKUP(LEFT(BO168,7),CLU!$Z$3:$AH$18,3)),GN168,GR168)</f>
        <v>#N/A</v>
      </c>
      <c r="BX168" s="433" t="e">
        <f ca="1">INDEX(INDIRECT(VLOOKUP(LEFT(BO168,7),CLU!$Z$3:$AH$18,4)),GN168,GR168)</f>
        <v>#N/A</v>
      </c>
      <c r="BY168" s="433" t="e">
        <f ca="1">INDEX(INDIRECT(VLOOKUP(LEFT(BO168,7),CLU!$Z$3:$AH$18,9)),((M168-2)*(6-COUNTBLANK(GT168:GY168)))+GJ168)</f>
        <v>#N/A</v>
      </c>
      <c r="BZ168" s="426" t="e">
        <f t="shared" ca="1" si="549"/>
        <v>#N/A</v>
      </c>
      <c r="CA168" s="424" t="e">
        <f t="shared" ca="1" si="550"/>
        <v>#N/A</v>
      </c>
      <c r="CB168" s="429" t="e">
        <f ca="1">INDEX(INDIRECT(VLOOKUP(LEFT(BO168,7),CLU!$Z$3:$AH$18,2)),GN168,GS168)</f>
        <v>#N/A</v>
      </c>
      <c r="CC168" s="342" t="e">
        <f ca="1">INDEX(INDIRECT(VLOOKUP(LEFT(BO168,7),CLU!$Z$3:$AH$18,3)),GN168,GS168)</f>
        <v>#N/A</v>
      </c>
      <c r="CD168" s="342" t="e">
        <f ca="1">INDEX(INDIRECT(VLOOKUP(LEFT(BO168,7),CLU!$Z$3:$AH$18,4)),GN168,GS168)</f>
        <v>#N/A</v>
      </c>
      <c r="CE168" s="426" t="e">
        <f t="shared" ca="1" si="551"/>
        <v>#N/A</v>
      </c>
      <c r="CF168" s="440">
        <f t="shared" si="552"/>
        <v>0</v>
      </c>
      <c r="CG168" s="431" t="e">
        <f ca="1">INDEX(INDIRECT(VLOOKUP(LEFT(BO168,7),CLU!$Z$3:$AH$18,2)),GQ168,GR168)</f>
        <v>#N/A</v>
      </c>
      <c r="CH168" s="431" t="e">
        <f ca="1">INDEX(INDIRECT(VLOOKUP(LEFT(BO168,7),CLU!$Z$3:$AH$18,3)),GQ168,GR168)</f>
        <v>#N/A</v>
      </c>
      <c r="CI168" s="431" t="e">
        <f ca="1">INDEX(INDIRECT(VLOOKUP(LEFT(BO168,7),CLU!$Z$3:$AH$18,4)),GQ168,GR168)</f>
        <v>#N/A</v>
      </c>
      <c r="CJ168" s="448" t="e">
        <f t="shared" ca="1" si="553"/>
        <v>#N/A</v>
      </c>
      <c r="CK168" s="431" t="e">
        <f t="shared" ca="1" si="554"/>
        <v>#N/A</v>
      </c>
      <c r="CL168" s="440" t="e">
        <f t="shared" ca="1" si="555"/>
        <v>#N/A</v>
      </c>
      <c r="CM168" s="431" t="e">
        <f ca="1">INDEX(INDIRECT(VLOOKUP(LEFT(BO168,7),CLU!$Z$3:$AH$18,2)),GQ168,GS168)</f>
        <v>#N/A</v>
      </c>
      <c r="CN168" s="431" t="e">
        <f ca="1">INDEX(INDIRECT(VLOOKUP(LEFT(BO168,7),CLU!$Z$3:$AH$18,3)),GQ168,GS168)</f>
        <v>#N/A</v>
      </c>
      <c r="CO168" s="431" t="e">
        <f ca="1">INDEX(INDIRECT(VLOOKUP(LEFT(BO168,7),CLU!$Z$3:$AH$18,4)),GQ168,GS168)</f>
        <v>#N/A</v>
      </c>
      <c r="CP168" s="431" t="e">
        <f t="shared" ca="1" si="556"/>
        <v>#N/A</v>
      </c>
      <c r="CQ168" s="440">
        <f t="shared" si="557"/>
        <v>0</v>
      </c>
      <c r="CR168" s="51" t="e">
        <f t="shared" ca="1" si="558"/>
        <v>#N/A</v>
      </c>
      <c r="CS168" s="439" t="e">
        <f t="shared" ca="1" si="559"/>
        <v>#VALUE!</v>
      </c>
      <c r="CT168" s="51" t="e">
        <f t="shared" ca="1" si="560"/>
        <v>#VALUE!</v>
      </c>
      <c r="CU168" s="10"/>
      <c r="CV168" s="51" t="e">
        <f t="shared" ca="1" si="457"/>
        <v>#VALUE!</v>
      </c>
      <c r="CW168" s="51">
        <f t="shared" si="561"/>
        <v>0</v>
      </c>
      <c r="CX168" s="439" t="e">
        <f t="shared" ca="1" si="562"/>
        <v>#VALUE!</v>
      </c>
      <c r="CY168" s="51" t="e">
        <f t="shared" ca="1" si="563"/>
        <v>#VALUE!</v>
      </c>
      <c r="CZ168" s="10"/>
      <c r="DA168" s="51" t="e">
        <f t="shared" ca="1" si="564"/>
        <v>#VALUE!</v>
      </c>
      <c r="DB168" s="347" t="e">
        <f ca="1">INDEX(INDIRECT(VLOOKUP(LEFT(BO168,7),CLU!$Z$3:$AI$18,10)),((M168-2)*(6-COUNTBLANK(GT168:GY168)))+GJ168)*LI168</f>
        <v>#N/A</v>
      </c>
      <c r="DC168" s="347" t="str">
        <f>IF(L168&gt;0,((R168/Worksheet!$I$15)/DB168)^2," ")</f>
        <v xml:space="preserve"> </v>
      </c>
      <c r="DD168" s="602" t="str">
        <f t="shared" si="565"/>
        <v xml:space="preserve"> </v>
      </c>
      <c r="DE168" s="347" t="str">
        <f t="shared" si="458"/>
        <v xml:space="preserve"> </v>
      </c>
      <c r="DF168" s="356" t="e">
        <f ca="1">INDEX(INDIRECT(VLOOKUP(LEFT(BO168,7),CLU!$Z$3:$AH$18,8)),((M168-2)*(6-COUNTBLANK(GT168:GY168)))+GJ168)</f>
        <v>#N/A</v>
      </c>
      <c r="DG168" s="347" t="str">
        <f t="shared" si="459"/>
        <v xml:space="preserve"> </v>
      </c>
      <c r="DH168" s="357" t="str">
        <f t="shared" si="460"/>
        <v xml:space="preserve"> </v>
      </c>
      <c r="DI168" s="355" t="str">
        <f t="shared" si="461"/>
        <v xml:space="preserve"> </v>
      </c>
      <c r="DJ168" s="245" t="e">
        <f ca="1">INDEX(INDIRECT(VLOOKUP(LEFT(BO168,7),CLU!$Z$3:$AH$18,5)),GL168,GK168)</f>
        <v>#N/A</v>
      </c>
      <c r="DK168" s="245" t="e">
        <f ca="1">INDEX(INDIRECT(VLOOKUP(LEFT(BO168,7),CLU!$Z$3:$AH$18,6)),GL168,GK168)</f>
        <v>#N/A</v>
      </c>
      <c r="DL168" s="355">
        <f>(Calculation!R168*0.69143*(Calculation!$BQ$8-Calculation!$F$8))*$S$14</f>
        <v>0</v>
      </c>
      <c r="DM168" s="359" t="e">
        <f t="shared" si="566"/>
        <v>#VALUE!</v>
      </c>
      <c r="DN168" s="611">
        <f t="shared" si="567"/>
        <v>0</v>
      </c>
      <c r="DO168" s="359">
        <f t="shared" si="568"/>
        <v>100</v>
      </c>
      <c r="DP168" s="359">
        <f t="shared" si="569"/>
        <v>0</v>
      </c>
      <c r="DQ168" s="360"/>
      <c r="DR168" s="245" t="e">
        <f ca="1">INDEX(INDIRECT(VLOOKUP(LEFT(BO168,7),CLU!$Z$3:$AH$18,7)),M168-1,1)</f>
        <v>#N/A</v>
      </c>
      <c r="DS168" s="245" t="e">
        <f ca="1">INDEX(INDIRECT(VLOOKUP(LEFT(BO168,7),CLU!$Z$3:$AH$18,7)),M168-1,2)</f>
        <v>#N/A</v>
      </c>
      <c r="DT168" s="245" t="e">
        <f ca="1">INDEX(INDIRECT(VLOOKUP(LEFT(BO168,7),CLU!$Z$3:$AH$18,7)),M168-1,3)</f>
        <v>#N/A</v>
      </c>
      <c r="DU168" s="245" t="e">
        <f ca="1">INDEX(INDIRECT(VLOOKUP(LEFT(BO168,7),CLU!$Z$3:$AH$18,7)),M168-1,4)</f>
        <v>#N/A</v>
      </c>
      <c r="DV168" s="361" t="e">
        <f ca="1">INDEX(INDIRECT(VLOOKUP(LEFT(BO168,7),CLU!$Z$3:$AH$18,7)),M168-1,4+LEFT(DZ168,1)*0.5)</f>
        <v>#N/A</v>
      </c>
      <c r="DW168" s="245" t="e">
        <f ca="1">INDEX(INDIRECT(VLOOKUP(LEFT(BO168,7),CLU!$Z$3:$AH$18,7)),M168-1,8)</f>
        <v>#N/A</v>
      </c>
      <c r="DX168" s="361" t="str">
        <f t="shared" si="462"/>
        <v xml:space="preserve"> </v>
      </c>
      <c r="DY168" s="361" t="str">
        <f t="shared" si="463"/>
        <v xml:space="preserve"> </v>
      </c>
      <c r="DZ168" s="361" t="str">
        <f t="shared" si="464"/>
        <v xml:space="preserve"> </v>
      </c>
      <c r="EA168" s="362" t="str">
        <f t="shared" si="465"/>
        <v xml:space="preserve"> </v>
      </c>
      <c r="EB168" s="624" t="str">
        <f t="shared" si="570"/>
        <v xml:space="preserve"> </v>
      </c>
      <c r="EC168" s="361" t="e">
        <f ca="1">INDEX(INDIRECT(VLOOKUP(LEFT(BO168,7),CLU!$Z$3:$AH$18,7)),M168-1,4+LEFT(DZ168,1)*0.5)</f>
        <v>#N/A</v>
      </c>
      <c r="ED168" s="362" t="str">
        <f t="shared" si="466"/>
        <v xml:space="preserve"> </v>
      </c>
      <c r="EE168" s="361" t="str">
        <f t="shared" si="467"/>
        <v xml:space="preserve"> </v>
      </c>
      <c r="EF168" s="362" t="str">
        <f>IF(L168&gt;0,IF(BR168&gt;0,IF(EE168="2P",IF(Calculation!DZ168="2P",IF(Calculation!DS168=13.75,IF(Calculation!DR168=13,Worksheet!$BD$43,IF(Calculation!DR168=37,Worksheet!$BD$44,Worksheet!$BD$45)),IF(Calculation!DS168=10,IF(Calculation!DR168=18,Worksheet!$BD$29,IF(Calculation!DR168=30,Worksheet!$BD$30,IF(Calculation!DR168=42,Worksheet!$BD$31,IF(Calculation!DR168=54,Worksheet!$BD$32,IF(Calculation!DR168=66,Worksheet!$BD$33,IF(Calculation!DR168=78,Worksheet!$BD$34,IF(Calculation!DR168=90,Worksheet!$BD$35,IF(Calculation!DR168=102,Worksheet!$BD$36,Worksheet!$BD$37)))))))),IF(Calculation!DS168=12.5,IF(Calculation!DR168=18,Worksheet!$BD$38,IF(Calculation!DR168=Worksheet!$BD$39,IF(Calculation!DR168=42,Worksheet!$BD$40,IF(Calculation!DR168=54,Worksheet!$BD$41,Worksheet!$BD$42)))),IF(Calculation!DR168=18,Worksheet!$BD$11,IF(Calculation!DR168=30,Worksheet!$BD$12,IF(Calculation!DR168=42,Worksheet!$BD$13,IF(Calculation!DR168=54,Worksheet!$BD$14,IF(Calculation!DR168=66,Worksheet!$BD$15,IF(Calculation!DR168=78,Worksheet!$BD$16,IF(Calculation!DR168=90,Worksheet!$BD$17,IF(Calculation!DR168=102,Worksheet!$BD$18,Worksheet!$BD$19))))))))))),IF(Calculation!DS168=13.75,IF(Calculation!DR168=13,Worksheet!$BD$78,IF(Calculation!DR168=37,Worksheet!$BD$79,Worksheet!$BD$80)),IF(Calculation!DS168=10,IF(Calculation!DR168=18,Worksheet!$BD$64,IF(Calculation!DR168=30,Worksheet!$BD$65,IF(Calculation!DR168=42,Worksheet!$BD$66,IF(Calculation!DR168=54,Worksheet!$BD$68,IF(Calculation!DR168=66,Worksheet!$BD$68,IF(Calculation!DR168=78,Worksheet!$BD$69,IF(Calculation!DR168=90,Worksheet!$BD$70,IF(Calculation!DR168=102,Worksheet!$BD$71,Worksheet!$BD$72)))))))),IF(Calculation!DS168=12.5,IF(Calculation!DR168=18,Worksheet!$BD$73,IF(Calculation!DR168=Worksheet!$BD$74,IF(Calculation!DR168=42,Worksheet!$BD$75,IF(Calculation!DR168=54,Worksheet!$BD$76,Worksheet!$BD$77)))),IF(Calculation!DR168=18,Worksheet!$BD$55,IF(Calculation!DR168=30,Worksheet!$BD$56,IF(Calculation!DR168=42,Worksheet!$BD$57,IF(Calculation!DR168=54,Worksheet!$BD$58,IF(Calculation!DR168=66,Worksheet!$BD$59,IF(Calculation!DR168=78,Worksheet!$BD$60,IF(Calculation!DR168=90,Worksheet!$BD$61,IF(Calculation!DR168=102,Worksheet!$BD$62,Worksheet!$BD$63)))))))))))),5),0)," ")</f>
        <v xml:space="preserve"> </v>
      </c>
      <c r="EG168" s="361" t="str">
        <f t="shared" si="468"/>
        <v xml:space="preserve"> </v>
      </c>
      <c r="EH168" s="361" t="e">
        <f ca="1">INDEX(INDIRECT(VLOOKUP(LEFT(BO168,7),CLU!$Z$3:$AH$18,7)),M168-1,3+LEFT(DZ168,1))</f>
        <v>#N/A</v>
      </c>
      <c r="EI168" s="362" t="str">
        <f t="shared" si="469"/>
        <v xml:space="preserve"> </v>
      </c>
      <c r="EJ168" s="363" t="str">
        <f t="shared" si="470"/>
        <v xml:space="preserve"> </v>
      </c>
      <c r="EK168" s="363" t="str">
        <f t="shared" si="471"/>
        <v xml:space="preserve"> </v>
      </c>
      <c r="EL168" s="363" t="str">
        <f t="shared" si="472"/>
        <v xml:space="preserve"> </v>
      </c>
      <c r="EM168" s="362" t="str">
        <f>IF(L168&gt;0,IF(BR168&gt;0,(Calculation!T168/ED168)^2,0)," ")</f>
        <v xml:space="preserve"> </v>
      </c>
      <c r="EN168" s="362" t="str">
        <f>IF(L168&gt;0,IF(O168="2 Pipe (Cooling)","N/A",IF(BR168&gt;0,(Calculation!U168/EI168)^2,0))," ")</f>
        <v xml:space="preserve"> </v>
      </c>
      <c r="EO168" s="361" t="str">
        <f t="shared" si="473"/>
        <v/>
      </c>
      <c r="EP168" s="361" t="str">
        <f t="shared" si="474"/>
        <v/>
      </c>
      <c r="EQ168" s="361" t="str">
        <f t="shared" si="475"/>
        <v/>
      </c>
      <c r="ER168" s="361" t="str">
        <f t="shared" si="476"/>
        <v/>
      </c>
      <c r="ES168" s="361" t="str">
        <f t="shared" si="477"/>
        <v/>
      </c>
      <c r="ET168" s="361" t="str">
        <f t="shared" si="478"/>
        <v/>
      </c>
      <c r="EU168" s="361" t="str">
        <f t="shared" si="479"/>
        <v/>
      </c>
      <c r="EV168" s="361" t="str">
        <f t="shared" si="480"/>
        <v/>
      </c>
      <c r="EW168" s="361" t="str">
        <f t="shared" si="481"/>
        <v/>
      </c>
      <c r="EX168" s="361" t="str">
        <f t="shared" si="571"/>
        <v>1 slot, 1 way</v>
      </c>
      <c r="EY168" s="361" t="str">
        <f t="shared" si="572"/>
        <v xml:space="preserve"> </v>
      </c>
      <c r="EZ168" s="361" t="str">
        <f t="shared" si="573"/>
        <v xml:space="preserve"> </v>
      </c>
      <c r="FA168" s="361" t="str">
        <f t="shared" si="574"/>
        <v xml:space="preserve"> </v>
      </c>
      <c r="FB168" s="361" t="str">
        <f t="shared" si="575"/>
        <v xml:space="preserve"> </v>
      </c>
      <c r="FC168" s="361"/>
      <c r="FD168" s="361" t="str">
        <f>IF(J168&gt;0,IF(Calculation!R168&lt;=70,4,IF(Calculation!R168&lt;=110,5,IF(Calculation!R168&lt;=160,6,IF(Calculation!R168&lt;=300,8,"10 EO")))),"")</f>
        <v/>
      </c>
      <c r="FE168" s="361" t="str">
        <f t="shared" si="576"/>
        <v/>
      </c>
      <c r="FF168" s="361" t="str">
        <f t="shared" si="577"/>
        <v/>
      </c>
      <c r="FG168" s="361" t="e">
        <f t="shared" si="482"/>
        <v>#N/A</v>
      </c>
      <c r="FH168" s="361">
        <f t="shared" si="483"/>
        <v>0</v>
      </c>
      <c r="FI168" s="361" t="e">
        <f t="shared" si="484"/>
        <v>#DIV/0!</v>
      </c>
      <c r="FJ168" s="361"/>
      <c r="FK168" s="356" t="e">
        <f t="shared" si="485"/>
        <v>#VALUE!</v>
      </c>
      <c r="FL168" s="361"/>
      <c r="FM168" s="361"/>
      <c r="FN168" s="362" t="str">
        <f t="shared" si="578"/>
        <v xml:space="preserve"> </v>
      </c>
      <c r="FO168" s="362" t="str">
        <f t="shared" si="579"/>
        <v xml:space="preserve"> </v>
      </c>
      <c r="FP168" s="362">
        <f t="shared" si="580"/>
        <v>0</v>
      </c>
      <c r="FQ168" s="361">
        <f t="shared" si="486"/>
        <v>0</v>
      </c>
      <c r="FR168" s="362" t="str">
        <f>IF(L168&gt;0,IF(J168="CBAL2",Worksheet!$P$67,IF(J168="CBE2-24",Worksheet!$Q$67,IF(J168="CBAM",Worksheet!$R$67,IF(J168="CBLV",Worksheet!$S$67,IF(J168="CBAB",Worksheet!$U$67,IF(J168="CBAW",Worksheet!$X$67,IF(J168="CBE2-12",Worksheet!$Y$67,IF(J168="CBAL2",Worksheet!$Z$67,"N/A"))))))))," ")</f>
        <v xml:space="preserve"> </v>
      </c>
      <c r="FS168" s="362" t="str">
        <f>IF(L168&gt;0,IF(J168="CBAL2",Worksheet!$P$68,IF(J168="CBE2-24",Worksheet!$Q$68,IF(J168="CBAM",Worksheet!$R$68,IF(J168="CBLV",Worksheet!$S$68,IF(J168="CBAB",Worksheet!$U$68,IF(J168="CBAW",Worksheet!$X$68,IF(J168="CBE2-12",Worksheet!$Y$68,IF(J168="CBAL2",Worksheet!$Z$68,"N/A"))))))))," ")</f>
        <v xml:space="preserve"> </v>
      </c>
      <c r="FT168" s="362" t="str">
        <f>IF(L168&gt;0,IF(J168="CBAL2",Worksheet!$P$69,IF(J168="CBE2-24",Worksheet!$Q$69,IF(J168="CBAM",Worksheet!$R$69,IF(J168="CBLV",Worksheet!$S$69,IF(J168="CBAB",Worksheet!$U$69,IF(J168="CBAW",Worksheet!$X$69,IF(J168="CBE2-12",Worksheet!$Y$69,IF(J168="CBAL2",Worksheet!$Z$69,"N/A"))))))))," ")</f>
        <v xml:space="preserve"> </v>
      </c>
      <c r="FU168" s="361" t="str">
        <f t="shared" si="581"/>
        <v xml:space="preserve"> </v>
      </c>
      <c r="FV168" s="362" t="str">
        <f t="shared" si="582"/>
        <v xml:space="preserve"> </v>
      </c>
      <c r="FW168" s="362" t="str">
        <f t="shared" si="583"/>
        <v xml:space="preserve"> </v>
      </c>
      <c r="FX168" s="362" t="str">
        <f t="shared" si="584"/>
        <v xml:space="preserve"> </v>
      </c>
      <c r="FY168" s="355" t="str">
        <f t="shared" si="585"/>
        <v xml:space="preserve"> </v>
      </c>
      <c r="FZ168" s="361" t="str">
        <f t="shared" si="586"/>
        <v xml:space="preserve"> </v>
      </c>
      <c r="GA168" s="347" t="str">
        <f t="shared" si="587"/>
        <v xml:space="preserve"> </v>
      </c>
      <c r="GB168" s="355" t="str">
        <f t="shared" si="588"/>
        <v xml:space="preserve"> </v>
      </c>
      <c r="GC168" s="328" t="str">
        <f t="shared" si="589"/>
        <v xml:space="preserve"> </v>
      </c>
      <c r="GD168" s="361" t="str">
        <f t="shared" si="590"/>
        <v xml:space="preserve"> </v>
      </c>
      <c r="GE168" s="347" t="str">
        <f t="shared" si="591"/>
        <v xml:space="preserve"> </v>
      </c>
      <c r="GF168" s="361" t="str">
        <f t="shared" si="592"/>
        <v xml:space="preserve"> </v>
      </c>
      <c r="GG168" s="347" t="str">
        <f t="shared" si="593"/>
        <v xml:space="preserve"> </v>
      </c>
      <c r="GH168" s="364">
        <f t="shared" si="487"/>
        <v>0</v>
      </c>
      <c r="GI168" s="362">
        <f t="shared" si="594"/>
        <v>2</v>
      </c>
      <c r="GJ168" s="433" t="e">
        <f>IF(6-COUNTBLANK(GT168:GY168)=4,MATCH(MID(BO168,9,3),CLU!$H$16:$K$16),MATCH(MID(BO168,9,3),CLU!$H$13:$M$13))</f>
        <v>#N/A</v>
      </c>
      <c r="GK168" s="433" t="e">
        <f>HLOOKUP(VALUE(BP168),CLU!$H$9:$M$10,2)</f>
        <v>#VALUE!</v>
      </c>
      <c r="GL168" s="433" t="e">
        <f ca="1">MATCH(BU168,CLU!$H$2:$V$2,1)</f>
        <v>#VALUE!</v>
      </c>
      <c r="GM168" s="433" t="e">
        <f t="shared" ca="1" si="595"/>
        <v>#VALUE!</v>
      </c>
      <c r="GN168" s="433" t="e">
        <f t="shared" ca="1" si="596"/>
        <v>#VALUE!</v>
      </c>
      <c r="GO168" s="433" t="e">
        <f t="shared" ca="1" si="597"/>
        <v>#VALUE!</v>
      </c>
      <c r="GP168" s="433" t="e">
        <f t="shared" ca="1" si="598"/>
        <v>#VALUE!</v>
      </c>
      <c r="GQ168" s="433" t="e">
        <f t="shared" ca="1" si="599"/>
        <v>#VALUE!</v>
      </c>
      <c r="GR168" s="433" t="e">
        <f ca="1">MATCH(T168,INDIRECT(VLOOKUP(CONCATENATE(LEFT(BO168,7),"-",MID(BO168,13,1)),CLU!$P$3:$Q$16,2)),1)</f>
        <v>#N/A</v>
      </c>
      <c r="GS168" s="433" t="e">
        <f ca="1">MATCH(U168,INDIRECT(VLOOKUP(CONCATENATE(LEFT(BO168,7),"-",MID(BO168,13,1)),CLU!$P$3:$Q$16,2)),1)</f>
        <v>#N/A</v>
      </c>
      <c r="GT168" s="347" t="s">
        <v>512</v>
      </c>
      <c r="GU168" s="97" t="s">
        <v>513</v>
      </c>
      <c r="GV168" s="97" t="str">
        <f t="shared" si="600"/>
        <v>M23</v>
      </c>
      <c r="GW168" s="97" t="str">
        <f t="shared" si="601"/>
        <v>M31</v>
      </c>
      <c r="GX168" s="97" t="str">
        <f t="shared" si="602"/>
        <v/>
      </c>
      <c r="GY168" s="97" t="str">
        <f t="shared" si="603"/>
        <v/>
      </c>
      <c r="GZ168" s="481"/>
      <c r="HA168" s="288"/>
      <c r="HB168" s="240"/>
      <c r="HC168" s="240"/>
      <c r="HD168" s="240"/>
      <c r="HE168" s="240"/>
      <c r="HF168" s="240"/>
      <c r="HG168" s="240"/>
      <c r="HH168" s="240"/>
      <c r="HI168" s="240"/>
      <c r="HJ168" s="240"/>
      <c r="HK168" s="240"/>
      <c r="HL168" s="240"/>
      <c r="HM168" s="240"/>
      <c r="HN168" s="240"/>
      <c r="HO168" s="240"/>
      <c r="HP168" s="240"/>
      <c r="HQ168" s="240"/>
      <c r="HR168" s="240"/>
      <c r="HS168" s="240"/>
      <c r="HT168" s="240"/>
      <c r="HU168" s="240"/>
      <c r="HV168" s="245"/>
      <c r="HW168" s="245" t="b">
        <v>1</v>
      </c>
      <c r="HX168" s="245" t="str">
        <f t="shared" si="488"/>
        <v/>
      </c>
      <c r="HY168" s="245" t="e">
        <f t="shared" si="489"/>
        <v>#DIV/0!</v>
      </c>
      <c r="HZ168" s="245" t="e">
        <f t="shared" si="490"/>
        <v>#DIV/0!</v>
      </c>
      <c r="IA168" s="245">
        <f t="shared" si="491"/>
        <v>0</v>
      </c>
      <c r="IB168" s="245"/>
      <c r="IC168" t="b">
        <f t="shared" si="492"/>
        <v>1</v>
      </c>
      <c r="ID168" s="245" t="b">
        <f t="shared" si="493"/>
        <v>1</v>
      </c>
      <c r="IE168" s="245" t="b">
        <f t="shared" si="494"/>
        <v>1</v>
      </c>
      <c r="IF168" s="245" t="b">
        <f t="shared" si="495"/>
        <v>0</v>
      </c>
      <c r="IG168" s="245" t="b">
        <f t="shared" si="496"/>
        <v>1</v>
      </c>
      <c r="IH168" s="245" t="b">
        <f t="shared" si="497"/>
        <v>1</v>
      </c>
      <c r="II168" s="245">
        <f t="shared" si="604"/>
        <v>0</v>
      </c>
      <c r="IJ168" s="245" t="e">
        <f t="shared" si="498"/>
        <v>#VALUE!</v>
      </c>
      <c r="IK168" s="245" t="e">
        <f t="shared" si="499"/>
        <v>#VALUE!</v>
      </c>
      <c r="IL168" s="245"/>
      <c r="IM168" s="245" t="e">
        <f t="shared" si="605"/>
        <v>#N/A</v>
      </c>
      <c r="IN168" s="245" t="e">
        <f t="shared" si="606"/>
        <v>#N/A</v>
      </c>
      <c r="IO168" s="245"/>
      <c r="IP168" s="245"/>
      <c r="IQ168" s="245" t="str">
        <f t="shared" si="500"/>
        <v/>
      </c>
      <c r="IR168" s="245" t="str">
        <f>IF(J168="","",VLOOKUP(J168,Worksheet!$R$4:$T$14,2))</f>
        <v/>
      </c>
      <c r="IS168" s="245"/>
      <c r="IT168" s="245">
        <f t="shared" si="501"/>
        <v>0</v>
      </c>
      <c r="IU168" s="245">
        <f t="shared" si="502"/>
        <v>0</v>
      </c>
      <c r="IV168" s="245">
        <f t="shared" si="503"/>
        <v>0</v>
      </c>
      <c r="IW168" s="245">
        <f t="shared" si="504"/>
        <v>0</v>
      </c>
      <c r="IX168" s="245">
        <f t="shared" si="607"/>
        <v>0</v>
      </c>
      <c r="IY168" s="245">
        <f t="shared" si="505"/>
        <v>0</v>
      </c>
      <c r="IZ168" s="245">
        <f t="shared" si="506"/>
        <v>0</v>
      </c>
      <c r="JA168">
        <f t="shared" si="507"/>
        <v>0</v>
      </c>
      <c r="JB168">
        <f t="shared" si="608"/>
        <v>0</v>
      </c>
      <c r="JC168">
        <f t="shared" si="508"/>
        <v>0</v>
      </c>
      <c r="JD168">
        <f t="shared" si="509"/>
        <v>0</v>
      </c>
      <c r="JE168">
        <f t="shared" si="510"/>
        <v>0</v>
      </c>
      <c r="JF168">
        <f t="shared" si="511"/>
        <v>0</v>
      </c>
      <c r="JG168">
        <f t="shared" si="512"/>
        <v>0</v>
      </c>
      <c r="JH168">
        <f t="shared" si="513"/>
        <v>0</v>
      </c>
      <c r="JI168">
        <f t="shared" si="514"/>
        <v>0</v>
      </c>
      <c r="JJ168" s="447">
        <f t="shared" si="515"/>
        <v>0</v>
      </c>
      <c r="JK168" s="447">
        <f t="shared" si="516"/>
        <v>0</v>
      </c>
      <c r="JL168">
        <f t="shared" si="517"/>
        <v>0</v>
      </c>
      <c r="JM168" s="245" t="str">
        <f>IFERROR(VLOOKUP(MATCH(BN168,#REF!,0),#REF!,7),"")</f>
        <v/>
      </c>
      <c r="JN168" t="e">
        <f>HLOOKUP(LEFT(BO168,7),Discharge_Area,MATCH(JO168,LookUps!$B$130:$B$149,1)+2)</f>
        <v>#N/A</v>
      </c>
      <c r="JO168" t="str">
        <f t="shared" si="518"/>
        <v>- S</v>
      </c>
      <c r="JP168" t="e">
        <f>HLOOKUP(LEFT(BO168,7),Discharge_Area,MATCH(JO168,LookUps!$B$130:$B$149,1)+2)</f>
        <v>#N/A</v>
      </c>
      <c r="JQ168" t="e">
        <f t="shared" si="519"/>
        <v>#N/A</v>
      </c>
      <c r="JR168" t="e">
        <f t="shared" si="520"/>
        <v>#N/A</v>
      </c>
      <c r="JS168" t="e">
        <f t="shared" si="521"/>
        <v>#N/A</v>
      </c>
      <c r="JT168" s="532" t="str">
        <f t="shared" si="522"/>
        <v xml:space="preserve"> </v>
      </c>
      <c r="JU168" s="532" t="str">
        <f t="shared" si="523"/>
        <v xml:space="preserve"> </v>
      </c>
      <c r="JV168" s="533" t="str">
        <f t="shared" si="524"/>
        <v xml:space="preserve"> </v>
      </c>
      <c r="JW168" s="534">
        <f t="shared" si="525"/>
        <v>0</v>
      </c>
      <c r="JX168" s="535" t="str">
        <f t="shared" si="609"/>
        <v xml:space="preserve"> </v>
      </c>
      <c r="JY168" s="535" t="str">
        <f t="shared" si="610"/>
        <v xml:space="preserve"> </v>
      </c>
      <c r="JZ168" s="535" t="str">
        <f t="shared" si="611"/>
        <v xml:space="preserve"> </v>
      </c>
      <c r="KA168" s="536" t="str">
        <f t="shared" si="526"/>
        <v xml:space="preserve"> </v>
      </c>
      <c r="KB168" s="535" t="e">
        <f t="shared" si="612"/>
        <v>#VALUE!</v>
      </c>
      <c r="KC168" s="535" t="str">
        <f t="shared" si="527"/>
        <v/>
      </c>
      <c r="KD168" s="537" t="str">
        <f t="shared" si="613"/>
        <v xml:space="preserve"> </v>
      </c>
      <c r="KE168" s="537" t="str">
        <f t="shared" si="614"/>
        <v xml:space="preserve"> </v>
      </c>
      <c r="KF168" s="534">
        <f t="shared" si="528"/>
        <v>0</v>
      </c>
      <c r="KG168" s="535" t="str">
        <f t="shared" si="529"/>
        <v xml:space="preserve"> </v>
      </c>
      <c r="KH168" s="535" t="str">
        <f t="shared" si="530"/>
        <v xml:space="preserve"> </v>
      </c>
      <c r="KI168" s="535" t="str">
        <f t="shared" si="531"/>
        <v xml:space="preserve"> </v>
      </c>
      <c r="KJ168" s="536" t="str">
        <f t="shared" si="532"/>
        <v xml:space="preserve"> </v>
      </c>
      <c r="KK168" s="535" t="str">
        <f t="shared" si="615"/>
        <v xml:space="preserve"> </v>
      </c>
      <c r="KL168" s="535" t="str">
        <f t="shared" si="616"/>
        <v xml:space="preserve"> </v>
      </c>
      <c r="KM168" s="537" t="str">
        <f t="shared" si="533"/>
        <v xml:space="preserve"> </v>
      </c>
      <c r="KN168" s="537" t="str">
        <f t="shared" si="617"/>
        <v xml:space="preserve"> </v>
      </c>
      <c r="KP168">
        <f t="shared" si="534"/>
        <v>0</v>
      </c>
      <c r="LA168" t="e">
        <f t="shared" si="535"/>
        <v>#VALUE!</v>
      </c>
      <c r="LB168" t="e">
        <f t="shared" si="536"/>
        <v>#VALUE!</v>
      </c>
      <c r="LC168" t="e">
        <f t="shared" si="537"/>
        <v>#VALUE!</v>
      </c>
      <c r="LD168" t="e">
        <f t="shared" si="538"/>
        <v>#VALUE!</v>
      </c>
      <c r="LE168" t="e">
        <f t="shared" si="618"/>
        <v>#VALUE!</v>
      </c>
      <c r="LF168">
        <f t="shared" si="539"/>
        <v>0</v>
      </c>
      <c r="LG168" t="e">
        <f t="shared" si="619"/>
        <v>#VALUE!</v>
      </c>
      <c r="LH168" t="str">
        <f t="shared" si="540"/>
        <v xml:space="preserve"> </v>
      </c>
      <c r="LI168">
        <f t="shared" si="620"/>
        <v>1</v>
      </c>
    </row>
    <row r="169" spans="2:321" ht="15" customHeight="1">
      <c r="B169" s="311"/>
      <c r="C169" s="311"/>
      <c r="D169" s="312"/>
      <c r="E169" s="311"/>
      <c r="F169" s="312"/>
      <c r="G169" s="311"/>
      <c r="H169" s="311"/>
      <c r="I169" s="37"/>
      <c r="J169" s="311"/>
      <c r="K169" s="305" t="str">
        <f t="shared" si="541"/>
        <v/>
      </c>
      <c r="L169" s="313"/>
      <c r="M169" s="312"/>
      <c r="N169" s="311"/>
      <c r="O169" s="312"/>
      <c r="P169" s="311"/>
      <c r="Q169" s="305" t="str">
        <f t="shared" si="542"/>
        <v/>
      </c>
      <c r="R169" s="314"/>
      <c r="S169" s="450" t="str">
        <f t="shared" si="425"/>
        <v/>
      </c>
      <c r="T169" s="315"/>
      <c r="U169" s="315"/>
      <c r="W169" s="149" t="str">
        <f t="shared" si="426"/>
        <v xml:space="preserve"> </v>
      </c>
      <c r="X169" s="243" t="str">
        <f t="shared" si="427"/>
        <v xml:space="preserve"> </v>
      </c>
      <c r="Y169" s="150" t="str">
        <f t="shared" si="428"/>
        <v/>
      </c>
      <c r="Z169" s="149" t="str">
        <f t="shared" si="429"/>
        <v xml:space="preserve"> </v>
      </c>
      <c r="AA169" s="98" t="str">
        <f t="shared" si="430"/>
        <v xml:space="preserve"> </v>
      </c>
      <c r="AB169" s="153" t="str">
        <f t="shared" si="431"/>
        <v xml:space="preserve"> </v>
      </c>
      <c r="AC169" s="153" t="str">
        <f t="shared" si="432"/>
        <v xml:space="preserve"> </v>
      </c>
      <c r="AD169" s="148" t="str">
        <f t="shared" si="433"/>
        <v/>
      </c>
      <c r="AE169" s="149" t="str">
        <f t="shared" si="434"/>
        <v/>
      </c>
      <c r="AF169" s="151" t="str">
        <f t="shared" si="435"/>
        <v xml:space="preserve"> </v>
      </c>
      <c r="AG169" s="153" t="str">
        <f t="shared" si="436"/>
        <v xml:space="preserve"> </v>
      </c>
      <c r="AH169" s="98" t="str">
        <f t="shared" si="437"/>
        <v xml:space="preserve"> </v>
      </c>
      <c r="AI169" s="149" t="str">
        <f t="shared" si="438"/>
        <v xml:space="preserve"> </v>
      </c>
      <c r="AK169" s="144" t="str">
        <f t="shared" si="439"/>
        <v xml:space="preserve"> </v>
      </c>
      <c r="AL169" s="144"/>
      <c r="AM169" s="243" t="str">
        <f t="shared" si="440"/>
        <v xml:space="preserve"> </v>
      </c>
      <c r="AN169" s="149" t="str">
        <f t="shared" si="543"/>
        <v xml:space="preserve"> </v>
      </c>
      <c r="AO169" s="144" t="str">
        <f>IF(JB169&gt;0,IF(GI169=10,-R169*1.085*(Calculation!$F$6-Calculation!$F$13)*$S$14," "),"")</f>
        <v/>
      </c>
      <c r="AP169" s="144" t="str">
        <f t="shared" si="441"/>
        <v/>
      </c>
      <c r="AQ169" s="56" t="str">
        <f t="shared" si="442"/>
        <v/>
      </c>
      <c r="AR169" s="144" t="str">
        <f t="shared" si="443"/>
        <v/>
      </c>
      <c r="AS169" s="176" t="str">
        <f t="shared" si="444"/>
        <v/>
      </c>
      <c r="AT169" s="176" t="str">
        <f t="shared" si="544"/>
        <v xml:space="preserve"> </v>
      </c>
      <c r="AU169" s="176" t="str">
        <f t="shared" si="445"/>
        <v/>
      </c>
      <c r="AV169" s="177" t="str">
        <f t="shared" si="446"/>
        <v xml:space="preserve"> </v>
      </c>
      <c r="AW169" s="144" t="str">
        <f t="shared" si="447"/>
        <v xml:space="preserve"> </v>
      </c>
      <c r="AX169" s="144" t="str">
        <f t="shared" si="448"/>
        <v xml:space="preserve"> </v>
      </c>
      <c r="AY169" s="152" t="str">
        <f t="shared" si="449"/>
        <v xml:space="preserve"> </v>
      </c>
      <c r="AZ169" s="246" t="str">
        <f t="shared" si="450"/>
        <v/>
      </c>
      <c r="BA169" s="176" t="str">
        <f t="shared" si="451"/>
        <v xml:space="preserve"> </v>
      </c>
      <c r="BB169" s="176" t="str">
        <f t="shared" si="452"/>
        <v xml:space="preserve"> </v>
      </c>
      <c r="BC169" s="195"/>
      <c r="BD169" s="316"/>
      <c r="BE169" s="317"/>
      <c r="BF169" s="318"/>
      <c r="BG169" s="318"/>
      <c r="BH169" s="144" t="str">
        <f t="shared" si="621"/>
        <v xml:space="preserve"> </v>
      </c>
      <c r="BI169" s="176" t="str">
        <f t="shared" si="453"/>
        <v/>
      </c>
      <c r="BJ169" s="144" t="str">
        <f t="shared" si="622"/>
        <v/>
      </c>
      <c r="BK169" s="246" t="str">
        <f t="shared" si="454"/>
        <v/>
      </c>
      <c r="BL169" s="144" t="str">
        <f t="shared" si="623"/>
        <v/>
      </c>
      <c r="BM169" s="246" t="str">
        <f t="shared" si="455"/>
        <v/>
      </c>
      <c r="BN169" s="337" t="str">
        <f t="shared" si="545"/>
        <v/>
      </c>
      <c r="BO169" s="371" t="str">
        <f t="shared" si="546"/>
        <v/>
      </c>
      <c r="BP169" s="328" t="str">
        <f t="shared" si="624"/>
        <v xml:space="preserve"> </v>
      </c>
      <c r="BQ169" s="347" t="str">
        <f t="shared" si="547"/>
        <v xml:space="preserve"> </v>
      </c>
      <c r="BR169" s="353" t="str">
        <f t="shared" si="548"/>
        <v xml:space="preserve"> </v>
      </c>
      <c r="BS169" s="626" t="str">
        <f>IF(L169&gt;0,IF(Calculation!P169="M13",BR169*3.1416*(0.134^2)/(4*144),IF(Calculation!P169="M17",BR169*3.1416*(0.165^2)/(4*144),IF(Calculation!P169="M20",BR169*3.1416*(0.198^2)/(4*144),IF(Calculation!P169="M23",BR169*3.1416*(0.228^2)/(4*144),IF(Calculation!P169="M27",BR169*3.1416*(0.269^2)/(4*144),BR169*3.1416*(0.307^2)/(4*144))))))," ")</f>
        <v xml:space="preserve"> </v>
      </c>
      <c r="BT169" s="353" t="str">
        <f>IF(L169&gt;0,IF(BS169&gt;0,R169/Calculation!BS169,0)," ")</f>
        <v xml:space="preserve"> </v>
      </c>
      <c r="BU169" s="438" t="e">
        <f t="shared" ca="1" si="456"/>
        <v>#VALUE!</v>
      </c>
      <c r="BV169" s="449" t="e">
        <f ca="1">INDEX(INDIRECT(VLOOKUP(LEFT(BO169,7),CLU!$Z$3:$AH$18,2)),GN169,GR169)</f>
        <v>#N/A</v>
      </c>
      <c r="BW169" s="433" t="e">
        <f ca="1">INDEX(INDIRECT(VLOOKUP(LEFT(BO169,7),CLU!$Z$3:$AH$18,3)),GN169,GR169)</f>
        <v>#N/A</v>
      </c>
      <c r="BX169" s="433" t="e">
        <f ca="1">INDEX(INDIRECT(VLOOKUP(LEFT(BO169,7),CLU!$Z$3:$AH$18,4)),GN169,GR169)</f>
        <v>#N/A</v>
      </c>
      <c r="BY169" s="433" t="e">
        <f ca="1">INDEX(INDIRECT(VLOOKUP(LEFT(BO169,7),CLU!$Z$3:$AH$18,9)),((M169-2)*(6-COUNTBLANK(GT169:GY169)))+GJ169)</f>
        <v>#N/A</v>
      </c>
      <c r="BZ169" s="426" t="e">
        <f t="shared" ca="1" si="549"/>
        <v>#N/A</v>
      </c>
      <c r="CA169" s="424" t="e">
        <f t="shared" ca="1" si="550"/>
        <v>#N/A</v>
      </c>
      <c r="CB169" s="429" t="e">
        <f ca="1">INDEX(INDIRECT(VLOOKUP(LEFT(BO169,7),CLU!$Z$3:$AH$18,2)),GN169,GS169)</f>
        <v>#N/A</v>
      </c>
      <c r="CC169" s="342" t="e">
        <f ca="1">INDEX(INDIRECT(VLOOKUP(LEFT(BO169,7),CLU!$Z$3:$AH$18,3)),GN169,GS169)</f>
        <v>#N/A</v>
      </c>
      <c r="CD169" s="342" t="e">
        <f ca="1">INDEX(INDIRECT(VLOOKUP(LEFT(BO169,7),CLU!$Z$3:$AH$18,4)),GN169,GS169)</f>
        <v>#N/A</v>
      </c>
      <c r="CE169" s="426" t="e">
        <f t="shared" ca="1" si="551"/>
        <v>#N/A</v>
      </c>
      <c r="CF169" s="440">
        <f t="shared" si="552"/>
        <v>0</v>
      </c>
      <c r="CG169" s="431" t="e">
        <f ca="1">INDEX(INDIRECT(VLOOKUP(LEFT(BO169,7),CLU!$Z$3:$AH$18,2)),GQ169,GR169)</f>
        <v>#N/A</v>
      </c>
      <c r="CH169" s="431" t="e">
        <f ca="1">INDEX(INDIRECT(VLOOKUP(LEFT(BO169,7),CLU!$Z$3:$AH$18,3)),GQ169,GR169)</f>
        <v>#N/A</v>
      </c>
      <c r="CI169" s="431" t="e">
        <f ca="1">INDEX(INDIRECT(VLOOKUP(LEFT(BO169,7),CLU!$Z$3:$AH$18,4)),GQ169,GR169)</f>
        <v>#N/A</v>
      </c>
      <c r="CJ169" s="448" t="e">
        <f t="shared" ca="1" si="553"/>
        <v>#N/A</v>
      </c>
      <c r="CK169" s="431" t="e">
        <f t="shared" ca="1" si="554"/>
        <v>#N/A</v>
      </c>
      <c r="CL169" s="440" t="e">
        <f t="shared" ca="1" si="555"/>
        <v>#N/A</v>
      </c>
      <c r="CM169" s="431" t="e">
        <f ca="1">INDEX(INDIRECT(VLOOKUP(LEFT(BO169,7),CLU!$Z$3:$AH$18,2)),GQ169,GS169)</f>
        <v>#N/A</v>
      </c>
      <c r="CN169" s="431" t="e">
        <f ca="1">INDEX(INDIRECT(VLOOKUP(LEFT(BO169,7),CLU!$Z$3:$AH$18,3)),GQ169,GS169)</f>
        <v>#N/A</v>
      </c>
      <c r="CO169" s="431" t="e">
        <f ca="1">INDEX(INDIRECT(VLOOKUP(LEFT(BO169,7),CLU!$Z$3:$AH$18,4)),GQ169,GS169)</f>
        <v>#N/A</v>
      </c>
      <c r="CP169" s="431" t="e">
        <f t="shared" ca="1" si="556"/>
        <v>#N/A</v>
      </c>
      <c r="CQ169" s="440">
        <f t="shared" si="557"/>
        <v>0</v>
      </c>
      <c r="CR169" s="51" t="e">
        <f t="shared" ca="1" si="558"/>
        <v>#N/A</v>
      </c>
      <c r="CS169" s="439" t="e">
        <f t="shared" ca="1" si="559"/>
        <v>#VALUE!</v>
      </c>
      <c r="CT169" s="51" t="e">
        <f t="shared" ca="1" si="560"/>
        <v>#VALUE!</v>
      </c>
      <c r="CU169" s="10"/>
      <c r="CV169" s="51" t="e">
        <f t="shared" ca="1" si="457"/>
        <v>#VALUE!</v>
      </c>
      <c r="CW169" s="51">
        <f t="shared" si="561"/>
        <v>0</v>
      </c>
      <c r="CX169" s="439" t="e">
        <f t="shared" ca="1" si="562"/>
        <v>#VALUE!</v>
      </c>
      <c r="CY169" s="51" t="e">
        <f t="shared" ca="1" si="563"/>
        <v>#VALUE!</v>
      </c>
      <c r="CZ169" s="10"/>
      <c r="DA169" s="51" t="e">
        <f t="shared" ca="1" si="564"/>
        <v>#VALUE!</v>
      </c>
      <c r="DB169" s="347" t="e">
        <f ca="1">INDEX(INDIRECT(VLOOKUP(LEFT(BO169,7),CLU!$Z$3:$AI$18,10)),((M169-2)*(6-COUNTBLANK(GT169:GY169)))+GJ169)*LI169</f>
        <v>#N/A</v>
      </c>
      <c r="DC169" s="347" t="str">
        <f>IF(L169&gt;0,((R169/Worksheet!$I$15)/DB169)^2," ")</f>
        <v xml:space="preserve"> </v>
      </c>
      <c r="DD169" s="602" t="str">
        <f t="shared" si="565"/>
        <v xml:space="preserve"> </v>
      </c>
      <c r="DE169" s="347" t="str">
        <f t="shared" si="458"/>
        <v xml:space="preserve"> </v>
      </c>
      <c r="DF169" s="356" t="e">
        <f ca="1">INDEX(INDIRECT(VLOOKUP(LEFT(BO169,7),CLU!$Z$3:$AH$18,8)),((M169-2)*(6-COUNTBLANK(GT169:GY169)))+GJ169)</f>
        <v>#N/A</v>
      </c>
      <c r="DG169" s="347" t="str">
        <f t="shared" si="459"/>
        <v xml:space="preserve"> </v>
      </c>
      <c r="DH169" s="357" t="str">
        <f t="shared" si="460"/>
        <v xml:space="preserve"> </v>
      </c>
      <c r="DI169" s="355" t="str">
        <f t="shared" si="461"/>
        <v xml:space="preserve"> </v>
      </c>
      <c r="DJ169" s="245" t="e">
        <f ca="1">INDEX(INDIRECT(VLOOKUP(LEFT(BO169,7),CLU!$Z$3:$AH$18,5)),GL169,GK169)</f>
        <v>#N/A</v>
      </c>
      <c r="DK169" s="245" t="e">
        <f ca="1">INDEX(INDIRECT(VLOOKUP(LEFT(BO169,7),CLU!$Z$3:$AH$18,6)),GL169,GK169)</f>
        <v>#N/A</v>
      </c>
      <c r="DL169" s="355">
        <f>(Calculation!R169*0.69143*(Calculation!$BQ$8-Calculation!$F$8))*$S$14</f>
        <v>0</v>
      </c>
      <c r="DM169" s="359" t="e">
        <f t="shared" si="566"/>
        <v>#VALUE!</v>
      </c>
      <c r="DN169" s="611">
        <f t="shared" si="567"/>
        <v>0</v>
      </c>
      <c r="DO169" s="359">
        <f t="shared" si="568"/>
        <v>100</v>
      </c>
      <c r="DP169" s="359">
        <f t="shared" si="569"/>
        <v>0</v>
      </c>
      <c r="DQ169" s="360"/>
      <c r="DR169" s="245" t="e">
        <f ca="1">INDEX(INDIRECT(VLOOKUP(LEFT(BO169,7),CLU!$Z$3:$AH$18,7)),M169-1,1)</f>
        <v>#N/A</v>
      </c>
      <c r="DS169" s="245" t="e">
        <f ca="1">INDEX(INDIRECT(VLOOKUP(LEFT(BO169,7),CLU!$Z$3:$AH$18,7)),M169-1,2)</f>
        <v>#N/A</v>
      </c>
      <c r="DT169" s="245" t="e">
        <f ca="1">INDEX(INDIRECT(VLOOKUP(LEFT(BO169,7),CLU!$Z$3:$AH$18,7)),M169-1,3)</f>
        <v>#N/A</v>
      </c>
      <c r="DU169" s="245" t="e">
        <f ca="1">INDEX(INDIRECT(VLOOKUP(LEFT(BO169,7),CLU!$Z$3:$AH$18,7)),M169-1,4)</f>
        <v>#N/A</v>
      </c>
      <c r="DV169" s="361" t="e">
        <f ca="1">INDEX(INDIRECT(VLOOKUP(LEFT(BO169,7),CLU!$Z$3:$AH$18,7)),M169-1,4+LEFT(DZ169,1)*0.5)</f>
        <v>#N/A</v>
      </c>
      <c r="DW169" s="245" t="e">
        <f ca="1">INDEX(INDIRECT(VLOOKUP(LEFT(BO169,7),CLU!$Z$3:$AH$18,7)),M169-1,8)</f>
        <v>#N/A</v>
      </c>
      <c r="DX169" s="361" t="str">
        <f t="shared" si="462"/>
        <v xml:space="preserve"> </v>
      </c>
      <c r="DY169" s="361" t="str">
        <f t="shared" si="463"/>
        <v xml:space="preserve"> </v>
      </c>
      <c r="DZ169" s="361" t="str">
        <f t="shared" si="464"/>
        <v xml:space="preserve"> </v>
      </c>
      <c r="EA169" s="362" t="str">
        <f t="shared" si="465"/>
        <v xml:space="preserve"> </v>
      </c>
      <c r="EB169" s="624" t="str">
        <f t="shared" si="570"/>
        <v xml:space="preserve"> </v>
      </c>
      <c r="EC169" s="361" t="e">
        <f ca="1">INDEX(INDIRECT(VLOOKUP(LEFT(BO169,7),CLU!$Z$3:$AH$18,7)),M169-1,4+LEFT(DZ169,1)*0.5)</f>
        <v>#N/A</v>
      </c>
      <c r="ED169" s="362" t="str">
        <f t="shared" si="466"/>
        <v xml:space="preserve"> </v>
      </c>
      <c r="EE169" s="361" t="str">
        <f t="shared" si="467"/>
        <v xml:space="preserve"> </v>
      </c>
      <c r="EF169" s="362" t="str">
        <f>IF(L169&gt;0,IF(BR169&gt;0,IF(EE169="2P",IF(Calculation!DZ169="2P",IF(Calculation!DS169=13.75,IF(Calculation!DR169=13,Worksheet!$BD$43,IF(Calculation!DR169=37,Worksheet!$BD$44,Worksheet!$BD$45)),IF(Calculation!DS169=10,IF(Calculation!DR169=18,Worksheet!$BD$29,IF(Calculation!DR169=30,Worksheet!$BD$30,IF(Calculation!DR169=42,Worksheet!$BD$31,IF(Calculation!DR169=54,Worksheet!$BD$32,IF(Calculation!DR169=66,Worksheet!$BD$33,IF(Calculation!DR169=78,Worksheet!$BD$34,IF(Calculation!DR169=90,Worksheet!$BD$35,IF(Calculation!DR169=102,Worksheet!$BD$36,Worksheet!$BD$37)))))))),IF(Calculation!DS169=12.5,IF(Calculation!DR169=18,Worksheet!$BD$38,IF(Calculation!DR169=Worksheet!$BD$39,IF(Calculation!DR169=42,Worksheet!$BD$40,IF(Calculation!DR169=54,Worksheet!$BD$41,Worksheet!$BD$42)))),IF(Calculation!DR169=18,Worksheet!$BD$11,IF(Calculation!DR169=30,Worksheet!$BD$12,IF(Calculation!DR169=42,Worksheet!$BD$13,IF(Calculation!DR169=54,Worksheet!$BD$14,IF(Calculation!DR169=66,Worksheet!$BD$15,IF(Calculation!DR169=78,Worksheet!$BD$16,IF(Calculation!DR169=90,Worksheet!$BD$17,IF(Calculation!DR169=102,Worksheet!$BD$18,Worksheet!$BD$19))))))))))),IF(Calculation!DS169=13.75,IF(Calculation!DR169=13,Worksheet!$BD$78,IF(Calculation!DR169=37,Worksheet!$BD$79,Worksheet!$BD$80)),IF(Calculation!DS169=10,IF(Calculation!DR169=18,Worksheet!$BD$64,IF(Calculation!DR169=30,Worksheet!$BD$65,IF(Calculation!DR169=42,Worksheet!$BD$66,IF(Calculation!DR169=54,Worksheet!$BD$68,IF(Calculation!DR169=66,Worksheet!$BD$68,IF(Calculation!DR169=78,Worksheet!$BD$69,IF(Calculation!DR169=90,Worksheet!$BD$70,IF(Calculation!DR169=102,Worksheet!$BD$71,Worksheet!$BD$72)))))))),IF(Calculation!DS169=12.5,IF(Calculation!DR169=18,Worksheet!$BD$73,IF(Calculation!DR169=Worksheet!$BD$74,IF(Calculation!DR169=42,Worksheet!$BD$75,IF(Calculation!DR169=54,Worksheet!$BD$76,Worksheet!$BD$77)))),IF(Calculation!DR169=18,Worksheet!$BD$55,IF(Calculation!DR169=30,Worksheet!$BD$56,IF(Calculation!DR169=42,Worksheet!$BD$57,IF(Calculation!DR169=54,Worksheet!$BD$58,IF(Calculation!DR169=66,Worksheet!$BD$59,IF(Calculation!DR169=78,Worksheet!$BD$60,IF(Calculation!DR169=90,Worksheet!$BD$61,IF(Calculation!DR169=102,Worksheet!$BD$62,Worksheet!$BD$63)))))))))))),5),0)," ")</f>
        <v xml:space="preserve"> </v>
      </c>
      <c r="EG169" s="361" t="str">
        <f t="shared" si="468"/>
        <v xml:space="preserve"> </v>
      </c>
      <c r="EH169" s="361" t="e">
        <f ca="1">INDEX(INDIRECT(VLOOKUP(LEFT(BO169,7),CLU!$Z$3:$AH$18,7)),M169-1,3+LEFT(DZ169,1))</f>
        <v>#N/A</v>
      </c>
      <c r="EI169" s="362" t="str">
        <f t="shared" si="469"/>
        <v xml:space="preserve"> </v>
      </c>
      <c r="EJ169" s="363" t="str">
        <f t="shared" si="470"/>
        <v xml:space="preserve"> </v>
      </c>
      <c r="EK169" s="363" t="str">
        <f t="shared" si="471"/>
        <v xml:space="preserve"> </v>
      </c>
      <c r="EL169" s="363" t="str">
        <f t="shared" si="472"/>
        <v xml:space="preserve"> </v>
      </c>
      <c r="EM169" s="362" t="str">
        <f>IF(L169&gt;0,IF(BR169&gt;0,(Calculation!T169/ED169)^2,0)," ")</f>
        <v xml:space="preserve"> </v>
      </c>
      <c r="EN169" s="362" t="str">
        <f>IF(L169&gt;0,IF(O169="2 Pipe (Cooling)","N/A",IF(BR169&gt;0,(Calculation!U169/EI169)^2,0))," ")</f>
        <v xml:space="preserve"> </v>
      </c>
      <c r="EO169" s="361" t="str">
        <f t="shared" si="473"/>
        <v/>
      </c>
      <c r="EP169" s="361" t="str">
        <f t="shared" si="474"/>
        <v/>
      </c>
      <c r="EQ169" s="361" t="str">
        <f t="shared" si="475"/>
        <v/>
      </c>
      <c r="ER169" s="361" t="str">
        <f t="shared" si="476"/>
        <v/>
      </c>
      <c r="ES169" s="361" t="str">
        <f t="shared" si="477"/>
        <v/>
      </c>
      <c r="ET169" s="361" t="str">
        <f t="shared" si="478"/>
        <v/>
      </c>
      <c r="EU169" s="361" t="str">
        <f t="shared" si="479"/>
        <v/>
      </c>
      <c r="EV169" s="361" t="str">
        <f t="shared" si="480"/>
        <v/>
      </c>
      <c r="EW169" s="361" t="str">
        <f t="shared" si="481"/>
        <v/>
      </c>
      <c r="EX169" s="361" t="str">
        <f t="shared" si="571"/>
        <v>1 slot, 1 way</v>
      </c>
      <c r="EY169" s="361" t="str">
        <f t="shared" si="572"/>
        <v xml:space="preserve"> </v>
      </c>
      <c r="EZ169" s="361" t="str">
        <f t="shared" si="573"/>
        <v xml:space="preserve"> </v>
      </c>
      <c r="FA169" s="361" t="str">
        <f t="shared" si="574"/>
        <v xml:space="preserve"> </v>
      </c>
      <c r="FB169" s="361" t="str">
        <f t="shared" si="575"/>
        <v xml:space="preserve"> </v>
      </c>
      <c r="FC169" s="361"/>
      <c r="FD169" s="361" t="str">
        <f>IF(J169&gt;0,IF(Calculation!R169&lt;=70,4,IF(Calculation!R169&lt;=110,5,IF(Calculation!R169&lt;=160,6,IF(Calculation!R169&lt;=300,8,"10 EO")))),"")</f>
        <v/>
      </c>
      <c r="FE169" s="361" t="str">
        <f t="shared" si="576"/>
        <v/>
      </c>
      <c r="FF169" s="361" t="str">
        <f t="shared" si="577"/>
        <v/>
      </c>
      <c r="FG169" s="361" t="e">
        <f t="shared" si="482"/>
        <v>#N/A</v>
      </c>
      <c r="FH169" s="361">
        <f t="shared" si="483"/>
        <v>0</v>
      </c>
      <c r="FI169" s="361" t="e">
        <f t="shared" si="484"/>
        <v>#DIV/0!</v>
      </c>
      <c r="FJ169" s="361"/>
      <c r="FK169" s="356" t="e">
        <f t="shared" si="485"/>
        <v>#VALUE!</v>
      </c>
      <c r="FL169" s="361"/>
      <c r="FM169" s="361"/>
      <c r="FN169" s="362" t="str">
        <f t="shared" si="578"/>
        <v xml:space="preserve"> </v>
      </c>
      <c r="FO169" s="362" t="str">
        <f t="shared" si="579"/>
        <v xml:space="preserve"> </v>
      </c>
      <c r="FP169" s="362">
        <f t="shared" si="580"/>
        <v>0</v>
      </c>
      <c r="FQ169" s="361">
        <f t="shared" si="486"/>
        <v>0</v>
      </c>
      <c r="FR169" s="362" t="str">
        <f>IF(L169&gt;0,IF(J169="CBAL2",Worksheet!$P$67,IF(J169="CBE2-24",Worksheet!$Q$67,IF(J169="CBAM",Worksheet!$R$67,IF(J169="CBLV",Worksheet!$S$67,IF(J169="CBAB",Worksheet!$U$67,IF(J169="CBAW",Worksheet!$X$67,IF(J169="CBE2-12",Worksheet!$Y$67,IF(J169="CBAL2",Worksheet!$Z$67,"N/A"))))))))," ")</f>
        <v xml:space="preserve"> </v>
      </c>
      <c r="FS169" s="362" t="str">
        <f>IF(L169&gt;0,IF(J169="CBAL2",Worksheet!$P$68,IF(J169="CBE2-24",Worksheet!$Q$68,IF(J169="CBAM",Worksheet!$R$68,IF(J169="CBLV",Worksheet!$S$68,IF(J169="CBAB",Worksheet!$U$68,IF(J169="CBAW",Worksheet!$X$68,IF(J169="CBE2-12",Worksheet!$Y$68,IF(J169="CBAL2",Worksheet!$Z$68,"N/A"))))))))," ")</f>
        <v xml:space="preserve"> </v>
      </c>
      <c r="FT169" s="362" t="str">
        <f>IF(L169&gt;0,IF(J169="CBAL2",Worksheet!$P$69,IF(J169="CBE2-24",Worksheet!$Q$69,IF(J169="CBAM",Worksheet!$R$69,IF(J169="CBLV",Worksheet!$S$69,IF(J169="CBAB",Worksheet!$U$69,IF(J169="CBAW",Worksheet!$X$69,IF(J169="CBE2-12",Worksheet!$Y$69,IF(J169="CBAL2",Worksheet!$Z$69,"N/A"))))))))," ")</f>
        <v xml:space="preserve"> </v>
      </c>
      <c r="FU169" s="361" t="str">
        <f t="shared" si="581"/>
        <v xml:space="preserve"> </v>
      </c>
      <c r="FV169" s="362" t="str">
        <f t="shared" si="582"/>
        <v xml:space="preserve"> </v>
      </c>
      <c r="FW169" s="362" t="str">
        <f t="shared" si="583"/>
        <v xml:space="preserve"> </v>
      </c>
      <c r="FX169" s="362" t="str">
        <f t="shared" si="584"/>
        <v xml:space="preserve"> </v>
      </c>
      <c r="FY169" s="355" t="str">
        <f t="shared" si="585"/>
        <v xml:space="preserve"> </v>
      </c>
      <c r="FZ169" s="361" t="str">
        <f t="shared" si="586"/>
        <v xml:space="preserve"> </v>
      </c>
      <c r="GA169" s="347" t="str">
        <f t="shared" si="587"/>
        <v xml:space="preserve"> </v>
      </c>
      <c r="GB169" s="355" t="str">
        <f t="shared" si="588"/>
        <v xml:space="preserve"> </v>
      </c>
      <c r="GC169" s="328" t="str">
        <f t="shared" si="589"/>
        <v xml:space="preserve"> </v>
      </c>
      <c r="GD169" s="361" t="str">
        <f t="shared" si="590"/>
        <v xml:space="preserve"> </v>
      </c>
      <c r="GE169" s="347" t="str">
        <f t="shared" si="591"/>
        <v xml:space="preserve"> </v>
      </c>
      <c r="GF169" s="361" t="str">
        <f t="shared" si="592"/>
        <v xml:space="preserve"> </v>
      </c>
      <c r="GG169" s="347" t="str">
        <f t="shared" si="593"/>
        <v xml:space="preserve"> </v>
      </c>
      <c r="GH169" s="364">
        <f t="shared" si="487"/>
        <v>0</v>
      </c>
      <c r="GI169" s="362">
        <f t="shared" si="594"/>
        <v>2</v>
      </c>
      <c r="GJ169" s="433" t="e">
        <f>IF(6-COUNTBLANK(GT169:GY169)=4,MATCH(MID(BO169,9,3),CLU!$H$16:$K$16),MATCH(MID(BO169,9,3),CLU!$H$13:$M$13))</f>
        <v>#N/A</v>
      </c>
      <c r="GK169" s="433" t="e">
        <f>HLOOKUP(VALUE(BP169),CLU!$H$9:$M$10,2)</f>
        <v>#VALUE!</v>
      </c>
      <c r="GL169" s="433" t="e">
        <f ca="1">MATCH(BU169,CLU!$H$2:$V$2,1)</f>
        <v>#VALUE!</v>
      </c>
      <c r="GM169" s="433" t="e">
        <f t="shared" ca="1" si="595"/>
        <v>#VALUE!</v>
      </c>
      <c r="GN169" s="433" t="e">
        <f t="shared" ca="1" si="596"/>
        <v>#VALUE!</v>
      </c>
      <c r="GO169" s="433" t="e">
        <f t="shared" ca="1" si="597"/>
        <v>#VALUE!</v>
      </c>
      <c r="GP169" s="433" t="e">
        <f t="shared" ca="1" si="598"/>
        <v>#VALUE!</v>
      </c>
      <c r="GQ169" s="433" t="e">
        <f t="shared" ca="1" si="599"/>
        <v>#VALUE!</v>
      </c>
      <c r="GR169" s="433" t="e">
        <f ca="1">MATCH(T169,INDIRECT(VLOOKUP(CONCATENATE(LEFT(BO169,7),"-",MID(BO169,13,1)),CLU!$P$3:$Q$16,2)),1)</f>
        <v>#N/A</v>
      </c>
      <c r="GS169" s="433" t="e">
        <f ca="1">MATCH(U169,INDIRECT(VLOOKUP(CONCATENATE(LEFT(BO169,7),"-",MID(BO169,13,1)),CLU!$P$3:$Q$16,2)),1)</f>
        <v>#N/A</v>
      </c>
      <c r="GT169" s="347" t="s">
        <v>512</v>
      </c>
      <c r="GU169" s="97" t="s">
        <v>513</v>
      </c>
      <c r="GV169" s="97" t="str">
        <f t="shared" si="600"/>
        <v>M23</v>
      </c>
      <c r="GW169" s="97" t="str">
        <f t="shared" si="601"/>
        <v>M31</v>
      </c>
      <c r="GX169" s="97" t="str">
        <f t="shared" si="602"/>
        <v/>
      </c>
      <c r="GY169" s="97" t="str">
        <f t="shared" si="603"/>
        <v/>
      </c>
      <c r="GZ169" s="481"/>
      <c r="HA169" s="288"/>
      <c r="HB169" s="240"/>
      <c r="HC169" s="240"/>
      <c r="HD169" s="240"/>
      <c r="HE169" s="240"/>
      <c r="HF169" s="240"/>
      <c r="HG169" s="240"/>
      <c r="HH169" s="240"/>
      <c r="HI169" s="240"/>
      <c r="HJ169" s="240"/>
      <c r="HK169" s="240"/>
      <c r="HL169" s="240"/>
      <c r="HM169" s="240"/>
      <c r="HN169" s="240"/>
      <c r="HO169" s="240"/>
      <c r="HP169" s="240"/>
      <c r="HQ169" s="240"/>
      <c r="HR169" s="240"/>
      <c r="HS169" s="240"/>
      <c r="HT169" s="240"/>
      <c r="HU169" s="240"/>
      <c r="HV169" s="245"/>
      <c r="HW169" s="245" t="b">
        <v>1</v>
      </c>
      <c r="HX169" s="245" t="str">
        <f t="shared" si="488"/>
        <v/>
      </c>
      <c r="HY169" s="245" t="e">
        <f t="shared" si="489"/>
        <v>#DIV/0!</v>
      </c>
      <c r="HZ169" s="245" t="e">
        <f t="shared" si="490"/>
        <v>#DIV/0!</v>
      </c>
      <c r="IA169" s="245">
        <f t="shared" si="491"/>
        <v>0</v>
      </c>
      <c r="IB169" s="245"/>
      <c r="IC169" t="b">
        <f t="shared" si="492"/>
        <v>1</v>
      </c>
      <c r="ID169" s="245" t="b">
        <f t="shared" si="493"/>
        <v>1</v>
      </c>
      <c r="IE169" s="245" t="b">
        <f t="shared" si="494"/>
        <v>1</v>
      </c>
      <c r="IF169" s="245" t="b">
        <f t="shared" si="495"/>
        <v>0</v>
      </c>
      <c r="IG169" s="245" t="b">
        <f t="shared" si="496"/>
        <v>1</v>
      </c>
      <c r="IH169" s="245" t="b">
        <f t="shared" si="497"/>
        <v>1</v>
      </c>
      <c r="II169" s="245">
        <f t="shared" si="604"/>
        <v>0</v>
      </c>
      <c r="IJ169" s="245" t="e">
        <f t="shared" si="498"/>
        <v>#VALUE!</v>
      </c>
      <c r="IK169" s="245" t="e">
        <f t="shared" si="499"/>
        <v>#VALUE!</v>
      </c>
      <c r="IL169" s="245"/>
      <c r="IM169" s="245" t="e">
        <f t="shared" si="605"/>
        <v>#N/A</v>
      </c>
      <c r="IN169" s="245" t="e">
        <f t="shared" si="606"/>
        <v>#N/A</v>
      </c>
      <c r="IO169" s="245"/>
      <c r="IP169" s="245"/>
      <c r="IQ169" s="245" t="str">
        <f t="shared" si="500"/>
        <v/>
      </c>
      <c r="IR169" s="245" t="str">
        <f>IF(J169="","",VLOOKUP(J169,Worksheet!$R$4:$T$14,2))</f>
        <v/>
      </c>
      <c r="IS169" s="245"/>
      <c r="IT169" s="245">
        <f t="shared" si="501"/>
        <v>0</v>
      </c>
      <c r="IU169" s="245">
        <f t="shared" si="502"/>
        <v>0</v>
      </c>
      <c r="IV169" s="245">
        <f t="shared" si="503"/>
        <v>0</v>
      </c>
      <c r="IW169" s="245">
        <f t="shared" si="504"/>
        <v>0</v>
      </c>
      <c r="IX169" s="245">
        <f t="shared" si="607"/>
        <v>0</v>
      </c>
      <c r="IY169" s="245">
        <f t="shared" si="505"/>
        <v>0</v>
      </c>
      <c r="IZ169" s="245">
        <f t="shared" si="506"/>
        <v>0</v>
      </c>
      <c r="JA169">
        <f t="shared" si="507"/>
        <v>0</v>
      </c>
      <c r="JB169">
        <f t="shared" si="608"/>
        <v>0</v>
      </c>
      <c r="JC169">
        <f t="shared" si="508"/>
        <v>0</v>
      </c>
      <c r="JD169">
        <f t="shared" si="509"/>
        <v>0</v>
      </c>
      <c r="JE169">
        <f t="shared" si="510"/>
        <v>0</v>
      </c>
      <c r="JF169">
        <f t="shared" si="511"/>
        <v>0</v>
      </c>
      <c r="JG169">
        <f t="shared" si="512"/>
        <v>0</v>
      </c>
      <c r="JH169">
        <f t="shared" si="513"/>
        <v>0</v>
      </c>
      <c r="JI169">
        <f t="shared" si="514"/>
        <v>0</v>
      </c>
      <c r="JJ169" s="447">
        <f t="shared" si="515"/>
        <v>0</v>
      </c>
      <c r="JK169" s="447">
        <f t="shared" si="516"/>
        <v>0</v>
      </c>
      <c r="JL169">
        <f t="shared" si="517"/>
        <v>0</v>
      </c>
      <c r="JM169" s="245" t="str">
        <f>IFERROR(VLOOKUP(MATCH(BN169,#REF!,0),#REF!,7),"")</f>
        <v/>
      </c>
      <c r="JN169" t="e">
        <f>HLOOKUP(LEFT(BO169,7),Discharge_Area,MATCH(JO169,LookUps!$B$130:$B$149,1)+2)</f>
        <v>#N/A</v>
      </c>
      <c r="JO169" t="str">
        <f t="shared" si="518"/>
        <v>- S</v>
      </c>
      <c r="JP169" t="e">
        <f>HLOOKUP(LEFT(BO169,7),Discharge_Area,MATCH(JO169,LookUps!$B$130:$B$149,1)+2)</f>
        <v>#N/A</v>
      </c>
      <c r="JQ169" t="e">
        <f t="shared" si="519"/>
        <v>#N/A</v>
      </c>
      <c r="JR169" t="e">
        <f t="shared" si="520"/>
        <v>#N/A</v>
      </c>
      <c r="JS169" t="e">
        <f t="shared" si="521"/>
        <v>#N/A</v>
      </c>
      <c r="JT169" s="532" t="str">
        <f t="shared" si="522"/>
        <v xml:space="preserve"> </v>
      </c>
      <c r="JU169" s="532" t="str">
        <f t="shared" si="523"/>
        <v xml:space="preserve"> </v>
      </c>
      <c r="JV169" s="533" t="str">
        <f t="shared" si="524"/>
        <v xml:space="preserve"> </v>
      </c>
      <c r="JW169" s="534">
        <f t="shared" si="525"/>
        <v>0</v>
      </c>
      <c r="JX169" s="535" t="str">
        <f t="shared" si="609"/>
        <v xml:space="preserve"> </v>
      </c>
      <c r="JY169" s="535" t="str">
        <f t="shared" si="610"/>
        <v xml:space="preserve"> </v>
      </c>
      <c r="JZ169" s="535" t="str">
        <f t="shared" si="611"/>
        <v xml:space="preserve"> </v>
      </c>
      <c r="KA169" s="536" t="str">
        <f t="shared" si="526"/>
        <v xml:space="preserve"> </v>
      </c>
      <c r="KB169" s="535" t="e">
        <f t="shared" si="612"/>
        <v>#VALUE!</v>
      </c>
      <c r="KC169" s="535" t="str">
        <f t="shared" si="527"/>
        <v/>
      </c>
      <c r="KD169" s="537" t="str">
        <f t="shared" si="613"/>
        <v xml:space="preserve"> </v>
      </c>
      <c r="KE169" s="537" t="str">
        <f t="shared" si="614"/>
        <v xml:space="preserve"> </v>
      </c>
      <c r="KF169" s="534">
        <f t="shared" si="528"/>
        <v>0</v>
      </c>
      <c r="KG169" s="535" t="str">
        <f t="shared" si="529"/>
        <v xml:space="preserve"> </v>
      </c>
      <c r="KH169" s="535" t="str">
        <f t="shared" si="530"/>
        <v xml:space="preserve"> </v>
      </c>
      <c r="KI169" s="535" t="str">
        <f t="shared" si="531"/>
        <v xml:space="preserve"> </v>
      </c>
      <c r="KJ169" s="536" t="str">
        <f t="shared" si="532"/>
        <v xml:space="preserve"> </v>
      </c>
      <c r="KK169" s="535" t="str">
        <f t="shared" si="615"/>
        <v xml:space="preserve"> </v>
      </c>
      <c r="KL169" s="535" t="str">
        <f t="shared" si="616"/>
        <v xml:space="preserve"> </v>
      </c>
      <c r="KM169" s="537" t="str">
        <f t="shared" si="533"/>
        <v xml:space="preserve"> </v>
      </c>
      <c r="KN169" s="537" t="str">
        <f t="shared" si="617"/>
        <v xml:space="preserve"> </v>
      </c>
      <c r="KP169">
        <f t="shared" si="534"/>
        <v>0</v>
      </c>
      <c r="LA169" t="e">
        <f t="shared" si="535"/>
        <v>#VALUE!</v>
      </c>
      <c r="LB169" t="e">
        <f t="shared" si="536"/>
        <v>#VALUE!</v>
      </c>
      <c r="LC169" t="e">
        <f t="shared" si="537"/>
        <v>#VALUE!</v>
      </c>
      <c r="LD169" t="e">
        <f t="shared" si="538"/>
        <v>#VALUE!</v>
      </c>
      <c r="LE169" t="e">
        <f t="shared" si="618"/>
        <v>#VALUE!</v>
      </c>
      <c r="LF169">
        <f t="shared" si="539"/>
        <v>0</v>
      </c>
      <c r="LG169" t="e">
        <f t="shared" si="619"/>
        <v>#VALUE!</v>
      </c>
      <c r="LH169" t="str">
        <f t="shared" si="540"/>
        <v xml:space="preserve"> </v>
      </c>
      <c r="LI169">
        <f t="shared" si="620"/>
        <v>1</v>
      </c>
    </row>
    <row r="170" spans="2:321" ht="15" customHeight="1">
      <c r="B170" s="311"/>
      <c r="C170" s="311"/>
      <c r="D170" s="312"/>
      <c r="E170" s="311"/>
      <c r="F170" s="312"/>
      <c r="G170" s="311"/>
      <c r="H170" s="311"/>
      <c r="I170" s="37"/>
      <c r="J170" s="311"/>
      <c r="K170" s="305" t="str">
        <f t="shared" si="541"/>
        <v/>
      </c>
      <c r="L170" s="313"/>
      <c r="M170" s="312"/>
      <c r="N170" s="311"/>
      <c r="O170" s="312"/>
      <c r="P170" s="311"/>
      <c r="Q170" s="305" t="str">
        <f t="shared" si="542"/>
        <v/>
      </c>
      <c r="R170" s="314"/>
      <c r="S170" s="450" t="str">
        <f t="shared" si="425"/>
        <v/>
      </c>
      <c r="T170" s="315"/>
      <c r="U170" s="315"/>
      <c r="W170" s="149" t="str">
        <f t="shared" si="426"/>
        <v xml:space="preserve"> </v>
      </c>
      <c r="X170" s="243" t="str">
        <f t="shared" si="427"/>
        <v xml:space="preserve"> </v>
      </c>
      <c r="Y170" s="150" t="str">
        <f t="shared" si="428"/>
        <v/>
      </c>
      <c r="Z170" s="149" t="str">
        <f t="shared" si="429"/>
        <v xml:space="preserve"> </v>
      </c>
      <c r="AA170" s="98" t="str">
        <f t="shared" si="430"/>
        <v xml:space="preserve"> </v>
      </c>
      <c r="AB170" s="153" t="str">
        <f t="shared" si="431"/>
        <v xml:space="preserve"> </v>
      </c>
      <c r="AC170" s="153" t="str">
        <f t="shared" si="432"/>
        <v xml:space="preserve"> </v>
      </c>
      <c r="AD170" s="148" t="str">
        <f t="shared" si="433"/>
        <v/>
      </c>
      <c r="AE170" s="149" t="str">
        <f t="shared" si="434"/>
        <v/>
      </c>
      <c r="AF170" s="151" t="str">
        <f t="shared" si="435"/>
        <v xml:space="preserve"> </v>
      </c>
      <c r="AG170" s="153" t="str">
        <f t="shared" si="436"/>
        <v xml:space="preserve"> </v>
      </c>
      <c r="AH170" s="98" t="str">
        <f t="shared" si="437"/>
        <v xml:space="preserve"> </v>
      </c>
      <c r="AI170" s="149" t="str">
        <f t="shared" si="438"/>
        <v xml:space="preserve"> </v>
      </c>
      <c r="AK170" s="144" t="str">
        <f t="shared" si="439"/>
        <v xml:space="preserve"> </v>
      </c>
      <c r="AL170" s="144"/>
      <c r="AM170" s="243" t="str">
        <f t="shared" si="440"/>
        <v xml:space="preserve"> </v>
      </c>
      <c r="AN170" s="149" t="str">
        <f t="shared" si="543"/>
        <v xml:space="preserve"> </v>
      </c>
      <c r="AO170" s="144" t="str">
        <f>IF(JB170&gt;0,IF(GI170=10,-R170*1.085*(Calculation!$F$6-Calculation!$F$13)*$S$14," "),"")</f>
        <v/>
      </c>
      <c r="AP170" s="144" t="str">
        <f t="shared" si="441"/>
        <v/>
      </c>
      <c r="AQ170" s="56" t="str">
        <f t="shared" si="442"/>
        <v/>
      </c>
      <c r="AR170" s="144" t="str">
        <f t="shared" si="443"/>
        <v/>
      </c>
      <c r="AS170" s="176" t="str">
        <f t="shared" si="444"/>
        <v/>
      </c>
      <c r="AT170" s="176" t="str">
        <f t="shared" si="544"/>
        <v xml:space="preserve"> </v>
      </c>
      <c r="AU170" s="176" t="str">
        <f t="shared" si="445"/>
        <v/>
      </c>
      <c r="AV170" s="177" t="str">
        <f t="shared" si="446"/>
        <v xml:space="preserve"> </v>
      </c>
      <c r="AW170" s="144" t="str">
        <f t="shared" si="447"/>
        <v xml:space="preserve"> </v>
      </c>
      <c r="AX170" s="144" t="str">
        <f t="shared" si="448"/>
        <v xml:space="preserve"> </v>
      </c>
      <c r="AY170" s="152" t="str">
        <f t="shared" si="449"/>
        <v xml:space="preserve"> </v>
      </c>
      <c r="AZ170" s="246" t="str">
        <f t="shared" si="450"/>
        <v/>
      </c>
      <c r="BA170" s="176" t="str">
        <f t="shared" si="451"/>
        <v xml:space="preserve"> </v>
      </c>
      <c r="BB170" s="176" t="str">
        <f t="shared" si="452"/>
        <v xml:space="preserve"> </v>
      </c>
      <c r="BC170" s="195"/>
      <c r="BD170" s="316"/>
      <c r="BE170" s="317"/>
      <c r="BF170" s="318"/>
      <c r="BG170" s="318"/>
      <c r="BH170" s="144" t="str">
        <f t="shared" si="621"/>
        <v xml:space="preserve"> </v>
      </c>
      <c r="BI170" s="176" t="str">
        <f t="shared" si="453"/>
        <v/>
      </c>
      <c r="BJ170" s="144" t="str">
        <f t="shared" si="622"/>
        <v/>
      </c>
      <c r="BK170" s="246" t="str">
        <f t="shared" si="454"/>
        <v/>
      </c>
      <c r="BL170" s="144" t="str">
        <f t="shared" si="623"/>
        <v/>
      </c>
      <c r="BM170" s="246" t="str">
        <f t="shared" si="455"/>
        <v/>
      </c>
      <c r="BN170" s="337" t="str">
        <f t="shared" si="545"/>
        <v/>
      </c>
      <c r="BO170" s="371" t="str">
        <f t="shared" si="546"/>
        <v/>
      </c>
      <c r="BP170" s="328" t="str">
        <f t="shared" si="624"/>
        <v xml:space="preserve"> </v>
      </c>
      <c r="BQ170" s="347" t="str">
        <f t="shared" si="547"/>
        <v xml:space="preserve"> </v>
      </c>
      <c r="BR170" s="353" t="str">
        <f t="shared" si="548"/>
        <v xml:space="preserve"> </v>
      </c>
      <c r="BS170" s="626" t="str">
        <f>IF(L170&gt;0,IF(Calculation!P170="M13",BR170*3.1416*(0.134^2)/(4*144),IF(Calculation!P170="M17",BR170*3.1416*(0.165^2)/(4*144),IF(Calculation!P170="M20",BR170*3.1416*(0.198^2)/(4*144),IF(Calculation!P170="M23",BR170*3.1416*(0.228^2)/(4*144),IF(Calculation!P170="M27",BR170*3.1416*(0.269^2)/(4*144),BR170*3.1416*(0.307^2)/(4*144))))))," ")</f>
        <v xml:space="preserve"> </v>
      </c>
      <c r="BT170" s="353" t="str">
        <f>IF(L170&gt;0,IF(BS170&gt;0,R170/Calculation!BS170,0)," ")</f>
        <v xml:space="preserve"> </v>
      </c>
      <c r="BU170" s="438" t="e">
        <f t="shared" ca="1" si="456"/>
        <v>#VALUE!</v>
      </c>
      <c r="BV170" s="449" t="e">
        <f ca="1">INDEX(INDIRECT(VLOOKUP(LEFT(BO170,7),CLU!$Z$3:$AH$18,2)),GN170,GR170)</f>
        <v>#N/A</v>
      </c>
      <c r="BW170" s="433" t="e">
        <f ca="1">INDEX(INDIRECT(VLOOKUP(LEFT(BO170,7),CLU!$Z$3:$AH$18,3)),GN170,GR170)</f>
        <v>#N/A</v>
      </c>
      <c r="BX170" s="433" t="e">
        <f ca="1">INDEX(INDIRECT(VLOOKUP(LEFT(BO170,7),CLU!$Z$3:$AH$18,4)),GN170,GR170)</f>
        <v>#N/A</v>
      </c>
      <c r="BY170" s="433" t="e">
        <f ca="1">INDEX(INDIRECT(VLOOKUP(LEFT(BO170,7),CLU!$Z$3:$AH$18,9)),((M170-2)*(6-COUNTBLANK(GT170:GY170)))+GJ170)</f>
        <v>#N/A</v>
      </c>
      <c r="BZ170" s="426" t="e">
        <f t="shared" ca="1" si="549"/>
        <v>#N/A</v>
      </c>
      <c r="CA170" s="424" t="e">
        <f t="shared" ca="1" si="550"/>
        <v>#N/A</v>
      </c>
      <c r="CB170" s="429" t="e">
        <f ca="1">INDEX(INDIRECT(VLOOKUP(LEFT(BO170,7),CLU!$Z$3:$AH$18,2)),GN170,GS170)</f>
        <v>#N/A</v>
      </c>
      <c r="CC170" s="342" t="e">
        <f ca="1">INDEX(INDIRECT(VLOOKUP(LEFT(BO170,7),CLU!$Z$3:$AH$18,3)),GN170,GS170)</f>
        <v>#N/A</v>
      </c>
      <c r="CD170" s="342" t="e">
        <f ca="1">INDEX(INDIRECT(VLOOKUP(LEFT(BO170,7),CLU!$Z$3:$AH$18,4)),GN170,GS170)</f>
        <v>#N/A</v>
      </c>
      <c r="CE170" s="426" t="e">
        <f t="shared" ca="1" si="551"/>
        <v>#N/A</v>
      </c>
      <c r="CF170" s="440">
        <f t="shared" si="552"/>
        <v>0</v>
      </c>
      <c r="CG170" s="431" t="e">
        <f ca="1">INDEX(INDIRECT(VLOOKUP(LEFT(BO170,7),CLU!$Z$3:$AH$18,2)),GQ170,GR170)</f>
        <v>#N/A</v>
      </c>
      <c r="CH170" s="431" t="e">
        <f ca="1">INDEX(INDIRECT(VLOOKUP(LEFT(BO170,7),CLU!$Z$3:$AH$18,3)),GQ170,GR170)</f>
        <v>#N/A</v>
      </c>
      <c r="CI170" s="431" t="e">
        <f ca="1">INDEX(INDIRECT(VLOOKUP(LEFT(BO170,7),CLU!$Z$3:$AH$18,4)),GQ170,GR170)</f>
        <v>#N/A</v>
      </c>
      <c r="CJ170" s="448" t="e">
        <f t="shared" ca="1" si="553"/>
        <v>#N/A</v>
      </c>
      <c r="CK170" s="431" t="e">
        <f t="shared" ca="1" si="554"/>
        <v>#N/A</v>
      </c>
      <c r="CL170" s="440" t="e">
        <f t="shared" ca="1" si="555"/>
        <v>#N/A</v>
      </c>
      <c r="CM170" s="431" t="e">
        <f ca="1">INDEX(INDIRECT(VLOOKUP(LEFT(BO170,7),CLU!$Z$3:$AH$18,2)),GQ170,GS170)</f>
        <v>#N/A</v>
      </c>
      <c r="CN170" s="431" t="e">
        <f ca="1">INDEX(INDIRECT(VLOOKUP(LEFT(BO170,7),CLU!$Z$3:$AH$18,3)),GQ170,GS170)</f>
        <v>#N/A</v>
      </c>
      <c r="CO170" s="431" t="e">
        <f ca="1">INDEX(INDIRECT(VLOOKUP(LEFT(BO170,7),CLU!$Z$3:$AH$18,4)),GQ170,GS170)</f>
        <v>#N/A</v>
      </c>
      <c r="CP170" s="431" t="e">
        <f t="shared" ca="1" si="556"/>
        <v>#N/A</v>
      </c>
      <c r="CQ170" s="440">
        <f t="shared" si="557"/>
        <v>0</v>
      </c>
      <c r="CR170" s="51" t="e">
        <f t="shared" ca="1" si="558"/>
        <v>#N/A</v>
      </c>
      <c r="CS170" s="439" t="e">
        <f t="shared" ca="1" si="559"/>
        <v>#VALUE!</v>
      </c>
      <c r="CT170" s="51" t="e">
        <f t="shared" ca="1" si="560"/>
        <v>#VALUE!</v>
      </c>
      <c r="CU170" s="10"/>
      <c r="CV170" s="51" t="e">
        <f t="shared" ca="1" si="457"/>
        <v>#VALUE!</v>
      </c>
      <c r="CW170" s="51">
        <f t="shared" si="561"/>
        <v>0</v>
      </c>
      <c r="CX170" s="439" t="e">
        <f t="shared" ca="1" si="562"/>
        <v>#VALUE!</v>
      </c>
      <c r="CY170" s="51" t="e">
        <f t="shared" ca="1" si="563"/>
        <v>#VALUE!</v>
      </c>
      <c r="CZ170" s="10"/>
      <c r="DA170" s="51" t="e">
        <f t="shared" ca="1" si="564"/>
        <v>#VALUE!</v>
      </c>
      <c r="DB170" s="347" t="e">
        <f ca="1">INDEX(INDIRECT(VLOOKUP(LEFT(BO170,7),CLU!$Z$3:$AI$18,10)),((M170-2)*(6-COUNTBLANK(GT170:GY170)))+GJ170)*LI170</f>
        <v>#N/A</v>
      </c>
      <c r="DC170" s="347" t="str">
        <f>IF(L170&gt;0,((R170/Worksheet!$I$15)/DB170)^2," ")</f>
        <v xml:space="preserve"> </v>
      </c>
      <c r="DD170" s="602" t="str">
        <f t="shared" si="565"/>
        <v xml:space="preserve"> </v>
      </c>
      <c r="DE170" s="347" t="str">
        <f t="shared" si="458"/>
        <v xml:space="preserve"> </v>
      </c>
      <c r="DF170" s="356" t="e">
        <f ca="1">INDEX(INDIRECT(VLOOKUP(LEFT(BO170,7),CLU!$Z$3:$AH$18,8)),((M170-2)*(6-COUNTBLANK(GT170:GY170)))+GJ170)</f>
        <v>#N/A</v>
      </c>
      <c r="DG170" s="347" t="str">
        <f t="shared" si="459"/>
        <v xml:space="preserve"> </v>
      </c>
      <c r="DH170" s="357" t="str">
        <f t="shared" si="460"/>
        <v xml:space="preserve"> </v>
      </c>
      <c r="DI170" s="355" t="str">
        <f t="shared" si="461"/>
        <v xml:space="preserve"> </v>
      </c>
      <c r="DJ170" s="245" t="e">
        <f ca="1">INDEX(INDIRECT(VLOOKUP(LEFT(BO170,7),CLU!$Z$3:$AH$18,5)),GL170,GK170)</f>
        <v>#N/A</v>
      </c>
      <c r="DK170" s="245" t="e">
        <f ca="1">INDEX(INDIRECT(VLOOKUP(LEFT(BO170,7),CLU!$Z$3:$AH$18,6)),GL170,GK170)</f>
        <v>#N/A</v>
      </c>
      <c r="DL170" s="355">
        <f>(Calculation!R170*0.69143*(Calculation!$BQ$8-Calculation!$F$8))*$S$14</f>
        <v>0</v>
      </c>
      <c r="DM170" s="359" t="e">
        <f t="shared" si="566"/>
        <v>#VALUE!</v>
      </c>
      <c r="DN170" s="611">
        <f t="shared" si="567"/>
        <v>0</v>
      </c>
      <c r="DO170" s="359">
        <f t="shared" si="568"/>
        <v>100</v>
      </c>
      <c r="DP170" s="359">
        <f t="shared" si="569"/>
        <v>0</v>
      </c>
      <c r="DQ170" s="360"/>
      <c r="DR170" s="245" t="e">
        <f ca="1">INDEX(INDIRECT(VLOOKUP(LEFT(BO170,7),CLU!$Z$3:$AH$18,7)),M170-1,1)</f>
        <v>#N/A</v>
      </c>
      <c r="DS170" s="245" t="e">
        <f ca="1">INDEX(INDIRECT(VLOOKUP(LEFT(BO170,7),CLU!$Z$3:$AH$18,7)),M170-1,2)</f>
        <v>#N/A</v>
      </c>
      <c r="DT170" s="245" t="e">
        <f ca="1">INDEX(INDIRECT(VLOOKUP(LEFT(BO170,7),CLU!$Z$3:$AH$18,7)),M170-1,3)</f>
        <v>#N/A</v>
      </c>
      <c r="DU170" s="245" t="e">
        <f ca="1">INDEX(INDIRECT(VLOOKUP(LEFT(BO170,7),CLU!$Z$3:$AH$18,7)),M170-1,4)</f>
        <v>#N/A</v>
      </c>
      <c r="DV170" s="361" t="e">
        <f ca="1">INDEX(INDIRECT(VLOOKUP(LEFT(BO170,7),CLU!$Z$3:$AH$18,7)),M170-1,4+LEFT(DZ170,1)*0.5)</f>
        <v>#N/A</v>
      </c>
      <c r="DW170" s="245" t="e">
        <f ca="1">INDEX(INDIRECT(VLOOKUP(LEFT(BO170,7),CLU!$Z$3:$AH$18,7)),M170-1,8)</f>
        <v>#N/A</v>
      </c>
      <c r="DX170" s="361" t="str">
        <f t="shared" si="462"/>
        <v xml:space="preserve"> </v>
      </c>
      <c r="DY170" s="361" t="str">
        <f t="shared" si="463"/>
        <v xml:space="preserve"> </v>
      </c>
      <c r="DZ170" s="361" t="str">
        <f t="shared" si="464"/>
        <v xml:space="preserve"> </v>
      </c>
      <c r="EA170" s="362" t="str">
        <f t="shared" si="465"/>
        <v xml:space="preserve"> </v>
      </c>
      <c r="EB170" s="624" t="str">
        <f t="shared" si="570"/>
        <v xml:space="preserve"> </v>
      </c>
      <c r="EC170" s="361" t="e">
        <f ca="1">INDEX(INDIRECT(VLOOKUP(LEFT(BO170,7),CLU!$Z$3:$AH$18,7)),M170-1,4+LEFT(DZ170,1)*0.5)</f>
        <v>#N/A</v>
      </c>
      <c r="ED170" s="362" t="str">
        <f t="shared" si="466"/>
        <v xml:space="preserve"> </v>
      </c>
      <c r="EE170" s="361" t="str">
        <f t="shared" si="467"/>
        <v xml:space="preserve"> </v>
      </c>
      <c r="EF170" s="362" t="str">
        <f>IF(L170&gt;0,IF(BR170&gt;0,IF(EE170="2P",IF(Calculation!DZ170="2P",IF(Calculation!DS170=13.75,IF(Calculation!DR170=13,Worksheet!$BD$43,IF(Calculation!DR170=37,Worksheet!$BD$44,Worksheet!$BD$45)),IF(Calculation!DS170=10,IF(Calculation!DR170=18,Worksheet!$BD$29,IF(Calculation!DR170=30,Worksheet!$BD$30,IF(Calculation!DR170=42,Worksheet!$BD$31,IF(Calculation!DR170=54,Worksheet!$BD$32,IF(Calculation!DR170=66,Worksheet!$BD$33,IF(Calculation!DR170=78,Worksheet!$BD$34,IF(Calculation!DR170=90,Worksheet!$BD$35,IF(Calculation!DR170=102,Worksheet!$BD$36,Worksheet!$BD$37)))))))),IF(Calculation!DS170=12.5,IF(Calculation!DR170=18,Worksheet!$BD$38,IF(Calculation!DR170=Worksheet!$BD$39,IF(Calculation!DR170=42,Worksheet!$BD$40,IF(Calculation!DR170=54,Worksheet!$BD$41,Worksheet!$BD$42)))),IF(Calculation!DR170=18,Worksheet!$BD$11,IF(Calculation!DR170=30,Worksheet!$BD$12,IF(Calculation!DR170=42,Worksheet!$BD$13,IF(Calculation!DR170=54,Worksheet!$BD$14,IF(Calculation!DR170=66,Worksheet!$BD$15,IF(Calculation!DR170=78,Worksheet!$BD$16,IF(Calculation!DR170=90,Worksheet!$BD$17,IF(Calculation!DR170=102,Worksheet!$BD$18,Worksheet!$BD$19))))))))))),IF(Calculation!DS170=13.75,IF(Calculation!DR170=13,Worksheet!$BD$78,IF(Calculation!DR170=37,Worksheet!$BD$79,Worksheet!$BD$80)),IF(Calculation!DS170=10,IF(Calculation!DR170=18,Worksheet!$BD$64,IF(Calculation!DR170=30,Worksheet!$BD$65,IF(Calculation!DR170=42,Worksheet!$BD$66,IF(Calculation!DR170=54,Worksheet!$BD$68,IF(Calculation!DR170=66,Worksheet!$BD$68,IF(Calculation!DR170=78,Worksheet!$BD$69,IF(Calculation!DR170=90,Worksheet!$BD$70,IF(Calculation!DR170=102,Worksheet!$BD$71,Worksheet!$BD$72)))))))),IF(Calculation!DS170=12.5,IF(Calculation!DR170=18,Worksheet!$BD$73,IF(Calculation!DR170=Worksheet!$BD$74,IF(Calculation!DR170=42,Worksheet!$BD$75,IF(Calculation!DR170=54,Worksheet!$BD$76,Worksheet!$BD$77)))),IF(Calculation!DR170=18,Worksheet!$BD$55,IF(Calculation!DR170=30,Worksheet!$BD$56,IF(Calculation!DR170=42,Worksheet!$BD$57,IF(Calculation!DR170=54,Worksheet!$BD$58,IF(Calculation!DR170=66,Worksheet!$BD$59,IF(Calculation!DR170=78,Worksheet!$BD$60,IF(Calculation!DR170=90,Worksheet!$BD$61,IF(Calculation!DR170=102,Worksheet!$BD$62,Worksheet!$BD$63)))))))))))),5),0)," ")</f>
        <v xml:space="preserve"> </v>
      </c>
      <c r="EG170" s="361" t="str">
        <f t="shared" si="468"/>
        <v xml:space="preserve"> </v>
      </c>
      <c r="EH170" s="361" t="e">
        <f ca="1">INDEX(INDIRECT(VLOOKUP(LEFT(BO170,7),CLU!$Z$3:$AH$18,7)),M170-1,3+LEFT(DZ170,1))</f>
        <v>#N/A</v>
      </c>
      <c r="EI170" s="362" t="str">
        <f t="shared" si="469"/>
        <v xml:space="preserve"> </v>
      </c>
      <c r="EJ170" s="363" t="str">
        <f t="shared" si="470"/>
        <v xml:space="preserve"> </v>
      </c>
      <c r="EK170" s="363" t="str">
        <f t="shared" si="471"/>
        <v xml:space="preserve"> </v>
      </c>
      <c r="EL170" s="363" t="str">
        <f t="shared" si="472"/>
        <v xml:space="preserve"> </v>
      </c>
      <c r="EM170" s="362" t="str">
        <f>IF(L170&gt;0,IF(BR170&gt;0,(Calculation!T170/ED170)^2,0)," ")</f>
        <v xml:space="preserve"> </v>
      </c>
      <c r="EN170" s="362" t="str">
        <f>IF(L170&gt;0,IF(O170="2 Pipe (Cooling)","N/A",IF(BR170&gt;0,(Calculation!U170/EI170)^2,0))," ")</f>
        <v xml:space="preserve"> </v>
      </c>
      <c r="EO170" s="361" t="str">
        <f t="shared" si="473"/>
        <v/>
      </c>
      <c r="EP170" s="361" t="str">
        <f t="shared" si="474"/>
        <v/>
      </c>
      <c r="EQ170" s="361" t="str">
        <f t="shared" si="475"/>
        <v/>
      </c>
      <c r="ER170" s="361" t="str">
        <f t="shared" si="476"/>
        <v/>
      </c>
      <c r="ES170" s="361" t="str">
        <f t="shared" si="477"/>
        <v/>
      </c>
      <c r="ET170" s="361" t="str">
        <f t="shared" si="478"/>
        <v/>
      </c>
      <c r="EU170" s="361" t="str">
        <f t="shared" si="479"/>
        <v/>
      </c>
      <c r="EV170" s="361" t="str">
        <f t="shared" si="480"/>
        <v/>
      </c>
      <c r="EW170" s="361" t="str">
        <f t="shared" si="481"/>
        <v/>
      </c>
      <c r="EX170" s="361" t="str">
        <f t="shared" si="571"/>
        <v>1 slot, 1 way</v>
      </c>
      <c r="EY170" s="361" t="str">
        <f t="shared" si="572"/>
        <v xml:space="preserve"> </v>
      </c>
      <c r="EZ170" s="361" t="str">
        <f t="shared" si="573"/>
        <v xml:space="preserve"> </v>
      </c>
      <c r="FA170" s="361" t="str">
        <f t="shared" si="574"/>
        <v xml:space="preserve"> </v>
      </c>
      <c r="FB170" s="361" t="str">
        <f t="shared" si="575"/>
        <v xml:space="preserve"> </v>
      </c>
      <c r="FC170" s="361"/>
      <c r="FD170" s="361" t="str">
        <f>IF(J170&gt;0,IF(Calculation!R170&lt;=70,4,IF(Calculation!R170&lt;=110,5,IF(Calculation!R170&lt;=160,6,IF(Calculation!R170&lt;=300,8,"10 EO")))),"")</f>
        <v/>
      </c>
      <c r="FE170" s="361" t="str">
        <f t="shared" si="576"/>
        <v/>
      </c>
      <c r="FF170" s="361" t="str">
        <f t="shared" si="577"/>
        <v/>
      </c>
      <c r="FG170" s="361" t="e">
        <f t="shared" si="482"/>
        <v>#N/A</v>
      </c>
      <c r="FH170" s="361">
        <f t="shared" si="483"/>
        <v>0</v>
      </c>
      <c r="FI170" s="361" t="e">
        <f t="shared" si="484"/>
        <v>#DIV/0!</v>
      </c>
      <c r="FJ170" s="361"/>
      <c r="FK170" s="356" t="e">
        <f t="shared" si="485"/>
        <v>#VALUE!</v>
      </c>
      <c r="FL170" s="361"/>
      <c r="FM170" s="361"/>
      <c r="FN170" s="362" t="str">
        <f t="shared" si="578"/>
        <v xml:space="preserve"> </v>
      </c>
      <c r="FO170" s="362" t="str">
        <f t="shared" si="579"/>
        <v xml:space="preserve"> </v>
      </c>
      <c r="FP170" s="362">
        <f t="shared" si="580"/>
        <v>0</v>
      </c>
      <c r="FQ170" s="361">
        <f t="shared" si="486"/>
        <v>0</v>
      </c>
      <c r="FR170" s="362" t="str">
        <f>IF(L170&gt;0,IF(J170="CBAL2",Worksheet!$P$67,IF(J170="CBE2-24",Worksheet!$Q$67,IF(J170="CBAM",Worksheet!$R$67,IF(J170="CBLV",Worksheet!$S$67,IF(J170="CBAB",Worksheet!$U$67,IF(J170="CBAW",Worksheet!$X$67,IF(J170="CBE2-12",Worksheet!$Y$67,IF(J170="CBAL2",Worksheet!$Z$67,"N/A"))))))))," ")</f>
        <v xml:space="preserve"> </v>
      </c>
      <c r="FS170" s="362" t="str">
        <f>IF(L170&gt;0,IF(J170="CBAL2",Worksheet!$P$68,IF(J170="CBE2-24",Worksheet!$Q$68,IF(J170="CBAM",Worksheet!$R$68,IF(J170="CBLV",Worksheet!$S$68,IF(J170="CBAB",Worksheet!$U$68,IF(J170="CBAW",Worksheet!$X$68,IF(J170="CBE2-12",Worksheet!$Y$68,IF(J170="CBAL2",Worksheet!$Z$68,"N/A"))))))))," ")</f>
        <v xml:space="preserve"> </v>
      </c>
      <c r="FT170" s="362" t="str">
        <f>IF(L170&gt;0,IF(J170="CBAL2",Worksheet!$P$69,IF(J170="CBE2-24",Worksheet!$Q$69,IF(J170="CBAM",Worksheet!$R$69,IF(J170="CBLV",Worksheet!$S$69,IF(J170="CBAB",Worksheet!$U$69,IF(J170="CBAW",Worksheet!$X$69,IF(J170="CBE2-12",Worksheet!$Y$69,IF(J170="CBAL2",Worksheet!$Z$69,"N/A"))))))))," ")</f>
        <v xml:space="preserve"> </v>
      </c>
      <c r="FU170" s="361" t="str">
        <f t="shared" si="581"/>
        <v xml:space="preserve"> </v>
      </c>
      <c r="FV170" s="362" t="str">
        <f t="shared" si="582"/>
        <v xml:space="preserve"> </v>
      </c>
      <c r="FW170" s="362" t="str">
        <f t="shared" si="583"/>
        <v xml:space="preserve"> </v>
      </c>
      <c r="FX170" s="362" t="str">
        <f t="shared" si="584"/>
        <v xml:space="preserve"> </v>
      </c>
      <c r="FY170" s="355" t="str">
        <f t="shared" si="585"/>
        <v xml:space="preserve"> </v>
      </c>
      <c r="FZ170" s="361" t="str">
        <f t="shared" si="586"/>
        <v xml:space="preserve"> </v>
      </c>
      <c r="GA170" s="347" t="str">
        <f t="shared" si="587"/>
        <v xml:space="preserve"> </v>
      </c>
      <c r="GB170" s="355" t="str">
        <f t="shared" si="588"/>
        <v xml:space="preserve"> </v>
      </c>
      <c r="GC170" s="328" t="str">
        <f t="shared" si="589"/>
        <v xml:space="preserve"> </v>
      </c>
      <c r="GD170" s="361" t="str">
        <f t="shared" si="590"/>
        <v xml:space="preserve"> </v>
      </c>
      <c r="GE170" s="347" t="str">
        <f t="shared" si="591"/>
        <v xml:space="preserve"> </v>
      </c>
      <c r="GF170" s="361" t="str">
        <f t="shared" si="592"/>
        <v xml:space="preserve"> </v>
      </c>
      <c r="GG170" s="347" t="str">
        <f t="shared" si="593"/>
        <v xml:space="preserve"> </v>
      </c>
      <c r="GH170" s="364">
        <f t="shared" si="487"/>
        <v>0</v>
      </c>
      <c r="GI170" s="362">
        <f t="shared" si="594"/>
        <v>2</v>
      </c>
      <c r="GJ170" s="433" t="e">
        <f>IF(6-COUNTBLANK(GT170:GY170)=4,MATCH(MID(BO170,9,3),CLU!$H$16:$K$16),MATCH(MID(BO170,9,3),CLU!$H$13:$M$13))</f>
        <v>#N/A</v>
      </c>
      <c r="GK170" s="433" t="e">
        <f>HLOOKUP(VALUE(BP170),CLU!$H$9:$M$10,2)</f>
        <v>#VALUE!</v>
      </c>
      <c r="GL170" s="433" t="e">
        <f ca="1">MATCH(BU170,CLU!$H$2:$V$2,1)</f>
        <v>#VALUE!</v>
      </c>
      <c r="GM170" s="433" t="e">
        <f t="shared" ca="1" si="595"/>
        <v>#VALUE!</v>
      </c>
      <c r="GN170" s="433" t="e">
        <f t="shared" ca="1" si="596"/>
        <v>#VALUE!</v>
      </c>
      <c r="GO170" s="433" t="e">
        <f t="shared" ca="1" si="597"/>
        <v>#VALUE!</v>
      </c>
      <c r="GP170" s="433" t="e">
        <f t="shared" ca="1" si="598"/>
        <v>#VALUE!</v>
      </c>
      <c r="GQ170" s="433" t="e">
        <f t="shared" ca="1" si="599"/>
        <v>#VALUE!</v>
      </c>
      <c r="GR170" s="433" t="e">
        <f ca="1">MATCH(T170,INDIRECT(VLOOKUP(CONCATENATE(LEFT(BO170,7),"-",MID(BO170,13,1)),CLU!$P$3:$Q$16,2)),1)</f>
        <v>#N/A</v>
      </c>
      <c r="GS170" s="433" t="e">
        <f ca="1">MATCH(U170,INDIRECT(VLOOKUP(CONCATENATE(LEFT(BO170,7),"-",MID(BO170,13,1)),CLU!$P$3:$Q$16,2)),1)</f>
        <v>#N/A</v>
      </c>
      <c r="GT170" s="347" t="s">
        <v>512</v>
      </c>
      <c r="GU170" s="97" t="s">
        <v>513</v>
      </c>
      <c r="GV170" s="97" t="str">
        <f t="shared" si="600"/>
        <v>M23</v>
      </c>
      <c r="GW170" s="97" t="str">
        <f t="shared" si="601"/>
        <v>M31</v>
      </c>
      <c r="GX170" s="97" t="str">
        <f t="shared" si="602"/>
        <v/>
      </c>
      <c r="GY170" s="97" t="str">
        <f t="shared" si="603"/>
        <v/>
      </c>
      <c r="GZ170" s="481"/>
      <c r="HA170" s="288"/>
      <c r="HB170" s="240"/>
      <c r="HC170" s="240"/>
      <c r="HD170" s="240"/>
      <c r="HE170" s="240"/>
      <c r="HF170" s="240"/>
      <c r="HG170" s="240"/>
      <c r="HH170" s="240"/>
      <c r="HI170" s="240"/>
      <c r="HJ170" s="240"/>
      <c r="HK170" s="240"/>
      <c r="HL170" s="240"/>
      <c r="HM170" s="240"/>
      <c r="HN170" s="240"/>
      <c r="HO170" s="240"/>
      <c r="HP170" s="240"/>
      <c r="HQ170" s="240"/>
      <c r="HR170" s="240"/>
      <c r="HS170" s="240"/>
      <c r="HT170" s="240"/>
      <c r="HU170" s="240"/>
      <c r="HV170" s="245"/>
      <c r="HW170" s="245" t="b">
        <v>1</v>
      </c>
      <c r="HX170" s="245" t="str">
        <f t="shared" si="488"/>
        <v/>
      </c>
      <c r="HY170" s="245" t="e">
        <f t="shared" si="489"/>
        <v>#DIV/0!</v>
      </c>
      <c r="HZ170" s="245" t="e">
        <f t="shared" si="490"/>
        <v>#DIV/0!</v>
      </c>
      <c r="IA170" s="245">
        <f t="shared" si="491"/>
        <v>0</v>
      </c>
      <c r="IB170" s="245"/>
      <c r="IC170" t="b">
        <f t="shared" si="492"/>
        <v>1</v>
      </c>
      <c r="ID170" s="245" t="b">
        <f t="shared" si="493"/>
        <v>1</v>
      </c>
      <c r="IE170" s="245" t="b">
        <f t="shared" si="494"/>
        <v>1</v>
      </c>
      <c r="IF170" s="245" t="b">
        <f t="shared" si="495"/>
        <v>0</v>
      </c>
      <c r="IG170" s="245" t="b">
        <f t="shared" si="496"/>
        <v>1</v>
      </c>
      <c r="IH170" s="245" t="b">
        <f t="shared" si="497"/>
        <v>1</v>
      </c>
      <c r="II170" s="245">
        <f t="shared" si="604"/>
        <v>0</v>
      </c>
      <c r="IJ170" s="245" t="e">
        <f t="shared" si="498"/>
        <v>#VALUE!</v>
      </c>
      <c r="IK170" s="245" t="e">
        <f t="shared" si="499"/>
        <v>#VALUE!</v>
      </c>
      <c r="IL170" s="245"/>
      <c r="IM170" s="245" t="e">
        <f t="shared" si="605"/>
        <v>#N/A</v>
      </c>
      <c r="IN170" s="245" t="e">
        <f t="shared" si="606"/>
        <v>#N/A</v>
      </c>
      <c r="IO170" s="245"/>
      <c r="IP170" s="245"/>
      <c r="IQ170" s="245" t="str">
        <f t="shared" si="500"/>
        <v/>
      </c>
      <c r="IR170" s="245" t="str">
        <f>IF(J170="","",VLOOKUP(J170,Worksheet!$R$4:$T$14,2))</f>
        <v/>
      </c>
      <c r="IS170" s="245"/>
      <c r="IT170" s="245">
        <f t="shared" si="501"/>
        <v>0</v>
      </c>
      <c r="IU170" s="245">
        <f t="shared" si="502"/>
        <v>0</v>
      </c>
      <c r="IV170" s="245">
        <f t="shared" si="503"/>
        <v>0</v>
      </c>
      <c r="IW170" s="245">
        <f t="shared" si="504"/>
        <v>0</v>
      </c>
      <c r="IX170" s="245">
        <f t="shared" si="607"/>
        <v>0</v>
      </c>
      <c r="IY170" s="245">
        <f t="shared" si="505"/>
        <v>0</v>
      </c>
      <c r="IZ170" s="245">
        <f t="shared" si="506"/>
        <v>0</v>
      </c>
      <c r="JA170">
        <f t="shared" si="507"/>
        <v>0</v>
      </c>
      <c r="JB170">
        <f t="shared" si="608"/>
        <v>0</v>
      </c>
      <c r="JC170">
        <f t="shared" si="508"/>
        <v>0</v>
      </c>
      <c r="JD170">
        <f t="shared" si="509"/>
        <v>0</v>
      </c>
      <c r="JE170">
        <f t="shared" si="510"/>
        <v>0</v>
      </c>
      <c r="JF170">
        <f t="shared" si="511"/>
        <v>0</v>
      </c>
      <c r="JG170">
        <f t="shared" si="512"/>
        <v>0</v>
      </c>
      <c r="JH170">
        <f t="shared" si="513"/>
        <v>0</v>
      </c>
      <c r="JI170">
        <f t="shared" si="514"/>
        <v>0</v>
      </c>
      <c r="JJ170" s="447">
        <f t="shared" si="515"/>
        <v>0</v>
      </c>
      <c r="JK170" s="447">
        <f t="shared" si="516"/>
        <v>0</v>
      </c>
      <c r="JL170">
        <f t="shared" si="517"/>
        <v>0</v>
      </c>
      <c r="JM170" s="245" t="str">
        <f>IFERROR(VLOOKUP(MATCH(BN170,#REF!,0),#REF!,7),"")</f>
        <v/>
      </c>
      <c r="JN170" t="e">
        <f>HLOOKUP(LEFT(BO170,7),Discharge_Area,MATCH(JO170,LookUps!$B$130:$B$149,1)+2)</f>
        <v>#N/A</v>
      </c>
      <c r="JO170" t="str">
        <f t="shared" si="518"/>
        <v>- S</v>
      </c>
      <c r="JP170" t="e">
        <f>HLOOKUP(LEFT(BO170,7),Discharge_Area,MATCH(JO170,LookUps!$B$130:$B$149,1)+2)</f>
        <v>#N/A</v>
      </c>
      <c r="JQ170" t="e">
        <f t="shared" si="519"/>
        <v>#N/A</v>
      </c>
      <c r="JR170" t="e">
        <f t="shared" si="520"/>
        <v>#N/A</v>
      </c>
      <c r="JS170" t="e">
        <f t="shared" si="521"/>
        <v>#N/A</v>
      </c>
      <c r="JT170" s="532" t="str">
        <f t="shared" si="522"/>
        <v xml:space="preserve"> </v>
      </c>
      <c r="JU170" s="532" t="str">
        <f t="shared" si="523"/>
        <v xml:space="preserve"> </v>
      </c>
      <c r="JV170" s="533" t="str">
        <f t="shared" si="524"/>
        <v xml:space="preserve"> </v>
      </c>
      <c r="JW170" s="534">
        <f t="shared" si="525"/>
        <v>0</v>
      </c>
      <c r="JX170" s="535" t="str">
        <f t="shared" si="609"/>
        <v xml:space="preserve"> </v>
      </c>
      <c r="JY170" s="535" t="str">
        <f t="shared" si="610"/>
        <v xml:space="preserve"> </v>
      </c>
      <c r="JZ170" s="535" t="str">
        <f t="shared" si="611"/>
        <v xml:space="preserve"> </v>
      </c>
      <c r="KA170" s="536" t="str">
        <f t="shared" si="526"/>
        <v xml:space="preserve"> </v>
      </c>
      <c r="KB170" s="535" t="e">
        <f t="shared" si="612"/>
        <v>#VALUE!</v>
      </c>
      <c r="KC170" s="535" t="str">
        <f t="shared" si="527"/>
        <v/>
      </c>
      <c r="KD170" s="537" t="str">
        <f t="shared" si="613"/>
        <v xml:space="preserve"> </v>
      </c>
      <c r="KE170" s="537" t="str">
        <f t="shared" si="614"/>
        <v xml:space="preserve"> </v>
      </c>
      <c r="KF170" s="534">
        <f t="shared" si="528"/>
        <v>0</v>
      </c>
      <c r="KG170" s="535" t="str">
        <f t="shared" si="529"/>
        <v xml:space="preserve"> </v>
      </c>
      <c r="KH170" s="535" t="str">
        <f t="shared" si="530"/>
        <v xml:space="preserve"> </v>
      </c>
      <c r="KI170" s="535" t="str">
        <f t="shared" si="531"/>
        <v xml:space="preserve"> </v>
      </c>
      <c r="KJ170" s="536" t="str">
        <f t="shared" si="532"/>
        <v xml:space="preserve"> </v>
      </c>
      <c r="KK170" s="535" t="str">
        <f t="shared" si="615"/>
        <v xml:space="preserve"> </v>
      </c>
      <c r="KL170" s="535" t="str">
        <f t="shared" si="616"/>
        <v xml:space="preserve"> </v>
      </c>
      <c r="KM170" s="537" t="str">
        <f t="shared" si="533"/>
        <v xml:space="preserve"> </v>
      </c>
      <c r="KN170" s="537" t="str">
        <f t="shared" si="617"/>
        <v xml:space="preserve"> </v>
      </c>
      <c r="KP170">
        <f t="shared" si="534"/>
        <v>0</v>
      </c>
      <c r="LA170" t="e">
        <f t="shared" si="535"/>
        <v>#VALUE!</v>
      </c>
      <c r="LB170" t="e">
        <f t="shared" si="536"/>
        <v>#VALUE!</v>
      </c>
      <c r="LC170" t="e">
        <f t="shared" si="537"/>
        <v>#VALUE!</v>
      </c>
      <c r="LD170" t="e">
        <f t="shared" si="538"/>
        <v>#VALUE!</v>
      </c>
      <c r="LE170" t="e">
        <f t="shared" si="618"/>
        <v>#VALUE!</v>
      </c>
      <c r="LF170">
        <f t="shared" si="539"/>
        <v>0</v>
      </c>
      <c r="LG170" t="e">
        <f t="shared" si="619"/>
        <v>#VALUE!</v>
      </c>
      <c r="LH170" t="str">
        <f t="shared" si="540"/>
        <v xml:space="preserve"> </v>
      </c>
      <c r="LI170">
        <f t="shared" si="620"/>
        <v>1</v>
      </c>
    </row>
    <row r="171" spans="2:321" ht="15" customHeight="1">
      <c r="B171" s="311"/>
      <c r="C171" s="311"/>
      <c r="D171" s="312"/>
      <c r="E171" s="311"/>
      <c r="F171" s="312"/>
      <c r="G171" s="311"/>
      <c r="H171" s="311"/>
      <c r="I171" s="37"/>
      <c r="J171" s="311"/>
      <c r="K171" s="305" t="str">
        <f t="shared" si="541"/>
        <v/>
      </c>
      <c r="L171" s="313"/>
      <c r="M171" s="312"/>
      <c r="N171" s="311"/>
      <c r="O171" s="312"/>
      <c r="P171" s="311"/>
      <c r="Q171" s="305" t="str">
        <f t="shared" si="542"/>
        <v/>
      </c>
      <c r="R171" s="314"/>
      <c r="S171" s="450" t="str">
        <f t="shared" si="425"/>
        <v/>
      </c>
      <c r="T171" s="315"/>
      <c r="U171" s="315"/>
      <c r="W171" s="149" t="str">
        <f t="shared" si="426"/>
        <v xml:space="preserve"> </v>
      </c>
      <c r="X171" s="243" t="str">
        <f t="shared" si="427"/>
        <v xml:space="preserve"> </v>
      </c>
      <c r="Y171" s="150" t="str">
        <f t="shared" si="428"/>
        <v/>
      </c>
      <c r="Z171" s="149" t="str">
        <f t="shared" si="429"/>
        <v xml:space="preserve"> </v>
      </c>
      <c r="AA171" s="98" t="str">
        <f t="shared" si="430"/>
        <v xml:space="preserve"> </v>
      </c>
      <c r="AB171" s="153" t="str">
        <f t="shared" si="431"/>
        <v xml:space="preserve"> </v>
      </c>
      <c r="AC171" s="153" t="str">
        <f t="shared" si="432"/>
        <v xml:space="preserve"> </v>
      </c>
      <c r="AD171" s="148" t="str">
        <f t="shared" si="433"/>
        <v/>
      </c>
      <c r="AE171" s="149" t="str">
        <f t="shared" si="434"/>
        <v/>
      </c>
      <c r="AF171" s="151" t="str">
        <f t="shared" si="435"/>
        <v xml:space="preserve"> </v>
      </c>
      <c r="AG171" s="153" t="str">
        <f t="shared" si="436"/>
        <v xml:space="preserve"> </v>
      </c>
      <c r="AH171" s="98" t="str">
        <f t="shared" si="437"/>
        <v xml:space="preserve"> </v>
      </c>
      <c r="AI171" s="149" t="str">
        <f t="shared" si="438"/>
        <v xml:space="preserve"> </v>
      </c>
      <c r="AK171" s="144" t="str">
        <f t="shared" si="439"/>
        <v xml:space="preserve"> </v>
      </c>
      <c r="AL171" s="144"/>
      <c r="AM171" s="243" t="str">
        <f t="shared" si="440"/>
        <v xml:space="preserve"> </v>
      </c>
      <c r="AN171" s="149" t="str">
        <f t="shared" si="543"/>
        <v xml:space="preserve"> </v>
      </c>
      <c r="AO171" s="144" t="str">
        <f>IF(JB171&gt;0,IF(GI171=10,-R171*1.085*(Calculation!$F$6-Calculation!$F$13)*$S$14," "),"")</f>
        <v/>
      </c>
      <c r="AP171" s="144" t="str">
        <f t="shared" si="441"/>
        <v/>
      </c>
      <c r="AQ171" s="56" t="str">
        <f t="shared" si="442"/>
        <v/>
      </c>
      <c r="AR171" s="144" t="str">
        <f t="shared" si="443"/>
        <v/>
      </c>
      <c r="AS171" s="176" t="str">
        <f t="shared" si="444"/>
        <v/>
      </c>
      <c r="AT171" s="176" t="str">
        <f t="shared" si="544"/>
        <v xml:space="preserve"> </v>
      </c>
      <c r="AU171" s="176" t="str">
        <f t="shared" si="445"/>
        <v/>
      </c>
      <c r="AV171" s="177" t="str">
        <f t="shared" si="446"/>
        <v xml:space="preserve"> </v>
      </c>
      <c r="AW171" s="144" t="str">
        <f t="shared" si="447"/>
        <v xml:space="preserve"> </v>
      </c>
      <c r="AX171" s="144" t="str">
        <f t="shared" si="448"/>
        <v xml:space="preserve"> </v>
      </c>
      <c r="AY171" s="152" t="str">
        <f t="shared" si="449"/>
        <v xml:space="preserve"> </v>
      </c>
      <c r="AZ171" s="246" t="str">
        <f t="shared" si="450"/>
        <v/>
      </c>
      <c r="BA171" s="176" t="str">
        <f t="shared" si="451"/>
        <v xml:space="preserve"> </v>
      </c>
      <c r="BB171" s="176" t="str">
        <f t="shared" si="452"/>
        <v xml:space="preserve"> </v>
      </c>
      <c r="BC171" s="195"/>
      <c r="BD171" s="316"/>
      <c r="BE171" s="317"/>
      <c r="BF171" s="318"/>
      <c r="BG171" s="318"/>
      <c r="BH171" s="144" t="str">
        <f t="shared" si="621"/>
        <v xml:space="preserve"> </v>
      </c>
      <c r="BI171" s="176" t="str">
        <f t="shared" si="453"/>
        <v/>
      </c>
      <c r="BJ171" s="144" t="str">
        <f t="shared" si="622"/>
        <v/>
      </c>
      <c r="BK171" s="246" t="str">
        <f t="shared" si="454"/>
        <v/>
      </c>
      <c r="BL171" s="144" t="str">
        <f t="shared" si="623"/>
        <v/>
      </c>
      <c r="BM171" s="246" t="str">
        <f t="shared" si="455"/>
        <v/>
      </c>
      <c r="BN171" s="337" t="str">
        <f t="shared" si="545"/>
        <v/>
      </c>
      <c r="BO171" s="371" t="str">
        <f t="shared" si="546"/>
        <v/>
      </c>
      <c r="BP171" s="328" t="str">
        <f t="shared" si="624"/>
        <v xml:space="preserve"> </v>
      </c>
      <c r="BQ171" s="347" t="str">
        <f t="shared" si="547"/>
        <v xml:space="preserve"> </v>
      </c>
      <c r="BR171" s="353" t="str">
        <f t="shared" si="548"/>
        <v xml:space="preserve"> </v>
      </c>
      <c r="BS171" s="626" t="str">
        <f>IF(L171&gt;0,IF(Calculation!P171="M13",BR171*3.1416*(0.134^2)/(4*144),IF(Calculation!P171="M17",BR171*3.1416*(0.165^2)/(4*144),IF(Calculation!P171="M20",BR171*3.1416*(0.198^2)/(4*144),IF(Calculation!P171="M23",BR171*3.1416*(0.228^2)/(4*144),IF(Calculation!P171="M27",BR171*3.1416*(0.269^2)/(4*144),BR171*3.1416*(0.307^2)/(4*144))))))," ")</f>
        <v xml:space="preserve"> </v>
      </c>
      <c r="BT171" s="353" t="str">
        <f>IF(L171&gt;0,IF(BS171&gt;0,R171/Calculation!BS171,0)," ")</f>
        <v xml:space="preserve"> </v>
      </c>
      <c r="BU171" s="438" t="e">
        <f t="shared" ca="1" si="456"/>
        <v>#VALUE!</v>
      </c>
      <c r="BV171" s="449" t="e">
        <f ca="1">INDEX(INDIRECT(VLOOKUP(LEFT(BO171,7),CLU!$Z$3:$AH$18,2)),GN171,GR171)</f>
        <v>#N/A</v>
      </c>
      <c r="BW171" s="433" t="e">
        <f ca="1">INDEX(INDIRECT(VLOOKUP(LEFT(BO171,7),CLU!$Z$3:$AH$18,3)),GN171,GR171)</f>
        <v>#N/A</v>
      </c>
      <c r="BX171" s="433" t="e">
        <f ca="1">INDEX(INDIRECT(VLOOKUP(LEFT(BO171,7),CLU!$Z$3:$AH$18,4)),GN171,GR171)</f>
        <v>#N/A</v>
      </c>
      <c r="BY171" s="433" t="e">
        <f ca="1">INDEX(INDIRECT(VLOOKUP(LEFT(BO171,7),CLU!$Z$3:$AH$18,9)),((M171-2)*(6-COUNTBLANK(GT171:GY171)))+GJ171)</f>
        <v>#N/A</v>
      </c>
      <c r="BZ171" s="426" t="e">
        <f t="shared" ca="1" si="549"/>
        <v>#N/A</v>
      </c>
      <c r="CA171" s="424" t="e">
        <f t="shared" ca="1" si="550"/>
        <v>#N/A</v>
      </c>
      <c r="CB171" s="429" t="e">
        <f ca="1">INDEX(INDIRECT(VLOOKUP(LEFT(BO171,7),CLU!$Z$3:$AH$18,2)),GN171,GS171)</f>
        <v>#N/A</v>
      </c>
      <c r="CC171" s="342" t="e">
        <f ca="1">INDEX(INDIRECT(VLOOKUP(LEFT(BO171,7),CLU!$Z$3:$AH$18,3)),GN171,GS171)</f>
        <v>#N/A</v>
      </c>
      <c r="CD171" s="342" t="e">
        <f ca="1">INDEX(INDIRECT(VLOOKUP(LEFT(BO171,7),CLU!$Z$3:$AH$18,4)),GN171,GS171)</f>
        <v>#N/A</v>
      </c>
      <c r="CE171" s="426" t="e">
        <f t="shared" ca="1" si="551"/>
        <v>#N/A</v>
      </c>
      <c r="CF171" s="440">
        <f t="shared" si="552"/>
        <v>0</v>
      </c>
      <c r="CG171" s="431" t="e">
        <f ca="1">INDEX(INDIRECT(VLOOKUP(LEFT(BO171,7),CLU!$Z$3:$AH$18,2)),GQ171,GR171)</f>
        <v>#N/A</v>
      </c>
      <c r="CH171" s="431" t="e">
        <f ca="1">INDEX(INDIRECT(VLOOKUP(LEFT(BO171,7),CLU!$Z$3:$AH$18,3)),GQ171,GR171)</f>
        <v>#N/A</v>
      </c>
      <c r="CI171" s="431" t="e">
        <f ca="1">INDEX(INDIRECT(VLOOKUP(LEFT(BO171,7),CLU!$Z$3:$AH$18,4)),GQ171,GR171)</f>
        <v>#N/A</v>
      </c>
      <c r="CJ171" s="448" t="e">
        <f t="shared" ca="1" si="553"/>
        <v>#N/A</v>
      </c>
      <c r="CK171" s="431" t="e">
        <f t="shared" ca="1" si="554"/>
        <v>#N/A</v>
      </c>
      <c r="CL171" s="440" t="e">
        <f t="shared" ca="1" si="555"/>
        <v>#N/A</v>
      </c>
      <c r="CM171" s="431" t="e">
        <f ca="1">INDEX(INDIRECT(VLOOKUP(LEFT(BO171,7),CLU!$Z$3:$AH$18,2)),GQ171,GS171)</f>
        <v>#N/A</v>
      </c>
      <c r="CN171" s="431" t="e">
        <f ca="1">INDEX(INDIRECT(VLOOKUP(LEFT(BO171,7),CLU!$Z$3:$AH$18,3)),GQ171,GS171)</f>
        <v>#N/A</v>
      </c>
      <c r="CO171" s="431" t="e">
        <f ca="1">INDEX(INDIRECT(VLOOKUP(LEFT(BO171,7),CLU!$Z$3:$AH$18,4)),GQ171,GS171)</f>
        <v>#N/A</v>
      </c>
      <c r="CP171" s="431" t="e">
        <f t="shared" ca="1" si="556"/>
        <v>#N/A</v>
      </c>
      <c r="CQ171" s="440">
        <f t="shared" si="557"/>
        <v>0</v>
      </c>
      <c r="CR171" s="51" t="e">
        <f t="shared" ca="1" si="558"/>
        <v>#N/A</v>
      </c>
      <c r="CS171" s="439" t="e">
        <f t="shared" ca="1" si="559"/>
        <v>#VALUE!</v>
      </c>
      <c r="CT171" s="51" t="e">
        <f t="shared" ca="1" si="560"/>
        <v>#VALUE!</v>
      </c>
      <c r="CU171" s="10"/>
      <c r="CV171" s="51" t="e">
        <f t="shared" ca="1" si="457"/>
        <v>#VALUE!</v>
      </c>
      <c r="CW171" s="51">
        <f t="shared" si="561"/>
        <v>0</v>
      </c>
      <c r="CX171" s="439" t="e">
        <f t="shared" ca="1" si="562"/>
        <v>#VALUE!</v>
      </c>
      <c r="CY171" s="51" t="e">
        <f t="shared" ca="1" si="563"/>
        <v>#VALUE!</v>
      </c>
      <c r="CZ171" s="10"/>
      <c r="DA171" s="51" t="e">
        <f t="shared" ca="1" si="564"/>
        <v>#VALUE!</v>
      </c>
      <c r="DB171" s="347" t="e">
        <f ca="1">INDEX(INDIRECT(VLOOKUP(LEFT(BO171,7),CLU!$Z$3:$AI$18,10)),((M171-2)*(6-COUNTBLANK(GT171:GY171)))+GJ171)*LI171</f>
        <v>#N/A</v>
      </c>
      <c r="DC171" s="347" t="str">
        <f>IF(L171&gt;0,((R171/Worksheet!$I$15)/DB171)^2," ")</f>
        <v xml:space="preserve"> </v>
      </c>
      <c r="DD171" s="602" t="str">
        <f t="shared" si="565"/>
        <v xml:space="preserve"> </v>
      </c>
      <c r="DE171" s="347" t="str">
        <f t="shared" si="458"/>
        <v xml:space="preserve"> </v>
      </c>
      <c r="DF171" s="356" t="e">
        <f ca="1">INDEX(INDIRECT(VLOOKUP(LEFT(BO171,7),CLU!$Z$3:$AH$18,8)),((M171-2)*(6-COUNTBLANK(GT171:GY171)))+GJ171)</f>
        <v>#N/A</v>
      </c>
      <c r="DG171" s="347" t="str">
        <f t="shared" si="459"/>
        <v xml:space="preserve"> </v>
      </c>
      <c r="DH171" s="357" t="str">
        <f t="shared" si="460"/>
        <v xml:space="preserve"> </v>
      </c>
      <c r="DI171" s="355" t="str">
        <f t="shared" si="461"/>
        <v xml:space="preserve"> </v>
      </c>
      <c r="DJ171" s="245" t="e">
        <f ca="1">INDEX(INDIRECT(VLOOKUP(LEFT(BO171,7),CLU!$Z$3:$AH$18,5)),GL171,GK171)</f>
        <v>#N/A</v>
      </c>
      <c r="DK171" s="245" t="e">
        <f ca="1">INDEX(INDIRECT(VLOOKUP(LEFT(BO171,7),CLU!$Z$3:$AH$18,6)),GL171,GK171)</f>
        <v>#N/A</v>
      </c>
      <c r="DL171" s="355">
        <f>(Calculation!R171*0.69143*(Calculation!$BQ$8-Calculation!$F$8))*$S$14</f>
        <v>0</v>
      </c>
      <c r="DM171" s="359" t="e">
        <f t="shared" si="566"/>
        <v>#VALUE!</v>
      </c>
      <c r="DN171" s="611">
        <f t="shared" si="567"/>
        <v>0</v>
      </c>
      <c r="DO171" s="359">
        <f t="shared" si="568"/>
        <v>100</v>
      </c>
      <c r="DP171" s="359">
        <f t="shared" si="569"/>
        <v>0</v>
      </c>
      <c r="DQ171" s="360"/>
      <c r="DR171" s="245" t="e">
        <f ca="1">INDEX(INDIRECT(VLOOKUP(LEFT(BO171,7),CLU!$Z$3:$AH$18,7)),M171-1,1)</f>
        <v>#N/A</v>
      </c>
      <c r="DS171" s="245" t="e">
        <f ca="1">INDEX(INDIRECT(VLOOKUP(LEFT(BO171,7),CLU!$Z$3:$AH$18,7)),M171-1,2)</f>
        <v>#N/A</v>
      </c>
      <c r="DT171" s="245" t="e">
        <f ca="1">INDEX(INDIRECT(VLOOKUP(LEFT(BO171,7),CLU!$Z$3:$AH$18,7)),M171-1,3)</f>
        <v>#N/A</v>
      </c>
      <c r="DU171" s="245" t="e">
        <f ca="1">INDEX(INDIRECT(VLOOKUP(LEFT(BO171,7),CLU!$Z$3:$AH$18,7)),M171-1,4)</f>
        <v>#N/A</v>
      </c>
      <c r="DV171" s="361" t="e">
        <f ca="1">INDEX(INDIRECT(VLOOKUP(LEFT(BO171,7),CLU!$Z$3:$AH$18,7)),M171-1,4+LEFT(DZ171,1)*0.5)</f>
        <v>#N/A</v>
      </c>
      <c r="DW171" s="245" t="e">
        <f ca="1">INDEX(INDIRECT(VLOOKUP(LEFT(BO171,7),CLU!$Z$3:$AH$18,7)),M171-1,8)</f>
        <v>#N/A</v>
      </c>
      <c r="DX171" s="361" t="str">
        <f t="shared" si="462"/>
        <v xml:space="preserve"> </v>
      </c>
      <c r="DY171" s="361" t="str">
        <f t="shared" si="463"/>
        <v xml:space="preserve"> </v>
      </c>
      <c r="DZ171" s="361" t="str">
        <f t="shared" si="464"/>
        <v xml:space="preserve"> </v>
      </c>
      <c r="EA171" s="362" t="str">
        <f t="shared" si="465"/>
        <v xml:space="preserve"> </v>
      </c>
      <c r="EB171" s="624" t="str">
        <f t="shared" si="570"/>
        <v xml:space="preserve"> </v>
      </c>
      <c r="EC171" s="361" t="e">
        <f ca="1">INDEX(INDIRECT(VLOOKUP(LEFT(BO171,7),CLU!$Z$3:$AH$18,7)),M171-1,4+LEFT(DZ171,1)*0.5)</f>
        <v>#N/A</v>
      </c>
      <c r="ED171" s="362" t="str">
        <f t="shared" si="466"/>
        <v xml:space="preserve"> </v>
      </c>
      <c r="EE171" s="361" t="str">
        <f t="shared" si="467"/>
        <v xml:space="preserve"> </v>
      </c>
      <c r="EF171" s="362" t="str">
        <f>IF(L171&gt;0,IF(BR171&gt;0,IF(EE171="2P",IF(Calculation!DZ171="2P",IF(Calculation!DS171=13.75,IF(Calculation!DR171=13,Worksheet!$BD$43,IF(Calculation!DR171=37,Worksheet!$BD$44,Worksheet!$BD$45)),IF(Calculation!DS171=10,IF(Calculation!DR171=18,Worksheet!$BD$29,IF(Calculation!DR171=30,Worksheet!$BD$30,IF(Calculation!DR171=42,Worksheet!$BD$31,IF(Calculation!DR171=54,Worksheet!$BD$32,IF(Calculation!DR171=66,Worksheet!$BD$33,IF(Calculation!DR171=78,Worksheet!$BD$34,IF(Calculation!DR171=90,Worksheet!$BD$35,IF(Calculation!DR171=102,Worksheet!$BD$36,Worksheet!$BD$37)))))))),IF(Calculation!DS171=12.5,IF(Calculation!DR171=18,Worksheet!$BD$38,IF(Calculation!DR171=Worksheet!$BD$39,IF(Calculation!DR171=42,Worksheet!$BD$40,IF(Calculation!DR171=54,Worksheet!$BD$41,Worksheet!$BD$42)))),IF(Calculation!DR171=18,Worksheet!$BD$11,IF(Calculation!DR171=30,Worksheet!$BD$12,IF(Calculation!DR171=42,Worksheet!$BD$13,IF(Calculation!DR171=54,Worksheet!$BD$14,IF(Calculation!DR171=66,Worksheet!$BD$15,IF(Calculation!DR171=78,Worksheet!$BD$16,IF(Calculation!DR171=90,Worksheet!$BD$17,IF(Calculation!DR171=102,Worksheet!$BD$18,Worksheet!$BD$19))))))))))),IF(Calculation!DS171=13.75,IF(Calculation!DR171=13,Worksheet!$BD$78,IF(Calculation!DR171=37,Worksheet!$BD$79,Worksheet!$BD$80)),IF(Calculation!DS171=10,IF(Calculation!DR171=18,Worksheet!$BD$64,IF(Calculation!DR171=30,Worksheet!$BD$65,IF(Calculation!DR171=42,Worksheet!$BD$66,IF(Calculation!DR171=54,Worksheet!$BD$68,IF(Calculation!DR171=66,Worksheet!$BD$68,IF(Calculation!DR171=78,Worksheet!$BD$69,IF(Calculation!DR171=90,Worksheet!$BD$70,IF(Calculation!DR171=102,Worksheet!$BD$71,Worksheet!$BD$72)))))))),IF(Calculation!DS171=12.5,IF(Calculation!DR171=18,Worksheet!$BD$73,IF(Calculation!DR171=Worksheet!$BD$74,IF(Calculation!DR171=42,Worksheet!$BD$75,IF(Calculation!DR171=54,Worksheet!$BD$76,Worksheet!$BD$77)))),IF(Calculation!DR171=18,Worksheet!$BD$55,IF(Calculation!DR171=30,Worksheet!$BD$56,IF(Calculation!DR171=42,Worksheet!$BD$57,IF(Calculation!DR171=54,Worksheet!$BD$58,IF(Calculation!DR171=66,Worksheet!$BD$59,IF(Calculation!DR171=78,Worksheet!$BD$60,IF(Calculation!DR171=90,Worksheet!$BD$61,IF(Calculation!DR171=102,Worksheet!$BD$62,Worksheet!$BD$63)))))))))))),5),0)," ")</f>
        <v xml:space="preserve"> </v>
      </c>
      <c r="EG171" s="361" t="str">
        <f t="shared" si="468"/>
        <v xml:space="preserve"> </v>
      </c>
      <c r="EH171" s="361" t="e">
        <f ca="1">INDEX(INDIRECT(VLOOKUP(LEFT(BO171,7),CLU!$Z$3:$AH$18,7)),M171-1,3+LEFT(DZ171,1))</f>
        <v>#N/A</v>
      </c>
      <c r="EI171" s="362" t="str">
        <f t="shared" si="469"/>
        <v xml:space="preserve"> </v>
      </c>
      <c r="EJ171" s="363" t="str">
        <f t="shared" si="470"/>
        <v xml:space="preserve"> </v>
      </c>
      <c r="EK171" s="363" t="str">
        <f t="shared" si="471"/>
        <v xml:space="preserve"> </v>
      </c>
      <c r="EL171" s="363" t="str">
        <f t="shared" si="472"/>
        <v xml:space="preserve"> </v>
      </c>
      <c r="EM171" s="362" t="str">
        <f>IF(L171&gt;0,IF(BR171&gt;0,(Calculation!T171/ED171)^2,0)," ")</f>
        <v xml:space="preserve"> </v>
      </c>
      <c r="EN171" s="362" t="str">
        <f>IF(L171&gt;0,IF(O171="2 Pipe (Cooling)","N/A",IF(BR171&gt;0,(Calculation!U171/EI171)^2,0))," ")</f>
        <v xml:space="preserve"> </v>
      </c>
      <c r="EO171" s="361" t="str">
        <f t="shared" si="473"/>
        <v/>
      </c>
      <c r="EP171" s="361" t="str">
        <f t="shared" si="474"/>
        <v/>
      </c>
      <c r="EQ171" s="361" t="str">
        <f t="shared" si="475"/>
        <v/>
      </c>
      <c r="ER171" s="361" t="str">
        <f t="shared" si="476"/>
        <v/>
      </c>
      <c r="ES171" s="361" t="str">
        <f t="shared" si="477"/>
        <v/>
      </c>
      <c r="ET171" s="361" t="str">
        <f t="shared" si="478"/>
        <v/>
      </c>
      <c r="EU171" s="361" t="str">
        <f t="shared" si="479"/>
        <v/>
      </c>
      <c r="EV171" s="361" t="str">
        <f t="shared" si="480"/>
        <v/>
      </c>
      <c r="EW171" s="361" t="str">
        <f t="shared" si="481"/>
        <v/>
      </c>
      <c r="EX171" s="361" t="str">
        <f t="shared" si="571"/>
        <v>1 slot, 1 way</v>
      </c>
      <c r="EY171" s="361" t="str">
        <f t="shared" si="572"/>
        <v xml:space="preserve"> </v>
      </c>
      <c r="EZ171" s="361" t="str">
        <f t="shared" si="573"/>
        <v xml:space="preserve"> </v>
      </c>
      <c r="FA171" s="361" t="str">
        <f t="shared" si="574"/>
        <v xml:space="preserve"> </v>
      </c>
      <c r="FB171" s="361" t="str">
        <f t="shared" si="575"/>
        <v xml:space="preserve"> </v>
      </c>
      <c r="FC171" s="361"/>
      <c r="FD171" s="361" t="str">
        <f>IF(J171&gt;0,IF(Calculation!R171&lt;=70,4,IF(Calculation!R171&lt;=110,5,IF(Calculation!R171&lt;=160,6,IF(Calculation!R171&lt;=300,8,"10 EO")))),"")</f>
        <v/>
      </c>
      <c r="FE171" s="361" t="str">
        <f t="shared" si="576"/>
        <v/>
      </c>
      <c r="FF171" s="361" t="str">
        <f t="shared" si="577"/>
        <v/>
      </c>
      <c r="FG171" s="361" t="e">
        <f t="shared" si="482"/>
        <v>#N/A</v>
      </c>
      <c r="FH171" s="361">
        <f t="shared" si="483"/>
        <v>0</v>
      </c>
      <c r="FI171" s="361" t="e">
        <f t="shared" si="484"/>
        <v>#DIV/0!</v>
      </c>
      <c r="FJ171" s="361"/>
      <c r="FK171" s="356" t="e">
        <f t="shared" si="485"/>
        <v>#VALUE!</v>
      </c>
      <c r="FL171" s="361"/>
      <c r="FM171" s="361"/>
      <c r="FN171" s="362" t="str">
        <f t="shared" si="578"/>
        <v xml:space="preserve"> </v>
      </c>
      <c r="FO171" s="362" t="str">
        <f t="shared" si="579"/>
        <v xml:space="preserve"> </v>
      </c>
      <c r="FP171" s="362">
        <f t="shared" si="580"/>
        <v>0</v>
      </c>
      <c r="FQ171" s="361">
        <f t="shared" si="486"/>
        <v>0</v>
      </c>
      <c r="FR171" s="362" t="str">
        <f>IF(L171&gt;0,IF(J171="CBAL2",Worksheet!$P$67,IF(J171="CBE2-24",Worksheet!$Q$67,IF(J171="CBAM",Worksheet!$R$67,IF(J171="CBLV",Worksheet!$S$67,IF(J171="CBAB",Worksheet!$U$67,IF(J171="CBAW",Worksheet!$X$67,IF(J171="CBE2-12",Worksheet!$Y$67,IF(J171="CBAL2",Worksheet!$Z$67,"N/A"))))))))," ")</f>
        <v xml:space="preserve"> </v>
      </c>
      <c r="FS171" s="362" t="str">
        <f>IF(L171&gt;0,IF(J171="CBAL2",Worksheet!$P$68,IF(J171="CBE2-24",Worksheet!$Q$68,IF(J171="CBAM",Worksheet!$R$68,IF(J171="CBLV",Worksheet!$S$68,IF(J171="CBAB",Worksheet!$U$68,IF(J171="CBAW",Worksheet!$X$68,IF(J171="CBE2-12",Worksheet!$Y$68,IF(J171="CBAL2",Worksheet!$Z$68,"N/A"))))))))," ")</f>
        <v xml:space="preserve"> </v>
      </c>
      <c r="FT171" s="362" t="str">
        <f>IF(L171&gt;0,IF(J171="CBAL2",Worksheet!$P$69,IF(J171="CBE2-24",Worksheet!$Q$69,IF(J171="CBAM",Worksheet!$R$69,IF(J171="CBLV",Worksheet!$S$69,IF(J171="CBAB",Worksheet!$U$69,IF(J171="CBAW",Worksheet!$X$69,IF(J171="CBE2-12",Worksheet!$Y$69,IF(J171="CBAL2",Worksheet!$Z$69,"N/A"))))))))," ")</f>
        <v xml:space="preserve"> </v>
      </c>
      <c r="FU171" s="361" t="str">
        <f t="shared" si="581"/>
        <v xml:space="preserve"> </v>
      </c>
      <c r="FV171" s="362" t="str">
        <f t="shared" si="582"/>
        <v xml:space="preserve"> </v>
      </c>
      <c r="FW171" s="362" t="str">
        <f t="shared" si="583"/>
        <v xml:space="preserve"> </v>
      </c>
      <c r="FX171" s="362" t="str">
        <f t="shared" si="584"/>
        <v xml:space="preserve"> </v>
      </c>
      <c r="FY171" s="355" t="str">
        <f t="shared" si="585"/>
        <v xml:space="preserve"> </v>
      </c>
      <c r="FZ171" s="361" t="str">
        <f t="shared" si="586"/>
        <v xml:space="preserve"> </v>
      </c>
      <c r="GA171" s="347" t="str">
        <f t="shared" si="587"/>
        <v xml:space="preserve"> </v>
      </c>
      <c r="GB171" s="355" t="str">
        <f t="shared" si="588"/>
        <v xml:space="preserve"> </v>
      </c>
      <c r="GC171" s="328" t="str">
        <f t="shared" si="589"/>
        <v xml:space="preserve"> </v>
      </c>
      <c r="GD171" s="361" t="str">
        <f t="shared" si="590"/>
        <v xml:space="preserve"> </v>
      </c>
      <c r="GE171" s="347" t="str">
        <f t="shared" si="591"/>
        <v xml:space="preserve"> </v>
      </c>
      <c r="GF171" s="361" t="str">
        <f t="shared" si="592"/>
        <v xml:space="preserve"> </v>
      </c>
      <c r="GG171" s="347" t="str">
        <f t="shared" si="593"/>
        <v xml:space="preserve"> </v>
      </c>
      <c r="GH171" s="364">
        <f t="shared" si="487"/>
        <v>0</v>
      </c>
      <c r="GI171" s="362">
        <f t="shared" si="594"/>
        <v>2</v>
      </c>
      <c r="GJ171" s="433" t="e">
        <f>IF(6-COUNTBLANK(GT171:GY171)=4,MATCH(MID(BO171,9,3),CLU!$H$16:$K$16),MATCH(MID(BO171,9,3),CLU!$H$13:$M$13))</f>
        <v>#N/A</v>
      </c>
      <c r="GK171" s="433" t="e">
        <f>HLOOKUP(VALUE(BP171),CLU!$H$9:$M$10,2)</f>
        <v>#VALUE!</v>
      </c>
      <c r="GL171" s="433" t="e">
        <f ca="1">MATCH(BU171,CLU!$H$2:$V$2,1)</f>
        <v>#VALUE!</v>
      </c>
      <c r="GM171" s="433" t="e">
        <f t="shared" ca="1" si="595"/>
        <v>#VALUE!</v>
      </c>
      <c r="GN171" s="433" t="e">
        <f t="shared" ca="1" si="596"/>
        <v>#VALUE!</v>
      </c>
      <c r="GO171" s="433" t="e">
        <f t="shared" ca="1" si="597"/>
        <v>#VALUE!</v>
      </c>
      <c r="GP171" s="433" t="e">
        <f t="shared" ca="1" si="598"/>
        <v>#VALUE!</v>
      </c>
      <c r="GQ171" s="433" t="e">
        <f t="shared" ca="1" si="599"/>
        <v>#VALUE!</v>
      </c>
      <c r="GR171" s="433" t="e">
        <f ca="1">MATCH(T171,INDIRECT(VLOOKUP(CONCATENATE(LEFT(BO171,7),"-",MID(BO171,13,1)),CLU!$P$3:$Q$16,2)),1)</f>
        <v>#N/A</v>
      </c>
      <c r="GS171" s="433" t="e">
        <f ca="1">MATCH(U171,INDIRECT(VLOOKUP(CONCATENATE(LEFT(BO171,7),"-",MID(BO171,13,1)),CLU!$P$3:$Q$16,2)),1)</f>
        <v>#N/A</v>
      </c>
      <c r="GT171" s="347" t="s">
        <v>512</v>
      </c>
      <c r="GU171" s="97" t="s">
        <v>513</v>
      </c>
      <c r="GV171" s="97" t="str">
        <f t="shared" si="600"/>
        <v>M23</v>
      </c>
      <c r="GW171" s="97" t="str">
        <f t="shared" si="601"/>
        <v>M31</v>
      </c>
      <c r="GX171" s="97" t="str">
        <f t="shared" si="602"/>
        <v/>
      </c>
      <c r="GY171" s="97" t="str">
        <f t="shared" si="603"/>
        <v/>
      </c>
      <c r="GZ171" s="481"/>
      <c r="HA171" s="288"/>
      <c r="HB171" s="240"/>
      <c r="HC171" s="240"/>
      <c r="HD171" s="240"/>
      <c r="HE171" s="240"/>
      <c r="HF171" s="240"/>
      <c r="HG171" s="240"/>
      <c r="HH171" s="240"/>
      <c r="HI171" s="240"/>
      <c r="HJ171" s="240"/>
      <c r="HK171" s="240"/>
      <c r="HL171" s="240"/>
      <c r="HM171" s="240"/>
      <c r="HN171" s="240"/>
      <c r="HO171" s="240"/>
      <c r="HP171" s="240"/>
      <c r="HQ171" s="240"/>
      <c r="HR171" s="240"/>
      <c r="HS171" s="240"/>
      <c r="HT171" s="240"/>
      <c r="HU171" s="240"/>
      <c r="HV171" s="245"/>
      <c r="HW171" s="245" t="b">
        <v>1</v>
      </c>
      <c r="HX171" s="245" t="str">
        <f t="shared" si="488"/>
        <v/>
      </c>
      <c r="HY171" s="245" t="e">
        <f t="shared" si="489"/>
        <v>#DIV/0!</v>
      </c>
      <c r="HZ171" s="245" t="e">
        <f t="shared" si="490"/>
        <v>#DIV/0!</v>
      </c>
      <c r="IA171" s="245">
        <f t="shared" si="491"/>
        <v>0</v>
      </c>
      <c r="IB171" s="245"/>
      <c r="IC171" t="b">
        <f t="shared" si="492"/>
        <v>1</v>
      </c>
      <c r="ID171" s="245" t="b">
        <f t="shared" si="493"/>
        <v>1</v>
      </c>
      <c r="IE171" s="245" t="b">
        <f t="shared" si="494"/>
        <v>1</v>
      </c>
      <c r="IF171" s="245" t="b">
        <f t="shared" si="495"/>
        <v>0</v>
      </c>
      <c r="IG171" s="245" t="b">
        <f t="shared" si="496"/>
        <v>1</v>
      </c>
      <c r="IH171" s="245" t="b">
        <f t="shared" si="497"/>
        <v>1</v>
      </c>
      <c r="II171" s="245">
        <f t="shared" si="604"/>
        <v>0</v>
      </c>
      <c r="IJ171" s="245" t="e">
        <f t="shared" si="498"/>
        <v>#VALUE!</v>
      </c>
      <c r="IK171" s="245" t="e">
        <f t="shared" si="499"/>
        <v>#VALUE!</v>
      </c>
      <c r="IL171" s="245"/>
      <c r="IM171" s="245" t="e">
        <f t="shared" si="605"/>
        <v>#N/A</v>
      </c>
      <c r="IN171" s="245" t="e">
        <f t="shared" si="606"/>
        <v>#N/A</v>
      </c>
      <c r="IO171" s="245"/>
      <c r="IP171" s="245"/>
      <c r="IQ171" s="245" t="str">
        <f t="shared" si="500"/>
        <v/>
      </c>
      <c r="IR171" s="245" t="str">
        <f>IF(J171="","",VLOOKUP(J171,Worksheet!$R$4:$T$14,2))</f>
        <v/>
      </c>
      <c r="IS171" s="245"/>
      <c r="IT171" s="245">
        <f t="shared" si="501"/>
        <v>0</v>
      </c>
      <c r="IU171" s="245">
        <f t="shared" si="502"/>
        <v>0</v>
      </c>
      <c r="IV171" s="245">
        <f t="shared" si="503"/>
        <v>0</v>
      </c>
      <c r="IW171" s="245">
        <f t="shared" si="504"/>
        <v>0</v>
      </c>
      <c r="IX171" s="245">
        <f t="shared" si="607"/>
        <v>0</v>
      </c>
      <c r="IY171" s="245">
        <f t="shared" si="505"/>
        <v>0</v>
      </c>
      <c r="IZ171" s="245">
        <f t="shared" si="506"/>
        <v>0</v>
      </c>
      <c r="JA171">
        <f t="shared" si="507"/>
        <v>0</v>
      </c>
      <c r="JB171">
        <f t="shared" si="608"/>
        <v>0</v>
      </c>
      <c r="JC171">
        <f t="shared" si="508"/>
        <v>0</v>
      </c>
      <c r="JD171">
        <f t="shared" si="509"/>
        <v>0</v>
      </c>
      <c r="JE171">
        <f t="shared" si="510"/>
        <v>0</v>
      </c>
      <c r="JF171">
        <f t="shared" si="511"/>
        <v>0</v>
      </c>
      <c r="JG171">
        <f t="shared" si="512"/>
        <v>0</v>
      </c>
      <c r="JH171">
        <f t="shared" si="513"/>
        <v>0</v>
      </c>
      <c r="JI171">
        <f t="shared" si="514"/>
        <v>0</v>
      </c>
      <c r="JJ171" s="447">
        <f t="shared" si="515"/>
        <v>0</v>
      </c>
      <c r="JK171" s="447">
        <f t="shared" si="516"/>
        <v>0</v>
      </c>
      <c r="JL171">
        <f t="shared" si="517"/>
        <v>0</v>
      </c>
      <c r="JM171" s="245" t="str">
        <f>IFERROR(VLOOKUP(MATCH(BN171,#REF!,0),#REF!,7),"")</f>
        <v/>
      </c>
      <c r="JN171" t="e">
        <f>HLOOKUP(LEFT(BO171,7),Discharge_Area,MATCH(JO171,LookUps!$B$130:$B$149,1)+2)</f>
        <v>#N/A</v>
      </c>
      <c r="JO171" t="str">
        <f t="shared" si="518"/>
        <v>- S</v>
      </c>
      <c r="JP171" t="e">
        <f>HLOOKUP(LEFT(BO171,7),Discharge_Area,MATCH(JO171,LookUps!$B$130:$B$149,1)+2)</f>
        <v>#N/A</v>
      </c>
      <c r="JQ171" t="e">
        <f t="shared" si="519"/>
        <v>#N/A</v>
      </c>
      <c r="JR171" t="e">
        <f t="shared" si="520"/>
        <v>#N/A</v>
      </c>
      <c r="JS171" t="e">
        <f t="shared" si="521"/>
        <v>#N/A</v>
      </c>
      <c r="JT171" s="532" t="str">
        <f t="shared" si="522"/>
        <v xml:space="preserve"> </v>
      </c>
      <c r="JU171" s="532" t="str">
        <f t="shared" si="523"/>
        <v xml:space="preserve"> </v>
      </c>
      <c r="JV171" s="533" t="str">
        <f t="shared" si="524"/>
        <v xml:space="preserve"> </v>
      </c>
      <c r="JW171" s="534">
        <f t="shared" si="525"/>
        <v>0</v>
      </c>
      <c r="JX171" s="535" t="str">
        <f t="shared" si="609"/>
        <v xml:space="preserve"> </v>
      </c>
      <c r="JY171" s="535" t="str">
        <f t="shared" si="610"/>
        <v xml:space="preserve"> </v>
      </c>
      <c r="JZ171" s="535" t="str">
        <f t="shared" si="611"/>
        <v xml:space="preserve"> </v>
      </c>
      <c r="KA171" s="536" t="str">
        <f t="shared" si="526"/>
        <v xml:space="preserve"> </v>
      </c>
      <c r="KB171" s="535" t="e">
        <f t="shared" si="612"/>
        <v>#VALUE!</v>
      </c>
      <c r="KC171" s="535" t="str">
        <f t="shared" si="527"/>
        <v/>
      </c>
      <c r="KD171" s="537" t="str">
        <f t="shared" si="613"/>
        <v xml:space="preserve"> </v>
      </c>
      <c r="KE171" s="537" t="str">
        <f t="shared" si="614"/>
        <v xml:space="preserve"> </v>
      </c>
      <c r="KF171" s="534">
        <f t="shared" si="528"/>
        <v>0</v>
      </c>
      <c r="KG171" s="535" t="str">
        <f t="shared" si="529"/>
        <v xml:space="preserve"> </v>
      </c>
      <c r="KH171" s="535" t="str">
        <f t="shared" si="530"/>
        <v xml:space="preserve"> </v>
      </c>
      <c r="KI171" s="535" t="str">
        <f t="shared" si="531"/>
        <v xml:space="preserve"> </v>
      </c>
      <c r="KJ171" s="536" t="str">
        <f t="shared" si="532"/>
        <v xml:space="preserve"> </v>
      </c>
      <c r="KK171" s="535" t="str">
        <f t="shared" si="615"/>
        <v xml:space="preserve"> </v>
      </c>
      <c r="KL171" s="535" t="str">
        <f t="shared" si="616"/>
        <v xml:space="preserve"> </v>
      </c>
      <c r="KM171" s="537" t="str">
        <f t="shared" si="533"/>
        <v xml:space="preserve"> </v>
      </c>
      <c r="KN171" s="537" t="str">
        <f t="shared" si="617"/>
        <v xml:space="preserve"> </v>
      </c>
      <c r="KP171">
        <f t="shared" si="534"/>
        <v>0</v>
      </c>
      <c r="LA171" t="e">
        <f t="shared" si="535"/>
        <v>#VALUE!</v>
      </c>
      <c r="LB171" t="e">
        <f t="shared" si="536"/>
        <v>#VALUE!</v>
      </c>
      <c r="LC171" t="e">
        <f t="shared" si="537"/>
        <v>#VALUE!</v>
      </c>
      <c r="LD171" t="e">
        <f t="shared" si="538"/>
        <v>#VALUE!</v>
      </c>
      <c r="LE171" t="e">
        <f t="shared" si="618"/>
        <v>#VALUE!</v>
      </c>
      <c r="LF171">
        <f t="shared" si="539"/>
        <v>0</v>
      </c>
      <c r="LG171" t="e">
        <f t="shared" si="619"/>
        <v>#VALUE!</v>
      </c>
      <c r="LH171" t="str">
        <f t="shared" si="540"/>
        <v xml:space="preserve"> </v>
      </c>
      <c r="LI171">
        <f t="shared" si="620"/>
        <v>1</v>
      </c>
    </row>
    <row r="172" spans="2:321" ht="15" customHeight="1">
      <c r="B172" s="311"/>
      <c r="C172" s="311"/>
      <c r="D172" s="312"/>
      <c r="E172" s="311"/>
      <c r="F172" s="312"/>
      <c r="G172" s="311"/>
      <c r="H172" s="311"/>
      <c r="I172" s="37"/>
      <c r="J172" s="311"/>
      <c r="K172" s="305" t="str">
        <f t="shared" si="541"/>
        <v/>
      </c>
      <c r="L172" s="313"/>
      <c r="M172" s="312"/>
      <c r="N172" s="311"/>
      <c r="O172" s="312"/>
      <c r="P172" s="311"/>
      <c r="Q172" s="305" t="str">
        <f t="shared" si="542"/>
        <v/>
      </c>
      <c r="R172" s="314"/>
      <c r="S172" s="450" t="str">
        <f t="shared" si="425"/>
        <v/>
      </c>
      <c r="T172" s="315"/>
      <c r="U172" s="315"/>
      <c r="W172" s="149" t="str">
        <f t="shared" si="426"/>
        <v xml:space="preserve"> </v>
      </c>
      <c r="X172" s="243" t="str">
        <f t="shared" si="427"/>
        <v xml:space="preserve"> </v>
      </c>
      <c r="Y172" s="150" t="str">
        <f t="shared" si="428"/>
        <v/>
      </c>
      <c r="Z172" s="149" t="str">
        <f t="shared" si="429"/>
        <v xml:space="preserve"> </v>
      </c>
      <c r="AA172" s="98" t="str">
        <f t="shared" si="430"/>
        <v xml:space="preserve"> </v>
      </c>
      <c r="AB172" s="153" t="str">
        <f t="shared" si="431"/>
        <v xml:space="preserve"> </v>
      </c>
      <c r="AC172" s="153" t="str">
        <f t="shared" si="432"/>
        <v xml:space="preserve"> </v>
      </c>
      <c r="AD172" s="148" t="str">
        <f t="shared" si="433"/>
        <v/>
      </c>
      <c r="AE172" s="149" t="str">
        <f t="shared" si="434"/>
        <v/>
      </c>
      <c r="AF172" s="151" t="str">
        <f t="shared" si="435"/>
        <v xml:space="preserve"> </v>
      </c>
      <c r="AG172" s="153" t="str">
        <f t="shared" si="436"/>
        <v xml:space="preserve"> </v>
      </c>
      <c r="AH172" s="98" t="str">
        <f t="shared" si="437"/>
        <v xml:space="preserve"> </v>
      </c>
      <c r="AI172" s="149" t="str">
        <f t="shared" si="438"/>
        <v xml:space="preserve"> </v>
      </c>
      <c r="AK172" s="144" t="str">
        <f t="shared" si="439"/>
        <v xml:space="preserve"> </v>
      </c>
      <c r="AL172" s="144"/>
      <c r="AM172" s="243" t="str">
        <f t="shared" si="440"/>
        <v xml:space="preserve"> </v>
      </c>
      <c r="AN172" s="149" t="str">
        <f t="shared" si="543"/>
        <v xml:space="preserve"> </v>
      </c>
      <c r="AO172" s="144" t="str">
        <f>IF(JB172&gt;0,IF(GI172=10,-R172*1.085*(Calculation!$F$6-Calculation!$F$13)*$S$14," "),"")</f>
        <v/>
      </c>
      <c r="AP172" s="144" t="str">
        <f t="shared" si="441"/>
        <v/>
      </c>
      <c r="AQ172" s="56" t="str">
        <f t="shared" si="442"/>
        <v/>
      </c>
      <c r="AR172" s="144" t="str">
        <f t="shared" si="443"/>
        <v/>
      </c>
      <c r="AS172" s="176" t="str">
        <f t="shared" si="444"/>
        <v/>
      </c>
      <c r="AT172" s="176" t="str">
        <f t="shared" si="544"/>
        <v xml:space="preserve"> </v>
      </c>
      <c r="AU172" s="176" t="str">
        <f t="shared" si="445"/>
        <v/>
      </c>
      <c r="AV172" s="177" t="str">
        <f t="shared" si="446"/>
        <v xml:space="preserve"> </v>
      </c>
      <c r="AW172" s="144" t="str">
        <f t="shared" si="447"/>
        <v xml:space="preserve"> </v>
      </c>
      <c r="AX172" s="144" t="str">
        <f t="shared" si="448"/>
        <v xml:space="preserve"> </v>
      </c>
      <c r="AY172" s="152" t="str">
        <f t="shared" si="449"/>
        <v xml:space="preserve"> </v>
      </c>
      <c r="AZ172" s="246" t="str">
        <f t="shared" si="450"/>
        <v/>
      </c>
      <c r="BA172" s="176" t="str">
        <f t="shared" si="451"/>
        <v xml:space="preserve"> </v>
      </c>
      <c r="BB172" s="176" t="str">
        <f t="shared" si="452"/>
        <v xml:space="preserve"> </v>
      </c>
      <c r="BC172" s="195"/>
      <c r="BD172" s="316"/>
      <c r="BE172" s="317"/>
      <c r="BF172" s="318"/>
      <c r="BG172" s="318"/>
      <c r="BH172" s="144" t="str">
        <f t="shared" si="621"/>
        <v xml:space="preserve"> </v>
      </c>
      <c r="BI172" s="176" t="str">
        <f t="shared" si="453"/>
        <v/>
      </c>
      <c r="BJ172" s="144" t="str">
        <f t="shared" si="622"/>
        <v/>
      </c>
      <c r="BK172" s="246" t="str">
        <f t="shared" si="454"/>
        <v/>
      </c>
      <c r="BL172" s="144" t="str">
        <f t="shared" si="623"/>
        <v/>
      </c>
      <c r="BM172" s="246" t="str">
        <f t="shared" si="455"/>
        <v/>
      </c>
      <c r="BN172" s="337" t="str">
        <f t="shared" si="545"/>
        <v/>
      </c>
      <c r="BO172" s="371" t="str">
        <f t="shared" si="546"/>
        <v/>
      </c>
      <c r="BP172" s="328" t="str">
        <f t="shared" si="624"/>
        <v xml:space="preserve"> </v>
      </c>
      <c r="BQ172" s="347" t="str">
        <f t="shared" si="547"/>
        <v xml:space="preserve"> </v>
      </c>
      <c r="BR172" s="353" t="str">
        <f t="shared" si="548"/>
        <v xml:space="preserve"> </v>
      </c>
      <c r="BS172" s="626" t="str">
        <f>IF(L172&gt;0,IF(Calculation!P172="M13",BR172*3.1416*(0.134^2)/(4*144),IF(Calculation!P172="M17",BR172*3.1416*(0.165^2)/(4*144),IF(Calculation!P172="M20",BR172*3.1416*(0.198^2)/(4*144),IF(Calculation!P172="M23",BR172*3.1416*(0.228^2)/(4*144),IF(Calculation!P172="M27",BR172*3.1416*(0.269^2)/(4*144),BR172*3.1416*(0.307^2)/(4*144))))))," ")</f>
        <v xml:space="preserve"> </v>
      </c>
      <c r="BT172" s="353" t="str">
        <f>IF(L172&gt;0,IF(BS172&gt;0,R172/Calculation!BS172,0)," ")</f>
        <v xml:space="preserve"> </v>
      </c>
      <c r="BU172" s="438" t="e">
        <f t="shared" ca="1" si="456"/>
        <v>#VALUE!</v>
      </c>
      <c r="BV172" s="449" t="e">
        <f ca="1">INDEX(INDIRECT(VLOOKUP(LEFT(BO172,7),CLU!$Z$3:$AH$18,2)),GN172,GR172)</f>
        <v>#N/A</v>
      </c>
      <c r="BW172" s="433" t="e">
        <f ca="1">INDEX(INDIRECT(VLOOKUP(LEFT(BO172,7),CLU!$Z$3:$AH$18,3)),GN172,GR172)</f>
        <v>#N/A</v>
      </c>
      <c r="BX172" s="433" t="e">
        <f ca="1">INDEX(INDIRECT(VLOOKUP(LEFT(BO172,7),CLU!$Z$3:$AH$18,4)),GN172,GR172)</f>
        <v>#N/A</v>
      </c>
      <c r="BY172" s="433" t="e">
        <f ca="1">INDEX(INDIRECT(VLOOKUP(LEFT(BO172,7),CLU!$Z$3:$AH$18,9)),((M172-2)*(6-COUNTBLANK(GT172:GY172)))+GJ172)</f>
        <v>#N/A</v>
      </c>
      <c r="BZ172" s="426" t="e">
        <f t="shared" ca="1" si="549"/>
        <v>#N/A</v>
      </c>
      <c r="CA172" s="424" t="e">
        <f t="shared" ca="1" si="550"/>
        <v>#N/A</v>
      </c>
      <c r="CB172" s="429" t="e">
        <f ca="1">INDEX(INDIRECT(VLOOKUP(LEFT(BO172,7),CLU!$Z$3:$AH$18,2)),GN172,GS172)</f>
        <v>#N/A</v>
      </c>
      <c r="CC172" s="342" t="e">
        <f ca="1">INDEX(INDIRECT(VLOOKUP(LEFT(BO172,7),CLU!$Z$3:$AH$18,3)),GN172,GS172)</f>
        <v>#N/A</v>
      </c>
      <c r="CD172" s="342" t="e">
        <f ca="1">INDEX(INDIRECT(VLOOKUP(LEFT(BO172,7),CLU!$Z$3:$AH$18,4)),GN172,GS172)</f>
        <v>#N/A</v>
      </c>
      <c r="CE172" s="426" t="e">
        <f t="shared" ca="1" si="551"/>
        <v>#N/A</v>
      </c>
      <c r="CF172" s="440">
        <f t="shared" si="552"/>
        <v>0</v>
      </c>
      <c r="CG172" s="431" t="e">
        <f ca="1">INDEX(INDIRECT(VLOOKUP(LEFT(BO172,7),CLU!$Z$3:$AH$18,2)),GQ172,GR172)</f>
        <v>#N/A</v>
      </c>
      <c r="CH172" s="431" t="e">
        <f ca="1">INDEX(INDIRECT(VLOOKUP(LEFT(BO172,7),CLU!$Z$3:$AH$18,3)),GQ172,GR172)</f>
        <v>#N/A</v>
      </c>
      <c r="CI172" s="431" t="e">
        <f ca="1">INDEX(INDIRECT(VLOOKUP(LEFT(BO172,7),CLU!$Z$3:$AH$18,4)),GQ172,GR172)</f>
        <v>#N/A</v>
      </c>
      <c r="CJ172" s="448" t="e">
        <f t="shared" ca="1" si="553"/>
        <v>#N/A</v>
      </c>
      <c r="CK172" s="431" t="e">
        <f t="shared" ca="1" si="554"/>
        <v>#N/A</v>
      </c>
      <c r="CL172" s="440" t="e">
        <f t="shared" ca="1" si="555"/>
        <v>#N/A</v>
      </c>
      <c r="CM172" s="431" t="e">
        <f ca="1">INDEX(INDIRECT(VLOOKUP(LEFT(BO172,7),CLU!$Z$3:$AH$18,2)),GQ172,GS172)</f>
        <v>#N/A</v>
      </c>
      <c r="CN172" s="431" t="e">
        <f ca="1">INDEX(INDIRECT(VLOOKUP(LEFT(BO172,7),CLU!$Z$3:$AH$18,3)),GQ172,GS172)</f>
        <v>#N/A</v>
      </c>
      <c r="CO172" s="431" t="e">
        <f ca="1">INDEX(INDIRECT(VLOOKUP(LEFT(BO172,7),CLU!$Z$3:$AH$18,4)),GQ172,GS172)</f>
        <v>#N/A</v>
      </c>
      <c r="CP172" s="431" t="e">
        <f t="shared" ca="1" si="556"/>
        <v>#N/A</v>
      </c>
      <c r="CQ172" s="440">
        <f t="shared" si="557"/>
        <v>0</v>
      </c>
      <c r="CR172" s="51" t="e">
        <f t="shared" ca="1" si="558"/>
        <v>#N/A</v>
      </c>
      <c r="CS172" s="439" t="e">
        <f t="shared" ca="1" si="559"/>
        <v>#VALUE!</v>
      </c>
      <c r="CT172" s="51" t="e">
        <f t="shared" ca="1" si="560"/>
        <v>#VALUE!</v>
      </c>
      <c r="CU172" s="10"/>
      <c r="CV172" s="51" t="e">
        <f t="shared" ca="1" si="457"/>
        <v>#VALUE!</v>
      </c>
      <c r="CW172" s="51">
        <f t="shared" si="561"/>
        <v>0</v>
      </c>
      <c r="CX172" s="439" t="e">
        <f t="shared" ca="1" si="562"/>
        <v>#VALUE!</v>
      </c>
      <c r="CY172" s="51" t="e">
        <f t="shared" ca="1" si="563"/>
        <v>#VALUE!</v>
      </c>
      <c r="CZ172" s="10"/>
      <c r="DA172" s="51" t="e">
        <f t="shared" ca="1" si="564"/>
        <v>#VALUE!</v>
      </c>
      <c r="DB172" s="347" t="e">
        <f ca="1">INDEX(INDIRECT(VLOOKUP(LEFT(BO172,7),CLU!$Z$3:$AI$18,10)),((M172-2)*(6-COUNTBLANK(GT172:GY172)))+GJ172)*LI172</f>
        <v>#N/A</v>
      </c>
      <c r="DC172" s="347" t="str">
        <f>IF(L172&gt;0,((R172/Worksheet!$I$15)/DB172)^2," ")</f>
        <v xml:space="preserve"> </v>
      </c>
      <c r="DD172" s="602" t="str">
        <f t="shared" si="565"/>
        <v xml:space="preserve"> </v>
      </c>
      <c r="DE172" s="347" t="str">
        <f t="shared" si="458"/>
        <v xml:space="preserve"> </v>
      </c>
      <c r="DF172" s="356" t="e">
        <f ca="1">INDEX(INDIRECT(VLOOKUP(LEFT(BO172,7),CLU!$Z$3:$AH$18,8)),((M172-2)*(6-COUNTBLANK(GT172:GY172)))+GJ172)</f>
        <v>#N/A</v>
      </c>
      <c r="DG172" s="347" t="str">
        <f t="shared" si="459"/>
        <v xml:space="preserve"> </v>
      </c>
      <c r="DH172" s="357" t="str">
        <f t="shared" si="460"/>
        <v xml:space="preserve"> </v>
      </c>
      <c r="DI172" s="355" t="str">
        <f t="shared" si="461"/>
        <v xml:space="preserve"> </v>
      </c>
      <c r="DJ172" s="245" t="e">
        <f ca="1">INDEX(INDIRECT(VLOOKUP(LEFT(BO172,7),CLU!$Z$3:$AH$18,5)),GL172,GK172)</f>
        <v>#N/A</v>
      </c>
      <c r="DK172" s="245" t="e">
        <f ca="1">INDEX(INDIRECT(VLOOKUP(LEFT(BO172,7),CLU!$Z$3:$AH$18,6)),GL172,GK172)</f>
        <v>#N/A</v>
      </c>
      <c r="DL172" s="355">
        <f>(Calculation!R172*0.69143*(Calculation!$BQ$8-Calculation!$F$8))*$S$14</f>
        <v>0</v>
      </c>
      <c r="DM172" s="359" t="e">
        <f t="shared" si="566"/>
        <v>#VALUE!</v>
      </c>
      <c r="DN172" s="611">
        <f t="shared" si="567"/>
        <v>0</v>
      </c>
      <c r="DO172" s="359">
        <f t="shared" si="568"/>
        <v>100</v>
      </c>
      <c r="DP172" s="359">
        <f t="shared" si="569"/>
        <v>0</v>
      </c>
      <c r="DQ172" s="360"/>
      <c r="DR172" s="245" t="e">
        <f ca="1">INDEX(INDIRECT(VLOOKUP(LEFT(BO172,7),CLU!$Z$3:$AH$18,7)),M172-1,1)</f>
        <v>#N/A</v>
      </c>
      <c r="DS172" s="245" t="e">
        <f ca="1">INDEX(INDIRECT(VLOOKUP(LEFT(BO172,7),CLU!$Z$3:$AH$18,7)),M172-1,2)</f>
        <v>#N/A</v>
      </c>
      <c r="DT172" s="245" t="e">
        <f ca="1">INDEX(INDIRECT(VLOOKUP(LEFT(BO172,7),CLU!$Z$3:$AH$18,7)),M172-1,3)</f>
        <v>#N/A</v>
      </c>
      <c r="DU172" s="245" t="e">
        <f ca="1">INDEX(INDIRECT(VLOOKUP(LEFT(BO172,7),CLU!$Z$3:$AH$18,7)),M172-1,4)</f>
        <v>#N/A</v>
      </c>
      <c r="DV172" s="361" t="e">
        <f ca="1">INDEX(INDIRECT(VLOOKUP(LEFT(BO172,7),CLU!$Z$3:$AH$18,7)),M172-1,4+LEFT(DZ172,1)*0.5)</f>
        <v>#N/A</v>
      </c>
      <c r="DW172" s="245" t="e">
        <f ca="1">INDEX(INDIRECT(VLOOKUP(LEFT(BO172,7),CLU!$Z$3:$AH$18,7)),M172-1,8)</f>
        <v>#N/A</v>
      </c>
      <c r="DX172" s="361" t="str">
        <f t="shared" si="462"/>
        <v xml:space="preserve"> </v>
      </c>
      <c r="DY172" s="361" t="str">
        <f t="shared" si="463"/>
        <v xml:space="preserve"> </v>
      </c>
      <c r="DZ172" s="361" t="str">
        <f t="shared" si="464"/>
        <v xml:space="preserve"> </v>
      </c>
      <c r="EA172" s="362" t="str">
        <f t="shared" si="465"/>
        <v xml:space="preserve"> </v>
      </c>
      <c r="EB172" s="624" t="str">
        <f t="shared" si="570"/>
        <v xml:space="preserve"> </v>
      </c>
      <c r="EC172" s="361" t="e">
        <f ca="1">INDEX(INDIRECT(VLOOKUP(LEFT(BO172,7),CLU!$Z$3:$AH$18,7)),M172-1,4+LEFT(DZ172,1)*0.5)</f>
        <v>#N/A</v>
      </c>
      <c r="ED172" s="362" t="str">
        <f t="shared" si="466"/>
        <v xml:space="preserve"> </v>
      </c>
      <c r="EE172" s="361" t="str">
        <f t="shared" si="467"/>
        <v xml:space="preserve"> </v>
      </c>
      <c r="EF172" s="362" t="str">
        <f>IF(L172&gt;0,IF(BR172&gt;0,IF(EE172="2P",IF(Calculation!DZ172="2P",IF(Calculation!DS172=13.75,IF(Calculation!DR172=13,Worksheet!$BD$43,IF(Calculation!DR172=37,Worksheet!$BD$44,Worksheet!$BD$45)),IF(Calculation!DS172=10,IF(Calculation!DR172=18,Worksheet!$BD$29,IF(Calculation!DR172=30,Worksheet!$BD$30,IF(Calculation!DR172=42,Worksheet!$BD$31,IF(Calculation!DR172=54,Worksheet!$BD$32,IF(Calculation!DR172=66,Worksheet!$BD$33,IF(Calculation!DR172=78,Worksheet!$BD$34,IF(Calculation!DR172=90,Worksheet!$BD$35,IF(Calculation!DR172=102,Worksheet!$BD$36,Worksheet!$BD$37)))))))),IF(Calculation!DS172=12.5,IF(Calculation!DR172=18,Worksheet!$BD$38,IF(Calculation!DR172=Worksheet!$BD$39,IF(Calculation!DR172=42,Worksheet!$BD$40,IF(Calculation!DR172=54,Worksheet!$BD$41,Worksheet!$BD$42)))),IF(Calculation!DR172=18,Worksheet!$BD$11,IF(Calculation!DR172=30,Worksheet!$BD$12,IF(Calculation!DR172=42,Worksheet!$BD$13,IF(Calculation!DR172=54,Worksheet!$BD$14,IF(Calculation!DR172=66,Worksheet!$BD$15,IF(Calculation!DR172=78,Worksheet!$BD$16,IF(Calculation!DR172=90,Worksheet!$BD$17,IF(Calculation!DR172=102,Worksheet!$BD$18,Worksheet!$BD$19))))))))))),IF(Calculation!DS172=13.75,IF(Calculation!DR172=13,Worksheet!$BD$78,IF(Calculation!DR172=37,Worksheet!$BD$79,Worksheet!$BD$80)),IF(Calculation!DS172=10,IF(Calculation!DR172=18,Worksheet!$BD$64,IF(Calculation!DR172=30,Worksheet!$BD$65,IF(Calculation!DR172=42,Worksheet!$BD$66,IF(Calculation!DR172=54,Worksheet!$BD$68,IF(Calculation!DR172=66,Worksheet!$BD$68,IF(Calculation!DR172=78,Worksheet!$BD$69,IF(Calculation!DR172=90,Worksheet!$BD$70,IF(Calculation!DR172=102,Worksheet!$BD$71,Worksheet!$BD$72)))))))),IF(Calculation!DS172=12.5,IF(Calculation!DR172=18,Worksheet!$BD$73,IF(Calculation!DR172=Worksheet!$BD$74,IF(Calculation!DR172=42,Worksheet!$BD$75,IF(Calculation!DR172=54,Worksheet!$BD$76,Worksheet!$BD$77)))),IF(Calculation!DR172=18,Worksheet!$BD$55,IF(Calculation!DR172=30,Worksheet!$BD$56,IF(Calculation!DR172=42,Worksheet!$BD$57,IF(Calculation!DR172=54,Worksheet!$BD$58,IF(Calculation!DR172=66,Worksheet!$BD$59,IF(Calculation!DR172=78,Worksheet!$BD$60,IF(Calculation!DR172=90,Worksheet!$BD$61,IF(Calculation!DR172=102,Worksheet!$BD$62,Worksheet!$BD$63)))))))))))),5),0)," ")</f>
        <v xml:space="preserve"> </v>
      </c>
      <c r="EG172" s="361" t="str">
        <f t="shared" si="468"/>
        <v xml:space="preserve"> </v>
      </c>
      <c r="EH172" s="361" t="e">
        <f ca="1">INDEX(INDIRECT(VLOOKUP(LEFT(BO172,7),CLU!$Z$3:$AH$18,7)),M172-1,3+LEFT(DZ172,1))</f>
        <v>#N/A</v>
      </c>
      <c r="EI172" s="362" t="str">
        <f t="shared" si="469"/>
        <v xml:space="preserve"> </v>
      </c>
      <c r="EJ172" s="363" t="str">
        <f t="shared" si="470"/>
        <v xml:space="preserve"> </v>
      </c>
      <c r="EK172" s="363" t="str">
        <f t="shared" si="471"/>
        <v xml:space="preserve"> </v>
      </c>
      <c r="EL172" s="363" t="str">
        <f t="shared" si="472"/>
        <v xml:space="preserve"> </v>
      </c>
      <c r="EM172" s="362" t="str">
        <f>IF(L172&gt;0,IF(BR172&gt;0,(Calculation!T172/ED172)^2,0)," ")</f>
        <v xml:space="preserve"> </v>
      </c>
      <c r="EN172" s="362" t="str">
        <f>IF(L172&gt;0,IF(O172="2 Pipe (Cooling)","N/A",IF(BR172&gt;0,(Calculation!U172/EI172)^2,0))," ")</f>
        <v xml:space="preserve"> </v>
      </c>
      <c r="EO172" s="361" t="str">
        <f t="shared" si="473"/>
        <v/>
      </c>
      <c r="EP172" s="361" t="str">
        <f t="shared" si="474"/>
        <v/>
      </c>
      <c r="EQ172" s="361" t="str">
        <f t="shared" si="475"/>
        <v/>
      </c>
      <c r="ER172" s="361" t="str">
        <f t="shared" si="476"/>
        <v/>
      </c>
      <c r="ES172" s="361" t="str">
        <f t="shared" si="477"/>
        <v/>
      </c>
      <c r="ET172" s="361" t="str">
        <f t="shared" si="478"/>
        <v/>
      </c>
      <c r="EU172" s="361" t="str">
        <f t="shared" si="479"/>
        <v/>
      </c>
      <c r="EV172" s="361" t="str">
        <f t="shared" si="480"/>
        <v/>
      </c>
      <c r="EW172" s="361" t="str">
        <f t="shared" si="481"/>
        <v/>
      </c>
      <c r="EX172" s="361" t="str">
        <f t="shared" si="571"/>
        <v>1 slot, 1 way</v>
      </c>
      <c r="EY172" s="361" t="str">
        <f t="shared" si="572"/>
        <v xml:space="preserve"> </v>
      </c>
      <c r="EZ172" s="361" t="str">
        <f t="shared" si="573"/>
        <v xml:space="preserve"> </v>
      </c>
      <c r="FA172" s="361" t="str">
        <f t="shared" si="574"/>
        <v xml:space="preserve"> </v>
      </c>
      <c r="FB172" s="361" t="str">
        <f t="shared" si="575"/>
        <v xml:space="preserve"> </v>
      </c>
      <c r="FC172" s="361"/>
      <c r="FD172" s="361" t="str">
        <f>IF(J172&gt;0,IF(Calculation!R172&lt;=70,4,IF(Calculation!R172&lt;=110,5,IF(Calculation!R172&lt;=160,6,IF(Calculation!R172&lt;=300,8,"10 EO")))),"")</f>
        <v/>
      </c>
      <c r="FE172" s="361" t="str">
        <f t="shared" si="576"/>
        <v/>
      </c>
      <c r="FF172" s="361" t="str">
        <f t="shared" si="577"/>
        <v/>
      </c>
      <c r="FG172" s="361" t="e">
        <f t="shared" si="482"/>
        <v>#N/A</v>
      </c>
      <c r="FH172" s="361">
        <f t="shared" si="483"/>
        <v>0</v>
      </c>
      <c r="FI172" s="361" t="e">
        <f t="shared" si="484"/>
        <v>#DIV/0!</v>
      </c>
      <c r="FJ172" s="361"/>
      <c r="FK172" s="356" t="e">
        <f t="shared" si="485"/>
        <v>#VALUE!</v>
      </c>
      <c r="FL172" s="361"/>
      <c r="FM172" s="361"/>
      <c r="FN172" s="362" t="str">
        <f t="shared" si="578"/>
        <v xml:space="preserve"> </v>
      </c>
      <c r="FO172" s="362" t="str">
        <f t="shared" si="579"/>
        <v xml:space="preserve"> </v>
      </c>
      <c r="FP172" s="362">
        <f t="shared" si="580"/>
        <v>0</v>
      </c>
      <c r="FQ172" s="361">
        <f t="shared" si="486"/>
        <v>0</v>
      </c>
      <c r="FR172" s="362" t="str">
        <f>IF(L172&gt;0,IF(J172="CBAL2",Worksheet!$P$67,IF(J172="CBE2-24",Worksheet!$Q$67,IF(J172="CBAM",Worksheet!$R$67,IF(J172="CBLV",Worksheet!$S$67,IF(J172="CBAB",Worksheet!$U$67,IF(J172="CBAW",Worksheet!$X$67,IF(J172="CBE2-12",Worksheet!$Y$67,IF(J172="CBAL2",Worksheet!$Z$67,"N/A"))))))))," ")</f>
        <v xml:space="preserve"> </v>
      </c>
      <c r="FS172" s="362" t="str">
        <f>IF(L172&gt;0,IF(J172="CBAL2",Worksheet!$P$68,IF(J172="CBE2-24",Worksheet!$Q$68,IF(J172="CBAM",Worksheet!$R$68,IF(J172="CBLV",Worksheet!$S$68,IF(J172="CBAB",Worksheet!$U$68,IF(J172="CBAW",Worksheet!$X$68,IF(J172="CBE2-12",Worksheet!$Y$68,IF(J172="CBAL2",Worksheet!$Z$68,"N/A"))))))))," ")</f>
        <v xml:space="preserve"> </v>
      </c>
      <c r="FT172" s="362" t="str">
        <f>IF(L172&gt;0,IF(J172="CBAL2",Worksheet!$P$69,IF(J172="CBE2-24",Worksheet!$Q$69,IF(J172="CBAM",Worksheet!$R$69,IF(J172="CBLV",Worksheet!$S$69,IF(J172="CBAB",Worksheet!$U$69,IF(J172="CBAW",Worksheet!$X$69,IF(J172="CBE2-12",Worksheet!$Y$69,IF(J172="CBAL2",Worksheet!$Z$69,"N/A"))))))))," ")</f>
        <v xml:space="preserve"> </v>
      </c>
      <c r="FU172" s="361" t="str">
        <f t="shared" si="581"/>
        <v xml:space="preserve"> </v>
      </c>
      <c r="FV172" s="362" t="str">
        <f t="shared" si="582"/>
        <v xml:space="preserve"> </v>
      </c>
      <c r="FW172" s="362" t="str">
        <f t="shared" si="583"/>
        <v xml:space="preserve"> </v>
      </c>
      <c r="FX172" s="362" t="str">
        <f t="shared" si="584"/>
        <v xml:space="preserve"> </v>
      </c>
      <c r="FY172" s="355" t="str">
        <f t="shared" si="585"/>
        <v xml:space="preserve"> </v>
      </c>
      <c r="FZ172" s="361" t="str">
        <f t="shared" si="586"/>
        <v xml:space="preserve"> </v>
      </c>
      <c r="GA172" s="347" t="str">
        <f t="shared" si="587"/>
        <v xml:space="preserve"> </v>
      </c>
      <c r="GB172" s="355" t="str">
        <f t="shared" si="588"/>
        <v xml:space="preserve"> </v>
      </c>
      <c r="GC172" s="328" t="str">
        <f t="shared" si="589"/>
        <v xml:space="preserve"> </v>
      </c>
      <c r="GD172" s="361" t="str">
        <f t="shared" si="590"/>
        <v xml:space="preserve"> </v>
      </c>
      <c r="GE172" s="347" t="str">
        <f t="shared" si="591"/>
        <v xml:space="preserve"> </v>
      </c>
      <c r="GF172" s="361" t="str">
        <f t="shared" si="592"/>
        <v xml:space="preserve"> </v>
      </c>
      <c r="GG172" s="347" t="str">
        <f t="shared" si="593"/>
        <v xml:space="preserve"> </v>
      </c>
      <c r="GH172" s="364">
        <f t="shared" si="487"/>
        <v>0</v>
      </c>
      <c r="GI172" s="362">
        <f t="shared" si="594"/>
        <v>2</v>
      </c>
      <c r="GJ172" s="433" t="e">
        <f>IF(6-COUNTBLANK(GT172:GY172)=4,MATCH(MID(BO172,9,3),CLU!$H$16:$K$16),MATCH(MID(BO172,9,3),CLU!$H$13:$M$13))</f>
        <v>#N/A</v>
      </c>
      <c r="GK172" s="433" t="e">
        <f>HLOOKUP(VALUE(BP172),CLU!$H$9:$M$10,2)</f>
        <v>#VALUE!</v>
      </c>
      <c r="GL172" s="433" t="e">
        <f ca="1">MATCH(BU172,CLU!$H$2:$V$2,1)</f>
        <v>#VALUE!</v>
      </c>
      <c r="GM172" s="433" t="e">
        <f t="shared" ca="1" si="595"/>
        <v>#VALUE!</v>
      </c>
      <c r="GN172" s="433" t="e">
        <f t="shared" ca="1" si="596"/>
        <v>#VALUE!</v>
      </c>
      <c r="GO172" s="433" t="e">
        <f t="shared" ca="1" si="597"/>
        <v>#VALUE!</v>
      </c>
      <c r="GP172" s="433" t="e">
        <f t="shared" ca="1" si="598"/>
        <v>#VALUE!</v>
      </c>
      <c r="GQ172" s="433" t="e">
        <f t="shared" ca="1" si="599"/>
        <v>#VALUE!</v>
      </c>
      <c r="GR172" s="433" t="e">
        <f ca="1">MATCH(T172,INDIRECT(VLOOKUP(CONCATENATE(LEFT(BO172,7),"-",MID(BO172,13,1)),CLU!$P$3:$Q$16,2)),1)</f>
        <v>#N/A</v>
      </c>
      <c r="GS172" s="433" t="e">
        <f ca="1">MATCH(U172,INDIRECT(VLOOKUP(CONCATENATE(LEFT(BO172,7),"-",MID(BO172,13,1)),CLU!$P$3:$Q$16,2)),1)</f>
        <v>#N/A</v>
      </c>
      <c r="GT172" s="347" t="s">
        <v>512</v>
      </c>
      <c r="GU172" s="97" t="s">
        <v>513</v>
      </c>
      <c r="GV172" s="97" t="str">
        <f t="shared" si="600"/>
        <v>M23</v>
      </c>
      <c r="GW172" s="97" t="str">
        <f t="shared" si="601"/>
        <v>M31</v>
      </c>
      <c r="GX172" s="97" t="str">
        <f t="shared" si="602"/>
        <v/>
      </c>
      <c r="GY172" s="97" t="str">
        <f t="shared" si="603"/>
        <v/>
      </c>
      <c r="GZ172" s="481"/>
      <c r="HA172" s="288"/>
      <c r="HB172" s="240"/>
      <c r="HC172" s="240"/>
      <c r="HD172" s="240"/>
      <c r="HE172" s="240"/>
      <c r="HF172" s="240"/>
      <c r="HG172" s="240"/>
      <c r="HH172" s="240"/>
      <c r="HI172" s="240"/>
      <c r="HJ172" s="240"/>
      <c r="HK172" s="240"/>
      <c r="HL172" s="240"/>
      <c r="HM172" s="240"/>
      <c r="HN172" s="240"/>
      <c r="HO172" s="240"/>
      <c r="HP172" s="240"/>
      <c r="HQ172" s="240"/>
      <c r="HR172" s="240"/>
      <c r="HS172" s="240"/>
      <c r="HT172" s="240"/>
      <c r="HU172" s="240"/>
      <c r="HV172" s="245"/>
      <c r="HW172" s="245" t="b">
        <v>1</v>
      </c>
      <c r="HX172" s="245" t="str">
        <f t="shared" si="488"/>
        <v/>
      </c>
      <c r="HY172" s="245" t="e">
        <f t="shared" si="489"/>
        <v>#DIV/0!</v>
      </c>
      <c r="HZ172" s="245" t="e">
        <f t="shared" si="490"/>
        <v>#DIV/0!</v>
      </c>
      <c r="IA172" s="245">
        <f t="shared" si="491"/>
        <v>0</v>
      </c>
      <c r="IB172" s="245"/>
      <c r="IC172" t="b">
        <f t="shared" si="492"/>
        <v>1</v>
      </c>
      <c r="ID172" s="245" t="b">
        <f t="shared" si="493"/>
        <v>1</v>
      </c>
      <c r="IE172" s="245" t="b">
        <f t="shared" si="494"/>
        <v>1</v>
      </c>
      <c r="IF172" s="245" t="b">
        <f t="shared" si="495"/>
        <v>0</v>
      </c>
      <c r="IG172" s="245" t="b">
        <f t="shared" si="496"/>
        <v>1</v>
      </c>
      <c r="IH172" s="245" t="b">
        <f t="shared" si="497"/>
        <v>1</v>
      </c>
      <c r="II172" s="245">
        <f t="shared" si="604"/>
        <v>0</v>
      </c>
      <c r="IJ172" s="245" t="e">
        <f t="shared" si="498"/>
        <v>#VALUE!</v>
      </c>
      <c r="IK172" s="245" t="e">
        <f t="shared" si="499"/>
        <v>#VALUE!</v>
      </c>
      <c r="IL172" s="245"/>
      <c r="IM172" s="245" t="e">
        <f t="shared" si="605"/>
        <v>#N/A</v>
      </c>
      <c r="IN172" s="245" t="e">
        <f t="shared" si="606"/>
        <v>#N/A</v>
      </c>
      <c r="IO172" s="245"/>
      <c r="IP172" s="245"/>
      <c r="IQ172" s="245" t="str">
        <f t="shared" si="500"/>
        <v/>
      </c>
      <c r="IR172" s="245" t="str">
        <f>IF(J172="","",VLOOKUP(J172,Worksheet!$R$4:$T$14,2))</f>
        <v/>
      </c>
      <c r="IS172" s="245"/>
      <c r="IT172" s="245">
        <f t="shared" si="501"/>
        <v>0</v>
      </c>
      <c r="IU172" s="245">
        <f t="shared" si="502"/>
        <v>0</v>
      </c>
      <c r="IV172" s="245">
        <f t="shared" si="503"/>
        <v>0</v>
      </c>
      <c r="IW172" s="245">
        <f t="shared" si="504"/>
        <v>0</v>
      </c>
      <c r="IX172" s="245">
        <f t="shared" si="607"/>
        <v>0</v>
      </c>
      <c r="IY172" s="245">
        <f t="shared" si="505"/>
        <v>0</v>
      </c>
      <c r="IZ172" s="245">
        <f t="shared" si="506"/>
        <v>0</v>
      </c>
      <c r="JA172">
        <f t="shared" si="507"/>
        <v>0</v>
      </c>
      <c r="JB172">
        <f t="shared" si="608"/>
        <v>0</v>
      </c>
      <c r="JC172">
        <f t="shared" si="508"/>
        <v>0</v>
      </c>
      <c r="JD172">
        <f t="shared" si="509"/>
        <v>0</v>
      </c>
      <c r="JE172">
        <f t="shared" si="510"/>
        <v>0</v>
      </c>
      <c r="JF172">
        <f t="shared" si="511"/>
        <v>0</v>
      </c>
      <c r="JG172">
        <f t="shared" si="512"/>
        <v>0</v>
      </c>
      <c r="JH172">
        <f t="shared" si="513"/>
        <v>0</v>
      </c>
      <c r="JI172">
        <f t="shared" si="514"/>
        <v>0</v>
      </c>
      <c r="JJ172" s="447">
        <f t="shared" si="515"/>
        <v>0</v>
      </c>
      <c r="JK172" s="447">
        <f t="shared" si="516"/>
        <v>0</v>
      </c>
      <c r="JL172">
        <f t="shared" si="517"/>
        <v>0</v>
      </c>
      <c r="JM172" s="245" t="str">
        <f>IFERROR(VLOOKUP(MATCH(BN172,#REF!,0),#REF!,7),"")</f>
        <v/>
      </c>
      <c r="JN172" t="e">
        <f>HLOOKUP(LEFT(BO172,7),Discharge_Area,MATCH(JO172,LookUps!$B$130:$B$149,1)+2)</f>
        <v>#N/A</v>
      </c>
      <c r="JO172" t="str">
        <f t="shared" si="518"/>
        <v>- S</v>
      </c>
      <c r="JP172" t="e">
        <f>HLOOKUP(LEFT(BO172,7),Discharge_Area,MATCH(JO172,LookUps!$B$130:$B$149,1)+2)</f>
        <v>#N/A</v>
      </c>
      <c r="JQ172" t="e">
        <f t="shared" si="519"/>
        <v>#N/A</v>
      </c>
      <c r="JR172" t="e">
        <f t="shared" si="520"/>
        <v>#N/A</v>
      </c>
      <c r="JS172" t="e">
        <f t="shared" si="521"/>
        <v>#N/A</v>
      </c>
      <c r="JT172" s="532" t="str">
        <f t="shared" si="522"/>
        <v xml:space="preserve"> </v>
      </c>
      <c r="JU172" s="532" t="str">
        <f t="shared" si="523"/>
        <v xml:space="preserve"> </v>
      </c>
      <c r="JV172" s="533" t="str">
        <f t="shared" si="524"/>
        <v xml:space="preserve"> </v>
      </c>
      <c r="JW172" s="534">
        <f t="shared" si="525"/>
        <v>0</v>
      </c>
      <c r="JX172" s="535" t="str">
        <f t="shared" si="609"/>
        <v xml:space="preserve"> </v>
      </c>
      <c r="JY172" s="535" t="str">
        <f t="shared" si="610"/>
        <v xml:space="preserve"> </v>
      </c>
      <c r="JZ172" s="535" t="str">
        <f t="shared" si="611"/>
        <v xml:space="preserve"> </v>
      </c>
      <c r="KA172" s="536" t="str">
        <f t="shared" si="526"/>
        <v xml:space="preserve"> </v>
      </c>
      <c r="KB172" s="535" t="e">
        <f t="shared" si="612"/>
        <v>#VALUE!</v>
      </c>
      <c r="KC172" s="535" t="str">
        <f t="shared" si="527"/>
        <v/>
      </c>
      <c r="KD172" s="537" t="str">
        <f t="shared" si="613"/>
        <v xml:space="preserve"> </v>
      </c>
      <c r="KE172" s="537" t="str">
        <f t="shared" si="614"/>
        <v xml:space="preserve"> </v>
      </c>
      <c r="KF172" s="534">
        <f t="shared" si="528"/>
        <v>0</v>
      </c>
      <c r="KG172" s="535" t="str">
        <f t="shared" si="529"/>
        <v xml:space="preserve"> </v>
      </c>
      <c r="KH172" s="535" t="str">
        <f t="shared" si="530"/>
        <v xml:space="preserve"> </v>
      </c>
      <c r="KI172" s="535" t="str">
        <f t="shared" si="531"/>
        <v xml:space="preserve"> </v>
      </c>
      <c r="KJ172" s="536" t="str">
        <f t="shared" si="532"/>
        <v xml:space="preserve"> </v>
      </c>
      <c r="KK172" s="535" t="str">
        <f t="shared" si="615"/>
        <v xml:space="preserve"> </v>
      </c>
      <c r="KL172" s="535" t="str">
        <f t="shared" si="616"/>
        <v xml:space="preserve"> </v>
      </c>
      <c r="KM172" s="537" t="str">
        <f t="shared" si="533"/>
        <v xml:space="preserve"> </v>
      </c>
      <c r="KN172" s="537" t="str">
        <f t="shared" si="617"/>
        <v xml:space="preserve"> </v>
      </c>
      <c r="KP172">
        <f t="shared" si="534"/>
        <v>0</v>
      </c>
      <c r="LA172" t="e">
        <f t="shared" si="535"/>
        <v>#VALUE!</v>
      </c>
      <c r="LB172" t="e">
        <f t="shared" si="536"/>
        <v>#VALUE!</v>
      </c>
      <c r="LC172" t="e">
        <f t="shared" si="537"/>
        <v>#VALUE!</v>
      </c>
      <c r="LD172" t="e">
        <f t="shared" si="538"/>
        <v>#VALUE!</v>
      </c>
      <c r="LE172" t="e">
        <f t="shared" si="618"/>
        <v>#VALUE!</v>
      </c>
      <c r="LF172">
        <f t="shared" si="539"/>
        <v>0</v>
      </c>
      <c r="LG172" t="e">
        <f t="shared" si="619"/>
        <v>#VALUE!</v>
      </c>
      <c r="LH172" t="str">
        <f t="shared" si="540"/>
        <v xml:space="preserve"> </v>
      </c>
      <c r="LI172">
        <f t="shared" si="620"/>
        <v>1</v>
      </c>
    </row>
    <row r="173" spans="2:321" ht="15" customHeight="1">
      <c r="B173" s="311"/>
      <c r="C173" s="311"/>
      <c r="D173" s="312"/>
      <c r="E173" s="311"/>
      <c r="F173" s="312"/>
      <c r="G173" s="311"/>
      <c r="H173" s="311"/>
      <c r="I173" s="37"/>
      <c r="J173" s="311"/>
      <c r="K173" s="305" t="str">
        <f t="shared" si="541"/>
        <v/>
      </c>
      <c r="L173" s="313"/>
      <c r="M173" s="312"/>
      <c r="N173" s="311"/>
      <c r="O173" s="312"/>
      <c r="P173" s="311"/>
      <c r="Q173" s="305" t="str">
        <f t="shared" si="542"/>
        <v/>
      </c>
      <c r="R173" s="314"/>
      <c r="S173" s="450" t="str">
        <f t="shared" si="425"/>
        <v/>
      </c>
      <c r="T173" s="315"/>
      <c r="U173" s="315"/>
      <c r="W173" s="149" t="str">
        <f t="shared" si="426"/>
        <v xml:space="preserve"> </v>
      </c>
      <c r="X173" s="243" t="str">
        <f t="shared" si="427"/>
        <v xml:space="preserve"> </v>
      </c>
      <c r="Y173" s="150" t="str">
        <f t="shared" si="428"/>
        <v/>
      </c>
      <c r="Z173" s="149" t="str">
        <f t="shared" si="429"/>
        <v xml:space="preserve"> </v>
      </c>
      <c r="AA173" s="98" t="str">
        <f t="shared" si="430"/>
        <v xml:space="preserve"> </v>
      </c>
      <c r="AB173" s="153" t="str">
        <f t="shared" si="431"/>
        <v xml:space="preserve"> </v>
      </c>
      <c r="AC173" s="153" t="str">
        <f t="shared" si="432"/>
        <v xml:space="preserve"> </v>
      </c>
      <c r="AD173" s="148" t="str">
        <f t="shared" si="433"/>
        <v/>
      </c>
      <c r="AE173" s="149" t="str">
        <f t="shared" si="434"/>
        <v/>
      </c>
      <c r="AF173" s="151" t="str">
        <f t="shared" si="435"/>
        <v xml:space="preserve"> </v>
      </c>
      <c r="AG173" s="153" t="str">
        <f t="shared" si="436"/>
        <v xml:space="preserve"> </v>
      </c>
      <c r="AH173" s="98" t="str">
        <f t="shared" si="437"/>
        <v xml:space="preserve"> </v>
      </c>
      <c r="AI173" s="149" t="str">
        <f t="shared" si="438"/>
        <v xml:space="preserve"> </v>
      </c>
      <c r="AK173" s="144" t="str">
        <f t="shared" si="439"/>
        <v xml:space="preserve"> </v>
      </c>
      <c r="AL173" s="144"/>
      <c r="AM173" s="243" t="str">
        <f t="shared" si="440"/>
        <v xml:space="preserve"> </v>
      </c>
      <c r="AN173" s="149" t="str">
        <f t="shared" si="543"/>
        <v xml:space="preserve"> </v>
      </c>
      <c r="AO173" s="144" t="str">
        <f>IF(JB173&gt;0,IF(GI173=10,-R173*1.085*(Calculation!$F$6-Calculation!$F$13)*$S$14," "),"")</f>
        <v/>
      </c>
      <c r="AP173" s="144" t="str">
        <f t="shared" si="441"/>
        <v/>
      </c>
      <c r="AQ173" s="56" t="str">
        <f t="shared" si="442"/>
        <v/>
      </c>
      <c r="AR173" s="144" t="str">
        <f t="shared" si="443"/>
        <v/>
      </c>
      <c r="AS173" s="176" t="str">
        <f t="shared" si="444"/>
        <v/>
      </c>
      <c r="AT173" s="176" t="str">
        <f t="shared" si="544"/>
        <v xml:space="preserve"> </v>
      </c>
      <c r="AU173" s="176" t="str">
        <f t="shared" si="445"/>
        <v/>
      </c>
      <c r="AV173" s="177" t="str">
        <f t="shared" si="446"/>
        <v xml:space="preserve"> </v>
      </c>
      <c r="AW173" s="144" t="str">
        <f t="shared" si="447"/>
        <v xml:space="preserve"> </v>
      </c>
      <c r="AX173" s="144" t="str">
        <f t="shared" si="448"/>
        <v xml:space="preserve"> </v>
      </c>
      <c r="AY173" s="152" t="str">
        <f t="shared" si="449"/>
        <v xml:space="preserve"> </v>
      </c>
      <c r="AZ173" s="246" t="str">
        <f t="shared" si="450"/>
        <v/>
      </c>
      <c r="BA173" s="176" t="str">
        <f t="shared" si="451"/>
        <v xml:space="preserve"> </v>
      </c>
      <c r="BB173" s="176" t="str">
        <f t="shared" si="452"/>
        <v xml:space="preserve"> </v>
      </c>
      <c r="BC173" s="195"/>
      <c r="BD173" s="316"/>
      <c r="BE173" s="317"/>
      <c r="BF173" s="318"/>
      <c r="BG173" s="318"/>
      <c r="BH173" s="144" t="str">
        <f t="shared" si="621"/>
        <v xml:space="preserve"> </v>
      </c>
      <c r="BI173" s="176" t="str">
        <f t="shared" si="453"/>
        <v/>
      </c>
      <c r="BJ173" s="144" t="str">
        <f t="shared" si="622"/>
        <v/>
      </c>
      <c r="BK173" s="246" t="str">
        <f t="shared" si="454"/>
        <v/>
      </c>
      <c r="BL173" s="144" t="str">
        <f t="shared" si="623"/>
        <v/>
      </c>
      <c r="BM173" s="246" t="str">
        <f t="shared" si="455"/>
        <v/>
      </c>
      <c r="BN173" s="337" t="str">
        <f t="shared" si="545"/>
        <v/>
      </c>
      <c r="BO173" s="371" t="str">
        <f t="shared" si="546"/>
        <v/>
      </c>
      <c r="BP173" s="328" t="str">
        <f t="shared" si="624"/>
        <v xml:space="preserve"> </v>
      </c>
      <c r="BQ173" s="347" t="str">
        <f t="shared" si="547"/>
        <v xml:space="preserve"> </v>
      </c>
      <c r="BR173" s="353" t="str">
        <f t="shared" si="548"/>
        <v xml:space="preserve"> </v>
      </c>
      <c r="BS173" s="626" t="str">
        <f>IF(L173&gt;0,IF(Calculation!P173="M13",BR173*3.1416*(0.134^2)/(4*144),IF(Calculation!P173="M17",BR173*3.1416*(0.165^2)/(4*144),IF(Calculation!P173="M20",BR173*3.1416*(0.198^2)/(4*144),IF(Calculation!P173="M23",BR173*3.1416*(0.228^2)/(4*144),IF(Calculation!P173="M27",BR173*3.1416*(0.269^2)/(4*144),BR173*3.1416*(0.307^2)/(4*144))))))," ")</f>
        <v xml:space="preserve"> </v>
      </c>
      <c r="BT173" s="353" t="str">
        <f>IF(L173&gt;0,IF(BS173&gt;0,R173/Calculation!BS173,0)," ")</f>
        <v xml:space="preserve"> </v>
      </c>
      <c r="BU173" s="438" t="e">
        <f t="shared" ca="1" si="456"/>
        <v>#VALUE!</v>
      </c>
      <c r="BV173" s="449" t="e">
        <f ca="1">INDEX(INDIRECT(VLOOKUP(LEFT(BO173,7),CLU!$Z$3:$AH$18,2)),GN173,GR173)</f>
        <v>#N/A</v>
      </c>
      <c r="BW173" s="433" t="e">
        <f ca="1">INDEX(INDIRECT(VLOOKUP(LEFT(BO173,7),CLU!$Z$3:$AH$18,3)),GN173,GR173)</f>
        <v>#N/A</v>
      </c>
      <c r="BX173" s="433" t="e">
        <f ca="1">INDEX(INDIRECT(VLOOKUP(LEFT(BO173,7),CLU!$Z$3:$AH$18,4)),GN173,GR173)</f>
        <v>#N/A</v>
      </c>
      <c r="BY173" s="433" t="e">
        <f ca="1">INDEX(INDIRECT(VLOOKUP(LEFT(BO173,7),CLU!$Z$3:$AH$18,9)),((M173-2)*(6-COUNTBLANK(GT173:GY173)))+GJ173)</f>
        <v>#N/A</v>
      </c>
      <c r="BZ173" s="426" t="e">
        <f t="shared" ca="1" si="549"/>
        <v>#N/A</v>
      </c>
      <c r="CA173" s="424" t="e">
        <f t="shared" ca="1" si="550"/>
        <v>#N/A</v>
      </c>
      <c r="CB173" s="429" t="e">
        <f ca="1">INDEX(INDIRECT(VLOOKUP(LEFT(BO173,7),CLU!$Z$3:$AH$18,2)),GN173,GS173)</f>
        <v>#N/A</v>
      </c>
      <c r="CC173" s="342" t="e">
        <f ca="1">INDEX(INDIRECT(VLOOKUP(LEFT(BO173,7),CLU!$Z$3:$AH$18,3)),GN173,GS173)</f>
        <v>#N/A</v>
      </c>
      <c r="CD173" s="342" t="e">
        <f ca="1">INDEX(INDIRECT(VLOOKUP(LEFT(BO173,7),CLU!$Z$3:$AH$18,4)),GN173,GS173)</f>
        <v>#N/A</v>
      </c>
      <c r="CE173" s="426" t="e">
        <f t="shared" ca="1" si="551"/>
        <v>#N/A</v>
      </c>
      <c r="CF173" s="440">
        <f t="shared" si="552"/>
        <v>0</v>
      </c>
      <c r="CG173" s="431" t="e">
        <f ca="1">INDEX(INDIRECT(VLOOKUP(LEFT(BO173,7),CLU!$Z$3:$AH$18,2)),GQ173,GR173)</f>
        <v>#N/A</v>
      </c>
      <c r="CH173" s="431" t="e">
        <f ca="1">INDEX(INDIRECT(VLOOKUP(LEFT(BO173,7),CLU!$Z$3:$AH$18,3)),GQ173,GR173)</f>
        <v>#N/A</v>
      </c>
      <c r="CI173" s="431" t="e">
        <f ca="1">INDEX(INDIRECT(VLOOKUP(LEFT(BO173,7),CLU!$Z$3:$AH$18,4)),GQ173,GR173)</f>
        <v>#N/A</v>
      </c>
      <c r="CJ173" s="448" t="e">
        <f t="shared" ca="1" si="553"/>
        <v>#N/A</v>
      </c>
      <c r="CK173" s="431" t="e">
        <f t="shared" ca="1" si="554"/>
        <v>#N/A</v>
      </c>
      <c r="CL173" s="440" t="e">
        <f t="shared" ca="1" si="555"/>
        <v>#N/A</v>
      </c>
      <c r="CM173" s="431" t="e">
        <f ca="1">INDEX(INDIRECT(VLOOKUP(LEFT(BO173,7),CLU!$Z$3:$AH$18,2)),GQ173,GS173)</f>
        <v>#N/A</v>
      </c>
      <c r="CN173" s="431" t="e">
        <f ca="1">INDEX(INDIRECT(VLOOKUP(LEFT(BO173,7),CLU!$Z$3:$AH$18,3)),GQ173,GS173)</f>
        <v>#N/A</v>
      </c>
      <c r="CO173" s="431" t="e">
        <f ca="1">INDEX(INDIRECT(VLOOKUP(LEFT(BO173,7),CLU!$Z$3:$AH$18,4)),GQ173,GS173)</f>
        <v>#N/A</v>
      </c>
      <c r="CP173" s="431" t="e">
        <f t="shared" ca="1" si="556"/>
        <v>#N/A</v>
      </c>
      <c r="CQ173" s="440">
        <f t="shared" si="557"/>
        <v>0</v>
      </c>
      <c r="CR173" s="51" t="e">
        <f t="shared" ca="1" si="558"/>
        <v>#N/A</v>
      </c>
      <c r="CS173" s="439" t="e">
        <f t="shared" ca="1" si="559"/>
        <v>#VALUE!</v>
      </c>
      <c r="CT173" s="51" t="e">
        <f t="shared" ca="1" si="560"/>
        <v>#VALUE!</v>
      </c>
      <c r="CU173" s="10"/>
      <c r="CV173" s="51" t="e">
        <f t="shared" ca="1" si="457"/>
        <v>#VALUE!</v>
      </c>
      <c r="CW173" s="51">
        <f t="shared" si="561"/>
        <v>0</v>
      </c>
      <c r="CX173" s="439" t="e">
        <f t="shared" ca="1" si="562"/>
        <v>#VALUE!</v>
      </c>
      <c r="CY173" s="51" t="e">
        <f t="shared" ca="1" si="563"/>
        <v>#VALUE!</v>
      </c>
      <c r="CZ173" s="10"/>
      <c r="DA173" s="51" t="e">
        <f t="shared" ca="1" si="564"/>
        <v>#VALUE!</v>
      </c>
      <c r="DB173" s="347" t="e">
        <f ca="1">INDEX(INDIRECT(VLOOKUP(LEFT(BO173,7),CLU!$Z$3:$AI$18,10)),((M173-2)*(6-COUNTBLANK(GT173:GY173)))+GJ173)*LI173</f>
        <v>#N/A</v>
      </c>
      <c r="DC173" s="347" t="str">
        <f>IF(L173&gt;0,((R173/Worksheet!$I$15)/DB173)^2," ")</f>
        <v xml:space="preserve"> </v>
      </c>
      <c r="DD173" s="602" t="str">
        <f t="shared" si="565"/>
        <v xml:space="preserve"> </v>
      </c>
      <c r="DE173" s="347" t="str">
        <f t="shared" si="458"/>
        <v xml:space="preserve"> </v>
      </c>
      <c r="DF173" s="356" t="e">
        <f ca="1">INDEX(INDIRECT(VLOOKUP(LEFT(BO173,7),CLU!$Z$3:$AH$18,8)),((M173-2)*(6-COUNTBLANK(GT173:GY173)))+GJ173)</f>
        <v>#N/A</v>
      </c>
      <c r="DG173" s="347" t="str">
        <f t="shared" si="459"/>
        <v xml:space="preserve"> </v>
      </c>
      <c r="DH173" s="357" t="str">
        <f t="shared" si="460"/>
        <v xml:space="preserve"> </v>
      </c>
      <c r="DI173" s="355" t="str">
        <f t="shared" si="461"/>
        <v xml:space="preserve"> </v>
      </c>
      <c r="DJ173" s="245" t="e">
        <f ca="1">INDEX(INDIRECT(VLOOKUP(LEFT(BO173,7),CLU!$Z$3:$AH$18,5)),GL173,GK173)</f>
        <v>#N/A</v>
      </c>
      <c r="DK173" s="245" t="e">
        <f ca="1">INDEX(INDIRECT(VLOOKUP(LEFT(BO173,7),CLU!$Z$3:$AH$18,6)),GL173,GK173)</f>
        <v>#N/A</v>
      </c>
      <c r="DL173" s="355">
        <f>(Calculation!R173*0.69143*(Calculation!$BQ$8-Calculation!$F$8))*$S$14</f>
        <v>0</v>
      </c>
      <c r="DM173" s="359" t="e">
        <f t="shared" si="566"/>
        <v>#VALUE!</v>
      </c>
      <c r="DN173" s="611">
        <f t="shared" si="567"/>
        <v>0</v>
      </c>
      <c r="DO173" s="359">
        <f t="shared" si="568"/>
        <v>100</v>
      </c>
      <c r="DP173" s="359">
        <f t="shared" si="569"/>
        <v>0</v>
      </c>
      <c r="DQ173" s="360"/>
      <c r="DR173" s="245" t="e">
        <f ca="1">INDEX(INDIRECT(VLOOKUP(LEFT(BO173,7),CLU!$Z$3:$AH$18,7)),M173-1,1)</f>
        <v>#N/A</v>
      </c>
      <c r="DS173" s="245" t="e">
        <f ca="1">INDEX(INDIRECT(VLOOKUP(LEFT(BO173,7),CLU!$Z$3:$AH$18,7)),M173-1,2)</f>
        <v>#N/A</v>
      </c>
      <c r="DT173" s="245" t="e">
        <f ca="1">INDEX(INDIRECT(VLOOKUP(LEFT(BO173,7),CLU!$Z$3:$AH$18,7)),M173-1,3)</f>
        <v>#N/A</v>
      </c>
      <c r="DU173" s="245" t="e">
        <f ca="1">INDEX(INDIRECT(VLOOKUP(LEFT(BO173,7),CLU!$Z$3:$AH$18,7)),M173-1,4)</f>
        <v>#N/A</v>
      </c>
      <c r="DV173" s="361" t="e">
        <f ca="1">INDEX(INDIRECT(VLOOKUP(LEFT(BO173,7),CLU!$Z$3:$AH$18,7)),M173-1,4+LEFT(DZ173,1)*0.5)</f>
        <v>#N/A</v>
      </c>
      <c r="DW173" s="245" t="e">
        <f ca="1">INDEX(INDIRECT(VLOOKUP(LEFT(BO173,7),CLU!$Z$3:$AH$18,7)),M173-1,8)</f>
        <v>#N/A</v>
      </c>
      <c r="DX173" s="361" t="str">
        <f t="shared" si="462"/>
        <v xml:space="preserve"> </v>
      </c>
      <c r="DY173" s="361" t="str">
        <f t="shared" si="463"/>
        <v xml:space="preserve"> </v>
      </c>
      <c r="DZ173" s="361" t="str">
        <f t="shared" si="464"/>
        <v xml:space="preserve"> </v>
      </c>
      <c r="EA173" s="362" t="str">
        <f t="shared" si="465"/>
        <v xml:space="preserve"> </v>
      </c>
      <c r="EB173" s="624" t="str">
        <f t="shared" si="570"/>
        <v xml:space="preserve"> </v>
      </c>
      <c r="EC173" s="361" t="e">
        <f ca="1">INDEX(INDIRECT(VLOOKUP(LEFT(BO173,7),CLU!$Z$3:$AH$18,7)),M173-1,4+LEFT(DZ173,1)*0.5)</f>
        <v>#N/A</v>
      </c>
      <c r="ED173" s="362" t="str">
        <f t="shared" si="466"/>
        <v xml:space="preserve"> </v>
      </c>
      <c r="EE173" s="361" t="str">
        <f t="shared" si="467"/>
        <v xml:space="preserve"> </v>
      </c>
      <c r="EF173" s="362" t="str">
        <f>IF(L173&gt;0,IF(BR173&gt;0,IF(EE173="2P",IF(Calculation!DZ173="2P",IF(Calculation!DS173=13.75,IF(Calculation!DR173=13,Worksheet!$BD$43,IF(Calculation!DR173=37,Worksheet!$BD$44,Worksheet!$BD$45)),IF(Calculation!DS173=10,IF(Calculation!DR173=18,Worksheet!$BD$29,IF(Calculation!DR173=30,Worksheet!$BD$30,IF(Calculation!DR173=42,Worksheet!$BD$31,IF(Calculation!DR173=54,Worksheet!$BD$32,IF(Calculation!DR173=66,Worksheet!$BD$33,IF(Calculation!DR173=78,Worksheet!$BD$34,IF(Calculation!DR173=90,Worksheet!$BD$35,IF(Calculation!DR173=102,Worksheet!$BD$36,Worksheet!$BD$37)))))))),IF(Calculation!DS173=12.5,IF(Calculation!DR173=18,Worksheet!$BD$38,IF(Calculation!DR173=Worksheet!$BD$39,IF(Calculation!DR173=42,Worksheet!$BD$40,IF(Calculation!DR173=54,Worksheet!$BD$41,Worksheet!$BD$42)))),IF(Calculation!DR173=18,Worksheet!$BD$11,IF(Calculation!DR173=30,Worksheet!$BD$12,IF(Calculation!DR173=42,Worksheet!$BD$13,IF(Calculation!DR173=54,Worksheet!$BD$14,IF(Calculation!DR173=66,Worksheet!$BD$15,IF(Calculation!DR173=78,Worksheet!$BD$16,IF(Calculation!DR173=90,Worksheet!$BD$17,IF(Calculation!DR173=102,Worksheet!$BD$18,Worksheet!$BD$19))))))))))),IF(Calculation!DS173=13.75,IF(Calculation!DR173=13,Worksheet!$BD$78,IF(Calculation!DR173=37,Worksheet!$BD$79,Worksheet!$BD$80)),IF(Calculation!DS173=10,IF(Calculation!DR173=18,Worksheet!$BD$64,IF(Calculation!DR173=30,Worksheet!$BD$65,IF(Calculation!DR173=42,Worksheet!$BD$66,IF(Calculation!DR173=54,Worksheet!$BD$68,IF(Calculation!DR173=66,Worksheet!$BD$68,IF(Calculation!DR173=78,Worksheet!$BD$69,IF(Calculation!DR173=90,Worksheet!$BD$70,IF(Calculation!DR173=102,Worksheet!$BD$71,Worksheet!$BD$72)))))))),IF(Calculation!DS173=12.5,IF(Calculation!DR173=18,Worksheet!$BD$73,IF(Calculation!DR173=Worksheet!$BD$74,IF(Calculation!DR173=42,Worksheet!$BD$75,IF(Calculation!DR173=54,Worksheet!$BD$76,Worksheet!$BD$77)))),IF(Calculation!DR173=18,Worksheet!$BD$55,IF(Calculation!DR173=30,Worksheet!$BD$56,IF(Calculation!DR173=42,Worksheet!$BD$57,IF(Calculation!DR173=54,Worksheet!$BD$58,IF(Calculation!DR173=66,Worksheet!$BD$59,IF(Calculation!DR173=78,Worksheet!$BD$60,IF(Calculation!DR173=90,Worksheet!$BD$61,IF(Calculation!DR173=102,Worksheet!$BD$62,Worksheet!$BD$63)))))))))))),5),0)," ")</f>
        <v xml:space="preserve"> </v>
      </c>
      <c r="EG173" s="361" t="str">
        <f t="shared" si="468"/>
        <v xml:space="preserve"> </v>
      </c>
      <c r="EH173" s="361" t="e">
        <f ca="1">INDEX(INDIRECT(VLOOKUP(LEFT(BO173,7),CLU!$Z$3:$AH$18,7)),M173-1,3+LEFT(DZ173,1))</f>
        <v>#N/A</v>
      </c>
      <c r="EI173" s="362" t="str">
        <f t="shared" si="469"/>
        <v xml:space="preserve"> </v>
      </c>
      <c r="EJ173" s="363" t="str">
        <f t="shared" si="470"/>
        <v xml:space="preserve"> </v>
      </c>
      <c r="EK173" s="363" t="str">
        <f t="shared" si="471"/>
        <v xml:space="preserve"> </v>
      </c>
      <c r="EL173" s="363" t="str">
        <f t="shared" si="472"/>
        <v xml:space="preserve"> </v>
      </c>
      <c r="EM173" s="362" t="str">
        <f>IF(L173&gt;0,IF(BR173&gt;0,(Calculation!T173/ED173)^2,0)," ")</f>
        <v xml:space="preserve"> </v>
      </c>
      <c r="EN173" s="362" t="str">
        <f>IF(L173&gt;0,IF(O173="2 Pipe (Cooling)","N/A",IF(BR173&gt;0,(Calculation!U173/EI173)^2,0))," ")</f>
        <v xml:space="preserve"> </v>
      </c>
      <c r="EO173" s="361" t="str">
        <f t="shared" si="473"/>
        <v/>
      </c>
      <c r="EP173" s="361" t="str">
        <f t="shared" si="474"/>
        <v/>
      </c>
      <c r="EQ173" s="361" t="str">
        <f t="shared" si="475"/>
        <v/>
      </c>
      <c r="ER173" s="361" t="str">
        <f t="shared" si="476"/>
        <v/>
      </c>
      <c r="ES173" s="361" t="str">
        <f t="shared" si="477"/>
        <v/>
      </c>
      <c r="ET173" s="361" t="str">
        <f t="shared" si="478"/>
        <v/>
      </c>
      <c r="EU173" s="361" t="str">
        <f t="shared" si="479"/>
        <v/>
      </c>
      <c r="EV173" s="361" t="str">
        <f t="shared" si="480"/>
        <v/>
      </c>
      <c r="EW173" s="361" t="str">
        <f t="shared" si="481"/>
        <v/>
      </c>
      <c r="EX173" s="361" t="str">
        <f t="shared" si="571"/>
        <v>1 slot, 1 way</v>
      </c>
      <c r="EY173" s="361" t="str">
        <f t="shared" si="572"/>
        <v xml:space="preserve"> </v>
      </c>
      <c r="EZ173" s="361" t="str">
        <f t="shared" si="573"/>
        <v xml:space="preserve"> </v>
      </c>
      <c r="FA173" s="361" t="str">
        <f t="shared" si="574"/>
        <v xml:space="preserve"> </v>
      </c>
      <c r="FB173" s="361" t="str">
        <f t="shared" si="575"/>
        <v xml:space="preserve"> </v>
      </c>
      <c r="FC173" s="361"/>
      <c r="FD173" s="361" t="str">
        <f>IF(J173&gt;0,IF(Calculation!R173&lt;=70,4,IF(Calculation!R173&lt;=110,5,IF(Calculation!R173&lt;=160,6,IF(Calculation!R173&lt;=300,8,"10 EO")))),"")</f>
        <v/>
      </c>
      <c r="FE173" s="361" t="str">
        <f t="shared" si="576"/>
        <v/>
      </c>
      <c r="FF173" s="361" t="str">
        <f t="shared" si="577"/>
        <v/>
      </c>
      <c r="FG173" s="361" t="e">
        <f t="shared" si="482"/>
        <v>#N/A</v>
      </c>
      <c r="FH173" s="361">
        <f t="shared" si="483"/>
        <v>0</v>
      </c>
      <c r="FI173" s="361" t="e">
        <f t="shared" si="484"/>
        <v>#DIV/0!</v>
      </c>
      <c r="FJ173" s="361"/>
      <c r="FK173" s="356" t="e">
        <f t="shared" si="485"/>
        <v>#VALUE!</v>
      </c>
      <c r="FL173" s="361"/>
      <c r="FM173" s="361"/>
      <c r="FN173" s="362" t="str">
        <f t="shared" si="578"/>
        <v xml:space="preserve"> </v>
      </c>
      <c r="FO173" s="362" t="str">
        <f t="shared" si="579"/>
        <v xml:space="preserve"> </v>
      </c>
      <c r="FP173" s="362">
        <f t="shared" si="580"/>
        <v>0</v>
      </c>
      <c r="FQ173" s="361">
        <f t="shared" si="486"/>
        <v>0</v>
      </c>
      <c r="FR173" s="362" t="str">
        <f>IF(L173&gt;0,IF(J173="CBAL2",Worksheet!$P$67,IF(J173="CBE2-24",Worksheet!$Q$67,IF(J173="CBAM",Worksheet!$R$67,IF(J173="CBLV",Worksheet!$S$67,IF(J173="CBAB",Worksheet!$U$67,IF(J173="CBAW",Worksheet!$X$67,IF(J173="CBE2-12",Worksheet!$Y$67,IF(J173="CBAL2",Worksheet!$Z$67,"N/A"))))))))," ")</f>
        <v xml:space="preserve"> </v>
      </c>
      <c r="FS173" s="362" t="str">
        <f>IF(L173&gt;0,IF(J173="CBAL2",Worksheet!$P$68,IF(J173="CBE2-24",Worksheet!$Q$68,IF(J173="CBAM",Worksheet!$R$68,IF(J173="CBLV",Worksheet!$S$68,IF(J173="CBAB",Worksheet!$U$68,IF(J173="CBAW",Worksheet!$X$68,IF(J173="CBE2-12",Worksheet!$Y$68,IF(J173="CBAL2",Worksheet!$Z$68,"N/A"))))))))," ")</f>
        <v xml:space="preserve"> </v>
      </c>
      <c r="FT173" s="362" t="str">
        <f>IF(L173&gt;0,IF(J173="CBAL2",Worksheet!$P$69,IF(J173="CBE2-24",Worksheet!$Q$69,IF(J173="CBAM",Worksheet!$R$69,IF(J173="CBLV",Worksheet!$S$69,IF(J173="CBAB",Worksheet!$U$69,IF(J173="CBAW",Worksheet!$X$69,IF(J173="CBE2-12",Worksheet!$Y$69,IF(J173="CBAL2",Worksheet!$Z$69,"N/A"))))))))," ")</f>
        <v xml:space="preserve"> </v>
      </c>
      <c r="FU173" s="361" t="str">
        <f t="shared" si="581"/>
        <v xml:space="preserve"> </v>
      </c>
      <c r="FV173" s="362" t="str">
        <f t="shared" si="582"/>
        <v xml:space="preserve"> </v>
      </c>
      <c r="FW173" s="362" t="str">
        <f t="shared" si="583"/>
        <v xml:space="preserve"> </v>
      </c>
      <c r="FX173" s="362" t="str">
        <f t="shared" si="584"/>
        <v xml:space="preserve"> </v>
      </c>
      <c r="FY173" s="355" t="str">
        <f t="shared" si="585"/>
        <v xml:space="preserve"> </v>
      </c>
      <c r="FZ173" s="361" t="str">
        <f t="shared" si="586"/>
        <v xml:space="preserve"> </v>
      </c>
      <c r="GA173" s="347" t="str">
        <f t="shared" si="587"/>
        <v xml:space="preserve"> </v>
      </c>
      <c r="GB173" s="355" t="str">
        <f t="shared" si="588"/>
        <v xml:space="preserve"> </v>
      </c>
      <c r="GC173" s="328" t="str">
        <f t="shared" si="589"/>
        <v xml:space="preserve"> </v>
      </c>
      <c r="GD173" s="361" t="str">
        <f t="shared" si="590"/>
        <v xml:space="preserve"> </v>
      </c>
      <c r="GE173" s="347" t="str">
        <f t="shared" si="591"/>
        <v xml:space="preserve"> </v>
      </c>
      <c r="GF173" s="361" t="str">
        <f t="shared" si="592"/>
        <v xml:space="preserve"> </v>
      </c>
      <c r="GG173" s="347" t="str">
        <f t="shared" si="593"/>
        <v xml:space="preserve"> </v>
      </c>
      <c r="GH173" s="364">
        <f t="shared" si="487"/>
        <v>0</v>
      </c>
      <c r="GI173" s="362">
        <f t="shared" si="594"/>
        <v>2</v>
      </c>
      <c r="GJ173" s="433" t="e">
        <f>IF(6-COUNTBLANK(GT173:GY173)=4,MATCH(MID(BO173,9,3),CLU!$H$16:$K$16),MATCH(MID(BO173,9,3),CLU!$H$13:$M$13))</f>
        <v>#N/A</v>
      </c>
      <c r="GK173" s="433" t="e">
        <f>HLOOKUP(VALUE(BP173),CLU!$H$9:$M$10,2)</f>
        <v>#VALUE!</v>
      </c>
      <c r="GL173" s="433" t="e">
        <f ca="1">MATCH(BU173,CLU!$H$2:$V$2,1)</f>
        <v>#VALUE!</v>
      </c>
      <c r="GM173" s="433" t="e">
        <f t="shared" ca="1" si="595"/>
        <v>#VALUE!</v>
      </c>
      <c r="GN173" s="433" t="e">
        <f t="shared" ca="1" si="596"/>
        <v>#VALUE!</v>
      </c>
      <c r="GO173" s="433" t="e">
        <f t="shared" ca="1" si="597"/>
        <v>#VALUE!</v>
      </c>
      <c r="GP173" s="433" t="e">
        <f t="shared" ca="1" si="598"/>
        <v>#VALUE!</v>
      </c>
      <c r="GQ173" s="433" t="e">
        <f t="shared" ca="1" si="599"/>
        <v>#VALUE!</v>
      </c>
      <c r="GR173" s="433" t="e">
        <f ca="1">MATCH(T173,INDIRECT(VLOOKUP(CONCATENATE(LEFT(BO173,7),"-",MID(BO173,13,1)),CLU!$P$3:$Q$16,2)),1)</f>
        <v>#N/A</v>
      </c>
      <c r="GS173" s="433" t="e">
        <f ca="1">MATCH(U173,INDIRECT(VLOOKUP(CONCATENATE(LEFT(BO173,7),"-",MID(BO173,13,1)),CLU!$P$3:$Q$16,2)),1)</f>
        <v>#N/A</v>
      </c>
      <c r="GT173" s="347" t="s">
        <v>512</v>
      </c>
      <c r="GU173" s="97" t="s">
        <v>513</v>
      </c>
      <c r="GV173" s="97" t="str">
        <f t="shared" si="600"/>
        <v>M23</v>
      </c>
      <c r="GW173" s="97" t="str">
        <f t="shared" si="601"/>
        <v>M31</v>
      </c>
      <c r="GX173" s="97" t="str">
        <f t="shared" si="602"/>
        <v/>
      </c>
      <c r="GY173" s="97" t="str">
        <f t="shared" si="603"/>
        <v/>
      </c>
      <c r="GZ173" s="481"/>
      <c r="HA173" s="288"/>
      <c r="HB173" s="240"/>
      <c r="HC173" s="240"/>
      <c r="HD173" s="240"/>
      <c r="HE173" s="240"/>
      <c r="HF173" s="240"/>
      <c r="HG173" s="240"/>
      <c r="HH173" s="240"/>
      <c r="HI173" s="240"/>
      <c r="HJ173" s="240"/>
      <c r="HK173" s="240"/>
      <c r="HL173" s="240"/>
      <c r="HM173" s="240"/>
      <c r="HN173" s="240"/>
      <c r="HO173" s="240"/>
      <c r="HP173" s="240"/>
      <c r="HQ173" s="240"/>
      <c r="HR173" s="240"/>
      <c r="HS173" s="240"/>
      <c r="HT173" s="240"/>
      <c r="HU173" s="240"/>
      <c r="HV173" s="245"/>
      <c r="HW173" s="245" t="b">
        <v>1</v>
      </c>
      <c r="HX173" s="245" t="str">
        <f t="shared" si="488"/>
        <v/>
      </c>
      <c r="HY173" s="245" t="e">
        <f t="shared" si="489"/>
        <v>#DIV/0!</v>
      </c>
      <c r="HZ173" s="245" t="e">
        <f t="shared" si="490"/>
        <v>#DIV/0!</v>
      </c>
      <c r="IA173" s="245">
        <f t="shared" si="491"/>
        <v>0</v>
      </c>
      <c r="IB173" s="245"/>
      <c r="IC173" t="b">
        <f t="shared" si="492"/>
        <v>1</v>
      </c>
      <c r="ID173" s="245" t="b">
        <f t="shared" si="493"/>
        <v>1</v>
      </c>
      <c r="IE173" s="245" t="b">
        <f t="shared" si="494"/>
        <v>1</v>
      </c>
      <c r="IF173" s="245" t="b">
        <f t="shared" si="495"/>
        <v>0</v>
      </c>
      <c r="IG173" s="245" t="b">
        <f t="shared" si="496"/>
        <v>1</v>
      </c>
      <c r="IH173" s="245" t="b">
        <f t="shared" si="497"/>
        <v>1</v>
      </c>
      <c r="II173" s="245">
        <f t="shared" si="604"/>
        <v>0</v>
      </c>
      <c r="IJ173" s="245" t="e">
        <f t="shared" si="498"/>
        <v>#VALUE!</v>
      </c>
      <c r="IK173" s="245" t="e">
        <f t="shared" si="499"/>
        <v>#VALUE!</v>
      </c>
      <c r="IL173" s="245"/>
      <c r="IM173" s="245" t="e">
        <f t="shared" si="605"/>
        <v>#N/A</v>
      </c>
      <c r="IN173" s="245" t="e">
        <f t="shared" si="606"/>
        <v>#N/A</v>
      </c>
      <c r="IO173" s="245"/>
      <c r="IP173" s="245"/>
      <c r="IQ173" s="245" t="str">
        <f t="shared" si="500"/>
        <v/>
      </c>
      <c r="IR173" s="245" t="str">
        <f>IF(J173="","",VLOOKUP(J173,Worksheet!$R$4:$T$14,2))</f>
        <v/>
      </c>
      <c r="IS173" s="245"/>
      <c r="IT173" s="245">
        <f t="shared" si="501"/>
        <v>0</v>
      </c>
      <c r="IU173" s="245">
        <f t="shared" si="502"/>
        <v>0</v>
      </c>
      <c r="IV173" s="245">
        <f t="shared" si="503"/>
        <v>0</v>
      </c>
      <c r="IW173" s="245">
        <f t="shared" si="504"/>
        <v>0</v>
      </c>
      <c r="IX173" s="245">
        <f t="shared" si="607"/>
        <v>0</v>
      </c>
      <c r="IY173" s="245">
        <f t="shared" si="505"/>
        <v>0</v>
      </c>
      <c r="IZ173" s="245">
        <f t="shared" si="506"/>
        <v>0</v>
      </c>
      <c r="JA173">
        <f t="shared" si="507"/>
        <v>0</v>
      </c>
      <c r="JB173">
        <f t="shared" si="608"/>
        <v>0</v>
      </c>
      <c r="JC173">
        <f t="shared" si="508"/>
        <v>0</v>
      </c>
      <c r="JD173">
        <f t="shared" si="509"/>
        <v>0</v>
      </c>
      <c r="JE173">
        <f t="shared" si="510"/>
        <v>0</v>
      </c>
      <c r="JF173">
        <f t="shared" si="511"/>
        <v>0</v>
      </c>
      <c r="JG173">
        <f t="shared" si="512"/>
        <v>0</v>
      </c>
      <c r="JH173">
        <f t="shared" si="513"/>
        <v>0</v>
      </c>
      <c r="JI173">
        <f t="shared" si="514"/>
        <v>0</v>
      </c>
      <c r="JJ173" s="447">
        <f t="shared" si="515"/>
        <v>0</v>
      </c>
      <c r="JK173" s="447">
        <f t="shared" si="516"/>
        <v>0</v>
      </c>
      <c r="JL173">
        <f t="shared" si="517"/>
        <v>0</v>
      </c>
      <c r="JM173" s="245" t="str">
        <f>IFERROR(VLOOKUP(MATCH(BN173,#REF!,0),#REF!,7),"")</f>
        <v/>
      </c>
      <c r="JN173" t="e">
        <f>HLOOKUP(LEFT(BO173,7),Discharge_Area,MATCH(JO173,LookUps!$B$130:$B$149,1)+2)</f>
        <v>#N/A</v>
      </c>
      <c r="JO173" t="str">
        <f t="shared" si="518"/>
        <v>- S</v>
      </c>
      <c r="JP173" t="e">
        <f>HLOOKUP(LEFT(BO173,7),Discharge_Area,MATCH(JO173,LookUps!$B$130:$B$149,1)+2)</f>
        <v>#N/A</v>
      </c>
      <c r="JQ173" t="e">
        <f t="shared" si="519"/>
        <v>#N/A</v>
      </c>
      <c r="JR173" t="e">
        <f t="shared" si="520"/>
        <v>#N/A</v>
      </c>
      <c r="JS173" t="e">
        <f t="shared" si="521"/>
        <v>#N/A</v>
      </c>
      <c r="JT173" s="532" t="str">
        <f t="shared" si="522"/>
        <v xml:space="preserve"> </v>
      </c>
      <c r="JU173" s="532" t="str">
        <f t="shared" si="523"/>
        <v xml:space="preserve"> </v>
      </c>
      <c r="JV173" s="533" t="str">
        <f t="shared" si="524"/>
        <v xml:space="preserve"> </v>
      </c>
      <c r="JW173" s="534">
        <f t="shared" si="525"/>
        <v>0</v>
      </c>
      <c r="JX173" s="535" t="str">
        <f t="shared" si="609"/>
        <v xml:space="preserve"> </v>
      </c>
      <c r="JY173" s="535" t="str">
        <f t="shared" si="610"/>
        <v xml:space="preserve"> </v>
      </c>
      <c r="JZ173" s="535" t="str">
        <f t="shared" si="611"/>
        <v xml:space="preserve"> </v>
      </c>
      <c r="KA173" s="536" t="str">
        <f t="shared" si="526"/>
        <v xml:space="preserve"> </v>
      </c>
      <c r="KB173" s="535" t="e">
        <f t="shared" si="612"/>
        <v>#VALUE!</v>
      </c>
      <c r="KC173" s="535" t="str">
        <f t="shared" si="527"/>
        <v/>
      </c>
      <c r="KD173" s="537" t="str">
        <f t="shared" si="613"/>
        <v xml:space="preserve"> </v>
      </c>
      <c r="KE173" s="537" t="str">
        <f t="shared" si="614"/>
        <v xml:space="preserve"> </v>
      </c>
      <c r="KF173" s="534">
        <f t="shared" si="528"/>
        <v>0</v>
      </c>
      <c r="KG173" s="535" t="str">
        <f t="shared" si="529"/>
        <v xml:space="preserve"> </v>
      </c>
      <c r="KH173" s="535" t="str">
        <f t="shared" si="530"/>
        <v xml:space="preserve"> </v>
      </c>
      <c r="KI173" s="535" t="str">
        <f t="shared" si="531"/>
        <v xml:space="preserve"> </v>
      </c>
      <c r="KJ173" s="536" t="str">
        <f t="shared" si="532"/>
        <v xml:space="preserve"> </v>
      </c>
      <c r="KK173" s="535" t="str">
        <f t="shared" si="615"/>
        <v xml:space="preserve"> </v>
      </c>
      <c r="KL173" s="535" t="str">
        <f t="shared" si="616"/>
        <v xml:space="preserve"> </v>
      </c>
      <c r="KM173" s="537" t="str">
        <f t="shared" si="533"/>
        <v xml:space="preserve"> </v>
      </c>
      <c r="KN173" s="537" t="str">
        <f t="shared" si="617"/>
        <v xml:space="preserve"> </v>
      </c>
      <c r="KP173">
        <f t="shared" si="534"/>
        <v>0</v>
      </c>
      <c r="LA173" t="e">
        <f t="shared" si="535"/>
        <v>#VALUE!</v>
      </c>
      <c r="LB173" t="e">
        <f t="shared" si="536"/>
        <v>#VALUE!</v>
      </c>
      <c r="LC173" t="e">
        <f t="shared" si="537"/>
        <v>#VALUE!</v>
      </c>
      <c r="LD173" t="e">
        <f t="shared" si="538"/>
        <v>#VALUE!</v>
      </c>
      <c r="LE173" t="e">
        <f t="shared" si="618"/>
        <v>#VALUE!</v>
      </c>
      <c r="LF173">
        <f t="shared" si="539"/>
        <v>0</v>
      </c>
      <c r="LG173" t="e">
        <f t="shared" si="619"/>
        <v>#VALUE!</v>
      </c>
      <c r="LH173" t="str">
        <f t="shared" si="540"/>
        <v xml:space="preserve"> </v>
      </c>
      <c r="LI173">
        <f t="shared" si="620"/>
        <v>1</v>
      </c>
    </row>
    <row r="174" spans="2:321" ht="15" customHeight="1">
      <c r="B174" s="311"/>
      <c r="C174" s="311"/>
      <c r="D174" s="312"/>
      <c r="E174" s="311"/>
      <c r="F174" s="312"/>
      <c r="G174" s="311"/>
      <c r="H174" s="311"/>
      <c r="I174" s="37"/>
      <c r="J174" s="311"/>
      <c r="K174" s="305" t="str">
        <f t="shared" si="541"/>
        <v/>
      </c>
      <c r="L174" s="313"/>
      <c r="M174" s="312"/>
      <c r="N174" s="311"/>
      <c r="O174" s="312"/>
      <c r="P174" s="311"/>
      <c r="Q174" s="305" t="str">
        <f t="shared" si="542"/>
        <v/>
      </c>
      <c r="R174" s="314"/>
      <c r="S174" s="450" t="str">
        <f t="shared" si="425"/>
        <v/>
      </c>
      <c r="T174" s="315"/>
      <c r="U174" s="315"/>
      <c r="W174" s="149" t="str">
        <f t="shared" si="426"/>
        <v xml:space="preserve"> </v>
      </c>
      <c r="X174" s="243" t="str">
        <f t="shared" si="427"/>
        <v xml:space="preserve"> </v>
      </c>
      <c r="Y174" s="150" t="str">
        <f t="shared" si="428"/>
        <v/>
      </c>
      <c r="Z174" s="149" t="str">
        <f t="shared" si="429"/>
        <v xml:space="preserve"> </v>
      </c>
      <c r="AA174" s="98" t="str">
        <f t="shared" si="430"/>
        <v xml:space="preserve"> </v>
      </c>
      <c r="AB174" s="153" t="str">
        <f t="shared" si="431"/>
        <v xml:space="preserve"> </v>
      </c>
      <c r="AC174" s="153" t="str">
        <f t="shared" si="432"/>
        <v xml:space="preserve"> </v>
      </c>
      <c r="AD174" s="148" t="str">
        <f t="shared" si="433"/>
        <v/>
      </c>
      <c r="AE174" s="149" t="str">
        <f t="shared" si="434"/>
        <v/>
      </c>
      <c r="AF174" s="151" t="str">
        <f t="shared" si="435"/>
        <v xml:space="preserve"> </v>
      </c>
      <c r="AG174" s="153" t="str">
        <f t="shared" si="436"/>
        <v xml:space="preserve"> </v>
      </c>
      <c r="AH174" s="98" t="str">
        <f t="shared" si="437"/>
        <v xml:space="preserve"> </v>
      </c>
      <c r="AI174" s="149" t="str">
        <f t="shared" si="438"/>
        <v xml:space="preserve"> </v>
      </c>
      <c r="AK174" s="144" t="str">
        <f t="shared" si="439"/>
        <v xml:space="preserve"> </v>
      </c>
      <c r="AL174" s="144"/>
      <c r="AM174" s="243" t="str">
        <f t="shared" si="440"/>
        <v xml:space="preserve"> </v>
      </c>
      <c r="AN174" s="149" t="str">
        <f t="shared" si="543"/>
        <v xml:space="preserve"> </v>
      </c>
      <c r="AO174" s="144" t="str">
        <f>IF(JB174&gt;0,IF(GI174=10,-R174*1.085*(Calculation!$F$6-Calculation!$F$13)*$S$14," "),"")</f>
        <v/>
      </c>
      <c r="AP174" s="144" t="str">
        <f t="shared" si="441"/>
        <v/>
      </c>
      <c r="AQ174" s="56" t="str">
        <f t="shared" si="442"/>
        <v/>
      </c>
      <c r="AR174" s="144" t="str">
        <f t="shared" si="443"/>
        <v/>
      </c>
      <c r="AS174" s="176" t="str">
        <f t="shared" si="444"/>
        <v/>
      </c>
      <c r="AT174" s="176" t="str">
        <f t="shared" si="544"/>
        <v xml:space="preserve"> </v>
      </c>
      <c r="AU174" s="176" t="str">
        <f t="shared" si="445"/>
        <v/>
      </c>
      <c r="AV174" s="177" t="str">
        <f t="shared" si="446"/>
        <v xml:space="preserve"> </v>
      </c>
      <c r="AW174" s="144" t="str">
        <f t="shared" si="447"/>
        <v xml:space="preserve"> </v>
      </c>
      <c r="AX174" s="144" t="str">
        <f t="shared" si="448"/>
        <v xml:space="preserve"> </v>
      </c>
      <c r="AY174" s="152" t="str">
        <f t="shared" si="449"/>
        <v xml:space="preserve"> </v>
      </c>
      <c r="AZ174" s="246" t="str">
        <f t="shared" si="450"/>
        <v/>
      </c>
      <c r="BA174" s="176" t="str">
        <f t="shared" si="451"/>
        <v xml:space="preserve"> </v>
      </c>
      <c r="BB174" s="176" t="str">
        <f t="shared" si="452"/>
        <v xml:space="preserve"> </v>
      </c>
      <c r="BC174" s="195"/>
      <c r="BD174" s="316"/>
      <c r="BE174" s="317"/>
      <c r="BF174" s="318"/>
      <c r="BG174" s="318"/>
      <c r="BH174" s="144" t="str">
        <f t="shared" si="621"/>
        <v xml:space="preserve"> </v>
      </c>
      <c r="BI174" s="176" t="str">
        <f t="shared" si="453"/>
        <v/>
      </c>
      <c r="BJ174" s="144" t="str">
        <f t="shared" si="622"/>
        <v/>
      </c>
      <c r="BK174" s="246" t="str">
        <f t="shared" si="454"/>
        <v/>
      </c>
      <c r="BL174" s="144" t="str">
        <f t="shared" si="623"/>
        <v/>
      </c>
      <c r="BM174" s="246" t="str">
        <f t="shared" si="455"/>
        <v/>
      </c>
      <c r="BN174" s="337" t="str">
        <f t="shared" si="545"/>
        <v/>
      </c>
      <c r="BO174" s="371" t="str">
        <f t="shared" si="546"/>
        <v/>
      </c>
      <c r="BP174" s="328" t="str">
        <f t="shared" si="624"/>
        <v xml:space="preserve"> </v>
      </c>
      <c r="BQ174" s="347" t="str">
        <f t="shared" si="547"/>
        <v xml:space="preserve"> </v>
      </c>
      <c r="BR174" s="353" t="str">
        <f t="shared" si="548"/>
        <v xml:space="preserve"> </v>
      </c>
      <c r="BS174" s="626" t="str">
        <f>IF(L174&gt;0,IF(Calculation!P174="M13",BR174*3.1416*(0.134^2)/(4*144),IF(Calculation!P174="M17",BR174*3.1416*(0.165^2)/(4*144),IF(Calculation!P174="M20",BR174*3.1416*(0.198^2)/(4*144),IF(Calculation!P174="M23",BR174*3.1416*(0.228^2)/(4*144),IF(Calculation!P174="M27",BR174*3.1416*(0.269^2)/(4*144),BR174*3.1416*(0.307^2)/(4*144))))))," ")</f>
        <v xml:space="preserve"> </v>
      </c>
      <c r="BT174" s="353" t="str">
        <f>IF(L174&gt;0,IF(BS174&gt;0,R174/Calculation!BS174,0)," ")</f>
        <v xml:space="preserve"> </v>
      </c>
      <c r="BU174" s="438" t="e">
        <f t="shared" ca="1" si="456"/>
        <v>#VALUE!</v>
      </c>
      <c r="BV174" s="449" t="e">
        <f ca="1">INDEX(INDIRECT(VLOOKUP(LEFT(BO174,7),CLU!$Z$3:$AH$18,2)),GN174,GR174)</f>
        <v>#N/A</v>
      </c>
      <c r="BW174" s="433" t="e">
        <f ca="1">INDEX(INDIRECT(VLOOKUP(LEFT(BO174,7),CLU!$Z$3:$AH$18,3)),GN174,GR174)</f>
        <v>#N/A</v>
      </c>
      <c r="BX174" s="433" t="e">
        <f ca="1">INDEX(INDIRECT(VLOOKUP(LEFT(BO174,7),CLU!$Z$3:$AH$18,4)),GN174,GR174)</f>
        <v>#N/A</v>
      </c>
      <c r="BY174" s="433" t="e">
        <f ca="1">INDEX(INDIRECT(VLOOKUP(LEFT(BO174,7),CLU!$Z$3:$AH$18,9)),((M174-2)*(6-COUNTBLANK(GT174:GY174)))+GJ174)</f>
        <v>#N/A</v>
      </c>
      <c r="BZ174" s="426" t="e">
        <f t="shared" ca="1" si="549"/>
        <v>#N/A</v>
      </c>
      <c r="CA174" s="424" t="e">
        <f t="shared" ca="1" si="550"/>
        <v>#N/A</v>
      </c>
      <c r="CB174" s="429" t="e">
        <f ca="1">INDEX(INDIRECT(VLOOKUP(LEFT(BO174,7),CLU!$Z$3:$AH$18,2)),GN174,GS174)</f>
        <v>#N/A</v>
      </c>
      <c r="CC174" s="342" t="e">
        <f ca="1">INDEX(INDIRECT(VLOOKUP(LEFT(BO174,7),CLU!$Z$3:$AH$18,3)),GN174,GS174)</f>
        <v>#N/A</v>
      </c>
      <c r="CD174" s="342" t="e">
        <f ca="1">INDEX(INDIRECT(VLOOKUP(LEFT(BO174,7),CLU!$Z$3:$AH$18,4)),GN174,GS174)</f>
        <v>#N/A</v>
      </c>
      <c r="CE174" s="426" t="e">
        <f t="shared" ca="1" si="551"/>
        <v>#N/A</v>
      </c>
      <c r="CF174" s="440">
        <f t="shared" si="552"/>
        <v>0</v>
      </c>
      <c r="CG174" s="431" t="e">
        <f ca="1">INDEX(INDIRECT(VLOOKUP(LEFT(BO174,7),CLU!$Z$3:$AH$18,2)),GQ174,GR174)</f>
        <v>#N/A</v>
      </c>
      <c r="CH174" s="431" t="e">
        <f ca="1">INDEX(INDIRECT(VLOOKUP(LEFT(BO174,7),CLU!$Z$3:$AH$18,3)),GQ174,GR174)</f>
        <v>#N/A</v>
      </c>
      <c r="CI174" s="431" t="e">
        <f ca="1">INDEX(INDIRECT(VLOOKUP(LEFT(BO174,7),CLU!$Z$3:$AH$18,4)),GQ174,GR174)</f>
        <v>#N/A</v>
      </c>
      <c r="CJ174" s="448" t="e">
        <f t="shared" ca="1" si="553"/>
        <v>#N/A</v>
      </c>
      <c r="CK174" s="431" t="e">
        <f t="shared" ca="1" si="554"/>
        <v>#N/A</v>
      </c>
      <c r="CL174" s="440" t="e">
        <f t="shared" ca="1" si="555"/>
        <v>#N/A</v>
      </c>
      <c r="CM174" s="431" t="e">
        <f ca="1">INDEX(INDIRECT(VLOOKUP(LEFT(BO174,7),CLU!$Z$3:$AH$18,2)),GQ174,GS174)</f>
        <v>#N/A</v>
      </c>
      <c r="CN174" s="431" t="e">
        <f ca="1">INDEX(INDIRECT(VLOOKUP(LEFT(BO174,7),CLU!$Z$3:$AH$18,3)),GQ174,GS174)</f>
        <v>#N/A</v>
      </c>
      <c r="CO174" s="431" t="e">
        <f ca="1">INDEX(INDIRECT(VLOOKUP(LEFT(BO174,7),CLU!$Z$3:$AH$18,4)),GQ174,GS174)</f>
        <v>#N/A</v>
      </c>
      <c r="CP174" s="431" t="e">
        <f t="shared" ca="1" si="556"/>
        <v>#N/A</v>
      </c>
      <c r="CQ174" s="440">
        <f t="shared" si="557"/>
        <v>0</v>
      </c>
      <c r="CR174" s="51" t="e">
        <f t="shared" ca="1" si="558"/>
        <v>#N/A</v>
      </c>
      <c r="CS174" s="439" t="e">
        <f t="shared" ca="1" si="559"/>
        <v>#VALUE!</v>
      </c>
      <c r="CT174" s="51" t="e">
        <f t="shared" ca="1" si="560"/>
        <v>#VALUE!</v>
      </c>
      <c r="CU174" s="10"/>
      <c r="CV174" s="51" t="e">
        <f t="shared" ca="1" si="457"/>
        <v>#VALUE!</v>
      </c>
      <c r="CW174" s="51">
        <f t="shared" si="561"/>
        <v>0</v>
      </c>
      <c r="CX174" s="439" t="e">
        <f t="shared" ca="1" si="562"/>
        <v>#VALUE!</v>
      </c>
      <c r="CY174" s="51" t="e">
        <f t="shared" ca="1" si="563"/>
        <v>#VALUE!</v>
      </c>
      <c r="CZ174" s="10"/>
      <c r="DA174" s="51" t="e">
        <f t="shared" ca="1" si="564"/>
        <v>#VALUE!</v>
      </c>
      <c r="DB174" s="347" t="e">
        <f ca="1">INDEX(INDIRECT(VLOOKUP(LEFT(BO174,7),CLU!$Z$3:$AI$18,10)),((M174-2)*(6-COUNTBLANK(GT174:GY174)))+GJ174)*LI174</f>
        <v>#N/A</v>
      </c>
      <c r="DC174" s="347" t="str">
        <f>IF(L174&gt;0,((R174/Worksheet!$I$15)/DB174)^2," ")</f>
        <v xml:space="preserve"> </v>
      </c>
      <c r="DD174" s="602" t="str">
        <f t="shared" si="565"/>
        <v xml:space="preserve"> </v>
      </c>
      <c r="DE174" s="347" t="str">
        <f t="shared" si="458"/>
        <v xml:space="preserve"> </v>
      </c>
      <c r="DF174" s="356" t="e">
        <f ca="1">INDEX(INDIRECT(VLOOKUP(LEFT(BO174,7),CLU!$Z$3:$AH$18,8)),((M174-2)*(6-COUNTBLANK(GT174:GY174)))+GJ174)</f>
        <v>#N/A</v>
      </c>
      <c r="DG174" s="347" t="str">
        <f t="shared" si="459"/>
        <v xml:space="preserve"> </v>
      </c>
      <c r="DH174" s="357" t="str">
        <f t="shared" si="460"/>
        <v xml:space="preserve"> </v>
      </c>
      <c r="DI174" s="355" t="str">
        <f t="shared" si="461"/>
        <v xml:space="preserve"> </v>
      </c>
      <c r="DJ174" s="245" t="e">
        <f ca="1">INDEX(INDIRECT(VLOOKUP(LEFT(BO174,7),CLU!$Z$3:$AH$18,5)),GL174,GK174)</f>
        <v>#N/A</v>
      </c>
      <c r="DK174" s="245" t="e">
        <f ca="1">INDEX(INDIRECT(VLOOKUP(LEFT(BO174,7),CLU!$Z$3:$AH$18,6)),GL174,GK174)</f>
        <v>#N/A</v>
      </c>
      <c r="DL174" s="355">
        <f>(Calculation!R174*0.69143*(Calculation!$BQ$8-Calculation!$F$8))*$S$14</f>
        <v>0</v>
      </c>
      <c r="DM174" s="359" t="e">
        <f t="shared" si="566"/>
        <v>#VALUE!</v>
      </c>
      <c r="DN174" s="611">
        <f t="shared" si="567"/>
        <v>0</v>
      </c>
      <c r="DO174" s="359">
        <f t="shared" si="568"/>
        <v>100</v>
      </c>
      <c r="DP174" s="359">
        <f t="shared" si="569"/>
        <v>0</v>
      </c>
      <c r="DQ174" s="360"/>
      <c r="DR174" s="245" t="e">
        <f ca="1">INDEX(INDIRECT(VLOOKUP(LEFT(BO174,7),CLU!$Z$3:$AH$18,7)),M174-1,1)</f>
        <v>#N/A</v>
      </c>
      <c r="DS174" s="245" t="e">
        <f ca="1">INDEX(INDIRECT(VLOOKUP(LEFT(BO174,7),CLU!$Z$3:$AH$18,7)),M174-1,2)</f>
        <v>#N/A</v>
      </c>
      <c r="DT174" s="245" t="e">
        <f ca="1">INDEX(INDIRECT(VLOOKUP(LEFT(BO174,7),CLU!$Z$3:$AH$18,7)),M174-1,3)</f>
        <v>#N/A</v>
      </c>
      <c r="DU174" s="245" t="e">
        <f ca="1">INDEX(INDIRECT(VLOOKUP(LEFT(BO174,7),CLU!$Z$3:$AH$18,7)),M174-1,4)</f>
        <v>#N/A</v>
      </c>
      <c r="DV174" s="361" t="e">
        <f ca="1">INDEX(INDIRECT(VLOOKUP(LEFT(BO174,7),CLU!$Z$3:$AH$18,7)),M174-1,4+LEFT(DZ174,1)*0.5)</f>
        <v>#N/A</v>
      </c>
      <c r="DW174" s="245" t="e">
        <f ca="1">INDEX(INDIRECT(VLOOKUP(LEFT(BO174,7),CLU!$Z$3:$AH$18,7)),M174-1,8)</f>
        <v>#N/A</v>
      </c>
      <c r="DX174" s="361" t="str">
        <f t="shared" si="462"/>
        <v xml:space="preserve"> </v>
      </c>
      <c r="DY174" s="361" t="str">
        <f t="shared" si="463"/>
        <v xml:space="preserve"> </v>
      </c>
      <c r="DZ174" s="361" t="str">
        <f t="shared" si="464"/>
        <v xml:space="preserve"> </v>
      </c>
      <c r="EA174" s="362" t="str">
        <f t="shared" si="465"/>
        <v xml:space="preserve"> </v>
      </c>
      <c r="EB174" s="624" t="str">
        <f t="shared" si="570"/>
        <v xml:space="preserve"> </v>
      </c>
      <c r="EC174" s="361" t="e">
        <f ca="1">INDEX(INDIRECT(VLOOKUP(LEFT(BO174,7),CLU!$Z$3:$AH$18,7)),M174-1,4+LEFT(DZ174,1)*0.5)</f>
        <v>#N/A</v>
      </c>
      <c r="ED174" s="362" t="str">
        <f t="shared" si="466"/>
        <v xml:space="preserve"> </v>
      </c>
      <c r="EE174" s="361" t="str">
        <f t="shared" si="467"/>
        <v xml:space="preserve"> </v>
      </c>
      <c r="EF174" s="362" t="str">
        <f>IF(L174&gt;0,IF(BR174&gt;0,IF(EE174="2P",IF(Calculation!DZ174="2P",IF(Calculation!DS174=13.75,IF(Calculation!DR174=13,Worksheet!$BD$43,IF(Calculation!DR174=37,Worksheet!$BD$44,Worksheet!$BD$45)),IF(Calculation!DS174=10,IF(Calculation!DR174=18,Worksheet!$BD$29,IF(Calculation!DR174=30,Worksheet!$BD$30,IF(Calculation!DR174=42,Worksheet!$BD$31,IF(Calculation!DR174=54,Worksheet!$BD$32,IF(Calculation!DR174=66,Worksheet!$BD$33,IF(Calculation!DR174=78,Worksheet!$BD$34,IF(Calculation!DR174=90,Worksheet!$BD$35,IF(Calculation!DR174=102,Worksheet!$BD$36,Worksheet!$BD$37)))))))),IF(Calculation!DS174=12.5,IF(Calculation!DR174=18,Worksheet!$BD$38,IF(Calculation!DR174=Worksheet!$BD$39,IF(Calculation!DR174=42,Worksheet!$BD$40,IF(Calculation!DR174=54,Worksheet!$BD$41,Worksheet!$BD$42)))),IF(Calculation!DR174=18,Worksheet!$BD$11,IF(Calculation!DR174=30,Worksheet!$BD$12,IF(Calculation!DR174=42,Worksheet!$BD$13,IF(Calculation!DR174=54,Worksheet!$BD$14,IF(Calculation!DR174=66,Worksheet!$BD$15,IF(Calculation!DR174=78,Worksheet!$BD$16,IF(Calculation!DR174=90,Worksheet!$BD$17,IF(Calculation!DR174=102,Worksheet!$BD$18,Worksheet!$BD$19))))))))))),IF(Calculation!DS174=13.75,IF(Calculation!DR174=13,Worksheet!$BD$78,IF(Calculation!DR174=37,Worksheet!$BD$79,Worksheet!$BD$80)),IF(Calculation!DS174=10,IF(Calculation!DR174=18,Worksheet!$BD$64,IF(Calculation!DR174=30,Worksheet!$BD$65,IF(Calculation!DR174=42,Worksheet!$BD$66,IF(Calculation!DR174=54,Worksheet!$BD$68,IF(Calculation!DR174=66,Worksheet!$BD$68,IF(Calculation!DR174=78,Worksheet!$BD$69,IF(Calculation!DR174=90,Worksheet!$BD$70,IF(Calculation!DR174=102,Worksheet!$BD$71,Worksheet!$BD$72)))))))),IF(Calculation!DS174=12.5,IF(Calculation!DR174=18,Worksheet!$BD$73,IF(Calculation!DR174=Worksheet!$BD$74,IF(Calculation!DR174=42,Worksheet!$BD$75,IF(Calculation!DR174=54,Worksheet!$BD$76,Worksheet!$BD$77)))),IF(Calculation!DR174=18,Worksheet!$BD$55,IF(Calculation!DR174=30,Worksheet!$BD$56,IF(Calculation!DR174=42,Worksheet!$BD$57,IF(Calculation!DR174=54,Worksheet!$BD$58,IF(Calculation!DR174=66,Worksheet!$BD$59,IF(Calculation!DR174=78,Worksheet!$BD$60,IF(Calculation!DR174=90,Worksheet!$BD$61,IF(Calculation!DR174=102,Worksheet!$BD$62,Worksheet!$BD$63)))))))))))),5),0)," ")</f>
        <v xml:space="preserve"> </v>
      </c>
      <c r="EG174" s="361" t="str">
        <f t="shared" si="468"/>
        <v xml:space="preserve"> </v>
      </c>
      <c r="EH174" s="361" t="e">
        <f ca="1">INDEX(INDIRECT(VLOOKUP(LEFT(BO174,7),CLU!$Z$3:$AH$18,7)),M174-1,3+LEFT(DZ174,1))</f>
        <v>#N/A</v>
      </c>
      <c r="EI174" s="362" t="str">
        <f t="shared" si="469"/>
        <v xml:space="preserve"> </v>
      </c>
      <c r="EJ174" s="363" t="str">
        <f t="shared" si="470"/>
        <v xml:space="preserve"> </v>
      </c>
      <c r="EK174" s="363" t="str">
        <f t="shared" si="471"/>
        <v xml:space="preserve"> </v>
      </c>
      <c r="EL174" s="363" t="str">
        <f t="shared" si="472"/>
        <v xml:space="preserve"> </v>
      </c>
      <c r="EM174" s="362" t="str">
        <f>IF(L174&gt;0,IF(BR174&gt;0,(Calculation!T174/ED174)^2,0)," ")</f>
        <v xml:space="preserve"> </v>
      </c>
      <c r="EN174" s="362" t="str">
        <f>IF(L174&gt;0,IF(O174="2 Pipe (Cooling)","N/A",IF(BR174&gt;0,(Calculation!U174/EI174)^2,0))," ")</f>
        <v xml:space="preserve"> </v>
      </c>
      <c r="EO174" s="361" t="str">
        <f t="shared" si="473"/>
        <v/>
      </c>
      <c r="EP174" s="361" t="str">
        <f t="shared" si="474"/>
        <v/>
      </c>
      <c r="EQ174" s="361" t="str">
        <f t="shared" si="475"/>
        <v/>
      </c>
      <c r="ER174" s="361" t="str">
        <f t="shared" si="476"/>
        <v/>
      </c>
      <c r="ES174" s="361" t="str">
        <f t="shared" si="477"/>
        <v/>
      </c>
      <c r="ET174" s="361" t="str">
        <f t="shared" si="478"/>
        <v/>
      </c>
      <c r="EU174" s="361" t="str">
        <f t="shared" si="479"/>
        <v/>
      </c>
      <c r="EV174" s="361" t="str">
        <f t="shared" si="480"/>
        <v/>
      </c>
      <c r="EW174" s="361" t="str">
        <f t="shared" si="481"/>
        <v/>
      </c>
      <c r="EX174" s="361" t="str">
        <f t="shared" si="571"/>
        <v>1 slot, 1 way</v>
      </c>
      <c r="EY174" s="361" t="str">
        <f t="shared" si="572"/>
        <v xml:space="preserve"> </v>
      </c>
      <c r="EZ174" s="361" t="str">
        <f t="shared" si="573"/>
        <v xml:space="preserve"> </v>
      </c>
      <c r="FA174" s="361" t="str">
        <f t="shared" si="574"/>
        <v xml:space="preserve"> </v>
      </c>
      <c r="FB174" s="361" t="str">
        <f t="shared" si="575"/>
        <v xml:space="preserve"> </v>
      </c>
      <c r="FC174" s="361"/>
      <c r="FD174" s="361" t="str">
        <f>IF(J174&gt;0,IF(Calculation!R174&lt;=70,4,IF(Calculation!R174&lt;=110,5,IF(Calculation!R174&lt;=160,6,IF(Calculation!R174&lt;=300,8,"10 EO")))),"")</f>
        <v/>
      </c>
      <c r="FE174" s="361" t="str">
        <f t="shared" si="576"/>
        <v/>
      </c>
      <c r="FF174" s="361" t="str">
        <f t="shared" si="577"/>
        <v/>
      </c>
      <c r="FG174" s="361" t="e">
        <f t="shared" si="482"/>
        <v>#N/A</v>
      </c>
      <c r="FH174" s="361">
        <f t="shared" si="483"/>
        <v>0</v>
      </c>
      <c r="FI174" s="361" t="e">
        <f t="shared" si="484"/>
        <v>#DIV/0!</v>
      </c>
      <c r="FJ174" s="361"/>
      <c r="FK174" s="356" t="e">
        <f t="shared" si="485"/>
        <v>#VALUE!</v>
      </c>
      <c r="FL174" s="361"/>
      <c r="FM174" s="361"/>
      <c r="FN174" s="362" t="str">
        <f t="shared" si="578"/>
        <v xml:space="preserve"> </v>
      </c>
      <c r="FO174" s="362" t="str">
        <f t="shared" si="579"/>
        <v xml:space="preserve"> </v>
      </c>
      <c r="FP174" s="362">
        <f t="shared" si="580"/>
        <v>0</v>
      </c>
      <c r="FQ174" s="361">
        <f t="shared" si="486"/>
        <v>0</v>
      </c>
      <c r="FR174" s="362" t="str">
        <f>IF(L174&gt;0,IF(J174="CBAL2",Worksheet!$P$67,IF(J174="CBE2-24",Worksheet!$Q$67,IF(J174="CBAM",Worksheet!$R$67,IF(J174="CBLV",Worksheet!$S$67,IF(J174="CBAB",Worksheet!$U$67,IF(J174="CBAW",Worksheet!$X$67,IF(J174="CBE2-12",Worksheet!$Y$67,IF(J174="CBAL2",Worksheet!$Z$67,"N/A"))))))))," ")</f>
        <v xml:space="preserve"> </v>
      </c>
      <c r="FS174" s="362" t="str">
        <f>IF(L174&gt;0,IF(J174="CBAL2",Worksheet!$P$68,IF(J174="CBE2-24",Worksheet!$Q$68,IF(J174="CBAM",Worksheet!$R$68,IF(J174="CBLV",Worksheet!$S$68,IF(J174="CBAB",Worksheet!$U$68,IF(J174="CBAW",Worksheet!$X$68,IF(J174="CBE2-12",Worksheet!$Y$68,IF(J174="CBAL2",Worksheet!$Z$68,"N/A"))))))))," ")</f>
        <v xml:space="preserve"> </v>
      </c>
      <c r="FT174" s="362" t="str">
        <f>IF(L174&gt;0,IF(J174="CBAL2",Worksheet!$P$69,IF(J174="CBE2-24",Worksheet!$Q$69,IF(J174="CBAM",Worksheet!$R$69,IF(J174="CBLV",Worksheet!$S$69,IF(J174="CBAB",Worksheet!$U$69,IF(J174="CBAW",Worksheet!$X$69,IF(J174="CBE2-12",Worksheet!$Y$69,IF(J174="CBAL2",Worksheet!$Z$69,"N/A"))))))))," ")</f>
        <v xml:space="preserve"> </v>
      </c>
      <c r="FU174" s="361" t="str">
        <f t="shared" si="581"/>
        <v xml:space="preserve"> </v>
      </c>
      <c r="FV174" s="362" t="str">
        <f t="shared" si="582"/>
        <v xml:space="preserve"> </v>
      </c>
      <c r="FW174" s="362" t="str">
        <f t="shared" si="583"/>
        <v xml:space="preserve"> </v>
      </c>
      <c r="FX174" s="362" t="str">
        <f t="shared" si="584"/>
        <v xml:space="preserve"> </v>
      </c>
      <c r="FY174" s="355" t="str">
        <f t="shared" si="585"/>
        <v xml:space="preserve"> </v>
      </c>
      <c r="FZ174" s="361" t="str">
        <f t="shared" si="586"/>
        <v xml:space="preserve"> </v>
      </c>
      <c r="GA174" s="347" t="str">
        <f t="shared" si="587"/>
        <v xml:space="preserve"> </v>
      </c>
      <c r="GB174" s="355" t="str">
        <f t="shared" si="588"/>
        <v xml:space="preserve"> </v>
      </c>
      <c r="GC174" s="328" t="str">
        <f t="shared" si="589"/>
        <v xml:space="preserve"> </v>
      </c>
      <c r="GD174" s="361" t="str">
        <f t="shared" si="590"/>
        <v xml:space="preserve"> </v>
      </c>
      <c r="GE174" s="347" t="str">
        <f t="shared" si="591"/>
        <v xml:space="preserve"> </v>
      </c>
      <c r="GF174" s="361" t="str">
        <f t="shared" si="592"/>
        <v xml:space="preserve"> </v>
      </c>
      <c r="GG174" s="347" t="str">
        <f t="shared" si="593"/>
        <v xml:space="preserve"> </v>
      </c>
      <c r="GH174" s="364">
        <f t="shared" si="487"/>
        <v>0</v>
      </c>
      <c r="GI174" s="362">
        <f t="shared" si="594"/>
        <v>2</v>
      </c>
      <c r="GJ174" s="433" t="e">
        <f>IF(6-COUNTBLANK(GT174:GY174)=4,MATCH(MID(BO174,9,3),CLU!$H$16:$K$16),MATCH(MID(BO174,9,3),CLU!$H$13:$M$13))</f>
        <v>#N/A</v>
      </c>
      <c r="GK174" s="433" t="e">
        <f>HLOOKUP(VALUE(BP174),CLU!$H$9:$M$10,2)</f>
        <v>#VALUE!</v>
      </c>
      <c r="GL174" s="433" t="e">
        <f ca="1">MATCH(BU174,CLU!$H$2:$V$2,1)</f>
        <v>#VALUE!</v>
      </c>
      <c r="GM174" s="433" t="e">
        <f t="shared" ca="1" si="595"/>
        <v>#VALUE!</v>
      </c>
      <c r="GN174" s="433" t="e">
        <f t="shared" ca="1" si="596"/>
        <v>#VALUE!</v>
      </c>
      <c r="GO174" s="433" t="e">
        <f t="shared" ca="1" si="597"/>
        <v>#VALUE!</v>
      </c>
      <c r="GP174" s="433" t="e">
        <f t="shared" ca="1" si="598"/>
        <v>#VALUE!</v>
      </c>
      <c r="GQ174" s="433" t="e">
        <f t="shared" ca="1" si="599"/>
        <v>#VALUE!</v>
      </c>
      <c r="GR174" s="433" t="e">
        <f ca="1">MATCH(T174,INDIRECT(VLOOKUP(CONCATENATE(LEFT(BO174,7),"-",MID(BO174,13,1)),CLU!$P$3:$Q$16,2)),1)</f>
        <v>#N/A</v>
      </c>
      <c r="GS174" s="433" t="e">
        <f ca="1">MATCH(U174,INDIRECT(VLOOKUP(CONCATENATE(LEFT(BO174,7),"-",MID(BO174,13,1)),CLU!$P$3:$Q$16,2)),1)</f>
        <v>#N/A</v>
      </c>
      <c r="GT174" s="347" t="s">
        <v>512</v>
      </c>
      <c r="GU174" s="97" t="s">
        <v>513</v>
      </c>
      <c r="GV174" s="97" t="str">
        <f t="shared" si="600"/>
        <v>M23</v>
      </c>
      <c r="GW174" s="97" t="str">
        <f t="shared" si="601"/>
        <v>M31</v>
      </c>
      <c r="GX174" s="97" t="str">
        <f t="shared" si="602"/>
        <v/>
      </c>
      <c r="GY174" s="97" t="str">
        <f t="shared" si="603"/>
        <v/>
      </c>
      <c r="GZ174" s="481"/>
      <c r="HA174" s="288"/>
      <c r="HB174" s="240"/>
      <c r="HC174" s="240"/>
      <c r="HD174" s="240"/>
      <c r="HE174" s="240"/>
      <c r="HF174" s="240"/>
      <c r="HG174" s="240"/>
      <c r="HH174" s="240"/>
      <c r="HI174" s="240"/>
      <c r="HJ174" s="240"/>
      <c r="HK174" s="240"/>
      <c r="HL174" s="240"/>
      <c r="HM174" s="240"/>
      <c r="HN174" s="240"/>
      <c r="HO174" s="240"/>
      <c r="HP174" s="240"/>
      <c r="HQ174" s="240"/>
      <c r="HR174" s="240"/>
      <c r="HS174" s="240"/>
      <c r="HT174" s="240"/>
      <c r="HU174" s="240"/>
      <c r="HV174" s="245"/>
      <c r="HW174" s="245" t="b">
        <v>1</v>
      </c>
      <c r="HX174" s="245" t="str">
        <f t="shared" si="488"/>
        <v/>
      </c>
      <c r="HY174" s="245" t="e">
        <f t="shared" si="489"/>
        <v>#DIV/0!</v>
      </c>
      <c r="HZ174" s="245" t="e">
        <f t="shared" si="490"/>
        <v>#DIV/0!</v>
      </c>
      <c r="IA174" s="245">
        <f t="shared" si="491"/>
        <v>0</v>
      </c>
      <c r="IB174" s="245"/>
      <c r="IC174" t="b">
        <f t="shared" si="492"/>
        <v>1</v>
      </c>
      <c r="ID174" s="245" t="b">
        <f t="shared" si="493"/>
        <v>1</v>
      </c>
      <c r="IE174" s="245" t="b">
        <f t="shared" si="494"/>
        <v>1</v>
      </c>
      <c r="IF174" s="245" t="b">
        <f t="shared" si="495"/>
        <v>0</v>
      </c>
      <c r="IG174" s="245" t="b">
        <f t="shared" si="496"/>
        <v>1</v>
      </c>
      <c r="IH174" s="245" t="b">
        <f t="shared" si="497"/>
        <v>1</v>
      </c>
      <c r="II174" s="245">
        <f t="shared" si="604"/>
        <v>0</v>
      </c>
      <c r="IJ174" s="245" t="e">
        <f t="shared" si="498"/>
        <v>#VALUE!</v>
      </c>
      <c r="IK174" s="245" t="e">
        <f t="shared" si="499"/>
        <v>#VALUE!</v>
      </c>
      <c r="IL174" s="245"/>
      <c r="IM174" s="245" t="e">
        <f t="shared" si="605"/>
        <v>#N/A</v>
      </c>
      <c r="IN174" s="245" t="e">
        <f t="shared" si="606"/>
        <v>#N/A</v>
      </c>
      <c r="IO174" s="245"/>
      <c r="IP174" s="245"/>
      <c r="IQ174" s="245" t="str">
        <f t="shared" si="500"/>
        <v/>
      </c>
      <c r="IR174" s="245" t="str">
        <f>IF(J174="","",VLOOKUP(J174,Worksheet!$R$4:$T$14,2))</f>
        <v/>
      </c>
      <c r="IS174" s="245"/>
      <c r="IT174" s="245">
        <f t="shared" si="501"/>
        <v>0</v>
      </c>
      <c r="IU174" s="245">
        <f t="shared" si="502"/>
        <v>0</v>
      </c>
      <c r="IV174" s="245">
        <f t="shared" si="503"/>
        <v>0</v>
      </c>
      <c r="IW174" s="245">
        <f t="shared" si="504"/>
        <v>0</v>
      </c>
      <c r="IX174" s="245">
        <f t="shared" si="607"/>
        <v>0</v>
      </c>
      <c r="IY174" s="245">
        <f t="shared" si="505"/>
        <v>0</v>
      </c>
      <c r="IZ174" s="245">
        <f t="shared" si="506"/>
        <v>0</v>
      </c>
      <c r="JA174">
        <f t="shared" si="507"/>
        <v>0</v>
      </c>
      <c r="JB174">
        <f t="shared" si="608"/>
        <v>0</v>
      </c>
      <c r="JC174">
        <f t="shared" si="508"/>
        <v>0</v>
      </c>
      <c r="JD174">
        <f t="shared" si="509"/>
        <v>0</v>
      </c>
      <c r="JE174">
        <f t="shared" si="510"/>
        <v>0</v>
      </c>
      <c r="JF174">
        <f t="shared" si="511"/>
        <v>0</v>
      </c>
      <c r="JG174">
        <f t="shared" si="512"/>
        <v>0</v>
      </c>
      <c r="JH174">
        <f t="shared" si="513"/>
        <v>0</v>
      </c>
      <c r="JI174">
        <f t="shared" si="514"/>
        <v>0</v>
      </c>
      <c r="JJ174" s="447">
        <f t="shared" si="515"/>
        <v>0</v>
      </c>
      <c r="JK174" s="447">
        <f t="shared" si="516"/>
        <v>0</v>
      </c>
      <c r="JL174">
        <f t="shared" si="517"/>
        <v>0</v>
      </c>
      <c r="JM174" s="245" t="str">
        <f>IFERROR(VLOOKUP(MATCH(BN174,#REF!,0),#REF!,7),"")</f>
        <v/>
      </c>
      <c r="JN174" t="e">
        <f>HLOOKUP(LEFT(BO174,7),Discharge_Area,MATCH(JO174,LookUps!$B$130:$B$149,1)+2)</f>
        <v>#N/A</v>
      </c>
      <c r="JO174" t="str">
        <f t="shared" si="518"/>
        <v>- S</v>
      </c>
      <c r="JP174" t="e">
        <f>HLOOKUP(LEFT(BO174,7),Discharge_Area,MATCH(JO174,LookUps!$B$130:$B$149,1)+2)</f>
        <v>#N/A</v>
      </c>
      <c r="JQ174" t="e">
        <f t="shared" si="519"/>
        <v>#N/A</v>
      </c>
      <c r="JR174" t="e">
        <f t="shared" si="520"/>
        <v>#N/A</v>
      </c>
      <c r="JS174" t="e">
        <f t="shared" si="521"/>
        <v>#N/A</v>
      </c>
      <c r="JT174" s="532" t="str">
        <f t="shared" si="522"/>
        <v xml:space="preserve"> </v>
      </c>
      <c r="JU174" s="532" t="str">
        <f t="shared" si="523"/>
        <v xml:space="preserve"> </v>
      </c>
      <c r="JV174" s="533" t="str">
        <f t="shared" si="524"/>
        <v xml:space="preserve"> </v>
      </c>
      <c r="JW174" s="534">
        <f t="shared" si="525"/>
        <v>0</v>
      </c>
      <c r="JX174" s="535" t="str">
        <f t="shared" si="609"/>
        <v xml:space="preserve"> </v>
      </c>
      <c r="JY174" s="535" t="str">
        <f t="shared" si="610"/>
        <v xml:space="preserve"> </v>
      </c>
      <c r="JZ174" s="535" t="str">
        <f t="shared" si="611"/>
        <v xml:space="preserve"> </v>
      </c>
      <c r="KA174" s="536" t="str">
        <f t="shared" si="526"/>
        <v xml:space="preserve"> </v>
      </c>
      <c r="KB174" s="535" t="e">
        <f t="shared" si="612"/>
        <v>#VALUE!</v>
      </c>
      <c r="KC174" s="535" t="str">
        <f t="shared" si="527"/>
        <v/>
      </c>
      <c r="KD174" s="537" t="str">
        <f t="shared" si="613"/>
        <v xml:space="preserve"> </v>
      </c>
      <c r="KE174" s="537" t="str">
        <f t="shared" si="614"/>
        <v xml:space="preserve"> </v>
      </c>
      <c r="KF174" s="534">
        <f t="shared" si="528"/>
        <v>0</v>
      </c>
      <c r="KG174" s="535" t="str">
        <f t="shared" si="529"/>
        <v xml:space="preserve"> </v>
      </c>
      <c r="KH174" s="535" t="str">
        <f t="shared" si="530"/>
        <v xml:space="preserve"> </v>
      </c>
      <c r="KI174" s="535" t="str">
        <f t="shared" si="531"/>
        <v xml:space="preserve"> </v>
      </c>
      <c r="KJ174" s="536" t="str">
        <f t="shared" si="532"/>
        <v xml:space="preserve"> </v>
      </c>
      <c r="KK174" s="535" t="str">
        <f t="shared" si="615"/>
        <v xml:space="preserve"> </v>
      </c>
      <c r="KL174" s="535" t="str">
        <f t="shared" si="616"/>
        <v xml:space="preserve"> </v>
      </c>
      <c r="KM174" s="537" t="str">
        <f t="shared" si="533"/>
        <v xml:space="preserve"> </v>
      </c>
      <c r="KN174" s="537" t="str">
        <f t="shared" si="617"/>
        <v xml:space="preserve"> </v>
      </c>
      <c r="KP174">
        <f t="shared" si="534"/>
        <v>0</v>
      </c>
      <c r="LA174" t="e">
        <f t="shared" si="535"/>
        <v>#VALUE!</v>
      </c>
      <c r="LB174" t="e">
        <f t="shared" si="536"/>
        <v>#VALUE!</v>
      </c>
      <c r="LC174" t="e">
        <f t="shared" si="537"/>
        <v>#VALUE!</v>
      </c>
      <c r="LD174" t="e">
        <f t="shared" si="538"/>
        <v>#VALUE!</v>
      </c>
      <c r="LE174" t="e">
        <f t="shared" si="618"/>
        <v>#VALUE!</v>
      </c>
      <c r="LF174">
        <f t="shared" si="539"/>
        <v>0</v>
      </c>
      <c r="LG174" t="e">
        <f t="shared" si="619"/>
        <v>#VALUE!</v>
      </c>
      <c r="LH174" t="str">
        <f t="shared" si="540"/>
        <v xml:space="preserve"> </v>
      </c>
      <c r="LI174">
        <f t="shared" si="620"/>
        <v>1</v>
      </c>
    </row>
    <row r="175" spans="2:321" ht="15" customHeight="1">
      <c r="B175" s="311"/>
      <c r="C175" s="311"/>
      <c r="D175" s="312"/>
      <c r="E175" s="311"/>
      <c r="F175" s="312"/>
      <c r="G175" s="311"/>
      <c r="H175" s="311"/>
      <c r="I175" s="37"/>
      <c r="J175" s="311"/>
      <c r="K175" s="305" t="str">
        <f t="shared" si="541"/>
        <v/>
      </c>
      <c r="L175" s="313"/>
      <c r="M175" s="312"/>
      <c r="N175" s="311"/>
      <c r="O175" s="312"/>
      <c r="P175" s="311"/>
      <c r="Q175" s="305" t="str">
        <f t="shared" si="542"/>
        <v/>
      </c>
      <c r="R175" s="314"/>
      <c r="S175" s="450" t="str">
        <f t="shared" si="425"/>
        <v/>
      </c>
      <c r="T175" s="315"/>
      <c r="U175" s="315"/>
      <c r="W175" s="149" t="str">
        <f t="shared" si="426"/>
        <v xml:space="preserve"> </v>
      </c>
      <c r="X175" s="243" t="str">
        <f t="shared" si="427"/>
        <v xml:space="preserve"> </v>
      </c>
      <c r="Y175" s="150" t="str">
        <f t="shared" si="428"/>
        <v/>
      </c>
      <c r="Z175" s="149" t="str">
        <f t="shared" si="429"/>
        <v xml:space="preserve"> </v>
      </c>
      <c r="AA175" s="98" t="str">
        <f t="shared" si="430"/>
        <v xml:space="preserve"> </v>
      </c>
      <c r="AB175" s="153" t="str">
        <f t="shared" si="431"/>
        <v xml:space="preserve"> </v>
      </c>
      <c r="AC175" s="153" t="str">
        <f t="shared" si="432"/>
        <v xml:space="preserve"> </v>
      </c>
      <c r="AD175" s="148" t="str">
        <f t="shared" si="433"/>
        <v/>
      </c>
      <c r="AE175" s="149" t="str">
        <f t="shared" si="434"/>
        <v/>
      </c>
      <c r="AF175" s="151" t="str">
        <f t="shared" si="435"/>
        <v xml:space="preserve"> </v>
      </c>
      <c r="AG175" s="153" t="str">
        <f t="shared" si="436"/>
        <v xml:space="preserve"> </v>
      </c>
      <c r="AH175" s="98" t="str">
        <f t="shared" si="437"/>
        <v xml:space="preserve"> </v>
      </c>
      <c r="AI175" s="149" t="str">
        <f t="shared" si="438"/>
        <v xml:space="preserve"> </v>
      </c>
      <c r="AK175" s="144" t="str">
        <f t="shared" si="439"/>
        <v xml:space="preserve"> </v>
      </c>
      <c r="AL175" s="144"/>
      <c r="AM175" s="243" t="str">
        <f t="shared" si="440"/>
        <v xml:space="preserve"> </v>
      </c>
      <c r="AN175" s="149" t="str">
        <f t="shared" si="543"/>
        <v xml:space="preserve"> </v>
      </c>
      <c r="AO175" s="144" t="str">
        <f>IF(JB175&gt;0,IF(GI175=10,-R175*1.085*(Calculation!$F$6-Calculation!$F$13)*$S$14," "),"")</f>
        <v/>
      </c>
      <c r="AP175" s="144" t="str">
        <f t="shared" si="441"/>
        <v/>
      </c>
      <c r="AQ175" s="56" t="str">
        <f t="shared" si="442"/>
        <v/>
      </c>
      <c r="AR175" s="144" t="str">
        <f t="shared" si="443"/>
        <v/>
      </c>
      <c r="AS175" s="176" t="str">
        <f t="shared" si="444"/>
        <v/>
      </c>
      <c r="AT175" s="176" t="str">
        <f t="shared" si="544"/>
        <v xml:space="preserve"> </v>
      </c>
      <c r="AU175" s="176" t="str">
        <f t="shared" si="445"/>
        <v/>
      </c>
      <c r="AV175" s="177" t="str">
        <f t="shared" si="446"/>
        <v xml:space="preserve"> </v>
      </c>
      <c r="AW175" s="144" t="str">
        <f t="shared" si="447"/>
        <v xml:space="preserve"> </v>
      </c>
      <c r="AX175" s="144" t="str">
        <f t="shared" si="448"/>
        <v xml:space="preserve"> </v>
      </c>
      <c r="AY175" s="152" t="str">
        <f t="shared" si="449"/>
        <v xml:space="preserve"> </v>
      </c>
      <c r="AZ175" s="246" t="str">
        <f t="shared" si="450"/>
        <v/>
      </c>
      <c r="BA175" s="176" t="str">
        <f t="shared" si="451"/>
        <v xml:space="preserve"> </v>
      </c>
      <c r="BB175" s="176" t="str">
        <f t="shared" si="452"/>
        <v xml:space="preserve"> </v>
      </c>
      <c r="BC175" s="195"/>
      <c r="BD175" s="316"/>
      <c r="BE175" s="317"/>
      <c r="BF175" s="318"/>
      <c r="BG175" s="318"/>
      <c r="BH175" s="144" t="str">
        <f t="shared" si="621"/>
        <v xml:space="preserve"> </v>
      </c>
      <c r="BI175" s="176" t="str">
        <f t="shared" si="453"/>
        <v/>
      </c>
      <c r="BJ175" s="144" t="str">
        <f t="shared" si="622"/>
        <v/>
      </c>
      <c r="BK175" s="246" t="str">
        <f t="shared" si="454"/>
        <v/>
      </c>
      <c r="BL175" s="144" t="str">
        <f t="shared" si="623"/>
        <v/>
      </c>
      <c r="BM175" s="246" t="str">
        <f t="shared" si="455"/>
        <v/>
      </c>
      <c r="BN175" s="337" t="str">
        <f t="shared" si="545"/>
        <v/>
      </c>
      <c r="BO175" s="371" t="str">
        <f t="shared" si="546"/>
        <v/>
      </c>
      <c r="BP175" s="328" t="str">
        <f t="shared" si="624"/>
        <v xml:space="preserve"> </v>
      </c>
      <c r="BQ175" s="347" t="str">
        <f t="shared" si="547"/>
        <v xml:space="preserve"> </v>
      </c>
      <c r="BR175" s="353" t="str">
        <f t="shared" si="548"/>
        <v xml:space="preserve"> </v>
      </c>
      <c r="BS175" s="626" t="str">
        <f>IF(L175&gt;0,IF(Calculation!P175="M13",BR175*3.1416*(0.134^2)/(4*144),IF(Calculation!P175="M17",BR175*3.1416*(0.165^2)/(4*144),IF(Calculation!P175="M20",BR175*3.1416*(0.198^2)/(4*144),IF(Calculation!P175="M23",BR175*3.1416*(0.228^2)/(4*144),IF(Calculation!P175="M27",BR175*3.1416*(0.269^2)/(4*144),BR175*3.1416*(0.307^2)/(4*144))))))," ")</f>
        <v xml:space="preserve"> </v>
      </c>
      <c r="BT175" s="353" t="str">
        <f>IF(L175&gt;0,IF(BS175&gt;0,R175/Calculation!BS175,0)," ")</f>
        <v xml:space="preserve"> </v>
      </c>
      <c r="BU175" s="438" t="e">
        <f t="shared" ca="1" si="456"/>
        <v>#VALUE!</v>
      </c>
      <c r="BV175" s="449" t="e">
        <f ca="1">INDEX(INDIRECT(VLOOKUP(LEFT(BO175,7),CLU!$Z$3:$AH$18,2)),GN175,GR175)</f>
        <v>#N/A</v>
      </c>
      <c r="BW175" s="433" t="e">
        <f ca="1">INDEX(INDIRECT(VLOOKUP(LEFT(BO175,7),CLU!$Z$3:$AH$18,3)),GN175,GR175)</f>
        <v>#N/A</v>
      </c>
      <c r="BX175" s="433" t="e">
        <f ca="1">INDEX(INDIRECT(VLOOKUP(LEFT(BO175,7),CLU!$Z$3:$AH$18,4)),GN175,GR175)</f>
        <v>#N/A</v>
      </c>
      <c r="BY175" s="433" t="e">
        <f ca="1">INDEX(INDIRECT(VLOOKUP(LEFT(BO175,7),CLU!$Z$3:$AH$18,9)),((M175-2)*(6-COUNTBLANK(GT175:GY175)))+GJ175)</f>
        <v>#N/A</v>
      </c>
      <c r="BZ175" s="426" t="e">
        <f t="shared" ca="1" si="549"/>
        <v>#N/A</v>
      </c>
      <c r="CA175" s="424" t="e">
        <f t="shared" ca="1" si="550"/>
        <v>#N/A</v>
      </c>
      <c r="CB175" s="429" t="e">
        <f ca="1">INDEX(INDIRECT(VLOOKUP(LEFT(BO175,7),CLU!$Z$3:$AH$18,2)),GN175,GS175)</f>
        <v>#N/A</v>
      </c>
      <c r="CC175" s="342" t="e">
        <f ca="1">INDEX(INDIRECT(VLOOKUP(LEFT(BO175,7),CLU!$Z$3:$AH$18,3)),GN175,GS175)</f>
        <v>#N/A</v>
      </c>
      <c r="CD175" s="342" t="e">
        <f ca="1">INDEX(INDIRECT(VLOOKUP(LEFT(BO175,7),CLU!$Z$3:$AH$18,4)),GN175,GS175)</f>
        <v>#N/A</v>
      </c>
      <c r="CE175" s="426" t="e">
        <f t="shared" ca="1" si="551"/>
        <v>#N/A</v>
      </c>
      <c r="CF175" s="440">
        <f t="shared" si="552"/>
        <v>0</v>
      </c>
      <c r="CG175" s="431" t="e">
        <f ca="1">INDEX(INDIRECT(VLOOKUP(LEFT(BO175,7),CLU!$Z$3:$AH$18,2)),GQ175,GR175)</f>
        <v>#N/A</v>
      </c>
      <c r="CH175" s="431" t="e">
        <f ca="1">INDEX(INDIRECT(VLOOKUP(LEFT(BO175,7),CLU!$Z$3:$AH$18,3)),GQ175,GR175)</f>
        <v>#N/A</v>
      </c>
      <c r="CI175" s="431" t="e">
        <f ca="1">INDEX(INDIRECT(VLOOKUP(LEFT(BO175,7),CLU!$Z$3:$AH$18,4)),GQ175,GR175)</f>
        <v>#N/A</v>
      </c>
      <c r="CJ175" s="448" t="e">
        <f t="shared" ca="1" si="553"/>
        <v>#N/A</v>
      </c>
      <c r="CK175" s="431" t="e">
        <f t="shared" ca="1" si="554"/>
        <v>#N/A</v>
      </c>
      <c r="CL175" s="440" t="e">
        <f t="shared" ca="1" si="555"/>
        <v>#N/A</v>
      </c>
      <c r="CM175" s="431" t="e">
        <f ca="1">INDEX(INDIRECT(VLOOKUP(LEFT(BO175,7),CLU!$Z$3:$AH$18,2)),GQ175,GS175)</f>
        <v>#N/A</v>
      </c>
      <c r="CN175" s="431" t="e">
        <f ca="1">INDEX(INDIRECT(VLOOKUP(LEFT(BO175,7),CLU!$Z$3:$AH$18,3)),GQ175,GS175)</f>
        <v>#N/A</v>
      </c>
      <c r="CO175" s="431" t="e">
        <f ca="1">INDEX(INDIRECT(VLOOKUP(LEFT(BO175,7),CLU!$Z$3:$AH$18,4)),GQ175,GS175)</f>
        <v>#N/A</v>
      </c>
      <c r="CP175" s="431" t="e">
        <f t="shared" ca="1" si="556"/>
        <v>#N/A</v>
      </c>
      <c r="CQ175" s="440">
        <f t="shared" si="557"/>
        <v>0</v>
      </c>
      <c r="CR175" s="51" t="e">
        <f t="shared" ca="1" si="558"/>
        <v>#N/A</v>
      </c>
      <c r="CS175" s="439" t="e">
        <f t="shared" ca="1" si="559"/>
        <v>#VALUE!</v>
      </c>
      <c r="CT175" s="51" t="e">
        <f t="shared" ca="1" si="560"/>
        <v>#VALUE!</v>
      </c>
      <c r="CU175" s="10"/>
      <c r="CV175" s="51" t="e">
        <f t="shared" ca="1" si="457"/>
        <v>#VALUE!</v>
      </c>
      <c r="CW175" s="51">
        <f t="shared" si="561"/>
        <v>0</v>
      </c>
      <c r="CX175" s="439" t="e">
        <f t="shared" ca="1" si="562"/>
        <v>#VALUE!</v>
      </c>
      <c r="CY175" s="51" t="e">
        <f t="shared" ca="1" si="563"/>
        <v>#VALUE!</v>
      </c>
      <c r="CZ175" s="10"/>
      <c r="DA175" s="51" t="e">
        <f t="shared" ca="1" si="564"/>
        <v>#VALUE!</v>
      </c>
      <c r="DB175" s="347" t="e">
        <f ca="1">INDEX(INDIRECT(VLOOKUP(LEFT(BO175,7),CLU!$Z$3:$AI$18,10)),((M175-2)*(6-COUNTBLANK(GT175:GY175)))+GJ175)*LI175</f>
        <v>#N/A</v>
      </c>
      <c r="DC175" s="347" t="str">
        <f>IF(L175&gt;0,((R175/Worksheet!$I$15)/DB175)^2," ")</f>
        <v xml:space="preserve"> </v>
      </c>
      <c r="DD175" s="602" t="str">
        <f t="shared" si="565"/>
        <v xml:space="preserve"> </v>
      </c>
      <c r="DE175" s="347" t="str">
        <f t="shared" si="458"/>
        <v xml:space="preserve"> </v>
      </c>
      <c r="DF175" s="356" t="e">
        <f ca="1">INDEX(INDIRECT(VLOOKUP(LEFT(BO175,7),CLU!$Z$3:$AH$18,8)),((M175-2)*(6-COUNTBLANK(GT175:GY175)))+GJ175)</f>
        <v>#N/A</v>
      </c>
      <c r="DG175" s="347" t="str">
        <f t="shared" si="459"/>
        <v xml:space="preserve"> </v>
      </c>
      <c r="DH175" s="357" t="str">
        <f t="shared" si="460"/>
        <v xml:space="preserve"> </v>
      </c>
      <c r="DI175" s="355" t="str">
        <f t="shared" si="461"/>
        <v xml:space="preserve"> </v>
      </c>
      <c r="DJ175" s="245" t="e">
        <f ca="1">INDEX(INDIRECT(VLOOKUP(LEFT(BO175,7),CLU!$Z$3:$AH$18,5)),GL175,GK175)</f>
        <v>#N/A</v>
      </c>
      <c r="DK175" s="245" t="e">
        <f ca="1">INDEX(INDIRECT(VLOOKUP(LEFT(BO175,7),CLU!$Z$3:$AH$18,6)),GL175,GK175)</f>
        <v>#N/A</v>
      </c>
      <c r="DL175" s="355">
        <f>(Calculation!R175*0.69143*(Calculation!$BQ$8-Calculation!$F$8))*$S$14</f>
        <v>0</v>
      </c>
      <c r="DM175" s="359" t="e">
        <f t="shared" si="566"/>
        <v>#VALUE!</v>
      </c>
      <c r="DN175" s="611">
        <f t="shared" si="567"/>
        <v>0</v>
      </c>
      <c r="DO175" s="359">
        <f t="shared" si="568"/>
        <v>100</v>
      </c>
      <c r="DP175" s="359">
        <f t="shared" si="569"/>
        <v>0</v>
      </c>
      <c r="DQ175" s="360"/>
      <c r="DR175" s="245" t="e">
        <f ca="1">INDEX(INDIRECT(VLOOKUP(LEFT(BO175,7),CLU!$Z$3:$AH$18,7)),M175-1,1)</f>
        <v>#N/A</v>
      </c>
      <c r="DS175" s="245" t="e">
        <f ca="1">INDEX(INDIRECT(VLOOKUP(LEFT(BO175,7),CLU!$Z$3:$AH$18,7)),M175-1,2)</f>
        <v>#N/A</v>
      </c>
      <c r="DT175" s="245" t="e">
        <f ca="1">INDEX(INDIRECT(VLOOKUP(LEFT(BO175,7),CLU!$Z$3:$AH$18,7)),M175-1,3)</f>
        <v>#N/A</v>
      </c>
      <c r="DU175" s="245" t="e">
        <f ca="1">INDEX(INDIRECT(VLOOKUP(LEFT(BO175,7),CLU!$Z$3:$AH$18,7)),M175-1,4)</f>
        <v>#N/A</v>
      </c>
      <c r="DV175" s="361" t="e">
        <f ca="1">INDEX(INDIRECT(VLOOKUP(LEFT(BO175,7),CLU!$Z$3:$AH$18,7)),M175-1,4+LEFT(DZ175,1)*0.5)</f>
        <v>#N/A</v>
      </c>
      <c r="DW175" s="245" t="e">
        <f ca="1">INDEX(INDIRECT(VLOOKUP(LEFT(BO175,7),CLU!$Z$3:$AH$18,7)),M175-1,8)</f>
        <v>#N/A</v>
      </c>
      <c r="DX175" s="361" t="str">
        <f t="shared" si="462"/>
        <v xml:space="preserve"> </v>
      </c>
      <c r="DY175" s="361" t="str">
        <f t="shared" si="463"/>
        <v xml:space="preserve"> </v>
      </c>
      <c r="DZ175" s="361" t="str">
        <f t="shared" si="464"/>
        <v xml:space="preserve"> </v>
      </c>
      <c r="EA175" s="362" t="str">
        <f t="shared" si="465"/>
        <v xml:space="preserve"> </v>
      </c>
      <c r="EB175" s="624" t="str">
        <f t="shared" si="570"/>
        <v xml:space="preserve"> </v>
      </c>
      <c r="EC175" s="361" t="e">
        <f ca="1">INDEX(INDIRECT(VLOOKUP(LEFT(BO175,7),CLU!$Z$3:$AH$18,7)),M175-1,4+LEFT(DZ175,1)*0.5)</f>
        <v>#N/A</v>
      </c>
      <c r="ED175" s="362" t="str">
        <f t="shared" si="466"/>
        <v xml:space="preserve"> </v>
      </c>
      <c r="EE175" s="361" t="str">
        <f t="shared" si="467"/>
        <v xml:space="preserve"> </v>
      </c>
      <c r="EF175" s="362" t="str">
        <f>IF(L175&gt;0,IF(BR175&gt;0,IF(EE175="2P",IF(Calculation!DZ175="2P",IF(Calculation!DS175=13.75,IF(Calculation!DR175=13,Worksheet!$BD$43,IF(Calculation!DR175=37,Worksheet!$BD$44,Worksheet!$BD$45)),IF(Calculation!DS175=10,IF(Calculation!DR175=18,Worksheet!$BD$29,IF(Calculation!DR175=30,Worksheet!$BD$30,IF(Calculation!DR175=42,Worksheet!$BD$31,IF(Calculation!DR175=54,Worksheet!$BD$32,IF(Calculation!DR175=66,Worksheet!$BD$33,IF(Calculation!DR175=78,Worksheet!$BD$34,IF(Calculation!DR175=90,Worksheet!$BD$35,IF(Calculation!DR175=102,Worksheet!$BD$36,Worksheet!$BD$37)))))))),IF(Calculation!DS175=12.5,IF(Calculation!DR175=18,Worksheet!$BD$38,IF(Calculation!DR175=Worksheet!$BD$39,IF(Calculation!DR175=42,Worksheet!$BD$40,IF(Calculation!DR175=54,Worksheet!$BD$41,Worksheet!$BD$42)))),IF(Calculation!DR175=18,Worksheet!$BD$11,IF(Calculation!DR175=30,Worksheet!$BD$12,IF(Calculation!DR175=42,Worksheet!$BD$13,IF(Calculation!DR175=54,Worksheet!$BD$14,IF(Calculation!DR175=66,Worksheet!$BD$15,IF(Calculation!DR175=78,Worksheet!$BD$16,IF(Calculation!DR175=90,Worksheet!$BD$17,IF(Calculation!DR175=102,Worksheet!$BD$18,Worksheet!$BD$19))))))))))),IF(Calculation!DS175=13.75,IF(Calculation!DR175=13,Worksheet!$BD$78,IF(Calculation!DR175=37,Worksheet!$BD$79,Worksheet!$BD$80)),IF(Calculation!DS175=10,IF(Calculation!DR175=18,Worksheet!$BD$64,IF(Calculation!DR175=30,Worksheet!$BD$65,IF(Calculation!DR175=42,Worksheet!$BD$66,IF(Calculation!DR175=54,Worksheet!$BD$68,IF(Calculation!DR175=66,Worksheet!$BD$68,IF(Calculation!DR175=78,Worksheet!$BD$69,IF(Calculation!DR175=90,Worksheet!$BD$70,IF(Calculation!DR175=102,Worksheet!$BD$71,Worksheet!$BD$72)))))))),IF(Calculation!DS175=12.5,IF(Calculation!DR175=18,Worksheet!$BD$73,IF(Calculation!DR175=Worksheet!$BD$74,IF(Calculation!DR175=42,Worksheet!$BD$75,IF(Calculation!DR175=54,Worksheet!$BD$76,Worksheet!$BD$77)))),IF(Calculation!DR175=18,Worksheet!$BD$55,IF(Calculation!DR175=30,Worksheet!$BD$56,IF(Calculation!DR175=42,Worksheet!$BD$57,IF(Calculation!DR175=54,Worksheet!$BD$58,IF(Calculation!DR175=66,Worksheet!$BD$59,IF(Calculation!DR175=78,Worksheet!$BD$60,IF(Calculation!DR175=90,Worksheet!$BD$61,IF(Calculation!DR175=102,Worksheet!$BD$62,Worksheet!$BD$63)))))))))))),5),0)," ")</f>
        <v xml:space="preserve"> </v>
      </c>
      <c r="EG175" s="361" t="str">
        <f t="shared" si="468"/>
        <v xml:space="preserve"> </v>
      </c>
      <c r="EH175" s="361" t="e">
        <f ca="1">INDEX(INDIRECT(VLOOKUP(LEFT(BO175,7),CLU!$Z$3:$AH$18,7)),M175-1,3+LEFT(DZ175,1))</f>
        <v>#N/A</v>
      </c>
      <c r="EI175" s="362" t="str">
        <f t="shared" si="469"/>
        <v xml:space="preserve"> </v>
      </c>
      <c r="EJ175" s="363" t="str">
        <f t="shared" si="470"/>
        <v xml:space="preserve"> </v>
      </c>
      <c r="EK175" s="363" t="str">
        <f t="shared" si="471"/>
        <v xml:space="preserve"> </v>
      </c>
      <c r="EL175" s="363" t="str">
        <f t="shared" si="472"/>
        <v xml:space="preserve"> </v>
      </c>
      <c r="EM175" s="362" t="str">
        <f>IF(L175&gt;0,IF(BR175&gt;0,(Calculation!T175/ED175)^2,0)," ")</f>
        <v xml:space="preserve"> </v>
      </c>
      <c r="EN175" s="362" t="str">
        <f>IF(L175&gt;0,IF(O175="2 Pipe (Cooling)","N/A",IF(BR175&gt;0,(Calculation!U175/EI175)^2,0))," ")</f>
        <v xml:space="preserve"> </v>
      </c>
      <c r="EO175" s="361" t="str">
        <f t="shared" si="473"/>
        <v/>
      </c>
      <c r="EP175" s="361" t="str">
        <f t="shared" si="474"/>
        <v/>
      </c>
      <c r="EQ175" s="361" t="str">
        <f t="shared" si="475"/>
        <v/>
      </c>
      <c r="ER175" s="361" t="str">
        <f t="shared" si="476"/>
        <v/>
      </c>
      <c r="ES175" s="361" t="str">
        <f t="shared" si="477"/>
        <v/>
      </c>
      <c r="ET175" s="361" t="str">
        <f t="shared" si="478"/>
        <v/>
      </c>
      <c r="EU175" s="361" t="str">
        <f t="shared" si="479"/>
        <v/>
      </c>
      <c r="EV175" s="361" t="str">
        <f t="shared" si="480"/>
        <v/>
      </c>
      <c r="EW175" s="361" t="str">
        <f t="shared" si="481"/>
        <v/>
      </c>
      <c r="EX175" s="361" t="str">
        <f t="shared" si="571"/>
        <v>1 slot, 1 way</v>
      </c>
      <c r="EY175" s="361" t="str">
        <f t="shared" si="572"/>
        <v xml:space="preserve"> </v>
      </c>
      <c r="EZ175" s="361" t="str">
        <f t="shared" si="573"/>
        <v xml:space="preserve"> </v>
      </c>
      <c r="FA175" s="361" t="str">
        <f t="shared" si="574"/>
        <v xml:space="preserve"> </v>
      </c>
      <c r="FB175" s="361" t="str">
        <f t="shared" si="575"/>
        <v xml:space="preserve"> </v>
      </c>
      <c r="FC175" s="361"/>
      <c r="FD175" s="361" t="str">
        <f>IF(J175&gt;0,IF(Calculation!R175&lt;=70,4,IF(Calculation!R175&lt;=110,5,IF(Calculation!R175&lt;=160,6,IF(Calculation!R175&lt;=300,8,"10 EO")))),"")</f>
        <v/>
      </c>
      <c r="FE175" s="361" t="str">
        <f t="shared" si="576"/>
        <v/>
      </c>
      <c r="FF175" s="361" t="str">
        <f t="shared" si="577"/>
        <v/>
      </c>
      <c r="FG175" s="361" t="e">
        <f t="shared" si="482"/>
        <v>#N/A</v>
      </c>
      <c r="FH175" s="361">
        <f t="shared" si="483"/>
        <v>0</v>
      </c>
      <c r="FI175" s="361" t="e">
        <f t="shared" si="484"/>
        <v>#DIV/0!</v>
      </c>
      <c r="FJ175" s="361"/>
      <c r="FK175" s="356" t="e">
        <f t="shared" si="485"/>
        <v>#VALUE!</v>
      </c>
      <c r="FL175" s="361"/>
      <c r="FM175" s="361"/>
      <c r="FN175" s="362" t="str">
        <f t="shared" si="578"/>
        <v xml:space="preserve"> </v>
      </c>
      <c r="FO175" s="362" t="str">
        <f t="shared" si="579"/>
        <v xml:space="preserve"> </v>
      </c>
      <c r="FP175" s="362">
        <f t="shared" si="580"/>
        <v>0</v>
      </c>
      <c r="FQ175" s="361">
        <f t="shared" si="486"/>
        <v>0</v>
      </c>
      <c r="FR175" s="362" t="str">
        <f>IF(L175&gt;0,IF(J175="CBAL2",Worksheet!$P$67,IF(J175="CBE2-24",Worksheet!$Q$67,IF(J175="CBAM",Worksheet!$R$67,IF(J175="CBLV",Worksheet!$S$67,IF(J175="CBAB",Worksheet!$U$67,IF(J175="CBAW",Worksheet!$X$67,IF(J175="CBE2-12",Worksheet!$Y$67,IF(J175="CBAL2",Worksheet!$Z$67,"N/A"))))))))," ")</f>
        <v xml:space="preserve"> </v>
      </c>
      <c r="FS175" s="362" t="str">
        <f>IF(L175&gt;0,IF(J175="CBAL2",Worksheet!$P$68,IF(J175="CBE2-24",Worksheet!$Q$68,IF(J175="CBAM",Worksheet!$R$68,IF(J175="CBLV",Worksheet!$S$68,IF(J175="CBAB",Worksheet!$U$68,IF(J175="CBAW",Worksheet!$X$68,IF(J175="CBE2-12",Worksheet!$Y$68,IF(J175="CBAL2",Worksheet!$Z$68,"N/A"))))))))," ")</f>
        <v xml:space="preserve"> </v>
      </c>
      <c r="FT175" s="362" t="str">
        <f>IF(L175&gt;0,IF(J175="CBAL2",Worksheet!$P$69,IF(J175="CBE2-24",Worksheet!$Q$69,IF(J175="CBAM",Worksheet!$R$69,IF(J175="CBLV",Worksheet!$S$69,IF(J175="CBAB",Worksheet!$U$69,IF(J175="CBAW",Worksheet!$X$69,IF(J175="CBE2-12",Worksheet!$Y$69,IF(J175="CBAL2",Worksheet!$Z$69,"N/A"))))))))," ")</f>
        <v xml:space="preserve"> </v>
      </c>
      <c r="FU175" s="361" t="str">
        <f t="shared" si="581"/>
        <v xml:space="preserve"> </v>
      </c>
      <c r="FV175" s="362" t="str">
        <f t="shared" si="582"/>
        <v xml:space="preserve"> </v>
      </c>
      <c r="FW175" s="362" t="str">
        <f t="shared" si="583"/>
        <v xml:space="preserve"> </v>
      </c>
      <c r="FX175" s="362" t="str">
        <f t="shared" si="584"/>
        <v xml:space="preserve"> </v>
      </c>
      <c r="FY175" s="355" t="str">
        <f t="shared" si="585"/>
        <v xml:space="preserve"> </v>
      </c>
      <c r="FZ175" s="361" t="str">
        <f t="shared" si="586"/>
        <v xml:space="preserve"> </v>
      </c>
      <c r="GA175" s="347" t="str">
        <f t="shared" si="587"/>
        <v xml:space="preserve"> </v>
      </c>
      <c r="GB175" s="355" t="str">
        <f t="shared" si="588"/>
        <v xml:space="preserve"> </v>
      </c>
      <c r="GC175" s="328" t="str">
        <f t="shared" si="589"/>
        <v xml:space="preserve"> </v>
      </c>
      <c r="GD175" s="361" t="str">
        <f t="shared" si="590"/>
        <v xml:space="preserve"> </v>
      </c>
      <c r="GE175" s="347" t="str">
        <f t="shared" si="591"/>
        <v xml:space="preserve"> </v>
      </c>
      <c r="GF175" s="361" t="str">
        <f t="shared" si="592"/>
        <v xml:space="preserve"> </v>
      </c>
      <c r="GG175" s="347" t="str">
        <f t="shared" si="593"/>
        <v xml:space="preserve"> </v>
      </c>
      <c r="GH175" s="364">
        <f t="shared" si="487"/>
        <v>0</v>
      </c>
      <c r="GI175" s="362">
        <f t="shared" si="594"/>
        <v>2</v>
      </c>
      <c r="GJ175" s="433" t="e">
        <f>IF(6-COUNTBLANK(GT175:GY175)=4,MATCH(MID(BO175,9,3),CLU!$H$16:$K$16),MATCH(MID(BO175,9,3),CLU!$H$13:$M$13))</f>
        <v>#N/A</v>
      </c>
      <c r="GK175" s="433" t="e">
        <f>HLOOKUP(VALUE(BP175),CLU!$H$9:$M$10,2)</f>
        <v>#VALUE!</v>
      </c>
      <c r="GL175" s="433" t="e">
        <f ca="1">MATCH(BU175,CLU!$H$2:$V$2,1)</f>
        <v>#VALUE!</v>
      </c>
      <c r="GM175" s="433" t="e">
        <f t="shared" ca="1" si="595"/>
        <v>#VALUE!</v>
      </c>
      <c r="GN175" s="433" t="e">
        <f t="shared" ca="1" si="596"/>
        <v>#VALUE!</v>
      </c>
      <c r="GO175" s="433" t="e">
        <f t="shared" ca="1" si="597"/>
        <v>#VALUE!</v>
      </c>
      <c r="GP175" s="433" t="e">
        <f t="shared" ca="1" si="598"/>
        <v>#VALUE!</v>
      </c>
      <c r="GQ175" s="433" t="e">
        <f t="shared" ca="1" si="599"/>
        <v>#VALUE!</v>
      </c>
      <c r="GR175" s="433" t="e">
        <f ca="1">MATCH(T175,INDIRECT(VLOOKUP(CONCATENATE(LEFT(BO175,7),"-",MID(BO175,13,1)),CLU!$P$3:$Q$16,2)),1)</f>
        <v>#N/A</v>
      </c>
      <c r="GS175" s="433" t="e">
        <f ca="1">MATCH(U175,INDIRECT(VLOOKUP(CONCATENATE(LEFT(BO175,7),"-",MID(BO175,13,1)),CLU!$P$3:$Q$16,2)),1)</f>
        <v>#N/A</v>
      </c>
      <c r="GT175" s="347" t="s">
        <v>512</v>
      </c>
      <c r="GU175" s="97" t="s">
        <v>513</v>
      </c>
      <c r="GV175" s="97" t="str">
        <f t="shared" si="600"/>
        <v>M23</v>
      </c>
      <c r="GW175" s="97" t="str">
        <f t="shared" si="601"/>
        <v>M31</v>
      </c>
      <c r="GX175" s="97" t="str">
        <f t="shared" si="602"/>
        <v/>
      </c>
      <c r="GY175" s="97" t="str">
        <f t="shared" si="603"/>
        <v/>
      </c>
      <c r="GZ175" s="481"/>
      <c r="HA175" s="288"/>
      <c r="HB175" s="240"/>
      <c r="HC175" s="240"/>
      <c r="HD175" s="240"/>
      <c r="HE175" s="240"/>
      <c r="HF175" s="240"/>
      <c r="HG175" s="240"/>
      <c r="HH175" s="240"/>
      <c r="HI175" s="240"/>
      <c r="HJ175" s="240"/>
      <c r="HK175" s="240"/>
      <c r="HL175" s="240"/>
      <c r="HM175" s="240"/>
      <c r="HN175" s="240"/>
      <c r="HO175" s="240"/>
      <c r="HP175" s="240"/>
      <c r="HQ175" s="240"/>
      <c r="HR175" s="240"/>
      <c r="HS175" s="240"/>
      <c r="HT175" s="240"/>
      <c r="HU175" s="240"/>
      <c r="HV175" s="245"/>
      <c r="HW175" s="245" t="b">
        <v>1</v>
      </c>
      <c r="HX175" s="245" t="str">
        <f t="shared" si="488"/>
        <v/>
      </c>
      <c r="HY175" s="245" t="e">
        <f t="shared" si="489"/>
        <v>#DIV/0!</v>
      </c>
      <c r="HZ175" s="245" t="e">
        <f t="shared" si="490"/>
        <v>#DIV/0!</v>
      </c>
      <c r="IA175" s="245">
        <f t="shared" si="491"/>
        <v>0</v>
      </c>
      <c r="IB175" s="245"/>
      <c r="IC175" t="b">
        <f t="shared" si="492"/>
        <v>1</v>
      </c>
      <c r="ID175" s="245" t="b">
        <f t="shared" si="493"/>
        <v>1</v>
      </c>
      <c r="IE175" s="245" t="b">
        <f t="shared" si="494"/>
        <v>1</v>
      </c>
      <c r="IF175" s="245" t="b">
        <f t="shared" si="495"/>
        <v>0</v>
      </c>
      <c r="IG175" s="245" t="b">
        <f t="shared" si="496"/>
        <v>1</v>
      </c>
      <c r="IH175" s="245" t="b">
        <f t="shared" si="497"/>
        <v>1</v>
      </c>
      <c r="II175" s="245">
        <f t="shared" si="604"/>
        <v>0</v>
      </c>
      <c r="IJ175" s="245" t="e">
        <f t="shared" si="498"/>
        <v>#VALUE!</v>
      </c>
      <c r="IK175" s="245" t="e">
        <f t="shared" si="499"/>
        <v>#VALUE!</v>
      </c>
      <c r="IL175" s="245"/>
      <c r="IM175" s="245" t="e">
        <f t="shared" si="605"/>
        <v>#N/A</v>
      </c>
      <c r="IN175" s="245" t="e">
        <f t="shared" si="606"/>
        <v>#N/A</v>
      </c>
      <c r="IO175" s="245"/>
      <c r="IP175" s="245"/>
      <c r="IQ175" s="245" t="str">
        <f t="shared" si="500"/>
        <v/>
      </c>
      <c r="IR175" s="245" t="str">
        <f>IF(J175="","",VLOOKUP(J175,Worksheet!$R$4:$T$14,2))</f>
        <v/>
      </c>
      <c r="IS175" s="245"/>
      <c r="IT175" s="245">
        <f t="shared" si="501"/>
        <v>0</v>
      </c>
      <c r="IU175" s="245">
        <f t="shared" si="502"/>
        <v>0</v>
      </c>
      <c r="IV175" s="245">
        <f t="shared" si="503"/>
        <v>0</v>
      </c>
      <c r="IW175" s="245">
        <f t="shared" si="504"/>
        <v>0</v>
      </c>
      <c r="IX175" s="245">
        <f t="shared" si="607"/>
        <v>0</v>
      </c>
      <c r="IY175" s="245">
        <f t="shared" si="505"/>
        <v>0</v>
      </c>
      <c r="IZ175" s="245">
        <f t="shared" si="506"/>
        <v>0</v>
      </c>
      <c r="JA175">
        <f t="shared" si="507"/>
        <v>0</v>
      </c>
      <c r="JB175">
        <f t="shared" si="608"/>
        <v>0</v>
      </c>
      <c r="JC175">
        <f t="shared" si="508"/>
        <v>0</v>
      </c>
      <c r="JD175">
        <f t="shared" si="509"/>
        <v>0</v>
      </c>
      <c r="JE175">
        <f t="shared" si="510"/>
        <v>0</v>
      </c>
      <c r="JF175">
        <f t="shared" si="511"/>
        <v>0</v>
      </c>
      <c r="JG175">
        <f t="shared" si="512"/>
        <v>0</v>
      </c>
      <c r="JH175">
        <f t="shared" si="513"/>
        <v>0</v>
      </c>
      <c r="JI175">
        <f t="shared" si="514"/>
        <v>0</v>
      </c>
      <c r="JJ175" s="447">
        <f t="shared" si="515"/>
        <v>0</v>
      </c>
      <c r="JK175" s="447">
        <f t="shared" si="516"/>
        <v>0</v>
      </c>
      <c r="JL175">
        <f t="shared" si="517"/>
        <v>0</v>
      </c>
      <c r="JM175" s="245" t="str">
        <f>IFERROR(VLOOKUP(MATCH(BN175,#REF!,0),#REF!,7),"")</f>
        <v/>
      </c>
      <c r="JN175" t="e">
        <f>HLOOKUP(LEFT(BO175,7),Discharge_Area,MATCH(JO175,LookUps!$B$130:$B$149,1)+2)</f>
        <v>#N/A</v>
      </c>
      <c r="JO175" t="str">
        <f t="shared" si="518"/>
        <v>- S</v>
      </c>
      <c r="JP175" t="e">
        <f>HLOOKUP(LEFT(BO175,7),Discharge_Area,MATCH(JO175,LookUps!$B$130:$B$149,1)+2)</f>
        <v>#N/A</v>
      </c>
      <c r="JQ175" t="e">
        <f t="shared" si="519"/>
        <v>#N/A</v>
      </c>
      <c r="JR175" t="e">
        <f t="shared" si="520"/>
        <v>#N/A</v>
      </c>
      <c r="JS175" t="e">
        <f t="shared" si="521"/>
        <v>#N/A</v>
      </c>
      <c r="JT175" s="532" t="str">
        <f t="shared" si="522"/>
        <v xml:space="preserve"> </v>
      </c>
      <c r="JU175" s="532" t="str">
        <f t="shared" si="523"/>
        <v xml:space="preserve"> </v>
      </c>
      <c r="JV175" s="533" t="str">
        <f t="shared" si="524"/>
        <v xml:space="preserve"> </v>
      </c>
      <c r="JW175" s="534">
        <f t="shared" si="525"/>
        <v>0</v>
      </c>
      <c r="JX175" s="535" t="str">
        <f t="shared" si="609"/>
        <v xml:space="preserve"> </v>
      </c>
      <c r="JY175" s="535" t="str">
        <f t="shared" si="610"/>
        <v xml:space="preserve"> </v>
      </c>
      <c r="JZ175" s="535" t="str">
        <f t="shared" si="611"/>
        <v xml:space="preserve"> </v>
      </c>
      <c r="KA175" s="536" t="str">
        <f t="shared" si="526"/>
        <v xml:space="preserve"> </v>
      </c>
      <c r="KB175" s="535" t="e">
        <f t="shared" si="612"/>
        <v>#VALUE!</v>
      </c>
      <c r="KC175" s="535" t="str">
        <f t="shared" si="527"/>
        <v/>
      </c>
      <c r="KD175" s="537" t="str">
        <f t="shared" si="613"/>
        <v xml:space="preserve"> </v>
      </c>
      <c r="KE175" s="537" t="str">
        <f t="shared" si="614"/>
        <v xml:space="preserve"> </v>
      </c>
      <c r="KF175" s="534">
        <f t="shared" si="528"/>
        <v>0</v>
      </c>
      <c r="KG175" s="535" t="str">
        <f t="shared" si="529"/>
        <v xml:space="preserve"> </v>
      </c>
      <c r="KH175" s="535" t="str">
        <f t="shared" si="530"/>
        <v xml:space="preserve"> </v>
      </c>
      <c r="KI175" s="535" t="str">
        <f t="shared" si="531"/>
        <v xml:space="preserve"> </v>
      </c>
      <c r="KJ175" s="536" t="str">
        <f t="shared" si="532"/>
        <v xml:space="preserve"> </v>
      </c>
      <c r="KK175" s="535" t="str">
        <f t="shared" si="615"/>
        <v xml:space="preserve"> </v>
      </c>
      <c r="KL175" s="535" t="str">
        <f t="shared" si="616"/>
        <v xml:space="preserve"> </v>
      </c>
      <c r="KM175" s="537" t="str">
        <f t="shared" si="533"/>
        <v xml:space="preserve"> </v>
      </c>
      <c r="KN175" s="537" t="str">
        <f t="shared" si="617"/>
        <v xml:space="preserve"> </v>
      </c>
      <c r="KP175">
        <f t="shared" si="534"/>
        <v>0</v>
      </c>
      <c r="LA175" t="e">
        <f t="shared" si="535"/>
        <v>#VALUE!</v>
      </c>
      <c r="LB175" t="e">
        <f t="shared" si="536"/>
        <v>#VALUE!</v>
      </c>
      <c r="LC175" t="e">
        <f t="shared" si="537"/>
        <v>#VALUE!</v>
      </c>
      <c r="LD175" t="e">
        <f t="shared" si="538"/>
        <v>#VALUE!</v>
      </c>
      <c r="LE175" t="e">
        <f t="shared" si="618"/>
        <v>#VALUE!</v>
      </c>
      <c r="LF175">
        <f t="shared" si="539"/>
        <v>0</v>
      </c>
      <c r="LG175" t="e">
        <f t="shared" si="619"/>
        <v>#VALUE!</v>
      </c>
      <c r="LH175" t="str">
        <f t="shared" si="540"/>
        <v xml:space="preserve"> </v>
      </c>
      <c r="LI175">
        <f t="shared" si="620"/>
        <v>1</v>
      </c>
    </row>
    <row r="176" spans="2:321" ht="15" customHeight="1">
      <c r="B176" s="311"/>
      <c r="C176" s="311"/>
      <c r="D176" s="312"/>
      <c r="E176" s="311"/>
      <c r="F176" s="312"/>
      <c r="G176" s="311"/>
      <c r="H176" s="311"/>
      <c r="I176" s="37"/>
      <c r="J176" s="311"/>
      <c r="K176" s="305" t="str">
        <f t="shared" si="541"/>
        <v/>
      </c>
      <c r="L176" s="313"/>
      <c r="M176" s="312"/>
      <c r="N176" s="311"/>
      <c r="O176" s="312"/>
      <c r="P176" s="311"/>
      <c r="Q176" s="305" t="str">
        <f t="shared" si="542"/>
        <v/>
      </c>
      <c r="R176" s="314"/>
      <c r="S176" s="450" t="str">
        <f t="shared" si="425"/>
        <v/>
      </c>
      <c r="T176" s="315"/>
      <c r="U176" s="315"/>
      <c r="W176" s="149" t="str">
        <f t="shared" si="426"/>
        <v xml:space="preserve"> </v>
      </c>
      <c r="X176" s="243" t="str">
        <f t="shared" si="427"/>
        <v xml:space="preserve"> </v>
      </c>
      <c r="Y176" s="150" t="str">
        <f t="shared" si="428"/>
        <v/>
      </c>
      <c r="Z176" s="149" t="str">
        <f t="shared" si="429"/>
        <v xml:space="preserve"> </v>
      </c>
      <c r="AA176" s="98" t="str">
        <f t="shared" si="430"/>
        <v xml:space="preserve"> </v>
      </c>
      <c r="AB176" s="153" t="str">
        <f t="shared" si="431"/>
        <v xml:space="preserve"> </v>
      </c>
      <c r="AC176" s="153" t="str">
        <f t="shared" si="432"/>
        <v xml:space="preserve"> </v>
      </c>
      <c r="AD176" s="148" t="str">
        <f t="shared" si="433"/>
        <v/>
      </c>
      <c r="AE176" s="149" t="str">
        <f t="shared" si="434"/>
        <v/>
      </c>
      <c r="AF176" s="151" t="str">
        <f t="shared" si="435"/>
        <v xml:space="preserve"> </v>
      </c>
      <c r="AG176" s="153" t="str">
        <f t="shared" si="436"/>
        <v xml:space="preserve"> </v>
      </c>
      <c r="AH176" s="98" t="str">
        <f t="shared" si="437"/>
        <v xml:space="preserve"> </v>
      </c>
      <c r="AI176" s="149" t="str">
        <f t="shared" si="438"/>
        <v xml:space="preserve"> </v>
      </c>
      <c r="AK176" s="144" t="str">
        <f t="shared" si="439"/>
        <v xml:space="preserve"> </v>
      </c>
      <c r="AL176" s="144"/>
      <c r="AM176" s="243" t="str">
        <f t="shared" si="440"/>
        <v xml:space="preserve"> </v>
      </c>
      <c r="AN176" s="149" t="str">
        <f t="shared" si="543"/>
        <v xml:space="preserve"> </v>
      </c>
      <c r="AO176" s="144" t="str">
        <f>IF(JB176&gt;0,IF(GI176=10,-R176*1.085*(Calculation!$F$6-Calculation!$F$13)*$S$14," "),"")</f>
        <v/>
      </c>
      <c r="AP176" s="144" t="str">
        <f t="shared" si="441"/>
        <v/>
      </c>
      <c r="AQ176" s="56" t="str">
        <f t="shared" si="442"/>
        <v/>
      </c>
      <c r="AR176" s="144" t="str">
        <f t="shared" si="443"/>
        <v/>
      </c>
      <c r="AS176" s="176" t="str">
        <f t="shared" si="444"/>
        <v/>
      </c>
      <c r="AT176" s="176" t="str">
        <f t="shared" si="544"/>
        <v xml:space="preserve"> </v>
      </c>
      <c r="AU176" s="176" t="str">
        <f t="shared" si="445"/>
        <v/>
      </c>
      <c r="AV176" s="177" t="str">
        <f t="shared" si="446"/>
        <v xml:space="preserve"> </v>
      </c>
      <c r="AW176" s="144" t="str">
        <f t="shared" si="447"/>
        <v xml:space="preserve"> </v>
      </c>
      <c r="AX176" s="144" t="str">
        <f t="shared" si="448"/>
        <v xml:space="preserve"> </v>
      </c>
      <c r="AY176" s="152" t="str">
        <f t="shared" si="449"/>
        <v xml:space="preserve"> </v>
      </c>
      <c r="AZ176" s="246" t="str">
        <f t="shared" si="450"/>
        <v/>
      </c>
      <c r="BA176" s="176" t="str">
        <f t="shared" si="451"/>
        <v xml:space="preserve"> </v>
      </c>
      <c r="BB176" s="176" t="str">
        <f t="shared" si="452"/>
        <v xml:space="preserve"> </v>
      </c>
      <c r="BC176" s="195"/>
      <c r="BD176" s="316"/>
      <c r="BE176" s="317"/>
      <c r="BF176" s="318"/>
      <c r="BG176" s="318"/>
      <c r="BH176" s="144" t="str">
        <f t="shared" si="621"/>
        <v xml:space="preserve"> </v>
      </c>
      <c r="BI176" s="176" t="str">
        <f t="shared" si="453"/>
        <v/>
      </c>
      <c r="BJ176" s="144" t="str">
        <f t="shared" si="622"/>
        <v/>
      </c>
      <c r="BK176" s="246" t="str">
        <f t="shared" si="454"/>
        <v/>
      </c>
      <c r="BL176" s="144" t="str">
        <f t="shared" si="623"/>
        <v/>
      </c>
      <c r="BM176" s="246" t="str">
        <f t="shared" si="455"/>
        <v/>
      </c>
      <c r="BN176" s="337" t="str">
        <f t="shared" si="545"/>
        <v/>
      </c>
      <c r="BO176" s="371" t="str">
        <f t="shared" si="546"/>
        <v/>
      </c>
      <c r="BP176" s="328" t="str">
        <f t="shared" si="624"/>
        <v xml:space="preserve"> </v>
      </c>
      <c r="BQ176" s="347" t="str">
        <f t="shared" si="547"/>
        <v xml:space="preserve"> </v>
      </c>
      <c r="BR176" s="353" t="str">
        <f t="shared" si="548"/>
        <v xml:space="preserve"> </v>
      </c>
      <c r="BS176" s="626" t="str">
        <f>IF(L176&gt;0,IF(Calculation!P176="M13",BR176*3.1416*(0.134^2)/(4*144),IF(Calculation!P176="M17",BR176*3.1416*(0.165^2)/(4*144),IF(Calculation!P176="M20",BR176*3.1416*(0.198^2)/(4*144),IF(Calculation!P176="M23",BR176*3.1416*(0.228^2)/(4*144),IF(Calculation!P176="M27",BR176*3.1416*(0.269^2)/(4*144),BR176*3.1416*(0.307^2)/(4*144))))))," ")</f>
        <v xml:space="preserve"> </v>
      </c>
      <c r="BT176" s="353" t="str">
        <f>IF(L176&gt;0,IF(BS176&gt;0,R176/Calculation!BS176,0)," ")</f>
        <v xml:space="preserve"> </v>
      </c>
      <c r="BU176" s="438" t="e">
        <f t="shared" ca="1" si="456"/>
        <v>#VALUE!</v>
      </c>
      <c r="BV176" s="449" t="e">
        <f ca="1">INDEX(INDIRECT(VLOOKUP(LEFT(BO176,7),CLU!$Z$3:$AH$18,2)),GN176,GR176)</f>
        <v>#N/A</v>
      </c>
      <c r="BW176" s="433" t="e">
        <f ca="1">INDEX(INDIRECT(VLOOKUP(LEFT(BO176,7),CLU!$Z$3:$AH$18,3)),GN176,GR176)</f>
        <v>#N/A</v>
      </c>
      <c r="BX176" s="433" t="e">
        <f ca="1">INDEX(INDIRECT(VLOOKUP(LEFT(BO176,7),CLU!$Z$3:$AH$18,4)),GN176,GR176)</f>
        <v>#N/A</v>
      </c>
      <c r="BY176" s="433" t="e">
        <f ca="1">INDEX(INDIRECT(VLOOKUP(LEFT(BO176,7),CLU!$Z$3:$AH$18,9)),((M176-2)*(6-COUNTBLANK(GT176:GY176)))+GJ176)</f>
        <v>#N/A</v>
      </c>
      <c r="BZ176" s="426" t="e">
        <f t="shared" ca="1" si="549"/>
        <v>#N/A</v>
      </c>
      <c r="CA176" s="424" t="e">
        <f t="shared" ca="1" si="550"/>
        <v>#N/A</v>
      </c>
      <c r="CB176" s="429" t="e">
        <f ca="1">INDEX(INDIRECT(VLOOKUP(LEFT(BO176,7),CLU!$Z$3:$AH$18,2)),GN176,GS176)</f>
        <v>#N/A</v>
      </c>
      <c r="CC176" s="342" t="e">
        <f ca="1">INDEX(INDIRECT(VLOOKUP(LEFT(BO176,7),CLU!$Z$3:$AH$18,3)),GN176,GS176)</f>
        <v>#N/A</v>
      </c>
      <c r="CD176" s="342" t="e">
        <f ca="1">INDEX(INDIRECT(VLOOKUP(LEFT(BO176,7),CLU!$Z$3:$AH$18,4)),GN176,GS176)</f>
        <v>#N/A</v>
      </c>
      <c r="CE176" s="426" t="e">
        <f t="shared" ca="1" si="551"/>
        <v>#N/A</v>
      </c>
      <c r="CF176" s="440">
        <f t="shared" si="552"/>
        <v>0</v>
      </c>
      <c r="CG176" s="431" t="e">
        <f ca="1">INDEX(INDIRECT(VLOOKUP(LEFT(BO176,7),CLU!$Z$3:$AH$18,2)),GQ176,GR176)</f>
        <v>#N/A</v>
      </c>
      <c r="CH176" s="431" t="e">
        <f ca="1">INDEX(INDIRECT(VLOOKUP(LEFT(BO176,7),CLU!$Z$3:$AH$18,3)),GQ176,GR176)</f>
        <v>#N/A</v>
      </c>
      <c r="CI176" s="431" t="e">
        <f ca="1">INDEX(INDIRECT(VLOOKUP(LEFT(BO176,7),CLU!$Z$3:$AH$18,4)),GQ176,GR176)</f>
        <v>#N/A</v>
      </c>
      <c r="CJ176" s="448" t="e">
        <f t="shared" ca="1" si="553"/>
        <v>#N/A</v>
      </c>
      <c r="CK176" s="431" t="e">
        <f t="shared" ca="1" si="554"/>
        <v>#N/A</v>
      </c>
      <c r="CL176" s="440" t="e">
        <f t="shared" ca="1" si="555"/>
        <v>#N/A</v>
      </c>
      <c r="CM176" s="431" t="e">
        <f ca="1">INDEX(INDIRECT(VLOOKUP(LEFT(BO176,7),CLU!$Z$3:$AH$18,2)),GQ176,GS176)</f>
        <v>#N/A</v>
      </c>
      <c r="CN176" s="431" t="e">
        <f ca="1">INDEX(INDIRECT(VLOOKUP(LEFT(BO176,7),CLU!$Z$3:$AH$18,3)),GQ176,GS176)</f>
        <v>#N/A</v>
      </c>
      <c r="CO176" s="431" t="e">
        <f ca="1">INDEX(INDIRECT(VLOOKUP(LEFT(BO176,7),CLU!$Z$3:$AH$18,4)),GQ176,GS176)</f>
        <v>#N/A</v>
      </c>
      <c r="CP176" s="431" t="e">
        <f t="shared" ca="1" si="556"/>
        <v>#N/A</v>
      </c>
      <c r="CQ176" s="440">
        <f t="shared" si="557"/>
        <v>0</v>
      </c>
      <c r="CR176" s="51" t="e">
        <f t="shared" ca="1" si="558"/>
        <v>#N/A</v>
      </c>
      <c r="CS176" s="439" t="e">
        <f t="shared" ca="1" si="559"/>
        <v>#VALUE!</v>
      </c>
      <c r="CT176" s="51" t="e">
        <f t="shared" ca="1" si="560"/>
        <v>#VALUE!</v>
      </c>
      <c r="CU176" s="10"/>
      <c r="CV176" s="51" t="e">
        <f t="shared" ca="1" si="457"/>
        <v>#VALUE!</v>
      </c>
      <c r="CW176" s="51">
        <f t="shared" si="561"/>
        <v>0</v>
      </c>
      <c r="CX176" s="439" t="e">
        <f t="shared" ca="1" si="562"/>
        <v>#VALUE!</v>
      </c>
      <c r="CY176" s="51" t="e">
        <f t="shared" ca="1" si="563"/>
        <v>#VALUE!</v>
      </c>
      <c r="CZ176" s="10"/>
      <c r="DA176" s="51" t="e">
        <f t="shared" ca="1" si="564"/>
        <v>#VALUE!</v>
      </c>
      <c r="DB176" s="347" t="e">
        <f ca="1">INDEX(INDIRECT(VLOOKUP(LEFT(BO176,7),CLU!$Z$3:$AI$18,10)),((M176-2)*(6-COUNTBLANK(GT176:GY176)))+GJ176)*LI176</f>
        <v>#N/A</v>
      </c>
      <c r="DC176" s="347" t="str">
        <f>IF(L176&gt;0,((R176/Worksheet!$I$15)/DB176)^2," ")</f>
        <v xml:space="preserve"> </v>
      </c>
      <c r="DD176" s="602" t="str">
        <f t="shared" si="565"/>
        <v xml:space="preserve"> </v>
      </c>
      <c r="DE176" s="347" t="str">
        <f t="shared" si="458"/>
        <v xml:space="preserve"> </v>
      </c>
      <c r="DF176" s="356" t="e">
        <f ca="1">INDEX(INDIRECT(VLOOKUP(LEFT(BO176,7),CLU!$Z$3:$AH$18,8)),((M176-2)*(6-COUNTBLANK(GT176:GY176)))+GJ176)</f>
        <v>#N/A</v>
      </c>
      <c r="DG176" s="347" t="str">
        <f t="shared" si="459"/>
        <v xml:space="preserve"> </v>
      </c>
      <c r="DH176" s="357" t="str">
        <f t="shared" si="460"/>
        <v xml:space="preserve"> </v>
      </c>
      <c r="DI176" s="355" t="str">
        <f t="shared" si="461"/>
        <v xml:space="preserve"> </v>
      </c>
      <c r="DJ176" s="245" t="e">
        <f ca="1">INDEX(INDIRECT(VLOOKUP(LEFT(BO176,7),CLU!$Z$3:$AH$18,5)),GL176,GK176)</f>
        <v>#N/A</v>
      </c>
      <c r="DK176" s="245" t="e">
        <f ca="1">INDEX(INDIRECT(VLOOKUP(LEFT(BO176,7),CLU!$Z$3:$AH$18,6)),GL176,GK176)</f>
        <v>#N/A</v>
      </c>
      <c r="DL176" s="355">
        <f>(Calculation!R176*0.69143*(Calculation!$BQ$8-Calculation!$F$8))*$S$14</f>
        <v>0</v>
      </c>
      <c r="DM176" s="359" t="e">
        <f t="shared" si="566"/>
        <v>#VALUE!</v>
      </c>
      <c r="DN176" s="611">
        <f t="shared" si="567"/>
        <v>0</v>
      </c>
      <c r="DO176" s="359">
        <f t="shared" si="568"/>
        <v>100</v>
      </c>
      <c r="DP176" s="359">
        <f t="shared" si="569"/>
        <v>0</v>
      </c>
      <c r="DQ176" s="360"/>
      <c r="DR176" s="245" t="e">
        <f ca="1">INDEX(INDIRECT(VLOOKUP(LEFT(BO176,7),CLU!$Z$3:$AH$18,7)),M176-1,1)</f>
        <v>#N/A</v>
      </c>
      <c r="DS176" s="245" t="e">
        <f ca="1">INDEX(INDIRECT(VLOOKUP(LEFT(BO176,7),CLU!$Z$3:$AH$18,7)),M176-1,2)</f>
        <v>#N/A</v>
      </c>
      <c r="DT176" s="245" t="e">
        <f ca="1">INDEX(INDIRECT(VLOOKUP(LEFT(BO176,7),CLU!$Z$3:$AH$18,7)),M176-1,3)</f>
        <v>#N/A</v>
      </c>
      <c r="DU176" s="245" t="e">
        <f ca="1">INDEX(INDIRECT(VLOOKUP(LEFT(BO176,7),CLU!$Z$3:$AH$18,7)),M176-1,4)</f>
        <v>#N/A</v>
      </c>
      <c r="DV176" s="361" t="e">
        <f ca="1">INDEX(INDIRECT(VLOOKUP(LEFT(BO176,7),CLU!$Z$3:$AH$18,7)),M176-1,4+LEFT(DZ176,1)*0.5)</f>
        <v>#N/A</v>
      </c>
      <c r="DW176" s="245" t="e">
        <f ca="1">INDEX(INDIRECT(VLOOKUP(LEFT(BO176,7),CLU!$Z$3:$AH$18,7)),M176-1,8)</f>
        <v>#N/A</v>
      </c>
      <c r="DX176" s="361" t="str">
        <f t="shared" si="462"/>
        <v xml:space="preserve"> </v>
      </c>
      <c r="DY176" s="361" t="str">
        <f t="shared" si="463"/>
        <v xml:space="preserve"> </v>
      </c>
      <c r="DZ176" s="361" t="str">
        <f t="shared" si="464"/>
        <v xml:space="preserve"> </v>
      </c>
      <c r="EA176" s="362" t="str">
        <f t="shared" si="465"/>
        <v xml:space="preserve"> </v>
      </c>
      <c r="EB176" s="624" t="str">
        <f t="shared" si="570"/>
        <v xml:space="preserve"> </v>
      </c>
      <c r="EC176" s="361" t="e">
        <f ca="1">INDEX(INDIRECT(VLOOKUP(LEFT(BO176,7),CLU!$Z$3:$AH$18,7)),M176-1,4+LEFT(DZ176,1)*0.5)</f>
        <v>#N/A</v>
      </c>
      <c r="ED176" s="362" t="str">
        <f t="shared" si="466"/>
        <v xml:space="preserve"> </v>
      </c>
      <c r="EE176" s="361" t="str">
        <f t="shared" si="467"/>
        <v xml:space="preserve"> </v>
      </c>
      <c r="EF176" s="362" t="str">
        <f>IF(L176&gt;0,IF(BR176&gt;0,IF(EE176="2P",IF(Calculation!DZ176="2P",IF(Calculation!DS176=13.75,IF(Calculation!DR176=13,Worksheet!$BD$43,IF(Calculation!DR176=37,Worksheet!$BD$44,Worksheet!$BD$45)),IF(Calculation!DS176=10,IF(Calculation!DR176=18,Worksheet!$BD$29,IF(Calculation!DR176=30,Worksheet!$BD$30,IF(Calculation!DR176=42,Worksheet!$BD$31,IF(Calculation!DR176=54,Worksheet!$BD$32,IF(Calculation!DR176=66,Worksheet!$BD$33,IF(Calculation!DR176=78,Worksheet!$BD$34,IF(Calculation!DR176=90,Worksheet!$BD$35,IF(Calculation!DR176=102,Worksheet!$BD$36,Worksheet!$BD$37)))))))),IF(Calculation!DS176=12.5,IF(Calculation!DR176=18,Worksheet!$BD$38,IF(Calculation!DR176=Worksheet!$BD$39,IF(Calculation!DR176=42,Worksheet!$BD$40,IF(Calculation!DR176=54,Worksheet!$BD$41,Worksheet!$BD$42)))),IF(Calculation!DR176=18,Worksheet!$BD$11,IF(Calculation!DR176=30,Worksheet!$BD$12,IF(Calculation!DR176=42,Worksheet!$BD$13,IF(Calculation!DR176=54,Worksheet!$BD$14,IF(Calculation!DR176=66,Worksheet!$BD$15,IF(Calculation!DR176=78,Worksheet!$BD$16,IF(Calculation!DR176=90,Worksheet!$BD$17,IF(Calculation!DR176=102,Worksheet!$BD$18,Worksheet!$BD$19))))))))))),IF(Calculation!DS176=13.75,IF(Calculation!DR176=13,Worksheet!$BD$78,IF(Calculation!DR176=37,Worksheet!$BD$79,Worksheet!$BD$80)),IF(Calculation!DS176=10,IF(Calculation!DR176=18,Worksheet!$BD$64,IF(Calculation!DR176=30,Worksheet!$BD$65,IF(Calculation!DR176=42,Worksheet!$BD$66,IF(Calculation!DR176=54,Worksheet!$BD$68,IF(Calculation!DR176=66,Worksheet!$BD$68,IF(Calculation!DR176=78,Worksheet!$BD$69,IF(Calculation!DR176=90,Worksheet!$BD$70,IF(Calculation!DR176=102,Worksheet!$BD$71,Worksheet!$BD$72)))))))),IF(Calculation!DS176=12.5,IF(Calculation!DR176=18,Worksheet!$BD$73,IF(Calculation!DR176=Worksheet!$BD$74,IF(Calculation!DR176=42,Worksheet!$BD$75,IF(Calculation!DR176=54,Worksheet!$BD$76,Worksheet!$BD$77)))),IF(Calculation!DR176=18,Worksheet!$BD$55,IF(Calculation!DR176=30,Worksheet!$BD$56,IF(Calculation!DR176=42,Worksheet!$BD$57,IF(Calculation!DR176=54,Worksheet!$BD$58,IF(Calculation!DR176=66,Worksheet!$BD$59,IF(Calculation!DR176=78,Worksheet!$BD$60,IF(Calculation!DR176=90,Worksheet!$BD$61,IF(Calculation!DR176=102,Worksheet!$BD$62,Worksheet!$BD$63)))))))))))),5),0)," ")</f>
        <v xml:space="preserve"> </v>
      </c>
      <c r="EG176" s="361" t="str">
        <f t="shared" si="468"/>
        <v xml:space="preserve"> </v>
      </c>
      <c r="EH176" s="361" t="e">
        <f ca="1">INDEX(INDIRECT(VLOOKUP(LEFT(BO176,7),CLU!$Z$3:$AH$18,7)),M176-1,3+LEFT(DZ176,1))</f>
        <v>#N/A</v>
      </c>
      <c r="EI176" s="362" t="str">
        <f t="shared" si="469"/>
        <v xml:space="preserve"> </v>
      </c>
      <c r="EJ176" s="363" t="str">
        <f t="shared" si="470"/>
        <v xml:space="preserve"> </v>
      </c>
      <c r="EK176" s="363" t="str">
        <f t="shared" si="471"/>
        <v xml:space="preserve"> </v>
      </c>
      <c r="EL176" s="363" t="str">
        <f t="shared" si="472"/>
        <v xml:space="preserve"> </v>
      </c>
      <c r="EM176" s="362" t="str">
        <f>IF(L176&gt;0,IF(BR176&gt;0,(Calculation!T176/ED176)^2,0)," ")</f>
        <v xml:space="preserve"> </v>
      </c>
      <c r="EN176" s="362" t="str">
        <f>IF(L176&gt;0,IF(O176="2 Pipe (Cooling)","N/A",IF(BR176&gt;0,(Calculation!U176/EI176)^2,0))," ")</f>
        <v xml:space="preserve"> </v>
      </c>
      <c r="EO176" s="361" t="str">
        <f t="shared" si="473"/>
        <v/>
      </c>
      <c r="EP176" s="361" t="str">
        <f t="shared" si="474"/>
        <v/>
      </c>
      <c r="EQ176" s="361" t="str">
        <f t="shared" si="475"/>
        <v/>
      </c>
      <c r="ER176" s="361" t="str">
        <f t="shared" si="476"/>
        <v/>
      </c>
      <c r="ES176" s="361" t="str">
        <f t="shared" si="477"/>
        <v/>
      </c>
      <c r="ET176" s="361" t="str">
        <f t="shared" si="478"/>
        <v/>
      </c>
      <c r="EU176" s="361" t="str">
        <f t="shared" si="479"/>
        <v/>
      </c>
      <c r="EV176" s="361" t="str">
        <f t="shared" si="480"/>
        <v/>
      </c>
      <c r="EW176" s="361" t="str">
        <f t="shared" si="481"/>
        <v/>
      </c>
      <c r="EX176" s="361" t="str">
        <f t="shared" si="571"/>
        <v>1 slot, 1 way</v>
      </c>
      <c r="EY176" s="361" t="str">
        <f t="shared" si="572"/>
        <v xml:space="preserve"> </v>
      </c>
      <c r="EZ176" s="361" t="str">
        <f t="shared" si="573"/>
        <v xml:space="preserve"> </v>
      </c>
      <c r="FA176" s="361" t="str">
        <f t="shared" si="574"/>
        <v xml:space="preserve"> </v>
      </c>
      <c r="FB176" s="361" t="str">
        <f t="shared" si="575"/>
        <v xml:space="preserve"> </v>
      </c>
      <c r="FC176" s="361"/>
      <c r="FD176" s="361" t="str">
        <f>IF(J176&gt;0,IF(Calculation!R176&lt;=70,4,IF(Calculation!R176&lt;=110,5,IF(Calculation!R176&lt;=160,6,IF(Calculation!R176&lt;=300,8,"10 EO")))),"")</f>
        <v/>
      </c>
      <c r="FE176" s="361" t="str">
        <f t="shared" si="576"/>
        <v/>
      </c>
      <c r="FF176" s="361" t="str">
        <f t="shared" si="577"/>
        <v/>
      </c>
      <c r="FG176" s="361" t="e">
        <f t="shared" si="482"/>
        <v>#N/A</v>
      </c>
      <c r="FH176" s="361">
        <f t="shared" si="483"/>
        <v>0</v>
      </c>
      <c r="FI176" s="361" t="e">
        <f t="shared" si="484"/>
        <v>#DIV/0!</v>
      </c>
      <c r="FJ176" s="361"/>
      <c r="FK176" s="356" t="e">
        <f t="shared" si="485"/>
        <v>#VALUE!</v>
      </c>
      <c r="FL176" s="361"/>
      <c r="FM176" s="361"/>
      <c r="FN176" s="362" t="str">
        <f t="shared" si="578"/>
        <v xml:space="preserve"> </v>
      </c>
      <c r="FO176" s="362" t="str">
        <f t="shared" si="579"/>
        <v xml:space="preserve"> </v>
      </c>
      <c r="FP176" s="362">
        <f t="shared" si="580"/>
        <v>0</v>
      </c>
      <c r="FQ176" s="361">
        <f t="shared" si="486"/>
        <v>0</v>
      </c>
      <c r="FR176" s="362" t="str">
        <f>IF(L176&gt;0,IF(J176="CBAL2",Worksheet!$P$67,IF(J176="CBE2-24",Worksheet!$Q$67,IF(J176="CBAM",Worksheet!$R$67,IF(J176="CBLV",Worksheet!$S$67,IF(J176="CBAB",Worksheet!$U$67,IF(J176="CBAW",Worksheet!$X$67,IF(J176="CBE2-12",Worksheet!$Y$67,IF(J176="CBAL2",Worksheet!$Z$67,"N/A"))))))))," ")</f>
        <v xml:space="preserve"> </v>
      </c>
      <c r="FS176" s="362" t="str">
        <f>IF(L176&gt;0,IF(J176="CBAL2",Worksheet!$P$68,IF(J176="CBE2-24",Worksheet!$Q$68,IF(J176="CBAM",Worksheet!$R$68,IF(J176="CBLV",Worksheet!$S$68,IF(J176="CBAB",Worksheet!$U$68,IF(J176="CBAW",Worksheet!$X$68,IF(J176="CBE2-12",Worksheet!$Y$68,IF(J176="CBAL2",Worksheet!$Z$68,"N/A"))))))))," ")</f>
        <v xml:space="preserve"> </v>
      </c>
      <c r="FT176" s="362" t="str">
        <f>IF(L176&gt;0,IF(J176="CBAL2",Worksheet!$P$69,IF(J176="CBE2-24",Worksheet!$Q$69,IF(J176="CBAM",Worksheet!$R$69,IF(J176="CBLV",Worksheet!$S$69,IF(J176="CBAB",Worksheet!$U$69,IF(J176="CBAW",Worksheet!$X$69,IF(J176="CBE2-12",Worksheet!$Y$69,IF(J176="CBAL2",Worksheet!$Z$69,"N/A"))))))))," ")</f>
        <v xml:space="preserve"> </v>
      </c>
      <c r="FU176" s="361" t="str">
        <f t="shared" si="581"/>
        <v xml:space="preserve"> </v>
      </c>
      <c r="FV176" s="362" t="str">
        <f t="shared" si="582"/>
        <v xml:space="preserve"> </v>
      </c>
      <c r="FW176" s="362" t="str">
        <f t="shared" si="583"/>
        <v xml:space="preserve"> </v>
      </c>
      <c r="FX176" s="362" t="str">
        <f t="shared" si="584"/>
        <v xml:space="preserve"> </v>
      </c>
      <c r="FY176" s="355" t="str">
        <f t="shared" si="585"/>
        <v xml:space="preserve"> </v>
      </c>
      <c r="FZ176" s="361" t="str">
        <f t="shared" si="586"/>
        <v xml:space="preserve"> </v>
      </c>
      <c r="GA176" s="347" t="str">
        <f t="shared" si="587"/>
        <v xml:space="preserve"> </v>
      </c>
      <c r="GB176" s="355" t="str">
        <f t="shared" si="588"/>
        <v xml:space="preserve"> </v>
      </c>
      <c r="GC176" s="328" t="str">
        <f t="shared" si="589"/>
        <v xml:space="preserve"> </v>
      </c>
      <c r="GD176" s="361" t="str">
        <f t="shared" si="590"/>
        <v xml:space="preserve"> </v>
      </c>
      <c r="GE176" s="347" t="str">
        <f t="shared" si="591"/>
        <v xml:space="preserve"> </v>
      </c>
      <c r="GF176" s="361" t="str">
        <f t="shared" si="592"/>
        <v xml:space="preserve"> </v>
      </c>
      <c r="GG176" s="347" t="str">
        <f t="shared" si="593"/>
        <v xml:space="preserve"> </v>
      </c>
      <c r="GH176" s="364">
        <f t="shared" si="487"/>
        <v>0</v>
      </c>
      <c r="GI176" s="362">
        <f t="shared" si="594"/>
        <v>2</v>
      </c>
      <c r="GJ176" s="433" t="e">
        <f>IF(6-COUNTBLANK(GT176:GY176)=4,MATCH(MID(BO176,9,3),CLU!$H$16:$K$16),MATCH(MID(BO176,9,3),CLU!$H$13:$M$13))</f>
        <v>#N/A</v>
      </c>
      <c r="GK176" s="433" t="e">
        <f>HLOOKUP(VALUE(BP176),CLU!$H$9:$M$10,2)</f>
        <v>#VALUE!</v>
      </c>
      <c r="GL176" s="433" t="e">
        <f ca="1">MATCH(BU176,CLU!$H$2:$V$2,1)</f>
        <v>#VALUE!</v>
      </c>
      <c r="GM176" s="433" t="e">
        <f t="shared" ca="1" si="595"/>
        <v>#VALUE!</v>
      </c>
      <c r="GN176" s="433" t="e">
        <f t="shared" ca="1" si="596"/>
        <v>#VALUE!</v>
      </c>
      <c r="GO176" s="433" t="e">
        <f t="shared" ca="1" si="597"/>
        <v>#VALUE!</v>
      </c>
      <c r="GP176" s="433" t="e">
        <f t="shared" ca="1" si="598"/>
        <v>#VALUE!</v>
      </c>
      <c r="GQ176" s="433" t="e">
        <f t="shared" ca="1" si="599"/>
        <v>#VALUE!</v>
      </c>
      <c r="GR176" s="433" t="e">
        <f ca="1">MATCH(T176,INDIRECT(VLOOKUP(CONCATENATE(LEFT(BO176,7),"-",MID(BO176,13,1)),CLU!$P$3:$Q$16,2)),1)</f>
        <v>#N/A</v>
      </c>
      <c r="GS176" s="433" t="e">
        <f ca="1">MATCH(U176,INDIRECT(VLOOKUP(CONCATENATE(LEFT(BO176,7),"-",MID(BO176,13,1)),CLU!$P$3:$Q$16,2)),1)</f>
        <v>#N/A</v>
      </c>
      <c r="GT176" s="347" t="s">
        <v>512</v>
      </c>
      <c r="GU176" s="97" t="s">
        <v>513</v>
      </c>
      <c r="GV176" s="97" t="str">
        <f t="shared" si="600"/>
        <v>M23</v>
      </c>
      <c r="GW176" s="97" t="str">
        <f t="shared" si="601"/>
        <v>M31</v>
      </c>
      <c r="GX176" s="97" t="str">
        <f t="shared" si="602"/>
        <v/>
      </c>
      <c r="GY176" s="97" t="str">
        <f t="shared" si="603"/>
        <v/>
      </c>
      <c r="GZ176" s="481"/>
      <c r="HA176" s="288"/>
      <c r="HB176" s="240"/>
      <c r="HC176" s="240"/>
      <c r="HD176" s="240"/>
      <c r="HE176" s="240"/>
      <c r="HF176" s="240"/>
      <c r="HG176" s="240"/>
      <c r="HH176" s="240"/>
      <c r="HI176" s="240"/>
      <c r="HJ176" s="240"/>
      <c r="HK176" s="240"/>
      <c r="HL176" s="240"/>
      <c r="HM176" s="240"/>
      <c r="HN176" s="240"/>
      <c r="HO176" s="240"/>
      <c r="HP176" s="240"/>
      <c r="HQ176" s="240"/>
      <c r="HR176" s="240"/>
      <c r="HS176" s="240"/>
      <c r="HT176" s="240"/>
      <c r="HU176" s="240"/>
      <c r="HV176" s="245"/>
      <c r="HW176" s="245" t="b">
        <v>1</v>
      </c>
      <c r="HX176" s="245" t="str">
        <f t="shared" si="488"/>
        <v/>
      </c>
      <c r="HY176" s="245" t="e">
        <f t="shared" si="489"/>
        <v>#DIV/0!</v>
      </c>
      <c r="HZ176" s="245" t="e">
        <f t="shared" si="490"/>
        <v>#DIV/0!</v>
      </c>
      <c r="IA176" s="245">
        <f t="shared" si="491"/>
        <v>0</v>
      </c>
      <c r="IB176" s="245"/>
      <c r="IC176" t="b">
        <f t="shared" si="492"/>
        <v>1</v>
      </c>
      <c r="ID176" s="245" t="b">
        <f t="shared" si="493"/>
        <v>1</v>
      </c>
      <c r="IE176" s="245" t="b">
        <f t="shared" si="494"/>
        <v>1</v>
      </c>
      <c r="IF176" s="245" t="b">
        <f t="shared" si="495"/>
        <v>0</v>
      </c>
      <c r="IG176" s="245" t="b">
        <f t="shared" si="496"/>
        <v>1</v>
      </c>
      <c r="IH176" s="245" t="b">
        <f t="shared" si="497"/>
        <v>1</v>
      </c>
      <c r="II176" s="245">
        <f t="shared" si="604"/>
        <v>0</v>
      </c>
      <c r="IJ176" s="245" t="e">
        <f t="shared" si="498"/>
        <v>#VALUE!</v>
      </c>
      <c r="IK176" s="245" t="e">
        <f t="shared" si="499"/>
        <v>#VALUE!</v>
      </c>
      <c r="IL176" s="245"/>
      <c r="IM176" s="245" t="e">
        <f t="shared" si="605"/>
        <v>#N/A</v>
      </c>
      <c r="IN176" s="245" t="e">
        <f t="shared" si="606"/>
        <v>#N/A</v>
      </c>
      <c r="IO176" s="245"/>
      <c r="IP176" s="245"/>
      <c r="IQ176" s="245" t="str">
        <f t="shared" si="500"/>
        <v/>
      </c>
      <c r="IR176" s="245" t="str">
        <f>IF(J176="","",VLOOKUP(J176,Worksheet!$R$4:$T$14,2))</f>
        <v/>
      </c>
      <c r="IS176" s="245"/>
      <c r="IT176" s="245">
        <f t="shared" si="501"/>
        <v>0</v>
      </c>
      <c r="IU176" s="245">
        <f t="shared" si="502"/>
        <v>0</v>
      </c>
      <c r="IV176" s="245">
        <f t="shared" si="503"/>
        <v>0</v>
      </c>
      <c r="IW176" s="245">
        <f t="shared" si="504"/>
        <v>0</v>
      </c>
      <c r="IX176" s="245">
        <f t="shared" si="607"/>
        <v>0</v>
      </c>
      <c r="IY176" s="245">
        <f t="shared" si="505"/>
        <v>0</v>
      </c>
      <c r="IZ176" s="245">
        <f t="shared" si="506"/>
        <v>0</v>
      </c>
      <c r="JA176">
        <f t="shared" si="507"/>
        <v>0</v>
      </c>
      <c r="JB176">
        <f t="shared" si="608"/>
        <v>0</v>
      </c>
      <c r="JC176">
        <f t="shared" si="508"/>
        <v>0</v>
      </c>
      <c r="JD176">
        <f t="shared" si="509"/>
        <v>0</v>
      </c>
      <c r="JE176">
        <f t="shared" si="510"/>
        <v>0</v>
      </c>
      <c r="JF176">
        <f t="shared" si="511"/>
        <v>0</v>
      </c>
      <c r="JG176">
        <f t="shared" si="512"/>
        <v>0</v>
      </c>
      <c r="JH176">
        <f t="shared" si="513"/>
        <v>0</v>
      </c>
      <c r="JI176">
        <f t="shared" si="514"/>
        <v>0</v>
      </c>
      <c r="JJ176" s="447">
        <f t="shared" si="515"/>
        <v>0</v>
      </c>
      <c r="JK176" s="447">
        <f t="shared" si="516"/>
        <v>0</v>
      </c>
      <c r="JL176">
        <f t="shared" si="517"/>
        <v>0</v>
      </c>
      <c r="JM176" s="245" t="str">
        <f>IFERROR(VLOOKUP(MATCH(BN176,#REF!,0),#REF!,7),"")</f>
        <v/>
      </c>
      <c r="JN176" t="e">
        <f>HLOOKUP(LEFT(BO176,7),Discharge_Area,MATCH(JO176,LookUps!$B$130:$B$149,1)+2)</f>
        <v>#N/A</v>
      </c>
      <c r="JO176" t="str">
        <f t="shared" si="518"/>
        <v>- S</v>
      </c>
      <c r="JP176" t="e">
        <f>HLOOKUP(LEFT(BO176,7),Discharge_Area,MATCH(JO176,LookUps!$B$130:$B$149,1)+2)</f>
        <v>#N/A</v>
      </c>
      <c r="JQ176" t="e">
        <f t="shared" si="519"/>
        <v>#N/A</v>
      </c>
      <c r="JR176" t="e">
        <f t="shared" si="520"/>
        <v>#N/A</v>
      </c>
      <c r="JS176" t="e">
        <f t="shared" si="521"/>
        <v>#N/A</v>
      </c>
      <c r="JT176" s="532" t="str">
        <f t="shared" si="522"/>
        <v xml:space="preserve"> </v>
      </c>
      <c r="JU176" s="532" t="str">
        <f t="shared" si="523"/>
        <v xml:space="preserve"> </v>
      </c>
      <c r="JV176" s="533" t="str">
        <f t="shared" si="524"/>
        <v xml:space="preserve"> </v>
      </c>
      <c r="JW176" s="534">
        <f t="shared" si="525"/>
        <v>0</v>
      </c>
      <c r="JX176" s="535" t="str">
        <f t="shared" si="609"/>
        <v xml:space="preserve"> </v>
      </c>
      <c r="JY176" s="535" t="str">
        <f t="shared" si="610"/>
        <v xml:space="preserve"> </v>
      </c>
      <c r="JZ176" s="535" t="str">
        <f t="shared" si="611"/>
        <v xml:space="preserve"> </v>
      </c>
      <c r="KA176" s="536" t="str">
        <f t="shared" si="526"/>
        <v xml:space="preserve"> </v>
      </c>
      <c r="KB176" s="535" t="e">
        <f t="shared" si="612"/>
        <v>#VALUE!</v>
      </c>
      <c r="KC176" s="535" t="str">
        <f t="shared" si="527"/>
        <v/>
      </c>
      <c r="KD176" s="537" t="str">
        <f t="shared" si="613"/>
        <v xml:space="preserve"> </v>
      </c>
      <c r="KE176" s="537" t="str">
        <f t="shared" si="614"/>
        <v xml:space="preserve"> </v>
      </c>
      <c r="KF176" s="534">
        <f t="shared" si="528"/>
        <v>0</v>
      </c>
      <c r="KG176" s="535" t="str">
        <f t="shared" si="529"/>
        <v xml:space="preserve"> </v>
      </c>
      <c r="KH176" s="535" t="str">
        <f t="shared" si="530"/>
        <v xml:space="preserve"> </v>
      </c>
      <c r="KI176" s="535" t="str">
        <f t="shared" si="531"/>
        <v xml:space="preserve"> </v>
      </c>
      <c r="KJ176" s="536" t="str">
        <f t="shared" si="532"/>
        <v xml:space="preserve"> </v>
      </c>
      <c r="KK176" s="535" t="str">
        <f t="shared" si="615"/>
        <v xml:space="preserve"> </v>
      </c>
      <c r="KL176" s="535" t="str">
        <f t="shared" si="616"/>
        <v xml:space="preserve"> </v>
      </c>
      <c r="KM176" s="537" t="str">
        <f t="shared" si="533"/>
        <v xml:space="preserve"> </v>
      </c>
      <c r="KN176" s="537" t="str">
        <f t="shared" si="617"/>
        <v xml:space="preserve"> </v>
      </c>
      <c r="KP176">
        <f t="shared" si="534"/>
        <v>0</v>
      </c>
      <c r="LA176" t="e">
        <f t="shared" si="535"/>
        <v>#VALUE!</v>
      </c>
      <c r="LB176" t="e">
        <f t="shared" si="536"/>
        <v>#VALUE!</v>
      </c>
      <c r="LC176" t="e">
        <f t="shared" si="537"/>
        <v>#VALUE!</v>
      </c>
      <c r="LD176" t="e">
        <f t="shared" si="538"/>
        <v>#VALUE!</v>
      </c>
      <c r="LE176" t="e">
        <f t="shared" si="618"/>
        <v>#VALUE!</v>
      </c>
      <c r="LF176">
        <f t="shared" si="539"/>
        <v>0</v>
      </c>
      <c r="LG176" t="e">
        <f t="shared" si="619"/>
        <v>#VALUE!</v>
      </c>
      <c r="LH176" t="str">
        <f t="shared" si="540"/>
        <v xml:space="preserve"> </v>
      </c>
      <c r="LI176">
        <f t="shared" si="620"/>
        <v>1</v>
      </c>
    </row>
    <row r="177" spans="2:321" ht="15" customHeight="1">
      <c r="B177" s="311"/>
      <c r="C177" s="311"/>
      <c r="D177" s="312"/>
      <c r="E177" s="311"/>
      <c r="F177" s="312"/>
      <c r="G177" s="311"/>
      <c r="H177" s="311"/>
      <c r="I177" s="37"/>
      <c r="J177" s="311"/>
      <c r="K177" s="305" t="str">
        <f t="shared" si="541"/>
        <v/>
      </c>
      <c r="L177" s="313"/>
      <c r="M177" s="312"/>
      <c r="N177" s="311"/>
      <c r="O177" s="312"/>
      <c r="P177" s="311"/>
      <c r="Q177" s="305" t="str">
        <f t="shared" si="542"/>
        <v/>
      </c>
      <c r="R177" s="314"/>
      <c r="S177" s="450" t="str">
        <f t="shared" si="425"/>
        <v/>
      </c>
      <c r="T177" s="315"/>
      <c r="U177" s="315"/>
      <c r="W177" s="149" t="str">
        <f t="shared" si="426"/>
        <v xml:space="preserve"> </v>
      </c>
      <c r="X177" s="243" t="str">
        <f t="shared" si="427"/>
        <v xml:space="preserve"> </v>
      </c>
      <c r="Y177" s="150" t="str">
        <f t="shared" si="428"/>
        <v/>
      </c>
      <c r="Z177" s="149" t="str">
        <f t="shared" si="429"/>
        <v xml:space="preserve"> </v>
      </c>
      <c r="AA177" s="98" t="str">
        <f t="shared" si="430"/>
        <v xml:space="preserve"> </v>
      </c>
      <c r="AB177" s="153" t="str">
        <f t="shared" si="431"/>
        <v xml:space="preserve"> </v>
      </c>
      <c r="AC177" s="153" t="str">
        <f t="shared" si="432"/>
        <v xml:space="preserve"> </v>
      </c>
      <c r="AD177" s="148" t="str">
        <f t="shared" si="433"/>
        <v/>
      </c>
      <c r="AE177" s="149" t="str">
        <f t="shared" si="434"/>
        <v/>
      </c>
      <c r="AF177" s="151" t="str">
        <f t="shared" si="435"/>
        <v xml:space="preserve"> </v>
      </c>
      <c r="AG177" s="153" t="str">
        <f t="shared" si="436"/>
        <v xml:space="preserve"> </v>
      </c>
      <c r="AH177" s="98" t="str">
        <f t="shared" si="437"/>
        <v xml:space="preserve"> </v>
      </c>
      <c r="AI177" s="149" t="str">
        <f t="shared" si="438"/>
        <v xml:space="preserve"> </v>
      </c>
      <c r="AK177" s="144" t="str">
        <f t="shared" si="439"/>
        <v xml:space="preserve"> </v>
      </c>
      <c r="AL177" s="144"/>
      <c r="AM177" s="243" t="str">
        <f t="shared" si="440"/>
        <v xml:space="preserve"> </v>
      </c>
      <c r="AN177" s="149" t="str">
        <f t="shared" si="543"/>
        <v xml:space="preserve"> </v>
      </c>
      <c r="AO177" s="144" t="str">
        <f>IF(JB177&gt;0,IF(GI177=10,-R177*1.085*(Calculation!$F$6-Calculation!$F$13)*$S$14," "),"")</f>
        <v/>
      </c>
      <c r="AP177" s="144" t="str">
        <f t="shared" si="441"/>
        <v/>
      </c>
      <c r="AQ177" s="56" t="str">
        <f t="shared" si="442"/>
        <v/>
      </c>
      <c r="AR177" s="144" t="str">
        <f t="shared" si="443"/>
        <v/>
      </c>
      <c r="AS177" s="176" t="str">
        <f t="shared" si="444"/>
        <v/>
      </c>
      <c r="AT177" s="176" t="str">
        <f t="shared" si="544"/>
        <v xml:space="preserve"> </v>
      </c>
      <c r="AU177" s="176" t="str">
        <f t="shared" si="445"/>
        <v/>
      </c>
      <c r="AV177" s="177" t="str">
        <f t="shared" si="446"/>
        <v xml:space="preserve"> </v>
      </c>
      <c r="AW177" s="144" t="str">
        <f t="shared" si="447"/>
        <v xml:space="preserve"> </v>
      </c>
      <c r="AX177" s="144" t="str">
        <f t="shared" si="448"/>
        <v xml:space="preserve"> </v>
      </c>
      <c r="AY177" s="152" t="str">
        <f t="shared" si="449"/>
        <v xml:space="preserve"> </v>
      </c>
      <c r="AZ177" s="246" t="str">
        <f t="shared" si="450"/>
        <v/>
      </c>
      <c r="BA177" s="176" t="str">
        <f t="shared" si="451"/>
        <v xml:space="preserve"> </v>
      </c>
      <c r="BB177" s="176" t="str">
        <f t="shared" si="452"/>
        <v xml:space="preserve"> </v>
      </c>
      <c r="BC177" s="195"/>
      <c r="BD177" s="316"/>
      <c r="BE177" s="317"/>
      <c r="BF177" s="318"/>
      <c r="BG177" s="318"/>
      <c r="BH177" s="144" t="str">
        <f t="shared" si="621"/>
        <v xml:space="preserve"> </v>
      </c>
      <c r="BI177" s="176" t="str">
        <f t="shared" si="453"/>
        <v/>
      </c>
      <c r="BJ177" s="144" t="str">
        <f t="shared" si="622"/>
        <v/>
      </c>
      <c r="BK177" s="246" t="str">
        <f t="shared" si="454"/>
        <v/>
      </c>
      <c r="BL177" s="144" t="str">
        <f t="shared" si="623"/>
        <v/>
      </c>
      <c r="BM177" s="246" t="str">
        <f t="shared" si="455"/>
        <v/>
      </c>
      <c r="BN177" s="337" t="str">
        <f t="shared" si="545"/>
        <v/>
      </c>
      <c r="BO177" s="371" t="str">
        <f t="shared" si="546"/>
        <v/>
      </c>
      <c r="BP177" s="328" t="str">
        <f t="shared" si="624"/>
        <v xml:space="preserve"> </v>
      </c>
      <c r="BQ177" s="347" t="str">
        <f t="shared" si="547"/>
        <v xml:space="preserve"> </v>
      </c>
      <c r="BR177" s="353" t="str">
        <f t="shared" si="548"/>
        <v xml:space="preserve"> </v>
      </c>
      <c r="BS177" s="626" t="str">
        <f>IF(L177&gt;0,IF(Calculation!P177="M13",BR177*3.1416*(0.134^2)/(4*144),IF(Calculation!P177="M17",BR177*3.1416*(0.165^2)/(4*144),IF(Calculation!P177="M20",BR177*3.1416*(0.198^2)/(4*144),IF(Calculation!P177="M23",BR177*3.1416*(0.228^2)/(4*144),IF(Calculation!P177="M27",BR177*3.1416*(0.269^2)/(4*144),BR177*3.1416*(0.307^2)/(4*144))))))," ")</f>
        <v xml:space="preserve"> </v>
      </c>
      <c r="BT177" s="353" t="str">
        <f>IF(L177&gt;0,IF(BS177&gt;0,R177/Calculation!BS177,0)," ")</f>
        <v xml:space="preserve"> </v>
      </c>
      <c r="BU177" s="438" t="e">
        <f t="shared" ca="1" si="456"/>
        <v>#VALUE!</v>
      </c>
      <c r="BV177" s="449" t="e">
        <f ca="1">INDEX(INDIRECT(VLOOKUP(LEFT(BO177,7),CLU!$Z$3:$AH$18,2)),GN177,GR177)</f>
        <v>#N/A</v>
      </c>
      <c r="BW177" s="433" t="e">
        <f ca="1">INDEX(INDIRECT(VLOOKUP(LEFT(BO177,7),CLU!$Z$3:$AH$18,3)),GN177,GR177)</f>
        <v>#N/A</v>
      </c>
      <c r="BX177" s="433" t="e">
        <f ca="1">INDEX(INDIRECT(VLOOKUP(LEFT(BO177,7),CLU!$Z$3:$AH$18,4)),GN177,GR177)</f>
        <v>#N/A</v>
      </c>
      <c r="BY177" s="433" t="e">
        <f ca="1">INDEX(INDIRECT(VLOOKUP(LEFT(BO177,7),CLU!$Z$3:$AH$18,9)),((M177-2)*(6-COUNTBLANK(GT177:GY177)))+GJ177)</f>
        <v>#N/A</v>
      </c>
      <c r="BZ177" s="426" t="e">
        <f t="shared" ca="1" si="549"/>
        <v>#N/A</v>
      </c>
      <c r="CA177" s="424" t="e">
        <f t="shared" ca="1" si="550"/>
        <v>#N/A</v>
      </c>
      <c r="CB177" s="429" t="e">
        <f ca="1">INDEX(INDIRECT(VLOOKUP(LEFT(BO177,7),CLU!$Z$3:$AH$18,2)),GN177,GS177)</f>
        <v>#N/A</v>
      </c>
      <c r="CC177" s="342" t="e">
        <f ca="1">INDEX(INDIRECT(VLOOKUP(LEFT(BO177,7),CLU!$Z$3:$AH$18,3)),GN177,GS177)</f>
        <v>#N/A</v>
      </c>
      <c r="CD177" s="342" t="e">
        <f ca="1">INDEX(INDIRECT(VLOOKUP(LEFT(BO177,7),CLU!$Z$3:$AH$18,4)),GN177,GS177)</f>
        <v>#N/A</v>
      </c>
      <c r="CE177" s="426" t="e">
        <f t="shared" ca="1" si="551"/>
        <v>#N/A</v>
      </c>
      <c r="CF177" s="440">
        <f t="shared" si="552"/>
        <v>0</v>
      </c>
      <c r="CG177" s="431" t="e">
        <f ca="1">INDEX(INDIRECT(VLOOKUP(LEFT(BO177,7),CLU!$Z$3:$AH$18,2)),GQ177,GR177)</f>
        <v>#N/A</v>
      </c>
      <c r="CH177" s="431" t="e">
        <f ca="1">INDEX(INDIRECT(VLOOKUP(LEFT(BO177,7),CLU!$Z$3:$AH$18,3)),GQ177,GR177)</f>
        <v>#N/A</v>
      </c>
      <c r="CI177" s="431" t="e">
        <f ca="1">INDEX(INDIRECT(VLOOKUP(LEFT(BO177,7),CLU!$Z$3:$AH$18,4)),GQ177,GR177)</f>
        <v>#N/A</v>
      </c>
      <c r="CJ177" s="448" t="e">
        <f t="shared" ca="1" si="553"/>
        <v>#N/A</v>
      </c>
      <c r="CK177" s="431" t="e">
        <f t="shared" ca="1" si="554"/>
        <v>#N/A</v>
      </c>
      <c r="CL177" s="440" t="e">
        <f t="shared" ca="1" si="555"/>
        <v>#N/A</v>
      </c>
      <c r="CM177" s="431" t="e">
        <f ca="1">INDEX(INDIRECT(VLOOKUP(LEFT(BO177,7),CLU!$Z$3:$AH$18,2)),GQ177,GS177)</f>
        <v>#N/A</v>
      </c>
      <c r="CN177" s="431" t="e">
        <f ca="1">INDEX(INDIRECT(VLOOKUP(LEFT(BO177,7),CLU!$Z$3:$AH$18,3)),GQ177,GS177)</f>
        <v>#N/A</v>
      </c>
      <c r="CO177" s="431" t="e">
        <f ca="1">INDEX(INDIRECT(VLOOKUP(LEFT(BO177,7),CLU!$Z$3:$AH$18,4)),GQ177,GS177)</f>
        <v>#N/A</v>
      </c>
      <c r="CP177" s="431" t="e">
        <f t="shared" ca="1" si="556"/>
        <v>#N/A</v>
      </c>
      <c r="CQ177" s="440">
        <f t="shared" si="557"/>
        <v>0</v>
      </c>
      <c r="CR177" s="51" t="e">
        <f t="shared" ca="1" si="558"/>
        <v>#N/A</v>
      </c>
      <c r="CS177" s="439" t="e">
        <f t="shared" ca="1" si="559"/>
        <v>#VALUE!</v>
      </c>
      <c r="CT177" s="51" t="e">
        <f t="shared" ca="1" si="560"/>
        <v>#VALUE!</v>
      </c>
      <c r="CU177" s="10"/>
      <c r="CV177" s="51" t="e">
        <f t="shared" ca="1" si="457"/>
        <v>#VALUE!</v>
      </c>
      <c r="CW177" s="51">
        <f t="shared" si="561"/>
        <v>0</v>
      </c>
      <c r="CX177" s="439" t="e">
        <f t="shared" ca="1" si="562"/>
        <v>#VALUE!</v>
      </c>
      <c r="CY177" s="51" t="e">
        <f t="shared" ca="1" si="563"/>
        <v>#VALUE!</v>
      </c>
      <c r="CZ177" s="10"/>
      <c r="DA177" s="51" t="e">
        <f t="shared" ca="1" si="564"/>
        <v>#VALUE!</v>
      </c>
      <c r="DB177" s="347" t="e">
        <f ca="1">INDEX(INDIRECT(VLOOKUP(LEFT(BO177,7),CLU!$Z$3:$AI$18,10)),((M177-2)*(6-COUNTBLANK(GT177:GY177)))+GJ177)*LI177</f>
        <v>#N/A</v>
      </c>
      <c r="DC177" s="347" t="str">
        <f>IF(L177&gt;0,((R177/Worksheet!$I$15)/DB177)^2," ")</f>
        <v xml:space="preserve"> </v>
      </c>
      <c r="DD177" s="602" t="str">
        <f t="shared" si="565"/>
        <v xml:space="preserve"> </v>
      </c>
      <c r="DE177" s="347" t="str">
        <f t="shared" si="458"/>
        <v xml:space="preserve"> </v>
      </c>
      <c r="DF177" s="356" t="e">
        <f ca="1">INDEX(INDIRECT(VLOOKUP(LEFT(BO177,7),CLU!$Z$3:$AH$18,8)),((M177-2)*(6-COUNTBLANK(GT177:GY177)))+GJ177)</f>
        <v>#N/A</v>
      </c>
      <c r="DG177" s="347" t="str">
        <f t="shared" si="459"/>
        <v xml:space="preserve"> </v>
      </c>
      <c r="DH177" s="357" t="str">
        <f t="shared" si="460"/>
        <v xml:space="preserve"> </v>
      </c>
      <c r="DI177" s="355" t="str">
        <f t="shared" si="461"/>
        <v xml:space="preserve"> </v>
      </c>
      <c r="DJ177" s="245" t="e">
        <f ca="1">INDEX(INDIRECT(VLOOKUP(LEFT(BO177,7),CLU!$Z$3:$AH$18,5)),GL177,GK177)</f>
        <v>#N/A</v>
      </c>
      <c r="DK177" s="245" t="e">
        <f ca="1">INDEX(INDIRECT(VLOOKUP(LEFT(BO177,7),CLU!$Z$3:$AH$18,6)),GL177,GK177)</f>
        <v>#N/A</v>
      </c>
      <c r="DL177" s="355">
        <f>(Calculation!R177*0.69143*(Calculation!$BQ$8-Calculation!$F$8))*$S$14</f>
        <v>0</v>
      </c>
      <c r="DM177" s="359" t="e">
        <f t="shared" si="566"/>
        <v>#VALUE!</v>
      </c>
      <c r="DN177" s="611">
        <f t="shared" si="567"/>
        <v>0</v>
      </c>
      <c r="DO177" s="359">
        <f t="shared" si="568"/>
        <v>100</v>
      </c>
      <c r="DP177" s="359">
        <f t="shared" si="569"/>
        <v>0</v>
      </c>
      <c r="DQ177" s="360"/>
      <c r="DR177" s="245" t="e">
        <f ca="1">INDEX(INDIRECT(VLOOKUP(LEFT(BO177,7),CLU!$Z$3:$AH$18,7)),M177-1,1)</f>
        <v>#N/A</v>
      </c>
      <c r="DS177" s="245" t="e">
        <f ca="1">INDEX(INDIRECT(VLOOKUP(LEFT(BO177,7),CLU!$Z$3:$AH$18,7)),M177-1,2)</f>
        <v>#N/A</v>
      </c>
      <c r="DT177" s="245" t="e">
        <f ca="1">INDEX(INDIRECT(VLOOKUP(LEFT(BO177,7),CLU!$Z$3:$AH$18,7)),M177-1,3)</f>
        <v>#N/A</v>
      </c>
      <c r="DU177" s="245" t="e">
        <f ca="1">INDEX(INDIRECT(VLOOKUP(LEFT(BO177,7),CLU!$Z$3:$AH$18,7)),M177-1,4)</f>
        <v>#N/A</v>
      </c>
      <c r="DV177" s="361" t="e">
        <f ca="1">INDEX(INDIRECT(VLOOKUP(LEFT(BO177,7),CLU!$Z$3:$AH$18,7)),M177-1,4+LEFT(DZ177,1)*0.5)</f>
        <v>#N/A</v>
      </c>
      <c r="DW177" s="245" t="e">
        <f ca="1">INDEX(INDIRECT(VLOOKUP(LEFT(BO177,7),CLU!$Z$3:$AH$18,7)),M177-1,8)</f>
        <v>#N/A</v>
      </c>
      <c r="DX177" s="361" t="str">
        <f t="shared" si="462"/>
        <v xml:space="preserve"> </v>
      </c>
      <c r="DY177" s="361" t="str">
        <f t="shared" si="463"/>
        <v xml:space="preserve"> </v>
      </c>
      <c r="DZ177" s="361" t="str">
        <f t="shared" si="464"/>
        <v xml:space="preserve"> </v>
      </c>
      <c r="EA177" s="362" t="str">
        <f t="shared" si="465"/>
        <v xml:space="preserve"> </v>
      </c>
      <c r="EB177" s="624" t="str">
        <f t="shared" si="570"/>
        <v xml:space="preserve"> </v>
      </c>
      <c r="EC177" s="361" t="e">
        <f ca="1">INDEX(INDIRECT(VLOOKUP(LEFT(BO177,7),CLU!$Z$3:$AH$18,7)),M177-1,4+LEFT(DZ177,1)*0.5)</f>
        <v>#N/A</v>
      </c>
      <c r="ED177" s="362" t="str">
        <f t="shared" si="466"/>
        <v xml:space="preserve"> </v>
      </c>
      <c r="EE177" s="361" t="str">
        <f t="shared" si="467"/>
        <v xml:space="preserve"> </v>
      </c>
      <c r="EF177" s="362" t="str">
        <f>IF(L177&gt;0,IF(BR177&gt;0,IF(EE177="2P",IF(Calculation!DZ177="2P",IF(Calculation!DS177=13.75,IF(Calculation!DR177=13,Worksheet!$BD$43,IF(Calculation!DR177=37,Worksheet!$BD$44,Worksheet!$BD$45)),IF(Calculation!DS177=10,IF(Calculation!DR177=18,Worksheet!$BD$29,IF(Calculation!DR177=30,Worksheet!$BD$30,IF(Calculation!DR177=42,Worksheet!$BD$31,IF(Calculation!DR177=54,Worksheet!$BD$32,IF(Calculation!DR177=66,Worksheet!$BD$33,IF(Calculation!DR177=78,Worksheet!$BD$34,IF(Calculation!DR177=90,Worksheet!$BD$35,IF(Calculation!DR177=102,Worksheet!$BD$36,Worksheet!$BD$37)))))))),IF(Calculation!DS177=12.5,IF(Calculation!DR177=18,Worksheet!$BD$38,IF(Calculation!DR177=Worksheet!$BD$39,IF(Calculation!DR177=42,Worksheet!$BD$40,IF(Calculation!DR177=54,Worksheet!$BD$41,Worksheet!$BD$42)))),IF(Calculation!DR177=18,Worksheet!$BD$11,IF(Calculation!DR177=30,Worksheet!$BD$12,IF(Calculation!DR177=42,Worksheet!$BD$13,IF(Calculation!DR177=54,Worksheet!$BD$14,IF(Calculation!DR177=66,Worksheet!$BD$15,IF(Calculation!DR177=78,Worksheet!$BD$16,IF(Calculation!DR177=90,Worksheet!$BD$17,IF(Calculation!DR177=102,Worksheet!$BD$18,Worksheet!$BD$19))))))))))),IF(Calculation!DS177=13.75,IF(Calculation!DR177=13,Worksheet!$BD$78,IF(Calculation!DR177=37,Worksheet!$BD$79,Worksheet!$BD$80)),IF(Calculation!DS177=10,IF(Calculation!DR177=18,Worksheet!$BD$64,IF(Calculation!DR177=30,Worksheet!$BD$65,IF(Calculation!DR177=42,Worksheet!$BD$66,IF(Calculation!DR177=54,Worksheet!$BD$68,IF(Calculation!DR177=66,Worksheet!$BD$68,IF(Calculation!DR177=78,Worksheet!$BD$69,IF(Calculation!DR177=90,Worksheet!$BD$70,IF(Calculation!DR177=102,Worksheet!$BD$71,Worksheet!$BD$72)))))))),IF(Calculation!DS177=12.5,IF(Calculation!DR177=18,Worksheet!$BD$73,IF(Calculation!DR177=Worksheet!$BD$74,IF(Calculation!DR177=42,Worksheet!$BD$75,IF(Calculation!DR177=54,Worksheet!$BD$76,Worksheet!$BD$77)))),IF(Calculation!DR177=18,Worksheet!$BD$55,IF(Calculation!DR177=30,Worksheet!$BD$56,IF(Calculation!DR177=42,Worksheet!$BD$57,IF(Calculation!DR177=54,Worksheet!$BD$58,IF(Calculation!DR177=66,Worksheet!$BD$59,IF(Calculation!DR177=78,Worksheet!$BD$60,IF(Calculation!DR177=90,Worksheet!$BD$61,IF(Calculation!DR177=102,Worksheet!$BD$62,Worksheet!$BD$63)))))))))))),5),0)," ")</f>
        <v xml:space="preserve"> </v>
      </c>
      <c r="EG177" s="361" t="str">
        <f t="shared" si="468"/>
        <v xml:space="preserve"> </v>
      </c>
      <c r="EH177" s="361" t="e">
        <f ca="1">INDEX(INDIRECT(VLOOKUP(LEFT(BO177,7),CLU!$Z$3:$AH$18,7)),M177-1,3+LEFT(DZ177,1))</f>
        <v>#N/A</v>
      </c>
      <c r="EI177" s="362" t="str">
        <f t="shared" si="469"/>
        <v xml:space="preserve"> </v>
      </c>
      <c r="EJ177" s="363" t="str">
        <f t="shared" si="470"/>
        <v xml:space="preserve"> </v>
      </c>
      <c r="EK177" s="363" t="str">
        <f t="shared" si="471"/>
        <v xml:space="preserve"> </v>
      </c>
      <c r="EL177" s="363" t="str">
        <f t="shared" si="472"/>
        <v xml:space="preserve"> </v>
      </c>
      <c r="EM177" s="362" t="str">
        <f>IF(L177&gt;0,IF(BR177&gt;0,(Calculation!T177/ED177)^2,0)," ")</f>
        <v xml:space="preserve"> </v>
      </c>
      <c r="EN177" s="362" t="str">
        <f>IF(L177&gt;0,IF(O177="2 Pipe (Cooling)","N/A",IF(BR177&gt;0,(Calculation!U177/EI177)^2,0))," ")</f>
        <v xml:space="preserve"> </v>
      </c>
      <c r="EO177" s="361" t="str">
        <f t="shared" si="473"/>
        <v/>
      </c>
      <c r="EP177" s="361" t="str">
        <f t="shared" si="474"/>
        <v/>
      </c>
      <c r="EQ177" s="361" t="str">
        <f t="shared" si="475"/>
        <v/>
      </c>
      <c r="ER177" s="361" t="str">
        <f t="shared" si="476"/>
        <v/>
      </c>
      <c r="ES177" s="361" t="str">
        <f t="shared" si="477"/>
        <v/>
      </c>
      <c r="ET177" s="361" t="str">
        <f t="shared" si="478"/>
        <v/>
      </c>
      <c r="EU177" s="361" t="str">
        <f t="shared" si="479"/>
        <v/>
      </c>
      <c r="EV177" s="361" t="str">
        <f t="shared" si="480"/>
        <v/>
      </c>
      <c r="EW177" s="361" t="str">
        <f t="shared" si="481"/>
        <v/>
      </c>
      <c r="EX177" s="361" t="str">
        <f t="shared" si="571"/>
        <v>1 slot, 1 way</v>
      </c>
      <c r="EY177" s="361" t="str">
        <f t="shared" si="572"/>
        <v xml:space="preserve"> </v>
      </c>
      <c r="EZ177" s="361" t="str">
        <f t="shared" si="573"/>
        <v xml:space="preserve"> </v>
      </c>
      <c r="FA177" s="361" t="str">
        <f t="shared" si="574"/>
        <v xml:space="preserve"> </v>
      </c>
      <c r="FB177" s="361" t="str">
        <f t="shared" si="575"/>
        <v xml:space="preserve"> </v>
      </c>
      <c r="FC177" s="361"/>
      <c r="FD177" s="361" t="str">
        <f>IF(J177&gt;0,IF(Calculation!R177&lt;=70,4,IF(Calculation!R177&lt;=110,5,IF(Calculation!R177&lt;=160,6,IF(Calculation!R177&lt;=300,8,"10 EO")))),"")</f>
        <v/>
      </c>
      <c r="FE177" s="361" t="str">
        <f t="shared" si="576"/>
        <v/>
      </c>
      <c r="FF177" s="361" t="str">
        <f t="shared" si="577"/>
        <v/>
      </c>
      <c r="FG177" s="361" t="e">
        <f t="shared" si="482"/>
        <v>#N/A</v>
      </c>
      <c r="FH177" s="361">
        <f t="shared" si="483"/>
        <v>0</v>
      </c>
      <c r="FI177" s="361" t="e">
        <f t="shared" si="484"/>
        <v>#DIV/0!</v>
      </c>
      <c r="FJ177" s="361"/>
      <c r="FK177" s="356" t="e">
        <f t="shared" si="485"/>
        <v>#VALUE!</v>
      </c>
      <c r="FL177" s="361"/>
      <c r="FM177" s="361"/>
      <c r="FN177" s="362" t="str">
        <f t="shared" si="578"/>
        <v xml:space="preserve"> </v>
      </c>
      <c r="FO177" s="362" t="str">
        <f t="shared" si="579"/>
        <v xml:space="preserve"> </v>
      </c>
      <c r="FP177" s="362">
        <f t="shared" si="580"/>
        <v>0</v>
      </c>
      <c r="FQ177" s="361">
        <f t="shared" si="486"/>
        <v>0</v>
      </c>
      <c r="FR177" s="362" t="str">
        <f>IF(L177&gt;0,IF(J177="CBAL2",Worksheet!$P$67,IF(J177="CBE2-24",Worksheet!$Q$67,IF(J177="CBAM",Worksheet!$R$67,IF(J177="CBLV",Worksheet!$S$67,IF(J177="CBAB",Worksheet!$U$67,IF(J177="CBAW",Worksheet!$X$67,IF(J177="CBE2-12",Worksheet!$Y$67,IF(J177="CBAL2",Worksheet!$Z$67,"N/A"))))))))," ")</f>
        <v xml:space="preserve"> </v>
      </c>
      <c r="FS177" s="362" t="str">
        <f>IF(L177&gt;0,IF(J177="CBAL2",Worksheet!$P$68,IF(J177="CBE2-24",Worksheet!$Q$68,IF(J177="CBAM",Worksheet!$R$68,IF(J177="CBLV",Worksheet!$S$68,IF(J177="CBAB",Worksheet!$U$68,IF(J177="CBAW",Worksheet!$X$68,IF(J177="CBE2-12",Worksheet!$Y$68,IF(J177="CBAL2",Worksheet!$Z$68,"N/A"))))))))," ")</f>
        <v xml:space="preserve"> </v>
      </c>
      <c r="FT177" s="362" t="str">
        <f>IF(L177&gt;0,IF(J177="CBAL2",Worksheet!$P$69,IF(J177="CBE2-24",Worksheet!$Q$69,IF(J177="CBAM",Worksheet!$R$69,IF(J177="CBLV",Worksheet!$S$69,IF(J177="CBAB",Worksheet!$U$69,IF(J177="CBAW",Worksheet!$X$69,IF(J177="CBE2-12",Worksheet!$Y$69,IF(J177="CBAL2",Worksheet!$Z$69,"N/A"))))))))," ")</f>
        <v xml:space="preserve"> </v>
      </c>
      <c r="FU177" s="361" t="str">
        <f t="shared" si="581"/>
        <v xml:space="preserve"> </v>
      </c>
      <c r="FV177" s="362" t="str">
        <f t="shared" si="582"/>
        <v xml:space="preserve"> </v>
      </c>
      <c r="FW177" s="362" t="str">
        <f t="shared" si="583"/>
        <v xml:space="preserve"> </v>
      </c>
      <c r="FX177" s="362" t="str">
        <f t="shared" si="584"/>
        <v xml:space="preserve"> </v>
      </c>
      <c r="FY177" s="355" t="str">
        <f t="shared" si="585"/>
        <v xml:space="preserve"> </v>
      </c>
      <c r="FZ177" s="361" t="str">
        <f t="shared" si="586"/>
        <v xml:space="preserve"> </v>
      </c>
      <c r="GA177" s="347" t="str">
        <f t="shared" si="587"/>
        <v xml:space="preserve"> </v>
      </c>
      <c r="GB177" s="355" t="str">
        <f t="shared" si="588"/>
        <v xml:space="preserve"> </v>
      </c>
      <c r="GC177" s="328" t="str">
        <f t="shared" si="589"/>
        <v xml:space="preserve"> </v>
      </c>
      <c r="GD177" s="361" t="str">
        <f t="shared" si="590"/>
        <v xml:space="preserve"> </v>
      </c>
      <c r="GE177" s="347" t="str">
        <f t="shared" si="591"/>
        <v xml:space="preserve"> </v>
      </c>
      <c r="GF177" s="361" t="str">
        <f t="shared" si="592"/>
        <v xml:space="preserve"> </v>
      </c>
      <c r="GG177" s="347" t="str">
        <f t="shared" si="593"/>
        <v xml:space="preserve"> </v>
      </c>
      <c r="GH177" s="364">
        <f t="shared" si="487"/>
        <v>0</v>
      </c>
      <c r="GI177" s="362">
        <f t="shared" si="594"/>
        <v>2</v>
      </c>
      <c r="GJ177" s="433" t="e">
        <f>IF(6-COUNTBLANK(GT177:GY177)=4,MATCH(MID(BO177,9,3),CLU!$H$16:$K$16),MATCH(MID(BO177,9,3),CLU!$H$13:$M$13))</f>
        <v>#N/A</v>
      </c>
      <c r="GK177" s="433" t="e">
        <f>HLOOKUP(VALUE(BP177),CLU!$H$9:$M$10,2)</f>
        <v>#VALUE!</v>
      </c>
      <c r="GL177" s="433" t="e">
        <f ca="1">MATCH(BU177,CLU!$H$2:$V$2,1)</f>
        <v>#VALUE!</v>
      </c>
      <c r="GM177" s="433" t="e">
        <f t="shared" ca="1" si="595"/>
        <v>#VALUE!</v>
      </c>
      <c r="GN177" s="433" t="e">
        <f t="shared" ca="1" si="596"/>
        <v>#VALUE!</v>
      </c>
      <c r="GO177" s="433" t="e">
        <f t="shared" ca="1" si="597"/>
        <v>#VALUE!</v>
      </c>
      <c r="GP177" s="433" t="e">
        <f t="shared" ca="1" si="598"/>
        <v>#VALUE!</v>
      </c>
      <c r="GQ177" s="433" t="e">
        <f t="shared" ca="1" si="599"/>
        <v>#VALUE!</v>
      </c>
      <c r="GR177" s="433" t="e">
        <f ca="1">MATCH(T177,INDIRECT(VLOOKUP(CONCATENATE(LEFT(BO177,7),"-",MID(BO177,13,1)),CLU!$P$3:$Q$16,2)),1)</f>
        <v>#N/A</v>
      </c>
      <c r="GS177" s="433" t="e">
        <f ca="1">MATCH(U177,INDIRECT(VLOOKUP(CONCATENATE(LEFT(BO177,7),"-",MID(BO177,13,1)),CLU!$P$3:$Q$16,2)),1)</f>
        <v>#N/A</v>
      </c>
      <c r="GT177" s="347" t="s">
        <v>512</v>
      </c>
      <c r="GU177" s="97" t="s">
        <v>513</v>
      </c>
      <c r="GV177" s="97" t="str">
        <f t="shared" si="600"/>
        <v>M23</v>
      </c>
      <c r="GW177" s="97" t="str">
        <f t="shared" si="601"/>
        <v>M31</v>
      </c>
      <c r="GX177" s="97" t="str">
        <f t="shared" si="602"/>
        <v/>
      </c>
      <c r="GY177" s="97" t="str">
        <f t="shared" si="603"/>
        <v/>
      </c>
      <c r="GZ177" s="481"/>
      <c r="HA177" s="288"/>
      <c r="HB177" s="240"/>
      <c r="HC177" s="240"/>
      <c r="HD177" s="240"/>
      <c r="HE177" s="240"/>
      <c r="HF177" s="240"/>
      <c r="HG177" s="240"/>
      <c r="HH177" s="240"/>
      <c r="HI177" s="240"/>
      <c r="HJ177" s="240"/>
      <c r="HK177" s="240"/>
      <c r="HL177" s="240"/>
      <c r="HM177" s="240"/>
      <c r="HN177" s="240"/>
      <c r="HO177" s="240"/>
      <c r="HP177" s="240"/>
      <c r="HQ177" s="240"/>
      <c r="HR177" s="240"/>
      <c r="HS177" s="240"/>
      <c r="HT177" s="240"/>
      <c r="HU177" s="240"/>
      <c r="HV177" s="245"/>
      <c r="HW177" s="245" t="b">
        <v>1</v>
      </c>
      <c r="HX177" s="245" t="str">
        <f t="shared" si="488"/>
        <v/>
      </c>
      <c r="HY177" s="245" t="e">
        <f t="shared" si="489"/>
        <v>#DIV/0!</v>
      </c>
      <c r="HZ177" s="245" t="e">
        <f t="shared" si="490"/>
        <v>#DIV/0!</v>
      </c>
      <c r="IA177" s="245">
        <f t="shared" si="491"/>
        <v>0</v>
      </c>
      <c r="IB177" s="245"/>
      <c r="IC177" t="b">
        <f t="shared" si="492"/>
        <v>1</v>
      </c>
      <c r="ID177" s="245" t="b">
        <f t="shared" si="493"/>
        <v>1</v>
      </c>
      <c r="IE177" s="245" t="b">
        <f t="shared" si="494"/>
        <v>1</v>
      </c>
      <c r="IF177" s="245" t="b">
        <f t="shared" si="495"/>
        <v>0</v>
      </c>
      <c r="IG177" s="245" t="b">
        <f t="shared" si="496"/>
        <v>1</v>
      </c>
      <c r="IH177" s="245" t="b">
        <f t="shared" si="497"/>
        <v>1</v>
      </c>
      <c r="II177" s="245">
        <f t="shared" si="604"/>
        <v>0</v>
      </c>
      <c r="IJ177" s="245" t="e">
        <f t="shared" si="498"/>
        <v>#VALUE!</v>
      </c>
      <c r="IK177" s="245" t="e">
        <f t="shared" si="499"/>
        <v>#VALUE!</v>
      </c>
      <c r="IL177" s="245"/>
      <c r="IM177" s="245" t="e">
        <f t="shared" si="605"/>
        <v>#N/A</v>
      </c>
      <c r="IN177" s="245" t="e">
        <f t="shared" si="606"/>
        <v>#N/A</v>
      </c>
      <c r="IO177" s="245"/>
      <c r="IP177" s="245"/>
      <c r="IQ177" s="245" t="str">
        <f t="shared" si="500"/>
        <v/>
      </c>
      <c r="IR177" s="245" t="str">
        <f>IF(J177="","",VLOOKUP(J177,Worksheet!$R$4:$T$14,2))</f>
        <v/>
      </c>
      <c r="IS177" s="245"/>
      <c r="IT177" s="245">
        <f t="shared" si="501"/>
        <v>0</v>
      </c>
      <c r="IU177" s="245">
        <f t="shared" si="502"/>
        <v>0</v>
      </c>
      <c r="IV177" s="245">
        <f t="shared" si="503"/>
        <v>0</v>
      </c>
      <c r="IW177" s="245">
        <f t="shared" si="504"/>
        <v>0</v>
      </c>
      <c r="IX177" s="245">
        <f t="shared" si="607"/>
        <v>0</v>
      </c>
      <c r="IY177" s="245">
        <f t="shared" si="505"/>
        <v>0</v>
      </c>
      <c r="IZ177" s="245">
        <f t="shared" si="506"/>
        <v>0</v>
      </c>
      <c r="JA177">
        <f t="shared" si="507"/>
        <v>0</v>
      </c>
      <c r="JB177">
        <f t="shared" si="608"/>
        <v>0</v>
      </c>
      <c r="JC177">
        <f t="shared" si="508"/>
        <v>0</v>
      </c>
      <c r="JD177">
        <f t="shared" si="509"/>
        <v>0</v>
      </c>
      <c r="JE177">
        <f t="shared" si="510"/>
        <v>0</v>
      </c>
      <c r="JF177">
        <f t="shared" si="511"/>
        <v>0</v>
      </c>
      <c r="JG177">
        <f t="shared" si="512"/>
        <v>0</v>
      </c>
      <c r="JH177">
        <f t="shared" si="513"/>
        <v>0</v>
      </c>
      <c r="JI177">
        <f t="shared" si="514"/>
        <v>0</v>
      </c>
      <c r="JJ177" s="447">
        <f t="shared" si="515"/>
        <v>0</v>
      </c>
      <c r="JK177" s="447">
        <f t="shared" si="516"/>
        <v>0</v>
      </c>
      <c r="JL177">
        <f t="shared" si="517"/>
        <v>0</v>
      </c>
      <c r="JM177" s="245" t="str">
        <f>IFERROR(VLOOKUP(MATCH(BN177,#REF!,0),#REF!,7),"")</f>
        <v/>
      </c>
      <c r="JN177" t="e">
        <f>HLOOKUP(LEFT(BO177,7),Discharge_Area,MATCH(JO177,LookUps!$B$130:$B$149,1)+2)</f>
        <v>#N/A</v>
      </c>
      <c r="JO177" t="str">
        <f t="shared" si="518"/>
        <v>- S</v>
      </c>
      <c r="JP177" t="e">
        <f>HLOOKUP(LEFT(BO177,7),Discharge_Area,MATCH(JO177,LookUps!$B$130:$B$149,1)+2)</f>
        <v>#N/A</v>
      </c>
      <c r="JQ177" t="e">
        <f t="shared" si="519"/>
        <v>#N/A</v>
      </c>
      <c r="JR177" t="e">
        <f t="shared" si="520"/>
        <v>#N/A</v>
      </c>
      <c r="JS177" t="e">
        <f t="shared" si="521"/>
        <v>#N/A</v>
      </c>
      <c r="JT177" s="532" t="str">
        <f t="shared" si="522"/>
        <v xml:space="preserve"> </v>
      </c>
      <c r="JU177" s="532" t="str">
        <f t="shared" si="523"/>
        <v xml:space="preserve"> </v>
      </c>
      <c r="JV177" s="533" t="str">
        <f t="shared" si="524"/>
        <v xml:space="preserve"> </v>
      </c>
      <c r="JW177" s="534">
        <f t="shared" si="525"/>
        <v>0</v>
      </c>
      <c r="JX177" s="535" t="str">
        <f t="shared" si="609"/>
        <v xml:space="preserve"> </v>
      </c>
      <c r="JY177" s="535" t="str">
        <f t="shared" si="610"/>
        <v xml:space="preserve"> </v>
      </c>
      <c r="JZ177" s="535" t="str">
        <f t="shared" si="611"/>
        <v xml:space="preserve"> </v>
      </c>
      <c r="KA177" s="536" t="str">
        <f t="shared" si="526"/>
        <v xml:space="preserve"> </v>
      </c>
      <c r="KB177" s="535" t="e">
        <f t="shared" si="612"/>
        <v>#VALUE!</v>
      </c>
      <c r="KC177" s="535" t="str">
        <f t="shared" si="527"/>
        <v/>
      </c>
      <c r="KD177" s="537" t="str">
        <f t="shared" si="613"/>
        <v xml:space="preserve"> </v>
      </c>
      <c r="KE177" s="537" t="str">
        <f t="shared" si="614"/>
        <v xml:space="preserve"> </v>
      </c>
      <c r="KF177" s="534">
        <f t="shared" si="528"/>
        <v>0</v>
      </c>
      <c r="KG177" s="535" t="str">
        <f t="shared" si="529"/>
        <v xml:space="preserve"> </v>
      </c>
      <c r="KH177" s="535" t="str">
        <f t="shared" si="530"/>
        <v xml:space="preserve"> </v>
      </c>
      <c r="KI177" s="535" t="str">
        <f t="shared" si="531"/>
        <v xml:space="preserve"> </v>
      </c>
      <c r="KJ177" s="536" t="str">
        <f t="shared" si="532"/>
        <v xml:space="preserve"> </v>
      </c>
      <c r="KK177" s="535" t="str">
        <f t="shared" si="615"/>
        <v xml:space="preserve"> </v>
      </c>
      <c r="KL177" s="535" t="str">
        <f t="shared" si="616"/>
        <v xml:space="preserve"> </v>
      </c>
      <c r="KM177" s="537" t="str">
        <f t="shared" si="533"/>
        <v xml:space="preserve"> </v>
      </c>
      <c r="KN177" s="537" t="str">
        <f t="shared" si="617"/>
        <v xml:space="preserve"> </v>
      </c>
      <c r="KP177">
        <f t="shared" si="534"/>
        <v>0</v>
      </c>
      <c r="LA177" t="e">
        <f t="shared" si="535"/>
        <v>#VALUE!</v>
      </c>
      <c r="LB177" t="e">
        <f t="shared" si="536"/>
        <v>#VALUE!</v>
      </c>
      <c r="LC177" t="e">
        <f t="shared" si="537"/>
        <v>#VALUE!</v>
      </c>
      <c r="LD177" t="e">
        <f t="shared" si="538"/>
        <v>#VALUE!</v>
      </c>
      <c r="LE177" t="e">
        <f t="shared" si="618"/>
        <v>#VALUE!</v>
      </c>
      <c r="LF177">
        <f t="shared" si="539"/>
        <v>0</v>
      </c>
      <c r="LG177" t="e">
        <f t="shared" si="619"/>
        <v>#VALUE!</v>
      </c>
      <c r="LH177" t="str">
        <f t="shared" si="540"/>
        <v xml:space="preserve"> </v>
      </c>
      <c r="LI177">
        <f t="shared" si="620"/>
        <v>1</v>
      </c>
    </row>
    <row r="178" spans="2:321" ht="15" customHeight="1">
      <c r="B178" s="311"/>
      <c r="C178" s="311"/>
      <c r="D178" s="312"/>
      <c r="E178" s="311"/>
      <c r="F178" s="312"/>
      <c r="G178" s="311"/>
      <c r="H178" s="311"/>
      <c r="I178" s="37"/>
      <c r="J178" s="311"/>
      <c r="K178" s="305" t="str">
        <f t="shared" si="541"/>
        <v/>
      </c>
      <c r="L178" s="313"/>
      <c r="M178" s="312"/>
      <c r="N178" s="311"/>
      <c r="O178" s="312"/>
      <c r="P178" s="311"/>
      <c r="Q178" s="305" t="str">
        <f t="shared" si="542"/>
        <v/>
      </c>
      <c r="R178" s="314"/>
      <c r="S178" s="450" t="str">
        <f t="shared" si="425"/>
        <v/>
      </c>
      <c r="T178" s="315"/>
      <c r="U178" s="315"/>
      <c r="W178" s="149" t="str">
        <f t="shared" si="426"/>
        <v xml:space="preserve"> </v>
      </c>
      <c r="X178" s="243" t="str">
        <f t="shared" si="427"/>
        <v xml:space="preserve"> </v>
      </c>
      <c r="Y178" s="150" t="str">
        <f t="shared" si="428"/>
        <v/>
      </c>
      <c r="Z178" s="149" t="str">
        <f t="shared" si="429"/>
        <v xml:space="preserve"> </v>
      </c>
      <c r="AA178" s="98" t="str">
        <f t="shared" si="430"/>
        <v xml:space="preserve"> </v>
      </c>
      <c r="AB178" s="153" t="str">
        <f t="shared" si="431"/>
        <v xml:space="preserve"> </v>
      </c>
      <c r="AC178" s="153" t="str">
        <f t="shared" si="432"/>
        <v xml:space="preserve"> </v>
      </c>
      <c r="AD178" s="148" t="str">
        <f t="shared" si="433"/>
        <v/>
      </c>
      <c r="AE178" s="149" t="str">
        <f t="shared" si="434"/>
        <v/>
      </c>
      <c r="AF178" s="151" t="str">
        <f t="shared" si="435"/>
        <v xml:space="preserve"> </v>
      </c>
      <c r="AG178" s="153" t="str">
        <f t="shared" si="436"/>
        <v xml:space="preserve"> </v>
      </c>
      <c r="AH178" s="98" t="str">
        <f t="shared" si="437"/>
        <v xml:space="preserve"> </v>
      </c>
      <c r="AI178" s="149" t="str">
        <f t="shared" si="438"/>
        <v xml:space="preserve"> </v>
      </c>
      <c r="AK178" s="144" t="str">
        <f t="shared" si="439"/>
        <v xml:space="preserve"> </v>
      </c>
      <c r="AL178" s="144"/>
      <c r="AM178" s="243" t="str">
        <f t="shared" si="440"/>
        <v xml:space="preserve"> </v>
      </c>
      <c r="AN178" s="149" t="str">
        <f t="shared" si="543"/>
        <v xml:space="preserve"> </v>
      </c>
      <c r="AO178" s="144" t="str">
        <f>IF(JB178&gt;0,IF(GI178=10,-R178*1.085*(Calculation!$F$6-Calculation!$F$13)*$S$14," "),"")</f>
        <v/>
      </c>
      <c r="AP178" s="144" t="str">
        <f t="shared" si="441"/>
        <v/>
      </c>
      <c r="AQ178" s="56" t="str">
        <f t="shared" si="442"/>
        <v/>
      </c>
      <c r="AR178" s="144" t="str">
        <f t="shared" si="443"/>
        <v/>
      </c>
      <c r="AS178" s="176" t="str">
        <f t="shared" si="444"/>
        <v/>
      </c>
      <c r="AT178" s="176" t="str">
        <f t="shared" si="544"/>
        <v xml:space="preserve"> </v>
      </c>
      <c r="AU178" s="176" t="str">
        <f t="shared" si="445"/>
        <v/>
      </c>
      <c r="AV178" s="177" t="str">
        <f t="shared" si="446"/>
        <v xml:space="preserve"> </v>
      </c>
      <c r="AW178" s="144" t="str">
        <f t="shared" si="447"/>
        <v xml:space="preserve"> </v>
      </c>
      <c r="AX178" s="144" t="str">
        <f t="shared" si="448"/>
        <v xml:space="preserve"> </v>
      </c>
      <c r="AY178" s="152" t="str">
        <f t="shared" si="449"/>
        <v xml:space="preserve"> </v>
      </c>
      <c r="AZ178" s="246" t="str">
        <f t="shared" si="450"/>
        <v/>
      </c>
      <c r="BA178" s="176" t="str">
        <f t="shared" si="451"/>
        <v xml:space="preserve"> </v>
      </c>
      <c r="BB178" s="176" t="str">
        <f t="shared" si="452"/>
        <v xml:space="preserve"> </v>
      </c>
      <c r="BC178" s="195"/>
      <c r="BD178" s="316"/>
      <c r="BE178" s="317"/>
      <c r="BF178" s="318"/>
      <c r="BG178" s="318"/>
      <c r="BH178" s="144" t="str">
        <f t="shared" si="621"/>
        <v xml:space="preserve"> </v>
      </c>
      <c r="BI178" s="176" t="str">
        <f t="shared" si="453"/>
        <v/>
      </c>
      <c r="BJ178" s="144" t="str">
        <f t="shared" si="622"/>
        <v/>
      </c>
      <c r="BK178" s="246" t="str">
        <f t="shared" si="454"/>
        <v/>
      </c>
      <c r="BL178" s="144" t="str">
        <f t="shared" si="623"/>
        <v/>
      </c>
      <c r="BM178" s="246" t="str">
        <f t="shared" si="455"/>
        <v/>
      </c>
      <c r="BN178" s="337" t="str">
        <f t="shared" si="545"/>
        <v/>
      </c>
      <c r="BO178" s="371" t="str">
        <f t="shared" si="546"/>
        <v/>
      </c>
      <c r="BP178" s="328" t="str">
        <f t="shared" si="624"/>
        <v xml:space="preserve"> </v>
      </c>
      <c r="BQ178" s="347" t="str">
        <f t="shared" si="547"/>
        <v xml:space="preserve"> </v>
      </c>
      <c r="BR178" s="353" t="str">
        <f t="shared" si="548"/>
        <v xml:space="preserve"> </v>
      </c>
      <c r="BS178" s="626" t="str">
        <f>IF(L178&gt;0,IF(Calculation!P178="M13",BR178*3.1416*(0.134^2)/(4*144),IF(Calculation!P178="M17",BR178*3.1416*(0.165^2)/(4*144),IF(Calculation!P178="M20",BR178*3.1416*(0.198^2)/(4*144),IF(Calculation!P178="M23",BR178*3.1416*(0.228^2)/(4*144),IF(Calculation!P178="M27",BR178*3.1416*(0.269^2)/(4*144),BR178*3.1416*(0.307^2)/(4*144))))))," ")</f>
        <v xml:space="preserve"> </v>
      </c>
      <c r="BT178" s="353" t="str">
        <f>IF(L178&gt;0,IF(BS178&gt;0,R178/Calculation!BS178,0)," ")</f>
        <v xml:space="preserve"> </v>
      </c>
      <c r="BU178" s="438" t="e">
        <f t="shared" ca="1" si="456"/>
        <v>#VALUE!</v>
      </c>
      <c r="BV178" s="449" t="e">
        <f ca="1">INDEX(INDIRECT(VLOOKUP(LEFT(BO178,7),CLU!$Z$3:$AH$18,2)),GN178,GR178)</f>
        <v>#N/A</v>
      </c>
      <c r="BW178" s="433" t="e">
        <f ca="1">INDEX(INDIRECT(VLOOKUP(LEFT(BO178,7),CLU!$Z$3:$AH$18,3)),GN178,GR178)</f>
        <v>#N/A</v>
      </c>
      <c r="BX178" s="433" t="e">
        <f ca="1">INDEX(INDIRECT(VLOOKUP(LEFT(BO178,7),CLU!$Z$3:$AH$18,4)),GN178,GR178)</f>
        <v>#N/A</v>
      </c>
      <c r="BY178" s="433" t="e">
        <f ca="1">INDEX(INDIRECT(VLOOKUP(LEFT(BO178,7),CLU!$Z$3:$AH$18,9)),((M178-2)*(6-COUNTBLANK(GT178:GY178)))+GJ178)</f>
        <v>#N/A</v>
      </c>
      <c r="BZ178" s="426" t="e">
        <f t="shared" ca="1" si="549"/>
        <v>#N/A</v>
      </c>
      <c r="CA178" s="424" t="e">
        <f t="shared" ca="1" si="550"/>
        <v>#N/A</v>
      </c>
      <c r="CB178" s="429" t="e">
        <f ca="1">INDEX(INDIRECT(VLOOKUP(LEFT(BO178,7),CLU!$Z$3:$AH$18,2)),GN178,GS178)</f>
        <v>#N/A</v>
      </c>
      <c r="CC178" s="342" t="e">
        <f ca="1">INDEX(INDIRECT(VLOOKUP(LEFT(BO178,7),CLU!$Z$3:$AH$18,3)),GN178,GS178)</f>
        <v>#N/A</v>
      </c>
      <c r="CD178" s="342" t="e">
        <f ca="1">INDEX(INDIRECT(VLOOKUP(LEFT(BO178,7),CLU!$Z$3:$AH$18,4)),GN178,GS178)</f>
        <v>#N/A</v>
      </c>
      <c r="CE178" s="426" t="e">
        <f t="shared" ca="1" si="551"/>
        <v>#N/A</v>
      </c>
      <c r="CF178" s="440">
        <f t="shared" si="552"/>
        <v>0</v>
      </c>
      <c r="CG178" s="431" t="e">
        <f ca="1">INDEX(INDIRECT(VLOOKUP(LEFT(BO178,7),CLU!$Z$3:$AH$18,2)),GQ178,GR178)</f>
        <v>#N/A</v>
      </c>
      <c r="CH178" s="431" t="e">
        <f ca="1">INDEX(INDIRECT(VLOOKUP(LEFT(BO178,7),CLU!$Z$3:$AH$18,3)),GQ178,GR178)</f>
        <v>#N/A</v>
      </c>
      <c r="CI178" s="431" t="e">
        <f ca="1">INDEX(INDIRECT(VLOOKUP(LEFT(BO178,7),CLU!$Z$3:$AH$18,4)),GQ178,GR178)</f>
        <v>#N/A</v>
      </c>
      <c r="CJ178" s="448" t="e">
        <f t="shared" ca="1" si="553"/>
        <v>#N/A</v>
      </c>
      <c r="CK178" s="431" t="e">
        <f t="shared" ca="1" si="554"/>
        <v>#N/A</v>
      </c>
      <c r="CL178" s="440" t="e">
        <f t="shared" ca="1" si="555"/>
        <v>#N/A</v>
      </c>
      <c r="CM178" s="431" t="e">
        <f ca="1">INDEX(INDIRECT(VLOOKUP(LEFT(BO178,7),CLU!$Z$3:$AH$18,2)),GQ178,GS178)</f>
        <v>#N/A</v>
      </c>
      <c r="CN178" s="431" t="e">
        <f ca="1">INDEX(INDIRECT(VLOOKUP(LEFT(BO178,7),CLU!$Z$3:$AH$18,3)),GQ178,GS178)</f>
        <v>#N/A</v>
      </c>
      <c r="CO178" s="431" t="e">
        <f ca="1">INDEX(INDIRECT(VLOOKUP(LEFT(BO178,7),CLU!$Z$3:$AH$18,4)),GQ178,GS178)</f>
        <v>#N/A</v>
      </c>
      <c r="CP178" s="431" t="e">
        <f t="shared" ca="1" si="556"/>
        <v>#N/A</v>
      </c>
      <c r="CQ178" s="440">
        <f t="shared" si="557"/>
        <v>0</v>
      </c>
      <c r="CR178" s="51" t="e">
        <f t="shared" ca="1" si="558"/>
        <v>#N/A</v>
      </c>
      <c r="CS178" s="439" t="e">
        <f t="shared" ca="1" si="559"/>
        <v>#VALUE!</v>
      </c>
      <c r="CT178" s="51" t="e">
        <f t="shared" ca="1" si="560"/>
        <v>#VALUE!</v>
      </c>
      <c r="CU178" s="10"/>
      <c r="CV178" s="51" t="e">
        <f t="shared" ca="1" si="457"/>
        <v>#VALUE!</v>
      </c>
      <c r="CW178" s="51">
        <f t="shared" si="561"/>
        <v>0</v>
      </c>
      <c r="CX178" s="439" t="e">
        <f t="shared" ca="1" si="562"/>
        <v>#VALUE!</v>
      </c>
      <c r="CY178" s="51" t="e">
        <f t="shared" ca="1" si="563"/>
        <v>#VALUE!</v>
      </c>
      <c r="CZ178" s="10"/>
      <c r="DA178" s="51" t="e">
        <f t="shared" ca="1" si="564"/>
        <v>#VALUE!</v>
      </c>
      <c r="DB178" s="347" t="e">
        <f ca="1">INDEX(INDIRECT(VLOOKUP(LEFT(BO178,7),CLU!$Z$3:$AI$18,10)),((M178-2)*(6-COUNTBLANK(GT178:GY178)))+GJ178)*LI178</f>
        <v>#N/A</v>
      </c>
      <c r="DC178" s="347" t="str">
        <f>IF(L178&gt;0,((R178/Worksheet!$I$15)/DB178)^2," ")</f>
        <v xml:space="preserve"> </v>
      </c>
      <c r="DD178" s="602" t="str">
        <f t="shared" si="565"/>
        <v xml:space="preserve"> </v>
      </c>
      <c r="DE178" s="347" t="str">
        <f t="shared" si="458"/>
        <v xml:space="preserve"> </v>
      </c>
      <c r="DF178" s="356" t="e">
        <f ca="1">INDEX(INDIRECT(VLOOKUP(LEFT(BO178,7),CLU!$Z$3:$AH$18,8)),((M178-2)*(6-COUNTBLANK(GT178:GY178)))+GJ178)</f>
        <v>#N/A</v>
      </c>
      <c r="DG178" s="347" t="str">
        <f t="shared" si="459"/>
        <v xml:space="preserve"> </v>
      </c>
      <c r="DH178" s="357" t="str">
        <f t="shared" si="460"/>
        <v xml:space="preserve"> </v>
      </c>
      <c r="DI178" s="355" t="str">
        <f t="shared" si="461"/>
        <v xml:space="preserve"> </v>
      </c>
      <c r="DJ178" s="245" t="e">
        <f ca="1">INDEX(INDIRECT(VLOOKUP(LEFT(BO178,7),CLU!$Z$3:$AH$18,5)),GL178,GK178)</f>
        <v>#N/A</v>
      </c>
      <c r="DK178" s="245" t="e">
        <f ca="1">INDEX(INDIRECT(VLOOKUP(LEFT(BO178,7),CLU!$Z$3:$AH$18,6)),GL178,GK178)</f>
        <v>#N/A</v>
      </c>
      <c r="DL178" s="355">
        <f>(Calculation!R178*0.69143*(Calculation!$BQ$8-Calculation!$F$8))*$S$14</f>
        <v>0</v>
      </c>
      <c r="DM178" s="359" t="e">
        <f t="shared" si="566"/>
        <v>#VALUE!</v>
      </c>
      <c r="DN178" s="611">
        <f t="shared" si="567"/>
        <v>0</v>
      </c>
      <c r="DO178" s="359">
        <f t="shared" si="568"/>
        <v>100</v>
      </c>
      <c r="DP178" s="359">
        <f t="shared" si="569"/>
        <v>0</v>
      </c>
      <c r="DQ178" s="360"/>
      <c r="DR178" s="245" t="e">
        <f ca="1">INDEX(INDIRECT(VLOOKUP(LEFT(BO178,7),CLU!$Z$3:$AH$18,7)),M178-1,1)</f>
        <v>#N/A</v>
      </c>
      <c r="DS178" s="245" t="e">
        <f ca="1">INDEX(INDIRECT(VLOOKUP(LEFT(BO178,7),CLU!$Z$3:$AH$18,7)),M178-1,2)</f>
        <v>#N/A</v>
      </c>
      <c r="DT178" s="245" t="e">
        <f ca="1">INDEX(INDIRECT(VLOOKUP(LEFT(BO178,7),CLU!$Z$3:$AH$18,7)),M178-1,3)</f>
        <v>#N/A</v>
      </c>
      <c r="DU178" s="245" t="e">
        <f ca="1">INDEX(INDIRECT(VLOOKUP(LEFT(BO178,7),CLU!$Z$3:$AH$18,7)),M178-1,4)</f>
        <v>#N/A</v>
      </c>
      <c r="DV178" s="361" t="e">
        <f ca="1">INDEX(INDIRECT(VLOOKUP(LEFT(BO178,7),CLU!$Z$3:$AH$18,7)),M178-1,4+LEFT(DZ178,1)*0.5)</f>
        <v>#N/A</v>
      </c>
      <c r="DW178" s="245" t="e">
        <f ca="1">INDEX(INDIRECT(VLOOKUP(LEFT(BO178,7),CLU!$Z$3:$AH$18,7)),M178-1,8)</f>
        <v>#N/A</v>
      </c>
      <c r="DX178" s="361" t="str">
        <f t="shared" si="462"/>
        <v xml:space="preserve"> </v>
      </c>
      <c r="DY178" s="361" t="str">
        <f t="shared" si="463"/>
        <v xml:space="preserve"> </v>
      </c>
      <c r="DZ178" s="361" t="str">
        <f t="shared" si="464"/>
        <v xml:space="preserve"> </v>
      </c>
      <c r="EA178" s="362" t="str">
        <f t="shared" si="465"/>
        <v xml:space="preserve"> </v>
      </c>
      <c r="EB178" s="624" t="str">
        <f t="shared" si="570"/>
        <v xml:space="preserve"> </v>
      </c>
      <c r="EC178" s="361" t="e">
        <f ca="1">INDEX(INDIRECT(VLOOKUP(LEFT(BO178,7),CLU!$Z$3:$AH$18,7)),M178-1,4+LEFT(DZ178,1)*0.5)</f>
        <v>#N/A</v>
      </c>
      <c r="ED178" s="362" t="str">
        <f t="shared" si="466"/>
        <v xml:space="preserve"> </v>
      </c>
      <c r="EE178" s="361" t="str">
        <f t="shared" si="467"/>
        <v xml:space="preserve"> </v>
      </c>
      <c r="EF178" s="362" t="str">
        <f>IF(L178&gt;0,IF(BR178&gt;0,IF(EE178="2P",IF(Calculation!DZ178="2P",IF(Calculation!DS178=13.75,IF(Calculation!DR178=13,Worksheet!$BD$43,IF(Calculation!DR178=37,Worksheet!$BD$44,Worksheet!$BD$45)),IF(Calculation!DS178=10,IF(Calculation!DR178=18,Worksheet!$BD$29,IF(Calculation!DR178=30,Worksheet!$BD$30,IF(Calculation!DR178=42,Worksheet!$BD$31,IF(Calculation!DR178=54,Worksheet!$BD$32,IF(Calculation!DR178=66,Worksheet!$BD$33,IF(Calculation!DR178=78,Worksheet!$BD$34,IF(Calculation!DR178=90,Worksheet!$BD$35,IF(Calculation!DR178=102,Worksheet!$BD$36,Worksheet!$BD$37)))))))),IF(Calculation!DS178=12.5,IF(Calculation!DR178=18,Worksheet!$BD$38,IF(Calculation!DR178=Worksheet!$BD$39,IF(Calculation!DR178=42,Worksheet!$BD$40,IF(Calculation!DR178=54,Worksheet!$BD$41,Worksheet!$BD$42)))),IF(Calculation!DR178=18,Worksheet!$BD$11,IF(Calculation!DR178=30,Worksheet!$BD$12,IF(Calculation!DR178=42,Worksheet!$BD$13,IF(Calculation!DR178=54,Worksheet!$BD$14,IF(Calculation!DR178=66,Worksheet!$BD$15,IF(Calculation!DR178=78,Worksheet!$BD$16,IF(Calculation!DR178=90,Worksheet!$BD$17,IF(Calculation!DR178=102,Worksheet!$BD$18,Worksheet!$BD$19))))))))))),IF(Calculation!DS178=13.75,IF(Calculation!DR178=13,Worksheet!$BD$78,IF(Calculation!DR178=37,Worksheet!$BD$79,Worksheet!$BD$80)),IF(Calculation!DS178=10,IF(Calculation!DR178=18,Worksheet!$BD$64,IF(Calculation!DR178=30,Worksheet!$BD$65,IF(Calculation!DR178=42,Worksheet!$BD$66,IF(Calculation!DR178=54,Worksheet!$BD$68,IF(Calculation!DR178=66,Worksheet!$BD$68,IF(Calculation!DR178=78,Worksheet!$BD$69,IF(Calculation!DR178=90,Worksheet!$BD$70,IF(Calculation!DR178=102,Worksheet!$BD$71,Worksheet!$BD$72)))))))),IF(Calculation!DS178=12.5,IF(Calculation!DR178=18,Worksheet!$BD$73,IF(Calculation!DR178=Worksheet!$BD$74,IF(Calculation!DR178=42,Worksheet!$BD$75,IF(Calculation!DR178=54,Worksheet!$BD$76,Worksheet!$BD$77)))),IF(Calculation!DR178=18,Worksheet!$BD$55,IF(Calculation!DR178=30,Worksheet!$BD$56,IF(Calculation!DR178=42,Worksheet!$BD$57,IF(Calculation!DR178=54,Worksheet!$BD$58,IF(Calculation!DR178=66,Worksheet!$BD$59,IF(Calculation!DR178=78,Worksheet!$BD$60,IF(Calculation!DR178=90,Worksheet!$BD$61,IF(Calculation!DR178=102,Worksheet!$BD$62,Worksheet!$BD$63)))))))))))),5),0)," ")</f>
        <v xml:space="preserve"> </v>
      </c>
      <c r="EG178" s="361" t="str">
        <f t="shared" si="468"/>
        <v xml:space="preserve"> </v>
      </c>
      <c r="EH178" s="361" t="e">
        <f ca="1">INDEX(INDIRECT(VLOOKUP(LEFT(BO178,7),CLU!$Z$3:$AH$18,7)),M178-1,3+LEFT(DZ178,1))</f>
        <v>#N/A</v>
      </c>
      <c r="EI178" s="362" t="str">
        <f t="shared" si="469"/>
        <v xml:space="preserve"> </v>
      </c>
      <c r="EJ178" s="363" t="str">
        <f t="shared" si="470"/>
        <v xml:space="preserve"> </v>
      </c>
      <c r="EK178" s="363" t="str">
        <f t="shared" si="471"/>
        <v xml:space="preserve"> </v>
      </c>
      <c r="EL178" s="363" t="str">
        <f t="shared" si="472"/>
        <v xml:space="preserve"> </v>
      </c>
      <c r="EM178" s="362" t="str">
        <f>IF(L178&gt;0,IF(BR178&gt;0,(Calculation!T178/ED178)^2,0)," ")</f>
        <v xml:space="preserve"> </v>
      </c>
      <c r="EN178" s="362" t="str">
        <f>IF(L178&gt;0,IF(O178="2 Pipe (Cooling)","N/A",IF(BR178&gt;0,(Calculation!U178/EI178)^2,0))," ")</f>
        <v xml:space="preserve"> </v>
      </c>
      <c r="EO178" s="361" t="str">
        <f t="shared" si="473"/>
        <v/>
      </c>
      <c r="EP178" s="361" t="str">
        <f t="shared" si="474"/>
        <v/>
      </c>
      <c r="EQ178" s="361" t="str">
        <f t="shared" si="475"/>
        <v/>
      </c>
      <c r="ER178" s="361" t="str">
        <f t="shared" si="476"/>
        <v/>
      </c>
      <c r="ES178" s="361" t="str">
        <f t="shared" si="477"/>
        <v/>
      </c>
      <c r="ET178" s="361" t="str">
        <f t="shared" si="478"/>
        <v/>
      </c>
      <c r="EU178" s="361" t="str">
        <f t="shared" si="479"/>
        <v/>
      </c>
      <c r="EV178" s="361" t="str">
        <f t="shared" si="480"/>
        <v/>
      </c>
      <c r="EW178" s="361" t="str">
        <f t="shared" si="481"/>
        <v/>
      </c>
      <c r="EX178" s="361" t="str">
        <f t="shared" si="571"/>
        <v>1 slot, 1 way</v>
      </c>
      <c r="EY178" s="361" t="str">
        <f t="shared" si="572"/>
        <v xml:space="preserve"> </v>
      </c>
      <c r="EZ178" s="361" t="str">
        <f t="shared" si="573"/>
        <v xml:space="preserve"> </v>
      </c>
      <c r="FA178" s="361" t="str">
        <f t="shared" si="574"/>
        <v xml:space="preserve"> </v>
      </c>
      <c r="FB178" s="361" t="str">
        <f t="shared" si="575"/>
        <v xml:space="preserve"> </v>
      </c>
      <c r="FC178" s="361"/>
      <c r="FD178" s="361" t="str">
        <f>IF(J178&gt;0,IF(Calculation!R178&lt;=70,4,IF(Calculation!R178&lt;=110,5,IF(Calculation!R178&lt;=160,6,IF(Calculation!R178&lt;=300,8,"10 EO")))),"")</f>
        <v/>
      </c>
      <c r="FE178" s="361" t="str">
        <f t="shared" si="576"/>
        <v/>
      </c>
      <c r="FF178" s="361" t="str">
        <f t="shared" si="577"/>
        <v/>
      </c>
      <c r="FG178" s="361" t="e">
        <f t="shared" si="482"/>
        <v>#N/A</v>
      </c>
      <c r="FH178" s="361">
        <f t="shared" si="483"/>
        <v>0</v>
      </c>
      <c r="FI178" s="361" t="e">
        <f t="shared" si="484"/>
        <v>#DIV/0!</v>
      </c>
      <c r="FJ178" s="361"/>
      <c r="FK178" s="356" t="e">
        <f t="shared" si="485"/>
        <v>#VALUE!</v>
      </c>
      <c r="FL178" s="361"/>
      <c r="FM178" s="361"/>
      <c r="FN178" s="362" t="str">
        <f t="shared" si="578"/>
        <v xml:space="preserve"> </v>
      </c>
      <c r="FO178" s="362" t="str">
        <f t="shared" si="579"/>
        <v xml:space="preserve"> </v>
      </c>
      <c r="FP178" s="362">
        <f t="shared" si="580"/>
        <v>0</v>
      </c>
      <c r="FQ178" s="361">
        <f t="shared" si="486"/>
        <v>0</v>
      </c>
      <c r="FR178" s="362" t="str">
        <f>IF(L178&gt;0,IF(J178="CBAL2",Worksheet!$P$67,IF(J178="CBE2-24",Worksheet!$Q$67,IF(J178="CBAM",Worksheet!$R$67,IF(J178="CBLV",Worksheet!$S$67,IF(J178="CBAB",Worksheet!$U$67,IF(J178="CBAW",Worksheet!$X$67,IF(J178="CBE2-12",Worksheet!$Y$67,IF(J178="CBAL2",Worksheet!$Z$67,"N/A"))))))))," ")</f>
        <v xml:space="preserve"> </v>
      </c>
      <c r="FS178" s="362" t="str">
        <f>IF(L178&gt;0,IF(J178="CBAL2",Worksheet!$P$68,IF(J178="CBE2-24",Worksheet!$Q$68,IF(J178="CBAM",Worksheet!$R$68,IF(J178="CBLV",Worksheet!$S$68,IF(J178="CBAB",Worksheet!$U$68,IF(J178="CBAW",Worksheet!$X$68,IF(J178="CBE2-12",Worksheet!$Y$68,IF(J178="CBAL2",Worksheet!$Z$68,"N/A"))))))))," ")</f>
        <v xml:space="preserve"> </v>
      </c>
      <c r="FT178" s="362" t="str">
        <f>IF(L178&gt;0,IF(J178="CBAL2",Worksheet!$P$69,IF(J178="CBE2-24",Worksheet!$Q$69,IF(J178="CBAM",Worksheet!$R$69,IF(J178="CBLV",Worksheet!$S$69,IF(J178="CBAB",Worksheet!$U$69,IF(J178="CBAW",Worksheet!$X$69,IF(J178="CBE2-12",Worksheet!$Y$69,IF(J178="CBAL2",Worksheet!$Z$69,"N/A"))))))))," ")</f>
        <v xml:space="preserve"> </v>
      </c>
      <c r="FU178" s="361" t="str">
        <f t="shared" si="581"/>
        <v xml:space="preserve"> </v>
      </c>
      <c r="FV178" s="362" t="str">
        <f t="shared" si="582"/>
        <v xml:space="preserve"> </v>
      </c>
      <c r="FW178" s="362" t="str">
        <f t="shared" si="583"/>
        <v xml:space="preserve"> </v>
      </c>
      <c r="FX178" s="362" t="str">
        <f t="shared" si="584"/>
        <v xml:space="preserve"> </v>
      </c>
      <c r="FY178" s="355" t="str">
        <f t="shared" si="585"/>
        <v xml:space="preserve"> </v>
      </c>
      <c r="FZ178" s="361" t="str">
        <f t="shared" si="586"/>
        <v xml:space="preserve"> </v>
      </c>
      <c r="GA178" s="347" t="str">
        <f t="shared" si="587"/>
        <v xml:space="preserve"> </v>
      </c>
      <c r="GB178" s="355" t="str">
        <f t="shared" si="588"/>
        <v xml:space="preserve"> </v>
      </c>
      <c r="GC178" s="328" t="str">
        <f t="shared" si="589"/>
        <v xml:space="preserve"> </v>
      </c>
      <c r="GD178" s="361" t="str">
        <f t="shared" si="590"/>
        <v xml:space="preserve"> </v>
      </c>
      <c r="GE178" s="347" t="str">
        <f t="shared" si="591"/>
        <v xml:space="preserve"> </v>
      </c>
      <c r="GF178" s="361" t="str">
        <f t="shared" si="592"/>
        <v xml:space="preserve"> </v>
      </c>
      <c r="GG178" s="347" t="str">
        <f t="shared" si="593"/>
        <v xml:space="preserve"> </v>
      </c>
      <c r="GH178" s="364">
        <f t="shared" si="487"/>
        <v>0</v>
      </c>
      <c r="GI178" s="362">
        <f t="shared" si="594"/>
        <v>2</v>
      </c>
      <c r="GJ178" s="433" t="e">
        <f>IF(6-COUNTBLANK(GT178:GY178)=4,MATCH(MID(BO178,9,3),CLU!$H$16:$K$16),MATCH(MID(BO178,9,3),CLU!$H$13:$M$13))</f>
        <v>#N/A</v>
      </c>
      <c r="GK178" s="433" t="e">
        <f>HLOOKUP(VALUE(BP178),CLU!$H$9:$M$10,2)</f>
        <v>#VALUE!</v>
      </c>
      <c r="GL178" s="433" t="e">
        <f ca="1">MATCH(BU178,CLU!$H$2:$V$2,1)</f>
        <v>#VALUE!</v>
      </c>
      <c r="GM178" s="433" t="e">
        <f t="shared" ca="1" si="595"/>
        <v>#VALUE!</v>
      </c>
      <c r="GN178" s="433" t="e">
        <f t="shared" ca="1" si="596"/>
        <v>#VALUE!</v>
      </c>
      <c r="GO178" s="433" t="e">
        <f t="shared" ca="1" si="597"/>
        <v>#VALUE!</v>
      </c>
      <c r="GP178" s="433" t="e">
        <f t="shared" ca="1" si="598"/>
        <v>#VALUE!</v>
      </c>
      <c r="GQ178" s="433" t="e">
        <f t="shared" ca="1" si="599"/>
        <v>#VALUE!</v>
      </c>
      <c r="GR178" s="433" t="e">
        <f ca="1">MATCH(T178,INDIRECT(VLOOKUP(CONCATENATE(LEFT(BO178,7),"-",MID(BO178,13,1)),CLU!$P$3:$Q$16,2)),1)</f>
        <v>#N/A</v>
      </c>
      <c r="GS178" s="433" t="e">
        <f ca="1">MATCH(U178,INDIRECT(VLOOKUP(CONCATENATE(LEFT(BO178,7),"-",MID(BO178,13,1)),CLU!$P$3:$Q$16,2)),1)</f>
        <v>#N/A</v>
      </c>
      <c r="GT178" s="347" t="s">
        <v>512</v>
      </c>
      <c r="GU178" s="97" t="s">
        <v>513</v>
      </c>
      <c r="GV178" s="97" t="str">
        <f t="shared" si="600"/>
        <v>M23</v>
      </c>
      <c r="GW178" s="97" t="str">
        <f t="shared" si="601"/>
        <v>M31</v>
      </c>
      <c r="GX178" s="97" t="str">
        <f t="shared" si="602"/>
        <v/>
      </c>
      <c r="GY178" s="97" t="str">
        <f t="shared" si="603"/>
        <v/>
      </c>
      <c r="GZ178" s="481"/>
      <c r="HA178" s="288"/>
      <c r="HB178" s="240"/>
      <c r="HC178" s="240"/>
      <c r="HD178" s="240"/>
      <c r="HE178" s="240"/>
      <c r="HF178" s="240"/>
      <c r="HG178" s="240"/>
      <c r="HH178" s="240"/>
      <c r="HI178" s="240"/>
      <c r="HJ178" s="240"/>
      <c r="HK178" s="240"/>
      <c r="HL178" s="240"/>
      <c r="HM178" s="240"/>
      <c r="HN178" s="240"/>
      <c r="HO178" s="240"/>
      <c r="HP178" s="240"/>
      <c r="HQ178" s="240"/>
      <c r="HR178" s="240"/>
      <c r="HS178" s="240"/>
      <c r="HT178" s="240"/>
      <c r="HU178" s="240"/>
      <c r="HV178" s="245"/>
      <c r="HW178" s="245" t="b">
        <v>1</v>
      </c>
      <c r="HX178" s="245" t="str">
        <f t="shared" si="488"/>
        <v/>
      </c>
      <c r="HY178" s="245" t="e">
        <f t="shared" si="489"/>
        <v>#DIV/0!</v>
      </c>
      <c r="HZ178" s="245" t="e">
        <f t="shared" si="490"/>
        <v>#DIV/0!</v>
      </c>
      <c r="IA178" s="245">
        <f t="shared" si="491"/>
        <v>0</v>
      </c>
      <c r="IB178" s="245"/>
      <c r="IC178" t="b">
        <f t="shared" si="492"/>
        <v>1</v>
      </c>
      <c r="ID178" s="245" t="b">
        <f t="shared" si="493"/>
        <v>1</v>
      </c>
      <c r="IE178" s="245" t="b">
        <f t="shared" si="494"/>
        <v>1</v>
      </c>
      <c r="IF178" s="245" t="b">
        <f t="shared" si="495"/>
        <v>0</v>
      </c>
      <c r="IG178" s="245" t="b">
        <f t="shared" si="496"/>
        <v>1</v>
      </c>
      <c r="IH178" s="245" t="b">
        <f t="shared" si="497"/>
        <v>1</v>
      </c>
      <c r="II178" s="245">
        <f t="shared" si="604"/>
        <v>0</v>
      </c>
      <c r="IJ178" s="245" t="e">
        <f t="shared" si="498"/>
        <v>#VALUE!</v>
      </c>
      <c r="IK178" s="245" t="e">
        <f t="shared" si="499"/>
        <v>#VALUE!</v>
      </c>
      <c r="IL178" s="245"/>
      <c r="IM178" s="245" t="e">
        <f t="shared" si="605"/>
        <v>#N/A</v>
      </c>
      <c r="IN178" s="245" t="e">
        <f t="shared" si="606"/>
        <v>#N/A</v>
      </c>
      <c r="IO178" s="245"/>
      <c r="IP178" s="245"/>
      <c r="IQ178" s="245" t="str">
        <f t="shared" si="500"/>
        <v/>
      </c>
      <c r="IR178" s="245" t="str">
        <f>IF(J178="","",VLOOKUP(J178,Worksheet!$R$4:$T$14,2))</f>
        <v/>
      </c>
      <c r="IS178" s="245"/>
      <c r="IT178" s="245">
        <f t="shared" si="501"/>
        <v>0</v>
      </c>
      <c r="IU178" s="245">
        <f t="shared" si="502"/>
        <v>0</v>
      </c>
      <c r="IV178" s="245">
        <f t="shared" si="503"/>
        <v>0</v>
      </c>
      <c r="IW178" s="245">
        <f t="shared" si="504"/>
        <v>0</v>
      </c>
      <c r="IX178" s="245">
        <f t="shared" si="607"/>
        <v>0</v>
      </c>
      <c r="IY178" s="245">
        <f t="shared" si="505"/>
        <v>0</v>
      </c>
      <c r="IZ178" s="245">
        <f t="shared" si="506"/>
        <v>0</v>
      </c>
      <c r="JA178">
        <f t="shared" si="507"/>
        <v>0</v>
      </c>
      <c r="JB178">
        <f t="shared" si="608"/>
        <v>0</v>
      </c>
      <c r="JC178">
        <f t="shared" si="508"/>
        <v>0</v>
      </c>
      <c r="JD178">
        <f t="shared" si="509"/>
        <v>0</v>
      </c>
      <c r="JE178">
        <f t="shared" si="510"/>
        <v>0</v>
      </c>
      <c r="JF178">
        <f t="shared" si="511"/>
        <v>0</v>
      </c>
      <c r="JG178">
        <f t="shared" si="512"/>
        <v>0</v>
      </c>
      <c r="JH178">
        <f t="shared" si="513"/>
        <v>0</v>
      </c>
      <c r="JI178">
        <f t="shared" si="514"/>
        <v>0</v>
      </c>
      <c r="JJ178" s="447">
        <f t="shared" si="515"/>
        <v>0</v>
      </c>
      <c r="JK178" s="447">
        <f t="shared" si="516"/>
        <v>0</v>
      </c>
      <c r="JL178">
        <f t="shared" si="517"/>
        <v>0</v>
      </c>
      <c r="JM178" s="245" t="str">
        <f>IFERROR(VLOOKUP(MATCH(BN178,#REF!,0),#REF!,7),"")</f>
        <v/>
      </c>
      <c r="JN178" t="e">
        <f>HLOOKUP(LEFT(BO178,7),Discharge_Area,MATCH(JO178,LookUps!$B$130:$B$149,1)+2)</f>
        <v>#N/A</v>
      </c>
      <c r="JO178" t="str">
        <f t="shared" si="518"/>
        <v>- S</v>
      </c>
      <c r="JP178" t="e">
        <f>HLOOKUP(LEFT(BO178,7),Discharge_Area,MATCH(JO178,LookUps!$B$130:$B$149,1)+2)</f>
        <v>#N/A</v>
      </c>
      <c r="JQ178" t="e">
        <f t="shared" si="519"/>
        <v>#N/A</v>
      </c>
      <c r="JR178" t="e">
        <f t="shared" si="520"/>
        <v>#N/A</v>
      </c>
      <c r="JS178" t="e">
        <f t="shared" si="521"/>
        <v>#N/A</v>
      </c>
      <c r="JT178" s="532" t="str">
        <f t="shared" si="522"/>
        <v xml:space="preserve"> </v>
      </c>
      <c r="JU178" s="532" t="str">
        <f t="shared" si="523"/>
        <v xml:space="preserve"> </v>
      </c>
      <c r="JV178" s="533" t="str">
        <f t="shared" si="524"/>
        <v xml:space="preserve"> </v>
      </c>
      <c r="JW178" s="534">
        <f t="shared" si="525"/>
        <v>0</v>
      </c>
      <c r="JX178" s="535" t="str">
        <f t="shared" si="609"/>
        <v xml:space="preserve"> </v>
      </c>
      <c r="JY178" s="535" t="str">
        <f t="shared" si="610"/>
        <v xml:space="preserve"> </v>
      </c>
      <c r="JZ178" s="535" t="str">
        <f t="shared" si="611"/>
        <v xml:space="preserve"> </v>
      </c>
      <c r="KA178" s="536" t="str">
        <f t="shared" si="526"/>
        <v xml:space="preserve"> </v>
      </c>
      <c r="KB178" s="535" t="e">
        <f t="shared" si="612"/>
        <v>#VALUE!</v>
      </c>
      <c r="KC178" s="535" t="str">
        <f t="shared" si="527"/>
        <v/>
      </c>
      <c r="KD178" s="537" t="str">
        <f t="shared" si="613"/>
        <v xml:space="preserve"> </v>
      </c>
      <c r="KE178" s="537" t="str">
        <f t="shared" si="614"/>
        <v xml:space="preserve"> </v>
      </c>
      <c r="KF178" s="534">
        <f t="shared" si="528"/>
        <v>0</v>
      </c>
      <c r="KG178" s="535" t="str">
        <f t="shared" si="529"/>
        <v xml:space="preserve"> </v>
      </c>
      <c r="KH178" s="535" t="str">
        <f t="shared" si="530"/>
        <v xml:space="preserve"> </v>
      </c>
      <c r="KI178" s="535" t="str">
        <f t="shared" si="531"/>
        <v xml:space="preserve"> </v>
      </c>
      <c r="KJ178" s="536" t="str">
        <f t="shared" si="532"/>
        <v xml:space="preserve"> </v>
      </c>
      <c r="KK178" s="535" t="str">
        <f t="shared" si="615"/>
        <v xml:space="preserve"> </v>
      </c>
      <c r="KL178" s="535" t="str">
        <f t="shared" si="616"/>
        <v xml:space="preserve"> </v>
      </c>
      <c r="KM178" s="537" t="str">
        <f t="shared" si="533"/>
        <v xml:space="preserve"> </v>
      </c>
      <c r="KN178" s="537" t="str">
        <f t="shared" si="617"/>
        <v xml:space="preserve"> </v>
      </c>
      <c r="KP178">
        <f t="shared" si="534"/>
        <v>0</v>
      </c>
      <c r="LA178" t="e">
        <f t="shared" si="535"/>
        <v>#VALUE!</v>
      </c>
      <c r="LB178" t="e">
        <f t="shared" si="536"/>
        <v>#VALUE!</v>
      </c>
      <c r="LC178" t="e">
        <f t="shared" si="537"/>
        <v>#VALUE!</v>
      </c>
      <c r="LD178" t="e">
        <f t="shared" si="538"/>
        <v>#VALUE!</v>
      </c>
      <c r="LE178" t="e">
        <f t="shared" si="618"/>
        <v>#VALUE!</v>
      </c>
      <c r="LF178">
        <f t="shared" si="539"/>
        <v>0</v>
      </c>
      <c r="LG178" t="e">
        <f t="shared" si="619"/>
        <v>#VALUE!</v>
      </c>
      <c r="LH178" t="str">
        <f t="shared" si="540"/>
        <v xml:space="preserve"> </v>
      </c>
      <c r="LI178">
        <f t="shared" si="620"/>
        <v>1</v>
      </c>
    </row>
    <row r="179" spans="2:321" ht="15" customHeight="1">
      <c r="B179" s="311"/>
      <c r="C179" s="311"/>
      <c r="D179" s="312"/>
      <c r="E179" s="311"/>
      <c r="F179" s="312"/>
      <c r="G179" s="311"/>
      <c r="H179" s="311"/>
      <c r="I179" s="37"/>
      <c r="J179" s="311"/>
      <c r="K179" s="305" t="str">
        <f t="shared" si="541"/>
        <v/>
      </c>
      <c r="L179" s="313"/>
      <c r="M179" s="312"/>
      <c r="N179" s="311"/>
      <c r="O179" s="312"/>
      <c r="P179" s="311"/>
      <c r="Q179" s="305" t="str">
        <f t="shared" si="542"/>
        <v/>
      </c>
      <c r="R179" s="314"/>
      <c r="S179" s="450" t="str">
        <f t="shared" si="425"/>
        <v/>
      </c>
      <c r="T179" s="315"/>
      <c r="U179" s="315"/>
      <c r="W179" s="149" t="str">
        <f t="shared" si="426"/>
        <v xml:space="preserve"> </v>
      </c>
      <c r="X179" s="243" t="str">
        <f t="shared" si="427"/>
        <v xml:space="preserve"> </v>
      </c>
      <c r="Y179" s="150" t="str">
        <f t="shared" si="428"/>
        <v/>
      </c>
      <c r="Z179" s="149" t="str">
        <f t="shared" si="429"/>
        <v xml:space="preserve"> </v>
      </c>
      <c r="AA179" s="98" t="str">
        <f t="shared" si="430"/>
        <v xml:space="preserve"> </v>
      </c>
      <c r="AB179" s="153" t="str">
        <f t="shared" si="431"/>
        <v xml:space="preserve"> </v>
      </c>
      <c r="AC179" s="153" t="str">
        <f t="shared" si="432"/>
        <v xml:space="preserve"> </v>
      </c>
      <c r="AD179" s="148" t="str">
        <f t="shared" si="433"/>
        <v/>
      </c>
      <c r="AE179" s="149" t="str">
        <f t="shared" si="434"/>
        <v/>
      </c>
      <c r="AF179" s="151" t="str">
        <f t="shared" si="435"/>
        <v xml:space="preserve"> </v>
      </c>
      <c r="AG179" s="153" t="str">
        <f t="shared" si="436"/>
        <v xml:space="preserve"> </v>
      </c>
      <c r="AH179" s="98" t="str">
        <f t="shared" si="437"/>
        <v xml:space="preserve"> </v>
      </c>
      <c r="AI179" s="149" t="str">
        <f t="shared" si="438"/>
        <v xml:space="preserve"> </v>
      </c>
      <c r="AK179" s="144" t="str">
        <f t="shared" si="439"/>
        <v xml:space="preserve"> </v>
      </c>
      <c r="AL179" s="144"/>
      <c r="AM179" s="243" t="str">
        <f t="shared" si="440"/>
        <v xml:space="preserve"> </v>
      </c>
      <c r="AN179" s="149" t="str">
        <f t="shared" si="543"/>
        <v xml:space="preserve"> </v>
      </c>
      <c r="AO179" s="144" t="str">
        <f>IF(JB179&gt;0,IF(GI179=10,-R179*1.085*(Calculation!$F$6-Calculation!$F$13)*$S$14," "),"")</f>
        <v/>
      </c>
      <c r="AP179" s="144" t="str">
        <f t="shared" si="441"/>
        <v/>
      </c>
      <c r="AQ179" s="56" t="str">
        <f t="shared" si="442"/>
        <v/>
      </c>
      <c r="AR179" s="144" t="str">
        <f t="shared" si="443"/>
        <v/>
      </c>
      <c r="AS179" s="176" t="str">
        <f t="shared" si="444"/>
        <v/>
      </c>
      <c r="AT179" s="176" t="str">
        <f t="shared" si="544"/>
        <v xml:space="preserve"> </v>
      </c>
      <c r="AU179" s="176" t="str">
        <f t="shared" si="445"/>
        <v/>
      </c>
      <c r="AV179" s="177" t="str">
        <f t="shared" si="446"/>
        <v xml:space="preserve"> </v>
      </c>
      <c r="AW179" s="144" t="str">
        <f t="shared" si="447"/>
        <v xml:space="preserve"> </v>
      </c>
      <c r="AX179" s="144" t="str">
        <f t="shared" si="448"/>
        <v xml:space="preserve"> </v>
      </c>
      <c r="AY179" s="152" t="str">
        <f t="shared" si="449"/>
        <v xml:space="preserve"> </v>
      </c>
      <c r="AZ179" s="246" t="str">
        <f t="shared" si="450"/>
        <v/>
      </c>
      <c r="BA179" s="176" t="str">
        <f t="shared" si="451"/>
        <v xml:space="preserve"> </v>
      </c>
      <c r="BB179" s="176" t="str">
        <f t="shared" si="452"/>
        <v xml:space="preserve"> </v>
      </c>
      <c r="BC179" s="195"/>
      <c r="BD179" s="316"/>
      <c r="BE179" s="317"/>
      <c r="BF179" s="318"/>
      <c r="BG179" s="318"/>
      <c r="BH179" s="144" t="str">
        <f t="shared" si="621"/>
        <v xml:space="preserve"> </v>
      </c>
      <c r="BI179" s="176" t="str">
        <f t="shared" si="453"/>
        <v/>
      </c>
      <c r="BJ179" s="144" t="str">
        <f t="shared" si="622"/>
        <v/>
      </c>
      <c r="BK179" s="246" t="str">
        <f t="shared" si="454"/>
        <v/>
      </c>
      <c r="BL179" s="144" t="str">
        <f t="shared" si="623"/>
        <v/>
      </c>
      <c r="BM179" s="246" t="str">
        <f t="shared" si="455"/>
        <v/>
      </c>
      <c r="BN179" s="337" t="str">
        <f t="shared" si="545"/>
        <v/>
      </c>
      <c r="BO179" s="371" t="str">
        <f t="shared" si="546"/>
        <v/>
      </c>
      <c r="BP179" s="328" t="str">
        <f t="shared" si="624"/>
        <v xml:space="preserve"> </v>
      </c>
      <c r="BQ179" s="347" t="str">
        <f t="shared" si="547"/>
        <v xml:space="preserve"> </v>
      </c>
      <c r="BR179" s="353" t="str">
        <f t="shared" si="548"/>
        <v xml:space="preserve"> </v>
      </c>
      <c r="BS179" s="626" t="str">
        <f>IF(L179&gt;0,IF(Calculation!P179="M13",BR179*3.1416*(0.134^2)/(4*144),IF(Calculation!P179="M17",BR179*3.1416*(0.165^2)/(4*144),IF(Calculation!P179="M20",BR179*3.1416*(0.198^2)/(4*144),IF(Calculation!P179="M23",BR179*3.1416*(0.228^2)/(4*144),IF(Calculation!P179="M27",BR179*3.1416*(0.269^2)/(4*144),BR179*3.1416*(0.307^2)/(4*144))))))," ")</f>
        <v xml:space="preserve"> </v>
      </c>
      <c r="BT179" s="353" t="str">
        <f>IF(L179&gt;0,IF(BS179&gt;0,R179/Calculation!BS179,0)," ")</f>
        <v xml:space="preserve"> </v>
      </c>
      <c r="BU179" s="438" t="e">
        <f t="shared" ca="1" si="456"/>
        <v>#VALUE!</v>
      </c>
      <c r="BV179" s="449" t="e">
        <f ca="1">INDEX(INDIRECT(VLOOKUP(LEFT(BO179,7),CLU!$Z$3:$AH$18,2)),GN179,GR179)</f>
        <v>#N/A</v>
      </c>
      <c r="BW179" s="433" t="e">
        <f ca="1">INDEX(INDIRECT(VLOOKUP(LEFT(BO179,7),CLU!$Z$3:$AH$18,3)),GN179,GR179)</f>
        <v>#N/A</v>
      </c>
      <c r="BX179" s="433" t="e">
        <f ca="1">INDEX(INDIRECT(VLOOKUP(LEFT(BO179,7),CLU!$Z$3:$AH$18,4)),GN179,GR179)</f>
        <v>#N/A</v>
      </c>
      <c r="BY179" s="433" t="e">
        <f ca="1">INDEX(INDIRECT(VLOOKUP(LEFT(BO179,7),CLU!$Z$3:$AH$18,9)),((M179-2)*(6-COUNTBLANK(GT179:GY179)))+GJ179)</f>
        <v>#N/A</v>
      </c>
      <c r="BZ179" s="426" t="e">
        <f t="shared" ca="1" si="549"/>
        <v>#N/A</v>
      </c>
      <c r="CA179" s="424" t="e">
        <f t="shared" ca="1" si="550"/>
        <v>#N/A</v>
      </c>
      <c r="CB179" s="429" t="e">
        <f ca="1">INDEX(INDIRECT(VLOOKUP(LEFT(BO179,7),CLU!$Z$3:$AH$18,2)),GN179,GS179)</f>
        <v>#N/A</v>
      </c>
      <c r="CC179" s="342" t="e">
        <f ca="1">INDEX(INDIRECT(VLOOKUP(LEFT(BO179,7),CLU!$Z$3:$AH$18,3)),GN179,GS179)</f>
        <v>#N/A</v>
      </c>
      <c r="CD179" s="342" t="e">
        <f ca="1">INDEX(INDIRECT(VLOOKUP(LEFT(BO179,7),CLU!$Z$3:$AH$18,4)),GN179,GS179)</f>
        <v>#N/A</v>
      </c>
      <c r="CE179" s="426" t="e">
        <f t="shared" ca="1" si="551"/>
        <v>#N/A</v>
      </c>
      <c r="CF179" s="440">
        <f t="shared" si="552"/>
        <v>0</v>
      </c>
      <c r="CG179" s="431" t="e">
        <f ca="1">INDEX(INDIRECT(VLOOKUP(LEFT(BO179,7),CLU!$Z$3:$AH$18,2)),GQ179,GR179)</f>
        <v>#N/A</v>
      </c>
      <c r="CH179" s="431" t="e">
        <f ca="1">INDEX(INDIRECT(VLOOKUP(LEFT(BO179,7),CLU!$Z$3:$AH$18,3)),GQ179,GR179)</f>
        <v>#N/A</v>
      </c>
      <c r="CI179" s="431" t="e">
        <f ca="1">INDEX(INDIRECT(VLOOKUP(LEFT(BO179,7),CLU!$Z$3:$AH$18,4)),GQ179,GR179)</f>
        <v>#N/A</v>
      </c>
      <c r="CJ179" s="448" t="e">
        <f t="shared" ca="1" si="553"/>
        <v>#N/A</v>
      </c>
      <c r="CK179" s="431" t="e">
        <f t="shared" ca="1" si="554"/>
        <v>#N/A</v>
      </c>
      <c r="CL179" s="440" t="e">
        <f t="shared" ca="1" si="555"/>
        <v>#N/A</v>
      </c>
      <c r="CM179" s="431" t="e">
        <f ca="1">INDEX(INDIRECT(VLOOKUP(LEFT(BO179,7),CLU!$Z$3:$AH$18,2)),GQ179,GS179)</f>
        <v>#N/A</v>
      </c>
      <c r="CN179" s="431" t="e">
        <f ca="1">INDEX(INDIRECT(VLOOKUP(LEFT(BO179,7),CLU!$Z$3:$AH$18,3)),GQ179,GS179)</f>
        <v>#N/A</v>
      </c>
      <c r="CO179" s="431" t="e">
        <f ca="1">INDEX(INDIRECT(VLOOKUP(LEFT(BO179,7),CLU!$Z$3:$AH$18,4)),GQ179,GS179)</f>
        <v>#N/A</v>
      </c>
      <c r="CP179" s="431" t="e">
        <f t="shared" ca="1" si="556"/>
        <v>#N/A</v>
      </c>
      <c r="CQ179" s="440">
        <f t="shared" si="557"/>
        <v>0</v>
      </c>
      <c r="CR179" s="51" t="e">
        <f t="shared" ca="1" si="558"/>
        <v>#N/A</v>
      </c>
      <c r="CS179" s="439" t="e">
        <f t="shared" ca="1" si="559"/>
        <v>#VALUE!</v>
      </c>
      <c r="CT179" s="51" t="e">
        <f t="shared" ca="1" si="560"/>
        <v>#VALUE!</v>
      </c>
      <c r="CU179" s="10"/>
      <c r="CV179" s="51" t="e">
        <f t="shared" ca="1" si="457"/>
        <v>#VALUE!</v>
      </c>
      <c r="CW179" s="51">
        <f t="shared" si="561"/>
        <v>0</v>
      </c>
      <c r="CX179" s="439" t="e">
        <f t="shared" ca="1" si="562"/>
        <v>#VALUE!</v>
      </c>
      <c r="CY179" s="51" t="e">
        <f t="shared" ca="1" si="563"/>
        <v>#VALUE!</v>
      </c>
      <c r="CZ179" s="10"/>
      <c r="DA179" s="51" t="e">
        <f t="shared" ca="1" si="564"/>
        <v>#VALUE!</v>
      </c>
      <c r="DB179" s="347" t="e">
        <f ca="1">INDEX(INDIRECT(VLOOKUP(LEFT(BO179,7),CLU!$Z$3:$AI$18,10)),((M179-2)*(6-COUNTBLANK(GT179:GY179)))+GJ179)*LI179</f>
        <v>#N/A</v>
      </c>
      <c r="DC179" s="347" t="str">
        <f>IF(L179&gt;0,((R179/Worksheet!$I$15)/DB179)^2," ")</f>
        <v xml:space="preserve"> </v>
      </c>
      <c r="DD179" s="602" t="str">
        <f t="shared" si="565"/>
        <v xml:space="preserve"> </v>
      </c>
      <c r="DE179" s="347" t="str">
        <f t="shared" si="458"/>
        <v xml:space="preserve"> </v>
      </c>
      <c r="DF179" s="356" t="e">
        <f ca="1">INDEX(INDIRECT(VLOOKUP(LEFT(BO179,7),CLU!$Z$3:$AH$18,8)),((M179-2)*(6-COUNTBLANK(GT179:GY179)))+GJ179)</f>
        <v>#N/A</v>
      </c>
      <c r="DG179" s="347" t="str">
        <f t="shared" si="459"/>
        <v xml:space="preserve"> </v>
      </c>
      <c r="DH179" s="357" t="str">
        <f t="shared" si="460"/>
        <v xml:space="preserve"> </v>
      </c>
      <c r="DI179" s="355" t="str">
        <f t="shared" si="461"/>
        <v xml:space="preserve"> </v>
      </c>
      <c r="DJ179" s="245" t="e">
        <f ca="1">INDEX(INDIRECT(VLOOKUP(LEFT(BO179,7),CLU!$Z$3:$AH$18,5)),GL179,GK179)</f>
        <v>#N/A</v>
      </c>
      <c r="DK179" s="245" t="e">
        <f ca="1">INDEX(INDIRECT(VLOOKUP(LEFT(BO179,7),CLU!$Z$3:$AH$18,6)),GL179,GK179)</f>
        <v>#N/A</v>
      </c>
      <c r="DL179" s="355">
        <f>(Calculation!R179*0.69143*(Calculation!$BQ$8-Calculation!$F$8))*$S$14</f>
        <v>0</v>
      </c>
      <c r="DM179" s="359" t="e">
        <f t="shared" si="566"/>
        <v>#VALUE!</v>
      </c>
      <c r="DN179" s="611">
        <f t="shared" si="567"/>
        <v>0</v>
      </c>
      <c r="DO179" s="359">
        <f t="shared" si="568"/>
        <v>100</v>
      </c>
      <c r="DP179" s="359">
        <f t="shared" si="569"/>
        <v>0</v>
      </c>
      <c r="DQ179" s="360"/>
      <c r="DR179" s="245" t="e">
        <f ca="1">INDEX(INDIRECT(VLOOKUP(LEFT(BO179,7),CLU!$Z$3:$AH$18,7)),M179-1,1)</f>
        <v>#N/A</v>
      </c>
      <c r="DS179" s="245" t="e">
        <f ca="1">INDEX(INDIRECT(VLOOKUP(LEFT(BO179,7),CLU!$Z$3:$AH$18,7)),M179-1,2)</f>
        <v>#N/A</v>
      </c>
      <c r="DT179" s="245" t="e">
        <f ca="1">INDEX(INDIRECT(VLOOKUP(LEFT(BO179,7),CLU!$Z$3:$AH$18,7)),M179-1,3)</f>
        <v>#N/A</v>
      </c>
      <c r="DU179" s="245" t="e">
        <f ca="1">INDEX(INDIRECT(VLOOKUP(LEFT(BO179,7),CLU!$Z$3:$AH$18,7)),M179-1,4)</f>
        <v>#N/A</v>
      </c>
      <c r="DV179" s="361" t="e">
        <f ca="1">INDEX(INDIRECT(VLOOKUP(LEFT(BO179,7),CLU!$Z$3:$AH$18,7)),M179-1,4+LEFT(DZ179,1)*0.5)</f>
        <v>#N/A</v>
      </c>
      <c r="DW179" s="245" t="e">
        <f ca="1">INDEX(INDIRECT(VLOOKUP(LEFT(BO179,7),CLU!$Z$3:$AH$18,7)),M179-1,8)</f>
        <v>#N/A</v>
      </c>
      <c r="DX179" s="361" t="str">
        <f t="shared" si="462"/>
        <v xml:space="preserve"> </v>
      </c>
      <c r="DY179" s="361" t="str">
        <f t="shared" si="463"/>
        <v xml:space="preserve"> </v>
      </c>
      <c r="DZ179" s="361" t="str">
        <f t="shared" si="464"/>
        <v xml:space="preserve"> </v>
      </c>
      <c r="EA179" s="362" t="str">
        <f t="shared" si="465"/>
        <v xml:space="preserve"> </v>
      </c>
      <c r="EB179" s="624" t="str">
        <f t="shared" si="570"/>
        <v xml:space="preserve"> </v>
      </c>
      <c r="EC179" s="361" t="e">
        <f ca="1">INDEX(INDIRECT(VLOOKUP(LEFT(BO179,7),CLU!$Z$3:$AH$18,7)),M179-1,4+LEFT(DZ179,1)*0.5)</f>
        <v>#N/A</v>
      </c>
      <c r="ED179" s="362" t="str">
        <f t="shared" si="466"/>
        <v xml:space="preserve"> </v>
      </c>
      <c r="EE179" s="361" t="str">
        <f t="shared" si="467"/>
        <v xml:space="preserve"> </v>
      </c>
      <c r="EF179" s="362" t="str">
        <f>IF(L179&gt;0,IF(BR179&gt;0,IF(EE179="2P",IF(Calculation!DZ179="2P",IF(Calculation!DS179=13.75,IF(Calculation!DR179=13,Worksheet!$BD$43,IF(Calculation!DR179=37,Worksheet!$BD$44,Worksheet!$BD$45)),IF(Calculation!DS179=10,IF(Calculation!DR179=18,Worksheet!$BD$29,IF(Calculation!DR179=30,Worksheet!$BD$30,IF(Calculation!DR179=42,Worksheet!$BD$31,IF(Calculation!DR179=54,Worksheet!$BD$32,IF(Calculation!DR179=66,Worksheet!$BD$33,IF(Calculation!DR179=78,Worksheet!$BD$34,IF(Calculation!DR179=90,Worksheet!$BD$35,IF(Calculation!DR179=102,Worksheet!$BD$36,Worksheet!$BD$37)))))))),IF(Calculation!DS179=12.5,IF(Calculation!DR179=18,Worksheet!$BD$38,IF(Calculation!DR179=Worksheet!$BD$39,IF(Calculation!DR179=42,Worksheet!$BD$40,IF(Calculation!DR179=54,Worksheet!$BD$41,Worksheet!$BD$42)))),IF(Calculation!DR179=18,Worksheet!$BD$11,IF(Calculation!DR179=30,Worksheet!$BD$12,IF(Calculation!DR179=42,Worksheet!$BD$13,IF(Calculation!DR179=54,Worksheet!$BD$14,IF(Calculation!DR179=66,Worksheet!$BD$15,IF(Calculation!DR179=78,Worksheet!$BD$16,IF(Calculation!DR179=90,Worksheet!$BD$17,IF(Calculation!DR179=102,Worksheet!$BD$18,Worksheet!$BD$19))))))))))),IF(Calculation!DS179=13.75,IF(Calculation!DR179=13,Worksheet!$BD$78,IF(Calculation!DR179=37,Worksheet!$BD$79,Worksheet!$BD$80)),IF(Calculation!DS179=10,IF(Calculation!DR179=18,Worksheet!$BD$64,IF(Calculation!DR179=30,Worksheet!$BD$65,IF(Calculation!DR179=42,Worksheet!$BD$66,IF(Calculation!DR179=54,Worksheet!$BD$68,IF(Calculation!DR179=66,Worksheet!$BD$68,IF(Calculation!DR179=78,Worksheet!$BD$69,IF(Calculation!DR179=90,Worksheet!$BD$70,IF(Calculation!DR179=102,Worksheet!$BD$71,Worksheet!$BD$72)))))))),IF(Calculation!DS179=12.5,IF(Calculation!DR179=18,Worksheet!$BD$73,IF(Calculation!DR179=Worksheet!$BD$74,IF(Calculation!DR179=42,Worksheet!$BD$75,IF(Calculation!DR179=54,Worksheet!$BD$76,Worksheet!$BD$77)))),IF(Calculation!DR179=18,Worksheet!$BD$55,IF(Calculation!DR179=30,Worksheet!$BD$56,IF(Calculation!DR179=42,Worksheet!$BD$57,IF(Calculation!DR179=54,Worksheet!$BD$58,IF(Calculation!DR179=66,Worksheet!$BD$59,IF(Calculation!DR179=78,Worksheet!$BD$60,IF(Calculation!DR179=90,Worksheet!$BD$61,IF(Calculation!DR179=102,Worksheet!$BD$62,Worksheet!$BD$63)))))))))))),5),0)," ")</f>
        <v xml:space="preserve"> </v>
      </c>
      <c r="EG179" s="361" t="str">
        <f t="shared" si="468"/>
        <v xml:space="preserve"> </v>
      </c>
      <c r="EH179" s="361" t="e">
        <f ca="1">INDEX(INDIRECT(VLOOKUP(LEFT(BO179,7),CLU!$Z$3:$AH$18,7)),M179-1,3+LEFT(DZ179,1))</f>
        <v>#N/A</v>
      </c>
      <c r="EI179" s="362" t="str">
        <f t="shared" si="469"/>
        <v xml:space="preserve"> </v>
      </c>
      <c r="EJ179" s="363" t="str">
        <f t="shared" si="470"/>
        <v xml:space="preserve"> </v>
      </c>
      <c r="EK179" s="363" t="str">
        <f t="shared" si="471"/>
        <v xml:space="preserve"> </v>
      </c>
      <c r="EL179" s="363" t="str">
        <f t="shared" si="472"/>
        <v xml:space="preserve"> </v>
      </c>
      <c r="EM179" s="362" t="str">
        <f>IF(L179&gt;0,IF(BR179&gt;0,(Calculation!T179/ED179)^2,0)," ")</f>
        <v xml:space="preserve"> </v>
      </c>
      <c r="EN179" s="362" t="str">
        <f>IF(L179&gt;0,IF(O179="2 Pipe (Cooling)","N/A",IF(BR179&gt;0,(Calculation!U179/EI179)^2,0))," ")</f>
        <v xml:space="preserve"> </v>
      </c>
      <c r="EO179" s="361" t="str">
        <f t="shared" si="473"/>
        <v/>
      </c>
      <c r="EP179" s="361" t="str">
        <f t="shared" si="474"/>
        <v/>
      </c>
      <c r="EQ179" s="361" t="str">
        <f t="shared" si="475"/>
        <v/>
      </c>
      <c r="ER179" s="361" t="str">
        <f t="shared" si="476"/>
        <v/>
      </c>
      <c r="ES179" s="361" t="str">
        <f t="shared" si="477"/>
        <v/>
      </c>
      <c r="ET179" s="361" t="str">
        <f t="shared" si="478"/>
        <v/>
      </c>
      <c r="EU179" s="361" t="str">
        <f t="shared" si="479"/>
        <v/>
      </c>
      <c r="EV179" s="361" t="str">
        <f t="shared" si="480"/>
        <v/>
      </c>
      <c r="EW179" s="361" t="str">
        <f t="shared" si="481"/>
        <v/>
      </c>
      <c r="EX179" s="361" t="str">
        <f t="shared" si="571"/>
        <v>1 slot, 1 way</v>
      </c>
      <c r="EY179" s="361" t="str">
        <f t="shared" si="572"/>
        <v xml:space="preserve"> </v>
      </c>
      <c r="EZ179" s="361" t="str">
        <f t="shared" si="573"/>
        <v xml:space="preserve"> </v>
      </c>
      <c r="FA179" s="361" t="str">
        <f t="shared" si="574"/>
        <v xml:space="preserve"> </v>
      </c>
      <c r="FB179" s="361" t="str">
        <f t="shared" si="575"/>
        <v xml:space="preserve"> </v>
      </c>
      <c r="FC179" s="361"/>
      <c r="FD179" s="361" t="str">
        <f>IF(J179&gt;0,IF(Calculation!R179&lt;=70,4,IF(Calculation!R179&lt;=110,5,IF(Calculation!R179&lt;=160,6,IF(Calculation!R179&lt;=300,8,"10 EO")))),"")</f>
        <v/>
      </c>
      <c r="FE179" s="361" t="str">
        <f t="shared" si="576"/>
        <v/>
      </c>
      <c r="FF179" s="361" t="str">
        <f t="shared" si="577"/>
        <v/>
      </c>
      <c r="FG179" s="361" t="e">
        <f t="shared" si="482"/>
        <v>#N/A</v>
      </c>
      <c r="FH179" s="361">
        <f t="shared" si="483"/>
        <v>0</v>
      </c>
      <c r="FI179" s="361" t="e">
        <f t="shared" si="484"/>
        <v>#DIV/0!</v>
      </c>
      <c r="FJ179" s="361"/>
      <c r="FK179" s="356" t="e">
        <f t="shared" si="485"/>
        <v>#VALUE!</v>
      </c>
      <c r="FL179" s="361"/>
      <c r="FM179" s="361"/>
      <c r="FN179" s="362" t="str">
        <f t="shared" si="578"/>
        <v xml:space="preserve"> </v>
      </c>
      <c r="FO179" s="362" t="str">
        <f t="shared" si="579"/>
        <v xml:space="preserve"> </v>
      </c>
      <c r="FP179" s="362">
        <f t="shared" si="580"/>
        <v>0</v>
      </c>
      <c r="FQ179" s="361">
        <f t="shared" si="486"/>
        <v>0</v>
      </c>
      <c r="FR179" s="362" t="str">
        <f>IF(L179&gt;0,IF(J179="CBAL2",Worksheet!$P$67,IF(J179="CBE2-24",Worksheet!$Q$67,IF(J179="CBAM",Worksheet!$R$67,IF(J179="CBLV",Worksheet!$S$67,IF(J179="CBAB",Worksheet!$U$67,IF(J179="CBAW",Worksheet!$X$67,IF(J179="CBE2-12",Worksheet!$Y$67,IF(J179="CBAL2",Worksheet!$Z$67,"N/A"))))))))," ")</f>
        <v xml:space="preserve"> </v>
      </c>
      <c r="FS179" s="362" t="str">
        <f>IF(L179&gt;0,IF(J179="CBAL2",Worksheet!$P$68,IF(J179="CBE2-24",Worksheet!$Q$68,IF(J179="CBAM",Worksheet!$R$68,IF(J179="CBLV",Worksheet!$S$68,IF(J179="CBAB",Worksheet!$U$68,IF(J179="CBAW",Worksheet!$X$68,IF(J179="CBE2-12",Worksheet!$Y$68,IF(J179="CBAL2",Worksheet!$Z$68,"N/A"))))))))," ")</f>
        <v xml:space="preserve"> </v>
      </c>
      <c r="FT179" s="362" t="str">
        <f>IF(L179&gt;0,IF(J179="CBAL2",Worksheet!$P$69,IF(J179="CBE2-24",Worksheet!$Q$69,IF(J179="CBAM",Worksheet!$R$69,IF(J179="CBLV",Worksheet!$S$69,IF(J179="CBAB",Worksheet!$U$69,IF(J179="CBAW",Worksheet!$X$69,IF(J179="CBE2-12",Worksheet!$Y$69,IF(J179="CBAL2",Worksheet!$Z$69,"N/A"))))))))," ")</f>
        <v xml:space="preserve"> </v>
      </c>
      <c r="FU179" s="361" t="str">
        <f t="shared" si="581"/>
        <v xml:space="preserve"> </v>
      </c>
      <c r="FV179" s="362" t="str">
        <f t="shared" si="582"/>
        <v xml:space="preserve"> </v>
      </c>
      <c r="FW179" s="362" t="str">
        <f t="shared" si="583"/>
        <v xml:space="preserve"> </v>
      </c>
      <c r="FX179" s="362" t="str">
        <f t="shared" si="584"/>
        <v xml:space="preserve"> </v>
      </c>
      <c r="FY179" s="355" t="str">
        <f t="shared" si="585"/>
        <v xml:space="preserve"> </v>
      </c>
      <c r="FZ179" s="361" t="str">
        <f t="shared" si="586"/>
        <v xml:space="preserve"> </v>
      </c>
      <c r="GA179" s="347" t="str">
        <f t="shared" si="587"/>
        <v xml:space="preserve"> </v>
      </c>
      <c r="GB179" s="355" t="str">
        <f t="shared" si="588"/>
        <v xml:space="preserve"> </v>
      </c>
      <c r="GC179" s="328" t="str">
        <f t="shared" si="589"/>
        <v xml:space="preserve"> </v>
      </c>
      <c r="GD179" s="361" t="str">
        <f t="shared" si="590"/>
        <v xml:space="preserve"> </v>
      </c>
      <c r="GE179" s="347" t="str">
        <f t="shared" si="591"/>
        <v xml:space="preserve"> </v>
      </c>
      <c r="GF179" s="361" t="str">
        <f t="shared" si="592"/>
        <v xml:space="preserve"> </v>
      </c>
      <c r="GG179" s="347" t="str">
        <f t="shared" si="593"/>
        <v xml:space="preserve"> </v>
      </c>
      <c r="GH179" s="364">
        <f t="shared" si="487"/>
        <v>0</v>
      </c>
      <c r="GI179" s="362">
        <f t="shared" si="594"/>
        <v>2</v>
      </c>
      <c r="GJ179" s="433" t="e">
        <f>IF(6-COUNTBLANK(GT179:GY179)=4,MATCH(MID(BO179,9,3),CLU!$H$16:$K$16),MATCH(MID(BO179,9,3),CLU!$H$13:$M$13))</f>
        <v>#N/A</v>
      </c>
      <c r="GK179" s="433" t="e">
        <f>HLOOKUP(VALUE(BP179),CLU!$H$9:$M$10,2)</f>
        <v>#VALUE!</v>
      </c>
      <c r="GL179" s="433" t="e">
        <f ca="1">MATCH(BU179,CLU!$H$2:$V$2,1)</f>
        <v>#VALUE!</v>
      </c>
      <c r="GM179" s="433" t="e">
        <f t="shared" ca="1" si="595"/>
        <v>#VALUE!</v>
      </c>
      <c r="GN179" s="433" t="e">
        <f t="shared" ca="1" si="596"/>
        <v>#VALUE!</v>
      </c>
      <c r="GO179" s="433" t="e">
        <f t="shared" ca="1" si="597"/>
        <v>#VALUE!</v>
      </c>
      <c r="GP179" s="433" t="e">
        <f t="shared" ca="1" si="598"/>
        <v>#VALUE!</v>
      </c>
      <c r="GQ179" s="433" t="e">
        <f t="shared" ca="1" si="599"/>
        <v>#VALUE!</v>
      </c>
      <c r="GR179" s="433" t="e">
        <f ca="1">MATCH(T179,INDIRECT(VLOOKUP(CONCATENATE(LEFT(BO179,7),"-",MID(BO179,13,1)),CLU!$P$3:$Q$16,2)),1)</f>
        <v>#N/A</v>
      </c>
      <c r="GS179" s="433" t="e">
        <f ca="1">MATCH(U179,INDIRECT(VLOOKUP(CONCATENATE(LEFT(BO179,7),"-",MID(BO179,13,1)),CLU!$P$3:$Q$16,2)),1)</f>
        <v>#N/A</v>
      </c>
      <c r="GT179" s="347" t="s">
        <v>512</v>
      </c>
      <c r="GU179" s="97" t="s">
        <v>513</v>
      </c>
      <c r="GV179" s="97" t="str">
        <f t="shared" si="600"/>
        <v>M23</v>
      </c>
      <c r="GW179" s="97" t="str">
        <f t="shared" si="601"/>
        <v>M31</v>
      </c>
      <c r="GX179" s="97" t="str">
        <f t="shared" si="602"/>
        <v/>
      </c>
      <c r="GY179" s="97" t="str">
        <f t="shared" si="603"/>
        <v/>
      </c>
      <c r="GZ179" s="481"/>
      <c r="HA179" s="288"/>
      <c r="HB179" s="240"/>
      <c r="HC179" s="240"/>
      <c r="HD179" s="240"/>
      <c r="HE179" s="240"/>
      <c r="HF179" s="240"/>
      <c r="HG179" s="240"/>
      <c r="HH179" s="240"/>
      <c r="HI179" s="240"/>
      <c r="HJ179" s="240"/>
      <c r="HK179" s="240"/>
      <c r="HL179" s="240"/>
      <c r="HM179" s="240"/>
      <c r="HN179" s="240"/>
      <c r="HO179" s="240"/>
      <c r="HP179" s="240"/>
      <c r="HQ179" s="240"/>
      <c r="HR179" s="240"/>
      <c r="HS179" s="240"/>
      <c r="HT179" s="240"/>
      <c r="HU179" s="240"/>
      <c r="HV179" s="245"/>
      <c r="HW179" s="245" t="b">
        <v>1</v>
      </c>
      <c r="HX179" s="245" t="str">
        <f t="shared" si="488"/>
        <v/>
      </c>
      <c r="HY179" s="245" t="e">
        <f t="shared" si="489"/>
        <v>#DIV/0!</v>
      </c>
      <c r="HZ179" s="245" t="e">
        <f t="shared" si="490"/>
        <v>#DIV/0!</v>
      </c>
      <c r="IA179" s="245">
        <f t="shared" si="491"/>
        <v>0</v>
      </c>
      <c r="IB179" s="245"/>
      <c r="IC179" t="b">
        <f t="shared" si="492"/>
        <v>1</v>
      </c>
      <c r="ID179" s="245" t="b">
        <f t="shared" si="493"/>
        <v>1</v>
      </c>
      <c r="IE179" s="245" t="b">
        <f t="shared" si="494"/>
        <v>1</v>
      </c>
      <c r="IF179" s="245" t="b">
        <f t="shared" si="495"/>
        <v>0</v>
      </c>
      <c r="IG179" s="245" t="b">
        <f t="shared" si="496"/>
        <v>1</v>
      </c>
      <c r="IH179" s="245" t="b">
        <f t="shared" si="497"/>
        <v>1</v>
      </c>
      <c r="II179" s="245">
        <f t="shared" si="604"/>
        <v>0</v>
      </c>
      <c r="IJ179" s="245" t="e">
        <f t="shared" si="498"/>
        <v>#VALUE!</v>
      </c>
      <c r="IK179" s="245" t="e">
        <f t="shared" si="499"/>
        <v>#VALUE!</v>
      </c>
      <c r="IL179" s="245"/>
      <c r="IM179" s="245" t="e">
        <f t="shared" si="605"/>
        <v>#N/A</v>
      </c>
      <c r="IN179" s="245" t="e">
        <f t="shared" si="606"/>
        <v>#N/A</v>
      </c>
      <c r="IO179" s="245"/>
      <c r="IP179" s="245"/>
      <c r="IQ179" s="245" t="str">
        <f t="shared" si="500"/>
        <v/>
      </c>
      <c r="IR179" s="245" t="str">
        <f>IF(J179="","",VLOOKUP(J179,Worksheet!$R$4:$T$14,2))</f>
        <v/>
      </c>
      <c r="IS179" s="245"/>
      <c r="IT179" s="245">
        <f t="shared" si="501"/>
        <v>0</v>
      </c>
      <c r="IU179" s="245">
        <f t="shared" si="502"/>
        <v>0</v>
      </c>
      <c r="IV179" s="245">
        <f t="shared" si="503"/>
        <v>0</v>
      </c>
      <c r="IW179" s="245">
        <f t="shared" si="504"/>
        <v>0</v>
      </c>
      <c r="IX179" s="245">
        <f t="shared" si="607"/>
        <v>0</v>
      </c>
      <c r="IY179" s="245">
        <f t="shared" si="505"/>
        <v>0</v>
      </c>
      <c r="IZ179" s="245">
        <f t="shared" si="506"/>
        <v>0</v>
      </c>
      <c r="JA179">
        <f t="shared" si="507"/>
        <v>0</v>
      </c>
      <c r="JB179">
        <f t="shared" si="608"/>
        <v>0</v>
      </c>
      <c r="JC179">
        <f t="shared" si="508"/>
        <v>0</v>
      </c>
      <c r="JD179">
        <f t="shared" si="509"/>
        <v>0</v>
      </c>
      <c r="JE179">
        <f t="shared" si="510"/>
        <v>0</v>
      </c>
      <c r="JF179">
        <f t="shared" si="511"/>
        <v>0</v>
      </c>
      <c r="JG179">
        <f t="shared" si="512"/>
        <v>0</v>
      </c>
      <c r="JH179">
        <f t="shared" si="513"/>
        <v>0</v>
      </c>
      <c r="JI179">
        <f t="shared" si="514"/>
        <v>0</v>
      </c>
      <c r="JJ179" s="447">
        <f t="shared" si="515"/>
        <v>0</v>
      </c>
      <c r="JK179" s="447">
        <f t="shared" si="516"/>
        <v>0</v>
      </c>
      <c r="JL179">
        <f t="shared" si="517"/>
        <v>0</v>
      </c>
      <c r="JM179" s="245" t="str">
        <f>IFERROR(VLOOKUP(MATCH(BN179,#REF!,0),#REF!,7),"")</f>
        <v/>
      </c>
      <c r="JN179" t="e">
        <f>HLOOKUP(LEFT(BO179,7),Discharge_Area,MATCH(JO179,LookUps!$B$130:$B$149,1)+2)</f>
        <v>#N/A</v>
      </c>
      <c r="JO179" t="str">
        <f t="shared" si="518"/>
        <v>- S</v>
      </c>
      <c r="JP179" t="e">
        <f>HLOOKUP(LEFT(BO179,7),Discharge_Area,MATCH(JO179,LookUps!$B$130:$B$149,1)+2)</f>
        <v>#N/A</v>
      </c>
      <c r="JQ179" t="e">
        <f t="shared" si="519"/>
        <v>#N/A</v>
      </c>
      <c r="JR179" t="e">
        <f t="shared" si="520"/>
        <v>#N/A</v>
      </c>
      <c r="JS179" t="e">
        <f t="shared" si="521"/>
        <v>#N/A</v>
      </c>
      <c r="JT179" s="532" t="str">
        <f t="shared" si="522"/>
        <v xml:space="preserve"> </v>
      </c>
      <c r="JU179" s="532" t="str">
        <f t="shared" si="523"/>
        <v xml:space="preserve"> </v>
      </c>
      <c r="JV179" s="533" t="str">
        <f t="shared" si="524"/>
        <v xml:space="preserve"> </v>
      </c>
      <c r="JW179" s="534">
        <f t="shared" si="525"/>
        <v>0</v>
      </c>
      <c r="JX179" s="535" t="str">
        <f t="shared" si="609"/>
        <v xml:space="preserve"> </v>
      </c>
      <c r="JY179" s="535" t="str">
        <f t="shared" si="610"/>
        <v xml:space="preserve"> </v>
      </c>
      <c r="JZ179" s="535" t="str">
        <f t="shared" si="611"/>
        <v xml:space="preserve"> </v>
      </c>
      <c r="KA179" s="536" t="str">
        <f t="shared" si="526"/>
        <v xml:space="preserve"> </v>
      </c>
      <c r="KB179" s="535" t="e">
        <f t="shared" si="612"/>
        <v>#VALUE!</v>
      </c>
      <c r="KC179" s="535" t="str">
        <f t="shared" si="527"/>
        <v/>
      </c>
      <c r="KD179" s="537" t="str">
        <f t="shared" si="613"/>
        <v xml:space="preserve"> </v>
      </c>
      <c r="KE179" s="537" t="str">
        <f t="shared" si="614"/>
        <v xml:space="preserve"> </v>
      </c>
      <c r="KF179" s="534">
        <f t="shared" si="528"/>
        <v>0</v>
      </c>
      <c r="KG179" s="535" t="str">
        <f t="shared" si="529"/>
        <v xml:space="preserve"> </v>
      </c>
      <c r="KH179" s="535" t="str">
        <f t="shared" si="530"/>
        <v xml:space="preserve"> </v>
      </c>
      <c r="KI179" s="535" t="str">
        <f t="shared" si="531"/>
        <v xml:space="preserve"> </v>
      </c>
      <c r="KJ179" s="536" t="str">
        <f t="shared" si="532"/>
        <v xml:space="preserve"> </v>
      </c>
      <c r="KK179" s="535" t="str">
        <f t="shared" si="615"/>
        <v xml:space="preserve"> </v>
      </c>
      <c r="KL179" s="535" t="str">
        <f t="shared" si="616"/>
        <v xml:space="preserve"> </v>
      </c>
      <c r="KM179" s="537" t="str">
        <f t="shared" si="533"/>
        <v xml:space="preserve"> </v>
      </c>
      <c r="KN179" s="537" t="str">
        <f t="shared" si="617"/>
        <v xml:space="preserve"> </v>
      </c>
      <c r="KP179">
        <f t="shared" si="534"/>
        <v>0</v>
      </c>
      <c r="LA179" t="e">
        <f t="shared" si="535"/>
        <v>#VALUE!</v>
      </c>
      <c r="LB179" t="e">
        <f t="shared" si="536"/>
        <v>#VALUE!</v>
      </c>
      <c r="LC179" t="e">
        <f t="shared" si="537"/>
        <v>#VALUE!</v>
      </c>
      <c r="LD179" t="e">
        <f t="shared" si="538"/>
        <v>#VALUE!</v>
      </c>
      <c r="LE179" t="e">
        <f t="shared" si="618"/>
        <v>#VALUE!</v>
      </c>
      <c r="LF179">
        <f t="shared" si="539"/>
        <v>0</v>
      </c>
      <c r="LG179" t="e">
        <f t="shared" si="619"/>
        <v>#VALUE!</v>
      </c>
      <c r="LH179" t="str">
        <f t="shared" si="540"/>
        <v xml:space="preserve"> </v>
      </c>
      <c r="LI179">
        <f t="shared" si="620"/>
        <v>1</v>
      </c>
    </row>
    <row r="180" spans="2:321" ht="15" customHeight="1">
      <c r="B180" s="311"/>
      <c r="C180" s="311"/>
      <c r="D180" s="312"/>
      <c r="E180" s="311"/>
      <c r="F180" s="312"/>
      <c r="G180" s="311"/>
      <c r="H180" s="311"/>
      <c r="I180" s="37"/>
      <c r="J180" s="311"/>
      <c r="K180" s="305" t="str">
        <f t="shared" si="541"/>
        <v/>
      </c>
      <c r="L180" s="313"/>
      <c r="M180" s="312"/>
      <c r="N180" s="311"/>
      <c r="O180" s="312"/>
      <c r="P180" s="311"/>
      <c r="Q180" s="305" t="str">
        <f t="shared" si="542"/>
        <v/>
      </c>
      <c r="R180" s="314"/>
      <c r="S180" s="450" t="str">
        <f t="shared" si="425"/>
        <v/>
      </c>
      <c r="T180" s="315"/>
      <c r="U180" s="315"/>
      <c r="W180" s="149" t="str">
        <f t="shared" si="426"/>
        <v xml:space="preserve"> </v>
      </c>
      <c r="X180" s="243" t="str">
        <f t="shared" si="427"/>
        <v xml:space="preserve"> </v>
      </c>
      <c r="Y180" s="150" t="str">
        <f t="shared" si="428"/>
        <v/>
      </c>
      <c r="Z180" s="149" t="str">
        <f t="shared" si="429"/>
        <v xml:space="preserve"> </v>
      </c>
      <c r="AA180" s="98" t="str">
        <f t="shared" si="430"/>
        <v xml:space="preserve"> </v>
      </c>
      <c r="AB180" s="153" t="str">
        <f t="shared" si="431"/>
        <v xml:space="preserve"> </v>
      </c>
      <c r="AC180" s="153" t="str">
        <f t="shared" si="432"/>
        <v xml:space="preserve"> </v>
      </c>
      <c r="AD180" s="148" t="str">
        <f t="shared" si="433"/>
        <v/>
      </c>
      <c r="AE180" s="149" t="str">
        <f t="shared" si="434"/>
        <v/>
      </c>
      <c r="AF180" s="151" t="str">
        <f t="shared" si="435"/>
        <v xml:space="preserve"> </v>
      </c>
      <c r="AG180" s="153" t="str">
        <f t="shared" si="436"/>
        <v xml:space="preserve"> </v>
      </c>
      <c r="AH180" s="98" t="str">
        <f t="shared" si="437"/>
        <v xml:space="preserve"> </v>
      </c>
      <c r="AI180" s="149" t="str">
        <f t="shared" si="438"/>
        <v xml:space="preserve"> </v>
      </c>
      <c r="AK180" s="144" t="str">
        <f t="shared" si="439"/>
        <v xml:space="preserve"> </v>
      </c>
      <c r="AL180" s="144"/>
      <c r="AM180" s="243" t="str">
        <f t="shared" si="440"/>
        <v xml:space="preserve"> </v>
      </c>
      <c r="AN180" s="149" t="str">
        <f t="shared" si="543"/>
        <v xml:space="preserve"> </v>
      </c>
      <c r="AO180" s="144" t="str">
        <f>IF(JB180&gt;0,IF(GI180=10,-R180*1.085*(Calculation!$F$6-Calculation!$F$13)*$S$14," "),"")</f>
        <v/>
      </c>
      <c r="AP180" s="144" t="str">
        <f t="shared" si="441"/>
        <v/>
      </c>
      <c r="AQ180" s="56" t="str">
        <f t="shared" si="442"/>
        <v/>
      </c>
      <c r="AR180" s="144" t="str">
        <f t="shared" si="443"/>
        <v/>
      </c>
      <c r="AS180" s="176" t="str">
        <f t="shared" si="444"/>
        <v/>
      </c>
      <c r="AT180" s="176" t="str">
        <f t="shared" si="544"/>
        <v xml:space="preserve"> </v>
      </c>
      <c r="AU180" s="176" t="str">
        <f t="shared" si="445"/>
        <v/>
      </c>
      <c r="AV180" s="177" t="str">
        <f t="shared" si="446"/>
        <v xml:space="preserve"> </v>
      </c>
      <c r="AW180" s="144" t="str">
        <f t="shared" si="447"/>
        <v xml:space="preserve"> </v>
      </c>
      <c r="AX180" s="144" t="str">
        <f t="shared" si="448"/>
        <v xml:space="preserve"> </v>
      </c>
      <c r="AY180" s="152" t="str">
        <f t="shared" si="449"/>
        <v xml:space="preserve"> </v>
      </c>
      <c r="AZ180" s="246" t="str">
        <f t="shared" si="450"/>
        <v/>
      </c>
      <c r="BA180" s="176" t="str">
        <f t="shared" si="451"/>
        <v xml:space="preserve"> </v>
      </c>
      <c r="BB180" s="176" t="str">
        <f t="shared" si="452"/>
        <v xml:space="preserve"> </v>
      </c>
      <c r="BC180" s="195"/>
      <c r="BD180" s="316"/>
      <c r="BE180" s="317"/>
      <c r="BF180" s="318"/>
      <c r="BG180" s="318"/>
      <c r="BH180" s="144" t="str">
        <f t="shared" si="621"/>
        <v xml:space="preserve"> </v>
      </c>
      <c r="BI180" s="176" t="str">
        <f t="shared" si="453"/>
        <v/>
      </c>
      <c r="BJ180" s="144" t="str">
        <f t="shared" si="622"/>
        <v/>
      </c>
      <c r="BK180" s="246" t="str">
        <f t="shared" si="454"/>
        <v/>
      </c>
      <c r="BL180" s="144" t="str">
        <f t="shared" si="623"/>
        <v/>
      </c>
      <c r="BM180" s="246" t="str">
        <f t="shared" si="455"/>
        <v/>
      </c>
      <c r="BN180" s="337" t="str">
        <f t="shared" si="545"/>
        <v/>
      </c>
      <c r="BO180" s="371" t="str">
        <f t="shared" si="546"/>
        <v/>
      </c>
      <c r="BP180" s="328" t="str">
        <f t="shared" si="624"/>
        <v xml:space="preserve"> </v>
      </c>
      <c r="BQ180" s="347" t="str">
        <f t="shared" si="547"/>
        <v xml:space="preserve"> </v>
      </c>
      <c r="BR180" s="353" t="str">
        <f t="shared" si="548"/>
        <v xml:space="preserve"> </v>
      </c>
      <c r="BS180" s="626" t="str">
        <f>IF(L180&gt;0,IF(Calculation!P180="M13",BR180*3.1416*(0.134^2)/(4*144),IF(Calculation!P180="M17",BR180*3.1416*(0.165^2)/(4*144),IF(Calculation!P180="M20",BR180*3.1416*(0.198^2)/(4*144),IF(Calculation!P180="M23",BR180*3.1416*(0.228^2)/(4*144),IF(Calculation!P180="M27",BR180*3.1416*(0.269^2)/(4*144),BR180*3.1416*(0.307^2)/(4*144))))))," ")</f>
        <v xml:space="preserve"> </v>
      </c>
      <c r="BT180" s="353" t="str">
        <f>IF(L180&gt;0,IF(BS180&gt;0,R180/Calculation!BS180,0)," ")</f>
        <v xml:space="preserve"> </v>
      </c>
      <c r="BU180" s="438" t="e">
        <f t="shared" ca="1" si="456"/>
        <v>#VALUE!</v>
      </c>
      <c r="BV180" s="449" t="e">
        <f ca="1">INDEX(INDIRECT(VLOOKUP(LEFT(BO180,7),CLU!$Z$3:$AH$18,2)),GN180,GR180)</f>
        <v>#N/A</v>
      </c>
      <c r="BW180" s="433" t="e">
        <f ca="1">INDEX(INDIRECT(VLOOKUP(LEFT(BO180,7),CLU!$Z$3:$AH$18,3)),GN180,GR180)</f>
        <v>#N/A</v>
      </c>
      <c r="BX180" s="433" t="e">
        <f ca="1">INDEX(INDIRECT(VLOOKUP(LEFT(BO180,7),CLU!$Z$3:$AH$18,4)),GN180,GR180)</f>
        <v>#N/A</v>
      </c>
      <c r="BY180" s="433" t="e">
        <f ca="1">INDEX(INDIRECT(VLOOKUP(LEFT(BO180,7),CLU!$Z$3:$AH$18,9)),((M180-2)*(6-COUNTBLANK(GT180:GY180)))+GJ180)</f>
        <v>#N/A</v>
      </c>
      <c r="BZ180" s="426" t="e">
        <f t="shared" ca="1" si="549"/>
        <v>#N/A</v>
      </c>
      <c r="CA180" s="424" t="e">
        <f t="shared" ca="1" si="550"/>
        <v>#N/A</v>
      </c>
      <c r="CB180" s="429" t="e">
        <f ca="1">INDEX(INDIRECT(VLOOKUP(LEFT(BO180,7),CLU!$Z$3:$AH$18,2)),GN180,GS180)</f>
        <v>#N/A</v>
      </c>
      <c r="CC180" s="342" t="e">
        <f ca="1">INDEX(INDIRECT(VLOOKUP(LEFT(BO180,7),CLU!$Z$3:$AH$18,3)),GN180,GS180)</f>
        <v>#N/A</v>
      </c>
      <c r="CD180" s="342" t="e">
        <f ca="1">INDEX(INDIRECT(VLOOKUP(LEFT(BO180,7),CLU!$Z$3:$AH$18,4)),GN180,GS180)</f>
        <v>#N/A</v>
      </c>
      <c r="CE180" s="426" t="e">
        <f t="shared" ca="1" si="551"/>
        <v>#N/A</v>
      </c>
      <c r="CF180" s="440">
        <f t="shared" si="552"/>
        <v>0</v>
      </c>
      <c r="CG180" s="431" t="e">
        <f ca="1">INDEX(INDIRECT(VLOOKUP(LEFT(BO180,7),CLU!$Z$3:$AH$18,2)),GQ180,GR180)</f>
        <v>#N/A</v>
      </c>
      <c r="CH180" s="431" t="e">
        <f ca="1">INDEX(INDIRECT(VLOOKUP(LEFT(BO180,7),CLU!$Z$3:$AH$18,3)),GQ180,GR180)</f>
        <v>#N/A</v>
      </c>
      <c r="CI180" s="431" t="e">
        <f ca="1">INDEX(INDIRECT(VLOOKUP(LEFT(BO180,7),CLU!$Z$3:$AH$18,4)),GQ180,GR180)</f>
        <v>#N/A</v>
      </c>
      <c r="CJ180" s="448" t="e">
        <f t="shared" ca="1" si="553"/>
        <v>#N/A</v>
      </c>
      <c r="CK180" s="431" t="e">
        <f t="shared" ca="1" si="554"/>
        <v>#N/A</v>
      </c>
      <c r="CL180" s="440" t="e">
        <f t="shared" ca="1" si="555"/>
        <v>#N/A</v>
      </c>
      <c r="CM180" s="431" t="e">
        <f ca="1">INDEX(INDIRECT(VLOOKUP(LEFT(BO180,7),CLU!$Z$3:$AH$18,2)),GQ180,GS180)</f>
        <v>#N/A</v>
      </c>
      <c r="CN180" s="431" t="e">
        <f ca="1">INDEX(INDIRECT(VLOOKUP(LEFT(BO180,7),CLU!$Z$3:$AH$18,3)),GQ180,GS180)</f>
        <v>#N/A</v>
      </c>
      <c r="CO180" s="431" t="e">
        <f ca="1">INDEX(INDIRECT(VLOOKUP(LEFT(BO180,7),CLU!$Z$3:$AH$18,4)),GQ180,GS180)</f>
        <v>#N/A</v>
      </c>
      <c r="CP180" s="431" t="e">
        <f t="shared" ca="1" si="556"/>
        <v>#N/A</v>
      </c>
      <c r="CQ180" s="440">
        <f t="shared" si="557"/>
        <v>0</v>
      </c>
      <c r="CR180" s="51" t="e">
        <f t="shared" ca="1" si="558"/>
        <v>#N/A</v>
      </c>
      <c r="CS180" s="439" t="e">
        <f t="shared" ca="1" si="559"/>
        <v>#VALUE!</v>
      </c>
      <c r="CT180" s="51" t="e">
        <f t="shared" ca="1" si="560"/>
        <v>#VALUE!</v>
      </c>
      <c r="CU180" s="10"/>
      <c r="CV180" s="51" t="e">
        <f t="shared" ca="1" si="457"/>
        <v>#VALUE!</v>
      </c>
      <c r="CW180" s="51">
        <f t="shared" si="561"/>
        <v>0</v>
      </c>
      <c r="CX180" s="439" t="e">
        <f t="shared" ca="1" si="562"/>
        <v>#VALUE!</v>
      </c>
      <c r="CY180" s="51" t="e">
        <f t="shared" ca="1" si="563"/>
        <v>#VALUE!</v>
      </c>
      <c r="CZ180" s="10"/>
      <c r="DA180" s="51" t="e">
        <f t="shared" ca="1" si="564"/>
        <v>#VALUE!</v>
      </c>
      <c r="DB180" s="347" t="e">
        <f ca="1">INDEX(INDIRECT(VLOOKUP(LEFT(BO180,7),CLU!$Z$3:$AI$18,10)),((M180-2)*(6-COUNTBLANK(GT180:GY180)))+GJ180)*LI180</f>
        <v>#N/A</v>
      </c>
      <c r="DC180" s="347" t="str">
        <f>IF(L180&gt;0,((R180/Worksheet!$I$15)/DB180)^2," ")</f>
        <v xml:space="preserve"> </v>
      </c>
      <c r="DD180" s="602" t="str">
        <f t="shared" si="565"/>
        <v xml:space="preserve"> </v>
      </c>
      <c r="DE180" s="347" t="str">
        <f t="shared" si="458"/>
        <v xml:space="preserve"> </v>
      </c>
      <c r="DF180" s="356" t="e">
        <f ca="1">INDEX(INDIRECT(VLOOKUP(LEFT(BO180,7),CLU!$Z$3:$AH$18,8)),((M180-2)*(6-COUNTBLANK(GT180:GY180)))+GJ180)</f>
        <v>#N/A</v>
      </c>
      <c r="DG180" s="347" t="str">
        <f t="shared" si="459"/>
        <v xml:space="preserve"> </v>
      </c>
      <c r="DH180" s="357" t="str">
        <f t="shared" si="460"/>
        <v xml:space="preserve"> </v>
      </c>
      <c r="DI180" s="355" t="str">
        <f t="shared" si="461"/>
        <v xml:space="preserve"> </v>
      </c>
      <c r="DJ180" s="245" t="e">
        <f ca="1">INDEX(INDIRECT(VLOOKUP(LEFT(BO180,7),CLU!$Z$3:$AH$18,5)),GL180,GK180)</f>
        <v>#N/A</v>
      </c>
      <c r="DK180" s="245" t="e">
        <f ca="1">INDEX(INDIRECT(VLOOKUP(LEFT(BO180,7),CLU!$Z$3:$AH$18,6)),GL180,GK180)</f>
        <v>#N/A</v>
      </c>
      <c r="DL180" s="355">
        <f>(Calculation!R180*0.69143*(Calculation!$BQ$8-Calculation!$F$8))*$S$14</f>
        <v>0</v>
      </c>
      <c r="DM180" s="359" t="e">
        <f t="shared" si="566"/>
        <v>#VALUE!</v>
      </c>
      <c r="DN180" s="611">
        <f t="shared" si="567"/>
        <v>0</v>
      </c>
      <c r="DO180" s="359">
        <f t="shared" si="568"/>
        <v>100</v>
      </c>
      <c r="DP180" s="359">
        <f t="shared" si="569"/>
        <v>0</v>
      </c>
      <c r="DQ180" s="360"/>
      <c r="DR180" s="245" t="e">
        <f ca="1">INDEX(INDIRECT(VLOOKUP(LEFT(BO180,7),CLU!$Z$3:$AH$18,7)),M180-1,1)</f>
        <v>#N/A</v>
      </c>
      <c r="DS180" s="245" t="e">
        <f ca="1">INDEX(INDIRECT(VLOOKUP(LEFT(BO180,7),CLU!$Z$3:$AH$18,7)),M180-1,2)</f>
        <v>#N/A</v>
      </c>
      <c r="DT180" s="245" t="e">
        <f ca="1">INDEX(INDIRECT(VLOOKUP(LEFT(BO180,7),CLU!$Z$3:$AH$18,7)),M180-1,3)</f>
        <v>#N/A</v>
      </c>
      <c r="DU180" s="245" t="e">
        <f ca="1">INDEX(INDIRECT(VLOOKUP(LEFT(BO180,7),CLU!$Z$3:$AH$18,7)),M180-1,4)</f>
        <v>#N/A</v>
      </c>
      <c r="DV180" s="361" t="e">
        <f ca="1">INDEX(INDIRECT(VLOOKUP(LEFT(BO180,7),CLU!$Z$3:$AH$18,7)),M180-1,4+LEFT(DZ180,1)*0.5)</f>
        <v>#N/A</v>
      </c>
      <c r="DW180" s="245" t="e">
        <f ca="1">INDEX(INDIRECT(VLOOKUP(LEFT(BO180,7),CLU!$Z$3:$AH$18,7)),M180-1,8)</f>
        <v>#N/A</v>
      </c>
      <c r="DX180" s="361" t="str">
        <f t="shared" si="462"/>
        <v xml:space="preserve"> </v>
      </c>
      <c r="DY180" s="361" t="str">
        <f t="shared" si="463"/>
        <v xml:space="preserve"> </v>
      </c>
      <c r="DZ180" s="361" t="str">
        <f t="shared" si="464"/>
        <v xml:space="preserve"> </v>
      </c>
      <c r="EA180" s="362" t="str">
        <f t="shared" si="465"/>
        <v xml:space="preserve"> </v>
      </c>
      <c r="EB180" s="624" t="str">
        <f t="shared" si="570"/>
        <v xml:space="preserve"> </v>
      </c>
      <c r="EC180" s="361" t="e">
        <f ca="1">INDEX(INDIRECT(VLOOKUP(LEFT(BO180,7),CLU!$Z$3:$AH$18,7)),M180-1,4+LEFT(DZ180,1)*0.5)</f>
        <v>#N/A</v>
      </c>
      <c r="ED180" s="362" t="str">
        <f t="shared" si="466"/>
        <v xml:space="preserve"> </v>
      </c>
      <c r="EE180" s="361" t="str">
        <f t="shared" si="467"/>
        <v xml:space="preserve"> </v>
      </c>
      <c r="EF180" s="362" t="str">
        <f>IF(L180&gt;0,IF(BR180&gt;0,IF(EE180="2P",IF(Calculation!DZ180="2P",IF(Calculation!DS180=13.75,IF(Calculation!DR180=13,Worksheet!$BD$43,IF(Calculation!DR180=37,Worksheet!$BD$44,Worksheet!$BD$45)),IF(Calculation!DS180=10,IF(Calculation!DR180=18,Worksheet!$BD$29,IF(Calculation!DR180=30,Worksheet!$BD$30,IF(Calculation!DR180=42,Worksheet!$BD$31,IF(Calculation!DR180=54,Worksheet!$BD$32,IF(Calculation!DR180=66,Worksheet!$BD$33,IF(Calculation!DR180=78,Worksheet!$BD$34,IF(Calculation!DR180=90,Worksheet!$BD$35,IF(Calculation!DR180=102,Worksheet!$BD$36,Worksheet!$BD$37)))))))),IF(Calculation!DS180=12.5,IF(Calculation!DR180=18,Worksheet!$BD$38,IF(Calculation!DR180=Worksheet!$BD$39,IF(Calculation!DR180=42,Worksheet!$BD$40,IF(Calculation!DR180=54,Worksheet!$BD$41,Worksheet!$BD$42)))),IF(Calculation!DR180=18,Worksheet!$BD$11,IF(Calculation!DR180=30,Worksheet!$BD$12,IF(Calculation!DR180=42,Worksheet!$BD$13,IF(Calculation!DR180=54,Worksheet!$BD$14,IF(Calculation!DR180=66,Worksheet!$BD$15,IF(Calculation!DR180=78,Worksheet!$BD$16,IF(Calculation!DR180=90,Worksheet!$BD$17,IF(Calculation!DR180=102,Worksheet!$BD$18,Worksheet!$BD$19))))))))))),IF(Calculation!DS180=13.75,IF(Calculation!DR180=13,Worksheet!$BD$78,IF(Calculation!DR180=37,Worksheet!$BD$79,Worksheet!$BD$80)),IF(Calculation!DS180=10,IF(Calculation!DR180=18,Worksheet!$BD$64,IF(Calculation!DR180=30,Worksheet!$BD$65,IF(Calculation!DR180=42,Worksheet!$BD$66,IF(Calculation!DR180=54,Worksheet!$BD$68,IF(Calculation!DR180=66,Worksheet!$BD$68,IF(Calculation!DR180=78,Worksheet!$BD$69,IF(Calculation!DR180=90,Worksheet!$BD$70,IF(Calculation!DR180=102,Worksheet!$BD$71,Worksheet!$BD$72)))))))),IF(Calculation!DS180=12.5,IF(Calculation!DR180=18,Worksheet!$BD$73,IF(Calculation!DR180=Worksheet!$BD$74,IF(Calculation!DR180=42,Worksheet!$BD$75,IF(Calculation!DR180=54,Worksheet!$BD$76,Worksheet!$BD$77)))),IF(Calculation!DR180=18,Worksheet!$BD$55,IF(Calculation!DR180=30,Worksheet!$BD$56,IF(Calculation!DR180=42,Worksheet!$BD$57,IF(Calculation!DR180=54,Worksheet!$BD$58,IF(Calculation!DR180=66,Worksheet!$BD$59,IF(Calculation!DR180=78,Worksheet!$BD$60,IF(Calculation!DR180=90,Worksheet!$BD$61,IF(Calculation!DR180=102,Worksheet!$BD$62,Worksheet!$BD$63)))))))))))),5),0)," ")</f>
        <v xml:space="preserve"> </v>
      </c>
      <c r="EG180" s="361" t="str">
        <f t="shared" si="468"/>
        <v xml:space="preserve"> </v>
      </c>
      <c r="EH180" s="361" t="e">
        <f ca="1">INDEX(INDIRECT(VLOOKUP(LEFT(BO180,7),CLU!$Z$3:$AH$18,7)),M180-1,3+LEFT(DZ180,1))</f>
        <v>#N/A</v>
      </c>
      <c r="EI180" s="362" t="str">
        <f t="shared" si="469"/>
        <v xml:space="preserve"> </v>
      </c>
      <c r="EJ180" s="363" t="str">
        <f t="shared" si="470"/>
        <v xml:space="preserve"> </v>
      </c>
      <c r="EK180" s="363" t="str">
        <f t="shared" si="471"/>
        <v xml:space="preserve"> </v>
      </c>
      <c r="EL180" s="363" t="str">
        <f t="shared" si="472"/>
        <v xml:space="preserve"> </v>
      </c>
      <c r="EM180" s="362" t="str">
        <f>IF(L180&gt;0,IF(BR180&gt;0,(Calculation!T180/ED180)^2,0)," ")</f>
        <v xml:space="preserve"> </v>
      </c>
      <c r="EN180" s="362" t="str">
        <f>IF(L180&gt;0,IF(O180="2 Pipe (Cooling)","N/A",IF(BR180&gt;0,(Calculation!U180/EI180)^2,0))," ")</f>
        <v xml:space="preserve"> </v>
      </c>
      <c r="EO180" s="361" t="str">
        <f t="shared" si="473"/>
        <v/>
      </c>
      <c r="EP180" s="361" t="str">
        <f t="shared" si="474"/>
        <v/>
      </c>
      <c r="EQ180" s="361" t="str">
        <f t="shared" si="475"/>
        <v/>
      </c>
      <c r="ER180" s="361" t="str">
        <f t="shared" si="476"/>
        <v/>
      </c>
      <c r="ES180" s="361" t="str">
        <f t="shared" si="477"/>
        <v/>
      </c>
      <c r="ET180" s="361" t="str">
        <f t="shared" si="478"/>
        <v/>
      </c>
      <c r="EU180" s="361" t="str">
        <f t="shared" si="479"/>
        <v/>
      </c>
      <c r="EV180" s="361" t="str">
        <f t="shared" si="480"/>
        <v/>
      </c>
      <c r="EW180" s="361" t="str">
        <f t="shared" si="481"/>
        <v/>
      </c>
      <c r="EX180" s="361" t="str">
        <f t="shared" si="571"/>
        <v>1 slot, 1 way</v>
      </c>
      <c r="EY180" s="361" t="str">
        <f t="shared" si="572"/>
        <v xml:space="preserve"> </v>
      </c>
      <c r="EZ180" s="361" t="str">
        <f t="shared" si="573"/>
        <v xml:space="preserve"> </v>
      </c>
      <c r="FA180" s="361" t="str">
        <f t="shared" si="574"/>
        <v xml:space="preserve"> </v>
      </c>
      <c r="FB180" s="361" t="str">
        <f t="shared" si="575"/>
        <v xml:space="preserve"> </v>
      </c>
      <c r="FC180" s="361"/>
      <c r="FD180" s="361" t="str">
        <f>IF(J180&gt;0,IF(Calculation!R180&lt;=70,4,IF(Calculation!R180&lt;=110,5,IF(Calculation!R180&lt;=160,6,IF(Calculation!R180&lt;=300,8,"10 EO")))),"")</f>
        <v/>
      </c>
      <c r="FE180" s="361" t="str">
        <f t="shared" si="576"/>
        <v/>
      </c>
      <c r="FF180" s="361" t="str">
        <f t="shared" si="577"/>
        <v/>
      </c>
      <c r="FG180" s="361" t="e">
        <f t="shared" si="482"/>
        <v>#N/A</v>
      </c>
      <c r="FH180" s="361">
        <f t="shared" si="483"/>
        <v>0</v>
      </c>
      <c r="FI180" s="361" t="e">
        <f t="shared" si="484"/>
        <v>#DIV/0!</v>
      </c>
      <c r="FJ180" s="361"/>
      <c r="FK180" s="356" t="e">
        <f t="shared" si="485"/>
        <v>#VALUE!</v>
      </c>
      <c r="FL180" s="361"/>
      <c r="FM180" s="361"/>
      <c r="FN180" s="362" t="str">
        <f t="shared" si="578"/>
        <v xml:space="preserve"> </v>
      </c>
      <c r="FO180" s="362" t="str">
        <f t="shared" si="579"/>
        <v xml:space="preserve"> </v>
      </c>
      <c r="FP180" s="362">
        <f t="shared" si="580"/>
        <v>0</v>
      </c>
      <c r="FQ180" s="361">
        <f t="shared" si="486"/>
        <v>0</v>
      </c>
      <c r="FR180" s="362" t="str">
        <f>IF(L180&gt;0,IF(J180="CBAL2",Worksheet!$P$67,IF(J180="CBE2-24",Worksheet!$Q$67,IF(J180="CBAM",Worksheet!$R$67,IF(J180="CBLV",Worksheet!$S$67,IF(J180="CBAB",Worksheet!$U$67,IF(J180="CBAW",Worksheet!$X$67,IF(J180="CBE2-12",Worksheet!$Y$67,IF(J180="CBAL2",Worksheet!$Z$67,"N/A"))))))))," ")</f>
        <v xml:space="preserve"> </v>
      </c>
      <c r="FS180" s="362" t="str">
        <f>IF(L180&gt;0,IF(J180="CBAL2",Worksheet!$P$68,IF(J180="CBE2-24",Worksheet!$Q$68,IF(J180="CBAM",Worksheet!$R$68,IF(J180="CBLV",Worksheet!$S$68,IF(J180="CBAB",Worksheet!$U$68,IF(J180="CBAW",Worksheet!$X$68,IF(J180="CBE2-12",Worksheet!$Y$68,IF(J180="CBAL2",Worksheet!$Z$68,"N/A"))))))))," ")</f>
        <v xml:space="preserve"> </v>
      </c>
      <c r="FT180" s="362" t="str">
        <f>IF(L180&gt;0,IF(J180="CBAL2",Worksheet!$P$69,IF(J180="CBE2-24",Worksheet!$Q$69,IF(J180="CBAM",Worksheet!$R$69,IF(J180="CBLV",Worksheet!$S$69,IF(J180="CBAB",Worksheet!$U$69,IF(J180="CBAW",Worksheet!$X$69,IF(J180="CBE2-12",Worksheet!$Y$69,IF(J180="CBAL2",Worksheet!$Z$69,"N/A"))))))))," ")</f>
        <v xml:space="preserve"> </v>
      </c>
      <c r="FU180" s="361" t="str">
        <f t="shared" si="581"/>
        <v xml:space="preserve"> </v>
      </c>
      <c r="FV180" s="362" t="str">
        <f t="shared" si="582"/>
        <v xml:space="preserve"> </v>
      </c>
      <c r="FW180" s="362" t="str">
        <f t="shared" si="583"/>
        <v xml:space="preserve"> </v>
      </c>
      <c r="FX180" s="362" t="str">
        <f t="shared" si="584"/>
        <v xml:space="preserve"> </v>
      </c>
      <c r="FY180" s="355" t="str">
        <f t="shared" si="585"/>
        <v xml:space="preserve"> </v>
      </c>
      <c r="FZ180" s="361" t="str">
        <f t="shared" si="586"/>
        <v xml:space="preserve"> </v>
      </c>
      <c r="GA180" s="347" t="str">
        <f t="shared" si="587"/>
        <v xml:space="preserve"> </v>
      </c>
      <c r="GB180" s="355" t="str">
        <f t="shared" si="588"/>
        <v xml:space="preserve"> </v>
      </c>
      <c r="GC180" s="328" t="str">
        <f t="shared" si="589"/>
        <v xml:space="preserve"> </v>
      </c>
      <c r="GD180" s="361" t="str">
        <f t="shared" si="590"/>
        <v xml:space="preserve"> </v>
      </c>
      <c r="GE180" s="347" t="str">
        <f t="shared" si="591"/>
        <v xml:space="preserve"> </v>
      </c>
      <c r="GF180" s="361" t="str">
        <f t="shared" si="592"/>
        <v xml:space="preserve"> </v>
      </c>
      <c r="GG180" s="347" t="str">
        <f t="shared" si="593"/>
        <v xml:space="preserve"> </v>
      </c>
      <c r="GH180" s="364">
        <f t="shared" si="487"/>
        <v>0</v>
      </c>
      <c r="GI180" s="362">
        <f t="shared" si="594"/>
        <v>2</v>
      </c>
      <c r="GJ180" s="433" t="e">
        <f>IF(6-COUNTBLANK(GT180:GY180)=4,MATCH(MID(BO180,9,3),CLU!$H$16:$K$16),MATCH(MID(BO180,9,3),CLU!$H$13:$M$13))</f>
        <v>#N/A</v>
      </c>
      <c r="GK180" s="433" t="e">
        <f>HLOOKUP(VALUE(BP180),CLU!$H$9:$M$10,2)</f>
        <v>#VALUE!</v>
      </c>
      <c r="GL180" s="433" t="e">
        <f ca="1">MATCH(BU180,CLU!$H$2:$V$2,1)</f>
        <v>#VALUE!</v>
      </c>
      <c r="GM180" s="433" t="e">
        <f t="shared" ca="1" si="595"/>
        <v>#VALUE!</v>
      </c>
      <c r="GN180" s="433" t="e">
        <f t="shared" ca="1" si="596"/>
        <v>#VALUE!</v>
      </c>
      <c r="GO180" s="433" t="e">
        <f t="shared" ca="1" si="597"/>
        <v>#VALUE!</v>
      </c>
      <c r="GP180" s="433" t="e">
        <f t="shared" ca="1" si="598"/>
        <v>#VALUE!</v>
      </c>
      <c r="GQ180" s="433" t="e">
        <f t="shared" ca="1" si="599"/>
        <v>#VALUE!</v>
      </c>
      <c r="GR180" s="433" t="e">
        <f ca="1">MATCH(T180,INDIRECT(VLOOKUP(CONCATENATE(LEFT(BO180,7),"-",MID(BO180,13,1)),CLU!$P$3:$Q$16,2)),1)</f>
        <v>#N/A</v>
      </c>
      <c r="GS180" s="433" t="e">
        <f ca="1">MATCH(U180,INDIRECT(VLOOKUP(CONCATENATE(LEFT(BO180,7),"-",MID(BO180,13,1)),CLU!$P$3:$Q$16,2)),1)</f>
        <v>#N/A</v>
      </c>
      <c r="GT180" s="347" t="s">
        <v>512</v>
      </c>
      <c r="GU180" s="97" t="s">
        <v>513</v>
      </c>
      <c r="GV180" s="97" t="str">
        <f t="shared" si="600"/>
        <v>M23</v>
      </c>
      <c r="GW180" s="97" t="str">
        <f t="shared" si="601"/>
        <v>M31</v>
      </c>
      <c r="GX180" s="97" t="str">
        <f t="shared" si="602"/>
        <v/>
      </c>
      <c r="GY180" s="97" t="str">
        <f t="shared" si="603"/>
        <v/>
      </c>
      <c r="GZ180" s="481"/>
      <c r="HA180" s="288"/>
      <c r="HB180" s="240"/>
      <c r="HC180" s="240"/>
      <c r="HD180" s="240"/>
      <c r="HE180" s="240"/>
      <c r="HF180" s="240"/>
      <c r="HG180" s="240"/>
      <c r="HH180" s="240"/>
      <c r="HI180" s="240"/>
      <c r="HJ180" s="240"/>
      <c r="HK180" s="240"/>
      <c r="HL180" s="240"/>
      <c r="HM180" s="240"/>
      <c r="HN180" s="240"/>
      <c r="HO180" s="240"/>
      <c r="HP180" s="240"/>
      <c r="HQ180" s="240"/>
      <c r="HR180" s="240"/>
      <c r="HS180" s="240"/>
      <c r="HT180" s="240"/>
      <c r="HU180" s="240"/>
      <c r="HV180" s="245"/>
      <c r="HW180" s="245" t="b">
        <v>1</v>
      </c>
      <c r="HX180" s="245" t="str">
        <f t="shared" si="488"/>
        <v/>
      </c>
      <c r="HY180" s="245" t="e">
        <f t="shared" si="489"/>
        <v>#DIV/0!</v>
      </c>
      <c r="HZ180" s="245" t="e">
        <f t="shared" si="490"/>
        <v>#DIV/0!</v>
      </c>
      <c r="IA180" s="245">
        <f t="shared" si="491"/>
        <v>0</v>
      </c>
      <c r="IB180" s="245"/>
      <c r="IC180" t="b">
        <f t="shared" si="492"/>
        <v>1</v>
      </c>
      <c r="ID180" s="245" t="b">
        <f t="shared" si="493"/>
        <v>1</v>
      </c>
      <c r="IE180" s="245" t="b">
        <f t="shared" si="494"/>
        <v>1</v>
      </c>
      <c r="IF180" s="245" t="b">
        <f t="shared" si="495"/>
        <v>0</v>
      </c>
      <c r="IG180" s="245" t="b">
        <f t="shared" si="496"/>
        <v>1</v>
      </c>
      <c r="IH180" s="245" t="b">
        <f t="shared" si="497"/>
        <v>1</v>
      </c>
      <c r="II180" s="245">
        <f t="shared" si="604"/>
        <v>0</v>
      </c>
      <c r="IJ180" s="245" t="e">
        <f t="shared" si="498"/>
        <v>#VALUE!</v>
      </c>
      <c r="IK180" s="245" t="e">
        <f t="shared" si="499"/>
        <v>#VALUE!</v>
      </c>
      <c r="IL180" s="245"/>
      <c r="IM180" s="245" t="e">
        <f t="shared" si="605"/>
        <v>#N/A</v>
      </c>
      <c r="IN180" s="245" t="e">
        <f t="shared" si="606"/>
        <v>#N/A</v>
      </c>
      <c r="IO180" s="245"/>
      <c r="IP180" s="245"/>
      <c r="IQ180" s="245" t="str">
        <f t="shared" si="500"/>
        <v/>
      </c>
      <c r="IR180" s="245" t="str">
        <f>IF(J180="","",VLOOKUP(J180,Worksheet!$R$4:$T$14,2))</f>
        <v/>
      </c>
      <c r="IS180" s="245"/>
      <c r="IT180" s="245">
        <f t="shared" si="501"/>
        <v>0</v>
      </c>
      <c r="IU180" s="245">
        <f t="shared" si="502"/>
        <v>0</v>
      </c>
      <c r="IV180" s="245">
        <f t="shared" si="503"/>
        <v>0</v>
      </c>
      <c r="IW180" s="245">
        <f t="shared" si="504"/>
        <v>0</v>
      </c>
      <c r="IX180" s="245">
        <f t="shared" si="607"/>
        <v>0</v>
      </c>
      <c r="IY180" s="245">
        <f t="shared" si="505"/>
        <v>0</v>
      </c>
      <c r="IZ180" s="245">
        <f t="shared" si="506"/>
        <v>0</v>
      </c>
      <c r="JA180">
        <f t="shared" si="507"/>
        <v>0</v>
      </c>
      <c r="JB180">
        <f t="shared" si="608"/>
        <v>0</v>
      </c>
      <c r="JC180">
        <f t="shared" si="508"/>
        <v>0</v>
      </c>
      <c r="JD180">
        <f t="shared" si="509"/>
        <v>0</v>
      </c>
      <c r="JE180">
        <f t="shared" si="510"/>
        <v>0</v>
      </c>
      <c r="JF180">
        <f t="shared" si="511"/>
        <v>0</v>
      </c>
      <c r="JG180">
        <f t="shared" si="512"/>
        <v>0</v>
      </c>
      <c r="JH180">
        <f t="shared" si="513"/>
        <v>0</v>
      </c>
      <c r="JI180">
        <f t="shared" si="514"/>
        <v>0</v>
      </c>
      <c r="JJ180" s="447">
        <f t="shared" si="515"/>
        <v>0</v>
      </c>
      <c r="JK180" s="447">
        <f t="shared" si="516"/>
        <v>0</v>
      </c>
      <c r="JL180">
        <f t="shared" si="517"/>
        <v>0</v>
      </c>
      <c r="JM180" s="245" t="str">
        <f>IFERROR(VLOOKUP(MATCH(BN180,#REF!,0),#REF!,7),"")</f>
        <v/>
      </c>
      <c r="JN180" t="e">
        <f>HLOOKUP(LEFT(BO180,7),Discharge_Area,MATCH(JO180,LookUps!$B$130:$B$149,1)+2)</f>
        <v>#N/A</v>
      </c>
      <c r="JO180" t="str">
        <f t="shared" si="518"/>
        <v>- S</v>
      </c>
      <c r="JP180" t="e">
        <f>HLOOKUP(LEFT(BO180,7),Discharge_Area,MATCH(JO180,LookUps!$B$130:$B$149,1)+2)</f>
        <v>#N/A</v>
      </c>
      <c r="JQ180" t="e">
        <f t="shared" si="519"/>
        <v>#N/A</v>
      </c>
      <c r="JR180" t="e">
        <f t="shared" si="520"/>
        <v>#N/A</v>
      </c>
      <c r="JS180" t="e">
        <f t="shared" si="521"/>
        <v>#N/A</v>
      </c>
      <c r="JT180" s="532" t="str">
        <f t="shared" si="522"/>
        <v xml:space="preserve"> </v>
      </c>
      <c r="JU180" s="532" t="str">
        <f t="shared" si="523"/>
        <v xml:space="preserve"> </v>
      </c>
      <c r="JV180" s="533" t="str">
        <f t="shared" si="524"/>
        <v xml:space="preserve"> </v>
      </c>
      <c r="JW180" s="534">
        <f t="shared" si="525"/>
        <v>0</v>
      </c>
      <c r="JX180" s="535" t="str">
        <f t="shared" si="609"/>
        <v xml:space="preserve"> </v>
      </c>
      <c r="JY180" s="535" t="str">
        <f t="shared" si="610"/>
        <v xml:space="preserve"> </v>
      </c>
      <c r="JZ180" s="535" t="str">
        <f t="shared" si="611"/>
        <v xml:space="preserve"> </v>
      </c>
      <c r="KA180" s="536" t="str">
        <f t="shared" si="526"/>
        <v xml:space="preserve"> </v>
      </c>
      <c r="KB180" s="535" t="e">
        <f t="shared" si="612"/>
        <v>#VALUE!</v>
      </c>
      <c r="KC180" s="535" t="str">
        <f t="shared" si="527"/>
        <v/>
      </c>
      <c r="KD180" s="537" t="str">
        <f t="shared" si="613"/>
        <v xml:space="preserve"> </v>
      </c>
      <c r="KE180" s="537" t="str">
        <f t="shared" si="614"/>
        <v xml:space="preserve"> </v>
      </c>
      <c r="KF180" s="534">
        <f t="shared" si="528"/>
        <v>0</v>
      </c>
      <c r="KG180" s="535" t="str">
        <f t="shared" si="529"/>
        <v xml:space="preserve"> </v>
      </c>
      <c r="KH180" s="535" t="str">
        <f t="shared" si="530"/>
        <v xml:space="preserve"> </v>
      </c>
      <c r="KI180" s="535" t="str">
        <f t="shared" si="531"/>
        <v xml:space="preserve"> </v>
      </c>
      <c r="KJ180" s="536" t="str">
        <f t="shared" si="532"/>
        <v xml:space="preserve"> </v>
      </c>
      <c r="KK180" s="535" t="str">
        <f t="shared" si="615"/>
        <v xml:space="preserve"> </v>
      </c>
      <c r="KL180" s="535" t="str">
        <f t="shared" si="616"/>
        <v xml:space="preserve"> </v>
      </c>
      <c r="KM180" s="537" t="str">
        <f t="shared" si="533"/>
        <v xml:space="preserve"> </v>
      </c>
      <c r="KN180" s="537" t="str">
        <f t="shared" si="617"/>
        <v xml:space="preserve"> </v>
      </c>
      <c r="KP180">
        <f t="shared" si="534"/>
        <v>0</v>
      </c>
      <c r="LA180" t="e">
        <f t="shared" si="535"/>
        <v>#VALUE!</v>
      </c>
      <c r="LB180" t="e">
        <f t="shared" si="536"/>
        <v>#VALUE!</v>
      </c>
      <c r="LC180" t="e">
        <f t="shared" si="537"/>
        <v>#VALUE!</v>
      </c>
      <c r="LD180" t="e">
        <f t="shared" si="538"/>
        <v>#VALUE!</v>
      </c>
      <c r="LE180" t="e">
        <f t="shared" si="618"/>
        <v>#VALUE!</v>
      </c>
      <c r="LF180">
        <f t="shared" si="539"/>
        <v>0</v>
      </c>
      <c r="LG180" t="e">
        <f t="shared" si="619"/>
        <v>#VALUE!</v>
      </c>
      <c r="LH180" t="str">
        <f t="shared" si="540"/>
        <v xml:space="preserve"> </v>
      </c>
      <c r="LI180">
        <f t="shared" si="620"/>
        <v>1</v>
      </c>
    </row>
    <row r="181" spans="2:321" ht="15" customHeight="1">
      <c r="B181" s="311"/>
      <c r="C181" s="311"/>
      <c r="D181" s="312"/>
      <c r="E181" s="311"/>
      <c r="F181" s="312"/>
      <c r="G181" s="311"/>
      <c r="H181" s="311"/>
      <c r="I181" s="37"/>
      <c r="J181" s="311"/>
      <c r="K181" s="305" t="str">
        <f t="shared" si="541"/>
        <v/>
      </c>
      <c r="L181" s="313"/>
      <c r="M181" s="312"/>
      <c r="N181" s="311"/>
      <c r="O181" s="312"/>
      <c r="P181" s="311"/>
      <c r="Q181" s="305" t="str">
        <f t="shared" si="542"/>
        <v/>
      </c>
      <c r="R181" s="314"/>
      <c r="S181" s="450" t="str">
        <f t="shared" si="425"/>
        <v/>
      </c>
      <c r="T181" s="315"/>
      <c r="U181" s="315"/>
      <c r="W181" s="149" t="str">
        <f t="shared" si="426"/>
        <v xml:space="preserve"> </v>
      </c>
      <c r="X181" s="243" t="str">
        <f t="shared" si="427"/>
        <v xml:space="preserve"> </v>
      </c>
      <c r="Y181" s="150" t="str">
        <f t="shared" si="428"/>
        <v/>
      </c>
      <c r="Z181" s="149" t="str">
        <f t="shared" si="429"/>
        <v xml:space="preserve"> </v>
      </c>
      <c r="AA181" s="98" t="str">
        <f t="shared" si="430"/>
        <v xml:space="preserve"> </v>
      </c>
      <c r="AB181" s="153" t="str">
        <f t="shared" si="431"/>
        <v xml:space="preserve"> </v>
      </c>
      <c r="AC181" s="153" t="str">
        <f t="shared" si="432"/>
        <v xml:space="preserve"> </v>
      </c>
      <c r="AD181" s="148" t="str">
        <f t="shared" si="433"/>
        <v/>
      </c>
      <c r="AE181" s="149" t="str">
        <f t="shared" si="434"/>
        <v/>
      </c>
      <c r="AF181" s="151" t="str">
        <f t="shared" si="435"/>
        <v xml:space="preserve"> </v>
      </c>
      <c r="AG181" s="153" t="str">
        <f t="shared" si="436"/>
        <v xml:space="preserve"> </v>
      </c>
      <c r="AH181" s="98" t="str">
        <f t="shared" si="437"/>
        <v xml:space="preserve"> </v>
      </c>
      <c r="AI181" s="149" t="str">
        <f t="shared" si="438"/>
        <v xml:space="preserve"> </v>
      </c>
      <c r="AK181" s="144" t="str">
        <f t="shared" si="439"/>
        <v xml:space="preserve"> </v>
      </c>
      <c r="AL181" s="144"/>
      <c r="AM181" s="243" t="str">
        <f t="shared" si="440"/>
        <v xml:space="preserve"> </v>
      </c>
      <c r="AN181" s="149" t="str">
        <f t="shared" si="543"/>
        <v xml:space="preserve"> </v>
      </c>
      <c r="AO181" s="144" t="str">
        <f>IF(JB181&gt;0,IF(GI181=10,-R181*1.085*(Calculation!$F$6-Calculation!$F$13)*$S$14," "),"")</f>
        <v/>
      </c>
      <c r="AP181" s="144" t="str">
        <f t="shared" si="441"/>
        <v/>
      </c>
      <c r="AQ181" s="56" t="str">
        <f t="shared" si="442"/>
        <v/>
      </c>
      <c r="AR181" s="144" t="str">
        <f t="shared" si="443"/>
        <v/>
      </c>
      <c r="AS181" s="176" t="str">
        <f t="shared" si="444"/>
        <v/>
      </c>
      <c r="AT181" s="176" t="str">
        <f t="shared" si="544"/>
        <v xml:space="preserve"> </v>
      </c>
      <c r="AU181" s="176" t="str">
        <f t="shared" si="445"/>
        <v/>
      </c>
      <c r="AV181" s="177" t="str">
        <f t="shared" si="446"/>
        <v xml:space="preserve"> </v>
      </c>
      <c r="AW181" s="144" t="str">
        <f t="shared" si="447"/>
        <v xml:space="preserve"> </v>
      </c>
      <c r="AX181" s="144" t="str">
        <f t="shared" si="448"/>
        <v xml:space="preserve"> </v>
      </c>
      <c r="AY181" s="152" t="str">
        <f t="shared" si="449"/>
        <v xml:space="preserve"> </v>
      </c>
      <c r="AZ181" s="246" t="str">
        <f t="shared" si="450"/>
        <v/>
      </c>
      <c r="BA181" s="176" t="str">
        <f t="shared" si="451"/>
        <v xml:space="preserve"> </v>
      </c>
      <c r="BB181" s="176" t="str">
        <f t="shared" si="452"/>
        <v xml:space="preserve"> </v>
      </c>
      <c r="BC181" s="195"/>
      <c r="BD181" s="316"/>
      <c r="BE181" s="317"/>
      <c r="BF181" s="318"/>
      <c r="BG181" s="318"/>
      <c r="BH181" s="144" t="str">
        <f t="shared" si="621"/>
        <v xml:space="preserve"> </v>
      </c>
      <c r="BI181" s="176" t="str">
        <f t="shared" si="453"/>
        <v/>
      </c>
      <c r="BJ181" s="144" t="str">
        <f t="shared" si="622"/>
        <v/>
      </c>
      <c r="BK181" s="246" t="str">
        <f t="shared" si="454"/>
        <v/>
      </c>
      <c r="BL181" s="144" t="str">
        <f t="shared" si="623"/>
        <v/>
      </c>
      <c r="BM181" s="246" t="str">
        <f t="shared" si="455"/>
        <v/>
      </c>
      <c r="BN181" s="337" t="str">
        <f t="shared" si="545"/>
        <v/>
      </c>
      <c r="BO181" s="371" t="str">
        <f t="shared" si="546"/>
        <v/>
      </c>
      <c r="BP181" s="328" t="str">
        <f t="shared" si="624"/>
        <v xml:space="preserve"> </v>
      </c>
      <c r="BQ181" s="347" t="str">
        <f t="shared" si="547"/>
        <v xml:space="preserve"> </v>
      </c>
      <c r="BR181" s="353" t="str">
        <f t="shared" si="548"/>
        <v xml:space="preserve"> </v>
      </c>
      <c r="BS181" s="626" t="str">
        <f>IF(L181&gt;0,IF(Calculation!P181="M13",BR181*3.1416*(0.134^2)/(4*144),IF(Calculation!P181="M17",BR181*3.1416*(0.165^2)/(4*144),IF(Calculation!P181="M20",BR181*3.1416*(0.198^2)/(4*144),IF(Calculation!P181="M23",BR181*3.1416*(0.228^2)/(4*144),IF(Calculation!P181="M27",BR181*3.1416*(0.269^2)/(4*144),BR181*3.1416*(0.307^2)/(4*144))))))," ")</f>
        <v xml:space="preserve"> </v>
      </c>
      <c r="BT181" s="353" t="str">
        <f>IF(L181&gt;0,IF(BS181&gt;0,R181/Calculation!BS181,0)," ")</f>
        <v xml:space="preserve"> </v>
      </c>
      <c r="BU181" s="438" t="e">
        <f t="shared" ca="1" si="456"/>
        <v>#VALUE!</v>
      </c>
      <c r="BV181" s="449" t="e">
        <f ca="1">INDEX(INDIRECT(VLOOKUP(LEFT(BO181,7),CLU!$Z$3:$AH$18,2)),GN181,GR181)</f>
        <v>#N/A</v>
      </c>
      <c r="BW181" s="433" t="e">
        <f ca="1">INDEX(INDIRECT(VLOOKUP(LEFT(BO181,7),CLU!$Z$3:$AH$18,3)),GN181,GR181)</f>
        <v>#N/A</v>
      </c>
      <c r="BX181" s="433" t="e">
        <f ca="1">INDEX(INDIRECT(VLOOKUP(LEFT(BO181,7),CLU!$Z$3:$AH$18,4)),GN181,GR181)</f>
        <v>#N/A</v>
      </c>
      <c r="BY181" s="433" t="e">
        <f ca="1">INDEX(INDIRECT(VLOOKUP(LEFT(BO181,7),CLU!$Z$3:$AH$18,9)),((M181-2)*(6-COUNTBLANK(GT181:GY181)))+GJ181)</f>
        <v>#N/A</v>
      </c>
      <c r="BZ181" s="426" t="e">
        <f t="shared" ca="1" si="549"/>
        <v>#N/A</v>
      </c>
      <c r="CA181" s="424" t="e">
        <f t="shared" ca="1" si="550"/>
        <v>#N/A</v>
      </c>
      <c r="CB181" s="429" t="e">
        <f ca="1">INDEX(INDIRECT(VLOOKUP(LEFT(BO181,7),CLU!$Z$3:$AH$18,2)),GN181,GS181)</f>
        <v>#N/A</v>
      </c>
      <c r="CC181" s="342" t="e">
        <f ca="1">INDEX(INDIRECT(VLOOKUP(LEFT(BO181,7),CLU!$Z$3:$AH$18,3)),GN181,GS181)</f>
        <v>#N/A</v>
      </c>
      <c r="CD181" s="342" t="e">
        <f ca="1">INDEX(INDIRECT(VLOOKUP(LEFT(BO181,7),CLU!$Z$3:$AH$18,4)),GN181,GS181)</f>
        <v>#N/A</v>
      </c>
      <c r="CE181" s="426" t="e">
        <f t="shared" ca="1" si="551"/>
        <v>#N/A</v>
      </c>
      <c r="CF181" s="440">
        <f t="shared" si="552"/>
        <v>0</v>
      </c>
      <c r="CG181" s="431" t="e">
        <f ca="1">INDEX(INDIRECT(VLOOKUP(LEFT(BO181,7),CLU!$Z$3:$AH$18,2)),GQ181,GR181)</f>
        <v>#N/A</v>
      </c>
      <c r="CH181" s="431" t="e">
        <f ca="1">INDEX(INDIRECT(VLOOKUP(LEFT(BO181,7),CLU!$Z$3:$AH$18,3)),GQ181,GR181)</f>
        <v>#N/A</v>
      </c>
      <c r="CI181" s="431" t="e">
        <f ca="1">INDEX(INDIRECT(VLOOKUP(LEFT(BO181,7),CLU!$Z$3:$AH$18,4)),GQ181,GR181)</f>
        <v>#N/A</v>
      </c>
      <c r="CJ181" s="448" t="e">
        <f t="shared" ca="1" si="553"/>
        <v>#N/A</v>
      </c>
      <c r="CK181" s="431" t="e">
        <f t="shared" ca="1" si="554"/>
        <v>#N/A</v>
      </c>
      <c r="CL181" s="440" t="e">
        <f t="shared" ca="1" si="555"/>
        <v>#N/A</v>
      </c>
      <c r="CM181" s="431" t="e">
        <f ca="1">INDEX(INDIRECT(VLOOKUP(LEFT(BO181,7),CLU!$Z$3:$AH$18,2)),GQ181,GS181)</f>
        <v>#N/A</v>
      </c>
      <c r="CN181" s="431" t="e">
        <f ca="1">INDEX(INDIRECT(VLOOKUP(LEFT(BO181,7),CLU!$Z$3:$AH$18,3)),GQ181,GS181)</f>
        <v>#N/A</v>
      </c>
      <c r="CO181" s="431" t="e">
        <f ca="1">INDEX(INDIRECT(VLOOKUP(LEFT(BO181,7),CLU!$Z$3:$AH$18,4)),GQ181,GS181)</f>
        <v>#N/A</v>
      </c>
      <c r="CP181" s="431" t="e">
        <f t="shared" ca="1" si="556"/>
        <v>#N/A</v>
      </c>
      <c r="CQ181" s="440">
        <f t="shared" si="557"/>
        <v>0</v>
      </c>
      <c r="CR181" s="51" t="e">
        <f t="shared" ca="1" si="558"/>
        <v>#N/A</v>
      </c>
      <c r="CS181" s="439" t="e">
        <f t="shared" ca="1" si="559"/>
        <v>#VALUE!</v>
      </c>
      <c r="CT181" s="51" t="e">
        <f t="shared" ca="1" si="560"/>
        <v>#VALUE!</v>
      </c>
      <c r="CU181" s="10"/>
      <c r="CV181" s="51" t="e">
        <f t="shared" ca="1" si="457"/>
        <v>#VALUE!</v>
      </c>
      <c r="CW181" s="51">
        <f t="shared" si="561"/>
        <v>0</v>
      </c>
      <c r="CX181" s="439" t="e">
        <f t="shared" ca="1" si="562"/>
        <v>#VALUE!</v>
      </c>
      <c r="CY181" s="51" t="e">
        <f t="shared" ca="1" si="563"/>
        <v>#VALUE!</v>
      </c>
      <c r="CZ181" s="10"/>
      <c r="DA181" s="51" t="e">
        <f t="shared" ca="1" si="564"/>
        <v>#VALUE!</v>
      </c>
      <c r="DB181" s="347" t="e">
        <f ca="1">INDEX(INDIRECT(VLOOKUP(LEFT(BO181,7),CLU!$Z$3:$AI$18,10)),((M181-2)*(6-COUNTBLANK(GT181:GY181)))+GJ181)*LI181</f>
        <v>#N/A</v>
      </c>
      <c r="DC181" s="347" t="str">
        <f>IF(L181&gt;0,((R181/Worksheet!$I$15)/DB181)^2," ")</f>
        <v xml:space="preserve"> </v>
      </c>
      <c r="DD181" s="602" t="str">
        <f t="shared" si="565"/>
        <v xml:space="preserve"> </v>
      </c>
      <c r="DE181" s="347" t="str">
        <f t="shared" si="458"/>
        <v xml:space="preserve"> </v>
      </c>
      <c r="DF181" s="356" t="e">
        <f ca="1">INDEX(INDIRECT(VLOOKUP(LEFT(BO181,7),CLU!$Z$3:$AH$18,8)),((M181-2)*(6-COUNTBLANK(GT181:GY181)))+GJ181)</f>
        <v>#N/A</v>
      </c>
      <c r="DG181" s="347" t="str">
        <f t="shared" si="459"/>
        <v xml:space="preserve"> </v>
      </c>
      <c r="DH181" s="357" t="str">
        <f t="shared" si="460"/>
        <v xml:space="preserve"> </v>
      </c>
      <c r="DI181" s="355" t="str">
        <f t="shared" si="461"/>
        <v xml:space="preserve"> </v>
      </c>
      <c r="DJ181" s="245" t="e">
        <f ca="1">INDEX(INDIRECT(VLOOKUP(LEFT(BO181,7),CLU!$Z$3:$AH$18,5)),GL181,GK181)</f>
        <v>#N/A</v>
      </c>
      <c r="DK181" s="245" t="e">
        <f ca="1">INDEX(INDIRECT(VLOOKUP(LEFT(BO181,7),CLU!$Z$3:$AH$18,6)),GL181,GK181)</f>
        <v>#N/A</v>
      </c>
      <c r="DL181" s="355">
        <f>(Calculation!R181*0.69143*(Calculation!$BQ$8-Calculation!$F$8))*$S$14</f>
        <v>0</v>
      </c>
      <c r="DM181" s="359" t="e">
        <f t="shared" si="566"/>
        <v>#VALUE!</v>
      </c>
      <c r="DN181" s="611">
        <f t="shared" si="567"/>
        <v>0</v>
      </c>
      <c r="DO181" s="359">
        <f t="shared" si="568"/>
        <v>100</v>
      </c>
      <c r="DP181" s="359">
        <f t="shared" si="569"/>
        <v>0</v>
      </c>
      <c r="DQ181" s="360"/>
      <c r="DR181" s="245" t="e">
        <f ca="1">INDEX(INDIRECT(VLOOKUP(LEFT(BO181,7),CLU!$Z$3:$AH$18,7)),M181-1,1)</f>
        <v>#N/A</v>
      </c>
      <c r="DS181" s="245" t="e">
        <f ca="1">INDEX(INDIRECT(VLOOKUP(LEFT(BO181,7),CLU!$Z$3:$AH$18,7)),M181-1,2)</f>
        <v>#N/A</v>
      </c>
      <c r="DT181" s="245" t="e">
        <f ca="1">INDEX(INDIRECT(VLOOKUP(LEFT(BO181,7),CLU!$Z$3:$AH$18,7)),M181-1,3)</f>
        <v>#N/A</v>
      </c>
      <c r="DU181" s="245" t="e">
        <f ca="1">INDEX(INDIRECT(VLOOKUP(LEFT(BO181,7),CLU!$Z$3:$AH$18,7)),M181-1,4)</f>
        <v>#N/A</v>
      </c>
      <c r="DV181" s="361" t="e">
        <f ca="1">INDEX(INDIRECT(VLOOKUP(LEFT(BO181,7),CLU!$Z$3:$AH$18,7)),M181-1,4+LEFT(DZ181,1)*0.5)</f>
        <v>#N/A</v>
      </c>
      <c r="DW181" s="245" t="e">
        <f ca="1">INDEX(INDIRECT(VLOOKUP(LEFT(BO181,7),CLU!$Z$3:$AH$18,7)),M181-1,8)</f>
        <v>#N/A</v>
      </c>
      <c r="DX181" s="361" t="str">
        <f t="shared" si="462"/>
        <v xml:space="preserve"> </v>
      </c>
      <c r="DY181" s="361" t="str">
        <f t="shared" si="463"/>
        <v xml:space="preserve"> </v>
      </c>
      <c r="DZ181" s="361" t="str">
        <f t="shared" si="464"/>
        <v xml:space="preserve"> </v>
      </c>
      <c r="EA181" s="362" t="str">
        <f t="shared" si="465"/>
        <v xml:space="preserve"> </v>
      </c>
      <c r="EB181" s="624" t="str">
        <f t="shared" si="570"/>
        <v xml:space="preserve"> </v>
      </c>
      <c r="EC181" s="361" t="e">
        <f ca="1">INDEX(INDIRECT(VLOOKUP(LEFT(BO181,7),CLU!$Z$3:$AH$18,7)),M181-1,4+LEFT(DZ181,1)*0.5)</f>
        <v>#N/A</v>
      </c>
      <c r="ED181" s="362" t="str">
        <f t="shared" si="466"/>
        <v xml:space="preserve"> </v>
      </c>
      <c r="EE181" s="361" t="str">
        <f t="shared" si="467"/>
        <v xml:space="preserve"> </v>
      </c>
      <c r="EF181" s="362" t="str">
        <f>IF(L181&gt;0,IF(BR181&gt;0,IF(EE181="2P",IF(Calculation!DZ181="2P",IF(Calculation!DS181=13.75,IF(Calculation!DR181=13,Worksheet!$BD$43,IF(Calculation!DR181=37,Worksheet!$BD$44,Worksheet!$BD$45)),IF(Calculation!DS181=10,IF(Calculation!DR181=18,Worksheet!$BD$29,IF(Calculation!DR181=30,Worksheet!$BD$30,IF(Calculation!DR181=42,Worksheet!$BD$31,IF(Calculation!DR181=54,Worksheet!$BD$32,IF(Calculation!DR181=66,Worksheet!$BD$33,IF(Calculation!DR181=78,Worksheet!$BD$34,IF(Calculation!DR181=90,Worksheet!$BD$35,IF(Calculation!DR181=102,Worksheet!$BD$36,Worksheet!$BD$37)))))))),IF(Calculation!DS181=12.5,IF(Calculation!DR181=18,Worksheet!$BD$38,IF(Calculation!DR181=Worksheet!$BD$39,IF(Calculation!DR181=42,Worksheet!$BD$40,IF(Calculation!DR181=54,Worksheet!$BD$41,Worksheet!$BD$42)))),IF(Calculation!DR181=18,Worksheet!$BD$11,IF(Calculation!DR181=30,Worksheet!$BD$12,IF(Calculation!DR181=42,Worksheet!$BD$13,IF(Calculation!DR181=54,Worksheet!$BD$14,IF(Calculation!DR181=66,Worksheet!$BD$15,IF(Calculation!DR181=78,Worksheet!$BD$16,IF(Calculation!DR181=90,Worksheet!$BD$17,IF(Calculation!DR181=102,Worksheet!$BD$18,Worksheet!$BD$19))))))))))),IF(Calculation!DS181=13.75,IF(Calculation!DR181=13,Worksheet!$BD$78,IF(Calculation!DR181=37,Worksheet!$BD$79,Worksheet!$BD$80)),IF(Calculation!DS181=10,IF(Calculation!DR181=18,Worksheet!$BD$64,IF(Calculation!DR181=30,Worksheet!$BD$65,IF(Calculation!DR181=42,Worksheet!$BD$66,IF(Calculation!DR181=54,Worksheet!$BD$68,IF(Calculation!DR181=66,Worksheet!$BD$68,IF(Calculation!DR181=78,Worksheet!$BD$69,IF(Calculation!DR181=90,Worksheet!$BD$70,IF(Calculation!DR181=102,Worksheet!$BD$71,Worksheet!$BD$72)))))))),IF(Calculation!DS181=12.5,IF(Calculation!DR181=18,Worksheet!$BD$73,IF(Calculation!DR181=Worksheet!$BD$74,IF(Calculation!DR181=42,Worksheet!$BD$75,IF(Calculation!DR181=54,Worksheet!$BD$76,Worksheet!$BD$77)))),IF(Calculation!DR181=18,Worksheet!$BD$55,IF(Calculation!DR181=30,Worksheet!$BD$56,IF(Calculation!DR181=42,Worksheet!$BD$57,IF(Calculation!DR181=54,Worksheet!$BD$58,IF(Calculation!DR181=66,Worksheet!$BD$59,IF(Calculation!DR181=78,Worksheet!$BD$60,IF(Calculation!DR181=90,Worksheet!$BD$61,IF(Calculation!DR181=102,Worksheet!$BD$62,Worksheet!$BD$63)))))))))))),5),0)," ")</f>
        <v xml:space="preserve"> </v>
      </c>
      <c r="EG181" s="361" t="str">
        <f t="shared" si="468"/>
        <v xml:space="preserve"> </v>
      </c>
      <c r="EH181" s="361" t="e">
        <f ca="1">INDEX(INDIRECT(VLOOKUP(LEFT(BO181,7),CLU!$Z$3:$AH$18,7)),M181-1,3+LEFT(DZ181,1))</f>
        <v>#N/A</v>
      </c>
      <c r="EI181" s="362" t="str">
        <f t="shared" si="469"/>
        <v xml:space="preserve"> </v>
      </c>
      <c r="EJ181" s="363" t="str">
        <f t="shared" si="470"/>
        <v xml:space="preserve"> </v>
      </c>
      <c r="EK181" s="363" t="str">
        <f t="shared" si="471"/>
        <v xml:space="preserve"> </v>
      </c>
      <c r="EL181" s="363" t="str">
        <f t="shared" si="472"/>
        <v xml:space="preserve"> </v>
      </c>
      <c r="EM181" s="362" t="str">
        <f>IF(L181&gt;0,IF(BR181&gt;0,(Calculation!T181/ED181)^2,0)," ")</f>
        <v xml:space="preserve"> </v>
      </c>
      <c r="EN181" s="362" t="str">
        <f>IF(L181&gt;0,IF(O181="2 Pipe (Cooling)","N/A",IF(BR181&gt;0,(Calculation!U181/EI181)^2,0))," ")</f>
        <v xml:space="preserve"> </v>
      </c>
      <c r="EO181" s="361" t="str">
        <f t="shared" si="473"/>
        <v/>
      </c>
      <c r="EP181" s="361" t="str">
        <f t="shared" si="474"/>
        <v/>
      </c>
      <c r="EQ181" s="361" t="str">
        <f t="shared" si="475"/>
        <v/>
      </c>
      <c r="ER181" s="361" t="str">
        <f t="shared" si="476"/>
        <v/>
      </c>
      <c r="ES181" s="361" t="str">
        <f t="shared" si="477"/>
        <v/>
      </c>
      <c r="ET181" s="361" t="str">
        <f t="shared" si="478"/>
        <v/>
      </c>
      <c r="EU181" s="361" t="str">
        <f t="shared" si="479"/>
        <v/>
      </c>
      <c r="EV181" s="361" t="str">
        <f t="shared" si="480"/>
        <v/>
      </c>
      <c r="EW181" s="361" t="str">
        <f t="shared" si="481"/>
        <v/>
      </c>
      <c r="EX181" s="361" t="str">
        <f t="shared" si="571"/>
        <v>1 slot, 1 way</v>
      </c>
      <c r="EY181" s="361" t="str">
        <f t="shared" si="572"/>
        <v xml:space="preserve"> </v>
      </c>
      <c r="EZ181" s="361" t="str">
        <f t="shared" si="573"/>
        <v xml:space="preserve"> </v>
      </c>
      <c r="FA181" s="361" t="str">
        <f t="shared" si="574"/>
        <v xml:space="preserve"> </v>
      </c>
      <c r="FB181" s="361" t="str">
        <f t="shared" si="575"/>
        <v xml:space="preserve"> </v>
      </c>
      <c r="FC181" s="361"/>
      <c r="FD181" s="361" t="str">
        <f>IF(J181&gt;0,IF(Calculation!R181&lt;=70,4,IF(Calculation!R181&lt;=110,5,IF(Calculation!R181&lt;=160,6,IF(Calculation!R181&lt;=300,8,"10 EO")))),"")</f>
        <v/>
      </c>
      <c r="FE181" s="361" t="str">
        <f t="shared" si="576"/>
        <v/>
      </c>
      <c r="FF181" s="361" t="str">
        <f t="shared" si="577"/>
        <v/>
      </c>
      <c r="FG181" s="361" t="e">
        <f t="shared" si="482"/>
        <v>#N/A</v>
      </c>
      <c r="FH181" s="361">
        <f t="shared" si="483"/>
        <v>0</v>
      </c>
      <c r="FI181" s="361" t="e">
        <f t="shared" si="484"/>
        <v>#DIV/0!</v>
      </c>
      <c r="FJ181" s="361"/>
      <c r="FK181" s="356" t="e">
        <f t="shared" si="485"/>
        <v>#VALUE!</v>
      </c>
      <c r="FL181" s="361"/>
      <c r="FM181" s="361"/>
      <c r="FN181" s="362" t="str">
        <f t="shared" si="578"/>
        <v xml:space="preserve"> </v>
      </c>
      <c r="FO181" s="362" t="str">
        <f t="shared" si="579"/>
        <v xml:space="preserve"> </v>
      </c>
      <c r="FP181" s="362">
        <f t="shared" si="580"/>
        <v>0</v>
      </c>
      <c r="FQ181" s="361">
        <f t="shared" si="486"/>
        <v>0</v>
      </c>
      <c r="FR181" s="362" t="str">
        <f>IF(L181&gt;0,IF(J181="CBAL2",Worksheet!$P$67,IF(J181="CBE2-24",Worksheet!$Q$67,IF(J181="CBAM",Worksheet!$R$67,IF(J181="CBLV",Worksheet!$S$67,IF(J181="CBAB",Worksheet!$U$67,IF(J181="CBAW",Worksheet!$X$67,IF(J181="CBE2-12",Worksheet!$Y$67,IF(J181="CBAL2",Worksheet!$Z$67,"N/A"))))))))," ")</f>
        <v xml:space="preserve"> </v>
      </c>
      <c r="FS181" s="362" t="str">
        <f>IF(L181&gt;0,IF(J181="CBAL2",Worksheet!$P$68,IF(J181="CBE2-24",Worksheet!$Q$68,IF(J181="CBAM",Worksheet!$R$68,IF(J181="CBLV",Worksheet!$S$68,IF(J181="CBAB",Worksheet!$U$68,IF(J181="CBAW",Worksheet!$X$68,IF(J181="CBE2-12",Worksheet!$Y$68,IF(J181="CBAL2",Worksheet!$Z$68,"N/A"))))))))," ")</f>
        <v xml:space="preserve"> </v>
      </c>
      <c r="FT181" s="362" t="str">
        <f>IF(L181&gt;0,IF(J181="CBAL2",Worksheet!$P$69,IF(J181="CBE2-24",Worksheet!$Q$69,IF(J181="CBAM",Worksheet!$R$69,IF(J181="CBLV",Worksheet!$S$69,IF(J181="CBAB",Worksheet!$U$69,IF(J181="CBAW",Worksheet!$X$69,IF(J181="CBE2-12",Worksheet!$Y$69,IF(J181="CBAL2",Worksheet!$Z$69,"N/A"))))))))," ")</f>
        <v xml:space="preserve"> </v>
      </c>
      <c r="FU181" s="361" t="str">
        <f t="shared" si="581"/>
        <v xml:space="preserve"> </v>
      </c>
      <c r="FV181" s="362" t="str">
        <f t="shared" si="582"/>
        <v xml:space="preserve"> </v>
      </c>
      <c r="FW181" s="362" t="str">
        <f t="shared" si="583"/>
        <v xml:space="preserve"> </v>
      </c>
      <c r="FX181" s="362" t="str">
        <f t="shared" si="584"/>
        <v xml:space="preserve"> </v>
      </c>
      <c r="FY181" s="355" t="str">
        <f t="shared" si="585"/>
        <v xml:space="preserve"> </v>
      </c>
      <c r="FZ181" s="361" t="str">
        <f t="shared" si="586"/>
        <v xml:space="preserve"> </v>
      </c>
      <c r="GA181" s="347" t="str">
        <f t="shared" si="587"/>
        <v xml:space="preserve"> </v>
      </c>
      <c r="GB181" s="355" t="str">
        <f t="shared" si="588"/>
        <v xml:space="preserve"> </v>
      </c>
      <c r="GC181" s="328" t="str">
        <f t="shared" si="589"/>
        <v xml:space="preserve"> </v>
      </c>
      <c r="GD181" s="361" t="str">
        <f t="shared" si="590"/>
        <v xml:space="preserve"> </v>
      </c>
      <c r="GE181" s="347" t="str">
        <f t="shared" si="591"/>
        <v xml:space="preserve"> </v>
      </c>
      <c r="GF181" s="361" t="str">
        <f t="shared" si="592"/>
        <v xml:space="preserve"> </v>
      </c>
      <c r="GG181" s="347" t="str">
        <f t="shared" si="593"/>
        <v xml:space="preserve"> </v>
      </c>
      <c r="GH181" s="364">
        <f t="shared" si="487"/>
        <v>0</v>
      </c>
      <c r="GI181" s="362">
        <f t="shared" si="594"/>
        <v>2</v>
      </c>
      <c r="GJ181" s="433" t="e">
        <f>IF(6-COUNTBLANK(GT181:GY181)=4,MATCH(MID(BO181,9,3),CLU!$H$16:$K$16),MATCH(MID(BO181,9,3),CLU!$H$13:$M$13))</f>
        <v>#N/A</v>
      </c>
      <c r="GK181" s="433" t="e">
        <f>HLOOKUP(VALUE(BP181),CLU!$H$9:$M$10,2)</f>
        <v>#VALUE!</v>
      </c>
      <c r="GL181" s="433" t="e">
        <f ca="1">MATCH(BU181,CLU!$H$2:$V$2,1)</f>
        <v>#VALUE!</v>
      </c>
      <c r="GM181" s="433" t="e">
        <f t="shared" ca="1" si="595"/>
        <v>#VALUE!</v>
      </c>
      <c r="GN181" s="433" t="e">
        <f t="shared" ca="1" si="596"/>
        <v>#VALUE!</v>
      </c>
      <c r="GO181" s="433" t="e">
        <f t="shared" ca="1" si="597"/>
        <v>#VALUE!</v>
      </c>
      <c r="GP181" s="433" t="e">
        <f t="shared" ca="1" si="598"/>
        <v>#VALUE!</v>
      </c>
      <c r="GQ181" s="433" t="e">
        <f t="shared" ca="1" si="599"/>
        <v>#VALUE!</v>
      </c>
      <c r="GR181" s="433" t="e">
        <f ca="1">MATCH(T181,INDIRECT(VLOOKUP(CONCATENATE(LEFT(BO181,7),"-",MID(BO181,13,1)),CLU!$P$3:$Q$16,2)),1)</f>
        <v>#N/A</v>
      </c>
      <c r="GS181" s="433" t="e">
        <f ca="1">MATCH(U181,INDIRECT(VLOOKUP(CONCATENATE(LEFT(BO181,7),"-",MID(BO181,13,1)),CLU!$P$3:$Q$16,2)),1)</f>
        <v>#N/A</v>
      </c>
      <c r="GT181" s="347" t="s">
        <v>512</v>
      </c>
      <c r="GU181" s="97" t="s">
        <v>513</v>
      </c>
      <c r="GV181" s="97" t="str">
        <f t="shared" si="600"/>
        <v>M23</v>
      </c>
      <c r="GW181" s="97" t="str">
        <f t="shared" si="601"/>
        <v>M31</v>
      </c>
      <c r="GX181" s="97" t="str">
        <f t="shared" si="602"/>
        <v/>
      </c>
      <c r="GY181" s="97" t="str">
        <f t="shared" si="603"/>
        <v/>
      </c>
      <c r="GZ181" s="481"/>
      <c r="HA181" s="288"/>
      <c r="HB181" s="240"/>
      <c r="HC181" s="240"/>
      <c r="HD181" s="240"/>
      <c r="HE181" s="240"/>
      <c r="HF181" s="240"/>
      <c r="HG181" s="240"/>
      <c r="HH181" s="240"/>
      <c r="HI181" s="240"/>
      <c r="HJ181" s="240"/>
      <c r="HK181" s="240"/>
      <c r="HL181" s="240"/>
      <c r="HM181" s="240"/>
      <c r="HN181" s="240"/>
      <c r="HO181" s="240"/>
      <c r="HP181" s="240"/>
      <c r="HQ181" s="240"/>
      <c r="HR181" s="240"/>
      <c r="HS181" s="240"/>
      <c r="HT181" s="240"/>
      <c r="HU181" s="240"/>
      <c r="HV181" s="245"/>
      <c r="HW181" s="245" t="b">
        <v>1</v>
      </c>
      <c r="HX181" s="245" t="str">
        <f t="shared" si="488"/>
        <v/>
      </c>
      <c r="HY181" s="245" t="e">
        <f t="shared" si="489"/>
        <v>#DIV/0!</v>
      </c>
      <c r="HZ181" s="245" t="e">
        <f t="shared" si="490"/>
        <v>#DIV/0!</v>
      </c>
      <c r="IA181" s="245">
        <f t="shared" si="491"/>
        <v>0</v>
      </c>
      <c r="IB181" s="245"/>
      <c r="IC181" t="b">
        <f t="shared" si="492"/>
        <v>1</v>
      </c>
      <c r="ID181" s="245" t="b">
        <f t="shared" si="493"/>
        <v>1</v>
      </c>
      <c r="IE181" s="245" t="b">
        <f t="shared" si="494"/>
        <v>1</v>
      </c>
      <c r="IF181" s="245" t="b">
        <f t="shared" si="495"/>
        <v>0</v>
      </c>
      <c r="IG181" s="245" t="b">
        <f t="shared" si="496"/>
        <v>1</v>
      </c>
      <c r="IH181" s="245" t="b">
        <f t="shared" si="497"/>
        <v>1</v>
      </c>
      <c r="II181" s="245">
        <f t="shared" si="604"/>
        <v>0</v>
      </c>
      <c r="IJ181" s="245" t="e">
        <f t="shared" si="498"/>
        <v>#VALUE!</v>
      </c>
      <c r="IK181" s="245" t="e">
        <f t="shared" si="499"/>
        <v>#VALUE!</v>
      </c>
      <c r="IL181" s="245"/>
      <c r="IM181" s="245" t="e">
        <f t="shared" si="605"/>
        <v>#N/A</v>
      </c>
      <c r="IN181" s="245" t="e">
        <f t="shared" si="606"/>
        <v>#N/A</v>
      </c>
      <c r="IO181" s="245"/>
      <c r="IP181" s="245"/>
      <c r="IQ181" s="245" t="str">
        <f t="shared" si="500"/>
        <v/>
      </c>
      <c r="IR181" s="245" t="str">
        <f>IF(J181="","",VLOOKUP(J181,Worksheet!$R$4:$T$14,2))</f>
        <v/>
      </c>
      <c r="IS181" s="245"/>
      <c r="IT181" s="245">
        <f t="shared" si="501"/>
        <v>0</v>
      </c>
      <c r="IU181" s="245">
        <f t="shared" si="502"/>
        <v>0</v>
      </c>
      <c r="IV181" s="245">
        <f t="shared" si="503"/>
        <v>0</v>
      </c>
      <c r="IW181" s="245">
        <f t="shared" si="504"/>
        <v>0</v>
      </c>
      <c r="IX181" s="245">
        <f t="shared" si="607"/>
        <v>0</v>
      </c>
      <c r="IY181" s="245">
        <f t="shared" si="505"/>
        <v>0</v>
      </c>
      <c r="IZ181" s="245">
        <f t="shared" si="506"/>
        <v>0</v>
      </c>
      <c r="JA181">
        <f t="shared" si="507"/>
        <v>0</v>
      </c>
      <c r="JB181">
        <f t="shared" si="608"/>
        <v>0</v>
      </c>
      <c r="JC181">
        <f t="shared" si="508"/>
        <v>0</v>
      </c>
      <c r="JD181">
        <f t="shared" si="509"/>
        <v>0</v>
      </c>
      <c r="JE181">
        <f t="shared" si="510"/>
        <v>0</v>
      </c>
      <c r="JF181">
        <f t="shared" si="511"/>
        <v>0</v>
      </c>
      <c r="JG181">
        <f t="shared" si="512"/>
        <v>0</v>
      </c>
      <c r="JH181">
        <f t="shared" si="513"/>
        <v>0</v>
      </c>
      <c r="JI181">
        <f t="shared" si="514"/>
        <v>0</v>
      </c>
      <c r="JJ181" s="447">
        <f t="shared" si="515"/>
        <v>0</v>
      </c>
      <c r="JK181" s="447">
        <f t="shared" si="516"/>
        <v>0</v>
      </c>
      <c r="JL181">
        <f t="shared" si="517"/>
        <v>0</v>
      </c>
      <c r="JM181" s="245" t="str">
        <f>IFERROR(VLOOKUP(MATCH(BN181,#REF!,0),#REF!,7),"")</f>
        <v/>
      </c>
      <c r="JN181" t="e">
        <f>HLOOKUP(LEFT(BO181,7),Discharge_Area,MATCH(JO181,LookUps!$B$130:$B$149,1)+2)</f>
        <v>#N/A</v>
      </c>
      <c r="JO181" t="str">
        <f t="shared" si="518"/>
        <v>- S</v>
      </c>
      <c r="JP181" t="e">
        <f>HLOOKUP(LEFT(BO181,7),Discharge_Area,MATCH(JO181,LookUps!$B$130:$B$149,1)+2)</f>
        <v>#N/A</v>
      </c>
      <c r="JQ181" t="e">
        <f t="shared" si="519"/>
        <v>#N/A</v>
      </c>
      <c r="JR181" t="e">
        <f t="shared" si="520"/>
        <v>#N/A</v>
      </c>
      <c r="JS181" t="e">
        <f t="shared" si="521"/>
        <v>#N/A</v>
      </c>
      <c r="JT181" s="532" t="str">
        <f t="shared" si="522"/>
        <v xml:space="preserve"> </v>
      </c>
      <c r="JU181" s="532" t="str">
        <f t="shared" si="523"/>
        <v xml:space="preserve"> </v>
      </c>
      <c r="JV181" s="533" t="str">
        <f t="shared" si="524"/>
        <v xml:space="preserve"> </v>
      </c>
      <c r="JW181" s="534">
        <f t="shared" si="525"/>
        <v>0</v>
      </c>
      <c r="JX181" s="535" t="str">
        <f t="shared" si="609"/>
        <v xml:space="preserve"> </v>
      </c>
      <c r="JY181" s="535" t="str">
        <f t="shared" si="610"/>
        <v xml:space="preserve"> </v>
      </c>
      <c r="JZ181" s="535" t="str">
        <f t="shared" si="611"/>
        <v xml:space="preserve"> </v>
      </c>
      <c r="KA181" s="536" t="str">
        <f t="shared" si="526"/>
        <v xml:space="preserve"> </v>
      </c>
      <c r="KB181" s="535" t="e">
        <f t="shared" si="612"/>
        <v>#VALUE!</v>
      </c>
      <c r="KC181" s="535" t="str">
        <f t="shared" si="527"/>
        <v/>
      </c>
      <c r="KD181" s="537" t="str">
        <f t="shared" si="613"/>
        <v xml:space="preserve"> </v>
      </c>
      <c r="KE181" s="537" t="str">
        <f t="shared" si="614"/>
        <v xml:space="preserve"> </v>
      </c>
      <c r="KF181" s="534">
        <f t="shared" si="528"/>
        <v>0</v>
      </c>
      <c r="KG181" s="535" t="str">
        <f t="shared" si="529"/>
        <v xml:space="preserve"> </v>
      </c>
      <c r="KH181" s="535" t="str">
        <f t="shared" si="530"/>
        <v xml:space="preserve"> </v>
      </c>
      <c r="KI181" s="535" t="str">
        <f t="shared" si="531"/>
        <v xml:space="preserve"> </v>
      </c>
      <c r="KJ181" s="536" t="str">
        <f t="shared" si="532"/>
        <v xml:space="preserve"> </v>
      </c>
      <c r="KK181" s="535" t="str">
        <f t="shared" si="615"/>
        <v xml:space="preserve"> </v>
      </c>
      <c r="KL181" s="535" t="str">
        <f t="shared" si="616"/>
        <v xml:space="preserve"> </v>
      </c>
      <c r="KM181" s="537" t="str">
        <f t="shared" si="533"/>
        <v xml:space="preserve"> </v>
      </c>
      <c r="KN181" s="537" t="str">
        <f t="shared" si="617"/>
        <v xml:space="preserve"> </v>
      </c>
      <c r="KP181">
        <f t="shared" si="534"/>
        <v>0</v>
      </c>
      <c r="LA181" t="e">
        <f t="shared" si="535"/>
        <v>#VALUE!</v>
      </c>
      <c r="LB181" t="e">
        <f t="shared" si="536"/>
        <v>#VALUE!</v>
      </c>
      <c r="LC181" t="e">
        <f t="shared" si="537"/>
        <v>#VALUE!</v>
      </c>
      <c r="LD181" t="e">
        <f t="shared" si="538"/>
        <v>#VALUE!</v>
      </c>
      <c r="LE181" t="e">
        <f t="shared" si="618"/>
        <v>#VALUE!</v>
      </c>
      <c r="LF181">
        <f t="shared" si="539"/>
        <v>0</v>
      </c>
      <c r="LG181" t="e">
        <f t="shared" si="619"/>
        <v>#VALUE!</v>
      </c>
      <c r="LH181" t="str">
        <f t="shared" si="540"/>
        <v xml:space="preserve"> </v>
      </c>
      <c r="LI181">
        <f t="shared" si="620"/>
        <v>1</v>
      </c>
    </row>
    <row r="182" spans="2:321" ht="15" customHeight="1">
      <c r="B182" s="311"/>
      <c r="C182" s="311"/>
      <c r="D182" s="312"/>
      <c r="E182" s="311"/>
      <c r="F182" s="312"/>
      <c r="G182" s="311"/>
      <c r="H182" s="311"/>
      <c r="I182" s="37"/>
      <c r="J182" s="311"/>
      <c r="K182" s="305" t="str">
        <f t="shared" si="541"/>
        <v/>
      </c>
      <c r="L182" s="313"/>
      <c r="M182" s="312"/>
      <c r="N182" s="311"/>
      <c r="O182" s="312"/>
      <c r="P182" s="311"/>
      <c r="Q182" s="305" t="str">
        <f t="shared" si="542"/>
        <v/>
      </c>
      <c r="R182" s="314"/>
      <c r="S182" s="450" t="str">
        <f t="shared" si="425"/>
        <v/>
      </c>
      <c r="T182" s="315"/>
      <c r="U182" s="315"/>
      <c r="W182" s="149" t="str">
        <f t="shared" si="426"/>
        <v xml:space="preserve"> </v>
      </c>
      <c r="X182" s="243" t="str">
        <f t="shared" si="427"/>
        <v xml:space="preserve"> </v>
      </c>
      <c r="Y182" s="150" t="str">
        <f t="shared" si="428"/>
        <v/>
      </c>
      <c r="Z182" s="149" t="str">
        <f t="shared" si="429"/>
        <v xml:space="preserve"> </v>
      </c>
      <c r="AA182" s="98" t="str">
        <f t="shared" si="430"/>
        <v xml:space="preserve"> </v>
      </c>
      <c r="AB182" s="153" t="str">
        <f t="shared" si="431"/>
        <v xml:space="preserve"> </v>
      </c>
      <c r="AC182" s="153" t="str">
        <f t="shared" si="432"/>
        <v xml:space="preserve"> </v>
      </c>
      <c r="AD182" s="148" t="str">
        <f t="shared" si="433"/>
        <v/>
      </c>
      <c r="AE182" s="149" t="str">
        <f t="shared" si="434"/>
        <v/>
      </c>
      <c r="AF182" s="151" t="str">
        <f t="shared" si="435"/>
        <v xml:space="preserve"> </v>
      </c>
      <c r="AG182" s="153" t="str">
        <f t="shared" si="436"/>
        <v xml:space="preserve"> </v>
      </c>
      <c r="AH182" s="98" t="str">
        <f t="shared" si="437"/>
        <v xml:space="preserve"> </v>
      </c>
      <c r="AI182" s="149" t="str">
        <f t="shared" si="438"/>
        <v xml:space="preserve"> </v>
      </c>
      <c r="AK182" s="144" t="str">
        <f t="shared" si="439"/>
        <v xml:space="preserve"> </v>
      </c>
      <c r="AL182" s="144"/>
      <c r="AM182" s="243" t="str">
        <f t="shared" si="440"/>
        <v xml:space="preserve"> </v>
      </c>
      <c r="AN182" s="149" t="str">
        <f t="shared" si="543"/>
        <v xml:space="preserve"> </v>
      </c>
      <c r="AO182" s="144" t="str">
        <f>IF(JB182&gt;0,IF(GI182=10,-R182*1.085*(Calculation!$F$6-Calculation!$F$13)*$S$14," "),"")</f>
        <v/>
      </c>
      <c r="AP182" s="144" t="str">
        <f t="shared" si="441"/>
        <v/>
      </c>
      <c r="AQ182" s="56" t="str">
        <f t="shared" si="442"/>
        <v/>
      </c>
      <c r="AR182" s="144" t="str">
        <f t="shared" si="443"/>
        <v/>
      </c>
      <c r="AS182" s="176" t="str">
        <f t="shared" si="444"/>
        <v/>
      </c>
      <c r="AT182" s="176" t="str">
        <f t="shared" si="544"/>
        <v xml:space="preserve"> </v>
      </c>
      <c r="AU182" s="176" t="str">
        <f t="shared" si="445"/>
        <v/>
      </c>
      <c r="AV182" s="177" t="str">
        <f t="shared" si="446"/>
        <v xml:space="preserve"> </v>
      </c>
      <c r="AW182" s="144" t="str">
        <f t="shared" si="447"/>
        <v xml:space="preserve"> </v>
      </c>
      <c r="AX182" s="144" t="str">
        <f t="shared" si="448"/>
        <v xml:space="preserve"> </v>
      </c>
      <c r="AY182" s="152" t="str">
        <f t="shared" si="449"/>
        <v xml:space="preserve"> </v>
      </c>
      <c r="AZ182" s="246" t="str">
        <f t="shared" si="450"/>
        <v/>
      </c>
      <c r="BA182" s="176" t="str">
        <f t="shared" si="451"/>
        <v xml:space="preserve"> </v>
      </c>
      <c r="BB182" s="176" t="str">
        <f t="shared" si="452"/>
        <v xml:space="preserve"> </v>
      </c>
      <c r="BC182" s="195"/>
      <c r="BD182" s="316"/>
      <c r="BE182" s="317"/>
      <c r="BF182" s="318"/>
      <c r="BG182" s="318"/>
      <c r="BH182" s="144" t="str">
        <f t="shared" si="621"/>
        <v xml:space="preserve"> </v>
      </c>
      <c r="BI182" s="176" t="str">
        <f t="shared" si="453"/>
        <v/>
      </c>
      <c r="BJ182" s="144" t="str">
        <f t="shared" si="622"/>
        <v/>
      </c>
      <c r="BK182" s="246" t="str">
        <f t="shared" si="454"/>
        <v/>
      </c>
      <c r="BL182" s="144" t="str">
        <f t="shared" si="623"/>
        <v/>
      </c>
      <c r="BM182" s="246" t="str">
        <f t="shared" si="455"/>
        <v/>
      </c>
      <c r="BN182" s="337" t="str">
        <f t="shared" si="545"/>
        <v/>
      </c>
      <c r="BO182" s="371" t="str">
        <f t="shared" si="546"/>
        <v/>
      </c>
      <c r="BP182" s="328" t="str">
        <f t="shared" si="624"/>
        <v xml:space="preserve"> </v>
      </c>
      <c r="BQ182" s="347" t="str">
        <f t="shared" si="547"/>
        <v xml:space="preserve"> </v>
      </c>
      <c r="BR182" s="353" t="str">
        <f t="shared" si="548"/>
        <v xml:space="preserve"> </v>
      </c>
      <c r="BS182" s="626" t="str">
        <f>IF(L182&gt;0,IF(Calculation!P182="M13",BR182*3.1416*(0.134^2)/(4*144),IF(Calculation!P182="M17",BR182*3.1416*(0.165^2)/(4*144),IF(Calculation!P182="M20",BR182*3.1416*(0.198^2)/(4*144),IF(Calculation!P182="M23",BR182*3.1416*(0.228^2)/(4*144),IF(Calculation!P182="M27",BR182*3.1416*(0.269^2)/(4*144),BR182*3.1416*(0.307^2)/(4*144))))))," ")</f>
        <v xml:space="preserve"> </v>
      </c>
      <c r="BT182" s="353" t="str">
        <f>IF(L182&gt;0,IF(BS182&gt;0,R182/Calculation!BS182,0)," ")</f>
        <v xml:space="preserve"> </v>
      </c>
      <c r="BU182" s="438" t="e">
        <f t="shared" ca="1" si="456"/>
        <v>#VALUE!</v>
      </c>
      <c r="BV182" s="449" t="e">
        <f ca="1">INDEX(INDIRECT(VLOOKUP(LEFT(BO182,7),CLU!$Z$3:$AH$18,2)),GN182,GR182)</f>
        <v>#N/A</v>
      </c>
      <c r="BW182" s="433" t="e">
        <f ca="1">INDEX(INDIRECT(VLOOKUP(LEFT(BO182,7),CLU!$Z$3:$AH$18,3)),GN182,GR182)</f>
        <v>#N/A</v>
      </c>
      <c r="BX182" s="433" t="e">
        <f ca="1">INDEX(INDIRECT(VLOOKUP(LEFT(BO182,7),CLU!$Z$3:$AH$18,4)),GN182,GR182)</f>
        <v>#N/A</v>
      </c>
      <c r="BY182" s="433" t="e">
        <f ca="1">INDEX(INDIRECT(VLOOKUP(LEFT(BO182,7),CLU!$Z$3:$AH$18,9)),((M182-2)*(6-COUNTBLANK(GT182:GY182)))+GJ182)</f>
        <v>#N/A</v>
      </c>
      <c r="BZ182" s="426" t="e">
        <f t="shared" ca="1" si="549"/>
        <v>#N/A</v>
      </c>
      <c r="CA182" s="424" t="e">
        <f t="shared" ca="1" si="550"/>
        <v>#N/A</v>
      </c>
      <c r="CB182" s="429" t="e">
        <f ca="1">INDEX(INDIRECT(VLOOKUP(LEFT(BO182,7),CLU!$Z$3:$AH$18,2)),GN182,GS182)</f>
        <v>#N/A</v>
      </c>
      <c r="CC182" s="342" t="e">
        <f ca="1">INDEX(INDIRECT(VLOOKUP(LEFT(BO182,7),CLU!$Z$3:$AH$18,3)),GN182,GS182)</f>
        <v>#N/A</v>
      </c>
      <c r="CD182" s="342" t="e">
        <f ca="1">INDEX(INDIRECT(VLOOKUP(LEFT(BO182,7),CLU!$Z$3:$AH$18,4)),GN182,GS182)</f>
        <v>#N/A</v>
      </c>
      <c r="CE182" s="426" t="e">
        <f t="shared" ca="1" si="551"/>
        <v>#N/A</v>
      </c>
      <c r="CF182" s="440">
        <f t="shared" si="552"/>
        <v>0</v>
      </c>
      <c r="CG182" s="431" t="e">
        <f ca="1">INDEX(INDIRECT(VLOOKUP(LEFT(BO182,7),CLU!$Z$3:$AH$18,2)),GQ182,GR182)</f>
        <v>#N/A</v>
      </c>
      <c r="CH182" s="431" t="e">
        <f ca="1">INDEX(INDIRECT(VLOOKUP(LEFT(BO182,7),CLU!$Z$3:$AH$18,3)),GQ182,GR182)</f>
        <v>#N/A</v>
      </c>
      <c r="CI182" s="431" t="e">
        <f ca="1">INDEX(INDIRECT(VLOOKUP(LEFT(BO182,7),CLU!$Z$3:$AH$18,4)),GQ182,GR182)</f>
        <v>#N/A</v>
      </c>
      <c r="CJ182" s="448" t="e">
        <f t="shared" ca="1" si="553"/>
        <v>#N/A</v>
      </c>
      <c r="CK182" s="431" t="e">
        <f t="shared" ca="1" si="554"/>
        <v>#N/A</v>
      </c>
      <c r="CL182" s="440" t="e">
        <f t="shared" ca="1" si="555"/>
        <v>#N/A</v>
      </c>
      <c r="CM182" s="431" t="e">
        <f ca="1">INDEX(INDIRECT(VLOOKUP(LEFT(BO182,7),CLU!$Z$3:$AH$18,2)),GQ182,GS182)</f>
        <v>#N/A</v>
      </c>
      <c r="CN182" s="431" t="e">
        <f ca="1">INDEX(INDIRECT(VLOOKUP(LEFT(BO182,7),CLU!$Z$3:$AH$18,3)),GQ182,GS182)</f>
        <v>#N/A</v>
      </c>
      <c r="CO182" s="431" t="e">
        <f ca="1">INDEX(INDIRECT(VLOOKUP(LEFT(BO182,7),CLU!$Z$3:$AH$18,4)),GQ182,GS182)</f>
        <v>#N/A</v>
      </c>
      <c r="CP182" s="431" t="e">
        <f t="shared" ca="1" si="556"/>
        <v>#N/A</v>
      </c>
      <c r="CQ182" s="440">
        <f t="shared" si="557"/>
        <v>0</v>
      </c>
      <c r="CR182" s="51" t="e">
        <f t="shared" ca="1" si="558"/>
        <v>#N/A</v>
      </c>
      <c r="CS182" s="439" t="e">
        <f t="shared" ca="1" si="559"/>
        <v>#VALUE!</v>
      </c>
      <c r="CT182" s="51" t="e">
        <f t="shared" ca="1" si="560"/>
        <v>#VALUE!</v>
      </c>
      <c r="CU182" s="10"/>
      <c r="CV182" s="51" t="e">
        <f t="shared" ca="1" si="457"/>
        <v>#VALUE!</v>
      </c>
      <c r="CW182" s="51">
        <f t="shared" si="561"/>
        <v>0</v>
      </c>
      <c r="CX182" s="439" t="e">
        <f t="shared" ca="1" si="562"/>
        <v>#VALUE!</v>
      </c>
      <c r="CY182" s="51" t="e">
        <f t="shared" ca="1" si="563"/>
        <v>#VALUE!</v>
      </c>
      <c r="CZ182" s="10"/>
      <c r="DA182" s="51" t="e">
        <f t="shared" ca="1" si="564"/>
        <v>#VALUE!</v>
      </c>
      <c r="DB182" s="347" t="e">
        <f ca="1">INDEX(INDIRECT(VLOOKUP(LEFT(BO182,7),CLU!$Z$3:$AI$18,10)),((M182-2)*(6-COUNTBLANK(GT182:GY182)))+GJ182)*LI182</f>
        <v>#N/A</v>
      </c>
      <c r="DC182" s="347" t="str">
        <f>IF(L182&gt;0,((R182/Worksheet!$I$15)/DB182)^2," ")</f>
        <v xml:space="preserve"> </v>
      </c>
      <c r="DD182" s="602" t="str">
        <f t="shared" si="565"/>
        <v xml:space="preserve"> </v>
      </c>
      <c r="DE182" s="347" t="str">
        <f t="shared" si="458"/>
        <v xml:space="preserve"> </v>
      </c>
      <c r="DF182" s="356" t="e">
        <f ca="1">INDEX(INDIRECT(VLOOKUP(LEFT(BO182,7),CLU!$Z$3:$AH$18,8)),((M182-2)*(6-COUNTBLANK(GT182:GY182)))+GJ182)</f>
        <v>#N/A</v>
      </c>
      <c r="DG182" s="347" t="str">
        <f t="shared" si="459"/>
        <v xml:space="preserve"> </v>
      </c>
      <c r="DH182" s="357" t="str">
        <f t="shared" si="460"/>
        <v xml:space="preserve"> </v>
      </c>
      <c r="DI182" s="355" t="str">
        <f t="shared" si="461"/>
        <v xml:space="preserve"> </v>
      </c>
      <c r="DJ182" s="245" t="e">
        <f ca="1">INDEX(INDIRECT(VLOOKUP(LEFT(BO182,7),CLU!$Z$3:$AH$18,5)),GL182,GK182)</f>
        <v>#N/A</v>
      </c>
      <c r="DK182" s="245" t="e">
        <f ca="1">INDEX(INDIRECT(VLOOKUP(LEFT(BO182,7),CLU!$Z$3:$AH$18,6)),GL182,GK182)</f>
        <v>#N/A</v>
      </c>
      <c r="DL182" s="355">
        <f>(Calculation!R182*0.69143*(Calculation!$BQ$8-Calculation!$F$8))*$S$14</f>
        <v>0</v>
      </c>
      <c r="DM182" s="359" t="e">
        <f t="shared" si="566"/>
        <v>#VALUE!</v>
      </c>
      <c r="DN182" s="611">
        <f t="shared" si="567"/>
        <v>0</v>
      </c>
      <c r="DO182" s="359">
        <f t="shared" si="568"/>
        <v>100</v>
      </c>
      <c r="DP182" s="359">
        <f t="shared" si="569"/>
        <v>0</v>
      </c>
      <c r="DQ182" s="360"/>
      <c r="DR182" s="245" t="e">
        <f ca="1">INDEX(INDIRECT(VLOOKUP(LEFT(BO182,7),CLU!$Z$3:$AH$18,7)),M182-1,1)</f>
        <v>#N/A</v>
      </c>
      <c r="DS182" s="245" t="e">
        <f ca="1">INDEX(INDIRECT(VLOOKUP(LEFT(BO182,7),CLU!$Z$3:$AH$18,7)),M182-1,2)</f>
        <v>#N/A</v>
      </c>
      <c r="DT182" s="245" t="e">
        <f ca="1">INDEX(INDIRECT(VLOOKUP(LEFT(BO182,7),CLU!$Z$3:$AH$18,7)),M182-1,3)</f>
        <v>#N/A</v>
      </c>
      <c r="DU182" s="245" t="e">
        <f ca="1">INDEX(INDIRECT(VLOOKUP(LEFT(BO182,7),CLU!$Z$3:$AH$18,7)),M182-1,4)</f>
        <v>#N/A</v>
      </c>
      <c r="DV182" s="361" t="e">
        <f ca="1">INDEX(INDIRECT(VLOOKUP(LEFT(BO182,7),CLU!$Z$3:$AH$18,7)),M182-1,4+LEFT(DZ182,1)*0.5)</f>
        <v>#N/A</v>
      </c>
      <c r="DW182" s="245" t="e">
        <f ca="1">INDEX(INDIRECT(VLOOKUP(LEFT(BO182,7),CLU!$Z$3:$AH$18,7)),M182-1,8)</f>
        <v>#N/A</v>
      </c>
      <c r="DX182" s="361" t="str">
        <f t="shared" si="462"/>
        <v xml:space="preserve"> </v>
      </c>
      <c r="DY182" s="361" t="str">
        <f t="shared" si="463"/>
        <v xml:space="preserve"> </v>
      </c>
      <c r="DZ182" s="361" t="str">
        <f t="shared" si="464"/>
        <v xml:space="preserve"> </v>
      </c>
      <c r="EA182" s="362" t="str">
        <f t="shared" si="465"/>
        <v xml:space="preserve"> </v>
      </c>
      <c r="EB182" s="624" t="str">
        <f t="shared" si="570"/>
        <v xml:space="preserve"> </v>
      </c>
      <c r="EC182" s="361" t="e">
        <f ca="1">INDEX(INDIRECT(VLOOKUP(LEFT(BO182,7),CLU!$Z$3:$AH$18,7)),M182-1,4+LEFT(DZ182,1)*0.5)</f>
        <v>#N/A</v>
      </c>
      <c r="ED182" s="362" t="str">
        <f t="shared" si="466"/>
        <v xml:space="preserve"> </v>
      </c>
      <c r="EE182" s="361" t="str">
        <f t="shared" si="467"/>
        <v xml:space="preserve"> </v>
      </c>
      <c r="EF182" s="362" t="str">
        <f>IF(L182&gt;0,IF(BR182&gt;0,IF(EE182="2P",IF(Calculation!DZ182="2P",IF(Calculation!DS182=13.75,IF(Calculation!DR182=13,Worksheet!$BD$43,IF(Calculation!DR182=37,Worksheet!$BD$44,Worksheet!$BD$45)),IF(Calculation!DS182=10,IF(Calculation!DR182=18,Worksheet!$BD$29,IF(Calculation!DR182=30,Worksheet!$BD$30,IF(Calculation!DR182=42,Worksheet!$BD$31,IF(Calculation!DR182=54,Worksheet!$BD$32,IF(Calculation!DR182=66,Worksheet!$BD$33,IF(Calculation!DR182=78,Worksheet!$BD$34,IF(Calculation!DR182=90,Worksheet!$BD$35,IF(Calculation!DR182=102,Worksheet!$BD$36,Worksheet!$BD$37)))))))),IF(Calculation!DS182=12.5,IF(Calculation!DR182=18,Worksheet!$BD$38,IF(Calculation!DR182=Worksheet!$BD$39,IF(Calculation!DR182=42,Worksheet!$BD$40,IF(Calculation!DR182=54,Worksheet!$BD$41,Worksheet!$BD$42)))),IF(Calculation!DR182=18,Worksheet!$BD$11,IF(Calculation!DR182=30,Worksheet!$BD$12,IF(Calculation!DR182=42,Worksheet!$BD$13,IF(Calculation!DR182=54,Worksheet!$BD$14,IF(Calculation!DR182=66,Worksheet!$BD$15,IF(Calculation!DR182=78,Worksheet!$BD$16,IF(Calculation!DR182=90,Worksheet!$BD$17,IF(Calculation!DR182=102,Worksheet!$BD$18,Worksheet!$BD$19))))))))))),IF(Calculation!DS182=13.75,IF(Calculation!DR182=13,Worksheet!$BD$78,IF(Calculation!DR182=37,Worksheet!$BD$79,Worksheet!$BD$80)),IF(Calculation!DS182=10,IF(Calculation!DR182=18,Worksheet!$BD$64,IF(Calculation!DR182=30,Worksheet!$BD$65,IF(Calculation!DR182=42,Worksheet!$BD$66,IF(Calculation!DR182=54,Worksheet!$BD$68,IF(Calculation!DR182=66,Worksheet!$BD$68,IF(Calculation!DR182=78,Worksheet!$BD$69,IF(Calculation!DR182=90,Worksheet!$BD$70,IF(Calculation!DR182=102,Worksheet!$BD$71,Worksheet!$BD$72)))))))),IF(Calculation!DS182=12.5,IF(Calculation!DR182=18,Worksheet!$BD$73,IF(Calculation!DR182=Worksheet!$BD$74,IF(Calculation!DR182=42,Worksheet!$BD$75,IF(Calculation!DR182=54,Worksheet!$BD$76,Worksheet!$BD$77)))),IF(Calculation!DR182=18,Worksheet!$BD$55,IF(Calculation!DR182=30,Worksheet!$BD$56,IF(Calculation!DR182=42,Worksheet!$BD$57,IF(Calculation!DR182=54,Worksheet!$BD$58,IF(Calculation!DR182=66,Worksheet!$BD$59,IF(Calculation!DR182=78,Worksheet!$BD$60,IF(Calculation!DR182=90,Worksheet!$BD$61,IF(Calculation!DR182=102,Worksheet!$BD$62,Worksheet!$BD$63)))))))))))),5),0)," ")</f>
        <v xml:space="preserve"> </v>
      </c>
      <c r="EG182" s="361" t="str">
        <f t="shared" si="468"/>
        <v xml:space="preserve"> </v>
      </c>
      <c r="EH182" s="361" t="e">
        <f ca="1">INDEX(INDIRECT(VLOOKUP(LEFT(BO182,7),CLU!$Z$3:$AH$18,7)),M182-1,3+LEFT(DZ182,1))</f>
        <v>#N/A</v>
      </c>
      <c r="EI182" s="362" t="str">
        <f t="shared" si="469"/>
        <v xml:space="preserve"> </v>
      </c>
      <c r="EJ182" s="363" t="str">
        <f t="shared" si="470"/>
        <v xml:space="preserve"> </v>
      </c>
      <c r="EK182" s="363" t="str">
        <f t="shared" si="471"/>
        <v xml:space="preserve"> </v>
      </c>
      <c r="EL182" s="363" t="str">
        <f t="shared" si="472"/>
        <v xml:space="preserve"> </v>
      </c>
      <c r="EM182" s="362" t="str">
        <f>IF(L182&gt;0,IF(BR182&gt;0,(Calculation!T182/ED182)^2,0)," ")</f>
        <v xml:space="preserve"> </v>
      </c>
      <c r="EN182" s="362" t="str">
        <f>IF(L182&gt;0,IF(O182="2 Pipe (Cooling)","N/A",IF(BR182&gt;0,(Calculation!U182/EI182)^2,0))," ")</f>
        <v xml:space="preserve"> </v>
      </c>
      <c r="EO182" s="361" t="str">
        <f t="shared" si="473"/>
        <v/>
      </c>
      <c r="EP182" s="361" t="str">
        <f t="shared" si="474"/>
        <v/>
      </c>
      <c r="EQ182" s="361" t="str">
        <f t="shared" si="475"/>
        <v/>
      </c>
      <c r="ER182" s="361" t="str">
        <f t="shared" si="476"/>
        <v/>
      </c>
      <c r="ES182" s="361" t="str">
        <f t="shared" si="477"/>
        <v/>
      </c>
      <c r="ET182" s="361" t="str">
        <f t="shared" si="478"/>
        <v/>
      </c>
      <c r="EU182" s="361" t="str">
        <f t="shared" si="479"/>
        <v/>
      </c>
      <c r="EV182" s="361" t="str">
        <f t="shared" si="480"/>
        <v/>
      </c>
      <c r="EW182" s="361" t="str">
        <f t="shared" si="481"/>
        <v/>
      </c>
      <c r="EX182" s="361" t="str">
        <f t="shared" si="571"/>
        <v>1 slot, 1 way</v>
      </c>
      <c r="EY182" s="361" t="str">
        <f t="shared" si="572"/>
        <v xml:space="preserve"> </v>
      </c>
      <c r="EZ182" s="361" t="str">
        <f t="shared" si="573"/>
        <v xml:space="preserve"> </v>
      </c>
      <c r="FA182" s="361" t="str">
        <f t="shared" si="574"/>
        <v xml:space="preserve"> </v>
      </c>
      <c r="FB182" s="361" t="str">
        <f t="shared" si="575"/>
        <v xml:space="preserve"> </v>
      </c>
      <c r="FC182" s="361"/>
      <c r="FD182" s="361" t="str">
        <f>IF(J182&gt;0,IF(Calculation!R182&lt;=70,4,IF(Calculation!R182&lt;=110,5,IF(Calculation!R182&lt;=160,6,IF(Calculation!R182&lt;=300,8,"10 EO")))),"")</f>
        <v/>
      </c>
      <c r="FE182" s="361" t="str">
        <f t="shared" si="576"/>
        <v/>
      </c>
      <c r="FF182" s="361" t="str">
        <f t="shared" si="577"/>
        <v/>
      </c>
      <c r="FG182" s="361" t="e">
        <f t="shared" si="482"/>
        <v>#N/A</v>
      </c>
      <c r="FH182" s="361">
        <f t="shared" si="483"/>
        <v>0</v>
      </c>
      <c r="FI182" s="361" t="e">
        <f t="shared" si="484"/>
        <v>#DIV/0!</v>
      </c>
      <c r="FJ182" s="361"/>
      <c r="FK182" s="356" t="e">
        <f t="shared" si="485"/>
        <v>#VALUE!</v>
      </c>
      <c r="FL182" s="361"/>
      <c r="FM182" s="361"/>
      <c r="FN182" s="362" t="str">
        <f t="shared" si="578"/>
        <v xml:space="preserve"> </v>
      </c>
      <c r="FO182" s="362" t="str">
        <f t="shared" si="579"/>
        <v xml:space="preserve"> </v>
      </c>
      <c r="FP182" s="362">
        <f t="shared" si="580"/>
        <v>0</v>
      </c>
      <c r="FQ182" s="361">
        <f t="shared" si="486"/>
        <v>0</v>
      </c>
      <c r="FR182" s="362" t="str">
        <f>IF(L182&gt;0,IF(J182="CBAL2",Worksheet!$P$67,IF(J182="CBE2-24",Worksheet!$Q$67,IF(J182="CBAM",Worksheet!$R$67,IF(J182="CBLV",Worksheet!$S$67,IF(J182="CBAB",Worksheet!$U$67,IF(J182="CBAW",Worksheet!$X$67,IF(J182="CBE2-12",Worksheet!$Y$67,IF(J182="CBAL2",Worksheet!$Z$67,"N/A"))))))))," ")</f>
        <v xml:space="preserve"> </v>
      </c>
      <c r="FS182" s="362" t="str">
        <f>IF(L182&gt;0,IF(J182="CBAL2",Worksheet!$P$68,IF(J182="CBE2-24",Worksheet!$Q$68,IF(J182="CBAM",Worksheet!$R$68,IF(J182="CBLV",Worksheet!$S$68,IF(J182="CBAB",Worksheet!$U$68,IF(J182="CBAW",Worksheet!$X$68,IF(J182="CBE2-12",Worksheet!$Y$68,IF(J182="CBAL2",Worksheet!$Z$68,"N/A"))))))))," ")</f>
        <v xml:space="preserve"> </v>
      </c>
      <c r="FT182" s="362" t="str">
        <f>IF(L182&gt;0,IF(J182="CBAL2",Worksheet!$P$69,IF(J182="CBE2-24",Worksheet!$Q$69,IF(J182="CBAM",Worksheet!$R$69,IF(J182="CBLV",Worksheet!$S$69,IF(J182="CBAB",Worksheet!$U$69,IF(J182="CBAW",Worksheet!$X$69,IF(J182="CBE2-12",Worksheet!$Y$69,IF(J182="CBAL2",Worksheet!$Z$69,"N/A"))))))))," ")</f>
        <v xml:space="preserve"> </v>
      </c>
      <c r="FU182" s="361" t="str">
        <f t="shared" si="581"/>
        <v xml:space="preserve"> </v>
      </c>
      <c r="FV182" s="362" t="str">
        <f t="shared" si="582"/>
        <v xml:space="preserve"> </v>
      </c>
      <c r="FW182" s="362" t="str">
        <f t="shared" si="583"/>
        <v xml:space="preserve"> </v>
      </c>
      <c r="FX182" s="362" t="str">
        <f t="shared" si="584"/>
        <v xml:space="preserve"> </v>
      </c>
      <c r="FY182" s="355" t="str">
        <f t="shared" si="585"/>
        <v xml:space="preserve"> </v>
      </c>
      <c r="FZ182" s="361" t="str">
        <f t="shared" si="586"/>
        <v xml:space="preserve"> </v>
      </c>
      <c r="GA182" s="347" t="str">
        <f t="shared" si="587"/>
        <v xml:space="preserve"> </v>
      </c>
      <c r="GB182" s="355" t="str">
        <f t="shared" si="588"/>
        <v xml:space="preserve"> </v>
      </c>
      <c r="GC182" s="328" t="str">
        <f t="shared" si="589"/>
        <v xml:space="preserve"> </v>
      </c>
      <c r="GD182" s="361" t="str">
        <f t="shared" si="590"/>
        <v xml:space="preserve"> </v>
      </c>
      <c r="GE182" s="347" t="str">
        <f t="shared" si="591"/>
        <v xml:space="preserve"> </v>
      </c>
      <c r="GF182" s="361" t="str">
        <f t="shared" si="592"/>
        <v xml:space="preserve"> </v>
      </c>
      <c r="GG182" s="347" t="str">
        <f t="shared" si="593"/>
        <v xml:space="preserve"> </v>
      </c>
      <c r="GH182" s="364">
        <f t="shared" si="487"/>
        <v>0</v>
      </c>
      <c r="GI182" s="362">
        <f t="shared" si="594"/>
        <v>2</v>
      </c>
      <c r="GJ182" s="433" t="e">
        <f>IF(6-COUNTBLANK(GT182:GY182)=4,MATCH(MID(BO182,9,3),CLU!$H$16:$K$16),MATCH(MID(BO182,9,3),CLU!$H$13:$M$13))</f>
        <v>#N/A</v>
      </c>
      <c r="GK182" s="433" t="e">
        <f>HLOOKUP(VALUE(BP182),CLU!$H$9:$M$10,2)</f>
        <v>#VALUE!</v>
      </c>
      <c r="GL182" s="433" t="e">
        <f ca="1">MATCH(BU182,CLU!$H$2:$V$2,1)</f>
        <v>#VALUE!</v>
      </c>
      <c r="GM182" s="433" t="e">
        <f t="shared" ca="1" si="595"/>
        <v>#VALUE!</v>
      </c>
      <c r="GN182" s="433" t="e">
        <f t="shared" ca="1" si="596"/>
        <v>#VALUE!</v>
      </c>
      <c r="GO182" s="433" t="e">
        <f t="shared" ca="1" si="597"/>
        <v>#VALUE!</v>
      </c>
      <c r="GP182" s="433" t="e">
        <f t="shared" ca="1" si="598"/>
        <v>#VALUE!</v>
      </c>
      <c r="GQ182" s="433" t="e">
        <f t="shared" ca="1" si="599"/>
        <v>#VALUE!</v>
      </c>
      <c r="GR182" s="433" t="e">
        <f ca="1">MATCH(T182,INDIRECT(VLOOKUP(CONCATENATE(LEFT(BO182,7),"-",MID(BO182,13,1)),CLU!$P$3:$Q$16,2)),1)</f>
        <v>#N/A</v>
      </c>
      <c r="GS182" s="433" t="e">
        <f ca="1">MATCH(U182,INDIRECT(VLOOKUP(CONCATENATE(LEFT(BO182,7),"-",MID(BO182,13,1)),CLU!$P$3:$Q$16,2)),1)</f>
        <v>#N/A</v>
      </c>
      <c r="GT182" s="347" t="s">
        <v>512</v>
      </c>
      <c r="GU182" s="97" t="s">
        <v>513</v>
      </c>
      <c r="GV182" s="97" t="str">
        <f t="shared" si="600"/>
        <v>M23</v>
      </c>
      <c r="GW182" s="97" t="str">
        <f t="shared" si="601"/>
        <v>M31</v>
      </c>
      <c r="GX182" s="97" t="str">
        <f t="shared" si="602"/>
        <v/>
      </c>
      <c r="GY182" s="97" t="str">
        <f t="shared" si="603"/>
        <v/>
      </c>
      <c r="GZ182" s="481"/>
      <c r="HA182" s="288"/>
      <c r="HB182" s="240"/>
      <c r="HC182" s="240"/>
      <c r="HD182" s="240"/>
      <c r="HE182" s="240"/>
      <c r="HF182" s="240"/>
      <c r="HG182" s="240"/>
      <c r="HH182" s="240"/>
      <c r="HI182" s="240"/>
      <c r="HJ182" s="240"/>
      <c r="HK182" s="240"/>
      <c r="HL182" s="240"/>
      <c r="HM182" s="240"/>
      <c r="HN182" s="240"/>
      <c r="HO182" s="240"/>
      <c r="HP182" s="240"/>
      <c r="HQ182" s="240"/>
      <c r="HR182" s="240"/>
      <c r="HS182" s="240"/>
      <c r="HT182" s="240"/>
      <c r="HU182" s="240"/>
      <c r="HV182" s="245"/>
      <c r="HW182" s="245" t="b">
        <v>1</v>
      </c>
      <c r="HX182" s="245" t="str">
        <f t="shared" si="488"/>
        <v/>
      </c>
      <c r="HY182" s="245" t="e">
        <f t="shared" si="489"/>
        <v>#DIV/0!</v>
      </c>
      <c r="HZ182" s="245" t="e">
        <f t="shared" si="490"/>
        <v>#DIV/0!</v>
      </c>
      <c r="IA182" s="245">
        <f t="shared" si="491"/>
        <v>0</v>
      </c>
      <c r="IB182" s="245"/>
      <c r="IC182" t="b">
        <f t="shared" si="492"/>
        <v>1</v>
      </c>
      <c r="ID182" s="245" t="b">
        <f t="shared" si="493"/>
        <v>1</v>
      </c>
      <c r="IE182" s="245" t="b">
        <f t="shared" si="494"/>
        <v>1</v>
      </c>
      <c r="IF182" s="245" t="b">
        <f t="shared" si="495"/>
        <v>0</v>
      </c>
      <c r="IG182" s="245" t="b">
        <f t="shared" si="496"/>
        <v>1</v>
      </c>
      <c r="IH182" s="245" t="b">
        <f t="shared" si="497"/>
        <v>1</v>
      </c>
      <c r="II182" s="245">
        <f t="shared" si="604"/>
        <v>0</v>
      </c>
      <c r="IJ182" s="245" t="e">
        <f t="shared" si="498"/>
        <v>#VALUE!</v>
      </c>
      <c r="IK182" s="245" t="e">
        <f t="shared" si="499"/>
        <v>#VALUE!</v>
      </c>
      <c r="IL182" s="245"/>
      <c r="IM182" s="245" t="e">
        <f t="shared" si="605"/>
        <v>#N/A</v>
      </c>
      <c r="IN182" s="245" t="e">
        <f t="shared" si="606"/>
        <v>#N/A</v>
      </c>
      <c r="IO182" s="245"/>
      <c r="IP182" s="245"/>
      <c r="IQ182" s="245" t="str">
        <f t="shared" si="500"/>
        <v/>
      </c>
      <c r="IR182" s="245" t="str">
        <f>IF(J182="","",VLOOKUP(J182,Worksheet!$R$4:$T$14,2))</f>
        <v/>
      </c>
      <c r="IS182" s="245"/>
      <c r="IT182" s="245">
        <f t="shared" si="501"/>
        <v>0</v>
      </c>
      <c r="IU182" s="245">
        <f t="shared" si="502"/>
        <v>0</v>
      </c>
      <c r="IV182" s="245">
        <f t="shared" si="503"/>
        <v>0</v>
      </c>
      <c r="IW182" s="245">
        <f t="shared" si="504"/>
        <v>0</v>
      </c>
      <c r="IX182" s="245">
        <f t="shared" si="607"/>
        <v>0</v>
      </c>
      <c r="IY182" s="245">
        <f t="shared" si="505"/>
        <v>0</v>
      </c>
      <c r="IZ182" s="245">
        <f t="shared" si="506"/>
        <v>0</v>
      </c>
      <c r="JA182">
        <f t="shared" si="507"/>
        <v>0</v>
      </c>
      <c r="JB182">
        <f t="shared" si="608"/>
        <v>0</v>
      </c>
      <c r="JC182">
        <f t="shared" si="508"/>
        <v>0</v>
      </c>
      <c r="JD182">
        <f t="shared" si="509"/>
        <v>0</v>
      </c>
      <c r="JE182">
        <f t="shared" si="510"/>
        <v>0</v>
      </c>
      <c r="JF182">
        <f t="shared" si="511"/>
        <v>0</v>
      </c>
      <c r="JG182">
        <f t="shared" si="512"/>
        <v>0</v>
      </c>
      <c r="JH182">
        <f t="shared" si="513"/>
        <v>0</v>
      </c>
      <c r="JI182">
        <f t="shared" si="514"/>
        <v>0</v>
      </c>
      <c r="JJ182" s="447">
        <f t="shared" si="515"/>
        <v>0</v>
      </c>
      <c r="JK182" s="447">
        <f t="shared" si="516"/>
        <v>0</v>
      </c>
      <c r="JL182">
        <f t="shared" si="517"/>
        <v>0</v>
      </c>
      <c r="JM182" s="245" t="str">
        <f>IFERROR(VLOOKUP(MATCH(BN182,#REF!,0),#REF!,7),"")</f>
        <v/>
      </c>
      <c r="JN182" t="e">
        <f>HLOOKUP(LEFT(BO182,7),Discharge_Area,MATCH(JO182,LookUps!$B$130:$B$149,1)+2)</f>
        <v>#N/A</v>
      </c>
      <c r="JO182" t="str">
        <f t="shared" si="518"/>
        <v>- S</v>
      </c>
      <c r="JP182" t="e">
        <f>HLOOKUP(LEFT(BO182,7),Discharge_Area,MATCH(JO182,LookUps!$B$130:$B$149,1)+2)</f>
        <v>#N/A</v>
      </c>
      <c r="JQ182" t="e">
        <f t="shared" si="519"/>
        <v>#N/A</v>
      </c>
      <c r="JR182" t="e">
        <f t="shared" si="520"/>
        <v>#N/A</v>
      </c>
      <c r="JS182" t="e">
        <f t="shared" si="521"/>
        <v>#N/A</v>
      </c>
      <c r="JT182" s="532" t="str">
        <f t="shared" si="522"/>
        <v xml:space="preserve"> </v>
      </c>
      <c r="JU182" s="532" t="str">
        <f t="shared" si="523"/>
        <v xml:space="preserve"> </v>
      </c>
      <c r="JV182" s="533" t="str">
        <f t="shared" si="524"/>
        <v xml:space="preserve"> </v>
      </c>
      <c r="JW182" s="534">
        <f t="shared" si="525"/>
        <v>0</v>
      </c>
      <c r="JX182" s="535" t="str">
        <f t="shared" si="609"/>
        <v xml:space="preserve"> </v>
      </c>
      <c r="JY182" s="535" t="str">
        <f t="shared" si="610"/>
        <v xml:space="preserve"> </v>
      </c>
      <c r="JZ182" s="535" t="str">
        <f t="shared" si="611"/>
        <v xml:space="preserve"> </v>
      </c>
      <c r="KA182" s="536" t="str">
        <f t="shared" si="526"/>
        <v xml:space="preserve"> </v>
      </c>
      <c r="KB182" s="535" t="e">
        <f t="shared" si="612"/>
        <v>#VALUE!</v>
      </c>
      <c r="KC182" s="535" t="str">
        <f t="shared" si="527"/>
        <v/>
      </c>
      <c r="KD182" s="537" t="str">
        <f t="shared" si="613"/>
        <v xml:space="preserve"> </v>
      </c>
      <c r="KE182" s="537" t="str">
        <f t="shared" si="614"/>
        <v xml:space="preserve"> </v>
      </c>
      <c r="KF182" s="534">
        <f t="shared" si="528"/>
        <v>0</v>
      </c>
      <c r="KG182" s="535" t="str">
        <f t="shared" si="529"/>
        <v xml:space="preserve"> </v>
      </c>
      <c r="KH182" s="535" t="str">
        <f t="shared" si="530"/>
        <v xml:space="preserve"> </v>
      </c>
      <c r="KI182" s="535" t="str">
        <f t="shared" si="531"/>
        <v xml:space="preserve"> </v>
      </c>
      <c r="KJ182" s="536" t="str">
        <f t="shared" si="532"/>
        <v xml:space="preserve"> </v>
      </c>
      <c r="KK182" s="535" t="str">
        <f t="shared" si="615"/>
        <v xml:space="preserve"> </v>
      </c>
      <c r="KL182" s="535" t="str">
        <f t="shared" si="616"/>
        <v xml:space="preserve"> </v>
      </c>
      <c r="KM182" s="537" t="str">
        <f t="shared" si="533"/>
        <v xml:space="preserve"> </v>
      </c>
      <c r="KN182" s="537" t="str">
        <f t="shared" si="617"/>
        <v xml:space="preserve"> </v>
      </c>
      <c r="KP182">
        <f t="shared" si="534"/>
        <v>0</v>
      </c>
      <c r="LA182" t="e">
        <f t="shared" si="535"/>
        <v>#VALUE!</v>
      </c>
      <c r="LB182" t="e">
        <f t="shared" si="536"/>
        <v>#VALUE!</v>
      </c>
      <c r="LC182" t="e">
        <f t="shared" si="537"/>
        <v>#VALUE!</v>
      </c>
      <c r="LD182" t="e">
        <f t="shared" si="538"/>
        <v>#VALUE!</v>
      </c>
      <c r="LE182" t="e">
        <f t="shared" si="618"/>
        <v>#VALUE!</v>
      </c>
      <c r="LF182">
        <f t="shared" si="539"/>
        <v>0</v>
      </c>
      <c r="LG182" t="e">
        <f t="shared" si="619"/>
        <v>#VALUE!</v>
      </c>
      <c r="LH182" t="str">
        <f t="shared" si="540"/>
        <v xml:space="preserve"> </v>
      </c>
      <c r="LI182">
        <f t="shared" si="620"/>
        <v>1</v>
      </c>
    </row>
    <row r="183" spans="2:321" ht="15" customHeight="1">
      <c r="B183" s="311"/>
      <c r="C183" s="311"/>
      <c r="D183" s="312"/>
      <c r="E183" s="311"/>
      <c r="F183" s="312"/>
      <c r="G183" s="311"/>
      <c r="H183" s="311"/>
      <c r="I183" s="37"/>
      <c r="J183" s="311"/>
      <c r="K183" s="305" t="str">
        <f t="shared" si="541"/>
        <v/>
      </c>
      <c r="L183" s="313"/>
      <c r="M183" s="312"/>
      <c r="N183" s="311"/>
      <c r="O183" s="312"/>
      <c r="P183" s="311"/>
      <c r="Q183" s="305" t="str">
        <f t="shared" si="542"/>
        <v/>
      </c>
      <c r="R183" s="314"/>
      <c r="S183" s="450" t="str">
        <f t="shared" si="425"/>
        <v/>
      </c>
      <c r="T183" s="315"/>
      <c r="U183" s="315"/>
      <c r="W183" s="149" t="str">
        <f t="shared" si="426"/>
        <v xml:space="preserve"> </v>
      </c>
      <c r="X183" s="243" t="str">
        <f t="shared" si="427"/>
        <v xml:space="preserve"> </v>
      </c>
      <c r="Y183" s="150" t="str">
        <f t="shared" si="428"/>
        <v/>
      </c>
      <c r="Z183" s="149" t="str">
        <f t="shared" si="429"/>
        <v xml:space="preserve"> </v>
      </c>
      <c r="AA183" s="98" t="str">
        <f t="shared" si="430"/>
        <v xml:space="preserve"> </v>
      </c>
      <c r="AB183" s="153" t="str">
        <f t="shared" si="431"/>
        <v xml:space="preserve"> </v>
      </c>
      <c r="AC183" s="153" t="str">
        <f t="shared" si="432"/>
        <v xml:space="preserve"> </v>
      </c>
      <c r="AD183" s="148" t="str">
        <f t="shared" si="433"/>
        <v/>
      </c>
      <c r="AE183" s="149" t="str">
        <f t="shared" si="434"/>
        <v/>
      </c>
      <c r="AF183" s="151" t="str">
        <f t="shared" si="435"/>
        <v xml:space="preserve"> </v>
      </c>
      <c r="AG183" s="153" t="str">
        <f t="shared" si="436"/>
        <v xml:space="preserve"> </v>
      </c>
      <c r="AH183" s="98" t="str">
        <f t="shared" si="437"/>
        <v xml:space="preserve"> </v>
      </c>
      <c r="AI183" s="149" t="str">
        <f t="shared" si="438"/>
        <v xml:space="preserve"> </v>
      </c>
      <c r="AK183" s="144" t="str">
        <f t="shared" si="439"/>
        <v xml:space="preserve"> </v>
      </c>
      <c r="AL183" s="144"/>
      <c r="AM183" s="243" t="str">
        <f t="shared" si="440"/>
        <v xml:space="preserve"> </v>
      </c>
      <c r="AN183" s="149" t="str">
        <f t="shared" si="543"/>
        <v xml:space="preserve"> </v>
      </c>
      <c r="AO183" s="144" t="str">
        <f>IF(JB183&gt;0,IF(GI183=10,-R183*1.085*(Calculation!$F$6-Calculation!$F$13)*$S$14," "),"")</f>
        <v/>
      </c>
      <c r="AP183" s="144" t="str">
        <f t="shared" si="441"/>
        <v/>
      </c>
      <c r="AQ183" s="56" t="str">
        <f t="shared" si="442"/>
        <v/>
      </c>
      <c r="AR183" s="144" t="str">
        <f t="shared" si="443"/>
        <v/>
      </c>
      <c r="AS183" s="176" t="str">
        <f t="shared" si="444"/>
        <v/>
      </c>
      <c r="AT183" s="176" t="str">
        <f t="shared" si="544"/>
        <v xml:space="preserve"> </v>
      </c>
      <c r="AU183" s="176" t="str">
        <f t="shared" si="445"/>
        <v/>
      </c>
      <c r="AV183" s="177" t="str">
        <f t="shared" si="446"/>
        <v xml:space="preserve"> </v>
      </c>
      <c r="AW183" s="144" t="str">
        <f t="shared" si="447"/>
        <v xml:space="preserve"> </v>
      </c>
      <c r="AX183" s="144" t="str">
        <f t="shared" si="448"/>
        <v xml:space="preserve"> </v>
      </c>
      <c r="AY183" s="152" t="str">
        <f t="shared" si="449"/>
        <v xml:space="preserve"> </v>
      </c>
      <c r="AZ183" s="246" t="str">
        <f t="shared" si="450"/>
        <v/>
      </c>
      <c r="BA183" s="176" t="str">
        <f t="shared" si="451"/>
        <v xml:space="preserve"> </v>
      </c>
      <c r="BB183" s="176" t="str">
        <f t="shared" si="452"/>
        <v xml:space="preserve"> </v>
      </c>
      <c r="BC183" s="195"/>
      <c r="BD183" s="316"/>
      <c r="BE183" s="317"/>
      <c r="BF183" s="318"/>
      <c r="BG183" s="318"/>
      <c r="BH183" s="144" t="str">
        <f t="shared" si="621"/>
        <v xml:space="preserve"> </v>
      </c>
      <c r="BI183" s="176" t="str">
        <f t="shared" si="453"/>
        <v/>
      </c>
      <c r="BJ183" s="144" t="str">
        <f t="shared" si="622"/>
        <v/>
      </c>
      <c r="BK183" s="246" t="str">
        <f t="shared" si="454"/>
        <v/>
      </c>
      <c r="BL183" s="144" t="str">
        <f t="shared" si="623"/>
        <v/>
      </c>
      <c r="BM183" s="246" t="str">
        <f t="shared" si="455"/>
        <v/>
      </c>
      <c r="BN183" s="337" t="str">
        <f t="shared" si="545"/>
        <v/>
      </c>
      <c r="BO183" s="371" t="str">
        <f t="shared" si="546"/>
        <v/>
      </c>
      <c r="BP183" s="328" t="str">
        <f t="shared" si="624"/>
        <v xml:space="preserve"> </v>
      </c>
      <c r="BQ183" s="347" t="str">
        <f t="shared" si="547"/>
        <v xml:space="preserve"> </v>
      </c>
      <c r="BR183" s="353" t="str">
        <f t="shared" si="548"/>
        <v xml:space="preserve"> </v>
      </c>
      <c r="BS183" s="626" t="str">
        <f>IF(L183&gt;0,IF(Calculation!P183="M13",BR183*3.1416*(0.134^2)/(4*144),IF(Calculation!P183="M17",BR183*3.1416*(0.165^2)/(4*144),IF(Calculation!P183="M20",BR183*3.1416*(0.198^2)/(4*144),IF(Calculation!P183="M23",BR183*3.1416*(0.228^2)/(4*144),IF(Calculation!P183="M27",BR183*3.1416*(0.269^2)/(4*144),BR183*3.1416*(0.307^2)/(4*144))))))," ")</f>
        <v xml:space="preserve"> </v>
      </c>
      <c r="BT183" s="353" t="str">
        <f>IF(L183&gt;0,IF(BS183&gt;0,R183/Calculation!BS183,0)," ")</f>
        <v xml:space="preserve"> </v>
      </c>
      <c r="BU183" s="438" t="e">
        <f t="shared" ca="1" si="456"/>
        <v>#VALUE!</v>
      </c>
      <c r="BV183" s="449" t="e">
        <f ca="1">INDEX(INDIRECT(VLOOKUP(LEFT(BO183,7),CLU!$Z$3:$AH$18,2)),GN183,GR183)</f>
        <v>#N/A</v>
      </c>
      <c r="BW183" s="433" t="e">
        <f ca="1">INDEX(INDIRECT(VLOOKUP(LEFT(BO183,7),CLU!$Z$3:$AH$18,3)),GN183,GR183)</f>
        <v>#N/A</v>
      </c>
      <c r="BX183" s="433" t="e">
        <f ca="1">INDEX(INDIRECT(VLOOKUP(LEFT(BO183,7),CLU!$Z$3:$AH$18,4)),GN183,GR183)</f>
        <v>#N/A</v>
      </c>
      <c r="BY183" s="433" t="e">
        <f ca="1">INDEX(INDIRECT(VLOOKUP(LEFT(BO183,7),CLU!$Z$3:$AH$18,9)),((M183-2)*(6-COUNTBLANK(GT183:GY183)))+GJ183)</f>
        <v>#N/A</v>
      </c>
      <c r="BZ183" s="426" t="e">
        <f t="shared" ca="1" si="549"/>
        <v>#N/A</v>
      </c>
      <c r="CA183" s="424" t="e">
        <f t="shared" ca="1" si="550"/>
        <v>#N/A</v>
      </c>
      <c r="CB183" s="429" t="e">
        <f ca="1">INDEX(INDIRECT(VLOOKUP(LEFT(BO183,7),CLU!$Z$3:$AH$18,2)),GN183,GS183)</f>
        <v>#N/A</v>
      </c>
      <c r="CC183" s="342" t="e">
        <f ca="1">INDEX(INDIRECT(VLOOKUP(LEFT(BO183,7),CLU!$Z$3:$AH$18,3)),GN183,GS183)</f>
        <v>#N/A</v>
      </c>
      <c r="CD183" s="342" t="e">
        <f ca="1">INDEX(INDIRECT(VLOOKUP(LEFT(BO183,7),CLU!$Z$3:$AH$18,4)),GN183,GS183)</f>
        <v>#N/A</v>
      </c>
      <c r="CE183" s="426" t="e">
        <f t="shared" ca="1" si="551"/>
        <v>#N/A</v>
      </c>
      <c r="CF183" s="440">
        <f t="shared" si="552"/>
        <v>0</v>
      </c>
      <c r="CG183" s="431" t="e">
        <f ca="1">INDEX(INDIRECT(VLOOKUP(LEFT(BO183,7),CLU!$Z$3:$AH$18,2)),GQ183,GR183)</f>
        <v>#N/A</v>
      </c>
      <c r="CH183" s="431" t="e">
        <f ca="1">INDEX(INDIRECT(VLOOKUP(LEFT(BO183,7),CLU!$Z$3:$AH$18,3)),GQ183,GR183)</f>
        <v>#N/A</v>
      </c>
      <c r="CI183" s="431" t="e">
        <f ca="1">INDEX(INDIRECT(VLOOKUP(LEFT(BO183,7),CLU!$Z$3:$AH$18,4)),GQ183,GR183)</f>
        <v>#N/A</v>
      </c>
      <c r="CJ183" s="448" t="e">
        <f t="shared" ca="1" si="553"/>
        <v>#N/A</v>
      </c>
      <c r="CK183" s="431" t="e">
        <f t="shared" ca="1" si="554"/>
        <v>#N/A</v>
      </c>
      <c r="CL183" s="440" t="e">
        <f t="shared" ca="1" si="555"/>
        <v>#N/A</v>
      </c>
      <c r="CM183" s="431" t="e">
        <f ca="1">INDEX(INDIRECT(VLOOKUP(LEFT(BO183,7),CLU!$Z$3:$AH$18,2)),GQ183,GS183)</f>
        <v>#N/A</v>
      </c>
      <c r="CN183" s="431" t="e">
        <f ca="1">INDEX(INDIRECT(VLOOKUP(LEFT(BO183,7),CLU!$Z$3:$AH$18,3)),GQ183,GS183)</f>
        <v>#N/A</v>
      </c>
      <c r="CO183" s="431" t="e">
        <f ca="1">INDEX(INDIRECT(VLOOKUP(LEFT(BO183,7),CLU!$Z$3:$AH$18,4)),GQ183,GS183)</f>
        <v>#N/A</v>
      </c>
      <c r="CP183" s="431" t="e">
        <f t="shared" ca="1" si="556"/>
        <v>#N/A</v>
      </c>
      <c r="CQ183" s="440">
        <f t="shared" si="557"/>
        <v>0</v>
      </c>
      <c r="CR183" s="51" t="e">
        <f t="shared" ca="1" si="558"/>
        <v>#N/A</v>
      </c>
      <c r="CS183" s="439" t="e">
        <f t="shared" ca="1" si="559"/>
        <v>#VALUE!</v>
      </c>
      <c r="CT183" s="51" t="e">
        <f t="shared" ca="1" si="560"/>
        <v>#VALUE!</v>
      </c>
      <c r="CU183" s="10"/>
      <c r="CV183" s="51" t="e">
        <f t="shared" ca="1" si="457"/>
        <v>#VALUE!</v>
      </c>
      <c r="CW183" s="51">
        <f t="shared" si="561"/>
        <v>0</v>
      </c>
      <c r="CX183" s="439" t="e">
        <f t="shared" ca="1" si="562"/>
        <v>#VALUE!</v>
      </c>
      <c r="CY183" s="51" t="e">
        <f t="shared" ca="1" si="563"/>
        <v>#VALUE!</v>
      </c>
      <c r="CZ183" s="10"/>
      <c r="DA183" s="51" t="e">
        <f t="shared" ca="1" si="564"/>
        <v>#VALUE!</v>
      </c>
      <c r="DB183" s="347" t="e">
        <f ca="1">INDEX(INDIRECT(VLOOKUP(LEFT(BO183,7),CLU!$Z$3:$AI$18,10)),((M183-2)*(6-COUNTBLANK(GT183:GY183)))+GJ183)*LI183</f>
        <v>#N/A</v>
      </c>
      <c r="DC183" s="347" t="str">
        <f>IF(L183&gt;0,((R183/Worksheet!$I$15)/DB183)^2," ")</f>
        <v xml:space="preserve"> </v>
      </c>
      <c r="DD183" s="602" t="str">
        <f t="shared" si="565"/>
        <v xml:space="preserve"> </v>
      </c>
      <c r="DE183" s="347" t="str">
        <f t="shared" si="458"/>
        <v xml:space="preserve"> </v>
      </c>
      <c r="DF183" s="356" t="e">
        <f ca="1">INDEX(INDIRECT(VLOOKUP(LEFT(BO183,7),CLU!$Z$3:$AH$18,8)),((M183-2)*(6-COUNTBLANK(GT183:GY183)))+GJ183)</f>
        <v>#N/A</v>
      </c>
      <c r="DG183" s="347" t="str">
        <f t="shared" si="459"/>
        <v xml:space="preserve"> </v>
      </c>
      <c r="DH183" s="357" t="str">
        <f t="shared" si="460"/>
        <v xml:space="preserve"> </v>
      </c>
      <c r="DI183" s="355" t="str">
        <f t="shared" si="461"/>
        <v xml:space="preserve"> </v>
      </c>
      <c r="DJ183" s="245" t="e">
        <f ca="1">INDEX(INDIRECT(VLOOKUP(LEFT(BO183,7),CLU!$Z$3:$AH$18,5)),GL183,GK183)</f>
        <v>#N/A</v>
      </c>
      <c r="DK183" s="245" t="e">
        <f ca="1">INDEX(INDIRECT(VLOOKUP(LEFT(BO183,7),CLU!$Z$3:$AH$18,6)),GL183,GK183)</f>
        <v>#N/A</v>
      </c>
      <c r="DL183" s="355">
        <f>(Calculation!R183*0.69143*(Calculation!$BQ$8-Calculation!$F$8))*$S$14</f>
        <v>0</v>
      </c>
      <c r="DM183" s="359" t="e">
        <f t="shared" si="566"/>
        <v>#VALUE!</v>
      </c>
      <c r="DN183" s="611">
        <f t="shared" si="567"/>
        <v>0</v>
      </c>
      <c r="DO183" s="359">
        <f t="shared" si="568"/>
        <v>100</v>
      </c>
      <c r="DP183" s="359">
        <f t="shared" si="569"/>
        <v>0</v>
      </c>
      <c r="DQ183" s="360"/>
      <c r="DR183" s="245" t="e">
        <f ca="1">INDEX(INDIRECT(VLOOKUP(LEFT(BO183,7),CLU!$Z$3:$AH$18,7)),M183-1,1)</f>
        <v>#N/A</v>
      </c>
      <c r="DS183" s="245" t="e">
        <f ca="1">INDEX(INDIRECT(VLOOKUP(LEFT(BO183,7),CLU!$Z$3:$AH$18,7)),M183-1,2)</f>
        <v>#N/A</v>
      </c>
      <c r="DT183" s="245" t="e">
        <f ca="1">INDEX(INDIRECT(VLOOKUP(LEFT(BO183,7),CLU!$Z$3:$AH$18,7)),M183-1,3)</f>
        <v>#N/A</v>
      </c>
      <c r="DU183" s="245" t="e">
        <f ca="1">INDEX(INDIRECT(VLOOKUP(LEFT(BO183,7),CLU!$Z$3:$AH$18,7)),M183-1,4)</f>
        <v>#N/A</v>
      </c>
      <c r="DV183" s="361" t="e">
        <f ca="1">INDEX(INDIRECT(VLOOKUP(LEFT(BO183,7),CLU!$Z$3:$AH$18,7)),M183-1,4+LEFT(DZ183,1)*0.5)</f>
        <v>#N/A</v>
      </c>
      <c r="DW183" s="245" t="e">
        <f ca="1">INDEX(INDIRECT(VLOOKUP(LEFT(BO183,7),CLU!$Z$3:$AH$18,7)),M183-1,8)</f>
        <v>#N/A</v>
      </c>
      <c r="DX183" s="361" t="str">
        <f t="shared" si="462"/>
        <v xml:space="preserve"> </v>
      </c>
      <c r="DY183" s="361" t="str">
        <f t="shared" si="463"/>
        <v xml:space="preserve"> </v>
      </c>
      <c r="DZ183" s="361" t="str">
        <f t="shared" si="464"/>
        <v xml:space="preserve"> </v>
      </c>
      <c r="EA183" s="362" t="str">
        <f t="shared" si="465"/>
        <v xml:space="preserve"> </v>
      </c>
      <c r="EB183" s="624" t="str">
        <f t="shared" si="570"/>
        <v xml:space="preserve"> </v>
      </c>
      <c r="EC183" s="361" t="e">
        <f ca="1">INDEX(INDIRECT(VLOOKUP(LEFT(BO183,7),CLU!$Z$3:$AH$18,7)),M183-1,4+LEFT(DZ183,1)*0.5)</f>
        <v>#N/A</v>
      </c>
      <c r="ED183" s="362" t="str">
        <f t="shared" si="466"/>
        <v xml:space="preserve"> </v>
      </c>
      <c r="EE183" s="361" t="str">
        <f t="shared" si="467"/>
        <v xml:space="preserve"> </v>
      </c>
      <c r="EF183" s="362" t="str">
        <f>IF(L183&gt;0,IF(BR183&gt;0,IF(EE183="2P",IF(Calculation!DZ183="2P",IF(Calculation!DS183=13.75,IF(Calculation!DR183=13,Worksheet!$BD$43,IF(Calculation!DR183=37,Worksheet!$BD$44,Worksheet!$BD$45)),IF(Calculation!DS183=10,IF(Calculation!DR183=18,Worksheet!$BD$29,IF(Calculation!DR183=30,Worksheet!$BD$30,IF(Calculation!DR183=42,Worksheet!$BD$31,IF(Calculation!DR183=54,Worksheet!$BD$32,IF(Calculation!DR183=66,Worksheet!$BD$33,IF(Calculation!DR183=78,Worksheet!$BD$34,IF(Calculation!DR183=90,Worksheet!$BD$35,IF(Calculation!DR183=102,Worksheet!$BD$36,Worksheet!$BD$37)))))))),IF(Calculation!DS183=12.5,IF(Calculation!DR183=18,Worksheet!$BD$38,IF(Calculation!DR183=Worksheet!$BD$39,IF(Calculation!DR183=42,Worksheet!$BD$40,IF(Calculation!DR183=54,Worksheet!$BD$41,Worksheet!$BD$42)))),IF(Calculation!DR183=18,Worksheet!$BD$11,IF(Calculation!DR183=30,Worksheet!$BD$12,IF(Calculation!DR183=42,Worksheet!$BD$13,IF(Calculation!DR183=54,Worksheet!$BD$14,IF(Calculation!DR183=66,Worksheet!$BD$15,IF(Calculation!DR183=78,Worksheet!$BD$16,IF(Calculation!DR183=90,Worksheet!$BD$17,IF(Calculation!DR183=102,Worksheet!$BD$18,Worksheet!$BD$19))))))))))),IF(Calculation!DS183=13.75,IF(Calculation!DR183=13,Worksheet!$BD$78,IF(Calculation!DR183=37,Worksheet!$BD$79,Worksheet!$BD$80)),IF(Calculation!DS183=10,IF(Calculation!DR183=18,Worksheet!$BD$64,IF(Calculation!DR183=30,Worksheet!$BD$65,IF(Calculation!DR183=42,Worksheet!$BD$66,IF(Calculation!DR183=54,Worksheet!$BD$68,IF(Calculation!DR183=66,Worksheet!$BD$68,IF(Calculation!DR183=78,Worksheet!$BD$69,IF(Calculation!DR183=90,Worksheet!$BD$70,IF(Calculation!DR183=102,Worksheet!$BD$71,Worksheet!$BD$72)))))))),IF(Calculation!DS183=12.5,IF(Calculation!DR183=18,Worksheet!$BD$73,IF(Calculation!DR183=Worksheet!$BD$74,IF(Calculation!DR183=42,Worksheet!$BD$75,IF(Calculation!DR183=54,Worksheet!$BD$76,Worksheet!$BD$77)))),IF(Calculation!DR183=18,Worksheet!$BD$55,IF(Calculation!DR183=30,Worksheet!$BD$56,IF(Calculation!DR183=42,Worksheet!$BD$57,IF(Calculation!DR183=54,Worksheet!$BD$58,IF(Calculation!DR183=66,Worksheet!$BD$59,IF(Calculation!DR183=78,Worksheet!$BD$60,IF(Calculation!DR183=90,Worksheet!$BD$61,IF(Calculation!DR183=102,Worksheet!$BD$62,Worksheet!$BD$63)))))))))))),5),0)," ")</f>
        <v xml:space="preserve"> </v>
      </c>
      <c r="EG183" s="361" t="str">
        <f t="shared" si="468"/>
        <v xml:space="preserve"> </v>
      </c>
      <c r="EH183" s="361" t="e">
        <f ca="1">INDEX(INDIRECT(VLOOKUP(LEFT(BO183,7),CLU!$Z$3:$AH$18,7)),M183-1,3+LEFT(DZ183,1))</f>
        <v>#N/A</v>
      </c>
      <c r="EI183" s="362" t="str">
        <f t="shared" si="469"/>
        <v xml:space="preserve"> </v>
      </c>
      <c r="EJ183" s="363" t="str">
        <f t="shared" si="470"/>
        <v xml:space="preserve"> </v>
      </c>
      <c r="EK183" s="363" t="str">
        <f t="shared" si="471"/>
        <v xml:space="preserve"> </v>
      </c>
      <c r="EL183" s="363" t="str">
        <f t="shared" si="472"/>
        <v xml:space="preserve"> </v>
      </c>
      <c r="EM183" s="362" t="str">
        <f>IF(L183&gt;0,IF(BR183&gt;0,(Calculation!T183/ED183)^2,0)," ")</f>
        <v xml:space="preserve"> </v>
      </c>
      <c r="EN183" s="362" t="str">
        <f>IF(L183&gt;0,IF(O183="2 Pipe (Cooling)","N/A",IF(BR183&gt;0,(Calculation!U183/EI183)^2,0))," ")</f>
        <v xml:space="preserve"> </v>
      </c>
      <c r="EO183" s="361" t="str">
        <f t="shared" si="473"/>
        <v/>
      </c>
      <c r="EP183" s="361" t="str">
        <f t="shared" si="474"/>
        <v/>
      </c>
      <c r="EQ183" s="361" t="str">
        <f t="shared" si="475"/>
        <v/>
      </c>
      <c r="ER183" s="361" t="str">
        <f t="shared" si="476"/>
        <v/>
      </c>
      <c r="ES183" s="361" t="str">
        <f t="shared" si="477"/>
        <v/>
      </c>
      <c r="ET183" s="361" t="str">
        <f t="shared" si="478"/>
        <v/>
      </c>
      <c r="EU183" s="361" t="str">
        <f t="shared" si="479"/>
        <v/>
      </c>
      <c r="EV183" s="361" t="str">
        <f t="shared" si="480"/>
        <v/>
      </c>
      <c r="EW183" s="361" t="str">
        <f t="shared" si="481"/>
        <v/>
      </c>
      <c r="EX183" s="361" t="str">
        <f t="shared" si="571"/>
        <v>1 slot, 1 way</v>
      </c>
      <c r="EY183" s="361" t="str">
        <f t="shared" si="572"/>
        <v xml:space="preserve"> </v>
      </c>
      <c r="EZ183" s="361" t="str">
        <f t="shared" si="573"/>
        <v xml:space="preserve"> </v>
      </c>
      <c r="FA183" s="361" t="str">
        <f t="shared" si="574"/>
        <v xml:space="preserve"> </v>
      </c>
      <c r="FB183" s="361" t="str">
        <f t="shared" si="575"/>
        <v xml:space="preserve"> </v>
      </c>
      <c r="FC183" s="361"/>
      <c r="FD183" s="361" t="str">
        <f>IF(J183&gt;0,IF(Calculation!R183&lt;=70,4,IF(Calculation!R183&lt;=110,5,IF(Calculation!R183&lt;=160,6,IF(Calculation!R183&lt;=300,8,"10 EO")))),"")</f>
        <v/>
      </c>
      <c r="FE183" s="361" t="str">
        <f t="shared" si="576"/>
        <v/>
      </c>
      <c r="FF183" s="361" t="str">
        <f t="shared" si="577"/>
        <v/>
      </c>
      <c r="FG183" s="361" t="e">
        <f t="shared" si="482"/>
        <v>#N/A</v>
      </c>
      <c r="FH183" s="361">
        <f t="shared" si="483"/>
        <v>0</v>
      </c>
      <c r="FI183" s="361" t="e">
        <f t="shared" si="484"/>
        <v>#DIV/0!</v>
      </c>
      <c r="FJ183" s="361"/>
      <c r="FK183" s="356" t="e">
        <f t="shared" si="485"/>
        <v>#VALUE!</v>
      </c>
      <c r="FL183" s="361"/>
      <c r="FM183" s="361"/>
      <c r="FN183" s="362" t="str">
        <f t="shared" si="578"/>
        <v xml:space="preserve"> </v>
      </c>
      <c r="FO183" s="362" t="str">
        <f t="shared" si="579"/>
        <v xml:space="preserve"> </v>
      </c>
      <c r="FP183" s="362">
        <f t="shared" si="580"/>
        <v>0</v>
      </c>
      <c r="FQ183" s="361">
        <f t="shared" si="486"/>
        <v>0</v>
      </c>
      <c r="FR183" s="362" t="str">
        <f>IF(L183&gt;0,IF(J183="CBAL2",Worksheet!$P$67,IF(J183="CBE2-24",Worksheet!$Q$67,IF(J183="CBAM",Worksheet!$R$67,IF(J183="CBLV",Worksheet!$S$67,IF(J183="CBAB",Worksheet!$U$67,IF(J183="CBAW",Worksheet!$X$67,IF(J183="CBE2-12",Worksheet!$Y$67,IF(J183="CBAL2",Worksheet!$Z$67,"N/A"))))))))," ")</f>
        <v xml:space="preserve"> </v>
      </c>
      <c r="FS183" s="362" t="str">
        <f>IF(L183&gt;0,IF(J183="CBAL2",Worksheet!$P$68,IF(J183="CBE2-24",Worksheet!$Q$68,IF(J183="CBAM",Worksheet!$R$68,IF(J183="CBLV",Worksheet!$S$68,IF(J183="CBAB",Worksheet!$U$68,IF(J183="CBAW",Worksheet!$X$68,IF(J183="CBE2-12",Worksheet!$Y$68,IF(J183="CBAL2",Worksheet!$Z$68,"N/A"))))))))," ")</f>
        <v xml:space="preserve"> </v>
      </c>
      <c r="FT183" s="362" t="str">
        <f>IF(L183&gt;0,IF(J183="CBAL2",Worksheet!$P$69,IF(J183="CBE2-24",Worksheet!$Q$69,IF(J183="CBAM",Worksheet!$R$69,IF(J183="CBLV",Worksheet!$S$69,IF(J183="CBAB",Worksheet!$U$69,IF(J183="CBAW",Worksheet!$X$69,IF(J183="CBE2-12",Worksheet!$Y$69,IF(J183="CBAL2",Worksheet!$Z$69,"N/A"))))))))," ")</f>
        <v xml:space="preserve"> </v>
      </c>
      <c r="FU183" s="361" t="str">
        <f t="shared" si="581"/>
        <v xml:space="preserve"> </v>
      </c>
      <c r="FV183" s="362" t="str">
        <f t="shared" si="582"/>
        <v xml:space="preserve"> </v>
      </c>
      <c r="FW183" s="362" t="str">
        <f t="shared" si="583"/>
        <v xml:space="preserve"> </v>
      </c>
      <c r="FX183" s="362" t="str">
        <f t="shared" si="584"/>
        <v xml:space="preserve"> </v>
      </c>
      <c r="FY183" s="355" t="str">
        <f t="shared" si="585"/>
        <v xml:space="preserve"> </v>
      </c>
      <c r="FZ183" s="361" t="str">
        <f t="shared" si="586"/>
        <v xml:space="preserve"> </v>
      </c>
      <c r="GA183" s="347" t="str">
        <f t="shared" si="587"/>
        <v xml:space="preserve"> </v>
      </c>
      <c r="GB183" s="355" t="str">
        <f t="shared" si="588"/>
        <v xml:space="preserve"> </v>
      </c>
      <c r="GC183" s="328" t="str">
        <f t="shared" si="589"/>
        <v xml:space="preserve"> </v>
      </c>
      <c r="GD183" s="361" t="str">
        <f t="shared" si="590"/>
        <v xml:space="preserve"> </v>
      </c>
      <c r="GE183" s="347" t="str">
        <f t="shared" si="591"/>
        <v xml:space="preserve"> </v>
      </c>
      <c r="GF183" s="361" t="str">
        <f t="shared" si="592"/>
        <v xml:space="preserve"> </v>
      </c>
      <c r="GG183" s="347" t="str">
        <f t="shared" si="593"/>
        <v xml:space="preserve"> </v>
      </c>
      <c r="GH183" s="364">
        <f t="shared" si="487"/>
        <v>0</v>
      </c>
      <c r="GI183" s="362">
        <f t="shared" si="594"/>
        <v>2</v>
      </c>
      <c r="GJ183" s="433" t="e">
        <f>IF(6-COUNTBLANK(GT183:GY183)=4,MATCH(MID(BO183,9,3),CLU!$H$16:$K$16),MATCH(MID(BO183,9,3),CLU!$H$13:$M$13))</f>
        <v>#N/A</v>
      </c>
      <c r="GK183" s="433" t="e">
        <f>HLOOKUP(VALUE(BP183),CLU!$H$9:$M$10,2)</f>
        <v>#VALUE!</v>
      </c>
      <c r="GL183" s="433" t="e">
        <f ca="1">MATCH(BU183,CLU!$H$2:$V$2,1)</f>
        <v>#VALUE!</v>
      </c>
      <c r="GM183" s="433" t="e">
        <f t="shared" ca="1" si="595"/>
        <v>#VALUE!</v>
      </c>
      <c r="GN183" s="433" t="e">
        <f t="shared" ca="1" si="596"/>
        <v>#VALUE!</v>
      </c>
      <c r="GO183" s="433" t="e">
        <f t="shared" ca="1" si="597"/>
        <v>#VALUE!</v>
      </c>
      <c r="GP183" s="433" t="e">
        <f t="shared" ca="1" si="598"/>
        <v>#VALUE!</v>
      </c>
      <c r="GQ183" s="433" t="e">
        <f t="shared" ca="1" si="599"/>
        <v>#VALUE!</v>
      </c>
      <c r="GR183" s="433" t="e">
        <f ca="1">MATCH(T183,INDIRECT(VLOOKUP(CONCATENATE(LEFT(BO183,7),"-",MID(BO183,13,1)),CLU!$P$3:$Q$16,2)),1)</f>
        <v>#N/A</v>
      </c>
      <c r="GS183" s="433" t="e">
        <f ca="1">MATCH(U183,INDIRECT(VLOOKUP(CONCATENATE(LEFT(BO183,7),"-",MID(BO183,13,1)),CLU!$P$3:$Q$16,2)),1)</f>
        <v>#N/A</v>
      </c>
      <c r="GT183" s="347" t="s">
        <v>512</v>
      </c>
      <c r="GU183" s="97" t="s">
        <v>513</v>
      </c>
      <c r="GV183" s="97" t="str">
        <f t="shared" si="600"/>
        <v>M23</v>
      </c>
      <c r="GW183" s="97" t="str">
        <f t="shared" si="601"/>
        <v>M31</v>
      </c>
      <c r="GX183" s="97" t="str">
        <f t="shared" si="602"/>
        <v/>
      </c>
      <c r="GY183" s="97" t="str">
        <f t="shared" si="603"/>
        <v/>
      </c>
      <c r="GZ183" s="481"/>
      <c r="HA183" s="288"/>
      <c r="HB183" s="240"/>
      <c r="HC183" s="240"/>
      <c r="HD183" s="240"/>
      <c r="HE183" s="240"/>
      <c r="HF183" s="240"/>
      <c r="HG183" s="240"/>
      <c r="HH183" s="240"/>
      <c r="HI183" s="240"/>
      <c r="HJ183" s="240"/>
      <c r="HK183" s="240"/>
      <c r="HL183" s="240"/>
      <c r="HM183" s="240"/>
      <c r="HN183" s="240"/>
      <c r="HO183" s="240"/>
      <c r="HP183" s="240"/>
      <c r="HQ183" s="240"/>
      <c r="HR183" s="240"/>
      <c r="HS183" s="240"/>
      <c r="HT183" s="240"/>
      <c r="HU183" s="240"/>
      <c r="HV183" s="245"/>
      <c r="HW183" s="245" t="b">
        <v>1</v>
      </c>
      <c r="HX183" s="245" t="str">
        <f t="shared" si="488"/>
        <v/>
      </c>
      <c r="HY183" s="245" t="e">
        <f t="shared" si="489"/>
        <v>#DIV/0!</v>
      </c>
      <c r="HZ183" s="245" t="e">
        <f t="shared" si="490"/>
        <v>#DIV/0!</v>
      </c>
      <c r="IA183" s="245">
        <f t="shared" si="491"/>
        <v>0</v>
      </c>
      <c r="IB183" s="245"/>
      <c r="IC183" t="b">
        <f t="shared" si="492"/>
        <v>1</v>
      </c>
      <c r="ID183" s="245" t="b">
        <f t="shared" si="493"/>
        <v>1</v>
      </c>
      <c r="IE183" s="245" t="b">
        <f t="shared" si="494"/>
        <v>1</v>
      </c>
      <c r="IF183" s="245" t="b">
        <f t="shared" si="495"/>
        <v>0</v>
      </c>
      <c r="IG183" s="245" t="b">
        <f t="shared" si="496"/>
        <v>1</v>
      </c>
      <c r="IH183" s="245" t="b">
        <f t="shared" si="497"/>
        <v>1</v>
      </c>
      <c r="II183" s="245">
        <f t="shared" si="604"/>
        <v>0</v>
      </c>
      <c r="IJ183" s="245" t="e">
        <f t="shared" si="498"/>
        <v>#VALUE!</v>
      </c>
      <c r="IK183" s="245" t="e">
        <f t="shared" si="499"/>
        <v>#VALUE!</v>
      </c>
      <c r="IL183" s="245"/>
      <c r="IM183" s="245" t="e">
        <f t="shared" si="605"/>
        <v>#N/A</v>
      </c>
      <c r="IN183" s="245" t="e">
        <f t="shared" si="606"/>
        <v>#N/A</v>
      </c>
      <c r="IO183" s="245"/>
      <c r="IP183" s="245"/>
      <c r="IQ183" s="245" t="str">
        <f t="shared" si="500"/>
        <v/>
      </c>
      <c r="IR183" s="245" t="str">
        <f>IF(J183="","",VLOOKUP(J183,Worksheet!$R$4:$T$14,2))</f>
        <v/>
      </c>
      <c r="IS183" s="245"/>
      <c r="IT183" s="245">
        <f t="shared" si="501"/>
        <v>0</v>
      </c>
      <c r="IU183" s="245">
        <f t="shared" si="502"/>
        <v>0</v>
      </c>
      <c r="IV183" s="245">
        <f t="shared" si="503"/>
        <v>0</v>
      </c>
      <c r="IW183" s="245">
        <f t="shared" si="504"/>
        <v>0</v>
      </c>
      <c r="IX183" s="245">
        <f t="shared" si="607"/>
        <v>0</v>
      </c>
      <c r="IY183" s="245">
        <f t="shared" si="505"/>
        <v>0</v>
      </c>
      <c r="IZ183" s="245">
        <f t="shared" si="506"/>
        <v>0</v>
      </c>
      <c r="JA183">
        <f t="shared" si="507"/>
        <v>0</v>
      </c>
      <c r="JB183">
        <f t="shared" si="608"/>
        <v>0</v>
      </c>
      <c r="JC183">
        <f t="shared" si="508"/>
        <v>0</v>
      </c>
      <c r="JD183">
        <f t="shared" si="509"/>
        <v>0</v>
      </c>
      <c r="JE183">
        <f t="shared" si="510"/>
        <v>0</v>
      </c>
      <c r="JF183">
        <f t="shared" si="511"/>
        <v>0</v>
      </c>
      <c r="JG183">
        <f t="shared" si="512"/>
        <v>0</v>
      </c>
      <c r="JH183">
        <f t="shared" si="513"/>
        <v>0</v>
      </c>
      <c r="JI183">
        <f t="shared" si="514"/>
        <v>0</v>
      </c>
      <c r="JJ183" s="447">
        <f t="shared" si="515"/>
        <v>0</v>
      </c>
      <c r="JK183" s="447">
        <f t="shared" si="516"/>
        <v>0</v>
      </c>
      <c r="JL183">
        <f t="shared" si="517"/>
        <v>0</v>
      </c>
      <c r="JM183" s="245" t="str">
        <f>IFERROR(VLOOKUP(MATCH(BN183,#REF!,0),#REF!,7),"")</f>
        <v/>
      </c>
      <c r="JN183" t="e">
        <f>HLOOKUP(LEFT(BO183,7),Discharge_Area,MATCH(JO183,LookUps!$B$130:$B$149,1)+2)</f>
        <v>#N/A</v>
      </c>
      <c r="JO183" t="str">
        <f t="shared" si="518"/>
        <v>- S</v>
      </c>
      <c r="JP183" t="e">
        <f>HLOOKUP(LEFT(BO183,7),Discharge_Area,MATCH(JO183,LookUps!$B$130:$B$149,1)+2)</f>
        <v>#N/A</v>
      </c>
      <c r="JQ183" t="e">
        <f t="shared" si="519"/>
        <v>#N/A</v>
      </c>
      <c r="JR183" t="e">
        <f t="shared" si="520"/>
        <v>#N/A</v>
      </c>
      <c r="JS183" t="e">
        <f t="shared" si="521"/>
        <v>#N/A</v>
      </c>
      <c r="JT183" s="532" t="str">
        <f t="shared" si="522"/>
        <v xml:space="preserve"> </v>
      </c>
      <c r="JU183" s="532" t="str">
        <f t="shared" si="523"/>
        <v xml:space="preserve"> </v>
      </c>
      <c r="JV183" s="533" t="str">
        <f t="shared" si="524"/>
        <v xml:space="preserve"> </v>
      </c>
      <c r="JW183" s="534">
        <f t="shared" si="525"/>
        <v>0</v>
      </c>
      <c r="JX183" s="535" t="str">
        <f t="shared" si="609"/>
        <v xml:space="preserve"> </v>
      </c>
      <c r="JY183" s="535" t="str">
        <f t="shared" si="610"/>
        <v xml:space="preserve"> </v>
      </c>
      <c r="JZ183" s="535" t="str">
        <f t="shared" si="611"/>
        <v xml:space="preserve"> </v>
      </c>
      <c r="KA183" s="536" t="str">
        <f t="shared" si="526"/>
        <v xml:space="preserve"> </v>
      </c>
      <c r="KB183" s="535" t="e">
        <f t="shared" si="612"/>
        <v>#VALUE!</v>
      </c>
      <c r="KC183" s="535" t="str">
        <f t="shared" si="527"/>
        <v/>
      </c>
      <c r="KD183" s="537" t="str">
        <f t="shared" si="613"/>
        <v xml:space="preserve"> </v>
      </c>
      <c r="KE183" s="537" t="str">
        <f t="shared" si="614"/>
        <v xml:space="preserve"> </v>
      </c>
      <c r="KF183" s="534">
        <f t="shared" si="528"/>
        <v>0</v>
      </c>
      <c r="KG183" s="535" t="str">
        <f t="shared" si="529"/>
        <v xml:space="preserve"> </v>
      </c>
      <c r="KH183" s="535" t="str">
        <f t="shared" si="530"/>
        <v xml:space="preserve"> </v>
      </c>
      <c r="KI183" s="535" t="str">
        <f t="shared" si="531"/>
        <v xml:space="preserve"> </v>
      </c>
      <c r="KJ183" s="536" t="str">
        <f t="shared" si="532"/>
        <v xml:space="preserve"> </v>
      </c>
      <c r="KK183" s="535" t="str">
        <f t="shared" si="615"/>
        <v xml:space="preserve"> </v>
      </c>
      <c r="KL183" s="535" t="str">
        <f t="shared" si="616"/>
        <v xml:space="preserve"> </v>
      </c>
      <c r="KM183" s="537" t="str">
        <f t="shared" si="533"/>
        <v xml:space="preserve"> </v>
      </c>
      <c r="KN183" s="537" t="str">
        <f t="shared" si="617"/>
        <v xml:space="preserve"> </v>
      </c>
      <c r="KP183">
        <f t="shared" si="534"/>
        <v>0</v>
      </c>
      <c r="LA183" t="e">
        <f t="shared" si="535"/>
        <v>#VALUE!</v>
      </c>
      <c r="LB183" t="e">
        <f t="shared" si="536"/>
        <v>#VALUE!</v>
      </c>
      <c r="LC183" t="e">
        <f t="shared" si="537"/>
        <v>#VALUE!</v>
      </c>
      <c r="LD183" t="e">
        <f t="shared" si="538"/>
        <v>#VALUE!</v>
      </c>
      <c r="LE183" t="e">
        <f t="shared" si="618"/>
        <v>#VALUE!</v>
      </c>
      <c r="LF183">
        <f t="shared" si="539"/>
        <v>0</v>
      </c>
      <c r="LG183" t="e">
        <f t="shared" si="619"/>
        <v>#VALUE!</v>
      </c>
      <c r="LH183" t="str">
        <f t="shared" si="540"/>
        <v xml:space="preserve"> </v>
      </c>
      <c r="LI183">
        <f t="shared" si="620"/>
        <v>1</v>
      </c>
    </row>
    <row r="184" spans="2:321" ht="15" customHeight="1">
      <c r="B184" s="311"/>
      <c r="C184" s="311"/>
      <c r="D184" s="312"/>
      <c r="E184" s="311"/>
      <c r="F184" s="312"/>
      <c r="G184" s="311"/>
      <c r="H184" s="311"/>
      <c r="I184" s="37"/>
      <c r="J184" s="311"/>
      <c r="K184" s="305" t="str">
        <f t="shared" si="541"/>
        <v/>
      </c>
      <c r="L184" s="313"/>
      <c r="M184" s="312"/>
      <c r="N184" s="311"/>
      <c r="O184" s="312"/>
      <c r="P184" s="311"/>
      <c r="Q184" s="305" t="str">
        <f t="shared" si="542"/>
        <v/>
      </c>
      <c r="R184" s="314"/>
      <c r="S184" s="450" t="str">
        <f t="shared" si="425"/>
        <v/>
      </c>
      <c r="T184" s="315"/>
      <c r="U184" s="315"/>
      <c r="W184" s="149" t="str">
        <f t="shared" si="426"/>
        <v xml:space="preserve"> </v>
      </c>
      <c r="X184" s="243" t="str">
        <f t="shared" si="427"/>
        <v xml:space="preserve"> </v>
      </c>
      <c r="Y184" s="150" t="str">
        <f t="shared" si="428"/>
        <v/>
      </c>
      <c r="Z184" s="149" t="str">
        <f t="shared" si="429"/>
        <v xml:space="preserve"> </v>
      </c>
      <c r="AA184" s="98" t="str">
        <f t="shared" si="430"/>
        <v xml:space="preserve"> </v>
      </c>
      <c r="AB184" s="153" t="str">
        <f t="shared" si="431"/>
        <v xml:space="preserve"> </v>
      </c>
      <c r="AC184" s="153" t="str">
        <f t="shared" si="432"/>
        <v xml:space="preserve"> </v>
      </c>
      <c r="AD184" s="148" t="str">
        <f t="shared" si="433"/>
        <v/>
      </c>
      <c r="AE184" s="149" t="str">
        <f t="shared" si="434"/>
        <v/>
      </c>
      <c r="AF184" s="151" t="str">
        <f t="shared" si="435"/>
        <v xml:space="preserve"> </v>
      </c>
      <c r="AG184" s="153" t="str">
        <f t="shared" si="436"/>
        <v xml:space="preserve"> </v>
      </c>
      <c r="AH184" s="98" t="str">
        <f t="shared" si="437"/>
        <v xml:space="preserve"> </v>
      </c>
      <c r="AI184" s="149" t="str">
        <f t="shared" si="438"/>
        <v xml:space="preserve"> </v>
      </c>
      <c r="AK184" s="144" t="str">
        <f t="shared" si="439"/>
        <v xml:space="preserve"> </v>
      </c>
      <c r="AL184" s="144"/>
      <c r="AM184" s="243" t="str">
        <f t="shared" si="440"/>
        <v xml:space="preserve"> </v>
      </c>
      <c r="AN184" s="149" t="str">
        <f t="shared" si="543"/>
        <v xml:space="preserve"> </v>
      </c>
      <c r="AO184" s="144" t="str">
        <f>IF(JB184&gt;0,IF(GI184=10,-R184*1.085*(Calculation!$F$6-Calculation!$F$13)*$S$14," "),"")</f>
        <v/>
      </c>
      <c r="AP184" s="144" t="str">
        <f t="shared" si="441"/>
        <v/>
      </c>
      <c r="AQ184" s="56" t="str">
        <f t="shared" si="442"/>
        <v/>
      </c>
      <c r="AR184" s="144" t="str">
        <f t="shared" si="443"/>
        <v/>
      </c>
      <c r="AS184" s="176" t="str">
        <f t="shared" si="444"/>
        <v/>
      </c>
      <c r="AT184" s="176" t="str">
        <f t="shared" si="544"/>
        <v xml:space="preserve"> </v>
      </c>
      <c r="AU184" s="176" t="str">
        <f t="shared" si="445"/>
        <v/>
      </c>
      <c r="AV184" s="177" t="str">
        <f t="shared" si="446"/>
        <v xml:space="preserve"> </v>
      </c>
      <c r="AW184" s="144" t="str">
        <f t="shared" si="447"/>
        <v xml:space="preserve"> </v>
      </c>
      <c r="AX184" s="144" t="str">
        <f t="shared" si="448"/>
        <v xml:space="preserve"> </v>
      </c>
      <c r="AY184" s="152" t="str">
        <f t="shared" si="449"/>
        <v xml:space="preserve"> </v>
      </c>
      <c r="AZ184" s="246" t="str">
        <f t="shared" si="450"/>
        <v/>
      </c>
      <c r="BA184" s="176" t="str">
        <f t="shared" si="451"/>
        <v xml:space="preserve"> </v>
      </c>
      <c r="BB184" s="176" t="str">
        <f t="shared" si="452"/>
        <v xml:space="preserve"> </v>
      </c>
      <c r="BC184" s="195"/>
      <c r="BD184" s="316"/>
      <c r="BE184" s="317"/>
      <c r="BF184" s="318"/>
      <c r="BG184" s="318"/>
      <c r="BH184" s="144" t="str">
        <f t="shared" si="621"/>
        <v xml:space="preserve"> </v>
      </c>
      <c r="BI184" s="176" t="str">
        <f t="shared" si="453"/>
        <v/>
      </c>
      <c r="BJ184" s="144" t="str">
        <f t="shared" si="622"/>
        <v/>
      </c>
      <c r="BK184" s="246" t="str">
        <f t="shared" si="454"/>
        <v/>
      </c>
      <c r="BL184" s="144" t="str">
        <f t="shared" si="623"/>
        <v/>
      </c>
      <c r="BM184" s="246" t="str">
        <f t="shared" si="455"/>
        <v/>
      </c>
      <c r="BN184" s="337" t="str">
        <f t="shared" si="545"/>
        <v/>
      </c>
      <c r="BO184" s="371" t="str">
        <f t="shared" si="546"/>
        <v/>
      </c>
      <c r="BP184" s="328" t="str">
        <f t="shared" si="624"/>
        <v xml:space="preserve"> </v>
      </c>
      <c r="BQ184" s="347" t="str">
        <f t="shared" si="547"/>
        <v xml:space="preserve"> </v>
      </c>
      <c r="BR184" s="353" t="str">
        <f t="shared" si="548"/>
        <v xml:space="preserve"> </v>
      </c>
      <c r="BS184" s="626" t="str">
        <f>IF(L184&gt;0,IF(Calculation!P184="M13",BR184*3.1416*(0.134^2)/(4*144),IF(Calculation!P184="M17",BR184*3.1416*(0.165^2)/(4*144),IF(Calculation!P184="M20",BR184*3.1416*(0.198^2)/(4*144),IF(Calculation!P184="M23",BR184*3.1416*(0.228^2)/(4*144),IF(Calculation!P184="M27",BR184*3.1416*(0.269^2)/(4*144),BR184*3.1416*(0.307^2)/(4*144))))))," ")</f>
        <v xml:space="preserve"> </v>
      </c>
      <c r="BT184" s="353" t="str">
        <f>IF(L184&gt;0,IF(BS184&gt;0,R184/Calculation!BS184,0)," ")</f>
        <v xml:space="preserve"> </v>
      </c>
      <c r="BU184" s="438" t="e">
        <f t="shared" ca="1" si="456"/>
        <v>#VALUE!</v>
      </c>
      <c r="BV184" s="449" t="e">
        <f ca="1">INDEX(INDIRECT(VLOOKUP(LEFT(BO184,7),CLU!$Z$3:$AH$18,2)),GN184,GR184)</f>
        <v>#N/A</v>
      </c>
      <c r="BW184" s="433" t="e">
        <f ca="1">INDEX(INDIRECT(VLOOKUP(LEFT(BO184,7),CLU!$Z$3:$AH$18,3)),GN184,GR184)</f>
        <v>#N/A</v>
      </c>
      <c r="BX184" s="433" t="e">
        <f ca="1">INDEX(INDIRECT(VLOOKUP(LEFT(BO184,7),CLU!$Z$3:$AH$18,4)),GN184,GR184)</f>
        <v>#N/A</v>
      </c>
      <c r="BY184" s="433" t="e">
        <f ca="1">INDEX(INDIRECT(VLOOKUP(LEFT(BO184,7),CLU!$Z$3:$AH$18,9)),((M184-2)*(6-COUNTBLANK(GT184:GY184)))+GJ184)</f>
        <v>#N/A</v>
      </c>
      <c r="BZ184" s="426" t="e">
        <f t="shared" ca="1" si="549"/>
        <v>#N/A</v>
      </c>
      <c r="CA184" s="424" t="e">
        <f t="shared" ca="1" si="550"/>
        <v>#N/A</v>
      </c>
      <c r="CB184" s="429" t="e">
        <f ca="1">INDEX(INDIRECT(VLOOKUP(LEFT(BO184,7),CLU!$Z$3:$AH$18,2)),GN184,GS184)</f>
        <v>#N/A</v>
      </c>
      <c r="CC184" s="342" t="e">
        <f ca="1">INDEX(INDIRECT(VLOOKUP(LEFT(BO184,7),CLU!$Z$3:$AH$18,3)),GN184,GS184)</f>
        <v>#N/A</v>
      </c>
      <c r="CD184" s="342" t="e">
        <f ca="1">INDEX(INDIRECT(VLOOKUP(LEFT(BO184,7),CLU!$Z$3:$AH$18,4)),GN184,GS184)</f>
        <v>#N/A</v>
      </c>
      <c r="CE184" s="426" t="e">
        <f t="shared" ca="1" si="551"/>
        <v>#N/A</v>
      </c>
      <c r="CF184" s="440">
        <f t="shared" si="552"/>
        <v>0</v>
      </c>
      <c r="CG184" s="431" t="e">
        <f ca="1">INDEX(INDIRECT(VLOOKUP(LEFT(BO184,7),CLU!$Z$3:$AH$18,2)),GQ184,GR184)</f>
        <v>#N/A</v>
      </c>
      <c r="CH184" s="431" t="e">
        <f ca="1">INDEX(INDIRECT(VLOOKUP(LEFT(BO184,7),CLU!$Z$3:$AH$18,3)),GQ184,GR184)</f>
        <v>#N/A</v>
      </c>
      <c r="CI184" s="431" t="e">
        <f ca="1">INDEX(INDIRECT(VLOOKUP(LEFT(BO184,7),CLU!$Z$3:$AH$18,4)),GQ184,GR184)</f>
        <v>#N/A</v>
      </c>
      <c r="CJ184" s="448" t="e">
        <f t="shared" ca="1" si="553"/>
        <v>#N/A</v>
      </c>
      <c r="CK184" s="431" t="e">
        <f t="shared" ca="1" si="554"/>
        <v>#N/A</v>
      </c>
      <c r="CL184" s="440" t="e">
        <f t="shared" ca="1" si="555"/>
        <v>#N/A</v>
      </c>
      <c r="CM184" s="431" t="e">
        <f ca="1">INDEX(INDIRECT(VLOOKUP(LEFT(BO184,7),CLU!$Z$3:$AH$18,2)),GQ184,GS184)</f>
        <v>#N/A</v>
      </c>
      <c r="CN184" s="431" t="e">
        <f ca="1">INDEX(INDIRECT(VLOOKUP(LEFT(BO184,7),CLU!$Z$3:$AH$18,3)),GQ184,GS184)</f>
        <v>#N/A</v>
      </c>
      <c r="CO184" s="431" t="e">
        <f ca="1">INDEX(INDIRECT(VLOOKUP(LEFT(BO184,7),CLU!$Z$3:$AH$18,4)),GQ184,GS184)</f>
        <v>#N/A</v>
      </c>
      <c r="CP184" s="431" t="e">
        <f t="shared" ca="1" si="556"/>
        <v>#N/A</v>
      </c>
      <c r="CQ184" s="440">
        <f t="shared" si="557"/>
        <v>0</v>
      </c>
      <c r="CR184" s="51" t="e">
        <f t="shared" ca="1" si="558"/>
        <v>#N/A</v>
      </c>
      <c r="CS184" s="439" t="e">
        <f t="shared" ca="1" si="559"/>
        <v>#VALUE!</v>
      </c>
      <c r="CT184" s="51" t="e">
        <f t="shared" ca="1" si="560"/>
        <v>#VALUE!</v>
      </c>
      <c r="CU184" s="10"/>
      <c r="CV184" s="51" t="e">
        <f t="shared" ca="1" si="457"/>
        <v>#VALUE!</v>
      </c>
      <c r="CW184" s="51">
        <f t="shared" si="561"/>
        <v>0</v>
      </c>
      <c r="CX184" s="439" t="e">
        <f t="shared" ca="1" si="562"/>
        <v>#VALUE!</v>
      </c>
      <c r="CY184" s="51" t="e">
        <f t="shared" ca="1" si="563"/>
        <v>#VALUE!</v>
      </c>
      <c r="CZ184" s="10"/>
      <c r="DA184" s="51" t="e">
        <f t="shared" ca="1" si="564"/>
        <v>#VALUE!</v>
      </c>
      <c r="DB184" s="347" t="e">
        <f ca="1">INDEX(INDIRECT(VLOOKUP(LEFT(BO184,7),CLU!$Z$3:$AI$18,10)),((M184-2)*(6-COUNTBLANK(GT184:GY184)))+GJ184)*LI184</f>
        <v>#N/A</v>
      </c>
      <c r="DC184" s="347" t="str">
        <f>IF(L184&gt;0,((R184/Worksheet!$I$15)/DB184)^2," ")</f>
        <v xml:space="preserve"> </v>
      </c>
      <c r="DD184" s="602" t="str">
        <f t="shared" si="565"/>
        <v xml:space="preserve"> </v>
      </c>
      <c r="DE184" s="347" t="str">
        <f t="shared" si="458"/>
        <v xml:space="preserve"> </v>
      </c>
      <c r="DF184" s="356" t="e">
        <f ca="1">INDEX(INDIRECT(VLOOKUP(LEFT(BO184,7),CLU!$Z$3:$AH$18,8)),((M184-2)*(6-COUNTBLANK(GT184:GY184)))+GJ184)</f>
        <v>#N/A</v>
      </c>
      <c r="DG184" s="347" t="str">
        <f t="shared" si="459"/>
        <v xml:space="preserve"> </v>
      </c>
      <c r="DH184" s="357" t="str">
        <f t="shared" si="460"/>
        <v xml:space="preserve"> </v>
      </c>
      <c r="DI184" s="355" t="str">
        <f t="shared" si="461"/>
        <v xml:space="preserve"> </v>
      </c>
      <c r="DJ184" s="245" t="e">
        <f ca="1">INDEX(INDIRECT(VLOOKUP(LEFT(BO184,7),CLU!$Z$3:$AH$18,5)),GL184,GK184)</f>
        <v>#N/A</v>
      </c>
      <c r="DK184" s="245" t="e">
        <f ca="1">INDEX(INDIRECT(VLOOKUP(LEFT(BO184,7),CLU!$Z$3:$AH$18,6)),GL184,GK184)</f>
        <v>#N/A</v>
      </c>
      <c r="DL184" s="355">
        <f>(Calculation!R184*0.69143*(Calculation!$BQ$8-Calculation!$F$8))*$S$14</f>
        <v>0</v>
      </c>
      <c r="DM184" s="359" t="e">
        <f t="shared" si="566"/>
        <v>#VALUE!</v>
      </c>
      <c r="DN184" s="611">
        <f t="shared" si="567"/>
        <v>0</v>
      </c>
      <c r="DO184" s="359">
        <f t="shared" si="568"/>
        <v>100</v>
      </c>
      <c r="DP184" s="359">
        <f t="shared" si="569"/>
        <v>0</v>
      </c>
      <c r="DQ184" s="360"/>
      <c r="DR184" s="245" t="e">
        <f ca="1">INDEX(INDIRECT(VLOOKUP(LEFT(BO184,7),CLU!$Z$3:$AH$18,7)),M184-1,1)</f>
        <v>#N/A</v>
      </c>
      <c r="DS184" s="245" t="e">
        <f ca="1">INDEX(INDIRECT(VLOOKUP(LEFT(BO184,7),CLU!$Z$3:$AH$18,7)),M184-1,2)</f>
        <v>#N/A</v>
      </c>
      <c r="DT184" s="245" t="e">
        <f ca="1">INDEX(INDIRECT(VLOOKUP(LEFT(BO184,7),CLU!$Z$3:$AH$18,7)),M184-1,3)</f>
        <v>#N/A</v>
      </c>
      <c r="DU184" s="245" t="e">
        <f ca="1">INDEX(INDIRECT(VLOOKUP(LEFT(BO184,7),CLU!$Z$3:$AH$18,7)),M184-1,4)</f>
        <v>#N/A</v>
      </c>
      <c r="DV184" s="361" t="e">
        <f ca="1">INDEX(INDIRECT(VLOOKUP(LEFT(BO184,7),CLU!$Z$3:$AH$18,7)),M184-1,4+LEFT(DZ184,1)*0.5)</f>
        <v>#N/A</v>
      </c>
      <c r="DW184" s="245" t="e">
        <f ca="1">INDEX(INDIRECT(VLOOKUP(LEFT(BO184,7),CLU!$Z$3:$AH$18,7)),M184-1,8)</f>
        <v>#N/A</v>
      </c>
      <c r="DX184" s="361" t="str">
        <f t="shared" si="462"/>
        <v xml:space="preserve"> </v>
      </c>
      <c r="DY184" s="361" t="str">
        <f t="shared" si="463"/>
        <v xml:space="preserve"> </v>
      </c>
      <c r="DZ184" s="361" t="str">
        <f t="shared" si="464"/>
        <v xml:space="preserve"> </v>
      </c>
      <c r="EA184" s="362" t="str">
        <f t="shared" si="465"/>
        <v xml:space="preserve"> </v>
      </c>
      <c r="EB184" s="624" t="str">
        <f t="shared" si="570"/>
        <v xml:space="preserve"> </v>
      </c>
      <c r="EC184" s="361" t="e">
        <f ca="1">INDEX(INDIRECT(VLOOKUP(LEFT(BO184,7),CLU!$Z$3:$AH$18,7)),M184-1,4+LEFT(DZ184,1)*0.5)</f>
        <v>#N/A</v>
      </c>
      <c r="ED184" s="362" t="str">
        <f t="shared" si="466"/>
        <v xml:space="preserve"> </v>
      </c>
      <c r="EE184" s="361" t="str">
        <f t="shared" si="467"/>
        <v xml:space="preserve"> </v>
      </c>
      <c r="EF184" s="362" t="str">
        <f>IF(L184&gt;0,IF(BR184&gt;0,IF(EE184="2P",IF(Calculation!DZ184="2P",IF(Calculation!DS184=13.75,IF(Calculation!DR184=13,Worksheet!$BD$43,IF(Calculation!DR184=37,Worksheet!$BD$44,Worksheet!$BD$45)),IF(Calculation!DS184=10,IF(Calculation!DR184=18,Worksheet!$BD$29,IF(Calculation!DR184=30,Worksheet!$BD$30,IF(Calculation!DR184=42,Worksheet!$BD$31,IF(Calculation!DR184=54,Worksheet!$BD$32,IF(Calculation!DR184=66,Worksheet!$BD$33,IF(Calculation!DR184=78,Worksheet!$BD$34,IF(Calculation!DR184=90,Worksheet!$BD$35,IF(Calculation!DR184=102,Worksheet!$BD$36,Worksheet!$BD$37)))))))),IF(Calculation!DS184=12.5,IF(Calculation!DR184=18,Worksheet!$BD$38,IF(Calculation!DR184=Worksheet!$BD$39,IF(Calculation!DR184=42,Worksheet!$BD$40,IF(Calculation!DR184=54,Worksheet!$BD$41,Worksheet!$BD$42)))),IF(Calculation!DR184=18,Worksheet!$BD$11,IF(Calculation!DR184=30,Worksheet!$BD$12,IF(Calculation!DR184=42,Worksheet!$BD$13,IF(Calculation!DR184=54,Worksheet!$BD$14,IF(Calculation!DR184=66,Worksheet!$BD$15,IF(Calculation!DR184=78,Worksheet!$BD$16,IF(Calculation!DR184=90,Worksheet!$BD$17,IF(Calculation!DR184=102,Worksheet!$BD$18,Worksheet!$BD$19))))))))))),IF(Calculation!DS184=13.75,IF(Calculation!DR184=13,Worksheet!$BD$78,IF(Calculation!DR184=37,Worksheet!$BD$79,Worksheet!$BD$80)),IF(Calculation!DS184=10,IF(Calculation!DR184=18,Worksheet!$BD$64,IF(Calculation!DR184=30,Worksheet!$BD$65,IF(Calculation!DR184=42,Worksheet!$BD$66,IF(Calculation!DR184=54,Worksheet!$BD$68,IF(Calculation!DR184=66,Worksheet!$BD$68,IF(Calculation!DR184=78,Worksheet!$BD$69,IF(Calculation!DR184=90,Worksheet!$BD$70,IF(Calculation!DR184=102,Worksheet!$BD$71,Worksheet!$BD$72)))))))),IF(Calculation!DS184=12.5,IF(Calculation!DR184=18,Worksheet!$BD$73,IF(Calculation!DR184=Worksheet!$BD$74,IF(Calculation!DR184=42,Worksheet!$BD$75,IF(Calculation!DR184=54,Worksheet!$BD$76,Worksheet!$BD$77)))),IF(Calculation!DR184=18,Worksheet!$BD$55,IF(Calculation!DR184=30,Worksheet!$BD$56,IF(Calculation!DR184=42,Worksheet!$BD$57,IF(Calculation!DR184=54,Worksheet!$BD$58,IF(Calculation!DR184=66,Worksheet!$BD$59,IF(Calculation!DR184=78,Worksheet!$BD$60,IF(Calculation!DR184=90,Worksheet!$BD$61,IF(Calculation!DR184=102,Worksheet!$BD$62,Worksheet!$BD$63)))))))))))),5),0)," ")</f>
        <v xml:space="preserve"> </v>
      </c>
      <c r="EG184" s="361" t="str">
        <f t="shared" si="468"/>
        <v xml:space="preserve"> </v>
      </c>
      <c r="EH184" s="361" t="e">
        <f ca="1">INDEX(INDIRECT(VLOOKUP(LEFT(BO184,7),CLU!$Z$3:$AH$18,7)),M184-1,3+LEFT(DZ184,1))</f>
        <v>#N/A</v>
      </c>
      <c r="EI184" s="362" t="str">
        <f t="shared" si="469"/>
        <v xml:space="preserve"> </v>
      </c>
      <c r="EJ184" s="363" t="str">
        <f t="shared" si="470"/>
        <v xml:space="preserve"> </v>
      </c>
      <c r="EK184" s="363" t="str">
        <f t="shared" si="471"/>
        <v xml:space="preserve"> </v>
      </c>
      <c r="EL184" s="363" t="str">
        <f t="shared" si="472"/>
        <v xml:space="preserve"> </v>
      </c>
      <c r="EM184" s="362" t="str">
        <f>IF(L184&gt;0,IF(BR184&gt;0,(Calculation!T184/ED184)^2,0)," ")</f>
        <v xml:space="preserve"> </v>
      </c>
      <c r="EN184" s="362" t="str">
        <f>IF(L184&gt;0,IF(O184="2 Pipe (Cooling)","N/A",IF(BR184&gt;0,(Calculation!U184/EI184)^2,0))," ")</f>
        <v xml:space="preserve"> </v>
      </c>
      <c r="EO184" s="361" t="str">
        <f t="shared" si="473"/>
        <v/>
      </c>
      <c r="EP184" s="361" t="str">
        <f t="shared" si="474"/>
        <v/>
      </c>
      <c r="EQ184" s="361" t="str">
        <f t="shared" si="475"/>
        <v/>
      </c>
      <c r="ER184" s="361" t="str">
        <f t="shared" si="476"/>
        <v/>
      </c>
      <c r="ES184" s="361" t="str">
        <f t="shared" si="477"/>
        <v/>
      </c>
      <c r="ET184" s="361" t="str">
        <f t="shared" si="478"/>
        <v/>
      </c>
      <c r="EU184" s="361" t="str">
        <f t="shared" si="479"/>
        <v/>
      </c>
      <c r="EV184" s="361" t="str">
        <f t="shared" si="480"/>
        <v/>
      </c>
      <c r="EW184" s="361" t="str">
        <f t="shared" si="481"/>
        <v/>
      </c>
      <c r="EX184" s="361" t="str">
        <f t="shared" si="571"/>
        <v>1 slot, 1 way</v>
      </c>
      <c r="EY184" s="361" t="str">
        <f t="shared" si="572"/>
        <v xml:space="preserve"> </v>
      </c>
      <c r="EZ184" s="361" t="str">
        <f t="shared" si="573"/>
        <v xml:space="preserve"> </v>
      </c>
      <c r="FA184" s="361" t="str">
        <f t="shared" si="574"/>
        <v xml:space="preserve"> </v>
      </c>
      <c r="FB184" s="361" t="str">
        <f t="shared" si="575"/>
        <v xml:space="preserve"> </v>
      </c>
      <c r="FC184" s="361"/>
      <c r="FD184" s="361" t="str">
        <f>IF(J184&gt;0,IF(Calculation!R184&lt;=70,4,IF(Calculation!R184&lt;=110,5,IF(Calculation!R184&lt;=160,6,IF(Calculation!R184&lt;=300,8,"10 EO")))),"")</f>
        <v/>
      </c>
      <c r="FE184" s="361" t="str">
        <f t="shared" si="576"/>
        <v/>
      </c>
      <c r="FF184" s="361" t="str">
        <f t="shared" si="577"/>
        <v/>
      </c>
      <c r="FG184" s="361" t="e">
        <f t="shared" si="482"/>
        <v>#N/A</v>
      </c>
      <c r="FH184" s="361">
        <f t="shared" si="483"/>
        <v>0</v>
      </c>
      <c r="FI184" s="361" t="e">
        <f t="shared" si="484"/>
        <v>#DIV/0!</v>
      </c>
      <c r="FJ184" s="361"/>
      <c r="FK184" s="356" t="e">
        <f t="shared" si="485"/>
        <v>#VALUE!</v>
      </c>
      <c r="FL184" s="361"/>
      <c r="FM184" s="361"/>
      <c r="FN184" s="362" t="str">
        <f t="shared" si="578"/>
        <v xml:space="preserve"> </v>
      </c>
      <c r="FO184" s="362" t="str">
        <f t="shared" si="579"/>
        <v xml:space="preserve"> </v>
      </c>
      <c r="FP184" s="362">
        <f t="shared" si="580"/>
        <v>0</v>
      </c>
      <c r="FQ184" s="361">
        <f t="shared" si="486"/>
        <v>0</v>
      </c>
      <c r="FR184" s="362" t="str">
        <f>IF(L184&gt;0,IF(J184="CBAL2",Worksheet!$P$67,IF(J184="CBE2-24",Worksheet!$Q$67,IF(J184="CBAM",Worksheet!$R$67,IF(J184="CBLV",Worksheet!$S$67,IF(J184="CBAB",Worksheet!$U$67,IF(J184="CBAW",Worksheet!$X$67,IF(J184="CBE2-12",Worksheet!$Y$67,IF(J184="CBAL2",Worksheet!$Z$67,"N/A"))))))))," ")</f>
        <v xml:space="preserve"> </v>
      </c>
      <c r="FS184" s="362" t="str">
        <f>IF(L184&gt;0,IF(J184="CBAL2",Worksheet!$P$68,IF(J184="CBE2-24",Worksheet!$Q$68,IF(J184="CBAM",Worksheet!$R$68,IF(J184="CBLV",Worksheet!$S$68,IF(J184="CBAB",Worksheet!$U$68,IF(J184="CBAW",Worksheet!$X$68,IF(J184="CBE2-12",Worksheet!$Y$68,IF(J184="CBAL2",Worksheet!$Z$68,"N/A"))))))))," ")</f>
        <v xml:space="preserve"> </v>
      </c>
      <c r="FT184" s="362" t="str">
        <f>IF(L184&gt;0,IF(J184="CBAL2",Worksheet!$P$69,IF(J184="CBE2-24",Worksheet!$Q$69,IF(J184="CBAM",Worksheet!$R$69,IF(J184="CBLV",Worksheet!$S$69,IF(J184="CBAB",Worksheet!$U$69,IF(J184="CBAW",Worksheet!$X$69,IF(J184="CBE2-12",Worksheet!$Y$69,IF(J184="CBAL2",Worksheet!$Z$69,"N/A"))))))))," ")</f>
        <v xml:space="preserve"> </v>
      </c>
      <c r="FU184" s="361" t="str">
        <f t="shared" si="581"/>
        <v xml:space="preserve"> </v>
      </c>
      <c r="FV184" s="362" t="str">
        <f t="shared" si="582"/>
        <v xml:space="preserve"> </v>
      </c>
      <c r="FW184" s="362" t="str">
        <f t="shared" si="583"/>
        <v xml:space="preserve"> </v>
      </c>
      <c r="FX184" s="362" t="str">
        <f t="shared" si="584"/>
        <v xml:space="preserve"> </v>
      </c>
      <c r="FY184" s="355" t="str">
        <f t="shared" si="585"/>
        <v xml:space="preserve"> </v>
      </c>
      <c r="FZ184" s="361" t="str">
        <f t="shared" si="586"/>
        <v xml:space="preserve"> </v>
      </c>
      <c r="GA184" s="347" t="str">
        <f t="shared" si="587"/>
        <v xml:space="preserve"> </v>
      </c>
      <c r="GB184" s="355" t="str">
        <f t="shared" si="588"/>
        <v xml:space="preserve"> </v>
      </c>
      <c r="GC184" s="328" t="str">
        <f t="shared" si="589"/>
        <v xml:space="preserve"> </v>
      </c>
      <c r="GD184" s="361" t="str">
        <f t="shared" si="590"/>
        <v xml:space="preserve"> </v>
      </c>
      <c r="GE184" s="347" t="str">
        <f t="shared" si="591"/>
        <v xml:space="preserve"> </v>
      </c>
      <c r="GF184" s="361" t="str">
        <f t="shared" si="592"/>
        <v xml:space="preserve"> </v>
      </c>
      <c r="GG184" s="347" t="str">
        <f t="shared" si="593"/>
        <v xml:space="preserve"> </v>
      </c>
      <c r="GH184" s="364">
        <f t="shared" si="487"/>
        <v>0</v>
      </c>
      <c r="GI184" s="362">
        <f t="shared" si="594"/>
        <v>2</v>
      </c>
      <c r="GJ184" s="433" t="e">
        <f>IF(6-COUNTBLANK(GT184:GY184)=4,MATCH(MID(BO184,9,3),CLU!$H$16:$K$16),MATCH(MID(BO184,9,3),CLU!$H$13:$M$13))</f>
        <v>#N/A</v>
      </c>
      <c r="GK184" s="433" t="e">
        <f>HLOOKUP(VALUE(BP184),CLU!$H$9:$M$10,2)</f>
        <v>#VALUE!</v>
      </c>
      <c r="GL184" s="433" t="e">
        <f ca="1">MATCH(BU184,CLU!$H$2:$V$2,1)</f>
        <v>#VALUE!</v>
      </c>
      <c r="GM184" s="433" t="e">
        <f t="shared" ca="1" si="595"/>
        <v>#VALUE!</v>
      </c>
      <c r="GN184" s="433" t="e">
        <f t="shared" ca="1" si="596"/>
        <v>#VALUE!</v>
      </c>
      <c r="GO184" s="433" t="e">
        <f t="shared" ca="1" si="597"/>
        <v>#VALUE!</v>
      </c>
      <c r="GP184" s="433" t="e">
        <f t="shared" ca="1" si="598"/>
        <v>#VALUE!</v>
      </c>
      <c r="GQ184" s="433" t="e">
        <f t="shared" ca="1" si="599"/>
        <v>#VALUE!</v>
      </c>
      <c r="GR184" s="433" t="e">
        <f ca="1">MATCH(T184,INDIRECT(VLOOKUP(CONCATENATE(LEFT(BO184,7),"-",MID(BO184,13,1)),CLU!$P$3:$Q$16,2)),1)</f>
        <v>#N/A</v>
      </c>
      <c r="GS184" s="433" t="e">
        <f ca="1">MATCH(U184,INDIRECT(VLOOKUP(CONCATENATE(LEFT(BO184,7),"-",MID(BO184,13,1)),CLU!$P$3:$Q$16,2)),1)</f>
        <v>#N/A</v>
      </c>
      <c r="GT184" s="347" t="s">
        <v>512</v>
      </c>
      <c r="GU184" s="97" t="s">
        <v>513</v>
      </c>
      <c r="GV184" s="97" t="str">
        <f t="shared" si="600"/>
        <v>M23</v>
      </c>
      <c r="GW184" s="97" t="str">
        <f t="shared" si="601"/>
        <v>M31</v>
      </c>
      <c r="GX184" s="97" t="str">
        <f t="shared" si="602"/>
        <v/>
      </c>
      <c r="GY184" s="97" t="str">
        <f t="shared" si="603"/>
        <v/>
      </c>
      <c r="GZ184" s="481"/>
      <c r="HA184" s="288"/>
      <c r="HB184" s="240"/>
      <c r="HC184" s="240"/>
      <c r="HD184" s="240"/>
      <c r="HE184" s="240"/>
      <c r="HF184" s="240"/>
      <c r="HG184" s="240"/>
      <c r="HH184" s="240"/>
      <c r="HI184" s="240"/>
      <c r="HJ184" s="240"/>
      <c r="HK184" s="240"/>
      <c r="HL184" s="240"/>
      <c r="HM184" s="240"/>
      <c r="HN184" s="240"/>
      <c r="HO184" s="240"/>
      <c r="HP184" s="240"/>
      <c r="HQ184" s="240"/>
      <c r="HR184" s="240"/>
      <c r="HS184" s="240"/>
      <c r="HT184" s="240"/>
      <c r="HU184" s="240"/>
      <c r="HV184" s="245"/>
      <c r="HW184" s="245" t="b">
        <v>1</v>
      </c>
      <c r="HX184" s="245" t="str">
        <f t="shared" si="488"/>
        <v/>
      </c>
      <c r="HY184" s="245" t="e">
        <f t="shared" si="489"/>
        <v>#DIV/0!</v>
      </c>
      <c r="HZ184" s="245" t="e">
        <f t="shared" si="490"/>
        <v>#DIV/0!</v>
      </c>
      <c r="IA184" s="245">
        <f t="shared" si="491"/>
        <v>0</v>
      </c>
      <c r="IB184" s="245"/>
      <c r="IC184" t="b">
        <f t="shared" si="492"/>
        <v>1</v>
      </c>
      <c r="ID184" s="245" t="b">
        <f t="shared" si="493"/>
        <v>1</v>
      </c>
      <c r="IE184" s="245" t="b">
        <f t="shared" si="494"/>
        <v>1</v>
      </c>
      <c r="IF184" s="245" t="b">
        <f t="shared" si="495"/>
        <v>0</v>
      </c>
      <c r="IG184" s="245" t="b">
        <f t="shared" si="496"/>
        <v>1</v>
      </c>
      <c r="IH184" s="245" t="b">
        <f t="shared" si="497"/>
        <v>1</v>
      </c>
      <c r="II184" s="245">
        <f t="shared" si="604"/>
        <v>0</v>
      </c>
      <c r="IJ184" s="245" t="e">
        <f t="shared" si="498"/>
        <v>#VALUE!</v>
      </c>
      <c r="IK184" s="245" t="e">
        <f t="shared" si="499"/>
        <v>#VALUE!</v>
      </c>
      <c r="IL184" s="245"/>
      <c r="IM184" s="245" t="e">
        <f t="shared" si="605"/>
        <v>#N/A</v>
      </c>
      <c r="IN184" s="245" t="e">
        <f t="shared" si="606"/>
        <v>#N/A</v>
      </c>
      <c r="IO184" s="245"/>
      <c r="IP184" s="245"/>
      <c r="IQ184" s="245" t="str">
        <f t="shared" si="500"/>
        <v/>
      </c>
      <c r="IR184" s="245" t="str">
        <f>IF(J184="","",VLOOKUP(J184,Worksheet!$R$4:$T$14,2))</f>
        <v/>
      </c>
      <c r="IS184" s="245"/>
      <c r="IT184" s="245">
        <f t="shared" si="501"/>
        <v>0</v>
      </c>
      <c r="IU184" s="245">
        <f t="shared" si="502"/>
        <v>0</v>
      </c>
      <c r="IV184" s="245">
        <f t="shared" si="503"/>
        <v>0</v>
      </c>
      <c r="IW184" s="245">
        <f t="shared" si="504"/>
        <v>0</v>
      </c>
      <c r="IX184" s="245">
        <f t="shared" si="607"/>
        <v>0</v>
      </c>
      <c r="IY184" s="245">
        <f t="shared" si="505"/>
        <v>0</v>
      </c>
      <c r="IZ184" s="245">
        <f t="shared" si="506"/>
        <v>0</v>
      </c>
      <c r="JA184">
        <f t="shared" si="507"/>
        <v>0</v>
      </c>
      <c r="JB184">
        <f t="shared" si="608"/>
        <v>0</v>
      </c>
      <c r="JC184">
        <f t="shared" si="508"/>
        <v>0</v>
      </c>
      <c r="JD184">
        <f t="shared" si="509"/>
        <v>0</v>
      </c>
      <c r="JE184">
        <f t="shared" si="510"/>
        <v>0</v>
      </c>
      <c r="JF184">
        <f t="shared" si="511"/>
        <v>0</v>
      </c>
      <c r="JG184">
        <f t="shared" si="512"/>
        <v>0</v>
      </c>
      <c r="JH184">
        <f t="shared" si="513"/>
        <v>0</v>
      </c>
      <c r="JI184">
        <f t="shared" si="514"/>
        <v>0</v>
      </c>
      <c r="JJ184" s="447">
        <f t="shared" si="515"/>
        <v>0</v>
      </c>
      <c r="JK184" s="447">
        <f t="shared" si="516"/>
        <v>0</v>
      </c>
      <c r="JL184">
        <f t="shared" si="517"/>
        <v>0</v>
      </c>
      <c r="JM184" s="245" t="str">
        <f>IFERROR(VLOOKUP(MATCH(BN184,#REF!,0),#REF!,7),"")</f>
        <v/>
      </c>
      <c r="JN184" t="e">
        <f>HLOOKUP(LEFT(BO184,7),Discharge_Area,MATCH(JO184,LookUps!$B$130:$B$149,1)+2)</f>
        <v>#N/A</v>
      </c>
      <c r="JO184" t="str">
        <f t="shared" si="518"/>
        <v>- S</v>
      </c>
      <c r="JP184" t="e">
        <f>HLOOKUP(LEFT(BO184,7),Discharge_Area,MATCH(JO184,LookUps!$B$130:$B$149,1)+2)</f>
        <v>#N/A</v>
      </c>
      <c r="JQ184" t="e">
        <f t="shared" si="519"/>
        <v>#N/A</v>
      </c>
      <c r="JR184" t="e">
        <f t="shared" si="520"/>
        <v>#N/A</v>
      </c>
      <c r="JS184" t="e">
        <f t="shared" si="521"/>
        <v>#N/A</v>
      </c>
      <c r="JT184" s="532" t="str">
        <f t="shared" si="522"/>
        <v xml:space="preserve"> </v>
      </c>
      <c r="JU184" s="532" t="str">
        <f t="shared" si="523"/>
        <v xml:space="preserve"> </v>
      </c>
      <c r="JV184" s="533" t="str">
        <f t="shared" si="524"/>
        <v xml:space="preserve"> </v>
      </c>
      <c r="JW184" s="534">
        <f t="shared" si="525"/>
        <v>0</v>
      </c>
      <c r="JX184" s="535" t="str">
        <f t="shared" si="609"/>
        <v xml:space="preserve"> </v>
      </c>
      <c r="JY184" s="535" t="str">
        <f t="shared" si="610"/>
        <v xml:space="preserve"> </v>
      </c>
      <c r="JZ184" s="535" t="str">
        <f t="shared" si="611"/>
        <v xml:space="preserve"> </v>
      </c>
      <c r="KA184" s="536" t="str">
        <f t="shared" si="526"/>
        <v xml:space="preserve"> </v>
      </c>
      <c r="KB184" s="535" t="e">
        <f t="shared" si="612"/>
        <v>#VALUE!</v>
      </c>
      <c r="KC184" s="535" t="str">
        <f t="shared" si="527"/>
        <v/>
      </c>
      <c r="KD184" s="537" t="str">
        <f t="shared" si="613"/>
        <v xml:space="preserve"> </v>
      </c>
      <c r="KE184" s="537" t="str">
        <f t="shared" si="614"/>
        <v xml:space="preserve"> </v>
      </c>
      <c r="KF184" s="534">
        <f t="shared" si="528"/>
        <v>0</v>
      </c>
      <c r="KG184" s="535" t="str">
        <f t="shared" si="529"/>
        <v xml:space="preserve"> </v>
      </c>
      <c r="KH184" s="535" t="str">
        <f t="shared" si="530"/>
        <v xml:space="preserve"> </v>
      </c>
      <c r="KI184" s="535" t="str">
        <f t="shared" si="531"/>
        <v xml:space="preserve"> </v>
      </c>
      <c r="KJ184" s="536" t="str">
        <f t="shared" si="532"/>
        <v xml:space="preserve"> </v>
      </c>
      <c r="KK184" s="535" t="str">
        <f t="shared" si="615"/>
        <v xml:space="preserve"> </v>
      </c>
      <c r="KL184" s="535" t="str">
        <f t="shared" si="616"/>
        <v xml:space="preserve"> </v>
      </c>
      <c r="KM184" s="537" t="str">
        <f t="shared" si="533"/>
        <v xml:space="preserve"> </v>
      </c>
      <c r="KN184" s="537" t="str">
        <f t="shared" si="617"/>
        <v xml:space="preserve"> </v>
      </c>
      <c r="KP184">
        <f t="shared" si="534"/>
        <v>0</v>
      </c>
      <c r="LA184" t="e">
        <f t="shared" si="535"/>
        <v>#VALUE!</v>
      </c>
      <c r="LB184" t="e">
        <f t="shared" si="536"/>
        <v>#VALUE!</v>
      </c>
      <c r="LC184" t="e">
        <f t="shared" si="537"/>
        <v>#VALUE!</v>
      </c>
      <c r="LD184" t="e">
        <f t="shared" si="538"/>
        <v>#VALUE!</v>
      </c>
      <c r="LE184" t="e">
        <f t="shared" si="618"/>
        <v>#VALUE!</v>
      </c>
      <c r="LF184">
        <f t="shared" si="539"/>
        <v>0</v>
      </c>
      <c r="LG184" t="e">
        <f t="shared" si="619"/>
        <v>#VALUE!</v>
      </c>
      <c r="LH184" t="str">
        <f t="shared" si="540"/>
        <v xml:space="preserve"> </v>
      </c>
      <c r="LI184">
        <f t="shared" si="620"/>
        <v>1</v>
      </c>
    </row>
    <row r="185" spans="2:321" ht="15" customHeight="1">
      <c r="B185" s="311"/>
      <c r="C185" s="311"/>
      <c r="D185" s="312"/>
      <c r="E185" s="311"/>
      <c r="F185" s="312"/>
      <c r="G185" s="311"/>
      <c r="H185" s="311"/>
      <c r="I185" s="37"/>
      <c r="J185" s="311"/>
      <c r="K185" s="305" t="str">
        <f t="shared" si="541"/>
        <v/>
      </c>
      <c r="L185" s="313"/>
      <c r="M185" s="312"/>
      <c r="N185" s="311"/>
      <c r="O185" s="312"/>
      <c r="P185" s="311"/>
      <c r="Q185" s="305" t="str">
        <f t="shared" si="542"/>
        <v/>
      </c>
      <c r="R185" s="314"/>
      <c r="S185" s="450" t="str">
        <f t="shared" si="425"/>
        <v/>
      </c>
      <c r="T185" s="315"/>
      <c r="U185" s="315"/>
      <c r="W185" s="149" t="str">
        <f t="shared" si="426"/>
        <v xml:space="preserve"> </v>
      </c>
      <c r="X185" s="243" t="str">
        <f t="shared" si="427"/>
        <v xml:space="preserve"> </v>
      </c>
      <c r="Y185" s="150" t="str">
        <f t="shared" si="428"/>
        <v/>
      </c>
      <c r="Z185" s="149" t="str">
        <f t="shared" si="429"/>
        <v xml:space="preserve"> </v>
      </c>
      <c r="AA185" s="98" t="str">
        <f t="shared" si="430"/>
        <v xml:space="preserve"> </v>
      </c>
      <c r="AB185" s="153" t="str">
        <f t="shared" si="431"/>
        <v xml:space="preserve"> </v>
      </c>
      <c r="AC185" s="153" t="str">
        <f t="shared" si="432"/>
        <v xml:space="preserve"> </v>
      </c>
      <c r="AD185" s="148" t="str">
        <f t="shared" si="433"/>
        <v/>
      </c>
      <c r="AE185" s="149" t="str">
        <f t="shared" si="434"/>
        <v/>
      </c>
      <c r="AF185" s="151" t="str">
        <f t="shared" si="435"/>
        <v xml:space="preserve"> </v>
      </c>
      <c r="AG185" s="153" t="str">
        <f t="shared" si="436"/>
        <v xml:space="preserve"> </v>
      </c>
      <c r="AH185" s="98" t="str">
        <f t="shared" si="437"/>
        <v xml:space="preserve"> </v>
      </c>
      <c r="AI185" s="149" t="str">
        <f t="shared" si="438"/>
        <v xml:space="preserve"> </v>
      </c>
      <c r="AK185" s="144" t="str">
        <f t="shared" si="439"/>
        <v xml:space="preserve"> </v>
      </c>
      <c r="AL185" s="144"/>
      <c r="AM185" s="243" t="str">
        <f t="shared" si="440"/>
        <v xml:space="preserve"> </v>
      </c>
      <c r="AN185" s="149" t="str">
        <f t="shared" si="543"/>
        <v xml:space="preserve"> </v>
      </c>
      <c r="AO185" s="144" t="str">
        <f>IF(JB185&gt;0,IF(GI185=10,-R185*1.085*(Calculation!$F$6-Calculation!$F$13)*$S$14," "),"")</f>
        <v/>
      </c>
      <c r="AP185" s="144" t="str">
        <f t="shared" si="441"/>
        <v/>
      </c>
      <c r="AQ185" s="56" t="str">
        <f t="shared" si="442"/>
        <v/>
      </c>
      <c r="AR185" s="144" t="str">
        <f t="shared" si="443"/>
        <v/>
      </c>
      <c r="AS185" s="176" t="str">
        <f t="shared" si="444"/>
        <v/>
      </c>
      <c r="AT185" s="176" t="str">
        <f t="shared" si="544"/>
        <v xml:space="preserve"> </v>
      </c>
      <c r="AU185" s="176" t="str">
        <f t="shared" si="445"/>
        <v/>
      </c>
      <c r="AV185" s="177" t="str">
        <f t="shared" si="446"/>
        <v xml:space="preserve"> </v>
      </c>
      <c r="AW185" s="144" t="str">
        <f t="shared" si="447"/>
        <v xml:space="preserve"> </v>
      </c>
      <c r="AX185" s="144" t="str">
        <f t="shared" si="448"/>
        <v xml:space="preserve"> </v>
      </c>
      <c r="AY185" s="152" t="str">
        <f t="shared" si="449"/>
        <v xml:space="preserve"> </v>
      </c>
      <c r="AZ185" s="246" t="str">
        <f t="shared" si="450"/>
        <v/>
      </c>
      <c r="BA185" s="176" t="str">
        <f t="shared" si="451"/>
        <v xml:space="preserve"> </v>
      </c>
      <c r="BB185" s="176" t="str">
        <f t="shared" si="452"/>
        <v xml:space="preserve"> </v>
      </c>
      <c r="BC185" s="195"/>
      <c r="BD185" s="316"/>
      <c r="BE185" s="317"/>
      <c r="BF185" s="318"/>
      <c r="BG185" s="318"/>
      <c r="BH185" s="144" t="str">
        <f t="shared" si="621"/>
        <v xml:space="preserve"> </v>
      </c>
      <c r="BI185" s="176" t="str">
        <f t="shared" si="453"/>
        <v/>
      </c>
      <c r="BJ185" s="144" t="str">
        <f t="shared" si="622"/>
        <v/>
      </c>
      <c r="BK185" s="246" t="str">
        <f t="shared" si="454"/>
        <v/>
      </c>
      <c r="BL185" s="144" t="str">
        <f t="shared" si="623"/>
        <v/>
      </c>
      <c r="BM185" s="246" t="str">
        <f t="shared" si="455"/>
        <v/>
      </c>
      <c r="BN185" s="337" t="str">
        <f t="shared" si="545"/>
        <v/>
      </c>
      <c r="BO185" s="371" t="str">
        <f t="shared" si="546"/>
        <v/>
      </c>
      <c r="BP185" s="328" t="str">
        <f t="shared" si="624"/>
        <v xml:space="preserve"> </v>
      </c>
      <c r="BQ185" s="347" t="str">
        <f t="shared" si="547"/>
        <v xml:space="preserve"> </v>
      </c>
      <c r="BR185" s="353" t="str">
        <f t="shared" si="548"/>
        <v xml:space="preserve"> </v>
      </c>
      <c r="BS185" s="626" t="str">
        <f>IF(L185&gt;0,IF(Calculation!P185="M13",BR185*3.1416*(0.134^2)/(4*144),IF(Calculation!P185="M17",BR185*3.1416*(0.165^2)/(4*144),IF(Calculation!P185="M20",BR185*3.1416*(0.198^2)/(4*144),IF(Calculation!P185="M23",BR185*3.1416*(0.228^2)/(4*144),IF(Calculation!P185="M27",BR185*3.1416*(0.269^2)/(4*144),BR185*3.1416*(0.307^2)/(4*144))))))," ")</f>
        <v xml:space="preserve"> </v>
      </c>
      <c r="BT185" s="353" t="str">
        <f>IF(L185&gt;0,IF(BS185&gt;0,R185/Calculation!BS185,0)," ")</f>
        <v xml:space="preserve"> </v>
      </c>
      <c r="BU185" s="438" t="e">
        <f t="shared" ca="1" si="456"/>
        <v>#VALUE!</v>
      </c>
      <c r="BV185" s="449" t="e">
        <f ca="1">INDEX(INDIRECT(VLOOKUP(LEFT(BO185,7),CLU!$Z$3:$AH$18,2)),GN185,GR185)</f>
        <v>#N/A</v>
      </c>
      <c r="BW185" s="433" t="e">
        <f ca="1">INDEX(INDIRECT(VLOOKUP(LEFT(BO185,7),CLU!$Z$3:$AH$18,3)),GN185,GR185)</f>
        <v>#N/A</v>
      </c>
      <c r="BX185" s="433" t="e">
        <f ca="1">INDEX(INDIRECT(VLOOKUP(LEFT(BO185,7),CLU!$Z$3:$AH$18,4)),GN185,GR185)</f>
        <v>#N/A</v>
      </c>
      <c r="BY185" s="433" t="e">
        <f ca="1">INDEX(INDIRECT(VLOOKUP(LEFT(BO185,7),CLU!$Z$3:$AH$18,9)),((M185-2)*(6-COUNTBLANK(GT185:GY185)))+GJ185)</f>
        <v>#N/A</v>
      </c>
      <c r="BZ185" s="426" t="e">
        <f t="shared" ca="1" si="549"/>
        <v>#N/A</v>
      </c>
      <c r="CA185" s="424" t="e">
        <f t="shared" ca="1" si="550"/>
        <v>#N/A</v>
      </c>
      <c r="CB185" s="429" t="e">
        <f ca="1">INDEX(INDIRECT(VLOOKUP(LEFT(BO185,7),CLU!$Z$3:$AH$18,2)),GN185,GS185)</f>
        <v>#N/A</v>
      </c>
      <c r="CC185" s="342" t="e">
        <f ca="1">INDEX(INDIRECT(VLOOKUP(LEFT(BO185,7),CLU!$Z$3:$AH$18,3)),GN185,GS185)</f>
        <v>#N/A</v>
      </c>
      <c r="CD185" s="342" t="e">
        <f ca="1">INDEX(INDIRECT(VLOOKUP(LEFT(BO185,7),CLU!$Z$3:$AH$18,4)),GN185,GS185)</f>
        <v>#N/A</v>
      </c>
      <c r="CE185" s="426" t="e">
        <f t="shared" ca="1" si="551"/>
        <v>#N/A</v>
      </c>
      <c r="CF185" s="440">
        <f t="shared" si="552"/>
        <v>0</v>
      </c>
      <c r="CG185" s="431" t="e">
        <f ca="1">INDEX(INDIRECT(VLOOKUP(LEFT(BO185,7),CLU!$Z$3:$AH$18,2)),GQ185,GR185)</f>
        <v>#N/A</v>
      </c>
      <c r="CH185" s="431" t="e">
        <f ca="1">INDEX(INDIRECT(VLOOKUP(LEFT(BO185,7),CLU!$Z$3:$AH$18,3)),GQ185,GR185)</f>
        <v>#N/A</v>
      </c>
      <c r="CI185" s="431" t="e">
        <f ca="1">INDEX(INDIRECT(VLOOKUP(LEFT(BO185,7),CLU!$Z$3:$AH$18,4)),GQ185,GR185)</f>
        <v>#N/A</v>
      </c>
      <c r="CJ185" s="448" t="e">
        <f t="shared" ca="1" si="553"/>
        <v>#N/A</v>
      </c>
      <c r="CK185" s="431" t="e">
        <f t="shared" ca="1" si="554"/>
        <v>#N/A</v>
      </c>
      <c r="CL185" s="440" t="e">
        <f t="shared" ca="1" si="555"/>
        <v>#N/A</v>
      </c>
      <c r="CM185" s="431" t="e">
        <f ca="1">INDEX(INDIRECT(VLOOKUP(LEFT(BO185,7),CLU!$Z$3:$AH$18,2)),GQ185,GS185)</f>
        <v>#N/A</v>
      </c>
      <c r="CN185" s="431" t="e">
        <f ca="1">INDEX(INDIRECT(VLOOKUP(LEFT(BO185,7),CLU!$Z$3:$AH$18,3)),GQ185,GS185)</f>
        <v>#N/A</v>
      </c>
      <c r="CO185" s="431" t="e">
        <f ca="1">INDEX(INDIRECT(VLOOKUP(LEFT(BO185,7),CLU!$Z$3:$AH$18,4)),GQ185,GS185)</f>
        <v>#N/A</v>
      </c>
      <c r="CP185" s="431" t="e">
        <f t="shared" ca="1" si="556"/>
        <v>#N/A</v>
      </c>
      <c r="CQ185" s="440">
        <f t="shared" si="557"/>
        <v>0</v>
      </c>
      <c r="CR185" s="51" t="e">
        <f t="shared" ca="1" si="558"/>
        <v>#N/A</v>
      </c>
      <c r="CS185" s="439" t="e">
        <f t="shared" ca="1" si="559"/>
        <v>#VALUE!</v>
      </c>
      <c r="CT185" s="51" t="e">
        <f t="shared" ca="1" si="560"/>
        <v>#VALUE!</v>
      </c>
      <c r="CU185" s="10"/>
      <c r="CV185" s="51" t="e">
        <f t="shared" ca="1" si="457"/>
        <v>#VALUE!</v>
      </c>
      <c r="CW185" s="51">
        <f t="shared" si="561"/>
        <v>0</v>
      </c>
      <c r="CX185" s="439" t="e">
        <f t="shared" ca="1" si="562"/>
        <v>#VALUE!</v>
      </c>
      <c r="CY185" s="51" t="e">
        <f t="shared" ca="1" si="563"/>
        <v>#VALUE!</v>
      </c>
      <c r="CZ185" s="10"/>
      <c r="DA185" s="51" t="e">
        <f t="shared" ca="1" si="564"/>
        <v>#VALUE!</v>
      </c>
      <c r="DB185" s="347" t="e">
        <f ca="1">INDEX(INDIRECT(VLOOKUP(LEFT(BO185,7),CLU!$Z$3:$AI$18,10)),((M185-2)*(6-COUNTBLANK(GT185:GY185)))+GJ185)*LI185</f>
        <v>#N/A</v>
      </c>
      <c r="DC185" s="347" t="str">
        <f>IF(L185&gt;0,((R185/Worksheet!$I$15)/DB185)^2," ")</f>
        <v xml:space="preserve"> </v>
      </c>
      <c r="DD185" s="602" t="str">
        <f t="shared" si="565"/>
        <v xml:space="preserve"> </v>
      </c>
      <c r="DE185" s="347" t="str">
        <f t="shared" si="458"/>
        <v xml:space="preserve"> </v>
      </c>
      <c r="DF185" s="356" t="e">
        <f ca="1">INDEX(INDIRECT(VLOOKUP(LEFT(BO185,7),CLU!$Z$3:$AH$18,8)),((M185-2)*(6-COUNTBLANK(GT185:GY185)))+GJ185)</f>
        <v>#N/A</v>
      </c>
      <c r="DG185" s="347" t="str">
        <f t="shared" si="459"/>
        <v xml:space="preserve"> </v>
      </c>
      <c r="DH185" s="357" t="str">
        <f t="shared" si="460"/>
        <v xml:space="preserve"> </v>
      </c>
      <c r="DI185" s="355" t="str">
        <f t="shared" si="461"/>
        <v xml:space="preserve"> </v>
      </c>
      <c r="DJ185" s="245" t="e">
        <f ca="1">INDEX(INDIRECT(VLOOKUP(LEFT(BO185,7),CLU!$Z$3:$AH$18,5)),GL185,GK185)</f>
        <v>#N/A</v>
      </c>
      <c r="DK185" s="245" t="e">
        <f ca="1">INDEX(INDIRECT(VLOOKUP(LEFT(BO185,7),CLU!$Z$3:$AH$18,6)),GL185,GK185)</f>
        <v>#N/A</v>
      </c>
      <c r="DL185" s="355">
        <f>(Calculation!R185*0.69143*(Calculation!$BQ$8-Calculation!$F$8))*$S$14</f>
        <v>0</v>
      </c>
      <c r="DM185" s="359" t="e">
        <f t="shared" si="566"/>
        <v>#VALUE!</v>
      </c>
      <c r="DN185" s="611">
        <f t="shared" si="567"/>
        <v>0</v>
      </c>
      <c r="DO185" s="359">
        <f t="shared" si="568"/>
        <v>100</v>
      </c>
      <c r="DP185" s="359">
        <f t="shared" si="569"/>
        <v>0</v>
      </c>
      <c r="DQ185" s="360"/>
      <c r="DR185" s="245" t="e">
        <f ca="1">INDEX(INDIRECT(VLOOKUP(LEFT(BO185,7),CLU!$Z$3:$AH$18,7)),M185-1,1)</f>
        <v>#N/A</v>
      </c>
      <c r="DS185" s="245" t="e">
        <f ca="1">INDEX(INDIRECT(VLOOKUP(LEFT(BO185,7),CLU!$Z$3:$AH$18,7)),M185-1,2)</f>
        <v>#N/A</v>
      </c>
      <c r="DT185" s="245" t="e">
        <f ca="1">INDEX(INDIRECT(VLOOKUP(LEFT(BO185,7),CLU!$Z$3:$AH$18,7)),M185-1,3)</f>
        <v>#N/A</v>
      </c>
      <c r="DU185" s="245" t="e">
        <f ca="1">INDEX(INDIRECT(VLOOKUP(LEFT(BO185,7),CLU!$Z$3:$AH$18,7)),M185-1,4)</f>
        <v>#N/A</v>
      </c>
      <c r="DV185" s="361" t="e">
        <f ca="1">INDEX(INDIRECT(VLOOKUP(LEFT(BO185,7),CLU!$Z$3:$AH$18,7)),M185-1,4+LEFT(DZ185,1)*0.5)</f>
        <v>#N/A</v>
      </c>
      <c r="DW185" s="245" t="e">
        <f ca="1">INDEX(INDIRECT(VLOOKUP(LEFT(BO185,7),CLU!$Z$3:$AH$18,7)),M185-1,8)</f>
        <v>#N/A</v>
      </c>
      <c r="DX185" s="361" t="str">
        <f t="shared" si="462"/>
        <v xml:space="preserve"> </v>
      </c>
      <c r="DY185" s="361" t="str">
        <f t="shared" si="463"/>
        <v xml:space="preserve"> </v>
      </c>
      <c r="DZ185" s="361" t="str">
        <f t="shared" si="464"/>
        <v xml:space="preserve"> </v>
      </c>
      <c r="EA185" s="362" t="str">
        <f t="shared" si="465"/>
        <v xml:space="preserve"> </v>
      </c>
      <c r="EB185" s="624" t="str">
        <f t="shared" si="570"/>
        <v xml:space="preserve"> </v>
      </c>
      <c r="EC185" s="361" t="e">
        <f ca="1">INDEX(INDIRECT(VLOOKUP(LEFT(BO185,7),CLU!$Z$3:$AH$18,7)),M185-1,4+LEFT(DZ185,1)*0.5)</f>
        <v>#N/A</v>
      </c>
      <c r="ED185" s="362" t="str">
        <f t="shared" si="466"/>
        <v xml:space="preserve"> </v>
      </c>
      <c r="EE185" s="361" t="str">
        <f t="shared" si="467"/>
        <v xml:space="preserve"> </v>
      </c>
      <c r="EF185" s="362" t="str">
        <f>IF(L185&gt;0,IF(BR185&gt;0,IF(EE185="2P",IF(Calculation!DZ185="2P",IF(Calculation!DS185=13.75,IF(Calculation!DR185=13,Worksheet!$BD$43,IF(Calculation!DR185=37,Worksheet!$BD$44,Worksheet!$BD$45)),IF(Calculation!DS185=10,IF(Calculation!DR185=18,Worksheet!$BD$29,IF(Calculation!DR185=30,Worksheet!$BD$30,IF(Calculation!DR185=42,Worksheet!$BD$31,IF(Calculation!DR185=54,Worksheet!$BD$32,IF(Calculation!DR185=66,Worksheet!$BD$33,IF(Calculation!DR185=78,Worksheet!$BD$34,IF(Calculation!DR185=90,Worksheet!$BD$35,IF(Calculation!DR185=102,Worksheet!$BD$36,Worksheet!$BD$37)))))))),IF(Calculation!DS185=12.5,IF(Calculation!DR185=18,Worksheet!$BD$38,IF(Calculation!DR185=Worksheet!$BD$39,IF(Calculation!DR185=42,Worksheet!$BD$40,IF(Calculation!DR185=54,Worksheet!$BD$41,Worksheet!$BD$42)))),IF(Calculation!DR185=18,Worksheet!$BD$11,IF(Calculation!DR185=30,Worksheet!$BD$12,IF(Calculation!DR185=42,Worksheet!$BD$13,IF(Calculation!DR185=54,Worksheet!$BD$14,IF(Calculation!DR185=66,Worksheet!$BD$15,IF(Calculation!DR185=78,Worksheet!$BD$16,IF(Calculation!DR185=90,Worksheet!$BD$17,IF(Calculation!DR185=102,Worksheet!$BD$18,Worksheet!$BD$19))))))))))),IF(Calculation!DS185=13.75,IF(Calculation!DR185=13,Worksheet!$BD$78,IF(Calculation!DR185=37,Worksheet!$BD$79,Worksheet!$BD$80)),IF(Calculation!DS185=10,IF(Calculation!DR185=18,Worksheet!$BD$64,IF(Calculation!DR185=30,Worksheet!$BD$65,IF(Calculation!DR185=42,Worksheet!$BD$66,IF(Calculation!DR185=54,Worksheet!$BD$68,IF(Calculation!DR185=66,Worksheet!$BD$68,IF(Calculation!DR185=78,Worksheet!$BD$69,IF(Calculation!DR185=90,Worksheet!$BD$70,IF(Calculation!DR185=102,Worksheet!$BD$71,Worksheet!$BD$72)))))))),IF(Calculation!DS185=12.5,IF(Calculation!DR185=18,Worksheet!$BD$73,IF(Calculation!DR185=Worksheet!$BD$74,IF(Calculation!DR185=42,Worksheet!$BD$75,IF(Calculation!DR185=54,Worksheet!$BD$76,Worksheet!$BD$77)))),IF(Calculation!DR185=18,Worksheet!$BD$55,IF(Calculation!DR185=30,Worksheet!$BD$56,IF(Calculation!DR185=42,Worksheet!$BD$57,IF(Calculation!DR185=54,Worksheet!$BD$58,IF(Calculation!DR185=66,Worksheet!$BD$59,IF(Calculation!DR185=78,Worksheet!$BD$60,IF(Calculation!DR185=90,Worksheet!$BD$61,IF(Calculation!DR185=102,Worksheet!$BD$62,Worksheet!$BD$63)))))))))))),5),0)," ")</f>
        <v xml:space="preserve"> </v>
      </c>
      <c r="EG185" s="361" t="str">
        <f t="shared" si="468"/>
        <v xml:space="preserve"> </v>
      </c>
      <c r="EH185" s="361" t="e">
        <f ca="1">INDEX(INDIRECT(VLOOKUP(LEFT(BO185,7),CLU!$Z$3:$AH$18,7)),M185-1,3+LEFT(DZ185,1))</f>
        <v>#N/A</v>
      </c>
      <c r="EI185" s="362" t="str">
        <f t="shared" si="469"/>
        <v xml:space="preserve"> </v>
      </c>
      <c r="EJ185" s="363" t="str">
        <f t="shared" si="470"/>
        <v xml:space="preserve"> </v>
      </c>
      <c r="EK185" s="363" t="str">
        <f t="shared" si="471"/>
        <v xml:space="preserve"> </v>
      </c>
      <c r="EL185" s="363" t="str">
        <f t="shared" si="472"/>
        <v xml:space="preserve"> </v>
      </c>
      <c r="EM185" s="362" t="str">
        <f>IF(L185&gt;0,IF(BR185&gt;0,(Calculation!T185/ED185)^2,0)," ")</f>
        <v xml:space="preserve"> </v>
      </c>
      <c r="EN185" s="362" t="str">
        <f>IF(L185&gt;0,IF(O185="2 Pipe (Cooling)","N/A",IF(BR185&gt;0,(Calculation!U185/EI185)^2,0))," ")</f>
        <v xml:space="preserve"> </v>
      </c>
      <c r="EO185" s="361" t="str">
        <f t="shared" si="473"/>
        <v/>
      </c>
      <c r="EP185" s="361" t="str">
        <f t="shared" si="474"/>
        <v/>
      </c>
      <c r="EQ185" s="361" t="str">
        <f t="shared" si="475"/>
        <v/>
      </c>
      <c r="ER185" s="361" t="str">
        <f t="shared" si="476"/>
        <v/>
      </c>
      <c r="ES185" s="361" t="str">
        <f t="shared" si="477"/>
        <v/>
      </c>
      <c r="ET185" s="361" t="str">
        <f t="shared" si="478"/>
        <v/>
      </c>
      <c r="EU185" s="361" t="str">
        <f t="shared" si="479"/>
        <v/>
      </c>
      <c r="EV185" s="361" t="str">
        <f t="shared" si="480"/>
        <v/>
      </c>
      <c r="EW185" s="361" t="str">
        <f t="shared" si="481"/>
        <v/>
      </c>
      <c r="EX185" s="361" t="str">
        <f t="shared" si="571"/>
        <v>1 slot, 1 way</v>
      </c>
      <c r="EY185" s="361" t="str">
        <f t="shared" si="572"/>
        <v xml:space="preserve"> </v>
      </c>
      <c r="EZ185" s="361" t="str">
        <f t="shared" si="573"/>
        <v xml:space="preserve"> </v>
      </c>
      <c r="FA185" s="361" t="str">
        <f t="shared" si="574"/>
        <v xml:space="preserve"> </v>
      </c>
      <c r="FB185" s="361" t="str">
        <f t="shared" si="575"/>
        <v xml:space="preserve"> </v>
      </c>
      <c r="FC185" s="361"/>
      <c r="FD185" s="361" t="str">
        <f>IF(J185&gt;0,IF(Calculation!R185&lt;=70,4,IF(Calculation!R185&lt;=110,5,IF(Calculation!R185&lt;=160,6,IF(Calculation!R185&lt;=300,8,"10 EO")))),"")</f>
        <v/>
      </c>
      <c r="FE185" s="361" t="str">
        <f t="shared" si="576"/>
        <v/>
      </c>
      <c r="FF185" s="361" t="str">
        <f t="shared" si="577"/>
        <v/>
      </c>
      <c r="FG185" s="361" t="e">
        <f t="shared" si="482"/>
        <v>#N/A</v>
      </c>
      <c r="FH185" s="361">
        <f t="shared" si="483"/>
        <v>0</v>
      </c>
      <c r="FI185" s="361" t="e">
        <f t="shared" si="484"/>
        <v>#DIV/0!</v>
      </c>
      <c r="FJ185" s="361"/>
      <c r="FK185" s="356" t="e">
        <f t="shared" si="485"/>
        <v>#VALUE!</v>
      </c>
      <c r="FL185" s="361"/>
      <c r="FM185" s="361"/>
      <c r="FN185" s="362" t="str">
        <f t="shared" si="578"/>
        <v xml:space="preserve"> </v>
      </c>
      <c r="FO185" s="362" t="str">
        <f t="shared" si="579"/>
        <v xml:space="preserve"> </v>
      </c>
      <c r="FP185" s="362">
        <f t="shared" si="580"/>
        <v>0</v>
      </c>
      <c r="FQ185" s="361">
        <f t="shared" si="486"/>
        <v>0</v>
      </c>
      <c r="FR185" s="362" t="str">
        <f>IF(L185&gt;0,IF(J185="CBAL2",Worksheet!$P$67,IF(J185="CBE2-24",Worksheet!$Q$67,IF(J185="CBAM",Worksheet!$R$67,IF(J185="CBLV",Worksheet!$S$67,IF(J185="CBAB",Worksheet!$U$67,IF(J185="CBAW",Worksheet!$X$67,IF(J185="CBE2-12",Worksheet!$Y$67,IF(J185="CBAL2",Worksheet!$Z$67,"N/A"))))))))," ")</f>
        <v xml:space="preserve"> </v>
      </c>
      <c r="FS185" s="362" t="str">
        <f>IF(L185&gt;0,IF(J185="CBAL2",Worksheet!$P$68,IF(J185="CBE2-24",Worksheet!$Q$68,IF(J185="CBAM",Worksheet!$R$68,IF(J185="CBLV",Worksheet!$S$68,IF(J185="CBAB",Worksheet!$U$68,IF(J185="CBAW",Worksheet!$X$68,IF(J185="CBE2-12",Worksheet!$Y$68,IF(J185="CBAL2",Worksheet!$Z$68,"N/A"))))))))," ")</f>
        <v xml:space="preserve"> </v>
      </c>
      <c r="FT185" s="362" t="str">
        <f>IF(L185&gt;0,IF(J185="CBAL2",Worksheet!$P$69,IF(J185="CBE2-24",Worksheet!$Q$69,IF(J185="CBAM",Worksheet!$R$69,IF(J185="CBLV",Worksheet!$S$69,IF(J185="CBAB",Worksheet!$U$69,IF(J185="CBAW",Worksheet!$X$69,IF(J185="CBE2-12",Worksheet!$Y$69,IF(J185="CBAL2",Worksheet!$Z$69,"N/A"))))))))," ")</f>
        <v xml:space="preserve"> </v>
      </c>
      <c r="FU185" s="361" t="str">
        <f t="shared" si="581"/>
        <v xml:space="preserve"> </v>
      </c>
      <c r="FV185" s="362" t="str">
        <f t="shared" si="582"/>
        <v xml:space="preserve"> </v>
      </c>
      <c r="FW185" s="362" t="str">
        <f t="shared" si="583"/>
        <v xml:space="preserve"> </v>
      </c>
      <c r="FX185" s="362" t="str">
        <f t="shared" si="584"/>
        <v xml:space="preserve"> </v>
      </c>
      <c r="FY185" s="355" t="str">
        <f t="shared" si="585"/>
        <v xml:space="preserve"> </v>
      </c>
      <c r="FZ185" s="361" t="str">
        <f t="shared" si="586"/>
        <v xml:space="preserve"> </v>
      </c>
      <c r="GA185" s="347" t="str">
        <f t="shared" si="587"/>
        <v xml:space="preserve"> </v>
      </c>
      <c r="GB185" s="355" t="str">
        <f t="shared" si="588"/>
        <v xml:space="preserve"> </v>
      </c>
      <c r="GC185" s="328" t="str">
        <f t="shared" si="589"/>
        <v xml:space="preserve"> </v>
      </c>
      <c r="GD185" s="361" t="str">
        <f t="shared" si="590"/>
        <v xml:space="preserve"> </v>
      </c>
      <c r="GE185" s="347" t="str">
        <f t="shared" si="591"/>
        <v xml:space="preserve"> </v>
      </c>
      <c r="GF185" s="361" t="str">
        <f t="shared" si="592"/>
        <v xml:space="preserve"> </v>
      </c>
      <c r="GG185" s="347" t="str">
        <f t="shared" si="593"/>
        <v xml:space="preserve"> </v>
      </c>
      <c r="GH185" s="364">
        <f t="shared" si="487"/>
        <v>0</v>
      </c>
      <c r="GI185" s="362">
        <f t="shared" si="594"/>
        <v>2</v>
      </c>
      <c r="GJ185" s="433" t="e">
        <f>IF(6-COUNTBLANK(GT185:GY185)=4,MATCH(MID(BO185,9,3),CLU!$H$16:$K$16),MATCH(MID(BO185,9,3),CLU!$H$13:$M$13))</f>
        <v>#N/A</v>
      </c>
      <c r="GK185" s="433" t="e">
        <f>HLOOKUP(VALUE(BP185),CLU!$H$9:$M$10,2)</f>
        <v>#VALUE!</v>
      </c>
      <c r="GL185" s="433" t="e">
        <f ca="1">MATCH(BU185,CLU!$H$2:$V$2,1)</f>
        <v>#VALUE!</v>
      </c>
      <c r="GM185" s="433" t="e">
        <f t="shared" ca="1" si="595"/>
        <v>#VALUE!</v>
      </c>
      <c r="GN185" s="433" t="e">
        <f t="shared" ca="1" si="596"/>
        <v>#VALUE!</v>
      </c>
      <c r="GO185" s="433" t="e">
        <f t="shared" ca="1" si="597"/>
        <v>#VALUE!</v>
      </c>
      <c r="GP185" s="433" t="e">
        <f t="shared" ca="1" si="598"/>
        <v>#VALUE!</v>
      </c>
      <c r="GQ185" s="433" t="e">
        <f t="shared" ca="1" si="599"/>
        <v>#VALUE!</v>
      </c>
      <c r="GR185" s="433" t="e">
        <f ca="1">MATCH(T185,INDIRECT(VLOOKUP(CONCATENATE(LEFT(BO185,7),"-",MID(BO185,13,1)),CLU!$P$3:$Q$16,2)),1)</f>
        <v>#N/A</v>
      </c>
      <c r="GS185" s="433" t="e">
        <f ca="1">MATCH(U185,INDIRECT(VLOOKUP(CONCATENATE(LEFT(BO185,7),"-",MID(BO185,13,1)),CLU!$P$3:$Q$16,2)),1)</f>
        <v>#N/A</v>
      </c>
      <c r="GT185" s="347" t="s">
        <v>512</v>
      </c>
      <c r="GU185" s="97" t="s">
        <v>513</v>
      </c>
      <c r="GV185" s="97" t="str">
        <f t="shared" si="600"/>
        <v>M23</v>
      </c>
      <c r="GW185" s="97" t="str">
        <f t="shared" si="601"/>
        <v>M31</v>
      </c>
      <c r="GX185" s="97" t="str">
        <f t="shared" si="602"/>
        <v/>
      </c>
      <c r="GY185" s="97" t="str">
        <f t="shared" si="603"/>
        <v/>
      </c>
      <c r="GZ185" s="481"/>
      <c r="HA185" s="288"/>
      <c r="HB185" s="240"/>
      <c r="HC185" s="240"/>
      <c r="HD185" s="240"/>
      <c r="HE185" s="240"/>
      <c r="HF185" s="240"/>
      <c r="HG185" s="240"/>
      <c r="HH185" s="240"/>
      <c r="HI185" s="240"/>
      <c r="HJ185" s="240"/>
      <c r="HK185" s="240"/>
      <c r="HL185" s="240"/>
      <c r="HM185" s="240"/>
      <c r="HN185" s="240"/>
      <c r="HO185" s="240"/>
      <c r="HP185" s="240"/>
      <c r="HQ185" s="240"/>
      <c r="HR185" s="240"/>
      <c r="HS185" s="240"/>
      <c r="HT185" s="240"/>
      <c r="HU185" s="240"/>
      <c r="HV185" s="245"/>
      <c r="HW185" s="245" t="b">
        <v>1</v>
      </c>
      <c r="HX185" s="245" t="str">
        <f t="shared" si="488"/>
        <v/>
      </c>
      <c r="HY185" s="245" t="e">
        <f t="shared" si="489"/>
        <v>#DIV/0!</v>
      </c>
      <c r="HZ185" s="245" t="e">
        <f t="shared" si="490"/>
        <v>#DIV/0!</v>
      </c>
      <c r="IA185" s="245">
        <f t="shared" si="491"/>
        <v>0</v>
      </c>
      <c r="IB185" s="245"/>
      <c r="IC185" t="b">
        <f t="shared" si="492"/>
        <v>1</v>
      </c>
      <c r="ID185" s="245" t="b">
        <f t="shared" si="493"/>
        <v>1</v>
      </c>
      <c r="IE185" s="245" t="b">
        <f t="shared" si="494"/>
        <v>1</v>
      </c>
      <c r="IF185" s="245" t="b">
        <f t="shared" si="495"/>
        <v>0</v>
      </c>
      <c r="IG185" s="245" t="b">
        <f t="shared" si="496"/>
        <v>1</v>
      </c>
      <c r="IH185" s="245" t="b">
        <f t="shared" si="497"/>
        <v>1</v>
      </c>
      <c r="II185" s="245">
        <f t="shared" si="604"/>
        <v>0</v>
      </c>
      <c r="IJ185" s="245" t="e">
        <f t="shared" si="498"/>
        <v>#VALUE!</v>
      </c>
      <c r="IK185" s="245" t="e">
        <f t="shared" si="499"/>
        <v>#VALUE!</v>
      </c>
      <c r="IL185" s="245"/>
      <c r="IM185" s="245" t="e">
        <f t="shared" si="605"/>
        <v>#N/A</v>
      </c>
      <c r="IN185" s="245" t="e">
        <f t="shared" si="606"/>
        <v>#N/A</v>
      </c>
      <c r="IO185" s="245"/>
      <c r="IP185" s="245"/>
      <c r="IQ185" s="245" t="str">
        <f t="shared" si="500"/>
        <v/>
      </c>
      <c r="IR185" s="245" t="str">
        <f>IF(J185="","",VLOOKUP(J185,Worksheet!$R$4:$T$14,2))</f>
        <v/>
      </c>
      <c r="IS185" s="245"/>
      <c r="IT185" s="245">
        <f t="shared" si="501"/>
        <v>0</v>
      </c>
      <c r="IU185" s="245">
        <f t="shared" si="502"/>
        <v>0</v>
      </c>
      <c r="IV185" s="245">
        <f t="shared" si="503"/>
        <v>0</v>
      </c>
      <c r="IW185" s="245">
        <f t="shared" si="504"/>
        <v>0</v>
      </c>
      <c r="IX185" s="245">
        <f t="shared" si="607"/>
        <v>0</v>
      </c>
      <c r="IY185" s="245">
        <f t="shared" si="505"/>
        <v>0</v>
      </c>
      <c r="IZ185" s="245">
        <f t="shared" si="506"/>
        <v>0</v>
      </c>
      <c r="JA185">
        <f t="shared" si="507"/>
        <v>0</v>
      </c>
      <c r="JB185">
        <f t="shared" si="608"/>
        <v>0</v>
      </c>
      <c r="JC185">
        <f t="shared" si="508"/>
        <v>0</v>
      </c>
      <c r="JD185">
        <f t="shared" si="509"/>
        <v>0</v>
      </c>
      <c r="JE185">
        <f t="shared" si="510"/>
        <v>0</v>
      </c>
      <c r="JF185">
        <f t="shared" si="511"/>
        <v>0</v>
      </c>
      <c r="JG185">
        <f t="shared" si="512"/>
        <v>0</v>
      </c>
      <c r="JH185">
        <f t="shared" si="513"/>
        <v>0</v>
      </c>
      <c r="JI185">
        <f t="shared" si="514"/>
        <v>0</v>
      </c>
      <c r="JJ185" s="447">
        <f t="shared" si="515"/>
        <v>0</v>
      </c>
      <c r="JK185" s="447">
        <f t="shared" si="516"/>
        <v>0</v>
      </c>
      <c r="JL185">
        <f t="shared" si="517"/>
        <v>0</v>
      </c>
      <c r="JM185" s="245" t="str">
        <f>IFERROR(VLOOKUP(MATCH(BN185,#REF!,0),#REF!,7),"")</f>
        <v/>
      </c>
      <c r="JN185" t="e">
        <f>HLOOKUP(LEFT(BO185,7),Discharge_Area,MATCH(JO185,LookUps!$B$130:$B$149,1)+2)</f>
        <v>#N/A</v>
      </c>
      <c r="JO185" t="str">
        <f t="shared" si="518"/>
        <v>- S</v>
      </c>
      <c r="JP185" t="e">
        <f>HLOOKUP(LEFT(BO185,7),Discharge_Area,MATCH(JO185,LookUps!$B$130:$B$149,1)+2)</f>
        <v>#N/A</v>
      </c>
      <c r="JQ185" t="e">
        <f t="shared" si="519"/>
        <v>#N/A</v>
      </c>
      <c r="JR185" t="e">
        <f t="shared" si="520"/>
        <v>#N/A</v>
      </c>
      <c r="JS185" t="e">
        <f t="shared" si="521"/>
        <v>#N/A</v>
      </c>
      <c r="JT185" s="532" t="str">
        <f t="shared" si="522"/>
        <v xml:space="preserve"> </v>
      </c>
      <c r="JU185" s="532" t="str">
        <f t="shared" si="523"/>
        <v xml:space="preserve"> </v>
      </c>
      <c r="JV185" s="533" t="str">
        <f t="shared" si="524"/>
        <v xml:space="preserve"> </v>
      </c>
      <c r="JW185" s="534">
        <f t="shared" si="525"/>
        <v>0</v>
      </c>
      <c r="JX185" s="535" t="str">
        <f t="shared" si="609"/>
        <v xml:space="preserve"> </v>
      </c>
      <c r="JY185" s="535" t="str">
        <f t="shared" si="610"/>
        <v xml:space="preserve"> </v>
      </c>
      <c r="JZ185" s="535" t="str">
        <f t="shared" si="611"/>
        <v xml:space="preserve"> </v>
      </c>
      <c r="KA185" s="536" t="str">
        <f t="shared" si="526"/>
        <v xml:space="preserve"> </v>
      </c>
      <c r="KB185" s="535" t="e">
        <f t="shared" si="612"/>
        <v>#VALUE!</v>
      </c>
      <c r="KC185" s="535" t="str">
        <f t="shared" si="527"/>
        <v/>
      </c>
      <c r="KD185" s="537" t="str">
        <f t="shared" si="613"/>
        <v xml:space="preserve"> </v>
      </c>
      <c r="KE185" s="537" t="str">
        <f t="shared" si="614"/>
        <v xml:space="preserve"> </v>
      </c>
      <c r="KF185" s="534">
        <f t="shared" si="528"/>
        <v>0</v>
      </c>
      <c r="KG185" s="535" t="str">
        <f t="shared" si="529"/>
        <v xml:space="preserve"> </v>
      </c>
      <c r="KH185" s="535" t="str">
        <f t="shared" si="530"/>
        <v xml:space="preserve"> </v>
      </c>
      <c r="KI185" s="535" t="str">
        <f t="shared" si="531"/>
        <v xml:space="preserve"> </v>
      </c>
      <c r="KJ185" s="536" t="str">
        <f t="shared" si="532"/>
        <v xml:space="preserve"> </v>
      </c>
      <c r="KK185" s="535" t="str">
        <f t="shared" si="615"/>
        <v xml:space="preserve"> </v>
      </c>
      <c r="KL185" s="535" t="str">
        <f t="shared" si="616"/>
        <v xml:space="preserve"> </v>
      </c>
      <c r="KM185" s="537" t="str">
        <f t="shared" si="533"/>
        <v xml:space="preserve"> </v>
      </c>
      <c r="KN185" s="537" t="str">
        <f t="shared" si="617"/>
        <v xml:space="preserve"> </v>
      </c>
      <c r="KP185">
        <f t="shared" si="534"/>
        <v>0</v>
      </c>
      <c r="LA185" t="e">
        <f t="shared" si="535"/>
        <v>#VALUE!</v>
      </c>
      <c r="LB185" t="e">
        <f t="shared" si="536"/>
        <v>#VALUE!</v>
      </c>
      <c r="LC185" t="e">
        <f t="shared" si="537"/>
        <v>#VALUE!</v>
      </c>
      <c r="LD185" t="e">
        <f t="shared" si="538"/>
        <v>#VALUE!</v>
      </c>
      <c r="LE185" t="e">
        <f t="shared" si="618"/>
        <v>#VALUE!</v>
      </c>
      <c r="LF185">
        <f t="shared" si="539"/>
        <v>0</v>
      </c>
      <c r="LG185" t="e">
        <f t="shared" si="619"/>
        <v>#VALUE!</v>
      </c>
      <c r="LH185" t="str">
        <f t="shared" si="540"/>
        <v xml:space="preserve"> </v>
      </c>
      <c r="LI185">
        <f t="shared" si="620"/>
        <v>1</v>
      </c>
    </row>
    <row r="186" spans="2:321" ht="15" customHeight="1">
      <c r="B186" s="311"/>
      <c r="C186" s="311"/>
      <c r="D186" s="312"/>
      <c r="E186" s="311"/>
      <c r="F186" s="312"/>
      <c r="G186" s="311"/>
      <c r="H186" s="311"/>
      <c r="I186" s="37"/>
      <c r="J186" s="311"/>
      <c r="K186" s="305" t="str">
        <f t="shared" si="541"/>
        <v/>
      </c>
      <c r="L186" s="313"/>
      <c r="M186" s="312"/>
      <c r="N186" s="311"/>
      <c r="O186" s="312"/>
      <c r="P186" s="311"/>
      <c r="Q186" s="305" t="str">
        <f t="shared" si="542"/>
        <v/>
      </c>
      <c r="R186" s="314"/>
      <c r="S186" s="450" t="str">
        <f t="shared" si="425"/>
        <v/>
      </c>
      <c r="T186" s="315"/>
      <c r="U186" s="315"/>
      <c r="W186" s="149" t="str">
        <f t="shared" si="426"/>
        <v xml:space="preserve"> </v>
      </c>
      <c r="X186" s="243" t="str">
        <f t="shared" si="427"/>
        <v xml:space="preserve"> </v>
      </c>
      <c r="Y186" s="150" t="str">
        <f t="shared" si="428"/>
        <v/>
      </c>
      <c r="Z186" s="149" t="str">
        <f t="shared" si="429"/>
        <v xml:space="preserve"> </v>
      </c>
      <c r="AA186" s="98" t="str">
        <f t="shared" si="430"/>
        <v xml:space="preserve"> </v>
      </c>
      <c r="AB186" s="153" t="str">
        <f t="shared" si="431"/>
        <v xml:space="preserve"> </v>
      </c>
      <c r="AC186" s="153" t="str">
        <f t="shared" si="432"/>
        <v xml:space="preserve"> </v>
      </c>
      <c r="AD186" s="148" t="str">
        <f t="shared" si="433"/>
        <v/>
      </c>
      <c r="AE186" s="149" t="str">
        <f t="shared" si="434"/>
        <v/>
      </c>
      <c r="AF186" s="151" t="str">
        <f t="shared" si="435"/>
        <v xml:space="preserve"> </v>
      </c>
      <c r="AG186" s="153" t="str">
        <f t="shared" si="436"/>
        <v xml:space="preserve"> </v>
      </c>
      <c r="AH186" s="98" t="str">
        <f t="shared" si="437"/>
        <v xml:space="preserve"> </v>
      </c>
      <c r="AI186" s="149" t="str">
        <f t="shared" si="438"/>
        <v xml:space="preserve"> </v>
      </c>
      <c r="AK186" s="144" t="str">
        <f t="shared" si="439"/>
        <v xml:space="preserve"> </v>
      </c>
      <c r="AL186" s="144"/>
      <c r="AM186" s="243" t="str">
        <f t="shared" si="440"/>
        <v xml:space="preserve"> </v>
      </c>
      <c r="AN186" s="149" t="str">
        <f t="shared" si="543"/>
        <v xml:space="preserve"> </v>
      </c>
      <c r="AO186" s="144" t="str">
        <f>IF(JB186&gt;0,IF(GI186=10,-R186*1.085*(Calculation!$F$6-Calculation!$F$13)*$S$14," "),"")</f>
        <v/>
      </c>
      <c r="AP186" s="144" t="str">
        <f t="shared" si="441"/>
        <v/>
      </c>
      <c r="AQ186" s="56" t="str">
        <f t="shared" si="442"/>
        <v/>
      </c>
      <c r="AR186" s="144" t="str">
        <f t="shared" si="443"/>
        <v/>
      </c>
      <c r="AS186" s="176" t="str">
        <f t="shared" si="444"/>
        <v/>
      </c>
      <c r="AT186" s="176" t="str">
        <f t="shared" si="544"/>
        <v xml:space="preserve"> </v>
      </c>
      <c r="AU186" s="176" t="str">
        <f t="shared" si="445"/>
        <v/>
      </c>
      <c r="AV186" s="177" t="str">
        <f t="shared" si="446"/>
        <v xml:space="preserve"> </v>
      </c>
      <c r="AW186" s="144" t="str">
        <f t="shared" si="447"/>
        <v xml:space="preserve"> </v>
      </c>
      <c r="AX186" s="144" t="str">
        <f t="shared" si="448"/>
        <v xml:space="preserve"> </v>
      </c>
      <c r="AY186" s="152" t="str">
        <f t="shared" si="449"/>
        <v xml:space="preserve"> </v>
      </c>
      <c r="AZ186" s="246" t="str">
        <f t="shared" si="450"/>
        <v/>
      </c>
      <c r="BA186" s="176" t="str">
        <f t="shared" si="451"/>
        <v xml:space="preserve"> </v>
      </c>
      <c r="BB186" s="176" t="str">
        <f t="shared" si="452"/>
        <v xml:space="preserve"> </v>
      </c>
      <c r="BC186" s="195"/>
      <c r="BD186" s="316"/>
      <c r="BE186" s="317"/>
      <c r="BF186" s="318"/>
      <c r="BG186" s="318"/>
      <c r="BH186" s="144" t="str">
        <f t="shared" si="621"/>
        <v xml:space="preserve"> </v>
      </c>
      <c r="BI186" s="176" t="str">
        <f t="shared" si="453"/>
        <v/>
      </c>
      <c r="BJ186" s="144" t="str">
        <f t="shared" si="622"/>
        <v/>
      </c>
      <c r="BK186" s="246" t="str">
        <f t="shared" si="454"/>
        <v/>
      </c>
      <c r="BL186" s="144" t="str">
        <f t="shared" si="623"/>
        <v/>
      </c>
      <c r="BM186" s="246" t="str">
        <f t="shared" si="455"/>
        <v/>
      </c>
      <c r="BN186" s="337" t="str">
        <f t="shared" si="545"/>
        <v/>
      </c>
      <c r="BO186" s="371" t="str">
        <f t="shared" si="546"/>
        <v/>
      </c>
      <c r="BP186" s="328" t="str">
        <f t="shared" si="624"/>
        <v xml:space="preserve"> </v>
      </c>
      <c r="BQ186" s="347" t="str">
        <f t="shared" si="547"/>
        <v xml:space="preserve"> </v>
      </c>
      <c r="BR186" s="353" t="str">
        <f t="shared" si="548"/>
        <v xml:space="preserve"> </v>
      </c>
      <c r="BS186" s="626" t="str">
        <f>IF(L186&gt;0,IF(Calculation!P186="M13",BR186*3.1416*(0.134^2)/(4*144),IF(Calculation!P186="M17",BR186*3.1416*(0.165^2)/(4*144),IF(Calculation!P186="M20",BR186*3.1416*(0.198^2)/(4*144),IF(Calculation!P186="M23",BR186*3.1416*(0.228^2)/(4*144),IF(Calculation!P186="M27",BR186*3.1416*(0.269^2)/(4*144),BR186*3.1416*(0.307^2)/(4*144))))))," ")</f>
        <v xml:space="preserve"> </v>
      </c>
      <c r="BT186" s="353" t="str">
        <f>IF(L186&gt;0,IF(BS186&gt;0,R186/Calculation!BS186,0)," ")</f>
        <v xml:space="preserve"> </v>
      </c>
      <c r="BU186" s="438" t="e">
        <f t="shared" ca="1" si="456"/>
        <v>#VALUE!</v>
      </c>
      <c r="BV186" s="449" t="e">
        <f ca="1">INDEX(INDIRECT(VLOOKUP(LEFT(BO186,7),CLU!$Z$3:$AH$18,2)),GN186,GR186)</f>
        <v>#N/A</v>
      </c>
      <c r="BW186" s="433" t="e">
        <f ca="1">INDEX(INDIRECT(VLOOKUP(LEFT(BO186,7),CLU!$Z$3:$AH$18,3)),GN186,GR186)</f>
        <v>#N/A</v>
      </c>
      <c r="BX186" s="433" t="e">
        <f ca="1">INDEX(INDIRECT(VLOOKUP(LEFT(BO186,7),CLU!$Z$3:$AH$18,4)),GN186,GR186)</f>
        <v>#N/A</v>
      </c>
      <c r="BY186" s="433" t="e">
        <f ca="1">INDEX(INDIRECT(VLOOKUP(LEFT(BO186,7),CLU!$Z$3:$AH$18,9)),((M186-2)*(6-COUNTBLANK(GT186:GY186)))+GJ186)</f>
        <v>#N/A</v>
      </c>
      <c r="BZ186" s="426" t="e">
        <f t="shared" ca="1" si="549"/>
        <v>#N/A</v>
      </c>
      <c r="CA186" s="424" t="e">
        <f t="shared" ca="1" si="550"/>
        <v>#N/A</v>
      </c>
      <c r="CB186" s="429" t="e">
        <f ca="1">INDEX(INDIRECT(VLOOKUP(LEFT(BO186,7),CLU!$Z$3:$AH$18,2)),GN186,GS186)</f>
        <v>#N/A</v>
      </c>
      <c r="CC186" s="342" t="e">
        <f ca="1">INDEX(INDIRECT(VLOOKUP(LEFT(BO186,7),CLU!$Z$3:$AH$18,3)),GN186,GS186)</f>
        <v>#N/A</v>
      </c>
      <c r="CD186" s="342" t="e">
        <f ca="1">INDEX(INDIRECT(VLOOKUP(LEFT(BO186,7),CLU!$Z$3:$AH$18,4)),GN186,GS186)</f>
        <v>#N/A</v>
      </c>
      <c r="CE186" s="426" t="e">
        <f t="shared" ca="1" si="551"/>
        <v>#N/A</v>
      </c>
      <c r="CF186" s="440">
        <f t="shared" si="552"/>
        <v>0</v>
      </c>
      <c r="CG186" s="431" t="e">
        <f ca="1">INDEX(INDIRECT(VLOOKUP(LEFT(BO186,7),CLU!$Z$3:$AH$18,2)),GQ186,GR186)</f>
        <v>#N/A</v>
      </c>
      <c r="CH186" s="431" t="e">
        <f ca="1">INDEX(INDIRECT(VLOOKUP(LEFT(BO186,7),CLU!$Z$3:$AH$18,3)),GQ186,GR186)</f>
        <v>#N/A</v>
      </c>
      <c r="CI186" s="431" t="e">
        <f ca="1">INDEX(INDIRECT(VLOOKUP(LEFT(BO186,7),CLU!$Z$3:$AH$18,4)),GQ186,GR186)</f>
        <v>#N/A</v>
      </c>
      <c r="CJ186" s="448" t="e">
        <f t="shared" ca="1" si="553"/>
        <v>#N/A</v>
      </c>
      <c r="CK186" s="431" t="e">
        <f t="shared" ca="1" si="554"/>
        <v>#N/A</v>
      </c>
      <c r="CL186" s="440" t="e">
        <f t="shared" ca="1" si="555"/>
        <v>#N/A</v>
      </c>
      <c r="CM186" s="431" t="e">
        <f ca="1">INDEX(INDIRECT(VLOOKUP(LEFT(BO186,7),CLU!$Z$3:$AH$18,2)),GQ186,GS186)</f>
        <v>#N/A</v>
      </c>
      <c r="CN186" s="431" t="e">
        <f ca="1">INDEX(INDIRECT(VLOOKUP(LEFT(BO186,7),CLU!$Z$3:$AH$18,3)),GQ186,GS186)</f>
        <v>#N/A</v>
      </c>
      <c r="CO186" s="431" t="e">
        <f ca="1">INDEX(INDIRECT(VLOOKUP(LEFT(BO186,7),CLU!$Z$3:$AH$18,4)),GQ186,GS186)</f>
        <v>#N/A</v>
      </c>
      <c r="CP186" s="431" t="e">
        <f t="shared" ca="1" si="556"/>
        <v>#N/A</v>
      </c>
      <c r="CQ186" s="440">
        <f t="shared" si="557"/>
        <v>0</v>
      </c>
      <c r="CR186" s="51" t="e">
        <f t="shared" ca="1" si="558"/>
        <v>#N/A</v>
      </c>
      <c r="CS186" s="439" t="e">
        <f t="shared" ca="1" si="559"/>
        <v>#VALUE!</v>
      </c>
      <c r="CT186" s="51" t="e">
        <f t="shared" ca="1" si="560"/>
        <v>#VALUE!</v>
      </c>
      <c r="CU186" s="10"/>
      <c r="CV186" s="51" t="e">
        <f t="shared" ca="1" si="457"/>
        <v>#VALUE!</v>
      </c>
      <c r="CW186" s="51">
        <f t="shared" si="561"/>
        <v>0</v>
      </c>
      <c r="CX186" s="439" t="e">
        <f t="shared" ca="1" si="562"/>
        <v>#VALUE!</v>
      </c>
      <c r="CY186" s="51" t="e">
        <f t="shared" ca="1" si="563"/>
        <v>#VALUE!</v>
      </c>
      <c r="CZ186" s="10"/>
      <c r="DA186" s="51" t="e">
        <f t="shared" ca="1" si="564"/>
        <v>#VALUE!</v>
      </c>
      <c r="DB186" s="347" t="e">
        <f ca="1">INDEX(INDIRECT(VLOOKUP(LEFT(BO186,7),CLU!$Z$3:$AI$18,10)),((M186-2)*(6-COUNTBLANK(GT186:GY186)))+GJ186)*LI186</f>
        <v>#N/A</v>
      </c>
      <c r="DC186" s="347" t="str">
        <f>IF(L186&gt;0,((R186/Worksheet!$I$15)/DB186)^2," ")</f>
        <v xml:space="preserve"> </v>
      </c>
      <c r="DD186" s="602" t="str">
        <f t="shared" si="565"/>
        <v xml:space="preserve"> </v>
      </c>
      <c r="DE186" s="347" t="str">
        <f t="shared" si="458"/>
        <v xml:space="preserve"> </v>
      </c>
      <c r="DF186" s="356" t="e">
        <f ca="1">INDEX(INDIRECT(VLOOKUP(LEFT(BO186,7),CLU!$Z$3:$AH$18,8)),((M186-2)*(6-COUNTBLANK(GT186:GY186)))+GJ186)</f>
        <v>#N/A</v>
      </c>
      <c r="DG186" s="347" t="str">
        <f t="shared" si="459"/>
        <v xml:space="preserve"> </v>
      </c>
      <c r="DH186" s="357" t="str">
        <f t="shared" si="460"/>
        <v xml:space="preserve"> </v>
      </c>
      <c r="DI186" s="355" t="str">
        <f t="shared" si="461"/>
        <v xml:space="preserve"> </v>
      </c>
      <c r="DJ186" s="245" t="e">
        <f ca="1">INDEX(INDIRECT(VLOOKUP(LEFT(BO186,7),CLU!$Z$3:$AH$18,5)),GL186,GK186)</f>
        <v>#N/A</v>
      </c>
      <c r="DK186" s="245" t="e">
        <f ca="1">INDEX(INDIRECT(VLOOKUP(LEFT(BO186,7),CLU!$Z$3:$AH$18,6)),GL186,GK186)</f>
        <v>#N/A</v>
      </c>
      <c r="DL186" s="355">
        <f>(Calculation!R186*0.69143*(Calculation!$BQ$8-Calculation!$F$8))*$S$14</f>
        <v>0</v>
      </c>
      <c r="DM186" s="359" t="e">
        <f t="shared" si="566"/>
        <v>#VALUE!</v>
      </c>
      <c r="DN186" s="611">
        <f t="shared" si="567"/>
        <v>0</v>
      </c>
      <c r="DO186" s="359">
        <f t="shared" si="568"/>
        <v>100</v>
      </c>
      <c r="DP186" s="359">
        <f t="shared" si="569"/>
        <v>0</v>
      </c>
      <c r="DQ186" s="360"/>
      <c r="DR186" s="245" t="e">
        <f ca="1">INDEX(INDIRECT(VLOOKUP(LEFT(BO186,7),CLU!$Z$3:$AH$18,7)),M186-1,1)</f>
        <v>#N/A</v>
      </c>
      <c r="DS186" s="245" t="e">
        <f ca="1">INDEX(INDIRECT(VLOOKUP(LEFT(BO186,7),CLU!$Z$3:$AH$18,7)),M186-1,2)</f>
        <v>#N/A</v>
      </c>
      <c r="DT186" s="245" t="e">
        <f ca="1">INDEX(INDIRECT(VLOOKUP(LEFT(BO186,7),CLU!$Z$3:$AH$18,7)),M186-1,3)</f>
        <v>#N/A</v>
      </c>
      <c r="DU186" s="245" t="e">
        <f ca="1">INDEX(INDIRECT(VLOOKUP(LEFT(BO186,7),CLU!$Z$3:$AH$18,7)),M186-1,4)</f>
        <v>#N/A</v>
      </c>
      <c r="DV186" s="361" t="e">
        <f ca="1">INDEX(INDIRECT(VLOOKUP(LEFT(BO186,7),CLU!$Z$3:$AH$18,7)),M186-1,4+LEFT(DZ186,1)*0.5)</f>
        <v>#N/A</v>
      </c>
      <c r="DW186" s="245" t="e">
        <f ca="1">INDEX(INDIRECT(VLOOKUP(LEFT(BO186,7),CLU!$Z$3:$AH$18,7)),M186-1,8)</f>
        <v>#N/A</v>
      </c>
      <c r="DX186" s="361" t="str">
        <f t="shared" si="462"/>
        <v xml:space="preserve"> </v>
      </c>
      <c r="DY186" s="361" t="str">
        <f t="shared" si="463"/>
        <v xml:space="preserve"> </v>
      </c>
      <c r="DZ186" s="361" t="str">
        <f t="shared" si="464"/>
        <v xml:space="preserve"> </v>
      </c>
      <c r="EA186" s="362" t="str">
        <f t="shared" si="465"/>
        <v xml:space="preserve"> </v>
      </c>
      <c r="EB186" s="624" t="str">
        <f t="shared" si="570"/>
        <v xml:space="preserve"> </v>
      </c>
      <c r="EC186" s="361" t="e">
        <f ca="1">INDEX(INDIRECT(VLOOKUP(LEFT(BO186,7),CLU!$Z$3:$AH$18,7)),M186-1,4+LEFT(DZ186,1)*0.5)</f>
        <v>#N/A</v>
      </c>
      <c r="ED186" s="362" t="str">
        <f t="shared" si="466"/>
        <v xml:space="preserve"> </v>
      </c>
      <c r="EE186" s="361" t="str">
        <f t="shared" si="467"/>
        <v xml:space="preserve"> </v>
      </c>
      <c r="EF186" s="362" t="str">
        <f>IF(L186&gt;0,IF(BR186&gt;0,IF(EE186="2P",IF(Calculation!DZ186="2P",IF(Calculation!DS186=13.75,IF(Calculation!DR186=13,Worksheet!$BD$43,IF(Calculation!DR186=37,Worksheet!$BD$44,Worksheet!$BD$45)),IF(Calculation!DS186=10,IF(Calculation!DR186=18,Worksheet!$BD$29,IF(Calculation!DR186=30,Worksheet!$BD$30,IF(Calculation!DR186=42,Worksheet!$BD$31,IF(Calculation!DR186=54,Worksheet!$BD$32,IF(Calculation!DR186=66,Worksheet!$BD$33,IF(Calculation!DR186=78,Worksheet!$BD$34,IF(Calculation!DR186=90,Worksheet!$BD$35,IF(Calculation!DR186=102,Worksheet!$BD$36,Worksheet!$BD$37)))))))),IF(Calculation!DS186=12.5,IF(Calculation!DR186=18,Worksheet!$BD$38,IF(Calculation!DR186=Worksheet!$BD$39,IF(Calculation!DR186=42,Worksheet!$BD$40,IF(Calculation!DR186=54,Worksheet!$BD$41,Worksheet!$BD$42)))),IF(Calculation!DR186=18,Worksheet!$BD$11,IF(Calculation!DR186=30,Worksheet!$BD$12,IF(Calculation!DR186=42,Worksheet!$BD$13,IF(Calculation!DR186=54,Worksheet!$BD$14,IF(Calculation!DR186=66,Worksheet!$BD$15,IF(Calculation!DR186=78,Worksheet!$BD$16,IF(Calculation!DR186=90,Worksheet!$BD$17,IF(Calculation!DR186=102,Worksheet!$BD$18,Worksheet!$BD$19))))))))))),IF(Calculation!DS186=13.75,IF(Calculation!DR186=13,Worksheet!$BD$78,IF(Calculation!DR186=37,Worksheet!$BD$79,Worksheet!$BD$80)),IF(Calculation!DS186=10,IF(Calculation!DR186=18,Worksheet!$BD$64,IF(Calculation!DR186=30,Worksheet!$BD$65,IF(Calculation!DR186=42,Worksheet!$BD$66,IF(Calculation!DR186=54,Worksheet!$BD$68,IF(Calculation!DR186=66,Worksheet!$BD$68,IF(Calculation!DR186=78,Worksheet!$BD$69,IF(Calculation!DR186=90,Worksheet!$BD$70,IF(Calculation!DR186=102,Worksheet!$BD$71,Worksheet!$BD$72)))))))),IF(Calculation!DS186=12.5,IF(Calculation!DR186=18,Worksheet!$BD$73,IF(Calculation!DR186=Worksheet!$BD$74,IF(Calculation!DR186=42,Worksheet!$BD$75,IF(Calculation!DR186=54,Worksheet!$BD$76,Worksheet!$BD$77)))),IF(Calculation!DR186=18,Worksheet!$BD$55,IF(Calculation!DR186=30,Worksheet!$BD$56,IF(Calculation!DR186=42,Worksheet!$BD$57,IF(Calculation!DR186=54,Worksheet!$BD$58,IF(Calculation!DR186=66,Worksheet!$BD$59,IF(Calculation!DR186=78,Worksheet!$BD$60,IF(Calculation!DR186=90,Worksheet!$BD$61,IF(Calculation!DR186=102,Worksheet!$BD$62,Worksheet!$BD$63)))))))))))),5),0)," ")</f>
        <v xml:space="preserve"> </v>
      </c>
      <c r="EG186" s="361" t="str">
        <f t="shared" si="468"/>
        <v xml:space="preserve"> </v>
      </c>
      <c r="EH186" s="361" t="e">
        <f ca="1">INDEX(INDIRECT(VLOOKUP(LEFT(BO186,7),CLU!$Z$3:$AH$18,7)),M186-1,3+LEFT(DZ186,1))</f>
        <v>#N/A</v>
      </c>
      <c r="EI186" s="362" t="str">
        <f t="shared" si="469"/>
        <v xml:space="preserve"> </v>
      </c>
      <c r="EJ186" s="363" t="str">
        <f t="shared" si="470"/>
        <v xml:space="preserve"> </v>
      </c>
      <c r="EK186" s="363" t="str">
        <f t="shared" si="471"/>
        <v xml:space="preserve"> </v>
      </c>
      <c r="EL186" s="363" t="str">
        <f t="shared" si="472"/>
        <v xml:space="preserve"> </v>
      </c>
      <c r="EM186" s="362" t="str">
        <f>IF(L186&gt;0,IF(BR186&gt;0,(Calculation!T186/ED186)^2,0)," ")</f>
        <v xml:space="preserve"> </v>
      </c>
      <c r="EN186" s="362" t="str">
        <f>IF(L186&gt;0,IF(O186="2 Pipe (Cooling)","N/A",IF(BR186&gt;0,(Calculation!U186/EI186)^2,0))," ")</f>
        <v xml:space="preserve"> </v>
      </c>
      <c r="EO186" s="361" t="str">
        <f t="shared" si="473"/>
        <v/>
      </c>
      <c r="EP186" s="361" t="str">
        <f t="shared" si="474"/>
        <v/>
      </c>
      <c r="EQ186" s="361" t="str">
        <f t="shared" si="475"/>
        <v/>
      </c>
      <c r="ER186" s="361" t="str">
        <f t="shared" si="476"/>
        <v/>
      </c>
      <c r="ES186" s="361" t="str">
        <f t="shared" si="477"/>
        <v/>
      </c>
      <c r="ET186" s="361" t="str">
        <f t="shared" si="478"/>
        <v/>
      </c>
      <c r="EU186" s="361" t="str">
        <f t="shared" si="479"/>
        <v/>
      </c>
      <c r="EV186" s="361" t="str">
        <f t="shared" si="480"/>
        <v/>
      </c>
      <c r="EW186" s="361" t="str">
        <f t="shared" si="481"/>
        <v/>
      </c>
      <c r="EX186" s="361" t="str">
        <f t="shared" si="571"/>
        <v>1 slot, 1 way</v>
      </c>
      <c r="EY186" s="361" t="str">
        <f t="shared" si="572"/>
        <v xml:space="preserve"> </v>
      </c>
      <c r="EZ186" s="361" t="str">
        <f t="shared" si="573"/>
        <v xml:space="preserve"> </v>
      </c>
      <c r="FA186" s="361" t="str">
        <f t="shared" si="574"/>
        <v xml:space="preserve"> </v>
      </c>
      <c r="FB186" s="361" t="str">
        <f t="shared" si="575"/>
        <v xml:space="preserve"> </v>
      </c>
      <c r="FC186" s="361"/>
      <c r="FD186" s="361" t="str">
        <f>IF(J186&gt;0,IF(Calculation!R186&lt;=70,4,IF(Calculation!R186&lt;=110,5,IF(Calculation!R186&lt;=160,6,IF(Calculation!R186&lt;=300,8,"10 EO")))),"")</f>
        <v/>
      </c>
      <c r="FE186" s="361" t="str">
        <f t="shared" si="576"/>
        <v/>
      </c>
      <c r="FF186" s="361" t="str">
        <f t="shared" si="577"/>
        <v/>
      </c>
      <c r="FG186" s="361" t="e">
        <f t="shared" si="482"/>
        <v>#N/A</v>
      </c>
      <c r="FH186" s="361">
        <f t="shared" si="483"/>
        <v>0</v>
      </c>
      <c r="FI186" s="361" t="e">
        <f t="shared" si="484"/>
        <v>#DIV/0!</v>
      </c>
      <c r="FJ186" s="361"/>
      <c r="FK186" s="356" t="e">
        <f t="shared" si="485"/>
        <v>#VALUE!</v>
      </c>
      <c r="FL186" s="361"/>
      <c r="FM186" s="361"/>
      <c r="FN186" s="362" t="str">
        <f t="shared" si="578"/>
        <v xml:space="preserve"> </v>
      </c>
      <c r="FO186" s="362" t="str">
        <f t="shared" si="579"/>
        <v xml:space="preserve"> </v>
      </c>
      <c r="FP186" s="362">
        <f t="shared" si="580"/>
        <v>0</v>
      </c>
      <c r="FQ186" s="361">
        <f t="shared" si="486"/>
        <v>0</v>
      </c>
      <c r="FR186" s="362" t="str">
        <f>IF(L186&gt;0,IF(J186="CBAL2",Worksheet!$P$67,IF(J186="CBE2-24",Worksheet!$Q$67,IF(J186="CBAM",Worksheet!$R$67,IF(J186="CBLV",Worksheet!$S$67,IF(J186="CBAB",Worksheet!$U$67,IF(J186="CBAW",Worksheet!$X$67,IF(J186="CBE2-12",Worksheet!$Y$67,IF(J186="CBAL2",Worksheet!$Z$67,"N/A"))))))))," ")</f>
        <v xml:space="preserve"> </v>
      </c>
      <c r="FS186" s="362" t="str">
        <f>IF(L186&gt;0,IF(J186="CBAL2",Worksheet!$P$68,IF(J186="CBE2-24",Worksheet!$Q$68,IF(J186="CBAM",Worksheet!$R$68,IF(J186="CBLV",Worksheet!$S$68,IF(J186="CBAB",Worksheet!$U$68,IF(J186="CBAW",Worksheet!$X$68,IF(J186="CBE2-12",Worksheet!$Y$68,IF(J186="CBAL2",Worksheet!$Z$68,"N/A"))))))))," ")</f>
        <v xml:space="preserve"> </v>
      </c>
      <c r="FT186" s="362" t="str">
        <f>IF(L186&gt;0,IF(J186="CBAL2",Worksheet!$P$69,IF(J186="CBE2-24",Worksheet!$Q$69,IF(J186="CBAM",Worksheet!$R$69,IF(J186="CBLV",Worksheet!$S$69,IF(J186="CBAB",Worksheet!$U$69,IF(J186="CBAW",Worksheet!$X$69,IF(J186="CBE2-12",Worksheet!$Y$69,IF(J186="CBAL2",Worksheet!$Z$69,"N/A"))))))))," ")</f>
        <v xml:space="preserve"> </v>
      </c>
      <c r="FU186" s="361" t="str">
        <f t="shared" si="581"/>
        <v xml:space="preserve"> </v>
      </c>
      <c r="FV186" s="362" t="str">
        <f t="shared" si="582"/>
        <v xml:space="preserve"> </v>
      </c>
      <c r="FW186" s="362" t="str">
        <f t="shared" si="583"/>
        <v xml:space="preserve"> </v>
      </c>
      <c r="FX186" s="362" t="str">
        <f t="shared" si="584"/>
        <v xml:space="preserve"> </v>
      </c>
      <c r="FY186" s="355" t="str">
        <f t="shared" si="585"/>
        <v xml:space="preserve"> </v>
      </c>
      <c r="FZ186" s="361" t="str">
        <f t="shared" si="586"/>
        <v xml:space="preserve"> </v>
      </c>
      <c r="GA186" s="347" t="str">
        <f t="shared" si="587"/>
        <v xml:space="preserve"> </v>
      </c>
      <c r="GB186" s="355" t="str">
        <f t="shared" si="588"/>
        <v xml:space="preserve"> </v>
      </c>
      <c r="GC186" s="328" t="str">
        <f t="shared" si="589"/>
        <v xml:space="preserve"> </v>
      </c>
      <c r="GD186" s="361" t="str">
        <f t="shared" si="590"/>
        <v xml:space="preserve"> </v>
      </c>
      <c r="GE186" s="347" t="str">
        <f t="shared" si="591"/>
        <v xml:space="preserve"> </v>
      </c>
      <c r="GF186" s="361" t="str">
        <f t="shared" si="592"/>
        <v xml:space="preserve"> </v>
      </c>
      <c r="GG186" s="347" t="str">
        <f t="shared" si="593"/>
        <v xml:space="preserve"> </v>
      </c>
      <c r="GH186" s="364">
        <f t="shared" si="487"/>
        <v>0</v>
      </c>
      <c r="GI186" s="362">
        <f t="shared" si="594"/>
        <v>2</v>
      </c>
      <c r="GJ186" s="433" t="e">
        <f>IF(6-COUNTBLANK(GT186:GY186)=4,MATCH(MID(BO186,9,3),CLU!$H$16:$K$16),MATCH(MID(BO186,9,3),CLU!$H$13:$M$13))</f>
        <v>#N/A</v>
      </c>
      <c r="GK186" s="433" t="e">
        <f>HLOOKUP(VALUE(BP186),CLU!$H$9:$M$10,2)</f>
        <v>#VALUE!</v>
      </c>
      <c r="GL186" s="433" t="e">
        <f ca="1">MATCH(BU186,CLU!$H$2:$V$2,1)</f>
        <v>#VALUE!</v>
      </c>
      <c r="GM186" s="433" t="e">
        <f t="shared" ca="1" si="595"/>
        <v>#VALUE!</v>
      </c>
      <c r="GN186" s="433" t="e">
        <f t="shared" ca="1" si="596"/>
        <v>#VALUE!</v>
      </c>
      <c r="GO186" s="433" t="e">
        <f t="shared" ca="1" si="597"/>
        <v>#VALUE!</v>
      </c>
      <c r="GP186" s="433" t="e">
        <f t="shared" ca="1" si="598"/>
        <v>#VALUE!</v>
      </c>
      <c r="GQ186" s="433" t="e">
        <f t="shared" ca="1" si="599"/>
        <v>#VALUE!</v>
      </c>
      <c r="GR186" s="433" t="e">
        <f ca="1">MATCH(T186,INDIRECT(VLOOKUP(CONCATENATE(LEFT(BO186,7),"-",MID(BO186,13,1)),CLU!$P$3:$Q$16,2)),1)</f>
        <v>#N/A</v>
      </c>
      <c r="GS186" s="433" t="e">
        <f ca="1">MATCH(U186,INDIRECT(VLOOKUP(CONCATENATE(LEFT(BO186,7),"-",MID(BO186,13,1)),CLU!$P$3:$Q$16,2)),1)</f>
        <v>#N/A</v>
      </c>
      <c r="GT186" s="347" t="s">
        <v>512</v>
      </c>
      <c r="GU186" s="97" t="s">
        <v>513</v>
      </c>
      <c r="GV186" s="97" t="str">
        <f t="shared" si="600"/>
        <v>M23</v>
      </c>
      <c r="GW186" s="97" t="str">
        <f t="shared" si="601"/>
        <v>M31</v>
      </c>
      <c r="GX186" s="97" t="str">
        <f t="shared" si="602"/>
        <v/>
      </c>
      <c r="GY186" s="97" t="str">
        <f t="shared" si="603"/>
        <v/>
      </c>
      <c r="GZ186" s="481"/>
      <c r="HA186" s="288"/>
      <c r="HB186" s="240"/>
      <c r="HC186" s="240"/>
      <c r="HD186" s="240"/>
      <c r="HE186" s="240"/>
      <c r="HF186" s="240"/>
      <c r="HG186" s="240"/>
      <c r="HH186" s="240"/>
      <c r="HI186" s="240"/>
      <c r="HJ186" s="240"/>
      <c r="HK186" s="240"/>
      <c r="HL186" s="240"/>
      <c r="HM186" s="240"/>
      <c r="HN186" s="240"/>
      <c r="HO186" s="240"/>
      <c r="HP186" s="240"/>
      <c r="HQ186" s="240"/>
      <c r="HR186" s="240"/>
      <c r="HS186" s="240"/>
      <c r="HT186" s="240"/>
      <c r="HU186" s="240"/>
      <c r="HV186" s="245"/>
      <c r="HW186" s="245" t="b">
        <v>1</v>
      </c>
      <c r="HX186" s="245" t="str">
        <f t="shared" si="488"/>
        <v/>
      </c>
      <c r="HY186" s="245" t="e">
        <f t="shared" si="489"/>
        <v>#DIV/0!</v>
      </c>
      <c r="HZ186" s="245" t="e">
        <f t="shared" si="490"/>
        <v>#DIV/0!</v>
      </c>
      <c r="IA186" s="245">
        <f t="shared" si="491"/>
        <v>0</v>
      </c>
      <c r="IB186" s="245"/>
      <c r="IC186" t="b">
        <f t="shared" si="492"/>
        <v>1</v>
      </c>
      <c r="ID186" s="245" t="b">
        <f t="shared" si="493"/>
        <v>1</v>
      </c>
      <c r="IE186" s="245" t="b">
        <f t="shared" si="494"/>
        <v>1</v>
      </c>
      <c r="IF186" s="245" t="b">
        <f t="shared" si="495"/>
        <v>0</v>
      </c>
      <c r="IG186" s="245" t="b">
        <f t="shared" si="496"/>
        <v>1</v>
      </c>
      <c r="IH186" s="245" t="b">
        <f t="shared" si="497"/>
        <v>1</v>
      </c>
      <c r="II186" s="245">
        <f t="shared" si="604"/>
        <v>0</v>
      </c>
      <c r="IJ186" s="245" t="e">
        <f t="shared" si="498"/>
        <v>#VALUE!</v>
      </c>
      <c r="IK186" s="245" t="e">
        <f t="shared" si="499"/>
        <v>#VALUE!</v>
      </c>
      <c r="IL186" s="245"/>
      <c r="IM186" s="245" t="e">
        <f t="shared" si="605"/>
        <v>#N/A</v>
      </c>
      <c r="IN186" s="245" t="e">
        <f t="shared" si="606"/>
        <v>#N/A</v>
      </c>
      <c r="IO186" s="245"/>
      <c r="IP186" s="245"/>
      <c r="IQ186" s="245" t="str">
        <f t="shared" si="500"/>
        <v/>
      </c>
      <c r="IR186" s="245" t="str">
        <f>IF(J186="","",VLOOKUP(J186,Worksheet!$R$4:$T$14,2))</f>
        <v/>
      </c>
      <c r="IS186" s="245"/>
      <c r="IT186" s="245">
        <f t="shared" si="501"/>
        <v>0</v>
      </c>
      <c r="IU186" s="245">
        <f t="shared" si="502"/>
        <v>0</v>
      </c>
      <c r="IV186" s="245">
        <f t="shared" si="503"/>
        <v>0</v>
      </c>
      <c r="IW186" s="245">
        <f t="shared" si="504"/>
        <v>0</v>
      </c>
      <c r="IX186" s="245">
        <f t="shared" si="607"/>
        <v>0</v>
      </c>
      <c r="IY186" s="245">
        <f t="shared" si="505"/>
        <v>0</v>
      </c>
      <c r="IZ186" s="245">
        <f t="shared" si="506"/>
        <v>0</v>
      </c>
      <c r="JA186">
        <f t="shared" si="507"/>
        <v>0</v>
      </c>
      <c r="JB186">
        <f t="shared" si="608"/>
        <v>0</v>
      </c>
      <c r="JC186">
        <f t="shared" si="508"/>
        <v>0</v>
      </c>
      <c r="JD186">
        <f t="shared" si="509"/>
        <v>0</v>
      </c>
      <c r="JE186">
        <f t="shared" si="510"/>
        <v>0</v>
      </c>
      <c r="JF186">
        <f t="shared" si="511"/>
        <v>0</v>
      </c>
      <c r="JG186">
        <f t="shared" si="512"/>
        <v>0</v>
      </c>
      <c r="JH186">
        <f t="shared" si="513"/>
        <v>0</v>
      </c>
      <c r="JI186">
        <f t="shared" si="514"/>
        <v>0</v>
      </c>
      <c r="JJ186" s="447">
        <f t="shared" si="515"/>
        <v>0</v>
      </c>
      <c r="JK186" s="447">
        <f t="shared" si="516"/>
        <v>0</v>
      </c>
      <c r="JL186">
        <f t="shared" si="517"/>
        <v>0</v>
      </c>
      <c r="JM186" s="245" t="str">
        <f>IFERROR(VLOOKUP(MATCH(BN186,#REF!,0),#REF!,7),"")</f>
        <v/>
      </c>
      <c r="JN186" t="e">
        <f>HLOOKUP(LEFT(BO186,7),Discharge_Area,MATCH(JO186,LookUps!$B$130:$B$149,1)+2)</f>
        <v>#N/A</v>
      </c>
      <c r="JO186" t="str">
        <f t="shared" si="518"/>
        <v>- S</v>
      </c>
      <c r="JP186" t="e">
        <f>HLOOKUP(LEFT(BO186,7),Discharge_Area,MATCH(JO186,LookUps!$B$130:$B$149,1)+2)</f>
        <v>#N/A</v>
      </c>
      <c r="JQ186" t="e">
        <f t="shared" si="519"/>
        <v>#N/A</v>
      </c>
      <c r="JR186" t="e">
        <f t="shared" si="520"/>
        <v>#N/A</v>
      </c>
      <c r="JS186" t="e">
        <f t="shared" si="521"/>
        <v>#N/A</v>
      </c>
      <c r="JT186" s="532" t="str">
        <f t="shared" si="522"/>
        <v xml:space="preserve"> </v>
      </c>
      <c r="JU186" s="532" t="str">
        <f t="shared" si="523"/>
        <v xml:space="preserve"> </v>
      </c>
      <c r="JV186" s="533" t="str">
        <f t="shared" si="524"/>
        <v xml:space="preserve"> </v>
      </c>
      <c r="JW186" s="534">
        <f t="shared" si="525"/>
        <v>0</v>
      </c>
      <c r="JX186" s="535" t="str">
        <f t="shared" si="609"/>
        <v xml:space="preserve"> </v>
      </c>
      <c r="JY186" s="535" t="str">
        <f t="shared" si="610"/>
        <v xml:space="preserve"> </v>
      </c>
      <c r="JZ186" s="535" t="str">
        <f t="shared" si="611"/>
        <v xml:space="preserve"> </v>
      </c>
      <c r="KA186" s="536" t="str">
        <f t="shared" si="526"/>
        <v xml:space="preserve"> </v>
      </c>
      <c r="KB186" s="535" t="e">
        <f t="shared" si="612"/>
        <v>#VALUE!</v>
      </c>
      <c r="KC186" s="535" t="str">
        <f t="shared" si="527"/>
        <v/>
      </c>
      <c r="KD186" s="537" t="str">
        <f t="shared" si="613"/>
        <v xml:space="preserve"> </v>
      </c>
      <c r="KE186" s="537" t="str">
        <f t="shared" si="614"/>
        <v xml:space="preserve"> </v>
      </c>
      <c r="KF186" s="534">
        <f t="shared" si="528"/>
        <v>0</v>
      </c>
      <c r="KG186" s="535" t="str">
        <f t="shared" si="529"/>
        <v xml:space="preserve"> </v>
      </c>
      <c r="KH186" s="535" t="str">
        <f t="shared" si="530"/>
        <v xml:space="preserve"> </v>
      </c>
      <c r="KI186" s="535" t="str">
        <f t="shared" si="531"/>
        <v xml:space="preserve"> </v>
      </c>
      <c r="KJ186" s="536" t="str">
        <f t="shared" si="532"/>
        <v xml:space="preserve"> </v>
      </c>
      <c r="KK186" s="535" t="str">
        <f t="shared" si="615"/>
        <v xml:space="preserve"> </v>
      </c>
      <c r="KL186" s="535" t="str">
        <f t="shared" si="616"/>
        <v xml:space="preserve"> </v>
      </c>
      <c r="KM186" s="537" t="str">
        <f t="shared" si="533"/>
        <v xml:space="preserve"> </v>
      </c>
      <c r="KN186" s="537" t="str">
        <f t="shared" si="617"/>
        <v xml:space="preserve"> </v>
      </c>
      <c r="KP186">
        <f t="shared" si="534"/>
        <v>0</v>
      </c>
      <c r="LA186" t="e">
        <f t="shared" si="535"/>
        <v>#VALUE!</v>
      </c>
      <c r="LB186" t="e">
        <f t="shared" si="536"/>
        <v>#VALUE!</v>
      </c>
      <c r="LC186" t="e">
        <f t="shared" si="537"/>
        <v>#VALUE!</v>
      </c>
      <c r="LD186" t="e">
        <f t="shared" si="538"/>
        <v>#VALUE!</v>
      </c>
      <c r="LE186" t="e">
        <f t="shared" si="618"/>
        <v>#VALUE!</v>
      </c>
      <c r="LF186">
        <f t="shared" si="539"/>
        <v>0</v>
      </c>
      <c r="LG186" t="e">
        <f t="shared" si="619"/>
        <v>#VALUE!</v>
      </c>
      <c r="LH186" t="str">
        <f t="shared" si="540"/>
        <v xml:space="preserve"> </v>
      </c>
      <c r="LI186">
        <f t="shared" si="620"/>
        <v>1</v>
      </c>
    </row>
    <row r="187" spans="2:321" ht="15" customHeight="1">
      <c r="B187" s="311"/>
      <c r="C187" s="311"/>
      <c r="D187" s="312"/>
      <c r="E187" s="311"/>
      <c r="F187" s="312"/>
      <c r="G187" s="311"/>
      <c r="H187" s="311"/>
      <c r="I187" s="37"/>
      <c r="J187" s="311"/>
      <c r="K187" s="305" t="str">
        <f t="shared" si="541"/>
        <v/>
      </c>
      <c r="L187" s="313"/>
      <c r="M187" s="312"/>
      <c r="N187" s="311"/>
      <c r="O187" s="312"/>
      <c r="P187" s="311"/>
      <c r="Q187" s="305" t="str">
        <f t="shared" si="542"/>
        <v/>
      </c>
      <c r="R187" s="314"/>
      <c r="S187" s="450" t="str">
        <f t="shared" si="425"/>
        <v/>
      </c>
      <c r="T187" s="315"/>
      <c r="U187" s="315"/>
      <c r="W187" s="149" t="str">
        <f t="shared" si="426"/>
        <v xml:space="preserve"> </v>
      </c>
      <c r="X187" s="243" t="str">
        <f t="shared" si="427"/>
        <v xml:space="preserve"> </v>
      </c>
      <c r="Y187" s="150" t="str">
        <f t="shared" si="428"/>
        <v/>
      </c>
      <c r="Z187" s="149" t="str">
        <f t="shared" si="429"/>
        <v xml:space="preserve"> </v>
      </c>
      <c r="AA187" s="98" t="str">
        <f t="shared" si="430"/>
        <v xml:space="preserve"> </v>
      </c>
      <c r="AB187" s="153" t="str">
        <f t="shared" si="431"/>
        <v xml:space="preserve"> </v>
      </c>
      <c r="AC187" s="153" t="str">
        <f t="shared" si="432"/>
        <v xml:space="preserve"> </v>
      </c>
      <c r="AD187" s="148" t="str">
        <f t="shared" si="433"/>
        <v/>
      </c>
      <c r="AE187" s="149" t="str">
        <f t="shared" si="434"/>
        <v/>
      </c>
      <c r="AF187" s="151" t="str">
        <f t="shared" si="435"/>
        <v xml:space="preserve"> </v>
      </c>
      <c r="AG187" s="153" t="str">
        <f t="shared" si="436"/>
        <v xml:space="preserve"> </v>
      </c>
      <c r="AH187" s="98" t="str">
        <f t="shared" si="437"/>
        <v xml:space="preserve"> </v>
      </c>
      <c r="AI187" s="149" t="str">
        <f t="shared" si="438"/>
        <v xml:space="preserve"> </v>
      </c>
      <c r="AK187" s="144" t="str">
        <f t="shared" si="439"/>
        <v xml:space="preserve"> </v>
      </c>
      <c r="AL187" s="144"/>
      <c r="AM187" s="243" t="str">
        <f t="shared" si="440"/>
        <v xml:space="preserve"> </v>
      </c>
      <c r="AN187" s="149" t="str">
        <f t="shared" si="543"/>
        <v xml:space="preserve"> </v>
      </c>
      <c r="AO187" s="144" t="str">
        <f>IF(JB187&gt;0,IF(GI187=10,-R187*1.085*(Calculation!$F$6-Calculation!$F$13)*$S$14," "),"")</f>
        <v/>
      </c>
      <c r="AP187" s="144" t="str">
        <f t="shared" si="441"/>
        <v/>
      </c>
      <c r="AQ187" s="56" t="str">
        <f t="shared" si="442"/>
        <v/>
      </c>
      <c r="AR187" s="144" t="str">
        <f t="shared" si="443"/>
        <v/>
      </c>
      <c r="AS187" s="176" t="str">
        <f t="shared" si="444"/>
        <v/>
      </c>
      <c r="AT187" s="176" t="str">
        <f t="shared" si="544"/>
        <v xml:space="preserve"> </v>
      </c>
      <c r="AU187" s="176" t="str">
        <f t="shared" si="445"/>
        <v/>
      </c>
      <c r="AV187" s="177" t="str">
        <f t="shared" si="446"/>
        <v xml:space="preserve"> </v>
      </c>
      <c r="AW187" s="144" t="str">
        <f t="shared" si="447"/>
        <v xml:space="preserve"> </v>
      </c>
      <c r="AX187" s="144" t="str">
        <f t="shared" si="448"/>
        <v xml:space="preserve"> </v>
      </c>
      <c r="AY187" s="152" t="str">
        <f t="shared" si="449"/>
        <v xml:space="preserve"> </v>
      </c>
      <c r="AZ187" s="246" t="str">
        <f t="shared" si="450"/>
        <v/>
      </c>
      <c r="BA187" s="176" t="str">
        <f t="shared" si="451"/>
        <v xml:space="preserve"> </v>
      </c>
      <c r="BB187" s="176" t="str">
        <f t="shared" si="452"/>
        <v xml:space="preserve"> </v>
      </c>
      <c r="BC187" s="195"/>
      <c r="BD187" s="316"/>
      <c r="BE187" s="317"/>
      <c r="BF187" s="318"/>
      <c r="BG187" s="318"/>
      <c r="BH187" s="144" t="str">
        <f t="shared" si="621"/>
        <v xml:space="preserve"> </v>
      </c>
      <c r="BI187" s="176" t="str">
        <f t="shared" si="453"/>
        <v/>
      </c>
      <c r="BJ187" s="144" t="str">
        <f t="shared" si="622"/>
        <v/>
      </c>
      <c r="BK187" s="246" t="str">
        <f t="shared" si="454"/>
        <v/>
      </c>
      <c r="BL187" s="144" t="str">
        <f t="shared" si="623"/>
        <v/>
      </c>
      <c r="BM187" s="246" t="str">
        <f t="shared" si="455"/>
        <v/>
      </c>
      <c r="BN187" s="337" t="str">
        <f t="shared" si="545"/>
        <v/>
      </c>
      <c r="BO187" s="371" t="str">
        <f t="shared" si="546"/>
        <v/>
      </c>
      <c r="BP187" s="328" t="str">
        <f t="shared" si="624"/>
        <v xml:space="preserve"> </v>
      </c>
      <c r="BQ187" s="347" t="str">
        <f t="shared" si="547"/>
        <v xml:space="preserve"> </v>
      </c>
      <c r="BR187" s="353" t="str">
        <f t="shared" si="548"/>
        <v xml:space="preserve"> </v>
      </c>
      <c r="BS187" s="626" t="str">
        <f>IF(L187&gt;0,IF(Calculation!P187="M13",BR187*3.1416*(0.134^2)/(4*144),IF(Calculation!P187="M17",BR187*3.1416*(0.165^2)/(4*144),IF(Calculation!P187="M20",BR187*3.1416*(0.198^2)/(4*144),IF(Calculation!P187="M23",BR187*3.1416*(0.228^2)/(4*144),IF(Calculation!P187="M27",BR187*3.1416*(0.269^2)/(4*144),BR187*3.1416*(0.307^2)/(4*144))))))," ")</f>
        <v xml:space="preserve"> </v>
      </c>
      <c r="BT187" s="353" t="str">
        <f>IF(L187&gt;0,IF(BS187&gt;0,R187/Calculation!BS187,0)," ")</f>
        <v xml:space="preserve"> </v>
      </c>
      <c r="BU187" s="438" t="e">
        <f t="shared" ca="1" si="456"/>
        <v>#VALUE!</v>
      </c>
      <c r="BV187" s="449" t="e">
        <f ca="1">INDEX(INDIRECT(VLOOKUP(LEFT(BO187,7),CLU!$Z$3:$AH$18,2)),GN187,GR187)</f>
        <v>#N/A</v>
      </c>
      <c r="BW187" s="433" t="e">
        <f ca="1">INDEX(INDIRECT(VLOOKUP(LEFT(BO187,7),CLU!$Z$3:$AH$18,3)),GN187,GR187)</f>
        <v>#N/A</v>
      </c>
      <c r="BX187" s="433" t="e">
        <f ca="1">INDEX(INDIRECT(VLOOKUP(LEFT(BO187,7),CLU!$Z$3:$AH$18,4)),GN187,GR187)</f>
        <v>#N/A</v>
      </c>
      <c r="BY187" s="433" t="e">
        <f ca="1">INDEX(INDIRECT(VLOOKUP(LEFT(BO187,7),CLU!$Z$3:$AH$18,9)),((M187-2)*(6-COUNTBLANK(GT187:GY187)))+GJ187)</f>
        <v>#N/A</v>
      </c>
      <c r="BZ187" s="426" t="e">
        <f t="shared" ca="1" si="549"/>
        <v>#N/A</v>
      </c>
      <c r="CA187" s="424" t="e">
        <f t="shared" ca="1" si="550"/>
        <v>#N/A</v>
      </c>
      <c r="CB187" s="429" t="e">
        <f ca="1">INDEX(INDIRECT(VLOOKUP(LEFT(BO187,7),CLU!$Z$3:$AH$18,2)),GN187,GS187)</f>
        <v>#N/A</v>
      </c>
      <c r="CC187" s="342" t="e">
        <f ca="1">INDEX(INDIRECT(VLOOKUP(LEFT(BO187,7),CLU!$Z$3:$AH$18,3)),GN187,GS187)</f>
        <v>#N/A</v>
      </c>
      <c r="CD187" s="342" t="e">
        <f ca="1">INDEX(INDIRECT(VLOOKUP(LEFT(BO187,7),CLU!$Z$3:$AH$18,4)),GN187,GS187)</f>
        <v>#N/A</v>
      </c>
      <c r="CE187" s="426" t="e">
        <f t="shared" ca="1" si="551"/>
        <v>#N/A</v>
      </c>
      <c r="CF187" s="440">
        <f t="shared" si="552"/>
        <v>0</v>
      </c>
      <c r="CG187" s="431" t="e">
        <f ca="1">INDEX(INDIRECT(VLOOKUP(LEFT(BO187,7),CLU!$Z$3:$AH$18,2)),GQ187,GR187)</f>
        <v>#N/A</v>
      </c>
      <c r="CH187" s="431" t="e">
        <f ca="1">INDEX(INDIRECT(VLOOKUP(LEFT(BO187,7),CLU!$Z$3:$AH$18,3)),GQ187,GR187)</f>
        <v>#N/A</v>
      </c>
      <c r="CI187" s="431" t="e">
        <f ca="1">INDEX(INDIRECT(VLOOKUP(LEFT(BO187,7),CLU!$Z$3:$AH$18,4)),GQ187,GR187)</f>
        <v>#N/A</v>
      </c>
      <c r="CJ187" s="448" t="e">
        <f t="shared" ca="1" si="553"/>
        <v>#N/A</v>
      </c>
      <c r="CK187" s="431" t="e">
        <f t="shared" ca="1" si="554"/>
        <v>#N/A</v>
      </c>
      <c r="CL187" s="440" t="e">
        <f t="shared" ca="1" si="555"/>
        <v>#N/A</v>
      </c>
      <c r="CM187" s="431" t="e">
        <f ca="1">INDEX(INDIRECT(VLOOKUP(LEFT(BO187,7),CLU!$Z$3:$AH$18,2)),GQ187,GS187)</f>
        <v>#N/A</v>
      </c>
      <c r="CN187" s="431" t="e">
        <f ca="1">INDEX(INDIRECT(VLOOKUP(LEFT(BO187,7),CLU!$Z$3:$AH$18,3)),GQ187,GS187)</f>
        <v>#N/A</v>
      </c>
      <c r="CO187" s="431" t="e">
        <f ca="1">INDEX(INDIRECT(VLOOKUP(LEFT(BO187,7),CLU!$Z$3:$AH$18,4)),GQ187,GS187)</f>
        <v>#N/A</v>
      </c>
      <c r="CP187" s="431" t="e">
        <f t="shared" ca="1" si="556"/>
        <v>#N/A</v>
      </c>
      <c r="CQ187" s="440">
        <f t="shared" si="557"/>
        <v>0</v>
      </c>
      <c r="CR187" s="51" t="e">
        <f t="shared" ca="1" si="558"/>
        <v>#N/A</v>
      </c>
      <c r="CS187" s="439" t="e">
        <f t="shared" ca="1" si="559"/>
        <v>#VALUE!</v>
      </c>
      <c r="CT187" s="51" t="e">
        <f t="shared" ca="1" si="560"/>
        <v>#VALUE!</v>
      </c>
      <c r="CU187" s="10"/>
      <c r="CV187" s="51" t="e">
        <f t="shared" ca="1" si="457"/>
        <v>#VALUE!</v>
      </c>
      <c r="CW187" s="51">
        <f t="shared" si="561"/>
        <v>0</v>
      </c>
      <c r="CX187" s="439" t="e">
        <f t="shared" ca="1" si="562"/>
        <v>#VALUE!</v>
      </c>
      <c r="CY187" s="51" t="e">
        <f t="shared" ca="1" si="563"/>
        <v>#VALUE!</v>
      </c>
      <c r="CZ187" s="10"/>
      <c r="DA187" s="51" t="e">
        <f t="shared" ca="1" si="564"/>
        <v>#VALUE!</v>
      </c>
      <c r="DB187" s="347" t="e">
        <f ca="1">INDEX(INDIRECT(VLOOKUP(LEFT(BO187,7),CLU!$Z$3:$AI$18,10)),((M187-2)*(6-COUNTBLANK(GT187:GY187)))+GJ187)*LI187</f>
        <v>#N/A</v>
      </c>
      <c r="DC187" s="347" t="str">
        <f>IF(L187&gt;0,((R187/Worksheet!$I$15)/DB187)^2," ")</f>
        <v xml:space="preserve"> </v>
      </c>
      <c r="DD187" s="602" t="str">
        <f t="shared" si="565"/>
        <v xml:space="preserve"> </v>
      </c>
      <c r="DE187" s="347" t="str">
        <f t="shared" si="458"/>
        <v xml:space="preserve"> </v>
      </c>
      <c r="DF187" s="356" t="e">
        <f ca="1">INDEX(INDIRECT(VLOOKUP(LEFT(BO187,7),CLU!$Z$3:$AH$18,8)),((M187-2)*(6-COUNTBLANK(GT187:GY187)))+GJ187)</f>
        <v>#N/A</v>
      </c>
      <c r="DG187" s="347" t="str">
        <f t="shared" si="459"/>
        <v xml:space="preserve"> </v>
      </c>
      <c r="DH187" s="357" t="str">
        <f t="shared" si="460"/>
        <v xml:space="preserve"> </v>
      </c>
      <c r="DI187" s="355" t="str">
        <f t="shared" si="461"/>
        <v xml:space="preserve"> </v>
      </c>
      <c r="DJ187" s="245" t="e">
        <f ca="1">INDEX(INDIRECT(VLOOKUP(LEFT(BO187,7),CLU!$Z$3:$AH$18,5)),GL187,GK187)</f>
        <v>#N/A</v>
      </c>
      <c r="DK187" s="245" t="e">
        <f ca="1">INDEX(INDIRECT(VLOOKUP(LEFT(BO187,7),CLU!$Z$3:$AH$18,6)),GL187,GK187)</f>
        <v>#N/A</v>
      </c>
      <c r="DL187" s="355">
        <f>(Calculation!R187*0.69143*(Calculation!$BQ$8-Calculation!$F$8))*$S$14</f>
        <v>0</v>
      </c>
      <c r="DM187" s="359" t="e">
        <f t="shared" si="566"/>
        <v>#VALUE!</v>
      </c>
      <c r="DN187" s="611">
        <f t="shared" si="567"/>
        <v>0</v>
      </c>
      <c r="DO187" s="359">
        <f t="shared" si="568"/>
        <v>100</v>
      </c>
      <c r="DP187" s="359">
        <f t="shared" si="569"/>
        <v>0</v>
      </c>
      <c r="DQ187" s="360"/>
      <c r="DR187" s="245" t="e">
        <f ca="1">INDEX(INDIRECT(VLOOKUP(LEFT(BO187,7),CLU!$Z$3:$AH$18,7)),M187-1,1)</f>
        <v>#N/A</v>
      </c>
      <c r="DS187" s="245" t="e">
        <f ca="1">INDEX(INDIRECT(VLOOKUP(LEFT(BO187,7),CLU!$Z$3:$AH$18,7)),M187-1,2)</f>
        <v>#N/A</v>
      </c>
      <c r="DT187" s="245" t="e">
        <f ca="1">INDEX(INDIRECT(VLOOKUP(LEFT(BO187,7),CLU!$Z$3:$AH$18,7)),M187-1,3)</f>
        <v>#N/A</v>
      </c>
      <c r="DU187" s="245" t="e">
        <f ca="1">INDEX(INDIRECT(VLOOKUP(LEFT(BO187,7),CLU!$Z$3:$AH$18,7)),M187-1,4)</f>
        <v>#N/A</v>
      </c>
      <c r="DV187" s="361" t="e">
        <f ca="1">INDEX(INDIRECT(VLOOKUP(LEFT(BO187,7),CLU!$Z$3:$AH$18,7)),M187-1,4+LEFT(DZ187,1)*0.5)</f>
        <v>#N/A</v>
      </c>
      <c r="DW187" s="245" t="e">
        <f ca="1">INDEX(INDIRECT(VLOOKUP(LEFT(BO187,7),CLU!$Z$3:$AH$18,7)),M187-1,8)</f>
        <v>#N/A</v>
      </c>
      <c r="DX187" s="361" t="str">
        <f t="shared" si="462"/>
        <v xml:space="preserve"> </v>
      </c>
      <c r="DY187" s="361" t="str">
        <f t="shared" si="463"/>
        <v xml:space="preserve"> </v>
      </c>
      <c r="DZ187" s="361" t="str">
        <f t="shared" si="464"/>
        <v xml:space="preserve"> </v>
      </c>
      <c r="EA187" s="362" t="str">
        <f t="shared" si="465"/>
        <v xml:space="preserve"> </v>
      </c>
      <c r="EB187" s="624" t="str">
        <f t="shared" si="570"/>
        <v xml:space="preserve"> </v>
      </c>
      <c r="EC187" s="361" t="e">
        <f ca="1">INDEX(INDIRECT(VLOOKUP(LEFT(BO187,7),CLU!$Z$3:$AH$18,7)),M187-1,4+LEFT(DZ187,1)*0.5)</f>
        <v>#N/A</v>
      </c>
      <c r="ED187" s="362" t="str">
        <f t="shared" si="466"/>
        <v xml:space="preserve"> </v>
      </c>
      <c r="EE187" s="361" t="str">
        <f t="shared" si="467"/>
        <v xml:space="preserve"> </v>
      </c>
      <c r="EF187" s="362" t="str">
        <f>IF(L187&gt;0,IF(BR187&gt;0,IF(EE187="2P",IF(Calculation!DZ187="2P",IF(Calculation!DS187=13.75,IF(Calculation!DR187=13,Worksheet!$BD$43,IF(Calculation!DR187=37,Worksheet!$BD$44,Worksheet!$BD$45)),IF(Calculation!DS187=10,IF(Calculation!DR187=18,Worksheet!$BD$29,IF(Calculation!DR187=30,Worksheet!$BD$30,IF(Calculation!DR187=42,Worksheet!$BD$31,IF(Calculation!DR187=54,Worksheet!$BD$32,IF(Calculation!DR187=66,Worksheet!$BD$33,IF(Calculation!DR187=78,Worksheet!$BD$34,IF(Calculation!DR187=90,Worksheet!$BD$35,IF(Calculation!DR187=102,Worksheet!$BD$36,Worksheet!$BD$37)))))))),IF(Calculation!DS187=12.5,IF(Calculation!DR187=18,Worksheet!$BD$38,IF(Calculation!DR187=Worksheet!$BD$39,IF(Calculation!DR187=42,Worksheet!$BD$40,IF(Calculation!DR187=54,Worksheet!$BD$41,Worksheet!$BD$42)))),IF(Calculation!DR187=18,Worksheet!$BD$11,IF(Calculation!DR187=30,Worksheet!$BD$12,IF(Calculation!DR187=42,Worksheet!$BD$13,IF(Calculation!DR187=54,Worksheet!$BD$14,IF(Calculation!DR187=66,Worksheet!$BD$15,IF(Calculation!DR187=78,Worksheet!$BD$16,IF(Calculation!DR187=90,Worksheet!$BD$17,IF(Calculation!DR187=102,Worksheet!$BD$18,Worksheet!$BD$19))))))))))),IF(Calculation!DS187=13.75,IF(Calculation!DR187=13,Worksheet!$BD$78,IF(Calculation!DR187=37,Worksheet!$BD$79,Worksheet!$BD$80)),IF(Calculation!DS187=10,IF(Calculation!DR187=18,Worksheet!$BD$64,IF(Calculation!DR187=30,Worksheet!$BD$65,IF(Calculation!DR187=42,Worksheet!$BD$66,IF(Calculation!DR187=54,Worksheet!$BD$68,IF(Calculation!DR187=66,Worksheet!$BD$68,IF(Calculation!DR187=78,Worksheet!$BD$69,IF(Calculation!DR187=90,Worksheet!$BD$70,IF(Calculation!DR187=102,Worksheet!$BD$71,Worksheet!$BD$72)))))))),IF(Calculation!DS187=12.5,IF(Calculation!DR187=18,Worksheet!$BD$73,IF(Calculation!DR187=Worksheet!$BD$74,IF(Calculation!DR187=42,Worksheet!$BD$75,IF(Calculation!DR187=54,Worksheet!$BD$76,Worksheet!$BD$77)))),IF(Calculation!DR187=18,Worksheet!$BD$55,IF(Calculation!DR187=30,Worksheet!$BD$56,IF(Calculation!DR187=42,Worksheet!$BD$57,IF(Calculation!DR187=54,Worksheet!$BD$58,IF(Calculation!DR187=66,Worksheet!$BD$59,IF(Calculation!DR187=78,Worksheet!$BD$60,IF(Calculation!DR187=90,Worksheet!$BD$61,IF(Calculation!DR187=102,Worksheet!$BD$62,Worksheet!$BD$63)))))))))))),5),0)," ")</f>
        <v xml:space="preserve"> </v>
      </c>
      <c r="EG187" s="361" t="str">
        <f t="shared" si="468"/>
        <v xml:space="preserve"> </v>
      </c>
      <c r="EH187" s="361" t="e">
        <f ca="1">INDEX(INDIRECT(VLOOKUP(LEFT(BO187,7),CLU!$Z$3:$AH$18,7)),M187-1,3+LEFT(DZ187,1))</f>
        <v>#N/A</v>
      </c>
      <c r="EI187" s="362" t="str">
        <f t="shared" si="469"/>
        <v xml:space="preserve"> </v>
      </c>
      <c r="EJ187" s="363" t="str">
        <f t="shared" si="470"/>
        <v xml:space="preserve"> </v>
      </c>
      <c r="EK187" s="363" t="str">
        <f t="shared" si="471"/>
        <v xml:space="preserve"> </v>
      </c>
      <c r="EL187" s="363" t="str">
        <f t="shared" si="472"/>
        <v xml:space="preserve"> </v>
      </c>
      <c r="EM187" s="362" t="str">
        <f>IF(L187&gt;0,IF(BR187&gt;0,(Calculation!T187/ED187)^2,0)," ")</f>
        <v xml:space="preserve"> </v>
      </c>
      <c r="EN187" s="362" t="str">
        <f>IF(L187&gt;0,IF(O187="2 Pipe (Cooling)","N/A",IF(BR187&gt;0,(Calculation!U187/EI187)^2,0))," ")</f>
        <v xml:space="preserve"> </v>
      </c>
      <c r="EO187" s="361" t="str">
        <f t="shared" si="473"/>
        <v/>
      </c>
      <c r="EP187" s="361" t="str">
        <f t="shared" si="474"/>
        <v/>
      </c>
      <c r="EQ187" s="361" t="str">
        <f t="shared" si="475"/>
        <v/>
      </c>
      <c r="ER187" s="361" t="str">
        <f t="shared" si="476"/>
        <v/>
      </c>
      <c r="ES187" s="361" t="str">
        <f t="shared" si="477"/>
        <v/>
      </c>
      <c r="ET187" s="361" t="str">
        <f t="shared" si="478"/>
        <v/>
      </c>
      <c r="EU187" s="361" t="str">
        <f t="shared" si="479"/>
        <v/>
      </c>
      <c r="EV187" s="361" t="str">
        <f t="shared" si="480"/>
        <v/>
      </c>
      <c r="EW187" s="361" t="str">
        <f t="shared" si="481"/>
        <v/>
      </c>
      <c r="EX187" s="361" t="str">
        <f t="shared" si="571"/>
        <v>1 slot, 1 way</v>
      </c>
      <c r="EY187" s="361" t="str">
        <f t="shared" si="572"/>
        <v xml:space="preserve"> </v>
      </c>
      <c r="EZ187" s="361" t="str">
        <f t="shared" si="573"/>
        <v xml:space="preserve"> </v>
      </c>
      <c r="FA187" s="361" t="str">
        <f t="shared" si="574"/>
        <v xml:space="preserve"> </v>
      </c>
      <c r="FB187" s="361" t="str">
        <f t="shared" si="575"/>
        <v xml:space="preserve"> </v>
      </c>
      <c r="FC187" s="361"/>
      <c r="FD187" s="361" t="str">
        <f>IF(J187&gt;0,IF(Calculation!R187&lt;=70,4,IF(Calculation!R187&lt;=110,5,IF(Calculation!R187&lt;=160,6,IF(Calculation!R187&lt;=300,8,"10 EO")))),"")</f>
        <v/>
      </c>
      <c r="FE187" s="361" t="str">
        <f t="shared" si="576"/>
        <v/>
      </c>
      <c r="FF187" s="361" t="str">
        <f t="shared" si="577"/>
        <v/>
      </c>
      <c r="FG187" s="361" t="e">
        <f t="shared" si="482"/>
        <v>#N/A</v>
      </c>
      <c r="FH187" s="361">
        <f t="shared" si="483"/>
        <v>0</v>
      </c>
      <c r="FI187" s="361" t="e">
        <f t="shared" si="484"/>
        <v>#DIV/0!</v>
      </c>
      <c r="FJ187" s="361"/>
      <c r="FK187" s="356" t="e">
        <f t="shared" si="485"/>
        <v>#VALUE!</v>
      </c>
      <c r="FL187" s="361"/>
      <c r="FM187" s="361"/>
      <c r="FN187" s="362" t="str">
        <f t="shared" si="578"/>
        <v xml:space="preserve"> </v>
      </c>
      <c r="FO187" s="362" t="str">
        <f t="shared" si="579"/>
        <v xml:space="preserve"> </v>
      </c>
      <c r="FP187" s="362">
        <f t="shared" si="580"/>
        <v>0</v>
      </c>
      <c r="FQ187" s="361">
        <f t="shared" si="486"/>
        <v>0</v>
      </c>
      <c r="FR187" s="362" t="str">
        <f>IF(L187&gt;0,IF(J187="CBAL2",Worksheet!$P$67,IF(J187="CBE2-24",Worksheet!$Q$67,IF(J187="CBAM",Worksheet!$R$67,IF(J187="CBLV",Worksheet!$S$67,IF(J187="CBAB",Worksheet!$U$67,IF(J187="CBAW",Worksheet!$X$67,IF(J187="CBE2-12",Worksheet!$Y$67,IF(J187="CBAL2",Worksheet!$Z$67,"N/A"))))))))," ")</f>
        <v xml:space="preserve"> </v>
      </c>
      <c r="FS187" s="362" t="str">
        <f>IF(L187&gt;0,IF(J187="CBAL2",Worksheet!$P$68,IF(J187="CBE2-24",Worksheet!$Q$68,IF(J187="CBAM",Worksheet!$R$68,IF(J187="CBLV",Worksheet!$S$68,IF(J187="CBAB",Worksheet!$U$68,IF(J187="CBAW",Worksheet!$X$68,IF(J187="CBE2-12",Worksheet!$Y$68,IF(J187="CBAL2",Worksheet!$Z$68,"N/A"))))))))," ")</f>
        <v xml:space="preserve"> </v>
      </c>
      <c r="FT187" s="362" t="str">
        <f>IF(L187&gt;0,IF(J187="CBAL2",Worksheet!$P$69,IF(J187="CBE2-24",Worksheet!$Q$69,IF(J187="CBAM",Worksheet!$R$69,IF(J187="CBLV",Worksheet!$S$69,IF(J187="CBAB",Worksheet!$U$69,IF(J187="CBAW",Worksheet!$X$69,IF(J187="CBE2-12",Worksheet!$Y$69,IF(J187="CBAL2",Worksheet!$Z$69,"N/A"))))))))," ")</f>
        <v xml:space="preserve"> </v>
      </c>
      <c r="FU187" s="361" t="str">
        <f t="shared" si="581"/>
        <v xml:space="preserve"> </v>
      </c>
      <c r="FV187" s="362" t="str">
        <f t="shared" si="582"/>
        <v xml:space="preserve"> </v>
      </c>
      <c r="FW187" s="362" t="str">
        <f t="shared" si="583"/>
        <v xml:space="preserve"> </v>
      </c>
      <c r="FX187" s="362" t="str">
        <f t="shared" si="584"/>
        <v xml:space="preserve"> </v>
      </c>
      <c r="FY187" s="355" t="str">
        <f t="shared" si="585"/>
        <v xml:space="preserve"> </v>
      </c>
      <c r="FZ187" s="361" t="str">
        <f t="shared" si="586"/>
        <v xml:space="preserve"> </v>
      </c>
      <c r="GA187" s="347" t="str">
        <f t="shared" si="587"/>
        <v xml:space="preserve"> </v>
      </c>
      <c r="GB187" s="355" t="str">
        <f t="shared" si="588"/>
        <v xml:space="preserve"> </v>
      </c>
      <c r="GC187" s="328" t="str">
        <f t="shared" si="589"/>
        <v xml:space="preserve"> </v>
      </c>
      <c r="GD187" s="361" t="str">
        <f t="shared" si="590"/>
        <v xml:space="preserve"> </v>
      </c>
      <c r="GE187" s="347" t="str">
        <f t="shared" si="591"/>
        <v xml:space="preserve"> </v>
      </c>
      <c r="GF187" s="361" t="str">
        <f t="shared" si="592"/>
        <v xml:space="preserve"> </v>
      </c>
      <c r="GG187" s="347" t="str">
        <f t="shared" si="593"/>
        <v xml:space="preserve"> </v>
      </c>
      <c r="GH187" s="364">
        <f t="shared" si="487"/>
        <v>0</v>
      </c>
      <c r="GI187" s="362">
        <f t="shared" si="594"/>
        <v>2</v>
      </c>
      <c r="GJ187" s="433" t="e">
        <f>IF(6-COUNTBLANK(GT187:GY187)=4,MATCH(MID(BO187,9,3),CLU!$H$16:$K$16),MATCH(MID(BO187,9,3),CLU!$H$13:$M$13))</f>
        <v>#N/A</v>
      </c>
      <c r="GK187" s="433" t="e">
        <f>HLOOKUP(VALUE(BP187),CLU!$H$9:$M$10,2)</f>
        <v>#VALUE!</v>
      </c>
      <c r="GL187" s="433" t="e">
        <f ca="1">MATCH(BU187,CLU!$H$2:$V$2,1)</f>
        <v>#VALUE!</v>
      </c>
      <c r="GM187" s="433" t="e">
        <f t="shared" ca="1" si="595"/>
        <v>#VALUE!</v>
      </c>
      <c r="GN187" s="433" t="e">
        <f t="shared" ca="1" si="596"/>
        <v>#VALUE!</v>
      </c>
      <c r="GO187" s="433" t="e">
        <f t="shared" ca="1" si="597"/>
        <v>#VALUE!</v>
      </c>
      <c r="GP187" s="433" t="e">
        <f t="shared" ca="1" si="598"/>
        <v>#VALUE!</v>
      </c>
      <c r="GQ187" s="433" t="e">
        <f t="shared" ca="1" si="599"/>
        <v>#VALUE!</v>
      </c>
      <c r="GR187" s="433" t="e">
        <f ca="1">MATCH(T187,INDIRECT(VLOOKUP(CONCATENATE(LEFT(BO187,7),"-",MID(BO187,13,1)),CLU!$P$3:$Q$16,2)),1)</f>
        <v>#N/A</v>
      </c>
      <c r="GS187" s="433" t="e">
        <f ca="1">MATCH(U187,INDIRECT(VLOOKUP(CONCATENATE(LEFT(BO187,7),"-",MID(BO187,13,1)),CLU!$P$3:$Q$16,2)),1)</f>
        <v>#N/A</v>
      </c>
      <c r="GT187" s="347" t="s">
        <v>512</v>
      </c>
      <c r="GU187" s="97" t="s">
        <v>513</v>
      </c>
      <c r="GV187" s="97" t="str">
        <f t="shared" si="600"/>
        <v>M23</v>
      </c>
      <c r="GW187" s="97" t="str">
        <f t="shared" si="601"/>
        <v>M31</v>
      </c>
      <c r="GX187" s="97" t="str">
        <f t="shared" si="602"/>
        <v/>
      </c>
      <c r="GY187" s="97" t="str">
        <f t="shared" si="603"/>
        <v/>
      </c>
      <c r="GZ187" s="481"/>
      <c r="HA187" s="288"/>
      <c r="HB187" s="240"/>
      <c r="HC187" s="240"/>
      <c r="HD187" s="240"/>
      <c r="HE187" s="240"/>
      <c r="HF187" s="240"/>
      <c r="HG187" s="240"/>
      <c r="HH187" s="240"/>
      <c r="HI187" s="240"/>
      <c r="HJ187" s="240"/>
      <c r="HK187" s="240"/>
      <c r="HL187" s="240"/>
      <c r="HM187" s="240"/>
      <c r="HN187" s="240"/>
      <c r="HO187" s="240"/>
      <c r="HP187" s="240"/>
      <c r="HQ187" s="240"/>
      <c r="HR187" s="240"/>
      <c r="HS187" s="240"/>
      <c r="HT187" s="240"/>
      <c r="HU187" s="240"/>
      <c r="HV187" s="245"/>
      <c r="HW187" s="245" t="b">
        <v>1</v>
      </c>
      <c r="HX187" s="245" t="str">
        <f t="shared" si="488"/>
        <v/>
      </c>
      <c r="HY187" s="245" t="e">
        <f t="shared" si="489"/>
        <v>#DIV/0!</v>
      </c>
      <c r="HZ187" s="245" t="e">
        <f t="shared" si="490"/>
        <v>#DIV/0!</v>
      </c>
      <c r="IA187" s="245">
        <f t="shared" si="491"/>
        <v>0</v>
      </c>
      <c r="IB187" s="245"/>
      <c r="IC187" t="b">
        <f t="shared" si="492"/>
        <v>1</v>
      </c>
      <c r="ID187" s="245" t="b">
        <f t="shared" si="493"/>
        <v>1</v>
      </c>
      <c r="IE187" s="245" t="b">
        <f t="shared" si="494"/>
        <v>1</v>
      </c>
      <c r="IF187" s="245" t="b">
        <f t="shared" si="495"/>
        <v>0</v>
      </c>
      <c r="IG187" s="245" t="b">
        <f t="shared" si="496"/>
        <v>1</v>
      </c>
      <c r="IH187" s="245" t="b">
        <f t="shared" si="497"/>
        <v>1</v>
      </c>
      <c r="II187" s="245">
        <f t="shared" si="604"/>
        <v>0</v>
      </c>
      <c r="IJ187" s="245" t="e">
        <f t="shared" si="498"/>
        <v>#VALUE!</v>
      </c>
      <c r="IK187" s="245" t="e">
        <f t="shared" si="499"/>
        <v>#VALUE!</v>
      </c>
      <c r="IL187" s="245"/>
      <c r="IM187" s="245" t="e">
        <f t="shared" si="605"/>
        <v>#N/A</v>
      </c>
      <c r="IN187" s="245" t="e">
        <f t="shared" si="606"/>
        <v>#N/A</v>
      </c>
      <c r="IO187" s="245"/>
      <c r="IP187" s="245"/>
      <c r="IQ187" s="245" t="str">
        <f t="shared" si="500"/>
        <v/>
      </c>
      <c r="IR187" s="245" t="str">
        <f>IF(J187="","",VLOOKUP(J187,Worksheet!$R$4:$T$14,2))</f>
        <v/>
      </c>
      <c r="IS187" s="245"/>
      <c r="IT187" s="245">
        <f t="shared" si="501"/>
        <v>0</v>
      </c>
      <c r="IU187" s="245">
        <f t="shared" si="502"/>
        <v>0</v>
      </c>
      <c r="IV187" s="245">
        <f t="shared" si="503"/>
        <v>0</v>
      </c>
      <c r="IW187" s="245">
        <f t="shared" si="504"/>
        <v>0</v>
      </c>
      <c r="IX187" s="245">
        <f t="shared" si="607"/>
        <v>0</v>
      </c>
      <c r="IY187" s="245">
        <f t="shared" si="505"/>
        <v>0</v>
      </c>
      <c r="IZ187" s="245">
        <f t="shared" si="506"/>
        <v>0</v>
      </c>
      <c r="JA187">
        <f t="shared" si="507"/>
        <v>0</v>
      </c>
      <c r="JB187">
        <f t="shared" si="608"/>
        <v>0</v>
      </c>
      <c r="JC187">
        <f t="shared" si="508"/>
        <v>0</v>
      </c>
      <c r="JD187">
        <f t="shared" si="509"/>
        <v>0</v>
      </c>
      <c r="JE187">
        <f t="shared" si="510"/>
        <v>0</v>
      </c>
      <c r="JF187">
        <f t="shared" si="511"/>
        <v>0</v>
      </c>
      <c r="JG187">
        <f t="shared" si="512"/>
        <v>0</v>
      </c>
      <c r="JH187">
        <f t="shared" si="513"/>
        <v>0</v>
      </c>
      <c r="JI187">
        <f t="shared" si="514"/>
        <v>0</v>
      </c>
      <c r="JJ187" s="447">
        <f t="shared" si="515"/>
        <v>0</v>
      </c>
      <c r="JK187" s="447">
        <f t="shared" si="516"/>
        <v>0</v>
      </c>
      <c r="JL187">
        <f t="shared" si="517"/>
        <v>0</v>
      </c>
      <c r="JM187" s="245" t="str">
        <f>IFERROR(VLOOKUP(MATCH(BN187,#REF!,0),#REF!,7),"")</f>
        <v/>
      </c>
      <c r="JN187" t="e">
        <f>HLOOKUP(LEFT(BO187,7),Discharge_Area,MATCH(JO187,LookUps!$B$130:$B$149,1)+2)</f>
        <v>#N/A</v>
      </c>
      <c r="JO187" t="str">
        <f t="shared" si="518"/>
        <v>- S</v>
      </c>
      <c r="JP187" t="e">
        <f>HLOOKUP(LEFT(BO187,7),Discharge_Area,MATCH(JO187,LookUps!$B$130:$B$149,1)+2)</f>
        <v>#N/A</v>
      </c>
      <c r="JQ187" t="e">
        <f t="shared" si="519"/>
        <v>#N/A</v>
      </c>
      <c r="JR187" t="e">
        <f t="shared" si="520"/>
        <v>#N/A</v>
      </c>
      <c r="JS187" t="e">
        <f t="shared" si="521"/>
        <v>#N/A</v>
      </c>
      <c r="JT187" s="532" t="str">
        <f t="shared" si="522"/>
        <v xml:space="preserve"> </v>
      </c>
      <c r="JU187" s="532" t="str">
        <f t="shared" si="523"/>
        <v xml:space="preserve"> </v>
      </c>
      <c r="JV187" s="533" t="str">
        <f t="shared" si="524"/>
        <v xml:space="preserve"> </v>
      </c>
      <c r="JW187" s="534">
        <f t="shared" si="525"/>
        <v>0</v>
      </c>
      <c r="JX187" s="535" t="str">
        <f t="shared" si="609"/>
        <v xml:space="preserve"> </v>
      </c>
      <c r="JY187" s="535" t="str">
        <f t="shared" si="610"/>
        <v xml:space="preserve"> </v>
      </c>
      <c r="JZ187" s="535" t="str">
        <f t="shared" si="611"/>
        <v xml:space="preserve"> </v>
      </c>
      <c r="KA187" s="536" t="str">
        <f t="shared" si="526"/>
        <v xml:space="preserve"> </v>
      </c>
      <c r="KB187" s="535" t="e">
        <f t="shared" si="612"/>
        <v>#VALUE!</v>
      </c>
      <c r="KC187" s="535" t="str">
        <f t="shared" si="527"/>
        <v/>
      </c>
      <c r="KD187" s="537" t="str">
        <f t="shared" si="613"/>
        <v xml:space="preserve"> </v>
      </c>
      <c r="KE187" s="537" t="str">
        <f t="shared" si="614"/>
        <v xml:space="preserve"> </v>
      </c>
      <c r="KF187" s="534">
        <f t="shared" si="528"/>
        <v>0</v>
      </c>
      <c r="KG187" s="535" t="str">
        <f t="shared" si="529"/>
        <v xml:space="preserve"> </v>
      </c>
      <c r="KH187" s="535" t="str">
        <f t="shared" si="530"/>
        <v xml:space="preserve"> </v>
      </c>
      <c r="KI187" s="535" t="str">
        <f t="shared" si="531"/>
        <v xml:space="preserve"> </v>
      </c>
      <c r="KJ187" s="536" t="str">
        <f t="shared" si="532"/>
        <v xml:space="preserve"> </v>
      </c>
      <c r="KK187" s="535" t="str">
        <f t="shared" si="615"/>
        <v xml:space="preserve"> </v>
      </c>
      <c r="KL187" s="535" t="str">
        <f t="shared" si="616"/>
        <v xml:space="preserve"> </v>
      </c>
      <c r="KM187" s="537" t="str">
        <f t="shared" si="533"/>
        <v xml:space="preserve"> </v>
      </c>
      <c r="KN187" s="537" t="str">
        <f t="shared" si="617"/>
        <v xml:space="preserve"> </v>
      </c>
      <c r="KP187">
        <f t="shared" si="534"/>
        <v>0</v>
      </c>
      <c r="LA187" t="e">
        <f t="shared" si="535"/>
        <v>#VALUE!</v>
      </c>
      <c r="LB187" t="e">
        <f t="shared" si="536"/>
        <v>#VALUE!</v>
      </c>
      <c r="LC187" t="e">
        <f t="shared" si="537"/>
        <v>#VALUE!</v>
      </c>
      <c r="LD187" t="e">
        <f t="shared" si="538"/>
        <v>#VALUE!</v>
      </c>
      <c r="LE187" t="e">
        <f t="shared" si="618"/>
        <v>#VALUE!</v>
      </c>
      <c r="LF187">
        <f t="shared" si="539"/>
        <v>0</v>
      </c>
      <c r="LG187" t="e">
        <f t="shared" si="619"/>
        <v>#VALUE!</v>
      </c>
      <c r="LH187" t="str">
        <f t="shared" si="540"/>
        <v xml:space="preserve"> </v>
      </c>
      <c r="LI187">
        <f t="shared" si="620"/>
        <v>1</v>
      </c>
    </row>
    <row r="188" spans="2:321" ht="15" customHeight="1">
      <c r="B188" s="311"/>
      <c r="C188" s="311"/>
      <c r="D188" s="312"/>
      <c r="E188" s="311"/>
      <c r="F188" s="312"/>
      <c r="G188" s="311"/>
      <c r="H188" s="311"/>
      <c r="I188" s="37"/>
      <c r="J188" s="311"/>
      <c r="K188" s="305" t="str">
        <f t="shared" si="541"/>
        <v/>
      </c>
      <c r="L188" s="313"/>
      <c r="M188" s="312"/>
      <c r="N188" s="311"/>
      <c r="O188" s="312"/>
      <c r="P188" s="311"/>
      <c r="Q188" s="305" t="str">
        <f t="shared" si="542"/>
        <v/>
      </c>
      <c r="R188" s="314"/>
      <c r="S188" s="450" t="str">
        <f t="shared" si="425"/>
        <v/>
      </c>
      <c r="T188" s="315"/>
      <c r="U188" s="315"/>
      <c r="W188" s="149" t="str">
        <f t="shared" si="426"/>
        <v xml:space="preserve"> </v>
      </c>
      <c r="X188" s="243" t="str">
        <f t="shared" si="427"/>
        <v xml:space="preserve"> </v>
      </c>
      <c r="Y188" s="150" t="str">
        <f t="shared" si="428"/>
        <v/>
      </c>
      <c r="Z188" s="149" t="str">
        <f t="shared" si="429"/>
        <v xml:space="preserve"> </v>
      </c>
      <c r="AA188" s="98" t="str">
        <f t="shared" si="430"/>
        <v xml:space="preserve"> </v>
      </c>
      <c r="AB188" s="153" t="str">
        <f t="shared" si="431"/>
        <v xml:space="preserve"> </v>
      </c>
      <c r="AC188" s="153" t="str">
        <f t="shared" si="432"/>
        <v xml:space="preserve"> </v>
      </c>
      <c r="AD188" s="148" t="str">
        <f t="shared" si="433"/>
        <v/>
      </c>
      <c r="AE188" s="149" t="str">
        <f t="shared" si="434"/>
        <v/>
      </c>
      <c r="AF188" s="151" t="str">
        <f t="shared" si="435"/>
        <v xml:space="preserve"> </v>
      </c>
      <c r="AG188" s="153" t="str">
        <f t="shared" si="436"/>
        <v xml:space="preserve"> </v>
      </c>
      <c r="AH188" s="98" t="str">
        <f t="shared" si="437"/>
        <v xml:space="preserve"> </v>
      </c>
      <c r="AI188" s="149" t="str">
        <f t="shared" si="438"/>
        <v xml:space="preserve"> </v>
      </c>
      <c r="AK188" s="144" t="str">
        <f t="shared" si="439"/>
        <v xml:space="preserve"> </v>
      </c>
      <c r="AL188" s="144"/>
      <c r="AM188" s="243" t="str">
        <f t="shared" si="440"/>
        <v xml:space="preserve"> </v>
      </c>
      <c r="AN188" s="149" t="str">
        <f t="shared" si="543"/>
        <v xml:space="preserve"> </v>
      </c>
      <c r="AO188" s="144" t="str">
        <f>IF(JB188&gt;0,IF(GI188=10,-R188*1.085*(Calculation!$F$6-Calculation!$F$13)*$S$14," "),"")</f>
        <v/>
      </c>
      <c r="AP188" s="144" t="str">
        <f t="shared" si="441"/>
        <v/>
      </c>
      <c r="AQ188" s="56" t="str">
        <f t="shared" si="442"/>
        <v/>
      </c>
      <c r="AR188" s="144" t="str">
        <f t="shared" si="443"/>
        <v/>
      </c>
      <c r="AS188" s="176" t="str">
        <f t="shared" si="444"/>
        <v/>
      </c>
      <c r="AT188" s="176" t="str">
        <f t="shared" si="544"/>
        <v xml:space="preserve"> </v>
      </c>
      <c r="AU188" s="176" t="str">
        <f t="shared" si="445"/>
        <v/>
      </c>
      <c r="AV188" s="177" t="str">
        <f t="shared" si="446"/>
        <v xml:space="preserve"> </v>
      </c>
      <c r="AW188" s="144" t="str">
        <f t="shared" si="447"/>
        <v xml:space="preserve"> </v>
      </c>
      <c r="AX188" s="144" t="str">
        <f t="shared" si="448"/>
        <v xml:space="preserve"> </v>
      </c>
      <c r="AY188" s="152" t="str">
        <f t="shared" si="449"/>
        <v xml:space="preserve"> </v>
      </c>
      <c r="AZ188" s="246" t="str">
        <f t="shared" si="450"/>
        <v/>
      </c>
      <c r="BA188" s="176" t="str">
        <f t="shared" si="451"/>
        <v xml:space="preserve"> </v>
      </c>
      <c r="BB188" s="176" t="str">
        <f t="shared" si="452"/>
        <v xml:space="preserve"> </v>
      </c>
      <c r="BC188" s="195"/>
      <c r="BD188" s="316"/>
      <c r="BE188" s="317"/>
      <c r="BF188" s="318"/>
      <c r="BG188" s="318"/>
      <c r="BH188" s="144" t="str">
        <f t="shared" si="621"/>
        <v xml:space="preserve"> </v>
      </c>
      <c r="BI188" s="176" t="str">
        <f t="shared" si="453"/>
        <v/>
      </c>
      <c r="BJ188" s="144" t="str">
        <f t="shared" si="622"/>
        <v/>
      </c>
      <c r="BK188" s="246" t="str">
        <f t="shared" si="454"/>
        <v/>
      </c>
      <c r="BL188" s="144" t="str">
        <f t="shared" si="623"/>
        <v/>
      </c>
      <c r="BM188" s="246" t="str">
        <f t="shared" si="455"/>
        <v/>
      </c>
      <c r="BN188" s="337" t="str">
        <f t="shared" si="545"/>
        <v/>
      </c>
      <c r="BO188" s="371" t="str">
        <f t="shared" si="546"/>
        <v/>
      </c>
      <c r="BP188" s="328" t="str">
        <f t="shared" si="624"/>
        <v xml:space="preserve"> </v>
      </c>
      <c r="BQ188" s="347" t="str">
        <f t="shared" si="547"/>
        <v xml:space="preserve"> </v>
      </c>
      <c r="BR188" s="353" t="str">
        <f t="shared" si="548"/>
        <v xml:space="preserve"> </v>
      </c>
      <c r="BS188" s="626" t="str">
        <f>IF(L188&gt;0,IF(Calculation!P188="M13",BR188*3.1416*(0.134^2)/(4*144),IF(Calculation!P188="M17",BR188*3.1416*(0.165^2)/(4*144),IF(Calculation!P188="M20",BR188*3.1416*(0.198^2)/(4*144),IF(Calculation!P188="M23",BR188*3.1416*(0.228^2)/(4*144),IF(Calculation!P188="M27",BR188*3.1416*(0.269^2)/(4*144),BR188*3.1416*(0.307^2)/(4*144))))))," ")</f>
        <v xml:space="preserve"> </v>
      </c>
      <c r="BT188" s="353" t="str">
        <f>IF(L188&gt;0,IF(BS188&gt;0,R188/Calculation!BS188,0)," ")</f>
        <v xml:space="preserve"> </v>
      </c>
      <c r="BU188" s="438" t="e">
        <f t="shared" ca="1" si="456"/>
        <v>#VALUE!</v>
      </c>
      <c r="BV188" s="449" t="e">
        <f ca="1">INDEX(INDIRECT(VLOOKUP(LEFT(BO188,7),CLU!$Z$3:$AH$18,2)),GN188,GR188)</f>
        <v>#N/A</v>
      </c>
      <c r="BW188" s="433" t="e">
        <f ca="1">INDEX(INDIRECT(VLOOKUP(LEFT(BO188,7),CLU!$Z$3:$AH$18,3)),GN188,GR188)</f>
        <v>#N/A</v>
      </c>
      <c r="BX188" s="433" t="e">
        <f ca="1">INDEX(INDIRECT(VLOOKUP(LEFT(BO188,7),CLU!$Z$3:$AH$18,4)),GN188,GR188)</f>
        <v>#N/A</v>
      </c>
      <c r="BY188" s="433" t="e">
        <f ca="1">INDEX(INDIRECT(VLOOKUP(LEFT(BO188,7),CLU!$Z$3:$AH$18,9)),((M188-2)*(6-COUNTBLANK(GT188:GY188)))+GJ188)</f>
        <v>#N/A</v>
      </c>
      <c r="BZ188" s="426" t="e">
        <f t="shared" ca="1" si="549"/>
        <v>#N/A</v>
      </c>
      <c r="CA188" s="424" t="e">
        <f t="shared" ca="1" si="550"/>
        <v>#N/A</v>
      </c>
      <c r="CB188" s="429" t="e">
        <f ca="1">INDEX(INDIRECT(VLOOKUP(LEFT(BO188,7),CLU!$Z$3:$AH$18,2)),GN188,GS188)</f>
        <v>#N/A</v>
      </c>
      <c r="CC188" s="342" t="e">
        <f ca="1">INDEX(INDIRECT(VLOOKUP(LEFT(BO188,7),CLU!$Z$3:$AH$18,3)),GN188,GS188)</f>
        <v>#N/A</v>
      </c>
      <c r="CD188" s="342" t="e">
        <f ca="1">INDEX(INDIRECT(VLOOKUP(LEFT(BO188,7),CLU!$Z$3:$AH$18,4)),GN188,GS188)</f>
        <v>#N/A</v>
      </c>
      <c r="CE188" s="426" t="e">
        <f t="shared" ca="1" si="551"/>
        <v>#N/A</v>
      </c>
      <c r="CF188" s="440">
        <f t="shared" si="552"/>
        <v>0</v>
      </c>
      <c r="CG188" s="431" t="e">
        <f ca="1">INDEX(INDIRECT(VLOOKUP(LEFT(BO188,7),CLU!$Z$3:$AH$18,2)),GQ188,GR188)</f>
        <v>#N/A</v>
      </c>
      <c r="CH188" s="431" t="e">
        <f ca="1">INDEX(INDIRECT(VLOOKUP(LEFT(BO188,7),CLU!$Z$3:$AH$18,3)),GQ188,GR188)</f>
        <v>#N/A</v>
      </c>
      <c r="CI188" s="431" t="e">
        <f ca="1">INDEX(INDIRECT(VLOOKUP(LEFT(BO188,7),CLU!$Z$3:$AH$18,4)),GQ188,GR188)</f>
        <v>#N/A</v>
      </c>
      <c r="CJ188" s="448" t="e">
        <f t="shared" ca="1" si="553"/>
        <v>#N/A</v>
      </c>
      <c r="CK188" s="431" t="e">
        <f t="shared" ca="1" si="554"/>
        <v>#N/A</v>
      </c>
      <c r="CL188" s="440" t="e">
        <f t="shared" ca="1" si="555"/>
        <v>#N/A</v>
      </c>
      <c r="CM188" s="431" t="e">
        <f ca="1">INDEX(INDIRECT(VLOOKUP(LEFT(BO188,7),CLU!$Z$3:$AH$18,2)),GQ188,GS188)</f>
        <v>#N/A</v>
      </c>
      <c r="CN188" s="431" t="e">
        <f ca="1">INDEX(INDIRECT(VLOOKUP(LEFT(BO188,7),CLU!$Z$3:$AH$18,3)),GQ188,GS188)</f>
        <v>#N/A</v>
      </c>
      <c r="CO188" s="431" t="e">
        <f ca="1">INDEX(INDIRECT(VLOOKUP(LEFT(BO188,7),CLU!$Z$3:$AH$18,4)),GQ188,GS188)</f>
        <v>#N/A</v>
      </c>
      <c r="CP188" s="431" t="e">
        <f t="shared" ca="1" si="556"/>
        <v>#N/A</v>
      </c>
      <c r="CQ188" s="440">
        <f t="shared" si="557"/>
        <v>0</v>
      </c>
      <c r="CR188" s="51" t="e">
        <f t="shared" ca="1" si="558"/>
        <v>#N/A</v>
      </c>
      <c r="CS188" s="439" t="e">
        <f t="shared" ca="1" si="559"/>
        <v>#VALUE!</v>
      </c>
      <c r="CT188" s="51" t="e">
        <f t="shared" ca="1" si="560"/>
        <v>#VALUE!</v>
      </c>
      <c r="CU188" s="10"/>
      <c r="CV188" s="51" t="e">
        <f t="shared" ca="1" si="457"/>
        <v>#VALUE!</v>
      </c>
      <c r="CW188" s="51">
        <f t="shared" si="561"/>
        <v>0</v>
      </c>
      <c r="CX188" s="439" t="e">
        <f t="shared" ca="1" si="562"/>
        <v>#VALUE!</v>
      </c>
      <c r="CY188" s="51" t="e">
        <f t="shared" ca="1" si="563"/>
        <v>#VALUE!</v>
      </c>
      <c r="CZ188" s="10"/>
      <c r="DA188" s="51" t="e">
        <f t="shared" ca="1" si="564"/>
        <v>#VALUE!</v>
      </c>
      <c r="DB188" s="347" t="e">
        <f ca="1">INDEX(INDIRECT(VLOOKUP(LEFT(BO188,7),CLU!$Z$3:$AI$18,10)),((M188-2)*(6-COUNTBLANK(GT188:GY188)))+GJ188)*LI188</f>
        <v>#N/A</v>
      </c>
      <c r="DC188" s="347" t="str">
        <f>IF(L188&gt;0,((R188/Worksheet!$I$15)/DB188)^2," ")</f>
        <v xml:space="preserve"> </v>
      </c>
      <c r="DD188" s="602" t="str">
        <f t="shared" si="565"/>
        <v xml:space="preserve"> </v>
      </c>
      <c r="DE188" s="347" t="str">
        <f t="shared" si="458"/>
        <v xml:space="preserve"> </v>
      </c>
      <c r="DF188" s="356" t="e">
        <f ca="1">INDEX(INDIRECT(VLOOKUP(LEFT(BO188,7),CLU!$Z$3:$AH$18,8)),((M188-2)*(6-COUNTBLANK(GT188:GY188)))+GJ188)</f>
        <v>#N/A</v>
      </c>
      <c r="DG188" s="347" t="str">
        <f t="shared" si="459"/>
        <v xml:space="preserve"> </v>
      </c>
      <c r="DH188" s="357" t="str">
        <f t="shared" si="460"/>
        <v xml:space="preserve"> </v>
      </c>
      <c r="DI188" s="355" t="str">
        <f t="shared" si="461"/>
        <v xml:space="preserve"> </v>
      </c>
      <c r="DJ188" s="245" t="e">
        <f ca="1">INDEX(INDIRECT(VLOOKUP(LEFT(BO188,7),CLU!$Z$3:$AH$18,5)),GL188,GK188)</f>
        <v>#N/A</v>
      </c>
      <c r="DK188" s="245" t="e">
        <f ca="1">INDEX(INDIRECT(VLOOKUP(LEFT(BO188,7),CLU!$Z$3:$AH$18,6)),GL188,GK188)</f>
        <v>#N/A</v>
      </c>
      <c r="DL188" s="355">
        <f>(Calculation!R188*0.69143*(Calculation!$BQ$8-Calculation!$F$8))*$S$14</f>
        <v>0</v>
      </c>
      <c r="DM188" s="359" t="e">
        <f t="shared" si="566"/>
        <v>#VALUE!</v>
      </c>
      <c r="DN188" s="611">
        <f t="shared" si="567"/>
        <v>0</v>
      </c>
      <c r="DO188" s="359">
        <f t="shared" si="568"/>
        <v>100</v>
      </c>
      <c r="DP188" s="359">
        <f t="shared" si="569"/>
        <v>0</v>
      </c>
      <c r="DQ188" s="360"/>
      <c r="DR188" s="245" t="e">
        <f ca="1">INDEX(INDIRECT(VLOOKUP(LEFT(BO188,7),CLU!$Z$3:$AH$18,7)),M188-1,1)</f>
        <v>#N/A</v>
      </c>
      <c r="DS188" s="245" t="e">
        <f ca="1">INDEX(INDIRECT(VLOOKUP(LEFT(BO188,7),CLU!$Z$3:$AH$18,7)),M188-1,2)</f>
        <v>#N/A</v>
      </c>
      <c r="DT188" s="245" t="e">
        <f ca="1">INDEX(INDIRECT(VLOOKUP(LEFT(BO188,7),CLU!$Z$3:$AH$18,7)),M188-1,3)</f>
        <v>#N/A</v>
      </c>
      <c r="DU188" s="245" t="e">
        <f ca="1">INDEX(INDIRECT(VLOOKUP(LEFT(BO188,7),CLU!$Z$3:$AH$18,7)),M188-1,4)</f>
        <v>#N/A</v>
      </c>
      <c r="DV188" s="361" t="e">
        <f ca="1">INDEX(INDIRECT(VLOOKUP(LEFT(BO188,7),CLU!$Z$3:$AH$18,7)),M188-1,4+LEFT(DZ188,1)*0.5)</f>
        <v>#N/A</v>
      </c>
      <c r="DW188" s="245" t="e">
        <f ca="1">INDEX(INDIRECT(VLOOKUP(LEFT(BO188,7),CLU!$Z$3:$AH$18,7)),M188-1,8)</f>
        <v>#N/A</v>
      </c>
      <c r="DX188" s="361" t="str">
        <f t="shared" si="462"/>
        <v xml:space="preserve"> </v>
      </c>
      <c r="DY188" s="361" t="str">
        <f t="shared" si="463"/>
        <v xml:space="preserve"> </v>
      </c>
      <c r="DZ188" s="361" t="str">
        <f t="shared" si="464"/>
        <v xml:space="preserve"> </v>
      </c>
      <c r="EA188" s="362" t="str">
        <f t="shared" si="465"/>
        <v xml:space="preserve"> </v>
      </c>
      <c r="EB188" s="624" t="str">
        <f t="shared" si="570"/>
        <v xml:space="preserve"> </v>
      </c>
      <c r="EC188" s="361" t="e">
        <f ca="1">INDEX(INDIRECT(VLOOKUP(LEFT(BO188,7),CLU!$Z$3:$AH$18,7)),M188-1,4+LEFT(DZ188,1)*0.5)</f>
        <v>#N/A</v>
      </c>
      <c r="ED188" s="362" t="str">
        <f t="shared" si="466"/>
        <v xml:space="preserve"> </v>
      </c>
      <c r="EE188" s="361" t="str">
        <f t="shared" si="467"/>
        <v xml:space="preserve"> </v>
      </c>
      <c r="EF188" s="362" t="str">
        <f>IF(L188&gt;0,IF(BR188&gt;0,IF(EE188="2P",IF(Calculation!DZ188="2P",IF(Calculation!DS188=13.75,IF(Calculation!DR188=13,Worksheet!$BD$43,IF(Calculation!DR188=37,Worksheet!$BD$44,Worksheet!$BD$45)),IF(Calculation!DS188=10,IF(Calculation!DR188=18,Worksheet!$BD$29,IF(Calculation!DR188=30,Worksheet!$BD$30,IF(Calculation!DR188=42,Worksheet!$BD$31,IF(Calculation!DR188=54,Worksheet!$BD$32,IF(Calculation!DR188=66,Worksheet!$BD$33,IF(Calculation!DR188=78,Worksheet!$BD$34,IF(Calculation!DR188=90,Worksheet!$BD$35,IF(Calculation!DR188=102,Worksheet!$BD$36,Worksheet!$BD$37)))))))),IF(Calculation!DS188=12.5,IF(Calculation!DR188=18,Worksheet!$BD$38,IF(Calculation!DR188=Worksheet!$BD$39,IF(Calculation!DR188=42,Worksheet!$BD$40,IF(Calculation!DR188=54,Worksheet!$BD$41,Worksheet!$BD$42)))),IF(Calculation!DR188=18,Worksheet!$BD$11,IF(Calculation!DR188=30,Worksheet!$BD$12,IF(Calculation!DR188=42,Worksheet!$BD$13,IF(Calculation!DR188=54,Worksheet!$BD$14,IF(Calculation!DR188=66,Worksheet!$BD$15,IF(Calculation!DR188=78,Worksheet!$BD$16,IF(Calculation!DR188=90,Worksheet!$BD$17,IF(Calculation!DR188=102,Worksheet!$BD$18,Worksheet!$BD$19))))))))))),IF(Calculation!DS188=13.75,IF(Calculation!DR188=13,Worksheet!$BD$78,IF(Calculation!DR188=37,Worksheet!$BD$79,Worksheet!$BD$80)),IF(Calculation!DS188=10,IF(Calculation!DR188=18,Worksheet!$BD$64,IF(Calculation!DR188=30,Worksheet!$BD$65,IF(Calculation!DR188=42,Worksheet!$BD$66,IF(Calculation!DR188=54,Worksheet!$BD$68,IF(Calculation!DR188=66,Worksheet!$BD$68,IF(Calculation!DR188=78,Worksheet!$BD$69,IF(Calculation!DR188=90,Worksheet!$BD$70,IF(Calculation!DR188=102,Worksheet!$BD$71,Worksheet!$BD$72)))))))),IF(Calculation!DS188=12.5,IF(Calculation!DR188=18,Worksheet!$BD$73,IF(Calculation!DR188=Worksheet!$BD$74,IF(Calculation!DR188=42,Worksheet!$BD$75,IF(Calculation!DR188=54,Worksheet!$BD$76,Worksheet!$BD$77)))),IF(Calculation!DR188=18,Worksheet!$BD$55,IF(Calculation!DR188=30,Worksheet!$BD$56,IF(Calculation!DR188=42,Worksheet!$BD$57,IF(Calculation!DR188=54,Worksheet!$BD$58,IF(Calculation!DR188=66,Worksheet!$BD$59,IF(Calculation!DR188=78,Worksheet!$BD$60,IF(Calculation!DR188=90,Worksheet!$BD$61,IF(Calculation!DR188=102,Worksheet!$BD$62,Worksheet!$BD$63)))))))))))),5),0)," ")</f>
        <v xml:space="preserve"> </v>
      </c>
      <c r="EG188" s="361" t="str">
        <f t="shared" si="468"/>
        <v xml:space="preserve"> </v>
      </c>
      <c r="EH188" s="361" t="e">
        <f ca="1">INDEX(INDIRECT(VLOOKUP(LEFT(BO188,7),CLU!$Z$3:$AH$18,7)),M188-1,3+LEFT(DZ188,1))</f>
        <v>#N/A</v>
      </c>
      <c r="EI188" s="362" t="str">
        <f t="shared" si="469"/>
        <v xml:space="preserve"> </v>
      </c>
      <c r="EJ188" s="363" t="str">
        <f t="shared" si="470"/>
        <v xml:space="preserve"> </v>
      </c>
      <c r="EK188" s="363" t="str">
        <f t="shared" si="471"/>
        <v xml:space="preserve"> </v>
      </c>
      <c r="EL188" s="363" t="str">
        <f t="shared" si="472"/>
        <v xml:space="preserve"> </v>
      </c>
      <c r="EM188" s="362" t="str">
        <f>IF(L188&gt;0,IF(BR188&gt;0,(Calculation!T188/ED188)^2,0)," ")</f>
        <v xml:space="preserve"> </v>
      </c>
      <c r="EN188" s="362" t="str">
        <f>IF(L188&gt;0,IF(O188="2 Pipe (Cooling)","N/A",IF(BR188&gt;0,(Calculation!U188/EI188)^2,0))," ")</f>
        <v xml:space="preserve"> </v>
      </c>
      <c r="EO188" s="361" t="str">
        <f t="shared" si="473"/>
        <v/>
      </c>
      <c r="EP188" s="361" t="str">
        <f t="shared" si="474"/>
        <v/>
      </c>
      <c r="EQ188" s="361" t="str">
        <f t="shared" si="475"/>
        <v/>
      </c>
      <c r="ER188" s="361" t="str">
        <f t="shared" si="476"/>
        <v/>
      </c>
      <c r="ES188" s="361" t="str">
        <f t="shared" si="477"/>
        <v/>
      </c>
      <c r="ET188" s="361" t="str">
        <f t="shared" si="478"/>
        <v/>
      </c>
      <c r="EU188" s="361" t="str">
        <f t="shared" si="479"/>
        <v/>
      </c>
      <c r="EV188" s="361" t="str">
        <f t="shared" si="480"/>
        <v/>
      </c>
      <c r="EW188" s="361" t="str">
        <f t="shared" si="481"/>
        <v/>
      </c>
      <c r="EX188" s="361" t="str">
        <f t="shared" si="571"/>
        <v>1 slot, 1 way</v>
      </c>
      <c r="EY188" s="361" t="str">
        <f t="shared" si="572"/>
        <v xml:space="preserve"> </v>
      </c>
      <c r="EZ188" s="361" t="str">
        <f t="shared" si="573"/>
        <v xml:space="preserve"> </v>
      </c>
      <c r="FA188" s="361" t="str">
        <f t="shared" si="574"/>
        <v xml:space="preserve"> </v>
      </c>
      <c r="FB188" s="361" t="str">
        <f t="shared" si="575"/>
        <v xml:space="preserve"> </v>
      </c>
      <c r="FC188" s="361"/>
      <c r="FD188" s="361" t="str">
        <f>IF(J188&gt;0,IF(Calculation!R188&lt;=70,4,IF(Calculation!R188&lt;=110,5,IF(Calculation!R188&lt;=160,6,IF(Calculation!R188&lt;=300,8,"10 EO")))),"")</f>
        <v/>
      </c>
      <c r="FE188" s="361" t="str">
        <f t="shared" si="576"/>
        <v/>
      </c>
      <c r="FF188" s="361" t="str">
        <f t="shared" si="577"/>
        <v/>
      </c>
      <c r="FG188" s="361" t="e">
        <f t="shared" si="482"/>
        <v>#N/A</v>
      </c>
      <c r="FH188" s="361">
        <f t="shared" si="483"/>
        <v>0</v>
      </c>
      <c r="FI188" s="361" t="e">
        <f t="shared" si="484"/>
        <v>#DIV/0!</v>
      </c>
      <c r="FJ188" s="361"/>
      <c r="FK188" s="356" t="e">
        <f t="shared" si="485"/>
        <v>#VALUE!</v>
      </c>
      <c r="FL188" s="361"/>
      <c r="FM188" s="361"/>
      <c r="FN188" s="362" t="str">
        <f t="shared" si="578"/>
        <v xml:space="preserve"> </v>
      </c>
      <c r="FO188" s="362" t="str">
        <f t="shared" si="579"/>
        <v xml:space="preserve"> </v>
      </c>
      <c r="FP188" s="362">
        <f t="shared" si="580"/>
        <v>0</v>
      </c>
      <c r="FQ188" s="361">
        <f t="shared" si="486"/>
        <v>0</v>
      </c>
      <c r="FR188" s="362" t="str">
        <f>IF(L188&gt;0,IF(J188="CBAL2",Worksheet!$P$67,IF(J188="CBE2-24",Worksheet!$Q$67,IF(J188="CBAM",Worksheet!$R$67,IF(J188="CBLV",Worksheet!$S$67,IF(J188="CBAB",Worksheet!$U$67,IF(J188="CBAW",Worksheet!$X$67,IF(J188="CBE2-12",Worksheet!$Y$67,IF(J188="CBAL2",Worksheet!$Z$67,"N/A"))))))))," ")</f>
        <v xml:space="preserve"> </v>
      </c>
      <c r="FS188" s="362" t="str">
        <f>IF(L188&gt;0,IF(J188="CBAL2",Worksheet!$P$68,IF(J188="CBE2-24",Worksheet!$Q$68,IF(J188="CBAM",Worksheet!$R$68,IF(J188="CBLV",Worksheet!$S$68,IF(J188="CBAB",Worksheet!$U$68,IF(J188="CBAW",Worksheet!$X$68,IF(J188="CBE2-12",Worksheet!$Y$68,IF(J188="CBAL2",Worksheet!$Z$68,"N/A"))))))))," ")</f>
        <v xml:space="preserve"> </v>
      </c>
      <c r="FT188" s="362" t="str">
        <f>IF(L188&gt;0,IF(J188="CBAL2",Worksheet!$P$69,IF(J188="CBE2-24",Worksheet!$Q$69,IF(J188="CBAM",Worksheet!$R$69,IF(J188="CBLV",Worksheet!$S$69,IF(J188="CBAB",Worksheet!$U$69,IF(J188="CBAW",Worksheet!$X$69,IF(J188="CBE2-12",Worksheet!$Y$69,IF(J188="CBAL2",Worksheet!$Z$69,"N/A"))))))))," ")</f>
        <v xml:space="preserve"> </v>
      </c>
      <c r="FU188" s="361" t="str">
        <f t="shared" si="581"/>
        <v xml:space="preserve"> </v>
      </c>
      <c r="FV188" s="362" t="str">
        <f t="shared" si="582"/>
        <v xml:space="preserve"> </v>
      </c>
      <c r="FW188" s="362" t="str">
        <f t="shared" si="583"/>
        <v xml:space="preserve"> </v>
      </c>
      <c r="FX188" s="362" t="str">
        <f t="shared" si="584"/>
        <v xml:space="preserve"> </v>
      </c>
      <c r="FY188" s="355" t="str">
        <f t="shared" si="585"/>
        <v xml:space="preserve"> </v>
      </c>
      <c r="FZ188" s="361" t="str">
        <f t="shared" si="586"/>
        <v xml:space="preserve"> </v>
      </c>
      <c r="GA188" s="347" t="str">
        <f t="shared" si="587"/>
        <v xml:space="preserve"> </v>
      </c>
      <c r="GB188" s="355" t="str">
        <f t="shared" si="588"/>
        <v xml:space="preserve"> </v>
      </c>
      <c r="GC188" s="328" t="str">
        <f t="shared" si="589"/>
        <v xml:space="preserve"> </v>
      </c>
      <c r="GD188" s="361" t="str">
        <f t="shared" si="590"/>
        <v xml:space="preserve"> </v>
      </c>
      <c r="GE188" s="347" t="str">
        <f t="shared" si="591"/>
        <v xml:space="preserve"> </v>
      </c>
      <c r="GF188" s="361" t="str">
        <f t="shared" si="592"/>
        <v xml:space="preserve"> </v>
      </c>
      <c r="GG188" s="347" t="str">
        <f t="shared" si="593"/>
        <v xml:space="preserve"> </v>
      </c>
      <c r="GH188" s="364">
        <f t="shared" si="487"/>
        <v>0</v>
      </c>
      <c r="GI188" s="362">
        <f t="shared" si="594"/>
        <v>2</v>
      </c>
      <c r="GJ188" s="433" t="e">
        <f>IF(6-COUNTBLANK(GT188:GY188)=4,MATCH(MID(BO188,9,3),CLU!$H$16:$K$16),MATCH(MID(BO188,9,3),CLU!$H$13:$M$13))</f>
        <v>#N/A</v>
      </c>
      <c r="GK188" s="433" t="e">
        <f>HLOOKUP(VALUE(BP188),CLU!$H$9:$M$10,2)</f>
        <v>#VALUE!</v>
      </c>
      <c r="GL188" s="433" t="e">
        <f ca="1">MATCH(BU188,CLU!$H$2:$V$2,1)</f>
        <v>#VALUE!</v>
      </c>
      <c r="GM188" s="433" t="e">
        <f t="shared" ca="1" si="595"/>
        <v>#VALUE!</v>
      </c>
      <c r="GN188" s="433" t="e">
        <f t="shared" ca="1" si="596"/>
        <v>#VALUE!</v>
      </c>
      <c r="GO188" s="433" t="e">
        <f t="shared" ca="1" si="597"/>
        <v>#VALUE!</v>
      </c>
      <c r="GP188" s="433" t="e">
        <f t="shared" ca="1" si="598"/>
        <v>#VALUE!</v>
      </c>
      <c r="GQ188" s="433" t="e">
        <f t="shared" ca="1" si="599"/>
        <v>#VALUE!</v>
      </c>
      <c r="GR188" s="433" t="e">
        <f ca="1">MATCH(T188,INDIRECT(VLOOKUP(CONCATENATE(LEFT(BO188,7),"-",MID(BO188,13,1)),CLU!$P$3:$Q$16,2)),1)</f>
        <v>#N/A</v>
      </c>
      <c r="GS188" s="433" t="e">
        <f ca="1">MATCH(U188,INDIRECT(VLOOKUP(CONCATENATE(LEFT(BO188,7),"-",MID(BO188,13,1)),CLU!$P$3:$Q$16,2)),1)</f>
        <v>#N/A</v>
      </c>
      <c r="GT188" s="347" t="s">
        <v>512</v>
      </c>
      <c r="GU188" s="97" t="s">
        <v>513</v>
      </c>
      <c r="GV188" s="97" t="str">
        <f t="shared" si="600"/>
        <v>M23</v>
      </c>
      <c r="GW188" s="97" t="str">
        <f t="shared" si="601"/>
        <v>M31</v>
      </c>
      <c r="GX188" s="97" t="str">
        <f t="shared" si="602"/>
        <v/>
      </c>
      <c r="GY188" s="97" t="str">
        <f t="shared" si="603"/>
        <v/>
      </c>
      <c r="GZ188" s="481"/>
      <c r="HA188" s="288"/>
      <c r="HB188" s="240"/>
      <c r="HC188" s="240"/>
      <c r="HD188" s="240"/>
      <c r="HE188" s="240"/>
      <c r="HF188" s="240"/>
      <c r="HG188" s="240"/>
      <c r="HH188" s="240"/>
      <c r="HI188" s="240"/>
      <c r="HJ188" s="240"/>
      <c r="HK188" s="240"/>
      <c r="HL188" s="240"/>
      <c r="HM188" s="240"/>
      <c r="HN188" s="240"/>
      <c r="HO188" s="240"/>
      <c r="HP188" s="240"/>
      <c r="HQ188" s="240"/>
      <c r="HR188" s="240"/>
      <c r="HS188" s="240"/>
      <c r="HT188" s="240"/>
      <c r="HU188" s="240"/>
      <c r="HV188" s="245"/>
      <c r="HW188" s="245" t="b">
        <v>1</v>
      </c>
      <c r="HX188" s="245" t="str">
        <f t="shared" si="488"/>
        <v/>
      </c>
      <c r="HY188" s="245" t="e">
        <f t="shared" si="489"/>
        <v>#DIV/0!</v>
      </c>
      <c r="HZ188" s="245" t="e">
        <f t="shared" si="490"/>
        <v>#DIV/0!</v>
      </c>
      <c r="IA188" s="245">
        <f t="shared" si="491"/>
        <v>0</v>
      </c>
      <c r="IB188" s="245"/>
      <c r="IC188" t="b">
        <f t="shared" si="492"/>
        <v>1</v>
      </c>
      <c r="ID188" s="245" t="b">
        <f t="shared" si="493"/>
        <v>1</v>
      </c>
      <c r="IE188" s="245" t="b">
        <f t="shared" si="494"/>
        <v>1</v>
      </c>
      <c r="IF188" s="245" t="b">
        <f t="shared" si="495"/>
        <v>0</v>
      </c>
      <c r="IG188" s="245" t="b">
        <f t="shared" si="496"/>
        <v>1</v>
      </c>
      <c r="IH188" s="245" t="b">
        <f t="shared" si="497"/>
        <v>1</v>
      </c>
      <c r="II188" s="245">
        <f t="shared" si="604"/>
        <v>0</v>
      </c>
      <c r="IJ188" s="245" t="e">
        <f t="shared" si="498"/>
        <v>#VALUE!</v>
      </c>
      <c r="IK188" s="245" t="e">
        <f t="shared" si="499"/>
        <v>#VALUE!</v>
      </c>
      <c r="IL188" s="245"/>
      <c r="IM188" s="245" t="e">
        <f t="shared" si="605"/>
        <v>#N/A</v>
      </c>
      <c r="IN188" s="245" t="e">
        <f t="shared" si="606"/>
        <v>#N/A</v>
      </c>
      <c r="IO188" s="245"/>
      <c r="IP188" s="245"/>
      <c r="IQ188" s="245" t="str">
        <f t="shared" si="500"/>
        <v/>
      </c>
      <c r="IR188" s="245" t="str">
        <f>IF(J188="","",VLOOKUP(J188,Worksheet!$R$4:$T$14,2))</f>
        <v/>
      </c>
      <c r="IS188" s="245"/>
      <c r="IT188" s="245">
        <f t="shared" si="501"/>
        <v>0</v>
      </c>
      <c r="IU188" s="245">
        <f t="shared" si="502"/>
        <v>0</v>
      </c>
      <c r="IV188" s="245">
        <f t="shared" si="503"/>
        <v>0</v>
      </c>
      <c r="IW188" s="245">
        <f t="shared" si="504"/>
        <v>0</v>
      </c>
      <c r="IX188" s="245">
        <f t="shared" si="607"/>
        <v>0</v>
      </c>
      <c r="IY188" s="245">
        <f t="shared" si="505"/>
        <v>0</v>
      </c>
      <c r="IZ188" s="245">
        <f t="shared" si="506"/>
        <v>0</v>
      </c>
      <c r="JA188">
        <f t="shared" si="507"/>
        <v>0</v>
      </c>
      <c r="JB188">
        <f t="shared" si="608"/>
        <v>0</v>
      </c>
      <c r="JC188">
        <f t="shared" si="508"/>
        <v>0</v>
      </c>
      <c r="JD188">
        <f t="shared" si="509"/>
        <v>0</v>
      </c>
      <c r="JE188">
        <f t="shared" si="510"/>
        <v>0</v>
      </c>
      <c r="JF188">
        <f t="shared" si="511"/>
        <v>0</v>
      </c>
      <c r="JG188">
        <f t="shared" si="512"/>
        <v>0</v>
      </c>
      <c r="JH188">
        <f t="shared" si="513"/>
        <v>0</v>
      </c>
      <c r="JI188">
        <f t="shared" si="514"/>
        <v>0</v>
      </c>
      <c r="JJ188" s="447">
        <f t="shared" si="515"/>
        <v>0</v>
      </c>
      <c r="JK188" s="447">
        <f t="shared" si="516"/>
        <v>0</v>
      </c>
      <c r="JL188">
        <f t="shared" si="517"/>
        <v>0</v>
      </c>
      <c r="JM188" s="245" t="str">
        <f>IFERROR(VLOOKUP(MATCH(BN188,#REF!,0),#REF!,7),"")</f>
        <v/>
      </c>
      <c r="JN188" t="e">
        <f>HLOOKUP(LEFT(BO188,7),Discharge_Area,MATCH(JO188,LookUps!$B$130:$B$149,1)+2)</f>
        <v>#N/A</v>
      </c>
      <c r="JO188" t="str">
        <f t="shared" si="518"/>
        <v>- S</v>
      </c>
      <c r="JP188" t="e">
        <f>HLOOKUP(LEFT(BO188,7),Discharge_Area,MATCH(JO188,LookUps!$B$130:$B$149,1)+2)</f>
        <v>#N/A</v>
      </c>
      <c r="JQ188" t="e">
        <f t="shared" si="519"/>
        <v>#N/A</v>
      </c>
      <c r="JR188" t="e">
        <f t="shared" si="520"/>
        <v>#N/A</v>
      </c>
      <c r="JS188" t="e">
        <f t="shared" si="521"/>
        <v>#N/A</v>
      </c>
      <c r="JT188" s="532" t="str">
        <f t="shared" si="522"/>
        <v xml:space="preserve"> </v>
      </c>
      <c r="JU188" s="532" t="str">
        <f t="shared" si="523"/>
        <v xml:space="preserve"> </v>
      </c>
      <c r="JV188" s="533" t="str">
        <f t="shared" si="524"/>
        <v xml:space="preserve"> </v>
      </c>
      <c r="JW188" s="534">
        <f t="shared" si="525"/>
        <v>0</v>
      </c>
      <c r="JX188" s="535" t="str">
        <f t="shared" si="609"/>
        <v xml:space="preserve"> </v>
      </c>
      <c r="JY188" s="535" t="str">
        <f t="shared" si="610"/>
        <v xml:space="preserve"> </v>
      </c>
      <c r="JZ188" s="535" t="str">
        <f t="shared" si="611"/>
        <v xml:space="preserve"> </v>
      </c>
      <c r="KA188" s="536" t="str">
        <f t="shared" si="526"/>
        <v xml:space="preserve"> </v>
      </c>
      <c r="KB188" s="535" t="e">
        <f t="shared" si="612"/>
        <v>#VALUE!</v>
      </c>
      <c r="KC188" s="535" t="str">
        <f t="shared" si="527"/>
        <v/>
      </c>
      <c r="KD188" s="537" t="str">
        <f t="shared" si="613"/>
        <v xml:space="preserve"> </v>
      </c>
      <c r="KE188" s="537" t="str">
        <f t="shared" si="614"/>
        <v xml:space="preserve"> </v>
      </c>
      <c r="KF188" s="534">
        <f t="shared" si="528"/>
        <v>0</v>
      </c>
      <c r="KG188" s="535" t="str">
        <f t="shared" si="529"/>
        <v xml:space="preserve"> </v>
      </c>
      <c r="KH188" s="535" t="str">
        <f t="shared" si="530"/>
        <v xml:space="preserve"> </v>
      </c>
      <c r="KI188" s="535" t="str">
        <f t="shared" si="531"/>
        <v xml:space="preserve"> </v>
      </c>
      <c r="KJ188" s="536" t="str">
        <f t="shared" si="532"/>
        <v xml:space="preserve"> </v>
      </c>
      <c r="KK188" s="535" t="str">
        <f t="shared" si="615"/>
        <v xml:space="preserve"> </v>
      </c>
      <c r="KL188" s="535" t="str">
        <f t="shared" si="616"/>
        <v xml:space="preserve"> </v>
      </c>
      <c r="KM188" s="537" t="str">
        <f t="shared" si="533"/>
        <v xml:space="preserve"> </v>
      </c>
      <c r="KN188" s="537" t="str">
        <f t="shared" si="617"/>
        <v xml:space="preserve"> </v>
      </c>
      <c r="KP188">
        <f t="shared" si="534"/>
        <v>0</v>
      </c>
      <c r="LA188" t="e">
        <f t="shared" si="535"/>
        <v>#VALUE!</v>
      </c>
      <c r="LB188" t="e">
        <f t="shared" si="536"/>
        <v>#VALUE!</v>
      </c>
      <c r="LC188" t="e">
        <f t="shared" si="537"/>
        <v>#VALUE!</v>
      </c>
      <c r="LD188" t="e">
        <f t="shared" si="538"/>
        <v>#VALUE!</v>
      </c>
      <c r="LE188" t="e">
        <f t="shared" si="618"/>
        <v>#VALUE!</v>
      </c>
      <c r="LF188">
        <f t="shared" si="539"/>
        <v>0</v>
      </c>
      <c r="LG188" t="e">
        <f t="shared" si="619"/>
        <v>#VALUE!</v>
      </c>
      <c r="LH188" t="str">
        <f t="shared" si="540"/>
        <v xml:space="preserve"> </v>
      </c>
      <c r="LI188">
        <f t="shared" si="620"/>
        <v>1</v>
      </c>
    </row>
    <row r="189" spans="2:321" ht="15" customHeight="1">
      <c r="B189" s="311"/>
      <c r="C189" s="311"/>
      <c r="D189" s="312"/>
      <c r="E189" s="311"/>
      <c r="F189" s="312"/>
      <c r="G189" s="311"/>
      <c r="H189" s="311"/>
      <c r="I189" s="37"/>
      <c r="J189" s="311"/>
      <c r="K189" s="305" t="str">
        <f t="shared" si="541"/>
        <v/>
      </c>
      <c r="L189" s="313"/>
      <c r="M189" s="312"/>
      <c r="N189" s="311"/>
      <c r="O189" s="312"/>
      <c r="P189" s="311"/>
      <c r="Q189" s="305" t="str">
        <f t="shared" si="542"/>
        <v/>
      </c>
      <c r="R189" s="314"/>
      <c r="S189" s="450" t="str">
        <f t="shared" si="425"/>
        <v/>
      </c>
      <c r="T189" s="315"/>
      <c r="U189" s="315"/>
      <c r="W189" s="149" t="str">
        <f t="shared" si="426"/>
        <v xml:space="preserve"> </v>
      </c>
      <c r="X189" s="243" t="str">
        <f t="shared" si="427"/>
        <v xml:space="preserve"> </v>
      </c>
      <c r="Y189" s="150" t="str">
        <f t="shared" si="428"/>
        <v/>
      </c>
      <c r="Z189" s="149" t="str">
        <f t="shared" si="429"/>
        <v xml:space="preserve"> </v>
      </c>
      <c r="AA189" s="98" t="str">
        <f t="shared" si="430"/>
        <v xml:space="preserve"> </v>
      </c>
      <c r="AB189" s="153" t="str">
        <f t="shared" si="431"/>
        <v xml:space="preserve"> </v>
      </c>
      <c r="AC189" s="153" t="str">
        <f t="shared" si="432"/>
        <v xml:space="preserve"> </v>
      </c>
      <c r="AD189" s="148" t="str">
        <f t="shared" si="433"/>
        <v/>
      </c>
      <c r="AE189" s="149" t="str">
        <f t="shared" si="434"/>
        <v/>
      </c>
      <c r="AF189" s="151" t="str">
        <f t="shared" si="435"/>
        <v xml:space="preserve"> </v>
      </c>
      <c r="AG189" s="153" t="str">
        <f t="shared" si="436"/>
        <v xml:space="preserve"> </v>
      </c>
      <c r="AH189" s="98" t="str">
        <f t="shared" si="437"/>
        <v xml:space="preserve"> </v>
      </c>
      <c r="AI189" s="149" t="str">
        <f t="shared" si="438"/>
        <v xml:space="preserve"> </v>
      </c>
      <c r="AK189" s="144" t="str">
        <f t="shared" si="439"/>
        <v xml:space="preserve"> </v>
      </c>
      <c r="AL189" s="144"/>
      <c r="AM189" s="243" t="str">
        <f t="shared" si="440"/>
        <v xml:space="preserve"> </v>
      </c>
      <c r="AN189" s="149" t="str">
        <f t="shared" si="543"/>
        <v xml:space="preserve"> </v>
      </c>
      <c r="AO189" s="144" t="str">
        <f>IF(JB189&gt;0,IF(GI189=10,-R189*1.085*(Calculation!$F$6-Calculation!$F$13)*$S$14," "),"")</f>
        <v/>
      </c>
      <c r="AP189" s="144" t="str">
        <f t="shared" si="441"/>
        <v/>
      </c>
      <c r="AQ189" s="56" t="str">
        <f t="shared" si="442"/>
        <v/>
      </c>
      <c r="AR189" s="144" t="str">
        <f t="shared" si="443"/>
        <v/>
      </c>
      <c r="AS189" s="176" t="str">
        <f t="shared" si="444"/>
        <v/>
      </c>
      <c r="AT189" s="176" t="str">
        <f t="shared" si="544"/>
        <v xml:space="preserve"> </v>
      </c>
      <c r="AU189" s="176" t="str">
        <f t="shared" si="445"/>
        <v/>
      </c>
      <c r="AV189" s="177" t="str">
        <f t="shared" si="446"/>
        <v xml:space="preserve"> </v>
      </c>
      <c r="AW189" s="144" t="str">
        <f t="shared" si="447"/>
        <v xml:space="preserve"> </v>
      </c>
      <c r="AX189" s="144" t="str">
        <f t="shared" si="448"/>
        <v xml:space="preserve"> </v>
      </c>
      <c r="AY189" s="152" t="str">
        <f t="shared" si="449"/>
        <v xml:space="preserve"> </v>
      </c>
      <c r="AZ189" s="246" t="str">
        <f t="shared" si="450"/>
        <v/>
      </c>
      <c r="BA189" s="176" t="str">
        <f t="shared" si="451"/>
        <v xml:space="preserve"> </v>
      </c>
      <c r="BB189" s="176" t="str">
        <f t="shared" si="452"/>
        <v xml:space="preserve"> </v>
      </c>
      <c r="BC189" s="195"/>
      <c r="BD189" s="316"/>
      <c r="BE189" s="317"/>
      <c r="BF189" s="318"/>
      <c r="BG189" s="318"/>
      <c r="BH189" s="144" t="str">
        <f t="shared" si="621"/>
        <v xml:space="preserve"> </v>
      </c>
      <c r="BI189" s="176" t="str">
        <f t="shared" si="453"/>
        <v/>
      </c>
      <c r="BJ189" s="144" t="str">
        <f t="shared" si="622"/>
        <v/>
      </c>
      <c r="BK189" s="246" t="str">
        <f t="shared" si="454"/>
        <v/>
      </c>
      <c r="BL189" s="144" t="str">
        <f t="shared" si="623"/>
        <v/>
      </c>
      <c r="BM189" s="246" t="str">
        <f t="shared" si="455"/>
        <v/>
      </c>
      <c r="BN189" s="337" t="str">
        <f t="shared" si="545"/>
        <v/>
      </c>
      <c r="BO189" s="371" t="str">
        <f t="shared" si="546"/>
        <v/>
      </c>
      <c r="BP189" s="328" t="str">
        <f t="shared" si="624"/>
        <v xml:space="preserve"> </v>
      </c>
      <c r="BQ189" s="347" t="str">
        <f t="shared" si="547"/>
        <v xml:space="preserve"> </v>
      </c>
      <c r="BR189" s="353" t="str">
        <f t="shared" si="548"/>
        <v xml:space="preserve"> </v>
      </c>
      <c r="BS189" s="626" t="str">
        <f>IF(L189&gt;0,IF(Calculation!P189="M13",BR189*3.1416*(0.134^2)/(4*144),IF(Calculation!P189="M17",BR189*3.1416*(0.165^2)/(4*144),IF(Calculation!P189="M20",BR189*3.1416*(0.198^2)/(4*144),IF(Calculation!P189="M23",BR189*3.1416*(0.228^2)/(4*144),IF(Calculation!P189="M27",BR189*3.1416*(0.269^2)/(4*144),BR189*3.1416*(0.307^2)/(4*144))))))," ")</f>
        <v xml:space="preserve"> </v>
      </c>
      <c r="BT189" s="353" t="str">
        <f>IF(L189&gt;0,IF(BS189&gt;0,R189/Calculation!BS189,0)," ")</f>
        <v xml:space="preserve"> </v>
      </c>
      <c r="BU189" s="438" t="e">
        <f t="shared" ca="1" si="456"/>
        <v>#VALUE!</v>
      </c>
      <c r="BV189" s="449" t="e">
        <f ca="1">INDEX(INDIRECT(VLOOKUP(LEFT(BO189,7),CLU!$Z$3:$AH$18,2)),GN189,GR189)</f>
        <v>#N/A</v>
      </c>
      <c r="BW189" s="433" t="e">
        <f ca="1">INDEX(INDIRECT(VLOOKUP(LEFT(BO189,7),CLU!$Z$3:$AH$18,3)),GN189,GR189)</f>
        <v>#N/A</v>
      </c>
      <c r="BX189" s="433" t="e">
        <f ca="1">INDEX(INDIRECT(VLOOKUP(LEFT(BO189,7),CLU!$Z$3:$AH$18,4)),GN189,GR189)</f>
        <v>#N/A</v>
      </c>
      <c r="BY189" s="433" t="e">
        <f ca="1">INDEX(INDIRECT(VLOOKUP(LEFT(BO189,7),CLU!$Z$3:$AH$18,9)),((M189-2)*(6-COUNTBLANK(GT189:GY189)))+GJ189)</f>
        <v>#N/A</v>
      </c>
      <c r="BZ189" s="426" t="e">
        <f t="shared" ca="1" si="549"/>
        <v>#N/A</v>
      </c>
      <c r="CA189" s="424" t="e">
        <f t="shared" ca="1" si="550"/>
        <v>#N/A</v>
      </c>
      <c r="CB189" s="429" t="e">
        <f ca="1">INDEX(INDIRECT(VLOOKUP(LEFT(BO189,7),CLU!$Z$3:$AH$18,2)),GN189,GS189)</f>
        <v>#N/A</v>
      </c>
      <c r="CC189" s="342" t="e">
        <f ca="1">INDEX(INDIRECT(VLOOKUP(LEFT(BO189,7),CLU!$Z$3:$AH$18,3)),GN189,GS189)</f>
        <v>#N/A</v>
      </c>
      <c r="CD189" s="342" t="e">
        <f ca="1">INDEX(INDIRECT(VLOOKUP(LEFT(BO189,7),CLU!$Z$3:$AH$18,4)),GN189,GS189)</f>
        <v>#N/A</v>
      </c>
      <c r="CE189" s="426" t="e">
        <f t="shared" ca="1" si="551"/>
        <v>#N/A</v>
      </c>
      <c r="CF189" s="440">
        <f t="shared" si="552"/>
        <v>0</v>
      </c>
      <c r="CG189" s="431" t="e">
        <f ca="1">INDEX(INDIRECT(VLOOKUP(LEFT(BO189,7),CLU!$Z$3:$AH$18,2)),GQ189,GR189)</f>
        <v>#N/A</v>
      </c>
      <c r="CH189" s="431" t="e">
        <f ca="1">INDEX(INDIRECT(VLOOKUP(LEFT(BO189,7),CLU!$Z$3:$AH$18,3)),GQ189,GR189)</f>
        <v>#N/A</v>
      </c>
      <c r="CI189" s="431" t="e">
        <f ca="1">INDEX(INDIRECT(VLOOKUP(LEFT(BO189,7),CLU!$Z$3:$AH$18,4)),GQ189,GR189)</f>
        <v>#N/A</v>
      </c>
      <c r="CJ189" s="448" t="e">
        <f t="shared" ca="1" si="553"/>
        <v>#N/A</v>
      </c>
      <c r="CK189" s="431" t="e">
        <f t="shared" ca="1" si="554"/>
        <v>#N/A</v>
      </c>
      <c r="CL189" s="440" t="e">
        <f t="shared" ca="1" si="555"/>
        <v>#N/A</v>
      </c>
      <c r="CM189" s="431" t="e">
        <f ca="1">INDEX(INDIRECT(VLOOKUP(LEFT(BO189,7),CLU!$Z$3:$AH$18,2)),GQ189,GS189)</f>
        <v>#N/A</v>
      </c>
      <c r="CN189" s="431" t="e">
        <f ca="1">INDEX(INDIRECT(VLOOKUP(LEFT(BO189,7),CLU!$Z$3:$AH$18,3)),GQ189,GS189)</f>
        <v>#N/A</v>
      </c>
      <c r="CO189" s="431" t="e">
        <f ca="1">INDEX(INDIRECT(VLOOKUP(LEFT(BO189,7),CLU!$Z$3:$AH$18,4)),GQ189,GS189)</f>
        <v>#N/A</v>
      </c>
      <c r="CP189" s="431" t="e">
        <f t="shared" ca="1" si="556"/>
        <v>#N/A</v>
      </c>
      <c r="CQ189" s="440">
        <f t="shared" si="557"/>
        <v>0</v>
      </c>
      <c r="CR189" s="51" t="e">
        <f t="shared" ca="1" si="558"/>
        <v>#N/A</v>
      </c>
      <c r="CS189" s="439" t="e">
        <f t="shared" ca="1" si="559"/>
        <v>#VALUE!</v>
      </c>
      <c r="CT189" s="51" t="e">
        <f t="shared" ca="1" si="560"/>
        <v>#VALUE!</v>
      </c>
      <c r="CU189" s="10"/>
      <c r="CV189" s="51" t="e">
        <f t="shared" ca="1" si="457"/>
        <v>#VALUE!</v>
      </c>
      <c r="CW189" s="51">
        <f t="shared" si="561"/>
        <v>0</v>
      </c>
      <c r="CX189" s="439" t="e">
        <f t="shared" ca="1" si="562"/>
        <v>#VALUE!</v>
      </c>
      <c r="CY189" s="51" t="e">
        <f t="shared" ca="1" si="563"/>
        <v>#VALUE!</v>
      </c>
      <c r="CZ189" s="10"/>
      <c r="DA189" s="51" t="e">
        <f t="shared" ca="1" si="564"/>
        <v>#VALUE!</v>
      </c>
      <c r="DB189" s="347" t="e">
        <f ca="1">INDEX(INDIRECT(VLOOKUP(LEFT(BO189,7),CLU!$Z$3:$AI$18,10)),((M189-2)*(6-COUNTBLANK(GT189:GY189)))+GJ189)*LI189</f>
        <v>#N/A</v>
      </c>
      <c r="DC189" s="347" t="str">
        <f>IF(L189&gt;0,((R189/Worksheet!$I$15)/DB189)^2," ")</f>
        <v xml:space="preserve"> </v>
      </c>
      <c r="DD189" s="602" t="str">
        <f t="shared" si="565"/>
        <v xml:space="preserve"> </v>
      </c>
      <c r="DE189" s="347" t="str">
        <f t="shared" si="458"/>
        <v xml:space="preserve"> </v>
      </c>
      <c r="DF189" s="356" t="e">
        <f ca="1">INDEX(INDIRECT(VLOOKUP(LEFT(BO189,7),CLU!$Z$3:$AH$18,8)),((M189-2)*(6-COUNTBLANK(GT189:GY189)))+GJ189)</f>
        <v>#N/A</v>
      </c>
      <c r="DG189" s="347" t="str">
        <f t="shared" si="459"/>
        <v xml:space="preserve"> </v>
      </c>
      <c r="DH189" s="357" t="str">
        <f t="shared" si="460"/>
        <v xml:space="preserve"> </v>
      </c>
      <c r="DI189" s="355" t="str">
        <f t="shared" si="461"/>
        <v xml:space="preserve"> </v>
      </c>
      <c r="DJ189" s="245" t="e">
        <f ca="1">INDEX(INDIRECT(VLOOKUP(LEFT(BO189,7),CLU!$Z$3:$AH$18,5)),GL189,GK189)</f>
        <v>#N/A</v>
      </c>
      <c r="DK189" s="245" t="e">
        <f ca="1">INDEX(INDIRECT(VLOOKUP(LEFT(BO189,7),CLU!$Z$3:$AH$18,6)),GL189,GK189)</f>
        <v>#N/A</v>
      </c>
      <c r="DL189" s="355">
        <f>(Calculation!R189*0.69143*(Calculation!$BQ$8-Calculation!$F$8))*$S$14</f>
        <v>0</v>
      </c>
      <c r="DM189" s="359" t="e">
        <f t="shared" si="566"/>
        <v>#VALUE!</v>
      </c>
      <c r="DN189" s="611">
        <f t="shared" si="567"/>
        <v>0</v>
      </c>
      <c r="DO189" s="359">
        <f t="shared" si="568"/>
        <v>100</v>
      </c>
      <c r="DP189" s="359">
        <f t="shared" si="569"/>
        <v>0</v>
      </c>
      <c r="DQ189" s="360"/>
      <c r="DR189" s="245" t="e">
        <f ca="1">INDEX(INDIRECT(VLOOKUP(LEFT(BO189,7),CLU!$Z$3:$AH$18,7)),M189-1,1)</f>
        <v>#N/A</v>
      </c>
      <c r="DS189" s="245" t="e">
        <f ca="1">INDEX(INDIRECT(VLOOKUP(LEFT(BO189,7),CLU!$Z$3:$AH$18,7)),M189-1,2)</f>
        <v>#N/A</v>
      </c>
      <c r="DT189" s="245" t="e">
        <f ca="1">INDEX(INDIRECT(VLOOKUP(LEFT(BO189,7),CLU!$Z$3:$AH$18,7)),M189-1,3)</f>
        <v>#N/A</v>
      </c>
      <c r="DU189" s="245" t="e">
        <f ca="1">INDEX(INDIRECT(VLOOKUP(LEFT(BO189,7),CLU!$Z$3:$AH$18,7)),M189-1,4)</f>
        <v>#N/A</v>
      </c>
      <c r="DV189" s="361" t="e">
        <f ca="1">INDEX(INDIRECT(VLOOKUP(LEFT(BO189,7),CLU!$Z$3:$AH$18,7)),M189-1,4+LEFT(DZ189,1)*0.5)</f>
        <v>#N/A</v>
      </c>
      <c r="DW189" s="245" t="e">
        <f ca="1">INDEX(INDIRECT(VLOOKUP(LEFT(BO189,7),CLU!$Z$3:$AH$18,7)),M189-1,8)</f>
        <v>#N/A</v>
      </c>
      <c r="DX189" s="361" t="str">
        <f t="shared" si="462"/>
        <v xml:space="preserve"> </v>
      </c>
      <c r="DY189" s="361" t="str">
        <f t="shared" si="463"/>
        <v xml:space="preserve"> </v>
      </c>
      <c r="DZ189" s="361" t="str">
        <f t="shared" si="464"/>
        <v xml:space="preserve"> </v>
      </c>
      <c r="EA189" s="362" t="str">
        <f t="shared" si="465"/>
        <v xml:space="preserve"> </v>
      </c>
      <c r="EB189" s="624" t="str">
        <f t="shared" si="570"/>
        <v xml:space="preserve"> </v>
      </c>
      <c r="EC189" s="361" t="e">
        <f ca="1">INDEX(INDIRECT(VLOOKUP(LEFT(BO189,7),CLU!$Z$3:$AH$18,7)),M189-1,4+LEFT(DZ189,1)*0.5)</f>
        <v>#N/A</v>
      </c>
      <c r="ED189" s="362" t="str">
        <f t="shared" si="466"/>
        <v xml:space="preserve"> </v>
      </c>
      <c r="EE189" s="361" t="str">
        <f t="shared" si="467"/>
        <v xml:space="preserve"> </v>
      </c>
      <c r="EF189" s="362" t="str">
        <f>IF(L189&gt;0,IF(BR189&gt;0,IF(EE189="2P",IF(Calculation!DZ189="2P",IF(Calculation!DS189=13.75,IF(Calculation!DR189=13,Worksheet!$BD$43,IF(Calculation!DR189=37,Worksheet!$BD$44,Worksheet!$BD$45)),IF(Calculation!DS189=10,IF(Calculation!DR189=18,Worksheet!$BD$29,IF(Calculation!DR189=30,Worksheet!$BD$30,IF(Calculation!DR189=42,Worksheet!$BD$31,IF(Calculation!DR189=54,Worksheet!$BD$32,IF(Calculation!DR189=66,Worksheet!$BD$33,IF(Calculation!DR189=78,Worksheet!$BD$34,IF(Calculation!DR189=90,Worksheet!$BD$35,IF(Calculation!DR189=102,Worksheet!$BD$36,Worksheet!$BD$37)))))))),IF(Calculation!DS189=12.5,IF(Calculation!DR189=18,Worksheet!$BD$38,IF(Calculation!DR189=Worksheet!$BD$39,IF(Calculation!DR189=42,Worksheet!$BD$40,IF(Calculation!DR189=54,Worksheet!$BD$41,Worksheet!$BD$42)))),IF(Calculation!DR189=18,Worksheet!$BD$11,IF(Calculation!DR189=30,Worksheet!$BD$12,IF(Calculation!DR189=42,Worksheet!$BD$13,IF(Calculation!DR189=54,Worksheet!$BD$14,IF(Calculation!DR189=66,Worksheet!$BD$15,IF(Calculation!DR189=78,Worksheet!$BD$16,IF(Calculation!DR189=90,Worksheet!$BD$17,IF(Calculation!DR189=102,Worksheet!$BD$18,Worksheet!$BD$19))))))))))),IF(Calculation!DS189=13.75,IF(Calculation!DR189=13,Worksheet!$BD$78,IF(Calculation!DR189=37,Worksheet!$BD$79,Worksheet!$BD$80)),IF(Calculation!DS189=10,IF(Calculation!DR189=18,Worksheet!$BD$64,IF(Calculation!DR189=30,Worksheet!$BD$65,IF(Calculation!DR189=42,Worksheet!$BD$66,IF(Calculation!DR189=54,Worksheet!$BD$68,IF(Calculation!DR189=66,Worksheet!$BD$68,IF(Calculation!DR189=78,Worksheet!$BD$69,IF(Calculation!DR189=90,Worksheet!$BD$70,IF(Calculation!DR189=102,Worksheet!$BD$71,Worksheet!$BD$72)))))))),IF(Calculation!DS189=12.5,IF(Calculation!DR189=18,Worksheet!$BD$73,IF(Calculation!DR189=Worksheet!$BD$74,IF(Calculation!DR189=42,Worksheet!$BD$75,IF(Calculation!DR189=54,Worksheet!$BD$76,Worksheet!$BD$77)))),IF(Calculation!DR189=18,Worksheet!$BD$55,IF(Calculation!DR189=30,Worksheet!$BD$56,IF(Calculation!DR189=42,Worksheet!$BD$57,IF(Calculation!DR189=54,Worksheet!$BD$58,IF(Calculation!DR189=66,Worksheet!$BD$59,IF(Calculation!DR189=78,Worksheet!$BD$60,IF(Calculation!DR189=90,Worksheet!$BD$61,IF(Calculation!DR189=102,Worksheet!$BD$62,Worksheet!$BD$63)))))))))))),5),0)," ")</f>
        <v xml:space="preserve"> </v>
      </c>
      <c r="EG189" s="361" t="str">
        <f t="shared" si="468"/>
        <v xml:space="preserve"> </v>
      </c>
      <c r="EH189" s="361" t="e">
        <f ca="1">INDEX(INDIRECT(VLOOKUP(LEFT(BO189,7),CLU!$Z$3:$AH$18,7)),M189-1,3+LEFT(DZ189,1))</f>
        <v>#N/A</v>
      </c>
      <c r="EI189" s="362" t="str">
        <f t="shared" si="469"/>
        <v xml:space="preserve"> </v>
      </c>
      <c r="EJ189" s="363" t="str">
        <f t="shared" si="470"/>
        <v xml:space="preserve"> </v>
      </c>
      <c r="EK189" s="363" t="str">
        <f t="shared" si="471"/>
        <v xml:space="preserve"> </v>
      </c>
      <c r="EL189" s="363" t="str">
        <f t="shared" si="472"/>
        <v xml:space="preserve"> </v>
      </c>
      <c r="EM189" s="362" t="str">
        <f>IF(L189&gt;0,IF(BR189&gt;0,(Calculation!T189/ED189)^2,0)," ")</f>
        <v xml:space="preserve"> </v>
      </c>
      <c r="EN189" s="362" t="str">
        <f>IF(L189&gt;0,IF(O189="2 Pipe (Cooling)","N/A",IF(BR189&gt;0,(Calculation!U189/EI189)^2,0))," ")</f>
        <v xml:space="preserve"> </v>
      </c>
      <c r="EO189" s="361" t="str">
        <f t="shared" si="473"/>
        <v/>
      </c>
      <c r="EP189" s="361" t="str">
        <f t="shared" si="474"/>
        <v/>
      </c>
      <c r="EQ189" s="361" t="str">
        <f t="shared" si="475"/>
        <v/>
      </c>
      <c r="ER189" s="361" t="str">
        <f t="shared" si="476"/>
        <v/>
      </c>
      <c r="ES189" s="361" t="str">
        <f t="shared" si="477"/>
        <v/>
      </c>
      <c r="ET189" s="361" t="str">
        <f t="shared" si="478"/>
        <v/>
      </c>
      <c r="EU189" s="361" t="str">
        <f t="shared" si="479"/>
        <v/>
      </c>
      <c r="EV189" s="361" t="str">
        <f t="shared" si="480"/>
        <v/>
      </c>
      <c r="EW189" s="361" t="str">
        <f t="shared" si="481"/>
        <v/>
      </c>
      <c r="EX189" s="361" t="str">
        <f t="shared" si="571"/>
        <v>1 slot, 1 way</v>
      </c>
      <c r="EY189" s="361" t="str">
        <f t="shared" si="572"/>
        <v xml:space="preserve"> </v>
      </c>
      <c r="EZ189" s="361" t="str">
        <f t="shared" si="573"/>
        <v xml:space="preserve"> </v>
      </c>
      <c r="FA189" s="361" t="str">
        <f t="shared" si="574"/>
        <v xml:space="preserve"> </v>
      </c>
      <c r="FB189" s="361" t="str">
        <f t="shared" si="575"/>
        <v xml:space="preserve"> </v>
      </c>
      <c r="FC189" s="361"/>
      <c r="FD189" s="361" t="str">
        <f>IF(J189&gt;0,IF(Calculation!R189&lt;=70,4,IF(Calculation!R189&lt;=110,5,IF(Calculation!R189&lt;=160,6,IF(Calculation!R189&lt;=300,8,"10 EO")))),"")</f>
        <v/>
      </c>
      <c r="FE189" s="361" t="str">
        <f t="shared" si="576"/>
        <v/>
      </c>
      <c r="FF189" s="361" t="str">
        <f t="shared" si="577"/>
        <v/>
      </c>
      <c r="FG189" s="361" t="e">
        <f t="shared" si="482"/>
        <v>#N/A</v>
      </c>
      <c r="FH189" s="361">
        <f t="shared" si="483"/>
        <v>0</v>
      </c>
      <c r="FI189" s="361" t="e">
        <f t="shared" si="484"/>
        <v>#DIV/0!</v>
      </c>
      <c r="FJ189" s="361"/>
      <c r="FK189" s="356" t="e">
        <f t="shared" si="485"/>
        <v>#VALUE!</v>
      </c>
      <c r="FL189" s="361"/>
      <c r="FM189" s="361"/>
      <c r="FN189" s="362" t="str">
        <f t="shared" si="578"/>
        <v xml:space="preserve"> </v>
      </c>
      <c r="FO189" s="362" t="str">
        <f t="shared" si="579"/>
        <v xml:space="preserve"> </v>
      </c>
      <c r="FP189" s="362">
        <f t="shared" si="580"/>
        <v>0</v>
      </c>
      <c r="FQ189" s="361">
        <f t="shared" si="486"/>
        <v>0</v>
      </c>
      <c r="FR189" s="362" t="str">
        <f>IF(L189&gt;0,IF(J189="CBAL2",Worksheet!$P$67,IF(J189="CBE2-24",Worksheet!$Q$67,IF(J189="CBAM",Worksheet!$R$67,IF(J189="CBLV",Worksheet!$S$67,IF(J189="CBAB",Worksheet!$U$67,IF(J189="CBAW",Worksheet!$X$67,IF(J189="CBE2-12",Worksheet!$Y$67,IF(J189="CBAL2",Worksheet!$Z$67,"N/A"))))))))," ")</f>
        <v xml:space="preserve"> </v>
      </c>
      <c r="FS189" s="362" t="str">
        <f>IF(L189&gt;0,IF(J189="CBAL2",Worksheet!$P$68,IF(J189="CBE2-24",Worksheet!$Q$68,IF(J189="CBAM",Worksheet!$R$68,IF(J189="CBLV",Worksheet!$S$68,IF(J189="CBAB",Worksheet!$U$68,IF(J189="CBAW",Worksheet!$X$68,IF(J189="CBE2-12",Worksheet!$Y$68,IF(J189="CBAL2",Worksheet!$Z$68,"N/A"))))))))," ")</f>
        <v xml:space="preserve"> </v>
      </c>
      <c r="FT189" s="362" t="str">
        <f>IF(L189&gt;0,IF(J189="CBAL2",Worksheet!$P$69,IF(J189="CBE2-24",Worksheet!$Q$69,IF(J189="CBAM",Worksheet!$R$69,IF(J189="CBLV",Worksheet!$S$69,IF(J189="CBAB",Worksheet!$U$69,IF(J189="CBAW",Worksheet!$X$69,IF(J189="CBE2-12",Worksheet!$Y$69,IF(J189="CBAL2",Worksheet!$Z$69,"N/A"))))))))," ")</f>
        <v xml:space="preserve"> </v>
      </c>
      <c r="FU189" s="361" t="str">
        <f t="shared" si="581"/>
        <v xml:space="preserve"> </v>
      </c>
      <c r="FV189" s="362" t="str">
        <f t="shared" si="582"/>
        <v xml:space="preserve"> </v>
      </c>
      <c r="FW189" s="362" t="str">
        <f t="shared" si="583"/>
        <v xml:space="preserve"> </v>
      </c>
      <c r="FX189" s="362" t="str">
        <f t="shared" si="584"/>
        <v xml:space="preserve"> </v>
      </c>
      <c r="FY189" s="355" t="str">
        <f t="shared" si="585"/>
        <v xml:space="preserve"> </v>
      </c>
      <c r="FZ189" s="361" t="str">
        <f t="shared" si="586"/>
        <v xml:space="preserve"> </v>
      </c>
      <c r="GA189" s="347" t="str">
        <f t="shared" si="587"/>
        <v xml:space="preserve"> </v>
      </c>
      <c r="GB189" s="355" t="str">
        <f t="shared" si="588"/>
        <v xml:space="preserve"> </v>
      </c>
      <c r="GC189" s="328" t="str">
        <f t="shared" si="589"/>
        <v xml:space="preserve"> </v>
      </c>
      <c r="GD189" s="361" t="str">
        <f t="shared" si="590"/>
        <v xml:space="preserve"> </v>
      </c>
      <c r="GE189" s="347" t="str">
        <f t="shared" si="591"/>
        <v xml:space="preserve"> </v>
      </c>
      <c r="GF189" s="361" t="str">
        <f t="shared" si="592"/>
        <v xml:space="preserve"> </v>
      </c>
      <c r="GG189" s="347" t="str">
        <f t="shared" si="593"/>
        <v xml:space="preserve"> </v>
      </c>
      <c r="GH189" s="364">
        <f t="shared" si="487"/>
        <v>0</v>
      </c>
      <c r="GI189" s="362">
        <f t="shared" si="594"/>
        <v>2</v>
      </c>
      <c r="GJ189" s="433" t="e">
        <f>IF(6-COUNTBLANK(GT189:GY189)=4,MATCH(MID(BO189,9,3),CLU!$H$16:$K$16),MATCH(MID(BO189,9,3),CLU!$H$13:$M$13))</f>
        <v>#N/A</v>
      </c>
      <c r="GK189" s="433" t="e">
        <f>HLOOKUP(VALUE(BP189),CLU!$H$9:$M$10,2)</f>
        <v>#VALUE!</v>
      </c>
      <c r="GL189" s="433" t="e">
        <f ca="1">MATCH(BU189,CLU!$H$2:$V$2,1)</f>
        <v>#VALUE!</v>
      </c>
      <c r="GM189" s="433" t="e">
        <f t="shared" ca="1" si="595"/>
        <v>#VALUE!</v>
      </c>
      <c r="GN189" s="433" t="e">
        <f t="shared" ca="1" si="596"/>
        <v>#VALUE!</v>
      </c>
      <c r="GO189" s="433" t="e">
        <f t="shared" ca="1" si="597"/>
        <v>#VALUE!</v>
      </c>
      <c r="GP189" s="433" t="e">
        <f t="shared" ca="1" si="598"/>
        <v>#VALUE!</v>
      </c>
      <c r="GQ189" s="433" t="e">
        <f t="shared" ca="1" si="599"/>
        <v>#VALUE!</v>
      </c>
      <c r="GR189" s="433" t="e">
        <f ca="1">MATCH(T189,INDIRECT(VLOOKUP(CONCATENATE(LEFT(BO189,7),"-",MID(BO189,13,1)),CLU!$P$3:$Q$16,2)),1)</f>
        <v>#N/A</v>
      </c>
      <c r="GS189" s="433" t="e">
        <f ca="1">MATCH(U189,INDIRECT(VLOOKUP(CONCATENATE(LEFT(BO189,7),"-",MID(BO189,13,1)),CLU!$P$3:$Q$16,2)),1)</f>
        <v>#N/A</v>
      </c>
      <c r="GT189" s="347" t="s">
        <v>512</v>
      </c>
      <c r="GU189" s="97" t="s">
        <v>513</v>
      </c>
      <c r="GV189" s="97" t="str">
        <f t="shared" si="600"/>
        <v>M23</v>
      </c>
      <c r="GW189" s="97" t="str">
        <f t="shared" si="601"/>
        <v>M31</v>
      </c>
      <c r="GX189" s="97" t="str">
        <f t="shared" si="602"/>
        <v/>
      </c>
      <c r="GY189" s="97" t="str">
        <f t="shared" si="603"/>
        <v/>
      </c>
      <c r="GZ189" s="481"/>
      <c r="HA189" s="288"/>
      <c r="HB189" s="240"/>
      <c r="HC189" s="240"/>
      <c r="HD189" s="240"/>
      <c r="HE189" s="240"/>
      <c r="HF189" s="240"/>
      <c r="HG189" s="240"/>
      <c r="HH189" s="240"/>
      <c r="HI189" s="240"/>
      <c r="HJ189" s="240"/>
      <c r="HK189" s="240"/>
      <c r="HL189" s="240"/>
      <c r="HM189" s="240"/>
      <c r="HN189" s="240"/>
      <c r="HO189" s="240"/>
      <c r="HP189" s="240"/>
      <c r="HQ189" s="240"/>
      <c r="HR189" s="240"/>
      <c r="HS189" s="240"/>
      <c r="HT189" s="240"/>
      <c r="HU189" s="240"/>
      <c r="HV189" s="245"/>
      <c r="HW189" s="245" t="b">
        <v>1</v>
      </c>
      <c r="HX189" s="245" t="str">
        <f t="shared" si="488"/>
        <v/>
      </c>
      <c r="HY189" s="245" t="e">
        <f t="shared" si="489"/>
        <v>#DIV/0!</v>
      </c>
      <c r="HZ189" s="245" t="e">
        <f t="shared" si="490"/>
        <v>#DIV/0!</v>
      </c>
      <c r="IA189" s="245">
        <f t="shared" si="491"/>
        <v>0</v>
      </c>
      <c r="IB189" s="245"/>
      <c r="IC189" t="b">
        <f t="shared" si="492"/>
        <v>1</v>
      </c>
      <c r="ID189" s="245" t="b">
        <f t="shared" si="493"/>
        <v>1</v>
      </c>
      <c r="IE189" s="245" t="b">
        <f t="shared" si="494"/>
        <v>1</v>
      </c>
      <c r="IF189" s="245" t="b">
        <f t="shared" si="495"/>
        <v>0</v>
      </c>
      <c r="IG189" s="245" t="b">
        <f t="shared" si="496"/>
        <v>1</v>
      </c>
      <c r="IH189" s="245" t="b">
        <f t="shared" si="497"/>
        <v>1</v>
      </c>
      <c r="II189" s="245">
        <f t="shared" si="604"/>
        <v>0</v>
      </c>
      <c r="IJ189" s="245" t="e">
        <f t="shared" si="498"/>
        <v>#VALUE!</v>
      </c>
      <c r="IK189" s="245" t="e">
        <f t="shared" si="499"/>
        <v>#VALUE!</v>
      </c>
      <c r="IL189" s="245"/>
      <c r="IM189" s="245" t="e">
        <f t="shared" si="605"/>
        <v>#N/A</v>
      </c>
      <c r="IN189" s="245" t="e">
        <f t="shared" si="606"/>
        <v>#N/A</v>
      </c>
      <c r="IO189" s="245"/>
      <c r="IP189" s="245"/>
      <c r="IQ189" s="245" t="str">
        <f t="shared" si="500"/>
        <v/>
      </c>
      <c r="IR189" s="245" t="str">
        <f>IF(J189="","",VLOOKUP(J189,Worksheet!$R$4:$T$14,2))</f>
        <v/>
      </c>
      <c r="IS189" s="245"/>
      <c r="IT189" s="245">
        <f t="shared" si="501"/>
        <v>0</v>
      </c>
      <c r="IU189" s="245">
        <f t="shared" si="502"/>
        <v>0</v>
      </c>
      <c r="IV189" s="245">
        <f t="shared" si="503"/>
        <v>0</v>
      </c>
      <c r="IW189" s="245">
        <f t="shared" si="504"/>
        <v>0</v>
      </c>
      <c r="IX189" s="245">
        <f t="shared" si="607"/>
        <v>0</v>
      </c>
      <c r="IY189" s="245">
        <f t="shared" si="505"/>
        <v>0</v>
      </c>
      <c r="IZ189" s="245">
        <f t="shared" si="506"/>
        <v>0</v>
      </c>
      <c r="JA189">
        <f t="shared" si="507"/>
        <v>0</v>
      </c>
      <c r="JB189">
        <f t="shared" si="608"/>
        <v>0</v>
      </c>
      <c r="JC189">
        <f t="shared" si="508"/>
        <v>0</v>
      </c>
      <c r="JD189">
        <f t="shared" si="509"/>
        <v>0</v>
      </c>
      <c r="JE189">
        <f t="shared" si="510"/>
        <v>0</v>
      </c>
      <c r="JF189">
        <f t="shared" si="511"/>
        <v>0</v>
      </c>
      <c r="JG189">
        <f t="shared" si="512"/>
        <v>0</v>
      </c>
      <c r="JH189">
        <f t="shared" si="513"/>
        <v>0</v>
      </c>
      <c r="JI189">
        <f t="shared" si="514"/>
        <v>0</v>
      </c>
      <c r="JJ189" s="447">
        <f t="shared" si="515"/>
        <v>0</v>
      </c>
      <c r="JK189" s="447">
        <f t="shared" si="516"/>
        <v>0</v>
      </c>
      <c r="JL189">
        <f t="shared" si="517"/>
        <v>0</v>
      </c>
      <c r="JM189" s="245" t="str">
        <f>IFERROR(VLOOKUP(MATCH(BN189,#REF!,0),#REF!,7),"")</f>
        <v/>
      </c>
      <c r="JN189" t="e">
        <f>HLOOKUP(LEFT(BO189,7),Discharge_Area,MATCH(JO189,LookUps!$B$130:$B$149,1)+2)</f>
        <v>#N/A</v>
      </c>
      <c r="JO189" t="str">
        <f t="shared" si="518"/>
        <v>- S</v>
      </c>
      <c r="JP189" t="e">
        <f>HLOOKUP(LEFT(BO189,7),Discharge_Area,MATCH(JO189,LookUps!$B$130:$B$149,1)+2)</f>
        <v>#N/A</v>
      </c>
      <c r="JQ189" t="e">
        <f t="shared" si="519"/>
        <v>#N/A</v>
      </c>
      <c r="JR189" t="e">
        <f t="shared" si="520"/>
        <v>#N/A</v>
      </c>
      <c r="JS189" t="e">
        <f t="shared" si="521"/>
        <v>#N/A</v>
      </c>
      <c r="JT189" s="532" t="str">
        <f t="shared" si="522"/>
        <v xml:space="preserve"> </v>
      </c>
      <c r="JU189" s="532" t="str">
        <f t="shared" si="523"/>
        <v xml:space="preserve"> </v>
      </c>
      <c r="JV189" s="533" t="str">
        <f t="shared" si="524"/>
        <v xml:space="preserve"> </v>
      </c>
      <c r="JW189" s="534">
        <f t="shared" si="525"/>
        <v>0</v>
      </c>
      <c r="JX189" s="535" t="str">
        <f t="shared" si="609"/>
        <v xml:space="preserve"> </v>
      </c>
      <c r="JY189" s="535" t="str">
        <f t="shared" si="610"/>
        <v xml:space="preserve"> </v>
      </c>
      <c r="JZ189" s="535" t="str">
        <f t="shared" si="611"/>
        <v xml:space="preserve"> </v>
      </c>
      <c r="KA189" s="536" t="str">
        <f t="shared" si="526"/>
        <v xml:space="preserve"> </v>
      </c>
      <c r="KB189" s="535" t="e">
        <f t="shared" si="612"/>
        <v>#VALUE!</v>
      </c>
      <c r="KC189" s="535" t="str">
        <f t="shared" si="527"/>
        <v/>
      </c>
      <c r="KD189" s="537" t="str">
        <f t="shared" si="613"/>
        <v xml:space="preserve"> </v>
      </c>
      <c r="KE189" s="537" t="str">
        <f t="shared" si="614"/>
        <v xml:space="preserve"> </v>
      </c>
      <c r="KF189" s="534">
        <f t="shared" si="528"/>
        <v>0</v>
      </c>
      <c r="KG189" s="535" t="str">
        <f t="shared" si="529"/>
        <v xml:space="preserve"> </v>
      </c>
      <c r="KH189" s="535" t="str">
        <f t="shared" si="530"/>
        <v xml:space="preserve"> </v>
      </c>
      <c r="KI189" s="535" t="str">
        <f t="shared" si="531"/>
        <v xml:space="preserve"> </v>
      </c>
      <c r="KJ189" s="536" t="str">
        <f t="shared" si="532"/>
        <v xml:space="preserve"> </v>
      </c>
      <c r="KK189" s="535" t="str">
        <f t="shared" si="615"/>
        <v xml:space="preserve"> </v>
      </c>
      <c r="KL189" s="535" t="str">
        <f t="shared" si="616"/>
        <v xml:space="preserve"> </v>
      </c>
      <c r="KM189" s="537" t="str">
        <f t="shared" si="533"/>
        <v xml:space="preserve"> </v>
      </c>
      <c r="KN189" s="537" t="str">
        <f t="shared" si="617"/>
        <v xml:space="preserve"> </v>
      </c>
      <c r="KP189">
        <f t="shared" si="534"/>
        <v>0</v>
      </c>
      <c r="LA189" t="e">
        <f t="shared" si="535"/>
        <v>#VALUE!</v>
      </c>
      <c r="LB189" t="e">
        <f t="shared" si="536"/>
        <v>#VALUE!</v>
      </c>
      <c r="LC189" t="e">
        <f t="shared" si="537"/>
        <v>#VALUE!</v>
      </c>
      <c r="LD189" t="e">
        <f t="shared" si="538"/>
        <v>#VALUE!</v>
      </c>
      <c r="LE189" t="e">
        <f t="shared" si="618"/>
        <v>#VALUE!</v>
      </c>
      <c r="LF189">
        <f t="shared" si="539"/>
        <v>0</v>
      </c>
      <c r="LG189" t="e">
        <f t="shared" si="619"/>
        <v>#VALUE!</v>
      </c>
      <c r="LH189" t="str">
        <f t="shared" si="540"/>
        <v xml:space="preserve"> </v>
      </c>
      <c r="LI189">
        <f t="shared" si="620"/>
        <v>1</v>
      </c>
    </row>
    <row r="190" spans="2:321" ht="15" customHeight="1">
      <c r="B190" s="311"/>
      <c r="C190" s="311"/>
      <c r="D190" s="312"/>
      <c r="E190" s="311"/>
      <c r="F190" s="312"/>
      <c r="G190" s="311"/>
      <c r="H190" s="311"/>
      <c r="I190" s="37"/>
      <c r="J190" s="311"/>
      <c r="K190" s="305" t="str">
        <f t="shared" si="541"/>
        <v/>
      </c>
      <c r="L190" s="313"/>
      <c r="M190" s="312"/>
      <c r="N190" s="311"/>
      <c r="O190" s="312"/>
      <c r="P190" s="311"/>
      <c r="Q190" s="305" t="str">
        <f t="shared" si="542"/>
        <v/>
      </c>
      <c r="R190" s="314"/>
      <c r="S190" s="450" t="str">
        <f t="shared" si="425"/>
        <v/>
      </c>
      <c r="T190" s="315"/>
      <c r="U190" s="315"/>
      <c r="W190" s="149" t="str">
        <f t="shared" si="426"/>
        <v xml:space="preserve"> </v>
      </c>
      <c r="X190" s="243" t="str">
        <f t="shared" si="427"/>
        <v xml:space="preserve"> </v>
      </c>
      <c r="Y190" s="150" t="str">
        <f t="shared" si="428"/>
        <v/>
      </c>
      <c r="Z190" s="149" t="str">
        <f t="shared" si="429"/>
        <v xml:space="preserve"> </v>
      </c>
      <c r="AA190" s="98" t="str">
        <f t="shared" si="430"/>
        <v xml:space="preserve"> </v>
      </c>
      <c r="AB190" s="153" t="str">
        <f t="shared" si="431"/>
        <v xml:space="preserve"> </v>
      </c>
      <c r="AC190" s="153" t="str">
        <f t="shared" si="432"/>
        <v xml:space="preserve"> </v>
      </c>
      <c r="AD190" s="148" t="str">
        <f t="shared" si="433"/>
        <v/>
      </c>
      <c r="AE190" s="149" t="str">
        <f t="shared" si="434"/>
        <v/>
      </c>
      <c r="AF190" s="151" t="str">
        <f t="shared" si="435"/>
        <v xml:space="preserve"> </v>
      </c>
      <c r="AG190" s="153" t="str">
        <f t="shared" si="436"/>
        <v xml:space="preserve"> </v>
      </c>
      <c r="AH190" s="98" t="str">
        <f t="shared" si="437"/>
        <v xml:space="preserve"> </v>
      </c>
      <c r="AI190" s="149" t="str">
        <f t="shared" si="438"/>
        <v xml:space="preserve"> </v>
      </c>
      <c r="AK190" s="144" t="str">
        <f t="shared" si="439"/>
        <v xml:space="preserve"> </v>
      </c>
      <c r="AL190" s="144"/>
      <c r="AM190" s="243" t="str">
        <f t="shared" si="440"/>
        <v xml:space="preserve"> </v>
      </c>
      <c r="AN190" s="149" t="str">
        <f t="shared" si="543"/>
        <v xml:space="preserve"> </v>
      </c>
      <c r="AO190" s="144" t="str">
        <f>IF(JB190&gt;0,IF(GI190=10,-R190*1.085*(Calculation!$F$6-Calculation!$F$13)*$S$14," "),"")</f>
        <v/>
      </c>
      <c r="AP190" s="144" t="str">
        <f t="shared" si="441"/>
        <v/>
      </c>
      <c r="AQ190" s="56" t="str">
        <f t="shared" si="442"/>
        <v/>
      </c>
      <c r="AR190" s="144" t="str">
        <f t="shared" si="443"/>
        <v/>
      </c>
      <c r="AS190" s="176" t="str">
        <f t="shared" si="444"/>
        <v/>
      </c>
      <c r="AT190" s="176" t="str">
        <f t="shared" si="544"/>
        <v xml:space="preserve"> </v>
      </c>
      <c r="AU190" s="176" t="str">
        <f t="shared" si="445"/>
        <v/>
      </c>
      <c r="AV190" s="177" t="str">
        <f t="shared" si="446"/>
        <v xml:space="preserve"> </v>
      </c>
      <c r="AW190" s="144" t="str">
        <f t="shared" si="447"/>
        <v xml:space="preserve"> </v>
      </c>
      <c r="AX190" s="144" t="str">
        <f t="shared" si="448"/>
        <v xml:space="preserve"> </v>
      </c>
      <c r="AY190" s="152" t="str">
        <f t="shared" si="449"/>
        <v xml:space="preserve"> </v>
      </c>
      <c r="AZ190" s="246" t="str">
        <f t="shared" si="450"/>
        <v/>
      </c>
      <c r="BA190" s="176" t="str">
        <f t="shared" si="451"/>
        <v xml:space="preserve"> </v>
      </c>
      <c r="BB190" s="176" t="str">
        <f t="shared" si="452"/>
        <v xml:space="preserve"> </v>
      </c>
      <c r="BC190" s="195"/>
      <c r="BD190" s="316"/>
      <c r="BE190" s="317"/>
      <c r="BF190" s="318"/>
      <c r="BG190" s="318"/>
      <c r="BH190" s="144" t="str">
        <f t="shared" si="621"/>
        <v xml:space="preserve"> </v>
      </c>
      <c r="BI190" s="176" t="str">
        <f t="shared" si="453"/>
        <v/>
      </c>
      <c r="BJ190" s="144" t="str">
        <f t="shared" si="622"/>
        <v/>
      </c>
      <c r="BK190" s="246" t="str">
        <f t="shared" si="454"/>
        <v/>
      </c>
      <c r="BL190" s="144" t="str">
        <f t="shared" si="623"/>
        <v/>
      </c>
      <c r="BM190" s="246" t="str">
        <f t="shared" si="455"/>
        <v/>
      </c>
      <c r="BN190" s="337" t="str">
        <f t="shared" si="545"/>
        <v/>
      </c>
      <c r="BO190" s="371" t="str">
        <f t="shared" si="546"/>
        <v/>
      </c>
      <c r="BP190" s="328" t="str">
        <f t="shared" si="624"/>
        <v xml:space="preserve"> </v>
      </c>
      <c r="BQ190" s="347" t="str">
        <f t="shared" si="547"/>
        <v xml:space="preserve"> </v>
      </c>
      <c r="BR190" s="353" t="str">
        <f t="shared" si="548"/>
        <v xml:space="preserve"> </v>
      </c>
      <c r="BS190" s="626" t="str">
        <f>IF(L190&gt;0,IF(Calculation!P190="M13",BR190*3.1416*(0.134^2)/(4*144),IF(Calculation!P190="M17",BR190*3.1416*(0.165^2)/(4*144),IF(Calculation!P190="M20",BR190*3.1416*(0.198^2)/(4*144),IF(Calculation!P190="M23",BR190*3.1416*(0.228^2)/(4*144),IF(Calculation!P190="M27",BR190*3.1416*(0.269^2)/(4*144),BR190*3.1416*(0.307^2)/(4*144))))))," ")</f>
        <v xml:space="preserve"> </v>
      </c>
      <c r="BT190" s="353" t="str">
        <f>IF(L190&gt;0,IF(BS190&gt;0,R190/Calculation!BS190,0)," ")</f>
        <v xml:space="preserve"> </v>
      </c>
      <c r="BU190" s="438" t="e">
        <f t="shared" ca="1" si="456"/>
        <v>#VALUE!</v>
      </c>
      <c r="BV190" s="449" t="e">
        <f ca="1">INDEX(INDIRECT(VLOOKUP(LEFT(BO190,7),CLU!$Z$3:$AH$18,2)),GN190,GR190)</f>
        <v>#N/A</v>
      </c>
      <c r="BW190" s="433" t="e">
        <f ca="1">INDEX(INDIRECT(VLOOKUP(LEFT(BO190,7),CLU!$Z$3:$AH$18,3)),GN190,GR190)</f>
        <v>#N/A</v>
      </c>
      <c r="BX190" s="433" t="e">
        <f ca="1">INDEX(INDIRECT(VLOOKUP(LEFT(BO190,7),CLU!$Z$3:$AH$18,4)),GN190,GR190)</f>
        <v>#N/A</v>
      </c>
      <c r="BY190" s="433" t="e">
        <f ca="1">INDEX(INDIRECT(VLOOKUP(LEFT(BO190,7),CLU!$Z$3:$AH$18,9)),((M190-2)*(6-COUNTBLANK(GT190:GY190)))+GJ190)</f>
        <v>#N/A</v>
      </c>
      <c r="BZ190" s="426" t="e">
        <f t="shared" ca="1" si="549"/>
        <v>#N/A</v>
      </c>
      <c r="CA190" s="424" t="e">
        <f t="shared" ca="1" si="550"/>
        <v>#N/A</v>
      </c>
      <c r="CB190" s="429" t="e">
        <f ca="1">INDEX(INDIRECT(VLOOKUP(LEFT(BO190,7),CLU!$Z$3:$AH$18,2)),GN190,GS190)</f>
        <v>#N/A</v>
      </c>
      <c r="CC190" s="342" t="e">
        <f ca="1">INDEX(INDIRECT(VLOOKUP(LEFT(BO190,7),CLU!$Z$3:$AH$18,3)),GN190,GS190)</f>
        <v>#N/A</v>
      </c>
      <c r="CD190" s="342" t="e">
        <f ca="1">INDEX(INDIRECT(VLOOKUP(LEFT(BO190,7),CLU!$Z$3:$AH$18,4)),GN190,GS190)</f>
        <v>#N/A</v>
      </c>
      <c r="CE190" s="426" t="e">
        <f t="shared" ca="1" si="551"/>
        <v>#N/A</v>
      </c>
      <c r="CF190" s="440">
        <f t="shared" si="552"/>
        <v>0</v>
      </c>
      <c r="CG190" s="431" t="e">
        <f ca="1">INDEX(INDIRECT(VLOOKUP(LEFT(BO190,7),CLU!$Z$3:$AH$18,2)),GQ190,GR190)</f>
        <v>#N/A</v>
      </c>
      <c r="CH190" s="431" t="e">
        <f ca="1">INDEX(INDIRECT(VLOOKUP(LEFT(BO190,7),CLU!$Z$3:$AH$18,3)),GQ190,GR190)</f>
        <v>#N/A</v>
      </c>
      <c r="CI190" s="431" t="e">
        <f ca="1">INDEX(INDIRECT(VLOOKUP(LEFT(BO190,7),CLU!$Z$3:$AH$18,4)),GQ190,GR190)</f>
        <v>#N/A</v>
      </c>
      <c r="CJ190" s="448" t="e">
        <f t="shared" ca="1" si="553"/>
        <v>#N/A</v>
      </c>
      <c r="CK190" s="431" t="e">
        <f t="shared" ca="1" si="554"/>
        <v>#N/A</v>
      </c>
      <c r="CL190" s="440" t="e">
        <f t="shared" ca="1" si="555"/>
        <v>#N/A</v>
      </c>
      <c r="CM190" s="431" t="e">
        <f ca="1">INDEX(INDIRECT(VLOOKUP(LEFT(BO190,7),CLU!$Z$3:$AH$18,2)),GQ190,GS190)</f>
        <v>#N/A</v>
      </c>
      <c r="CN190" s="431" t="e">
        <f ca="1">INDEX(INDIRECT(VLOOKUP(LEFT(BO190,7),CLU!$Z$3:$AH$18,3)),GQ190,GS190)</f>
        <v>#N/A</v>
      </c>
      <c r="CO190" s="431" t="e">
        <f ca="1">INDEX(INDIRECT(VLOOKUP(LEFT(BO190,7),CLU!$Z$3:$AH$18,4)),GQ190,GS190)</f>
        <v>#N/A</v>
      </c>
      <c r="CP190" s="431" t="e">
        <f t="shared" ca="1" si="556"/>
        <v>#N/A</v>
      </c>
      <c r="CQ190" s="440">
        <f t="shared" si="557"/>
        <v>0</v>
      </c>
      <c r="CR190" s="51" t="e">
        <f t="shared" ca="1" si="558"/>
        <v>#N/A</v>
      </c>
      <c r="CS190" s="439" t="e">
        <f t="shared" ca="1" si="559"/>
        <v>#VALUE!</v>
      </c>
      <c r="CT190" s="51" t="e">
        <f t="shared" ca="1" si="560"/>
        <v>#VALUE!</v>
      </c>
      <c r="CU190" s="10"/>
      <c r="CV190" s="51" t="e">
        <f t="shared" ca="1" si="457"/>
        <v>#VALUE!</v>
      </c>
      <c r="CW190" s="51">
        <f t="shared" si="561"/>
        <v>0</v>
      </c>
      <c r="CX190" s="439" t="e">
        <f t="shared" ca="1" si="562"/>
        <v>#VALUE!</v>
      </c>
      <c r="CY190" s="51" t="e">
        <f t="shared" ca="1" si="563"/>
        <v>#VALUE!</v>
      </c>
      <c r="CZ190" s="10"/>
      <c r="DA190" s="51" t="e">
        <f t="shared" ca="1" si="564"/>
        <v>#VALUE!</v>
      </c>
      <c r="DB190" s="347" t="e">
        <f ca="1">INDEX(INDIRECT(VLOOKUP(LEFT(BO190,7),CLU!$Z$3:$AI$18,10)),((M190-2)*(6-COUNTBLANK(GT190:GY190)))+GJ190)*LI190</f>
        <v>#N/A</v>
      </c>
      <c r="DC190" s="347" t="str">
        <f>IF(L190&gt;0,((R190/Worksheet!$I$15)/DB190)^2," ")</f>
        <v xml:space="preserve"> </v>
      </c>
      <c r="DD190" s="602" t="str">
        <f t="shared" si="565"/>
        <v xml:space="preserve"> </v>
      </c>
      <c r="DE190" s="347" t="str">
        <f t="shared" si="458"/>
        <v xml:space="preserve"> </v>
      </c>
      <c r="DF190" s="356" t="e">
        <f ca="1">INDEX(INDIRECT(VLOOKUP(LEFT(BO190,7),CLU!$Z$3:$AH$18,8)),((M190-2)*(6-COUNTBLANK(GT190:GY190)))+GJ190)</f>
        <v>#N/A</v>
      </c>
      <c r="DG190" s="347" t="str">
        <f t="shared" si="459"/>
        <v xml:space="preserve"> </v>
      </c>
      <c r="DH190" s="357" t="str">
        <f t="shared" si="460"/>
        <v xml:space="preserve"> </v>
      </c>
      <c r="DI190" s="355" t="str">
        <f t="shared" si="461"/>
        <v xml:space="preserve"> </v>
      </c>
      <c r="DJ190" s="245" t="e">
        <f ca="1">INDEX(INDIRECT(VLOOKUP(LEFT(BO190,7),CLU!$Z$3:$AH$18,5)),GL190,GK190)</f>
        <v>#N/A</v>
      </c>
      <c r="DK190" s="245" t="e">
        <f ca="1">INDEX(INDIRECT(VLOOKUP(LEFT(BO190,7),CLU!$Z$3:$AH$18,6)),GL190,GK190)</f>
        <v>#N/A</v>
      </c>
      <c r="DL190" s="355">
        <f>(Calculation!R190*0.69143*(Calculation!$BQ$8-Calculation!$F$8))*$S$14</f>
        <v>0</v>
      </c>
      <c r="DM190" s="359" t="e">
        <f t="shared" si="566"/>
        <v>#VALUE!</v>
      </c>
      <c r="DN190" s="611">
        <f t="shared" si="567"/>
        <v>0</v>
      </c>
      <c r="DO190" s="359">
        <f t="shared" si="568"/>
        <v>100</v>
      </c>
      <c r="DP190" s="359">
        <f t="shared" si="569"/>
        <v>0</v>
      </c>
      <c r="DQ190" s="360"/>
      <c r="DR190" s="245" t="e">
        <f ca="1">INDEX(INDIRECT(VLOOKUP(LEFT(BO190,7),CLU!$Z$3:$AH$18,7)),M190-1,1)</f>
        <v>#N/A</v>
      </c>
      <c r="DS190" s="245" t="e">
        <f ca="1">INDEX(INDIRECT(VLOOKUP(LEFT(BO190,7),CLU!$Z$3:$AH$18,7)),M190-1,2)</f>
        <v>#N/A</v>
      </c>
      <c r="DT190" s="245" t="e">
        <f ca="1">INDEX(INDIRECT(VLOOKUP(LEFT(BO190,7),CLU!$Z$3:$AH$18,7)),M190-1,3)</f>
        <v>#N/A</v>
      </c>
      <c r="DU190" s="245" t="e">
        <f ca="1">INDEX(INDIRECT(VLOOKUP(LEFT(BO190,7),CLU!$Z$3:$AH$18,7)),M190-1,4)</f>
        <v>#N/A</v>
      </c>
      <c r="DV190" s="361" t="e">
        <f ca="1">INDEX(INDIRECT(VLOOKUP(LEFT(BO190,7),CLU!$Z$3:$AH$18,7)),M190-1,4+LEFT(DZ190,1)*0.5)</f>
        <v>#N/A</v>
      </c>
      <c r="DW190" s="245" t="e">
        <f ca="1">INDEX(INDIRECT(VLOOKUP(LEFT(BO190,7),CLU!$Z$3:$AH$18,7)),M190-1,8)</f>
        <v>#N/A</v>
      </c>
      <c r="DX190" s="361" t="str">
        <f t="shared" si="462"/>
        <v xml:space="preserve"> </v>
      </c>
      <c r="DY190" s="361" t="str">
        <f t="shared" si="463"/>
        <v xml:space="preserve"> </v>
      </c>
      <c r="DZ190" s="361" t="str">
        <f t="shared" si="464"/>
        <v xml:space="preserve"> </v>
      </c>
      <c r="EA190" s="362" t="str">
        <f t="shared" si="465"/>
        <v xml:space="preserve"> </v>
      </c>
      <c r="EB190" s="624" t="str">
        <f t="shared" si="570"/>
        <v xml:space="preserve"> </v>
      </c>
      <c r="EC190" s="361" t="e">
        <f ca="1">INDEX(INDIRECT(VLOOKUP(LEFT(BO190,7),CLU!$Z$3:$AH$18,7)),M190-1,4+LEFT(DZ190,1)*0.5)</f>
        <v>#N/A</v>
      </c>
      <c r="ED190" s="362" t="str">
        <f t="shared" si="466"/>
        <v xml:space="preserve"> </v>
      </c>
      <c r="EE190" s="361" t="str">
        <f t="shared" si="467"/>
        <v xml:space="preserve"> </v>
      </c>
      <c r="EF190" s="362" t="str">
        <f>IF(L190&gt;0,IF(BR190&gt;0,IF(EE190="2P",IF(Calculation!DZ190="2P",IF(Calculation!DS190=13.75,IF(Calculation!DR190=13,Worksheet!$BD$43,IF(Calculation!DR190=37,Worksheet!$BD$44,Worksheet!$BD$45)),IF(Calculation!DS190=10,IF(Calculation!DR190=18,Worksheet!$BD$29,IF(Calculation!DR190=30,Worksheet!$BD$30,IF(Calculation!DR190=42,Worksheet!$BD$31,IF(Calculation!DR190=54,Worksheet!$BD$32,IF(Calculation!DR190=66,Worksheet!$BD$33,IF(Calculation!DR190=78,Worksheet!$BD$34,IF(Calculation!DR190=90,Worksheet!$BD$35,IF(Calculation!DR190=102,Worksheet!$BD$36,Worksheet!$BD$37)))))))),IF(Calculation!DS190=12.5,IF(Calculation!DR190=18,Worksheet!$BD$38,IF(Calculation!DR190=Worksheet!$BD$39,IF(Calculation!DR190=42,Worksheet!$BD$40,IF(Calculation!DR190=54,Worksheet!$BD$41,Worksheet!$BD$42)))),IF(Calculation!DR190=18,Worksheet!$BD$11,IF(Calculation!DR190=30,Worksheet!$BD$12,IF(Calculation!DR190=42,Worksheet!$BD$13,IF(Calculation!DR190=54,Worksheet!$BD$14,IF(Calculation!DR190=66,Worksheet!$BD$15,IF(Calculation!DR190=78,Worksheet!$BD$16,IF(Calculation!DR190=90,Worksheet!$BD$17,IF(Calculation!DR190=102,Worksheet!$BD$18,Worksheet!$BD$19))))))))))),IF(Calculation!DS190=13.75,IF(Calculation!DR190=13,Worksheet!$BD$78,IF(Calculation!DR190=37,Worksheet!$BD$79,Worksheet!$BD$80)),IF(Calculation!DS190=10,IF(Calculation!DR190=18,Worksheet!$BD$64,IF(Calculation!DR190=30,Worksheet!$BD$65,IF(Calculation!DR190=42,Worksheet!$BD$66,IF(Calculation!DR190=54,Worksheet!$BD$68,IF(Calculation!DR190=66,Worksheet!$BD$68,IF(Calculation!DR190=78,Worksheet!$BD$69,IF(Calculation!DR190=90,Worksheet!$BD$70,IF(Calculation!DR190=102,Worksheet!$BD$71,Worksheet!$BD$72)))))))),IF(Calculation!DS190=12.5,IF(Calculation!DR190=18,Worksheet!$BD$73,IF(Calculation!DR190=Worksheet!$BD$74,IF(Calculation!DR190=42,Worksheet!$BD$75,IF(Calculation!DR190=54,Worksheet!$BD$76,Worksheet!$BD$77)))),IF(Calculation!DR190=18,Worksheet!$BD$55,IF(Calculation!DR190=30,Worksheet!$BD$56,IF(Calculation!DR190=42,Worksheet!$BD$57,IF(Calculation!DR190=54,Worksheet!$BD$58,IF(Calculation!DR190=66,Worksheet!$BD$59,IF(Calculation!DR190=78,Worksheet!$BD$60,IF(Calculation!DR190=90,Worksheet!$BD$61,IF(Calculation!DR190=102,Worksheet!$BD$62,Worksheet!$BD$63)))))))))))),5),0)," ")</f>
        <v xml:space="preserve"> </v>
      </c>
      <c r="EG190" s="361" t="str">
        <f t="shared" si="468"/>
        <v xml:space="preserve"> </v>
      </c>
      <c r="EH190" s="361" t="e">
        <f ca="1">INDEX(INDIRECT(VLOOKUP(LEFT(BO190,7),CLU!$Z$3:$AH$18,7)),M190-1,3+LEFT(DZ190,1))</f>
        <v>#N/A</v>
      </c>
      <c r="EI190" s="362" t="str">
        <f t="shared" si="469"/>
        <v xml:space="preserve"> </v>
      </c>
      <c r="EJ190" s="363" t="str">
        <f t="shared" si="470"/>
        <v xml:space="preserve"> </v>
      </c>
      <c r="EK190" s="363" t="str">
        <f t="shared" si="471"/>
        <v xml:space="preserve"> </v>
      </c>
      <c r="EL190" s="363" t="str">
        <f t="shared" si="472"/>
        <v xml:space="preserve"> </v>
      </c>
      <c r="EM190" s="362" t="str">
        <f>IF(L190&gt;0,IF(BR190&gt;0,(Calculation!T190/ED190)^2,0)," ")</f>
        <v xml:space="preserve"> </v>
      </c>
      <c r="EN190" s="362" t="str">
        <f>IF(L190&gt;0,IF(O190="2 Pipe (Cooling)","N/A",IF(BR190&gt;0,(Calculation!U190/EI190)^2,0))," ")</f>
        <v xml:space="preserve"> </v>
      </c>
      <c r="EO190" s="361" t="str">
        <f t="shared" si="473"/>
        <v/>
      </c>
      <c r="EP190" s="361" t="str">
        <f t="shared" si="474"/>
        <v/>
      </c>
      <c r="EQ190" s="361" t="str">
        <f t="shared" si="475"/>
        <v/>
      </c>
      <c r="ER190" s="361" t="str">
        <f t="shared" si="476"/>
        <v/>
      </c>
      <c r="ES190" s="361" t="str">
        <f t="shared" si="477"/>
        <v/>
      </c>
      <c r="ET190" s="361" t="str">
        <f t="shared" si="478"/>
        <v/>
      </c>
      <c r="EU190" s="361" t="str">
        <f t="shared" si="479"/>
        <v/>
      </c>
      <c r="EV190" s="361" t="str">
        <f t="shared" si="480"/>
        <v/>
      </c>
      <c r="EW190" s="361" t="str">
        <f t="shared" si="481"/>
        <v/>
      </c>
      <c r="EX190" s="361" t="str">
        <f t="shared" si="571"/>
        <v>1 slot, 1 way</v>
      </c>
      <c r="EY190" s="361" t="str">
        <f t="shared" si="572"/>
        <v xml:space="preserve"> </v>
      </c>
      <c r="EZ190" s="361" t="str">
        <f t="shared" si="573"/>
        <v xml:space="preserve"> </v>
      </c>
      <c r="FA190" s="361" t="str">
        <f t="shared" si="574"/>
        <v xml:space="preserve"> </v>
      </c>
      <c r="FB190" s="361" t="str">
        <f t="shared" si="575"/>
        <v xml:space="preserve"> </v>
      </c>
      <c r="FC190" s="361"/>
      <c r="FD190" s="361" t="str">
        <f>IF(J190&gt;0,IF(Calculation!R190&lt;=70,4,IF(Calculation!R190&lt;=110,5,IF(Calculation!R190&lt;=160,6,IF(Calculation!R190&lt;=300,8,"10 EO")))),"")</f>
        <v/>
      </c>
      <c r="FE190" s="361" t="str">
        <f t="shared" si="576"/>
        <v/>
      </c>
      <c r="FF190" s="361" t="str">
        <f t="shared" si="577"/>
        <v/>
      </c>
      <c r="FG190" s="361" t="e">
        <f t="shared" si="482"/>
        <v>#N/A</v>
      </c>
      <c r="FH190" s="361">
        <f t="shared" si="483"/>
        <v>0</v>
      </c>
      <c r="FI190" s="361" t="e">
        <f t="shared" si="484"/>
        <v>#DIV/0!</v>
      </c>
      <c r="FJ190" s="361"/>
      <c r="FK190" s="356" t="e">
        <f t="shared" si="485"/>
        <v>#VALUE!</v>
      </c>
      <c r="FL190" s="361"/>
      <c r="FM190" s="361"/>
      <c r="FN190" s="362" t="str">
        <f t="shared" si="578"/>
        <v xml:space="preserve"> </v>
      </c>
      <c r="FO190" s="362" t="str">
        <f t="shared" si="579"/>
        <v xml:space="preserve"> </v>
      </c>
      <c r="FP190" s="362">
        <f t="shared" si="580"/>
        <v>0</v>
      </c>
      <c r="FQ190" s="361">
        <f t="shared" si="486"/>
        <v>0</v>
      </c>
      <c r="FR190" s="362" t="str">
        <f>IF(L190&gt;0,IF(J190="CBAL2",Worksheet!$P$67,IF(J190="CBE2-24",Worksheet!$Q$67,IF(J190="CBAM",Worksheet!$R$67,IF(J190="CBLV",Worksheet!$S$67,IF(J190="CBAB",Worksheet!$U$67,IF(J190="CBAW",Worksheet!$X$67,IF(J190="CBE2-12",Worksheet!$Y$67,IF(J190="CBAL2",Worksheet!$Z$67,"N/A"))))))))," ")</f>
        <v xml:space="preserve"> </v>
      </c>
      <c r="FS190" s="362" t="str">
        <f>IF(L190&gt;0,IF(J190="CBAL2",Worksheet!$P$68,IF(J190="CBE2-24",Worksheet!$Q$68,IF(J190="CBAM",Worksheet!$R$68,IF(J190="CBLV",Worksheet!$S$68,IF(J190="CBAB",Worksheet!$U$68,IF(J190="CBAW",Worksheet!$X$68,IF(J190="CBE2-12",Worksheet!$Y$68,IF(J190="CBAL2",Worksheet!$Z$68,"N/A"))))))))," ")</f>
        <v xml:space="preserve"> </v>
      </c>
      <c r="FT190" s="362" t="str">
        <f>IF(L190&gt;0,IF(J190="CBAL2",Worksheet!$P$69,IF(J190="CBE2-24",Worksheet!$Q$69,IF(J190="CBAM",Worksheet!$R$69,IF(J190="CBLV",Worksheet!$S$69,IF(J190="CBAB",Worksheet!$U$69,IF(J190="CBAW",Worksheet!$X$69,IF(J190="CBE2-12",Worksheet!$Y$69,IF(J190="CBAL2",Worksheet!$Z$69,"N/A"))))))))," ")</f>
        <v xml:space="preserve"> </v>
      </c>
      <c r="FU190" s="361" t="str">
        <f t="shared" si="581"/>
        <v xml:space="preserve"> </v>
      </c>
      <c r="FV190" s="362" t="str">
        <f t="shared" si="582"/>
        <v xml:space="preserve"> </v>
      </c>
      <c r="FW190" s="362" t="str">
        <f t="shared" si="583"/>
        <v xml:space="preserve"> </v>
      </c>
      <c r="FX190" s="362" t="str">
        <f t="shared" si="584"/>
        <v xml:space="preserve"> </v>
      </c>
      <c r="FY190" s="355" t="str">
        <f t="shared" si="585"/>
        <v xml:space="preserve"> </v>
      </c>
      <c r="FZ190" s="361" t="str">
        <f t="shared" si="586"/>
        <v xml:space="preserve"> </v>
      </c>
      <c r="GA190" s="347" t="str">
        <f t="shared" si="587"/>
        <v xml:space="preserve"> </v>
      </c>
      <c r="GB190" s="355" t="str">
        <f t="shared" si="588"/>
        <v xml:space="preserve"> </v>
      </c>
      <c r="GC190" s="328" t="str">
        <f t="shared" si="589"/>
        <v xml:space="preserve"> </v>
      </c>
      <c r="GD190" s="361" t="str">
        <f t="shared" si="590"/>
        <v xml:space="preserve"> </v>
      </c>
      <c r="GE190" s="347" t="str">
        <f t="shared" si="591"/>
        <v xml:space="preserve"> </v>
      </c>
      <c r="GF190" s="361" t="str">
        <f t="shared" si="592"/>
        <v xml:space="preserve"> </v>
      </c>
      <c r="GG190" s="347" t="str">
        <f t="shared" si="593"/>
        <v xml:space="preserve"> </v>
      </c>
      <c r="GH190" s="364">
        <f t="shared" si="487"/>
        <v>0</v>
      </c>
      <c r="GI190" s="362">
        <f t="shared" si="594"/>
        <v>2</v>
      </c>
      <c r="GJ190" s="433" t="e">
        <f>IF(6-COUNTBLANK(GT190:GY190)=4,MATCH(MID(BO190,9,3),CLU!$H$16:$K$16),MATCH(MID(BO190,9,3),CLU!$H$13:$M$13))</f>
        <v>#N/A</v>
      </c>
      <c r="GK190" s="433" t="e">
        <f>HLOOKUP(VALUE(BP190),CLU!$H$9:$M$10,2)</f>
        <v>#VALUE!</v>
      </c>
      <c r="GL190" s="433" t="e">
        <f ca="1">MATCH(BU190,CLU!$H$2:$V$2,1)</f>
        <v>#VALUE!</v>
      </c>
      <c r="GM190" s="433" t="e">
        <f t="shared" ca="1" si="595"/>
        <v>#VALUE!</v>
      </c>
      <c r="GN190" s="433" t="e">
        <f t="shared" ca="1" si="596"/>
        <v>#VALUE!</v>
      </c>
      <c r="GO190" s="433" t="e">
        <f t="shared" ca="1" si="597"/>
        <v>#VALUE!</v>
      </c>
      <c r="GP190" s="433" t="e">
        <f t="shared" ca="1" si="598"/>
        <v>#VALUE!</v>
      </c>
      <c r="GQ190" s="433" t="e">
        <f t="shared" ca="1" si="599"/>
        <v>#VALUE!</v>
      </c>
      <c r="GR190" s="433" t="e">
        <f ca="1">MATCH(T190,INDIRECT(VLOOKUP(CONCATENATE(LEFT(BO190,7),"-",MID(BO190,13,1)),CLU!$P$3:$Q$16,2)),1)</f>
        <v>#N/A</v>
      </c>
      <c r="GS190" s="433" t="e">
        <f ca="1">MATCH(U190,INDIRECT(VLOOKUP(CONCATENATE(LEFT(BO190,7),"-",MID(BO190,13,1)),CLU!$P$3:$Q$16,2)),1)</f>
        <v>#N/A</v>
      </c>
      <c r="GT190" s="347" t="s">
        <v>512</v>
      </c>
      <c r="GU190" s="97" t="s">
        <v>513</v>
      </c>
      <c r="GV190" s="97" t="str">
        <f t="shared" si="600"/>
        <v>M23</v>
      </c>
      <c r="GW190" s="97" t="str">
        <f t="shared" si="601"/>
        <v>M31</v>
      </c>
      <c r="GX190" s="97" t="str">
        <f t="shared" si="602"/>
        <v/>
      </c>
      <c r="GY190" s="97" t="str">
        <f t="shared" si="603"/>
        <v/>
      </c>
      <c r="GZ190" s="481"/>
      <c r="HA190" s="288"/>
      <c r="HB190" s="240"/>
      <c r="HC190" s="240"/>
      <c r="HD190" s="240"/>
      <c r="HE190" s="240"/>
      <c r="HF190" s="240"/>
      <c r="HG190" s="240"/>
      <c r="HH190" s="240"/>
      <c r="HI190" s="240"/>
      <c r="HJ190" s="240"/>
      <c r="HK190" s="240"/>
      <c r="HL190" s="240"/>
      <c r="HM190" s="240"/>
      <c r="HN190" s="240"/>
      <c r="HO190" s="240"/>
      <c r="HP190" s="240"/>
      <c r="HQ190" s="240"/>
      <c r="HR190" s="240"/>
      <c r="HS190" s="240"/>
      <c r="HT190" s="240"/>
      <c r="HU190" s="240"/>
      <c r="HV190" s="245"/>
      <c r="HW190" s="245" t="b">
        <v>1</v>
      </c>
      <c r="HX190" s="245" t="str">
        <f t="shared" si="488"/>
        <v/>
      </c>
      <c r="HY190" s="245" t="e">
        <f t="shared" si="489"/>
        <v>#DIV/0!</v>
      </c>
      <c r="HZ190" s="245" t="e">
        <f t="shared" si="490"/>
        <v>#DIV/0!</v>
      </c>
      <c r="IA190" s="245">
        <f t="shared" si="491"/>
        <v>0</v>
      </c>
      <c r="IB190" s="245"/>
      <c r="IC190" t="b">
        <f t="shared" si="492"/>
        <v>1</v>
      </c>
      <c r="ID190" s="245" t="b">
        <f t="shared" si="493"/>
        <v>1</v>
      </c>
      <c r="IE190" s="245" t="b">
        <f t="shared" si="494"/>
        <v>1</v>
      </c>
      <c r="IF190" s="245" t="b">
        <f t="shared" si="495"/>
        <v>0</v>
      </c>
      <c r="IG190" s="245" t="b">
        <f t="shared" si="496"/>
        <v>1</v>
      </c>
      <c r="IH190" s="245" t="b">
        <f t="shared" si="497"/>
        <v>1</v>
      </c>
      <c r="II190" s="245">
        <f t="shared" si="604"/>
        <v>0</v>
      </c>
      <c r="IJ190" s="245" t="e">
        <f t="shared" si="498"/>
        <v>#VALUE!</v>
      </c>
      <c r="IK190" s="245" t="e">
        <f t="shared" si="499"/>
        <v>#VALUE!</v>
      </c>
      <c r="IL190" s="245"/>
      <c r="IM190" s="245" t="e">
        <f t="shared" si="605"/>
        <v>#N/A</v>
      </c>
      <c r="IN190" s="245" t="e">
        <f t="shared" si="606"/>
        <v>#N/A</v>
      </c>
      <c r="IO190" s="245"/>
      <c r="IP190" s="245"/>
      <c r="IQ190" s="245" t="str">
        <f t="shared" si="500"/>
        <v/>
      </c>
      <c r="IR190" s="245" t="str">
        <f>IF(J190="","",VLOOKUP(J190,Worksheet!$R$4:$T$14,2))</f>
        <v/>
      </c>
      <c r="IS190" s="245"/>
      <c r="IT190" s="245">
        <f t="shared" si="501"/>
        <v>0</v>
      </c>
      <c r="IU190" s="245">
        <f t="shared" si="502"/>
        <v>0</v>
      </c>
      <c r="IV190" s="245">
        <f t="shared" si="503"/>
        <v>0</v>
      </c>
      <c r="IW190" s="245">
        <f t="shared" si="504"/>
        <v>0</v>
      </c>
      <c r="IX190" s="245">
        <f t="shared" si="607"/>
        <v>0</v>
      </c>
      <c r="IY190" s="245">
        <f t="shared" si="505"/>
        <v>0</v>
      </c>
      <c r="IZ190" s="245">
        <f t="shared" si="506"/>
        <v>0</v>
      </c>
      <c r="JA190">
        <f t="shared" si="507"/>
        <v>0</v>
      </c>
      <c r="JB190">
        <f t="shared" si="608"/>
        <v>0</v>
      </c>
      <c r="JC190">
        <f t="shared" si="508"/>
        <v>0</v>
      </c>
      <c r="JD190">
        <f t="shared" si="509"/>
        <v>0</v>
      </c>
      <c r="JE190">
        <f t="shared" si="510"/>
        <v>0</v>
      </c>
      <c r="JF190">
        <f t="shared" si="511"/>
        <v>0</v>
      </c>
      <c r="JG190">
        <f t="shared" si="512"/>
        <v>0</v>
      </c>
      <c r="JH190">
        <f t="shared" si="513"/>
        <v>0</v>
      </c>
      <c r="JI190">
        <f t="shared" si="514"/>
        <v>0</v>
      </c>
      <c r="JJ190" s="447">
        <f t="shared" si="515"/>
        <v>0</v>
      </c>
      <c r="JK190" s="447">
        <f t="shared" si="516"/>
        <v>0</v>
      </c>
      <c r="JL190">
        <f t="shared" si="517"/>
        <v>0</v>
      </c>
      <c r="JM190" s="245" t="str">
        <f>IFERROR(VLOOKUP(MATCH(BN190,#REF!,0),#REF!,7),"")</f>
        <v/>
      </c>
      <c r="JN190" t="e">
        <f>HLOOKUP(LEFT(BO190,7),Discharge_Area,MATCH(JO190,LookUps!$B$130:$B$149,1)+2)</f>
        <v>#N/A</v>
      </c>
      <c r="JO190" t="str">
        <f t="shared" si="518"/>
        <v>- S</v>
      </c>
      <c r="JP190" t="e">
        <f>HLOOKUP(LEFT(BO190,7),Discharge_Area,MATCH(JO190,LookUps!$B$130:$B$149,1)+2)</f>
        <v>#N/A</v>
      </c>
      <c r="JQ190" t="e">
        <f t="shared" si="519"/>
        <v>#N/A</v>
      </c>
      <c r="JR190" t="e">
        <f t="shared" si="520"/>
        <v>#N/A</v>
      </c>
      <c r="JS190" t="e">
        <f t="shared" si="521"/>
        <v>#N/A</v>
      </c>
      <c r="JT190" s="532" t="str">
        <f t="shared" si="522"/>
        <v xml:space="preserve"> </v>
      </c>
      <c r="JU190" s="532" t="str">
        <f t="shared" si="523"/>
        <v xml:space="preserve"> </v>
      </c>
      <c r="JV190" s="533" t="str">
        <f t="shared" si="524"/>
        <v xml:space="preserve"> </v>
      </c>
      <c r="JW190" s="534">
        <f t="shared" si="525"/>
        <v>0</v>
      </c>
      <c r="JX190" s="535" t="str">
        <f t="shared" si="609"/>
        <v xml:space="preserve"> </v>
      </c>
      <c r="JY190" s="535" t="str">
        <f t="shared" si="610"/>
        <v xml:space="preserve"> </v>
      </c>
      <c r="JZ190" s="535" t="str">
        <f t="shared" si="611"/>
        <v xml:space="preserve"> </v>
      </c>
      <c r="KA190" s="536" t="str">
        <f t="shared" si="526"/>
        <v xml:space="preserve"> </v>
      </c>
      <c r="KB190" s="535" t="e">
        <f t="shared" si="612"/>
        <v>#VALUE!</v>
      </c>
      <c r="KC190" s="535" t="str">
        <f t="shared" si="527"/>
        <v/>
      </c>
      <c r="KD190" s="537" t="str">
        <f t="shared" si="613"/>
        <v xml:space="preserve"> </v>
      </c>
      <c r="KE190" s="537" t="str">
        <f t="shared" si="614"/>
        <v xml:space="preserve"> </v>
      </c>
      <c r="KF190" s="534">
        <f t="shared" si="528"/>
        <v>0</v>
      </c>
      <c r="KG190" s="535" t="str">
        <f t="shared" si="529"/>
        <v xml:space="preserve"> </v>
      </c>
      <c r="KH190" s="535" t="str">
        <f t="shared" si="530"/>
        <v xml:space="preserve"> </v>
      </c>
      <c r="KI190" s="535" t="str">
        <f t="shared" si="531"/>
        <v xml:space="preserve"> </v>
      </c>
      <c r="KJ190" s="536" t="str">
        <f t="shared" si="532"/>
        <v xml:space="preserve"> </v>
      </c>
      <c r="KK190" s="535" t="str">
        <f t="shared" si="615"/>
        <v xml:space="preserve"> </v>
      </c>
      <c r="KL190" s="535" t="str">
        <f t="shared" si="616"/>
        <v xml:space="preserve"> </v>
      </c>
      <c r="KM190" s="537" t="str">
        <f t="shared" si="533"/>
        <v xml:space="preserve"> </v>
      </c>
      <c r="KN190" s="537" t="str">
        <f t="shared" si="617"/>
        <v xml:space="preserve"> </v>
      </c>
      <c r="KP190">
        <f t="shared" si="534"/>
        <v>0</v>
      </c>
      <c r="LA190" t="e">
        <f t="shared" si="535"/>
        <v>#VALUE!</v>
      </c>
      <c r="LB190" t="e">
        <f t="shared" si="536"/>
        <v>#VALUE!</v>
      </c>
      <c r="LC190" t="e">
        <f t="shared" si="537"/>
        <v>#VALUE!</v>
      </c>
      <c r="LD190" t="e">
        <f t="shared" si="538"/>
        <v>#VALUE!</v>
      </c>
      <c r="LE190" t="e">
        <f t="shared" si="618"/>
        <v>#VALUE!</v>
      </c>
      <c r="LF190">
        <f t="shared" si="539"/>
        <v>0</v>
      </c>
      <c r="LG190" t="e">
        <f t="shared" si="619"/>
        <v>#VALUE!</v>
      </c>
      <c r="LH190" t="str">
        <f t="shared" si="540"/>
        <v xml:space="preserve"> </v>
      </c>
      <c r="LI190">
        <f t="shared" si="620"/>
        <v>1</v>
      </c>
    </row>
    <row r="191" spans="2:321" ht="15" customHeight="1">
      <c r="B191" s="311"/>
      <c r="C191" s="311"/>
      <c r="D191" s="312"/>
      <c r="E191" s="311"/>
      <c r="F191" s="312"/>
      <c r="G191" s="311"/>
      <c r="H191" s="311"/>
      <c r="I191" s="37"/>
      <c r="J191" s="311"/>
      <c r="K191" s="305" t="str">
        <f t="shared" si="541"/>
        <v/>
      </c>
      <c r="L191" s="313"/>
      <c r="M191" s="312"/>
      <c r="N191" s="311"/>
      <c r="O191" s="312"/>
      <c r="P191" s="311"/>
      <c r="Q191" s="305" t="str">
        <f t="shared" si="542"/>
        <v/>
      </c>
      <c r="R191" s="314"/>
      <c r="S191" s="450" t="str">
        <f t="shared" si="425"/>
        <v/>
      </c>
      <c r="T191" s="315"/>
      <c r="U191" s="315"/>
      <c r="W191" s="149" t="str">
        <f t="shared" si="426"/>
        <v xml:space="preserve"> </v>
      </c>
      <c r="X191" s="243" t="str">
        <f t="shared" si="427"/>
        <v xml:space="preserve"> </v>
      </c>
      <c r="Y191" s="150" t="str">
        <f t="shared" si="428"/>
        <v/>
      </c>
      <c r="Z191" s="149" t="str">
        <f t="shared" si="429"/>
        <v xml:space="preserve"> </v>
      </c>
      <c r="AA191" s="98" t="str">
        <f t="shared" si="430"/>
        <v xml:space="preserve"> </v>
      </c>
      <c r="AB191" s="153" t="str">
        <f t="shared" si="431"/>
        <v xml:space="preserve"> </v>
      </c>
      <c r="AC191" s="153" t="str">
        <f t="shared" si="432"/>
        <v xml:space="preserve"> </v>
      </c>
      <c r="AD191" s="148" t="str">
        <f t="shared" si="433"/>
        <v/>
      </c>
      <c r="AE191" s="149" t="str">
        <f t="shared" si="434"/>
        <v/>
      </c>
      <c r="AF191" s="151" t="str">
        <f t="shared" si="435"/>
        <v xml:space="preserve"> </v>
      </c>
      <c r="AG191" s="153" t="str">
        <f t="shared" si="436"/>
        <v xml:space="preserve"> </v>
      </c>
      <c r="AH191" s="98" t="str">
        <f t="shared" si="437"/>
        <v xml:space="preserve"> </v>
      </c>
      <c r="AI191" s="149" t="str">
        <f t="shared" si="438"/>
        <v xml:space="preserve"> </v>
      </c>
      <c r="AK191" s="144" t="str">
        <f t="shared" si="439"/>
        <v xml:space="preserve"> </v>
      </c>
      <c r="AL191" s="144"/>
      <c r="AM191" s="243" t="str">
        <f t="shared" si="440"/>
        <v xml:space="preserve"> </v>
      </c>
      <c r="AN191" s="149" t="str">
        <f t="shared" si="543"/>
        <v xml:space="preserve"> </v>
      </c>
      <c r="AO191" s="144" t="str">
        <f>IF(JB191&gt;0,IF(GI191=10,-R191*1.085*(Calculation!$F$6-Calculation!$F$13)*$S$14," "),"")</f>
        <v/>
      </c>
      <c r="AP191" s="144" t="str">
        <f t="shared" si="441"/>
        <v/>
      </c>
      <c r="AQ191" s="56" t="str">
        <f t="shared" si="442"/>
        <v/>
      </c>
      <c r="AR191" s="144" t="str">
        <f t="shared" si="443"/>
        <v/>
      </c>
      <c r="AS191" s="176" t="str">
        <f t="shared" si="444"/>
        <v/>
      </c>
      <c r="AT191" s="176" t="str">
        <f t="shared" si="544"/>
        <v xml:space="preserve"> </v>
      </c>
      <c r="AU191" s="176" t="str">
        <f t="shared" si="445"/>
        <v/>
      </c>
      <c r="AV191" s="177" t="str">
        <f t="shared" si="446"/>
        <v xml:space="preserve"> </v>
      </c>
      <c r="AW191" s="144" t="str">
        <f t="shared" si="447"/>
        <v xml:space="preserve"> </v>
      </c>
      <c r="AX191" s="144" t="str">
        <f t="shared" si="448"/>
        <v xml:space="preserve"> </v>
      </c>
      <c r="AY191" s="152" t="str">
        <f t="shared" si="449"/>
        <v xml:space="preserve"> </v>
      </c>
      <c r="AZ191" s="246" t="str">
        <f t="shared" si="450"/>
        <v/>
      </c>
      <c r="BA191" s="176" t="str">
        <f t="shared" si="451"/>
        <v xml:space="preserve"> </v>
      </c>
      <c r="BB191" s="176" t="str">
        <f t="shared" si="452"/>
        <v xml:space="preserve"> </v>
      </c>
      <c r="BC191" s="195"/>
      <c r="BD191" s="316"/>
      <c r="BE191" s="317"/>
      <c r="BF191" s="318"/>
      <c r="BG191" s="318"/>
      <c r="BH191" s="144" t="str">
        <f t="shared" si="621"/>
        <v xml:space="preserve"> </v>
      </c>
      <c r="BI191" s="176" t="str">
        <f t="shared" si="453"/>
        <v/>
      </c>
      <c r="BJ191" s="144" t="str">
        <f t="shared" si="622"/>
        <v/>
      </c>
      <c r="BK191" s="246" t="str">
        <f t="shared" si="454"/>
        <v/>
      </c>
      <c r="BL191" s="144" t="str">
        <f t="shared" si="623"/>
        <v/>
      </c>
      <c r="BM191" s="246" t="str">
        <f t="shared" si="455"/>
        <v/>
      </c>
      <c r="BN191" s="337" t="str">
        <f t="shared" si="545"/>
        <v/>
      </c>
      <c r="BO191" s="371" t="str">
        <f t="shared" si="546"/>
        <v/>
      </c>
      <c r="BP191" s="328" t="str">
        <f t="shared" si="624"/>
        <v xml:space="preserve"> </v>
      </c>
      <c r="BQ191" s="347" t="str">
        <f t="shared" si="547"/>
        <v xml:space="preserve"> </v>
      </c>
      <c r="BR191" s="353" t="str">
        <f t="shared" si="548"/>
        <v xml:space="preserve"> </v>
      </c>
      <c r="BS191" s="626" t="str">
        <f>IF(L191&gt;0,IF(Calculation!P191="M13",BR191*3.1416*(0.134^2)/(4*144),IF(Calculation!P191="M17",BR191*3.1416*(0.165^2)/(4*144),IF(Calculation!P191="M20",BR191*3.1416*(0.198^2)/(4*144),IF(Calculation!P191="M23",BR191*3.1416*(0.228^2)/(4*144),IF(Calculation!P191="M27",BR191*3.1416*(0.269^2)/(4*144),BR191*3.1416*(0.307^2)/(4*144))))))," ")</f>
        <v xml:space="preserve"> </v>
      </c>
      <c r="BT191" s="353" t="str">
        <f>IF(L191&gt;0,IF(BS191&gt;0,R191/Calculation!BS191,0)," ")</f>
        <v xml:space="preserve"> </v>
      </c>
      <c r="BU191" s="438" t="e">
        <f t="shared" ca="1" si="456"/>
        <v>#VALUE!</v>
      </c>
      <c r="BV191" s="449" t="e">
        <f ca="1">INDEX(INDIRECT(VLOOKUP(LEFT(BO191,7),CLU!$Z$3:$AH$18,2)),GN191,GR191)</f>
        <v>#N/A</v>
      </c>
      <c r="BW191" s="433" t="e">
        <f ca="1">INDEX(INDIRECT(VLOOKUP(LEFT(BO191,7),CLU!$Z$3:$AH$18,3)),GN191,GR191)</f>
        <v>#N/A</v>
      </c>
      <c r="BX191" s="433" t="e">
        <f ca="1">INDEX(INDIRECT(VLOOKUP(LEFT(BO191,7),CLU!$Z$3:$AH$18,4)),GN191,GR191)</f>
        <v>#N/A</v>
      </c>
      <c r="BY191" s="433" t="e">
        <f ca="1">INDEX(INDIRECT(VLOOKUP(LEFT(BO191,7),CLU!$Z$3:$AH$18,9)),((M191-2)*(6-COUNTBLANK(GT191:GY191)))+GJ191)</f>
        <v>#N/A</v>
      </c>
      <c r="BZ191" s="426" t="e">
        <f t="shared" ca="1" si="549"/>
        <v>#N/A</v>
      </c>
      <c r="CA191" s="424" t="e">
        <f t="shared" ca="1" si="550"/>
        <v>#N/A</v>
      </c>
      <c r="CB191" s="429" t="e">
        <f ca="1">INDEX(INDIRECT(VLOOKUP(LEFT(BO191,7),CLU!$Z$3:$AH$18,2)),GN191,GS191)</f>
        <v>#N/A</v>
      </c>
      <c r="CC191" s="342" t="e">
        <f ca="1">INDEX(INDIRECT(VLOOKUP(LEFT(BO191,7),CLU!$Z$3:$AH$18,3)),GN191,GS191)</f>
        <v>#N/A</v>
      </c>
      <c r="CD191" s="342" t="e">
        <f ca="1">INDEX(INDIRECT(VLOOKUP(LEFT(BO191,7),CLU!$Z$3:$AH$18,4)),GN191,GS191)</f>
        <v>#N/A</v>
      </c>
      <c r="CE191" s="426" t="e">
        <f t="shared" ca="1" si="551"/>
        <v>#N/A</v>
      </c>
      <c r="CF191" s="440">
        <f t="shared" si="552"/>
        <v>0</v>
      </c>
      <c r="CG191" s="431" t="e">
        <f ca="1">INDEX(INDIRECT(VLOOKUP(LEFT(BO191,7),CLU!$Z$3:$AH$18,2)),GQ191,GR191)</f>
        <v>#N/A</v>
      </c>
      <c r="CH191" s="431" t="e">
        <f ca="1">INDEX(INDIRECT(VLOOKUP(LEFT(BO191,7),CLU!$Z$3:$AH$18,3)),GQ191,GR191)</f>
        <v>#N/A</v>
      </c>
      <c r="CI191" s="431" t="e">
        <f ca="1">INDEX(INDIRECT(VLOOKUP(LEFT(BO191,7),CLU!$Z$3:$AH$18,4)),GQ191,GR191)</f>
        <v>#N/A</v>
      </c>
      <c r="CJ191" s="448" t="e">
        <f t="shared" ca="1" si="553"/>
        <v>#N/A</v>
      </c>
      <c r="CK191" s="431" t="e">
        <f t="shared" ca="1" si="554"/>
        <v>#N/A</v>
      </c>
      <c r="CL191" s="440" t="e">
        <f t="shared" ca="1" si="555"/>
        <v>#N/A</v>
      </c>
      <c r="CM191" s="431" t="e">
        <f ca="1">INDEX(INDIRECT(VLOOKUP(LEFT(BO191,7),CLU!$Z$3:$AH$18,2)),GQ191,GS191)</f>
        <v>#N/A</v>
      </c>
      <c r="CN191" s="431" t="e">
        <f ca="1">INDEX(INDIRECT(VLOOKUP(LEFT(BO191,7),CLU!$Z$3:$AH$18,3)),GQ191,GS191)</f>
        <v>#N/A</v>
      </c>
      <c r="CO191" s="431" t="e">
        <f ca="1">INDEX(INDIRECT(VLOOKUP(LEFT(BO191,7),CLU!$Z$3:$AH$18,4)),GQ191,GS191)</f>
        <v>#N/A</v>
      </c>
      <c r="CP191" s="431" t="e">
        <f t="shared" ca="1" si="556"/>
        <v>#N/A</v>
      </c>
      <c r="CQ191" s="440">
        <f t="shared" si="557"/>
        <v>0</v>
      </c>
      <c r="CR191" s="51" t="e">
        <f t="shared" ca="1" si="558"/>
        <v>#N/A</v>
      </c>
      <c r="CS191" s="439" t="e">
        <f t="shared" ca="1" si="559"/>
        <v>#VALUE!</v>
      </c>
      <c r="CT191" s="51" t="e">
        <f t="shared" ca="1" si="560"/>
        <v>#VALUE!</v>
      </c>
      <c r="CU191" s="10"/>
      <c r="CV191" s="51" t="e">
        <f t="shared" ca="1" si="457"/>
        <v>#VALUE!</v>
      </c>
      <c r="CW191" s="51">
        <f t="shared" si="561"/>
        <v>0</v>
      </c>
      <c r="CX191" s="439" t="e">
        <f t="shared" ca="1" si="562"/>
        <v>#VALUE!</v>
      </c>
      <c r="CY191" s="51" t="e">
        <f t="shared" ca="1" si="563"/>
        <v>#VALUE!</v>
      </c>
      <c r="CZ191" s="10"/>
      <c r="DA191" s="51" t="e">
        <f t="shared" ca="1" si="564"/>
        <v>#VALUE!</v>
      </c>
      <c r="DB191" s="347" t="e">
        <f ca="1">INDEX(INDIRECT(VLOOKUP(LEFT(BO191,7),CLU!$Z$3:$AI$18,10)),((M191-2)*(6-COUNTBLANK(GT191:GY191)))+GJ191)*LI191</f>
        <v>#N/A</v>
      </c>
      <c r="DC191" s="347" t="str">
        <f>IF(L191&gt;0,((R191/Worksheet!$I$15)/DB191)^2," ")</f>
        <v xml:space="preserve"> </v>
      </c>
      <c r="DD191" s="602" t="str">
        <f t="shared" si="565"/>
        <v xml:space="preserve"> </v>
      </c>
      <c r="DE191" s="347" t="str">
        <f t="shared" si="458"/>
        <v xml:space="preserve"> </v>
      </c>
      <c r="DF191" s="356" t="e">
        <f ca="1">INDEX(INDIRECT(VLOOKUP(LEFT(BO191,7),CLU!$Z$3:$AH$18,8)),((M191-2)*(6-COUNTBLANK(GT191:GY191)))+GJ191)</f>
        <v>#N/A</v>
      </c>
      <c r="DG191" s="347" t="str">
        <f t="shared" si="459"/>
        <v xml:space="preserve"> </v>
      </c>
      <c r="DH191" s="357" t="str">
        <f t="shared" si="460"/>
        <v xml:space="preserve"> </v>
      </c>
      <c r="DI191" s="355" t="str">
        <f t="shared" si="461"/>
        <v xml:space="preserve"> </v>
      </c>
      <c r="DJ191" s="245" t="e">
        <f ca="1">INDEX(INDIRECT(VLOOKUP(LEFT(BO191,7),CLU!$Z$3:$AH$18,5)),GL191,GK191)</f>
        <v>#N/A</v>
      </c>
      <c r="DK191" s="245" t="e">
        <f ca="1">INDEX(INDIRECT(VLOOKUP(LEFT(BO191,7),CLU!$Z$3:$AH$18,6)),GL191,GK191)</f>
        <v>#N/A</v>
      </c>
      <c r="DL191" s="355">
        <f>(Calculation!R191*0.69143*(Calculation!$BQ$8-Calculation!$F$8))*$S$14</f>
        <v>0</v>
      </c>
      <c r="DM191" s="359" t="e">
        <f t="shared" si="566"/>
        <v>#VALUE!</v>
      </c>
      <c r="DN191" s="611">
        <f t="shared" si="567"/>
        <v>0</v>
      </c>
      <c r="DO191" s="359">
        <f t="shared" si="568"/>
        <v>100</v>
      </c>
      <c r="DP191" s="359">
        <f t="shared" si="569"/>
        <v>0</v>
      </c>
      <c r="DQ191" s="360"/>
      <c r="DR191" s="245" t="e">
        <f ca="1">INDEX(INDIRECT(VLOOKUP(LEFT(BO191,7),CLU!$Z$3:$AH$18,7)),M191-1,1)</f>
        <v>#N/A</v>
      </c>
      <c r="DS191" s="245" t="e">
        <f ca="1">INDEX(INDIRECT(VLOOKUP(LEFT(BO191,7),CLU!$Z$3:$AH$18,7)),M191-1,2)</f>
        <v>#N/A</v>
      </c>
      <c r="DT191" s="245" t="e">
        <f ca="1">INDEX(INDIRECT(VLOOKUP(LEFT(BO191,7),CLU!$Z$3:$AH$18,7)),M191-1,3)</f>
        <v>#N/A</v>
      </c>
      <c r="DU191" s="245" t="e">
        <f ca="1">INDEX(INDIRECT(VLOOKUP(LEFT(BO191,7),CLU!$Z$3:$AH$18,7)),M191-1,4)</f>
        <v>#N/A</v>
      </c>
      <c r="DV191" s="361" t="e">
        <f ca="1">INDEX(INDIRECT(VLOOKUP(LEFT(BO191,7),CLU!$Z$3:$AH$18,7)),M191-1,4+LEFT(DZ191,1)*0.5)</f>
        <v>#N/A</v>
      </c>
      <c r="DW191" s="245" t="e">
        <f ca="1">INDEX(INDIRECT(VLOOKUP(LEFT(BO191,7),CLU!$Z$3:$AH$18,7)),M191-1,8)</f>
        <v>#N/A</v>
      </c>
      <c r="DX191" s="361" t="str">
        <f t="shared" si="462"/>
        <v xml:space="preserve"> </v>
      </c>
      <c r="DY191" s="361" t="str">
        <f t="shared" si="463"/>
        <v xml:space="preserve"> </v>
      </c>
      <c r="DZ191" s="361" t="str">
        <f t="shared" si="464"/>
        <v xml:space="preserve"> </v>
      </c>
      <c r="EA191" s="362" t="str">
        <f t="shared" si="465"/>
        <v xml:space="preserve"> </v>
      </c>
      <c r="EB191" s="624" t="str">
        <f t="shared" si="570"/>
        <v xml:space="preserve"> </v>
      </c>
      <c r="EC191" s="361" t="e">
        <f ca="1">INDEX(INDIRECT(VLOOKUP(LEFT(BO191,7),CLU!$Z$3:$AH$18,7)),M191-1,4+LEFT(DZ191,1)*0.5)</f>
        <v>#N/A</v>
      </c>
      <c r="ED191" s="362" t="str">
        <f t="shared" si="466"/>
        <v xml:space="preserve"> </v>
      </c>
      <c r="EE191" s="361" t="str">
        <f t="shared" si="467"/>
        <v xml:space="preserve"> </v>
      </c>
      <c r="EF191" s="362" t="str">
        <f>IF(L191&gt;0,IF(BR191&gt;0,IF(EE191="2P",IF(Calculation!DZ191="2P",IF(Calculation!DS191=13.75,IF(Calculation!DR191=13,Worksheet!$BD$43,IF(Calculation!DR191=37,Worksheet!$BD$44,Worksheet!$BD$45)),IF(Calculation!DS191=10,IF(Calculation!DR191=18,Worksheet!$BD$29,IF(Calculation!DR191=30,Worksheet!$BD$30,IF(Calculation!DR191=42,Worksheet!$BD$31,IF(Calculation!DR191=54,Worksheet!$BD$32,IF(Calculation!DR191=66,Worksheet!$BD$33,IF(Calculation!DR191=78,Worksheet!$BD$34,IF(Calculation!DR191=90,Worksheet!$BD$35,IF(Calculation!DR191=102,Worksheet!$BD$36,Worksheet!$BD$37)))))))),IF(Calculation!DS191=12.5,IF(Calculation!DR191=18,Worksheet!$BD$38,IF(Calculation!DR191=Worksheet!$BD$39,IF(Calculation!DR191=42,Worksheet!$BD$40,IF(Calculation!DR191=54,Worksheet!$BD$41,Worksheet!$BD$42)))),IF(Calculation!DR191=18,Worksheet!$BD$11,IF(Calculation!DR191=30,Worksheet!$BD$12,IF(Calculation!DR191=42,Worksheet!$BD$13,IF(Calculation!DR191=54,Worksheet!$BD$14,IF(Calculation!DR191=66,Worksheet!$BD$15,IF(Calculation!DR191=78,Worksheet!$BD$16,IF(Calculation!DR191=90,Worksheet!$BD$17,IF(Calculation!DR191=102,Worksheet!$BD$18,Worksheet!$BD$19))))))))))),IF(Calculation!DS191=13.75,IF(Calculation!DR191=13,Worksheet!$BD$78,IF(Calculation!DR191=37,Worksheet!$BD$79,Worksheet!$BD$80)),IF(Calculation!DS191=10,IF(Calculation!DR191=18,Worksheet!$BD$64,IF(Calculation!DR191=30,Worksheet!$BD$65,IF(Calculation!DR191=42,Worksheet!$BD$66,IF(Calculation!DR191=54,Worksheet!$BD$68,IF(Calculation!DR191=66,Worksheet!$BD$68,IF(Calculation!DR191=78,Worksheet!$BD$69,IF(Calculation!DR191=90,Worksheet!$BD$70,IF(Calculation!DR191=102,Worksheet!$BD$71,Worksheet!$BD$72)))))))),IF(Calculation!DS191=12.5,IF(Calculation!DR191=18,Worksheet!$BD$73,IF(Calculation!DR191=Worksheet!$BD$74,IF(Calculation!DR191=42,Worksheet!$BD$75,IF(Calculation!DR191=54,Worksheet!$BD$76,Worksheet!$BD$77)))),IF(Calculation!DR191=18,Worksheet!$BD$55,IF(Calculation!DR191=30,Worksheet!$BD$56,IF(Calculation!DR191=42,Worksheet!$BD$57,IF(Calculation!DR191=54,Worksheet!$BD$58,IF(Calculation!DR191=66,Worksheet!$BD$59,IF(Calculation!DR191=78,Worksheet!$BD$60,IF(Calculation!DR191=90,Worksheet!$BD$61,IF(Calculation!DR191=102,Worksheet!$BD$62,Worksheet!$BD$63)))))))))))),5),0)," ")</f>
        <v xml:space="preserve"> </v>
      </c>
      <c r="EG191" s="361" t="str">
        <f t="shared" si="468"/>
        <v xml:space="preserve"> </v>
      </c>
      <c r="EH191" s="361" t="e">
        <f ca="1">INDEX(INDIRECT(VLOOKUP(LEFT(BO191,7),CLU!$Z$3:$AH$18,7)),M191-1,3+LEFT(DZ191,1))</f>
        <v>#N/A</v>
      </c>
      <c r="EI191" s="362" t="str">
        <f t="shared" si="469"/>
        <v xml:space="preserve"> </v>
      </c>
      <c r="EJ191" s="363" t="str">
        <f t="shared" si="470"/>
        <v xml:space="preserve"> </v>
      </c>
      <c r="EK191" s="363" t="str">
        <f t="shared" si="471"/>
        <v xml:space="preserve"> </v>
      </c>
      <c r="EL191" s="363" t="str">
        <f t="shared" si="472"/>
        <v xml:space="preserve"> </v>
      </c>
      <c r="EM191" s="362" t="str">
        <f>IF(L191&gt;0,IF(BR191&gt;0,(Calculation!T191/ED191)^2,0)," ")</f>
        <v xml:space="preserve"> </v>
      </c>
      <c r="EN191" s="362" t="str">
        <f>IF(L191&gt;0,IF(O191="2 Pipe (Cooling)","N/A",IF(BR191&gt;0,(Calculation!U191/EI191)^2,0))," ")</f>
        <v xml:space="preserve"> </v>
      </c>
      <c r="EO191" s="361" t="str">
        <f t="shared" si="473"/>
        <v/>
      </c>
      <c r="EP191" s="361" t="str">
        <f t="shared" si="474"/>
        <v/>
      </c>
      <c r="EQ191" s="361" t="str">
        <f t="shared" si="475"/>
        <v/>
      </c>
      <c r="ER191" s="361" t="str">
        <f t="shared" si="476"/>
        <v/>
      </c>
      <c r="ES191" s="361" t="str">
        <f t="shared" si="477"/>
        <v/>
      </c>
      <c r="ET191" s="361" t="str">
        <f t="shared" si="478"/>
        <v/>
      </c>
      <c r="EU191" s="361" t="str">
        <f t="shared" si="479"/>
        <v/>
      </c>
      <c r="EV191" s="361" t="str">
        <f t="shared" si="480"/>
        <v/>
      </c>
      <c r="EW191" s="361" t="str">
        <f t="shared" si="481"/>
        <v/>
      </c>
      <c r="EX191" s="361" t="str">
        <f t="shared" si="571"/>
        <v>1 slot, 1 way</v>
      </c>
      <c r="EY191" s="361" t="str">
        <f t="shared" si="572"/>
        <v xml:space="preserve"> </v>
      </c>
      <c r="EZ191" s="361" t="str">
        <f t="shared" si="573"/>
        <v xml:space="preserve"> </v>
      </c>
      <c r="FA191" s="361" t="str">
        <f t="shared" si="574"/>
        <v xml:space="preserve"> </v>
      </c>
      <c r="FB191" s="361" t="str">
        <f t="shared" si="575"/>
        <v xml:space="preserve"> </v>
      </c>
      <c r="FC191" s="361"/>
      <c r="FD191" s="361" t="str">
        <f>IF(J191&gt;0,IF(Calculation!R191&lt;=70,4,IF(Calculation!R191&lt;=110,5,IF(Calculation!R191&lt;=160,6,IF(Calculation!R191&lt;=300,8,"10 EO")))),"")</f>
        <v/>
      </c>
      <c r="FE191" s="361" t="str">
        <f t="shared" si="576"/>
        <v/>
      </c>
      <c r="FF191" s="361" t="str">
        <f t="shared" si="577"/>
        <v/>
      </c>
      <c r="FG191" s="361" t="e">
        <f t="shared" si="482"/>
        <v>#N/A</v>
      </c>
      <c r="FH191" s="361">
        <f t="shared" si="483"/>
        <v>0</v>
      </c>
      <c r="FI191" s="361" t="e">
        <f t="shared" si="484"/>
        <v>#DIV/0!</v>
      </c>
      <c r="FJ191" s="361"/>
      <c r="FK191" s="356" t="e">
        <f t="shared" si="485"/>
        <v>#VALUE!</v>
      </c>
      <c r="FL191" s="361"/>
      <c r="FM191" s="361"/>
      <c r="FN191" s="362" t="str">
        <f t="shared" si="578"/>
        <v xml:space="preserve"> </v>
      </c>
      <c r="FO191" s="362" t="str">
        <f t="shared" si="579"/>
        <v xml:space="preserve"> </v>
      </c>
      <c r="FP191" s="362">
        <f t="shared" si="580"/>
        <v>0</v>
      </c>
      <c r="FQ191" s="361">
        <f t="shared" si="486"/>
        <v>0</v>
      </c>
      <c r="FR191" s="362" t="str">
        <f>IF(L191&gt;0,IF(J191="CBAL2",Worksheet!$P$67,IF(J191="CBE2-24",Worksheet!$Q$67,IF(J191="CBAM",Worksheet!$R$67,IF(J191="CBLV",Worksheet!$S$67,IF(J191="CBAB",Worksheet!$U$67,IF(J191="CBAW",Worksheet!$X$67,IF(J191="CBE2-12",Worksheet!$Y$67,IF(J191="CBAL2",Worksheet!$Z$67,"N/A"))))))))," ")</f>
        <v xml:space="preserve"> </v>
      </c>
      <c r="FS191" s="362" t="str">
        <f>IF(L191&gt;0,IF(J191="CBAL2",Worksheet!$P$68,IF(J191="CBE2-24",Worksheet!$Q$68,IF(J191="CBAM",Worksheet!$R$68,IF(J191="CBLV",Worksheet!$S$68,IF(J191="CBAB",Worksheet!$U$68,IF(J191="CBAW",Worksheet!$X$68,IF(J191="CBE2-12",Worksheet!$Y$68,IF(J191="CBAL2",Worksheet!$Z$68,"N/A"))))))))," ")</f>
        <v xml:space="preserve"> </v>
      </c>
      <c r="FT191" s="362" t="str">
        <f>IF(L191&gt;0,IF(J191="CBAL2",Worksheet!$P$69,IF(J191="CBE2-24",Worksheet!$Q$69,IF(J191="CBAM",Worksheet!$R$69,IF(J191="CBLV",Worksheet!$S$69,IF(J191="CBAB",Worksheet!$U$69,IF(J191="CBAW",Worksheet!$X$69,IF(J191="CBE2-12",Worksheet!$Y$69,IF(J191="CBAL2",Worksheet!$Z$69,"N/A"))))))))," ")</f>
        <v xml:space="preserve"> </v>
      </c>
      <c r="FU191" s="361" t="str">
        <f t="shared" si="581"/>
        <v xml:space="preserve"> </v>
      </c>
      <c r="FV191" s="362" t="str">
        <f t="shared" si="582"/>
        <v xml:space="preserve"> </v>
      </c>
      <c r="FW191" s="362" t="str">
        <f t="shared" si="583"/>
        <v xml:space="preserve"> </v>
      </c>
      <c r="FX191" s="362" t="str">
        <f t="shared" si="584"/>
        <v xml:space="preserve"> </v>
      </c>
      <c r="FY191" s="355" t="str">
        <f t="shared" si="585"/>
        <v xml:space="preserve"> </v>
      </c>
      <c r="FZ191" s="361" t="str">
        <f t="shared" si="586"/>
        <v xml:space="preserve"> </v>
      </c>
      <c r="GA191" s="347" t="str">
        <f t="shared" si="587"/>
        <v xml:space="preserve"> </v>
      </c>
      <c r="GB191" s="355" t="str">
        <f t="shared" si="588"/>
        <v xml:space="preserve"> </v>
      </c>
      <c r="GC191" s="328" t="str">
        <f t="shared" si="589"/>
        <v xml:space="preserve"> </v>
      </c>
      <c r="GD191" s="361" t="str">
        <f t="shared" si="590"/>
        <v xml:space="preserve"> </v>
      </c>
      <c r="GE191" s="347" t="str">
        <f t="shared" si="591"/>
        <v xml:space="preserve"> </v>
      </c>
      <c r="GF191" s="361" t="str">
        <f t="shared" si="592"/>
        <v xml:space="preserve"> </v>
      </c>
      <c r="GG191" s="347" t="str">
        <f t="shared" si="593"/>
        <v xml:space="preserve"> </v>
      </c>
      <c r="GH191" s="364">
        <f t="shared" si="487"/>
        <v>0</v>
      </c>
      <c r="GI191" s="362">
        <f t="shared" si="594"/>
        <v>2</v>
      </c>
      <c r="GJ191" s="433" t="e">
        <f>IF(6-COUNTBLANK(GT191:GY191)=4,MATCH(MID(BO191,9,3),CLU!$H$16:$K$16),MATCH(MID(BO191,9,3),CLU!$H$13:$M$13))</f>
        <v>#N/A</v>
      </c>
      <c r="GK191" s="433" t="e">
        <f>HLOOKUP(VALUE(BP191),CLU!$H$9:$M$10,2)</f>
        <v>#VALUE!</v>
      </c>
      <c r="GL191" s="433" t="e">
        <f ca="1">MATCH(BU191,CLU!$H$2:$V$2,1)</f>
        <v>#VALUE!</v>
      </c>
      <c r="GM191" s="433" t="e">
        <f t="shared" ca="1" si="595"/>
        <v>#VALUE!</v>
      </c>
      <c r="GN191" s="433" t="e">
        <f t="shared" ca="1" si="596"/>
        <v>#VALUE!</v>
      </c>
      <c r="GO191" s="433" t="e">
        <f t="shared" ca="1" si="597"/>
        <v>#VALUE!</v>
      </c>
      <c r="GP191" s="433" t="e">
        <f t="shared" ca="1" si="598"/>
        <v>#VALUE!</v>
      </c>
      <c r="GQ191" s="433" t="e">
        <f t="shared" ca="1" si="599"/>
        <v>#VALUE!</v>
      </c>
      <c r="GR191" s="433" t="e">
        <f ca="1">MATCH(T191,INDIRECT(VLOOKUP(CONCATENATE(LEFT(BO191,7),"-",MID(BO191,13,1)),CLU!$P$3:$Q$16,2)),1)</f>
        <v>#N/A</v>
      </c>
      <c r="GS191" s="433" t="e">
        <f ca="1">MATCH(U191,INDIRECT(VLOOKUP(CONCATENATE(LEFT(BO191,7),"-",MID(BO191,13,1)),CLU!$P$3:$Q$16,2)),1)</f>
        <v>#N/A</v>
      </c>
      <c r="GT191" s="347" t="s">
        <v>512</v>
      </c>
      <c r="GU191" s="97" t="s">
        <v>513</v>
      </c>
      <c r="GV191" s="97" t="str">
        <f t="shared" si="600"/>
        <v>M23</v>
      </c>
      <c r="GW191" s="97" t="str">
        <f t="shared" si="601"/>
        <v>M31</v>
      </c>
      <c r="GX191" s="97" t="str">
        <f t="shared" si="602"/>
        <v/>
      </c>
      <c r="GY191" s="97" t="str">
        <f t="shared" si="603"/>
        <v/>
      </c>
      <c r="GZ191" s="481"/>
      <c r="HA191" s="288"/>
      <c r="HB191" s="240"/>
      <c r="HC191" s="240"/>
      <c r="HD191" s="240"/>
      <c r="HE191" s="240"/>
      <c r="HF191" s="240"/>
      <c r="HG191" s="240"/>
      <c r="HH191" s="240"/>
      <c r="HI191" s="240"/>
      <c r="HJ191" s="240"/>
      <c r="HK191" s="240"/>
      <c r="HL191" s="240"/>
      <c r="HM191" s="240"/>
      <c r="HN191" s="240"/>
      <c r="HO191" s="240"/>
      <c r="HP191" s="240"/>
      <c r="HQ191" s="240"/>
      <c r="HR191" s="240"/>
      <c r="HS191" s="240"/>
      <c r="HT191" s="240"/>
      <c r="HU191" s="240"/>
      <c r="HV191" s="245"/>
      <c r="HW191" s="245" t="b">
        <v>1</v>
      </c>
      <c r="HX191" s="245" t="str">
        <f t="shared" si="488"/>
        <v/>
      </c>
      <c r="HY191" s="245" t="e">
        <f t="shared" si="489"/>
        <v>#DIV/0!</v>
      </c>
      <c r="HZ191" s="245" t="e">
        <f t="shared" si="490"/>
        <v>#DIV/0!</v>
      </c>
      <c r="IA191" s="245">
        <f t="shared" si="491"/>
        <v>0</v>
      </c>
      <c r="IB191" s="245"/>
      <c r="IC191" t="b">
        <f t="shared" si="492"/>
        <v>1</v>
      </c>
      <c r="ID191" s="245" t="b">
        <f t="shared" si="493"/>
        <v>1</v>
      </c>
      <c r="IE191" s="245" t="b">
        <f t="shared" si="494"/>
        <v>1</v>
      </c>
      <c r="IF191" s="245" t="b">
        <f t="shared" si="495"/>
        <v>0</v>
      </c>
      <c r="IG191" s="245" t="b">
        <f t="shared" si="496"/>
        <v>1</v>
      </c>
      <c r="IH191" s="245" t="b">
        <f t="shared" si="497"/>
        <v>1</v>
      </c>
      <c r="II191" s="245">
        <f t="shared" si="604"/>
        <v>0</v>
      </c>
      <c r="IJ191" s="245" t="e">
        <f t="shared" si="498"/>
        <v>#VALUE!</v>
      </c>
      <c r="IK191" s="245" t="e">
        <f t="shared" si="499"/>
        <v>#VALUE!</v>
      </c>
      <c r="IL191" s="245"/>
      <c r="IM191" s="245" t="e">
        <f t="shared" si="605"/>
        <v>#N/A</v>
      </c>
      <c r="IN191" s="245" t="e">
        <f t="shared" si="606"/>
        <v>#N/A</v>
      </c>
      <c r="IO191" s="245"/>
      <c r="IP191" s="245"/>
      <c r="IQ191" s="245" t="str">
        <f t="shared" si="500"/>
        <v/>
      </c>
      <c r="IR191" s="245" t="str">
        <f>IF(J191="","",VLOOKUP(J191,Worksheet!$R$4:$T$14,2))</f>
        <v/>
      </c>
      <c r="IS191" s="245"/>
      <c r="IT191" s="245">
        <f t="shared" si="501"/>
        <v>0</v>
      </c>
      <c r="IU191" s="245">
        <f t="shared" si="502"/>
        <v>0</v>
      </c>
      <c r="IV191" s="245">
        <f t="shared" si="503"/>
        <v>0</v>
      </c>
      <c r="IW191" s="245">
        <f t="shared" si="504"/>
        <v>0</v>
      </c>
      <c r="IX191" s="245">
        <f t="shared" si="607"/>
        <v>0</v>
      </c>
      <c r="IY191" s="245">
        <f t="shared" si="505"/>
        <v>0</v>
      </c>
      <c r="IZ191" s="245">
        <f t="shared" si="506"/>
        <v>0</v>
      </c>
      <c r="JA191">
        <f t="shared" si="507"/>
        <v>0</v>
      </c>
      <c r="JB191">
        <f t="shared" si="608"/>
        <v>0</v>
      </c>
      <c r="JC191">
        <f t="shared" si="508"/>
        <v>0</v>
      </c>
      <c r="JD191">
        <f t="shared" si="509"/>
        <v>0</v>
      </c>
      <c r="JE191">
        <f t="shared" si="510"/>
        <v>0</v>
      </c>
      <c r="JF191">
        <f t="shared" si="511"/>
        <v>0</v>
      </c>
      <c r="JG191">
        <f t="shared" si="512"/>
        <v>0</v>
      </c>
      <c r="JH191">
        <f t="shared" si="513"/>
        <v>0</v>
      </c>
      <c r="JI191">
        <f t="shared" si="514"/>
        <v>0</v>
      </c>
      <c r="JJ191" s="447">
        <f t="shared" si="515"/>
        <v>0</v>
      </c>
      <c r="JK191" s="447">
        <f t="shared" si="516"/>
        <v>0</v>
      </c>
      <c r="JL191">
        <f t="shared" si="517"/>
        <v>0</v>
      </c>
      <c r="JM191" s="245" t="str">
        <f>IFERROR(VLOOKUP(MATCH(BN191,#REF!,0),#REF!,7),"")</f>
        <v/>
      </c>
      <c r="JN191" t="e">
        <f>HLOOKUP(LEFT(BO191,7),Discharge_Area,MATCH(JO191,LookUps!$B$130:$B$149,1)+2)</f>
        <v>#N/A</v>
      </c>
      <c r="JO191" t="str">
        <f t="shared" si="518"/>
        <v>- S</v>
      </c>
      <c r="JP191" t="e">
        <f>HLOOKUP(LEFT(BO191,7),Discharge_Area,MATCH(JO191,LookUps!$B$130:$B$149,1)+2)</f>
        <v>#N/A</v>
      </c>
      <c r="JQ191" t="e">
        <f t="shared" si="519"/>
        <v>#N/A</v>
      </c>
      <c r="JR191" t="e">
        <f t="shared" si="520"/>
        <v>#N/A</v>
      </c>
      <c r="JS191" t="e">
        <f t="shared" si="521"/>
        <v>#N/A</v>
      </c>
      <c r="JT191" s="532" t="str">
        <f t="shared" si="522"/>
        <v xml:space="preserve"> </v>
      </c>
      <c r="JU191" s="532" t="str">
        <f t="shared" si="523"/>
        <v xml:space="preserve"> </v>
      </c>
      <c r="JV191" s="533" t="str">
        <f t="shared" si="524"/>
        <v xml:space="preserve"> </v>
      </c>
      <c r="JW191" s="534">
        <f t="shared" si="525"/>
        <v>0</v>
      </c>
      <c r="JX191" s="535" t="str">
        <f t="shared" si="609"/>
        <v xml:space="preserve"> </v>
      </c>
      <c r="JY191" s="535" t="str">
        <f t="shared" si="610"/>
        <v xml:space="preserve"> </v>
      </c>
      <c r="JZ191" s="535" t="str">
        <f t="shared" si="611"/>
        <v xml:space="preserve"> </v>
      </c>
      <c r="KA191" s="536" t="str">
        <f t="shared" si="526"/>
        <v xml:space="preserve"> </v>
      </c>
      <c r="KB191" s="535" t="e">
        <f t="shared" si="612"/>
        <v>#VALUE!</v>
      </c>
      <c r="KC191" s="535" t="str">
        <f t="shared" si="527"/>
        <v/>
      </c>
      <c r="KD191" s="537" t="str">
        <f t="shared" si="613"/>
        <v xml:space="preserve"> </v>
      </c>
      <c r="KE191" s="537" t="str">
        <f t="shared" si="614"/>
        <v xml:space="preserve"> </v>
      </c>
      <c r="KF191" s="534">
        <f t="shared" si="528"/>
        <v>0</v>
      </c>
      <c r="KG191" s="535" t="str">
        <f t="shared" si="529"/>
        <v xml:space="preserve"> </v>
      </c>
      <c r="KH191" s="535" t="str">
        <f t="shared" si="530"/>
        <v xml:space="preserve"> </v>
      </c>
      <c r="KI191" s="535" t="str">
        <f t="shared" si="531"/>
        <v xml:space="preserve"> </v>
      </c>
      <c r="KJ191" s="536" t="str">
        <f t="shared" si="532"/>
        <v xml:space="preserve"> </v>
      </c>
      <c r="KK191" s="535" t="str">
        <f t="shared" si="615"/>
        <v xml:space="preserve"> </v>
      </c>
      <c r="KL191" s="535" t="str">
        <f t="shared" si="616"/>
        <v xml:space="preserve"> </v>
      </c>
      <c r="KM191" s="537" t="str">
        <f t="shared" si="533"/>
        <v xml:space="preserve"> </v>
      </c>
      <c r="KN191" s="537" t="str">
        <f t="shared" si="617"/>
        <v xml:space="preserve"> </v>
      </c>
      <c r="KP191">
        <f t="shared" si="534"/>
        <v>0</v>
      </c>
      <c r="LA191" t="e">
        <f t="shared" si="535"/>
        <v>#VALUE!</v>
      </c>
      <c r="LB191" t="e">
        <f t="shared" si="536"/>
        <v>#VALUE!</v>
      </c>
      <c r="LC191" t="e">
        <f t="shared" si="537"/>
        <v>#VALUE!</v>
      </c>
      <c r="LD191" t="e">
        <f t="shared" si="538"/>
        <v>#VALUE!</v>
      </c>
      <c r="LE191" t="e">
        <f t="shared" si="618"/>
        <v>#VALUE!</v>
      </c>
      <c r="LF191">
        <f t="shared" si="539"/>
        <v>0</v>
      </c>
      <c r="LG191" t="e">
        <f t="shared" si="619"/>
        <v>#VALUE!</v>
      </c>
      <c r="LH191" t="str">
        <f t="shared" si="540"/>
        <v xml:space="preserve"> </v>
      </c>
      <c r="LI191">
        <f t="shared" si="620"/>
        <v>1</v>
      </c>
    </row>
    <row r="192" spans="2:321" ht="15" customHeight="1">
      <c r="B192" s="311"/>
      <c r="C192" s="311"/>
      <c r="D192" s="312"/>
      <c r="E192" s="311"/>
      <c r="F192" s="312"/>
      <c r="G192" s="311"/>
      <c r="H192" s="311"/>
      <c r="I192" s="37"/>
      <c r="J192" s="311"/>
      <c r="K192" s="305" t="str">
        <f t="shared" si="541"/>
        <v/>
      </c>
      <c r="L192" s="313"/>
      <c r="M192" s="312"/>
      <c r="N192" s="311"/>
      <c r="O192" s="312"/>
      <c r="P192" s="311"/>
      <c r="Q192" s="305" t="str">
        <f t="shared" si="542"/>
        <v/>
      </c>
      <c r="R192" s="314"/>
      <c r="S192" s="450" t="str">
        <f t="shared" si="425"/>
        <v/>
      </c>
      <c r="T192" s="315"/>
      <c r="U192" s="315"/>
      <c r="W192" s="149" t="str">
        <f t="shared" si="426"/>
        <v xml:space="preserve"> </v>
      </c>
      <c r="X192" s="243" t="str">
        <f t="shared" si="427"/>
        <v xml:space="preserve"> </v>
      </c>
      <c r="Y192" s="150" t="str">
        <f t="shared" si="428"/>
        <v/>
      </c>
      <c r="Z192" s="149" t="str">
        <f t="shared" si="429"/>
        <v xml:space="preserve"> </v>
      </c>
      <c r="AA192" s="98" t="str">
        <f t="shared" si="430"/>
        <v xml:space="preserve"> </v>
      </c>
      <c r="AB192" s="153" t="str">
        <f t="shared" si="431"/>
        <v xml:space="preserve"> </v>
      </c>
      <c r="AC192" s="153" t="str">
        <f t="shared" si="432"/>
        <v xml:space="preserve"> </v>
      </c>
      <c r="AD192" s="148" t="str">
        <f t="shared" si="433"/>
        <v/>
      </c>
      <c r="AE192" s="149" t="str">
        <f t="shared" si="434"/>
        <v/>
      </c>
      <c r="AF192" s="151" t="str">
        <f t="shared" si="435"/>
        <v xml:space="preserve"> </v>
      </c>
      <c r="AG192" s="153" t="str">
        <f t="shared" si="436"/>
        <v xml:space="preserve"> </v>
      </c>
      <c r="AH192" s="98" t="str">
        <f t="shared" si="437"/>
        <v xml:space="preserve"> </v>
      </c>
      <c r="AI192" s="149" t="str">
        <f t="shared" si="438"/>
        <v xml:space="preserve"> </v>
      </c>
      <c r="AK192" s="144" t="str">
        <f t="shared" si="439"/>
        <v xml:space="preserve"> </v>
      </c>
      <c r="AL192" s="144"/>
      <c r="AM192" s="243" t="str">
        <f t="shared" si="440"/>
        <v xml:space="preserve"> </v>
      </c>
      <c r="AN192" s="149" t="str">
        <f t="shared" si="543"/>
        <v xml:space="preserve"> </v>
      </c>
      <c r="AO192" s="144" t="str">
        <f>IF(JB192&gt;0,IF(GI192=10,-R192*1.085*(Calculation!$F$6-Calculation!$F$13)*$S$14," "),"")</f>
        <v/>
      </c>
      <c r="AP192" s="144" t="str">
        <f t="shared" si="441"/>
        <v/>
      </c>
      <c r="AQ192" s="56" t="str">
        <f t="shared" si="442"/>
        <v/>
      </c>
      <c r="AR192" s="144" t="str">
        <f t="shared" si="443"/>
        <v/>
      </c>
      <c r="AS192" s="176" t="str">
        <f t="shared" si="444"/>
        <v/>
      </c>
      <c r="AT192" s="176" t="str">
        <f t="shared" si="544"/>
        <v xml:space="preserve"> </v>
      </c>
      <c r="AU192" s="176" t="str">
        <f t="shared" si="445"/>
        <v/>
      </c>
      <c r="AV192" s="177" t="str">
        <f t="shared" si="446"/>
        <v xml:space="preserve"> </v>
      </c>
      <c r="AW192" s="144" t="str">
        <f t="shared" si="447"/>
        <v xml:space="preserve"> </v>
      </c>
      <c r="AX192" s="144" t="str">
        <f t="shared" si="448"/>
        <v xml:space="preserve"> </v>
      </c>
      <c r="AY192" s="152" t="str">
        <f t="shared" si="449"/>
        <v xml:space="preserve"> </v>
      </c>
      <c r="AZ192" s="246" t="str">
        <f t="shared" si="450"/>
        <v/>
      </c>
      <c r="BA192" s="176" t="str">
        <f t="shared" si="451"/>
        <v xml:space="preserve"> </v>
      </c>
      <c r="BB192" s="176" t="str">
        <f t="shared" si="452"/>
        <v xml:space="preserve"> </v>
      </c>
      <c r="BC192" s="195"/>
      <c r="BD192" s="316"/>
      <c r="BE192" s="317"/>
      <c r="BF192" s="318"/>
      <c r="BG192" s="318"/>
      <c r="BH192" s="144" t="str">
        <f t="shared" si="621"/>
        <v xml:space="preserve"> </v>
      </c>
      <c r="BI192" s="176" t="str">
        <f t="shared" si="453"/>
        <v/>
      </c>
      <c r="BJ192" s="144" t="str">
        <f t="shared" si="622"/>
        <v/>
      </c>
      <c r="BK192" s="246" t="str">
        <f t="shared" si="454"/>
        <v/>
      </c>
      <c r="BL192" s="144" t="str">
        <f t="shared" si="623"/>
        <v/>
      </c>
      <c r="BM192" s="246" t="str">
        <f t="shared" si="455"/>
        <v/>
      </c>
      <c r="BN192" s="337" t="str">
        <f t="shared" si="545"/>
        <v/>
      </c>
      <c r="BO192" s="371" t="str">
        <f t="shared" si="546"/>
        <v/>
      </c>
      <c r="BP192" s="328" t="str">
        <f t="shared" si="624"/>
        <v xml:space="preserve"> </v>
      </c>
      <c r="BQ192" s="347" t="str">
        <f t="shared" si="547"/>
        <v xml:space="preserve"> </v>
      </c>
      <c r="BR192" s="353" t="str">
        <f t="shared" si="548"/>
        <v xml:space="preserve"> </v>
      </c>
      <c r="BS192" s="626" t="str">
        <f>IF(L192&gt;0,IF(Calculation!P192="M13",BR192*3.1416*(0.134^2)/(4*144),IF(Calculation!P192="M17",BR192*3.1416*(0.165^2)/(4*144),IF(Calculation!P192="M20",BR192*3.1416*(0.198^2)/(4*144),IF(Calculation!P192="M23",BR192*3.1416*(0.228^2)/(4*144),IF(Calculation!P192="M27",BR192*3.1416*(0.269^2)/(4*144),BR192*3.1416*(0.307^2)/(4*144))))))," ")</f>
        <v xml:space="preserve"> </v>
      </c>
      <c r="BT192" s="353" t="str">
        <f>IF(L192&gt;0,IF(BS192&gt;0,R192/Calculation!BS192,0)," ")</f>
        <v xml:space="preserve"> </v>
      </c>
      <c r="BU192" s="438" t="e">
        <f t="shared" ca="1" si="456"/>
        <v>#VALUE!</v>
      </c>
      <c r="BV192" s="449" t="e">
        <f ca="1">INDEX(INDIRECT(VLOOKUP(LEFT(BO192,7),CLU!$Z$3:$AH$18,2)),GN192,GR192)</f>
        <v>#N/A</v>
      </c>
      <c r="BW192" s="433" t="e">
        <f ca="1">INDEX(INDIRECT(VLOOKUP(LEFT(BO192,7),CLU!$Z$3:$AH$18,3)),GN192,GR192)</f>
        <v>#N/A</v>
      </c>
      <c r="BX192" s="433" t="e">
        <f ca="1">INDEX(INDIRECT(VLOOKUP(LEFT(BO192,7),CLU!$Z$3:$AH$18,4)),GN192,GR192)</f>
        <v>#N/A</v>
      </c>
      <c r="BY192" s="433" t="e">
        <f ca="1">INDEX(INDIRECT(VLOOKUP(LEFT(BO192,7),CLU!$Z$3:$AH$18,9)),((M192-2)*(6-COUNTBLANK(GT192:GY192)))+GJ192)</f>
        <v>#N/A</v>
      </c>
      <c r="BZ192" s="426" t="e">
        <f t="shared" ca="1" si="549"/>
        <v>#N/A</v>
      </c>
      <c r="CA192" s="424" t="e">
        <f t="shared" ca="1" si="550"/>
        <v>#N/A</v>
      </c>
      <c r="CB192" s="429" t="e">
        <f ca="1">INDEX(INDIRECT(VLOOKUP(LEFT(BO192,7),CLU!$Z$3:$AH$18,2)),GN192,GS192)</f>
        <v>#N/A</v>
      </c>
      <c r="CC192" s="342" t="e">
        <f ca="1">INDEX(INDIRECT(VLOOKUP(LEFT(BO192,7),CLU!$Z$3:$AH$18,3)),GN192,GS192)</f>
        <v>#N/A</v>
      </c>
      <c r="CD192" s="342" t="e">
        <f ca="1">INDEX(INDIRECT(VLOOKUP(LEFT(BO192,7),CLU!$Z$3:$AH$18,4)),GN192,GS192)</f>
        <v>#N/A</v>
      </c>
      <c r="CE192" s="426" t="e">
        <f t="shared" ca="1" si="551"/>
        <v>#N/A</v>
      </c>
      <c r="CF192" s="440">
        <f t="shared" si="552"/>
        <v>0</v>
      </c>
      <c r="CG192" s="431" t="e">
        <f ca="1">INDEX(INDIRECT(VLOOKUP(LEFT(BO192,7),CLU!$Z$3:$AH$18,2)),GQ192,GR192)</f>
        <v>#N/A</v>
      </c>
      <c r="CH192" s="431" t="e">
        <f ca="1">INDEX(INDIRECT(VLOOKUP(LEFT(BO192,7),CLU!$Z$3:$AH$18,3)),GQ192,GR192)</f>
        <v>#N/A</v>
      </c>
      <c r="CI192" s="431" t="e">
        <f ca="1">INDEX(INDIRECT(VLOOKUP(LEFT(BO192,7),CLU!$Z$3:$AH$18,4)),GQ192,GR192)</f>
        <v>#N/A</v>
      </c>
      <c r="CJ192" s="448" t="e">
        <f t="shared" ca="1" si="553"/>
        <v>#N/A</v>
      </c>
      <c r="CK192" s="431" t="e">
        <f t="shared" ca="1" si="554"/>
        <v>#N/A</v>
      </c>
      <c r="CL192" s="440" t="e">
        <f t="shared" ca="1" si="555"/>
        <v>#N/A</v>
      </c>
      <c r="CM192" s="431" t="e">
        <f ca="1">INDEX(INDIRECT(VLOOKUP(LEFT(BO192,7),CLU!$Z$3:$AH$18,2)),GQ192,GS192)</f>
        <v>#N/A</v>
      </c>
      <c r="CN192" s="431" t="e">
        <f ca="1">INDEX(INDIRECT(VLOOKUP(LEFT(BO192,7),CLU!$Z$3:$AH$18,3)),GQ192,GS192)</f>
        <v>#N/A</v>
      </c>
      <c r="CO192" s="431" t="e">
        <f ca="1">INDEX(INDIRECT(VLOOKUP(LEFT(BO192,7),CLU!$Z$3:$AH$18,4)),GQ192,GS192)</f>
        <v>#N/A</v>
      </c>
      <c r="CP192" s="431" t="e">
        <f t="shared" ca="1" si="556"/>
        <v>#N/A</v>
      </c>
      <c r="CQ192" s="440">
        <f t="shared" si="557"/>
        <v>0</v>
      </c>
      <c r="CR192" s="51" t="e">
        <f t="shared" ca="1" si="558"/>
        <v>#N/A</v>
      </c>
      <c r="CS192" s="439" t="e">
        <f t="shared" ca="1" si="559"/>
        <v>#VALUE!</v>
      </c>
      <c r="CT192" s="51" t="e">
        <f t="shared" ca="1" si="560"/>
        <v>#VALUE!</v>
      </c>
      <c r="CU192" s="10"/>
      <c r="CV192" s="51" t="e">
        <f t="shared" ca="1" si="457"/>
        <v>#VALUE!</v>
      </c>
      <c r="CW192" s="51">
        <f t="shared" si="561"/>
        <v>0</v>
      </c>
      <c r="CX192" s="439" t="e">
        <f t="shared" ca="1" si="562"/>
        <v>#VALUE!</v>
      </c>
      <c r="CY192" s="51" t="e">
        <f t="shared" ca="1" si="563"/>
        <v>#VALUE!</v>
      </c>
      <c r="CZ192" s="10"/>
      <c r="DA192" s="51" t="e">
        <f t="shared" ca="1" si="564"/>
        <v>#VALUE!</v>
      </c>
      <c r="DB192" s="347" t="e">
        <f ca="1">INDEX(INDIRECT(VLOOKUP(LEFT(BO192,7),CLU!$Z$3:$AI$18,10)),((M192-2)*(6-COUNTBLANK(GT192:GY192)))+GJ192)*LI192</f>
        <v>#N/A</v>
      </c>
      <c r="DC192" s="347" t="str">
        <f>IF(L192&gt;0,((R192/Worksheet!$I$15)/DB192)^2," ")</f>
        <v xml:space="preserve"> </v>
      </c>
      <c r="DD192" s="602" t="str">
        <f t="shared" si="565"/>
        <v xml:space="preserve"> </v>
      </c>
      <c r="DE192" s="347" t="str">
        <f t="shared" si="458"/>
        <v xml:space="preserve"> </v>
      </c>
      <c r="DF192" s="356" t="e">
        <f ca="1">INDEX(INDIRECT(VLOOKUP(LEFT(BO192,7),CLU!$Z$3:$AH$18,8)),((M192-2)*(6-COUNTBLANK(GT192:GY192)))+GJ192)</f>
        <v>#N/A</v>
      </c>
      <c r="DG192" s="347" t="str">
        <f t="shared" si="459"/>
        <v xml:space="preserve"> </v>
      </c>
      <c r="DH192" s="357" t="str">
        <f t="shared" si="460"/>
        <v xml:space="preserve"> </v>
      </c>
      <c r="DI192" s="355" t="str">
        <f t="shared" si="461"/>
        <v xml:space="preserve"> </v>
      </c>
      <c r="DJ192" s="245" t="e">
        <f ca="1">INDEX(INDIRECT(VLOOKUP(LEFT(BO192,7),CLU!$Z$3:$AH$18,5)),GL192,GK192)</f>
        <v>#N/A</v>
      </c>
      <c r="DK192" s="245" t="e">
        <f ca="1">INDEX(INDIRECT(VLOOKUP(LEFT(BO192,7),CLU!$Z$3:$AH$18,6)),GL192,GK192)</f>
        <v>#N/A</v>
      </c>
      <c r="DL192" s="355">
        <f>(Calculation!R192*0.69143*(Calculation!$BQ$8-Calculation!$F$8))*$S$14</f>
        <v>0</v>
      </c>
      <c r="DM192" s="359" t="e">
        <f t="shared" si="566"/>
        <v>#VALUE!</v>
      </c>
      <c r="DN192" s="611">
        <f t="shared" si="567"/>
        <v>0</v>
      </c>
      <c r="DO192" s="359">
        <f t="shared" si="568"/>
        <v>100</v>
      </c>
      <c r="DP192" s="359">
        <f t="shared" si="569"/>
        <v>0</v>
      </c>
      <c r="DQ192" s="360"/>
      <c r="DR192" s="245" t="e">
        <f ca="1">INDEX(INDIRECT(VLOOKUP(LEFT(BO192,7),CLU!$Z$3:$AH$18,7)),M192-1,1)</f>
        <v>#N/A</v>
      </c>
      <c r="DS192" s="245" t="e">
        <f ca="1">INDEX(INDIRECT(VLOOKUP(LEFT(BO192,7),CLU!$Z$3:$AH$18,7)),M192-1,2)</f>
        <v>#N/A</v>
      </c>
      <c r="DT192" s="245" t="e">
        <f ca="1">INDEX(INDIRECT(VLOOKUP(LEFT(BO192,7),CLU!$Z$3:$AH$18,7)),M192-1,3)</f>
        <v>#N/A</v>
      </c>
      <c r="DU192" s="245" t="e">
        <f ca="1">INDEX(INDIRECT(VLOOKUP(LEFT(BO192,7),CLU!$Z$3:$AH$18,7)),M192-1,4)</f>
        <v>#N/A</v>
      </c>
      <c r="DV192" s="361" t="e">
        <f ca="1">INDEX(INDIRECT(VLOOKUP(LEFT(BO192,7),CLU!$Z$3:$AH$18,7)),M192-1,4+LEFT(DZ192,1)*0.5)</f>
        <v>#N/A</v>
      </c>
      <c r="DW192" s="245" t="e">
        <f ca="1">INDEX(INDIRECT(VLOOKUP(LEFT(BO192,7),CLU!$Z$3:$AH$18,7)),M192-1,8)</f>
        <v>#N/A</v>
      </c>
      <c r="DX192" s="361" t="str">
        <f t="shared" si="462"/>
        <v xml:space="preserve"> </v>
      </c>
      <c r="DY192" s="361" t="str">
        <f t="shared" si="463"/>
        <v xml:space="preserve"> </v>
      </c>
      <c r="DZ192" s="361" t="str">
        <f t="shared" si="464"/>
        <v xml:space="preserve"> </v>
      </c>
      <c r="EA192" s="362" t="str">
        <f t="shared" si="465"/>
        <v xml:space="preserve"> </v>
      </c>
      <c r="EB192" s="624" t="str">
        <f t="shared" si="570"/>
        <v xml:space="preserve"> </v>
      </c>
      <c r="EC192" s="361" t="e">
        <f ca="1">INDEX(INDIRECT(VLOOKUP(LEFT(BO192,7),CLU!$Z$3:$AH$18,7)),M192-1,4+LEFT(DZ192,1)*0.5)</f>
        <v>#N/A</v>
      </c>
      <c r="ED192" s="362" t="str">
        <f t="shared" si="466"/>
        <v xml:space="preserve"> </v>
      </c>
      <c r="EE192" s="361" t="str">
        <f t="shared" si="467"/>
        <v xml:space="preserve"> </v>
      </c>
      <c r="EF192" s="362" t="str">
        <f>IF(L192&gt;0,IF(BR192&gt;0,IF(EE192="2P",IF(Calculation!DZ192="2P",IF(Calculation!DS192=13.75,IF(Calculation!DR192=13,Worksheet!$BD$43,IF(Calculation!DR192=37,Worksheet!$BD$44,Worksheet!$BD$45)),IF(Calculation!DS192=10,IF(Calculation!DR192=18,Worksheet!$BD$29,IF(Calculation!DR192=30,Worksheet!$BD$30,IF(Calculation!DR192=42,Worksheet!$BD$31,IF(Calculation!DR192=54,Worksheet!$BD$32,IF(Calculation!DR192=66,Worksheet!$BD$33,IF(Calculation!DR192=78,Worksheet!$BD$34,IF(Calculation!DR192=90,Worksheet!$BD$35,IF(Calculation!DR192=102,Worksheet!$BD$36,Worksheet!$BD$37)))))))),IF(Calculation!DS192=12.5,IF(Calculation!DR192=18,Worksheet!$BD$38,IF(Calculation!DR192=Worksheet!$BD$39,IF(Calculation!DR192=42,Worksheet!$BD$40,IF(Calculation!DR192=54,Worksheet!$BD$41,Worksheet!$BD$42)))),IF(Calculation!DR192=18,Worksheet!$BD$11,IF(Calculation!DR192=30,Worksheet!$BD$12,IF(Calculation!DR192=42,Worksheet!$BD$13,IF(Calculation!DR192=54,Worksheet!$BD$14,IF(Calculation!DR192=66,Worksheet!$BD$15,IF(Calculation!DR192=78,Worksheet!$BD$16,IF(Calculation!DR192=90,Worksheet!$BD$17,IF(Calculation!DR192=102,Worksheet!$BD$18,Worksheet!$BD$19))))))))))),IF(Calculation!DS192=13.75,IF(Calculation!DR192=13,Worksheet!$BD$78,IF(Calculation!DR192=37,Worksheet!$BD$79,Worksheet!$BD$80)),IF(Calculation!DS192=10,IF(Calculation!DR192=18,Worksheet!$BD$64,IF(Calculation!DR192=30,Worksheet!$BD$65,IF(Calculation!DR192=42,Worksheet!$BD$66,IF(Calculation!DR192=54,Worksheet!$BD$68,IF(Calculation!DR192=66,Worksheet!$BD$68,IF(Calculation!DR192=78,Worksheet!$BD$69,IF(Calculation!DR192=90,Worksheet!$BD$70,IF(Calculation!DR192=102,Worksheet!$BD$71,Worksheet!$BD$72)))))))),IF(Calculation!DS192=12.5,IF(Calculation!DR192=18,Worksheet!$BD$73,IF(Calculation!DR192=Worksheet!$BD$74,IF(Calculation!DR192=42,Worksheet!$BD$75,IF(Calculation!DR192=54,Worksheet!$BD$76,Worksheet!$BD$77)))),IF(Calculation!DR192=18,Worksheet!$BD$55,IF(Calculation!DR192=30,Worksheet!$BD$56,IF(Calculation!DR192=42,Worksheet!$BD$57,IF(Calculation!DR192=54,Worksheet!$BD$58,IF(Calculation!DR192=66,Worksheet!$BD$59,IF(Calculation!DR192=78,Worksheet!$BD$60,IF(Calculation!DR192=90,Worksheet!$BD$61,IF(Calculation!DR192=102,Worksheet!$BD$62,Worksheet!$BD$63)))))))))))),5),0)," ")</f>
        <v xml:space="preserve"> </v>
      </c>
      <c r="EG192" s="361" t="str">
        <f t="shared" si="468"/>
        <v xml:space="preserve"> </v>
      </c>
      <c r="EH192" s="361" t="e">
        <f ca="1">INDEX(INDIRECT(VLOOKUP(LEFT(BO192,7),CLU!$Z$3:$AH$18,7)),M192-1,3+LEFT(DZ192,1))</f>
        <v>#N/A</v>
      </c>
      <c r="EI192" s="362" t="str">
        <f t="shared" si="469"/>
        <v xml:space="preserve"> </v>
      </c>
      <c r="EJ192" s="363" t="str">
        <f t="shared" si="470"/>
        <v xml:space="preserve"> </v>
      </c>
      <c r="EK192" s="363" t="str">
        <f t="shared" si="471"/>
        <v xml:space="preserve"> </v>
      </c>
      <c r="EL192" s="363" t="str">
        <f t="shared" si="472"/>
        <v xml:space="preserve"> </v>
      </c>
      <c r="EM192" s="362" t="str">
        <f>IF(L192&gt;0,IF(BR192&gt;0,(Calculation!T192/ED192)^2,0)," ")</f>
        <v xml:space="preserve"> </v>
      </c>
      <c r="EN192" s="362" t="str">
        <f>IF(L192&gt;0,IF(O192="2 Pipe (Cooling)","N/A",IF(BR192&gt;0,(Calculation!U192/EI192)^2,0))," ")</f>
        <v xml:space="preserve"> </v>
      </c>
      <c r="EO192" s="361" t="str">
        <f t="shared" si="473"/>
        <v/>
      </c>
      <c r="EP192" s="361" t="str">
        <f t="shared" si="474"/>
        <v/>
      </c>
      <c r="EQ192" s="361" t="str">
        <f t="shared" si="475"/>
        <v/>
      </c>
      <c r="ER192" s="361" t="str">
        <f t="shared" si="476"/>
        <v/>
      </c>
      <c r="ES192" s="361" t="str">
        <f t="shared" si="477"/>
        <v/>
      </c>
      <c r="ET192" s="361" t="str">
        <f t="shared" si="478"/>
        <v/>
      </c>
      <c r="EU192" s="361" t="str">
        <f t="shared" si="479"/>
        <v/>
      </c>
      <c r="EV192" s="361" t="str">
        <f t="shared" si="480"/>
        <v/>
      </c>
      <c r="EW192" s="361" t="str">
        <f t="shared" si="481"/>
        <v/>
      </c>
      <c r="EX192" s="361" t="str">
        <f t="shared" si="571"/>
        <v>1 slot, 1 way</v>
      </c>
      <c r="EY192" s="361" t="str">
        <f t="shared" si="572"/>
        <v xml:space="preserve"> </v>
      </c>
      <c r="EZ192" s="361" t="str">
        <f t="shared" si="573"/>
        <v xml:space="preserve"> </v>
      </c>
      <c r="FA192" s="361" t="str">
        <f t="shared" si="574"/>
        <v xml:space="preserve"> </v>
      </c>
      <c r="FB192" s="361" t="str">
        <f t="shared" si="575"/>
        <v xml:space="preserve"> </v>
      </c>
      <c r="FC192" s="361"/>
      <c r="FD192" s="361" t="str">
        <f>IF(J192&gt;0,IF(Calculation!R192&lt;=70,4,IF(Calculation!R192&lt;=110,5,IF(Calculation!R192&lt;=160,6,IF(Calculation!R192&lt;=300,8,"10 EO")))),"")</f>
        <v/>
      </c>
      <c r="FE192" s="361" t="str">
        <f t="shared" si="576"/>
        <v/>
      </c>
      <c r="FF192" s="361" t="str">
        <f t="shared" si="577"/>
        <v/>
      </c>
      <c r="FG192" s="361" t="e">
        <f t="shared" si="482"/>
        <v>#N/A</v>
      </c>
      <c r="FH192" s="361">
        <f t="shared" si="483"/>
        <v>0</v>
      </c>
      <c r="FI192" s="361" t="e">
        <f t="shared" si="484"/>
        <v>#DIV/0!</v>
      </c>
      <c r="FJ192" s="361"/>
      <c r="FK192" s="356" t="e">
        <f t="shared" si="485"/>
        <v>#VALUE!</v>
      </c>
      <c r="FL192" s="361"/>
      <c r="FM192" s="361"/>
      <c r="FN192" s="362" t="str">
        <f t="shared" si="578"/>
        <v xml:space="preserve"> </v>
      </c>
      <c r="FO192" s="362" t="str">
        <f t="shared" si="579"/>
        <v xml:space="preserve"> </v>
      </c>
      <c r="FP192" s="362">
        <f t="shared" si="580"/>
        <v>0</v>
      </c>
      <c r="FQ192" s="361">
        <f t="shared" si="486"/>
        <v>0</v>
      </c>
      <c r="FR192" s="362" t="str">
        <f>IF(L192&gt;0,IF(J192="CBAL2",Worksheet!$P$67,IF(J192="CBE2-24",Worksheet!$Q$67,IF(J192="CBAM",Worksheet!$R$67,IF(J192="CBLV",Worksheet!$S$67,IF(J192="CBAB",Worksheet!$U$67,IF(J192="CBAW",Worksheet!$X$67,IF(J192="CBE2-12",Worksheet!$Y$67,IF(J192="CBAL2",Worksheet!$Z$67,"N/A"))))))))," ")</f>
        <v xml:space="preserve"> </v>
      </c>
      <c r="FS192" s="362" t="str">
        <f>IF(L192&gt;0,IF(J192="CBAL2",Worksheet!$P$68,IF(J192="CBE2-24",Worksheet!$Q$68,IF(J192="CBAM",Worksheet!$R$68,IF(J192="CBLV",Worksheet!$S$68,IF(J192="CBAB",Worksheet!$U$68,IF(J192="CBAW",Worksheet!$X$68,IF(J192="CBE2-12",Worksheet!$Y$68,IF(J192="CBAL2",Worksheet!$Z$68,"N/A"))))))))," ")</f>
        <v xml:space="preserve"> </v>
      </c>
      <c r="FT192" s="362" t="str">
        <f>IF(L192&gt;0,IF(J192="CBAL2",Worksheet!$P$69,IF(J192="CBE2-24",Worksheet!$Q$69,IF(J192="CBAM",Worksheet!$R$69,IF(J192="CBLV",Worksheet!$S$69,IF(J192="CBAB",Worksheet!$U$69,IF(J192="CBAW",Worksheet!$X$69,IF(J192="CBE2-12",Worksheet!$Y$69,IF(J192="CBAL2",Worksheet!$Z$69,"N/A"))))))))," ")</f>
        <v xml:space="preserve"> </v>
      </c>
      <c r="FU192" s="361" t="str">
        <f t="shared" si="581"/>
        <v xml:space="preserve"> </v>
      </c>
      <c r="FV192" s="362" t="str">
        <f t="shared" si="582"/>
        <v xml:space="preserve"> </v>
      </c>
      <c r="FW192" s="362" t="str">
        <f t="shared" si="583"/>
        <v xml:space="preserve"> </v>
      </c>
      <c r="FX192" s="362" t="str">
        <f t="shared" si="584"/>
        <v xml:space="preserve"> </v>
      </c>
      <c r="FY192" s="355" t="str">
        <f t="shared" si="585"/>
        <v xml:space="preserve"> </v>
      </c>
      <c r="FZ192" s="361" t="str">
        <f t="shared" si="586"/>
        <v xml:space="preserve"> </v>
      </c>
      <c r="GA192" s="347" t="str">
        <f t="shared" si="587"/>
        <v xml:space="preserve"> </v>
      </c>
      <c r="GB192" s="355" t="str">
        <f t="shared" si="588"/>
        <v xml:space="preserve"> </v>
      </c>
      <c r="GC192" s="328" t="str">
        <f t="shared" si="589"/>
        <v xml:space="preserve"> </v>
      </c>
      <c r="GD192" s="361" t="str">
        <f t="shared" si="590"/>
        <v xml:space="preserve"> </v>
      </c>
      <c r="GE192" s="347" t="str">
        <f t="shared" si="591"/>
        <v xml:space="preserve"> </v>
      </c>
      <c r="GF192" s="361" t="str">
        <f t="shared" si="592"/>
        <v xml:space="preserve"> </v>
      </c>
      <c r="GG192" s="347" t="str">
        <f t="shared" si="593"/>
        <v xml:space="preserve"> </v>
      </c>
      <c r="GH192" s="364">
        <f t="shared" si="487"/>
        <v>0</v>
      </c>
      <c r="GI192" s="362">
        <f t="shared" si="594"/>
        <v>2</v>
      </c>
      <c r="GJ192" s="433" t="e">
        <f>IF(6-COUNTBLANK(GT192:GY192)=4,MATCH(MID(BO192,9,3),CLU!$H$16:$K$16),MATCH(MID(BO192,9,3),CLU!$H$13:$M$13))</f>
        <v>#N/A</v>
      </c>
      <c r="GK192" s="433" t="e">
        <f>HLOOKUP(VALUE(BP192),CLU!$H$9:$M$10,2)</f>
        <v>#VALUE!</v>
      </c>
      <c r="GL192" s="433" t="e">
        <f ca="1">MATCH(BU192,CLU!$H$2:$V$2,1)</f>
        <v>#VALUE!</v>
      </c>
      <c r="GM192" s="433" t="e">
        <f t="shared" ca="1" si="595"/>
        <v>#VALUE!</v>
      </c>
      <c r="GN192" s="433" t="e">
        <f t="shared" ca="1" si="596"/>
        <v>#VALUE!</v>
      </c>
      <c r="GO192" s="433" t="e">
        <f t="shared" ca="1" si="597"/>
        <v>#VALUE!</v>
      </c>
      <c r="GP192" s="433" t="e">
        <f t="shared" ca="1" si="598"/>
        <v>#VALUE!</v>
      </c>
      <c r="GQ192" s="433" t="e">
        <f t="shared" ca="1" si="599"/>
        <v>#VALUE!</v>
      </c>
      <c r="GR192" s="433" t="e">
        <f ca="1">MATCH(T192,INDIRECT(VLOOKUP(CONCATENATE(LEFT(BO192,7),"-",MID(BO192,13,1)),CLU!$P$3:$Q$16,2)),1)</f>
        <v>#N/A</v>
      </c>
      <c r="GS192" s="433" t="e">
        <f ca="1">MATCH(U192,INDIRECT(VLOOKUP(CONCATENATE(LEFT(BO192,7),"-",MID(BO192,13,1)),CLU!$P$3:$Q$16,2)),1)</f>
        <v>#N/A</v>
      </c>
      <c r="GT192" s="347" t="s">
        <v>512</v>
      </c>
      <c r="GU192" s="97" t="s">
        <v>513</v>
      </c>
      <c r="GV192" s="97" t="str">
        <f t="shared" si="600"/>
        <v>M23</v>
      </c>
      <c r="GW192" s="97" t="str">
        <f t="shared" si="601"/>
        <v>M31</v>
      </c>
      <c r="GX192" s="97" t="str">
        <f t="shared" si="602"/>
        <v/>
      </c>
      <c r="GY192" s="97" t="str">
        <f t="shared" si="603"/>
        <v/>
      </c>
      <c r="GZ192" s="481"/>
      <c r="HA192" s="288"/>
      <c r="HB192" s="240"/>
      <c r="HC192" s="240"/>
      <c r="HD192" s="240"/>
      <c r="HE192" s="240"/>
      <c r="HF192" s="240"/>
      <c r="HG192" s="240"/>
      <c r="HH192" s="240"/>
      <c r="HI192" s="240"/>
      <c r="HJ192" s="240"/>
      <c r="HK192" s="240"/>
      <c r="HL192" s="240"/>
      <c r="HM192" s="240"/>
      <c r="HN192" s="240"/>
      <c r="HO192" s="240"/>
      <c r="HP192" s="240"/>
      <c r="HQ192" s="240"/>
      <c r="HR192" s="240"/>
      <c r="HS192" s="240"/>
      <c r="HT192" s="240"/>
      <c r="HU192" s="240"/>
      <c r="HV192" s="245"/>
      <c r="HW192" s="245" t="b">
        <v>1</v>
      </c>
      <c r="HX192" s="245" t="str">
        <f t="shared" si="488"/>
        <v/>
      </c>
      <c r="HY192" s="245" t="e">
        <f t="shared" si="489"/>
        <v>#DIV/0!</v>
      </c>
      <c r="HZ192" s="245" t="e">
        <f t="shared" si="490"/>
        <v>#DIV/0!</v>
      </c>
      <c r="IA192" s="245">
        <f t="shared" si="491"/>
        <v>0</v>
      </c>
      <c r="IB192" s="245"/>
      <c r="IC192" t="b">
        <f t="shared" si="492"/>
        <v>1</v>
      </c>
      <c r="ID192" s="245" t="b">
        <f t="shared" si="493"/>
        <v>1</v>
      </c>
      <c r="IE192" s="245" t="b">
        <f t="shared" si="494"/>
        <v>1</v>
      </c>
      <c r="IF192" s="245" t="b">
        <f t="shared" si="495"/>
        <v>0</v>
      </c>
      <c r="IG192" s="245" t="b">
        <f t="shared" si="496"/>
        <v>1</v>
      </c>
      <c r="IH192" s="245" t="b">
        <f t="shared" si="497"/>
        <v>1</v>
      </c>
      <c r="II192" s="245">
        <f t="shared" si="604"/>
        <v>0</v>
      </c>
      <c r="IJ192" s="245" t="e">
        <f t="shared" si="498"/>
        <v>#VALUE!</v>
      </c>
      <c r="IK192" s="245" t="e">
        <f t="shared" si="499"/>
        <v>#VALUE!</v>
      </c>
      <c r="IL192" s="245"/>
      <c r="IM192" s="245" t="e">
        <f t="shared" si="605"/>
        <v>#N/A</v>
      </c>
      <c r="IN192" s="245" t="e">
        <f t="shared" si="606"/>
        <v>#N/A</v>
      </c>
      <c r="IO192" s="245"/>
      <c r="IP192" s="245"/>
      <c r="IQ192" s="245" t="str">
        <f t="shared" si="500"/>
        <v/>
      </c>
      <c r="IR192" s="245" t="str">
        <f>IF(J192="","",VLOOKUP(J192,Worksheet!$R$4:$T$14,2))</f>
        <v/>
      </c>
      <c r="IS192" s="245"/>
      <c r="IT192" s="245">
        <f t="shared" si="501"/>
        <v>0</v>
      </c>
      <c r="IU192" s="245">
        <f t="shared" si="502"/>
        <v>0</v>
      </c>
      <c r="IV192" s="245">
        <f t="shared" si="503"/>
        <v>0</v>
      </c>
      <c r="IW192" s="245">
        <f t="shared" si="504"/>
        <v>0</v>
      </c>
      <c r="IX192" s="245">
        <f t="shared" si="607"/>
        <v>0</v>
      </c>
      <c r="IY192" s="245">
        <f t="shared" si="505"/>
        <v>0</v>
      </c>
      <c r="IZ192" s="245">
        <f t="shared" si="506"/>
        <v>0</v>
      </c>
      <c r="JA192">
        <f t="shared" si="507"/>
        <v>0</v>
      </c>
      <c r="JB192">
        <f t="shared" si="608"/>
        <v>0</v>
      </c>
      <c r="JC192">
        <f t="shared" si="508"/>
        <v>0</v>
      </c>
      <c r="JD192">
        <f t="shared" si="509"/>
        <v>0</v>
      </c>
      <c r="JE192">
        <f t="shared" si="510"/>
        <v>0</v>
      </c>
      <c r="JF192">
        <f t="shared" si="511"/>
        <v>0</v>
      </c>
      <c r="JG192">
        <f t="shared" si="512"/>
        <v>0</v>
      </c>
      <c r="JH192">
        <f t="shared" si="513"/>
        <v>0</v>
      </c>
      <c r="JI192">
        <f t="shared" si="514"/>
        <v>0</v>
      </c>
      <c r="JJ192" s="447">
        <f t="shared" si="515"/>
        <v>0</v>
      </c>
      <c r="JK192" s="447">
        <f t="shared" si="516"/>
        <v>0</v>
      </c>
      <c r="JL192">
        <f t="shared" si="517"/>
        <v>0</v>
      </c>
      <c r="JM192" s="245" t="str">
        <f>IFERROR(VLOOKUP(MATCH(BN192,#REF!,0),#REF!,7),"")</f>
        <v/>
      </c>
      <c r="JN192" t="e">
        <f>HLOOKUP(LEFT(BO192,7),Discharge_Area,MATCH(JO192,LookUps!$B$130:$B$149,1)+2)</f>
        <v>#N/A</v>
      </c>
      <c r="JO192" t="str">
        <f t="shared" si="518"/>
        <v>- S</v>
      </c>
      <c r="JP192" t="e">
        <f>HLOOKUP(LEFT(BO192,7),Discharge_Area,MATCH(JO192,LookUps!$B$130:$B$149,1)+2)</f>
        <v>#N/A</v>
      </c>
      <c r="JQ192" t="e">
        <f t="shared" si="519"/>
        <v>#N/A</v>
      </c>
      <c r="JR192" t="e">
        <f t="shared" si="520"/>
        <v>#N/A</v>
      </c>
      <c r="JS192" t="e">
        <f t="shared" si="521"/>
        <v>#N/A</v>
      </c>
      <c r="JT192" s="532" t="str">
        <f t="shared" si="522"/>
        <v xml:space="preserve"> </v>
      </c>
      <c r="JU192" s="532" t="str">
        <f t="shared" si="523"/>
        <v xml:space="preserve"> </v>
      </c>
      <c r="JV192" s="533" t="str">
        <f t="shared" si="524"/>
        <v xml:space="preserve"> </v>
      </c>
      <c r="JW192" s="534">
        <f t="shared" si="525"/>
        <v>0</v>
      </c>
      <c r="JX192" s="535" t="str">
        <f t="shared" si="609"/>
        <v xml:space="preserve"> </v>
      </c>
      <c r="JY192" s="535" t="str">
        <f t="shared" si="610"/>
        <v xml:space="preserve"> </v>
      </c>
      <c r="JZ192" s="535" t="str">
        <f t="shared" si="611"/>
        <v xml:space="preserve"> </v>
      </c>
      <c r="KA192" s="536" t="str">
        <f t="shared" si="526"/>
        <v xml:space="preserve"> </v>
      </c>
      <c r="KB192" s="535" t="e">
        <f t="shared" si="612"/>
        <v>#VALUE!</v>
      </c>
      <c r="KC192" s="535" t="str">
        <f t="shared" si="527"/>
        <v/>
      </c>
      <c r="KD192" s="537" t="str">
        <f t="shared" si="613"/>
        <v xml:space="preserve"> </v>
      </c>
      <c r="KE192" s="537" t="str">
        <f t="shared" si="614"/>
        <v xml:space="preserve"> </v>
      </c>
      <c r="KF192" s="534">
        <f t="shared" si="528"/>
        <v>0</v>
      </c>
      <c r="KG192" s="535" t="str">
        <f t="shared" si="529"/>
        <v xml:space="preserve"> </v>
      </c>
      <c r="KH192" s="535" t="str">
        <f t="shared" si="530"/>
        <v xml:space="preserve"> </v>
      </c>
      <c r="KI192" s="535" t="str">
        <f t="shared" si="531"/>
        <v xml:space="preserve"> </v>
      </c>
      <c r="KJ192" s="536" t="str">
        <f t="shared" si="532"/>
        <v xml:space="preserve"> </v>
      </c>
      <c r="KK192" s="535" t="str">
        <f t="shared" si="615"/>
        <v xml:space="preserve"> </v>
      </c>
      <c r="KL192" s="535" t="str">
        <f t="shared" si="616"/>
        <v xml:space="preserve"> </v>
      </c>
      <c r="KM192" s="537" t="str">
        <f t="shared" si="533"/>
        <v xml:space="preserve"> </v>
      </c>
      <c r="KN192" s="537" t="str">
        <f t="shared" si="617"/>
        <v xml:space="preserve"> </v>
      </c>
      <c r="KP192">
        <f t="shared" si="534"/>
        <v>0</v>
      </c>
      <c r="LA192" t="e">
        <f t="shared" si="535"/>
        <v>#VALUE!</v>
      </c>
      <c r="LB192" t="e">
        <f t="shared" si="536"/>
        <v>#VALUE!</v>
      </c>
      <c r="LC192" t="e">
        <f t="shared" si="537"/>
        <v>#VALUE!</v>
      </c>
      <c r="LD192" t="e">
        <f t="shared" si="538"/>
        <v>#VALUE!</v>
      </c>
      <c r="LE192" t="e">
        <f t="shared" si="618"/>
        <v>#VALUE!</v>
      </c>
      <c r="LF192">
        <f t="shared" si="539"/>
        <v>0</v>
      </c>
      <c r="LG192" t="e">
        <f t="shared" si="619"/>
        <v>#VALUE!</v>
      </c>
      <c r="LH192" t="str">
        <f t="shared" si="540"/>
        <v xml:space="preserve"> </v>
      </c>
      <c r="LI192">
        <f t="shared" si="620"/>
        <v>1</v>
      </c>
    </row>
    <row r="193" spans="2:321" ht="15" customHeight="1">
      <c r="B193" s="311"/>
      <c r="C193" s="311"/>
      <c r="D193" s="312"/>
      <c r="E193" s="311"/>
      <c r="F193" s="312"/>
      <c r="G193" s="311"/>
      <c r="H193" s="311"/>
      <c r="I193" s="37"/>
      <c r="J193" s="311"/>
      <c r="K193" s="305" t="str">
        <f t="shared" si="541"/>
        <v/>
      </c>
      <c r="L193" s="313"/>
      <c r="M193" s="312"/>
      <c r="N193" s="311"/>
      <c r="O193" s="312"/>
      <c r="P193" s="311"/>
      <c r="Q193" s="305" t="str">
        <f t="shared" si="542"/>
        <v/>
      </c>
      <c r="R193" s="314"/>
      <c r="S193" s="450" t="str">
        <f t="shared" si="425"/>
        <v/>
      </c>
      <c r="T193" s="315"/>
      <c r="U193" s="315"/>
      <c r="W193" s="149" t="str">
        <f t="shared" si="426"/>
        <v xml:space="preserve"> </v>
      </c>
      <c r="X193" s="243" t="str">
        <f t="shared" si="427"/>
        <v xml:space="preserve"> </v>
      </c>
      <c r="Y193" s="150" t="str">
        <f t="shared" si="428"/>
        <v/>
      </c>
      <c r="Z193" s="149" t="str">
        <f t="shared" si="429"/>
        <v xml:space="preserve"> </v>
      </c>
      <c r="AA193" s="98" t="str">
        <f t="shared" si="430"/>
        <v xml:space="preserve"> </v>
      </c>
      <c r="AB193" s="153" t="str">
        <f t="shared" si="431"/>
        <v xml:space="preserve"> </v>
      </c>
      <c r="AC193" s="153" t="str">
        <f t="shared" si="432"/>
        <v xml:space="preserve"> </v>
      </c>
      <c r="AD193" s="148" t="str">
        <f t="shared" si="433"/>
        <v/>
      </c>
      <c r="AE193" s="149" t="str">
        <f t="shared" si="434"/>
        <v/>
      </c>
      <c r="AF193" s="151" t="str">
        <f t="shared" si="435"/>
        <v xml:space="preserve"> </v>
      </c>
      <c r="AG193" s="153" t="str">
        <f t="shared" si="436"/>
        <v xml:space="preserve"> </v>
      </c>
      <c r="AH193" s="98" t="str">
        <f t="shared" si="437"/>
        <v xml:space="preserve"> </v>
      </c>
      <c r="AI193" s="149" t="str">
        <f t="shared" si="438"/>
        <v xml:space="preserve"> </v>
      </c>
      <c r="AK193" s="144" t="str">
        <f t="shared" si="439"/>
        <v xml:space="preserve"> </v>
      </c>
      <c r="AL193" s="144"/>
      <c r="AM193" s="243" t="str">
        <f t="shared" si="440"/>
        <v xml:space="preserve"> </v>
      </c>
      <c r="AN193" s="149" t="str">
        <f t="shared" si="543"/>
        <v xml:space="preserve"> </v>
      </c>
      <c r="AO193" s="144" t="str">
        <f>IF(JB193&gt;0,IF(GI193=10,-R193*1.085*(Calculation!$F$6-Calculation!$F$13)*$S$14," "),"")</f>
        <v/>
      </c>
      <c r="AP193" s="144" t="str">
        <f t="shared" si="441"/>
        <v/>
      </c>
      <c r="AQ193" s="56" t="str">
        <f t="shared" si="442"/>
        <v/>
      </c>
      <c r="AR193" s="144" t="str">
        <f t="shared" si="443"/>
        <v/>
      </c>
      <c r="AS193" s="176" t="str">
        <f t="shared" si="444"/>
        <v/>
      </c>
      <c r="AT193" s="176" t="str">
        <f t="shared" si="544"/>
        <v xml:space="preserve"> </v>
      </c>
      <c r="AU193" s="176" t="str">
        <f t="shared" si="445"/>
        <v/>
      </c>
      <c r="AV193" s="177" t="str">
        <f t="shared" si="446"/>
        <v xml:space="preserve"> </v>
      </c>
      <c r="AW193" s="144" t="str">
        <f t="shared" si="447"/>
        <v xml:space="preserve"> </v>
      </c>
      <c r="AX193" s="144" t="str">
        <f t="shared" si="448"/>
        <v xml:space="preserve"> </v>
      </c>
      <c r="AY193" s="152" t="str">
        <f t="shared" si="449"/>
        <v xml:space="preserve"> </v>
      </c>
      <c r="AZ193" s="246" t="str">
        <f t="shared" si="450"/>
        <v/>
      </c>
      <c r="BA193" s="176" t="str">
        <f t="shared" si="451"/>
        <v xml:space="preserve"> </v>
      </c>
      <c r="BB193" s="176" t="str">
        <f t="shared" si="452"/>
        <v xml:space="preserve"> </v>
      </c>
      <c r="BC193" s="195"/>
      <c r="BD193" s="316"/>
      <c r="BE193" s="317"/>
      <c r="BF193" s="318"/>
      <c r="BG193" s="318"/>
      <c r="BH193" s="144" t="str">
        <f t="shared" si="621"/>
        <v xml:space="preserve"> </v>
      </c>
      <c r="BI193" s="176" t="str">
        <f t="shared" si="453"/>
        <v/>
      </c>
      <c r="BJ193" s="144" t="str">
        <f t="shared" si="622"/>
        <v/>
      </c>
      <c r="BK193" s="246" t="str">
        <f t="shared" si="454"/>
        <v/>
      </c>
      <c r="BL193" s="144" t="str">
        <f t="shared" si="623"/>
        <v/>
      </c>
      <c r="BM193" s="246" t="str">
        <f t="shared" si="455"/>
        <v/>
      </c>
      <c r="BN193" s="337" t="str">
        <f t="shared" si="545"/>
        <v/>
      </c>
      <c r="BO193" s="371" t="str">
        <f t="shared" si="546"/>
        <v/>
      </c>
      <c r="BP193" s="328" t="str">
        <f t="shared" si="624"/>
        <v xml:space="preserve"> </v>
      </c>
      <c r="BQ193" s="347" t="str">
        <f t="shared" si="547"/>
        <v xml:space="preserve"> </v>
      </c>
      <c r="BR193" s="353" t="str">
        <f t="shared" si="548"/>
        <v xml:space="preserve"> </v>
      </c>
      <c r="BS193" s="626" t="str">
        <f>IF(L193&gt;0,IF(Calculation!P193="M13",BR193*3.1416*(0.134^2)/(4*144),IF(Calculation!P193="M17",BR193*3.1416*(0.165^2)/(4*144),IF(Calculation!P193="M20",BR193*3.1416*(0.198^2)/(4*144),IF(Calculation!P193="M23",BR193*3.1416*(0.228^2)/(4*144),IF(Calculation!P193="M27",BR193*3.1416*(0.269^2)/(4*144),BR193*3.1416*(0.307^2)/(4*144))))))," ")</f>
        <v xml:space="preserve"> </v>
      </c>
      <c r="BT193" s="353" t="str">
        <f>IF(L193&gt;0,IF(BS193&gt;0,R193/Calculation!BS193,0)," ")</f>
        <v xml:space="preserve"> </v>
      </c>
      <c r="BU193" s="438" t="e">
        <f t="shared" ca="1" si="456"/>
        <v>#VALUE!</v>
      </c>
      <c r="BV193" s="449" t="e">
        <f ca="1">INDEX(INDIRECT(VLOOKUP(LEFT(BO193,7),CLU!$Z$3:$AH$18,2)),GN193,GR193)</f>
        <v>#N/A</v>
      </c>
      <c r="BW193" s="433" t="e">
        <f ca="1">INDEX(INDIRECT(VLOOKUP(LEFT(BO193,7),CLU!$Z$3:$AH$18,3)),GN193,GR193)</f>
        <v>#N/A</v>
      </c>
      <c r="BX193" s="433" t="e">
        <f ca="1">INDEX(INDIRECT(VLOOKUP(LEFT(BO193,7),CLU!$Z$3:$AH$18,4)),GN193,GR193)</f>
        <v>#N/A</v>
      </c>
      <c r="BY193" s="433" t="e">
        <f ca="1">INDEX(INDIRECT(VLOOKUP(LEFT(BO193,7),CLU!$Z$3:$AH$18,9)),((M193-2)*(6-COUNTBLANK(GT193:GY193)))+GJ193)</f>
        <v>#N/A</v>
      </c>
      <c r="BZ193" s="426" t="e">
        <f t="shared" ca="1" si="549"/>
        <v>#N/A</v>
      </c>
      <c r="CA193" s="424" t="e">
        <f t="shared" ca="1" si="550"/>
        <v>#N/A</v>
      </c>
      <c r="CB193" s="429" t="e">
        <f ca="1">INDEX(INDIRECT(VLOOKUP(LEFT(BO193,7),CLU!$Z$3:$AH$18,2)),GN193,GS193)</f>
        <v>#N/A</v>
      </c>
      <c r="CC193" s="342" t="e">
        <f ca="1">INDEX(INDIRECT(VLOOKUP(LEFT(BO193,7),CLU!$Z$3:$AH$18,3)),GN193,GS193)</f>
        <v>#N/A</v>
      </c>
      <c r="CD193" s="342" t="e">
        <f ca="1">INDEX(INDIRECT(VLOOKUP(LEFT(BO193,7),CLU!$Z$3:$AH$18,4)),GN193,GS193)</f>
        <v>#N/A</v>
      </c>
      <c r="CE193" s="426" t="e">
        <f t="shared" ca="1" si="551"/>
        <v>#N/A</v>
      </c>
      <c r="CF193" s="440">
        <f t="shared" si="552"/>
        <v>0</v>
      </c>
      <c r="CG193" s="431" t="e">
        <f ca="1">INDEX(INDIRECT(VLOOKUP(LEFT(BO193,7),CLU!$Z$3:$AH$18,2)),GQ193,GR193)</f>
        <v>#N/A</v>
      </c>
      <c r="CH193" s="431" t="e">
        <f ca="1">INDEX(INDIRECT(VLOOKUP(LEFT(BO193,7),CLU!$Z$3:$AH$18,3)),GQ193,GR193)</f>
        <v>#N/A</v>
      </c>
      <c r="CI193" s="431" t="e">
        <f ca="1">INDEX(INDIRECT(VLOOKUP(LEFT(BO193,7),CLU!$Z$3:$AH$18,4)),GQ193,GR193)</f>
        <v>#N/A</v>
      </c>
      <c r="CJ193" s="448" t="e">
        <f t="shared" ca="1" si="553"/>
        <v>#N/A</v>
      </c>
      <c r="CK193" s="431" t="e">
        <f t="shared" ca="1" si="554"/>
        <v>#N/A</v>
      </c>
      <c r="CL193" s="440" t="e">
        <f t="shared" ca="1" si="555"/>
        <v>#N/A</v>
      </c>
      <c r="CM193" s="431" t="e">
        <f ca="1">INDEX(INDIRECT(VLOOKUP(LEFT(BO193,7),CLU!$Z$3:$AH$18,2)),GQ193,GS193)</f>
        <v>#N/A</v>
      </c>
      <c r="CN193" s="431" t="e">
        <f ca="1">INDEX(INDIRECT(VLOOKUP(LEFT(BO193,7),CLU!$Z$3:$AH$18,3)),GQ193,GS193)</f>
        <v>#N/A</v>
      </c>
      <c r="CO193" s="431" t="e">
        <f ca="1">INDEX(INDIRECT(VLOOKUP(LEFT(BO193,7),CLU!$Z$3:$AH$18,4)),GQ193,GS193)</f>
        <v>#N/A</v>
      </c>
      <c r="CP193" s="431" t="e">
        <f t="shared" ca="1" si="556"/>
        <v>#N/A</v>
      </c>
      <c r="CQ193" s="440">
        <f t="shared" si="557"/>
        <v>0</v>
      </c>
      <c r="CR193" s="51" t="e">
        <f t="shared" ca="1" si="558"/>
        <v>#N/A</v>
      </c>
      <c r="CS193" s="439" t="e">
        <f t="shared" ca="1" si="559"/>
        <v>#VALUE!</v>
      </c>
      <c r="CT193" s="51" t="e">
        <f t="shared" ca="1" si="560"/>
        <v>#VALUE!</v>
      </c>
      <c r="CU193" s="10"/>
      <c r="CV193" s="51" t="e">
        <f t="shared" ca="1" si="457"/>
        <v>#VALUE!</v>
      </c>
      <c r="CW193" s="51">
        <f t="shared" si="561"/>
        <v>0</v>
      </c>
      <c r="CX193" s="439" t="e">
        <f t="shared" ca="1" si="562"/>
        <v>#VALUE!</v>
      </c>
      <c r="CY193" s="51" t="e">
        <f t="shared" ca="1" si="563"/>
        <v>#VALUE!</v>
      </c>
      <c r="CZ193" s="10"/>
      <c r="DA193" s="51" t="e">
        <f t="shared" ca="1" si="564"/>
        <v>#VALUE!</v>
      </c>
      <c r="DB193" s="347" t="e">
        <f ca="1">INDEX(INDIRECT(VLOOKUP(LEFT(BO193,7),CLU!$Z$3:$AI$18,10)),((M193-2)*(6-COUNTBLANK(GT193:GY193)))+GJ193)*LI193</f>
        <v>#N/A</v>
      </c>
      <c r="DC193" s="347" t="str">
        <f>IF(L193&gt;0,((R193/Worksheet!$I$15)/DB193)^2," ")</f>
        <v xml:space="preserve"> </v>
      </c>
      <c r="DD193" s="602" t="str">
        <f t="shared" si="565"/>
        <v xml:space="preserve"> </v>
      </c>
      <c r="DE193" s="347" t="str">
        <f t="shared" si="458"/>
        <v xml:space="preserve"> </v>
      </c>
      <c r="DF193" s="356" t="e">
        <f ca="1">INDEX(INDIRECT(VLOOKUP(LEFT(BO193,7),CLU!$Z$3:$AH$18,8)),((M193-2)*(6-COUNTBLANK(GT193:GY193)))+GJ193)</f>
        <v>#N/A</v>
      </c>
      <c r="DG193" s="347" t="str">
        <f t="shared" si="459"/>
        <v xml:space="preserve"> </v>
      </c>
      <c r="DH193" s="357" t="str">
        <f t="shared" si="460"/>
        <v xml:space="preserve"> </v>
      </c>
      <c r="DI193" s="355" t="str">
        <f t="shared" si="461"/>
        <v xml:space="preserve"> </v>
      </c>
      <c r="DJ193" s="245" t="e">
        <f ca="1">INDEX(INDIRECT(VLOOKUP(LEFT(BO193,7),CLU!$Z$3:$AH$18,5)),GL193,GK193)</f>
        <v>#N/A</v>
      </c>
      <c r="DK193" s="245" t="e">
        <f ca="1">INDEX(INDIRECT(VLOOKUP(LEFT(BO193,7),CLU!$Z$3:$AH$18,6)),GL193,GK193)</f>
        <v>#N/A</v>
      </c>
      <c r="DL193" s="355">
        <f>(Calculation!R193*0.69143*(Calculation!$BQ$8-Calculation!$F$8))*$S$14</f>
        <v>0</v>
      </c>
      <c r="DM193" s="359" t="e">
        <f t="shared" si="566"/>
        <v>#VALUE!</v>
      </c>
      <c r="DN193" s="611">
        <f t="shared" si="567"/>
        <v>0</v>
      </c>
      <c r="DO193" s="359">
        <f t="shared" si="568"/>
        <v>100</v>
      </c>
      <c r="DP193" s="359">
        <f t="shared" si="569"/>
        <v>0</v>
      </c>
      <c r="DQ193" s="360"/>
      <c r="DR193" s="245" t="e">
        <f ca="1">INDEX(INDIRECT(VLOOKUP(LEFT(BO193,7),CLU!$Z$3:$AH$18,7)),M193-1,1)</f>
        <v>#N/A</v>
      </c>
      <c r="DS193" s="245" t="e">
        <f ca="1">INDEX(INDIRECT(VLOOKUP(LEFT(BO193,7),CLU!$Z$3:$AH$18,7)),M193-1,2)</f>
        <v>#N/A</v>
      </c>
      <c r="DT193" s="245" t="e">
        <f ca="1">INDEX(INDIRECT(VLOOKUP(LEFT(BO193,7),CLU!$Z$3:$AH$18,7)),M193-1,3)</f>
        <v>#N/A</v>
      </c>
      <c r="DU193" s="245" t="e">
        <f ca="1">INDEX(INDIRECT(VLOOKUP(LEFT(BO193,7),CLU!$Z$3:$AH$18,7)),M193-1,4)</f>
        <v>#N/A</v>
      </c>
      <c r="DV193" s="361" t="e">
        <f ca="1">INDEX(INDIRECT(VLOOKUP(LEFT(BO193,7),CLU!$Z$3:$AH$18,7)),M193-1,4+LEFT(DZ193,1)*0.5)</f>
        <v>#N/A</v>
      </c>
      <c r="DW193" s="245" t="e">
        <f ca="1">INDEX(INDIRECT(VLOOKUP(LEFT(BO193,7),CLU!$Z$3:$AH$18,7)),M193-1,8)</f>
        <v>#N/A</v>
      </c>
      <c r="DX193" s="361" t="str">
        <f t="shared" si="462"/>
        <v xml:space="preserve"> </v>
      </c>
      <c r="DY193" s="361" t="str">
        <f t="shared" si="463"/>
        <v xml:space="preserve"> </v>
      </c>
      <c r="DZ193" s="361" t="str">
        <f t="shared" si="464"/>
        <v xml:space="preserve"> </v>
      </c>
      <c r="EA193" s="362" t="str">
        <f t="shared" si="465"/>
        <v xml:space="preserve"> </v>
      </c>
      <c r="EB193" s="624" t="str">
        <f t="shared" si="570"/>
        <v xml:space="preserve"> </v>
      </c>
      <c r="EC193" s="361" t="e">
        <f ca="1">INDEX(INDIRECT(VLOOKUP(LEFT(BO193,7),CLU!$Z$3:$AH$18,7)),M193-1,4+LEFT(DZ193,1)*0.5)</f>
        <v>#N/A</v>
      </c>
      <c r="ED193" s="362" t="str">
        <f t="shared" si="466"/>
        <v xml:space="preserve"> </v>
      </c>
      <c r="EE193" s="361" t="str">
        <f t="shared" si="467"/>
        <v xml:space="preserve"> </v>
      </c>
      <c r="EF193" s="362" t="str">
        <f>IF(L193&gt;0,IF(BR193&gt;0,IF(EE193="2P",IF(Calculation!DZ193="2P",IF(Calculation!DS193=13.75,IF(Calculation!DR193=13,Worksheet!$BD$43,IF(Calculation!DR193=37,Worksheet!$BD$44,Worksheet!$BD$45)),IF(Calculation!DS193=10,IF(Calculation!DR193=18,Worksheet!$BD$29,IF(Calculation!DR193=30,Worksheet!$BD$30,IF(Calculation!DR193=42,Worksheet!$BD$31,IF(Calculation!DR193=54,Worksheet!$BD$32,IF(Calculation!DR193=66,Worksheet!$BD$33,IF(Calculation!DR193=78,Worksheet!$BD$34,IF(Calculation!DR193=90,Worksheet!$BD$35,IF(Calculation!DR193=102,Worksheet!$BD$36,Worksheet!$BD$37)))))))),IF(Calculation!DS193=12.5,IF(Calculation!DR193=18,Worksheet!$BD$38,IF(Calculation!DR193=Worksheet!$BD$39,IF(Calculation!DR193=42,Worksheet!$BD$40,IF(Calculation!DR193=54,Worksheet!$BD$41,Worksheet!$BD$42)))),IF(Calculation!DR193=18,Worksheet!$BD$11,IF(Calculation!DR193=30,Worksheet!$BD$12,IF(Calculation!DR193=42,Worksheet!$BD$13,IF(Calculation!DR193=54,Worksheet!$BD$14,IF(Calculation!DR193=66,Worksheet!$BD$15,IF(Calculation!DR193=78,Worksheet!$BD$16,IF(Calculation!DR193=90,Worksheet!$BD$17,IF(Calculation!DR193=102,Worksheet!$BD$18,Worksheet!$BD$19))))))))))),IF(Calculation!DS193=13.75,IF(Calculation!DR193=13,Worksheet!$BD$78,IF(Calculation!DR193=37,Worksheet!$BD$79,Worksheet!$BD$80)),IF(Calculation!DS193=10,IF(Calculation!DR193=18,Worksheet!$BD$64,IF(Calculation!DR193=30,Worksheet!$BD$65,IF(Calculation!DR193=42,Worksheet!$BD$66,IF(Calculation!DR193=54,Worksheet!$BD$68,IF(Calculation!DR193=66,Worksheet!$BD$68,IF(Calculation!DR193=78,Worksheet!$BD$69,IF(Calculation!DR193=90,Worksheet!$BD$70,IF(Calculation!DR193=102,Worksheet!$BD$71,Worksheet!$BD$72)))))))),IF(Calculation!DS193=12.5,IF(Calculation!DR193=18,Worksheet!$BD$73,IF(Calculation!DR193=Worksheet!$BD$74,IF(Calculation!DR193=42,Worksheet!$BD$75,IF(Calculation!DR193=54,Worksheet!$BD$76,Worksheet!$BD$77)))),IF(Calculation!DR193=18,Worksheet!$BD$55,IF(Calculation!DR193=30,Worksheet!$BD$56,IF(Calculation!DR193=42,Worksheet!$BD$57,IF(Calculation!DR193=54,Worksheet!$BD$58,IF(Calculation!DR193=66,Worksheet!$BD$59,IF(Calculation!DR193=78,Worksheet!$BD$60,IF(Calculation!DR193=90,Worksheet!$BD$61,IF(Calculation!DR193=102,Worksheet!$BD$62,Worksheet!$BD$63)))))))))))),5),0)," ")</f>
        <v xml:space="preserve"> </v>
      </c>
      <c r="EG193" s="361" t="str">
        <f t="shared" si="468"/>
        <v xml:space="preserve"> </v>
      </c>
      <c r="EH193" s="361" t="e">
        <f ca="1">INDEX(INDIRECT(VLOOKUP(LEFT(BO193,7),CLU!$Z$3:$AH$18,7)),M193-1,3+LEFT(DZ193,1))</f>
        <v>#N/A</v>
      </c>
      <c r="EI193" s="362" t="str">
        <f t="shared" si="469"/>
        <v xml:space="preserve"> </v>
      </c>
      <c r="EJ193" s="363" t="str">
        <f t="shared" si="470"/>
        <v xml:space="preserve"> </v>
      </c>
      <c r="EK193" s="363" t="str">
        <f t="shared" si="471"/>
        <v xml:space="preserve"> </v>
      </c>
      <c r="EL193" s="363" t="str">
        <f t="shared" si="472"/>
        <v xml:space="preserve"> </v>
      </c>
      <c r="EM193" s="362" t="str">
        <f>IF(L193&gt;0,IF(BR193&gt;0,(Calculation!T193/ED193)^2,0)," ")</f>
        <v xml:space="preserve"> </v>
      </c>
      <c r="EN193" s="362" t="str">
        <f>IF(L193&gt;0,IF(O193="2 Pipe (Cooling)","N/A",IF(BR193&gt;0,(Calculation!U193/EI193)^2,0))," ")</f>
        <v xml:space="preserve"> </v>
      </c>
      <c r="EO193" s="361" t="str">
        <f t="shared" si="473"/>
        <v/>
      </c>
      <c r="EP193" s="361" t="str">
        <f t="shared" si="474"/>
        <v/>
      </c>
      <c r="EQ193" s="361" t="str">
        <f t="shared" si="475"/>
        <v/>
      </c>
      <c r="ER193" s="361" t="str">
        <f t="shared" si="476"/>
        <v/>
      </c>
      <c r="ES193" s="361" t="str">
        <f t="shared" si="477"/>
        <v/>
      </c>
      <c r="ET193" s="361" t="str">
        <f t="shared" si="478"/>
        <v/>
      </c>
      <c r="EU193" s="361" t="str">
        <f t="shared" si="479"/>
        <v/>
      </c>
      <c r="EV193" s="361" t="str">
        <f t="shared" si="480"/>
        <v/>
      </c>
      <c r="EW193" s="361" t="str">
        <f t="shared" si="481"/>
        <v/>
      </c>
      <c r="EX193" s="361" t="str">
        <f t="shared" si="571"/>
        <v>1 slot, 1 way</v>
      </c>
      <c r="EY193" s="361" t="str">
        <f t="shared" si="572"/>
        <v xml:space="preserve"> </v>
      </c>
      <c r="EZ193" s="361" t="str">
        <f t="shared" si="573"/>
        <v xml:space="preserve"> </v>
      </c>
      <c r="FA193" s="361" t="str">
        <f t="shared" si="574"/>
        <v xml:space="preserve"> </v>
      </c>
      <c r="FB193" s="361" t="str">
        <f t="shared" si="575"/>
        <v xml:space="preserve"> </v>
      </c>
      <c r="FC193" s="361"/>
      <c r="FD193" s="361" t="str">
        <f>IF(J193&gt;0,IF(Calculation!R193&lt;=70,4,IF(Calculation!R193&lt;=110,5,IF(Calculation!R193&lt;=160,6,IF(Calculation!R193&lt;=300,8,"10 EO")))),"")</f>
        <v/>
      </c>
      <c r="FE193" s="361" t="str">
        <f t="shared" si="576"/>
        <v/>
      </c>
      <c r="FF193" s="361" t="str">
        <f t="shared" si="577"/>
        <v/>
      </c>
      <c r="FG193" s="361" t="e">
        <f t="shared" si="482"/>
        <v>#N/A</v>
      </c>
      <c r="FH193" s="361">
        <f t="shared" si="483"/>
        <v>0</v>
      </c>
      <c r="FI193" s="361" t="e">
        <f t="shared" si="484"/>
        <v>#DIV/0!</v>
      </c>
      <c r="FJ193" s="361"/>
      <c r="FK193" s="356" t="e">
        <f t="shared" si="485"/>
        <v>#VALUE!</v>
      </c>
      <c r="FL193" s="361"/>
      <c r="FM193" s="361"/>
      <c r="FN193" s="362" t="str">
        <f t="shared" si="578"/>
        <v xml:space="preserve"> </v>
      </c>
      <c r="FO193" s="362" t="str">
        <f t="shared" si="579"/>
        <v xml:space="preserve"> </v>
      </c>
      <c r="FP193" s="362">
        <f t="shared" si="580"/>
        <v>0</v>
      </c>
      <c r="FQ193" s="361">
        <f t="shared" si="486"/>
        <v>0</v>
      </c>
      <c r="FR193" s="362" t="str">
        <f>IF(L193&gt;0,IF(J193="CBAL2",Worksheet!$P$67,IF(J193="CBE2-24",Worksheet!$Q$67,IF(J193="CBAM",Worksheet!$R$67,IF(J193="CBLV",Worksheet!$S$67,IF(J193="CBAB",Worksheet!$U$67,IF(J193="CBAW",Worksheet!$X$67,IF(J193="CBE2-12",Worksheet!$Y$67,IF(J193="CBAL2",Worksheet!$Z$67,"N/A"))))))))," ")</f>
        <v xml:space="preserve"> </v>
      </c>
      <c r="FS193" s="362" t="str">
        <f>IF(L193&gt;0,IF(J193="CBAL2",Worksheet!$P$68,IF(J193="CBE2-24",Worksheet!$Q$68,IF(J193="CBAM",Worksheet!$R$68,IF(J193="CBLV",Worksheet!$S$68,IF(J193="CBAB",Worksheet!$U$68,IF(J193="CBAW",Worksheet!$X$68,IF(J193="CBE2-12",Worksheet!$Y$68,IF(J193="CBAL2",Worksheet!$Z$68,"N/A"))))))))," ")</f>
        <v xml:space="preserve"> </v>
      </c>
      <c r="FT193" s="362" t="str">
        <f>IF(L193&gt;0,IF(J193="CBAL2",Worksheet!$P$69,IF(J193="CBE2-24",Worksheet!$Q$69,IF(J193="CBAM",Worksheet!$R$69,IF(J193="CBLV",Worksheet!$S$69,IF(J193="CBAB",Worksheet!$U$69,IF(J193="CBAW",Worksheet!$X$69,IF(J193="CBE2-12",Worksheet!$Y$69,IF(J193="CBAL2",Worksheet!$Z$69,"N/A"))))))))," ")</f>
        <v xml:space="preserve"> </v>
      </c>
      <c r="FU193" s="361" t="str">
        <f t="shared" si="581"/>
        <v xml:space="preserve"> </v>
      </c>
      <c r="FV193" s="362" t="str">
        <f t="shared" si="582"/>
        <v xml:space="preserve"> </v>
      </c>
      <c r="FW193" s="362" t="str">
        <f t="shared" si="583"/>
        <v xml:space="preserve"> </v>
      </c>
      <c r="FX193" s="362" t="str">
        <f t="shared" si="584"/>
        <v xml:space="preserve"> </v>
      </c>
      <c r="FY193" s="355" t="str">
        <f t="shared" si="585"/>
        <v xml:space="preserve"> </v>
      </c>
      <c r="FZ193" s="361" t="str">
        <f t="shared" si="586"/>
        <v xml:space="preserve"> </v>
      </c>
      <c r="GA193" s="347" t="str">
        <f t="shared" si="587"/>
        <v xml:space="preserve"> </v>
      </c>
      <c r="GB193" s="355" t="str">
        <f t="shared" si="588"/>
        <v xml:space="preserve"> </v>
      </c>
      <c r="GC193" s="328" t="str">
        <f t="shared" si="589"/>
        <v xml:space="preserve"> </v>
      </c>
      <c r="GD193" s="361" t="str">
        <f t="shared" si="590"/>
        <v xml:space="preserve"> </v>
      </c>
      <c r="GE193" s="347" t="str">
        <f t="shared" si="591"/>
        <v xml:space="preserve"> </v>
      </c>
      <c r="GF193" s="361" t="str">
        <f t="shared" si="592"/>
        <v xml:space="preserve"> </v>
      </c>
      <c r="GG193" s="347" t="str">
        <f t="shared" si="593"/>
        <v xml:space="preserve"> </v>
      </c>
      <c r="GH193" s="364">
        <f t="shared" si="487"/>
        <v>0</v>
      </c>
      <c r="GI193" s="362">
        <f t="shared" si="594"/>
        <v>2</v>
      </c>
      <c r="GJ193" s="433" t="e">
        <f>IF(6-COUNTBLANK(GT193:GY193)=4,MATCH(MID(BO193,9,3),CLU!$H$16:$K$16),MATCH(MID(BO193,9,3),CLU!$H$13:$M$13))</f>
        <v>#N/A</v>
      </c>
      <c r="GK193" s="433" t="e">
        <f>HLOOKUP(VALUE(BP193),CLU!$H$9:$M$10,2)</f>
        <v>#VALUE!</v>
      </c>
      <c r="GL193" s="433" t="e">
        <f ca="1">MATCH(BU193,CLU!$H$2:$V$2,1)</f>
        <v>#VALUE!</v>
      </c>
      <c r="GM193" s="433" t="e">
        <f t="shared" ca="1" si="595"/>
        <v>#VALUE!</v>
      </c>
      <c r="GN193" s="433" t="e">
        <f t="shared" ca="1" si="596"/>
        <v>#VALUE!</v>
      </c>
      <c r="GO193" s="433" t="e">
        <f t="shared" ca="1" si="597"/>
        <v>#VALUE!</v>
      </c>
      <c r="GP193" s="433" t="e">
        <f t="shared" ca="1" si="598"/>
        <v>#VALUE!</v>
      </c>
      <c r="GQ193" s="433" t="e">
        <f t="shared" ca="1" si="599"/>
        <v>#VALUE!</v>
      </c>
      <c r="GR193" s="433" t="e">
        <f ca="1">MATCH(T193,INDIRECT(VLOOKUP(CONCATENATE(LEFT(BO193,7),"-",MID(BO193,13,1)),CLU!$P$3:$Q$16,2)),1)</f>
        <v>#N/A</v>
      </c>
      <c r="GS193" s="433" t="e">
        <f ca="1">MATCH(U193,INDIRECT(VLOOKUP(CONCATENATE(LEFT(BO193,7),"-",MID(BO193,13,1)),CLU!$P$3:$Q$16,2)),1)</f>
        <v>#N/A</v>
      </c>
      <c r="GT193" s="347" t="s">
        <v>512</v>
      </c>
      <c r="GU193" s="97" t="s">
        <v>513</v>
      </c>
      <c r="GV193" s="97" t="str">
        <f t="shared" si="600"/>
        <v>M23</v>
      </c>
      <c r="GW193" s="97" t="str">
        <f t="shared" si="601"/>
        <v>M31</v>
      </c>
      <c r="GX193" s="97" t="str">
        <f t="shared" si="602"/>
        <v/>
      </c>
      <c r="GY193" s="97" t="str">
        <f t="shared" si="603"/>
        <v/>
      </c>
      <c r="GZ193" s="481"/>
      <c r="HA193" s="288"/>
      <c r="HB193" s="240"/>
      <c r="HC193" s="240"/>
      <c r="HD193" s="240"/>
      <c r="HE193" s="240"/>
      <c r="HF193" s="240"/>
      <c r="HG193" s="240"/>
      <c r="HH193" s="240"/>
      <c r="HI193" s="240"/>
      <c r="HJ193" s="240"/>
      <c r="HK193" s="240"/>
      <c r="HL193" s="240"/>
      <c r="HM193" s="240"/>
      <c r="HN193" s="240"/>
      <c r="HO193" s="240"/>
      <c r="HP193" s="240"/>
      <c r="HQ193" s="240"/>
      <c r="HR193" s="240"/>
      <c r="HS193" s="240"/>
      <c r="HT193" s="240"/>
      <c r="HU193" s="240"/>
      <c r="HV193" s="245"/>
      <c r="HW193" s="245" t="b">
        <v>1</v>
      </c>
      <c r="HX193" s="245" t="str">
        <f t="shared" si="488"/>
        <v/>
      </c>
      <c r="HY193" s="245" t="e">
        <f t="shared" si="489"/>
        <v>#DIV/0!</v>
      </c>
      <c r="HZ193" s="245" t="e">
        <f t="shared" si="490"/>
        <v>#DIV/0!</v>
      </c>
      <c r="IA193" s="245">
        <f t="shared" si="491"/>
        <v>0</v>
      </c>
      <c r="IB193" s="245"/>
      <c r="IC193" t="b">
        <f t="shared" si="492"/>
        <v>1</v>
      </c>
      <c r="ID193" s="245" t="b">
        <f t="shared" si="493"/>
        <v>1</v>
      </c>
      <c r="IE193" s="245" t="b">
        <f t="shared" si="494"/>
        <v>1</v>
      </c>
      <c r="IF193" s="245" t="b">
        <f t="shared" si="495"/>
        <v>0</v>
      </c>
      <c r="IG193" s="245" t="b">
        <f t="shared" si="496"/>
        <v>1</v>
      </c>
      <c r="IH193" s="245" t="b">
        <f t="shared" si="497"/>
        <v>1</v>
      </c>
      <c r="II193" s="245">
        <f t="shared" si="604"/>
        <v>0</v>
      </c>
      <c r="IJ193" s="245" t="e">
        <f t="shared" si="498"/>
        <v>#VALUE!</v>
      </c>
      <c r="IK193" s="245" t="e">
        <f t="shared" si="499"/>
        <v>#VALUE!</v>
      </c>
      <c r="IL193" s="245"/>
      <c r="IM193" s="245" t="e">
        <f t="shared" si="605"/>
        <v>#N/A</v>
      </c>
      <c r="IN193" s="245" t="e">
        <f t="shared" si="606"/>
        <v>#N/A</v>
      </c>
      <c r="IO193" s="245"/>
      <c r="IP193" s="245"/>
      <c r="IQ193" s="245" t="str">
        <f t="shared" si="500"/>
        <v/>
      </c>
      <c r="IR193" s="245" t="str">
        <f>IF(J193="","",VLOOKUP(J193,Worksheet!$R$4:$T$14,2))</f>
        <v/>
      </c>
      <c r="IS193" s="245"/>
      <c r="IT193" s="245">
        <f t="shared" si="501"/>
        <v>0</v>
      </c>
      <c r="IU193" s="245">
        <f t="shared" si="502"/>
        <v>0</v>
      </c>
      <c r="IV193" s="245">
        <f t="shared" si="503"/>
        <v>0</v>
      </c>
      <c r="IW193" s="245">
        <f t="shared" si="504"/>
        <v>0</v>
      </c>
      <c r="IX193" s="245">
        <f t="shared" si="607"/>
        <v>0</v>
      </c>
      <c r="IY193" s="245">
        <f t="shared" si="505"/>
        <v>0</v>
      </c>
      <c r="IZ193" s="245">
        <f t="shared" si="506"/>
        <v>0</v>
      </c>
      <c r="JA193">
        <f t="shared" si="507"/>
        <v>0</v>
      </c>
      <c r="JB193">
        <f t="shared" si="608"/>
        <v>0</v>
      </c>
      <c r="JC193">
        <f t="shared" si="508"/>
        <v>0</v>
      </c>
      <c r="JD193">
        <f t="shared" si="509"/>
        <v>0</v>
      </c>
      <c r="JE193">
        <f t="shared" si="510"/>
        <v>0</v>
      </c>
      <c r="JF193">
        <f t="shared" si="511"/>
        <v>0</v>
      </c>
      <c r="JG193">
        <f t="shared" si="512"/>
        <v>0</v>
      </c>
      <c r="JH193">
        <f t="shared" si="513"/>
        <v>0</v>
      </c>
      <c r="JI193">
        <f t="shared" si="514"/>
        <v>0</v>
      </c>
      <c r="JJ193" s="447">
        <f t="shared" si="515"/>
        <v>0</v>
      </c>
      <c r="JK193" s="447">
        <f t="shared" si="516"/>
        <v>0</v>
      </c>
      <c r="JL193">
        <f t="shared" si="517"/>
        <v>0</v>
      </c>
      <c r="JM193" s="245" t="str">
        <f>IFERROR(VLOOKUP(MATCH(BN193,#REF!,0),#REF!,7),"")</f>
        <v/>
      </c>
      <c r="JN193" t="e">
        <f>HLOOKUP(LEFT(BO193,7),Discharge_Area,MATCH(JO193,LookUps!$B$130:$B$149,1)+2)</f>
        <v>#N/A</v>
      </c>
      <c r="JO193" t="str">
        <f t="shared" si="518"/>
        <v>- S</v>
      </c>
      <c r="JP193" t="e">
        <f>HLOOKUP(LEFT(BO193,7),Discharge_Area,MATCH(JO193,LookUps!$B$130:$B$149,1)+2)</f>
        <v>#N/A</v>
      </c>
      <c r="JQ193" t="e">
        <f t="shared" si="519"/>
        <v>#N/A</v>
      </c>
      <c r="JR193" t="e">
        <f t="shared" si="520"/>
        <v>#N/A</v>
      </c>
      <c r="JS193" t="e">
        <f t="shared" si="521"/>
        <v>#N/A</v>
      </c>
      <c r="JT193" s="532" t="str">
        <f t="shared" si="522"/>
        <v xml:space="preserve"> </v>
      </c>
      <c r="JU193" s="532" t="str">
        <f t="shared" si="523"/>
        <v xml:space="preserve"> </v>
      </c>
      <c r="JV193" s="533" t="str">
        <f t="shared" si="524"/>
        <v xml:space="preserve"> </v>
      </c>
      <c r="JW193" s="534">
        <f t="shared" si="525"/>
        <v>0</v>
      </c>
      <c r="JX193" s="535" t="str">
        <f t="shared" si="609"/>
        <v xml:space="preserve"> </v>
      </c>
      <c r="JY193" s="535" t="str">
        <f t="shared" si="610"/>
        <v xml:space="preserve"> </v>
      </c>
      <c r="JZ193" s="535" t="str">
        <f t="shared" si="611"/>
        <v xml:space="preserve"> </v>
      </c>
      <c r="KA193" s="536" t="str">
        <f t="shared" si="526"/>
        <v xml:space="preserve"> </v>
      </c>
      <c r="KB193" s="535" t="e">
        <f t="shared" si="612"/>
        <v>#VALUE!</v>
      </c>
      <c r="KC193" s="535" t="str">
        <f t="shared" si="527"/>
        <v/>
      </c>
      <c r="KD193" s="537" t="str">
        <f t="shared" si="613"/>
        <v xml:space="preserve"> </v>
      </c>
      <c r="KE193" s="537" t="str">
        <f t="shared" si="614"/>
        <v xml:space="preserve"> </v>
      </c>
      <c r="KF193" s="534">
        <f t="shared" si="528"/>
        <v>0</v>
      </c>
      <c r="KG193" s="535" t="str">
        <f t="shared" si="529"/>
        <v xml:space="preserve"> </v>
      </c>
      <c r="KH193" s="535" t="str">
        <f t="shared" si="530"/>
        <v xml:space="preserve"> </v>
      </c>
      <c r="KI193" s="535" t="str">
        <f t="shared" si="531"/>
        <v xml:space="preserve"> </v>
      </c>
      <c r="KJ193" s="536" t="str">
        <f t="shared" si="532"/>
        <v xml:space="preserve"> </v>
      </c>
      <c r="KK193" s="535" t="str">
        <f t="shared" si="615"/>
        <v xml:space="preserve"> </v>
      </c>
      <c r="KL193" s="535" t="str">
        <f t="shared" si="616"/>
        <v xml:space="preserve"> </v>
      </c>
      <c r="KM193" s="537" t="str">
        <f t="shared" si="533"/>
        <v xml:space="preserve"> </v>
      </c>
      <c r="KN193" s="537" t="str">
        <f t="shared" si="617"/>
        <v xml:space="preserve"> </v>
      </c>
      <c r="KP193">
        <f t="shared" si="534"/>
        <v>0</v>
      </c>
      <c r="LA193" t="e">
        <f t="shared" si="535"/>
        <v>#VALUE!</v>
      </c>
      <c r="LB193" t="e">
        <f t="shared" si="536"/>
        <v>#VALUE!</v>
      </c>
      <c r="LC193" t="e">
        <f t="shared" si="537"/>
        <v>#VALUE!</v>
      </c>
      <c r="LD193" t="e">
        <f t="shared" si="538"/>
        <v>#VALUE!</v>
      </c>
      <c r="LE193" t="e">
        <f t="shared" si="618"/>
        <v>#VALUE!</v>
      </c>
      <c r="LF193">
        <f t="shared" si="539"/>
        <v>0</v>
      </c>
      <c r="LG193" t="e">
        <f t="shared" si="619"/>
        <v>#VALUE!</v>
      </c>
      <c r="LH193" t="str">
        <f t="shared" si="540"/>
        <v xml:space="preserve"> </v>
      </c>
      <c r="LI193">
        <f t="shared" si="620"/>
        <v>1</v>
      </c>
    </row>
    <row r="194" spans="2:321" ht="15" customHeight="1">
      <c r="B194" s="311"/>
      <c r="C194" s="311"/>
      <c r="D194" s="312"/>
      <c r="E194" s="311"/>
      <c r="F194" s="312"/>
      <c r="G194" s="311"/>
      <c r="H194" s="311"/>
      <c r="I194" s="37"/>
      <c r="J194" s="311"/>
      <c r="K194" s="305" t="str">
        <f t="shared" si="541"/>
        <v/>
      </c>
      <c r="L194" s="313"/>
      <c r="M194" s="312"/>
      <c r="N194" s="311"/>
      <c r="O194" s="312"/>
      <c r="P194" s="311"/>
      <c r="Q194" s="305" t="str">
        <f t="shared" si="542"/>
        <v/>
      </c>
      <c r="R194" s="314"/>
      <c r="S194" s="450" t="str">
        <f t="shared" si="425"/>
        <v/>
      </c>
      <c r="T194" s="315"/>
      <c r="U194" s="315"/>
      <c r="W194" s="149" t="str">
        <f t="shared" si="426"/>
        <v xml:space="preserve"> </v>
      </c>
      <c r="X194" s="243" t="str">
        <f t="shared" si="427"/>
        <v xml:space="preserve"> </v>
      </c>
      <c r="Y194" s="150" t="str">
        <f t="shared" si="428"/>
        <v/>
      </c>
      <c r="Z194" s="149" t="str">
        <f t="shared" si="429"/>
        <v xml:space="preserve"> </v>
      </c>
      <c r="AA194" s="98" t="str">
        <f t="shared" si="430"/>
        <v xml:space="preserve"> </v>
      </c>
      <c r="AB194" s="153" t="str">
        <f t="shared" si="431"/>
        <v xml:space="preserve"> </v>
      </c>
      <c r="AC194" s="153" t="str">
        <f t="shared" si="432"/>
        <v xml:space="preserve"> </v>
      </c>
      <c r="AD194" s="148" t="str">
        <f t="shared" si="433"/>
        <v/>
      </c>
      <c r="AE194" s="149" t="str">
        <f t="shared" si="434"/>
        <v/>
      </c>
      <c r="AF194" s="151" t="str">
        <f t="shared" si="435"/>
        <v xml:space="preserve"> </v>
      </c>
      <c r="AG194" s="153" t="str">
        <f t="shared" si="436"/>
        <v xml:space="preserve"> </v>
      </c>
      <c r="AH194" s="98" t="str">
        <f t="shared" si="437"/>
        <v xml:space="preserve"> </v>
      </c>
      <c r="AI194" s="149" t="str">
        <f t="shared" si="438"/>
        <v xml:space="preserve"> </v>
      </c>
      <c r="AK194" s="144" t="str">
        <f t="shared" si="439"/>
        <v xml:space="preserve"> </v>
      </c>
      <c r="AL194" s="144"/>
      <c r="AM194" s="243" t="str">
        <f t="shared" si="440"/>
        <v xml:space="preserve"> </v>
      </c>
      <c r="AN194" s="149" t="str">
        <f t="shared" si="543"/>
        <v xml:space="preserve"> </v>
      </c>
      <c r="AO194" s="144" t="str">
        <f>IF(JB194&gt;0,IF(GI194=10,-R194*1.085*(Calculation!$F$6-Calculation!$F$13)*$S$14," "),"")</f>
        <v/>
      </c>
      <c r="AP194" s="144" t="str">
        <f t="shared" si="441"/>
        <v/>
      </c>
      <c r="AQ194" s="56" t="str">
        <f t="shared" si="442"/>
        <v/>
      </c>
      <c r="AR194" s="144" t="str">
        <f t="shared" si="443"/>
        <v/>
      </c>
      <c r="AS194" s="176" t="str">
        <f t="shared" si="444"/>
        <v/>
      </c>
      <c r="AT194" s="176" t="str">
        <f t="shared" si="544"/>
        <v xml:space="preserve"> </v>
      </c>
      <c r="AU194" s="176" t="str">
        <f t="shared" si="445"/>
        <v/>
      </c>
      <c r="AV194" s="177" t="str">
        <f t="shared" si="446"/>
        <v xml:space="preserve"> </v>
      </c>
      <c r="AW194" s="144" t="str">
        <f t="shared" si="447"/>
        <v xml:space="preserve"> </v>
      </c>
      <c r="AX194" s="144" t="str">
        <f t="shared" si="448"/>
        <v xml:space="preserve"> </v>
      </c>
      <c r="AY194" s="152" t="str">
        <f t="shared" si="449"/>
        <v xml:space="preserve"> </v>
      </c>
      <c r="AZ194" s="246" t="str">
        <f t="shared" si="450"/>
        <v/>
      </c>
      <c r="BA194" s="176" t="str">
        <f t="shared" si="451"/>
        <v xml:space="preserve"> </v>
      </c>
      <c r="BB194" s="176" t="str">
        <f t="shared" si="452"/>
        <v xml:space="preserve"> </v>
      </c>
      <c r="BC194" s="195"/>
      <c r="BD194" s="316"/>
      <c r="BE194" s="317"/>
      <c r="BF194" s="318"/>
      <c r="BG194" s="318"/>
      <c r="BH194" s="144" t="str">
        <f t="shared" si="621"/>
        <v xml:space="preserve"> </v>
      </c>
      <c r="BI194" s="176" t="str">
        <f t="shared" si="453"/>
        <v/>
      </c>
      <c r="BJ194" s="144" t="str">
        <f t="shared" si="622"/>
        <v/>
      </c>
      <c r="BK194" s="246" t="str">
        <f t="shared" si="454"/>
        <v/>
      </c>
      <c r="BL194" s="144" t="str">
        <f t="shared" si="623"/>
        <v/>
      </c>
      <c r="BM194" s="246" t="str">
        <f t="shared" si="455"/>
        <v/>
      </c>
      <c r="BN194" s="337" t="str">
        <f t="shared" si="545"/>
        <v/>
      </c>
      <c r="BO194" s="371" t="str">
        <f t="shared" si="546"/>
        <v/>
      </c>
      <c r="BP194" s="328" t="str">
        <f t="shared" si="624"/>
        <v xml:space="preserve"> </v>
      </c>
      <c r="BQ194" s="347" t="str">
        <f t="shared" si="547"/>
        <v xml:space="preserve"> </v>
      </c>
      <c r="BR194" s="353" t="str">
        <f t="shared" si="548"/>
        <v xml:space="preserve"> </v>
      </c>
      <c r="BS194" s="626" t="str">
        <f>IF(L194&gt;0,IF(Calculation!P194="M13",BR194*3.1416*(0.134^2)/(4*144),IF(Calculation!P194="M17",BR194*3.1416*(0.165^2)/(4*144),IF(Calculation!P194="M20",BR194*3.1416*(0.198^2)/(4*144),IF(Calculation!P194="M23",BR194*3.1416*(0.228^2)/(4*144),IF(Calculation!P194="M27",BR194*3.1416*(0.269^2)/(4*144),BR194*3.1416*(0.307^2)/(4*144))))))," ")</f>
        <v xml:space="preserve"> </v>
      </c>
      <c r="BT194" s="353" t="str">
        <f>IF(L194&gt;0,IF(BS194&gt;0,R194/Calculation!BS194,0)," ")</f>
        <v xml:space="preserve"> </v>
      </c>
      <c r="BU194" s="438" t="e">
        <f t="shared" ca="1" si="456"/>
        <v>#VALUE!</v>
      </c>
      <c r="BV194" s="449" t="e">
        <f ca="1">INDEX(INDIRECT(VLOOKUP(LEFT(BO194,7),CLU!$Z$3:$AH$18,2)),GN194,GR194)</f>
        <v>#N/A</v>
      </c>
      <c r="BW194" s="433" t="e">
        <f ca="1">INDEX(INDIRECT(VLOOKUP(LEFT(BO194,7),CLU!$Z$3:$AH$18,3)),GN194,GR194)</f>
        <v>#N/A</v>
      </c>
      <c r="BX194" s="433" t="e">
        <f ca="1">INDEX(INDIRECT(VLOOKUP(LEFT(BO194,7),CLU!$Z$3:$AH$18,4)),GN194,GR194)</f>
        <v>#N/A</v>
      </c>
      <c r="BY194" s="433" t="e">
        <f ca="1">INDEX(INDIRECT(VLOOKUP(LEFT(BO194,7),CLU!$Z$3:$AH$18,9)),((M194-2)*(6-COUNTBLANK(GT194:GY194)))+GJ194)</f>
        <v>#N/A</v>
      </c>
      <c r="BZ194" s="426" t="e">
        <f t="shared" ca="1" si="549"/>
        <v>#N/A</v>
      </c>
      <c r="CA194" s="424" t="e">
        <f t="shared" ca="1" si="550"/>
        <v>#N/A</v>
      </c>
      <c r="CB194" s="429" t="e">
        <f ca="1">INDEX(INDIRECT(VLOOKUP(LEFT(BO194,7),CLU!$Z$3:$AH$18,2)),GN194,GS194)</f>
        <v>#N/A</v>
      </c>
      <c r="CC194" s="342" t="e">
        <f ca="1">INDEX(INDIRECT(VLOOKUP(LEFT(BO194,7),CLU!$Z$3:$AH$18,3)),GN194,GS194)</f>
        <v>#N/A</v>
      </c>
      <c r="CD194" s="342" t="e">
        <f ca="1">INDEX(INDIRECT(VLOOKUP(LEFT(BO194,7),CLU!$Z$3:$AH$18,4)),GN194,GS194)</f>
        <v>#N/A</v>
      </c>
      <c r="CE194" s="426" t="e">
        <f t="shared" ca="1" si="551"/>
        <v>#N/A</v>
      </c>
      <c r="CF194" s="440">
        <f t="shared" si="552"/>
        <v>0</v>
      </c>
      <c r="CG194" s="431" t="e">
        <f ca="1">INDEX(INDIRECT(VLOOKUP(LEFT(BO194,7),CLU!$Z$3:$AH$18,2)),GQ194,GR194)</f>
        <v>#N/A</v>
      </c>
      <c r="CH194" s="431" t="e">
        <f ca="1">INDEX(INDIRECT(VLOOKUP(LEFT(BO194,7),CLU!$Z$3:$AH$18,3)),GQ194,GR194)</f>
        <v>#N/A</v>
      </c>
      <c r="CI194" s="431" t="e">
        <f ca="1">INDEX(INDIRECT(VLOOKUP(LEFT(BO194,7),CLU!$Z$3:$AH$18,4)),GQ194,GR194)</f>
        <v>#N/A</v>
      </c>
      <c r="CJ194" s="448" t="e">
        <f t="shared" ca="1" si="553"/>
        <v>#N/A</v>
      </c>
      <c r="CK194" s="431" t="e">
        <f t="shared" ca="1" si="554"/>
        <v>#N/A</v>
      </c>
      <c r="CL194" s="440" t="e">
        <f t="shared" ca="1" si="555"/>
        <v>#N/A</v>
      </c>
      <c r="CM194" s="431" t="e">
        <f ca="1">INDEX(INDIRECT(VLOOKUP(LEFT(BO194,7),CLU!$Z$3:$AH$18,2)),GQ194,GS194)</f>
        <v>#N/A</v>
      </c>
      <c r="CN194" s="431" t="e">
        <f ca="1">INDEX(INDIRECT(VLOOKUP(LEFT(BO194,7),CLU!$Z$3:$AH$18,3)),GQ194,GS194)</f>
        <v>#N/A</v>
      </c>
      <c r="CO194" s="431" t="e">
        <f ca="1">INDEX(INDIRECT(VLOOKUP(LEFT(BO194,7),CLU!$Z$3:$AH$18,4)),GQ194,GS194)</f>
        <v>#N/A</v>
      </c>
      <c r="CP194" s="431" t="e">
        <f t="shared" ca="1" si="556"/>
        <v>#N/A</v>
      </c>
      <c r="CQ194" s="440">
        <f t="shared" si="557"/>
        <v>0</v>
      </c>
      <c r="CR194" s="51" t="e">
        <f t="shared" ca="1" si="558"/>
        <v>#N/A</v>
      </c>
      <c r="CS194" s="439" t="e">
        <f t="shared" ca="1" si="559"/>
        <v>#VALUE!</v>
      </c>
      <c r="CT194" s="51" t="e">
        <f t="shared" ca="1" si="560"/>
        <v>#VALUE!</v>
      </c>
      <c r="CU194" s="10"/>
      <c r="CV194" s="51" t="e">
        <f t="shared" ca="1" si="457"/>
        <v>#VALUE!</v>
      </c>
      <c r="CW194" s="51">
        <f t="shared" si="561"/>
        <v>0</v>
      </c>
      <c r="CX194" s="439" t="e">
        <f t="shared" ca="1" si="562"/>
        <v>#VALUE!</v>
      </c>
      <c r="CY194" s="51" t="e">
        <f t="shared" ca="1" si="563"/>
        <v>#VALUE!</v>
      </c>
      <c r="CZ194" s="10"/>
      <c r="DA194" s="51" t="e">
        <f t="shared" ca="1" si="564"/>
        <v>#VALUE!</v>
      </c>
      <c r="DB194" s="347" t="e">
        <f ca="1">INDEX(INDIRECT(VLOOKUP(LEFT(BO194,7),CLU!$Z$3:$AI$18,10)),((M194-2)*(6-COUNTBLANK(GT194:GY194)))+GJ194)*LI194</f>
        <v>#N/A</v>
      </c>
      <c r="DC194" s="347" t="str">
        <f>IF(L194&gt;0,((R194/Worksheet!$I$15)/DB194)^2," ")</f>
        <v xml:space="preserve"> </v>
      </c>
      <c r="DD194" s="602" t="str">
        <f t="shared" si="565"/>
        <v xml:space="preserve"> </v>
      </c>
      <c r="DE194" s="347" t="str">
        <f t="shared" si="458"/>
        <v xml:space="preserve"> </v>
      </c>
      <c r="DF194" s="356" t="e">
        <f ca="1">INDEX(INDIRECT(VLOOKUP(LEFT(BO194,7),CLU!$Z$3:$AH$18,8)),((M194-2)*(6-COUNTBLANK(GT194:GY194)))+GJ194)</f>
        <v>#N/A</v>
      </c>
      <c r="DG194" s="347" t="str">
        <f t="shared" si="459"/>
        <v xml:space="preserve"> </v>
      </c>
      <c r="DH194" s="357" t="str">
        <f t="shared" si="460"/>
        <v xml:space="preserve"> </v>
      </c>
      <c r="DI194" s="355" t="str">
        <f t="shared" si="461"/>
        <v xml:space="preserve"> </v>
      </c>
      <c r="DJ194" s="245" t="e">
        <f ca="1">INDEX(INDIRECT(VLOOKUP(LEFT(BO194,7),CLU!$Z$3:$AH$18,5)),GL194,GK194)</f>
        <v>#N/A</v>
      </c>
      <c r="DK194" s="245" t="e">
        <f ca="1">INDEX(INDIRECT(VLOOKUP(LEFT(BO194,7),CLU!$Z$3:$AH$18,6)),GL194,GK194)</f>
        <v>#N/A</v>
      </c>
      <c r="DL194" s="355">
        <f>(Calculation!R194*0.69143*(Calculation!$BQ$8-Calculation!$F$8))*$S$14</f>
        <v>0</v>
      </c>
      <c r="DM194" s="359" t="e">
        <f t="shared" si="566"/>
        <v>#VALUE!</v>
      </c>
      <c r="DN194" s="611">
        <f t="shared" si="567"/>
        <v>0</v>
      </c>
      <c r="DO194" s="359">
        <f t="shared" si="568"/>
        <v>100</v>
      </c>
      <c r="DP194" s="359">
        <f t="shared" si="569"/>
        <v>0</v>
      </c>
      <c r="DQ194" s="360"/>
      <c r="DR194" s="245" t="e">
        <f ca="1">INDEX(INDIRECT(VLOOKUP(LEFT(BO194,7),CLU!$Z$3:$AH$18,7)),M194-1,1)</f>
        <v>#N/A</v>
      </c>
      <c r="DS194" s="245" t="e">
        <f ca="1">INDEX(INDIRECT(VLOOKUP(LEFT(BO194,7),CLU!$Z$3:$AH$18,7)),M194-1,2)</f>
        <v>#N/A</v>
      </c>
      <c r="DT194" s="245" t="e">
        <f ca="1">INDEX(INDIRECT(VLOOKUP(LEFT(BO194,7),CLU!$Z$3:$AH$18,7)),M194-1,3)</f>
        <v>#N/A</v>
      </c>
      <c r="DU194" s="245" t="e">
        <f ca="1">INDEX(INDIRECT(VLOOKUP(LEFT(BO194,7),CLU!$Z$3:$AH$18,7)),M194-1,4)</f>
        <v>#N/A</v>
      </c>
      <c r="DV194" s="361" t="e">
        <f ca="1">INDEX(INDIRECT(VLOOKUP(LEFT(BO194,7),CLU!$Z$3:$AH$18,7)),M194-1,4+LEFT(DZ194,1)*0.5)</f>
        <v>#N/A</v>
      </c>
      <c r="DW194" s="245" t="e">
        <f ca="1">INDEX(INDIRECT(VLOOKUP(LEFT(BO194,7),CLU!$Z$3:$AH$18,7)),M194-1,8)</f>
        <v>#N/A</v>
      </c>
      <c r="DX194" s="361" t="str">
        <f t="shared" si="462"/>
        <v xml:space="preserve"> </v>
      </c>
      <c r="DY194" s="361" t="str">
        <f t="shared" si="463"/>
        <v xml:space="preserve"> </v>
      </c>
      <c r="DZ194" s="361" t="str">
        <f t="shared" si="464"/>
        <v xml:space="preserve"> </v>
      </c>
      <c r="EA194" s="362" t="str">
        <f t="shared" si="465"/>
        <v xml:space="preserve"> </v>
      </c>
      <c r="EB194" s="624" t="str">
        <f t="shared" si="570"/>
        <v xml:space="preserve"> </v>
      </c>
      <c r="EC194" s="361" t="e">
        <f ca="1">INDEX(INDIRECT(VLOOKUP(LEFT(BO194,7),CLU!$Z$3:$AH$18,7)),M194-1,4+LEFT(DZ194,1)*0.5)</f>
        <v>#N/A</v>
      </c>
      <c r="ED194" s="362" t="str">
        <f t="shared" si="466"/>
        <v xml:space="preserve"> </v>
      </c>
      <c r="EE194" s="361" t="str">
        <f t="shared" si="467"/>
        <v xml:space="preserve"> </v>
      </c>
      <c r="EF194" s="362" t="str">
        <f>IF(L194&gt;0,IF(BR194&gt;0,IF(EE194="2P",IF(Calculation!DZ194="2P",IF(Calculation!DS194=13.75,IF(Calculation!DR194=13,Worksheet!$BD$43,IF(Calculation!DR194=37,Worksheet!$BD$44,Worksheet!$BD$45)),IF(Calculation!DS194=10,IF(Calculation!DR194=18,Worksheet!$BD$29,IF(Calculation!DR194=30,Worksheet!$BD$30,IF(Calculation!DR194=42,Worksheet!$BD$31,IF(Calculation!DR194=54,Worksheet!$BD$32,IF(Calculation!DR194=66,Worksheet!$BD$33,IF(Calculation!DR194=78,Worksheet!$BD$34,IF(Calculation!DR194=90,Worksheet!$BD$35,IF(Calculation!DR194=102,Worksheet!$BD$36,Worksheet!$BD$37)))))))),IF(Calculation!DS194=12.5,IF(Calculation!DR194=18,Worksheet!$BD$38,IF(Calculation!DR194=Worksheet!$BD$39,IF(Calculation!DR194=42,Worksheet!$BD$40,IF(Calculation!DR194=54,Worksheet!$BD$41,Worksheet!$BD$42)))),IF(Calculation!DR194=18,Worksheet!$BD$11,IF(Calculation!DR194=30,Worksheet!$BD$12,IF(Calculation!DR194=42,Worksheet!$BD$13,IF(Calculation!DR194=54,Worksheet!$BD$14,IF(Calculation!DR194=66,Worksheet!$BD$15,IF(Calculation!DR194=78,Worksheet!$BD$16,IF(Calculation!DR194=90,Worksheet!$BD$17,IF(Calculation!DR194=102,Worksheet!$BD$18,Worksheet!$BD$19))))))))))),IF(Calculation!DS194=13.75,IF(Calculation!DR194=13,Worksheet!$BD$78,IF(Calculation!DR194=37,Worksheet!$BD$79,Worksheet!$BD$80)),IF(Calculation!DS194=10,IF(Calculation!DR194=18,Worksheet!$BD$64,IF(Calculation!DR194=30,Worksheet!$BD$65,IF(Calculation!DR194=42,Worksheet!$BD$66,IF(Calculation!DR194=54,Worksheet!$BD$68,IF(Calculation!DR194=66,Worksheet!$BD$68,IF(Calculation!DR194=78,Worksheet!$BD$69,IF(Calculation!DR194=90,Worksheet!$BD$70,IF(Calculation!DR194=102,Worksheet!$BD$71,Worksheet!$BD$72)))))))),IF(Calculation!DS194=12.5,IF(Calculation!DR194=18,Worksheet!$BD$73,IF(Calculation!DR194=Worksheet!$BD$74,IF(Calculation!DR194=42,Worksheet!$BD$75,IF(Calculation!DR194=54,Worksheet!$BD$76,Worksheet!$BD$77)))),IF(Calculation!DR194=18,Worksheet!$BD$55,IF(Calculation!DR194=30,Worksheet!$BD$56,IF(Calculation!DR194=42,Worksheet!$BD$57,IF(Calculation!DR194=54,Worksheet!$BD$58,IF(Calculation!DR194=66,Worksheet!$BD$59,IF(Calculation!DR194=78,Worksheet!$BD$60,IF(Calculation!DR194=90,Worksheet!$BD$61,IF(Calculation!DR194=102,Worksheet!$BD$62,Worksheet!$BD$63)))))))))))),5),0)," ")</f>
        <v xml:space="preserve"> </v>
      </c>
      <c r="EG194" s="361" t="str">
        <f t="shared" si="468"/>
        <v xml:space="preserve"> </v>
      </c>
      <c r="EH194" s="361" t="e">
        <f ca="1">INDEX(INDIRECT(VLOOKUP(LEFT(BO194,7),CLU!$Z$3:$AH$18,7)),M194-1,3+LEFT(DZ194,1))</f>
        <v>#N/A</v>
      </c>
      <c r="EI194" s="362" t="str">
        <f t="shared" si="469"/>
        <v xml:space="preserve"> </v>
      </c>
      <c r="EJ194" s="363" t="str">
        <f t="shared" si="470"/>
        <v xml:space="preserve"> </v>
      </c>
      <c r="EK194" s="363" t="str">
        <f t="shared" si="471"/>
        <v xml:space="preserve"> </v>
      </c>
      <c r="EL194" s="363" t="str">
        <f t="shared" si="472"/>
        <v xml:space="preserve"> </v>
      </c>
      <c r="EM194" s="362" t="str">
        <f>IF(L194&gt;0,IF(BR194&gt;0,(Calculation!T194/ED194)^2,0)," ")</f>
        <v xml:space="preserve"> </v>
      </c>
      <c r="EN194" s="362" t="str">
        <f>IF(L194&gt;0,IF(O194="2 Pipe (Cooling)","N/A",IF(BR194&gt;0,(Calculation!U194/EI194)^2,0))," ")</f>
        <v xml:space="preserve"> </v>
      </c>
      <c r="EO194" s="361" t="str">
        <f t="shared" si="473"/>
        <v/>
      </c>
      <c r="EP194" s="361" t="str">
        <f t="shared" si="474"/>
        <v/>
      </c>
      <c r="EQ194" s="361" t="str">
        <f t="shared" si="475"/>
        <v/>
      </c>
      <c r="ER194" s="361" t="str">
        <f t="shared" si="476"/>
        <v/>
      </c>
      <c r="ES194" s="361" t="str">
        <f t="shared" si="477"/>
        <v/>
      </c>
      <c r="ET194" s="361" t="str">
        <f t="shared" si="478"/>
        <v/>
      </c>
      <c r="EU194" s="361" t="str">
        <f t="shared" si="479"/>
        <v/>
      </c>
      <c r="EV194" s="361" t="str">
        <f t="shared" si="480"/>
        <v/>
      </c>
      <c r="EW194" s="361" t="str">
        <f t="shared" si="481"/>
        <v/>
      </c>
      <c r="EX194" s="361" t="str">
        <f t="shared" si="571"/>
        <v>1 slot, 1 way</v>
      </c>
      <c r="EY194" s="361" t="str">
        <f t="shared" si="572"/>
        <v xml:space="preserve"> </v>
      </c>
      <c r="EZ194" s="361" t="str">
        <f t="shared" si="573"/>
        <v xml:space="preserve"> </v>
      </c>
      <c r="FA194" s="361" t="str">
        <f t="shared" si="574"/>
        <v xml:space="preserve"> </v>
      </c>
      <c r="FB194" s="361" t="str">
        <f t="shared" si="575"/>
        <v xml:space="preserve"> </v>
      </c>
      <c r="FC194" s="361"/>
      <c r="FD194" s="361" t="str">
        <f>IF(J194&gt;0,IF(Calculation!R194&lt;=70,4,IF(Calculation!R194&lt;=110,5,IF(Calculation!R194&lt;=160,6,IF(Calculation!R194&lt;=300,8,"10 EO")))),"")</f>
        <v/>
      </c>
      <c r="FE194" s="361" t="str">
        <f t="shared" si="576"/>
        <v/>
      </c>
      <c r="FF194" s="361" t="str">
        <f t="shared" si="577"/>
        <v/>
      </c>
      <c r="FG194" s="361" t="e">
        <f t="shared" si="482"/>
        <v>#N/A</v>
      </c>
      <c r="FH194" s="361">
        <f t="shared" si="483"/>
        <v>0</v>
      </c>
      <c r="FI194" s="361" t="e">
        <f t="shared" si="484"/>
        <v>#DIV/0!</v>
      </c>
      <c r="FJ194" s="361"/>
      <c r="FK194" s="356" t="e">
        <f t="shared" si="485"/>
        <v>#VALUE!</v>
      </c>
      <c r="FL194" s="361"/>
      <c r="FM194" s="361"/>
      <c r="FN194" s="362" t="str">
        <f t="shared" si="578"/>
        <v xml:space="preserve"> </v>
      </c>
      <c r="FO194" s="362" t="str">
        <f t="shared" si="579"/>
        <v xml:space="preserve"> </v>
      </c>
      <c r="FP194" s="362">
        <f t="shared" si="580"/>
        <v>0</v>
      </c>
      <c r="FQ194" s="361">
        <f t="shared" si="486"/>
        <v>0</v>
      </c>
      <c r="FR194" s="362" t="str">
        <f>IF(L194&gt;0,IF(J194="CBAL2",Worksheet!$P$67,IF(J194="CBE2-24",Worksheet!$Q$67,IF(J194="CBAM",Worksheet!$R$67,IF(J194="CBLV",Worksheet!$S$67,IF(J194="CBAB",Worksheet!$U$67,IF(J194="CBAW",Worksheet!$X$67,IF(J194="CBE2-12",Worksheet!$Y$67,IF(J194="CBAL2",Worksheet!$Z$67,"N/A"))))))))," ")</f>
        <v xml:space="preserve"> </v>
      </c>
      <c r="FS194" s="362" t="str">
        <f>IF(L194&gt;0,IF(J194="CBAL2",Worksheet!$P$68,IF(J194="CBE2-24",Worksheet!$Q$68,IF(J194="CBAM",Worksheet!$R$68,IF(J194="CBLV",Worksheet!$S$68,IF(J194="CBAB",Worksheet!$U$68,IF(J194="CBAW",Worksheet!$X$68,IF(J194="CBE2-12",Worksheet!$Y$68,IF(J194="CBAL2",Worksheet!$Z$68,"N/A"))))))))," ")</f>
        <v xml:space="preserve"> </v>
      </c>
      <c r="FT194" s="362" t="str">
        <f>IF(L194&gt;0,IF(J194="CBAL2",Worksheet!$P$69,IF(J194="CBE2-24",Worksheet!$Q$69,IF(J194="CBAM",Worksheet!$R$69,IF(J194="CBLV",Worksheet!$S$69,IF(J194="CBAB",Worksheet!$U$69,IF(J194="CBAW",Worksheet!$X$69,IF(J194="CBE2-12",Worksheet!$Y$69,IF(J194="CBAL2",Worksheet!$Z$69,"N/A"))))))))," ")</f>
        <v xml:space="preserve"> </v>
      </c>
      <c r="FU194" s="361" t="str">
        <f t="shared" si="581"/>
        <v xml:space="preserve"> </v>
      </c>
      <c r="FV194" s="362" t="str">
        <f t="shared" si="582"/>
        <v xml:space="preserve"> </v>
      </c>
      <c r="FW194" s="362" t="str">
        <f t="shared" si="583"/>
        <v xml:space="preserve"> </v>
      </c>
      <c r="FX194" s="362" t="str">
        <f t="shared" si="584"/>
        <v xml:space="preserve"> </v>
      </c>
      <c r="FY194" s="355" t="str">
        <f t="shared" si="585"/>
        <v xml:space="preserve"> </v>
      </c>
      <c r="FZ194" s="361" t="str">
        <f t="shared" si="586"/>
        <v xml:space="preserve"> </v>
      </c>
      <c r="GA194" s="347" t="str">
        <f t="shared" si="587"/>
        <v xml:space="preserve"> </v>
      </c>
      <c r="GB194" s="355" t="str">
        <f t="shared" si="588"/>
        <v xml:space="preserve"> </v>
      </c>
      <c r="GC194" s="328" t="str">
        <f t="shared" si="589"/>
        <v xml:space="preserve"> </v>
      </c>
      <c r="GD194" s="361" t="str">
        <f t="shared" si="590"/>
        <v xml:space="preserve"> </v>
      </c>
      <c r="GE194" s="347" t="str">
        <f t="shared" si="591"/>
        <v xml:space="preserve"> </v>
      </c>
      <c r="GF194" s="361" t="str">
        <f t="shared" si="592"/>
        <v xml:space="preserve"> </v>
      </c>
      <c r="GG194" s="347" t="str">
        <f t="shared" si="593"/>
        <v xml:space="preserve"> </v>
      </c>
      <c r="GH194" s="364">
        <f t="shared" si="487"/>
        <v>0</v>
      </c>
      <c r="GI194" s="362">
        <f t="shared" si="594"/>
        <v>2</v>
      </c>
      <c r="GJ194" s="433" t="e">
        <f>IF(6-COUNTBLANK(GT194:GY194)=4,MATCH(MID(BO194,9,3),CLU!$H$16:$K$16),MATCH(MID(BO194,9,3),CLU!$H$13:$M$13))</f>
        <v>#N/A</v>
      </c>
      <c r="GK194" s="433" t="e">
        <f>HLOOKUP(VALUE(BP194),CLU!$H$9:$M$10,2)</f>
        <v>#VALUE!</v>
      </c>
      <c r="GL194" s="433" t="e">
        <f ca="1">MATCH(BU194,CLU!$H$2:$V$2,1)</f>
        <v>#VALUE!</v>
      </c>
      <c r="GM194" s="433" t="e">
        <f t="shared" ca="1" si="595"/>
        <v>#VALUE!</v>
      </c>
      <c r="GN194" s="433" t="e">
        <f t="shared" ca="1" si="596"/>
        <v>#VALUE!</v>
      </c>
      <c r="GO194" s="433" t="e">
        <f t="shared" ca="1" si="597"/>
        <v>#VALUE!</v>
      </c>
      <c r="GP194" s="433" t="e">
        <f t="shared" ca="1" si="598"/>
        <v>#VALUE!</v>
      </c>
      <c r="GQ194" s="433" t="e">
        <f t="shared" ca="1" si="599"/>
        <v>#VALUE!</v>
      </c>
      <c r="GR194" s="433" t="e">
        <f ca="1">MATCH(T194,INDIRECT(VLOOKUP(CONCATENATE(LEFT(BO194,7),"-",MID(BO194,13,1)),CLU!$P$3:$Q$16,2)),1)</f>
        <v>#N/A</v>
      </c>
      <c r="GS194" s="433" t="e">
        <f ca="1">MATCH(U194,INDIRECT(VLOOKUP(CONCATENATE(LEFT(BO194,7),"-",MID(BO194,13,1)),CLU!$P$3:$Q$16,2)),1)</f>
        <v>#N/A</v>
      </c>
      <c r="GT194" s="347" t="s">
        <v>512</v>
      </c>
      <c r="GU194" s="97" t="s">
        <v>513</v>
      </c>
      <c r="GV194" s="97" t="str">
        <f t="shared" si="600"/>
        <v>M23</v>
      </c>
      <c r="GW194" s="97" t="str">
        <f t="shared" si="601"/>
        <v>M31</v>
      </c>
      <c r="GX194" s="97" t="str">
        <f t="shared" si="602"/>
        <v/>
      </c>
      <c r="GY194" s="97" t="str">
        <f t="shared" si="603"/>
        <v/>
      </c>
      <c r="GZ194" s="481"/>
      <c r="HA194" s="288"/>
      <c r="HB194" s="240"/>
      <c r="HC194" s="240"/>
      <c r="HD194" s="240"/>
      <c r="HE194" s="240"/>
      <c r="HF194" s="240"/>
      <c r="HG194" s="240"/>
      <c r="HH194" s="240"/>
      <c r="HI194" s="240"/>
      <c r="HJ194" s="240"/>
      <c r="HK194" s="240"/>
      <c r="HL194" s="240"/>
      <c r="HM194" s="240"/>
      <c r="HN194" s="240"/>
      <c r="HO194" s="240"/>
      <c r="HP194" s="240"/>
      <c r="HQ194" s="240"/>
      <c r="HR194" s="240"/>
      <c r="HS194" s="240"/>
      <c r="HT194" s="240"/>
      <c r="HU194" s="240"/>
      <c r="HV194" s="245"/>
      <c r="HW194" s="245" t="b">
        <v>1</v>
      </c>
      <c r="HX194" s="245" t="str">
        <f t="shared" si="488"/>
        <v/>
      </c>
      <c r="HY194" s="245" t="e">
        <f t="shared" si="489"/>
        <v>#DIV/0!</v>
      </c>
      <c r="HZ194" s="245" t="e">
        <f t="shared" si="490"/>
        <v>#DIV/0!</v>
      </c>
      <c r="IA194" s="245">
        <f t="shared" si="491"/>
        <v>0</v>
      </c>
      <c r="IB194" s="245"/>
      <c r="IC194" t="b">
        <f t="shared" si="492"/>
        <v>1</v>
      </c>
      <c r="ID194" s="245" t="b">
        <f t="shared" si="493"/>
        <v>1</v>
      </c>
      <c r="IE194" s="245" t="b">
        <f t="shared" si="494"/>
        <v>1</v>
      </c>
      <c r="IF194" s="245" t="b">
        <f t="shared" si="495"/>
        <v>0</v>
      </c>
      <c r="IG194" s="245" t="b">
        <f t="shared" si="496"/>
        <v>1</v>
      </c>
      <c r="IH194" s="245" t="b">
        <f t="shared" si="497"/>
        <v>1</v>
      </c>
      <c r="II194" s="245">
        <f t="shared" si="604"/>
        <v>0</v>
      </c>
      <c r="IJ194" s="245" t="e">
        <f t="shared" si="498"/>
        <v>#VALUE!</v>
      </c>
      <c r="IK194" s="245" t="e">
        <f t="shared" si="499"/>
        <v>#VALUE!</v>
      </c>
      <c r="IL194" s="245"/>
      <c r="IM194" s="245" t="e">
        <f t="shared" si="605"/>
        <v>#N/A</v>
      </c>
      <c r="IN194" s="245" t="e">
        <f t="shared" si="606"/>
        <v>#N/A</v>
      </c>
      <c r="IO194" s="245"/>
      <c r="IP194" s="245"/>
      <c r="IQ194" s="245" t="str">
        <f t="shared" si="500"/>
        <v/>
      </c>
      <c r="IR194" s="245" t="str">
        <f>IF(J194="","",VLOOKUP(J194,Worksheet!$R$4:$T$14,2))</f>
        <v/>
      </c>
      <c r="IS194" s="245"/>
      <c r="IT194" s="245">
        <f t="shared" si="501"/>
        <v>0</v>
      </c>
      <c r="IU194" s="245">
        <f t="shared" si="502"/>
        <v>0</v>
      </c>
      <c r="IV194" s="245">
        <f t="shared" si="503"/>
        <v>0</v>
      </c>
      <c r="IW194" s="245">
        <f t="shared" si="504"/>
        <v>0</v>
      </c>
      <c r="IX194" s="245">
        <f t="shared" si="607"/>
        <v>0</v>
      </c>
      <c r="IY194" s="245">
        <f t="shared" si="505"/>
        <v>0</v>
      </c>
      <c r="IZ194" s="245">
        <f t="shared" si="506"/>
        <v>0</v>
      </c>
      <c r="JA194">
        <f t="shared" si="507"/>
        <v>0</v>
      </c>
      <c r="JB194">
        <f t="shared" si="608"/>
        <v>0</v>
      </c>
      <c r="JC194">
        <f t="shared" si="508"/>
        <v>0</v>
      </c>
      <c r="JD194">
        <f t="shared" si="509"/>
        <v>0</v>
      </c>
      <c r="JE194">
        <f t="shared" si="510"/>
        <v>0</v>
      </c>
      <c r="JF194">
        <f t="shared" si="511"/>
        <v>0</v>
      </c>
      <c r="JG194">
        <f t="shared" si="512"/>
        <v>0</v>
      </c>
      <c r="JH194">
        <f t="shared" si="513"/>
        <v>0</v>
      </c>
      <c r="JI194">
        <f t="shared" si="514"/>
        <v>0</v>
      </c>
      <c r="JJ194" s="447">
        <f t="shared" si="515"/>
        <v>0</v>
      </c>
      <c r="JK194" s="447">
        <f t="shared" si="516"/>
        <v>0</v>
      </c>
      <c r="JL194">
        <f t="shared" si="517"/>
        <v>0</v>
      </c>
      <c r="JM194" s="245" t="str">
        <f>IFERROR(VLOOKUP(MATCH(BN194,#REF!,0),#REF!,7),"")</f>
        <v/>
      </c>
      <c r="JN194" t="e">
        <f>HLOOKUP(LEFT(BO194,7),Discharge_Area,MATCH(JO194,LookUps!$B$130:$B$149,1)+2)</f>
        <v>#N/A</v>
      </c>
      <c r="JO194" t="str">
        <f t="shared" si="518"/>
        <v>- S</v>
      </c>
      <c r="JP194" t="e">
        <f>HLOOKUP(LEFT(BO194,7),Discharge_Area,MATCH(JO194,LookUps!$B$130:$B$149,1)+2)</f>
        <v>#N/A</v>
      </c>
      <c r="JQ194" t="e">
        <f t="shared" si="519"/>
        <v>#N/A</v>
      </c>
      <c r="JR194" t="e">
        <f t="shared" si="520"/>
        <v>#N/A</v>
      </c>
      <c r="JS194" t="e">
        <f t="shared" si="521"/>
        <v>#N/A</v>
      </c>
      <c r="JT194" s="532" t="str">
        <f t="shared" si="522"/>
        <v xml:space="preserve"> </v>
      </c>
      <c r="JU194" s="532" t="str">
        <f t="shared" si="523"/>
        <v xml:space="preserve"> </v>
      </c>
      <c r="JV194" s="533" t="str">
        <f t="shared" si="524"/>
        <v xml:space="preserve"> </v>
      </c>
      <c r="JW194" s="534">
        <f t="shared" si="525"/>
        <v>0</v>
      </c>
      <c r="JX194" s="535" t="str">
        <f t="shared" si="609"/>
        <v xml:space="preserve"> </v>
      </c>
      <c r="JY194" s="535" t="str">
        <f t="shared" si="610"/>
        <v xml:space="preserve"> </v>
      </c>
      <c r="JZ194" s="535" t="str">
        <f t="shared" si="611"/>
        <v xml:space="preserve"> </v>
      </c>
      <c r="KA194" s="536" t="str">
        <f t="shared" si="526"/>
        <v xml:space="preserve"> </v>
      </c>
      <c r="KB194" s="535" t="e">
        <f t="shared" si="612"/>
        <v>#VALUE!</v>
      </c>
      <c r="KC194" s="535" t="str">
        <f t="shared" si="527"/>
        <v/>
      </c>
      <c r="KD194" s="537" t="str">
        <f t="shared" si="613"/>
        <v xml:space="preserve"> </v>
      </c>
      <c r="KE194" s="537" t="str">
        <f t="shared" si="614"/>
        <v xml:space="preserve"> </v>
      </c>
      <c r="KF194" s="534">
        <f t="shared" si="528"/>
        <v>0</v>
      </c>
      <c r="KG194" s="535" t="str">
        <f t="shared" si="529"/>
        <v xml:space="preserve"> </v>
      </c>
      <c r="KH194" s="535" t="str">
        <f t="shared" si="530"/>
        <v xml:space="preserve"> </v>
      </c>
      <c r="KI194" s="535" t="str">
        <f t="shared" si="531"/>
        <v xml:space="preserve"> </v>
      </c>
      <c r="KJ194" s="536" t="str">
        <f t="shared" si="532"/>
        <v xml:space="preserve"> </v>
      </c>
      <c r="KK194" s="535" t="str">
        <f t="shared" si="615"/>
        <v xml:space="preserve"> </v>
      </c>
      <c r="KL194" s="535" t="str">
        <f t="shared" si="616"/>
        <v xml:space="preserve"> </v>
      </c>
      <c r="KM194" s="537" t="str">
        <f t="shared" si="533"/>
        <v xml:space="preserve"> </v>
      </c>
      <c r="KN194" s="537" t="str">
        <f t="shared" si="617"/>
        <v xml:space="preserve"> </v>
      </c>
      <c r="KP194">
        <f t="shared" si="534"/>
        <v>0</v>
      </c>
      <c r="LA194" t="e">
        <f t="shared" si="535"/>
        <v>#VALUE!</v>
      </c>
      <c r="LB194" t="e">
        <f t="shared" si="536"/>
        <v>#VALUE!</v>
      </c>
      <c r="LC194" t="e">
        <f t="shared" si="537"/>
        <v>#VALUE!</v>
      </c>
      <c r="LD194" t="e">
        <f t="shared" si="538"/>
        <v>#VALUE!</v>
      </c>
      <c r="LE194" t="e">
        <f t="shared" si="618"/>
        <v>#VALUE!</v>
      </c>
      <c r="LF194">
        <f t="shared" si="539"/>
        <v>0</v>
      </c>
      <c r="LG194" t="e">
        <f t="shared" si="619"/>
        <v>#VALUE!</v>
      </c>
      <c r="LH194" t="str">
        <f t="shared" si="540"/>
        <v xml:space="preserve"> </v>
      </c>
      <c r="LI194">
        <f t="shared" si="620"/>
        <v>1</v>
      </c>
    </row>
    <row r="195" spans="2:321" ht="15" customHeight="1">
      <c r="B195" s="311"/>
      <c r="C195" s="311"/>
      <c r="D195" s="312"/>
      <c r="E195" s="311"/>
      <c r="F195" s="312"/>
      <c r="G195" s="311"/>
      <c r="H195" s="311"/>
      <c r="I195" s="37"/>
      <c r="J195" s="311"/>
      <c r="K195" s="305" t="str">
        <f t="shared" si="541"/>
        <v/>
      </c>
      <c r="L195" s="313"/>
      <c r="M195" s="312"/>
      <c r="N195" s="311"/>
      <c r="O195" s="312"/>
      <c r="P195" s="311"/>
      <c r="Q195" s="305" t="str">
        <f t="shared" si="542"/>
        <v/>
      </c>
      <c r="R195" s="314"/>
      <c r="S195" s="450" t="str">
        <f t="shared" si="425"/>
        <v/>
      </c>
      <c r="T195" s="315"/>
      <c r="U195" s="315"/>
      <c r="W195" s="149" t="str">
        <f t="shared" si="426"/>
        <v xml:space="preserve"> </v>
      </c>
      <c r="X195" s="243" t="str">
        <f t="shared" si="427"/>
        <v xml:space="preserve"> </v>
      </c>
      <c r="Y195" s="150" t="str">
        <f t="shared" si="428"/>
        <v/>
      </c>
      <c r="Z195" s="149" t="str">
        <f t="shared" si="429"/>
        <v xml:space="preserve"> </v>
      </c>
      <c r="AA195" s="98" t="str">
        <f t="shared" si="430"/>
        <v xml:space="preserve"> </v>
      </c>
      <c r="AB195" s="153" t="str">
        <f t="shared" si="431"/>
        <v xml:space="preserve"> </v>
      </c>
      <c r="AC195" s="153" t="str">
        <f t="shared" si="432"/>
        <v xml:space="preserve"> </v>
      </c>
      <c r="AD195" s="148" t="str">
        <f t="shared" si="433"/>
        <v/>
      </c>
      <c r="AE195" s="149" t="str">
        <f t="shared" si="434"/>
        <v/>
      </c>
      <c r="AF195" s="151" t="str">
        <f t="shared" si="435"/>
        <v xml:space="preserve"> </v>
      </c>
      <c r="AG195" s="153" t="str">
        <f t="shared" si="436"/>
        <v xml:space="preserve"> </v>
      </c>
      <c r="AH195" s="98" t="str">
        <f t="shared" si="437"/>
        <v xml:space="preserve"> </v>
      </c>
      <c r="AI195" s="149" t="str">
        <f t="shared" si="438"/>
        <v xml:space="preserve"> </v>
      </c>
      <c r="AK195" s="144" t="str">
        <f t="shared" si="439"/>
        <v xml:space="preserve"> </v>
      </c>
      <c r="AL195" s="144"/>
      <c r="AM195" s="243" t="str">
        <f t="shared" si="440"/>
        <v xml:space="preserve"> </v>
      </c>
      <c r="AN195" s="149" t="str">
        <f t="shared" si="543"/>
        <v xml:space="preserve"> </v>
      </c>
      <c r="AO195" s="144" t="str">
        <f>IF(JB195&gt;0,IF(GI195=10,-R195*1.085*(Calculation!$F$6-Calculation!$F$13)*$S$14," "),"")</f>
        <v/>
      </c>
      <c r="AP195" s="144" t="str">
        <f t="shared" si="441"/>
        <v/>
      </c>
      <c r="AQ195" s="56" t="str">
        <f t="shared" si="442"/>
        <v/>
      </c>
      <c r="AR195" s="144" t="str">
        <f t="shared" si="443"/>
        <v/>
      </c>
      <c r="AS195" s="176" t="str">
        <f t="shared" si="444"/>
        <v/>
      </c>
      <c r="AT195" s="176" t="str">
        <f t="shared" si="544"/>
        <v xml:space="preserve"> </v>
      </c>
      <c r="AU195" s="176" t="str">
        <f t="shared" si="445"/>
        <v/>
      </c>
      <c r="AV195" s="177" t="str">
        <f t="shared" si="446"/>
        <v xml:space="preserve"> </v>
      </c>
      <c r="AW195" s="144" t="str">
        <f t="shared" si="447"/>
        <v xml:space="preserve"> </v>
      </c>
      <c r="AX195" s="144" t="str">
        <f t="shared" si="448"/>
        <v xml:space="preserve"> </v>
      </c>
      <c r="AY195" s="152" t="str">
        <f t="shared" si="449"/>
        <v xml:space="preserve"> </v>
      </c>
      <c r="AZ195" s="246" t="str">
        <f t="shared" si="450"/>
        <v/>
      </c>
      <c r="BA195" s="176" t="str">
        <f t="shared" si="451"/>
        <v xml:space="preserve"> </v>
      </c>
      <c r="BB195" s="176" t="str">
        <f t="shared" si="452"/>
        <v xml:space="preserve"> </v>
      </c>
      <c r="BC195" s="195"/>
      <c r="BD195" s="316"/>
      <c r="BE195" s="317"/>
      <c r="BF195" s="318"/>
      <c r="BG195" s="318"/>
      <c r="BH195" s="144" t="str">
        <f t="shared" si="621"/>
        <v xml:space="preserve"> </v>
      </c>
      <c r="BI195" s="176" t="str">
        <f t="shared" si="453"/>
        <v/>
      </c>
      <c r="BJ195" s="144" t="str">
        <f t="shared" si="622"/>
        <v/>
      </c>
      <c r="BK195" s="246" t="str">
        <f t="shared" si="454"/>
        <v/>
      </c>
      <c r="BL195" s="144" t="str">
        <f t="shared" si="623"/>
        <v/>
      </c>
      <c r="BM195" s="246" t="str">
        <f t="shared" si="455"/>
        <v/>
      </c>
      <c r="BN195" s="337" t="str">
        <f t="shared" si="545"/>
        <v/>
      </c>
      <c r="BO195" s="371" t="str">
        <f t="shared" si="546"/>
        <v/>
      </c>
      <c r="BP195" s="328" t="str">
        <f t="shared" si="624"/>
        <v xml:space="preserve"> </v>
      </c>
      <c r="BQ195" s="347" t="str">
        <f t="shared" si="547"/>
        <v xml:space="preserve"> </v>
      </c>
      <c r="BR195" s="353" t="str">
        <f t="shared" si="548"/>
        <v xml:space="preserve"> </v>
      </c>
      <c r="BS195" s="626" t="str">
        <f>IF(L195&gt;0,IF(Calculation!P195="M13",BR195*3.1416*(0.134^2)/(4*144),IF(Calculation!P195="M17",BR195*3.1416*(0.165^2)/(4*144),IF(Calculation!P195="M20",BR195*3.1416*(0.198^2)/(4*144),IF(Calculation!P195="M23",BR195*3.1416*(0.228^2)/(4*144),IF(Calculation!P195="M27",BR195*3.1416*(0.269^2)/(4*144),BR195*3.1416*(0.307^2)/(4*144))))))," ")</f>
        <v xml:space="preserve"> </v>
      </c>
      <c r="BT195" s="353" t="str">
        <f>IF(L195&gt;0,IF(BS195&gt;0,R195/Calculation!BS195,0)," ")</f>
        <v xml:space="preserve"> </v>
      </c>
      <c r="BU195" s="438" t="e">
        <f t="shared" ca="1" si="456"/>
        <v>#VALUE!</v>
      </c>
      <c r="BV195" s="449" t="e">
        <f ca="1">INDEX(INDIRECT(VLOOKUP(LEFT(BO195,7),CLU!$Z$3:$AH$18,2)),GN195,GR195)</f>
        <v>#N/A</v>
      </c>
      <c r="BW195" s="433" t="e">
        <f ca="1">INDEX(INDIRECT(VLOOKUP(LEFT(BO195,7),CLU!$Z$3:$AH$18,3)),GN195,GR195)</f>
        <v>#N/A</v>
      </c>
      <c r="BX195" s="433" t="e">
        <f ca="1">INDEX(INDIRECT(VLOOKUP(LEFT(BO195,7),CLU!$Z$3:$AH$18,4)),GN195,GR195)</f>
        <v>#N/A</v>
      </c>
      <c r="BY195" s="433" t="e">
        <f ca="1">INDEX(INDIRECT(VLOOKUP(LEFT(BO195,7),CLU!$Z$3:$AH$18,9)),((M195-2)*(6-COUNTBLANK(GT195:GY195)))+GJ195)</f>
        <v>#N/A</v>
      </c>
      <c r="BZ195" s="426" t="e">
        <f t="shared" ca="1" si="549"/>
        <v>#N/A</v>
      </c>
      <c r="CA195" s="424" t="e">
        <f t="shared" ca="1" si="550"/>
        <v>#N/A</v>
      </c>
      <c r="CB195" s="429" t="e">
        <f ca="1">INDEX(INDIRECT(VLOOKUP(LEFT(BO195,7),CLU!$Z$3:$AH$18,2)),GN195,GS195)</f>
        <v>#N/A</v>
      </c>
      <c r="CC195" s="342" t="e">
        <f ca="1">INDEX(INDIRECT(VLOOKUP(LEFT(BO195,7),CLU!$Z$3:$AH$18,3)),GN195,GS195)</f>
        <v>#N/A</v>
      </c>
      <c r="CD195" s="342" t="e">
        <f ca="1">INDEX(INDIRECT(VLOOKUP(LEFT(BO195,7),CLU!$Z$3:$AH$18,4)),GN195,GS195)</f>
        <v>#N/A</v>
      </c>
      <c r="CE195" s="426" t="e">
        <f t="shared" ca="1" si="551"/>
        <v>#N/A</v>
      </c>
      <c r="CF195" s="440">
        <f t="shared" si="552"/>
        <v>0</v>
      </c>
      <c r="CG195" s="431" t="e">
        <f ca="1">INDEX(INDIRECT(VLOOKUP(LEFT(BO195,7),CLU!$Z$3:$AH$18,2)),GQ195,GR195)</f>
        <v>#N/A</v>
      </c>
      <c r="CH195" s="431" t="e">
        <f ca="1">INDEX(INDIRECT(VLOOKUP(LEFT(BO195,7),CLU!$Z$3:$AH$18,3)),GQ195,GR195)</f>
        <v>#N/A</v>
      </c>
      <c r="CI195" s="431" t="e">
        <f ca="1">INDEX(INDIRECT(VLOOKUP(LEFT(BO195,7),CLU!$Z$3:$AH$18,4)),GQ195,GR195)</f>
        <v>#N/A</v>
      </c>
      <c r="CJ195" s="448" t="e">
        <f t="shared" ca="1" si="553"/>
        <v>#N/A</v>
      </c>
      <c r="CK195" s="431" t="e">
        <f t="shared" ca="1" si="554"/>
        <v>#N/A</v>
      </c>
      <c r="CL195" s="440" t="e">
        <f t="shared" ca="1" si="555"/>
        <v>#N/A</v>
      </c>
      <c r="CM195" s="431" t="e">
        <f ca="1">INDEX(INDIRECT(VLOOKUP(LEFT(BO195,7),CLU!$Z$3:$AH$18,2)),GQ195,GS195)</f>
        <v>#N/A</v>
      </c>
      <c r="CN195" s="431" t="e">
        <f ca="1">INDEX(INDIRECT(VLOOKUP(LEFT(BO195,7),CLU!$Z$3:$AH$18,3)),GQ195,GS195)</f>
        <v>#N/A</v>
      </c>
      <c r="CO195" s="431" t="e">
        <f ca="1">INDEX(INDIRECT(VLOOKUP(LEFT(BO195,7),CLU!$Z$3:$AH$18,4)),GQ195,GS195)</f>
        <v>#N/A</v>
      </c>
      <c r="CP195" s="431" t="e">
        <f t="shared" ca="1" si="556"/>
        <v>#N/A</v>
      </c>
      <c r="CQ195" s="440">
        <f t="shared" si="557"/>
        <v>0</v>
      </c>
      <c r="CR195" s="51" t="e">
        <f t="shared" ca="1" si="558"/>
        <v>#N/A</v>
      </c>
      <c r="CS195" s="439" t="e">
        <f t="shared" ca="1" si="559"/>
        <v>#VALUE!</v>
      </c>
      <c r="CT195" s="51" t="e">
        <f t="shared" ca="1" si="560"/>
        <v>#VALUE!</v>
      </c>
      <c r="CU195" s="10"/>
      <c r="CV195" s="51" t="e">
        <f t="shared" ca="1" si="457"/>
        <v>#VALUE!</v>
      </c>
      <c r="CW195" s="51">
        <f t="shared" si="561"/>
        <v>0</v>
      </c>
      <c r="CX195" s="439" t="e">
        <f t="shared" ca="1" si="562"/>
        <v>#VALUE!</v>
      </c>
      <c r="CY195" s="51" t="e">
        <f t="shared" ca="1" si="563"/>
        <v>#VALUE!</v>
      </c>
      <c r="CZ195" s="10"/>
      <c r="DA195" s="51" t="e">
        <f t="shared" ca="1" si="564"/>
        <v>#VALUE!</v>
      </c>
      <c r="DB195" s="347" t="e">
        <f ca="1">INDEX(INDIRECT(VLOOKUP(LEFT(BO195,7),CLU!$Z$3:$AI$18,10)),((M195-2)*(6-COUNTBLANK(GT195:GY195)))+GJ195)*LI195</f>
        <v>#N/A</v>
      </c>
      <c r="DC195" s="347" t="str">
        <f>IF(L195&gt;0,((R195/Worksheet!$I$15)/DB195)^2," ")</f>
        <v xml:space="preserve"> </v>
      </c>
      <c r="DD195" s="602" t="str">
        <f t="shared" si="565"/>
        <v xml:space="preserve"> </v>
      </c>
      <c r="DE195" s="347" t="str">
        <f t="shared" si="458"/>
        <v xml:space="preserve"> </v>
      </c>
      <c r="DF195" s="356" t="e">
        <f ca="1">INDEX(INDIRECT(VLOOKUP(LEFT(BO195,7),CLU!$Z$3:$AH$18,8)),((M195-2)*(6-COUNTBLANK(GT195:GY195)))+GJ195)</f>
        <v>#N/A</v>
      </c>
      <c r="DG195" s="347" t="str">
        <f t="shared" si="459"/>
        <v xml:space="preserve"> </v>
      </c>
      <c r="DH195" s="357" t="str">
        <f t="shared" si="460"/>
        <v xml:space="preserve"> </v>
      </c>
      <c r="DI195" s="355" t="str">
        <f t="shared" si="461"/>
        <v xml:space="preserve"> </v>
      </c>
      <c r="DJ195" s="245" t="e">
        <f ca="1">INDEX(INDIRECT(VLOOKUP(LEFT(BO195,7),CLU!$Z$3:$AH$18,5)),GL195,GK195)</f>
        <v>#N/A</v>
      </c>
      <c r="DK195" s="245" t="e">
        <f ca="1">INDEX(INDIRECT(VLOOKUP(LEFT(BO195,7),CLU!$Z$3:$AH$18,6)),GL195,GK195)</f>
        <v>#N/A</v>
      </c>
      <c r="DL195" s="355">
        <f>(Calculation!R195*0.69143*(Calculation!$BQ$8-Calculation!$F$8))*$S$14</f>
        <v>0</v>
      </c>
      <c r="DM195" s="359" t="e">
        <f t="shared" si="566"/>
        <v>#VALUE!</v>
      </c>
      <c r="DN195" s="611">
        <f t="shared" si="567"/>
        <v>0</v>
      </c>
      <c r="DO195" s="359">
        <f t="shared" si="568"/>
        <v>100</v>
      </c>
      <c r="DP195" s="359">
        <f t="shared" si="569"/>
        <v>0</v>
      </c>
      <c r="DQ195" s="360"/>
      <c r="DR195" s="245" t="e">
        <f ca="1">INDEX(INDIRECT(VLOOKUP(LEFT(BO195,7),CLU!$Z$3:$AH$18,7)),M195-1,1)</f>
        <v>#N/A</v>
      </c>
      <c r="DS195" s="245" t="e">
        <f ca="1">INDEX(INDIRECT(VLOOKUP(LEFT(BO195,7),CLU!$Z$3:$AH$18,7)),M195-1,2)</f>
        <v>#N/A</v>
      </c>
      <c r="DT195" s="245" t="e">
        <f ca="1">INDEX(INDIRECT(VLOOKUP(LEFT(BO195,7),CLU!$Z$3:$AH$18,7)),M195-1,3)</f>
        <v>#N/A</v>
      </c>
      <c r="DU195" s="245" t="e">
        <f ca="1">INDEX(INDIRECT(VLOOKUP(LEFT(BO195,7),CLU!$Z$3:$AH$18,7)),M195-1,4)</f>
        <v>#N/A</v>
      </c>
      <c r="DV195" s="361" t="e">
        <f ca="1">INDEX(INDIRECT(VLOOKUP(LEFT(BO195,7),CLU!$Z$3:$AH$18,7)),M195-1,4+LEFT(DZ195,1)*0.5)</f>
        <v>#N/A</v>
      </c>
      <c r="DW195" s="245" t="e">
        <f ca="1">INDEX(INDIRECT(VLOOKUP(LEFT(BO195,7),CLU!$Z$3:$AH$18,7)),M195-1,8)</f>
        <v>#N/A</v>
      </c>
      <c r="DX195" s="361" t="str">
        <f t="shared" si="462"/>
        <v xml:space="preserve"> </v>
      </c>
      <c r="DY195" s="361" t="str">
        <f t="shared" si="463"/>
        <v xml:space="preserve"> </v>
      </c>
      <c r="DZ195" s="361" t="str">
        <f t="shared" si="464"/>
        <v xml:space="preserve"> </v>
      </c>
      <c r="EA195" s="362" t="str">
        <f t="shared" si="465"/>
        <v xml:space="preserve"> </v>
      </c>
      <c r="EB195" s="624" t="str">
        <f t="shared" si="570"/>
        <v xml:space="preserve"> </v>
      </c>
      <c r="EC195" s="361" t="e">
        <f ca="1">INDEX(INDIRECT(VLOOKUP(LEFT(BO195,7),CLU!$Z$3:$AH$18,7)),M195-1,4+LEFT(DZ195,1)*0.5)</f>
        <v>#N/A</v>
      </c>
      <c r="ED195" s="362" t="str">
        <f t="shared" si="466"/>
        <v xml:space="preserve"> </v>
      </c>
      <c r="EE195" s="361" t="str">
        <f t="shared" si="467"/>
        <v xml:space="preserve"> </v>
      </c>
      <c r="EF195" s="362" t="str">
        <f>IF(L195&gt;0,IF(BR195&gt;0,IF(EE195="2P",IF(Calculation!DZ195="2P",IF(Calculation!DS195=13.75,IF(Calculation!DR195=13,Worksheet!$BD$43,IF(Calculation!DR195=37,Worksheet!$BD$44,Worksheet!$BD$45)),IF(Calculation!DS195=10,IF(Calculation!DR195=18,Worksheet!$BD$29,IF(Calculation!DR195=30,Worksheet!$BD$30,IF(Calculation!DR195=42,Worksheet!$BD$31,IF(Calculation!DR195=54,Worksheet!$BD$32,IF(Calculation!DR195=66,Worksheet!$BD$33,IF(Calculation!DR195=78,Worksheet!$BD$34,IF(Calculation!DR195=90,Worksheet!$BD$35,IF(Calculation!DR195=102,Worksheet!$BD$36,Worksheet!$BD$37)))))))),IF(Calculation!DS195=12.5,IF(Calculation!DR195=18,Worksheet!$BD$38,IF(Calculation!DR195=Worksheet!$BD$39,IF(Calculation!DR195=42,Worksheet!$BD$40,IF(Calculation!DR195=54,Worksheet!$BD$41,Worksheet!$BD$42)))),IF(Calculation!DR195=18,Worksheet!$BD$11,IF(Calculation!DR195=30,Worksheet!$BD$12,IF(Calculation!DR195=42,Worksheet!$BD$13,IF(Calculation!DR195=54,Worksheet!$BD$14,IF(Calculation!DR195=66,Worksheet!$BD$15,IF(Calculation!DR195=78,Worksheet!$BD$16,IF(Calculation!DR195=90,Worksheet!$BD$17,IF(Calculation!DR195=102,Worksheet!$BD$18,Worksheet!$BD$19))))))))))),IF(Calculation!DS195=13.75,IF(Calculation!DR195=13,Worksheet!$BD$78,IF(Calculation!DR195=37,Worksheet!$BD$79,Worksheet!$BD$80)),IF(Calculation!DS195=10,IF(Calculation!DR195=18,Worksheet!$BD$64,IF(Calculation!DR195=30,Worksheet!$BD$65,IF(Calculation!DR195=42,Worksheet!$BD$66,IF(Calculation!DR195=54,Worksheet!$BD$68,IF(Calculation!DR195=66,Worksheet!$BD$68,IF(Calculation!DR195=78,Worksheet!$BD$69,IF(Calculation!DR195=90,Worksheet!$BD$70,IF(Calculation!DR195=102,Worksheet!$BD$71,Worksheet!$BD$72)))))))),IF(Calculation!DS195=12.5,IF(Calculation!DR195=18,Worksheet!$BD$73,IF(Calculation!DR195=Worksheet!$BD$74,IF(Calculation!DR195=42,Worksheet!$BD$75,IF(Calculation!DR195=54,Worksheet!$BD$76,Worksheet!$BD$77)))),IF(Calculation!DR195=18,Worksheet!$BD$55,IF(Calculation!DR195=30,Worksheet!$BD$56,IF(Calculation!DR195=42,Worksheet!$BD$57,IF(Calculation!DR195=54,Worksheet!$BD$58,IF(Calculation!DR195=66,Worksheet!$BD$59,IF(Calculation!DR195=78,Worksheet!$BD$60,IF(Calculation!DR195=90,Worksheet!$BD$61,IF(Calculation!DR195=102,Worksheet!$BD$62,Worksheet!$BD$63)))))))))))),5),0)," ")</f>
        <v xml:space="preserve"> </v>
      </c>
      <c r="EG195" s="361" t="str">
        <f t="shared" si="468"/>
        <v xml:space="preserve"> </v>
      </c>
      <c r="EH195" s="361" t="e">
        <f ca="1">INDEX(INDIRECT(VLOOKUP(LEFT(BO195,7),CLU!$Z$3:$AH$18,7)),M195-1,3+LEFT(DZ195,1))</f>
        <v>#N/A</v>
      </c>
      <c r="EI195" s="362" t="str">
        <f t="shared" si="469"/>
        <v xml:space="preserve"> </v>
      </c>
      <c r="EJ195" s="363" t="str">
        <f t="shared" si="470"/>
        <v xml:space="preserve"> </v>
      </c>
      <c r="EK195" s="363" t="str">
        <f t="shared" si="471"/>
        <v xml:space="preserve"> </v>
      </c>
      <c r="EL195" s="363" t="str">
        <f t="shared" si="472"/>
        <v xml:space="preserve"> </v>
      </c>
      <c r="EM195" s="362" t="str">
        <f>IF(L195&gt;0,IF(BR195&gt;0,(Calculation!T195/ED195)^2,0)," ")</f>
        <v xml:space="preserve"> </v>
      </c>
      <c r="EN195" s="362" t="str">
        <f>IF(L195&gt;0,IF(O195="2 Pipe (Cooling)","N/A",IF(BR195&gt;0,(Calculation!U195/EI195)^2,0))," ")</f>
        <v xml:space="preserve"> </v>
      </c>
      <c r="EO195" s="361" t="str">
        <f t="shared" si="473"/>
        <v/>
      </c>
      <c r="EP195" s="361" t="str">
        <f t="shared" si="474"/>
        <v/>
      </c>
      <c r="EQ195" s="361" t="str">
        <f t="shared" si="475"/>
        <v/>
      </c>
      <c r="ER195" s="361" t="str">
        <f t="shared" si="476"/>
        <v/>
      </c>
      <c r="ES195" s="361" t="str">
        <f t="shared" si="477"/>
        <v/>
      </c>
      <c r="ET195" s="361" t="str">
        <f t="shared" si="478"/>
        <v/>
      </c>
      <c r="EU195" s="361" t="str">
        <f t="shared" si="479"/>
        <v/>
      </c>
      <c r="EV195" s="361" t="str">
        <f t="shared" si="480"/>
        <v/>
      </c>
      <c r="EW195" s="361" t="str">
        <f t="shared" si="481"/>
        <v/>
      </c>
      <c r="EX195" s="361" t="str">
        <f t="shared" si="571"/>
        <v>1 slot, 1 way</v>
      </c>
      <c r="EY195" s="361" t="str">
        <f t="shared" si="572"/>
        <v xml:space="preserve"> </v>
      </c>
      <c r="EZ195" s="361" t="str">
        <f t="shared" si="573"/>
        <v xml:space="preserve"> </v>
      </c>
      <c r="FA195" s="361" t="str">
        <f t="shared" si="574"/>
        <v xml:space="preserve"> </v>
      </c>
      <c r="FB195" s="361" t="str">
        <f t="shared" si="575"/>
        <v xml:space="preserve"> </v>
      </c>
      <c r="FC195" s="361"/>
      <c r="FD195" s="361" t="str">
        <f>IF(J195&gt;0,IF(Calculation!R195&lt;=70,4,IF(Calculation!R195&lt;=110,5,IF(Calculation!R195&lt;=160,6,IF(Calculation!R195&lt;=300,8,"10 EO")))),"")</f>
        <v/>
      </c>
      <c r="FE195" s="361" t="str">
        <f t="shared" si="576"/>
        <v/>
      </c>
      <c r="FF195" s="361" t="str">
        <f t="shared" si="577"/>
        <v/>
      </c>
      <c r="FG195" s="361" t="e">
        <f t="shared" si="482"/>
        <v>#N/A</v>
      </c>
      <c r="FH195" s="361">
        <f t="shared" si="483"/>
        <v>0</v>
      </c>
      <c r="FI195" s="361" t="e">
        <f t="shared" si="484"/>
        <v>#DIV/0!</v>
      </c>
      <c r="FJ195" s="361"/>
      <c r="FK195" s="356" t="e">
        <f t="shared" si="485"/>
        <v>#VALUE!</v>
      </c>
      <c r="FL195" s="361"/>
      <c r="FM195" s="361"/>
      <c r="FN195" s="362" t="str">
        <f t="shared" si="578"/>
        <v xml:space="preserve"> </v>
      </c>
      <c r="FO195" s="362" t="str">
        <f t="shared" si="579"/>
        <v xml:space="preserve"> </v>
      </c>
      <c r="FP195" s="362">
        <f t="shared" si="580"/>
        <v>0</v>
      </c>
      <c r="FQ195" s="361">
        <f t="shared" si="486"/>
        <v>0</v>
      </c>
      <c r="FR195" s="362" t="str">
        <f>IF(L195&gt;0,IF(J195="CBAL2",Worksheet!$P$67,IF(J195="CBE2-24",Worksheet!$Q$67,IF(J195="CBAM",Worksheet!$R$67,IF(J195="CBLV",Worksheet!$S$67,IF(J195="CBAB",Worksheet!$U$67,IF(J195="CBAW",Worksheet!$X$67,IF(J195="CBE2-12",Worksheet!$Y$67,IF(J195="CBAL2",Worksheet!$Z$67,"N/A"))))))))," ")</f>
        <v xml:space="preserve"> </v>
      </c>
      <c r="FS195" s="362" t="str">
        <f>IF(L195&gt;0,IF(J195="CBAL2",Worksheet!$P$68,IF(J195="CBE2-24",Worksheet!$Q$68,IF(J195="CBAM",Worksheet!$R$68,IF(J195="CBLV",Worksheet!$S$68,IF(J195="CBAB",Worksheet!$U$68,IF(J195="CBAW",Worksheet!$X$68,IF(J195="CBE2-12",Worksheet!$Y$68,IF(J195="CBAL2",Worksheet!$Z$68,"N/A"))))))))," ")</f>
        <v xml:space="preserve"> </v>
      </c>
      <c r="FT195" s="362" t="str">
        <f>IF(L195&gt;0,IF(J195="CBAL2",Worksheet!$P$69,IF(J195="CBE2-24",Worksheet!$Q$69,IF(J195="CBAM",Worksheet!$R$69,IF(J195="CBLV",Worksheet!$S$69,IF(J195="CBAB",Worksheet!$U$69,IF(J195="CBAW",Worksheet!$X$69,IF(J195="CBE2-12",Worksheet!$Y$69,IF(J195="CBAL2",Worksheet!$Z$69,"N/A"))))))))," ")</f>
        <v xml:space="preserve"> </v>
      </c>
      <c r="FU195" s="361" t="str">
        <f t="shared" si="581"/>
        <v xml:space="preserve"> </v>
      </c>
      <c r="FV195" s="362" t="str">
        <f t="shared" si="582"/>
        <v xml:space="preserve"> </v>
      </c>
      <c r="FW195" s="362" t="str">
        <f t="shared" si="583"/>
        <v xml:space="preserve"> </v>
      </c>
      <c r="FX195" s="362" t="str">
        <f t="shared" si="584"/>
        <v xml:space="preserve"> </v>
      </c>
      <c r="FY195" s="355" t="str">
        <f t="shared" si="585"/>
        <v xml:space="preserve"> </v>
      </c>
      <c r="FZ195" s="361" t="str">
        <f t="shared" si="586"/>
        <v xml:space="preserve"> </v>
      </c>
      <c r="GA195" s="347" t="str">
        <f t="shared" si="587"/>
        <v xml:space="preserve"> </v>
      </c>
      <c r="GB195" s="355" t="str">
        <f t="shared" si="588"/>
        <v xml:space="preserve"> </v>
      </c>
      <c r="GC195" s="328" t="str">
        <f t="shared" si="589"/>
        <v xml:space="preserve"> </v>
      </c>
      <c r="GD195" s="361" t="str">
        <f t="shared" si="590"/>
        <v xml:space="preserve"> </v>
      </c>
      <c r="GE195" s="347" t="str">
        <f t="shared" si="591"/>
        <v xml:space="preserve"> </v>
      </c>
      <c r="GF195" s="361" t="str">
        <f t="shared" si="592"/>
        <v xml:space="preserve"> </v>
      </c>
      <c r="GG195" s="347" t="str">
        <f t="shared" si="593"/>
        <v xml:space="preserve"> </v>
      </c>
      <c r="GH195" s="364">
        <f t="shared" si="487"/>
        <v>0</v>
      </c>
      <c r="GI195" s="362">
        <f t="shared" si="594"/>
        <v>2</v>
      </c>
      <c r="GJ195" s="433" t="e">
        <f>IF(6-COUNTBLANK(GT195:GY195)=4,MATCH(MID(BO195,9,3),CLU!$H$16:$K$16),MATCH(MID(BO195,9,3),CLU!$H$13:$M$13))</f>
        <v>#N/A</v>
      </c>
      <c r="GK195" s="433" t="e">
        <f>HLOOKUP(VALUE(BP195),CLU!$H$9:$M$10,2)</f>
        <v>#VALUE!</v>
      </c>
      <c r="GL195" s="433" t="e">
        <f ca="1">MATCH(BU195,CLU!$H$2:$V$2,1)</f>
        <v>#VALUE!</v>
      </c>
      <c r="GM195" s="433" t="e">
        <f t="shared" ca="1" si="595"/>
        <v>#VALUE!</v>
      </c>
      <c r="GN195" s="433" t="e">
        <f t="shared" ca="1" si="596"/>
        <v>#VALUE!</v>
      </c>
      <c r="GO195" s="433" t="e">
        <f t="shared" ca="1" si="597"/>
        <v>#VALUE!</v>
      </c>
      <c r="GP195" s="433" t="e">
        <f t="shared" ca="1" si="598"/>
        <v>#VALUE!</v>
      </c>
      <c r="GQ195" s="433" t="e">
        <f t="shared" ca="1" si="599"/>
        <v>#VALUE!</v>
      </c>
      <c r="GR195" s="433" t="e">
        <f ca="1">MATCH(T195,INDIRECT(VLOOKUP(CONCATENATE(LEFT(BO195,7),"-",MID(BO195,13,1)),CLU!$P$3:$Q$16,2)),1)</f>
        <v>#N/A</v>
      </c>
      <c r="GS195" s="433" t="e">
        <f ca="1">MATCH(U195,INDIRECT(VLOOKUP(CONCATENATE(LEFT(BO195,7),"-",MID(BO195,13,1)),CLU!$P$3:$Q$16,2)),1)</f>
        <v>#N/A</v>
      </c>
      <c r="GT195" s="347" t="s">
        <v>512</v>
      </c>
      <c r="GU195" s="97" t="s">
        <v>513</v>
      </c>
      <c r="GV195" s="97" t="str">
        <f t="shared" si="600"/>
        <v>M23</v>
      </c>
      <c r="GW195" s="97" t="str">
        <f t="shared" si="601"/>
        <v>M31</v>
      </c>
      <c r="GX195" s="97" t="str">
        <f t="shared" si="602"/>
        <v/>
      </c>
      <c r="GY195" s="97" t="str">
        <f t="shared" si="603"/>
        <v/>
      </c>
      <c r="GZ195" s="481"/>
      <c r="HA195" s="288"/>
      <c r="HB195" s="240"/>
      <c r="HC195" s="240"/>
      <c r="HD195" s="240"/>
      <c r="HE195" s="240"/>
      <c r="HF195" s="240"/>
      <c r="HG195" s="240"/>
      <c r="HH195" s="240"/>
      <c r="HI195" s="240"/>
      <c r="HJ195" s="240"/>
      <c r="HK195" s="240"/>
      <c r="HL195" s="240"/>
      <c r="HM195" s="240"/>
      <c r="HN195" s="240"/>
      <c r="HO195" s="240"/>
      <c r="HP195" s="240"/>
      <c r="HQ195" s="240"/>
      <c r="HR195" s="240"/>
      <c r="HS195" s="240"/>
      <c r="HT195" s="240"/>
      <c r="HU195" s="240"/>
      <c r="HV195" s="245"/>
      <c r="HW195" s="245" t="b">
        <v>1</v>
      </c>
      <c r="HX195" s="245" t="str">
        <f t="shared" si="488"/>
        <v/>
      </c>
      <c r="HY195" s="245" t="e">
        <f t="shared" si="489"/>
        <v>#DIV/0!</v>
      </c>
      <c r="HZ195" s="245" t="e">
        <f t="shared" si="490"/>
        <v>#DIV/0!</v>
      </c>
      <c r="IA195" s="245">
        <f t="shared" si="491"/>
        <v>0</v>
      </c>
      <c r="IB195" s="245"/>
      <c r="IC195" t="b">
        <f t="shared" si="492"/>
        <v>1</v>
      </c>
      <c r="ID195" s="245" t="b">
        <f t="shared" si="493"/>
        <v>1</v>
      </c>
      <c r="IE195" s="245" t="b">
        <f t="shared" si="494"/>
        <v>1</v>
      </c>
      <c r="IF195" s="245" t="b">
        <f t="shared" si="495"/>
        <v>0</v>
      </c>
      <c r="IG195" s="245" t="b">
        <f t="shared" si="496"/>
        <v>1</v>
      </c>
      <c r="IH195" s="245" t="b">
        <f t="shared" si="497"/>
        <v>1</v>
      </c>
      <c r="II195" s="245">
        <f t="shared" si="604"/>
        <v>0</v>
      </c>
      <c r="IJ195" s="245" t="e">
        <f t="shared" si="498"/>
        <v>#VALUE!</v>
      </c>
      <c r="IK195" s="245" t="e">
        <f t="shared" si="499"/>
        <v>#VALUE!</v>
      </c>
      <c r="IL195" s="245"/>
      <c r="IM195" s="245" t="e">
        <f t="shared" si="605"/>
        <v>#N/A</v>
      </c>
      <c r="IN195" s="245" t="e">
        <f t="shared" si="606"/>
        <v>#N/A</v>
      </c>
      <c r="IO195" s="245"/>
      <c r="IP195" s="245"/>
      <c r="IQ195" s="245" t="str">
        <f t="shared" si="500"/>
        <v/>
      </c>
      <c r="IR195" s="245" t="str">
        <f>IF(J195="","",VLOOKUP(J195,Worksheet!$R$4:$T$14,2))</f>
        <v/>
      </c>
      <c r="IS195" s="245"/>
      <c r="IT195" s="245">
        <f t="shared" si="501"/>
        <v>0</v>
      </c>
      <c r="IU195" s="245">
        <f t="shared" si="502"/>
        <v>0</v>
      </c>
      <c r="IV195" s="245">
        <f t="shared" si="503"/>
        <v>0</v>
      </c>
      <c r="IW195" s="245">
        <f t="shared" si="504"/>
        <v>0</v>
      </c>
      <c r="IX195" s="245">
        <f t="shared" si="607"/>
        <v>0</v>
      </c>
      <c r="IY195" s="245">
        <f t="shared" si="505"/>
        <v>0</v>
      </c>
      <c r="IZ195" s="245">
        <f t="shared" si="506"/>
        <v>0</v>
      </c>
      <c r="JA195">
        <f t="shared" si="507"/>
        <v>0</v>
      </c>
      <c r="JB195">
        <f t="shared" si="608"/>
        <v>0</v>
      </c>
      <c r="JC195">
        <f t="shared" si="508"/>
        <v>0</v>
      </c>
      <c r="JD195">
        <f t="shared" si="509"/>
        <v>0</v>
      </c>
      <c r="JE195">
        <f t="shared" si="510"/>
        <v>0</v>
      </c>
      <c r="JF195">
        <f t="shared" si="511"/>
        <v>0</v>
      </c>
      <c r="JG195">
        <f t="shared" si="512"/>
        <v>0</v>
      </c>
      <c r="JH195">
        <f t="shared" si="513"/>
        <v>0</v>
      </c>
      <c r="JI195">
        <f t="shared" si="514"/>
        <v>0</v>
      </c>
      <c r="JJ195" s="447">
        <f t="shared" si="515"/>
        <v>0</v>
      </c>
      <c r="JK195" s="447">
        <f t="shared" si="516"/>
        <v>0</v>
      </c>
      <c r="JL195">
        <f t="shared" si="517"/>
        <v>0</v>
      </c>
      <c r="JM195" s="245" t="str">
        <f>IFERROR(VLOOKUP(MATCH(BN195,#REF!,0),#REF!,7),"")</f>
        <v/>
      </c>
      <c r="JN195" t="e">
        <f>HLOOKUP(LEFT(BO195,7),Discharge_Area,MATCH(JO195,LookUps!$B$130:$B$149,1)+2)</f>
        <v>#N/A</v>
      </c>
      <c r="JO195" t="str">
        <f t="shared" si="518"/>
        <v>- S</v>
      </c>
      <c r="JP195" t="e">
        <f>HLOOKUP(LEFT(BO195,7),Discharge_Area,MATCH(JO195,LookUps!$B$130:$B$149,1)+2)</f>
        <v>#N/A</v>
      </c>
      <c r="JQ195" t="e">
        <f t="shared" si="519"/>
        <v>#N/A</v>
      </c>
      <c r="JR195" t="e">
        <f t="shared" si="520"/>
        <v>#N/A</v>
      </c>
      <c r="JS195" t="e">
        <f t="shared" si="521"/>
        <v>#N/A</v>
      </c>
      <c r="JT195" s="532" t="str">
        <f t="shared" si="522"/>
        <v xml:space="preserve"> </v>
      </c>
      <c r="JU195" s="532" t="str">
        <f t="shared" si="523"/>
        <v xml:space="preserve"> </v>
      </c>
      <c r="JV195" s="533" t="str">
        <f t="shared" si="524"/>
        <v xml:space="preserve"> </v>
      </c>
      <c r="JW195" s="534">
        <f t="shared" si="525"/>
        <v>0</v>
      </c>
      <c r="JX195" s="535" t="str">
        <f t="shared" si="609"/>
        <v xml:space="preserve"> </v>
      </c>
      <c r="JY195" s="535" t="str">
        <f t="shared" si="610"/>
        <v xml:space="preserve"> </v>
      </c>
      <c r="JZ195" s="535" t="str">
        <f t="shared" si="611"/>
        <v xml:space="preserve"> </v>
      </c>
      <c r="KA195" s="536" t="str">
        <f t="shared" si="526"/>
        <v xml:space="preserve"> </v>
      </c>
      <c r="KB195" s="535" t="e">
        <f t="shared" si="612"/>
        <v>#VALUE!</v>
      </c>
      <c r="KC195" s="535" t="str">
        <f t="shared" si="527"/>
        <v/>
      </c>
      <c r="KD195" s="537" t="str">
        <f t="shared" si="613"/>
        <v xml:space="preserve"> </v>
      </c>
      <c r="KE195" s="537" t="str">
        <f t="shared" si="614"/>
        <v xml:space="preserve"> </v>
      </c>
      <c r="KF195" s="534">
        <f t="shared" si="528"/>
        <v>0</v>
      </c>
      <c r="KG195" s="535" t="str">
        <f t="shared" si="529"/>
        <v xml:space="preserve"> </v>
      </c>
      <c r="KH195" s="535" t="str">
        <f t="shared" si="530"/>
        <v xml:space="preserve"> </v>
      </c>
      <c r="KI195" s="535" t="str">
        <f t="shared" si="531"/>
        <v xml:space="preserve"> </v>
      </c>
      <c r="KJ195" s="536" t="str">
        <f t="shared" si="532"/>
        <v xml:space="preserve"> </v>
      </c>
      <c r="KK195" s="535" t="str">
        <f t="shared" si="615"/>
        <v xml:space="preserve"> </v>
      </c>
      <c r="KL195" s="535" t="str">
        <f t="shared" si="616"/>
        <v xml:space="preserve"> </v>
      </c>
      <c r="KM195" s="537" t="str">
        <f t="shared" si="533"/>
        <v xml:space="preserve"> </v>
      </c>
      <c r="KN195" s="537" t="str">
        <f t="shared" si="617"/>
        <v xml:space="preserve"> </v>
      </c>
      <c r="KP195">
        <f t="shared" si="534"/>
        <v>0</v>
      </c>
      <c r="LA195" t="e">
        <f t="shared" si="535"/>
        <v>#VALUE!</v>
      </c>
      <c r="LB195" t="e">
        <f t="shared" si="536"/>
        <v>#VALUE!</v>
      </c>
      <c r="LC195" t="e">
        <f t="shared" si="537"/>
        <v>#VALUE!</v>
      </c>
      <c r="LD195" t="e">
        <f t="shared" si="538"/>
        <v>#VALUE!</v>
      </c>
      <c r="LE195" t="e">
        <f t="shared" si="618"/>
        <v>#VALUE!</v>
      </c>
      <c r="LF195">
        <f t="shared" si="539"/>
        <v>0</v>
      </c>
      <c r="LG195" t="e">
        <f t="shared" si="619"/>
        <v>#VALUE!</v>
      </c>
      <c r="LH195" t="str">
        <f t="shared" si="540"/>
        <v xml:space="preserve"> </v>
      </c>
      <c r="LI195">
        <f t="shared" si="620"/>
        <v>1</v>
      </c>
    </row>
    <row r="196" spans="2:321" ht="15" customHeight="1">
      <c r="B196" s="311"/>
      <c r="C196" s="311"/>
      <c r="D196" s="312"/>
      <c r="E196" s="311"/>
      <c r="F196" s="312"/>
      <c r="G196" s="311"/>
      <c r="H196" s="311"/>
      <c r="I196" s="37"/>
      <c r="J196" s="311"/>
      <c r="K196" s="305" t="str">
        <f t="shared" si="541"/>
        <v/>
      </c>
      <c r="L196" s="313"/>
      <c r="M196" s="312"/>
      <c r="N196" s="311"/>
      <c r="O196" s="312"/>
      <c r="P196" s="311"/>
      <c r="Q196" s="305" t="str">
        <f t="shared" si="542"/>
        <v/>
      </c>
      <c r="R196" s="314"/>
      <c r="S196" s="450" t="str">
        <f t="shared" si="425"/>
        <v/>
      </c>
      <c r="T196" s="315"/>
      <c r="U196" s="315"/>
      <c r="W196" s="149" t="str">
        <f t="shared" si="426"/>
        <v xml:space="preserve"> </v>
      </c>
      <c r="X196" s="243" t="str">
        <f t="shared" si="427"/>
        <v xml:space="preserve"> </v>
      </c>
      <c r="Y196" s="150" t="str">
        <f t="shared" si="428"/>
        <v/>
      </c>
      <c r="Z196" s="149" t="str">
        <f t="shared" si="429"/>
        <v xml:space="preserve"> </v>
      </c>
      <c r="AA196" s="98" t="str">
        <f t="shared" si="430"/>
        <v xml:space="preserve"> </v>
      </c>
      <c r="AB196" s="153" t="str">
        <f t="shared" si="431"/>
        <v xml:space="preserve"> </v>
      </c>
      <c r="AC196" s="153" t="str">
        <f t="shared" si="432"/>
        <v xml:space="preserve"> </v>
      </c>
      <c r="AD196" s="148" t="str">
        <f t="shared" si="433"/>
        <v/>
      </c>
      <c r="AE196" s="149" t="str">
        <f t="shared" si="434"/>
        <v/>
      </c>
      <c r="AF196" s="151" t="str">
        <f t="shared" si="435"/>
        <v xml:space="preserve"> </v>
      </c>
      <c r="AG196" s="153" t="str">
        <f t="shared" si="436"/>
        <v xml:space="preserve"> </v>
      </c>
      <c r="AH196" s="98" t="str">
        <f t="shared" si="437"/>
        <v xml:space="preserve"> </v>
      </c>
      <c r="AI196" s="149" t="str">
        <f t="shared" si="438"/>
        <v xml:space="preserve"> </v>
      </c>
      <c r="AK196" s="144" t="str">
        <f t="shared" si="439"/>
        <v xml:space="preserve"> </v>
      </c>
      <c r="AL196" s="144"/>
      <c r="AM196" s="243" t="str">
        <f t="shared" si="440"/>
        <v xml:space="preserve"> </v>
      </c>
      <c r="AN196" s="149" t="str">
        <f t="shared" si="543"/>
        <v xml:space="preserve"> </v>
      </c>
      <c r="AO196" s="144" t="str">
        <f>IF(JB196&gt;0,IF(GI196=10,-R196*1.085*(Calculation!$F$6-Calculation!$F$13)*$S$14," "),"")</f>
        <v/>
      </c>
      <c r="AP196" s="144" t="str">
        <f t="shared" si="441"/>
        <v/>
      </c>
      <c r="AQ196" s="56" t="str">
        <f t="shared" si="442"/>
        <v/>
      </c>
      <c r="AR196" s="144" t="str">
        <f t="shared" si="443"/>
        <v/>
      </c>
      <c r="AS196" s="176" t="str">
        <f t="shared" si="444"/>
        <v/>
      </c>
      <c r="AT196" s="176" t="str">
        <f t="shared" si="544"/>
        <v xml:space="preserve"> </v>
      </c>
      <c r="AU196" s="176" t="str">
        <f t="shared" si="445"/>
        <v/>
      </c>
      <c r="AV196" s="177" t="str">
        <f t="shared" si="446"/>
        <v xml:space="preserve"> </v>
      </c>
      <c r="AW196" s="144" t="str">
        <f t="shared" si="447"/>
        <v xml:space="preserve"> </v>
      </c>
      <c r="AX196" s="144" t="str">
        <f t="shared" si="448"/>
        <v xml:space="preserve"> </v>
      </c>
      <c r="AY196" s="152" t="str">
        <f t="shared" si="449"/>
        <v xml:space="preserve"> </v>
      </c>
      <c r="AZ196" s="246" t="str">
        <f t="shared" si="450"/>
        <v/>
      </c>
      <c r="BA196" s="176" t="str">
        <f t="shared" si="451"/>
        <v xml:space="preserve"> </v>
      </c>
      <c r="BB196" s="176" t="str">
        <f t="shared" si="452"/>
        <v xml:space="preserve"> </v>
      </c>
      <c r="BC196" s="195"/>
      <c r="BD196" s="316"/>
      <c r="BE196" s="317"/>
      <c r="BF196" s="318"/>
      <c r="BG196" s="318"/>
      <c r="BH196" s="144" t="str">
        <f t="shared" si="621"/>
        <v xml:space="preserve"> </v>
      </c>
      <c r="BI196" s="176" t="str">
        <f t="shared" si="453"/>
        <v/>
      </c>
      <c r="BJ196" s="144" t="str">
        <f t="shared" si="622"/>
        <v/>
      </c>
      <c r="BK196" s="246" t="str">
        <f t="shared" si="454"/>
        <v/>
      </c>
      <c r="BL196" s="144" t="str">
        <f t="shared" si="623"/>
        <v/>
      </c>
      <c r="BM196" s="246" t="str">
        <f t="shared" si="455"/>
        <v/>
      </c>
      <c r="BN196" s="337" t="str">
        <f t="shared" si="545"/>
        <v/>
      </c>
      <c r="BO196" s="371" t="str">
        <f t="shared" si="546"/>
        <v/>
      </c>
      <c r="BP196" s="328" t="str">
        <f t="shared" si="624"/>
        <v xml:space="preserve"> </v>
      </c>
      <c r="BQ196" s="347" t="str">
        <f t="shared" si="547"/>
        <v xml:space="preserve"> </v>
      </c>
      <c r="BR196" s="353" t="str">
        <f t="shared" si="548"/>
        <v xml:space="preserve"> </v>
      </c>
      <c r="BS196" s="626" t="str">
        <f>IF(L196&gt;0,IF(Calculation!P196="M13",BR196*3.1416*(0.134^2)/(4*144),IF(Calculation!P196="M17",BR196*3.1416*(0.165^2)/(4*144),IF(Calculation!P196="M20",BR196*3.1416*(0.198^2)/(4*144),IF(Calculation!P196="M23",BR196*3.1416*(0.228^2)/(4*144),IF(Calculation!P196="M27",BR196*3.1416*(0.269^2)/(4*144),BR196*3.1416*(0.307^2)/(4*144))))))," ")</f>
        <v xml:space="preserve"> </v>
      </c>
      <c r="BT196" s="353" t="str">
        <f>IF(L196&gt;0,IF(BS196&gt;0,R196/Calculation!BS196,0)," ")</f>
        <v xml:space="preserve"> </v>
      </c>
      <c r="BU196" s="438" t="e">
        <f t="shared" ca="1" si="456"/>
        <v>#VALUE!</v>
      </c>
      <c r="BV196" s="449" t="e">
        <f ca="1">INDEX(INDIRECT(VLOOKUP(LEFT(BO196,7),CLU!$Z$3:$AH$18,2)),GN196,GR196)</f>
        <v>#N/A</v>
      </c>
      <c r="BW196" s="433" t="e">
        <f ca="1">INDEX(INDIRECT(VLOOKUP(LEFT(BO196,7),CLU!$Z$3:$AH$18,3)),GN196,GR196)</f>
        <v>#N/A</v>
      </c>
      <c r="BX196" s="433" t="e">
        <f ca="1">INDEX(INDIRECT(VLOOKUP(LEFT(BO196,7),CLU!$Z$3:$AH$18,4)),GN196,GR196)</f>
        <v>#N/A</v>
      </c>
      <c r="BY196" s="433" t="e">
        <f ca="1">INDEX(INDIRECT(VLOOKUP(LEFT(BO196,7),CLU!$Z$3:$AH$18,9)),((M196-2)*(6-COUNTBLANK(GT196:GY196)))+GJ196)</f>
        <v>#N/A</v>
      </c>
      <c r="BZ196" s="426" t="e">
        <f t="shared" ca="1" si="549"/>
        <v>#N/A</v>
      </c>
      <c r="CA196" s="424" t="e">
        <f t="shared" ca="1" si="550"/>
        <v>#N/A</v>
      </c>
      <c r="CB196" s="429" t="e">
        <f ca="1">INDEX(INDIRECT(VLOOKUP(LEFT(BO196,7),CLU!$Z$3:$AH$18,2)),GN196,GS196)</f>
        <v>#N/A</v>
      </c>
      <c r="CC196" s="342" t="e">
        <f ca="1">INDEX(INDIRECT(VLOOKUP(LEFT(BO196,7),CLU!$Z$3:$AH$18,3)),GN196,GS196)</f>
        <v>#N/A</v>
      </c>
      <c r="CD196" s="342" t="e">
        <f ca="1">INDEX(INDIRECT(VLOOKUP(LEFT(BO196,7),CLU!$Z$3:$AH$18,4)),GN196,GS196)</f>
        <v>#N/A</v>
      </c>
      <c r="CE196" s="426" t="e">
        <f t="shared" ca="1" si="551"/>
        <v>#N/A</v>
      </c>
      <c r="CF196" s="440">
        <f t="shared" si="552"/>
        <v>0</v>
      </c>
      <c r="CG196" s="431" t="e">
        <f ca="1">INDEX(INDIRECT(VLOOKUP(LEFT(BO196,7),CLU!$Z$3:$AH$18,2)),GQ196,GR196)</f>
        <v>#N/A</v>
      </c>
      <c r="CH196" s="431" t="e">
        <f ca="1">INDEX(INDIRECT(VLOOKUP(LEFT(BO196,7),CLU!$Z$3:$AH$18,3)),GQ196,GR196)</f>
        <v>#N/A</v>
      </c>
      <c r="CI196" s="431" t="e">
        <f ca="1">INDEX(INDIRECT(VLOOKUP(LEFT(BO196,7),CLU!$Z$3:$AH$18,4)),GQ196,GR196)</f>
        <v>#N/A</v>
      </c>
      <c r="CJ196" s="448" t="e">
        <f t="shared" ca="1" si="553"/>
        <v>#N/A</v>
      </c>
      <c r="CK196" s="431" t="e">
        <f t="shared" ca="1" si="554"/>
        <v>#N/A</v>
      </c>
      <c r="CL196" s="440" t="e">
        <f t="shared" ca="1" si="555"/>
        <v>#N/A</v>
      </c>
      <c r="CM196" s="431" t="e">
        <f ca="1">INDEX(INDIRECT(VLOOKUP(LEFT(BO196,7),CLU!$Z$3:$AH$18,2)),GQ196,GS196)</f>
        <v>#N/A</v>
      </c>
      <c r="CN196" s="431" t="e">
        <f ca="1">INDEX(INDIRECT(VLOOKUP(LEFT(BO196,7),CLU!$Z$3:$AH$18,3)),GQ196,GS196)</f>
        <v>#N/A</v>
      </c>
      <c r="CO196" s="431" t="e">
        <f ca="1">INDEX(INDIRECT(VLOOKUP(LEFT(BO196,7),CLU!$Z$3:$AH$18,4)),GQ196,GS196)</f>
        <v>#N/A</v>
      </c>
      <c r="CP196" s="431" t="e">
        <f t="shared" ca="1" si="556"/>
        <v>#N/A</v>
      </c>
      <c r="CQ196" s="440">
        <f t="shared" si="557"/>
        <v>0</v>
      </c>
      <c r="CR196" s="51" t="e">
        <f t="shared" ca="1" si="558"/>
        <v>#N/A</v>
      </c>
      <c r="CS196" s="439" t="e">
        <f t="shared" ca="1" si="559"/>
        <v>#VALUE!</v>
      </c>
      <c r="CT196" s="51" t="e">
        <f t="shared" ca="1" si="560"/>
        <v>#VALUE!</v>
      </c>
      <c r="CU196" s="10"/>
      <c r="CV196" s="51" t="e">
        <f t="shared" ca="1" si="457"/>
        <v>#VALUE!</v>
      </c>
      <c r="CW196" s="51">
        <f t="shared" si="561"/>
        <v>0</v>
      </c>
      <c r="CX196" s="439" t="e">
        <f t="shared" ca="1" si="562"/>
        <v>#VALUE!</v>
      </c>
      <c r="CY196" s="51" t="e">
        <f t="shared" ca="1" si="563"/>
        <v>#VALUE!</v>
      </c>
      <c r="CZ196" s="10"/>
      <c r="DA196" s="51" t="e">
        <f t="shared" ca="1" si="564"/>
        <v>#VALUE!</v>
      </c>
      <c r="DB196" s="347" t="e">
        <f ca="1">INDEX(INDIRECT(VLOOKUP(LEFT(BO196,7),CLU!$Z$3:$AI$18,10)),((M196-2)*(6-COUNTBLANK(GT196:GY196)))+GJ196)*LI196</f>
        <v>#N/A</v>
      </c>
      <c r="DC196" s="347" t="str">
        <f>IF(L196&gt;0,((R196/Worksheet!$I$15)/DB196)^2," ")</f>
        <v xml:space="preserve"> </v>
      </c>
      <c r="DD196" s="602" t="str">
        <f t="shared" si="565"/>
        <v xml:space="preserve"> </v>
      </c>
      <c r="DE196" s="347" t="str">
        <f t="shared" si="458"/>
        <v xml:space="preserve"> </v>
      </c>
      <c r="DF196" s="356" t="e">
        <f ca="1">INDEX(INDIRECT(VLOOKUP(LEFT(BO196,7),CLU!$Z$3:$AH$18,8)),((M196-2)*(6-COUNTBLANK(GT196:GY196)))+GJ196)</f>
        <v>#N/A</v>
      </c>
      <c r="DG196" s="347" t="str">
        <f t="shared" si="459"/>
        <v xml:space="preserve"> </v>
      </c>
      <c r="DH196" s="357" t="str">
        <f t="shared" si="460"/>
        <v xml:space="preserve"> </v>
      </c>
      <c r="DI196" s="355" t="str">
        <f t="shared" si="461"/>
        <v xml:space="preserve"> </v>
      </c>
      <c r="DJ196" s="245" t="e">
        <f ca="1">INDEX(INDIRECT(VLOOKUP(LEFT(BO196,7),CLU!$Z$3:$AH$18,5)),GL196,GK196)</f>
        <v>#N/A</v>
      </c>
      <c r="DK196" s="245" t="e">
        <f ca="1">INDEX(INDIRECT(VLOOKUP(LEFT(BO196,7),CLU!$Z$3:$AH$18,6)),GL196,GK196)</f>
        <v>#N/A</v>
      </c>
      <c r="DL196" s="355">
        <f>(Calculation!R196*0.69143*(Calculation!$BQ$8-Calculation!$F$8))*$S$14</f>
        <v>0</v>
      </c>
      <c r="DM196" s="359" t="e">
        <f t="shared" si="566"/>
        <v>#VALUE!</v>
      </c>
      <c r="DN196" s="611">
        <f t="shared" si="567"/>
        <v>0</v>
      </c>
      <c r="DO196" s="359">
        <f t="shared" si="568"/>
        <v>100</v>
      </c>
      <c r="DP196" s="359">
        <f t="shared" si="569"/>
        <v>0</v>
      </c>
      <c r="DQ196" s="360"/>
      <c r="DR196" s="245" t="e">
        <f ca="1">INDEX(INDIRECT(VLOOKUP(LEFT(BO196,7),CLU!$Z$3:$AH$18,7)),M196-1,1)</f>
        <v>#N/A</v>
      </c>
      <c r="DS196" s="245" t="e">
        <f ca="1">INDEX(INDIRECT(VLOOKUP(LEFT(BO196,7),CLU!$Z$3:$AH$18,7)),M196-1,2)</f>
        <v>#N/A</v>
      </c>
      <c r="DT196" s="245" t="e">
        <f ca="1">INDEX(INDIRECT(VLOOKUP(LEFT(BO196,7),CLU!$Z$3:$AH$18,7)),M196-1,3)</f>
        <v>#N/A</v>
      </c>
      <c r="DU196" s="245" t="e">
        <f ca="1">INDEX(INDIRECT(VLOOKUP(LEFT(BO196,7),CLU!$Z$3:$AH$18,7)),M196-1,4)</f>
        <v>#N/A</v>
      </c>
      <c r="DV196" s="361" t="e">
        <f ca="1">INDEX(INDIRECT(VLOOKUP(LEFT(BO196,7),CLU!$Z$3:$AH$18,7)),M196-1,4+LEFT(DZ196,1)*0.5)</f>
        <v>#N/A</v>
      </c>
      <c r="DW196" s="245" t="e">
        <f ca="1">INDEX(INDIRECT(VLOOKUP(LEFT(BO196,7),CLU!$Z$3:$AH$18,7)),M196-1,8)</f>
        <v>#N/A</v>
      </c>
      <c r="DX196" s="361" t="str">
        <f t="shared" si="462"/>
        <v xml:space="preserve"> </v>
      </c>
      <c r="DY196" s="361" t="str">
        <f t="shared" si="463"/>
        <v xml:space="preserve"> </v>
      </c>
      <c r="DZ196" s="361" t="str">
        <f t="shared" si="464"/>
        <v xml:space="preserve"> </v>
      </c>
      <c r="EA196" s="362" t="str">
        <f t="shared" si="465"/>
        <v xml:space="preserve"> </v>
      </c>
      <c r="EB196" s="624" t="str">
        <f t="shared" si="570"/>
        <v xml:space="preserve"> </v>
      </c>
      <c r="EC196" s="361" t="e">
        <f ca="1">INDEX(INDIRECT(VLOOKUP(LEFT(BO196,7),CLU!$Z$3:$AH$18,7)),M196-1,4+LEFT(DZ196,1)*0.5)</f>
        <v>#N/A</v>
      </c>
      <c r="ED196" s="362" t="str">
        <f t="shared" si="466"/>
        <v xml:space="preserve"> </v>
      </c>
      <c r="EE196" s="361" t="str">
        <f t="shared" si="467"/>
        <v xml:space="preserve"> </v>
      </c>
      <c r="EF196" s="362" t="str">
        <f>IF(L196&gt;0,IF(BR196&gt;0,IF(EE196="2P",IF(Calculation!DZ196="2P",IF(Calculation!DS196=13.75,IF(Calculation!DR196=13,Worksheet!$BD$43,IF(Calculation!DR196=37,Worksheet!$BD$44,Worksheet!$BD$45)),IF(Calculation!DS196=10,IF(Calculation!DR196=18,Worksheet!$BD$29,IF(Calculation!DR196=30,Worksheet!$BD$30,IF(Calculation!DR196=42,Worksheet!$BD$31,IF(Calculation!DR196=54,Worksheet!$BD$32,IF(Calculation!DR196=66,Worksheet!$BD$33,IF(Calculation!DR196=78,Worksheet!$BD$34,IF(Calculation!DR196=90,Worksheet!$BD$35,IF(Calculation!DR196=102,Worksheet!$BD$36,Worksheet!$BD$37)))))))),IF(Calculation!DS196=12.5,IF(Calculation!DR196=18,Worksheet!$BD$38,IF(Calculation!DR196=Worksheet!$BD$39,IF(Calculation!DR196=42,Worksheet!$BD$40,IF(Calculation!DR196=54,Worksheet!$BD$41,Worksheet!$BD$42)))),IF(Calculation!DR196=18,Worksheet!$BD$11,IF(Calculation!DR196=30,Worksheet!$BD$12,IF(Calculation!DR196=42,Worksheet!$BD$13,IF(Calculation!DR196=54,Worksheet!$BD$14,IF(Calculation!DR196=66,Worksheet!$BD$15,IF(Calculation!DR196=78,Worksheet!$BD$16,IF(Calculation!DR196=90,Worksheet!$BD$17,IF(Calculation!DR196=102,Worksheet!$BD$18,Worksheet!$BD$19))))))))))),IF(Calculation!DS196=13.75,IF(Calculation!DR196=13,Worksheet!$BD$78,IF(Calculation!DR196=37,Worksheet!$BD$79,Worksheet!$BD$80)),IF(Calculation!DS196=10,IF(Calculation!DR196=18,Worksheet!$BD$64,IF(Calculation!DR196=30,Worksheet!$BD$65,IF(Calculation!DR196=42,Worksheet!$BD$66,IF(Calculation!DR196=54,Worksheet!$BD$68,IF(Calculation!DR196=66,Worksheet!$BD$68,IF(Calculation!DR196=78,Worksheet!$BD$69,IF(Calculation!DR196=90,Worksheet!$BD$70,IF(Calculation!DR196=102,Worksheet!$BD$71,Worksheet!$BD$72)))))))),IF(Calculation!DS196=12.5,IF(Calculation!DR196=18,Worksheet!$BD$73,IF(Calculation!DR196=Worksheet!$BD$74,IF(Calculation!DR196=42,Worksheet!$BD$75,IF(Calculation!DR196=54,Worksheet!$BD$76,Worksheet!$BD$77)))),IF(Calculation!DR196=18,Worksheet!$BD$55,IF(Calculation!DR196=30,Worksheet!$BD$56,IF(Calculation!DR196=42,Worksheet!$BD$57,IF(Calculation!DR196=54,Worksheet!$BD$58,IF(Calculation!DR196=66,Worksheet!$BD$59,IF(Calculation!DR196=78,Worksheet!$BD$60,IF(Calculation!DR196=90,Worksheet!$BD$61,IF(Calculation!DR196=102,Worksheet!$BD$62,Worksheet!$BD$63)))))))))))),5),0)," ")</f>
        <v xml:space="preserve"> </v>
      </c>
      <c r="EG196" s="361" t="str">
        <f t="shared" si="468"/>
        <v xml:space="preserve"> </v>
      </c>
      <c r="EH196" s="361" t="e">
        <f ca="1">INDEX(INDIRECT(VLOOKUP(LEFT(BO196,7),CLU!$Z$3:$AH$18,7)),M196-1,3+LEFT(DZ196,1))</f>
        <v>#N/A</v>
      </c>
      <c r="EI196" s="362" t="str">
        <f t="shared" si="469"/>
        <v xml:space="preserve"> </v>
      </c>
      <c r="EJ196" s="363" t="str">
        <f t="shared" si="470"/>
        <v xml:space="preserve"> </v>
      </c>
      <c r="EK196" s="363" t="str">
        <f t="shared" si="471"/>
        <v xml:space="preserve"> </v>
      </c>
      <c r="EL196" s="363" t="str">
        <f t="shared" si="472"/>
        <v xml:space="preserve"> </v>
      </c>
      <c r="EM196" s="362" t="str">
        <f>IF(L196&gt;0,IF(BR196&gt;0,(Calculation!T196/ED196)^2,0)," ")</f>
        <v xml:space="preserve"> </v>
      </c>
      <c r="EN196" s="362" t="str">
        <f>IF(L196&gt;0,IF(O196="2 Pipe (Cooling)","N/A",IF(BR196&gt;0,(Calculation!U196/EI196)^2,0))," ")</f>
        <v xml:space="preserve"> </v>
      </c>
      <c r="EO196" s="361" t="str">
        <f t="shared" si="473"/>
        <v/>
      </c>
      <c r="EP196" s="361" t="str">
        <f t="shared" si="474"/>
        <v/>
      </c>
      <c r="EQ196" s="361" t="str">
        <f t="shared" si="475"/>
        <v/>
      </c>
      <c r="ER196" s="361" t="str">
        <f t="shared" si="476"/>
        <v/>
      </c>
      <c r="ES196" s="361" t="str">
        <f t="shared" si="477"/>
        <v/>
      </c>
      <c r="ET196" s="361" t="str">
        <f t="shared" si="478"/>
        <v/>
      </c>
      <c r="EU196" s="361" t="str">
        <f t="shared" si="479"/>
        <v/>
      </c>
      <c r="EV196" s="361" t="str">
        <f t="shared" si="480"/>
        <v/>
      </c>
      <c r="EW196" s="361" t="str">
        <f t="shared" si="481"/>
        <v/>
      </c>
      <c r="EX196" s="361" t="str">
        <f t="shared" si="571"/>
        <v>1 slot, 1 way</v>
      </c>
      <c r="EY196" s="361" t="str">
        <f t="shared" si="572"/>
        <v xml:space="preserve"> </v>
      </c>
      <c r="EZ196" s="361" t="str">
        <f t="shared" si="573"/>
        <v xml:space="preserve"> </v>
      </c>
      <c r="FA196" s="361" t="str">
        <f t="shared" si="574"/>
        <v xml:space="preserve"> </v>
      </c>
      <c r="FB196" s="361" t="str">
        <f t="shared" si="575"/>
        <v xml:space="preserve"> </v>
      </c>
      <c r="FC196" s="361"/>
      <c r="FD196" s="361" t="str">
        <f>IF(J196&gt;0,IF(Calculation!R196&lt;=70,4,IF(Calculation!R196&lt;=110,5,IF(Calculation!R196&lt;=160,6,IF(Calculation!R196&lt;=300,8,"10 EO")))),"")</f>
        <v/>
      </c>
      <c r="FE196" s="361" t="str">
        <f t="shared" si="576"/>
        <v/>
      </c>
      <c r="FF196" s="361" t="str">
        <f t="shared" si="577"/>
        <v/>
      </c>
      <c r="FG196" s="361" t="e">
        <f t="shared" si="482"/>
        <v>#N/A</v>
      </c>
      <c r="FH196" s="361">
        <f t="shared" si="483"/>
        <v>0</v>
      </c>
      <c r="FI196" s="361" t="e">
        <f t="shared" si="484"/>
        <v>#DIV/0!</v>
      </c>
      <c r="FJ196" s="361"/>
      <c r="FK196" s="356" t="e">
        <f t="shared" si="485"/>
        <v>#VALUE!</v>
      </c>
      <c r="FL196" s="361"/>
      <c r="FM196" s="361"/>
      <c r="FN196" s="362" t="str">
        <f t="shared" si="578"/>
        <v xml:space="preserve"> </v>
      </c>
      <c r="FO196" s="362" t="str">
        <f t="shared" si="579"/>
        <v xml:space="preserve"> </v>
      </c>
      <c r="FP196" s="362">
        <f t="shared" si="580"/>
        <v>0</v>
      </c>
      <c r="FQ196" s="361">
        <f t="shared" si="486"/>
        <v>0</v>
      </c>
      <c r="FR196" s="362" t="str">
        <f>IF(L196&gt;0,IF(J196="CBAL2",Worksheet!$P$67,IF(J196="CBE2-24",Worksheet!$Q$67,IF(J196="CBAM",Worksheet!$R$67,IF(J196="CBLV",Worksheet!$S$67,IF(J196="CBAB",Worksheet!$U$67,IF(J196="CBAW",Worksheet!$X$67,IF(J196="CBE2-12",Worksheet!$Y$67,IF(J196="CBAL2",Worksheet!$Z$67,"N/A"))))))))," ")</f>
        <v xml:space="preserve"> </v>
      </c>
      <c r="FS196" s="362" t="str">
        <f>IF(L196&gt;0,IF(J196="CBAL2",Worksheet!$P$68,IF(J196="CBE2-24",Worksheet!$Q$68,IF(J196="CBAM",Worksheet!$R$68,IF(J196="CBLV",Worksheet!$S$68,IF(J196="CBAB",Worksheet!$U$68,IF(J196="CBAW",Worksheet!$X$68,IF(J196="CBE2-12",Worksheet!$Y$68,IF(J196="CBAL2",Worksheet!$Z$68,"N/A"))))))))," ")</f>
        <v xml:space="preserve"> </v>
      </c>
      <c r="FT196" s="362" t="str">
        <f>IF(L196&gt;0,IF(J196="CBAL2",Worksheet!$P$69,IF(J196="CBE2-24",Worksheet!$Q$69,IF(J196="CBAM",Worksheet!$R$69,IF(J196="CBLV",Worksheet!$S$69,IF(J196="CBAB",Worksheet!$U$69,IF(J196="CBAW",Worksheet!$X$69,IF(J196="CBE2-12",Worksheet!$Y$69,IF(J196="CBAL2",Worksheet!$Z$69,"N/A"))))))))," ")</f>
        <v xml:space="preserve"> </v>
      </c>
      <c r="FU196" s="361" t="str">
        <f t="shared" si="581"/>
        <v xml:space="preserve"> </v>
      </c>
      <c r="FV196" s="362" t="str">
        <f t="shared" si="582"/>
        <v xml:space="preserve"> </v>
      </c>
      <c r="FW196" s="362" t="str">
        <f t="shared" si="583"/>
        <v xml:space="preserve"> </v>
      </c>
      <c r="FX196" s="362" t="str">
        <f t="shared" si="584"/>
        <v xml:space="preserve"> </v>
      </c>
      <c r="FY196" s="355" t="str">
        <f t="shared" si="585"/>
        <v xml:space="preserve"> </v>
      </c>
      <c r="FZ196" s="361" t="str">
        <f t="shared" si="586"/>
        <v xml:space="preserve"> </v>
      </c>
      <c r="GA196" s="347" t="str">
        <f t="shared" si="587"/>
        <v xml:space="preserve"> </v>
      </c>
      <c r="GB196" s="355" t="str">
        <f t="shared" si="588"/>
        <v xml:space="preserve"> </v>
      </c>
      <c r="GC196" s="328" t="str">
        <f t="shared" si="589"/>
        <v xml:space="preserve"> </v>
      </c>
      <c r="GD196" s="361" t="str">
        <f t="shared" si="590"/>
        <v xml:space="preserve"> </v>
      </c>
      <c r="GE196" s="347" t="str">
        <f t="shared" si="591"/>
        <v xml:space="preserve"> </v>
      </c>
      <c r="GF196" s="361" t="str">
        <f t="shared" si="592"/>
        <v xml:space="preserve"> </v>
      </c>
      <c r="GG196" s="347" t="str">
        <f t="shared" si="593"/>
        <v xml:space="preserve"> </v>
      </c>
      <c r="GH196" s="364">
        <f t="shared" si="487"/>
        <v>0</v>
      </c>
      <c r="GI196" s="362">
        <f t="shared" si="594"/>
        <v>2</v>
      </c>
      <c r="GJ196" s="433" t="e">
        <f>IF(6-COUNTBLANK(GT196:GY196)=4,MATCH(MID(BO196,9,3),CLU!$H$16:$K$16),MATCH(MID(BO196,9,3),CLU!$H$13:$M$13))</f>
        <v>#N/A</v>
      </c>
      <c r="GK196" s="433" t="e">
        <f>HLOOKUP(VALUE(BP196),CLU!$H$9:$M$10,2)</f>
        <v>#VALUE!</v>
      </c>
      <c r="GL196" s="433" t="e">
        <f ca="1">MATCH(BU196,CLU!$H$2:$V$2,1)</f>
        <v>#VALUE!</v>
      </c>
      <c r="GM196" s="433" t="e">
        <f t="shared" ca="1" si="595"/>
        <v>#VALUE!</v>
      </c>
      <c r="GN196" s="433" t="e">
        <f t="shared" ca="1" si="596"/>
        <v>#VALUE!</v>
      </c>
      <c r="GO196" s="433" t="e">
        <f t="shared" ca="1" si="597"/>
        <v>#VALUE!</v>
      </c>
      <c r="GP196" s="433" t="e">
        <f t="shared" ca="1" si="598"/>
        <v>#VALUE!</v>
      </c>
      <c r="GQ196" s="433" t="e">
        <f t="shared" ca="1" si="599"/>
        <v>#VALUE!</v>
      </c>
      <c r="GR196" s="433" t="e">
        <f ca="1">MATCH(T196,INDIRECT(VLOOKUP(CONCATENATE(LEFT(BO196,7),"-",MID(BO196,13,1)),CLU!$P$3:$Q$16,2)),1)</f>
        <v>#N/A</v>
      </c>
      <c r="GS196" s="433" t="e">
        <f ca="1">MATCH(U196,INDIRECT(VLOOKUP(CONCATENATE(LEFT(BO196,7),"-",MID(BO196,13,1)),CLU!$P$3:$Q$16,2)),1)</f>
        <v>#N/A</v>
      </c>
      <c r="GT196" s="347" t="s">
        <v>512</v>
      </c>
      <c r="GU196" s="97" t="s">
        <v>513</v>
      </c>
      <c r="GV196" s="97" t="str">
        <f t="shared" si="600"/>
        <v>M23</v>
      </c>
      <c r="GW196" s="97" t="str">
        <f t="shared" si="601"/>
        <v>M31</v>
      </c>
      <c r="GX196" s="97" t="str">
        <f t="shared" si="602"/>
        <v/>
      </c>
      <c r="GY196" s="97" t="str">
        <f t="shared" si="603"/>
        <v/>
      </c>
      <c r="GZ196" s="481"/>
      <c r="HA196" s="288"/>
      <c r="HB196" s="240"/>
      <c r="HC196" s="240"/>
      <c r="HD196" s="240"/>
      <c r="HE196" s="240"/>
      <c r="HF196" s="240"/>
      <c r="HG196" s="240"/>
      <c r="HH196" s="240"/>
      <c r="HI196" s="240"/>
      <c r="HJ196" s="240"/>
      <c r="HK196" s="240"/>
      <c r="HL196" s="240"/>
      <c r="HM196" s="240"/>
      <c r="HN196" s="240"/>
      <c r="HO196" s="240"/>
      <c r="HP196" s="240"/>
      <c r="HQ196" s="240"/>
      <c r="HR196" s="240"/>
      <c r="HS196" s="240"/>
      <c r="HT196" s="240"/>
      <c r="HU196" s="240"/>
      <c r="HV196" s="245"/>
      <c r="HW196" s="245" t="b">
        <v>1</v>
      </c>
      <c r="HX196" s="245" t="str">
        <f t="shared" si="488"/>
        <v/>
      </c>
      <c r="HY196" s="245" t="e">
        <f t="shared" si="489"/>
        <v>#DIV/0!</v>
      </c>
      <c r="HZ196" s="245" t="e">
        <f t="shared" si="490"/>
        <v>#DIV/0!</v>
      </c>
      <c r="IA196" s="245">
        <f t="shared" si="491"/>
        <v>0</v>
      </c>
      <c r="IB196" s="245"/>
      <c r="IC196" t="b">
        <f t="shared" si="492"/>
        <v>1</v>
      </c>
      <c r="ID196" s="245" t="b">
        <f t="shared" si="493"/>
        <v>1</v>
      </c>
      <c r="IE196" s="245" t="b">
        <f t="shared" si="494"/>
        <v>1</v>
      </c>
      <c r="IF196" s="245" t="b">
        <f t="shared" si="495"/>
        <v>0</v>
      </c>
      <c r="IG196" s="245" t="b">
        <f t="shared" si="496"/>
        <v>1</v>
      </c>
      <c r="IH196" s="245" t="b">
        <f t="shared" si="497"/>
        <v>1</v>
      </c>
      <c r="II196" s="245">
        <f t="shared" si="604"/>
        <v>0</v>
      </c>
      <c r="IJ196" s="245" t="e">
        <f t="shared" si="498"/>
        <v>#VALUE!</v>
      </c>
      <c r="IK196" s="245" t="e">
        <f t="shared" si="499"/>
        <v>#VALUE!</v>
      </c>
      <c r="IL196" s="245"/>
      <c r="IM196" s="245" t="e">
        <f t="shared" si="605"/>
        <v>#N/A</v>
      </c>
      <c r="IN196" s="245" t="e">
        <f t="shared" si="606"/>
        <v>#N/A</v>
      </c>
      <c r="IO196" s="245"/>
      <c r="IP196" s="245"/>
      <c r="IQ196" s="245" t="str">
        <f t="shared" si="500"/>
        <v/>
      </c>
      <c r="IR196" s="245" t="str">
        <f>IF(J196="","",VLOOKUP(J196,Worksheet!$R$4:$T$14,2))</f>
        <v/>
      </c>
      <c r="IS196" s="245"/>
      <c r="IT196" s="245">
        <f t="shared" si="501"/>
        <v>0</v>
      </c>
      <c r="IU196" s="245">
        <f t="shared" si="502"/>
        <v>0</v>
      </c>
      <c r="IV196" s="245">
        <f t="shared" si="503"/>
        <v>0</v>
      </c>
      <c r="IW196" s="245">
        <f t="shared" si="504"/>
        <v>0</v>
      </c>
      <c r="IX196" s="245">
        <f t="shared" si="607"/>
        <v>0</v>
      </c>
      <c r="IY196" s="245">
        <f t="shared" si="505"/>
        <v>0</v>
      </c>
      <c r="IZ196" s="245">
        <f t="shared" si="506"/>
        <v>0</v>
      </c>
      <c r="JA196">
        <f t="shared" si="507"/>
        <v>0</v>
      </c>
      <c r="JB196">
        <f t="shared" si="608"/>
        <v>0</v>
      </c>
      <c r="JC196">
        <f t="shared" si="508"/>
        <v>0</v>
      </c>
      <c r="JD196">
        <f t="shared" si="509"/>
        <v>0</v>
      </c>
      <c r="JE196">
        <f t="shared" si="510"/>
        <v>0</v>
      </c>
      <c r="JF196">
        <f t="shared" si="511"/>
        <v>0</v>
      </c>
      <c r="JG196">
        <f t="shared" si="512"/>
        <v>0</v>
      </c>
      <c r="JH196">
        <f t="shared" si="513"/>
        <v>0</v>
      </c>
      <c r="JI196">
        <f t="shared" si="514"/>
        <v>0</v>
      </c>
      <c r="JJ196" s="447">
        <f t="shared" si="515"/>
        <v>0</v>
      </c>
      <c r="JK196" s="447">
        <f t="shared" si="516"/>
        <v>0</v>
      </c>
      <c r="JL196">
        <f t="shared" si="517"/>
        <v>0</v>
      </c>
      <c r="JM196" s="245" t="str">
        <f>IFERROR(VLOOKUP(MATCH(BN196,#REF!,0),#REF!,7),"")</f>
        <v/>
      </c>
      <c r="JN196" t="e">
        <f>HLOOKUP(LEFT(BO196,7),Discharge_Area,MATCH(JO196,LookUps!$B$130:$B$149,1)+2)</f>
        <v>#N/A</v>
      </c>
      <c r="JO196" t="str">
        <f t="shared" si="518"/>
        <v>- S</v>
      </c>
      <c r="JP196" t="e">
        <f>HLOOKUP(LEFT(BO196,7),Discharge_Area,MATCH(JO196,LookUps!$B$130:$B$149,1)+2)</f>
        <v>#N/A</v>
      </c>
      <c r="JQ196" t="e">
        <f t="shared" si="519"/>
        <v>#N/A</v>
      </c>
      <c r="JR196" t="e">
        <f t="shared" si="520"/>
        <v>#N/A</v>
      </c>
      <c r="JS196" t="e">
        <f t="shared" si="521"/>
        <v>#N/A</v>
      </c>
      <c r="JT196" s="532" t="str">
        <f t="shared" si="522"/>
        <v xml:space="preserve"> </v>
      </c>
      <c r="JU196" s="532" t="str">
        <f t="shared" si="523"/>
        <v xml:space="preserve"> </v>
      </c>
      <c r="JV196" s="533" t="str">
        <f t="shared" si="524"/>
        <v xml:space="preserve"> </v>
      </c>
      <c r="JW196" s="534">
        <f t="shared" si="525"/>
        <v>0</v>
      </c>
      <c r="JX196" s="535" t="str">
        <f t="shared" si="609"/>
        <v xml:space="preserve"> </v>
      </c>
      <c r="JY196" s="535" t="str">
        <f t="shared" si="610"/>
        <v xml:space="preserve"> </v>
      </c>
      <c r="JZ196" s="535" t="str">
        <f t="shared" si="611"/>
        <v xml:space="preserve"> </v>
      </c>
      <c r="KA196" s="536" t="str">
        <f t="shared" si="526"/>
        <v xml:space="preserve"> </v>
      </c>
      <c r="KB196" s="535" t="e">
        <f t="shared" si="612"/>
        <v>#VALUE!</v>
      </c>
      <c r="KC196" s="535" t="str">
        <f t="shared" si="527"/>
        <v/>
      </c>
      <c r="KD196" s="537" t="str">
        <f t="shared" si="613"/>
        <v xml:space="preserve"> </v>
      </c>
      <c r="KE196" s="537" t="str">
        <f t="shared" si="614"/>
        <v xml:space="preserve"> </v>
      </c>
      <c r="KF196" s="534">
        <f t="shared" si="528"/>
        <v>0</v>
      </c>
      <c r="KG196" s="535" t="str">
        <f t="shared" si="529"/>
        <v xml:space="preserve"> </v>
      </c>
      <c r="KH196" s="535" t="str">
        <f t="shared" si="530"/>
        <v xml:space="preserve"> </v>
      </c>
      <c r="KI196" s="535" t="str">
        <f t="shared" si="531"/>
        <v xml:space="preserve"> </v>
      </c>
      <c r="KJ196" s="536" t="str">
        <f t="shared" si="532"/>
        <v xml:space="preserve"> </v>
      </c>
      <c r="KK196" s="535" t="str">
        <f t="shared" si="615"/>
        <v xml:space="preserve"> </v>
      </c>
      <c r="KL196" s="535" t="str">
        <f t="shared" si="616"/>
        <v xml:space="preserve"> </v>
      </c>
      <c r="KM196" s="537" t="str">
        <f t="shared" si="533"/>
        <v xml:space="preserve"> </v>
      </c>
      <c r="KN196" s="537" t="str">
        <f t="shared" si="617"/>
        <v xml:space="preserve"> </v>
      </c>
      <c r="KP196">
        <f t="shared" si="534"/>
        <v>0</v>
      </c>
      <c r="LA196" t="e">
        <f t="shared" si="535"/>
        <v>#VALUE!</v>
      </c>
      <c r="LB196" t="e">
        <f t="shared" si="536"/>
        <v>#VALUE!</v>
      </c>
      <c r="LC196" t="e">
        <f t="shared" si="537"/>
        <v>#VALUE!</v>
      </c>
      <c r="LD196" t="e">
        <f t="shared" si="538"/>
        <v>#VALUE!</v>
      </c>
      <c r="LE196" t="e">
        <f t="shared" si="618"/>
        <v>#VALUE!</v>
      </c>
      <c r="LF196">
        <f t="shared" si="539"/>
        <v>0</v>
      </c>
      <c r="LG196" t="e">
        <f t="shared" si="619"/>
        <v>#VALUE!</v>
      </c>
      <c r="LH196" t="str">
        <f t="shared" si="540"/>
        <v xml:space="preserve"> </v>
      </c>
      <c r="LI196">
        <f t="shared" si="620"/>
        <v>1</v>
      </c>
    </row>
    <row r="197" spans="2:321" ht="15" customHeight="1">
      <c r="B197" s="311"/>
      <c r="C197" s="311"/>
      <c r="D197" s="312"/>
      <c r="E197" s="311"/>
      <c r="F197" s="312"/>
      <c r="G197" s="311"/>
      <c r="H197" s="311"/>
      <c r="I197" s="37"/>
      <c r="J197" s="311"/>
      <c r="K197" s="305" t="str">
        <f t="shared" si="541"/>
        <v/>
      </c>
      <c r="L197" s="313"/>
      <c r="M197" s="312"/>
      <c r="N197" s="311"/>
      <c r="O197" s="312"/>
      <c r="P197" s="311"/>
      <c r="Q197" s="305" t="str">
        <f t="shared" si="542"/>
        <v/>
      </c>
      <c r="R197" s="314"/>
      <c r="S197" s="450" t="str">
        <f t="shared" si="425"/>
        <v/>
      </c>
      <c r="T197" s="315"/>
      <c r="U197" s="315"/>
      <c r="W197" s="149" t="str">
        <f t="shared" si="426"/>
        <v xml:space="preserve"> </v>
      </c>
      <c r="X197" s="243" t="str">
        <f t="shared" si="427"/>
        <v xml:space="preserve"> </v>
      </c>
      <c r="Y197" s="150" t="str">
        <f t="shared" si="428"/>
        <v/>
      </c>
      <c r="Z197" s="149" t="str">
        <f t="shared" si="429"/>
        <v xml:space="preserve"> </v>
      </c>
      <c r="AA197" s="98" t="str">
        <f t="shared" si="430"/>
        <v xml:space="preserve"> </v>
      </c>
      <c r="AB197" s="153" t="str">
        <f t="shared" si="431"/>
        <v xml:space="preserve"> </v>
      </c>
      <c r="AC197" s="153" t="str">
        <f t="shared" si="432"/>
        <v xml:space="preserve"> </v>
      </c>
      <c r="AD197" s="148" t="str">
        <f t="shared" si="433"/>
        <v/>
      </c>
      <c r="AE197" s="149" t="str">
        <f t="shared" si="434"/>
        <v/>
      </c>
      <c r="AF197" s="151" t="str">
        <f t="shared" si="435"/>
        <v xml:space="preserve"> </v>
      </c>
      <c r="AG197" s="153" t="str">
        <f t="shared" si="436"/>
        <v xml:space="preserve"> </v>
      </c>
      <c r="AH197" s="98" t="str">
        <f t="shared" si="437"/>
        <v xml:space="preserve"> </v>
      </c>
      <c r="AI197" s="149" t="str">
        <f t="shared" si="438"/>
        <v xml:space="preserve"> </v>
      </c>
      <c r="AK197" s="144" t="str">
        <f t="shared" si="439"/>
        <v xml:space="preserve"> </v>
      </c>
      <c r="AL197" s="144"/>
      <c r="AM197" s="243" t="str">
        <f t="shared" si="440"/>
        <v xml:space="preserve"> </v>
      </c>
      <c r="AN197" s="149" t="str">
        <f t="shared" si="543"/>
        <v xml:space="preserve"> </v>
      </c>
      <c r="AO197" s="144" t="str">
        <f>IF(JB197&gt;0,IF(GI197=10,-R197*1.085*(Calculation!$F$6-Calculation!$F$13)*$S$14," "),"")</f>
        <v/>
      </c>
      <c r="AP197" s="144" t="str">
        <f t="shared" si="441"/>
        <v/>
      </c>
      <c r="AQ197" s="56" t="str">
        <f t="shared" si="442"/>
        <v/>
      </c>
      <c r="AR197" s="144" t="str">
        <f t="shared" si="443"/>
        <v/>
      </c>
      <c r="AS197" s="176" t="str">
        <f t="shared" si="444"/>
        <v/>
      </c>
      <c r="AT197" s="176" t="str">
        <f t="shared" si="544"/>
        <v xml:space="preserve"> </v>
      </c>
      <c r="AU197" s="176" t="str">
        <f t="shared" si="445"/>
        <v/>
      </c>
      <c r="AV197" s="177" t="str">
        <f t="shared" si="446"/>
        <v xml:space="preserve"> </v>
      </c>
      <c r="AW197" s="144" t="str">
        <f t="shared" si="447"/>
        <v xml:space="preserve"> </v>
      </c>
      <c r="AX197" s="144" t="str">
        <f t="shared" si="448"/>
        <v xml:space="preserve"> </v>
      </c>
      <c r="AY197" s="152" t="str">
        <f t="shared" si="449"/>
        <v xml:space="preserve"> </v>
      </c>
      <c r="AZ197" s="246" t="str">
        <f t="shared" si="450"/>
        <v/>
      </c>
      <c r="BA197" s="176" t="str">
        <f t="shared" si="451"/>
        <v xml:space="preserve"> </v>
      </c>
      <c r="BB197" s="176" t="str">
        <f t="shared" si="452"/>
        <v xml:space="preserve"> </v>
      </c>
      <c r="BC197" s="195"/>
      <c r="BD197" s="316"/>
      <c r="BE197" s="317"/>
      <c r="BF197" s="318"/>
      <c r="BG197" s="318"/>
      <c r="BH197" s="144" t="str">
        <f t="shared" si="621"/>
        <v xml:space="preserve"> </v>
      </c>
      <c r="BI197" s="176" t="str">
        <f t="shared" si="453"/>
        <v/>
      </c>
      <c r="BJ197" s="144" t="str">
        <f t="shared" si="622"/>
        <v/>
      </c>
      <c r="BK197" s="246" t="str">
        <f t="shared" si="454"/>
        <v/>
      </c>
      <c r="BL197" s="144" t="str">
        <f t="shared" si="623"/>
        <v/>
      </c>
      <c r="BM197" s="246" t="str">
        <f t="shared" si="455"/>
        <v/>
      </c>
      <c r="BN197" s="337" t="str">
        <f t="shared" si="545"/>
        <v/>
      </c>
      <c r="BO197" s="371" t="str">
        <f t="shared" si="546"/>
        <v/>
      </c>
      <c r="BP197" s="328" t="str">
        <f t="shared" si="624"/>
        <v xml:space="preserve"> </v>
      </c>
      <c r="BQ197" s="347" t="str">
        <f t="shared" si="547"/>
        <v xml:space="preserve"> </v>
      </c>
      <c r="BR197" s="353" t="str">
        <f t="shared" si="548"/>
        <v xml:space="preserve"> </v>
      </c>
      <c r="BS197" s="626" t="str">
        <f>IF(L197&gt;0,IF(Calculation!P197="M13",BR197*3.1416*(0.134^2)/(4*144),IF(Calculation!P197="M17",BR197*3.1416*(0.165^2)/(4*144),IF(Calculation!P197="M20",BR197*3.1416*(0.198^2)/(4*144),IF(Calculation!P197="M23",BR197*3.1416*(0.228^2)/(4*144),IF(Calculation!P197="M27",BR197*3.1416*(0.269^2)/(4*144),BR197*3.1416*(0.307^2)/(4*144))))))," ")</f>
        <v xml:space="preserve"> </v>
      </c>
      <c r="BT197" s="353" t="str">
        <f>IF(L197&gt;0,IF(BS197&gt;0,R197/Calculation!BS197,0)," ")</f>
        <v xml:space="preserve"> </v>
      </c>
      <c r="BU197" s="438" t="e">
        <f t="shared" ca="1" si="456"/>
        <v>#VALUE!</v>
      </c>
      <c r="BV197" s="449" t="e">
        <f ca="1">INDEX(INDIRECT(VLOOKUP(LEFT(BO197,7),CLU!$Z$3:$AH$18,2)),GN197,GR197)</f>
        <v>#N/A</v>
      </c>
      <c r="BW197" s="433" t="e">
        <f ca="1">INDEX(INDIRECT(VLOOKUP(LEFT(BO197,7),CLU!$Z$3:$AH$18,3)),GN197,GR197)</f>
        <v>#N/A</v>
      </c>
      <c r="BX197" s="433" t="e">
        <f ca="1">INDEX(INDIRECT(VLOOKUP(LEFT(BO197,7),CLU!$Z$3:$AH$18,4)),GN197,GR197)</f>
        <v>#N/A</v>
      </c>
      <c r="BY197" s="433" t="e">
        <f ca="1">INDEX(INDIRECT(VLOOKUP(LEFT(BO197,7),CLU!$Z$3:$AH$18,9)),((M197-2)*(6-COUNTBLANK(GT197:GY197)))+GJ197)</f>
        <v>#N/A</v>
      </c>
      <c r="BZ197" s="426" t="e">
        <f t="shared" ca="1" si="549"/>
        <v>#N/A</v>
      </c>
      <c r="CA197" s="424" t="e">
        <f t="shared" ca="1" si="550"/>
        <v>#N/A</v>
      </c>
      <c r="CB197" s="429" t="e">
        <f ca="1">INDEX(INDIRECT(VLOOKUP(LEFT(BO197,7),CLU!$Z$3:$AH$18,2)),GN197,GS197)</f>
        <v>#N/A</v>
      </c>
      <c r="CC197" s="342" t="e">
        <f ca="1">INDEX(INDIRECT(VLOOKUP(LEFT(BO197,7),CLU!$Z$3:$AH$18,3)),GN197,GS197)</f>
        <v>#N/A</v>
      </c>
      <c r="CD197" s="342" t="e">
        <f ca="1">INDEX(INDIRECT(VLOOKUP(LEFT(BO197,7),CLU!$Z$3:$AH$18,4)),GN197,GS197)</f>
        <v>#N/A</v>
      </c>
      <c r="CE197" s="426" t="e">
        <f t="shared" ca="1" si="551"/>
        <v>#N/A</v>
      </c>
      <c r="CF197" s="440">
        <f t="shared" si="552"/>
        <v>0</v>
      </c>
      <c r="CG197" s="431" t="e">
        <f ca="1">INDEX(INDIRECT(VLOOKUP(LEFT(BO197,7),CLU!$Z$3:$AH$18,2)),GQ197,GR197)</f>
        <v>#N/A</v>
      </c>
      <c r="CH197" s="431" t="e">
        <f ca="1">INDEX(INDIRECT(VLOOKUP(LEFT(BO197,7),CLU!$Z$3:$AH$18,3)),GQ197,GR197)</f>
        <v>#N/A</v>
      </c>
      <c r="CI197" s="431" t="e">
        <f ca="1">INDEX(INDIRECT(VLOOKUP(LEFT(BO197,7),CLU!$Z$3:$AH$18,4)),GQ197,GR197)</f>
        <v>#N/A</v>
      </c>
      <c r="CJ197" s="448" t="e">
        <f t="shared" ca="1" si="553"/>
        <v>#N/A</v>
      </c>
      <c r="CK197" s="431" t="e">
        <f t="shared" ca="1" si="554"/>
        <v>#N/A</v>
      </c>
      <c r="CL197" s="440" t="e">
        <f t="shared" ca="1" si="555"/>
        <v>#N/A</v>
      </c>
      <c r="CM197" s="431" t="e">
        <f ca="1">INDEX(INDIRECT(VLOOKUP(LEFT(BO197,7),CLU!$Z$3:$AH$18,2)),GQ197,GS197)</f>
        <v>#N/A</v>
      </c>
      <c r="CN197" s="431" t="e">
        <f ca="1">INDEX(INDIRECT(VLOOKUP(LEFT(BO197,7),CLU!$Z$3:$AH$18,3)),GQ197,GS197)</f>
        <v>#N/A</v>
      </c>
      <c r="CO197" s="431" t="e">
        <f ca="1">INDEX(INDIRECT(VLOOKUP(LEFT(BO197,7),CLU!$Z$3:$AH$18,4)),GQ197,GS197)</f>
        <v>#N/A</v>
      </c>
      <c r="CP197" s="431" t="e">
        <f t="shared" ca="1" si="556"/>
        <v>#N/A</v>
      </c>
      <c r="CQ197" s="440">
        <f t="shared" si="557"/>
        <v>0</v>
      </c>
      <c r="CR197" s="51" t="e">
        <f t="shared" ca="1" si="558"/>
        <v>#N/A</v>
      </c>
      <c r="CS197" s="439" t="e">
        <f t="shared" ca="1" si="559"/>
        <v>#VALUE!</v>
      </c>
      <c r="CT197" s="51" t="e">
        <f t="shared" ca="1" si="560"/>
        <v>#VALUE!</v>
      </c>
      <c r="CU197" s="10"/>
      <c r="CV197" s="51" t="e">
        <f t="shared" ca="1" si="457"/>
        <v>#VALUE!</v>
      </c>
      <c r="CW197" s="51">
        <f t="shared" si="561"/>
        <v>0</v>
      </c>
      <c r="CX197" s="439" t="e">
        <f t="shared" ca="1" si="562"/>
        <v>#VALUE!</v>
      </c>
      <c r="CY197" s="51" t="e">
        <f t="shared" ca="1" si="563"/>
        <v>#VALUE!</v>
      </c>
      <c r="CZ197" s="10"/>
      <c r="DA197" s="51" t="e">
        <f t="shared" ca="1" si="564"/>
        <v>#VALUE!</v>
      </c>
      <c r="DB197" s="347" t="e">
        <f ca="1">INDEX(INDIRECT(VLOOKUP(LEFT(BO197,7),CLU!$Z$3:$AI$18,10)),((M197-2)*(6-COUNTBLANK(GT197:GY197)))+GJ197)*LI197</f>
        <v>#N/A</v>
      </c>
      <c r="DC197" s="347" t="str">
        <f>IF(L197&gt;0,((R197/Worksheet!$I$15)/DB197)^2," ")</f>
        <v xml:space="preserve"> </v>
      </c>
      <c r="DD197" s="602" t="str">
        <f t="shared" si="565"/>
        <v xml:space="preserve"> </v>
      </c>
      <c r="DE197" s="347" t="str">
        <f t="shared" si="458"/>
        <v xml:space="preserve"> </v>
      </c>
      <c r="DF197" s="356" t="e">
        <f ca="1">INDEX(INDIRECT(VLOOKUP(LEFT(BO197,7),CLU!$Z$3:$AH$18,8)),((M197-2)*(6-COUNTBLANK(GT197:GY197)))+GJ197)</f>
        <v>#N/A</v>
      </c>
      <c r="DG197" s="347" t="str">
        <f t="shared" si="459"/>
        <v xml:space="preserve"> </v>
      </c>
      <c r="DH197" s="357" t="str">
        <f t="shared" si="460"/>
        <v xml:space="preserve"> </v>
      </c>
      <c r="DI197" s="355" t="str">
        <f t="shared" si="461"/>
        <v xml:space="preserve"> </v>
      </c>
      <c r="DJ197" s="245" t="e">
        <f ca="1">INDEX(INDIRECT(VLOOKUP(LEFT(BO197,7),CLU!$Z$3:$AH$18,5)),GL197,GK197)</f>
        <v>#N/A</v>
      </c>
      <c r="DK197" s="245" t="e">
        <f ca="1">INDEX(INDIRECT(VLOOKUP(LEFT(BO197,7),CLU!$Z$3:$AH$18,6)),GL197,GK197)</f>
        <v>#N/A</v>
      </c>
      <c r="DL197" s="355">
        <f>(Calculation!R197*0.69143*(Calculation!$BQ$8-Calculation!$F$8))*$S$14</f>
        <v>0</v>
      </c>
      <c r="DM197" s="359" t="e">
        <f t="shared" si="566"/>
        <v>#VALUE!</v>
      </c>
      <c r="DN197" s="611">
        <f t="shared" si="567"/>
        <v>0</v>
      </c>
      <c r="DO197" s="359">
        <f t="shared" si="568"/>
        <v>100</v>
      </c>
      <c r="DP197" s="359">
        <f t="shared" si="569"/>
        <v>0</v>
      </c>
      <c r="DQ197" s="360"/>
      <c r="DR197" s="245" t="e">
        <f ca="1">INDEX(INDIRECT(VLOOKUP(LEFT(BO197,7),CLU!$Z$3:$AH$18,7)),M197-1,1)</f>
        <v>#N/A</v>
      </c>
      <c r="DS197" s="245" t="e">
        <f ca="1">INDEX(INDIRECT(VLOOKUP(LEFT(BO197,7),CLU!$Z$3:$AH$18,7)),M197-1,2)</f>
        <v>#N/A</v>
      </c>
      <c r="DT197" s="245" t="e">
        <f ca="1">INDEX(INDIRECT(VLOOKUP(LEFT(BO197,7),CLU!$Z$3:$AH$18,7)),M197-1,3)</f>
        <v>#N/A</v>
      </c>
      <c r="DU197" s="245" t="e">
        <f ca="1">INDEX(INDIRECT(VLOOKUP(LEFT(BO197,7),CLU!$Z$3:$AH$18,7)),M197-1,4)</f>
        <v>#N/A</v>
      </c>
      <c r="DV197" s="361" t="e">
        <f ca="1">INDEX(INDIRECT(VLOOKUP(LEFT(BO197,7),CLU!$Z$3:$AH$18,7)),M197-1,4+LEFT(DZ197,1)*0.5)</f>
        <v>#N/A</v>
      </c>
      <c r="DW197" s="245" t="e">
        <f ca="1">INDEX(INDIRECT(VLOOKUP(LEFT(BO197,7),CLU!$Z$3:$AH$18,7)),M197-1,8)</f>
        <v>#N/A</v>
      </c>
      <c r="DX197" s="361" t="str">
        <f t="shared" si="462"/>
        <v xml:space="preserve"> </v>
      </c>
      <c r="DY197" s="361" t="str">
        <f t="shared" si="463"/>
        <v xml:space="preserve"> </v>
      </c>
      <c r="DZ197" s="361" t="str">
        <f t="shared" si="464"/>
        <v xml:space="preserve"> </v>
      </c>
      <c r="EA197" s="362" t="str">
        <f t="shared" si="465"/>
        <v xml:space="preserve"> </v>
      </c>
      <c r="EB197" s="624" t="str">
        <f t="shared" si="570"/>
        <v xml:space="preserve"> </v>
      </c>
      <c r="EC197" s="361" t="e">
        <f ca="1">INDEX(INDIRECT(VLOOKUP(LEFT(BO197,7),CLU!$Z$3:$AH$18,7)),M197-1,4+LEFT(DZ197,1)*0.5)</f>
        <v>#N/A</v>
      </c>
      <c r="ED197" s="362" t="str">
        <f t="shared" si="466"/>
        <v xml:space="preserve"> </v>
      </c>
      <c r="EE197" s="361" t="str">
        <f t="shared" si="467"/>
        <v xml:space="preserve"> </v>
      </c>
      <c r="EF197" s="362" t="str">
        <f>IF(L197&gt;0,IF(BR197&gt;0,IF(EE197="2P",IF(Calculation!DZ197="2P",IF(Calculation!DS197=13.75,IF(Calculation!DR197=13,Worksheet!$BD$43,IF(Calculation!DR197=37,Worksheet!$BD$44,Worksheet!$BD$45)),IF(Calculation!DS197=10,IF(Calculation!DR197=18,Worksheet!$BD$29,IF(Calculation!DR197=30,Worksheet!$BD$30,IF(Calculation!DR197=42,Worksheet!$BD$31,IF(Calculation!DR197=54,Worksheet!$BD$32,IF(Calculation!DR197=66,Worksheet!$BD$33,IF(Calculation!DR197=78,Worksheet!$BD$34,IF(Calculation!DR197=90,Worksheet!$BD$35,IF(Calculation!DR197=102,Worksheet!$BD$36,Worksheet!$BD$37)))))))),IF(Calculation!DS197=12.5,IF(Calculation!DR197=18,Worksheet!$BD$38,IF(Calculation!DR197=Worksheet!$BD$39,IF(Calculation!DR197=42,Worksheet!$BD$40,IF(Calculation!DR197=54,Worksheet!$BD$41,Worksheet!$BD$42)))),IF(Calculation!DR197=18,Worksheet!$BD$11,IF(Calculation!DR197=30,Worksheet!$BD$12,IF(Calculation!DR197=42,Worksheet!$BD$13,IF(Calculation!DR197=54,Worksheet!$BD$14,IF(Calculation!DR197=66,Worksheet!$BD$15,IF(Calculation!DR197=78,Worksheet!$BD$16,IF(Calculation!DR197=90,Worksheet!$BD$17,IF(Calculation!DR197=102,Worksheet!$BD$18,Worksheet!$BD$19))))))))))),IF(Calculation!DS197=13.75,IF(Calculation!DR197=13,Worksheet!$BD$78,IF(Calculation!DR197=37,Worksheet!$BD$79,Worksheet!$BD$80)),IF(Calculation!DS197=10,IF(Calculation!DR197=18,Worksheet!$BD$64,IF(Calculation!DR197=30,Worksheet!$BD$65,IF(Calculation!DR197=42,Worksheet!$BD$66,IF(Calculation!DR197=54,Worksheet!$BD$68,IF(Calculation!DR197=66,Worksheet!$BD$68,IF(Calculation!DR197=78,Worksheet!$BD$69,IF(Calculation!DR197=90,Worksheet!$BD$70,IF(Calculation!DR197=102,Worksheet!$BD$71,Worksheet!$BD$72)))))))),IF(Calculation!DS197=12.5,IF(Calculation!DR197=18,Worksheet!$BD$73,IF(Calculation!DR197=Worksheet!$BD$74,IF(Calculation!DR197=42,Worksheet!$BD$75,IF(Calculation!DR197=54,Worksheet!$BD$76,Worksheet!$BD$77)))),IF(Calculation!DR197=18,Worksheet!$BD$55,IF(Calculation!DR197=30,Worksheet!$BD$56,IF(Calculation!DR197=42,Worksheet!$BD$57,IF(Calculation!DR197=54,Worksheet!$BD$58,IF(Calculation!DR197=66,Worksheet!$BD$59,IF(Calculation!DR197=78,Worksheet!$BD$60,IF(Calculation!DR197=90,Worksheet!$BD$61,IF(Calculation!DR197=102,Worksheet!$BD$62,Worksheet!$BD$63)))))))))))),5),0)," ")</f>
        <v xml:space="preserve"> </v>
      </c>
      <c r="EG197" s="361" t="str">
        <f t="shared" si="468"/>
        <v xml:space="preserve"> </v>
      </c>
      <c r="EH197" s="361" t="e">
        <f ca="1">INDEX(INDIRECT(VLOOKUP(LEFT(BO197,7),CLU!$Z$3:$AH$18,7)),M197-1,3+LEFT(DZ197,1))</f>
        <v>#N/A</v>
      </c>
      <c r="EI197" s="362" t="str">
        <f t="shared" si="469"/>
        <v xml:space="preserve"> </v>
      </c>
      <c r="EJ197" s="363" t="str">
        <f t="shared" si="470"/>
        <v xml:space="preserve"> </v>
      </c>
      <c r="EK197" s="363" t="str">
        <f t="shared" si="471"/>
        <v xml:space="preserve"> </v>
      </c>
      <c r="EL197" s="363" t="str">
        <f t="shared" si="472"/>
        <v xml:space="preserve"> </v>
      </c>
      <c r="EM197" s="362" t="str">
        <f>IF(L197&gt;0,IF(BR197&gt;0,(Calculation!T197/ED197)^2,0)," ")</f>
        <v xml:space="preserve"> </v>
      </c>
      <c r="EN197" s="362" t="str">
        <f>IF(L197&gt;0,IF(O197="2 Pipe (Cooling)","N/A",IF(BR197&gt;0,(Calculation!U197/EI197)^2,0))," ")</f>
        <v xml:space="preserve"> </v>
      </c>
      <c r="EO197" s="361" t="str">
        <f t="shared" si="473"/>
        <v/>
      </c>
      <c r="EP197" s="361" t="str">
        <f t="shared" si="474"/>
        <v/>
      </c>
      <c r="EQ197" s="361" t="str">
        <f t="shared" si="475"/>
        <v/>
      </c>
      <c r="ER197" s="361" t="str">
        <f t="shared" si="476"/>
        <v/>
      </c>
      <c r="ES197" s="361" t="str">
        <f t="shared" si="477"/>
        <v/>
      </c>
      <c r="ET197" s="361" t="str">
        <f t="shared" si="478"/>
        <v/>
      </c>
      <c r="EU197" s="361" t="str">
        <f t="shared" si="479"/>
        <v/>
      </c>
      <c r="EV197" s="361" t="str">
        <f t="shared" si="480"/>
        <v/>
      </c>
      <c r="EW197" s="361" t="str">
        <f t="shared" si="481"/>
        <v/>
      </c>
      <c r="EX197" s="361" t="str">
        <f t="shared" si="571"/>
        <v>1 slot, 1 way</v>
      </c>
      <c r="EY197" s="361" t="str">
        <f t="shared" si="572"/>
        <v xml:space="preserve"> </v>
      </c>
      <c r="EZ197" s="361" t="str">
        <f t="shared" si="573"/>
        <v xml:space="preserve"> </v>
      </c>
      <c r="FA197" s="361" t="str">
        <f t="shared" si="574"/>
        <v xml:space="preserve"> </v>
      </c>
      <c r="FB197" s="361" t="str">
        <f t="shared" si="575"/>
        <v xml:space="preserve"> </v>
      </c>
      <c r="FC197" s="361"/>
      <c r="FD197" s="361" t="str">
        <f>IF(J197&gt;0,IF(Calculation!R197&lt;=70,4,IF(Calculation!R197&lt;=110,5,IF(Calculation!R197&lt;=160,6,IF(Calculation!R197&lt;=300,8,"10 EO")))),"")</f>
        <v/>
      </c>
      <c r="FE197" s="361" t="str">
        <f t="shared" si="576"/>
        <v/>
      </c>
      <c r="FF197" s="361" t="str">
        <f t="shared" si="577"/>
        <v/>
      </c>
      <c r="FG197" s="361" t="e">
        <f t="shared" si="482"/>
        <v>#N/A</v>
      </c>
      <c r="FH197" s="361">
        <f t="shared" si="483"/>
        <v>0</v>
      </c>
      <c r="FI197" s="361" t="e">
        <f t="shared" si="484"/>
        <v>#DIV/0!</v>
      </c>
      <c r="FJ197" s="361"/>
      <c r="FK197" s="356" t="e">
        <f t="shared" si="485"/>
        <v>#VALUE!</v>
      </c>
      <c r="FL197" s="361"/>
      <c r="FM197" s="361"/>
      <c r="FN197" s="362" t="str">
        <f t="shared" si="578"/>
        <v xml:space="preserve"> </v>
      </c>
      <c r="FO197" s="362" t="str">
        <f t="shared" si="579"/>
        <v xml:space="preserve"> </v>
      </c>
      <c r="FP197" s="362">
        <f t="shared" si="580"/>
        <v>0</v>
      </c>
      <c r="FQ197" s="361">
        <f t="shared" si="486"/>
        <v>0</v>
      </c>
      <c r="FR197" s="362" t="str">
        <f>IF(L197&gt;0,IF(J197="CBAL2",Worksheet!$P$67,IF(J197="CBE2-24",Worksheet!$Q$67,IF(J197="CBAM",Worksheet!$R$67,IF(J197="CBLV",Worksheet!$S$67,IF(J197="CBAB",Worksheet!$U$67,IF(J197="CBAW",Worksheet!$X$67,IF(J197="CBE2-12",Worksheet!$Y$67,IF(J197="CBAL2",Worksheet!$Z$67,"N/A"))))))))," ")</f>
        <v xml:space="preserve"> </v>
      </c>
      <c r="FS197" s="362" t="str">
        <f>IF(L197&gt;0,IF(J197="CBAL2",Worksheet!$P$68,IF(J197="CBE2-24",Worksheet!$Q$68,IF(J197="CBAM",Worksheet!$R$68,IF(J197="CBLV",Worksheet!$S$68,IF(J197="CBAB",Worksheet!$U$68,IF(J197="CBAW",Worksheet!$X$68,IF(J197="CBE2-12",Worksheet!$Y$68,IF(J197="CBAL2",Worksheet!$Z$68,"N/A"))))))))," ")</f>
        <v xml:space="preserve"> </v>
      </c>
      <c r="FT197" s="362" t="str">
        <f>IF(L197&gt;0,IF(J197="CBAL2",Worksheet!$P$69,IF(J197="CBE2-24",Worksheet!$Q$69,IF(J197="CBAM",Worksheet!$R$69,IF(J197="CBLV",Worksheet!$S$69,IF(J197="CBAB",Worksheet!$U$69,IF(J197="CBAW",Worksheet!$X$69,IF(J197="CBE2-12",Worksheet!$Y$69,IF(J197="CBAL2",Worksheet!$Z$69,"N/A"))))))))," ")</f>
        <v xml:space="preserve"> </v>
      </c>
      <c r="FU197" s="361" t="str">
        <f t="shared" si="581"/>
        <v xml:space="preserve"> </v>
      </c>
      <c r="FV197" s="362" t="str">
        <f t="shared" si="582"/>
        <v xml:space="preserve"> </v>
      </c>
      <c r="FW197" s="362" t="str">
        <f t="shared" si="583"/>
        <v xml:space="preserve"> </v>
      </c>
      <c r="FX197" s="362" t="str">
        <f t="shared" si="584"/>
        <v xml:space="preserve"> </v>
      </c>
      <c r="FY197" s="355" t="str">
        <f t="shared" si="585"/>
        <v xml:space="preserve"> </v>
      </c>
      <c r="FZ197" s="361" t="str">
        <f t="shared" si="586"/>
        <v xml:space="preserve"> </v>
      </c>
      <c r="GA197" s="347" t="str">
        <f t="shared" si="587"/>
        <v xml:space="preserve"> </v>
      </c>
      <c r="GB197" s="355" t="str">
        <f t="shared" si="588"/>
        <v xml:space="preserve"> </v>
      </c>
      <c r="GC197" s="328" t="str">
        <f t="shared" si="589"/>
        <v xml:space="preserve"> </v>
      </c>
      <c r="GD197" s="361" t="str">
        <f t="shared" si="590"/>
        <v xml:space="preserve"> </v>
      </c>
      <c r="GE197" s="347" t="str">
        <f t="shared" si="591"/>
        <v xml:space="preserve"> </v>
      </c>
      <c r="GF197" s="361" t="str">
        <f t="shared" si="592"/>
        <v xml:space="preserve"> </v>
      </c>
      <c r="GG197" s="347" t="str">
        <f t="shared" si="593"/>
        <v xml:space="preserve"> </v>
      </c>
      <c r="GH197" s="364">
        <f t="shared" si="487"/>
        <v>0</v>
      </c>
      <c r="GI197" s="362">
        <f t="shared" si="594"/>
        <v>2</v>
      </c>
      <c r="GJ197" s="433" t="e">
        <f>IF(6-COUNTBLANK(GT197:GY197)=4,MATCH(MID(BO197,9,3),CLU!$H$16:$K$16),MATCH(MID(BO197,9,3),CLU!$H$13:$M$13))</f>
        <v>#N/A</v>
      </c>
      <c r="GK197" s="433" t="e">
        <f>HLOOKUP(VALUE(BP197),CLU!$H$9:$M$10,2)</f>
        <v>#VALUE!</v>
      </c>
      <c r="GL197" s="433" t="e">
        <f ca="1">MATCH(BU197,CLU!$H$2:$V$2,1)</f>
        <v>#VALUE!</v>
      </c>
      <c r="GM197" s="433" t="e">
        <f t="shared" ca="1" si="595"/>
        <v>#VALUE!</v>
      </c>
      <c r="GN197" s="433" t="e">
        <f t="shared" ca="1" si="596"/>
        <v>#VALUE!</v>
      </c>
      <c r="GO197" s="433" t="e">
        <f t="shared" ca="1" si="597"/>
        <v>#VALUE!</v>
      </c>
      <c r="GP197" s="433" t="e">
        <f t="shared" ca="1" si="598"/>
        <v>#VALUE!</v>
      </c>
      <c r="GQ197" s="433" t="e">
        <f t="shared" ca="1" si="599"/>
        <v>#VALUE!</v>
      </c>
      <c r="GR197" s="433" t="e">
        <f ca="1">MATCH(T197,INDIRECT(VLOOKUP(CONCATENATE(LEFT(BO197,7),"-",MID(BO197,13,1)),CLU!$P$3:$Q$16,2)),1)</f>
        <v>#N/A</v>
      </c>
      <c r="GS197" s="433" t="e">
        <f ca="1">MATCH(U197,INDIRECT(VLOOKUP(CONCATENATE(LEFT(BO197,7),"-",MID(BO197,13,1)),CLU!$P$3:$Q$16,2)),1)</f>
        <v>#N/A</v>
      </c>
      <c r="GT197" s="347" t="s">
        <v>512</v>
      </c>
      <c r="GU197" s="97" t="s">
        <v>513</v>
      </c>
      <c r="GV197" s="97" t="str">
        <f t="shared" si="600"/>
        <v>M23</v>
      </c>
      <c r="GW197" s="97" t="str">
        <f t="shared" si="601"/>
        <v>M31</v>
      </c>
      <c r="GX197" s="97" t="str">
        <f t="shared" si="602"/>
        <v/>
      </c>
      <c r="GY197" s="97" t="str">
        <f t="shared" si="603"/>
        <v/>
      </c>
      <c r="GZ197" s="481"/>
      <c r="HA197" s="288"/>
      <c r="HB197" s="240"/>
      <c r="HC197" s="240"/>
      <c r="HD197" s="240"/>
      <c r="HE197" s="240"/>
      <c r="HF197" s="240"/>
      <c r="HG197" s="240"/>
      <c r="HH197" s="240"/>
      <c r="HI197" s="240"/>
      <c r="HJ197" s="240"/>
      <c r="HK197" s="240"/>
      <c r="HL197" s="240"/>
      <c r="HM197" s="240"/>
      <c r="HN197" s="240"/>
      <c r="HO197" s="240"/>
      <c r="HP197" s="240"/>
      <c r="HQ197" s="240"/>
      <c r="HR197" s="240"/>
      <c r="HS197" s="240"/>
      <c r="HT197" s="240"/>
      <c r="HU197" s="240"/>
      <c r="HV197" s="245"/>
      <c r="HW197" s="245" t="b">
        <v>1</v>
      </c>
      <c r="HX197" s="245" t="str">
        <f t="shared" si="488"/>
        <v/>
      </c>
      <c r="HY197" s="245" t="e">
        <f t="shared" si="489"/>
        <v>#DIV/0!</v>
      </c>
      <c r="HZ197" s="245" t="e">
        <f t="shared" si="490"/>
        <v>#DIV/0!</v>
      </c>
      <c r="IA197" s="245">
        <f t="shared" si="491"/>
        <v>0</v>
      </c>
      <c r="IB197" s="245"/>
      <c r="IC197" t="b">
        <f t="shared" si="492"/>
        <v>1</v>
      </c>
      <c r="ID197" s="245" t="b">
        <f t="shared" si="493"/>
        <v>1</v>
      </c>
      <c r="IE197" s="245" t="b">
        <f t="shared" si="494"/>
        <v>1</v>
      </c>
      <c r="IF197" s="245" t="b">
        <f t="shared" si="495"/>
        <v>0</v>
      </c>
      <c r="IG197" s="245" t="b">
        <f t="shared" si="496"/>
        <v>1</v>
      </c>
      <c r="IH197" s="245" t="b">
        <f t="shared" si="497"/>
        <v>1</v>
      </c>
      <c r="II197" s="245">
        <f t="shared" si="604"/>
        <v>0</v>
      </c>
      <c r="IJ197" s="245" t="e">
        <f t="shared" si="498"/>
        <v>#VALUE!</v>
      </c>
      <c r="IK197" s="245" t="e">
        <f t="shared" si="499"/>
        <v>#VALUE!</v>
      </c>
      <c r="IL197" s="245"/>
      <c r="IM197" s="245" t="e">
        <f t="shared" si="605"/>
        <v>#N/A</v>
      </c>
      <c r="IN197" s="245" t="e">
        <f t="shared" si="606"/>
        <v>#N/A</v>
      </c>
      <c r="IO197" s="245"/>
      <c r="IP197" s="245"/>
      <c r="IQ197" s="245" t="str">
        <f t="shared" si="500"/>
        <v/>
      </c>
      <c r="IR197" s="245" t="str">
        <f>IF(J197="","",VLOOKUP(J197,Worksheet!$R$4:$T$14,2))</f>
        <v/>
      </c>
      <c r="IS197" s="245"/>
      <c r="IT197" s="245">
        <f t="shared" si="501"/>
        <v>0</v>
      </c>
      <c r="IU197" s="245">
        <f t="shared" si="502"/>
        <v>0</v>
      </c>
      <c r="IV197" s="245">
        <f t="shared" si="503"/>
        <v>0</v>
      </c>
      <c r="IW197" s="245">
        <f t="shared" si="504"/>
        <v>0</v>
      </c>
      <c r="IX197" s="245">
        <f t="shared" si="607"/>
        <v>0</v>
      </c>
      <c r="IY197" s="245">
        <f t="shared" si="505"/>
        <v>0</v>
      </c>
      <c r="IZ197" s="245">
        <f t="shared" si="506"/>
        <v>0</v>
      </c>
      <c r="JA197">
        <f t="shared" si="507"/>
        <v>0</v>
      </c>
      <c r="JB197">
        <f t="shared" si="608"/>
        <v>0</v>
      </c>
      <c r="JC197">
        <f t="shared" si="508"/>
        <v>0</v>
      </c>
      <c r="JD197">
        <f t="shared" si="509"/>
        <v>0</v>
      </c>
      <c r="JE197">
        <f t="shared" si="510"/>
        <v>0</v>
      </c>
      <c r="JF197">
        <f t="shared" si="511"/>
        <v>0</v>
      </c>
      <c r="JG197">
        <f t="shared" si="512"/>
        <v>0</v>
      </c>
      <c r="JH197">
        <f t="shared" si="513"/>
        <v>0</v>
      </c>
      <c r="JI197">
        <f t="shared" si="514"/>
        <v>0</v>
      </c>
      <c r="JJ197" s="447">
        <f t="shared" si="515"/>
        <v>0</v>
      </c>
      <c r="JK197" s="447">
        <f t="shared" si="516"/>
        <v>0</v>
      </c>
      <c r="JL197">
        <f t="shared" si="517"/>
        <v>0</v>
      </c>
      <c r="JM197" s="245" t="str">
        <f>IFERROR(VLOOKUP(MATCH(BN197,#REF!,0),#REF!,7),"")</f>
        <v/>
      </c>
      <c r="JN197" t="e">
        <f>HLOOKUP(LEFT(BO197,7),Discharge_Area,MATCH(JO197,LookUps!$B$130:$B$149,1)+2)</f>
        <v>#N/A</v>
      </c>
      <c r="JO197" t="str">
        <f t="shared" si="518"/>
        <v>- S</v>
      </c>
      <c r="JP197" t="e">
        <f>HLOOKUP(LEFT(BO197,7),Discharge_Area,MATCH(JO197,LookUps!$B$130:$B$149,1)+2)</f>
        <v>#N/A</v>
      </c>
      <c r="JQ197" t="e">
        <f t="shared" si="519"/>
        <v>#N/A</v>
      </c>
      <c r="JR197" t="e">
        <f t="shared" si="520"/>
        <v>#N/A</v>
      </c>
      <c r="JS197" t="e">
        <f t="shared" si="521"/>
        <v>#N/A</v>
      </c>
      <c r="JT197" s="532" t="str">
        <f t="shared" si="522"/>
        <v xml:space="preserve"> </v>
      </c>
      <c r="JU197" s="532" t="str">
        <f t="shared" si="523"/>
        <v xml:space="preserve"> </v>
      </c>
      <c r="JV197" s="533" t="str">
        <f t="shared" si="524"/>
        <v xml:space="preserve"> </v>
      </c>
      <c r="JW197" s="534">
        <f t="shared" si="525"/>
        <v>0</v>
      </c>
      <c r="JX197" s="535" t="str">
        <f t="shared" si="609"/>
        <v xml:space="preserve"> </v>
      </c>
      <c r="JY197" s="535" t="str">
        <f t="shared" si="610"/>
        <v xml:space="preserve"> </v>
      </c>
      <c r="JZ197" s="535" t="str">
        <f t="shared" si="611"/>
        <v xml:space="preserve"> </v>
      </c>
      <c r="KA197" s="536" t="str">
        <f t="shared" si="526"/>
        <v xml:space="preserve"> </v>
      </c>
      <c r="KB197" s="535" t="e">
        <f t="shared" si="612"/>
        <v>#VALUE!</v>
      </c>
      <c r="KC197" s="535" t="str">
        <f t="shared" si="527"/>
        <v/>
      </c>
      <c r="KD197" s="537" t="str">
        <f t="shared" si="613"/>
        <v xml:space="preserve"> </v>
      </c>
      <c r="KE197" s="537" t="str">
        <f t="shared" si="614"/>
        <v xml:space="preserve"> </v>
      </c>
      <c r="KF197" s="534">
        <f t="shared" si="528"/>
        <v>0</v>
      </c>
      <c r="KG197" s="535" t="str">
        <f t="shared" si="529"/>
        <v xml:space="preserve"> </v>
      </c>
      <c r="KH197" s="535" t="str">
        <f t="shared" si="530"/>
        <v xml:space="preserve"> </v>
      </c>
      <c r="KI197" s="535" t="str">
        <f t="shared" si="531"/>
        <v xml:space="preserve"> </v>
      </c>
      <c r="KJ197" s="536" t="str">
        <f t="shared" si="532"/>
        <v xml:space="preserve"> </v>
      </c>
      <c r="KK197" s="535" t="str">
        <f t="shared" si="615"/>
        <v xml:space="preserve"> </v>
      </c>
      <c r="KL197" s="535" t="str">
        <f t="shared" si="616"/>
        <v xml:space="preserve"> </v>
      </c>
      <c r="KM197" s="537" t="str">
        <f t="shared" si="533"/>
        <v xml:space="preserve"> </v>
      </c>
      <c r="KN197" s="537" t="str">
        <f t="shared" si="617"/>
        <v xml:space="preserve"> </v>
      </c>
      <c r="KP197">
        <f t="shared" si="534"/>
        <v>0</v>
      </c>
      <c r="LA197" t="e">
        <f t="shared" si="535"/>
        <v>#VALUE!</v>
      </c>
      <c r="LB197" t="e">
        <f t="shared" si="536"/>
        <v>#VALUE!</v>
      </c>
      <c r="LC197" t="e">
        <f t="shared" si="537"/>
        <v>#VALUE!</v>
      </c>
      <c r="LD197" t="e">
        <f t="shared" si="538"/>
        <v>#VALUE!</v>
      </c>
      <c r="LE197" t="e">
        <f t="shared" si="618"/>
        <v>#VALUE!</v>
      </c>
      <c r="LF197">
        <f t="shared" si="539"/>
        <v>0</v>
      </c>
      <c r="LG197" t="e">
        <f t="shared" si="619"/>
        <v>#VALUE!</v>
      </c>
      <c r="LH197" t="str">
        <f t="shared" si="540"/>
        <v xml:space="preserve"> </v>
      </c>
      <c r="LI197">
        <f t="shared" si="620"/>
        <v>1</v>
      </c>
    </row>
    <row r="198" spans="2:321" ht="15" customHeight="1">
      <c r="B198" s="311"/>
      <c r="C198" s="311"/>
      <c r="D198" s="312"/>
      <c r="E198" s="311"/>
      <c r="F198" s="312"/>
      <c r="G198" s="311"/>
      <c r="H198" s="311"/>
      <c r="I198" s="232"/>
      <c r="J198" s="311"/>
      <c r="K198" s="305" t="str">
        <f t="shared" si="541"/>
        <v/>
      </c>
      <c r="L198" s="313"/>
      <c r="M198" s="312"/>
      <c r="N198" s="311"/>
      <c r="O198" s="312"/>
      <c r="P198" s="311"/>
      <c r="Q198" s="305" t="str">
        <f t="shared" si="542"/>
        <v/>
      </c>
      <c r="R198" s="314"/>
      <c r="S198" s="450" t="str">
        <f t="shared" si="425"/>
        <v/>
      </c>
      <c r="T198" s="315"/>
      <c r="U198" s="315"/>
      <c r="W198" s="149" t="str">
        <f t="shared" si="426"/>
        <v xml:space="preserve"> </v>
      </c>
      <c r="X198" s="243" t="str">
        <f t="shared" si="427"/>
        <v xml:space="preserve"> </v>
      </c>
      <c r="Y198" s="150" t="str">
        <f t="shared" si="428"/>
        <v/>
      </c>
      <c r="Z198" s="149" t="str">
        <f t="shared" si="429"/>
        <v xml:space="preserve"> </v>
      </c>
      <c r="AA198" s="98" t="str">
        <f t="shared" si="430"/>
        <v xml:space="preserve"> </v>
      </c>
      <c r="AB198" s="153" t="str">
        <f t="shared" si="431"/>
        <v xml:space="preserve"> </v>
      </c>
      <c r="AC198" s="153" t="str">
        <f t="shared" si="432"/>
        <v xml:space="preserve"> </v>
      </c>
      <c r="AD198" s="148" t="str">
        <f t="shared" si="433"/>
        <v/>
      </c>
      <c r="AE198" s="149" t="str">
        <f t="shared" si="434"/>
        <v/>
      </c>
      <c r="AF198" s="151" t="str">
        <f t="shared" si="435"/>
        <v xml:space="preserve"> </v>
      </c>
      <c r="AG198" s="153" t="str">
        <f t="shared" si="436"/>
        <v xml:space="preserve"> </v>
      </c>
      <c r="AH198" s="98" t="str">
        <f t="shared" si="437"/>
        <v xml:space="preserve"> </v>
      </c>
      <c r="AI198" s="149" t="str">
        <f t="shared" si="438"/>
        <v xml:space="preserve"> </v>
      </c>
      <c r="AK198" s="144" t="str">
        <f t="shared" si="439"/>
        <v xml:space="preserve"> </v>
      </c>
      <c r="AL198" s="144"/>
      <c r="AM198" s="243" t="str">
        <f t="shared" si="440"/>
        <v xml:space="preserve"> </v>
      </c>
      <c r="AN198" s="149" t="str">
        <f t="shared" si="543"/>
        <v xml:space="preserve"> </v>
      </c>
      <c r="AO198" s="144" t="str">
        <f>IF(JB198&gt;0,IF(GI198=10,-R198*1.085*(Calculation!$F$6-Calculation!$F$13)*$S$14," "),"")</f>
        <v/>
      </c>
      <c r="AP198" s="144" t="str">
        <f t="shared" si="441"/>
        <v/>
      </c>
      <c r="AQ198" s="56" t="str">
        <f t="shared" si="442"/>
        <v/>
      </c>
      <c r="AR198" s="144" t="str">
        <f t="shared" si="443"/>
        <v/>
      </c>
      <c r="AS198" s="176" t="str">
        <f t="shared" si="444"/>
        <v/>
      </c>
      <c r="AT198" s="176" t="str">
        <f t="shared" si="544"/>
        <v xml:space="preserve"> </v>
      </c>
      <c r="AU198" s="176" t="str">
        <f t="shared" si="445"/>
        <v/>
      </c>
      <c r="AV198" s="177" t="str">
        <f t="shared" si="446"/>
        <v xml:space="preserve"> </v>
      </c>
      <c r="AW198" s="144" t="str">
        <f t="shared" si="447"/>
        <v xml:space="preserve"> </v>
      </c>
      <c r="AX198" s="144" t="str">
        <f t="shared" si="448"/>
        <v xml:space="preserve"> </v>
      </c>
      <c r="AY198" s="152" t="str">
        <f t="shared" si="449"/>
        <v xml:space="preserve"> </v>
      </c>
      <c r="AZ198" s="246" t="str">
        <f t="shared" si="450"/>
        <v/>
      </c>
      <c r="BA198" s="176" t="str">
        <f t="shared" si="451"/>
        <v xml:space="preserve"> </v>
      </c>
      <c r="BB198" s="176" t="str">
        <f t="shared" si="452"/>
        <v xml:space="preserve"> </v>
      </c>
      <c r="BC198" s="195"/>
      <c r="BD198" s="316"/>
      <c r="BE198" s="317"/>
      <c r="BF198" s="318"/>
      <c r="BG198" s="318"/>
      <c r="BH198" s="144" t="str">
        <f t="shared" si="621"/>
        <v xml:space="preserve"> </v>
      </c>
      <c r="BI198" s="176" t="str">
        <f t="shared" si="453"/>
        <v/>
      </c>
      <c r="BJ198" s="144" t="str">
        <f t="shared" si="622"/>
        <v/>
      </c>
      <c r="BK198" s="246" t="str">
        <f t="shared" si="454"/>
        <v/>
      </c>
      <c r="BL198" s="144" t="str">
        <f t="shared" si="623"/>
        <v/>
      </c>
      <c r="BM198" s="246" t="str">
        <f t="shared" si="455"/>
        <v/>
      </c>
      <c r="BN198" s="337" t="str">
        <f t="shared" si="545"/>
        <v/>
      </c>
      <c r="BO198" s="371" t="str">
        <f t="shared" si="546"/>
        <v/>
      </c>
      <c r="BP198" s="328" t="str">
        <f t="shared" si="624"/>
        <v xml:space="preserve"> </v>
      </c>
      <c r="BQ198" s="347" t="str">
        <f t="shared" si="547"/>
        <v xml:space="preserve"> </v>
      </c>
      <c r="BR198" s="353" t="str">
        <f t="shared" si="548"/>
        <v xml:space="preserve"> </v>
      </c>
      <c r="BS198" s="626" t="str">
        <f>IF(L198&gt;0,IF(Calculation!P198="M13",BR198*3.1416*(0.134^2)/(4*144),IF(Calculation!P198="M17",BR198*3.1416*(0.165^2)/(4*144),IF(Calculation!P198="M20",BR198*3.1416*(0.198^2)/(4*144),IF(Calculation!P198="M23",BR198*3.1416*(0.228^2)/(4*144),IF(Calculation!P198="M27",BR198*3.1416*(0.269^2)/(4*144),BR198*3.1416*(0.307^2)/(4*144))))))," ")</f>
        <v xml:space="preserve"> </v>
      </c>
      <c r="BT198" s="353" t="str">
        <f>IF(L198&gt;0,IF(BS198&gt;0,R198/Calculation!BS198,0)," ")</f>
        <v xml:space="preserve"> </v>
      </c>
      <c r="BU198" s="438" t="e">
        <f t="shared" ca="1" si="456"/>
        <v>#VALUE!</v>
      </c>
      <c r="BV198" s="449" t="e">
        <f ca="1">INDEX(INDIRECT(VLOOKUP(LEFT(BO198,7),CLU!$Z$3:$AH$18,2)),GN198,GR198)</f>
        <v>#N/A</v>
      </c>
      <c r="BW198" s="433" t="e">
        <f ca="1">INDEX(INDIRECT(VLOOKUP(LEFT(BO198,7),CLU!$Z$3:$AH$18,3)),GN198,GR198)</f>
        <v>#N/A</v>
      </c>
      <c r="BX198" s="433" t="e">
        <f ca="1">INDEX(INDIRECT(VLOOKUP(LEFT(BO198,7),CLU!$Z$3:$AH$18,4)),GN198,GR198)</f>
        <v>#N/A</v>
      </c>
      <c r="BY198" s="433" t="e">
        <f ca="1">INDEX(INDIRECT(VLOOKUP(LEFT(BO198,7),CLU!$Z$3:$AH$18,9)),((M198-2)*(6-COUNTBLANK(GT198:GY198)))+GJ198)</f>
        <v>#N/A</v>
      </c>
      <c r="BZ198" s="426" t="e">
        <f t="shared" ca="1" si="549"/>
        <v>#N/A</v>
      </c>
      <c r="CA198" s="424" t="e">
        <f t="shared" ca="1" si="550"/>
        <v>#N/A</v>
      </c>
      <c r="CB198" s="429" t="e">
        <f ca="1">INDEX(INDIRECT(VLOOKUP(LEFT(BO198,7),CLU!$Z$3:$AH$18,2)),GN198,GS198)</f>
        <v>#N/A</v>
      </c>
      <c r="CC198" s="342" t="e">
        <f ca="1">INDEX(INDIRECT(VLOOKUP(LEFT(BO198,7),CLU!$Z$3:$AH$18,3)),GN198,GS198)</f>
        <v>#N/A</v>
      </c>
      <c r="CD198" s="342" t="e">
        <f ca="1">INDEX(INDIRECT(VLOOKUP(LEFT(BO198,7),CLU!$Z$3:$AH$18,4)),GN198,GS198)</f>
        <v>#N/A</v>
      </c>
      <c r="CE198" s="426" t="e">
        <f t="shared" ca="1" si="551"/>
        <v>#N/A</v>
      </c>
      <c r="CF198" s="440">
        <f t="shared" si="552"/>
        <v>0</v>
      </c>
      <c r="CG198" s="431" t="e">
        <f ca="1">INDEX(INDIRECT(VLOOKUP(LEFT(BO198,7),CLU!$Z$3:$AH$18,2)),GQ198,GR198)</f>
        <v>#N/A</v>
      </c>
      <c r="CH198" s="431" t="e">
        <f ca="1">INDEX(INDIRECT(VLOOKUP(LEFT(BO198,7),CLU!$Z$3:$AH$18,3)),GQ198,GR198)</f>
        <v>#N/A</v>
      </c>
      <c r="CI198" s="431" t="e">
        <f ca="1">INDEX(INDIRECT(VLOOKUP(LEFT(BO198,7),CLU!$Z$3:$AH$18,4)),GQ198,GR198)</f>
        <v>#N/A</v>
      </c>
      <c r="CJ198" s="448" t="e">
        <f t="shared" ca="1" si="553"/>
        <v>#N/A</v>
      </c>
      <c r="CK198" s="431" t="e">
        <f t="shared" ca="1" si="554"/>
        <v>#N/A</v>
      </c>
      <c r="CL198" s="440" t="e">
        <f t="shared" ca="1" si="555"/>
        <v>#N/A</v>
      </c>
      <c r="CM198" s="431" t="e">
        <f ca="1">INDEX(INDIRECT(VLOOKUP(LEFT(BO198,7),CLU!$Z$3:$AH$18,2)),GQ198,GS198)</f>
        <v>#N/A</v>
      </c>
      <c r="CN198" s="431" t="e">
        <f ca="1">INDEX(INDIRECT(VLOOKUP(LEFT(BO198,7),CLU!$Z$3:$AH$18,3)),GQ198,GS198)</f>
        <v>#N/A</v>
      </c>
      <c r="CO198" s="431" t="e">
        <f ca="1">INDEX(INDIRECT(VLOOKUP(LEFT(BO198,7),CLU!$Z$3:$AH$18,4)),GQ198,GS198)</f>
        <v>#N/A</v>
      </c>
      <c r="CP198" s="431" t="e">
        <f t="shared" ca="1" si="556"/>
        <v>#N/A</v>
      </c>
      <c r="CQ198" s="440">
        <f t="shared" si="557"/>
        <v>0</v>
      </c>
      <c r="CR198" s="51" t="e">
        <f t="shared" ca="1" si="558"/>
        <v>#N/A</v>
      </c>
      <c r="CS198" s="439" t="e">
        <f t="shared" ca="1" si="559"/>
        <v>#VALUE!</v>
      </c>
      <c r="CT198" s="51" t="e">
        <f t="shared" ca="1" si="560"/>
        <v>#VALUE!</v>
      </c>
      <c r="CU198" s="10"/>
      <c r="CV198" s="51" t="e">
        <f t="shared" ca="1" si="457"/>
        <v>#VALUE!</v>
      </c>
      <c r="CW198" s="51">
        <f t="shared" si="561"/>
        <v>0</v>
      </c>
      <c r="CX198" s="439" t="e">
        <f t="shared" ca="1" si="562"/>
        <v>#VALUE!</v>
      </c>
      <c r="CY198" s="51" t="e">
        <f t="shared" ca="1" si="563"/>
        <v>#VALUE!</v>
      </c>
      <c r="CZ198" s="10"/>
      <c r="DA198" s="51" t="e">
        <f t="shared" ca="1" si="564"/>
        <v>#VALUE!</v>
      </c>
      <c r="DB198" s="347" t="e">
        <f ca="1">INDEX(INDIRECT(VLOOKUP(LEFT(BO198,7),CLU!$Z$3:$AI$18,10)),((M198-2)*(6-COUNTBLANK(GT198:GY198)))+GJ198)*LI198</f>
        <v>#N/A</v>
      </c>
      <c r="DC198" s="347" t="str">
        <f>IF(L198&gt;0,((R198/Worksheet!$I$15)/DB198)^2," ")</f>
        <v xml:space="preserve"> </v>
      </c>
      <c r="DD198" s="602" t="str">
        <f t="shared" si="565"/>
        <v xml:space="preserve"> </v>
      </c>
      <c r="DE198" s="347" t="str">
        <f t="shared" si="458"/>
        <v xml:space="preserve"> </v>
      </c>
      <c r="DF198" s="356" t="e">
        <f ca="1">INDEX(INDIRECT(VLOOKUP(LEFT(BO198,7),CLU!$Z$3:$AH$18,8)),((M198-2)*(6-COUNTBLANK(GT198:GY198)))+GJ198)</f>
        <v>#N/A</v>
      </c>
      <c r="DG198" s="347" t="str">
        <f t="shared" si="459"/>
        <v xml:space="preserve"> </v>
      </c>
      <c r="DH198" s="357" t="str">
        <f t="shared" si="460"/>
        <v xml:space="preserve"> </v>
      </c>
      <c r="DI198" s="355" t="str">
        <f t="shared" si="461"/>
        <v xml:space="preserve"> </v>
      </c>
      <c r="DJ198" s="245" t="e">
        <f ca="1">INDEX(INDIRECT(VLOOKUP(LEFT(BO198,7),CLU!$Z$3:$AH$18,5)),GL198,GK198)</f>
        <v>#N/A</v>
      </c>
      <c r="DK198" s="245" t="e">
        <f ca="1">INDEX(INDIRECT(VLOOKUP(LEFT(BO198,7),CLU!$Z$3:$AH$18,6)),GL198,GK198)</f>
        <v>#N/A</v>
      </c>
      <c r="DL198" s="355">
        <f>(Calculation!R198*0.69143*(Calculation!$BQ$8-Calculation!$F$8))*$S$14</f>
        <v>0</v>
      </c>
      <c r="DM198" s="359" t="e">
        <f t="shared" si="566"/>
        <v>#VALUE!</v>
      </c>
      <c r="DN198" s="611">
        <f t="shared" si="567"/>
        <v>0</v>
      </c>
      <c r="DO198" s="359">
        <f t="shared" si="568"/>
        <v>100</v>
      </c>
      <c r="DP198" s="359">
        <f t="shared" si="569"/>
        <v>0</v>
      </c>
      <c r="DQ198" s="360"/>
      <c r="DR198" s="245" t="e">
        <f ca="1">INDEX(INDIRECT(VLOOKUP(LEFT(BO198,7),CLU!$Z$3:$AH$18,7)),M198-1,1)</f>
        <v>#N/A</v>
      </c>
      <c r="DS198" s="245" t="e">
        <f ca="1">INDEX(INDIRECT(VLOOKUP(LEFT(BO198,7),CLU!$Z$3:$AH$18,7)),M198-1,2)</f>
        <v>#N/A</v>
      </c>
      <c r="DT198" s="245" t="e">
        <f ca="1">INDEX(INDIRECT(VLOOKUP(LEFT(BO198,7),CLU!$Z$3:$AH$18,7)),M198-1,3)</f>
        <v>#N/A</v>
      </c>
      <c r="DU198" s="245" t="e">
        <f ca="1">INDEX(INDIRECT(VLOOKUP(LEFT(BO198,7),CLU!$Z$3:$AH$18,7)),M198-1,4)</f>
        <v>#N/A</v>
      </c>
      <c r="DV198" s="361" t="e">
        <f ca="1">INDEX(INDIRECT(VLOOKUP(LEFT(BO198,7),CLU!$Z$3:$AH$18,7)),M198-1,4+LEFT(DZ198,1)*0.5)</f>
        <v>#N/A</v>
      </c>
      <c r="DW198" s="245" t="e">
        <f ca="1">INDEX(INDIRECT(VLOOKUP(LEFT(BO198,7),CLU!$Z$3:$AH$18,7)),M198-1,8)</f>
        <v>#N/A</v>
      </c>
      <c r="DX198" s="361" t="str">
        <f t="shared" si="462"/>
        <v xml:space="preserve"> </v>
      </c>
      <c r="DY198" s="361" t="str">
        <f t="shared" si="463"/>
        <v xml:space="preserve"> </v>
      </c>
      <c r="DZ198" s="361" t="str">
        <f t="shared" si="464"/>
        <v xml:space="preserve"> </v>
      </c>
      <c r="EA198" s="362" t="str">
        <f t="shared" si="465"/>
        <v xml:space="preserve"> </v>
      </c>
      <c r="EB198" s="624" t="str">
        <f t="shared" si="570"/>
        <v xml:space="preserve"> </v>
      </c>
      <c r="EC198" s="361" t="e">
        <f ca="1">INDEX(INDIRECT(VLOOKUP(LEFT(BO198,7),CLU!$Z$3:$AH$18,7)),M198-1,4+LEFT(DZ198,1)*0.5)</f>
        <v>#N/A</v>
      </c>
      <c r="ED198" s="362" t="str">
        <f t="shared" si="466"/>
        <v xml:space="preserve"> </v>
      </c>
      <c r="EE198" s="361" t="str">
        <f t="shared" si="467"/>
        <v xml:space="preserve"> </v>
      </c>
      <c r="EF198" s="362" t="str">
        <f>IF(L198&gt;0,IF(BR198&gt;0,IF(EE198="2P",IF(Calculation!DZ198="2P",IF(Calculation!DS198=13.75,IF(Calculation!DR198=13,Worksheet!$BD$43,IF(Calculation!DR198=37,Worksheet!$BD$44,Worksheet!$BD$45)),IF(Calculation!DS198=10,IF(Calculation!DR198=18,Worksheet!$BD$29,IF(Calculation!DR198=30,Worksheet!$BD$30,IF(Calculation!DR198=42,Worksheet!$BD$31,IF(Calculation!DR198=54,Worksheet!$BD$32,IF(Calculation!DR198=66,Worksheet!$BD$33,IF(Calculation!DR198=78,Worksheet!$BD$34,IF(Calculation!DR198=90,Worksheet!$BD$35,IF(Calculation!DR198=102,Worksheet!$BD$36,Worksheet!$BD$37)))))))),IF(Calculation!DS198=12.5,IF(Calculation!DR198=18,Worksheet!$BD$38,IF(Calculation!DR198=Worksheet!$BD$39,IF(Calculation!DR198=42,Worksheet!$BD$40,IF(Calculation!DR198=54,Worksheet!$BD$41,Worksheet!$BD$42)))),IF(Calculation!DR198=18,Worksheet!$BD$11,IF(Calculation!DR198=30,Worksheet!$BD$12,IF(Calculation!DR198=42,Worksheet!$BD$13,IF(Calculation!DR198=54,Worksheet!$BD$14,IF(Calculation!DR198=66,Worksheet!$BD$15,IF(Calculation!DR198=78,Worksheet!$BD$16,IF(Calculation!DR198=90,Worksheet!$BD$17,IF(Calculation!DR198=102,Worksheet!$BD$18,Worksheet!$BD$19))))))))))),IF(Calculation!DS198=13.75,IF(Calculation!DR198=13,Worksheet!$BD$78,IF(Calculation!DR198=37,Worksheet!$BD$79,Worksheet!$BD$80)),IF(Calculation!DS198=10,IF(Calculation!DR198=18,Worksheet!$BD$64,IF(Calculation!DR198=30,Worksheet!$BD$65,IF(Calculation!DR198=42,Worksheet!$BD$66,IF(Calculation!DR198=54,Worksheet!$BD$68,IF(Calculation!DR198=66,Worksheet!$BD$68,IF(Calculation!DR198=78,Worksheet!$BD$69,IF(Calculation!DR198=90,Worksheet!$BD$70,IF(Calculation!DR198=102,Worksheet!$BD$71,Worksheet!$BD$72)))))))),IF(Calculation!DS198=12.5,IF(Calculation!DR198=18,Worksheet!$BD$73,IF(Calculation!DR198=Worksheet!$BD$74,IF(Calculation!DR198=42,Worksheet!$BD$75,IF(Calculation!DR198=54,Worksheet!$BD$76,Worksheet!$BD$77)))),IF(Calculation!DR198=18,Worksheet!$BD$55,IF(Calculation!DR198=30,Worksheet!$BD$56,IF(Calculation!DR198=42,Worksheet!$BD$57,IF(Calculation!DR198=54,Worksheet!$BD$58,IF(Calculation!DR198=66,Worksheet!$BD$59,IF(Calculation!DR198=78,Worksheet!$BD$60,IF(Calculation!DR198=90,Worksheet!$BD$61,IF(Calculation!DR198=102,Worksheet!$BD$62,Worksheet!$BD$63)))))))))))),5),0)," ")</f>
        <v xml:space="preserve"> </v>
      </c>
      <c r="EG198" s="361" t="str">
        <f t="shared" si="468"/>
        <v xml:space="preserve"> </v>
      </c>
      <c r="EH198" s="361" t="e">
        <f ca="1">INDEX(INDIRECT(VLOOKUP(LEFT(BO198,7),CLU!$Z$3:$AH$18,7)),M198-1,3+LEFT(DZ198,1))</f>
        <v>#N/A</v>
      </c>
      <c r="EI198" s="362" t="str">
        <f t="shared" si="469"/>
        <v xml:space="preserve"> </v>
      </c>
      <c r="EJ198" s="363" t="str">
        <f t="shared" si="470"/>
        <v xml:space="preserve"> </v>
      </c>
      <c r="EK198" s="363" t="str">
        <f t="shared" si="471"/>
        <v xml:space="preserve"> </v>
      </c>
      <c r="EL198" s="363" t="str">
        <f t="shared" si="472"/>
        <v xml:space="preserve"> </v>
      </c>
      <c r="EM198" s="362" t="str">
        <f>IF(L198&gt;0,IF(BR198&gt;0,(Calculation!T198/ED198)^2,0)," ")</f>
        <v xml:space="preserve"> </v>
      </c>
      <c r="EN198" s="362" t="str">
        <f>IF(L198&gt;0,IF(O198="2 Pipe (Cooling)","N/A",IF(BR198&gt;0,(Calculation!U198/EI198)^2,0))," ")</f>
        <v xml:space="preserve"> </v>
      </c>
      <c r="EO198" s="361" t="str">
        <f t="shared" si="473"/>
        <v/>
      </c>
      <c r="EP198" s="361" t="str">
        <f t="shared" si="474"/>
        <v/>
      </c>
      <c r="EQ198" s="361" t="str">
        <f t="shared" si="475"/>
        <v/>
      </c>
      <c r="ER198" s="361" t="str">
        <f t="shared" si="476"/>
        <v/>
      </c>
      <c r="ES198" s="361" t="str">
        <f t="shared" si="477"/>
        <v/>
      </c>
      <c r="ET198" s="361" t="str">
        <f t="shared" si="478"/>
        <v/>
      </c>
      <c r="EU198" s="361" t="str">
        <f t="shared" si="479"/>
        <v/>
      </c>
      <c r="EV198" s="361" t="str">
        <f t="shared" si="480"/>
        <v/>
      </c>
      <c r="EW198" s="361" t="str">
        <f t="shared" si="481"/>
        <v/>
      </c>
      <c r="EX198" s="361" t="str">
        <f t="shared" si="571"/>
        <v>1 slot, 1 way</v>
      </c>
      <c r="EY198" s="361" t="str">
        <f t="shared" si="572"/>
        <v xml:space="preserve"> </v>
      </c>
      <c r="EZ198" s="361" t="str">
        <f t="shared" si="573"/>
        <v xml:space="preserve"> </v>
      </c>
      <c r="FA198" s="361" t="str">
        <f t="shared" si="574"/>
        <v xml:space="preserve"> </v>
      </c>
      <c r="FB198" s="361" t="str">
        <f t="shared" si="575"/>
        <v xml:space="preserve"> </v>
      </c>
      <c r="FC198" s="361"/>
      <c r="FD198" s="361" t="str">
        <f>IF(J198&gt;0,IF(Calculation!R198&lt;=70,4,IF(Calculation!R198&lt;=110,5,IF(Calculation!R198&lt;=160,6,IF(Calculation!R198&lt;=300,8,"10 EO")))),"")</f>
        <v/>
      </c>
      <c r="FE198" s="361" t="str">
        <f t="shared" si="576"/>
        <v/>
      </c>
      <c r="FF198" s="361" t="str">
        <f t="shared" si="577"/>
        <v/>
      </c>
      <c r="FG198" s="361" t="e">
        <f t="shared" si="482"/>
        <v>#N/A</v>
      </c>
      <c r="FH198" s="361">
        <f t="shared" si="483"/>
        <v>0</v>
      </c>
      <c r="FI198" s="361" t="e">
        <f t="shared" si="484"/>
        <v>#DIV/0!</v>
      </c>
      <c r="FJ198" s="361"/>
      <c r="FK198" s="356" t="e">
        <f t="shared" si="485"/>
        <v>#VALUE!</v>
      </c>
      <c r="FL198" s="361"/>
      <c r="FM198" s="361"/>
      <c r="FN198" s="362" t="str">
        <f t="shared" si="578"/>
        <v xml:space="preserve"> </v>
      </c>
      <c r="FO198" s="362" t="str">
        <f t="shared" si="579"/>
        <v xml:space="preserve"> </v>
      </c>
      <c r="FP198" s="362">
        <f t="shared" si="580"/>
        <v>0</v>
      </c>
      <c r="FQ198" s="361">
        <f t="shared" si="486"/>
        <v>0</v>
      </c>
      <c r="FR198" s="362" t="str">
        <f>IF(L198&gt;0,IF(J198="CBAL2",Worksheet!$P$67,IF(J198="CBE2-24",Worksheet!$Q$67,IF(J198="CBAM",Worksheet!$R$67,IF(J198="CBLV",Worksheet!$S$67,IF(J198="CBAB",Worksheet!$U$67,IF(J198="CBAW",Worksheet!$X$67,IF(J198="CBE2-12",Worksheet!$Y$67,IF(J198="CBAL2",Worksheet!$Z$67,"N/A"))))))))," ")</f>
        <v xml:space="preserve"> </v>
      </c>
      <c r="FS198" s="362" t="str">
        <f>IF(L198&gt;0,IF(J198="CBAL2",Worksheet!$P$68,IF(J198="CBE2-24",Worksheet!$Q$68,IF(J198="CBAM",Worksheet!$R$68,IF(J198="CBLV",Worksheet!$S$68,IF(J198="CBAB",Worksheet!$U$68,IF(J198="CBAW",Worksheet!$X$68,IF(J198="CBE2-12",Worksheet!$Y$68,IF(J198="CBAL2",Worksheet!$Z$68,"N/A"))))))))," ")</f>
        <v xml:space="preserve"> </v>
      </c>
      <c r="FT198" s="362" t="str">
        <f>IF(L198&gt;0,IF(J198="CBAL2",Worksheet!$P$69,IF(J198="CBE2-24",Worksheet!$Q$69,IF(J198="CBAM",Worksheet!$R$69,IF(J198="CBLV",Worksheet!$S$69,IF(J198="CBAB",Worksheet!$U$69,IF(J198="CBAW",Worksheet!$X$69,IF(J198="CBE2-12",Worksheet!$Y$69,IF(J198="CBAL2",Worksheet!$Z$69,"N/A"))))))))," ")</f>
        <v xml:space="preserve"> </v>
      </c>
      <c r="FU198" s="361" t="str">
        <f t="shared" si="581"/>
        <v xml:space="preserve"> </v>
      </c>
      <c r="FV198" s="362" t="str">
        <f t="shared" si="582"/>
        <v xml:space="preserve"> </v>
      </c>
      <c r="FW198" s="362" t="str">
        <f t="shared" si="583"/>
        <v xml:space="preserve"> </v>
      </c>
      <c r="FX198" s="362" t="str">
        <f t="shared" si="584"/>
        <v xml:space="preserve"> </v>
      </c>
      <c r="FY198" s="355" t="str">
        <f t="shared" si="585"/>
        <v xml:space="preserve"> </v>
      </c>
      <c r="FZ198" s="361" t="str">
        <f t="shared" si="586"/>
        <v xml:space="preserve"> </v>
      </c>
      <c r="GA198" s="347" t="str">
        <f t="shared" si="587"/>
        <v xml:space="preserve"> </v>
      </c>
      <c r="GB198" s="355" t="str">
        <f t="shared" si="588"/>
        <v xml:space="preserve"> </v>
      </c>
      <c r="GC198" s="328" t="str">
        <f t="shared" si="589"/>
        <v xml:space="preserve"> </v>
      </c>
      <c r="GD198" s="361" t="str">
        <f t="shared" si="590"/>
        <v xml:space="preserve"> </v>
      </c>
      <c r="GE198" s="347" t="str">
        <f t="shared" si="591"/>
        <v xml:space="preserve"> </v>
      </c>
      <c r="GF198" s="361" t="str">
        <f t="shared" si="592"/>
        <v xml:space="preserve"> </v>
      </c>
      <c r="GG198" s="347" t="str">
        <f t="shared" si="593"/>
        <v xml:space="preserve"> </v>
      </c>
      <c r="GH198" s="364">
        <f t="shared" si="487"/>
        <v>0</v>
      </c>
      <c r="GI198" s="362">
        <f t="shared" si="594"/>
        <v>2</v>
      </c>
      <c r="GJ198" s="433" t="e">
        <f>IF(6-COUNTBLANK(GT198:GY198)=4,MATCH(MID(BO198,9,3),CLU!$H$16:$K$16),MATCH(MID(BO198,9,3),CLU!$H$13:$M$13))</f>
        <v>#N/A</v>
      </c>
      <c r="GK198" s="433" t="e">
        <f>HLOOKUP(VALUE(BP198),CLU!$H$9:$M$10,2)</f>
        <v>#VALUE!</v>
      </c>
      <c r="GL198" s="433" t="e">
        <f ca="1">MATCH(BU198,CLU!$H$2:$V$2,1)</f>
        <v>#VALUE!</v>
      </c>
      <c r="GM198" s="433" t="e">
        <f t="shared" ca="1" si="595"/>
        <v>#VALUE!</v>
      </c>
      <c r="GN198" s="433" t="e">
        <f t="shared" ca="1" si="596"/>
        <v>#VALUE!</v>
      </c>
      <c r="GO198" s="433" t="e">
        <f t="shared" ca="1" si="597"/>
        <v>#VALUE!</v>
      </c>
      <c r="GP198" s="433" t="e">
        <f t="shared" ca="1" si="598"/>
        <v>#VALUE!</v>
      </c>
      <c r="GQ198" s="433" t="e">
        <f t="shared" ca="1" si="599"/>
        <v>#VALUE!</v>
      </c>
      <c r="GR198" s="433" t="e">
        <f ca="1">MATCH(T198,INDIRECT(VLOOKUP(CONCATENATE(LEFT(BO198,7),"-",MID(BO198,13,1)),CLU!$P$3:$Q$16,2)),1)</f>
        <v>#N/A</v>
      </c>
      <c r="GS198" s="433" t="e">
        <f ca="1">MATCH(U198,INDIRECT(VLOOKUP(CONCATENATE(LEFT(BO198,7),"-",MID(BO198,13,1)),CLU!$P$3:$Q$16,2)),1)</f>
        <v>#N/A</v>
      </c>
      <c r="GT198" s="347" t="s">
        <v>512</v>
      </c>
      <c r="GU198" s="97" t="s">
        <v>513</v>
      </c>
      <c r="GV198" s="97" t="str">
        <f t="shared" si="600"/>
        <v>M23</v>
      </c>
      <c r="GW198" s="97" t="str">
        <f t="shared" si="601"/>
        <v>M31</v>
      </c>
      <c r="GX198" s="97" t="str">
        <f t="shared" si="602"/>
        <v/>
      </c>
      <c r="GY198" s="97" t="str">
        <f t="shared" si="603"/>
        <v/>
      </c>
      <c r="GZ198" s="481"/>
      <c r="HA198" s="288"/>
      <c r="HB198" s="240"/>
      <c r="HC198" s="240"/>
      <c r="HD198" s="240"/>
      <c r="HE198" s="240"/>
      <c r="HF198" s="240"/>
      <c r="HG198" s="240"/>
      <c r="HH198" s="240"/>
      <c r="HI198" s="240"/>
      <c r="HJ198" s="240"/>
      <c r="HK198" s="240"/>
      <c r="HL198" s="240"/>
      <c r="HM198" s="240"/>
      <c r="HN198" s="240"/>
      <c r="HO198" s="240"/>
      <c r="HP198" s="240"/>
      <c r="HQ198" s="240"/>
      <c r="HR198" s="240"/>
      <c r="HS198" s="240"/>
      <c r="HT198" s="240"/>
      <c r="HU198" s="240"/>
      <c r="HV198" s="245"/>
      <c r="HW198" s="245" t="b">
        <v>1</v>
      </c>
      <c r="HX198" s="245" t="str">
        <f t="shared" si="488"/>
        <v/>
      </c>
      <c r="HY198" s="245" t="e">
        <f t="shared" si="489"/>
        <v>#DIV/0!</v>
      </c>
      <c r="HZ198" s="245" t="e">
        <f t="shared" si="490"/>
        <v>#DIV/0!</v>
      </c>
      <c r="IA198" s="245">
        <f t="shared" si="491"/>
        <v>0</v>
      </c>
      <c r="IB198" s="245"/>
      <c r="IC198" t="b">
        <f t="shared" si="492"/>
        <v>1</v>
      </c>
      <c r="ID198" s="245" t="b">
        <f t="shared" si="493"/>
        <v>1</v>
      </c>
      <c r="IE198" s="245" t="b">
        <f t="shared" si="494"/>
        <v>1</v>
      </c>
      <c r="IF198" s="245" t="b">
        <f t="shared" si="495"/>
        <v>0</v>
      </c>
      <c r="IG198" s="245" t="b">
        <f t="shared" si="496"/>
        <v>1</v>
      </c>
      <c r="IH198" s="245" t="b">
        <f t="shared" si="497"/>
        <v>1</v>
      </c>
      <c r="II198" s="245">
        <f t="shared" si="604"/>
        <v>0</v>
      </c>
      <c r="IJ198" s="245" t="e">
        <f t="shared" si="498"/>
        <v>#VALUE!</v>
      </c>
      <c r="IK198" s="245" t="e">
        <f t="shared" si="499"/>
        <v>#VALUE!</v>
      </c>
      <c r="IL198" s="245"/>
      <c r="IM198" s="245" t="e">
        <f t="shared" si="605"/>
        <v>#N/A</v>
      </c>
      <c r="IN198" s="245" t="e">
        <f t="shared" si="606"/>
        <v>#N/A</v>
      </c>
      <c r="IO198" s="245"/>
      <c r="IP198" s="245"/>
      <c r="IQ198" s="245" t="str">
        <f t="shared" si="500"/>
        <v/>
      </c>
      <c r="IR198" s="245" t="str">
        <f>IF(J198="","",VLOOKUP(J198,Worksheet!$R$4:$T$14,2))</f>
        <v/>
      </c>
      <c r="IS198" s="245"/>
      <c r="IT198" s="245">
        <f t="shared" si="501"/>
        <v>0</v>
      </c>
      <c r="IU198" s="245">
        <f t="shared" si="502"/>
        <v>0</v>
      </c>
      <c r="IV198" s="245">
        <f t="shared" si="503"/>
        <v>0</v>
      </c>
      <c r="IW198" s="245">
        <f t="shared" si="504"/>
        <v>0</v>
      </c>
      <c r="IX198" s="245">
        <f t="shared" si="607"/>
        <v>0</v>
      </c>
      <c r="IY198" s="245">
        <f t="shared" si="505"/>
        <v>0</v>
      </c>
      <c r="IZ198" s="245">
        <f t="shared" si="506"/>
        <v>0</v>
      </c>
      <c r="JA198">
        <f t="shared" si="507"/>
        <v>0</v>
      </c>
      <c r="JB198">
        <f t="shared" si="608"/>
        <v>0</v>
      </c>
      <c r="JC198">
        <f t="shared" si="508"/>
        <v>0</v>
      </c>
      <c r="JD198">
        <f t="shared" si="509"/>
        <v>0</v>
      </c>
      <c r="JE198">
        <f t="shared" si="510"/>
        <v>0</v>
      </c>
      <c r="JF198">
        <f t="shared" si="511"/>
        <v>0</v>
      </c>
      <c r="JG198">
        <f t="shared" si="512"/>
        <v>0</v>
      </c>
      <c r="JH198">
        <f t="shared" si="513"/>
        <v>0</v>
      </c>
      <c r="JI198">
        <f t="shared" si="514"/>
        <v>0</v>
      </c>
      <c r="JJ198" s="447">
        <f t="shared" si="515"/>
        <v>0</v>
      </c>
      <c r="JK198" s="447">
        <f t="shared" si="516"/>
        <v>0</v>
      </c>
      <c r="JL198">
        <f t="shared" si="517"/>
        <v>0</v>
      </c>
      <c r="JM198" s="245" t="str">
        <f>IFERROR(VLOOKUP(MATCH(BN198,#REF!,0),#REF!,7),"")</f>
        <v/>
      </c>
      <c r="JN198" t="e">
        <f>HLOOKUP(LEFT(BO198,7),Discharge_Area,MATCH(JO198,LookUps!$B$130:$B$149,1)+2)</f>
        <v>#N/A</v>
      </c>
      <c r="JO198" t="str">
        <f t="shared" si="518"/>
        <v>- S</v>
      </c>
      <c r="JP198" t="e">
        <f>HLOOKUP(LEFT(BO198,7),Discharge_Area,MATCH(JO198,LookUps!$B$130:$B$149,1)+2)</f>
        <v>#N/A</v>
      </c>
      <c r="JQ198" t="e">
        <f t="shared" si="519"/>
        <v>#N/A</v>
      </c>
      <c r="JR198" t="e">
        <f t="shared" si="520"/>
        <v>#N/A</v>
      </c>
      <c r="JS198" t="e">
        <f t="shared" si="521"/>
        <v>#N/A</v>
      </c>
      <c r="JT198" s="532" t="str">
        <f t="shared" si="522"/>
        <v xml:space="preserve"> </v>
      </c>
      <c r="JU198" s="532" t="str">
        <f t="shared" si="523"/>
        <v xml:space="preserve"> </v>
      </c>
      <c r="JV198" s="533" t="str">
        <f t="shared" si="524"/>
        <v xml:space="preserve"> </v>
      </c>
      <c r="JW198" s="534">
        <f t="shared" si="525"/>
        <v>0</v>
      </c>
      <c r="JX198" s="535" t="str">
        <f t="shared" si="609"/>
        <v xml:space="preserve"> </v>
      </c>
      <c r="JY198" s="535" t="str">
        <f t="shared" si="610"/>
        <v xml:space="preserve"> </v>
      </c>
      <c r="JZ198" s="535" t="str">
        <f t="shared" si="611"/>
        <v xml:space="preserve"> </v>
      </c>
      <c r="KA198" s="536" t="str">
        <f t="shared" si="526"/>
        <v xml:space="preserve"> </v>
      </c>
      <c r="KB198" s="535" t="e">
        <f t="shared" si="612"/>
        <v>#VALUE!</v>
      </c>
      <c r="KC198" s="535" t="str">
        <f t="shared" si="527"/>
        <v/>
      </c>
      <c r="KD198" s="537" t="str">
        <f t="shared" si="613"/>
        <v xml:space="preserve"> </v>
      </c>
      <c r="KE198" s="537" t="str">
        <f t="shared" si="614"/>
        <v xml:space="preserve"> </v>
      </c>
      <c r="KF198" s="534">
        <f t="shared" si="528"/>
        <v>0</v>
      </c>
      <c r="KG198" s="535" t="str">
        <f t="shared" si="529"/>
        <v xml:space="preserve"> </v>
      </c>
      <c r="KH198" s="535" t="str">
        <f t="shared" si="530"/>
        <v xml:space="preserve"> </v>
      </c>
      <c r="KI198" s="535" t="str">
        <f t="shared" si="531"/>
        <v xml:space="preserve"> </v>
      </c>
      <c r="KJ198" s="536" t="str">
        <f t="shared" si="532"/>
        <v xml:space="preserve"> </v>
      </c>
      <c r="KK198" s="535" t="str">
        <f t="shared" si="615"/>
        <v xml:space="preserve"> </v>
      </c>
      <c r="KL198" s="535" t="str">
        <f t="shared" si="616"/>
        <v xml:space="preserve"> </v>
      </c>
      <c r="KM198" s="537" t="str">
        <f t="shared" si="533"/>
        <v xml:space="preserve"> </v>
      </c>
      <c r="KN198" s="537" t="str">
        <f t="shared" si="617"/>
        <v xml:space="preserve"> </v>
      </c>
      <c r="KP198">
        <f t="shared" si="534"/>
        <v>0</v>
      </c>
      <c r="LA198" t="e">
        <f t="shared" si="535"/>
        <v>#VALUE!</v>
      </c>
      <c r="LB198" t="e">
        <f t="shared" si="536"/>
        <v>#VALUE!</v>
      </c>
      <c r="LC198" t="e">
        <f t="shared" si="537"/>
        <v>#VALUE!</v>
      </c>
      <c r="LD198" t="e">
        <f t="shared" si="538"/>
        <v>#VALUE!</v>
      </c>
      <c r="LE198" t="e">
        <f t="shared" si="618"/>
        <v>#VALUE!</v>
      </c>
      <c r="LF198">
        <f t="shared" si="539"/>
        <v>0</v>
      </c>
      <c r="LG198" t="e">
        <f t="shared" si="619"/>
        <v>#VALUE!</v>
      </c>
      <c r="LH198" t="str">
        <f t="shared" si="540"/>
        <v xml:space="preserve"> </v>
      </c>
      <c r="LI198">
        <f t="shared" si="620"/>
        <v>1</v>
      </c>
    </row>
    <row r="199" spans="2:321" ht="15" customHeight="1">
      <c r="B199" s="311"/>
      <c r="C199" s="311"/>
      <c r="D199" s="312"/>
      <c r="E199" s="311"/>
      <c r="F199" s="312"/>
      <c r="G199" s="311"/>
      <c r="H199" s="311"/>
      <c r="I199" s="232"/>
      <c r="J199" s="311"/>
      <c r="K199" s="305" t="str">
        <f t="shared" si="541"/>
        <v/>
      </c>
      <c r="L199" s="313"/>
      <c r="M199" s="312"/>
      <c r="N199" s="311"/>
      <c r="O199" s="312"/>
      <c r="P199" s="311"/>
      <c r="Q199" s="305" t="str">
        <f t="shared" si="542"/>
        <v/>
      </c>
      <c r="R199" s="314"/>
      <c r="S199" s="450" t="str">
        <f t="shared" si="425"/>
        <v/>
      </c>
      <c r="T199" s="315"/>
      <c r="U199" s="315"/>
      <c r="W199" s="149" t="str">
        <f t="shared" si="426"/>
        <v xml:space="preserve"> </v>
      </c>
      <c r="X199" s="243" t="str">
        <f t="shared" si="427"/>
        <v xml:space="preserve"> </v>
      </c>
      <c r="Y199" s="150" t="str">
        <f t="shared" si="428"/>
        <v/>
      </c>
      <c r="Z199" s="149" t="str">
        <f t="shared" si="429"/>
        <v xml:space="preserve"> </v>
      </c>
      <c r="AA199" s="98" t="str">
        <f t="shared" si="430"/>
        <v xml:space="preserve"> </v>
      </c>
      <c r="AB199" s="153" t="str">
        <f t="shared" si="431"/>
        <v xml:space="preserve"> </v>
      </c>
      <c r="AC199" s="153" t="str">
        <f t="shared" si="432"/>
        <v xml:space="preserve"> </v>
      </c>
      <c r="AD199" s="148" t="str">
        <f t="shared" si="433"/>
        <v/>
      </c>
      <c r="AE199" s="149" t="str">
        <f t="shared" si="434"/>
        <v/>
      </c>
      <c r="AF199" s="151" t="str">
        <f t="shared" si="435"/>
        <v xml:space="preserve"> </v>
      </c>
      <c r="AG199" s="153" t="str">
        <f t="shared" si="436"/>
        <v xml:space="preserve"> </v>
      </c>
      <c r="AH199" s="98" t="str">
        <f t="shared" si="437"/>
        <v xml:space="preserve"> </v>
      </c>
      <c r="AI199" s="149" t="str">
        <f t="shared" si="438"/>
        <v xml:space="preserve"> </v>
      </c>
      <c r="AK199" s="144" t="str">
        <f t="shared" si="439"/>
        <v xml:space="preserve"> </v>
      </c>
      <c r="AL199" s="144"/>
      <c r="AM199" s="243" t="str">
        <f t="shared" si="440"/>
        <v xml:space="preserve"> </v>
      </c>
      <c r="AN199" s="149" t="str">
        <f t="shared" si="543"/>
        <v xml:space="preserve"> </v>
      </c>
      <c r="AO199" s="144" t="str">
        <f>IF(JB199&gt;0,IF(GI199=10,-R199*1.085*(Calculation!$F$6-Calculation!$F$13)*$S$14," "),"")</f>
        <v/>
      </c>
      <c r="AP199" s="144" t="str">
        <f t="shared" si="441"/>
        <v/>
      </c>
      <c r="AQ199" s="56" t="str">
        <f t="shared" si="442"/>
        <v/>
      </c>
      <c r="AR199" s="144" t="str">
        <f t="shared" si="443"/>
        <v/>
      </c>
      <c r="AS199" s="176" t="str">
        <f t="shared" si="444"/>
        <v/>
      </c>
      <c r="AT199" s="176" t="str">
        <f t="shared" si="544"/>
        <v xml:space="preserve"> </v>
      </c>
      <c r="AU199" s="176" t="str">
        <f t="shared" si="445"/>
        <v/>
      </c>
      <c r="AV199" s="177" t="str">
        <f t="shared" si="446"/>
        <v xml:space="preserve"> </v>
      </c>
      <c r="AW199" s="144" t="str">
        <f t="shared" si="447"/>
        <v xml:space="preserve"> </v>
      </c>
      <c r="AX199" s="144" t="str">
        <f t="shared" si="448"/>
        <v xml:space="preserve"> </v>
      </c>
      <c r="AY199" s="152" t="str">
        <f t="shared" si="449"/>
        <v xml:space="preserve"> </v>
      </c>
      <c r="AZ199" s="246" t="str">
        <f t="shared" si="450"/>
        <v/>
      </c>
      <c r="BA199" s="176" t="str">
        <f t="shared" si="451"/>
        <v xml:space="preserve"> </v>
      </c>
      <c r="BB199" s="176" t="str">
        <f t="shared" si="452"/>
        <v xml:space="preserve"> </v>
      </c>
      <c r="BC199" s="195"/>
      <c r="BD199" s="316"/>
      <c r="BE199" s="317"/>
      <c r="BF199" s="318"/>
      <c r="BG199" s="318"/>
      <c r="BH199" s="144" t="str">
        <f t="shared" si="621"/>
        <v xml:space="preserve"> </v>
      </c>
      <c r="BI199" s="176" t="str">
        <f t="shared" si="453"/>
        <v/>
      </c>
      <c r="BJ199" s="144" t="str">
        <f t="shared" si="622"/>
        <v/>
      </c>
      <c r="BK199" s="246" t="str">
        <f t="shared" si="454"/>
        <v/>
      </c>
      <c r="BL199" s="144" t="str">
        <f t="shared" si="623"/>
        <v/>
      </c>
      <c r="BM199" s="246" t="str">
        <f t="shared" si="455"/>
        <v/>
      </c>
      <c r="BN199" s="337" t="str">
        <f t="shared" si="545"/>
        <v/>
      </c>
      <c r="BO199" s="371" t="str">
        <f t="shared" si="546"/>
        <v/>
      </c>
      <c r="BP199" s="328" t="str">
        <f t="shared" si="624"/>
        <v xml:space="preserve"> </v>
      </c>
      <c r="BQ199" s="347" t="str">
        <f t="shared" si="547"/>
        <v xml:space="preserve"> </v>
      </c>
      <c r="BR199" s="353" t="str">
        <f t="shared" si="548"/>
        <v xml:space="preserve"> </v>
      </c>
      <c r="BS199" s="626" t="str">
        <f>IF(L199&gt;0,IF(Calculation!P199="M13",BR199*3.1416*(0.134^2)/(4*144),IF(Calculation!P199="M17",BR199*3.1416*(0.165^2)/(4*144),IF(Calculation!P199="M20",BR199*3.1416*(0.198^2)/(4*144),IF(Calculation!P199="M23",BR199*3.1416*(0.228^2)/(4*144),IF(Calculation!P199="M27",BR199*3.1416*(0.269^2)/(4*144),BR199*3.1416*(0.307^2)/(4*144))))))," ")</f>
        <v xml:space="preserve"> </v>
      </c>
      <c r="BT199" s="353" t="str">
        <f>IF(L199&gt;0,IF(BS199&gt;0,R199/Calculation!BS199,0)," ")</f>
        <v xml:space="preserve"> </v>
      </c>
      <c r="BU199" s="438" t="e">
        <f t="shared" ca="1" si="456"/>
        <v>#VALUE!</v>
      </c>
      <c r="BV199" s="449" t="e">
        <f ca="1">INDEX(INDIRECT(VLOOKUP(LEFT(BO199,7),CLU!$Z$3:$AH$18,2)),GN199,GR199)</f>
        <v>#N/A</v>
      </c>
      <c r="BW199" s="433" t="e">
        <f ca="1">INDEX(INDIRECT(VLOOKUP(LEFT(BO199,7),CLU!$Z$3:$AH$18,3)),GN199,GR199)</f>
        <v>#N/A</v>
      </c>
      <c r="BX199" s="433" t="e">
        <f ca="1">INDEX(INDIRECT(VLOOKUP(LEFT(BO199,7),CLU!$Z$3:$AH$18,4)),GN199,GR199)</f>
        <v>#N/A</v>
      </c>
      <c r="BY199" s="433" t="e">
        <f ca="1">INDEX(INDIRECT(VLOOKUP(LEFT(BO199,7),CLU!$Z$3:$AH$18,9)),((M199-2)*(6-COUNTBLANK(GT199:GY199)))+GJ199)</f>
        <v>#N/A</v>
      </c>
      <c r="BZ199" s="426" t="e">
        <f t="shared" ca="1" si="549"/>
        <v>#N/A</v>
      </c>
      <c r="CA199" s="424" t="e">
        <f t="shared" ca="1" si="550"/>
        <v>#N/A</v>
      </c>
      <c r="CB199" s="429" t="e">
        <f ca="1">INDEX(INDIRECT(VLOOKUP(LEFT(BO199,7),CLU!$Z$3:$AH$18,2)),GN199,GS199)</f>
        <v>#N/A</v>
      </c>
      <c r="CC199" s="342" t="e">
        <f ca="1">INDEX(INDIRECT(VLOOKUP(LEFT(BO199,7),CLU!$Z$3:$AH$18,3)),GN199,GS199)</f>
        <v>#N/A</v>
      </c>
      <c r="CD199" s="342" t="e">
        <f ca="1">INDEX(INDIRECT(VLOOKUP(LEFT(BO199,7),CLU!$Z$3:$AH$18,4)),GN199,GS199)</f>
        <v>#N/A</v>
      </c>
      <c r="CE199" s="426" t="e">
        <f t="shared" ca="1" si="551"/>
        <v>#N/A</v>
      </c>
      <c r="CF199" s="440">
        <f t="shared" si="552"/>
        <v>0</v>
      </c>
      <c r="CG199" s="431" t="e">
        <f ca="1">INDEX(INDIRECT(VLOOKUP(LEFT(BO199,7),CLU!$Z$3:$AH$18,2)),GQ199,GR199)</f>
        <v>#N/A</v>
      </c>
      <c r="CH199" s="431" t="e">
        <f ca="1">INDEX(INDIRECT(VLOOKUP(LEFT(BO199,7),CLU!$Z$3:$AH$18,3)),GQ199,GR199)</f>
        <v>#N/A</v>
      </c>
      <c r="CI199" s="431" t="e">
        <f ca="1">INDEX(INDIRECT(VLOOKUP(LEFT(BO199,7),CLU!$Z$3:$AH$18,4)),GQ199,GR199)</f>
        <v>#N/A</v>
      </c>
      <c r="CJ199" s="448" t="e">
        <f t="shared" ca="1" si="553"/>
        <v>#N/A</v>
      </c>
      <c r="CK199" s="431" t="e">
        <f t="shared" ca="1" si="554"/>
        <v>#N/A</v>
      </c>
      <c r="CL199" s="440" t="e">
        <f t="shared" ca="1" si="555"/>
        <v>#N/A</v>
      </c>
      <c r="CM199" s="431" t="e">
        <f ca="1">INDEX(INDIRECT(VLOOKUP(LEFT(BO199,7),CLU!$Z$3:$AH$18,2)),GQ199,GS199)</f>
        <v>#N/A</v>
      </c>
      <c r="CN199" s="431" t="e">
        <f ca="1">INDEX(INDIRECT(VLOOKUP(LEFT(BO199,7),CLU!$Z$3:$AH$18,3)),GQ199,GS199)</f>
        <v>#N/A</v>
      </c>
      <c r="CO199" s="431" t="e">
        <f ca="1">INDEX(INDIRECT(VLOOKUP(LEFT(BO199,7),CLU!$Z$3:$AH$18,4)),GQ199,GS199)</f>
        <v>#N/A</v>
      </c>
      <c r="CP199" s="431" t="e">
        <f t="shared" ca="1" si="556"/>
        <v>#N/A</v>
      </c>
      <c r="CQ199" s="440">
        <f t="shared" si="557"/>
        <v>0</v>
      </c>
      <c r="CR199" s="51" t="e">
        <f t="shared" ca="1" si="558"/>
        <v>#N/A</v>
      </c>
      <c r="CS199" s="439" t="e">
        <f t="shared" ca="1" si="559"/>
        <v>#VALUE!</v>
      </c>
      <c r="CT199" s="51" t="e">
        <f t="shared" ca="1" si="560"/>
        <v>#VALUE!</v>
      </c>
      <c r="CU199" s="10"/>
      <c r="CV199" s="51" t="e">
        <f t="shared" ca="1" si="457"/>
        <v>#VALUE!</v>
      </c>
      <c r="CW199" s="51">
        <f t="shared" si="561"/>
        <v>0</v>
      </c>
      <c r="CX199" s="439" t="e">
        <f t="shared" ca="1" si="562"/>
        <v>#VALUE!</v>
      </c>
      <c r="CY199" s="51" t="e">
        <f t="shared" ca="1" si="563"/>
        <v>#VALUE!</v>
      </c>
      <c r="CZ199" s="10"/>
      <c r="DA199" s="51" t="e">
        <f t="shared" ca="1" si="564"/>
        <v>#VALUE!</v>
      </c>
      <c r="DB199" s="347" t="e">
        <f ca="1">INDEX(INDIRECT(VLOOKUP(LEFT(BO199,7),CLU!$Z$3:$AI$18,10)),((M199-2)*(6-COUNTBLANK(GT199:GY199)))+GJ199)*LI199</f>
        <v>#N/A</v>
      </c>
      <c r="DC199" s="347" t="str">
        <f>IF(L199&gt;0,((R199/Worksheet!$I$15)/DB199)^2," ")</f>
        <v xml:space="preserve"> </v>
      </c>
      <c r="DD199" s="602" t="str">
        <f t="shared" si="565"/>
        <v xml:space="preserve"> </v>
      </c>
      <c r="DE199" s="347" t="str">
        <f t="shared" si="458"/>
        <v xml:space="preserve"> </v>
      </c>
      <c r="DF199" s="356" t="e">
        <f ca="1">INDEX(INDIRECT(VLOOKUP(LEFT(BO199,7),CLU!$Z$3:$AH$18,8)),((M199-2)*(6-COUNTBLANK(GT199:GY199)))+GJ199)</f>
        <v>#N/A</v>
      </c>
      <c r="DG199" s="347" t="str">
        <f t="shared" si="459"/>
        <v xml:space="preserve"> </v>
      </c>
      <c r="DH199" s="357" t="str">
        <f t="shared" si="460"/>
        <v xml:space="preserve"> </v>
      </c>
      <c r="DI199" s="355" t="str">
        <f t="shared" si="461"/>
        <v xml:space="preserve"> </v>
      </c>
      <c r="DJ199" s="245" t="e">
        <f ca="1">INDEX(INDIRECT(VLOOKUP(LEFT(BO199,7),CLU!$Z$3:$AH$18,5)),GL199,GK199)</f>
        <v>#N/A</v>
      </c>
      <c r="DK199" s="245" t="e">
        <f ca="1">INDEX(INDIRECT(VLOOKUP(LEFT(BO199,7),CLU!$Z$3:$AH$18,6)),GL199,GK199)</f>
        <v>#N/A</v>
      </c>
      <c r="DL199" s="355">
        <f>(Calculation!R199*0.69143*(Calculation!$BQ$8-Calculation!$F$8))*$S$14</f>
        <v>0</v>
      </c>
      <c r="DM199" s="359" t="e">
        <f t="shared" si="566"/>
        <v>#VALUE!</v>
      </c>
      <c r="DN199" s="611">
        <f t="shared" si="567"/>
        <v>0</v>
      </c>
      <c r="DO199" s="359">
        <f t="shared" si="568"/>
        <v>100</v>
      </c>
      <c r="DP199" s="359">
        <f t="shared" si="569"/>
        <v>0</v>
      </c>
      <c r="DQ199" s="360"/>
      <c r="DR199" s="245" t="e">
        <f ca="1">INDEX(INDIRECT(VLOOKUP(LEFT(BO199,7),CLU!$Z$3:$AH$18,7)),M199-1,1)</f>
        <v>#N/A</v>
      </c>
      <c r="DS199" s="245" t="e">
        <f ca="1">INDEX(INDIRECT(VLOOKUP(LEFT(BO199,7),CLU!$Z$3:$AH$18,7)),M199-1,2)</f>
        <v>#N/A</v>
      </c>
      <c r="DT199" s="245" t="e">
        <f ca="1">INDEX(INDIRECT(VLOOKUP(LEFT(BO199,7),CLU!$Z$3:$AH$18,7)),M199-1,3)</f>
        <v>#N/A</v>
      </c>
      <c r="DU199" s="245" t="e">
        <f ca="1">INDEX(INDIRECT(VLOOKUP(LEFT(BO199,7),CLU!$Z$3:$AH$18,7)),M199-1,4)</f>
        <v>#N/A</v>
      </c>
      <c r="DV199" s="361" t="e">
        <f ca="1">INDEX(INDIRECT(VLOOKUP(LEFT(BO199,7),CLU!$Z$3:$AH$18,7)),M199-1,4+LEFT(DZ199,1)*0.5)</f>
        <v>#N/A</v>
      </c>
      <c r="DW199" s="245" t="e">
        <f ca="1">INDEX(INDIRECT(VLOOKUP(LEFT(BO199,7),CLU!$Z$3:$AH$18,7)),M199-1,8)</f>
        <v>#N/A</v>
      </c>
      <c r="DX199" s="361" t="str">
        <f t="shared" si="462"/>
        <v xml:space="preserve"> </v>
      </c>
      <c r="DY199" s="361" t="str">
        <f t="shared" si="463"/>
        <v xml:space="preserve"> </v>
      </c>
      <c r="DZ199" s="361" t="str">
        <f t="shared" si="464"/>
        <v xml:space="preserve"> </v>
      </c>
      <c r="EA199" s="362" t="str">
        <f t="shared" si="465"/>
        <v xml:space="preserve"> </v>
      </c>
      <c r="EB199" s="624" t="str">
        <f t="shared" si="570"/>
        <v xml:space="preserve"> </v>
      </c>
      <c r="EC199" s="361" t="e">
        <f ca="1">INDEX(INDIRECT(VLOOKUP(LEFT(BO199,7),CLU!$Z$3:$AH$18,7)),M199-1,4+LEFT(DZ199,1)*0.5)</f>
        <v>#N/A</v>
      </c>
      <c r="ED199" s="362" t="str">
        <f t="shared" si="466"/>
        <v xml:space="preserve"> </v>
      </c>
      <c r="EE199" s="361" t="str">
        <f t="shared" si="467"/>
        <v xml:space="preserve"> </v>
      </c>
      <c r="EF199" s="362" t="str">
        <f>IF(L199&gt;0,IF(BR199&gt;0,IF(EE199="2P",IF(Calculation!DZ199="2P",IF(Calculation!DS199=13.75,IF(Calculation!DR199=13,Worksheet!$BD$43,IF(Calculation!DR199=37,Worksheet!$BD$44,Worksheet!$BD$45)),IF(Calculation!DS199=10,IF(Calculation!DR199=18,Worksheet!$BD$29,IF(Calculation!DR199=30,Worksheet!$BD$30,IF(Calculation!DR199=42,Worksheet!$BD$31,IF(Calculation!DR199=54,Worksheet!$BD$32,IF(Calculation!DR199=66,Worksheet!$BD$33,IF(Calculation!DR199=78,Worksheet!$BD$34,IF(Calculation!DR199=90,Worksheet!$BD$35,IF(Calculation!DR199=102,Worksheet!$BD$36,Worksheet!$BD$37)))))))),IF(Calculation!DS199=12.5,IF(Calculation!DR199=18,Worksheet!$BD$38,IF(Calculation!DR199=Worksheet!$BD$39,IF(Calculation!DR199=42,Worksheet!$BD$40,IF(Calculation!DR199=54,Worksheet!$BD$41,Worksheet!$BD$42)))),IF(Calculation!DR199=18,Worksheet!$BD$11,IF(Calculation!DR199=30,Worksheet!$BD$12,IF(Calculation!DR199=42,Worksheet!$BD$13,IF(Calculation!DR199=54,Worksheet!$BD$14,IF(Calculation!DR199=66,Worksheet!$BD$15,IF(Calculation!DR199=78,Worksheet!$BD$16,IF(Calculation!DR199=90,Worksheet!$BD$17,IF(Calculation!DR199=102,Worksheet!$BD$18,Worksheet!$BD$19))))))))))),IF(Calculation!DS199=13.75,IF(Calculation!DR199=13,Worksheet!$BD$78,IF(Calculation!DR199=37,Worksheet!$BD$79,Worksheet!$BD$80)),IF(Calculation!DS199=10,IF(Calculation!DR199=18,Worksheet!$BD$64,IF(Calculation!DR199=30,Worksheet!$BD$65,IF(Calculation!DR199=42,Worksheet!$BD$66,IF(Calculation!DR199=54,Worksheet!$BD$68,IF(Calculation!DR199=66,Worksheet!$BD$68,IF(Calculation!DR199=78,Worksheet!$BD$69,IF(Calculation!DR199=90,Worksheet!$BD$70,IF(Calculation!DR199=102,Worksheet!$BD$71,Worksheet!$BD$72)))))))),IF(Calculation!DS199=12.5,IF(Calculation!DR199=18,Worksheet!$BD$73,IF(Calculation!DR199=Worksheet!$BD$74,IF(Calculation!DR199=42,Worksheet!$BD$75,IF(Calculation!DR199=54,Worksheet!$BD$76,Worksheet!$BD$77)))),IF(Calculation!DR199=18,Worksheet!$BD$55,IF(Calculation!DR199=30,Worksheet!$BD$56,IF(Calculation!DR199=42,Worksheet!$BD$57,IF(Calculation!DR199=54,Worksheet!$BD$58,IF(Calculation!DR199=66,Worksheet!$BD$59,IF(Calculation!DR199=78,Worksheet!$BD$60,IF(Calculation!DR199=90,Worksheet!$BD$61,IF(Calculation!DR199=102,Worksheet!$BD$62,Worksheet!$BD$63)))))))))))),5),0)," ")</f>
        <v xml:space="preserve"> </v>
      </c>
      <c r="EG199" s="361" t="str">
        <f t="shared" si="468"/>
        <v xml:space="preserve"> </v>
      </c>
      <c r="EH199" s="361" t="e">
        <f ca="1">INDEX(INDIRECT(VLOOKUP(LEFT(BO199,7),CLU!$Z$3:$AH$18,7)),M199-1,3+LEFT(DZ199,1))</f>
        <v>#N/A</v>
      </c>
      <c r="EI199" s="362" t="str">
        <f t="shared" si="469"/>
        <v xml:space="preserve"> </v>
      </c>
      <c r="EJ199" s="363" t="str">
        <f t="shared" si="470"/>
        <v xml:space="preserve"> </v>
      </c>
      <c r="EK199" s="363" t="str">
        <f t="shared" si="471"/>
        <v xml:space="preserve"> </v>
      </c>
      <c r="EL199" s="363" t="str">
        <f t="shared" si="472"/>
        <v xml:space="preserve"> </v>
      </c>
      <c r="EM199" s="362" t="str">
        <f>IF(L199&gt;0,IF(BR199&gt;0,(Calculation!T199/ED199)^2,0)," ")</f>
        <v xml:space="preserve"> </v>
      </c>
      <c r="EN199" s="362" t="str">
        <f>IF(L199&gt;0,IF(O199="2 Pipe (Cooling)","N/A",IF(BR199&gt;0,(Calculation!U199/EI199)^2,0))," ")</f>
        <v xml:space="preserve"> </v>
      </c>
      <c r="EO199" s="361" t="str">
        <f t="shared" si="473"/>
        <v/>
      </c>
      <c r="EP199" s="361" t="str">
        <f t="shared" si="474"/>
        <v/>
      </c>
      <c r="EQ199" s="361" t="str">
        <f t="shared" si="475"/>
        <v/>
      </c>
      <c r="ER199" s="361" t="str">
        <f t="shared" si="476"/>
        <v/>
      </c>
      <c r="ES199" s="361" t="str">
        <f t="shared" si="477"/>
        <v/>
      </c>
      <c r="ET199" s="361" t="str">
        <f t="shared" si="478"/>
        <v/>
      </c>
      <c r="EU199" s="361" t="str">
        <f t="shared" si="479"/>
        <v/>
      </c>
      <c r="EV199" s="361" t="str">
        <f t="shared" si="480"/>
        <v/>
      </c>
      <c r="EW199" s="361" t="str">
        <f t="shared" si="481"/>
        <v/>
      </c>
      <c r="EX199" s="361" t="str">
        <f t="shared" si="571"/>
        <v>1 slot, 1 way</v>
      </c>
      <c r="EY199" s="361" t="str">
        <f t="shared" si="572"/>
        <v xml:space="preserve"> </v>
      </c>
      <c r="EZ199" s="361" t="str">
        <f t="shared" si="573"/>
        <v xml:space="preserve"> </v>
      </c>
      <c r="FA199" s="361" t="str">
        <f t="shared" si="574"/>
        <v xml:space="preserve"> </v>
      </c>
      <c r="FB199" s="361" t="str">
        <f t="shared" si="575"/>
        <v xml:space="preserve"> </v>
      </c>
      <c r="FC199" s="361"/>
      <c r="FD199" s="361" t="str">
        <f>IF(J199&gt;0,IF(Calculation!R199&lt;=70,4,IF(Calculation!R199&lt;=110,5,IF(Calculation!R199&lt;=160,6,IF(Calculation!R199&lt;=300,8,"10 EO")))),"")</f>
        <v/>
      </c>
      <c r="FE199" s="361" t="str">
        <f t="shared" si="576"/>
        <v/>
      </c>
      <c r="FF199" s="361" t="str">
        <f t="shared" si="577"/>
        <v/>
      </c>
      <c r="FG199" s="361" t="e">
        <f t="shared" si="482"/>
        <v>#N/A</v>
      </c>
      <c r="FH199" s="361">
        <f t="shared" si="483"/>
        <v>0</v>
      </c>
      <c r="FI199" s="361" t="e">
        <f t="shared" si="484"/>
        <v>#DIV/0!</v>
      </c>
      <c r="FJ199" s="361"/>
      <c r="FK199" s="356" t="e">
        <f t="shared" si="485"/>
        <v>#VALUE!</v>
      </c>
      <c r="FL199" s="361"/>
      <c r="FM199" s="361"/>
      <c r="FN199" s="362" t="str">
        <f t="shared" si="578"/>
        <v xml:space="preserve"> </v>
      </c>
      <c r="FO199" s="362" t="str">
        <f t="shared" si="579"/>
        <v xml:space="preserve"> </v>
      </c>
      <c r="FP199" s="362">
        <f t="shared" si="580"/>
        <v>0</v>
      </c>
      <c r="FQ199" s="361">
        <f t="shared" si="486"/>
        <v>0</v>
      </c>
      <c r="FR199" s="362" t="str">
        <f>IF(L199&gt;0,IF(J199="CBAL2",Worksheet!$P$67,IF(J199="CBE2-24",Worksheet!$Q$67,IF(J199="CBAM",Worksheet!$R$67,IF(J199="CBLV",Worksheet!$S$67,IF(J199="CBAB",Worksheet!$U$67,IF(J199="CBAW",Worksheet!$X$67,IF(J199="CBE2-12",Worksheet!$Y$67,IF(J199="CBAL2",Worksheet!$Z$67,"N/A"))))))))," ")</f>
        <v xml:space="preserve"> </v>
      </c>
      <c r="FS199" s="362" t="str">
        <f>IF(L199&gt;0,IF(J199="CBAL2",Worksheet!$P$68,IF(J199="CBE2-24",Worksheet!$Q$68,IF(J199="CBAM",Worksheet!$R$68,IF(J199="CBLV",Worksheet!$S$68,IF(J199="CBAB",Worksheet!$U$68,IF(J199="CBAW",Worksheet!$X$68,IF(J199="CBE2-12",Worksheet!$Y$68,IF(J199="CBAL2",Worksheet!$Z$68,"N/A"))))))))," ")</f>
        <v xml:space="preserve"> </v>
      </c>
      <c r="FT199" s="362" t="str">
        <f>IF(L199&gt;0,IF(J199="CBAL2",Worksheet!$P$69,IF(J199="CBE2-24",Worksheet!$Q$69,IF(J199="CBAM",Worksheet!$R$69,IF(J199="CBLV",Worksheet!$S$69,IF(J199="CBAB",Worksheet!$U$69,IF(J199="CBAW",Worksheet!$X$69,IF(J199="CBE2-12",Worksheet!$Y$69,IF(J199="CBAL2",Worksheet!$Z$69,"N/A"))))))))," ")</f>
        <v xml:space="preserve"> </v>
      </c>
      <c r="FU199" s="361" t="str">
        <f t="shared" si="581"/>
        <v xml:space="preserve"> </v>
      </c>
      <c r="FV199" s="362" t="str">
        <f t="shared" si="582"/>
        <v xml:space="preserve"> </v>
      </c>
      <c r="FW199" s="362" t="str">
        <f t="shared" si="583"/>
        <v xml:space="preserve"> </v>
      </c>
      <c r="FX199" s="362" t="str">
        <f t="shared" si="584"/>
        <v xml:space="preserve"> </v>
      </c>
      <c r="FY199" s="355" t="str">
        <f t="shared" si="585"/>
        <v xml:space="preserve"> </v>
      </c>
      <c r="FZ199" s="361" t="str">
        <f t="shared" si="586"/>
        <v xml:space="preserve"> </v>
      </c>
      <c r="GA199" s="347" t="str">
        <f t="shared" si="587"/>
        <v xml:space="preserve"> </v>
      </c>
      <c r="GB199" s="355" t="str">
        <f t="shared" si="588"/>
        <v xml:space="preserve"> </v>
      </c>
      <c r="GC199" s="328" t="str">
        <f t="shared" si="589"/>
        <v xml:space="preserve"> </v>
      </c>
      <c r="GD199" s="361" t="str">
        <f t="shared" si="590"/>
        <v xml:space="preserve"> </v>
      </c>
      <c r="GE199" s="347" t="str">
        <f t="shared" si="591"/>
        <v xml:space="preserve"> </v>
      </c>
      <c r="GF199" s="361" t="str">
        <f t="shared" si="592"/>
        <v xml:space="preserve"> </v>
      </c>
      <c r="GG199" s="347" t="str">
        <f t="shared" si="593"/>
        <v xml:space="preserve"> </v>
      </c>
      <c r="GH199" s="364">
        <f t="shared" si="487"/>
        <v>0</v>
      </c>
      <c r="GI199" s="362">
        <f t="shared" si="594"/>
        <v>2</v>
      </c>
      <c r="GJ199" s="433" t="e">
        <f>IF(6-COUNTBLANK(GT199:GY199)=4,MATCH(MID(BO199,9,3),CLU!$H$16:$K$16),MATCH(MID(BO199,9,3),CLU!$H$13:$M$13))</f>
        <v>#N/A</v>
      </c>
      <c r="GK199" s="433" t="e">
        <f>HLOOKUP(VALUE(BP199),CLU!$H$9:$M$10,2)</f>
        <v>#VALUE!</v>
      </c>
      <c r="GL199" s="433" t="e">
        <f ca="1">MATCH(BU199,CLU!$H$2:$V$2,1)</f>
        <v>#VALUE!</v>
      </c>
      <c r="GM199" s="433" t="e">
        <f t="shared" ca="1" si="595"/>
        <v>#VALUE!</v>
      </c>
      <c r="GN199" s="433" t="e">
        <f t="shared" ca="1" si="596"/>
        <v>#VALUE!</v>
      </c>
      <c r="GO199" s="433" t="e">
        <f t="shared" ca="1" si="597"/>
        <v>#VALUE!</v>
      </c>
      <c r="GP199" s="433" t="e">
        <f t="shared" ca="1" si="598"/>
        <v>#VALUE!</v>
      </c>
      <c r="GQ199" s="433" t="e">
        <f t="shared" ca="1" si="599"/>
        <v>#VALUE!</v>
      </c>
      <c r="GR199" s="433" t="e">
        <f ca="1">MATCH(T199,INDIRECT(VLOOKUP(CONCATENATE(LEFT(BO199,7),"-",MID(BO199,13,1)),CLU!$P$3:$Q$16,2)),1)</f>
        <v>#N/A</v>
      </c>
      <c r="GS199" s="433" t="e">
        <f ca="1">MATCH(U199,INDIRECT(VLOOKUP(CONCATENATE(LEFT(BO199,7),"-",MID(BO199,13,1)),CLU!$P$3:$Q$16,2)),1)</f>
        <v>#N/A</v>
      </c>
      <c r="GT199" s="347" t="s">
        <v>512</v>
      </c>
      <c r="GU199" s="97" t="s">
        <v>513</v>
      </c>
      <c r="GV199" s="97" t="str">
        <f t="shared" si="600"/>
        <v>M23</v>
      </c>
      <c r="GW199" s="97" t="str">
        <f t="shared" si="601"/>
        <v>M31</v>
      </c>
      <c r="GX199" s="97" t="str">
        <f t="shared" si="602"/>
        <v/>
      </c>
      <c r="GY199" s="97" t="str">
        <f t="shared" si="603"/>
        <v/>
      </c>
      <c r="GZ199" s="481"/>
      <c r="HA199" s="288"/>
      <c r="HB199" s="240"/>
      <c r="HC199" s="240"/>
      <c r="HD199" s="240"/>
      <c r="HE199" s="240"/>
      <c r="HF199" s="240"/>
      <c r="HG199" s="240"/>
      <c r="HH199" s="240"/>
      <c r="HI199" s="240"/>
      <c r="HJ199" s="240"/>
      <c r="HK199" s="240"/>
      <c r="HL199" s="240"/>
      <c r="HM199" s="240"/>
      <c r="HN199" s="240"/>
      <c r="HO199" s="240"/>
      <c r="HP199" s="240"/>
      <c r="HQ199" s="240"/>
      <c r="HR199" s="240"/>
      <c r="HS199" s="240"/>
      <c r="HT199" s="240"/>
      <c r="HU199" s="240"/>
      <c r="HV199" s="245"/>
      <c r="HW199" s="245" t="b">
        <v>1</v>
      </c>
      <c r="HX199" s="245" t="str">
        <f t="shared" si="488"/>
        <v/>
      </c>
      <c r="HY199" s="245" t="e">
        <f t="shared" si="489"/>
        <v>#DIV/0!</v>
      </c>
      <c r="HZ199" s="245" t="e">
        <f t="shared" si="490"/>
        <v>#DIV/0!</v>
      </c>
      <c r="IA199" s="245">
        <f t="shared" si="491"/>
        <v>0</v>
      </c>
      <c r="IB199" s="245"/>
      <c r="IC199" t="b">
        <f t="shared" si="492"/>
        <v>1</v>
      </c>
      <c r="ID199" s="245" t="b">
        <f t="shared" si="493"/>
        <v>1</v>
      </c>
      <c r="IE199" s="245" t="b">
        <f t="shared" si="494"/>
        <v>1</v>
      </c>
      <c r="IF199" s="245" t="b">
        <f t="shared" si="495"/>
        <v>0</v>
      </c>
      <c r="IG199" s="245" t="b">
        <f t="shared" si="496"/>
        <v>1</v>
      </c>
      <c r="IH199" s="245" t="b">
        <f t="shared" si="497"/>
        <v>1</v>
      </c>
      <c r="II199" s="245">
        <f t="shared" si="604"/>
        <v>0</v>
      </c>
      <c r="IJ199" s="245" t="e">
        <f t="shared" si="498"/>
        <v>#VALUE!</v>
      </c>
      <c r="IK199" s="245" t="e">
        <f t="shared" si="499"/>
        <v>#VALUE!</v>
      </c>
      <c r="IL199" s="245"/>
      <c r="IM199" s="245" t="e">
        <f t="shared" si="605"/>
        <v>#N/A</v>
      </c>
      <c r="IN199" s="245" t="e">
        <f t="shared" si="606"/>
        <v>#N/A</v>
      </c>
      <c r="IO199" s="245"/>
      <c r="IP199" s="245"/>
      <c r="IQ199" s="245" t="str">
        <f t="shared" si="500"/>
        <v/>
      </c>
      <c r="IR199" s="245" t="str">
        <f>IF(J199="","",VLOOKUP(J199,Worksheet!$R$4:$T$14,2))</f>
        <v/>
      </c>
      <c r="IS199" s="245"/>
      <c r="IT199" s="245">
        <f t="shared" si="501"/>
        <v>0</v>
      </c>
      <c r="IU199" s="245">
        <f t="shared" si="502"/>
        <v>0</v>
      </c>
      <c r="IV199" s="245">
        <f t="shared" si="503"/>
        <v>0</v>
      </c>
      <c r="IW199" s="245">
        <f t="shared" si="504"/>
        <v>0</v>
      </c>
      <c r="IX199" s="245">
        <f t="shared" si="607"/>
        <v>0</v>
      </c>
      <c r="IY199" s="245">
        <f t="shared" si="505"/>
        <v>0</v>
      </c>
      <c r="IZ199" s="245">
        <f t="shared" si="506"/>
        <v>0</v>
      </c>
      <c r="JA199">
        <f t="shared" si="507"/>
        <v>0</v>
      </c>
      <c r="JB199">
        <f t="shared" si="608"/>
        <v>0</v>
      </c>
      <c r="JC199">
        <f t="shared" si="508"/>
        <v>0</v>
      </c>
      <c r="JD199">
        <f t="shared" si="509"/>
        <v>0</v>
      </c>
      <c r="JE199">
        <f t="shared" si="510"/>
        <v>0</v>
      </c>
      <c r="JF199">
        <f t="shared" si="511"/>
        <v>0</v>
      </c>
      <c r="JG199">
        <f t="shared" si="512"/>
        <v>0</v>
      </c>
      <c r="JH199">
        <f t="shared" si="513"/>
        <v>0</v>
      </c>
      <c r="JI199">
        <f t="shared" si="514"/>
        <v>0</v>
      </c>
      <c r="JJ199" s="447">
        <f t="shared" si="515"/>
        <v>0</v>
      </c>
      <c r="JK199" s="447">
        <f t="shared" si="516"/>
        <v>0</v>
      </c>
      <c r="JL199">
        <f t="shared" si="517"/>
        <v>0</v>
      </c>
      <c r="JM199" s="245" t="str">
        <f>IFERROR(VLOOKUP(MATCH(BN199,#REF!,0),#REF!,7),"")</f>
        <v/>
      </c>
      <c r="JN199" t="e">
        <f>HLOOKUP(LEFT(BO199,7),Discharge_Area,MATCH(JO199,LookUps!$B$130:$B$149,1)+2)</f>
        <v>#N/A</v>
      </c>
      <c r="JO199" t="str">
        <f t="shared" si="518"/>
        <v>- S</v>
      </c>
      <c r="JP199" t="e">
        <f>HLOOKUP(LEFT(BO199,7),Discharge_Area,MATCH(JO199,LookUps!$B$130:$B$149,1)+2)</f>
        <v>#N/A</v>
      </c>
      <c r="JQ199" t="e">
        <f t="shared" si="519"/>
        <v>#N/A</v>
      </c>
      <c r="JR199" t="e">
        <f t="shared" si="520"/>
        <v>#N/A</v>
      </c>
      <c r="JS199" t="e">
        <f t="shared" si="521"/>
        <v>#N/A</v>
      </c>
      <c r="JT199" s="532" t="str">
        <f t="shared" si="522"/>
        <v xml:space="preserve"> </v>
      </c>
      <c r="JU199" s="532" t="str">
        <f t="shared" si="523"/>
        <v xml:space="preserve"> </v>
      </c>
      <c r="JV199" s="533" t="str">
        <f t="shared" si="524"/>
        <v xml:space="preserve"> </v>
      </c>
      <c r="JW199" s="534">
        <f t="shared" si="525"/>
        <v>0</v>
      </c>
      <c r="JX199" s="535" t="str">
        <f t="shared" si="609"/>
        <v xml:space="preserve"> </v>
      </c>
      <c r="JY199" s="535" t="str">
        <f t="shared" si="610"/>
        <v xml:space="preserve"> </v>
      </c>
      <c r="JZ199" s="535" t="str">
        <f t="shared" si="611"/>
        <v xml:space="preserve"> </v>
      </c>
      <c r="KA199" s="536" t="str">
        <f t="shared" si="526"/>
        <v xml:space="preserve"> </v>
      </c>
      <c r="KB199" s="535" t="e">
        <f t="shared" si="612"/>
        <v>#VALUE!</v>
      </c>
      <c r="KC199" s="535" t="str">
        <f t="shared" si="527"/>
        <v/>
      </c>
      <c r="KD199" s="537" t="str">
        <f t="shared" si="613"/>
        <v xml:space="preserve"> </v>
      </c>
      <c r="KE199" s="537" t="str">
        <f t="shared" si="614"/>
        <v xml:space="preserve"> </v>
      </c>
      <c r="KF199" s="534">
        <f t="shared" si="528"/>
        <v>0</v>
      </c>
      <c r="KG199" s="535" t="str">
        <f t="shared" si="529"/>
        <v xml:space="preserve"> </v>
      </c>
      <c r="KH199" s="535" t="str">
        <f t="shared" si="530"/>
        <v xml:space="preserve"> </v>
      </c>
      <c r="KI199" s="535" t="str">
        <f t="shared" si="531"/>
        <v xml:space="preserve"> </v>
      </c>
      <c r="KJ199" s="536" t="str">
        <f t="shared" si="532"/>
        <v xml:space="preserve"> </v>
      </c>
      <c r="KK199" s="535" t="str">
        <f t="shared" si="615"/>
        <v xml:space="preserve"> </v>
      </c>
      <c r="KL199" s="535" t="str">
        <f t="shared" si="616"/>
        <v xml:space="preserve"> </v>
      </c>
      <c r="KM199" s="537" t="str">
        <f t="shared" si="533"/>
        <v xml:space="preserve"> </v>
      </c>
      <c r="KN199" s="537" t="str">
        <f t="shared" si="617"/>
        <v xml:space="preserve"> </v>
      </c>
      <c r="KP199">
        <f t="shared" si="534"/>
        <v>0</v>
      </c>
      <c r="LA199" t="e">
        <f t="shared" si="535"/>
        <v>#VALUE!</v>
      </c>
      <c r="LB199" t="e">
        <f t="shared" si="536"/>
        <v>#VALUE!</v>
      </c>
      <c r="LC199" t="e">
        <f t="shared" si="537"/>
        <v>#VALUE!</v>
      </c>
      <c r="LD199" t="e">
        <f t="shared" si="538"/>
        <v>#VALUE!</v>
      </c>
      <c r="LE199" t="e">
        <f t="shared" si="618"/>
        <v>#VALUE!</v>
      </c>
      <c r="LF199">
        <f t="shared" si="539"/>
        <v>0</v>
      </c>
      <c r="LG199" t="e">
        <f t="shared" si="619"/>
        <v>#VALUE!</v>
      </c>
      <c r="LH199" t="str">
        <f t="shared" si="540"/>
        <v xml:space="preserve"> </v>
      </c>
      <c r="LI199">
        <f t="shared" si="620"/>
        <v>1</v>
      </c>
    </row>
    <row r="200" spans="2:321" ht="15" customHeight="1">
      <c r="B200" s="311"/>
      <c r="C200" s="311"/>
      <c r="D200" s="312"/>
      <c r="E200" s="311"/>
      <c r="F200" s="312"/>
      <c r="G200" s="311"/>
      <c r="H200" s="311"/>
      <c r="I200" s="232"/>
      <c r="J200" s="311"/>
      <c r="K200" s="305" t="str">
        <f t="shared" si="541"/>
        <v/>
      </c>
      <c r="L200" s="313"/>
      <c r="M200" s="312"/>
      <c r="N200" s="311"/>
      <c r="O200" s="312"/>
      <c r="P200" s="311"/>
      <c r="Q200" s="305" t="str">
        <f t="shared" si="542"/>
        <v/>
      </c>
      <c r="R200" s="314"/>
      <c r="S200" s="450" t="str">
        <f t="shared" si="425"/>
        <v/>
      </c>
      <c r="T200" s="315"/>
      <c r="U200" s="315"/>
      <c r="W200" s="149" t="str">
        <f t="shared" si="426"/>
        <v xml:space="preserve"> </v>
      </c>
      <c r="X200" s="243" t="str">
        <f t="shared" si="427"/>
        <v xml:space="preserve"> </v>
      </c>
      <c r="Y200" s="150" t="str">
        <f t="shared" si="428"/>
        <v/>
      </c>
      <c r="Z200" s="149" t="str">
        <f t="shared" si="429"/>
        <v xml:space="preserve"> </v>
      </c>
      <c r="AA200" s="98" t="str">
        <f t="shared" si="430"/>
        <v xml:space="preserve"> </v>
      </c>
      <c r="AB200" s="153" t="str">
        <f t="shared" si="431"/>
        <v xml:space="preserve"> </v>
      </c>
      <c r="AC200" s="153" t="str">
        <f t="shared" si="432"/>
        <v xml:space="preserve"> </v>
      </c>
      <c r="AD200" s="148" t="str">
        <f t="shared" si="433"/>
        <v/>
      </c>
      <c r="AE200" s="149" t="str">
        <f t="shared" si="434"/>
        <v/>
      </c>
      <c r="AF200" s="151" t="str">
        <f t="shared" si="435"/>
        <v xml:space="preserve"> </v>
      </c>
      <c r="AG200" s="153" t="str">
        <f t="shared" si="436"/>
        <v xml:space="preserve"> </v>
      </c>
      <c r="AH200" s="98" t="str">
        <f t="shared" si="437"/>
        <v xml:space="preserve"> </v>
      </c>
      <c r="AI200" s="149" t="str">
        <f t="shared" si="438"/>
        <v xml:space="preserve"> </v>
      </c>
      <c r="AK200" s="144" t="str">
        <f t="shared" si="439"/>
        <v xml:space="preserve"> </v>
      </c>
      <c r="AL200" s="144"/>
      <c r="AM200" s="243" t="str">
        <f t="shared" si="440"/>
        <v xml:space="preserve"> </v>
      </c>
      <c r="AN200" s="149" t="str">
        <f t="shared" si="543"/>
        <v xml:space="preserve"> </v>
      </c>
      <c r="AO200" s="144" t="str">
        <f>IF(JB200&gt;0,IF(GI200=10,-R200*1.085*(Calculation!$F$6-Calculation!$F$13)*$S$14," "),"")</f>
        <v/>
      </c>
      <c r="AP200" s="144" t="str">
        <f t="shared" si="441"/>
        <v/>
      </c>
      <c r="AQ200" s="56" t="str">
        <f t="shared" si="442"/>
        <v/>
      </c>
      <c r="AR200" s="144" t="str">
        <f t="shared" si="443"/>
        <v/>
      </c>
      <c r="AS200" s="176" t="str">
        <f t="shared" si="444"/>
        <v/>
      </c>
      <c r="AT200" s="176" t="str">
        <f t="shared" si="544"/>
        <v xml:space="preserve"> </v>
      </c>
      <c r="AU200" s="176" t="str">
        <f t="shared" si="445"/>
        <v/>
      </c>
      <c r="AV200" s="177" t="str">
        <f t="shared" si="446"/>
        <v xml:space="preserve"> </v>
      </c>
      <c r="AW200" s="144" t="str">
        <f t="shared" si="447"/>
        <v xml:space="preserve"> </v>
      </c>
      <c r="AX200" s="144" t="str">
        <f t="shared" si="448"/>
        <v xml:space="preserve"> </v>
      </c>
      <c r="AY200" s="152" t="str">
        <f t="shared" si="449"/>
        <v xml:space="preserve"> </v>
      </c>
      <c r="AZ200" s="246" t="str">
        <f t="shared" si="450"/>
        <v/>
      </c>
      <c r="BA200" s="176" t="str">
        <f t="shared" si="451"/>
        <v xml:space="preserve"> </v>
      </c>
      <c r="BB200" s="176" t="str">
        <f t="shared" si="452"/>
        <v xml:space="preserve"> </v>
      </c>
      <c r="BC200" s="195"/>
      <c r="BD200" s="316"/>
      <c r="BE200" s="317"/>
      <c r="BF200" s="318"/>
      <c r="BG200" s="318"/>
      <c r="BH200" s="144" t="str">
        <f t="shared" si="621"/>
        <v xml:space="preserve"> </v>
      </c>
      <c r="BI200" s="176" t="str">
        <f t="shared" si="453"/>
        <v/>
      </c>
      <c r="BJ200" s="144" t="str">
        <f t="shared" si="622"/>
        <v/>
      </c>
      <c r="BK200" s="246" t="str">
        <f t="shared" si="454"/>
        <v/>
      </c>
      <c r="BL200" s="144" t="str">
        <f t="shared" si="623"/>
        <v/>
      </c>
      <c r="BM200" s="246" t="str">
        <f t="shared" si="455"/>
        <v/>
      </c>
      <c r="BN200" s="337" t="str">
        <f t="shared" si="545"/>
        <v/>
      </c>
      <c r="BO200" s="371" t="str">
        <f t="shared" si="546"/>
        <v/>
      </c>
      <c r="BP200" s="328" t="str">
        <f t="shared" si="624"/>
        <v xml:space="preserve"> </v>
      </c>
      <c r="BQ200" s="347" t="str">
        <f t="shared" si="547"/>
        <v xml:space="preserve"> </v>
      </c>
      <c r="BR200" s="353" t="str">
        <f t="shared" si="548"/>
        <v xml:space="preserve"> </v>
      </c>
      <c r="BS200" s="626" t="str">
        <f>IF(L200&gt;0,IF(Calculation!P200="M13",BR200*3.1416*(0.134^2)/(4*144),IF(Calculation!P200="M17",BR200*3.1416*(0.165^2)/(4*144),IF(Calculation!P200="M20",BR200*3.1416*(0.198^2)/(4*144),IF(Calculation!P200="M23",BR200*3.1416*(0.228^2)/(4*144),IF(Calculation!P200="M27",BR200*3.1416*(0.269^2)/(4*144),BR200*3.1416*(0.307^2)/(4*144))))))," ")</f>
        <v xml:space="preserve"> </v>
      </c>
      <c r="BT200" s="353" t="str">
        <f>IF(L200&gt;0,IF(BS200&gt;0,R200/Calculation!BS200,0)," ")</f>
        <v xml:space="preserve"> </v>
      </c>
      <c r="BU200" s="438" t="e">
        <f t="shared" ca="1" si="456"/>
        <v>#VALUE!</v>
      </c>
      <c r="BV200" s="449" t="e">
        <f ca="1">INDEX(INDIRECT(VLOOKUP(LEFT(BO200,7),CLU!$Z$3:$AH$18,2)),GN200,GR200)</f>
        <v>#N/A</v>
      </c>
      <c r="BW200" s="433" t="e">
        <f ca="1">INDEX(INDIRECT(VLOOKUP(LEFT(BO200,7),CLU!$Z$3:$AH$18,3)),GN200,GR200)</f>
        <v>#N/A</v>
      </c>
      <c r="BX200" s="433" t="e">
        <f ca="1">INDEX(INDIRECT(VLOOKUP(LEFT(BO200,7),CLU!$Z$3:$AH$18,4)),GN200,GR200)</f>
        <v>#N/A</v>
      </c>
      <c r="BY200" s="433" t="e">
        <f ca="1">INDEX(INDIRECT(VLOOKUP(LEFT(BO200,7),CLU!$Z$3:$AH$18,9)),((M200-2)*(6-COUNTBLANK(GT200:GY200)))+GJ200)</f>
        <v>#N/A</v>
      </c>
      <c r="BZ200" s="426" t="e">
        <f t="shared" ca="1" si="549"/>
        <v>#N/A</v>
      </c>
      <c r="CA200" s="424" t="e">
        <f t="shared" ca="1" si="550"/>
        <v>#N/A</v>
      </c>
      <c r="CB200" s="429" t="e">
        <f ca="1">INDEX(INDIRECT(VLOOKUP(LEFT(BO200,7),CLU!$Z$3:$AH$18,2)),GN200,GS200)</f>
        <v>#N/A</v>
      </c>
      <c r="CC200" s="342" t="e">
        <f ca="1">INDEX(INDIRECT(VLOOKUP(LEFT(BO200,7),CLU!$Z$3:$AH$18,3)),GN200,GS200)</f>
        <v>#N/A</v>
      </c>
      <c r="CD200" s="342" t="e">
        <f ca="1">INDEX(INDIRECT(VLOOKUP(LEFT(BO200,7),CLU!$Z$3:$AH$18,4)),GN200,GS200)</f>
        <v>#N/A</v>
      </c>
      <c r="CE200" s="426" t="e">
        <f t="shared" ca="1" si="551"/>
        <v>#N/A</v>
      </c>
      <c r="CF200" s="440">
        <f t="shared" si="552"/>
        <v>0</v>
      </c>
      <c r="CG200" s="431" t="e">
        <f ca="1">INDEX(INDIRECT(VLOOKUP(LEFT(BO200,7),CLU!$Z$3:$AH$18,2)),GQ200,GR200)</f>
        <v>#N/A</v>
      </c>
      <c r="CH200" s="431" t="e">
        <f ca="1">INDEX(INDIRECT(VLOOKUP(LEFT(BO200,7),CLU!$Z$3:$AH$18,3)),GQ200,GR200)</f>
        <v>#N/A</v>
      </c>
      <c r="CI200" s="431" t="e">
        <f ca="1">INDEX(INDIRECT(VLOOKUP(LEFT(BO200,7),CLU!$Z$3:$AH$18,4)),GQ200,GR200)</f>
        <v>#N/A</v>
      </c>
      <c r="CJ200" s="448" t="e">
        <f t="shared" ca="1" si="553"/>
        <v>#N/A</v>
      </c>
      <c r="CK200" s="431" t="e">
        <f t="shared" ca="1" si="554"/>
        <v>#N/A</v>
      </c>
      <c r="CL200" s="440" t="e">
        <f t="shared" ca="1" si="555"/>
        <v>#N/A</v>
      </c>
      <c r="CM200" s="431" t="e">
        <f ca="1">INDEX(INDIRECT(VLOOKUP(LEFT(BO200,7),CLU!$Z$3:$AH$18,2)),GQ200,GS200)</f>
        <v>#N/A</v>
      </c>
      <c r="CN200" s="431" t="e">
        <f ca="1">INDEX(INDIRECT(VLOOKUP(LEFT(BO200,7),CLU!$Z$3:$AH$18,3)),GQ200,GS200)</f>
        <v>#N/A</v>
      </c>
      <c r="CO200" s="431" t="e">
        <f ca="1">INDEX(INDIRECT(VLOOKUP(LEFT(BO200,7),CLU!$Z$3:$AH$18,4)),GQ200,GS200)</f>
        <v>#N/A</v>
      </c>
      <c r="CP200" s="431" t="e">
        <f t="shared" ca="1" si="556"/>
        <v>#N/A</v>
      </c>
      <c r="CQ200" s="440">
        <f t="shared" si="557"/>
        <v>0</v>
      </c>
      <c r="CR200" s="51" t="e">
        <f t="shared" ca="1" si="558"/>
        <v>#N/A</v>
      </c>
      <c r="CS200" s="439" t="e">
        <f t="shared" ca="1" si="559"/>
        <v>#VALUE!</v>
      </c>
      <c r="CT200" s="51" t="e">
        <f t="shared" ca="1" si="560"/>
        <v>#VALUE!</v>
      </c>
      <c r="CU200" s="10"/>
      <c r="CV200" s="51" t="e">
        <f t="shared" ca="1" si="457"/>
        <v>#VALUE!</v>
      </c>
      <c r="CW200" s="51">
        <f t="shared" si="561"/>
        <v>0</v>
      </c>
      <c r="CX200" s="439" t="e">
        <f t="shared" ca="1" si="562"/>
        <v>#VALUE!</v>
      </c>
      <c r="CY200" s="51" t="e">
        <f t="shared" ca="1" si="563"/>
        <v>#VALUE!</v>
      </c>
      <c r="CZ200" s="10"/>
      <c r="DA200" s="51" t="e">
        <f t="shared" ca="1" si="564"/>
        <v>#VALUE!</v>
      </c>
      <c r="DB200" s="347" t="e">
        <f ca="1">INDEX(INDIRECT(VLOOKUP(LEFT(BO200,7),CLU!$Z$3:$AI$18,10)),((M200-2)*(6-COUNTBLANK(GT200:GY200)))+GJ200)*LI200</f>
        <v>#N/A</v>
      </c>
      <c r="DC200" s="347" t="str">
        <f>IF(L200&gt;0,((R200/Worksheet!$I$15)/DB200)^2," ")</f>
        <v xml:space="preserve"> </v>
      </c>
      <c r="DD200" s="602" t="str">
        <f t="shared" si="565"/>
        <v xml:space="preserve"> </v>
      </c>
      <c r="DE200" s="347" t="str">
        <f t="shared" si="458"/>
        <v xml:space="preserve"> </v>
      </c>
      <c r="DF200" s="356" t="e">
        <f ca="1">INDEX(INDIRECT(VLOOKUP(LEFT(BO200,7),CLU!$Z$3:$AH$18,8)),((M200-2)*(6-COUNTBLANK(GT200:GY200)))+GJ200)</f>
        <v>#N/A</v>
      </c>
      <c r="DG200" s="347" t="str">
        <f t="shared" si="459"/>
        <v xml:space="preserve"> </v>
      </c>
      <c r="DH200" s="357" t="str">
        <f t="shared" si="460"/>
        <v xml:space="preserve"> </v>
      </c>
      <c r="DI200" s="355" t="str">
        <f t="shared" si="461"/>
        <v xml:space="preserve"> </v>
      </c>
      <c r="DJ200" s="245" t="e">
        <f ca="1">INDEX(INDIRECT(VLOOKUP(LEFT(BO200,7),CLU!$Z$3:$AH$18,5)),GL200,GK200)</f>
        <v>#N/A</v>
      </c>
      <c r="DK200" s="245" t="e">
        <f ca="1">INDEX(INDIRECT(VLOOKUP(LEFT(BO200,7),CLU!$Z$3:$AH$18,6)),GL200,GK200)</f>
        <v>#N/A</v>
      </c>
      <c r="DL200" s="355">
        <f>(Calculation!R200*0.69143*(Calculation!$BQ$8-Calculation!$F$8))*$S$14</f>
        <v>0</v>
      </c>
      <c r="DM200" s="359" t="e">
        <f t="shared" si="566"/>
        <v>#VALUE!</v>
      </c>
      <c r="DN200" s="611">
        <f t="shared" si="567"/>
        <v>0</v>
      </c>
      <c r="DO200" s="359">
        <f t="shared" si="568"/>
        <v>100</v>
      </c>
      <c r="DP200" s="359">
        <f t="shared" si="569"/>
        <v>0</v>
      </c>
      <c r="DQ200" s="360"/>
      <c r="DR200" s="245" t="e">
        <f ca="1">INDEX(INDIRECT(VLOOKUP(LEFT(BO200,7),CLU!$Z$3:$AH$18,7)),M200-1,1)</f>
        <v>#N/A</v>
      </c>
      <c r="DS200" s="245" t="e">
        <f ca="1">INDEX(INDIRECT(VLOOKUP(LEFT(BO200,7),CLU!$Z$3:$AH$18,7)),M200-1,2)</f>
        <v>#N/A</v>
      </c>
      <c r="DT200" s="245" t="e">
        <f ca="1">INDEX(INDIRECT(VLOOKUP(LEFT(BO200,7),CLU!$Z$3:$AH$18,7)),M200-1,3)</f>
        <v>#N/A</v>
      </c>
      <c r="DU200" s="245" t="e">
        <f ca="1">INDEX(INDIRECT(VLOOKUP(LEFT(BO200,7),CLU!$Z$3:$AH$18,7)),M200-1,4)</f>
        <v>#N/A</v>
      </c>
      <c r="DV200" s="361" t="e">
        <f ca="1">INDEX(INDIRECT(VLOOKUP(LEFT(BO200,7),CLU!$Z$3:$AH$18,7)),M200-1,4+LEFT(DZ200,1)*0.5)</f>
        <v>#N/A</v>
      </c>
      <c r="DW200" s="245" t="e">
        <f ca="1">INDEX(INDIRECT(VLOOKUP(LEFT(BO200,7),CLU!$Z$3:$AH$18,7)),M200-1,8)</f>
        <v>#N/A</v>
      </c>
      <c r="DX200" s="361" t="str">
        <f t="shared" si="462"/>
        <v xml:space="preserve"> </v>
      </c>
      <c r="DY200" s="361" t="str">
        <f t="shared" si="463"/>
        <v xml:space="preserve"> </v>
      </c>
      <c r="DZ200" s="361" t="str">
        <f t="shared" si="464"/>
        <v xml:space="preserve"> </v>
      </c>
      <c r="EA200" s="362" t="str">
        <f t="shared" si="465"/>
        <v xml:space="preserve"> </v>
      </c>
      <c r="EB200" s="624" t="str">
        <f t="shared" si="570"/>
        <v xml:space="preserve"> </v>
      </c>
      <c r="EC200" s="361" t="e">
        <f ca="1">INDEX(INDIRECT(VLOOKUP(LEFT(BO200,7),CLU!$Z$3:$AH$18,7)),M200-1,4+LEFT(DZ200,1)*0.5)</f>
        <v>#N/A</v>
      </c>
      <c r="ED200" s="362" t="str">
        <f t="shared" si="466"/>
        <v xml:space="preserve"> </v>
      </c>
      <c r="EE200" s="361" t="str">
        <f t="shared" si="467"/>
        <v xml:space="preserve"> </v>
      </c>
      <c r="EF200" s="362" t="str">
        <f>IF(L200&gt;0,IF(BR200&gt;0,IF(EE200="2P",IF(Calculation!DZ200="2P",IF(Calculation!DS200=13.75,IF(Calculation!DR200=13,Worksheet!$BD$43,IF(Calculation!DR200=37,Worksheet!$BD$44,Worksheet!$BD$45)),IF(Calculation!DS200=10,IF(Calculation!DR200=18,Worksheet!$BD$29,IF(Calculation!DR200=30,Worksheet!$BD$30,IF(Calculation!DR200=42,Worksheet!$BD$31,IF(Calculation!DR200=54,Worksheet!$BD$32,IF(Calculation!DR200=66,Worksheet!$BD$33,IF(Calculation!DR200=78,Worksheet!$BD$34,IF(Calculation!DR200=90,Worksheet!$BD$35,IF(Calculation!DR200=102,Worksheet!$BD$36,Worksheet!$BD$37)))))))),IF(Calculation!DS200=12.5,IF(Calculation!DR200=18,Worksheet!$BD$38,IF(Calculation!DR200=Worksheet!$BD$39,IF(Calculation!DR200=42,Worksheet!$BD$40,IF(Calculation!DR200=54,Worksheet!$BD$41,Worksheet!$BD$42)))),IF(Calculation!DR200=18,Worksheet!$BD$11,IF(Calculation!DR200=30,Worksheet!$BD$12,IF(Calculation!DR200=42,Worksheet!$BD$13,IF(Calculation!DR200=54,Worksheet!$BD$14,IF(Calculation!DR200=66,Worksheet!$BD$15,IF(Calculation!DR200=78,Worksheet!$BD$16,IF(Calculation!DR200=90,Worksheet!$BD$17,IF(Calculation!DR200=102,Worksheet!$BD$18,Worksheet!$BD$19))))))))))),IF(Calculation!DS200=13.75,IF(Calculation!DR200=13,Worksheet!$BD$78,IF(Calculation!DR200=37,Worksheet!$BD$79,Worksheet!$BD$80)),IF(Calculation!DS200=10,IF(Calculation!DR200=18,Worksheet!$BD$64,IF(Calculation!DR200=30,Worksheet!$BD$65,IF(Calculation!DR200=42,Worksheet!$BD$66,IF(Calculation!DR200=54,Worksheet!$BD$68,IF(Calculation!DR200=66,Worksheet!$BD$68,IF(Calculation!DR200=78,Worksheet!$BD$69,IF(Calculation!DR200=90,Worksheet!$BD$70,IF(Calculation!DR200=102,Worksheet!$BD$71,Worksheet!$BD$72)))))))),IF(Calculation!DS200=12.5,IF(Calculation!DR200=18,Worksheet!$BD$73,IF(Calculation!DR200=Worksheet!$BD$74,IF(Calculation!DR200=42,Worksheet!$BD$75,IF(Calculation!DR200=54,Worksheet!$BD$76,Worksheet!$BD$77)))),IF(Calculation!DR200=18,Worksheet!$BD$55,IF(Calculation!DR200=30,Worksheet!$BD$56,IF(Calculation!DR200=42,Worksheet!$BD$57,IF(Calculation!DR200=54,Worksheet!$BD$58,IF(Calculation!DR200=66,Worksheet!$BD$59,IF(Calculation!DR200=78,Worksheet!$BD$60,IF(Calculation!DR200=90,Worksheet!$BD$61,IF(Calculation!DR200=102,Worksheet!$BD$62,Worksheet!$BD$63)))))))))))),5),0)," ")</f>
        <v xml:space="preserve"> </v>
      </c>
      <c r="EG200" s="361" t="str">
        <f t="shared" si="468"/>
        <v xml:space="preserve"> </v>
      </c>
      <c r="EH200" s="361" t="e">
        <f ca="1">INDEX(INDIRECT(VLOOKUP(LEFT(BO200,7),CLU!$Z$3:$AH$18,7)),M200-1,3+LEFT(DZ200,1))</f>
        <v>#N/A</v>
      </c>
      <c r="EI200" s="362" t="str">
        <f t="shared" si="469"/>
        <v xml:space="preserve"> </v>
      </c>
      <c r="EJ200" s="363" t="str">
        <f t="shared" si="470"/>
        <v xml:space="preserve"> </v>
      </c>
      <c r="EK200" s="363" t="str">
        <f t="shared" si="471"/>
        <v xml:space="preserve"> </v>
      </c>
      <c r="EL200" s="363" t="str">
        <f t="shared" si="472"/>
        <v xml:space="preserve"> </v>
      </c>
      <c r="EM200" s="362" t="str">
        <f>IF(L200&gt;0,IF(BR200&gt;0,(Calculation!T200/ED200)^2,0)," ")</f>
        <v xml:space="preserve"> </v>
      </c>
      <c r="EN200" s="362" t="str">
        <f>IF(L200&gt;0,IF(O200="2 Pipe (Cooling)","N/A",IF(BR200&gt;0,(Calculation!U200/EI200)^2,0))," ")</f>
        <v xml:space="preserve"> </v>
      </c>
      <c r="EO200" s="361" t="str">
        <f t="shared" si="473"/>
        <v/>
      </c>
      <c r="EP200" s="361" t="str">
        <f t="shared" si="474"/>
        <v/>
      </c>
      <c r="EQ200" s="361" t="str">
        <f t="shared" si="475"/>
        <v/>
      </c>
      <c r="ER200" s="361" t="str">
        <f t="shared" si="476"/>
        <v/>
      </c>
      <c r="ES200" s="361" t="str">
        <f t="shared" si="477"/>
        <v/>
      </c>
      <c r="ET200" s="361" t="str">
        <f t="shared" si="478"/>
        <v/>
      </c>
      <c r="EU200" s="361" t="str">
        <f t="shared" si="479"/>
        <v/>
      </c>
      <c r="EV200" s="361" t="str">
        <f t="shared" si="480"/>
        <v/>
      </c>
      <c r="EW200" s="361" t="str">
        <f t="shared" si="481"/>
        <v/>
      </c>
      <c r="EX200" s="361" t="str">
        <f t="shared" si="571"/>
        <v>1 slot, 1 way</v>
      </c>
      <c r="EY200" s="361" t="str">
        <f t="shared" si="572"/>
        <v xml:space="preserve"> </v>
      </c>
      <c r="EZ200" s="361" t="str">
        <f t="shared" si="573"/>
        <v xml:space="preserve"> </v>
      </c>
      <c r="FA200" s="361" t="str">
        <f t="shared" si="574"/>
        <v xml:space="preserve"> </v>
      </c>
      <c r="FB200" s="361" t="str">
        <f t="shared" si="575"/>
        <v xml:space="preserve"> </v>
      </c>
      <c r="FC200" s="361"/>
      <c r="FD200" s="361" t="str">
        <f>IF(J200&gt;0,IF(Calculation!R200&lt;=70,4,IF(Calculation!R200&lt;=110,5,IF(Calculation!R200&lt;=160,6,IF(Calculation!R200&lt;=300,8,"10 EO")))),"")</f>
        <v/>
      </c>
      <c r="FE200" s="361" t="str">
        <f t="shared" si="576"/>
        <v/>
      </c>
      <c r="FF200" s="361" t="str">
        <f t="shared" si="577"/>
        <v/>
      </c>
      <c r="FG200" s="361" t="e">
        <f t="shared" si="482"/>
        <v>#N/A</v>
      </c>
      <c r="FH200" s="361">
        <f t="shared" si="483"/>
        <v>0</v>
      </c>
      <c r="FI200" s="361" t="e">
        <f t="shared" si="484"/>
        <v>#DIV/0!</v>
      </c>
      <c r="FJ200" s="361"/>
      <c r="FK200" s="356" t="e">
        <f t="shared" si="485"/>
        <v>#VALUE!</v>
      </c>
      <c r="FL200" s="361"/>
      <c r="FM200" s="361"/>
      <c r="FN200" s="362" t="str">
        <f t="shared" si="578"/>
        <v xml:space="preserve"> </v>
      </c>
      <c r="FO200" s="362" t="str">
        <f t="shared" si="579"/>
        <v xml:space="preserve"> </v>
      </c>
      <c r="FP200" s="362">
        <f t="shared" si="580"/>
        <v>0</v>
      </c>
      <c r="FQ200" s="361">
        <f t="shared" si="486"/>
        <v>0</v>
      </c>
      <c r="FR200" s="362" t="str">
        <f>IF(L200&gt;0,IF(J200="CBAL2",Worksheet!$P$67,IF(J200="CBE2-24",Worksheet!$Q$67,IF(J200="CBAM",Worksheet!$R$67,IF(J200="CBLV",Worksheet!$S$67,IF(J200="CBAB",Worksheet!$U$67,IF(J200="CBAW",Worksheet!$X$67,IF(J200="CBE2-12",Worksheet!$Y$67,IF(J200="CBAL2",Worksheet!$Z$67,"N/A"))))))))," ")</f>
        <v xml:space="preserve"> </v>
      </c>
      <c r="FS200" s="362" t="str">
        <f>IF(L200&gt;0,IF(J200="CBAL2",Worksheet!$P$68,IF(J200="CBE2-24",Worksheet!$Q$68,IF(J200="CBAM",Worksheet!$R$68,IF(J200="CBLV",Worksheet!$S$68,IF(J200="CBAB",Worksheet!$U$68,IF(J200="CBAW",Worksheet!$X$68,IF(J200="CBE2-12",Worksheet!$Y$68,IF(J200="CBAL2",Worksheet!$Z$68,"N/A"))))))))," ")</f>
        <v xml:space="preserve"> </v>
      </c>
      <c r="FT200" s="362" t="str">
        <f>IF(L200&gt;0,IF(J200="CBAL2",Worksheet!$P$69,IF(J200="CBE2-24",Worksheet!$Q$69,IF(J200="CBAM",Worksheet!$R$69,IF(J200="CBLV",Worksheet!$S$69,IF(J200="CBAB",Worksheet!$U$69,IF(J200="CBAW",Worksheet!$X$69,IF(J200="CBE2-12",Worksheet!$Y$69,IF(J200="CBAL2",Worksheet!$Z$69,"N/A"))))))))," ")</f>
        <v xml:space="preserve"> </v>
      </c>
      <c r="FU200" s="361" t="str">
        <f t="shared" si="581"/>
        <v xml:space="preserve"> </v>
      </c>
      <c r="FV200" s="362" t="str">
        <f t="shared" si="582"/>
        <v xml:space="preserve"> </v>
      </c>
      <c r="FW200" s="362" t="str">
        <f t="shared" si="583"/>
        <v xml:space="preserve"> </v>
      </c>
      <c r="FX200" s="362" t="str">
        <f t="shared" si="584"/>
        <v xml:space="preserve"> </v>
      </c>
      <c r="FY200" s="355" t="str">
        <f t="shared" si="585"/>
        <v xml:space="preserve"> </v>
      </c>
      <c r="FZ200" s="361" t="str">
        <f t="shared" si="586"/>
        <v xml:space="preserve"> </v>
      </c>
      <c r="GA200" s="347" t="str">
        <f t="shared" si="587"/>
        <v xml:space="preserve"> </v>
      </c>
      <c r="GB200" s="355" t="str">
        <f t="shared" si="588"/>
        <v xml:space="preserve"> </v>
      </c>
      <c r="GC200" s="328" t="str">
        <f t="shared" si="589"/>
        <v xml:space="preserve"> </v>
      </c>
      <c r="GD200" s="361" t="str">
        <f t="shared" si="590"/>
        <v xml:space="preserve"> </v>
      </c>
      <c r="GE200" s="347" t="str">
        <f t="shared" si="591"/>
        <v xml:space="preserve"> </v>
      </c>
      <c r="GF200" s="361" t="str">
        <f t="shared" si="592"/>
        <v xml:space="preserve"> </v>
      </c>
      <c r="GG200" s="347" t="str">
        <f t="shared" si="593"/>
        <v xml:space="preserve"> </v>
      </c>
      <c r="GH200" s="364">
        <f t="shared" si="487"/>
        <v>0</v>
      </c>
      <c r="GI200" s="362">
        <f t="shared" si="594"/>
        <v>2</v>
      </c>
      <c r="GJ200" s="433" t="e">
        <f>IF(6-COUNTBLANK(GT200:GY200)=4,MATCH(MID(BO200,9,3),CLU!$H$16:$K$16),MATCH(MID(BO200,9,3),CLU!$H$13:$M$13))</f>
        <v>#N/A</v>
      </c>
      <c r="GK200" s="433" t="e">
        <f>HLOOKUP(VALUE(BP200),CLU!$H$9:$M$10,2)</f>
        <v>#VALUE!</v>
      </c>
      <c r="GL200" s="433" t="e">
        <f ca="1">MATCH(BU200,CLU!$H$2:$V$2,1)</f>
        <v>#VALUE!</v>
      </c>
      <c r="GM200" s="433" t="e">
        <f t="shared" ca="1" si="595"/>
        <v>#VALUE!</v>
      </c>
      <c r="GN200" s="433" t="e">
        <f t="shared" ca="1" si="596"/>
        <v>#VALUE!</v>
      </c>
      <c r="GO200" s="433" t="e">
        <f t="shared" ca="1" si="597"/>
        <v>#VALUE!</v>
      </c>
      <c r="GP200" s="433" t="e">
        <f t="shared" ca="1" si="598"/>
        <v>#VALUE!</v>
      </c>
      <c r="GQ200" s="433" t="e">
        <f t="shared" ca="1" si="599"/>
        <v>#VALUE!</v>
      </c>
      <c r="GR200" s="433" t="e">
        <f ca="1">MATCH(T200,INDIRECT(VLOOKUP(CONCATENATE(LEFT(BO200,7),"-",MID(BO200,13,1)),CLU!$P$3:$Q$16,2)),1)</f>
        <v>#N/A</v>
      </c>
      <c r="GS200" s="433" t="e">
        <f ca="1">MATCH(U200,INDIRECT(VLOOKUP(CONCATENATE(LEFT(BO200,7),"-",MID(BO200,13,1)),CLU!$P$3:$Q$16,2)),1)</f>
        <v>#N/A</v>
      </c>
      <c r="GT200" s="347" t="s">
        <v>512</v>
      </c>
      <c r="GU200" s="97" t="s">
        <v>513</v>
      </c>
      <c r="GV200" s="97" t="str">
        <f t="shared" si="600"/>
        <v>M23</v>
      </c>
      <c r="GW200" s="97" t="str">
        <f t="shared" si="601"/>
        <v>M31</v>
      </c>
      <c r="GX200" s="97" t="str">
        <f t="shared" si="602"/>
        <v/>
      </c>
      <c r="GY200" s="97" t="str">
        <f t="shared" si="603"/>
        <v/>
      </c>
      <c r="GZ200" s="481"/>
      <c r="HA200" s="288"/>
      <c r="HB200" s="240"/>
      <c r="HC200" s="240"/>
      <c r="HD200" s="240"/>
      <c r="HE200" s="240"/>
      <c r="HF200" s="240"/>
      <c r="HG200" s="240"/>
      <c r="HH200" s="240"/>
      <c r="HI200" s="240"/>
      <c r="HJ200" s="240"/>
      <c r="HK200" s="240"/>
      <c r="HL200" s="240"/>
      <c r="HM200" s="240"/>
      <c r="HN200" s="240"/>
      <c r="HO200" s="240"/>
      <c r="HP200" s="240"/>
      <c r="HQ200" s="240"/>
      <c r="HR200" s="240"/>
      <c r="HS200" s="240"/>
      <c r="HT200" s="240"/>
      <c r="HU200" s="240"/>
      <c r="HV200" s="245"/>
      <c r="HW200" s="245" t="b">
        <v>1</v>
      </c>
      <c r="HX200" s="245" t="str">
        <f t="shared" si="488"/>
        <v/>
      </c>
      <c r="HY200" s="245" t="e">
        <f t="shared" si="489"/>
        <v>#DIV/0!</v>
      </c>
      <c r="HZ200" s="245" t="e">
        <f t="shared" si="490"/>
        <v>#DIV/0!</v>
      </c>
      <c r="IA200" s="245">
        <f t="shared" si="491"/>
        <v>0</v>
      </c>
      <c r="IB200" s="245"/>
      <c r="IC200" t="b">
        <f t="shared" si="492"/>
        <v>1</v>
      </c>
      <c r="ID200" s="245" t="b">
        <f t="shared" si="493"/>
        <v>1</v>
      </c>
      <c r="IE200" s="245" t="b">
        <f t="shared" si="494"/>
        <v>1</v>
      </c>
      <c r="IF200" s="245" t="b">
        <f t="shared" si="495"/>
        <v>0</v>
      </c>
      <c r="IG200" s="245" t="b">
        <f t="shared" si="496"/>
        <v>1</v>
      </c>
      <c r="IH200" s="245" t="b">
        <f t="shared" si="497"/>
        <v>1</v>
      </c>
      <c r="II200" s="245">
        <f t="shared" si="604"/>
        <v>0</v>
      </c>
      <c r="IJ200" s="245" t="e">
        <f t="shared" si="498"/>
        <v>#VALUE!</v>
      </c>
      <c r="IK200" s="245" t="e">
        <f t="shared" si="499"/>
        <v>#VALUE!</v>
      </c>
      <c r="IL200" s="245"/>
      <c r="IM200" s="245" t="e">
        <f t="shared" si="605"/>
        <v>#N/A</v>
      </c>
      <c r="IN200" s="245" t="e">
        <f t="shared" si="606"/>
        <v>#N/A</v>
      </c>
      <c r="IO200" s="245"/>
      <c r="IP200" s="245"/>
      <c r="IQ200" s="245" t="str">
        <f t="shared" si="500"/>
        <v/>
      </c>
      <c r="IR200" s="245" t="str">
        <f>IF(J200="","",VLOOKUP(J200,Worksheet!$R$4:$T$14,2))</f>
        <v/>
      </c>
      <c r="IS200" s="245"/>
      <c r="IT200" s="245">
        <f t="shared" si="501"/>
        <v>0</v>
      </c>
      <c r="IU200" s="245">
        <f t="shared" si="502"/>
        <v>0</v>
      </c>
      <c r="IV200" s="245">
        <f t="shared" si="503"/>
        <v>0</v>
      </c>
      <c r="IW200" s="245">
        <f t="shared" si="504"/>
        <v>0</v>
      </c>
      <c r="IX200" s="245">
        <f t="shared" si="607"/>
        <v>0</v>
      </c>
      <c r="IY200" s="245">
        <f t="shared" si="505"/>
        <v>0</v>
      </c>
      <c r="IZ200" s="245">
        <f t="shared" si="506"/>
        <v>0</v>
      </c>
      <c r="JA200">
        <f t="shared" si="507"/>
        <v>0</v>
      </c>
      <c r="JB200">
        <f t="shared" si="608"/>
        <v>0</v>
      </c>
      <c r="JC200">
        <f t="shared" si="508"/>
        <v>0</v>
      </c>
      <c r="JD200">
        <f t="shared" si="509"/>
        <v>0</v>
      </c>
      <c r="JE200">
        <f t="shared" si="510"/>
        <v>0</v>
      </c>
      <c r="JF200">
        <f t="shared" si="511"/>
        <v>0</v>
      </c>
      <c r="JG200">
        <f t="shared" si="512"/>
        <v>0</v>
      </c>
      <c r="JH200">
        <f t="shared" si="513"/>
        <v>0</v>
      </c>
      <c r="JI200">
        <f t="shared" si="514"/>
        <v>0</v>
      </c>
      <c r="JJ200" s="447">
        <f t="shared" si="515"/>
        <v>0</v>
      </c>
      <c r="JK200" s="447">
        <f t="shared" si="516"/>
        <v>0</v>
      </c>
      <c r="JL200">
        <f t="shared" si="517"/>
        <v>0</v>
      </c>
      <c r="JM200" s="245" t="str">
        <f>IFERROR(VLOOKUP(MATCH(BN200,#REF!,0),#REF!,7),"")</f>
        <v/>
      </c>
      <c r="JN200" t="e">
        <f>HLOOKUP(LEFT(BO200,7),Discharge_Area,MATCH(JO200,LookUps!$B$130:$B$149,1)+2)</f>
        <v>#N/A</v>
      </c>
      <c r="JO200" t="str">
        <f t="shared" si="518"/>
        <v>- S</v>
      </c>
      <c r="JP200" t="e">
        <f>HLOOKUP(LEFT(BO200,7),Discharge_Area,MATCH(JO200,LookUps!$B$130:$B$149,1)+2)</f>
        <v>#N/A</v>
      </c>
      <c r="JQ200" t="e">
        <f t="shared" si="519"/>
        <v>#N/A</v>
      </c>
      <c r="JR200" t="e">
        <f t="shared" si="520"/>
        <v>#N/A</v>
      </c>
      <c r="JS200" t="e">
        <f t="shared" si="521"/>
        <v>#N/A</v>
      </c>
      <c r="JT200" s="532" t="str">
        <f t="shared" si="522"/>
        <v xml:space="preserve"> </v>
      </c>
      <c r="JU200" s="532" t="str">
        <f t="shared" si="523"/>
        <v xml:space="preserve"> </v>
      </c>
      <c r="JV200" s="533" t="str">
        <f t="shared" si="524"/>
        <v xml:space="preserve"> </v>
      </c>
      <c r="JW200" s="534">
        <f t="shared" si="525"/>
        <v>0</v>
      </c>
      <c r="JX200" s="535" t="str">
        <f t="shared" si="609"/>
        <v xml:space="preserve"> </v>
      </c>
      <c r="JY200" s="535" t="str">
        <f t="shared" si="610"/>
        <v xml:space="preserve"> </v>
      </c>
      <c r="JZ200" s="535" t="str">
        <f t="shared" si="611"/>
        <v xml:space="preserve"> </v>
      </c>
      <c r="KA200" s="536" t="str">
        <f t="shared" si="526"/>
        <v xml:space="preserve"> </v>
      </c>
      <c r="KB200" s="535" t="e">
        <f t="shared" si="612"/>
        <v>#VALUE!</v>
      </c>
      <c r="KC200" s="535" t="str">
        <f t="shared" si="527"/>
        <v/>
      </c>
      <c r="KD200" s="537" t="str">
        <f t="shared" si="613"/>
        <v xml:space="preserve"> </v>
      </c>
      <c r="KE200" s="537" t="str">
        <f t="shared" si="614"/>
        <v xml:space="preserve"> </v>
      </c>
      <c r="KF200" s="534">
        <f t="shared" si="528"/>
        <v>0</v>
      </c>
      <c r="KG200" s="535" t="str">
        <f t="shared" si="529"/>
        <v xml:space="preserve"> </v>
      </c>
      <c r="KH200" s="535" t="str">
        <f t="shared" si="530"/>
        <v xml:space="preserve"> </v>
      </c>
      <c r="KI200" s="535" t="str">
        <f t="shared" si="531"/>
        <v xml:space="preserve"> </v>
      </c>
      <c r="KJ200" s="536" t="str">
        <f t="shared" si="532"/>
        <v xml:space="preserve"> </v>
      </c>
      <c r="KK200" s="535" t="str">
        <f t="shared" si="615"/>
        <v xml:space="preserve"> </v>
      </c>
      <c r="KL200" s="535" t="str">
        <f t="shared" si="616"/>
        <v xml:space="preserve"> </v>
      </c>
      <c r="KM200" s="537" t="str">
        <f t="shared" si="533"/>
        <v xml:space="preserve"> </v>
      </c>
      <c r="KN200" s="537" t="str">
        <f t="shared" si="617"/>
        <v xml:space="preserve"> </v>
      </c>
      <c r="KP200">
        <f t="shared" si="534"/>
        <v>0</v>
      </c>
      <c r="LA200" t="e">
        <f t="shared" si="535"/>
        <v>#VALUE!</v>
      </c>
      <c r="LB200" t="e">
        <f t="shared" si="536"/>
        <v>#VALUE!</v>
      </c>
      <c r="LC200" t="e">
        <f t="shared" si="537"/>
        <v>#VALUE!</v>
      </c>
      <c r="LD200" t="e">
        <f t="shared" si="538"/>
        <v>#VALUE!</v>
      </c>
      <c r="LE200" t="e">
        <f t="shared" si="618"/>
        <v>#VALUE!</v>
      </c>
      <c r="LF200">
        <f t="shared" si="539"/>
        <v>0</v>
      </c>
      <c r="LG200" t="e">
        <f t="shared" si="619"/>
        <v>#VALUE!</v>
      </c>
      <c r="LH200" t="str">
        <f t="shared" si="540"/>
        <v xml:space="preserve"> </v>
      </c>
      <c r="LI200">
        <f t="shared" si="620"/>
        <v>1</v>
      </c>
    </row>
    <row r="201" spans="2:321" ht="15" customHeight="1">
      <c r="B201" s="311"/>
      <c r="C201" s="311"/>
      <c r="D201" s="312"/>
      <c r="E201" s="311"/>
      <c r="F201" s="312"/>
      <c r="G201" s="311"/>
      <c r="H201" s="311"/>
      <c r="I201" s="232"/>
      <c r="J201" s="311"/>
      <c r="K201" s="305" t="str">
        <f t="shared" si="541"/>
        <v/>
      </c>
      <c r="L201" s="313"/>
      <c r="M201" s="312"/>
      <c r="N201" s="311"/>
      <c r="O201" s="312"/>
      <c r="P201" s="311"/>
      <c r="Q201" s="305" t="str">
        <f t="shared" si="542"/>
        <v/>
      </c>
      <c r="R201" s="314"/>
      <c r="S201" s="450" t="str">
        <f t="shared" si="425"/>
        <v/>
      </c>
      <c r="T201" s="315"/>
      <c r="U201" s="315"/>
      <c r="W201" s="149" t="str">
        <f t="shared" si="426"/>
        <v xml:space="preserve"> </v>
      </c>
      <c r="X201" s="243" t="str">
        <f t="shared" si="427"/>
        <v xml:space="preserve"> </v>
      </c>
      <c r="Y201" s="150" t="str">
        <f t="shared" si="428"/>
        <v/>
      </c>
      <c r="Z201" s="149" t="str">
        <f t="shared" si="429"/>
        <v xml:space="preserve"> </v>
      </c>
      <c r="AA201" s="98" t="str">
        <f t="shared" si="430"/>
        <v xml:space="preserve"> </v>
      </c>
      <c r="AB201" s="153" t="str">
        <f t="shared" si="431"/>
        <v xml:space="preserve"> </v>
      </c>
      <c r="AC201" s="153" t="str">
        <f t="shared" si="432"/>
        <v xml:space="preserve"> </v>
      </c>
      <c r="AD201" s="148" t="str">
        <f t="shared" si="433"/>
        <v/>
      </c>
      <c r="AE201" s="149" t="str">
        <f t="shared" si="434"/>
        <v/>
      </c>
      <c r="AF201" s="151" t="str">
        <f t="shared" si="435"/>
        <v xml:space="preserve"> </v>
      </c>
      <c r="AG201" s="153" t="str">
        <f t="shared" si="436"/>
        <v xml:space="preserve"> </v>
      </c>
      <c r="AH201" s="98" t="str">
        <f t="shared" si="437"/>
        <v xml:space="preserve"> </v>
      </c>
      <c r="AI201" s="149" t="str">
        <f t="shared" si="438"/>
        <v xml:space="preserve"> </v>
      </c>
      <c r="AK201" s="144" t="str">
        <f t="shared" si="439"/>
        <v xml:space="preserve"> </v>
      </c>
      <c r="AL201" s="144"/>
      <c r="AM201" s="243" t="str">
        <f t="shared" si="440"/>
        <v xml:space="preserve"> </v>
      </c>
      <c r="AN201" s="149" t="str">
        <f t="shared" si="543"/>
        <v xml:space="preserve"> </v>
      </c>
      <c r="AO201" s="144" t="str">
        <f>IF(JB201&gt;0,IF(GI201=10,-R201*1.085*(Calculation!$F$6-Calculation!$F$13)*$S$14," "),"")</f>
        <v/>
      </c>
      <c r="AP201" s="144" t="str">
        <f t="shared" si="441"/>
        <v/>
      </c>
      <c r="AQ201" s="56" t="str">
        <f t="shared" si="442"/>
        <v/>
      </c>
      <c r="AR201" s="144" t="str">
        <f t="shared" si="443"/>
        <v/>
      </c>
      <c r="AS201" s="176" t="str">
        <f t="shared" si="444"/>
        <v/>
      </c>
      <c r="AT201" s="176" t="str">
        <f t="shared" si="544"/>
        <v xml:space="preserve"> </v>
      </c>
      <c r="AU201" s="176" t="str">
        <f t="shared" si="445"/>
        <v/>
      </c>
      <c r="AV201" s="177" t="str">
        <f t="shared" si="446"/>
        <v xml:space="preserve"> </v>
      </c>
      <c r="AW201" s="144" t="str">
        <f t="shared" si="447"/>
        <v xml:space="preserve"> </v>
      </c>
      <c r="AX201" s="144" t="str">
        <f t="shared" si="448"/>
        <v xml:space="preserve"> </v>
      </c>
      <c r="AY201" s="152" t="str">
        <f t="shared" si="449"/>
        <v xml:space="preserve"> </v>
      </c>
      <c r="AZ201" s="246" t="str">
        <f t="shared" si="450"/>
        <v/>
      </c>
      <c r="BA201" s="176" t="str">
        <f t="shared" si="451"/>
        <v xml:space="preserve"> </v>
      </c>
      <c r="BB201" s="176" t="str">
        <f t="shared" si="452"/>
        <v xml:space="preserve"> </v>
      </c>
      <c r="BC201" s="195"/>
      <c r="BD201" s="316"/>
      <c r="BE201" s="317"/>
      <c r="BF201" s="318"/>
      <c r="BG201" s="318"/>
      <c r="BH201" s="144" t="str">
        <f t="shared" si="621"/>
        <v xml:space="preserve"> </v>
      </c>
      <c r="BI201" s="176" t="str">
        <f t="shared" si="453"/>
        <v/>
      </c>
      <c r="BJ201" s="144" t="str">
        <f t="shared" si="622"/>
        <v/>
      </c>
      <c r="BK201" s="246" t="str">
        <f t="shared" si="454"/>
        <v/>
      </c>
      <c r="BL201" s="144" t="str">
        <f t="shared" si="623"/>
        <v/>
      </c>
      <c r="BM201" s="246" t="str">
        <f t="shared" si="455"/>
        <v/>
      </c>
      <c r="BN201" s="337" t="str">
        <f t="shared" si="545"/>
        <v/>
      </c>
      <c r="BO201" s="371" t="str">
        <f t="shared" si="546"/>
        <v/>
      </c>
      <c r="BP201" s="328" t="str">
        <f t="shared" si="624"/>
        <v xml:space="preserve"> </v>
      </c>
      <c r="BQ201" s="347" t="str">
        <f t="shared" si="547"/>
        <v xml:space="preserve"> </v>
      </c>
      <c r="BR201" s="353" t="str">
        <f t="shared" si="548"/>
        <v xml:space="preserve"> </v>
      </c>
      <c r="BS201" s="626" t="str">
        <f>IF(L201&gt;0,IF(Calculation!P201="M13",BR201*3.1416*(0.134^2)/(4*144),IF(Calculation!P201="M17",BR201*3.1416*(0.165^2)/(4*144),IF(Calculation!P201="M20",BR201*3.1416*(0.198^2)/(4*144),IF(Calculation!P201="M23",BR201*3.1416*(0.228^2)/(4*144),IF(Calculation!P201="M27",BR201*3.1416*(0.269^2)/(4*144),BR201*3.1416*(0.307^2)/(4*144))))))," ")</f>
        <v xml:space="preserve"> </v>
      </c>
      <c r="BT201" s="353" t="str">
        <f>IF(L201&gt;0,IF(BS201&gt;0,R201/Calculation!BS201,0)," ")</f>
        <v xml:space="preserve"> </v>
      </c>
      <c r="BU201" s="438" t="e">
        <f t="shared" ca="1" si="456"/>
        <v>#VALUE!</v>
      </c>
      <c r="BV201" s="449" t="e">
        <f ca="1">INDEX(INDIRECT(VLOOKUP(LEFT(BO201,7),CLU!$Z$3:$AH$18,2)),GN201,GR201)</f>
        <v>#N/A</v>
      </c>
      <c r="BW201" s="433" t="e">
        <f ca="1">INDEX(INDIRECT(VLOOKUP(LEFT(BO201,7),CLU!$Z$3:$AH$18,3)),GN201,GR201)</f>
        <v>#N/A</v>
      </c>
      <c r="BX201" s="433" t="e">
        <f ca="1">INDEX(INDIRECT(VLOOKUP(LEFT(BO201,7),CLU!$Z$3:$AH$18,4)),GN201,GR201)</f>
        <v>#N/A</v>
      </c>
      <c r="BY201" s="433" t="e">
        <f ca="1">INDEX(INDIRECT(VLOOKUP(LEFT(BO201,7),CLU!$Z$3:$AH$18,9)),((M201-2)*(6-COUNTBLANK(GT201:GY201)))+GJ201)</f>
        <v>#N/A</v>
      </c>
      <c r="BZ201" s="426" t="e">
        <f t="shared" ca="1" si="549"/>
        <v>#N/A</v>
      </c>
      <c r="CA201" s="424" t="e">
        <f t="shared" ca="1" si="550"/>
        <v>#N/A</v>
      </c>
      <c r="CB201" s="429" t="e">
        <f ca="1">INDEX(INDIRECT(VLOOKUP(LEFT(BO201,7),CLU!$Z$3:$AH$18,2)),GN201,GS201)</f>
        <v>#N/A</v>
      </c>
      <c r="CC201" s="342" t="e">
        <f ca="1">INDEX(INDIRECT(VLOOKUP(LEFT(BO201,7),CLU!$Z$3:$AH$18,3)),GN201,GS201)</f>
        <v>#N/A</v>
      </c>
      <c r="CD201" s="342" t="e">
        <f ca="1">INDEX(INDIRECT(VLOOKUP(LEFT(BO201,7),CLU!$Z$3:$AH$18,4)),GN201,GS201)</f>
        <v>#N/A</v>
      </c>
      <c r="CE201" s="426" t="e">
        <f t="shared" ca="1" si="551"/>
        <v>#N/A</v>
      </c>
      <c r="CF201" s="440">
        <f t="shared" si="552"/>
        <v>0</v>
      </c>
      <c r="CG201" s="431" t="e">
        <f ca="1">INDEX(INDIRECT(VLOOKUP(LEFT(BO201,7),CLU!$Z$3:$AH$18,2)),GQ201,GR201)</f>
        <v>#N/A</v>
      </c>
      <c r="CH201" s="431" t="e">
        <f ca="1">INDEX(INDIRECT(VLOOKUP(LEFT(BO201,7),CLU!$Z$3:$AH$18,3)),GQ201,GR201)</f>
        <v>#N/A</v>
      </c>
      <c r="CI201" s="431" t="e">
        <f ca="1">INDEX(INDIRECT(VLOOKUP(LEFT(BO201,7),CLU!$Z$3:$AH$18,4)),GQ201,GR201)</f>
        <v>#N/A</v>
      </c>
      <c r="CJ201" s="448" t="e">
        <f t="shared" ca="1" si="553"/>
        <v>#N/A</v>
      </c>
      <c r="CK201" s="431" t="e">
        <f t="shared" ca="1" si="554"/>
        <v>#N/A</v>
      </c>
      <c r="CL201" s="440" t="e">
        <f t="shared" ca="1" si="555"/>
        <v>#N/A</v>
      </c>
      <c r="CM201" s="431" t="e">
        <f ca="1">INDEX(INDIRECT(VLOOKUP(LEFT(BO201,7),CLU!$Z$3:$AH$18,2)),GQ201,GS201)</f>
        <v>#N/A</v>
      </c>
      <c r="CN201" s="431" t="e">
        <f ca="1">INDEX(INDIRECT(VLOOKUP(LEFT(BO201,7),CLU!$Z$3:$AH$18,3)),GQ201,GS201)</f>
        <v>#N/A</v>
      </c>
      <c r="CO201" s="431" t="e">
        <f ca="1">INDEX(INDIRECT(VLOOKUP(LEFT(BO201,7),CLU!$Z$3:$AH$18,4)),GQ201,GS201)</f>
        <v>#N/A</v>
      </c>
      <c r="CP201" s="431" t="e">
        <f t="shared" ca="1" si="556"/>
        <v>#N/A</v>
      </c>
      <c r="CQ201" s="440">
        <f t="shared" si="557"/>
        <v>0</v>
      </c>
      <c r="CR201" s="51" t="e">
        <f t="shared" ca="1" si="558"/>
        <v>#N/A</v>
      </c>
      <c r="CS201" s="439" t="e">
        <f t="shared" ca="1" si="559"/>
        <v>#VALUE!</v>
      </c>
      <c r="CT201" s="51" t="e">
        <f t="shared" ca="1" si="560"/>
        <v>#VALUE!</v>
      </c>
      <c r="CU201" s="10"/>
      <c r="CV201" s="51" t="e">
        <f t="shared" ca="1" si="457"/>
        <v>#VALUE!</v>
      </c>
      <c r="CW201" s="51">
        <f t="shared" si="561"/>
        <v>0</v>
      </c>
      <c r="CX201" s="439" t="e">
        <f t="shared" ca="1" si="562"/>
        <v>#VALUE!</v>
      </c>
      <c r="CY201" s="51" t="e">
        <f t="shared" ca="1" si="563"/>
        <v>#VALUE!</v>
      </c>
      <c r="CZ201" s="10"/>
      <c r="DA201" s="51" t="e">
        <f t="shared" ca="1" si="564"/>
        <v>#VALUE!</v>
      </c>
      <c r="DB201" s="347" t="e">
        <f ca="1">INDEX(INDIRECT(VLOOKUP(LEFT(BO201,7),CLU!$Z$3:$AI$18,10)),((M201-2)*(6-COUNTBLANK(GT201:GY201)))+GJ201)*LI201</f>
        <v>#N/A</v>
      </c>
      <c r="DC201" s="347" t="str">
        <f>IF(L201&gt;0,((R201/Worksheet!$I$15)/DB201)^2," ")</f>
        <v xml:space="preserve"> </v>
      </c>
      <c r="DD201" s="602" t="str">
        <f t="shared" si="565"/>
        <v xml:space="preserve"> </v>
      </c>
      <c r="DE201" s="347" t="str">
        <f t="shared" si="458"/>
        <v xml:space="preserve"> </v>
      </c>
      <c r="DF201" s="356" t="e">
        <f ca="1">INDEX(INDIRECT(VLOOKUP(LEFT(BO201,7),CLU!$Z$3:$AH$18,8)),((M201-2)*(6-COUNTBLANK(GT201:GY201)))+GJ201)</f>
        <v>#N/A</v>
      </c>
      <c r="DG201" s="347" t="str">
        <f t="shared" si="459"/>
        <v xml:space="preserve"> </v>
      </c>
      <c r="DH201" s="357" t="str">
        <f t="shared" si="460"/>
        <v xml:space="preserve"> </v>
      </c>
      <c r="DI201" s="355" t="str">
        <f t="shared" si="461"/>
        <v xml:space="preserve"> </v>
      </c>
      <c r="DJ201" s="245" t="e">
        <f ca="1">INDEX(INDIRECT(VLOOKUP(LEFT(BO201,7),CLU!$Z$3:$AH$18,5)),GL201,GK201)</f>
        <v>#N/A</v>
      </c>
      <c r="DK201" s="245" t="e">
        <f ca="1">INDEX(INDIRECT(VLOOKUP(LEFT(BO201,7),CLU!$Z$3:$AH$18,6)),GL201,GK201)</f>
        <v>#N/A</v>
      </c>
      <c r="DL201" s="355">
        <f>(Calculation!R201*0.69143*(Calculation!$BQ$8-Calculation!$F$8))*$S$14</f>
        <v>0</v>
      </c>
      <c r="DM201" s="359" t="e">
        <f t="shared" si="566"/>
        <v>#VALUE!</v>
      </c>
      <c r="DN201" s="611">
        <f t="shared" si="567"/>
        <v>0</v>
      </c>
      <c r="DO201" s="359">
        <f t="shared" si="568"/>
        <v>100</v>
      </c>
      <c r="DP201" s="359">
        <f t="shared" si="569"/>
        <v>0</v>
      </c>
      <c r="DQ201" s="360"/>
      <c r="DR201" s="245" t="e">
        <f ca="1">INDEX(INDIRECT(VLOOKUP(LEFT(BO201,7),CLU!$Z$3:$AH$18,7)),M201-1,1)</f>
        <v>#N/A</v>
      </c>
      <c r="DS201" s="245" t="e">
        <f ca="1">INDEX(INDIRECT(VLOOKUP(LEFT(BO201,7),CLU!$Z$3:$AH$18,7)),M201-1,2)</f>
        <v>#N/A</v>
      </c>
      <c r="DT201" s="245" t="e">
        <f ca="1">INDEX(INDIRECT(VLOOKUP(LEFT(BO201,7),CLU!$Z$3:$AH$18,7)),M201-1,3)</f>
        <v>#N/A</v>
      </c>
      <c r="DU201" s="245" t="e">
        <f ca="1">INDEX(INDIRECT(VLOOKUP(LEFT(BO201,7),CLU!$Z$3:$AH$18,7)),M201-1,4)</f>
        <v>#N/A</v>
      </c>
      <c r="DV201" s="361" t="e">
        <f ca="1">INDEX(INDIRECT(VLOOKUP(LEFT(BO201,7),CLU!$Z$3:$AH$18,7)),M201-1,4+LEFT(DZ201,1)*0.5)</f>
        <v>#N/A</v>
      </c>
      <c r="DW201" s="245" t="e">
        <f ca="1">INDEX(INDIRECT(VLOOKUP(LEFT(BO201,7),CLU!$Z$3:$AH$18,7)),M201-1,8)</f>
        <v>#N/A</v>
      </c>
      <c r="DX201" s="361" t="str">
        <f t="shared" si="462"/>
        <v xml:space="preserve"> </v>
      </c>
      <c r="DY201" s="361" t="str">
        <f t="shared" si="463"/>
        <v xml:space="preserve"> </v>
      </c>
      <c r="DZ201" s="361" t="str">
        <f t="shared" si="464"/>
        <v xml:space="preserve"> </v>
      </c>
      <c r="EA201" s="362" t="str">
        <f t="shared" si="465"/>
        <v xml:space="preserve"> </v>
      </c>
      <c r="EB201" s="624" t="str">
        <f t="shared" si="570"/>
        <v xml:space="preserve"> </v>
      </c>
      <c r="EC201" s="361" t="e">
        <f ca="1">INDEX(INDIRECT(VLOOKUP(LEFT(BO201,7),CLU!$Z$3:$AH$18,7)),M201-1,4+LEFT(DZ201,1)*0.5)</f>
        <v>#N/A</v>
      </c>
      <c r="ED201" s="362" t="str">
        <f t="shared" si="466"/>
        <v xml:space="preserve"> </v>
      </c>
      <c r="EE201" s="361" t="str">
        <f t="shared" si="467"/>
        <v xml:space="preserve"> </v>
      </c>
      <c r="EF201" s="362" t="str">
        <f>IF(L201&gt;0,IF(BR201&gt;0,IF(EE201="2P",IF(Calculation!DZ201="2P",IF(Calculation!DS201=13.75,IF(Calculation!DR201=13,Worksheet!$BD$43,IF(Calculation!DR201=37,Worksheet!$BD$44,Worksheet!$BD$45)),IF(Calculation!DS201=10,IF(Calculation!DR201=18,Worksheet!$BD$29,IF(Calculation!DR201=30,Worksheet!$BD$30,IF(Calculation!DR201=42,Worksheet!$BD$31,IF(Calculation!DR201=54,Worksheet!$BD$32,IF(Calculation!DR201=66,Worksheet!$BD$33,IF(Calculation!DR201=78,Worksheet!$BD$34,IF(Calculation!DR201=90,Worksheet!$BD$35,IF(Calculation!DR201=102,Worksheet!$BD$36,Worksheet!$BD$37)))))))),IF(Calculation!DS201=12.5,IF(Calculation!DR201=18,Worksheet!$BD$38,IF(Calculation!DR201=Worksheet!$BD$39,IF(Calculation!DR201=42,Worksheet!$BD$40,IF(Calculation!DR201=54,Worksheet!$BD$41,Worksheet!$BD$42)))),IF(Calculation!DR201=18,Worksheet!$BD$11,IF(Calculation!DR201=30,Worksheet!$BD$12,IF(Calculation!DR201=42,Worksheet!$BD$13,IF(Calculation!DR201=54,Worksheet!$BD$14,IF(Calculation!DR201=66,Worksheet!$BD$15,IF(Calculation!DR201=78,Worksheet!$BD$16,IF(Calculation!DR201=90,Worksheet!$BD$17,IF(Calculation!DR201=102,Worksheet!$BD$18,Worksheet!$BD$19))))))))))),IF(Calculation!DS201=13.75,IF(Calculation!DR201=13,Worksheet!$BD$78,IF(Calculation!DR201=37,Worksheet!$BD$79,Worksheet!$BD$80)),IF(Calculation!DS201=10,IF(Calculation!DR201=18,Worksheet!$BD$64,IF(Calculation!DR201=30,Worksheet!$BD$65,IF(Calculation!DR201=42,Worksheet!$BD$66,IF(Calculation!DR201=54,Worksheet!$BD$68,IF(Calculation!DR201=66,Worksheet!$BD$68,IF(Calculation!DR201=78,Worksheet!$BD$69,IF(Calculation!DR201=90,Worksheet!$BD$70,IF(Calculation!DR201=102,Worksheet!$BD$71,Worksheet!$BD$72)))))))),IF(Calculation!DS201=12.5,IF(Calculation!DR201=18,Worksheet!$BD$73,IF(Calculation!DR201=Worksheet!$BD$74,IF(Calculation!DR201=42,Worksheet!$BD$75,IF(Calculation!DR201=54,Worksheet!$BD$76,Worksheet!$BD$77)))),IF(Calculation!DR201=18,Worksheet!$BD$55,IF(Calculation!DR201=30,Worksheet!$BD$56,IF(Calculation!DR201=42,Worksheet!$BD$57,IF(Calculation!DR201=54,Worksheet!$BD$58,IF(Calculation!DR201=66,Worksheet!$BD$59,IF(Calculation!DR201=78,Worksheet!$BD$60,IF(Calculation!DR201=90,Worksheet!$BD$61,IF(Calculation!DR201=102,Worksheet!$BD$62,Worksheet!$BD$63)))))))))))),5),0)," ")</f>
        <v xml:space="preserve"> </v>
      </c>
      <c r="EG201" s="361" t="str">
        <f t="shared" si="468"/>
        <v xml:space="preserve"> </v>
      </c>
      <c r="EH201" s="361" t="e">
        <f ca="1">INDEX(INDIRECT(VLOOKUP(LEFT(BO201,7),CLU!$Z$3:$AH$18,7)),M201-1,3+LEFT(DZ201,1))</f>
        <v>#N/A</v>
      </c>
      <c r="EI201" s="362" t="str">
        <f t="shared" si="469"/>
        <v xml:space="preserve"> </v>
      </c>
      <c r="EJ201" s="363" t="str">
        <f t="shared" si="470"/>
        <v xml:space="preserve"> </v>
      </c>
      <c r="EK201" s="363" t="str">
        <f t="shared" si="471"/>
        <v xml:space="preserve"> </v>
      </c>
      <c r="EL201" s="363" t="str">
        <f t="shared" si="472"/>
        <v xml:space="preserve"> </v>
      </c>
      <c r="EM201" s="362" t="str">
        <f>IF(L201&gt;0,IF(BR201&gt;0,(Calculation!T201/ED201)^2,0)," ")</f>
        <v xml:space="preserve"> </v>
      </c>
      <c r="EN201" s="362" t="str">
        <f>IF(L201&gt;0,IF(O201="2 Pipe (Cooling)","N/A",IF(BR201&gt;0,(Calculation!U201/EI201)^2,0))," ")</f>
        <v xml:space="preserve"> </v>
      </c>
      <c r="EO201" s="361" t="str">
        <f t="shared" si="473"/>
        <v/>
      </c>
      <c r="EP201" s="361" t="str">
        <f t="shared" si="474"/>
        <v/>
      </c>
      <c r="EQ201" s="361" t="str">
        <f t="shared" si="475"/>
        <v/>
      </c>
      <c r="ER201" s="361" t="str">
        <f t="shared" si="476"/>
        <v/>
      </c>
      <c r="ES201" s="361" t="str">
        <f t="shared" si="477"/>
        <v/>
      </c>
      <c r="ET201" s="361" t="str">
        <f t="shared" si="478"/>
        <v/>
      </c>
      <c r="EU201" s="361" t="str">
        <f t="shared" si="479"/>
        <v/>
      </c>
      <c r="EV201" s="361" t="str">
        <f t="shared" si="480"/>
        <v/>
      </c>
      <c r="EW201" s="361" t="str">
        <f t="shared" si="481"/>
        <v/>
      </c>
      <c r="EX201" s="361" t="str">
        <f t="shared" si="571"/>
        <v>1 slot, 1 way</v>
      </c>
      <c r="EY201" s="361" t="str">
        <f t="shared" si="572"/>
        <v xml:space="preserve"> </v>
      </c>
      <c r="EZ201" s="361" t="str">
        <f t="shared" si="573"/>
        <v xml:space="preserve"> </v>
      </c>
      <c r="FA201" s="361" t="str">
        <f t="shared" si="574"/>
        <v xml:space="preserve"> </v>
      </c>
      <c r="FB201" s="361" t="str">
        <f t="shared" si="575"/>
        <v xml:space="preserve"> </v>
      </c>
      <c r="FC201" s="361"/>
      <c r="FD201" s="361" t="str">
        <f>IF(J201&gt;0,IF(Calculation!R201&lt;=70,4,IF(Calculation!R201&lt;=110,5,IF(Calculation!R201&lt;=160,6,IF(Calculation!R201&lt;=300,8,"10 EO")))),"")</f>
        <v/>
      </c>
      <c r="FE201" s="361" t="str">
        <f t="shared" si="576"/>
        <v/>
      </c>
      <c r="FF201" s="361" t="str">
        <f t="shared" si="577"/>
        <v/>
      </c>
      <c r="FG201" s="361" t="e">
        <f t="shared" si="482"/>
        <v>#N/A</v>
      </c>
      <c r="FH201" s="361">
        <f t="shared" si="483"/>
        <v>0</v>
      </c>
      <c r="FI201" s="361" t="e">
        <f t="shared" si="484"/>
        <v>#DIV/0!</v>
      </c>
      <c r="FJ201" s="361"/>
      <c r="FK201" s="356" t="e">
        <f t="shared" si="485"/>
        <v>#VALUE!</v>
      </c>
      <c r="FL201" s="361"/>
      <c r="FM201" s="361"/>
      <c r="FN201" s="362" t="str">
        <f t="shared" si="578"/>
        <v xml:space="preserve"> </v>
      </c>
      <c r="FO201" s="362" t="str">
        <f t="shared" si="579"/>
        <v xml:space="preserve"> </v>
      </c>
      <c r="FP201" s="362">
        <f t="shared" si="580"/>
        <v>0</v>
      </c>
      <c r="FQ201" s="361">
        <f t="shared" si="486"/>
        <v>0</v>
      </c>
      <c r="FR201" s="362" t="str">
        <f>IF(L201&gt;0,IF(J201="CBAL2",Worksheet!$P$67,IF(J201="CBE2-24",Worksheet!$Q$67,IF(J201="CBAM",Worksheet!$R$67,IF(J201="CBLV",Worksheet!$S$67,IF(J201="CBAB",Worksheet!$U$67,IF(J201="CBAW",Worksheet!$X$67,IF(J201="CBE2-12",Worksheet!$Y$67,IF(J201="CBAL2",Worksheet!$Z$67,"N/A"))))))))," ")</f>
        <v xml:space="preserve"> </v>
      </c>
      <c r="FS201" s="362" t="str">
        <f>IF(L201&gt;0,IF(J201="CBAL2",Worksheet!$P$68,IF(J201="CBE2-24",Worksheet!$Q$68,IF(J201="CBAM",Worksheet!$R$68,IF(J201="CBLV",Worksheet!$S$68,IF(J201="CBAB",Worksheet!$U$68,IF(J201="CBAW",Worksheet!$X$68,IF(J201="CBE2-12",Worksheet!$Y$68,IF(J201="CBAL2",Worksheet!$Z$68,"N/A"))))))))," ")</f>
        <v xml:space="preserve"> </v>
      </c>
      <c r="FT201" s="362" t="str">
        <f>IF(L201&gt;0,IF(J201="CBAL2",Worksheet!$P$69,IF(J201="CBE2-24",Worksheet!$Q$69,IF(J201="CBAM",Worksheet!$R$69,IF(J201="CBLV",Worksheet!$S$69,IF(J201="CBAB",Worksheet!$U$69,IF(J201="CBAW",Worksheet!$X$69,IF(J201="CBE2-12",Worksheet!$Y$69,IF(J201="CBAL2",Worksheet!$Z$69,"N/A"))))))))," ")</f>
        <v xml:space="preserve"> </v>
      </c>
      <c r="FU201" s="361" t="str">
        <f t="shared" si="581"/>
        <v xml:space="preserve"> </v>
      </c>
      <c r="FV201" s="362" t="str">
        <f t="shared" si="582"/>
        <v xml:space="preserve"> </v>
      </c>
      <c r="FW201" s="362" t="str">
        <f t="shared" si="583"/>
        <v xml:space="preserve"> </v>
      </c>
      <c r="FX201" s="362" t="str">
        <f t="shared" si="584"/>
        <v xml:space="preserve"> </v>
      </c>
      <c r="FY201" s="355" t="str">
        <f t="shared" si="585"/>
        <v xml:space="preserve"> </v>
      </c>
      <c r="FZ201" s="361" t="str">
        <f t="shared" si="586"/>
        <v xml:space="preserve"> </v>
      </c>
      <c r="GA201" s="347" t="str">
        <f t="shared" si="587"/>
        <v xml:space="preserve"> </v>
      </c>
      <c r="GB201" s="355" t="str">
        <f t="shared" si="588"/>
        <v xml:space="preserve"> </v>
      </c>
      <c r="GC201" s="328" t="str">
        <f t="shared" si="589"/>
        <v xml:space="preserve"> </v>
      </c>
      <c r="GD201" s="361" t="str">
        <f t="shared" si="590"/>
        <v xml:space="preserve"> </v>
      </c>
      <c r="GE201" s="347" t="str">
        <f t="shared" si="591"/>
        <v xml:space="preserve"> </v>
      </c>
      <c r="GF201" s="361" t="str">
        <f t="shared" si="592"/>
        <v xml:space="preserve"> </v>
      </c>
      <c r="GG201" s="347" t="str">
        <f t="shared" si="593"/>
        <v xml:space="preserve"> </v>
      </c>
      <c r="GH201" s="364">
        <f t="shared" si="487"/>
        <v>0</v>
      </c>
      <c r="GI201" s="362">
        <f t="shared" si="594"/>
        <v>2</v>
      </c>
      <c r="GJ201" s="433" t="e">
        <f>IF(6-COUNTBLANK(GT201:GY201)=4,MATCH(MID(BO201,9,3),CLU!$H$16:$K$16),MATCH(MID(BO201,9,3),CLU!$H$13:$M$13))</f>
        <v>#N/A</v>
      </c>
      <c r="GK201" s="433" t="e">
        <f>HLOOKUP(VALUE(BP201),CLU!$H$9:$M$10,2)</f>
        <v>#VALUE!</v>
      </c>
      <c r="GL201" s="433" t="e">
        <f ca="1">MATCH(BU201,CLU!$H$2:$V$2,1)</f>
        <v>#VALUE!</v>
      </c>
      <c r="GM201" s="433" t="e">
        <f t="shared" ca="1" si="595"/>
        <v>#VALUE!</v>
      </c>
      <c r="GN201" s="433" t="e">
        <f t="shared" ca="1" si="596"/>
        <v>#VALUE!</v>
      </c>
      <c r="GO201" s="433" t="e">
        <f t="shared" ca="1" si="597"/>
        <v>#VALUE!</v>
      </c>
      <c r="GP201" s="433" t="e">
        <f t="shared" ca="1" si="598"/>
        <v>#VALUE!</v>
      </c>
      <c r="GQ201" s="433" t="e">
        <f t="shared" ca="1" si="599"/>
        <v>#VALUE!</v>
      </c>
      <c r="GR201" s="433" t="e">
        <f ca="1">MATCH(T201,INDIRECT(VLOOKUP(CONCATENATE(LEFT(BO201,7),"-",MID(BO201,13,1)),CLU!$P$3:$Q$16,2)),1)</f>
        <v>#N/A</v>
      </c>
      <c r="GS201" s="433" t="e">
        <f ca="1">MATCH(U201,INDIRECT(VLOOKUP(CONCATENATE(LEFT(BO201,7),"-",MID(BO201,13,1)),CLU!$P$3:$Q$16,2)),1)</f>
        <v>#N/A</v>
      </c>
      <c r="GT201" s="347" t="s">
        <v>512</v>
      </c>
      <c r="GU201" s="97" t="s">
        <v>513</v>
      </c>
      <c r="GV201" s="97" t="str">
        <f t="shared" si="600"/>
        <v>M23</v>
      </c>
      <c r="GW201" s="97" t="str">
        <f t="shared" si="601"/>
        <v>M31</v>
      </c>
      <c r="GX201" s="97" t="str">
        <f t="shared" si="602"/>
        <v/>
      </c>
      <c r="GY201" s="97" t="str">
        <f t="shared" si="603"/>
        <v/>
      </c>
      <c r="GZ201" s="481"/>
      <c r="HA201" s="288"/>
      <c r="HB201" s="240"/>
      <c r="HC201" s="240"/>
      <c r="HD201" s="240"/>
      <c r="HE201" s="240"/>
      <c r="HF201" s="240"/>
      <c r="HG201" s="240"/>
      <c r="HH201" s="240"/>
      <c r="HI201" s="240"/>
      <c r="HJ201" s="240"/>
      <c r="HK201" s="240"/>
      <c r="HL201" s="240"/>
      <c r="HM201" s="240"/>
      <c r="HN201" s="240"/>
      <c r="HO201" s="240"/>
      <c r="HP201" s="240"/>
      <c r="HQ201" s="240"/>
      <c r="HR201" s="240"/>
      <c r="HS201" s="240"/>
      <c r="HT201" s="240"/>
      <c r="HU201" s="240"/>
      <c r="HV201" s="245"/>
      <c r="HW201" s="245" t="b">
        <v>1</v>
      </c>
      <c r="HX201" s="245" t="str">
        <f t="shared" si="488"/>
        <v/>
      </c>
      <c r="HY201" s="245" t="e">
        <f t="shared" si="489"/>
        <v>#DIV/0!</v>
      </c>
      <c r="HZ201" s="245" t="e">
        <f t="shared" si="490"/>
        <v>#DIV/0!</v>
      </c>
      <c r="IA201" s="245">
        <f t="shared" si="491"/>
        <v>0</v>
      </c>
      <c r="IB201" s="245"/>
      <c r="IC201" t="b">
        <f t="shared" si="492"/>
        <v>1</v>
      </c>
      <c r="ID201" s="245" t="b">
        <f t="shared" si="493"/>
        <v>1</v>
      </c>
      <c r="IE201" s="245" t="b">
        <f t="shared" si="494"/>
        <v>1</v>
      </c>
      <c r="IF201" s="245" t="b">
        <f t="shared" si="495"/>
        <v>0</v>
      </c>
      <c r="IG201" s="245" t="b">
        <f t="shared" si="496"/>
        <v>1</v>
      </c>
      <c r="IH201" s="245" t="b">
        <f t="shared" si="497"/>
        <v>1</v>
      </c>
      <c r="II201" s="245">
        <f t="shared" si="604"/>
        <v>0</v>
      </c>
      <c r="IJ201" s="245" t="e">
        <f t="shared" si="498"/>
        <v>#VALUE!</v>
      </c>
      <c r="IK201" s="245" t="e">
        <f t="shared" si="499"/>
        <v>#VALUE!</v>
      </c>
      <c r="IL201" s="245"/>
      <c r="IM201" s="245" t="e">
        <f t="shared" si="605"/>
        <v>#N/A</v>
      </c>
      <c r="IN201" s="245" t="e">
        <f t="shared" si="606"/>
        <v>#N/A</v>
      </c>
      <c r="IO201" s="245"/>
      <c r="IP201" s="245"/>
      <c r="IQ201" s="245" t="str">
        <f t="shared" si="500"/>
        <v/>
      </c>
      <c r="IR201" s="245" t="str">
        <f>IF(J201="","",VLOOKUP(J201,Worksheet!$R$4:$T$14,2))</f>
        <v/>
      </c>
      <c r="IS201" s="245"/>
      <c r="IT201" s="245">
        <f t="shared" si="501"/>
        <v>0</v>
      </c>
      <c r="IU201" s="245">
        <f t="shared" si="502"/>
        <v>0</v>
      </c>
      <c r="IV201" s="245">
        <f t="shared" si="503"/>
        <v>0</v>
      </c>
      <c r="IW201" s="245">
        <f t="shared" si="504"/>
        <v>0</v>
      </c>
      <c r="IX201" s="245">
        <f t="shared" si="607"/>
        <v>0</v>
      </c>
      <c r="IY201" s="245">
        <f t="shared" si="505"/>
        <v>0</v>
      </c>
      <c r="IZ201" s="245">
        <f t="shared" si="506"/>
        <v>0</v>
      </c>
      <c r="JA201">
        <f t="shared" si="507"/>
        <v>0</v>
      </c>
      <c r="JB201">
        <f t="shared" si="608"/>
        <v>0</v>
      </c>
      <c r="JC201">
        <f t="shared" si="508"/>
        <v>0</v>
      </c>
      <c r="JD201">
        <f t="shared" si="509"/>
        <v>0</v>
      </c>
      <c r="JE201">
        <f t="shared" si="510"/>
        <v>0</v>
      </c>
      <c r="JF201">
        <f t="shared" si="511"/>
        <v>0</v>
      </c>
      <c r="JG201">
        <f t="shared" si="512"/>
        <v>0</v>
      </c>
      <c r="JH201">
        <f t="shared" si="513"/>
        <v>0</v>
      </c>
      <c r="JI201">
        <f t="shared" si="514"/>
        <v>0</v>
      </c>
      <c r="JJ201" s="447">
        <f t="shared" si="515"/>
        <v>0</v>
      </c>
      <c r="JK201" s="447">
        <f t="shared" si="516"/>
        <v>0</v>
      </c>
      <c r="JL201">
        <f t="shared" si="517"/>
        <v>0</v>
      </c>
      <c r="JM201" s="245" t="str">
        <f>IFERROR(VLOOKUP(MATCH(BN201,#REF!,0),#REF!,7),"")</f>
        <v/>
      </c>
      <c r="JN201" t="e">
        <f>HLOOKUP(LEFT(BO201,7),Discharge_Area,MATCH(JO201,LookUps!$B$130:$B$149,1)+2)</f>
        <v>#N/A</v>
      </c>
      <c r="JO201" t="str">
        <f t="shared" si="518"/>
        <v>- S</v>
      </c>
      <c r="JP201" t="e">
        <f>HLOOKUP(LEFT(BO201,7),Discharge_Area,MATCH(JO201,LookUps!$B$130:$B$149,1)+2)</f>
        <v>#N/A</v>
      </c>
      <c r="JQ201" t="e">
        <f t="shared" si="519"/>
        <v>#N/A</v>
      </c>
      <c r="JR201" t="e">
        <f t="shared" si="520"/>
        <v>#N/A</v>
      </c>
      <c r="JS201" t="e">
        <f t="shared" si="521"/>
        <v>#N/A</v>
      </c>
      <c r="JT201" s="532" t="str">
        <f t="shared" si="522"/>
        <v xml:space="preserve"> </v>
      </c>
      <c r="JU201" s="532" t="str">
        <f t="shared" si="523"/>
        <v xml:space="preserve"> </v>
      </c>
      <c r="JV201" s="533" t="str">
        <f t="shared" si="524"/>
        <v xml:space="preserve"> </v>
      </c>
      <c r="JW201" s="534">
        <f t="shared" si="525"/>
        <v>0</v>
      </c>
      <c r="JX201" s="535" t="str">
        <f t="shared" si="609"/>
        <v xml:space="preserve"> </v>
      </c>
      <c r="JY201" s="535" t="str">
        <f t="shared" si="610"/>
        <v xml:space="preserve"> </v>
      </c>
      <c r="JZ201" s="535" t="str">
        <f t="shared" si="611"/>
        <v xml:space="preserve"> </v>
      </c>
      <c r="KA201" s="536" t="str">
        <f t="shared" si="526"/>
        <v xml:space="preserve"> </v>
      </c>
      <c r="KB201" s="535" t="e">
        <f t="shared" si="612"/>
        <v>#VALUE!</v>
      </c>
      <c r="KC201" s="535" t="str">
        <f t="shared" si="527"/>
        <v/>
      </c>
      <c r="KD201" s="537" t="str">
        <f t="shared" si="613"/>
        <v xml:space="preserve"> </v>
      </c>
      <c r="KE201" s="537" t="str">
        <f t="shared" si="614"/>
        <v xml:space="preserve"> </v>
      </c>
      <c r="KF201" s="534">
        <f t="shared" si="528"/>
        <v>0</v>
      </c>
      <c r="KG201" s="535" t="str">
        <f t="shared" si="529"/>
        <v xml:space="preserve"> </v>
      </c>
      <c r="KH201" s="535" t="str">
        <f t="shared" si="530"/>
        <v xml:space="preserve"> </v>
      </c>
      <c r="KI201" s="535" t="str">
        <f t="shared" si="531"/>
        <v xml:space="preserve"> </v>
      </c>
      <c r="KJ201" s="536" t="str">
        <f t="shared" si="532"/>
        <v xml:space="preserve"> </v>
      </c>
      <c r="KK201" s="535" t="str">
        <f t="shared" si="615"/>
        <v xml:space="preserve"> </v>
      </c>
      <c r="KL201" s="535" t="str">
        <f t="shared" si="616"/>
        <v xml:space="preserve"> </v>
      </c>
      <c r="KM201" s="537" t="str">
        <f t="shared" si="533"/>
        <v xml:space="preserve"> </v>
      </c>
      <c r="KN201" s="537" t="str">
        <f t="shared" si="617"/>
        <v xml:space="preserve"> </v>
      </c>
      <c r="KP201">
        <f t="shared" si="534"/>
        <v>0</v>
      </c>
      <c r="LA201" t="e">
        <f t="shared" si="535"/>
        <v>#VALUE!</v>
      </c>
      <c r="LB201" t="e">
        <f t="shared" si="536"/>
        <v>#VALUE!</v>
      </c>
      <c r="LC201" t="e">
        <f t="shared" si="537"/>
        <v>#VALUE!</v>
      </c>
      <c r="LD201" t="e">
        <f t="shared" si="538"/>
        <v>#VALUE!</v>
      </c>
      <c r="LE201" t="e">
        <f t="shared" si="618"/>
        <v>#VALUE!</v>
      </c>
      <c r="LF201">
        <f t="shared" si="539"/>
        <v>0</v>
      </c>
      <c r="LG201" t="e">
        <f t="shared" si="619"/>
        <v>#VALUE!</v>
      </c>
      <c r="LH201" t="str">
        <f t="shared" si="540"/>
        <v xml:space="preserve"> </v>
      </c>
      <c r="LI201">
        <f t="shared" si="620"/>
        <v>1</v>
      </c>
    </row>
    <row r="202" spans="2:321" ht="15" customHeight="1">
      <c r="B202" s="311"/>
      <c r="C202" s="311"/>
      <c r="D202" s="312"/>
      <c r="E202" s="311"/>
      <c r="F202" s="312"/>
      <c r="G202" s="311"/>
      <c r="H202" s="311"/>
      <c r="I202" s="232"/>
      <c r="J202" s="311"/>
      <c r="K202" s="305" t="str">
        <f t="shared" si="541"/>
        <v/>
      </c>
      <c r="L202" s="313"/>
      <c r="M202" s="312"/>
      <c r="N202" s="311"/>
      <c r="O202" s="312"/>
      <c r="P202" s="311"/>
      <c r="Q202" s="305" t="str">
        <f t="shared" si="542"/>
        <v/>
      </c>
      <c r="R202" s="314"/>
      <c r="S202" s="450" t="str">
        <f t="shared" si="425"/>
        <v/>
      </c>
      <c r="T202" s="315"/>
      <c r="U202" s="315"/>
      <c r="W202" s="149" t="str">
        <f t="shared" si="426"/>
        <v xml:space="preserve"> </v>
      </c>
      <c r="X202" s="243" t="str">
        <f t="shared" si="427"/>
        <v xml:space="preserve"> </v>
      </c>
      <c r="Y202" s="150" t="str">
        <f t="shared" si="428"/>
        <v/>
      </c>
      <c r="Z202" s="149" t="str">
        <f t="shared" si="429"/>
        <v xml:space="preserve"> </v>
      </c>
      <c r="AA202" s="98" t="str">
        <f t="shared" si="430"/>
        <v xml:space="preserve"> </v>
      </c>
      <c r="AB202" s="153" t="str">
        <f t="shared" si="431"/>
        <v xml:space="preserve"> </v>
      </c>
      <c r="AC202" s="153" t="str">
        <f t="shared" si="432"/>
        <v xml:space="preserve"> </v>
      </c>
      <c r="AD202" s="148" t="str">
        <f t="shared" si="433"/>
        <v/>
      </c>
      <c r="AE202" s="149" t="str">
        <f t="shared" si="434"/>
        <v/>
      </c>
      <c r="AF202" s="151" t="str">
        <f t="shared" si="435"/>
        <v xml:space="preserve"> </v>
      </c>
      <c r="AG202" s="153" t="str">
        <f t="shared" si="436"/>
        <v xml:space="preserve"> </v>
      </c>
      <c r="AH202" s="98" t="str">
        <f t="shared" si="437"/>
        <v xml:space="preserve"> </v>
      </c>
      <c r="AI202" s="149" t="str">
        <f t="shared" si="438"/>
        <v xml:space="preserve"> </v>
      </c>
      <c r="AK202" s="144" t="str">
        <f t="shared" si="439"/>
        <v xml:space="preserve"> </v>
      </c>
      <c r="AL202" s="144"/>
      <c r="AM202" s="243" t="str">
        <f t="shared" si="440"/>
        <v xml:space="preserve"> </v>
      </c>
      <c r="AN202" s="149" t="str">
        <f t="shared" si="543"/>
        <v xml:space="preserve"> </v>
      </c>
      <c r="AO202" s="144" t="str">
        <f>IF(JB202&gt;0,IF(GI202=10,-R202*1.085*(Calculation!$F$6-Calculation!$F$13)*$S$14," "),"")</f>
        <v/>
      </c>
      <c r="AP202" s="144" t="str">
        <f t="shared" si="441"/>
        <v/>
      </c>
      <c r="AQ202" s="56" t="str">
        <f t="shared" si="442"/>
        <v/>
      </c>
      <c r="AR202" s="144" t="str">
        <f t="shared" si="443"/>
        <v/>
      </c>
      <c r="AS202" s="176" t="str">
        <f t="shared" si="444"/>
        <v/>
      </c>
      <c r="AT202" s="176" t="str">
        <f t="shared" si="544"/>
        <v xml:space="preserve"> </v>
      </c>
      <c r="AU202" s="176" t="str">
        <f t="shared" si="445"/>
        <v/>
      </c>
      <c r="AV202" s="177" t="str">
        <f t="shared" si="446"/>
        <v xml:space="preserve"> </v>
      </c>
      <c r="AW202" s="144" t="str">
        <f t="shared" si="447"/>
        <v xml:space="preserve"> </v>
      </c>
      <c r="AX202" s="144" t="str">
        <f t="shared" si="448"/>
        <v xml:space="preserve"> </v>
      </c>
      <c r="AY202" s="152" t="str">
        <f t="shared" si="449"/>
        <v xml:space="preserve"> </v>
      </c>
      <c r="AZ202" s="246" t="str">
        <f t="shared" si="450"/>
        <v/>
      </c>
      <c r="BA202" s="176" t="str">
        <f t="shared" si="451"/>
        <v xml:space="preserve"> </v>
      </c>
      <c r="BB202" s="176" t="str">
        <f t="shared" si="452"/>
        <v xml:space="preserve"> </v>
      </c>
      <c r="BC202" s="195"/>
      <c r="BD202" s="316"/>
      <c r="BE202" s="317"/>
      <c r="BF202" s="318"/>
      <c r="BG202" s="318"/>
      <c r="BH202" s="144" t="str">
        <f t="shared" si="621"/>
        <v xml:space="preserve"> </v>
      </c>
      <c r="BI202" s="176" t="str">
        <f t="shared" si="453"/>
        <v/>
      </c>
      <c r="BJ202" s="144" t="str">
        <f t="shared" si="622"/>
        <v/>
      </c>
      <c r="BK202" s="246" t="str">
        <f t="shared" si="454"/>
        <v/>
      </c>
      <c r="BL202" s="144" t="str">
        <f t="shared" si="623"/>
        <v/>
      </c>
      <c r="BM202" s="246" t="str">
        <f t="shared" si="455"/>
        <v/>
      </c>
      <c r="BN202" s="337" t="str">
        <f t="shared" si="545"/>
        <v/>
      </c>
      <c r="BO202" s="371" t="str">
        <f t="shared" si="546"/>
        <v/>
      </c>
      <c r="BP202" s="328" t="str">
        <f t="shared" si="624"/>
        <v xml:space="preserve"> </v>
      </c>
      <c r="BQ202" s="347" t="str">
        <f t="shared" si="547"/>
        <v xml:space="preserve"> </v>
      </c>
      <c r="BR202" s="353" t="str">
        <f t="shared" si="548"/>
        <v xml:space="preserve"> </v>
      </c>
      <c r="BS202" s="626" t="str">
        <f>IF(L202&gt;0,IF(Calculation!P202="M13",BR202*3.1416*(0.134^2)/(4*144),IF(Calculation!P202="M17",BR202*3.1416*(0.165^2)/(4*144),IF(Calculation!P202="M20",BR202*3.1416*(0.198^2)/(4*144),IF(Calculation!P202="M23",BR202*3.1416*(0.228^2)/(4*144),IF(Calculation!P202="M27",BR202*3.1416*(0.269^2)/(4*144),BR202*3.1416*(0.307^2)/(4*144))))))," ")</f>
        <v xml:space="preserve"> </v>
      </c>
      <c r="BT202" s="353" t="str">
        <f>IF(L202&gt;0,IF(BS202&gt;0,R202/Calculation!BS202,0)," ")</f>
        <v xml:space="preserve"> </v>
      </c>
      <c r="BU202" s="438" t="e">
        <f t="shared" ca="1" si="456"/>
        <v>#VALUE!</v>
      </c>
      <c r="BV202" s="449" t="e">
        <f ca="1">INDEX(INDIRECT(VLOOKUP(LEFT(BO202,7),CLU!$Z$3:$AH$18,2)),GN202,GR202)</f>
        <v>#N/A</v>
      </c>
      <c r="BW202" s="433" t="e">
        <f ca="1">INDEX(INDIRECT(VLOOKUP(LEFT(BO202,7),CLU!$Z$3:$AH$18,3)),GN202,GR202)</f>
        <v>#N/A</v>
      </c>
      <c r="BX202" s="433" t="e">
        <f ca="1">INDEX(INDIRECT(VLOOKUP(LEFT(BO202,7),CLU!$Z$3:$AH$18,4)),GN202,GR202)</f>
        <v>#N/A</v>
      </c>
      <c r="BY202" s="433" t="e">
        <f ca="1">INDEX(INDIRECT(VLOOKUP(LEFT(BO202,7),CLU!$Z$3:$AH$18,9)),((M202-2)*(6-COUNTBLANK(GT202:GY202)))+GJ202)</f>
        <v>#N/A</v>
      </c>
      <c r="BZ202" s="426" t="e">
        <f t="shared" ca="1" si="549"/>
        <v>#N/A</v>
      </c>
      <c r="CA202" s="424" t="e">
        <f t="shared" ca="1" si="550"/>
        <v>#N/A</v>
      </c>
      <c r="CB202" s="429" t="e">
        <f ca="1">INDEX(INDIRECT(VLOOKUP(LEFT(BO202,7),CLU!$Z$3:$AH$18,2)),GN202,GS202)</f>
        <v>#N/A</v>
      </c>
      <c r="CC202" s="342" t="e">
        <f ca="1">INDEX(INDIRECT(VLOOKUP(LEFT(BO202,7),CLU!$Z$3:$AH$18,3)),GN202,GS202)</f>
        <v>#N/A</v>
      </c>
      <c r="CD202" s="342" t="e">
        <f ca="1">INDEX(INDIRECT(VLOOKUP(LEFT(BO202,7),CLU!$Z$3:$AH$18,4)),GN202,GS202)</f>
        <v>#N/A</v>
      </c>
      <c r="CE202" s="426" t="e">
        <f t="shared" ca="1" si="551"/>
        <v>#N/A</v>
      </c>
      <c r="CF202" s="440">
        <f t="shared" si="552"/>
        <v>0</v>
      </c>
      <c r="CG202" s="431" t="e">
        <f ca="1">INDEX(INDIRECT(VLOOKUP(LEFT(BO202,7),CLU!$Z$3:$AH$18,2)),GQ202,GR202)</f>
        <v>#N/A</v>
      </c>
      <c r="CH202" s="431" t="e">
        <f ca="1">INDEX(INDIRECT(VLOOKUP(LEFT(BO202,7),CLU!$Z$3:$AH$18,3)),GQ202,GR202)</f>
        <v>#N/A</v>
      </c>
      <c r="CI202" s="431" t="e">
        <f ca="1">INDEX(INDIRECT(VLOOKUP(LEFT(BO202,7),CLU!$Z$3:$AH$18,4)),GQ202,GR202)</f>
        <v>#N/A</v>
      </c>
      <c r="CJ202" s="448" t="e">
        <f t="shared" ca="1" si="553"/>
        <v>#N/A</v>
      </c>
      <c r="CK202" s="431" t="e">
        <f t="shared" ca="1" si="554"/>
        <v>#N/A</v>
      </c>
      <c r="CL202" s="440" t="e">
        <f t="shared" ca="1" si="555"/>
        <v>#N/A</v>
      </c>
      <c r="CM202" s="431" t="e">
        <f ca="1">INDEX(INDIRECT(VLOOKUP(LEFT(BO202,7),CLU!$Z$3:$AH$18,2)),GQ202,GS202)</f>
        <v>#N/A</v>
      </c>
      <c r="CN202" s="431" t="e">
        <f ca="1">INDEX(INDIRECT(VLOOKUP(LEFT(BO202,7),CLU!$Z$3:$AH$18,3)),GQ202,GS202)</f>
        <v>#N/A</v>
      </c>
      <c r="CO202" s="431" t="e">
        <f ca="1">INDEX(INDIRECT(VLOOKUP(LEFT(BO202,7),CLU!$Z$3:$AH$18,4)),GQ202,GS202)</f>
        <v>#N/A</v>
      </c>
      <c r="CP202" s="431" t="e">
        <f t="shared" ca="1" si="556"/>
        <v>#N/A</v>
      </c>
      <c r="CQ202" s="440">
        <f t="shared" si="557"/>
        <v>0</v>
      </c>
      <c r="CR202" s="51" t="e">
        <f t="shared" ca="1" si="558"/>
        <v>#N/A</v>
      </c>
      <c r="CS202" s="439" t="e">
        <f t="shared" ca="1" si="559"/>
        <v>#VALUE!</v>
      </c>
      <c r="CT202" s="51" t="e">
        <f t="shared" ca="1" si="560"/>
        <v>#VALUE!</v>
      </c>
      <c r="CU202" s="10"/>
      <c r="CV202" s="51" t="e">
        <f t="shared" ca="1" si="457"/>
        <v>#VALUE!</v>
      </c>
      <c r="CW202" s="51">
        <f t="shared" si="561"/>
        <v>0</v>
      </c>
      <c r="CX202" s="439" t="e">
        <f t="shared" ca="1" si="562"/>
        <v>#VALUE!</v>
      </c>
      <c r="CY202" s="51" t="e">
        <f t="shared" ca="1" si="563"/>
        <v>#VALUE!</v>
      </c>
      <c r="CZ202" s="10"/>
      <c r="DA202" s="51" t="e">
        <f t="shared" ca="1" si="564"/>
        <v>#VALUE!</v>
      </c>
      <c r="DB202" s="347" t="e">
        <f ca="1">INDEX(INDIRECT(VLOOKUP(LEFT(BO202,7),CLU!$Z$3:$AI$18,10)),((M202-2)*(6-COUNTBLANK(GT202:GY202)))+GJ202)*LI202</f>
        <v>#N/A</v>
      </c>
      <c r="DC202" s="347" t="str">
        <f>IF(L202&gt;0,((R202/Worksheet!$I$15)/DB202)^2," ")</f>
        <v xml:space="preserve"> </v>
      </c>
      <c r="DD202" s="602" t="str">
        <f t="shared" si="565"/>
        <v xml:space="preserve"> </v>
      </c>
      <c r="DE202" s="347" t="str">
        <f t="shared" si="458"/>
        <v xml:space="preserve"> </v>
      </c>
      <c r="DF202" s="356" t="e">
        <f ca="1">INDEX(INDIRECT(VLOOKUP(LEFT(BO202,7),CLU!$Z$3:$AH$18,8)),((M202-2)*(6-COUNTBLANK(GT202:GY202)))+GJ202)</f>
        <v>#N/A</v>
      </c>
      <c r="DG202" s="347" t="str">
        <f t="shared" si="459"/>
        <v xml:space="preserve"> </v>
      </c>
      <c r="DH202" s="357" t="str">
        <f t="shared" si="460"/>
        <v xml:space="preserve"> </v>
      </c>
      <c r="DI202" s="355" t="str">
        <f t="shared" si="461"/>
        <v xml:space="preserve"> </v>
      </c>
      <c r="DJ202" s="245" t="e">
        <f ca="1">INDEX(INDIRECT(VLOOKUP(LEFT(BO202,7),CLU!$Z$3:$AH$18,5)),GL202,GK202)</f>
        <v>#N/A</v>
      </c>
      <c r="DK202" s="245" t="e">
        <f ca="1">INDEX(INDIRECT(VLOOKUP(LEFT(BO202,7),CLU!$Z$3:$AH$18,6)),GL202,GK202)</f>
        <v>#N/A</v>
      </c>
      <c r="DL202" s="355">
        <f>(Calculation!R202*0.69143*(Calculation!$BQ$8-Calculation!$F$8))*$S$14</f>
        <v>0</v>
      </c>
      <c r="DM202" s="359" t="e">
        <f t="shared" si="566"/>
        <v>#VALUE!</v>
      </c>
      <c r="DN202" s="611">
        <f t="shared" si="567"/>
        <v>0</v>
      </c>
      <c r="DO202" s="359">
        <f t="shared" si="568"/>
        <v>100</v>
      </c>
      <c r="DP202" s="359">
        <f t="shared" si="569"/>
        <v>0</v>
      </c>
      <c r="DQ202" s="360"/>
      <c r="DR202" s="245" t="e">
        <f ca="1">INDEX(INDIRECT(VLOOKUP(LEFT(BO202,7),CLU!$Z$3:$AH$18,7)),M202-1,1)</f>
        <v>#N/A</v>
      </c>
      <c r="DS202" s="245" t="e">
        <f ca="1">INDEX(INDIRECT(VLOOKUP(LEFT(BO202,7),CLU!$Z$3:$AH$18,7)),M202-1,2)</f>
        <v>#N/A</v>
      </c>
      <c r="DT202" s="245" t="e">
        <f ca="1">INDEX(INDIRECT(VLOOKUP(LEFT(BO202,7),CLU!$Z$3:$AH$18,7)),M202-1,3)</f>
        <v>#N/A</v>
      </c>
      <c r="DU202" s="245" t="e">
        <f ca="1">INDEX(INDIRECT(VLOOKUP(LEFT(BO202,7),CLU!$Z$3:$AH$18,7)),M202-1,4)</f>
        <v>#N/A</v>
      </c>
      <c r="DV202" s="361" t="e">
        <f ca="1">INDEX(INDIRECT(VLOOKUP(LEFT(BO202,7),CLU!$Z$3:$AH$18,7)),M202-1,4+LEFT(DZ202,1)*0.5)</f>
        <v>#N/A</v>
      </c>
      <c r="DW202" s="245" t="e">
        <f ca="1">INDEX(INDIRECT(VLOOKUP(LEFT(BO202,7),CLU!$Z$3:$AH$18,7)),M202-1,8)</f>
        <v>#N/A</v>
      </c>
      <c r="DX202" s="361" t="str">
        <f t="shared" si="462"/>
        <v xml:space="preserve"> </v>
      </c>
      <c r="DY202" s="361" t="str">
        <f t="shared" si="463"/>
        <v xml:space="preserve"> </v>
      </c>
      <c r="DZ202" s="361" t="str">
        <f t="shared" si="464"/>
        <v xml:space="preserve"> </v>
      </c>
      <c r="EA202" s="362" t="str">
        <f t="shared" si="465"/>
        <v xml:space="preserve"> </v>
      </c>
      <c r="EB202" s="624" t="str">
        <f t="shared" si="570"/>
        <v xml:space="preserve"> </v>
      </c>
      <c r="EC202" s="361" t="e">
        <f ca="1">INDEX(INDIRECT(VLOOKUP(LEFT(BO202,7),CLU!$Z$3:$AH$18,7)),M202-1,4+LEFT(DZ202,1)*0.5)</f>
        <v>#N/A</v>
      </c>
      <c r="ED202" s="362" t="str">
        <f t="shared" si="466"/>
        <v xml:space="preserve"> </v>
      </c>
      <c r="EE202" s="361" t="str">
        <f t="shared" si="467"/>
        <v xml:space="preserve"> </v>
      </c>
      <c r="EF202" s="362" t="str">
        <f>IF(L202&gt;0,IF(BR202&gt;0,IF(EE202="2P",IF(Calculation!DZ202="2P",IF(Calculation!DS202=13.75,IF(Calculation!DR202=13,Worksheet!$BD$43,IF(Calculation!DR202=37,Worksheet!$BD$44,Worksheet!$BD$45)),IF(Calculation!DS202=10,IF(Calculation!DR202=18,Worksheet!$BD$29,IF(Calculation!DR202=30,Worksheet!$BD$30,IF(Calculation!DR202=42,Worksheet!$BD$31,IF(Calculation!DR202=54,Worksheet!$BD$32,IF(Calculation!DR202=66,Worksheet!$BD$33,IF(Calculation!DR202=78,Worksheet!$BD$34,IF(Calculation!DR202=90,Worksheet!$BD$35,IF(Calculation!DR202=102,Worksheet!$BD$36,Worksheet!$BD$37)))))))),IF(Calculation!DS202=12.5,IF(Calculation!DR202=18,Worksheet!$BD$38,IF(Calculation!DR202=Worksheet!$BD$39,IF(Calculation!DR202=42,Worksheet!$BD$40,IF(Calculation!DR202=54,Worksheet!$BD$41,Worksheet!$BD$42)))),IF(Calculation!DR202=18,Worksheet!$BD$11,IF(Calculation!DR202=30,Worksheet!$BD$12,IF(Calculation!DR202=42,Worksheet!$BD$13,IF(Calculation!DR202=54,Worksheet!$BD$14,IF(Calculation!DR202=66,Worksheet!$BD$15,IF(Calculation!DR202=78,Worksheet!$BD$16,IF(Calculation!DR202=90,Worksheet!$BD$17,IF(Calculation!DR202=102,Worksheet!$BD$18,Worksheet!$BD$19))))))))))),IF(Calculation!DS202=13.75,IF(Calculation!DR202=13,Worksheet!$BD$78,IF(Calculation!DR202=37,Worksheet!$BD$79,Worksheet!$BD$80)),IF(Calculation!DS202=10,IF(Calculation!DR202=18,Worksheet!$BD$64,IF(Calculation!DR202=30,Worksheet!$BD$65,IF(Calculation!DR202=42,Worksheet!$BD$66,IF(Calculation!DR202=54,Worksheet!$BD$68,IF(Calculation!DR202=66,Worksheet!$BD$68,IF(Calculation!DR202=78,Worksheet!$BD$69,IF(Calculation!DR202=90,Worksheet!$BD$70,IF(Calculation!DR202=102,Worksheet!$BD$71,Worksheet!$BD$72)))))))),IF(Calculation!DS202=12.5,IF(Calculation!DR202=18,Worksheet!$BD$73,IF(Calculation!DR202=Worksheet!$BD$74,IF(Calculation!DR202=42,Worksheet!$BD$75,IF(Calculation!DR202=54,Worksheet!$BD$76,Worksheet!$BD$77)))),IF(Calculation!DR202=18,Worksheet!$BD$55,IF(Calculation!DR202=30,Worksheet!$BD$56,IF(Calculation!DR202=42,Worksheet!$BD$57,IF(Calculation!DR202=54,Worksheet!$BD$58,IF(Calculation!DR202=66,Worksheet!$BD$59,IF(Calculation!DR202=78,Worksheet!$BD$60,IF(Calculation!DR202=90,Worksheet!$BD$61,IF(Calculation!DR202=102,Worksheet!$BD$62,Worksheet!$BD$63)))))))))))),5),0)," ")</f>
        <v xml:space="preserve"> </v>
      </c>
      <c r="EG202" s="361" t="str">
        <f t="shared" si="468"/>
        <v xml:space="preserve"> </v>
      </c>
      <c r="EH202" s="361" t="e">
        <f ca="1">INDEX(INDIRECT(VLOOKUP(LEFT(BO202,7),CLU!$Z$3:$AH$18,7)),M202-1,3+LEFT(DZ202,1))</f>
        <v>#N/A</v>
      </c>
      <c r="EI202" s="362" t="str">
        <f t="shared" si="469"/>
        <v xml:space="preserve"> </v>
      </c>
      <c r="EJ202" s="363" t="str">
        <f t="shared" si="470"/>
        <v xml:space="preserve"> </v>
      </c>
      <c r="EK202" s="363" t="str">
        <f t="shared" si="471"/>
        <v xml:space="preserve"> </v>
      </c>
      <c r="EL202" s="363" t="str">
        <f t="shared" si="472"/>
        <v xml:space="preserve"> </v>
      </c>
      <c r="EM202" s="362" t="str">
        <f>IF(L202&gt;0,IF(BR202&gt;0,(Calculation!T202/ED202)^2,0)," ")</f>
        <v xml:space="preserve"> </v>
      </c>
      <c r="EN202" s="362" t="str">
        <f>IF(L202&gt;0,IF(O202="2 Pipe (Cooling)","N/A",IF(BR202&gt;0,(Calculation!U202/EI202)^2,0))," ")</f>
        <v xml:space="preserve"> </v>
      </c>
      <c r="EO202" s="361" t="str">
        <f t="shared" si="473"/>
        <v/>
      </c>
      <c r="EP202" s="361" t="str">
        <f t="shared" si="474"/>
        <v/>
      </c>
      <c r="EQ202" s="361" t="str">
        <f t="shared" si="475"/>
        <v/>
      </c>
      <c r="ER202" s="361" t="str">
        <f t="shared" si="476"/>
        <v/>
      </c>
      <c r="ES202" s="361" t="str">
        <f t="shared" si="477"/>
        <v/>
      </c>
      <c r="ET202" s="361" t="str">
        <f t="shared" si="478"/>
        <v/>
      </c>
      <c r="EU202" s="361" t="str">
        <f t="shared" si="479"/>
        <v/>
      </c>
      <c r="EV202" s="361" t="str">
        <f t="shared" si="480"/>
        <v/>
      </c>
      <c r="EW202" s="361" t="str">
        <f t="shared" si="481"/>
        <v/>
      </c>
      <c r="EX202" s="361" t="str">
        <f t="shared" si="571"/>
        <v>1 slot, 1 way</v>
      </c>
      <c r="EY202" s="361" t="str">
        <f t="shared" si="572"/>
        <v xml:space="preserve"> </v>
      </c>
      <c r="EZ202" s="361" t="str">
        <f t="shared" si="573"/>
        <v xml:space="preserve"> </v>
      </c>
      <c r="FA202" s="361" t="str">
        <f t="shared" si="574"/>
        <v xml:space="preserve"> </v>
      </c>
      <c r="FB202" s="361" t="str">
        <f t="shared" si="575"/>
        <v xml:space="preserve"> </v>
      </c>
      <c r="FC202" s="361"/>
      <c r="FD202" s="361" t="str">
        <f>IF(J202&gt;0,IF(Calculation!R202&lt;=70,4,IF(Calculation!R202&lt;=110,5,IF(Calculation!R202&lt;=160,6,IF(Calculation!R202&lt;=300,8,"10 EO")))),"")</f>
        <v/>
      </c>
      <c r="FE202" s="361" t="str">
        <f t="shared" si="576"/>
        <v/>
      </c>
      <c r="FF202" s="361" t="str">
        <f t="shared" si="577"/>
        <v/>
      </c>
      <c r="FG202" s="361" t="e">
        <f t="shared" si="482"/>
        <v>#N/A</v>
      </c>
      <c r="FH202" s="361">
        <f t="shared" si="483"/>
        <v>0</v>
      </c>
      <c r="FI202" s="361" t="e">
        <f t="shared" si="484"/>
        <v>#DIV/0!</v>
      </c>
      <c r="FJ202" s="361"/>
      <c r="FK202" s="356" t="e">
        <f t="shared" si="485"/>
        <v>#VALUE!</v>
      </c>
      <c r="FL202" s="361"/>
      <c r="FM202" s="361"/>
      <c r="FN202" s="362" t="str">
        <f t="shared" si="578"/>
        <v xml:space="preserve"> </v>
      </c>
      <c r="FO202" s="362" t="str">
        <f t="shared" si="579"/>
        <v xml:space="preserve"> </v>
      </c>
      <c r="FP202" s="362">
        <f t="shared" si="580"/>
        <v>0</v>
      </c>
      <c r="FQ202" s="361">
        <f t="shared" si="486"/>
        <v>0</v>
      </c>
      <c r="FR202" s="362" t="str">
        <f>IF(L202&gt;0,IF(J202="CBAL2",Worksheet!$P$67,IF(J202="CBE2-24",Worksheet!$Q$67,IF(J202="CBAM",Worksheet!$R$67,IF(J202="CBLV",Worksheet!$S$67,IF(J202="CBAB",Worksheet!$U$67,IF(J202="CBAW",Worksheet!$X$67,IF(J202="CBE2-12",Worksheet!$Y$67,IF(J202="CBAL2",Worksheet!$Z$67,"N/A"))))))))," ")</f>
        <v xml:space="preserve"> </v>
      </c>
      <c r="FS202" s="362" t="str">
        <f>IF(L202&gt;0,IF(J202="CBAL2",Worksheet!$P$68,IF(J202="CBE2-24",Worksheet!$Q$68,IF(J202="CBAM",Worksheet!$R$68,IF(J202="CBLV",Worksheet!$S$68,IF(J202="CBAB",Worksheet!$U$68,IF(J202="CBAW",Worksheet!$X$68,IF(J202="CBE2-12",Worksheet!$Y$68,IF(J202="CBAL2",Worksheet!$Z$68,"N/A"))))))))," ")</f>
        <v xml:space="preserve"> </v>
      </c>
      <c r="FT202" s="362" t="str">
        <f>IF(L202&gt;0,IF(J202="CBAL2",Worksheet!$P$69,IF(J202="CBE2-24",Worksheet!$Q$69,IF(J202="CBAM",Worksheet!$R$69,IF(J202="CBLV",Worksheet!$S$69,IF(J202="CBAB",Worksheet!$U$69,IF(J202="CBAW",Worksheet!$X$69,IF(J202="CBE2-12",Worksheet!$Y$69,IF(J202="CBAL2",Worksheet!$Z$69,"N/A"))))))))," ")</f>
        <v xml:space="preserve"> </v>
      </c>
      <c r="FU202" s="361" t="str">
        <f t="shared" si="581"/>
        <v xml:space="preserve"> </v>
      </c>
      <c r="FV202" s="362" t="str">
        <f t="shared" si="582"/>
        <v xml:space="preserve"> </v>
      </c>
      <c r="FW202" s="362" t="str">
        <f t="shared" si="583"/>
        <v xml:space="preserve"> </v>
      </c>
      <c r="FX202" s="362" t="str">
        <f t="shared" si="584"/>
        <v xml:space="preserve"> </v>
      </c>
      <c r="FY202" s="355" t="str">
        <f t="shared" si="585"/>
        <v xml:space="preserve"> </v>
      </c>
      <c r="FZ202" s="361" t="str">
        <f t="shared" si="586"/>
        <v xml:space="preserve"> </v>
      </c>
      <c r="GA202" s="347" t="str">
        <f t="shared" si="587"/>
        <v xml:space="preserve"> </v>
      </c>
      <c r="GB202" s="355" t="str">
        <f t="shared" si="588"/>
        <v xml:space="preserve"> </v>
      </c>
      <c r="GC202" s="328" t="str">
        <f t="shared" si="589"/>
        <v xml:space="preserve"> </v>
      </c>
      <c r="GD202" s="361" t="str">
        <f t="shared" si="590"/>
        <v xml:space="preserve"> </v>
      </c>
      <c r="GE202" s="347" t="str">
        <f t="shared" si="591"/>
        <v xml:space="preserve"> </v>
      </c>
      <c r="GF202" s="361" t="str">
        <f t="shared" si="592"/>
        <v xml:space="preserve"> </v>
      </c>
      <c r="GG202" s="347" t="str">
        <f t="shared" si="593"/>
        <v xml:space="preserve"> </v>
      </c>
      <c r="GH202" s="364">
        <f t="shared" si="487"/>
        <v>0</v>
      </c>
      <c r="GI202" s="362">
        <f t="shared" si="594"/>
        <v>2</v>
      </c>
      <c r="GJ202" s="433" t="e">
        <f>IF(6-COUNTBLANK(GT202:GY202)=4,MATCH(MID(BO202,9,3),CLU!$H$16:$K$16),MATCH(MID(BO202,9,3),CLU!$H$13:$M$13))</f>
        <v>#N/A</v>
      </c>
      <c r="GK202" s="433" t="e">
        <f>HLOOKUP(VALUE(BP202),CLU!$H$9:$M$10,2)</f>
        <v>#VALUE!</v>
      </c>
      <c r="GL202" s="433" t="e">
        <f ca="1">MATCH(BU202,CLU!$H$2:$V$2,1)</f>
        <v>#VALUE!</v>
      </c>
      <c r="GM202" s="433" t="e">
        <f t="shared" ca="1" si="595"/>
        <v>#VALUE!</v>
      </c>
      <c r="GN202" s="433" t="e">
        <f t="shared" ca="1" si="596"/>
        <v>#VALUE!</v>
      </c>
      <c r="GO202" s="433" t="e">
        <f t="shared" ca="1" si="597"/>
        <v>#VALUE!</v>
      </c>
      <c r="GP202" s="433" t="e">
        <f t="shared" ca="1" si="598"/>
        <v>#VALUE!</v>
      </c>
      <c r="GQ202" s="433" t="e">
        <f t="shared" ca="1" si="599"/>
        <v>#VALUE!</v>
      </c>
      <c r="GR202" s="433" t="e">
        <f ca="1">MATCH(T202,INDIRECT(VLOOKUP(CONCATENATE(LEFT(BO202,7),"-",MID(BO202,13,1)),CLU!$P$3:$Q$16,2)),1)</f>
        <v>#N/A</v>
      </c>
      <c r="GS202" s="433" t="e">
        <f ca="1">MATCH(U202,INDIRECT(VLOOKUP(CONCATENATE(LEFT(BO202,7),"-",MID(BO202,13,1)),CLU!$P$3:$Q$16,2)),1)</f>
        <v>#N/A</v>
      </c>
      <c r="GT202" s="347" t="s">
        <v>512</v>
      </c>
      <c r="GU202" s="97" t="s">
        <v>513</v>
      </c>
      <c r="GV202" s="97" t="str">
        <f t="shared" si="600"/>
        <v>M23</v>
      </c>
      <c r="GW202" s="97" t="str">
        <f t="shared" si="601"/>
        <v>M31</v>
      </c>
      <c r="GX202" s="97" t="str">
        <f t="shared" si="602"/>
        <v/>
      </c>
      <c r="GY202" s="97" t="str">
        <f t="shared" si="603"/>
        <v/>
      </c>
      <c r="GZ202" s="481"/>
      <c r="HA202" s="288"/>
      <c r="HB202" s="240"/>
      <c r="HC202" s="240"/>
      <c r="HD202" s="240"/>
      <c r="HE202" s="240"/>
      <c r="HF202" s="240"/>
      <c r="HG202" s="240"/>
      <c r="HH202" s="240"/>
      <c r="HI202" s="240"/>
      <c r="HJ202" s="240"/>
      <c r="HK202" s="240"/>
      <c r="HL202" s="240"/>
      <c r="HM202" s="240"/>
      <c r="HN202" s="240"/>
      <c r="HO202" s="240"/>
      <c r="HP202" s="240"/>
      <c r="HQ202" s="240"/>
      <c r="HR202" s="240"/>
      <c r="HS202" s="240"/>
      <c r="HT202" s="240"/>
      <c r="HU202" s="240"/>
      <c r="HV202" s="245"/>
      <c r="HW202" s="245" t="b">
        <v>1</v>
      </c>
      <c r="HX202" s="245" t="str">
        <f t="shared" si="488"/>
        <v/>
      </c>
      <c r="HY202" s="245" t="e">
        <f t="shared" si="489"/>
        <v>#DIV/0!</v>
      </c>
      <c r="HZ202" s="245" t="e">
        <f t="shared" si="490"/>
        <v>#DIV/0!</v>
      </c>
      <c r="IA202" s="245">
        <f t="shared" si="491"/>
        <v>0</v>
      </c>
      <c r="IB202" s="245"/>
      <c r="IC202" t="b">
        <f t="shared" si="492"/>
        <v>1</v>
      </c>
      <c r="ID202" s="245" t="b">
        <f t="shared" si="493"/>
        <v>1</v>
      </c>
      <c r="IE202" s="245" t="b">
        <f t="shared" si="494"/>
        <v>1</v>
      </c>
      <c r="IF202" s="245" t="b">
        <f t="shared" si="495"/>
        <v>0</v>
      </c>
      <c r="IG202" s="245" t="b">
        <f t="shared" si="496"/>
        <v>1</v>
      </c>
      <c r="IH202" s="245" t="b">
        <f t="shared" si="497"/>
        <v>1</v>
      </c>
      <c r="II202" s="245">
        <f t="shared" si="604"/>
        <v>0</v>
      </c>
      <c r="IJ202" s="245" t="e">
        <f t="shared" si="498"/>
        <v>#VALUE!</v>
      </c>
      <c r="IK202" s="245" t="e">
        <f t="shared" si="499"/>
        <v>#VALUE!</v>
      </c>
      <c r="IL202" s="245"/>
      <c r="IM202" s="245" t="e">
        <f t="shared" si="605"/>
        <v>#N/A</v>
      </c>
      <c r="IN202" s="245" t="e">
        <f t="shared" si="606"/>
        <v>#N/A</v>
      </c>
      <c r="IO202" s="245"/>
      <c r="IP202" s="245"/>
      <c r="IQ202" s="245" t="str">
        <f t="shared" si="500"/>
        <v/>
      </c>
      <c r="IR202" s="245" t="str">
        <f>IF(J202="","",VLOOKUP(J202,Worksheet!$R$4:$T$14,2))</f>
        <v/>
      </c>
      <c r="IS202" s="245"/>
      <c r="IT202" s="245">
        <f t="shared" si="501"/>
        <v>0</v>
      </c>
      <c r="IU202" s="245">
        <f t="shared" si="502"/>
        <v>0</v>
      </c>
      <c r="IV202" s="245">
        <f t="shared" si="503"/>
        <v>0</v>
      </c>
      <c r="IW202" s="245">
        <f t="shared" si="504"/>
        <v>0</v>
      </c>
      <c r="IX202" s="245">
        <f t="shared" si="607"/>
        <v>0</v>
      </c>
      <c r="IY202" s="245">
        <f t="shared" si="505"/>
        <v>0</v>
      </c>
      <c r="IZ202" s="245">
        <f t="shared" si="506"/>
        <v>0</v>
      </c>
      <c r="JA202">
        <f t="shared" si="507"/>
        <v>0</v>
      </c>
      <c r="JB202">
        <f t="shared" si="608"/>
        <v>0</v>
      </c>
      <c r="JC202">
        <f t="shared" si="508"/>
        <v>0</v>
      </c>
      <c r="JD202">
        <f t="shared" si="509"/>
        <v>0</v>
      </c>
      <c r="JE202">
        <f t="shared" si="510"/>
        <v>0</v>
      </c>
      <c r="JF202">
        <f t="shared" si="511"/>
        <v>0</v>
      </c>
      <c r="JG202">
        <f t="shared" si="512"/>
        <v>0</v>
      </c>
      <c r="JH202">
        <f t="shared" si="513"/>
        <v>0</v>
      </c>
      <c r="JI202">
        <f t="shared" si="514"/>
        <v>0</v>
      </c>
      <c r="JJ202" s="447">
        <f t="shared" si="515"/>
        <v>0</v>
      </c>
      <c r="JK202" s="447">
        <f t="shared" si="516"/>
        <v>0</v>
      </c>
      <c r="JL202">
        <f t="shared" si="517"/>
        <v>0</v>
      </c>
      <c r="JM202" s="245" t="str">
        <f>IFERROR(VLOOKUP(MATCH(BN202,#REF!,0),#REF!,7),"")</f>
        <v/>
      </c>
      <c r="JN202" t="e">
        <f>HLOOKUP(LEFT(BO202,7),Discharge_Area,MATCH(JO202,LookUps!$B$130:$B$149,1)+2)</f>
        <v>#N/A</v>
      </c>
      <c r="JO202" t="str">
        <f t="shared" si="518"/>
        <v>- S</v>
      </c>
      <c r="JP202" t="e">
        <f>HLOOKUP(LEFT(BO202,7),Discharge_Area,MATCH(JO202,LookUps!$B$130:$B$149,1)+2)</f>
        <v>#N/A</v>
      </c>
      <c r="JQ202" t="e">
        <f t="shared" si="519"/>
        <v>#N/A</v>
      </c>
      <c r="JR202" t="e">
        <f t="shared" si="520"/>
        <v>#N/A</v>
      </c>
      <c r="JS202" t="e">
        <f t="shared" si="521"/>
        <v>#N/A</v>
      </c>
      <c r="JT202" s="532" t="str">
        <f t="shared" si="522"/>
        <v xml:space="preserve"> </v>
      </c>
      <c r="JU202" s="532" t="str">
        <f t="shared" si="523"/>
        <v xml:space="preserve"> </v>
      </c>
      <c r="JV202" s="533" t="str">
        <f t="shared" si="524"/>
        <v xml:space="preserve"> </v>
      </c>
      <c r="JW202" s="534">
        <f t="shared" si="525"/>
        <v>0</v>
      </c>
      <c r="JX202" s="535" t="str">
        <f t="shared" si="609"/>
        <v xml:space="preserve"> </v>
      </c>
      <c r="JY202" s="535" t="str">
        <f t="shared" si="610"/>
        <v xml:space="preserve"> </v>
      </c>
      <c r="JZ202" s="535" t="str">
        <f t="shared" si="611"/>
        <v xml:space="preserve"> </v>
      </c>
      <c r="KA202" s="536" t="str">
        <f t="shared" si="526"/>
        <v xml:space="preserve"> </v>
      </c>
      <c r="KB202" s="535" t="e">
        <f t="shared" si="612"/>
        <v>#VALUE!</v>
      </c>
      <c r="KC202" s="535" t="str">
        <f t="shared" si="527"/>
        <v/>
      </c>
      <c r="KD202" s="537" t="str">
        <f t="shared" si="613"/>
        <v xml:space="preserve"> </v>
      </c>
      <c r="KE202" s="537" t="str">
        <f t="shared" si="614"/>
        <v xml:space="preserve"> </v>
      </c>
      <c r="KF202" s="534">
        <f t="shared" si="528"/>
        <v>0</v>
      </c>
      <c r="KG202" s="535" t="str">
        <f t="shared" si="529"/>
        <v xml:space="preserve"> </v>
      </c>
      <c r="KH202" s="535" t="str">
        <f t="shared" si="530"/>
        <v xml:space="preserve"> </v>
      </c>
      <c r="KI202" s="535" t="str">
        <f t="shared" si="531"/>
        <v xml:space="preserve"> </v>
      </c>
      <c r="KJ202" s="536" t="str">
        <f t="shared" si="532"/>
        <v xml:space="preserve"> </v>
      </c>
      <c r="KK202" s="535" t="str">
        <f t="shared" si="615"/>
        <v xml:space="preserve"> </v>
      </c>
      <c r="KL202" s="535" t="str">
        <f t="shared" si="616"/>
        <v xml:space="preserve"> </v>
      </c>
      <c r="KM202" s="537" t="str">
        <f t="shared" si="533"/>
        <v xml:space="preserve"> </v>
      </c>
      <c r="KN202" s="537" t="str">
        <f t="shared" si="617"/>
        <v xml:space="preserve"> </v>
      </c>
      <c r="KP202">
        <f t="shared" si="534"/>
        <v>0</v>
      </c>
      <c r="LA202" t="e">
        <f t="shared" si="535"/>
        <v>#VALUE!</v>
      </c>
      <c r="LB202" t="e">
        <f t="shared" si="536"/>
        <v>#VALUE!</v>
      </c>
      <c r="LC202" t="e">
        <f t="shared" si="537"/>
        <v>#VALUE!</v>
      </c>
      <c r="LD202" t="e">
        <f t="shared" si="538"/>
        <v>#VALUE!</v>
      </c>
      <c r="LE202" t="e">
        <f t="shared" si="618"/>
        <v>#VALUE!</v>
      </c>
      <c r="LF202">
        <f t="shared" si="539"/>
        <v>0</v>
      </c>
      <c r="LG202" t="e">
        <f t="shared" si="619"/>
        <v>#VALUE!</v>
      </c>
      <c r="LH202" t="str">
        <f t="shared" si="540"/>
        <v xml:space="preserve"> </v>
      </c>
      <c r="LI202">
        <f t="shared" si="620"/>
        <v>1</v>
      </c>
    </row>
    <row r="203" spans="2:321" ht="15" customHeight="1">
      <c r="B203" s="311"/>
      <c r="C203" s="311"/>
      <c r="D203" s="312"/>
      <c r="E203" s="311"/>
      <c r="F203" s="312"/>
      <c r="G203" s="311"/>
      <c r="H203" s="311"/>
      <c r="I203" s="232"/>
      <c r="J203" s="311"/>
      <c r="K203" s="305" t="str">
        <f t="shared" si="541"/>
        <v/>
      </c>
      <c r="L203" s="313"/>
      <c r="M203" s="312"/>
      <c r="N203" s="311"/>
      <c r="O203" s="312"/>
      <c r="P203" s="311"/>
      <c r="Q203" s="305" t="str">
        <f t="shared" si="542"/>
        <v/>
      </c>
      <c r="R203" s="314"/>
      <c r="S203" s="450" t="str">
        <f t="shared" si="425"/>
        <v/>
      </c>
      <c r="T203" s="315"/>
      <c r="U203" s="315"/>
      <c r="W203" s="149" t="str">
        <f t="shared" si="426"/>
        <v xml:space="preserve"> </v>
      </c>
      <c r="X203" s="243" t="str">
        <f t="shared" si="427"/>
        <v xml:space="preserve"> </v>
      </c>
      <c r="Y203" s="150" t="str">
        <f t="shared" si="428"/>
        <v/>
      </c>
      <c r="Z203" s="149" t="str">
        <f t="shared" si="429"/>
        <v xml:space="preserve"> </v>
      </c>
      <c r="AA203" s="98" t="str">
        <f t="shared" si="430"/>
        <v xml:space="preserve"> </v>
      </c>
      <c r="AB203" s="153" t="str">
        <f t="shared" si="431"/>
        <v xml:space="preserve"> </v>
      </c>
      <c r="AC203" s="153" t="str">
        <f t="shared" si="432"/>
        <v xml:space="preserve"> </v>
      </c>
      <c r="AD203" s="148" t="str">
        <f t="shared" si="433"/>
        <v/>
      </c>
      <c r="AE203" s="149" t="str">
        <f t="shared" si="434"/>
        <v/>
      </c>
      <c r="AF203" s="151" t="str">
        <f t="shared" si="435"/>
        <v xml:space="preserve"> </v>
      </c>
      <c r="AG203" s="153" t="str">
        <f t="shared" si="436"/>
        <v xml:space="preserve"> </v>
      </c>
      <c r="AH203" s="98" t="str">
        <f t="shared" si="437"/>
        <v xml:space="preserve"> </v>
      </c>
      <c r="AI203" s="149" t="str">
        <f t="shared" si="438"/>
        <v xml:space="preserve"> </v>
      </c>
      <c r="AK203" s="144" t="str">
        <f t="shared" si="439"/>
        <v xml:space="preserve"> </v>
      </c>
      <c r="AL203" s="144"/>
      <c r="AM203" s="243" t="str">
        <f t="shared" si="440"/>
        <v xml:space="preserve"> </v>
      </c>
      <c r="AN203" s="149" t="str">
        <f t="shared" si="543"/>
        <v xml:space="preserve"> </v>
      </c>
      <c r="AO203" s="144" t="str">
        <f>IF(JB203&gt;0,IF(GI203=10,-R203*1.085*(Calculation!$F$6-Calculation!$F$13)*$S$14," "),"")</f>
        <v/>
      </c>
      <c r="AP203" s="144" t="str">
        <f t="shared" si="441"/>
        <v/>
      </c>
      <c r="AQ203" s="56" t="str">
        <f t="shared" si="442"/>
        <v/>
      </c>
      <c r="AR203" s="144" t="str">
        <f t="shared" si="443"/>
        <v/>
      </c>
      <c r="AS203" s="176" t="str">
        <f t="shared" si="444"/>
        <v/>
      </c>
      <c r="AT203" s="176" t="str">
        <f t="shared" si="544"/>
        <v xml:space="preserve"> </v>
      </c>
      <c r="AU203" s="176" t="str">
        <f t="shared" si="445"/>
        <v/>
      </c>
      <c r="AV203" s="177" t="str">
        <f t="shared" si="446"/>
        <v xml:space="preserve"> </v>
      </c>
      <c r="AW203" s="144" t="str">
        <f t="shared" si="447"/>
        <v xml:space="preserve"> </v>
      </c>
      <c r="AX203" s="144" t="str">
        <f t="shared" si="448"/>
        <v xml:space="preserve"> </v>
      </c>
      <c r="AY203" s="152" t="str">
        <f t="shared" si="449"/>
        <v xml:space="preserve"> </v>
      </c>
      <c r="AZ203" s="246" t="str">
        <f t="shared" si="450"/>
        <v/>
      </c>
      <c r="BA203" s="176" t="str">
        <f t="shared" si="451"/>
        <v xml:space="preserve"> </v>
      </c>
      <c r="BB203" s="176" t="str">
        <f t="shared" si="452"/>
        <v xml:space="preserve"> </v>
      </c>
      <c r="BC203" s="195"/>
      <c r="BD203" s="316"/>
      <c r="BE203" s="317"/>
      <c r="BF203" s="318"/>
      <c r="BG203" s="318"/>
      <c r="BH203" s="144" t="str">
        <f t="shared" si="621"/>
        <v xml:space="preserve"> </v>
      </c>
      <c r="BI203" s="176" t="str">
        <f t="shared" si="453"/>
        <v/>
      </c>
      <c r="BJ203" s="144" t="str">
        <f t="shared" si="622"/>
        <v/>
      </c>
      <c r="BK203" s="246" t="str">
        <f t="shared" si="454"/>
        <v/>
      </c>
      <c r="BL203" s="144" t="str">
        <f t="shared" si="623"/>
        <v/>
      </c>
      <c r="BM203" s="246" t="str">
        <f t="shared" si="455"/>
        <v/>
      </c>
      <c r="BN203" s="337" t="str">
        <f t="shared" si="545"/>
        <v/>
      </c>
      <c r="BO203" s="371" t="str">
        <f t="shared" si="546"/>
        <v/>
      </c>
      <c r="BP203" s="328" t="str">
        <f t="shared" si="624"/>
        <v xml:space="preserve"> </v>
      </c>
      <c r="BQ203" s="347" t="str">
        <f t="shared" si="547"/>
        <v xml:space="preserve"> </v>
      </c>
      <c r="BR203" s="353" t="str">
        <f t="shared" si="548"/>
        <v xml:space="preserve"> </v>
      </c>
      <c r="BS203" s="626" t="str">
        <f>IF(L203&gt;0,IF(Calculation!P203="M13",BR203*3.1416*(0.134^2)/(4*144),IF(Calculation!P203="M17",BR203*3.1416*(0.165^2)/(4*144),IF(Calculation!P203="M20",BR203*3.1416*(0.198^2)/(4*144),IF(Calculation!P203="M23",BR203*3.1416*(0.228^2)/(4*144),IF(Calculation!P203="M27",BR203*3.1416*(0.269^2)/(4*144),BR203*3.1416*(0.307^2)/(4*144))))))," ")</f>
        <v xml:space="preserve"> </v>
      </c>
      <c r="BT203" s="353" t="str">
        <f>IF(L203&gt;0,IF(BS203&gt;0,R203/Calculation!BS203,0)," ")</f>
        <v xml:space="preserve"> </v>
      </c>
      <c r="BU203" s="438" t="e">
        <f t="shared" ca="1" si="456"/>
        <v>#VALUE!</v>
      </c>
      <c r="BV203" s="449" t="e">
        <f ca="1">INDEX(INDIRECT(VLOOKUP(LEFT(BO203,7),CLU!$Z$3:$AH$18,2)),GN203,GR203)</f>
        <v>#N/A</v>
      </c>
      <c r="BW203" s="433" t="e">
        <f ca="1">INDEX(INDIRECT(VLOOKUP(LEFT(BO203,7),CLU!$Z$3:$AH$18,3)),GN203,GR203)</f>
        <v>#N/A</v>
      </c>
      <c r="BX203" s="433" t="e">
        <f ca="1">INDEX(INDIRECT(VLOOKUP(LEFT(BO203,7),CLU!$Z$3:$AH$18,4)),GN203,GR203)</f>
        <v>#N/A</v>
      </c>
      <c r="BY203" s="433" t="e">
        <f ca="1">INDEX(INDIRECT(VLOOKUP(LEFT(BO203,7),CLU!$Z$3:$AH$18,9)),((M203-2)*(6-COUNTBLANK(GT203:GY203)))+GJ203)</f>
        <v>#N/A</v>
      </c>
      <c r="BZ203" s="426" t="e">
        <f t="shared" ca="1" si="549"/>
        <v>#N/A</v>
      </c>
      <c r="CA203" s="424" t="e">
        <f t="shared" ca="1" si="550"/>
        <v>#N/A</v>
      </c>
      <c r="CB203" s="429" t="e">
        <f ca="1">INDEX(INDIRECT(VLOOKUP(LEFT(BO203,7),CLU!$Z$3:$AH$18,2)),GN203,GS203)</f>
        <v>#N/A</v>
      </c>
      <c r="CC203" s="342" t="e">
        <f ca="1">INDEX(INDIRECT(VLOOKUP(LEFT(BO203,7),CLU!$Z$3:$AH$18,3)),GN203,GS203)</f>
        <v>#N/A</v>
      </c>
      <c r="CD203" s="342" t="e">
        <f ca="1">INDEX(INDIRECT(VLOOKUP(LEFT(BO203,7),CLU!$Z$3:$AH$18,4)),GN203,GS203)</f>
        <v>#N/A</v>
      </c>
      <c r="CE203" s="426" t="e">
        <f t="shared" ca="1" si="551"/>
        <v>#N/A</v>
      </c>
      <c r="CF203" s="440">
        <f t="shared" si="552"/>
        <v>0</v>
      </c>
      <c r="CG203" s="431" t="e">
        <f ca="1">INDEX(INDIRECT(VLOOKUP(LEFT(BO203,7),CLU!$Z$3:$AH$18,2)),GQ203,GR203)</f>
        <v>#N/A</v>
      </c>
      <c r="CH203" s="431" t="e">
        <f ca="1">INDEX(INDIRECT(VLOOKUP(LEFT(BO203,7),CLU!$Z$3:$AH$18,3)),GQ203,GR203)</f>
        <v>#N/A</v>
      </c>
      <c r="CI203" s="431" t="e">
        <f ca="1">INDEX(INDIRECT(VLOOKUP(LEFT(BO203,7),CLU!$Z$3:$AH$18,4)),GQ203,GR203)</f>
        <v>#N/A</v>
      </c>
      <c r="CJ203" s="448" t="e">
        <f t="shared" ca="1" si="553"/>
        <v>#N/A</v>
      </c>
      <c r="CK203" s="431" t="e">
        <f t="shared" ca="1" si="554"/>
        <v>#N/A</v>
      </c>
      <c r="CL203" s="440" t="e">
        <f t="shared" ca="1" si="555"/>
        <v>#N/A</v>
      </c>
      <c r="CM203" s="431" t="e">
        <f ca="1">INDEX(INDIRECT(VLOOKUP(LEFT(BO203,7),CLU!$Z$3:$AH$18,2)),GQ203,GS203)</f>
        <v>#N/A</v>
      </c>
      <c r="CN203" s="431" t="e">
        <f ca="1">INDEX(INDIRECT(VLOOKUP(LEFT(BO203,7),CLU!$Z$3:$AH$18,3)),GQ203,GS203)</f>
        <v>#N/A</v>
      </c>
      <c r="CO203" s="431" t="e">
        <f ca="1">INDEX(INDIRECT(VLOOKUP(LEFT(BO203,7),CLU!$Z$3:$AH$18,4)),GQ203,GS203)</f>
        <v>#N/A</v>
      </c>
      <c r="CP203" s="431" t="e">
        <f t="shared" ca="1" si="556"/>
        <v>#N/A</v>
      </c>
      <c r="CQ203" s="440">
        <f t="shared" si="557"/>
        <v>0</v>
      </c>
      <c r="CR203" s="51" t="e">
        <f t="shared" ca="1" si="558"/>
        <v>#N/A</v>
      </c>
      <c r="CS203" s="439" t="e">
        <f t="shared" ca="1" si="559"/>
        <v>#VALUE!</v>
      </c>
      <c r="CT203" s="51" t="e">
        <f t="shared" ca="1" si="560"/>
        <v>#VALUE!</v>
      </c>
      <c r="CU203" s="10"/>
      <c r="CV203" s="51" t="e">
        <f t="shared" ca="1" si="457"/>
        <v>#VALUE!</v>
      </c>
      <c r="CW203" s="51">
        <f t="shared" si="561"/>
        <v>0</v>
      </c>
      <c r="CX203" s="439" t="e">
        <f t="shared" ca="1" si="562"/>
        <v>#VALUE!</v>
      </c>
      <c r="CY203" s="51" t="e">
        <f t="shared" ca="1" si="563"/>
        <v>#VALUE!</v>
      </c>
      <c r="CZ203" s="10"/>
      <c r="DA203" s="51" t="e">
        <f t="shared" ca="1" si="564"/>
        <v>#VALUE!</v>
      </c>
      <c r="DB203" s="347" t="e">
        <f ca="1">INDEX(INDIRECT(VLOOKUP(LEFT(BO203,7),CLU!$Z$3:$AI$18,10)),((M203-2)*(6-COUNTBLANK(GT203:GY203)))+GJ203)*LI203</f>
        <v>#N/A</v>
      </c>
      <c r="DC203" s="347" t="str">
        <f>IF(L203&gt;0,((R203/Worksheet!$I$15)/DB203)^2," ")</f>
        <v xml:space="preserve"> </v>
      </c>
      <c r="DD203" s="602" t="str">
        <f t="shared" si="565"/>
        <v xml:space="preserve"> </v>
      </c>
      <c r="DE203" s="347" t="str">
        <f t="shared" si="458"/>
        <v xml:space="preserve"> </v>
      </c>
      <c r="DF203" s="356" t="e">
        <f ca="1">INDEX(INDIRECT(VLOOKUP(LEFT(BO203,7),CLU!$Z$3:$AH$18,8)),((M203-2)*(6-COUNTBLANK(GT203:GY203)))+GJ203)</f>
        <v>#N/A</v>
      </c>
      <c r="DG203" s="347" t="str">
        <f t="shared" si="459"/>
        <v xml:space="preserve"> </v>
      </c>
      <c r="DH203" s="357" t="str">
        <f t="shared" si="460"/>
        <v xml:space="preserve"> </v>
      </c>
      <c r="DI203" s="355" t="str">
        <f t="shared" si="461"/>
        <v xml:space="preserve"> </v>
      </c>
      <c r="DJ203" s="245" t="e">
        <f ca="1">INDEX(INDIRECT(VLOOKUP(LEFT(BO203,7),CLU!$Z$3:$AH$18,5)),GL203,GK203)</f>
        <v>#N/A</v>
      </c>
      <c r="DK203" s="245" t="e">
        <f ca="1">INDEX(INDIRECT(VLOOKUP(LEFT(BO203,7),CLU!$Z$3:$AH$18,6)),GL203,GK203)</f>
        <v>#N/A</v>
      </c>
      <c r="DL203" s="355">
        <f>(Calculation!R203*0.69143*(Calculation!$BQ$8-Calculation!$F$8))*$S$14</f>
        <v>0</v>
      </c>
      <c r="DM203" s="359" t="e">
        <f t="shared" si="566"/>
        <v>#VALUE!</v>
      </c>
      <c r="DN203" s="611">
        <f t="shared" si="567"/>
        <v>0</v>
      </c>
      <c r="DO203" s="359">
        <f t="shared" si="568"/>
        <v>100</v>
      </c>
      <c r="DP203" s="359">
        <f t="shared" si="569"/>
        <v>0</v>
      </c>
      <c r="DQ203" s="360"/>
      <c r="DR203" s="245" t="e">
        <f ca="1">INDEX(INDIRECT(VLOOKUP(LEFT(BO203,7),CLU!$Z$3:$AH$18,7)),M203-1,1)</f>
        <v>#N/A</v>
      </c>
      <c r="DS203" s="245" t="e">
        <f ca="1">INDEX(INDIRECT(VLOOKUP(LEFT(BO203,7),CLU!$Z$3:$AH$18,7)),M203-1,2)</f>
        <v>#N/A</v>
      </c>
      <c r="DT203" s="245" t="e">
        <f ca="1">INDEX(INDIRECT(VLOOKUP(LEFT(BO203,7),CLU!$Z$3:$AH$18,7)),M203-1,3)</f>
        <v>#N/A</v>
      </c>
      <c r="DU203" s="245" t="e">
        <f ca="1">INDEX(INDIRECT(VLOOKUP(LEFT(BO203,7),CLU!$Z$3:$AH$18,7)),M203-1,4)</f>
        <v>#N/A</v>
      </c>
      <c r="DV203" s="361" t="e">
        <f ca="1">INDEX(INDIRECT(VLOOKUP(LEFT(BO203,7),CLU!$Z$3:$AH$18,7)),M203-1,4+LEFT(DZ203,1)*0.5)</f>
        <v>#N/A</v>
      </c>
      <c r="DW203" s="245" t="e">
        <f ca="1">INDEX(INDIRECT(VLOOKUP(LEFT(BO203,7),CLU!$Z$3:$AH$18,7)),M203-1,8)</f>
        <v>#N/A</v>
      </c>
      <c r="DX203" s="361" t="str">
        <f t="shared" si="462"/>
        <v xml:space="preserve"> </v>
      </c>
      <c r="DY203" s="361" t="str">
        <f t="shared" si="463"/>
        <v xml:space="preserve"> </v>
      </c>
      <c r="DZ203" s="361" t="str">
        <f t="shared" si="464"/>
        <v xml:space="preserve"> </v>
      </c>
      <c r="EA203" s="362" t="str">
        <f t="shared" si="465"/>
        <v xml:space="preserve"> </v>
      </c>
      <c r="EB203" s="624" t="str">
        <f t="shared" si="570"/>
        <v xml:space="preserve"> </v>
      </c>
      <c r="EC203" s="361" t="e">
        <f ca="1">INDEX(INDIRECT(VLOOKUP(LEFT(BO203,7),CLU!$Z$3:$AH$18,7)),M203-1,4+LEFT(DZ203,1)*0.5)</f>
        <v>#N/A</v>
      </c>
      <c r="ED203" s="362" t="str">
        <f t="shared" si="466"/>
        <v xml:space="preserve"> </v>
      </c>
      <c r="EE203" s="361" t="str">
        <f t="shared" si="467"/>
        <v xml:space="preserve"> </v>
      </c>
      <c r="EF203" s="362" t="str">
        <f>IF(L203&gt;0,IF(BR203&gt;0,IF(EE203="2P",IF(Calculation!DZ203="2P",IF(Calculation!DS203=13.75,IF(Calculation!DR203=13,Worksheet!$BD$43,IF(Calculation!DR203=37,Worksheet!$BD$44,Worksheet!$BD$45)),IF(Calculation!DS203=10,IF(Calculation!DR203=18,Worksheet!$BD$29,IF(Calculation!DR203=30,Worksheet!$BD$30,IF(Calculation!DR203=42,Worksheet!$BD$31,IF(Calculation!DR203=54,Worksheet!$BD$32,IF(Calculation!DR203=66,Worksheet!$BD$33,IF(Calculation!DR203=78,Worksheet!$BD$34,IF(Calculation!DR203=90,Worksheet!$BD$35,IF(Calculation!DR203=102,Worksheet!$BD$36,Worksheet!$BD$37)))))))),IF(Calculation!DS203=12.5,IF(Calculation!DR203=18,Worksheet!$BD$38,IF(Calculation!DR203=Worksheet!$BD$39,IF(Calculation!DR203=42,Worksheet!$BD$40,IF(Calculation!DR203=54,Worksheet!$BD$41,Worksheet!$BD$42)))),IF(Calculation!DR203=18,Worksheet!$BD$11,IF(Calculation!DR203=30,Worksheet!$BD$12,IF(Calculation!DR203=42,Worksheet!$BD$13,IF(Calculation!DR203=54,Worksheet!$BD$14,IF(Calculation!DR203=66,Worksheet!$BD$15,IF(Calculation!DR203=78,Worksheet!$BD$16,IF(Calculation!DR203=90,Worksheet!$BD$17,IF(Calculation!DR203=102,Worksheet!$BD$18,Worksheet!$BD$19))))))))))),IF(Calculation!DS203=13.75,IF(Calculation!DR203=13,Worksheet!$BD$78,IF(Calculation!DR203=37,Worksheet!$BD$79,Worksheet!$BD$80)),IF(Calculation!DS203=10,IF(Calculation!DR203=18,Worksheet!$BD$64,IF(Calculation!DR203=30,Worksheet!$BD$65,IF(Calculation!DR203=42,Worksheet!$BD$66,IF(Calculation!DR203=54,Worksheet!$BD$68,IF(Calculation!DR203=66,Worksheet!$BD$68,IF(Calculation!DR203=78,Worksheet!$BD$69,IF(Calculation!DR203=90,Worksheet!$BD$70,IF(Calculation!DR203=102,Worksheet!$BD$71,Worksheet!$BD$72)))))))),IF(Calculation!DS203=12.5,IF(Calculation!DR203=18,Worksheet!$BD$73,IF(Calculation!DR203=Worksheet!$BD$74,IF(Calculation!DR203=42,Worksheet!$BD$75,IF(Calculation!DR203=54,Worksheet!$BD$76,Worksheet!$BD$77)))),IF(Calculation!DR203=18,Worksheet!$BD$55,IF(Calculation!DR203=30,Worksheet!$BD$56,IF(Calculation!DR203=42,Worksheet!$BD$57,IF(Calculation!DR203=54,Worksheet!$BD$58,IF(Calculation!DR203=66,Worksheet!$BD$59,IF(Calculation!DR203=78,Worksheet!$BD$60,IF(Calculation!DR203=90,Worksheet!$BD$61,IF(Calculation!DR203=102,Worksheet!$BD$62,Worksheet!$BD$63)))))))))))),5),0)," ")</f>
        <v xml:space="preserve"> </v>
      </c>
      <c r="EG203" s="361" t="str">
        <f t="shared" si="468"/>
        <v xml:space="preserve"> </v>
      </c>
      <c r="EH203" s="361" t="e">
        <f ca="1">INDEX(INDIRECT(VLOOKUP(LEFT(BO203,7),CLU!$Z$3:$AH$18,7)),M203-1,3+LEFT(DZ203,1))</f>
        <v>#N/A</v>
      </c>
      <c r="EI203" s="362" t="str">
        <f t="shared" si="469"/>
        <v xml:space="preserve"> </v>
      </c>
      <c r="EJ203" s="363" t="str">
        <f t="shared" si="470"/>
        <v xml:space="preserve"> </v>
      </c>
      <c r="EK203" s="363" t="str">
        <f t="shared" si="471"/>
        <v xml:space="preserve"> </v>
      </c>
      <c r="EL203" s="363" t="str">
        <f t="shared" si="472"/>
        <v xml:space="preserve"> </v>
      </c>
      <c r="EM203" s="362" t="str">
        <f>IF(L203&gt;0,IF(BR203&gt;0,(Calculation!T203/ED203)^2,0)," ")</f>
        <v xml:space="preserve"> </v>
      </c>
      <c r="EN203" s="362" t="str">
        <f>IF(L203&gt;0,IF(O203="2 Pipe (Cooling)","N/A",IF(BR203&gt;0,(Calculation!U203/EI203)^2,0))," ")</f>
        <v xml:space="preserve"> </v>
      </c>
      <c r="EO203" s="361" t="str">
        <f t="shared" si="473"/>
        <v/>
      </c>
      <c r="EP203" s="361" t="str">
        <f t="shared" si="474"/>
        <v/>
      </c>
      <c r="EQ203" s="361" t="str">
        <f t="shared" si="475"/>
        <v/>
      </c>
      <c r="ER203" s="361" t="str">
        <f t="shared" si="476"/>
        <v/>
      </c>
      <c r="ES203" s="361" t="str">
        <f t="shared" si="477"/>
        <v/>
      </c>
      <c r="ET203" s="361" t="str">
        <f t="shared" si="478"/>
        <v/>
      </c>
      <c r="EU203" s="361" t="str">
        <f t="shared" si="479"/>
        <v/>
      </c>
      <c r="EV203" s="361" t="str">
        <f t="shared" si="480"/>
        <v/>
      </c>
      <c r="EW203" s="361" t="str">
        <f t="shared" si="481"/>
        <v/>
      </c>
      <c r="EX203" s="361" t="str">
        <f t="shared" si="571"/>
        <v>1 slot, 1 way</v>
      </c>
      <c r="EY203" s="361" t="str">
        <f t="shared" si="572"/>
        <v xml:space="preserve"> </v>
      </c>
      <c r="EZ203" s="361" t="str">
        <f t="shared" si="573"/>
        <v xml:space="preserve"> </v>
      </c>
      <c r="FA203" s="361" t="str">
        <f t="shared" si="574"/>
        <v xml:space="preserve"> </v>
      </c>
      <c r="FB203" s="361" t="str">
        <f t="shared" si="575"/>
        <v xml:space="preserve"> </v>
      </c>
      <c r="FC203" s="361"/>
      <c r="FD203" s="361" t="str">
        <f>IF(J203&gt;0,IF(Calculation!R203&lt;=70,4,IF(Calculation!R203&lt;=110,5,IF(Calculation!R203&lt;=160,6,IF(Calculation!R203&lt;=300,8,"10 EO")))),"")</f>
        <v/>
      </c>
      <c r="FE203" s="361" t="str">
        <f t="shared" si="576"/>
        <v/>
      </c>
      <c r="FF203" s="361" t="str">
        <f t="shared" si="577"/>
        <v/>
      </c>
      <c r="FG203" s="361" t="e">
        <f t="shared" si="482"/>
        <v>#N/A</v>
      </c>
      <c r="FH203" s="361">
        <f t="shared" si="483"/>
        <v>0</v>
      </c>
      <c r="FI203" s="361" t="e">
        <f t="shared" si="484"/>
        <v>#DIV/0!</v>
      </c>
      <c r="FJ203" s="361"/>
      <c r="FK203" s="356" t="e">
        <f t="shared" si="485"/>
        <v>#VALUE!</v>
      </c>
      <c r="FL203" s="361"/>
      <c r="FM203" s="361"/>
      <c r="FN203" s="362" t="str">
        <f t="shared" si="578"/>
        <v xml:space="preserve"> </v>
      </c>
      <c r="FO203" s="362" t="str">
        <f t="shared" si="579"/>
        <v xml:space="preserve"> </v>
      </c>
      <c r="FP203" s="362">
        <f t="shared" si="580"/>
        <v>0</v>
      </c>
      <c r="FQ203" s="361">
        <f t="shared" si="486"/>
        <v>0</v>
      </c>
      <c r="FR203" s="362" t="str">
        <f>IF(L203&gt;0,IF(J203="CBAL2",Worksheet!$P$67,IF(J203="CBE2-24",Worksheet!$Q$67,IF(J203="CBAM",Worksheet!$R$67,IF(J203="CBLV",Worksheet!$S$67,IF(J203="CBAB",Worksheet!$U$67,IF(J203="CBAW",Worksheet!$X$67,IF(J203="CBE2-12",Worksheet!$Y$67,IF(J203="CBAL2",Worksheet!$Z$67,"N/A"))))))))," ")</f>
        <v xml:space="preserve"> </v>
      </c>
      <c r="FS203" s="362" t="str">
        <f>IF(L203&gt;0,IF(J203="CBAL2",Worksheet!$P$68,IF(J203="CBE2-24",Worksheet!$Q$68,IF(J203="CBAM",Worksheet!$R$68,IF(J203="CBLV",Worksheet!$S$68,IF(J203="CBAB",Worksheet!$U$68,IF(J203="CBAW",Worksheet!$X$68,IF(J203="CBE2-12",Worksheet!$Y$68,IF(J203="CBAL2",Worksheet!$Z$68,"N/A"))))))))," ")</f>
        <v xml:space="preserve"> </v>
      </c>
      <c r="FT203" s="362" t="str">
        <f>IF(L203&gt;0,IF(J203="CBAL2",Worksheet!$P$69,IF(J203="CBE2-24",Worksheet!$Q$69,IF(J203="CBAM",Worksheet!$R$69,IF(J203="CBLV",Worksheet!$S$69,IF(J203="CBAB",Worksheet!$U$69,IF(J203="CBAW",Worksheet!$X$69,IF(J203="CBE2-12",Worksheet!$Y$69,IF(J203="CBAL2",Worksheet!$Z$69,"N/A"))))))))," ")</f>
        <v xml:space="preserve"> </v>
      </c>
      <c r="FU203" s="361" t="str">
        <f t="shared" si="581"/>
        <v xml:space="preserve"> </v>
      </c>
      <c r="FV203" s="362" t="str">
        <f t="shared" si="582"/>
        <v xml:space="preserve"> </v>
      </c>
      <c r="FW203" s="362" t="str">
        <f t="shared" si="583"/>
        <v xml:space="preserve"> </v>
      </c>
      <c r="FX203" s="362" t="str">
        <f t="shared" si="584"/>
        <v xml:space="preserve"> </v>
      </c>
      <c r="FY203" s="355" t="str">
        <f t="shared" si="585"/>
        <v xml:space="preserve"> </v>
      </c>
      <c r="FZ203" s="361" t="str">
        <f t="shared" si="586"/>
        <v xml:space="preserve"> </v>
      </c>
      <c r="GA203" s="347" t="str">
        <f t="shared" si="587"/>
        <v xml:space="preserve"> </v>
      </c>
      <c r="GB203" s="355" t="str">
        <f t="shared" si="588"/>
        <v xml:space="preserve"> </v>
      </c>
      <c r="GC203" s="328" t="str">
        <f t="shared" si="589"/>
        <v xml:space="preserve"> </v>
      </c>
      <c r="GD203" s="361" t="str">
        <f t="shared" si="590"/>
        <v xml:space="preserve"> </v>
      </c>
      <c r="GE203" s="347" t="str">
        <f t="shared" si="591"/>
        <v xml:space="preserve"> </v>
      </c>
      <c r="GF203" s="361" t="str">
        <f t="shared" si="592"/>
        <v xml:space="preserve"> </v>
      </c>
      <c r="GG203" s="347" t="str">
        <f t="shared" si="593"/>
        <v xml:space="preserve"> </v>
      </c>
      <c r="GH203" s="364">
        <f t="shared" si="487"/>
        <v>0</v>
      </c>
      <c r="GI203" s="362">
        <f t="shared" si="594"/>
        <v>2</v>
      </c>
      <c r="GJ203" s="433" t="e">
        <f>IF(6-COUNTBLANK(GT203:GY203)=4,MATCH(MID(BO203,9,3),CLU!$H$16:$K$16),MATCH(MID(BO203,9,3),CLU!$H$13:$M$13))</f>
        <v>#N/A</v>
      </c>
      <c r="GK203" s="433" t="e">
        <f>HLOOKUP(VALUE(BP203),CLU!$H$9:$M$10,2)</f>
        <v>#VALUE!</v>
      </c>
      <c r="GL203" s="433" t="e">
        <f ca="1">MATCH(BU203,CLU!$H$2:$V$2,1)</f>
        <v>#VALUE!</v>
      </c>
      <c r="GM203" s="433" t="e">
        <f t="shared" ca="1" si="595"/>
        <v>#VALUE!</v>
      </c>
      <c r="GN203" s="433" t="e">
        <f t="shared" ca="1" si="596"/>
        <v>#VALUE!</v>
      </c>
      <c r="GO203" s="433" t="e">
        <f t="shared" ca="1" si="597"/>
        <v>#VALUE!</v>
      </c>
      <c r="GP203" s="433" t="e">
        <f t="shared" ca="1" si="598"/>
        <v>#VALUE!</v>
      </c>
      <c r="GQ203" s="433" t="e">
        <f t="shared" ca="1" si="599"/>
        <v>#VALUE!</v>
      </c>
      <c r="GR203" s="433" t="e">
        <f ca="1">MATCH(T203,INDIRECT(VLOOKUP(CONCATENATE(LEFT(BO203,7),"-",MID(BO203,13,1)),CLU!$P$3:$Q$16,2)),1)</f>
        <v>#N/A</v>
      </c>
      <c r="GS203" s="433" t="e">
        <f ca="1">MATCH(U203,INDIRECT(VLOOKUP(CONCATENATE(LEFT(BO203,7),"-",MID(BO203,13,1)),CLU!$P$3:$Q$16,2)),1)</f>
        <v>#N/A</v>
      </c>
      <c r="GT203" s="347" t="s">
        <v>512</v>
      </c>
      <c r="GU203" s="97" t="s">
        <v>513</v>
      </c>
      <c r="GV203" s="97" t="str">
        <f t="shared" si="600"/>
        <v>M23</v>
      </c>
      <c r="GW203" s="97" t="str">
        <f t="shared" si="601"/>
        <v>M31</v>
      </c>
      <c r="GX203" s="97" t="str">
        <f t="shared" si="602"/>
        <v/>
      </c>
      <c r="GY203" s="97" t="str">
        <f t="shared" si="603"/>
        <v/>
      </c>
      <c r="GZ203" s="481"/>
      <c r="HA203" s="288"/>
      <c r="HB203" s="240"/>
      <c r="HC203" s="240"/>
      <c r="HD203" s="240"/>
      <c r="HE203" s="240"/>
      <c r="HF203" s="240"/>
      <c r="HG203" s="240"/>
      <c r="HH203" s="240"/>
      <c r="HI203" s="240"/>
      <c r="HJ203" s="240"/>
      <c r="HK203" s="240"/>
      <c r="HL203" s="240"/>
      <c r="HM203" s="240"/>
      <c r="HN203" s="240"/>
      <c r="HO203" s="240"/>
      <c r="HP203" s="240"/>
      <c r="HQ203" s="240"/>
      <c r="HR203" s="240"/>
      <c r="HS203" s="240"/>
      <c r="HT203" s="240"/>
      <c r="HU203" s="240"/>
      <c r="HV203" s="245"/>
      <c r="HW203" s="245" t="b">
        <v>1</v>
      </c>
      <c r="HX203" s="245" t="str">
        <f t="shared" si="488"/>
        <v/>
      </c>
      <c r="HY203" s="245" t="e">
        <f t="shared" si="489"/>
        <v>#DIV/0!</v>
      </c>
      <c r="HZ203" s="245" t="e">
        <f t="shared" si="490"/>
        <v>#DIV/0!</v>
      </c>
      <c r="IA203" s="245">
        <f t="shared" si="491"/>
        <v>0</v>
      </c>
      <c r="IB203" s="245"/>
      <c r="IC203" t="b">
        <f t="shared" si="492"/>
        <v>1</v>
      </c>
      <c r="ID203" s="245" t="b">
        <f t="shared" si="493"/>
        <v>1</v>
      </c>
      <c r="IE203" s="245" t="b">
        <f t="shared" si="494"/>
        <v>1</v>
      </c>
      <c r="IF203" s="245" t="b">
        <f t="shared" si="495"/>
        <v>0</v>
      </c>
      <c r="IG203" s="245" t="b">
        <f t="shared" si="496"/>
        <v>1</v>
      </c>
      <c r="IH203" s="245" t="b">
        <f t="shared" si="497"/>
        <v>1</v>
      </c>
      <c r="II203" s="245">
        <f t="shared" si="604"/>
        <v>0</v>
      </c>
      <c r="IJ203" s="245" t="e">
        <f t="shared" si="498"/>
        <v>#VALUE!</v>
      </c>
      <c r="IK203" s="245" t="e">
        <f t="shared" si="499"/>
        <v>#VALUE!</v>
      </c>
      <c r="IL203" s="245"/>
      <c r="IM203" s="245" t="e">
        <f t="shared" si="605"/>
        <v>#N/A</v>
      </c>
      <c r="IN203" s="245" t="e">
        <f t="shared" si="606"/>
        <v>#N/A</v>
      </c>
      <c r="IO203" s="245"/>
      <c r="IP203" s="245"/>
      <c r="IQ203" s="245" t="str">
        <f t="shared" si="500"/>
        <v/>
      </c>
      <c r="IR203" s="245" t="str">
        <f>IF(J203="","",VLOOKUP(J203,Worksheet!$R$4:$T$14,2))</f>
        <v/>
      </c>
      <c r="IS203" s="245"/>
      <c r="IT203" s="245">
        <f t="shared" si="501"/>
        <v>0</v>
      </c>
      <c r="IU203" s="245">
        <f t="shared" si="502"/>
        <v>0</v>
      </c>
      <c r="IV203" s="245">
        <f t="shared" si="503"/>
        <v>0</v>
      </c>
      <c r="IW203" s="245">
        <f t="shared" si="504"/>
        <v>0</v>
      </c>
      <c r="IX203" s="245">
        <f t="shared" si="607"/>
        <v>0</v>
      </c>
      <c r="IY203" s="245">
        <f t="shared" si="505"/>
        <v>0</v>
      </c>
      <c r="IZ203" s="245">
        <f t="shared" si="506"/>
        <v>0</v>
      </c>
      <c r="JA203">
        <f t="shared" si="507"/>
        <v>0</v>
      </c>
      <c r="JB203">
        <f t="shared" si="608"/>
        <v>0</v>
      </c>
      <c r="JC203">
        <f t="shared" si="508"/>
        <v>0</v>
      </c>
      <c r="JD203">
        <f t="shared" si="509"/>
        <v>0</v>
      </c>
      <c r="JE203">
        <f t="shared" si="510"/>
        <v>0</v>
      </c>
      <c r="JF203">
        <f t="shared" si="511"/>
        <v>0</v>
      </c>
      <c r="JG203">
        <f t="shared" si="512"/>
        <v>0</v>
      </c>
      <c r="JH203">
        <f t="shared" si="513"/>
        <v>0</v>
      </c>
      <c r="JI203">
        <f t="shared" si="514"/>
        <v>0</v>
      </c>
      <c r="JJ203" s="447">
        <f t="shared" si="515"/>
        <v>0</v>
      </c>
      <c r="JK203" s="447">
        <f t="shared" si="516"/>
        <v>0</v>
      </c>
      <c r="JL203">
        <f t="shared" si="517"/>
        <v>0</v>
      </c>
      <c r="JM203" s="245" t="str">
        <f>IFERROR(VLOOKUP(MATCH(BN203,#REF!,0),#REF!,7),"")</f>
        <v/>
      </c>
      <c r="JN203" t="e">
        <f>HLOOKUP(LEFT(BO203,7),Discharge_Area,MATCH(JO203,LookUps!$B$130:$B$149,1)+2)</f>
        <v>#N/A</v>
      </c>
      <c r="JO203" t="str">
        <f t="shared" si="518"/>
        <v>- S</v>
      </c>
      <c r="JP203" t="e">
        <f>HLOOKUP(LEFT(BO203,7),Discharge_Area,MATCH(JO203,LookUps!$B$130:$B$149,1)+2)</f>
        <v>#N/A</v>
      </c>
      <c r="JQ203" t="e">
        <f t="shared" si="519"/>
        <v>#N/A</v>
      </c>
      <c r="JR203" t="e">
        <f t="shared" si="520"/>
        <v>#N/A</v>
      </c>
      <c r="JS203" t="e">
        <f t="shared" si="521"/>
        <v>#N/A</v>
      </c>
      <c r="JT203" s="532" t="str">
        <f t="shared" si="522"/>
        <v xml:space="preserve"> </v>
      </c>
      <c r="JU203" s="532" t="str">
        <f t="shared" si="523"/>
        <v xml:space="preserve"> </v>
      </c>
      <c r="JV203" s="533" t="str">
        <f t="shared" si="524"/>
        <v xml:space="preserve"> </v>
      </c>
      <c r="JW203" s="534">
        <f t="shared" si="525"/>
        <v>0</v>
      </c>
      <c r="JX203" s="535" t="str">
        <f t="shared" si="609"/>
        <v xml:space="preserve"> </v>
      </c>
      <c r="JY203" s="535" t="str">
        <f t="shared" si="610"/>
        <v xml:space="preserve"> </v>
      </c>
      <c r="JZ203" s="535" t="str">
        <f t="shared" si="611"/>
        <v xml:space="preserve"> </v>
      </c>
      <c r="KA203" s="536" t="str">
        <f t="shared" si="526"/>
        <v xml:space="preserve"> </v>
      </c>
      <c r="KB203" s="535" t="e">
        <f t="shared" si="612"/>
        <v>#VALUE!</v>
      </c>
      <c r="KC203" s="535" t="str">
        <f t="shared" si="527"/>
        <v/>
      </c>
      <c r="KD203" s="537" t="str">
        <f t="shared" si="613"/>
        <v xml:space="preserve"> </v>
      </c>
      <c r="KE203" s="537" t="str">
        <f t="shared" si="614"/>
        <v xml:space="preserve"> </v>
      </c>
      <c r="KF203" s="534">
        <f t="shared" si="528"/>
        <v>0</v>
      </c>
      <c r="KG203" s="535" t="str">
        <f t="shared" si="529"/>
        <v xml:space="preserve"> </v>
      </c>
      <c r="KH203" s="535" t="str">
        <f t="shared" si="530"/>
        <v xml:space="preserve"> </v>
      </c>
      <c r="KI203" s="535" t="str">
        <f t="shared" si="531"/>
        <v xml:space="preserve"> </v>
      </c>
      <c r="KJ203" s="536" t="str">
        <f t="shared" si="532"/>
        <v xml:space="preserve"> </v>
      </c>
      <c r="KK203" s="535" t="str">
        <f t="shared" si="615"/>
        <v xml:space="preserve"> </v>
      </c>
      <c r="KL203" s="535" t="str">
        <f t="shared" si="616"/>
        <v xml:space="preserve"> </v>
      </c>
      <c r="KM203" s="537" t="str">
        <f t="shared" si="533"/>
        <v xml:space="preserve"> </v>
      </c>
      <c r="KN203" s="537" t="str">
        <f t="shared" si="617"/>
        <v xml:space="preserve"> </v>
      </c>
      <c r="KP203">
        <f t="shared" si="534"/>
        <v>0</v>
      </c>
      <c r="LA203" t="e">
        <f t="shared" si="535"/>
        <v>#VALUE!</v>
      </c>
      <c r="LB203" t="e">
        <f t="shared" si="536"/>
        <v>#VALUE!</v>
      </c>
      <c r="LC203" t="e">
        <f t="shared" si="537"/>
        <v>#VALUE!</v>
      </c>
      <c r="LD203" t="e">
        <f t="shared" si="538"/>
        <v>#VALUE!</v>
      </c>
      <c r="LE203" t="e">
        <f t="shared" si="618"/>
        <v>#VALUE!</v>
      </c>
      <c r="LF203">
        <f t="shared" si="539"/>
        <v>0</v>
      </c>
      <c r="LG203" t="e">
        <f t="shared" si="619"/>
        <v>#VALUE!</v>
      </c>
      <c r="LH203" t="str">
        <f t="shared" si="540"/>
        <v xml:space="preserve"> </v>
      </c>
      <c r="LI203">
        <f t="shared" si="620"/>
        <v>1</v>
      </c>
    </row>
    <row r="204" spans="2:321" ht="15" customHeight="1">
      <c r="B204" s="311"/>
      <c r="C204" s="311"/>
      <c r="D204" s="312"/>
      <c r="E204" s="311"/>
      <c r="F204" s="312"/>
      <c r="G204" s="311"/>
      <c r="H204" s="311"/>
      <c r="I204" s="232"/>
      <c r="J204" s="311"/>
      <c r="K204" s="305" t="str">
        <f t="shared" si="541"/>
        <v/>
      </c>
      <c r="L204" s="313"/>
      <c r="M204" s="312"/>
      <c r="N204" s="311"/>
      <c r="O204" s="312"/>
      <c r="P204" s="311"/>
      <c r="Q204" s="305" t="str">
        <f t="shared" si="542"/>
        <v/>
      </c>
      <c r="R204" s="314"/>
      <c r="S204" s="450" t="str">
        <f t="shared" si="425"/>
        <v/>
      </c>
      <c r="T204" s="315"/>
      <c r="U204" s="315"/>
      <c r="W204" s="149" t="str">
        <f t="shared" si="426"/>
        <v xml:space="preserve"> </v>
      </c>
      <c r="X204" s="243" t="str">
        <f t="shared" si="427"/>
        <v xml:space="preserve"> </v>
      </c>
      <c r="Y204" s="150" t="str">
        <f t="shared" si="428"/>
        <v/>
      </c>
      <c r="Z204" s="149" t="str">
        <f t="shared" si="429"/>
        <v xml:space="preserve"> </v>
      </c>
      <c r="AA204" s="98" t="str">
        <f t="shared" si="430"/>
        <v xml:space="preserve"> </v>
      </c>
      <c r="AB204" s="153" t="str">
        <f t="shared" si="431"/>
        <v xml:space="preserve"> </v>
      </c>
      <c r="AC204" s="153" t="str">
        <f t="shared" si="432"/>
        <v xml:space="preserve"> </v>
      </c>
      <c r="AD204" s="148" t="str">
        <f t="shared" si="433"/>
        <v/>
      </c>
      <c r="AE204" s="149" t="str">
        <f t="shared" si="434"/>
        <v/>
      </c>
      <c r="AF204" s="151" t="str">
        <f t="shared" si="435"/>
        <v xml:space="preserve"> </v>
      </c>
      <c r="AG204" s="153" t="str">
        <f t="shared" si="436"/>
        <v xml:space="preserve"> </v>
      </c>
      <c r="AH204" s="98" t="str">
        <f t="shared" si="437"/>
        <v xml:space="preserve"> </v>
      </c>
      <c r="AI204" s="149" t="str">
        <f t="shared" si="438"/>
        <v xml:space="preserve"> </v>
      </c>
      <c r="AK204" s="144" t="str">
        <f t="shared" si="439"/>
        <v xml:space="preserve"> </v>
      </c>
      <c r="AL204" s="144"/>
      <c r="AM204" s="243" t="str">
        <f t="shared" si="440"/>
        <v xml:space="preserve"> </v>
      </c>
      <c r="AN204" s="149" t="str">
        <f t="shared" si="543"/>
        <v xml:space="preserve"> </v>
      </c>
      <c r="AO204" s="144" t="str">
        <f>IF(JB204&gt;0,IF(GI204=10,-R204*1.085*(Calculation!$F$6-Calculation!$F$13)*$S$14," "),"")</f>
        <v/>
      </c>
      <c r="AP204" s="144" t="str">
        <f t="shared" si="441"/>
        <v/>
      </c>
      <c r="AQ204" s="56" t="str">
        <f t="shared" si="442"/>
        <v/>
      </c>
      <c r="AR204" s="144" t="str">
        <f t="shared" si="443"/>
        <v/>
      </c>
      <c r="AS204" s="176" t="str">
        <f t="shared" si="444"/>
        <v/>
      </c>
      <c r="AT204" s="176" t="str">
        <f t="shared" si="544"/>
        <v xml:space="preserve"> </v>
      </c>
      <c r="AU204" s="176" t="str">
        <f t="shared" si="445"/>
        <v/>
      </c>
      <c r="AV204" s="177" t="str">
        <f t="shared" si="446"/>
        <v xml:space="preserve"> </v>
      </c>
      <c r="AW204" s="144" t="str">
        <f t="shared" si="447"/>
        <v xml:space="preserve"> </v>
      </c>
      <c r="AX204" s="144" t="str">
        <f t="shared" si="448"/>
        <v xml:space="preserve"> </v>
      </c>
      <c r="AY204" s="152" t="str">
        <f t="shared" si="449"/>
        <v xml:space="preserve"> </v>
      </c>
      <c r="AZ204" s="246" t="str">
        <f t="shared" si="450"/>
        <v/>
      </c>
      <c r="BA204" s="176" t="str">
        <f t="shared" si="451"/>
        <v xml:space="preserve"> </v>
      </c>
      <c r="BB204" s="176" t="str">
        <f t="shared" si="452"/>
        <v xml:space="preserve"> </v>
      </c>
      <c r="BC204" s="195"/>
      <c r="BD204" s="316"/>
      <c r="BE204" s="317"/>
      <c r="BF204" s="318"/>
      <c r="BG204" s="318"/>
      <c r="BH204" s="144" t="str">
        <f t="shared" si="621"/>
        <v xml:space="preserve"> </v>
      </c>
      <c r="BI204" s="176" t="str">
        <f t="shared" si="453"/>
        <v/>
      </c>
      <c r="BJ204" s="144" t="str">
        <f t="shared" si="622"/>
        <v/>
      </c>
      <c r="BK204" s="246" t="str">
        <f t="shared" si="454"/>
        <v/>
      </c>
      <c r="BL204" s="144" t="str">
        <f t="shared" si="623"/>
        <v/>
      </c>
      <c r="BM204" s="246" t="str">
        <f t="shared" si="455"/>
        <v/>
      </c>
      <c r="BN204" s="337" t="str">
        <f t="shared" si="545"/>
        <v/>
      </c>
      <c r="BO204" s="371" t="str">
        <f t="shared" si="546"/>
        <v/>
      </c>
      <c r="BP204" s="328" t="str">
        <f t="shared" si="624"/>
        <v xml:space="preserve"> </v>
      </c>
      <c r="BQ204" s="347" t="str">
        <f t="shared" si="547"/>
        <v xml:space="preserve"> </v>
      </c>
      <c r="BR204" s="353" t="str">
        <f t="shared" si="548"/>
        <v xml:space="preserve"> </v>
      </c>
      <c r="BS204" s="626" t="str">
        <f>IF(L204&gt;0,IF(Calculation!P204="M13",BR204*3.1416*(0.134^2)/(4*144),IF(Calculation!P204="M17",BR204*3.1416*(0.165^2)/(4*144),IF(Calculation!P204="M20",BR204*3.1416*(0.198^2)/(4*144),IF(Calculation!P204="M23",BR204*3.1416*(0.228^2)/(4*144),IF(Calculation!P204="M27",BR204*3.1416*(0.269^2)/(4*144),BR204*3.1416*(0.307^2)/(4*144))))))," ")</f>
        <v xml:space="preserve"> </v>
      </c>
      <c r="BT204" s="353" t="str">
        <f>IF(L204&gt;0,IF(BS204&gt;0,R204/Calculation!BS204,0)," ")</f>
        <v xml:space="preserve"> </v>
      </c>
      <c r="BU204" s="438" t="e">
        <f t="shared" ca="1" si="456"/>
        <v>#VALUE!</v>
      </c>
      <c r="BV204" s="449" t="e">
        <f ca="1">INDEX(INDIRECT(VLOOKUP(LEFT(BO204,7),CLU!$Z$3:$AH$18,2)),GN204,GR204)</f>
        <v>#N/A</v>
      </c>
      <c r="BW204" s="433" t="e">
        <f ca="1">INDEX(INDIRECT(VLOOKUP(LEFT(BO204,7),CLU!$Z$3:$AH$18,3)),GN204,GR204)</f>
        <v>#N/A</v>
      </c>
      <c r="BX204" s="433" t="e">
        <f ca="1">INDEX(INDIRECT(VLOOKUP(LEFT(BO204,7),CLU!$Z$3:$AH$18,4)),GN204,GR204)</f>
        <v>#N/A</v>
      </c>
      <c r="BY204" s="433" t="e">
        <f ca="1">INDEX(INDIRECT(VLOOKUP(LEFT(BO204,7),CLU!$Z$3:$AH$18,9)),((M204-2)*(6-COUNTBLANK(GT204:GY204)))+GJ204)</f>
        <v>#N/A</v>
      </c>
      <c r="BZ204" s="426" t="e">
        <f t="shared" ca="1" si="549"/>
        <v>#N/A</v>
      </c>
      <c r="CA204" s="424" t="e">
        <f t="shared" ca="1" si="550"/>
        <v>#N/A</v>
      </c>
      <c r="CB204" s="429" t="e">
        <f ca="1">INDEX(INDIRECT(VLOOKUP(LEFT(BO204,7),CLU!$Z$3:$AH$18,2)),GN204,GS204)</f>
        <v>#N/A</v>
      </c>
      <c r="CC204" s="342" t="e">
        <f ca="1">INDEX(INDIRECT(VLOOKUP(LEFT(BO204,7),CLU!$Z$3:$AH$18,3)),GN204,GS204)</f>
        <v>#N/A</v>
      </c>
      <c r="CD204" s="342" t="e">
        <f ca="1">INDEX(INDIRECT(VLOOKUP(LEFT(BO204,7),CLU!$Z$3:$AH$18,4)),GN204,GS204)</f>
        <v>#N/A</v>
      </c>
      <c r="CE204" s="426" t="e">
        <f t="shared" ca="1" si="551"/>
        <v>#N/A</v>
      </c>
      <c r="CF204" s="440">
        <f t="shared" si="552"/>
        <v>0</v>
      </c>
      <c r="CG204" s="431" t="e">
        <f ca="1">INDEX(INDIRECT(VLOOKUP(LEFT(BO204,7),CLU!$Z$3:$AH$18,2)),GQ204,GR204)</f>
        <v>#N/A</v>
      </c>
      <c r="CH204" s="431" t="e">
        <f ca="1">INDEX(INDIRECT(VLOOKUP(LEFT(BO204,7),CLU!$Z$3:$AH$18,3)),GQ204,GR204)</f>
        <v>#N/A</v>
      </c>
      <c r="CI204" s="431" t="e">
        <f ca="1">INDEX(INDIRECT(VLOOKUP(LEFT(BO204,7),CLU!$Z$3:$AH$18,4)),GQ204,GR204)</f>
        <v>#N/A</v>
      </c>
      <c r="CJ204" s="448" t="e">
        <f t="shared" ca="1" si="553"/>
        <v>#N/A</v>
      </c>
      <c r="CK204" s="431" t="e">
        <f t="shared" ca="1" si="554"/>
        <v>#N/A</v>
      </c>
      <c r="CL204" s="440" t="e">
        <f t="shared" ca="1" si="555"/>
        <v>#N/A</v>
      </c>
      <c r="CM204" s="431" t="e">
        <f ca="1">INDEX(INDIRECT(VLOOKUP(LEFT(BO204,7),CLU!$Z$3:$AH$18,2)),GQ204,GS204)</f>
        <v>#N/A</v>
      </c>
      <c r="CN204" s="431" t="e">
        <f ca="1">INDEX(INDIRECT(VLOOKUP(LEFT(BO204,7),CLU!$Z$3:$AH$18,3)),GQ204,GS204)</f>
        <v>#N/A</v>
      </c>
      <c r="CO204" s="431" t="e">
        <f ca="1">INDEX(INDIRECT(VLOOKUP(LEFT(BO204,7),CLU!$Z$3:$AH$18,4)),GQ204,GS204)</f>
        <v>#N/A</v>
      </c>
      <c r="CP204" s="431" t="e">
        <f t="shared" ca="1" si="556"/>
        <v>#N/A</v>
      </c>
      <c r="CQ204" s="440">
        <f t="shared" si="557"/>
        <v>0</v>
      </c>
      <c r="CR204" s="51" t="e">
        <f t="shared" ca="1" si="558"/>
        <v>#N/A</v>
      </c>
      <c r="CS204" s="439" t="e">
        <f t="shared" ca="1" si="559"/>
        <v>#VALUE!</v>
      </c>
      <c r="CT204" s="51" t="e">
        <f t="shared" ca="1" si="560"/>
        <v>#VALUE!</v>
      </c>
      <c r="CU204" s="10"/>
      <c r="CV204" s="51" t="e">
        <f t="shared" ca="1" si="457"/>
        <v>#VALUE!</v>
      </c>
      <c r="CW204" s="51">
        <f t="shared" si="561"/>
        <v>0</v>
      </c>
      <c r="CX204" s="439" t="e">
        <f t="shared" ca="1" si="562"/>
        <v>#VALUE!</v>
      </c>
      <c r="CY204" s="51" t="e">
        <f t="shared" ca="1" si="563"/>
        <v>#VALUE!</v>
      </c>
      <c r="CZ204" s="10"/>
      <c r="DA204" s="51" t="e">
        <f t="shared" ca="1" si="564"/>
        <v>#VALUE!</v>
      </c>
      <c r="DB204" s="347" t="e">
        <f ca="1">INDEX(INDIRECT(VLOOKUP(LEFT(BO204,7),CLU!$Z$3:$AI$18,10)),((M204-2)*(6-COUNTBLANK(GT204:GY204)))+GJ204)*LI204</f>
        <v>#N/A</v>
      </c>
      <c r="DC204" s="347" t="str">
        <f>IF(L204&gt;0,((R204/Worksheet!$I$15)/DB204)^2," ")</f>
        <v xml:space="preserve"> </v>
      </c>
      <c r="DD204" s="602" t="str">
        <f t="shared" si="565"/>
        <v xml:space="preserve"> </v>
      </c>
      <c r="DE204" s="347" t="str">
        <f t="shared" si="458"/>
        <v xml:space="preserve"> </v>
      </c>
      <c r="DF204" s="356" t="e">
        <f ca="1">INDEX(INDIRECT(VLOOKUP(LEFT(BO204,7),CLU!$Z$3:$AH$18,8)),((M204-2)*(6-COUNTBLANK(GT204:GY204)))+GJ204)</f>
        <v>#N/A</v>
      </c>
      <c r="DG204" s="347" t="str">
        <f t="shared" si="459"/>
        <v xml:space="preserve"> </v>
      </c>
      <c r="DH204" s="357" t="str">
        <f t="shared" si="460"/>
        <v xml:space="preserve"> </v>
      </c>
      <c r="DI204" s="355" t="str">
        <f t="shared" si="461"/>
        <v xml:space="preserve"> </v>
      </c>
      <c r="DJ204" s="245" t="e">
        <f ca="1">INDEX(INDIRECT(VLOOKUP(LEFT(BO204,7),CLU!$Z$3:$AH$18,5)),GL204,GK204)</f>
        <v>#N/A</v>
      </c>
      <c r="DK204" s="245" t="e">
        <f ca="1">INDEX(INDIRECT(VLOOKUP(LEFT(BO204,7),CLU!$Z$3:$AH$18,6)),GL204,GK204)</f>
        <v>#N/A</v>
      </c>
      <c r="DL204" s="355">
        <f>(Calculation!R204*0.69143*(Calculation!$BQ$8-Calculation!$F$8))*$S$14</f>
        <v>0</v>
      </c>
      <c r="DM204" s="359" t="e">
        <f t="shared" si="566"/>
        <v>#VALUE!</v>
      </c>
      <c r="DN204" s="611">
        <f t="shared" si="567"/>
        <v>0</v>
      </c>
      <c r="DO204" s="359">
        <f t="shared" si="568"/>
        <v>100</v>
      </c>
      <c r="DP204" s="359">
        <f t="shared" si="569"/>
        <v>0</v>
      </c>
      <c r="DQ204" s="360"/>
      <c r="DR204" s="245" t="e">
        <f ca="1">INDEX(INDIRECT(VLOOKUP(LEFT(BO204,7),CLU!$Z$3:$AH$18,7)),M204-1,1)</f>
        <v>#N/A</v>
      </c>
      <c r="DS204" s="245" t="e">
        <f ca="1">INDEX(INDIRECT(VLOOKUP(LEFT(BO204,7),CLU!$Z$3:$AH$18,7)),M204-1,2)</f>
        <v>#N/A</v>
      </c>
      <c r="DT204" s="245" t="e">
        <f ca="1">INDEX(INDIRECT(VLOOKUP(LEFT(BO204,7),CLU!$Z$3:$AH$18,7)),M204-1,3)</f>
        <v>#N/A</v>
      </c>
      <c r="DU204" s="245" t="e">
        <f ca="1">INDEX(INDIRECT(VLOOKUP(LEFT(BO204,7),CLU!$Z$3:$AH$18,7)),M204-1,4)</f>
        <v>#N/A</v>
      </c>
      <c r="DV204" s="361" t="e">
        <f ca="1">INDEX(INDIRECT(VLOOKUP(LEFT(BO204,7),CLU!$Z$3:$AH$18,7)),M204-1,4+LEFT(DZ204,1)*0.5)</f>
        <v>#N/A</v>
      </c>
      <c r="DW204" s="245" t="e">
        <f ca="1">INDEX(INDIRECT(VLOOKUP(LEFT(BO204,7),CLU!$Z$3:$AH$18,7)),M204-1,8)</f>
        <v>#N/A</v>
      </c>
      <c r="DX204" s="361" t="str">
        <f t="shared" si="462"/>
        <v xml:space="preserve"> </v>
      </c>
      <c r="DY204" s="361" t="str">
        <f t="shared" si="463"/>
        <v xml:space="preserve"> </v>
      </c>
      <c r="DZ204" s="361" t="str">
        <f t="shared" si="464"/>
        <v xml:space="preserve"> </v>
      </c>
      <c r="EA204" s="362" t="str">
        <f t="shared" si="465"/>
        <v xml:space="preserve"> </v>
      </c>
      <c r="EB204" s="624" t="str">
        <f t="shared" si="570"/>
        <v xml:space="preserve"> </v>
      </c>
      <c r="EC204" s="361" t="e">
        <f ca="1">INDEX(INDIRECT(VLOOKUP(LEFT(BO204,7),CLU!$Z$3:$AH$18,7)),M204-1,4+LEFT(DZ204,1)*0.5)</f>
        <v>#N/A</v>
      </c>
      <c r="ED204" s="362" t="str">
        <f t="shared" si="466"/>
        <v xml:space="preserve"> </v>
      </c>
      <c r="EE204" s="361" t="str">
        <f t="shared" si="467"/>
        <v xml:space="preserve"> </v>
      </c>
      <c r="EF204" s="362" t="str">
        <f>IF(L204&gt;0,IF(BR204&gt;0,IF(EE204="2P",IF(Calculation!DZ204="2P",IF(Calculation!DS204=13.75,IF(Calculation!DR204=13,Worksheet!$BD$43,IF(Calculation!DR204=37,Worksheet!$BD$44,Worksheet!$BD$45)),IF(Calculation!DS204=10,IF(Calculation!DR204=18,Worksheet!$BD$29,IF(Calculation!DR204=30,Worksheet!$BD$30,IF(Calculation!DR204=42,Worksheet!$BD$31,IF(Calculation!DR204=54,Worksheet!$BD$32,IF(Calculation!DR204=66,Worksheet!$BD$33,IF(Calculation!DR204=78,Worksheet!$BD$34,IF(Calculation!DR204=90,Worksheet!$BD$35,IF(Calculation!DR204=102,Worksheet!$BD$36,Worksheet!$BD$37)))))))),IF(Calculation!DS204=12.5,IF(Calculation!DR204=18,Worksheet!$BD$38,IF(Calculation!DR204=Worksheet!$BD$39,IF(Calculation!DR204=42,Worksheet!$BD$40,IF(Calculation!DR204=54,Worksheet!$BD$41,Worksheet!$BD$42)))),IF(Calculation!DR204=18,Worksheet!$BD$11,IF(Calculation!DR204=30,Worksheet!$BD$12,IF(Calculation!DR204=42,Worksheet!$BD$13,IF(Calculation!DR204=54,Worksheet!$BD$14,IF(Calculation!DR204=66,Worksheet!$BD$15,IF(Calculation!DR204=78,Worksheet!$BD$16,IF(Calculation!DR204=90,Worksheet!$BD$17,IF(Calculation!DR204=102,Worksheet!$BD$18,Worksheet!$BD$19))))))))))),IF(Calculation!DS204=13.75,IF(Calculation!DR204=13,Worksheet!$BD$78,IF(Calculation!DR204=37,Worksheet!$BD$79,Worksheet!$BD$80)),IF(Calculation!DS204=10,IF(Calculation!DR204=18,Worksheet!$BD$64,IF(Calculation!DR204=30,Worksheet!$BD$65,IF(Calculation!DR204=42,Worksheet!$BD$66,IF(Calculation!DR204=54,Worksheet!$BD$68,IF(Calculation!DR204=66,Worksheet!$BD$68,IF(Calculation!DR204=78,Worksheet!$BD$69,IF(Calculation!DR204=90,Worksheet!$BD$70,IF(Calculation!DR204=102,Worksheet!$BD$71,Worksheet!$BD$72)))))))),IF(Calculation!DS204=12.5,IF(Calculation!DR204=18,Worksheet!$BD$73,IF(Calculation!DR204=Worksheet!$BD$74,IF(Calculation!DR204=42,Worksheet!$BD$75,IF(Calculation!DR204=54,Worksheet!$BD$76,Worksheet!$BD$77)))),IF(Calculation!DR204=18,Worksheet!$BD$55,IF(Calculation!DR204=30,Worksheet!$BD$56,IF(Calculation!DR204=42,Worksheet!$BD$57,IF(Calculation!DR204=54,Worksheet!$BD$58,IF(Calculation!DR204=66,Worksheet!$BD$59,IF(Calculation!DR204=78,Worksheet!$BD$60,IF(Calculation!DR204=90,Worksheet!$BD$61,IF(Calculation!DR204=102,Worksheet!$BD$62,Worksheet!$BD$63)))))))))))),5),0)," ")</f>
        <v xml:space="preserve"> </v>
      </c>
      <c r="EG204" s="361" t="str">
        <f t="shared" si="468"/>
        <v xml:space="preserve"> </v>
      </c>
      <c r="EH204" s="361" t="e">
        <f ca="1">INDEX(INDIRECT(VLOOKUP(LEFT(BO204,7),CLU!$Z$3:$AH$18,7)),M204-1,3+LEFT(DZ204,1))</f>
        <v>#N/A</v>
      </c>
      <c r="EI204" s="362" t="str">
        <f t="shared" si="469"/>
        <v xml:space="preserve"> </v>
      </c>
      <c r="EJ204" s="363" t="str">
        <f t="shared" si="470"/>
        <v xml:space="preserve"> </v>
      </c>
      <c r="EK204" s="363" t="str">
        <f t="shared" si="471"/>
        <v xml:space="preserve"> </v>
      </c>
      <c r="EL204" s="363" t="str">
        <f t="shared" si="472"/>
        <v xml:space="preserve"> </v>
      </c>
      <c r="EM204" s="362" t="str">
        <f>IF(L204&gt;0,IF(BR204&gt;0,(Calculation!T204/ED204)^2,0)," ")</f>
        <v xml:space="preserve"> </v>
      </c>
      <c r="EN204" s="362" t="str">
        <f>IF(L204&gt;0,IF(O204="2 Pipe (Cooling)","N/A",IF(BR204&gt;0,(Calculation!U204/EI204)^2,0))," ")</f>
        <v xml:space="preserve"> </v>
      </c>
      <c r="EO204" s="361" t="str">
        <f t="shared" si="473"/>
        <v/>
      </c>
      <c r="EP204" s="361" t="str">
        <f t="shared" si="474"/>
        <v/>
      </c>
      <c r="EQ204" s="361" t="str">
        <f t="shared" si="475"/>
        <v/>
      </c>
      <c r="ER204" s="361" t="str">
        <f t="shared" si="476"/>
        <v/>
      </c>
      <c r="ES204" s="361" t="str">
        <f t="shared" si="477"/>
        <v/>
      </c>
      <c r="ET204" s="361" t="str">
        <f t="shared" si="478"/>
        <v/>
      </c>
      <c r="EU204" s="361" t="str">
        <f t="shared" si="479"/>
        <v/>
      </c>
      <c r="EV204" s="361" t="str">
        <f t="shared" si="480"/>
        <v/>
      </c>
      <c r="EW204" s="361" t="str">
        <f t="shared" si="481"/>
        <v/>
      </c>
      <c r="EX204" s="361" t="str">
        <f t="shared" si="571"/>
        <v>1 slot, 1 way</v>
      </c>
      <c r="EY204" s="361" t="str">
        <f t="shared" si="572"/>
        <v xml:space="preserve"> </v>
      </c>
      <c r="EZ204" s="361" t="str">
        <f t="shared" si="573"/>
        <v xml:space="preserve"> </v>
      </c>
      <c r="FA204" s="361" t="str">
        <f t="shared" si="574"/>
        <v xml:space="preserve"> </v>
      </c>
      <c r="FB204" s="361" t="str">
        <f t="shared" si="575"/>
        <v xml:space="preserve"> </v>
      </c>
      <c r="FC204" s="361"/>
      <c r="FD204" s="361" t="str">
        <f>IF(J204&gt;0,IF(Calculation!R204&lt;=70,4,IF(Calculation!R204&lt;=110,5,IF(Calculation!R204&lt;=160,6,IF(Calculation!R204&lt;=300,8,"10 EO")))),"")</f>
        <v/>
      </c>
      <c r="FE204" s="361" t="str">
        <f t="shared" si="576"/>
        <v/>
      </c>
      <c r="FF204" s="361" t="str">
        <f t="shared" si="577"/>
        <v/>
      </c>
      <c r="FG204" s="361" t="e">
        <f t="shared" si="482"/>
        <v>#N/A</v>
      </c>
      <c r="FH204" s="361">
        <f t="shared" si="483"/>
        <v>0</v>
      </c>
      <c r="FI204" s="361" t="e">
        <f t="shared" si="484"/>
        <v>#DIV/0!</v>
      </c>
      <c r="FJ204" s="361"/>
      <c r="FK204" s="356" t="e">
        <f t="shared" si="485"/>
        <v>#VALUE!</v>
      </c>
      <c r="FL204" s="361"/>
      <c r="FM204" s="361"/>
      <c r="FN204" s="362" t="str">
        <f t="shared" si="578"/>
        <v xml:space="preserve"> </v>
      </c>
      <c r="FO204" s="362" t="str">
        <f t="shared" si="579"/>
        <v xml:space="preserve"> </v>
      </c>
      <c r="FP204" s="362">
        <f t="shared" si="580"/>
        <v>0</v>
      </c>
      <c r="FQ204" s="361">
        <f t="shared" si="486"/>
        <v>0</v>
      </c>
      <c r="FR204" s="362" t="str">
        <f>IF(L204&gt;0,IF(J204="CBAL2",Worksheet!$P$67,IF(J204="CBE2-24",Worksheet!$Q$67,IF(J204="CBAM",Worksheet!$R$67,IF(J204="CBLV",Worksheet!$S$67,IF(J204="CBAB",Worksheet!$U$67,IF(J204="CBAW",Worksheet!$X$67,IF(J204="CBE2-12",Worksheet!$Y$67,IF(J204="CBAL2",Worksheet!$Z$67,"N/A"))))))))," ")</f>
        <v xml:space="preserve"> </v>
      </c>
      <c r="FS204" s="362" t="str">
        <f>IF(L204&gt;0,IF(J204="CBAL2",Worksheet!$P$68,IF(J204="CBE2-24",Worksheet!$Q$68,IF(J204="CBAM",Worksheet!$R$68,IF(J204="CBLV",Worksheet!$S$68,IF(J204="CBAB",Worksheet!$U$68,IF(J204="CBAW",Worksheet!$X$68,IF(J204="CBE2-12",Worksheet!$Y$68,IF(J204="CBAL2",Worksheet!$Z$68,"N/A"))))))))," ")</f>
        <v xml:space="preserve"> </v>
      </c>
      <c r="FT204" s="362" t="str">
        <f>IF(L204&gt;0,IF(J204="CBAL2",Worksheet!$P$69,IF(J204="CBE2-24",Worksheet!$Q$69,IF(J204="CBAM",Worksheet!$R$69,IF(J204="CBLV",Worksheet!$S$69,IF(J204="CBAB",Worksheet!$U$69,IF(J204="CBAW",Worksheet!$X$69,IF(J204="CBE2-12",Worksheet!$Y$69,IF(J204="CBAL2",Worksheet!$Z$69,"N/A"))))))))," ")</f>
        <v xml:space="preserve"> </v>
      </c>
      <c r="FU204" s="361" t="str">
        <f t="shared" si="581"/>
        <v xml:space="preserve"> </v>
      </c>
      <c r="FV204" s="362" t="str">
        <f t="shared" si="582"/>
        <v xml:space="preserve"> </v>
      </c>
      <c r="FW204" s="362" t="str">
        <f t="shared" si="583"/>
        <v xml:space="preserve"> </v>
      </c>
      <c r="FX204" s="362" t="str">
        <f t="shared" si="584"/>
        <v xml:space="preserve"> </v>
      </c>
      <c r="FY204" s="355" t="str">
        <f t="shared" si="585"/>
        <v xml:space="preserve"> </v>
      </c>
      <c r="FZ204" s="361" t="str">
        <f t="shared" si="586"/>
        <v xml:space="preserve"> </v>
      </c>
      <c r="GA204" s="347" t="str">
        <f t="shared" si="587"/>
        <v xml:space="preserve"> </v>
      </c>
      <c r="GB204" s="355" t="str">
        <f t="shared" si="588"/>
        <v xml:space="preserve"> </v>
      </c>
      <c r="GC204" s="328" t="str">
        <f t="shared" si="589"/>
        <v xml:space="preserve"> </v>
      </c>
      <c r="GD204" s="361" t="str">
        <f t="shared" si="590"/>
        <v xml:space="preserve"> </v>
      </c>
      <c r="GE204" s="347" t="str">
        <f t="shared" si="591"/>
        <v xml:space="preserve"> </v>
      </c>
      <c r="GF204" s="361" t="str">
        <f t="shared" si="592"/>
        <v xml:space="preserve"> </v>
      </c>
      <c r="GG204" s="347" t="str">
        <f t="shared" si="593"/>
        <v xml:space="preserve"> </v>
      </c>
      <c r="GH204" s="364">
        <f t="shared" si="487"/>
        <v>0</v>
      </c>
      <c r="GI204" s="362">
        <f t="shared" si="594"/>
        <v>2</v>
      </c>
      <c r="GJ204" s="433" t="e">
        <f>IF(6-COUNTBLANK(GT204:GY204)=4,MATCH(MID(BO204,9,3),CLU!$H$16:$K$16),MATCH(MID(BO204,9,3),CLU!$H$13:$M$13))</f>
        <v>#N/A</v>
      </c>
      <c r="GK204" s="433" t="e">
        <f>HLOOKUP(VALUE(BP204),CLU!$H$9:$M$10,2)</f>
        <v>#VALUE!</v>
      </c>
      <c r="GL204" s="433" t="e">
        <f ca="1">MATCH(BU204,CLU!$H$2:$V$2,1)</f>
        <v>#VALUE!</v>
      </c>
      <c r="GM204" s="433" t="e">
        <f t="shared" ca="1" si="595"/>
        <v>#VALUE!</v>
      </c>
      <c r="GN204" s="433" t="e">
        <f t="shared" ca="1" si="596"/>
        <v>#VALUE!</v>
      </c>
      <c r="GO204" s="433" t="e">
        <f t="shared" ca="1" si="597"/>
        <v>#VALUE!</v>
      </c>
      <c r="GP204" s="433" t="e">
        <f t="shared" ca="1" si="598"/>
        <v>#VALUE!</v>
      </c>
      <c r="GQ204" s="433" t="e">
        <f t="shared" ca="1" si="599"/>
        <v>#VALUE!</v>
      </c>
      <c r="GR204" s="433" t="e">
        <f ca="1">MATCH(T204,INDIRECT(VLOOKUP(CONCATENATE(LEFT(BO204,7),"-",MID(BO204,13,1)),CLU!$P$3:$Q$16,2)),1)</f>
        <v>#N/A</v>
      </c>
      <c r="GS204" s="433" t="e">
        <f ca="1">MATCH(U204,INDIRECT(VLOOKUP(CONCATENATE(LEFT(BO204,7),"-",MID(BO204,13,1)),CLU!$P$3:$Q$16,2)),1)</f>
        <v>#N/A</v>
      </c>
      <c r="GT204" s="347" t="s">
        <v>512</v>
      </c>
      <c r="GU204" s="97" t="s">
        <v>513</v>
      </c>
      <c r="GV204" s="97" t="str">
        <f t="shared" si="600"/>
        <v>M23</v>
      </c>
      <c r="GW204" s="97" t="str">
        <f t="shared" si="601"/>
        <v>M31</v>
      </c>
      <c r="GX204" s="97" t="str">
        <f t="shared" si="602"/>
        <v/>
      </c>
      <c r="GY204" s="97" t="str">
        <f t="shared" si="603"/>
        <v/>
      </c>
      <c r="GZ204" s="481"/>
      <c r="HA204" s="288"/>
      <c r="HB204" s="240"/>
      <c r="HC204" s="240"/>
      <c r="HD204" s="240"/>
      <c r="HE204" s="240"/>
      <c r="HF204" s="240"/>
      <c r="HG204" s="240"/>
      <c r="HH204" s="240"/>
      <c r="HI204" s="240"/>
      <c r="HJ204" s="240"/>
      <c r="HK204" s="240"/>
      <c r="HL204" s="240"/>
      <c r="HM204" s="240"/>
      <c r="HN204" s="240"/>
      <c r="HO204" s="240"/>
      <c r="HP204" s="240"/>
      <c r="HQ204" s="240"/>
      <c r="HR204" s="240"/>
      <c r="HS204" s="240"/>
      <c r="HT204" s="240"/>
      <c r="HU204" s="240"/>
      <c r="HV204" s="245"/>
      <c r="HW204" s="245" t="b">
        <v>1</v>
      </c>
      <c r="HX204" s="245" t="str">
        <f t="shared" si="488"/>
        <v/>
      </c>
      <c r="HY204" s="245" t="e">
        <f t="shared" si="489"/>
        <v>#DIV/0!</v>
      </c>
      <c r="HZ204" s="245" t="e">
        <f t="shared" si="490"/>
        <v>#DIV/0!</v>
      </c>
      <c r="IA204" s="245">
        <f t="shared" si="491"/>
        <v>0</v>
      </c>
      <c r="IB204" s="245"/>
      <c r="IC204" t="b">
        <f t="shared" si="492"/>
        <v>1</v>
      </c>
      <c r="ID204" s="245" t="b">
        <f t="shared" si="493"/>
        <v>1</v>
      </c>
      <c r="IE204" s="245" t="b">
        <f t="shared" si="494"/>
        <v>1</v>
      </c>
      <c r="IF204" s="245" t="b">
        <f t="shared" si="495"/>
        <v>0</v>
      </c>
      <c r="IG204" s="245" t="b">
        <f t="shared" si="496"/>
        <v>1</v>
      </c>
      <c r="IH204" s="245" t="b">
        <f t="shared" si="497"/>
        <v>1</v>
      </c>
      <c r="II204" s="245">
        <f t="shared" si="604"/>
        <v>0</v>
      </c>
      <c r="IJ204" s="245" t="e">
        <f t="shared" si="498"/>
        <v>#VALUE!</v>
      </c>
      <c r="IK204" s="245" t="e">
        <f t="shared" si="499"/>
        <v>#VALUE!</v>
      </c>
      <c r="IL204" s="245"/>
      <c r="IM204" s="245" t="e">
        <f t="shared" si="605"/>
        <v>#N/A</v>
      </c>
      <c r="IN204" s="245" t="e">
        <f t="shared" si="606"/>
        <v>#N/A</v>
      </c>
      <c r="IO204" s="245"/>
      <c r="IP204" s="245"/>
      <c r="IQ204" s="245" t="str">
        <f t="shared" si="500"/>
        <v/>
      </c>
      <c r="IR204" s="245" t="str">
        <f>IF(J204="","",VLOOKUP(J204,Worksheet!$R$4:$T$14,2))</f>
        <v/>
      </c>
      <c r="IS204" s="245"/>
      <c r="IT204" s="245">
        <f t="shared" si="501"/>
        <v>0</v>
      </c>
      <c r="IU204" s="245">
        <f t="shared" si="502"/>
        <v>0</v>
      </c>
      <c r="IV204" s="245">
        <f t="shared" si="503"/>
        <v>0</v>
      </c>
      <c r="IW204" s="245">
        <f t="shared" si="504"/>
        <v>0</v>
      </c>
      <c r="IX204" s="245">
        <f t="shared" si="607"/>
        <v>0</v>
      </c>
      <c r="IY204" s="245">
        <f t="shared" si="505"/>
        <v>0</v>
      </c>
      <c r="IZ204" s="245">
        <f t="shared" si="506"/>
        <v>0</v>
      </c>
      <c r="JA204">
        <f t="shared" si="507"/>
        <v>0</v>
      </c>
      <c r="JB204">
        <f t="shared" si="608"/>
        <v>0</v>
      </c>
      <c r="JC204">
        <f t="shared" si="508"/>
        <v>0</v>
      </c>
      <c r="JD204">
        <f t="shared" si="509"/>
        <v>0</v>
      </c>
      <c r="JE204">
        <f t="shared" si="510"/>
        <v>0</v>
      </c>
      <c r="JF204">
        <f t="shared" si="511"/>
        <v>0</v>
      </c>
      <c r="JG204">
        <f t="shared" si="512"/>
        <v>0</v>
      </c>
      <c r="JH204">
        <f t="shared" si="513"/>
        <v>0</v>
      </c>
      <c r="JI204">
        <f t="shared" si="514"/>
        <v>0</v>
      </c>
      <c r="JJ204" s="447">
        <f t="shared" si="515"/>
        <v>0</v>
      </c>
      <c r="JK204" s="447">
        <f t="shared" si="516"/>
        <v>0</v>
      </c>
      <c r="JL204">
        <f t="shared" si="517"/>
        <v>0</v>
      </c>
      <c r="JM204" s="245" t="str">
        <f>IFERROR(VLOOKUP(MATCH(BN204,#REF!,0),#REF!,7),"")</f>
        <v/>
      </c>
      <c r="JN204" t="e">
        <f>HLOOKUP(LEFT(BO204,7),Discharge_Area,MATCH(JO204,LookUps!$B$130:$B$149,1)+2)</f>
        <v>#N/A</v>
      </c>
      <c r="JO204" t="str">
        <f t="shared" si="518"/>
        <v>- S</v>
      </c>
      <c r="JP204" t="e">
        <f>HLOOKUP(LEFT(BO204,7),Discharge_Area,MATCH(JO204,LookUps!$B$130:$B$149,1)+2)</f>
        <v>#N/A</v>
      </c>
      <c r="JQ204" t="e">
        <f t="shared" si="519"/>
        <v>#N/A</v>
      </c>
      <c r="JR204" t="e">
        <f t="shared" si="520"/>
        <v>#N/A</v>
      </c>
      <c r="JS204" t="e">
        <f t="shared" si="521"/>
        <v>#N/A</v>
      </c>
      <c r="JT204" s="532" t="str">
        <f t="shared" si="522"/>
        <v xml:space="preserve"> </v>
      </c>
      <c r="JU204" s="532" t="str">
        <f t="shared" si="523"/>
        <v xml:space="preserve"> </v>
      </c>
      <c r="JV204" s="533" t="str">
        <f t="shared" si="524"/>
        <v xml:space="preserve"> </v>
      </c>
      <c r="JW204" s="534">
        <f t="shared" si="525"/>
        <v>0</v>
      </c>
      <c r="JX204" s="535" t="str">
        <f t="shared" si="609"/>
        <v xml:space="preserve"> </v>
      </c>
      <c r="JY204" s="535" t="str">
        <f t="shared" si="610"/>
        <v xml:space="preserve"> </v>
      </c>
      <c r="JZ204" s="535" t="str">
        <f t="shared" si="611"/>
        <v xml:space="preserve"> </v>
      </c>
      <c r="KA204" s="536" t="str">
        <f t="shared" si="526"/>
        <v xml:space="preserve"> </v>
      </c>
      <c r="KB204" s="535" t="e">
        <f t="shared" si="612"/>
        <v>#VALUE!</v>
      </c>
      <c r="KC204" s="535" t="str">
        <f t="shared" si="527"/>
        <v/>
      </c>
      <c r="KD204" s="537" t="str">
        <f t="shared" si="613"/>
        <v xml:space="preserve"> </v>
      </c>
      <c r="KE204" s="537" t="str">
        <f t="shared" si="614"/>
        <v xml:space="preserve"> </v>
      </c>
      <c r="KF204" s="534">
        <f t="shared" si="528"/>
        <v>0</v>
      </c>
      <c r="KG204" s="535" t="str">
        <f t="shared" si="529"/>
        <v xml:space="preserve"> </v>
      </c>
      <c r="KH204" s="535" t="str">
        <f t="shared" si="530"/>
        <v xml:space="preserve"> </v>
      </c>
      <c r="KI204" s="535" t="str">
        <f t="shared" si="531"/>
        <v xml:space="preserve"> </v>
      </c>
      <c r="KJ204" s="536" t="str">
        <f t="shared" si="532"/>
        <v xml:space="preserve"> </v>
      </c>
      <c r="KK204" s="535" t="str">
        <f t="shared" si="615"/>
        <v xml:space="preserve"> </v>
      </c>
      <c r="KL204" s="535" t="str">
        <f t="shared" si="616"/>
        <v xml:space="preserve"> </v>
      </c>
      <c r="KM204" s="537" t="str">
        <f t="shared" si="533"/>
        <v xml:space="preserve"> </v>
      </c>
      <c r="KN204" s="537" t="str">
        <f t="shared" si="617"/>
        <v xml:space="preserve"> </v>
      </c>
      <c r="KP204">
        <f t="shared" si="534"/>
        <v>0</v>
      </c>
      <c r="LA204" t="e">
        <f t="shared" si="535"/>
        <v>#VALUE!</v>
      </c>
      <c r="LB204" t="e">
        <f t="shared" si="536"/>
        <v>#VALUE!</v>
      </c>
      <c r="LC204" t="e">
        <f t="shared" si="537"/>
        <v>#VALUE!</v>
      </c>
      <c r="LD204" t="e">
        <f t="shared" si="538"/>
        <v>#VALUE!</v>
      </c>
      <c r="LE204" t="e">
        <f t="shared" si="618"/>
        <v>#VALUE!</v>
      </c>
      <c r="LF204">
        <f t="shared" si="539"/>
        <v>0</v>
      </c>
      <c r="LG204" t="e">
        <f t="shared" si="619"/>
        <v>#VALUE!</v>
      </c>
      <c r="LH204" t="str">
        <f t="shared" si="540"/>
        <v xml:space="preserve"> </v>
      </c>
      <c r="LI204">
        <f t="shared" si="620"/>
        <v>1</v>
      </c>
    </row>
    <row r="205" spans="2:321" ht="15" customHeight="1">
      <c r="B205" s="311"/>
      <c r="C205" s="311"/>
      <c r="D205" s="312"/>
      <c r="E205" s="311"/>
      <c r="F205" s="312"/>
      <c r="G205" s="311"/>
      <c r="H205" s="311"/>
      <c r="I205" s="232"/>
      <c r="J205" s="311"/>
      <c r="K205" s="305" t="str">
        <f t="shared" si="541"/>
        <v/>
      </c>
      <c r="L205" s="313"/>
      <c r="M205" s="312"/>
      <c r="N205" s="311"/>
      <c r="O205" s="312"/>
      <c r="P205" s="311"/>
      <c r="Q205" s="305" t="str">
        <f t="shared" si="542"/>
        <v/>
      </c>
      <c r="R205" s="314"/>
      <c r="S205" s="450" t="str">
        <f t="shared" si="425"/>
        <v/>
      </c>
      <c r="T205" s="315"/>
      <c r="U205" s="315"/>
      <c r="W205" s="149" t="str">
        <f t="shared" si="426"/>
        <v xml:space="preserve"> </v>
      </c>
      <c r="X205" s="243" t="str">
        <f t="shared" si="427"/>
        <v xml:space="preserve"> </v>
      </c>
      <c r="Y205" s="150" t="str">
        <f t="shared" si="428"/>
        <v/>
      </c>
      <c r="Z205" s="149" t="str">
        <f t="shared" si="429"/>
        <v xml:space="preserve"> </v>
      </c>
      <c r="AA205" s="98" t="str">
        <f t="shared" si="430"/>
        <v xml:space="preserve"> </v>
      </c>
      <c r="AB205" s="153" t="str">
        <f t="shared" si="431"/>
        <v xml:space="preserve"> </v>
      </c>
      <c r="AC205" s="153" t="str">
        <f t="shared" si="432"/>
        <v xml:space="preserve"> </v>
      </c>
      <c r="AD205" s="148" t="str">
        <f t="shared" si="433"/>
        <v/>
      </c>
      <c r="AE205" s="149" t="str">
        <f t="shared" si="434"/>
        <v/>
      </c>
      <c r="AF205" s="151" t="str">
        <f t="shared" si="435"/>
        <v xml:space="preserve"> </v>
      </c>
      <c r="AG205" s="153" t="str">
        <f t="shared" si="436"/>
        <v xml:space="preserve"> </v>
      </c>
      <c r="AH205" s="98" t="str">
        <f t="shared" si="437"/>
        <v xml:space="preserve"> </v>
      </c>
      <c r="AI205" s="149" t="str">
        <f t="shared" si="438"/>
        <v xml:space="preserve"> </v>
      </c>
      <c r="AK205" s="144" t="str">
        <f t="shared" si="439"/>
        <v xml:space="preserve"> </v>
      </c>
      <c r="AL205" s="144"/>
      <c r="AM205" s="243" t="str">
        <f t="shared" si="440"/>
        <v xml:space="preserve"> </v>
      </c>
      <c r="AN205" s="149" t="str">
        <f t="shared" si="543"/>
        <v xml:space="preserve"> </v>
      </c>
      <c r="AO205" s="144" t="str">
        <f>IF(JB205&gt;0,IF(GI205=10,-R205*1.085*(Calculation!$F$6-Calculation!$F$13)*$S$14," "),"")</f>
        <v/>
      </c>
      <c r="AP205" s="144" t="str">
        <f t="shared" si="441"/>
        <v/>
      </c>
      <c r="AQ205" s="56" t="str">
        <f t="shared" si="442"/>
        <v/>
      </c>
      <c r="AR205" s="144" t="str">
        <f t="shared" si="443"/>
        <v/>
      </c>
      <c r="AS205" s="176" t="str">
        <f t="shared" si="444"/>
        <v/>
      </c>
      <c r="AT205" s="176" t="str">
        <f t="shared" si="544"/>
        <v xml:space="preserve"> </v>
      </c>
      <c r="AU205" s="176" t="str">
        <f t="shared" si="445"/>
        <v/>
      </c>
      <c r="AV205" s="177" t="str">
        <f t="shared" si="446"/>
        <v xml:space="preserve"> </v>
      </c>
      <c r="AW205" s="144" t="str">
        <f t="shared" si="447"/>
        <v xml:space="preserve"> </v>
      </c>
      <c r="AX205" s="144" t="str">
        <f t="shared" si="448"/>
        <v xml:space="preserve"> </v>
      </c>
      <c r="AY205" s="152" t="str">
        <f t="shared" si="449"/>
        <v xml:space="preserve"> </v>
      </c>
      <c r="AZ205" s="246" t="str">
        <f t="shared" si="450"/>
        <v/>
      </c>
      <c r="BA205" s="176" t="str">
        <f t="shared" si="451"/>
        <v xml:space="preserve"> </v>
      </c>
      <c r="BB205" s="176" t="str">
        <f t="shared" si="452"/>
        <v xml:space="preserve"> </v>
      </c>
      <c r="BC205" s="195"/>
      <c r="BD205" s="316"/>
      <c r="BE205" s="317"/>
      <c r="BF205" s="318"/>
      <c r="BG205" s="318"/>
      <c r="BH205" s="144" t="str">
        <f t="shared" si="621"/>
        <v xml:space="preserve"> </v>
      </c>
      <c r="BI205" s="176" t="str">
        <f t="shared" si="453"/>
        <v/>
      </c>
      <c r="BJ205" s="144" t="str">
        <f t="shared" si="622"/>
        <v/>
      </c>
      <c r="BK205" s="246" t="str">
        <f t="shared" si="454"/>
        <v/>
      </c>
      <c r="BL205" s="144" t="str">
        <f t="shared" si="623"/>
        <v/>
      </c>
      <c r="BM205" s="246" t="str">
        <f t="shared" si="455"/>
        <v/>
      </c>
      <c r="BN205" s="337" t="str">
        <f t="shared" si="545"/>
        <v/>
      </c>
      <c r="BO205" s="371" t="str">
        <f t="shared" si="546"/>
        <v/>
      </c>
      <c r="BP205" s="328" t="str">
        <f t="shared" si="624"/>
        <v xml:space="preserve"> </v>
      </c>
      <c r="BQ205" s="347" t="str">
        <f t="shared" si="547"/>
        <v xml:space="preserve"> </v>
      </c>
      <c r="BR205" s="353" t="str">
        <f t="shared" si="548"/>
        <v xml:space="preserve"> </v>
      </c>
      <c r="BS205" s="626" t="str">
        <f>IF(L205&gt;0,IF(Calculation!P205="M13",BR205*3.1416*(0.134^2)/(4*144),IF(Calculation!P205="M17",BR205*3.1416*(0.165^2)/(4*144),IF(Calculation!P205="M20",BR205*3.1416*(0.198^2)/(4*144),IF(Calculation!P205="M23",BR205*3.1416*(0.228^2)/(4*144),IF(Calculation!P205="M27",BR205*3.1416*(0.269^2)/(4*144),BR205*3.1416*(0.307^2)/(4*144))))))," ")</f>
        <v xml:space="preserve"> </v>
      </c>
      <c r="BT205" s="353" t="str">
        <f>IF(L205&gt;0,IF(BS205&gt;0,R205/Calculation!BS205,0)," ")</f>
        <v xml:space="preserve"> </v>
      </c>
      <c r="BU205" s="438" t="e">
        <f t="shared" ca="1" si="456"/>
        <v>#VALUE!</v>
      </c>
      <c r="BV205" s="449" t="e">
        <f ca="1">INDEX(INDIRECT(VLOOKUP(LEFT(BO205,7),CLU!$Z$3:$AH$18,2)),GN205,GR205)</f>
        <v>#N/A</v>
      </c>
      <c r="BW205" s="433" t="e">
        <f ca="1">INDEX(INDIRECT(VLOOKUP(LEFT(BO205,7),CLU!$Z$3:$AH$18,3)),GN205,GR205)</f>
        <v>#N/A</v>
      </c>
      <c r="BX205" s="433" t="e">
        <f ca="1">INDEX(INDIRECT(VLOOKUP(LEFT(BO205,7),CLU!$Z$3:$AH$18,4)),GN205,GR205)</f>
        <v>#N/A</v>
      </c>
      <c r="BY205" s="433" t="e">
        <f ca="1">INDEX(INDIRECT(VLOOKUP(LEFT(BO205,7),CLU!$Z$3:$AH$18,9)),((M205-2)*(6-COUNTBLANK(GT205:GY205)))+GJ205)</f>
        <v>#N/A</v>
      </c>
      <c r="BZ205" s="426" t="e">
        <f t="shared" ca="1" si="549"/>
        <v>#N/A</v>
      </c>
      <c r="CA205" s="424" t="e">
        <f t="shared" ca="1" si="550"/>
        <v>#N/A</v>
      </c>
      <c r="CB205" s="429" t="e">
        <f ca="1">INDEX(INDIRECT(VLOOKUP(LEFT(BO205,7),CLU!$Z$3:$AH$18,2)),GN205,GS205)</f>
        <v>#N/A</v>
      </c>
      <c r="CC205" s="342" t="e">
        <f ca="1">INDEX(INDIRECT(VLOOKUP(LEFT(BO205,7),CLU!$Z$3:$AH$18,3)),GN205,GS205)</f>
        <v>#N/A</v>
      </c>
      <c r="CD205" s="342" t="e">
        <f ca="1">INDEX(INDIRECT(VLOOKUP(LEFT(BO205,7),CLU!$Z$3:$AH$18,4)),GN205,GS205)</f>
        <v>#N/A</v>
      </c>
      <c r="CE205" s="426" t="e">
        <f t="shared" ca="1" si="551"/>
        <v>#N/A</v>
      </c>
      <c r="CF205" s="440">
        <f t="shared" si="552"/>
        <v>0</v>
      </c>
      <c r="CG205" s="431" t="e">
        <f ca="1">INDEX(INDIRECT(VLOOKUP(LEFT(BO205,7),CLU!$Z$3:$AH$18,2)),GQ205,GR205)</f>
        <v>#N/A</v>
      </c>
      <c r="CH205" s="431" t="e">
        <f ca="1">INDEX(INDIRECT(VLOOKUP(LEFT(BO205,7),CLU!$Z$3:$AH$18,3)),GQ205,GR205)</f>
        <v>#N/A</v>
      </c>
      <c r="CI205" s="431" t="e">
        <f ca="1">INDEX(INDIRECT(VLOOKUP(LEFT(BO205,7),CLU!$Z$3:$AH$18,4)),GQ205,GR205)</f>
        <v>#N/A</v>
      </c>
      <c r="CJ205" s="448" t="e">
        <f t="shared" ca="1" si="553"/>
        <v>#N/A</v>
      </c>
      <c r="CK205" s="431" t="e">
        <f t="shared" ca="1" si="554"/>
        <v>#N/A</v>
      </c>
      <c r="CL205" s="440" t="e">
        <f t="shared" ca="1" si="555"/>
        <v>#N/A</v>
      </c>
      <c r="CM205" s="431" t="e">
        <f ca="1">INDEX(INDIRECT(VLOOKUP(LEFT(BO205,7),CLU!$Z$3:$AH$18,2)),GQ205,GS205)</f>
        <v>#N/A</v>
      </c>
      <c r="CN205" s="431" t="e">
        <f ca="1">INDEX(INDIRECT(VLOOKUP(LEFT(BO205,7),CLU!$Z$3:$AH$18,3)),GQ205,GS205)</f>
        <v>#N/A</v>
      </c>
      <c r="CO205" s="431" t="e">
        <f ca="1">INDEX(INDIRECT(VLOOKUP(LEFT(BO205,7),CLU!$Z$3:$AH$18,4)),GQ205,GS205)</f>
        <v>#N/A</v>
      </c>
      <c r="CP205" s="431" t="e">
        <f t="shared" ca="1" si="556"/>
        <v>#N/A</v>
      </c>
      <c r="CQ205" s="440">
        <f t="shared" si="557"/>
        <v>0</v>
      </c>
      <c r="CR205" s="51" t="e">
        <f t="shared" ca="1" si="558"/>
        <v>#N/A</v>
      </c>
      <c r="CS205" s="439" t="e">
        <f t="shared" ca="1" si="559"/>
        <v>#VALUE!</v>
      </c>
      <c r="CT205" s="51" t="e">
        <f t="shared" ca="1" si="560"/>
        <v>#VALUE!</v>
      </c>
      <c r="CU205" s="10"/>
      <c r="CV205" s="51" t="e">
        <f t="shared" ca="1" si="457"/>
        <v>#VALUE!</v>
      </c>
      <c r="CW205" s="51">
        <f t="shared" si="561"/>
        <v>0</v>
      </c>
      <c r="CX205" s="439" t="e">
        <f t="shared" ca="1" si="562"/>
        <v>#VALUE!</v>
      </c>
      <c r="CY205" s="51" t="e">
        <f t="shared" ca="1" si="563"/>
        <v>#VALUE!</v>
      </c>
      <c r="CZ205" s="10"/>
      <c r="DA205" s="51" t="e">
        <f t="shared" ca="1" si="564"/>
        <v>#VALUE!</v>
      </c>
      <c r="DB205" s="347" t="e">
        <f ca="1">INDEX(INDIRECT(VLOOKUP(LEFT(BO205,7),CLU!$Z$3:$AI$18,10)),((M205-2)*(6-COUNTBLANK(GT205:GY205)))+GJ205)*LI205</f>
        <v>#N/A</v>
      </c>
      <c r="DC205" s="347" t="str">
        <f>IF(L205&gt;0,((R205/Worksheet!$I$15)/DB205)^2," ")</f>
        <v xml:space="preserve"> </v>
      </c>
      <c r="DD205" s="602" t="str">
        <f t="shared" si="565"/>
        <v xml:space="preserve"> </v>
      </c>
      <c r="DE205" s="347" t="str">
        <f t="shared" si="458"/>
        <v xml:space="preserve"> </v>
      </c>
      <c r="DF205" s="356" t="e">
        <f ca="1">INDEX(INDIRECT(VLOOKUP(LEFT(BO205,7),CLU!$Z$3:$AH$18,8)),((M205-2)*(6-COUNTBLANK(GT205:GY205)))+GJ205)</f>
        <v>#N/A</v>
      </c>
      <c r="DG205" s="347" t="str">
        <f t="shared" si="459"/>
        <v xml:space="preserve"> </v>
      </c>
      <c r="DH205" s="357" t="str">
        <f t="shared" si="460"/>
        <v xml:space="preserve"> </v>
      </c>
      <c r="DI205" s="355" t="str">
        <f t="shared" si="461"/>
        <v xml:space="preserve"> </v>
      </c>
      <c r="DJ205" s="245" t="e">
        <f ca="1">INDEX(INDIRECT(VLOOKUP(LEFT(BO205,7),CLU!$Z$3:$AH$18,5)),GL205,GK205)</f>
        <v>#N/A</v>
      </c>
      <c r="DK205" s="245" t="e">
        <f ca="1">INDEX(INDIRECT(VLOOKUP(LEFT(BO205,7),CLU!$Z$3:$AH$18,6)),GL205,GK205)</f>
        <v>#N/A</v>
      </c>
      <c r="DL205" s="355">
        <f>(Calculation!R205*0.69143*(Calculation!$BQ$8-Calculation!$F$8))*$S$14</f>
        <v>0</v>
      </c>
      <c r="DM205" s="359" t="e">
        <f t="shared" si="566"/>
        <v>#VALUE!</v>
      </c>
      <c r="DN205" s="611">
        <f t="shared" si="567"/>
        <v>0</v>
      </c>
      <c r="DO205" s="359">
        <f t="shared" si="568"/>
        <v>100</v>
      </c>
      <c r="DP205" s="359">
        <f t="shared" si="569"/>
        <v>0</v>
      </c>
      <c r="DQ205" s="360"/>
      <c r="DR205" s="245" t="e">
        <f ca="1">INDEX(INDIRECT(VLOOKUP(LEFT(BO205,7),CLU!$Z$3:$AH$18,7)),M205-1,1)</f>
        <v>#N/A</v>
      </c>
      <c r="DS205" s="245" t="e">
        <f ca="1">INDEX(INDIRECT(VLOOKUP(LEFT(BO205,7),CLU!$Z$3:$AH$18,7)),M205-1,2)</f>
        <v>#N/A</v>
      </c>
      <c r="DT205" s="245" t="e">
        <f ca="1">INDEX(INDIRECT(VLOOKUP(LEFT(BO205,7),CLU!$Z$3:$AH$18,7)),M205-1,3)</f>
        <v>#N/A</v>
      </c>
      <c r="DU205" s="245" t="e">
        <f ca="1">INDEX(INDIRECT(VLOOKUP(LEFT(BO205,7),CLU!$Z$3:$AH$18,7)),M205-1,4)</f>
        <v>#N/A</v>
      </c>
      <c r="DV205" s="361" t="e">
        <f ca="1">INDEX(INDIRECT(VLOOKUP(LEFT(BO205,7),CLU!$Z$3:$AH$18,7)),M205-1,4+LEFT(DZ205,1)*0.5)</f>
        <v>#N/A</v>
      </c>
      <c r="DW205" s="245" t="e">
        <f ca="1">INDEX(INDIRECT(VLOOKUP(LEFT(BO205,7),CLU!$Z$3:$AH$18,7)),M205-1,8)</f>
        <v>#N/A</v>
      </c>
      <c r="DX205" s="361" t="str">
        <f t="shared" si="462"/>
        <v xml:space="preserve"> </v>
      </c>
      <c r="DY205" s="361" t="str">
        <f t="shared" si="463"/>
        <v xml:space="preserve"> </v>
      </c>
      <c r="DZ205" s="361" t="str">
        <f t="shared" si="464"/>
        <v xml:space="preserve"> </v>
      </c>
      <c r="EA205" s="362" t="str">
        <f t="shared" si="465"/>
        <v xml:space="preserve"> </v>
      </c>
      <c r="EB205" s="624" t="str">
        <f t="shared" si="570"/>
        <v xml:space="preserve"> </v>
      </c>
      <c r="EC205" s="361" t="e">
        <f ca="1">INDEX(INDIRECT(VLOOKUP(LEFT(BO205,7),CLU!$Z$3:$AH$18,7)),M205-1,4+LEFT(DZ205,1)*0.5)</f>
        <v>#N/A</v>
      </c>
      <c r="ED205" s="362" t="str">
        <f t="shared" si="466"/>
        <v xml:space="preserve"> </v>
      </c>
      <c r="EE205" s="361" t="str">
        <f t="shared" si="467"/>
        <v xml:space="preserve"> </v>
      </c>
      <c r="EF205" s="362" t="str">
        <f>IF(L205&gt;0,IF(BR205&gt;0,IF(EE205="2P",IF(Calculation!DZ205="2P",IF(Calculation!DS205=13.75,IF(Calculation!DR205=13,Worksheet!$BD$43,IF(Calculation!DR205=37,Worksheet!$BD$44,Worksheet!$BD$45)),IF(Calculation!DS205=10,IF(Calculation!DR205=18,Worksheet!$BD$29,IF(Calculation!DR205=30,Worksheet!$BD$30,IF(Calculation!DR205=42,Worksheet!$BD$31,IF(Calculation!DR205=54,Worksheet!$BD$32,IF(Calculation!DR205=66,Worksheet!$BD$33,IF(Calculation!DR205=78,Worksheet!$BD$34,IF(Calculation!DR205=90,Worksheet!$BD$35,IF(Calculation!DR205=102,Worksheet!$BD$36,Worksheet!$BD$37)))))))),IF(Calculation!DS205=12.5,IF(Calculation!DR205=18,Worksheet!$BD$38,IF(Calculation!DR205=Worksheet!$BD$39,IF(Calculation!DR205=42,Worksheet!$BD$40,IF(Calculation!DR205=54,Worksheet!$BD$41,Worksheet!$BD$42)))),IF(Calculation!DR205=18,Worksheet!$BD$11,IF(Calculation!DR205=30,Worksheet!$BD$12,IF(Calculation!DR205=42,Worksheet!$BD$13,IF(Calculation!DR205=54,Worksheet!$BD$14,IF(Calculation!DR205=66,Worksheet!$BD$15,IF(Calculation!DR205=78,Worksheet!$BD$16,IF(Calculation!DR205=90,Worksheet!$BD$17,IF(Calculation!DR205=102,Worksheet!$BD$18,Worksheet!$BD$19))))))))))),IF(Calculation!DS205=13.75,IF(Calculation!DR205=13,Worksheet!$BD$78,IF(Calculation!DR205=37,Worksheet!$BD$79,Worksheet!$BD$80)),IF(Calculation!DS205=10,IF(Calculation!DR205=18,Worksheet!$BD$64,IF(Calculation!DR205=30,Worksheet!$BD$65,IF(Calculation!DR205=42,Worksheet!$BD$66,IF(Calculation!DR205=54,Worksheet!$BD$68,IF(Calculation!DR205=66,Worksheet!$BD$68,IF(Calculation!DR205=78,Worksheet!$BD$69,IF(Calculation!DR205=90,Worksheet!$BD$70,IF(Calculation!DR205=102,Worksheet!$BD$71,Worksheet!$BD$72)))))))),IF(Calculation!DS205=12.5,IF(Calculation!DR205=18,Worksheet!$BD$73,IF(Calculation!DR205=Worksheet!$BD$74,IF(Calculation!DR205=42,Worksheet!$BD$75,IF(Calculation!DR205=54,Worksheet!$BD$76,Worksheet!$BD$77)))),IF(Calculation!DR205=18,Worksheet!$BD$55,IF(Calculation!DR205=30,Worksheet!$BD$56,IF(Calculation!DR205=42,Worksheet!$BD$57,IF(Calculation!DR205=54,Worksheet!$BD$58,IF(Calculation!DR205=66,Worksheet!$BD$59,IF(Calculation!DR205=78,Worksheet!$BD$60,IF(Calculation!DR205=90,Worksheet!$BD$61,IF(Calculation!DR205=102,Worksheet!$BD$62,Worksheet!$BD$63)))))))))))),5),0)," ")</f>
        <v xml:space="preserve"> </v>
      </c>
      <c r="EG205" s="361" t="str">
        <f t="shared" si="468"/>
        <v xml:space="preserve"> </v>
      </c>
      <c r="EH205" s="361" t="e">
        <f ca="1">INDEX(INDIRECT(VLOOKUP(LEFT(BO205,7),CLU!$Z$3:$AH$18,7)),M205-1,3+LEFT(DZ205,1))</f>
        <v>#N/A</v>
      </c>
      <c r="EI205" s="362" t="str">
        <f t="shared" si="469"/>
        <v xml:space="preserve"> </v>
      </c>
      <c r="EJ205" s="363" t="str">
        <f t="shared" si="470"/>
        <v xml:space="preserve"> </v>
      </c>
      <c r="EK205" s="363" t="str">
        <f t="shared" si="471"/>
        <v xml:space="preserve"> </v>
      </c>
      <c r="EL205" s="363" t="str">
        <f t="shared" si="472"/>
        <v xml:space="preserve"> </v>
      </c>
      <c r="EM205" s="362" t="str">
        <f>IF(L205&gt;0,IF(BR205&gt;0,(Calculation!T205/ED205)^2,0)," ")</f>
        <v xml:space="preserve"> </v>
      </c>
      <c r="EN205" s="362" t="str">
        <f>IF(L205&gt;0,IF(O205="2 Pipe (Cooling)","N/A",IF(BR205&gt;0,(Calculation!U205/EI205)^2,0))," ")</f>
        <v xml:space="preserve"> </v>
      </c>
      <c r="EO205" s="361" t="str">
        <f t="shared" si="473"/>
        <v/>
      </c>
      <c r="EP205" s="361" t="str">
        <f t="shared" si="474"/>
        <v/>
      </c>
      <c r="EQ205" s="361" t="str">
        <f t="shared" si="475"/>
        <v/>
      </c>
      <c r="ER205" s="361" t="str">
        <f t="shared" si="476"/>
        <v/>
      </c>
      <c r="ES205" s="361" t="str">
        <f t="shared" si="477"/>
        <v/>
      </c>
      <c r="ET205" s="361" t="str">
        <f t="shared" si="478"/>
        <v/>
      </c>
      <c r="EU205" s="361" t="str">
        <f t="shared" si="479"/>
        <v/>
      </c>
      <c r="EV205" s="361" t="str">
        <f t="shared" si="480"/>
        <v/>
      </c>
      <c r="EW205" s="361" t="str">
        <f t="shared" si="481"/>
        <v/>
      </c>
      <c r="EX205" s="361" t="str">
        <f t="shared" si="571"/>
        <v>1 slot, 1 way</v>
      </c>
      <c r="EY205" s="361" t="str">
        <f t="shared" si="572"/>
        <v xml:space="preserve"> </v>
      </c>
      <c r="EZ205" s="361" t="str">
        <f t="shared" si="573"/>
        <v xml:space="preserve"> </v>
      </c>
      <c r="FA205" s="361" t="str">
        <f t="shared" si="574"/>
        <v xml:space="preserve"> </v>
      </c>
      <c r="FB205" s="361" t="str">
        <f t="shared" si="575"/>
        <v xml:space="preserve"> </v>
      </c>
      <c r="FC205" s="361"/>
      <c r="FD205" s="361" t="str">
        <f>IF(J205&gt;0,IF(Calculation!R205&lt;=70,4,IF(Calculation!R205&lt;=110,5,IF(Calculation!R205&lt;=160,6,IF(Calculation!R205&lt;=300,8,"10 EO")))),"")</f>
        <v/>
      </c>
      <c r="FE205" s="361" t="str">
        <f t="shared" si="576"/>
        <v/>
      </c>
      <c r="FF205" s="361" t="str">
        <f t="shared" si="577"/>
        <v/>
      </c>
      <c r="FG205" s="361" t="e">
        <f t="shared" si="482"/>
        <v>#N/A</v>
      </c>
      <c r="FH205" s="361">
        <f t="shared" si="483"/>
        <v>0</v>
      </c>
      <c r="FI205" s="361" t="e">
        <f t="shared" si="484"/>
        <v>#DIV/0!</v>
      </c>
      <c r="FJ205" s="361"/>
      <c r="FK205" s="356" t="e">
        <f t="shared" si="485"/>
        <v>#VALUE!</v>
      </c>
      <c r="FL205" s="361"/>
      <c r="FM205" s="361"/>
      <c r="FN205" s="362" t="str">
        <f t="shared" si="578"/>
        <v xml:space="preserve"> </v>
      </c>
      <c r="FO205" s="362" t="str">
        <f t="shared" si="579"/>
        <v xml:space="preserve"> </v>
      </c>
      <c r="FP205" s="362">
        <f t="shared" si="580"/>
        <v>0</v>
      </c>
      <c r="FQ205" s="361">
        <f t="shared" si="486"/>
        <v>0</v>
      </c>
      <c r="FR205" s="362" t="str">
        <f>IF(L205&gt;0,IF(J205="CBAL2",Worksheet!$P$67,IF(J205="CBE2-24",Worksheet!$Q$67,IF(J205="CBAM",Worksheet!$R$67,IF(J205="CBLV",Worksheet!$S$67,IF(J205="CBAB",Worksheet!$U$67,IF(J205="CBAW",Worksheet!$X$67,IF(J205="CBE2-12",Worksheet!$Y$67,IF(J205="CBAL2",Worksheet!$Z$67,"N/A"))))))))," ")</f>
        <v xml:space="preserve"> </v>
      </c>
      <c r="FS205" s="362" t="str">
        <f>IF(L205&gt;0,IF(J205="CBAL2",Worksheet!$P$68,IF(J205="CBE2-24",Worksheet!$Q$68,IF(J205="CBAM",Worksheet!$R$68,IF(J205="CBLV",Worksheet!$S$68,IF(J205="CBAB",Worksheet!$U$68,IF(J205="CBAW",Worksheet!$X$68,IF(J205="CBE2-12",Worksheet!$Y$68,IF(J205="CBAL2",Worksheet!$Z$68,"N/A"))))))))," ")</f>
        <v xml:space="preserve"> </v>
      </c>
      <c r="FT205" s="362" t="str">
        <f>IF(L205&gt;0,IF(J205="CBAL2",Worksheet!$P$69,IF(J205="CBE2-24",Worksheet!$Q$69,IF(J205="CBAM",Worksheet!$R$69,IF(J205="CBLV",Worksheet!$S$69,IF(J205="CBAB",Worksheet!$U$69,IF(J205="CBAW",Worksheet!$X$69,IF(J205="CBE2-12",Worksheet!$Y$69,IF(J205="CBAL2",Worksheet!$Z$69,"N/A"))))))))," ")</f>
        <v xml:space="preserve"> </v>
      </c>
      <c r="FU205" s="361" t="str">
        <f t="shared" si="581"/>
        <v xml:space="preserve"> </v>
      </c>
      <c r="FV205" s="362" t="str">
        <f t="shared" si="582"/>
        <v xml:space="preserve"> </v>
      </c>
      <c r="FW205" s="362" t="str">
        <f t="shared" si="583"/>
        <v xml:space="preserve"> </v>
      </c>
      <c r="FX205" s="362" t="str">
        <f t="shared" si="584"/>
        <v xml:space="preserve"> </v>
      </c>
      <c r="FY205" s="355" t="str">
        <f t="shared" si="585"/>
        <v xml:space="preserve"> </v>
      </c>
      <c r="FZ205" s="361" t="str">
        <f t="shared" si="586"/>
        <v xml:space="preserve"> </v>
      </c>
      <c r="GA205" s="347" t="str">
        <f t="shared" si="587"/>
        <v xml:space="preserve"> </v>
      </c>
      <c r="GB205" s="355" t="str">
        <f t="shared" si="588"/>
        <v xml:space="preserve"> </v>
      </c>
      <c r="GC205" s="328" t="str">
        <f t="shared" si="589"/>
        <v xml:space="preserve"> </v>
      </c>
      <c r="GD205" s="361" t="str">
        <f t="shared" si="590"/>
        <v xml:space="preserve"> </v>
      </c>
      <c r="GE205" s="347" t="str">
        <f t="shared" si="591"/>
        <v xml:space="preserve"> </v>
      </c>
      <c r="GF205" s="361" t="str">
        <f t="shared" si="592"/>
        <v xml:space="preserve"> </v>
      </c>
      <c r="GG205" s="347" t="str">
        <f t="shared" si="593"/>
        <v xml:space="preserve"> </v>
      </c>
      <c r="GH205" s="364">
        <f t="shared" si="487"/>
        <v>0</v>
      </c>
      <c r="GI205" s="362">
        <f t="shared" si="594"/>
        <v>2</v>
      </c>
      <c r="GJ205" s="433" t="e">
        <f>IF(6-COUNTBLANK(GT205:GY205)=4,MATCH(MID(BO205,9,3),CLU!$H$16:$K$16),MATCH(MID(BO205,9,3),CLU!$H$13:$M$13))</f>
        <v>#N/A</v>
      </c>
      <c r="GK205" s="433" t="e">
        <f>HLOOKUP(VALUE(BP205),CLU!$H$9:$M$10,2)</f>
        <v>#VALUE!</v>
      </c>
      <c r="GL205" s="433" t="e">
        <f ca="1">MATCH(BU205,CLU!$H$2:$V$2,1)</f>
        <v>#VALUE!</v>
      </c>
      <c r="GM205" s="433" t="e">
        <f t="shared" ca="1" si="595"/>
        <v>#VALUE!</v>
      </c>
      <c r="GN205" s="433" t="e">
        <f t="shared" ca="1" si="596"/>
        <v>#VALUE!</v>
      </c>
      <c r="GO205" s="433" t="e">
        <f t="shared" ca="1" si="597"/>
        <v>#VALUE!</v>
      </c>
      <c r="GP205" s="433" t="e">
        <f t="shared" ca="1" si="598"/>
        <v>#VALUE!</v>
      </c>
      <c r="GQ205" s="433" t="e">
        <f t="shared" ca="1" si="599"/>
        <v>#VALUE!</v>
      </c>
      <c r="GR205" s="433" t="e">
        <f ca="1">MATCH(T205,INDIRECT(VLOOKUP(CONCATENATE(LEFT(BO205,7),"-",MID(BO205,13,1)),CLU!$P$3:$Q$16,2)),1)</f>
        <v>#N/A</v>
      </c>
      <c r="GS205" s="433" t="e">
        <f ca="1">MATCH(U205,INDIRECT(VLOOKUP(CONCATENATE(LEFT(BO205,7),"-",MID(BO205,13,1)),CLU!$P$3:$Q$16,2)),1)</f>
        <v>#N/A</v>
      </c>
      <c r="GT205" s="347" t="s">
        <v>512</v>
      </c>
      <c r="GU205" s="97" t="s">
        <v>513</v>
      </c>
      <c r="GV205" s="97" t="str">
        <f t="shared" si="600"/>
        <v>M23</v>
      </c>
      <c r="GW205" s="97" t="str">
        <f t="shared" si="601"/>
        <v>M31</v>
      </c>
      <c r="GX205" s="97" t="str">
        <f t="shared" si="602"/>
        <v/>
      </c>
      <c r="GY205" s="97" t="str">
        <f t="shared" si="603"/>
        <v/>
      </c>
      <c r="GZ205" s="481"/>
      <c r="HA205" s="288"/>
      <c r="HB205" s="240"/>
      <c r="HC205" s="240"/>
      <c r="HD205" s="240"/>
      <c r="HE205" s="240"/>
      <c r="HF205" s="240"/>
      <c r="HG205" s="240"/>
      <c r="HH205" s="240"/>
      <c r="HI205" s="240"/>
      <c r="HJ205" s="240"/>
      <c r="HK205" s="240"/>
      <c r="HL205" s="240"/>
      <c r="HM205" s="240"/>
      <c r="HN205" s="240"/>
      <c r="HO205" s="240"/>
      <c r="HP205" s="240"/>
      <c r="HQ205" s="240"/>
      <c r="HR205" s="240"/>
      <c r="HS205" s="240"/>
      <c r="HT205" s="240"/>
      <c r="HU205" s="240"/>
      <c r="HV205" s="245"/>
      <c r="HW205" s="245" t="b">
        <v>1</v>
      </c>
      <c r="HX205" s="245" t="str">
        <f t="shared" si="488"/>
        <v/>
      </c>
      <c r="HY205" s="245" t="e">
        <f t="shared" si="489"/>
        <v>#DIV/0!</v>
      </c>
      <c r="HZ205" s="245" t="e">
        <f t="shared" si="490"/>
        <v>#DIV/0!</v>
      </c>
      <c r="IA205" s="245">
        <f t="shared" si="491"/>
        <v>0</v>
      </c>
      <c r="IB205" s="245"/>
      <c r="IC205" t="b">
        <f t="shared" si="492"/>
        <v>1</v>
      </c>
      <c r="ID205" s="245" t="b">
        <f t="shared" si="493"/>
        <v>1</v>
      </c>
      <c r="IE205" s="245" t="b">
        <f t="shared" si="494"/>
        <v>1</v>
      </c>
      <c r="IF205" s="245" t="b">
        <f t="shared" si="495"/>
        <v>0</v>
      </c>
      <c r="IG205" s="245" t="b">
        <f t="shared" si="496"/>
        <v>1</v>
      </c>
      <c r="IH205" s="245" t="b">
        <f t="shared" si="497"/>
        <v>1</v>
      </c>
      <c r="II205" s="245">
        <f t="shared" si="604"/>
        <v>0</v>
      </c>
      <c r="IJ205" s="245" t="e">
        <f t="shared" si="498"/>
        <v>#VALUE!</v>
      </c>
      <c r="IK205" s="245" t="e">
        <f t="shared" si="499"/>
        <v>#VALUE!</v>
      </c>
      <c r="IL205" s="245"/>
      <c r="IM205" s="245" t="e">
        <f t="shared" si="605"/>
        <v>#N/A</v>
      </c>
      <c r="IN205" s="245" t="e">
        <f t="shared" si="606"/>
        <v>#N/A</v>
      </c>
      <c r="IO205" s="245"/>
      <c r="IP205" s="245"/>
      <c r="IQ205" s="245" t="str">
        <f t="shared" si="500"/>
        <v/>
      </c>
      <c r="IR205" s="245" t="str">
        <f>IF(J205="","",VLOOKUP(J205,Worksheet!$R$4:$T$14,2))</f>
        <v/>
      </c>
      <c r="IS205" s="245"/>
      <c r="IT205" s="245">
        <f t="shared" si="501"/>
        <v>0</v>
      </c>
      <c r="IU205" s="245">
        <f t="shared" si="502"/>
        <v>0</v>
      </c>
      <c r="IV205" s="245">
        <f t="shared" si="503"/>
        <v>0</v>
      </c>
      <c r="IW205" s="245">
        <f t="shared" si="504"/>
        <v>0</v>
      </c>
      <c r="IX205" s="245">
        <f t="shared" si="607"/>
        <v>0</v>
      </c>
      <c r="IY205" s="245">
        <f t="shared" si="505"/>
        <v>0</v>
      </c>
      <c r="IZ205" s="245">
        <f t="shared" si="506"/>
        <v>0</v>
      </c>
      <c r="JA205">
        <f t="shared" si="507"/>
        <v>0</v>
      </c>
      <c r="JB205">
        <f t="shared" si="608"/>
        <v>0</v>
      </c>
      <c r="JC205">
        <f t="shared" si="508"/>
        <v>0</v>
      </c>
      <c r="JD205">
        <f t="shared" si="509"/>
        <v>0</v>
      </c>
      <c r="JE205">
        <f t="shared" si="510"/>
        <v>0</v>
      </c>
      <c r="JF205">
        <f t="shared" si="511"/>
        <v>0</v>
      </c>
      <c r="JG205">
        <f t="shared" si="512"/>
        <v>0</v>
      </c>
      <c r="JH205">
        <f t="shared" si="513"/>
        <v>0</v>
      </c>
      <c r="JI205">
        <f t="shared" si="514"/>
        <v>0</v>
      </c>
      <c r="JJ205" s="447">
        <f t="shared" si="515"/>
        <v>0</v>
      </c>
      <c r="JK205" s="447">
        <f t="shared" si="516"/>
        <v>0</v>
      </c>
      <c r="JL205">
        <f t="shared" si="517"/>
        <v>0</v>
      </c>
      <c r="JM205" s="245" t="str">
        <f>IFERROR(VLOOKUP(MATCH(BN205,#REF!,0),#REF!,7),"")</f>
        <v/>
      </c>
      <c r="JN205" t="e">
        <f>HLOOKUP(LEFT(BO205,7),Discharge_Area,MATCH(JO205,LookUps!$B$130:$B$149,1)+2)</f>
        <v>#N/A</v>
      </c>
      <c r="JO205" t="str">
        <f t="shared" si="518"/>
        <v>- S</v>
      </c>
      <c r="JP205" t="e">
        <f>HLOOKUP(LEFT(BO205,7),Discharge_Area,MATCH(JO205,LookUps!$B$130:$B$149,1)+2)</f>
        <v>#N/A</v>
      </c>
      <c r="JQ205" t="e">
        <f t="shared" si="519"/>
        <v>#N/A</v>
      </c>
      <c r="JR205" t="e">
        <f t="shared" si="520"/>
        <v>#N/A</v>
      </c>
      <c r="JS205" t="e">
        <f t="shared" si="521"/>
        <v>#N/A</v>
      </c>
      <c r="JT205" s="532" t="str">
        <f t="shared" si="522"/>
        <v xml:space="preserve"> </v>
      </c>
      <c r="JU205" s="532" t="str">
        <f t="shared" si="523"/>
        <v xml:space="preserve"> </v>
      </c>
      <c r="JV205" s="533" t="str">
        <f t="shared" si="524"/>
        <v xml:space="preserve"> </v>
      </c>
      <c r="JW205" s="534">
        <f t="shared" si="525"/>
        <v>0</v>
      </c>
      <c r="JX205" s="535" t="str">
        <f t="shared" si="609"/>
        <v xml:space="preserve"> </v>
      </c>
      <c r="JY205" s="535" t="str">
        <f t="shared" si="610"/>
        <v xml:space="preserve"> </v>
      </c>
      <c r="JZ205" s="535" t="str">
        <f t="shared" si="611"/>
        <v xml:space="preserve"> </v>
      </c>
      <c r="KA205" s="536" t="str">
        <f t="shared" si="526"/>
        <v xml:space="preserve"> </v>
      </c>
      <c r="KB205" s="535" t="e">
        <f t="shared" si="612"/>
        <v>#VALUE!</v>
      </c>
      <c r="KC205" s="535" t="str">
        <f t="shared" si="527"/>
        <v/>
      </c>
      <c r="KD205" s="537" t="str">
        <f t="shared" si="613"/>
        <v xml:space="preserve"> </v>
      </c>
      <c r="KE205" s="537" t="str">
        <f t="shared" si="614"/>
        <v xml:space="preserve"> </v>
      </c>
      <c r="KF205" s="534">
        <f t="shared" si="528"/>
        <v>0</v>
      </c>
      <c r="KG205" s="535" t="str">
        <f t="shared" si="529"/>
        <v xml:space="preserve"> </v>
      </c>
      <c r="KH205" s="535" t="str">
        <f t="shared" si="530"/>
        <v xml:space="preserve"> </v>
      </c>
      <c r="KI205" s="535" t="str">
        <f t="shared" si="531"/>
        <v xml:space="preserve"> </v>
      </c>
      <c r="KJ205" s="536" t="str">
        <f t="shared" si="532"/>
        <v xml:space="preserve"> </v>
      </c>
      <c r="KK205" s="535" t="str">
        <f t="shared" si="615"/>
        <v xml:space="preserve"> </v>
      </c>
      <c r="KL205" s="535" t="str">
        <f t="shared" si="616"/>
        <v xml:space="preserve"> </v>
      </c>
      <c r="KM205" s="537" t="str">
        <f t="shared" si="533"/>
        <v xml:space="preserve"> </v>
      </c>
      <c r="KN205" s="537" t="str">
        <f t="shared" si="617"/>
        <v xml:space="preserve"> </v>
      </c>
      <c r="KP205">
        <f t="shared" si="534"/>
        <v>0</v>
      </c>
      <c r="LA205" t="e">
        <f t="shared" si="535"/>
        <v>#VALUE!</v>
      </c>
      <c r="LB205" t="e">
        <f t="shared" si="536"/>
        <v>#VALUE!</v>
      </c>
      <c r="LC205" t="e">
        <f t="shared" si="537"/>
        <v>#VALUE!</v>
      </c>
      <c r="LD205" t="e">
        <f t="shared" si="538"/>
        <v>#VALUE!</v>
      </c>
      <c r="LE205" t="e">
        <f t="shared" si="618"/>
        <v>#VALUE!</v>
      </c>
      <c r="LF205">
        <f t="shared" si="539"/>
        <v>0</v>
      </c>
      <c r="LG205" t="e">
        <f t="shared" si="619"/>
        <v>#VALUE!</v>
      </c>
      <c r="LH205" t="str">
        <f t="shared" si="540"/>
        <v xml:space="preserve"> </v>
      </c>
      <c r="LI205">
        <f t="shared" si="620"/>
        <v>1</v>
      </c>
    </row>
    <row r="206" spans="2:321" ht="15" customHeight="1">
      <c r="B206" s="311"/>
      <c r="C206" s="311"/>
      <c r="D206" s="312"/>
      <c r="E206" s="311"/>
      <c r="F206" s="312"/>
      <c r="G206" s="311"/>
      <c r="H206" s="311"/>
      <c r="I206" s="232"/>
      <c r="J206" s="311"/>
      <c r="K206" s="305" t="str">
        <f t="shared" si="541"/>
        <v/>
      </c>
      <c r="L206" s="313"/>
      <c r="M206" s="312"/>
      <c r="N206" s="311"/>
      <c r="O206" s="312"/>
      <c r="P206" s="311"/>
      <c r="Q206" s="305" t="str">
        <f t="shared" si="542"/>
        <v/>
      </c>
      <c r="R206" s="314"/>
      <c r="S206" s="450" t="str">
        <f t="shared" si="425"/>
        <v/>
      </c>
      <c r="T206" s="315"/>
      <c r="U206" s="315"/>
      <c r="W206" s="149" t="str">
        <f t="shared" si="426"/>
        <v xml:space="preserve"> </v>
      </c>
      <c r="X206" s="243" t="str">
        <f t="shared" si="427"/>
        <v xml:space="preserve"> </v>
      </c>
      <c r="Y206" s="150" t="str">
        <f t="shared" si="428"/>
        <v/>
      </c>
      <c r="Z206" s="149" t="str">
        <f t="shared" si="429"/>
        <v xml:space="preserve"> </v>
      </c>
      <c r="AA206" s="98" t="str">
        <f t="shared" si="430"/>
        <v xml:space="preserve"> </v>
      </c>
      <c r="AB206" s="153" t="str">
        <f t="shared" si="431"/>
        <v xml:space="preserve"> </v>
      </c>
      <c r="AC206" s="153" t="str">
        <f t="shared" si="432"/>
        <v xml:space="preserve"> </v>
      </c>
      <c r="AD206" s="148" t="str">
        <f t="shared" si="433"/>
        <v/>
      </c>
      <c r="AE206" s="149" t="str">
        <f t="shared" si="434"/>
        <v/>
      </c>
      <c r="AF206" s="151" t="str">
        <f t="shared" si="435"/>
        <v xml:space="preserve"> </v>
      </c>
      <c r="AG206" s="153" t="str">
        <f t="shared" si="436"/>
        <v xml:space="preserve"> </v>
      </c>
      <c r="AH206" s="98" t="str">
        <f t="shared" si="437"/>
        <v xml:space="preserve"> </v>
      </c>
      <c r="AI206" s="149" t="str">
        <f t="shared" si="438"/>
        <v xml:space="preserve"> </v>
      </c>
      <c r="AK206" s="144" t="str">
        <f t="shared" si="439"/>
        <v xml:space="preserve"> </v>
      </c>
      <c r="AL206" s="144"/>
      <c r="AM206" s="243" t="str">
        <f t="shared" si="440"/>
        <v xml:space="preserve"> </v>
      </c>
      <c r="AN206" s="149" t="str">
        <f t="shared" si="543"/>
        <v xml:space="preserve"> </v>
      </c>
      <c r="AO206" s="144" t="str">
        <f>IF(JB206&gt;0,IF(GI206=10,-R206*1.085*(Calculation!$F$6-Calculation!$F$13)*$S$14," "),"")</f>
        <v/>
      </c>
      <c r="AP206" s="144" t="str">
        <f t="shared" si="441"/>
        <v/>
      </c>
      <c r="AQ206" s="56" t="str">
        <f t="shared" si="442"/>
        <v/>
      </c>
      <c r="AR206" s="144" t="str">
        <f t="shared" si="443"/>
        <v/>
      </c>
      <c r="AS206" s="176" t="str">
        <f t="shared" si="444"/>
        <v/>
      </c>
      <c r="AT206" s="176" t="str">
        <f t="shared" si="544"/>
        <v xml:space="preserve"> </v>
      </c>
      <c r="AU206" s="176" t="str">
        <f t="shared" si="445"/>
        <v/>
      </c>
      <c r="AV206" s="177" t="str">
        <f t="shared" si="446"/>
        <v xml:space="preserve"> </v>
      </c>
      <c r="AW206" s="144" t="str">
        <f t="shared" si="447"/>
        <v xml:space="preserve"> </v>
      </c>
      <c r="AX206" s="144" t="str">
        <f t="shared" si="448"/>
        <v xml:space="preserve"> </v>
      </c>
      <c r="AY206" s="152" t="str">
        <f t="shared" si="449"/>
        <v xml:space="preserve"> </v>
      </c>
      <c r="AZ206" s="246" t="str">
        <f t="shared" si="450"/>
        <v/>
      </c>
      <c r="BA206" s="176" t="str">
        <f t="shared" si="451"/>
        <v xml:space="preserve"> </v>
      </c>
      <c r="BB206" s="176" t="str">
        <f t="shared" si="452"/>
        <v xml:space="preserve"> </v>
      </c>
      <c r="BC206" s="195"/>
      <c r="BD206" s="316"/>
      <c r="BE206" s="317"/>
      <c r="BF206" s="318"/>
      <c r="BG206" s="318"/>
      <c r="BH206" s="144" t="str">
        <f t="shared" si="621"/>
        <v xml:space="preserve"> </v>
      </c>
      <c r="BI206" s="176" t="str">
        <f t="shared" si="453"/>
        <v/>
      </c>
      <c r="BJ206" s="144" t="str">
        <f t="shared" si="622"/>
        <v/>
      </c>
      <c r="BK206" s="246" t="str">
        <f t="shared" si="454"/>
        <v/>
      </c>
      <c r="BL206" s="144" t="str">
        <f t="shared" si="623"/>
        <v/>
      </c>
      <c r="BM206" s="246" t="str">
        <f t="shared" si="455"/>
        <v/>
      </c>
      <c r="BN206" s="337" t="str">
        <f t="shared" si="545"/>
        <v/>
      </c>
      <c r="BO206" s="371" t="str">
        <f t="shared" si="546"/>
        <v/>
      </c>
      <c r="BP206" s="328" t="str">
        <f t="shared" si="624"/>
        <v xml:space="preserve"> </v>
      </c>
      <c r="BQ206" s="347" t="str">
        <f t="shared" si="547"/>
        <v xml:space="preserve"> </v>
      </c>
      <c r="BR206" s="353" t="str">
        <f t="shared" si="548"/>
        <v xml:space="preserve"> </v>
      </c>
      <c r="BS206" s="626" t="str">
        <f>IF(L206&gt;0,IF(Calculation!P206="M13",BR206*3.1416*(0.134^2)/(4*144),IF(Calculation!P206="M17",BR206*3.1416*(0.165^2)/(4*144),IF(Calculation!P206="M20",BR206*3.1416*(0.198^2)/(4*144),IF(Calculation!P206="M23",BR206*3.1416*(0.228^2)/(4*144),IF(Calculation!P206="M27",BR206*3.1416*(0.269^2)/(4*144),BR206*3.1416*(0.307^2)/(4*144))))))," ")</f>
        <v xml:space="preserve"> </v>
      </c>
      <c r="BT206" s="353" t="str">
        <f>IF(L206&gt;0,IF(BS206&gt;0,R206/Calculation!BS206,0)," ")</f>
        <v xml:space="preserve"> </v>
      </c>
      <c r="BU206" s="438" t="e">
        <f t="shared" ca="1" si="456"/>
        <v>#VALUE!</v>
      </c>
      <c r="BV206" s="449" t="e">
        <f ca="1">INDEX(INDIRECT(VLOOKUP(LEFT(BO206,7),CLU!$Z$3:$AH$18,2)),GN206,GR206)</f>
        <v>#N/A</v>
      </c>
      <c r="BW206" s="433" t="e">
        <f ca="1">INDEX(INDIRECT(VLOOKUP(LEFT(BO206,7),CLU!$Z$3:$AH$18,3)),GN206,GR206)</f>
        <v>#N/A</v>
      </c>
      <c r="BX206" s="433" t="e">
        <f ca="1">INDEX(INDIRECT(VLOOKUP(LEFT(BO206,7),CLU!$Z$3:$AH$18,4)),GN206,GR206)</f>
        <v>#N/A</v>
      </c>
      <c r="BY206" s="433" t="e">
        <f ca="1">INDEX(INDIRECT(VLOOKUP(LEFT(BO206,7),CLU!$Z$3:$AH$18,9)),((M206-2)*(6-COUNTBLANK(GT206:GY206)))+GJ206)</f>
        <v>#N/A</v>
      </c>
      <c r="BZ206" s="426" t="e">
        <f t="shared" ca="1" si="549"/>
        <v>#N/A</v>
      </c>
      <c r="CA206" s="424" t="e">
        <f t="shared" ca="1" si="550"/>
        <v>#N/A</v>
      </c>
      <c r="CB206" s="429" t="e">
        <f ca="1">INDEX(INDIRECT(VLOOKUP(LEFT(BO206,7),CLU!$Z$3:$AH$18,2)),GN206,GS206)</f>
        <v>#N/A</v>
      </c>
      <c r="CC206" s="342" t="e">
        <f ca="1">INDEX(INDIRECT(VLOOKUP(LEFT(BO206,7),CLU!$Z$3:$AH$18,3)),GN206,GS206)</f>
        <v>#N/A</v>
      </c>
      <c r="CD206" s="342" t="e">
        <f ca="1">INDEX(INDIRECT(VLOOKUP(LEFT(BO206,7),CLU!$Z$3:$AH$18,4)),GN206,GS206)</f>
        <v>#N/A</v>
      </c>
      <c r="CE206" s="426" t="e">
        <f t="shared" ca="1" si="551"/>
        <v>#N/A</v>
      </c>
      <c r="CF206" s="440">
        <f t="shared" si="552"/>
        <v>0</v>
      </c>
      <c r="CG206" s="431" t="e">
        <f ca="1">INDEX(INDIRECT(VLOOKUP(LEFT(BO206,7),CLU!$Z$3:$AH$18,2)),GQ206,GR206)</f>
        <v>#N/A</v>
      </c>
      <c r="CH206" s="431" t="e">
        <f ca="1">INDEX(INDIRECT(VLOOKUP(LEFT(BO206,7),CLU!$Z$3:$AH$18,3)),GQ206,GR206)</f>
        <v>#N/A</v>
      </c>
      <c r="CI206" s="431" t="e">
        <f ca="1">INDEX(INDIRECT(VLOOKUP(LEFT(BO206,7),CLU!$Z$3:$AH$18,4)),GQ206,GR206)</f>
        <v>#N/A</v>
      </c>
      <c r="CJ206" s="448" t="e">
        <f t="shared" ca="1" si="553"/>
        <v>#N/A</v>
      </c>
      <c r="CK206" s="431" t="e">
        <f t="shared" ca="1" si="554"/>
        <v>#N/A</v>
      </c>
      <c r="CL206" s="440" t="e">
        <f t="shared" ca="1" si="555"/>
        <v>#N/A</v>
      </c>
      <c r="CM206" s="431" t="e">
        <f ca="1">INDEX(INDIRECT(VLOOKUP(LEFT(BO206,7),CLU!$Z$3:$AH$18,2)),GQ206,GS206)</f>
        <v>#N/A</v>
      </c>
      <c r="CN206" s="431" t="e">
        <f ca="1">INDEX(INDIRECT(VLOOKUP(LEFT(BO206,7),CLU!$Z$3:$AH$18,3)),GQ206,GS206)</f>
        <v>#N/A</v>
      </c>
      <c r="CO206" s="431" t="e">
        <f ca="1">INDEX(INDIRECT(VLOOKUP(LEFT(BO206,7),CLU!$Z$3:$AH$18,4)),GQ206,GS206)</f>
        <v>#N/A</v>
      </c>
      <c r="CP206" s="431" t="e">
        <f t="shared" ca="1" si="556"/>
        <v>#N/A</v>
      </c>
      <c r="CQ206" s="440">
        <f t="shared" si="557"/>
        <v>0</v>
      </c>
      <c r="CR206" s="51" t="e">
        <f t="shared" ca="1" si="558"/>
        <v>#N/A</v>
      </c>
      <c r="CS206" s="439" t="e">
        <f t="shared" ca="1" si="559"/>
        <v>#VALUE!</v>
      </c>
      <c r="CT206" s="51" t="e">
        <f t="shared" ca="1" si="560"/>
        <v>#VALUE!</v>
      </c>
      <c r="CU206" s="10"/>
      <c r="CV206" s="51" t="e">
        <f t="shared" ca="1" si="457"/>
        <v>#VALUE!</v>
      </c>
      <c r="CW206" s="51">
        <f t="shared" si="561"/>
        <v>0</v>
      </c>
      <c r="CX206" s="439" t="e">
        <f t="shared" ca="1" si="562"/>
        <v>#VALUE!</v>
      </c>
      <c r="CY206" s="51" t="e">
        <f t="shared" ca="1" si="563"/>
        <v>#VALUE!</v>
      </c>
      <c r="CZ206" s="10"/>
      <c r="DA206" s="51" t="e">
        <f t="shared" ca="1" si="564"/>
        <v>#VALUE!</v>
      </c>
      <c r="DB206" s="347" t="e">
        <f ca="1">INDEX(INDIRECT(VLOOKUP(LEFT(BO206,7),CLU!$Z$3:$AI$18,10)),((M206-2)*(6-COUNTBLANK(GT206:GY206)))+GJ206)*LI206</f>
        <v>#N/A</v>
      </c>
      <c r="DC206" s="347" t="str">
        <f>IF(L206&gt;0,((R206/Worksheet!$I$15)/DB206)^2," ")</f>
        <v xml:space="preserve"> </v>
      </c>
      <c r="DD206" s="602" t="str">
        <f t="shared" si="565"/>
        <v xml:space="preserve"> </v>
      </c>
      <c r="DE206" s="347" t="str">
        <f t="shared" si="458"/>
        <v xml:space="preserve"> </v>
      </c>
      <c r="DF206" s="356" t="e">
        <f ca="1">INDEX(INDIRECT(VLOOKUP(LEFT(BO206,7),CLU!$Z$3:$AH$18,8)),((M206-2)*(6-COUNTBLANK(GT206:GY206)))+GJ206)</f>
        <v>#N/A</v>
      </c>
      <c r="DG206" s="347" t="str">
        <f t="shared" si="459"/>
        <v xml:space="preserve"> </v>
      </c>
      <c r="DH206" s="357" t="str">
        <f t="shared" si="460"/>
        <v xml:space="preserve"> </v>
      </c>
      <c r="DI206" s="355" t="str">
        <f t="shared" si="461"/>
        <v xml:space="preserve"> </v>
      </c>
      <c r="DJ206" s="245" t="e">
        <f ca="1">INDEX(INDIRECT(VLOOKUP(LEFT(BO206,7),CLU!$Z$3:$AH$18,5)),GL206,GK206)</f>
        <v>#N/A</v>
      </c>
      <c r="DK206" s="245" t="e">
        <f ca="1">INDEX(INDIRECT(VLOOKUP(LEFT(BO206,7),CLU!$Z$3:$AH$18,6)),GL206,GK206)</f>
        <v>#N/A</v>
      </c>
      <c r="DL206" s="355">
        <f>(Calculation!R206*0.69143*(Calculation!$BQ$8-Calculation!$F$8))*$S$14</f>
        <v>0</v>
      </c>
      <c r="DM206" s="359" t="e">
        <f t="shared" si="566"/>
        <v>#VALUE!</v>
      </c>
      <c r="DN206" s="611">
        <f t="shared" si="567"/>
        <v>0</v>
      </c>
      <c r="DO206" s="359">
        <f t="shared" si="568"/>
        <v>100</v>
      </c>
      <c r="DP206" s="359">
        <f t="shared" si="569"/>
        <v>0</v>
      </c>
      <c r="DQ206" s="360"/>
      <c r="DR206" s="245" t="e">
        <f ca="1">INDEX(INDIRECT(VLOOKUP(LEFT(BO206,7),CLU!$Z$3:$AH$18,7)),M206-1,1)</f>
        <v>#N/A</v>
      </c>
      <c r="DS206" s="245" t="e">
        <f ca="1">INDEX(INDIRECT(VLOOKUP(LEFT(BO206,7),CLU!$Z$3:$AH$18,7)),M206-1,2)</f>
        <v>#N/A</v>
      </c>
      <c r="DT206" s="245" t="e">
        <f ca="1">INDEX(INDIRECT(VLOOKUP(LEFT(BO206,7),CLU!$Z$3:$AH$18,7)),M206-1,3)</f>
        <v>#N/A</v>
      </c>
      <c r="DU206" s="245" t="e">
        <f ca="1">INDEX(INDIRECT(VLOOKUP(LEFT(BO206,7),CLU!$Z$3:$AH$18,7)),M206-1,4)</f>
        <v>#N/A</v>
      </c>
      <c r="DV206" s="361" t="e">
        <f ca="1">INDEX(INDIRECT(VLOOKUP(LEFT(BO206,7),CLU!$Z$3:$AH$18,7)),M206-1,4+LEFT(DZ206,1)*0.5)</f>
        <v>#N/A</v>
      </c>
      <c r="DW206" s="245" t="e">
        <f ca="1">INDEX(INDIRECT(VLOOKUP(LEFT(BO206,7),CLU!$Z$3:$AH$18,7)),M206-1,8)</f>
        <v>#N/A</v>
      </c>
      <c r="DX206" s="361" t="str">
        <f t="shared" si="462"/>
        <v xml:space="preserve"> </v>
      </c>
      <c r="DY206" s="361" t="str">
        <f t="shared" si="463"/>
        <v xml:space="preserve"> </v>
      </c>
      <c r="DZ206" s="361" t="str">
        <f t="shared" si="464"/>
        <v xml:space="preserve"> </v>
      </c>
      <c r="EA206" s="362" t="str">
        <f t="shared" si="465"/>
        <v xml:space="preserve"> </v>
      </c>
      <c r="EB206" s="624" t="str">
        <f t="shared" si="570"/>
        <v xml:space="preserve"> </v>
      </c>
      <c r="EC206" s="361" t="e">
        <f ca="1">INDEX(INDIRECT(VLOOKUP(LEFT(BO206,7),CLU!$Z$3:$AH$18,7)),M206-1,4+LEFT(DZ206,1)*0.5)</f>
        <v>#N/A</v>
      </c>
      <c r="ED206" s="362" t="str">
        <f t="shared" si="466"/>
        <v xml:space="preserve"> </v>
      </c>
      <c r="EE206" s="361" t="str">
        <f t="shared" si="467"/>
        <v xml:space="preserve"> </v>
      </c>
      <c r="EF206" s="362" t="str">
        <f>IF(L206&gt;0,IF(BR206&gt;0,IF(EE206="2P",IF(Calculation!DZ206="2P",IF(Calculation!DS206=13.75,IF(Calculation!DR206=13,Worksheet!$BD$43,IF(Calculation!DR206=37,Worksheet!$BD$44,Worksheet!$BD$45)),IF(Calculation!DS206=10,IF(Calculation!DR206=18,Worksheet!$BD$29,IF(Calculation!DR206=30,Worksheet!$BD$30,IF(Calculation!DR206=42,Worksheet!$BD$31,IF(Calculation!DR206=54,Worksheet!$BD$32,IF(Calculation!DR206=66,Worksheet!$BD$33,IF(Calculation!DR206=78,Worksheet!$BD$34,IF(Calculation!DR206=90,Worksheet!$BD$35,IF(Calculation!DR206=102,Worksheet!$BD$36,Worksheet!$BD$37)))))))),IF(Calculation!DS206=12.5,IF(Calculation!DR206=18,Worksheet!$BD$38,IF(Calculation!DR206=Worksheet!$BD$39,IF(Calculation!DR206=42,Worksheet!$BD$40,IF(Calculation!DR206=54,Worksheet!$BD$41,Worksheet!$BD$42)))),IF(Calculation!DR206=18,Worksheet!$BD$11,IF(Calculation!DR206=30,Worksheet!$BD$12,IF(Calculation!DR206=42,Worksheet!$BD$13,IF(Calculation!DR206=54,Worksheet!$BD$14,IF(Calculation!DR206=66,Worksheet!$BD$15,IF(Calculation!DR206=78,Worksheet!$BD$16,IF(Calculation!DR206=90,Worksheet!$BD$17,IF(Calculation!DR206=102,Worksheet!$BD$18,Worksheet!$BD$19))))))))))),IF(Calculation!DS206=13.75,IF(Calculation!DR206=13,Worksheet!$BD$78,IF(Calculation!DR206=37,Worksheet!$BD$79,Worksheet!$BD$80)),IF(Calculation!DS206=10,IF(Calculation!DR206=18,Worksheet!$BD$64,IF(Calculation!DR206=30,Worksheet!$BD$65,IF(Calculation!DR206=42,Worksheet!$BD$66,IF(Calculation!DR206=54,Worksheet!$BD$68,IF(Calculation!DR206=66,Worksheet!$BD$68,IF(Calculation!DR206=78,Worksheet!$BD$69,IF(Calculation!DR206=90,Worksheet!$BD$70,IF(Calculation!DR206=102,Worksheet!$BD$71,Worksheet!$BD$72)))))))),IF(Calculation!DS206=12.5,IF(Calculation!DR206=18,Worksheet!$BD$73,IF(Calculation!DR206=Worksheet!$BD$74,IF(Calculation!DR206=42,Worksheet!$BD$75,IF(Calculation!DR206=54,Worksheet!$BD$76,Worksheet!$BD$77)))),IF(Calculation!DR206=18,Worksheet!$BD$55,IF(Calculation!DR206=30,Worksheet!$BD$56,IF(Calculation!DR206=42,Worksheet!$BD$57,IF(Calculation!DR206=54,Worksheet!$BD$58,IF(Calculation!DR206=66,Worksheet!$BD$59,IF(Calculation!DR206=78,Worksheet!$BD$60,IF(Calculation!DR206=90,Worksheet!$BD$61,IF(Calculation!DR206=102,Worksheet!$BD$62,Worksheet!$BD$63)))))))))))),5),0)," ")</f>
        <v xml:space="preserve"> </v>
      </c>
      <c r="EG206" s="361" t="str">
        <f t="shared" si="468"/>
        <v xml:space="preserve"> </v>
      </c>
      <c r="EH206" s="361" t="e">
        <f ca="1">INDEX(INDIRECT(VLOOKUP(LEFT(BO206,7),CLU!$Z$3:$AH$18,7)),M206-1,3+LEFT(DZ206,1))</f>
        <v>#N/A</v>
      </c>
      <c r="EI206" s="362" t="str">
        <f t="shared" si="469"/>
        <v xml:space="preserve"> </v>
      </c>
      <c r="EJ206" s="363" t="str">
        <f t="shared" si="470"/>
        <v xml:space="preserve"> </v>
      </c>
      <c r="EK206" s="363" t="str">
        <f t="shared" si="471"/>
        <v xml:space="preserve"> </v>
      </c>
      <c r="EL206" s="363" t="str">
        <f t="shared" si="472"/>
        <v xml:space="preserve"> </v>
      </c>
      <c r="EM206" s="362" t="str">
        <f>IF(L206&gt;0,IF(BR206&gt;0,(Calculation!T206/ED206)^2,0)," ")</f>
        <v xml:space="preserve"> </v>
      </c>
      <c r="EN206" s="362" t="str">
        <f>IF(L206&gt;0,IF(O206="2 Pipe (Cooling)","N/A",IF(BR206&gt;0,(Calculation!U206/EI206)^2,0))," ")</f>
        <v xml:space="preserve"> </v>
      </c>
      <c r="EO206" s="361" t="str">
        <f t="shared" si="473"/>
        <v/>
      </c>
      <c r="EP206" s="361" t="str">
        <f t="shared" si="474"/>
        <v/>
      </c>
      <c r="EQ206" s="361" t="str">
        <f t="shared" si="475"/>
        <v/>
      </c>
      <c r="ER206" s="361" t="str">
        <f t="shared" si="476"/>
        <v/>
      </c>
      <c r="ES206" s="361" t="str">
        <f t="shared" si="477"/>
        <v/>
      </c>
      <c r="ET206" s="361" t="str">
        <f t="shared" si="478"/>
        <v/>
      </c>
      <c r="EU206" s="361" t="str">
        <f t="shared" si="479"/>
        <v/>
      </c>
      <c r="EV206" s="361" t="str">
        <f t="shared" si="480"/>
        <v/>
      </c>
      <c r="EW206" s="361" t="str">
        <f t="shared" si="481"/>
        <v/>
      </c>
      <c r="EX206" s="361" t="str">
        <f t="shared" si="571"/>
        <v>1 slot, 1 way</v>
      </c>
      <c r="EY206" s="361" t="str">
        <f t="shared" si="572"/>
        <v xml:space="preserve"> </v>
      </c>
      <c r="EZ206" s="361" t="str">
        <f t="shared" si="573"/>
        <v xml:space="preserve"> </v>
      </c>
      <c r="FA206" s="361" t="str">
        <f t="shared" si="574"/>
        <v xml:space="preserve"> </v>
      </c>
      <c r="FB206" s="361" t="str">
        <f t="shared" si="575"/>
        <v xml:space="preserve"> </v>
      </c>
      <c r="FC206" s="361"/>
      <c r="FD206" s="361" t="str">
        <f>IF(J206&gt;0,IF(Calculation!R206&lt;=70,4,IF(Calculation!R206&lt;=110,5,IF(Calculation!R206&lt;=160,6,IF(Calculation!R206&lt;=300,8,"10 EO")))),"")</f>
        <v/>
      </c>
      <c r="FE206" s="361" t="str">
        <f t="shared" si="576"/>
        <v/>
      </c>
      <c r="FF206" s="361" t="str">
        <f t="shared" si="577"/>
        <v/>
      </c>
      <c r="FG206" s="361" t="e">
        <f t="shared" si="482"/>
        <v>#N/A</v>
      </c>
      <c r="FH206" s="361">
        <f t="shared" si="483"/>
        <v>0</v>
      </c>
      <c r="FI206" s="361" t="e">
        <f t="shared" si="484"/>
        <v>#DIV/0!</v>
      </c>
      <c r="FJ206" s="361"/>
      <c r="FK206" s="356" t="e">
        <f t="shared" si="485"/>
        <v>#VALUE!</v>
      </c>
      <c r="FL206" s="361"/>
      <c r="FM206" s="361"/>
      <c r="FN206" s="362" t="str">
        <f t="shared" si="578"/>
        <v xml:space="preserve"> </v>
      </c>
      <c r="FO206" s="362" t="str">
        <f t="shared" si="579"/>
        <v xml:space="preserve"> </v>
      </c>
      <c r="FP206" s="362">
        <f t="shared" si="580"/>
        <v>0</v>
      </c>
      <c r="FQ206" s="361">
        <f t="shared" si="486"/>
        <v>0</v>
      </c>
      <c r="FR206" s="362" t="str">
        <f>IF(L206&gt;0,IF(J206="CBAL2",Worksheet!$P$67,IF(J206="CBE2-24",Worksheet!$Q$67,IF(J206="CBAM",Worksheet!$R$67,IF(J206="CBLV",Worksheet!$S$67,IF(J206="CBAB",Worksheet!$U$67,IF(J206="CBAW",Worksheet!$X$67,IF(J206="CBE2-12",Worksheet!$Y$67,IF(J206="CBAL2",Worksheet!$Z$67,"N/A"))))))))," ")</f>
        <v xml:space="preserve"> </v>
      </c>
      <c r="FS206" s="362" t="str">
        <f>IF(L206&gt;0,IF(J206="CBAL2",Worksheet!$P$68,IF(J206="CBE2-24",Worksheet!$Q$68,IF(J206="CBAM",Worksheet!$R$68,IF(J206="CBLV",Worksheet!$S$68,IF(J206="CBAB",Worksheet!$U$68,IF(J206="CBAW",Worksheet!$X$68,IF(J206="CBE2-12",Worksheet!$Y$68,IF(J206="CBAL2",Worksheet!$Z$68,"N/A"))))))))," ")</f>
        <v xml:space="preserve"> </v>
      </c>
      <c r="FT206" s="362" t="str">
        <f>IF(L206&gt;0,IF(J206="CBAL2",Worksheet!$P$69,IF(J206="CBE2-24",Worksheet!$Q$69,IF(J206="CBAM",Worksheet!$R$69,IF(J206="CBLV",Worksheet!$S$69,IF(J206="CBAB",Worksheet!$U$69,IF(J206="CBAW",Worksheet!$X$69,IF(J206="CBE2-12",Worksheet!$Y$69,IF(J206="CBAL2",Worksheet!$Z$69,"N/A"))))))))," ")</f>
        <v xml:space="preserve"> </v>
      </c>
      <c r="FU206" s="361" t="str">
        <f t="shared" si="581"/>
        <v xml:space="preserve"> </v>
      </c>
      <c r="FV206" s="362" t="str">
        <f t="shared" si="582"/>
        <v xml:space="preserve"> </v>
      </c>
      <c r="FW206" s="362" t="str">
        <f t="shared" si="583"/>
        <v xml:space="preserve"> </v>
      </c>
      <c r="FX206" s="362" t="str">
        <f t="shared" si="584"/>
        <v xml:space="preserve"> </v>
      </c>
      <c r="FY206" s="355" t="str">
        <f t="shared" si="585"/>
        <v xml:space="preserve"> </v>
      </c>
      <c r="FZ206" s="361" t="str">
        <f t="shared" si="586"/>
        <v xml:space="preserve"> </v>
      </c>
      <c r="GA206" s="347" t="str">
        <f t="shared" si="587"/>
        <v xml:space="preserve"> </v>
      </c>
      <c r="GB206" s="355" t="str">
        <f t="shared" si="588"/>
        <v xml:space="preserve"> </v>
      </c>
      <c r="GC206" s="328" t="str">
        <f t="shared" si="589"/>
        <v xml:space="preserve"> </v>
      </c>
      <c r="GD206" s="361" t="str">
        <f t="shared" si="590"/>
        <v xml:space="preserve"> </v>
      </c>
      <c r="GE206" s="347" t="str">
        <f t="shared" si="591"/>
        <v xml:space="preserve"> </v>
      </c>
      <c r="GF206" s="361" t="str">
        <f t="shared" si="592"/>
        <v xml:space="preserve"> </v>
      </c>
      <c r="GG206" s="347" t="str">
        <f t="shared" si="593"/>
        <v xml:space="preserve"> </v>
      </c>
      <c r="GH206" s="364">
        <f t="shared" si="487"/>
        <v>0</v>
      </c>
      <c r="GI206" s="362">
        <f t="shared" si="594"/>
        <v>2</v>
      </c>
      <c r="GJ206" s="433" t="e">
        <f>IF(6-COUNTBLANK(GT206:GY206)=4,MATCH(MID(BO206,9,3),CLU!$H$16:$K$16),MATCH(MID(BO206,9,3),CLU!$H$13:$M$13))</f>
        <v>#N/A</v>
      </c>
      <c r="GK206" s="433" t="e">
        <f>HLOOKUP(VALUE(BP206),CLU!$H$9:$M$10,2)</f>
        <v>#VALUE!</v>
      </c>
      <c r="GL206" s="433" t="e">
        <f ca="1">MATCH(BU206,CLU!$H$2:$V$2,1)</f>
        <v>#VALUE!</v>
      </c>
      <c r="GM206" s="433" t="e">
        <f t="shared" ca="1" si="595"/>
        <v>#VALUE!</v>
      </c>
      <c r="GN206" s="433" t="e">
        <f t="shared" ca="1" si="596"/>
        <v>#VALUE!</v>
      </c>
      <c r="GO206" s="433" t="e">
        <f t="shared" ca="1" si="597"/>
        <v>#VALUE!</v>
      </c>
      <c r="GP206" s="433" t="e">
        <f t="shared" ca="1" si="598"/>
        <v>#VALUE!</v>
      </c>
      <c r="GQ206" s="433" t="e">
        <f t="shared" ca="1" si="599"/>
        <v>#VALUE!</v>
      </c>
      <c r="GR206" s="433" t="e">
        <f ca="1">MATCH(T206,INDIRECT(VLOOKUP(CONCATENATE(LEFT(BO206,7),"-",MID(BO206,13,1)),CLU!$P$3:$Q$16,2)),1)</f>
        <v>#N/A</v>
      </c>
      <c r="GS206" s="433" t="e">
        <f ca="1">MATCH(U206,INDIRECT(VLOOKUP(CONCATENATE(LEFT(BO206,7),"-",MID(BO206,13,1)),CLU!$P$3:$Q$16,2)),1)</f>
        <v>#N/A</v>
      </c>
      <c r="GT206" s="347" t="s">
        <v>512</v>
      </c>
      <c r="GU206" s="97" t="s">
        <v>513</v>
      </c>
      <c r="GV206" s="97" t="str">
        <f t="shared" si="600"/>
        <v>M23</v>
      </c>
      <c r="GW206" s="97" t="str">
        <f t="shared" si="601"/>
        <v>M31</v>
      </c>
      <c r="GX206" s="97" t="str">
        <f t="shared" si="602"/>
        <v/>
      </c>
      <c r="GY206" s="97" t="str">
        <f t="shared" si="603"/>
        <v/>
      </c>
      <c r="GZ206" s="481"/>
      <c r="HA206" s="288"/>
      <c r="HB206" s="240"/>
      <c r="HC206" s="240"/>
      <c r="HD206" s="240"/>
      <c r="HE206" s="240"/>
      <c r="HF206" s="240"/>
      <c r="HG206" s="240"/>
      <c r="HH206" s="240"/>
      <c r="HI206" s="240"/>
      <c r="HJ206" s="240"/>
      <c r="HK206" s="240"/>
      <c r="HL206" s="240"/>
      <c r="HM206" s="240"/>
      <c r="HN206" s="240"/>
      <c r="HO206" s="240"/>
      <c r="HP206" s="240"/>
      <c r="HQ206" s="240"/>
      <c r="HR206" s="240"/>
      <c r="HS206" s="240"/>
      <c r="HT206" s="240"/>
      <c r="HU206" s="240"/>
      <c r="HV206" s="245"/>
      <c r="HW206" s="245" t="b">
        <v>1</v>
      </c>
      <c r="HX206" s="245" t="str">
        <f t="shared" si="488"/>
        <v/>
      </c>
      <c r="HY206" s="245" t="e">
        <f t="shared" si="489"/>
        <v>#DIV/0!</v>
      </c>
      <c r="HZ206" s="245" t="e">
        <f t="shared" si="490"/>
        <v>#DIV/0!</v>
      </c>
      <c r="IA206" s="245">
        <f t="shared" si="491"/>
        <v>0</v>
      </c>
      <c r="IB206" s="245"/>
      <c r="IC206" t="b">
        <f t="shared" si="492"/>
        <v>1</v>
      </c>
      <c r="ID206" s="245" t="b">
        <f t="shared" si="493"/>
        <v>1</v>
      </c>
      <c r="IE206" s="245" t="b">
        <f t="shared" si="494"/>
        <v>1</v>
      </c>
      <c r="IF206" s="245" t="b">
        <f t="shared" si="495"/>
        <v>0</v>
      </c>
      <c r="IG206" s="245" t="b">
        <f t="shared" si="496"/>
        <v>1</v>
      </c>
      <c r="IH206" s="245" t="b">
        <f t="shared" si="497"/>
        <v>1</v>
      </c>
      <c r="II206" s="245">
        <f t="shared" si="604"/>
        <v>0</v>
      </c>
      <c r="IJ206" s="245" t="e">
        <f t="shared" si="498"/>
        <v>#VALUE!</v>
      </c>
      <c r="IK206" s="245" t="e">
        <f t="shared" si="499"/>
        <v>#VALUE!</v>
      </c>
      <c r="IL206" s="245"/>
      <c r="IM206" s="245" t="e">
        <f t="shared" si="605"/>
        <v>#N/A</v>
      </c>
      <c r="IN206" s="245" t="e">
        <f t="shared" si="606"/>
        <v>#N/A</v>
      </c>
      <c r="IO206" s="245"/>
      <c r="IP206" s="245"/>
      <c r="IQ206" s="245" t="str">
        <f t="shared" si="500"/>
        <v/>
      </c>
      <c r="IR206" s="245" t="str">
        <f>IF(J206="","",VLOOKUP(J206,Worksheet!$R$4:$T$14,2))</f>
        <v/>
      </c>
      <c r="IS206" s="245"/>
      <c r="IT206" s="245">
        <f t="shared" si="501"/>
        <v>0</v>
      </c>
      <c r="IU206" s="245">
        <f t="shared" si="502"/>
        <v>0</v>
      </c>
      <c r="IV206" s="245">
        <f t="shared" si="503"/>
        <v>0</v>
      </c>
      <c r="IW206" s="245">
        <f t="shared" si="504"/>
        <v>0</v>
      </c>
      <c r="IX206" s="245">
        <f t="shared" si="607"/>
        <v>0</v>
      </c>
      <c r="IY206" s="245">
        <f t="shared" si="505"/>
        <v>0</v>
      </c>
      <c r="IZ206" s="245">
        <f t="shared" si="506"/>
        <v>0</v>
      </c>
      <c r="JA206">
        <f t="shared" si="507"/>
        <v>0</v>
      </c>
      <c r="JB206">
        <f t="shared" si="608"/>
        <v>0</v>
      </c>
      <c r="JC206">
        <f t="shared" si="508"/>
        <v>0</v>
      </c>
      <c r="JD206">
        <f t="shared" si="509"/>
        <v>0</v>
      </c>
      <c r="JE206">
        <f t="shared" si="510"/>
        <v>0</v>
      </c>
      <c r="JF206">
        <f t="shared" si="511"/>
        <v>0</v>
      </c>
      <c r="JG206">
        <f t="shared" si="512"/>
        <v>0</v>
      </c>
      <c r="JH206">
        <f t="shared" si="513"/>
        <v>0</v>
      </c>
      <c r="JI206">
        <f t="shared" si="514"/>
        <v>0</v>
      </c>
      <c r="JJ206" s="447">
        <f t="shared" si="515"/>
        <v>0</v>
      </c>
      <c r="JK206" s="447">
        <f t="shared" si="516"/>
        <v>0</v>
      </c>
      <c r="JL206">
        <f t="shared" si="517"/>
        <v>0</v>
      </c>
      <c r="JM206" s="245" t="str">
        <f>IFERROR(VLOOKUP(MATCH(BN206,#REF!,0),#REF!,7),"")</f>
        <v/>
      </c>
      <c r="JN206" t="e">
        <f>HLOOKUP(LEFT(BO206,7),Discharge_Area,MATCH(JO206,LookUps!$B$130:$B$149,1)+2)</f>
        <v>#N/A</v>
      </c>
      <c r="JO206" t="str">
        <f t="shared" si="518"/>
        <v>- S</v>
      </c>
      <c r="JP206" t="e">
        <f>HLOOKUP(LEFT(BO206,7),Discharge_Area,MATCH(JO206,LookUps!$B$130:$B$149,1)+2)</f>
        <v>#N/A</v>
      </c>
      <c r="JQ206" t="e">
        <f t="shared" si="519"/>
        <v>#N/A</v>
      </c>
      <c r="JR206" t="e">
        <f t="shared" si="520"/>
        <v>#N/A</v>
      </c>
      <c r="JS206" t="e">
        <f t="shared" si="521"/>
        <v>#N/A</v>
      </c>
      <c r="JT206" s="532" t="str">
        <f t="shared" si="522"/>
        <v xml:space="preserve"> </v>
      </c>
      <c r="JU206" s="532" t="str">
        <f t="shared" si="523"/>
        <v xml:space="preserve"> </v>
      </c>
      <c r="JV206" s="533" t="str">
        <f t="shared" si="524"/>
        <v xml:space="preserve"> </v>
      </c>
      <c r="JW206" s="534">
        <f t="shared" si="525"/>
        <v>0</v>
      </c>
      <c r="JX206" s="535" t="str">
        <f t="shared" si="609"/>
        <v xml:space="preserve"> </v>
      </c>
      <c r="JY206" s="535" t="str">
        <f t="shared" si="610"/>
        <v xml:space="preserve"> </v>
      </c>
      <c r="JZ206" s="535" t="str">
        <f t="shared" si="611"/>
        <v xml:space="preserve"> </v>
      </c>
      <c r="KA206" s="536" t="str">
        <f t="shared" si="526"/>
        <v xml:space="preserve"> </v>
      </c>
      <c r="KB206" s="535" t="e">
        <f t="shared" si="612"/>
        <v>#VALUE!</v>
      </c>
      <c r="KC206" s="535" t="str">
        <f t="shared" si="527"/>
        <v/>
      </c>
      <c r="KD206" s="537" t="str">
        <f t="shared" si="613"/>
        <v xml:space="preserve"> </v>
      </c>
      <c r="KE206" s="537" t="str">
        <f t="shared" si="614"/>
        <v xml:space="preserve"> </v>
      </c>
      <c r="KF206" s="534">
        <f t="shared" si="528"/>
        <v>0</v>
      </c>
      <c r="KG206" s="535" t="str">
        <f t="shared" si="529"/>
        <v xml:space="preserve"> </v>
      </c>
      <c r="KH206" s="535" t="str">
        <f t="shared" si="530"/>
        <v xml:space="preserve"> </v>
      </c>
      <c r="KI206" s="535" t="str">
        <f t="shared" si="531"/>
        <v xml:space="preserve"> </v>
      </c>
      <c r="KJ206" s="536" t="str">
        <f t="shared" si="532"/>
        <v xml:space="preserve"> </v>
      </c>
      <c r="KK206" s="535" t="str">
        <f t="shared" si="615"/>
        <v xml:space="preserve"> </v>
      </c>
      <c r="KL206" s="535" t="str">
        <f t="shared" si="616"/>
        <v xml:space="preserve"> </v>
      </c>
      <c r="KM206" s="537" t="str">
        <f t="shared" si="533"/>
        <v xml:space="preserve"> </v>
      </c>
      <c r="KN206" s="537" t="str">
        <f t="shared" si="617"/>
        <v xml:space="preserve"> </v>
      </c>
      <c r="KP206">
        <f t="shared" si="534"/>
        <v>0</v>
      </c>
      <c r="LA206" t="e">
        <f t="shared" si="535"/>
        <v>#VALUE!</v>
      </c>
      <c r="LB206" t="e">
        <f t="shared" si="536"/>
        <v>#VALUE!</v>
      </c>
      <c r="LC206" t="e">
        <f t="shared" si="537"/>
        <v>#VALUE!</v>
      </c>
      <c r="LD206" t="e">
        <f t="shared" si="538"/>
        <v>#VALUE!</v>
      </c>
      <c r="LE206" t="e">
        <f t="shared" si="618"/>
        <v>#VALUE!</v>
      </c>
      <c r="LF206">
        <f t="shared" si="539"/>
        <v>0</v>
      </c>
      <c r="LG206" t="e">
        <f t="shared" si="619"/>
        <v>#VALUE!</v>
      </c>
      <c r="LH206" t="str">
        <f t="shared" si="540"/>
        <v xml:space="preserve"> </v>
      </c>
      <c r="LI206">
        <f t="shared" si="620"/>
        <v>1</v>
      </c>
    </row>
    <row r="207" spans="2:321" ht="15" customHeight="1">
      <c r="B207" s="311"/>
      <c r="C207" s="311"/>
      <c r="D207" s="312"/>
      <c r="E207" s="311"/>
      <c r="F207" s="312"/>
      <c r="G207" s="311"/>
      <c r="H207" s="311"/>
      <c r="I207" s="232"/>
      <c r="J207" s="311"/>
      <c r="K207" s="305" t="str">
        <f t="shared" si="541"/>
        <v/>
      </c>
      <c r="L207" s="313"/>
      <c r="M207" s="312"/>
      <c r="N207" s="311"/>
      <c r="O207" s="312"/>
      <c r="P207" s="311"/>
      <c r="Q207" s="305" t="str">
        <f t="shared" si="542"/>
        <v/>
      </c>
      <c r="R207" s="314"/>
      <c r="S207" s="450" t="str">
        <f t="shared" si="425"/>
        <v/>
      </c>
      <c r="T207" s="315"/>
      <c r="U207" s="315"/>
      <c r="W207" s="149" t="str">
        <f t="shared" si="426"/>
        <v xml:space="preserve"> </v>
      </c>
      <c r="X207" s="243" t="str">
        <f t="shared" si="427"/>
        <v xml:space="preserve"> </v>
      </c>
      <c r="Y207" s="150" t="str">
        <f t="shared" si="428"/>
        <v/>
      </c>
      <c r="Z207" s="149" t="str">
        <f t="shared" si="429"/>
        <v xml:space="preserve"> </v>
      </c>
      <c r="AA207" s="98" t="str">
        <f t="shared" si="430"/>
        <v xml:space="preserve"> </v>
      </c>
      <c r="AB207" s="153" t="str">
        <f t="shared" si="431"/>
        <v xml:space="preserve"> </v>
      </c>
      <c r="AC207" s="153" t="str">
        <f t="shared" si="432"/>
        <v xml:space="preserve"> </v>
      </c>
      <c r="AD207" s="148" t="str">
        <f t="shared" si="433"/>
        <v/>
      </c>
      <c r="AE207" s="149" t="str">
        <f t="shared" si="434"/>
        <v/>
      </c>
      <c r="AF207" s="151" t="str">
        <f t="shared" si="435"/>
        <v xml:space="preserve"> </v>
      </c>
      <c r="AG207" s="153" t="str">
        <f t="shared" si="436"/>
        <v xml:space="preserve"> </v>
      </c>
      <c r="AH207" s="98" t="str">
        <f t="shared" si="437"/>
        <v xml:space="preserve"> </v>
      </c>
      <c r="AI207" s="149" t="str">
        <f t="shared" si="438"/>
        <v xml:space="preserve"> </v>
      </c>
      <c r="AK207" s="144" t="str">
        <f t="shared" si="439"/>
        <v xml:space="preserve"> </v>
      </c>
      <c r="AL207" s="144"/>
      <c r="AM207" s="243" t="str">
        <f t="shared" si="440"/>
        <v xml:space="preserve"> </v>
      </c>
      <c r="AN207" s="149" t="str">
        <f t="shared" si="543"/>
        <v xml:space="preserve"> </v>
      </c>
      <c r="AO207" s="144" t="str">
        <f>IF(JB207&gt;0,IF(GI207=10,-R207*1.085*(Calculation!$F$6-Calculation!$F$13)*$S$14," "),"")</f>
        <v/>
      </c>
      <c r="AP207" s="144" t="str">
        <f t="shared" si="441"/>
        <v/>
      </c>
      <c r="AQ207" s="56" t="str">
        <f t="shared" si="442"/>
        <v/>
      </c>
      <c r="AR207" s="144" t="str">
        <f t="shared" si="443"/>
        <v/>
      </c>
      <c r="AS207" s="176" t="str">
        <f t="shared" si="444"/>
        <v/>
      </c>
      <c r="AT207" s="176" t="str">
        <f t="shared" si="544"/>
        <v xml:space="preserve"> </v>
      </c>
      <c r="AU207" s="176" t="str">
        <f t="shared" si="445"/>
        <v/>
      </c>
      <c r="AV207" s="177" t="str">
        <f t="shared" si="446"/>
        <v xml:space="preserve"> </v>
      </c>
      <c r="AW207" s="144" t="str">
        <f t="shared" si="447"/>
        <v xml:space="preserve"> </v>
      </c>
      <c r="AX207" s="144" t="str">
        <f t="shared" si="448"/>
        <v xml:space="preserve"> </v>
      </c>
      <c r="AY207" s="152" t="str">
        <f t="shared" si="449"/>
        <v xml:space="preserve"> </v>
      </c>
      <c r="AZ207" s="246" t="str">
        <f t="shared" si="450"/>
        <v/>
      </c>
      <c r="BA207" s="176" t="str">
        <f t="shared" si="451"/>
        <v xml:space="preserve"> </v>
      </c>
      <c r="BB207" s="176" t="str">
        <f t="shared" si="452"/>
        <v xml:space="preserve"> </v>
      </c>
      <c r="BC207" s="195"/>
      <c r="BD207" s="316"/>
      <c r="BE207" s="317"/>
      <c r="BF207" s="318"/>
      <c r="BG207" s="318"/>
      <c r="BH207" s="144" t="str">
        <f t="shared" si="621"/>
        <v xml:space="preserve"> </v>
      </c>
      <c r="BI207" s="176" t="str">
        <f t="shared" si="453"/>
        <v/>
      </c>
      <c r="BJ207" s="144" t="str">
        <f t="shared" si="622"/>
        <v/>
      </c>
      <c r="BK207" s="246" t="str">
        <f t="shared" si="454"/>
        <v/>
      </c>
      <c r="BL207" s="144" t="str">
        <f t="shared" si="623"/>
        <v/>
      </c>
      <c r="BM207" s="246" t="str">
        <f t="shared" si="455"/>
        <v/>
      </c>
      <c r="BN207" s="337" t="str">
        <f t="shared" si="545"/>
        <v/>
      </c>
      <c r="BO207" s="371" t="str">
        <f t="shared" si="546"/>
        <v/>
      </c>
      <c r="BP207" s="328" t="str">
        <f t="shared" si="624"/>
        <v xml:space="preserve"> </v>
      </c>
      <c r="BQ207" s="347" t="str">
        <f t="shared" si="547"/>
        <v xml:space="preserve"> </v>
      </c>
      <c r="BR207" s="353" t="str">
        <f t="shared" si="548"/>
        <v xml:space="preserve"> </v>
      </c>
      <c r="BS207" s="626" t="str">
        <f>IF(L207&gt;0,IF(Calculation!P207="M13",BR207*3.1416*(0.134^2)/(4*144),IF(Calculation!P207="M17",BR207*3.1416*(0.165^2)/(4*144),IF(Calculation!P207="M20",BR207*3.1416*(0.198^2)/(4*144),IF(Calculation!P207="M23",BR207*3.1416*(0.228^2)/(4*144),IF(Calculation!P207="M27",BR207*3.1416*(0.269^2)/(4*144),BR207*3.1416*(0.307^2)/(4*144))))))," ")</f>
        <v xml:space="preserve"> </v>
      </c>
      <c r="BT207" s="353" t="str">
        <f>IF(L207&gt;0,IF(BS207&gt;0,R207/Calculation!BS207,0)," ")</f>
        <v xml:space="preserve"> </v>
      </c>
      <c r="BU207" s="438" t="e">
        <f t="shared" ca="1" si="456"/>
        <v>#VALUE!</v>
      </c>
      <c r="BV207" s="449" t="e">
        <f ca="1">INDEX(INDIRECT(VLOOKUP(LEFT(BO207,7),CLU!$Z$3:$AH$18,2)),GN207,GR207)</f>
        <v>#N/A</v>
      </c>
      <c r="BW207" s="433" t="e">
        <f ca="1">INDEX(INDIRECT(VLOOKUP(LEFT(BO207,7),CLU!$Z$3:$AH$18,3)),GN207,GR207)</f>
        <v>#N/A</v>
      </c>
      <c r="BX207" s="433" t="e">
        <f ca="1">INDEX(INDIRECT(VLOOKUP(LEFT(BO207,7),CLU!$Z$3:$AH$18,4)),GN207,GR207)</f>
        <v>#N/A</v>
      </c>
      <c r="BY207" s="433" t="e">
        <f ca="1">INDEX(INDIRECT(VLOOKUP(LEFT(BO207,7),CLU!$Z$3:$AH$18,9)),((M207-2)*(6-COUNTBLANK(GT207:GY207)))+GJ207)</f>
        <v>#N/A</v>
      </c>
      <c r="BZ207" s="426" t="e">
        <f t="shared" ca="1" si="549"/>
        <v>#N/A</v>
      </c>
      <c r="CA207" s="424" t="e">
        <f t="shared" ca="1" si="550"/>
        <v>#N/A</v>
      </c>
      <c r="CB207" s="429" t="e">
        <f ca="1">INDEX(INDIRECT(VLOOKUP(LEFT(BO207,7),CLU!$Z$3:$AH$18,2)),GN207,GS207)</f>
        <v>#N/A</v>
      </c>
      <c r="CC207" s="342" t="e">
        <f ca="1">INDEX(INDIRECT(VLOOKUP(LEFT(BO207,7),CLU!$Z$3:$AH$18,3)),GN207,GS207)</f>
        <v>#N/A</v>
      </c>
      <c r="CD207" s="342" t="e">
        <f ca="1">INDEX(INDIRECT(VLOOKUP(LEFT(BO207,7),CLU!$Z$3:$AH$18,4)),GN207,GS207)</f>
        <v>#N/A</v>
      </c>
      <c r="CE207" s="426" t="e">
        <f t="shared" ca="1" si="551"/>
        <v>#N/A</v>
      </c>
      <c r="CF207" s="440">
        <f t="shared" si="552"/>
        <v>0</v>
      </c>
      <c r="CG207" s="431" t="e">
        <f ca="1">INDEX(INDIRECT(VLOOKUP(LEFT(BO207,7),CLU!$Z$3:$AH$18,2)),GQ207,GR207)</f>
        <v>#N/A</v>
      </c>
      <c r="CH207" s="431" t="e">
        <f ca="1">INDEX(INDIRECT(VLOOKUP(LEFT(BO207,7),CLU!$Z$3:$AH$18,3)),GQ207,GR207)</f>
        <v>#N/A</v>
      </c>
      <c r="CI207" s="431" t="e">
        <f ca="1">INDEX(INDIRECT(VLOOKUP(LEFT(BO207,7),CLU!$Z$3:$AH$18,4)),GQ207,GR207)</f>
        <v>#N/A</v>
      </c>
      <c r="CJ207" s="448" t="e">
        <f t="shared" ca="1" si="553"/>
        <v>#N/A</v>
      </c>
      <c r="CK207" s="431" t="e">
        <f t="shared" ca="1" si="554"/>
        <v>#N/A</v>
      </c>
      <c r="CL207" s="440" t="e">
        <f t="shared" ca="1" si="555"/>
        <v>#N/A</v>
      </c>
      <c r="CM207" s="431" t="e">
        <f ca="1">INDEX(INDIRECT(VLOOKUP(LEFT(BO207,7),CLU!$Z$3:$AH$18,2)),GQ207,GS207)</f>
        <v>#N/A</v>
      </c>
      <c r="CN207" s="431" t="e">
        <f ca="1">INDEX(INDIRECT(VLOOKUP(LEFT(BO207,7),CLU!$Z$3:$AH$18,3)),GQ207,GS207)</f>
        <v>#N/A</v>
      </c>
      <c r="CO207" s="431" t="e">
        <f ca="1">INDEX(INDIRECT(VLOOKUP(LEFT(BO207,7),CLU!$Z$3:$AH$18,4)),GQ207,GS207)</f>
        <v>#N/A</v>
      </c>
      <c r="CP207" s="431" t="e">
        <f t="shared" ca="1" si="556"/>
        <v>#N/A</v>
      </c>
      <c r="CQ207" s="440">
        <f t="shared" si="557"/>
        <v>0</v>
      </c>
      <c r="CR207" s="51" t="e">
        <f t="shared" ca="1" si="558"/>
        <v>#N/A</v>
      </c>
      <c r="CS207" s="439" t="e">
        <f t="shared" ca="1" si="559"/>
        <v>#VALUE!</v>
      </c>
      <c r="CT207" s="51" t="e">
        <f t="shared" ca="1" si="560"/>
        <v>#VALUE!</v>
      </c>
      <c r="CU207" s="10"/>
      <c r="CV207" s="51" t="e">
        <f t="shared" ca="1" si="457"/>
        <v>#VALUE!</v>
      </c>
      <c r="CW207" s="51">
        <f t="shared" si="561"/>
        <v>0</v>
      </c>
      <c r="CX207" s="439" t="e">
        <f t="shared" ca="1" si="562"/>
        <v>#VALUE!</v>
      </c>
      <c r="CY207" s="51" t="e">
        <f t="shared" ca="1" si="563"/>
        <v>#VALUE!</v>
      </c>
      <c r="CZ207" s="10"/>
      <c r="DA207" s="51" t="e">
        <f t="shared" ca="1" si="564"/>
        <v>#VALUE!</v>
      </c>
      <c r="DB207" s="347" t="e">
        <f ca="1">INDEX(INDIRECT(VLOOKUP(LEFT(BO207,7),CLU!$Z$3:$AI$18,10)),((M207-2)*(6-COUNTBLANK(GT207:GY207)))+GJ207)*LI207</f>
        <v>#N/A</v>
      </c>
      <c r="DC207" s="347" t="str">
        <f>IF(L207&gt;0,((R207/Worksheet!$I$15)/DB207)^2," ")</f>
        <v xml:space="preserve"> </v>
      </c>
      <c r="DD207" s="602" t="str">
        <f t="shared" si="565"/>
        <v xml:space="preserve"> </v>
      </c>
      <c r="DE207" s="347" t="str">
        <f t="shared" si="458"/>
        <v xml:space="preserve"> </v>
      </c>
      <c r="DF207" s="356" t="e">
        <f ca="1">INDEX(INDIRECT(VLOOKUP(LEFT(BO207,7),CLU!$Z$3:$AH$18,8)),((M207-2)*(6-COUNTBLANK(GT207:GY207)))+GJ207)</f>
        <v>#N/A</v>
      </c>
      <c r="DG207" s="347" t="str">
        <f t="shared" si="459"/>
        <v xml:space="preserve"> </v>
      </c>
      <c r="DH207" s="357" t="str">
        <f t="shared" si="460"/>
        <v xml:space="preserve"> </v>
      </c>
      <c r="DI207" s="355" t="str">
        <f t="shared" si="461"/>
        <v xml:space="preserve"> </v>
      </c>
      <c r="DJ207" s="245" t="e">
        <f ca="1">INDEX(INDIRECT(VLOOKUP(LEFT(BO207,7),CLU!$Z$3:$AH$18,5)),GL207,GK207)</f>
        <v>#N/A</v>
      </c>
      <c r="DK207" s="245" t="e">
        <f ca="1">INDEX(INDIRECT(VLOOKUP(LEFT(BO207,7),CLU!$Z$3:$AH$18,6)),GL207,GK207)</f>
        <v>#N/A</v>
      </c>
      <c r="DL207" s="355">
        <f>(Calculation!R207*0.69143*(Calculation!$BQ$8-Calculation!$F$8))*$S$14</f>
        <v>0</v>
      </c>
      <c r="DM207" s="359" t="e">
        <f t="shared" si="566"/>
        <v>#VALUE!</v>
      </c>
      <c r="DN207" s="611">
        <f t="shared" si="567"/>
        <v>0</v>
      </c>
      <c r="DO207" s="359">
        <f t="shared" si="568"/>
        <v>100</v>
      </c>
      <c r="DP207" s="359">
        <f t="shared" si="569"/>
        <v>0</v>
      </c>
      <c r="DQ207" s="360"/>
      <c r="DR207" s="245" t="e">
        <f ca="1">INDEX(INDIRECT(VLOOKUP(LEFT(BO207,7),CLU!$Z$3:$AH$18,7)),M207-1,1)</f>
        <v>#N/A</v>
      </c>
      <c r="DS207" s="245" t="e">
        <f ca="1">INDEX(INDIRECT(VLOOKUP(LEFT(BO207,7),CLU!$Z$3:$AH$18,7)),M207-1,2)</f>
        <v>#N/A</v>
      </c>
      <c r="DT207" s="245" t="e">
        <f ca="1">INDEX(INDIRECT(VLOOKUP(LEFT(BO207,7),CLU!$Z$3:$AH$18,7)),M207-1,3)</f>
        <v>#N/A</v>
      </c>
      <c r="DU207" s="245" t="e">
        <f ca="1">INDEX(INDIRECT(VLOOKUP(LEFT(BO207,7),CLU!$Z$3:$AH$18,7)),M207-1,4)</f>
        <v>#N/A</v>
      </c>
      <c r="DV207" s="361" t="e">
        <f ca="1">INDEX(INDIRECT(VLOOKUP(LEFT(BO207,7),CLU!$Z$3:$AH$18,7)),M207-1,4+LEFT(DZ207,1)*0.5)</f>
        <v>#N/A</v>
      </c>
      <c r="DW207" s="245" t="e">
        <f ca="1">INDEX(INDIRECT(VLOOKUP(LEFT(BO207,7),CLU!$Z$3:$AH$18,7)),M207-1,8)</f>
        <v>#N/A</v>
      </c>
      <c r="DX207" s="361" t="str">
        <f t="shared" si="462"/>
        <v xml:space="preserve"> </v>
      </c>
      <c r="DY207" s="361" t="str">
        <f t="shared" si="463"/>
        <v xml:space="preserve"> </v>
      </c>
      <c r="DZ207" s="361" t="str">
        <f t="shared" si="464"/>
        <v xml:space="preserve"> </v>
      </c>
      <c r="EA207" s="362" t="str">
        <f t="shared" si="465"/>
        <v xml:space="preserve"> </v>
      </c>
      <c r="EB207" s="624" t="str">
        <f t="shared" si="570"/>
        <v xml:space="preserve"> </v>
      </c>
      <c r="EC207" s="361" t="e">
        <f ca="1">INDEX(INDIRECT(VLOOKUP(LEFT(BO207,7),CLU!$Z$3:$AH$18,7)),M207-1,4+LEFT(DZ207,1)*0.5)</f>
        <v>#N/A</v>
      </c>
      <c r="ED207" s="362" t="str">
        <f t="shared" si="466"/>
        <v xml:space="preserve"> </v>
      </c>
      <c r="EE207" s="361" t="str">
        <f t="shared" si="467"/>
        <v xml:space="preserve"> </v>
      </c>
      <c r="EF207" s="362" t="str">
        <f>IF(L207&gt;0,IF(BR207&gt;0,IF(EE207="2P",IF(Calculation!DZ207="2P",IF(Calculation!DS207=13.75,IF(Calculation!DR207=13,Worksheet!$BD$43,IF(Calculation!DR207=37,Worksheet!$BD$44,Worksheet!$BD$45)),IF(Calculation!DS207=10,IF(Calculation!DR207=18,Worksheet!$BD$29,IF(Calculation!DR207=30,Worksheet!$BD$30,IF(Calculation!DR207=42,Worksheet!$BD$31,IF(Calculation!DR207=54,Worksheet!$BD$32,IF(Calculation!DR207=66,Worksheet!$BD$33,IF(Calculation!DR207=78,Worksheet!$BD$34,IF(Calculation!DR207=90,Worksheet!$BD$35,IF(Calculation!DR207=102,Worksheet!$BD$36,Worksheet!$BD$37)))))))),IF(Calculation!DS207=12.5,IF(Calculation!DR207=18,Worksheet!$BD$38,IF(Calculation!DR207=Worksheet!$BD$39,IF(Calculation!DR207=42,Worksheet!$BD$40,IF(Calculation!DR207=54,Worksheet!$BD$41,Worksheet!$BD$42)))),IF(Calculation!DR207=18,Worksheet!$BD$11,IF(Calculation!DR207=30,Worksheet!$BD$12,IF(Calculation!DR207=42,Worksheet!$BD$13,IF(Calculation!DR207=54,Worksheet!$BD$14,IF(Calculation!DR207=66,Worksheet!$BD$15,IF(Calculation!DR207=78,Worksheet!$BD$16,IF(Calculation!DR207=90,Worksheet!$BD$17,IF(Calculation!DR207=102,Worksheet!$BD$18,Worksheet!$BD$19))))))))))),IF(Calculation!DS207=13.75,IF(Calculation!DR207=13,Worksheet!$BD$78,IF(Calculation!DR207=37,Worksheet!$BD$79,Worksheet!$BD$80)),IF(Calculation!DS207=10,IF(Calculation!DR207=18,Worksheet!$BD$64,IF(Calculation!DR207=30,Worksheet!$BD$65,IF(Calculation!DR207=42,Worksheet!$BD$66,IF(Calculation!DR207=54,Worksheet!$BD$68,IF(Calculation!DR207=66,Worksheet!$BD$68,IF(Calculation!DR207=78,Worksheet!$BD$69,IF(Calculation!DR207=90,Worksheet!$BD$70,IF(Calculation!DR207=102,Worksheet!$BD$71,Worksheet!$BD$72)))))))),IF(Calculation!DS207=12.5,IF(Calculation!DR207=18,Worksheet!$BD$73,IF(Calculation!DR207=Worksheet!$BD$74,IF(Calculation!DR207=42,Worksheet!$BD$75,IF(Calculation!DR207=54,Worksheet!$BD$76,Worksheet!$BD$77)))),IF(Calculation!DR207=18,Worksheet!$BD$55,IF(Calculation!DR207=30,Worksheet!$BD$56,IF(Calculation!DR207=42,Worksheet!$BD$57,IF(Calculation!DR207=54,Worksheet!$BD$58,IF(Calculation!DR207=66,Worksheet!$BD$59,IF(Calculation!DR207=78,Worksheet!$BD$60,IF(Calculation!DR207=90,Worksheet!$BD$61,IF(Calculation!DR207=102,Worksheet!$BD$62,Worksheet!$BD$63)))))))))))),5),0)," ")</f>
        <v xml:space="preserve"> </v>
      </c>
      <c r="EG207" s="361" t="str">
        <f t="shared" si="468"/>
        <v xml:space="preserve"> </v>
      </c>
      <c r="EH207" s="361" t="e">
        <f ca="1">INDEX(INDIRECT(VLOOKUP(LEFT(BO207,7),CLU!$Z$3:$AH$18,7)),M207-1,3+LEFT(DZ207,1))</f>
        <v>#N/A</v>
      </c>
      <c r="EI207" s="362" t="str">
        <f t="shared" si="469"/>
        <v xml:space="preserve"> </v>
      </c>
      <c r="EJ207" s="363" t="str">
        <f t="shared" si="470"/>
        <v xml:space="preserve"> </v>
      </c>
      <c r="EK207" s="363" t="str">
        <f t="shared" si="471"/>
        <v xml:space="preserve"> </v>
      </c>
      <c r="EL207" s="363" t="str">
        <f t="shared" si="472"/>
        <v xml:space="preserve"> </v>
      </c>
      <c r="EM207" s="362" t="str">
        <f>IF(L207&gt;0,IF(BR207&gt;0,(Calculation!T207/ED207)^2,0)," ")</f>
        <v xml:space="preserve"> </v>
      </c>
      <c r="EN207" s="362" t="str">
        <f>IF(L207&gt;0,IF(O207="2 Pipe (Cooling)","N/A",IF(BR207&gt;0,(Calculation!U207/EI207)^2,0))," ")</f>
        <v xml:space="preserve"> </v>
      </c>
      <c r="EO207" s="361" t="str">
        <f t="shared" si="473"/>
        <v/>
      </c>
      <c r="EP207" s="361" t="str">
        <f t="shared" si="474"/>
        <v/>
      </c>
      <c r="EQ207" s="361" t="str">
        <f t="shared" si="475"/>
        <v/>
      </c>
      <c r="ER207" s="361" t="str">
        <f t="shared" si="476"/>
        <v/>
      </c>
      <c r="ES207" s="361" t="str">
        <f t="shared" si="477"/>
        <v/>
      </c>
      <c r="ET207" s="361" t="str">
        <f t="shared" si="478"/>
        <v/>
      </c>
      <c r="EU207" s="361" t="str">
        <f t="shared" si="479"/>
        <v/>
      </c>
      <c r="EV207" s="361" t="str">
        <f t="shared" si="480"/>
        <v/>
      </c>
      <c r="EW207" s="361" t="str">
        <f t="shared" si="481"/>
        <v/>
      </c>
      <c r="EX207" s="361" t="str">
        <f t="shared" si="571"/>
        <v>1 slot, 1 way</v>
      </c>
      <c r="EY207" s="361" t="str">
        <f t="shared" si="572"/>
        <v xml:space="preserve"> </v>
      </c>
      <c r="EZ207" s="361" t="str">
        <f t="shared" si="573"/>
        <v xml:space="preserve"> </v>
      </c>
      <c r="FA207" s="361" t="str">
        <f t="shared" si="574"/>
        <v xml:space="preserve"> </v>
      </c>
      <c r="FB207" s="361" t="str">
        <f t="shared" si="575"/>
        <v xml:space="preserve"> </v>
      </c>
      <c r="FC207" s="361"/>
      <c r="FD207" s="361" t="str">
        <f>IF(J207&gt;0,IF(Calculation!R207&lt;=70,4,IF(Calculation!R207&lt;=110,5,IF(Calculation!R207&lt;=160,6,IF(Calculation!R207&lt;=300,8,"10 EO")))),"")</f>
        <v/>
      </c>
      <c r="FE207" s="361" t="str">
        <f t="shared" si="576"/>
        <v/>
      </c>
      <c r="FF207" s="361" t="str">
        <f t="shared" si="577"/>
        <v/>
      </c>
      <c r="FG207" s="361" t="e">
        <f t="shared" si="482"/>
        <v>#N/A</v>
      </c>
      <c r="FH207" s="361">
        <f t="shared" si="483"/>
        <v>0</v>
      </c>
      <c r="FI207" s="361" t="e">
        <f t="shared" si="484"/>
        <v>#DIV/0!</v>
      </c>
      <c r="FJ207" s="361"/>
      <c r="FK207" s="356" t="e">
        <f t="shared" si="485"/>
        <v>#VALUE!</v>
      </c>
      <c r="FL207" s="361"/>
      <c r="FM207" s="361"/>
      <c r="FN207" s="362" t="str">
        <f t="shared" si="578"/>
        <v xml:space="preserve"> </v>
      </c>
      <c r="FO207" s="362" t="str">
        <f t="shared" si="579"/>
        <v xml:space="preserve"> </v>
      </c>
      <c r="FP207" s="362">
        <f t="shared" si="580"/>
        <v>0</v>
      </c>
      <c r="FQ207" s="361">
        <f t="shared" si="486"/>
        <v>0</v>
      </c>
      <c r="FR207" s="362" t="str">
        <f>IF(L207&gt;0,IF(J207="CBAL2",Worksheet!$P$67,IF(J207="CBE2-24",Worksheet!$Q$67,IF(J207="CBAM",Worksheet!$R$67,IF(J207="CBLV",Worksheet!$S$67,IF(J207="CBAB",Worksheet!$U$67,IF(J207="CBAW",Worksheet!$X$67,IF(J207="CBE2-12",Worksheet!$Y$67,IF(J207="CBAL2",Worksheet!$Z$67,"N/A"))))))))," ")</f>
        <v xml:space="preserve"> </v>
      </c>
      <c r="FS207" s="362" t="str">
        <f>IF(L207&gt;0,IF(J207="CBAL2",Worksheet!$P$68,IF(J207="CBE2-24",Worksheet!$Q$68,IF(J207="CBAM",Worksheet!$R$68,IF(J207="CBLV",Worksheet!$S$68,IF(J207="CBAB",Worksheet!$U$68,IF(J207="CBAW",Worksheet!$X$68,IF(J207="CBE2-12",Worksheet!$Y$68,IF(J207="CBAL2",Worksheet!$Z$68,"N/A"))))))))," ")</f>
        <v xml:space="preserve"> </v>
      </c>
      <c r="FT207" s="362" t="str">
        <f>IF(L207&gt;0,IF(J207="CBAL2",Worksheet!$P$69,IF(J207="CBE2-24",Worksheet!$Q$69,IF(J207="CBAM",Worksheet!$R$69,IF(J207="CBLV",Worksheet!$S$69,IF(J207="CBAB",Worksheet!$U$69,IF(J207="CBAW",Worksheet!$X$69,IF(J207="CBE2-12",Worksheet!$Y$69,IF(J207="CBAL2",Worksheet!$Z$69,"N/A"))))))))," ")</f>
        <v xml:space="preserve"> </v>
      </c>
      <c r="FU207" s="361" t="str">
        <f t="shared" si="581"/>
        <v xml:space="preserve"> </v>
      </c>
      <c r="FV207" s="362" t="str">
        <f t="shared" si="582"/>
        <v xml:space="preserve"> </v>
      </c>
      <c r="FW207" s="362" t="str">
        <f t="shared" si="583"/>
        <v xml:space="preserve"> </v>
      </c>
      <c r="FX207" s="362" t="str">
        <f t="shared" si="584"/>
        <v xml:space="preserve"> </v>
      </c>
      <c r="FY207" s="355" t="str">
        <f t="shared" si="585"/>
        <v xml:space="preserve"> </v>
      </c>
      <c r="FZ207" s="361" t="str">
        <f t="shared" si="586"/>
        <v xml:space="preserve"> </v>
      </c>
      <c r="GA207" s="347" t="str">
        <f t="shared" si="587"/>
        <v xml:space="preserve"> </v>
      </c>
      <c r="GB207" s="355" t="str">
        <f t="shared" si="588"/>
        <v xml:space="preserve"> </v>
      </c>
      <c r="GC207" s="328" t="str">
        <f t="shared" si="589"/>
        <v xml:space="preserve"> </v>
      </c>
      <c r="GD207" s="361" t="str">
        <f t="shared" si="590"/>
        <v xml:space="preserve"> </v>
      </c>
      <c r="GE207" s="347" t="str">
        <f t="shared" si="591"/>
        <v xml:space="preserve"> </v>
      </c>
      <c r="GF207" s="361" t="str">
        <f t="shared" si="592"/>
        <v xml:space="preserve"> </v>
      </c>
      <c r="GG207" s="347" t="str">
        <f t="shared" si="593"/>
        <v xml:space="preserve"> </v>
      </c>
      <c r="GH207" s="364">
        <f t="shared" si="487"/>
        <v>0</v>
      </c>
      <c r="GI207" s="362">
        <f t="shared" si="594"/>
        <v>2</v>
      </c>
      <c r="GJ207" s="433" t="e">
        <f>IF(6-COUNTBLANK(GT207:GY207)=4,MATCH(MID(BO207,9,3),CLU!$H$16:$K$16),MATCH(MID(BO207,9,3),CLU!$H$13:$M$13))</f>
        <v>#N/A</v>
      </c>
      <c r="GK207" s="433" t="e">
        <f>HLOOKUP(VALUE(BP207),CLU!$H$9:$M$10,2)</f>
        <v>#VALUE!</v>
      </c>
      <c r="GL207" s="433" t="e">
        <f ca="1">MATCH(BU207,CLU!$H$2:$V$2,1)</f>
        <v>#VALUE!</v>
      </c>
      <c r="GM207" s="433" t="e">
        <f t="shared" ca="1" si="595"/>
        <v>#VALUE!</v>
      </c>
      <c r="GN207" s="433" t="e">
        <f t="shared" ca="1" si="596"/>
        <v>#VALUE!</v>
      </c>
      <c r="GO207" s="433" t="e">
        <f t="shared" ca="1" si="597"/>
        <v>#VALUE!</v>
      </c>
      <c r="GP207" s="433" t="e">
        <f t="shared" ca="1" si="598"/>
        <v>#VALUE!</v>
      </c>
      <c r="GQ207" s="433" t="e">
        <f t="shared" ca="1" si="599"/>
        <v>#VALUE!</v>
      </c>
      <c r="GR207" s="433" t="e">
        <f ca="1">MATCH(T207,INDIRECT(VLOOKUP(CONCATENATE(LEFT(BO207,7),"-",MID(BO207,13,1)),CLU!$P$3:$Q$16,2)),1)</f>
        <v>#N/A</v>
      </c>
      <c r="GS207" s="433" t="e">
        <f ca="1">MATCH(U207,INDIRECT(VLOOKUP(CONCATENATE(LEFT(BO207,7),"-",MID(BO207,13,1)),CLU!$P$3:$Q$16,2)),1)</f>
        <v>#N/A</v>
      </c>
      <c r="GT207" s="347" t="s">
        <v>512</v>
      </c>
      <c r="GU207" s="97" t="s">
        <v>513</v>
      </c>
      <c r="GV207" s="97" t="str">
        <f t="shared" si="600"/>
        <v>M23</v>
      </c>
      <c r="GW207" s="97" t="str">
        <f t="shared" si="601"/>
        <v>M31</v>
      </c>
      <c r="GX207" s="97" t="str">
        <f t="shared" si="602"/>
        <v/>
      </c>
      <c r="GY207" s="97" t="str">
        <f t="shared" si="603"/>
        <v/>
      </c>
      <c r="GZ207" s="481"/>
      <c r="HA207" s="288"/>
      <c r="HB207" s="240"/>
      <c r="HC207" s="240"/>
      <c r="HD207" s="240"/>
      <c r="HE207" s="240"/>
      <c r="HF207" s="240"/>
      <c r="HG207" s="240"/>
      <c r="HH207" s="240"/>
      <c r="HI207" s="240"/>
      <c r="HJ207" s="240"/>
      <c r="HK207" s="240"/>
      <c r="HL207" s="240"/>
      <c r="HM207" s="240"/>
      <c r="HN207" s="240"/>
      <c r="HO207" s="240"/>
      <c r="HP207" s="240"/>
      <c r="HQ207" s="240"/>
      <c r="HR207" s="240"/>
      <c r="HS207" s="240"/>
      <c r="HT207" s="240"/>
      <c r="HU207" s="240"/>
      <c r="HV207" s="245"/>
      <c r="HW207" s="245" t="b">
        <v>1</v>
      </c>
      <c r="HX207" s="245" t="str">
        <f t="shared" si="488"/>
        <v/>
      </c>
      <c r="HY207" s="245" t="e">
        <f t="shared" si="489"/>
        <v>#DIV/0!</v>
      </c>
      <c r="HZ207" s="245" t="e">
        <f t="shared" si="490"/>
        <v>#DIV/0!</v>
      </c>
      <c r="IA207" s="245">
        <f t="shared" si="491"/>
        <v>0</v>
      </c>
      <c r="IB207" s="245"/>
      <c r="IC207" t="b">
        <f t="shared" si="492"/>
        <v>1</v>
      </c>
      <c r="ID207" s="245" t="b">
        <f t="shared" si="493"/>
        <v>1</v>
      </c>
      <c r="IE207" s="245" t="b">
        <f t="shared" si="494"/>
        <v>1</v>
      </c>
      <c r="IF207" s="245" t="b">
        <f t="shared" si="495"/>
        <v>0</v>
      </c>
      <c r="IG207" s="245" t="b">
        <f t="shared" si="496"/>
        <v>1</v>
      </c>
      <c r="IH207" s="245" t="b">
        <f t="shared" si="497"/>
        <v>1</v>
      </c>
      <c r="II207" s="245">
        <f t="shared" si="604"/>
        <v>0</v>
      </c>
      <c r="IJ207" s="245" t="e">
        <f t="shared" si="498"/>
        <v>#VALUE!</v>
      </c>
      <c r="IK207" s="245" t="e">
        <f t="shared" si="499"/>
        <v>#VALUE!</v>
      </c>
      <c r="IL207" s="245"/>
      <c r="IM207" s="245" t="e">
        <f t="shared" si="605"/>
        <v>#N/A</v>
      </c>
      <c r="IN207" s="245" t="e">
        <f t="shared" si="606"/>
        <v>#N/A</v>
      </c>
      <c r="IO207" s="245"/>
      <c r="IP207" s="245"/>
      <c r="IQ207" s="245" t="str">
        <f t="shared" si="500"/>
        <v/>
      </c>
      <c r="IR207" s="245" t="str">
        <f>IF(J207="","",VLOOKUP(J207,Worksheet!$R$4:$T$14,2))</f>
        <v/>
      </c>
      <c r="IS207" s="245"/>
      <c r="IT207" s="245">
        <f t="shared" si="501"/>
        <v>0</v>
      </c>
      <c r="IU207" s="245">
        <f t="shared" si="502"/>
        <v>0</v>
      </c>
      <c r="IV207" s="245">
        <f t="shared" si="503"/>
        <v>0</v>
      </c>
      <c r="IW207" s="245">
        <f t="shared" si="504"/>
        <v>0</v>
      </c>
      <c r="IX207" s="245">
        <f t="shared" si="607"/>
        <v>0</v>
      </c>
      <c r="IY207" s="245">
        <f t="shared" si="505"/>
        <v>0</v>
      </c>
      <c r="IZ207" s="245">
        <f t="shared" si="506"/>
        <v>0</v>
      </c>
      <c r="JA207">
        <f t="shared" si="507"/>
        <v>0</v>
      </c>
      <c r="JB207">
        <f t="shared" si="608"/>
        <v>0</v>
      </c>
      <c r="JC207">
        <f t="shared" si="508"/>
        <v>0</v>
      </c>
      <c r="JD207">
        <f t="shared" si="509"/>
        <v>0</v>
      </c>
      <c r="JE207">
        <f t="shared" si="510"/>
        <v>0</v>
      </c>
      <c r="JF207">
        <f t="shared" si="511"/>
        <v>0</v>
      </c>
      <c r="JG207">
        <f t="shared" si="512"/>
        <v>0</v>
      </c>
      <c r="JH207">
        <f t="shared" si="513"/>
        <v>0</v>
      </c>
      <c r="JI207">
        <f t="shared" si="514"/>
        <v>0</v>
      </c>
      <c r="JJ207" s="447">
        <f t="shared" si="515"/>
        <v>0</v>
      </c>
      <c r="JK207" s="447">
        <f t="shared" si="516"/>
        <v>0</v>
      </c>
      <c r="JL207">
        <f t="shared" si="517"/>
        <v>0</v>
      </c>
      <c r="JM207" s="245" t="str">
        <f>IFERROR(VLOOKUP(MATCH(BN207,#REF!,0),#REF!,7),"")</f>
        <v/>
      </c>
      <c r="JN207" t="e">
        <f>HLOOKUP(LEFT(BO207,7),Discharge_Area,MATCH(JO207,LookUps!$B$130:$B$149,1)+2)</f>
        <v>#N/A</v>
      </c>
      <c r="JO207" t="str">
        <f t="shared" si="518"/>
        <v>- S</v>
      </c>
      <c r="JP207" t="e">
        <f>HLOOKUP(LEFT(BO207,7),Discharge_Area,MATCH(JO207,LookUps!$B$130:$B$149,1)+2)</f>
        <v>#N/A</v>
      </c>
      <c r="JQ207" t="e">
        <f t="shared" si="519"/>
        <v>#N/A</v>
      </c>
      <c r="JR207" t="e">
        <f t="shared" si="520"/>
        <v>#N/A</v>
      </c>
      <c r="JS207" t="e">
        <f t="shared" si="521"/>
        <v>#N/A</v>
      </c>
      <c r="JT207" s="532" t="str">
        <f t="shared" si="522"/>
        <v xml:space="preserve"> </v>
      </c>
      <c r="JU207" s="532" t="str">
        <f t="shared" si="523"/>
        <v xml:space="preserve"> </v>
      </c>
      <c r="JV207" s="533" t="str">
        <f t="shared" si="524"/>
        <v xml:space="preserve"> </v>
      </c>
      <c r="JW207" s="534">
        <f t="shared" si="525"/>
        <v>0</v>
      </c>
      <c r="JX207" s="535" t="str">
        <f t="shared" si="609"/>
        <v xml:space="preserve"> </v>
      </c>
      <c r="JY207" s="535" t="str">
        <f t="shared" si="610"/>
        <v xml:space="preserve"> </v>
      </c>
      <c r="JZ207" s="535" t="str">
        <f t="shared" si="611"/>
        <v xml:space="preserve"> </v>
      </c>
      <c r="KA207" s="536" t="str">
        <f t="shared" si="526"/>
        <v xml:space="preserve"> </v>
      </c>
      <c r="KB207" s="535" t="e">
        <f t="shared" si="612"/>
        <v>#VALUE!</v>
      </c>
      <c r="KC207" s="535" t="str">
        <f t="shared" si="527"/>
        <v/>
      </c>
      <c r="KD207" s="537" t="str">
        <f t="shared" si="613"/>
        <v xml:space="preserve"> </v>
      </c>
      <c r="KE207" s="537" t="str">
        <f t="shared" si="614"/>
        <v xml:space="preserve"> </v>
      </c>
      <c r="KF207" s="534">
        <f t="shared" si="528"/>
        <v>0</v>
      </c>
      <c r="KG207" s="535" t="str">
        <f t="shared" si="529"/>
        <v xml:space="preserve"> </v>
      </c>
      <c r="KH207" s="535" t="str">
        <f t="shared" si="530"/>
        <v xml:space="preserve"> </v>
      </c>
      <c r="KI207" s="535" t="str">
        <f t="shared" si="531"/>
        <v xml:space="preserve"> </v>
      </c>
      <c r="KJ207" s="536" t="str">
        <f t="shared" si="532"/>
        <v xml:space="preserve"> </v>
      </c>
      <c r="KK207" s="535" t="str">
        <f t="shared" si="615"/>
        <v xml:space="preserve"> </v>
      </c>
      <c r="KL207" s="535" t="str">
        <f t="shared" si="616"/>
        <v xml:space="preserve"> </v>
      </c>
      <c r="KM207" s="537" t="str">
        <f t="shared" si="533"/>
        <v xml:space="preserve"> </v>
      </c>
      <c r="KN207" s="537" t="str">
        <f t="shared" si="617"/>
        <v xml:space="preserve"> </v>
      </c>
      <c r="KP207">
        <f t="shared" si="534"/>
        <v>0</v>
      </c>
      <c r="LA207" t="e">
        <f t="shared" si="535"/>
        <v>#VALUE!</v>
      </c>
      <c r="LB207" t="e">
        <f t="shared" si="536"/>
        <v>#VALUE!</v>
      </c>
      <c r="LC207" t="e">
        <f t="shared" si="537"/>
        <v>#VALUE!</v>
      </c>
      <c r="LD207" t="e">
        <f t="shared" si="538"/>
        <v>#VALUE!</v>
      </c>
      <c r="LE207" t="e">
        <f t="shared" si="618"/>
        <v>#VALUE!</v>
      </c>
      <c r="LF207">
        <f t="shared" si="539"/>
        <v>0</v>
      </c>
      <c r="LG207" t="e">
        <f t="shared" si="619"/>
        <v>#VALUE!</v>
      </c>
      <c r="LH207" t="str">
        <f t="shared" si="540"/>
        <v xml:space="preserve"> </v>
      </c>
      <c r="LI207">
        <f t="shared" si="620"/>
        <v>1</v>
      </c>
    </row>
    <row r="208" spans="2:321" ht="15" customHeight="1">
      <c r="B208" s="311"/>
      <c r="C208" s="311"/>
      <c r="D208" s="312"/>
      <c r="E208" s="311"/>
      <c r="F208" s="312"/>
      <c r="G208" s="311"/>
      <c r="H208" s="311"/>
      <c r="I208" s="232"/>
      <c r="J208" s="311"/>
      <c r="K208" s="305" t="str">
        <f t="shared" si="541"/>
        <v/>
      </c>
      <c r="L208" s="313"/>
      <c r="M208" s="312"/>
      <c r="N208" s="311"/>
      <c r="O208" s="312"/>
      <c r="P208" s="311"/>
      <c r="Q208" s="305" t="str">
        <f t="shared" si="542"/>
        <v/>
      </c>
      <c r="R208" s="314"/>
      <c r="S208" s="450" t="str">
        <f t="shared" si="425"/>
        <v/>
      </c>
      <c r="T208" s="315"/>
      <c r="U208" s="315"/>
      <c r="W208" s="149" t="str">
        <f t="shared" si="426"/>
        <v xml:space="preserve"> </v>
      </c>
      <c r="X208" s="243" t="str">
        <f t="shared" si="427"/>
        <v xml:space="preserve"> </v>
      </c>
      <c r="Y208" s="150" t="str">
        <f t="shared" si="428"/>
        <v/>
      </c>
      <c r="Z208" s="149" t="str">
        <f t="shared" si="429"/>
        <v xml:space="preserve"> </v>
      </c>
      <c r="AA208" s="98" t="str">
        <f t="shared" si="430"/>
        <v xml:space="preserve"> </v>
      </c>
      <c r="AB208" s="153" t="str">
        <f t="shared" si="431"/>
        <v xml:space="preserve"> </v>
      </c>
      <c r="AC208" s="153" t="str">
        <f t="shared" si="432"/>
        <v xml:space="preserve"> </v>
      </c>
      <c r="AD208" s="148" t="str">
        <f t="shared" si="433"/>
        <v/>
      </c>
      <c r="AE208" s="149" t="str">
        <f t="shared" si="434"/>
        <v/>
      </c>
      <c r="AF208" s="151" t="str">
        <f t="shared" si="435"/>
        <v xml:space="preserve"> </v>
      </c>
      <c r="AG208" s="153" t="str">
        <f t="shared" si="436"/>
        <v xml:space="preserve"> </v>
      </c>
      <c r="AH208" s="98" t="str">
        <f t="shared" si="437"/>
        <v xml:space="preserve"> </v>
      </c>
      <c r="AI208" s="149" t="str">
        <f t="shared" si="438"/>
        <v xml:space="preserve"> </v>
      </c>
      <c r="AK208" s="144" t="str">
        <f t="shared" si="439"/>
        <v xml:space="preserve"> </v>
      </c>
      <c r="AL208" s="144"/>
      <c r="AM208" s="243" t="str">
        <f t="shared" si="440"/>
        <v xml:space="preserve"> </v>
      </c>
      <c r="AN208" s="149" t="str">
        <f t="shared" si="543"/>
        <v xml:space="preserve"> </v>
      </c>
      <c r="AO208" s="144" t="str">
        <f>IF(JB208&gt;0,IF(GI208=10,-R208*1.085*(Calculation!$F$6-Calculation!$F$13)*$S$14," "),"")</f>
        <v/>
      </c>
      <c r="AP208" s="144" t="str">
        <f t="shared" si="441"/>
        <v/>
      </c>
      <c r="AQ208" s="56" t="str">
        <f t="shared" si="442"/>
        <v/>
      </c>
      <c r="AR208" s="144" t="str">
        <f t="shared" si="443"/>
        <v/>
      </c>
      <c r="AS208" s="176" t="str">
        <f t="shared" si="444"/>
        <v/>
      </c>
      <c r="AT208" s="176" t="str">
        <f t="shared" si="544"/>
        <v xml:space="preserve"> </v>
      </c>
      <c r="AU208" s="176" t="str">
        <f t="shared" si="445"/>
        <v/>
      </c>
      <c r="AV208" s="177" t="str">
        <f t="shared" si="446"/>
        <v xml:space="preserve"> </v>
      </c>
      <c r="AW208" s="144" t="str">
        <f t="shared" si="447"/>
        <v xml:space="preserve"> </v>
      </c>
      <c r="AX208" s="144" t="str">
        <f t="shared" si="448"/>
        <v xml:space="preserve"> </v>
      </c>
      <c r="AY208" s="152" t="str">
        <f t="shared" si="449"/>
        <v xml:space="preserve"> </v>
      </c>
      <c r="AZ208" s="246" t="str">
        <f t="shared" si="450"/>
        <v/>
      </c>
      <c r="BA208" s="176" t="str">
        <f t="shared" si="451"/>
        <v xml:space="preserve"> </v>
      </c>
      <c r="BB208" s="176" t="str">
        <f t="shared" si="452"/>
        <v xml:space="preserve"> </v>
      </c>
      <c r="BC208" s="195"/>
      <c r="BD208" s="316"/>
      <c r="BE208" s="317"/>
      <c r="BF208" s="318"/>
      <c r="BG208" s="318"/>
      <c r="BH208" s="144" t="str">
        <f t="shared" si="621"/>
        <v xml:space="preserve"> </v>
      </c>
      <c r="BI208" s="176" t="str">
        <f t="shared" si="453"/>
        <v/>
      </c>
      <c r="BJ208" s="144" t="str">
        <f t="shared" si="622"/>
        <v/>
      </c>
      <c r="BK208" s="246" t="str">
        <f t="shared" si="454"/>
        <v/>
      </c>
      <c r="BL208" s="144" t="str">
        <f t="shared" si="623"/>
        <v/>
      </c>
      <c r="BM208" s="246" t="str">
        <f t="shared" si="455"/>
        <v/>
      </c>
      <c r="BN208" s="337" t="str">
        <f t="shared" si="545"/>
        <v/>
      </c>
      <c r="BO208" s="371" t="str">
        <f t="shared" si="546"/>
        <v/>
      </c>
      <c r="BP208" s="328" t="str">
        <f t="shared" si="624"/>
        <v xml:space="preserve"> </v>
      </c>
      <c r="BQ208" s="347" t="str">
        <f t="shared" si="547"/>
        <v xml:space="preserve"> </v>
      </c>
      <c r="BR208" s="353" t="str">
        <f t="shared" si="548"/>
        <v xml:space="preserve"> </v>
      </c>
      <c r="BS208" s="626" t="str">
        <f>IF(L208&gt;0,IF(Calculation!P208="M13",BR208*3.1416*(0.134^2)/(4*144),IF(Calculation!P208="M17",BR208*3.1416*(0.165^2)/(4*144),IF(Calculation!P208="M20",BR208*3.1416*(0.198^2)/(4*144),IF(Calculation!P208="M23",BR208*3.1416*(0.228^2)/(4*144),IF(Calculation!P208="M27",BR208*3.1416*(0.269^2)/(4*144),BR208*3.1416*(0.307^2)/(4*144))))))," ")</f>
        <v xml:space="preserve"> </v>
      </c>
      <c r="BT208" s="353" t="str">
        <f>IF(L208&gt;0,IF(BS208&gt;0,R208/Calculation!BS208,0)," ")</f>
        <v xml:space="preserve"> </v>
      </c>
      <c r="BU208" s="438" t="e">
        <f t="shared" ca="1" si="456"/>
        <v>#VALUE!</v>
      </c>
      <c r="BV208" s="449" t="e">
        <f ca="1">INDEX(INDIRECT(VLOOKUP(LEFT(BO208,7),CLU!$Z$3:$AH$18,2)),GN208,GR208)</f>
        <v>#N/A</v>
      </c>
      <c r="BW208" s="433" t="e">
        <f ca="1">INDEX(INDIRECT(VLOOKUP(LEFT(BO208,7),CLU!$Z$3:$AH$18,3)),GN208,GR208)</f>
        <v>#N/A</v>
      </c>
      <c r="BX208" s="433" t="e">
        <f ca="1">INDEX(INDIRECT(VLOOKUP(LEFT(BO208,7),CLU!$Z$3:$AH$18,4)),GN208,GR208)</f>
        <v>#N/A</v>
      </c>
      <c r="BY208" s="433" t="e">
        <f ca="1">INDEX(INDIRECT(VLOOKUP(LEFT(BO208,7),CLU!$Z$3:$AH$18,9)),((M208-2)*(6-COUNTBLANK(GT208:GY208)))+GJ208)</f>
        <v>#N/A</v>
      </c>
      <c r="BZ208" s="426" t="e">
        <f t="shared" ca="1" si="549"/>
        <v>#N/A</v>
      </c>
      <c r="CA208" s="424" t="e">
        <f t="shared" ca="1" si="550"/>
        <v>#N/A</v>
      </c>
      <c r="CB208" s="429" t="e">
        <f ca="1">INDEX(INDIRECT(VLOOKUP(LEFT(BO208,7),CLU!$Z$3:$AH$18,2)),GN208,GS208)</f>
        <v>#N/A</v>
      </c>
      <c r="CC208" s="342" t="e">
        <f ca="1">INDEX(INDIRECT(VLOOKUP(LEFT(BO208,7),CLU!$Z$3:$AH$18,3)),GN208,GS208)</f>
        <v>#N/A</v>
      </c>
      <c r="CD208" s="342" t="e">
        <f ca="1">INDEX(INDIRECT(VLOOKUP(LEFT(BO208,7),CLU!$Z$3:$AH$18,4)),GN208,GS208)</f>
        <v>#N/A</v>
      </c>
      <c r="CE208" s="426" t="e">
        <f t="shared" ca="1" si="551"/>
        <v>#N/A</v>
      </c>
      <c r="CF208" s="440">
        <f t="shared" si="552"/>
        <v>0</v>
      </c>
      <c r="CG208" s="431" t="e">
        <f ca="1">INDEX(INDIRECT(VLOOKUP(LEFT(BO208,7),CLU!$Z$3:$AH$18,2)),GQ208,GR208)</f>
        <v>#N/A</v>
      </c>
      <c r="CH208" s="431" t="e">
        <f ca="1">INDEX(INDIRECT(VLOOKUP(LEFT(BO208,7),CLU!$Z$3:$AH$18,3)),GQ208,GR208)</f>
        <v>#N/A</v>
      </c>
      <c r="CI208" s="431" t="e">
        <f ca="1">INDEX(INDIRECT(VLOOKUP(LEFT(BO208,7),CLU!$Z$3:$AH$18,4)),GQ208,GR208)</f>
        <v>#N/A</v>
      </c>
      <c r="CJ208" s="448" t="e">
        <f t="shared" ca="1" si="553"/>
        <v>#N/A</v>
      </c>
      <c r="CK208" s="431" t="e">
        <f t="shared" ca="1" si="554"/>
        <v>#N/A</v>
      </c>
      <c r="CL208" s="440" t="e">
        <f t="shared" ca="1" si="555"/>
        <v>#N/A</v>
      </c>
      <c r="CM208" s="431" t="e">
        <f ca="1">INDEX(INDIRECT(VLOOKUP(LEFT(BO208,7),CLU!$Z$3:$AH$18,2)),GQ208,GS208)</f>
        <v>#N/A</v>
      </c>
      <c r="CN208" s="431" t="e">
        <f ca="1">INDEX(INDIRECT(VLOOKUP(LEFT(BO208,7),CLU!$Z$3:$AH$18,3)),GQ208,GS208)</f>
        <v>#N/A</v>
      </c>
      <c r="CO208" s="431" t="e">
        <f ca="1">INDEX(INDIRECT(VLOOKUP(LEFT(BO208,7),CLU!$Z$3:$AH$18,4)),GQ208,GS208)</f>
        <v>#N/A</v>
      </c>
      <c r="CP208" s="431" t="e">
        <f t="shared" ca="1" si="556"/>
        <v>#N/A</v>
      </c>
      <c r="CQ208" s="440">
        <f t="shared" si="557"/>
        <v>0</v>
      </c>
      <c r="CR208" s="51" t="e">
        <f t="shared" ca="1" si="558"/>
        <v>#N/A</v>
      </c>
      <c r="CS208" s="439" t="e">
        <f t="shared" ca="1" si="559"/>
        <v>#VALUE!</v>
      </c>
      <c r="CT208" s="51" t="e">
        <f t="shared" ca="1" si="560"/>
        <v>#VALUE!</v>
      </c>
      <c r="CU208" s="10"/>
      <c r="CV208" s="51" t="e">
        <f t="shared" ca="1" si="457"/>
        <v>#VALUE!</v>
      </c>
      <c r="CW208" s="51">
        <f t="shared" si="561"/>
        <v>0</v>
      </c>
      <c r="CX208" s="439" t="e">
        <f t="shared" ca="1" si="562"/>
        <v>#VALUE!</v>
      </c>
      <c r="CY208" s="51" t="e">
        <f t="shared" ca="1" si="563"/>
        <v>#VALUE!</v>
      </c>
      <c r="CZ208" s="10"/>
      <c r="DA208" s="51" t="e">
        <f t="shared" ca="1" si="564"/>
        <v>#VALUE!</v>
      </c>
      <c r="DB208" s="347" t="e">
        <f ca="1">INDEX(INDIRECT(VLOOKUP(LEFT(BO208,7),CLU!$Z$3:$AI$18,10)),((M208-2)*(6-COUNTBLANK(GT208:GY208)))+GJ208)*LI208</f>
        <v>#N/A</v>
      </c>
      <c r="DC208" s="347" t="str">
        <f>IF(L208&gt;0,((R208/Worksheet!$I$15)/DB208)^2," ")</f>
        <v xml:space="preserve"> </v>
      </c>
      <c r="DD208" s="602" t="str">
        <f t="shared" si="565"/>
        <v xml:space="preserve"> </v>
      </c>
      <c r="DE208" s="347" t="str">
        <f t="shared" si="458"/>
        <v xml:space="preserve"> </v>
      </c>
      <c r="DF208" s="356" t="e">
        <f ca="1">INDEX(INDIRECT(VLOOKUP(LEFT(BO208,7),CLU!$Z$3:$AH$18,8)),((M208-2)*(6-COUNTBLANK(GT208:GY208)))+GJ208)</f>
        <v>#N/A</v>
      </c>
      <c r="DG208" s="347" t="str">
        <f t="shared" si="459"/>
        <v xml:space="preserve"> </v>
      </c>
      <c r="DH208" s="357" t="str">
        <f t="shared" si="460"/>
        <v xml:space="preserve"> </v>
      </c>
      <c r="DI208" s="355" t="str">
        <f t="shared" si="461"/>
        <v xml:space="preserve"> </v>
      </c>
      <c r="DJ208" s="245" t="e">
        <f ca="1">INDEX(INDIRECT(VLOOKUP(LEFT(BO208,7),CLU!$Z$3:$AH$18,5)),GL208,GK208)</f>
        <v>#N/A</v>
      </c>
      <c r="DK208" s="245" t="e">
        <f ca="1">INDEX(INDIRECT(VLOOKUP(LEFT(BO208,7),CLU!$Z$3:$AH$18,6)),GL208,GK208)</f>
        <v>#N/A</v>
      </c>
      <c r="DL208" s="355">
        <f>(Calculation!R208*0.69143*(Calculation!$BQ$8-Calculation!$F$8))*$S$14</f>
        <v>0</v>
      </c>
      <c r="DM208" s="359" t="e">
        <f t="shared" si="566"/>
        <v>#VALUE!</v>
      </c>
      <c r="DN208" s="611">
        <f t="shared" si="567"/>
        <v>0</v>
      </c>
      <c r="DO208" s="359">
        <f t="shared" si="568"/>
        <v>100</v>
      </c>
      <c r="DP208" s="359">
        <f t="shared" si="569"/>
        <v>0</v>
      </c>
      <c r="DQ208" s="360"/>
      <c r="DR208" s="245" t="e">
        <f ca="1">INDEX(INDIRECT(VLOOKUP(LEFT(BO208,7),CLU!$Z$3:$AH$18,7)),M208-1,1)</f>
        <v>#N/A</v>
      </c>
      <c r="DS208" s="245" t="e">
        <f ca="1">INDEX(INDIRECT(VLOOKUP(LEFT(BO208,7),CLU!$Z$3:$AH$18,7)),M208-1,2)</f>
        <v>#N/A</v>
      </c>
      <c r="DT208" s="245" t="e">
        <f ca="1">INDEX(INDIRECT(VLOOKUP(LEFT(BO208,7),CLU!$Z$3:$AH$18,7)),M208-1,3)</f>
        <v>#N/A</v>
      </c>
      <c r="DU208" s="245" t="e">
        <f ca="1">INDEX(INDIRECT(VLOOKUP(LEFT(BO208,7),CLU!$Z$3:$AH$18,7)),M208-1,4)</f>
        <v>#N/A</v>
      </c>
      <c r="DV208" s="361" t="e">
        <f ca="1">INDEX(INDIRECT(VLOOKUP(LEFT(BO208,7),CLU!$Z$3:$AH$18,7)),M208-1,4+LEFT(DZ208,1)*0.5)</f>
        <v>#N/A</v>
      </c>
      <c r="DW208" s="245" t="e">
        <f ca="1">INDEX(INDIRECT(VLOOKUP(LEFT(BO208,7),CLU!$Z$3:$AH$18,7)),M208-1,8)</f>
        <v>#N/A</v>
      </c>
      <c r="DX208" s="361" t="str">
        <f t="shared" si="462"/>
        <v xml:space="preserve"> </v>
      </c>
      <c r="DY208" s="361" t="str">
        <f t="shared" si="463"/>
        <v xml:space="preserve"> </v>
      </c>
      <c r="DZ208" s="361" t="str">
        <f t="shared" si="464"/>
        <v xml:space="preserve"> </v>
      </c>
      <c r="EA208" s="362" t="str">
        <f t="shared" si="465"/>
        <v xml:space="preserve"> </v>
      </c>
      <c r="EB208" s="624" t="str">
        <f t="shared" si="570"/>
        <v xml:space="preserve"> </v>
      </c>
      <c r="EC208" s="361" t="e">
        <f ca="1">INDEX(INDIRECT(VLOOKUP(LEFT(BO208,7),CLU!$Z$3:$AH$18,7)),M208-1,4+LEFT(DZ208,1)*0.5)</f>
        <v>#N/A</v>
      </c>
      <c r="ED208" s="362" t="str">
        <f t="shared" si="466"/>
        <v xml:space="preserve"> </v>
      </c>
      <c r="EE208" s="361" t="str">
        <f t="shared" si="467"/>
        <v xml:space="preserve"> </v>
      </c>
      <c r="EF208" s="362" t="str">
        <f>IF(L208&gt;0,IF(BR208&gt;0,IF(EE208="2P",IF(Calculation!DZ208="2P",IF(Calculation!DS208=13.75,IF(Calculation!DR208=13,Worksheet!$BD$43,IF(Calculation!DR208=37,Worksheet!$BD$44,Worksheet!$BD$45)),IF(Calculation!DS208=10,IF(Calculation!DR208=18,Worksheet!$BD$29,IF(Calculation!DR208=30,Worksheet!$BD$30,IF(Calculation!DR208=42,Worksheet!$BD$31,IF(Calculation!DR208=54,Worksheet!$BD$32,IF(Calculation!DR208=66,Worksheet!$BD$33,IF(Calculation!DR208=78,Worksheet!$BD$34,IF(Calculation!DR208=90,Worksheet!$BD$35,IF(Calculation!DR208=102,Worksheet!$BD$36,Worksheet!$BD$37)))))))),IF(Calculation!DS208=12.5,IF(Calculation!DR208=18,Worksheet!$BD$38,IF(Calculation!DR208=Worksheet!$BD$39,IF(Calculation!DR208=42,Worksheet!$BD$40,IF(Calculation!DR208=54,Worksheet!$BD$41,Worksheet!$BD$42)))),IF(Calculation!DR208=18,Worksheet!$BD$11,IF(Calculation!DR208=30,Worksheet!$BD$12,IF(Calculation!DR208=42,Worksheet!$BD$13,IF(Calculation!DR208=54,Worksheet!$BD$14,IF(Calculation!DR208=66,Worksheet!$BD$15,IF(Calculation!DR208=78,Worksheet!$BD$16,IF(Calculation!DR208=90,Worksheet!$BD$17,IF(Calculation!DR208=102,Worksheet!$BD$18,Worksheet!$BD$19))))))))))),IF(Calculation!DS208=13.75,IF(Calculation!DR208=13,Worksheet!$BD$78,IF(Calculation!DR208=37,Worksheet!$BD$79,Worksheet!$BD$80)),IF(Calculation!DS208=10,IF(Calculation!DR208=18,Worksheet!$BD$64,IF(Calculation!DR208=30,Worksheet!$BD$65,IF(Calculation!DR208=42,Worksheet!$BD$66,IF(Calculation!DR208=54,Worksheet!$BD$68,IF(Calculation!DR208=66,Worksheet!$BD$68,IF(Calculation!DR208=78,Worksheet!$BD$69,IF(Calculation!DR208=90,Worksheet!$BD$70,IF(Calculation!DR208=102,Worksheet!$BD$71,Worksheet!$BD$72)))))))),IF(Calculation!DS208=12.5,IF(Calculation!DR208=18,Worksheet!$BD$73,IF(Calculation!DR208=Worksheet!$BD$74,IF(Calculation!DR208=42,Worksheet!$BD$75,IF(Calculation!DR208=54,Worksheet!$BD$76,Worksheet!$BD$77)))),IF(Calculation!DR208=18,Worksheet!$BD$55,IF(Calculation!DR208=30,Worksheet!$BD$56,IF(Calculation!DR208=42,Worksheet!$BD$57,IF(Calculation!DR208=54,Worksheet!$BD$58,IF(Calculation!DR208=66,Worksheet!$BD$59,IF(Calculation!DR208=78,Worksheet!$BD$60,IF(Calculation!DR208=90,Worksheet!$BD$61,IF(Calculation!DR208=102,Worksheet!$BD$62,Worksheet!$BD$63)))))))))))),5),0)," ")</f>
        <v xml:space="preserve"> </v>
      </c>
      <c r="EG208" s="361" t="str">
        <f t="shared" si="468"/>
        <v xml:space="preserve"> </v>
      </c>
      <c r="EH208" s="361" t="e">
        <f ca="1">INDEX(INDIRECT(VLOOKUP(LEFT(BO208,7),CLU!$Z$3:$AH$18,7)),M208-1,3+LEFT(DZ208,1))</f>
        <v>#N/A</v>
      </c>
      <c r="EI208" s="362" t="str">
        <f t="shared" si="469"/>
        <v xml:space="preserve"> </v>
      </c>
      <c r="EJ208" s="363" t="str">
        <f t="shared" si="470"/>
        <v xml:space="preserve"> </v>
      </c>
      <c r="EK208" s="363" t="str">
        <f t="shared" si="471"/>
        <v xml:space="preserve"> </v>
      </c>
      <c r="EL208" s="363" t="str">
        <f t="shared" si="472"/>
        <v xml:space="preserve"> </v>
      </c>
      <c r="EM208" s="362" t="str">
        <f>IF(L208&gt;0,IF(BR208&gt;0,(Calculation!T208/ED208)^2,0)," ")</f>
        <v xml:space="preserve"> </v>
      </c>
      <c r="EN208" s="362" t="str">
        <f>IF(L208&gt;0,IF(O208="2 Pipe (Cooling)","N/A",IF(BR208&gt;0,(Calculation!U208/EI208)^2,0))," ")</f>
        <v xml:space="preserve"> </v>
      </c>
      <c r="EO208" s="361" t="str">
        <f t="shared" si="473"/>
        <v/>
      </c>
      <c r="EP208" s="361" t="str">
        <f t="shared" si="474"/>
        <v/>
      </c>
      <c r="EQ208" s="361" t="str">
        <f t="shared" si="475"/>
        <v/>
      </c>
      <c r="ER208" s="361" t="str">
        <f t="shared" si="476"/>
        <v/>
      </c>
      <c r="ES208" s="361" t="str">
        <f t="shared" si="477"/>
        <v/>
      </c>
      <c r="ET208" s="361" t="str">
        <f t="shared" si="478"/>
        <v/>
      </c>
      <c r="EU208" s="361" t="str">
        <f t="shared" si="479"/>
        <v/>
      </c>
      <c r="EV208" s="361" t="str">
        <f t="shared" si="480"/>
        <v/>
      </c>
      <c r="EW208" s="361" t="str">
        <f t="shared" si="481"/>
        <v/>
      </c>
      <c r="EX208" s="361" t="str">
        <f t="shared" si="571"/>
        <v>1 slot, 1 way</v>
      </c>
      <c r="EY208" s="361" t="str">
        <f t="shared" si="572"/>
        <v xml:space="preserve"> </v>
      </c>
      <c r="EZ208" s="361" t="str">
        <f t="shared" si="573"/>
        <v xml:space="preserve"> </v>
      </c>
      <c r="FA208" s="361" t="str">
        <f t="shared" si="574"/>
        <v xml:space="preserve"> </v>
      </c>
      <c r="FB208" s="361" t="str">
        <f t="shared" si="575"/>
        <v xml:space="preserve"> </v>
      </c>
      <c r="FC208" s="361"/>
      <c r="FD208" s="361" t="str">
        <f>IF(J208&gt;0,IF(Calculation!R208&lt;=70,4,IF(Calculation!R208&lt;=110,5,IF(Calculation!R208&lt;=160,6,IF(Calculation!R208&lt;=300,8,"10 EO")))),"")</f>
        <v/>
      </c>
      <c r="FE208" s="361" t="str">
        <f t="shared" si="576"/>
        <v/>
      </c>
      <c r="FF208" s="361" t="str">
        <f t="shared" si="577"/>
        <v/>
      </c>
      <c r="FG208" s="361" t="e">
        <f t="shared" si="482"/>
        <v>#N/A</v>
      </c>
      <c r="FH208" s="361">
        <f t="shared" si="483"/>
        <v>0</v>
      </c>
      <c r="FI208" s="361" t="e">
        <f t="shared" si="484"/>
        <v>#DIV/0!</v>
      </c>
      <c r="FJ208" s="361"/>
      <c r="FK208" s="356" t="e">
        <f t="shared" si="485"/>
        <v>#VALUE!</v>
      </c>
      <c r="FL208" s="361"/>
      <c r="FM208" s="361"/>
      <c r="FN208" s="362" t="str">
        <f t="shared" si="578"/>
        <v xml:space="preserve"> </v>
      </c>
      <c r="FO208" s="362" t="str">
        <f t="shared" si="579"/>
        <v xml:space="preserve"> </v>
      </c>
      <c r="FP208" s="362">
        <f t="shared" si="580"/>
        <v>0</v>
      </c>
      <c r="FQ208" s="361">
        <f t="shared" si="486"/>
        <v>0</v>
      </c>
      <c r="FR208" s="362" t="str">
        <f>IF(L208&gt;0,IF(J208="CBAL2",Worksheet!$P$67,IF(J208="CBE2-24",Worksheet!$Q$67,IF(J208="CBAM",Worksheet!$R$67,IF(J208="CBLV",Worksheet!$S$67,IF(J208="CBAB",Worksheet!$U$67,IF(J208="CBAW",Worksheet!$X$67,IF(J208="CBE2-12",Worksheet!$Y$67,IF(J208="CBAL2",Worksheet!$Z$67,"N/A"))))))))," ")</f>
        <v xml:space="preserve"> </v>
      </c>
      <c r="FS208" s="362" t="str">
        <f>IF(L208&gt;0,IF(J208="CBAL2",Worksheet!$P$68,IF(J208="CBE2-24",Worksheet!$Q$68,IF(J208="CBAM",Worksheet!$R$68,IF(J208="CBLV",Worksheet!$S$68,IF(J208="CBAB",Worksheet!$U$68,IF(J208="CBAW",Worksheet!$X$68,IF(J208="CBE2-12",Worksheet!$Y$68,IF(J208="CBAL2",Worksheet!$Z$68,"N/A"))))))))," ")</f>
        <v xml:space="preserve"> </v>
      </c>
      <c r="FT208" s="362" t="str">
        <f>IF(L208&gt;0,IF(J208="CBAL2",Worksheet!$P$69,IF(J208="CBE2-24",Worksheet!$Q$69,IF(J208="CBAM",Worksheet!$R$69,IF(J208="CBLV",Worksheet!$S$69,IF(J208="CBAB",Worksheet!$U$69,IF(J208="CBAW",Worksheet!$X$69,IF(J208="CBE2-12",Worksheet!$Y$69,IF(J208="CBAL2",Worksheet!$Z$69,"N/A"))))))))," ")</f>
        <v xml:space="preserve"> </v>
      </c>
      <c r="FU208" s="361" t="str">
        <f t="shared" si="581"/>
        <v xml:space="preserve"> </v>
      </c>
      <c r="FV208" s="362" t="str">
        <f t="shared" si="582"/>
        <v xml:space="preserve"> </v>
      </c>
      <c r="FW208" s="362" t="str">
        <f t="shared" si="583"/>
        <v xml:space="preserve"> </v>
      </c>
      <c r="FX208" s="362" t="str">
        <f t="shared" si="584"/>
        <v xml:space="preserve"> </v>
      </c>
      <c r="FY208" s="355" t="str">
        <f t="shared" si="585"/>
        <v xml:space="preserve"> </v>
      </c>
      <c r="FZ208" s="361" t="str">
        <f t="shared" si="586"/>
        <v xml:space="preserve"> </v>
      </c>
      <c r="GA208" s="347" t="str">
        <f t="shared" si="587"/>
        <v xml:space="preserve"> </v>
      </c>
      <c r="GB208" s="355" t="str">
        <f t="shared" si="588"/>
        <v xml:space="preserve"> </v>
      </c>
      <c r="GC208" s="328" t="str">
        <f t="shared" si="589"/>
        <v xml:space="preserve"> </v>
      </c>
      <c r="GD208" s="361" t="str">
        <f t="shared" si="590"/>
        <v xml:space="preserve"> </v>
      </c>
      <c r="GE208" s="347" t="str">
        <f t="shared" si="591"/>
        <v xml:space="preserve"> </v>
      </c>
      <c r="GF208" s="361" t="str">
        <f t="shared" si="592"/>
        <v xml:space="preserve"> </v>
      </c>
      <c r="GG208" s="347" t="str">
        <f t="shared" si="593"/>
        <v xml:space="preserve"> </v>
      </c>
      <c r="GH208" s="364">
        <f t="shared" si="487"/>
        <v>0</v>
      </c>
      <c r="GI208" s="362">
        <f t="shared" si="594"/>
        <v>2</v>
      </c>
      <c r="GJ208" s="433" t="e">
        <f>IF(6-COUNTBLANK(GT208:GY208)=4,MATCH(MID(BO208,9,3),CLU!$H$16:$K$16),MATCH(MID(BO208,9,3),CLU!$H$13:$M$13))</f>
        <v>#N/A</v>
      </c>
      <c r="GK208" s="433" t="e">
        <f>HLOOKUP(VALUE(BP208),CLU!$H$9:$M$10,2)</f>
        <v>#VALUE!</v>
      </c>
      <c r="GL208" s="433" t="e">
        <f ca="1">MATCH(BU208,CLU!$H$2:$V$2,1)</f>
        <v>#VALUE!</v>
      </c>
      <c r="GM208" s="433" t="e">
        <f t="shared" ca="1" si="595"/>
        <v>#VALUE!</v>
      </c>
      <c r="GN208" s="433" t="e">
        <f t="shared" ca="1" si="596"/>
        <v>#VALUE!</v>
      </c>
      <c r="GO208" s="433" t="e">
        <f t="shared" ca="1" si="597"/>
        <v>#VALUE!</v>
      </c>
      <c r="GP208" s="433" t="e">
        <f t="shared" ca="1" si="598"/>
        <v>#VALUE!</v>
      </c>
      <c r="GQ208" s="433" t="e">
        <f t="shared" ca="1" si="599"/>
        <v>#VALUE!</v>
      </c>
      <c r="GR208" s="433" t="e">
        <f ca="1">MATCH(T208,INDIRECT(VLOOKUP(CONCATENATE(LEFT(BO208,7),"-",MID(BO208,13,1)),CLU!$P$3:$Q$16,2)),1)</f>
        <v>#N/A</v>
      </c>
      <c r="GS208" s="433" t="e">
        <f ca="1">MATCH(U208,INDIRECT(VLOOKUP(CONCATENATE(LEFT(BO208,7),"-",MID(BO208,13,1)),CLU!$P$3:$Q$16,2)),1)</f>
        <v>#N/A</v>
      </c>
      <c r="GT208" s="347" t="s">
        <v>512</v>
      </c>
      <c r="GU208" s="97" t="s">
        <v>513</v>
      </c>
      <c r="GV208" s="97" t="str">
        <f t="shared" si="600"/>
        <v>M23</v>
      </c>
      <c r="GW208" s="97" t="str">
        <f t="shared" si="601"/>
        <v>M31</v>
      </c>
      <c r="GX208" s="97" t="str">
        <f t="shared" si="602"/>
        <v/>
      </c>
      <c r="GY208" s="97" t="str">
        <f t="shared" si="603"/>
        <v/>
      </c>
      <c r="GZ208" s="481"/>
      <c r="HA208" s="288"/>
      <c r="HB208" s="240"/>
      <c r="HC208" s="240"/>
      <c r="HD208" s="240"/>
      <c r="HE208" s="240"/>
      <c r="HF208" s="240"/>
      <c r="HG208" s="240"/>
      <c r="HH208" s="240"/>
      <c r="HI208" s="240"/>
      <c r="HJ208" s="240"/>
      <c r="HK208" s="240"/>
      <c r="HL208" s="240"/>
      <c r="HM208" s="240"/>
      <c r="HN208" s="240"/>
      <c r="HO208" s="240"/>
      <c r="HP208" s="240"/>
      <c r="HQ208" s="240"/>
      <c r="HR208" s="240"/>
      <c r="HS208" s="240"/>
      <c r="HT208" s="240"/>
      <c r="HU208" s="240"/>
      <c r="HV208" s="245"/>
      <c r="HW208" s="245" t="b">
        <v>1</v>
      </c>
      <c r="HX208" s="245" t="str">
        <f t="shared" si="488"/>
        <v/>
      </c>
      <c r="HY208" s="245" t="e">
        <f t="shared" si="489"/>
        <v>#DIV/0!</v>
      </c>
      <c r="HZ208" s="245" t="e">
        <f t="shared" si="490"/>
        <v>#DIV/0!</v>
      </c>
      <c r="IA208" s="245">
        <f t="shared" si="491"/>
        <v>0</v>
      </c>
      <c r="IB208" s="245"/>
      <c r="IC208" t="b">
        <f t="shared" si="492"/>
        <v>1</v>
      </c>
      <c r="ID208" s="245" t="b">
        <f t="shared" si="493"/>
        <v>1</v>
      </c>
      <c r="IE208" s="245" t="b">
        <f t="shared" si="494"/>
        <v>1</v>
      </c>
      <c r="IF208" s="245" t="b">
        <f t="shared" si="495"/>
        <v>0</v>
      </c>
      <c r="IG208" s="245" t="b">
        <f t="shared" si="496"/>
        <v>1</v>
      </c>
      <c r="IH208" s="245" t="b">
        <f t="shared" si="497"/>
        <v>1</v>
      </c>
      <c r="II208" s="245">
        <f t="shared" si="604"/>
        <v>0</v>
      </c>
      <c r="IJ208" s="245" t="e">
        <f t="shared" si="498"/>
        <v>#VALUE!</v>
      </c>
      <c r="IK208" s="245" t="e">
        <f t="shared" si="499"/>
        <v>#VALUE!</v>
      </c>
      <c r="IL208" s="245"/>
      <c r="IM208" s="245" t="e">
        <f t="shared" si="605"/>
        <v>#N/A</v>
      </c>
      <c r="IN208" s="245" t="e">
        <f t="shared" si="606"/>
        <v>#N/A</v>
      </c>
      <c r="IO208" s="245"/>
      <c r="IP208" s="245"/>
      <c r="IQ208" s="245" t="str">
        <f t="shared" si="500"/>
        <v/>
      </c>
      <c r="IR208" s="245" t="str">
        <f>IF(J208="","",VLOOKUP(J208,Worksheet!$R$4:$T$14,2))</f>
        <v/>
      </c>
      <c r="IS208" s="245"/>
      <c r="IT208" s="245">
        <f t="shared" si="501"/>
        <v>0</v>
      </c>
      <c r="IU208" s="245">
        <f t="shared" si="502"/>
        <v>0</v>
      </c>
      <c r="IV208" s="245">
        <f t="shared" si="503"/>
        <v>0</v>
      </c>
      <c r="IW208" s="245">
        <f t="shared" si="504"/>
        <v>0</v>
      </c>
      <c r="IX208" s="245">
        <f t="shared" si="607"/>
        <v>0</v>
      </c>
      <c r="IY208" s="245">
        <f t="shared" si="505"/>
        <v>0</v>
      </c>
      <c r="IZ208" s="245">
        <f t="shared" si="506"/>
        <v>0</v>
      </c>
      <c r="JA208">
        <f t="shared" si="507"/>
        <v>0</v>
      </c>
      <c r="JB208">
        <f t="shared" si="608"/>
        <v>0</v>
      </c>
      <c r="JC208">
        <f t="shared" si="508"/>
        <v>0</v>
      </c>
      <c r="JD208">
        <f t="shared" si="509"/>
        <v>0</v>
      </c>
      <c r="JE208">
        <f t="shared" si="510"/>
        <v>0</v>
      </c>
      <c r="JF208">
        <f t="shared" si="511"/>
        <v>0</v>
      </c>
      <c r="JG208">
        <f t="shared" si="512"/>
        <v>0</v>
      </c>
      <c r="JH208">
        <f t="shared" si="513"/>
        <v>0</v>
      </c>
      <c r="JI208">
        <f t="shared" si="514"/>
        <v>0</v>
      </c>
      <c r="JJ208" s="447">
        <f t="shared" si="515"/>
        <v>0</v>
      </c>
      <c r="JK208" s="447">
        <f t="shared" si="516"/>
        <v>0</v>
      </c>
      <c r="JL208">
        <f t="shared" si="517"/>
        <v>0</v>
      </c>
      <c r="JM208" s="245" t="str">
        <f>IFERROR(VLOOKUP(MATCH(BN208,#REF!,0),#REF!,7),"")</f>
        <v/>
      </c>
      <c r="JN208" t="e">
        <f>HLOOKUP(LEFT(BO208,7),Discharge_Area,MATCH(JO208,LookUps!$B$130:$B$149,1)+2)</f>
        <v>#N/A</v>
      </c>
      <c r="JO208" t="str">
        <f t="shared" si="518"/>
        <v>- S</v>
      </c>
      <c r="JP208" t="e">
        <f>HLOOKUP(LEFT(BO208,7),Discharge_Area,MATCH(JO208,LookUps!$B$130:$B$149,1)+2)</f>
        <v>#N/A</v>
      </c>
      <c r="JQ208" t="e">
        <f t="shared" si="519"/>
        <v>#N/A</v>
      </c>
      <c r="JR208" t="e">
        <f t="shared" si="520"/>
        <v>#N/A</v>
      </c>
      <c r="JS208" t="e">
        <f t="shared" si="521"/>
        <v>#N/A</v>
      </c>
      <c r="JT208" s="532" t="str">
        <f t="shared" si="522"/>
        <v xml:space="preserve"> </v>
      </c>
      <c r="JU208" s="532" t="str">
        <f t="shared" si="523"/>
        <v xml:space="preserve"> </v>
      </c>
      <c r="JV208" s="533" t="str">
        <f t="shared" si="524"/>
        <v xml:space="preserve"> </v>
      </c>
      <c r="JW208" s="534">
        <f t="shared" si="525"/>
        <v>0</v>
      </c>
      <c r="JX208" s="535" t="str">
        <f t="shared" si="609"/>
        <v xml:space="preserve"> </v>
      </c>
      <c r="JY208" s="535" t="str">
        <f t="shared" si="610"/>
        <v xml:space="preserve"> </v>
      </c>
      <c r="JZ208" s="535" t="str">
        <f t="shared" si="611"/>
        <v xml:space="preserve"> </v>
      </c>
      <c r="KA208" s="536" t="str">
        <f t="shared" si="526"/>
        <v xml:space="preserve"> </v>
      </c>
      <c r="KB208" s="535" t="e">
        <f t="shared" si="612"/>
        <v>#VALUE!</v>
      </c>
      <c r="KC208" s="535" t="str">
        <f t="shared" si="527"/>
        <v/>
      </c>
      <c r="KD208" s="537" t="str">
        <f t="shared" si="613"/>
        <v xml:space="preserve"> </v>
      </c>
      <c r="KE208" s="537" t="str">
        <f t="shared" si="614"/>
        <v xml:space="preserve"> </v>
      </c>
      <c r="KF208" s="534">
        <f t="shared" si="528"/>
        <v>0</v>
      </c>
      <c r="KG208" s="535" t="str">
        <f t="shared" si="529"/>
        <v xml:space="preserve"> </v>
      </c>
      <c r="KH208" s="535" t="str">
        <f t="shared" si="530"/>
        <v xml:space="preserve"> </v>
      </c>
      <c r="KI208" s="535" t="str">
        <f t="shared" si="531"/>
        <v xml:space="preserve"> </v>
      </c>
      <c r="KJ208" s="536" t="str">
        <f t="shared" si="532"/>
        <v xml:space="preserve"> </v>
      </c>
      <c r="KK208" s="535" t="str">
        <f t="shared" si="615"/>
        <v xml:space="preserve"> </v>
      </c>
      <c r="KL208" s="535" t="str">
        <f t="shared" si="616"/>
        <v xml:space="preserve"> </v>
      </c>
      <c r="KM208" s="537" t="str">
        <f t="shared" si="533"/>
        <v xml:space="preserve"> </v>
      </c>
      <c r="KN208" s="537" t="str">
        <f t="shared" si="617"/>
        <v xml:space="preserve"> </v>
      </c>
      <c r="KP208">
        <f t="shared" si="534"/>
        <v>0</v>
      </c>
      <c r="LA208" t="e">
        <f t="shared" si="535"/>
        <v>#VALUE!</v>
      </c>
      <c r="LB208" t="e">
        <f t="shared" si="536"/>
        <v>#VALUE!</v>
      </c>
      <c r="LC208" t="e">
        <f t="shared" si="537"/>
        <v>#VALUE!</v>
      </c>
      <c r="LD208" t="e">
        <f t="shared" si="538"/>
        <v>#VALUE!</v>
      </c>
      <c r="LE208" t="e">
        <f t="shared" si="618"/>
        <v>#VALUE!</v>
      </c>
      <c r="LF208">
        <f t="shared" si="539"/>
        <v>0</v>
      </c>
      <c r="LG208" t="e">
        <f t="shared" si="619"/>
        <v>#VALUE!</v>
      </c>
      <c r="LH208" t="str">
        <f t="shared" si="540"/>
        <v xml:space="preserve"> </v>
      </c>
      <c r="LI208">
        <f t="shared" si="620"/>
        <v>1</v>
      </c>
    </row>
    <row r="209" spans="2:321" ht="15" customHeight="1">
      <c r="B209" s="311"/>
      <c r="C209" s="311"/>
      <c r="D209" s="312"/>
      <c r="E209" s="311"/>
      <c r="F209" s="312"/>
      <c r="G209" s="311"/>
      <c r="H209" s="311"/>
      <c r="I209" s="232"/>
      <c r="J209" s="311"/>
      <c r="K209" s="305" t="str">
        <f t="shared" si="541"/>
        <v/>
      </c>
      <c r="L209" s="313"/>
      <c r="M209" s="312"/>
      <c r="N209" s="311"/>
      <c r="O209" s="312"/>
      <c r="P209" s="311"/>
      <c r="Q209" s="305" t="str">
        <f t="shared" si="542"/>
        <v/>
      </c>
      <c r="R209" s="314"/>
      <c r="S209" s="450" t="str">
        <f t="shared" si="425"/>
        <v/>
      </c>
      <c r="T209" s="315"/>
      <c r="U209" s="315"/>
      <c r="W209" s="149" t="str">
        <f t="shared" si="426"/>
        <v xml:space="preserve"> </v>
      </c>
      <c r="X209" s="243" t="str">
        <f t="shared" si="427"/>
        <v xml:space="preserve"> </v>
      </c>
      <c r="Y209" s="150" t="str">
        <f t="shared" si="428"/>
        <v/>
      </c>
      <c r="Z209" s="149" t="str">
        <f t="shared" si="429"/>
        <v xml:space="preserve"> </v>
      </c>
      <c r="AA209" s="98" t="str">
        <f t="shared" si="430"/>
        <v xml:space="preserve"> </v>
      </c>
      <c r="AB209" s="153" t="str">
        <f t="shared" si="431"/>
        <v xml:space="preserve"> </v>
      </c>
      <c r="AC209" s="153" t="str">
        <f t="shared" si="432"/>
        <v xml:space="preserve"> </v>
      </c>
      <c r="AD209" s="148" t="str">
        <f t="shared" si="433"/>
        <v/>
      </c>
      <c r="AE209" s="149" t="str">
        <f t="shared" si="434"/>
        <v/>
      </c>
      <c r="AF209" s="151" t="str">
        <f t="shared" si="435"/>
        <v xml:space="preserve"> </v>
      </c>
      <c r="AG209" s="153" t="str">
        <f t="shared" si="436"/>
        <v xml:space="preserve"> </v>
      </c>
      <c r="AH209" s="98" t="str">
        <f t="shared" si="437"/>
        <v xml:space="preserve"> </v>
      </c>
      <c r="AI209" s="149" t="str">
        <f t="shared" si="438"/>
        <v xml:space="preserve"> </v>
      </c>
      <c r="AK209" s="144" t="str">
        <f t="shared" si="439"/>
        <v xml:space="preserve"> </v>
      </c>
      <c r="AL209" s="144"/>
      <c r="AM209" s="243" t="str">
        <f t="shared" si="440"/>
        <v xml:space="preserve"> </v>
      </c>
      <c r="AN209" s="149" t="str">
        <f t="shared" si="543"/>
        <v xml:space="preserve"> </v>
      </c>
      <c r="AO209" s="144" t="str">
        <f>IF(JB209&gt;0,IF(GI209=10,-R209*1.085*(Calculation!$F$6-Calculation!$F$13)*$S$14," "),"")</f>
        <v/>
      </c>
      <c r="AP209" s="144" t="str">
        <f t="shared" si="441"/>
        <v/>
      </c>
      <c r="AQ209" s="56" t="str">
        <f t="shared" si="442"/>
        <v/>
      </c>
      <c r="AR209" s="144" t="str">
        <f t="shared" si="443"/>
        <v/>
      </c>
      <c r="AS209" s="176" t="str">
        <f t="shared" si="444"/>
        <v/>
      </c>
      <c r="AT209" s="176" t="str">
        <f t="shared" si="544"/>
        <v xml:space="preserve"> </v>
      </c>
      <c r="AU209" s="176" t="str">
        <f t="shared" si="445"/>
        <v/>
      </c>
      <c r="AV209" s="177" t="str">
        <f t="shared" si="446"/>
        <v xml:space="preserve"> </v>
      </c>
      <c r="AW209" s="144" t="str">
        <f t="shared" si="447"/>
        <v xml:space="preserve"> </v>
      </c>
      <c r="AX209" s="144" t="str">
        <f t="shared" si="448"/>
        <v xml:space="preserve"> </v>
      </c>
      <c r="AY209" s="152" t="str">
        <f t="shared" si="449"/>
        <v xml:space="preserve"> </v>
      </c>
      <c r="AZ209" s="246" t="str">
        <f t="shared" si="450"/>
        <v/>
      </c>
      <c r="BA209" s="176" t="str">
        <f t="shared" si="451"/>
        <v xml:space="preserve"> </v>
      </c>
      <c r="BB209" s="176" t="str">
        <f t="shared" si="452"/>
        <v xml:space="preserve"> </v>
      </c>
      <c r="BC209" s="195"/>
      <c r="BD209" s="316"/>
      <c r="BE209" s="317"/>
      <c r="BF209" s="318"/>
      <c r="BG209" s="318"/>
      <c r="BH209" s="144" t="str">
        <f t="shared" si="621"/>
        <v xml:space="preserve"> </v>
      </c>
      <c r="BI209" s="176" t="str">
        <f t="shared" si="453"/>
        <v/>
      </c>
      <c r="BJ209" s="144" t="str">
        <f t="shared" si="622"/>
        <v/>
      </c>
      <c r="BK209" s="246" t="str">
        <f t="shared" si="454"/>
        <v/>
      </c>
      <c r="BL209" s="144" t="str">
        <f t="shared" si="623"/>
        <v/>
      </c>
      <c r="BM209" s="246" t="str">
        <f t="shared" si="455"/>
        <v/>
      </c>
      <c r="BN209" s="337" t="str">
        <f t="shared" si="545"/>
        <v/>
      </c>
      <c r="BO209" s="371" t="str">
        <f t="shared" si="546"/>
        <v/>
      </c>
      <c r="BP209" s="328" t="str">
        <f t="shared" si="624"/>
        <v xml:space="preserve"> </v>
      </c>
      <c r="BQ209" s="347" t="str">
        <f t="shared" si="547"/>
        <v xml:space="preserve"> </v>
      </c>
      <c r="BR209" s="353" t="str">
        <f t="shared" si="548"/>
        <v xml:space="preserve"> </v>
      </c>
      <c r="BS209" s="626" t="str">
        <f>IF(L209&gt;0,IF(Calculation!P209="M13",BR209*3.1416*(0.134^2)/(4*144),IF(Calculation!P209="M17",BR209*3.1416*(0.165^2)/(4*144),IF(Calculation!P209="M20",BR209*3.1416*(0.198^2)/(4*144),IF(Calculation!P209="M23",BR209*3.1416*(0.228^2)/(4*144),IF(Calculation!P209="M27",BR209*3.1416*(0.269^2)/(4*144),BR209*3.1416*(0.307^2)/(4*144))))))," ")</f>
        <v xml:space="preserve"> </v>
      </c>
      <c r="BT209" s="353" t="str">
        <f>IF(L209&gt;0,IF(BS209&gt;0,R209/Calculation!BS209,0)," ")</f>
        <v xml:space="preserve"> </v>
      </c>
      <c r="BU209" s="438" t="e">
        <f t="shared" ca="1" si="456"/>
        <v>#VALUE!</v>
      </c>
      <c r="BV209" s="449" t="e">
        <f ca="1">INDEX(INDIRECT(VLOOKUP(LEFT(BO209,7),CLU!$Z$3:$AH$18,2)),GN209,GR209)</f>
        <v>#N/A</v>
      </c>
      <c r="BW209" s="433" t="e">
        <f ca="1">INDEX(INDIRECT(VLOOKUP(LEFT(BO209,7),CLU!$Z$3:$AH$18,3)),GN209,GR209)</f>
        <v>#N/A</v>
      </c>
      <c r="BX209" s="433" t="e">
        <f ca="1">INDEX(INDIRECT(VLOOKUP(LEFT(BO209,7),CLU!$Z$3:$AH$18,4)),GN209,GR209)</f>
        <v>#N/A</v>
      </c>
      <c r="BY209" s="433" t="e">
        <f ca="1">INDEX(INDIRECT(VLOOKUP(LEFT(BO209,7),CLU!$Z$3:$AH$18,9)),((M209-2)*(6-COUNTBLANK(GT209:GY209)))+GJ209)</f>
        <v>#N/A</v>
      </c>
      <c r="BZ209" s="426" t="e">
        <f t="shared" ca="1" si="549"/>
        <v>#N/A</v>
      </c>
      <c r="CA209" s="424" t="e">
        <f t="shared" ca="1" si="550"/>
        <v>#N/A</v>
      </c>
      <c r="CB209" s="429" t="e">
        <f ca="1">INDEX(INDIRECT(VLOOKUP(LEFT(BO209,7),CLU!$Z$3:$AH$18,2)),GN209,GS209)</f>
        <v>#N/A</v>
      </c>
      <c r="CC209" s="342" t="e">
        <f ca="1">INDEX(INDIRECT(VLOOKUP(LEFT(BO209,7),CLU!$Z$3:$AH$18,3)),GN209,GS209)</f>
        <v>#N/A</v>
      </c>
      <c r="CD209" s="342" t="e">
        <f ca="1">INDEX(INDIRECT(VLOOKUP(LEFT(BO209,7),CLU!$Z$3:$AH$18,4)),GN209,GS209)</f>
        <v>#N/A</v>
      </c>
      <c r="CE209" s="426" t="e">
        <f t="shared" ca="1" si="551"/>
        <v>#N/A</v>
      </c>
      <c r="CF209" s="440">
        <f t="shared" si="552"/>
        <v>0</v>
      </c>
      <c r="CG209" s="431" t="e">
        <f ca="1">INDEX(INDIRECT(VLOOKUP(LEFT(BO209,7),CLU!$Z$3:$AH$18,2)),GQ209,GR209)</f>
        <v>#N/A</v>
      </c>
      <c r="CH209" s="431" t="e">
        <f ca="1">INDEX(INDIRECT(VLOOKUP(LEFT(BO209,7),CLU!$Z$3:$AH$18,3)),GQ209,GR209)</f>
        <v>#N/A</v>
      </c>
      <c r="CI209" s="431" t="e">
        <f ca="1">INDEX(INDIRECT(VLOOKUP(LEFT(BO209,7),CLU!$Z$3:$AH$18,4)),GQ209,GR209)</f>
        <v>#N/A</v>
      </c>
      <c r="CJ209" s="448" t="e">
        <f t="shared" ca="1" si="553"/>
        <v>#N/A</v>
      </c>
      <c r="CK209" s="431" t="e">
        <f t="shared" ca="1" si="554"/>
        <v>#N/A</v>
      </c>
      <c r="CL209" s="440" t="e">
        <f t="shared" ca="1" si="555"/>
        <v>#N/A</v>
      </c>
      <c r="CM209" s="431" t="e">
        <f ca="1">INDEX(INDIRECT(VLOOKUP(LEFT(BO209,7),CLU!$Z$3:$AH$18,2)),GQ209,GS209)</f>
        <v>#N/A</v>
      </c>
      <c r="CN209" s="431" t="e">
        <f ca="1">INDEX(INDIRECT(VLOOKUP(LEFT(BO209,7),CLU!$Z$3:$AH$18,3)),GQ209,GS209)</f>
        <v>#N/A</v>
      </c>
      <c r="CO209" s="431" t="e">
        <f ca="1">INDEX(INDIRECT(VLOOKUP(LEFT(BO209,7),CLU!$Z$3:$AH$18,4)),GQ209,GS209)</f>
        <v>#N/A</v>
      </c>
      <c r="CP209" s="431" t="e">
        <f t="shared" ca="1" si="556"/>
        <v>#N/A</v>
      </c>
      <c r="CQ209" s="440">
        <f t="shared" si="557"/>
        <v>0</v>
      </c>
      <c r="CR209" s="51" t="e">
        <f t="shared" ca="1" si="558"/>
        <v>#N/A</v>
      </c>
      <c r="CS209" s="439" t="e">
        <f t="shared" ca="1" si="559"/>
        <v>#VALUE!</v>
      </c>
      <c r="CT209" s="51" t="e">
        <f t="shared" ca="1" si="560"/>
        <v>#VALUE!</v>
      </c>
      <c r="CU209" s="10"/>
      <c r="CV209" s="51" t="e">
        <f t="shared" ca="1" si="457"/>
        <v>#VALUE!</v>
      </c>
      <c r="CW209" s="51">
        <f t="shared" si="561"/>
        <v>0</v>
      </c>
      <c r="CX209" s="439" t="e">
        <f t="shared" ca="1" si="562"/>
        <v>#VALUE!</v>
      </c>
      <c r="CY209" s="51" t="e">
        <f t="shared" ca="1" si="563"/>
        <v>#VALUE!</v>
      </c>
      <c r="CZ209" s="10"/>
      <c r="DA209" s="51" t="e">
        <f t="shared" ca="1" si="564"/>
        <v>#VALUE!</v>
      </c>
      <c r="DB209" s="347" t="e">
        <f ca="1">INDEX(INDIRECT(VLOOKUP(LEFT(BO209,7),CLU!$Z$3:$AI$18,10)),((M209-2)*(6-COUNTBLANK(GT209:GY209)))+GJ209)*LI209</f>
        <v>#N/A</v>
      </c>
      <c r="DC209" s="347" t="str">
        <f>IF(L209&gt;0,((R209/Worksheet!$I$15)/DB209)^2," ")</f>
        <v xml:space="preserve"> </v>
      </c>
      <c r="DD209" s="602" t="str">
        <f t="shared" si="565"/>
        <v xml:space="preserve"> </v>
      </c>
      <c r="DE209" s="347" t="str">
        <f t="shared" si="458"/>
        <v xml:space="preserve"> </v>
      </c>
      <c r="DF209" s="356" t="e">
        <f ca="1">INDEX(INDIRECT(VLOOKUP(LEFT(BO209,7),CLU!$Z$3:$AH$18,8)),((M209-2)*(6-COUNTBLANK(GT209:GY209)))+GJ209)</f>
        <v>#N/A</v>
      </c>
      <c r="DG209" s="347" t="str">
        <f t="shared" si="459"/>
        <v xml:space="preserve"> </v>
      </c>
      <c r="DH209" s="357" t="str">
        <f t="shared" si="460"/>
        <v xml:space="preserve"> </v>
      </c>
      <c r="DI209" s="355" t="str">
        <f t="shared" si="461"/>
        <v xml:space="preserve"> </v>
      </c>
      <c r="DJ209" s="245" t="e">
        <f ca="1">INDEX(INDIRECT(VLOOKUP(LEFT(BO209,7),CLU!$Z$3:$AH$18,5)),GL209,GK209)</f>
        <v>#N/A</v>
      </c>
      <c r="DK209" s="245" t="e">
        <f ca="1">INDEX(INDIRECT(VLOOKUP(LEFT(BO209,7),CLU!$Z$3:$AH$18,6)),GL209,GK209)</f>
        <v>#N/A</v>
      </c>
      <c r="DL209" s="355">
        <f>(Calculation!R209*0.69143*(Calculation!$BQ$8-Calculation!$F$8))*$S$14</f>
        <v>0</v>
      </c>
      <c r="DM209" s="359" t="e">
        <f t="shared" si="566"/>
        <v>#VALUE!</v>
      </c>
      <c r="DN209" s="611">
        <f t="shared" si="567"/>
        <v>0</v>
      </c>
      <c r="DO209" s="359">
        <f t="shared" si="568"/>
        <v>100</v>
      </c>
      <c r="DP209" s="359">
        <f t="shared" si="569"/>
        <v>0</v>
      </c>
      <c r="DQ209" s="360"/>
      <c r="DR209" s="245" t="e">
        <f ca="1">INDEX(INDIRECT(VLOOKUP(LEFT(BO209,7),CLU!$Z$3:$AH$18,7)),M209-1,1)</f>
        <v>#N/A</v>
      </c>
      <c r="DS209" s="245" t="e">
        <f ca="1">INDEX(INDIRECT(VLOOKUP(LEFT(BO209,7),CLU!$Z$3:$AH$18,7)),M209-1,2)</f>
        <v>#N/A</v>
      </c>
      <c r="DT209" s="245" t="e">
        <f ca="1">INDEX(INDIRECT(VLOOKUP(LEFT(BO209,7),CLU!$Z$3:$AH$18,7)),M209-1,3)</f>
        <v>#N/A</v>
      </c>
      <c r="DU209" s="245" t="e">
        <f ca="1">INDEX(INDIRECT(VLOOKUP(LEFT(BO209,7),CLU!$Z$3:$AH$18,7)),M209-1,4)</f>
        <v>#N/A</v>
      </c>
      <c r="DV209" s="361" t="e">
        <f ca="1">INDEX(INDIRECT(VLOOKUP(LEFT(BO209,7),CLU!$Z$3:$AH$18,7)),M209-1,4+LEFT(DZ209,1)*0.5)</f>
        <v>#N/A</v>
      </c>
      <c r="DW209" s="245" t="e">
        <f ca="1">INDEX(INDIRECT(VLOOKUP(LEFT(BO209,7),CLU!$Z$3:$AH$18,7)),M209-1,8)</f>
        <v>#N/A</v>
      </c>
      <c r="DX209" s="361" t="str">
        <f t="shared" si="462"/>
        <v xml:space="preserve"> </v>
      </c>
      <c r="DY209" s="361" t="str">
        <f t="shared" si="463"/>
        <v xml:space="preserve"> </v>
      </c>
      <c r="DZ209" s="361" t="str">
        <f t="shared" si="464"/>
        <v xml:space="preserve"> </v>
      </c>
      <c r="EA209" s="362" t="str">
        <f t="shared" si="465"/>
        <v xml:space="preserve"> </v>
      </c>
      <c r="EB209" s="624" t="str">
        <f t="shared" si="570"/>
        <v xml:space="preserve"> </v>
      </c>
      <c r="EC209" s="361" t="e">
        <f ca="1">INDEX(INDIRECT(VLOOKUP(LEFT(BO209,7),CLU!$Z$3:$AH$18,7)),M209-1,4+LEFT(DZ209,1)*0.5)</f>
        <v>#N/A</v>
      </c>
      <c r="ED209" s="362" t="str">
        <f t="shared" si="466"/>
        <v xml:space="preserve"> </v>
      </c>
      <c r="EE209" s="361" t="str">
        <f t="shared" si="467"/>
        <v xml:space="preserve"> </v>
      </c>
      <c r="EF209" s="362" t="str">
        <f>IF(L209&gt;0,IF(BR209&gt;0,IF(EE209="2P",IF(Calculation!DZ209="2P",IF(Calculation!DS209=13.75,IF(Calculation!DR209=13,Worksheet!$BD$43,IF(Calculation!DR209=37,Worksheet!$BD$44,Worksheet!$BD$45)),IF(Calculation!DS209=10,IF(Calculation!DR209=18,Worksheet!$BD$29,IF(Calculation!DR209=30,Worksheet!$BD$30,IF(Calculation!DR209=42,Worksheet!$BD$31,IF(Calculation!DR209=54,Worksheet!$BD$32,IF(Calculation!DR209=66,Worksheet!$BD$33,IF(Calculation!DR209=78,Worksheet!$BD$34,IF(Calculation!DR209=90,Worksheet!$BD$35,IF(Calculation!DR209=102,Worksheet!$BD$36,Worksheet!$BD$37)))))))),IF(Calculation!DS209=12.5,IF(Calculation!DR209=18,Worksheet!$BD$38,IF(Calculation!DR209=Worksheet!$BD$39,IF(Calculation!DR209=42,Worksheet!$BD$40,IF(Calculation!DR209=54,Worksheet!$BD$41,Worksheet!$BD$42)))),IF(Calculation!DR209=18,Worksheet!$BD$11,IF(Calculation!DR209=30,Worksheet!$BD$12,IF(Calculation!DR209=42,Worksheet!$BD$13,IF(Calculation!DR209=54,Worksheet!$BD$14,IF(Calculation!DR209=66,Worksheet!$BD$15,IF(Calculation!DR209=78,Worksheet!$BD$16,IF(Calculation!DR209=90,Worksheet!$BD$17,IF(Calculation!DR209=102,Worksheet!$BD$18,Worksheet!$BD$19))))))))))),IF(Calculation!DS209=13.75,IF(Calculation!DR209=13,Worksheet!$BD$78,IF(Calculation!DR209=37,Worksheet!$BD$79,Worksheet!$BD$80)),IF(Calculation!DS209=10,IF(Calculation!DR209=18,Worksheet!$BD$64,IF(Calculation!DR209=30,Worksheet!$BD$65,IF(Calculation!DR209=42,Worksheet!$BD$66,IF(Calculation!DR209=54,Worksheet!$BD$68,IF(Calculation!DR209=66,Worksheet!$BD$68,IF(Calculation!DR209=78,Worksheet!$BD$69,IF(Calculation!DR209=90,Worksheet!$BD$70,IF(Calculation!DR209=102,Worksheet!$BD$71,Worksheet!$BD$72)))))))),IF(Calculation!DS209=12.5,IF(Calculation!DR209=18,Worksheet!$BD$73,IF(Calculation!DR209=Worksheet!$BD$74,IF(Calculation!DR209=42,Worksheet!$BD$75,IF(Calculation!DR209=54,Worksheet!$BD$76,Worksheet!$BD$77)))),IF(Calculation!DR209=18,Worksheet!$BD$55,IF(Calculation!DR209=30,Worksheet!$BD$56,IF(Calculation!DR209=42,Worksheet!$BD$57,IF(Calculation!DR209=54,Worksheet!$BD$58,IF(Calculation!DR209=66,Worksheet!$BD$59,IF(Calculation!DR209=78,Worksheet!$BD$60,IF(Calculation!DR209=90,Worksheet!$BD$61,IF(Calculation!DR209=102,Worksheet!$BD$62,Worksheet!$BD$63)))))))))))),5),0)," ")</f>
        <v xml:space="preserve"> </v>
      </c>
      <c r="EG209" s="361" t="str">
        <f t="shared" si="468"/>
        <v xml:space="preserve"> </v>
      </c>
      <c r="EH209" s="361" t="e">
        <f ca="1">INDEX(INDIRECT(VLOOKUP(LEFT(BO209,7),CLU!$Z$3:$AH$18,7)),M209-1,3+LEFT(DZ209,1))</f>
        <v>#N/A</v>
      </c>
      <c r="EI209" s="362" t="str">
        <f t="shared" si="469"/>
        <v xml:space="preserve"> </v>
      </c>
      <c r="EJ209" s="363" t="str">
        <f t="shared" si="470"/>
        <v xml:space="preserve"> </v>
      </c>
      <c r="EK209" s="363" t="str">
        <f t="shared" si="471"/>
        <v xml:space="preserve"> </v>
      </c>
      <c r="EL209" s="363" t="str">
        <f t="shared" si="472"/>
        <v xml:space="preserve"> </v>
      </c>
      <c r="EM209" s="362" t="str">
        <f>IF(L209&gt;0,IF(BR209&gt;0,(Calculation!T209/ED209)^2,0)," ")</f>
        <v xml:space="preserve"> </v>
      </c>
      <c r="EN209" s="362" t="str">
        <f>IF(L209&gt;0,IF(O209="2 Pipe (Cooling)","N/A",IF(BR209&gt;0,(Calculation!U209/EI209)^2,0))," ")</f>
        <v xml:space="preserve"> </v>
      </c>
      <c r="EO209" s="361" t="str">
        <f t="shared" si="473"/>
        <v/>
      </c>
      <c r="EP209" s="361" t="str">
        <f t="shared" si="474"/>
        <v/>
      </c>
      <c r="EQ209" s="361" t="str">
        <f t="shared" si="475"/>
        <v/>
      </c>
      <c r="ER209" s="361" t="str">
        <f t="shared" si="476"/>
        <v/>
      </c>
      <c r="ES209" s="361" t="str">
        <f t="shared" si="477"/>
        <v/>
      </c>
      <c r="ET209" s="361" t="str">
        <f t="shared" si="478"/>
        <v/>
      </c>
      <c r="EU209" s="361" t="str">
        <f t="shared" si="479"/>
        <v/>
      </c>
      <c r="EV209" s="361" t="str">
        <f t="shared" si="480"/>
        <v/>
      </c>
      <c r="EW209" s="361" t="str">
        <f t="shared" si="481"/>
        <v/>
      </c>
      <c r="EX209" s="361" t="str">
        <f t="shared" si="571"/>
        <v>1 slot, 1 way</v>
      </c>
      <c r="EY209" s="361" t="str">
        <f t="shared" si="572"/>
        <v xml:space="preserve"> </v>
      </c>
      <c r="EZ209" s="361" t="str">
        <f t="shared" si="573"/>
        <v xml:space="preserve"> </v>
      </c>
      <c r="FA209" s="361" t="str">
        <f t="shared" si="574"/>
        <v xml:space="preserve"> </v>
      </c>
      <c r="FB209" s="361" t="str">
        <f t="shared" si="575"/>
        <v xml:space="preserve"> </v>
      </c>
      <c r="FC209" s="361"/>
      <c r="FD209" s="361" t="str">
        <f>IF(J209&gt;0,IF(Calculation!R209&lt;=70,4,IF(Calculation!R209&lt;=110,5,IF(Calculation!R209&lt;=160,6,IF(Calculation!R209&lt;=300,8,"10 EO")))),"")</f>
        <v/>
      </c>
      <c r="FE209" s="361" t="str">
        <f t="shared" si="576"/>
        <v/>
      </c>
      <c r="FF209" s="361" t="str">
        <f t="shared" si="577"/>
        <v/>
      </c>
      <c r="FG209" s="361" t="e">
        <f t="shared" si="482"/>
        <v>#N/A</v>
      </c>
      <c r="FH209" s="361">
        <f t="shared" si="483"/>
        <v>0</v>
      </c>
      <c r="FI209" s="361" t="e">
        <f t="shared" si="484"/>
        <v>#DIV/0!</v>
      </c>
      <c r="FJ209" s="361"/>
      <c r="FK209" s="356" t="e">
        <f t="shared" si="485"/>
        <v>#VALUE!</v>
      </c>
      <c r="FL209" s="361"/>
      <c r="FM209" s="361"/>
      <c r="FN209" s="362" t="str">
        <f t="shared" si="578"/>
        <v xml:space="preserve"> </v>
      </c>
      <c r="FO209" s="362" t="str">
        <f t="shared" si="579"/>
        <v xml:space="preserve"> </v>
      </c>
      <c r="FP209" s="362">
        <f t="shared" si="580"/>
        <v>0</v>
      </c>
      <c r="FQ209" s="361">
        <f t="shared" si="486"/>
        <v>0</v>
      </c>
      <c r="FR209" s="362" t="str">
        <f>IF(L209&gt;0,IF(J209="CBAL2",Worksheet!$P$67,IF(J209="CBE2-24",Worksheet!$Q$67,IF(J209="CBAM",Worksheet!$R$67,IF(J209="CBLV",Worksheet!$S$67,IF(J209="CBAB",Worksheet!$U$67,IF(J209="CBAW",Worksheet!$X$67,IF(J209="CBE2-12",Worksheet!$Y$67,IF(J209="CBAL2",Worksheet!$Z$67,"N/A"))))))))," ")</f>
        <v xml:space="preserve"> </v>
      </c>
      <c r="FS209" s="362" t="str">
        <f>IF(L209&gt;0,IF(J209="CBAL2",Worksheet!$P$68,IF(J209="CBE2-24",Worksheet!$Q$68,IF(J209="CBAM",Worksheet!$R$68,IF(J209="CBLV",Worksheet!$S$68,IF(J209="CBAB",Worksheet!$U$68,IF(J209="CBAW",Worksheet!$X$68,IF(J209="CBE2-12",Worksheet!$Y$68,IF(J209="CBAL2",Worksheet!$Z$68,"N/A"))))))))," ")</f>
        <v xml:space="preserve"> </v>
      </c>
      <c r="FT209" s="362" t="str">
        <f>IF(L209&gt;0,IF(J209="CBAL2",Worksheet!$P$69,IF(J209="CBE2-24",Worksheet!$Q$69,IF(J209="CBAM",Worksheet!$R$69,IF(J209="CBLV",Worksheet!$S$69,IF(J209="CBAB",Worksheet!$U$69,IF(J209="CBAW",Worksheet!$X$69,IF(J209="CBE2-12",Worksheet!$Y$69,IF(J209="CBAL2",Worksheet!$Z$69,"N/A"))))))))," ")</f>
        <v xml:space="preserve"> </v>
      </c>
      <c r="FU209" s="361" t="str">
        <f t="shared" si="581"/>
        <v xml:space="preserve"> </v>
      </c>
      <c r="FV209" s="362" t="str">
        <f t="shared" si="582"/>
        <v xml:space="preserve"> </v>
      </c>
      <c r="FW209" s="362" t="str">
        <f t="shared" si="583"/>
        <v xml:space="preserve"> </v>
      </c>
      <c r="FX209" s="362" t="str">
        <f t="shared" si="584"/>
        <v xml:space="preserve"> </v>
      </c>
      <c r="FY209" s="355" t="str">
        <f t="shared" si="585"/>
        <v xml:space="preserve"> </v>
      </c>
      <c r="FZ209" s="361" t="str">
        <f t="shared" si="586"/>
        <v xml:space="preserve"> </v>
      </c>
      <c r="GA209" s="347" t="str">
        <f t="shared" si="587"/>
        <v xml:space="preserve"> </v>
      </c>
      <c r="GB209" s="355" t="str">
        <f t="shared" si="588"/>
        <v xml:space="preserve"> </v>
      </c>
      <c r="GC209" s="328" t="str">
        <f t="shared" si="589"/>
        <v xml:space="preserve"> </v>
      </c>
      <c r="GD209" s="361" t="str">
        <f t="shared" si="590"/>
        <v xml:space="preserve"> </v>
      </c>
      <c r="GE209" s="347" t="str">
        <f t="shared" si="591"/>
        <v xml:space="preserve"> </v>
      </c>
      <c r="GF209" s="361" t="str">
        <f t="shared" si="592"/>
        <v xml:space="preserve"> </v>
      </c>
      <c r="GG209" s="347" t="str">
        <f t="shared" si="593"/>
        <v xml:space="preserve"> </v>
      </c>
      <c r="GH209" s="364">
        <f t="shared" si="487"/>
        <v>0</v>
      </c>
      <c r="GI209" s="362">
        <f t="shared" si="594"/>
        <v>2</v>
      </c>
      <c r="GJ209" s="433" t="e">
        <f>IF(6-COUNTBLANK(GT209:GY209)=4,MATCH(MID(BO209,9,3),CLU!$H$16:$K$16),MATCH(MID(BO209,9,3),CLU!$H$13:$M$13))</f>
        <v>#N/A</v>
      </c>
      <c r="GK209" s="433" t="e">
        <f>HLOOKUP(VALUE(BP209),CLU!$H$9:$M$10,2)</f>
        <v>#VALUE!</v>
      </c>
      <c r="GL209" s="433" t="e">
        <f ca="1">MATCH(BU209,CLU!$H$2:$V$2,1)</f>
        <v>#VALUE!</v>
      </c>
      <c r="GM209" s="433" t="e">
        <f t="shared" ca="1" si="595"/>
        <v>#VALUE!</v>
      </c>
      <c r="GN209" s="433" t="e">
        <f t="shared" ca="1" si="596"/>
        <v>#VALUE!</v>
      </c>
      <c r="GO209" s="433" t="e">
        <f t="shared" ca="1" si="597"/>
        <v>#VALUE!</v>
      </c>
      <c r="GP209" s="433" t="e">
        <f t="shared" ca="1" si="598"/>
        <v>#VALUE!</v>
      </c>
      <c r="GQ209" s="433" t="e">
        <f t="shared" ca="1" si="599"/>
        <v>#VALUE!</v>
      </c>
      <c r="GR209" s="433" t="e">
        <f ca="1">MATCH(T209,INDIRECT(VLOOKUP(CONCATENATE(LEFT(BO209,7),"-",MID(BO209,13,1)),CLU!$P$3:$Q$16,2)),1)</f>
        <v>#N/A</v>
      </c>
      <c r="GS209" s="433" t="e">
        <f ca="1">MATCH(U209,INDIRECT(VLOOKUP(CONCATENATE(LEFT(BO209,7),"-",MID(BO209,13,1)),CLU!$P$3:$Q$16,2)),1)</f>
        <v>#N/A</v>
      </c>
      <c r="GT209" s="347" t="s">
        <v>512</v>
      </c>
      <c r="GU209" s="97" t="s">
        <v>513</v>
      </c>
      <c r="GV209" s="97" t="str">
        <f t="shared" si="600"/>
        <v>M23</v>
      </c>
      <c r="GW209" s="97" t="str">
        <f t="shared" si="601"/>
        <v>M31</v>
      </c>
      <c r="GX209" s="97" t="str">
        <f t="shared" si="602"/>
        <v/>
      </c>
      <c r="GY209" s="97" t="str">
        <f t="shared" si="603"/>
        <v/>
      </c>
      <c r="GZ209" s="481"/>
      <c r="HA209" s="288"/>
      <c r="HB209" s="240"/>
      <c r="HC209" s="240"/>
      <c r="HD209" s="240"/>
      <c r="HE209" s="240"/>
      <c r="HF209" s="240"/>
      <c r="HG209" s="240"/>
      <c r="HH209" s="240"/>
      <c r="HI209" s="240"/>
      <c r="HJ209" s="240"/>
      <c r="HK209" s="240"/>
      <c r="HL209" s="240"/>
      <c r="HM209" s="240"/>
      <c r="HN209" s="240"/>
      <c r="HO209" s="240"/>
      <c r="HP209" s="240"/>
      <c r="HQ209" s="240"/>
      <c r="HR209" s="240"/>
      <c r="HS209" s="240"/>
      <c r="HT209" s="240"/>
      <c r="HU209" s="240"/>
      <c r="HV209" s="245"/>
      <c r="HW209" s="245" t="b">
        <v>1</v>
      </c>
      <c r="HX209" s="245" t="str">
        <f t="shared" si="488"/>
        <v/>
      </c>
      <c r="HY209" s="245" t="e">
        <f t="shared" si="489"/>
        <v>#DIV/0!</v>
      </c>
      <c r="HZ209" s="245" t="e">
        <f t="shared" si="490"/>
        <v>#DIV/0!</v>
      </c>
      <c r="IA209" s="245">
        <f t="shared" si="491"/>
        <v>0</v>
      </c>
      <c r="IB209" s="245"/>
      <c r="IC209" t="b">
        <f t="shared" si="492"/>
        <v>1</v>
      </c>
      <c r="ID209" s="245" t="b">
        <f t="shared" si="493"/>
        <v>1</v>
      </c>
      <c r="IE209" s="245" t="b">
        <f t="shared" si="494"/>
        <v>1</v>
      </c>
      <c r="IF209" s="245" t="b">
        <f t="shared" si="495"/>
        <v>0</v>
      </c>
      <c r="IG209" s="245" t="b">
        <f t="shared" si="496"/>
        <v>1</v>
      </c>
      <c r="IH209" s="245" t="b">
        <f t="shared" si="497"/>
        <v>1</v>
      </c>
      <c r="II209" s="245">
        <f t="shared" si="604"/>
        <v>0</v>
      </c>
      <c r="IJ209" s="245" t="e">
        <f t="shared" si="498"/>
        <v>#VALUE!</v>
      </c>
      <c r="IK209" s="245" t="e">
        <f t="shared" si="499"/>
        <v>#VALUE!</v>
      </c>
      <c r="IL209" s="245"/>
      <c r="IM209" s="245" t="e">
        <f t="shared" si="605"/>
        <v>#N/A</v>
      </c>
      <c r="IN209" s="245" t="e">
        <f t="shared" si="606"/>
        <v>#N/A</v>
      </c>
      <c r="IO209" s="245"/>
      <c r="IP209" s="245"/>
      <c r="IQ209" s="245" t="str">
        <f t="shared" si="500"/>
        <v/>
      </c>
      <c r="IR209" s="245" t="str">
        <f>IF(J209="","",VLOOKUP(J209,Worksheet!$R$4:$T$14,2))</f>
        <v/>
      </c>
      <c r="IS209" s="245"/>
      <c r="IT209" s="245">
        <f t="shared" si="501"/>
        <v>0</v>
      </c>
      <c r="IU209" s="245">
        <f t="shared" si="502"/>
        <v>0</v>
      </c>
      <c r="IV209" s="245">
        <f t="shared" si="503"/>
        <v>0</v>
      </c>
      <c r="IW209" s="245">
        <f t="shared" si="504"/>
        <v>0</v>
      </c>
      <c r="IX209" s="245">
        <f t="shared" si="607"/>
        <v>0</v>
      </c>
      <c r="IY209" s="245">
        <f t="shared" si="505"/>
        <v>0</v>
      </c>
      <c r="IZ209" s="245">
        <f t="shared" si="506"/>
        <v>0</v>
      </c>
      <c r="JA209">
        <f t="shared" si="507"/>
        <v>0</v>
      </c>
      <c r="JB209">
        <f t="shared" si="608"/>
        <v>0</v>
      </c>
      <c r="JC209">
        <f t="shared" si="508"/>
        <v>0</v>
      </c>
      <c r="JD209">
        <f t="shared" si="509"/>
        <v>0</v>
      </c>
      <c r="JE209">
        <f t="shared" si="510"/>
        <v>0</v>
      </c>
      <c r="JF209">
        <f t="shared" si="511"/>
        <v>0</v>
      </c>
      <c r="JG209">
        <f t="shared" si="512"/>
        <v>0</v>
      </c>
      <c r="JH209">
        <f t="shared" si="513"/>
        <v>0</v>
      </c>
      <c r="JI209">
        <f t="shared" si="514"/>
        <v>0</v>
      </c>
      <c r="JJ209" s="447">
        <f t="shared" si="515"/>
        <v>0</v>
      </c>
      <c r="JK209" s="447">
        <f t="shared" si="516"/>
        <v>0</v>
      </c>
      <c r="JL209">
        <f t="shared" si="517"/>
        <v>0</v>
      </c>
      <c r="JM209" s="245" t="str">
        <f>IFERROR(VLOOKUP(MATCH(BN209,#REF!,0),#REF!,7),"")</f>
        <v/>
      </c>
      <c r="JN209" t="e">
        <f>HLOOKUP(LEFT(BO209,7),Discharge_Area,MATCH(JO209,LookUps!$B$130:$B$149,1)+2)</f>
        <v>#N/A</v>
      </c>
      <c r="JO209" t="str">
        <f t="shared" si="518"/>
        <v>- S</v>
      </c>
      <c r="JP209" t="e">
        <f>HLOOKUP(LEFT(BO209,7),Discharge_Area,MATCH(JO209,LookUps!$B$130:$B$149,1)+2)</f>
        <v>#N/A</v>
      </c>
      <c r="JQ209" t="e">
        <f t="shared" si="519"/>
        <v>#N/A</v>
      </c>
      <c r="JR209" t="e">
        <f t="shared" si="520"/>
        <v>#N/A</v>
      </c>
      <c r="JS209" t="e">
        <f t="shared" si="521"/>
        <v>#N/A</v>
      </c>
      <c r="JT209" s="532" t="str">
        <f t="shared" si="522"/>
        <v xml:space="preserve"> </v>
      </c>
      <c r="JU209" s="532" t="str">
        <f t="shared" si="523"/>
        <v xml:space="preserve"> </v>
      </c>
      <c r="JV209" s="533" t="str">
        <f t="shared" si="524"/>
        <v xml:space="preserve"> </v>
      </c>
      <c r="JW209" s="534">
        <f t="shared" si="525"/>
        <v>0</v>
      </c>
      <c r="JX209" s="535" t="str">
        <f t="shared" si="609"/>
        <v xml:space="preserve"> </v>
      </c>
      <c r="JY209" s="535" t="str">
        <f t="shared" si="610"/>
        <v xml:space="preserve"> </v>
      </c>
      <c r="JZ209" s="535" t="str">
        <f t="shared" si="611"/>
        <v xml:space="preserve"> </v>
      </c>
      <c r="KA209" s="536" t="str">
        <f t="shared" si="526"/>
        <v xml:space="preserve"> </v>
      </c>
      <c r="KB209" s="535" t="e">
        <f t="shared" si="612"/>
        <v>#VALUE!</v>
      </c>
      <c r="KC209" s="535" t="str">
        <f t="shared" si="527"/>
        <v/>
      </c>
      <c r="KD209" s="537" t="str">
        <f t="shared" si="613"/>
        <v xml:space="preserve"> </v>
      </c>
      <c r="KE209" s="537" t="str">
        <f t="shared" si="614"/>
        <v xml:space="preserve"> </v>
      </c>
      <c r="KF209" s="534">
        <f t="shared" si="528"/>
        <v>0</v>
      </c>
      <c r="KG209" s="535" t="str">
        <f t="shared" si="529"/>
        <v xml:space="preserve"> </v>
      </c>
      <c r="KH209" s="535" t="str">
        <f t="shared" si="530"/>
        <v xml:space="preserve"> </v>
      </c>
      <c r="KI209" s="535" t="str">
        <f t="shared" si="531"/>
        <v xml:space="preserve"> </v>
      </c>
      <c r="KJ209" s="536" t="str">
        <f t="shared" si="532"/>
        <v xml:space="preserve"> </v>
      </c>
      <c r="KK209" s="535" t="str">
        <f t="shared" si="615"/>
        <v xml:space="preserve"> </v>
      </c>
      <c r="KL209" s="535" t="str">
        <f t="shared" si="616"/>
        <v xml:space="preserve"> </v>
      </c>
      <c r="KM209" s="537" t="str">
        <f t="shared" si="533"/>
        <v xml:space="preserve"> </v>
      </c>
      <c r="KN209" s="537" t="str">
        <f t="shared" si="617"/>
        <v xml:space="preserve"> </v>
      </c>
      <c r="KP209">
        <f t="shared" si="534"/>
        <v>0</v>
      </c>
      <c r="LA209" t="e">
        <f t="shared" si="535"/>
        <v>#VALUE!</v>
      </c>
      <c r="LB209" t="e">
        <f t="shared" si="536"/>
        <v>#VALUE!</v>
      </c>
      <c r="LC209" t="e">
        <f t="shared" si="537"/>
        <v>#VALUE!</v>
      </c>
      <c r="LD209" t="e">
        <f t="shared" si="538"/>
        <v>#VALUE!</v>
      </c>
      <c r="LE209" t="e">
        <f t="shared" si="618"/>
        <v>#VALUE!</v>
      </c>
      <c r="LF209">
        <f t="shared" si="539"/>
        <v>0</v>
      </c>
      <c r="LG209" t="e">
        <f t="shared" si="619"/>
        <v>#VALUE!</v>
      </c>
      <c r="LH209" t="str">
        <f t="shared" si="540"/>
        <v xml:space="preserve"> </v>
      </c>
      <c r="LI209">
        <f t="shared" si="620"/>
        <v>1</v>
      </c>
    </row>
    <row r="210" spans="2:321" ht="15" customHeight="1">
      <c r="B210" s="311"/>
      <c r="C210" s="311"/>
      <c r="D210" s="312"/>
      <c r="E210" s="311"/>
      <c r="F210" s="312"/>
      <c r="G210" s="311"/>
      <c r="H210" s="311"/>
      <c r="I210" s="232"/>
      <c r="J210" s="311"/>
      <c r="K210" s="305" t="str">
        <f t="shared" si="541"/>
        <v/>
      </c>
      <c r="L210" s="313"/>
      <c r="M210" s="312"/>
      <c r="N210" s="311"/>
      <c r="O210" s="312"/>
      <c r="P210" s="311"/>
      <c r="Q210" s="305" t="str">
        <f t="shared" si="542"/>
        <v/>
      </c>
      <c r="R210" s="314"/>
      <c r="S210" s="450" t="str">
        <f t="shared" si="425"/>
        <v/>
      </c>
      <c r="T210" s="315"/>
      <c r="U210" s="315"/>
      <c r="W210" s="149" t="str">
        <f t="shared" si="426"/>
        <v xml:space="preserve"> </v>
      </c>
      <c r="X210" s="243" t="str">
        <f t="shared" si="427"/>
        <v xml:space="preserve"> </v>
      </c>
      <c r="Y210" s="150" t="str">
        <f t="shared" si="428"/>
        <v/>
      </c>
      <c r="Z210" s="149" t="str">
        <f t="shared" si="429"/>
        <v xml:space="preserve"> </v>
      </c>
      <c r="AA210" s="98" t="str">
        <f t="shared" si="430"/>
        <v xml:space="preserve"> </v>
      </c>
      <c r="AB210" s="153" t="str">
        <f t="shared" si="431"/>
        <v xml:space="preserve"> </v>
      </c>
      <c r="AC210" s="153" t="str">
        <f t="shared" si="432"/>
        <v xml:space="preserve"> </v>
      </c>
      <c r="AD210" s="148" t="str">
        <f t="shared" si="433"/>
        <v/>
      </c>
      <c r="AE210" s="149" t="str">
        <f t="shared" si="434"/>
        <v/>
      </c>
      <c r="AF210" s="151" t="str">
        <f t="shared" si="435"/>
        <v xml:space="preserve"> </v>
      </c>
      <c r="AG210" s="153" t="str">
        <f t="shared" si="436"/>
        <v xml:space="preserve"> </v>
      </c>
      <c r="AH210" s="98" t="str">
        <f t="shared" si="437"/>
        <v xml:space="preserve"> </v>
      </c>
      <c r="AI210" s="149" t="str">
        <f t="shared" si="438"/>
        <v xml:space="preserve"> </v>
      </c>
      <c r="AK210" s="144" t="str">
        <f t="shared" si="439"/>
        <v xml:space="preserve"> </v>
      </c>
      <c r="AL210" s="144"/>
      <c r="AM210" s="243" t="str">
        <f t="shared" si="440"/>
        <v xml:space="preserve"> </v>
      </c>
      <c r="AN210" s="149" t="str">
        <f t="shared" si="543"/>
        <v xml:space="preserve"> </v>
      </c>
      <c r="AO210" s="144" t="str">
        <f>IF(JB210&gt;0,IF(GI210=10,-R210*1.085*(Calculation!$F$6-Calculation!$F$13)*$S$14," "),"")</f>
        <v/>
      </c>
      <c r="AP210" s="144" t="str">
        <f t="shared" si="441"/>
        <v/>
      </c>
      <c r="AQ210" s="56" t="str">
        <f t="shared" si="442"/>
        <v/>
      </c>
      <c r="AR210" s="144" t="str">
        <f t="shared" si="443"/>
        <v/>
      </c>
      <c r="AS210" s="176" t="str">
        <f t="shared" si="444"/>
        <v/>
      </c>
      <c r="AT210" s="176" t="str">
        <f t="shared" si="544"/>
        <v xml:space="preserve"> </v>
      </c>
      <c r="AU210" s="176" t="str">
        <f t="shared" si="445"/>
        <v/>
      </c>
      <c r="AV210" s="177" t="str">
        <f t="shared" si="446"/>
        <v xml:space="preserve"> </v>
      </c>
      <c r="AW210" s="144" t="str">
        <f t="shared" si="447"/>
        <v xml:space="preserve"> </v>
      </c>
      <c r="AX210" s="144" t="str">
        <f t="shared" si="448"/>
        <v xml:space="preserve"> </v>
      </c>
      <c r="AY210" s="152" t="str">
        <f t="shared" si="449"/>
        <v xml:space="preserve"> </v>
      </c>
      <c r="AZ210" s="246" t="str">
        <f t="shared" si="450"/>
        <v/>
      </c>
      <c r="BA210" s="176" t="str">
        <f t="shared" si="451"/>
        <v xml:space="preserve"> </v>
      </c>
      <c r="BB210" s="176" t="str">
        <f t="shared" si="452"/>
        <v xml:space="preserve"> </v>
      </c>
      <c r="BC210" s="195"/>
      <c r="BD210" s="316"/>
      <c r="BE210" s="317"/>
      <c r="BF210" s="318"/>
      <c r="BG210" s="318"/>
      <c r="BH210" s="144" t="str">
        <f t="shared" si="621"/>
        <v xml:space="preserve"> </v>
      </c>
      <c r="BI210" s="176" t="str">
        <f t="shared" si="453"/>
        <v/>
      </c>
      <c r="BJ210" s="144" t="str">
        <f t="shared" si="622"/>
        <v/>
      </c>
      <c r="BK210" s="246" t="str">
        <f t="shared" si="454"/>
        <v/>
      </c>
      <c r="BL210" s="144" t="str">
        <f t="shared" si="623"/>
        <v/>
      </c>
      <c r="BM210" s="246" t="str">
        <f t="shared" si="455"/>
        <v/>
      </c>
      <c r="BN210" s="337" t="str">
        <f t="shared" si="545"/>
        <v/>
      </c>
      <c r="BO210" s="371" t="str">
        <f t="shared" si="546"/>
        <v/>
      </c>
      <c r="BP210" s="328" t="str">
        <f t="shared" si="624"/>
        <v xml:space="preserve"> </v>
      </c>
      <c r="BQ210" s="347" t="str">
        <f t="shared" si="547"/>
        <v xml:space="preserve"> </v>
      </c>
      <c r="BR210" s="353" t="str">
        <f t="shared" si="548"/>
        <v xml:space="preserve"> </v>
      </c>
      <c r="BS210" s="626" t="str">
        <f>IF(L210&gt;0,IF(Calculation!P210="M13",BR210*3.1416*(0.134^2)/(4*144),IF(Calculation!P210="M17",BR210*3.1416*(0.165^2)/(4*144),IF(Calculation!P210="M20",BR210*3.1416*(0.198^2)/(4*144),IF(Calculation!P210="M23",BR210*3.1416*(0.228^2)/(4*144),IF(Calculation!P210="M27",BR210*3.1416*(0.269^2)/(4*144),BR210*3.1416*(0.307^2)/(4*144))))))," ")</f>
        <v xml:space="preserve"> </v>
      </c>
      <c r="BT210" s="353" t="str">
        <f>IF(L210&gt;0,IF(BS210&gt;0,R210/Calculation!BS210,0)," ")</f>
        <v xml:space="preserve"> </v>
      </c>
      <c r="BU210" s="438" t="e">
        <f t="shared" ca="1" si="456"/>
        <v>#VALUE!</v>
      </c>
      <c r="BV210" s="449" t="e">
        <f ca="1">INDEX(INDIRECT(VLOOKUP(LEFT(BO210,7),CLU!$Z$3:$AH$18,2)),GN210,GR210)</f>
        <v>#N/A</v>
      </c>
      <c r="BW210" s="433" t="e">
        <f ca="1">INDEX(INDIRECT(VLOOKUP(LEFT(BO210,7),CLU!$Z$3:$AH$18,3)),GN210,GR210)</f>
        <v>#N/A</v>
      </c>
      <c r="BX210" s="433" t="e">
        <f ca="1">INDEX(INDIRECT(VLOOKUP(LEFT(BO210,7),CLU!$Z$3:$AH$18,4)),GN210,GR210)</f>
        <v>#N/A</v>
      </c>
      <c r="BY210" s="433" t="e">
        <f ca="1">INDEX(INDIRECT(VLOOKUP(LEFT(BO210,7),CLU!$Z$3:$AH$18,9)),((M210-2)*(6-COUNTBLANK(GT210:GY210)))+GJ210)</f>
        <v>#N/A</v>
      </c>
      <c r="BZ210" s="426" t="e">
        <f t="shared" ca="1" si="549"/>
        <v>#N/A</v>
      </c>
      <c r="CA210" s="424" t="e">
        <f t="shared" ca="1" si="550"/>
        <v>#N/A</v>
      </c>
      <c r="CB210" s="429" t="e">
        <f ca="1">INDEX(INDIRECT(VLOOKUP(LEFT(BO210,7),CLU!$Z$3:$AH$18,2)),GN210,GS210)</f>
        <v>#N/A</v>
      </c>
      <c r="CC210" s="342" t="e">
        <f ca="1">INDEX(INDIRECT(VLOOKUP(LEFT(BO210,7),CLU!$Z$3:$AH$18,3)),GN210,GS210)</f>
        <v>#N/A</v>
      </c>
      <c r="CD210" s="342" t="e">
        <f ca="1">INDEX(INDIRECT(VLOOKUP(LEFT(BO210,7),CLU!$Z$3:$AH$18,4)),GN210,GS210)</f>
        <v>#N/A</v>
      </c>
      <c r="CE210" s="426" t="e">
        <f t="shared" ca="1" si="551"/>
        <v>#N/A</v>
      </c>
      <c r="CF210" s="440">
        <f t="shared" si="552"/>
        <v>0</v>
      </c>
      <c r="CG210" s="431" t="e">
        <f ca="1">INDEX(INDIRECT(VLOOKUP(LEFT(BO210,7),CLU!$Z$3:$AH$18,2)),GQ210,GR210)</f>
        <v>#N/A</v>
      </c>
      <c r="CH210" s="431" t="e">
        <f ca="1">INDEX(INDIRECT(VLOOKUP(LEFT(BO210,7),CLU!$Z$3:$AH$18,3)),GQ210,GR210)</f>
        <v>#N/A</v>
      </c>
      <c r="CI210" s="431" t="e">
        <f ca="1">INDEX(INDIRECT(VLOOKUP(LEFT(BO210,7),CLU!$Z$3:$AH$18,4)),GQ210,GR210)</f>
        <v>#N/A</v>
      </c>
      <c r="CJ210" s="448" t="e">
        <f t="shared" ca="1" si="553"/>
        <v>#N/A</v>
      </c>
      <c r="CK210" s="431" t="e">
        <f t="shared" ca="1" si="554"/>
        <v>#N/A</v>
      </c>
      <c r="CL210" s="440" t="e">
        <f t="shared" ca="1" si="555"/>
        <v>#N/A</v>
      </c>
      <c r="CM210" s="431" t="e">
        <f ca="1">INDEX(INDIRECT(VLOOKUP(LEFT(BO210,7),CLU!$Z$3:$AH$18,2)),GQ210,GS210)</f>
        <v>#N/A</v>
      </c>
      <c r="CN210" s="431" t="e">
        <f ca="1">INDEX(INDIRECT(VLOOKUP(LEFT(BO210,7),CLU!$Z$3:$AH$18,3)),GQ210,GS210)</f>
        <v>#N/A</v>
      </c>
      <c r="CO210" s="431" t="e">
        <f ca="1">INDEX(INDIRECT(VLOOKUP(LEFT(BO210,7),CLU!$Z$3:$AH$18,4)),GQ210,GS210)</f>
        <v>#N/A</v>
      </c>
      <c r="CP210" s="431" t="e">
        <f t="shared" ca="1" si="556"/>
        <v>#N/A</v>
      </c>
      <c r="CQ210" s="440">
        <f t="shared" si="557"/>
        <v>0</v>
      </c>
      <c r="CR210" s="51" t="e">
        <f t="shared" ca="1" si="558"/>
        <v>#N/A</v>
      </c>
      <c r="CS210" s="439" t="e">
        <f t="shared" ca="1" si="559"/>
        <v>#VALUE!</v>
      </c>
      <c r="CT210" s="51" t="e">
        <f t="shared" ca="1" si="560"/>
        <v>#VALUE!</v>
      </c>
      <c r="CU210" s="10"/>
      <c r="CV210" s="51" t="e">
        <f t="shared" ca="1" si="457"/>
        <v>#VALUE!</v>
      </c>
      <c r="CW210" s="51">
        <f t="shared" si="561"/>
        <v>0</v>
      </c>
      <c r="CX210" s="439" t="e">
        <f t="shared" ca="1" si="562"/>
        <v>#VALUE!</v>
      </c>
      <c r="CY210" s="51" t="e">
        <f t="shared" ca="1" si="563"/>
        <v>#VALUE!</v>
      </c>
      <c r="CZ210" s="10"/>
      <c r="DA210" s="51" t="e">
        <f t="shared" ca="1" si="564"/>
        <v>#VALUE!</v>
      </c>
      <c r="DB210" s="347" t="e">
        <f ca="1">INDEX(INDIRECT(VLOOKUP(LEFT(BO210,7),CLU!$Z$3:$AI$18,10)),((M210-2)*(6-COUNTBLANK(GT210:GY210)))+GJ210)*LI210</f>
        <v>#N/A</v>
      </c>
      <c r="DC210" s="347" t="str">
        <f>IF(L210&gt;0,((R210/Worksheet!$I$15)/DB210)^2," ")</f>
        <v xml:space="preserve"> </v>
      </c>
      <c r="DD210" s="602" t="str">
        <f t="shared" si="565"/>
        <v xml:space="preserve"> </v>
      </c>
      <c r="DE210" s="347" t="str">
        <f t="shared" si="458"/>
        <v xml:space="preserve"> </v>
      </c>
      <c r="DF210" s="356" t="e">
        <f ca="1">INDEX(INDIRECT(VLOOKUP(LEFT(BO210,7),CLU!$Z$3:$AH$18,8)),((M210-2)*(6-COUNTBLANK(GT210:GY210)))+GJ210)</f>
        <v>#N/A</v>
      </c>
      <c r="DG210" s="347" t="str">
        <f t="shared" si="459"/>
        <v xml:space="preserve"> </v>
      </c>
      <c r="DH210" s="357" t="str">
        <f t="shared" si="460"/>
        <v xml:space="preserve"> </v>
      </c>
      <c r="DI210" s="355" t="str">
        <f t="shared" si="461"/>
        <v xml:space="preserve"> </v>
      </c>
      <c r="DJ210" s="245" t="e">
        <f ca="1">INDEX(INDIRECT(VLOOKUP(LEFT(BO210,7),CLU!$Z$3:$AH$18,5)),GL210,GK210)</f>
        <v>#N/A</v>
      </c>
      <c r="DK210" s="245" t="e">
        <f ca="1">INDEX(INDIRECT(VLOOKUP(LEFT(BO210,7),CLU!$Z$3:$AH$18,6)),GL210,GK210)</f>
        <v>#N/A</v>
      </c>
      <c r="DL210" s="355">
        <f>(Calculation!R210*0.69143*(Calculation!$BQ$8-Calculation!$F$8))*$S$14</f>
        <v>0</v>
      </c>
      <c r="DM210" s="359" t="e">
        <f t="shared" si="566"/>
        <v>#VALUE!</v>
      </c>
      <c r="DN210" s="611">
        <f t="shared" si="567"/>
        <v>0</v>
      </c>
      <c r="DO210" s="359">
        <f t="shared" si="568"/>
        <v>100</v>
      </c>
      <c r="DP210" s="359">
        <f t="shared" si="569"/>
        <v>0</v>
      </c>
      <c r="DQ210" s="360"/>
      <c r="DR210" s="245" t="e">
        <f ca="1">INDEX(INDIRECT(VLOOKUP(LEFT(BO210,7),CLU!$Z$3:$AH$18,7)),M210-1,1)</f>
        <v>#N/A</v>
      </c>
      <c r="DS210" s="245" t="e">
        <f ca="1">INDEX(INDIRECT(VLOOKUP(LEFT(BO210,7),CLU!$Z$3:$AH$18,7)),M210-1,2)</f>
        <v>#N/A</v>
      </c>
      <c r="DT210" s="245" t="e">
        <f ca="1">INDEX(INDIRECT(VLOOKUP(LEFT(BO210,7),CLU!$Z$3:$AH$18,7)),M210-1,3)</f>
        <v>#N/A</v>
      </c>
      <c r="DU210" s="245" t="e">
        <f ca="1">INDEX(INDIRECT(VLOOKUP(LEFT(BO210,7),CLU!$Z$3:$AH$18,7)),M210-1,4)</f>
        <v>#N/A</v>
      </c>
      <c r="DV210" s="361" t="e">
        <f ca="1">INDEX(INDIRECT(VLOOKUP(LEFT(BO210,7),CLU!$Z$3:$AH$18,7)),M210-1,4+LEFT(DZ210,1)*0.5)</f>
        <v>#N/A</v>
      </c>
      <c r="DW210" s="245" t="e">
        <f ca="1">INDEX(INDIRECT(VLOOKUP(LEFT(BO210,7),CLU!$Z$3:$AH$18,7)),M210-1,8)</f>
        <v>#N/A</v>
      </c>
      <c r="DX210" s="361" t="str">
        <f t="shared" si="462"/>
        <v xml:space="preserve"> </v>
      </c>
      <c r="DY210" s="361" t="str">
        <f t="shared" si="463"/>
        <v xml:space="preserve"> </v>
      </c>
      <c r="DZ210" s="361" t="str">
        <f t="shared" si="464"/>
        <v xml:space="preserve"> </v>
      </c>
      <c r="EA210" s="362" t="str">
        <f t="shared" si="465"/>
        <v xml:space="preserve"> </v>
      </c>
      <c r="EB210" s="624" t="str">
        <f t="shared" si="570"/>
        <v xml:space="preserve"> </v>
      </c>
      <c r="EC210" s="361" t="e">
        <f ca="1">INDEX(INDIRECT(VLOOKUP(LEFT(BO210,7),CLU!$Z$3:$AH$18,7)),M210-1,4+LEFT(DZ210,1)*0.5)</f>
        <v>#N/A</v>
      </c>
      <c r="ED210" s="362" t="str">
        <f t="shared" si="466"/>
        <v xml:space="preserve"> </v>
      </c>
      <c r="EE210" s="361" t="str">
        <f t="shared" si="467"/>
        <v xml:space="preserve"> </v>
      </c>
      <c r="EF210" s="362" t="str">
        <f>IF(L210&gt;0,IF(BR210&gt;0,IF(EE210="2P",IF(Calculation!DZ210="2P",IF(Calculation!DS210=13.75,IF(Calculation!DR210=13,Worksheet!$BD$43,IF(Calculation!DR210=37,Worksheet!$BD$44,Worksheet!$BD$45)),IF(Calculation!DS210=10,IF(Calculation!DR210=18,Worksheet!$BD$29,IF(Calculation!DR210=30,Worksheet!$BD$30,IF(Calculation!DR210=42,Worksheet!$BD$31,IF(Calculation!DR210=54,Worksheet!$BD$32,IF(Calculation!DR210=66,Worksheet!$BD$33,IF(Calculation!DR210=78,Worksheet!$BD$34,IF(Calculation!DR210=90,Worksheet!$BD$35,IF(Calculation!DR210=102,Worksheet!$BD$36,Worksheet!$BD$37)))))))),IF(Calculation!DS210=12.5,IF(Calculation!DR210=18,Worksheet!$BD$38,IF(Calculation!DR210=Worksheet!$BD$39,IF(Calculation!DR210=42,Worksheet!$BD$40,IF(Calculation!DR210=54,Worksheet!$BD$41,Worksheet!$BD$42)))),IF(Calculation!DR210=18,Worksheet!$BD$11,IF(Calculation!DR210=30,Worksheet!$BD$12,IF(Calculation!DR210=42,Worksheet!$BD$13,IF(Calculation!DR210=54,Worksheet!$BD$14,IF(Calculation!DR210=66,Worksheet!$BD$15,IF(Calculation!DR210=78,Worksheet!$BD$16,IF(Calculation!DR210=90,Worksheet!$BD$17,IF(Calculation!DR210=102,Worksheet!$BD$18,Worksheet!$BD$19))))))))))),IF(Calculation!DS210=13.75,IF(Calculation!DR210=13,Worksheet!$BD$78,IF(Calculation!DR210=37,Worksheet!$BD$79,Worksheet!$BD$80)),IF(Calculation!DS210=10,IF(Calculation!DR210=18,Worksheet!$BD$64,IF(Calculation!DR210=30,Worksheet!$BD$65,IF(Calculation!DR210=42,Worksheet!$BD$66,IF(Calculation!DR210=54,Worksheet!$BD$68,IF(Calculation!DR210=66,Worksheet!$BD$68,IF(Calculation!DR210=78,Worksheet!$BD$69,IF(Calculation!DR210=90,Worksheet!$BD$70,IF(Calculation!DR210=102,Worksheet!$BD$71,Worksheet!$BD$72)))))))),IF(Calculation!DS210=12.5,IF(Calculation!DR210=18,Worksheet!$BD$73,IF(Calculation!DR210=Worksheet!$BD$74,IF(Calculation!DR210=42,Worksheet!$BD$75,IF(Calculation!DR210=54,Worksheet!$BD$76,Worksheet!$BD$77)))),IF(Calculation!DR210=18,Worksheet!$BD$55,IF(Calculation!DR210=30,Worksheet!$BD$56,IF(Calculation!DR210=42,Worksheet!$BD$57,IF(Calculation!DR210=54,Worksheet!$BD$58,IF(Calculation!DR210=66,Worksheet!$BD$59,IF(Calculation!DR210=78,Worksheet!$BD$60,IF(Calculation!DR210=90,Worksheet!$BD$61,IF(Calculation!DR210=102,Worksheet!$BD$62,Worksheet!$BD$63)))))))))))),5),0)," ")</f>
        <v xml:space="preserve"> </v>
      </c>
      <c r="EG210" s="361" t="str">
        <f t="shared" si="468"/>
        <v xml:space="preserve"> </v>
      </c>
      <c r="EH210" s="361" t="e">
        <f ca="1">INDEX(INDIRECT(VLOOKUP(LEFT(BO210,7),CLU!$Z$3:$AH$18,7)),M210-1,3+LEFT(DZ210,1))</f>
        <v>#N/A</v>
      </c>
      <c r="EI210" s="362" t="str">
        <f t="shared" si="469"/>
        <v xml:space="preserve"> </v>
      </c>
      <c r="EJ210" s="363" t="str">
        <f t="shared" si="470"/>
        <v xml:space="preserve"> </v>
      </c>
      <c r="EK210" s="363" t="str">
        <f t="shared" si="471"/>
        <v xml:space="preserve"> </v>
      </c>
      <c r="EL210" s="363" t="str">
        <f t="shared" si="472"/>
        <v xml:space="preserve"> </v>
      </c>
      <c r="EM210" s="362" t="str">
        <f>IF(L210&gt;0,IF(BR210&gt;0,(Calculation!T210/ED210)^2,0)," ")</f>
        <v xml:space="preserve"> </v>
      </c>
      <c r="EN210" s="362" t="str">
        <f>IF(L210&gt;0,IF(O210="2 Pipe (Cooling)","N/A",IF(BR210&gt;0,(Calculation!U210/EI210)^2,0))," ")</f>
        <v xml:space="preserve"> </v>
      </c>
      <c r="EO210" s="361" t="str">
        <f t="shared" si="473"/>
        <v/>
      </c>
      <c r="EP210" s="361" t="str">
        <f t="shared" si="474"/>
        <v/>
      </c>
      <c r="EQ210" s="361" t="str">
        <f t="shared" si="475"/>
        <v/>
      </c>
      <c r="ER210" s="361" t="str">
        <f t="shared" si="476"/>
        <v/>
      </c>
      <c r="ES210" s="361" t="str">
        <f t="shared" si="477"/>
        <v/>
      </c>
      <c r="ET210" s="361" t="str">
        <f t="shared" si="478"/>
        <v/>
      </c>
      <c r="EU210" s="361" t="str">
        <f t="shared" si="479"/>
        <v/>
      </c>
      <c r="EV210" s="361" t="str">
        <f t="shared" si="480"/>
        <v/>
      </c>
      <c r="EW210" s="361" t="str">
        <f t="shared" si="481"/>
        <v/>
      </c>
      <c r="EX210" s="361" t="str">
        <f t="shared" si="571"/>
        <v>1 slot, 1 way</v>
      </c>
      <c r="EY210" s="361" t="str">
        <f t="shared" si="572"/>
        <v xml:space="preserve"> </v>
      </c>
      <c r="EZ210" s="361" t="str">
        <f t="shared" si="573"/>
        <v xml:space="preserve"> </v>
      </c>
      <c r="FA210" s="361" t="str">
        <f t="shared" si="574"/>
        <v xml:space="preserve"> </v>
      </c>
      <c r="FB210" s="361" t="str">
        <f t="shared" si="575"/>
        <v xml:space="preserve"> </v>
      </c>
      <c r="FC210" s="361"/>
      <c r="FD210" s="361" t="str">
        <f>IF(J210&gt;0,IF(Calculation!R210&lt;=70,4,IF(Calculation!R210&lt;=110,5,IF(Calculation!R210&lt;=160,6,IF(Calculation!R210&lt;=300,8,"10 EO")))),"")</f>
        <v/>
      </c>
      <c r="FE210" s="361" t="str">
        <f t="shared" si="576"/>
        <v/>
      </c>
      <c r="FF210" s="361" t="str">
        <f t="shared" si="577"/>
        <v/>
      </c>
      <c r="FG210" s="361" t="e">
        <f t="shared" si="482"/>
        <v>#N/A</v>
      </c>
      <c r="FH210" s="361">
        <f t="shared" si="483"/>
        <v>0</v>
      </c>
      <c r="FI210" s="361" t="e">
        <f t="shared" si="484"/>
        <v>#DIV/0!</v>
      </c>
      <c r="FJ210" s="361"/>
      <c r="FK210" s="356" t="e">
        <f t="shared" si="485"/>
        <v>#VALUE!</v>
      </c>
      <c r="FL210" s="361"/>
      <c r="FM210" s="361"/>
      <c r="FN210" s="362" t="str">
        <f t="shared" si="578"/>
        <v xml:space="preserve"> </v>
      </c>
      <c r="FO210" s="362" t="str">
        <f t="shared" si="579"/>
        <v xml:space="preserve"> </v>
      </c>
      <c r="FP210" s="362">
        <f t="shared" si="580"/>
        <v>0</v>
      </c>
      <c r="FQ210" s="361">
        <f t="shared" si="486"/>
        <v>0</v>
      </c>
      <c r="FR210" s="362" t="str">
        <f>IF(L210&gt;0,IF(J210="CBAL2",Worksheet!$P$67,IF(J210="CBE2-24",Worksheet!$Q$67,IF(J210="CBAM",Worksheet!$R$67,IF(J210="CBLV",Worksheet!$S$67,IF(J210="CBAB",Worksheet!$U$67,IF(J210="CBAW",Worksheet!$X$67,IF(J210="CBE2-12",Worksheet!$Y$67,IF(J210="CBAL2",Worksheet!$Z$67,"N/A"))))))))," ")</f>
        <v xml:space="preserve"> </v>
      </c>
      <c r="FS210" s="362" t="str">
        <f>IF(L210&gt;0,IF(J210="CBAL2",Worksheet!$P$68,IF(J210="CBE2-24",Worksheet!$Q$68,IF(J210="CBAM",Worksheet!$R$68,IF(J210="CBLV",Worksheet!$S$68,IF(J210="CBAB",Worksheet!$U$68,IF(J210="CBAW",Worksheet!$X$68,IF(J210="CBE2-12",Worksheet!$Y$68,IF(J210="CBAL2",Worksheet!$Z$68,"N/A"))))))))," ")</f>
        <v xml:space="preserve"> </v>
      </c>
      <c r="FT210" s="362" t="str">
        <f>IF(L210&gt;0,IF(J210="CBAL2",Worksheet!$P$69,IF(J210="CBE2-24",Worksheet!$Q$69,IF(J210="CBAM",Worksheet!$R$69,IF(J210="CBLV",Worksheet!$S$69,IF(J210="CBAB",Worksheet!$U$69,IF(J210="CBAW",Worksheet!$X$69,IF(J210="CBE2-12",Worksheet!$Y$69,IF(J210="CBAL2",Worksheet!$Z$69,"N/A"))))))))," ")</f>
        <v xml:space="preserve"> </v>
      </c>
      <c r="FU210" s="361" t="str">
        <f t="shared" si="581"/>
        <v xml:space="preserve"> </v>
      </c>
      <c r="FV210" s="362" t="str">
        <f t="shared" si="582"/>
        <v xml:space="preserve"> </v>
      </c>
      <c r="FW210" s="362" t="str">
        <f t="shared" si="583"/>
        <v xml:space="preserve"> </v>
      </c>
      <c r="FX210" s="362" t="str">
        <f t="shared" si="584"/>
        <v xml:space="preserve"> </v>
      </c>
      <c r="FY210" s="355" t="str">
        <f t="shared" si="585"/>
        <v xml:space="preserve"> </v>
      </c>
      <c r="FZ210" s="361" t="str">
        <f t="shared" si="586"/>
        <v xml:space="preserve"> </v>
      </c>
      <c r="GA210" s="347" t="str">
        <f t="shared" si="587"/>
        <v xml:space="preserve"> </v>
      </c>
      <c r="GB210" s="355" t="str">
        <f t="shared" si="588"/>
        <v xml:space="preserve"> </v>
      </c>
      <c r="GC210" s="328" t="str">
        <f t="shared" si="589"/>
        <v xml:space="preserve"> </v>
      </c>
      <c r="GD210" s="361" t="str">
        <f t="shared" si="590"/>
        <v xml:space="preserve"> </v>
      </c>
      <c r="GE210" s="347" t="str">
        <f t="shared" si="591"/>
        <v xml:space="preserve"> </v>
      </c>
      <c r="GF210" s="361" t="str">
        <f t="shared" si="592"/>
        <v xml:space="preserve"> </v>
      </c>
      <c r="GG210" s="347" t="str">
        <f t="shared" si="593"/>
        <v xml:space="preserve"> </v>
      </c>
      <c r="GH210" s="364">
        <f t="shared" si="487"/>
        <v>0</v>
      </c>
      <c r="GI210" s="362">
        <f t="shared" si="594"/>
        <v>2</v>
      </c>
      <c r="GJ210" s="433" t="e">
        <f>IF(6-COUNTBLANK(GT210:GY210)=4,MATCH(MID(BO210,9,3),CLU!$H$16:$K$16),MATCH(MID(BO210,9,3),CLU!$H$13:$M$13))</f>
        <v>#N/A</v>
      </c>
      <c r="GK210" s="433" t="e">
        <f>HLOOKUP(VALUE(BP210),CLU!$H$9:$M$10,2)</f>
        <v>#VALUE!</v>
      </c>
      <c r="GL210" s="433" t="e">
        <f ca="1">MATCH(BU210,CLU!$H$2:$V$2,1)</f>
        <v>#VALUE!</v>
      </c>
      <c r="GM210" s="433" t="e">
        <f t="shared" ca="1" si="595"/>
        <v>#VALUE!</v>
      </c>
      <c r="GN210" s="433" t="e">
        <f t="shared" ca="1" si="596"/>
        <v>#VALUE!</v>
      </c>
      <c r="GO210" s="433" t="e">
        <f t="shared" ca="1" si="597"/>
        <v>#VALUE!</v>
      </c>
      <c r="GP210" s="433" t="e">
        <f t="shared" ca="1" si="598"/>
        <v>#VALUE!</v>
      </c>
      <c r="GQ210" s="433" t="e">
        <f t="shared" ca="1" si="599"/>
        <v>#VALUE!</v>
      </c>
      <c r="GR210" s="433" t="e">
        <f ca="1">MATCH(T210,INDIRECT(VLOOKUP(CONCATENATE(LEFT(BO210,7),"-",MID(BO210,13,1)),CLU!$P$3:$Q$16,2)),1)</f>
        <v>#N/A</v>
      </c>
      <c r="GS210" s="433" t="e">
        <f ca="1">MATCH(U210,INDIRECT(VLOOKUP(CONCATENATE(LEFT(BO210,7),"-",MID(BO210,13,1)),CLU!$P$3:$Q$16,2)),1)</f>
        <v>#N/A</v>
      </c>
      <c r="GT210" s="347" t="s">
        <v>512</v>
      </c>
      <c r="GU210" s="97" t="s">
        <v>513</v>
      </c>
      <c r="GV210" s="97" t="str">
        <f t="shared" si="600"/>
        <v>M23</v>
      </c>
      <c r="GW210" s="97" t="str">
        <f t="shared" si="601"/>
        <v>M31</v>
      </c>
      <c r="GX210" s="97" t="str">
        <f t="shared" si="602"/>
        <v/>
      </c>
      <c r="GY210" s="97" t="str">
        <f t="shared" si="603"/>
        <v/>
      </c>
      <c r="GZ210" s="481"/>
      <c r="HA210" s="288"/>
      <c r="HB210" s="240"/>
      <c r="HC210" s="240"/>
      <c r="HD210" s="240"/>
      <c r="HE210" s="240"/>
      <c r="HF210" s="240"/>
      <c r="HG210" s="240"/>
      <c r="HH210" s="240"/>
      <c r="HI210" s="240"/>
      <c r="HJ210" s="240"/>
      <c r="HK210" s="240"/>
      <c r="HL210" s="240"/>
      <c r="HM210" s="240"/>
      <c r="HN210" s="240"/>
      <c r="HO210" s="240"/>
      <c r="HP210" s="240"/>
      <c r="HQ210" s="240"/>
      <c r="HR210" s="240"/>
      <c r="HS210" s="240"/>
      <c r="HT210" s="240"/>
      <c r="HU210" s="240"/>
      <c r="HV210" s="245"/>
      <c r="HW210" s="245" t="b">
        <v>1</v>
      </c>
      <c r="HX210" s="245" t="str">
        <f t="shared" si="488"/>
        <v/>
      </c>
      <c r="HY210" s="245" t="e">
        <f t="shared" si="489"/>
        <v>#DIV/0!</v>
      </c>
      <c r="HZ210" s="245" t="e">
        <f t="shared" si="490"/>
        <v>#DIV/0!</v>
      </c>
      <c r="IA210" s="245">
        <f t="shared" si="491"/>
        <v>0</v>
      </c>
      <c r="IB210" s="245"/>
      <c r="IC210" t="b">
        <f t="shared" si="492"/>
        <v>1</v>
      </c>
      <c r="ID210" s="245" t="b">
        <f t="shared" si="493"/>
        <v>1</v>
      </c>
      <c r="IE210" s="245" t="b">
        <f t="shared" si="494"/>
        <v>1</v>
      </c>
      <c r="IF210" s="245" t="b">
        <f t="shared" si="495"/>
        <v>0</v>
      </c>
      <c r="IG210" s="245" t="b">
        <f t="shared" si="496"/>
        <v>1</v>
      </c>
      <c r="IH210" s="245" t="b">
        <f t="shared" si="497"/>
        <v>1</v>
      </c>
      <c r="II210" s="245">
        <f t="shared" si="604"/>
        <v>0</v>
      </c>
      <c r="IJ210" s="245" t="e">
        <f t="shared" si="498"/>
        <v>#VALUE!</v>
      </c>
      <c r="IK210" s="245" t="e">
        <f t="shared" si="499"/>
        <v>#VALUE!</v>
      </c>
      <c r="IL210" s="245"/>
      <c r="IM210" s="245" t="e">
        <f t="shared" si="605"/>
        <v>#N/A</v>
      </c>
      <c r="IN210" s="245" t="e">
        <f t="shared" si="606"/>
        <v>#N/A</v>
      </c>
      <c r="IO210" s="245"/>
      <c r="IP210" s="245"/>
      <c r="IQ210" s="245" t="str">
        <f t="shared" si="500"/>
        <v/>
      </c>
      <c r="IR210" s="245" t="str">
        <f>IF(J210="","",VLOOKUP(J210,Worksheet!$R$4:$T$14,2))</f>
        <v/>
      </c>
      <c r="IS210" s="245"/>
      <c r="IT210" s="245">
        <f t="shared" si="501"/>
        <v>0</v>
      </c>
      <c r="IU210" s="245">
        <f t="shared" si="502"/>
        <v>0</v>
      </c>
      <c r="IV210" s="245">
        <f t="shared" si="503"/>
        <v>0</v>
      </c>
      <c r="IW210" s="245">
        <f t="shared" si="504"/>
        <v>0</v>
      </c>
      <c r="IX210" s="245">
        <f t="shared" si="607"/>
        <v>0</v>
      </c>
      <c r="IY210" s="245">
        <f t="shared" si="505"/>
        <v>0</v>
      </c>
      <c r="IZ210" s="245">
        <f t="shared" si="506"/>
        <v>0</v>
      </c>
      <c r="JA210">
        <f t="shared" si="507"/>
        <v>0</v>
      </c>
      <c r="JB210">
        <f t="shared" si="608"/>
        <v>0</v>
      </c>
      <c r="JC210">
        <f t="shared" si="508"/>
        <v>0</v>
      </c>
      <c r="JD210">
        <f t="shared" si="509"/>
        <v>0</v>
      </c>
      <c r="JE210">
        <f t="shared" si="510"/>
        <v>0</v>
      </c>
      <c r="JF210">
        <f t="shared" si="511"/>
        <v>0</v>
      </c>
      <c r="JG210">
        <f t="shared" si="512"/>
        <v>0</v>
      </c>
      <c r="JH210">
        <f t="shared" si="513"/>
        <v>0</v>
      </c>
      <c r="JI210">
        <f t="shared" si="514"/>
        <v>0</v>
      </c>
      <c r="JJ210" s="447">
        <f t="shared" si="515"/>
        <v>0</v>
      </c>
      <c r="JK210" s="447">
        <f t="shared" si="516"/>
        <v>0</v>
      </c>
      <c r="JL210">
        <f t="shared" si="517"/>
        <v>0</v>
      </c>
      <c r="JM210" s="245" t="str">
        <f>IFERROR(VLOOKUP(MATCH(BN210,#REF!,0),#REF!,7),"")</f>
        <v/>
      </c>
      <c r="JN210" t="e">
        <f>HLOOKUP(LEFT(BO210,7),Discharge_Area,MATCH(JO210,LookUps!$B$130:$B$149,1)+2)</f>
        <v>#N/A</v>
      </c>
      <c r="JO210" t="str">
        <f t="shared" si="518"/>
        <v>- S</v>
      </c>
      <c r="JP210" t="e">
        <f>HLOOKUP(LEFT(BO210,7),Discharge_Area,MATCH(JO210,LookUps!$B$130:$B$149,1)+2)</f>
        <v>#N/A</v>
      </c>
      <c r="JQ210" t="e">
        <f t="shared" si="519"/>
        <v>#N/A</v>
      </c>
      <c r="JR210" t="e">
        <f t="shared" si="520"/>
        <v>#N/A</v>
      </c>
      <c r="JS210" t="e">
        <f t="shared" si="521"/>
        <v>#N/A</v>
      </c>
      <c r="JT210" s="532" t="str">
        <f t="shared" si="522"/>
        <v xml:space="preserve"> </v>
      </c>
      <c r="JU210" s="532" t="str">
        <f t="shared" si="523"/>
        <v xml:space="preserve"> </v>
      </c>
      <c r="JV210" s="533" t="str">
        <f t="shared" si="524"/>
        <v xml:space="preserve"> </v>
      </c>
      <c r="JW210" s="534">
        <f t="shared" si="525"/>
        <v>0</v>
      </c>
      <c r="JX210" s="535" t="str">
        <f t="shared" si="609"/>
        <v xml:space="preserve"> </v>
      </c>
      <c r="JY210" s="535" t="str">
        <f t="shared" si="610"/>
        <v xml:space="preserve"> </v>
      </c>
      <c r="JZ210" s="535" t="str">
        <f t="shared" si="611"/>
        <v xml:space="preserve"> </v>
      </c>
      <c r="KA210" s="536" t="str">
        <f t="shared" si="526"/>
        <v xml:space="preserve"> </v>
      </c>
      <c r="KB210" s="535" t="e">
        <f t="shared" si="612"/>
        <v>#VALUE!</v>
      </c>
      <c r="KC210" s="535" t="str">
        <f t="shared" si="527"/>
        <v/>
      </c>
      <c r="KD210" s="537" t="str">
        <f t="shared" si="613"/>
        <v xml:space="preserve"> </v>
      </c>
      <c r="KE210" s="537" t="str">
        <f t="shared" si="614"/>
        <v xml:space="preserve"> </v>
      </c>
      <c r="KF210" s="534">
        <f t="shared" si="528"/>
        <v>0</v>
      </c>
      <c r="KG210" s="535" t="str">
        <f t="shared" si="529"/>
        <v xml:space="preserve"> </v>
      </c>
      <c r="KH210" s="535" t="str">
        <f t="shared" si="530"/>
        <v xml:space="preserve"> </v>
      </c>
      <c r="KI210" s="535" t="str">
        <f t="shared" si="531"/>
        <v xml:space="preserve"> </v>
      </c>
      <c r="KJ210" s="536" t="str">
        <f t="shared" si="532"/>
        <v xml:space="preserve"> </v>
      </c>
      <c r="KK210" s="535" t="str">
        <f t="shared" si="615"/>
        <v xml:space="preserve"> </v>
      </c>
      <c r="KL210" s="535" t="str">
        <f t="shared" si="616"/>
        <v xml:space="preserve"> </v>
      </c>
      <c r="KM210" s="537" t="str">
        <f t="shared" si="533"/>
        <v xml:space="preserve"> </v>
      </c>
      <c r="KN210" s="537" t="str">
        <f t="shared" si="617"/>
        <v xml:space="preserve"> </v>
      </c>
      <c r="KP210">
        <f t="shared" si="534"/>
        <v>0</v>
      </c>
      <c r="LA210" t="e">
        <f t="shared" si="535"/>
        <v>#VALUE!</v>
      </c>
      <c r="LB210" t="e">
        <f t="shared" si="536"/>
        <v>#VALUE!</v>
      </c>
      <c r="LC210" t="e">
        <f t="shared" si="537"/>
        <v>#VALUE!</v>
      </c>
      <c r="LD210" t="e">
        <f t="shared" si="538"/>
        <v>#VALUE!</v>
      </c>
      <c r="LE210" t="e">
        <f t="shared" si="618"/>
        <v>#VALUE!</v>
      </c>
      <c r="LF210">
        <f t="shared" si="539"/>
        <v>0</v>
      </c>
      <c r="LG210" t="e">
        <f t="shared" si="619"/>
        <v>#VALUE!</v>
      </c>
      <c r="LH210" t="str">
        <f t="shared" si="540"/>
        <v xml:space="preserve"> </v>
      </c>
      <c r="LI210">
        <f t="shared" si="620"/>
        <v>1</v>
      </c>
    </row>
    <row r="211" spans="2:321" ht="15" customHeight="1">
      <c r="B211" s="311"/>
      <c r="C211" s="311"/>
      <c r="D211" s="312"/>
      <c r="E211" s="311"/>
      <c r="F211" s="312"/>
      <c r="G211" s="311"/>
      <c r="H211" s="311"/>
      <c r="I211" s="232"/>
      <c r="J211" s="311"/>
      <c r="K211" s="305" t="str">
        <f t="shared" si="541"/>
        <v/>
      </c>
      <c r="L211" s="313"/>
      <c r="M211" s="312"/>
      <c r="N211" s="311"/>
      <c r="O211" s="312"/>
      <c r="P211" s="311"/>
      <c r="Q211" s="305" t="str">
        <f t="shared" si="542"/>
        <v/>
      </c>
      <c r="R211" s="314"/>
      <c r="S211" s="450" t="str">
        <f t="shared" si="425"/>
        <v/>
      </c>
      <c r="T211" s="315"/>
      <c r="U211" s="315"/>
      <c r="W211" s="149" t="str">
        <f t="shared" si="426"/>
        <v xml:space="preserve"> </v>
      </c>
      <c r="X211" s="243" t="str">
        <f t="shared" si="427"/>
        <v xml:space="preserve"> </v>
      </c>
      <c r="Y211" s="150" t="str">
        <f t="shared" si="428"/>
        <v/>
      </c>
      <c r="Z211" s="149" t="str">
        <f t="shared" si="429"/>
        <v xml:space="preserve"> </v>
      </c>
      <c r="AA211" s="98" t="str">
        <f t="shared" si="430"/>
        <v xml:space="preserve"> </v>
      </c>
      <c r="AB211" s="153" t="str">
        <f t="shared" si="431"/>
        <v xml:space="preserve"> </v>
      </c>
      <c r="AC211" s="153" t="str">
        <f t="shared" si="432"/>
        <v xml:space="preserve"> </v>
      </c>
      <c r="AD211" s="148" t="str">
        <f t="shared" si="433"/>
        <v/>
      </c>
      <c r="AE211" s="149" t="str">
        <f t="shared" si="434"/>
        <v/>
      </c>
      <c r="AF211" s="151" t="str">
        <f t="shared" si="435"/>
        <v xml:space="preserve"> </v>
      </c>
      <c r="AG211" s="153" t="str">
        <f t="shared" si="436"/>
        <v xml:space="preserve"> </v>
      </c>
      <c r="AH211" s="98" t="str">
        <f t="shared" si="437"/>
        <v xml:space="preserve"> </v>
      </c>
      <c r="AI211" s="149" t="str">
        <f t="shared" si="438"/>
        <v xml:space="preserve"> </v>
      </c>
      <c r="AK211" s="144" t="str">
        <f t="shared" si="439"/>
        <v xml:space="preserve"> </v>
      </c>
      <c r="AL211" s="144"/>
      <c r="AM211" s="243" t="str">
        <f t="shared" si="440"/>
        <v xml:space="preserve"> </v>
      </c>
      <c r="AN211" s="149" t="str">
        <f t="shared" si="543"/>
        <v xml:space="preserve"> </v>
      </c>
      <c r="AO211" s="144" t="str">
        <f>IF(JB211&gt;0,IF(GI211=10,-R211*1.085*(Calculation!$F$6-Calculation!$F$13)*$S$14," "),"")</f>
        <v/>
      </c>
      <c r="AP211" s="144" t="str">
        <f t="shared" si="441"/>
        <v/>
      </c>
      <c r="AQ211" s="56" t="str">
        <f t="shared" si="442"/>
        <v/>
      </c>
      <c r="AR211" s="144" t="str">
        <f t="shared" si="443"/>
        <v/>
      </c>
      <c r="AS211" s="176" t="str">
        <f t="shared" si="444"/>
        <v/>
      </c>
      <c r="AT211" s="176" t="str">
        <f t="shared" si="544"/>
        <v xml:space="preserve"> </v>
      </c>
      <c r="AU211" s="176" t="str">
        <f t="shared" si="445"/>
        <v/>
      </c>
      <c r="AV211" s="177" t="str">
        <f t="shared" si="446"/>
        <v xml:space="preserve"> </v>
      </c>
      <c r="AW211" s="144" t="str">
        <f t="shared" si="447"/>
        <v xml:space="preserve"> </v>
      </c>
      <c r="AX211" s="144" t="str">
        <f t="shared" si="448"/>
        <v xml:space="preserve"> </v>
      </c>
      <c r="AY211" s="152" t="str">
        <f t="shared" si="449"/>
        <v xml:space="preserve"> </v>
      </c>
      <c r="AZ211" s="246" t="str">
        <f t="shared" si="450"/>
        <v/>
      </c>
      <c r="BA211" s="176" t="str">
        <f t="shared" si="451"/>
        <v xml:space="preserve"> </v>
      </c>
      <c r="BB211" s="176" t="str">
        <f t="shared" si="452"/>
        <v xml:space="preserve"> </v>
      </c>
      <c r="BC211" s="195"/>
      <c r="BD211" s="316"/>
      <c r="BE211" s="317"/>
      <c r="BF211" s="318"/>
      <c r="BG211" s="318"/>
      <c r="BH211" s="144" t="str">
        <f t="shared" si="621"/>
        <v xml:space="preserve"> </v>
      </c>
      <c r="BI211" s="176" t="str">
        <f t="shared" si="453"/>
        <v/>
      </c>
      <c r="BJ211" s="144" t="str">
        <f t="shared" si="622"/>
        <v/>
      </c>
      <c r="BK211" s="246" t="str">
        <f t="shared" si="454"/>
        <v/>
      </c>
      <c r="BL211" s="144" t="str">
        <f t="shared" si="623"/>
        <v/>
      </c>
      <c r="BM211" s="246" t="str">
        <f t="shared" si="455"/>
        <v/>
      </c>
      <c r="BN211" s="337" t="str">
        <f t="shared" si="545"/>
        <v/>
      </c>
      <c r="BO211" s="371" t="str">
        <f t="shared" si="546"/>
        <v/>
      </c>
      <c r="BP211" s="328" t="str">
        <f t="shared" si="624"/>
        <v xml:space="preserve"> </v>
      </c>
      <c r="BQ211" s="347" t="str">
        <f t="shared" si="547"/>
        <v xml:space="preserve"> </v>
      </c>
      <c r="BR211" s="353" t="str">
        <f t="shared" si="548"/>
        <v xml:space="preserve"> </v>
      </c>
      <c r="BS211" s="626" t="str">
        <f>IF(L211&gt;0,IF(Calculation!P211="M13",BR211*3.1416*(0.134^2)/(4*144),IF(Calculation!P211="M17",BR211*3.1416*(0.165^2)/(4*144),IF(Calculation!P211="M20",BR211*3.1416*(0.198^2)/(4*144),IF(Calculation!P211="M23",BR211*3.1416*(0.228^2)/(4*144),IF(Calculation!P211="M27",BR211*3.1416*(0.269^2)/(4*144),BR211*3.1416*(0.307^2)/(4*144))))))," ")</f>
        <v xml:space="preserve"> </v>
      </c>
      <c r="BT211" s="353" t="str">
        <f>IF(L211&gt;0,IF(BS211&gt;0,R211/Calculation!BS211,0)," ")</f>
        <v xml:space="preserve"> </v>
      </c>
      <c r="BU211" s="438" t="e">
        <f t="shared" ca="1" si="456"/>
        <v>#VALUE!</v>
      </c>
      <c r="BV211" s="449" t="e">
        <f ca="1">INDEX(INDIRECT(VLOOKUP(LEFT(BO211,7),CLU!$Z$3:$AH$18,2)),GN211,GR211)</f>
        <v>#N/A</v>
      </c>
      <c r="BW211" s="433" t="e">
        <f ca="1">INDEX(INDIRECT(VLOOKUP(LEFT(BO211,7),CLU!$Z$3:$AH$18,3)),GN211,GR211)</f>
        <v>#N/A</v>
      </c>
      <c r="BX211" s="433" t="e">
        <f ca="1">INDEX(INDIRECT(VLOOKUP(LEFT(BO211,7),CLU!$Z$3:$AH$18,4)),GN211,GR211)</f>
        <v>#N/A</v>
      </c>
      <c r="BY211" s="433" t="e">
        <f ca="1">INDEX(INDIRECT(VLOOKUP(LEFT(BO211,7),CLU!$Z$3:$AH$18,9)),((M211-2)*(6-COUNTBLANK(GT211:GY211)))+GJ211)</f>
        <v>#N/A</v>
      </c>
      <c r="BZ211" s="426" t="e">
        <f t="shared" ca="1" si="549"/>
        <v>#N/A</v>
      </c>
      <c r="CA211" s="424" t="e">
        <f t="shared" ca="1" si="550"/>
        <v>#N/A</v>
      </c>
      <c r="CB211" s="429" t="e">
        <f ca="1">INDEX(INDIRECT(VLOOKUP(LEFT(BO211,7),CLU!$Z$3:$AH$18,2)),GN211,GS211)</f>
        <v>#N/A</v>
      </c>
      <c r="CC211" s="342" t="e">
        <f ca="1">INDEX(INDIRECT(VLOOKUP(LEFT(BO211,7),CLU!$Z$3:$AH$18,3)),GN211,GS211)</f>
        <v>#N/A</v>
      </c>
      <c r="CD211" s="342" t="e">
        <f ca="1">INDEX(INDIRECT(VLOOKUP(LEFT(BO211,7),CLU!$Z$3:$AH$18,4)),GN211,GS211)</f>
        <v>#N/A</v>
      </c>
      <c r="CE211" s="426" t="e">
        <f t="shared" ca="1" si="551"/>
        <v>#N/A</v>
      </c>
      <c r="CF211" s="440">
        <f t="shared" si="552"/>
        <v>0</v>
      </c>
      <c r="CG211" s="431" t="e">
        <f ca="1">INDEX(INDIRECT(VLOOKUP(LEFT(BO211,7),CLU!$Z$3:$AH$18,2)),GQ211,GR211)</f>
        <v>#N/A</v>
      </c>
      <c r="CH211" s="431" t="e">
        <f ca="1">INDEX(INDIRECT(VLOOKUP(LEFT(BO211,7),CLU!$Z$3:$AH$18,3)),GQ211,GR211)</f>
        <v>#N/A</v>
      </c>
      <c r="CI211" s="431" t="e">
        <f ca="1">INDEX(INDIRECT(VLOOKUP(LEFT(BO211,7),CLU!$Z$3:$AH$18,4)),GQ211,GR211)</f>
        <v>#N/A</v>
      </c>
      <c r="CJ211" s="448" t="e">
        <f t="shared" ca="1" si="553"/>
        <v>#N/A</v>
      </c>
      <c r="CK211" s="431" t="e">
        <f t="shared" ca="1" si="554"/>
        <v>#N/A</v>
      </c>
      <c r="CL211" s="440" t="e">
        <f t="shared" ca="1" si="555"/>
        <v>#N/A</v>
      </c>
      <c r="CM211" s="431" t="e">
        <f ca="1">INDEX(INDIRECT(VLOOKUP(LEFT(BO211,7),CLU!$Z$3:$AH$18,2)),GQ211,GS211)</f>
        <v>#N/A</v>
      </c>
      <c r="CN211" s="431" t="e">
        <f ca="1">INDEX(INDIRECT(VLOOKUP(LEFT(BO211,7),CLU!$Z$3:$AH$18,3)),GQ211,GS211)</f>
        <v>#N/A</v>
      </c>
      <c r="CO211" s="431" t="e">
        <f ca="1">INDEX(INDIRECT(VLOOKUP(LEFT(BO211,7),CLU!$Z$3:$AH$18,4)),GQ211,GS211)</f>
        <v>#N/A</v>
      </c>
      <c r="CP211" s="431" t="e">
        <f t="shared" ca="1" si="556"/>
        <v>#N/A</v>
      </c>
      <c r="CQ211" s="440">
        <f t="shared" si="557"/>
        <v>0</v>
      </c>
      <c r="CR211" s="51" t="e">
        <f t="shared" ca="1" si="558"/>
        <v>#N/A</v>
      </c>
      <c r="CS211" s="439" t="e">
        <f t="shared" ca="1" si="559"/>
        <v>#VALUE!</v>
      </c>
      <c r="CT211" s="51" t="e">
        <f t="shared" ca="1" si="560"/>
        <v>#VALUE!</v>
      </c>
      <c r="CU211" s="10"/>
      <c r="CV211" s="51" t="e">
        <f t="shared" ca="1" si="457"/>
        <v>#VALUE!</v>
      </c>
      <c r="CW211" s="51">
        <f t="shared" si="561"/>
        <v>0</v>
      </c>
      <c r="CX211" s="439" t="e">
        <f t="shared" ca="1" si="562"/>
        <v>#VALUE!</v>
      </c>
      <c r="CY211" s="51" t="e">
        <f t="shared" ca="1" si="563"/>
        <v>#VALUE!</v>
      </c>
      <c r="CZ211" s="10"/>
      <c r="DA211" s="51" t="e">
        <f t="shared" ca="1" si="564"/>
        <v>#VALUE!</v>
      </c>
      <c r="DB211" s="347" t="e">
        <f ca="1">INDEX(INDIRECT(VLOOKUP(LEFT(BO211,7),CLU!$Z$3:$AI$18,10)),((M211-2)*(6-COUNTBLANK(GT211:GY211)))+GJ211)*LI211</f>
        <v>#N/A</v>
      </c>
      <c r="DC211" s="347" t="str">
        <f>IF(L211&gt;0,((R211/Worksheet!$I$15)/DB211)^2," ")</f>
        <v xml:space="preserve"> </v>
      </c>
      <c r="DD211" s="602" t="str">
        <f t="shared" si="565"/>
        <v xml:space="preserve"> </v>
      </c>
      <c r="DE211" s="347" t="str">
        <f t="shared" si="458"/>
        <v xml:space="preserve"> </v>
      </c>
      <c r="DF211" s="356" t="e">
        <f ca="1">INDEX(INDIRECT(VLOOKUP(LEFT(BO211,7),CLU!$Z$3:$AH$18,8)),((M211-2)*(6-COUNTBLANK(GT211:GY211)))+GJ211)</f>
        <v>#N/A</v>
      </c>
      <c r="DG211" s="347" t="str">
        <f t="shared" si="459"/>
        <v xml:space="preserve"> </v>
      </c>
      <c r="DH211" s="357" t="str">
        <f t="shared" si="460"/>
        <v xml:space="preserve"> </v>
      </c>
      <c r="DI211" s="355" t="str">
        <f t="shared" si="461"/>
        <v xml:space="preserve"> </v>
      </c>
      <c r="DJ211" s="245" t="e">
        <f ca="1">INDEX(INDIRECT(VLOOKUP(LEFT(BO211,7),CLU!$Z$3:$AH$18,5)),GL211,GK211)</f>
        <v>#N/A</v>
      </c>
      <c r="DK211" s="245" t="e">
        <f ca="1">INDEX(INDIRECT(VLOOKUP(LEFT(BO211,7),CLU!$Z$3:$AH$18,6)),GL211,GK211)</f>
        <v>#N/A</v>
      </c>
      <c r="DL211" s="355">
        <f>(Calculation!R211*0.69143*(Calculation!$BQ$8-Calculation!$F$8))*$S$14</f>
        <v>0</v>
      </c>
      <c r="DM211" s="359" t="e">
        <f t="shared" si="566"/>
        <v>#VALUE!</v>
      </c>
      <c r="DN211" s="611">
        <f t="shared" si="567"/>
        <v>0</v>
      </c>
      <c r="DO211" s="359">
        <f t="shared" si="568"/>
        <v>100</v>
      </c>
      <c r="DP211" s="359">
        <f t="shared" si="569"/>
        <v>0</v>
      </c>
      <c r="DQ211" s="360"/>
      <c r="DR211" s="245" t="e">
        <f ca="1">INDEX(INDIRECT(VLOOKUP(LEFT(BO211,7),CLU!$Z$3:$AH$18,7)),M211-1,1)</f>
        <v>#N/A</v>
      </c>
      <c r="DS211" s="245" t="e">
        <f ca="1">INDEX(INDIRECT(VLOOKUP(LEFT(BO211,7),CLU!$Z$3:$AH$18,7)),M211-1,2)</f>
        <v>#N/A</v>
      </c>
      <c r="DT211" s="245" t="e">
        <f ca="1">INDEX(INDIRECT(VLOOKUP(LEFT(BO211,7),CLU!$Z$3:$AH$18,7)),M211-1,3)</f>
        <v>#N/A</v>
      </c>
      <c r="DU211" s="245" t="e">
        <f ca="1">INDEX(INDIRECT(VLOOKUP(LEFT(BO211,7),CLU!$Z$3:$AH$18,7)),M211-1,4)</f>
        <v>#N/A</v>
      </c>
      <c r="DV211" s="361" t="e">
        <f ca="1">INDEX(INDIRECT(VLOOKUP(LEFT(BO211,7),CLU!$Z$3:$AH$18,7)),M211-1,4+LEFT(DZ211,1)*0.5)</f>
        <v>#N/A</v>
      </c>
      <c r="DW211" s="245" t="e">
        <f ca="1">INDEX(INDIRECT(VLOOKUP(LEFT(BO211,7),CLU!$Z$3:$AH$18,7)),M211-1,8)</f>
        <v>#N/A</v>
      </c>
      <c r="DX211" s="361" t="str">
        <f t="shared" si="462"/>
        <v xml:space="preserve"> </v>
      </c>
      <c r="DY211" s="361" t="str">
        <f t="shared" si="463"/>
        <v xml:space="preserve"> </v>
      </c>
      <c r="DZ211" s="361" t="str">
        <f t="shared" si="464"/>
        <v xml:space="preserve"> </v>
      </c>
      <c r="EA211" s="362" t="str">
        <f t="shared" si="465"/>
        <v xml:space="preserve"> </v>
      </c>
      <c r="EB211" s="624" t="str">
        <f t="shared" si="570"/>
        <v xml:space="preserve"> </v>
      </c>
      <c r="EC211" s="361" t="e">
        <f ca="1">INDEX(INDIRECT(VLOOKUP(LEFT(BO211,7),CLU!$Z$3:$AH$18,7)),M211-1,4+LEFT(DZ211,1)*0.5)</f>
        <v>#N/A</v>
      </c>
      <c r="ED211" s="362" t="str">
        <f t="shared" si="466"/>
        <v xml:space="preserve"> </v>
      </c>
      <c r="EE211" s="361" t="str">
        <f t="shared" si="467"/>
        <v xml:space="preserve"> </v>
      </c>
      <c r="EF211" s="362" t="str">
        <f>IF(L211&gt;0,IF(BR211&gt;0,IF(EE211="2P",IF(Calculation!DZ211="2P",IF(Calculation!DS211=13.75,IF(Calculation!DR211=13,Worksheet!$BD$43,IF(Calculation!DR211=37,Worksheet!$BD$44,Worksheet!$BD$45)),IF(Calculation!DS211=10,IF(Calculation!DR211=18,Worksheet!$BD$29,IF(Calculation!DR211=30,Worksheet!$BD$30,IF(Calculation!DR211=42,Worksheet!$BD$31,IF(Calculation!DR211=54,Worksheet!$BD$32,IF(Calculation!DR211=66,Worksheet!$BD$33,IF(Calculation!DR211=78,Worksheet!$BD$34,IF(Calculation!DR211=90,Worksheet!$BD$35,IF(Calculation!DR211=102,Worksheet!$BD$36,Worksheet!$BD$37)))))))),IF(Calculation!DS211=12.5,IF(Calculation!DR211=18,Worksheet!$BD$38,IF(Calculation!DR211=Worksheet!$BD$39,IF(Calculation!DR211=42,Worksheet!$BD$40,IF(Calculation!DR211=54,Worksheet!$BD$41,Worksheet!$BD$42)))),IF(Calculation!DR211=18,Worksheet!$BD$11,IF(Calculation!DR211=30,Worksheet!$BD$12,IF(Calculation!DR211=42,Worksheet!$BD$13,IF(Calculation!DR211=54,Worksheet!$BD$14,IF(Calculation!DR211=66,Worksheet!$BD$15,IF(Calculation!DR211=78,Worksheet!$BD$16,IF(Calculation!DR211=90,Worksheet!$BD$17,IF(Calculation!DR211=102,Worksheet!$BD$18,Worksheet!$BD$19))))))))))),IF(Calculation!DS211=13.75,IF(Calculation!DR211=13,Worksheet!$BD$78,IF(Calculation!DR211=37,Worksheet!$BD$79,Worksheet!$BD$80)),IF(Calculation!DS211=10,IF(Calculation!DR211=18,Worksheet!$BD$64,IF(Calculation!DR211=30,Worksheet!$BD$65,IF(Calculation!DR211=42,Worksheet!$BD$66,IF(Calculation!DR211=54,Worksheet!$BD$68,IF(Calculation!DR211=66,Worksheet!$BD$68,IF(Calculation!DR211=78,Worksheet!$BD$69,IF(Calculation!DR211=90,Worksheet!$BD$70,IF(Calculation!DR211=102,Worksheet!$BD$71,Worksheet!$BD$72)))))))),IF(Calculation!DS211=12.5,IF(Calculation!DR211=18,Worksheet!$BD$73,IF(Calculation!DR211=Worksheet!$BD$74,IF(Calculation!DR211=42,Worksheet!$BD$75,IF(Calculation!DR211=54,Worksheet!$BD$76,Worksheet!$BD$77)))),IF(Calculation!DR211=18,Worksheet!$BD$55,IF(Calculation!DR211=30,Worksheet!$BD$56,IF(Calculation!DR211=42,Worksheet!$BD$57,IF(Calculation!DR211=54,Worksheet!$BD$58,IF(Calculation!DR211=66,Worksheet!$BD$59,IF(Calculation!DR211=78,Worksheet!$BD$60,IF(Calculation!DR211=90,Worksheet!$BD$61,IF(Calculation!DR211=102,Worksheet!$BD$62,Worksheet!$BD$63)))))))))))),5),0)," ")</f>
        <v xml:space="preserve"> </v>
      </c>
      <c r="EG211" s="361" t="str">
        <f t="shared" si="468"/>
        <v xml:space="preserve"> </v>
      </c>
      <c r="EH211" s="361" t="e">
        <f ca="1">INDEX(INDIRECT(VLOOKUP(LEFT(BO211,7),CLU!$Z$3:$AH$18,7)),M211-1,3+LEFT(DZ211,1))</f>
        <v>#N/A</v>
      </c>
      <c r="EI211" s="362" t="str">
        <f t="shared" si="469"/>
        <v xml:space="preserve"> </v>
      </c>
      <c r="EJ211" s="363" t="str">
        <f t="shared" si="470"/>
        <v xml:space="preserve"> </v>
      </c>
      <c r="EK211" s="363" t="str">
        <f t="shared" si="471"/>
        <v xml:space="preserve"> </v>
      </c>
      <c r="EL211" s="363" t="str">
        <f t="shared" si="472"/>
        <v xml:space="preserve"> </v>
      </c>
      <c r="EM211" s="362" t="str">
        <f>IF(L211&gt;0,IF(BR211&gt;0,(Calculation!T211/ED211)^2,0)," ")</f>
        <v xml:space="preserve"> </v>
      </c>
      <c r="EN211" s="362" t="str">
        <f>IF(L211&gt;0,IF(O211="2 Pipe (Cooling)","N/A",IF(BR211&gt;0,(Calculation!U211/EI211)^2,0))," ")</f>
        <v xml:space="preserve"> </v>
      </c>
      <c r="EO211" s="361" t="str">
        <f t="shared" si="473"/>
        <v/>
      </c>
      <c r="EP211" s="361" t="str">
        <f t="shared" si="474"/>
        <v/>
      </c>
      <c r="EQ211" s="361" t="str">
        <f t="shared" si="475"/>
        <v/>
      </c>
      <c r="ER211" s="361" t="str">
        <f t="shared" si="476"/>
        <v/>
      </c>
      <c r="ES211" s="361" t="str">
        <f t="shared" si="477"/>
        <v/>
      </c>
      <c r="ET211" s="361" t="str">
        <f t="shared" si="478"/>
        <v/>
      </c>
      <c r="EU211" s="361" t="str">
        <f t="shared" si="479"/>
        <v/>
      </c>
      <c r="EV211" s="361" t="str">
        <f t="shared" si="480"/>
        <v/>
      </c>
      <c r="EW211" s="361" t="str">
        <f t="shared" si="481"/>
        <v/>
      </c>
      <c r="EX211" s="361" t="str">
        <f t="shared" si="571"/>
        <v>1 slot, 1 way</v>
      </c>
      <c r="EY211" s="361" t="str">
        <f t="shared" si="572"/>
        <v xml:space="preserve"> </v>
      </c>
      <c r="EZ211" s="361" t="str">
        <f t="shared" si="573"/>
        <v xml:space="preserve"> </v>
      </c>
      <c r="FA211" s="361" t="str">
        <f t="shared" si="574"/>
        <v xml:space="preserve"> </v>
      </c>
      <c r="FB211" s="361" t="str">
        <f t="shared" si="575"/>
        <v xml:space="preserve"> </v>
      </c>
      <c r="FC211" s="361"/>
      <c r="FD211" s="361" t="str">
        <f>IF(J211&gt;0,IF(Calculation!R211&lt;=70,4,IF(Calculation!R211&lt;=110,5,IF(Calculation!R211&lt;=160,6,IF(Calculation!R211&lt;=300,8,"10 EO")))),"")</f>
        <v/>
      </c>
      <c r="FE211" s="361" t="str">
        <f t="shared" si="576"/>
        <v/>
      </c>
      <c r="FF211" s="361" t="str">
        <f t="shared" si="577"/>
        <v/>
      </c>
      <c r="FG211" s="361" t="e">
        <f t="shared" si="482"/>
        <v>#N/A</v>
      </c>
      <c r="FH211" s="361">
        <f t="shared" si="483"/>
        <v>0</v>
      </c>
      <c r="FI211" s="361" t="e">
        <f t="shared" si="484"/>
        <v>#DIV/0!</v>
      </c>
      <c r="FJ211" s="361"/>
      <c r="FK211" s="356" t="e">
        <f t="shared" si="485"/>
        <v>#VALUE!</v>
      </c>
      <c r="FL211" s="361"/>
      <c r="FM211" s="361"/>
      <c r="FN211" s="362" t="str">
        <f t="shared" si="578"/>
        <v xml:space="preserve"> </v>
      </c>
      <c r="FO211" s="362" t="str">
        <f t="shared" si="579"/>
        <v xml:space="preserve"> </v>
      </c>
      <c r="FP211" s="362">
        <f t="shared" si="580"/>
        <v>0</v>
      </c>
      <c r="FQ211" s="361">
        <f t="shared" si="486"/>
        <v>0</v>
      </c>
      <c r="FR211" s="362" t="str">
        <f>IF(L211&gt;0,IF(J211="CBAL2",Worksheet!$P$67,IF(J211="CBE2-24",Worksheet!$Q$67,IF(J211="CBAM",Worksheet!$R$67,IF(J211="CBLV",Worksheet!$S$67,IF(J211="CBAB",Worksheet!$U$67,IF(J211="CBAW",Worksheet!$X$67,IF(J211="CBE2-12",Worksheet!$Y$67,IF(J211="CBAL2",Worksheet!$Z$67,"N/A"))))))))," ")</f>
        <v xml:space="preserve"> </v>
      </c>
      <c r="FS211" s="362" t="str">
        <f>IF(L211&gt;0,IF(J211="CBAL2",Worksheet!$P$68,IF(J211="CBE2-24",Worksheet!$Q$68,IF(J211="CBAM",Worksheet!$R$68,IF(J211="CBLV",Worksheet!$S$68,IF(J211="CBAB",Worksheet!$U$68,IF(J211="CBAW",Worksheet!$X$68,IF(J211="CBE2-12",Worksheet!$Y$68,IF(J211="CBAL2",Worksheet!$Z$68,"N/A"))))))))," ")</f>
        <v xml:space="preserve"> </v>
      </c>
      <c r="FT211" s="362" t="str">
        <f>IF(L211&gt;0,IF(J211="CBAL2",Worksheet!$P$69,IF(J211="CBE2-24",Worksheet!$Q$69,IF(J211="CBAM",Worksheet!$R$69,IF(J211="CBLV",Worksheet!$S$69,IF(J211="CBAB",Worksheet!$U$69,IF(J211="CBAW",Worksheet!$X$69,IF(J211="CBE2-12",Worksheet!$Y$69,IF(J211="CBAL2",Worksheet!$Z$69,"N/A"))))))))," ")</f>
        <v xml:space="preserve"> </v>
      </c>
      <c r="FU211" s="361" t="str">
        <f t="shared" si="581"/>
        <v xml:space="preserve"> </v>
      </c>
      <c r="FV211" s="362" t="str">
        <f t="shared" si="582"/>
        <v xml:space="preserve"> </v>
      </c>
      <c r="FW211" s="362" t="str">
        <f t="shared" si="583"/>
        <v xml:space="preserve"> </v>
      </c>
      <c r="FX211" s="362" t="str">
        <f t="shared" si="584"/>
        <v xml:space="preserve"> </v>
      </c>
      <c r="FY211" s="355" t="str">
        <f t="shared" si="585"/>
        <v xml:space="preserve"> </v>
      </c>
      <c r="FZ211" s="361" t="str">
        <f t="shared" si="586"/>
        <v xml:space="preserve"> </v>
      </c>
      <c r="GA211" s="347" t="str">
        <f t="shared" si="587"/>
        <v xml:space="preserve"> </v>
      </c>
      <c r="GB211" s="355" t="str">
        <f t="shared" si="588"/>
        <v xml:space="preserve"> </v>
      </c>
      <c r="GC211" s="328" t="str">
        <f t="shared" si="589"/>
        <v xml:space="preserve"> </v>
      </c>
      <c r="GD211" s="361" t="str">
        <f t="shared" si="590"/>
        <v xml:space="preserve"> </v>
      </c>
      <c r="GE211" s="347" t="str">
        <f t="shared" si="591"/>
        <v xml:space="preserve"> </v>
      </c>
      <c r="GF211" s="361" t="str">
        <f t="shared" si="592"/>
        <v xml:space="preserve"> </v>
      </c>
      <c r="GG211" s="347" t="str">
        <f t="shared" si="593"/>
        <v xml:space="preserve"> </v>
      </c>
      <c r="GH211" s="364">
        <f t="shared" si="487"/>
        <v>0</v>
      </c>
      <c r="GI211" s="362">
        <f t="shared" si="594"/>
        <v>2</v>
      </c>
      <c r="GJ211" s="433" t="e">
        <f>IF(6-COUNTBLANK(GT211:GY211)=4,MATCH(MID(BO211,9,3),CLU!$H$16:$K$16),MATCH(MID(BO211,9,3),CLU!$H$13:$M$13))</f>
        <v>#N/A</v>
      </c>
      <c r="GK211" s="433" t="e">
        <f>HLOOKUP(VALUE(BP211),CLU!$H$9:$M$10,2)</f>
        <v>#VALUE!</v>
      </c>
      <c r="GL211" s="433" t="e">
        <f ca="1">MATCH(BU211,CLU!$H$2:$V$2,1)</f>
        <v>#VALUE!</v>
      </c>
      <c r="GM211" s="433" t="e">
        <f t="shared" ca="1" si="595"/>
        <v>#VALUE!</v>
      </c>
      <c r="GN211" s="433" t="e">
        <f t="shared" ca="1" si="596"/>
        <v>#VALUE!</v>
      </c>
      <c r="GO211" s="433" t="e">
        <f t="shared" ca="1" si="597"/>
        <v>#VALUE!</v>
      </c>
      <c r="GP211" s="433" t="e">
        <f t="shared" ca="1" si="598"/>
        <v>#VALUE!</v>
      </c>
      <c r="GQ211" s="433" t="e">
        <f t="shared" ca="1" si="599"/>
        <v>#VALUE!</v>
      </c>
      <c r="GR211" s="433" t="e">
        <f ca="1">MATCH(T211,INDIRECT(VLOOKUP(CONCATENATE(LEFT(BO211,7),"-",MID(BO211,13,1)),CLU!$P$3:$Q$16,2)),1)</f>
        <v>#N/A</v>
      </c>
      <c r="GS211" s="433" t="e">
        <f ca="1">MATCH(U211,INDIRECT(VLOOKUP(CONCATENATE(LEFT(BO211,7),"-",MID(BO211,13,1)),CLU!$P$3:$Q$16,2)),1)</f>
        <v>#N/A</v>
      </c>
      <c r="GT211" s="347" t="s">
        <v>512</v>
      </c>
      <c r="GU211" s="97" t="s">
        <v>513</v>
      </c>
      <c r="GV211" s="97" t="str">
        <f t="shared" si="600"/>
        <v>M23</v>
      </c>
      <c r="GW211" s="97" t="str">
        <f t="shared" si="601"/>
        <v>M31</v>
      </c>
      <c r="GX211" s="97" t="str">
        <f t="shared" si="602"/>
        <v/>
      </c>
      <c r="GY211" s="97" t="str">
        <f t="shared" si="603"/>
        <v/>
      </c>
      <c r="GZ211" s="481"/>
      <c r="HA211" s="288"/>
      <c r="HB211" s="240"/>
      <c r="HC211" s="240"/>
      <c r="HD211" s="240"/>
      <c r="HE211" s="240"/>
      <c r="HF211" s="240"/>
      <c r="HG211" s="240"/>
      <c r="HH211" s="240"/>
      <c r="HI211" s="240"/>
      <c r="HJ211" s="240"/>
      <c r="HK211" s="240"/>
      <c r="HL211" s="240"/>
      <c r="HM211" s="240"/>
      <c r="HN211" s="240"/>
      <c r="HO211" s="240"/>
      <c r="HP211" s="240"/>
      <c r="HQ211" s="240"/>
      <c r="HR211" s="240"/>
      <c r="HS211" s="240"/>
      <c r="HT211" s="240"/>
      <c r="HU211" s="240"/>
      <c r="HV211" s="245"/>
      <c r="HW211" s="245" t="b">
        <v>1</v>
      </c>
      <c r="HX211" s="245" t="str">
        <f t="shared" si="488"/>
        <v/>
      </c>
      <c r="HY211" s="245" t="e">
        <f t="shared" si="489"/>
        <v>#DIV/0!</v>
      </c>
      <c r="HZ211" s="245" t="e">
        <f t="shared" si="490"/>
        <v>#DIV/0!</v>
      </c>
      <c r="IA211" s="245">
        <f t="shared" si="491"/>
        <v>0</v>
      </c>
      <c r="IB211" s="245"/>
      <c r="IC211" t="b">
        <f t="shared" si="492"/>
        <v>1</v>
      </c>
      <c r="ID211" s="245" t="b">
        <f t="shared" si="493"/>
        <v>1</v>
      </c>
      <c r="IE211" s="245" t="b">
        <f t="shared" si="494"/>
        <v>1</v>
      </c>
      <c r="IF211" s="245" t="b">
        <f t="shared" si="495"/>
        <v>0</v>
      </c>
      <c r="IG211" s="245" t="b">
        <f t="shared" si="496"/>
        <v>1</v>
      </c>
      <c r="IH211" s="245" t="b">
        <f t="shared" si="497"/>
        <v>1</v>
      </c>
      <c r="II211" s="245">
        <f t="shared" si="604"/>
        <v>0</v>
      </c>
      <c r="IJ211" s="245" t="e">
        <f t="shared" si="498"/>
        <v>#VALUE!</v>
      </c>
      <c r="IK211" s="245" t="e">
        <f t="shared" si="499"/>
        <v>#VALUE!</v>
      </c>
      <c r="IL211" s="245"/>
      <c r="IM211" s="245" t="e">
        <f t="shared" si="605"/>
        <v>#N/A</v>
      </c>
      <c r="IN211" s="245" t="e">
        <f t="shared" si="606"/>
        <v>#N/A</v>
      </c>
      <c r="IO211" s="245"/>
      <c r="IP211" s="245"/>
      <c r="IQ211" s="245" t="str">
        <f t="shared" si="500"/>
        <v/>
      </c>
      <c r="IR211" s="245" t="str">
        <f>IF(J211="","",VLOOKUP(J211,Worksheet!$R$4:$T$14,2))</f>
        <v/>
      </c>
      <c r="IS211" s="245"/>
      <c r="IT211" s="245">
        <f t="shared" si="501"/>
        <v>0</v>
      </c>
      <c r="IU211" s="245">
        <f t="shared" si="502"/>
        <v>0</v>
      </c>
      <c r="IV211" s="245">
        <f t="shared" si="503"/>
        <v>0</v>
      </c>
      <c r="IW211" s="245">
        <f t="shared" si="504"/>
        <v>0</v>
      </c>
      <c r="IX211" s="245">
        <f t="shared" si="607"/>
        <v>0</v>
      </c>
      <c r="IY211" s="245">
        <f t="shared" si="505"/>
        <v>0</v>
      </c>
      <c r="IZ211" s="245">
        <f t="shared" si="506"/>
        <v>0</v>
      </c>
      <c r="JA211">
        <f t="shared" si="507"/>
        <v>0</v>
      </c>
      <c r="JB211">
        <f t="shared" si="608"/>
        <v>0</v>
      </c>
      <c r="JC211">
        <f t="shared" si="508"/>
        <v>0</v>
      </c>
      <c r="JD211">
        <f t="shared" si="509"/>
        <v>0</v>
      </c>
      <c r="JE211">
        <f t="shared" si="510"/>
        <v>0</v>
      </c>
      <c r="JF211">
        <f t="shared" si="511"/>
        <v>0</v>
      </c>
      <c r="JG211">
        <f t="shared" si="512"/>
        <v>0</v>
      </c>
      <c r="JH211">
        <f t="shared" si="513"/>
        <v>0</v>
      </c>
      <c r="JI211">
        <f t="shared" si="514"/>
        <v>0</v>
      </c>
      <c r="JJ211" s="447">
        <f t="shared" si="515"/>
        <v>0</v>
      </c>
      <c r="JK211" s="447">
        <f t="shared" si="516"/>
        <v>0</v>
      </c>
      <c r="JL211">
        <f t="shared" si="517"/>
        <v>0</v>
      </c>
      <c r="JM211" s="245" t="str">
        <f>IFERROR(VLOOKUP(MATCH(BN211,#REF!,0),#REF!,7),"")</f>
        <v/>
      </c>
      <c r="JN211" t="e">
        <f>HLOOKUP(LEFT(BO211,7),Discharge_Area,MATCH(JO211,LookUps!$B$130:$B$149,1)+2)</f>
        <v>#N/A</v>
      </c>
      <c r="JO211" t="str">
        <f t="shared" si="518"/>
        <v>- S</v>
      </c>
      <c r="JP211" t="e">
        <f>HLOOKUP(LEFT(BO211,7),Discharge_Area,MATCH(JO211,LookUps!$B$130:$B$149,1)+2)</f>
        <v>#N/A</v>
      </c>
      <c r="JQ211" t="e">
        <f t="shared" si="519"/>
        <v>#N/A</v>
      </c>
      <c r="JR211" t="e">
        <f t="shared" si="520"/>
        <v>#N/A</v>
      </c>
      <c r="JS211" t="e">
        <f t="shared" si="521"/>
        <v>#N/A</v>
      </c>
      <c r="JT211" s="532" t="str">
        <f t="shared" si="522"/>
        <v xml:space="preserve"> </v>
      </c>
      <c r="JU211" s="532" t="str">
        <f t="shared" si="523"/>
        <v xml:space="preserve"> </v>
      </c>
      <c r="JV211" s="533" t="str">
        <f t="shared" si="524"/>
        <v xml:space="preserve"> </v>
      </c>
      <c r="JW211" s="534">
        <f t="shared" si="525"/>
        <v>0</v>
      </c>
      <c r="JX211" s="535" t="str">
        <f t="shared" si="609"/>
        <v xml:space="preserve"> </v>
      </c>
      <c r="JY211" s="535" t="str">
        <f t="shared" si="610"/>
        <v xml:space="preserve"> </v>
      </c>
      <c r="JZ211" s="535" t="str">
        <f t="shared" si="611"/>
        <v xml:space="preserve"> </v>
      </c>
      <c r="KA211" s="536" t="str">
        <f t="shared" si="526"/>
        <v xml:space="preserve"> </v>
      </c>
      <c r="KB211" s="535" t="e">
        <f t="shared" si="612"/>
        <v>#VALUE!</v>
      </c>
      <c r="KC211" s="535" t="str">
        <f t="shared" si="527"/>
        <v/>
      </c>
      <c r="KD211" s="537" t="str">
        <f t="shared" si="613"/>
        <v xml:space="preserve"> </v>
      </c>
      <c r="KE211" s="537" t="str">
        <f t="shared" si="614"/>
        <v xml:space="preserve"> </v>
      </c>
      <c r="KF211" s="534">
        <f t="shared" si="528"/>
        <v>0</v>
      </c>
      <c r="KG211" s="535" t="str">
        <f t="shared" si="529"/>
        <v xml:space="preserve"> </v>
      </c>
      <c r="KH211" s="535" t="str">
        <f t="shared" si="530"/>
        <v xml:space="preserve"> </v>
      </c>
      <c r="KI211" s="535" t="str">
        <f t="shared" si="531"/>
        <v xml:space="preserve"> </v>
      </c>
      <c r="KJ211" s="536" t="str">
        <f t="shared" si="532"/>
        <v xml:space="preserve"> </v>
      </c>
      <c r="KK211" s="535" t="str">
        <f t="shared" si="615"/>
        <v xml:space="preserve"> </v>
      </c>
      <c r="KL211" s="535" t="str">
        <f t="shared" si="616"/>
        <v xml:space="preserve"> </v>
      </c>
      <c r="KM211" s="537" t="str">
        <f t="shared" si="533"/>
        <v xml:space="preserve"> </v>
      </c>
      <c r="KN211" s="537" t="str">
        <f t="shared" si="617"/>
        <v xml:space="preserve"> </v>
      </c>
      <c r="KP211">
        <f t="shared" si="534"/>
        <v>0</v>
      </c>
      <c r="LA211" t="e">
        <f t="shared" si="535"/>
        <v>#VALUE!</v>
      </c>
      <c r="LB211" t="e">
        <f t="shared" si="536"/>
        <v>#VALUE!</v>
      </c>
      <c r="LC211" t="e">
        <f t="shared" si="537"/>
        <v>#VALUE!</v>
      </c>
      <c r="LD211" t="e">
        <f t="shared" si="538"/>
        <v>#VALUE!</v>
      </c>
      <c r="LE211" t="e">
        <f t="shared" si="618"/>
        <v>#VALUE!</v>
      </c>
      <c r="LF211">
        <f t="shared" si="539"/>
        <v>0</v>
      </c>
      <c r="LG211" t="e">
        <f t="shared" si="619"/>
        <v>#VALUE!</v>
      </c>
      <c r="LH211" t="str">
        <f t="shared" si="540"/>
        <v xml:space="preserve"> </v>
      </c>
      <c r="LI211">
        <f t="shared" si="620"/>
        <v>1</v>
      </c>
    </row>
    <row r="212" spans="2:321" ht="15" customHeight="1">
      <c r="B212" s="311"/>
      <c r="C212" s="311"/>
      <c r="D212" s="312"/>
      <c r="E212" s="311"/>
      <c r="F212" s="312"/>
      <c r="G212" s="311"/>
      <c r="H212" s="311"/>
      <c r="I212" s="232"/>
      <c r="J212" s="311"/>
      <c r="K212" s="305" t="str">
        <f t="shared" si="541"/>
        <v/>
      </c>
      <c r="L212" s="313"/>
      <c r="M212" s="312"/>
      <c r="N212" s="311"/>
      <c r="O212" s="312"/>
      <c r="P212" s="311"/>
      <c r="Q212" s="305" t="str">
        <f t="shared" si="542"/>
        <v/>
      </c>
      <c r="R212" s="314"/>
      <c r="S212" s="450" t="str">
        <f t="shared" si="425"/>
        <v/>
      </c>
      <c r="T212" s="315"/>
      <c r="U212" s="315"/>
      <c r="W212" s="149" t="str">
        <f t="shared" si="426"/>
        <v xml:space="preserve"> </v>
      </c>
      <c r="X212" s="243" t="str">
        <f t="shared" si="427"/>
        <v xml:space="preserve"> </v>
      </c>
      <c r="Y212" s="150" t="str">
        <f t="shared" si="428"/>
        <v/>
      </c>
      <c r="Z212" s="149" t="str">
        <f t="shared" si="429"/>
        <v xml:space="preserve"> </v>
      </c>
      <c r="AA212" s="98" t="str">
        <f t="shared" si="430"/>
        <v xml:space="preserve"> </v>
      </c>
      <c r="AB212" s="153" t="str">
        <f t="shared" si="431"/>
        <v xml:space="preserve"> </v>
      </c>
      <c r="AC212" s="153" t="str">
        <f t="shared" si="432"/>
        <v xml:space="preserve"> </v>
      </c>
      <c r="AD212" s="148" t="str">
        <f t="shared" si="433"/>
        <v/>
      </c>
      <c r="AE212" s="149" t="str">
        <f t="shared" si="434"/>
        <v/>
      </c>
      <c r="AF212" s="151" t="str">
        <f t="shared" si="435"/>
        <v xml:space="preserve"> </v>
      </c>
      <c r="AG212" s="153" t="str">
        <f t="shared" si="436"/>
        <v xml:space="preserve"> </v>
      </c>
      <c r="AH212" s="98" t="str">
        <f t="shared" si="437"/>
        <v xml:space="preserve"> </v>
      </c>
      <c r="AI212" s="149" t="str">
        <f t="shared" si="438"/>
        <v xml:space="preserve"> </v>
      </c>
      <c r="AK212" s="144" t="str">
        <f t="shared" si="439"/>
        <v xml:space="preserve"> </v>
      </c>
      <c r="AL212" s="144"/>
      <c r="AM212" s="243" t="str">
        <f t="shared" si="440"/>
        <v xml:space="preserve"> </v>
      </c>
      <c r="AN212" s="149" t="str">
        <f t="shared" si="543"/>
        <v xml:space="preserve"> </v>
      </c>
      <c r="AO212" s="144" t="str">
        <f>IF(JB212&gt;0,IF(GI212=10,-R212*1.085*(Calculation!$F$6-Calculation!$F$13)*$S$14," "),"")</f>
        <v/>
      </c>
      <c r="AP212" s="144" t="str">
        <f t="shared" si="441"/>
        <v/>
      </c>
      <c r="AQ212" s="56" t="str">
        <f t="shared" si="442"/>
        <v/>
      </c>
      <c r="AR212" s="144" t="str">
        <f t="shared" si="443"/>
        <v/>
      </c>
      <c r="AS212" s="176" t="str">
        <f t="shared" si="444"/>
        <v/>
      </c>
      <c r="AT212" s="176" t="str">
        <f t="shared" si="544"/>
        <v xml:space="preserve"> </v>
      </c>
      <c r="AU212" s="176" t="str">
        <f t="shared" si="445"/>
        <v/>
      </c>
      <c r="AV212" s="177" t="str">
        <f t="shared" si="446"/>
        <v xml:space="preserve"> </v>
      </c>
      <c r="AW212" s="144" t="str">
        <f t="shared" si="447"/>
        <v xml:space="preserve"> </v>
      </c>
      <c r="AX212" s="144" t="str">
        <f t="shared" si="448"/>
        <v xml:space="preserve"> </v>
      </c>
      <c r="AY212" s="152" t="str">
        <f t="shared" si="449"/>
        <v xml:space="preserve"> </v>
      </c>
      <c r="AZ212" s="246" t="str">
        <f t="shared" si="450"/>
        <v/>
      </c>
      <c r="BA212" s="176" t="str">
        <f t="shared" si="451"/>
        <v xml:space="preserve"> </v>
      </c>
      <c r="BB212" s="176" t="str">
        <f t="shared" si="452"/>
        <v xml:space="preserve"> </v>
      </c>
      <c r="BC212" s="195"/>
      <c r="BD212" s="316"/>
      <c r="BE212" s="317"/>
      <c r="BF212" s="318"/>
      <c r="BG212" s="318"/>
      <c r="BH212" s="144" t="str">
        <f t="shared" si="621"/>
        <v xml:space="preserve"> </v>
      </c>
      <c r="BI212" s="176" t="str">
        <f t="shared" si="453"/>
        <v/>
      </c>
      <c r="BJ212" s="144" t="str">
        <f t="shared" si="622"/>
        <v/>
      </c>
      <c r="BK212" s="246" t="str">
        <f t="shared" si="454"/>
        <v/>
      </c>
      <c r="BL212" s="144" t="str">
        <f t="shared" si="623"/>
        <v/>
      </c>
      <c r="BM212" s="246" t="str">
        <f t="shared" si="455"/>
        <v/>
      </c>
      <c r="BN212" s="337" t="str">
        <f t="shared" si="545"/>
        <v/>
      </c>
      <c r="BO212" s="371" t="str">
        <f t="shared" si="546"/>
        <v/>
      </c>
      <c r="BP212" s="328" t="str">
        <f t="shared" si="624"/>
        <v xml:space="preserve"> </v>
      </c>
      <c r="BQ212" s="347" t="str">
        <f t="shared" si="547"/>
        <v xml:space="preserve"> </v>
      </c>
      <c r="BR212" s="353" t="str">
        <f t="shared" si="548"/>
        <v xml:space="preserve"> </v>
      </c>
      <c r="BS212" s="626" t="str">
        <f>IF(L212&gt;0,IF(Calculation!P212="M13",BR212*3.1416*(0.134^2)/(4*144),IF(Calculation!P212="M17",BR212*3.1416*(0.165^2)/(4*144),IF(Calculation!P212="M20",BR212*3.1416*(0.198^2)/(4*144),IF(Calculation!P212="M23",BR212*3.1416*(0.228^2)/(4*144),IF(Calculation!P212="M27",BR212*3.1416*(0.269^2)/(4*144),BR212*3.1416*(0.307^2)/(4*144))))))," ")</f>
        <v xml:space="preserve"> </v>
      </c>
      <c r="BT212" s="353" t="str">
        <f>IF(L212&gt;0,IF(BS212&gt;0,R212/Calculation!BS212,0)," ")</f>
        <v xml:space="preserve"> </v>
      </c>
      <c r="BU212" s="438" t="e">
        <f t="shared" ca="1" si="456"/>
        <v>#VALUE!</v>
      </c>
      <c r="BV212" s="449" t="e">
        <f ca="1">INDEX(INDIRECT(VLOOKUP(LEFT(BO212,7),CLU!$Z$3:$AH$18,2)),GN212,GR212)</f>
        <v>#N/A</v>
      </c>
      <c r="BW212" s="433" t="e">
        <f ca="1">INDEX(INDIRECT(VLOOKUP(LEFT(BO212,7),CLU!$Z$3:$AH$18,3)),GN212,GR212)</f>
        <v>#N/A</v>
      </c>
      <c r="BX212" s="433" t="e">
        <f ca="1">INDEX(INDIRECT(VLOOKUP(LEFT(BO212,7),CLU!$Z$3:$AH$18,4)),GN212,GR212)</f>
        <v>#N/A</v>
      </c>
      <c r="BY212" s="433" t="e">
        <f ca="1">INDEX(INDIRECT(VLOOKUP(LEFT(BO212,7),CLU!$Z$3:$AH$18,9)),((M212-2)*(6-COUNTBLANK(GT212:GY212)))+GJ212)</f>
        <v>#N/A</v>
      </c>
      <c r="BZ212" s="426" t="e">
        <f t="shared" ca="1" si="549"/>
        <v>#N/A</v>
      </c>
      <c r="CA212" s="424" t="e">
        <f t="shared" ca="1" si="550"/>
        <v>#N/A</v>
      </c>
      <c r="CB212" s="429" t="e">
        <f ca="1">INDEX(INDIRECT(VLOOKUP(LEFT(BO212,7),CLU!$Z$3:$AH$18,2)),GN212,GS212)</f>
        <v>#N/A</v>
      </c>
      <c r="CC212" s="342" t="e">
        <f ca="1">INDEX(INDIRECT(VLOOKUP(LEFT(BO212,7),CLU!$Z$3:$AH$18,3)),GN212,GS212)</f>
        <v>#N/A</v>
      </c>
      <c r="CD212" s="342" t="e">
        <f ca="1">INDEX(INDIRECT(VLOOKUP(LEFT(BO212,7),CLU!$Z$3:$AH$18,4)),GN212,GS212)</f>
        <v>#N/A</v>
      </c>
      <c r="CE212" s="426" t="e">
        <f t="shared" ca="1" si="551"/>
        <v>#N/A</v>
      </c>
      <c r="CF212" s="440">
        <f t="shared" si="552"/>
        <v>0</v>
      </c>
      <c r="CG212" s="431" t="e">
        <f ca="1">INDEX(INDIRECT(VLOOKUP(LEFT(BO212,7),CLU!$Z$3:$AH$18,2)),GQ212,GR212)</f>
        <v>#N/A</v>
      </c>
      <c r="CH212" s="431" t="e">
        <f ca="1">INDEX(INDIRECT(VLOOKUP(LEFT(BO212,7),CLU!$Z$3:$AH$18,3)),GQ212,GR212)</f>
        <v>#N/A</v>
      </c>
      <c r="CI212" s="431" t="e">
        <f ca="1">INDEX(INDIRECT(VLOOKUP(LEFT(BO212,7),CLU!$Z$3:$AH$18,4)),GQ212,GR212)</f>
        <v>#N/A</v>
      </c>
      <c r="CJ212" s="448" t="e">
        <f t="shared" ca="1" si="553"/>
        <v>#N/A</v>
      </c>
      <c r="CK212" s="431" t="e">
        <f t="shared" ca="1" si="554"/>
        <v>#N/A</v>
      </c>
      <c r="CL212" s="440" t="e">
        <f t="shared" ca="1" si="555"/>
        <v>#N/A</v>
      </c>
      <c r="CM212" s="431" t="e">
        <f ca="1">INDEX(INDIRECT(VLOOKUP(LEFT(BO212,7),CLU!$Z$3:$AH$18,2)),GQ212,GS212)</f>
        <v>#N/A</v>
      </c>
      <c r="CN212" s="431" t="e">
        <f ca="1">INDEX(INDIRECT(VLOOKUP(LEFT(BO212,7),CLU!$Z$3:$AH$18,3)),GQ212,GS212)</f>
        <v>#N/A</v>
      </c>
      <c r="CO212" s="431" t="e">
        <f ca="1">INDEX(INDIRECT(VLOOKUP(LEFT(BO212,7),CLU!$Z$3:$AH$18,4)),GQ212,GS212)</f>
        <v>#N/A</v>
      </c>
      <c r="CP212" s="431" t="e">
        <f t="shared" ca="1" si="556"/>
        <v>#N/A</v>
      </c>
      <c r="CQ212" s="440">
        <f t="shared" si="557"/>
        <v>0</v>
      </c>
      <c r="CR212" s="51" t="e">
        <f t="shared" ca="1" si="558"/>
        <v>#N/A</v>
      </c>
      <c r="CS212" s="439" t="e">
        <f t="shared" ca="1" si="559"/>
        <v>#VALUE!</v>
      </c>
      <c r="CT212" s="51" t="e">
        <f t="shared" ca="1" si="560"/>
        <v>#VALUE!</v>
      </c>
      <c r="CU212" s="10"/>
      <c r="CV212" s="51" t="e">
        <f t="shared" ca="1" si="457"/>
        <v>#VALUE!</v>
      </c>
      <c r="CW212" s="51">
        <f t="shared" si="561"/>
        <v>0</v>
      </c>
      <c r="CX212" s="439" t="e">
        <f t="shared" ca="1" si="562"/>
        <v>#VALUE!</v>
      </c>
      <c r="CY212" s="51" t="e">
        <f t="shared" ca="1" si="563"/>
        <v>#VALUE!</v>
      </c>
      <c r="CZ212" s="10"/>
      <c r="DA212" s="51" t="e">
        <f t="shared" ca="1" si="564"/>
        <v>#VALUE!</v>
      </c>
      <c r="DB212" s="347" t="e">
        <f ca="1">INDEX(INDIRECT(VLOOKUP(LEFT(BO212,7),CLU!$Z$3:$AI$18,10)),((M212-2)*(6-COUNTBLANK(GT212:GY212)))+GJ212)*LI212</f>
        <v>#N/A</v>
      </c>
      <c r="DC212" s="347" t="str">
        <f>IF(L212&gt;0,((R212/Worksheet!$I$15)/DB212)^2," ")</f>
        <v xml:space="preserve"> </v>
      </c>
      <c r="DD212" s="602" t="str">
        <f t="shared" si="565"/>
        <v xml:space="preserve"> </v>
      </c>
      <c r="DE212" s="347" t="str">
        <f t="shared" si="458"/>
        <v xml:space="preserve"> </v>
      </c>
      <c r="DF212" s="356" t="e">
        <f ca="1">INDEX(INDIRECT(VLOOKUP(LEFT(BO212,7),CLU!$Z$3:$AH$18,8)),((M212-2)*(6-COUNTBLANK(GT212:GY212)))+GJ212)</f>
        <v>#N/A</v>
      </c>
      <c r="DG212" s="347" t="str">
        <f t="shared" si="459"/>
        <v xml:space="preserve"> </v>
      </c>
      <c r="DH212" s="357" t="str">
        <f t="shared" si="460"/>
        <v xml:space="preserve"> </v>
      </c>
      <c r="DI212" s="355" t="str">
        <f t="shared" si="461"/>
        <v xml:space="preserve"> </v>
      </c>
      <c r="DJ212" s="245" t="e">
        <f ca="1">INDEX(INDIRECT(VLOOKUP(LEFT(BO212,7),CLU!$Z$3:$AH$18,5)),GL212,GK212)</f>
        <v>#N/A</v>
      </c>
      <c r="DK212" s="245" t="e">
        <f ca="1">INDEX(INDIRECT(VLOOKUP(LEFT(BO212,7),CLU!$Z$3:$AH$18,6)),GL212,GK212)</f>
        <v>#N/A</v>
      </c>
      <c r="DL212" s="355">
        <f>(Calculation!R212*0.69143*(Calculation!$BQ$8-Calculation!$F$8))*$S$14</f>
        <v>0</v>
      </c>
      <c r="DM212" s="359" t="e">
        <f t="shared" si="566"/>
        <v>#VALUE!</v>
      </c>
      <c r="DN212" s="611">
        <f t="shared" si="567"/>
        <v>0</v>
      </c>
      <c r="DO212" s="359">
        <f t="shared" si="568"/>
        <v>100</v>
      </c>
      <c r="DP212" s="359">
        <f t="shared" si="569"/>
        <v>0</v>
      </c>
      <c r="DQ212" s="360"/>
      <c r="DR212" s="245" t="e">
        <f ca="1">INDEX(INDIRECT(VLOOKUP(LEFT(BO212,7),CLU!$Z$3:$AH$18,7)),M212-1,1)</f>
        <v>#N/A</v>
      </c>
      <c r="DS212" s="245" t="e">
        <f ca="1">INDEX(INDIRECT(VLOOKUP(LEFT(BO212,7),CLU!$Z$3:$AH$18,7)),M212-1,2)</f>
        <v>#N/A</v>
      </c>
      <c r="DT212" s="245" t="e">
        <f ca="1">INDEX(INDIRECT(VLOOKUP(LEFT(BO212,7),CLU!$Z$3:$AH$18,7)),M212-1,3)</f>
        <v>#N/A</v>
      </c>
      <c r="DU212" s="245" t="e">
        <f ca="1">INDEX(INDIRECT(VLOOKUP(LEFT(BO212,7),CLU!$Z$3:$AH$18,7)),M212-1,4)</f>
        <v>#N/A</v>
      </c>
      <c r="DV212" s="361" t="e">
        <f ca="1">INDEX(INDIRECT(VLOOKUP(LEFT(BO212,7),CLU!$Z$3:$AH$18,7)),M212-1,4+LEFT(DZ212,1)*0.5)</f>
        <v>#N/A</v>
      </c>
      <c r="DW212" s="245" t="e">
        <f ca="1">INDEX(INDIRECT(VLOOKUP(LEFT(BO212,7),CLU!$Z$3:$AH$18,7)),M212-1,8)</f>
        <v>#N/A</v>
      </c>
      <c r="DX212" s="361" t="str">
        <f t="shared" si="462"/>
        <v xml:space="preserve"> </v>
      </c>
      <c r="DY212" s="361" t="str">
        <f t="shared" si="463"/>
        <v xml:space="preserve"> </v>
      </c>
      <c r="DZ212" s="361" t="str">
        <f t="shared" si="464"/>
        <v xml:space="preserve"> </v>
      </c>
      <c r="EA212" s="362" t="str">
        <f t="shared" si="465"/>
        <v xml:space="preserve"> </v>
      </c>
      <c r="EB212" s="624" t="str">
        <f t="shared" si="570"/>
        <v xml:space="preserve"> </v>
      </c>
      <c r="EC212" s="361" t="e">
        <f ca="1">INDEX(INDIRECT(VLOOKUP(LEFT(BO212,7),CLU!$Z$3:$AH$18,7)),M212-1,4+LEFT(DZ212,1)*0.5)</f>
        <v>#N/A</v>
      </c>
      <c r="ED212" s="362" t="str">
        <f t="shared" si="466"/>
        <v xml:space="preserve"> </v>
      </c>
      <c r="EE212" s="361" t="str">
        <f t="shared" si="467"/>
        <v xml:space="preserve"> </v>
      </c>
      <c r="EF212" s="362" t="str">
        <f>IF(L212&gt;0,IF(BR212&gt;0,IF(EE212="2P",IF(Calculation!DZ212="2P",IF(Calculation!DS212=13.75,IF(Calculation!DR212=13,Worksheet!$BD$43,IF(Calculation!DR212=37,Worksheet!$BD$44,Worksheet!$BD$45)),IF(Calculation!DS212=10,IF(Calculation!DR212=18,Worksheet!$BD$29,IF(Calculation!DR212=30,Worksheet!$BD$30,IF(Calculation!DR212=42,Worksheet!$BD$31,IF(Calculation!DR212=54,Worksheet!$BD$32,IF(Calculation!DR212=66,Worksheet!$BD$33,IF(Calculation!DR212=78,Worksheet!$BD$34,IF(Calculation!DR212=90,Worksheet!$BD$35,IF(Calculation!DR212=102,Worksheet!$BD$36,Worksheet!$BD$37)))))))),IF(Calculation!DS212=12.5,IF(Calculation!DR212=18,Worksheet!$BD$38,IF(Calculation!DR212=Worksheet!$BD$39,IF(Calculation!DR212=42,Worksheet!$BD$40,IF(Calculation!DR212=54,Worksheet!$BD$41,Worksheet!$BD$42)))),IF(Calculation!DR212=18,Worksheet!$BD$11,IF(Calculation!DR212=30,Worksheet!$BD$12,IF(Calculation!DR212=42,Worksheet!$BD$13,IF(Calculation!DR212=54,Worksheet!$BD$14,IF(Calculation!DR212=66,Worksheet!$BD$15,IF(Calculation!DR212=78,Worksheet!$BD$16,IF(Calculation!DR212=90,Worksheet!$BD$17,IF(Calculation!DR212=102,Worksheet!$BD$18,Worksheet!$BD$19))))))))))),IF(Calculation!DS212=13.75,IF(Calculation!DR212=13,Worksheet!$BD$78,IF(Calculation!DR212=37,Worksheet!$BD$79,Worksheet!$BD$80)),IF(Calculation!DS212=10,IF(Calculation!DR212=18,Worksheet!$BD$64,IF(Calculation!DR212=30,Worksheet!$BD$65,IF(Calculation!DR212=42,Worksheet!$BD$66,IF(Calculation!DR212=54,Worksheet!$BD$68,IF(Calculation!DR212=66,Worksheet!$BD$68,IF(Calculation!DR212=78,Worksheet!$BD$69,IF(Calculation!DR212=90,Worksheet!$BD$70,IF(Calculation!DR212=102,Worksheet!$BD$71,Worksheet!$BD$72)))))))),IF(Calculation!DS212=12.5,IF(Calculation!DR212=18,Worksheet!$BD$73,IF(Calculation!DR212=Worksheet!$BD$74,IF(Calculation!DR212=42,Worksheet!$BD$75,IF(Calculation!DR212=54,Worksheet!$BD$76,Worksheet!$BD$77)))),IF(Calculation!DR212=18,Worksheet!$BD$55,IF(Calculation!DR212=30,Worksheet!$BD$56,IF(Calculation!DR212=42,Worksheet!$BD$57,IF(Calculation!DR212=54,Worksheet!$BD$58,IF(Calculation!DR212=66,Worksheet!$BD$59,IF(Calculation!DR212=78,Worksheet!$BD$60,IF(Calculation!DR212=90,Worksheet!$BD$61,IF(Calculation!DR212=102,Worksheet!$BD$62,Worksheet!$BD$63)))))))))))),5),0)," ")</f>
        <v xml:space="preserve"> </v>
      </c>
      <c r="EG212" s="361" t="str">
        <f t="shared" si="468"/>
        <v xml:space="preserve"> </v>
      </c>
      <c r="EH212" s="361" t="e">
        <f ca="1">INDEX(INDIRECT(VLOOKUP(LEFT(BO212,7),CLU!$Z$3:$AH$18,7)),M212-1,3+LEFT(DZ212,1))</f>
        <v>#N/A</v>
      </c>
      <c r="EI212" s="362" t="str">
        <f t="shared" si="469"/>
        <v xml:space="preserve"> </v>
      </c>
      <c r="EJ212" s="363" t="str">
        <f t="shared" si="470"/>
        <v xml:space="preserve"> </v>
      </c>
      <c r="EK212" s="363" t="str">
        <f t="shared" si="471"/>
        <v xml:space="preserve"> </v>
      </c>
      <c r="EL212" s="363" t="str">
        <f t="shared" si="472"/>
        <v xml:space="preserve"> </v>
      </c>
      <c r="EM212" s="362" t="str">
        <f>IF(L212&gt;0,IF(BR212&gt;0,(Calculation!T212/ED212)^2,0)," ")</f>
        <v xml:space="preserve"> </v>
      </c>
      <c r="EN212" s="362" t="str">
        <f>IF(L212&gt;0,IF(O212="2 Pipe (Cooling)","N/A",IF(BR212&gt;0,(Calculation!U212/EI212)^2,0))," ")</f>
        <v xml:space="preserve"> </v>
      </c>
      <c r="EO212" s="361" t="str">
        <f t="shared" si="473"/>
        <v/>
      </c>
      <c r="EP212" s="361" t="str">
        <f t="shared" si="474"/>
        <v/>
      </c>
      <c r="EQ212" s="361" t="str">
        <f t="shared" si="475"/>
        <v/>
      </c>
      <c r="ER212" s="361" t="str">
        <f t="shared" si="476"/>
        <v/>
      </c>
      <c r="ES212" s="361" t="str">
        <f t="shared" si="477"/>
        <v/>
      </c>
      <c r="ET212" s="361" t="str">
        <f t="shared" si="478"/>
        <v/>
      </c>
      <c r="EU212" s="361" t="str">
        <f t="shared" si="479"/>
        <v/>
      </c>
      <c r="EV212" s="361" t="str">
        <f t="shared" si="480"/>
        <v/>
      </c>
      <c r="EW212" s="361" t="str">
        <f t="shared" si="481"/>
        <v/>
      </c>
      <c r="EX212" s="361" t="str">
        <f t="shared" si="571"/>
        <v>1 slot, 1 way</v>
      </c>
      <c r="EY212" s="361" t="str">
        <f t="shared" si="572"/>
        <v xml:space="preserve"> </v>
      </c>
      <c r="EZ212" s="361" t="str">
        <f t="shared" si="573"/>
        <v xml:space="preserve"> </v>
      </c>
      <c r="FA212" s="361" t="str">
        <f t="shared" si="574"/>
        <v xml:space="preserve"> </v>
      </c>
      <c r="FB212" s="361" t="str">
        <f t="shared" si="575"/>
        <v xml:space="preserve"> </v>
      </c>
      <c r="FC212" s="361"/>
      <c r="FD212" s="361" t="str">
        <f>IF(J212&gt;0,IF(Calculation!R212&lt;=70,4,IF(Calculation!R212&lt;=110,5,IF(Calculation!R212&lt;=160,6,IF(Calculation!R212&lt;=300,8,"10 EO")))),"")</f>
        <v/>
      </c>
      <c r="FE212" s="361" t="str">
        <f t="shared" si="576"/>
        <v/>
      </c>
      <c r="FF212" s="361" t="str">
        <f t="shared" si="577"/>
        <v/>
      </c>
      <c r="FG212" s="361" t="e">
        <f t="shared" si="482"/>
        <v>#N/A</v>
      </c>
      <c r="FH212" s="361">
        <f t="shared" si="483"/>
        <v>0</v>
      </c>
      <c r="FI212" s="361" t="e">
        <f t="shared" si="484"/>
        <v>#DIV/0!</v>
      </c>
      <c r="FJ212" s="361"/>
      <c r="FK212" s="356" t="e">
        <f t="shared" si="485"/>
        <v>#VALUE!</v>
      </c>
      <c r="FL212" s="361"/>
      <c r="FM212" s="361"/>
      <c r="FN212" s="362" t="str">
        <f t="shared" si="578"/>
        <v xml:space="preserve"> </v>
      </c>
      <c r="FO212" s="362" t="str">
        <f t="shared" si="579"/>
        <v xml:space="preserve"> </v>
      </c>
      <c r="FP212" s="362">
        <f t="shared" si="580"/>
        <v>0</v>
      </c>
      <c r="FQ212" s="361">
        <f t="shared" si="486"/>
        <v>0</v>
      </c>
      <c r="FR212" s="362" t="str">
        <f>IF(L212&gt;0,IF(J212="CBAL2",Worksheet!$P$67,IF(J212="CBE2-24",Worksheet!$Q$67,IF(J212="CBAM",Worksheet!$R$67,IF(J212="CBLV",Worksheet!$S$67,IF(J212="CBAB",Worksheet!$U$67,IF(J212="CBAW",Worksheet!$X$67,IF(J212="CBE2-12",Worksheet!$Y$67,IF(J212="CBAL2",Worksheet!$Z$67,"N/A"))))))))," ")</f>
        <v xml:space="preserve"> </v>
      </c>
      <c r="FS212" s="362" t="str">
        <f>IF(L212&gt;0,IF(J212="CBAL2",Worksheet!$P$68,IF(J212="CBE2-24",Worksheet!$Q$68,IF(J212="CBAM",Worksheet!$R$68,IF(J212="CBLV",Worksheet!$S$68,IF(J212="CBAB",Worksheet!$U$68,IF(J212="CBAW",Worksheet!$X$68,IF(J212="CBE2-12",Worksheet!$Y$68,IF(J212="CBAL2",Worksheet!$Z$68,"N/A"))))))))," ")</f>
        <v xml:space="preserve"> </v>
      </c>
      <c r="FT212" s="362" t="str">
        <f>IF(L212&gt;0,IF(J212="CBAL2",Worksheet!$P$69,IF(J212="CBE2-24",Worksheet!$Q$69,IF(J212="CBAM",Worksheet!$R$69,IF(J212="CBLV",Worksheet!$S$69,IF(J212="CBAB",Worksheet!$U$69,IF(J212="CBAW",Worksheet!$X$69,IF(J212="CBE2-12",Worksheet!$Y$69,IF(J212="CBAL2",Worksheet!$Z$69,"N/A"))))))))," ")</f>
        <v xml:space="preserve"> </v>
      </c>
      <c r="FU212" s="361" t="str">
        <f t="shared" si="581"/>
        <v xml:space="preserve"> </v>
      </c>
      <c r="FV212" s="362" t="str">
        <f t="shared" si="582"/>
        <v xml:space="preserve"> </v>
      </c>
      <c r="FW212" s="362" t="str">
        <f t="shared" si="583"/>
        <v xml:space="preserve"> </v>
      </c>
      <c r="FX212" s="362" t="str">
        <f t="shared" si="584"/>
        <v xml:space="preserve"> </v>
      </c>
      <c r="FY212" s="355" t="str">
        <f t="shared" si="585"/>
        <v xml:space="preserve"> </v>
      </c>
      <c r="FZ212" s="361" t="str">
        <f t="shared" si="586"/>
        <v xml:space="preserve"> </v>
      </c>
      <c r="GA212" s="347" t="str">
        <f t="shared" si="587"/>
        <v xml:space="preserve"> </v>
      </c>
      <c r="GB212" s="355" t="str">
        <f t="shared" si="588"/>
        <v xml:space="preserve"> </v>
      </c>
      <c r="GC212" s="328" t="str">
        <f t="shared" si="589"/>
        <v xml:space="preserve"> </v>
      </c>
      <c r="GD212" s="361" t="str">
        <f t="shared" si="590"/>
        <v xml:space="preserve"> </v>
      </c>
      <c r="GE212" s="347" t="str">
        <f t="shared" si="591"/>
        <v xml:space="preserve"> </v>
      </c>
      <c r="GF212" s="361" t="str">
        <f t="shared" si="592"/>
        <v xml:space="preserve"> </v>
      </c>
      <c r="GG212" s="347" t="str">
        <f t="shared" si="593"/>
        <v xml:space="preserve"> </v>
      </c>
      <c r="GH212" s="364">
        <f t="shared" si="487"/>
        <v>0</v>
      </c>
      <c r="GI212" s="362">
        <f t="shared" si="594"/>
        <v>2</v>
      </c>
      <c r="GJ212" s="433" t="e">
        <f>IF(6-COUNTBLANK(GT212:GY212)=4,MATCH(MID(BO212,9,3),CLU!$H$16:$K$16),MATCH(MID(BO212,9,3),CLU!$H$13:$M$13))</f>
        <v>#N/A</v>
      </c>
      <c r="GK212" s="433" t="e">
        <f>HLOOKUP(VALUE(BP212),CLU!$H$9:$M$10,2)</f>
        <v>#VALUE!</v>
      </c>
      <c r="GL212" s="433" t="e">
        <f ca="1">MATCH(BU212,CLU!$H$2:$V$2,1)</f>
        <v>#VALUE!</v>
      </c>
      <c r="GM212" s="433" t="e">
        <f t="shared" ca="1" si="595"/>
        <v>#VALUE!</v>
      </c>
      <c r="GN212" s="433" t="e">
        <f t="shared" ca="1" si="596"/>
        <v>#VALUE!</v>
      </c>
      <c r="GO212" s="433" t="e">
        <f t="shared" ca="1" si="597"/>
        <v>#VALUE!</v>
      </c>
      <c r="GP212" s="433" t="e">
        <f t="shared" ca="1" si="598"/>
        <v>#VALUE!</v>
      </c>
      <c r="GQ212" s="433" t="e">
        <f t="shared" ca="1" si="599"/>
        <v>#VALUE!</v>
      </c>
      <c r="GR212" s="433" t="e">
        <f ca="1">MATCH(T212,INDIRECT(VLOOKUP(CONCATENATE(LEFT(BO212,7),"-",MID(BO212,13,1)),CLU!$P$3:$Q$16,2)),1)</f>
        <v>#N/A</v>
      </c>
      <c r="GS212" s="433" t="e">
        <f ca="1">MATCH(U212,INDIRECT(VLOOKUP(CONCATENATE(LEFT(BO212,7),"-",MID(BO212,13,1)),CLU!$P$3:$Q$16,2)),1)</f>
        <v>#N/A</v>
      </c>
      <c r="GT212" s="347" t="s">
        <v>512</v>
      </c>
      <c r="GU212" s="97" t="s">
        <v>513</v>
      </c>
      <c r="GV212" s="97" t="str">
        <f t="shared" si="600"/>
        <v>M23</v>
      </c>
      <c r="GW212" s="97" t="str">
        <f t="shared" si="601"/>
        <v>M31</v>
      </c>
      <c r="GX212" s="97" t="str">
        <f t="shared" si="602"/>
        <v/>
      </c>
      <c r="GY212" s="97" t="str">
        <f t="shared" si="603"/>
        <v/>
      </c>
      <c r="GZ212" s="481"/>
      <c r="HA212" s="288"/>
      <c r="HB212" s="240"/>
      <c r="HC212" s="240"/>
      <c r="HD212" s="240"/>
      <c r="HE212" s="240"/>
      <c r="HF212" s="240"/>
      <c r="HG212" s="240"/>
      <c r="HH212" s="240"/>
      <c r="HI212" s="240"/>
      <c r="HJ212" s="240"/>
      <c r="HK212" s="240"/>
      <c r="HL212" s="240"/>
      <c r="HM212" s="240"/>
      <c r="HN212" s="240"/>
      <c r="HO212" s="240"/>
      <c r="HP212" s="240"/>
      <c r="HQ212" s="240"/>
      <c r="HR212" s="240"/>
      <c r="HS212" s="240"/>
      <c r="HT212" s="240"/>
      <c r="HU212" s="240"/>
      <c r="HV212" s="245"/>
      <c r="HW212" s="245" t="b">
        <v>1</v>
      </c>
      <c r="HX212" s="245" t="str">
        <f t="shared" si="488"/>
        <v/>
      </c>
      <c r="HY212" s="245" t="e">
        <f t="shared" si="489"/>
        <v>#DIV/0!</v>
      </c>
      <c r="HZ212" s="245" t="e">
        <f t="shared" si="490"/>
        <v>#DIV/0!</v>
      </c>
      <c r="IA212" s="245">
        <f t="shared" si="491"/>
        <v>0</v>
      </c>
      <c r="IB212" s="245"/>
      <c r="IC212" t="b">
        <f t="shared" si="492"/>
        <v>1</v>
      </c>
      <c r="ID212" s="245" t="b">
        <f t="shared" si="493"/>
        <v>1</v>
      </c>
      <c r="IE212" s="245" t="b">
        <f t="shared" si="494"/>
        <v>1</v>
      </c>
      <c r="IF212" s="245" t="b">
        <f t="shared" si="495"/>
        <v>0</v>
      </c>
      <c r="IG212" s="245" t="b">
        <f t="shared" si="496"/>
        <v>1</v>
      </c>
      <c r="IH212" s="245" t="b">
        <f t="shared" si="497"/>
        <v>1</v>
      </c>
      <c r="II212" s="245">
        <f t="shared" si="604"/>
        <v>0</v>
      </c>
      <c r="IJ212" s="245" t="e">
        <f t="shared" si="498"/>
        <v>#VALUE!</v>
      </c>
      <c r="IK212" s="245" t="e">
        <f t="shared" si="499"/>
        <v>#VALUE!</v>
      </c>
      <c r="IL212" s="245"/>
      <c r="IM212" s="245" t="e">
        <f t="shared" si="605"/>
        <v>#N/A</v>
      </c>
      <c r="IN212" s="245" t="e">
        <f t="shared" si="606"/>
        <v>#N/A</v>
      </c>
      <c r="IO212" s="245"/>
      <c r="IP212" s="245"/>
      <c r="IQ212" s="245" t="str">
        <f t="shared" si="500"/>
        <v/>
      </c>
      <c r="IR212" s="245" t="str">
        <f>IF(J212="","",VLOOKUP(J212,Worksheet!$R$4:$T$14,2))</f>
        <v/>
      </c>
      <c r="IS212" s="245"/>
      <c r="IT212" s="245">
        <f t="shared" si="501"/>
        <v>0</v>
      </c>
      <c r="IU212" s="245">
        <f t="shared" si="502"/>
        <v>0</v>
      </c>
      <c r="IV212" s="245">
        <f t="shared" si="503"/>
        <v>0</v>
      </c>
      <c r="IW212" s="245">
        <f t="shared" si="504"/>
        <v>0</v>
      </c>
      <c r="IX212" s="245">
        <f t="shared" si="607"/>
        <v>0</v>
      </c>
      <c r="IY212" s="245">
        <f t="shared" si="505"/>
        <v>0</v>
      </c>
      <c r="IZ212" s="245">
        <f t="shared" si="506"/>
        <v>0</v>
      </c>
      <c r="JA212">
        <f t="shared" si="507"/>
        <v>0</v>
      </c>
      <c r="JB212">
        <f t="shared" si="608"/>
        <v>0</v>
      </c>
      <c r="JC212">
        <f t="shared" si="508"/>
        <v>0</v>
      </c>
      <c r="JD212">
        <f t="shared" si="509"/>
        <v>0</v>
      </c>
      <c r="JE212">
        <f t="shared" si="510"/>
        <v>0</v>
      </c>
      <c r="JF212">
        <f t="shared" si="511"/>
        <v>0</v>
      </c>
      <c r="JG212">
        <f t="shared" si="512"/>
        <v>0</v>
      </c>
      <c r="JH212">
        <f t="shared" si="513"/>
        <v>0</v>
      </c>
      <c r="JI212">
        <f t="shared" si="514"/>
        <v>0</v>
      </c>
      <c r="JJ212" s="447">
        <f t="shared" si="515"/>
        <v>0</v>
      </c>
      <c r="JK212" s="447">
        <f t="shared" si="516"/>
        <v>0</v>
      </c>
      <c r="JL212">
        <f t="shared" si="517"/>
        <v>0</v>
      </c>
      <c r="JM212" s="245" t="str">
        <f>IFERROR(VLOOKUP(MATCH(BN212,#REF!,0),#REF!,7),"")</f>
        <v/>
      </c>
      <c r="JN212" t="e">
        <f>HLOOKUP(LEFT(BO212,7),Discharge_Area,MATCH(JO212,LookUps!$B$130:$B$149,1)+2)</f>
        <v>#N/A</v>
      </c>
      <c r="JO212" t="str">
        <f t="shared" si="518"/>
        <v>- S</v>
      </c>
      <c r="JP212" t="e">
        <f>HLOOKUP(LEFT(BO212,7),Discharge_Area,MATCH(JO212,LookUps!$B$130:$B$149,1)+2)</f>
        <v>#N/A</v>
      </c>
      <c r="JQ212" t="e">
        <f t="shared" si="519"/>
        <v>#N/A</v>
      </c>
      <c r="JR212" t="e">
        <f t="shared" si="520"/>
        <v>#N/A</v>
      </c>
      <c r="JS212" t="e">
        <f t="shared" si="521"/>
        <v>#N/A</v>
      </c>
      <c r="JT212" s="532" t="str">
        <f t="shared" si="522"/>
        <v xml:space="preserve"> </v>
      </c>
      <c r="JU212" s="532" t="str">
        <f t="shared" si="523"/>
        <v xml:space="preserve"> </v>
      </c>
      <c r="JV212" s="533" t="str">
        <f t="shared" si="524"/>
        <v xml:space="preserve"> </v>
      </c>
      <c r="JW212" s="534">
        <f t="shared" si="525"/>
        <v>0</v>
      </c>
      <c r="JX212" s="535" t="str">
        <f t="shared" si="609"/>
        <v xml:space="preserve"> </v>
      </c>
      <c r="JY212" s="535" t="str">
        <f t="shared" si="610"/>
        <v xml:space="preserve"> </v>
      </c>
      <c r="JZ212" s="535" t="str">
        <f t="shared" si="611"/>
        <v xml:space="preserve"> </v>
      </c>
      <c r="KA212" s="536" t="str">
        <f t="shared" si="526"/>
        <v xml:space="preserve"> </v>
      </c>
      <c r="KB212" s="535" t="e">
        <f t="shared" si="612"/>
        <v>#VALUE!</v>
      </c>
      <c r="KC212" s="535" t="str">
        <f t="shared" si="527"/>
        <v/>
      </c>
      <c r="KD212" s="537" t="str">
        <f t="shared" si="613"/>
        <v xml:space="preserve"> </v>
      </c>
      <c r="KE212" s="537" t="str">
        <f t="shared" si="614"/>
        <v xml:space="preserve"> </v>
      </c>
      <c r="KF212" s="534">
        <f t="shared" si="528"/>
        <v>0</v>
      </c>
      <c r="KG212" s="535" t="str">
        <f t="shared" si="529"/>
        <v xml:space="preserve"> </v>
      </c>
      <c r="KH212" s="535" t="str">
        <f t="shared" si="530"/>
        <v xml:space="preserve"> </v>
      </c>
      <c r="KI212" s="535" t="str">
        <f t="shared" si="531"/>
        <v xml:space="preserve"> </v>
      </c>
      <c r="KJ212" s="536" t="str">
        <f t="shared" si="532"/>
        <v xml:space="preserve"> </v>
      </c>
      <c r="KK212" s="535" t="str">
        <f t="shared" si="615"/>
        <v xml:space="preserve"> </v>
      </c>
      <c r="KL212" s="535" t="str">
        <f t="shared" si="616"/>
        <v xml:space="preserve"> </v>
      </c>
      <c r="KM212" s="537" t="str">
        <f t="shared" si="533"/>
        <v xml:space="preserve"> </v>
      </c>
      <c r="KN212" s="537" t="str">
        <f t="shared" si="617"/>
        <v xml:space="preserve"> </v>
      </c>
      <c r="KP212">
        <f t="shared" si="534"/>
        <v>0</v>
      </c>
      <c r="LA212" t="e">
        <f t="shared" si="535"/>
        <v>#VALUE!</v>
      </c>
      <c r="LB212" t="e">
        <f t="shared" si="536"/>
        <v>#VALUE!</v>
      </c>
      <c r="LC212" t="e">
        <f t="shared" si="537"/>
        <v>#VALUE!</v>
      </c>
      <c r="LD212" t="e">
        <f t="shared" si="538"/>
        <v>#VALUE!</v>
      </c>
      <c r="LE212" t="e">
        <f t="shared" si="618"/>
        <v>#VALUE!</v>
      </c>
      <c r="LF212">
        <f t="shared" si="539"/>
        <v>0</v>
      </c>
      <c r="LG212" t="e">
        <f t="shared" si="619"/>
        <v>#VALUE!</v>
      </c>
      <c r="LH212" t="str">
        <f t="shared" si="540"/>
        <v xml:space="preserve"> </v>
      </c>
      <c r="LI212">
        <f t="shared" si="620"/>
        <v>1</v>
      </c>
    </row>
    <row r="213" spans="2:321" ht="15" customHeight="1">
      <c r="B213" s="311"/>
      <c r="C213" s="311"/>
      <c r="D213" s="312"/>
      <c r="E213" s="311"/>
      <c r="F213" s="312"/>
      <c r="G213" s="311"/>
      <c r="H213" s="311"/>
      <c r="I213" s="232"/>
      <c r="J213" s="311"/>
      <c r="K213" s="305" t="str">
        <f t="shared" si="541"/>
        <v/>
      </c>
      <c r="L213" s="313"/>
      <c r="M213" s="312"/>
      <c r="N213" s="311"/>
      <c r="O213" s="312"/>
      <c r="P213" s="311"/>
      <c r="Q213" s="305" t="str">
        <f t="shared" si="542"/>
        <v/>
      </c>
      <c r="R213" s="314"/>
      <c r="S213" s="450" t="str">
        <f t="shared" si="425"/>
        <v/>
      </c>
      <c r="T213" s="315"/>
      <c r="U213" s="315"/>
      <c r="W213" s="149" t="str">
        <f t="shared" si="426"/>
        <v xml:space="preserve"> </v>
      </c>
      <c r="X213" s="243" t="str">
        <f t="shared" si="427"/>
        <v xml:space="preserve"> </v>
      </c>
      <c r="Y213" s="150" t="str">
        <f t="shared" si="428"/>
        <v/>
      </c>
      <c r="Z213" s="149" t="str">
        <f t="shared" si="429"/>
        <v xml:space="preserve"> </v>
      </c>
      <c r="AA213" s="98" t="str">
        <f t="shared" si="430"/>
        <v xml:space="preserve"> </v>
      </c>
      <c r="AB213" s="153" t="str">
        <f t="shared" si="431"/>
        <v xml:space="preserve"> </v>
      </c>
      <c r="AC213" s="153" t="str">
        <f t="shared" si="432"/>
        <v xml:space="preserve"> </v>
      </c>
      <c r="AD213" s="148" t="str">
        <f t="shared" si="433"/>
        <v/>
      </c>
      <c r="AE213" s="149" t="str">
        <f t="shared" si="434"/>
        <v/>
      </c>
      <c r="AF213" s="151" t="str">
        <f t="shared" si="435"/>
        <v xml:space="preserve"> </v>
      </c>
      <c r="AG213" s="153" t="str">
        <f t="shared" si="436"/>
        <v xml:space="preserve"> </v>
      </c>
      <c r="AH213" s="98" t="str">
        <f t="shared" si="437"/>
        <v xml:space="preserve"> </v>
      </c>
      <c r="AI213" s="149" t="str">
        <f t="shared" si="438"/>
        <v xml:space="preserve"> </v>
      </c>
      <c r="AK213" s="144" t="str">
        <f t="shared" si="439"/>
        <v xml:space="preserve"> </v>
      </c>
      <c r="AL213" s="144"/>
      <c r="AM213" s="243" t="str">
        <f t="shared" si="440"/>
        <v xml:space="preserve"> </v>
      </c>
      <c r="AN213" s="149" t="str">
        <f t="shared" si="543"/>
        <v xml:space="preserve"> </v>
      </c>
      <c r="AO213" s="144" t="str">
        <f>IF(JB213&gt;0,IF(GI213=10,-R213*1.085*(Calculation!$F$6-Calculation!$F$13)*$S$14," "),"")</f>
        <v/>
      </c>
      <c r="AP213" s="144" t="str">
        <f t="shared" si="441"/>
        <v/>
      </c>
      <c r="AQ213" s="56" t="str">
        <f t="shared" si="442"/>
        <v/>
      </c>
      <c r="AR213" s="144" t="str">
        <f t="shared" si="443"/>
        <v/>
      </c>
      <c r="AS213" s="176" t="str">
        <f t="shared" si="444"/>
        <v/>
      </c>
      <c r="AT213" s="176" t="str">
        <f t="shared" si="544"/>
        <v xml:space="preserve"> </v>
      </c>
      <c r="AU213" s="176" t="str">
        <f t="shared" si="445"/>
        <v/>
      </c>
      <c r="AV213" s="177" t="str">
        <f t="shared" si="446"/>
        <v xml:space="preserve"> </v>
      </c>
      <c r="AW213" s="144" t="str">
        <f t="shared" si="447"/>
        <v xml:space="preserve"> </v>
      </c>
      <c r="AX213" s="144" t="str">
        <f t="shared" si="448"/>
        <v xml:space="preserve"> </v>
      </c>
      <c r="AY213" s="152" t="str">
        <f t="shared" si="449"/>
        <v xml:space="preserve"> </v>
      </c>
      <c r="AZ213" s="246" t="str">
        <f t="shared" si="450"/>
        <v/>
      </c>
      <c r="BA213" s="176" t="str">
        <f t="shared" si="451"/>
        <v xml:space="preserve"> </v>
      </c>
      <c r="BB213" s="176" t="str">
        <f t="shared" si="452"/>
        <v xml:space="preserve"> </v>
      </c>
      <c r="BC213" s="195"/>
      <c r="BD213" s="316"/>
      <c r="BE213" s="317"/>
      <c r="BF213" s="318"/>
      <c r="BG213" s="318"/>
      <c r="BH213" s="144" t="str">
        <f t="shared" si="621"/>
        <v xml:space="preserve"> </v>
      </c>
      <c r="BI213" s="176" t="str">
        <f t="shared" si="453"/>
        <v/>
      </c>
      <c r="BJ213" s="144" t="str">
        <f t="shared" si="622"/>
        <v/>
      </c>
      <c r="BK213" s="246" t="str">
        <f t="shared" si="454"/>
        <v/>
      </c>
      <c r="BL213" s="144" t="str">
        <f t="shared" si="623"/>
        <v/>
      </c>
      <c r="BM213" s="246" t="str">
        <f t="shared" si="455"/>
        <v/>
      </c>
      <c r="BN213" s="337" t="str">
        <f t="shared" si="545"/>
        <v/>
      </c>
      <c r="BO213" s="371" t="str">
        <f t="shared" si="546"/>
        <v/>
      </c>
      <c r="BP213" s="328" t="str">
        <f t="shared" si="624"/>
        <v xml:space="preserve"> </v>
      </c>
      <c r="BQ213" s="347" t="str">
        <f t="shared" si="547"/>
        <v xml:space="preserve"> </v>
      </c>
      <c r="BR213" s="353" t="str">
        <f t="shared" si="548"/>
        <v xml:space="preserve"> </v>
      </c>
      <c r="BS213" s="626" t="str">
        <f>IF(L213&gt;0,IF(Calculation!P213="M13",BR213*3.1416*(0.134^2)/(4*144),IF(Calculation!P213="M17",BR213*3.1416*(0.165^2)/(4*144),IF(Calculation!P213="M20",BR213*3.1416*(0.198^2)/(4*144),IF(Calculation!P213="M23",BR213*3.1416*(0.228^2)/(4*144),IF(Calculation!P213="M27",BR213*3.1416*(0.269^2)/(4*144),BR213*3.1416*(0.307^2)/(4*144))))))," ")</f>
        <v xml:space="preserve"> </v>
      </c>
      <c r="BT213" s="353" t="str">
        <f>IF(L213&gt;0,IF(BS213&gt;0,R213/Calculation!BS213,0)," ")</f>
        <v xml:space="preserve"> </v>
      </c>
      <c r="BU213" s="438" t="e">
        <f t="shared" ca="1" si="456"/>
        <v>#VALUE!</v>
      </c>
      <c r="BV213" s="449" t="e">
        <f ca="1">INDEX(INDIRECT(VLOOKUP(LEFT(BO213,7),CLU!$Z$3:$AH$18,2)),GN213,GR213)</f>
        <v>#N/A</v>
      </c>
      <c r="BW213" s="433" t="e">
        <f ca="1">INDEX(INDIRECT(VLOOKUP(LEFT(BO213,7),CLU!$Z$3:$AH$18,3)),GN213,GR213)</f>
        <v>#N/A</v>
      </c>
      <c r="BX213" s="433" t="e">
        <f ca="1">INDEX(INDIRECT(VLOOKUP(LEFT(BO213,7),CLU!$Z$3:$AH$18,4)),GN213,GR213)</f>
        <v>#N/A</v>
      </c>
      <c r="BY213" s="433" t="e">
        <f ca="1">INDEX(INDIRECT(VLOOKUP(LEFT(BO213,7),CLU!$Z$3:$AH$18,9)),((M213-2)*(6-COUNTBLANK(GT213:GY213)))+GJ213)</f>
        <v>#N/A</v>
      </c>
      <c r="BZ213" s="426" t="e">
        <f t="shared" ca="1" si="549"/>
        <v>#N/A</v>
      </c>
      <c r="CA213" s="424" t="e">
        <f t="shared" ca="1" si="550"/>
        <v>#N/A</v>
      </c>
      <c r="CB213" s="429" t="e">
        <f ca="1">INDEX(INDIRECT(VLOOKUP(LEFT(BO213,7),CLU!$Z$3:$AH$18,2)),GN213,GS213)</f>
        <v>#N/A</v>
      </c>
      <c r="CC213" s="342" t="e">
        <f ca="1">INDEX(INDIRECT(VLOOKUP(LEFT(BO213,7),CLU!$Z$3:$AH$18,3)),GN213,GS213)</f>
        <v>#N/A</v>
      </c>
      <c r="CD213" s="342" t="e">
        <f ca="1">INDEX(INDIRECT(VLOOKUP(LEFT(BO213,7),CLU!$Z$3:$AH$18,4)),GN213,GS213)</f>
        <v>#N/A</v>
      </c>
      <c r="CE213" s="426" t="e">
        <f t="shared" ca="1" si="551"/>
        <v>#N/A</v>
      </c>
      <c r="CF213" s="440">
        <f t="shared" si="552"/>
        <v>0</v>
      </c>
      <c r="CG213" s="431" t="e">
        <f ca="1">INDEX(INDIRECT(VLOOKUP(LEFT(BO213,7),CLU!$Z$3:$AH$18,2)),GQ213,GR213)</f>
        <v>#N/A</v>
      </c>
      <c r="CH213" s="431" t="e">
        <f ca="1">INDEX(INDIRECT(VLOOKUP(LEFT(BO213,7),CLU!$Z$3:$AH$18,3)),GQ213,GR213)</f>
        <v>#N/A</v>
      </c>
      <c r="CI213" s="431" t="e">
        <f ca="1">INDEX(INDIRECT(VLOOKUP(LEFT(BO213,7),CLU!$Z$3:$AH$18,4)),GQ213,GR213)</f>
        <v>#N/A</v>
      </c>
      <c r="CJ213" s="448" t="e">
        <f t="shared" ca="1" si="553"/>
        <v>#N/A</v>
      </c>
      <c r="CK213" s="431" t="e">
        <f t="shared" ca="1" si="554"/>
        <v>#N/A</v>
      </c>
      <c r="CL213" s="440" t="e">
        <f t="shared" ca="1" si="555"/>
        <v>#N/A</v>
      </c>
      <c r="CM213" s="431" t="e">
        <f ca="1">INDEX(INDIRECT(VLOOKUP(LEFT(BO213,7),CLU!$Z$3:$AH$18,2)),GQ213,GS213)</f>
        <v>#N/A</v>
      </c>
      <c r="CN213" s="431" t="e">
        <f ca="1">INDEX(INDIRECT(VLOOKUP(LEFT(BO213,7),CLU!$Z$3:$AH$18,3)),GQ213,GS213)</f>
        <v>#N/A</v>
      </c>
      <c r="CO213" s="431" t="e">
        <f ca="1">INDEX(INDIRECT(VLOOKUP(LEFT(BO213,7),CLU!$Z$3:$AH$18,4)),GQ213,GS213)</f>
        <v>#N/A</v>
      </c>
      <c r="CP213" s="431" t="e">
        <f t="shared" ca="1" si="556"/>
        <v>#N/A</v>
      </c>
      <c r="CQ213" s="440">
        <f t="shared" si="557"/>
        <v>0</v>
      </c>
      <c r="CR213" s="51" t="e">
        <f t="shared" ca="1" si="558"/>
        <v>#N/A</v>
      </c>
      <c r="CS213" s="439" t="e">
        <f t="shared" ca="1" si="559"/>
        <v>#VALUE!</v>
      </c>
      <c r="CT213" s="51" t="e">
        <f t="shared" ca="1" si="560"/>
        <v>#VALUE!</v>
      </c>
      <c r="CU213" s="10"/>
      <c r="CV213" s="51" t="e">
        <f t="shared" ca="1" si="457"/>
        <v>#VALUE!</v>
      </c>
      <c r="CW213" s="51">
        <f t="shared" si="561"/>
        <v>0</v>
      </c>
      <c r="CX213" s="439" t="e">
        <f t="shared" ca="1" si="562"/>
        <v>#VALUE!</v>
      </c>
      <c r="CY213" s="51" t="e">
        <f t="shared" ca="1" si="563"/>
        <v>#VALUE!</v>
      </c>
      <c r="CZ213" s="10"/>
      <c r="DA213" s="51" t="e">
        <f t="shared" ca="1" si="564"/>
        <v>#VALUE!</v>
      </c>
      <c r="DB213" s="347" t="e">
        <f ca="1">INDEX(INDIRECT(VLOOKUP(LEFT(BO213,7),CLU!$Z$3:$AI$18,10)),((M213-2)*(6-COUNTBLANK(GT213:GY213)))+GJ213)*LI213</f>
        <v>#N/A</v>
      </c>
      <c r="DC213" s="347" t="str">
        <f>IF(L213&gt;0,((R213/Worksheet!$I$15)/DB213)^2," ")</f>
        <v xml:space="preserve"> </v>
      </c>
      <c r="DD213" s="602" t="str">
        <f t="shared" si="565"/>
        <v xml:space="preserve"> </v>
      </c>
      <c r="DE213" s="347" t="str">
        <f t="shared" si="458"/>
        <v xml:space="preserve"> </v>
      </c>
      <c r="DF213" s="356" t="e">
        <f ca="1">INDEX(INDIRECT(VLOOKUP(LEFT(BO213,7),CLU!$Z$3:$AH$18,8)),((M213-2)*(6-COUNTBLANK(GT213:GY213)))+GJ213)</f>
        <v>#N/A</v>
      </c>
      <c r="DG213" s="347" t="str">
        <f t="shared" si="459"/>
        <v xml:space="preserve"> </v>
      </c>
      <c r="DH213" s="357" t="str">
        <f t="shared" si="460"/>
        <v xml:space="preserve"> </v>
      </c>
      <c r="DI213" s="355" t="str">
        <f t="shared" si="461"/>
        <v xml:space="preserve"> </v>
      </c>
      <c r="DJ213" s="245" t="e">
        <f ca="1">INDEX(INDIRECT(VLOOKUP(LEFT(BO213,7),CLU!$Z$3:$AH$18,5)),GL213,GK213)</f>
        <v>#N/A</v>
      </c>
      <c r="DK213" s="245" t="e">
        <f ca="1">INDEX(INDIRECT(VLOOKUP(LEFT(BO213,7),CLU!$Z$3:$AH$18,6)),GL213,GK213)</f>
        <v>#N/A</v>
      </c>
      <c r="DL213" s="355">
        <f>(Calculation!R213*0.69143*(Calculation!$BQ$8-Calculation!$F$8))*$S$14</f>
        <v>0</v>
      </c>
      <c r="DM213" s="359" t="e">
        <f t="shared" si="566"/>
        <v>#VALUE!</v>
      </c>
      <c r="DN213" s="611">
        <f t="shared" si="567"/>
        <v>0</v>
      </c>
      <c r="DO213" s="359">
        <f t="shared" si="568"/>
        <v>100</v>
      </c>
      <c r="DP213" s="359">
        <f t="shared" si="569"/>
        <v>0</v>
      </c>
      <c r="DQ213" s="360"/>
      <c r="DR213" s="245" t="e">
        <f ca="1">INDEX(INDIRECT(VLOOKUP(LEFT(BO213,7),CLU!$Z$3:$AH$18,7)),M213-1,1)</f>
        <v>#N/A</v>
      </c>
      <c r="DS213" s="245" t="e">
        <f ca="1">INDEX(INDIRECT(VLOOKUP(LEFT(BO213,7),CLU!$Z$3:$AH$18,7)),M213-1,2)</f>
        <v>#N/A</v>
      </c>
      <c r="DT213" s="245" t="e">
        <f ca="1">INDEX(INDIRECT(VLOOKUP(LEFT(BO213,7),CLU!$Z$3:$AH$18,7)),M213-1,3)</f>
        <v>#N/A</v>
      </c>
      <c r="DU213" s="245" t="e">
        <f ca="1">INDEX(INDIRECT(VLOOKUP(LEFT(BO213,7),CLU!$Z$3:$AH$18,7)),M213-1,4)</f>
        <v>#N/A</v>
      </c>
      <c r="DV213" s="361" t="e">
        <f ca="1">INDEX(INDIRECT(VLOOKUP(LEFT(BO213,7),CLU!$Z$3:$AH$18,7)),M213-1,4+LEFT(DZ213,1)*0.5)</f>
        <v>#N/A</v>
      </c>
      <c r="DW213" s="245" t="e">
        <f ca="1">INDEX(INDIRECT(VLOOKUP(LEFT(BO213,7),CLU!$Z$3:$AH$18,7)),M213-1,8)</f>
        <v>#N/A</v>
      </c>
      <c r="DX213" s="361" t="str">
        <f t="shared" si="462"/>
        <v xml:space="preserve"> </v>
      </c>
      <c r="DY213" s="361" t="str">
        <f t="shared" si="463"/>
        <v xml:space="preserve"> </v>
      </c>
      <c r="DZ213" s="361" t="str">
        <f t="shared" si="464"/>
        <v xml:space="preserve"> </v>
      </c>
      <c r="EA213" s="362" t="str">
        <f t="shared" si="465"/>
        <v xml:space="preserve"> </v>
      </c>
      <c r="EB213" s="624" t="str">
        <f t="shared" si="570"/>
        <v xml:space="preserve"> </v>
      </c>
      <c r="EC213" s="361" t="e">
        <f ca="1">INDEX(INDIRECT(VLOOKUP(LEFT(BO213,7),CLU!$Z$3:$AH$18,7)),M213-1,4+LEFT(DZ213,1)*0.5)</f>
        <v>#N/A</v>
      </c>
      <c r="ED213" s="362" t="str">
        <f t="shared" si="466"/>
        <v xml:space="preserve"> </v>
      </c>
      <c r="EE213" s="361" t="str">
        <f t="shared" si="467"/>
        <v xml:space="preserve"> </v>
      </c>
      <c r="EF213" s="362" t="str">
        <f>IF(L213&gt;0,IF(BR213&gt;0,IF(EE213="2P",IF(Calculation!DZ213="2P",IF(Calculation!DS213=13.75,IF(Calculation!DR213=13,Worksheet!$BD$43,IF(Calculation!DR213=37,Worksheet!$BD$44,Worksheet!$BD$45)),IF(Calculation!DS213=10,IF(Calculation!DR213=18,Worksheet!$BD$29,IF(Calculation!DR213=30,Worksheet!$BD$30,IF(Calculation!DR213=42,Worksheet!$BD$31,IF(Calculation!DR213=54,Worksheet!$BD$32,IF(Calculation!DR213=66,Worksheet!$BD$33,IF(Calculation!DR213=78,Worksheet!$BD$34,IF(Calculation!DR213=90,Worksheet!$BD$35,IF(Calculation!DR213=102,Worksheet!$BD$36,Worksheet!$BD$37)))))))),IF(Calculation!DS213=12.5,IF(Calculation!DR213=18,Worksheet!$BD$38,IF(Calculation!DR213=Worksheet!$BD$39,IF(Calculation!DR213=42,Worksheet!$BD$40,IF(Calculation!DR213=54,Worksheet!$BD$41,Worksheet!$BD$42)))),IF(Calculation!DR213=18,Worksheet!$BD$11,IF(Calculation!DR213=30,Worksheet!$BD$12,IF(Calculation!DR213=42,Worksheet!$BD$13,IF(Calculation!DR213=54,Worksheet!$BD$14,IF(Calculation!DR213=66,Worksheet!$BD$15,IF(Calculation!DR213=78,Worksheet!$BD$16,IF(Calculation!DR213=90,Worksheet!$BD$17,IF(Calculation!DR213=102,Worksheet!$BD$18,Worksheet!$BD$19))))))))))),IF(Calculation!DS213=13.75,IF(Calculation!DR213=13,Worksheet!$BD$78,IF(Calculation!DR213=37,Worksheet!$BD$79,Worksheet!$BD$80)),IF(Calculation!DS213=10,IF(Calculation!DR213=18,Worksheet!$BD$64,IF(Calculation!DR213=30,Worksheet!$BD$65,IF(Calculation!DR213=42,Worksheet!$BD$66,IF(Calculation!DR213=54,Worksheet!$BD$68,IF(Calculation!DR213=66,Worksheet!$BD$68,IF(Calculation!DR213=78,Worksheet!$BD$69,IF(Calculation!DR213=90,Worksheet!$BD$70,IF(Calculation!DR213=102,Worksheet!$BD$71,Worksheet!$BD$72)))))))),IF(Calculation!DS213=12.5,IF(Calculation!DR213=18,Worksheet!$BD$73,IF(Calculation!DR213=Worksheet!$BD$74,IF(Calculation!DR213=42,Worksheet!$BD$75,IF(Calculation!DR213=54,Worksheet!$BD$76,Worksheet!$BD$77)))),IF(Calculation!DR213=18,Worksheet!$BD$55,IF(Calculation!DR213=30,Worksheet!$BD$56,IF(Calculation!DR213=42,Worksheet!$BD$57,IF(Calculation!DR213=54,Worksheet!$BD$58,IF(Calculation!DR213=66,Worksheet!$BD$59,IF(Calculation!DR213=78,Worksheet!$BD$60,IF(Calculation!DR213=90,Worksheet!$BD$61,IF(Calculation!DR213=102,Worksheet!$BD$62,Worksheet!$BD$63)))))))))))),5),0)," ")</f>
        <v xml:space="preserve"> </v>
      </c>
      <c r="EG213" s="361" t="str">
        <f t="shared" si="468"/>
        <v xml:space="preserve"> </v>
      </c>
      <c r="EH213" s="361" t="e">
        <f ca="1">INDEX(INDIRECT(VLOOKUP(LEFT(BO213,7),CLU!$Z$3:$AH$18,7)),M213-1,3+LEFT(DZ213,1))</f>
        <v>#N/A</v>
      </c>
      <c r="EI213" s="362" t="str">
        <f t="shared" si="469"/>
        <v xml:space="preserve"> </v>
      </c>
      <c r="EJ213" s="363" t="str">
        <f t="shared" si="470"/>
        <v xml:space="preserve"> </v>
      </c>
      <c r="EK213" s="363" t="str">
        <f t="shared" si="471"/>
        <v xml:space="preserve"> </v>
      </c>
      <c r="EL213" s="363" t="str">
        <f t="shared" si="472"/>
        <v xml:space="preserve"> </v>
      </c>
      <c r="EM213" s="362" t="str">
        <f>IF(L213&gt;0,IF(BR213&gt;0,(Calculation!T213/ED213)^2,0)," ")</f>
        <v xml:space="preserve"> </v>
      </c>
      <c r="EN213" s="362" t="str">
        <f>IF(L213&gt;0,IF(O213="2 Pipe (Cooling)","N/A",IF(BR213&gt;0,(Calculation!U213/EI213)^2,0))," ")</f>
        <v xml:space="preserve"> </v>
      </c>
      <c r="EO213" s="361" t="str">
        <f t="shared" si="473"/>
        <v/>
      </c>
      <c r="EP213" s="361" t="str">
        <f t="shared" si="474"/>
        <v/>
      </c>
      <c r="EQ213" s="361" t="str">
        <f t="shared" si="475"/>
        <v/>
      </c>
      <c r="ER213" s="361" t="str">
        <f t="shared" si="476"/>
        <v/>
      </c>
      <c r="ES213" s="361" t="str">
        <f t="shared" si="477"/>
        <v/>
      </c>
      <c r="ET213" s="361" t="str">
        <f t="shared" si="478"/>
        <v/>
      </c>
      <c r="EU213" s="361" t="str">
        <f t="shared" si="479"/>
        <v/>
      </c>
      <c r="EV213" s="361" t="str">
        <f t="shared" si="480"/>
        <v/>
      </c>
      <c r="EW213" s="361" t="str">
        <f t="shared" si="481"/>
        <v/>
      </c>
      <c r="EX213" s="361" t="str">
        <f t="shared" si="571"/>
        <v>1 slot, 1 way</v>
      </c>
      <c r="EY213" s="361" t="str">
        <f t="shared" si="572"/>
        <v xml:space="preserve"> </v>
      </c>
      <c r="EZ213" s="361" t="str">
        <f t="shared" si="573"/>
        <v xml:space="preserve"> </v>
      </c>
      <c r="FA213" s="361" t="str">
        <f t="shared" si="574"/>
        <v xml:space="preserve"> </v>
      </c>
      <c r="FB213" s="361" t="str">
        <f t="shared" si="575"/>
        <v xml:space="preserve"> </v>
      </c>
      <c r="FC213" s="361"/>
      <c r="FD213" s="361" t="str">
        <f>IF(J213&gt;0,IF(Calculation!R213&lt;=70,4,IF(Calculation!R213&lt;=110,5,IF(Calculation!R213&lt;=160,6,IF(Calculation!R213&lt;=300,8,"10 EO")))),"")</f>
        <v/>
      </c>
      <c r="FE213" s="361" t="str">
        <f t="shared" si="576"/>
        <v/>
      </c>
      <c r="FF213" s="361" t="str">
        <f t="shared" si="577"/>
        <v/>
      </c>
      <c r="FG213" s="361" t="e">
        <f t="shared" si="482"/>
        <v>#N/A</v>
      </c>
      <c r="FH213" s="361">
        <f t="shared" si="483"/>
        <v>0</v>
      </c>
      <c r="FI213" s="361" t="e">
        <f t="shared" si="484"/>
        <v>#DIV/0!</v>
      </c>
      <c r="FJ213" s="361"/>
      <c r="FK213" s="356" t="e">
        <f t="shared" si="485"/>
        <v>#VALUE!</v>
      </c>
      <c r="FL213" s="361"/>
      <c r="FM213" s="361"/>
      <c r="FN213" s="362" t="str">
        <f t="shared" si="578"/>
        <v xml:space="preserve"> </v>
      </c>
      <c r="FO213" s="362" t="str">
        <f t="shared" si="579"/>
        <v xml:space="preserve"> </v>
      </c>
      <c r="FP213" s="362">
        <f t="shared" si="580"/>
        <v>0</v>
      </c>
      <c r="FQ213" s="361">
        <f t="shared" si="486"/>
        <v>0</v>
      </c>
      <c r="FR213" s="362" t="str">
        <f>IF(L213&gt;0,IF(J213="CBAL2",Worksheet!$P$67,IF(J213="CBE2-24",Worksheet!$Q$67,IF(J213="CBAM",Worksheet!$R$67,IF(J213="CBLV",Worksheet!$S$67,IF(J213="CBAB",Worksheet!$U$67,IF(J213="CBAW",Worksheet!$X$67,IF(J213="CBE2-12",Worksheet!$Y$67,IF(J213="CBAL2",Worksheet!$Z$67,"N/A"))))))))," ")</f>
        <v xml:space="preserve"> </v>
      </c>
      <c r="FS213" s="362" t="str">
        <f>IF(L213&gt;0,IF(J213="CBAL2",Worksheet!$P$68,IF(J213="CBE2-24",Worksheet!$Q$68,IF(J213="CBAM",Worksheet!$R$68,IF(J213="CBLV",Worksheet!$S$68,IF(J213="CBAB",Worksheet!$U$68,IF(J213="CBAW",Worksheet!$X$68,IF(J213="CBE2-12",Worksheet!$Y$68,IF(J213="CBAL2",Worksheet!$Z$68,"N/A"))))))))," ")</f>
        <v xml:space="preserve"> </v>
      </c>
      <c r="FT213" s="362" t="str">
        <f>IF(L213&gt;0,IF(J213="CBAL2",Worksheet!$P$69,IF(J213="CBE2-24",Worksheet!$Q$69,IF(J213="CBAM",Worksheet!$R$69,IF(J213="CBLV",Worksheet!$S$69,IF(J213="CBAB",Worksheet!$U$69,IF(J213="CBAW",Worksheet!$X$69,IF(J213="CBE2-12",Worksheet!$Y$69,IF(J213="CBAL2",Worksheet!$Z$69,"N/A"))))))))," ")</f>
        <v xml:space="preserve"> </v>
      </c>
      <c r="FU213" s="361" t="str">
        <f t="shared" si="581"/>
        <v xml:space="preserve"> </v>
      </c>
      <c r="FV213" s="362" t="str">
        <f t="shared" si="582"/>
        <v xml:space="preserve"> </v>
      </c>
      <c r="FW213" s="362" t="str">
        <f t="shared" si="583"/>
        <v xml:space="preserve"> </v>
      </c>
      <c r="FX213" s="362" t="str">
        <f t="shared" si="584"/>
        <v xml:space="preserve"> </v>
      </c>
      <c r="FY213" s="355" t="str">
        <f t="shared" si="585"/>
        <v xml:space="preserve"> </v>
      </c>
      <c r="FZ213" s="361" t="str">
        <f t="shared" si="586"/>
        <v xml:space="preserve"> </v>
      </c>
      <c r="GA213" s="347" t="str">
        <f t="shared" si="587"/>
        <v xml:space="preserve"> </v>
      </c>
      <c r="GB213" s="355" t="str">
        <f t="shared" si="588"/>
        <v xml:space="preserve"> </v>
      </c>
      <c r="GC213" s="328" t="str">
        <f t="shared" si="589"/>
        <v xml:space="preserve"> </v>
      </c>
      <c r="GD213" s="361" t="str">
        <f t="shared" si="590"/>
        <v xml:space="preserve"> </v>
      </c>
      <c r="GE213" s="347" t="str">
        <f t="shared" si="591"/>
        <v xml:space="preserve"> </v>
      </c>
      <c r="GF213" s="361" t="str">
        <f t="shared" si="592"/>
        <v xml:space="preserve"> </v>
      </c>
      <c r="GG213" s="347" t="str">
        <f t="shared" si="593"/>
        <v xml:space="preserve"> </v>
      </c>
      <c r="GH213" s="364">
        <f t="shared" si="487"/>
        <v>0</v>
      </c>
      <c r="GI213" s="362">
        <f t="shared" si="594"/>
        <v>2</v>
      </c>
      <c r="GJ213" s="433" t="e">
        <f>IF(6-COUNTBLANK(GT213:GY213)=4,MATCH(MID(BO213,9,3),CLU!$H$16:$K$16),MATCH(MID(BO213,9,3),CLU!$H$13:$M$13))</f>
        <v>#N/A</v>
      </c>
      <c r="GK213" s="433" t="e">
        <f>HLOOKUP(VALUE(BP213),CLU!$H$9:$M$10,2)</f>
        <v>#VALUE!</v>
      </c>
      <c r="GL213" s="433" t="e">
        <f ca="1">MATCH(BU213,CLU!$H$2:$V$2,1)</f>
        <v>#VALUE!</v>
      </c>
      <c r="GM213" s="433" t="e">
        <f t="shared" ca="1" si="595"/>
        <v>#VALUE!</v>
      </c>
      <c r="GN213" s="433" t="e">
        <f t="shared" ca="1" si="596"/>
        <v>#VALUE!</v>
      </c>
      <c r="GO213" s="433" t="e">
        <f t="shared" ca="1" si="597"/>
        <v>#VALUE!</v>
      </c>
      <c r="GP213" s="433" t="e">
        <f t="shared" ca="1" si="598"/>
        <v>#VALUE!</v>
      </c>
      <c r="GQ213" s="433" t="e">
        <f t="shared" ca="1" si="599"/>
        <v>#VALUE!</v>
      </c>
      <c r="GR213" s="433" t="e">
        <f ca="1">MATCH(T213,INDIRECT(VLOOKUP(CONCATENATE(LEFT(BO213,7),"-",MID(BO213,13,1)),CLU!$P$3:$Q$16,2)),1)</f>
        <v>#N/A</v>
      </c>
      <c r="GS213" s="433" t="e">
        <f ca="1">MATCH(U213,INDIRECT(VLOOKUP(CONCATENATE(LEFT(BO213,7),"-",MID(BO213,13,1)),CLU!$P$3:$Q$16,2)),1)</f>
        <v>#N/A</v>
      </c>
      <c r="GT213" s="347" t="s">
        <v>512</v>
      </c>
      <c r="GU213" s="97" t="s">
        <v>513</v>
      </c>
      <c r="GV213" s="97" t="str">
        <f t="shared" si="600"/>
        <v>M23</v>
      </c>
      <c r="GW213" s="97" t="str">
        <f t="shared" si="601"/>
        <v>M31</v>
      </c>
      <c r="GX213" s="97" t="str">
        <f t="shared" si="602"/>
        <v/>
      </c>
      <c r="GY213" s="97" t="str">
        <f t="shared" si="603"/>
        <v/>
      </c>
      <c r="GZ213" s="481"/>
      <c r="HA213" s="288"/>
      <c r="HB213" s="240"/>
      <c r="HC213" s="240"/>
      <c r="HD213" s="240"/>
      <c r="HE213" s="240"/>
      <c r="HF213" s="240"/>
      <c r="HG213" s="240"/>
      <c r="HH213" s="240"/>
      <c r="HI213" s="240"/>
      <c r="HJ213" s="240"/>
      <c r="HK213" s="240"/>
      <c r="HL213" s="240"/>
      <c r="HM213" s="240"/>
      <c r="HN213" s="240"/>
      <c r="HO213" s="240"/>
      <c r="HP213" s="240"/>
      <c r="HQ213" s="240"/>
      <c r="HR213" s="240"/>
      <c r="HS213" s="240"/>
      <c r="HT213" s="240"/>
      <c r="HU213" s="240"/>
      <c r="HV213" s="245"/>
      <c r="HW213" s="245" t="b">
        <v>1</v>
      </c>
      <c r="HX213" s="245" t="str">
        <f t="shared" si="488"/>
        <v/>
      </c>
      <c r="HY213" s="245" t="e">
        <f t="shared" si="489"/>
        <v>#DIV/0!</v>
      </c>
      <c r="HZ213" s="245" t="e">
        <f t="shared" si="490"/>
        <v>#DIV/0!</v>
      </c>
      <c r="IA213" s="245">
        <f t="shared" si="491"/>
        <v>0</v>
      </c>
      <c r="IB213" s="245"/>
      <c r="IC213" t="b">
        <f t="shared" si="492"/>
        <v>1</v>
      </c>
      <c r="ID213" s="245" t="b">
        <f t="shared" si="493"/>
        <v>1</v>
      </c>
      <c r="IE213" s="245" t="b">
        <f t="shared" si="494"/>
        <v>1</v>
      </c>
      <c r="IF213" s="245" t="b">
        <f t="shared" si="495"/>
        <v>0</v>
      </c>
      <c r="IG213" s="245" t="b">
        <f t="shared" si="496"/>
        <v>1</v>
      </c>
      <c r="IH213" s="245" t="b">
        <f t="shared" si="497"/>
        <v>1</v>
      </c>
      <c r="II213" s="245">
        <f t="shared" si="604"/>
        <v>0</v>
      </c>
      <c r="IJ213" s="245" t="e">
        <f t="shared" si="498"/>
        <v>#VALUE!</v>
      </c>
      <c r="IK213" s="245" t="e">
        <f t="shared" si="499"/>
        <v>#VALUE!</v>
      </c>
      <c r="IL213" s="245"/>
      <c r="IM213" s="245" t="e">
        <f t="shared" si="605"/>
        <v>#N/A</v>
      </c>
      <c r="IN213" s="245" t="e">
        <f t="shared" si="606"/>
        <v>#N/A</v>
      </c>
      <c r="IO213" s="245"/>
      <c r="IP213" s="245"/>
      <c r="IQ213" s="245" t="str">
        <f t="shared" si="500"/>
        <v/>
      </c>
      <c r="IR213" s="245" t="str">
        <f>IF(J213="","",VLOOKUP(J213,Worksheet!$R$4:$T$14,2))</f>
        <v/>
      </c>
      <c r="IS213" s="245"/>
      <c r="IT213" s="245">
        <f t="shared" si="501"/>
        <v>0</v>
      </c>
      <c r="IU213" s="245">
        <f t="shared" si="502"/>
        <v>0</v>
      </c>
      <c r="IV213" s="245">
        <f t="shared" si="503"/>
        <v>0</v>
      </c>
      <c r="IW213" s="245">
        <f t="shared" si="504"/>
        <v>0</v>
      </c>
      <c r="IX213" s="245">
        <f t="shared" si="607"/>
        <v>0</v>
      </c>
      <c r="IY213" s="245">
        <f t="shared" si="505"/>
        <v>0</v>
      </c>
      <c r="IZ213" s="245">
        <f t="shared" si="506"/>
        <v>0</v>
      </c>
      <c r="JA213">
        <f t="shared" si="507"/>
        <v>0</v>
      </c>
      <c r="JB213">
        <f t="shared" si="608"/>
        <v>0</v>
      </c>
      <c r="JC213">
        <f t="shared" si="508"/>
        <v>0</v>
      </c>
      <c r="JD213">
        <f t="shared" si="509"/>
        <v>0</v>
      </c>
      <c r="JE213">
        <f t="shared" si="510"/>
        <v>0</v>
      </c>
      <c r="JF213">
        <f t="shared" si="511"/>
        <v>0</v>
      </c>
      <c r="JG213">
        <f t="shared" si="512"/>
        <v>0</v>
      </c>
      <c r="JH213">
        <f t="shared" si="513"/>
        <v>0</v>
      </c>
      <c r="JI213">
        <f t="shared" si="514"/>
        <v>0</v>
      </c>
      <c r="JJ213" s="447">
        <f t="shared" si="515"/>
        <v>0</v>
      </c>
      <c r="JK213" s="447">
        <f t="shared" si="516"/>
        <v>0</v>
      </c>
      <c r="JL213">
        <f t="shared" si="517"/>
        <v>0</v>
      </c>
      <c r="JM213" s="245" t="str">
        <f>IFERROR(VLOOKUP(MATCH(BN213,#REF!,0),#REF!,7),"")</f>
        <v/>
      </c>
      <c r="JN213" t="e">
        <f>HLOOKUP(LEFT(BO213,7),Discharge_Area,MATCH(JO213,LookUps!$B$130:$B$149,1)+2)</f>
        <v>#N/A</v>
      </c>
      <c r="JO213" t="str">
        <f t="shared" si="518"/>
        <v>- S</v>
      </c>
      <c r="JP213" t="e">
        <f>HLOOKUP(LEFT(BO213,7),Discharge_Area,MATCH(JO213,LookUps!$B$130:$B$149,1)+2)</f>
        <v>#N/A</v>
      </c>
      <c r="JQ213" t="e">
        <f t="shared" si="519"/>
        <v>#N/A</v>
      </c>
      <c r="JR213" t="e">
        <f t="shared" si="520"/>
        <v>#N/A</v>
      </c>
      <c r="JS213" t="e">
        <f t="shared" si="521"/>
        <v>#N/A</v>
      </c>
      <c r="JT213" s="532" t="str">
        <f t="shared" si="522"/>
        <v xml:space="preserve"> </v>
      </c>
      <c r="JU213" s="532" t="str">
        <f t="shared" si="523"/>
        <v xml:space="preserve"> </v>
      </c>
      <c r="JV213" s="533" t="str">
        <f t="shared" si="524"/>
        <v xml:space="preserve"> </v>
      </c>
      <c r="JW213" s="534">
        <f t="shared" si="525"/>
        <v>0</v>
      </c>
      <c r="JX213" s="535" t="str">
        <f t="shared" si="609"/>
        <v xml:space="preserve"> </v>
      </c>
      <c r="JY213" s="535" t="str">
        <f t="shared" si="610"/>
        <v xml:space="preserve"> </v>
      </c>
      <c r="JZ213" s="535" t="str">
        <f t="shared" si="611"/>
        <v xml:space="preserve"> </v>
      </c>
      <c r="KA213" s="536" t="str">
        <f t="shared" si="526"/>
        <v xml:space="preserve"> </v>
      </c>
      <c r="KB213" s="535" t="e">
        <f t="shared" si="612"/>
        <v>#VALUE!</v>
      </c>
      <c r="KC213" s="535" t="str">
        <f t="shared" si="527"/>
        <v/>
      </c>
      <c r="KD213" s="537" t="str">
        <f t="shared" si="613"/>
        <v xml:space="preserve"> </v>
      </c>
      <c r="KE213" s="537" t="str">
        <f t="shared" si="614"/>
        <v xml:space="preserve"> </v>
      </c>
      <c r="KF213" s="534">
        <f t="shared" si="528"/>
        <v>0</v>
      </c>
      <c r="KG213" s="535" t="str">
        <f t="shared" si="529"/>
        <v xml:space="preserve"> </v>
      </c>
      <c r="KH213" s="535" t="str">
        <f t="shared" si="530"/>
        <v xml:space="preserve"> </v>
      </c>
      <c r="KI213" s="535" t="str">
        <f t="shared" si="531"/>
        <v xml:space="preserve"> </v>
      </c>
      <c r="KJ213" s="536" t="str">
        <f t="shared" si="532"/>
        <v xml:space="preserve"> </v>
      </c>
      <c r="KK213" s="535" t="str">
        <f t="shared" si="615"/>
        <v xml:space="preserve"> </v>
      </c>
      <c r="KL213" s="535" t="str">
        <f t="shared" si="616"/>
        <v xml:space="preserve"> </v>
      </c>
      <c r="KM213" s="537" t="str">
        <f t="shared" si="533"/>
        <v xml:space="preserve"> </v>
      </c>
      <c r="KN213" s="537" t="str">
        <f t="shared" si="617"/>
        <v xml:space="preserve"> </v>
      </c>
      <c r="KP213">
        <f t="shared" si="534"/>
        <v>0</v>
      </c>
      <c r="LA213" t="e">
        <f t="shared" si="535"/>
        <v>#VALUE!</v>
      </c>
      <c r="LB213" t="e">
        <f t="shared" si="536"/>
        <v>#VALUE!</v>
      </c>
      <c r="LC213" t="e">
        <f t="shared" si="537"/>
        <v>#VALUE!</v>
      </c>
      <c r="LD213" t="e">
        <f t="shared" si="538"/>
        <v>#VALUE!</v>
      </c>
      <c r="LE213" t="e">
        <f t="shared" si="618"/>
        <v>#VALUE!</v>
      </c>
      <c r="LF213">
        <f t="shared" si="539"/>
        <v>0</v>
      </c>
      <c r="LG213" t="e">
        <f t="shared" si="619"/>
        <v>#VALUE!</v>
      </c>
      <c r="LH213" t="str">
        <f t="shared" si="540"/>
        <v xml:space="preserve"> </v>
      </c>
      <c r="LI213">
        <f t="shared" si="620"/>
        <v>1</v>
      </c>
    </row>
    <row r="214" spans="2:321" ht="15" customHeight="1">
      <c r="B214" s="311"/>
      <c r="C214" s="311"/>
      <c r="D214" s="312"/>
      <c r="E214" s="311"/>
      <c r="F214" s="312"/>
      <c r="G214" s="311"/>
      <c r="H214" s="311"/>
      <c r="I214" s="232"/>
      <c r="J214" s="311"/>
      <c r="K214" s="305" t="str">
        <f t="shared" si="541"/>
        <v/>
      </c>
      <c r="L214" s="313"/>
      <c r="M214" s="312"/>
      <c r="N214" s="311"/>
      <c r="O214" s="312"/>
      <c r="P214" s="311"/>
      <c r="Q214" s="305" t="str">
        <f t="shared" si="542"/>
        <v/>
      </c>
      <c r="R214" s="314"/>
      <c r="S214" s="450" t="str">
        <f t="shared" ref="S214:S277" si="625">IF(COUNTBLANK(FD214:FF214)=0,FE214,FD214)</f>
        <v/>
      </c>
      <c r="T214" s="315"/>
      <c r="U214" s="315"/>
      <c r="W214" s="149" t="str">
        <f t="shared" ref="W214:W277" si="626">IF((JB214&gt;0),R214*L214," ")</f>
        <v xml:space="preserve"> </v>
      </c>
      <c r="X214" s="243" t="str">
        <f t="shared" ref="X214:X277" si="627">IF((JB214&gt;0),DC214+DE214," ")</f>
        <v xml:space="preserve"> </v>
      </c>
      <c r="Y214" s="150" t="str">
        <f t="shared" ref="Y214:Y277" si="628">IF((JB214&gt;0),IF(L214&gt;1,IF(AN214="&lt;15","&lt;15",AN214+3),AN214),"")</f>
        <v/>
      </c>
      <c r="Z214" s="149" t="str">
        <f t="shared" ref="Z214:Z277" si="629">IF(JB214&gt;0,CONCATENATE(DN214,"/",DO214)," ")</f>
        <v xml:space="preserve"> </v>
      </c>
      <c r="AA214" s="98" t="str">
        <f t="shared" ref="AA214:AA277" si="630">IF(JB214&gt;0,T214*L214," ")</f>
        <v xml:space="preserve"> </v>
      </c>
      <c r="AB214" s="153" t="str">
        <f t="shared" ref="AB214:AB277" si="631">IF(JB214&gt;0,AT214," ")</f>
        <v xml:space="preserve"> </v>
      </c>
      <c r="AC214" s="153" t="str">
        <f t="shared" ref="AC214:AC277" si="632">IF(JB214&gt;0,IF(T214&gt;0,AU214-$P$6," ")," ")</f>
        <v xml:space="preserve"> </v>
      </c>
      <c r="AD214" s="148" t="str">
        <f t="shared" ref="AD214:AD277" si="633">IF(JB214&gt;0,IF(GI214=10,IF(AQ214*L214&lt;0,AQ214*L214," ")," "),"")</f>
        <v/>
      </c>
      <c r="AE214" s="149" t="str">
        <f t="shared" ref="AE214:AE277" si="634">IF(JB214&gt;0,IF(GI214=10,L214*AR214," "),"")</f>
        <v/>
      </c>
      <c r="AF214" s="151" t="str">
        <f t="shared" ref="AF214:AF277" si="635">IF(JB214&gt;0,L214*U214," ")</f>
        <v xml:space="preserve"> </v>
      </c>
      <c r="AG214" s="153" t="str">
        <f t="shared" ref="AG214:AG277" si="636">IF(AF214&gt;0,IF(JB214&gt;0,EN214," "),"N/A")</f>
        <v xml:space="preserve"> </v>
      </c>
      <c r="AH214" s="98" t="str">
        <f t="shared" ref="AH214:AH277" si="637">IF(AF214&gt;0,IF((JB214&gt;0),IF(AX214&gt;0,-(AX214*L214)/(500*AF214),0)," "),"N/A")</f>
        <v xml:space="preserve"> </v>
      </c>
      <c r="AI214" s="149" t="str">
        <f t="shared" ref="AI214:AI277" si="638">IF((JB214&gt;0),IF(AY214*L214&lt;0,"",AY214*L214)," ")</f>
        <v xml:space="preserve"> </v>
      </c>
      <c r="AK214" s="144" t="str">
        <f t="shared" ref="AK214:AK277" si="639">IF((JB214&gt;0),R214," ")</f>
        <v xml:space="preserve"> </v>
      </c>
      <c r="AL214" s="144"/>
      <c r="AM214" s="243" t="str">
        <f t="shared" ref="AM214:AM277" si="640">IF((JB214&gt;0),X214," ")</f>
        <v xml:space="preserve"> </v>
      </c>
      <c r="AN214" s="149" t="str">
        <f t="shared" si="543"/>
        <v xml:space="preserve"> </v>
      </c>
      <c r="AO214" s="144" t="str">
        <f>IF(JB214&gt;0,IF(GI214=10,-R214*1.085*(Calculation!$F$6-Calculation!$F$13)*$S$14," "),"")</f>
        <v/>
      </c>
      <c r="AP214" s="144" t="str">
        <f t="shared" ref="AP214:AP277" si="641">IF(JB214&gt;0,IF(GI214=10,-CV214," "),"")</f>
        <v/>
      </c>
      <c r="AQ214" s="56" t="str">
        <f t="shared" ref="AQ214:AQ277" si="642">IF(JB214&gt;0,IF(GI214=10,AO214+AP214," "),"")</f>
        <v/>
      </c>
      <c r="AR214" s="144" t="str">
        <f t="shared" ref="AR214:AR277" si="643">IF(JB214&gt;0,IF(GI214=10,DL214," "),"")</f>
        <v/>
      </c>
      <c r="AS214" s="176" t="str">
        <f t="shared" ref="AS214:AS277" si="644">IF(JB214&gt;0,IF(GI214=10,$F$6-(-AQ214/(1.085*LH214)),""),"")</f>
        <v/>
      </c>
      <c r="AT214" s="176" t="str">
        <f t="shared" si="544"/>
        <v xml:space="preserve"> </v>
      </c>
      <c r="AU214" s="176" t="str">
        <f t="shared" ref="AU214:AU277" si="645">IF(JB214&gt;0,IF(GI214=10,$P$6-AP214/(500*T214)," "),"")</f>
        <v/>
      </c>
      <c r="AV214" s="177" t="str">
        <f t="shared" ref="AV214:AV277" si="646">IF(JB214&gt;0,DX214," ")</f>
        <v xml:space="preserve"> </v>
      </c>
      <c r="AW214" s="144" t="str">
        <f t="shared" ref="AW214:AW277" si="647">IF(JB214&gt;0,1.085*R214*$S$14*(EJ214-$H$6)," ")</f>
        <v xml:space="preserve"> </v>
      </c>
      <c r="AX214" s="144" t="str">
        <f t="shared" ref="AX214:AX277" si="648">IF(JB214&gt;0,IF(O214="2 pipe (cooling)",0,(IF(L214&gt;0,DA214," ")))," ")</f>
        <v xml:space="preserve"> </v>
      </c>
      <c r="AY214" s="152" t="str">
        <f t="shared" ref="AY214:AY277" si="649">IF(JB214&gt;0,IF(AW214+AX214&lt;0,0,AW214+AX214)," ")</f>
        <v xml:space="preserve"> </v>
      </c>
      <c r="AZ214" s="246" t="str">
        <f t="shared" ref="AZ214:AZ277" si="650">IF(AY214&gt;0,IF((JB214&gt;0),EL214,""),0)</f>
        <v/>
      </c>
      <c r="BA214" s="176" t="str">
        <f t="shared" ref="BA214:BA277" si="651">IF(AX214&gt;0,IF((JB214&gt;0),IF(O214="2 pipe (cooling)",0,IF(L214&gt;0,EN214," "))," "),"N/A")</f>
        <v xml:space="preserve"> </v>
      </c>
      <c r="BB214" s="176" t="str">
        <f t="shared" ref="BB214:BB277" si="652">IF(AX214&gt;0,IF((JB214&gt;0),$S$6-AX214/(500*U214)," "),"N/A")</f>
        <v xml:space="preserve"> </v>
      </c>
      <c r="BC214" s="195"/>
      <c r="BD214" s="316"/>
      <c r="BE214" s="317"/>
      <c r="BF214" s="318"/>
      <c r="BG214" s="318"/>
      <c r="BH214" s="144" t="str">
        <f t="shared" si="621"/>
        <v xml:space="preserve"> </v>
      </c>
      <c r="BI214" s="176" t="str">
        <f t="shared" ref="BI214:BI277" si="653">IFERROR(($F$6+KM214),"")</f>
        <v/>
      </c>
      <c r="BJ214" s="144" t="str">
        <f t="shared" si="622"/>
        <v/>
      </c>
      <c r="BK214" s="246" t="str">
        <f t="shared" ref="BK214:BK277" si="654">IFERROR(($F$6+KD214),"")</f>
        <v/>
      </c>
      <c r="BL214" s="144" t="str">
        <f t="shared" si="623"/>
        <v/>
      </c>
      <c r="BM214" s="246" t="str">
        <f t="shared" ref="BM214:BM277" si="655">IFERROR(($H$6+KE214),"")</f>
        <v/>
      </c>
      <c r="BN214" s="337" t="str">
        <f t="shared" si="545"/>
        <v/>
      </c>
      <c r="BO214" s="371" t="str">
        <f t="shared" si="546"/>
        <v/>
      </c>
      <c r="BP214" s="328" t="str">
        <f t="shared" si="624"/>
        <v xml:space="preserve"> </v>
      </c>
      <c r="BQ214" s="347" t="str">
        <f t="shared" si="547"/>
        <v xml:space="preserve"> </v>
      </c>
      <c r="BR214" s="353" t="str">
        <f t="shared" si="548"/>
        <v xml:space="preserve"> </v>
      </c>
      <c r="BS214" s="626" t="str">
        <f>IF(L214&gt;0,IF(Calculation!P214="M13",BR214*3.1416*(0.134^2)/(4*144),IF(Calculation!P214="M17",BR214*3.1416*(0.165^2)/(4*144),IF(Calculation!P214="M20",BR214*3.1416*(0.198^2)/(4*144),IF(Calculation!P214="M23",BR214*3.1416*(0.228^2)/(4*144),IF(Calculation!P214="M27",BR214*3.1416*(0.269^2)/(4*144),BR214*3.1416*(0.307^2)/(4*144))))))," ")</f>
        <v xml:space="preserve"> </v>
      </c>
      <c r="BT214" s="353" t="str">
        <f>IF(L214&gt;0,IF(BS214&gt;0,R214/Calculation!BS214,0)," ")</f>
        <v xml:space="preserve"> </v>
      </c>
      <c r="BU214" s="438" t="e">
        <f t="shared" ref="BU214:BU277" ca="1" si="656">(LH214-R214)/DW214</f>
        <v>#VALUE!</v>
      </c>
      <c r="BV214" s="449" t="e">
        <f ca="1">INDEX(INDIRECT(VLOOKUP(LEFT(BO214,7),CLU!$Z$3:$AH$18,2)),GN214,GR214)</f>
        <v>#N/A</v>
      </c>
      <c r="BW214" s="433" t="e">
        <f ca="1">INDEX(INDIRECT(VLOOKUP(LEFT(BO214,7),CLU!$Z$3:$AH$18,3)),GN214,GR214)</f>
        <v>#N/A</v>
      </c>
      <c r="BX214" s="433" t="e">
        <f ca="1">INDEX(INDIRECT(VLOOKUP(LEFT(BO214,7),CLU!$Z$3:$AH$18,4)),GN214,GR214)</f>
        <v>#N/A</v>
      </c>
      <c r="BY214" s="433" t="e">
        <f ca="1">INDEX(INDIRECT(VLOOKUP(LEFT(BO214,7),CLU!$Z$3:$AH$18,9)),((M214-2)*(6-COUNTBLANK(GT214:GY214)))+GJ214)</f>
        <v>#N/A</v>
      </c>
      <c r="BZ214" s="426" t="e">
        <f t="shared" ca="1" si="549"/>
        <v>#N/A</v>
      </c>
      <c r="CA214" s="424" t="e">
        <f t="shared" ca="1" si="550"/>
        <v>#N/A</v>
      </c>
      <c r="CB214" s="429" t="e">
        <f ca="1">INDEX(INDIRECT(VLOOKUP(LEFT(BO214,7),CLU!$Z$3:$AH$18,2)),GN214,GS214)</f>
        <v>#N/A</v>
      </c>
      <c r="CC214" s="342" t="e">
        <f ca="1">INDEX(INDIRECT(VLOOKUP(LEFT(BO214,7),CLU!$Z$3:$AH$18,3)),GN214,GS214)</f>
        <v>#N/A</v>
      </c>
      <c r="CD214" s="342" t="e">
        <f ca="1">INDEX(INDIRECT(VLOOKUP(LEFT(BO214,7),CLU!$Z$3:$AH$18,4)),GN214,GS214)</f>
        <v>#N/A</v>
      </c>
      <c r="CE214" s="426" t="e">
        <f t="shared" ca="1" si="551"/>
        <v>#N/A</v>
      </c>
      <c r="CF214" s="440">
        <f t="shared" si="552"/>
        <v>0</v>
      </c>
      <c r="CG214" s="431" t="e">
        <f ca="1">INDEX(INDIRECT(VLOOKUP(LEFT(BO214,7),CLU!$Z$3:$AH$18,2)),GQ214,GR214)</f>
        <v>#N/A</v>
      </c>
      <c r="CH214" s="431" t="e">
        <f ca="1">INDEX(INDIRECT(VLOOKUP(LEFT(BO214,7),CLU!$Z$3:$AH$18,3)),GQ214,GR214)</f>
        <v>#N/A</v>
      </c>
      <c r="CI214" s="431" t="e">
        <f ca="1">INDEX(INDIRECT(VLOOKUP(LEFT(BO214,7),CLU!$Z$3:$AH$18,4)),GQ214,GR214)</f>
        <v>#N/A</v>
      </c>
      <c r="CJ214" s="448" t="e">
        <f t="shared" ca="1" si="553"/>
        <v>#N/A</v>
      </c>
      <c r="CK214" s="431" t="e">
        <f t="shared" ca="1" si="554"/>
        <v>#N/A</v>
      </c>
      <c r="CL214" s="440" t="e">
        <f t="shared" ca="1" si="555"/>
        <v>#N/A</v>
      </c>
      <c r="CM214" s="431" t="e">
        <f ca="1">INDEX(INDIRECT(VLOOKUP(LEFT(BO214,7),CLU!$Z$3:$AH$18,2)),GQ214,GS214)</f>
        <v>#N/A</v>
      </c>
      <c r="CN214" s="431" t="e">
        <f ca="1">INDEX(INDIRECT(VLOOKUP(LEFT(BO214,7),CLU!$Z$3:$AH$18,3)),GQ214,GS214)</f>
        <v>#N/A</v>
      </c>
      <c r="CO214" s="431" t="e">
        <f ca="1">INDEX(INDIRECT(VLOOKUP(LEFT(BO214,7),CLU!$Z$3:$AH$18,4)),GQ214,GS214)</f>
        <v>#N/A</v>
      </c>
      <c r="CP214" s="431" t="e">
        <f t="shared" ca="1" si="556"/>
        <v>#N/A</v>
      </c>
      <c r="CQ214" s="440">
        <f t="shared" si="557"/>
        <v>0</v>
      </c>
      <c r="CR214" s="51" t="e">
        <f t="shared" ca="1" si="558"/>
        <v>#N/A</v>
      </c>
      <c r="CS214" s="439" t="e">
        <f t="shared" ca="1" si="559"/>
        <v>#VALUE!</v>
      </c>
      <c r="CT214" s="51" t="e">
        <f t="shared" ca="1" si="560"/>
        <v>#VALUE!</v>
      </c>
      <c r="CU214" s="10"/>
      <c r="CV214" s="51" t="e">
        <f t="shared" ref="CV214:CV277" ca="1" si="657">MIN((CT214+CA214)*$CU$21,KP214)</f>
        <v>#VALUE!</v>
      </c>
      <c r="CW214" s="51">
        <f t="shared" si="561"/>
        <v>0</v>
      </c>
      <c r="CX214" s="439" t="e">
        <f t="shared" ca="1" si="562"/>
        <v>#VALUE!</v>
      </c>
      <c r="CY214" s="51" t="e">
        <f t="shared" ca="1" si="563"/>
        <v>#VALUE!</v>
      </c>
      <c r="CZ214" s="10"/>
      <c r="DA214" s="51" t="e">
        <f t="shared" ca="1" si="564"/>
        <v>#VALUE!</v>
      </c>
      <c r="DB214" s="347" t="e">
        <f ca="1">INDEX(INDIRECT(VLOOKUP(LEFT(BO214,7),CLU!$Z$3:$AI$18,10)),((M214-2)*(6-COUNTBLANK(GT214:GY214)))+GJ214)*LI214</f>
        <v>#N/A</v>
      </c>
      <c r="DC214" s="347" t="str">
        <f>IF(L214&gt;0,((R214/Worksheet!$I$15)/DB214)^2," ")</f>
        <v xml:space="preserve"> </v>
      </c>
      <c r="DD214" s="602" t="str">
        <f t="shared" si="565"/>
        <v xml:space="preserve"> </v>
      </c>
      <c r="DE214" s="347" t="str">
        <f t="shared" ref="DE214:DE277" si="658">IF(L214&gt;0,(DD214/4005)^2," ")</f>
        <v xml:space="preserve"> </v>
      </c>
      <c r="DF214" s="356" t="e">
        <f ca="1">INDEX(INDIRECT(VLOOKUP(LEFT(BO214,7),CLU!$Z$3:$AH$18,8)),((M214-2)*(6-COUNTBLANK(GT214:GY214)))+GJ214)</f>
        <v>#N/A</v>
      </c>
      <c r="DG214" s="347" t="str">
        <f t="shared" ref="DG214:DG277" si="659">IF(L214&gt;0,IF(J214="CBAM",(DF214+1)*R214*IF(J214=2,0.25,0.35),R214*(DF214+1)/BQ214)," ")</f>
        <v xml:space="preserve"> </v>
      </c>
      <c r="DH214" s="357" t="str">
        <f t="shared" ref="DH214:DH277" si="660">IF(L214&gt;0,IF(J214="CBAM",IF(M214=2,0.168,0.333),(M214*12-1)/144)," ")</f>
        <v xml:space="preserve"> </v>
      </c>
      <c r="DI214" s="355" t="str">
        <f t="shared" ref="DI214:DI277" si="661">IF(L214&gt;0,DG214/DH214," ")</f>
        <v xml:space="preserve"> </v>
      </c>
      <c r="DJ214" s="245" t="e">
        <f ca="1">INDEX(INDIRECT(VLOOKUP(LEFT(BO214,7),CLU!$Z$3:$AH$18,5)),GL214,GK214)</f>
        <v>#N/A</v>
      </c>
      <c r="DK214" s="245" t="e">
        <f ca="1">INDEX(INDIRECT(VLOOKUP(LEFT(BO214,7),CLU!$Z$3:$AH$18,6)),GL214,GK214)</f>
        <v>#N/A</v>
      </c>
      <c r="DL214" s="355">
        <f>(Calculation!R214*0.69143*(Calculation!$BQ$8-Calculation!$F$8))*$S$14</f>
        <v>0</v>
      </c>
      <c r="DM214" s="359" t="e">
        <f t="shared" si="566"/>
        <v>#VALUE!</v>
      </c>
      <c r="DN214" s="611">
        <f t="shared" si="567"/>
        <v>0</v>
      </c>
      <c r="DO214" s="359">
        <f t="shared" si="568"/>
        <v>100</v>
      </c>
      <c r="DP214" s="359">
        <f t="shared" si="569"/>
        <v>0</v>
      </c>
      <c r="DQ214" s="360"/>
      <c r="DR214" s="245" t="e">
        <f ca="1">INDEX(INDIRECT(VLOOKUP(LEFT(BO214,7),CLU!$Z$3:$AH$18,7)),M214-1,1)</f>
        <v>#N/A</v>
      </c>
      <c r="DS214" s="245" t="e">
        <f ca="1">INDEX(INDIRECT(VLOOKUP(LEFT(BO214,7),CLU!$Z$3:$AH$18,7)),M214-1,2)</f>
        <v>#N/A</v>
      </c>
      <c r="DT214" s="245" t="e">
        <f ca="1">INDEX(INDIRECT(VLOOKUP(LEFT(BO214,7),CLU!$Z$3:$AH$18,7)),M214-1,3)</f>
        <v>#N/A</v>
      </c>
      <c r="DU214" s="245" t="e">
        <f ca="1">INDEX(INDIRECT(VLOOKUP(LEFT(BO214,7),CLU!$Z$3:$AH$18,7)),M214-1,4)</f>
        <v>#N/A</v>
      </c>
      <c r="DV214" s="361" t="e">
        <f ca="1">INDEX(INDIRECT(VLOOKUP(LEFT(BO214,7),CLU!$Z$3:$AH$18,7)),M214-1,4+LEFT(DZ214,1)*0.5)</f>
        <v>#N/A</v>
      </c>
      <c r="DW214" s="245" t="e">
        <f ca="1">INDEX(INDIRECT(VLOOKUP(LEFT(BO214,7),CLU!$Z$3:$AH$18,7)),M214-1,8)</f>
        <v>#N/A</v>
      </c>
      <c r="DX214" s="361" t="str">
        <f t="shared" ref="DX214:DX277" si="662">IF(L214&gt;0,IF(BR214&gt;0,IF(DZ214="2P",IF(EB214=1,"2P1C","2P2C"),IF(EB214=1,"4P1C","4P2C")),0)," ")</f>
        <v xml:space="preserve"> </v>
      </c>
      <c r="DY214" s="361" t="str">
        <f t="shared" ref="DY214:DY277" si="663">IF(L214&gt;0,CONCATENATE(IF(LEN(M214)=1,"0",""),M214,"-",DX214)," ")</f>
        <v xml:space="preserve"> </v>
      </c>
      <c r="DZ214" s="361" t="str">
        <f t="shared" ref="DZ214:DZ277" si="664">IF(L214&gt;0,IF(BR214&gt;0,IF(O214="2 Pipe (Cooling)","2P",IF(O214="2 Pipe (Heating)","NA",IF(O214="2 Pipe (H/C)","2P","4P"))),0)," ")</f>
        <v xml:space="preserve"> </v>
      </c>
      <c r="EA214" s="362" t="str">
        <f t="shared" ref="EA214:EA277" si="665">IF(L214&gt;0,HLOOKUP(LEFT(BO214,7),SCMG,(MATCH(CONCATENATE(IF(LEN(M214)=1,"0",""),M214,"-",DZ214),SCMG_LU))+2)," ")</f>
        <v xml:space="preserve"> </v>
      </c>
      <c r="EB214" s="624" t="str">
        <f t="shared" si="570"/>
        <v xml:space="preserve"> </v>
      </c>
      <c r="EC214" s="361" t="e">
        <f ca="1">INDEX(INDIRECT(VLOOKUP(LEFT(BO214,7),CLU!$Z$3:$AH$18,7)),M214-1,4+LEFT(DZ214,1)*0.5)</f>
        <v>#N/A</v>
      </c>
      <c r="ED214" s="362" t="str">
        <f t="shared" ref="ED214:ED277" si="666">IF(L214&gt;0,HLOOKUP(LEFT(BO214,7),Coil_K,(MATCH(DY214,LengthCoilLU))+2)," ")</f>
        <v xml:space="preserve"> </v>
      </c>
      <c r="EE214" s="361" t="str">
        <f t="shared" ref="EE214:EE277" si="667">IF(L214&gt;0,IF(BR214&gt;0,IF(O214="2 Pipe (Cooling)","N/A",IF(O214="2 Pipe (Heating)","2P",IF(O214="2 Pipe (H/C)","2P","4P"))),0)," ")</f>
        <v xml:space="preserve"> </v>
      </c>
      <c r="EF214" s="362" t="str">
        <f>IF(L214&gt;0,IF(BR214&gt;0,IF(EE214="2P",IF(Calculation!DZ214="2P",IF(Calculation!DS214=13.75,IF(Calculation!DR214=13,Worksheet!$BD$43,IF(Calculation!DR214=37,Worksheet!$BD$44,Worksheet!$BD$45)),IF(Calculation!DS214=10,IF(Calculation!DR214=18,Worksheet!$BD$29,IF(Calculation!DR214=30,Worksheet!$BD$30,IF(Calculation!DR214=42,Worksheet!$BD$31,IF(Calculation!DR214=54,Worksheet!$BD$32,IF(Calculation!DR214=66,Worksheet!$BD$33,IF(Calculation!DR214=78,Worksheet!$BD$34,IF(Calculation!DR214=90,Worksheet!$BD$35,IF(Calculation!DR214=102,Worksheet!$BD$36,Worksheet!$BD$37)))))))),IF(Calculation!DS214=12.5,IF(Calculation!DR214=18,Worksheet!$BD$38,IF(Calculation!DR214=Worksheet!$BD$39,IF(Calculation!DR214=42,Worksheet!$BD$40,IF(Calculation!DR214=54,Worksheet!$BD$41,Worksheet!$BD$42)))),IF(Calculation!DR214=18,Worksheet!$BD$11,IF(Calculation!DR214=30,Worksheet!$BD$12,IF(Calculation!DR214=42,Worksheet!$BD$13,IF(Calculation!DR214=54,Worksheet!$BD$14,IF(Calculation!DR214=66,Worksheet!$BD$15,IF(Calculation!DR214=78,Worksheet!$BD$16,IF(Calculation!DR214=90,Worksheet!$BD$17,IF(Calculation!DR214=102,Worksheet!$BD$18,Worksheet!$BD$19))))))))))),IF(Calculation!DS214=13.75,IF(Calculation!DR214=13,Worksheet!$BD$78,IF(Calculation!DR214=37,Worksheet!$BD$79,Worksheet!$BD$80)),IF(Calculation!DS214=10,IF(Calculation!DR214=18,Worksheet!$BD$64,IF(Calculation!DR214=30,Worksheet!$BD$65,IF(Calculation!DR214=42,Worksheet!$BD$66,IF(Calculation!DR214=54,Worksheet!$BD$68,IF(Calculation!DR214=66,Worksheet!$BD$68,IF(Calculation!DR214=78,Worksheet!$BD$69,IF(Calculation!DR214=90,Worksheet!$BD$70,IF(Calculation!DR214=102,Worksheet!$BD$71,Worksheet!$BD$72)))))))),IF(Calculation!DS214=12.5,IF(Calculation!DR214=18,Worksheet!$BD$73,IF(Calculation!DR214=Worksheet!$BD$74,IF(Calculation!DR214=42,Worksheet!$BD$75,IF(Calculation!DR214=54,Worksheet!$BD$76,Worksheet!$BD$77)))),IF(Calculation!DR214=18,Worksheet!$BD$55,IF(Calculation!DR214=30,Worksheet!$BD$56,IF(Calculation!DR214=42,Worksheet!$BD$57,IF(Calculation!DR214=54,Worksheet!$BD$58,IF(Calculation!DR214=66,Worksheet!$BD$59,IF(Calculation!DR214=78,Worksheet!$BD$60,IF(Calculation!DR214=90,Worksheet!$BD$61,IF(Calculation!DR214=102,Worksheet!$BD$62,Worksheet!$BD$63)))))))))))),5),0)," ")</f>
        <v xml:space="preserve"> </v>
      </c>
      <c r="EG214" s="361" t="str">
        <f t="shared" ref="EG214:EG277" si="668">IF(L214&gt;0,IF(BR214&gt;0,IF(U214&gt;EF214,2,1),0)," ")</f>
        <v xml:space="preserve"> </v>
      </c>
      <c r="EH214" s="361" t="e">
        <f ca="1">INDEX(INDIRECT(VLOOKUP(LEFT(BO214,7),CLU!$Z$3:$AH$18,7)),M214-1,3+LEFT(DZ214,1))</f>
        <v>#N/A</v>
      </c>
      <c r="EI214" s="362" t="str">
        <f t="shared" ref="EI214:EI277" si="669">IF(L214&gt;0,IF(O214="2 Pipe (Cooling)","N/A",IF(EE214="2P",ED214,HLOOKUP(LEFT(BO214,7),Sec_Coil_K,MATCH(LEFT(DY214,5),FourP_Coil_LU)+2)))," ")</f>
        <v xml:space="preserve"> </v>
      </c>
      <c r="EJ214" s="363" t="str">
        <f t="shared" ref="EJ214:EJ277" si="670">IF(L214&gt;0,IF(O214="2 pipe (cooling)",IF(G214&gt;0,$H$6+(G214/(1.085*W214*$S$14)),$H$13),$H$13)," ")</f>
        <v xml:space="preserve"> </v>
      </c>
      <c r="EK214" s="363" t="str">
        <f t="shared" ref="EK214:EK277" si="671">IF(L214&gt;0,IF(AX214=0,$H$6,$H$6+AX214/(1.085*$S$14*(R214*DF214)))," ")</f>
        <v xml:space="preserve"> </v>
      </c>
      <c r="EL214" s="363" t="str">
        <f t="shared" ref="EL214:EL277" si="672">IF(L214&gt;0,((R214*EJ214)+(DF214*R214*EK214))/(R214*(DF214+1))," ")</f>
        <v xml:space="preserve"> </v>
      </c>
      <c r="EM214" s="362" t="str">
        <f>IF(L214&gt;0,IF(BR214&gt;0,(Calculation!T214/ED214)^2,0)," ")</f>
        <v xml:space="preserve"> </v>
      </c>
      <c r="EN214" s="362" t="str">
        <f>IF(L214&gt;0,IF(O214="2 Pipe (Cooling)","N/A",IF(BR214&gt;0,(Calculation!U214/EI214)^2,0))," ")</f>
        <v xml:space="preserve"> </v>
      </c>
      <c r="EO214" s="361" t="str">
        <f t="shared" ref="EO214:EO277" si="673">IF($J214&gt;0,HLOOKUP($BO214,Avail_Lengths,3),"")</f>
        <v/>
      </c>
      <c r="EP214" s="361" t="str">
        <f t="shared" ref="EP214:EP277" si="674">IF($J214&gt;0,HLOOKUP($BO214,Avail_Lengths,4),"")</f>
        <v/>
      </c>
      <c r="EQ214" s="361" t="str">
        <f t="shared" ref="EQ214:EQ277" si="675">IF($J214&gt;0,HLOOKUP($BO214,Avail_Lengths,5),"")</f>
        <v/>
      </c>
      <c r="ER214" s="361" t="str">
        <f t="shared" ref="ER214:ER277" si="676">IF($J214&gt;0,HLOOKUP($BO214,Avail_Lengths,6),"")</f>
        <v/>
      </c>
      <c r="ES214" s="361" t="str">
        <f t="shared" ref="ES214:ES277" si="677">IF($J214&gt;0,HLOOKUP($BO214,Avail_Lengths,7),"")</f>
        <v/>
      </c>
      <c r="ET214" s="361" t="str">
        <f t="shared" ref="ET214:ET277" si="678">IF($J214&gt;0,HLOOKUP($BO214,Avail_Lengths,8),"")</f>
        <v/>
      </c>
      <c r="EU214" s="361" t="str">
        <f t="shared" ref="EU214:EU277" si="679">IF($J214&gt;0,HLOOKUP($BO214,Avail_Lengths,9),"")</f>
        <v/>
      </c>
      <c r="EV214" s="361" t="str">
        <f t="shared" ref="EV214:EV277" si="680">IF($J214&gt;0,HLOOKUP($BO214,Avail_Lengths,10),"")</f>
        <v/>
      </c>
      <c r="EW214" s="361" t="str">
        <f t="shared" ref="EW214:EW277" si="681">IF($J214&gt;0,HLOOKUP($BO214,Avail_Lengths,11),"")</f>
        <v/>
      </c>
      <c r="EX214" s="361" t="str">
        <f t="shared" si="571"/>
        <v>1 slot, 1 way</v>
      </c>
      <c r="EY214" s="361" t="str">
        <f t="shared" si="572"/>
        <v xml:space="preserve"> </v>
      </c>
      <c r="EZ214" s="361" t="str">
        <f t="shared" si="573"/>
        <v xml:space="preserve"> </v>
      </c>
      <c r="FA214" s="361" t="str">
        <f t="shared" si="574"/>
        <v xml:space="preserve"> </v>
      </c>
      <c r="FB214" s="361" t="str">
        <f t="shared" si="575"/>
        <v xml:space="preserve"> </v>
      </c>
      <c r="FC214" s="361"/>
      <c r="FD214" s="361" t="str">
        <f>IF(J214&gt;0,IF(Calculation!R214&lt;=70,4,IF(Calculation!R214&lt;=110,5,IF(Calculation!R214&lt;=160,6,IF(Calculation!R214&lt;=300,8,"10 EO")))),"")</f>
        <v/>
      </c>
      <c r="FE214" s="361" t="str">
        <f t="shared" si="576"/>
        <v/>
      </c>
      <c r="FF214" s="361" t="str">
        <f t="shared" si="577"/>
        <v/>
      </c>
      <c r="FG214" s="361" t="e">
        <f t="shared" ref="FG214:FG277" si="682">HLOOKUP(LEFT(BO214,7),Approx_Cool,3)*IFERROR((BQ214/VALUE(LEFT(EY214))),1)</f>
        <v>#N/A</v>
      </c>
      <c r="FH214" s="361">
        <f t="shared" ref="FH214:FH277" si="683">F214/$CB$8</f>
        <v>0</v>
      </c>
      <c r="FI214" s="361" t="e">
        <f t="shared" ref="FI214:FI277" si="684">(F214/$CB$8)/L214</f>
        <v>#DIV/0!</v>
      </c>
      <c r="FJ214" s="361"/>
      <c r="FK214" s="356" t="e">
        <f t="shared" ref="FK214:FK277" si="685">0+X214</f>
        <v>#VALUE!</v>
      </c>
      <c r="FL214" s="361"/>
      <c r="FM214" s="361"/>
      <c r="FN214" s="362" t="str">
        <f t="shared" si="578"/>
        <v xml:space="preserve"> </v>
      </c>
      <c r="FO214" s="362" t="str">
        <f t="shared" si="579"/>
        <v xml:space="preserve"> </v>
      </c>
      <c r="FP214" s="362">
        <f t="shared" si="580"/>
        <v>0</v>
      </c>
      <c r="FQ214" s="361">
        <f t="shared" ref="FQ214:FQ277" si="686">IF(T214=0,0,IF(T214&lt;FP214,1,0))</f>
        <v>0</v>
      </c>
      <c r="FR214" s="362" t="str">
        <f>IF(L214&gt;0,IF(J214="CBAL2",Worksheet!$P$67,IF(J214="CBE2-24",Worksheet!$Q$67,IF(J214="CBAM",Worksheet!$R$67,IF(J214="CBLV",Worksheet!$S$67,IF(J214="CBAB",Worksheet!$U$67,IF(J214="CBAW",Worksheet!$X$67,IF(J214="CBE2-12",Worksheet!$Y$67,IF(J214="CBAL2",Worksheet!$Z$67,"N/A"))))))))," ")</f>
        <v xml:space="preserve"> </v>
      </c>
      <c r="FS214" s="362" t="str">
        <f>IF(L214&gt;0,IF(J214="CBAL2",Worksheet!$P$68,IF(J214="CBE2-24",Worksheet!$Q$68,IF(J214="CBAM",Worksheet!$R$68,IF(J214="CBLV",Worksheet!$S$68,IF(J214="CBAB",Worksheet!$U$68,IF(J214="CBAW",Worksheet!$X$68,IF(J214="CBE2-12",Worksheet!$Y$68,IF(J214="CBAL2",Worksheet!$Z$68,"N/A"))))))))," ")</f>
        <v xml:space="preserve"> </v>
      </c>
      <c r="FT214" s="362" t="str">
        <f>IF(L214&gt;0,IF(J214="CBAL2",Worksheet!$P$69,IF(J214="CBE2-24",Worksheet!$Q$69,IF(J214="CBAM",Worksheet!$R$69,IF(J214="CBLV",Worksheet!$S$69,IF(J214="CBAB",Worksheet!$U$69,IF(J214="CBAW",Worksheet!$X$69,IF(J214="CBE2-12",Worksheet!$Y$69,IF(J214="CBAL2",Worksheet!$Z$69,"N/A"))))))))," ")</f>
        <v xml:space="preserve"> </v>
      </c>
      <c r="FU214" s="361" t="str">
        <f t="shared" si="581"/>
        <v xml:space="preserve"> </v>
      </c>
      <c r="FV214" s="362" t="str">
        <f t="shared" si="582"/>
        <v xml:space="preserve"> </v>
      </c>
      <c r="FW214" s="362" t="str">
        <f t="shared" si="583"/>
        <v xml:space="preserve"> </v>
      </c>
      <c r="FX214" s="362" t="str">
        <f t="shared" si="584"/>
        <v xml:space="preserve"> </v>
      </c>
      <c r="FY214" s="355" t="str">
        <f t="shared" si="585"/>
        <v xml:space="preserve"> </v>
      </c>
      <c r="FZ214" s="361" t="str">
        <f t="shared" si="586"/>
        <v xml:space="preserve"> </v>
      </c>
      <c r="GA214" s="347" t="str">
        <f t="shared" si="587"/>
        <v xml:space="preserve"> </v>
      </c>
      <c r="GB214" s="355" t="str">
        <f t="shared" si="588"/>
        <v xml:space="preserve"> </v>
      </c>
      <c r="GC214" s="328" t="str">
        <f t="shared" si="589"/>
        <v xml:space="preserve"> </v>
      </c>
      <c r="GD214" s="361" t="str">
        <f t="shared" si="590"/>
        <v xml:space="preserve"> </v>
      </c>
      <c r="GE214" s="347" t="str">
        <f t="shared" si="591"/>
        <v xml:space="preserve"> </v>
      </c>
      <c r="GF214" s="361" t="str">
        <f t="shared" si="592"/>
        <v xml:space="preserve"> </v>
      </c>
      <c r="GG214" s="347" t="str">
        <f t="shared" si="593"/>
        <v xml:space="preserve"> </v>
      </c>
      <c r="GH214" s="364">
        <f t="shared" ref="GH214:GH277" si="687">IFERROR(IF(AZ214="",0,AZ214-$H$6),0)</f>
        <v>0</v>
      </c>
      <c r="GI214" s="362">
        <f t="shared" si="594"/>
        <v>2</v>
      </c>
      <c r="GJ214" s="433" t="e">
        <f>IF(6-COUNTBLANK(GT214:GY214)=4,MATCH(MID(BO214,9,3),CLU!$H$16:$K$16),MATCH(MID(BO214,9,3),CLU!$H$13:$M$13))</f>
        <v>#N/A</v>
      </c>
      <c r="GK214" s="433" t="e">
        <f>HLOOKUP(VALUE(BP214),CLU!$H$9:$M$10,2)</f>
        <v>#VALUE!</v>
      </c>
      <c r="GL214" s="433" t="e">
        <f ca="1">MATCH(BU214,CLU!$H$2:$V$2,1)</f>
        <v>#VALUE!</v>
      </c>
      <c r="GM214" s="433" t="e">
        <f t="shared" ca="1" si="595"/>
        <v>#VALUE!</v>
      </c>
      <c r="GN214" s="433" t="e">
        <f t="shared" ca="1" si="596"/>
        <v>#VALUE!</v>
      </c>
      <c r="GO214" s="433" t="e">
        <f t="shared" ca="1" si="597"/>
        <v>#VALUE!</v>
      </c>
      <c r="GP214" s="433" t="e">
        <f t="shared" ca="1" si="598"/>
        <v>#VALUE!</v>
      </c>
      <c r="GQ214" s="433" t="e">
        <f t="shared" ca="1" si="599"/>
        <v>#VALUE!</v>
      </c>
      <c r="GR214" s="433" t="e">
        <f ca="1">MATCH(T214,INDIRECT(VLOOKUP(CONCATENATE(LEFT(BO214,7),"-",MID(BO214,13,1)),CLU!$P$3:$Q$16,2)),1)</f>
        <v>#N/A</v>
      </c>
      <c r="GS214" s="433" t="e">
        <f ca="1">MATCH(U214,INDIRECT(VLOOKUP(CONCATENATE(LEFT(BO214,7),"-",MID(BO214,13,1)),CLU!$P$3:$Q$16,2)),1)</f>
        <v>#N/A</v>
      </c>
      <c r="GT214" s="347" t="s">
        <v>512</v>
      </c>
      <c r="GU214" s="97" t="s">
        <v>513</v>
      </c>
      <c r="GV214" s="97" t="str">
        <f t="shared" si="600"/>
        <v>M23</v>
      </c>
      <c r="GW214" s="97" t="str">
        <f t="shared" si="601"/>
        <v>M31</v>
      </c>
      <c r="GX214" s="97" t="str">
        <f t="shared" si="602"/>
        <v/>
      </c>
      <c r="GY214" s="97" t="str">
        <f t="shared" si="603"/>
        <v/>
      </c>
      <c r="GZ214" s="481"/>
      <c r="HA214" s="288"/>
      <c r="HB214" s="240"/>
      <c r="HC214" s="240"/>
      <c r="HD214" s="240"/>
      <c r="HE214" s="240"/>
      <c r="HF214" s="240"/>
      <c r="HG214" s="240"/>
      <c r="HH214" s="240"/>
      <c r="HI214" s="240"/>
      <c r="HJ214" s="240"/>
      <c r="HK214" s="240"/>
      <c r="HL214" s="240"/>
      <c r="HM214" s="240"/>
      <c r="HN214" s="240"/>
      <c r="HO214" s="240"/>
      <c r="HP214" s="240"/>
      <c r="HQ214" s="240"/>
      <c r="HR214" s="240"/>
      <c r="HS214" s="240"/>
      <c r="HT214" s="240"/>
      <c r="HU214" s="240"/>
      <c r="HV214" s="245"/>
      <c r="HW214" s="245" t="b">
        <v>1</v>
      </c>
      <c r="HX214" s="245" t="str">
        <f t="shared" ref="HX214:HX277" si="688">IF(J214="","",CONCATENATE(LEFT(BO214,7),"-",BQ214,"-",LEFT(O214,1)))</f>
        <v/>
      </c>
      <c r="HY214" s="245" t="e">
        <f t="shared" ref="HY214:HY277" si="689">ROUNDUP(MAX(H214/L214,FI214),0)</f>
        <v>#DIV/0!</v>
      </c>
      <c r="HZ214" s="245" t="e">
        <f t="shared" ref="HZ214:HZ277" si="690">ROUNDUP((E214/L214)*$X$5,0)</f>
        <v>#DIV/0!</v>
      </c>
      <c r="IA214" s="245">
        <f t="shared" ref="IA214:IA277" si="691">IF(G214=0,0,G214/L214)</f>
        <v>0</v>
      </c>
      <c r="IB214" s="245"/>
      <c r="IC214" t="b">
        <f t="shared" ref="IC214:IC277" si="692">ISBLANK(E214)</f>
        <v>1</v>
      </c>
      <c r="ID214" s="245" t="b">
        <f t="shared" ref="ID214:ID277" si="693">ISBLANK(J214)</f>
        <v>1</v>
      </c>
      <c r="IE214" s="245" t="b">
        <f t="shared" ref="IE214:IE277" si="694">ISBLANK(J214)</f>
        <v>1</v>
      </c>
      <c r="IF214" s="245" t="b">
        <f t="shared" ref="IF214:IF277" si="695">ISNUMBER(L214)</f>
        <v>0</v>
      </c>
      <c r="IG214" s="245" t="b">
        <f t="shared" ref="IG214:IG277" si="696">ISBLANK(N214)</f>
        <v>1</v>
      </c>
      <c r="IH214" s="245" t="b">
        <f t="shared" ref="IH214:IH277" si="697">ISBLANK(O214)</f>
        <v>1</v>
      </c>
      <c r="II214" s="245">
        <f t="shared" si="604"/>
        <v>0</v>
      </c>
      <c r="IJ214" s="245" t="e">
        <f t="shared" ref="IJ214:IJ277" si="698">INT(ABS(AQ214))</f>
        <v>#VALUE!</v>
      </c>
      <c r="IK214" s="245" t="e">
        <f t="shared" ref="IK214:IK277" si="699">INT(ABS(AY214))</f>
        <v>#VALUE!</v>
      </c>
      <c r="IL214" s="245"/>
      <c r="IM214" s="245" t="e">
        <f t="shared" si="605"/>
        <v>#N/A</v>
      </c>
      <c r="IN214" s="245" t="e">
        <f t="shared" si="606"/>
        <v>#N/A</v>
      </c>
      <c r="IO214" s="245"/>
      <c r="IP214" s="245"/>
      <c r="IQ214" s="245" t="str">
        <f t="shared" ref="IQ214:IQ277" si="700">IF(J214="","",$X$8)</f>
        <v/>
      </c>
      <c r="IR214" s="245" t="str">
        <f>IF(J214="","",VLOOKUP(J214,Worksheet!$R$4:$T$14,2))</f>
        <v/>
      </c>
      <c r="IS214" s="245"/>
      <c r="IT214" s="245">
        <f t="shared" ref="IT214:IT277" si="701">IF((L214&gt;0),1,0)</f>
        <v>0</v>
      </c>
      <c r="IU214" s="245">
        <f t="shared" ref="IU214:IU277" si="702">IFERROR(MATCH(M214,EO214:EW214,0),0)</f>
        <v>0</v>
      </c>
      <c r="IV214" s="245">
        <f t="shared" ref="IV214:IV277" si="703">IFERROR(MATCH(N214,EX214:EY214,0),0)</f>
        <v>0</v>
      </c>
      <c r="IW214" s="245">
        <f t="shared" ref="IW214:IW277" si="704">IFERROR(MATCH(O214,EZ214:FC214,0),0)</f>
        <v>0</v>
      </c>
      <c r="IX214" s="245">
        <f t="shared" si="607"/>
        <v>0</v>
      </c>
      <c r="IY214" s="245">
        <f t="shared" ref="IY214:IY277" si="705">IF(LEN(S214)=0,0,1)</f>
        <v>0</v>
      </c>
      <c r="IZ214" s="245">
        <f t="shared" ref="IZ214:IZ277" si="706">IFERROR(IF((R214&gt;BS214*1250),1,0),0)</f>
        <v>0</v>
      </c>
      <c r="JA214">
        <f t="shared" ref="JA214:JA277" si="707">IFERROR(IF(AND(T214&gt;0.24,T214&lt;(IN214+0.01)),1,0),0)</f>
        <v>0</v>
      </c>
      <c r="JB214">
        <f t="shared" si="608"/>
        <v>0</v>
      </c>
      <c r="JC214">
        <f t="shared" ref="JC214:JC277" si="708">IF($JB214=1,W214,0)</f>
        <v>0</v>
      </c>
      <c r="JD214">
        <f t="shared" ref="JD214:JD277" si="709">IF($JB214=1,Z214,0)</f>
        <v>0</v>
      </c>
      <c r="JE214">
        <f t="shared" ref="JE214:JE277" si="710">IF($JB214=1,AA214,0)</f>
        <v>0</v>
      </c>
      <c r="JF214">
        <f t="shared" ref="JF214:JF277" si="711">IF($JB214=1,AF214,0)</f>
        <v>0</v>
      </c>
      <c r="JG214">
        <f t="shared" ref="JG214:JG277" si="712">IF($JB214=1,L214,0)</f>
        <v>0</v>
      </c>
      <c r="JH214">
        <f t="shared" ref="JH214:JH277" si="713">IF($JB214=1,L214*M214,0)</f>
        <v>0</v>
      </c>
      <c r="JI214">
        <f t="shared" ref="JI214:JI277" si="714">IF($JB214=1,AO214*L214,0)</f>
        <v>0</v>
      </c>
      <c r="JJ214" s="447">
        <f t="shared" ref="JJ214:JJ277" si="715">ABS(IF($JB214=1,AP214*L214,0))</f>
        <v>0</v>
      </c>
      <c r="JK214" s="447">
        <f t="shared" ref="JK214:JK277" si="716">ABS(IF($JB214=1,AE214,0))</f>
        <v>0</v>
      </c>
      <c r="JL214">
        <f t="shared" ref="JL214:JL277" si="717">IF($JB214=1,AI214,0)</f>
        <v>0</v>
      </c>
      <c r="JM214" s="245" t="str">
        <f>IFERROR(VLOOKUP(MATCH(BN214,#REF!,0),#REF!,7),"")</f>
        <v/>
      </c>
      <c r="JN214" t="e">
        <f>HLOOKUP(LEFT(BO214,7),Discharge_Area,MATCH(JO214,LookUps!$B$130:$B$149,1)+2)</f>
        <v>#N/A</v>
      </c>
      <c r="JO214" t="str">
        <f t="shared" ref="JO214:JO277" si="718">CONCATENATE(M214,"-",BQ214,"S")</f>
        <v>- S</v>
      </c>
      <c r="JP214" t="e">
        <f>HLOOKUP(LEFT(BO214,7),Discharge_Area,MATCH(JO214,LookUps!$B$130:$B$149,1)+2)</f>
        <v>#N/A</v>
      </c>
      <c r="JQ214" t="e">
        <f t="shared" ref="JQ214:JQ277" si="719">HLOOKUP(LEFT(BO214,7),Throw_Coeff,3)</f>
        <v>#N/A</v>
      </c>
      <c r="JR214" t="e">
        <f t="shared" ref="JR214:JR277" si="720">HLOOKUP(LEFT(BO214,7),Throw_Coeff,4)</f>
        <v>#N/A</v>
      </c>
      <c r="JS214" t="e">
        <f t="shared" ref="JS214:JS277" si="721">HLOOKUP(LEFT(BO214,7),Throw_Coeff,5)</f>
        <v>#N/A</v>
      </c>
      <c r="JT214" s="532" t="str">
        <f t="shared" ref="JT214:JT277" si="722">IF(L214&gt;0,AS214-$F$6," ")</f>
        <v xml:space="preserve"> </v>
      </c>
      <c r="JU214" s="532" t="str">
        <f t="shared" ref="JU214:JU277" si="723">IF(L214&gt;0,AZ214-$H$6," ")</f>
        <v xml:space="preserve"> </v>
      </c>
      <c r="JV214" s="533" t="str">
        <f t="shared" ref="JV214:JV277" si="724">IF(L214&gt;0,LH214/JP214," ")</f>
        <v xml:space="preserve"> </v>
      </c>
      <c r="JW214" s="534">
        <f t="shared" ref="JW214:JW277" si="725">IF(L214&gt;0,IF(BD214&gt;0,IF(BE214&gt;0,IF(BF214&gt;0,BF214+(BD214-BE214),0),0),0),0)</f>
        <v>0</v>
      </c>
      <c r="JX214" s="535" t="str">
        <f t="shared" si="609"/>
        <v xml:space="preserve"> </v>
      </c>
      <c r="JY214" s="535" t="str">
        <f t="shared" si="610"/>
        <v xml:space="preserve"> </v>
      </c>
      <c r="JZ214" s="535" t="str">
        <f t="shared" si="611"/>
        <v xml:space="preserve"> </v>
      </c>
      <c r="KA214" s="536" t="str">
        <f t="shared" ref="KA214:KA277" si="726">IF(JW214&gt;0,0.8*(JV214/200)^0.2*(M214/4)^0.05," ")</f>
        <v xml:space="preserve"> </v>
      </c>
      <c r="KB214" s="535" t="e">
        <f t="shared" si="612"/>
        <v>#VALUE!</v>
      </c>
      <c r="KC214" s="535" t="str">
        <f t="shared" ref="KC214:KC277" si="727">IF(U214=0,"",IF(JW214&gt;0,KA214*0.8*MIN(JX214:JZ214)/(JU214/10)^0.3," "))</f>
        <v/>
      </c>
      <c r="KD214" s="537" t="str">
        <f t="shared" si="613"/>
        <v xml:space="preserve"> </v>
      </c>
      <c r="KE214" s="537" t="str">
        <f t="shared" si="614"/>
        <v xml:space="preserve"> </v>
      </c>
      <c r="KF214" s="534">
        <f t="shared" ref="KF214:KF277" si="728">IF(L214&gt;0,IF(BG214&gt;0,IF(BD214&gt;0,IF(BE214&gt;0,BG214/2,0),0),0),0)</f>
        <v>0</v>
      </c>
      <c r="KG214" s="535" t="str">
        <f t="shared" ref="KG214:KG277" si="729">IF(KF214&gt;0,JV214/(BG214*0.5/JQ214/SQRT(JP214/2))^0.5," ")</f>
        <v xml:space="preserve"> </v>
      </c>
      <c r="KH214" s="535" t="str">
        <f t="shared" ref="KH214:KH277" si="730">IF(KF214&gt;0,JV214/(BG214*0.5/JR214/SQRT(JP214/2))," ")</f>
        <v xml:space="preserve"> </v>
      </c>
      <c r="KI214" s="535" t="str">
        <f t="shared" ref="KI214:KI277" si="731">IF(KF214&gt;0,JV214/(BG214*0.5/JS214/SQRT(JP214/2))^2," ")</f>
        <v xml:space="preserve"> </v>
      </c>
      <c r="KJ214" s="536" t="str">
        <f t="shared" ref="KJ214:KJ277" si="732">IF(KF214&gt;0,3.3/(BD214-BE214)*0.53*0.8*(JV214/200)^0.2*(M214/4)^0.05," ")</f>
        <v xml:space="preserve"> </v>
      </c>
      <c r="KK214" s="535" t="str">
        <f t="shared" si="615"/>
        <v xml:space="preserve"> </v>
      </c>
      <c r="KL214" s="535" t="str">
        <f t="shared" si="616"/>
        <v xml:space="preserve"> </v>
      </c>
      <c r="KM214" s="537" t="str">
        <f t="shared" ref="KM214:KM277" si="733">IF(KF214&gt;0,0.35*KD214*(BG214*0.5+(BD214-BE214))/JW214," ")</f>
        <v xml:space="preserve"> </v>
      </c>
      <c r="KN214" s="537" t="str">
        <f t="shared" si="617"/>
        <v xml:space="preserve"> </v>
      </c>
      <c r="KP214">
        <f t="shared" ref="KP214:KP277" si="734">12*500*T214</f>
        <v>0</v>
      </c>
      <c r="LA214" t="e">
        <f t="shared" ref="LA214:LA277" si="735">(2.241*(LN(BS214))-5.325)</f>
        <v>#VALUE!</v>
      </c>
      <c r="LB214" t="e">
        <f t="shared" ref="LB214:LB277" si="736">(24.173*(LN(DC214+DE214))+133.37)</f>
        <v>#VALUE!</v>
      </c>
      <c r="LC214" t="e">
        <f t="shared" ref="LC214:LC277" si="737">IF(DD214&lt;590,15.827*(LN(590))-83.608,(15.827*(LN(DD214))-83.608))</f>
        <v>#VALUE!</v>
      </c>
      <c r="LD214" t="e">
        <f t="shared" ref="LD214:LD277" si="738">(35.444*(LN(BT214))-187.23)</f>
        <v>#VALUE!</v>
      </c>
      <c r="LE214" t="e">
        <f t="shared" si="618"/>
        <v>#VALUE!</v>
      </c>
      <c r="LF214">
        <f t="shared" ref="LF214:LF277" si="739">IF(AND(R214&gt;210,P214="M31")=TRUE,((R214-210)/26),0)</f>
        <v>0</v>
      </c>
      <c r="LG214" t="e">
        <f t="shared" si="619"/>
        <v>#VALUE!</v>
      </c>
      <c r="LH214" t="str">
        <f t="shared" ref="LH214:LH277" si="740">IF((JB214&gt;0),(DF214+1)*R214," ")</f>
        <v xml:space="preserve"> </v>
      </c>
      <c r="LI214">
        <f t="shared" si="620"/>
        <v>1</v>
      </c>
    </row>
    <row r="215" spans="2:321" ht="15" customHeight="1">
      <c r="B215" s="311"/>
      <c r="C215" s="311"/>
      <c r="D215" s="312"/>
      <c r="E215" s="311"/>
      <c r="F215" s="312"/>
      <c r="G215" s="311"/>
      <c r="H215" s="311"/>
      <c r="I215" s="232"/>
      <c r="J215" s="311"/>
      <c r="K215" s="305" t="str">
        <f t="shared" ref="K215:K278" si="741">IF(AND(E215&gt;0,J215&gt;0),ROUNDUP(MAX(D215/$X$9,E215/FG215,H215/220,FH215/220),0),"")</f>
        <v/>
      </c>
      <c r="L215" s="313"/>
      <c r="M215" s="312"/>
      <c r="N215" s="311"/>
      <c r="O215" s="312"/>
      <c r="P215" s="311"/>
      <c r="Q215" s="305" t="str">
        <f t="shared" ref="Q215:Q278" si="742">IF(AND(J215&gt;0,L215&gt;0,M215&gt;0,N215&gt;0,O215&gt;0,P215&gt;0),ROUNDUP(MAX(H215/L215,BS215*1250,FI215),0),"")</f>
        <v/>
      </c>
      <c r="R215" s="314"/>
      <c r="S215" s="450" t="str">
        <f t="shared" si="625"/>
        <v/>
      </c>
      <c r="T215" s="315"/>
      <c r="U215" s="315"/>
      <c r="W215" s="149" t="str">
        <f t="shared" si="626"/>
        <v xml:space="preserve"> </v>
      </c>
      <c r="X215" s="243" t="str">
        <f t="shared" si="627"/>
        <v xml:space="preserve"> </v>
      </c>
      <c r="Y215" s="150" t="str">
        <f t="shared" si="628"/>
        <v/>
      </c>
      <c r="Z215" s="149" t="str">
        <f t="shared" si="629"/>
        <v xml:space="preserve"> </v>
      </c>
      <c r="AA215" s="98" t="str">
        <f t="shared" si="630"/>
        <v xml:space="preserve"> </v>
      </c>
      <c r="AB215" s="153" t="str">
        <f t="shared" si="631"/>
        <v xml:space="preserve"> </v>
      </c>
      <c r="AC215" s="153" t="str">
        <f t="shared" si="632"/>
        <v xml:space="preserve"> </v>
      </c>
      <c r="AD215" s="148" t="str">
        <f t="shared" si="633"/>
        <v/>
      </c>
      <c r="AE215" s="149" t="str">
        <f t="shared" si="634"/>
        <v/>
      </c>
      <c r="AF215" s="151" t="str">
        <f t="shared" si="635"/>
        <v xml:space="preserve"> </v>
      </c>
      <c r="AG215" s="153" t="str">
        <f t="shared" si="636"/>
        <v xml:space="preserve"> </v>
      </c>
      <c r="AH215" s="98" t="str">
        <f t="shared" si="637"/>
        <v xml:space="preserve"> </v>
      </c>
      <c r="AI215" s="149" t="str">
        <f t="shared" si="638"/>
        <v xml:space="preserve"> </v>
      </c>
      <c r="AK215" s="144" t="str">
        <f t="shared" si="639"/>
        <v xml:space="preserve"> </v>
      </c>
      <c r="AL215" s="144"/>
      <c r="AM215" s="243" t="str">
        <f t="shared" si="640"/>
        <v xml:space="preserve"> </v>
      </c>
      <c r="AN215" s="149" t="str">
        <f t="shared" ref="AN215:AN278" si="743">IF((JB215&gt;0),LG215," ")</f>
        <v xml:space="preserve"> </v>
      </c>
      <c r="AO215" s="144" t="str">
        <f>IF(JB215&gt;0,IF(GI215=10,-R215*1.085*(Calculation!$F$6-Calculation!$F$13)*$S$14," "),"")</f>
        <v/>
      </c>
      <c r="AP215" s="144" t="str">
        <f t="shared" si="641"/>
        <v/>
      </c>
      <c r="AQ215" s="56" t="str">
        <f t="shared" si="642"/>
        <v/>
      </c>
      <c r="AR215" s="144" t="str">
        <f t="shared" si="643"/>
        <v/>
      </c>
      <c r="AS215" s="176" t="str">
        <f t="shared" si="644"/>
        <v/>
      </c>
      <c r="AT215" s="176" t="str">
        <f t="shared" ref="AT215:AT278" si="744">IF(GI215=10,EM215," ")</f>
        <v xml:space="preserve"> </v>
      </c>
      <c r="AU215" s="176" t="str">
        <f t="shared" si="645"/>
        <v/>
      </c>
      <c r="AV215" s="177" t="str">
        <f t="shared" si="646"/>
        <v xml:space="preserve"> </v>
      </c>
      <c r="AW215" s="144" t="str">
        <f t="shared" si="647"/>
        <v xml:space="preserve"> </v>
      </c>
      <c r="AX215" s="144" t="str">
        <f t="shared" si="648"/>
        <v xml:space="preserve"> </v>
      </c>
      <c r="AY215" s="152" t="str">
        <f t="shared" si="649"/>
        <v xml:space="preserve"> </v>
      </c>
      <c r="AZ215" s="246" t="str">
        <f t="shared" si="650"/>
        <v/>
      </c>
      <c r="BA215" s="176" t="str">
        <f t="shared" si="651"/>
        <v xml:space="preserve"> </v>
      </c>
      <c r="BB215" s="176" t="str">
        <f t="shared" si="652"/>
        <v xml:space="preserve"> </v>
      </c>
      <c r="BC215" s="195"/>
      <c r="BD215" s="316"/>
      <c r="BE215" s="317"/>
      <c r="BF215" s="318"/>
      <c r="BG215" s="318"/>
      <c r="BH215" s="144" t="str">
        <f t="shared" si="621"/>
        <v xml:space="preserve"> </v>
      </c>
      <c r="BI215" s="176" t="str">
        <f t="shared" si="653"/>
        <v/>
      </c>
      <c r="BJ215" s="144" t="str">
        <f t="shared" si="622"/>
        <v/>
      </c>
      <c r="BK215" s="246" t="str">
        <f t="shared" si="654"/>
        <v/>
      </c>
      <c r="BL215" s="144" t="str">
        <f t="shared" si="623"/>
        <v/>
      </c>
      <c r="BM215" s="246" t="str">
        <f t="shared" si="655"/>
        <v/>
      </c>
      <c r="BN215" s="337" t="str">
        <f t="shared" ref="BN215:BN278" si="745">IF(COUNTBLANK(L215:T215)+COUNTBLANK(J215)=0,CONCATENATE(BO215,"-",R215,"-",S215,"-",T215,"-",U215),"")</f>
        <v/>
      </c>
      <c r="BO215" s="371" t="str">
        <f t="shared" ref="BO215:BO278" si="746">IF(AND(J215="",N215="",O215=""),"",CONCATENATE(J215,(IF(LEN(J215)=4,("-00"),IF(LEN(J215)=5,("-0"),""))),"-",P215,"-",(LEFT(N215,1)),"-",M215,"-",(LEFT(O215,1))))</f>
        <v/>
      </c>
      <c r="BP215" s="328" t="str">
        <f t="shared" si="624"/>
        <v xml:space="preserve"> </v>
      </c>
      <c r="BQ215" s="347" t="str">
        <f t="shared" ref="BQ215:BQ278" si="747">LEFT(BP215,1)</f>
        <v xml:space="preserve"> </v>
      </c>
      <c r="BR215" s="353" t="str">
        <f t="shared" ref="BR215:BR278" si="748">IF(L215&gt;0,HLOOKUP(LEFT(BO215,7),Noz_Qty,(MATCH(CONCATENATE(IF(LEN(M215)=1,("0"),""),M215,"-",LEFT(BP215,1),"S"),Len_SlotLU,0)+2))," ")</f>
        <v xml:space="preserve"> </v>
      </c>
      <c r="BS215" s="626" t="str">
        <f>IF(L215&gt;0,IF(Calculation!P215="M13",BR215*3.1416*(0.134^2)/(4*144),IF(Calculation!P215="M17",BR215*3.1416*(0.165^2)/(4*144),IF(Calculation!P215="M20",BR215*3.1416*(0.198^2)/(4*144),IF(Calculation!P215="M23",BR215*3.1416*(0.228^2)/(4*144),IF(Calculation!P215="M27",BR215*3.1416*(0.269^2)/(4*144),BR215*3.1416*(0.307^2)/(4*144))))))," ")</f>
        <v xml:space="preserve"> </v>
      </c>
      <c r="BT215" s="353" t="str">
        <f>IF(L215&gt;0,IF(BS215&gt;0,R215/Calculation!BS215,0)," ")</f>
        <v xml:space="preserve"> </v>
      </c>
      <c r="BU215" s="438" t="e">
        <f t="shared" ca="1" si="656"/>
        <v>#VALUE!</v>
      </c>
      <c r="BV215" s="449" t="e">
        <f ca="1">INDEX(INDIRECT(VLOOKUP(LEFT(BO215,7),CLU!$Z$3:$AH$18,2)),GN215,GR215)</f>
        <v>#N/A</v>
      </c>
      <c r="BW215" s="433" t="e">
        <f ca="1">INDEX(INDIRECT(VLOOKUP(LEFT(BO215,7),CLU!$Z$3:$AH$18,3)),GN215,GR215)</f>
        <v>#N/A</v>
      </c>
      <c r="BX215" s="433" t="e">
        <f ca="1">INDEX(INDIRECT(VLOOKUP(LEFT(BO215,7),CLU!$Z$3:$AH$18,4)),GN215,GR215)</f>
        <v>#N/A</v>
      </c>
      <c r="BY215" s="433" t="e">
        <f ca="1">INDEX(INDIRECT(VLOOKUP(LEFT(BO215,7),CLU!$Z$3:$AH$18,9)),((M215-2)*(6-COUNTBLANK(GT215:GY215)))+GJ215)</f>
        <v>#N/A</v>
      </c>
      <c r="BZ215" s="426" t="e">
        <f t="shared" ref="BZ215:BZ278" ca="1" si="749">((BV215*T215)+BW215)*BX215*BY215</f>
        <v>#N/A</v>
      </c>
      <c r="CA215" s="424" t="e">
        <f t="shared" ref="CA215:CA278" ca="1" si="750">BZ215*DJ215*$BT$8</f>
        <v>#N/A</v>
      </c>
      <c r="CB215" s="429" t="e">
        <f ca="1">INDEX(INDIRECT(VLOOKUP(LEFT(BO215,7),CLU!$Z$3:$AH$18,2)),GN215,GS215)</f>
        <v>#N/A</v>
      </c>
      <c r="CC215" s="342" t="e">
        <f ca="1">INDEX(INDIRECT(VLOOKUP(LEFT(BO215,7),CLU!$Z$3:$AH$18,3)),GN215,GS215)</f>
        <v>#N/A</v>
      </c>
      <c r="CD215" s="342" t="e">
        <f ca="1">INDEX(INDIRECT(VLOOKUP(LEFT(BO215,7),CLU!$Z$3:$AH$18,4)),GN215,GS215)</f>
        <v>#N/A</v>
      </c>
      <c r="CE215" s="426" t="e">
        <f t="shared" ref="CE215:CE278" ca="1" si="751">((CB215*U215)+CC215)*CD215*BY215</f>
        <v>#N/A</v>
      </c>
      <c r="CF215" s="440">
        <f t="shared" ref="CF215:CF278" si="752">IF(U215=0,0,IF(O215="2 pipe (cooling)",0,CE215*DK215))*$BV$8</f>
        <v>0</v>
      </c>
      <c r="CG215" s="431" t="e">
        <f ca="1">INDEX(INDIRECT(VLOOKUP(LEFT(BO215,7),CLU!$Z$3:$AH$18,2)),GQ215,GR215)</f>
        <v>#N/A</v>
      </c>
      <c r="CH215" s="431" t="e">
        <f ca="1">INDEX(INDIRECT(VLOOKUP(LEFT(BO215,7),CLU!$Z$3:$AH$18,3)),GQ215,GR215)</f>
        <v>#N/A</v>
      </c>
      <c r="CI215" s="431" t="e">
        <f ca="1">INDEX(INDIRECT(VLOOKUP(LEFT(BO215,7),CLU!$Z$3:$AH$18,4)),GQ215,GR215)</f>
        <v>#N/A</v>
      </c>
      <c r="CJ215" s="448" t="e">
        <f t="shared" ref="CJ215:CJ278" ca="1" si="753">BY215</f>
        <v>#N/A</v>
      </c>
      <c r="CK215" s="431" t="e">
        <f t="shared" ref="CK215:CK278" ca="1" si="754">((CG215*T215)+CH215)*CI215*CJ215</f>
        <v>#N/A</v>
      </c>
      <c r="CL215" s="440" t="e">
        <f t="shared" ref="CL215:CL278" ca="1" si="755">CK215*DJ215*$BT$8</f>
        <v>#N/A</v>
      </c>
      <c r="CM215" s="431" t="e">
        <f ca="1">INDEX(INDIRECT(VLOOKUP(LEFT(BO215,7),CLU!$Z$3:$AH$18,2)),GQ215,GS215)</f>
        <v>#N/A</v>
      </c>
      <c r="CN215" s="431" t="e">
        <f ca="1">INDEX(INDIRECT(VLOOKUP(LEFT(BO215,7),CLU!$Z$3:$AH$18,3)),GQ215,GS215)</f>
        <v>#N/A</v>
      </c>
      <c r="CO215" s="431" t="e">
        <f ca="1">INDEX(INDIRECT(VLOOKUP(LEFT(BO215,7),CLU!$Z$3:$AH$18,4)),GQ215,GS215)</f>
        <v>#N/A</v>
      </c>
      <c r="CP215" s="431" t="e">
        <f t="shared" ref="CP215:CP278" ca="1" si="756">((CM215*U215)+CN215)*CO215*CJ215</f>
        <v>#N/A</v>
      </c>
      <c r="CQ215" s="440">
        <f t="shared" ref="CQ215:CQ278" si="757">IF(U215=0,0,IF(O215="2 pipe (cooling)",0,CP215*DK215))*$BV$8</f>
        <v>0</v>
      </c>
      <c r="CR215" s="51" t="e">
        <f t="shared" ref="CR215:CR278" ca="1" si="758">CL215-CA215</f>
        <v>#N/A</v>
      </c>
      <c r="CS215" s="439" t="e">
        <f t="shared" ref="CS215:CS278" ca="1" si="759">(BU215-GM215)/10</f>
        <v>#VALUE!</v>
      </c>
      <c r="CT215" s="51" t="e">
        <f t="shared" ref="CT215:CT278" ca="1" si="760">CS215*CR215</f>
        <v>#VALUE!</v>
      </c>
      <c r="CU215" s="10"/>
      <c r="CV215" s="51" t="e">
        <f t="shared" ca="1" si="657"/>
        <v>#VALUE!</v>
      </c>
      <c r="CW215" s="51">
        <f t="shared" ref="CW215:CW278" si="761">CQ215-CF215</f>
        <v>0</v>
      </c>
      <c r="CX215" s="439" t="e">
        <f t="shared" ref="CX215:CX278" ca="1" si="762">(BU215-GM215)/10</f>
        <v>#VALUE!</v>
      </c>
      <c r="CY215" s="51" t="e">
        <f t="shared" ref="CY215:CY278" ca="1" si="763">CX215*CW215</f>
        <v>#VALUE!</v>
      </c>
      <c r="CZ215" s="10"/>
      <c r="DA215" s="51" t="e">
        <f t="shared" ref="DA215:DA278" ca="1" si="764">(CF215+CY215)*$CZ$21</f>
        <v>#VALUE!</v>
      </c>
      <c r="DB215" s="347" t="e">
        <f ca="1">INDEX(INDIRECT(VLOOKUP(LEFT(BO215,7),CLU!$Z$3:$AI$18,10)),((M215-2)*(6-COUNTBLANK(GT215:GY215)))+GJ215)*LI215</f>
        <v>#N/A</v>
      </c>
      <c r="DC215" s="347" t="str">
        <f>IF(L215&gt;0,((R215/Worksheet!$I$15)/DB215)^2," ")</f>
        <v xml:space="preserve"> </v>
      </c>
      <c r="DD215" s="602" t="str">
        <f t="shared" ref="DD215:DD278" si="765">IF(L215&gt;0,IF(S215=4,R215/0.087,IF(S215=5,R215/0.136,IF(S215=6,R215/0.197,IF(S215=8,R215/0.35,R215/0.415))))," ")</f>
        <v xml:space="preserve"> </v>
      </c>
      <c r="DE215" s="347" t="str">
        <f t="shared" si="658"/>
        <v xml:space="preserve"> </v>
      </c>
      <c r="DF215" s="356" t="e">
        <f ca="1">INDEX(INDIRECT(VLOOKUP(LEFT(BO215,7),CLU!$Z$3:$AH$18,8)),((M215-2)*(6-COUNTBLANK(GT215:GY215)))+GJ215)</f>
        <v>#N/A</v>
      </c>
      <c r="DG215" s="347" t="str">
        <f t="shared" si="659"/>
        <v xml:space="preserve"> </v>
      </c>
      <c r="DH215" s="357" t="str">
        <f t="shared" si="660"/>
        <v xml:space="preserve"> </v>
      </c>
      <c r="DI215" s="355" t="str">
        <f t="shared" si="661"/>
        <v xml:space="preserve"> </v>
      </c>
      <c r="DJ215" s="245" t="e">
        <f ca="1">INDEX(INDIRECT(VLOOKUP(LEFT(BO215,7),CLU!$Z$3:$AH$18,5)),GL215,GK215)</f>
        <v>#N/A</v>
      </c>
      <c r="DK215" s="245" t="e">
        <f ca="1">INDEX(INDIRECT(VLOOKUP(LEFT(BO215,7),CLU!$Z$3:$AH$18,6)),GL215,GK215)</f>
        <v>#N/A</v>
      </c>
      <c r="DL215" s="355">
        <f>(Calculation!R215*0.69143*(Calculation!$BQ$8-Calculation!$F$8))*$S$14</f>
        <v>0</v>
      </c>
      <c r="DM215" s="359" t="e">
        <f t="shared" ref="DM215:DM278" si="766">ABS(AO215*L215)</f>
        <v>#VALUE!</v>
      </c>
      <c r="DN215" s="611">
        <f t="shared" ref="DN215:DN278" si="767">IF(E215=0,DP215,ROUND((DM215/E215)*100,0))</f>
        <v>0</v>
      </c>
      <c r="DO215" s="359">
        <f t="shared" ref="DO215:DO278" si="768">100-DN215</f>
        <v>100</v>
      </c>
      <c r="DP215" s="359">
        <f t="shared" ref="DP215:DP278" si="769">IF(AO215="",0,ROUND(ABS(AO215)/ABS(AQ215)*100,0))</f>
        <v>0</v>
      </c>
      <c r="DQ215" s="360"/>
      <c r="DR215" s="245" t="e">
        <f ca="1">INDEX(INDIRECT(VLOOKUP(LEFT(BO215,7),CLU!$Z$3:$AH$18,7)),M215-1,1)</f>
        <v>#N/A</v>
      </c>
      <c r="DS215" s="245" t="e">
        <f ca="1">INDEX(INDIRECT(VLOOKUP(LEFT(BO215,7),CLU!$Z$3:$AH$18,7)),M215-1,2)</f>
        <v>#N/A</v>
      </c>
      <c r="DT215" s="245" t="e">
        <f ca="1">INDEX(INDIRECT(VLOOKUP(LEFT(BO215,7),CLU!$Z$3:$AH$18,7)),M215-1,3)</f>
        <v>#N/A</v>
      </c>
      <c r="DU215" s="245" t="e">
        <f ca="1">INDEX(INDIRECT(VLOOKUP(LEFT(BO215,7),CLU!$Z$3:$AH$18,7)),M215-1,4)</f>
        <v>#N/A</v>
      </c>
      <c r="DV215" s="361" t="e">
        <f ca="1">INDEX(INDIRECT(VLOOKUP(LEFT(BO215,7),CLU!$Z$3:$AH$18,7)),M215-1,4+LEFT(DZ215,1)*0.5)</f>
        <v>#N/A</v>
      </c>
      <c r="DW215" s="245" t="e">
        <f ca="1">INDEX(INDIRECT(VLOOKUP(LEFT(BO215,7),CLU!$Z$3:$AH$18,7)),M215-1,8)</f>
        <v>#N/A</v>
      </c>
      <c r="DX215" s="361" t="str">
        <f t="shared" si="662"/>
        <v xml:space="preserve"> </v>
      </c>
      <c r="DY215" s="361" t="str">
        <f t="shared" si="663"/>
        <v xml:space="preserve"> </v>
      </c>
      <c r="DZ215" s="361" t="str">
        <f t="shared" si="664"/>
        <v xml:space="preserve"> </v>
      </c>
      <c r="EA215" s="362" t="str">
        <f t="shared" si="665"/>
        <v xml:space="preserve"> </v>
      </c>
      <c r="EB215" s="624" t="str">
        <f t="shared" ref="EB215:EB278" si="770">IF(AND(MID(J215,6,2)="12",O215="4 pipe (H/C)"),1,IF(L215&gt;0,IF(BR215&gt;0,IF(MAX(T215,U215)&gt;EA215,2,1),0)," "))</f>
        <v xml:space="preserve"> </v>
      </c>
      <c r="EC215" s="361" t="e">
        <f ca="1">INDEX(INDIRECT(VLOOKUP(LEFT(BO215,7),CLU!$Z$3:$AH$18,7)),M215-1,4+LEFT(DZ215,1)*0.5)</f>
        <v>#N/A</v>
      </c>
      <c r="ED215" s="362" t="str">
        <f t="shared" si="666"/>
        <v xml:space="preserve"> </v>
      </c>
      <c r="EE215" s="361" t="str">
        <f t="shared" si="667"/>
        <v xml:space="preserve"> </v>
      </c>
      <c r="EF215" s="362" t="str">
        <f>IF(L215&gt;0,IF(BR215&gt;0,IF(EE215="2P",IF(Calculation!DZ215="2P",IF(Calculation!DS215=13.75,IF(Calculation!DR215=13,Worksheet!$BD$43,IF(Calculation!DR215=37,Worksheet!$BD$44,Worksheet!$BD$45)),IF(Calculation!DS215=10,IF(Calculation!DR215=18,Worksheet!$BD$29,IF(Calculation!DR215=30,Worksheet!$BD$30,IF(Calculation!DR215=42,Worksheet!$BD$31,IF(Calculation!DR215=54,Worksheet!$BD$32,IF(Calculation!DR215=66,Worksheet!$BD$33,IF(Calculation!DR215=78,Worksheet!$BD$34,IF(Calculation!DR215=90,Worksheet!$BD$35,IF(Calculation!DR215=102,Worksheet!$BD$36,Worksheet!$BD$37)))))))),IF(Calculation!DS215=12.5,IF(Calculation!DR215=18,Worksheet!$BD$38,IF(Calculation!DR215=Worksheet!$BD$39,IF(Calculation!DR215=42,Worksheet!$BD$40,IF(Calculation!DR215=54,Worksheet!$BD$41,Worksheet!$BD$42)))),IF(Calculation!DR215=18,Worksheet!$BD$11,IF(Calculation!DR215=30,Worksheet!$BD$12,IF(Calculation!DR215=42,Worksheet!$BD$13,IF(Calculation!DR215=54,Worksheet!$BD$14,IF(Calculation!DR215=66,Worksheet!$BD$15,IF(Calculation!DR215=78,Worksheet!$BD$16,IF(Calculation!DR215=90,Worksheet!$BD$17,IF(Calculation!DR215=102,Worksheet!$BD$18,Worksheet!$BD$19))))))))))),IF(Calculation!DS215=13.75,IF(Calculation!DR215=13,Worksheet!$BD$78,IF(Calculation!DR215=37,Worksheet!$BD$79,Worksheet!$BD$80)),IF(Calculation!DS215=10,IF(Calculation!DR215=18,Worksheet!$BD$64,IF(Calculation!DR215=30,Worksheet!$BD$65,IF(Calculation!DR215=42,Worksheet!$BD$66,IF(Calculation!DR215=54,Worksheet!$BD$68,IF(Calculation!DR215=66,Worksheet!$BD$68,IF(Calculation!DR215=78,Worksheet!$BD$69,IF(Calculation!DR215=90,Worksheet!$BD$70,IF(Calculation!DR215=102,Worksheet!$BD$71,Worksheet!$BD$72)))))))),IF(Calculation!DS215=12.5,IF(Calculation!DR215=18,Worksheet!$BD$73,IF(Calculation!DR215=Worksheet!$BD$74,IF(Calculation!DR215=42,Worksheet!$BD$75,IF(Calculation!DR215=54,Worksheet!$BD$76,Worksheet!$BD$77)))),IF(Calculation!DR215=18,Worksheet!$BD$55,IF(Calculation!DR215=30,Worksheet!$BD$56,IF(Calculation!DR215=42,Worksheet!$BD$57,IF(Calculation!DR215=54,Worksheet!$BD$58,IF(Calculation!DR215=66,Worksheet!$BD$59,IF(Calculation!DR215=78,Worksheet!$BD$60,IF(Calculation!DR215=90,Worksheet!$BD$61,IF(Calculation!DR215=102,Worksheet!$BD$62,Worksheet!$BD$63)))))))))))),5),0)," ")</f>
        <v xml:space="preserve"> </v>
      </c>
      <c r="EG215" s="361" t="str">
        <f t="shared" si="668"/>
        <v xml:space="preserve"> </v>
      </c>
      <c r="EH215" s="361" t="e">
        <f ca="1">INDEX(INDIRECT(VLOOKUP(LEFT(BO215,7),CLU!$Z$3:$AH$18,7)),M215-1,3+LEFT(DZ215,1))</f>
        <v>#N/A</v>
      </c>
      <c r="EI215" s="362" t="str">
        <f t="shared" si="669"/>
        <v xml:space="preserve"> </v>
      </c>
      <c r="EJ215" s="363" t="str">
        <f t="shared" si="670"/>
        <v xml:space="preserve"> </v>
      </c>
      <c r="EK215" s="363" t="str">
        <f t="shared" si="671"/>
        <v xml:space="preserve"> </v>
      </c>
      <c r="EL215" s="363" t="str">
        <f t="shared" si="672"/>
        <v xml:space="preserve"> </v>
      </c>
      <c r="EM215" s="362" t="str">
        <f>IF(L215&gt;0,IF(BR215&gt;0,(Calculation!T215/ED215)^2,0)," ")</f>
        <v xml:space="preserve"> </v>
      </c>
      <c r="EN215" s="362" t="str">
        <f>IF(L215&gt;0,IF(O215="2 Pipe (Cooling)","N/A",IF(BR215&gt;0,(Calculation!U215/EI215)^2,0))," ")</f>
        <v xml:space="preserve"> </v>
      </c>
      <c r="EO215" s="361" t="str">
        <f t="shared" si="673"/>
        <v/>
      </c>
      <c r="EP215" s="361" t="str">
        <f t="shared" si="674"/>
        <v/>
      </c>
      <c r="EQ215" s="361" t="str">
        <f t="shared" si="675"/>
        <v/>
      </c>
      <c r="ER215" s="361" t="str">
        <f t="shared" si="676"/>
        <v/>
      </c>
      <c r="ES215" s="361" t="str">
        <f t="shared" si="677"/>
        <v/>
      </c>
      <c r="ET215" s="361" t="str">
        <f t="shared" si="678"/>
        <v/>
      </c>
      <c r="EU215" s="361" t="str">
        <f t="shared" si="679"/>
        <v/>
      </c>
      <c r="EV215" s="361" t="str">
        <f t="shared" si="680"/>
        <v/>
      </c>
      <c r="EW215" s="361" t="str">
        <f t="shared" si="681"/>
        <v/>
      </c>
      <c r="EX215" s="361" t="str">
        <f t="shared" ref="EX215:EX278" si="771">IF(J215="CBAM","4 way",IF(J215="CBLV","2 slots, 2 way",IF(J215="CBAV","As specified *","1 slot, 1 way")))</f>
        <v>1 slot, 1 way</v>
      </c>
      <c r="EY215" s="361" t="str">
        <f t="shared" ref="EY215:EY278" si="772">IF(J215="CBAL2","2 slots, 2 way",IF(J215="CBE2-24","2 slots, 2 way",IF(J215="CBLV-12","2 slots, 2 way",IF(J215="CBE2-12","2 slots, 2 way"," "))))</f>
        <v xml:space="preserve"> </v>
      </c>
      <c r="EZ215" s="361" t="str">
        <f t="shared" ref="EZ215:EZ278" si="773">IF(J215&gt;0,"2 pipe (cooling)"," ")</f>
        <v xml:space="preserve"> </v>
      </c>
      <c r="FA215" s="361" t="str">
        <f t="shared" ref="FA215:FA278" si="774">IF(J215&gt;0,"2 pipe (H/C)"," ")</f>
        <v xml:space="preserve"> </v>
      </c>
      <c r="FB215" s="361" t="str">
        <f t="shared" ref="FB215:FB278" si="775">IF(J215&gt;0,"4 pipe (H/C)"," ")</f>
        <v xml:space="preserve"> </v>
      </c>
      <c r="FC215" s="361"/>
      <c r="FD215" s="361" t="str">
        <f>IF(J215&gt;0,IF(Calculation!R215&lt;=70,4,IF(Calculation!R215&lt;=110,5,IF(Calculation!R215&lt;=160,6,IF(Calculation!R215&lt;=300,8,"10 EO")))),"")</f>
        <v/>
      </c>
      <c r="FE215" s="361" t="str">
        <f t="shared" ref="FE215:FE278" si="776">IF(J215&gt;0,IF(FD215=4,5,IF(FD215=5,6,IF(FD215=6,8,IF(FD215=8,"10 EO","")))),"")</f>
        <v/>
      </c>
      <c r="FF215" s="361" t="str">
        <f t="shared" ref="FF215:FF278" si="777">IF(J215&gt;0,IF(FE215=4,5,IF(FE215=5,6,IF(FE215=6,8,IF(FE215=8,"10 EO","")))),"")</f>
        <v/>
      </c>
      <c r="FG215" s="361" t="e">
        <f t="shared" si="682"/>
        <v>#N/A</v>
      </c>
      <c r="FH215" s="361">
        <f t="shared" si="683"/>
        <v>0</v>
      </c>
      <c r="FI215" s="361" t="e">
        <f t="shared" si="684"/>
        <v>#DIV/0!</v>
      </c>
      <c r="FJ215" s="361"/>
      <c r="FK215" s="356" t="e">
        <f t="shared" si="685"/>
        <v>#VALUE!</v>
      </c>
      <c r="FL215" s="361"/>
      <c r="FM215" s="361"/>
      <c r="FN215" s="362" t="str">
        <f t="shared" ref="FN215:FN278" si="778">IF(L215&gt;0,IF(J215="CBLV-12",0.5,IF(J215="CBE2-12",0.5,IF(J215="CBLV",0.5,0.25)))," ")</f>
        <v xml:space="preserve"> </v>
      </c>
      <c r="FO215" s="362" t="str">
        <f t="shared" ref="FO215:FO278" si="779">IF(L215&gt;0,IF(J215="CBAW",1.9,IF(J215="CBAM",1.7,IF(J215="CBAL-12",4,IF(J215="CBE2-12",4,IF(J215="CBLV",4,2.5)))))," ")</f>
        <v xml:space="preserve"> </v>
      </c>
      <c r="FP215" s="362">
        <f t="shared" ref="FP215:FP278" si="780">IF(T215=0,0,IF(OR(LEFT(BO215,7)="CBLV-00",LEFT(BO215,7)="CBLV-12"),1,0.5))</f>
        <v>0</v>
      </c>
      <c r="FQ215" s="361">
        <f t="shared" si="686"/>
        <v>0</v>
      </c>
      <c r="FR215" s="362" t="str">
        <f>IF(L215&gt;0,IF(J215="CBAL2",Worksheet!$P$67,IF(J215="CBE2-24",Worksheet!$Q$67,IF(J215="CBAM",Worksheet!$R$67,IF(J215="CBLV",Worksheet!$S$67,IF(J215="CBAB",Worksheet!$U$67,IF(J215="CBAW",Worksheet!$X$67,IF(J215="CBE2-12",Worksheet!$Y$67,IF(J215="CBAL2",Worksheet!$Z$67,"N/A"))))))))," ")</f>
        <v xml:space="preserve"> </v>
      </c>
      <c r="FS215" s="362" t="str">
        <f>IF(L215&gt;0,IF(J215="CBAL2",Worksheet!$P$68,IF(J215="CBE2-24",Worksheet!$Q$68,IF(J215="CBAM",Worksheet!$R$68,IF(J215="CBLV",Worksheet!$S$68,IF(J215="CBAB",Worksheet!$U$68,IF(J215="CBAW",Worksheet!$X$68,IF(J215="CBE2-12",Worksheet!$Y$68,IF(J215="CBAL2",Worksheet!$Z$68,"N/A"))))))))," ")</f>
        <v xml:space="preserve"> </v>
      </c>
      <c r="FT215" s="362" t="str">
        <f>IF(L215&gt;0,IF(J215="CBAL2",Worksheet!$P$69,IF(J215="CBE2-24",Worksheet!$Q$69,IF(J215="CBAM",Worksheet!$R$69,IF(J215="CBLV",Worksheet!$S$69,IF(J215="CBAB",Worksheet!$U$69,IF(J215="CBAW",Worksheet!$X$69,IF(J215="CBE2-12",Worksheet!$Y$69,IF(J215="CBAL2",Worksheet!$Z$69,"N/A"))))))))," ")</f>
        <v xml:space="preserve"> </v>
      </c>
      <c r="FU215" s="361" t="str">
        <f t="shared" ref="FU215:FU278" si="781">IF(FR215="N/A","N/A",IF(BD215&gt;0,MIN(FR215*(DI215/(0.5*BG215))^2/(DH215^2),FS215*(DI215/(0.5*BG215))/DH215,FT215*(DI215/(0.5*BG215))^0.5/(DH215^0.5))," "))</f>
        <v xml:space="preserve"> </v>
      </c>
      <c r="FV215" s="362" t="str">
        <f t="shared" ref="FV215:FV278" si="782">IF(FU215="N/A","N/A",IF(BD215&gt;0,0.5*(3.5/(BD215-BE215))^0.8," "))</f>
        <v xml:space="preserve"> </v>
      </c>
      <c r="FW215" s="362" t="str">
        <f t="shared" ref="FW215:FW278" si="783">IF(FU215="N/A","N/A",IF(BD215&gt;0,($F$6-AS215)*0.01," "))</f>
        <v xml:space="preserve"> </v>
      </c>
      <c r="FX215" s="362" t="str">
        <f t="shared" ref="FX215:FX278" si="784">IF(FU215="N/A","N/A",IF(BD215&gt;0,(AZ215-$H$6)*0.01," "))</f>
        <v xml:space="preserve"> </v>
      </c>
      <c r="FY215" s="355" t="str">
        <f t="shared" ref="FY215:FY278" si="785">IF(FR215="N/A","N/A",IF(BD215&gt;0,MIN(FR215*(DI215/(BD215+BF215-BE215))^2/(DH215^2),FS215*(DI215/(BD215-BE215+BF215))/DH215,FT215*(DI215/(BD215-BE215+BF215))^0.5/(DH215^0.5))," "))</f>
        <v xml:space="preserve"> </v>
      </c>
      <c r="FZ215" s="361" t="str">
        <f t="shared" ref="FZ215:FZ278" si="786">IF(BD215&gt;0,IF(FU215="N/A","N/A",FU215*FV215*(1-FW215))," ")</f>
        <v xml:space="preserve"> </v>
      </c>
      <c r="GA215" s="347" t="str">
        <f t="shared" ref="GA215:GA278" si="787">IF(BD215&gt;0,IF(FU215="N/A","N/A",$F$6-(FZ215/DI215)*($F$6-AS215))," ")</f>
        <v xml:space="preserve"> </v>
      </c>
      <c r="GB215" s="355" t="str">
        <f t="shared" ref="GB215:GB278" si="788">IF(BD215&gt;0,IF(FU215="N/A","N/A",FY215*(1+FW215))," ")</f>
        <v xml:space="preserve"> </v>
      </c>
      <c r="GC215" s="328" t="str">
        <f t="shared" ref="GC215:GC278" si="789">IF(BD215&gt;0,IF(FU215="N/A","N/A",$F$6-(FY215/DI215)*($F$6-AS215))," ")</f>
        <v xml:space="preserve"> </v>
      </c>
      <c r="GD215" s="361" t="str">
        <f t="shared" ref="GD215:GD278" si="790">IF(BD215&gt;0,IF(FU215="N/A","N/A",FU215*FV215*(1-FX215))," ")</f>
        <v xml:space="preserve"> </v>
      </c>
      <c r="GE215" s="347" t="str">
        <f t="shared" ref="GE215:GE278" si="791">IF(BD215&gt;0,IF(FU215="N/A","N/A",$H$6-(GD215/DI215)*($H$6-AZ215))," ")</f>
        <v xml:space="preserve"> </v>
      </c>
      <c r="GF215" s="361" t="str">
        <f t="shared" ref="GF215:GF278" si="792">IF(BD215&gt;0,IF(FU215="N/A","N/A",FY215*(1-FX215))," ")</f>
        <v xml:space="preserve"> </v>
      </c>
      <c r="GG215" s="347" t="str">
        <f t="shared" ref="GG215:GG278" si="793">IF(BD215&gt;0,IF(FU215="N/A","N/A",$H$6-(GF215/DI215)*($H$6-AZ215))," ")</f>
        <v xml:space="preserve"> </v>
      </c>
      <c r="GH215" s="364">
        <f t="shared" si="687"/>
        <v>0</v>
      </c>
      <c r="GI215" s="362">
        <f t="shared" ref="GI215:GI278" si="794">COUNTA(J215:R215)+COUNTA(T215)</f>
        <v>2</v>
      </c>
      <c r="GJ215" s="433" t="e">
        <f>IF(6-COUNTBLANK(GT215:GY215)=4,MATCH(MID(BO215,9,3),CLU!$H$16:$K$16),MATCH(MID(BO215,9,3),CLU!$H$13:$M$13))</f>
        <v>#N/A</v>
      </c>
      <c r="GK215" s="433" t="e">
        <f>HLOOKUP(VALUE(BP215),CLU!$H$9:$M$10,2)</f>
        <v>#VALUE!</v>
      </c>
      <c r="GL215" s="433" t="e">
        <f ca="1">MATCH(BU215,CLU!$H$2:$V$2,1)</f>
        <v>#VALUE!</v>
      </c>
      <c r="GM215" s="433" t="e">
        <f t="shared" ref="GM215:GM278" ca="1" si="795">((GL215-1)*10)+15</f>
        <v>#VALUE!</v>
      </c>
      <c r="GN215" s="433" t="e">
        <f t="shared" ref="GN215:GN278" ca="1" si="796">((M215-2)*15)+GL215</f>
        <v>#VALUE!</v>
      </c>
      <c r="GO215" s="433" t="e">
        <f t="shared" ref="GO215:GO278" ca="1" si="797">IF(GL215=15,15,GL215+1)</f>
        <v>#VALUE!</v>
      </c>
      <c r="GP215" s="433" t="e">
        <f t="shared" ref="GP215:GP278" ca="1" si="798">((GO215-1)*10)+15</f>
        <v>#VALUE!</v>
      </c>
      <c r="GQ215" s="433" t="e">
        <f t="shared" ref="GQ215:GQ278" ca="1" si="799">((M215-2)*15)+GO215</f>
        <v>#VALUE!</v>
      </c>
      <c r="GR215" s="433" t="e">
        <f ca="1">MATCH(T215,INDIRECT(VLOOKUP(CONCATENATE(LEFT(BO215,7),"-",MID(BO215,13,1)),CLU!$P$3:$Q$16,2)),1)</f>
        <v>#N/A</v>
      </c>
      <c r="GS215" s="433" t="e">
        <f ca="1">MATCH(U215,INDIRECT(VLOOKUP(CONCATENATE(LEFT(BO215,7),"-",MID(BO215,13,1)),CLU!$P$3:$Q$16,2)),1)</f>
        <v>#N/A</v>
      </c>
      <c r="GT215" s="347" t="s">
        <v>512</v>
      </c>
      <c r="GU215" s="97" t="s">
        <v>513</v>
      </c>
      <c r="GV215" s="97" t="str">
        <f t="shared" ref="GV215:GV278" si="800">IF(J215="CBAL2","M20",IF(J215="CBE2-24","M20","M23"))</f>
        <v>M23</v>
      </c>
      <c r="GW215" s="97" t="str">
        <f t="shared" ref="GW215:GW278" si="801">IF(J215="CBAL2","M23",IF(J215="CBE2-24","M23","M31"))</f>
        <v>M31</v>
      </c>
      <c r="GX215" s="97" t="str">
        <f t="shared" ref="GX215:GX278" si="802">IF(J215="CBAL2","M27",IF(J215="CBE2-24","M27",""))</f>
        <v/>
      </c>
      <c r="GY215" s="97" t="str">
        <f t="shared" ref="GY215:GY278" si="803">IF(J215="CBAL2","M31",IF(J215="CBE2-24","M31",""))</f>
        <v/>
      </c>
      <c r="GZ215" s="481"/>
      <c r="HA215" s="288"/>
      <c r="HB215" s="240"/>
      <c r="HC215" s="240"/>
      <c r="HD215" s="240"/>
      <c r="HE215" s="240"/>
      <c r="HF215" s="240"/>
      <c r="HG215" s="240"/>
      <c r="HH215" s="240"/>
      <c r="HI215" s="240"/>
      <c r="HJ215" s="240"/>
      <c r="HK215" s="240"/>
      <c r="HL215" s="240"/>
      <c r="HM215" s="240"/>
      <c r="HN215" s="240"/>
      <c r="HO215" s="240"/>
      <c r="HP215" s="240"/>
      <c r="HQ215" s="240"/>
      <c r="HR215" s="240"/>
      <c r="HS215" s="240"/>
      <c r="HT215" s="240"/>
      <c r="HU215" s="240"/>
      <c r="HV215" s="245"/>
      <c r="HW215" s="245" t="b">
        <v>1</v>
      </c>
      <c r="HX215" s="245" t="str">
        <f t="shared" si="688"/>
        <v/>
      </c>
      <c r="HY215" s="245" t="e">
        <f t="shared" si="689"/>
        <v>#DIV/0!</v>
      </c>
      <c r="HZ215" s="245" t="e">
        <f t="shared" si="690"/>
        <v>#DIV/0!</v>
      </c>
      <c r="IA215" s="245">
        <f t="shared" si="691"/>
        <v>0</v>
      </c>
      <c r="IB215" s="245"/>
      <c r="IC215" t="b">
        <f t="shared" si="692"/>
        <v>1</v>
      </c>
      <c r="ID215" s="245" t="b">
        <f t="shared" si="693"/>
        <v>1</v>
      </c>
      <c r="IE215" s="245" t="b">
        <f t="shared" si="694"/>
        <v>1</v>
      </c>
      <c r="IF215" s="245" t="b">
        <f t="shared" si="695"/>
        <v>0</v>
      </c>
      <c r="IG215" s="245" t="b">
        <f t="shared" si="696"/>
        <v>1</v>
      </c>
      <c r="IH215" s="245" t="b">
        <f t="shared" si="697"/>
        <v>1</v>
      </c>
      <c r="II215" s="245">
        <f t="shared" ref="II215:II278" si="804">IFERROR(IF(AND(IV215&gt;0,HW215=TRUE,IW215&gt;0,HX215&gt;0,IC215=FALSE,ID215=FALSE,IE215=FALSE,IF215=TRUE,IG215=FALSE,IH215=FALSE),1,0),0)</f>
        <v>0</v>
      </c>
      <c r="IJ215" s="245" t="e">
        <f t="shared" si="698"/>
        <v>#VALUE!</v>
      </c>
      <c r="IK215" s="245" t="e">
        <f t="shared" si="699"/>
        <v>#VALUE!</v>
      </c>
      <c r="IL215" s="245"/>
      <c r="IM215" s="245" t="e">
        <f t="shared" ref="IM215:IM278" si="805">VLOOKUP(MATCH(LEFT(HX215,7),$IM$7:$IM$17,0),$IL$7:$IO$17,3)</f>
        <v>#N/A</v>
      </c>
      <c r="IN215" s="245" t="e">
        <f t="shared" ref="IN215:IN278" si="806">VLOOKUP(MATCH(LEFT(HX215,7),$IM$7:$IM$17,0),$IL$7:$IO$17,4)</f>
        <v>#N/A</v>
      </c>
      <c r="IO215" s="245"/>
      <c r="IP215" s="245"/>
      <c r="IQ215" s="245" t="str">
        <f t="shared" si="700"/>
        <v/>
      </c>
      <c r="IR215" s="245" t="str">
        <f>IF(J215="","",VLOOKUP(J215,Worksheet!$R$4:$T$14,2))</f>
        <v/>
      </c>
      <c r="IS215" s="245"/>
      <c r="IT215" s="245">
        <f t="shared" si="701"/>
        <v>0</v>
      </c>
      <c r="IU215" s="245">
        <f t="shared" si="702"/>
        <v>0</v>
      </c>
      <c r="IV215" s="245">
        <f t="shared" si="703"/>
        <v>0</v>
      </c>
      <c r="IW215" s="245">
        <f t="shared" si="704"/>
        <v>0</v>
      </c>
      <c r="IX215" s="245">
        <f t="shared" ref="IX215:IX278" si="807">IFERROR(MATCH(P215,GT215:GY215,0),0)</f>
        <v>0</v>
      </c>
      <c r="IY215" s="245">
        <f t="shared" si="705"/>
        <v>0</v>
      </c>
      <c r="IZ215" s="245">
        <f t="shared" si="706"/>
        <v>0</v>
      </c>
      <c r="JA215">
        <f t="shared" si="707"/>
        <v>0</v>
      </c>
      <c r="JB215">
        <f t="shared" ref="JB215:JB278" si="808">IF(ISERROR(IF(MIN(IT215,IU215,IV215,IW215,IX215,IZ215,JA215)=0,0,1))=TRUE,0,MIN(IT215,IU215,IV215,IW215,IX215,IZ215,JA215))</f>
        <v>0</v>
      </c>
      <c r="JC215">
        <f t="shared" si="708"/>
        <v>0</v>
      </c>
      <c r="JD215">
        <f t="shared" si="709"/>
        <v>0</v>
      </c>
      <c r="JE215">
        <f t="shared" si="710"/>
        <v>0</v>
      </c>
      <c r="JF215">
        <f t="shared" si="711"/>
        <v>0</v>
      </c>
      <c r="JG215">
        <f t="shared" si="712"/>
        <v>0</v>
      </c>
      <c r="JH215">
        <f t="shared" si="713"/>
        <v>0</v>
      </c>
      <c r="JI215">
        <f t="shared" si="714"/>
        <v>0</v>
      </c>
      <c r="JJ215" s="447">
        <f t="shared" si="715"/>
        <v>0</v>
      </c>
      <c r="JK215" s="447">
        <f t="shared" si="716"/>
        <v>0</v>
      </c>
      <c r="JL215">
        <f t="shared" si="717"/>
        <v>0</v>
      </c>
      <c r="JM215" s="245" t="str">
        <f>IFERROR(VLOOKUP(MATCH(BN215,#REF!,0),#REF!,7),"")</f>
        <v/>
      </c>
      <c r="JN215" t="e">
        <f>HLOOKUP(LEFT(BO215,7),Discharge_Area,MATCH(JO215,LookUps!$B$130:$B$149,1)+2)</f>
        <v>#N/A</v>
      </c>
      <c r="JO215" t="str">
        <f t="shared" si="718"/>
        <v>- S</v>
      </c>
      <c r="JP215" t="e">
        <f>HLOOKUP(LEFT(BO215,7),Discharge_Area,MATCH(JO215,LookUps!$B$130:$B$149,1)+2)</f>
        <v>#N/A</v>
      </c>
      <c r="JQ215" t="e">
        <f t="shared" si="719"/>
        <v>#N/A</v>
      </c>
      <c r="JR215" t="e">
        <f t="shared" si="720"/>
        <v>#N/A</v>
      </c>
      <c r="JS215" t="e">
        <f t="shared" si="721"/>
        <v>#N/A</v>
      </c>
      <c r="JT215" s="532" t="str">
        <f t="shared" si="722"/>
        <v xml:space="preserve"> </v>
      </c>
      <c r="JU215" s="532" t="str">
        <f t="shared" si="723"/>
        <v xml:space="preserve"> </v>
      </c>
      <c r="JV215" s="533" t="str">
        <f t="shared" si="724"/>
        <v xml:space="preserve"> </v>
      </c>
      <c r="JW215" s="534">
        <f t="shared" si="725"/>
        <v>0</v>
      </c>
      <c r="JX215" s="535" t="str">
        <f t="shared" ref="JX215:JX278" si="809">IF(JW215&gt;0,JV215/(JW215/JQ215/SQRT(JP215/2))^0.5," ")</f>
        <v xml:space="preserve"> </v>
      </c>
      <c r="JY215" s="535" t="str">
        <f t="shared" ref="JY215:JY278" si="810">IF(JW215&gt;0,JV215/(JW215/JR215/SQRT(JP215/2))," ")</f>
        <v xml:space="preserve"> </v>
      </c>
      <c r="JZ215" s="535" t="str">
        <f t="shared" ref="JZ215:JZ278" si="811">IF(JW215&gt;0,JV215/(JW215/JS215/SQRT(JP215/2))^2," ")</f>
        <v xml:space="preserve"> </v>
      </c>
      <c r="KA215" s="536" t="str">
        <f t="shared" si="726"/>
        <v xml:space="preserve"> </v>
      </c>
      <c r="KB215" s="535" t="e">
        <f t="shared" ref="KB215:KB278" si="812">IF(JW215&gt;0,MIN(JX215:JZ215)*KA215," ")*0.6</f>
        <v>#VALUE!</v>
      </c>
      <c r="KC215" s="535" t="str">
        <f t="shared" si="727"/>
        <v/>
      </c>
      <c r="KD215" s="537" t="str">
        <f t="shared" ref="KD215:KD278" si="813">IF(JW215&gt;0,(0.72*(KB215/JV215)*(JV215/200)^0.2)*JT215," ")</f>
        <v xml:space="preserve"> </v>
      </c>
      <c r="KE215" s="537" t="str">
        <f t="shared" ref="KE215:KE278" si="814">IF(JW215&gt;0,(0.72*(KC215/JV215)*(JV215/200)^0.2)*JU215," ")</f>
        <v xml:space="preserve"> </v>
      </c>
      <c r="KF215" s="534">
        <f t="shared" si="728"/>
        <v>0</v>
      </c>
      <c r="KG215" s="535" t="str">
        <f t="shared" si="729"/>
        <v xml:space="preserve"> </v>
      </c>
      <c r="KH215" s="535" t="str">
        <f t="shared" si="730"/>
        <v xml:space="preserve"> </v>
      </c>
      <c r="KI215" s="535" t="str">
        <f t="shared" si="731"/>
        <v xml:space="preserve"> </v>
      </c>
      <c r="KJ215" s="536" t="str">
        <f t="shared" si="732"/>
        <v xml:space="preserve"> </v>
      </c>
      <c r="KK215" s="535" t="str">
        <f t="shared" ref="KK215:KK278" si="815">IF(KF215&gt;0,MIN(KG215:KI215)*KJ215," ")</f>
        <v xml:space="preserve"> </v>
      </c>
      <c r="KL215" s="535" t="str">
        <f t="shared" ref="KL215:KL278" si="816">IF(KF215&gt;0,KJ215*MIN(KG215:KI215)/(KB215/10)^0.3," ")</f>
        <v xml:space="preserve"> </v>
      </c>
      <c r="KM215" s="537" t="str">
        <f t="shared" si="733"/>
        <v xml:space="preserve"> </v>
      </c>
      <c r="KN215" s="537" t="str">
        <f t="shared" ref="KN215:KN278" si="817">IF(KF215&gt;0,KM215*JU215/JT215," ")</f>
        <v xml:space="preserve"> </v>
      </c>
      <c r="KP215">
        <f t="shared" si="734"/>
        <v>0</v>
      </c>
      <c r="LA215" t="e">
        <f t="shared" si="735"/>
        <v>#VALUE!</v>
      </c>
      <c r="LB215" t="e">
        <f t="shared" si="736"/>
        <v>#VALUE!</v>
      </c>
      <c r="LC215" t="e">
        <f t="shared" si="737"/>
        <v>#VALUE!</v>
      </c>
      <c r="LD215" t="e">
        <f t="shared" si="738"/>
        <v>#VALUE!</v>
      </c>
      <c r="LE215" t="e">
        <f t="shared" ref="LE215:LE278" si="818">SUM(LA215+LB215+LC215-LD215)+11.198</f>
        <v>#VALUE!</v>
      </c>
      <c r="LF215">
        <f t="shared" si="739"/>
        <v>0</v>
      </c>
      <c r="LG215" t="e">
        <f t="shared" ref="LG215:LG278" si="819">ROUND(IF((LE215-17)&lt;15,15,LE215-17)+LF215,0)</f>
        <v>#VALUE!</v>
      </c>
      <c r="LH215" t="str">
        <f t="shared" si="740"/>
        <v xml:space="preserve"> </v>
      </c>
      <c r="LI215">
        <f t="shared" ref="LI215:LI278" si="820">IF(OR(LEFT(HX215,9)="CBAL2-0-1",LEFT(HX215,9)="CBLV-12-1",LEFT(HX215,9)="CBE2-24-1",LEFT(HX215,9)="CBE2-12-1")=TRUE,0.525,1)</f>
        <v>1</v>
      </c>
    </row>
    <row r="216" spans="2:321" ht="15" customHeight="1">
      <c r="B216" s="311"/>
      <c r="C216" s="311"/>
      <c r="D216" s="312"/>
      <c r="E216" s="311"/>
      <c r="F216" s="312"/>
      <c r="G216" s="311"/>
      <c r="H216" s="311"/>
      <c r="I216" s="232"/>
      <c r="J216" s="311"/>
      <c r="K216" s="305" t="str">
        <f t="shared" si="741"/>
        <v/>
      </c>
      <c r="L216" s="313"/>
      <c r="M216" s="312"/>
      <c r="N216" s="311"/>
      <c r="O216" s="312"/>
      <c r="P216" s="311"/>
      <c r="Q216" s="305" t="str">
        <f t="shared" si="742"/>
        <v/>
      </c>
      <c r="R216" s="314"/>
      <c r="S216" s="450" t="str">
        <f t="shared" si="625"/>
        <v/>
      </c>
      <c r="T216" s="315"/>
      <c r="U216" s="315"/>
      <c r="W216" s="149" t="str">
        <f t="shared" si="626"/>
        <v xml:space="preserve"> </v>
      </c>
      <c r="X216" s="243" t="str">
        <f t="shared" si="627"/>
        <v xml:space="preserve"> </v>
      </c>
      <c r="Y216" s="150" t="str">
        <f t="shared" si="628"/>
        <v/>
      </c>
      <c r="Z216" s="149" t="str">
        <f t="shared" si="629"/>
        <v xml:space="preserve"> </v>
      </c>
      <c r="AA216" s="98" t="str">
        <f t="shared" si="630"/>
        <v xml:space="preserve"> </v>
      </c>
      <c r="AB216" s="153" t="str">
        <f t="shared" si="631"/>
        <v xml:space="preserve"> </v>
      </c>
      <c r="AC216" s="153" t="str">
        <f t="shared" si="632"/>
        <v xml:space="preserve"> </v>
      </c>
      <c r="AD216" s="148" t="str">
        <f t="shared" si="633"/>
        <v/>
      </c>
      <c r="AE216" s="149" t="str">
        <f t="shared" si="634"/>
        <v/>
      </c>
      <c r="AF216" s="151" t="str">
        <f t="shared" si="635"/>
        <v xml:space="preserve"> </v>
      </c>
      <c r="AG216" s="153" t="str">
        <f t="shared" si="636"/>
        <v xml:space="preserve"> </v>
      </c>
      <c r="AH216" s="98" t="str">
        <f t="shared" si="637"/>
        <v xml:space="preserve"> </v>
      </c>
      <c r="AI216" s="149" t="str">
        <f t="shared" si="638"/>
        <v xml:space="preserve"> </v>
      </c>
      <c r="AK216" s="144" t="str">
        <f t="shared" si="639"/>
        <v xml:space="preserve"> </v>
      </c>
      <c r="AL216" s="144"/>
      <c r="AM216" s="243" t="str">
        <f t="shared" si="640"/>
        <v xml:space="preserve"> </v>
      </c>
      <c r="AN216" s="149" t="str">
        <f t="shared" si="743"/>
        <v xml:space="preserve"> </v>
      </c>
      <c r="AO216" s="144" t="str">
        <f>IF(JB216&gt;0,IF(GI216=10,-R216*1.085*(Calculation!$F$6-Calculation!$F$13)*$S$14," "),"")</f>
        <v/>
      </c>
      <c r="AP216" s="144" t="str">
        <f t="shared" si="641"/>
        <v/>
      </c>
      <c r="AQ216" s="56" t="str">
        <f t="shared" si="642"/>
        <v/>
      </c>
      <c r="AR216" s="144" t="str">
        <f t="shared" si="643"/>
        <v/>
      </c>
      <c r="AS216" s="176" t="str">
        <f t="shared" si="644"/>
        <v/>
      </c>
      <c r="AT216" s="176" t="str">
        <f t="shared" si="744"/>
        <v xml:space="preserve"> </v>
      </c>
      <c r="AU216" s="176" t="str">
        <f t="shared" si="645"/>
        <v/>
      </c>
      <c r="AV216" s="177" t="str">
        <f t="shared" si="646"/>
        <v xml:space="preserve"> </v>
      </c>
      <c r="AW216" s="144" t="str">
        <f t="shared" si="647"/>
        <v xml:space="preserve"> </v>
      </c>
      <c r="AX216" s="144" t="str">
        <f t="shared" si="648"/>
        <v xml:space="preserve"> </v>
      </c>
      <c r="AY216" s="152" t="str">
        <f t="shared" si="649"/>
        <v xml:space="preserve"> </v>
      </c>
      <c r="AZ216" s="246" t="str">
        <f t="shared" si="650"/>
        <v/>
      </c>
      <c r="BA216" s="176" t="str">
        <f t="shared" si="651"/>
        <v xml:space="preserve"> </v>
      </c>
      <c r="BB216" s="176" t="str">
        <f t="shared" si="652"/>
        <v xml:space="preserve"> </v>
      </c>
      <c r="BC216" s="195"/>
      <c r="BD216" s="316"/>
      <c r="BE216" s="317"/>
      <c r="BF216" s="318"/>
      <c r="BG216" s="318"/>
      <c r="BH216" s="144" t="str">
        <f t="shared" ref="BH216:BH279" si="821">IFERROR(KK216,"")</f>
        <v xml:space="preserve"> </v>
      </c>
      <c r="BI216" s="176" t="str">
        <f t="shared" si="653"/>
        <v/>
      </c>
      <c r="BJ216" s="144" t="str">
        <f t="shared" ref="BJ216:BJ279" si="822">IFERROR(KB216,"")</f>
        <v/>
      </c>
      <c r="BK216" s="246" t="str">
        <f t="shared" si="654"/>
        <v/>
      </c>
      <c r="BL216" s="144" t="str">
        <f t="shared" ref="BL216:BL279" si="823">IFERROR(KC216,"")</f>
        <v/>
      </c>
      <c r="BM216" s="246" t="str">
        <f t="shared" si="655"/>
        <v/>
      </c>
      <c r="BN216" s="337" t="str">
        <f t="shared" si="745"/>
        <v/>
      </c>
      <c r="BO216" s="371" t="str">
        <f t="shared" si="746"/>
        <v/>
      </c>
      <c r="BP216" s="328" t="str">
        <f t="shared" ref="BP216:BP279" si="824">IF(AND(N216&gt;0,O216&gt;0),IF(LEFT(BO216,4)="CBAV",VALUE(CONCATENATE(1,LEFT(O216,1))),VALUE(CONCATENATE(LEFT(N216,1),(LEFT(O216,1)))))," ")</f>
        <v xml:space="preserve"> </v>
      </c>
      <c r="BQ216" s="347" t="str">
        <f t="shared" si="747"/>
        <v xml:space="preserve"> </v>
      </c>
      <c r="BR216" s="353" t="str">
        <f t="shared" si="748"/>
        <v xml:space="preserve"> </v>
      </c>
      <c r="BS216" s="626" t="str">
        <f>IF(L216&gt;0,IF(Calculation!P216="M13",BR216*3.1416*(0.134^2)/(4*144),IF(Calculation!P216="M17",BR216*3.1416*(0.165^2)/(4*144),IF(Calculation!P216="M20",BR216*3.1416*(0.198^2)/(4*144),IF(Calculation!P216="M23",BR216*3.1416*(0.228^2)/(4*144),IF(Calculation!P216="M27",BR216*3.1416*(0.269^2)/(4*144),BR216*3.1416*(0.307^2)/(4*144))))))," ")</f>
        <v xml:space="preserve"> </v>
      </c>
      <c r="BT216" s="353" t="str">
        <f>IF(L216&gt;0,IF(BS216&gt;0,R216/Calculation!BS216,0)," ")</f>
        <v xml:space="preserve"> </v>
      </c>
      <c r="BU216" s="438" t="e">
        <f t="shared" ca="1" si="656"/>
        <v>#VALUE!</v>
      </c>
      <c r="BV216" s="449" t="e">
        <f ca="1">INDEX(INDIRECT(VLOOKUP(LEFT(BO216,7),CLU!$Z$3:$AH$18,2)),GN216,GR216)</f>
        <v>#N/A</v>
      </c>
      <c r="BW216" s="433" t="e">
        <f ca="1">INDEX(INDIRECT(VLOOKUP(LEFT(BO216,7),CLU!$Z$3:$AH$18,3)),GN216,GR216)</f>
        <v>#N/A</v>
      </c>
      <c r="BX216" s="433" t="e">
        <f ca="1">INDEX(INDIRECT(VLOOKUP(LEFT(BO216,7),CLU!$Z$3:$AH$18,4)),GN216,GR216)</f>
        <v>#N/A</v>
      </c>
      <c r="BY216" s="433" t="e">
        <f ca="1">INDEX(INDIRECT(VLOOKUP(LEFT(BO216,7),CLU!$Z$3:$AH$18,9)),((M216-2)*(6-COUNTBLANK(GT216:GY216)))+GJ216)</f>
        <v>#N/A</v>
      </c>
      <c r="BZ216" s="426" t="e">
        <f t="shared" ca="1" si="749"/>
        <v>#N/A</v>
      </c>
      <c r="CA216" s="424" t="e">
        <f t="shared" ca="1" si="750"/>
        <v>#N/A</v>
      </c>
      <c r="CB216" s="429" t="e">
        <f ca="1">INDEX(INDIRECT(VLOOKUP(LEFT(BO216,7),CLU!$Z$3:$AH$18,2)),GN216,GS216)</f>
        <v>#N/A</v>
      </c>
      <c r="CC216" s="342" t="e">
        <f ca="1">INDEX(INDIRECT(VLOOKUP(LEFT(BO216,7),CLU!$Z$3:$AH$18,3)),GN216,GS216)</f>
        <v>#N/A</v>
      </c>
      <c r="CD216" s="342" t="e">
        <f ca="1">INDEX(INDIRECT(VLOOKUP(LEFT(BO216,7),CLU!$Z$3:$AH$18,4)),GN216,GS216)</f>
        <v>#N/A</v>
      </c>
      <c r="CE216" s="426" t="e">
        <f t="shared" ca="1" si="751"/>
        <v>#N/A</v>
      </c>
      <c r="CF216" s="440">
        <f t="shared" si="752"/>
        <v>0</v>
      </c>
      <c r="CG216" s="431" t="e">
        <f ca="1">INDEX(INDIRECT(VLOOKUP(LEFT(BO216,7),CLU!$Z$3:$AH$18,2)),GQ216,GR216)</f>
        <v>#N/A</v>
      </c>
      <c r="CH216" s="431" t="e">
        <f ca="1">INDEX(INDIRECT(VLOOKUP(LEFT(BO216,7),CLU!$Z$3:$AH$18,3)),GQ216,GR216)</f>
        <v>#N/A</v>
      </c>
      <c r="CI216" s="431" t="e">
        <f ca="1">INDEX(INDIRECT(VLOOKUP(LEFT(BO216,7),CLU!$Z$3:$AH$18,4)),GQ216,GR216)</f>
        <v>#N/A</v>
      </c>
      <c r="CJ216" s="448" t="e">
        <f t="shared" ca="1" si="753"/>
        <v>#N/A</v>
      </c>
      <c r="CK216" s="431" t="e">
        <f t="shared" ca="1" si="754"/>
        <v>#N/A</v>
      </c>
      <c r="CL216" s="440" t="e">
        <f t="shared" ca="1" si="755"/>
        <v>#N/A</v>
      </c>
      <c r="CM216" s="431" t="e">
        <f ca="1">INDEX(INDIRECT(VLOOKUP(LEFT(BO216,7),CLU!$Z$3:$AH$18,2)),GQ216,GS216)</f>
        <v>#N/A</v>
      </c>
      <c r="CN216" s="431" t="e">
        <f ca="1">INDEX(INDIRECT(VLOOKUP(LEFT(BO216,7),CLU!$Z$3:$AH$18,3)),GQ216,GS216)</f>
        <v>#N/A</v>
      </c>
      <c r="CO216" s="431" t="e">
        <f ca="1">INDEX(INDIRECT(VLOOKUP(LEFT(BO216,7),CLU!$Z$3:$AH$18,4)),GQ216,GS216)</f>
        <v>#N/A</v>
      </c>
      <c r="CP216" s="431" t="e">
        <f t="shared" ca="1" si="756"/>
        <v>#N/A</v>
      </c>
      <c r="CQ216" s="440">
        <f t="shared" si="757"/>
        <v>0</v>
      </c>
      <c r="CR216" s="51" t="e">
        <f t="shared" ca="1" si="758"/>
        <v>#N/A</v>
      </c>
      <c r="CS216" s="439" t="e">
        <f t="shared" ca="1" si="759"/>
        <v>#VALUE!</v>
      </c>
      <c r="CT216" s="51" t="e">
        <f t="shared" ca="1" si="760"/>
        <v>#VALUE!</v>
      </c>
      <c r="CU216" s="10"/>
      <c r="CV216" s="51" t="e">
        <f t="shared" ca="1" si="657"/>
        <v>#VALUE!</v>
      </c>
      <c r="CW216" s="51">
        <f t="shared" si="761"/>
        <v>0</v>
      </c>
      <c r="CX216" s="439" t="e">
        <f t="shared" ca="1" si="762"/>
        <v>#VALUE!</v>
      </c>
      <c r="CY216" s="51" t="e">
        <f t="shared" ca="1" si="763"/>
        <v>#VALUE!</v>
      </c>
      <c r="CZ216" s="10"/>
      <c r="DA216" s="51" t="e">
        <f t="shared" ca="1" si="764"/>
        <v>#VALUE!</v>
      </c>
      <c r="DB216" s="347" t="e">
        <f ca="1">INDEX(INDIRECT(VLOOKUP(LEFT(BO216,7),CLU!$Z$3:$AI$18,10)),((M216-2)*(6-COUNTBLANK(GT216:GY216)))+GJ216)*LI216</f>
        <v>#N/A</v>
      </c>
      <c r="DC216" s="347" t="str">
        <f>IF(L216&gt;0,((R216/Worksheet!$I$15)/DB216)^2," ")</f>
        <v xml:space="preserve"> </v>
      </c>
      <c r="DD216" s="602" t="str">
        <f t="shared" si="765"/>
        <v xml:space="preserve"> </v>
      </c>
      <c r="DE216" s="347" t="str">
        <f t="shared" si="658"/>
        <v xml:space="preserve"> </v>
      </c>
      <c r="DF216" s="356" t="e">
        <f ca="1">INDEX(INDIRECT(VLOOKUP(LEFT(BO216,7),CLU!$Z$3:$AH$18,8)),((M216-2)*(6-COUNTBLANK(GT216:GY216)))+GJ216)</f>
        <v>#N/A</v>
      </c>
      <c r="DG216" s="347" t="str">
        <f t="shared" si="659"/>
        <v xml:space="preserve"> </v>
      </c>
      <c r="DH216" s="357" t="str">
        <f t="shared" si="660"/>
        <v xml:space="preserve"> </v>
      </c>
      <c r="DI216" s="355" t="str">
        <f t="shared" si="661"/>
        <v xml:space="preserve"> </v>
      </c>
      <c r="DJ216" s="245" t="e">
        <f ca="1">INDEX(INDIRECT(VLOOKUP(LEFT(BO216,7),CLU!$Z$3:$AH$18,5)),GL216,GK216)</f>
        <v>#N/A</v>
      </c>
      <c r="DK216" s="245" t="e">
        <f ca="1">INDEX(INDIRECT(VLOOKUP(LEFT(BO216,7),CLU!$Z$3:$AH$18,6)),GL216,GK216)</f>
        <v>#N/A</v>
      </c>
      <c r="DL216" s="355">
        <f>(Calculation!R216*0.69143*(Calculation!$BQ$8-Calculation!$F$8))*$S$14</f>
        <v>0</v>
      </c>
      <c r="DM216" s="359" t="e">
        <f t="shared" si="766"/>
        <v>#VALUE!</v>
      </c>
      <c r="DN216" s="611">
        <f t="shared" si="767"/>
        <v>0</v>
      </c>
      <c r="DO216" s="359">
        <f t="shared" si="768"/>
        <v>100</v>
      </c>
      <c r="DP216" s="359">
        <f t="shared" si="769"/>
        <v>0</v>
      </c>
      <c r="DQ216" s="360"/>
      <c r="DR216" s="245" t="e">
        <f ca="1">INDEX(INDIRECT(VLOOKUP(LEFT(BO216,7),CLU!$Z$3:$AH$18,7)),M216-1,1)</f>
        <v>#N/A</v>
      </c>
      <c r="DS216" s="245" t="e">
        <f ca="1">INDEX(INDIRECT(VLOOKUP(LEFT(BO216,7),CLU!$Z$3:$AH$18,7)),M216-1,2)</f>
        <v>#N/A</v>
      </c>
      <c r="DT216" s="245" t="e">
        <f ca="1">INDEX(INDIRECT(VLOOKUP(LEFT(BO216,7),CLU!$Z$3:$AH$18,7)),M216-1,3)</f>
        <v>#N/A</v>
      </c>
      <c r="DU216" s="245" t="e">
        <f ca="1">INDEX(INDIRECT(VLOOKUP(LEFT(BO216,7),CLU!$Z$3:$AH$18,7)),M216-1,4)</f>
        <v>#N/A</v>
      </c>
      <c r="DV216" s="361" t="e">
        <f ca="1">INDEX(INDIRECT(VLOOKUP(LEFT(BO216,7),CLU!$Z$3:$AH$18,7)),M216-1,4+LEFT(DZ216,1)*0.5)</f>
        <v>#N/A</v>
      </c>
      <c r="DW216" s="245" t="e">
        <f ca="1">INDEX(INDIRECT(VLOOKUP(LEFT(BO216,7),CLU!$Z$3:$AH$18,7)),M216-1,8)</f>
        <v>#N/A</v>
      </c>
      <c r="DX216" s="361" t="str">
        <f t="shared" si="662"/>
        <v xml:space="preserve"> </v>
      </c>
      <c r="DY216" s="361" t="str">
        <f t="shared" si="663"/>
        <v xml:space="preserve"> </v>
      </c>
      <c r="DZ216" s="361" t="str">
        <f t="shared" si="664"/>
        <v xml:space="preserve"> </v>
      </c>
      <c r="EA216" s="362" t="str">
        <f t="shared" si="665"/>
        <v xml:space="preserve"> </v>
      </c>
      <c r="EB216" s="624" t="str">
        <f t="shared" si="770"/>
        <v xml:space="preserve"> </v>
      </c>
      <c r="EC216" s="361" t="e">
        <f ca="1">INDEX(INDIRECT(VLOOKUP(LEFT(BO216,7),CLU!$Z$3:$AH$18,7)),M216-1,4+LEFT(DZ216,1)*0.5)</f>
        <v>#N/A</v>
      </c>
      <c r="ED216" s="362" t="str">
        <f t="shared" si="666"/>
        <v xml:space="preserve"> </v>
      </c>
      <c r="EE216" s="361" t="str">
        <f t="shared" si="667"/>
        <v xml:space="preserve"> </v>
      </c>
      <c r="EF216" s="362" t="str">
        <f>IF(L216&gt;0,IF(BR216&gt;0,IF(EE216="2P",IF(Calculation!DZ216="2P",IF(Calculation!DS216=13.75,IF(Calculation!DR216=13,Worksheet!$BD$43,IF(Calculation!DR216=37,Worksheet!$BD$44,Worksheet!$BD$45)),IF(Calculation!DS216=10,IF(Calculation!DR216=18,Worksheet!$BD$29,IF(Calculation!DR216=30,Worksheet!$BD$30,IF(Calculation!DR216=42,Worksheet!$BD$31,IF(Calculation!DR216=54,Worksheet!$BD$32,IF(Calculation!DR216=66,Worksheet!$BD$33,IF(Calculation!DR216=78,Worksheet!$BD$34,IF(Calculation!DR216=90,Worksheet!$BD$35,IF(Calculation!DR216=102,Worksheet!$BD$36,Worksheet!$BD$37)))))))),IF(Calculation!DS216=12.5,IF(Calculation!DR216=18,Worksheet!$BD$38,IF(Calculation!DR216=Worksheet!$BD$39,IF(Calculation!DR216=42,Worksheet!$BD$40,IF(Calculation!DR216=54,Worksheet!$BD$41,Worksheet!$BD$42)))),IF(Calculation!DR216=18,Worksheet!$BD$11,IF(Calculation!DR216=30,Worksheet!$BD$12,IF(Calculation!DR216=42,Worksheet!$BD$13,IF(Calculation!DR216=54,Worksheet!$BD$14,IF(Calculation!DR216=66,Worksheet!$BD$15,IF(Calculation!DR216=78,Worksheet!$BD$16,IF(Calculation!DR216=90,Worksheet!$BD$17,IF(Calculation!DR216=102,Worksheet!$BD$18,Worksheet!$BD$19))))))))))),IF(Calculation!DS216=13.75,IF(Calculation!DR216=13,Worksheet!$BD$78,IF(Calculation!DR216=37,Worksheet!$BD$79,Worksheet!$BD$80)),IF(Calculation!DS216=10,IF(Calculation!DR216=18,Worksheet!$BD$64,IF(Calculation!DR216=30,Worksheet!$BD$65,IF(Calculation!DR216=42,Worksheet!$BD$66,IF(Calculation!DR216=54,Worksheet!$BD$68,IF(Calculation!DR216=66,Worksheet!$BD$68,IF(Calculation!DR216=78,Worksheet!$BD$69,IF(Calculation!DR216=90,Worksheet!$BD$70,IF(Calculation!DR216=102,Worksheet!$BD$71,Worksheet!$BD$72)))))))),IF(Calculation!DS216=12.5,IF(Calculation!DR216=18,Worksheet!$BD$73,IF(Calculation!DR216=Worksheet!$BD$74,IF(Calculation!DR216=42,Worksheet!$BD$75,IF(Calculation!DR216=54,Worksheet!$BD$76,Worksheet!$BD$77)))),IF(Calculation!DR216=18,Worksheet!$BD$55,IF(Calculation!DR216=30,Worksheet!$BD$56,IF(Calculation!DR216=42,Worksheet!$BD$57,IF(Calculation!DR216=54,Worksheet!$BD$58,IF(Calculation!DR216=66,Worksheet!$BD$59,IF(Calculation!DR216=78,Worksheet!$BD$60,IF(Calculation!DR216=90,Worksheet!$BD$61,IF(Calculation!DR216=102,Worksheet!$BD$62,Worksheet!$BD$63)))))))))))),5),0)," ")</f>
        <v xml:space="preserve"> </v>
      </c>
      <c r="EG216" s="361" t="str">
        <f t="shared" si="668"/>
        <v xml:space="preserve"> </v>
      </c>
      <c r="EH216" s="361" t="e">
        <f ca="1">INDEX(INDIRECT(VLOOKUP(LEFT(BO216,7),CLU!$Z$3:$AH$18,7)),M216-1,3+LEFT(DZ216,1))</f>
        <v>#N/A</v>
      </c>
      <c r="EI216" s="362" t="str">
        <f t="shared" si="669"/>
        <v xml:space="preserve"> </v>
      </c>
      <c r="EJ216" s="363" t="str">
        <f t="shared" si="670"/>
        <v xml:space="preserve"> </v>
      </c>
      <c r="EK216" s="363" t="str">
        <f t="shared" si="671"/>
        <v xml:space="preserve"> </v>
      </c>
      <c r="EL216" s="363" t="str">
        <f t="shared" si="672"/>
        <v xml:space="preserve"> </v>
      </c>
      <c r="EM216" s="362" t="str">
        <f>IF(L216&gt;0,IF(BR216&gt;0,(Calculation!T216/ED216)^2,0)," ")</f>
        <v xml:space="preserve"> </v>
      </c>
      <c r="EN216" s="362" t="str">
        <f>IF(L216&gt;0,IF(O216="2 Pipe (Cooling)","N/A",IF(BR216&gt;0,(Calculation!U216/EI216)^2,0))," ")</f>
        <v xml:space="preserve"> </v>
      </c>
      <c r="EO216" s="361" t="str">
        <f t="shared" si="673"/>
        <v/>
      </c>
      <c r="EP216" s="361" t="str">
        <f t="shared" si="674"/>
        <v/>
      </c>
      <c r="EQ216" s="361" t="str">
        <f t="shared" si="675"/>
        <v/>
      </c>
      <c r="ER216" s="361" t="str">
        <f t="shared" si="676"/>
        <v/>
      </c>
      <c r="ES216" s="361" t="str">
        <f t="shared" si="677"/>
        <v/>
      </c>
      <c r="ET216" s="361" t="str">
        <f t="shared" si="678"/>
        <v/>
      </c>
      <c r="EU216" s="361" t="str">
        <f t="shared" si="679"/>
        <v/>
      </c>
      <c r="EV216" s="361" t="str">
        <f t="shared" si="680"/>
        <v/>
      </c>
      <c r="EW216" s="361" t="str">
        <f t="shared" si="681"/>
        <v/>
      </c>
      <c r="EX216" s="361" t="str">
        <f t="shared" si="771"/>
        <v>1 slot, 1 way</v>
      </c>
      <c r="EY216" s="361" t="str">
        <f t="shared" si="772"/>
        <v xml:space="preserve"> </v>
      </c>
      <c r="EZ216" s="361" t="str">
        <f t="shared" si="773"/>
        <v xml:space="preserve"> </v>
      </c>
      <c r="FA216" s="361" t="str">
        <f t="shared" si="774"/>
        <v xml:space="preserve"> </v>
      </c>
      <c r="FB216" s="361" t="str">
        <f t="shared" si="775"/>
        <v xml:space="preserve"> </v>
      </c>
      <c r="FC216" s="361"/>
      <c r="FD216" s="361" t="str">
        <f>IF(J216&gt;0,IF(Calculation!R216&lt;=70,4,IF(Calculation!R216&lt;=110,5,IF(Calculation!R216&lt;=160,6,IF(Calculation!R216&lt;=300,8,"10 EO")))),"")</f>
        <v/>
      </c>
      <c r="FE216" s="361" t="str">
        <f t="shared" si="776"/>
        <v/>
      </c>
      <c r="FF216" s="361" t="str">
        <f t="shared" si="777"/>
        <v/>
      </c>
      <c r="FG216" s="361" t="e">
        <f t="shared" si="682"/>
        <v>#N/A</v>
      </c>
      <c r="FH216" s="361">
        <f t="shared" si="683"/>
        <v>0</v>
      </c>
      <c r="FI216" s="361" t="e">
        <f t="shared" si="684"/>
        <v>#DIV/0!</v>
      </c>
      <c r="FJ216" s="361"/>
      <c r="FK216" s="356" t="e">
        <f t="shared" si="685"/>
        <v>#VALUE!</v>
      </c>
      <c r="FL216" s="361"/>
      <c r="FM216" s="361"/>
      <c r="FN216" s="362" t="str">
        <f t="shared" si="778"/>
        <v xml:space="preserve"> </v>
      </c>
      <c r="FO216" s="362" t="str">
        <f t="shared" si="779"/>
        <v xml:space="preserve"> </v>
      </c>
      <c r="FP216" s="362">
        <f t="shared" si="780"/>
        <v>0</v>
      </c>
      <c r="FQ216" s="361">
        <f t="shared" si="686"/>
        <v>0</v>
      </c>
      <c r="FR216" s="362" t="str">
        <f>IF(L216&gt;0,IF(J216="CBAL2",Worksheet!$P$67,IF(J216="CBE2-24",Worksheet!$Q$67,IF(J216="CBAM",Worksheet!$R$67,IF(J216="CBLV",Worksheet!$S$67,IF(J216="CBAB",Worksheet!$U$67,IF(J216="CBAW",Worksheet!$X$67,IF(J216="CBE2-12",Worksheet!$Y$67,IF(J216="CBAL2",Worksheet!$Z$67,"N/A"))))))))," ")</f>
        <v xml:space="preserve"> </v>
      </c>
      <c r="FS216" s="362" t="str">
        <f>IF(L216&gt;0,IF(J216="CBAL2",Worksheet!$P$68,IF(J216="CBE2-24",Worksheet!$Q$68,IF(J216="CBAM",Worksheet!$R$68,IF(J216="CBLV",Worksheet!$S$68,IF(J216="CBAB",Worksheet!$U$68,IF(J216="CBAW",Worksheet!$X$68,IF(J216="CBE2-12",Worksheet!$Y$68,IF(J216="CBAL2",Worksheet!$Z$68,"N/A"))))))))," ")</f>
        <v xml:space="preserve"> </v>
      </c>
      <c r="FT216" s="362" t="str">
        <f>IF(L216&gt;0,IF(J216="CBAL2",Worksheet!$P$69,IF(J216="CBE2-24",Worksheet!$Q$69,IF(J216="CBAM",Worksheet!$R$69,IF(J216="CBLV",Worksheet!$S$69,IF(J216="CBAB",Worksheet!$U$69,IF(J216="CBAW",Worksheet!$X$69,IF(J216="CBE2-12",Worksheet!$Y$69,IF(J216="CBAL2",Worksheet!$Z$69,"N/A"))))))))," ")</f>
        <v xml:space="preserve"> </v>
      </c>
      <c r="FU216" s="361" t="str">
        <f t="shared" si="781"/>
        <v xml:space="preserve"> </v>
      </c>
      <c r="FV216" s="362" t="str">
        <f t="shared" si="782"/>
        <v xml:space="preserve"> </v>
      </c>
      <c r="FW216" s="362" t="str">
        <f t="shared" si="783"/>
        <v xml:space="preserve"> </v>
      </c>
      <c r="FX216" s="362" t="str">
        <f t="shared" si="784"/>
        <v xml:space="preserve"> </v>
      </c>
      <c r="FY216" s="355" t="str">
        <f t="shared" si="785"/>
        <v xml:space="preserve"> </v>
      </c>
      <c r="FZ216" s="361" t="str">
        <f t="shared" si="786"/>
        <v xml:space="preserve"> </v>
      </c>
      <c r="GA216" s="347" t="str">
        <f t="shared" si="787"/>
        <v xml:space="preserve"> </v>
      </c>
      <c r="GB216" s="355" t="str">
        <f t="shared" si="788"/>
        <v xml:space="preserve"> </v>
      </c>
      <c r="GC216" s="328" t="str">
        <f t="shared" si="789"/>
        <v xml:space="preserve"> </v>
      </c>
      <c r="GD216" s="361" t="str">
        <f t="shared" si="790"/>
        <v xml:space="preserve"> </v>
      </c>
      <c r="GE216" s="347" t="str">
        <f t="shared" si="791"/>
        <v xml:space="preserve"> </v>
      </c>
      <c r="GF216" s="361" t="str">
        <f t="shared" si="792"/>
        <v xml:space="preserve"> </v>
      </c>
      <c r="GG216" s="347" t="str">
        <f t="shared" si="793"/>
        <v xml:space="preserve"> </v>
      </c>
      <c r="GH216" s="364">
        <f t="shared" si="687"/>
        <v>0</v>
      </c>
      <c r="GI216" s="362">
        <f t="shared" si="794"/>
        <v>2</v>
      </c>
      <c r="GJ216" s="433" t="e">
        <f>IF(6-COUNTBLANK(GT216:GY216)=4,MATCH(MID(BO216,9,3),CLU!$H$16:$K$16),MATCH(MID(BO216,9,3),CLU!$H$13:$M$13))</f>
        <v>#N/A</v>
      </c>
      <c r="GK216" s="433" t="e">
        <f>HLOOKUP(VALUE(BP216),CLU!$H$9:$M$10,2)</f>
        <v>#VALUE!</v>
      </c>
      <c r="GL216" s="433" t="e">
        <f ca="1">MATCH(BU216,CLU!$H$2:$V$2,1)</f>
        <v>#VALUE!</v>
      </c>
      <c r="GM216" s="433" t="e">
        <f t="shared" ca="1" si="795"/>
        <v>#VALUE!</v>
      </c>
      <c r="GN216" s="433" t="e">
        <f t="shared" ca="1" si="796"/>
        <v>#VALUE!</v>
      </c>
      <c r="GO216" s="433" t="e">
        <f t="shared" ca="1" si="797"/>
        <v>#VALUE!</v>
      </c>
      <c r="GP216" s="433" t="e">
        <f t="shared" ca="1" si="798"/>
        <v>#VALUE!</v>
      </c>
      <c r="GQ216" s="433" t="e">
        <f t="shared" ca="1" si="799"/>
        <v>#VALUE!</v>
      </c>
      <c r="GR216" s="433" t="e">
        <f ca="1">MATCH(T216,INDIRECT(VLOOKUP(CONCATENATE(LEFT(BO216,7),"-",MID(BO216,13,1)),CLU!$P$3:$Q$16,2)),1)</f>
        <v>#N/A</v>
      </c>
      <c r="GS216" s="433" t="e">
        <f ca="1">MATCH(U216,INDIRECT(VLOOKUP(CONCATENATE(LEFT(BO216,7),"-",MID(BO216,13,1)),CLU!$P$3:$Q$16,2)),1)</f>
        <v>#N/A</v>
      </c>
      <c r="GT216" s="347" t="s">
        <v>512</v>
      </c>
      <c r="GU216" s="97" t="s">
        <v>513</v>
      </c>
      <c r="GV216" s="97" t="str">
        <f t="shared" si="800"/>
        <v>M23</v>
      </c>
      <c r="GW216" s="97" t="str">
        <f t="shared" si="801"/>
        <v>M31</v>
      </c>
      <c r="GX216" s="97" t="str">
        <f t="shared" si="802"/>
        <v/>
      </c>
      <c r="GY216" s="97" t="str">
        <f t="shared" si="803"/>
        <v/>
      </c>
      <c r="GZ216" s="481"/>
      <c r="HA216" s="288"/>
      <c r="HB216" s="240"/>
      <c r="HC216" s="240"/>
      <c r="HD216" s="240"/>
      <c r="HE216" s="240"/>
      <c r="HF216" s="240"/>
      <c r="HG216" s="240"/>
      <c r="HH216" s="240"/>
      <c r="HI216" s="240"/>
      <c r="HJ216" s="240"/>
      <c r="HK216" s="240"/>
      <c r="HL216" s="240"/>
      <c r="HM216" s="240"/>
      <c r="HN216" s="240"/>
      <c r="HO216" s="240"/>
      <c r="HP216" s="240"/>
      <c r="HQ216" s="240"/>
      <c r="HR216" s="240"/>
      <c r="HS216" s="240"/>
      <c r="HT216" s="240"/>
      <c r="HU216" s="240"/>
      <c r="HV216" s="245"/>
      <c r="HW216" s="245" t="b">
        <v>1</v>
      </c>
      <c r="HX216" s="245" t="str">
        <f t="shared" si="688"/>
        <v/>
      </c>
      <c r="HY216" s="245" t="e">
        <f t="shared" si="689"/>
        <v>#DIV/0!</v>
      </c>
      <c r="HZ216" s="245" t="e">
        <f t="shared" si="690"/>
        <v>#DIV/0!</v>
      </c>
      <c r="IA216" s="245">
        <f t="shared" si="691"/>
        <v>0</v>
      </c>
      <c r="IB216" s="245"/>
      <c r="IC216" t="b">
        <f t="shared" si="692"/>
        <v>1</v>
      </c>
      <c r="ID216" s="245" t="b">
        <f t="shared" si="693"/>
        <v>1</v>
      </c>
      <c r="IE216" s="245" t="b">
        <f t="shared" si="694"/>
        <v>1</v>
      </c>
      <c r="IF216" s="245" t="b">
        <f t="shared" si="695"/>
        <v>0</v>
      </c>
      <c r="IG216" s="245" t="b">
        <f t="shared" si="696"/>
        <v>1</v>
      </c>
      <c r="IH216" s="245" t="b">
        <f t="shared" si="697"/>
        <v>1</v>
      </c>
      <c r="II216" s="245">
        <f t="shared" si="804"/>
        <v>0</v>
      </c>
      <c r="IJ216" s="245" t="e">
        <f t="shared" si="698"/>
        <v>#VALUE!</v>
      </c>
      <c r="IK216" s="245" t="e">
        <f t="shared" si="699"/>
        <v>#VALUE!</v>
      </c>
      <c r="IL216" s="245"/>
      <c r="IM216" s="245" t="e">
        <f t="shared" si="805"/>
        <v>#N/A</v>
      </c>
      <c r="IN216" s="245" t="e">
        <f t="shared" si="806"/>
        <v>#N/A</v>
      </c>
      <c r="IO216" s="245"/>
      <c r="IP216" s="245"/>
      <c r="IQ216" s="245" t="str">
        <f t="shared" si="700"/>
        <v/>
      </c>
      <c r="IR216" s="245" t="str">
        <f>IF(J216="","",VLOOKUP(J216,Worksheet!$R$4:$T$14,2))</f>
        <v/>
      </c>
      <c r="IS216" s="245"/>
      <c r="IT216" s="245">
        <f t="shared" si="701"/>
        <v>0</v>
      </c>
      <c r="IU216" s="245">
        <f t="shared" si="702"/>
        <v>0</v>
      </c>
      <c r="IV216" s="245">
        <f t="shared" si="703"/>
        <v>0</v>
      </c>
      <c r="IW216" s="245">
        <f t="shared" si="704"/>
        <v>0</v>
      </c>
      <c r="IX216" s="245">
        <f t="shared" si="807"/>
        <v>0</v>
      </c>
      <c r="IY216" s="245">
        <f t="shared" si="705"/>
        <v>0</v>
      </c>
      <c r="IZ216" s="245">
        <f t="shared" si="706"/>
        <v>0</v>
      </c>
      <c r="JA216">
        <f t="shared" si="707"/>
        <v>0</v>
      </c>
      <c r="JB216">
        <f t="shared" si="808"/>
        <v>0</v>
      </c>
      <c r="JC216">
        <f t="shared" si="708"/>
        <v>0</v>
      </c>
      <c r="JD216">
        <f t="shared" si="709"/>
        <v>0</v>
      </c>
      <c r="JE216">
        <f t="shared" si="710"/>
        <v>0</v>
      </c>
      <c r="JF216">
        <f t="shared" si="711"/>
        <v>0</v>
      </c>
      <c r="JG216">
        <f t="shared" si="712"/>
        <v>0</v>
      </c>
      <c r="JH216">
        <f t="shared" si="713"/>
        <v>0</v>
      </c>
      <c r="JI216">
        <f t="shared" si="714"/>
        <v>0</v>
      </c>
      <c r="JJ216" s="447">
        <f t="shared" si="715"/>
        <v>0</v>
      </c>
      <c r="JK216" s="447">
        <f t="shared" si="716"/>
        <v>0</v>
      </c>
      <c r="JL216">
        <f t="shared" si="717"/>
        <v>0</v>
      </c>
      <c r="JM216" s="245" t="str">
        <f>IFERROR(VLOOKUP(MATCH(BN216,#REF!,0),#REF!,7),"")</f>
        <v/>
      </c>
      <c r="JN216" t="e">
        <f>HLOOKUP(LEFT(BO216,7),Discharge_Area,MATCH(JO216,LookUps!$B$130:$B$149,1)+2)</f>
        <v>#N/A</v>
      </c>
      <c r="JO216" t="str">
        <f t="shared" si="718"/>
        <v>- S</v>
      </c>
      <c r="JP216" t="e">
        <f>HLOOKUP(LEFT(BO216,7),Discharge_Area,MATCH(JO216,LookUps!$B$130:$B$149,1)+2)</f>
        <v>#N/A</v>
      </c>
      <c r="JQ216" t="e">
        <f t="shared" si="719"/>
        <v>#N/A</v>
      </c>
      <c r="JR216" t="e">
        <f t="shared" si="720"/>
        <v>#N/A</v>
      </c>
      <c r="JS216" t="e">
        <f t="shared" si="721"/>
        <v>#N/A</v>
      </c>
      <c r="JT216" s="532" t="str">
        <f t="shared" si="722"/>
        <v xml:space="preserve"> </v>
      </c>
      <c r="JU216" s="532" t="str">
        <f t="shared" si="723"/>
        <v xml:space="preserve"> </v>
      </c>
      <c r="JV216" s="533" t="str">
        <f t="shared" si="724"/>
        <v xml:space="preserve"> </v>
      </c>
      <c r="JW216" s="534">
        <f t="shared" si="725"/>
        <v>0</v>
      </c>
      <c r="JX216" s="535" t="str">
        <f t="shared" si="809"/>
        <v xml:space="preserve"> </v>
      </c>
      <c r="JY216" s="535" t="str">
        <f t="shared" si="810"/>
        <v xml:space="preserve"> </v>
      </c>
      <c r="JZ216" s="535" t="str">
        <f t="shared" si="811"/>
        <v xml:space="preserve"> </v>
      </c>
      <c r="KA216" s="536" t="str">
        <f t="shared" si="726"/>
        <v xml:space="preserve"> </v>
      </c>
      <c r="KB216" s="535" t="e">
        <f t="shared" si="812"/>
        <v>#VALUE!</v>
      </c>
      <c r="KC216" s="535" t="str">
        <f t="shared" si="727"/>
        <v/>
      </c>
      <c r="KD216" s="537" t="str">
        <f t="shared" si="813"/>
        <v xml:space="preserve"> </v>
      </c>
      <c r="KE216" s="537" t="str">
        <f t="shared" si="814"/>
        <v xml:space="preserve"> </v>
      </c>
      <c r="KF216" s="534">
        <f t="shared" si="728"/>
        <v>0</v>
      </c>
      <c r="KG216" s="535" t="str">
        <f t="shared" si="729"/>
        <v xml:space="preserve"> </v>
      </c>
      <c r="KH216" s="535" t="str">
        <f t="shared" si="730"/>
        <v xml:space="preserve"> </v>
      </c>
      <c r="KI216" s="535" t="str">
        <f t="shared" si="731"/>
        <v xml:space="preserve"> </v>
      </c>
      <c r="KJ216" s="536" t="str">
        <f t="shared" si="732"/>
        <v xml:space="preserve"> </v>
      </c>
      <c r="KK216" s="535" t="str">
        <f t="shared" si="815"/>
        <v xml:space="preserve"> </v>
      </c>
      <c r="KL216" s="535" t="str">
        <f t="shared" si="816"/>
        <v xml:space="preserve"> </v>
      </c>
      <c r="KM216" s="537" t="str">
        <f t="shared" si="733"/>
        <v xml:space="preserve"> </v>
      </c>
      <c r="KN216" s="537" t="str">
        <f t="shared" si="817"/>
        <v xml:space="preserve"> </v>
      </c>
      <c r="KP216">
        <f t="shared" si="734"/>
        <v>0</v>
      </c>
      <c r="LA216" t="e">
        <f t="shared" si="735"/>
        <v>#VALUE!</v>
      </c>
      <c r="LB216" t="e">
        <f t="shared" si="736"/>
        <v>#VALUE!</v>
      </c>
      <c r="LC216" t="e">
        <f t="shared" si="737"/>
        <v>#VALUE!</v>
      </c>
      <c r="LD216" t="e">
        <f t="shared" si="738"/>
        <v>#VALUE!</v>
      </c>
      <c r="LE216" t="e">
        <f t="shared" si="818"/>
        <v>#VALUE!</v>
      </c>
      <c r="LF216">
        <f t="shared" si="739"/>
        <v>0</v>
      </c>
      <c r="LG216" t="e">
        <f t="shared" si="819"/>
        <v>#VALUE!</v>
      </c>
      <c r="LH216" t="str">
        <f t="shared" si="740"/>
        <v xml:space="preserve"> </v>
      </c>
      <c r="LI216">
        <f t="shared" si="820"/>
        <v>1</v>
      </c>
    </row>
    <row r="217" spans="2:321" ht="15" customHeight="1">
      <c r="B217" s="311"/>
      <c r="C217" s="311"/>
      <c r="D217" s="312"/>
      <c r="E217" s="311"/>
      <c r="F217" s="312"/>
      <c r="G217" s="311"/>
      <c r="H217" s="311"/>
      <c r="I217" s="232"/>
      <c r="J217" s="311"/>
      <c r="K217" s="305" t="str">
        <f t="shared" si="741"/>
        <v/>
      </c>
      <c r="L217" s="313"/>
      <c r="M217" s="312"/>
      <c r="N217" s="311"/>
      <c r="O217" s="312"/>
      <c r="P217" s="311"/>
      <c r="Q217" s="305" t="str">
        <f t="shared" si="742"/>
        <v/>
      </c>
      <c r="R217" s="314"/>
      <c r="S217" s="450" t="str">
        <f t="shared" si="625"/>
        <v/>
      </c>
      <c r="T217" s="315"/>
      <c r="U217" s="315"/>
      <c r="W217" s="149" t="str">
        <f t="shared" si="626"/>
        <v xml:space="preserve"> </v>
      </c>
      <c r="X217" s="243" t="str">
        <f t="shared" si="627"/>
        <v xml:space="preserve"> </v>
      </c>
      <c r="Y217" s="150" t="str">
        <f t="shared" si="628"/>
        <v/>
      </c>
      <c r="Z217" s="149" t="str">
        <f t="shared" si="629"/>
        <v xml:space="preserve"> </v>
      </c>
      <c r="AA217" s="98" t="str">
        <f t="shared" si="630"/>
        <v xml:space="preserve"> </v>
      </c>
      <c r="AB217" s="153" t="str">
        <f t="shared" si="631"/>
        <v xml:space="preserve"> </v>
      </c>
      <c r="AC217" s="153" t="str">
        <f t="shared" si="632"/>
        <v xml:space="preserve"> </v>
      </c>
      <c r="AD217" s="148" t="str">
        <f t="shared" si="633"/>
        <v/>
      </c>
      <c r="AE217" s="149" t="str">
        <f t="shared" si="634"/>
        <v/>
      </c>
      <c r="AF217" s="151" t="str">
        <f t="shared" si="635"/>
        <v xml:space="preserve"> </v>
      </c>
      <c r="AG217" s="153" t="str">
        <f t="shared" si="636"/>
        <v xml:space="preserve"> </v>
      </c>
      <c r="AH217" s="98" t="str">
        <f t="shared" si="637"/>
        <v xml:space="preserve"> </v>
      </c>
      <c r="AI217" s="149" t="str">
        <f t="shared" si="638"/>
        <v xml:space="preserve"> </v>
      </c>
      <c r="AK217" s="144" t="str">
        <f t="shared" si="639"/>
        <v xml:space="preserve"> </v>
      </c>
      <c r="AL217" s="144"/>
      <c r="AM217" s="243" t="str">
        <f t="shared" si="640"/>
        <v xml:space="preserve"> </v>
      </c>
      <c r="AN217" s="149" t="str">
        <f t="shared" si="743"/>
        <v xml:space="preserve"> </v>
      </c>
      <c r="AO217" s="144" t="str">
        <f>IF(JB217&gt;0,IF(GI217=10,-R217*1.085*(Calculation!$F$6-Calculation!$F$13)*$S$14," "),"")</f>
        <v/>
      </c>
      <c r="AP217" s="144" t="str">
        <f t="shared" si="641"/>
        <v/>
      </c>
      <c r="AQ217" s="56" t="str">
        <f t="shared" si="642"/>
        <v/>
      </c>
      <c r="AR217" s="144" t="str">
        <f t="shared" si="643"/>
        <v/>
      </c>
      <c r="AS217" s="176" t="str">
        <f t="shared" si="644"/>
        <v/>
      </c>
      <c r="AT217" s="176" t="str">
        <f t="shared" si="744"/>
        <v xml:space="preserve"> </v>
      </c>
      <c r="AU217" s="176" t="str">
        <f t="shared" si="645"/>
        <v/>
      </c>
      <c r="AV217" s="177" t="str">
        <f t="shared" si="646"/>
        <v xml:space="preserve"> </v>
      </c>
      <c r="AW217" s="144" t="str">
        <f t="shared" si="647"/>
        <v xml:space="preserve"> </v>
      </c>
      <c r="AX217" s="144" t="str">
        <f t="shared" si="648"/>
        <v xml:space="preserve"> </v>
      </c>
      <c r="AY217" s="152" t="str">
        <f t="shared" si="649"/>
        <v xml:space="preserve"> </v>
      </c>
      <c r="AZ217" s="246" t="str">
        <f t="shared" si="650"/>
        <v/>
      </c>
      <c r="BA217" s="176" t="str">
        <f t="shared" si="651"/>
        <v xml:space="preserve"> </v>
      </c>
      <c r="BB217" s="176" t="str">
        <f t="shared" si="652"/>
        <v xml:space="preserve"> </v>
      </c>
      <c r="BC217" s="195"/>
      <c r="BD217" s="316"/>
      <c r="BE217" s="317"/>
      <c r="BF217" s="318"/>
      <c r="BG217" s="318"/>
      <c r="BH217" s="144" t="str">
        <f t="shared" si="821"/>
        <v xml:space="preserve"> </v>
      </c>
      <c r="BI217" s="176" t="str">
        <f t="shared" si="653"/>
        <v/>
      </c>
      <c r="BJ217" s="144" t="str">
        <f t="shared" si="822"/>
        <v/>
      </c>
      <c r="BK217" s="246" t="str">
        <f t="shared" si="654"/>
        <v/>
      </c>
      <c r="BL217" s="144" t="str">
        <f t="shared" si="823"/>
        <v/>
      </c>
      <c r="BM217" s="246" t="str">
        <f t="shared" si="655"/>
        <v/>
      </c>
      <c r="BN217" s="337" t="str">
        <f t="shared" si="745"/>
        <v/>
      </c>
      <c r="BO217" s="371" t="str">
        <f t="shared" si="746"/>
        <v/>
      </c>
      <c r="BP217" s="328" t="str">
        <f t="shared" si="824"/>
        <v xml:space="preserve"> </v>
      </c>
      <c r="BQ217" s="347" t="str">
        <f t="shared" si="747"/>
        <v xml:space="preserve"> </v>
      </c>
      <c r="BR217" s="353" t="str">
        <f t="shared" si="748"/>
        <v xml:space="preserve"> </v>
      </c>
      <c r="BS217" s="626" t="str">
        <f>IF(L217&gt;0,IF(Calculation!P217="M13",BR217*3.1416*(0.134^2)/(4*144),IF(Calculation!P217="M17",BR217*3.1416*(0.165^2)/(4*144),IF(Calculation!P217="M20",BR217*3.1416*(0.198^2)/(4*144),IF(Calculation!P217="M23",BR217*3.1416*(0.228^2)/(4*144),IF(Calculation!P217="M27",BR217*3.1416*(0.269^2)/(4*144),BR217*3.1416*(0.307^2)/(4*144))))))," ")</f>
        <v xml:space="preserve"> </v>
      </c>
      <c r="BT217" s="353" t="str">
        <f>IF(L217&gt;0,IF(BS217&gt;0,R217/Calculation!BS217,0)," ")</f>
        <v xml:space="preserve"> </v>
      </c>
      <c r="BU217" s="438" t="e">
        <f t="shared" ca="1" si="656"/>
        <v>#VALUE!</v>
      </c>
      <c r="BV217" s="449" t="e">
        <f ca="1">INDEX(INDIRECT(VLOOKUP(LEFT(BO217,7),CLU!$Z$3:$AH$18,2)),GN217,GR217)</f>
        <v>#N/A</v>
      </c>
      <c r="BW217" s="433" t="e">
        <f ca="1">INDEX(INDIRECT(VLOOKUP(LEFT(BO217,7),CLU!$Z$3:$AH$18,3)),GN217,GR217)</f>
        <v>#N/A</v>
      </c>
      <c r="BX217" s="433" t="e">
        <f ca="1">INDEX(INDIRECT(VLOOKUP(LEFT(BO217,7),CLU!$Z$3:$AH$18,4)),GN217,GR217)</f>
        <v>#N/A</v>
      </c>
      <c r="BY217" s="433" t="e">
        <f ca="1">INDEX(INDIRECT(VLOOKUP(LEFT(BO217,7),CLU!$Z$3:$AH$18,9)),((M217-2)*(6-COUNTBLANK(GT217:GY217)))+GJ217)</f>
        <v>#N/A</v>
      </c>
      <c r="BZ217" s="426" t="e">
        <f t="shared" ca="1" si="749"/>
        <v>#N/A</v>
      </c>
      <c r="CA217" s="424" t="e">
        <f t="shared" ca="1" si="750"/>
        <v>#N/A</v>
      </c>
      <c r="CB217" s="429" t="e">
        <f ca="1">INDEX(INDIRECT(VLOOKUP(LEFT(BO217,7),CLU!$Z$3:$AH$18,2)),GN217,GS217)</f>
        <v>#N/A</v>
      </c>
      <c r="CC217" s="342" t="e">
        <f ca="1">INDEX(INDIRECT(VLOOKUP(LEFT(BO217,7),CLU!$Z$3:$AH$18,3)),GN217,GS217)</f>
        <v>#N/A</v>
      </c>
      <c r="CD217" s="342" t="e">
        <f ca="1">INDEX(INDIRECT(VLOOKUP(LEFT(BO217,7),CLU!$Z$3:$AH$18,4)),GN217,GS217)</f>
        <v>#N/A</v>
      </c>
      <c r="CE217" s="426" t="e">
        <f t="shared" ca="1" si="751"/>
        <v>#N/A</v>
      </c>
      <c r="CF217" s="440">
        <f t="shared" si="752"/>
        <v>0</v>
      </c>
      <c r="CG217" s="431" t="e">
        <f ca="1">INDEX(INDIRECT(VLOOKUP(LEFT(BO217,7),CLU!$Z$3:$AH$18,2)),GQ217,GR217)</f>
        <v>#N/A</v>
      </c>
      <c r="CH217" s="431" t="e">
        <f ca="1">INDEX(INDIRECT(VLOOKUP(LEFT(BO217,7),CLU!$Z$3:$AH$18,3)),GQ217,GR217)</f>
        <v>#N/A</v>
      </c>
      <c r="CI217" s="431" t="e">
        <f ca="1">INDEX(INDIRECT(VLOOKUP(LEFT(BO217,7),CLU!$Z$3:$AH$18,4)),GQ217,GR217)</f>
        <v>#N/A</v>
      </c>
      <c r="CJ217" s="448" t="e">
        <f t="shared" ca="1" si="753"/>
        <v>#N/A</v>
      </c>
      <c r="CK217" s="431" t="e">
        <f t="shared" ca="1" si="754"/>
        <v>#N/A</v>
      </c>
      <c r="CL217" s="440" t="e">
        <f t="shared" ca="1" si="755"/>
        <v>#N/A</v>
      </c>
      <c r="CM217" s="431" t="e">
        <f ca="1">INDEX(INDIRECT(VLOOKUP(LEFT(BO217,7),CLU!$Z$3:$AH$18,2)),GQ217,GS217)</f>
        <v>#N/A</v>
      </c>
      <c r="CN217" s="431" t="e">
        <f ca="1">INDEX(INDIRECT(VLOOKUP(LEFT(BO217,7),CLU!$Z$3:$AH$18,3)),GQ217,GS217)</f>
        <v>#N/A</v>
      </c>
      <c r="CO217" s="431" t="e">
        <f ca="1">INDEX(INDIRECT(VLOOKUP(LEFT(BO217,7),CLU!$Z$3:$AH$18,4)),GQ217,GS217)</f>
        <v>#N/A</v>
      </c>
      <c r="CP217" s="431" t="e">
        <f t="shared" ca="1" si="756"/>
        <v>#N/A</v>
      </c>
      <c r="CQ217" s="440">
        <f t="shared" si="757"/>
        <v>0</v>
      </c>
      <c r="CR217" s="51" t="e">
        <f t="shared" ca="1" si="758"/>
        <v>#N/A</v>
      </c>
      <c r="CS217" s="439" t="e">
        <f t="shared" ca="1" si="759"/>
        <v>#VALUE!</v>
      </c>
      <c r="CT217" s="51" t="e">
        <f t="shared" ca="1" si="760"/>
        <v>#VALUE!</v>
      </c>
      <c r="CU217" s="10"/>
      <c r="CV217" s="51" t="e">
        <f t="shared" ca="1" si="657"/>
        <v>#VALUE!</v>
      </c>
      <c r="CW217" s="51">
        <f t="shared" si="761"/>
        <v>0</v>
      </c>
      <c r="CX217" s="439" t="e">
        <f t="shared" ca="1" si="762"/>
        <v>#VALUE!</v>
      </c>
      <c r="CY217" s="51" t="e">
        <f t="shared" ca="1" si="763"/>
        <v>#VALUE!</v>
      </c>
      <c r="CZ217" s="10"/>
      <c r="DA217" s="51" t="e">
        <f t="shared" ca="1" si="764"/>
        <v>#VALUE!</v>
      </c>
      <c r="DB217" s="347" t="e">
        <f ca="1">INDEX(INDIRECT(VLOOKUP(LEFT(BO217,7),CLU!$Z$3:$AI$18,10)),((M217-2)*(6-COUNTBLANK(GT217:GY217)))+GJ217)*LI217</f>
        <v>#N/A</v>
      </c>
      <c r="DC217" s="347" t="str">
        <f>IF(L217&gt;0,((R217/Worksheet!$I$15)/DB217)^2," ")</f>
        <v xml:space="preserve"> </v>
      </c>
      <c r="DD217" s="602" t="str">
        <f t="shared" si="765"/>
        <v xml:space="preserve"> </v>
      </c>
      <c r="DE217" s="347" t="str">
        <f t="shared" si="658"/>
        <v xml:space="preserve"> </v>
      </c>
      <c r="DF217" s="356" t="e">
        <f ca="1">INDEX(INDIRECT(VLOOKUP(LEFT(BO217,7),CLU!$Z$3:$AH$18,8)),((M217-2)*(6-COUNTBLANK(GT217:GY217)))+GJ217)</f>
        <v>#N/A</v>
      </c>
      <c r="DG217" s="347" t="str">
        <f t="shared" si="659"/>
        <v xml:space="preserve"> </v>
      </c>
      <c r="DH217" s="357" t="str">
        <f t="shared" si="660"/>
        <v xml:space="preserve"> </v>
      </c>
      <c r="DI217" s="355" t="str">
        <f t="shared" si="661"/>
        <v xml:space="preserve"> </v>
      </c>
      <c r="DJ217" s="245" t="e">
        <f ca="1">INDEX(INDIRECT(VLOOKUP(LEFT(BO217,7),CLU!$Z$3:$AH$18,5)),GL217,GK217)</f>
        <v>#N/A</v>
      </c>
      <c r="DK217" s="245" t="e">
        <f ca="1">INDEX(INDIRECT(VLOOKUP(LEFT(BO217,7),CLU!$Z$3:$AH$18,6)),GL217,GK217)</f>
        <v>#N/A</v>
      </c>
      <c r="DL217" s="355">
        <f>(Calculation!R217*0.69143*(Calculation!$BQ$8-Calculation!$F$8))*$S$14</f>
        <v>0</v>
      </c>
      <c r="DM217" s="359" t="e">
        <f t="shared" si="766"/>
        <v>#VALUE!</v>
      </c>
      <c r="DN217" s="611">
        <f t="shared" si="767"/>
        <v>0</v>
      </c>
      <c r="DO217" s="359">
        <f t="shared" si="768"/>
        <v>100</v>
      </c>
      <c r="DP217" s="359">
        <f t="shared" si="769"/>
        <v>0</v>
      </c>
      <c r="DQ217" s="360"/>
      <c r="DR217" s="245" t="e">
        <f ca="1">INDEX(INDIRECT(VLOOKUP(LEFT(BO217,7),CLU!$Z$3:$AH$18,7)),M217-1,1)</f>
        <v>#N/A</v>
      </c>
      <c r="DS217" s="245" t="e">
        <f ca="1">INDEX(INDIRECT(VLOOKUP(LEFT(BO217,7),CLU!$Z$3:$AH$18,7)),M217-1,2)</f>
        <v>#N/A</v>
      </c>
      <c r="DT217" s="245" t="e">
        <f ca="1">INDEX(INDIRECT(VLOOKUP(LEFT(BO217,7),CLU!$Z$3:$AH$18,7)),M217-1,3)</f>
        <v>#N/A</v>
      </c>
      <c r="DU217" s="245" t="e">
        <f ca="1">INDEX(INDIRECT(VLOOKUP(LEFT(BO217,7),CLU!$Z$3:$AH$18,7)),M217-1,4)</f>
        <v>#N/A</v>
      </c>
      <c r="DV217" s="361" t="e">
        <f ca="1">INDEX(INDIRECT(VLOOKUP(LEFT(BO217,7),CLU!$Z$3:$AH$18,7)),M217-1,4+LEFT(DZ217,1)*0.5)</f>
        <v>#N/A</v>
      </c>
      <c r="DW217" s="245" t="e">
        <f ca="1">INDEX(INDIRECT(VLOOKUP(LEFT(BO217,7),CLU!$Z$3:$AH$18,7)),M217-1,8)</f>
        <v>#N/A</v>
      </c>
      <c r="DX217" s="361" t="str">
        <f t="shared" si="662"/>
        <v xml:space="preserve"> </v>
      </c>
      <c r="DY217" s="361" t="str">
        <f t="shared" si="663"/>
        <v xml:space="preserve"> </v>
      </c>
      <c r="DZ217" s="361" t="str">
        <f t="shared" si="664"/>
        <v xml:space="preserve"> </v>
      </c>
      <c r="EA217" s="362" t="str">
        <f t="shared" si="665"/>
        <v xml:space="preserve"> </v>
      </c>
      <c r="EB217" s="624" t="str">
        <f t="shared" si="770"/>
        <v xml:space="preserve"> </v>
      </c>
      <c r="EC217" s="361" t="e">
        <f ca="1">INDEX(INDIRECT(VLOOKUP(LEFT(BO217,7),CLU!$Z$3:$AH$18,7)),M217-1,4+LEFT(DZ217,1)*0.5)</f>
        <v>#N/A</v>
      </c>
      <c r="ED217" s="362" t="str">
        <f t="shared" si="666"/>
        <v xml:space="preserve"> </v>
      </c>
      <c r="EE217" s="361" t="str">
        <f t="shared" si="667"/>
        <v xml:space="preserve"> </v>
      </c>
      <c r="EF217" s="362" t="str">
        <f>IF(L217&gt;0,IF(BR217&gt;0,IF(EE217="2P",IF(Calculation!DZ217="2P",IF(Calculation!DS217=13.75,IF(Calculation!DR217=13,Worksheet!$BD$43,IF(Calculation!DR217=37,Worksheet!$BD$44,Worksheet!$BD$45)),IF(Calculation!DS217=10,IF(Calculation!DR217=18,Worksheet!$BD$29,IF(Calculation!DR217=30,Worksheet!$BD$30,IF(Calculation!DR217=42,Worksheet!$BD$31,IF(Calculation!DR217=54,Worksheet!$BD$32,IF(Calculation!DR217=66,Worksheet!$BD$33,IF(Calculation!DR217=78,Worksheet!$BD$34,IF(Calculation!DR217=90,Worksheet!$BD$35,IF(Calculation!DR217=102,Worksheet!$BD$36,Worksheet!$BD$37)))))))),IF(Calculation!DS217=12.5,IF(Calculation!DR217=18,Worksheet!$BD$38,IF(Calculation!DR217=Worksheet!$BD$39,IF(Calculation!DR217=42,Worksheet!$BD$40,IF(Calculation!DR217=54,Worksheet!$BD$41,Worksheet!$BD$42)))),IF(Calculation!DR217=18,Worksheet!$BD$11,IF(Calculation!DR217=30,Worksheet!$BD$12,IF(Calculation!DR217=42,Worksheet!$BD$13,IF(Calculation!DR217=54,Worksheet!$BD$14,IF(Calculation!DR217=66,Worksheet!$BD$15,IF(Calculation!DR217=78,Worksheet!$BD$16,IF(Calculation!DR217=90,Worksheet!$BD$17,IF(Calculation!DR217=102,Worksheet!$BD$18,Worksheet!$BD$19))))))))))),IF(Calculation!DS217=13.75,IF(Calculation!DR217=13,Worksheet!$BD$78,IF(Calculation!DR217=37,Worksheet!$BD$79,Worksheet!$BD$80)),IF(Calculation!DS217=10,IF(Calculation!DR217=18,Worksheet!$BD$64,IF(Calculation!DR217=30,Worksheet!$BD$65,IF(Calculation!DR217=42,Worksheet!$BD$66,IF(Calculation!DR217=54,Worksheet!$BD$68,IF(Calculation!DR217=66,Worksheet!$BD$68,IF(Calculation!DR217=78,Worksheet!$BD$69,IF(Calculation!DR217=90,Worksheet!$BD$70,IF(Calculation!DR217=102,Worksheet!$BD$71,Worksheet!$BD$72)))))))),IF(Calculation!DS217=12.5,IF(Calculation!DR217=18,Worksheet!$BD$73,IF(Calculation!DR217=Worksheet!$BD$74,IF(Calculation!DR217=42,Worksheet!$BD$75,IF(Calculation!DR217=54,Worksheet!$BD$76,Worksheet!$BD$77)))),IF(Calculation!DR217=18,Worksheet!$BD$55,IF(Calculation!DR217=30,Worksheet!$BD$56,IF(Calculation!DR217=42,Worksheet!$BD$57,IF(Calculation!DR217=54,Worksheet!$BD$58,IF(Calculation!DR217=66,Worksheet!$BD$59,IF(Calculation!DR217=78,Worksheet!$BD$60,IF(Calculation!DR217=90,Worksheet!$BD$61,IF(Calculation!DR217=102,Worksheet!$BD$62,Worksheet!$BD$63)))))))))))),5),0)," ")</f>
        <v xml:space="preserve"> </v>
      </c>
      <c r="EG217" s="361" t="str">
        <f t="shared" si="668"/>
        <v xml:space="preserve"> </v>
      </c>
      <c r="EH217" s="361" t="e">
        <f ca="1">INDEX(INDIRECT(VLOOKUP(LEFT(BO217,7),CLU!$Z$3:$AH$18,7)),M217-1,3+LEFT(DZ217,1))</f>
        <v>#N/A</v>
      </c>
      <c r="EI217" s="362" t="str">
        <f t="shared" si="669"/>
        <v xml:space="preserve"> </v>
      </c>
      <c r="EJ217" s="363" t="str">
        <f t="shared" si="670"/>
        <v xml:space="preserve"> </v>
      </c>
      <c r="EK217" s="363" t="str">
        <f t="shared" si="671"/>
        <v xml:space="preserve"> </v>
      </c>
      <c r="EL217" s="363" t="str">
        <f t="shared" si="672"/>
        <v xml:space="preserve"> </v>
      </c>
      <c r="EM217" s="362" t="str">
        <f>IF(L217&gt;0,IF(BR217&gt;0,(Calculation!T217/ED217)^2,0)," ")</f>
        <v xml:space="preserve"> </v>
      </c>
      <c r="EN217" s="362" t="str">
        <f>IF(L217&gt;0,IF(O217="2 Pipe (Cooling)","N/A",IF(BR217&gt;0,(Calculation!U217/EI217)^2,0))," ")</f>
        <v xml:space="preserve"> </v>
      </c>
      <c r="EO217" s="361" t="str">
        <f t="shared" si="673"/>
        <v/>
      </c>
      <c r="EP217" s="361" t="str">
        <f t="shared" si="674"/>
        <v/>
      </c>
      <c r="EQ217" s="361" t="str">
        <f t="shared" si="675"/>
        <v/>
      </c>
      <c r="ER217" s="361" t="str">
        <f t="shared" si="676"/>
        <v/>
      </c>
      <c r="ES217" s="361" t="str">
        <f t="shared" si="677"/>
        <v/>
      </c>
      <c r="ET217" s="361" t="str">
        <f t="shared" si="678"/>
        <v/>
      </c>
      <c r="EU217" s="361" t="str">
        <f t="shared" si="679"/>
        <v/>
      </c>
      <c r="EV217" s="361" t="str">
        <f t="shared" si="680"/>
        <v/>
      </c>
      <c r="EW217" s="361" t="str">
        <f t="shared" si="681"/>
        <v/>
      </c>
      <c r="EX217" s="361" t="str">
        <f t="shared" si="771"/>
        <v>1 slot, 1 way</v>
      </c>
      <c r="EY217" s="361" t="str">
        <f t="shared" si="772"/>
        <v xml:space="preserve"> </v>
      </c>
      <c r="EZ217" s="361" t="str">
        <f t="shared" si="773"/>
        <v xml:space="preserve"> </v>
      </c>
      <c r="FA217" s="361" t="str">
        <f t="shared" si="774"/>
        <v xml:space="preserve"> </v>
      </c>
      <c r="FB217" s="361" t="str">
        <f t="shared" si="775"/>
        <v xml:space="preserve"> </v>
      </c>
      <c r="FC217" s="361"/>
      <c r="FD217" s="361" t="str">
        <f>IF(J217&gt;0,IF(Calculation!R217&lt;=70,4,IF(Calculation!R217&lt;=110,5,IF(Calculation!R217&lt;=160,6,IF(Calculation!R217&lt;=300,8,"10 EO")))),"")</f>
        <v/>
      </c>
      <c r="FE217" s="361" t="str">
        <f t="shared" si="776"/>
        <v/>
      </c>
      <c r="FF217" s="361" t="str">
        <f t="shared" si="777"/>
        <v/>
      </c>
      <c r="FG217" s="361" t="e">
        <f t="shared" si="682"/>
        <v>#N/A</v>
      </c>
      <c r="FH217" s="361">
        <f t="shared" si="683"/>
        <v>0</v>
      </c>
      <c r="FI217" s="361" t="e">
        <f t="shared" si="684"/>
        <v>#DIV/0!</v>
      </c>
      <c r="FJ217" s="361"/>
      <c r="FK217" s="356" t="e">
        <f t="shared" si="685"/>
        <v>#VALUE!</v>
      </c>
      <c r="FL217" s="361"/>
      <c r="FM217" s="361"/>
      <c r="FN217" s="362" t="str">
        <f t="shared" si="778"/>
        <v xml:space="preserve"> </v>
      </c>
      <c r="FO217" s="362" t="str">
        <f t="shared" si="779"/>
        <v xml:space="preserve"> </v>
      </c>
      <c r="FP217" s="362">
        <f t="shared" si="780"/>
        <v>0</v>
      </c>
      <c r="FQ217" s="361">
        <f t="shared" si="686"/>
        <v>0</v>
      </c>
      <c r="FR217" s="362" t="str">
        <f>IF(L217&gt;0,IF(J217="CBAL2",Worksheet!$P$67,IF(J217="CBE2-24",Worksheet!$Q$67,IF(J217="CBAM",Worksheet!$R$67,IF(J217="CBLV",Worksheet!$S$67,IF(J217="CBAB",Worksheet!$U$67,IF(J217="CBAW",Worksheet!$X$67,IF(J217="CBE2-12",Worksheet!$Y$67,IF(J217="CBAL2",Worksheet!$Z$67,"N/A"))))))))," ")</f>
        <v xml:space="preserve"> </v>
      </c>
      <c r="FS217" s="362" t="str">
        <f>IF(L217&gt;0,IF(J217="CBAL2",Worksheet!$P$68,IF(J217="CBE2-24",Worksheet!$Q$68,IF(J217="CBAM",Worksheet!$R$68,IF(J217="CBLV",Worksheet!$S$68,IF(J217="CBAB",Worksheet!$U$68,IF(J217="CBAW",Worksheet!$X$68,IF(J217="CBE2-12",Worksheet!$Y$68,IF(J217="CBAL2",Worksheet!$Z$68,"N/A"))))))))," ")</f>
        <v xml:space="preserve"> </v>
      </c>
      <c r="FT217" s="362" t="str">
        <f>IF(L217&gt;0,IF(J217="CBAL2",Worksheet!$P$69,IF(J217="CBE2-24",Worksheet!$Q$69,IF(J217="CBAM",Worksheet!$R$69,IF(J217="CBLV",Worksheet!$S$69,IF(J217="CBAB",Worksheet!$U$69,IF(J217="CBAW",Worksheet!$X$69,IF(J217="CBE2-12",Worksheet!$Y$69,IF(J217="CBAL2",Worksheet!$Z$69,"N/A"))))))))," ")</f>
        <v xml:space="preserve"> </v>
      </c>
      <c r="FU217" s="361" t="str">
        <f t="shared" si="781"/>
        <v xml:space="preserve"> </v>
      </c>
      <c r="FV217" s="362" t="str">
        <f t="shared" si="782"/>
        <v xml:space="preserve"> </v>
      </c>
      <c r="FW217" s="362" t="str">
        <f t="shared" si="783"/>
        <v xml:space="preserve"> </v>
      </c>
      <c r="FX217" s="362" t="str">
        <f t="shared" si="784"/>
        <v xml:space="preserve"> </v>
      </c>
      <c r="FY217" s="355" t="str">
        <f t="shared" si="785"/>
        <v xml:space="preserve"> </v>
      </c>
      <c r="FZ217" s="361" t="str">
        <f t="shared" si="786"/>
        <v xml:space="preserve"> </v>
      </c>
      <c r="GA217" s="347" t="str">
        <f t="shared" si="787"/>
        <v xml:space="preserve"> </v>
      </c>
      <c r="GB217" s="355" t="str">
        <f t="shared" si="788"/>
        <v xml:space="preserve"> </v>
      </c>
      <c r="GC217" s="328" t="str">
        <f t="shared" si="789"/>
        <v xml:space="preserve"> </v>
      </c>
      <c r="GD217" s="361" t="str">
        <f t="shared" si="790"/>
        <v xml:space="preserve"> </v>
      </c>
      <c r="GE217" s="347" t="str">
        <f t="shared" si="791"/>
        <v xml:space="preserve"> </v>
      </c>
      <c r="GF217" s="361" t="str">
        <f t="shared" si="792"/>
        <v xml:space="preserve"> </v>
      </c>
      <c r="GG217" s="347" t="str">
        <f t="shared" si="793"/>
        <v xml:space="preserve"> </v>
      </c>
      <c r="GH217" s="364">
        <f t="shared" si="687"/>
        <v>0</v>
      </c>
      <c r="GI217" s="362">
        <f t="shared" si="794"/>
        <v>2</v>
      </c>
      <c r="GJ217" s="433" t="e">
        <f>IF(6-COUNTBLANK(GT217:GY217)=4,MATCH(MID(BO217,9,3),CLU!$H$16:$K$16),MATCH(MID(BO217,9,3),CLU!$H$13:$M$13))</f>
        <v>#N/A</v>
      </c>
      <c r="GK217" s="433" t="e">
        <f>HLOOKUP(VALUE(BP217),CLU!$H$9:$M$10,2)</f>
        <v>#VALUE!</v>
      </c>
      <c r="GL217" s="433" t="e">
        <f ca="1">MATCH(BU217,CLU!$H$2:$V$2,1)</f>
        <v>#VALUE!</v>
      </c>
      <c r="GM217" s="433" t="e">
        <f t="shared" ca="1" si="795"/>
        <v>#VALUE!</v>
      </c>
      <c r="GN217" s="433" t="e">
        <f t="shared" ca="1" si="796"/>
        <v>#VALUE!</v>
      </c>
      <c r="GO217" s="433" t="e">
        <f t="shared" ca="1" si="797"/>
        <v>#VALUE!</v>
      </c>
      <c r="GP217" s="433" t="e">
        <f t="shared" ca="1" si="798"/>
        <v>#VALUE!</v>
      </c>
      <c r="GQ217" s="433" t="e">
        <f t="shared" ca="1" si="799"/>
        <v>#VALUE!</v>
      </c>
      <c r="GR217" s="433" t="e">
        <f ca="1">MATCH(T217,INDIRECT(VLOOKUP(CONCATENATE(LEFT(BO217,7),"-",MID(BO217,13,1)),CLU!$P$3:$Q$16,2)),1)</f>
        <v>#N/A</v>
      </c>
      <c r="GS217" s="433" t="e">
        <f ca="1">MATCH(U217,INDIRECT(VLOOKUP(CONCATENATE(LEFT(BO217,7),"-",MID(BO217,13,1)),CLU!$P$3:$Q$16,2)),1)</f>
        <v>#N/A</v>
      </c>
      <c r="GT217" s="347" t="s">
        <v>512</v>
      </c>
      <c r="GU217" s="97" t="s">
        <v>513</v>
      </c>
      <c r="GV217" s="97" t="str">
        <f t="shared" si="800"/>
        <v>M23</v>
      </c>
      <c r="GW217" s="97" t="str">
        <f t="shared" si="801"/>
        <v>M31</v>
      </c>
      <c r="GX217" s="97" t="str">
        <f t="shared" si="802"/>
        <v/>
      </c>
      <c r="GY217" s="97" t="str">
        <f t="shared" si="803"/>
        <v/>
      </c>
      <c r="GZ217" s="481"/>
      <c r="HA217" s="288"/>
      <c r="HB217" s="240"/>
      <c r="HC217" s="240"/>
      <c r="HD217" s="240"/>
      <c r="HE217" s="240"/>
      <c r="HF217" s="240"/>
      <c r="HG217" s="240"/>
      <c r="HH217" s="240"/>
      <c r="HI217" s="240"/>
      <c r="HJ217" s="240"/>
      <c r="HK217" s="240"/>
      <c r="HL217" s="240"/>
      <c r="HM217" s="240"/>
      <c r="HN217" s="240"/>
      <c r="HO217" s="240"/>
      <c r="HP217" s="240"/>
      <c r="HQ217" s="240"/>
      <c r="HR217" s="240"/>
      <c r="HS217" s="240"/>
      <c r="HT217" s="240"/>
      <c r="HU217" s="240"/>
      <c r="HV217" s="245"/>
      <c r="HW217" s="245" t="b">
        <v>1</v>
      </c>
      <c r="HX217" s="245" t="str">
        <f t="shared" si="688"/>
        <v/>
      </c>
      <c r="HY217" s="245" t="e">
        <f t="shared" si="689"/>
        <v>#DIV/0!</v>
      </c>
      <c r="HZ217" s="245" t="e">
        <f t="shared" si="690"/>
        <v>#DIV/0!</v>
      </c>
      <c r="IA217" s="245">
        <f t="shared" si="691"/>
        <v>0</v>
      </c>
      <c r="IB217" s="245"/>
      <c r="IC217" t="b">
        <f t="shared" si="692"/>
        <v>1</v>
      </c>
      <c r="ID217" s="245" t="b">
        <f t="shared" si="693"/>
        <v>1</v>
      </c>
      <c r="IE217" s="245" t="b">
        <f t="shared" si="694"/>
        <v>1</v>
      </c>
      <c r="IF217" s="245" t="b">
        <f t="shared" si="695"/>
        <v>0</v>
      </c>
      <c r="IG217" s="245" t="b">
        <f t="shared" si="696"/>
        <v>1</v>
      </c>
      <c r="IH217" s="245" t="b">
        <f t="shared" si="697"/>
        <v>1</v>
      </c>
      <c r="II217" s="245">
        <f t="shared" si="804"/>
        <v>0</v>
      </c>
      <c r="IJ217" s="245" t="e">
        <f t="shared" si="698"/>
        <v>#VALUE!</v>
      </c>
      <c r="IK217" s="245" t="e">
        <f t="shared" si="699"/>
        <v>#VALUE!</v>
      </c>
      <c r="IL217" s="245"/>
      <c r="IM217" s="245" t="e">
        <f t="shared" si="805"/>
        <v>#N/A</v>
      </c>
      <c r="IN217" s="245" t="e">
        <f t="shared" si="806"/>
        <v>#N/A</v>
      </c>
      <c r="IO217" s="245"/>
      <c r="IP217" s="245"/>
      <c r="IQ217" s="245" t="str">
        <f t="shared" si="700"/>
        <v/>
      </c>
      <c r="IR217" s="245" t="str">
        <f>IF(J217="","",VLOOKUP(J217,Worksheet!$R$4:$T$14,2))</f>
        <v/>
      </c>
      <c r="IS217" s="245"/>
      <c r="IT217" s="245">
        <f t="shared" si="701"/>
        <v>0</v>
      </c>
      <c r="IU217" s="245">
        <f t="shared" si="702"/>
        <v>0</v>
      </c>
      <c r="IV217" s="245">
        <f t="shared" si="703"/>
        <v>0</v>
      </c>
      <c r="IW217" s="245">
        <f t="shared" si="704"/>
        <v>0</v>
      </c>
      <c r="IX217" s="245">
        <f t="shared" si="807"/>
        <v>0</v>
      </c>
      <c r="IY217" s="245">
        <f t="shared" si="705"/>
        <v>0</v>
      </c>
      <c r="IZ217" s="245">
        <f t="shared" si="706"/>
        <v>0</v>
      </c>
      <c r="JA217">
        <f t="shared" si="707"/>
        <v>0</v>
      </c>
      <c r="JB217">
        <f t="shared" si="808"/>
        <v>0</v>
      </c>
      <c r="JC217">
        <f t="shared" si="708"/>
        <v>0</v>
      </c>
      <c r="JD217">
        <f t="shared" si="709"/>
        <v>0</v>
      </c>
      <c r="JE217">
        <f t="shared" si="710"/>
        <v>0</v>
      </c>
      <c r="JF217">
        <f t="shared" si="711"/>
        <v>0</v>
      </c>
      <c r="JG217">
        <f t="shared" si="712"/>
        <v>0</v>
      </c>
      <c r="JH217">
        <f t="shared" si="713"/>
        <v>0</v>
      </c>
      <c r="JI217">
        <f t="shared" si="714"/>
        <v>0</v>
      </c>
      <c r="JJ217" s="447">
        <f t="shared" si="715"/>
        <v>0</v>
      </c>
      <c r="JK217" s="447">
        <f t="shared" si="716"/>
        <v>0</v>
      </c>
      <c r="JL217">
        <f t="shared" si="717"/>
        <v>0</v>
      </c>
      <c r="JM217" s="245" t="str">
        <f>IFERROR(VLOOKUP(MATCH(BN217,#REF!,0),#REF!,7),"")</f>
        <v/>
      </c>
      <c r="JN217" t="e">
        <f>HLOOKUP(LEFT(BO217,7),Discharge_Area,MATCH(JO217,LookUps!$B$130:$B$149,1)+2)</f>
        <v>#N/A</v>
      </c>
      <c r="JO217" t="str">
        <f t="shared" si="718"/>
        <v>- S</v>
      </c>
      <c r="JP217" t="e">
        <f>HLOOKUP(LEFT(BO217,7),Discharge_Area,MATCH(JO217,LookUps!$B$130:$B$149,1)+2)</f>
        <v>#N/A</v>
      </c>
      <c r="JQ217" t="e">
        <f t="shared" si="719"/>
        <v>#N/A</v>
      </c>
      <c r="JR217" t="e">
        <f t="shared" si="720"/>
        <v>#N/A</v>
      </c>
      <c r="JS217" t="e">
        <f t="shared" si="721"/>
        <v>#N/A</v>
      </c>
      <c r="JT217" s="532" t="str">
        <f t="shared" si="722"/>
        <v xml:space="preserve"> </v>
      </c>
      <c r="JU217" s="532" t="str">
        <f t="shared" si="723"/>
        <v xml:space="preserve"> </v>
      </c>
      <c r="JV217" s="533" t="str">
        <f t="shared" si="724"/>
        <v xml:space="preserve"> </v>
      </c>
      <c r="JW217" s="534">
        <f t="shared" si="725"/>
        <v>0</v>
      </c>
      <c r="JX217" s="535" t="str">
        <f t="shared" si="809"/>
        <v xml:space="preserve"> </v>
      </c>
      <c r="JY217" s="535" t="str">
        <f t="shared" si="810"/>
        <v xml:space="preserve"> </v>
      </c>
      <c r="JZ217" s="535" t="str">
        <f t="shared" si="811"/>
        <v xml:space="preserve"> </v>
      </c>
      <c r="KA217" s="536" t="str">
        <f t="shared" si="726"/>
        <v xml:space="preserve"> </v>
      </c>
      <c r="KB217" s="535" t="e">
        <f t="shared" si="812"/>
        <v>#VALUE!</v>
      </c>
      <c r="KC217" s="535" t="str">
        <f t="shared" si="727"/>
        <v/>
      </c>
      <c r="KD217" s="537" t="str">
        <f t="shared" si="813"/>
        <v xml:space="preserve"> </v>
      </c>
      <c r="KE217" s="537" t="str">
        <f t="shared" si="814"/>
        <v xml:space="preserve"> </v>
      </c>
      <c r="KF217" s="534">
        <f t="shared" si="728"/>
        <v>0</v>
      </c>
      <c r="KG217" s="535" t="str">
        <f t="shared" si="729"/>
        <v xml:space="preserve"> </v>
      </c>
      <c r="KH217" s="535" t="str">
        <f t="shared" si="730"/>
        <v xml:space="preserve"> </v>
      </c>
      <c r="KI217" s="535" t="str">
        <f t="shared" si="731"/>
        <v xml:space="preserve"> </v>
      </c>
      <c r="KJ217" s="536" t="str">
        <f t="shared" si="732"/>
        <v xml:space="preserve"> </v>
      </c>
      <c r="KK217" s="535" t="str">
        <f t="shared" si="815"/>
        <v xml:space="preserve"> </v>
      </c>
      <c r="KL217" s="535" t="str">
        <f t="shared" si="816"/>
        <v xml:space="preserve"> </v>
      </c>
      <c r="KM217" s="537" t="str">
        <f t="shared" si="733"/>
        <v xml:space="preserve"> </v>
      </c>
      <c r="KN217" s="537" t="str">
        <f t="shared" si="817"/>
        <v xml:space="preserve"> </v>
      </c>
      <c r="KP217">
        <f t="shared" si="734"/>
        <v>0</v>
      </c>
      <c r="LA217" t="e">
        <f t="shared" si="735"/>
        <v>#VALUE!</v>
      </c>
      <c r="LB217" t="e">
        <f t="shared" si="736"/>
        <v>#VALUE!</v>
      </c>
      <c r="LC217" t="e">
        <f t="shared" si="737"/>
        <v>#VALUE!</v>
      </c>
      <c r="LD217" t="e">
        <f t="shared" si="738"/>
        <v>#VALUE!</v>
      </c>
      <c r="LE217" t="e">
        <f t="shared" si="818"/>
        <v>#VALUE!</v>
      </c>
      <c r="LF217">
        <f t="shared" si="739"/>
        <v>0</v>
      </c>
      <c r="LG217" t="e">
        <f t="shared" si="819"/>
        <v>#VALUE!</v>
      </c>
      <c r="LH217" t="str">
        <f t="shared" si="740"/>
        <v xml:space="preserve"> </v>
      </c>
      <c r="LI217">
        <f t="shared" si="820"/>
        <v>1</v>
      </c>
    </row>
    <row r="218" spans="2:321" ht="15" customHeight="1">
      <c r="B218" s="311"/>
      <c r="C218" s="311"/>
      <c r="D218" s="312"/>
      <c r="E218" s="311"/>
      <c r="F218" s="312"/>
      <c r="G218" s="311"/>
      <c r="H218" s="311"/>
      <c r="I218" s="232"/>
      <c r="J218" s="311"/>
      <c r="K218" s="305" t="str">
        <f t="shared" si="741"/>
        <v/>
      </c>
      <c r="L218" s="313"/>
      <c r="M218" s="312"/>
      <c r="N218" s="311"/>
      <c r="O218" s="312"/>
      <c r="P218" s="311"/>
      <c r="Q218" s="305" t="str">
        <f t="shared" si="742"/>
        <v/>
      </c>
      <c r="R218" s="314"/>
      <c r="S218" s="450" t="str">
        <f t="shared" si="625"/>
        <v/>
      </c>
      <c r="T218" s="315"/>
      <c r="U218" s="315"/>
      <c r="W218" s="149" t="str">
        <f t="shared" si="626"/>
        <v xml:space="preserve"> </v>
      </c>
      <c r="X218" s="243" t="str">
        <f t="shared" si="627"/>
        <v xml:space="preserve"> </v>
      </c>
      <c r="Y218" s="150" t="str">
        <f t="shared" si="628"/>
        <v/>
      </c>
      <c r="Z218" s="149" t="str">
        <f t="shared" si="629"/>
        <v xml:space="preserve"> </v>
      </c>
      <c r="AA218" s="98" t="str">
        <f t="shared" si="630"/>
        <v xml:space="preserve"> </v>
      </c>
      <c r="AB218" s="153" t="str">
        <f t="shared" si="631"/>
        <v xml:space="preserve"> </v>
      </c>
      <c r="AC218" s="153" t="str">
        <f t="shared" si="632"/>
        <v xml:space="preserve"> </v>
      </c>
      <c r="AD218" s="148" t="str">
        <f t="shared" si="633"/>
        <v/>
      </c>
      <c r="AE218" s="149" t="str">
        <f t="shared" si="634"/>
        <v/>
      </c>
      <c r="AF218" s="151" t="str">
        <f t="shared" si="635"/>
        <v xml:space="preserve"> </v>
      </c>
      <c r="AG218" s="153" t="str">
        <f t="shared" si="636"/>
        <v xml:space="preserve"> </v>
      </c>
      <c r="AH218" s="98" t="str">
        <f t="shared" si="637"/>
        <v xml:space="preserve"> </v>
      </c>
      <c r="AI218" s="149" t="str">
        <f t="shared" si="638"/>
        <v xml:space="preserve"> </v>
      </c>
      <c r="AK218" s="144" t="str">
        <f t="shared" si="639"/>
        <v xml:space="preserve"> </v>
      </c>
      <c r="AL218" s="144"/>
      <c r="AM218" s="243" t="str">
        <f t="shared" si="640"/>
        <v xml:space="preserve"> </v>
      </c>
      <c r="AN218" s="149" t="str">
        <f t="shared" si="743"/>
        <v xml:space="preserve"> </v>
      </c>
      <c r="AO218" s="144" t="str">
        <f>IF(JB218&gt;0,IF(GI218=10,-R218*1.085*(Calculation!$F$6-Calculation!$F$13)*$S$14," "),"")</f>
        <v/>
      </c>
      <c r="AP218" s="144" t="str">
        <f t="shared" si="641"/>
        <v/>
      </c>
      <c r="AQ218" s="56" t="str">
        <f t="shared" si="642"/>
        <v/>
      </c>
      <c r="AR218" s="144" t="str">
        <f t="shared" si="643"/>
        <v/>
      </c>
      <c r="AS218" s="176" t="str">
        <f t="shared" si="644"/>
        <v/>
      </c>
      <c r="AT218" s="176" t="str">
        <f t="shared" si="744"/>
        <v xml:space="preserve"> </v>
      </c>
      <c r="AU218" s="176" t="str">
        <f t="shared" si="645"/>
        <v/>
      </c>
      <c r="AV218" s="177" t="str">
        <f t="shared" si="646"/>
        <v xml:space="preserve"> </v>
      </c>
      <c r="AW218" s="144" t="str">
        <f t="shared" si="647"/>
        <v xml:space="preserve"> </v>
      </c>
      <c r="AX218" s="144" t="str">
        <f t="shared" si="648"/>
        <v xml:space="preserve"> </v>
      </c>
      <c r="AY218" s="152" t="str">
        <f t="shared" si="649"/>
        <v xml:space="preserve"> </v>
      </c>
      <c r="AZ218" s="246" t="str">
        <f t="shared" si="650"/>
        <v/>
      </c>
      <c r="BA218" s="176" t="str">
        <f t="shared" si="651"/>
        <v xml:space="preserve"> </v>
      </c>
      <c r="BB218" s="176" t="str">
        <f t="shared" si="652"/>
        <v xml:space="preserve"> </v>
      </c>
      <c r="BC218" s="195"/>
      <c r="BD218" s="316"/>
      <c r="BE218" s="317"/>
      <c r="BF218" s="318"/>
      <c r="BG218" s="318"/>
      <c r="BH218" s="144" t="str">
        <f t="shared" si="821"/>
        <v xml:space="preserve"> </v>
      </c>
      <c r="BI218" s="176" t="str">
        <f t="shared" si="653"/>
        <v/>
      </c>
      <c r="BJ218" s="144" t="str">
        <f t="shared" si="822"/>
        <v/>
      </c>
      <c r="BK218" s="246" t="str">
        <f t="shared" si="654"/>
        <v/>
      </c>
      <c r="BL218" s="144" t="str">
        <f t="shared" si="823"/>
        <v/>
      </c>
      <c r="BM218" s="246" t="str">
        <f t="shared" si="655"/>
        <v/>
      </c>
      <c r="BN218" s="337" t="str">
        <f t="shared" si="745"/>
        <v/>
      </c>
      <c r="BO218" s="371" t="str">
        <f t="shared" si="746"/>
        <v/>
      </c>
      <c r="BP218" s="328" t="str">
        <f t="shared" si="824"/>
        <v xml:space="preserve"> </v>
      </c>
      <c r="BQ218" s="347" t="str">
        <f t="shared" si="747"/>
        <v xml:space="preserve"> </v>
      </c>
      <c r="BR218" s="353" t="str">
        <f t="shared" si="748"/>
        <v xml:space="preserve"> </v>
      </c>
      <c r="BS218" s="626" t="str">
        <f>IF(L218&gt;0,IF(Calculation!P218="M13",BR218*3.1416*(0.134^2)/(4*144),IF(Calculation!P218="M17",BR218*3.1416*(0.165^2)/(4*144),IF(Calculation!P218="M20",BR218*3.1416*(0.198^2)/(4*144),IF(Calculation!P218="M23",BR218*3.1416*(0.228^2)/(4*144),IF(Calculation!P218="M27",BR218*3.1416*(0.269^2)/(4*144),BR218*3.1416*(0.307^2)/(4*144))))))," ")</f>
        <v xml:space="preserve"> </v>
      </c>
      <c r="BT218" s="353" t="str">
        <f>IF(L218&gt;0,IF(BS218&gt;0,R218/Calculation!BS218,0)," ")</f>
        <v xml:space="preserve"> </v>
      </c>
      <c r="BU218" s="438" t="e">
        <f t="shared" ca="1" si="656"/>
        <v>#VALUE!</v>
      </c>
      <c r="BV218" s="449" t="e">
        <f ca="1">INDEX(INDIRECT(VLOOKUP(LEFT(BO218,7),CLU!$Z$3:$AH$18,2)),GN218,GR218)</f>
        <v>#N/A</v>
      </c>
      <c r="BW218" s="433" t="e">
        <f ca="1">INDEX(INDIRECT(VLOOKUP(LEFT(BO218,7),CLU!$Z$3:$AH$18,3)),GN218,GR218)</f>
        <v>#N/A</v>
      </c>
      <c r="BX218" s="433" t="e">
        <f ca="1">INDEX(INDIRECT(VLOOKUP(LEFT(BO218,7),CLU!$Z$3:$AH$18,4)),GN218,GR218)</f>
        <v>#N/A</v>
      </c>
      <c r="BY218" s="433" t="e">
        <f ca="1">INDEX(INDIRECT(VLOOKUP(LEFT(BO218,7),CLU!$Z$3:$AH$18,9)),((M218-2)*(6-COUNTBLANK(GT218:GY218)))+GJ218)</f>
        <v>#N/A</v>
      </c>
      <c r="BZ218" s="426" t="e">
        <f t="shared" ca="1" si="749"/>
        <v>#N/A</v>
      </c>
      <c r="CA218" s="424" t="e">
        <f t="shared" ca="1" si="750"/>
        <v>#N/A</v>
      </c>
      <c r="CB218" s="429" t="e">
        <f ca="1">INDEX(INDIRECT(VLOOKUP(LEFT(BO218,7),CLU!$Z$3:$AH$18,2)),GN218,GS218)</f>
        <v>#N/A</v>
      </c>
      <c r="CC218" s="342" t="e">
        <f ca="1">INDEX(INDIRECT(VLOOKUP(LEFT(BO218,7),CLU!$Z$3:$AH$18,3)),GN218,GS218)</f>
        <v>#N/A</v>
      </c>
      <c r="CD218" s="342" t="e">
        <f ca="1">INDEX(INDIRECT(VLOOKUP(LEFT(BO218,7),CLU!$Z$3:$AH$18,4)),GN218,GS218)</f>
        <v>#N/A</v>
      </c>
      <c r="CE218" s="426" t="e">
        <f t="shared" ca="1" si="751"/>
        <v>#N/A</v>
      </c>
      <c r="CF218" s="440">
        <f t="shared" si="752"/>
        <v>0</v>
      </c>
      <c r="CG218" s="431" t="e">
        <f ca="1">INDEX(INDIRECT(VLOOKUP(LEFT(BO218,7),CLU!$Z$3:$AH$18,2)),GQ218,GR218)</f>
        <v>#N/A</v>
      </c>
      <c r="CH218" s="431" t="e">
        <f ca="1">INDEX(INDIRECT(VLOOKUP(LEFT(BO218,7),CLU!$Z$3:$AH$18,3)),GQ218,GR218)</f>
        <v>#N/A</v>
      </c>
      <c r="CI218" s="431" t="e">
        <f ca="1">INDEX(INDIRECT(VLOOKUP(LEFT(BO218,7),CLU!$Z$3:$AH$18,4)),GQ218,GR218)</f>
        <v>#N/A</v>
      </c>
      <c r="CJ218" s="448" t="e">
        <f t="shared" ca="1" si="753"/>
        <v>#N/A</v>
      </c>
      <c r="CK218" s="431" t="e">
        <f t="shared" ca="1" si="754"/>
        <v>#N/A</v>
      </c>
      <c r="CL218" s="440" t="e">
        <f t="shared" ca="1" si="755"/>
        <v>#N/A</v>
      </c>
      <c r="CM218" s="431" t="e">
        <f ca="1">INDEX(INDIRECT(VLOOKUP(LEFT(BO218,7),CLU!$Z$3:$AH$18,2)),GQ218,GS218)</f>
        <v>#N/A</v>
      </c>
      <c r="CN218" s="431" t="e">
        <f ca="1">INDEX(INDIRECT(VLOOKUP(LEFT(BO218,7),CLU!$Z$3:$AH$18,3)),GQ218,GS218)</f>
        <v>#N/A</v>
      </c>
      <c r="CO218" s="431" t="e">
        <f ca="1">INDEX(INDIRECT(VLOOKUP(LEFT(BO218,7),CLU!$Z$3:$AH$18,4)),GQ218,GS218)</f>
        <v>#N/A</v>
      </c>
      <c r="CP218" s="431" t="e">
        <f t="shared" ca="1" si="756"/>
        <v>#N/A</v>
      </c>
      <c r="CQ218" s="440">
        <f t="shared" si="757"/>
        <v>0</v>
      </c>
      <c r="CR218" s="51" t="e">
        <f t="shared" ca="1" si="758"/>
        <v>#N/A</v>
      </c>
      <c r="CS218" s="439" t="e">
        <f t="shared" ca="1" si="759"/>
        <v>#VALUE!</v>
      </c>
      <c r="CT218" s="51" t="e">
        <f t="shared" ca="1" si="760"/>
        <v>#VALUE!</v>
      </c>
      <c r="CU218" s="10"/>
      <c r="CV218" s="51" t="e">
        <f t="shared" ca="1" si="657"/>
        <v>#VALUE!</v>
      </c>
      <c r="CW218" s="51">
        <f t="shared" si="761"/>
        <v>0</v>
      </c>
      <c r="CX218" s="439" t="e">
        <f t="shared" ca="1" si="762"/>
        <v>#VALUE!</v>
      </c>
      <c r="CY218" s="51" t="e">
        <f t="shared" ca="1" si="763"/>
        <v>#VALUE!</v>
      </c>
      <c r="CZ218" s="10"/>
      <c r="DA218" s="51" t="e">
        <f t="shared" ca="1" si="764"/>
        <v>#VALUE!</v>
      </c>
      <c r="DB218" s="347" t="e">
        <f ca="1">INDEX(INDIRECT(VLOOKUP(LEFT(BO218,7),CLU!$Z$3:$AI$18,10)),((M218-2)*(6-COUNTBLANK(GT218:GY218)))+GJ218)*LI218</f>
        <v>#N/A</v>
      </c>
      <c r="DC218" s="347" t="str">
        <f>IF(L218&gt;0,((R218/Worksheet!$I$15)/DB218)^2," ")</f>
        <v xml:space="preserve"> </v>
      </c>
      <c r="DD218" s="602" t="str">
        <f t="shared" si="765"/>
        <v xml:space="preserve"> </v>
      </c>
      <c r="DE218" s="347" t="str">
        <f t="shared" si="658"/>
        <v xml:space="preserve"> </v>
      </c>
      <c r="DF218" s="356" t="e">
        <f ca="1">INDEX(INDIRECT(VLOOKUP(LEFT(BO218,7),CLU!$Z$3:$AH$18,8)),((M218-2)*(6-COUNTBLANK(GT218:GY218)))+GJ218)</f>
        <v>#N/A</v>
      </c>
      <c r="DG218" s="347" t="str">
        <f t="shared" si="659"/>
        <v xml:space="preserve"> </v>
      </c>
      <c r="DH218" s="357" t="str">
        <f t="shared" si="660"/>
        <v xml:space="preserve"> </v>
      </c>
      <c r="DI218" s="355" t="str">
        <f t="shared" si="661"/>
        <v xml:space="preserve"> </v>
      </c>
      <c r="DJ218" s="245" t="e">
        <f ca="1">INDEX(INDIRECT(VLOOKUP(LEFT(BO218,7),CLU!$Z$3:$AH$18,5)),GL218,GK218)</f>
        <v>#N/A</v>
      </c>
      <c r="DK218" s="245" t="e">
        <f ca="1">INDEX(INDIRECT(VLOOKUP(LEFT(BO218,7),CLU!$Z$3:$AH$18,6)),GL218,GK218)</f>
        <v>#N/A</v>
      </c>
      <c r="DL218" s="355">
        <f>(Calculation!R218*0.69143*(Calculation!$BQ$8-Calculation!$F$8))*$S$14</f>
        <v>0</v>
      </c>
      <c r="DM218" s="359" t="e">
        <f t="shared" si="766"/>
        <v>#VALUE!</v>
      </c>
      <c r="DN218" s="611">
        <f t="shared" si="767"/>
        <v>0</v>
      </c>
      <c r="DO218" s="359">
        <f t="shared" si="768"/>
        <v>100</v>
      </c>
      <c r="DP218" s="359">
        <f t="shared" si="769"/>
        <v>0</v>
      </c>
      <c r="DQ218" s="360"/>
      <c r="DR218" s="245" t="e">
        <f ca="1">INDEX(INDIRECT(VLOOKUP(LEFT(BO218,7),CLU!$Z$3:$AH$18,7)),M218-1,1)</f>
        <v>#N/A</v>
      </c>
      <c r="DS218" s="245" t="e">
        <f ca="1">INDEX(INDIRECT(VLOOKUP(LEFT(BO218,7),CLU!$Z$3:$AH$18,7)),M218-1,2)</f>
        <v>#N/A</v>
      </c>
      <c r="DT218" s="245" t="e">
        <f ca="1">INDEX(INDIRECT(VLOOKUP(LEFT(BO218,7),CLU!$Z$3:$AH$18,7)),M218-1,3)</f>
        <v>#N/A</v>
      </c>
      <c r="DU218" s="245" t="e">
        <f ca="1">INDEX(INDIRECT(VLOOKUP(LEFT(BO218,7),CLU!$Z$3:$AH$18,7)),M218-1,4)</f>
        <v>#N/A</v>
      </c>
      <c r="DV218" s="361" t="e">
        <f ca="1">INDEX(INDIRECT(VLOOKUP(LEFT(BO218,7),CLU!$Z$3:$AH$18,7)),M218-1,4+LEFT(DZ218,1)*0.5)</f>
        <v>#N/A</v>
      </c>
      <c r="DW218" s="245" t="e">
        <f ca="1">INDEX(INDIRECT(VLOOKUP(LEFT(BO218,7),CLU!$Z$3:$AH$18,7)),M218-1,8)</f>
        <v>#N/A</v>
      </c>
      <c r="DX218" s="361" t="str">
        <f t="shared" si="662"/>
        <v xml:space="preserve"> </v>
      </c>
      <c r="DY218" s="361" t="str">
        <f t="shared" si="663"/>
        <v xml:space="preserve"> </v>
      </c>
      <c r="DZ218" s="361" t="str">
        <f t="shared" si="664"/>
        <v xml:space="preserve"> </v>
      </c>
      <c r="EA218" s="362" t="str">
        <f t="shared" si="665"/>
        <v xml:space="preserve"> </v>
      </c>
      <c r="EB218" s="624" t="str">
        <f t="shared" si="770"/>
        <v xml:space="preserve"> </v>
      </c>
      <c r="EC218" s="361" t="e">
        <f ca="1">INDEX(INDIRECT(VLOOKUP(LEFT(BO218,7),CLU!$Z$3:$AH$18,7)),M218-1,4+LEFT(DZ218,1)*0.5)</f>
        <v>#N/A</v>
      </c>
      <c r="ED218" s="362" t="str">
        <f t="shared" si="666"/>
        <v xml:space="preserve"> </v>
      </c>
      <c r="EE218" s="361" t="str">
        <f t="shared" si="667"/>
        <v xml:space="preserve"> </v>
      </c>
      <c r="EF218" s="362" t="str">
        <f>IF(L218&gt;0,IF(BR218&gt;0,IF(EE218="2P",IF(Calculation!DZ218="2P",IF(Calculation!DS218=13.75,IF(Calculation!DR218=13,Worksheet!$BD$43,IF(Calculation!DR218=37,Worksheet!$BD$44,Worksheet!$BD$45)),IF(Calculation!DS218=10,IF(Calculation!DR218=18,Worksheet!$BD$29,IF(Calculation!DR218=30,Worksheet!$BD$30,IF(Calculation!DR218=42,Worksheet!$BD$31,IF(Calculation!DR218=54,Worksheet!$BD$32,IF(Calculation!DR218=66,Worksheet!$BD$33,IF(Calculation!DR218=78,Worksheet!$BD$34,IF(Calculation!DR218=90,Worksheet!$BD$35,IF(Calculation!DR218=102,Worksheet!$BD$36,Worksheet!$BD$37)))))))),IF(Calculation!DS218=12.5,IF(Calculation!DR218=18,Worksheet!$BD$38,IF(Calculation!DR218=Worksheet!$BD$39,IF(Calculation!DR218=42,Worksheet!$BD$40,IF(Calculation!DR218=54,Worksheet!$BD$41,Worksheet!$BD$42)))),IF(Calculation!DR218=18,Worksheet!$BD$11,IF(Calculation!DR218=30,Worksheet!$BD$12,IF(Calculation!DR218=42,Worksheet!$BD$13,IF(Calculation!DR218=54,Worksheet!$BD$14,IF(Calculation!DR218=66,Worksheet!$BD$15,IF(Calculation!DR218=78,Worksheet!$BD$16,IF(Calculation!DR218=90,Worksheet!$BD$17,IF(Calculation!DR218=102,Worksheet!$BD$18,Worksheet!$BD$19))))))))))),IF(Calculation!DS218=13.75,IF(Calculation!DR218=13,Worksheet!$BD$78,IF(Calculation!DR218=37,Worksheet!$BD$79,Worksheet!$BD$80)),IF(Calculation!DS218=10,IF(Calculation!DR218=18,Worksheet!$BD$64,IF(Calculation!DR218=30,Worksheet!$BD$65,IF(Calculation!DR218=42,Worksheet!$BD$66,IF(Calculation!DR218=54,Worksheet!$BD$68,IF(Calculation!DR218=66,Worksheet!$BD$68,IF(Calculation!DR218=78,Worksheet!$BD$69,IF(Calculation!DR218=90,Worksheet!$BD$70,IF(Calculation!DR218=102,Worksheet!$BD$71,Worksheet!$BD$72)))))))),IF(Calculation!DS218=12.5,IF(Calculation!DR218=18,Worksheet!$BD$73,IF(Calculation!DR218=Worksheet!$BD$74,IF(Calculation!DR218=42,Worksheet!$BD$75,IF(Calculation!DR218=54,Worksheet!$BD$76,Worksheet!$BD$77)))),IF(Calculation!DR218=18,Worksheet!$BD$55,IF(Calculation!DR218=30,Worksheet!$BD$56,IF(Calculation!DR218=42,Worksheet!$BD$57,IF(Calculation!DR218=54,Worksheet!$BD$58,IF(Calculation!DR218=66,Worksheet!$BD$59,IF(Calculation!DR218=78,Worksheet!$BD$60,IF(Calculation!DR218=90,Worksheet!$BD$61,IF(Calculation!DR218=102,Worksheet!$BD$62,Worksheet!$BD$63)))))))))))),5),0)," ")</f>
        <v xml:space="preserve"> </v>
      </c>
      <c r="EG218" s="361" t="str">
        <f t="shared" si="668"/>
        <v xml:space="preserve"> </v>
      </c>
      <c r="EH218" s="361" t="e">
        <f ca="1">INDEX(INDIRECT(VLOOKUP(LEFT(BO218,7),CLU!$Z$3:$AH$18,7)),M218-1,3+LEFT(DZ218,1))</f>
        <v>#N/A</v>
      </c>
      <c r="EI218" s="362" t="str">
        <f t="shared" si="669"/>
        <v xml:space="preserve"> </v>
      </c>
      <c r="EJ218" s="363" t="str">
        <f t="shared" si="670"/>
        <v xml:space="preserve"> </v>
      </c>
      <c r="EK218" s="363" t="str">
        <f t="shared" si="671"/>
        <v xml:space="preserve"> </v>
      </c>
      <c r="EL218" s="363" t="str">
        <f t="shared" si="672"/>
        <v xml:space="preserve"> </v>
      </c>
      <c r="EM218" s="362" t="str">
        <f>IF(L218&gt;0,IF(BR218&gt;0,(Calculation!T218/ED218)^2,0)," ")</f>
        <v xml:space="preserve"> </v>
      </c>
      <c r="EN218" s="362" t="str">
        <f>IF(L218&gt;0,IF(O218="2 Pipe (Cooling)","N/A",IF(BR218&gt;0,(Calculation!U218/EI218)^2,0))," ")</f>
        <v xml:space="preserve"> </v>
      </c>
      <c r="EO218" s="361" t="str">
        <f t="shared" si="673"/>
        <v/>
      </c>
      <c r="EP218" s="361" t="str">
        <f t="shared" si="674"/>
        <v/>
      </c>
      <c r="EQ218" s="361" t="str">
        <f t="shared" si="675"/>
        <v/>
      </c>
      <c r="ER218" s="361" t="str">
        <f t="shared" si="676"/>
        <v/>
      </c>
      <c r="ES218" s="361" t="str">
        <f t="shared" si="677"/>
        <v/>
      </c>
      <c r="ET218" s="361" t="str">
        <f t="shared" si="678"/>
        <v/>
      </c>
      <c r="EU218" s="361" t="str">
        <f t="shared" si="679"/>
        <v/>
      </c>
      <c r="EV218" s="361" t="str">
        <f t="shared" si="680"/>
        <v/>
      </c>
      <c r="EW218" s="361" t="str">
        <f t="shared" si="681"/>
        <v/>
      </c>
      <c r="EX218" s="361" t="str">
        <f t="shared" si="771"/>
        <v>1 slot, 1 way</v>
      </c>
      <c r="EY218" s="361" t="str">
        <f t="shared" si="772"/>
        <v xml:space="preserve"> </v>
      </c>
      <c r="EZ218" s="361" t="str">
        <f t="shared" si="773"/>
        <v xml:space="preserve"> </v>
      </c>
      <c r="FA218" s="361" t="str">
        <f t="shared" si="774"/>
        <v xml:space="preserve"> </v>
      </c>
      <c r="FB218" s="361" t="str">
        <f t="shared" si="775"/>
        <v xml:space="preserve"> </v>
      </c>
      <c r="FC218" s="361"/>
      <c r="FD218" s="361" t="str">
        <f>IF(J218&gt;0,IF(Calculation!R218&lt;=70,4,IF(Calculation!R218&lt;=110,5,IF(Calculation!R218&lt;=160,6,IF(Calculation!R218&lt;=300,8,"10 EO")))),"")</f>
        <v/>
      </c>
      <c r="FE218" s="361" t="str">
        <f t="shared" si="776"/>
        <v/>
      </c>
      <c r="FF218" s="361" t="str">
        <f t="shared" si="777"/>
        <v/>
      </c>
      <c r="FG218" s="361" t="e">
        <f t="shared" si="682"/>
        <v>#N/A</v>
      </c>
      <c r="FH218" s="361">
        <f t="shared" si="683"/>
        <v>0</v>
      </c>
      <c r="FI218" s="361" t="e">
        <f t="shared" si="684"/>
        <v>#DIV/0!</v>
      </c>
      <c r="FJ218" s="361"/>
      <c r="FK218" s="356" t="e">
        <f t="shared" si="685"/>
        <v>#VALUE!</v>
      </c>
      <c r="FL218" s="361"/>
      <c r="FM218" s="361"/>
      <c r="FN218" s="362" t="str">
        <f t="shared" si="778"/>
        <v xml:space="preserve"> </v>
      </c>
      <c r="FO218" s="362" t="str">
        <f t="shared" si="779"/>
        <v xml:space="preserve"> </v>
      </c>
      <c r="FP218" s="362">
        <f t="shared" si="780"/>
        <v>0</v>
      </c>
      <c r="FQ218" s="361">
        <f t="shared" si="686"/>
        <v>0</v>
      </c>
      <c r="FR218" s="362" t="str">
        <f>IF(L218&gt;0,IF(J218="CBAL2",Worksheet!$P$67,IF(J218="CBE2-24",Worksheet!$Q$67,IF(J218="CBAM",Worksheet!$R$67,IF(J218="CBLV",Worksheet!$S$67,IF(J218="CBAB",Worksheet!$U$67,IF(J218="CBAW",Worksheet!$X$67,IF(J218="CBE2-12",Worksheet!$Y$67,IF(J218="CBAL2",Worksheet!$Z$67,"N/A"))))))))," ")</f>
        <v xml:space="preserve"> </v>
      </c>
      <c r="FS218" s="362" t="str">
        <f>IF(L218&gt;0,IF(J218="CBAL2",Worksheet!$P$68,IF(J218="CBE2-24",Worksheet!$Q$68,IF(J218="CBAM",Worksheet!$R$68,IF(J218="CBLV",Worksheet!$S$68,IF(J218="CBAB",Worksheet!$U$68,IF(J218="CBAW",Worksheet!$X$68,IF(J218="CBE2-12",Worksheet!$Y$68,IF(J218="CBAL2",Worksheet!$Z$68,"N/A"))))))))," ")</f>
        <v xml:space="preserve"> </v>
      </c>
      <c r="FT218" s="362" t="str">
        <f>IF(L218&gt;0,IF(J218="CBAL2",Worksheet!$P$69,IF(J218="CBE2-24",Worksheet!$Q$69,IF(J218="CBAM",Worksheet!$R$69,IF(J218="CBLV",Worksheet!$S$69,IF(J218="CBAB",Worksheet!$U$69,IF(J218="CBAW",Worksheet!$X$69,IF(J218="CBE2-12",Worksheet!$Y$69,IF(J218="CBAL2",Worksheet!$Z$69,"N/A"))))))))," ")</f>
        <v xml:space="preserve"> </v>
      </c>
      <c r="FU218" s="361" t="str">
        <f t="shared" si="781"/>
        <v xml:space="preserve"> </v>
      </c>
      <c r="FV218" s="362" t="str">
        <f t="shared" si="782"/>
        <v xml:space="preserve"> </v>
      </c>
      <c r="FW218" s="362" t="str">
        <f t="shared" si="783"/>
        <v xml:space="preserve"> </v>
      </c>
      <c r="FX218" s="362" t="str">
        <f t="shared" si="784"/>
        <v xml:space="preserve"> </v>
      </c>
      <c r="FY218" s="355" t="str">
        <f t="shared" si="785"/>
        <v xml:space="preserve"> </v>
      </c>
      <c r="FZ218" s="361" t="str">
        <f t="shared" si="786"/>
        <v xml:space="preserve"> </v>
      </c>
      <c r="GA218" s="347" t="str">
        <f t="shared" si="787"/>
        <v xml:space="preserve"> </v>
      </c>
      <c r="GB218" s="355" t="str">
        <f t="shared" si="788"/>
        <v xml:space="preserve"> </v>
      </c>
      <c r="GC218" s="328" t="str">
        <f t="shared" si="789"/>
        <v xml:space="preserve"> </v>
      </c>
      <c r="GD218" s="361" t="str">
        <f t="shared" si="790"/>
        <v xml:space="preserve"> </v>
      </c>
      <c r="GE218" s="347" t="str">
        <f t="shared" si="791"/>
        <v xml:space="preserve"> </v>
      </c>
      <c r="GF218" s="361" t="str">
        <f t="shared" si="792"/>
        <v xml:space="preserve"> </v>
      </c>
      <c r="GG218" s="347" t="str">
        <f t="shared" si="793"/>
        <v xml:space="preserve"> </v>
      </c>
      <c r="GH218" s="364">
        <f t="shared" si="687"/>
        <v>0</v>
      </c>
      <c r="GI218" s="362">
        <f t="shared" si="794"/>
        <v>2</v>
      </c>
      <c r="GJ218" s="433" t="e">
        <f>IF(6-COUNTBLANK(GT218:GY218)=4,MATCH(MID(BO218,9,3),CLU!$H$16:$K$16),MATCH(MID(BO218,9,3),CLU!$H$13:$M$13))</f>
        <v>#N/A</v>
      </c>
      <c r="GK218" s="433" t="e">
        <f>HLOOKUP(VALUE(BP218),CLU!$H$9:$M$10,2)</f>
        <v>#VALUE!</v>
      </c>
      <c r="GL218" s="433" t="e">
        <f ca="1">MATCH(BU218,CLU!$H$2:$V$2,1)</f>
        <v>#VALUE!</v>
      </c>
      <c r="GM218" s="433" t="e">
        <f t="shared" ca="1" si="795"/>
        <v>#VALUE!</v>
      </c>
      <c r="GN218" s="433" t="e">
        <f t="shared" ca="1" si="796"/>
        <v>#VALUE!</v>
      </c>
      <c r="GO218" s="433" t="e">
        <f t="shared" ca="1" si="797"/>
        <v>#VALUE!</v>
      </c>
      <c r="GP218" s="433" t="e">
        <f t="shared" ca="1" si="798"/>
        <v>#VALUE!</v>
      </c>
      <c r="GQ218" s="433" t="e">
        <f t="shared" ca="1" si="799"/>
        <v>#VALUE!</v>
      </c>
      <c r="GR218" s="433" t="e">
        <f ca="1">MATCH(T218,INDIRECT(VLOOKUP(CONCATENATE(LEFT(BO218,7),"-",MID(BO218,13,1)),CLU!$P$3:$Q$16,2)),1)</f>
        <v>#N/A</v>
      </c>
      <c r="GS218" s="433" t="e">
        <f ca="1">MATCH(U218,INDIRECT(VLOOKUP(CONCATENATE(LEFT(BO218,7),"-",MID(BO218,13,1)),CLU!$P$3:$Q$16,2)),1)</f>
        <v>#N/A</v>
      </c>
      <c r="GT218" s="347" t="s">
        <v>512</v>
      </c>
      <c r="GU218" s="97" t="s">
        <v>513</v>
      </c>
      <c r="GV218" s="97" t="str">
        <f t="shared" si="800"/>
        <v>M23</v>
      </c>
      <c r="GW218" s="97" t="str">
        <f t="shared" si="801"/>
        <v>M31</v>
      </c>
      <c r="GX218" s="97" t="str">
        <f t="shared" si="802"/>
        <v/>
      </c>
      <c r="GY218" s="97" t="str">
        <f t="shared" si="803"/>
        <v/>
      </c>
      <c r="GZ218" s="481"/>
      <c r="HA218" s="288"/>
      <c r="HB218" s="240"/>
      <c r="HC218" s="240"/>
      <c r="HD218" s="240"/>
      <c r="HE218" s="240"/>
      <c r="HF218" s="240"/>
      <c r="HG218" s="240"/>
      <c r="HH218" s="240"/>
      <c r="HI218" s="240"/>
      <c r="HJ218" s="240"/>
      <c r="HK218" s="240"/>
      <c r="HL218" s="240"/>
      <c r="HM218" s="240"/>
      <c r="HN218" s="240"/>
      <c r="HO218" s="240"/>
      <c r="HP218" s="240"/>
      <c r="HQ218" s="240"/>
      <c r="HR218" s="240"/>
      <c r="HS218" s="240"/>
      <c r="HT218" s="240"/>
      <c r="HU218" s="240"/>
      <c r="HV218" s="245"/>
      <c r="HW218" s="245" t="b">
        <v>1</v>
      </c>
      <c r="HX218" s="245" t="str">
        <f t="shared" si="688"/>
        <v/>
      </c>
      <c r="HY218" s="245" t="e">
        <f t="shared" si="689"/>
        <v>#DIV/0!</v>
      </c>
      <c r="HZ218" s="245" t="e">
        <f t="shared" si="690"/>
        <v>#DIV/0!</v>
      </c>
      <c r="IA218" s="245">
        <f t="shared" si="691"/>
        <v>0</v>
      </c>
      <c r="IB218" s="245"/>
      <c r="IC218" t="b">
        <f t="shared" si="692"/>
        <v>1</v>
      </c>
      <c r="ID218" s="245" t="b">
        <f t="shared" si="693"/>
        <v>1</v>
      </c>
      <c r="IE218" s="245" t="b">
        <f t="shared" si="694"/>
        <v>1</v>
      </c>
      <c r="IF218" s="245" t="b">
        <f t="shared" si="695"/>
        <v>0</v>
      </c>
      <c r="IG218" s="245" t="b">
        <f t="shared" si="696"/>
        <v>1</v>
      </c>
      <c r="IH218" s="245" t="b">
        <f t="shared" si="697"/>
        <v>1</v>
      </c>
      <c r="II218" s="245">
        <f t="shared" si="804"/>
        <v>0</v>
      </c>
      <c r="IJ218" s="245" t="e">
        <f t="shared" si="698"/>
        <v>#VALUE!</v>
      </c>
      <c r="IK218" s="245" t="e">
        <f t="shared" si="699"/>
        <v>#VALUE!</v>
      </c>
      <c r="IL218" s="245"/>
      <c r="IM218" s="245" t="e">
        <f t="shared" si="805"/>
        <v>#N/A</v>
      </c>
      <c r="IN218" s="245" t="e">
        <f t="shared" si="806"/>
        <v>#N/A</v>
      </c>
      <c r="IO218" s="245"/>
      <c r="IP218" s="245"/>
      <c r="IQ218" s="245" t="str">
        <f t="shared" si="700"/>
        <v/>
      </c>
      <c r="IR218" s="245" t="str">
        <f>IF(J218="","",VLOOKUP(J218,Worksheet!$R$4:$T$14,2))</f>
        <v/>
      </c>
      <c r="IS218" s="245"/>
      <c r="IT218" s="245">
        <f t="shared" si="701"/>
        <v>0</v>
      </c>
      <c r="IU218" s="245">
        <f t="shared" si="702"/>
        <v>0</v>
      </c>
      <c r="IV218" s="245">
        <f t="shared" si="703"/>
        <v>0</v>
      </c>
      <c r="IW218" s="245">
        <f t="shared" si="704"/>
        <v>0</v>
      </c>
      <c r="IX218" s="245">
        <f t="shared" si="807"/>
        <v>0</v>
      </c>
      <c r="IY218" s="245">
        <f t="shared" si="705"/>
        <v>0</v>
      </c>
      <c r="IZ218" s="245">
        <f t="shared" si="706"/>
        <v>0</v>
      </c>
      <c r="JA218">
        <f t="shared" si="707"/>
        <v>0</v>
      </c>
      <c r="JB218">
        <f t="shared" si="808"/>
        <v>0</v>
      </c>
      <c r="JC218">
        <f t="shared" si="708"/>
        <v>0</v>
      </c>
      <c r="JD218">
        <f t="shared" si="709"/>
        <v>0</v>
      </c>
      <c r="JE218">
        <f t="shared" si="710"/>
        <v>0</v>
      </c>
      <c r="JF218">
        <f t="shared" si="711"/>
        <v>0</v>
      </c>
      <c r="JG218">
        <f t="shared" si="712"/>
        <v>0</v>
      </c>
      <c r="JH218">
        <f t="shared" si="713"/>
        <v>0</v>
      </c>
      <c r="JI218">
        <f t="shared" si="714"/>
        <v>0</v>
      </c>
      <c r="JJ218" s="447">
        <f t="shared" si="715"/>
        <v>0</v>
      </c>
      <c r="JK218" s="447">
        <f t="shared" si="716"/>
        <v>0</v>
      </c>
      <c r="JL218">
        <f t="shared" si="717"/>
        <v>0</v>
      </c>
      <c r="JM218" s="245" t="str">
        <f>IFERROR(VLOOKUP(MATCH(BN218,#REF!,0),#REF!,7),"")</f>
        <v/>
      </c>
      <c r="JN218" t="e">
        <f>HLOOKUP(LEFT(BO218,7),Discharge_Area,MATCH(JO218,LookUps!$B$130:$B$149,1)+2)</f>
        <v>#N/A</v>
      </c>
      <c r="JO218" t="str">
        <f t="shared" si="718"/>
        <v>- S</v>
      </c>
      <c r="JP218" t="e">
        <f>HLOOKUP(LEFT(BO218,7),Discharge_Area,MATCH(JO218,LookUps!$B$130:$B$149,1)+2)</f>
        <v>#N/A</v>
      </c>
      <c r="JQ218" t="e">
        <f t="shared" si="719"/>
        <v>#N/A</v>
      </c>
      <c r="JR218" t="e">
        <f t="shared" si="720"/>
        <v>#N/A</v>
      </c>
      <c r="JS218" t="e">
        <f t="shared" si="721"/>
        <v>#N/A</v>
      </c>
      <c r="JT218" s="532" t="str">
        <f t="shared" si="722"/>
        <v xml:space="preserve"> </v>
      </c>
      <c r="JU218" s="532" t="str">
        <f t="shared" si="723"/>
        <v xml:space="preserve"> </v>
      </c>
      <c r="JV218" s="533" t="str">
        <f t="shared" si="724"/>
        <v xml:space="preserve"> </v>
      </c>
      <c r="JW218" s="534">
        <f t="shared" si="725"/>
        <v>0</v>
      </c>
      <c r="JX218" s="535" t="str">
        <f t="shared" si="809"/>
        <v xml:space="preserve"> </v>
      </c>
      <c r="JY218" s="535" t="str">
        <f t="shared" si="810"/>
        <v xml:space="preserve"> </v>
      </c>
      <c r="JZ218" s="535" t="str">
        <f t="shared" si="811"/>
        <v xml:space="preserve"> </v>
      </c>
      <c r="KA218" s="536" t="str">
        <f t="shared" si="726"/>
        <v xml:space="preserve"> </v>
      </c>
      <c r="KB218" s="535" t="e">
        <f t="shared" si="812"/>
        <v>#VALUE!</v>
      </c>
      <c r="KC218" s="535" t="str">
        <f t="shared" si="727"/>
        <v/>
      </c>
      <c r="KD218" s="537" t="str">
        <f t="shared" si="813"/>
        <v xml:space="preserve"> </v>
      </c>
      <c r="KE218" s="537" t="str">
        <f t="shared" si="814"/>
        <v xml:space="preserve"> </v>
      </c>
      <c r="KF218" s="534">
        <f t="shared" si="728"/>
        <v>0</v>
      </c>
      <c r="KG218" s="535" t="str">
        <f t="shared" si="729"/>
        <v xml:space="preserve"> </v>
      </c>
      <c r="KH218" s="535" t="str">
        <f t="shared" si="730"/>
        <v xml:space="preserve"> </v>
      </c>
      <c r="KI218" s="535" t="str">
        <f t="shared" si="731"/>
        <v xml:space="preserve"> </v>
      </c>
      <c r="KJ218" s="536" t="str">
        <f t="shared" si="732"/>
        <v xml:space="preserve"> </v>
      </c>
      <c r="KK218" s="535" t="str">
        <f t="shared" si="815"/>
        <v xml:space="preserve"> </v>
      </c>
      <c r="KL218" s="535" t="str">
        <f t="shared" si="816"/>
        <v xml:space="preserve"> </v>
      </c>
      <c r="KM218" s="537" t="str">
        <f t="shared" si="733"/>
        <v xml:space="preserve"> </v>
      </c>
      <c r="KN218" s="537" t="str">
        <f t="shared" si="817"/>
        <v xml:space="preserve"> </v>
      </c>
      <c r="KP218">
        <f t="shared" si="734"/>
        <v>0</v>
      </c>
      <c r="LA218" t="e">
        <f t="shared" si="735"/>
        <v>#VALUE!</v>
      </c>
      <c r="LB218" t="e">
        <f t="shared" si="736"/>
        <v>#VALUE!</v>
      </c>
      <c r="LC218" t="e">
        <f t="shared" si="737"/>
        <v>#VALUE!</v>
      </c>
      <c r="LD218" t="e">
        <f t="shared" si="738"/>
        <v>#VALUE!</v>
      </c>
      <c r="LE218" t="e">
        <f t="shared" si="818"/>
        <v>#VALUE!</v>
      </c>
      <c r="LF218">
        <f t="shared" si="739"/>
        <v>0</v>
      </c>
      <c r="LG218" t="e">
        <f t="shared" si="819"/>
        <v>#VALUE!</v>
      </c>
      <c r="LH218" t="str">
        <f t="shared" si="740"/>
        <v xml:space="preserve"> </v>
      </c>
      <c r="LI218">
        <f t="shared" si="820"/>
        <v>1</v>
      </c>
    </row>
    <row r="219" spans="2:321" ht="15" customHeight="1">
      <c r="B219" s="311"/>
      <c r="C219" s="311"/>
      <c r="D219" s="312"/>
      <c r="E219" s="311"/>
      <c r="F219" s="312"/>
      <c r="G219" s="311"/>
      <c r="H219" s="311"/>
      <c r="I219" s="232"/>
      <c r="J219" s="311"/>
      <c r="K219" s="305" t="str">
        <f t="shared" si="741"/>
        <v/>
      </c>
      <c r="L219" s="313"/>
      <c r="M219" s="312"/>
      <c r="N219" s="311"/>
      <c r="O219" s="312"/>
      <c r="P219" s="311"/>
      <c r="Q219" s="305" t="str">
        <f t="shared" si="742"/>
        <v/>
      </c>
      <c r="R219" s="314"/>
      <c r="S219" s="450" t="str">
        <f t="shared" si="625"/>
        <v/>
      </c>
      <c r="T219" s="315"/>
      <c r="U219" s="315"/>
      <c r="W219" s="149" t="str">
        <f t="shared" si="626"/>
        <v xml:space="preserve"> </v>
      </c>
      <c r="X219" s="243" t="str">
        <f t="shared" si="627"/>
        <v xml:space="preserve"> </v>
      </c>
      <c r="Y219" s="150" t="str">
        <f t="shared" si="628"/>
        <v/>
      </c>
      <c r="Z219" s="149" t="str">
        <f t="shared" si="629"/>
        <v xml:space="preserve"> </v>
      </c>
      <c r="AA219" s="98" t="str">
        <f t="shared" si="630"/>
        <v xml:space="preserve"> </v>
      </c>
      <c r="AB219" s="153" t="str">
        <f t="shared" si="631"/>
        <v xml:space="preserve"> </v>
      </c>
      <c r="AC219" s="153" t="str">
        <f t="shared" si="632"/>
        <v xml:space="preserve"> </v>
      </c>
      <c r="AD219" s="148" t="str">
        <f t="shared" si="633"/>
        <v/>
      </c>
      <c r="AE219" s="149" t="str">
        <f t="shared" si="634"/>
        <v/>
      </c>
      <c r="AF219" s="151" t="str">
        <f t="shared" si="635"/>
        <v xml:space="preserve"> </v>
      </c>
      <c r="AG219" s="153" t="str">
        <f t="shared" si="636"/>
        <v xml:space="preserve"> </v>
      </c>
      <c r="AH219" s="98" t="str">
        <f t="shared" si="637"/>
        <v xml:space="preserve"> </v>
      </c>
      <c r="AI219" s="149" t="str">
        <f t="shared" si="638"/>
        <v xml:space="preserve"> </v>
      </c>
      <c r="AK219" s="144" t="str">
        <f t="shared" si="639"/>
        <v xml:space="preserve"> </v>
      </c>
      <c r="AL219" s="144"/>
      <c r="AM219" s="243" t="str">
        <f t="shared" si="640"/>
        <v xml:space="preserve"> </v>
      </c>
      <c r="AN219" s="149" t="str">
        <f t="shared" si="743"/>
        <v xml:space="preserve"> </v>
      </c>
      <c r="AO219" s="144" t="str">
        <f>IF(JB219&gt;0,IF(GI219=10,-R219*1.085*(Calculation!$F$6-Calculation!$F$13)*$S$14," "),"")</f>
        <v/>
      </c>
      <c r="AP219" s="144" t="str">
        <f t="shared" si="641"/>
        <v/>
      </c>
      <c r="AQ219" s="56" t="str">
        <f t="shared" si="642"/>
        <v/>
      </c>
      <c r="AR219" s="144" t="str">
        <f t="shared" si="643"/>
        <v/>
      </c>
      <c r="AS219" s="176" t="str">
        <f t="shared" si="644"/>
        <v/>
      </c>
      <c r="AT219" s="176" t="str">
        <f t="shared" si="744"/>
        <v xml:space="preserve"> </v>
      </c>
      <c r="AU219" s="176" t="str">
        <f t="shared" si="645"/>
        <v/>
      </c>
      <c r="AV219" s="177" t="str">
        <f t="shared" si="646"/>
        <v xml:space="preserve"> </v>
      </c>
      <c r="AW219" s="144" t="str">
        <f t="shared" si="647"/>
        <v xml:space="preserve"> </v>
      </c>
      <c r="AX219" s="144" t="str">
        <f t="shared" si="648"/>
        <v xml:space="preserve"> </v>
      </c>
      <c r="AY219" s="152" t="str">
        <f t="shared" si="649"/>
        <v xml:space="preserve"> </v>
      </c>
      <c r="AZ219" s="246" t="str">
        <f t="shared" si="650"/>
        <v/>
      </c>
      <c r="BA219" s="176" t="str">
        <f t="shared" si="651"/>
        <v xml:space="preserve"> </v>
      </c>
      <c r="BB219" s="176" t="str">
        <f t="shared" si="652"/>
        <v xml:space="preserve"> </v>
      </c>
      <c r="BC219" s="195"/>
      <c r="BD219" s="316"/>
      <c r="BE219" s="317"/>
      <c r="BF219" s="318"/>
      <c r="BG219" s="318"/>
      <c r="BH219" s="144" t="str">
        <f t="shared" si="821"/>
        <v xml:space="preserve"> </v>
      </c>
      <c r="BI219" s="176" t="str">
        <f t="shared" si="653"/>
        <v/>
      </c>
      <c r="BJ219" s="144" t="str">
        <f t="shared" si="822"/>
        <v/>
      </c>
      <c r="BK219" s="246" t="str">
        <f t="shared" si="654"/>
        <v/>
      </c>
      <c r="BL219" s="144" t="str">
        <f t="shared" si="823"/>
        <v/>
      </c>
      <c r="BM219" s="246" t="str">
        <f t="shared" si="655"/>
        <v/>
      </c>
      <c r="BN219" s="337" t="str">
        <f t="shared" si="745"/>
        <v/>
      </c>
      <c r="BO219" s="371" t="str">
        <f t="shared" si="746"/>
        <v/>
      </c>
      <c r="BP219" s="328" t="str">
        <f t="shared" si="824"/>
        <v xml:space="preserve"> </v>
      </c>
      <c r="BQ219" s="347" t="str">
        <f t="shared" si="747"/>
        <v xml:space="preserve"> </v>
      </c>
      <c r="BR219" s="353" t="str">
        <f t="shared" si="748"/>
        <v xml:space="preserve"> </v>
      </c>
      <c r="BS219" s="626" t="str">
        <f>IF(L219&gt;0,IF(Calculation!P219="M13",BR219*3.1416*(0.134^2)/(4*144),IF(Calculation!P219="M17",BR219*3.1416*(0.165^2)/(4*144),IF(Calculation!P219="M20",BR219*3.1416*(0.198^2)/(4*144),IF(Calculation!P219="M23",BR219*3.1416*(0.228^2)/(4*144),IF(Calculation!P219="M27",BR219*3.1416*(0.269^2)/(4*144),BR219*3.1416*(0.307^2)/(4*144))))))," ")</f>
        <v xml:space="preserve"> </v>
      </c>
      <c r="BT219" s="353" t="str">
        <f>IF(L219&gt;0,IF(BS219&gt;0,R219/Calculation!BS219,0)," ")</f>
        <v xml:space="preserve"> </v>
      </c>
      <c r="BU219" s="438" t="e">
        <f t="shared" ca="1" si="656"/>
        <v>#VALUE!</v>
      </c>
      <c r="BV219" s="449" t="e">
        <f ca="1">INDEX(INDIRECT(VLOOKUP(LEFT(BO219,7),CLU!$Z$3:$AH$18,2)),GN219,GR219)</f>
        <v>#N/A</v>
      </c>
      <c r="BW219" s="433" t="e">
        <f ca="1">INDEX(INDIRECT(VLOOKUP(LEFT(BO219,7),CLU!$Z$3:$AH$18,3)),GN219,GR219)</f>
        <v>#N/A</v>
      </c>
      <c r="BX219" s="433" t="e">
        <f ca="1">INDEX(INDIRECT(VLOOKUP(LEFT(BO219,7),CLU!$Z$3:$AH$18,4)),GN219,GR219)</f>
        <v>#N/A</v>
      </c>
      <c r="BY219" s="433" t="e">
        <f ca="1">INDEX(INDIRECT(VLOOKUP(LEFT(BO219,7),CLU!$Z$3:$AH$18,9)),((M219-2)*(6-COUNTBLANK(GT219:GY219)))+GJ219)</f>
        <v>#N/A</v>
      </c>
      <c r="BZ219" s="426" t="e">
        <f t="shared" ca="1" si="749"/>
        <v>#N/A</v>
      </c>
      <c r="CA219" s="424" t="e">
        <f t="shared" ca="1" si="750"/>
        <v>#N/A</v>
      </c>
      <c r="CB219" s="429" t="e">
        <f ca="1">INDEX(INDIRECT(VLOOKUP(LEFT(BO219,7),CLU!$Z$3:$AH$18,2)),GN219,GS219)</f>
        <v>#N/A</v>
      </c>
      <c r="CC219" s="342" t="e">
        <f ca="1">INDEX(INDIRECT(VLOOKUP(LEFT(BO219,7),CLU!$Z$3:$AH$18,3)),GN219,GS219)</f>
        <v>#N/A</v>
      </c>
      <c r="CD219" s="342" t="e">
        <f ca="1">INDEX(INDIRECT(VLOOKUP(LEFT(BO219,7),CLU!$Z$3:$AH$18,4)),GN219,GS219)</f>
        <v>#N/A</v>
      </c>
      <c r="CE219" s="426" t="e">
        <f t="shared" ca="1" si="751"/>
        <v>#N/A</v>
      </c>
      <c r="CF219" s="440">
        <f t="shared" si="752"/>
        <v>0</v>
      </c>
      <c r="CG219" s="431" t="e">
        <f ca="1">INDEX(INDIRECT(VLOOKUP(LEFT(BO219,7),CLU!$Z$3:$AH$18,2)),GQ219,GR219)</f>
        <v>#N/A</v>
      </c>
      <c r="CH219" s="431" t="e">
        <f ca="1">INDEX(INDIRECT(VLOOKUP(LEFT(BO219,7),CLU!$Z$3:$AH$18,3)),GQ219,GR219)</f>
        <v>#N/A</v>
      </c>
      <c r="CI219" s="431" t="e">
        <f ca="1">INDEX(INDIRECT(VLOOKUP(LEFT(BO219,7),CLU!$Z$3:$AH$18,4)),GQ219,GR219)</f>
        <v>#N/A</v>
      </c>
      <c r="CJ219" s="448" t="e">
        <f t="shared" ca="1" si="753"/>
        <v>#N/A</v>
      </c>
      <c r="CK219" s="431" t="e">
        <f t="shared" ca="1" si="754"/>
        <v>#N/A</v>
      </c>
      <c r="CL219" s="440" t="e">
        <f t="shared" ca="1" si="755"/>
        <v>#N/A</v>
      </c>
      <c r="CM219" s="431" t="e">
        <f ca="1">INDEX(INDIRECT(VLOOKUP(LEFT(BO219,7),CLU!$Z$3:$AH$18,2)),GQ219,GS219)</f>
        <v>#N/A</v>
      </c>
      <c r="CN219" s="431" t="e">
        <f ca="1">INDEX(INDIRECT(VLOOKUP(LEFT(BO219,7),CLU!$Z$3:$AH$18,3)),GQ219,GS219)</f>
        <v>#N/A</v>
      </c>
      <c r="CO219" s="431" t="e">
        <f ca="1">INDEX(INDIRECT(VLOOKUP(LEFT(BO219,7),CLU!$Z$3:$AH$18,4)),GQ219,GS219)</f>
        <v>#N/A</v>
      </c>
      <c r="CP219" s="431" t="e">
        <f t="shared" ca="1" si="756"/>
        <v>#N/A</v>
      </c>
      <c r="CQ219" s="440">
        <f t="shared" si="757"/>
        <v>0</v>
      </c>
      <c r="CR219" s="51" t="e">
        <f t="shared" ca="1" si="758"/>
        <v>#N/A</v>
      </c>
      <c r="CS219" s="439" t="e">
        <f t="shared" ca="1" si="759"/>
        <v>#VALUE!</v>
      </c>
      <c r="CT219" s="51" t="e">
        <f t="shared" ca="1" si="760"/>
        <v>#VALUE!</v>
      </c>
      <c r="CU219" s="10"/>
      <c r="CV219" s="51" t="e">
        <f t="shared" ca="1" si="657"/>
        <v>#VALUE!</v>
      </c>
      <c r="CW219" s="51">
        <f t="shared" si="761"/>
        <v>0</v>
      </c>
      <c r="CX219" s="439" t="e">
        <f t="shared" ca="1" si="762"/>
        <v>#VALUE!</v>
      </c>
      <c r="CY219" s="51" t="e">
        <f t="shared" ca="1" si="763"/>
        <v>#VALUE!</v>
      </c>
      <c r="CZ219" s="10"/>
      <c r="DA219" s="51" t="e">
        <f t="shared" ca="1" si="764"/>
        <v>#VALUE!</v>
      </c>
      <c r="DB219" s="347" t="e">
        <f ca="1">INDEX(INDIRECT(VLOOKUP(LEFT(BO219,7),CLU!$Z$3:$AI$18,10)),((M219-2)*(6-COUNTBLANK(GT219:GY219)))+GJ219)*LI219</f>
        <v>#N/A</v>
      </c>
      <c r="DC219" s="347" t="str">
        <f>IF(L219&gt;0,((R219/Worksheet!$I$15)/DB219)^2," ")</f>
        <v xml:space="preserve"> </v>
      </c>
      <c r="DD219" s="602" t="str">
        <f t="shared" si="765"/>
        <v xml:space="preserve"> </v>
      </c>
      <c r="DE219" s="347" t="str">
        <f t="shared" si="658"/>
        <v xml:space="preserve"> </v>
      </c>
      <c r="DF219" s="356" t="e">
        <f ca="1">INDEX(INDIRECT(VLOOKUP(LEFT(BO219,7),CLU!$Z$3:$AH$18,8)),((M219-2)*(6-COUNTBLANK(GT219:GY219)))+GJ219)</f>
        <v>#N/A</v>
      </c>
      <c r="DG219" s="347" t="str">
        <f t="shared" si="659"/>
        <v xml:space="preserve"> </v>
      </c>
      <c r="DH219" s="357" t="str">
        <f t="shared" si="660"/>
        <v xml:space="preserve"> </v>
      </c>
      <c r="DI219" s="355" t="str">
        <f t="shared" si="661"/>
        <v xml:space="preserve"> </v>
      </c>
      <c r="DJ219" s="245" t="e">
        <f ca="1">INDEX(INDIRECT(VLOOKUP(LEFT(BO219,7),CLU!$Z$3:$AH$18,5)),GL219,GK219)</f>
        <v>#N/A</v>
      </c>
      <c r="DK219" s="245" t="e">
        <f ca="1">INDEX(INDIRECT(VLOOKUP(LEFT(BO219,7),CLU!$Z$3:$AH$18,6)),GL219,GK219)</f>
        <v>#N/A</v>
      </c>
      <c r="DL219" s="355">
        <f>(Calculation!R219*0.69143*(Calculation!$BQ$8-Calculation!$F$8))*$S$14</f>
        <v>0</v>
      </c>
      <c r="DM219" s="359" t="e">
        <f t="shared" si="766"/>
        <v>#VALUE!</v>
      </c>
      <c r="DN219" s="611">
        <f t="shared" si="767"/>
        <v>0</v>
      </c>
      <c r="DO219" s="359">
        <f t="shared" si="768"/>
        <v>100</v>
      </c>
      <c r="DP219" s="359">
        <f t="shared" si="769"/>
        <v>0</v>
      </c>
      <c r="DQ219" s="360"/>
      <c r="DR219" s="245" t="e">
        <f ca="1">INDEX(INDIRECT(VLOOKUP(LEFT(BO219,7),CLU!$Z$3:$AH$18,7)),M219-1,1)</f>
        <v>#N/A</v>
      </c>
      <c r="DS219" s="245" t="e">
        <f ca="1">INDEX(INDIRECT(VLOOKUP(LEFT(BO219,7),CLU!$Z$3:$AH$18,7)),M219-1,2)</f>
        <v>#N/A</v>
      </c>
      <c r="DT219" s="245" t="e">
        <f ca="1">INDEX(INDIRECT(VLOOKUP(LEFT(BO219,7),CLU!$Z$3:$AH$18,7)),M219-1,3)</f>
        <v>#N/A</v>
      </c>
      <c r="DU219" s="245" t="e">
        <f ca="1">INDEX(INDIRECT(VLOOKUP(LEFT(BO219,7),CLU!$Z$3:$AH$18,7)),M219-1,4)</f>
        <v>#N/A</v>
      </c>
      <c r="DV219" s="361" t="e">
        <f ca="1">INDEX(INDIRECT(VLOOKUP(LEFT(BO219,7),CLU!$Z$3:$AH$18,7)),M219-1,4+LEFT(DZ219,1)*0.5)</f>
        <v>#N/A</v>
      </c>
      <c r="DW219" s="245" t="e">
        <f ca="1">INDEX(INDIRECT(VLOOKUP(LEFT(BO219,7),CLU!$Z$3:$AH$18,7)),M219-1,8)</f>
        <v>#N/A</v>
      </c>
      <c r="DX219" s="361" t="str">
        <f t="shared" si="662"/>
        <v xml:space="preserve"> </v>
      </c>
      <c r="DY219" s="361" t="str">
        <f t="shared" si="663"/>
        <v xml:space="preserve"> </v>
      </c>
      <c r="DZ219" s="361" t="str">
        <f t="shared" si="664"/>
        <v xml:space="preserve"> </v>
      </c>
      <c r="EA219" s="362" t="str">
        <f t="shared" si="665"/>
        <v xml:space="preserve"> </v>
      </c>
      <c r="EB219" s="624" t="str">
        <f t="shared" si="770"/>
        <v xml:space="preserve"> </v>
      </c>
      <c r="EC219" s="361" t="e">
        <f ca="1">INDEX(INDIRECT(VLOOKUP(LEFT(BO219,7),CLU!$Z$3:$AH$18,7)),M219-1,4+LEFT(DZ219,1)*0.5)</f>
        <v>#N/A</v>
      </c>
      <c r="ED219" s="362" t="str">
        <f t="shared" si="666"/>
        <v xml:space="preserve"> </v>
      </c>
      <c r="EE219" s="361" t="str">
        <f t="shared" si="667"/>
        <v xml:space="preserve"> </v>
      </c>
      <c r="EF219" s="362" t="str">
        <f>IF(L219&gt;0,IF(BR219&gt;0,IF(EE219="2P",IF(Calculation!DZ219="2P",IF(Calculation!DS219=13.75,IF(Calculation!DR219=13,Worksheet!$BD$43,IF(Calculation!DR219=37,Worksheet!$BD$44,Worksheet!$BD$45)),IF(Calculation!DS219=10,IF(Calculation!DR219=18,Worksheet!$BD$29,IF(Calculation!DR219=30,Worksheet!$BD$30,IF(Calculation!DR219=42,Worksheet!$BD$31,IF(Calculation!DR219=54,Worksheet!$BD$32,IF(Calculation!DR219=66,Worksheet!$BD$33,IF(Calculation!DR219=78,Worksheet!$BD$34,IF(Calculation!DR219=90,Worksheet!$BD$35,IF(Calculation!DR219=102,Worksheet!$BD$36,Worksheet!$BD$37)))))))),IF(Calculation!DS219=12.5,IF(Calculation!DR219=18,Worksheet!$BD$38,IF(Calculation!DR219=Worksheet!$BD$39,IF(Calculation!DR219=42,Worksheet!$BD$40,IF(Calculation!DR219=54,Worksheet!$BD$41,Worksheet!$BD$42)))),IF(Calculation!DR219=18,Worksheet!$BD$11,IF(Calculation!DR219=30,Worksheet!$BD$12,IF(Calculation!DR219=42,Worksheet!$BD$13,IF(Calculation!DR219=54,Worksheet!$BD$14,IF(Calculation!DR219=66,Worksheet!$BD$15,IF(Calculation!DR219=78,Worksheet!$BD$16,IF(Calculation!DR219=90,Worksheet!$BD$17,IF(Calculation!DR219=102,Worksheet!$BD$18,Worksheet!$BD$19))))))))))),IF(Calculation!DS219=13.75,IF(Calculation!DR219=13,Worksheet!$BD$78,IF(Calculation!DR219=37,Worksheet!$BD$79,Worksheet!$BD$80)),IF(Calculation!DS219=10,IF(Calculation!DR219=18,Worksheet!$BD$64,IF(Calculation!DR219=30,Worksheet!$BD$65,IF(Calculation!DR219=42,Worksheet!$BD$66,IF(Calculation!DR219=54,Worksheet!$BD$68,IF(Calculation!DR219=66,Worksheet!$BD$68,IF(Calculation!DR219=78,Worksheet!$BD$69,IF(Calculation!DR219=90,Worksheet!$BD$70,IF(Calculation!DR219=102,Worksheet!$BD$71,Worksheet!$BD$72)))))))),IF(Calculation!DS219=12.5,IF(Calculation!DR219=18,Worksheet!$BD$73,IF(Calculation!DR219=Worksheet!$BD$74,IF(Calculation!DR219=42,Worksheet!$BD$75,IF(Calculation!DR219=54,Worksheet!$BD$76,Worksheet!$BD$77)))),IF(Calculation!DR219=18,Worksheet!$BD$55,IF(Calculation!DR219=30,Worksheet!$BD$56,IF(Calculation!DR219=42,Worksheet!$BD$57,IF(Calculation!DR219=54,Worksheet!$BD$58,IF(Calculation!DR219=66,Worksheet!$BD$59,IF(Calculation!DR219=78,Worksheet!$BD$60,IF(Calculation!DR219=90,Worksheet!$BD$61,IF(Calculation!DR219=102,Worksheet!$BD$62,Worksheet!$BD$63)))))))))))),5),0)," ")</f>
        <v xml:space="preserve"> </v>
      </c>
      <c r="EG219" s="361" t="str">
        <f t="shared" si="668"/>
        <v xml:space="preserve"> </v>
      </c>
      <c r="EH219" s="361" t="e">
        <f ca="1">INDEX(INDIRECT(VLOOKUP(LEFT(BO219,7),CLU!$Z$3:$AH$18,7)),M219-1,3+LEFT(DZ219,1))</f>
        <v>#N/A</v>
      </c>
      <c r="EI219" s="362" t="str">
        <f t="shared" si="669"/>
        <v xml:space="preserve"> </v>
      </c>
      <c r="EJ219" s="363" t="str">
        <f t="shared" si="670"/>
        <v xml:space="preserve"> </v>
      </c>
      <c r="EK219" s="363" t="str">
        <f t="shared" si="671"/>
        <v xml:space="preserve"> </v>
      </c>
      <c r="EL219" s="363" t="str">
        <f t="shared" si="672"/>
        <v xml:space="preserve"> </v>
      </c>
      <c r="EM219" s="362" t="str">
        <f>IF(L219&gt;0,IF(BR219&gt;0,(Calculation!T219/ED219)^2,0)," ")</f>
        <v xml:space="preserve"> </v>
      </c>
      <c r="EN219" s="362" t="str">
        <f>IF(L219&gt;0,IF(O219="2 Pipe (Cooling)","N/A",IF(BR219&gt;0,(Calculation!U219/EI219)^2,0))," ")</f>
        <v xml:space="preserve"> </v>
      </c>
      <c r="EO219" s="361" t="str">
        <f t="shared" si="673"/>
        <v/>
      </c>
      <c r="EP219" s="361" t="str">
        <f t="shared" si="674"/>
        <v/>
      </c>
      <c r="EQ219" s="361" t="str">
        <f t="shared" si="675"/>
        <v/>
      </c>
      <c r="ER219" s="361" t="str">
        <f t="shared" si="676"/>
        <v/>
      </c>
      <c r="ES219" s="361" t="str">
        <f t="shared" si="677"/>
        <v/>
      </c>
      <c r="ET219" s="361" t="str">
        <f t="shared" si="678"/>
        <v/>
      </c>
      <c r="EU219" s="361" t="str">
        <f t="shared" si="679"/>
        <v/>
      </c>
      <c r="EV219" s="361" t="str">
        <f t="shared" si="680"/>
        <v/>
      </c>
      <c r="EW219" s="361" t="str">
        <f t="shared" si="681"/>
        <v/>
      </c>
      <c r="EX219" s="361" t="str">
        <f t="shared" si="771"/>
        <v>1 slot, 1 way</v>
      </c>
      <c r="EY219" s="361" t="str">
        <f t="shared" si="772"/>
        <v xml:space="preserve"> </v>
      </c>
      <c r="EZ219" s="361" t="str">
        <f t="shared" si="773"/>
        <v xml:space="preserve"> </v>
      </c>
      <c r="FA219" s="361" t="str">
        <f t="shared" si="774"/>
        <v xml:space="preserve"> </v>
      </c>
      <c r="FB219" s="361" t="str">
        <f t="shared" si="775"/>
        <v xml:space="preserve"> </v>
      </c>
      <c r="FC219" s="361"/>
      <c r="FD219" s="361" t="str">
        <f>IF(J219&gt;0,IF(Calculation!R219&lt;=70,4,IF(Calculation!R219&lt;=110,5,IF(Calculation!R219&lt;=160,6,IF(Calculation!R219&lt;=300,8,"10 EO")))),"")</f>
        <v/>
      </c>
      <c r="FE219" s="361" t="str">
        <f t="shared" si="776"/>
        <v/>
      </c>
      <c r="FF219" s="361" t="str">
        <f t="shared" si="777"/>
        <v/>
      </c>
      <c r="FG219" s="361" t="e">
        <f t="shared" si="682"/>
        <v>#N/A</v>
      </c>
      <c r="FH219" s="361">
        <f t="shared" si="683"/>
        <v>0</v>
      </c>
      <c r="FI219" s="361" t="e">
        <f t="shared" si="684"/>
        <v>#DIV/0!</v>
      </c>
      <c r="FJ219" s="361"/>
      <c r="FK219" s="356" t="e">
        <f t="shared" si="685"/>
        <v>#VALUE!</v>
      </c>
      <c r="FL219" s="361"/>
      <c r="FM219" s="361"/>
      <c r="FN219" s="362" t="str">
        <f t="shared" si="778"/>
        <v xml:space="preserve"> </v>
      </c>
      <c r="FO219" s="362" t="str">
        <f t="shared" si="779"/>
        <v xml:space="preserve"> </v>
      </c>
      <c r="FP219" s="362">
        <f t="shared" si="780"/>
        <v>0</v>
      </c>
      <c r="FQ219" s="361">
        <f t="shared" si="686"/>
        <v>0</v>
      </c>
      <c r="FR219" s="362" t="str">
        <f>IF(L219&gt;0,IF(J219="CBAL2",Worksheet!$P$67,IF(J219="CBE2-24",Worksheet!$Q$67,IF(J219="CBAM",Worksheet!$R$67,IF(J219="CBLV",Worksheet!$S$67,IF(J219="CBAB",Worksheet!$U$67,IF(J219="CBAW",Worksheet!$X$67,IF(J219="CBE2-12",Worksheet!$Y$67,IF(J219="CBAL2",Worksheet!$Z$67,"N/A"))))))))," ")</f>
        <v xml:space="preserve"> </v>
      </c>
      <c r="FS219" s="362" t="str">
        <f>IF(L219&gt;0,IF(J219="CBAL2",Worksheet!$P$68,IF(J219="CBE2-24",Worksheet!$Q$68,IF(J219="CBAM",Worksheet!$R$68,IF(J219="CBLV",Worksheet!$S$68,IF(J219="CBAB",Worksheet!$U$68,IF(J219="CBAW",Worksheet!$X$68,IF(J219="CBE2-12",Worksheet!$Y$68,IF(J219="CBAL2",Worksheet!$Z$68,"N/A"))))))))," ")</f>
        <v xml:space="preserve"> </v>
      </c>
      <c r="FT219" s="362" t="str">
        <f>IF(L219&gt;0,IF(J219="CBAL2",Worksheet!$P$69,IF(J219="CBE2-24",Worksheet!$Q$69,IF(J219="CBAM",Worksheet!$R$69,IF(J219="CBLV",Worksheet!$S$69,IF(J219="CBAB",Worksheet!$U$69,IF(J219="CBAW",Worksheet!$X$69,IF(J219="CBE2-12",Worksheet!$Y$69,IF(J219="CBAL2",Worksheet!$Z$69,"N/A"))))))))," ")</f>
        <v xml:space="preserve"> </v>
      </c>
      <c r="FU219" s="361" t="str">
        <f t="shared" si="781"/>
        <v xml:space="preserve"> </v>
      </c>
      <c r="FV219" s="362" t="str">
        <f t="shared" si="782"/>
        <v xml:space="preserve"> </v>
      </c>
      <c r="FW219" s="362" t="str">
        <f t="shared" si="783"/>
        <v xml:space="preserve"> </v>
      </c>
      <c r="FX219" s="362" t="str">
        <f t="shared" si="784"/>
        <v xml:space="preserve"> </v>
      </c>
      <c r="FY219" s="355" t="str">
        <f t="shared" si="785"/>
        <v xml:space="preserve"> </v>
      </c>
      <c r="FZ219" s="361" t="str">
        <f t="shared" si="786"/>
        <v xml:space="preserve"> </v>
      </c>
      <c r="GA219" s="347" t="str">
        <f t="shared" si="787"/>
        <v xml:space="preserve"> </v>
      </c>
      <c r="GB219" s="355" t="str">
        <f t="shared" si="788"/>
        <v xml:space="preserve"> </v>
      </c>
      <c r="GC219" s="328" t="str">
        <f t="shared" si="789"/>
        <v xml:space="preserve"> </v>
      </c>
      <c r="GD219" s="361" t="str">
        <f t="shared" si="790"/>
        <v xml:space="preserve"> </v>
      </c>
      <c r="GE219" s="347" t="str">
        <f t="shared" si="791"/>
        <v xml:space="preserve"> </v>
      </c>
      <c r="GF219" s="361" t="str">
        <f t="shared" si="792"/>
        <v xml:space="preserve"> </v>
      </c>
      <c r="GG219" s="347" t="str">
        <f t="shared" si="793"/>
        <v xml:space="preserve"> </v>
      </c>
      <c r="GH219" s="364">
        <f t="shared" si="687"/>
        <v>0</v>
      </c>
      <c r="GI219" s="362">
        <f t="shared" si="794"/>
        <v>2</v>
      </c>
      <c r="GJ219" s="433" t="e">
        <f>IF(6-COUNTBLANK(GT219:GY219)=4,MATCH(MID(BO219,9,3),CLU!$H$16:$K$16),MATCH(MID(BO219,9,3),CLU!$H$13:$M$13))</f>
        <v>#N/A</v>
      </c>
      <c r="GK219" s="433" t="e">
        <f>HLOOKUP(VALUE(BP219),CLU!$H$9:$M$10,2)</f>
        <v>#VALUE!</v>
      </c>
      <c r="GL219" s="433" t="e">
        <f ca="1">MATCH(BU219,CLU!$H$2:$V$2,1)</f>
        <v>#VALUE!</v>
      </c>
      <c r="GM219" s="433" t="e">
        <f t="shared" ca="1" si="795"/>
        <v>#VALUE!</v>
      </c>
      <c r="GN219" s="433" t="e">
        <f t="shared" ca="1" si="796"/>
        <v>#VALUE!</v>
      </c>
      <c r="GO219" s="433" t="e">
        <f t="shared" ca="1" si="797"/>
        <v>#VALUE!</v>
      </c>
      <c r="GP219" s="433" t="e">
        <f t="shared" ca="1" si="798"/>
        <v>#VALUE!</v>
      </c>
      <c r="GQ219" s="433" t="e">
        <f t="shared" ca="1" si="799"/>
        <v>#VALUE!</v>
      </c>
      <c r="GR219" s="433" t="e">
        <f ca="1">MATCH(T219,INDIRECT(VLOOKUP(CONCATENATE(LEFT(BO219,7),"-",MID(BO219,13,1)),CLU!$P$3:$Q$16,2)),1)</f>
        <v>#N/A</v>
      </c>
      <c r="GS219" s="433" t="e">
        <f ca="1">MATCH(U219,INDIRECT(VLOOKUP(CONCATENATE(LEFT(BO219,7),"-",MID(BO219,13,1)),CLU!$P$3:$Q$16,2)),1)</f>
        <v>#N/A</v>
      </c>
      <c r="GT219" s="347" t="s">
        <v>512</v>
      </c>
      <c r="GU219" s="97" t="s">
        <v>513</v>
      </c>
      <c r="GV219" s="97" t="str">
        <f t="shared" si="800"/>
        <v>M23</v>
      </c>
      <c r="GW219" s="97" t="str">
        <f t="shared" si="801"/>
        <v>M31</v>
      </c>
      <c r="GX219" s="97" t="str">
        <f t="shared" si="802"/>
        <v/>
      </c>
      <c r="GY219" s="97" t="str">
        <f t="shared" si="803"/>
        <v/>
      </c>
      <c r="GZ219" s="481"/>
      <c r="HA219" s="288"/>
      <c r="HB219" s="240"/>
      <c r="HC219" s="240"/>
      <c r="HD219" s="240"/>
      <c r="HE219" s="240"/>
      <c r="HF219" s="240"/>
      <c r="HG219" s="240"/>
      <c r="HH219" s="240"/>
      <c r="HI219" s="240"/>
      <c r="HJ219" s="240"/>
      <c r="HK219" s="240"/>
      <c r="HL219" s="240"/>
      <c r="HM219" s="240"/>
      <c r="HN219" s="240"/>
      <c r="HO219" s="240"/>
      <c r="HP219" s="240"/>
      <c r="HQ219" s="240"/>
      <c r="HR219" s="240"/>
      <c r="HS219" s="240"/>
      <c r="HT219" s="240"/>
      <c r="HU219" s="240"/>
      <c r="HV219" s="245"/>
      <c r="HW219" s="245" t="b">
        <v>1</v>
      </c>
      <c r="HX219" s="245" t="str">
        <f t="shared" si="688"/>
        <v/>
      </c>
      <c r="HY219" s="245" t="e">
        <f t="shared" si="689"/>
        <v>#DIV/0!</v>
      </c>
      <c r="HZ219" s="245" t="e">
        <f t="shared" si="690"/>
        <v>#DIV/0!</v>
      </c>
      <c r="IA219" s="245">
        <f t="shared" si="691"/>
        <v>0</v>
      </c>
      <c r="IB219" s="245"/>
      <c r="IC219" t="b">
        <f t="shared" si="692"/>
        <v>1</v>
      </c>
      <c r="ID219" s="245" t="b">
        <f t="shared" si="693"/>
        <v>1</v>
      </c>
      <c r="IE219" s="245" t="b">
        <f t="shared" si="694"/>
        <v>1</v>
      </c>
      <c r="IF219" s="245" t="b">
        <f t="shared" si="695"/>
        <v>0</v>
      </c>
      <c r="IG219" s="245" t="b">
        <f t="shared" si="696"/>
        <v>1</v>
      </c>
      <c r="IH219" s="245" t="b">
        <f t="shared" si="697"/>
        <v>1</v>
      </c>
      <c r="II219" s="245">
        <f t="shared" si="804"/>
        <v>0</v>
      </c>
      <c r="IJ219" s="245" t="e">
        <f t="shared" si="698"/>
        <v>#VALUE!</v>
      </c>
      <c r="IK219" s="245" t="e">
        <f t="shared" si="699"/>
        <v>#VALUE!</v>
      </c>
      <c r="IL219" s="245"/>
      <c r="IM219" s="245" t="e">
        <f t="shared" si="805"/>
        <v>#N/A</v>
      </c>
      <c r="IN219" s="245" t="e">
        <f t="shared" si="806"/>
        <v>#N/A</v>
      </c>
      <c r="IO219" s="245"/>
      <c r="IP219" s="245"/>
      <c r="IQ219" s="245" t="str">
        <f t="shared" si="700"/>
        <v/>
      </c>
      <c r="IR219" s="245" t="str">
        <f>IF(J219="","",VLOOKUP(J219,Worksheet!$R$4:$T$14,2))</f>
        <v/>
      </c>
      <c r="IS219" s="245"/>
      <c r="IT219" s="245">
        <f t="shared" si="701"/>
        <v>0</v>
      </c>
      <c r="IU219" s="245">
        <f t="shared" si="702"/>
        <v>0</v>
      </c>
      <c r="IV219" s="245">
        <f t="shared" si="703"/>
        <v>0</v>
      </c>
      <c r="IW219" s="245">
        <f t="shared" si="704"/>
        <v>0</v>
      </c>
      <c r="IX219" s="245">
        <f t="shared" si="807"/>
        <v>0</v>
      </c>
      <c r="IY219" s="245">
        <f t="shared" si="705"/>
        <v>0</v>
      </c>
      <c r="IZ219" s="245">
        <f t="shared" si="706"/>
        <v>0</v>
      </c>
      <c r="JA219">
        <f t="shared" si="707"/>
        <v>0</v>
      </c>
      <c r="JB219">
        <f t="shared" si="808"/>
        <v>0</v>
      </c>
      <c r="JC219">
        <f t="shared" si="708"/>
        <v>0</v>
      </c>
      <c r="JD219">
        <f t="shared" si="709"/>
        <v>0</v>
      </c>
      <c r="JE219">
        <f t="shared" si="710"/>
        <v>0</v>
      </c>
      <c r="JF219">
        <f t="shared" si="711"/>
        <v>0</v>
      </c>
      <c r="JG219">
        <f t="shared" si="712"/>
        <v>0</v>
      </c>
      <c r="JH219">
        <f t="shared" si="713"/>
        <v>0</v>
      </c>
      <c r="JI219">
        <f t="shared" si="714"/>
        <v>0</v>
      </c>
      <c r="JJ219" s="447">
        <f t="shared" si="715"/>
        <v>0</v>
      </c>
      <c r="JK219" s="447">
        <f t="shared" si="716"/>
        <v>0</v>
      </c>
      <c r="JL219">
        <f t="shared" si="717"/>
        <v>0</v>
      </c>
      <c r="JM219" s="245" t="str">
        <f>IFERROR(VLOOKUP(MATCH(BN219,#REF!,0),#REF!,7),"")</f>
        <v/>
      </c>
      <c r="JN219" t="e">
        <f>HLOOKUP(LEFT(BO219,7),Discharge_Area,MATCH(JO219,LookUps!$B$130:$B$149,1)+2)</f>
        <v>#N/A</v>
      </c>
      <c r="JO219" t="str">
        <f t="shared" si="718"/>
        <v>- S</v>
      </c>
      <c r="JP219" t="e">
        <f>HLOOKUP(LEFT(BO219,7),Discharge_Area,MATCH(JO219,LookUps!$B$130:$B$149,1)+2)</f>
        <v>#N/A</v>
      </c>
      <c r="JQ219" t="e">
        <f t="shared" si="719"/>
        <v>#N/A</v>
      </c>
      <c r="JR219" t="e">
        <f t="shared" si="720"/>
        <v>#N/A</v>
      </c>
      <c r="JS219" t="e">
        <f t="shared" si="721"/>
        <v>#N/A</v>
      </c>
      <c r="JT219" s="532" t="str">
        <f t="shared" si="722"/>
        <v xml:space="preserve"> </v>
      </c>
      <c r="JU219" s="532" t="str">
        <f t="shared" si="723"/>
        <v xml:space="preserve"> </v>
      </c>
      <c r="JV219" s="533" t="str">
        <f t="shared" si="724"/>
        <v xml:space="preserve"> </v>
      </c>
      <c r="JW219" s="534">
        <f t="shared" si="725"/>
        <v>0</v>
      </c>
      <c r="JX219" s="535" t="str">
        <f t="shared" si="809"/>
        <v xml:space="preserve"> </v>
      </c>
      <c r="JY219" s="535" t="str">
        <f t="shared" si="810"/>
        <v xml:space="preserve"> </v>
      </c>
      <c r="JZ219" s="535" t="str">
        <f t="shared" si="811"/>
        <v xml:space="preserve"> </v>
      </c>
      <c r="KA219" s="536" t="str">
        <f t="shared" si="726"/>
        <v xml:space="preserve"> </v>
      </c>
      <c r="KB219" s="535" t="e">
        <f t="shared" si="812"/>
        <v>#VALUE!</v>
      </c>
      <c r="KC219" s="535" t="str">
        <f t="shared" si="727"/>
        <v/>
      </c>
      <c r="KD219" s="537" t="str">
        <f t="shared" si="813"/>
        <v xml:space="preserve"> </v>
      </c>
      <c r="KE219" s="537" t="str">
        <f t="shared" si="814"/>
        <v xml:space="preserve"> </v>
      </c>
      <c r="KF219" s="534">
        <f t="shared" si="728"/>
        <v>0</v>
      </c>
      <c r="KG219" s="535" t="str">
        <f t="shared" si="729"/>
        <v xml:space="preserve"> </v>
      </c>
      <c r="KH219" s="535" t="str">
        <f t="shared" si="730"/>
        <v xml:space="preserve"> </v>
      </c>
      <c r="KI219" s="535" t="str">
        <f t="shared" si="731"/>
        <v xml:space="preserve"> </v>
      </c>
      <c r="KJ219" s="536" t="str">
        <f t="shared" si="732"/>
        <v xml:space="preserve"> </v>
      </c>
      <c r="KK219" s="535" t="str">
        <f t="shared" si="815"/>
        <v xml:space="preserve"> </v>
      </c>
      <c r="KL219" s="535" t="str">
        <f t="shared" si="816"/>
        <v xml:space="preserve"> </v>
      </c>
      <c r="KM219" s="537" t="str">
        <f t="shared" si="733"/>
        <v xml:space="preserve"> </v>
      </c>
      <c r="KN219" s="537" t="str">
        <f t="shared" si="817"/>
        <v xml:space="preserve"> </v>
      </c>
      <c r="KP219">
        <f t="shared" si="734"/>
        <v>0</v>
      </c>
      <c r="LA219" t="e">
        <f t="shared" si="735"/>
        <v>#VALUE!</v>
      </c>
      <c r="LB219" t="e">
        <f t="shared" si="736"/>
        <v>#VALUE!</v>
      </c>
      <c r="LC219" t="e">
        <f t="shared" si="737"/>
        <v>#VALUE!</v>
      </c>
      <c r="LD219" t="e">
        <f t="shared" si="738"/>
        <v>#VALUE!</v>
      </c>
      <c r="LE219" t="e">
        <f t="shared" si="818"/>
        <v>#VALUE!</v>
      </c>
      <c r="LF219">
        <f t="shared" si="739"/>
        <v>0</v>
      </c>
      <c r="LG219" t="e">
        <f t="shared" si="819"/>
        <v>#VALUE!</v>
      </c>
      <c r="LH219" t="str">
        <f t="shared" si="740"/>
        <v xml:space="preserve"> </v>
      </c>
      <c r="LI219">
        <f t="shared" si="820"/>
        <v>1</v>
      </c>
    </row>
    <row r="220" spans="2:321" ht="15" customHeight="1">
      <c r="B220" s="311"/>
      <c r="C220" s="311"/>
      <c r="D220" s="312"/>
      <c r="E220" s="311"/>
      <c r="F220" s="312"/>
      <c r="G220" s="311"/>
      <c r="H220" s="311"/>
      <c r="I220" s="232"/>
      <c r="J220" s="311"/>
      <c r="K220" s="305" t="str">
        <f t="shared" si="741"/>
        <v/>
      </c>
      <c r="L220" s="313"/>
      <c r="M220" s="312"/>
      <c r="N220" s="311"/>
      <c r="O220" s="312"/>
      <c r="P220" s="311"/>
      <c r="Q220" s="305" t="str">
        <f t="shared" si="742"/>
        <v/>
      </c>
      <c r="R220" s="314"/>
      <c r="S220" s="450" t="str">
        <f t="shared" si="625"/>
        <v/>
      </c>
      <c r="T220" s="315"/>
      <c r="U220" s="315"/>
      <c r="W220" s="149" t="str">
        <f t="shared" si="626"/>
        <v xml:space="preserve"> </v>
      </c>
      <c r="X220" s="243" t="str">
        <f t="shared" si="627"/>
        <v xml:space="preserve"> </v>
      </c>
      <c r="Y220" s="150" t="str">
        <f t="shared" si="628"/>
        <v/>
      </c>
      <c r="Z220" s="149" t="str">
        <f t="shared" si="629"/>
        <v xml:space="preserve"> </v>
      </c>
      <c r="AA220" s="98" t="str">
        <f t="shared" si="630"/>
        <v xml:space="preserve"> </v>
      </c>
      <c r="AB220" s="153" t="str">
        <f t="shared" si="631"/>
        <v xml:space="preserve"> </v>
      </c>
      <c r="AC220" s="153" t="str">
        <f t="shared" si="632"/>
        <v xml:space="preserve"> </v>
      </c>
      <c r="AD220" s="148" t="str">
        <f t="shared" si="633"/>
        <v/>
      </c>
      <c r="AE220" s="149" t="str">
        <f t="shared" si="634"/>
        <v/>
      </c>
      <c r="AF220" s="151" t="str">
        <f t="shared" si="635"/>
        <v xml:space="preserve"> </v>
      </c>
      <c r="AG220" s="153" t="str">
        <f t="shared" si="636"/>
        <v xml:space="preserve"> </v>
      </c>
      <c r="AH220" s="98" t="str">
        <f t="shared" si="637"/>
        <v xml:space="preserve"> </v>
      </c>
      <c r="AI220" s="149" t="str">
        <f t="shared" si="638"/>
        <v xml:space="preserve"> </v>
      </c>
      <c r="AK220" s="144" t="str">
        <f t="shared" si="639"/>
        <v xml:space="preserve"> </v>
      </c>
      <c r="AL220" s="144"/>
      <c r="AM220" s="243" t="str">
        <f t="shared" si="640"/>
        <v xml:space="preserve"> </v>
      </c>
      <c r="AN220" s="149" t="str">
        <f t="shared" si="743"/>
        <v xml:space="preserve"> </v>
      </c>
      <c r="AO220" s="144" t="str">
        <f>IF(JB220&gt;0,IF(GI220=10,-R220*1.085*(Calculation!$F$6-Calculation!$F$13)*$S$14," "),"")</f>
        <v/>
      </c>
      <c r="AP220" s="144" t="str">
        <f t="shared" si="641"/>
        <v/>
      </c>
      <c r="AQ220" s="56" t="str">
        <f t="shared" si="642"/>
        <v/>
      </c>
      <c r="AR220" s="144" t="str">
        <f t="shared" si="643"/>
        <v/>
      </c>
      <c r="AS220" s="176" t="str">
        <f t="shared" si="644"/>
        <v/>
      </c>
      <c r="AT220" s="176" t="str">
        <f t="shared" si="744"/>
        <v xml:space="preserve"> </v>
      </c>
      <c r="AU220" s="176" t="str">
        <f t="shared" si="645"/>
        <v/>
      </c>
      <c r="AV220" s="177" t="str">
        <f t="shared" si="646"/>
        <v xml:space="preserve"> </v>
      </c>
      <c r="AW220" s="144" t="str">
        <f t="shared" si="647"/>
        <v xml:space="preserve"> </v>
      </c>
      <c r="AX220" s="144" t="str">
        <f t="shared" si="648"/>
        <v xml:space="preserve"> </v>
      </c>
      <c r="AY220" s="152" t="str">
        <f t="shared" si="649"/>
        <v xml:space="preserve"> </v>
      </c>
      <c r="AZ220" s="246" t="str">
        <f t="shared" si="650"/>
        <v/>
      </c>
      <c r="BA220" s="176" t="str">
        <f t="shared" si="651"/>
        <v xml:space="preserve"> </v>
      </c>
      <c r="BB220" s="176" t="str">
        <f t="shared" si="652"/>
        <v xml:space="preserve"> </v>
      </c>
      <c r="BC220" s="195"/>
      <c r="BD220" s="316"/>
      <c r="BE220" s="317"/>
      <c r="BF220" s="318"/>
      <c r="BG220" s="318"/>
      <c r="BH220" s="144" t="str">
        <f t="shared" si="821"/>
        <v xml:space="preserve"> </v>
      </c>
      <c r="BI220" s="176" t="str">
        <f t="shared" si="653"/>
        <v/>
      </c>
      <c r="BJ220" s="144" t="str">
        <f t="shared" si="822"/>
        <v/>
      </c>
      <c r="BK220" s="246" t="str">
        <f t="shared" si="654"/>
        <v/>
      </c>
      <c r="BL220" s="144" t="str">
        <f t="shared" si="823"/>
        <v/>
      </c>
      <c r="BM220" s="246" t="str">
        <f t="shared" si="655"/>
        <v/>
      </c>
      <c r="BN220" s="337" t="str">
        <f t="shared" si="745"/>
        <v/>
      </c>
      <c r="BO220" s="371" t="str">
        <f t="shared" si="746"/>
        <v/>
      </c>
      <c r="BP220" s="328" t="str">
        <f t="shared" si="824"/>
        <v xml:space="preserve"> </v>
      </c>
      <c r="BQ220" s="347" t="str">
        <f t="shared" si="747"/>
        <v xml:space="preserve"> </v>
      </c>
      <c r="BR220" s="353" t="str">
        <f t="shared" si="748"/>
        <v xml:space="preserve"> </v>
      </c>
      <c r="BS220" s="626" t="str">
        <f>IF(L220&gt;0,IF(Calculation!P220="M13",BR220*3.1416*(0.134^2)/(4*144),IF(Calculation!P220="M17",BR220*3.1416*(0.165^2)/(4*144),IF(Calculation!P220="M20",BR220*3.1416*(0.198^2)/(4*144),IF(Calculation!P220="M23",BR220*3.1416*(0.228^2)/(4*144),IF(Calculation!P220="M27",BR220*3.1416*(0.269^2)/(4*144),BR220*3.1416*(0.307^2)/(4*144))))))," ")</f>
        <v xml:space="preserve"> </v>
      </c>
      <c r="BT220" s="353" t="str">
        <f>IF(L220&gt;0,IF(BS220&gt;0,R220/Calculation!BS220,0)," ")</f>
        <v xml:space="preserve"> </v>
      </c>
      <c r="BU220" s="438" t="e">
        <f t="shared" ca="1" si="656"/>
        <v>#VALUE!</v>
      </c>
      <c r="BV220" s="449" t="e">
        <f ca="1">INDEX(INDIRECT(VLOOKUP(LEFT(BO220,7),CLU!$Z$3:$AH$18,2)),GN220,GR220)</f>
        <v>#N/A</v>
      </c>
      <c r="BW220" s="433" t="e">
        <f ca="1">INDEX(INDIRECT(VLOOKUP(LEFT(BO220,7),CLU!$Z$3:$AH$18,3)),GN220,GR220)</f>
        <v>#N/A</v>
      </c>
      <c r="BX220" s="433" t="e">
        <f ca="1">INDEX(INDIRECT(VLOOKUP(LEFT(BO220,7),CLU!$Z$3:$AH$18,4)),GN220,GR220)</f>
        <v>#N/A</v>
      </c>
      <c r="BY220" s="433" t="e">
        <f ca="1">INDEX(INDIRECT(VLOOKUP(LEFT(BO220,7),CLU!$Z$3:$AH$18,9)),((M220-2)*(6-COUNTBLANK(GT220:GY220)))+GJ220)</f>
        <v>#N/A</v>
      </c>
      <c r="BZ220" s="426" t="e">
        <f t="shared" ca="1" si="749"/>
        <v>#N/A</v>
      </c>
      <c r="CA220" s="424" t="e">
        <f t="shared" ca="1" si="750"/>
        <v>#N/A</v>
      </c>
      <c r="CB220" s="429" t="e">
        <f ca="1">INDEX(INDIRECT(VLOOKUP(LEFT(BO220,7),CLU!$Z$3:$AH$18,2)),GN220,GS220)</f>
        <v>#N/A</v>
      </c>
      <c r="CC220" s="342" t="e">
        <f ca="1">INDEX(INDIRECT(VLOOKUP(LEFT(BO220,7),CLU!$Z$3:$AH$18,3)),GN220,GS220)</f>
        <v>#N/A</v>
      </c>
      <c r="CD220" s="342" t="e">
        <f ca="1">INDEX(INDIRECT(VLOOKUP(LEFT(BO220,7),CLU!$Z$3:$AH$18,4)),GN220,GS220)</f>
        <v>#N/A</v>
      </c>
      <c r="CE220" s="426" t="e">
        <f t="shared" ca="1" si="751"/>
        <v>#N/A</v>
      </c>
      <c r="CF220" s="440">
        <f t="shared" si="752"/>
        <v>0</v>
      </c>
      <c r="CG220" s="431" t="e">
        <f ca="1">INDEX(INDIRECT(VLOOKUP(LEFT(BO220,7),CLU!$Z$3:$AH$18,2)),GQ220,GR220)</f>
        <v>#N/A</v>
      </c>
      <c r="CH220" s="431" t="e">
        <f ca="1">INDEX(INDIRECT(VLOOKUP(LEFT(BO220,7),CLU!$Z$3:$AH$18,3)),GQ220,GR220)</f>
        <v>#N/A</v>
      </c>
      <c r="CI220" s="431" t="e">
        <f ca="1">INDEX(INDIRECT(VLOOKUP(LEFT(BO220,7),CLU!$Z$3:$AH$18,4)),GQ220,GR220)</f>
        <v>#N/A</v>
      </c>
      <c r="CJ220" s="448" t="e">
        <f t="shared" ca="1" si="753"/>
        <v>#N/A</v>
      </c>
      <c r="CK220" s="431" t="e">
        <f t="shared" ca="1" si="754"/>
        <v>#N/A</v>
      </c>
      <c r="CL220" s="440" t="e">
        <f t="shared" ca="1" si="755"/>
        <v>#N/A</v>
      </c>
      <c r="CM220" s="431" t="e">
        <f ca="1">INDEX(INDIRECT(VLOOKUP(LEFT(BO220,7),CLU!$Z$3:$AH$18,2)),GQ220,GS220)</f>
        <v>#N/A</v>
      </c>
      <c r="CN220" s="431" t="e">
        <f ca="1">INDEX(INDIRECT(VLOOKUP(LEFT(BO220,7),CLU!$Z$3:$AH$18,3)),GQ220,GS220)</f>
        <v>#N/A</v>
      </c>
      <c r="CO220" s="431" t="e">
        <f ca="1">INDEX(INDIRECT(VLOOKUP(LEFT(BO220,7),CLU!$Z$3:$AH$18,4)),GQ220,GS220)</f>
        <v>#N/A</v>
      </c>
      <c r="CP220" s="431" t="e">
        <f t="shared" ca="1" si="756"/>
        <v>#N/A</v>
      </c>
      <c r="CQ220" s="440">
        <f t="shared" si="757"/>
        <v>0</v>
      </c>
      <c r="CR220" s="51" t="e">
        <f t="shared" ca="1" si="758"/>
        <v>#N/A</v>
      </c>
      <c r="CS220" s="439" t="e">
        <f t="shared" ca="1" si="759"/>
        <v>#VALUE!</v>
      </c>
      <c r="CT220" s="51" t="e">
        <f t="shared" ca="1" si="760"/>
        <v>#VALUE!</v>
      </c>
      <c r="CU220" s="10"/>
      <c r="CV220" s="51" t="e">
        <f t="shared" ca="1" si="657"/>
        <v>#VALUE!</v>
      </c>
      <c r="CW220" s="51">
        <f t="shared" si="761"/>
        <v>0</v>
      </c>
      <c r="CX220" s="439" t="e">
        <f t="shared" ca="1" si="762"/>
        <v>#VALUE!</v>
      </c>
      <c r="CY220" s="51" t="e">
        <f t="shared" ca="1" si="763"/>
        <v>#VALUE!</v>
      </c>
      <c r="CZ220" s="10"/>
      <c r="DA220" s="51" t="e">
        <f t="shared" ca="1" si="764"/>
        <v>#VALUE!</v>
      </c>
      <c r="DB220" s="347" t="e">
        <f ca="1">INDEX(INDIRECT(VLOOKUP(LEFT(BO220,7),CLU!$Z$3:$AI$18,10)),((M220-2)*(6-COUNTBLANK(GT220:GY220)))+GJ220)*LI220</f>
        <v>#N/A</v>
      </c>
      <c r="DC220" s="347" t="str">
        <f>IF(L220&gt;0,((R220/Worksheet!$I$15)/DB220)^2," ")</f>
        <v xml:space="preserve"> </v>
      </c>
      <c r="DD220" s="602" t="str">
        <f t="shared" si="765"/>
        <v xml:space="preserve"> </v>
      </c>
      <c r="DE220" s="347" t="str">
        <f t="shared" si="658"/>
        <v xml:space="preserve"> </v>
      </c>
      <c r="DF220" s="356" t="e">
        <f ca="1">INDEX(INDIRECT(VLOOKUP(LEFT(BO220,7),CLU!$Z$3:$AH$18,8)),((M220-2)*(6-COUNTBLANK(GT220:GY220)))+GJ220)</f>
        <v>#N/A</v>
      </c>
      <c r="DG220" s="347" t="str">
        <f t="shared" si="659"/>
        <v xml:space="preserve"> </v>
      </c>
      <c r="DH220" s="357" t="str">
        <f t="shared" si="660"/>
        <v xml:space="preserve"> </v>
      </c>
      <c r="DI220" s="355" t="str">
        <f t="shared" si="661"/>
        <v xml:space="preserve"> </v>
      </c>
      <c r="DJ220" s="245" t="e">
        <f ca="1">INDEX(INDIRECT(VLOOKUP(LEFT(BO220,7),CLU!$Z$3:$AH$18,5)),GL220,GK220)</f>
        <v>#N/A</v>
      </c>
      <c r="DK220" s="245" t="e">
        <f ca="1">INDEX(INDIRECT(VLOOKUP(LEFT(BO220,7),CLU!$Z$3:$AH$18,6)),GL220,GK220)</f>
        <v>#N/A</v>
      </c>
      <c r="DL220" s="355">
        <f>(Calculation!R220*0.69143*(Calculation!$BQ$8-Calculation!$F$8))*$S$14</f>
        <v>0</v>
      </c>
      <c r="DM220" s="359" t="e">
        <f t="shared" si="766"/>
        <v>#VALUE!</v>
      </c>
      <c r="DN220" s="611">
        <f t="shared" si="767"/>
        <v>0</v>
      </c>
      <c r="DO220" s="359">
        <f t="shared" si="768"/>
        <v>100</v>
      </c>
      <c r="DP220" s="359">
        <f t="shared" si="769"/>
        <v>0</v>
      </c>
      <c r="DQ220" s="360"/>
      <c r="DR220" s="245" t="e">
        <f ca="1">INDEX(INDIRECT(VLOOKUP(LEFT(BO220,7),CLU!$Z$3:$AH$18,7)),M220-1,1)</f>
        <v>#N/A</v>
      </c>
      <c r="DS220" s="245" t="e">
        <f ca="1">INDEX(INDIRECT(VLOOKUP(LEFT(BO220,7),CLU!$Z$3:$AH$18,7)),M220-1,2)</f>
        <v>#N/A</v>
      </c>
      <c r="DT220" s="245" t="e">
        <f ca="1">INDEX(INDIRECT(VLOOKUP(LEFT(BO220,7),CLU!$Z$3:$AH$18,7)),M220-1,3)</f>
        <v>#N/A</v>
      </c>
      <c r="DU220" s="245" t="e">
        <f ca="1">INDEX(INDIRECT(VLOOKUP(LEFT(BO220,7),CLU!$Z$3:$AH$18,7)),M220-1,4)</f>
        <v>#N/A</v>
      </c>
      <c r="DV220" s="361" t="e">
        <f ca="1">INDEX(INDIRECT(VLOOKUP(LEFT(BO220,7),CLU!$Z$3:$AH$18,7)),M220-1,4+LEFT(DZ220,1)*0.5)</f>
        <v>#N/A</v>
      </c>
      <c r="DW220" s="245" t="e">
        <f ca="1">INDEX(INDIRECT(VLOOKUP(LEFT(BO220,7),CLU!$Z$3:$AH$18,7)),M220-1,8)</f>
        <v>#N/A</v>
      </c>
      <c r="DX220" s="361" t="str">
        <f t="shared" si="662"/>
        <v xml:space="preserve"> </v>
      </c>
      <c r="DY220" s="361" t="str">
        <f t="shared" si="663"/>
        <v xml:space="preserve"> </v>
      </c>
      <c r="DZ220" s="361" t="str">
        <f t="shared" si="664"/>
        <v xml:space="preserve"> </v>
      </c>
      <c r="EA220" s="362" t="str">
        <f t="shared" si="665"/>
        <v xml:space="preserve"> </v>
      </c>
      <c r="EB220" s="624" t="str">
        <f t="shared" si="770"/>
        <v xml:space="preserve"> </v>
      </c>
      <c r="EC220" s="361" t="e">
        <f ca="1">INDEX(INDIRECT(VLOOKUP(LEFT(BO220,7),CLU!$Z$3:$AH$18,7)),M220-1,4+LEFT(DZ220,1)*0.5)</f>
        <v>#N/A</v>
      </c>
      <c r="ED220" s="362" t="str">
        <f t="shared" si="666"/>
        <v xml:space="preserve"> </v>
      </c>
      <c r="EE220" s="361" t="str">
        <f t="shared" si="667"/>
        <v xml:space="preserve"> </v>
      </c>
      <c r="EF220" s="362" t="str">
        <f>IF(L220&gt;0,IF(BR220&gt;0,IF(EE220="2P",IF(Calculation!DZ220="2P",IF(Calculation!DS220=13.75,IF(Calculation!DR220=13,Worksheet!$BD$43,IF(Calculation!DR220=37,Worksheet!$BD$44,Worksheet!$BD$45)),IF(Calculation!DS220=10,IF(Calculation!DR220=18,Worksheet!$BD$29,IF(Calculation!DR220=30,Worksheet!$BD$30,IF(Calculation!DR220=42,Worksheet!$BD$31,IF(Calculation!DR220=54,Worksheet!$BD$32,IF(Calculation!DR220=66,Worksheet!$BD$33,IF(Calculation!DR220=78,Worksheet!$BD$34,IF(Calculation!DR220=90,Worksheet!$BD$35,IF(Calculation!DR220=102,Worksheet!$BD$36,Worksheet!$BD$37)))))))),IF(Calculation!DS220=12.5,IF(Calculation!DR220=18,Worksheet!$BD$38,IF(Calculation!DR220=Worksheet!$BD$39,IF(Calculation!DR220=42,Worksheet!$BD$40,IF(Calculation!DR220=54,Worksheet!$BD$41,Worksheet!$BD$42)))),IF(Calculation!DR220=18,Worksheet!$BD$11,IF(Calculation!DR220=30,Worksheet!$BD$12,IF(Calculation!DR220=42,Worksheet!$BD$13,IF(Calculation!DR220=54,Worksheet!$BD$14,IF(Calculation!DR220=66,Worksheet!$BD$15,IF(Calculation!DR220=78,Worksheet!$BD$16,IF(Calculation!DR220=90,Worksheet!$BD$17,IF(Calculation!DR220=102,Worksheet!$BD$18,Worksheet!$BD$19))))))))))),IF(Calculation!DS220=13.75,IF(Calculation!DR220=13,Worksheet!$BD$78,IF(Calculation!DR220=37,Worksheet!$BD$79,Worksheet!$BD$80)),IF(Calculation!DS220=10,IF(Calculation!DR220=18,Worksheet!$BD$64,IF(Calculation!DR220=30,Worksheet!$BD$65,IF(Calculation!DR220=42,Worksheet!$BD$66,IF(Calculation!DR220=54,Worksheet!$BD$68,IF(Calculation!DR220=66,Worksheet!$BD$68,IF(Calculation!DR220=78,Worksheet!$BD$69,IF(Calculation!DR220=90,Worksheet!$BD$70,IF(Calculation!DR220=102,Worksheet!$BD$71,Worksheet!$BD$72)))))))),IF(Calculation!DS220=12.5,IF(Calculation!DR220=18,Worksheet!$BD$73,IF(Calculation!DR220=Worksheet!$BD$74,IF(Calculation!DR220=42,Worksheet!$BD$75,IF(Calculation!DR220=54,Worksheet!$BD$76,Worksheet!$BD$77)))),IF(Calculation!DR220=18,Worksheet!$BD$55,IF(Calculation!DR220=30,Worksheet!$BD$56,IF(Calculation!DR220=42,Worksheet!$BD$57,IF(Calculation!DR220=54,Worksheet!$BD$58,IF(Calculation!DR220=66,Worksheet!$BD$59,IF(Calculation!DR220=78,Worksheet!$BD$60,IF(Calculation!DR220=90,Worksheet!$BD$61,IF(Calculation!DR220=102,Worksheet!$BD$62,Worksheet!$BD$63)))))))))))),5),0)," ")</f>
        <v xml:space="preserve"> </v>
      </c>
      <c r="EG220" s="361" t="str">
        <f t="shared" si="668"/>
        <v xml:space="preserve"> </v>
      </c>
      <c r="EH220" s="361" t="e">
        <f ca="1">INDEX(INDIRECT(VLOOKUP(LEFT(BO220,7),CLU!$Z$3:$AH$18,7)),M220-1,3+LEFT(DZ220,1))</f>
        <v>#N/A</v>
      </c>
      <c r="EI220" s="362" t="str">
        <f t="shared" si="669"/>
        <v xml:space="preserve"> </v>
      </c>
      <c r="EJ220" s="363" t="str">
        <f t="shared" si="670"/>
        <v xml:space="preserve"> </v>
      </c>
      <c r="EK220" s="363" t="str">
        <f t="shared" si="671"/>
        <v xml:space="preserve"> </v>
      </c>
      <c r="EL220" s="363" t="str">
        <f t="shared" si="672"/>
        <v xml:space="preserve"> </v>
      </c>
      <c r="EM220" s="362" t="str">
        <f>IF(L220&gt;0,IF(BR220&gt;0,(Calculation!T220/ED220)^2,0)," ")</f>
        <v xml:space="preserve"> </v>
      </c>
      <c r="EN220" s="362" t="str">
        <f>IF(L220&gt;0,IF(O220="2 Pipe (Cooling)","N/A",IF(BR220&gt;0,(Calculation!U220/EI220)^2,0))," ")</f>
        <v xml:space="preserve"> </v>
      </c>
      <c r="EO220" s="361" t="str">
        <f t="shared" si="673"/>
        <v/>
      </c>
      <c r="EP220" s="361" t="str">
        <f t="shared" si="674"/>
        <v/>
      </c>
      <c r="EQ220" s="361" t="str">
        <f t="shared" si="675"/>
        <v/>
      </c>
      <c r="ER220" s="361" t="str">
        <f t="shared" si="676"/>
        <v/>
      </c>
      <c r="ES220" s="361" t="str">
        <f t="shared" si="677"/>
        <v/>
      </c>
      <c r="ET220" s="361" t="str">
        <f t="shared" si="678"/>
        <v/>
      </c>
      <c r="EU220" s="361" t="str">
        <f t="shared" si="679"/>
        <v/>
      </c>
      <c r="EV220" s="361" t="str">
        <f t="shared" si="680"/>
        <v/>
      </c>
      <c r="EW220" s="361" t="str">
        <f t="shared" si="681"/>
        <v/>
      </c>
      <c r="EX220" s="361" t="str">
        <f t="shared" si="771"/>
        <v>1 slot, 1 way</v>
      </c>
      <c r="EY220" s="361" t="str">
        <f t="shared" si="772"/>
        <v xml:space="preserve"> </v>
      </c>
      <c r="EZ220" s="361" t="str">
        <f t="shared" si="773"/>
        <v xml:space="preserve"> </v>
      </c>
      <c r="FA220" s="361" t="str">
        <f t="shared" si="774"/>
        <v xml:space="preserve"> </v>
      </c>
      <c r="FB220" s="361" t="str">
        <f t="shared" si="775"/>
        <v xml:space="preserve"> </v>
      </c>
      <c r="FC220" s="361"/>
      <c r="FD220" s="361" t="str">
        <f>IF(J220&gt;0,IF(Calculation!R220&lt;=70,4,IF(Calculation!R220&lt;=110,5,IF(Calculation!R220&lt;=160,6,IF(Calculation!R220&lt;=300,8,"10 EO")))),"")</f>
        <v/>
      </c>
      <c r="FE220" s="361" t="str">
        <f t="shared" si="776"/>
        <v/>
      </c>
      <c r="FF220" s="361" t="str">
        <f t="shared" si="777"/>
        <v/>
      </c>
      <c r="FG220" s="361" t="e">
        <f t="shared" si="682"/>
        <v>#N/A</v>
      </c>
      <c r="FH220" s="361">
        <f t="shared" si="683"/>
        <v>0</v>
      </c>
      <c r="FI220" s="361" t="e">
        <f t="shared" si="684"/>
        <v>#DIV/0!</v>
      </c>
      <c r="FJ220" s="361"/>
      <c r="FK220" s="356" t="e">
        <f t="shared" si="685"/>
        <v>#VALUE!</v>
      </c>
      <c r="FL220" s="361"/>
      <c r="FM220" s="361"/>
      <c r="FN220" s="362" t="str">
        <f t="shared" si="778"/>
        <v xml:space="preserve"> </v>
      </c>
      <c r="FO220" s="362" t="str">
        <f t="shared" si="779"/>
        <v xml:space="preserve"> </v>
      </c>
      <c r="FP220" s="362">
        <f t="shared" si="780"/>
        <v>0</v>
      </c>
      <c r="FQ220" s="361">
        <f t="shared" si="686"/>
        <v>0</v>
      </c>
      <c r="FR220" s="362" t="str">
        <f>IF(L220&gt;0,IF(J220="CBAL2",Worksheet!$P$67,IF(J220="CBE2-24",Worksheet!$Q$67,IF(J220="CBAM",Worksheet!$R$67,IF(J220="CBLV",Worksheet!$S$67,IF(J220="CBAB",Worksheet!$U$67,IF(J220="CBAW",Worksheet!$X$67,IF(J220="CBE2-12",Worksheet!$Y$67,IF(J220="CBAL2",Worksheet!$Z$67,"N/A"))))))))," ")</f>
        <v xml:space="preserve"> </v>
      </c>
      <c r="FS220" s="362" t="str">
        <f>IF(L220&gt;0,IF(J220="CBAL2",Worksheet!$P$68,IF(J220="CBE2-24",Worksheet!$Q$68,IF(J220="CBAM",Worksheet!$R$68,IF(J220="CBLV",Worksheet!$S$68,IF(J220="CBAB",Worksheet!$U$68,IF(J220="CBAW",Worksheet!$X$68,IF(J220="CBE2-12",Worksheet!$Y$68,IF(J220="CBAL2",Worksheet!$Z$68,"N/A"))))))))," ")</f>
        <v xml:space="preserve"> </v>
      </c>
      <c r="FT220" s="362" t="str">
        <f>IF(L220&gt;0,IF(J220="CBAL2",Worksheet!$P$69,IF(J220="CBE2-24",Worksheet!$Q$69,IF(J220="CBAM",Worksheet!$R$69,IF(J220="CBLV",Worksheet!$S$69,IF(J220="CBAB",Worksheet!$U$69,IF(J220="CBAW",Worksheet!$X$69,IF(J220="CBE2-12",Worksheet!$Y$69,IF(J220="CBAL2",Worksheet!$Z$69,"N/A"))))))))," ")</f>
        <v xml:space="preserve"> </v>
      </c>
      <c r="FU220" s="361" t="str">
        <f t="shared" si="781"/>
        <v xml:space="preserve"> </v>
      </c>
      <c r="FV220" s="362" t="str">
        <f t="shared" si="782"/>
        <v xml:space="preserve"> </v>
      </c>
      <c r="FW220" s="362" t="str">
        <f t="shared" si="783"/>
        <v xml:space="preserve"> </v>
      </c>
      <c r="FX220" s="362" t="str">
        <f t="shared" si="784"/>
        <v xml:space="preserve"> </v>
      </c>
      <c r="FY220" s="355" t="str">
        <f t="shared" si="785"/>
        <v xml:space="preserve"> </v>
      </c>
      <c r="FZ220" s="361" t="str">
        <f t="shared" si="786"/>
        <v xml:space="preserve"> </v>
      </c>
      <c r="GA220" s="347" t="str">
        <f t="shared" si="787"/>
        <v xml:space="preserve"> </v>
      </c>
      <c r="GB220" s="355" t="str">
        <f t="shared" si="788"/>
        <v xml:space="preserve"> </v>
      </c>
      <c r="GC220" s="328" t="str">
        <f t="shared" si="789"/>
        <v xml:space="preserve"> </v>
      </c>
      <c r="GD220" s="361" t="str">
        <f t="shared" si="790"/>
        <v xml:space="preserve"> </v>
      </c>
      <c r="GE220" s="347" t="str">
        <f t="shared" si="791"/>
        <v xml:space="preserve"> </v>
      </c>
      <c r="GF220" s="361" t="str">
        <f t="shared" si="792"/>
        <v xml:space="preserve"> </v>
      </c>
      <c r="GG220" s="347" t="str">
        <f t="shared" si="793"/>
        <v xml:space="preserve"> </v>
      </c>
      <c r="GH220" s="364">
        <f t="shared" si="687"/>
        <v>0</v>
      </c>
      <c r="GI220" s="362">
        <f t="shared" si="794"/>
        <v>2</v>
      </c>
      <c r="GJ220" s="433" t="e">
        <f>IF(6-COUNTBLANK(GT220:GY220)=4,MATCH(MID(BO220,9,3),CLU!$H$16:$K$16),MATCH(MID(BO220,9,3),CLU!$H$13:$M$13))</f>
        <v>#N/A</v>
      </c>
      <c r="GK220" s="433" t="e">
        <f>HLOOKUP(VALUE(BP220),CLU!$H$9:$M$10,2)</f>
        <v>#VALUE!</v>
      </c>
      <c r="GL220" s="433" t="e">
        <f ca="1">MATCH(BU220,CLU!$H$2:$V$2,1)</f>
        <v>#VALUE!</v>
      </c>
      <c r="GM220" s="433" t="e">
        <f t="shared" ca="1" si="795"/>
        <v>#VALUE!</v>
      </c>
      <c r="GN220" s="433" t="e">
        <f t="shared" ca="1" si="796"/>
        <v>#VALUE!</v>
      </c>
      <c r="GO220" s="433" t="e">
        <f t="shared" ca="1" si="797"/>
        <v>#VALUE!</v>
      </c>
      <c r="GP220" s="433" t="e">
        <f t="shared" ca="1" si="798"/>
        <v>#VALUE!</v>
      </c>
      <c r="GQ220" s="433" t="e">
        <f t="shared" ca="1" si="799"/>
        <v>#VALUE!</v>
      </c>
      <c r="GR220" s="433" t="e">
        <f ca="1">MATCH(T220,INDIRECT(VLOOKUP(CONCATENATE(LEFT(BO220,7),"-",MID(BO220,13,1)),CLU!$P$3:$Q$16,2)),1)</f>
        <v>#N/A</v>
      </c>
      <c r="GS220" s="433" t="e">
        <f ca="1">MATCH(U220,INDIRECT(VLOOKUP(CONCATENATE(LEFT(BO220,7),"-",MID(BO220,13,1)),CLU!$P$3:$Q$16,2)),1)</f>
        <v>#N/A</v>
      </c>
      <c r="GT220" s="347" t="s">
        <v>512</v>
      </c>
      <c r="GU220" s="97" t="s">
        <v>513</v>
      </c>
      <c r="GV220" s="97" t="str">
        <f t="shared" si="800"/>
        <v>M23</v>
      </c>
      <c r="GW220" s="97" t="str">
        <f t="shared" si="801"/>
        <v>M31</v>
      </c>
      <c r="GX220" s="97" t="str">
        <f t="shared" si="802"/>
        <v/>
      </c>
      <c r="GY220" s="97" t="str">
        <f t="shared" si="803"/>
        <v/>
      </c>
      <c r="GZ220" s="481"/>
      <c r="HA220" s="288"/>
      <c r="HB220" s="240"/>
      <c r="HC220" s="240"/>
      <c r="HD220" s="240"/>
      <c r="HE220" s="240"/>
      <c r="HF220" s="240"/>
      <c r="HG220" s="240"/>
      <c r="HH220" s="240"/>
      <c r="HI220" s="240"/>
      <c r="HJ220" s="240"/>
      <c r="HK220" s="240"/>
      <c r="HL220" s="240"/>
      <c r="HM220" s="240"/>
      <c r="HN220" s="240"/>
      <c r="HO220" s="240"/>
      <c r="HP220" s="240"/>
      <c r="HQ220" s="240"/>
      <c r="HR220" s="240"/>
      <c r="HS220" s="240"/>
      <c r="HT220" s="240"/>
      <c r="HU220" s="240"/>
      <c r="HV220" s="245"/>
      <c r="HW220" s="245" t="b">
        <v>1</v>
      </c>
      <c r="HX220" s="245" t="str">
        <f t="shared" si="688"/>
        <v/>
      </c>
      <c r="HY220" s="245" t="e">
        <f t="shared" si="689"/>
        <v>#DIV/0!</v>
      </c>
      <c r="HZ220" s="245" t="e">
        <f t="shared" si="690"/>
        <v>#DIV/0!</v>
      </c>
      <c r="IA220" s="245">
        <f t="shared" si="691"/>
        <v>0</v>
      </c>
      <c r="IB220" s="245"/>
      <c r="IC220" t="b">
        <f t="shared" si="692"/>
        <v>1</v>
      </c>
      <c r="ID220" s="245" t="b">
        <f t="shared" si="693"/>
        <v>1</v>
      </c>
      <c r="IE220" s="245" t="b">
        <f t="shared" si="694"/>
        <v>1</v>
      </c>
      <c r="IF220" s="245" t="b">
        <f t="shared" si="695"/>
        <v>0</v>
      </c>
      <c r="IG220" s="245" t="b">
        <f t="shared" si="696"/>
        <v>1</v>
      </c>
      <c r="IH220" s="245" t="b">
        <f t="shared" si="697"/>
        <v>1</v>
      </c>
      <c r="II220" s="245">
        <f t="shared" si="804"/>
        <v>0</v>
      </c>
      <c r="IJ220" s="245" t="e">
        <f t="shared" si="698"/>
        <v>#VALUE!</v>
      </c>
      <c r="IK220" s="245" t="e">
        <f t="shared" si="699"/>
        <v>#VALUE!</v>
      </c>
      <c r="IL220" s="245"/>
      <c r="IM220" s="245" t="e">
        <f t="shared" si="805"/>
        <v>#N/A</v>
      </c>
      <c r="IN220" s="245" t="e">
        <f t="shared" si="806"/>
        <v>#N/A</v>
      </c>
      <c r="IO220" s="245"/>
      <c r="IP220" s="245"/>
      <c r="IQ220" s="245" t="str">
        <f t="shared" si="700"/>
        <v/>
      </c>
      <c r="IR220" s="245" t="str">
        <f>IF(J220="","",VLOOKUP(J220,Worksheet!$R$4:$T$14,2))</f>
        <v/>
      </c>
      <c r="IS220" s="245"/>
      <c r="IT220" s="245">
        <f t="shared" si="701"/>
        <v>0</v>
      </c>
      <c r="IU220" s="245">
        <f t="shared" si="702"/>
        <v>0</v>
      </c>
      <c r="IV220" s="245">
        <f t="shared" si="703"/>
        <v>0</v>
      </c>
      <c r="IW220" s="245">
        <f t="shared" si="704"/>
        <v>0</v>
      </c>
      <c r="IX220" s="245">
        <f t="shared" si="807"/>
        <v>0</v>
      </c>
      <c r="IY220" s="245">
        <f t="shared" si="705"/>
        <v>0</v>
      </c>
      <c r="IZ220" s="245">
        <f t="shared" si="706"/>
        <v>0</v>
      </c>
      <c r="JA220">
        <f t="shared" si="707"/>
        <v>0</v>
      </c>
      <c r="JB220">
        <f t="shared" si="808"/>
        <v>0</v>
      </c>
      <c r="JC220">
        <f t="shared" si="708"/>
        <v>0</v>
      </c>
      <c r="JD220">
        <f t="shared" si="709"/>
        <v>0</v>
      </c>
      <c r="JE220">
        <f t="shared" si="710"/>
        <v>0</v>
      </c>
      <c r="JF220">
        <f t="shared" si="711"/>
        <v>0</v>
      </c>
      <c r="JG220">
        <f t="shared" si="712"/>
        <v>0</v>
      </c>
      <c r="JH220">
        <f t="shared" si="713"/>
        <v>0</v>
      </c>
      <c r="JI220">
        <f t="shared" si="714"/>
        <v>0</v>
      </c>
      <c r="JJ220" s="447">
        <f t="shared" si="715"/>
        <v>0</v>
      </c>
      <c r="JK220" s="447">
        <f t="shared" si="716"/>
        <v>0</v>
      </c>
      <c r="JL220">
        <f t="shared" si="717"/>
        <v>0</v>
      </c>
      <c r="JM220" s="245" t="str">
        <f>IFERROR(VLOOKUP(MATCH(BN220,#REF!,0),#REF!,7),"")</f>
        <v/>
      </c>
      <c r="JN220" t="e">
        <f>HLOOKUP(LEFT(BO220,7),Discharge_Area,MATCH(JO220,LookUps!$B$130:$B$149,1)+2)</f>
        <v>#N/A</v>
      </c>
      <c r="JO220" t="str">
        <f t="shared" si="718"/>
        <v>- S</v>
      </c>
      <c r="JP220" t="e">
        <f>HLOOKUP(LEFT(BO220,7),Discharge_Area,MATCH(JO220,LookUps!$B$130:$B$149,1)+2)</f>
        <v>#N/A</v>
      </c>
      <c r="JQ220" t="e">
        <f t="shared" si="719"/>
        <v>#N/A</v>
      </c>
      <c r="JR220" t="e">
        <f t="shared" si="720"/>
        <v>#N/A</v>
      </c>
      <c r="JS220" t="e">
        <f t="shared" si="721"/>
        <v>#N/A</v>
      </c>
      <c r="JT220" s="532" t="str">
        <f t="shared" si="722"/>
        <v xml:space="preserve"> </v>
      </c>
      <c r="JU220" s="532" t="str">
        <f t="shared" si="723"/>
        <v xml:space="preserve"> </v>
      </c>
      <c r="JV220" s="533" t="str">
        <f t="shared" si="724"/>
        <v xml:space="preserve"> </v>
      </c>
      <c r="JW220" s="534">
        <f t="shared" si="725"/>
        <v>0</v>
      </c>
      <c r="JX220" s="535" t="str">
        <f t="shared" si="809"/>
        <v xml:space="preserve"> </v>
      </c>
      <c r="JY220" s="535" t="str">
        <f t="shared" si="810"/>
        <v xml:space="preserve"> </v>
      </c>
      <c r="JZ220" s="535" t="str">
        <f t="shared" si="811"/>
        <v xml:space="preserve"> </v>
      </c>
      <c r="KA220" s="536" t="str">
        <f t="shared" si="726"/>
        <v xml:space="preserve"> </v>
      </c>
      <c r="KB220" s="535" t="e">
        <f t="shared" si="812"/>
        <v>#VALUE!</v>
      </c>
      <c r="KC220" s="535" t="str">
        <f t="shared" si="727"/>
        <v/>
      </c>
      <c r="KD220" s="537" t="str">
        <f t="shared" si="813"/>
        <v xml:space="preserve"> </v>
      </c>
      <c r="KE220" s="537" t="str">
        <f t="shared" si="814"/>
        <v xml:space="preserve"> </v>
      </c>
      <c r="KF220" s="534">
        <f t="shared" si="728"/>
        <v>0</v>
      </c>
      <c r="KG220" s="535" t="str">
        <f t="shared" si="729"/>
        <v xml:space="preserve"> </v>
      </c>
      <c r="KH220" s="535" t="str">
        <f t="shared" si="730"/>
        <v xml:space="preserve"> </v>
      </c>
      <c r="KI220" s="535" t="str">
        <f t="shared" si="731"/>
        <v xml:space="preserve"> </v>
      </c>
      <c r="KJ220" s="536" t="str">
        <f t="shared" si="732"/>
        <v xml:space="preserve"> </v>
      </c>
      <c r="KK220" s="535" t="str">
        <f t="shared" si="815"/>
        <v xml:space="preserve"> </v>
      </c>
      <c r="KL220" s="535" t="str">
        <f t="shared" si="816"/>
        <v xml:space="preserve"> </v>
      </c>
      <c r="KM220" s="537" t="str">
        <f t="shared" si="733"/>
        <v xml:space="preserve"> </v>
      </c>
      <c r="KN220" s="537" t="str">
        <f t="shared" si="817"/>
        <v xml:space="preserve"> </v>
      </c>
      <c r="KP220">
        <f t="shared" si="734"/>
        <v>0</v>
      </c>
      <c r="LA220" t="e">
        <f t="shared" si="735"/>
        <v>#VALUE!</v>
      </c>
      <c r="LB220" t="e">
        <f t="shared" si="736"/>
        <v>#VALUE!</v>
      </c>
      <c r="LC220" t="e">
        <f t="shared" si="737"/>
        <v>#VALUE!</v>
      </c>
      <c r="LD220" t="e">
        <f t="shared" si="738"/>
        <v>#VALUE!</v>
      </c>
      <c r="LE220" t="e">
        <f t="shared" si="818"/>
        <v>#VALUE!</v>
      </c>
      <c r="LF220">
        <f t="shared" si="739"/>
        <v>0</v>
      </c>
      <c r="LG220" t="e">
        <f t="shared" si="819"/>
        <v>#VALUE!</v>
      </c>
      <c r="LH220" t="str">
        <f t="shared" si="740"/>
        <v xml:space="preserve"> </v>
      </c>
      <c r="LI220">
        <f t="shared" si="820"/>
        <v>1</v>
      </c>
    </row>
    <row r="221" spans="2:321" ht="15" customHeight="1">
      <c r="B221" s="311"/>
      <c r="C221" s="311"/>
      <c r="D221" s="312"/>
      <c r="E221" s="311"/>
      <c r="F221" s="312"/>
      <c r="G221" s="311"/>
      <c r="H221" s="311"/>
      <c r="I221" s="232"/>
      <c r="J221" s="311"/>
      <c r="K221" s="305" t="str">
        <f t="shared" si="741"/>
        <v/>
      </c>
      <c r="L221" s="313"/>
      <c r="M221" s="312"/>
      <c r="N221" s="311"/>
      <c r="O221" s="312"/>
      <c r="P221" s="311"/>
      <c r="Q221" s="305" t="str">
        <f t="shared" si="742"/>
        <v/>
      </c>
      <c r="R221" s="314"/>
      <c r="S221" s="450" t="str">
        <f t="shared" si="625"/>
        <v/>
      </c>
      <c r="T221" s="315"/>
      <c r="U221" s="315"/>
      <c r="W221" s="149" t="str">
        <f t="shared" si="626"/>
        <v xml:space="preserve"> </v>
      </c>
      <c r="X221" s="243" t="str">
        <f t="shared" si="627"/>
        <v xml:space="preserve"> </v>
      </c>
      <c r="Y221" s="150" t="str">
        <f t="shared" si="628"/>
        <v/>
      </c>
      <c r="Z221" s="149" t="str">
        <f t="shared" si="629"/>
        <v xml:space="preserve"> </v>
      </c>
      <c r="AA221" s="98" t="str">
        <f t="shared" si="630"/>
        <v xml:space="preserve"> </v>
      </c>
      <c r="AB221" s="153" t="str">
        <f t="shared" si="631"/>
        <v xml:space="preserve"> </v>
      </c>
      <c r="AC221" s="153" t="str">
        <f t="shared" si="632"/>
        <v xml:space="preserve"> </v>
      </c>
      <c r="AD221" s="148" t="str">
        <f t="shared" si="633"/>
        <v/>
      </c>
      <c r="AE221" s="149" t="str">
        <f t="shared" si="634"/>
        <v/>
      </c>
      <c r="AF221" s="151" t="str">
        <f t="shared" si="635"/>
        <v xml:space="preserve"> </v>
      </c>
      <c r="AG221" s="153" t="str">
        <f t="shared" si="636"/>
        <v xml:space="preserve"> </v>
      </c>
      <c r="AH221" s="98" t="str">
        <f t="shared" si="637"/>
        <v xml:space="preserve"> </v>
      </c>
      <c r="AI221" s="149" t="str">
        <f t="shared" si="638"/>
        <v xml:space="preserve"> </v>
      </c>
      <c r="AK221" s="144" t="str">
        <f t="shared" si="639"/>
        <v xml:space="preserve"> </v>
      </c>
      <c r="AL221" s="144"/>
      <c r="AM221" s="243" t="str">
        <f t="shared" si="640"/>
        <v xml:space="preserve"> </v>
      </c>
      <c r="AN221" s="149" t="str">
        <f t="shared" si="743"/>
        <v xml:space="preserve"> </v>
      </c>
      <c r="AO221" s="144" t="str">
        <f>IF(JB221&gt;0,IF(GI221=10,-R221*1.085*(Calculation!$F$6-Calculation!$F$13)*$S$14," "),"")</f>
        <v/>
      </c>
      <c r="AP221" s="144" t="str">
        <f t="shared" si="641"/>
        <v/>
      </c>
      <c r="AQ221" s="56" t="str">
        <f t="shared" si="642"/>
        <v/>
      </c>
      <c r="AR221" s="144" t="str">
        <f t="shared" si="643"/>
        <v/>
      </c>
      <c r="AS221" s="176" t="str">
        <f t="shared" si="644"/>
        <v/>
      </c>
      <c r="AT221" s="176" t="str">
        <f t="shared" si="744"/>
        <v xml:space="preserve"> </v>
      </c>
      <c r="AU221" s="176" t="str">
        <f t="shared" si="645"/>
        <v/>
      </c>
      <c r="AV221" s="177" t="str">
        <f t="shared" si="646"/>
        <v xml:space="preserve"> </v>
      </c>
      <c r="AW221" s="144" t="str">
        <f t="shared" si="647"/>
        <v xml:space="preserve"> </v>
      </c>
      <c r="AX221" s="144" t="str">
        <f t="shared" si="648"/>
        <v xml:space="preserve"> </v>
      </c>
      <c r="AY221" s="152" t="str">
        <f t="shared" si="649"/>
        <v xml:space="preserve"> </v>
      </c>
      <c r="AZ221" s="246" t="str">
        <f t="shared" si="650"/>
        <v/>
      </c>
      <c r="BA221" s="176" t="str">
        <f t="shared" si="651"/>
        <v xml:space="preserve"> </v>
      </c>
      <c r="BB221" s="176" t="str">
        <f t="shared" si="652"/>
        <v xml:space="preserve"> </v>
      </c>
      <c r="BC221" s="195"/>
      <c r="BD221" s="316"/>
      <c r="BE221" s="317"/>
      <c r="BF221" s="318"/>
      <c r="BG221" s="318"/>
      <c r="BH221" s="144" t="str">
        <f t="shared" si="821"/>
        <v xml:space="preserve"> </v>
      </c>
      <c r="BI221" s="176" t="str">
        <f t="shared" si="653"/>
        <v/>
      </c>
      <c r="BJ221" s="144" t="str">
        <f t="shared" si="822"/>
        <v/>
      </c>
      <c r="BK221" s="246" t="str">
        <f t="shared" si="654"/>
        <v/>
      </c>
      <c r="BL221" s="144" t="str">
        <f t="shared" si="823"/>
        <v/>
      </c>
      <c r="BM221" s="246" t="str">
        <f t="shared" si="655"/>
        <v/>
      </c>
      <c r="BN221" s="337" t="str">
        <f t="shared" si="745"/>
        <v/>
      </c>
      <c r="BO221" s="371" t="str">
        <f t="shared" si="746"/>
        <v/>
      </c>
      <c r="BP221" s="328" t="str">
        <f t="shared" si="824"/>
        <v xml:space="preserve"> </v>
      </c>
      <c r="BQ221" s="347" t="str">
        <f t="shared" si="747"/>
        <v xml:space="preserve"> </v>
      </c>
      <c r="BR221" s="353" t="str">
        <f t="shared" si="748"/>
        <v xml:space="preserve"> </v>
      </c>
      <c r="BS221" s="626" t="str">
        <f>IF(L221&gt;0,IF(Calculation!P221="M13",BR221*3.1416*(0.134^2)/(4*144),IF(Calculation!P221="M17",BR221*3.1416*(0.165^2)/(4*144),IF(Calculation!P221="M20",BR221*3.1416*(0.198^2)/(4*144),IF(Calculation!P221="M23",BR221*3.1416*(0.228^2)/(4*144),IF(Calculation!P221="M27",BR221*3.1416*(0.269^2)/(4*144),BR221*3.1416*(0.307^2)/(4*144))))))," ")</f>
        <v xml:space="preserve"> </v>
      </c>
      <c r="BT221" s="353" t="str">
        <f>IF(L221&gt;0,IF(BS221&gt;0,R221/Calculation!BS221,0)," ")</f>
        <v xml:space="preserve"> </v>
      </c>
      <c r="BU221" s="438" t="e">
        <f t="shared" ca="1" si="656"/>
        <v>#VALUE!</v>
      </c>
      <c r="BV221" s="449" t="e">
        <f ca="1">INDEX(INDIRECT(VLOOKUP(LEFT(BO221,7),CLU!$Z$3:$AH$18,2)),GN221,GR221)</f>
        <v>#N/A</v>
      </c>
      <c r="BW221" s="433" t="e">
        <f ca="1">INDEX(INDIRECT(VLOOKUP(LEFT(BO221,7),CLU!$Z$3:$AH$18,3)),GN221,GR221)</f>
        <v>#N/A</v>
      </c>
      <c r="BX221" s="433" t="e">
        <f ca="1">INDEX(INDIRECT(VLOOKUP(LEFT(BO221,7),CLU!$Z$3:$AH$18,4)),GN221,GR221)</f>
        <v>#N/A</v>
      </c>
      <c r="BY221" s="433" t="e">
        <f ca="1">INDEX(INDIRECT(VLOOKUP(LEFT(BO221,7),CLU!$Z$3:$AH$18,9)),((M221-2)*(6-COUNTBLANK(GT221:GY221)))+GJ221)</f>
        <v>#N/A</v>
      </c>
      <c r="BZ221" s="426" t="e">
        <f t="shared" ca="1" si="749"/>
        <v>#N/A</v>
      </c>
      <c r="CA221" s="424" t="e">
        <f t="shared" ca="1" si="750"/>
        <v>#N/A</v>
      </c>
      <c r="CB221" s="429" t="e">
        <f ca="1">INDEX(INDIRECT(VLOOKUP(LEFT(BO221,7),CLU!$Z$3:$AH$18,2)),GN221,GS221)</f>
        <v>#N/A</v>
      </c>
      <c r="CC221" s="342" t="e">
        <f ca="1">INDEX(INDIRECT(VLOOKUP(LEFT(BO221,7),CLU!$Z$3:$AH$18,3)),GN221,GS221)</f>
        <v>#N/A</v>
      </c>
      <c r="CD221" s="342" t="e">
        <f ca="1">INDEX(INDIRECT(VLOOKUP(LEFT(BO221,7),CLU!$Z$3:$AH$18,4)),GN221,GS221)</f>
        <v>#N/A</v>
      </c>
      <c r="CE221" s="426" t="e">
        <f t="shared" ca="1" si="751"/>
        <v>#N/A</v>
      </c>
      <c r="CF221" s="440">
        <f t="shared" si="752"/>
        <v>0</v>
      </c>
      <c r="CG221" s="431" t="e">
        <f ca="1">INDEX(INDIRECT(VLOOKUP(LEFT(BO221,7),CLU!$Z$3:$AH$18,2)),GQ221,GR221)</f>
        <v>#N/A</v>
      </c>
      <c r="CH221" s="431" t="e">
        <f ca="1">INDEX(INDIRECT(VLOOKUP(LEFT(BO221,7),CLU!$Z$3:$AH$18,3)),GQ221,GR221)</f>
        <v>#N/A</v>
      </c>
      <c r="CI221" s="431" t="e">
        <f ca="1">INDEX(INDIRECT(VLOOKUP(LEFT(BO221,7),CLU!$Z$3:$AH$18,4)),GQ221,GR221)</f>
        <v>#N/A</v>
      </c>
      <c r="CJ221" s="448" t="e">
        <f t="shared" ca="1" si="753"/>
        <v>#N/A</v>
      </c>
      <c r="CK221" s="431" t="e">
        <f t="shared" ca="1" si="754"/>
        <v>#N/A</v>
      </c>
      <c r="CL221" s="440" t="e">
        <f t="shared" ca="1" si="755"/>
        <v>#N/A</v>
      </c>
      <c r="CM221" s="431" t="e">
        <f ca="1">INDEX(INDIRECT(VLOOKUP(LEFT(BO221,7),CLU!$Z$3:$AH$18,2)),GQ221,GS221)</f>
        <v>#N/A</v>
      </c>
      <c r="CN221" s="431" t="e">
        <f ca="1">INDEX(INDIRECT(VLOOKUP(LEFT(BO221,7),CLU!$Z$3:$AH$18,3)),GQ221,GS221)</f>
        <v>#N/A</v>
      </c>
      <c r="CO221" s="431" t="e">
        <f ca="1">INDEX(INDIRECT(VLOOKUP(LEFT(BO221,7),CLU!$Z$3:$AH$18,4)),GQ221,GS221)</f>
        <v>#N/A</v>
      </c>
      <c r="CP221" s="431" t="e">
        <f t="shared" ca="1" si="756"/>
        <v>#N/A</v>
      </c>
      <c r="CQ221" s="440">
        <f t="shared" si="757"/>
        <v>0</v>
      </c>
      <c r="CR221" s="51" t="e">
        <f t="shared" ca="1" si="758"/>
        <v>#N/A</v>
      </c>
      <c r="CS221" s="439" t="e">
        <f t="shared" ca="1" si="759"/>
        <v>#VALUE!</v>
      </c>
      <c r="CT221" s="51" t="e">
        <f t="shared" ca="1" si="760"/>
        <v>#VALUE!</v>
      </c>
      <c r="CU221" s="10"/>
      <c r="CV221" s="51" t="e">
        <f t="shared" ca="1" si="657"/>
        <v>#VALUE!</v>
      </c>
      <c r="CW221" s="51">
        <f t="shared" si="761"/>
        <v>0</v>
      </c>
      <c r="CX221" s="439" t="e">
        <f t="shared" ca="1" si="762"/>
        <v>#VALUE!</v>
      </c>
      <c r="CY221" s="51" t="e">
        <f t="shared" ca="1" si="763"/>
        <v>#VALUE!</v>
      </c>
      <c r="CZ221" s="10"/>
      <c r="DA221" s="51" t="e">
        <f t="shared" ca="1" si="764"/>
        <v>#VALUE!</v>
      </c>
      <c r="DB221" s="347" t="e">
        <f ca="1">INDEX(INDIRECT(VLOOKUP(LEFT(BO221,7),CLU!$Z$3:$AI$18,10)),((M221-2)*(6-COUNTBLANK(GT221:GY221)))+GJ221)*LI221</f>
        <v>#N/A</v>
      </c>
      <c r="DC221" s="347" t="str">
        <f>IF(L221&gt;0,((R221/Worksheet!$I$15)/DB221)^2," ")</f>
        <v xml:space="preserve"> </v>
      </c>
      <c r="DD221" s="602" t="str">
        <f t="shared" si="765"/>
        <v xml:space="preserve"> </v>
      </c>
      <c r="DE221" s="347" t="str">
        <f t="shared" si="658"/>
        <v xml:space="preserve"> </v>
      </c>
      <c r="DF221" s="356" t="e">
        <f ca="1">INDEX(INDIRECT(VLOOKUP(LEFT(BO221,7),CLU!$Z$3:$AH$18,8)),((M221-2)*(6-COUNTBLANK(GT221:GY221)))+GJ221)</f>
        <v>#N/A</v>
      </c>
      <c r="DG221" s="347" t="str">
        <f t="shared" si="659"/>
        <v xml:space="preserve"> </v>
      </c>
      <c r="DH221" s="357" t="str">
        <f t="shared" si="660"/>
        <v xml:space="preserve"> </v>
      </c>
      <c r="DI221" s="355" t="str">
        <f t="shared" si="661"/>
        <v xml:space="preserve"> </v>
      </c>
      <c r="DJ221" s="245" t="e">
        <f ca="1">INDEX(INDIRECT(VLOOKUP(LEFT(BO221,7),CLU!$Z$3:$AH$18,5)),GL221,GK221)</f>
        <v>#N/A</v>
      </c>
      <c r="DK221" s="245" t="e">
        <f ca="1">INDEX(INDIRECT(VLOOKUP(LEFT(BO221,7),CLU!$Z$3:$AH$18,6)),GL221,GK221)</f>
        <v>#N/A</v>
      </c>
      <c r="DL221" s="355">
        <f>(Calculation!R221*0.69143*(Calculation!$BQ$8-Calculation!$F$8))*$S$14</f>
        <v>0</v>
      </c>
      <c r="DM221" s="359" t="e">
        <f t="shared" si="766"/>
        <v>#VALUE!</v>
      </c>
      <c r="DN221" s="611">
        <f t="shared" si="767"/>
        <v>0</v>
      </c>
      <c r="DO221" s="359">
        <f t="shared" si="768"/>
        <v>100</v>
      </c>
      <c r="DP221" s="359">
        <f t="shared" si="769"/>
        <v>0</v>
      </c>
      <c r="DQ221" s="360"/>
      <c r="DR221" s="245" t="e">
        <f ca="1">INDEX(INDIRECT(VLOOKUP(LEFT(BO221,7),CLU!$Z$3:$AH$18,7)),M221-1,1)</f>
        <v>#N/A</v>
      </c>
      <c r="DS221" s="245" t="e">
        <f ca="1">INDEX(INDIRECT(VLOOKUP(LEFT(BO221,7),CLU!$Z$3:$AH$18,7)),M221-1,2)</f>
        <v>#N/A</v>
      </c>
      <c r="DT221" s="245" t="e">
        <f ca="1">INDEX(INDIRECT(VLOOKUP(LEFT(BO221,7),CLU!$Z$3:$AH$18,7)),M221-1,3)</f>
        <v>#N/A</v>
      </c>
      <c r="DU221" s="245" t="e">
        <f ca="1">INDEX(INDIRECT(VLOOKUP(LEFT(BO221,7),CLU!$Z$3:$AH$18,7)),M221-1,4)</f>
        <v>#N/A</v>
      </c>
      <c r="DV221" s="361" t="e">
        <f ca="1">INDEX(INDIRECT(VLOOKUP(LEFT(BO221,7),CLU!$Z$3:$AH$18,7)),M221-1,4+LEFT(DZ221,1)*0.5)</f>
        <v>#N/A</v>
      </c>
      <c r="DW221" s="245" t="e">
        <f ca="1">INDEX(INDIRECT(VLOOKUP(LEFT(BO221,7),CLU!$Z$3:$AH$18,7)),M221-1,8)</f>
        <v>#N/A</v>
      </c>
      <c r="DX221" s="361" t="str">
        <f t="shared" si="662"/>
        <v xml:space="preserve"> </v>
      </c>
      <c r="DY221" s="361" t="str">
        <f t="shared" si="663"/>
        <v xml:space="preserve"> </v>
      </c>
      <c r="DZ221" s="361" t="str">
        <f t="shared" si="664"/>
        <v xml:space="preserve"> </v>
      </c>
      <c r="EA221" s="362" t="str">
        <f t="shared" si="665"/>
        <v xml:space="preserve"> </v>
      </c>
      <c r="EB221" s="624" t="str">
        <f t="shared" si="770"/>
        <v xml:space="preserve"> </v>
      </c>
      <c r="EC221" s="361" t="e">
        <f ca="1">INDEX(INDIRECT(VLOOKUP(LEFT(BO221,7),CLU!$Z$3:$AH$18,7)),M221-1,4+LEFT(DZ221,1)*0.5)</f>
        <v>#N/A</v>
      </c>
      <c r="ED221" s="362" t="str">
        <f t="shared" si="666"/>
        <v xml:space="preserve"> </v>
      </c>
      <c r="EE221" s="361" t="str">
        <f t="shared" si="667"/>
        <v xml:space="preserve"> </v>
      </c>
      <c r="EF221" s="362" t="str">
        <f>IF(L221&gt;0,IF(BR221&gt;0,IF(EE221="2P",IF(Calculation!DZ221="2P",IF(Calculation!DS221=13.75,IF(Calculation!DR221=13,Worksheet!$BD$43,IF(Calculation!DR221=37,Worksheet!$BD$44,Worksheet!$BD$45)),IF(Calculation!DS221=10,IF(Calculation!DR221=18,Worksheet!$BD$29,IF(Calculation!DR221=30,Worksheet!$BD$30,IF(Calculation!DR221=42,Worksheet!$BD$31,IF(Calculation!DR221=54,Worksheet!$BD$32,IF(Calculation!DR221=66,Worksheet!$BD$33,IF(Calculation!DR221=78,Worksheet!$BD$34,IF(Calculation!DR221=90,Worksheet!$BD$35,IF(Calculation!DR221=102,Worksheet!$BD$36,Worksheet!$BD$37)))))))),IF(Calculation!DS221=12.5,IF(Calculation!DR221=18,Worksheet!$BD$38,IF(Calculation!DR221=Worksheet!$BD$39,IF(Calculation!DR221=42,Worksheet!$BD$40,IF(Calculation!DR221=54,Worksheet!$BD$41,Worksheet!$BD$42)))),IF(Calculation!DR221=18,Worksheet!$BD$11,IF(Calculation!DR221=30,Worksheet!$BD$12,IF(Calculation!DR221=42,Worksheet!$BD$13,IF(Calculation!DR221=54,Worksheet!$BD$14,IF(Calculation!DR221=66,Worksheet!$BD$15,IF(Calculation!DR221=78,Worksheet!$BD$16,IF(Calculation!DR221=90,Worksheet!$BD$17,IF(Calculation!DR221=102,Worksheet!$BD$18,Worksheet!$BD$19))))))))))),IF(Calculation!DS221=13.75,IF(Calculation!DR221=13,Worksheet!$BD$78,IF(Calculation!DR221=37,Worksheet!$BD$79,Worksheet!$BD$80)),IF(Calculation!DS221=10,IF(Calculation!DR221=18,Worksheet!$BD$64,IF(Calculation!DR221=30,Worksheet!$BD$65,IF(Calculation!DR221=42,Worksheet!$BD$66,IF(Calculation!DR221=54,Worksheet!$BD$68,IF(Calculation!DR221=66,Worksheet!$BD$68,IF(Calculation!DR221=78,Worksheet!$BD$69,IF(Calculation!DR221=90,Worksheet!$BD$70,IF(Calculation!DR221=102,Worksheet!$BD$71,Worksheet!$BD$72)))))))),IF(Calculation!DS221=12.5,IF(Calculation!DR221=18,Worksheet!$BD$73,IF(Calculation!DR221=Worksheet!$BD$74,IF(Calculation!DR221=42,Worksheet!$BD$75,IF(Calculation!DR221=54,Worksheet!$BD$76,Worksheet!$BD$77)))),IF(Calculation!DR221=18,Worksheet!$BD$55,IF(Calculation!DR221=30,Worksheet!$BD$56,IF(Calculation!DR221=42,Worksheet!$BD$57,IF(Calculation!DR221=54,Worksheet!$BD$58,IF(Calculation!DR221=66,Worksheet!$BD$59,IF(Calculation!DR221=78,Worksheet!$BD$60,IF(Calculation!DR221=90,Worksheet!$BD$61,IF(Calculation!DR221=102,Worksheet!$BD$62,Worksheet!$BD$63)))))))))))),5),0)," ")</f>
        <v xml:space="preserve"> </v>
      </c>
      <c r="EG221" s="361" t="str">
        <f t="shared" si="668"/>
        <v xml:space="preserve"> </v>
      </c>
      <c r="EH221" s="361" t="e">
        <f ca="1">INDEX(INDIRECT(VLOOKUP(LEFT(BO221,7),CLU!$Z$3:$AH$18,7)),M221-1,3+LEFT(DZ221,1))</f>
        <v>#N/A</v>
      </c>
      <c r="EI221" s="362" t="str">
        <f t="shared" si="669"/>
        <v xml:space="preserve"> </v>
      </c>
      <c r="EJ221" s="363" t="str">
        <f t="shared" si="670"/>
        <v xml:space="preserve"> </v>
      </c>
      <c r="EK221" s="363" t="str">
        <f t="shared" si="671"/>
        <v xml:space="preserve"> </v>
      </c>
      <c r="EL221" s="363" t="str">
        <f t="shared" si="672"/>
        <v xml:space="preserve"> </v>
      </c>
      <c r="EM221" s="362" t="str">
        <f>IF(L221&gt;0,IF(BR221&gt;0,(Calculation!T221/ED221)^2,0)," ")</f>
        <v xml:space="preserve"> </v>
      </c>
      <c r="EN221" s="362" t="str">
        <f>IF(L221&gt;0,IF(O221="2 Pipe (Cooling)","N/A",IF(BR221&gt;0,(Calculation!U221/EI221)^2,0))," ")</f>
        <v xml:space="preserve"> </v>
      </c>
      <c r="EO221" s="361" t="str">
        <f t="shared" si="673"/>
        <v/>
      </c>
      <c r="EP221" s="361" t="str">
        <f t="shared" si="674"/>
        <v/>
      </c>
      <c r="EQ221" s="361" t="str">
        <f t="shared" si="675"/>
        <v/>
      </c>
      <c r="ER221" s="361" t="str">
        <f t="shared" si="676"/>
        <v/>
      </c>
      <c r="ES221" s="361" t="str">
        <f t="shared" si="677"/>
        <v/>
      </c>
      <c r="ET221" s="361" t="str">
        <f t="shared" si="678"/>
        <v/>
      </c>
      <c r="EU221" s="361" t="str">
        <f t="shared" si="679"/>
        <v/>
      </c>
      <c r="EV221" s="361" t="str">
        <f t="shared" si="680"/>
        <v/>
      </c>
      <c r="EW221" s="361" t="str">
        <f t="shared" si="681"/>
        <v/>
      </c>
      <c r="EX221" s="361" t="str">
        <f t="shared" si="771"/>
        <v>1 slot, 1 way</v>
      </c>
      <c r="EY221" s="361" t="str">
        <f t="shared" si="772"/>
        <v xml:space="preserve"> </v>
      </c>
      <c r="EZ221" s="361" t="str">
        <f t="shared" si="773"/>
        <v xml:space="preserve"> </v>
      </c>
      <c r="FA221" s="361" t="str">
        <f t="shared" si="774"/>
        <v xml:space="preserve"> </v>
      </c>
      <c r="FB221" s="361" t="str">
        <f t="shared" si="775"/>
        <v xml:space="preserve"> </v>
      </c>
      <c r="FC221" s="361"/>
      <c r="FD221" s="361" t="str">
        <f>IF(J221&gt;0,IF(Calculation!R221&lt;=70,4,IF(Calculation!R221&lt;=110,5,IF(Calculation!R221&lt;=160,6,IF(Calculation!R221&lt;=300,8,"10 EO")))),"")</f>
        <v/>
      </c>
      <c r="FE221" s="361" t="str">
        <f t="shared" si="776"/>
        <v/>
      </c>
      <c r="FF221" s="361" t="str">
        <f t="shared" si="777"/>
        <v/>
      </c>
      <c r="FG221" s="361" t="e">
        <f t="shared" si="682"/>
        <v>#N/A</v>
      </c>
      <c r="FH221" s="361">
        <f t="shared" si="683"/>
        <v>0</v>
      </c>
      <c r="FI221" s="361" t="e">
        <f t="shared" si="684"/>
        <v>#DIV/0!</v>
      </c>
      <c r="FJ221" s="361"/>
      <c r="FK221" s="356" t="e">
        <f t="shared" si="685"/>
        <v>#VALUE!</v>
      </c>
      <c r="FL221" s="361"/>
      <c r="FM221" s="361"/>
      <c r="FN221" s="362" t="str">
        <f t="shared" si="778"/>
        <v xml:space="preserve"> </v>
      </c>
      <c r="FO221" s="362" t="str">
        <f t="shared" si="779"/>
        <v xml:space="preserve"> </v>
      </c>
      <c r="FP221" s="362">
        <f t="shared" si="780"/>
        <v>0</v>
      </c>
      <c r="FQ221" s="361">
        <f t="shared" si="686"/>
        <v>0</v>
      </c>
      <c r="FR221" s="362" t="str">
        <f>IF(L221&gt;0,IF(J221="CBAL2",Worksheet!$P$67,IF(J221="CBE2-24",Worksheet!$Q$67,IF(J221="CBAM",Worksheet!$R$67,IF(J221="CBLV",Worksheet!$S$67,IF(J221="CBAB",Worksheet!$U$67,IF(J221="CBAW",Worksheet!$X$67,IF(J221="CBE2-12",Worksheet!$Y$67,IF(J221="CBAL2",Worksheet!$Z$67,"N/A"))))))))," ")</f>
        <v xml:space="preserve"> </v>
      </c>
      <c r="FS221" s="362" t="str">
        <f>IF(L221&gt;0,IF(J221="CBAL2",Worksheet!$P$68,IF(J221="CBE2-24",Worksheet!$Q$68,IF(J221="CBAM",Worksheet!$R$68,IF(J221="CBLV",Worksheet!$S$68,IF(J221="CBAB",Worksheet!$U$68,IF(J221="CBAW",Worksheet!$X$68,IF(J221="CBE2-12",Worksheet!$Y$68,IF(J221="CBAL2",Worksheet!$Z$68,"N/A"))))))))," ")</f>
        <v xml:space="preserve"> </v>
      </c>
      <c r="FT221" s="362" t="str">
        <f>IF(L221&gt;0,IF(J221="CBAL2",Worksheet!$P$69,IF(J221="CBE2-24",Worksheet!$Q$69,IF(J221="CBAM",Worksheet!$R$69,IF(J221="CBLV",Worksheet!$S$69,IF(J221="CBAB",Worksheet!$U$69,IF(J221="CBAW",Worksheet!$X$69,IF(J221="CBE2-12",Worksheet!$Y$69,IF(J221="CBAL2",Worksheet!$Z$69,"N/A"))))))))," ")</f>
        <v xml:space="preserve"> </v>
      </c>
      <c r="FU221" s="361" t="str">
        <f t="shared" si="781"/>
        <v xml:space="preserve"> </v>
      </c>
      <c r="FV221" s="362" t="str">
        <f t="shared" si="782"/>
        <v xml:space="preserve"> </v>
      </c>
      <c r="FW221" s="362" t="str">
        <f t="shared" si="783"/>
        <v xml:space="preserve"> </v>
      </c>
      <c r="FX221" s="362" t="str">
        <f t="shared" si="784"/>
        <v xml:space="preserve"> </v>
      </c>
      <c r="FY221" s="355" t="str">
        <f t="shared" si="785"/>
        <v xml:space="preserve"> </v>
      </c>
      <c r="FZ221" s="361" t="str">
        <f t="shared" si="786"/>
        <v xml:space="preserve"> </v>
      </c>
      <c r="GA221" s="347" t="str">
        <f t="shared" si="787"/>
        <v xml:space="preserve"> </v>
      </c>
      <c r="GB221" s="355" t="str">
        <f t="shared" si="788"/>
        <v xml:space="preserve"> </v>
      </c>
      <c r="GC221" s="328" t="str">
        <f t="shared" si="789"/>
        <v xml:space="preserve"> </v>
      </c>
      <c r="GD221" s="361" t="str">
        <f t="shared" si="790"/>
        <v xml:space="preserve"> </v>
      </c>
      <c r="GE221" s="347" t="str">
        <f t="shared" si="791"/>
        <v xml:space="preserve"> </v>
      </c>
      <c r="GF221" s="361" t="str">
        <f t="shared" si="792"/>
        <v xml:space="preserve"> </v>
      </c>
      <c r="GG221" s="347" t="str">
        <f t="shared" si="793"/>
        <v xml:space="preserve"> </v>
      </c>
      <c r="GH221" s="364">
        <f t="shared" si="687"/>
        <v>0</v>
      </c>
      <c r="GI221" s="362">
        <f t="shared" si="794"/>
        <v>2</v>
      </c>
      <c r="GJ221" s="433" t="e">
        <f>IF(6-COUNTBLANK(GT221:GY221)=4,MATCH(MID(BO221,9,3),CLU!$H$16:$K$16),MATCH(MID(BO221,9,3),CLU!$H$13:$M$13))</f>
        <v>#N/A</v>
      </c>
      <c r="GK221" s="433" t="e">
        <f>HLOOKUP(VALUE(BP221),CLU!$H$9:$M$10,2)</f>
        <v>#VALUE!</v>
      </c>
      <c r="GL221" s="433" t="e">
        <f ca="1">MATCH(BU221,CLU!$H$2:$V$2,1)</f>
        <v>#VALUE!</v>
      </c>
      <c r="GM221" s="433" t="e">
        <f t="shared" ca="1" si="795"/>
        <v>#VALUE!</v>
      </c>
      <c r="GN221" s="433" t="e">
        <f t="shared" ca="1" si="796"/>
        <v>#VALUE!</v>
      </c>
      <c r="GO221" s="433" t="e">
        <f t="shared" ca="1" si="797"/>
        <v>#VALUE!</v>
      </c>
      <c r="GP221" s="433" t="e">
        <f t="shared" ca="1" si="798"/>
        <v>#VALUE!</v>
      </c>
      <c r="GQ221" s="433" t="e">
        <f t="shared" ca="1" si="799"/>
        <v>#VALUE!</v>
      </c>
      <c r="GR221" s="433" t="e">
        <f ca="1">MATCH(T221,INDIRECT(VLOOKUP(CONCATENATE(LEFT(BO221,7),"-",MID(BO221,13,1)),CLU!$P$3:$Q$16,2)),1)</f>
        <v>#N/A</v>
      </c>
      <c r="GS221" s="433" t="e">
        <f ca="1">MATCH(U221,INDIRECT(VLOOKUP(CONCATENATE(LEFT(BO221,7),"-",MID(BO221,13,1)),CLU!$P$3:$Q$16,2)),1)</f>
        <v>#N/A</v>
      </c>
      <c r="GT221" s="347" t="s">
        <v>512</v>
      </c>
      <c r="GU221" s="97" t="s">
        <v>513</v>
      </c>
      <c r="GV221" s="97" t="str">
        <f t="shared" si="800"/>
        <v>M23</v>
      </c>
      <c r="GW221" s="97" t="str">
        <f t="shared" si="801"/>
        <v>M31</v>
      </c>
      <c r="GX221" s="97" t="str">
        <f t="shared" si="802"/>
        <v/>
      </c>
      <c r="GY221" s="97" t="str">
        <f t="shared" si="803"/>
        <v/>
      </c>
      <c r="GZ221" s="481"/>
      <c r="HA221" s="288"/>
      <c r="HB221" s="240"/>
      <c r="HC221" s="240"/>
      <c r="HD221" s="240"/>
      <c r="HE221" s="240"/>
      <c r="HF221" s="240"/>
      <c r="HG221" s="240"/>
      <c r="HH221" s="240"/>
      <c r="HI221" s="240"/>
      <c r="HJ221" s="240"/>
      <c r="HK221" s="240"/>
      <c r="HL221" s="240"/>
      <c r="HM221" s="240"/>
      <c r="HN221" s="240"/>
      <c r="HO221" s="240"/>
      <c r="HP221" s="240"/>
      <c r="HQ221" s="240"/>
      <c r="HR221" s="240"/>
      <c r="HS221" s="240"/>
      <c r="HT221" s="240"/>
      <c r="HU221" s="240"/>
      <c r="HV221" s="245"/>
      <c r="HW221" s="245" t="b">
        <v>1</v>
      </c>
      <c r="HX221" s="245" t="str">
        <f t="shared" si="688"/>
        <v/>
      </c>
      <c r="HY221" s="245" t="e">
        <f t="shared" si="689"/>
        <v>#DIV/0!</v>
      </c>
      <c r="HZ221" s="245" t="e">
        <f t="shared" si="690"/>
        <v>#DIV/0!</v>
      </c>
      <c r="IA221" s="245">
        <f t="shared" si="691"/>
        <v>0</v>
      </c>
      <c r="IB221" s="245"/>
      <c r="IC221" t="b">
        <f t="shared" si="692"/>
        <v>1</v>
      </c>
      <c r="ID221" s="245" t="b">
        <f t="shared" si="693"/>
        <v>1</v>
      </c>
      <c r="IE221" s="245" t="b">
        <f t="shared" si="694"/>
        <v>1</v>
      </c>
      <c r="IF221" s="245" t="b">
        <f t="shared" si="695"/>
        <v>0</v>
      </c>
      <c r="IG221" s="245" t="b">
        <f t="shared" si="696"/>
        <v>1</v>
      </c>
      <c r="IH221" s="245" t="b">
        <f t="shared" si="697"/>
        <v>1</v>
      </c>
      <c r="II221" s="245">
        <f t="shared" si="804"/>
        <v>0</v>
      </c>
      <c r="IJ221" s="245" t="e">
        <f t="shared" si="698"/>
        <v>#VALUE!</v>
      </c>
      <c r="IK221" s="245" t="e">
        <f t="shared" si="699"/>
        <v>#VALUE!</v>
      </c>
      <c r="IL221" s="245"/>
      <c r="IM221" s="245" t="e">
        <f t="shared" si="805"/>
        <v>#N/A</v>
      </c>
      <c r="IN221" s="245" t="e">
        <f t="shared" si="806"/>
        <v>#N/A</v>
      </c>
      <c r="IO221" s="245"/>
      <c r="IP221" s="245"/>
      <c r="IQ221" s="245" t="str">
        <f t="shared" si="700"/>
        <v/>
      </c>
      <c r="IR221" s="245" t="str">
        <f>IF(J221="","",VLOOKUP(J221,Worksheet!$R$4:$T$14,2))</f>
        <v/>
      </c>
      <c r="IS221" s="245"/>
      <c r="IT221" s="245">
        <f t="shared" si="701"/>
        <v>0</v>
      </c>
      <c r="IU221" s="245">
        <f t="shared" si="702"/>
        <v>0</v>
      </c>
      <c r="IV221" s="245">
        <f t="shared" si="703"/>
        <v>0</v>
      </c>
      <c r="IW221" s="245">
        <f t="shared" si="704"/>
        <v>0</v>
      </c>
      <c r="IX221" s="245">
        <f t="shared" si="807"/>
        <v>0</v>
      </c>
      <c r="IY221" s="245">
        <f t="shared" si="705"/>
        <v>0</v>
      </c>
      <c r="IZ221" s="245">
        <f t="shared" si="706"/>
        <v>0</v>
      </c>
      <c r="JA221">
        <f t="shared" si="707"/>
        <v>0</v>
      </c>
      <c r="JB221">
        <f t="shared" si="808"/>
        <v>0</v>
      </c>
      <c r="JC221">
        <f t="shared" si="708"/>
        <v>0</v>
      </c>
      <c r="JD221">
        <f t="shared" si="709"/>
        <v>0</v>
      </c>
      <c r="JE221">
        <f t="shared" si="710"/>
        <v>0</v>
      </c>
      <c r="JF221">
        <f t="shared" si="711"/>
        <v>0</v>
      </c>
      <c r="JG221">
        <f t="shared" si="712"/>
        <v>0</v>
      </c>
      <c r="JH221">
        <f t="shared" si="713"/>
        <v>0</v>
      </c>
      <c r="JI221">
        <f t="shared" si="714"/>
        <v>0</v>
      </c>
      <c r="JJ221" s="447">
        <f t="shared" si="715"/>
        <v>0</v>
      </c>
      <c r="JK221" s="447">
        <f t="shared" si="716"/>
        <v>0</v>
      </c>
      <c r="JL221">
        <f t="shared" si="717"/>
        <v>0</v>
      </c>
      <c r="JM221" s="245" t="str">
        <f>IFERROR(VLOOKUP(MATCH(BN221,#REF!,0),#REF!,7),"")</f>
        <v/>
      </c>
      <c r="JN221" t="e">
        <f>HLOOKUP(LEFT(BO221,7),Discharge_Area,MATCH(JO221,LookUps!$B$130:$B$149,1)+2)</f>
        <v>#N/A</v>
      </c>
      <c r="JO221" t="str">
        <f t="shared" si="718"/>
        <v>- S</v>
      </c>
      <c r="JP221" t="e">
        <f>HLOOKUP(LEFT(BO221,7),Discharge_Area,MATCH(JO221,LookUps!$B$130:$B$149,1)+2)</f>
        <v>#N/A</v>
      </c>
      <c r="JQ221" t="e">
        <f t="shared" si="719"/>
        <v>#N/A</v>
      </c>
      <c r="JR221" t="e">
        <f t="shared" si="720"/>
        <v>#N/A</v>
      </c>
      <c r="JS221" t="e">
        <f t="shared" si="721"/>
        <v>#N/A</v>
      </c>
      <c r="JT221" s="532" t="str">
        <f t="shared" si="722"/>
        <v xml:space="preserve"> </v>
      </c>
      <c r="JU221" s="532" t="str">
        <f t="shared" si="723"/>
        <v xml:space="preserve"> </v>
      </c>
      <c r="JV221" s="533" t="str">
        <f t="shared" si="724"/>
        <v xml:space="preserve"> </v>
      </c>
      <c r="JW221" s="534">
        <f t="shared" si="725"/>
        <v>0</v>
      </c>
      <c r="JX221" s="535" t="str">
        <f t="shared" si="809"/>
        <v xml:space="preserve"> </v>
      </c>
      <c r="JY221" s="535" t="str">
        <f t="shared" si="810"/>
        <v xml:space="preserve"> </v>
      </c>
      <c r="JZ221" s="535" t="str">
        <f t="shared" si="811"/>
        <v xml:space="preserve"> </v>
      </c>
      <c r="KA221" s="536" t="str">
        <f t="shared" si="726"/>
        <v xml:space="preserve"> </v>
      </c>
      <c r="KB221" s="535" t="e">
        <f t="shared" si="812"/>
        <v>#VALUE!</v>
      </c>
      <c r="KC221" s="535" t="str">
        <f t="shared" si="727"/>
        <v/>
      </c>
      <c r="KD221" s="537" t="str">
        <f t="shared" si="813"/>
        <v xml:space="preserve"> </v>
      </c>
      <c r="KE221" s="537" t="str">
        <f t="shared" si="814"/>
        <v xml:space="preserve"> </v>
      </c>
      <c r="KF221" s="534">
        <f t="shared" si="728"/>
        <v>0</v>
      </c>
      <c r="KG221" s="535" t="str">
        <f t="shared" si="729"/>
        <v xml:space="preserve"> </v>
      </c>
      <c r="KH221" s="535" t="str">
        <f t="shared" si="730"/>
        <v xml:space="preserve"> </v>
      </c>
      <c r="KI221" s="535" t="str">
        <f t="shared" si="731"/>
        <v xml:space="preserve"> </v>
      </c>
      <c r="KJ221" s="536" t="str">
        <f t="shared" si="732"/>
        <v xml:space="preserve"> </v>
      </c>
      <c r="KK221" s="535" t="str">
        <f t="shared" si="815"/>
        <v xml:space="preserve"> </v>
      </c>
      <c r="KL221" s="535" t="str">
        <f t="shared" si="816"/>
        <v xml:space="preserve"> </v>
      </c>
      <c r="KM221" s="537" t="str">
        <f t="shared" si="733"/>
        <v xml:space="preserve"> </v>
      </c>
      <c r="KN221" s="537" t="str">
        <f t="shared" si="817"/>
        <v xml:space="preserve"> </v>
      </c>
      <c r="KP221">
        <f t="shared" si="734"/>
        <v>0</v>
      </c>
      <c r="LA221" t="e">
        <f t="shared" si="735"/>
        <v>#VALUE!</v>
      </c>
      <c r="LB221" t="e">
        <f t="shared" si="736"/>
        <v>#VALUE!</v>
      </c>
      <c r="LC221" t="e">
        <f t="shared" si="737"/>
        <v>#VALUE!</v>
      </c>
      <c r="LD221" t="e">
        <f t="shared" si="738"/>
        <v>#VALUE!</v>
      </c>
      <c r="LE221" t="e">
        <f t="shared" si="818"/>
        <v>#VALUE!</v>
      </c>
      <c r="LF221">
        <f t="shared" si="739"/>
        <v>0</v>
      </c>
      <c r="LG221" t="e">
        <f t="shared" si="819"/>
        <v>#VALUE!</v>
      </c>
      <c r="LH221" t="str">
        <f t="shared" si="740"/>
        <v xml:space="preserve"> </v>
      </c>
      <c r="LI221">
        <f t="shared" si="820"/>
        <v>1</v>
      </c>
    </row>
    <row r="222" spans="2:321" ht="15" customHeight="1">
      <c r="B222" s="311"/>
      <c r="C222" s="311"/>
      <c r="D222" s="312"/>
      <c r="E222" s="311"/>
      <c r="F222" s="312"/>
      <c r="G222" s="311"/>
      <c r="H222" s="311"/>
      <c r="I222" s="232"/>
      <c r="J222" s="311"/>
      <c r="K222" s="305" t="str">
        <f t="shared" si="741"/>
        <v/>
      </c>
      <c r="L222" s="313"/>
      <c r="M222" s="312"/>
      <c r="N222" s="311"/>
      <c r="O222" s="312"/>
      <c r="P222" s="311"/>
      <c r="Q222" s="305" t="str">
        <f t="shared" si="742"/>
        <v/>
      </c>
      <c r="R222" s="314"/>
      <c r="S222" s="450" t="str">
        <f t="shared" si="625"/>
        <v/>
      </c>
      <c r="T222" s="315"/>
      <c r="U222" s="315"/>
      <c r="W222" s="149" t="str">
        <f t="shared" si="626"/>
        <v xml:space="preserve"> </v>
      </c>
      <c r="X222" s="243" t="str">
        <f t="shared" si="627"/>
        <v xml:space="preserve"> </v>
      </c>
      <c r="Y222" s="150" t="str">
        <f t="shared" si="628"/>
        <v/>
      </c>
      <c r="Z222" s="149" t="str">
        <f t="shared" si="629"/>
        <v xml:space="preserve"> </v>
      </c>
      <c r="AA222" s="98" t="str">
        <f t="shared" si="630"/>
        <v xml:space="preserve"> </v>
      </c>
      <c r="AB222" s="153" t="str">
        <f t="shared" si="631"/>
        <v xml:space="preserve"> </v>
      </c>
      <c r="AC222" s="153" t="str">
        <f t="shared" si="632"/>
        <v xml:space="preserve"> </v>
      </c>
      <c r="AD222" s="148" t="str">
        <f t="shared" si="633"/>
        <v/>
      </c>
      <c r="AE222" s="149" t="str">
        <f t="shared" si="634"/>
        <v/>
      </c>
      <c r="AF222" s="151" t="str">
        <f t="shared" si="635"/>
        <v xml:space="preserve"> </v>
      </c>
      <c r="AG222" s="153" t="str">
        <f t="shared" si="636"/>
        <v xml:space="preserve"> </v>
      </c>
      <c r="AH222" s="98" t="str">
        <f t="shared" si="637"/>
        <v xml:space="preserve"> </v>
      </c>
      <c r="AI222" s="149" t="str">
        <f t="shared" si="638"/>
        <v xml:space="preserve"> </v>
      </c>
      <c r="AK222" s="144" t="str">
        <f t="shared" si="639"/>
        <v xml:space="preserve"> </v>
      </c>
      <c r="AL222" s="144"/>
      <c r="AM222" s="243" t="str">
        <f t="shared" si="640"/>
        <v xml:space="preserve"> </v>
      </c>
      <c r="AN222" s="149" t="str">
        <f t="shared" si="743"/>
        <v xml:space="preserve"> </v>
      </c>
      <c r="AO222" s="144" t="str">
        <f>IF(JB222&gt;0,IF(GI222=10,-R222*1.085*(Calculation!$F$6-Calculation!$F$13)*$S$14," "),"")</f>
        <v/>
      </c>
      <c r="AP222" s="144" t="str">
        <f t="shared" si="641"/>
        <v/>
      </c>
      <c r="AQ222" s="56" t="str">
        <f t="shared" si="642"/>
        <v/>
      </c>
      <c r="AR222" s="144" t="str">
        <f t="shared" si="643"/>
        <v/>
      </c>
      <c r="AS222" s="176" t="str">
        <f t="shared" si="644"/>
        <v/>
      </c>
      <c r="AT222" s="176" t="str">
        <f t="shared" si="744"/>
        <v xml:space="preserve"> </v>
      </c>
      <c r="AU222" s="176" t="str">
        <f t="shared" si="645"/>
        <v/>
      </c>
      <c r="AV222" s="177" t="str">
        <f t="shared" si="646"/>
        <v xml:space="preserve"> </v>
      </c>
      <c r="AW222" s="144" t="str">
        <f t="shared" si="647"/>
        <v xml:space="preserve"> </v>
      </c>
      <c r="AX222" s="144" t="str">
        <f t="shared" si="648"/>
        <v xml:space="preserve"> </v>
      </c>
      <c r="AY222" s="152" t="str">
        <f t="shared" si="649"/>
        <v xml:space="preserve"> </v>
      </c>
      <c r="AZ222" s="246" t="str">
        <f t="shared" si="650"/>
        <v/>
      </c>
      <c r="BA222" s="176" t="str">
        <f t="shared" si="651"/>
        <v xml:space="preserve"> </v>
      </c>
      <c r="BB222" s="176" t="str">
        <f t="shared" si="652"/>
        <v xml:space="preserve"> </v>
      </c>
      <c r="BC222" s="195"/>
      <c r="BD222" s="316"/>
      <c r="BE222" s="317"/>
      <c r="BF222" s="318"/>
      <c r="BG222" s="318"/>
      <c r="BH222" s="144" t="str">
        <f t="shared" si="821"/>
        <v xml:space="preserve"> </v>
      </c>
      <c r="BI222" s="176" t="str">
        <f t="shared" si="653"/>
        <v/>
      </c>
      <c r="BJ222" s="144" t="str">
        <f t="shared" si="822"/>
        <v/>
      </c>
      <c r="BK222" s="246" t="str">
        <f t="shared" si="654"/>
        <v/>
      </c>
      <c r="BL222" s="144" t="str">
        <f t="shared" si="823"/>
        <v/>
      </c>
      <c r="BM222" s="246" t="str">
        <f t="shared" si="655"/>
        <v/>
      </c>
      <c r="BN222" s="337" t="str">
        <f t="shared" si="745"/>
        <v/>
      </c>
      <c r="BO222" s="371" t="str">
        <f t="shared" si="746"/>
        <v/>
      </c>
      <c r="BP222" s="328" t="str">
        <f t="shared" si="824"/>
        <v xml:space="preserve"> </v>
      </c>
      <c r="BQ222" s="347" t="str">
        <f t="shared" si="747"/>
        <v xml:space="preserve"> </v>
      </c>
      <c r="BR222" s="353" t="str">
        <f t="shared" si="748"/>
        <v xml:space="preserve"> </v>
      </c>
      <c r="BS222" s="626" t="str">
        <f>IF(L222&gt;0,IF(Calculation!P222="M13",BR222*3.1416*(0.134^2)/(4*144),IF(Calculation!P222="M17",BR222*3.1416*(0.165^2)/(4*144),IF(Calculation!P222="M20",BR222*3.1416*(0.198^2)/(4*144),IF(Calculation!P222="M23",BR222*3.1416*(0.228^2)/(4*144),IF(Calculation!P222="M27",BR222*3.1416*(0.269^2)/(4*144),BR222*3.1416*(0.307^2)/(4*144))))))," ")</f>
        <v xml:space="preserve"> </v>
      </c>
      <c r="BT222" s="353" t="str">
        <f>IF(L222&gt;0,IF(BS222&gt;0,R222/Calculation!BS222,0)," ")</f>
        <v xml:space="preserve"> </v>
      </c>
      <c r="BU222" s="438" t="e">
        <f t="shared" ca="1" si="656"/>
        <v>#VALUE!</v>
      </c>
      <c r="BV222" s="449" t="e">
        <f ca="1">INDEX(INDIRECT(VLOOKUP(LEFT(BO222,7),CLU!$Z$3:$AH$18,2)),GN222,GR222)</f>
        <v>#N/A</v>
      </c>
      <c r="BW222" s="433" t="e">
        <f ca="1">INDEX(INDIRECT(VLOOKUP(LEFT(BO222,7),CLU!$Z$3:$AH$18,3)),GN222,GR222)</f>
        <v>#N/A</v>
      </c>
      <c r="BX222" s="433" t="e">
        <f ca="1">INDEX(INDIRECT(VLOOKUP(LEFT(BO222,7),CLU!$Z$3:$AH$18,4)),GN222,GR222)</f>
        <v>#N/A</v>
      </c>
      <c r="BY222" s="433" t="e">
        <f ca="1">INDEX(INDIRECT(VLOOKUP(LEFT(BO222,7),CLU!$Z$3:$AH$18,9)),((M222-2)*(6-COUNTBLANK(GT222:GY222)))+GJ222)</f>
        <v>#N/A</v>
      </c>
      <c r="BZ222" s="426" t="e">
        <f t="shared" ca="1" si="749"/>
        <v>#N/A</v>
      </c>
      <c r="CA222" s="424" t="e">
        <f t="shared" ca="1" si="750"/>
        <v>#N/A</v>
      </c>
      <c r="CB222" s="429" t="e">
        <f ca="1">INDEX(INDIRECT(VLOOKUP(LEFT(BO222,7),CLU!$Z$3:$AH$18,2)),GN222,GS222)</f>
        <v>#N/A</v>
      </c>
      <c r="CC222" s="342" t="e">
        <f ca="1">INDEX(INDIRECT(VLOOKUP(LEFT(BO222,7),CLU!$Z$3:$AH$18,3)),GN222,GS222)</f>
        <v>#N/A</v>
      </c>
      <c r="CD222" s="342" t="e">
        <f ca="1">INDEX(INDIRECT(VLOOKUP(LEFT(BO222,7),CLU!$Z$3:$AH$18,4)),GN222,GS222)</f>
        <v>#N/A</v>
      </c>
      <c r="CE222" s="426" t="e">
        <f t="shared" ca="1" si="751"/>
        <v>#N/A</v>
      </c>
      <c r="CF222" s="440">
        <f t="shared" si="752"/>
        <v>0</v>
      </c>
      <c r="CG222" s="431" t="e">
        <f ca="1">INDEX(INDIRECT(VLOOKUP(LEFT(BO222,7),CLU!$Z$3:$AH$18,2)),GQ222,GR222)</f>
        <v>#N/A</v>
      </c>
      <c r="CH222" s="431" t="e">
        <f ca="1">INDEX(INDIRECT(VLOOKUP(LEFT(BO222,7),CLU!$Z$3:$AH$18,3)),GQ222,GR222)</f>
        <v>#N/A</v>
      </c>
      <c r="CI222" s="431" t="e">
        <f ca="1">INDEX(INDIRECT(VLOOKUP(LEFT(BO222,7),CLU!$Z$3:$AH$18,4)),GQ222,GR222)</f>
        <v>#N/A</v>
      </c>
      <c r="CJ222" s="448" t="e">
        <f t="shared" ca="1" si="753"/>
        <v>#N/A</v>
      </c>
      <c r="CK222" s="431" t="e">
        <f t="shared" ca="1" si="754"/>
        <v>#N/A</v>
      </c>
      <c r="CL222" s="440" t="e">
        <f t="shared" ca="1" si="755"/>
        <v>#N/A</v>
      </c>
      <c r="CM222" s="431" t="e">
        <f ca="1">INDEX(INDIRECT(VLOOKUP(LEFT(BO222,7),CLU!$Z$3:$AH$18,2)),GQ222,GS222)</f>
        <v>#N/A</v>
      </c>
      <c r="CN222" s="431" t="e">
        <f ca="1">INDEX(INDIRECT(VLOOKUP(LEFT(BO222,7),CLU!$Z$3:$AH$18,3)),GQ222,GS222)</f>
        <v>#N/A</v>
      </c>
      <c r="CO222" s="431" t="e">
        <f ca="1">INDEX(INDIRECT(VLOOKUP(LEFT(BO222,7),CLU!$Z$3:$AH$18,4)),GQ222,GS222)</f>
        <v>#N/A</v>
      </c>
      <c r="CP222" s="431" t="e">
        <f t="shared" ca="1" si="756"/>
        <v>#N/A</v>
      </c>
      <c r="CQ222" s="440">
        <f t="shared" si="757"/>
        <v>0</v>
      </c>
      <c r="CR222" s="51" t="e">
        <f t="shared" ca="1" si="758"/>
        <v>#N/A</v>
      </c>
      <c r="CS222" s="439" t="e">
        <f t="shared" ca="1" si="759"/>
        <v>#VALUE!</v>
      </c>
      <c r="CT222" s="51" t="e">
        <f t="shared" ca="1" si="760"/>
        <v>#VALUE!</v>
      </c>
      <c r="CU222" s="10"/>
      <c r="CV222" s="51" t="e">
        <f t="shared" ca="1" si="657"/>
        <v>#VALUE!</v>
      </c>
      <c r="CW222" s="51">
        <f t="shared" si="761"/>
        <v>0</v>
      </c>
      <c r="CX222" s="439" t="e">
        <f t="shared" ca="1" si="762"/>
        <v>#VALUE!</v>
      </c>
      <c r="CY222" s="51" t="e">
        <f t="shared" ca="1" si="763"/>
        <v>#VALUE!</v>
      </c>
      <c r="CZ222" s="10"/>
      <c r="DA222" s="51" t="e">
        <f t="shared" ca="1" si="764"/>
        <v>#VALUE!</v>
      </c>
      <c r="DB222" s="347" t="e">
        <f ca="1">INDEX(INDIRECT(VLOOKUP(LEFT(BO222,7),CLU!$Z$3:$AI$18,10)),((M222-2)*(6-COUNTBLANK(GT222:GY222)))+GJ222)*LI222</f>
        <v>#N/A</v>
      </c>
      <c r="DC222" s="347" t="str">
        <f>IF(L222&gt;0,((R222/Worksheet!$I$15)/DB222)^2," ")</f>
        <v xml:space="preserve"> </v>
      </c>
      <c r="DD222" s="602" t="str">
        <f t="shared" si="765"/>
        <v xml:space="preserve"> </v>
      </c>
      <c r="DE222" s="347" t="str">
        <f t="shared" si="658"/>
        <v xml:space="preserve"> </v>
      </c>
      <c r="DF222" s="356" t="e">
        <f ca="1">INDEX(INDIRECT(VLOOKUP(LEFT(BO222,7),CLU!$Z$3:$AH$18,8)),((M222-2)*(6-COUNTBLANK(GT222:GY222)))+GJ222)</f>
        <v>#N/A</v>
      </c>
      <c r="DG222" s="347" t="str">
        <f t="shared" si="659"/>
        <v xml:space="preserve"> </v>
      </c>
      <c r="DH222" s="357" t="str">
        <f t="shared" si="660"/>
        <v xml:space="preserve"> </v>
      </c>
      <c r="DI222" s="355" t="str">
        <f t="shared" si="661"/>
        <v xml:space="preserve"> </v>
      </c>
      <c r="DJ222" s="245" t="e">
        <f ca="1">INDEX(INDIRECT(VLOOKUP(LEFT(BO222,7),CLU!$Z$3:$AH$18,5)),GL222,GK222)</f>
        <v>#N/A</v>
      </c>
      <c r="DK222" s="245" t="e">
        <f ca="1">INDEX(INDIRECT(VLOOKUP(LEFT(BO222,7),CLU!$Z$3:$AH$18,6)),GL222,GK222)</f>
        <v>#N/A</v>
      </c>
      <c r="DL222" s="355">
        <f>(Calculation!R222*0.69143*(Calculation!$BQ$8-Calculation!$F$8))*$S$14</f>
        <v>0</v>
      </c>
      <c r="DM222" s="359" t="e">
        <f t="shared" si="766"/>
        <v>#VALUE!</v>
      </c>
      <c r="DN222" s="611">
        <f t="shared" si="767"/>
        <v>0</v>
      </c>
      <c r="DO222" s="359">
        <f t="shared" si="768"/>
        <v>100</v>
      </c>
      <c r="DP222" s="359">
        <f t="shared" si="769"/>
        <v>0</v>
      </c>
      <c r="DQ222" s="360"/>
      <c r="DR222" s="245" t="e">
        <f ca="1">INDEX(INDIRECT(VLOOKUP(LEFT(BO222,7),CLU!$Z$3:$AH$18,7)),M222-1,1)</f>
        <v>#N/A</v>
      </c>
      <c r="DS222" s="245" t="e">
        <f ca="1">INDEX(INDIRECT(VLOOKUP(LEFT(BO222,7),CLU!$Z$3:$AH$18,7)),M222-1,2)</f>
        <v>#N/A</v>
      </c>
      <c r="DT222" s="245" t="e">
        <f ca="1">INDEX(INDIRECT(VLOOKUP(LEFT(BO222,7),CLU!$Z$3:$AH$18,7)),M222-1,3)</f>
        <v>#N/A</v>
      </c>
      <c r="DU222" s="245" t="e">
        <f ca="1">INDEX(INDIRECT(VLOOKUP(LEFT(BO222,7),CLU!$Z$3:$AH$18,7)),M222-1,4)</f>
        <v>#N/A</v>
      </c>
      <c r="DV222" s="361" t="e">
        <f ca="1">INDEX(INDIRECT(VLOOKUP(LEFT(BO222,7),CLU!$Z$3:$AH$18,7)),M222-1,4+LEFT(DZ222,1)*0.5)</f>
        <v>#N/A</v>
      </c>
      <c r="DW222" s="245" t="e">
        <f ca="1">INDEX(INDIRECT(VLOOKUP(LEFT(BO222,7),CLU!$Z$3:$AH$18,7)),M222-1,8)</f>
        <v>#N/A</v>
      </c>
      <c r="DX222" s="361" t="str">
        <f t="shared" si="662"/>
        <v xml:space="preserve"> </v>
      </c>
      <c r="DY222" s="361" t="str">
        <f t="shared" si="663"/>
        <v xml:space="preserve"> </v>
      </c>
      <c r="DZ222" s="361" t="str">
        <f t="shared" si="664"/>
        <v xml:space="preserve"> </v>
      </c>
      <c r="EA222" s="362" t="str">
        <f t="shared" si="665"/>
        <v xml:space="preserve"> </v>
      </c>
      <c r="EB222" s="624" t="str">
        <f t="shared" si="770"/>
        <v xml:space="preserve"> </v>
      </c>
      <c r="EC222" s="361" t="e">
        <f ca="1">INDEX(INDIRECT(VLOOKUP(LEFT(BO222,7),CLU!$Z$3:$AH$18,7)),M222-1,4+LEFT(DZ222,1)*0.5)</f>
        <v>#N/A</v>
      </c>
      <c r="ED222" s="362" t="str">
        <f t="shared" si="666"/>
        <v xml:space="preserve"> </v>
      </c>
      <c r="EE222" s="361" t="str">
        <f t="shared" si="667"/>
        <v xml:space="preserve"> </v>
      </c>
      <c r="EF222" s="362" t="str">
        <f>IF(L222&gt;0,IF(BR222&gt;0,IF(EE222="2P",IF(Calculation!DZ222="2P",IF(Calculation!DS222=13.75,IF(Calculation!DR222=13,Worksheet!$BD$43,IF(Calculation!DR222=37,Worksheet!$BD$44,Worksheet!$BD$45)),IF(Calculation!DS222=10,IF(Calculation!DR222=18,Worksheet!$BD$29,IF(Calculation!DR222=30,Worksheet!$BD$30,IF(Calculation!DR222=42,Worksheet!$BD$31,IF(Calculation!DR222=54,Worksheet!$BD$32,IF(Calculation!DR222=66,Worksheet!$BD$33,IF(Calculation!DR222=78,Worksheet!$BD$34,IF(Calculation!DR222=90,Worksheet!$BD$35,IF(Calculation!DR222=102,Worksheet!$BD$36,Worksheet!$BD$37)))))))),IF(Calculation!DS222=12.5,IF(Calculation!DR222=18,Worksheet!$BD$38,IF(Calculation!DR222=Worksheet!$BD$39,IF(Calculation!DR222=42,Worksheet!$BD$40,IF(Calculation!DR222=54,Worksheet!$BD$41,Worksheet!$BD$42)))),IF(Calculation!DR222=18,Worksheet!$BD$11,IF(Calculation!DR222=30,Worksheet!$BD$12,IF(Calculation!DR222=42,Worksheet!$BD$13,IF(Calculation!DR222=54,Worksheet!$BD$14,IF(Calculation!DR222=66,Worksheet!$BD$15,IF(Calculation!DR222=78,Worksheet!$BD$16,IF(Calculation!DR222=90,Worksheet!$BD$17,IF(Calculation!DR222=102,Worksheet!$BD$18,Worksheet!$BD$19))))))))))),IF(Calculation!DS222=13.75,IF(Calculation!DR222=13,Worksheet!$BD$78,IF(Calculation!DR222=37,Worksheet!$BD$79,Worksheet!$BD$80)),IF(Calculation!DS222=10,IF(Calculation!DR222=18,Worksheet!$BD$64,IF(Calculation!DR222=30,Worksheet!$BD$65,IF(Calculation!DR222=42,Worksheet!$BD$66,IF(Calculation!DR222=54,Worksheet!$BD$68,IF(Calculation!DR222=66,Worksheet!$BD$68,IF(Calculation!DR222=78,Worksheet!$BD$69,IF(Calculation!DR222=90,Worksheet!$BD$70,IF(Calculation!DR222=102,Worksheet!$BD$71,Worksheet!$BD$72)))))))),IF(Calculation!DS222=12.5,IF(Calculation!DR222=18,Worksheet!$BD$73,IF(Calculation!DR222=Worksheet!$BD$74,IF(Calculation!DR222=42,Worksheet!$BD$75,IF(Calculation!DR222=54,Worksheet!$BD$76,Worksheet!$BD$77)))),IF(Calculation!DR222=18,Worksheet!$BD$55,IF(Calculation!DR222=30,Worksheet!$BD$56,IF(Calculation!DR222=42,Worksheet!$BD$57,IF(Calculation!DR222=54,Worksheet!$BD$58,IF(Calculation!DR222=66,Worksheet!$BD$59,IF(Calculation!DR222=78,Worksheet!$BD$60,IF(Calculation!DR222=90,Worksheet!$BD$61,IF(Calculation!DR222=102,Worksheet!$BD$62,Worksheet!$BD$63)))))))))))),5),0)," ")</f>
        <v xml:space="preserve"> </v>
      </c>
      <c r="EG222" s="361" t="str">
        <f t="shared" si="668"/>
        <v xml:space="preserve"> </v>
      </c>
      <c r="EH222" s="361" t="e">
        <f ca="1">INDEX(INDIRECT(VLOOKUP(LEFT(BO222,7),CLU!$Z$3:$AH$18,7)),M222-1,3+LEFT(DZ222,1))</f>
        <v>#N/A</v>
      </c>
      <c r="EI222" s="362" t="str">
        <f t="shared" si="669"/>
        <v xml:space="preserve"> </v>
      </c>
      <c r="EJ222" s="363" t="str">
        <f t="shared" si="670"/>
        <v xml:space="preserve"> </v>
      </c>
      <c r="EK222" s="363" t="str">
        <f t="shared" si="671"/>
        <v xml:space="preserve"> </v>
      </c>
      <c r="EL222" s="363" t="str">
        <f t="shared" si="672"/>
        <v xml:space="preserve"> </v>
      </c>
      <c r="EM222" s="362" t="str">
        <f>IF(L222&gt;0,IF(BR222&gt;0,(Calculation!T222/ED222)^2,0)," ")</f>
        <v xml:space="preserve"> </v>
      </c>
      <c r="EN222" s="362" t="str">
        <f>IF(L222&gt;0,IF(O222="2 Pipe (Cooling)","N/A",IF(BR222&gt;0,(Calculation!U222/EI222)^2,0))," ")</f>
        <v xml:space="preserve"> </v>
      </c>
      <c r="EO222" s="361" t="str">
        <f t="shared" si="673"/>
        <v/>
      </c>
      <c r="EP222" s="361" t="str">
        <f t="shared" si="674"/>
        <v/>
      </c>
      <c r="EQ222" s="361" t="str">
        <f t="shared" si="675"/>
        <v/>
      </c>
      <c r="ER222" s="361" t="str">
        <f t="shared" si="676"/>
        <v/>
      </c>
      <c r="ES222" s="361" t="str">
        <f t="shared" si="677"/>
        <v/>
      </c>
      <c r="ET222" s="361" t="str">
        <f t="shared" si="678"/>
        <v/>
      </c>
      <c r="EU222" s="361" t="str">
        <f t="shared" si="679"/>
        <v/>
      </c>
      <c r="EV222" s="361" t="str">
        <f t="shared" si="680"/>
        <v/>
      </c>
      <c r="EW222" s="361" t="str">
        <f t="shared" si="681"/>
        <v/>
      </c>
      <c r="EX222" s="361" t="str">
        <f t="shared" si="771"/>
        <v>1 slot, 1 way</v>
      </c>
      <c r="EY222" s="361" t="str">
        <f t="shared" si="772"/>
        <v xml:space="preserve"> </v>
      </c>
      <c r="EZ222" s="361" t="str">
        <f t="shared" si="773"/>
        <v xml:space="preserve"> </v>
      </c>
      <c r="FA222" s="361" t="str">
        <f t="shared" si="774"/>
        <v xml:space="preserve"> </v>
      </c>
      <c r="FB222" s="361" t="str">
        <f t="shared" si="775"/>
        <v xml:space="preserve"> </v>
      </c>
      <c r="FC222" s="361"/>
      <c r="FD222" s="361" t="str">
        <f>IF(J222&gt;0,IF(Calculation!R222&lt;=70,4,IF(Calculation!R222&lt;=110,5,IF(Calculation!R222&lt;=160,6,IF(Calculation!R222&lt;=300,8,"10 EO")))),"")</f>
        <v/>
      </c>
      <c r="FE222" s="361" t="str">
        <f t="shared" si="776"/>
        <v/>
      </c>
      <c r="FF222" s="361" t="str">
        <f t="shared" si="777"/>
        <v/>
      </c>
      <c r="FG222" s="361" t="e">
        <f t="shared" si="682"/>
        <v>#N/A</v>
      </c>
      <c r="FH222" s="361">
        <f t="shared" si="683"/>
        <v>0</v>
      </c>
      <c r="FI222" s="361" t="e">
        <f t="shared" si="684"/>
        <v>#DIV/0!</v>
      </c>
      <c r="FJ222" s="361"/>
      <c r="FK222" s="356" t="e">
        <f t="shared" si="685"/>
        <v>#VALUE!</v>
      </c>
      <c r="FL222" s="361"/>
      <c r="FM222" s="361"/>
      <c r="FN222" s="362" t="str">
        <f t="shared" si="778"/>
        <v xml:space="preserve"> </v>
      </c>
      <c r="FO222" s="362" t="str">
        <f t="shared" si="779"/>
        <v xml:space="preserve"> </v>
      </c>
      <c r="FP222" s="362">
        <f t="shared" si="780"/>
        <v>0</v>
      </c>
      <c r="FQ222" s="361">
        <f t="shared" si="686"/>
        <v>0</v>
      </c>
      <c r="FR222" s="362" t="str">
        <f>IF(L222&gt;0,IF(J222="CBAL2",Worksheet!$P$67,IF(J222="CBE2-24",Worksheet!$Q$67,IF(J222="CBAM",Worksheet!$R$67,IF(J222="CBLV",Worksheet!$S$67,IF(J222="CBAB",Worksheet!$U$67,IF(J222="CBAW",Worksheet!$X$67,IF(J222="CBE2-12",Worksheet!$Y$67,IF(J222="CBAL2",Worksheet!$Z$67,"N/A"))))))))," ")</f>
        <v xml:space="preserve"> </v>
      </c>
      <c r="FS222" s="362" t="str">
        <f>IF(L222&gt;0,IF(J222="CBAL2",Worksheet!$P$68,IF(J222="CBE2-24",Worksheet!$Q$68,IF(J222="CBAM",Worksheet!$R$68,IF(J222="CBLV",Worksheet!$S$68,IF(J222="CBAB",Worksheet!$U$68,IF(J222="CBAW",Worksheet!$X$68,IF(J222="CBE2-12",Worksheet!$Y$68,IF(J222="CBAL2",Worksheet!$Z$68,"N/A"))))))))," ")</f>
        <v xml:space="preserve"> </v>
      </c>
      <c r="FT222" s="362" t="str">
        <f>IF(L222&gt;0,IF(J222="CBAL2",Worksheet!$P$69,IF(J222="CBE2-24",Worksheet!$Q$69,IF(J222="CBAM",Worksheet!$R$69,IF(J222="CBLV",Worksheet!$S$69,IF(J222="CBAB",Worksheet!$U$69,IF(J222="CBAW",Worksheet!$X$69,IF(J222="CBE2-12",Worksheet!$Y$69,IF(J222="CBAL2",Worksheet!$Z$69,"N/A"))))))))," ")</f>
        <v xml:space="preserve"> </v>
      </c>
      <c r="FU222" s="361" t="str">
        <f t="shared" si="781"/>
        <v xml:space="preserve"> </v>
      </c>
      <c r="FV222" s="362" t="str">
        <f t="shared" si="782"/>
        <v xml:space="preserve"> </v>
      </c>
      <c r="FW222" s="362" t="str">
        <f t="shared" si="783"/>
        <v xml:space="preserve"> </v>
      </c>
      <c r="FX222" s="362" t="str">
        <f t="shared" si="784"/>
        <v xml:space="preserve"> </v>
      </c>
      <c r="FY222" s="355" t="str">
        <f t="shared" si="785"/>
        <v xml:space="preserve"> </v>
      </c>
      <c r="FZ222" s="361" t="str">
        <f t="shared" si="786"/>
        <v xml:space="preserve"> </v>
      </c>
      <c r="GA222" s="347" t="str">
        <f t="shared" si="787"/>
        <v xml:space="preserve"> </v>
      </c>
      <c r="GB222" s="355" t="str">
        <f t="shared" si="788"/>
        <v xml:space="preserve"> </v>
      </c>
      <c r="GC222" s="328" t="str">
        <f t="shared" si="789"/>
        <v xml:space="preserve"> </v>
      </c>
      <c r="GD222" s="361" t="str">
        <f t="shared" si="790"/>
        <v xml:space="preserve"> </v>
      </c>
      <c r="GE222" s="347" t="str">
        <f t="shared" si="791"/>
        <v xml:space="preserve"> </v>
      </c>
      <c r="GF222" s="361" t="str">
        <f t="shared" si="792"/>
        <v xml:space="preserve"> </v>
      </c>
      <c r="GG222" s="347" t="str">
        <f t="shared" si="793"/>
        <v xml:space="preserve"> </v>
      </c>
      <c r="GH222" s="364">
        <f t="shared" si="687"/>
        <v>0</v>
      </c>
      <c r="GI222" s="362">
        <f t="shared" si="794"/>
        <v>2</v>
      </c>
      <c r="GJ222" s="433" t="e">
        <f>IF(6-COUNTBLANK(GT222:GY222)=4,MATCH(MID(BO222,9,3),CLU!$H$16:$K$16),MATCH(MID(BO222,9,3),CLU!$H$13:$M$13))</f>
        <v>#N/A</v>
      </c>
      <c r="GK222" s="433" t="e">
        <f>HLOOKUP(VALUE(BP222),CLU!$H$9:$M$10,2)</f>
        <v>#VALUE!</v>
      </c>
      <c r="GL222" s="433" t="e">
        <f ca="1">MATCH(BU222,CLU!$H$2:$V$2,1)</f>
        <v>#VALUE!</v>
      </c>
      <c r="GM222" s="433" t="e">
        <f t="shared" ca="1" si="795"/>
        <v>#VALUE!</v>
      </c>
      <c r="GN222" s="433" t="e">
        <f t="shared" ca="1" si="796"/>
        <v>#VALUE!</v>
      </c>
      <c r="GO222" s="433" t="e">
        <f t="shared" ca="1" si="797"/>
        <v>#VALUE!</v>
      </c>
      <c r="GP222" s="433" t="e">
        <f t="shared" ca="1" si="798"/>
        <v>#VALUE!</v>
      </c>
      <c r="GQ222" s="433" t="e">
        <f t="shared" ca="1" si="799"/>
        <v>#VALUE!</v>
      </c>
      <c r="GR222" s="433" t="e">
        <f ca="1">MATCH(T222,INDIRECT(VLOOKUP(CONCATENATE(LEFT(BO222,7),"-",MID(BO222,13,1)),CLU!$P$3:$Q$16,2)),1)</f>
        <v>#N/A</v>
      </c>
      <c r="GS222" s="433" t="e">
        <f ca="1">MATCH(U222,INDIRECT(VLOOKUP(CONCATENATE(LEFT(BO222,7),"-",MID(BO222,13,1)),CLU!$P$3:$Q$16,2)),1)</f>
        <v>#N/A</v>
      </c>
      <c r="GT222" s="347" t="s">
        <v>512</v>
      </c>
      <c r="GU222" s="97" t="s">
        <v>513</v>
      </c>
      <c r="GV222" s="97" t="str">
        <f t="shared" si="800"/>
        <v>M23</v>
      </c>
      <c r="GW222" s="97" t="str">
        <f t="shared" si="801"/>
        <v>M31</v>
      </c>
      <c r="GX222" s="97" t="str">
        <f t="shared" si="802"/>
        <v/>
      </c>
      <c r="GY222" s="97" t="str">
        <f t="shared" si="803"/>
        <v/>
      </c>
      <c r="GZ222" s="481"/>
      <c r="HA222" s="288"/>
      <c r="HB222" s="240"/>
      <c r="HC222" s="240"/>
      <c r="HD222" s="240"/>
      <c r="HE222" s="240"/>
      <c r="HF222" s="240"/>
      <c r="HG222" s="240"/>
      <c r="HH222" s="240"/>
      <c r="HI222" s="240"/>
      <c r="HJ222" s="240"/>
      <c r="HK222" s="240"/>
      <c r="HL222" s="240"/>
      <c r="HM222" s="240"/>
      <c r="HN222" s="240"/>
      <c r="HO222" s="240"/>
      <c r="HP222" s="240"/>
      <c r="HQ222" s="240"/>
      <c r="HR222" s="240"/>
      <c r="HS222" s="240"/>
      <c r="HT222" s="240"/>
      <c r="HU222" s="240"/>
      <c r="HV222" s="245"/>
      <c r="HW222" s="245" t="b">
        <v>1</v>
      </c>
      <c r="HX222" s="245" t="str">
        <f t="shared" si="688"/>
        <v/>
      </c>
      <c r="HY222" s="245" t="e">
        <f t="shared" si="689"/>
        <v>#DIV/0!</v>
      </c>
      <c r="HZ222" s="245" t="e">
        <f t="shared" si="690"/>
        <v>#DIV/0!</v>
      </c>
      <c r="IA222" s="245">
        <f t="shared" si="691"/>
        <v>0</v>
      </c>
      <c r="IB222" s="245"/>
      <c r="IC222" t="b">
        <f t="shared" si="692"/>
        <v>1</v>
      </c>
      <c r="ID222" s="245" t="b">
        <f t="shared" si="693"/>
        <v>1</v>
      </c>
      <c r="IE222" s="245" t="b">
        <f t="shared" si="694"/>
        <v>1</v>
      </c>
      <c r="IF222" s="245" t="b">
        <f t="shared" si="695"/>
        <v>0</v>
      </c>
      <c r="IG222" s="245" t="b">
        <f t="shared" si="696"/>
        <v>1</v>
      </c>
      <c r="IH222" s="245" t="b">
        <f t="shared" si="697"/>
        <v>1</v>
      </c>
      <c r="II222" s="245">
        <f t="shared" si="804"/>
        <v>0</v>
      </c>
      <c r="IJ222" s="245" t="e">
        <f t="shared" si="698"/>
        <v>#VALUE!</v>
      </c>
      <c r="IK222" s="245" t="e">
        <f t="shared" si="699"/>
        <v>#VALUE!</v>
      </c>
      <c r="IL222" s="245"/>
      <c r="IM222" s="245" t="e">
        <f t="shared" si="805"/>
        <v>#N/A</v>
      </c>
      <c r="IN222" s="245" t="e">
        <f t="shared" si="806"/>
        <v>#N/A</v>
      </c>
      <c r="IO222" s="245"/>
      <c r="IP222" s="245"/>
      <c r="IQ222" s="245" t="str">
        <f t="shared" si="700"/>
        <v/>
      </c>
      <c r="IR222" s="245" t="str">
        <f>IF(J222="","",VLOOKUP(J222,Worksheet!$R$4:$T$14,2))</f>
        <v/>
      </c>
      <c r="IS222" s="245"/>
      <c r="IT222" s="245">
        <f t="shared" si="701"/>
        <v>0</v>
      </c>
      <c r="IU222" s="245">
        <f t="shared" si="702"/>
        <v>0</v>
      </c>
      <c r="IV222" s="245">
        <f t="shared" si="703"/>
        <v>0</v>
      </c>
      <c r="IW222" s="245">
        <f t="shared" si="704"/>
        <v>0</v>
      </c>
      <c r="IX222" s="245">
        <f t="shared" si="807"/>
        <v>0</v>
      </c>
      <c r="IY222" s="245">
        <f t="shared" si="705"/>
        <v>0</v>
      </c>
      <c r="IZ222" s="245">
        <f t="shared" si="706"/>
        <v>0</v>
      </c>
      <c r="JA222">
        <f t="shared" si="707"/>
        <v>0</v>
      </c>
      <c r="JB222">
        <f t="shared" si="808"/>
        <v>0</v>
      </c>
      <c r="JC222">
        <f t="shared" si="708"/>
        <v>0</v>
      </c>
      <c r="JD222">
        <f t="shared" si="709"/>
        <v>0</v>
      </c>
      <c r="JE222">
        <f t="shared" si="710"/>
        <v>0</v>
      </c>
      <c r="JF222">
        <f t="shared" si="711"/>
        <v>0</v>
      </c>
      <c r="JG222">
        <f t="shared" si="712"/>
        <v>0</v>
      </c>
      <c r="JH222">
        <f t="shared" si="713"/>
        <v>0</v>
      </c>
      <c r="JI222">
        <f t="shared" si="714"/>
        <v>0</v>
      </c>
      <c r="JJ222" s="447">
        <f t="shared" si="715"/>
        <v>0</v>
      </c>
      <c r="JK222" s="447">
        <f t="shared" si="716"/>
        <v>0</v>
      </c>
      <c r="JL222">
        <f t="shared" si="717"/>
        <v>0</v>
      </c>
      <c r="JM222" s="245" t="str">
        <f>IFERROR(VLOOKUP(MATCH(BN222,#REF!,0),#REF!,7),"")</f>
        <v/>
      </c>
      <c r="JN222" t="e">
        <f>HLOOKUP(LEFT(BO222,7),Discharge_Area,MATCH(JO222,LookUps!$B$130:$B$149,1)+2)</f>
        <v>#N/A</v>
      </c>
      <c r="JO222" t="str">
        <f t="shared" si="718"/>
        <v>- S</v>
      </c>
      <c r="JP222" t="e">
        <f>HLOOKUP(LEFT(BO222,7),Discharge_Area,MATCH(JO222,LookUps!$B$130:$B$149,1)+2)</f>
        <v>#N/A</v>
      </c>
      <c r="JQ222" t="e">
        <f t="shared" si="719"/>
        <v>#N/A</v>
      </c>
      <c r="JR222" t="e">
        <f t="shared" si="720"/>
        <v>#N/A</v>
      </c>
      <c r="JS222" t="e">
        <f t="shared" si="721"/>
        <v>#N/A</v>
      </c>
      <c r="JT222" s="532" t="str">
        <f t="shared" si="722"/>
        <v xml:space="preserve"> </v>
      </c>
      <c r="JU222" s="532" t="str">
        <f t="shared" si="723"/>
        <v xml:space="preserve"> </v>
      </c>
      <c r="JV222" s="533" t="str">
        <f t="shared" si="724"/>
        <v xml:space="preserve"> </v>
      </c>
      <c r="JW222" s="534">
        <f t="shared" si="725"/>
        <v>0</v>
      </c>
      <c r="JX222" s="535" t="str">
        <f t="shared" si="809"/>
        <v xml:space="preserve"> </v>
      </c>
      <c r="JY222" s="535" t="str">
        <f t="shared" si="810"/>
        <v xml:space="preserve"> </v>
      </c>
      <c r="JZ222" s="535" t="str">
        <f t="shared" si="811"/>
        <v xml:space="preserve"> </v>
      </c>
      <c r="KA222" s="536" t="str">
        <f t="shared" si="726"/>
        <v xml:space="preserve"> </v>
      </c>
      <c r="KB222" s="535" t="e">
        <f t="shared" si="812"/>
        <v>#VALUE!</v>
      </c>
      <c r="KC222" s="535" t="str">
        <f t="shared" si="727"/>
        <v/>
      </c>
      <c r="KD222" s="537" t="str">
        <f t="shared" si="813"/>
        <v xml:space="preserve"> </v>
      </c>
      <c r="KE222" s="537" t="str">
        <f t="shared" si="814"/>
        <v xml:space="preserve"> </v>
      </c>
      <c r="KF222" s="534">
        <f t="shared" si="728"/>
        <v>0</v>
      </c>
      <c r="KG222" s="535" t="str">
        <f t="shared" si="729"/>
        <v xml:space="preserve"> </v>
      </c>
      <c r="KH222" s="535" t="str">
        <f t="shared" si="730"/>
        <v xml:space="preserve"> </v>
      </c>
      <c r="KI222" s="535" t="str">
        <f t="shared" si="731"/>
        <v xml:space="preserve"> </v>
      </c>
      <c r="KJ222" s="536" t="str">
        <f t="shared" si="732"/>
        <v xml:space="preserve"> </v>
      </c>
      <c r="KK222" s="535" t="str">
        <f t="shared" si="815"/>
        <v xml:space="preserve"> </v>
      </c>
      <c r="KL222" s="535" t="str">
        <f t="shared" si="816"/>
        <v xml:space="preserve"> </v>
      </c>
      <c r="KM222" s="537" t="str">
        <f t="shared" si="733"/>
        <v xml:space="preserve"> </v>
      </c>
      <c r="KN222" s="537" t="str">
        <f t="shared" si="817"/>
        <v xml:space="preserve"> </v>
      </c>
      <c r="KP222">
        <f t="shared" si="734"/>
        <v>0</v>
      </c>
      <c r="LA222" t="e">
        <f t="shared" si="735"/>
        <v>#VALUE!</v>
      </c>
      <c r="LB222" t="e">
        <f t="shared" si="736"/>
        <v>#VALUE!</v>
      </c>
      <c r="LC222" t="e">
        <f t="shared" si="737"/>
        <v>#VALUE!</v>
      </c>
      <c r="LD222" t="e">
        <f t="shared" si="738"/>
        <v>#VALUE!</v>
      </c>
      <c r="LE222" t="e">
        <f t="shared" si="818"/>
        <v>#VALUE!</v>
      </c>
      <c r="LF222">
        <f t="shared" si="739"/>
        <v>0</v>
      </c>
      <c r="LG222" t="e">
        <f t="shared" si="819"/>
        <v>#VALUE!</v>
      </c>
      <c r="LH222" t="str">
        <f t="shared" si="740"/>
        <v xml:space="preserve"> </v>
      </c>
      <c r="LI222">
        <f t="shared" si="820"/>
        <v>1</v>
      </c>
    </row>
    <row r="223" spans="2:321" ht="15" customHeight="1">
      <c r="B223" s="311"/>
      <c r="C223" s="311"/>
      <c r="D223" s="312"/>
      <c r="E223" s="311"/>
      <c r="F223" s="312"/>
      <c r="G223" s="311"/>
      <c r="H223" s="311"/>
      <c r="I223" s="232"/>
      <c r="J223" s="311"/>
      <c r="K223" s="305" t="str">
        <f t="shared" si="741"/>
        <v/>
      </c>
      <c r="L223" s="313"/>
      <c r="M223" s="312"/>
      <c r="N223" s="311"/>
      <c r="O223" s="312"/>
      <c r="P223" s="311"/>
      <c r="Q223" s="305" t="str">
        <f t="shared" si="742"/>
        <v/>
      </c>
      <c r="R223" s="314"/>
      <c r="S223" s="450" t="str">
        <f t="shared" si="625"/>
        <v/>
      </c>
      <c r="T223" s="315"/>
      <c r="U223" s="315"/>
      <c r="W223" s="149" t="str">
        <f t="shared" si="626"/>
        <v xml:space="preserve"> </v>
      </c>
      <c r="X223" s="243" t="str">
        <f t="shared" si="627"/>
        <v xml:space="preserve"> </v>
      </c>
      <c r="Y223" s="150" t="str">
        <f t="shared" si="628"/>
        <v/>
      </c>
      <c r="Z223" s="149" t="str">
        <f t="shared" si="629"/>
        <v xml:space="preserve"> </v>
      </c>
      <c r="AA223" s="98" t="str">
        <f t="shared" si="630"/>
        <v xml:space="preserve"> </v>
      </c>
      <c r="AB223" s="153" t="str">
        <f t="shared" si="631"/>
        <v xml:space="preserve"> </v>
      </c>
      <c r="AC223" s="153" t="str">
        <f t="shared" si="632"/>
        <v xml:space="preserve"> </v>
      </c>
      <c r="AD223" s="148" t="str">
        <f t="shared" si="633"/>
        <v/>
      </c>
      <c r="AE223" s="149" t="str">
        <f t="shared" si="634"/>
        <v/>
      </c>
      <c r="AF223" s="151" t="str">
        <f t="shared" si="635"/>
        <v xml:space="preserve"> </v>
      </c>
      <c r="AG223" s="153" t="str">
        <f t="shared" si="636"/>
        <v xml:space="preserve"> </v>
      </c>
      <c r="AH223" s="98" t="str">
        <f t="shared" si="637"/>
        <v xml:space="preserve"> </v>
      </c>
      <c r="AI223" s="149" t="str">
        <f t="shared" si="638"/>
        <v xml:space="preserve"> </v>
      </c>
      <c r="AK223" s="144" t="str">
        <f t="shared" si="639"/>
        <v xml:space="preserve"> </v>
      </c>
      <c r="AL223" s="144"/>
      <c r="AM223" s="243" t="str">
        <f t="shared" si="640"/>
        <v xml:space="preserve"> </v>
      </c>
      <c r="AN223" s="149" t="str">
        <f t="shared" si="743"/>
        <v xml:space="preserve"> </v>
      </c>
      <c r="AO223" s="144" t="str">
        <f>IF(JB223&gt;0,IF(GI223=10,-R223*1.085*(Calculation!$F$6-Calculation!$F$13)*$S$14," "),"")</f>
        <v/>
      </c>
      <c r="AP223" s="144" t="str">
        <f t="shared" si="641"/>
        <v/>
      </c>
      <c r="AQ223" s="56" t="str">
        <f t="shared" si="642"/>
        <v/>
      </c>
      <c r="AR223" s="144" t="str">
        <f t="shared" si="643"/>
        <v/>
      </c>
      <c r="AS223" s="176" t="str">
        <f t="shared" si="644"/>
        <v/>
      </c>
      <c r="AT223" s="176" t="str">
        <f t="shared" si="744"/>
        <v xml:space="preserve"> </v>
      </c>
      <c r="AU223" s="176" t="str">
        <f t="shared" si="645"/>
        <v/>
      </c>
      <c r="AV223" s="177" t="str">
        <f t="shared" si="646"/>
        <v xml:space="preserve"> </v>
      </c>
      <c r="AW223" s="144" t="str">
        <f t="shared" si="647"/>
        <v xml:space="preserve"> </v>
      </c>
      <c r="AX223" s="144" t="str">
        <f t="shared" si="648"/>
        <v xml:space="preserve"> </v>
      </c>
      <c r="AY223" s="152" t="str">
        <f t="shared" si="649"/>
        <v xml:space="preserve"> </v>
      </c>
      <c r="AZ223" s="246" t="str">
        <f t="shared" si="650"/>
        <v/>
      </c>
      <c r="BA223" s="176" t="str">
        <f t="shared" si="651"/>
        <v xml:space="preserve"> </v>
      </c>
      <c r="BB223" s="176" t="str">
        <f t="shared" si="652"/>
        <v xml:space="preserve"> </v>
      </c>
      <c r="BC223" s="195"/>
      <c r="BD223" s="316"/>
      <c r="BE223" s="317"/>
      <c r="BF223" s="318"/>
      <c r="BG223" s="318"/>
      <c r="BH223" s="144" t="str">
        <f t="shared" si="821"/>
        <v xml:space="preserve"> </v>
      </c>
      <c r="BI223" s="176" t="str">
        <f t="shared" si="653"/>
        <v/>
      </c>
      <c r="BJ223" s="144" t="str">
        <f t="shared" si="822"/>
        <v/>
      </c>
      <c r="BK223" s="246" t="str">
        <f t="shared" si="654"/>
        <v/>
      </c>
      <c r="BL223" s="144" t="str">
        <f t="shared" si="823"/>
        <v/>
      </c>
      <c r="BM223" s="246" t="str">
        <f t="shared" si="655"/>
        <v/>
      </c>
      <c r="BN223" s="337" t="str">
        <f t="shared" si="745"/>
        <v/>
      </c>
      <c r="BO223" s="371" t="str">
        <f t="shared" si="746"/>
        <v/>
      </c>
      <c r="BP223" s="328" t="str">
        <f t="shared" si="824"/>
        <v xml:space="preserve"> </v>
      </c>
      <c r="BQ223" s="347" t="str">
        <f t="shared" si="747"/>
        <v xml:space="preserve"> </v>
      </c>
      <c r="BR223" s="353" t="str">
        <f t="shared" si="748"/>
        <v xml:space="preserve"> </v>
      </c>
      <c r="BS223" s="626" t="str">
        <f>IF(L223&gt;0,IF(Calculation!P223="M13",BR223*3.1416*(0.134^2)/(4*144),IF(Calculation!P223="M17",BR223*3.1416*(0.165^2)/(4*144),IF(Calculation!P223="M20",BR223*3.1416*(0.198^2)/(4*144),IF(Calculation!P223="M23",BR223*3.1416*(0.228^2)/(4*144),IF(Calculation!P223="M27",BR223*3.1416*(0.269^2)/(4*144),BR223*3.1416*(0.307^2)/(4*144))))))," ")</f>
        <v xml:space="preserve"> </v>
      </c>
      <c r="BT223" s="353" t="str">
        <f>IF(L223&gt;0,IF(BS223&gt;0,R223/Calculation!BS223,0)," ")</f>
        <v xml:space="preserve"> </v>
      </c>
      <c r="BU223" s="438" t="e">
        <f t="shared" ca="1" si="656"/>
        <v>#VALUE!</v>
      </c>
      <c r="BV223" s="449" t="e">
        <f ca="1">INDEX(INDIRECT(VLOOKUP(LEFT(BO223,7),CLU!$Z$3:$AH$18,2)),GN223,GR223)</f>
        <v>#N/A</v>
      </c>
      <c r="BW223" s="433" t="e">
        <f ca="1">INDEX(INDIRECT(VLOOKUP(LEFT(BO223,7),CLU!$Z$3:$AH$18,3)),GN223,GR223)</f>
        <v>#N/A</v>
      </c>
      <c r="BX223" s="433" t="e">
        <f ca="1">INDEX(INDIRECT(VLOOKUP(LEFT(BO223,7),CLU!$Z$3:$AH$18,4)),GN223,GR223)</f>
        <v>#N/A</v>
      </c>
      <c r="BY223" s="433" t="e">
        <f ca="1">INDEX(INDIRECT(VLOOKUP(LEFT(BO223,7),CLU!$Z$3:$AH$18,9)),((M223-2)*(6-COUNTBLANK(GT223:GY223)))+GJ223)</f>
        <v>#N/A</v>
      </c>
      <c r="BZ223" s="426" t="e">
        <f t="shared" ca="1" si="749"/>
        <v>#N/A</v>
      </c>
      <c r="CA223" s="424" t="e">
        <f t="shared" ca="1" si="750"/>
        <v>#N/A</v>
      </c>
      <c r="CB223" s="429" t="e">
        <f ca="1">INDEX(INDIRECT(VLOOKUP(LEFT(BO223,7),CLU!$Z$3:$AH$18,2)),GN223,GS223)</f>
        <v>#N/A</v>
      </c>
      <c r="CC223" s="342" t="e">
        <f ca="1">INDEX(INDIRECT(VLOOKUP(LEFT(BO223,7),CLU!$Z$3:$AH$18,3)),GN223,GS223)</f>
        <v>#N/A</v>
      </c>
      <c r="CD223" s="342" t="e">
        <f ca="1">INDEX(INDIRECT(VLOOKUP(LEFT(BO223,7),CLU!$Z$3:$AH$18,4)),GN223,GS223)</f>
        <v>#N/A</v>
      </c>
      <c r="CE223" s="426" t="e">
        <f t="shared" ca="1" si="751"/>
        <v>#N/A</v>
      </c>
      <c r="CF223" s="440">
        <f t="shared" si="752"/>
        <v>0</v>
      </c>
      <c r="CG223" s="431" t="e">
        <f ca="1">INDEX(INDIRECT(VLOOKUP(LEFT(BO223,7),CLU!$Z$3:$AH$18,2)),GQ223,GR223)</f>
        <v>#N/A</v>
      </c>
      <c r="CH223" s="431" t="e">
        <f ca="1">INDEX(INDIRECT(VLOOKUP(LEFT(BO223,7),CLU!$Z$3:$AH$18,3)),GQ223,GR223)</f>
        <v>#N/A</v>
      </c>
      <c r="CI223" s="431" t="e">
        <f ca="1">INDEX(INDIRECT(VLOOKUP(LEFT(BO223,7),CLU!$Z$3:$AH$18,4)),GQ223,GR223)</f>
        <v>#N/A</v>
      </c>
      <c r="CJ223" s="448" t="e">
        <f t="shared" ca="1" si="753"/>
        <v>#N/A</v>
      </c>
      <c r="CK223" s="431" t="e">
        <f t="shared" ca="1" si="754"/>
        <v>#N/A</v>
      </c>
      <c r="CL223" s="440" t="e">
        <f t="shared" ca="1" si="755"/>
        <v>#N/A</v>
      </c>
      <c r="CM223" s="431" t="e">
        <f ca="1">INDEX(INDIRECT(VLOOKUP(LEFT(BO223,7),CLU!$Z$3:$AH$18,2)),GQ223,GS223)</f>
        <v>#N/A</v>
      </c>
      <c r="CN223" s="431" t="e">
        <f ca="1">INDEX(INDIRECT(VLOOKUP(LEFT(BO223,7),CLU!$Z$3:$AH$18,3)),GQ223,GS223)</f>
        <v>#N/A</v>
      </c>
      <c r="CO223" s="431" t="e">
        <f ca="1">INDEX(INDIRECT(VLOOKUP(LEFT(BO223,7),CLU!$Z$3:$AH$18,4)),GQ223,GS223)</f>
        <v>#N/A</v>
      </c>
      <c r="CP223" s="431" t="e">
        <f t="shared" ca="1" si="756"/>
        <v>#N/A</v>
      </c>
      <c r="CQ223" s="440">
        <f t="shared" si="757"/>
        <v>0</v>
      </c>
      <c r="CR223" s="51" t="e">
        <f t="shared" ca="1" si="758"/>
        <v>#N/A</v>
      </c>
      <c r="CS223" s="439" t="e">
        <f t="shared" ca="1" si="759"/>
        <v>#VALUE!</v>
      </c>
      <c r="CT223" s="51" t="e">
        <f t="shared" ca="1" si="760"/>
        <v>#VALUE!</v>
      </c>
      <c r="CU223" s="10"/>
      <c r="CV223" s="51" t="e">
        <f t="shared" ca="1" si="657"/>
        <v>#VALUE!</v>
      </c>
      <c r="CW223" s="51">
        <f t="shared" si="761"/>
        <v>0</v>
      </c>
      <c r="CX223" s="439" t="e">
        <f t="shared" ca="1" si="762"/>
        <v>#VALUE!</v>
      </c>
      <c r="CY223" s="51" t="e">
        <f t="shared" ca="1" si="763"/>
        <v>#VALUE!</v>
      </c>
      <c r="CZ223" s="10"/>
      <c r="DA223" s="51" t="e">
        <f t="shared" ca="1" si="764"/>
        <v>#VALUE!</v>
      </c>
      <c r="DB223" s="347" t="e">
        <f ca="1">INDEX(INDIRECT(VLOOKUP(LEFT(BO223,7),CLU!$Z$3:$AI$18,10)),((M223-2)*(6-COUNTBLANK(GT223:GY223)))+GJ223)*LI223</f>
        <v>#N/A</v>
      </c>
      <c r="DC223" s="347" t="str">
        <f>IF(L223&gt;0,((R223/Worksheet!$I$15)/DB223)^2," ")</f>
        <v xml:space="preserve"> </v>
      </c>
      <c r="DD223" s="602" t="str">
        <f t="shared" si="765"/>
        <v xml:space="preserve"> </v>
      </c>
      <c r="DE223" s="347" t="str">
        <f t="shared" si="658"/>
        <v xml:space="preserve"> </v>
      </c>
      <c r="DF223" s="356" t="e">
        <f ca="1">INDEX(INDIRECT(VLOOKUP(LEFT(BO223,7),CLU!$Z$3:$AH$18,8)),((M223-2)*(6-COUNTBLANK(GT223:GY223)))+GJ223)</f>
        <v>#N/A</v>
      </c>
      <c r="DG223" s="347" t="str">
        <f t="shared" si="659"/>
        <v xml:space="preserve"> </v>
      </c>
      <c r="DH223" s="357" t="str">
        <f t="shared" si="660"/>
        <v xml:space="preserve"> </v>
      </c>
      <c r="DI223" s="355" t="str">
        <f t="shared" si="661"/>
        <v xml:space="preserve"> </v>
      </c>
      <c r="DJ223" s="245" t="e">
        <f ca="1">INDEX(INDIRECT(VLOOKUP(LEFT(BO223,7),CLU!$Z$3:$AH$18,5)),GL223,GK223)</f>
        <v>#N/A</v>
      </c>
      <c r="DK223" s="245" t="e">
        <f ca="1">INDEX(INDIRECT(VLOOKUP(LEFT(BO223,7),CLU!$Z$3:$AH$18,6)),GL223,GK223)</f>
        <v>#N/A</v>
      </c>
      <c r="DL223" s="355">
        <f>(Calculation!R223*0.69143*(Calculation!$BQ$8-Calculation!$F$8))*$S$14</f>
        <v>0</v>
      </c>
      <c r="DM223" s="359" t="e">
        <f t="shared" si="766"/>
        <v>#VALUE!</v>
      </c>
      <c r="DN223" s="611">
        <f t="shared" si="767"/>
        <v>0</v>
      </c>
      <c r="DO223" s="359">
        <f t="shared" si="768"/>
        <v>100</v>
      </c>
      <c r="DP223" s="359">
        <f t="shared" si="769"/>
        <v>0</v>
      </c>
      <c r="DQ223" s="360"/>
      <c r="DR223" s="245" t="e">
        <f ca="1">INDEX(INDIRECT(VLOOKUP(LEFT(BO223,7),CLU!$Z$3:$AH$18,7)),M223-1,1)</f>
        <v>#N/A</v>
      </c>
      <c r="DS223" s="245" t="e">
        <f ca="1">INDEX(INDIRECT(VLOOKUP(LEFT(BO223,7),CLU!$Z$3:$AH$18,7)),M223-1,2)</f>
        <v>#N/A</v>
      </c>
      <c r="DT223" s="245" t="e">
        <f ca="1">INDEX(INDIRECT(VLOOKUP(LEFT(BO223,7),CLU!$Z$3:$AH$18,7)),M223-1,3)</f>
        <v>#N/A</v>
      </c>
      <c r="DU223" s="245" t="e">
        <f ca="1">INDEX(INDIRECT(VLOOKUP(LEFT(BO223,7),CLU!$Z$3:$AH$18,7)),M223-1,4)</f>
        <v>#N/A</v>
      </c>
      <c r="DV223" s="361" t="e">
        <f ca="1">INDEX(INDIRECT(VLOOKUP(LEFT(BO223,7),CLU!$Z$3:$AH$18,7)),M223-1,4+LEFT(DZ223,1)*0.5)</f>
        <v>#N/A</v>
      </c>
      <c r="DW223" s="245" t="e">
        <f ca="1">INDEX(INDIRECT(VLOOKUP(LEFT(BO223,7),CLU!$Z$3:$AH$18,7)),M223-1,8)</f>
        <v>#N/A</v>
      </c>
      <c r="DX223" s="361" t="str">
        <f t="shared" si="662"/>
        <v xml:space="preserve"> </v>
      </c>
      <c r="DY223" s="361" t="str">
        <f t="shared" si="663"/>
        <v xml:space="preserve"> </v>
      </c>
      <c r="DZ223" s="361" t="str">
        <f t="shared" si="664"/>
        <v xml:space="preserve"> </v>
      </c>
      <c r="EA223" s="362" t="str">
        <f t="shared" si="665"/>
        <v xml:space="preserve"> </v>
      </c>
      <c r="EB223" s="624" t="str">
        <f t="shared" si="770"/>
        <v xml:space="preserve"> </v>
      </c>
      <c r="EC223" s="361" t="e">
        <f ca="1">INDEX(INDIRECT(VLOOKUP(LEFT(BO223,7),CLU!$Z$3:$AH$18,7)),M223-1,4+LEFT(DZ223,1)*0.5)</f>
        <v>#N/A</v>
      </c>
      <c r="ED223" s="362" t="str">
        <f t="shared" si="666"/>
        <v xml:space="preserve"> </v>
      </c>
      <c r="EE223" s="361" t="str">
        <f t="shared" si="667"/>
        <v xml:space="preserve"> </v>
      </c>
      <c r="EF223" s="362" t="str">
        <f>IF(L223&gt;0,IF(BR223&gt;0,IF(EE223="2P",IF(Calculation!DZ223="2P",IF(Calculation!DS223=13.75,IF(Calculation!DR223=13,Worksheet!$BD$43,IF(Calculation!DR223=37,Worksheet!$BD$44,Worksheet!$BD$45)),IF(Calculation!DS223=10,IF(Calculation!DR223=18,Worksheet!$BD$29,IF(Calculation!DR223=30,Worksheet!$BD$30,IF(Calculation!DR223=42,Worksheet!$BD$31,IF(Calculation!DR223=54,Worksheet!$BD$32,IF(Calculation!DR223=66,Worksheet!$BD$33,IF(Calculation!DR223=78,Worksheet!$BD$34,IF(Calculation!DR223=90,Worksheet!$BD$35,IF(Calculation!DR223=102,Worksheet!$BD$36,Worksheet!$BD$37)))))))),IF(Calculation!DS223=12.5,IF(Calculation!DR223=18,Worksheet!$BD$38,IF(Calculation!DR223=Worksheet!$BD$39,IF(Calculation!DR223=42,Worksheet!$BD$40,IF(Calculation!DR223=54,Worksheet!$BD$41,Worksheet!$BD$42)))),IF(Calculation!DR223=18,Worksheet!$BD$11,IF(Calculation!DR223=30,Worksheet!$BD$12,IF(Calculation!DR223=42,Worksheet!$BD$13,IF(Calculation!DR223=54,Worksheet!$BD$14,IF(Calculation!DR223=66,Worksheet!$BD$15,IF(Calculation!DR223=78,Worksheet!$BD$16,IF(Calculation!DR223=90,Worksheet!$BD$17,IF(Calculation!DR223=102,Worksheet!$BD$18,Worksheet!$BD$19))))))))))),IF(Calculation!DS223=13.75,IF(Calculation!DR223=13,Worksheet!$BD$78,IF(Calculation!DR223=37,Worksheet!$BD$79,Worksheet!$BD$80)),IF(Calculation!DS223=10,IF(Calculation!DR223=18,Worksheet!$BD$64,IF(Calculation!DR223=30,Worksheet!$BD$65,IF(Calculation!DR223=42,Worksheet!$BD$66,IF(Calculation!DR223=54,Worksheet!$BD$68,IF(Calculation!DR223=66,Worksheet!$BD$68,IF(Calculation!DR223=78,Worksheet!$BD$69,IF(Calculation!DR223=90,Worksheet!$BD$70,IF(Calculation!DR223=102,Worksheet!$BD$71,Worksheet!$BD$72)))))))),IF(Calculation!DS223=12.5,IF(Calculation!DR223=18,Worksheet!$BD$73,IF(Calculation!DR223=Worksheet!$BD$74,IF(Calculation!DR223=42,Worksheet!$BD$75,IF(Calculation!DR223=54,Worksheet!$BD$76,Worksheet!$BD$77)))),IF(Calculation!DR223=18,Worksheet!$BD$55,IF(Calculation!DR223=30,Worksheet!$BD$56,IF(Calculation!DR223=42,Worksheet!$BD$57,IF(Calculation!DR223=54,Worksheet!$BD$58,IF(Calculation!DR223=66,Worksheet!$BD$59,IF(Calculation!DR223=78,Worksheet!$BD$60,IF(Calculation!DR223=90,Worksheet!$BD$61,IF(Calculation!DR223=102,Worksheet!$BD$62,Worksheet!$BD$63)))))))))))),5),0)," ")</f>
        <v xml:space="preserve"> </v>
      </c>
      <c r="EG223" s="361" t="str">
        <f t="shared" si="668"/>
        <v xml:space="preserve"> </v>
      </c>
      <c r="EH223" s="361" t="e">
        <f ca="1">INDEX(INDIRECT(VLOOKUP(LEFT(BO223,7),CLU!$Z$3:$AH$18,7)),M223-1,3+LEFT(DZ223,1))</f>
        <v>#N/A</v>
      </c>
      <c r="EI223" s="362" t="str">
        <f t="shared" si="669"/>
        <v xml:space="preserve"> </v>
      </c>
      <c r="EJ223" s="363" t="str">
        <f t="shared" si="670"/>
        <v xml:space="preserve"> </v>
      </c>
      <c r="EK223" s="363" t="str">
        <f t="shared" si="671"/>
        <v xml:space="preserve"> </v>
      </c>
      <c r="EL223" s="363" t="str">
        <f t="shared" si="672"/>
        <v xml:space="preserve"> </v>
      </c>
      <c r="EM223" s="362" t="str">
        <f>IF(L223&gt;0,IF(BR223&gt;0,(Calculation!T223/ED223)^2,0)," ")</f>
        <v xml:space="preserve"> </v>
      </c>
      <c r="EN223" s="362" t="str">
        <f>IF(L223&gt;0,IF(O223="2 Pipe (Cooling)","N/A",IF(BR223&gt;0,(Calculation!U223/EI223)^2,0))," ")</f>
        <v xml:space="preserve"> </v>
      </c>
      <c r="EO223" s="361" t="str">
        <f t="shared" si="673"/>
        <v/>
      </c>
      <c r="EP223" s="361" t="str">
        <f t="shared" si="674"/>
        <v/>
      </c>
      <c r="EQ223" s="361" t="str">
        <f t="shared" si="675"/>
        <v/>
      </c>
      <c r="ER223" s="361" t="str">
        <f t="shared" si="676"/>
        <v/>
      </c>
      <c r="ES223" s="361" t="str">
        <f t="shared" si="677"/>
        <v/>
      </c>
      <c r="ET223" s="361" t="str">
        <f t="shared" si="678"/>
        <v/>
      </c>
      <c r="EU223" s="361" t="str">
        <f t="shared" si="679"/>
        <v/>
      </c>
      <c r="EV223" s="361" t="str">
        <f t="shared" si="680"/>
        <v/>
      </c>
      <c r="EW223" s="361" t="str">
        <f t="shared" si="681"/>
        <v/>
      </c>
      <c r="EX223" s="361" t="str">
        <f t="shared" si="771"/>
        <v>1 slot, 1 way</v>
      </c>
      <c r="EY223" s="361" t="str">
        <f t="shared" si="772"/>
        <v xml:space="preserve"> </v>
      </c>
      <c r="EZ223" s="361" t="str">
        <f t="shared" si="773"/>
        <v xml:space="preserve"> </v>
      </c>
      <c r="FA223" s="361" t="str">
        <f t="shared" si="774"/>
        <v xml:space="preserve"> </v>
      </c>
      <c r="FB223" s="361" t="str">
        <f t="shared" si="775"/>
        <v xml:space="preserve"> </v>
      </c>
      <c r="FC223" s="361"/>
      <c r="FD223" s="361" t="str">
        <f>IF(J223&gt;0,IF(Calculation!R223&lt;=70,4,IF(Calculation!R223&lt;=110,5,IF(Calculation!R223&lt;=160,6,IF(Calculation!R223&lt;=300,8,"10 EO")))),"")</f>
        <v/>
      </c>
      <c r="FE223" s="361" t="str">
        <f t="shared" si="776"/>
        <v/>
      </c>
      <c r="FF223" s="361" t="str">
        <f t="shared" si="777"/>
        <v/>
      </c>
      <c r="FG223" s="361" t="e">
        <f t="shared" si="682"/>
        <v>#N/A</v>
      </c>
      <c r="FH223" s="361">
        <f t="shared" si="683"/>
        <v>0</v>
      </c>
      <c r="FI223" s="361" t="e">
        <f t="shared" si="684"/>
        <v>#DIV/0!</v>
      </c>
      <c r="FJ223" s="361"/>
      <c r="FK223" s="356" t="e">
        <f t="shared" si="685"/>
        <v>#VALUE!</v>
      </c>
      <c r="FL223" s="361"/>
      <c r="FM223" s="361"/>
      <c r="FN223" s="362" t="str">
        <f t="shared" si="778"/>
        <v xml:space="preserve"> </v>
      </c>
      <c r="FO223" s="362" t="str">
        <f t="shared" si="779"/>
        <v xml:space="preserve"> </v>
      </c>
      <c r="FP223" s="362">
        <f t="shared" si="780"/>
        <v>0</v>
      </c>
      <c r="FQ223" s="361">
        <f t="shared" si="686"/>
        <v>0</v>
      </c>
      <c r="FR223" s="362" t="str">
        <f>IF(L223&gt;0,IF(J223="CBAL2",Worksheet!$P$67,IF(J223="CBE2-24",Worksheet!$Q$67,IF(J223="CBAM",Worksheet!$R$67,IF(J223="CBLV",Worksheet!$S$67,IF(J223="CBAB",Worksheet!$U$67,IF(J223="CBAW",Worksheet!$X$67,IF(J223="CBE2-12",Worksheet!$Y$67,IF(J223="CBAL2",Worksheet!$Z$67,"N/A"))))))))," ")</f>
        <v xml:space="preserve"> </v>
      </c>
      <c r="FS223" s="362" t="str">
        <f>IF(L223&gt;0,IF(J223="CBAL2",Worksheet!$P$68,IF(J223="CBE2-24",Worksheet!$Q$68,IF(J223="CBAM",Worksheet!$R$68,IF(J223="CBLV",Worksheet!$S$68,IF(J223="CBAB",Worksheet!$U$68,IF(J223="CBAW",Worksheet!$X$68,IF(J223="CBE2-12",Worksheet!$Y$68,IF(J223="CBAL2",Worksheet!$Z$68,"N/A"))))))))," ")</f>
        <v xml:space="preserve"> </v>
      </c>
      <c r="FT223" s="362" t="str">
        <f>IF(L223&gt;0,IF(J223="CBAL2",Worksheet!$P$69,IF(J223="CBE2-24",Worksheet!$Q$69,IF(J223="CBAM",Worksheet!$R$69,IF(J223="CBLV",Worksheet!$S$69,IF(J223="CBAB",Worksheet!$U$69,IF(J223="CBAW",Worksheet!$X$69,IF(J223="CBE2-12",Worksheet!$Y$69,IF(J223="CBAL2",Worksheet!$Z$69,"N/A"))))))))," ")</f>
        <v xml:space="preserve"> </v>
      </c>
      <c r="FU223" s="361" t="str">
        <f t="shared" si="781"/>
        <v xml:space="preserve"> </v>
      </c>
      <c r="FV223" s="362" t="str">
        <f t="shared" si="782"/>
        <v xml:space="preserve"> </v>
      </c>
      <c r="FW223" s="362" t="str">
        <f t="shared" si="783"/>
        <v xml:space="preserve"> </v>
      </c>
      <c r="FX223" s="362" t="str">
        <f t="shared" si="784"/>
        <v xml:space="preserve"> </v>
      </c>
      <c r="FY223" s="355" t="str">
        <f t="shared" si="785"/>
        <v xml:space="preserve"> </v>
      </c>
      <c r="FZ223" s="361" t="str">
        <f t="shared" si="786"/>
        <v xml:space="preserve"> </v>
      </c>
      <c r="GA223" s="347" t="str">
        <f t="shared" si="787"/>
        <v xml:space="preserve"> </v>
      </c>
      <c r="GB223" s="355" t="str">
        <f t="shared" si="788"/>
        <v xml:space="preserve"> </v>
      </c>
      <c r="GC223" s="328" t="str">
        <f t="shared" si="789"/>
        <v xml:space="preserve"> </v>
      </c>
      <c r="GD223" s="361" t="str">
        <f t="shared" si="790"/>
        <v xml:space="preserve"> </v>
      </c>
      <c r="GE223" s="347" t="str">
        <f t="shared" si="791"/>
        <v xml:space="preserve"> </v>
      </c>
      <c r="GF223" s="361" t="str">
        <f t="shared" si="792"/>
        <v xml:space="preserve"> </v>
      </c>
      <c r="GG223" s="347" t="str">
        <f t="shared" si="793"/>
        <v xml:space="preserve"> </v>
      </c>
      <c r="GH223" s="364">
        <f t="shared" si="687"/>
        <v>0</v>
      </c>
      <c r="GI223" s="362">
        <f t="shared" si="794"/>
        <v>2</v>
      </c>
      <c r="GJ223" s="433" t="e">
        <f>IF(6-COUNTBLANK(GT223:GY223)=4,MATCH(MID(BO223,9,3),CLU!$H$16:$K$16),MATCH(MID(BO223,9,3),CLU!$H$13:$M$13))</f>
        <v>#N/A</v>
      </c>
      <c r="GK223" s="433" t="e">
        <f>HLOOKUP(VALUE(BP223),CLU!$H$9:$M$10,2)</f>
        <v>#VALUE!</v>
      </c>
      <c r="GL223" s="433" t="e">
        <f ca="1">MATCH(BU223,CLU!$H$2:$V$2,1)</f>
        <v>#VALUE!</v>
      </c>
      <c r="GM223" s="433" t="e">
        <f t="shared" ca="1" si="795"/>
        <v>#VALUE!</v>
      </c>
      <c r="GN223" s="433" t="e">
        <f t="shared" ca="1" si="796"/>
        <v>#VALUE!</v>
      </c>
      <c r="GO223" s="433" t="e">
        <f t="shared" ca="1" si="797"/>
        <v>#VALUE!</v>
      </c>
      <c r="GP223" s="433" t="e">
        <f t="shared" ca="1" si="798"/>
        <v>#VALUE!</v>
      </c>
      <c r="GQ223" s="433" t="e">
        <f t="shared" ca="1" si="799"/>
        <v>#VALUE!</v>
      </c>
      <c r="GR223" s="433" t="e">
        <f ca="1">MATCH(T223,INDIRECT(VLOOKUP(CONCATENATE(LEFT(BO223,7),"-",MID(BO223,13,1)),CLU!$P$3:$Q$16,2)),1)</f>
        <v>#N/A</v>
      </c>
      <c r="GS223" s="433" t="e">
        <f ca="1">MATCH(U223,INDIRECT(VLOOKUP(CONCATENATE(LEFT(BO223,7),"-",MID(BO223,13,1)),CLU!$P$3:$Q$16,2)),1)</f>
        <v>#N/A</v>
      </c>
      <c r="GT223" s="347" t="s">
        <v>512</v>
      </c>
      <c r="GU223" s="97" t="s">
        <v>513</v>
      </c>
      <c r="GV223" s="97" t="str">
        <f t="shared" si="800"/>
        <v>M23</v>
      </c>
      <c r="GW223" s="97" t="str">
        <f t="shared" si="801"/>
        <v>M31</v>
      </c>
      <c r="GX223" s="97" t="str">
        <f t="shared" si="802"/>
        <v/>
      </c>
      <c r="GY223" s="97" t="str">
        <f t="shared" si="803"/>
        <v/>
      </c>
      <c r="GZ223" s="481"/>
      <c r="HA223" s="288"/>
      <c r="HB223" s="240"/>
      <c r="HC223" s="240"/>
      <c r="HD223" s="240"/>
      <c r="HE223" s="240"/>
      <c r="HF223" s="240"/>
      <c r="HG223" s="240"/>
      <c r="HH223" s="240"/>
      <c r="HI223" s="240"/>
      <c r="HJ223" s="240"/>
      <c r="HK223" s="240"/>
      <c r="HL223" s="240"/>
      <c r="HM223" s="240"/>
      <c r="HN223" s="240"/>
      <c r="HO223" s="240"/>
      <c r="HP223" s="240"/>
      <c r="HQ223" s="240"/>
      <c r="HR223" s="240"/>
      <c r="HS223" s="240"/>
      <c r="HT223" s="240"/>
      <c r="HU223" s="240"/>
      <c r="HV223" s="245"/>
      <c r="HW223" s="245" t="b">
        <v>1</v>
      </c>
      <c r="HX223" s="245" t="str">
        <f t="shared" si="688"/>
        <v/>
      </c>
      <c r="HY223" s="245" t="e">
        <f t="shared" si="689"/>
        <v>#DIV/0!</v>
      </c>
      <c r="HZ223" s="245" t="e">
        <f t="shared" si="690"/>
        <v>#DIV/0!</v>
      </c>
      <c r="IA223" s="245">
        <f t="shared" si="691"/>
        <v>0</v>
      </c>
      <c r="IB223" s="245"/>
      <c r="IC223" t="b">
        <f t="shared" si="692"/>
        <v>1</v>
      </c>
      <c r="ID223" s="245" t="b">
        <f t="shared" si="693"/>
        <v>1</v>
      </c>
      <c r="IE223" s="245" t="b">
        <f t="shared" si="694"/>
        <v>1</v>
      </c>
      <c r="IF223" s="245" t="b">
        <f t="shared" si="695"/>
        <v>0</v>
      </c>
      <c r="IG223" s="245" t="b">
        <f t="shared" si="696"/>
        <v>1</v>
      </c>
      <c r="IH223" s="245" t="b">
        <f t="shared" si="697"/>
        <v>1</v>
      </c>
      <c r="II223" s="245">
        <f t="shared" si="804"/>
        <v>0</v>
      </c>
      <c r="IJ223" s="245" t="e">
        <f t="shared" si="698"/>
        <v>#VALUE!</v>
      </c>
      <c r="IK223" s="245" t="e">
        <f t="shared" si="699"/>
        <v>#VALUE!</v>
      </c>
      <c r="IL223" s="245"/>
      <c r="IM223" s="245" t="e">
        <f t="shared" si="805"/>
        <v>#N/A</v>
      </c>
      <c r="IN223" s="245" t="e">
        <f t="shared" si="806"/>
        <v>#N/A</v>
      </c>
      <c r="IO223" s="245"/>
      <c r="IP223" s="245"/>
      <c r="IQ223" s="245" t="str">
        <f t="shared" si="700"/>
        <v/>
      </c>
      <c r="IR223" s="245" t="str">
        <f>IF(J223="","",VLOOKUP(J223,Worksheet!$R$4:$T$14,2))</f>
        <v/>
      </c>
      <c r="IS223" s="245"/>
      <c r="IT223" s="245">
        <f t="shared" si="701"/>
        <v>0</v>
      </c>
      <c r="IU223" s="245">
        <f t="shared" si="702"/>
        <v>0</v>
      </c>
      <c r="IV223" s="245">
        <f t="shared" si="703"/>
        <v>0</v>
      </c>
      <c r="IW223" s="245">
        <f t="shared" si="704"/>
        <v>0</v>
      </c>
      <c r="IX223" s="245">
        <f t="shared" si="807"/>
        <v>0</v>
      </c>
      <c r="IY223" s="245">
        <f t="shared" si="705"/>
        <v>0</v>
      </c>
      <c r="IZ223" s="245">
        <f t="shared" si="706"/>
        <v>0</v>
      </c>
      <c r="JA223">
        <f t="shared" si="707"/>
        <v>0</v>
      </c>
      <c r="JB223">
        <f t="shared" si="808"/>
        <v>0</v>
      </c>
      <c r="JC223">
        <f t="shared" si="708"/>
        <v>0</v>
      </c>
      <c r="JD223">
        <f t="shared" si="709"/>
        <v>0</v>
      </c>
      <c r="JE223">
        <f t="shared" si="710"/>
        <v>0</v>
      </c>
      <c r="JF223">
        <f t="shared" si="711"/>
        <v>0</v>
      </c>
      <c r="JG223">
        <f t="shared" si="712"/>
        <v>0</v>
      </c>
      <c r="JH223">
        <f t="shared" si="713"/>
        <v>0</v>
      </c>
      <c r="JI223">
        <f t="shared" si="714"/>
        <v>0</v>
      </c>
      <c r="JJ223" s="447">
        <f t="shared" si="715"/>
        <v>0</v>
      </c>
      <c r="JK223" s="447">
        <f t="shared" si="716"/>
        <v>0</v>
      </c>
      <c r="JL223">
        <f t="shared" si="717"/>
        <v>0</v>
      </c>
      <c r="JM223" s="245" t="str">
        <f>IFERROR(VLOOKUP(MATCH(BN223,#REF!,0),#REF!,7),"")</f>
        <v/>
      </c>
      <c r="JN223" t="e">
        <f>HLOOKUP(LEFT(BO223,7),Discharge_Area,MATCH(JO223,LookUps!$B$130:$B$149,1)+2)</f>
        <v>#N/A</v>
      </c>
      <c r="JO223" t="str">
        <f t="shared" si="718"/>
        <v>- S</v>
      </c>
      <c r="JP223" t="e">
        <f>HLOOKUP(LEFT(BO223,7),Discharge_Area,MATCH(JO223,LookUps!$B$130:$B$149,1)+2)</f>
        <v>#N/A</v>
      </c>
      <c r="JQ223" t="e">
        <f t="shared" si="719"/>
        <v>#N/A</v>
      </c>
      <c r="JR223" t="e">
        <f t="shared" si="720"/>
        <v>#N/A</v>
      </c>
      <c r="JS223" t="e">
        <f t="shared" si="721"/>
        <v>#N/A</v>
      </c>
      <c r="JT223" s="532" t="str">
        <f t="shared" si="722"/>
        <v xml:space="preserve"> </v>
      </c>
      <c r="JU223" s="532" t="str">
        <f t="shared" si="723"/>
        <v xml:space="preserve"> </v>
      </c>
      <c r="JV223" s="533" t="str">
        <f t="shared" si="724"/>
        <v xml:space="preserve"> </v>
      </c>
      <c r="JW223" s="534">
        <f t="shared" si="725"/>
        <v>0</v>
      </c>
      <c r="JX223" s="535" t="str">
        <f t="shared" si="809"/>
        <v xml:space="preserve"> </v>
      </c>
      <c r="JY223" s="535" t="str">
        <f t="shared" si="810"/>
        <v xml:space="preserve"> </v>
      </c>
      <c r="JZ223" s="535" t="str">
        <f t="shared" si="811"/>
        <v xml:space="preserve"> </v>
      </c>
      <c r="KA223" s="536" t="str">
        <f t="shared" si="726"/>
        <v xml:space="preserve"> </v>
      </c>
      <c r="KB223" s="535" t="e">
        <f t="shared" si="812"/>
        <v>#VALUE!</v>
      </c>
      <c r="KC223" s="535" t="str">
        <f t="shared" si="727"/>
        <v/>
      </c>
      <c r="KD223" s="537" t="str">
        <f t="shared" si="813"/>
        <v xml:space="preserve"> </v>
      </c>
      <c r="KE223" s="537" t="str">
        <f t="shared" si="814"/>
        <v xml:space="preserve"> </v>
      </c>
      <c r="KF223" s="534">
        <f t="shared" si="728"/>
        <v>0</v>
      </c>
      <c r="KG223" s="535" t="str">
        <f t="shared" si="729"/>
        <v xml:space="preserve"> </v>
      </c>
      <c r="KH223" s="535" t="str">
        <f t="shared" si="730"/>
        <v xml:space="preserve"> </v>
      </c>
      <c r="KI223" s="535" t="str">
        <f t="shared" si="731"/>
        <v xml:space="preserve"> </v>
      </c>
      <c r="KJ223" s="536" t="str">
        <f t="shared" si="732"/>
        <v xml:space="preserve"> </v>
      </c>
      <c r="KK223" s="535" t="str">
        <f t="shared" si="815"/>
        <v xml:space="preserve"> </v>
      </c>
      <c r="KL223" s="535" t="str">
        <f t="shared" si="816"/>
        <v xml:space="preserve"> </v>
      </c>
      <c r="KM223" s="537" t="str">
        <f t="shared" si="733"/>
        <v xml:space="preserve"> </v>
      </c>
      <c r="KN223" s="537" t="str">
        <f t="shared" si="817"/>
        <v xml:space="preserve"> </v>
      </c>
      <c r="KP223">
        <f t="shared" si="734"/>
        <v>0</v>
      </c>
      <c r="LA223" t="e">
        <f t="shared" si="735"/>
        <v>#VALUE!</v>
      </c>
      <c r="LB223" t="e">
        <f t="shared" si="736"/>
        <v>#VALUE!</v>
      </c>
      <c r="LC223" t="e">
        <f t="shared" si="737"/>
        <v>#VALUE!</v>
      </c>
      <c r="LD223" t="e">
        <f t="shared" si="738"/>
        <v>#VALUE!</v>
      </c>
      <c r="LE223" t="e">
        <f t="shared" si="818"/>
        <v>#VALUE!</v>
      </c>
      <c r="LF223">
        <f t="shared" si="739"/>
        <v>0</v>
      </c>
      <c r="LG223" t="e">
        <f t="shared" si="819"/>
        <v>#VALUE!</v>
      </c>
      <c r="LH223" t="str">
        <f t="shared" si="740"/>
        <v xml:space="preserve"> </v>
      </c>
      <c r="LI223">
        <f t="shared" si="820"/>
        <v>1</v>
      </c>
    </row>
    <row r="224" spans="2:321" ht="15" customHeight="1">
      <c r="B224" s="311"/>
      <c r="C224" s="311"/>
      <c r="D224" s="312"/>
      <c r="E224" s="311"/>
      <c r="F224" s="312"/>
      <c r="G224" s="311"/>
      <c r="H224" s="311"/>
      <c r="I224" s="232"/>
      <c r="J224" s="311"/>
      <c r="K224" s="305" t="str">
        <f t="shared" si="741"/>
        <v/>
      </c>
      <c r="L224" s="313"/>
      <c r="M224" s="312"/>
      <c r="N224" s="311"/>
      <c r="O224" s="312"/>
      <c r="P224" s="311"/>
      <c r="Q224" s="305" t="str">
        <f t="shared" si="742"/>
        <v/>
      </c>
      <c r="R224" s="314"/>
      <c r="S224" s="450" t="str">
        <f t="shared" si="625"/>
        <v/>
      </c>
      <c r="T224" s="315"/>
      <c r="U224" s="315"/>
      <c r="W224" s="149" t="str">
        <f t="shared" si="626"/>
        <v xml:space="preserve"> </v>
      </c>
      <c r="X224" s="243" t="str">
        <f t="shared" si="627"/>
        <v xml:space="preserve"> </v>
      </c>
      <c r="Y224" s="150" t="str">
        <f t="shared" si="628"/>
        <v/>
      </c>
      <c r="Z224" s="149" t="str">
        <f t="shared" si="629"/>
        <v xml:space="preserve"> </v>
      </c>
      <c r="AA224" s="98" t="str">
        <f t="shared" si="630"/>
        <v xml:space="preserve"> </v>
      </c>
      <c r="AB224" s="153" t="str">
        <f t="shared" si="631"/>
        <v xml:space="preserve"> </v>
      </c>
      <c r="AC224" s="153" t="str">
        <f t="shared" si="632"/>
        <v xml:space="preserve"> </v>
      </c>
      <c r="AD224" s="148" t="str">
        <f t="shared" si="633"/>
        <v/>
      </c>
      <c r="AE224" s="149" t="str">
        <f t="shared" si="634"/>
        <v/>
      </c>
      <c r="AF224" s="151" t="str">
        <f t="shared" si="635"/>
        <v xml:space="preserve"> </v>
      </c>
      <c r="AG224" s="153" t="str">
        <f t="shared" si="636"/>
        <v xml:space="preserve"> </v>
      </c>
      <c r="AH224" s="98" t="str">
        <f t="shared" si="637"/>
        <v xml:space="preserve"> </v>
      </c>
      <c r="AI224" s="149" t="str">
        <f t="shared" si="638"/>
        <v xml:space="preserve"> </v>
      </c>
      <c r="AK224" s="144" t="str">
        <f t="shared" si="639"/>
        <v xml:space="preserve"> </v>
      </c>
      <c r="AL224" s="144"/>
      <c r="AM224" s="243" t="str">
        <f t="shared" si="640"/>
        <v xml:space="preserve"> </v>
      </c>
      <c r="AN224" s="149" t="str">
        <f t="shared" si="743"/>
        <v xml:space="preserve"> </v>
      </c>
      <c r="AO224" s="144" t="str">
        <f>IF(JB224&gt;0,IF(GI224=10,-R224*1.085*(Calculation!$F$6-Calculation!$F$13)*$S$14," "),"")</f>
        <v/>
      </c>
      <c r="AP224" s="144" t="str">
        <f t="shared" si="641"/>
        <v/>
      </c>
      <c r="AQ224" s="56" t="str">
        <f t="shared" si="642"/>
        <v/>
      </c>
      <c r="AR224" s="144" t="str">
        <f t="shared" si="643"/>
        <v/>
      </c>
      <c r="AS224" s="176" t="str">
        <f t="shared" si="644"/>
        <v/>
      </c>
      <c r="AT224" s="176" t="str">
        <f t="shared" si="744"/>
        <v xml:space="preserve"> </v>
      </c>
      <c r="AU224" s="176" t="str">
        <f t="shared" si="645"/>
        <v/>
      </c>
      <c r="AV224" s="177" t="str">
        <f t="shared" si="646"/>
        <v xml:space="preserve"> </v>
      </c>
      <c r="AW224" s="144" t="str">
        <f t="shared" si="647"/>
        <v xml:space="preserve"> </v>
      </c>
      <c r="AX224" s="144" t="str">
        <f t="shared" si="648"/>
        <v xml:space="preserve"> </v>
      </c>
      <c r="AY224" s="152" t="str">
        <f t="shared" si="649"/>
        <v xml:space="preserve"> </v>
      </c>
      <c r="AZ224" s="246" t="str">
        <f t="shared" si="650"/>
        <v/>
      </c>
      <c r="BA224" s="176" t="str">
        <f t="shared" si="651"/>
        <v xml:space="preserve"> </v>
      </c>
      <c r="BB224" s="176" t="str">
        <f t="shared" si="652"/>
        <v xml:space="preserve"> </v>
      </c>
      <c r="BC224" s="195"/>
      <c r="BD224" s="316"/>
      <c r="BE224" s="317"/>
      <c r="BF224" s="318"/>
      <c r="BG224" s="318"/>
      <c r="BH224" s="144" t="str">
        <f t="shared" si="821"/>
        <v xml:space="preserve"> </v>
      </c>
      <c r="BI224" s="176" t="str">
        <f t="shared" si="653"/>
        <v/>
      </c>
      <c r="BJ224" s="144" t="str">
        <f t="shared" si="822"/>
        <v/>
      </c>
      <c r="BK224" s="246" t="str">
        <f t="shared" si="654"/>
        <v/>
      </c>
      <c r="BL224" s="144" t="str">
        <f t="shared" si="823"/>
        <v/>
      </c>
      <c r="BM224" s="246" t="str">
        <f t="shared" si="655"/>
        <v/>
      </c>
      <c r="BN224" s="337" t="str">
        <f t="shared" si="745"/>
        <v/>
      </c>
      <c r="BO224" s="371" t="str">
        <f t="shared" si="746"/>
        <v/>
      </c>
      <c r="BP224" s="328" t="str">
        <f t="shared" si="824"/>
        <v xml:space="preserve"> </v>
      </c>
      <c r="BQ224" s="347" t="str">
        <f t="shared" si="747"/>
        <v xml:space="preserve"> </v>
      </c>
      <c r="BR224" s="353" t="str">
        <f t="shared" si="748"/>
        <v xml:space="preserve"> </v>
      </c>
      <c r="BS224" s="626" t="str">
        <f>IF(L224&gt;0,IF(Calculation!P224="M13",BR224*3.1416*(0.134^2)/(4*144),IF(Calculation!P224="M17",BR224*3.1416*(0.165^2)/(4*144),IF(Calculation!P224="M20",BR224*3.1416*(0.198^2)/(4*144),IF(Calculation!P224="M23",BR224*3.1416*(0.228^2)/(4*144),IF(Calculation!P224="M27",BR224*3.1416*(0.269^2)/(4*144),BR224*3.1416*(0.307^2)/(4*144))))))," ")</f>
        <v xml:space="preserve"> </v>
      </c>
      <c r="BT224" s="353" t="str">
        <f>IF(L224&gt;0,IF(BS224&gt;0,R224/Calculation!BS224,0)," ")</f>
        <v xml:space="preserve"> </v>
      </c>
      <c r="BU224" s="438" t="e">
        <f t="shared" ca="1" si="656"/>
        <v>#VALUE!</v>
      </c>
      <c r="BV224" s="449" t="e">
        <f ca="1">INDEX(INDIRECT(VLOOKUP(LEFT(BO224,7),CLU!$Z$3:$AH$18,2)),GN224,GR224)</f>
        <v>#N/A</v>
      </c>
      <c r="BW224" s="433" t="e">
        <f ca="1">INDEX(INDIRECT(VLOOKUP(LEFT(BO224,7),CLU!$Z$3:$AH$18,3)),GN224,GR224)</f>
        <v>#N/A</v>
      </c>
      <c r="BX224" s="433" t="e">
        <f ca="1">INDEX(INDIRECT(VLOOKUP(LEFT(BO224,7),CLU!$Z$3:$AH$18,4)),GN224,GR224)</f>
        <v>#N/A</v>
      </c>
      <c r="BY224" s="433" t="e">
        <f ca="1">INDEX(INDIRECT(VLOOKUP(LEFT(BO224,7),CLU!$Z$3:$AH$18,9)),((M224-2)*(6-COUNTBLANK(GT224:GY224)))+GJ224)</f>
        <v>#N/A</v>
      </c>
      <c r="BZ224" s="426" t="e">
        <f t="shared" ca="1" si="749"/>
        <v>#N/A</v>
      </c>
      <c r="CA224" s="424" t="e">
        <f t="shared" ca="1" si="750"/>
        <v>#N/A</v>
      </c>
      <c r="CB224" s="429" t="e">
        <f ca="1">INDEX(INDIRECT(VLOOKUP(LEFT(BO224,7),CLU!$Z$3:$AH$18,2)),GN224,GS224)</f>
        <v>#N/A</v>
      </c>
      <c r="CC224" s="342" t="e">
        <f ca="1">INDEX(INDIRECT(VLOOKUP(LEFT(BO224,7),CLU!$Z$3:$AH$18,3)),GN224,GS224)</f>
        <v>#N/A</v>
      </c>
      <c r="CD224" s="342" t="e">
        <f ca="1">INDEX(INDIRECT(VLOOKUP(LEFT(BO224,7),CLU!$Z$3:$AH$18,4)),GN224,GS224)</f>
        <v>#N/A</v>
      </c>
      <c r="CE224" s="426" t="e">
        <f t="shared" ca="1" si="751"/>
        <v>#N/A</v>
      </c>
      <c r="CF224" s="440">
        <f t="shared" si="752"/>
        <v>0</v>
      </c>
      <c r="CG224" s="431" t="e">
        <f ca="1">INDEX(INDIRECT(VLOOKUP(LEFT(BO224,7),CLU!$Z$3:$AH$18,2)),GQ224,GR224)</f>
        <v>#N/A</v>
      </c>
      <c r="CH224" s="431" t="e">
        <f ca="1">INDEX(INDIRECT(VLOOKUP(LEFT(BO224,7),CLU!$Z$3:$AH$18,3)),GQ224,GR224)</f>
        <v>#N/A</v>
      </c>
      <c r="CI224" s="431" t="e">
        <f ca="1">INDEX(INDIRECT(VLOOKUP(LEFT(BO224,7),CLU!$Z$3:$AH$18,4)),GQ224,GR224)</f>
        <v>#N/A</v>
      </c>
      <c r="CJ224" s="448" t="e">
        <f t="shared" ca="1" si="753"/>
        <v>#N/A</v>
      </c>
      <c r="CK224" s="431" t="e">
        <f t="shared" ca="1" si="754"/>
        <v>#N/A</v>
      </c>
      <c r="CL224" s="440" t="e">
        <f t="shared" ca="1" si="755"/>
        <v>#N/A</v>
      </c>
      <c r="CM224" s="431" t="e">
        <f ca="1">INDEX(INDIRECT(VLOOKUP(LEFT(BO224,7),CLU!$Z$3:$AH$18,2)),GQ224,GS224)</f>
        <v>#N/A</v>
      </c>
      <c r="CN224" s="431" t="e">
        <f ca="1">INDEX(INDIRECT(VLOOKUP(LEFT(BO224,7),CLU!$Z$3:$AH$18,3)),GQ224,GS224)</f>
        <v>#N/A</v>
      </c>
      <c r="CO224" s="431" t="e">
        <f ca="1">INDEX(INDIRECT(VLOOKUP(LEFT(BO224,7),CLU!$Z$3:$AH$18,4)),GQ224,GS224)</f>
        <v>#N/A</v>
      </c>
      <c r="CP224" s="431" t="e">
        <f t="shared" ca="1" si="756"/>
        <v>#N/A</v>
      </c>
      <c r="CQ224" s="440">
        <f t="shared" si="757"/>
        <v>0</v>
      </c>
      <c r="CR224" s="51" t="e">
        <f t="shared" ca="1" si="758"/>
        <v>#N/A</v>
      </c>
      <c r="CS224" s="439" t="e">
        <f t="shared" ca="1" si="759"/>
        <v>#VALUE!</v>
      </c>
      <c r="CT224" s="51" t="e">
        <f t="shared" ca="1" si="760"/>
        <v>#VALUE!</v>
      </c>
      <c r="CU224" s="10"/>
      <c r="CV224" s="51" t="e">
        <f t="shared" ca="1" si="657"/>
        <v>#VALUE!</v>
      </c>
      <c r="CW224" s="51">
        <f t="shared" si="761"/>
        <v>0</v>
      </c>
      <c r="CX224" s="439" t="e">
        <f t="shared" ca="1" si="762"/>
        <v>#VALUE!</v>
      </c>
      <c r="CY224" s="51" t="e">
        <f t="shared" ca="1" si="763"/>
        <v>#VALUE!</v>
      </c>
      <c r="CZ224" s="10"/>
      <c r="DA224" s="51" t="e">
        <f t="shared" ca="1" si="764"/>
        <v>#VALUE!</v>
      </c>
      <c r="DB224" s="347" t="e">
        <f ca="1">INDEX(INDIRECT(VLOOKUP(LEFT(BO224,7),CLU!$Z$3:$AI$18,10)),((M224-2)*(6-COUNTBLANK(GT224:GY224)))+GJ224)*LI224</f>
        <v>#N/A</v>
      </c>
      <c r="DC224" s="347" t="str">
        <f>IF(L224&gt;0,((R224/Worksheet!$I$15)/DB224)^2," ")</f>
        <v xml:space="preserve"> </v>
      </c>
      <c r="DD224" s="602" t="str">
        <f t="shared" si="765"/>
        <v xml:space="preserve"> </v>
      </c>
      <c r="DE224" s="347" t="str">
        <f t="shared" si="658"/>
        <v xml:space="preserve"> </v>
      </c>
      <c r="DF224" s="356" t="e">
        <f ca="1">INDEX(INDIRECT(VLOOKUP(LEFT(BO224,7),CLU!$Z$3:$AH$18,8)),((M224-2)*(6-COUNTBLANK(GT224:GY224)))+GJ224)</f>
        <v>#N/A</v>
      </c>
      <c r="DG224" s="347" t="str">
        <f t="shared" si="659"/>
        <v xml:space="preserve"> </v>
      </c>
      <c r="DH224" s="357" t="str">
        <f t="shared" si="660"/>
        <v xml:space="preserve"> </v>
      </c>
      <c r="DI224" s="355" t="str">
        <f t="shared" si="661"/>
        <v xml:space="preserve"> </v>
      </c>
      <c r="DJ224" s="245" t="e">
        <f ca="1">INDEX(INDIRECT(VLOOKUP(LEFT(BO224,7),CLU!$Z$3:$AH$18,5)),GL224,GK224)</f>
        <v>#N/A</v>
      </c>
      <c r="DK224" s="245" t="e">
        <f ca="1">INDEX(INDIRECT(VLOOKUP(LEFT(BO224,7),CLU!$Z$3:$AH$18,6)),GL224,GK224)</f>
        <v>#N/A</v>
      </c>
      <c r="DL224" s="355">
        <f>(Calculation!R224*0.69143*(Calculation!$BQ$8-Calculation!$F$8))*$S$14</f>
        <v>0</v>
      </c>
      <c r="DM224" s="359" t="e">
        <f t="shared" si="766"/>
        <v>#VALUE!</v>
      </c>
      <c r="DN224" s="611">
        <f t="shared" si="767"/>
        <v>0</v>
      </c>
      <c r="DO224" s="359">
        <f t="shared" si="768"/>
        <v>100</v>
      </c>
      <c r="DP224" s="359">
        <f t="shared" si="769"/>
        <v>0</v>
      </c>
      <c r="DQ224" s="360"/>
      <c r="DR224" s="245" t="e">
        <f ca="1">INDEX(INDIRECT(VLOOKUP(LEFT(BO224,7),CLU!$Z$3:$AH$18,7)),M224-1,1)</f>
        <v>#N/A</v>
      </c>
      <c r="DS224" s="245" t="e">
        <f ca="1">INDEX(INDIRECT(VLOOKUP(LEFT(BO224,7),CLU!$Z$3:$AH$18,7)),M224-1,2)</f>
        <v>#N/A</v>
      </c>
      <c r="DT224" s="245" t="e">
        <f ca="1">INDEX(INDIRECT(VLOOKUP(LEFT(BO224,7),CLU!$Z$3:$AH$18,7)),M224-1,3)</f>
        <v>#N/A</v>
      </c>
      <c r="DU224" s="245" t="e">
        <f ca="1">INDEX(INDIRECT(VLOOKUP(LEFT(BO224,7),CLU!$Z$3:$AH$18,7)),M224-1,4)</f>
        <v>#N/A</v>
      </c>
      <c r="DV224" s="361" t="e">
        <f ca="1">INDEX(INDIRECT(VLOOKUP(LEFT(BO224,7),CLU!$Z$3:$AH$18,7)),M224-1,4+LEFT(DZ224,1)*0.5)</f>
        <v>#N/A</v>
      </c>
      <c r="DW224" s="245" t="e">
        <f ca="1">INDEX(INDIRECT(VLOOKUP(LEFT(BO224,7),CLU!$Z$3:$AH$18,7)),M224-1,8)</f>
        <v>#N/A</v>
      </c>
      <c r="DX224" s="361" t="str">
        <f t="shared" si="662"/>
        <v xml:space="preserve"> </v>
      </c>
      <c r="DY224" s="361" t="str">
        <f t="shared" si="663"/>
        <v xml:space="preserve"> </v>
      </c>
      <c r="DZ224" s="361" t="str">
        <f t="shared" si="664"/>
        <v xml:space="preserve"> </v>
      </c>
      <c r="EA224" s="362" t="str">
        <f t="shared" si="665"/>
        <v xml:space="preserve"> </v>
      </c>
      <c r="EB224" s="624" t="str">
        <f t="shared" si="770"/>
        <v xml:space="preserve"> </v>
      </c>
      <c r="EC224" s="361" t="e">
        <f ca="1">INDEX(INDIRECT(VLOOKUP(LEFT(BO224,7),CLU!$Z$3:$AH$18,7)),M224-1,4+LEFT(DZ224,1)*0.5)</f>
        <v>#N/A</v>
      </c>
      <c r="ED224" s="362" t="str">
        <f t="shared" si="666"/>
        <v xml:space="preserve"> </v>
      </c>
      <c r="EE224" s="361" t="str">
        <f t="shared" si="667"/>
        <v xml:space="preserve"> </v>
      </c>
      <c r="EF224" s="362" t="str">
        <f>IF(L224&gt;0,IF(BR224&gt;0,IF(EE224="2P",IF(Calculation!DZ224="2P",IF(Calculation!DS224=13.75,IF(Calculation!DR224=13,Worksheet!$BD$43,IF(Calculation!DR224=37,Worksheet!$BD$44,Worksheet!$BD$45)),IF(Calculation!DS224=10,IF(Calculation!DR224=18,Worksheet!$BD$29,IF(Calculation!DR224=30,Worksheet!$BD$30,IF(Calculation!DR224=42,Worksheet!$BD$31,IF(Calculation!DR224=54,Worksheet!$BD$32,IF(Calculation!DR224=66,Worksheet!$BD$33,IF(Calculation!DR224=78,Worksheet!$BD$34,IF(Calculation!DR224=90,Worksheet!$BD$35,IF(Calculation!DR224=102,Worksheet!$BD$36,Worksheet!$BD$37)))))))),IF(Calculation!DS224=12.5,IF(Calculation!DR224=18,Worksheet!$BD$38,IF(Calculation!DR224=Worksheet!$BD$39,IF(Calculation!DR224=42,Worksheet!$BD$40,IF(Calculation!DR224=54,Worksheet!$BD$41,Worksheet!$BD$42)))),IF(Calculation!DR224=18,Worksheet!$BD$11,IF(Calculation!DR224=30,Worksheet!$BD$12,IF(Calculation!DR224=42,Worksheet!$BD$13,IF(Calculation!DR224=54,Worksheet!$BD$14,IF(Calculation!DR224=66,Worksheet!$BD$15,IF(Calculation!DR224=78,Worksheet!$BD$16,IF(Calculation!DR224=90,Worksheet!$BD$17,IF(Calculation!DR224=102,Worksheet!$BD$18,Worksheet!$BD$19))))))))))),IF(Calculation!DS224=13.75,IF(Calculation!DR224=13,Worksheet!$BD$78,IF(Calculation!DR224=37,Worksheet!$BD$79,Worksheet!$BD$80)),IF(Calculation!DS224=10,IF(Calculation!DR224=18,Worksheet!$BD$64,IF(Calculation!DR224=30,Worksheet!$BD$65,IF(Calculation!DR224=42,Worksheet!$BD$66,IF(Calculation!DR224=54,Worksheet!$BD$68,IF(Calculation!DR224=66,Worksheet!$BD$68,IF(Calculation!DR224=78,Worksheet!$BD$69,IF(Calculation!DR224=90,Worksheet!$BD$70,IF(Calculation!DR224=102,Worksheet!$BD$71,Worksheet!$BD$72)))))))),IF(Calculation!DS224=12.5,IF(Calculation!DR224=18,Worksheet!$BD$73,IF(Calculation!DR224=Worksheet!$BD$74,IF(Calculation!DR224=42,Worksheet!$BD$75,IF(Calculation!DR224=54,Worksheet!$BD$76,Worksheet!$BD$77)))),IF(Calculation!DR224=18,Worksheet!$BD$55,IF(Calculation!DR224=30,Worksheet!$BD$56,IF(Calculation!DR224=42,Worksheet!$BD$57,IF(Calculation!DR224=54,Worksheet!$BD$58,IF(Calculation!DR224=66,Worksheet!$BD$59,IF(Calculation!DR224=78,Worksheet!$BD$60,IF(Calculation!DR224=90,Worksheet!$BD$61,IF(Calculation!DR224=102,Worksheet!$BD$62,Worksheet!$BD$63)))))))))))),5),0)," ")</f>
        <v xml:space="preserve"> </v>
      </c>
      <c r="EG224" s="361" t="str">
        <f t="shared" si="668"/>
        <v xml:space="preserve"> </v>
      </c>
      <c r="EH224" s="361" t="e">
        <f ca="1">INDEX(INDIRECT(VLOOKUP(LEFT(BO224,7),CLU!$Z$3:$AH$18,7)),M224-1,3+LEFT(DZ224,1))</f>
        <v>#N/A</v>
      </c>
      <c r="EI224" s="362" t="str">
        <f t="shared" si="669"/>
        <v xml:space="preserve"> </v>
      </c>
      <c r="EJ224" s="363" t="str">
        <f t="shared" si="670"/>
        <v xml:space="preserve"> </v>
      </c>
      <c r="EK224" s="363" t="str">
        <f t="shared" si="671"/>
        <v xml:space="preserve"> </v>
      </c>
      <c r="EL224" s="363" t="str">
        <f t="shared" si="672"/>
        <v xml:space="preserve"> </v>
      </c>
      <c r="EM224" s="362" t="str">
        <f>IF(L224&gt;0,IF(BR224&gt;0,(Calculation!T224/ED224)^2,0)," ")</f>
        <v xml:space="preserve"> </v>
      </c>
      <c r="EN224" s="362" t="str">
        <f>IF(L224&gt;0,IF(O224="2 Pipe (Cooling)","N/A",IF(BR224&gt;0,(Calculation!U224/EI224)^2,0))," ")</f>
        <v xml:space="preserve"> </v>
      </c>
      <c r="EO224" s="361" t="str">
        <f t="shared" si="673"/>
        <v/>
      </c>
      <c r="EP224" s="361" t="str">
        <f t="shared" si="674"/>
        <v/>
      </c>
      <c r="EQ224" s="361" t="str">
        <f t="shared" si="675"/>
        <v/>
      </c>
      <c r="ER224" s="361" t="str">
        <f t="shared" si="676"/>
        <v/>
      </c>
      <c r="ES224" s="361" t="str">
        <f t="shared" si="677"/>
        <v/>
      </c>
      <c r="ET224" s="361" t="str">
        <f t="shared" si="678"/>
        <v/>
      </c>
      <c r="EU224" s="361" t="str">
        <f t="shared" si="679"/>
        <v/>
      </c>
      <c r="EV224" s="361" t="str">
        <f t="shared" si="680"/>
        <v/>
      </c>
      <c r="EW224" s="361" t="str">
        <f t="shared" si="681"/>
        <v/>
      </c>
      <c r="EX224" s="361" t="str">
        <f t="shared" si="771"/>
        <v>1 slot, 1 way</v>
      </c>
      <c r="EY224" s="361" t="str">
        <f t="shared" si="772"/>
        <v xml:space="preserve"> </v>
      </c>
      <c r="EZ224" s="361" t="str">
        <f t="shared" si="773"/>
        <v xml:space="preserve"> </v>
      </c>
      <c r="FA224" s="361" t="str">
        <f t="shared" si="774"/>
        <v xml:space="preserve"> </v>
      </c>
      <c r="FB224" s="361" t="str">
        <f t="shared" si="775"/>
        <v xml:space="preserve"> </v>
      </c>
      <c r="FC224" s="361"/>
      <c r="FD224" s="361" t="str">
        <f>IF(J224&gt;0,IF(Calculation!R224&lt;=70,4,IF(Calculation!R224&lt;=110,5,IF(Calculation!R224&lt;=160,6,IF(Calculation!R224&lt;=300,8,"10 EO")))),"")</f>
        <v/>
      </c>
      <c r="FE224" s="361" t="str">
        <f t="shared" si="776"/>
        <v/>
      </c>
      <c r="FF224" s="361" t="str">
        <f t="shared" si="777"/>
        <v/>
      </c>
      <c r="FG224" s="361" t="e">
        <f t="shared" si="682"/>
        <v>#N/A</v>
      </c>
      <c r="FH224" s="361">
        <f t="shared" si="683"/>
        <v>0</v>
      </c>
      <c r="FI224" s="361" t="e">
        <f t="shared" si="684"/>
        <v>#DIV/0!</v>
      </c>
      <c r="FJ224" s="361"/>
      <c r="FK224" s="356" t="e">
        <f t="shared" si="685"/>
        <v>#VALUE!</v>
      </c>
      <c r="FL224" s="361"/>
      <c r="FM224" s="361"/>
      <c r="FN224" s="362" t="str">
        <f t="shared" si="778"/>
        <v xml:space="preserve"> </v>
      </c>
      <c r="FO224" s="362" t="str">
        <f t="shared" si="779"/>
        <v xml:space="preserve"> </v>
      </c>
      <c r="FP224" s="362">
        <f t="shared" si="780"/>
        <v>0</v>
      </c>
      <c r="FQ224" s="361">
        <f t="shared" si="686"/>
        <v>0</v>
      </c>
      <c r="FR224" s="362" t="str">
        <f>IF(L224&gt;0,IF(J224="CBAL2",Worksheet!$P$67,IF(J224="CBE2-24",Worksheet!$Q$67,IF(J224="CBAM",Worksheet!$R$67,IF(J224="CBLV",Worksheet!$S$67,IF(J224="CBAB",Worksheet!$U$67,IF(J224="CBAW",Worksheet!$X$67,IF(J224="CBE2-12",Worksheet!$Y$67,IF(J224="CBAL2",Worksheet!$Z$67,"N/A"))))))))," ")</f>
        <v xml:space="preserve"> </v>
      </c>
      <c r="FS224" s="362" t="str">
        <f>IF(L224&gt;0,IF(J224="CBAL2",Worksheet!$P$68,IF(J224="CBE2-24",Worksheet!$Q$68,IF(J224="CBAM",Worksheet!$R$68,IF(J224="CBLV",Worksheet!$S$68,IF(J224="CBAB",Worksheet!$U$68,IF(J224="CBAW",Worksheet!$X$68,IF(J224="CBE2-12",Worksheet!$Y$68,IF(J224="CBAL2",Worksheet!$Z$68,"N/A"))))))))," ")</f>
        <v xml:space="preserve"> </v>
      </c>
      <c r="FT224" s="362" t="str">
        <f>IF(L224&gt;0,IF(J224="CBAL2",Worksheet!$P$69,IF(J224="CBE2-24",Worksheet!$Q$69,IF(J224="CBAM",Worksheet!$R$69,IF(J224="CBLV",Worksheet!$S$69,IF(J224="CBAB",Worksheet!$U$69,IF(J224="CBAW",Worksheet!$X$69,IF(J224="CBE2-12",Worksheet!$Y$69,IF(J224="CBAL2",Worksheet!$Z$69,"N/A"))))))))," ")</f>
        <v xml:space="preserve"> </v>
      </c>
      <c r="FU224" s="361" t="str">
        <f t="shared" si="781"/>
        <v xml:space="preserve"> </v>
      </c>
      <c r="FV224" s="362" t="str">
        <f t="shared" si="782"/>
        <v xml:space="preserve"> </v>
      </c>
      <c r="FW224" s="362" t="str">
        <f t="shared" si="783"/>
        <v xml:space="preserve"> </v>
      </c>
      <c r="FX224" s="362" t="str">
        <f t="shared" si="784"/>
        <v xml:space="preserve"> </v>
      </c>
      <c r="FY224" s="355" t="str">
        <f t="shared" si="785"/>
        <v xml:space="preserve"> </v>
      </c>
      <c r="FZ224" s="361" t="str">
        <f t="shared" si="786"/>
        <v xml:space="preserve"> </v>
      </c>
      <c r="GA224" s="347" t="str">
        <f t="shared" si="787"/>
        <v xml:space="preserve"> </v>
      </c>
      <c r="GB224" s="355" t="str">
        <f t="shared" si="788"/>
        <v xml:space="preserve"> </v>
      </c>
      <c r="GC224" s="328" t="str">
        <f t="shared" si="789"/>
        <v xml:space="preserve"> </v>
      </c>
      <c r="GD224" s="361" t="str">
        <f t="shared" si="790"/>
        <v xml:space="preserve"> </v>
      </c>
      <c r="GE224" s="347" t="str">
        <f t="shared" si="791"/>
        <v xml:space="preserve"> </v>
      </c>
      <c r="GF224" s="361" t="str">
        <f t="shared" si="792"/>
        <v xml:space="preserve"> </v>
      </c>
      <c r="GG224" s="347" t="str">
        <f t="shared" si="793"/>
        <v xml:space="preserve"> </v>
      </c>
      <c r="GH224" s="364">
        <f t="shared" si="687"/>
        <v>0</v>
      </c>
      <c r="GI224" s="362">
        <f t="shared" si="794"/>
        <v>2</v>
      </c>
      <c r="GJ224" s="433" t="e">
        <f>IF(6-COUNTBLANK(GT224:GY224)=4,MATCH(MID(BO224,9,3),CLU!$H$16:$K$16),MATCH(MID(BO224,9,3),CLU!$H$13:$M$13))</f>
        <v>#N/A</v>
      </c>
      <c r="GK224" s="433" t="e">
        <f>HLOOKUP(VALUE(BP224),CLU!$H$9:$M$10,2)</f>
        <v>#VALUE!</v>
      </c>
      <c r="GL224" s="433" t="e">
        <f ca="1">MATCH(BU224,CLU!$H$2:$V$2,1)</f>
        <v>#VALUE!</v>
      </c>
      <c r="GM224" s="433" t="e">
        <f t="shared" ca="1" si="795"/>
        <v>#VALUE!</v>
      </c>
      <c r="GN224" s="433" t="e">
        <f t="shared" ca="1" si="796"/>
        <v>#VALUE!</v>
      </c>
      <c r="GO224" s="433" t="e">
        <f t="shared" ca="1" si="797"/>
        <v>#VALUE!</v>
      </c>
      <c r="GP224" s="433" t="e">
        <f t="shared" ca="1" si="798"/>
        <v>#VALUE!</v>
      </c>
      <c r="GQ224" s="433" t="e">
        <f t="shared" ca="1" si="799"/>
        <v>#VALUE!</v>
      </c>
      <c r="GR224" s="433" t="e">
        <f ca="1">MATCH(T224,INDIRECT(VLOOKUP(CONCATENATE(LEFT(BO224,7),"-",MID(BO224,13,1)),CLU!$P$3:$Q$16,2)),1)</f>
        <v>#N/A</v>
      </c>
      <c r="GS224" s="433" t="e">
        <f ca="1">MATCH(U224,INDIRECT(VLOOKUP(CONCATENATE(LEFT(BO224,7),"-",MID(BO224,13,1)),CLU!$P$3:$Q$16,2)),1)</f>
        <v>#N/A</v>
      </c>
      <c r="GT224" s="347" t="s">
        <v>512</v>
      </c>
      <c r="GU224" s="97" t="s">
        <v>513</v>
      </c>
      <c r="GV224" s="97" t="str">
        <f t="shared" si="800"/>
        <v>M23</v>
      </c>
      <c r="GW224" s="97" t="str">
        <f t="shared" si="801"/>
        <v>M31</v>
      </c>
      <c r="GX224" s="97" t="str">
        <f t="shared" si="802"/>
        <v/>
      </c>
      <c r="GY224" s="97" t="str">
        <f t="shared" si="803"/>
        <v/>
      </c>
      <c r="GZ224" s="481"/>
      <c r="HA224" s="288"/>
      <c r="HB224" s="240"/>
      <c r="HC224" s="240"/>
      <c r="HD224" s="240"/>
      <c r="HE224" s="240"/>
      <c r="HF224" s="240"/>
      <c r="HG224" s="240"/>
      <c r="HH224" s="240"/>
      <c r="HI224" s="240"/>
      <c r="HJ224" s="240"/>
      <c r="HK224" s="240"/>
      <c r="HL224" s="240"/>
      <c r="HM224" s="240"/>
      <c r="HN224" s="240"/>
      <c r="HO224" s="240"/>
      <c r="HP224" s="240"/>
      <c r="HQ224" s="240"/>
      <c r="HR224" s="240"/>
      <c r="HS224" s="240"/>
      <c r="HT224" s="240"/>
      <c r="HU224" s="240"/>
      <c r="HV224" s="245"/>
      <c r="HW224" s="245" t="b">
        <v>1</v>
      </c>
      <c r="HX224" s="245" t="str">
        <f t="shared" si="688"/>
        <v/>
      </c>
      <c r="HY224" s="245" t="e">
        <f t="shared" si="689"/>
        <v>#DIV/0!</v>
      </c>
      <c r="HZ224" s="245" t="e">
        <f t="shared" si="690"/>
        <v>#DIV/0!</v>
      </c>
      <c r="IA224" s="245">
        <f t="shared" si="691"/>
        <v>0</v>
      </c>
      <c r="IB224" s="245"/>
      <c r="IC224" t="b">
        <f t="shared" si="692"/>
        <v>1</v>
      </c>
      <c r="ID224" s="245" t="b">
        <f t="shared" si="693"/>
        <v>1</v>
      </c>
      <c r="IE224" s="245" t="b">
        <f t="shared" si="694"/>
        <v>1</v>
      </c>
      <c r="IF224" s="245" t="b">
        <f t="shared" si="695"/>
        <v>0</v>
      </c>
      <c r="IG224" s="245" t="b">
        <f t="shared" si="696"/>
        <v>1</v>
      </c>
      <c r="IH224" s="245" t="b">
        <f t="shared" si="697"/>
        <v>1</v>
      </c>
      <c r="II224" s="245">
        <f t="shared" si="804"/>
        <v>0</v>
      </c>
      <c r="IJ224" s="245" t="e">
        <f t="shared" si="698"/>
        <v>#VALUE!</v>
      </c>
      <c r="IK224" s="245" t="e">
        <f t="shared" si="699"/>
        <v>#VALUE!</v>
      </c>
      <c r="IL224" s="245"/>
      <c r="IM224" s="245" t="e">
        <f t="shared" si="805"/>
        <v>#N/A</v>
      </c>
      <c r="IN224" s="245" t="e">
        <f t="shared" si="806"/>
        <v>#N/A</v>
      </c>
      <c r="IO224" s="245"/>
      <c r="IP224" s="245"/>
      <c r="IQ224" s="245" t="str">
        <f t="shared" si="700"/>
        <v/>
      </c>
      <c r="IR224" s="245" t="str">
        <f>IF(J224="","",VLOOKUP(J224,Worksheet!$R$4:$T$14,2))</f>
        <v/>
      </c>
      <c r="IS224" s="245"/>
      <c r="IT224" s="245">
        <f t="shared" si="701"/>
        <v>0</v>
      </c>
      <c r="IU224" s="245">
        <f t="shared" si="702"/>
        <v>0</v>
      </c>
      <c r="IV224" s="245">
        <f t="shared" si="703"/>
        <v>0</v>
      </c>
      <c r="IW224" s="245">
        <f t="shared" si="704"/>
        <v>0</v>
      </c>
      <c r="IX224" s="245">
        <f t="shared" si="807"/>
        <v>0</v>
      </c>
      <c r="IY224" s="245">
        <f t="shared" si="705"/>
        <v>0</v>
      </c>
      <c r="IZ224" s="245">
        <f t="shared" si="706"/>
        <v>0</v>
      </c>
      <c r="JA224">
        <f t="shared" si="707"/>
        <v>0</v>
      </c>
      <c r="JB224">
        <f t="shared" si="808"/>
        <v>0</v>
      </c>
      <c r="JC224">
        <f t="shared" si="708"/>
        <v>0</v>
      </c>
      <c r="JD224">
        <f t="shared" si="709"/>
        <v>0</v>
      </c>
      <c r="JE224">
        <f t="shared" si="710"/>
        <v>0</v>
      </c>
      <c r="JF224">
        <f t="shared" si="711"/>
        <v>0</v>
      </c>
      <c r="JG224">
        <f t="shared" si="712"/>
        <v>0</v>
      </c>
      <c r="JH224">
        <f t="shared" si="713"/>
        <v>0</v>
      </c>
      <c r="JI224">
        <f t="shared" si="714"/>
        <v>0</v>
      </c>
      <c r="JJ224" s="447">
        <f t="shared" si="715"/>
        <v>0</v>
      </c>
      <c r="JK224" s="447">
        <f t="shared" si="716"/>
        <v>0</v>
      </c>
      <c r="JL224">
        <f t="shared" si="717"/>
        <v>0</v>
      </c>
      <c r="JM224" s="245" t="str">
        <f>IFERROR(VLOOKUP(MATCH(BN224,#REF!,0),#REF!,7),"")</f>
        <v/>
      </c>
      <c r="JN224" t="e">
        <f>HLOOKUP(LEFT(BO224,7),Discharge_Area,MATCH(JO224,LookUps!$B$130:$B$149,1)+2)</f>
        <v>#N/A</v>
      </c>
      <c r="JO224" t="str">
        <f t="shared" si="718"/>
        <v>- S</v>
      </c>
      <c r="JP224" t="e">
        <f>HLOOKUP(LEFT(BO224,7),Discharge_Area,MATCH(JO224,LookUps!$B$130:$B$149,1)+2)</f>
        <v>#N/A</v>
      </c>
      <c r="JQ224" t="e">
        <f t="shared" si="719"/>
        <v>#N/A</v>
      </c>
      <c r="JR224" t="e">
        <f t="shared" si="720"/>
        <v>#N/A</v>
      </c>
      <c r="JS224" t="e">
        <f t="shared" si="721"/>
        <v>#N/A</v>
      </c>
      <c r="JT224" s="532" t="str">
        <f t="shared" si="722"/>
        <v xml:space="preserve"> </v>
      </c>
      <c r="JU224" s="532" t="str">
        <f t="shared" si="723"/>
        <v xml:space="preserve"> </v>
      </c>
      <c r="JV224" s="533" t="str">
        <f t="shared" si="724"/>
        <v xml:space="preserve"> </v>
      </c>
      <c r="JW224" s="534">
        <f t="shared" si="725"/>
        <v>0</v>
      </c>
      <c r="JX224" s="535" t="str">
        <f t="shared" si="809"/>
        <v xml:space="preserve"> </v>
      </c>
      <c r="JY224" s="535" t="str">
        <f t="shared" si="810"/>
        <v xml:space="preserve"> </v>
      </c>
      <c r="JZ224" s="535" t="str">
        <f t="shared" si="811"/>
        <v xml:space="preserve"> </v>
      </c>
      <c r="KA224" s="536" t="str">
        <f t="shared" si="726"/>
        <v xml:space="preserve"> </v>
      </c>
      <c r="KB224" s="535" t="e">
        <f t="shared" si="812"/>
        <v>#VALUE!</v>
      </c>
      <c r="KC224" s="535" t="str">
        <f t="shared" si="727"/>
        <v/>
      </c>
      <c r="KD224" s="537" t="str">
        <f t="shared" si="813"/>
        <v xml:space="preserve"> </v>
      </c>
      <c r="KE224" s="537" t="str">
        <f t="shared" si="814"/>
        <v xml:space="preserve"> </v>
      </c>
      <c r="KF224" s="534">
        <f t="shared" si="728"/>
        <v>0</v>
      </c>
      <c r="KG224" s="535" t="str">
        <f t="shared" si="729"/>
        <v xml:space="preserve"> </v>
      </c>
      <c r="KH224" s="535" t="str">
        <f t="shared" si="730"/>
        <v xml:space="preserve"> </v>
      </c>
      <c r="KI224" s="535" t="str">
        <f t="shared" si="731"/>
        <v xml:space="preserve"> </v>
      </c>
      <c r="KJ224" s="536" t="str">
        <f t="shared" si="732"/>
        <v xml:space="preserve"> </v>
      </c>
      <c r="KK224" s="535" t="str">
        <f t="shared" si="815"/>
        <v xml:space="preserve"> </v>
      </c>
      <c r="KL224" s="535" t="str">
        <f t="shared" si="816"/>
        <v xml:space="preserve"> </v>
      </c>
      <c r="KM224" s="537" t="str">
        <f t="shared" si="733"/>
        <v xml:space="preserve"> </v>
      </c>
      <c r="KN224" s="537" t="str">
        <f t="shared" si="817"/>
        <v xml:space="preserve"> </v>
      </c>
      <c r="KP224">
        <f t="shared" si="734"/>
        <v>0</v>
      </c>
      <c r="LA224" t="e">
        <f t="shared" si="735"/>
        <v>#VALUE!</v>
      </c>
      <c r="LB224" t="e">
        <f t="shared" si="736"/>
        <v>#VALUE!</v>
      </c>
      <c r="LC224" t="e">
        <f t="shared" si="737"/>
        <v>#VALUE!</v>
      </c>
      <c r="LD224" t="e">
        <f t="shared" si="738"/>
        <v>#VALUE!</v>
      </c>
      <c r="LE224" t="e">
        <f t="shared" si="818"/>
        <v>#VALUE!</v>
      </c>
      <c r="LF224">
        <f t="shared" si="739"/>
        <v>0</v>
      </c>
      <c r="LG224" t="e">
        <f t="shared" si="819"/>
        <v>#VALUE!</v>
      </c>
      <c r="LH224" t="str">
        <f t="shared" si="740"/>
        <v xml:space="preserve"> </v>
      </c>
      <c r="LI224">
        <f t="shared" si="820"/>
        <v>1</v>
      </c>
    </row>
    <row r="225" spans="2:321" ht="15" customHeight="1">
      <c r="B225" s="311"/>
      <c r="C225" s="311"/>
      <c r="D225" s="312"/>
      <c r="E225" s="311"/>
      <c r="F225" s="312"/>
      <c r="G225" s="311"/>
      <c r="H225" s="311"/>
      <c r="I225" s="232"/>
      <c r="J225" s="311"/>
      <c r="K225" s="305" t="str">
        <f t="shared" si="741"/>
        <v/>
      </c>
      <c r="L225" s="313"/>
      <c r="M225" s="312"/>
      <c r="N225" s="311"/>
      <c r="O225" s="312"/>
      <c r="P225" s="311"/>
      <c r="Q225" s="305" t="str">
        <f t="shared" si="742"/>
        <v/>
      </c>
      <c r="R225" s="314"/>
      <c r="S225" s="450" t="str">
        <f t="shared" si="625"/>
        <v/>
      </c>
      <c r="T225" s="315"/>
      <c r="U225" s="315"/>
      <c r="W225" s="149" t="str">
        <f t="shared" si="626"/>
        <v xml:space="preserve"> </v>
      </c>
      <c r="X225" s="243" t="str">
        <f t="shared" si="627"/>
        <v xml:space="preserve"> </v>
      </c>
      <c r="Y225" s="150" t="str">
        <f t="shared" si="628"/>
        <v/>
      </c>
      <c r="Z225" s="149" t="str">
        <f t="shared" si="629"/>
        <v xml:space="preserve"> </v>
      </c>
      <c r="AA225" s="98" t="str">
        <f t="shared" si="630"/>
        <v xml:space="preserve"> </v>
      </c>
      <c r="AB225" s="153" t="str">
        <f t="shared" si="631"/>
        <v xml:space="preserve"> </v>
      </c>
      <c r="AC225" s="153" t="str">
        <f t="shared" si="632"/>
        <v xml:space="preserve"> </v>
      </c>
      <c r="AD225" s="148" t="str">
        <f t="shared" si="633"/>
        <v/>
      </c>
      <c r="AE225" s="149" t="str">
        <f t="shared" si="634"/>
        <v/>
      </c>
      <c r="AF225" s="151" t="str">
        <f t="shared" si="635"/>
        <v xml:space="preserve"> </v>
      </c>
      <c r="AG225" s="153" t="str">
        <f t="shared" si="636"/>
        <v xml:space="preserve"> </v>
      </c>
      <c r="AH225" s="98" t="str">
        <f t="shared" si="637"/>
        <v xml:space="preserve"> </v>
      </c>
      <c r="AI225" s="149" t="str">
        <f t="shared" si="638"/>
        <v xml:space="preserve"> </v>
      </c>
      <c r="AK225" s="144" t="str">
        <f t="shared" si="639"/>
        <v xml:space="preserve"> </v>
      </c>
      <c r="AL225" s="144"/>
      <c r="AM225" s="243" t="str">
        <f t="shared" si="640"/>
        <v xml:space="preserve"> </v>
      </c>
      <c r="AN225" s="149" t="str">
        <f t="shared" si="743"/>
        <v xml:space="preserve"> </v>
      </c>
      <c r="AO225" s="144" t="str">
        <f>IF(JB225&gt;0,IF(GI225=10,-R225*1.085*(Calculation!$F$6-Calculation!$F$13)*$S$14," "),"")</f>
        <v/>
      </c>
      <c r="AP225" s="144" t="str">
        <f t="shared" si="641"/>
        <v/>
      </c>
      <c r="AQ225" s="56" t="str">
        <f t="shared" si="642"/>
        <v/>
      </c>
      <c r="AR225" s="144" t="str">
        <f t="shared" si="643"/>
        <v/>
      </c>
      <c r="AS225" s="176" t="str">
        <f t="shared" si="644"/>
        <v/>
      </c>
      <c r="AT225" s="176" t="str">
        <f t="shared" si="744"/>
        <v xml:space="preserve"> </v>
      </c>
      <c r="AU225" s="176" t="str">
        <f t="shared" si="645"/>
        <v/>
      </c>
      <c r="AV225" s="177" t="str">
        <f t="shared" si="646"/>
        <v xml:space="preserve"> </v>
      </c>
      <c r="AW225" s="144" t="str">
        <f t="shared" si="647"/>
        <v xml:space="preserve"> </v>
      </c>
      <c r="AX225" s="144" t="str">
        <f t="shared" si="648"/>
        <v xml:space="preserve"> </v>
      </c>
      <c r="AY225" s="152" t="str">
        <f t="shared" si="649"/>
        <v xml:space="preserve"> </v>
      </c>
      <c r="AZ225" s="246" t="str">
        <f t="shared" si="650"/>
        <v/>
      </c>
      <c r="BA225" s="176" t="str">
        <f t="shared" si="651"/>
        <v xml:space="preserve"> </v>
      </c>
      <c r="BB225" s="176" t="str">
        <f t="shared" si="652"/>
        <v xml:space="preserve"> </v>
      </c>
      <c r="BC225" s="195"/>
      <c r="BD225" s="316"/>
      <c r="BE225" s="317"/>
      <c r="BF225" s="318"/>
      <c r="BG225" s="318"/>
      <c r="BH225" s="144" t="str">
        <f t="shared" si="821"/>
        <v xml:space="preserve"> </v>
      </c>
      <c r="BI225" s="176" t="str">
        <f t="shared" si="653"/>
        <v/>
      </c>
      <c r="BJ225" s="144" t="str">
        <f t="shared" si="822"/>
        <v/>
      </c>
      <c r="BK225" s="246" t="str">
        <f t="shared" si="654"/>
        <v/>
      </c>
      <c r="BL225" s="144" t="str">
        <f t="shared" si="823"/>
        <v/>
      </c>
      <c r="BM225" s="246" t="str">
        <f t="shared" si="655"/>
        <v/>
      </c>
      <c r="BN225" s="337" t="str">
        <f t="shared" si="745"/>
        <v/>
      </c>
      <c r="BO225" s="371" t="str">
        <f t="shared" si="746"/>
        <v/>
      </c>
      <c r="BP225" s="328" t="str">
        <f t="shared" si="824"/>
        <v xml:space="preserve"> </v>
      </c>
      <c r="BQ225" s="347" t="str">
        <f t="shared" si="747"/>
        <v xml:space="preserve"> </v>
      </c>
      <c r="BR225" s="353" t="str">
        <f t="shared" si="748"/>
        <v xml:space="preserve"> </v>
      </c>
      <c r="BS225" s="626" t="str">
        <f>IF(L225&gt;0,IF(Calculation!P225="M13",BR225*3.1416*(0.134^2)/(4*144),IF(Calculation!P225="M17",BR225*3.1416*(0.165^2)/(4*144),IF(Calculation!P225="M20",BR225*3.1416*(0.198^2)/(4*144),IF(Calculation!P225="M23",BR225*3.1416*(0.228^2)/(4*144),IF(Calculation!P225="M27",BR225*3.1416*(0.269^2)/(4*144),BR225*3.1416*(0.307^2)/(4*144))))))," ")</f>
        <v xml:space="preserve"> </v>
      </c>
      <c r="BT225" s="353" t="str">
        <f>IF(L225&gt;0,IF(BS225&gt;0,R225/Calculation!BS225,0)," ")</f>
        <v xml:space="preserve"> </v>
      </c>
      <c r="BU225" s="438" t="e">
        <f t="shared" ca="1" si="656"/>
        <v>#VALUE!</v>
      </c>
      <c r="BV225" s="449" t="e">
        <f ca="1">INDEX(INDIRECT(VLOOKUP(LEFT(BO225,7),CLU!$Z$3:$AH$18,2)),GN225,GR225)</f>
        <v>#N/A</v>
      </c>
      <c r="BW225" s="433" t="e">
        <f ca="1">INDEX(INDIRECT(VLOOKUP(LEFT(BO225,7),CLU!$Z$3:$AH$18,3)),GN225,GR225)</f>
        <v>#N/A</v>
      </c>
      <c r="BX225" s="433" t="e">
        <f ca="1">INDEX(INDIRECT(VLOOKUP(LEFT(BO225,7),CLU!$Z$3:$AH$18,4)),GN225,GR225)</f>
        <v>#N/A</v>
      </c>
      <c r="BY225" s="433" t="e">
        <f ca="1">INDEX(INDIRECT(VLOOKUP(LEFT(BO225,7),CLU!$Z$3:$AH$18,9)),((M225-2)*(6-COUNTBLANK(GT225:GY225)))+GJ225)</f>
        <v>#N/A</v>
      </c>
      <c r="BZ225" s="426" t="e">
        <f t="shared" ca="1" si="749"/>
        <v>#N/A</v>
      </c>
      <c r="CA225" s="424" t="e">
        <f t="shared" ca="1" si="750"/>
        <v>#N/A</v>
      </c>
      <c r="CB225" s="429" t="e">
        <f ca="1">INDEX(INDIRECT(VLOOKUP(LEFT(BO225,7),CLU!$Z$3:$AH$18,2)),GN225,GS225)</f>
        <v>#N/A</v>
      </c>
      <c r="CC225" s="342" t="e">
        <f ca="1">INDEX(INDIRECT(VLOOKUP(LEFT(BO225,7),CLU!$Z$3:$AH$18,3)),GN225,GS225)</f>
        <v>#N/A</v>
      </c>
      <c r="CD225" s="342" t="e">
        <f ca="1">INDEX(INDIRECT(VLOOKUP(LEFT(BO225,7),CLU!$Z$3:$AH$18,4)),GN225,GS225)</f>
        <v>#N/A</v>
      </c>
      <c r="CE225" s="426" t="e">
        <f t="shared" ca="1" si="751"/>
        <v>#N/A</v>
      </c>
      <c r="CF225" s="440">
        <f t="shared" si="752"/>
        <v>0</v>
      </c>
      <c r="CG225" s="431" t="e">
        <f ca="1">INDEX(INDIRECT(VLOOKUP(LEFT(BO225,7),CLU!$Z$3:$AH$18,2)),GQ225,GR225)</f>
        <v>#N/A</v>
      </c>
      <c r="CH225" s="431" t="e">
        <f ca="1">INDEX(INDIRECT(VLOOKUP(LEFT(BO225,7),CLU!$Z$3:$AH$18,3)),GQ225,GR225)</f>
        <v>#N/A</v>
      </c>
      <c r="CI225" s="431" t="e">
        <f ca="1">INDEX(INDIRECT(VLOOKUP(LEFT(BO225,7),CLU!$Z$3:$AH$18,4)),GQ225,GR225)</f>
        <v>#N/A</v>
      </c>
      <c r="CJ225" s="448" t="e">
        <f t="shared" ca="1" si="753"/>
        <v>#N/A</v>
      </c>
      <c r="CK225" s="431" t="e">
        <f t="shared" ca="1" si="754"/>
        <v>#N/A</v>
      </c>
      <c r="CL225" s="440" t="e">
        <f t="shared" ca="1" si="755"/>
        <v>#N/A</v>
      </c>
      <c r="CM225" s="431" t="e">
        <f ca="1">INDEX(INDIRECT(VLOOKUP(LEFT(BO225,7),CLU!$Z$3:$AH$18,2)),GQ225,GS225)</f>
        <v>#N/A</v>
      </c>
      <c r="CN225" s="431" t="e">
        <f ca="1">INDEX(INDIRECT(VLOOKUP(LEFT(BO225,7),CLU!$Z$3:$AH$18,3)),GQ225,GS225)</f>
        <v>#N/A</v>
      </c>
      <c r="CO225" s="431" t="e">
        <f ca="1">INDEX(INDIRECT(VLOOKUP(LEFT(BO225,7),CLU!$Z$3:$AH$18,4)),GQ225,GS225)</f>
        <v>#N/A</v>
      </c>
      <c r="CP225" s="431" t="e">
        <f t="shared" ca="1" si="756"/>
        <v>#N/A</v>
      </c>
      <c r="CQ225" s="440">
        <f t="shared" si="757"/>
        <v>0</v>
      </c>
      <c r="CR225" s="51" t="e">
        <f t="shared" ca="1" si="758"/>
        <v>#N/A</v>
      </c>
      <c r="CS225" s="439" t="e">
        <f t="shared" ca="1" si="759"/>
        <v>#VALUE!</v>
      </c>
      <c r="CT225" s="51" t="e">
        <f t="shared" ca="1" si="760"/>
        <v>#VALUE!</v>
      </c>
      <c r="CU225" s="10"/>
      <c r="CV225" s="51" t="e">
        <f t="shared" ca="1" si="657"/>
        <v>#VALUE!</v>
      </c>
      <c r="CW225" s="51">
        <f t="shared" si="761"/>
        <v>0</v>
      </c>
      <c r="CX225" s="439" t="e">
        <f t="shared" ca="1" si="762"/>
        <v>#VALUE!</v>
      </c>
      <c r="CY225" s="51" t="e">
        <f t="shared" ca="1" si="763"/>
        <v>#VALUE!</v>
      </c>
      <c r="CZ225" s="10"/>
      <c r="DA225" s="51" t="e">
        <f t="shared" ca="1" si="764"/>
        <v>#VALUE!</v>
      </c>
      <c r="DB225" s="347" t="e">
        <f ca="1">INDEX(INDIRECT(VLOOKUP(LEFT(BO225,7),CLU!$Z$3:$AI$18,10)),((M225-2)*(6-COUNTBLANK(GT225:GY225)))+GJ225)*LI225</f>
        <v>#N/A</v>
      </c>
      <c r="DC225" s="347" t="str">
        <f>IF(L225&gt;0,((R225/Worksheet!$I$15)/DB225)^2," ")</f>
        <v xml:space="preserve"> </v>
      </c>
      <c r="DD225" s="602" t="str">
        <f t="shared" si="765"/>
        <v xml:space="preserve"> </v>
      </c>
      <c r="DE225" s="347" t="str">
        <f t="shared" si="658"/>
        <v xml:space="preserve"> </v>
      </c>
      <c r="DF225" s="356" t="e">
        <f ca="1">INDEX(INDIRECT(VLOOKUP(LEFT(BO225,7),CLU!$Z$3:$AH$18,8)),((M225-2)*(6-COUNTBLANK(GT225:GY225)))+GJ225)</f>
        <v>#N/A</v>
      </c>
      <c r="DG225" s="347" t="str">
        <f t="shared" si="659"/>
        <v xml:space="preserve"> </v>
      </c>
      <c r="DH225" s="357" t="str">
        <f t="shared" si="660"/>
        <v xml:space="preserve"> </v>
      </c>
      <c r="DI225" s="355" t="str">
        <f t="shared" si="661"/>
        <v xml:space="preserve"> </v>
      </c>
      <c r="DJ225" s="245" t="e">
        <f ca="1">INDEX(INDIRECT(VLOOKUP(LEFT(BO225,7),CLU!$Z$3:$AH$18,5)),GL225,GK225)</f>
        <v>#N/A</v>
      </c>
      <c r="DK225" s="245" t="e">
        <f ca="1">INDEX(INDIRECT(VLOOKUP(LEFT(BO225,7),CLU!$Z$3:$AH$18,6)),GL225,GK225)</f>
        <v>#N/A</v>
      </c>
      <c r="DL225" s="355">
        <f>(Calculation!R225*0.69143*(Calculation!$BQ$8-Calculation!$F$8))*$S$14</f>
        <v>0</v>
      </c>
      <c r="DM225" s="359" t="e">
        <f t="shared" si="766"/>
        <v>#VALUE!</v>
      </c>
      <c r="DN225" s="611">
        <f t="shared" si="767"/>
        <v>0</v>
      </c>
      <c r="DO225" s="359">
        <f t="shared" si="768"/>
        <v>100</v>
      </c>
      <c r="DP225" s="359">
        <f t="shared" si="769"/>
        <v>0</v>
      </c>
      <c r="DQ225" s="360"/>
      <c r="DR225" s="245" t="e">
        <f ca="1">INDEX(INDIRECT(VLOOKUP(LEFT(BO225,7),CLU!$Z$3:$AH$18,7)),M225-1,1)</f>
        <v>#N/A</v>
      </c>
      <c r="DS225" s="245" t="e">
        <f ca="1">INDEX(INDIRECT(VLOOKUP(LEFT(BO225,7),CLU!$Z$3:$AH$18,7)),M225-1,2)</f>
        <v>#N/A</v>
      </c>
      <c r="DT225" s="245" t="e">
        <f ca="1">INDEX(INDIRECT(VLOOKUP(LEFT(BO225,7),CLU!$Z$3:$AH$18,7)),M225-1,3)</f>
        <v>#N/A</v>
      </c>
      <c r="DU225" s="245" t="e">
        <f ca="1">INDEX(INDIRECT(VLOOKUP(LEFT(BO225,7),CLU!$Z$3:$AH$18,7)),M225-1,4)</f>
        <v>#N/A</v>
      </c>
      <c r="DV225" s="361" t="e">
        <f ca="1">INDEX(INDIRECT(VLOOKUP(LEFT(BO225,7),CLU!$Z$3:$AH$18,7)),M225-1,4+LEFT(DZ225,1)*0.5)</f>
        <v>#N/A</v>
      </c>
      <c r="DW225" s="245" t="e">
        <f ca="1">INDEX(INDIRECT(VLOOKUP(LEFT(BO225,7),CLU!$Z$3:$AH$18,7)),M225-1,8)</f>
        <v>#N/A</v>
      </c>
      <c r="DX225" s="361" t="str">
        <f t="shared" si="662"/>
        <v xml:space="preserve"> </v>
      </c>
      <c r="DY225" s="361" t="str">
        <f t="shared" si="663"/>
        <v xml:space="preserve"> </v>
      </c>
      <c r="DZ225" s="361" t="str">
        <f t="shared" si="664"/>
        <v xml:space="preserve"> </v>
      </c>
      <c r="EA225" s="362" t="str">
        <f t="shared" si="665"/>
        <v xml:space="preserve"> </v>
      </c>
      <c r="EB225" s="624" t="str">
        <f t="shared" si="770"/>
        <v xml:space="preserve"> </v>
      </c>
      <c r="EC225" s="361" t="e">
        <f ca="1">INDEX(INDIRECT(VLOOKUP(LEFT(BO225,7),CLU!$Z$3:$AH$18,7)),M225-1,4+LEFT(DZ225,1)*0.5)</f>
        <v>#N/A</v>
      </c>
      <c r="ED225" s="362" t="str">
        <f t="shared" si="666"/>
        <v xml:space="preserve"> </v>
      </c>
      <c r="EE225" s="361" t="str">
        <f t="shared" si="667"/>
        <v xml:space="preserve"> </v>
      </c>
      <c r="EF225" s="362" t="str">
        <f>IF(L225&gt;0,IF(BR225&gt;0,IF(EE225="2P",IF(Calculation!DZ225="2P",IF(Calculation!DS225=13.75,IF(Calculation!DR225=13,Worksheet!$BD$43,IF(Calculation!DR225=37,Worksheet!$BD$44,Worksheet!$BD$45)),IF(Calculation!DS225=10,IF(Calculation!DR225=18,Worksheet!$BD$29,IF(Calculation!DR225=30,Worksheet!$BD$30,IF(Calculation!DR225=42,Worksheet!$BD$31,IF(Calculation!DR225=54,Worksheet!$BD$32,IF(Calculation!DR225=66,Worksheet!$BD$33,IF(Calculation!DR225=78,Worksheet!$BD$34,IF(Calculation!DR225=90,Worksheet!$BD$35,IF(Calculation!DR225=102,Worksheet!$BD$36,Worksheet!$BD$37)))))))),IF(Calculation!DS225=12.5,IF(Calculation!DR225=18,Worksheet!$BD$38,IF(Calculation!DR225=Worksheet!$BD$39,IF(Calculation!DR225=42,Worksheet!$BD$40,IF(Calculation!DR225=54,Worksheet!$BD$41,Worksheet!$BD$42)))),IF(Calculation!DR225=18,Worksheet!$BD$11,IF(Calculation!DR225=30,Worksheet!$BD$12,IF(Calculation!DR225=42,Worksheet!$BD$13,IF(Calculation!DR225=54,Worksheet!$BD$14,IF(Calculation!DR225=66,Worksheet!$BD$15,IF(Calculation!DR225=78,Worksheet!$BD$16,IF(Calculation!DR225=90,Worksheet!$BD$17,IF(Calculation!DR225=102,Worksheet!$BD$18,Worksheet!$BD$19))))))))))),IF(Calculation!DS225=13.75,IF(Calculation!DR225=13,Worksheet!$BD$78,IF(Calculation!DR225=37,Worksheet!$BD$79,Worksheet!$BD$80)),IF(Calculation!DS225=10,IF(Calculation!DR225=18,Worksheet!$BD$64,IF(Calculation!DR225=30,Worksheet!$BD$65,IF(Calculation!DR225=42,Worksheet!$BD$66,IF(Calculation!DR225=54,Worksheet!$BD$68,IF(Calculation!DR225=66,Worksheet!$BD$68,IF(Calculation!DR225=78,Worksheet!$BD$69,IF(Calculation!DR225=90,Worksheet!$BD$70,IF(Calculation!DR225=102,Worksheet!$BD$71,Worksheet!$BD$72)))))))),IF(Calculation!DS225=12.5,IF(Calculation!DR225=18,Worksheet!$BD$73,IF(Calculation!DR225=Worksheet!$BD$74,IF(Calculation!DR225=42,Worksheet!$BD$75,IF(Calculation!DR225=54,Worksheet!$BD$76,Worksheet!$BD$77)))),IF(Calculation!DR225=18,Worksheet!$BD$55,IF(Calculation!DR225=30,Worksheet!$BD$56,IF(Calculation!DR225=42,Worksheet!$BD$57,IF(Calculation!DR225=54,Worksheet!$BD$58,IF(Calculation!DR225=66,Worksheet!$BD$59,IF(Calculation!DR225=78,Worksheet!$BD$60,IF(Calculation!DR225=90,Worksheet!$BD$61,IF(Calculation!DR225=102,Worksheet!$BD$62,Worksheet!$BD$63)))))))))))),5),0)," ")</f>
        <v xml:space="preserve"> </v>
      </c>
      <c r="EG225" s="361" t="str">
        <f t="shared" si="668"/>
        <v xml:space="preserve"> </v>
      </c>
      <c r="EH225" s="361" t="e">
        <f ca="1">INDEX(INDIRECT(VLOOKUP(LEFT(BO225,7),CLU!$Z$3:$AH$18,7)),M225-1,3+LEFT(DZ225,1))</f>
        <v>#N/A</v>
      </c>
      <c r="EI225" s="362" t="str">
        <f t="shared" si="669"/>
        <v xml:space="preserve"> </v>
      </c>
      <c r="EJ225" s="363" t="str">
        <f t="shared" si="670"/>
        <v xml:space="preserve"> </v>
      </c>
      <c r="EK225" s="363" t="str">
        <f t="shared" si="671"/>
        <v xml:space="preserve"> </v>
      </c>
      <c r="EL225" s="363" t="str">
        <f t="shared" si="672"/>
        <v xml:space="preserve"> </v>
      </c>
      <c r="EM225" s="362" t="str">
        <f>IF(L225&gt;0,IF(BR225&gt;0,(Calculation!T225/ED225)^2,0)," ")</f>
        <v xml:space="preserve"> </v>
      </c>
      <c r="EN225" s="362" t="str">
        <f>IF(L225&gt;0,IF(O225="2 Pipe (Cooling)","N/A",IF(BR225&gt;0,(Calculation!U225/EI225)^2,0))," ")</f>
        <v xml:space="preserve"> </v>
      </c>
      <c r="EO225" s="361" t="str">
        <f t="shared" si="673"/>
        <v/>
      </c>
      <c r="EP225" s="361" t="str">
        <f t="shared" si="674"/>
        <v/>
      </c>
      <c r="EQ225" s="361" t="str">
        <f t="shared" si="675"/>
        <v/>
      </c>
      <c r="ER225" s="361" t="str">
        <f t="shared" si="676"/>
        <v/>
      </c>
      <c r="ES225" s="361" t="str">
        <f t="shared" si="677"/>
        <v/>
      </c>
      <c r="ET225" s="361" t="str">
        <f t="shared" si="678"/>
        <v/>
      </c>
      <c r="EU225" s="361" t="str">
        <f t="shared" si="679"/>
        <v/>
      </c>
      <c r="EV225" s="361" t="str">
        <f t="shared" si="680"/>
        <v/>
      </c>
      <c r="EW225" s="361" t="str">
        <f t="shared" si="681"/>
        <v/>
      </c>
      <c r="EX225" s="361" t="str">
        <f t="shared" si="771"/>
        <v>1 slot, 1 way</v>
      </c>
      <c r="EY225" s="361" t="str">
        <f t="shared" si="772"/>
        <v xml:space="preserve"> </v>
      </c>
      <c r="EZ225" s="361" t="str">
        <f t="shared" si="773"/>
        <v xml:space="preserve"> </v>
      </c>
      <c r="FA225" s="361" t="str">
        <f t="shared" si="774"/>
        <v xml:space="preserve"> </v>
      </c>
      <c r="FB225" s="361" t="str">
        <f t="shared" si="775"/>
        <v xml:space="preserve"> </v>
      </c>
      <c r="FC225" s="361"/>
      <c r="FD225" s="361" t="str">
        <f>IF(J225&gt;0,IF(Calculation!R225&lt;=70,4,IF(Calculation!R225&lt;=110,5,IF(Calculation!R225&lt;=160,6,IF(Calculation!R225&lt;=300,8,"10 EO")))),"")</f>
        <v/>
      </c>
      <c r="FE225" s="361" t="str">
        <f t="shared" si="776"/>
        <v/>
      </c>
      <c r="FF225" s="361" t="str">
        <f t="shared" si="777"/>
        <v/>
      </c>
      <c r="FG225" s="361" t="e">
        <f t="shared" si="682"/>
        <v>#N/A</v>
      </c>
      <c r="FH225" s="361">
        <f t="shared" si="683"/>
        <v>0</v>
      </c>
      <c r="FI225" s="361" t="e">
        <f t="shared" si="684"/>
        <v>#DIV/0!</v>
      </c>
      <c r="FJ225" s="361"/>
      <c r="FK225" s="356" t="e">
        <f t="shared" si="685"/>
        <v>#VALUE!</v>
      </c>
      <c r="FL225" s="361"/>
      <c r="FM225" s="361"/>
      <c r="FN225" s="362" t="str">
        <f t="shared" si="778"/>
        <v xml:space="preserve"> </v>
      </c>
      <c r="FO225" s="362" t="str">
        <f t="shared" si="779"/>
        <v xml:space="preserve"> </v>
      </c>
      <c r="FP225" s="362">
        <f t="shared" si="780"/>
        <v>0</v>
      </c>
      <c r="FQ225" s="361">
        <f t="shared" si="686"/>
        <v>0</v>
      </c>
      <c r="FR225" s="362" t="str">
        <f>IF(L225&gt;0,IF(J225="CBAL2",Worksheet!$P$67,IF(J225="CBE2-24",Worksheet!$Q$67,IF(J225="CBAM",Worksheet!$R$67,IF(J225="CBLV",Worksheet!$S$67,IF(J225="CBAB",Worksheet!$U$67,IF(J225="CBAW",Worksheet!$X$67,IF(J225="CBE2-12",Worksheet!$Y$67,IF(J225="CBAL2",Worksheet!$Z$67,"N/A"))))))))," ")</f>
        <v xml:space="preserve"> </v>
      </c>
      <c r="FS225" s="362" t="str">
        <f>IF(L225&gt;0,IF(J225="CBAL2",Worksheet!$P$68,IF(J225="CBE2-24",Worksheet!$Q$68,IF(J225="CBAM",Worksheet!$R$68,IF(J225="CBLV",Worksheet!$S$68,IF(J225="CBAB",Worksheet!$U$68,IF(J225="CBAW",Worksheet!$X$68,IF(J225="CBE2-12",Worksheet!$Y$68,IF(J225="CBAL2",Worksheet!$Z$68,"N/A"))))))))," ")</f>
        <v xml:space="preserve"> </v>
      </c>
      <c r="FT225" s="362" t="str">
        <f>IF(L225&gt;0,IF(J225="CBAL2",Worksheet!$P$69,IF(J225="CBE2-24",Worksheet!$Q$69,IF(J225="CBAM",Worksheet!$R$69,IF(J225="CBLV",Worksheet!$S$69,IF(J225="CBAB",Worksheet!$U$69,IF(J225="CBAW",Worksheet!$X$69,IF(J225="CBE2-12",Worksheet!$Y$69,IF(J225="CBAL2",Worksheet!$Z$69,"N/A"))))))))," ")</f>
        <v xml:space="preserve"> </v>
      </c>
      <c r="FU225" s="361" t="str">
        <f t="shared" si="781"/>
        <v xml:space="preserve"> </v>
      </c>
      <c r="FV225" s="362" t="str">
        <f t="shared" si="782"/>
        <v xml:space="preserve"> </v>
      </c>
      <c r="FW225" s="362" t="str">
        <f t="shared" si="783"/>
        <v xml:space="preserve"> </v>
      </c>
      <c r="FX225" s="362" t="str">
        <f t="shared" si="784"/>
        <v xml:space="preserve"> </v>
      </c>
      <c r="FY225" s="355" t="str">
        <f t="shared" si="785"/>
        <v xml:space="preserve"> </v>
      </c>
      <c r="FZ225" s="361" t="str">
        <f t="shared" si="786"/>
        <v xml:space="preserve"> </v>
      </c>
      <c r="GA225" s="347" t="str">
        <f t="shared" si="787"/>
        <v xml:space="preserve"> </v>
      </c>
      <c r="GB225" s="355" t="str">
        <f t="shared" si="788"/>
        <v xml:space="preserve"> </v>
      </c>
      <c r="GC225" s="328" t="str">
        <f t="shared" si="789"/>
        <v xml:space="preserve"> </v>
      </c>
      <c r="GD225" s="361" t="str">
        <f t="shared" si="790"/>
        <v xml:space="preserve"> </v>
      </c>
      <c r="GE225" s="347" t="str">
        <f t="shared" si="791"/>
        <v xml:space="preserve"> </v>
      </c>
      <c r="GF225" s="361" t="str">
        <f t="shared" si="792"/>
        <v xml:space="preserve"> </v>
      </c>
      <c r="GG225" s="347" t="str">
        <f t="shared" si="793"/>
        <v xml:space="preserve"> </v>
      </c>
      <c r="GH225" s="364">
        <f t="shared" si="687"/>
        <v>0</v>
      </c>
      <c r="GI225" s="362">
        <f t="shared" si="794"/>
        <v>2</v>
      </c>
      <c r="GJ225" s="433" t="e">
        <f>IF(6-COUNTBLANK(GT225:GY225)=4,MATCH(MID(BO225,9,3),CLU!$H$16:$K$16),MATCH(MID(BO225,9,3),CLU!$H$13:$M$13))</f>
        <v>#N/A</v>
      </c>
      <c r="GK225" s="433" t="e">
        <f>HLOOKUP(VALUE(BP225),CLU!$H$9:$M$10,2)</f>
        <v>#VALUE!</v>
      </c>
      <c r="GL225" s="433" t="e">
        <f ca="1">MATCH(BU225,CLU!$H$2:$V$2,1)</f>
        <v>#VALUE!</v>
      </c>
      <c r="GM225" s="433" t="e">
        <f t="shared" ca="1" si="795"/>
        <v>#VALUE!</v>
      </c>
      <c r="GN225" s="433" t="e">
        <f t="shared" ca="1" si="796"/>
        <v>#VALUE!</v>
      </c>
      <c r="GO225" s="433" t="e">
        <f t="shared" ca="1" si="797"/>
        <v>#VALUE!</v>
      </c>
      <c r="GP225" s="433" t="e">
        <f t="shared" ca="1" si="798"/>
        <v>#VALUE!</v>
      </c>
      <c r="GQ225" s="433" t="e">
        <f t="shared" ca="1" si="799"/>
        <v>#VALUE!</v>
      </c>
      <c r="GR225" s="433" t="e">
        <f ca="1">MATCH(T225,INDIRECT(VLOOKUP(CONCATENATE(LEFT(BO225,7),"-",MID(BO225,13,1)),CLU!$P$3:$Q$16,2)),1)</f>
        <v>#N/A</v>
      </c>
      <c r="GS225" s="433" t="e">
        <f ca="1">MATCH(U225,INDIRECT(VLOOKUP(CONCATENATE(LEFT(BO225,7),"-",MID(BO225,13,1)),CLU!$P$3:$Q$16,2)),1)</f>
        <v>#N/A</v>
      </c>
      <c r="GT225" s="347" t="s">
        <v>512</v>
      </c>
      <c r="GU225" s="97" t="s">
        <v>513</v>
      </c>
      <c r="GV225" s="97" t="str">
        <f t="shared" si="800"/>
        <v>M23</v>
      </c>
      <c r="GW225" s="97" t="str">
        <f t="shared" si="801"/>
        <v>M31</v>
      </c>
      <c r="GX225" s="97" t="str">
        <f t="shared" si="802"/>
        <v/>
      </c>
      <c r="GY225" s="97" t="str">
        <f t="shared" si="803"/>
        <v/>
      </c>
      <c r="GZ225" s="481"/>
      <c r="HA225" s="288"/>
      <c r="HB225" s="240"/>
      <c r="HC225" s="240"/>
      <c r="HD225" s="240"/>
      <c r="HE225" s="240"/>
      <c r="HF225" s="240"/>
      <c r="HG225" s="240"/>
      <c r="HH225" s="240"/>
      <c r="HI225" s="240"/>
      <c r="HJ225" s="240"/>
      <c r="HK225" s="240"/>
      <c r="HL225" s="240"/>
      <c r="HM225" s="240"/>
      <c r="HN225" s="240"/>
      <c r="HO225" s="240"/>
      <c r="HP225" s="240"/>
      <c r="HQ225" s="240"/>
      <c r="HR225" s="240"/>
      <c r="HS225" s="240"/>
      <c r="HT225" s="240"/>
      <c r="HU225" s="240"/>
      <c r="HV225" s="245"/>
      <c r="HW225" s="245" t="b">
        <v>1</v>
      </c>
      <c r="HX225" s="245" t="str">
        <f t="shared" si="688"/>
        <v/>
      </c>
      <c r="HY225" s="245" t="e">
        <f t="shared" si="689"/>
        <v>#DIV/0!</v>
      </c>
      <c r="HZ225" s="245" t="e">
        <f t="shared" si="690"/>
        <v>#DIV/0!</v>
      </c>
      <c r="IA225" s="245">
        <f t="shared" si="691"/>
        <v>0</v>
      </c>
      <c r="IB225" s="245"/>
      <c r="IC225" t="b">
        <f t="shared" si="692"/>
        <v>1</v>
      </c>
      <c r="ID225" s="245" t="b">
        <f t="shared" si="693"/>
        <v>1</v>
      </c>
      <c r="IE225" s="245" t="b">
        <f t="shared" si="694"/>
        <v>1</v>
      </c>
      <c r="IF225" s="245" t="b">
        <f t="shared" si="695"/>
        <v>0</v>
      </c>
      <c r="IG225" s="245" t="b">
        <f t="shared" si="696"/>
        <v>1</v>
      </c>
      <c r="IH225" s="245" t="b">
        <f t="shared" si="697"/>
        <v>1</v>
      </c>
      <c r="II225" s="245">
        <f t="shared" si="804"/>
        <v>0</v>
      </c>
      <c r="IJ225" s="245" t="e">
        <f t="shared" si="698"/>
        <v>#VALUE!</v>
      </c>
      <c r="IK225" s="245" t="e">
        <f t="shared" si="699"/>
        <v>#VALUE!</v>
      </c>
      <c r="IL225" s="245"/>
      <c r="IM225" s="245" t="e">
        <f t="shared" si="805"/>
        <v>#N/A</v>
      </c>
      <c r="IN225" s="245" t="e">
        <f t="shared" si="806"/>
        <v>#N/A</v>
      </c>
      <c r="IO225" s="245"/>
      <c r="IP225" s="245"/>
      <c r="IQ225" s="245" t="str">
        <f t="shared" si="700"/>
        <v/>
      </c>
      <c r="IR225" s="245" t="str">
        <f>IF(J225="","",VLOOKUP(J225,Worksheet!$R$4:$T$14,2))</f>
        <v/>
      </c>
      <c r="IS225" s="245"/>
      <c r="IT225" s="245">
        <f t="shared" si="701"/>
        <v>0</v>
      </c>
      <c r="IU225" s="245">
        <f t="shared" si="702"/>
        <v>0</v>
      </c>
      <c r="IV225" s="245">
        <f t="shared" si="703"/>
        <v>0</v>
      </c>
      <c r="IW225" s="245">
        <f t="shared" si="704"/>
        <v>0</v>
      </c>
      <c r="IX225" s="245">
        <f t="shared" si="807"/>
        <v>0</v>
      </c>
      <c r="IY225" s="245">
        <f t="shared" si="705"/>
        <v>0</v>
      </c>
      <c r="IZ225" s="245">
        <f t="shared" si="706"/>
        <v>0</v>
      </c>
      <c r="JA225">
        <f t="shared" si="707"/>
        <v>0</v>
      </c>
      <c r="JB225">
        <f t="shared" si="808"/>
        <v>0</v>
      </c>
      <c r="JC225">
        <f t="shared" si="708"/>
        <v>0</v>
      </c>
      <c r="JD225">
        <f t="shared" si="709"/>
        <v>0</v>
      </c>
      <c r="JE225">
        <f t="shared" si="710"/>
        <v>0</v>
      </c>
      <c r="JF225">
        <f t="shared" si="711"/>
        <v>0</v>
      </c>
      <c r="JG225">
        <f t="shared" si="712"/>
        <v>0</v>
      </c>
      <c r="JH225">
        <f t="shared" si="713"/>
        <v>0</v>
      </c>
      <c r="JI225">
        <f t="shared" si="714"/>
        <v>0</v>
      </c>
      <c r="JJ225" s="447">
        <f t="shared" si="715"/>
        <v>0</v>
      </c>
      <c r="JK225" s="447">
        <f t="shared" si="716"/>
        <v>0</v>
      </c>
      <c r="JL225">
        <f t="shared" si="717"/>
        <v>0</v>
      </c>
      <c r="JM225" s="245" t="str">
        <f>IFERROR(VLOOKUP(MATCH(BN225,#REF!,0),#REF!,7),"")</f>
        <v/>
      </c>
      <c r="JN225" t="e">
        <f>HLOOKUP(LEFT(BO225,7),Discharge_Area,MATCH(JO225,LookUps!$B$130:$B$149,1)+2)</f>
        <v>#N/A</v>
      </c>
      <c r="JO225" t="str">
        <f t="shared" si="718"/>
        <v>- S</v>
      </c>
      <c r="JP225" t="e">
        <f>HLOOKUP(LEFT(BO225,7),Discharge_Area,MATCH(JO225,LookUps!$B$130:$B$149,1)+2)</f>
        <v>#N/A</v>
      </c>
      <c r="JQ225" t="e">
        <f t="shared" si="719"/>
        <v>#N/A</v>
      </c>
      <c r="JR225" t="e">
        <f t="shared" si="720"/>
        <v>#N/A</v>
      </c>
      <c r="JS225" t="e">
        <f t="shared" si="721"/>
        <v>#N/A</v>
      </c>
      <c r="JT225" s="532" t="str">
        <f t="shared" si="722"/>
        <v xml:space="preserve"> </v>
      </c>
      <c r="JU225" s="532" t="str">
        <f t="shared" si="723"/>
        <v xml:space="preserve"> </v>
      </c>
      <c r="JV225" s="533" t="str">
        <f t="shared" si="724"/>
        <v xml:space="preserve"> </v>
      </c>
      <c r="JW225" s="534">
        <f t="shared" si="725"/>
        <v>0</v>
      </c>
      <c r="JX225" s="535" t="str">
        <f t="shared" si="809"/>
        <v xml:space="preserve"> </v>
      </c>
      <c r="JY225" s="535" t="str">
        <f t="shared" si="810"/>
        <v xml:space="preserve"> </v>
      </c>
      <c r="JZ225" s="535" t="str">
        <f t="shared" si="811"/>
        <v xml:space="preserve"> </v>
      </c>
      <c r="KA225" s="536" t="str">
        <f t="shared" si="726"/>
        <v xml:space="preserve"> </v>
      </c>
      <c r="KB225" s="535" t="e">
        <f t="shared" si="812"/>
        <v>#VALUE!</v>
      </c>
      <c r="KC225" s="535" t="str">
        <f t="shared" si="727"/>
        <v/>
      </c>
      <c r="KD225" s="537" t="str">
        <f t="shared" si="813"/>
        <v xml:space="preserve"> </v>
      </c>
      <c r="KE225" s="537" t="str">
        <f t="shared" si="814"/>
        <v xml:space="preserve"> </v>
      </c>
      <c r="KF225" s="534">
        <f t="shared" si="728"/>
        <v>0</v>
      </c>
      <c r="KG225" s="535" t="str">
        <f t="shared" si="729"/>
        <v xml:space="preserve"> </v>
      </c>
      <c r="KH225" s="535" t="str">
        <f t="shared" si="730"/>
        <v xml:space="preserve"> </v>
      </c>
      <c r="KI225" s="535" t="str">
        <f t="shared" si="731"/>
        <v xml:space="preserve"> </v>
      </c>
      <c r="KJ225" s="536" t="str">
        <f t="shared" si="732"/>
        <v xml:space="preserve"> </v>
      </c>
      <c r="KK225" s="535" t="str">
        <f t="shared" si="815"/>
        <v xml:space="preserve"> </v>
      </c>
      <c r="KL225" s="535" t="str">
        <f t="shared" si="816"/>
        <v xml:space="preserve"> </v>
      </c>
      <c r="KM225" s="537" t="str">
        <f t="shared" si="733"/>
        <v xml:space="preserve"> </v>
      </c>
      <c r="KN225" s="537" t="str">
        <f t="shared" si="817"/>
        <v xml:space="preserve"> </v>
      </c>
      <c r="KP225">
        <f t="shared" si="734"/>
        <v>0</v>
      </c>
      <c r="LA225" t="e">
        <f t="shared" si="735"/>
        <v>#VALUE!</v>
      </c>
      <c r="LB225" t="e">
        <f t="shared" si="736"/>
        <v>#VALUE!</v>
      </c>
      <c r="LC225" t="e">
        <f t="shared" si="737"/>
        <v>#VALUE!</v>
      </c>
      <c r="LD225" t="e">
        <f t="shared" si="738"/>
        <v>#VALUE!</v>
      </c>
      <c r="LE225" t="e">
        <f t="shared" si="818"/>
        <v>#VALUE!</v>
      </c>
      <c r="LF225">
        <f t="shared" si="739"/>
        <v>0</v>
      </c>
      <c r="LG225" t="e">
        <f t="shared" si="819"/>
        <v>#VALUE!</v>
      </c>
      <c r="LH225" t="str">
        <f t="shared" si="740"/>
        <v xml:space="preserve"> </v>
      </c>
      <c r="LI225">
        <f t="shared" si="820"/>
        <v>1</v>
      </c>
    </row>
    <row r="226" spans="2:321" ht="15" customHeight="1">
      <c r="B226" s="311"/>
      <c r="C226" s="311"/>
      <c r="D226" s="312"/>
      <c r="E226" s="311"/>
      <c r="F226" s="312"/>
      <c r="G226" s="311"/>
      <c r="H226" s="311"/>
      <c r="I226" s="232"/>
      <c r="J226" s="311"/>
      <c r="K226" s="305" t="str">
        <f t="shared" si="741"/>
        <v/>
      </c>
      <c r="L226" s="313"/>
      <c r="M226" s="312"/>
      <c r="N226" s="311"/>
      <c r="O226" s="312"/>
      <c r="P226" s="311"/>
      <c r="Q226" s="305" t="str">
        <f t="shared" si="742"/>
        <v/>
      </c>
      <c r="R226" s="314"/>
      <c r="S226" s="450" t="str">
        <f t="shared" si="625"/>
        <v/>
      </c>
      <c r="T226" s="315"/>
      <c r="U226" s="315"/>
      <c r="W226" s="149" t="str">
        <f t="shared" si="626"/>
        <v xml:space="preserve"> </v>
      </c>
      <c r="X226" s="243" t="str">
        <f t="shared" si="627"/>
        <v xml:space="preserve"> </v>
      </c>
      <c r="Y226" s="150" t="str">
        <f t="shared" si="628"/>
        <v/>
      </c>
      <c r="Z226" s="149" t="str">
        <f t="shared" si="629"/>
        <v xml:space="preserve"> </v>
      </c>
      <c r="AA226" s="98" t="str">
        <f t="shared" si="630"/>
        <v xml:space="preserve"> </v>
      </c>
      <c r="AB226" s="153" t="str">
        <f t="shared" si="631"/>
        <v xml:space="preserve"> </v>
      </c>
      <c r="AC226" s="153" t="str">
        <f t="shared" si="632"/>
        <v xml:space="preserve"> </v>
      </c>
      <c r="AD226" s="148" t="str">
        <f t="shared" si="633"/>
        <v/>
      </c>
      <c r="AE226" s="149" t="str">
        <f t="shared" si="634"/>
        <v/>
      </c>
      <c r="AF226" s="151" t="str">
        <f t="shared" si="635"/>
        <v xml:space="preserve"> </v>
      </c>
      <c r="AG226" s="153" t="str">
        <f t="shared" si="636"/>
        <v xml:space="preserve"> </v>
      </c>
      <c r="AH226" s="98" t="str">
        <f t="shared" si="637"/>
        <v xml:space="preserve"> </v>
      </c>
      <c r="AI226" s="149" t="str">
        <f t="shared" si="638"/>
        <v xml:space="preserve"> </v>
      </c>
      <c r="AK226" s="144" t="str">
        <f t="shared" si="639"/>
        <v xml:space="preserve"> </v>
      </c>
      <c r="AL226" s="144"/>
      <c r="AM226" s="243" t="str">
        <f t="shared" si="640"/>
        <v xml:space="preserve"> </v>
      </c>
      <c r="AN226" s="149" t="str">
        <f t="shared" si="743"/>
        <v xml:space="preserve"> </v>
      </c>
      <c r="AO226" s="144" t="str">
        <f>IF(JB226&gt;0,IF(GI226=10,-R226*1.085*(Calculation!$F$6-Calculation!$F$13)*$S$14," "),"")</f>
        <v/>
      </c>
      <c r="AP226" s="144" t="str">
        <f t="shared" si="641"/>
        <v/>
      </c>
      <c r="AQ226" s="56" t="str">
        <f t="shared" si="642"/>
        <v/>
      </c>
      <c r="AR226" s="144" t="str">
        <f t="shared" si="643"/>
        <v/>
      </c>
      <c r="AS226" s="176" t="str">
        <f t="shared" si="644"/>
        <v/>
      </c>
      <c r="AT226" s="176" t="str">
        <f t="shared" si="744"/>
        <v xml:space="preserve"> </v>
      </c>
      <c r="AU226" s="176" t="str">
        <f t="shared" si="645"/>
        <v/>
      </c>
      <c r="AV226" s="177" t="str">
        <f t="shared" si="646"/>
        <v xml:space="preserve"> </v>
      </c>
      <c r="AW226" s="144" t="str">
        <f t="shared" si="647"/>
        <v xml:space="preserve"> </v>
      </c>
      <c r="AX226" s="144" t="str">
        <f t="shared" si="648"/>
        <v xml:space="preserve"> </v>
      </c>
      <c r="AY226" s="152" t="str">
        <f t="shared" si="649"/>
        <v xml:space="preserve"> </v>
      </c>
      <c r="AZ226" s="246" t="str">
        <f t="shared" si="650"/>
        <v/>
      </c>
      <c r="BA226" s="176" t="str">
        <f t="shared" si="651"/>
        <v xml:space="preserve"> </v>
      </c>
      <c r="BB226" s="176" t="str">
        <f t="shared" si="652"/>
        <v xml:space="preserve"> </v>
      </c>
      <c r="BC226" s="195"/>
      <c r="BD226" s="316"/>
      <c r="BE226" s="317"/>
      <c r="BF226" s="318"/>
      <c r="BG226" s="318"/>
      <c r="BH226" s="144" t="str">
        <f t="shared" si="821"/>
        <v xml:space="preserve"> </v>
      </c>
      <c r="BI226" s="176" t="str">
        <f t="shared" si="653"/>
        <v/>
      </c>
      <c r="BJ226" s="144" t="str">
        <f t="shared" si="822"/>
        <v/>
      </c>
      <c r="BK226" s="246" t="str">
        <f t="shared" si="654"/>
        <v/>
      </c>
      <c r="BL226" s="144" t="str">
        <f t="shared" si="823"/>
        <v/>
      </c>
      <c r="BM226" s="246" t="str">
        <f t="shared" si="655"/>
        <v/>
      </c>
      <c r="BN226" s="337" t="str">
        <f t="shared" si="745"/>
        <v/>
      </c>
      <c r="BO226" s="371" t="str">
        <f t="shared" si="746"/>
        <v/>
      </c>
      <c r="BP226" s="328" t="str">
        <f t="shared" si="824"/>
        <v xml:space="preserve"> </v>
      </c>
      <c r="BQ226" s="347" t="str">
        <f t="shared" si="747"/>
        <v xml:space="preserve"> </v>
      </c>
      <c r="BR226" s="353" t="str">
        <f t="shared" si="748"/>
        <v xml:space="preserve"> </v>
      </c>
      <c r="BS226" s="626" t="str">
        <f>IF(L226&gt;0,IF(Calculation!P226="M13",BR226*3.1416*(0.134^2)/(4*144),IF(Calculation!P226="M17",BR226*3.1416*(0.165^2)/(4*144),IF(Calculation!P226="M20",BR226*3.1416*(0.198^2)/(4*144),IF(Calculation!P226="M23",BR226*3.1416*(0.228^2)/(4*144),IF(Calculation!P226="M27",BR226*3.1416*(0.269^2)/(4*144),BR226*3.1416*(0.307^2)/(4*144))))))," ")</f>
        <v xml:space="preserve"> </v>
      </c>
      <c r="BT226" s="353" t="str">
        <f>IF(L226&gt;0,IF(BS226&gt;0,R226/Calculation!BS226,0)," ")</f>
        <v xml:space="preserve"> </v>
      </c>
      <c r="BU226" s="438" t="e">
        <f t="shared" ca="1" si="656"/>
        <v>#VALUE!</v>
      </c>
      <c r="BV226" s="449" t="e">
        <f ca="1">INDEX(INDIRECT(VLOOKUP(LEFT(BO226,7),CLU!$Z$3:$AH$18,2)),GN226,GR226)</f>
        <v>#N/A</v>
      </c>
      <c r="BW226" s="433" t="e">
        <f ca="1">INDEX(INDIRECT(VLOOKUP(LEFT(BO226,7),CLU!$Z$3:$AH$18,3)),GN226,GR226)</f>
        <v>#N/A</v>
      </c>
      <c r="BX226" s="433" t="e">
        <f ca="1">INDEX(INDIRECT(VLOOKUP(LEFT(BO226,7),CLU!$Z$3:$AH$18,4)),GN226,GR226)</f>
        <v>#N/A</v>
      </c>
      <c r="BY226" s="433" t="e">
        <f ca="1">INDEX(INDIRECT(VLOOKUP(LEFT(BO226,7),CLU!$Z$3:$AH$18,9)),((M226-2)*(6-COUNTBLANK(GT226:GY226)))+GJ226)</f>
        <v>#N/A</v>
      </c>
      <c r="BZ226" s="426" t="e">
        <f t="shared" ca="1" si="749"/>
        <v>#N/A</v>
      </c>
      <c r="CA226" s="424" t="e">
        <f t="shared" ca="1" si="750"/>
        <v>#N/A</v>
      </c>
      <c r="CB226" s="429" t="e">
        <f ca="1">INDEX(INDIRECT(VLOOKUP(LEFT(BO226,7),CLU!$Z$3:$AH$18,2)),GN226,GS226)</f>
        <v>#N/A</v>
      </c>
      <c r="CC226" s="342" t="e">
        <f ca="1">INDEX(INDIRECT(VLOOKUP(LEFT(BO226,7),CLU!$Z$3:$AH$18,3)),GN226,GS226)</f>
        <v>#N/A</v>
      </c>
      <c r="CD226" s="342" t="e">
        <f ca="1">INDEX(INDIRECT(VLOOKUP(LEFT(BO226,7),CLU!$Z$3:$AH$18,4)),GN226,GS226)</f>
        <v>#N/A</v>
      </c>
      <c r="CE226" s="426" t="e">
        <f t="shared" ca="1" si="751"/>
        <v>#N/A</v>
      </c>
      <c r="CF226" s="440">
        <f t="shared" si="752"/>
        <v>0</v>
      </c>
      <c r="CG226" s="431" t="e">
        <f ca="1">INDEX(INDIRECT(VLOOKUP(LEFT(BO226,7),CLU!$Z$3:$AH$18,2)),GQ226,GR226)</f>
        <v>#N/A</v>
      </c>
      <c r="CH226" s="431" t="e">
        <f ca="1">INDEX(INDIRECT(VLOOKUP(LEFT(BO226,7),CLU!$Z$3:$AH$18,3)),GQ226,GR226)</f>
        <v>#N/A</v>
      </c>
      <c r="CI226" s="431" t="e">
        <f ca="1">INDEX(INDIRECT(VLOOKUP(LEFT(BO226,7),CLU!$Z$3:$AH$18,4)),GQ226,GR226)</f>
        <v>#N/A</v>
      </c>
      <c r="CJ226" s="448" t="e">
        <f t="shared" ca="1" si="753"/>
        <v>#N/A</v>
      </c>
      <c r="CK226" s="431" t="e">
        <f t="shared" ca="1" si="754"/>
        <v>#N/A</v>
      </c>
      <c r="CL226" s="440" t="e">
        <f t="shared" ca="1" si="755"/>
        <v>#N/A</v>
      </c>
      <c r="CM226" s="431" t="e">
        <f ca="1">INDEX(INDIRECT(VLOOKUP(LEFT(BO226,7),CLU!$Z$3:$AH$18,2)),GQ226,GS226)</f>
        <v>#N/A</v>
      </c>
      <c r="CN226" s="431" t="e">
        <f ca="1">INDEX(INDIRECT(VLOOKUP(LEFT(BO226,7),CLU!$Z$3:$AH$18,3)),GQ226,GS226)</f>
        <v>#N/A</v>
      </c>
      <c r="CO226" s="431" t="e">
        <f ca="1">INDEX(INDIRECT(VLOOKUP(LEFT(BO226,7),CLU!$Z$3:$AH$18,4)),GQ226,GS226)</f>
        <v>#N/A</v>
      </c>
      <c r="CP226" s="431" t="e">
        <f t="shared" ca="1" si="756"/>
        <v>#N/A</v>
      </c>
      <c r="CQ226" s="440">
        <f t="shared" si="757"/>
        <v>0</v>
      </c>
      <c r="CR226" s="51" t="e">
        <f t="shared" ca="1" si="758"/>
        <v>#N/A</v>
      </c>
      <c r="CS226" s="439" t="e">
        <f t="shared" ca="1" si="759"/>
        <v>#VALUE!</v>
      </c>
      <c r="CT226" s="51" t="e">
        <f t="shared" ca="1" si="760"/>
        <v>#VALUE!</v>
      </c>
      <c r="CU226" s="10"/>
      <c r="CV226" s="51" t="e">
        <f t="shared" ca="1" si="657"/>
        <v>#VALUE!</v>
      </c>
      <c r="CW226" s="51">
        <f t="shared" si="761"/>
        <v>0</v>
      </c>
      <c r="CX226" s="439" t="e">
        <f t="shared" ca="1" si="762"/>
        <v>#VALUE!</v>
      </c>
      <c r="CY226" s="51" t="e">
        <f t="shared" ca="1" si="763"/>
        <v>#VALUE!</v>
      </c>
      <c r="CZ226" s="10"/>
      <c r="DA226" s="51" t="e">
        <f t="shared" ca="1" si="764"/>
        <v>#VALUE!</v>
      </c>
      <c r="DB226" s="347" t="e">
        <f ca="1">INDEX(INDIRECT(VLOOKUP(LEFT(BO226,7),CLU!$Z$3:$AI$18,10)),((M226-2)*(6-COUNTBLANK(GT226:GY226)))+GJ226)*LI226</f>
        <v>#N/A</v>
      </c>
      <c r="DC226" s="347" t="str">
        <f>IF(L226&gt;0,((R226/Worksheet!$I$15)/DB226)^2," ")</f>
        <v xml:space="preserve"> </v>
      </c>
      <c r="DD226" s="602" t="str">
        <f t="shared" si="765"/>
        <v xml:space="preserve"> </v>
      </c>
      <c r="DE226" s="347" t="str">
        <f t="shared" si="658"/>
        <v xml:space="preserve"> </v>
      </c>
      <c r="DF226" s="356" t="e">
        <f ca="1">INDEX(INDIRECT(VLOOKUP(LEFT(BO226,7),CLU!$Z$3:$AH$18,8)),((M226-2)*(6-COUNTBLANK(GT226:GY226)))+GJ226)</f>
        <v>#N/A</v>
      </c>
      <c r="DG226" s="347" t="str">
        <f t="shared" si="659"/>
        <v xml:space="preserve"> </v>
      </c>
      <c r="DH226" s="357" t="str">
        <f t="shared" si="660"/>
        <v xml:space="preserve"> </v>
      </c>
      <c r="DI226" s="355" t="str">
        <f t="shared" si="661"/>
        <v xml:space="preserve"> </v>
      </c>
      <c r="DJ226" s="245" t="e">
        <f ca="1">INDEX(INDIRECT(VLOOKUP(LEFT(BO226,7),CLU!$Z$3:$AH$18,5)),GL226,GK226)</f>
        <v>#N/A</v>
      </c>
      <c r="DK226" s="245" t="e">
        <f ca="1">INDEX(INDIRECT(VLOOKUP(LEFT(BO226,7),CLU!$Z$3:$AH$18,6)),GL226,GK226)</f>
        <v>#N/A</v>
      </c>
      <c r="DL226" s="355">
        <f>(Calculation!R226*0.69143*(Calculation!$BQ$8-Calculation!$F$8))*$S$14</f>
        <v>0</v>
      </c>
      <c r="DM226" s="359" t="e">
        <f t="shared" si="766"/>
        <v>#VALUE!</v>
      </c>
      <c r="DN226" s="611">
        <f t="shared" si="767"/>
        <v>0</v>
      </c>
      <c r="DO226" s="359">
        <f t="shared" si="768"/>
        <v>100</v>
      </c>
      <c r="DP226" s="359">
        <f t="shared" si="769"/>
        <v>0</v>
      </c>
      <c r="DQ226" s="360"/>
      <c r="DR226" s="245" t="e">
        <f ca="1">INDEX(INDIRECT(VLOOKUP(LEFT(BO226,7),CLU!$Z$3:$AH$18,7)),M226-1,1)</f>
        <v>#N/A</v>
      </c>
      <c r="DS226" s="245" t="e">
        <f ca="1">INDEX(INDIRECT(VLOOKUP(LEFT(BO226,7),CLU!$Z$3:$AH$18,7)),M226-1,2)</f>
        <v>#N/A</v>
      </c>
      <c r="DT226" s="245" t="e">
        <f ca="1">INDEX(INDIRECT(VLOOKUP(LEFT(BO226,7),CLU!$Z$3:$AH$18,7)),M226-1,3)</f>
        <v>#N/A</v>
      </c>
      <c r="DU226" s="245" t="e">
        <f ca="1">INDEX(INDIRECT(VLOOKUP(LEFT(BO226,7),CLU!$Z$3:$AH$18,7)),M226-1,4)</f>
        <v>#N/A</v>
      </c>
      <c r="DV226" s="361" t="e">
        <f ca="1">INDEX(INDIRECT(VLOOKUP(LEFT(BO226,7),CLU!$Z$3:$AH$18,7)),M226-1,4+LEFT(DZ226,1)*0.5)</f>
        <v>#N/A</v>
      </c>
      <c r="DW226" s="245" t="e">
        <f ca="1">INDEX(INDIRECT(VLOOKUP(LEFT(BO226,7),CLU!$Z$3:$AH$18,7)),M226-1,8)</f>
        <v>#N/A</v>
      </c>
      <c r="DX226" s="361" t="str">
        <f t="shared" si="662"/>
        <v xml:space="preserve"> </v>
      </c>
      <c r="DY226" s="361" t="str">
        <f t="shared" si="663"/>
        <v xml:space="preserve"> </v>
      </c>
      <c r="DZ226" s="361" t="str">
        <f t="shared" si="664"/>
        <v xml:space="preserve"> </v>
      </c>
      <c r="EA226" s="362" t="str">
        <f t="shared" si="665"/>
        <v xml:space="preserve"> </v>
      </c>
      <c r="EB226" s="624" t="str">
        <f t="shared" si="770"/>
        <v xml:space="preserve"> </v>
      </c>
      <c r="EC226" s="361" t="e">
        <f ca="1">INDEX(INDIRECT(VLOOKUP(LEFT(BO226,7),CLU!$Z$3:$AH$18,7)),M226-1,4+LEFT(DZ226,1)*0.5)</f>
        <v>#N/A</v>
      </c>
      <c r="ED226" s="362" t="str">
        <f t="shared" si="666"/>
        <v xml:space="preserve"> </v>
      </c>
      <c r="EE226" s="361" t="str">
        <f t="shared" si="667"/>
        <v xml:space="preserve"> </v>
      </c>
      <c r="EF226" s="362" t="str">
        <f>IF(L226&gt;0,IF(BR226&gt;0,IF(EE226="2P",IF(Calculation!DZ226="2P",IF(Calculation!DS226=13.75,IF(Calculation!DR226=13,Worksheet!$BD$43,IF(Calculation!DR226=37,Worksheet!$BD$44,Worksheet!$BD$45)),IF(Calculation!DS226=10,IF(Calculation!DR226=18,Worksheet!$BD$29,IF(Calculation!DR226=30,Worksheet!$BD$30,IF(Calculation!DR226=42,Worksheet!$BD$31,IF(Calculation!DR226=54,Worksheet!$BD$32,IF(Calculation!DR226=66,Worksheet!$BD$33,IF(Calculation!DR226=78,Worksheet!$BD$34,IF(Calculation!DR226=90,Worksheet!$BD$35,IF(Calculation!DR226=102,Worksheet!$BD$36,Worksheet!$BD$37)))))))),IF(Calculation!DS226=12.5,IF(Calculation!DR226=18,Worksheet!$BD$38,IF(Calculation!DR226=Worksheet!$BD$39,IF(Calculation!DR226=42,Worksheet!$BD$40,IF(Calculation!DR226=54,Worksheet!$BD$41,Worksheet!$BD$42)))),IF(Calculation!DR226=18,Worksheet!$BD$11,IF(Calculation!DR226=30,Worksheet!$BD$12,IF(Calculation!DR226=42,Worksheet!$BD$13,IF(Calculation!DR226=54,Worksheet!$BD$14,IF(Calculation!DR226=66,Worksheet!$BD$15,IF(Calculation!DR226=78,Worksheet!$BD$16,IF(Calculation!DR226=90,Worksheet!$BD$17,IF(Calculation!DR226=102,Worksheet!$BD$18,Worksheet!$BD$19))))))))))),IF(Calculation!DS226=13.75,IF(Calculation!DR226=13,Worksheet!$BD$78,IF(Calculation!DR226=37,Worksheet!$BD$79,Worksheet!$BD$80)),IF(Calculation!DS226=10,IF(Calculation!DR226=18,Worksheet!$BD$64,IF(Calculation!DR226=30,Worksheet!$BD$65,IF(Calculation!DR226=42,Worksheet!$BD$66,IF(Calculation!DR226=54,Worksheet!$BD$68,IF(Calculation!DR226=66,Worksheet!$BD$68,IF(Calculation!DR226=78,Worksheet!$BD$69,IF(Calculation!DR226=90,Worksheet!$BD$70,IF(Calculation!DR226=102,Worksheet!$BD$71,Worksheet!$BD$72)))))))),IF(Calculation!DS226=12.5,IF(Calculation!DR226=18,Worksheet!$BD$73,IF(Calculation!DR226=Worksheet!$BD$74,IF(Calculation!DR226=42,Worksheet!$BD$75,IF(Calculation!DR226=54,Worksheet!$BD$76,Worksheet!$BD$77)))),IF(Calculation!DR226=18,Worksheet!$BD$55,IF(Calculation!DR226=30,Worksheet!$BD$56,IF(Calculation!DR226=42,Worksheet!$BD$57,IF(Calculation!DR226=54,Worksheet!$BD$58,IF(Calculation!DR226=66,Worksheet!$BD$59,IF(Calculation!DR226=78,Worksheet!$BD$60,IF(Calculation!DR226=90,Worksheet!$BD$61,IF(Calculation!DR226=102,Worksheet!$BD$62,Worksheet!$BD$63)))))))))))),5),0)," ")</f>
        <v xml:space="preserve"> </v>
      </c>
      <c r="EG226" s="361" t="str">
        <f t="shared" si="668"/>
        <v xml:space="preserve"> </v>
      </c>
      <c r="EH226" s="361" t="e">
        <f ca="1">INDEX(INDIRECT(VLOOKUP(LEFT(BO226,7),CLU!$Z$3:$AH$18,7)),M226-1,3+LEFT(DZ226,1))</f>
        <v>#N/A</v>
      </c>
      <c r="EI226" s="362" t="str">
        <f t="shared" si="669"/>
        <v xml:space="preserve"> </v>
      </c>
      <c r="EJ226" s="363" t="str">
        <f t="shared" si="670"/>
        <v xml:space="preserve"> </v>
      </c>
      <c r="EK226" s="363" t="str">
        <f t="shared" si="671"/>
        <v xml:space="preserve"> </v>
      </c>
      <c r="EL226" s="363" t="str">
        <f t="shared" si="672"/>
        <v xml:space="preserve"> </v>
      </c>
      <c r="EM226" s="362" t="str">
        <f>IF(L226&gt;0,IF(BR226&gt;0,(Calculation!T226/ED226)^2,0)," ")</f>
        <v xml:space="preserve"> </v>
      </c>
      <c r="EN226" s="362" t="str">
        <f>IF(L226&gt;0,IF(O226="2 Pipe (Cooling)","N/A",IF(BR226&gt;0,(Calculation!U226/EI226)^2,0))," ")</f>
        <v xml:space="preserve"> </v>
      </c>
      <c r="EO226" s="361" t="str">
        <f t="shared" si="673"/>
        <v/>
      </c>
      <c r="EP226" s="361" t="str">
        <f t="shared" si="674"/>
        <v/>
      </c>
      <c r="EQ226" s="361" t="str">
        <f t="shared" si="675"/>
        <v/>
      </c>
      <c r="ER226" s="361" t="str">
        <f t="shared" si="676"/>
        <v/>
      </c>
      <c r="ES226" s="361" t="str">
        <f t="shared" si="677"/>
        <v/>
      </c>
      <c r="ET226" s="361" t="str">
        <f t="shared" si="678"/>
        <v/>
      </c>
      <c r="EU226" s="361" t="str">
        <f t="shared" si="679"/>
        <v/>
      </c>
      <c r="EV226" s="361" t="str">
        <f t="shared" si="680"/>
        <v/>
      </c>
      <c r="EW226" s="361" t="str">
        <f t="shared" si="681"/>
        <v/>
      </c>
      <c r="EX226" s="361" t="str">
        <f t="shared" si="771"/>
        <v>1 slot, 1 way</v>
      </c>
      <c r="EY226" s="361" t="str">
        <f t="shared" si="772"/>
        <v xml:space="preserve"> </v>
      </c>
      <c r="EZ226" s="361" t="str">
        <f t="shared" si="773"/>
        <v xml:space="preserve"> </v>
      </c>
      <c r="FA226" s="361" t="str">
        <f t="shared" si="774"/>
        <v xml:space="preserve"> </v>
      </c>
      <c r="FB226" s="361" t="str">
        <f t="shared" si="775"/>
        <v xml:space="preserve"> </v>
      </c>
      <c r="FC226" s="361"/>
      <c r="FD226" s="361" t="str">
        <f>IF(J226&gt;0,IF(Calculation!R226&lt;=70,4,IF(Calculation!R226&lt;=110,5,IF(Calculation!R226&lt;=160,6,IF(Calculation!R226&lt;=300,8,"10 EO")))),"")</f>
        <v/>
      </c>
      <c r="FE226" s="361" t="str">
        <f t="shared" si="776"/>
        <v/>
      </c>
      <c r="FF226" s="361" t="str">
        <f t="shared" si="777"/>
        <v/>
      </c>
      <c r="FG226" s="361" t="e">
        <f t="shared" si="682"/>
        <v>#N/A</v>
      </c>
      <c r="FH226" s="361">
        <f t="shared" si="683"/>
        <v>0</v>
      </c>
      <c r="FI226" s="361" t="e">
        <f t="shared" si="684"/>
        <v>#DIV/0!</v>
      </c>
      <c r="FJ226" s="361"/>
      <c r="FK226" s="356" t="e">
        <f t="shared" si="685"/>
        <v>#VALUE!</v>
      </c>
      <c r="FL226" s="361"/>
      <c r="FM226" s="361"/>
      <c r="FN226" s="362" t="str">
        <f t="shared" si="778"/>
        <v xml:space="preserve"> </v>
      </c>
      <c r="FO226" s="362" t="str">
        <f t="shared" si="779"/>
        <v xml:space="preserve"> </v>
      </c>
      <c r="FP226" s="362">
        <f t="shared" si="780"/>
        <v>0</v>
      </c>
      <c r="FQ226" s="361">
        <f t="shared" si="686"/>
        <v>0</v>
      </c>
      <c r="FR226" s="362" t="str">
        <f>IF(L226&gt;0,IF(J226="CBAL2",Worksheet!$P$67,IF(J226="CBE2-24",Worksheet!$Q$67,IF(J226="CBAM",Worksheet!$R$67,IF(J226="CBLV",Worksheet!$S$67,IF(J226="CBAB",Worksheet!$U$67,IF(J226="CBAW",Worksheet!$X$67,IF(J226="CBE2-12",Worksheet!$Y$67,IF(J226="CBAL2",Worksheet!$Z$67,"N/A"))))))))," ")</f>
        <v xml:space="preserve"> </v>
      </c>
      <c r="FS226" s="362" t="str">
        <f>IF(L226&gt;0,IF(J226="CBAL2",Worksheet!$P$68,IF(J226="CBE2-24",Worksheet!$Q$68,IF(J226="CBAM",Worksheet!$R$68,IF(J226="CBLV",Worksheet!$S$68,IF(J226="CBAB",Worksheet!$U$68,IF(J226="CBAW",Worksheet!$X$68,IF(J226="CBE2-12",Worksheet!$Y$68,IF(J226="CBAL2",Worksheet!$Z$68,"N/A"))))))))," ")</f>
        <v xml:space="preserve"> </v>
      </c>
      <c r="FT226" s="362" t="str">
        <f>IF(L226&gt;0,IF(J226="CBAL2",Worksheet!$P$69,IF(J226="CBE2-24",Worksheet!$Q$69,IF(J226="CBAM",Worksheet!$R$69,IF(J226="CBLV",Worksheet!$S$69,IF(J226="CBAB",Worksheet!$U$69,IF(J226="CBAW",Worksheet!$X$69,IF(J226="CBE2-12",Worksheet!$Y$69,IF(J226="CBAL2",Worksheet!$Z$69,"N/A"))))))))," ")</f>
        <v xml:space="preserve"> </v>
      </c>
      <c r="FU226" s="361" t="str">
        <f t="shared" si="781"/>
        <v xml:space="preserve"> </v>
      </c>
      <c r="FV226" s="362" t="str">
        <f t="shared" si="782"/>
        <v xml:space="preserve"> </v>
      </c>
      <c r="FW226" s="362" t="str">
        <f t="shared" si="783"/>
        <v xml:space="preserve"> </v>
      </c>
      <c r="FX226" s="362" t="str">
        <f t="shared" si="784"/>
        <v xml:space="preserve"> </v>
      </c>
      <c r="FY226" s="355" t="str">
        <f t="shared" si="785"/>
        <v xml:space="preserve"> </v>
      </c>
      <c r="FZ226" s="361" t="str">
        <f t="shared" si="786"/>
        <v xml:space="preserve"> </v>
      </c>
      <c r="GA226" s="347" t="str">
        <f t="shared" si="787"/>
        <v xml:space="preserve"> </v>
      </c>
      <c r="GB226" s="355" t="str">
        <f t="shared" si="788"/>
        <v xml:space="preserve"> </v>
      </c>
      <c r="GC226" s="328" t="str">
        <f t="shared" si="789"/>
        <v xml:space="preserve"> </v>
      </c>
      <c r="GD226" s="361" t="str">
        <f t="shared" si="790"/>
        <v xml:space="preserve"> </v>
      </c>
      <c r="GE226" s="347" t="str">
        <f t="shared" si="791"/>
        <v xml:space="preserve"> </v>
      </c>
      <c r="GF226" s="361" t="str">
        <f t="shared" si="792"/>
        <v xml:space="preserve"> </v>
      </c>
      <c r="GG226" s="347" t="str">
        <f t="shared" si="793"/>
        <v xml:space="preserve"> </v>
      </c>
      <c r="GH226" s="364">
        <f t="shared" si="687"/>
        <v>0</v>
      </c>
      <c r="GI226" s="362">
        <f t="shared" si="794"/>
        <v>2</v>
      </c>
      <c r="GJ226" s="433" t="e">
        <f>IF(6-COUNTBLANK(GT226:GY226)=4,MATCH(MID(BO226,9,3),CLU!$H$16:$K$16),MATCH(MID(BO226,9,3),CLU!$H$13:$M$13))</f>
        <v>#N/A</v>
      </c>
      <c r="GK226" s="433" t="e">
        <f>HLOOKUP(VALUE(BP226),CLU!$H$9:$M$10,2)</f>
        <v>#VALUE!</v>
      </c>
      <c r="GL226" s="433" t="e">
        <f ca="1">MATCH(BU226,CLU!$H$2:$V$2,1)</f>
        <v>#VALUE!</v>
      </c>
      <c r="GM226" s="433" t="e">
        <f t="shared" ca="1" si="795"/>
        <v>#VALUE!</v>
      </c>
      <c r="GN226" s="433" t="e">
        <f t="shared" ca="1" si="796"/>
        <v>#VALUE!</v>
      </c>
      <c r="GO226" s="433" t="e">
        <f t="shared" ca="1" si="797"/>
        <v>#VALUE!</v>
      </c>
      <c r="GP226" s="433" t="e">
        <f t="shared" ca="1" si="798"/>
        <v>#VALUE!</v>
      </c>
      <c r="GQ226" s="433" t="e">
        <f t="shared" ca="1" si="799"/>
        <v>#VALUE!</v>
      </c>
      <c r="GR226" s="433" t="e">
        <f ca="1">MATCH(T226,INDIRECT(VLOOKUP(CONCATENATE(LEFT(BO226,7),"-",MID(BO226,13,1)),CLU!$P$3:$Q$16,2)),1)</f>
        <v>#N/A</v>
      </c>
      <c r="GS226" s="433" t="e">
        <f ca="1">MATCH(U226,INDIRECT(VLOOKUP(CONCATENATE(LEFT(BO226,7),"-",MID(BO226,13,1)),CLU!$P$3:$Q$16,2)),1)</f>
        <v>#N/A</v>
      </c>
      <c r="GT226" s="347" t="s">
        <v>512</v>
      </c>
      <c r="GU226" s="97" t="s">
        <v>513</v>
      </c>
      <c r="GV226" s="97" t="str">
        <f t="shared" si="800"/>
        <v>M23</v>
      </c>
      <c r="GW226" s="97" t="str">
        <f t="shared" si="801"/>
        <v>M31</v>
      </c>
      <c r="GX226" s="97" t="str">
        <f t="shared" si="802"/>
        <v/>
      </c>
      <c r="GY226" s="97" t="str">
        <f t="shared" si="803"/>
        <v/>
      </c>
      <c r="GZ226" s="481"/>
      <c r="HA226" s="288"/>
      <c r="HB226" s="240"/>
      <c r="HC226" s="240"/>
      <c r="HD226" s="240"/>
      <c r="HE226" s="240"/>
      <c r="HF226" s="240"/>
      <c r="HG226" s="240"/>
      <c r="HH226" s="240"/>
      <c r="HI226" s="240"/>
      <c r="HJ226" s="240"/>
      <c r="HK226" s="240"/>
      <c r="HL226" s="240"/>
      <c r="HM226" s="240"/>
      <c r="HN226" s="240"/>
      <c r="HO226" s="240"/>
      <c r="HP226" s="240"/>
      <c r="HQ226" s="240"/>
      <c r="HR226" s="240"/>
      <c r="HS226" s="240"/>
      <c r="HT226" s="240"/>
      <c r="HU226" s="240"/>
      <c r="HV226" s="245"/>
      <c r="HW226" s="245" t="b">
        <v>1</v>
      </c>
      <c r="HX226" s="245" t="str">
        <f t="shared" si="688"/>
        <v/>
      </c>
      <c r="HY226" s="245" t="e">
        <f t="shared" si="689"/>
        <v>#DIV/0!</v>
      </c>
      <c r="HZ226" s="245" t="e">
        <f t="shared" si="690"/>
        <v>#DIV/0!</v>
      </c>
      <c r="IA226" s="245">
        <f t="shared" si="691"/>
        <v>0</v>
      </c>
      <c r="IB226" s="245"/>
      <c r="IC226" t="b">
        <f t="shared" si="692"/>
        <v>1</v>
      </c>
      <c r="ID226" s="245" t="b">
        <f t="shared" si="693"/>
        <v>1</v>
      </c>
      <c r="IE226" s="245" t="b">
        <f t="shared" si="694"/>
        <v>1</v>
      </c>
      <c r="IF226" s="245" t="b">
        <f t="shared" si="695"/>
        <v>0</v>
      </c>
      <c r="IG226" s="245" t="b">
        <f t="shared" si="696"/>
        <v>1</v>
      </c>
      <c r="IH226" s="245" t="b">
        <f t="shared" si="697"/>
        <v>1</v>
      </c>
      <c r="II226" s="245">
        <f t="shared" si="804"/>
        <v>0</v>
      </c>
      <c r="IJ226" s="245" t="e">
        <f t="shared" si="698"/>
        <v>#VALUE!</v>
      </c>
      <c r="IK226" s="245" t="e">
        <f t="shared" si="699"/>
        <v>#VALUE!</v>
      </c>
      <c r="IL226" s="245"/>
      <c r="IM226" s="245" t="e">
        <f t="shared" si="805"/>
        <v>#N/A</v>
      </c>
      <c r="IN226" s="245" t="e">
        <f t="shared" si="806"/>
        <v>#N/A</v>
      </c>
      <c r="IO226" s="245"/>
      <c r="IP226" s="245"/>
      <c r="IQ226" s="245" t="str">
        <f t="shared" si="700"/>
        <v/>
      </c>
      <c r="IR226" s="245" t="str">
        <f>IF(J226="","",VLOOKUP(J226,Worksheet!$R$4:$T$14,2))</f>
        <v/>
      </c>
      <c r="IS226" s="245"/>
      <c r="IT226" s="245">
        <f t="shared" si="701"/>
        <v>0</v>
      </c>
      <c r="IU226" s="245">
        <f t="shared" si="702"/>
        <v>0</v>
      </c>
      <c r="IV226" s="245">
        <f t="shared" si="703"/>
        <v>0</v>
      </c>
      <c r="IW226" s="245">
        <f t="shared" si="704"/>
        <v>0</v>
      </c>
      <c r="IX226" s="245">
        <f t="shared" si="807"/>
        <v>0</v>
      </c>
      <c r="IY226" s="245">
        <f t="shared" si="705"/>
        <v>0</v>
      </c>
      <c r="IZ226" s="245">
        <f t="shared" si="706"/>
        <v>0</v>
      </c>
      <c r="JA226">
        <f t="shared" si="707"/>
        <v>0</v>
      </c>
      <c r="JB226">
        <f t="shared" si="808"/>
        <v>0</v>
      </c>
      <c r="JC226">
        <f t="shared" si="708"/>
        <v>0</v>
      </c>
      <c r="JD226">
        <f t="shared" si="709"/>
        <v>0</v>
      </c>
      <c r="JE226">
        <f t="shared" si="710"/>
        <v>0</v>
      </c>
      <c r="JF226">
        <f t="shared" si="711"/>
        <v>0</v>
      </c>
      <c r="JG226">
        <f t="shared" si="712"/>
        <v>0</v>
      </c>
      <c r="JH226">
        <f t="shared" si="713"/>
        <v>0</v>
      </c>
      <c r="JI226">
        <f t="shared" si="714"/>
        <v>0</v>
      </c>
      <c r="JJ226" s="447">
        <f t="shared" si="715"/>
        <v>0</v>
      </c>
      <c r="JK226" s="447">
        <f t="shared" si="716"/>
        <v>0</v>
      </c>
      <c r="JL226">
        <f t="shared" si="717"/>
        <v>0</v>
      </c>
      <c r="JM226" s="245" t="str">
        <f>IFERROR(VLOOKUP(MATCH(BN226,#REF!,0),#REF!,7),"")</f>
        <v/>
      </c>
      <c r="JN226" t="e">
        <f>HLOOKUP(LEFT(BO226,7),Discharge_Area,MATCH(JO226,LookUps!$B$130:$B$149,1)+2)</f>
        <v>#N/A</v>
      </c>
      <c r="JO226" t="str">
        <f t="shared" si="718"/>
        <v>- S</v>
      </c>
      <c r="JP226" t="e">
        <f>HLOOKUP(LEFT(BO226,7),Discharge_Area,MATCH(JO226,LookUps!$B$130:$B$149,1)+2)</f>
        <v>#N/A</v>
      </c>
      <c r="JQ226" t="e">
        <f t="shared" si="719"/>
        <v>#N/A</v>
      </c>
      <c r="JR226" t="e">
        <f t="shared" si="720"/>
        <v>#N/A</v>
      </c>
      <c r="JS226" t="e">
        <f t="shared" si="721"/>
        <v>#N/A</v>
      </c>
      <c r="JT226" s="532" t="str">
        <f t="shared" si="722"/>
        <v xml:space="preserve"> </v>
      </c>
      <c r="JU226" s="532" t="str">
        <f t="shared" si="723"/>
        <v xml:space="preserve"> </v>
      </c>
      <c r="JV226" s="533" t="str">
        <f t="shared" si="724"/>
        <v xml:space="preserve"> </v>
      </c>
      <c r="JW226" s="534">
        <f t="shared" si="725"/>
        <v>0</v>
      </c>
      <c r="JX226" s="535" t="str">
        <f t="shared" si="809"/>
        <v xml:space="preserve"> </v>
      </c>
      <c r="JY226" s="535" t="str">
        <f t="shared" si="810"/>
        <v xml:space="preserve"> </v>
      </c>
      <c r="JZ226" s="535" t="str">
        <f t="shared" si="811"/>
        <v xml:space="preserve"> </v>
      </c>
      <c r="KA226" s="536" t="str">
        <f t="shared" si="726"/>
        <v xml:space="preserve"> </v>
      </c>
      <c r="KB226" s="535" t="e">
        <f t="shared" si="812"/>
        <v>#VALUE!</v>
      </c>
      <c r="KC226" s="535" t="str">
        <f t="shared" si="727"/>
        <v/>
      </c>
      <c r="KD226" s="537" t="str">
        <f t="shared" si="813"/>
        <v xml:space="preserve"> </v>
      </c>
      <c r="KE226" s="537" t="str">
        <f t="shared" si="814"/>
        <v xml:space="preserve"> </v>
      </c>
      <c r="KF226" s="534">
        <f t="shared" si="728"/>
        <v>0</v>
      </c>
      <c r="KG226" s="535" t="str">
        <f t="shared" si="729"/>
        <v xml:space="preserve"> </v>
      </c>
      <c r="KH226" s="535" t="str">
        <f t="shared" si="730"/>
        <v xml:space="preserve"> </v>
      </c>
      <c r="KI226" s="535" t="str">
        <f t="shared" si="731"/>
        <v xml:space="preserve"> </v>
      </c>
      <c r="KJ226" s="536" t="str">
        <f t="shared" si="732"/>
        <v xml:space="preserve"> </v>
      </c>
      <c r="KK226" s="535" t="str">
        <f t="shared" si="815"/>
        <v xml:space="preserve"> </v>
      </c>
      <c r="KL226" s="535" t="str">
        <f t="shared" si="816"/>
        <v xml:space="preserve"> </v>
      </c>
      <c r="KM226" s="537" t="str">
        <f t="shared" si="733"/>
        <v xml:space="preserve"> </v>
      </c>
      <c r="KN226" s="537" t="str">
        <f t="shared" si="817"/>
        <v xml:space="preserve"> </v>
      </c>
      <c r="KP226">
        <f t="shared" si="734"/>
        <v>0</v>
      </c>
      <c r="LA226" t="e">
        <f t="shared" si="735"/>
        <v>#VALUE!</v>
      </c>
      <c r="LB226" t="e">
        <f t="shared" si="736"/>
        <v>#VALUE!</v>
      </c>
      <c r="LC226" t="e">
        <f t="shared" si="737"/>
        <v>#VALUE!</v>
      </c>
      <c r="LD226" t="e">
        <f t="shared" si="738"/>
        <v>#VALUE!</v>
      </c>
      <c r="LE226" t="e">
        <f t="shared" si="818"/>
        <v>#VALUE!</v>
      </c>
      <c r="LF226">
        <f t="shared" si="739"/>
        <v>0</v>
      </c>
      <c r="LG226" t="e">
        <f t="shared" si="819"/>
        <v>#VALUE!</v>
      </c>
      <c r="LH226" t="str">
        <f t="shared" si="740"/>
        <v xml:space="preserve"> </v>
      </c>
      <c r="LI226">
        <f t="shared" si="820"/>
        <v>1</v>
      </c>
    </row>
    <row r="227" spans="2:321" ht="15" customHeight="1">
      <c r="B227" s="311"/>
      <c r="C227" s="311"/>
      <c r="D227" s="312"/>
      <c r="E227" s="311"/>
      <c r="F227" s="312"/>
      <c r="G227" s="311"/>
      <c r="H227" s="311"/>
      <c r="I227" s="232"/>
      <c r="J227" s="311"/>
      <c r="K227" s="305" t="str">
        <f t="shared" si="741"/>
        <v/>
      </c>
      <c r="L227" s="313"/>
      <c r="M227" s="312"/>
      <c r="N227" s="311"/>
      <c r="O227" s="312"/>
      <c r="P227" s="311"/>
      <c r="Q227" s="305" t="str">
        <f t="shared" si="742"/>
        <v/>
      </c>
      <c r="R227" s="314"/>
      <c r="S227" s="450" t="str">
        <f t="shared" si="625"/>
        <v/>
      </c>
      <c r="T227" s="315"/>
      <c r="U227" s="315"/>
      <c r="W227" s="149" t="str">
        <f t="shared" si="626"/>
        <v xml:space="preserve"> </v>
      </c>
      <c r="X227" s="243" t="str">
        <f t="shared" si="627"/>
        <v xml:space="preserve"> </v>
      </c>
      <c r="Y227" s="150" t="str">
        <f t="shared" si="628"/>
        <v/>
      </c>
      <c r="Z227" s="149" t="str">
        <f t="shared" si="629"/>
        <v xml:space="preserve"> </v>
      </c>
      <c r="AA227" s="98" t="str">
        <f t="shared" si="630"/>
        <v xml:space="preserve"> </v>
      </c>
      <c r="AB227" s="153" t="str">
        <f t="shared" si="631"/>
        <v xml:space="preserve"> </v>
      </c>
      <c r="AC227" s="153" t="str">
        <f t="shared" si="632"/>
        <v xml:space="preserve"> </v>
      </c>
      <c r="AD227" s="148" t="str">
        <f t="shared" si="633"/>
        <v/>
      </c>
      <c r="AE227" s="149" t="str">
        <f t="shared" si="634"/>
        <v/>
      </c>
      <c r="AF227" s="151" t="str">
        <f t="shared" si="635"/>
        <v xml:space="preserve"> </v>
      </c>
      <c r="AG227" s="153" t="str">
        <f t="shared" si="636"/>
        <v xml:space="preserve"> </v>
      </c>
      <c r="AH227" s="98" t="str">
        <f t="shared" si="637"/>
        <v xml:space="preserve"> </v>
      </c>
      <c r="AI227" s="149" t="str">
        <f t="shared" si="638"/>
        <v xml:space="preserve"> </v>
      </c>
      <c r="AK227" s="144" t="str">
        <f t="shared" si="639"/>
        <v xml:space="preserve"> </v>
      </c>
      <c r="AL227" s="144"/>
      <c r="AM227" s="243" t="str">
        <f t="shared" si="640"/>
        <v xml:space="preserve"> </v>
      </c>
      <c r="AN227" s="149" t="str">
        <f t="shared" si="743"/>
        <v xml:space="preserve"> </v>
      </c>
      <c r="AO227" s="144" t="str">
        <f>IF(JB227&gt;0,IF(GI227=10,-R227*1.085*(Calculation!$F$6-Calculation!$F$13)*$S$14," "),"")</f>
        <v/>
      </c>
      <c r="AP227" s="144" t="str">
        <f t="shared" si="641"/>
        <v/>
      </c>
      <c r="AQ227" s="56" t="str">
        <f t="shared" si="642"/>
        <v/>
      </c>
      <c r="AR227" s="144" t="str">
        <f t="shared" si="643"/>
        <v/>
      </c>
      <c r="AS227" s="176" t="str">
        <f t="shared" si="644"/>
        <v/>
      </c>
      <c r="AT227" s="176" t="str">
        <f t="shared" si="744"/>
        <v xml:space="preserve"> </v>
      </c>
      <c r="AU227" s="176" t="str">
        <f t="shared" si="645"/>
        <v/>
      </c>
      <c r="AV227" s="177" t="str">
        <f t="shared" si="646"/>
        <v xml:space="preserve"> </v>
      </c>
      <c r="AW227" s="144" t="str">
        <f t="shared" si="647"/>
        <v xml:space="preserve"> </v>
      </c>
      <c r="AX227" s="144" t="str">
        <f t="shared" si="648"/>
        <v xml:space="preserve"> </v>
      </c>
      <c r="AY227" s="152" t="str">
        <f t="shared" si="649"/>
        <v xml:space="preserve"> </v>
      </c>
      <c r="AZ227" s="246" t="str">
        <f t="shared" si="650"/>
        <v/>
      </c>
      <c r="BA227" s="176" t="str">
        <f t="shared" si="651"/>
        <v xml:space="preserve"> </v>
      </c>
      <c r="BB227" s="176" t="str">
        <f t="shared" si="652"/>
        <v xml:space="preserve"> </v>
      </c>
      <c r="BC227" s="195"/>
      <c r="BD227" s="316"/>
      <c r="BE227" s="317"/>
      <c r="BF227" s="318"/>
      <c r="BG227" s="318"/>
      <c r="BH227" s="144" t="str">
        <f t="shared" si="821"/>
        <v xml:space="preserve"> </v>
      </c>
      <c r="BI227" s="176" t="str">
        <f t="shared" si="653"/>
        <v/>
      </c>
      <c r="BJ227" s="144" t="str">
        <f t="shared" si="822"/>
        <v/>
      </c>
      <c r="BK227" s="246" t="str">
        <f t="shared" si="654"/>
        <v/>
      </c>
      <c r="BL227" s="144" t="str">
        <f t="shared" si="823"/>
        <v/>
      </c>
      <c r="BM227" s="246" t="str">
        <f t="shared" si="655"/>
        <v/>
      </c>
      <c r="BN227" s="337" t="str">
        <f t="shared" si="745"/>
        <v/>
      </c>
      <c r="BO227" s="371" t="str">
        <f t="shared" si="746"/>
        <v/>
      </c>
      <c r="BP227" s="328" t="str">
        <f t="shared" si="824"/>
        <v xml:space="preserve"> </v>
      </c>
      <c r="BQ227" s="347" t="str">
        <f t="shared" si="747"/>
        <v xml:space="preserve"> </v>
      </c>
      <c r="BR227" s="353" t="str">
        <f t="shared" si="748"/>
        <v xml:space="preserve"> </v>
      </c>
      <c r="BS227" s="626" t="str">
        <f>IF(L227&gt;0,IF(Calculation!P227="M13",BR227*3.1416*(0.134^2)/(4*144),IF(Calculation!P227="M17",BR227*3.1416*(0.165^2)/(4*144),IF(Calculation!P227="M20",BR227*3.1416*(0.198^2)/(4*144),IF(Calculation!P227="M23",BR227*3.1416*(0.228^2)/(4*144),IF(Calculation!P227="M27",BR227*3.1416*(0.269^2)/(4*144),BR227*3.1416*(0.307^2)/(4*144))))))," ")</f>
        <v xml:space="preserve"> </v>
      </c>
      <c r="BT227" s="353" t="str">
        <f>IF(L227&gt;0,IF(BS227&gt;0,R227/Calculation!BS227,0)," ")</f>
        <v xml:space="preserve"> </v>
      </c>
      <c r="BU227" s="438" t="e">
        <f t="shared" ca="1" si="656"/>
        <v>#VALUE!</v>
      </c>
      <c r="BV227" s="449" t="e">
        <f ca="1">INDEX(INDIRECT(VLOOKUP(LEFT(BO227,7),CLU!$Z$3:$AH$18,2)),GN227,GR227)</f>
        <v>#N/A</v>
      </c>
      <c r="BW227" s="433" t="e">
        <f ca="1">INDEX(INDIRECT(VLOOKUP(LEFT(BO227,7),CLU!$Z$3:$AH$18,3)),GN227,GR227)</f>
        <v>#N/A</v>
      </c>
      <c r="BX227" s="433" t="e">
        <f ca="1">INDEX(INDIRECT(VLOOKUP(LEFT(BO227,7),CLU!$Z$3:$AH$18,4)),GN227,GR227)</f>
        <v>#N/A</v>
      </c>
      <c r="BY227" s="433" t="e">
        <f ca="1">INDEX(INDIRECT(VLOOKUP(LEFT(BO227,7),CLU!$Z$3:$AH$18,9)),((M227-2)*(6-COUNTBLANK(GT227:GY227)))+GJ227)</f>
        <v>#N/A</v>
      </c>
      <c r="BZ227" s="426" t="e">
        <f t="shared" ca="1" si="749"/>
        <v>#N/A</v>
      </c>
      <c r="CA227" s="424" t="e">
        <f t="shared" ca="1" si="750"/>
        <v>#N/A</v>
      </c>
      <c r="CB227" s="429" t="e">
        <f ca="1">INDEX(INDIRECT(VLOOKUP(LEFT(BO227,7),CLU!$Z$3:$AH$18,2)),GN227,GS227)</f>
        <v>#N/A</v>
      </c>
      <c r="CC227" s="342" t="e">
        <f ca="1">INDEX(INDIRECT(VLOOKUP(LEFT(BO227,7),CLU!$Z$3:$AH$18,3)),GN227,GS227)</f>
        <v>#N/A</v>
      </c>
      <c r="CD227" s="342" t="e">
        <f ca="1">INDEX(INDIRECT(VLOOKUP(LEFT(BO227,7),CLU!$Z$3:$AH$18,4)),GN227,GS227)</f>
        <v>#N/A</v>
      </c>
      <c r="CE227" s="426" t="e">
        <f t="shared" ca="1" si="751"/>
        <v>#N/A</v>
      </c>
      <c r="CF227" s="440">
        <f t="shared" si="752"/>
        <v>0</v>
      </c>
      <c r="CG227" s="431" t="e">
        <f ca="1">INDEX(INDIRECT(VLOOKUP(LEFT(BO227,7),CLU!$Z$3:$AH$18,2)),GQ227,GR227)</f>
        <v>#N/A</v>
      </c>
      <c r="CH227" s="431" t="e">
        <f ca="1">INDEX(INDIRECT(VLOOKUP(LEFT(BO227,7),CLU!$Z$3:$AH$18,3)),GQ227,GR227)</f>
        <v>#N/A</v>
      </c>
      <c r="CI227" s="431" t="e">
        <f ca="1">INDEX(INDIRECT(VLOOKUP(LEFT(BO227,7),CLU!$Z$3:$AH$18,4)),GQ227,GR227)</f>
        <v>#N/A</v>
      </c>
      <c r="CJ227" s="448" t="e">
        <f t="shared" ca="1" si="753"/>
        <v>#N/A</v>
      </c>
      <c r="CK227" s="431" t="e">
        <f t="shared" ca="1" si="754"/>
        <v>#N/A</v>
      </c>
      <c r="CL227" s="440" t="e">
        <f t="shared" ca="1" si="755"/>
        <v>#N/A</v>
      </c>
      <c r="CM227" s="431" t="e">
        <f ca="1">INDEX(INDIRECT(VLOOKUP(LEFT(BO227,7),CLU!$Z$3:$AH$18,2)),GQ227,GS227)</f>
        <v>#N/A</v>
      </c>
      <c r="CN227" s="431" t="e">
        <f ca="1">INDEX(INDIRECT(VLOOKUP(LEFT(BO227,7),CLU!$Z$3:$AH$18,3)),GQ227,GS227)</f>
        <v>#N/A</v>
      </c>
      <c r="CO227" s="431" t="e">
        <f ca="1">INDEX(INDIRECT(VLOOKUP(LEFT(BO227,7),CLU!$Z$3:$AH$18,4)),GQ227,GS227)</f>
        <v>#N/A</v>
      </c>
      <c r="CP227" s="431" t="e">
        <f t="shared" ca="1" si="756"/>
        <v>#N/A</v>
      </c>
      <c r="CQ227" s="440">
        <f t="shared" si="757"/>
        <v>0</v>
      </c>
      <c r="CR227" s="51" t="e">
        <f t="shared" ca="1" si="758"/>
        <v>#N/A</v>
      </c>
      <c r="CS227" s="439" t="e">
        <f t="shared" ca="1" si="759"/>
        <v>#VALUE!</v>
      </c>
      <c r="CT227" s="51" t="e">
        <f t="shared" ca="1" si="760"/>
        <v>#VALUE!</v>
      </c>
      <c r="CU227" s="10"/>
      <c r="CV227" s="51" t="e">
        <f t="shared" ca="1" si="657"/>
        <v>#VALUE!</v>
      </c>
      <c r="CW227" s="51">
        <f t="shared" si="761"/>
        <v>0</v>
      </c>
      <c r="CX227" s="439" t="e">
        <f t="shared" ca="1" si="762"/>
        <v>#VALUE!</v>
      </c>
      <c r="CY227" s="51" t="e">
        <f t="shared" ca="1" si="763"/>
        <v>#VALUE!</v>
      </c>
      <c r="CZ227" s="10"/>
      <c r="DA227" s="51" t="e">
        <f t="shared" ca="1" si="764"/>
        <v>#VALUE!</v>
      </c>
      <c r="DB227" s="347" t="e">
        <f ca="1">INDEX(INDIRECT(VLOOKUP(LEFT(BO227,7),CLU!$Z$3:$AI$18,10)),((M227-2)*(6-COUNTBLANK(GT227:GY227)))+GJ227)*LI227</f>
        <v>#N/A</v>
      </c>
      <c r="DC227" s="347" t="str">
        <f>IF(L227&gt;0,((R227/Worksheet!$I$15)/DB227)^2," ")</f>
        <v xml:space="preserve"> </v>
      </c>
      <c r="DD227" s="602" t="str">
        <f t="shared" si="765"/>
        <v xml:space="preserve"> </v>
      </c>
      <c r="DE227" s="347" t="str">
        <f t="shared" si="658"/>
        <v xml:space="preserve"> </v>
      </c>
      <c r="DF227" s="356" t="e">
        <f ca="1">INDEX(INDIRECT(VLOOKUP(LEFT(BO227,7),CLU!$Z$3:$AH$18,8)),((M227-2)*(6-COUNTBLANK(GT227:GY227)))+GJ227)</f>
        <v>#N/A</v>
      </c>
      <c r="DG227" s="347" t="str">
        <f t="shared" si="659"/>
        <v xml:space="preserve"> </v>
      </c>
      <c r="DH227" s="357" t="str">
        <f t="shared" si="660"/>
        <v xml:space="preserve"> </v>
      </c>
      <c r="DI227" s="355" t="str">
        <f t="shared" si="661"/>
        <v xml:space="preserve"> </v>
      </c>
      <c r="DJ227" s="245" t="e">
        <f ca="1">INDEX(INDIRECT(VLOOKUP(LEFT(BO227,7),CLU!$Z$3:$AH$18,5)),GL227,GK227)</f>
        <v>#N/A</v>
      </c>
      <c r="DK227" s="245" t="e">
        <f ca="1">INDEX(INDIRECT(VLOOKUP(LEFT(BO227,7),CLU!$Z$3:$AH$18,6)),GL227,GK227)</f>
        <v>#N/A</v>
      </c>
      <c r="DL227" s="355">
        <f>(Calculation!R227*0.69143*(Calculation!$BQ$8-Calculation!$F$8))*$S$14</f>
        <v>0</v>
      </c>
      <c r="DM227" s="359" t="e">
        <f t="shared" si="766"/>
        <v>#VALUE!</v>
      </c>
      <c r="DN227" s="611">
        <f t="shared" si="767"/>
        <v>0</v>
      </c>
      <c r="DO227" s="359">
        <f t="shared" si="768"/>
        <v>100</v>
      </c>
      <c r="DP227" s="359">
        <f t="shared" si="769"/>
        <v>0</v>
      </c>
      <c r="DQ227" s="360"/>
      <c r="DR227" s="245" t="e">
        <f ca="1">INDEX(INDIRECT(VLOOKUP(LEFT(BO227,7),CLU!$Z$3:$AH$18,7)),M227-1,1)</f>
        <v>#N/A</v>
      </c>
      <c r="DS227" s="245" t="e">
        <f ca="1">INDEX(INDIRECT(VLOOKUP(LEFT(BO227,7),CLU!$Z$3:$AH$18,7)),M227-1,2)</f>
        <v>#N/A</v>
      </c>
      <c r="DT227" s="245" t="e">
        <f ca="1">INDEX(INDIRECT(VLOOKUP(LEFT(BO227,7),CLU!$Z$3:$AH$18,7)),M227-1,3)</f>
        <v>#N/A</v>
      </c>
      <c r="DU227" s="245" t="e">
        <f ca="1">INDEX(INDIRECT(VLOOKUP(LEFT(BO227,7),CLU!$Z$3:$AH$18,7)),M227-1,4)</f>
        <v>#N/A</v>
      </c>
      <c r="DV227" s="361" t="e">
        <f ca="1">INDEX(INDIRECT(VLOOKUP(LEFT(BO227,7),CLU!$Z$3:$AH$18,7)),M227-1,4+LEFT(DZ227,1)*0.5)</f>
        <v>#N/A</v>
      </c>
      <c r="DW227" s="245" t="e">
        <f ca="1">INDEX(INDIRECT(VLOOKUP(LEFT(BO227,7),CLU!$Z$3:$AH$18,7)),M227-1,8)</f>
        <v>#N/A</v>
      </c>
      <c r="DX227" s="361" t="str">
        <f t="shared" si="662"/>
        <v xml:space="preserve"> </v>
      </c>
      <c r="DY227" s="361" t="str">
        <f t="shared" si="663"/>
        <v xml:space="preserve"> </v>
      </c>
      <c r="DZ227" s="361" t="str">
        <f t="shared" si="664"/>
        <v xml:space="preserve"> </v>
      </c>
      <c r="EA227" s="362" t="str">
        <f t="shared" si="665"/>
        <v xml:space="preserve"> </v>
      </c>
      <c r="EB227" s="624" t="str">
        <f t="shared" si="770"/>
        <v xml:space="preserve"> </v>
      </c>
      <c r="EC227" s="361" t="e">
        <f ca="1">INDEX(INDIRECT(VLOOKUP(LEFT(BO227,7),CLU!$Z$3:$AH$18,7)),M227-1,4+LEFT(DZ227,1)*0.5)</f>
        <v>#N/A</v>
      </c>
      <c r="ED227" s="362" t="str">
        <f t="shared" si="666"/>
        <v xml:space="preserve"> </v>
      </c>
      <c r="EE227" s="361" t="str">
        <f t="shared" si="667"/>
        <v xml:space="preserve"> </v>
      </c>
      <c r="EF227" s="362" t="str">
        <f>IF(L227&gt;0,IF(BR227&gt;0,IF(EE227="2P",IF(Calculation!DZ227="2P",IF(Calculation!DS227=13.75,IF(Calculation!DR227=13,Worksheet!$BD$43,IF(Calculation!DR227=37,Worksheet!$BD$44,Worksheet!$BD$45)),IF(Calculation!DS227=10,IF(Calculation!DR227=18,Worksheet!$BD$29,IF(Calculation!DR227=30,Worksheet!$BD$30,IF(Calculation!DR227=42,Worksheet!$BD$31,IF(Calculation!DR227=54,Worksheet!$BD$32,IF(Calculation!DR227=66,Worksheet!$BD$33,IF(Calculation!DR227=78,Worksheet!$BD$34,IF(Calculation!DR227=90,Worksheet!$BD$35,IF(Calculation!DR227=102,Worksheet!$BD$36,Worksheet!$BD$37)))))))),IF(Calculation!DS227=12.5,IF(Calculation!DR227=18,Worksheet!$BD$38,IF(Calculation!DR227=Worksheet!$BD$39,IF(Calculation!DR227=42,Worksheet!$BD$40,IF(Calculation!DR227=54,Worksheet!$BD$41,Worksheet!$BD$42)))),IF(Calculation!DR227=18,Worksheet!$BD$11,IF(Calculation!DR227=30,Worksheet!$BD$12,IF(Calculation!DR227=42,Worksheet!$BD$13,IF(Calculation!DR227=54,Worksheet!$BD$14,IF(Calculation!DR227=66,Worksheet!$BD$15,IF(Calculation!DR227=78,Worksheet!$BD$16,IF(Calculation!DR227=90,Worksheet!$BD$17,IF(Calculation!DR227=102,Worksheet!$BD$18,Worksheet!$BD$19))))))))))),IF(Calculation!DS227=13.75,IF(Calculation!DR227=13,Worksheet!$BD$78,IF(Calculation!DR227=37,Worksheet!$BD$79,Worksheet!$BD$80)),IF(Calculation!DS227=10,IF(Calculation!DR227=18,Worksheet!$BD$64,IF(Calculation!DR227=30,Worksheet!$BD$65,IF(Calculation!DR227=42,Worksheet!$BD$66,IF(Calculation!DR227=54,Worksheet!$BD$68,IF(Calculation!DR227=66,Worksheet!$BD$68,IF(Calculation!DR227=78,Worksheet!$BD$69,IF(Calculation!DR227=90,Worksheet!$BD$70,IF(Calculation!DR227=102,Worksheet!$BD$71,Worksheet!$BD$72)))))))),IF(Calculation!DS227=12.5,IF(Calculation!DR227=18,Worksheet!$BD$73,IF(Calculation!DR227=Worksheet!$BD$74,IF(Calculation!DR227=42,Worksheet!$BD$75,IF(Calculation!DR227=54,Worksheet!$BD$76,Worksheet!$BD$77)))),IF(Calculation!DR227=18,Worksheet!$BD$55,IF(Calculation!DR227=30,Worksheet!$BD$56,IF(Calculation!DR227=42,Worksheet!$BD$57,IF(Calculation!DR227=54,Worksheet!$BD$58,IF(Calculation!DR227=66,Worksheet!$BD$59,IF(Calculation!DR227=78,Worksheet!$BD$60,IF(Calculation!DR227=90,Worksheet!$BD$61,IF(Calculation!DR227=102,Worksheet!$BD$62,Worksheet!$BD$63)))))))))))),5),0)," ")</f>
        <v xml:space="preserve"> </v>
      </c>
      <c r="EG227" s="361" t="str">
        <f t="shared" si="668"/>
        <v xml:space="preserve"> </v>
      </c>
      <c r="EH227" s="361" t="e">
        <f ca="1">INDEX(INDIRECT(VLOOKUP(LEFT(BO227,7),CLU!$Z$3:$AH$18,7)),M227-1,3+LEFT(DZ227,1))</f>
        <v>#N/A</v>
      </c>
      <c r="EI227" s="362" t="str">
        <f t="shared" si="669"/>
        <v xml:space="preserve"> </v>
      </c>
      <c r="EJ227" s="363" t="str">
        <f t="shared" si="670"/>
        <v xml:space="preserve"> </v>
      </c>
      <c r="EK227" s="363" t="str">
        <f t="shared" si="671"/>
        <v xml:space="preserve"> </v>
      </c>
      <c r="EL227" s="363" t="str">
        <f t="shared" si="672"/>
        <v xml:space="preserve"> </v>
      </c>
      <c r="EM227" s="362" t="str">
        <f>IF(L227&gt;0,IF(BR227&gt;0,(Calculation!T227/ED227)^2,0)," ")</f>
        <v xml:space="preserve"> </v>
      </c>
      <c r="EN227" s="362" t="str">
        <f>IF(L227&gt;0,IF(O227="2 Pipe (Cooling)","N/A",IF(BR227&gt;0,(Calculation!U227/EI227)^2,0))," ")</f>
        <v xml:space="preserve"> </v>
      </c>
      <c r="EO227" s="361" t="str">
        <f t="shared" si="673"/>
        <v/>
      </c>
      <c r="EP227" s="361" t="str">
        <f t="shared" si="674"/>
        <v/>
      </c>
      <c r="EQ227" s="361" t="str">
        <f t="shared" si="675"/>
        <v/>
      </c>
      <c r="ER227" s="361" t="str">
        <f t="shared" si="676"/>
        <v/>
      </c>
      <c r="ES227" s="361" t="str">
        <f t="shared" si="677"/>
        <v/>
      </c>
      <c r="ET227" s="361" t="str">
        <f t="shared" si="678"/>
        <v/>
      </c>
      <c r="EU227" s="361" t="str">
        <f t="shared" si="679"/>
        <v/>
      </c>
      <c r="EV227" s="361" t="str">
        <f t="shared" si="680"/>
        <v/>
      </c>
      <c r="EW227" s="361" t="str">
        <f t="shared" si="681"/>
        <v/>
      </c>
      <c r="EX227" s="361" t="str">
        <f t="shared" si="771"/>
        <v>1 slot, 1 way</v>
      </c>
      <c r="EY227" s="361" t="str">
        <f t="shared" si="772"/>
        <v xml:space="preserve"> </v>
      </c>
      <c r="EZ227" s="361" t="str">
        <f t="shared" si="773"/>
        <v xml:space="preserve"> </v>
      </c>
      <c r="FA227" s="361" t="str">
        <f t="shared" si="774"/>
        <v xml:space="preserve"> </v>
      </c>
      <c r="FB227" s="361" t="str">
        <f t="shared" si="775"/>
        <v xml:space="preserve"> </v>
      </c>
      <c r="FC227" s="361"/>
      <c r="FD227" s="361" t="str">
        <f>IF(J227&gt;0,IF(Calculation!R227&lt;=70,4,IF(Calculation!R227&lt;=110,5,IF(Calculation!R227&lt;=160,6,IF(Calculation!R227&lt;=300,8,"10 EO")))),"")</f>
        <v/>
      </c>
      <c r="FE227" s="361" t="str">
        <f t="shared" si="776"/>
        <v/>
      </c>
      <c r="FF227" s="361" t="str">
        <f t="shared" si="777"/>
        <v/>
      </c>
      <c r="FG227" s="361" t="e">
        <f t="shared" si="682"/>
        <v>#N/A</v>
      </c>
      <c r="FH227" s="361">
        <f t="shared" si="683"/>
        <v>0</v>
      </c>
      <c r="FI227" s="361" t="e">
        <f t="shared" si="684"/>
        <v>#DIV/0!</v>
      </c>
      <c r="FJ227" s="361"/>
      <c r="FK227" s="356" t="e">
        <f t="shared" si="685"/>
        <v>#VALUE!</v>
      </c>
      <c r="FL227" s="361"/>
      <c r="FM227" s="361"/>
      <c r="FN227" s="362" t="str">
        <f t="shared" si="778"/>
        <v xml:space="preserve"> </v>
      </c>
      <c r="FO227" s="362" t="str">
        <f t="shared" si="779"/>
        <v xml:space="preserve"> </v>
      </c>
      <c r="FP227" s="362">
        <f t="shared" si="780"/>
        <v>0</v>
      </c>
      <c r="FQ227" s="361">
        <f t="shared" si="686"/>
        <v>0</v>
      </c>
      <c r="FR227" s="362" t="str">
        <f>IF(L227&gt;0,IF(J227="CBAL2",Worksheet!$P$67,IF(J227="CBE2-24",Worksheet!$Q$67,IF(J227="CBAM",Worksheet!$R$67,IF(J227="CBLV",Worksheet!$S$67,IF(J227="CBAB",Worksheet!$U$67,IF(J227="CBAW",Worksheet!$X$67,IF(J227="CBE2-12",Worksheet!$Y$67,IF(J227="CBAL2",Worksheet!$Z$67,"N/A"))))))))," ")</f>
        <v xml:space="preserve"> </v>
      </c>
      <c r="FS227" s="362" t="str">
        <f>IF(L227&gt;0,IF(J227="CBAL2",Worksheet!$P$68,IF(J227="CBE2-24",Worksheet!$Q$68,IF(J227="CBAM",Worksheet!$R$68,IF(J227="CBLV",Worksheet!$S$68,IF(J227="CBAB",Worksheet!$U$68,IF(J227="CBAW",Worksheet!$X$68,IF(J227="CBE2-12",Worksheet!$Y$68,IF(J227="CBAL2",Worksheet!$Z$68,"N/A"))))))))," ")</f>
        <v xml:space="preserve"> </v>
      </c>
      <c r="FT227" s="362" t="str">
        <f>IF(L227&gt;0,IF(J227="CBAL2",Worksheet!$P$69,IF(J227="CBE2-24",Worksheet!$Q$69,IF(J227="CBAM",Worksheet!$R$69,IF(J227="CBLV",Worksheet!$S$69,IF(J227="CBAB",Worksheet!$U$69,IF(J227="CBAW",Worksheet!$X$69,IF(J227="CBE2-12",Worksheet!$Y$69,IF(J227="CBAL2",Worksheet!$Z$69,"N/A"))))))))," ")</f>
        <v xml:space="preserve"> </v>
      </c>
      <c r="FU227" s="361" t="str">
        <f t="shared" si="781"/>
        <v xml:space="preserve"> </v>
      </c>
      <c r="FV227" s="362" t="str">
        <f t="shared" si="782"/>
        <v xml:space="preserve"> </v>
      </c>
      <c r="FW227" s="362" t="str">
        <f t="shared" si="783"/>
        <v xml:space="preserve"> </v>
      </c>
      <c r="FX227" s="362" t="str">
        <f t="shared" si="784"/>
        <v xml:space="preserve"> </v>
      </c>
      <c r="FY227" s="355" t="str">
        <f t="shared" si="785"/>
        <v xml:space="preserve"> </v>
      </c>
      <c r="FZ227" s="361" t="str">
        <f t="shared" si="786"/>
        <v xml:space="preserve"> </v>
      </c>
      <c r="GA227" s="347" t="str">
        <f t="shared" si="787"/>
        <v xml:space="preserve"> </v>
      </c>
      <c r="GB227" s="355" t="str">
        <f t="shared" si="788"/>
        <v xml:space="preserve"> </v>
      </c>
      <c r="GC227" s="328" t="str">
        <f t="shared" si="789"/>
        <v xml:space="preserve"> </v>
      </c>
      <c r="GD227" s="361" t="str">
        <f t="shared" si="790"/>
        <v xml:space="preserve"> </v>
      </c>
      <c r="GE227" s="347" t="str">
        <f t="shared" si="791"/>
        <v xml:space="preserve"> </v>
      </c>
      <c r="GF227" s="361" t="str">
        <f t="shared" si="792"/>
        <v xml:space="preserve"> </v>
      </c>
      <c r="GG227" s="347" t="str">
        <f t="shared" si="793"/>
        <v xml:space="preserve"> </v>
      </c>
      <c r="GH227" s="364">
        <f t="shared" si="687"/>
        <v>0</v>
      </c>
      <c r="GI227" s="362">
        <f t="shared" si="794"/>
        <v>2</v>
      </c>
      <c r="GJ227" s="433" t="e">
        <f>IF(6-COUNTBLANK(GT227:GY227)=4,MATCH(MID(BO227,9,3),CLU!$H$16:$K$16),MATCH(MID(BO227,9,3),CLU!$H$13:$M$13))</f>
        <v>#N/A</v>
      </c>
      <c r="GK227" s="433" t="e">
        <f>HLOOKUP(VALUE(BP227),CLU!$H$9:$M$10,2)</f>
        <v>#VALUE!</v>
      </c>
      <c r="GL227" s="433" t="e">
        <f ca="1">MATCH(BU227,CLU!$H$2:$V$2,1)</f>
        <v>#VALUE!</v>
      </c>
      <c r="GM227" s="433" t="e">
        <f t="shared" ca="1" si="795"/>
        <v>#VALUE!</v>
      </c>
      <c r="GN227" s="433" t="e">
        <f t="shared" ca="1" si="796"/>
        <v>#VALUE!</v>
      </c>
      <c r="GO227" s="433" t="e">
        <f t="shared" ca="1" si="797"/>
        <v>#VALUE!</v>
      </c>
      <c r="GP227" s="433" t="e">
        <f t="shared" ca="1" si="798"/>
        <v>#VALUE!</v>
      </c>
      <c r="GQ227" s="433" t="e">
        <f t="shared" ca="1" si="799"/>
        <v>#VALUE!</v>
      </c>
      <c r="GR227" s="433" t="e">
        <f ca="1">MATCH(T227,INDIRECT(VLOOKUP(CONCATENATE(LEFT(BO227,7),"-",MID(BO227,13,1)),CLU!$P$3:$Q$16,2)),1)</f>
        <v>#N/A</v>
      </c>
      <c r="GS227" s="433" t="e">
        <f ca="1">MATCH(U227,INDIRECT(VLOOKUP(CONCATENATE(LEFT(BO227,7),"-",MID(BO227,13,1)),CLU!$P$3:$Q$16,2)),1)</f>
        <v>#N/A</v>
      </c>
      <c r="GT227" s="347" t="s">
        <v>512</v>
      </c>
      <c r="GU227" s="97" t="s">
        <v>513</v>
      </c>
      <c r="GV227" s="97" t="str">
        <f t="shared" si="800"/>
        <v>M23</v>
      </c>
      <c r="GW227" s="97" t="str">
        <f t="shared" si="801"/>
        <v>M31</v>
      </c>
      <c r="GX227" s="97" t="str">
        <f t="shared" si="802"/>
        <v/>
      </c>
      <c r="GY227" s="97" t="str">
        <f t="shared" si="803"/>
        <v/>
      </c>
      <c r="GZ227" s="481"/>
      <c r="HA227" s="288"/>
      <c r="HB227" s="240"/>
      <c r="HC227" s="240"/>
      <c r="HD227" s="240"/>
      <c r="HE227" s="240"/>
      <c r="HF227" s="240"/>
      <c r="HG227" s="240"/>
      <c r="HH227" s="240"/>
      <c r="HI227" s="240"/>
      <c r="HJ227" s="240"/>
      <c r="HK227" s="240"/>
      <c r="HL227" s="240"/>
      <c r="HM227" s="240"/>
      <c r="HN227" s="240"/>
      <c r="HO227" s="240"/>
      <c r="HP227" s="240"/>
      <c r="HQ227" s="240"/>
      <c r="HR227" s="240"/>
      <c r="HS227" s="240"/>
      <c r="HT227" s="240"/>
      <c r="HU227" s="240"/>
      <c r="HV227" s="245"/>
      <c r="HW227" s="245" t="b">
        <v>1</v>
      </c>
      <c r="HX227" s="245" t="str">
        <f t="shared" si="688"/>
        <v/>
      </c>
      <c r="HY227" s="245" t="e">
        <f t="shared" si="689"/>
        <v>#DIV/0!</v>
      </c>
      <c r="HZ227" s="245" t="e">
        <f t="shared" si="690"/>
        <v>#DIV/0!</v>
      </c>
      <c r="IA227" s="245">
        <f t="shared" si="691"/>
        <v>0</v>
      </c>
      <c r="IB227" s="245"/>
      <c r="IC227" t="b">
        <f t="shared" si="692"/>
        <v>1</v>
      </c>
      <c r="ID227" s="245" t="b">
        <f t="shared" si="693"/>
        <v>1</v>
      </c>
      <c r="IE227" s="245" t="b">
        <f t="shared" si="694"/>
        <v>1</v>
      </c>
      <c r="IF227" s="245" t="b">
        <f t="shared" si="695"/>
        <v>0</v>
      </c>
      <c r="IG227" s="245" t="b">
        <f t="shared" si="696"/>
        <v>1</v>
      </c>
      <c r="IH227" s="245" t="b">
        <f t="shared" si="697"/>
        <v>1</v>
      </c>
      <c r="II227" s="245">
        <f t="shared" si="804"/>
        <v>0</v>
      </c>
      <c r="IJ227" s="245" t="e">
        <f t="shared" si="698"/>
        <v>#VALUE!</v>
      </c>
      <c r="IK227" s="245" t="e">
        <f t="shared" si="699"/>
        <v>#VALUE!</v>
      </c>
      <c r="IL227" s="245"/>
      <c r="IM227" s="245" t="e">
        <f t="shared" si="805"/>
        <v>#N/A</v>
      </c>
      <c r="IN227" s="245" t="e">
        <f t="shared" si="806"/>
        <v>#N/A</v>
      </c>
      <c r="IO227" s="245"/>
      <c r="IP227" s="245"/>
      <c r="IQ227" s="245" t="str">
        <f t="shared" si="700"/>
        <v/>
      </c>
      <c r="IR227" s="245" t="str">
        <f>IF(J227="","",VLOOKUP(J227,Worksheet!$R$4:$T$14,2))</f>
        <v/>
      </c>
      <c r="IS227" s="245"/>
      <c r="IT227" s="245">
        <f t="shared" si="701"/>
        <v>0</v>
      </c>
      <c r="IU227" s="245">
        <f t="shared" si="702"/>
        <v>0</v>
      </c>
      <c r="IV227" s="245">
        <f t="shared" si="703"/>
        <v>0</v>
      </c>
      <c r="IW227" s="245">
        <f t="shared" si="704"/>
        <v>0</v>
      </c>
      <c r="IX227" s="245">
        <f t="shared" si="807"/>
        <v>0</v>
      </c>
      <c r="IY227" s="245">
        <f t="shared" si="705"/>
        <v>0</v>
      </c>
      <c r="IZ227" s="245">
        <f t="shared" si="706"/>
        <v>0</v>
      </c>
      <c r="JA227">
        <f t="shared" si="707"/>
        <v>0</v>
      </c>
      <c r="JB227">
        <f t="shared" si="808"/>
        <v>0</v>
      </c>
      <c r="JC227">
        <f t="shared" si="708"/>
        <v>0</v>
      </c>
      <c r="JD227">
        <f t="shared" si="709"/>
        <v>0</v>
      </c>
      <c r="JE227">
        <f t="shared" si="710"/>
        <v>0</v>
      </c>
      <c r="JF227">
        <f t="shared" si="711"/>
        <v>0</v>
      </c>
      <c r="JG227">
        <f t="shared" si="712"/>
        <v>0</v>
      </c>
      <c r="JH227">
        <f t="shared" si="713"/>
        <v>0</v>
      </c>
      <c r="JI227">
        <f t="shared" si="714"/>
        <v>0</v>
      </c>
      <c r="JJ227" s="447">
        <f t="shared" si="715"/>
        <v>0</v>
      </c>
      <c r="JK227" s="447">
        <f t="shared" si="716"/>
        <v>0</v>
      </c>
      <c r="JL227">
        <f t="shared" si="717"/>
        <v>0</v>
      </c>
      <c r="JM227" s="245" t="str">
        <f>IFERROR(VLOOKUP(MATCH(BN227,#REF!,0),#REF!,7),"")</f>
        <v/>
      </c>
      <c r="JN227" t="e">
        <f>HLOOKUP(LEFT(BO227,7),Discharge_Area,MATCH(JO227,LookUps!$B$130:$B$149,1)+2)</f>
        <v>#N/A</v>
      </c>
      <c r="JO227" t="str">
        <f t="shared" si="718"/>
        <v>- S</v>
      </c>
      <c r="JP227" t="e">
        <f>HLOOKUP(LEFT(BO227,7),Discharge_Area,MATCH(JO227,LookUps!$B$130:$B$149,1)+2)</f>
        <v>#N/A</v>
      </c>
      <c r="JQ227" t="e">
        <f t="shared" si="719"/>
        <v>#N/A</v>
      </c>
      <c r="JR227" t="e">
        <f t="shared" si="720"/>
        <v>#N/A</v>
      </c>
      <c r="JS227" t="e">
        <f t="shared" si="721"/>
        <v>#N/A</v>
      </c>
      <c r="JT227" s="532" t="str">
        <f t="shared" si="722"/>
        <v xml:space="preserve"> </v>
      </c>
      <c r="JU227" s="532" t="str">
        <f t="shared" si="723"/>
        <v xml:space="preserve"> </v>
      </c>
      <c r="JV227" s="533" t="str">
        <f t="shared" si="724"/>
        <v xml:space="preserve"> </v>
      </c>
      <c r="JW227" s="534">
        <f t="shared" si="725"/>
        <v>0</v>
      </c>
      <c r="JX227" s="535" t="str">
        <f t="shared" si="809"/>
        <v xml:space="preserve"> </v>
      </c>
      <c r="JY227" s="535" t="str">
        <f t="shared" si="810"/>
        <v xml:space="preserve"> </v>
      </c>
      <c r="JZ227" s="535" t="str">
        <f t="shared" si="811"/>
        <v xml:space="preserve"> </v>
      </c>
      <c r="KA227" s="536" t="str">
        <f t="shared" si="726"/>
        <v xml:space="preserve"> </v>
      </c>
      <c r="KB227" s="535" t="e">
        <f t="shared" si="812"/>
        <v>#VALUE!</v>
      </c>
      <c r="KC227" s="535" t="str">
        <f t="shared" si="727"/>
        <v/>
      </c>
      <c r="KD227" s="537" t="str">
        <f t="shared" si="813"/>
        <v xml:space="preserve"> </v>
      </c>
      <c r="KE227" s="537" t="str">
        <f t="shared" si="814"/>
        <v xml:space="preserve"> </v>
      </c>
      <c r="KF227" s="534">
        <f t="shared" si="728"/>
        <v>0</v>
      </c>
      <c r="KG227" s="535" t="str">
        <f t="shared" si="729"/>
        <v xml:space="preserve"> </v>
      </c>
      <c r="KH227" s="535" t="str">
        <f t="shared" si="730"/>
        <v xml:space="preserve"> </v>
      </c>
      <c r="KI227" s="535" t="str">
        <f t="shared" si="731"/>
        <v xml:space="preserve"> </v>
      </c>
      <c r="KJ227" s="536" t="str">
        <f t="shared" si="732"/>
        <v xml:space="preserve"> </v>
      </c>
      <c r="KK227" s="535" t="str">
        <f t="shared" si="815"/>
        <v xml:space="preserve"> </v>
      </c>
      <c r="KL227" s="535" t="str">
        <f t="shared" si="816"/>
        <v xml:space="preserve"> </v>
      </c>
      <c r="KM227" s="537" t="str">
        <f t="shared" si="733"/>
        <v xml:space="preserve"> </v>
      </c>
      <c r="KN227" s="537" t="str">
        <f t="shared" si="817"/>
        <v xml:space="preserve"> </v>
      </c>
      <c r="KP227">
        <f t="shared" si="734"/>
        <v>0</v>
      </c>
      <c r="LA227" t="e">
        <f t="shared" si="735"/>
        <v>#VALUE!</v>
      </c>
      <c r="LB227" t="e">
        <f t="shared" si="736"/>
        <v>#VALUE!</v>
      </c>
      <c r="LC227" t="e">
        <f t="shared" si="737"/>
        <v>#VALUE!</v>
      </c>
      <c r="LD227" t="e">
        <f t="shared" si="738"/>
        <v>#VALUE!</v>
      </c>
      <c r="LE227" t="e">
        <f t="shared" si="818"/>
        <v>#VALUE!</v>
      </c>
      <c r="LF227">
        <f t="shared" si="739"/>
        <v>0</v>
      </c>
      <c r="LG227" t="e">
        <f t="shared" si="819"/>
        <v>#VALUE!</v>
      </c>
      <c r="LH227" t="str">
        <f t="shared" si="740"/>
        <v xml:space="preserve"> </v>
      </c>
      <c r="LI227">
        <f t="shared" si="820"/>
        <v>1</v>
      </c>
    </row>
    <row r="228" spans="2:321" ht="15" customHeight="1">
      <c r="B228" s="311"/>
      <c r="C228" s="311"/>
      <c r="D228" s="312"/>
      <c r="E228" s="311"/>
      <c r="F228" s="312"/>
      <c r="G228" s="311"/>
      <c r="H228" s="311"/>
      <c r="I228" s="232"/>
      <c r="J228" s="311"/>
      <c r="K228" s="305" t="str">
        <f t="shared" si="741"/>
        <v/>
      </c>
      <c r="L228" s="313"/>
      <c r="M228" s="312"/>
      <c r="N228" s="311"/>
      <c r="O228" s="312"/>
      <c r="P228" s="311"/>
      <c r="Q228" s="305" t="str">
        <f t="shared" si="742"/>
        <v/>
      </c>
      <c r="R228" s="314"/>
      <c r="S228" s="450" t="str">
        <f t="shared" si="625"/>
        <v/>
      </c>
      <c r="T228" s="315"/>
      <c r="U228" s="315"/>
      <c r="W228" s="149" t="str">
        <f t="shared" si="626"/>
        <v xml:space="preserve"> </v>
      </c>
      <c r="X228" s="243" t="str">
        <f t="shared" si="627"/>
        <v xml:space="preserve"> </v>
      </c>
      <c r="Y228" s="150" t="str">
        <f t="shared" si="628"/>
        <v/>
      </c>
      <c r="Z228" s="149" t="str">
        <f t="shared" si="629"/>
        <v xml:space="preserve"> </v>
      </c>
      <c r="AA228" s="98" t="str">
        <f t="shared" si="630"/>
        <v xml:space="preserve"> </v>
      </c>
      <c r="AB228" s="153" t="str">
        <f t="shared" si="631"/>
        <v xml:space="preserve"> </v>
      </c>
      <c r="AC228" s="153" t="str">
        <f t="shared" si="632"/>
        <v xml:space="preserve"> </v>
      </c>
      <c r="AD228" s="148" t="str">
        <f t="shared" si="633"/>
        <v/>
      </c>
      <c r="AE228" s="149" t="str">
        <f t="shared" si="634"/>
        <v/>
      </c>
      <c r="AF228" s="151" t="str">
        <f t="shared" si="635"/>
        <v xml:space="preserve"> </v>
      </c>
      <c r="AG228" s="153" t="str">
        <f t="shared" si="636"/>
        <v xml:space="preserve"> </v>
      </c>
      <c r="AH228" s="98" t="str">
        <f t="shared" si="637"/>
        <v xml:space="preserve"> </v>
      </c>
      <c r="AI228" s="149" t="str">
        <f t="shared" si="638"/>
        <v xml:space="preserve"> </v>
      </c>
      <c r="AK228" s="144" t="str">
        <f t="shared" si="639"/>
        <v xml:space="preserve"> </v>
      </c>
      <c r="AL228" s="144"/>
      <c r="AM228" s="243" t="str">
        <f t="shared" si="640"/>
        <v xml:space="preserve"> </v>
      </c>
      <c r="AN228" s="149" t="str">
        <f t="shared" si="743"/>
        <v xml:space="preserve"> </v>
      </c>
      <c r="AO228" s="144" t="str">
        <f>IF(JB228&gt;0,IF(GI228=10,-R228*1.085*(Calculation!$F$6-Calculation!$F$13)*$S$14," "),"")</f>
        <v/>
      </c>
      <c r="AP228" s="144" t="str">
        <f t="shared" si="641"/>
        <v/>
      </c>
      <c r="AQ228" s="56" t="str">
        <f t="shared" si="642"/>
        <v/>
      </c>
      <c r="AR228" s="144" t="str">
        <f t="shared" si="643"/>
        <v/>
      </c>
      <c r="AS228" s="176" t="str">
        <f t="shared" si="644"/>
        <v/>
      </c>
      <c r="AT228" s="176" t="str">
        <f t="shared" si="744"/>
        <v xml:space="preserve"> </v>
      </c>
      <c r="AU228" s="176" t="str">
        <f t="shared" si="645"/>
        <v/>
      </c>
      <c r="AV228" s="177" t="str">
        <f t="shared" si="646"/>
        <v xml:space="preserve"> </v>
      </c>
      <c r="AW228" s="144" t="str">
        <f t="shared" si="647"/>
        <v xml:space="preserve"> </v>
      </c>
      <c r="AX228" s="144" t="str">
        <f t="shared" si="648"/>
        <v xml:space="preserve"> </v>
      </c>
      <c r="AY228" s="152" t="str">
        <f t="shared" si="649"/>
        <v xml:space="preserve"> </v>
      </c>
      <c r="AZ228" s="246" t="str">
        <f t="shared" si="650"/>
        <v/>
      </c>
      <c r="BA228" s="176" t="str">
        <f t="shared" si="651"/>
        <v xml:space="preserve"> </v>
      </c>
      <c r="BB228" s="176" t="str">
        <f t="shared" si="652"/>
        <v xml:space="preserve"> </v>
      </c>
      <c r="BC228" s="195"/>
      <c r="BD228" s="316"/>
      <c r="BE228" s="317"/>
      <c r="BF228" s="318"/>
      <c r="BG228" s="318"/>
      <c r="BH228" s="144" t="str">
        <f t="shared" si="821"/>
        <v xml:space="preserve"> </v>
      </c>
      <c r="BI228" s="176" t="str">
        <f t="shared" si="653"/>
        <v/>
      </c>
      <c r="BJ228" s="144" t="str">
        <f t="shared" si="822"/>
        <v/>
      </c>
      <c r="BK228" s="246" t="str">
        <f t="shared" si="654"/>
        <v/>
      </c>
      <c r="BL228" s="144" t="str">
        <f t="shared" si="823"/>
        <v/>
      </c>
      <c r="BM228" s="246" t="str">
        <f t="shared" si="655"/>
        <v/>
      </c>
      <c r="BN228" s="337" t="str">
        <f t="shared" si="745"/>
        <v/>
      </c>
      <c r="BO228" s="371" t="str">
        <f t="shared" si="746"/>
        <v/>
      </c>
      <c r="BP228" s="328" t="str">
        <f t="shared" si="824"/>
        <v xml:space="preserve"> </v>
      </c>
      <c r="BQ228" s="347" t="str">
        <f t="shared" si="747"/>
        <v xml:space="preserve"> </v>
      </c>
      <c r="BR228" s="353" t="str">
        <f t="shared" si="748"/>
        <v xml:space="preserve"> </v>
      </c>
      <c r="BS228" s="626" t="str">
        <f>IF(L228&gt;0,IF(Calculation!P228="M13",BR228*3.1416*(0.134^2)/(4*144),IF(Calculation!P228="M17",BR228*3.1416*(0.165^2)/(4*144),IF(Calculation!P228="M20",BR228*3.1416*(0.198^2)/(4*144),IF(Calculation!P228="M23",BR228*3.1416*(0.228^2)/(4*144),IF(Calculation!P228="M27",BR228*3.1416*(0.269^2)/(4*144),BR228*3.1416*(0.307^2)/(4*144))))))," ")</f>
        <v xml:space="preserve"> </v>
      </c>
      <c r="BT228" s="353" t="str">
        <f>IF(L228&gt;0,IF(BS228&gt;0,R228/Calculation!BS228,0)," ")</f>
        <v xml:space="preserve"> </v>
      </c>
      <c r="BU228" s="438" t="e">
        <f t="shared" ca="1" si="656"/>
        <v>#VALUE!</v>
      </c>
      <c r="BV228" s="449" t="e">
        <f ca="1">INDEX(INDIRECT(VLOOKUP(LEFT(BO228,7),CLU!$Z$3:$AH$18,2)),GN228,GR228)</f>
        <v>#N/A</v>
      </c>
      <c r="BW228" s="433" t="e">
        <f ca="1">INDEX(INDIRECT(VLOOKUP(LEFT(BO228,7),CLU!$Z$3:$AH$18,3)),GN228,GR228)</f>
        <v>#N/A</v>
      </c>
      <c r="BX228" s="433" t="e">
        <f ca="1">INDEX(INDIRECT(VLOOKUP(LEFT(BO228,7),CLU!$Z$3:$AH$18,4)),GN228,GR228)</f>
        <v>#N/A</v>
      </c>
      <c r="BY228" s="433" t="e">
        <f ca="1">INDEX(INDIRECT(VLOOKUP(LEFT(BO228,7),CLU!$Z$3:$AH$18,9)),((M228-2)*(6-COUNTBLANK(GT228:GY228)))+GJ228)</f>
        <v>#N/A</v>
      </c>
      <c r="BZ228" s="426" t="e">
        <f t="shared" ca="1" si="749"/>
        <v>#N/A</v>
      </c>
      <c r="CA228" s="424" t="e">
        <f t="shared" ca="1" si="750"/>
        <v>#N/A</v>
      </c>
      <c r="CB228" s="429" t="e">
        <f ca="1">INDEX(INDIRECT(VLOOKUP(LEFT(BO228,7),CLU!$Z$3:$AH$18,2)),GN228,GS228)</f>
        <v>#N/A</v>
      </c>
      <c r="CC228" s="342" t="e">
        <f ca="1">INDEX(INDIRECT(VLOOKUP(LEFT(BO228,7),CLU!$Z$3:$AH$18,3)),GN228,GS228)</f>
        <v>#N/A</v>
      </c>
      <c r="CD228" s="342" t="e">
        <f ca="1">INDEX(INDIRECT(VLOOKUP(LEFT(BO228,7),CLU!$Z$3:$AH$18,4)),GN228,GS228)</f>
        <v>#N/A</v>
      </c>
      <c r="CE228" s="426" t="e">
        <f t="shared" ca="1" si="751"/>
        <v>#N/A</v>
      </c>
      <c r="CF228" s="440">
        <f t="shared" si="752"/>
        <v>0</v>
      </c>
      <c r="CG228" s="431" t="e">
        <f ca="1">INDEX(INDIRECT(VLOOKUP(LEFT(BO228,7),CLU!$Z$3:$AH$18,2)),GQ228,GR228)</f>
        <v>#N/A</v>
      </c>
      <c r="CH228" s="431" t="e">
        <f ca="1">INDEX(INDIRECT(VLOOKUP(LEFT(BO228,7),CLU!$Z$3:$AH$18,3)),GQ228,GR228)</f>
        <v>#N/A</v>
      </c>
      <c r="CI228" s="431" t="e">
        <f ca="1">INDEX(INDIRECT(VLOOKUP(LEFT(BO228,7),CLU!$Z$3:$AH$18,4)),GQ228,GR228)</f>
        <v>#N/A</v>
      </c>
      <c r="CJ228" s="448" t="e">
        <f t="shared" ca="1" si="753"/>
        <v>#N/A</v>
      </c>
      <c r="CK228" s="431" t="e">
        <f t="shared" ca="1" si="754"/>
        <v>#N/A</v>
      </c>
      <c r="CL228" s="440" t="e">
        <f t="shared" ca="1" si="755"/>
        <v>#N/A</v>
      </c>
      <c r="CM228" s="431" t="e">
        <f ca="1">INDEX(INDIRECT(VLOOKUP(LEFT(BO228,7),CLU!$Z$3:$AH$18,2)),GQ228,GS228)</f>
        <v>#N/A</v>
      </c>
      <c r="CN228" s="431" t="e">
        <f ca="1">INDEX(INDIRECT(VLOOKUP(LEFT(BO228,7),CLU!$Z$3:$AH$18,3)),GQ228,GS228)</f>
        <v>#N/A</v>
      </c>
      <c r="CO228" s="431" t="e">
        <f ca="1">INDEX(INDIRECT(VLOOKUP(LEFT(BO228,7),CLU!$Z$3:$AH$18,4)),GQ228,GS228)</f>
        <v>#N/A</v>
      </c>
      <c r="CP228" s="431" t="e">
        <f t="shared" ca="1" si="756"/>
        <v>#N/A</v>
      </c>
      <c r="CQ228" s="440">
        <f t="shared" si="757"/>
        <v>0</v>
      </c>
      <c r="CR228" s="51" t="e">
        <f t="shared" ca="1" si="758"/>
        <v>#N/A</v>
      </c>
      <c r="CS228" s="439" t="e">
        <f t="shared" ca="1" si="759"/>
        <v>#VALUE!</v>
      </c>
      <c r="CT228" s="51" t="e">
        <f t="shared" ca="1" si="760"/>
        <v>#VALUE!</v>
      </c>
      <c r="CU228" s="10"/>
      <c r="CV228" s="51" t="e">
        <f t="shared" ca="1" si="657"/>
        <v>#VALUE!</v>
      </c>
      <c r="CW228" s="51">
        <f t="shared" si="761"/>
        <v>0</v>
      </c>
      <c r="CX228" s="439" t="e">
        <f t="shared" ca="1" si="762"/>
        <v>#VALUE!</v>
      </c>
      <c r="CY228" s="51" t="e">
        <f t="shared" ca="1" si="763"/>
        <v>#VALUE!</v>
      </c>
      <c r="CZ228" s="10"/>
      <c r="DA228" s="51" t="e">
        <f t="shared" ca="1" si="764"/>
        <v>#VALUE!</v>
      </c>
      <c r="DB228" s="347" t="e">
        <f ca="1">INDEX(INDIRECT(VLOOKUP(LEFT(BO228,7),CLU!$Z$3:$AI$18,10)),((M228-2)*(6-COUNTBLANK(GT228:GY228)))+GJ228)*LI228</f>
        <v>#N/A</v>
      </c>
      <c r="DC228" s="347" t="str">
        <f>IF(L228&gt;0,((R228/Worksheet!$I$15)/DB228)^2," ")</f>
        <v xml:space="preserve"> </v>
      </c>
      <c r="DD228" s="602" t="str">
        <f t="shared" si="765"/>
        <v xml:space="preserve"> </v>
      </c>
      <c r="DE228" s="347" t="str">
        <f t="shared" si="658"/>
        <v xml:space="preserve"> </v>
      </c>
      <c r="DF228" s="356" t="e">
        <f ca="1">INDEX(INDIRECT(VLOOKUP(LEFT(BO228,7),CLU!$Z$3:$AH$18,8)),((M228-2)*(6-COUNTBLANK(GT228:GY228)))+GJ228)</f>
        <v>#N/A</v>
      </c>
      <c r="DG228" s="347" t="str">
        <f t="shared" si="659"/>
        <v xml:space="preserve"> </v>
      </c>
      <c r="DH228" s="357" t="str">
        <f t="shared" si="660"/>
        <v xml:space="preserve"> </v>
      </c>
      <c r="DI228" s="355" t="str">
        <f t="shared" si="661"/>
        <v xml:space="preserve"> </v>
      </c>
      <c r="DJ228" s="245" t="e">
        <f ca="1">INDEX(INDIRECT(VLOOKUP(LEFT(BO228,7),CLU!$Z$3:$AH$18,5)),GL228,GK228)</f>
        <v>#N/A</v>
      </c>
      <c r="DK228" s="245" t="e">
        <f ca="1">INDEX(INDIRECT(VLOOKUP(LEFT(BO228,7),CLU!$Z$3:$AH$18,6)),GL228,GK228)</f>
        <v>#N/A</v>
      </c>
      <c r="DL228" s="355">
        <f>(Calculation!R228*0.69143*(Calculation!$BQ$8-Calculation!$F$8))*$S$14</f>
        <v>0</v>
      </c>
      <c r="DM228" s="359" t="e">
        <f t="shared" si="766"/>
        <v>#VALUE!</v>
      </c>
      <c r="DN228" s="611">
        <f t="shared" si="767"/>
        <v>0</v>
      </c>
      <c r="DO228" s="359">
        <f t="shared" si="768"/>
        <v>100</v>
      </c>
      <c r="DP228" s="359">
        <f t="shared" si="769"/>
        <v>0</v>
      </c>
      <c r="DQ228" s="360"/>
      <c r="DR228" s="245" t="e">
        <f ca="1">INDEX(INDIRECT(VLOOKUP(LEFT(BO228,7),CLU!$Z$3:$AH$18,7)),M228-1,1)</f>
        <v>#N/A</v>
      </c>
      <c r="DS228" s="245" t="e">
        <f ca="1">INDEX(INDIRECT(VLOOKUP(LEFT(BO228,7),CLU!$Z$3:$AH$18,7)),M228-1,2)</f>
        <v>#N/A</v>
      </c>
      <c r="DT228" s="245" t="e">
        <f ca="1">INDEX(INDIRECT(VLOOKUP(LEFT(BO228,7),CLU!$Z$3:$AH$18,7)),M228-1,3)</f>
        <v>#N/A</v>
      </c>
      <c r="DU228" s="245" t="e">
        <f ca="1">INDEX(INDIRECT(VLOOKUP(LEFT(BO228,7),CLU!$Z$3:$AH$18,7)),M228-1,4)</f>
        <v>#N/A</v>
      </c>
      <c r="DV228" s="361" t="e">
        <f ca="1">INDEX(INDIRECT(VLOOKUP(LEFT(BO228,7),CLU!$Z$3:$AH$18,7)),M228-1,4+LEFT(DZ228,1)*0.5)</f>
        <v>#N/A</v>
      </c>
      <c r="DW228" s="245" t="e">
        <f ca="1">INDEX(INDIRECT(VLOOKUP(LEFT(BO228,7),CLU!$Z$3:$AH$18,7)),M228-1,8)</f>
        <v>#N/A</v>
      </c>
      <c r="DX228" s="361" t="str">
        <f t="shared" si="662"/>
        <v xml:space="preserve"> </v>
      </c>
      <c r="DY228" s="361" t="str">
        <f t="shared" si="663"/>
        <v xml:space="preserve"> </v>
      </c>
      <c r="DZ228" s="361" t="str">
        <f t="shared" si="664"/>
        <v xml:space="preserve"> </v>
      </c>
      <c r="EA228" s="362" t="str">
        <f t="shared" si="665"/>
        <v xml:space="preserve"> </v>
      </c>
      <c r="EB228" s="624" t="str">
        <f t="shared" si="770"/>
        <v xml:space="preserve"> </v>
      </c>
      <c r="EC228" s="361" t="e">
        <f ca="1">INDEX(INDIRECT(VLOOKUP(LEFT(BO228,7),CLU!$Z$3:$AH$18,7)),M228-1,4+LEFT(DZ228,1)*0.5)</f>
        <v>#N/A</v>
      </c>
      <c r="ED228" s="362" t="str">
        <f t="shared" si="666"/>
        <v xml:space="preserve"> </v>
      </c>
      <c r="EE228" s="361" t="str">
        <f t="shared" si="667"/>
        <v xml:space="preserve"> </v>
      </c>
      <c r="EF228" s="362" t="str">
        <f>IF(L228&gt;0,IF(BR228&gt;0,IF(EE228="2P",IF(Calculation!DZ228="2P",IF(Calculation!DS228=13.75,IF(Calculation!DR228=13,Worksheet!$BD$43,IF(Calculation!DR228=37,Worksheet!$BD$44,Worksheet!$BD$45)),IF(Calculation!DS228=10,IF(Calculation!DR228=18,Worksheet!$BD$29,IF(Calculation!DR228=30,Worksheet!$BD$30,IF(Calculation!DR228=42,Worksheet!$BD$31,IF(Calculation!DR228=54,Worksheet!$BD$32,IF(Calculation!DR228=66,Worksheet!$BD$33,IF(Calculation!DR228=78,Worksheet!$BD$34,IF(Calculation!DR228=90,Worksheet!$BD$35,IF(Calculation!DR228=102,Worksheet!$BD$36,Worksheet!$BD$37)))))))),IF(Calculation!DS228=12.5,IF(Calculation!DR228=18,Worksheet!$BD$38,IF(Calculation!DR228=Worksheet!$BD$39,IF(Calculation!DR228=42,Worksheet!$BD$40,IF(Calculation!DR228=54,Worksheet!$BD$41,Worksheet!$BD$42)))),IF(Calculation!DR228=18,Worksheet!$BD$11,IF(Calculation!DR228=30,Worksheet!$BD$12,IF(Calculation!DR228=42,Worksheet!$BD$13,IF(Calculation!DR228=54,Worksheet!$BD$14,IF(Calculation!DR228=66,Worksheet!$BD$15,IF(Calculation!DR228=78,Worksheet!$BD$16,IF(Calculation!DR228=90,Worksheet!$BD$17,IF(Calculation!DR228=102,Worksheet!$BD$18,Worksheet!$BD$19))))))))))),IF(Calculation!DS228=13.75,IF(Calculation!DR228=13,Worksheet!$BD$78,IF(Calculation!DR228=37,Worksheet!$BD$79,Worksheet!$BD$80)),IF(Calculation!DS228=10,IF(Calculation!DR228=18,Worksheet!$BD$64,IF(Calculation!DR228=30,Worksheet!$BD$65,IF(Calculation!DR228=42,Worksheet!$BD$66,IF(Calculation!DR228=54,Worksheet!$BD$68,IF(Calculation!DR228=66,Worksheet!$BD$68,IF(Calculation!DR228=78,Worksheet!$BD$69,IF(Calculation!DR228=90,Worksheet!$BD$70,IF(Calculation!DR228=102,Worksheet!$BD$71,Worksheet!$BD$72)))))))),IF(Calculation!DS228=12.5,IF(Calculation!DR228=18,Worksheet!$BD$73,IF(Calculation!DR228=Worksheet!$BD$74,IF(Calculation!DR228=42,Worksheet!$BD$75,IF(Calculation!DR228=54,Worksheet!$BD$76,Worksheet!$BD$77)))),IF(Calculation!DR228=18,Worksheet!$BD$55,IF(Calculation!DR228=30,Worksheet!$BD$56,IF(Calculation!DR228=42,Worksheet!$BD$57,IF(Calculation!DR228=54,Worksheet!$BD$58,IF(Calculation!DR228=66,Worksheet!$BD$59,IF(Calculation!DR228=78,Worksheet!$BD$60,IF(Calculation!DR228=90,Worksheet!$BD$61,IF(Calculation!DR228=102,Worksheet!$BD$62,Worksheet!$BD$63)))))))))))),5),0)," ")</f>
        <v xml:space="preserve"> </v>
      </c>
      <c r="EG228" s="361" t="str">
        <f t="shared" si="668"/>
        <v xml:space="preserve"> </v>
      </c>
      <c r="EH228" s="361" t="e">
        <f ca="1">INDEX(INDIRECT(VLOOKUP(LEFT(BO228,7),CLU!$Z$3:$AH$18,7)),M228-1,3+LEFT(DZ228,1))</f>
        <v>#N/A</v>
      </c>
      <c r="EI228" s="362" t="str">
        <f t="shared" si="669"/>
        <v xml:space="preserve"> </v>
      </c>
      <c r="EJ228" s="363" t="str">
        <f t="shared" si="670"/>
        <v xml:space="preserve"> </v>
      </c>
      <c r="EK228" s="363" t="str">
        <f t="shared" si="671"/>
        <v xml:space="preserve"> </v>
      </c>
      <c r="EL228" s="363" t="str">
        <f t="shared" si="672"/>
        <v xml:space="preserve"> </v>
      </c>
      <c r="EM228" s="362" t="str">
        <f>IF(L228&gt;0,IF(BR228&gt;0,(Calculation!T228/ED228)^2,0)," ")</f>
        <v xml:space="preserve"> </v>
      </c>
      <c r="EN228" s="362" t="str">
        <f>IF(L228&gt;0,IF(O228="2 Pipe (Cooling)","N/A",IF(BR228&gt;0,(Calculation!U228/EI228)^2,0))," ")</f>
        <v xml:space="preserve"> </v>
      </c>
      <c r="EO228" s="361" t="str">
        <f t="shared" si="673"/>
        <v/>
      </c>
      <c r="EP228" s="361" t="str">
        <f t="shared" si="674"/>
        <v/>
      </c>
      <c r="EQ228" s="361" t="str">
        <f t="shared" si="675"/>
        <v/>
      </c>
      <c r="ER228" s="361" t="str">
        <f t="shared" si="676"/>
        <v/>
      </c>
      <c r="ES228" s="361" t="str">
        <f t="shared" si="677"/>
        <v/>
      </c>
      <c r="ET228" s="361" t="str">
        <f t="shared" si="678"/>
        <v/>
      </c>
      <c r="EU228" s="361" t="str">
        <f t="shared" si="679"/>
        <v/>
      </c>
      <c r="EV228" s="361" t="str">
        <f t="shared" si="680"/>
        <v/>
      </c>
      <c r="EW228" s="361" t="str">
        <f t="shared" si="681"/>
        <v/>
      </c>
      <c r="EX228" s="361" t="str">
        <f t="shared" si="771"/>
        <v>1 slot, 1 way</v>
      </c>
      <c r="EY228" s="361" t="str">
        <f t="shared" si="772"/>
        <v xml:space="preserve"> </v>
      </c>
      <c r="EZ228" s="361" t="str">
        <f t="shared" si="773"/>
        <v xml:space="preserve"> </v>
      </c>
      <c r="FA228" s="361" t="str">
        <f t="shared" si="774"/>
        <v xml:space="preserve"> </v>
      </c>
      <c r="FB228" s="361" t="str">
        <f t="shared" si="775"/>
        <v xml:space="preserve"> </v>
      </c>
      <c r="FC228" s="361"/>
      <c r="FD228" s="361" t="str">
        <f>IF(J228&gt;0,IF(Calculation!R228&lt;=70,4,IF(Calculation!R228&lt;=110,5,IF(Calculation!R228&lt;=160,6,IF(Calculation!R228&lt;=300,8,"10 EO")))),"")</f>
        <v/>
      </c>
      <c r="FE228" s="361" t="str">
        <f t="shared" si="776"/>
        <v/>
      </c>
      <c r="FF228" s="361" t="str">
        <f t="shared" si="777"/>
        <v/>
      </c>
      <c r="FG228" s="361" t="e">
        <f t="shared" si="682"/>
        <v>#N/A</v>
      </c>
      <c r="FH228" s="361">
        <f t="shared" si="683"/>
        <v>0</v>
      </c>
      <c r="FI228" s="361" t="e">
        <f t="shared" si="684"/>
        <v>#DIV/0!</v>
      </c>
      <c r="FJ228" s="361"/>
      <c r="FK228" s="356" t="e">
        <f t="shared" si="685"/>
        <v>#VALUE!</v>
      </c>
      <c r="FL228" s="361"/>
      <c r="FM228" s="361"/>
      <c r="FN228" s="362" t="str">
        <f t="shared" si="778"/>
        <v xml:space="preserve"> </v>
      </c>
      <c r="FO228" s="362" t="str">
        <f t="shared" si="779"/>
        <v xml:space="preserve"> </v>
      </c>
      <c r="FP228" s="362">
        <f t="shared" si="780"/>
        <v>0</v>
      </c>
      <c r="FQ228" s="361">
        <f t="shared" si="686"/>
        <v>0</v>
      </c>
      <c r="FR228" s="362" t="str">
        <f>IF(L228&gt;0,IF(J228="CBAL2",Worksheet!$P$67,IF(J228="CBE2-24",Worksheet!$Q$67,IF(J228="CBAM",Worksheet!$R$67,IF(J228="CBLV",Worksheet!$S$67,IF(J228="CBAB",Worksheet!$U$67,IF(J228="CBAW",Worksheet!$X$67,IF(J228="CBE2-12",Worksheet!$Y$67,IF(J228="CBAL2",Worksheet!$Z$67,"N/A"))))))))," ")</f>
        <v xml:space="preserve"> </v>
      </c>
      <c r="FS228" s="362" t="str">
        <f>IF(L228&gt;0,IF(J228="CBAL2",Worksheet!$P$68,IF(J228="CBE2-24",Worksheet!$Q$68,IF(J228="CBAM",Worksheet!$R$68,IF(J228="CBLV",Worksheet!$S$68,IF(J228="CBAB",Worksheet!$U$68,IF(J228="CBAW",Worksheet!$X$68,IF(J228="CBE2-12",Worksheet!$Y$68,IF(J228="CBAL2",Worksheet!$Z$68,"N/A"))))))))," ")</f>
        <v xml:space="preserve"> </v>
      </c>
      <c r="FT228" s="362" t="str">
        <f>IF(L228&gt;0,IF(J228="CBAL2",Worksheet!$P$69,IF(J228="CBE2-24",Worksheet!$Q$69,IF(J228="CBAM",Worksheet!$R$69,IF(J228="CBLV",Worksheet!$S$69,IF(J228="CBAB",Worksheet!$U$69,IF(J228="CBAW",Worksheet!$X$69,IF(J228="CBE2-12",Worksheet!$Y$69,IF(J228="CBAL2",Worksheet!$Z$69,"N/A"))))))))," ")</f>
        <v xml:space="preserve"> </v>
      </c>
      <c r="FU228" s="361" t="str">
        <f t="shared" si="781"/>
        <v xml:space="preserve"> </v>
      </c>
      <c r="FV228" s="362" t="str">
        <f t="shared" si="782"/>
        <v xml:space="preserve"> </v>
      </c>
      <c r="FW228" s="362" t="str">
        <f t="shared" si="783"/>
        <v xml:space="preserve"> </v>
      </c>
      <c r="FX228" s="362" t="str">
        <f t="shared" si="784"/>
        <v xml:space="preserve"> </v>
      </c>
      <c r="FY228" s="355" t="str">
        <f t="shared" si="785"/>
        <v xml:space="preserve"> </v>
      </c>
      <c r="FZ228" s="361" t="str">
        <f t="shared" si="786"/>
        <v xml:space="preserve"> </v>
      </c>
      <c r="GA228" s="347" t="str">
        <f t="shared" si="787"/>
        <v xml:space="preserve"> </v>
      </c>
      <c r="GB228" s="355" t="str">
        <f t="shared" si="788"/>
        <v xml:space="preserve"> </v>
      </c>
      <c r="GC228" s="328" t="str">
        <f t="shared" si="789"/>
        <v xml:space="preserve"> </v>
      </c>
      <c r="GD228" s="361" t="str">
        <f t="shared" si="790"/>
        <v xml:space="preserve"> </v>
      </c>
      <c r="GE228" s="347" t="str">
        <f t="shared" si="791"/>
        <v xml:space="preserve"> </v>
      </c>
      <c r="GF228" s="361" t="str">
        <f t="shared" si="792"/>
        <v xml:space="preserve"> </v>
      </c>
      <c r="GG228" s="347" t="str">
        <f t="shared" si="793"/>
        <v xml:space="preserve"> </v>
      </c>
      <c r="GH228" s="364">
        <f t="shared" si="687"/>
        <v>0</v>
      </c>
      <c r="GI228" s="362">
        <f t="shared" si="794"/>
        <v>2</v>
      </c>
      <c r="GJ228" s="433" t="e">
        <f>IF(6-COUNTBLANK(GT228:GY228)=4,MATCH(MID(BO228,9,3),CLU!$H$16:$K$16),MATCH(MID(BO228,9,3),CLU!$H$13:$M$13))</f>
        <v>#N/A</v>
      </c>
      <c r="GK228" s="433" t="e">
        <f>HLOOKUP(VALUE(BP228),CLU!$H$9:$M$10,2)</f>
        <v>#VALUE!</v>
      </c>
      <c r="GL228" s="433" t="e">
        <f ca="1">MATCH(BU228,CLU!$H$2:$V$2,1)</f>
        <v>#VALUE!</v>
      </c>
      <c r="GM228" s="433" t="e">
        <f t="shared" ca="1" si="795"/>
        <v>#VALUE!</v>
      </c>
      <c r="GN228" s="433" t="e">
        <f t="shared" ca="1" si="796"/>
        <v>#VALUE!</v>
      </c>
      <c r="GO228" s="433" t="e">
        <f t="shared" ca="1" si="797"/>
        <v>#VALUE!</v>
      </c>
      <c r="GP228" s="433" t="e">
        <f t="shared" ca="1" si="798"/>
        <v>#VALUE!</v>
      </c>
      <c r="GQ228" s="433" t="e">
        <f t="shared" ca="1" si="799"/>
        <v>#VALUE!</v>
      </c>
      <c r="GR228" s="433" t="e">
        <f ca="1">MATCH(T228,INDIRECT(VLOOKUP(CONCATENATE(LEFT(BO228,7),"-",MID(BO228,13,1)),CLU!$P$3:$Q$16,2)),1)</f>
        <v>#N/A</v>
      </c>
      <c r="GS228" s="433" t="e">
        <f ca="1">MATCH(U228,INDIRECT(VLOOKUP(CONCATENATE(LEFT(BO228,7),"-",MID(BO228,13,1)),CLU!$P$3:$Q$16,2)),1)</f>
        <v>#N/A</v>
      </c>
      <c r="GT228" s="347" t="s">
        <v>512</v>
      </c>
      <c r="GU228" s="97" t="s">
        <v>513</v>
      </c>
      <c r="GV228" s="97" t="str">
        <f t="shared" si="800"/>
        <v>M23</v>
      </c>
      <c r="GW228" s="97" t="str">
        <f t="shared" si="801"/>
        <v>M31</v>
      </c>
      <c r="GX228" s="97" t="str">
        <f t="shared" si="802"/>
        <v/>
      </c>
      <c r="GY228" s="97" t="str">
        <f t="shared" si="803"/>
        <v/>
      </c>
      <c r="GZ228" s="481"/>
      <c r="HA228" s="288"/>
      <c r="HB228" s="240"/>
      <c r="HC228" s="240"/>
      <c r="HD228" s="240"/>
      <c r="HE228" s="240"/>
      <c r="HF228" s="240"/>
      <c r="HG228" s="240"/>
      <c r="HH228" s="240"/>
      <c r="HI228" s="240"/>
      <c r="HJ228" s="240"/>
      <c r="HK228" s="240"/>
      <c r="HL228" s="240"/>
      <c r="HM228" s="240"/>
      <c r="HN228" s="240"/>
      <c r="HO228" s="240"/>
      <c r="HP228" s="240"/>
      <c r="HQ228" s="240"/>
      <c r="HR228" s="240"/>
      <c r="HS228" s="240"/>
      <c r="HT228" s="240"/>
      <c r="HU228" s="240"/>
      <c r="HV228" s="245"/>
      <c r="HW228" s="245" t="b">
        <v>1</v>
      </c>
      <c r="HX228" s="245" t="str">
        <f t="shared" si="688"/>
        <v/>
      </c>
      <c r="HY228" s="245" t="e">
        <f t="shared" si="689"/>
        <v>#DIV/0!</v>
      </c>
      <c r="HZ228" s="245" t="e">
        <f t="shared" si="690"/>
        <v>#DIV/0!</v>
      </c>
      <c r="IA228" s="245">
        <f t="shared" si="691"/>
        <v>0</v>
      </c>
      <c r="IB228" s="245"/>
      <c r="IC228" t="b">
        <f t="shared" si="692"/>
        <v>1</v>
      </c>
      <c r="ID228" s="245" t="b">
        <f t="shared" si="693"/>
        <v>1</v>
      </c>
      <c r="IE228" s="245" t="b">
        <f t="shared" si="694"/>
        <v>1</v>
      </c>
      <c r="IF228" s="245" t="b">
        <f t="shared" si="695"/>
        <v>0</v>
      </c>
      <c r="IG228" s="245" t="b">
        <f t="shared" si="696"/>
        <v>1</v>
      </c>
      <c r="IH228" s="245" t="b">
        <f t="shared" si="697"/>
        <v>1</v>
      </c>
      <c r="II228" s="245">
        <f t="shared" si="804"/>
        <v>0</v>
      </c>
      <c r="IJ228" s="245" t="e">
        <f t="shared" si="698"/>
        <v>#VALUE!</v>
      </c>
      <c r="IK228" s="245" t="e">
        <f t="shared" si="699"/>
        <v>#VALUE!</v>
      </c>
      <c r="IL228" s="245"/>
      <c r="IM228" s="245" t="e">
        <f t="shared" si="805"/>
        <v>#N/A</v>
      </c>
      <c r="IN228" s="245" t="e">
        <f t="shared" si="806"/>
        <v>#N/A</v>
      </c>
      <c r="IO228" s="245"/>
      <c r="IP228" s="245"/>
      <c r="IQ228" s="245" t="str">
        <f t="shared" si="700"/>
        <v/>
      </c>
      <c r="IR228" s="245" t="str">
        <f>IF(J228="","",VLOOKUP(J228,Worksheet!$R$4:$T$14,2))</f>
        <v/>
      </c>
      <c r="IS228" s="245"/>
      <c r="IT228" s="245">
        <f t="shared" si="701"/>
        <v>0</v>
      </c>
      <c r="IU228" s="245">
        <f t="shared" si="702"/>
        <v>0</v>
      </c>
      <c r="IV228" s="245">
        <f t="shared" si="703"/>
        <v>0</v>
      </c>
      <c r="IW228" s="245">
        <f t="shared" si="704"/>
        <v>0</v>
      </c>
      <c r="IX228" s="245">
        <f t="shared" si="807"/>
        <v>0</v>
      </c>
      <c r="IY228" s="245">
        <f t="shared" si="705"/>
        <v>0</v>
      </c>
      <c r="IZ228" s="245">
        <f t="shared" si="706"/>
        <v>0</v>
      </c>
      <c r="JA228">
        <f t="shared" si="707"/>
        <v>0</v>
      </c>
      <c r="JB228">
        <f t="shared" si="808"/>
        <v>0</v>
      </c>
      <c r="JC228">
        <f t="shared" si="708"/>
        <v>0</v>
      </c>
      <c r="JD228">
        <f t="shared" si="709"/>
        <v>0</v>
      </c>
      <c r="JE228">
        <f t="shared" si="710"/>
        <v>0</v>
      </c>
      <c r="JF228">
        <f t="shared" si="711"/>
        <v>0</v>
      </c>
      <c r="JG228">
        <f t="shared" si="712"/>
        <v>0</v>
      </c>
      <c r="JH228">
        <f t="shared" si="713"/>
        <v>0</v>
      </c>
      <c r="JI228">
        <f t="shared" si="714"/>
        <v>0</v>
      </c>
      <c r="JJ228" s="447">
        <f t="shared" si="715"/>
        <v>0</v>
      </c>
      <c r="JK228" s="447">
        <f t="shared" si="716"/>
        <v>0</v>
      </c>
      <c r="JL228">
        <f t="shared" si="717"/>
        <v>0</v>
      </c>
      <c r="JM228" s="245" t="str">
        <f>IFERROR(VLOOKUP(MATCH(BN228,#REF!,0),#REF!,7),"")</f>
        <v/>
      </c>
      <c r="JN228" t="e">
        <f>HLOOKUP(LEFT(BO228,7),Discharge_Area,MATCH(JO228,LookUps!$B$130:$B$149,1)+2)</f>
        <v>#N/A</v>
      </c>
      <c r="JO228" t="str">
        <f t="shared" si="718"/>
        <v>- S</v>
      </c>
      <c r="JP228" t="e">
        <f>HLOOKUP(LEFT(BO228,7),Discharge_Area,MATCH(JO228,LookUps!$B$130:$B$149,1)+2)</f>
        <v>#N/A</v>
      </c>
      <c r="JQ228" t="e">
        <f t="shared" si="719"/>
        <v>#N/A</v>
      </c>
      <c r="JR228" t="e">
        <f t="shared" si="720"/>
        <v>#N/A</v>
      </c>
      <c r="JS228" t="e">
        <f t="shared" si="721"/>
        <v>#N/A</v>
      </c>
      <c r="JT228" s="532" t="str">
        <f t="shared" si="722"/>
        <v xml:space="preserve"> </v>
      </c>
      <c r="JU228" s="532" t="str">
        <f t="shared" si="723"/>
        <v xml:space="preserve"> </v>
      </c>
      <c r="JV228" s="533" t="str">
        <f t="shared" si="724"/>
        <v xml:space="preserve"> </v>
      </c>
      <c r="JW228" s="534">
        <f t="shared" si="725"/>
        <v>0</v>
      </c>
      <c r="JX228" s="535" t="str">
        <f t="shared" si="809"/>
        <v xml:space="preserve"> </v>
      </c>
      <c r="JY228" s="535" t="str">
        <f t="shared" si="810"/>
        <v xml:space="preserve"> </v>
      </c>
      <c r="JZ228" s="535" t="str">
        <f t="shared" si="811"/>
        <v xml:space="preserve"> </v>
      </c>
      <c r="KA228" s="536" t="str">
        <f t="shared" si="726"/>
        <v xml:space="preserve"> </v>
      </c>
      <c r="KB228" s="535" t="e">
        <f t="shared" si="812"/>
        <v>#VALUE!</v>
      </c>
      <c r="KC228" s="535" t="str">
        <f t="shared" si="727"/>
        <v/>
      </c>
      <c r="KD228" s="537" t="str">
        <f t="shared" si="813"/>
        <v xml:space="preserve"> </v>
      </c>
      <c r="KE228" s="537" t="str">
        <f t="shared" si="814"/>
        <v xml:space="preserve"> </v>
      </c>
      <c r="KF228" s="534">
        <f t="shared" si="728"/>
        <v>0</v>
      </c>
      <c r="KG228" s="535" t="str">
        <f t="shared" si="729"/>
        <v xml:space="preserve"> </v>
      </c>
      <c r="KH228" s="535" t="str">
        <f t="shared" si="730"/>
        <v xml:space="preserve"> </v>
      </c>
      <c r="KI228" s="535" t="str">
        <f t="shared" si="731"/>
        <v xml:space="preserve"> </v>
      </c>
      <c r="KJ228" s="536" t="str">
        <f t="shared" si="732"/>
        <v xml:space="preserve"> </v>
      </c>
      <c r="KK228" s="535" t="str">
        <f t="shared" si="815"/>
        <v xml:space="preserve"> </v>
      </c>
      <c r="KL228" s="535" t="str">
        <f t="shared" si="816"/>
        <v xml:space="preserve"> </v>
      </c>
      <c r="KM228" s="537" t="str">
        <f t="shared" si="733"/>
        <v xml:space="preserve"> </v>
      </c>
      <c r="KN228" s="537" t="str">
        <f t="shared" si="817"/>
        <v xml:space="preserve"> </v>
      </c>
      <c r="KP228">
        <f t="shared" si="734"/>
        <v>0</v>
      </c>
      <c r="LA228" t="e">
        <f t="shared" si="735"/>
        <v>#VALUE!</v>
      </c>
      <c r="LB228" t="e">
        <f t="shared" si="736"/>
        <v>#VALUE!</v>
      </c>
      <c r="LC228" t="e">
        <f t="shared" si="737"/>
        <v>#VALUE!</v>
      </c>
      <c r="LD228" t="e">
        <f t="shared" si="738"/>
        <v>#VALUE!</v>
      </c>
      <c r="LE228" t="e">
        <f t="shared" si="818"/>
        <v>#VALUE!</v>
      </c>
      <c r="LF228">
        <f t="shared" si="739"/>
        <v>0</v>
      </c>
      <c r="LG228" t="e">
        <f t="shared" si="819"/>
        <v>#VALUE!</v>
      </c>
      <c r="LH228" t="str">
        <f t="shared" si="740"/>
        <v xml:space="preserve"> </v>
      </c>
      <c r="LI228">
        <f t="shared" si="820"/>
        <v>1</v>
      </c>
    </row>
    <row r="229" spans="2:321" ht="15" customHeight="1">
      <c r="B229" s="311"/>
      <c r="C229" s="311"/>
      <c r="D229" s="312"/>
      <c r="E229" s="311"/>
      <c r="F229" s="312"/>
      <c r="G229" s="311"/>
      <c r="H229" s="311"/>
      <c r="I229" s="232"/>
      <c r="J229" s="311"/>
      <c r="K229" s="305" t="str">
        <f t="shared" si="741"/>
        <v/>
      </c>
      <c r="L229" s="313"/>
      <c r="M229" s="312"/>
      <c r="N229" s="311"/>
      <c r="O229" s="312"/>
      <c r="P229" s="311"/>
      <c r="Q229" s="305" t="str">
        <f t="shared" si="742"/>
        <v/>
      </c>
      <c r="R229" s="314"/>
      <c r="S229" s="450" t="str">
        <f t="shared" si="625"/>
        <v/>
      </c>
      <c r="T229" s="315"/>
      <c r="U229" s="315"/>
      <c r="W229" s="149" t="str">
        <f t="shared" si="626"/>
        <v xml:space="preserve"> </v>
      </c>
      <c r="X229" s="243" t="str">
        <f t="shared" si="627"/>
        <v xml:space="preserve"> </v>
      </c>
      <c r="Y229" s="150" t="str">
        <f t="shared" si="628"/>
        <v/>
      </c>
      <c r="Z229" s="149" t="str">
        <f t="shared" si="629"/>
        <v xml:space="preserve"> </v>
      </c>
      <c r="AA229" s="98" t="str">
        <f t="shared" si="630"/>
        <v xml:space="preserve"> </v>
      </c>
      <c r="AB229" s="153" t="str">
        <f t="shared" si="631"/>
        <v xml:space="preserve"> </v>
      </c>
      <c r="AC229" s="153" t="str">
        <f t="shared" si="632"/>
        <v xml:space="preserve"> </v>
      </c>
      <c r="AD229" s="148" t="str">
        <f t="shared" si="633"/>
        <v/>
      </c>
      <c r="AE229" s="149" t="str">
        <f t="shared" si="634"/>
        <v/>
      </c>
      <c r="AF229" s="151" t="str">
        <f t="shared" si="635"/>
        <v xml:space="preserve"> </v>
      </c>
      <c r="AG229" s="153" t="str">
        <f t="shared" si="636"/>
        <v xml:space="preserve"> </v>
      </c>
      <c r="AH229" s="98" t="str">
        <f t="shared" si="637"/>
        <v xml:space="preserve"> </v>
      </c>
      <c r="AI229" s="149" t="str">
        <f t="shared" si="638"/>
        <v xml:space="preserve"> </v>
      </c>
      <c r="AK229" s="144" t="str">
        <f t="shared" si="639"/>
        <v xml:space="preserve"> </v>
      </c>
      <c r="AL229" s="144"/>
      <c r="AM229" s="243" t="str">
        <f t="shared" si="640"/>
        <v xml:space="preserve"> </v>
      </c>
      <c r="AN229" s="149" t="str">
        <f t="shared" si="743"/>
        <v xml:space="preserve"> </v>
      </c>
      <c r="AO229" s="144" t="str">
        <f>IF(JB229&gt;0,IF(GI229=10,-R229*1.085*(Calculation!$F$6-Calculation!$F$13)*$S$14," "),"")</f>
        <v/>
      </c>
      <c r="AP229" s="144" t="str">
        <f t="shared" si="641"/>
        <v/>
      </c>
      <c r="AQ229" s="56" t="str">
        <f t="shared" si="642"/>
        <v/>
      </c>
      <c r="AR229" s="144" t="str">
        <f t="shared" si="643"/>
        <v/>
      </c>
      <c r="AS229" s="176" t="str">
        <f t="shared" si="644"/>
        <v/>
      </c>
      <c r="AT229" s="176" t="str">
        <f t="shared" si="744"/>
        <v xml:space="preserve"> </v>
      </c>
      <c r="AU229" s="176" t="str">
        <f t="shared" si="645"/>
        <v/>
      </c>
      <c r="AV229" s="177" t="str">
        <f t="shared" si="646"/>
        <v xml:space="preserve"> </v>
      </c>
      <c r="AW229" s="144" t="str">
        <f t="shared" si="647"/>
        <v xml:space="preserve"> </v>
      </c>
      <c r="AX229" s="144" t="str">
        <f t="shared" si="648"/>
        <v xml:space="preserve"> </v>
      </c>
      <c r="AY229" s="152" t="str">
        <f t="shared" si="649"/>
        <v xml:space="preserve"> </v>
      </c>
      <c r="AZ229" s="246" t="str">
        <f t="shared" si="650"/>
        <v/>
      </c>
      <c r="BA229" s="176" t="str">
        <f t="shared" si="651"/>
        <v xml:space="preserve"> </v>
      </c>
      <c r="BB229" s="176" t="str">
        <f t="shared" si="652"/>
        <v xml:space="preserve"> </v>
      </c>
      <c r="BC229" s="195"/>
      <c r="BD229" s="316"/>
      <c r="BE229" s="317"/>
      <c r="BF229" s="318"/>
      <c r="BG229" s="318"/>
      <c r="BH229" s="144" t="str">
        <f t="shared" si="821"/>
        <v xml:space="preserve"> </v>
      </c>
      <c r="BI229" s="176" t="str">
        <f t="shared" si="653"/>
        <v/>
      </c>
      <c r="BJ229" s="144" t="str">
        <f t="shared" si="822"/>
        <v/>
      </c>
      <c r="BK229" s="246" t="str">
        <f t="shared" si="654"/>
        <v/>
      </c>
      <c r="BL229" s="144" t="str">
        <f t="shared" si="823"/>
        <v/>
      </c>
      <c r="BM229" s="246" t="str">
        <f t="shared" si="655"/>
        <v/>
      </c>
      <c r="BN229" s="337" t="str">
        <f t="shared" si="745"/>
        <v/>
      </c>
      <c r="BO229" s="371" t="str">
        <f t="shared" si="746"/>
        <v/>
      </c>
      <c r="BP229" s="328" t="str">
        <f t="shared" si="824"/>
        <v xml:space="preserve"> </v>
      </c>
      <c r="BQ229" s="347" t="str">
        <f t="shared" si="747"/>
        <v xml:space="preserve"> </v>
      </c>
      <c r="BR229" s="353" t="str">
        <f t="shared" si="748"/>
        <v xml:space="preserve"> </v>
      </c>
      <c r="BS229" s="626" t="str">
        <f>IF(L229&gt;0,IF(Calculation!P229="M13",BR229*3.1416*(0.134^2)/(4*144),IF(Calculation!P229="M17",BR229*3.1416*(0.165^2)/(4*144),IF(Calculation!P229="M20",BR229*3.1416*(0.198^2)/(4*144),IF(Calculation!P229="M23",BR229*3.1416*(0.228^2)/(4*144),IF(Calculation!P229="M27",BR229*3.1416*(0.269^2)/(4*144),BR229*3.1416*(0.307^2)/(4*144))))))," ")</f>
        <v xml:space="preserve"> </v>
      </c>
      <c r="BT229" s="353" t="str">
        <f>IF(L229&gt;0,IF(BS229&gt;0,R229/Calculation!BS229,0)," ")</f>
        <v xml:space="preserve"> </v>
      </c>
      <c r="BU229" s="438" t="e">
        <f t="shared" ca="1" si="656"/>
        <v>#VALUE!</v>
      </c>
      <c r="BV229" s="449" t="e">
        <f ca="1">INDEX(INDIRECT(VLOOKUP(LEFT(BO229,7),CLU!$Z$3:$AH$18,2)),GN229,GR229)</f>
        <v>#N/A</v>
      </c>
      <c r="BW229" s="433" t="e">
        <f ca="1">INDEX(INDIRECT(VLOOKUP(LEFT(BO229,7),CLU!$Z$3:$AH$18,3)),GN229,GR229)</f>
        <v>#N/A</v>
      </c>
      <c r="BX229" s="433" t="e">
        <f ca="1">INDEX(INDIRECT(VLOOKUP(LEFT(BO229,7),CLU!$Z$3:$AH$18,4)),GN229,GR229)</f>
        <v>#N/A</v>
      </c>
      <c r="BY229" s="433" t="e">
        <f ca="1">INDEX(INDIRECT(VLOOKUP(LEFT(BO229,7),CLU!$Z$3:$AH$18,9)),((M229-2)*(6-COUNTBLANK(GT229:GY229)))+GJ229)</f>
        <v>#N/A</v>
      </c>
      <c r="BZ229" s="426" t="e">
        <f t="shared" ca="1" si="749"/>
        <v>#N/A</v>
      </c>
      <c r="CA229" s="424" t="e">
        <f t="shared" ca="1" si="750"/>
        <v>#N/A</v>
      </c>
      <c r="CB229" s="429" t="e">
        <f ca="1">INDEX(INDIRECT(VLOOKUP(LEFT(BO229,7),CLU!$Z$3:$AH$18,2)),GN229,GS229)</f>
        <v>#N/A</v>
      </c>
      <c r="CC229" s="342" t="e">
        <f ca="1">INDEX(INDIRECT(VLOOKUP(LEFT(BO229,7),CLU!$Z$3:$AH$18,3)),GN229,GS229)</f>
        <v>#N/A</v>
      </c>
      <c r="CD229" s="342" t="e">
        <f ca="1">INDEX(INDIRECT(VLOOKUP(LEFT(BO229,7),CLU!$Z$3:$AH$18,4)),GN229,GS229)</f>
        <v>#N/A</v>
      </c>
      <c r="CE229" s="426" t="e">
        <f t="shared" ca="1" si="751"/>
        <v>#N/A</v>
      </c>
      <c r="CF229" s="440">
        <f t="shared" si="752"/>
        <v>0</v>
      </c>
      <c r="CG229" s="431" t="e">
        <f ca="1">INDEX(INDIRECT(VLOOKUP(LEFT(BO229,7),CLU!$Z$3:$AH$18,2)),GQ229,GR229)</f>
        <v>#N/A</v>
      </c>
      <c r="CH229" s="431" t="e">
        <f ca="1">INDEX(INDIRECT(VLOOKUP(LEFT(BO229,7),CLU!$Z$3:$AH$18,3)),GQ229,GR229)</f>
        <v>#N/A</v>
      </c>
      <c r="CI229" s="431" t="e">
        <f ca="1">INDEX(INDIRECT(VLOOKUP(LEFT(BO229,7),CLU!$Z$3:$AH$18,4)),GQ229,GR229)</f>
        <v>#N/A</v>
      </c>
      <c r="CJ229" s="448" t="e">
        <f t="shared" ca="1" si="753"/>
        <v>#N/A</v>
      </c>
      <c r="CK229" s="431" t="e">
        <f t="shared" ca="1" si="754"/>
        <v>#N/A</v>
      </c>
      <c r="CL229" s="440" t="e">
        <f t="shared" ca="1" si="755"/>
        <v>#N/A</v>
      </c>
      <c r="CM229" s="431" t="e">
        <f ca="1">INDEX(INDIRECT(VLOOKUP(LEFT(BO229,7),CLU!$Z$3:$AH$18,2)),GQ229,GS229)</f>
        <v>#N/A</v>
      </c>
      <c r="CN229" s="431" t="e">
        <f ca="1">INDEX(INDIRECT(VLOOKUP(LEFT(BO229,7),CLU!$Z$3:$AH$18,3)),GQ229,GS229)</f>
        <v>#N/A</v>
      </c>
      <c r="CO229" s="431" t="e">
        <f ca="1">INDEX(INDIRECT(VLOOKUP(LEFT(BO229,7),CLU!$Z$3:$AH$18,4)),GQ229,GS229)</f>
        <v>#N/A</v>
      </c>
      <c r="CP229" s="431" t="e">
        <f t="shared" ca="1" si="756"/>
        <v>#N/A</v>
      </c>
      <c r="CQ229" s="440">
        <f t="shared" si="757"/>
        <v>0</v>
      </c>
      <c r="CR229" s="51" t="e">
        <f t="shared" ca="1" si="758"/>
        <v>#N/A</v>
      </c>
      <c r="CS229" s="439" t="e">
        <f t="shared" ca="1" si="759"/>
        <v>#VALUE!</v>
      </c>
      <c r="CT229" s="51" t="e">
        <f t="shared" ca="1" si="760"/>
        <v>#VALUE!</v>
      </c>
      <c r="CU229" s="10"/>
      <c r="CV229" s="51" t="e">
        <f t="shared" ca="1" si="657"/>
        <v>#VALUE!</v>
      </c>
      <c r="CW229" s="51">
        <f t="shared" si="761"/>
        <v>0</v>
      </c>
      <c r="CX229" s="439" t="e">
        <f t="shared" ca="1" si="762"/>
        <v>#VALUE!</v>
      </c>
      <c r="CY229" s="51" t="e">
        <f t="shared" ca="1" si="763"/>
        <v>#VALUE!</v>
      </c>
      <c r="CZ229" s="10"/>
      <c r="DA229" s="51" t="e">
        <f t="shared" ca="1" si="764"/>
        <v>#VALUE!</v>
      </c>
      <c r="DB229" s="347" t="e">
        <f ca="1">INDEX(INDIRECT(VLOOKUP(LEFT(BO229,7),CLU!$Z$3:$AI$18,10)),((M229-2)*(6-COUNTBLANK(GT229:GY229)))+GJ229)*LI229</f>
        <v>#N/A</v>
      </c>
      <c r="DC229" s="347" t="str">
        <f>IF(L229&gt;0,((R229/Worksheet!$I$15)/DB229)^2," ")</f>
        <v xml:space="preserve"> </v>
      </c>
      <c r="DD229" s="602" t="str">
        <f t="shared" si="765"/>
        <v xml:space="preserve"> </v>
      </c>
      <c r="DE229" s="347" t="str">
        <f t="shared" si="658"/>
        <v xml:space="preserve"> </v>
      </c>
      <c r="DF229" s="356" t="e">
        <f ca="1">INDEX(INDIRECT(VLOOKUP(LEFT(BO229,7),CLU!$Z$3:$AH$18,8)),((M229-2)*(6-COUNTBLANK(GT229:GY229)))+GJ229)</f>
        <v>#N/A</v>
      </c>
      <c r="DG229" s="347" t="str">
        <f t="shared" si="659"/>
        <v xml:space="preserve"> </v>
      </c>
      <c r="DH229" s="357" t="str">
        <f t="shared" si="660"/>
        <v xml:space="preserve"> </v>
      </c>
      <c r="DI229" s="355" t="str">
        <f t="shared" si="661"/>
        <v xml:space="preserve"> </v>
      </c>
      <c r="DJ229" s="245" t="e">
        <f ca="1">INDEX(INDIRECT(VLOOKUP(LEFT(BO229,7),CLU!$Z$3:$AH$18,5)),GL229,GK229)</f>
        <v>#N/A</v>
      </c>
      <c r="DK229" s="245" t="e">
        <f ca="1">INDEX(INDIRECT(VLOOKUP(LEFT(BO229,7),CLU!$Z$3:$AH$18,6)),GL229,GK229)</f>
        <v>#N/A</v>
      </c>
      <c r="DL229" s="355">
        <f>(Calculation!R229*0.69143*(Calculation!$BQ$8-Calculation!$F$8))*$S$14</f>
        <v>0</v>
      </c>
      <c r="DM229" s="359" t="e">
        <f t="shared" si="766"/>
        <v>#VALUE!</v>
      </c>
      <c r="DN229" s="611">
        <f t="shared" si="767"/>
        <v>0</v>
      </c>
      <c r="DO229" s="359">
        <f t="shared" si="768"/>
        <v>100</v>
      </c>
      <c r="DP229" s="359">
        <f t="shared" si="769"/>
        <v>0</v>
      </c>
      <c r="DQ229" s="360"/>
      <c r="DR229" s="245" t="e">
        <f ca="1">INDEX(INDIRECT(VLOOKUP(LEFT(BO229,7),CLU!$Z$3:$AH$18,7)),M229-1,1)</f>
        <v>#N/A</v>
      </c>
      <c r="DS229" s="245" t="e">
        <f ca="1">INDEX(INDIRECT(VLOOKUP(LEFT(BO229,7),CLU!$Z$3:$AH$18,7)),M229-1,2)</f>
        <v>#N/A</v>
      </c>
      <c r="DT229" s="245" t="e">
        <f ca="1">INDEX(INDIRECT(VLOOKUP(LEFT(BO229,7),CLU!$Z$3:$AH$18,7)),M229-1,3)</f>
        <v>#N/A</v>
      </c>
      <c r="DU229" s="245" t="e">
        <f ca="1">INDEX(INDIRECT(VLOOKUP(LEFT(BO229,7),CLU!$Z$3:$AH$18,7)),M229-1,4)</f>
        <v>#N/A</v>
      </c>
      <c r="DV229" s="361" t="e">
        <f ca="1">INDEX(INDIRECT(VLOOKUP(LEFT(BO229,7),CLU!$Z$3:$AH$18,7)),M229-1,4+LEFT(DZ229,1)*0.5)</f>
        <v>#N/A</v>
      </c>
      <c r="DW229" s="245" t="e">
        <f ca="1">INDEX(INDIRECT(VLOOKUP(LEFT(BO229,7),CLU!$Z$3:$AH$18,7)),M229-1,8)</f>
        <v>#N/A</v>
      </c>
      <c r="DX229" s="361" t="str">
        <f t="shared" si="662"/>
        <v xml:space="preserve"> </v>
      </c>
      <c r="DY229" s="361" t="str">
        <f t="shared" si="663"/>
        <v xml:space="preserve"> </v>
      </c>
      <c r="DZ229" s="361" t="str">
        <f t="shared" si="664"/>
        <v xml:space="preserve"> </v>
      </c>
      <c r="EA229" s="362" t="str">
        <f t="shared" si="665"/>
        <v xml:space="preserve"> </v>
      </c>
      <c r="EB229" s="624" t="str">
        <f t="shared" si="770"/>
        <v xml:space="preserve"> </v>
      </c>
      <c r="EC229" s="361" t="e">
        <f ca="1">INDEX(INDIRECT(VLOOKUP(LEFT(BO229,7),CLU!$Z$3:$AH$18,7)),M229-1,4+LEFT(DZ229,1)*0.5)</f>
        <v>#N/A</v>
      </c>
      <c r="ED229" s="362" t="str">
        <f t="shared" si="666"/>
        <v xml:space="preserve"> </v>
      </c>
      <c r="EE229" s="361" t="str">
        <f t="shared" si="667"/>
        <v xml:space="preserve"> </v>
      </c>
      <c r="EF229" s="362" t="str">
        <f>IF(L229&gt;0,IF(BR229&gt;0,IF(EE229="2P",IF(Calculation!DZ229="2P",IF(Calculation!DS229=13.75,IF(Calculation!DR229=13,Worksheet!$BD$43,IF(Calculation!DR229=37,Worksheet!$BD$44,Worksheet!$BD$45)),IF(Calculation!DS229=10,IF(Calculation!DR229=18,Worksheet!$BD$29,IF(Calculation!DR229=30,Worksheet!$BD$30,IF(Calculation!DR229=42,Worksheet!$BD$31,IF(Calculation!DR229=54,Worksheet!$BD$32,IF(Calculation!DR229=66,Worksheet!$BD$33,IF(Calculation!DR229=78,Worksheet!$BD$34,IF(Calculation!DR229=90,Worksheet!$BD$35,IF(Calculation!DR229=102,Worksheet!$BD$36,Worksheet!$BD$37)))))))),IF(Calculation!DS229=12.5,IF(Calculation!DR229=18,Worksheet!$BD$38,IF(Calculation!DR229=Worksheet!$BD$39,IF(Calculation!DR229=42,Worksheet!$BD$40,IF(Calculation!DR229=54,Worksheet!$BD$41,Worksheet!$BD$42)))),IF(Calculation!DR229=18,Worksheet!$BD$11,IF(Calculation!DR229=30,Worksheet!$BD$12,IF(Calculation!DR229=42,Worksheet!$BD$13,IF(Calculation!DR229=54,Worksheet!$BD$14,IF(Calculation!DR229=66,Worksheet!$BD$15,IF(Calculation!DR229=78,Worksheet!$BD$16,IF(Calculation!DR229=90,Worksheet!$BD$17,IF(Calculation!DR229=102,Worksheet!$BD$18,Worksheet!$BD$19))))))))))),IF(Calculation!DS229=13.75,IF(Calculation!DR229=13,Worksheet!$BD$78,IF(Calculation!DR229=37,Worksheet!$BD$79,Worksheet!$BD$80)),IF(Calculation!DS229=10,IF(Calculation!DR229=18,Worksheet!$BD$64,IF(Calculation!DR229=30,Worksheet!$BD$65,IF(Calculation!DR229=42,Worksheet!$BD$66,IF(Calculation!DR229=54,Worksheet!$BD$68,IF(Calculation!DR229=66,Worksheet!$BD$68,IF(Calculation!DR229=78,Worksheet!$BD$69,IF(Calculation!DR229=90,Worksheet!$BD$70,IF(Calculation!DR229=102,Worksheet!$BD$71,Worksheet!$BD$72)))))))),IF(Calculation!DS229=12.5,IF(Calculation!DR229=18,Worksheet!$BD$73,IF(Calculation!DR229=Worksheet!$BD$74,IF(Calculation!DR229=42,Worksheet!$BD$75,IF(Calculation!DR229=54,Worksheet!$BD$76,Worksheet!$BD$77)))),IF(Calculation!DR229=18,Worksheet!$BD$55,IF(Calculation!DR229=30,Worksheet!$BD$56,IF(Calculation!DR229=42,Worksheet!$BD$57,IF(Calculation!DR229=54,Worksheet!$BD$58,IF(Calculation!DR229=66,Worksheet!$BD$59,IF(Calculation!DR229=78,Worksheet!$BD$60,IF(Calculation!DR229=90,Worksheet!$BD$61,IF(Calculation!DR229=102,Worksheet!$BD$62,Worksheet!$BD$63)))))))))))),5),0)," ")</f>
        <v xml:space="preserve"> </v>
      </c>
      <c r="EG229" s="361" t="str">
        <f t="shared" si="668"/>
        <v xml:space="preserve"> </v>
      </c>
      <c r="EH229" s="361" t="e">
        <f ca="1">INDEX(INDIRECT(VLOOKUP(LEFT(BO229,7),CLU!$Z$3:$AH$18,7)),M229-1,3+LEFT(DZ229,1))</f>
        <v>#N/A</v>
      </c>
      <c r="EI229" s="362" t="str">
        <f t="shared" si="669"/>
        <v xml:space="preserve"> </v>
      </c>
      <c r="EJ229" s="363" t="str">
        <f t="shared" si="670"/>
        <v xml:space="preserve"> </v>
      </c>
      <c r="EK229" s="363" t="str">
        <f t="shared" si="671"/>
        <v xml:space="preserve"> </v>
      </c>
      <c r="EL229" s="363" t="str">
        <f t="shared" si="672"/>
        <v xml:space="preserve"> </v>
      </c>
      <c r="EM229" s="362" t="str">
        <f>IF(L229&gt;0,IF(BR229&gt;0,(Calculation!T229/ED229)^2,0)," ")</f>
        <v xml:space="preserve"> </v>
      </c>
      <c r="EN229" s="362" t="str">
        <f>IF(L229&gt;0,IF(O229="2 Pipe (Cooling)","N/A",IF(BR229&gt;0,(Calculation!U229/EI229)^2,0))," ")</f>
        <v xml:space="preserve"> </v>
      </c>
      <c r="EO229" s="361" t="str">
        <f t="shared" si="673"/>
        <v/>
      </c>
      <c r="EP229" s="361" t="str">
        <f t="shared" si="674"/>
        <v/>
      </c>
      <c r="EQ229" s="361" t="str">
        <f t="shared" si="675"/>
        <v/>
      </c>
      <c r="ER229" s="361" t="str">
        <f t="shared" si="676"/>
        <v/>
      </c>
      <c r="ES229" s="361" t="str">
        <f t="shared" si="677"/>
        <v/>
      </c>
      <c r="ET229" s="361" t="str">
        <f t="shared" si="678"/>
        <v/>
      </c>
      <c r="EU229" s="361" t="str">
        <f t="shared" si="679"/>
        <v/>
      </c>
      <c r="EV229" s="361" t="str">
        <f t="shared" si="680"/>
        <v/>
      </c>
      <c r="EW229" s="361" t="str">
        <f t="shared" si="681"/>
        <v/>
      </c>
      <c r="EX229" s="361" t="str">
        <f t="shared" si="771"/>
        <v>1 slot, 1 way</v>
      </c>
      <c r="EY229" s="361" t="str">
        <f t="shared" si="772"/>
        <v xml:space="preserve"> </v>
      </c>
      <c r="EZ229" s="361" t="str">
        <f t="shared" si="773"/>
        <v xml:space="preserve"> </v>
      </c>
      <c r="FA229" s="361" t="str">
        <f t="shared" si="774"/>
        <v xml:space="preserve"> </v>
      </c>
      <c r="FB229" s="361" t="str">
        <f t="shared" si="775"/>
        <v xml:space="preserve"> </v>
      </c>
      <c r="FC229" s="361"/>
      <c r="FD229" s="361" t="str">
        <f>IF(J229&gt;0,IF(Calculation!R229&lt;=70,4,IF(Calculation!R229&lt;=110,5,IF(Calculation!R229&lt;=160,6,IF(Calculation!R229&lt;=300,8,"10 EO")))),"")</f>
        <v/>
      </c>
      <c r="FE229" s="361" t="str">
        <f t="shared" si="776"/>
        <v/>
      </c>
      <c r="FF229" s="361" t="str">
        <f t="shared" si="777"/>
        <v/>
      </c>
      <c r="FG229" s="361" t="e">
        <f t="shared" si="682"/>
        <v>#N/A</v>
      </c>
      <c r="FH229" s="361">
        <f t="shared" si="683"/>
        <v>0</v>
      </c>
      <c r="FI229" s="361" t="e">
        <f t="shared" si="684"/>
        <v>#DIV/0!</v>
      </c>
      <c r="FJ229" s="361"/>
      <c r="FK229" s="356" t="e">
        <f t="shared" si="685"/>
        <v>#VALUE!</v>
      </c>
      <c r="FL229" s="361"/>
      <c r="FM229" s="361"/>
      <c r="FN229" s="362" t="str">
        <f t="shared" si="778"/>
        <v xml:space="preserve"> </v>
      </c>
      <c r="FO229" s="362" t="str">
        <f t="shared" si="779"/>
        <v xml:space="preserve"> </v>
      </c>
      <c r="FP229" s="362">
        <f t="shared" si="780"/>
        <v>0</v>
      </c>
      <c r="FQ229" s="361">
        <f t="shared" si="686"/>
        <v>0</v>
      </c>
      <c r="FR229" s="362" t="str">
        <f>IF(L229&gt;0,IF(J229="CBAL2",Worksheet!$P$67,IF(J229="CBE2-24",Worksheet!$Q$67,IF(J229="CBAM",Worksheet!$R$67,IF(J229="CBLV",Worksheet!$S$67,IF(J229="CBAB",Worksheet!$U$67,IF(J229="CBAW",Worksheet!$X$67,IF(J229="CBE2-12",Worksheet!$Y$67,IF(J229="CBAL2",Worksheet!$Z$67,"N/A"))))))))," ")</f>
        <v xml:space="preserve"> </v>
      </c>
      <c r="FS229" s="362" t="str">
        <f>IF(L229&gt;0,IF(J229="CBAL2",Worksheet!$P$68,IF(J229="CBE2-24",Worksheet!$Q$68,IF(J229="CBAM",Worksheet!$R$68,IF(J229="CBLV",Worksheet!$S$68,IF(J229="CBAB",Worksheet!$U$68,IF(J229="CBAW",Worksheet!$X$68,IF(J229="CBE2-12",Worksheet!$Y$68,IF(J229="CBAL2",Worksheet!$Z$68,"N/A"))))))))," ")</f>
        <v xml:space="preserve"> </v>
      </c>
      <c r="FT229" s="362" t="str">
        <f>IF(L229&gt;0,IF(J229="CBAL2",Worksheet!$P$69,IF(J229="CBE2-24",Worksheet!$Q$69,IF(J229="CBAM",Worksheet!$R$69,IF(J229="CBLV",Worksheet!$S$69,IF(J229="CBAB",Worksheet!$U$69,IF(J229="CBAW",Worksheet!$X$69,IF(J229="CBE2-12",Worksheet!$Y$69,IF(J229="CBAL2",Worksheet!$Z$69,"N/A"))))))))," ")</f>
        <v xml:space="preserve"> </v>
      </c>
      <c r="FU229" s="361" t="str">
        <f t="shared" si="781"/>
        <v xml:space="preserve"> </v>
      </c>
      <c r="FV229" s="362" t="str">
        <f t="shared" si="782"/>
        <v xml:space="preserve"> </v>
      </c>
      <c r="FW229" s="362" t="str">
        <f t="shared" si="783"/>
        <v xml:space="preserve"> </v>
      </c>
      <c r="FX229" s="362" t="str">
        <f t="shared" si="784"/>
        <v xml:space="preserve"> </v>
      </c>
      <c r="FY229" s="355" t="str">
        <f t="shared" si="785"/>
        <v xml:space="preserve"> </v>
      </c>
      <c r="FZ229" s="361" t="str">
        <f t="shared" si="786"/>
        <v xml:space="preserve"> </v>
      </c>
      <c r="GA229" s="347" t="str">
        <f t="shared" si="787"/>
        <v xml:space="preserve"> </v>
      </c>
      <c r="GB229" s="355" t="str">
        <f t="shared" si="788"/>
        <v xml:space="preserve"> </v>
      </c>
      <c r="GC229" s="328" t="str">
        <f t="shared" si="789"/>
        <v xml:space="preserve"> </v>
      </c>
      <c r="GD229" s="361" t="str">
        <f t="shared" si="790"/>
        <v xml:space="preserve"> </v>
      </c>
      <c r="GE229" s="347" t="str">
        <f t="shared" si="791"/>
        <v xml:space="preserve"> </v>
      </c>
      <c r="GF229" s="361" t="str">
        <f t="shared" si="792"/>
        <v xml:space="preserve"> </v>
      </c>
      <c r="GG229" s="347" t="str">
        <f t="shared" si="793"/>
        <v xml:space="preserve"> </v>
      </c>
      <c r="GH229" s="364">
        <f t="shared" si="687"/>
        <v>0</v>
      </c>
      <c r="GI229" s="362">
        <f t="shared" si="794"/>
        <v>2</v>
      </c>
      <c r="GJ229" s="433" t="e">
        <f>IF(6-COUNTBLANK(GT229:GY229)=4,MATCH(MID(BO229,9,3),CLU!$H$16:$K$16),MATCH(MID(BO229,9,3),CLU!$H$13:$M$13))</f>
        <v>#N/A</v>
      </c>
      <c r="GK229" s="433" t="e">
        <f>HLOOKUP(VALUE(BP229),CLU!$H$9:$M$10,2)</f>
        <v>#VALUE!</v>
      </c>
      <c r="GL229" s="433" t="e">
        <f ca="1">MATCH(BU229,CLU!$H$2:$V$2,1)</f>
        <v>#VALUE!</v>
      </c>
      <c r="GM229" s="433" t="e">
        <f t="shared" ca="1" si="795"/>
        <v>#VALUE!</v>
      </c>
      <c r="GN229" s="433" t="e">
        <f t="shared" ca="1" si="796"/>
        <v>#VALUE!</v>
      </c>
      <c r="GO229" s="433" t="e">
        <f t="shared" ca="1" si="797"/>
        <v>#VALUE!</v>
      </c>
      <c r="GP229" s="433" t="e">
        <f t="shared" ca="1" si="798"/>
        <v>#VALUE!</v>
      </c>
      <c r="GQ229" s="433" t="e">
        <f t="shared" ca="1" si="799"/>
        <v>#VALUE!</v>
      </c>
      <c r="GR229" s="433" t="e">
        <f ca="1">MATCH(T229,INDIRECT(VLOOKUP(CONCATENATE(LEFT(BO229,7),"-",MID(BO229,13,1)),CLU!$P$3:$Q$16,2)),1)</f>
        <v>#N/A</v>
      </c>
      <c r="GS229" s="433" t="e">
        <f ca="1">MATCH(U229,INDIRECT(VLOOKUP(CONCATENATE(LEFT(BO229,7),"-",MID(BO229,13,1)),CLU!$P$3:$Q$16,2)),1)</f>
        <v>#N/A</v>
      </c>
      <c r="GT229" s="347" t="s">
        <v>512</v>
      </c>
      <c r="GU229" s="97" t="s">
        <v>513</v>
      </c>
      <c r="GV229" s="97" t="str">
        <f t="shared" si="800"/>
        <v>M23</v>
      </c>
      <c r="GW229" s="97" t="str">
        <f t="shared" si="801"/>
        <v>M31</v>
      </c>
      <c r="GX229" s="97" t="str">
        <f t="shared" si="802"/>
        <v/>
      </c>
      <c r="GY229" s="97" t="str">
        <f t="shared" si="803"/>
        <v/>
      </c>
      <c r="GZ229" s="481"/>
      <c r="HA229" s="288"/>
      <c r="HB229" s="240"/>
      <c r="HC229" s="240"/>
      <c r="HD229" s="240"/>
      <c r="HE229" s="240"/>
      <c r="HF229" s="240"/>
      <c r="HG229" s="240"/>
      <c r="HH229" s="240"/>
      <c r="HI229" s="240"/>
      <c r="HJ229" s="240"/>
      <c r="HK229" s="240"/>
      <c r="HL229" s="240"/>
      <c r="HM229" s="240"/>
      <c r="HN229" s="240"/>
      <c r="HO229" s="240"/>
      <c r="HP229" s="240"/>
      <c r="HQ229" s="240"/>
      <c r="HR229" s="240"/>
      <c r="HS229" s="240"/>
      <c r="HT229" s="240"/>
      <c r="HU229" s="240"/>
      <c r="HV229" s="245"/>
      <c r="HW229" s="245" t="b">
        <v>1</v>
      </c>
      <c r="HX229" s="245" t="str">
        <f t="shared" si="688"/>
        <v/>
      </c>
      <c r="HY229" s="245" t="e">
        <f t="shared" si="689"/>
        <v>#DIV/0!</v>
      </c>
      <c r="HZ229" s="245" t="e">
        <f t="shared" si="690"/>
        <v>#DIV/0!</v>
      </c>
      <c r="IA229" s="245">
        <f t="shared" si="691"/>
        <v>0</v>
      </c>
      <c r="IB229" s="245"/>
      <c r="IC229" t="b">
        <f t="shared" si="692"/>
        <v>1</v>
      </c>
      <c r="ID229" s="245" t="b">
        <f t="shared" si="693"/>
        <v>1</v>
      </c>
      <c r="IE229" s="245" t="b">
        <f t="shared" si="694"/>
        <v>1</v>
      </c>
      <c r="IF229" s="245" t="b">
        <f t="shared" si="695"/>
        <v>0</v>
      </c>
      <c r="IG229" s="245" t="b">
        <f t="shared" si="696"/>
        <v>1</v>
      </c>
      <c r="IH229" s="245" t="b">
        <f t="shared" si="697"/>
        <v>1</v>
      </c>
      <c r="II229" s="245">
        <f t="shared" si="804"/>
        <v>0</v>
      </c>
      <c r="IJ229" s="245" t="e">
        <f t="shared" si="698"/>
        <v>#VALUE!</v>
      </c>
      <c r="IK229" s="245" t="e">
        <f t="shared" si="699"/>
        <v>#VALUE!</v>
      </c>
      <c r="IL229" s="245"/>
      <c r="IM229" s="245" t="e">
        <f t="shared" si="805"/>
        <v>#N/A</v>
      </c>
      <c r="IN229" s="245" t="e">
        <f t="shared" si="806"/>
        <v>#N/A</v>
      </c>
      <c r="IO229" s="245"/>
      <c r="IP229" s="245"/>
      <c r="IQ229" s="245" t="str">
        <f t="shared" si="700"/>
        <v/>
      </c>
      <c r="IR229" s="245" t="str">
        <f>IF(J229="","",VLOOKUP(J229,Worksheet!$R$4:$T$14,2))</f>
        <v/>
      </c>
      <c r="IS229" s="245"/>
      <c r="IT229" s="245">
        <f t="shared" si="701"/>
        <v>0</v>
      </c>
      <c r="IU229" s="245">
        <f t="shared" si="702"/>
        <v>0</v>
      </c>
      <c r="IV229" s="245">
        <f t="shared" si="703"/>
        <v>0</v>
      </c>
      <c r="IW229" s="245">
        <f t="shared" si="704"/>
        <v>0</v>
      </c>
      <c r="IX229" s="245">
        <f t="shared" si="807"/>
        <v>0</v>
      </c>
      <c r="IY229" s="245">
        <f t="shared" si="705"/>
        <v>0</v>
      </c>
      <c r="IZ229" s="245">
        <f t="shared" si="706"/>
        <v>0</v>
      </c>
      <c r="JA229">
        <f t="shared" si="707"/>
        <v>0</v>
      </c>
      <c r="JB229">
        <f t="shared" si="808"/>
        <v>0</v>
      </c>
      <c r="JC229">
        <f t="shared" si="708"/>
        <v>0</v>
      </c>
      <c r="JD229">
        <f t="shared" si="709"/>
        <v>0</v>
      </c>
      <c r="JE229">
        <f t="shared" si="710"/>
        <v>0</v>
      </c>
      <c r="JF229">
        <f t="shared" si="711"/>
        <v>0</v>
      </c>
      <c r="JG229">
        <f t="shared" si="712"/>
        <v>0</v>
      </c>
      <c r="JH229">
        <f t="shared" si="713"/>
        <v>0</v>
      </c>
      <c r="JI229">
        <f t="shared" si="714"/>
        <v>0</v>
      </c>
      <c r="JJ229" s="447">
        <f t="shared" si="715"/>
        <v>0</v>
      </c>
      <c r="JK229" s="447">
        <f t="shared" si="716"/>
        <v>0</v>
      </c>
      <c r="JL229">
        <f t="shared" si="717"/>
        <v>0</v>
      </c>
      <c r="JM229" s="245" t="str">
        <f>IFERROR(VLOOKUP(MATCH(BN229,#REF!,0),#REF!,7),"")</f>
        <v/>
      </c>
      <c r="JN229" t="e">
        <f>HLOOKUP(LEFT(BO229,7),Discharge_Area,MATCH(JO229,LookUps!$B$130:$B$149,1)+2)</f>
        <v>#N/A</v>
      </c>
      <c r="JO229" t="str">
        <f t="shared" si="718"/>
        <v>- S</v>
      </c>
      <c r="JP229" t="e">
        <f>HLOOKUP(LEFT(BO229,7),Discharge_Area,MATCH(JO229,LookUps!$B$130:$B$149,1)+2)</f>
        <v>#N/A</v>
      </c>
      <c r="JQ229" t="e">
        <f t="shared" si="719"/>
        <v>#N/A</v>
      </c>
      <c r="JR229" t="e">
        <f t="shared" si="720"/>
        <v>#N/A</v>
      </c>
      <c r="JS229" t="e">
        <f t="shared" si="721"/>
        <v>#N/A</v>
      </c>
      <c r="JT229" s="532" t="str">
        <f t="shared" si="722"/>
        <v xml:space="preserve"> </v>
      </c>
      <c r="JU229" s="532" t="str">
        <f t="shared" si="723"/>
        <v xml:space="preserve"> </v>
      </c>
      <c r="JV229" s="533" t="str">
        <f t="shared" si="724"/>
        <v xml:space="preserve"> </v>
      </c>
      <c r="JW229" s="534">
        <f t="shared" si="725"/>
        <v>0</v>
      </c>
      <c r="JX229" s="535" t="str">
        <f t="shared" si="809"/>
        <v xml:space="preserve"> </v>
      </c>
      <c r="JY229" s="535" t="str">
        <f t="shared" si="810"/>
        <v xml:space="preserve"> </v>
      </c>
      <c r="JZ229" s="535" t="str">
        <f t="shared" si="811"/>
        <v xml:space="preserve"> </v>
      </c>
      <c r="KA229" s="536" t="str">
        <f t="shared" si="726"/>
        <v xml:space="preserve"> </v>
      </c>
      <c r="KB229" s="535" t="e">
        <f t="shared" si="812"/>
        <v>#VALUE!</v>
      </c>
      <c r="KC229" s="535" t="str">
        <f t="shared" si="727"/>
        <v/>
      </c>
      <c r="KD229" s="537" t="str">
        <f t="shared" si="813"/>
        <v xml:space="preserve"> </v>
      </c>
      <c r="KE229" s="537" t="str">
        <f t="shared" si="814"/>
        <v xml:space="preserve"> </v>
      </c>
      <c r="KF229" s="534">
        <f t="shared" si="728"/>
        <v>0</v>
      </c>
      <c r="KG229" s="535" t="str">
        <f t="shared" si="729"/>
        <v xml:space="preserve"> </v>
      </c>
      <c r="KH229" s="535" t="str">
        <f t="shared" si="730"/>
        <v xml:space="preserve"> </v>
      </c>
      <c r="KI229" s="535" t="str">
        <f t="shared" si="731"/>
        <v xml:space="preserve"> </v>
      </c>
      <c r="KJ229" s="536" t="str">
        <f t="shared" si="732"/>
        <v xml:space="preserve"> </v>
      </c>
      <c r="KK229" s="535" t="str">
        <f t="shared" si="815"/>
        <v xml:space="preserve"> </v>
      </c>
      <c r="KL229" s="535" t="str">
        <f t="shared" si="816"/>
        <v xml:space="preserve"> </v>
      </c>
      <c r="KM229" s="537" t="str">
        <f t="shared" si="733"/>
        <v xml:space="preserve"> </v>
      </c>
      <c r="KN229" s="537" t="str">
        <f t="shared" si="817"/>
        <v xml:space="preserve"> </v>
      </c>
      <c r="KP229">
        <f t="shared" si="734"/>
        <v>0</v>
      </c>
      <c r="LA229" t="e">
        <f t="shared" si="735"/>
        <v>#VALUE!</v>
      </c>
      <c r="LB229" t="e">
        <f t="shared" si="736"/>
        <v>#VALUE!</v>
      </c>
      <c r="LC229" t="e">
        <f t="shared" si="737"/>
        <v>#VALUE!</v>
      </c>
      <c r="LD229" t="e">
        <f t="shared" si="738"/>
        <v>#VALUE!</v>
      </c>
      <c r="LE229" t="e">
        <f t="shared" si="818"/>
        <v>#VALUE!</v>
      </c>
      <c r="LF229">
        <f t="shared" si="739"/>
        <v>0</v>
      </c>
      <c r="LG229" t="e">
        <f t="shared" si="819"/>
        <v>#VALUE!</v>
      </c>
      <c r="LH229" t="str">
        <f t="shared" si="740"/>
        <v xml:space="preserve"> </v>
      </c>
      <c r="LI229">
        <f t="shared" si="820"/>
        <v>1</v>
      </c>
    </row>
    <row r="230" spans="2:321" ht="15" customHeight="1">
      <c r="B230" s="311"/>
      <c r="C230" s="311"/>
      <c r="D230" s="312"/>
      <c r="E230" s="311"/>
      <c r="F230" s="312"/>
      <c r="G230" s="311"/>
      <c r="H230" s="311"/>
      <c r="I230" s="232"/>
      <c r="J230" s="311"/>
      <c r="K230" s="305" t="str">
        <f t="shared" si="741"/>
        <v/>
      </c>
      <c r="L230" s="313"/>
      <c r="M230" s="312"/>
      <c r="N230" s="311"/>
      <c r="O230" s="312"/>
      <c r="P230" s="311"/>
      <c r="Q230" s="305" t="str">
        <f t="shared" si="742"/>
        <v/>
      </c>
      <c r="R230" s="314"/>
      <c r="S230" s="450" t="str">
        <f t="shared" si="625"/>
        <v/>
      </c>
      <c r="T230" s="315"/>
      <c r="U230" s="315"/>
      <c r="W230" s="149" t="str">
        <f t="shared" si="626"/>
        <v xml:space="preserve"> </v>
      </c>
      <c r="X230" s="243" t="str">
        <f t="shared" si="627"/>
        <v xml:space="preserve"> </v>
      </c>
      <c r="Y230" s="150" t="str">
        <f t="shared" si="628"/>
        <v/>
      </c>
      <c r="Z230" s="149" t="str">
        <f t="shared" si="629"/>
        <v xml:space="preserve"> </v>
      </c>
      <c r="AA230" s="98" t="str">
        <f t="shared" si="630"/>
        <v xml:space="preserve"> </v>
      </c>
      <c r="AB230" s="153" t="str">
        <f t="shared" si="631"/>
        <v xml:space="preserve"> </v>
      </c>
      <c r="AC230" s="153" t="str">
        <f t="shared" si="632"/>
        <v xml:space="preserve"> </v>
      </c>
      <c r="AD230" s="148" t="str">
        <f t="shared" si="633"/>
        <v/>
      </c>
      <c r="AE230" s="149" t="str">
        <f t="shared" si="634"/>
        <v/>
      </c>
      <c r="AF230" s="151" t="str">
        <f t="shared" si="635"/>
        <v xml:space="preserve"> </v>
      </c>
      <c r="AG230" s="153" t="str">
        <f t="shared" si="636"/>
        <v xml:space="preserve"> </v>
      </c>
      <c r="AH230" s="98" t="str">
        <f t="shared" si="637"/>
        <v xml:space="preserve"> </v>
      </c>
      <c r="AI230" s="149" t="str">
        <f t="shared" si="638"/>
        <v xml:space="preserve"> </v>
      </c>
      <c r="AK230" s="144" t="str">
        <f t="shared" si="639"/>
        <v xml:space="preserve"> </v>
      </c>
      <c r="AL230" s="144"/>
      <c r="AM230" s="243" t="str">
        <f t="shared" si="640"/>
        <v xml:space="preserve"> </v>
      </c>
      <c r="AN230" s="149" t="str">
        <f t="shared" si="743"/>
        <v xml:space="preserve"> </v>
      </c>
      <c r="AO230" s="144" t="str">
        <f>IF(JB230&gt;0,IF(GI230=10,-R230*1.085*(Calculation!$F$6-Calculation!$F$13)*$S$14," "),"")</f>
        <v/>
      </c>
      <c r="AP230" s="144" t="str">
        <f t="shared" si="641"/>
        <v/>
      </c>
      <c r="AQ230" s="56" t="str">
        <f t="shared" si="642"/>
        <v/>
      </c>
      <c r="AR230" s="144" t="str">
        <f t="shared" si="643"/>
        <v/>
      </c>
      <c r="AS230" s="176" t="str">
        <f t="shared" si="644"/>
        <v/>
      </c>
      <c r="AT230" s="176" t="str">
        <f t="shared" si="744"/>
        <v xml:space="preserve"> </v>
      </c>
      <c r="AU230" s="176" t="str">
        <f t="shared" si="645"/>
        <v/>
      </c>
      <c r="AV230" s="177" t="str">
        <f t="shared" si="646"/>
        <v xml:space="preserve"> </v>
      </c>
      <c r="AW230" s="144" t="str">
        <f t="shared" si="647"/>
        <v xml:space="preserve"> </v>
      </c>
      <c r="AX230" s="144" t="str">
        <f t="shared" si="648"/>
        <v xml:space="preserve"> </v>
      </c>
      <c r="AY230" s="152" t="str">
        <f t="shared" si="649"/>
        <v xml:space="preserve"> </v>
      </c>
      <c r="AZ230" s="246" t="str">
        <f t="shared" si="650"/>
        <v/>
      </c>
      <c r="BA230" s="176" t="str">
        <f t="shared" si="651"/>
        <v xml:space="preserve"> </v>
      </c>
      <c r="BB230" s="176" t="str">
        <f t="shared" si="652"/>
        <v xml:space="preserve"> </v>
      </c>
      <c r="BC230" s="195"/>
      <c r="BD230" s="316"/>
      <c r="BE230" s="317"/>
      <c r="BF230" s="318"/>
      <c r="BG230" s="318"/>
      <c r="BH230" s="144" t="str">
        <f t="shared" si="821"/>
        <v xml:space="preserve"> </v>
      </c>
      <c r="BI230" s="176" t="str">
        <f t="shared" si="653"/>
        <v/>
      </c>
      <c r="BJ230" s="144" t="str">
        <f t="shared" si="822"/>
        <v/>
      </c>
      <c r="BK230" s="246" t="str">
        <f t="shared" si="654"/>
        <v/>
      </c>
      <c r="BL230" s="144" t="str">
        <f t="shared" si="823"/>
        <v/>
      </c>
      <c r="BM230" s="246" t="str">
        <f t="shared" si="655"/>
        <v/>
      </c>
      <c r="BN230" s="337" t="str">
        <f t="shared" si="745"/>
        <v/>
      </c>
      <c r="BO230" s="371" t="str">
        <f t="shared" si="746"/>
        <v/>
      </c>
      <c r="BP230" s="328" t="str">
        <f t="shared" si="824"/>
        <v xml:space="preserve"> </v>
      </c>
      <c r="BQ230" s="347" t="str">
        <f t="shared" si="747"/>
        <v xml:space="preserve"> </v>
      </c>
      <c r="BR230" s="353" t="str">
        <f t="shared" si="748"/>
        <v xml:space="preserve"> </v>
      </c>
      <c r="BS230" s="626" t="str">
        <f>IF(L230&gt;0,IF(Calculation!P230="M13",BR230*3.1416*(0.134^2)/(4*144),IF(Calculation!P230="M17",BR230*3.1416*(0.165^2)/(4*144),IF(Calculation!P230="M20",BR230*3.1416*(0.198^2)/(4*144),IF(Calculation!P230="M23",BR230*3.1416*(0.228^2)/(4*144),IF(Calculation!P230="M27",BR230*3.1416*(0.269^2)/(4*144),BR230*3.1416*(0.307^2)/(4*144))))))," ")</f>
        <v xml:space="preserve"> </v>
      </c>
      <c r="BT230" s="353" t="str">
        <f>IF(L230&gt;0,IF(BS230&gt;0,R230/Calculation!BS230,0)," ")</f>
        <v xml:space="preserve"> </v>
      </c>
      <c r="BU230" s="438" t="e">
        <f t="shared" ca="1" si="656"/>
        <v>#VALUE!</v>
      </c>
      <c r="BV230" s="449" t="e">
        <f ca="1">INDEX(INDIRECT(VLOOKUP(LEFT(BO230,7),CLU!$Z$3:$AH$18,2)),GN230,GR230)</f>
        <v>#N/A</v>
      </c>
      <c r="BW230" s="433" t="e">
        <f ca="1">INDEX(INDIRECT(VLOOKUP(LEFT(BO230,7),CLU!$Z$3:$AH$18,3)),GN230,GR230)</f>
        <v>#N/A</v>
      </c>
      <c r="BX230" s="433" t="e">
        <f ca="1">INDEX(INDIRECT(VLOOKUP(LEFT(BO230,7),CLU!$Z$3:$AH$18,4)),GN230,GR230)</f>
        <v>#N/A</v>
      </c>
      <c r="BY230" s="433" t="e">
        <f ca="1">INDEX(INDIRECT(VLOOKUP(LEFT(BO230,7),CLU!$Z$3:$AH$18,9)),((M230-2)*(6-COUNTBLANK(GT230:GY230)))+GJ230)</f>
        <v>#N/A</v>
      </c>
      <c r="BZ230" s="426" t="e">
        <f t="shared" ca="1" si="749"/>
        <v>#N/A</v>
      </c>
      <c r="CA230" s="424" t="e">
        <f t="shared" ca="1" si="750"/>
        <v>#N/A</v>
      </c>
      <c r="CB230" s="429" t="e">
        <f ca="1">INDEX(INDIRECT(VLOOKUP(LEFT(BO230,7),CLU!$Z$3:$AH$18,2)),GN230,GS230)</f>
        <v>#N/A</v>
      </c>
      <c r="CC230" s="342" t="e">
        <f ca="1">INDEX(INDIRECT(VLOOKUP(LEFT(BO230,7),CLU!$Z$3:$AH$18,3)),GN230,GS230)</f>
        <v>#N/A</v>
      </c>
      <c r="CD230" s="342" t="e">
        <f ca="1">INDEX(INDIRECT(VLOOKUP(LEFT(BO230,7),CLU!$Z$3:$AH$18,4)),GN230,GS230)</f>
        <v>#N/A</v>
      </c>
      <c r="CE230" s="426" t="e">
        <f t="shared" ca="1" si="751"/>
        <v>#N/A</v>
      </c>
      <c r="CF230" s="440">
        <f t="shared" si="752"/>
        <v>0</v>
      </c>
      <c r="CG230" s="431" t="e">
        <f ca="1">INDEX(INDIRECT(VLOOKUP(LEFT(BO230,7),CLU!$Z$3:$AH$18,2)),GQ230,GR230)</f>
        <v>#N/A</v>
      </c>
      <c r="CH230" s="431" t="e">
        <f ca="1">INDEX(INDIRECT(VLOOKUP(LEFT(BO230,7),CLU!$Z$3:$AH$18,3)),GQ230,GR230)</f>
        <v>#N/A</v>
      </c>
      <c r="CI230" s="431" t="e">
        <f ca="1">INDEX(INDIRECT(VLOOKUP(LEFT(BO230,7),CLU!$Z$3:$AH$18,4)),GQ230,GR230)</f>
        <v>#N/A</v>
      </c>
      <c r="CJ230" s="448" t="e">
        <f t="shared" ca="1" si="753"/>
        <v>#N/A</v>
      </c>
      <c r="CK230" s="431" t="e">
        <f t="shared" ca="1" si="754"/>
        <v>#N/A</v>
      </c>
      <c r="CL230" s="440" t="e">
        <f t="shared" ca="1" si="755"/>
        <v>#N/A</v>
      </c>
      <c r="CM230" s="431" t="e">
        <f ca="1">INDEX(INDIRECT(VLOOKUP(LEFT(BO230,7),CLU!$Z$3:$AH$18,2)),GQ230,GS230)</f>
        <v>#N/A</v>
      </c>
      <c r="CN230" s="431" t="e">
        <f ca="1">INDEX(INDIRECT(VLOOKUP(LEFT(BO230,7),CLU!$Z$3:$AH$18,3)),GQ230,GS230)</f>
        <v>#N/A</v>
      </c>
      <c r="CO230" s="431" t="e">
        <f ca="1">INDEX(INDIRECT(VLOOKUP(LEFT(BO230,7),CLU!$Z$3:$AH$18,4)),GQ230,GS230)</f>
        <v>#N/A</v>
      </c>
      <c r="CP230" s="431" t="e">
        <f t="shared" ca="1" si="756"/>
        <v>#N/A</v>
      </c>
      <c r="CQ230" s="440">
        <f t="shared" si="757"/>
        <v>0</v>
      </c>
      <c r="CR230" s="51" t="e">
        <f t="shared" ca="1" si="758"/>
        <v>#N/A</v>
      </c>
      <c r="CS230" s="439" t="e">
        <f t="shared" ca="1" si="759"/>
        <v>#VALUE!</v>
      </c>
      <c r="CT230" s="51" t="e">
        <f t="shared" ca="1" si="760"/>
        <v>#VALUE!</v>
      </c>
      <c r="CU230" s="10"/>
      <c r="CV230" s="51" t="e">
        <f t="shared" ca="1" si="657"/>
        <v>#VALUE!</v>
      </c>
      <c r="CW230" s="51">
        <f t="shared" si="761"/>
        <v>0</v>
      </c>
      <c r="CX230" s="439" t="e">
        <f t="shared" ca="1" si="762"/>
        <v>#VALUE!</v>
      </c>
      <c r="CY230" s="51" t="e">
        <f t="shared" ca="1" si="763"/>
        <v>#VALUE!</v>
      </c>
      <c r="CZ230" s="10"/>
      <c r="DA230" s="51" t="e">
        <f t="shared" ca="1" si="764"/>
        <v>#VALUE!</v>
      </c>
      <c r="DB230" s="347" t="e">
        <f ca="1">INDEX(INDIRECT(VLOOKUP(LEFT(BO230,7),CLU!$Z$3:$AI$18,10)),((M230-2)*(6-COUNTBLANK(GT230:GY230)))+GJ230)*LI230</f>
        <v>#N/A</v>
      </c>
      <c r="DC230" s="347" t="str">
        <f>IF(L230&gt;0,((R230/Worksheet!$I$15)/DB230)^2," ")</f>
        <v xml:space="preserve"> </v>
      </c>
      <c r="DD230" s="602" t="str">
        <f t="shared" si="765"/>
        <v xml:space="preserve"> </v>
      </c>
      <c r="DE230" s="347" t="str">
        <f t="shared" si="658"/>
        <v xml:space="preserve"> </v>
      </c>
      <c r="DF230" s="356" t="e">
        <f ca="1">INDEX(INDIRECT(VLOOKUP(LEFT(BO230,7),CLU!$Z$3:$AH$18,8)),((M230-2)*(6-COUNTBLANK(GT230:GY230)))+GJ230)</f>
        <v>#N/A</v>
      </c>
      <c r="DG230" s="347" t="str">
        <f t="shared" si="659"/>
        <v xml:space="preserve"> </v>
      </c>
      <c r="DH230" s="357" t="str">
        <f t="shared" si="660"/>
        <v xml:space="preserve"> </v>
      </c>
      <c r="DI230" s="355" t="str">
        <f t="shared" si="661"/>
        <v xml:space="preserve"> </v>
      </c>
      <c r="DJ230" s="245" t="e">
        <f ca="1">INDEX(INDIRECT(VLOOKUP(LEFT(BO230,7),CLU!$Z$3:$AH$18,5)),GL230,GK230)</f>
        <v>#N/A</v>
      </c>
      <c r="DK230" s="245" t="e">
        <f ca="1">INDEX(INDIRECT(VLOOKUP(LEFT(BO230,7),CLU!$Z$3:$AH$18,6)),GL230,GK230)</f>
        <v>#N/A</v>
      </c>
      <c r="DL230" s="355">
        <f>(Calculation!R230*0.69143*(Calculation!$BQ$8-Calculation!$F$8))*$S$14</f>
        <v>0</v>
      </c>
      <c r="DM230" s="359" t="e">
        <f t="shared" si="766"/>
        <v>#VALUE!</v>
      </c>
      <c r="DN230" s="611">
        <f t="shared" si="767"/>
        <v>0</v>
      </c>
      <c r="DO230" s="359">
        <f t="shared" si="768"/>
        <v>100</v>
      </c>
      <c r="DP230" s="359">
        <f t="shared" si="769"/>
        <v>0</v>
      </c>
      <c r="DQ230" s="360"/>
      <c r="DR230" s="245" t="e">
        <f ca="1">INDEX(INDIRECT(VLOOKUP(LEFT(BO230,7),CLU!$Z$3:$AH$18,7)),M230-1,1)</f>
        <v>#N/A</v>
      </c>
      <c r="DS230" s="245" t="e">
        <f ca="1">INDEX(INDIRECT(VLOOKUP(LEFT(BO230,7),CLU!$Z$3:$AH$18,7)),M230-1,2)</f>
        <v>#N/A</v>
      </c>
      <c r="DT230" s="245" t="e">
        <f ca="1">INDEX(INDIRECT(VLOOKUP(LEFT(BO230,7),CLU!$Z$3:$AH$18,7)),M230-1,3)</f>
        <v>#N/A</v>
      </c>
      <c r="DU230" s="245" t="e">
        <f ca="1">INDEX(INDIRECT(VLOOKUP(LEFT(BO230,7),CLU!$Z$3:$AH$18,7)),M230-1,4)</f>
        <v>#N/A</v>
      </c>
      <c r="DV230" s="361" t="e">
        <f ca="1">INDEX(INDIRECT(VLOOKUP(LEFT(BO230,7),CLU!$Z$3:$AH$18,7)),M230-1,4+LEFT(DZ230,1)*0.5)</f>
        <v>#N/A</v>
      </c>
      <c r="DW230" s="245" t="e">
        <f ca="1">INDEX(INDIRECT(VLOOKUP(LEFT(BO230,7),CLU!$Z$3:$AH$18,7)),M230-1,8)</f>
        <v>#N/A</v>
      </c>
      <c r="DX230" s="361" t="str">
        <f t="shared" si="662"/>
        <v xml:space="preserve"> </v>
      </c>
      <c r="DY230" s="361" t="str">
        <f t="shared" si="663"/>
        <v xml:space="preserve"> </v>
      </c>
      <c r="DZ230" s="361" t="str">
        <f t="shared" si="664"/>
        <v xml:space="preserve"> </v>
      </c>
      <c r="EA230" s="362" t="str">
        <f t="shared" si="665"/>
        <v xml:space="preserve"> </v>
      </c>
      <c r="EB230" s="624" t="str">
        <f t="shared" si="770"/>
        <v xml:space="preserve"> </v>
      </c>
      <c r="EC230" s="361" t="e">
        <f ca="1">INDEX(INDIRECT(VLOOKUP(LEFT(BO230,7),CLU!$Z$3:$AH$18,7)),M230-1,4+LEFT(DZ230,1)*0.5)</f>
        <v>#N/A</v>
      </c>
      <c r="ED230" s="362" t="str">
        <f t="shared" si="666"/>
        <v xml:space="preserve"> </v>
      </c>
      <c r="EE230" s="361" t="str">
        <f t="shared" si="667"/>
        <v xml:space="preserve"> </v>
      </c>
      <c r="EF230" s="362" t="str">
        <f>IF(L230&gt;0,IF(BR230&gt;0,IF(EE230="2P",IF(Calculation!DZ230="2P",IF(Calculation!DS230=13.75,IF(Calculation!DR230=13,Worksheet!$BD$43,IF(Calculation!DR230=37,Worksheet!$BD$44,Worksheet!$BD$45)),IF(Calculation!DS230=10,IF(Calculation!DR230=18,Worksheet!$BD$29,IF(Calculation!DR230=30,Worksheet!$BD$30,IF(Calculation!DR230=42,Worksheet!$BD$31,IF(Calculation!DR230=54,Worksheet!$BD$32,IF(Calculation!DR230=66,Worksheet!$BD$33,IF(Calculation!DR230=78,Worksheet!$BD$34,IF(Calculation!DR230=90,Worksheet!$BD$35,IF(Calculation!DR230=102,Worksheet!$BD$36,Worksheet!$BD$37)))))))),IF(Calculation!DS230=12.5,IF(Calculation!DR230=18,Worksheet!$BD$38,IF(Calculation!DR230=Worksheet!$BD$39,IF(Calculation!DR230=42,Worksheet!$BD$40,IF(Calculation!DR230=54,Worksheet!$BD$41,Worksheet!$BD$42)))),IF(Calculation!DR230=18,Worksheet!$BD$11,IF(Calculation!DR230=30,Worksheet!$BD$12,IF(Calculation!DR230=42,Worksheet!$BD$13,IF(Calculation!DR230=54,Worksheet!$BD$14,IF(Calculation!DR230=66,Worksheet!$BD$15,IF(Calculation!DR230=78,Worksheet!$BD$16,IF(Calculation!DR230=90,Worksheet!$BD$17,IF(Calculation!DR230=102,Worksheet!$BD$18,Worksheet!$BD$19))))))))))),IF(Calculation!DS230=13.75,IF(Calculation!DR230=13,Worksheet!$BD$78,IF(Calculation!DR230=37,Worksheet!$BD$79,Worksheet!$BD$80)),IF(Calculation!DS230=10,IF(Calculation!DR230=18,Worksheet!$BD$64,IF(Calculation!DR230=30,Worksheet!$BD$65,IF(Calculation!DR230=42,Worksheet!$BD$66,IF(Calculation!DR230=54,Worksheet!$BD$68,IF(Calculation!DR230=66,Worksheet!$BD$68,IF(Calculation!DR230=78,Worksheet!$BD$69,IF(Calculation!DR230=90,Worksheet!$BD$70,IF(Calculation!DR230=102,Worksheet!$BD$71,Worksheet!$BD$72)))))))),IF(Calculation!DS230=12.5,IF(Calculation!DR230=18,Worksheet!$BD$73,IF(Calculation!DR230=Worksheet!$BD$74,IF(Calculation!DR230=42,Worksheet!$BD$75,IF(Calculation!DR230=54,Worksheet!$BD$76,Worksheet!$BD$77)))),IF(Calculation!DR230=18,Worksheet!$BD$55,IF(Calculation!DR230=30,Worksheet!$BD$56,IF(Calculation!DR230=42,Worksheet!$BD$57,IF(Calculation!DR230=54,Worksheet!$BD$58,IF(Calculation!DR230=66,Worksheet!$BD$59,IF(Calculation!DR230=78,Worksheet!$BD$60,IF(Calculation!DR230=90,Worksheet!$BD$61,IF(Calculation!DR230=102,Worksheet!$BD$62,Worksheet!$BD$63)))))))))))),5),0)," ")</f>
        <v xml:space="preserve"> </v>
      </c>
      <c r="EG230" s="361" t="str">
        <f t="shared" si="668"/>
        <v xml:space="preserve"> </v>
      </c>
      <c r="EH230" s="361" t="e">
        <f ca="1">INDEX(INDIRECT(VLOOKUP(LEFT(BO230,7),CLU!$Z$3:$AH$18,7)),M230-1,3+LEFT(DZ230,1))</f>
        <v>#N/A</v>
      </c>
      <c r="EI230" s="362" t="str">
        <f t="shared" si="669"/>
        <v xml:space="preserve"> </v>
      </c>
      <c r="EJ230" s="363" t="str">
        <f t="shared" si="670"/>
        <v xml:space="preserve"> </v>
      </c>
      <c r="EK230" s="363" t="str">
        <f t="shared" si="671"/>
        <v xml:space="preserve"> </v>
      </c>
      <c r="EL230" s="363" t="str">
        <f t="shared" si="672"/>
        <v xml:space="preserve"> </v>
      </c>
      <c r="EM230" s="362" t="str">
        <f>IF(L230&gt;0,IF(BR230&gt;0,(Calculation!T230/ED230)^2,0)," ")</f>
        <v xml:space="preserve"> </v>
      </c>
      <c r="EN230" s="362" t="str">
        <f>IF(L230&gt;0,IF(O230="2 Pipe (Cooling)","N/A",IF(BR230&gt;0,(Calculation!U230/EI230)^2,0))," ")</f>
        <v xml:space="preserve"> </v>
      </c>
      <c r="EO230" s="361" t="str">
        <f t="shared" si="673"/>
        <v/>
      </c>
      <c r="EP230" s="361" t="str">
        <f t="shared" si="674"/>
        <v/>
      </c>
      <c r="EQ230" s="361" t="str">
        <f t="shared" si="675"/>
        <v/>
      </c>
      <c r="ER230" s="361" t="str">
        <f t="shared" si="676"/>
        <v/>
      </c>
      <c r="ES230" s="361" t="str">
        <f t="shared" si="677"/>
        <v/>
      </c>
      <c r="ET230" s="361" t="str">
        <f t="shared" si="678"/>
        <v/>
      </c>
      <c r="EU230" s="361" t="str">
        <f t="shared" si="679"/>
        <v/>
      </c>
      <c r="EV230" s="361" t="str">
        <f t="shared" si="680"/>
        <v/>
      </c>
      <c r="EW230" s="361" t="str">
        <f t="shared" si="681"/>
        <v/>
      </c>
      <c r="EX230" s="361" t="str">
        <f t="shared" si="771"/>
        <v>1 slot, 1 way</v>
      </c>
      <c r="EY230" s="361" t="str">
        <f t="shared" si="772"/>
        <v xml:space="preserve"> </v>
      </c>
      <c r="EZ230" s="361" t="str">
        <f t="shared" si="773"/>
        <v xml:space="preserve"> </v>
      </c>
      <c r="FA230" s="361" t="str">
        <f t="shared" si="774"/>
        <v xml:space="preserve"> </v>
      </c>
      <c r="FB230" s="361" t="str">
        <f t="shared" si="775"/>
        <v xml:space="preserve"> </v>
      </c>
      <c r="FC230" s="361"/>
      <c r="FD230" s="361" t="str">
        <f>IF(J230&gt;0,IF(Calculation!R230&lt;=70,4,IF(Calculation!R230&lt;=110,5,IF(Calculation!R230&lt;=160,6,IF(Calculation!R230&lt;=300,8,"10 EO")))),"")</f>
        <v/>
      </c>
      <c r="FE230" s="361" t="str">
        <f t="shared" si="776"/>
        <v/>
      </c>
      <c r="FF230" s="361" t="str">
        <f t="shared" si="777"/>
        <v/>
      </c>
      <c r="FG230" s="361" t="e">
        <f t="shared" si="682"/>
        <v>#N/A</v>
      </c>
      <c r="FH230" s="361">
        <f t="shared" si="683"/>
        <v>0</v>
      </c>
      <c r="FI230" s="361" t="e">
        <f t="shared" si="684"/>
        <v>#DIV/0!</v>
      </c>
      <c r="FJ230" s="361"/>
      <c r="FK230" s="356" t="e">
        <f t="shared" si="685"/>
        <v>#VALUE!</v>
      </c>
      <c r="FL230" s="361"/>
      <c r="FM230" s="361"/>
      <c r="FN230" s="362" t="str">
        <f t="shared" si="778"/>
        <v xml:space="preserve"> </v>
      </c>
      <c r="FO230" s="362" t="str">
        <f t="shared" si="779"/>
        <v xml:space="preserve"> </v>
      </c>
      <c r="FP230" s="362">
        <f t="shared" si="780"/>
        <v>0</v>
      </c>
      <c r="FQ230" s="361">
        <f t="shared" si="686"/>
        <v>0</v>
      </c>
      <c r="FR230" s="362" t="str">
        <f>IF(L230&gt;0,IF(J230="CBAL2",Worksheet!$P$67,IF(J230="CBE2-24",Worksheet!$Q$67,IF(J230="CBAM",Worksheet!$R$67,IF(J230="CBLV",Worksheet!$S$67,IF(J230="CBAB",Worksheet!$U$67,IF(J230="CBAW",Worksheet!$X$67,IF(J230="CBE2-12",Worksheet!$Y$67,IF(J230="CBAL2",Worksheet!$Z$67,"N/A"))))))))," ")</f>
        <v xml:space="preserve"> </v>
      </c>
      <c r="FS230" s="362" t="str">
        <f>IF(L230&gt;0,IF(J230="CBAL2",Worksheet!$P$68,IF(J230="CBE2-24",Worksheet!$Q$68,IF(J230="CBAM",Worksheet!$R$68,IF(J230="CBLV",Worksheet!$S$68,IF(J230="CBAB",Worksheet!$U$68,IF(J230="CBAW",Worksheet!$X$68,IF(J230="CBE2-12",Worksheet!$Y$68,IF(J230="CBAL2",Worksheet!$Z$68,"N/A"))))))))," ")</f>
        <v xml:space="preserve"> </v>
      </c>
      <c r="FT230" s="362" t="str">
        <f>IF(L230&gt;0,IF(J230="CBAL2",Worksheet!$P$69,IF(J230="CBE2-24",Worksheet!$Q$69,IF(J230="CBAM",Worksheet!$R$69,IF(J230="CBLV",Worksheet!$S$69,IF(J230="CBAB",Worksheet!$U$69,IF(J230="CBAW",Worksheet!$X$69,IF(J230="CBE2-12",Worksheet!$Y$69,IF(J230="CBAL2",Worksheet!$Z$69,"N/A"))))))))," ")</f>
        <v xml:space="preserve"> </v>
      </c>
      <c r="FU230" s="361" t="str">
        <f t="shared" si="781"/>
        <v xml:space="preserve"> </v>
      </c>
      <c r="FV230" s="362" t="str">
        <f t="shared" si="782"/>
        <v xml:space="preserve"> </v>
      </c>
      <c r="FW230" s="362" t="str">
        <f t="shared" si="783"/>
        <v xml:space="preserve"> </v>
      </c>
      <c r="FX230" s="362" t="str">
        <f t="shared" si="784"/>
        <v xml:space="preserve"> </v>
      </c>
      <c r="FY230" s="355" t="str">
        <f t="shared" si="785"/>
        <v xml:space="preserve"> </v>
      </c>
      <c r="FZ230" s="361" t="str">
        <f t="shared" si="786"/>
        <v xml:space="preserve"> </v>
      </c>
      <c r="GA230" s="347" t="str">
        <f t="shared" si="787"/>
        <v xml:space="preserve"> </v>
      </c>
      <c r="GB230" s="355" t="str">
        <f t="shared" si="788"/>
        <v xml:space="preserve"> </v>
      </c>
      <c r="GC230" s="328" t="str">
        <f t="shared" si="789"/>
        <v xml:space="preserve"> </v>
      </c>
      <c r="GD230" s="361" t="str">
        <f t="shared" si="790"/>
        <v xml:space="preserve"> </v>
      </c>
      <c r="GE230" s="347" t="str">
        <f t="shared" si="791"/>
        <v xml:space="preserve"> </v>
      </c>
      <c r="GF230" s="361" t="str">
        <f t="shared" si="792"/>
        <v xml:space="preserve"> </v>
      </c>
      <c r="GG230" s="347" t="str">
        <f t="shared" si="793"/>
        <v xml:space="preserve"> </v>
      </c>
      <c r="GH230" s="364">
        <f t="shared" si="687"/>
        <v>0</v>
      </c>
      <c r="GI230" s="362">
        <f t="shared" si="794"/>
        <v>2</v>
      </c>
      <c r="GJ230" s="433" t="e">
        <f>IF(6-COUNTBLANK(GT230:GY230)=4,MATCH(MID(BO230,9,3),CLU!$H$16:$K$16),MATCH(MID(BO230,9,3),CLU!$H$13:$M$13))</f>
        <v>#N/A</v>
      </c>
      <c r="GK230" s="433" t="e">
        <f>HLOOKUP(VALUE(BP230),CLU!$H$9:$M$10,2)</f>
        <v>#VALUE!</v>
      </c>
      <c r="GL230" s="433" t="e">
        <f ca="1">MATCH(BU230,CLU!$H$2:$V$2,1)</f>
        <v>#VALUE!</v>
      </c>
      <c r="GM230" s="433" t="e">
        <f t="shared" ca="1" si="795"/>
        <v>#VALUE!</v>
      </c>
      <c r="GN230" s="433" t="e">
        <f t="shared" ca="1" si="796"/>
        <v>#VALUE!</v>
      </c>
      <c r="GO230" s="433" t="e">
        <f t="shared" ca="1" si="797"/>
        <v>#VALUE!</v>
      </c>
      <c r="GP230" s="433" t="e">
        <f t="shared" ca="1" si="798"/>
        <v>#VALUE!</v>
      </c>
      <c r="GQ230" s="433" t="e">
        <f t="shared" ca="1" si="799"/>
        <v>#VALUE!</v>
      </c>
      <c r="GR230" s="433" t="e">
        <f ca="1">MATCH(T230,INDIRECT(VLOOKUP(CONCATENATE(LEFT(BO230,7),"-",MID(BO230,13,1)),CLU!$P$3:$Q$16,2)),1)</f>
        <v>#N/A</v>
      </c>
      <c r="GS230" s="433" t="e">
        <f ca="1">MATCH(U230,INDIRECT(VLOOKUP(CONCATENATE(LEFT(BO230,7),"-",MID(BO230,13,1)),CLU!$P$3:$Q$16,2)),1)</f>
        <v>#N/A</v>
      </c>
      <c r="GT230" s="347" t="s">
        <v>512</v>
      </c>
      <c r="GU230" s="97" t="s">
        <v>513</v>
      </c>
      <c r="GV230" s="97" t="str">
        <f t="shared" si="800"/>
        <v>M23</v>
      </c>
      <c r="GW230" s="97" t="str">
        <f t="shared" si="801"/>
        <v>M31</v>
      </c>
      <c r="GX230" s="97" t="str">
        <f t="shared" si="802"/>
        <v/>
      </c>
      <c r="GY230" s="97" t="str">
        <f t="shared" si="803"/>
        <v/>
      </c>
      <c r="GZ230" s="481"/>
      <c r="HA230" s="288"/>
      <c r="HB230" s="240"/>
      <c r="HC230" s="240"/>
      <c r="HD230" s="240"/>
      <c r="HE230" s="240"/>
      <c r="HF230" s="240"/>
      <c r="HG230" s="240"/>
      <c r="HH230" s="240"/>
      <c r="HI230" s="240"/>
      <c r="HJ230" s="240"/>
      <c r="HK230" s="240"/>
      <c r="HL230" s="240"/>
      <c r="HM230" s="240"/>
      <c r="HN230" s="240"/>
      <c r="HO230" s="240"/>
      <c r="HP230" s="240"/>
      <c r="HQ230" s="240"/>
      <c r="HR230" s="240"/>
      <c r="HS230" s="240"/>
      <c r="HT230" s="240"/>
      <c r="HU230" s="240"/>
      <c r="HV230" s="245"/>
      <c r="HW230" s="245" t="b">
        <v>1</v>
      </c>
      <c r="HX230" s="245" t="str">
        <f t="shared" si="688"/>
        <v/>
      </c>
      <c r="HY230" s="245" t="e">
        <f t="shared" si="689"/>
        <v>#DIV/0!</v>
      </c>
      <c r="HZ230" s="245" t="e">
        <f t="shared" si="690"/>
        <v>#DIV/0!</v>
      </c>
      <c r="IA230" s="245">
        <f t="shared" si="691"/>
        <v>0</v>
      </c>
      <c r="IB230" s="245"/>
      <c r="IC230" t="b">
        <f t="shared" si="692"/>
        <v>1</v>
      </c>
      <c r="ID230" s="245" t="b">
        <f t="shared" si="693"/>
        <v>1</v>
      </c>
      <c r="IE230" s="245" t="b">
        <f t="shared" si="694"/>
        <v>1</v>
      </c>
      <c r="IF230" s="245" t="b">
        <f t="shared" si="695"/>
        <v>0</v>
      </c>
      <c r="IG230" s="245" t="b">
        <f t="shared" si="696"/>
        <v>1</v>
      </c>
      <c r="IH230" s="245" t="b">
        <f t="shared" si="697"/>
        <v>1</v>
      </c>
      <c r="II230" s="245">
        <f t="shared" si="804"/>
        <v>0</v>
      </c>
      <c r="IJ230" s="245" t="e">
        <f t="shared" si="698"/>
        <v>#VALUE!</v>
      </c>
      <c r="IK230" s="245" t="e">
        <f t="shared" si="699"/>
        <v>#VALUE!</v>
      </c>
      <c r="IL230" s="245"/>
      <c r="IM230" s="245" t="e">
        <f t="shared" si="805"/>
        <v>#N/A</v>
      </c>
      <c r="IN230" s="245" t="e">
        <f t="shared" si="806"/>
        <v>#N/A</v>
      </c>
      <c r="IO230" s="245"/>
      <c r="IP230" s="245"/>
      <c r="IQ230" s="245" t="str">
        <f t="shared" si="700"/>
        <v/>
      </c>
      <c r="IR230" s="245" t="str">
        <f>IF(J230="","",VLOOKUP(J230,Worksheet!$R$4:$T$14,2))</f>
        <v/>
      </c>
      <c r="IS230" s="245"/>
      <c r="IT230" s="245">
        <f t="shared" si="701"/>
        <v>0</v>
      </c>
      <c r="IU230" s="245">
        <f t="shared" si="702"/>
        <v>0</v>
      </c>
      <c r="IV230" s="245">
        <f t="shared" si="703"/>
        <v>0</v>
      </c>
      <c r="IW230" s="245">
        <f t="shared" si="704"/>
        <v>0</v>
      </c>
      <c r="IX230" s="245">
        <f t="shared" si="807"/>
        <v>0</v>
      </c>
      <c r="IY230" s="245">
        <f t="shared" si="705"/>
        <v>0</v>
      </c>
      <c r="IZ230" s="245">
        <f t="shared" si="706"/>
        <v>0</v>
      </c>
      <c r="JA230">
        <f t="shared" si="707"/>
        <v>0</v>
      </c>
      <c r="JB230">
        <f t="shared" si="808"/>
        <v>0</v>
      </c>
      <c r="JC230">
        <f t="shared" si="708"/>
        <v>0</v>
      </c>
      <c r="JD230">
        <f t="shared" si="709"/>
        <v>0</v>
      </c>
      <c r="JE230">
        <f t="shared" si="710"/>
        <v>0</v>
      </c>
      <c r="JF230">
        <f t="shared" si="711"/>
        <v>0</v>
      </c>
      <c r="JG230">
        <f t="shared" si="712"/>
        <v>0</v>
      </c>
      <c r="JH230">
        <f t="shared" si="713"/>
        <v>0</v>
      </c>
      <c r="JI230">
        <f t="shared" si="714"/>
        <v>0</v>
      </c>
      <c r="JJ230" s="447">
        <f t="shared" si="715"/>
        <v>0</v>
      </c>
      <c r="JK230" s="447">
        <f t="shared" si="716"/>
        <v>0</v>
      </c>
      <c r="JL230">
        <f t="shared" si="717"/>
        <v>0</v>
      </c>
      <c r="JM230" s="245" t="str">
        <f>IFERROR(VLOOKUP(MATCH(BN230,#REF!,0),#REF!,7),"")</f>
        <v/>
      </c>
      <c r="JN230" t="e">
        <f>HLOOKUP(LEFT(BO230,7),Discharge_Area,MATCH(JO230,LookUps!$B$130:$B$149,1)+2)</f>
        <v>#N/A</v>
      </c>
      <c r="JO230" t="str">
        <f t="shared" si="718"/>
        <v>- S</v>
      </c>
      <c r="JP230" t="e">
        <f>HLOOKUP(LEFT(BO230,7),Discharge_Area,MATCH(JO230,LookUps!$B$130:$B$149,1)+2)</f>
        <v>#N/A</v>
      </c>
      <c r="JQ230" t="e">
        <f t="shared" si="719"/>
        <v>#N/A</v>
      </c>
      <c r="JR230" t="e">
        <f t="shared" si="720"/>
        <v>#N/A</v>
      </c>
      <c r="JS230" t="e">
        <f t="shared" si="721"/>
        <v>#N/A</v>
      </c>
      <c r="JT230" s="532" t="str">
        <f t="shared" si="722"/>
        <v xml:space="preserve"> </v>
      </c>
      <c r="JU230" s="532" t="str">
        <f t="shared" si="723"/>
        <v xml:space="preserve"> </v>
      </c>
      <c r="JV230" s="533" t="str">
        <f t="shared" si="724"/>
        <v xml:space="preserve"> </v>
      </c>
      <c r="JW230" s="534">
        <f t="shared" si="725"/>
        <v>0</v>
      </c>
      <c r="JX230" s="535" t="str">
        <f t="shared" si="809"/>
        <v xml:space="preserve"> </v>
      </c>
      <c r="JY230" s="535" t="str">
        <f t="shared" si="810"/>
        <v xml:space="preserve"> </v>
      </c>
      <c r="JZ230" s="535" t="str">
        <f t="shared" si="811"/>
        <v xml:space="preserve"> </v>
      </c>
      <c r="KA230" s="536" t="str">
        <f t="shared" si="726"/>
        <v xml:space="preserve"> </v>
      </c>
      <c r="KB230" s="535" t="e">
        <f t="shared" si="812"/>
        <v>#VALUE!</v>
      </c>
      <c r="KC230" s="535" t="str">
        <f t="shared" si="727"/>
        <v/>
      </c>
      <c r="KD230" s="537" t="str">
        <f t="shared" si="813"/>
        <v xml:space="preserve"> </v>
      </c>
      <c r="KE230" s="537" t="str">
        <f t="shared" si="814"/>
        <v xml:space="preserve"> </v>
      </c>
      <c r="KF230" s="534">
        <f t="shared" si="728"/>
        <v>0</v>
      </c>
      <c r="KG230" s="535" t="str">
        <f t="shared" si="729"/>
        <v xml:space="preserve"> </v>
      </c>
      <c r="KH230" s="535" t="str">
        <f t="shared" si="730"/>
        <v xml:space="preserve"> </v>
      </c>
      <c r="KI230" s="535" t="str">
        <f t="shared" si="731"/>
        <v xml:space="preserve"> </v>
      </c>
      <c r="KJ230" s="536" t="str">
        <f t="shared" si="732"/>
        <v xml:space="preserve"> </v>
      </c>
      <c r="KK230" s="535" t="str">
        <f t="shared" si="815"/>
        <v xml:space="preserve"> </v>
      </c>
      <c r="KL230" s="535" t="str">
        <f t="shared" si="816"/>
        <v xml:space="preserve"> </v>
      </c>
      <c r="KM230" s="537" t="str">
        <f t="shared" si="733"/>
        <v xml:space="preserve"> </v>
      </c>
      <c r="KN230" s="537" t="str">
        <f t="shared" si="817"/>
        <v xml:space="preserve"> </v>
      </c>
      <c r="KP230">
        <f t="shared" si="734"/>
        <v>0</v>
      </c>
      <c r="LA230" t="e">
        <f t="shared" si="735"/>
        <v>#VALUE!</v>
      </c>
      <c r="LB230" t="e">
        <f t="shared" si="736"/>
        <v>#VALUE!</v>
      </c>
      <c r="LC230" t="e">
        <f t="shared" si="737"/>
        <v>#VALUE!</v>
      </c>
      <c r="LD230" t="e">
        <f t="shared" si="738"/>
        <v>#VALUE!</v>
      </c>
      <c r="LE230" t="e">
        <f t="shared" si="818"/>
        <v>#VALUE!</v>
      </c>
      <c r="LF230">
        <f t="shared" si="739"/>
        <v>0</v>
      </c>
      <c r="LG230" t="e">
        <f t="shared" si="819"/>
        <v>#VALUE!</v>
      </c>
      <c r="LH230" t="str">
        <f t="shared" si="740"/>
        <v xml:space="preserve"> </v>
      </c>
      <c r="LI230">
        <f t="shared" si="820"/>
        <v>1</v>
      </c>
    </row>
    <row r="231" spans="2:321" ht="15" customHeight="1">
      <c r="B231" s="311"/>
      <c r="C231" s="311"/>
      <c r="D231" s="312"/>
      <c r="E231" s="311"/>
      <c r="F231" s="312"/>
      <c r="G231" s="311"/>
      <c r="H231" s="311"/>
      <c r="I231" s="232"/>
      <c r="J231" s="311"/>
      <c r="K231" s="305" t="str">
        <f t="shared" si="741"/>
        <v/>
      </c>
      <c r="L231" s="313"/>
      <c r="M231" s="312"/>
      <c r="N231" s="311"/>
      <c r="O231" s="312"/>
      <c r="P231" s="311"/>
      <c r="Q231" s="305" t="str">
        <f t="shared" si="742"/>
        <v/>
      </c>
      <c r="R231" s="314"/>
      <c r="S231" s="450" t="str">
        <f t="shared" si="625"/>
        <v/>
      </c>
      <c r="T231" s="315"/>
      <c r="U231" s="315"/>
      <c r="W231" s="149" t="str">
        <f t="shared" si="626"/>
        <v xml:space="preserve"> </v>
      </c>
      <c r="X231" s="243" t="str">
        <f t="shared" si="627"/>
        <v xml:space="preserve"> </v>
      </c>
      <c r="Y231" s="150" t="str">
        <f t="shared" si="628"/>
        <v/>
      </c>
      <c r="Z231" s="149" t="str">
        <f t="shared" si="629"/>
        <v xml:space="preserve"> </v>
      </c>
      <c r="AA231" s="98" t="str">
        <f t="shared" si="630"/>
        <v xml:space="preserve"> </v>
      </c>
      <c r="AB231" s="153" t="str">
        <f t="shared" si="631"/>
        <v xml:space="preserve"> </v>
      </c>
      <c r="AC231" s="153" t="str">
        <f t="shared" si="632"/>
        <v xml:space="preserve"> </v>
      </c>
      <c r="AD231" s="148" t="str">
        <f t="shared" si="633"/>
        <v/>
      </c>
      <c r="AE231" s="149" t="str">
        <f t="shared" si="634"/>
        <v/>
      </c>
      <c r="AF231" s="151" t="str">
        <f t="shared" si="635"/>
        <v xml:space="preserve"> </v>
      </c>
      <c r="AG231" s="153" t="str">
        <f t="shared" si="636"/>
        <v xml:space="preserve"> </v>
      </c>
      <c r="AH231" s="98" t="str">
        <f t="shared" si="637"/>
        <v xml:space="preserve"> </v>
      </c>
      <c r="AI231" s="149" t="str">
        <f t="shared" si="638"/>
        <v xml:space="preserve"> </v>
      </c>
      <c r="AK231" s="144" t="str">
        <f t="shared" si="639"/>
        <v xml:space="preserve"> </v>
      </c>
      <c r="AL231" s="144"/>
      <c r="AM231" s="243" t="str">
        <f t="shared" si="640"/>
        <v xml:space="preserve"> </v>
      </c>
      <c r="AN231" s="149" t="str">
        <f t="shared" si="743"/>
        <v xml:space="preserve"> </v>
      </c>
      <c r="AO231" s="144" t="str">
        <f>IF(JB231&gt;0,IF(GI231=10,-R231*1.085*(Calculation!$F$6-Calculation!$F$13)*$S$14," "),"")</f>
        <v/>
      </c>
      <c r="AP231" s="144" t="str">
        <f t="shared" si="641"/>
        <v/>
      </c>
      <c r="AQ231" s="56" t="str">
        <f t="shared" si="642"/>
        <v/>
      </c>
      <c r="AR231" s="144" t="str">
        <f t="shared" si="643"/>
        <v/>
      </c>
      <c r="AS231" s="176" t="str">
        <f t="shared" si="644"/>
        <v/>
      </c>
      <c r="AT231" s="176" t="str">
        <f t="shared" si="744"/>
        <v xml:space="preserve"> </v>
      </c>
      <c r="AU231" s="176" t="str">
        <f t="shared" si="645"/>
        <v/>
      </c>
      <c r="AV231" s="177" t="str">
        <f t="shared" si="646"/>
        <v xml:space="preserve"> </v>
      </c>
      <c r="AW231" s="144" t="str">
        <f t="shared" si="647"/>
        <v xml:space="preserve"> </v>
      </c>
      <c r="AX231" s="144" t="str">
        <f t="shared" si="648"/>
        <v xml:space="preserve"> </v>
      </c>
      <c r="AY231" s="152" t="str">
        <f t="shared" si="649"/>
        <v xml:space="preserve"> </v>
      </c>
      <c r="AZ231" s="246" t="str">
        <f t="shared" si="650"/>
        <v/>
      </c>
      <c r="BA231" s="176" t="str">
        <f t="shared" si="651"/>
        <v xml:space="preserve"> </v>
      </c>
      <c r="BB231" s="176" t="str">
        <f t="shared" si="652"/>
        <v xml:space="preserve"> </v>
      </c>
      <c r="BC231" s="195"/>
      <c r="BD231" s="316"/>
      <c r="BE231" s="317"/>
      <c r="BF231" s="318"/>
      <c r="BG231" s="318"/>
      <c r="BH231" s="144" t="str">
        <f t="shared" si="821"/>
        <v xml:space="preserve"> </v>
      </c>
      <c r="BI231" s="176" t="str">
        <f t="shared" si="653"/>
        <v/>
      </c>
      <c r="BJ231" s="144" t="str">
        <f t="shared" si="822"/>
        <v/>
      </c>
      <c r="BK231" s="246" t="str">
        <f t="shared" si="654"/>
        <v/>
      </c>
      <c r="BL231" s="144" t="str">
        <f t="shared" si="823"/>
        <v/>
      </c>
      <c r="BM231" s="246" t="str">
        <f t="shared" si="655"/>
        <v/>
      </c>
      <c r="BN231" s="337" t="str">
        <f t="shared" si="745"/>
        <v/>
      </c>
      <c r="BO231" s="371" t="str">
        <f t="shared" si="746"/>
        <v/>
      </c>
      <c r="BP231" s="328" t="str">
        <f t="shared" si="824"/>
        <v xml:space="preserve"> </v>
      </c>
      <c r="BQ231" s="347" t="str">
        <f t="shared" si="747"/>
        <v xml:space="preserve"> </v>
      </c>
      <c r="BR231" s="353" t="str">
        <f t="shared" si="748"/>
        <v xml:space="preserve"> </v>
      </c>
      <c r="BS231" s="626" t="str">
        <f>IF(L231&gt;0,IF(Calculation!P231="M13",BR231*3.1416*(0.134^2)/(4*144),IF(Calculation!P231="M17",BR231*3.1416*(0.165^2)/(4*144),IF(Calculation!P231="M20",BR231*3.1416*(0.198^2)/(4*144),IF(Calculation!P231="M23",BR231*3.1416*(0.228^2)/(4*144),IF(Calculation!P231="M27",BR231*3.1416*(0.269^2)/(4*144),BR231*3.1416*(0.307^2)/(4*144))))))," ")</f>
        <v xml:space="preserve"> </v>
      </c>
      <c r="BT231" s="353" t="str">
        <f>IF(L231&gt;0,IF(BS231&gt;0,R231/Calculation!BS231,0)," ")</f>
        <v xml:space="preserve"> </v>
      </c>
      <c r="BU231" s="438" t="e">
        <f t="shared" ca="1" si="656"/>
        <v>#VALUE!</v>
      </c>
      <c r="BV231" s="449" t="e">
        <f ca="1">INDEX(INDIRECT(VLOOKUP(LEFT(BO231,7),CLU!$Z$3:$AH$18,2)),GN231,GR231)</f>
        <v>#N/A</v>
      </c>
      <c r="BW231" s="433" t="e">
        <f ca="1">INDEX(INDIRECT(VLOOKUP(LEFT(BO231,7),CLU!$Z$3:$AH$18,3)),GN231,GR231)</f>
        <v>#N/A</v>
      </c>
      <c r="BX231" s="433" t="e">
        <f ca="1">INDEX(INDIRECT(VLOOKUP(LEFT(BO231,7),CLU!$Z$3:$AH$18,4)),GN231,GR231)</f>
        <v>#N/A</v>
      </c>
      <c r="BY231" s="433" t="e">
        <f ca="1">INDEX(INDIRECT(VLOOKUP(LEFT(BO231,7),CLU!$Z$3:$AH$18,9)),((M231-2)*(6-COUNTBLANK(GT231:GY231)))+GJ231)</f>
        <v>#N/A</v>
      </c>
      <c r="BZ231" s="426" t="e">
        <f t="shared" ca="1" si="749"/>
        <v>#N/A</v>
      </c>
      <c r="CA231" s="424" t="e">
        <f t="shared" ca="1" si="750"/>
        <v>#N/A</v>
      </c>
      <c r="CB231" s="429" t="e">
        <f ca="1">INDEX(INDIRECT(VLOOKUP(LEFT(BO231,7),CLU!$Z$3:$AH$18,2)),GN231,GS231)</f>
        <v>#N/A</v>
      </c>
      <c r="CC231" s="342" t="e">
        <f ca="1">INDEX(INDIRECT(VLOOKUP(LEFT(BO231,7),CLU!$Z$3:$AH$18,3)),GN231,GS231)</f>
        <v>#N/A</v>
      </c>
      <c r="CD231" s="342" t="e">
        <f ca="1">INDEX(INDIRECT(VLOOKUP(LEFT(BO231,7),CLU!$Z$3:$AH$18,4)),GN231,GS231)</f>
        <v>#N/A</v>
      </c>
      <c r="CE231" s="426" t="e">
        <f t="shared" ca="1" si="751"/>
        <v>#N/A</v>
      </c>
      <c r="CF231" s="440">
        <f t="shared" si="752"/>
        <v>0</v>
      </c>
      <c r="CG231" s="431" t="e">
        <f ca="1">INDEX(INDIRECT(VLOOKUP(LEFT(BO231,7),CLU!$Z$3:$AH$18,2)),GQ231,GR231)</f>
        <v>#N/A</v>
      </c>
      <c r="CH231" s="431" t="e">
        <f ca="1">INDEX(INDIRECT(VLOOKUP(LEFT(BO231,7),CLU!$Z$3:$AH$18,3)),GQ231,GR231)</f>
        <v>#N/A</v>
      </c>
      <c r="CI231" s="431" t="e">
        <f ca="1">INDEX(INDIRECT(VLOOKUP(LEFT(BO231,7),CLU!$Z$3:$AH$18,4)),GQ231,GR231)</f>
        <v>#N/A</v>
      </c>
      <c r="CJ231" s="448" t="e">
        <f t="shared" ca="1" si="753"/>
        <v>#N/A</v>
      </c>
      <c r="CK231" s="431" t="e">
        <f t="shared" ca="1" si="754"/>
        <v>#N/A</v>
      </c>
      <c r="CL231" s="440" t="e">
        <f t="shared" ca="1" si="755"/>
        <v>#N/A</v>
      </c>
      <c r="CM231" s="431" t="e">
        <f ca="1">INDEX(INDIRECT(VLOOKUP(LEFT(BO231,7),CLU!$Z$3:$AH$18,2)),GQ231,GS231)</f>
        <v>#N/A</v>
      </c>
      <c r="CN231" s="431" t="e">
        <f ca="1">INDEX(INDIRECT(VLOOKUP(LEFT(BO231,7),CLU!$Z$3:$AH$18,3)),GQ231,GS231)</f>
        <v>#N/A</v>
      </c>
      <c r="CO231" s="431" t="e">
        <f ca="1">INDEX(INDIRECT(VLOOKUP(LEFT(BO231,7),CLU!$Z$3:$AH$18,4)),GQ231,GS231)</f>
        <v>#N/A</v>
      </c>
      <c r="CP231" s="431" t="e">
        <f t="shared" ca="1" si="756"/>
        <v>#N/A</v>
      </c>
      <c r="CQ231" s="440">
        <f t="shared" si="757"/>
        <v>0</v>
      </c>
      <c r="CR231" s="51" t="e">
        <f t="shared" ca="1" si="758"/>
        <v>#N/A</v>
      </c>
      <c r="CS231" s="439" t="e">
        <f t="shared" ca="1" si="759"/>
        <v>#VALUE!</v>
      </c>
      <c r="CT231" s="51" t="e">
        <f t="shared" ca="1" si="760"/>
        <v>#VALUE!</v>
      </c>
      <c r="CU231" s="10"/>
      <c r="CV231" s="51" t="e">
        <f t="shared" ca="1" si="657"/>
        <v>#VALUE!</v>
      </c>
      <c r="CW231" s="51">
        <f t="shared" si="761"/>
        <v>0</v>
      </c>
      <c r="CX231" s="439" t="e">
        <f t="shared" ca="1" si="762"/>
        <v>#VALUE!</v>
      </c>
      <c r="CY231" s="51" t="e">
        <f t="shared" ca="1" si="763"/>
        <v>#VALUE!</v>
      </c>
      <c r="CZ231" s="10"/>
      <c r="DA231" s="51" t="e">
        <f t="shared" ca="1" si="764"/>
        <v>#VALUE!</v>
      </c>
      <c r="DB231" s="347" t="e">
        <f ca="1">INDEX(INDIRECT(VLOOKUP(LEFT(BO231,7),CLU!$Z$3:$AI$18,10)),((M231-2)*(6-COUNTBLANK(GT231:GY231)))+GJ231)*LI231</f>
        <v>#N/A</v>
      </c>
      <c r="DC231" s="347" t="str">
        <f>IF(L231&gt;0,((R231/Worksheet!$I$15)/DB231)^2," ")</f>
        <v xml:space="preserve"> </v>
      </c>
      <c r="DD231" s="602" t="str">
        <f t="shared" si="765"/>
        <v xml:space="preserve"> </v>
      </c>
      <c r="DE231" s="347" t="str">
        <f t="shared" si="658"/>
        <v xml:space="preserve"> </v>
      </c>
      <c r="DF231" s="356" t="e">
        <f ca="1">INDEX(INDIRECT(VLOOKUP(LEFT(BO231,7),CLU!$Z$3:$AH$18,8)),((M231-2)*(6-COUNTBLANK(GT231:GY231)))+GJ231)</f>
        <v>#N/A</v>
      </c>
      <c r="DG231" s="347" t="str">
        <f t="shared" si="659"/>
        <v xml:space="preserve"> </v>
      </c>
      <c r="DH231" s="357" t="str">
        <f t="shared" si="660"/>
        <v xml:space="preserve"> </v>
      </c>
      <c r="DI231" s="355" t="str">
        <f t="shared" si="661"/>
        <v xml:space="preserve"> </v>
      </c>
      <c r="DJ231" s="245" t="e">
        <f ca="1">INDEX(INDIRECT(VLOOKUP(LEFT(BO231,7),CLU!$Z$3:$AH$18,5)),GL231,GK231)</f>
        <v>#N/A</v>
      </c>
      <c r="DK231" s="245" t="e">
        <f ca="1">INDEX(INDIRECT(VLOOKUP(LEFT(BO231,7),CLU!$Z$3:$AH$18,6)),GL231,GK231)</f>
        <v>#N/A</v>
      </c>
      <c r="DL231" s="355">
        <f>(Calculation!R231*0.69143*(Calculation!$BQ$8-Calculation!$F$8))*$S$14</f>
        <v>0</v>
      </c>
      <c r="DM231" s="359" t="e">
        <f t="shared" si="766"/>
        <v>#VALUE!</v>
      </c>
      <c r="DN231" s="611">
        <f t="shared" si="767"/>
        <v>0</v>
      </c>
      <c r="DO231" s="359">
        <f t="shared" si="768"/>
        <v>100</v>
      </c>
      <c r="DP231" s="359">
        <f t="shared" si="769"/>
        <v>0</v>
      </c>
      <c r="DQ231" s="360"/>
      <c r="DR231" s="245" t="e">
        <f ca="1">INDEX(INDIRECT(VLOOKUP(LEFT(BO231,7),CLU!$Z$3:$AH$18,7)),M231-1,1)</f>
        <v>#N/A</v>
      </c>
      <c r="DS231" s="245" t="e">
        <f ca="1">INDEX(INDIRECT(VLOOKUP(LEFT(BO231,7),CLU!$Z$3:$AH$18,7)),M231-1,2)</f>
        <v>#N/A</v>
      </c>
      <c r="DT231" s="245" t="e">
        <f ca="1">INDEX(INDIRECT(VLOOKUP(LEFT(BO231,7),CLU!$Z$3:$AH$18,7)),M231-1,3)</f>
        <v>#N/A</v>
      </c>
      <c r="DU231" s="245" t="e">
        <f ca="1">INDEX(INDIRECT(VLOOKUP(LEFT(BO231,7),CLU!$Z$3:$AH$18,7)),M231-1,4)</f>
        <v>#N/A</v>
      </c>
      <c r="DV231" s="361" t="e">
        <f ca="1">INDEX(INDIRECT(VLOOKUP(LEFT(BO231,7),CLU!$Z$3:$AH$18,7)),M231-1,4+LEFT(DZ231,1)*0.5)</f>
        <v>#N/A</v>
      </c>
      <c r="DW231" s="245" t="e">
        <f ca="1">INDEX(INDIRECT(VLOOKUP(LEFT(BO231,7),CLU!$Z$3:$AH$18,7)),M231-1,8)</f>
        <v>#N/A</v>
      </c>
      <c r="DX231" s="361" t="str">
        <f t="shared" si="662"/>
        <v xml:space="preserve"> </v>
      </c>
      <c r="DY231" s="361" t="str">
        <f t="shared" si="663"/>
        <v xml:space="preserve"> </v>
      </c>
      <c r="DZ231" s="361" t="str">
        <f t="shared" si="664"/>
        <v xml:space="preserve"> </v>
      </c>
      <c r="EA231" s="362" t="str">
        <f t="shared" si="665"/>
        <v xml:space="preserve"> </v>
      </c>
      <c r="EB231" s="624" t="str">
        <f t="shared" si="770"/>
        <v xml:space="preserve"> </v>
      </c>
      <c r="EC231" s="361" t="e">
        <f ca="1">INDEX(INDIRECT(VLOOKUP(LEFT(BO231,7),CLU!$Z$3:$AH$18,7)),M231-1,4+LEFT(DZ231,1)*0.5)</f>
        <v>#N/A</v>
      </c>
      <c r="ED231" s="362" t="str">
        <f t="shared" si="666"/>
        <v xml:space="preserve"> </v>
      </c>
      <c r="EE231" s="361" t="str">
        <f t="shared" si="667"/>
        <v xml:space="preserve"> </v>
      </c>
      <c r="EF231" s="362" t="str">
        <f>IF(L231&gt;0,IF(BR231&gt;0,IF(EE231="2P",IF(Calculation!DZ231="2P",IF(Calculation!DS231=13.75,IF(Calculation!DR231=13,Worksheet!$BD$43,IF(Calculation!DR231=37,Worksheet!$BD$44,Worksheet!$BD$45)),IF(Calculation!DS231=10,IF(Calculation!DR231=18,Worksheet!$BD$29,IF(Calculation!DR231=30,Worksheet!$BD$30,IF(Calculation!DR231=42,Worksheet!$BD$31,IF(Calculation!DR231=54,Worksheet!$BD$32,IF(Calculation!DR231=66,Worksheet!$BD$33,IF(Calculation!DR231=78,Worksheet!$BD$34,IF(Calculation!DR231=90,Worksheet!$BD$35,IF(Calculation!DR231=102,Worksheet!$BD$36,Worksheet!$BD$37)))))))),IF(Calculation!DS231=12.5,IF(Calculation!DR231=18,Worksheet!$BD$38,IF(Calculation!DR231=Worksheet!$BD$39,IF(Calculation!DR231=42,Worksheet!$BD$40,IF(Calculation!DR231=54,Worksheet!$BD$41,Worksheet!$BD$42)))),IF(Calculation!DR231=18,Worksheet!$BD$11,IF(Calculation!DR231=30,Worksheet!$BD$12,IF(Calculation!DR231=42,Worksheet!$BD$13,IF(Calculation!DR231=54,Worksheet!$BD$14,IF(Calculation!DR231=66,Worksheet!$BD$15,IF(Calculation!DR231=78,Worksheet!$BD$16,IF(Calculation!DR231=90,Worksheet!$BD$17,IF(Calculation!DR231=102,Worksheet!$BD$18,Worksheet!$BD$19))))))))))),IF(Calculation!DS231=13.75,IF(Calculation!DR231=13,Worksheet!$BD$78,IF(Calculation!DR231=37,Worksheet!$BD$79,Worksheet!$BD$80)),IF(Calculation!DS231=10,IF(Calculation!DR231=18,Worksheet!$BD$64,IF(Calculation!DR231=30,Worksheet!$BD$65,IF(Calculation!DR231=42,Worksheet!$BD$66,IF(Calculation!DR231=54,Worksheet!$BD$68,IF(Calculation!DR231=66,Worksheet!$BD$68,IF(Calculation!DR231=78,Worksheet!$BD$69,IF(Calculation!DR231=90,Worksheet!$BD$70,IF(Calculation!DR231=102,Worksheet!$BD$71,Worksheet!$BD$72)))))))),IF(Calculation!DS231=12.5,IF(Calculation!DR231=18,Worksheet!$BD$73,IF(Calculation!DR231=Worksheet!$BD$74,IF(Calculation!DR231=42,Worksheet!$BD$75,IF(Calculation!DR231=54,Worksheet!$BD$76,Worksheet!$BD$77)))),IF(Calculation!DR231=18,Worksheet!$BD$55,IF(Calculation!DR231=30,Worksheet!$BD$56,IF(Calculation!DR231=42,Worksheet!$BD$57,IF(Calculation!DR231=54,Worksheet!$BD$58,IF(Calculation!DR231=66,Worksheet!$BD$59,IF(Calculation!DR231=78,Worksheet!$BD$60,IF(Calculation!DR231=90,Worksheet!$BD$61,IF(Calculation!DR231=102,Worksheet!$BD$62,Worksheet!$BD$63)))))))))))),5),0)," ")</f>
        <v xml:space="preserve"> </v>
      </c>
      <c r="EG231" s="361" t="str">
        <f t="shared" si="668"/>
        <v xml:space="preserve"> </v>
      </c>
      <c r="EH231" s="361" t="e">
        <f ca="1">INDEX(INDIRECT(VLOOKUP(LEFT(BO231,7),CLU!$Z$3:$AH$18,7)),M231-1,3+LEFT(DZ231,1))</f>
        <v>#N/A</v>
      </c>
      <c r="EI231" s="362" t="str">
        <f t="shared" si="669"/>
        <v xml:space="preserve"> </v>
      </c>
      <c r="EJ231" s="363" t="str">
        <f t="shared" si="670"/>
        <v xml:space="preserve"> </v>
      </c>
      <c r="EK231" s="363" t="str">
        <f t="shared" si="671"/>
        <v xml:space="preserve"> </v>
      </c>
      <c r="EL231" s="363" t="str">
        <f t="shared" si="672"/>
        <v xml:space="preserve"> </v>
      </c>
      <c r="EM231" s="362" t="str">
        <f>IF(L231&gt;0,IF(BR231&gt;0,(Calculation!T231/ED231)^2,0)," ")</f>
        <v xml:space="preserve"> </v>
      </c>
      <c r="EN231" s="362" t="str">
        <f>IF(L231&gt;0,IF(O231="2 Pipe (Cooling)","N/A",IF(BR231&gt;0,(Calculation!U231/EI231)^2,0))," ")</f>
        <v xml:space="preserve"> </v>
      </c>
      <c r="EO231" s="361" t="str">
        <f t="shared" si="673"/>
        <v/>
      </c>
      <c r="EP231" s="361" t="str">
        <f t="shared" si="674"/>
        <v/>
      </c>
      <c r="EQ231" s="361" t="str">
        <f t="shared" si="675"/>
        <v/>
      </c>
      <c r="ER231" s="361" t="str">
        <f t="shared" si="676"/>
        <v/>
      </c>
      <c r="ES231" s="361" t="str">
        <f t="shared" si="677"/>
        <v/>
      </c>
      <c r="ET231" s="361" t="str">
        <f t="shared" si="678"/>
        <v/>
      </c>
      <c r="EU231" s="361" t="str">
        <f t="shared" si="679"/>
        <v/>
      </c>
      <c r="EV231" s="361" t="str">
        <f t="shared" si="680"/>
        <v/>
      </c>
      <c r="EW231" s="361" t="str">
        <f t="shared" si="681"/>
        <v/>
      </c>
      <c r="EX231" s="361" t="str">
        <f t="shared" si="771"/>
        <v>1 slot, 1 way</v>
      </c>
      <c r="EY231" s="361" t="str">
        <f t="shared" si="772"/>
        <v xml:space="preserve"> </v>
      </c>
      <c r="EZ231" s="361" t="str">
        <f t="shared" si="773"/>
        <v xml:space="preserve"> </v>
      </c>
      <c r="FA231" s="361" t="str">
        <f t="shared" si="774"/>
        <v xml:space="preserve"> </v>
      </c>
      <c r="FB231" s="361" t="str">
        <f t="shared" si="775"/>
        <v xml:space="preserve"> </v>
      </c>
      <c r="FC231" s="361"/>
      <c r="FD231" s="361" t="str">
        <f>IF(J231&gt;0,IF(Calculation!R231&lt;=70,4,IF(Calculation!R231&lt;=110,5,IF(Calculation!R231&lt;=160,6,IF(Calculation!R231&lt;=300,8,"10 EO")))),"")</f>
        <v/>
      </c>
      <c r="FE231" s="361" t="str">
        <f t="shared" si="776"/>
        <v/>
      </c>
      <c r="FF231" s="361" t="str">
        <f t="shared" si="777"/>
        <v/>
      </c>
      <c r="FG231" s="361" t="e">
        <f t="shared" si="682"/>
        <v>#N/A</v>
      </c>
      <c r="FH231" s="361">
        <f t="shared" si="683"/>
        <v>0</v>
      </c>
      <c r="FI231" s="361" t="e">
        <f t="shared" si="684"/>
        <v>#DIV/0!</v>
      </c>
      <c r="FJ231" s="361"/>
      <c r="FK231" s="356" t="e">
        <f t="shared" si="685"/>
        <v>#VALUE!</v>
      </c>
      <c r="FL231" s="361"/>
      <c r="FM231" s="361"/>
      <c r="FN231" s="362" t="str">
        <f t="shared" si="778"/>
        <v xml:space="preserve"> </v>
      </c>
      <c r="FO231" s="362" t="str">
        <f t="shared" si="779"/>
        <v xml:space="preserve"> </v>
      </c>
      <c r="FP231" s="362">
        <f t="shared" si="780"/>
        <v>0</v>
      </c>
      <c r="FQ231" s="361">
        <f t="shared" si="686"/>
        <v>0</v>
      </c>
      <c r="FR231" s="362" t="str">
        <f>IF(L231&gt;0,IF(J231="CBAL2",Worksheet!$P$67,IF(J231="CBE2-24",Worksheet!$Q$67,IF(J231="CBAM",Worksheet!$R$67,IF(J231="CBLV",Worksheet!$S$67,IF(J231="CBAB",Worksheet!$U$67,IF(J231="CBAW",Worksheet!$X$67,IF(J231="CBE2-12",Worksheet!$Y$67,IF(J231="CBAL2",Worksheet!$Z$67,"N/A"))))))))," ")</f>
        <v xml:space="preserve"> </v>
      </c>
      <c r="FS231" s="362" t="str">
        <f>IF(L231&gt;0,IF(J231="CBAL2",Worksheet!$P$68,IF(J231="CBE2-24",Worksheet!$Q$68,IF(J231="CBAM",Worksheet!$R$68,IF(J231="CBLV",Worksheet!$S$68,IF(J231="CBAB",Worksheet!$U$68,IF(J231="CBAW",Worksheet!$X$68,IF(J231="CBE2-12",Worksheet!$Y$68,IF(J231="CBAL2",Worksheet!$Z$68,"N/A"))))))))," ")</f>
        <v xml:space="preserve"> </v>
      </c>
      <c r="FT231" s="362" t="str">
        <f>IF(L231&gt;0,IF(J231="CBAL2",Worksheet!$P$69,IF(J231="CBE2-24",Worksheet!$Q$69,IF(J231="CBAM",Worksheet!$R$69,IF(J231="CBLV",Worksheet!$S$69,IF(J231="CBAB",Worksheet!$U$69,IF(J231="CBAW",Worksheet!$X$69,IF(J231="CBE2-12",Worksheet!$Y$69,IF(J231="CBAL2",Worksheet!$Z$69,"N/A"))))))))," ")</f>
        <v xml:space="preserve"> </v>
      </c>
      <c r="FU231" s="361" t="str">
        <f t="shared" si="781"/>
        <v xml:space="preserve"> </v>
      </c>
      <c r="FV231" s="362" t="str">
        <f t="shared" si="782"/>
        <v xml:space="preserve"> </v>
      </c>
      <c r="FW231" s="362" t="str">
        <f t="shared" si="783"/>
        <v xml:space="preserve"> </v>
      </c>
      <c r="FX231" s="362" t="str">
        <f t="shared" si="784"/>
        <v xml:space="preserve"> </v>
      </c>
      <c r="FY231" s="355" t="str">
        <f t="shared" si="785"/>
        <v xml:space="preserve"> </v>
      </c>
      <c r="FZ231" s="361" t="str">
        <f t="shared" si="786"/>
        <v xml:space="preserve"> </v>
      </c>
      <c r="GA231" s="347" t="str">
        <f t="shared" si="787"/>
        <v xml:space="preserve"> </v>
      </c>
      <c r="GB231" s="355" t="str">
        <f t="shared" si="788"/>
        <v xml:space="preserve"> </v>
      </c>
      <c r="GC231" s="328" t="str">
        <f t="shared" si="789"/>
        <v xml:space="preserve"> </v>
      </c>
      <c r="GD231" s="361" t="str">
        <f t="shared" si="790"/>
        <v xml:space="preserve"> </v>
      </c>
      <c r="GE231" s="347" t="str">
        <f t="shared" si="791"/>
        <v xml:space="preserve"> </v>
      </c>
      <c r="GF231" s="361" t="str">
        <f t="shared" si="792"/>
        <v xml:space="preserve"> </v>
      </c>
      <c r="GG231" s="347" t="str">
        <f t="shared" si="793"/>
        <v xml:space="preserve"> </v>
      </c>
      <c r="GH231" s="364">
        <f t="shared" si="687"/>
        <v>0</v>
      </c>
      <c r="GI231" s="362">
        <f t="shared" si="794"/>
        <v>2</v>
      </c>
      <c r="GJ231" s="433" t="e">
        <f>IF(6-COUNTBLANK(GT231:GY231)=4,MATCH(MID(BO231,9,3),CLU!$H$16:$K$16),MATCH(MID(BO231,9,3),CLU!$H$13:$M$13))</f>
        <v>#N/A</v>
      </c>
      <c r="GK231" s="433" t="e">
        <f>HLOOKUP(VALUE(BP231),CLU!$H$9:$M$10,2)</f>
        <v>#VALUE!</v>
      </c>
      <c r="GL231" s="433" t="e">
        <f ca="1">MATCH(BU231,CLU!$H$2:$V$2,1)</f>
        <v>#VALUE!</v>
      </c>
      <c r="GM231" s="433" t="e">
        <f t="shared" ca="1" si="795"/>
        <v>#VALUE!</v>
      </c>
      <c r="GN231" s="433" t="e">
        <f t="shared" ca="1" si="796"/>
        <v>#VALUE!</v>
      </c>
      <c r="GO231" s="433" t="e">
        <f t="shared" ca="1" si="797"/>
        <v>#VALUE!</v>
      </c>
      <c r="GP231" s="433" t="e">
        <f t="shared" ca="1" si="798"/>
        <v>#VALUE!</v>
      </c>
      <c r="GQ231" s="433" t="e">
        <f t="shared" ca="1" si="799"/>
        <v>#VALUE!</v>
      </c>
      <c r="GR231" s="433" t="e">
        <f ca="1">MATCH(T231,INDIRECT(VLOOKUP(CONCATENATE(LEFT(BO231,7),"-",MID(BO231,13,1)),CLU!$P$3:$Q$16,2)),1)</f>
        <v>#N/A</v>
      </c>
      <c r="GS231" s="433" t="e">
        <f ca="1">MATCH(U231,INDIRECT(VLOOKUP(CONCATENATE(LEFT(BO231,7),"-",MID(BO231,13,1)),CLU!$P$3:$Q$16,2)),1)</f>
        <v>#N/A</v>
      </c>
      <c r="GT231" s="347" t="s">
        <v>512</v>
      </c>
      <c r="GU231" s="97" t="s">
        <v>513</v>
      </c>
      <c r="GV231" s="97" t="str">
        <f t="shared" si="800"/>
        <v>M23</v>
      </c>
      <c r="GW231" s="97" t="str">
        <f t="shared" si="801"/>
        <v>M31</v>
      </c>
      <c r="GX231" s="97" t="str">
        <f t="shared" si="802"/>
        <v/>
      </c>
      <c r="GY231" s="97" t="str">
        <f t="shared" si="803"/>
        <v/>
      </c>
      <c r="GZ231" s="481"/>
      <c r="HA231" s="288"/>
      <c r="HB231" s="240"/>
      <c r="HC231" s="240"/>
      <c r="HD231" s="240"/>
      <c r="HE231" s="240"/>
      <c r="HF231" s="240"/>
      <c r="HG231" s="240"/>
      <c r="HH231" s="240"/>
      <c r="HI231" s="240"/>
      <c r="HJ231" s="240"/>
      <c r="HK231" s="240"/>
      <c r="HL231" s="240"/>
      <c r="HM231" s="240"/>
      <c r="HN231" s="240"/>
      <c r="HO231" s="240"/>
      <c r="HP231" s="240"/>
      <c r="HQ231" s="240"/>
      <c r="HR231" s="240"/>
      <c r="HS231" s="240"/>
      <c r="HT231" s="240"/>
      <c r="HU231" s="240"/>
      <c r="HV231" s="245"/>
      <c r="HW231" s="245" t="b">
        <v>1</v>
      </c>
      <c r="HX231" s="245" t="str">
        <f t="shared" si="688"/>
        <v/>
      </c>
      <c r="HY231" s="245" t="e">
        <f t="shared" si="689"/>
        <v>#DIV/0!</v>
      </c>
      <c r="HZ231" s="245" t="e">
        <f t="shared" si="690"/>
        <v>#DIV/0!</v>
      </c>
      <c r="IA231" s="245">
        <f t="shared" si="691"/>
        <v>0</v>
      </c>
      <c r="IB231" s="245"/>
      <c r="IC231" t="b">
        <f t="shared" si="692"/>
        <v>1</v>
      </c>
      <c r="ID231" s="245" t="b">
        <f t="shared" si="693"/>
        <v>1</v>
      </c>
      <c r="IE231" s="245" t="b">
        <f t="shared" si="694"/>
        <v>1</v>
      </c>
      <c r="IF231" s="245" t="b">
        <f t="shared" si="695"/>
        <v>0</v>
      </c>
      <c r="IG231" s="245" t="b">
        <f t="shared" si="696"/>
        <v>1</v>
      </c>
      <c r="IH231" s="245" t="b">
        <f t="shared" si="697"/>
        <v>1</v>
      </c>
      <c r="II231" s="245">
        <f t="shared" si="804"/>
        <v>0</v>
      </c>
      <c r="IJ231" s="245" t="e">
        <f t="shared" si="698"/>
        <v>#VALUE!</v>
      </c>
      <c r="IK231" s="245" t="e">
        <f t="shared" si="699"/>
        <v>#VALUE!</v>
      </c>
      <c r="IL231" s="245"/>
      <c r="IM231" s="245" t="e">
        <f t="shared" si="805"/>
        <v>#N/A</v>
      </c>
      <c r="IN231" s="245" t="e">
        <f t="shared" si="806"/>
        <v>#N/A</v>
      </c>
      <c r="IO231" s="245"/>
      <c r="IP231" s="245"/>
      <c r="IQ231" s="245" t="str">
        <f t="shared" si="700"/>
        <v/>
      </c>
      <c r="IR231" s="245" t="str">
        <f>IF(J231="","",VLOOKUP(J231,Worksheet!$R$4:$T$14,2))</f>
        <v/>
      </c>
      <c r="IS231" s="245"/>
      <c r="IT231" s="245">
        <f t="shared" si="701"/>
        <v>0</v>
      </c>
      <c r="IU231" s="245">
        <f t="shared" si="702"/>
        <v>0</v>
      </c>
      <c r="IV231" s="245">
        <f t="shared" si="703"/>
        <v>0</v>
      </c>
      <c r="IW231" s="245">
        <f t="shared" si="704"/>
        <v>0</v>
      </c>
      <c r="IX231" s="245">
        <f t="shared" si="807"/>
        <v>0</v>
      </c>
      <c r="IY231" s="245">
        <f t="shared" si="705"/>
        <v>0</v>
      </c>
      <c r="IZ231" s="245">
        <f t="shared" si="706"/>
        <v>0</v>
      </c>
      <c r="JA231">
        <f t="shared" si="707"/>
        <v>0</v>
      </c>
      <c r="JB231">
        <f t="shared" si="808"/>
        <v>0</v>
      </c>
      <c r="JC231">
        <f t="shared" si="708"/>
        <v>0</v>
      </c>
      <c r="JD231">
        <f t="shared" si="709"/>
        <v>0</v>
      </c>
      <c r="JE231">
        <f t="shared" si="710"/>
        <v>0</v>
      </c>
      <c r="JF231">
        <f t="shared" si="711"/>
        <v>0</v>
      </c>
      <c r="JG231">
        <f t="shared" si="712"/>
        <v>0</v>
      </c>
      <c r="JH231">
        <f t="shared" si="713"/>
        <v>0</v>
      </c>
      <c r="JI231">
        <f t="shared" si="714"/>
        <v>0</v>
      </c>
      <c r="JJ231" s="447">
        <f t="shared" si="715"/>
        <v>0</v>
      </c>
      <c r="JK231" s="447">
        <f t="shared" si="716"/>
        <v>0</v>
      </c>
      <c r="JL231">
        <f t="shared" si="717"/>
        <v>0</v>
      </c>
      <c r="JM231" s="245" t="str">
        <f>IFERROR(VLOOKUP(MATCH(BN231,#REF!,0),#REF!,7),"")</f>
        <v/>
      </c>
      <c r="JN231" t="e">
        <f>HLOOKUP(LEFT(BO231,7),Discharge_Area,MATCH(JO231,LookUps!$B$130:$B$149,1)+2)</f>
        <v>#N/A</v>
      </c>
      <c r="JO231" t="str">
        <f t="shared" si="718"/>
        <v>- S</v>
      </c>
      <c r="JP231" t="e">
        <f>HLOOKUP(LEFT(BO231,7),Discharge_Area,MATCH(JO231,LookUps!$B$130:$B$149,1)+2)</f>
        <v>#N/A</v>
      </c>
      <c r="JQ231" t="e">
        <f t="shared" si="719"/>
        <v>#N/A</v>
      </c>
      <c r="JR231" t="e">
        <f t="shared" si="720"/>
        <v>#N/A</v>
      </c>
      <c r="JS231" t="e">
        <f t="shared" si="721"/>
        <v>#N/A</v>
      </c>
      <c r="JT231" s="532" t="str">
        <f t="shared" si="722"/>
        <v xml:space="preserve"> </v>
      </c>
      <c r="JU231" s="532" t="str">
        <f t="shared" si="723"/>
        <v xml:space="preserve"> </v>
      </c>
      <c r="JV231" s="533" t="str">
        <f t="shared" si="724"/>
        <v xml:space="preserve"> </v>
      </c>
      <c r="JW231" s="534">
        <f t="shared" si="725"/>
        <v>0</v>
      </c>
      <c r="JX231" s="535" t="str">
        <f t="shared" si="809"/>
        <v xml:space="preserve"> </v>
      </c>
      <c r="JY231" s="535" t="str">
        <f t="shared" si="810"/>
        <v xml:space="preserve"> </v>
      </c>
      <c r="JZ231" s="535" t="str">
        <f t="shared" si="811"/>
        <v xml:space="preserve"> </v>
      </c>
      <c r="KA231" s="536" t="str">
        <f t="shared" si="726"/>
        <v xml:space="preserve"> </v>
      </c>
      <c r="KB231" s="535" t="e">
        <f t="shared" si="812"/>
        <v>#VALUE!</v>
      </c>
      <c r="KC231" s="535" t="str">
        <f t="shared" si="727"/>
        <v/>
      </c>
      <c r="KD231" s="537" t="str">
        <f t="shared" si="813"/>
        <v xml:space="preserve"> </v>
      </c>
      <c r="KE231" s="537" t="str">
        <f t="shared" si="814"/>
        <v xml:space="preserve"> </v>
      </c>
      <c r="KF231" s="534">
        <f t="shared" si="728"/>
        <v>0</v>
      </c>
      <c r="KG231" s="535" t="str">
        <f t="shared" si="729"/>
        <v xml:space="preserve"> </v>
      </c>
      <c r="KH231" s="535" t="str">
        <f t="shared" si="730"/>
        <v xml:space="preserve"> </v>
      </c>
      <c r="KI231" s="535" t="str">
        <f t="shared" si="731"/>
        <v xml:space="preserve"> </v>
      </c>
      <c r="KJ231" s="536" t="str">
        <f t="shared" si="732"/>
        <v xml:space="preserve"> </v>
      </c>
      <c r="KK231" s="535" t="str">
        <f t="shared" si="815"/>
        <v xml:space="preserve"> </v>
      </c>
      <c r="KL231" s="535" t="str">
        <f t="shared" si="816"/>
        <v xml:space="preserve"> </v>
      </c>
      <c r="KM231" s="537" t="str">
        <f t="shared" si="733"/>
        <v xml:space="preserve"> </v>
      </c>
      <c r="KN231" s="537" t="str">
        <f t="shared" si="817"/>
        <v xml:space="preserve"> </v>
      </c>
      <c r="KP231">
        <f t="shared" si="734"/>
        <v>0</v>
      </c>
      <c r="LA231" t="e">
        <f t="shared" si="735"/>
        <v>#VALUE!</v>
      </c>
      <c r="LB231" t="e">
        <f t="shared" si="736"/>
        <v>#VALUE!</v>
      </c>
      <c r="LC231" t="e">
        <f t="shared" si="737"/>
        <v>#VALUE!</v>
      </c>
      <c r="LD231" t="e">
        <f t="shared" si="738"/>
        <v>#VALUE!</v>
      </c>
      <c r="LE231" t="e">
        <f t="shared" si="818"/>
        <v>#VALUE!</v>
      </c>
      <c r="LF231">
        <f t="shared" si="739"/>
        <v>0</v>
      </c>
      <c r="LG231" t="e">
        <f t="shared" si="819"/>
        <v>#VALUE!</v>
      </c>
      <c r="LH231" t="str">
        <f t="shared" si="740"/>
        <v xml:space="preserve"> </v>
      </c>
      <c r="LI231">
        <f t="shared" si="820"/>
        <v>1</v>
      </c>
    </row>
    <row r="232" spans="2:321" ht="15" customHeight="1">
      <c r="B232" s="311"/>
      <c r="C232" s="311"/>
      <c r="D232" s="312"/>
      <c r="E232" s="311"/>
      <c r="F232" s="312"/>
      <c r="G232" s="311"/>
      <c r="H232" s="311"/>
      <c r="I232" s="232"/>
      <c r="J232" s="311"/>
      <c r="K232" s="305" t="str">
        <f t="shared" si="741"/>
        <v/>
      </c>
      <c r="L232" s="313"/>
      <c r="M232" s="312"/>
      <c r="N232" s="311"/>
      <c r="O232" s="312"/>
      <c r="P232" s="311"/>
      <c r="Q232" s="305" t="str">
        <f t="shared" si="742"/>
        <v/>
      </c>
      <c r="R232" s="314"/>
      <c r="S232" s="450" t="str">
        <f t="shared" si="625"/>
        <v/>
      </c>
      <c r="T232" s="315"/>
      <c r="U232" s="315"/>
      <c r="W232" s="149" t="str">
        <f t="shared" si="626"/>
        <v xml:space="preserve"> </v>
      </c>
      <c r="X232" s="243" t="str">
        <f t="shared" si="627"/>
        <v xml:space="preserve"> </v>
      </c>
      <c r="Y232" s="150" t="str">
        <f t="shared" si="628"/>
        <v/>
      </c>
      <c r="Z232" s="149" t="str">
        <f t="shared" si="629"/>
        <v xml:space="preserve"> </v>
      </c>
      <c r="AA232" s="98" t="str">
        <f t="shared" si="630"/>
        <v xml:space="preserve"> </v>
      </c>
      <c r="AB232" s="153" t="str">
        <f t="shared" si="631"/>
        <v xml:space="preserve"> </v>
      </c>
      <c r="AC232" s="153" t="str">
        <f t="shared" si="632"/>
        <v xml:space="preserve"> </v>
      </c>
      <c r="AD232" s="148" t="str">
        <f t="shared" si="633"/>
        <v/>
      </c>
      <c r="AE232" s="149" t="str">
        <f t="shared" si="634"/>
        <v/>
      </c>
      <c r="AF232" s="151" t="str">
        <f t="shared" si="635"/>
        <v xml:space="preserve"> </v>
      </c>
      <c r="AG232" s="153" t="str">
        <f t="shared" si="636"/>
        <v xml:space="preserve"> </v>
      </c>
      <c r="AH232" s="98" t="str">
        <f t="shared" si="637"/>
        <v xml:space="preserve"> </v>
      </c>
      <c r="AI232" s="149" t="str">
        <f t="shared" si="638"/>
        <v xml:space="preserve"> </v>
      </c>
      <c r="AK232" s="144" t="str">
        <f t="shared" si="639"/>
        <v xml:space="preserve"> </v>
      </c>
      <c r="AL232" s="144"/>
      <c r="AM232" s="243" t="str">
        <f t="shared" si="640"/>
        <v xml:space="preserve"> </v>
      </c>
      <c r="AN232" s="149" t="str">
        <f t="shared" si="743"/>
        <v xml:space="preserve"> </v>
      </c>
      <c r="AO232" s="144" t="str">
        <f>IF(JB232&gt;0,IF(GI232=10,-R232*1.085*(Calculation!$F$6-Calculation!$F$13)*$S$14," "),"")</f>
        <v/>
      </c>
      <c r="AP232" s="144" t="str">
        <f t="shared" si="641"/>
        <v/>
      </c>
      <c r="AQ232" s="56" t="str">
        <f t="shared" si="642"/>
        <v/>
      </c>
      <c r="AR232" s="144" t="str">
        <f t="shared" si="643"/>
        <v/>
      </c>
      <c r="AS232" s="176" t="str">
        <f t="shared" si="644"/>
        <v/>
      </c>
      <c r="AT232" s="176" t="str">
        <f t="shared" si="744"/>
        <v xml:space="preserve"> </v>
      </c>
      <c r="AU232" s="176" t="str">
        <f t="shared" si="645"/>
        <v/>
      </c>
      <c r="AV232" s="177" t="str">
        <f t="shared" si="646"/>
        <v xml:space="preserve"> </v>
      </c>
      <c r="AW232" s="144" t="str">
        <f t="shared" si="647"/>
        <v xml:space="preserve"> </v>
      </c>
      <c r="AX232" s="144" t="str">
        <f t="shared" si="648"/>
        <v xml:space="preserve"> </v>
      </c>
      <c r="AY232" s="152" t="str">
        <f t="shared" si="649"/>
        <v xml:space="preserve"> </v>
      </c>
      <c r="AZ232" s="246" t="str">
        <f t="shared" si="650"/>
        <v/>
      </c>
      <c r="BA232" s="176" t="str">
        <f t="shared" si="651"/>
        <v xml:space="preserve"> </v>
      </c>
      <c r="BB232" s="176" t="str">
        <f t="shared" si="652"/>
        <v xml:space="preserve"> </v>
      </c>
      <c r="BC232" s="195"/>
      <c r="BD232" s="316"/>
      <c r="BE232" s="317"/>
      <c r="BF232" s="318"/>
      <c r="BG232" s="318"/>
      <c r="BH232" s="144" t="str">
        <f t="shared" si="821"/>
        <v xml:space="preserve"> </v>
      </c>
      <c r="BI232" s="176" t="str">
        <f t="shared" si="653"/>
        <v/>
      </c>
      <c r="BJ232" s="144" t="str">
        <f t="shared" si="822"/>
        <v/>
      </c>
      <c r="BK232" s="246" t="str">
        <f t="shared" si="654"/>
        <v/>
      </c>
      <c r="BL232" s="144" t="str">
        <f t="shared" si="823"/>
        <v/>
      </c>
      <c r="BM232" s="246" t="str">
        <f t="shared" si="655"/>
        <v/>
      </c>
      <c r="BN232" s="337" t="str">
        <f t="shared" si="745"/>
        <v/>
      </c>
      <c r="BO232" s="371" t="str">
        <f t="shared" si="746"/>
        <v/>
      </c>
      <c r="BP232" s="328" t="str">
        <f t="shared" si="824"/>
        <v xml:space="preserve"> </v>
      </c>
      <c r="BQ232" s="347" t="str">
        <f t="shared" si="747"/>
        <v xml:space="preserve"> </v>
      </c>
      <c r="BR232" s="353" t="str">
        <f t="shared" si="748"/>
        <v xml:space="preserve"> </v>
      </c>
      <c r="BS232" s="626" t="str">
        <f>IF(L232&gt;0,IF(Calculation!P232="M13",BR232*3.1416*(0.134^2)/(4*144),IF(Calculation!P232="M17",BR232*3.1416*(0.165^2)/(4*144),IF(Calculation!P232="M20",BR232*3.1416*(0.198^2)/(4*144),IF(Calculation!P232="M23",BR232*3.1416*(0.228^2)/(4*144),IF(Calculation!P232="M27",BR232*3.1416*(0.269^2)/(4*144),BR232*3.1416*(0.307^2)/(4*144))))))," ")</f>
        <v xml:space="preserve"> </v>
      </c>
      <c r="BT232" s="353" t="str">
        <f>IF(L232&gt;0,IF(BS232&gt;0,R232/Calculation!BS232,0)," ")</f>
        <v xml:space="preserve"> </v>
      </c>
      <c r="BU232" s="438" t="e">
        <f t="shared" ca="1" si="656"/>
        <v>#VALUE!</v>
      </c>
      <c r="BV232" s="449" t="e">
        <f ca="1">INDEX(INDIRECT(VLOOKUP(LEFT(BO232,7),CLU!$Z$3:$AH$18,2)),GN232,GR232)</f>
        <v>#N/A</v>
      </c>
      <c r="BW232" s="433" t="e">
        <f ca="1">INDEX(INDIRECT(VLOOKUP(LEFT(BO232,7),CLU!$Z$3:$AH$18,3)),GN232,GR232)</f>
        <v>#N/A</v>
      </c>
      <c r="BX232" s="433" t="e">
        <f ca="1">INDEX(INDIRECT(VLOOKUP(LEFT(BO232,7),CLU!$Z$3:$AH$18,4)),GN232,GR232)</f>
        <v>#N/A</v>
      </c>
      <c r="BY232" s="433" t="e">
        <f ca="1">INDEX(INDIRECT(VLOOKUP(LEFT(BO232,7),CLU!$Z$3:$AH$18,9)),((M232-2)*(6-COUNTBLANK(GT232:GY232)))+GJ232)</f>
        <v>#N/A</v>
      </c>
      <c r="BZ232" s="426" t="e">
        <f t="shared" ca="1" si="749"/>
        <v>#N/A</v>
      </c>
      <c r="CA232" s="424" t="e">
        <f t="shared" ca="1" si="750"/>
        <v>#N/A</v>
      </c>
      <c r="CB232" s="429" t="e">
        <f ca="1">INDEX(INDIRECT(VLOOKUP(LEFT(BO232,7),CLU!$Z$3:$AH$18,2)),GN232,GS232)</f>
        <v>#N/A</v>
      </c>
      <c r="CC232" s="342" t="e">
        <f ca="1">INDEX(INDIRECT(VLOOKUP(LEFT(BO232,7),CLU!$Z$3:$AH$18,3)),GN232,GS232)</f>
        <v>#N/A</v>
      </c>
      <c r="CD232" s="342" t="e">
        <f ca="1">INDEX(INDIRECT(VLOOKUP(LEFT(BO232,7),CLU!$Z$3:$AH$18,4)),GN232,GS232)</f>
        <v>#N/A</v>
      </c>
      <c r="CE232" s="426" t="e">
        <f t="shared" ca="1" si="751"/>
        <v>#N/A</v>
      </c>
      <c r="CF232" s="440">
        <f t="shared" si="752"/>
        <v>0</v>
      </c>
      <c r="CG232" s="431" t="e">
        <f ca="1">INDEX(INDIRECT(VLOOKUP(LEFT(BO232,7),CLU!$Z$3:$AH$18,2)),GQ232,GR232)</f>
        <v>#N/A</v>
      </c>
      <c r="CH232" s="431" t="e">
        <f ca="1">INDEX(INDIRECT(VLOOKUP(LEFT(BO232,7),CLU!$Z$3:$AH$18,3)),GQ232,GR232)</f>
        <v>#N/A</v>
      </c>
      <c r="CI232" s="431" t="e">
        <f ca="1">INDEX(INDIRECT(VLOOKUP(LEFT(BO232,7),CLU!$Z$3:$AH$18,4)),GQ232,GR232)</f>
        <v>#N/A</v>
      </c>
      <c r="CJ232" s="448" t="e">
        <f t="shared" ca="1" si="753"/>
        <v>#N/A</v>
      </c>
      <c r="CK232" s="431" t="e">
        <f t="shared" ca="1" si="754"/>
        <v>#N/A</v>
      </c>
      <c r="CL232" s="440" t="e">
        <f t="shared" ca="1" si="755"/>
        <v>#N/A</v>
      </c>
      <c r="CM232" s="431" t="e">
        <f ca="1">INDEX(INDIRECT(VLOOKUP(LEFT(BO232,7),CLU!$Z$3:$AH$18,2)),GQ232,GS232)</f>
        <v>#N/A</v>
      </c>
      <c r="CN232" s="431" t="e">
        <f ca="1">INDEX(INDIRECT(VLOOKUP(LEFT(BO232,7),CLU!$Z$3:$AH$18,3)),GQ232,GS232)</f>
        <v>#N/A</v>
      </c>
      <c r="CO232" s="431" t="e">
        <f ca="1">INDEX(INDIRECT(VLOOKUP(LEFT(BO232,7),CLU!$Z$3:$AH$18,4)),GQ232,GS232)</f>
        <v>#N/A</v>
      </c>
      <c r="CP232" s="431" t="e">
        <f t="shared" ca="1" si="756"/>
        <v>#N/A</v>
      </c>
      <c r="CQ232" s="440">
        <f t="shared" si="757"/>
        <v>0</v>
      </c>
      <c r="CR232" s="51" t="e">
        <f t="shared" ca="1" si="758"/>
        <v>#N/A</v>
      </c>
      <c r="CS232" s="439" t="e">
        <f t="shared" ca="1" si="759"/>
        <v>#VALUE!</v>
      </c>
      <c r="CT232" s="51" t="e">
        <f t="shared" ca="1" si="760"/>
        <v>#VALUE!</v>
      </c>
      <c r="CU232" s="10"/>
      <c r="CV232" s="51" t="e">
        <f t="shared" ca="1" si="657"/>
        <v>#VALUE!</v>
      </c>
      <c r="CW232" s="51">
        <f t="shared" si="761"/>
        <v>0</v>
      </c>
      <c r="CX232" s="439" t="e">
        <f t="shared" ca="1" si="762"/>
        <v>#VALUE!</v>
      </c>
      <c r="CY232" s="51" t="e">
        <f t="shared" ca="1" si="763"/>
        <v>#VALUE!</v>
      </c>
      <c r="CZ232" s="10"/>
      <c r="DA232" s="51" t="e">
        <f t="shared" ca="1" si="764"/>
        <v>#VALUE!</v>
      </c>
      <c r="DB232" s="347" t="e">
        <f ca="1">INDEX(INDIRECT(VLOOKUP(LEFT(BO232,7),CLU!$Z$3:$AI$18,10)),((M232-2)*(6-COUNTBLANK(GT232:GY232)))+GJ232)*LI232</f>
        <v>#N/A</v>
      </c>
      <c r="DC232" s="347" t="str">
        <f>IF(L232&gt;0,((R232/Worksheet!$I$15)/DB232)^2," ")</f>
        <v xml:space="preserve"> </v>
      </c>
      <c r="DD232" s="602" t="str">
        <f t="shared" si="765"/>
        <v xml:space="preserve"> </v>
      </c>
      <c r="DE232" s="347" t="str">
        <f t="shared" si="658"/>
        <v xml:space="preserve"> </v>
      </c>
      <c r="DF232" s="356" t="e">
        <f ca="1">INDEX(INDIRECT(VLOOKUP(LEFT(BO232,7),CLU!$Z$3:$AH$18,8)),((M232-2)*(6-COUNTBLANK(GT232:GY232)))+GJ232)</f>
        <v>#N/A</v>
      </c>
      <c r="DG232" s="347" t="str">
        <f t="shared" si="659"/>
        <v xml:space="preserve"> </v>
      </c>
      <c r="DH232" s="357" t="str">
        <f t="shared" si="660"/>
        <v xml:space="preserve"> </v>
      </c>
      <c r="DI232" s="355" t="str">
        <f t="shared" si="661"/>
        <v xml:space="preserve"> </v>
      </c>
      <c r="DJ232" s="245" t="e">
        <f ca="1">INDEX(INDIRECT(VLOOKUP(LEFT(BO232,7),CLU!$Z$3:$AH$18,5)),GL232,GK232)</f>
        <v>#N/A</v>
      </c>
      <c r="DK232" s="245" t="e">
        <f ca="1">INDEX(INDIRECT(VLOOKUP(LEFT(BO232,7),CLU!$Z$3:$AH$18,6)),GL232,GK232)</f>
        <v>#N/A</v>
      </c>
      <c r="DL232" s="355">
        <f>(Calculation!R232*0.69143*(Calculation!$BQ$8-Calculation!$F$8))*$S$14</f>
        <v>0</v>
      </c>
      <c r="DM232" s="359" t="e">
        <f t="shared" si="766"/>
        <v>#VALUE!</v>
      </c>
      <c r="DN232" s="611">
        <f t="shared" si="767"/>
        <v>0</v>
      </c>
      <c r="DO232" s="359">
        <f t="shared" si="768"/>
        <v>100</v>
      </c>
      <c r="DP232" s="359">
        <f t="shared" si="769"/>
        <v>0</v>
      </c>
      <c r="DQ232" s="360"/>
      <c r="DR232" s="245" t="e">
        <f ca="1">INDEX(INDIRECT(VLOOKUP(LEFT(BO232,7),CLU!$Z$3:$AH$18,7)),M232-1,1)</f>
        <v>#N/A</v>
      </c>
      <c r="DS232" s="245" t="e">
        <f ca="1">INDEX(INDIRECT(VLOOKUP(LEFT(BO232,7),CLU!$Z$3:$AH$18,7)),M232-1,2)</f>
        <v>#N/A</v>
      </c>
      <c r="DT232" s="245" t="e">
        <f ca="1">INDEX(INDIRECT(VLOOKUP(LEFT(BO232,7),CLU!$Z$3:$AH$18,7)),M232-1,3)</f>
        <v>#N/A</v>
      </c>
      <c r="DU232" s="245" t="e">
        <f ca="1">INDEX(INDIRECT(VLOOKUP(LEFT(BO232,7),CLU!$Z$3:$AH$18,7)),M232-1,4)</f>
        <v>#N/A</v>
      </c>
      <c r="DV232" s="361" t="e">
        <f ca="1">INDEX(INDIRECT(VLOOKUP(LEFT(BO232,7),CLU!$Z$3:$AH$18,7)),M232-1,4+LEFT(DZ232,1)*0.5)</f>
        <v>#N/A</v>
      </c>
      <c r="DW232" s="245" t="e">
        <f ca="1">INDEX(INDIRECT(VLOOKUP(LEFT(BO232,7),CLU!$Z$3:$AH$18,7)),M232-1,8)</f>
        <v>#N/A</v>
      </c>
      <c r="DX232" s="361" t="str">
        <f t="shared" si="662"/>
        <v xml:space="preserve"> </v>
      </c>
      <c r="DY232" s="361" t="str">
        <f t="shared" si="663"/>
        <v xml:space="preserve"> </v>
      </c>
      <c r="DZ232" s="361" t="str">
        <f t="shared" si="664"/>
        <v xml:space="preserve"> </v>
      </c>
      <c r="EA232" s="362" t="str">
        <f t="shared" si="665"/>
        <v xml:space="preserve"> </v>
      </c>
      <c r="EB232" s="624" t="str">
        <f t="shared" si="770"/>
        <v xml:space="preserve"> </v>
      </c>
      <c r="EC232" s="361" t="e">
        <f ca="1">INDEX(INDIRECT(VLOOKUP(LEFT(BO232,7),CLU!$Z$3:$AH$18,7)),M232-1,4+LEFT(DZ232,1)*0.5)</f>
        <v>#N/A</v>
      </c>
      <c r="ED232" s="362" t="str">
        <f t="shared" si="666"/>
        <v xml:space="preserve"> </v>
      </c>
      <c r="EE232" s="361" t="str">
        <f t="shared" si="667"/>
        <v xml:space="preserve"> </v>
      </c>
      <c r="EF232" s="362" t="str">
        <f>IF(L232&gt;0,IF(BR232&gt;0,IF(EE232="2P",IF(Calculation!DZ232="2P",IF(Calculation!DS232=13.75,IF(Calculation!DR232=13,Worksheet!$BD$43,IF(Calculation!DR232=37,Worksheet!$BD$44,Worksheet!$BD$45)),IF(Calculation!DS232=10,IF(Calculation!DR232=18,Worksheet!$BD$29,IF(Calculation!DR232=30,Worksheet!$BD$30,IF(Calculation!DR232=42,Worksheet!$BD$31,IF(Calculation!DR232=54,Worksheet!$BD$32,IF(Calculation!DR232=66,Worksheet!$BD$33,IF(Calculation!DR232=78,Worksheet!$BD$34,IF(Calculation!DR232=90,Worksheet!$BD$35,IF(Calculation!DR232=102,Worksheet!$BD$36,Worksheet!$BD$37)))))))),IF(Calculation!DS232=12.5,IF(Calculation!DR232=18,Worksheet!$BD$38,IF(Calculation!DR232=Worksheet!$BD$39,IF(Calculation!DR232=42,Worksheet!$BD$40,IF(Calculation!DR232=54,Worksheet!$BD$41,Worksheet!$BD$42)))),IF(Calculation!DR232=18,Worksheet!$BD$11,IF(Calculation!DR232=30,Worksheet!$BD$12,IF(Calculation!DR232=42,Worksheet!$BD$13,IF(Calculation!DR232=54,Worksheet!$BD$14,IF(Calculation!DR232=66,Worksheet!$BD$15,IF(Calculation!DR232=78,Worksheet!$BD$16,IF(Calculation!DR232=90,Worksheet!$BD$17,IF(Calculation!DR232=102,Worksheet!$BD$18,Worksheet!$BD$19))))))))))),IF(Calculation!DS232=13.75,IF(Calculation!DR232=13,Worksheet!$BD$78,IF(Calculation!DR232=37,Worksheet!$BD$79,Worksheet!$BD$80)),IF(Calculation!DS232=10,IF(Calculation!DR232=18,Worksheet!$BD$64,IF(Calculation!DR232=30,Worksheet!$BD$65,IF(Calculation!DR232=42,Worksheet!$BD$66,IF(Calculation!DR232=54,Worksheet!$BD$68,IF(Calculation!DR232=66,Worksheet!$BD$68,IF(Calculation!DR232=78,Worksheet!$BD$69,IF(Calculation!DR232=90,Worksheet!$BD$70,IF(Calculation!DR232=102,Worksheet!$BD$71,Worksheet!$BD$72)))))))),IF(Calculation!DS232=12.5,IF(Calculation!DR232=18,Worksheet!$BD$73,IF(Calculation!DR232=Worksheet!$BD$74,IF(Calculation!DR232=42,Worksheet!$BD$75,IF(Calculation!DR232=54,Worksheet!$BD$76,Worksheet!$BD$77)))),IF(Calculation!DR232=18,Worksheet!$BD$55,IF(Calculation!DR232=30,Worksheet!$BD$56,IF(Calculation!DR232=42,Worksheet!$BD$57,IF(Calculation!DR232=54,Worksheet!$BD$58,IF(Calculation!DR232=66,Worksheet!$BD$59,IF(Calculation!DR232=78,Worksheet!$BD$60,IF(Calculation!DR232=90,Worksheet!$BD$61,IF(Calculation!DR232=102,Worksheet!$BD$62,Worksheet!$BD$63)))))))))))),5),0)," ")</f>
        <v xml:space="preserve"> </v>
      </c>
      <c r="EG232" s="361" t="str">
        <f t="shared" si="668"/>
        <v xml:space="preserve"> </v>
      </c>
      <c r="EH232" s="361" t="e">
        <f ca="1">INDEX(INDIRECT(VLOOKUP(LEFT(BO232,7),CLU!$Z$3:$AH$18,7)),M232-1,3+LEFT(DZ232,1))</f>
        <v>#N/A</v>
      </c>
      <c r="EI232" s="362" t="str">
        <f t="shared" si="669"/>
        <v xml:space="preserve"> </v>
      </c>
      <c r="EJ232" s="363" t="str">
        <f t="shared" si="670"/>
        <v xml:space="preserve"> </v>
      </c>
      <c r="EK232" s="363" t="str">
        <f t="shared" si="671"/>
        <v xml:space="preserve"> </v>
      </c>
      <c r="EL232" s="363" t="str">
        <f t="shared" si="672"/>
        <v xml:space="preserve"> </v>
      </c>
      <c r="EM232" s="362" t="str">
        <f>IF(L232&gt;0,IF(BR232&gt;0,(Calculation!T232/ED232)^2,0)," ")</f>
        <v xml:space="preserve"> </v>
      </c>
      <c r="EN232" s="362" t="str">
        <f>IF(L232&gt;0,IF(O232="2 Pipe (Cooling)","N/A",IF(BR232&gt;0,(Calculation!U232/EI232)^2,0))," ")</f>
        <v xml:space="preserve"> </v>
      </c>
      <c r="EO232" s="361" t="str">
        <f t="shared" si="673"/>
        <v/>
      </c>
      <c r="EP232" s="361" t="str">
        <f t="shared" si="674"/>
        <v/>
      </c>
      <c r="EQ232" s="361" t="str">
        <f t="shared" si="675"/>
        <v/>
      </c>
      <c r="ER232" s="361" t="str">
        <f t="shared" si="676"/>
        <v/>
      </c>
      <c r="ES232" s="361" t="str">
        <f t="shared" si="677"/>
        <v/>
      </c>
      <c r="ET232" s="361" t="str">
        <f t="shared" si="678"/>
        <v/>
      </c>
      <c r="EU232" s="361" t="str">
        <f t="shared" si="679"/>
        <v/>
      </c>
      <c r="EV232" s="361" t="str">
        <f t="shared" si="680"/>
        <v/>
      </c>
      <c r="EW232" s="361" t="str">
        <f t="shared" si="681"/>
        <v/>
      </c>
      <c r="EX232" s="361" t="str">
        <f t="shared" si="771"/>
        <v>1 slot, 1 way</v>
      </c>
      <c r="EY232" s="361" t="str">
        <f t="shared" si="772"/>
        <v xml:space="preserve"> </v>
      </c>
      <c r="EZ232" s="361" t="str">
        <f t="shared" si="773"/>
        <v xml:space="preserve"> </v>
      </c>
      <c r="FA232" s="361" t="str">
        <f t="shared" si="774"/>
        <v xml:space="preserve"> </v>
      </c>
      <c r="FB232" s="361" t="str">
        <f t="shared" si="775"/>
        <v xml:space="preserve"> </v>
      </c>
      <c r="FC232" s="361"/>
      <c r="FD232" s="361" t="str">
        <f>IF(J232&gt;0,IF(Calculation!R232&lt;=70,4,IF(Calculation!R232&lt;=110,5,IF(Calculation!R232&lt;=160,6,IF(Calculation!R232&lt;=300,8,"10 EO")))),"")</f>
        <v/>
      </c>
      <c r="FE232" s="361" t="str">
        <f t="shared" si="776"/>
        <v/>
      </c>
      <c r="FF232" s="361" t="str">
        <f t="shared" si="777"/>
        <v/>
      </c>
      <c r="FG232" s="361" t="e">
        <f t="shared" si="682"/>
        <v>#N/A</v>
      </c>
      <c r="FH232" s="361">
        <f t="shared" si="683"/>
        <v>0</v>
      </c>
      <c r="FI232" s="361" t="e">
        <f t="shared" si="684"/>
        <v>#DIV/0!</v>
      </c>
      <c r="FJ232" s="361"/>
      <c r="FK232" s="356" t="e">
        <f t="shared" si="685"/>
        <v>#VALUE!</v>
      </c>
      <c r="FL232" s="361"/>
      <c r="FM232" s="361"/>
      <c r="FN232" s="362" t="str">
        <f t="shared" si="778"/>
        <v xml:space="preserve"> </v>
      </c>
      <c r="FO232" s="362" t="str">
        <f t="shared" si="779"/>
        <v xml:space="preserve"> </v>
      </c>
      <c r="FP232" s="362">
        <f t="shared" si="780"/>
        <v>0</v>
      </c>
      <c r="FQ232" s="361">
        <f t="shared" si="686"/>
        <v>0</v>
      </c>
      <c r="FR232" s="362" t="str">
        <f>IF(L232&gt;0,IF(J232="CBAL2",Worksheet!$P$67,IF(J232="CBE2-24",Worksheet!$Q$67,IF(J232="CBAM",Worksheet!$R$67,IF(J232="CBLV",Worksheet!$S$67,IF(J232="CBAB",Worksheet!$U$67,IF(J232="CBAW",Worksheet!$X$67,IF(J232="CBE2-12",Worksheet!$Y$67,IF(J232="CBAL2",Worksheet!$Z$67,"N/A"))))))))," ")</f>
        <v xml:space="preserve"> </v>
      </c>
      <c r="FS232" s="362" t="str">
        <f>IF(L232&gt;0,IF(J232="CBAL2",Worksheet!$P$68,IF(J232="CBE2-24",Worksheet!$Q$68,IF(J232="CBAM",Worksheet!$R$68,IF(J232="CBLV",Worksheet!$S$68,IF(J232="CBAB",Worksheet!$U$68,IF(J232="CBAW",Worksheet!$X$68,IF(J232="CBE2-12",Worksheet!$Y$68,IF(J232="CBAL2",Worksheet!$Z$68,"N/A"))))))))," ")</f>
        <v xml:space="preserve"> </v>
      </c>
      <c r="FT232" s="362" t="str">
        <f>IF(L232&gt;0,IF(J232="CBAL2",Worksheet!$P$69,IF(J232="CBE2-24",Worksheet!$Q$69,IF(J232="CBAM",Worksheet!$R$69,IF(J232="CBLV",Worksheet!$S$69,IF(J232="CBAB",Worksheet!$U$69,IF(J232="CBAW",Worksheet!$X$69,IF(J232="CBE2-12",Worksheet!$Y$69,IF(J232="CBAL2",Worksheet!$Z$69,"N/A"))))))))," ")</f>
        <v xml:space="preserve"> </v>
      </c>
      <c r="FU232" s="361" t="str">
        <f t="shared" si="781"/>
        <v xml:space="preserve"> </v>
      </c>
      <c r="FV232" s="362" t="str">
        <f t="shared" si="782"/>
        <v xml:space="preserve"> </v>
      </c>
      <c r="FW232" s="362" t="str">
        <f t="shared" si="783"/>
        <v xml:space="preserve"> </v>
      </c>
      <c r="FX232" s="362" t="str">
        <f t="shared" si="784"/>
        <v xml:space="preserve"> </v>
      </c>
      <c r="FY232" s="355" t="str">
        <f t="shared" si="785"/>
        <v xml:space="preserve"> </v>
      </c>
      <c r="FZ232" s="361" t="str">
        <f t="shared" si="786"/>
        <v xml:space="preserve"> </v>
      </c>
      <c r="GA232" s="347" t="str">
        <f t="shared" si="787"/>
        <v xml:space="preserve"> </v>
      </c>
      <c r="GB232" s="355" t="str">
        <f t="shared" si="788"/>
        <v xml:space="preserve"> </v>
      </c>
      <c r="GC232" s="328" t="str">
        <f t="shared" si="789"/>
        <v xml:space="preserve"> </v>
      </c>
      <c r="GD232" s="361" t="str">
        <f t="shared" si="790"/>
        <v xml:space="preserve"> </v>
      </c>
      <c r="GE232" s="347" t="str">
        <f t="shared" si="791"/>
        <v xml:space="preserve"> </v>
      </c>
      <c r="GF232" s="361" t="str">
        <f t="shared" si="792"/>
        <v xml:space="preserve"> </v>
      </c>
      <c r="GG232" s="347" t="str">
        <f t="shared" si="793"/>
        <v xml:space="preserve"> </v>
      </c>
      <c r="GH232" s="364">
        <f t="shared" si="687"/>
        <v>0</v>
      </c>
      <c r="GI232" s="362">
        <f t="shared" si="794"/>
        <v>2</v>
      </c>
      <c r="GJ232" s="433" t="e">
        <f>IF(6-COUNTBLANK(GT232:GY232)=4,MATCH(MID(BO232,9,3),CLU!$H$16:$K$16),MATCH(MID(BO232,9,3),CLU!$H$13:$M$13))</f>
        <v>#N/A</v>
      </c>
      <c r="GK232" s="433" t="e">
        <f>HLOOKUP(VALUE(BP232),CLU!$H$9:$M$10,2)</f>
        <v>#VALUE!</v>
      </c>
      <c r="GL232" s="433" t="e">
        <f ca="1">MATCH(BU232,CLU!$H$2:$V$2,1)</f>
        <v>#VALUE!</v>
      </c>
      <c r="GM232" s="433" t="e">
        <f t="shared" ca="1" si="795"/>
        <v>#VALUE!</v>
      </c>
      <c r="GN232" s="433" t="e">
        <f t="shared" ca="1" si="796"/>
        <v>#VALUE!</v>
      </c>
      <c r="GO232" s="433" t="e">
        <f t="shared" ca="1" si="797"/>
        <v>#VALUE!</v>
      </c>
      <c r="GP232" s="433" t="e">
        <f t="shared" ca="1" si="798"/>
        <v>#VALUE!</v>
      </c>
      <c r="GQ232" s="433" t="e">
        <f t="shared" ca="1" si="799"/>
        <v>#VALUE!</v>
      </c>
      <c r="GR232" s="433" t="e">
        <f ca="1">MATCH(T232,INDIRECT(VLOOKUP(CONCATENATE(LEFT(BO232,7),"-",MID(BO232,13,1)),CLU!$P$3:$Q$16,2)),1)</f>
        <v>#N/A</v>
      </c>
      <c r="GS232" s="433" t="e">
        <f ca="1">MATCH(U232,INDIRECT(VLOOKUP(CONCATENATE(LEFT(BO232,7),"-",MID(BO232,13,1)),CLU!$P$3:$Q$16,2)),1)</f>
        <v>#N/A</v>
      </c>
      <c r="GT232" s="347" t="s">
        <v>512</v>
      </c>
      <c r="GU232" s="97" t="s">
        <v>513</v>
      </c>
      <c r="GV232" s="97" t="str">
        <f t="shared" si="800"/>
        <v>M23</v>
      </c>
      <c r="GW232" s="97" t="str">
        <f t="shared" si="801"/>
        <v>M31</v>
      </c>
      <c r="GX232" s="97" t="str">
        <f t="shared" si="802"/>
        <v/>
      </c>
      <c r="GY232" s="97" t="str">
        <f t="shared" si="803"/>
        <v/>
      </c>
      <c r="GZ232" s="481"/>
      <c r="HA232" s="288"/>
      <c r="HB232" s="240"/>
      <c r="HC232" s="240"/>
      <c r="HD232" s="240"/>
      <c r="HE232" s="240"/>
      <c r="HF232" s="240"/>
      <c r="HG232" s="240"/>
      <c r="HH232" s="240"/>
      <c r="HI232" s="240"/>
      <c r="HJ232" s="240"/>
      <c r="HK232" s="240"/>
      <c r="HL232" s="240"/>
      <c r="HM232" s="240"/>
      <c r="HN232" s="240"/>
      <c r="HO232" s="240"/>
      <c r="HP232" s="240"/>
      <c r="HQ232" s="240"/>
      <c r="HR232" s="240"/>
      <c r="HS232" s="240"/>
      <c r="HT232" s="240"/>
      <c r="HU232" s="240"/>
      <c r="HV232" s="245"/>
      <c r="HW232" s="245" t="b">
        <v>1</v>
      </c>
      <c r="HX232" s="245" t="str">
        <f t="shared" si="688"/>
        <v/>
      </c>
      <c r="HY232" s="245" t="e">
        <f t="shared" si="689"/>
        <v>#DIV/0!</v>
      </c>
      <c r="HZ232" s="245" t="e">
        <f t="shared" si="690"/>
        <v>#DIV/0!</v>
      </c>
      <c r="IA232" s="245">
        <f t="shared" si="691"/>
        <v>0</v>
      </c>
      <c r="IB232" s="245"/>
      <c r="IC232" t="b">
        <f t="shared" si="692"/>
        <v>1</v>
      </c>
      <c r="ID232" s="245" t="b">
        <f t="shared" si="693"/>
        <v>1</v>
      </c>
      <c r="IE232" s="245" t="b">
        <f t="shared" si="694"/>
        <v>1</v>
      </c>
      <c r="IF232" s="245" t="b">
        <f t="shared" si="695"/>
        <v>0</v>
      </c>
      <c r="IG232" s="245" t="b">
        <f t="shared" si="696"/>
        <v>1</v>
      </c>
      <c r="IH232" s="245" t="b">
        <f t="shared" si="697"/>
        <v>1</v>
      </c>
      <c r="II232" s="245">
        <f t="shared" si="804"/>
        <v>0</v>
      </c>
      <c r="IJ232" s="245" t="e">
        <f t="shared" si="698"/>
        <v>#VALUE!</v>
      </c>
      <c r="IK232" s="245" t="e">
        <f t="shared" si="699"/>
        <v>#VALUE!</v>
      </c>
      <c r="IL232" s="245"/>
      <c r="IM232" s="245" t="e">
        <f t="shared" si="805"/>
        <v>#N/A</v>
      </c>
      <c r="IN232" s="245" t="e">
        <f t="shared" si="806"/>
        <v>#N/A</v>
      </c>
      <c r="IO232" s="245"/>
      <c r="IP232" s="245"/>
      <c r="IQ232" s="245" t="str">
        <f t="shared" si="700"/>
        <v/>
      </c>
      <c r="IR232" s="245" t="str">
        <f>IF(J232="","",VLOOKUP(J232,Worksheet!$R$4:$T$14,2))</f>
        <v/>
      </c>
      <c r="IS232" s="245"/>
      <c r="IT232" s="245">
        <f t="shared" si="701"/>
        <v>0</v>
      </c>
      <c r="IU232" s="245">
        <f t="shared" si="702"/>
        <v>0</v>
      </c>
      <c r="IV232" s="245">
        <f t="shared" si="703"/>
        <v>0</v>
      </c>
      <c r="IW232" s="245">
        <f t="shared" si="704"/>
        <v>0</v>
      </c>
      <c r="IX232" s="245">
        <f t="shared" si="807"/>
        <v>0</v>
      </c>
      <c r="IY232" s="245">
        <f t="shared" si="705"/>
        <v>0</v>
      </c>
      <c r="IZ232" s="245">
        <f t="shared" si="706"/>
        <v>0</v>
      </c>
      <c r="JA232">
        <f t="shared" si="707"/>
        <v>0</v>
      </c>
      <c r="JB232">
        <f t="shared" si="808"/>
        <v>0</v>
      </c>
      <c r="JC232">
        <f t="shared" si="708"/>
        <v>0</v>
      </c>
      <c r="JD232">
        <f t="shared" si="709"/>
        <v>0</v>
      </c>
      <c r="JE232">
        <f t="shared" si="710"/>
        <v>0</v>
      </c>
      <c r="JF232">
        <f t="shared" si="711"/>
        <v>0</v>
      </c>
      <c r="JG232">
        <f t="shared" si="712"/>
        <v>0</v>
      </c>
      <c r="JH232">
        <f t="shared" si="713"/>
        <v>0</v>
      </c>
      <c r="JI232">
        <f t="shared" si="714"/>
        <v>0</v>
      </c>
      <c r="JJ232" s="447">
        <f t="shared" si="715"/>
        <v>0</v>
      </c>
      <c r="JK232" s="447">
        <f t="shared" si="716"/>
        <v>0</v>
      </c>
      <c r="JL232">
        <f t="shared" si="717"/>
        <v>0</v>
      </c>
      <c r="JM232" s="245" t="str">
        <f>IFERROR(VLOOKUP(MATCH(BN232,#REF!,0),#REF!,7),"")</f>
        <v/>
      </c>
      <c r="JN232" t="e">
        <f>HLOOKUP(LEFT(BO232,7),Discharge_Area,MATCH(JO232,LookUps!$B$130:$B$149,1)+2)</f>
        <v>#N/A</v>
      </c>
      <c r="JO232" t="str">
        <f t="shared" si="718"/>
        <v>- S</v>
      </c>
      <c r="JP232" t="e">
        <f>HLOOKUP(LEFT(BO232,7),Discharge_Area,MATCH(JO232,LookUps!$B$130:$B$149,1)+2)</f>
        <v>#N/A</v>
      </c>
      <c r="JQ232" t="e">
        <f t="shared" si="719"/>
        <v>#N/A</v>
      </c>
      <c r="JR232" t="e">
        <f t="shared" si="720"/>
        <v>#N/A</v>
      </c>
      <c r="JS232" t="e">
        <f t="shared" si="721"/>
        <v>#N/A</v>
      </c>
      <c r="JT232" s="532" t="str">
        <f t="shared" si="722"/>
        <v xml:space="preserve"> </v>
      </c>
      <c r="JU232" s="532" t="str">
        <f t="shared" si="723"/>
        <v xml:space="preserve"> </v>
      </c>
      <c r="JV232" s="533" t="str">
        <f t="shared" si="724"/>
        <v xml:space="preserve"> </v>
      </c>
      <c r="JW232" s="534">
        <f t="shared" si="725"/>
        <v>0</v>
      </c>
      <c r="JX232" s="535" t="str">
        <f t="shared" si="809"/>
        <v xml:space="preserve"> </v>
      </c>
      <c r="JY232" s="535" t="str">
        <f t="shared" si="810"/>
        <v xml:space="preserve"> </v>
      </c>
      <c r="JZ232" s="535" t="str">
        <f t="shared" si="811"/>
        <v xml:space="preserve"> </v>
      </c>
      <c r="KA232" s="536" t="str">
        <f t="shared" si="726"/>
        <v xml:space="preserve"> </v>
      </c>
      <c r="KB232" s="535" t="e">
        <f t="shared" si="812"/>
        <v>#VALUE!</v>
      </c>
      <c r="KC232" s="535" t="str">
        <f t="shared" si="727"/>
        <v/>
      </c>
      <c r="KD232" s="537" t="str">
        <f t="shared" si="813"/>
        <v xml:space="preserve"> </v>
      </c>
      <c r="KE232" s="537" t="str">
        <f t="shared" si="814"/>
        <v xml:space="preserve"> </v>
      </c>
      <c r="KF232" s="534">
        <f t="shared" si="728"/>
        <v>0</v>
      </c>
      <c r="KG232" s="535" t="str">
        <f t="shared" si="729"/>
        <v xml:space="preserve"> </v>
      </c>
      <c r="KH232" s="535" t="str">
        <f t="shared" si="730"/>
        <v xml:space="preserve"> </v>
      </c>
      <c r="KI232" s="535" t="str">
        <f t="shared" si="731"/>
        <v xml:space="preserve"> </v>
      </c>
      <c r="KJ232" s="536" t="str">
        <f t="shared" si="732"/>
        <v xml:space="preserve"> </v>
      </c>
      <c r="KK232" s="535" t="str">
        <f t="shared" si="815"/>
        <v xml:space="preserve"> </v>
      </c>
      <c r="KL232" s="535" t="str">
        <f t="shared" si="816"/>
        <v xml:space="preserve"> </v>
      </c>
      <c r="KM232" s="537" t="str">
        <f t="shared" si="733"/>
        <v xml:space="preserve"> </v>
      </c>
      <c r="KN232" s="537" t="str">
        <f t="shared" si="817"/>
        <v xml:space="preserve"> </v>
      </c>
      <c r="KP232">
        <f t="shared" si="734"/>
        <v>0</v>
      </c>
      <c r="LA232" t="e">
        <f t="shared" si="735"/>
        <v>#VALUE!</v>
      </c>
      <c r="LB232" t="e">
        <f t="shared" si="736"/>
        <v>#VALUE!</v>
      </c>
      <c r="LC232" t="e">
        <f t="shared" si="737"/>
        <v>#VALUE!</v>
      </c>
      <c r="LD232" t="e">
        <f t="shared" si="738"/>
        <v>#VALUE!</v>
      </c>
      <c r="LE232" t="e">
        <f t="shared" si="818"/>
        <v>#VALUE!</v>
      </c>
      <c r="LF232">
        <f t="shared" si="739"/>
        <v>0</v>
      </c>
      <c r="LG232" t="e">
        <f t="shared" si="819"/>
        <v>#VALUE!</v>
      </c>
      <c r="LH232" t="str">
        <f t="shared" si="740"/>
        <v xml:space="preserve"> </v>
      </c>
      <c r="LI232">
        <f t="shared" si="820"/>
        <v>1</v>
      </c>
    </row>
    <row r="233" spans="2:321" ht="15" customHeight="1">
      <c r="B233" s="311"/>
      <c r="C233" s="311"/>
      <c r="D233" s="312"/>
      <c r="E233" s="311"/>
      <c r="F233" s="312"/>
      <c r="G233" s="311"/>
      <c r="H233" s="311"/>
      <c r="I233" s="232"/>
      <c r="J233" s="311"/>
      <c r="K233" s="305" t="str">
        <f t="shared" si="741"/>
        <v/>
      </c>
      <c r="L233" s="313"/>
      <c r="M233" s="312"/>
      <c r="N233" s="311"/>
      <c r="O233" s="312"/>
      <c r="P233" s="311"/>
      <c r="Q233" s="305" t="str">
        <f t="shared" si="742"/>
        <v/>
      </c>
      <c r="R233" s="314"/>
      <c r="S233" s="450" t="str">
        <f t="shared" si="625"/>
        <v/>
      </c>
      <c r="T233" s="315"/>
      <c r="U233" s="315"/>
      <c r="W233" s="149" t="str">
        <f t="shared" si="626"/>
        <v xml:space="preserve"> </v>
      </c>
      <c r="X233" s="243" t="str">
        <f t="shared" si="627"/>
        <v xml:space="preserve"> </v>
      </c>
      <c r="Y233" s="150" t="str">
        <f t="shared" si="628"/>
        <v/>
      </c>
      <c r="Z233" s="149" t="str">
        <f t="shared" si="629"/>
        <v xml:space="preserve"> </v>
      </c>
      <c r="AA233" s="98" t="str">
        <f t="shared" si="630"/>
        <v xml:space="preserve"> </v>
      </c>
      <c r="AB233" s="153" t="str">
        <f t="shared" si="631"/>
        <v xml:space="preserve"> </v>
      </c>
      <c r="AC233" s="153" t="str">
        <f t="shared" si="632"/>
        <v xml:space="preserve"> </v>
      </c>
      <c r="AD233" s="148" t="str">
        <f t="shared" si="633"/>
        <v/>
      </c>
      <c r="AE233" s="149" t="str">
        <f t="shared" si="634"/>
        <v/>
      </c>
      <c r="AF233" s="151" t="str">
        <f t="shared" si="635"/>
        <v xml:space="preserve"> </v>
      </c>
      <c r="AG233" s="153" t="str">
        <f t="shared" si="636"/>
        <v xml:space="preserve"> </v>
      </c>
      <c r="AH233" s="98" t="str">
        <f t="shared" si="637"/>
        <v xml:space="preserve"> </v>
      </c>
      <c r="AI233" s="149" t="str">
        <f t="shared" si="638"/>
        <v xml:space="preserve"> </v>
      </c>
      <c r="AK233" s="144" t="str">
        <f t="shared" si="639"/>
        <v xml:space="preserve"> </v>
      </c>
      <c r="AL233" s="144"/>
      <c r="AM233" s="243" t="str">
        <f t="shared" si="640"/>
        <v xml:space="preserve"> </v>
      </c>
      <c r="AN233" s="149" t="str">
        <f t="shared" si="743"/>
        <v xml:space="preserve"> </v>
      </c>
      <c r="AO233" s="144" t="str">
        <f>IF(JB233&gt;0,IF(GI233=10,-R233*1.085*(Calculation!$F$6-Calculation!$F$13)*$S$14," "),"")</f>
        <v/>
      </c>
      <c r="AP233" s="144" t="str">
        <f t="shared" si="641"/>
        <v/>
      </c>
      <c r="AQ233" s="56" t="str">
        <f t="shared" si="642"/>
        <v/>
      </c>
      <c r="AR233" s="144" t="str">
        <f t="shared" si="643"/>
        <v/>
      </c>
      <c r="AS233" s="176" t="str">
        <f t="shared" si="644"/>
        <v/>
      </c>
      <c r="AT233" s="176" t="str">
        <f t="shared" si="744"/>
        <v xml:space="preserve"> </v>
      </c>
      <c r="AU233" s="176" t="str">
        <f t="shared" si="645"/>
        <v/>
      </c>
      <c r="AV233" s="177" t="str">
        <f t="shared" si="646"/>
        <v xml:space="preserve"> </v>
      </c>
      <c r="AW233" s="144" t="str">
        <f t="shared" si="647"/>
        <v xml:space="preserve"> </v>
      </c>
      <c r="AX233" s="144" t="str">
        <f t="shared" si="648"/>
        <v xml:space="preserve"> </v>
      </c>
      <c r="AY233" s="152" t="str">
        <f t="shared" si="649"/>
        <v xml:space="preserve"> </v>
      </c>
      <c r="AZ233" s="246" t="str">
        <f t="shared" si="650"/>
        <v/>
      </c>
      <c r="BA233" s="176" t="str">
        <f t="shared" si="651"/>
        <v xml:space="preserve"> </v>
      </c>
      <c r="BB233" s="176" t="str">
        <f t="shared" si="652"/>
        <v xml:space="preserve"> </v>
      </c>
      <c r="BC233" s="195"/>
      <c r="BD233" s="316"/>
      <c r="BE233" s="317"/>
      <c r="BF233" s="318"/>
      <c r="BG233" s="318"/>
      <c r="BH233" s="144" t="str">
        <f t="shared" si="821"/>
        <v xml:space="preserve"> </v>
      </c>
      <c r="BI233" s="176" t="str">
        <f t="shared" si="653"/>
        <v/>
      </c>
      <c r="BJ233" s="144" t="str">
        <f t="shared" si="822"/>
        <v/>
      </c>
      <c r="BK233" s="246" t="str">
        <f t="shared" si="654"/>
        <v/>
      </c>
      <c r="BL233" s="144" t="str">
        <f t="shared" si="823"/>
        <v/>
      </c>
      <c r="BM233" s="246" t="str">
        <f t="shared" si="655"/>
        <v/>
      </c>
      <c r="BN233" s="337" t="str">
        <f t="shared" si="745"/>
        <v/>
      </c>
      <c r="BO233" s="371" t="str">
        <f t="shared" si="746"/>
        <v/>
      </c>
      <c r="BP233" s="328" t="str">
        <f t="shared" si="824"/>
        <v xml:space="preserve"> </v>
      </c>
      <c r="BQ233" s="347" t="str">
        <f t="shared" si="747"/>
        <v xml:space="preserve"> </v>
      </c>
      <c r="BR233" s="353" t="str">
        <f t="shared" si="748"/>
        <v xml:space="preserve"> </v>
      </c>
      <c r="BS233" s="626" t="str">
        <f>IF(L233&gt;0,IF(Calculation!P233="M13",BR233*3.1416*(0.134^2)/(4*144),IF(Calculation!P233="M17",BR233*3.1416*(0.165^2)/(4*144),IF(Calculation!P233="M20",BR233*3.1416*(0.198^2)/(4*144),IF(Calculation!P233="M23",BR233*3.1416*(0.228^2)/(4*144),IF(Calculation!P233="M27",BR233*3.1416*(0.269^2)/(4*144),BR233*3.1416*(0.307^2)/(4*144))))))," ")</f>
        <v xml:space="preserve"> </v>
      </c>
      <c r="BT233" s="353" t="str">
        <f>IF(L233&gt;0,IF(BS233&gt;0,R233/Calculation!BS233,0)," ")</f>
        <v xml:space="preserve"> </v>
      </c>
      <c r="BU233" s="438" t="e">
        <f t="shared" ca="1" si="656"/>
        <v>#VALUE!</v>
      </c>
      <c r="BV233" s="449" t="e">
        <f ca="1">INDEX(INDIRECT(VLOOKUP(LEFT(BO233,7),CLU!$Z$3:$AH$18,2)),GN233,GR233)</f>
        <v>#N/A</v>
      </c>
      <c r="BW233" s="433" t="e">
        <f ca="1">INDEX(INDIRECT(VLOOKUP(LEFT(BO233,7),CLU!$Z$3:$AH$18,3)),GN233,GR233)</f>
        <v>#N/A</v>
      </c>
      <c r="BX233" s="433" t="e">
        <f ca="1">INDEX(INDIRECT(VLOOKUP(LEFT(BO233,7),CLU!$Z$3:$AH$18,4)),GN233,GR233)</f>
        <v>#N/A</v>
      </c>
      <c r="BY233" s="433" t="e">
        <f ca="1">INDEX(INDIRECT(VLOOKUP(LEFT(BO233,7),CLU!$Z$3:$AH$18,9)),((M233-2)*(6-COUNTBLANK(GT233:GY233)))+GJ233)</f>
        <v>#N/A</v>
      </c>
      <c r="BZ233" s="426" t="e">
        <f t="shared" ca="1" si="749"/>
        <v>#N/A</v>
      </c>
      <c r="CA233" s="424" t="e">
        <f t="shared" ca="1" si="750"/>
        <v>#N/A</v>
      </c>
      <c r="CB233" s="429" t="e">
        <f ca="1">INDEX(INDIRECT(VLOOKUP(LEFT(BO233,7),CLU!$Z$3:$AH$18,2)),GN233,GS233)</f>
        <v>#N/A</v>
      </c>
      <c r="CC233" s="342" t="e">
        <f ca="1">INDEX(INDIRECT(VLOOKUP(LEFT(BO233,7),CLU!$Z$3:$AH$18,3)),GN233,GS233)</f>
        <v>#N/A</v>
      </c>
      <c r="CD233" s="342" t="e">
        <f ca="1">INDEX(INDIRECT(VLOOKUP(LEFT(BO233,7),CLU!$Z$3:$AH$18,4)),GN233,GS233)</f>
        <v>#N/A</v>
      </c>
      <c r="CE233" s="426" t="e">
        <f t="shared" ca="1" si="751"/>
        <v>#N/A</v>
      </c>
      <c r="CF233" s="440">
        <f t="shared" si="752"/>
        <v>0</v>
      </c>
      <c r="CG233" s="431" t="e">
        <f ca="1">INDEX(INDIRECT(VLOOKUP(LEFT(BO233,7),CLU!$Z$3:$AH$18,2)),GQ233,GR233)</f>
        <v>#N/A</v>
      </c>
      <c r="CH233" s="431" t="e">
        <f ca="1">INDEX(INDIRECT(VLOOKUP(LEFT(BO233,7),CLU!$Z$3:$AH$18,3)),GQ233,GR233)</f>
        <v>#N/A</v>
      </c>
      <c r="CI233" s="431" t="e">
        <f ca="1">INDEX(INDIRECT(VLOOKUP(LEFT(BO233,7),CLU!$Z$3:$AH$18,4)),GQ233,GR233)</f>
        <v>#N/A</v>
      </c>
      <c r="CJ233" s="448" t="e">
        <f t="shared" ca="1" si="753"/>
        <v>#N/A</v>
      </c>
      <c r="CK233" s="431" t="e">
        <f t="shared" ca="1" si="754"/>
        <v>#N/A</v>
      </c>
      <c r="CL233" s="440" t="e">
        <f t="shared" ca="1" si="755"/>
        <v>#N/A</v>
      </c>
      <c r="CM233" s="431" t="e">
        <f ca="1">INDEX(INDIRECT(VLOOKUP(LEFT(BO233,7),CLU!$Z$3:$AH$18,2)),GQ233,GS233)</f>
        <v>#N/A</v>
      </c>
      <c r="CN233" s="431" t="e">
        <f ca="1">INDEX(INDIRECT(VLOOKUP(LEFT(BO233,7),CLU!$Z$3:$AH$18,3)),GQ233,GS233)</f>
        <v>#N/A</v>
      </c>
      <c r="CO233" s="431" t="e">
        <f ca="1">INDEX(INDIRECT(VLOOKUP(LEFT(BO233,7),CLU!$Z$3:$AH$18,4)),GQ233,GS233)</f>
        <v>#N/A</v>
      </c>
      <c r="CP233" s="431" t="e">
        <f t="shared" ca="1" si="756"/>
        <v>#N/A</v>
      </c>
      <c r="CQ233" s="440">
        <f t="shared" si="757"/>
        <v>0</v>
      </c>
      <c r="CR233" s="51" t="e">
        <f t="shared" ca="1" si="758"/>
        <v>#N/A</v>
      </c>
      <c r="CS233" s="439" t="e">
        <f t="shared" ca="1" si="759"/>
        <v>#VALUE!</v>
      </c>
      <c r="CT233" s="51" t="e">
        <f t="shared" ca="1" si="760"/>
        <v>#VALUE!</v>
      </c>
      <c r="CU233" s="10"/>
      <c r="CV233" s="51" t="e">
        <f t="shared" ca="1" si="657"/>
        <v>#VALUE!</v>
      </c>
      <c r="CW233" s="51">
        <f t="shared" si="761"/>
        <v>0</v>
      </c>
      <c r="CX233" s="439" t="e">
        <f t="shared" ca="1" si="762"/>
        <v>#VALUE!</v>
      </c>
      <c r="CY233" s="51" t="e">
        <f t="shared" ca="1" si="763"/>
        <v>#VALUE!</v>
      </c>
      <c r="CZ233" s="10"/>
      <c r="DA233" s="51" t="e">
        <f t="shared" ca="1" si="764"/>
        <v>#VALUE!</v>
      </c>
      <c r="DB233" s="347" t="e">
        <f ca="1">INDEX(INDIRECT(VLOOKUP(LEFT(BO233,7),CLU!$Z$3:$AI$18,10)),((M233-2)*(6-COUNTBLANK(GT233:GY233)))+GJ233)*LI233</f>
        <v>#N/A</v>
      </c>
      <c r="DC233" s="347" t="str">
        <f>IF(L233&gt;0,((R233/Worksheet!$I$15)/DB233)^2," ")</f>
        <v xml:space="preserve"> </v>
      </c>
      <c r="DD233" s="602" t="str">
        <f t="shared" si="765"/>
        <v xml:space="preserve"> </v>
      </c>
      <c r="DE233" s="347" t="str">
        <f t="shared" si="658"/>
        <v xml:space="preserve"> </v>
      </c>
      <c r="DF233" s="356" t="e">
        <f ca="1">INDEX(INDIRECT(VLOOKUP(LEFT(BO233,7),CLU!$Z$3:$AH$18,8)),((M233-2)*(6-COUNTBLANK(GT233:GY233)))+GJ233)</f>
        <v>#N/A</v>
      </c>
      <c r="DG233" s="347" t="str">
        <f t="shared" si="659"/>
        <v xml:space="preserve"> </v>
      </c>
      <c r="DH233" s="357" t="str">
        <f t="shared" si="660"/>
        <v xml:space="preserve"> </v>
      </c>
      <c r="DI233" s="355" t="str">
        <f t="shared" si="661"/>
        <v xml:space="preserve"> </v>
      </c>
      <c r="DJ233" s="245" t="e">
        <f ca="1">INDEX(INDIRECT(VLOOKUP(LEFT(BO233,7),CLU!$Z$3:$AH$18,5)),GL233,GK233)</f>
        <v>#N/A</v>
      </c>
      <c r="DK233" s="245" t="e">
        <f ca="1">INDEX(INDIRECT(VLOOKUP(LEFT(BO233,7),CLU!$Z$3:$AH$18,6)),GL233,GK233)</f>
        <v>#N/A</v>
      </c>
      <c r="DL233" s="355">
        <f>(Calculation!R233*0.69143*(Calculation!$BQ$8-Calculation!$F$8))*$S$14</f>
        <v>0</v>
      </c>
      <c r="DM233" s="359" t="e">
        <f t="shared" si="766"/>
        <v>#VALUE!</v>
      </c>
      <c r="DN233" s="611">
        <f t="shared" si="767"/>
        <v>0</v>
      </c>
      <c r="DO233" s="359">
        <f t="shared" si="768"/>
        <v>100</v>
      </c>
      <c r="DP233" s="359">
        <f t="shared" si="769"/>
        <v>0</v>
      </c>
      <c r="DQ233" s="360"/>
      <c r="DR233" s="245" t="e">
        <f ca="1">INDEX(INDIRECT(VLOOKUP(LEFT(BO233,7),CLU!$Z$3:$AH$18,7)),M233-1,1)</f>
        <v>#N/A</v>
      </c>
      <c r="DS233" s="245" t="e">
        <f ca="1">INDEX(INDIRECT(VLOOKUP(LEFT(BO233,7),CLU!$Z$3:$AH$18,7)),M233-1,2)</f>
        <v>#N/A</v>
      </c>
      <c r="DT233" s="245" t="e">
        <f ca="1">INDEX(INDIRECT(VLOOKUP(LEFT(BO233,7),CLU!$Z$3:$AH$18,7)),M233-1,3)</f>
        <v>#N/A</v>
      </c>
      <c r="DU233" s="245" t="e">
        <f ca="1">INDEX(INDIRECT(VLOOKUP(LEFT(BO233,7),CLU!$Z$3:$AH$18,7)),M233-1,4)</f>
        <v>#N/A</v>
      </c>
      <c r="DV233" s="361" t="e">
        <f ca="1">INDEX(INDIRECT(VLOOKUP(LEFT(BO233,7),CLU!$Z$3:$AH$18,7)),M233-1,4+LEFT(DZ233,1)*0.5)</f>
        <v>#N/A</v>
      </c>
      <c r="DW233" s="245" t="e">
        <f ca="1">INDEX(INDIRECT(VLOOKUP(LEFT(BO233,7),CLU!$Z$3:$AH$18,7)),M233-1,8)</f>
        <v>#N/A</v>
      </c>
      <c r="DX233" s="361" t="str">
        <f t="shared" si="662"/>
        <v xml:space="preserve"> </v>
      </c>
      <c r="DY233" s="361" t="str">
        <f t="shared" si="663"/>
        <v xml:space="preserve"> </v>
      </c>
      <c r="DZ233" s="361" t="str">
        <f t="shared" si="664"/>
        <v xml:space="preserve"> </v>
      </c>
      <c r="EA233" s="362" t="str">
        <f t="shared" si="665"/>
        <v xml:space="preserve"> </v>
      </c>
      <c r="EB233" s="624" t="str">
        <f t="shared" si="770"/>
        <v xml:space="preserve"> </v>
      </c>
      <c r="EC233" s="361" t="e">
        <f ca="1">INDEX(INDIRECT(VLOOKUP(LEFT(BO233,7),CLU!$Z$3:$AH$18,7)),M233-1,4+LEFT(DZ233,1)*0.5)</f>
        <v>#N/A</v>
      </c>
      <c r="ED233" s="362" t="str">
        <f t="shared" si="666"/>
        <v xml:space="preserve"> </v>
      </c>
      <c r="EE233" s="361" t="str">
        <f t="shared" si="667"/>
        <v xml:space="preserve"> </v>
      </c>
      <c r="EF233" s="362" t="str">
        <f>IF(L233&gt;0,IF(BR233&gt;0,IF(EE233="2P",IF(Calculation!DZ233="2P",IF(Calculation!DS233=13.75,IF(Calculation!DR233=13,Worksheet!$BD$43,IF(Calculation!DR233=37,Worksheet!$BD$44,Worksheet!$BD$45)),IF(Calculation!DS233=10,IF(Calculation!DR233=18,Worksheet!$BD$29,IF(Calculation!DR233=30,Worksheet!$BD$30,IF(Calculation!DR233=42,Worksheet!$BD$31,IF(Calculation!DR233=54,Worksheet!$BD$32,IF(Calculation!DR233=66,Worksheet!$BD$33,IF(Calculation!DR233=78,Worksheet!$BD$34,IF(Calculation!DR233=90,Worksheet!$BD$35,IF(Calculation!DR233=102,Worksheet!$BD$36,Worksheet!$BD$37)))))))),IF(Calculation!DS233=12.5,IF(Calculation!DR233=18,Worksheet!$BD$38,IF(Calculation!DR233=Worksheet!$BD$39,IF(Calculation!DR233=42,Worksheet!$BD$40,IF(Calculation!DR233=54,Worksheet!$BD$41,Worksheet!$BD$42)))),IF(Calculation!DR233=18,Worksheet!$BD$11,IF(Calculation!DR233=30,Worksheet!$BD$12,IF(Calculation!DR233=42,Worksheet!$BD$13,IF(Calculation!DR233=54,Worksheet!$BD$14,IF(Calculation!DR233=66,Worksheet!$BD$15,IF(Calculation!DR233=78,Worksheet!$BD$16,IF(Calculation!DR233=90,Worksheet!$BD$17,IF(Calculation!DR233=102,Worksheet!$BD$18,Worksheet!$BD$19))))))))))),IF(Calculation!DS233=13.75,IF(Calculation!DR233=13,Worksheet!$BD$78,IF(Calculation!DR233=37,Worksheet!$BD$79,Worksheet!$BD$80)),IF(Calculation!DS233=10,IF(Calculation!DR233=18,Worksheet!$BD$64,IF(Calculation!DR233=30,Worksheet!$BD$65,IF(Calculation!DR233=42,Worksheet!$BD$66,IF(Calculation!DR233=54,Worksheet!$BD$68,IF(Calculation!DR233=66,Worksheet!$BD$68,IF(Calculation!DR233=78,Worksheet!$BD$69,IF(Calculation!DR233=90,Worksheet!$BD$70,IF(Calculation!DR233=102,Worksheet!$BD$71,Worksheet!$BD$72)))))))),IF(Calculation!DS233=12.5,IF(Calculation!DR233=18,Worksheet!$BD$73,IF(Calculation!DR233=Worksheet!$BD$74,IF(Calculation!DR233=42,Worksheet!$BD$75,IF(Calculation!DR233=54,Worksheet!$BD$76,Worksheet!$BD$77)))),IF(Calculation!DR233=18,Worksheet!$BD$55,IF(Calculation!DR233=30,Worksheet!$BD$56,IF(Calculation!DR233=42,Worksheet!$BD$57,IF(Calculation!DR233=54,Worksheet!$BD$58,IF(Calculation!DR233=66,Worksheet!$BD$59,IF(Calculation!DR233=78,Worksheet!$BD$60,IF(Calculation!DR233=90,Worksheet!$BD$61,IF(Calculation!DR233=102,Worksheet!$BD$62,Worksheet!$BD$63)))))))))))),5),0)," ")</f>
        <v xml:space="preserve"> </v>
      </c>
      <c r="EG233" s="361" t="str">
        <f t="shared" si="668"/>
        <v xml:space="preserve"> </v>
      </c>
      <c r="EH233" s="361" t="e">
        <f ca="1">INDEX(INDIRECT(VLOOKUP(LEFT(BO233,7),CLU!$Z$3:$AH$18,7)),M233-1,3+LEFT(DZ233,1))</f>
        <v>#N/A</v>
      </c>
      <c r="EI233" s="362" t="str">
        <f t="shared" si="669"/>
        <v xml:space="preserve"> </v>
      </c>
      <c r="EJ233" s="363" t="str">
        <f t="shared" si="670"/>
        <v xml:space="preserve"> </v>
      </c>
      <c r="EK233" s="363" t="str">
        <f t="shared" si="671"/>
        <v xml:space="preserve"> </v>
      </c>
      <c r="EL233" s="363" t="str">
        <f t="shared" si="672"/>
        <v xml:space="preserve"> </v>
      </c>
      <c r="EM233" s="362" t="str">
        <f>IF(L233&gt;0,IF(BR233&gt;0,(Calculation!T233/ED233)^2,0)," ")</f>
        <v xml:space="preserve"> </v>
      </c>
      <c r="EN233" s="362" t="str">
        <f>IF(L233&gt;0,IF(O233="2 Pipe (Cooling)","N/A",IF(BR233&gt;0,(Calculation!U233/EI233)^2,0))," ")</f>
        <v xml:space="preserve"> </v>
      </c>
      <c r="EO233" s="361" t="str">
        <f t="shared" si="673"/>
        <v/>
      </c>
      <c r="EP233" s="361" t="str">
        <f t="shared" si="674"/>
        <v/>
      </c>
      <c r="EQ233" s="361" t="str">
        <f t="shared" si="675"/>
        <v/>
      </c>
      <c r="ER233" s="361" t="str">
        <f t="shared" si="676"/>
        <v/>
      </c>
      <c r="ES233" s="361" t="str">
        <f t="shared" si="677"/>
        <v/>
      </c>
      <c r="ET233" s="361" t="str">
        <f t="shared" si="678"/>
        <v/>
      </c>
      <c r="EU233" s="361" t="str">
        <f t="shared" si="679"/>
        <v/>
      </c>
      <c r="EV233" s="361" t="str">
        <f t="shared" si="680"/>
        <v/>
      </c>
      <c r="EW233" s="361" t="str">
        <f t="shared" si="681"/>
        <v/>
      </c>
      <c r="EX233" s="361" t="str">
        <f t="shared" si="771"/>
        <v>1 slot, 1 way</v>
      </c>
      <c r="EY233" s="361" t="str">
        <f t="shared" si="772"/>
        <v xml:space="preserve"> </v>
      </c>
      <c r="EZ233" s="361" t="str">
        <f t="shared" si="773"/>
        <v xml:space="preserve"> </v>
      </c>
      <c r="FA233" s="361" t="str">
        <f t="shared" si="774"/>
        <v xml:space="preserve"> </v>
      </c>
      <c r="FB233" s="361" t="str">
        <f t="shared" si="775"/>
        <v xml:space="preserve"> </v>
      </c>
      <c r="FC233" s="361"/>
      <c r="FD233" s="361" t="str">
        <f>IF(J233&gt;0,IF(Calculation!R233&lt;=70,4,IF(Calculation!R233&lt;=110,5,IF(Calculation!R233&lt;=160,6,IF(Calculation!R233&lt;=300,8,"10 EO")))),"")</f>
        <v/>
      </c>
      <c r="FE233" s="361" t="str">
        <f t="shared" si="776"/>
        <v/>
      </c>
      <c r="FF233" s="361" t="str">
        <f t="shared" si="777"/>
        <v/>
      </c>
      <c r="FG233" s="361" t="e">
        <f t="shared" si="682"/>
        <v>#N/A</v>
      </c>
      <c r="FH233" s="361">
        <f t="shared" si="683"/>
        <v>0</v>
      </c>
      <c r="FI233" s="361" t="e">
        <f t="shared" si="684"/>
        <v>#DIV/0!</v>
      </c>
      <c r="FJ233" s="361"/>
      <c r="FK233" s="356" t="e">
        <f t="shared" si="685"/>
        <v>#VALUE!</v>
      </c>
      <c r="FL233" s="361"/>
      <c r="FM233" s="361"/>
      <c r="FN233" s="362" t="str">
        <f t="shared" si="778"/>
        <v xml:space="preserve"> </v>
      </c>
      <c r="FO233" s="362" t="str">
        <f t="shared" si="779"/>
        <v xml:space="preserve"> </v>
      </c>
      <c r="FP233" s="362">
        <f t="shared" si="780"/>
        <v>0</v>
      </c>
      <c r="FQ233" s="361">
        <f t="shared" si="686"/>
        <v>0</v>
      </c>
      <c r="FR233" s="362" t="str">
        <f>IF(L233&gt;0,IF(J233="CBAL2",Worksheet!$P$67,IF(J233="CBE2-24",Worksheet!$Q$67,IF(J233="CBAM",Worksheet!$R$67,IF(J233="CBLV",Worksheet!$S$67,IF(J233="CBAB",Worksheet!$U$67,IF(J233="CBAW",Worksheet!$X$67,IF(J233="CBE2-12",Worksheet!$Y$67,IF(J233="CBAL2",Worksheet!$Z$67,"N/A"))))))))," ")</f>
        <v xml:space="preserve"> </v>
      </c>
      <c r="FS233" s="362" t="str">
        <f>IF(L233&gt;0,IF(J233="CBAL2",Worksheet!$P$68,IF(J233="CBE2-24",Worksheet!$Q$68,IF(J233="CBAM",Worksheet!$R$68,IF(J233="CBLV",Worksheet!$S$68,IF(J233="CBAB",Worksheet!$U$68,IF(J233="CBAW",Worksheet!$X$68,IF(J233="CBE2-12",Worksheet!$Y$68,IF(J233="CBAL2",Worksheet!$Z$68,"N/A"))))))))," ")</f>
        <v xml:space="preserve"> </v>
      </c>
      <c r="FT233" s="362" t="str">
        <f>IF(L233&gt;0,IF(J233="CBAL2",Worksheet!$P$69,IF(J233="CBE2-24",Worksheet!$Q$69,IF(J233="CBAM",Worksheet!$R$69,IF(J233="CBLV",Worksheet!$S$69,IF(J233="CBAB",Worksheet!$U$69,IF(J233="CBAW",Worksheet!$X$69,IF(J233="CBE2-12",Worksheet!$Y$69,IF(J233="CBAL2",Worksheet!$Z$69,"N/A"))))))))," ")</f>
        <v xml:space="preserve"> </v>
      </c>
      <c r="FU233" s="361" t="str">
        <f t="shared" si="781"/>
        <v xml:space="preserve"> </v>
      </c>
      <c r="FV233" s="362" t="str">
        <f t="shared" si="782"/>
        <v xml:space="preserve"> </v>
      </c>
      <c r="FW233" s="362" t="str">
        <f t="shared" si="783"/>
        <v xml:space="preserve"> </v>
      </c>
      <c r="FX233" s="362" t="str">
        <f t="shared" si="784"/>
        <v xml:space="preserve"> </v>
      </c>
      <c r="FY233" s="355" t="str">
        <f t="shared" si="785"/>
        <v xml:space="preserve"> </v>
      </c>
      <c r="FZ233" s="361" t="str">
        <f t="shared" si="786"/>
        <v xml:space="preserve"> </v>
      </c>
      <c r="GA233" s="347" t="str">
        <f t="shared" si="787"/>
        <v xml:space="preserve"> </v>
      </c>
      <c r="GB233" s="355" t="str">
        <f t="shared" si="788"/>
        <v xml:space="preserve"> </v>
      </c>
      <c r="GC233" s="328" t="str">
        <f t="shared" si="789"/>
        <v xml:space="preserve"> </v>
      </c>
      <c r="GD233" s="361" t="str">
        <f t="shared" si="790"/>
        <v xml:space="preserve"> </v>
      </c>
      <c r="GE233" s="347" t="str">
        <f t="shared" si="791"/>
        <v xml:space="preserve"> </v>
      </c>
      <c r="GF233" s="361" t="str">
        <f t="shared" si="792"/>
        <v xml:space="preserve"> </v>
      </c>
      <c r="GG233" s="347" t="str">
        <f t="shared" si="793"/>
        <v xml:space="preserve"> </v>
      </c>
      <c r="GH233" s="364">
        <f t="shared" si="687"/>
        <v>0</v>
      </c>
      <c r="GI233" s="362">
        <f t="shared" si="794"/>
        <v>2</v>
      </c>
      <c r="GJ233" s="433" t="e">
        <f>IF(6-COUNTBLANK(GT233:GY233)=4,MATCH(MID(BO233,9,3),CLU!$H$16:$K$16),MATCH(MID(BO233,9,3),CLU!$H$13:$M$13))</f>
        <v>#N/A</v>
      </c>
      <c r="GK233" s="433" t="e">
        <f>HLOOKUP(VALUE(BP233),CLU!$H$9:$M$10,2)</f>
        <v>#VALUE!</v>
      </c>
      <c r="GL233" s="433" t="e">
        <f ca="1">MATCH(BU233,CLU!$H$2:$V$2,1)</f>
        <v>#VALUE!</v>
      </c>
      <c r="GM233" s="433" t="e">
        <f t="shared" ca="1" si="795"/>
        <v>#VALUE!</v>
      </c>
      <c r="GN233" s="433" t="e">
        <f t="shared" ca="1" si="796"/>
        <v>#VALUE!</v>
      </c>
      <c r="GO233" s="433" t="e">
        <f t="shared" ca="1" si="797"/>
        <v>#VALUE!</v>
      </c>
      <c r="GP233" s="433" t="e">
        <f t="shared" ca="1" si="798"/>
        <v>#VALUE!</v>
      </c>
      <c r="GQ233" s="433" t="e">
        <f t="shared" ca="1" si="799"/>
        <v>#VALUE!</v>
      </c>
      <c r="GR233" s="433" t="e">
        <f ca="1">MATCH(T233,INDIRECT(VLOOKUP(CONCATENATE(LEFT(BO233,7),"-",MID(BO233,13,1)),CLU!$P$3:$Q$16,2)),1)</f>
        <v>#N/A</v>
      </c>
      <c r="GS233" s="433" t="e">
        <f ca="1">MATCH(U233,INDIRECT(VLOOKUP(CONCATENATE(LEFT(BO233,7),"-",MID(BO233,13,1)),CLU!$P$3:$Q$16,2)),1)</f>
        <v>#N/A</v>
      </c>
      <c r="GT233" s="347" t="s">
        <v>512</v>
      </c>
      <c r="GU233" s="97" t="s">
        <v>513</v>
      </c>
      <c r="GV233" s="97" t="str">
        <f t="shared" si="800"/>
        <v>M23</v>
      </c>
      <c r="GW233" s="97" t="str">
        <f t="shared" si="801"/>
        <v>M31</v>
      </c>
      <c r="GX233" s="97" t="str">
        <f t="shared" si="802"/>
        <v/>
      </c>
      <c r="GY233" s="97" t="str">
        <f t="shared" si="803"/>
        <v/>
      </c>
      <c r="GZ233" s="481"/>
      <c r="HA233" s="288"/>
      <c r="HB233" s="240"/>
      <c r="HC233" s="240"/>
      <c r="HD233" s="240"/>
      <c r="HE233" s="240"/>
      <c r="HF233" s="240"/>
      <c r="HG233" s="240"/>
      <c r="HH233" s="240"/>
      <c r="HI233" s="240"/>
      <c r="HJ233" s="240"/>
      <c r="HK233" s="240"/>
      <c r="HL233" s="240"/>
      <c r="HM233" s="240"/>
      <c r="HN233" s="240"/>
      <c r="HO233" s="240"/>
      <c r="HP233" s="240"/>
      <c r="HQ233" s="240"/>
      <c r="HR233" s="240"/>
      <c r="HS233" s="240"/>
      <c r="HT233" s="240"/>
      <c r="HU233" s="240"/>
      <c r="HV233" s="245"/>
      <c r="HW233" s="245" t="b">
        <v>1</v>
      </c>
      <c r="HX233" s="245" t="str">
        <f t="shared" si="688"/>
        <v/>
      </c>
      <c r="HY233" s="245" t="e">
        <f t="shared" si="689"/>
        <v>#DIV/0!</v>
      </c>
      <c r="HZ233" s="245" t="e">
        <f t="shared" si="690"/>
        <v>#DIV/0!</v>
      </c>
      <c r="IA233" s="245">
        <f t="shared" si="691"/>
        <v>0</v>
      </c>
      <c r="IB233" s="245"/>
      <c r="IC233" t="b">
        <f t="shared" si="692"/>
        <v>1</v>
      </c>
      <c r="ID233" s="245" t="b">
        <f t="shared" si="693"/>
        <v>1</v>
      </c>
      <c r="IE233" s="245" t="b">
        <f t="shared" si="694"/>
        <v>1</v>
      </c>
      <c r="IF233" s="245" t="b">
        <f t="shared" si="695"/>
        <v>0</v>
      </c>
      <c r="IG233" s="245" t="b">
        <f t="shared" si="696"/>
        <v>1</v>
      </c>
      <c r="IH233" s="245" t="b">
        <f t="shared" si="697"/>
        <v>1</v>
      </c>
      <c r="II233" s="245">
        <f t="shared" si="804"/>
        <v>0</v>
      </c>
      <c r="IJ233" s="245" t="e">
        <f t="shared" si="698"/>
        <v>#VALUE!</v>
      </c>
      <c r="IK233" s="245" t="e">
        <f t="shared" si="699"/>
        <v>#VALUE!</v>
      </c>
      <c r="IL233" s="245"/>
      <c r="IM233" s="245" t="e">
        <f t="shared" si="805"/>
        <v>#N/A</v>
      </c>
      <c r="IN233" s="245" t="e">
        <f t="shared" si="806"/>
        <v>#N/A</v>
      </c>
      <c r="IO233" s="245"/>
      <c r="IP233" s="245"/>
      <c r="IQ233" s="245" t="str">
        <f t="shared" si="700"/>
        <v/>
      </c>
      <c r="IR233" s="245" t="str">
        <f>IF(J233="","",VLOOKUP(J233,Worksheet!$R$4:$T$14,2))</f>
        <v/>
      </c>
      <c r="IS233" s="245"/>
      <c r="IT233" s="245">
        <f t="shared" si="701"/>
        <v>0</v>
      </c>
      <c r="IU233" s="245">
        <f t="shared" si="702"/>
        <v>0</v>
      </c>
      <c r="IV233" s="245">
        <f t="shared" si="703"/>
        <v>0</v>
      </c>
      <c r="IW233" s="245">
        <f t="shared" si="704"/>
        <v>0</v>
      </c>
      <c r="IX233" s="245">
        <f t="shared" si="807"/>
        <v>0</v>
      </c>
      <c r="IY233" s="245">
        <f t="shared" si="705"/>
        <v>0</v>
      </c>
      <c r="IZ233" s="245">
        <f t="shared" si="706"/>
        <v>0</v>
      </c>
      <c r="JA233">
        <f t="shared" si="707"/>
        <v>0</v>
      </c>
      <c r="JB233">
        <f t="shared" si="808"/>
        <v>0</v>
      </c>
      <c r="JC233">
        <f t="shared" si="708"/>
        <v>0</v>
      </c>
      <c r="JD233">
        <f t="shared" si="709"/>
        <v>0</v>
      </c>
      <c r="JE233">
        <f t="shared" si="710"/>
        <v>0</v>
      </c>
      <c r="JF233">
        <f t="shared" si="711"/>
        <v>0</v>
      </c>
      <c r="JG233">
        <f t="shared" si="712"/>
        <v>0</v>
      </c>
      <c r="JH233">
        <f t="shared" si="713"/>
        <v>0</v>
      </c>
      <c r="JI233">
        <f t="shared" si="714"/>
        <v>0</v>
      </c>
      <c r="JJ233" s="447">
        <f t="shared" si="715"/>
        <v>0</v>
      </c>
      <c r="JK233" s="447">
        <f t="shared" si="716"/>
        <v>0</v>
      </c>
      <c r="JL233">
        <f t="shared" si="717"/>
        <v>0</v>
      </c>
      <c r="JM233" s="245" t="str">
        <f>IFERROR(VLOOKUP(MATCH(BN233,#REF!,0),#REF!,7),"")</f>
        <v/>
      </c>
      <c r="JN233" t="e">
        <f>HLOOKUP(LEFT(BO233,7),Discharge_Area,MATCH(JO233,LookUps!$B$130:$B$149,1)+2)</f>
        <v>#N/A</v>
      </c>
      <c r="JO233" t="str">
        <f t="shared" si="718"/>
        <v>- S</v>
      </c>
      <c r="JP233" t="e">
        <f>HLOOKUP(LEFT(BO233,7),Discharge_Area,MATCH(JO233,LookUps!$B$130:$B$149,1)+2)</f>
        <v>#N/A</v>
      </c>
      <c r="JQ233" t="e">
        <f t="shared" si="719"/>
        <v>#N/A</v>
      </c>
      <c r="JR233" t="e">
        <f t="shared" si="720"/>
        <v>#N/A</v>
      </c>
      <c r="JS233" t="e">
        <f t="shared" si="721"/>
        <v>#N/A</v>
      </c>
      <c r="JT233" s="532" t="str">
        <f t="shared" si="722"/>
        <v xml:space="preserve"> </v>
      </c>
      <c r="JU233" s="532" t="str">
        <f t="shared" si="723"/>
        <v xml:space="preserve"> </v>
      </c>
      <c r="JV233" s="533" t="str">
        <f t="shared" si="724"/>
        <v xml:space="preserve"> </v>
      </c>
      <c r="JW233" s="534">
        <f t="shared" si="725"/>
        <v>0</v>
      </c>
      <c r="JX233" s="535" t="str">
        <f t="shared" si="809"/>
        <v xml:space="preserve"> </v>
      </c>
      <c r="JY233" s="535" t="str">
        <f t="shared" si="810"/>
        <v xml:space="preserve"> </v>
      </c>
      <c r="JZ233" s="535" t="str">
        <f t="shared" si="811"/>
        <v xml:space="preserve"> </v>
      </c>
      <c r="KA233" s="536" t="str">
        <f t="shared" si="726"/>
        <v xml:space="preserve"> </v>
      </c>
      <c r="KB233" s="535" t="e">
        <f t="shared" si="812"/>
        <v>#VALUE!</v>
      </c>
      <c r="KC233" s="535" t="str">
        <f t="shared" si="727"/>
        <v/>
      </c>
      <c r="KD233" s="537" t="str">
        <f t="shared" si="813"/>
        <v xml:space="preserve"> </v>
      </c>
      <c r="KE233" s="537" t="str">
        <f t="shared" si="814"/>
        <v xml:space="preserve"> </v>
      </c>
      <c r="KF233" s="534">
        <f t="shared" si="728"/>
        <v>0</v>
      </c>
      <c r="KG233" s="535" t="str">
        <f t="shared" si="729"/>
        <v xml:space="preserve"> </v>
      </c>
      <c r="KH233" s="535" t="str">
        <f t="shared" si="730"/>
        <v xml:space="preserve"> </v>
      </c>
      <c r="KI233" s="535" t="str">
        <f t="shared" si="731"/>
        <v xml:space="preserve"> </v>
      </c>
      <c r="KJ233" s="536" t="str">
        <f t="shared" si="732"/>
        <v xml:space="preserve"> </v>
      </c>
      <c r="KK233" s="535" t="str">
        <f t="shared" si="815"/>
        <v xml:space="preserve"> </v>
      </c>
      <c r="KL233" s="535" t="str">
        <f t="shared" si="816"/>
        <v xml:space="preserve"> </v>
      </c>
      <c r="KM233" s="537" t="str">
        <f t="shared" si="733"/>
        <v xml:space="preserve"> </v>
      </c>
      <c r="KN233" s="537" t="str">
        <f t="shared" si="817"/>
        <v xml:space="preserve"> </v>
      </c>
      <c r="KP233">
        <f t="shared" si="734"/>
        <v>0</v>
      </c>
      <c r="LA233" t="e">
        <f t="shared" si="735"/>
        <v>#VALUE!</v>
      </c>
      <c r="LB233" t="e">
        <f t="shared" si="736"/>
        <v>#VALUE!</v>
      </c>
      <c r="LC233" t="e">
        <f t="shared" si="737"/>
        <v>#VALUE!</v>
      </c>
      <c r="LD233" t="e">
        <f t="shared" si="738"/>
        <v>#VALUE!</v>
      </c>
      <c r="LE233" t="e">
        <f t="shared" si="818"/>
        <v>#VALUE!</v>
      </c>
      <c r="LF233">
        <f t="shared" si="739"/>
        <v>0</v>
      </c>
      <c r="LG233" t="e">
        <f t="shared" si="819"/>
        <v>#VALUE!</v>
      </c>
      <c r="LH233" t="str">
        <f t="shared" si="740"/>
        <v xml:space="preserve"> </v>
      </c>
      <c r="LI233">
        <f t="shared" si="820"/>
        <v>1</v>
      </c>
    </row>
    <row r="234" spans="2:321" ht="15" customHeight="1">
      <c r="B234" s="311"/>
      <c r="C234" s="311"/>
      <c r="D234" s="312"/>
      <c r="E234" s="311"/>
      <c r="F234" s="312"/>
      <c r="G234" s="311"/>
      <c r="H234" s="311"/>
      <c r="I234" s="232"/>
      <c r="J234" s="311"/>
      <c r="K234" s="305" t="str">
        <f t="shared" si="741"/>
        <v/>
      </c>
      <c r="L234" s="313"/>
      <c r="M234" s="312"/>
      <c r="N234" s="311"/>
      <c r="O234" s="312"/>
      <c r="P234" s="311"/>
      <c r="Q234" s="305" t="str">
        <f t="shared" si="742"/>
        <v/>
      </c>
      <c r="R234" s="314"/>
      <c r="S234" s="450" t="str">
        <f t="shared" si="625"/>
        <v/>
      </c>
      <c r="T234" s="315"/>
      <c r="U234" s="315"/>
      <c r="W234" s="149" t="str">
        <f t="shared" si="626"/>
        <v xml:space="preserve"> </v>
      </c>
      <c r="X234" s="243" t="str">
        <f t="shared" si="627"/>
        <v xml:space="preserve"> </v>
      </c>
      <c r="Y234" s="150" t="str">
        <f t="shared" si="628"/>
        <v/>
      </c>
      <c r="Z234" s="149" t="str">
        <f t="shared" si="629"/>
        <v xml:space="preserve"> </v>
      </c>
      <c r="AA234" s="98" t="str">
        <f t="shared" si="630"/>
        <v xml:space="preserve"> </v>
      </c>
      <c r="AB234" s="153" t="str">
        <f t="shared" si="631"/>
        <v xml:space="preserve"> </v>
      </c>
      <c r="AC234" s="153" t="str">
        <f t="shared" si="632"/>
        <v xml:space="preserve"> </v>
      </c>
      <c r="AD234" s="148" t="str">
        <f t="shared" si="633"/>
        <v/>
      </c>
      <c r="AE234" s="149" t="str">
        <f t="shared" si="634"/>
        <v/>
      </c>
      <c r="AF234" s="151" t="str">
        <f t="shared" si="635"/>
        <v xml:space="preserve"> </v>
      </c>
      <c r="AG234" s="153" t="str">
        <f t="shared" si="636"/>
        <v xml:space="preserve"> </v>
      </c>
      <c r="AH234" s="98" t="str">
        <f t="shared" si="637"/>
        <v xml:space="preserve"> </v>
      </c>
      <c r="AI234" s="149" t="str">
        <f t="shared" si="638"/>
        <v xml:space="preserve"> </v>
      </c>
      <c r="AK234" s="144" t="str">
        <f t="shared" si="639"/>
        <v xml:space="preserve"> </v>
      </c>
      <c r="AL234" s="144"/>
      <c r="AM234" s="243" t="str">
        <f t="shared" si="640"/>
        <v xml:space="preserve"> </v>
      </c>
      <c r="AN234" s="149" t="str">
        <f t="shared" si="743"/>
        <v xml:space="preserve"> </v>
      </c>
      <c r="AO234" s="144" t="str">
        <f>IF(JB234&gt;0,IF(GI234=10,-R234*1.085*(Calculation!$F$6-Calculation!$F$13)*$S$14," "),"")</f>
        <v/>
      </c>
      <c r="AP234" s="144" t="str">
        <f t="shared" si="641"/>
        <v/>
      </c>
      <c r="AQ234" s="56" t="str">
        <f t="shared" si="642"/>
        <v/>
      </c>
      <c r="AR234" s="144" t="str">
        <f t="shared" si="643"/>
        <v/>
      </c>
      <c r="AS234" s="176" t="str">
        <f t="shared" si="644"/>
        <v/>
      </c>
      <c r="AT234" s="176" t="str">
        <f t="shared" si="744"/>
        <v xml:space="preserve"> </v>
      </c>
      <c r="AU234" s="176" t="str">
        <f t="shared" si="645"/>
        <v/>
      </c>
      <c r="AV234" s="177" t="str">
        <f t="shared" si="646"/>
        <v xml:space="preserve"> </v>
      </c>
      <c r="AW234" s="144" t="str">
        <f t="shared" si="647"/>
        <v xml:space="preserve"> </v>
      </c>
      <c r="AX234" s="144" t="str">
        <f t="shared" si="648"/>
        <v xml:space="preserve"> </v>
      </c>
      <c r="AY234" s="152" t="str">
        <f t="shared" si="649"/>
        <v xml:space="preserve"> </v>
      </c>
      <c r="AZ234" s="246" t="str">
        <f t="shared" si="650"/>
        <v/>
      </c>
      <c r="BA234" s="176" t="str">
        <f t="shared" si="651"/>
        <v xml:space="preserve"> </v>
      </c>
      <c r="BB234" s="176" t="str">
        <f t="shared" si="652"/>
        <v xml:space="preserve"> </v>
      </c>
      <c r="BC234" s="195"/>
      <c r="BD234" s="316"/>
      <c r="BE234" s="317"/>
      <c r="BF234" s="318"/>
      <c r="BG234" s="318"/>
      <c r="BH234" s="144" t="str">
        <f t="shared" si="821"/>
        <v xml:space="preserve"> </v>
      </c>
      <c r="BI234" s="176" t="str">
        <f t="shared" si="653"/>
        <v/>
      </c>
      <c r="BJ234" s="144" t="str">
        <f t="shared" si="822"/>
        <v/>
      </c>
      <c r="BK234" s="246" t="str">
        <f t="shared" si="654"/>
        <v/>
      </c>
      <c r="BL234" s="144" t="str">
        <f t="shared" si="823"/>
        <v/>
      </c>
      <c r="BM234" s="246" t="str">
        <f t="shared" si="655"/>
        <v/>
      </c>
      <c r="BN234" s="337" t="str">
        <f t="shared" si="745"/>
        <v/>
      </c>
      <c r="BO234" s="371" t="str">
        <f t="shared" si="746"/>
        <v/>
      </c>
      <c r="BP234" s="328" t="str">
        <f t="shared" si="824"/>
        <v xml:space="preserve"> </v>
      </c>
      <c r="BQ234" s="347" t="str">
        <f t="shared" si="747"/>
        <v xml:space="preserve"> </v>
      </c>
      <c r="BR234" s="353" t="str">
        <f t="shared" si="748"/>
        <v xml:space="preserve"> </v>
      </c>
      <c r="BS234" s="626" t="str">
        <f>IF(L234&gt;0,IF(Calculation!P234="M13",BR234*3.1416*(0.134^2)/(4*144),IF(Calculation!P234="M17",BR234*3.1416*(0.165^2)/(4*144),IF(Calculation!P234="M20",BR234*3.1416*(0.198^2)/(4*144),IF(Calculation!P234="M23",BR234*3.1416*(0.228^2)/(4*144),IF(Calculation!P234="M27",BR234*3.1416*(0.269^2)/(4*144),BR234*3.1416*(0.307^2)/(4*144))))))," ")</f>
        <v xml:space="preserve"> </v>
      </c>
      <c r="BT234" s="353" t="str">
        <f>IF(L234&gt;0,IF(BS234&gt;0,R234/Calculation!BS234,0)," ")</f>
        <v xml:space="preserve"> </v>
      </c>
      <c r="BU234" s="438" t="e">
        <f t="shared" ca="1" si="656"/>
        <v>#VALUE!</v>
      </c>
      <c r="BV234" s="449" t="e">
        <f ca="1">INDEX(INDIRECT(VLOOKUP(LEFT(BO234,7),CLU!$Z$3:$AH$18,2)),GN234,GR234)</f>
        <v>#N/A</v>
      </c>
      <c r="BW234" s="433" t="e">
        <f ca="1">INDEX(INDIRECT(VLOOKUP(LEFT(BO234,7),CLU!$Z$3:$AH$18,3)),GN234,GR234)</f>
        <v>#N/A</v>
      </c>
      <c r="BX234" s="433" t="e">
        <f ca="1">INDEX(INDIRECT(VLOOKUP(LEFT(BO234,7),CLU!$Z$3:$AH$18,4)),GN234,GR234)</f>
        <v>#N/A</v>
      </c>
      <c r="BY234" s="433" t="e">
        <f ca="1">INDEX(INDIRECT(VLOOKUP(LEFT(BO234,7),CLU!$Z$3:$AH$18,9)),((M234-2)*(6-COUNTBLANK(GT234:GY234)))+GJ234)</f>
        <v>#N/A</v>
      </c>
      <c r="BZ234" s="426" t="e">
        <f t="shared" ca="1" si="749"/>
        <v>#N/A</v>
      </c>
      <c r="CA234" s="424" t="e">
        <f t="shared" ca="1" si="750"/>
        <v>#N/A</v>
      </c>
      <c r="CB234" s="429" t="e">
        <f ca="1">INDEX(INDIRECT(VLOOKUP(LEFT(BO234,7),CLU!$Z$3:$AH$18,2)),GN234,GS234)</f>
        <v>#N/A</v>
      </c>
      <c r="CC234" s="342" t="e">
        <f ca="1">INDEX(INDIRECT(VLOOKUP(LEFT(BO234,7),CLU!$Z$3:$AH$18,3)),GN234,GS234)</f>
        <v>#N/A</v>
      </c>
      <c r="CD234" s="342" t="e">
        <f ca="1">INDEX(INDIRECT(VLOOKUP(LEFT(BO234,7),CLU!$Z$3:$AH$18,4)),GN234,GS234)</f>
        <v>#N/A</v>
      </c>
      <c r="CE234" s="426" t="e">
        <f t="shared" ca="1" si="751"/>
        <v>#N/A</v>
      </c>
      <c r="CF234" s="440">
        <f t="shared" si="752"/>
        <v>0</v>
      </c>
      <c r="CG234" s="431" t="e">
        <f ca="1">INDEX(INDIRECT(VLOOKUP(LEFT(BO234,7),CLU!$Z$3:$AH$18,2)),GQ234,GR234)</f>
        <v>#N/A</v>
      </c>
      <c r="CH234" s="431" t="e">
        <f ca="1">INDEX(INDIRECT(VLOOKUP(LEFT(BO234,7),CLU!$Z$3:$AH$18,3)),GQ234,GR234)</f>
        <v>#N/A</v>
      </c>
      <c r="CI234" s="431" t="e">
        <f ca="1">INDEX(INDIRECT(VLOOKUP(LEFT(BO234,7),CLU!$Z$3:$AH$18,4)),GQ234,GR234)</f>
        <v>#N/A</v>
      </c>
      <c r="CJ234" s="448" t="e">
        <f t="shared" ca="1" si="753"/>
        <v>#N/A</v>
      </c>
      <c r="CK234" s="431" t="e">
        <f t="shared" ca="1" si="754"/>
        <v>#N/A</v>
      </c>
      <c r="CL234" s="440" t="e">
        <f t="shared" ca="1" si="755"/>
        <v>#N/A</v>
      </c>
      <c r="CM234" s="431" t="e">
        <f ca="1">INDEX(INDIRECT(VLOOKUP(LEFT(BO234,7),CLU!$Z$3:$AH$18,2)),GQ234,GS234)</f>
        <v>#N/A</v>
      </c>
      <c r="CN234" s="431" t="e">
        <f ca="1">INDEX(INDIRECT(VLOOKUP(LEFT(BO234,7),CLU!$Z$3:$AH$18,3)),GQ234,GS234)</f>
        <v>#N/A</v>
      </c>
      <c r="CO234" s="431" t="e">
        <f ca="1">INDEX(INDIRECT(VLOOKUP(LEFT(BO234,7),CLU!$Z$3:$AH$18,4)),GQ234,GS234)</f>
        <v>#N/A</v>
      </c>
      <c r="CP234" s="431" t="e">
        <f t="shared" ca="1" si="756"/>
        <v>#N/A</v>
      </c>
      <c r="CQ234" s="440">
        <f t="shared" si="757"/>
        <v>0</v>
      </c>
      <c r="CR234" s="51" t="e">
        <f t="shared" ca="1" si="758"/>
        <v>#N/A</v>
      </c>
      <c r="CS234" s="439" t="e">
        <f t="shared" ca="1" si="759"/>
        <v>#VALUE!</v>
      </c>
      <c r="CT234" s="51" t="e">
        <f t="shared" ca="1" si="760"/>
        <v>#VALUE!</v>
      </c>
      <c r="CU234" s="10"/>
      <c r="CV234" s="51" t="e">
        <f t="shared" ca="1" si="657"/>
        <v>#VALUE!</v>
      </c>
      <c r="CW234" s="51">
        <f t="shared" si="761"/>
        <v>0</v>
      </c>
      <c r="CX234" s="439" t="e">
        <f t="shared" ca="1" si="762"/>
        <v>#VALUE!</v>
      </c>
      <c r="CY234" s="51" t="e">
        <f t="shared" ca="1" si="763"/>
        <v>#VALUE!</v>
      </c>
      <c r="CZ234" s="10"/>
      <c r="DA234" s="51" t="e">
        <f t="shared" ca="1" si="764"/>
        <v>#VALUE!</v>
      </c>
      <c r="DB234" s="347" t="e">
        <f ca="1">INDEX(INDIRECT(VLOOKUP(LEFT(BO234,7),CLU!$Z$3:$AI$18,10)),((M234-2)*(6-COUNTBLANK(GT234:GY234)))+GJ234)*LI234</f>
        <v>#N/A</v>
      </c>
      <c r="DC234" s="347" t="str">
        <f>IF(L234&gt;0,((R234/Worksheet!$I$15)/DB234)^2," ")</f>
        <v xml:space="preserve"> </v>
      </c>
      <c r="DD234" s="602" t="str">
        <f t="shared" si="765"/>
        <v xml:space="preserve"> </v>
      </c>
      <c r="DE234" s="347" t="str">
        <f t="shared" si="658"/>
        <v xml:space="preserve"> </v>
      </c>
      <c r="DF234" s="356" t="e">
        <f ca="1">INDEX(INDIRECT(VLOOKUP(LEFT(BO234,7),CLU!$Z$3:$AH$18,8)),((M234-2)*(6-COUNTBLANK(GT234:GY234)))+GJ234)</f>
        <v>#N/A</v>
      </c>
      <c r="DG234" s="347" t="str">
        <f t="shared" si="659"/>
        <v xml:space="preserve"> </v>
      </c>
      <c r="DH234" s="357" t="str">
        <f t="shared" si="660"/>
        <v xml:space="preserve"> </v>
      </c>
      <c r="DI234" s="355" t="str">
        <f t="shared" si="661"/>
        <v xml:space="preserve"> </v>
      </c>
      <c r="DJ234" s="245" t="e">
        <f ca="1">INDEX(INDIRECT(VLOOKUP(LEFT(BO234,7),CLU!$Z$3:$AH$18,5)),GL234,GK234)</f>
        <v>#N/A</v>
      </c>
      <c r="DK234" s="245" t="e">
        <f ca="1">INDEX(INDIRECT(VLOOKUP(LEFT(BO234,7),CLU!$Z$3:$AH$18,6)),GL234,GK234)</f>
        <v>#N/A</v>
      </c>
      <c r="DL234" s="355">
        <f>(Calculation!R234*0.69143*(Calculation!$BQ$8-Calculation!$F$8))*$S$14</f>
        <v>0</v>
      </c>
      <c r="DM234" s="359" t="e">
        <f t="shared" si="766"/>
        <v>#VALUE!</v>
      </c>
      <c r="DN234" s="611">
        <f t="shared" si="767"/>
        <v>0</v>
      </c>
      <c r="DO234" s="359">
        <f t="shared" si="768"/>
        <v>100</v>
      </c>
      <c r="DP234" s="359">
        <f t="shared" si="769"/>
        <v>0</v>
      </c>
      <c r="DQ234" s="360"/>
      <c r="DR234" s="245" t="e">
        <f ca="1">INDEX(INDIRECT(VLOOKUP(LEFT(BO234,7),CLU!$Z$3:$AH$18,7)),M234-1,1)</f>
        <v>#N/A</v>
      </c>
      <c r="DS234" s="245" t="e">
        <f ca="1">INDEX(INDIRECT(VLOOKUP(LEFT(BO234,7),CLU!$Z$3:$AH$18,7)),M234-1,2)</f>
        <v>#N/A</v>
      </c>
      <c r="DT234" s="245" t="e">
        <f ca="1">INDEX(INDIRECT(VLOOKUP(LEFT(BO234,7),CLU!$Z$3:$AH$18,7)),M234-1,3)</f>
        <v>#N/A</v>
      </c>
      <c r="DU234" s="245" t="e">
        <f ca="1">INDEX(INDIRECT(VLOOKUP(LEFT(BO234,7),CLU!$Z$3:$AH$18,7)),M234-1,4)</f>
        <v>#N/A</v>
      </c>
      <c r="DV234" s="361" t="e">
        <f ca="1">INDEX(INDIRECT(VLOOKUP(LEFT(BO234,7),CLU!$Z$3:$AH$18,7)),M234-1,4+LEFT(DZ234,1)*0.5)</f>
        <v>#N/A</v>
      </c>
      <c r="DW234" s="245" t="e">
        <f ca="1">INDEX(INDIRECT(VLOOKUP(LEFT(BO234,7),CLU!$Z$3:$AH$18,7)),M234-1,8)</f>
        <v>#N/A</v>
      </c>
      <c r="DX234" s="361" t="str">
        <f t="shared" si="662"/>
        <v xml:space="preserve"> </v>
      </c>
      <c r="DY234" s="361" t="str">
        <f t="shared" si="663"/>
        <v xml:space="preserve"> </v>
      </c>
      <c r="DZ234" s="361" t="str">
        <f t="shared" si="664"/>
        <v xml:space="preserve"> </v>
      </c>
      <c r="EA234" s="362" t="str">
        <f t="shared" si="665"/>
        <v xml:space="preserve"> </v>
      </c>
      <c r="EB234" s="624" t="str">
        <f t="shared" si="770"/>
        <v xml:space="preserve"> </v>
      </c>
      <c r="EC234" s="361" t="e">
        <f ca="1">INDEX(INDIRECT(VLOOKUP(LEFT(BO234,7),CLU!$Z$3:$AH$18,7)),M234-1,4+LEFT(DZ234,1)*0.5)</f>
        <v>#N/A</v>
      </c>
      <c r="ED234" s="362" t="str">
        <f t="shared" si="666"/>
        <v xml:space="preserve"> </v>
      </c>
      <c r="EE234" s="361" t="str">
        <f t="shared" si="667"/>
        <v xml:space="preserve"> </v>
      </c>
      <c r="EF234" s="362" t="str">
        <f>IF(L234&gt;0,IF(BR234&gt;0,IF(EE234="2P",IF(Calculation!DZ234="2P",IF(Calculation!DS234=13.75,IF(Calculation!DR234=13,Worksheet!$BD$43,IF(Calculation!DR234=37,Worksheet!$BD$44,Worksheet!$BD$45)),IF(Calculation!DS234=10,IF(Calculation!DR234=18,Worksheet!$BD$29,IF(Calculation!DR234=30,Worksheet!$BD$30,IF(Calculation!DR234=42,Worksheet!$BD$31,IF(Calculation!DR234=54,Worksheet!$BD$32,IF(Calculation!DR234=66,Worksheet!$BD$33,IF(Calculation!DR234=78,Worksheet!$BD$34,IF(Calculation!DR234=90,Worksheet!$BD$35,IF(Calculation!DR234=102,Worksheet!$BD$36,Worksheet!$BD$37)))))))),IF(Calculation!DS234=12.5,IF(Calculation!DR234=18,Worksheet!$BD$38,IF(Calculation!DR234=Worksheet!$BD$39,IF(Calculation!DR234=42,Worksheet!$BD$40,IF(Calculation!DR234=54,Worksheet!$BD$41,Worksheet!$BD$42)))),IF(Calculation!DR234=18,Worksheet!$BD$11,IF(Calculation!DR234=30,Worksheet!$BD$12,IF(Calculation!DR234=42,Worksheet!$BD$13,IF(Calculation!DR234=54,Worksheet!$BD$14,IF(Calculation!DR234=66,Worksheet!$BD$15,IF(Calculation!DR234=78,Worksheet!$BD$16,IF(Calculation!DR234=90,Worksheet!$BD$17,IF(Calculation!DR234=102,Worksheet!$BD$18,Worksheet!$BD$19))))))))))),IF(Calculation!DS234=13.75,IF(Calculation!DR234=13,Worksheet!$BD$78,IF(Calculation!DR234=37,Worksheet!$BD$79,Worksheet!$BD$80)),IF(Calculation!DS234=10,IF(Calculation!DR234=18,Worksheet!$BD$64,IF(Calculation!DR234=30,Worksheet!$BD$65,IF(Calculation!DR234=42,Worksheet!$BD$66,IF(Calculation!DR234=54,Worksheet!$BD$68,IF(Calculation!DR234=66,Worksheet!$BD$68,IF(Calculation!DR234=78,Worksheet!$BD$69,IF(Calculation!DR234=90,Worksheet!$BD$70,IF(Calculation!DR234=102,Worksheet!$BD$71,Worksheet!$BD$72)))))))),IF(Calculation!DS234=12.5,IF(Calculation!DR234=18,Worksheet!$BD$73,IF(Calculation!DR234=Worksheet!$BD$74,IF(Calculation!DR234=42,Worksheet!$BD$75,IF(Calculation!DR234=54,Worksheet!$BD$76,Worksheet!$BD$77)))),IF(Calculation!DR234=18,Worksheet!$BD$55,IF(Calculation!DR234=30,Worksheet!$BD$56,IF(Calculation!DR234=42,Worksheet!$BD$57,IF(Calculation!DR234=54,Worksheet!$BD$58,IF(Calculation!DR234=66,Worksheet!$BD$59,IF(Calculation!DR234=78,Worksheet!$BD$60,IF(Calculation!DR234=90,Worksheet!$BD$61,IF(Calculation!DR234=102,Worksheet!$BD$62,Worksheet!$BD$63)))))))))))),5),0)," ")</f>
        <v xml:space="preserve"> </v>
      </c>
      <c r="EG234" s="361" t="str">
        <f t="shared" si="668"/>
        <v xml:space="preserve"> </v>
      </c>
      <c r="EH234" s="361" t="e">
        <f ca="1">INDEX(INDIRECT(VLOOKUP(LEFT(BO234,7),CLU!$Z$3:$AH$18,7)),M234-1,3+LEFT(DZ234,1))</f>
        <v>#N/A</v>
      </c>
      <c r="EI234" s="362" t="str">
        <f t="shared" si="669"/>
        <v xml:space="preserve"> </v>
      </c>
      <c r="EJ234" s="363" t="str">
        <f t="shared" si="670"/>
        <v xml:space="preserve"> </v>
      </c>
      <c r="EK234" s="363" t="str">
        <f t="shared" si="671"/>
        <v xml:space="preserve"> </v>
      </c>
      <c r="EL234" s="363" t="str">
        <f t="shared" si="672"/>
        <v xml:space="preserve"> </v>
      </c>
      <c r="EM234" s="362" t="str">
        <f>IF(L234&gt;0,IF(BR234&gt;0,(Calculation!T234/ED234)^2,0)," ")</f>
        <v xml:space="preserve"> </v>
      </c>
      <c r="EN234" s="362" t="str">
        <f>IF(L234&gt;0,IF(O234="2 Pipe (Cooling)","N/A",IF(BR234&gt;0,(Calculation!U234/EI234)^2,0))," ")</f>
        <v xml:space="preserve"> </v>
      </c>
      <c r="EO234" s="361" t="str">
        <f t="shared" si="673"/>
        <v/>
      </c>
      <c r="EP234" s="361" t="str">
        <f t="shared" si="674"/>
        <v/>
      </c>
      <c r="EQ234" s="361" t="str">
        <f t="shared" si="675"/>
        <v/>
      </c>
      <c r="ER234" s="361" t="str">
        <f t="shared" si="676"/>
        <v/>
      </c>
      <c r="ES234" s="361" t="str">
        <f t="shared" si="677"/>
        <v/>
      </c>
      <c r="ET234" s="361" t="str">
        <f t="shared" si="678"/>
        <v/>
      </c>
      <c r="EU234" s="361" t="str">
        <f t="shared" si="679"/>
        <v/>
      </c>
      <c r="EV234" s="361" t="str">
        <f t="shared" si="680"/>
        <v/>
      </c>
      <c r="EW234" s="361" t="str">
        <f t="shared" si="681"/>
        <v/>
      </c>
      <c r="EX234" s="361" t="str">
        <f t="shared" si="771"/>
        <v>1 slot, 1 way</v>
      </c>
      <c r="EY234" s="361" t="str">
        <f t="shared" si="772"/>
        <v xml:space="preserve"> </v>
      </c>
      <c r="EZ234" s="361" t="str">
        <f t="shared" si="773"/>
        <v xml:space="preserve"> </v>
      </c>
      <c r="FA234" s="361" t="str">
        <f t="shared" si="774"/>
        <v xml:space="preserve"> </v>
      </c>
      <c r="FB234" s="361" t="str">
        <f t="shared" si="775"/>
        <v xml:space="preserve"> </v>
      </c>
      <c r="FC234" s="361"/>
      <c r="FD234" s="361" t="str">
        <f>IF(J234&gt;0,IF(Calculation!R234&lt;=70,4,IF(Calculation!R234&lt;=110,5,IF(Calculation!R234&lt;=160,6,IF(Calculation!R234&lt;=300,8,"10 EO")))),"")</f>
        <v/>
      </c>
      <c r="FE234" s="361" t="str">
        <f t="shared" si="776"/>
        <v/>
      </c>
      <c r="FF234" s="361" t="str">
        <f t="shared" si="777"/>
        <v/>
      </c>
      <c r="FG234" s="361" t="e">
        <f t="shared" si="682"/>
        <v>#N/A</v>
      </c>
      <c r="FH234" s="361">
        <f t="shared" si="683"/>
        <v>0</v>
      </c>
      <c r="FI234" s="361" t="e">
        <f t="shared" si="684"/>
        <v>#DIV/0!</v>
      </c>
      <c r="FJ234" s="361"/>
      <c r="FK234" s="356" t="e">
        <f t="shared" si="685"/>
        <v>#VALUE!</v>
      </c>
      <c r="FL234" s="361"/>
      <c r="FM234" s="361"/>
      <c r="FN234" s="362" t="str">
        <f t="shared" si="778"/>
        <v xml:space="preserve"> </v>
      </c>
      <c r="FO234" s="362" t="str">
        <f t="shared" si="779"/>
        <v xml:space="preserve"> </v>
      </c>
      <c r="FP234" s="362">
        <f t="shared" si="780"/>
        <v>0</v>
      </c>
      <c r="FQ234" s="361">
        <f t="shared" si="686"/>
        <v>0</v>
      </c>
      <c r="FR234" s="362" t="str">
        <f>IF(L234&gt;0,IF(J234="CBAL2",Worksheet!$P$67,IF(J234="CBE2-24",Worksheet!$Q$67,IF(J234="CBAM",Worksheet!$R$67,IF(J234="CBLV",Worksheet!$S$67,IF(J234="CBAB",Worksheet!$U$67,IF(J234="CBAW",Worksheet!$X$67,IF(J234="CBE2-12",Worksheet!$Y$67,IF(J234="CBAL2",Worksheet!$Z$67,"N/A"))))))))," ")</f>
        <v xml:space="preserve"> </v>
      </c>
      <c r="FS234" s="362" t="str">
        <f>IF(L234&gt;0,IF(J234="CBAL2",Worksheet!$P$68,IF(J234="CBE2-24",Worksheet!$Q$68,IF(J234="CBAM",Worksheet!$R$68,IF(J234="CBLV",Worksheet!$S$68,IF(J234="CBAB",Worksheet!$U$68,IF(J234="CBAW",Worksheet!$X$68,IF(J234="CBE2-12",Worksheet!$Y$68,IF(J234="CBAL2",Worksheet!$Z$68,"N/A"))))))))," ")</f>
        <v xml:space="preserve"> </v>
      </c>
      <c r="FT234" s="362" t="str">
        <f>IF(L234&gt;0,IF(J234="CBAL2",Worksheet!$P$69,IF(J234="CBE2-24",Worksheet!$Q$69,IF(J234="CBAM",Worksheet!$R$69,IF(J234="CBLV",Worksheet!$S$69,IF(J234="CBAB",Worksheet!$U$69,IF(J234="CBAW",Worksheet!$X$69,IF(J234="CBE2-12",Worksheet!$Y$69,IF(J234="CBAL2",Worksheet!$Z$69,"N/A"))))))))," ")</f>
        <v xml:space="preserve"> </v>
      </c>
      <c r="FU234" s="361" t="str">
        <f t="shared" si="781"/>
        <v xml:space="preserve"> </v>
      </c>
      <c r="FV234" s="362" t="str">
        <f t="shared" si="782"/>
        <v xml:space="preserve"> </v>
      </c>
      <c r="FW234" s="362" t="str">
        <f t="shared" si="783"/>
        <v xml:space="preserve"> </v>
      </c>
      <c r="FX234" s="362" t="str">
        <f t="shared" si="784"/>
        <v xml:space="preserve"> </v>
      </c>
      <c r="FY234" s="355" t="str">
        <f t="shared" si="785"/>
        <v xml:space="preserve"> </v>
      </c>
      <c r="FZ234" s="361" t="str">
        <f t="shared" si="786"/>
        <v xml:space="preserve"> </v>
      </c>
      <c r="GA234" s="347" t="str">
        <f t="shared" si="787"/>
        <v xml:space="preserve"> </v>
      </c>
      <c r="GB234" s="355" t="str">
        <f t="shared" si="788"/>
        <v xml:space="preserve"> </v>
      </c>
      <c r="GC234" s="328" t="str">
        <f t="shared" si="789"/>
        <v xml:space="preserve"> </v>
      </c>
      <c r="GD234" s="361" t="str">
        <f t="shared" si="790"/>
        <v xml:space="preserve"> </v>
      </c>
      <c r="GE234" s="347" t="str">
        <f t="shared" si="791"/>
        <v xml:space="preserve"> </v>
      </c>
      <c r="GF234" s="361" t="str">
        <f t="shared" si="792"/>
        <v xml:space="preserve"> </v>
      </c>
      <c r="GG234" s="347" t="str">
        <f t="shared" si="793"/>
        <v xml:space="preserve"> </v>
      </c>
      <c r="GH234" s="364">
        <f t="shared" si="687"/>
        <v>0</v>
      </c>
      <c r="GI234" s="362">
        <f t="shared" si="794"/>
        <v>2</v>
      </c>
      <c r="GJ234" s="433" t="e">
        <f>IF(6-COUNTBLANK(GT234:GY234)=4,MATCH(MID(BO234,9,3),CLU!$H$16:$K$16),MATCH(MID(BO234,9,3),CLU!$H$13:$M$13))</f>
        <v>#N/A</v>
      </c>
      <c r="GK234" s="433" t="e">
        <f>HLOOKUP(VALUE(BP234),CLU!$H$9:$M$10,2)</f>
        <v>#VALUE!</v>
      </c>
      <c r="GL234" s="433" t="e">
        <f ca="1">MATCH(BU234,CLU!$H$2:$V$2,1)</f>
        <v>#VALUE!</v>
      </c>
      <c r="GM234" s="433" t="e">
        <f t="shared" ca="1" si="795"/>
        <v>#VALUE!</v>
      </c>
      <c r="GN234" s="433" t="e">
        <f t="shared" ca="1" si="796"/>
        <v>#VALUE!</v>
      </c>
      <c r="GO234" s="433" t="e">
        <f t="shared" ca="1" si="797"/>
        <v>#VALUE!</v>
      </c>
      <c r="GP234" s="433" t="e">
        <f t="shared" ca="1" si="798"/>
        <v>#VALUE!</v>
      </c>
      <c r="GQ234" s="433" t="e">
        <f t="shared" ca="1" si="799"/>
        <v>#VALUE!</v>
      </c>
      <c r="GR234" s="433" t="e">
        <f ca="1">MATCH(T234,INDIRECT(VLOOKUP(CONCATENATE(LEFT(BO234,7),"-",MID(BO234,13,1)),CLU!$P$3:$Q$16,2)),1)</f>
        <v>#N/A</v>
      </c>
      <c r="GS234" s="433" t="e">
        <f ca="1">MATCH(U234,INDIRECT(VLOOKUP(CONCATENATE(LEFT(BO234,7),"-",MID(BO234,13,1)),CLU!$P$3:$Q$16,2)),1)</f>
        <v>#N/A</v>
      </c>
      <c r="GT234" s="347" t="s">
        <v>512</v>
      </c>
      <c r="GU234" s="97" t="s">
        <v>513</v>
      </c>
      <c r="GV234" s="97" t="str">
        <f t="shared" si="800"/>
        <v>M23</v>
      </c>
      <c r="GW234" s="97" t="str">
        <f t="shared" si="801"/>
        <v>M31</v>
      </c>
      <c r="GX234" s="97" t="str">
        <f t="shared" si="802"/>
        <v/>
      </c>
      <c r="GY234" s="97" t="str">
        <f t="shared" si="803"/>
        <v/>
      </c>
      <c r="GZ234" s="481"/>
      <c r="HA234" s="288"/>
      <c r="HB234" s="240"/>
      <c r="HC234" s="240"/>
      <c r="HD234" s="240"/>
      <c r="HE234" s="240"/>
      <c r="HF234" s="240"/>
      <c r="HG234" s="240"/>
      <c r="HH234" s="240"/>
      <c r="HI234" s="240"/>
      <c r="HJ234" s="240"/>
      <c r="HK234" s="240"/>
      <c r="HL234" s="240"/>
      <c r="HM234" s="240"/>
      <c r="HN234" s="240"/>
      <c r="HO234" s="240"/>
      <c r="HP234" s="240"/>
      <c r="HQ234" s="240"/>
      <c r="HR234" s="240"/>
      <c r="HS234" s="240"/>
      <c r="HT234" s="240"/>
      <c r="HU234" s="240"/>
      <c r="HV234" s="245"/>
      <c r="HW234" s="245" t="b">
        <v>1</v>
      </c>
      <c r="HX234" s="245" t="str">
        <f t="shared" si="688"/>
        <v/>
      </c>
      <c r="HY234" s="245" t="e">
        <f t="shared" si="689"/>
        <v>#DIV/0!</v>
      </c>
      <c r="HZ234" s="245" t="e">
        <f t="shared" si="690"/>
        <v>#DIV/0!</v>
      </c>
      <c r="IA234" s="245">
        <f t="shared" si="691"/>
        <v>0</v>
      </c>
      <c r="IB234" s="245"/>
      <c r="IC234" t="b">
        <f t="shared" si="692"/>
        <v>1</v>
      </c>
      <c r="ID234" s="245" t="b">
        <f t="shared" si="693"/>
        <v>1</v>
      </c>
      <c r="IE234" s="245" t="b">
        <f t="shared" si="694"/>
        <v>1</v>
      </c>
      <c r="IF234" s="245" t="b">
        <f t="shared" si="695"/>
        <v>0</v>
      </c>
      <c r="IG234" s="245" t="b">
        <f t="shared" si="696"/>
        <v>1</v>
      </c>
      <c r="IH234" s="245" t="b">
        <f t="shared" si="697"/>
        <v>1</v>
      </c>
      <c r="II234" s="245">
        <f t="shared" si="804"/>
        <v>0</v>
      </c>
      <c r="IJ234" s="245" t="e">
        <f t="shared" si="698"/>
        <v>#VALUE!</v>
      </c>
      <c r="IK234" s="245" t="e">
        <f t="shared" si="699"/>
        <v>#VALUE!</v>
      </c>
      <c r="IL234" s="245"/>
      <c r="IM234" s="245" t="e">
        <f t="shared" si="805"/>
        <v>#N/A</v>
      </c>
      <c r="IN234" s="245" t="e">
        <f t="shared" si="806"/>
        <v>#N/A</v>
      </c>
      <c r="IO234" s="245"/>
      <c r="IP234" s="245"/>
      <c r="IQ234" s="245" t="str">
        <f t="shared" si="700"/>
        <v/>
      </c>
      <c r="IR234" s="245" t="str">
        <f>IF(J234="","",VLOOKUP(J234,Worksheet!$R$4:$T$14,2))</f>
        <v/>
      </c>
      <c r="IS234" s="245"/>
      <c r="IT234" s="245">
        <f t="shared" si="701"/>
        <v>0</v>
      </c>
      <c r="IU234" s="245">
        <f t="shared" si="702"/>
        <v>0</v>
      </c>
      <c r="IV234" s="245">
        <f t="shared" si="703"/>
        <v>0</v>
      </c>
      <c r="IW234" s="245">
        <f t="shared" si="704"/>
        <v>0</v>
      </c>
      <c r="IX234" s="245">
        <f t="shared" si="807"/>
        <v>0</v>
      </c>
      <c r="IY234" s="245">
        <f t="shared" si="705"/>
        <v>0</v>
      </c>
      <c r="IZ234" s="245">
        <f t="shared" si="706"/>
        <v>0</v>
      </c>
      <c r="JA234">
        <f t="shared" si="707"/>
        <v>0</v>
      </c>
      <c r="JB234">
        <f t="shared" si="808"/>
        <v>0</v>
      </c>
      <c r="JC234">
        <f t="shared" si="708"/>
        <v>0</v>
      </c>
      <c r="JD234">
        <f t="shared" si="709"/>
        <v>0</v>
      </c>
      <c r="JE234">
        <f t="shared" si="710"/>
        <v>0</v>
      </c>
      <c r="JF234">
        <f t="shared" si="711"/>
        <v>0</v>
      </c>
      <c r="JG234">
        <f t="shared" si="712"/>
        <v>0</v>
      </c>
      <c r="JH234">
        <f t="shared" si="713"/>
        <v>0</v>
      </c>
      <c r="JI234">
        <f t="shared" si="714"/>
        <v>0</v>
      </c>
      <c r="JJ234" s="447">
        <f t="shared" si="715"/>
        <v>0</v>
      </c>
      <c r="JK234" s="447">
        <f t="shared" si="716"/>
        <v>0</v>
      </c>
      <c r="JL234">
        <f t="shared" si="717"/>
        <v>0</v>
      </c>
      <c r="JM234" s="245" t="str">
        <f>IFERROR(VLOOKUP(MATCH(BN234,#REF!,0),#REF!,7),"")</f>
        <v/>
      </c>
      <c r="JN234" t="e">
        <f>HLOOKUP(LEFT(BO234,7),Discharge_Area,MATCH(JO234,LookUps!$B$130:$B$149,1)+2)</f>
        <v>#N/A</v>
      </c>
      <c r="JO234" t="str">
        <f t="shared" si="718"/>
        <v>- S</v>
      </c>
      <c r="JP234" t="e">
        <f>HLOOKUP(LEFT(BO234,7),Discharge_Area,MATCH(JO234,LookUps!$B$130:$B$149,1)+2)</f>
        <v>#N/A</v>
      </c>
      <c r="JQ234" t="e">
        <f t="shared" si="719"/>
        <v>#N/A</v>
      </c>
      <c r="JR234" t="e">
        <f t="shared" si="720"/>
        <v>#N/A</v>
      </c>
      <c r="JS234" t="e">
        <f t="shared" si="721"/>
        <v>#N/A</v>
      </c>
      <c r="JT234" s="532" t="str">
        <f t="shared" si="722"/>
        <v xml:space="preserve"> </v>
      </c>
      <c r="JU234" s="532" t="str">
        <f t="shared" si="723"/>
        <v xml:space="preserve"> </v>
      </c>
      <c r="JV234" s="533" t="str">
        <f t="shared" si="724"/>
        <v xml:space="preserve"> </v>
      </c>
      <c r="JW234" s="534">
        <f t="shared" si="725"/>
        <v>0</v>
      </c>
      <c r="JX234" s="535" t="str">
        <f t="shared" si="809"/>
        <v xml:space="preserve"> </v>
      </c>
      <c r="JY234" s="535" t="str">
        <f t="shared" si="810"/>
        <v xml:space="preserve"> </v>
      </c>
      <c r="JZ234" s="535" t="str">
        <f t="shared" si="811"/>
        <v xml:space="preserve"> </v>
      </c>
      <c r="KA234" s="536" t="str">
        <f t="shared" si="726"/>
        <v xml:space="preserve"> </v>
      </c>
      <c r="KB234" s="535" t="e">
        <f t="shared" si="812"/>
        <v>#VALUE!</v>
      </c>
      <c r="KC234" s="535" t="str">
        <f t="shared" si="727"/>
        <v/>
      </c>
      <c r="KD234" s="537" t="str">
        <f t="shared" si="813"/>
        <v xml:space="preserve"> </v>
      </c>
      <c r="KE234" s="537" t="str">
        <f t="shared" si="814"/>
        <v xml:space="preserve"> </v>
      </c>
      <c r="KF234" s="534">
        <f t="shared" si="728"/>
        <v>0</v>
      </c>
      <c r="KG234" s="535" t="str">
        <f t="shared" si="729"/>
        <v xml:space="preserve"> </v>
      </c>
      <c r="KH234" s="535" t="str">
        <f t="shared" si="730"/>
        <v xml:space="preserve"> </v>
      </c>
      <c r="KI234" s="535" t="str">
        <f t="shared" si="731"/>
        <v xml:space="preserve"> </v>
      </c>
      <c r="KJ234" s="536" t="str">
        <f t="shared" si="732"/>
        <v xml:space="preserve"> </v>
      </c>
      <c r="KK234" s="535" t="str">
        <f t="shared" si="815"/>
        <v xml:space="preserve"> </v>
      </c>
      <c r="KL234" s="535" t="str">
        <f t="shared" si="816"/>
        <v xml:space="preserve"> </v>
      </c>
      <c r="KM234" s="537" t="str">
        <f t="shared" si="733"/>
        <v xml:space="preserve"> </v>
      </c>
      <c r="KN234" s="537" t="str">
        <f t="shared" si="817"/>
        <v xml:space="preserve"> </v>
      </c>
      <c r="KP234">
        <f t="shared" si="734"/>
        <v>0</v>
      </c>
      <c r="LA234" t="e">
        <f t="shared" si="735"/>
        <v>#VALUE!</v>
      </c>
      <c r="LB234" t="e">
        <f t="shared" si="736"/>
        <v>#VALUE!</v>
      </c>
      <c r="LC234" t="e">
        <f t="shared" si="737"/>
        <v>#VALUE!</v>
      </c>
      <c r="LD234" t="e">
        <f t="shared" si="738"/>
        <v>#VALUE!</v>
      </c>
      <c r="LE234" t="e">
        <f t="shared" si="818"/>
        <v>#VALUE!</v>
      </c>
      <c r="LF234">
        <f t="shared" si="739"/>
        <v>0</v>
      </c>
      <c r="LG234" t="e">
        <f t="shared" si="819"/>
        <v>#VALUE!</v>
      </c>
      <c r="LH234" t="str">
        <f t="shared" si="740"/>
        <v xml:space="preserve"> </v>
      </c>
      <c r="LI234">
        <f t="shared" si="820"/>
        <v>1</v>
      </c>
    </row>
    <row r="235" spans="2:321" ht="15" customHeight="1">
      <c r="B235" s="311"/>
      <c r="C235" s="311"/>
      <c r="D235" s="312"/>
      <c r="E235" s="311"/>
      <c r="F235" s="312"/>
      <c r="G235" s="311"/>
      <c r="H235" s="311"/>
      <c r="I235" s="232"/>
      <c r="J235" s="311"/>
      <c r="K235" s="305" t="str">
        <f t="shared" si="741"/>
        <v/>
      </c>
      <c r="L235" s="313"/>
      <c r="M235" s="312"/>
      <c r="N235" s="311"/>
      <c r="O235" s="312"/>
      <c r="P235" s="311"/>
      <c r="Q235" s="305" t="str">
        <f t="shared" si="742"/>
        <v/>
      </c>
      <c r="R235" s="314"/>
      <c r="S235" s="450" t="str">
        <f t="shared" si="625"/>
        <v/>
      </c>
      <c r="T235" s="315"/>
      <c r="U235" s="315"/>
      <c r="W235" s="149" t="str">
        <f t="shared" si="626"/>
        <v xml:space="preserve"> </v>
      </c>
      <c r="X235" s="243" t="str">
        <f t="shared" si="627"/>
        <v xml:space="preserve"> </v>
      </c>
      <c r="Y235" s="150" t="str">
        <f t="shared" si="628"/>
        <v/>
      </c>
      <c r="Z235" s="149" t="str">
        <f t="shared" si="629"/>
        <v xml:space="preserve"> </v>
      </c>
      <c r="AA235" s="98" t="str">
        <f t="shared" si="630"/>
        <v xml:space="preserve"> </v>
      </c>
      <c r="AB235" s="153" t="str">
        <f t="shared" si="631"/>
        <v xml:space="preserve"> </v>
      </c>
      <c r="AC235" s="153" t="str">
        <f t="shared" si="632"/>
        <v xml:space="preserve"> </v>
      </c>
      <c r="AD235" s="148" t="str">
        <f t="shared" si="633"/>
        <v/>
      </c>
      <c r="AE235" s="149" t="str">
        <f t="shared" si="634"/>
        <v/>
      </c>
      <c r="AF235" s="151" t="str">
        <f t="shared" si="635"/>
        <v xml:space="preserve"> </v>
      </c>
      <c r="AG235" s="153" t="str">
        <f t="shared" si="636"/>
        <v xml:space="preserve"> </v>
      </c>
      <c r="AH235" s="98" t="str">
        <f t="shared" si="637"/>
        <v xml:space="preserve"> </v>
      </c>
      <c r="AI235" s="149" t="str">
        <f t="shared" si="638"/>
        <v xml:space="preserve"> </v>
      </c>
      <c r="AK235" s="144" t="str">
        <f t="shared" si="639"/>
        <v xml:space="preserve"> </v>
      </c>
      <c r="AL235" s="144"/>
      <c r="AM235" s="243" t="str">
        <f t="shared" si="640"/>
        <v xml:space="preserve"> </v>
      </c>
      <c r="AN235" s="149" t="str">
        <f t="shared" si="743"/>
        <v xml:space="preserve"> </v>
      </c>
      <c r="AO235" s="144" t="str">
        <f>IF(JB235&gt;0,IF(GI235=10,-R235*1.085*(Calculation!$F$6-Calculation!$F$13)*$S$14," "),"")</f>
        <v/>
      </c>
      <c r="AP235" s="144" t="str">
        <f t="shared" si="641"/>
        <v/>
      </c>
      <c r="AQ235" s="56" t="str">
        <f t="shared" si="642"/>
        <v/>
      </c>
      <c r="AR235" s="144" t="str">
        <f t="shared" si="643"/>
        <v/>
      </c>
      <c r="AS235" s="176" t="str">
        <f t="shared" si="644"/>
        <v/>
      </c>
      <c r="AT235" s="176" t="str">
        <f t="shared" si="744"/>
        <v xml:space="preserve"> </v>
      </c>
      <c r="AU235" s="176" t="str">
        <f t="shared" si="645"/>
        <v/>
      </c>
      <c r="AV235" s="177" t="str">
        <f t="shared" si="646"/>
        <v xml:space="preserve"> </v>
      </c>
      <c r="AW235" s="144" t="str">
        <f t="shared" si="647"/>
        <v xml:space="preserve"> </v>
      </c>
      <c r="AX235" s="144" t="str">
        <f t="shared" si="648"/>
        <v xml:space="preserve"> </v>
      </c>
      <c r="AY235" s="152" t="str">
        <f t="shared" si="649"/>
        <v xml:space="preserve"> </v>
      </c>
      <c r="AZ235" s="246" t="str">
        <f t="shared" si="650"/>
        <v/>
      </c>
      <c r="BA235" s="176" t="str">
        <f t="shared" si="651"/>
        <v xml:space="preserve"> </v>
      </c>
      <c r="BB235" s="176" t="str">
        <f t="shared" si="652"/>
        <v xml:space="preserve"> </v>
      </c>
      <c r="BC235" s="195"/>
      <c r="BD235" s="316"/>
      <c r="BE235" s="317"/>
      <c r="BF235" s="318"/>
      <c r="BG235" s="318"/>
      <c r="BH235" s="144" t="str">
        <f t="shared" si="821"/>
        <v xml:space="preserve"> </v>
      </c>
      <c r="BI235" s="176" t="str">
        <f t="shared" si="653"/>
        <v/>
      </c>
      <c r="BJ235" s="144" t="str">
        <f t="shared" si="822"/>
        <v/>
      </c>
      <c r="BK235" s="246" t="str">
        <f t="shared" si="654"/>
        <v/>
      </c>
      <c r="BL235" s="144" t="str">
        <f t="shared" si="823"/>
        <v/>
      </c>
      <c r="BM235" s="246" t="str">
        <f t="shared" si="655"/>
        <v/>
      </c>
      <c r="BN235" s="337" t="str">
        <f t="shared" si="745"/>
        <v/>
      </c>
      <c r="BO235" s="371" t="str">
        <f t="shared" si="746"/>
        <v/>
      </c>
      <c r="BP235" s="328" t="str">
        <f t="shared" si="824"/>
        <v xml:space="preserve"> </v>
      </c>
      <c r="BQ235" s="347" t="str">
        <f t="shared" si="747"/>
        <v xml:space="preserve"> </v>
      </c>
      <c r="BR235" s="353" t="str">
        <f t="shared" si="748"/>
        <v xml:space="preserve"> </v>
      </c>
      <c r="BS235" s="626" t="str">
        <f>IF(L235&gt;0,IF(Calculation!P235="M13",BR235*3.1416*(0.134^2)/(4*144),IF(Calculation!P235="M17",BR235*3.1416*(0.165^2)/(4*144),IF(Calculation!P235="M20",BR235*3.1416*(0.198^2)/(4*144),IF(Calculation!P235="M23",BR235*3.1416*(0.228^2)/(4*144),IF(Calculation!P235="M27",BR235*3.1416*(0.269^2)/(4*144),BR235*3.1416*(0.307^2)/(4*144))))))," ")</f>
        <v xml:space="preserve"> </v>
      </c>
      <c r="BT235" s="353" t="str">
        <f>IF(L235&gt;0,IF(BS235&gt;0,R235/Calculation!BS235,0)," ")</f>
        <v xml:space="preserve"> </v>
      </c>
      <c r="BU235" s="438" t="e">
        <f t="shared" ca="1" si="656"/>
        <v>#VALUE!</v>
      </c>
      <c r="BV235" s="449" t="e">
        <f ca="1">INDEX(INDIRECT(VLOOKUP(LEFT(BO235,7),CLU!$Z$3:$AH$18,2)),GN235,GR235)</f>
        <v>#N/A</v>
      </c>
      <c r="BW235" s="433" t="e">
        <f ca="1">INDEX(INDIRECT(VLOOKUP(LEFT(BO235,7),CLU!$Z$3:$AH$18,3)),GN235,GR235)</f>
        <v>#N/A</v>
      </c>
      <c r="BX235" s="433" t="e">
        <f ca="1">INDEX(INDIRECT(VLOOKUP(LEFT(BO235,7),CLU!$Z$3:$AH$18,4)),GN235,GR235)</f>
        <v>#N/A</v>
      </c>
      <c r="BY235" s="433" t="e">
        <f ca="1">INDEX(INDIRECT(VLOOKUP(LEFT(BO235,7),CLU!$Z$3:$AH$18,9)),((M235-2)*(6-COUNTBLANK(GT235:GY235)))+GJ235)</f>
        <v>#N/A</v>
      </c>
      <c r="BZ235" s="426" t="e">
        <f t="shared" ca="1" si="749"/>
        <v>#N/A</v>
      </c>
      <c r="CA235" s="424" t="e">
        <f t="shared" ca="1" si="750"/>
        <v>#N/A</v>
      </c>
      <c r="CB235" s="429" t="e">
        <f ca="1">INDEX(INDIRECT(VLOOKUP(LEFT(BO235,7),CLU!$Z$3:$AH$18,2)),GN235,GS235)</f>
        <v>#N/A</v>
      </c>
      <c r="CC235" s="342" t="e">
        <f ca="1">INDEX(INDIRECT(VLOOKUP(LEFT(BO235,7),CLU!$Z$3:$AH$18,3)),GN235,GS235)</f>
        <v>#N/A</v>
      </c>
      <c r="CD235" s="342" t="e">
        <f ca="1">INDEX(INDIRECT(VLOOKUP(LEFT(BO235,7),CLU!$Z$3:$AH$18,4)),GN235,GS235)</f>
        <v>#N/A</v>
      </c>
      <c r="CE235" s="426" t="e">
        <f t="shared" ca="1" si="751"/>
        <v>#N/A</v>
      </c>
      <c r="CF235" s="440">
        <f t="shared" si="752"/>
        <v>0</v>
      </c>
      <c r="CG235" s="431" t="e">
        <f ca="1">INDEX(INDIRECT(VLOOKUP(LEFT(BO235,7),CLU!$Z$3:$AH$18,2)),GQ235,GR235)</f>
        <v>#N/A</v>
      </c>
      <c r="CH235" s="431" t="e">
        <f ca="1">INDEX(INDIRECT(VLOOKUP(LEFT(BO235,7),CLU!$Z$3:$AH$18,3)),GQ235,GR235)</f>
        <v>#N/A</v>
      </c>
      <c r="CI235" s="431" t="e">
        <f ca="1">INDEX(INDIRECT(VLOOKUP(LEFT(BO235,7),CLU!$Z$3:$AH$18,4)),GQ235,GR235)</f>
        <v>#N/A</v>
      </c>
      <c r="CJ235" s="448" t="e">
        <f t="shared" ca="1" si="753"/>
        <v>#N/A</v>
      </c>
      <c r="CK235" s="431" t="e">
        <f t="shared" ca="1" si="754"/>
        <v>#N/A</v>
      </c>
      <c r="CL235" s="440" t="e">
        <f t="shared" ca="1" si="755"/>
        <v>#N/A</v>
      </c>
      <c r="CM235" s="431" t="e">
        <f ca="1">INDEX(INDIRECT(VLOOKUP(LEFT(BO235,7),CLU!$Z$3:$AH$18,2)),GQ235,GS235)</f>
        <v>#N/A</v>
      </c>
      <c r="CN235" s="431" t="e">
        <f ca="1">INDEX(INDIRECT(VLOOKUP(LEFT(BO235,7),CLU!$Z$3:$AH$18,3)),GQ235,GS235)</f>
        <v>#N/A</v>
      </c>
      <c r="CO235" s="431" t="e">
        <f ca="1">INDEX(INDIRECT(VLOOKUP(LEFT(BO235,7),CLU!$Z$3:$AH$18,4)),GQ235,GS235)</f>
        <v>#N/A</v>
      </c>
      <c r="CP235" s="431" t="e">
        <f t="shared" ca="1" si="756"/>
        <v>#N/A</v>
      </c>
      <c r="CQ235" s="440">
        <f t="shared" si="757"/>
        <v>0</v>
      </c>
      <c r="CR235" s="51" t="e">
        <f t="shared" ca="1" si="758"/>
        <v>#N/A</v>
      </c>
      <c r="CS235" s="439" t="e">
        <f t="shared" ca="1" si="759"/>
        <v>#VALUE!</v>
      </c>
      <c r="CT235" s="51" t="e">
        <f t="shared" ca="1" si="760"/>
        <v>#VALUE!</v>
      </c>
      <c r="CU235" s="10"/>
      <c r="CV235" s="51" t="e">
        <f t="shared" ca="1" si="657"/>
        <v>#VALUE!</v>
      </c>
      <c r="CW235" s="51">
        <f t="shared" si="761"/>
        <v>0</v>
      </c>
      <c r="CX235" s="439" t="e">
        <f t="shared" ca="1" si="762"/>
        <v>#VALUE!</v>
      </c>
      <c r="CY235" s="51" t="e">
        <f t="shared" ca="1" si="763"/>
        <v>#VALUE!</v>
      </c>
      <c r="CZ235" s="10"/>
      <c r="DA235" s="51" t="e">
        <f t="shared" ca="1" si="764"/>
        <v>#VALUE!</v>
      </c>
      <c r="DB235" s="347" t="e">
        <f ca="1">INDEX(INDIRECT(VLOOKUP(LEFT(BO235,7),CLU!$Z$3:$AI$18,10)),((M235-2)*(6-COUNTBLANK(GT235:GY235)))+GJ235)*LI235</f>
        <v>#N/A</v>
      </c>
      <c r="DC235" s="347" t="str">
        <f>IF(L235&gt;0,((R235/Worksheet!$I$15)/DB235)^2," ")</f>
        <v xml:space="preserve"> </v>
      </c>
      <c r="DD235" s="602" t="str">
        <f t="shared" si="765"/>
        <v xml:space="preserve"> </v>
      </c>
      <c r="DE235" s="347" t="str">
        <f t="shared" si="658"/>
        <v xml:space="preserve"> </v>
      </c>
      <c r="DF235" s="356" t="e">
        <f ca="1">INDEX(INDIRECT(VLOOKUP(LEFT(BO235,7),CLU!$Z$3:$AH$18,8)),((M235-2)*(6-COUNTBLANK(GT235:GY235)))+GJ235)</f>
        <v>#N/A</v>
      </c>
      <c r="DG235" s="347" t="str">
        <f t="shared" si="659"/>
        <v xml:space="preserve"> </v>
      </c>
      <c r="DH235" s="357" t="str">
        <f t="shared" si="660"/>
        <v xml:space="preserve"> </v>
      </c>
      <c r="DI235" s="355" t="str">
        <f t="shared" si="661"/>
        <v xml:space="preserve"> </v>
      </c>
      <c r="DJ235" s="245" t="e">
        <f ca="1">INDEX(INDIRECT(VLOOKUP(LEFT(BO235,7),CLU!$Z$3:$AH$18,5)),GL235,GK235)</f>
        <v>#N/A</v>
      </c>
      <c r="DK235" s="245" t="e">
        <f ca="1">INDEX(INDIRECT(VLOOKUP(LEFT(BO235,7),CLU!$Z$3:$AH$18,6)),GL235,GK235)</f>
        <v>#N/A</v>
      </c>
      <c r="DL235" s="355">
        <f>(Calculation!R235*0.69143*(Calculation!$BQ$8-Calculation!$F$8))*$S$14</f>
        <v>0</v>
      </c>
      <c r="DM235" s="359" t="e">
        <f t="shared" si="766"/>
        <v>#VALUE!</v>
      </c>
      <c r="DN235" s="611">
        <f t="shared" si="767"/>
        <v>0</v>
      </c>
      <c r="DO235" s="359">
        <f t="shared" si="768"/>
        <v>100</v>
      </c>
      <c r="DP235" s="359">
        <f t="shared" si="769"/>
        <v>0</v>
      </c>
      <c r="DQ235" s="360"/>
      <c r="DR235" s="245" t="e">
        <f ca="1">INDEX(INDIRECT(VLOOKUP(LEFT(BO235,7),CLU!$Z$3:$AH$18,7)),M235-1,1)</f>
        <v>#N/A</v>
      </c>
      <c r="DS235" s="245" t="e">
        <f ca="1">INDEX(INDIRECT(VLOOKUP(LEFT(BO235,7),CLU!$Z$3:$AH$18,7)),M235-1,2)</f>
        <v>#N/A</v>
      </c>
      <c r="DT235" s="245" t="e">
        <f ca="1">INDEX(INDIRECT(VLOOKUP(LEFT(BO235,7),CLU!$Z$3:$AH$18,7)),M235-1,3)</f>
        <v>#N/A</v>
      </c>
      <c r="DU235" s="245" t="e">
        <f ca="1">INDEX(INDIRECT(VLOOKUP(LEFT(BO235,7),CLU!$Z$3:$AH$18,7)),M235-1,4)</f>
        <v>#N/A</v>
      </c>
      <c r="DV235" s="361" t="e">
        <f ca="1">INDEX(INDIRECT(VLOOKUP(LEFT(BO235,7),CLU!$Z$3:$AH$18,7)),M235-1,4+LEFT(DZ235,1)*0.5)</f>
        <v>#N/A</v>
      </c>
      <c r="DW235" s="245" t="e">
        <f ca="1">INDEX(INDIRECT(VLOOKUP(LEFT(BO235,7),CLU!$Z$3:$AH$18,7)),M235-1,8)</f>
        <v>#N/A</v>
      </c>
      <c r="DX235" s="361" t="str">
        <f t="shared" si="662"/>
        <v xml:space="preserve"> </v>
      </c>
      <c r="DY235" s="361" t="str">
        <f t="shared" si="663"/>
        <v xml:space="preserve"> </v>
      </c>
      <c r="DZ235" s="361" t="str">
        <f t="shared" si="664"/>
        <v xml:space="preserve"> </v>
      </c>
      <c r="EA235" s="362" t="str">
        <f t="shared" si="665"/>
        <v xml:space="preserve"> </v>
      </c>
      <c r="EB235" s="624" t="str">
        <f t="shared" si="770"/>
        <v xml:space="preserve"> </v>
      </c>
      <c r="EC235" s="361" t="e">
        <f ca="1">INDEX(INDIRECT(VLOOKUP(LEFT(BO235,7),CLU!$Z$3:$AH$18,7)),M235-1,4+LEFT(DZ235,1)*0.5)</f>
        <v>#N/A</v>
      </c>
      <c r="ED235" s="362" t="str">
        <f t="shared" si="666"/>
        <v xml:space="preserve"> </v>
      </c>
      <c r="EE235" s="361" t="str">
        <f t="shared" si="667"/>
        <v xml:space="preserve"> </v>
      </c>
      <c r="EF235" s="362" t="str">
        <f>IF(L235&gt;0,IF(BR235&gt;0,IF(EE235="2P",IF(Calculation!DZ235="2P",IF(Calculation!DS235=13.75,IF(Calculation!DR235=13,Worksheet!$BD$43,IF(Calculation!DR235=37,Worksheet!$BD$44,Worksheet!$BD$45)),IF(Calculation!DS235=10,IF(Calculation!DR235=18,Worksheet!$BD$29,IF(Calculation!DR235=30,Worksheet!$BD$30,IF(Calculation!DR235=42,Worksheet!$BD$31,IF(Calculation!DR235=54,Worksheet!$BD$32,IF(Calculation!DR235=66,Worksheet!$BD$33,IF(Calculation!DR235=78,Worksheet!$BD$34,IF(Calculation!DR235=90,Worksheet!$BD$35,IF(Calculation!DR235=102,Worksheet!$BD$36,Worksheet!$BD$37)))))))),IF(Calculation!DS235=12.5,IF(Calculation!DR235=18,Worksheet!$BD$38,IF(Calculation!DR235=Worksheet!$BD$39,IF(Calculation!DR235=42,Worksheet!$BD$40,IF(Calculation!DR235=54,Worksheet!$BD$41,Worksheet!$BD$42)))),IF(Calculation!DR235=18,Worksheet!$BD$11,IF(Calculation!DR235=30,Worksheet!$BD$12,IF(Calculation!DR235=42,Worksheet!$BD$13,IF(Calculation!DR235=54,Worksheet!$BD$14,IF(Calculation!DR235=66,Worksheet!$BD$15,IF(Calculation!DR235=78,Worksheet!$BD$16,IF(Calculation!DR235=90,Worksheet!$BD$17,IF(Calculation!DR235=102,Worksheet!$BD$18,Worksheet!$BD$19))))))))))),IF(Calculation!DS235=13.75,IF(Calculation!DR235=13,Worksheet!$BD$78,IF(Calculation!DR235=37,Worksheet!$BD$79,Worksheet!$BD$80)),IF(Calculation!DS235=10,IF(Calculation!DR235=18,Worksheet!$BD$64,IF(Calculation!DR235=30,Worksheet!$BD$65,IF(Calculation!DR235=42,Worksheet!$BD$66,IF(Calculation!DR235=54,Worksheet!$BD$68,IF(Calculation!DR235=66,Worksheet!$BD$68,IF(Calculation!DR235=78,Worksheet!$BD$69,IF(Calculation!DR235=90,Worksheet!$BD$70,IF(Calculation!DR235=102,Worksheet!$BD$71,Worksheet!$BD$72)))))))),IF(Calculation!DS235=12.5,IF(Calculation!DR235=18,Worksheet!$BD$73,IF(Calculation!DR235=Worksheet!$BD$74,IF(Calculation!DR235=42,Worksheet!$BD$75,IF(Calculation!DR235=54,Worksheet!$BD$76,Worksheet!$BD$77)))),IF(Calculation!DR235=18,Worksheet!$BD$55,IF(Calculation!DR235=30,Worksheet!$BD$56,IF(Calculation!DR235=42,Worksheet!$BD$57,IF(Calculation!DR235=54,Worksheet!$BD$58,IF(Calculation!DR235=66,Worksheet!$BD$59,IF(Calculation!DR235=78,Worksheet!$BD$60,IF(Calculation!DR235=90,Worksheet!$BD$61,IF(Calculation!DR235=102,Worksheet!$BD$62,Worksheet!$BD$63)))))))))))),5),0)," ")</f>
        <v xml:space="preserve"> </v>
      </c>
      <c r="EG235" s="361" t="str">
        <f t="shared" si="668"/>
        <v xml:space="preserve"> </v>
      </c>
      <c r="EH235" s="361" t="e">
        <f ca="1">INDEX(INDIRECT(VLOOKUP(LEFT(BO235,7),CLU!$Z$3:$AH$18,7)),M235-1,3+LEFT(DZ235,1))</f>
        <v>#N/A</v>
      </c>
      <c r="EI235" s="362" t="str">
        <f t="shared" si="669"/>
        <v xml:space="preserve"> </v>
      </c>
      <c r="EJ235" s="363" t="str">
        <f t="shared" si="670"/>
        <v xml:space="preserve"> </v>
      </c>
      <c r="EK235" s="363" t="str">
        <f t="shared" si="671"/>
        <v xml:space="preserve"> </v>
      </c>
      <c r="EL235" s="363" t="str">
        <f t="shared" si="672"/>
        <v xml:space="preserve"> </v>
      </c>
      <c r="EM235" s="362" t="str">
        <f>IF(L235&gt;0,IF(BR235&gt;0,(Calculation!T235/ED235)^2,0)," ")</f>
        <v xml:space="preserve"> </v>
      </c>
      <c r="EN235" s="362" t="str">
        <f>IF(L235&gt;0,IF(O235="2 Pipe (Cooling)","N/A",IF(BR235&gt;0,(Calculation!U235/EI235)^2,0))," ")</f>
        <v xml:space="preserve"> </v>
      </c>
      <c r="EO235" s="361" t="str">
        <f t="shared" si="673"/>
        <v/>
      </c>
      <c r="EP235" s="361" t="str">
        <f t="shared" si="674"/>
        <v/>
      </c>
      <c r="EQ235" s="361" t="str">
        <f t="shared" si="675"/>
        <v/>
      </c>
      <c r="ER235" s="361" t="str">
        <f t="shared" si="676"/>
        <v/>
      </c>
      <c r="ES235" s="361" t="str">
        <f t="shared" si="677"/>
        <v/>
      </c>
      <c r="ET235" s="361" t="str">
        <f t="shared" si="678"/>
        <v/>
      </c>
      <c r="EU235" s="361" t="str">
        <f t="shared" si="679"/>
        <v/>
      </c>
      <c r="EV235" s="361" t="str">
        <f t="shared" si="680"/>
        <v/>
      </c>
      <c r="EW235" s="361" t="str">
        <f t="shared" si="681"/>
        <v/>
      </c>
      <c r="EX235" s="361" t="str">
        <f t="shared" si="771"/>
        <v>1 slot, 1 way</v>
      </c>
      <c r="EY235" s="361" t="str">
        <f t="shared" si="772"/>
        <v xml:space="preserve"> </v>
      </c>
      <c r="EZ235" s="361" t="str">
        <f t="shared" si="773"/>
        <v xml:space="preserve"> </v>
      </c>
      <c r="FA235" s="361" t="str">
        <f t="shared" si="774"/>
        <v xml:space="preserve"> </v>
      </c>
      <c r="FB235" s="361" t="str">
        <f t="shared" si="775"/>
        <v xml:space="preserve"> </v>
      </c>
      <c r="FC235" s="361"/>
      <c r="FD235" s="361" t="str">
        <f>IF(J235&gt;0,IF(Calculation!R235&lt;=70,4,IF(Calculation!R235&lt;=110,5,IF(Calculation!R235&lt;=160,6,IF(Calculation!R235&lt;=300,8,"10 EO")))),"")</f>
        <v/>
      </c>
      <c r="FE235" s="361" t="str">
        <f t="shared" si="776"/>
        <v/>
      </c>
      <c r="FF235" s="361" t="str">
        <f t="shared" si="777"/>
        <v/>
      </c>
      <c r="FG235" s="361" t="e">
        <f t="shared" si="682"/>
        <v>#N/A</v>
      </c>
      <c r="FH235" s="361">
        <f t="shared" si="683"/>
        <v>0</v>
      </c>
      <c r="FI235" s="361" t="e">
        <f t="shared" si="684"/>
        <v>#DIV/0!</v>
      </c>
      <c r="FJ235" s="361"/>
      <c r="FK235" s="356" t="e">
        <f t="shared" si="685"/>
        <v>#VALUE!</v>
      </c>
      <c r="FL235" s="361"/>
      <c r="FM235" s="361"/>
      <c r="FN235" s="362" t="str">
        <f t="shared" si="778"/>
        <v xml:space="preserve"> </v>
      </c>
      <c r="FO235" s="362" t="str">
        <f t="shared" si="779"/>
        <v xml:space="preserve"> </v>
      </c>
      <c r="FP235" s="362">
        <f t="shared" si="780"/>
        <v>0</v>
      </c>
      <c r="FQ235" s="361">
        <f t="shared" si="686"/>
        <v>0</v>
      </c>
      <c r="FR235" s="362" t="str">
        <f>IF(L235&gt;0,IF(J235="CBAL2",Worksheet!$P$67,IF(J235="CBE2-24",Worksheet!$Q$67,IF(J235="CBAM",Worksheet!$R$67,IF(J235="CBLV",Worksheet!$S$67,IF(J235="CBAB",Worksheet!$U$67,IF(J235="CBAW",Worksheet!$X$67,IF(J235="CBE2-12",Worksheet!$Y$67,IF(J235="CBAL2",Worksheet!$Z$67,"N/A"))))))))," ")</f>
        <v xml:space="preserve"> </v>
      </c>
      <c r="FS235" s="362" t="str">
        <f>IF(L235&gt;0,IF(J235="CBAL2",Worksheet!$P$68,IF(J235="CBE2-24",Worksheet!$Q$68,IF(J235="CBAM",Worksheet!$R$68,IF(J235="CBLV",Worksheet!$S$68,IF(J235="CBAB",Worksheet!$U$68,IF(J235="CBAW",Worksheet!$X$68,IF(J235="CBE2-12",Worksheet!$Y$68,IF(J235="CBAL2",Worksheet!$Z$68,"N/A"))))))))," ")</f>
        <v xml:space="preserve"> </v>
      </c>
      <c r="FT235" s="362" t="str">
        <f>IF(L235&gt;0,IF(J235="CBAL2",Worksheet!$P$69,IF(J235="CBE2-24",Worksheet!$Q$69,IF(J235="CBAM",Worksheet!$R$69,IF(J235="CBLV",Worksheet!$S$69,IF(J235="CBAB",Worksheet!$U$69,IF(J235="CBAW",Worksheet!$X$69,IF(J235="CBE2-12",Worksheet!$Y$69,IF(J235="CBAL2",Worksheet!$Z$69,"N/A"))))))))," ")</f>
        <v xml:space="preserve"> </v>
      </c>
      <c r="FU235" s="361" t="str">
        <f t="shared" si="781"/>
        <v xml:space="preserve"> </v>
      </c>
      <c r="FV235" s="362" t="str">
        <f t="shared" si="782"/>
        <v xml:space="preserve"> </v>
      </c>
      <c r="FW235" s="362" t="str">
        <f t="shared" si="783"/>
        <v xml:space="preserve"> </v>
      </c>
      <c r="FX235" s="362" t="str">
        <f t="shared" si="784"/>
        <v xml:space="preserve"> </v>
      </c>
      <c r="FY235" s="355" t="str">
        <f t="shared" si="785"/>
        <v xml:space="preserve"> </v>
      </c>
      <c r="FZ235" s="361" t="str">
        <f t="shared" si="786"/>
        <v xml:space="preserve"> </v>
      </c>
      <c r="GA235" s="347" t="str">
        <f t="shared" si="787"/>
        <v xml:space="preserve"> </v>
      </c>
      <c r="GB235" s="355" t="str">
        <f t="shared" si="788"/>
        <v xml:space="preserve"> </v>
      </c>
      <c r="GC235" s="328" t="str">
        <f t="shared" si="789"/>
        <v xml:space="preserve"> </v>
      </c>
      <c r="GD235" s="361" t="str">
        <f t="shared" si="790"/>
        <v xml:space="preserve"> </v>
      </c>
      <c r="GE235" s="347" t="str">
        <f t="shared" si="791"/>
        <v xml:space="preserve"> </v>
      </c>
      <c r="GF235" s="361" t="str">
        <f t="shared" si="792"/>
        <v xml:space="preserve"> </v>
      </c>
      <c r="GG235" s="347" t="str">
        <f t="shared" si="793"/>
        <v xml:space="preserve"> </v>
      </c>
      <c r="GH235" s="364">
        <f t="shared" si="687"/>
        <v>0</v>
      </c>
      <c r="GI235" s="362">
        <f t="shared" si="794"/>
        <v>2</v>
      </c>
      <c r="GJ235" s="433" t="e">
        <f>IF(6-COUNTBLANK(GT235:GY235)=4,MATCH(MID(BO235,9,3),CLU!$H$16:$K$16),MATCH(MID(BO235,9,3),CLU!$H$13:$M$13))</f>
        <v>#N/A</v>
      </c>
      <c r="GK235" s="433" t="e">
        <f>HLOOKUP(VALUE(BP235),CLU!$H$9:$M$10,2)</f>
        <v>#VALUE!</v>
      </c>
      <c r="GL235" s="433" t="e">
        <f ca="1">MATCH(BU235,CLU!$H$2:$V$2,1)</f>
        <v>#VALUE!</v>
      </c>
      <c r="GM235" s="433" t="e">
        <f t="shared" ca="1" si="795"/>
        <v>#VALUE!</v>
      </c>
      <c r="GN235" s="433" t="e">
        <f t="shared" ca="1" si="796"/>
        <v>#VALUE!</v>
      </c>
      <c r="GO235" s="433" t="e">
        <f t="shared" ca="1" si="797"/>
        <v>#VALUE!</v>
      </c>
      <c r="GP235" s="433" t="e">
        <f t="shared" ca="1" si="798"/>
        <v>#VALUE!</v>
      </c>
      <c r="GQ235" s="433" t="e">
        <f t="shared" ca="1" si="799"/>
        <v>#VALUE!</v>
      </c>
      <c r="GR235" s="433" t="e">
        <f ca="1">MATCH(T235,INDIRECT(VLOOKUP(CONCATENATE(LEFT(BO235,7),"-",MID(BO235,13,1)),CLU!$P$3:$Q$16,2)),1)</f>
        <v>#N/A</v>
      </c>
      <c r="GS235" s="433" t="e">
        <f ca="1">MATCH(U235,INDIRECT(VLOOKUP(CONCATENATE(LEFT(BO235,7),"-",MID(BO235,13,1)),CLU!$P$3:$Q$16,2)),1)</f>
        <v>#N/A</v>
      </c>
      <c r="GT235" s="347" t="s">
        <v>512</v>
      </c>
      <c r="GU235" s="97" t="s">
        <v>513</v>
      </c>
      <c r="GV235" s="97" t="str">
        <f t="shared" si="800"/>
        <v>M23</v>
      </c>
      <c r="GW235" s="97" t="str">
        <f t="shared" si="801"/>
        <v>M31</v>
      </c>
      <c r="GX235" s="97" t="str">
        <f t="shared" si="802"/>
        <v/>
      </c>
      <c r="GY235" s="97" t="str">
        <f t="shared" si="803"/>
        <v/>
      </c>
      <c r="GZ235" s="481"/>
      <c r="HA235" s="288"/>
      <c r="HB235" s="240"/>
      <c r="HC235" s="240"/>
      <c r="HD235" s="240"/>
      <c r="HE235" s="240"/>
      <c r="HF235" s="240"/>
      <c r="HG235" s="240"/>
      <c r="HH235" s="240"/>
      <c r="HI235" s="240"/>
      <c r="HJ235" s="240"/>
      <c r="HK235" s="240"/>
      <c r="HL235" s="240"/>
      <c r="HM235" s="240"/>
      <c r="HN235" s="240"/>
      <c r="HO235" s="240"/>
      <c r="HP235" s="240"/>
      <c r="HQ235" s="240"/>
      <c r="HR235" s="240"/>
      <c r="HS235" s="240"/>
      <c r="HT235" s="240"/>
      <c r="HU235" s="240"/>
      <c r="HV235" s="245"/>
      <c r="HW235" s="245" t="b">
        <v>1</v>
      </c>
      <c r="HX235" s="245" t="str">
        <f t="shared" si="688"/>
        <v/>
      </c>
      <c r="HY235" s="245" t="e">
        <f t="shared" si="689"/>
        <v>#DIV/0!</v>
      </c>
      <c r="HZ235" s="245" t="e">
        <f t="shared" si="690"/>
        <v>#DIV/0!</v>
      </c>
      <c r="IA235" s="245">
        <f t="shared" si="691"/>
        <v>0</v>
      </c>
      <c r="IB235" s="245"/>
      <c r="IC235" t="b">
        <f t="shared" si="692"/>
        <v>1</v>
      </c>
      <c r="ID235" s="245" t="b">
        <f t="shared" si="693"/>
        <v>1</v>
      </c>
      <c r="IE235" s="245" t="b">
        <f t="shared" si="694"/>
        <v>1</v>
      </c>
      <c r="IF235" s="245" t="b">
        <f t="shared" si="695"/>
        <v>0</v>
      </c>
      <c r="IG235" s="245" t="b">
        <f t="shared" si="696"/>
        <v>1</v>
      </c>
      <c r="IH235" s="245" t="b">
        <f t="shared" si="697"/>
        <v>1</v>
      </c>
      <c r="II235" s="245">
        <f t="shared" si="804"/>
        <v>0</v>
      </c>
      <c r="IJ235" s="245" t="e">
        <f t="shared" si="698"/>
        <v>#VALUE!</v>
      </c>
      <c r="IK235" s="245" t="e">
        <f t="shared" si="699"/>
        <v>#VALUE!</v>
      </c>
      <c r="IL235" s="245"/>
      <c r="IM235" s="245" t="e">
        <f t="shared" si="805"/>
        <v>#N/A</v>
      </c>
      <c r="IN235" s="245" t="e">
        <f t="shared" si="806"/>
        <v>#N/A</v>
      </c>
      <c r="IO235" s="245"/>
      <c r="IP235" s="245"/>
      <c r="IQ235" s="245" t="str">
        <f t="shared" si="700"/>
        <v/>
      </c>
      <c r="IR235" s="245" t="str">
        <f>IF(J235="","",VLOOKUP(J235,Worksheet!$R$4:$T$14,2))</f>
        <v/>
      </c>
      <c r="IS235" s="245"/>
      <c r="IT235" s="245">
        <f t="shared" si="701"/>
        <v>0</v>
      </c>
      <c r="IU235" s="245">
        <f t="shared" si="702"/>
        <v>0</v>
      </c>
      <c r="IV235" s="245">
        <f t="shared" si="703"/>
        <v>0</v>
      </c>
      <c r="IW235" s="245">
        <f t="shared" si="704"/>
        <v>0</v>
      </c>
      <c r="IX235" s="245">
        <f t="shared" si="807"/>
        <v>0</v>
      </c>
      <c r="IY235" s="245">
        <f t="shared" si="705"/>
        <v>0</v>
      </c>
      <c r="IZ235" s="245">
        <f t="shared" si="706"/>
        <v>0</v>
      </c>
      <c r="JA235">
        <f t="shared" si="707"/>
        <v>0</v>
      </c>
      <c r="JB235">
        <f t="shared" si="808"/>
        <v>0</v>
      </c>
      <c r="JC235">
        <f t="shared" si="708"/>
        <v>0</v>
      </c>
      <c r="JD235">
        <f t="shared" si="709"/>
        <v>0</v>
      </c>
      <c r="JE235">
        <f t="shared" si="710"/>
        <v>0</v>
      </c>
      <c r="JF235">
        <f t="shared" si="711"/>
        <v>0</v>
      </c>
      <c r="JG235">
        <f t="shared" si="712"/>
        <v>0</v>
      </c>
      <c r="JH235">
        <f t="shared" si="713"/>
        <v>0</v>
      </c>
      <c r="JI235">
        <f t="shared" si="714"/>
        <v>0</v>
      </c>
      <c r="JJ235" s="447">
        <f t="shared" si="715"/>
        <v>0</v>
      </c>
      <c r="JK235" s="447">
        <f t="shared" si="716"/>
        <v>0</v>
      </c>
      <c r="JL235">
        <f t="shared" si="717"/>
        <v>0</v>
      </c>
      <c r="JM235" s="245" t="str">
        <f>IFERROR(VLOOKUP(MATCH(BN235,#REF!,0),#REF!,7),"")</f>
        <v/>
      </c>
      <c r="JN235" t="e">
        <f>HLOOKUP(LEFT(BO235,7),Discharge_Area,MATCH(JO235,LookUps!$B$130:$B$149,1)+2)</f>
        <v>#N/A</v>
      </c>
      <c r="JO235" t="str">
        <f t="shared" si="718"/>
        <v>- S</v>
      </c>
      <c r="JP235" t="e">
        <f>HLOOKUP(LEFT(BO235,7),Discharge_Area,MATCH(JO235,LookUps!$B$130:$B$149,1)+2)</f>
        <v>#N/A</v>
      </c>
      <c r="JQ235" t="e">
        <f t="shared" si="719"/>
        <v>#N/A</v>
      </c>
      <c r="JR235" t="e">
        <f t="shared" si="720"/>
        <v>#N/A</v>
      </c>
      <c r="JS235" t="e">
        <f t="shared" si="721"/>
        <v>#N/A</v>
      </c>
      <c r="JT235" s="532" t="str">
        <f t="shared" si="722"/>
        <v xml:space="preserve"> </v>
      </c>
      <c r="JU235" s="532" t="str">
        <f t="shared" si="723"/>
        <v xml:space="preserve"> </v>
      </c>
      <c r="JV235" s="533" t="str">
        <f t="shared" si="724"/>
        <v xml:space="preserve"> </v>
      </c>
      <c r="JW235" s="534">
        <f t="shared" si="725"/>
        <v>0</v>
      </c>
      <c r="JX235" s="535" t="str">
        <f t="shared" si="809"/>
        <v xml:space="preserve"> </v>
      </c>
      <c r="JY235" s="535" t="str">
        <f t="shared" si="810"/>
        <v xml:space="preserve"> </v>
      </c>
      <c r="JZ235" s="535" t="str">
        <f t="shared" si="811"/>
        <v xml:space="preserve"> </v>
      </c>
      <c r="KA235" s="536" t="str">
        <f t="shared" si="726"/>
        <v xml:space="preserve"> </v>
      </c>
      <c r="KB235" s="535" t="e">
        <f t="shared" si="812"/>
        <v>#VALUE!</v>
      </c>
      <c r="KC235" s="535" t="str">
        <f t="shared" si="727"/>
        <v/>
      </c>
      <c r="KD235" s="537" t="str">
        <f t="shared" si="813"/>
        <v xml:space="preserve"> </v>
      </c>
      <c r="KE235" s="537" t="str">
        <f t="shared" si="814"/>
        <v xml:space="preserve"> </v>
      </c>
      <c r="KF235" s="534">
        <f t="shared" si="728"/>
        <v>0</v>
      </c>
      <c r="KG235" s="535" t="str">
        <f t="shared" si="729"/>
        <v xml:space="preserve"> </v>
      </c>
      <c r="KH235" s="535" t="str">
        <f t="shared" si="730"/>
        <v xml:space="preserve"> </v>
      </c>
      <c r="KI235" s="535" t="str">
        <f t="shared" si="731"/>
        <v xml:space="preserve"> </v>
      </c>
      <c r="KJ235" s="536" t="str">
        <f t="shared" si="732"/>
        <v xml:space="preserve"> </v>
      </c>
      <c r="KK235" s="535" t="str">
        <f t="shared" si="815"/>
        <v xml:space="preserve"> </v>
      </c>
      <c r="KL235" s="535" t="str">
        <f t="shared" si="816"/>
        <v xml:space="preserve"> </v>
      </c>
      <c r="KM235" s="537" t="str">
        <f t="shared" si="733"/>
        <v xml:space="preserve"> </v>
      </c>
      <c r="KN235" s="537" t="str">
        <f t="shared" si="817"/>
        <v xml:space="preserve"> </v>
      </c>
      <c r="KP235">
        <f t="shared" si="734"/>
        <v>0</v>
      </c>
      <c r="LA235" t="e">
        <f t="shared" si="735"/>
        <v>#VALUE!</v>
      </c>
      <c r="LB235" t="e">
        <f t="shared" si="736"/>
        <v>#VALUE!</v>
      </c>
      <c r="LC235" t="e">
        <f t="shared" si="737"/>
        <v>#VALUE!</v>
      </c>
      <c r="LD235" t="e">
        <f t="shared" si="738"/>
        <v>#VALUE!</v>
      </c>
      <c r="LE235" t="e">
        <f t="shared" si="818"/>
        <v>#VALUE!</v>
      </c>
      <c r="LF235">
        <f t="shared" si="739"/>
        <v>0</v>
      </c>
      <c r="LG235" t="e">
        <f t="shared" si="819"/>
        <v>#VALUE!</v>
      </c>
      <c r="LH235" t="str">
        <f t="shared" si="740"/>
        <v xml:space="preserve"> </v>
      </c>
      <c r="LI235">
        <f t="shared" si="820"/>
        <v>1</v>
      </c>
    </row>
    <row r="236" spans="2:321" ht="15" customHeight="1">
      <c r="B236" s="311"/>
      <c r="C236" s="311"/>
      <c r="D236" s="312"/>
      <c r="E236" s="311"/>
      <c r="F236" s="312"/>
      <c r="G236" s="311"/>
      <c r="H236" s="311"/>
      <c r="I236" s="232"/>
      <c r="J236" s="311"/>
      <c r="K236" s="305" t="str">
        <f t="shared" si="741"/>
        <v/>
      </c>
      <c r="L236" s="313"/>
      <c r="M236" s="312"/>
      <c r="N236" s="311"/>
      <c r="O236" s="312"/>
      <c r="P236" s="311"/>
      <c r="Q236" s="305" t="str">
        <f t="shared" si="742"/>
        <v/>
      </c>
      <c r="R236" s="314"/>
      <c r="S236" s="450" t="str">
        <f t="shared" si="625"/>
        <v/>
      </c>
      <c r="T236" s="315"/>
      <c r="U236" s="315"/>
      <c r="W236" s="149" t="str">
        <f t="shared" si="626"/>
        <v xml:space="preserve"> </v>
      </c>
      <c r="X236" s="243" t="str">
        <f t="shared" si="627"/>
        <v xml:space="preserve"> </v>
      </c>
      <c r="Y236" s="150" t="str">
        <f t="shared" si="628"/>
        <v/>
      </c>
      <c r="Z236" s="149" t="str">
        <f t="shared" si="629"/>
        <v xml:space="preserve"> </v>
      </c>
      <c r="AA236" s="98" t="str">
        <f t="shared" si="630"/>
        <v xml:space="preserve"> </v>
      </c>
      <c r="AB236" s="153" t="str">
        <f t="shared" si="631"/>
        <v xml:space="preserve"> </v>
      </c>
      <c r="AC236" s="153" t="str">
        <f t="shared" si="632"/>
        <v xml:space="preserve"> </v>
      </c>
      <c r="AD236" s="148" t="str">
        <f t="shared" si="633"/>
        <v/>
      </c>
      <c r="AE236" s="149" t="str">
        <f t="shared" si="634"/>
        <v/>
      </c>
      <c r="AF236" s="151" t="str">
        <f t="shared" si="635"/>
        <v xml:space="preserve"> </v>
      </c>
      <c r="AG236" s="153" t="str">
        <f t="shared" si="636"/>
        <v xml:space="preserve"> </v>
      </c>
      <c r="AH236" s="98" t="str">
        <f t="shared" si="637"/>
        <v xml:space="preserve"> </v>
      </c>
      <c r="AI236" s="149" t="str">
        <f t="shared" si="638"/>
        <v xml:space="preserve"> </v>
      </c>
      <c r="AK236" s="144" t="str">
        <f t="shared" si="639"/>
        <v xml:space="preserve"> </v>
      </c>
      <c r="AL236" s="144"/>
      <c r="AM236" s="243" t="str">
        <f t="shared" si="640"/>
        <v xml:space="preserve"> </v>
      </c>
      <c r="AN236" s="149" t="str">
        <f t="shared" si="743"/>
        <v xml:space="preserve"> </v>
      </c>
      <c r="AO236" s="144" t="str">
        <f>IF(JB236&gt;0,IF(GI236=10,-R236*1.085*(Calculation!$F$6-Calculation!$F$13)*$S$14," "),"")</f>
        <v/>
      </c>
      <c r="AP236" s="144" t="str">
        <f t="shared" si="641"/>
        <v/>
      </c>
      <c r="AQ236" s="56" t="str">
        <f t="shared" si="642"/>
        <v/>
      </c>
      <c r="AR236" s="144" t="str">
        <f t="shared" si="643"/>
        <v/>
      </c>
      <c r="AS236" s="176" t="str">
        <f t="shared" si="644"/>
        <v/>
      </c>
      <c r="AT236" s="176" t="str">
        <f t="shared" si="744"/>
        <v xml:space="preserve"> </v>
      </c>
      <c r="AU236" s="176" t="str">
        <f t="shared" si="645"/>
        <v/>
      </c>
      <c r="AV236" s="177" t="str">
        <f t="shared" si="646"/>
        <v xml:space="preserve"> </v>
      </c>
      <c r="AW236" s="144" t="str">
        <f t="shared" si="647"/>
        <v xml:space="preserve"> </v>
      </c>
      <c r="AX236" s="144" t="str">
        <f t="shared" si="648"/>
        <v xml:space="preserve"> </v>
      </c>
      <c r="AY236" s="152" t="str">
        <f t="shared" si="649"/>
        <v xml:space="preserve"> </v>
      </c>
      <c r="AZ236" s="246" t="str">
        <f t="shared" si="650"/>
        <v/>
      </c>
      <c r="BA236" s="176" t="str">
        <f t="shared" si="651"/>
        <v xml:space="preserve"> </v>
      </c>
      <c r="BB236" s="176" t="str">
        <f t="shared" si="652"/>
        <v xml:space="preserve"> </v>
      </c>
      <c r="BC236" s="195"/>
      <c r="BD236" s="316"/>
      <c r="BE236" s="317"/>
      <c r="BF236" s="318"/>
      <c r="BG236" s="318"/>
      <c r="BH236" s="144" t="str">
        <f t="shared" si="821"/>
        <v xml:space="preserve"> </v>
      </c>
      <c r="BI236" s="176" t="str">
        <f t="shared" si="653"/>
        <v/>
      </c>
      <c r="BJ236" s="144" t="str">
        <f t="shared" si="822"/>
        <v/>
      </c>
      <c r="BK236" s="246" t="str">
        <f t="shared" si="654"/>
        <v/>
      </c>
      <c r="BL236" s="144" t="str">
        <f t="shared" si="823"/>
        <v/>
      </c>
      <c r="BM236" s="246" t="str">
        <f t="shared" si="655"/>
        <v/>
      </c>
      <c r="BN236" s="337" t="str">
        <f t="shared" si="745"/>
        <v/>
      </c>
      <c r="BO236" s="371" t="str">
        <f t="shared" si="746"/>
        <v/>
      </c>
      <c r="BP236" s="328" t="str">
        <f t="shared" si="824"/>
        <v xml:space="preserve"> </v>
      </c>
      <c r="BQ236" s="347" t="str">
        <f t="shared" si="747"/>
        <v xml:space="preserve"> </v>
      </c>
      <c r="BR236" s="353" t="str">
        <f t="shared" si="748"/>
        <v xml:space="preserve"> </v>
      </c>
      <c r="BS236" s="626" t="str">
        <f>IF(L236&gt;0,IF(Calculation!P236="M13",BR236*3.1416*(0.134^2)/(4*144),IF(Calculation!P236="M17",BR236*3.1416*(0.165^2)/(4*144),IF(Calculation!P236="M20",BR236*3.1416*(0.198^2)/(4*144),IF(Calculation!P236="M23",BR236*3.1416*(0.228^2)/(4*144),IF(Calculation!P236="M27",BR236*3.1416*(0.269^2)/(4*144),BR236*3.1416*(0.307^2)/(4*144))))))," ")</f>
        <v xml:space="preserve"> </v>
      </c>
      <c r="BT236" s="353" t="str">
        <f>IF(L236&gt;0,IF(BS236&gt;0,R236/Calculation!BS236,0)," ")</f>
        <v xml:space="preserve"> </v>
      </c>
      <c r="BU236" s="438" t="e">
        <f t="shared" ca="1" si="656"/>
        <v>#VALUE!</v>
      </c>
      <c r="BV236" s="449" t="e">
        <f ca="1">INDEX(INDIRECT(VLOOKUP(LEFT(BO236,7),CLU!$Z$3:$AH$18,2)),GN236,GR236)</f>
        <v>#N/A</v>
      </c>
      <c r="BW236" s="433" t="e">
        <f ca="1">INDEX(INDIRECT(VLOOKUP(LEFT(BO236,7),CLU!$Z$3:$AH$18,3)),GN236,GR236)</f>
        <v>#N/A</v>
      </c>
      <c r="BX236" s="433" t="e">
        <f ca="1">INDEX(INDIRECT(VLOOKUP(LEFT(BO236,7),CLU!$Z$3:$AH$18,4)),GN236,GR236)</f>
        <v>#N/A</v>
      </c>
      <c r="BY236" s="433" t="e">
        <f ca="1">INDEX(INDIRECT(VLOOKUP(LEFT(BO236,7),CLU!$Z$3:$AH$18,9)),((M236-2)*(6-COUNTBLANK(GT236:GY236)))+GJ236)</f>
        <v>#N/A</v>
      </c>
      <c r="BZ236" s="426" t="e">
        <f t="shared" ca="1" si="749"/>
        <v>#N/A</v>
      </c>
      <c r="CA236" s="424" t="e">
        <f t="shared" ca="1" si="750"/>
        <v>#N/A</v>
      </c>
      <c r="CB236" s="429" t="e">
        <f ca="1">INDEX(INDIRECT(VLOOKUP(LEFT(BO236,7),CLU!$Z$3:$AH$18,2)),GN236,GS236)</f>
        <v>#N/A</v>
      </c>
      <c r="CC236" s="342" t="e">
        <f ca="1">INDEX(INDIRECT(VLOOKUP(LEFT(BO236,7),CLU!$Z$3:$AH$18,3)),GN236,GS236)</f>
        <v>#N/A</v>
      </c>
      <c r="CD236" s="342" t="e">
        <f ca="1">INDEX(INDIRECT(VLOOKUP(LEFT(BO236,7),CLU!$Z$3:$AH$18,4)),GN236,GS236)</f>
        <v>#N/A</v>
      </c>
      <c r="CE236" s="426" t="e">
        <f t="shared" ca="1" si="751"/>
        <v>#N/A</v>
      </c>
      <c r="CF236" s="440">
        <f t="shared" si="752"/>
        <v>0</v>
      </c>
      <c r="CG236" s="431" t="e">
        <f ca="1">INDEX(INDIRECT(VLOOKUP(LEFT(BO236,7),CLU!$Z$3:$AH$18,2)),GQ236,GR236)</f>
        <v>#N/A</v>
      </c>
      <c r="CH236" s="431" t="e">
        <f ca="1">INDEX(INDIRECT(VLOOKUP(LEFT(BO236,7),CLU!$Z$3:$AH$18,3)),GQ236,GR236)</f>
        <v>#N/A</v>
      </c>
      <c r="CI236" s="431" t="e">
        <f ca="1">INDEX(INDIRECT(VLOOKUP(LEFT(BO236,7),CLU!$Z$3:$AH$18,4)),GQ236,GR236)</f>
        <v>#N/A</v>
      </c>
      <c r="CJ236" s="448" t="e">
        <f t="shared" ca="1" si="753"/>
        <v>#N/A</v>
      </c>
      <c r="CK236" s="431" t="e">
        <f t="shared" ca="1" si="754"/>
        <v>#N/A</v>
      </c>
      <c r="CL236" s="440" t="e">
        <f t="shared" ca="1" si="755"/>
        <v>#N/A</v>
      </c>
      <c r="CM236" s="431" t="e">
        <f ca="1">INDEX(INDIRECT(VLOOKUP(LEFT(BO236,7),CLU!$Z$3:$AH$18,2)),GQ236,GS236)</f>
        <v>#N/A</v>
      </c>
      <c r="CN236" s="431" t="e">
        <f ca="1">INDEX(INDIRECT(VLOOKUP(LEFT(BO236,7),CLU!$Z$3:$AH$18,3)),GQ236,GS236)</f>
        <v>#N/A</v>
      </c>
      <c r="CO236" s="431" t="e">
        <f ca="1">INDEX(INDIRECT(VLOOKUP(LEFT(BO236,7),CLU!$Z$3:$AH$18,4)),GQ236,GS236)</f>
        <v>#N/A</v>
      </c>
      <c r="CP236" s="431" t="e">
        <f t="shared" ca="1" si="756"/>
        <v>#N/A</v>
      </c>
      <c r="CQ236" s="440">
        <f t="shared" si="757"/>
        <v>0</v>
      </c>
      <c r="CR236" s="51" t="e">
        <f t="shared" ca="1" si="758"/>
        <v>#N/A</v>
      </c>
      <c r="CS236" s="439" t="e">
        <f t="shared" ca="1" si="759"/>
        <v>#VALUE!</v>
      </c>
      <c r="CT236" s="51" t="e">
        <f t="shared" ca="1" si="760"/>
        <v>#VALUE!</v>
      </c>
      <c r="CU236" s="10"/>
      <c r="CV236" s="51" t="e">
        <f t="shared" ca="1" si="657"/>
        <v>#VALUE!</v>
      </c>
      <c r="CW236" s="51">
        <f t="shared" si="761"/>
        <v>0</v>
      </c>
      <c r="CX236" s="439" t="e">
        <f t="shared" ca="1" si="762"/>
        <v>#VALUE!</v>
      </c>
      <c r="CY236" s="51" t="e">
        <f t="shared" ca="1" si="763"/>
        <v>#VALUE!</v>
      </c>
      <c r="CZ236" s="10"/>
      <c r="DA236" s="51" t="e">
        <f t="shared" ca="1" si="764"/>
        <v>#VALUE!</v>
      </c>
      <c r="DB236" s="347" t="e">
        <f ca="1">INDEX(INDIRECT(VLOOKUP(LEFT(BO236,7),CLU!$Z$3:$AI$18,10)),((M236-2)*(6-COUNTBLANK(GT236:GY236)))+GJ236)*LI236</f>
        <v>#N/A</v>
      </c>
      <c r="DC236" s="347" t="str">
        <f>IF(L236&gt;0,((R236/Worksheet!$I$15)/DB236)^2," ")</f>
        <v xml:space="preserve"> </v>
      </c>
      <c r="DD236" s="602" t="str">
        <f t="shared" si="765"/>
        <v xml:space="preserve"> </v>
      </c>
      <c r="DE236" s="347" t="str">
        <f t="shared" si="658"/>
        <v xml:space="preserve"> </v>
      </c>
      <c r="DF236" s="356" t="e">
        <f ca="1">INDEX(INDIRECT(VLOOKUP(LEFT(BO236,7),CLU!$Z$3:$AH$18,8)),((M236-2)*(6-COUNTBLANK(GT236:GY236)))+GJ236)</f>
        <v>#N/A</v>
      </c>
      <c r="DG236" s="347" t="str">
        <f t="shared" si="659"/>
        <v xml:space="preserve"> </v>
      </c>
      <c r="DH236" s="357" t="str">
        <f t="shared" si="660"/>
        <v xml:space="preserve"> </v>
      </c>
      <c r="DI236" s="355" t="str">
        <f t="shared" si="661"/>
        <v xml:space="preserve"> </v>
      </c>
      <c r="DJ236" s="245" t="e">
        <f ca="1">INDEX(INDIRECT(VLOOKUP(LEFT(BO236,7),CLU!$Z$3:$AH$18,5)),GL236,GK236)</f>
        <v>#N/A</v>
      </c>
      <c r="DK236" s="245" t="e">
        <f ca="1">INDEX(INDIRECT(VLOOKUP(LEFT(BO236,7),CLU!$Z$3:$AH$18,6)),GL236,GK236)</f>
        <v>#N/A</v>
      </c>
      <c r="DL236" s="355">
        <f>(Calculation!R236*0.69143*(Calculation!$BQ$8-Calculation!$F$8))*$S$14</f>
        <v>0</v>
      </c>
      <c r="DM236" s="359" t="e">
        <f t="shared" si="766"/>
        <v>#VALUE!</v>
      </c>
      <c r="DN236" s="611">
        <f t="shared" si="767"/>
        <v>0</v>
      </c>
      <c r="DO236" s="359">
        <f t="shared" si="768"/>
        <v>100</v>
      </c>
      <c r="DP236" s="359">
        <f t="shared" si="769"/>
        <v>0</v>
      </c>
      <c r="DQ236" s="360"/>
      <c r="DR236" s="245" t="e">
        <f ca="1">INDEX(INDIRECT(VLOOKUP(LEFT(BO236,7),CLU!$Z$3:$AH$18,7)),M236-1,1)</f>
        <v>#N/A</v>
      </c>
      <c r="DS236" s="245" t="e">
        <f ca="1">INDEX(INDIRECT(VLOOKUP(LEFT(BO236,7),CLU!$Z$3:$AH$18,7)),M236-1,2)</f>
        <v>#N/A</v>
      </c>
      <c r="DT236" s="245" t="e">
        <f ca="1">INDEX(INDIRECT(VLOOKUP(LEFT(BO236,7),CLU!$Z$3:$AH$18,7)),M236-1,3)</f>
        <v>#N/A</v>
      </c>
      <c r="DU236" s="245" t="e">
        <f ca="1">INDEX(INDIRECT(VLOOKUP(LEFT(BO236,7),CLU!$Z$3:$AH$18,7)),M236-1,4)</f>
        <v>#N/A</v>
      </c>
      <c r="DV236" s="361" t="e">
        <f ca="1">INDEX(INDIRECT(VLOOKUP(LEFT(BO236,7),CLU!$Z$3:$AH$18,7)),M236-1,4+LEFT(DZ236,1)*0.5)</f>
        <v>#N/A</v>
      </c>
      <c r="DW236" s="245" t="e">
        <f ca="1">INDEX(INDIRECT(VLOOKUP(LEFT(BO236,7),CLU!$Z$3:$AH$18,7)),M236-1,8)</f>
        <v>#N/A</v>
      </c>
      <c r="DX236" s="361" t="str">
        <f t="shared" si="662"/>
        <v xml:space="preserve"> </v>
      </c>
      <c r="DY236" s="361" t="str">
        <f t="shared" si="663"/>
        <v xml:space="preserve"> </v>
      </c>
      <c r="DZ236" s="361" t="str">
        <f t="shared" si="664"/>
        <v xml:space="preserve"> </v>
      </c>
      <c r="EA236" s="362" t="str">
        <f t="shared" si="665"/>
        <v xml:space="preserve"> </v>
      </c>
      <c r="EB236" s="624" t="str">
        <f t="shared" si="770"/>
        <v xml:space="preserve"> </v>
      </c>
      <c r="EC236" s="361" t="e">
        <f ca="1">INDEX(INDIRECT(VLOOKUP(LEFT(BO236,7),CLU!$Z$3:$AH$18,7)),M236-1,4+LEFT(DZ236,1)*0.5)</f>
        <v>#N/A</v>
      </c>
      <c r="ED236" s="362" t="str">
        <f t="shared" si="666"/>
        <v xml:space="preserve"> </v>
      </c>
      <c r="EE236" s="361" t="str">
        <f t="shared" si="667"/>
        <v xml:space="preserve"> </v>
      </c>
      <c r="EF236" s="362" t="str">
        <f>IF(L236&gt;0,IF(BR236&gt;0,IF(EE236="2P",IF(Calculation!DZ236="2P",IF(Calculation!DS236=13.75,IF(Calculation!DR236=13,Worksheet!$BD$43,IF(Calculation!DR236=37,Worksheet!$BD$44,Worksheet!$BD$45)),IF(Calculation!DS236=10,IF(Calculation!DR236=18,Worksheet!$BD$29,IF(Calculation!DR236=30,Worksheet!$BD$30,IF(Calculation!DR236=42,Worksheet!$BD$31,IF(Calculation!DR236=54,Worksheet!$BD$32,IF(Calculation!DR236=66,Worksheet!$BD$33,IF(Calculation!DR236=78,Worksheet!$BD$34,IF(Calculation!DR236=90,Worksheet!$BD$35,IF(Calculation!DR236=102,Worksheet!$BD$36,Worksheet!$BD$37)))))))),IF(Calculation!DS236=12.5,IF(Calculation!DR236=18,Worksheet!$BD$38,IF(Calculation!DR236=Worksheet!$BD$39,IF(Calculation!DR236=42,Worksheet!$BD$40,IF(Calculation!DR236=54,Worksheet!$BD$41,Worksheet!$BD$42)))),IF(Calculation!DR236=18,Worksheet!$BD$11,IF(Calculation!DR236=30,Worksheet!$BD$12,IF(Calculation!DR236=42,Worksheet!$BD$13,IF(Calculation!DR236=54,Worksheet!$BD$14,IF(Calculation!DR236=66,Worksheet!$BD$15,IF(Calculation!DR236=78,Worksheet!$BD$16,IF(Calculation!DR236=90,Worksheet!$BD$17,IF(Calculation!DR236=102,Worksheet!$BD$18,Worksheet!$BD$19))))))))))),IF(Calculation!DS236=13.75,IF(Calculation!DR236=13,Worksheet!$BD$78,IF(Calculation!DR236=37,Worksheet!$BD$79,Worksheet!$BD$80)),IF(Calculation!DS236=10,IF(Calculation!DR236=18,Worksheet!$BD$64,IF(Calculation!DR236=30,Worksheet!$BD$65,IF(Calculation!DR236=42,Worksheet!$BD$66,IF(Calculation!DR236=54,Worksheet!$BD$68,IF(Calculation!DR236=66,Worksheet!$BD$68,IF(Calculation!DR236=78,Worksheet!$BD$69,IF(Calculation!DR236=90,Worksheet!$BD$70,IF(Calculation!DR236=102,Worksheet!$BD$71,Worksheet!$BD$72)))))))),IF(Calculation!DS236=12.5,IF(Calculation!DR236=18,Worksheet!$BD$73,IF(Calculation!DR236=Worksheet!$BD$74,IF(Calculation!DR236=42,Worksheet!$BD$75,IF(Calculation!DR236=54,Worksheet!$BD$76,Worksheet!$BD$77)))),IF(Calculation!DR236=18,Worksheet!$BD$55,IF(Calculation!DR236=30,Worksheet!$BD$56,IF(Calculation!DR236=42,Worksheet!$BD$57,IF(Calculation!DR236=54,Worksheet!$BD$58,IF(Calculation!DR236=66,Worksheet!$BD$59,IF(Calculation!DR236=78,Worksheet!$BD$60,IF(Calculation!DR236=90,Worksheet!$BD$61,IF(Calculation!DR236=102,Worksheet!$BD$62,Worksheet!$BD$63)))))))))))),5),0)," ")</f>
        <v xml:space="preserve"> </v>
      </c>
      <c r="EG236" s="361" t="str">
        <f t="shared" si="668"/>
        <v xml:space="preserve"> </v>
      </c>
      <c r="EH236" s="361" t="e">
        <f ca="1">INDEX(INDIRECT(VLOOKUP(LEFT(BO236,7),CLU!$Z$3:$AH$18,7)),M236-1,3+LEFT(DZ236,1))</f>
        <v>#N/A</v>
      </c>
      <c r="EI236" s="362" t="str">
        <f t="shared" si="669"/>
        <v xml:space="preserve"> </v>
      </c>
      <c r="EJ236" s="363" t="str">
        <f t="shared" si="670"/>
        <v xml:space="preserve"> </v>
      </c>
      <c r="EK236" s="363" t="str">
        <f t="shared" si="671"/>
        <v xml:space="preserve"> </v>
      </c>
      <c r="EL236" s="363" t="str">
        <f t="shared" si="672"/>
        <v xml:space="preserve"> </v>
      </c>
      <c r="EM236" s="362" t="str">
        <f>IF(L236&gt;0,IF(BR236&gt;0,(Calculation!T236/ED236)^2,0)," ")</f>
        <v xml:space="preserve"> </v>
      </c>
      <c r="EN236" s="362" t="str">
        <f>IF(L236&gt;0,IF(O236="2 Pipe (Cooling)","N/A",IF(BR236&gt;0,(Calculation!U236/EI236)^2,0))," ")</f>
        <v xml:space="preserve"> </v>
      </c>
      <c r="EO236" s="361" t="str">
        <f t="shared" si="673"/>
        <v/>
      </c>
      <c r="EP236" s="361" t="str">
        <f t="shared" si="674"/>
        <v/>
      </c>
      <c r="EQ236" s="361" t="str">
        <f t="shared" si="675"/>
        <v/>
      </c>
      <c r="ER236" s="361" t="str">
        <f t="shared" si="676"/>
        <v/>
      </c>
      <c r="ES236" s="361" t="str">
        <f t="shared" si="677"/>
        <v/>
      </c>
      <c r="ET236" s="361" t="str">
        <f t="shared" si="678"/>
        <v/>
      </c>
      <c r="EU236" s="361" t="str">
        <f t="shared" si="679"/>
        <v/>
      </c>
      <c r="EV236" s="361" t="str">
        <f t="shared" si="680"/>
        <v/>
      </c>
      <c r="EW236" s="361" t="str">
        <f t="shared" si="681"/>
        <v/>
      </c>
      <c r="EX236" s="361" t="str">
        <f t="shared" si="771"/>
        <v>1 slot, 1 way</v>
      </c>
      <c r="EY236" s="361" t="str">
        <f t="shared" si="772"/>
        <v xml:space="preserve"> </v>
      </c>
      <c r="EZ236" s="361" t="str">
        <f t="shared" si="773"/>
        <v xml:space="preserve"> </v>
      </c>
      <c r="FA236" s="361" t="str">
        <f t="shared" si="774"/>
        <v xml:space="preserve"> </v>
      </c>
      <c r="FB236" s="361" t="str">
        <f t="shared" si="775"/>
        <v xml:space="preserve"> </v>
      </c>
      <c r="FC236" s="361"/>
      <c r="FD236" s="361" t="str">
        <f>IF(J236&gt;0,IF(Calculation!R236&lt;=70,4,IF(Calculation!R236&lt;=110,5,IF(Calculation!R236&lt;=160,6,IF(Calculation!R236&lt;=300,8,"10 EO")))),"")</f>
        <v/>
      </c>
      <c r="FE236" s="361" t="str">
        <f t="shared" si="776"/>
        <v/>
      </c>
      <c r="FF236" s="361" t="str">
        <f t="shared" si="777"/>
        <v/>
      </c>
      <c r="FG236" s="361" t="e">
        <f t="shared" si="682"/>
        <v>#N/A</v>
      </c>
      <c r="FH236" s="361">
        <f t="shared" si="683"/>
        <v>0</v>
      </c>
      <c r="FI236" s="361" t="e">
        <f t="shared" si="684"/>
        <v>#DIV/0!</v>
      </c>
      <c r="FJ236" s="361"/>
      <c r="FK236" s="356" t="e">
        <f t="shared" si="685"/>
        <v>#VALUE!</v>
      </c>
      <c r="FL236" s="361"/>
      <c r="FM236" s="361"/>
      <c r="FN236" s="362" t="str">
        <f t="shared" si="778"/>
        <v xml:space="preserve"> </v>
      </c>
      <c r="FO236" s="362" t="str">
        <f t="shared" si="779"/>
        <v xml:space="preserve"> </v>
      </c>
      <c r="FP236" s="362">
        <f t="shared" si="780"/>
        <v>0</v>
      </c>
      <c r="FQ236" s="361">
        <f t="shared" si="686"/>
        <v>0</v>
      </c>
      <c r="FR236" s="362" t="str">
        <f>IF(L236&gt;0,IF(J236="CBAL2",Worksheet!$P$67,IF(J236="CBE2-24",Worksheet!$Q$67,IF(J236="CBAM",Worksheet!$R$67,IF(J236="CBLV",Worksheet!$S$67,IF(J236="CBAB",Worksheet!$U$67,IF(J236="CBAW",Worksheet!$X$67,IF(J236="CBE2-12",Worksheet!$Y$67,IF(J236="CBAL2",Worksheet!$Z$67,"N/A"))))))))," ")</f>
        <v xml:space="preserve"> </v>
      </c>
      <c r="FS236" s="362" t="str">
        <f>IF(L236&gt;0,IF(J236="CBAL2",Worksheet!$P$68,IF(J236="CBE2-24",Worksheet!$Q$68,IF(J236="CBAM",Worksheet!$R$68,IF(J236="CBLV",Worksheet!$S$68,IF(J236="CBAB",Worksheet!$U$68,IF(J236="CBAW",Worksheet!$X$68,IF(J236="CBE2-12",Worksheet!$Y$68,IF(J236="CBAL2",Worksheet!$Z$68,"N/A"))))))))," ")</f>
        <v xml:space="preserve"> </v>
      </c>
      <c r="FT236" s="362" t="str">
        <f>IF(L236&gt;0,IF(J236="CBAL2",Worksheet!$P$69,IF(J236="CBE2-24",Worksheet!$Q$69,IF(J236="CBAM",Worksheet!$R$69,IF(J236="CBLV",Worksheet!$S$69,IF(J236="CBAB",Worksheet!$U$69,IF(J236="CBAW",Worksheet!$X$69,IF(J236="CBE2-12",Worksheet!$Y$69,IF(J236="CBAL2",Worksheet!$Z$69,"N/A"))))))))," ")</f>
        <v xml:space="preserve"> </v>
      </c>
      <c r="FU236" s="361" t="str">
        <f t="shared" si="781"/>
        <v xml:space="preserve"> </v>
      </c>
      <c r="FV236" s="362" t="str">
        <f t="shared" si="782"/>
        <v xml:space="preserve"> </v>
      </c>
      <c r="FW236" s="362" t="str">
        <f t="shared" si="783"/>
        <v xml:space="preserve"> </v>
      </c>
      <c r="FX236" s="362" t="str">
        <f t="shared" si="784"/>
        <v xml:space="preserve"> </v>
      </c>
      <c r="FY236" s="355" t="str">
        <f t="shared" si="785"/>
        <v xml:space="preserve"> </v>
      </c>
      <c r="FZ236" s="361" t="str">
        <f t="shared" si="786"/>
        <v xml:space="preserve"> </v>
      </c>
      <c r="GA236" s="347" t="str">
        <f t="shared" si="787"/>
        <v xml:space="preserve"> </v>
      </c>
      <c r="GB236" s="355" t="str">
        <f t="shared" si="788"/>
        <v xml:space="preserve"> </v>
      </c>
      <c r="GC236" s="328" t="str">
        <f t="shared" si="789"/>
        <v xml:space="preserve"> </v>
      </c>
      <c r="GD236" s="361" t="str">
        <f t="shared" si="790"/>
        <v xml:space="preserve"> </v>
      </c>
      <c r="GE236" s="347" t="str">
        <f t="shared" si="791"/>
        <v xml:space="preserve"> </v>
      </c>
      <c r="GF236" s="361" t="str">
        <f t="shared" si="792"/>
        <v xml:space="preserve"> </v>
      </c>
      <c r="GG236" s="347" t="str">
        <f t="shared" si="793"/>
        <v xml:space="preserve"> </v>
      </c>
      <c r="GH236" s="364">
        <f t="shared" si="687"/>
        <v>0</v>
      </c>
      <c r="GI236" s="362">
        <f t="shared" si="794"/>
        <v>2</v>
      </c>
      <c r="GJ236" s="433" t="e">
        <f>IF(6-COUNTBLANK(GT236:GY236)=4,MATCH(MID(BO236,9,3),CLU!$H$16:$K$16),MATCH(MID(BO236,9,3),CLU!$H$13:$M$13))</f>
        <v>#N/A</v>
      </c>
      <c r="GK236" s="433" t="e">
        <f>HLOOKUP(VALUE(BP236),CLU!$H$9:$M$10,2)</f>
        <v>#VALUE!</v>
      </c>
      <c r="GL236" s="433" t="e">
        <f ca="1">MATCH(BU236,CLU!$H$2:$V$2,1)</f>
        <v>#VALUE!</v>
      </c>
      <c r="GM236" s="433" t="e">
        <f t="shared" ca="1" si="795"/>
        <v>#VALUE!</v>
      </c>
      <c r="GN236" s="433" t="e">
        <f t="shared" ca="1" si="796"/>
        <v>#VALUE!</v>
      </c>
      <c r="GO236" s="433" t="e">
        <f t="shared" ca="1" si="797"/>
        <v>#VALUE!</v>
      </c>
      <c r="GP236" s="433" t="e">
        <f t="shared" ca="1" si="798"/>
        <v>#VALUE!</v>
      </c>
      <c r="GQ236" s="433" t="e">
        <f t="shared" ca="1" si="799"/>
        <v>#VALUE!</v>
      </c>
      <c r="GR236" s="433" t="e">
        <f ca="1">MATCH(T236,INDIRECT(VLOOKUP(CONCATENATE(LEFT(BO236,7),"-",MID(BO236,13,1)),CLU!$P$3:$Q$16,2)),1)</f>
        <v>#N/A</v>
      </c>
      <c r="GS236" s="433" t="e">
        <f ca="1">MATCH(U236,INDIRECT(VLOOKUP(CONCATENATE(LEFT(BO236,7),"-",MID(BO236,13,1)),CLU!$P$3:$Q$16,2)),1)</f>
        <v>#N/A</v>
      </c>
      <c r="GT236" s="347" t="s">
        <v>512</v>
      </c>
      <c r="GU236" s="97" t="s">
        <v>513</v>
      </c>
      <c r="GV236" s="97" t="str">
        <f t="shared" si="800"/>
        <v>M23</v>
      </c>
      <c r="GW236" s="97" t="str">
        <f t="shared" si="801"/>
        <v>M31</v>
      </c>
      <c r="GX236" s="97" t="str">
        <f t="shared" si="802"/>
        <v/>
      </c>
      <c r="GY236" s="97" t="str">
        <f t="shared" si="803"/>
        <v/>
      </c>
      <c r="GZ236" s="481"/>
      <c r="HA236" s="288"/>
      <c r="HB236" s="240"/>
      <c r="HC236" s="240"/>
      <c r="HD236" s="240"/>
      <c r="HE236" s="240"/>
      <c r="HF236" s="240"/>
      <c r="HG236" s="240"/>
      <c r="HH236" s="240"/>
      <c r="HI236" s="240"/>
      <c r="HJ236" s="240"/>
      <c r="HK236" s="240"/>
      <c r="HL236" s="240"/>
      <c r="HM236" s="240"/>
      <c r="HN236" s="240"/>
      <c r="HO236" s="240"/>
      <c r="HP236" s="240"/>
      <c r="HQ236" s="240"/>
      <c r="HR236" s="240"/>
      <c r="HS236" s="240"/>
      <c r="HT236" s="240"/>
      <c r="HU236" s="240"/>
      <c r="HV236" s="245"/>
      <c r="HW236" s="245" t="b">
        <v>1</v>
      </c>
      <c r="HX236" s="245" t="str">
        <f t="shared" si="688"/>
        <v/>
      </c>
      <c r="HY236" s="245" t="e">
        <f t="shared" si="689"/>
        <v>#DIV/0!</v>
      </c>
      <c r="HZ236" s="245" t="e">
        <f t="shared" si="690"/>
        <v>#DIV/0!</v>
      </c>
      <c r="IA236" s="245">
        <f t="shared" si="691"/>
        <v>0</v>
      </c>
      <c r="IB236" s="245"/>
      <c r="IC236" t="b">
        <f t="shared" si="692"/>
        <v>1</v>
      </c>
      <c r="ID236" s="245" t="b">
        <f t="shared" si="693"/>
        <v>1</v>
      </c>
      <c r="IE236" s="245" t="b">
        <f t="shared" si="694"/>
        <v>1</v>
      </c>
      <c r="IF236" s="245" t="b">
        <f t="shared" si="695"/>
        <v>0</v>
      </c>
      <c r="IG236" s="245" t="b">
        <f t="shared" si="696"/>
        <v>1</v>
      </c>
      <c r="IH236" s="245" t="b">
        <f t="shared" si="697"/>
        <v>1</v>
      </c>
      <c r="II236" s="245">
        <f t="shared" si="804"/>
        <v>0</v>
      </c>
      <c r="IJ236" s="245" t="e">
        <f t="shared" si="698"/>
        <v>#VALUE!</v>
      </c>
      <c r="IK236" s="245" t="e">
        <f t="shared" si="699"/>
        <v>#VALUE!</v>
      </c>
      <c r="IL236" s="245"/>
      <c r="IM236" s="245" t="e">
        <f t="shared" si="805"/>
        <v>#N/A</v>
      </c>
      <c r="IN236" s="245" t="e">
        <f t="shared" si="806"/>
        <v>#N/A</v>
      </c>
      <c r="IO236" s="245"/>
      <c r="IP236" s="245"/>
      <c r="IQ236" s="245" t="str">
        <f t="shared" si="700"/>
        <v/>
      </c>
      <c r="IR236" s="245" t="str">
        <f>IF(J236="","",VLOOKUP(J236,Worksheet!$R$4:$T$14,2))</f>
        <v/>
      </c>
      <c r="IS236" s="245"/>
      <c r="IT236" s="245">
        <f t="shared" si="701"/>
        <v>0</v>
      </c>
      <c r="IU236" s="245">
        <f t="shared" si="702"/>
        <v>0</v>
      </c>
      <c r="IV236" s="245">
        <f t="shared" si="703"/>
        <v>0</v>
      </c>
      <c r="IW236" s="245">
        <f t="shared" si="704"/>
        <v>0</v>
      </c>
      <c r="IX236" s="245">
        <f t="shared" si="807"/>
        <v>0</v>
      </c>
      <c r="IY236" s="245">
        <f t="shared" si="705"/>
        <v>0</v>
      </c>
      <c r="IZ236" s="245">
        <f t="shared" si="706"/>
        <v>0</v>
      </c>
      <c r="JA236">
        <f t="shared" si="707"/>
        <v>0</v>
      </c>
      <c r="JB236">
        <f t="shared" si="808"/>
        <v>0</v>
      </c>
      <c r="JC236">
        <f t="shared" si="708"/>
        <v>0</v>
      </c>
      <c r="JD236">
        <f t="shared" si="709"/>
        <v>0</v>
      </c>
      <c r="JE236">
        <f t="shared" si="710"/>
        <v>0</v>
      </c>
      <c r="JF236">
        <f t="shared" si="711"/>
        <v>0</v>
      </c>
      <c r="JG236">
        <f t="shared" si="712"/>
        <v>0</v>
      </c>
      <c r="JH236">
        <f t="shared" si="713"/>
        <v>0</v>
      </c>
      <c r="JI236">
        <f t="shared" si="714"/>
        <v>0</v>
      </c>
      <c r="JJ236" s="447">
        <f t="shared" si="715"/>
        <v>0</v>
      </c>
      <c r="JK236" s="447">
        <f t="shared" si="716"/>
        <v>0</v>
      </c>
      <c r="JL236">
        <f t="shared" si="717"/>
        <v>0</v>
      </c>
      <c r="JM236" s="245" t="str">
        <f>IFERROR(VLOOKUP(MATCH(BN236,#REF!,0),#REF!,7),"")</f>
        <v/>
      </c>
      <c r="JN236" t="e">
        <f>HLOOKUP(LEFT(BO236,7),Discharge_Area,MATCH(JO236,LookUps!$B$130:$B$149,1)+2)</f>
        <v>#N/A</v>
      </c>
      <c r="JO236" t="str">
        <f t="shared" si="718"/>
        <v>- S</v>
      </c>
      <c r="JP236" t="e">
        <f>HLOOKUP(LEFT(BO236,7),Discharge_Area,MATCH(JO236,LookUps!$B$130:$B$149,1)+2)</f>
        <v>#N/A</v>
      </c>
      <c r="JQ236" t="e">
        <f t="shared" si="719"/>
        <v>#N/A</v>
      </c>
      <c r="JR236" t="e">
        <f t="shared" si="720"/>
        <v>#N/A</v>
      </c>
      <c r="JS236" t="e">
        <f t="shared" si="721"/>
        <v>#N/A</v>
      </c>
      <c r="JT236" s="532" t="str">
        <f t="shared" si="722"/>
        <v xml:space="preserve"> </v>
      </c>
      <c r="JU236" s="532" t="str">
        <f t="shared" si="723"/>
        <v xml:space="preserve"> </v>
      </c>
      <c r="JV236" s="533" t="str">
        <f t="shared" si="724"/>
        <v xml:space="preserve"> </v>
      </c>
      <c r="JW236" s="534">
        <f t="shared" si="725"/>
        <v>0</v>
      </c>
      <c r="JX236" s="535" t="str">
        <f t="shared" si="809"/>
        <v xml:space="preserve"> </v>
      </c>
      <c r="JY236" s="535" t="str">
        <f t="shared" si="810"/>
        <v xml:space="preserve"> </v>
      </c>
      <c r="JZ236" s="535" t="str">
        <f t="shared" si="811"/>
        <v xml:space="preserve"> </v>
      </c>
      <c r="KA236" s="536" t="str">
        <f t="shared" si="726"/>
        <v xml:space="preserve"> </v>
      </c>
      <c r="KB236" s="535" t="e">
        <f t="shared" si="812"/>
        <v>#VALUE!</v>
      </c>
      <c r="KC236" s="535" t="str">
        <f t="shared" si="727"/>
        <v/>
      </c>
      <c r="KD236" s="537" t="str">
        <f t="shared" si="813"/>
        <v xml:space="preserve"> </v>
      </c>
      <c r="KE236" s="537" t="str">
        <f t="shared" si="814"/>
        <v xml:space="preserve"> </v>
      </c>
      <c r="KF236" s="534">
        <f t="shared" si="728"/>
        <v>0</v>
      </c>
      <c r="KG236" s="535" t="str">
        <f t="shared" si="729"/>
        <v xml:space="preserve"> </v>
      </c>
      <c r="KH236" s="535" t="str">
        <f t="shared" si="730"/>
        <v xml:space="preserve"> </v>
      </c>
      <c r="KI236" s="535" t="str">
        <f t="shared" si="731"/>
        <v xml:space="preserve"> </v>
      </c>
      <c r="KJ236" s="536" t="str">
        <f t="shared" si="732"/>
        <v xml:space="preserve"> </v>
      </c>
      <c r="KK236" s="535" t="str">
        <f t="shared" si="815"/>
        <v xml:space="preserve"> </v>
      </c>
      <c r="KL236" s="535" t="str">
        <f t="shared" si="816"/>
        <v xml:space="preserve"> </v>
      </c>
      <c r="KM236" s="537" t="str">
        <f t="shared" si="733"/>
        <v xml:space="preserve"> </v>
      </c>
      <c r="KN236" s="537" t="str">
        <f t="shared" si="817"/>
        <v xml:space="preserve"> </v>
      </c>
      <c r="KP236">
        <f t="shared" si="734"/>
        <v>0</v>
      </c>
      <c r="LA236" t="e">
        <f t="shared" si="735"/>
        <v>#VALUE!</v>
      </c>
      <c r="LB236" t="e">
        <f t="shared" si="736"/>
        <v>#VALUE!</v>
      </c>
      <c r="LC236" t="e">
        <f t="shared" si="737"/>
        <v>#VALUE!</v>
      </c>
      <c r="LD236" t="e">
        <f t="shared" si="738"/>
        <v>#VALUE!</v>
      </c>
      <c r="LE236" t="e">
        <f t="shared" si="818"/>
        <v>#VALUE!</v>
      </c>
      <c r="LF236">
        <f t="shared" si="739"/>
        <v>0</v>
      </c>
      <c r="LG236" t="e">
        <f t="shared" si="819"/>
        <v>#VALUE!</v>
      </c>
      <c r="LH236" t="str">
        <f t="shared" si="740"/>
        <v xml:space="preserve"> </v>
      </c>
      <c r="LI236">
        <f t="shared" si="820"/>
        <v>1</v>
      </c>
    </row>
    <row r="237" spans="2:321" ht="15" customHeight="1">
      <c r="B237" s="311"/>
      <c r="C237" s="311"/>
      <c r="D237" s="312"/>
      <c r="E237" s="311"/>
      <c r="F237" s="312"/>
      <c r="G237" s="311"/>
      <c r="H237" s="311"/>
      <c r="I237" s="232"/>
      <c r="J237" s="311"/>
      <c r="K237" s="305" t="str">
        <f t="shared" si="741"/>
        <v/>
      </c>
      <c r="L237" s="313"/>
      <c r="M237" s="312"/>
      <c r="N237" s="311"/>
      <c r="O237" s="312"/>
      <c r="P237" s="311"/>
      <c r="Q237" s="305" t="str">
        <f t="shared" si="742"/>
        <v/>
      </c>
      <c r="R237" s="314"/>
      <c r="S237" s="450" t="str">
        <f t="shared" si="625"/>
        <v/>
      </c>
      <c r="T237" s="315"/>
      <c r="U237" s="315"/>
      <c r="W237" s="149" t="str">
        <f t="shared" si="626"/>
        <v xml:space="preserve"> </v>
      </c>
      <c r="X237" s="243" t="str">
        <f t="shared" si="627"/>
        <v xml:space="preserve"> </v>
      </c>
      <c r="Y237" s="150" t="str">
        <f t="shared" si="628"/>
        <v/>
      </c>
      <c r="Z237" s="149" t="str">
        <f t="shared" si="629"/>
        <v xml:space="preserve"> </v>
      </c>
      <c r="AA237" s="98" t="str">
        <f t="shared" si="630"/>
        <v xml:space="preserve"> </v>
      </c>
      <c r="AB237" s="153" t="str">
        <f t="shared" si="631"/>
        <v xml:space="preserve"> </v>
      </c>
      <c r="AC237" s="153" t="str">
        <f t="shared" si="632"/>
        <v xml:space="preserve"> </v>
      </c>
      <c r="AD237" s="148" t="str">
        <f t="shared" si="633"/>
        <v/>
      </c>
      <c r="AE237" s="149" t="str">
        <f t="shared" si="634"/>
        <v/>
      </c>
      <c r="AF237" s="151" t="str">
        <f t="shared" si="635"/>
        <v xml:space="preserve"> </v>
      </c>
      <c r="AG237" s="153" t="str">
        <f t="shared" si="636"/>
        <v xml:space="preserve"> </v>
      </c>
      <c r="AH237" s="98" t="str">
        <f t="shared" si="637"/>
        <v xml:space="preserve"> </v>
      </c>
      <c r="AI237" s="149" t="str">
        <f t="shared" si="638"/>
        <v xml:space="preserve"> </v>
      </c>
      <c r="AK237" s="144" t="str">
        <f t="shared" si="639"/>
        <v xml:space="preserve"> </v>
      </c>
      <c r="AL237" s="144"/>
      <c r="AM237" s="243" t="str">
        <f t="shared" si="640"/>
        <v xml:space="preserve"> </v>
      </c>
      <c r="AN237" s="149" t="str">
        <f t="shared" si="743"/>
        <v xml:space="preserve"> </v>
      </c>
      <c r="AO237" s="144" t="str">
        <f>IF(JB237&gt;0,IF(GI237=10,-R237*1.085*(Calculation!$F$6-Calculation!$F$13)*$S$14," "),"")</f>
        <v/>
      </c>
      <c r="AP237" s="144" t="str">
        <f t="shared" si="641"/>
        <v/>
      </c>
      <c r="AQ237" s="56" t="str">
        <f t="shared" si="642"/>
        <v/>
      </c>
      <c r="AR237" s="144" t="str">
        <f t="shared" si="643"/>
        <v/>
      </c>
      <c r="AS237" s="176" t="str">
        <f t="shared" si="644"/>
        <v/>
      </c>
      <c r="AT237" s="176" t="str">
        <f t="shared" si="744"/>
        <v xml:space="preserve"> </v>
      </c>
      <c r="AU237" s="176" t="str">
        <f t="shared" si="645"/>
        <v/>
      </c>
      <c r="AV237" s="177" t="str">
        <f t="shared" si="646"/>
        <v xml:space="preserve"> </v>
      </c>
      <c r="AW237" s="144" t="str">
        <f t="shared" si="647"/>
        <v xml:space="preserve"> </v>
      </c>
      <c r="AX237" s="144" t="str">
        <f t="shared" si="648"/>
        <v xml:space="preserve"> </v>
      </c>
      <c r="AY237" s="152" t="str">
        <f t="shared" si="649"/>
        <v xml:space="preserve"> </v>
      </c>
      <c r="AZ237" s="246" t="str">
        <f t="shared" si="650"/>
        <v/>
      </c>
      <c r="BA237" s="176" t="str">
        <f t="shared" si="651"/>
        <v xml:space="preserve"> </v>
      </c>
      <c r="BB237" s="176" t="str">
        <f t="shared" si="652"/>
        <v xml:space="preserve"> </v>
      </c>
      <c r="BC237" s="195"/>
      <c r="BD237" s="316"/>
      <c r="BE237" s="317"/>
      <c r="BF237" s="318"/>
      <c r="BG237" s="318"/>
      <c r="BH237" s="144" t="str">
        <f t="shared" si="821"/>
        <v xml:space="preserve"> </v>
      </c>
      <c r="BI237" s="176" t="str">
        <f t="shared" si="653"/>
        <v/>
      </c>
      <c r="BJ237" s="144" t="str">
        <f t="shared" si="822"/>
        <v/>
      </c>
      <c r="BK237" s="246" t="str">
        <f t="shared" si="654"/>
        <v/>
      </c>
      <c r="BL237" s="144" t="str">
        <f t="shared" si="823"/>
        <v/>
      </c>
      <c r="BM237" s="246" t="str">
        <f t="shared" si="655"/>
        <v/>
      </c>
      <c r="BN237" s="337" t="str">
        <f t="shared" si="745"/>
        <v/>
      </c>
      <c r="BO237" s="371" t="str">
        <f t="shared" si="746"/>
        <v/>
      </c>
      <c r="BP237" s="328" t="str">
        <f t="shared" si="824"/>
        <v xml:space="preserve"> </v>
      </c>
      <c r="BQ237" s="347" t="str">
        <f t="shared" si="747"/>
        <v xml:space="preserve"> </v>
      </c>
      <c r="BR237" s="353" t="str">
        <f t="shared" si="748"/>
        <v xml:space="preserve"> </v>
      </c>
      <c r="BS237" s="626" t="str">
        <f>IF(L237&gt;0,IF(Calculation!P237="M13",BR237*3.1416*(0.134^2)/(4*144),IF(Calculation!P237="M17",BR237*3.1416*(0.165^2)/(4*144),IF(Calculation!P237="M20",BR237*3.1416*(0.198^2)/(4*144),IF(Calculation!P237="M23",BR237*3.1416*(0.228^2)/(4*144),IF(Calculation!P237="M27",BR237*3.1416*(0.269^2)/(4*144),BR237*3.1416*(0.307^2)/(4*144))))))," ")</f>
        <v xml:space="preserve"> </v>
      </c>
      <c r="BT237" s="353" t="str">
        <f>IF(L237&gt;0,IF(BS237&gt;0,R237/Calculation!BS237,0)," ")</f>
        <v xml:space="preserve"> </v>
      </c>
      <c r="BU237" s="438" t="e">
        <f t="shared" ca="1" si="656"/>
        <v>#VALUE!</v>
      </c>
      <c r="BV237" s="449" t="e">
        <f ca="1">INDEX(INDIRECT(VLOOKUP(LEFT(BO237,7),CLU!$Z$3:$AH$18,2)),GN237,GR237)</f>
        <v>#N/A</v>
      </c>
      <c r="BW237" s="433" t="e">
        <f ca="1">INDEX(INDIRECT(VLOOKUP(LEFT(BO237,7),CLU!$Z$3:$AH$18,3)),GN237,GR237)</f>
        <v>#N/A</v>
      </c>
      <c r="BX237" s="433" t="e">
        <f ca="1">INDEX(INDIRECT(VLOOKUP(LEFT(BO237,7),CLU!$Z$3:$AH$18,4)),GN237,GR237)</f>
        <v>#N/A</v>
      </c>
      <c r="BY237" s="433" t="e">
        <f ca="1">INDEX(INDIRECT(VLOOKUP(LEFT(BO237,7),CLU!$Z$3:$AH$18,9)),((M237-2)*(6-COUNTBLANK(GT237:GY237)))+GJ237)</f>
        <v>#N/A</v>
      </c>
      <c r="BZ237" s="426" t="e">
        <f t="shared" ca="1" si="749"/>
        <v>#N/A</v>
      </c>
      <c r="CA237" s="424" t="e">
        <f t="shared" ca="1" si="750"/>
        <v>#N/A</v>
      </c>
      <c r="CB237" s="429" t="e">
        <f ca="1">INDEX(INDIRECT(VLOOKUP(LEFT(BO237,7),CLU!$Z$3:$AH$18,2)),GN237,GS237)</f>
        <v>#N/A</v>
      </c>
      <c r="CC237" s="342" t="e">
        <f ca="1">INDEX(INDIRECT(VLOOKUP(LEFT(BO237,7),CLU!$Z$3:$AH$18,3)),GN237,GS237)</f>
        <v>#N/A</v>
      </c>
      <c r="CD237" s="342" t="e">
        <f ca="1">INDEX(INDIRECT(VLOOKUP(LEFT(BO237,7),CLU!$Z$3:$AH$18,4)),GN237,GS237)</f>
        <v>#N/A</v>
      </c>
      <c r="CE237" s="426" t="e">
        <f t="shared" ca="1" si="751"/>
        <v>#N/A</v>
      </c>
      <c r="CF237" s="440">
        <f t="shared" si="752"/>
        <v>0</v>
      </c>
      <c r="CG237" s="431" t="e">
        <f ca="1">INDEX(INDIRECT(VLOOKUP(LEFT(BO237,7),CLU!$Z$3:$AH$18,2)),GQ237,GR237)</f>
        <v>#N/A</v>
      </c>
      <c r="CH237" s="431" t="e">
        <f ca="1">INDEX(INDIRECT(VLOOKUP(LEFT(BO237,7),CLU!$Z$3:$AH$18,3)),GQ237,GR237)</f>
        <v>#N/A</v>
      </c>
      <c r="CI237" s="431" t="e">
        <f ca="1">INDEX(INDIRECT(VLOOKUP(LEFT(BO237,7),CLU!$Z$3:$AH$18,4)),GQ237,GR237)</f>
        <v>#N/A</v>
      </c>
      <c r="CJ237" s="448" t="e">
        <f t="shared" ca="1" si="753"/>
        <v>#N/A</v>
      </c>
      <c r="CK237" s="431" t="e">
        <f t="shared" ca="1" si="754"/>
        <v>#N/A</v>
      </c>
      <c r="CL237" s="440" t="e">
        <f t="shared" ca="1" si="755"/>
        <v>#N/A</v>
      </c>
      <c r="CM237" s="431" t="e">
        <f ca="1">INDEX(INDIRECT(VLOOKUP(LEFT(BO237,7),CLU!$Z$3:$AH$18,2)),GQ237,GS237)</f>
        <v>#N/A</v>
      </c>
      <c r="CN237" s="431" t="e">
        <f ca="1">INDEX(INDIRECT(VLOOKUP(LEFT(BO237,7),CLU!$Z$3:$AH$18,3)),GQ237,GS237)</f>
        <v>#N/A</v>
      </c>
      <c r="CO237" s="431" t="e">
        <f ca="1">INDEX(INDIRECT(VLOOKUP(LEFT(BO237,7),CLU!$Z$3:$AH$18,4)),GQ237,GS237)</f>
        <v>#N/A</v>
      </c>
      <c r="CP237" s="431" t="e">
        <f t="shared" ca="1" si="756"/>
        <v>#N/A</v>
      </c>
      <c r="CQ237" s="440">
        <f t="shared" si="757"/>
        <v>0</v>
      </c>
      <c r="CR237" s="51" t="e">
        <f t="shared" ca="1" si="758"/>
        <v>#N/A</v>
      </c>
      <c r="CS237" s="439" t="e">
        <f t="shared" ca="1" si="759"/>
        <v>#VALUE!</v>
      </c>
      <c r="CT237" s="51" t="e">
        <f t="shared" ca="1" si="760"/>
        <v>#VALUE!</v>
      </c>
      <c r="CU237" s="10"/>
      <c r="CV237" s="51" t="e">
        <f t="shared" ca="1" si="657"/>
        <v>#VALUE!</v>
      </c>
      <c r="CW237" s="51">
        <f t="shared" si="761"/>
        <v>0</v>
      </c>
      <c r="CX237" s="439" t="e">
        <f t="shared" ca="1" si="762"/>
        <v>#VALUE!</v>
      </c>
      <c r="CY237" s="51" t="e">
        <f t="shared" ca="1" si="763"/>
        <v>#VALUE!</v>
      </c>
      <c r="CZ237" s="10"/>
      <c r="DA237" s="51" t="e">
        <f t="shared" ca="1" si="764"/>
        <v>#VALUE!</v>
      </c>
      <c r="DB237" s="347" t="e">
        <f ca="1">INDEX(INDIRECT(VLOOKUP(LEFT(BO237,7),CLU!$Z$3:$AI$18,10)),((M237-2)*(6-COUNTBLANK(GT237:GY237)))+GJ237)*LI237</f>
        <v>#N/A</v>
      </c>
      <c r="DC237" s="347" t="str">
        <f>IF(L237&gt;0,((R237/Worksheet!$I$15)/DB237)^2," ")</f>
        <v xml:space="preserve"> </v>
      </c>
      <c r="DD237" s="602" t="str">
        <f t="shared" si="765"/>
        <v xml:space="preserve"> </v>
      </c>
      <c r="DE237" s="347" t="str">
        <f t="shared" si="658"/>
        <v xml:space="preserve"> </v>
      </c>
      <c r="DF237" s="356" t="e">
        <f ca="1">INDEX(INDIRECT(VLOOKUP(LEFT(BO237,7),CLU!$Z$3:$AH$18,8)),((M237-2)*(6-COUNTBLANK(GT237:GY237)))+GJ237)</f>
        <v>#N/A</v>
      </c>
      <c r="DG237" s="347" t="str">
        <f t="shared" si="659"/>
        <v xml:space="preserve"> </v>
      </c>
      <c r="DH237" s="357" t="str">
        <f t="shared" si="660"/>
        <v xml:space="preserve"> </v>
      </c>
      <c r="DI237" s="355" t="str">
        <f t="shared" si="661"/>
        <v xml:space="preserve"> </v>
      </c>
      <c r="DJ237" s="245" t="e">
        <f ca="1">INDEX(INDIRECT(VLOOKUP(LEFT(BO237,7),CLU!$Z$3:$AH$18,5)),GL237,GK237)</f>
        <v>#N/A</v>
      </c>
      <c r="DK237" s="245" t="e">
        <f ca="1">INDEX(INDIRECT(VLOOKUP(LEFT(BO237,7),CLU!$Z$3:$AH$18,6)),GL237,GK237)</f>
        <v>#N/A</v>
      </c>
      <c r="DL237" s="355">
        <f>(Calculation!R237*0.69143*(Calculation!$BQ$8-Calculation!$F$8))*$S$14</f>
        <v>0</v>
      </c>
      <c r="DM237" s="359" t="e">
        <f t="shared" si="766"/>
        <v>#VALUE!</v>
      </c>
      <c r="DN237" s="611">
        <f t="shared" si="767"/>
        <v>0</v>
      </c>
      <c r="DO237" s="359">
        <f t="shared" si="768"/>
        <v>100</v>
      </c>
      <c r="DP237" s="359">
        <f t="shared" si="769"/>
        <v>0</v>
      </c>
      <c r="DQ237" s="360"/>
      <c r="DR237" s="245" t="e">
        <f ca="1">INDEX(INDIRECT(VLOOKUP(LEFT(BO237,7),CLU!$Z$3:$AH$18,7)),M237-1,1)</f>
        <v>#N/A</v>
      </c>
      <c r="DS237" s="245" t="e">
        <f ca="1">INDEX(INDIRECT(VLOOKUP(LEFT(BO237,7),CLU!$Z$3:$AH$18,7)),M237-1,2)</f>
        <v>#N/A</v>
      </c>
      <c r="DT237" s="245" t="e">
        <f ca="1">INDEX(INDIRECT(VLOOKUP(LEFT(BO237,7),CLU!$Z$3:$AH$18,7)),M237-1,3)</f>
        <v>#N/A</v>
      </c>
      <c r="DU237" s="245" t="e">
        <f ca="1">INDEX(INDIRECT(VLOOKUP(LEFT(BO237,7),CLU!$Z$3:$AH$18,7)),M237-1,4)</f>
        <v>#N/A</v>
      </c>
      <c r="DV237" s="361" t="e">
        <f ca="1">INDEX(INDIRECT(VLOOKUP(LEFT(BO237,7),CLU!$Z$3:$AH$18,7)),M237-1,4+LEFT(DZ237,1)*0.5)</f>
        <v>#N/A</v>
      </c>
      <c r="DW237" s="245" t="e">
        <f ca="1">INDEX(INDIRECT(VLOOKUP(LEFT(BO237,7),CLU!$Z$3:$AH$18,7)),M237-1,8)</f>
        <v>#N/A</v>
      </c>
      <c r="DX237" s="361" t="str">
        <f t="shared" si="662"/>
        <v xml:space="preserve"> </v>
      </c>
      <c r="DY237" s="361" t="str">
        <f t="shared" si="663"/>
        <v xml:space="preserve"> </v>
      </c>
      <c r="DZ237" s="361" t="str">
        <f t="shared" si="664"/>
        <v xml:space="preserve"> </v>
      </c>
      <c r="EA237" s="362" t="str">
        <f t="shared" si="665"/>
        <v xml:space="preserve"> </v>
      </c>
      <c r="EB237" s="624" t="str">
        <f t="shared" si="770"/>
        <v xml:space="preserve"> </v>
      </c>
      <c r="EC237" s="361" t="e">
        <f ca="1">INDEX(INDIRECT(VLOOKUP(LEFT(BO237,7),CLU!$Z$3:$AH$18,7)),M237-1,4+LEFT(DZ237,1)*0.5)</f>
        <v>#N/A</v>
      </c>
      <c r="ED237" s="362" t="str">
        <f t="shared" si="666"/>
        <v xml:space="preserve"> </v>
      </c>
      <c r="EE237" s="361" t="str">
        <f t="shared" si="667"/>
        <v xml:space="preserve"> </v>
      </c>
      <c r="EF237" s="362" t="str">
        <f>IF(L237&gt;0,IF(BR237&gt;0,IF(EE237="2P",IF(Calculation!DZ237="2P",IF(Calculation!DS237=13.75,IF(Calculation!DR237=13,Worksheet!$BD$43,IF(Calculation!DR237=37,Worksheet!$BD$44,Worksheet!$BD$45)),IF(Calculation!DS237=10,IF(Calculation!DR237=18,Worksheet!$BD$29,IF(Calculation!DR237=30,Worksheet!$BD$30,IF(Calculation!DR237=42,Worksheet!$BD$31,IF(Calculation!DR237=54,Worksheet!$BD$32,IF(Calculation!DR237=66,Worksheet!$BD$33,IF(Calculation!DR237=78,Worksheet!$BD$34,IF(Calculation!DR237=90,Worksheet!$BD$35,IF(Calculation!DR237=102,Worksheet!$BD$36,Worksheet!$BD$37)))))))),IF(Calculation!DS237=12.5,IF(Calculation!DR237=18,Worksheet!$BD$38,IF(Calculation!DR237=Worksheet!$BD$39,IF(Calculation!DR237=42,Worksheet!$BD$40,IF(Calculation!DR237=54,Worksheet!$BD$41,Worksheet!$BD$42)))),IF(Calculation!DR237=18,Worksheet!$BD$11,IF(Calculation!DR237=30,Worksheet!$BD$12,IF(Calculation!DR237=42,Worksheet!$BD$13,IF(Calculation!DR237=54,Worksheet!$BD$14,IF(Calculation!DR237=66,Worksheet!$BD$15,IF(Calculation!DR237=78,Worksheet!$BD$16,IF(Calculation!DR237=90,Worksheet!$BD$17,IF(Calculation!DR237=102,Worksheet!$BD$18,Worksheet!$BD$19))))))))))),IF(Calculation!DS237=13.75,IF(Calculation!DR237=13,Worksheet!$BD$78,IF(Calculation!DR237=37,Worksheet!$BD$79,Worksheet!$BD$80)),IF(Calculation!DS237=10,IF(Calculation!DR237=18,Worksheet!$BD$64,IF(Calculation!DR237=30,Worksheet!$BD$65,IF(Calculation!DR237=42,Worksheet!$BD$66,IF(Calculation!DR237=54,Worksheet!$BD$68,IF(Calculation!DR237=66,Worksheet!$BD$68,IF(Calculation!DR237=78,Worksheet!$BD$69,IF(Calculation!DR237=90,Worksheet!$BD$70,IF(Calculation!DR237=102,Worksheet!$BD$71,Worksheet!$BD$72)))))))),IF(Calculation!DS237=12.5,IF(Calculation!DR237=18,Worksheet!$BD$73,IF(Calculation!DR237=Worksheet!$BD$74,IF(Calculation!DR237=42,Worksheet!$BD$75,IF(Calculation!DR237=54,Worksheet!$BD$76,Worksheet!$BD$77)))),IF(Calculation!DR237=18,Worksheet!$BD$55,IF(Calculation!DR237=30,Worksheet!$BD$56,IF(Calculation!DR237=42,Worksheet!$BD$57,IF(Calculation!DR237=54,Worksheet!$BD$58,IF(Calculation!DR237=66,Worksheet!$BD$59,IF(Calculation!DR237=78,Worksheet!$BD$60,IF(Calculation!DR237=90,Worksheet!$BD$61,IF(Calculation!DR237=102,Worksheet!$BD$62,Worksheet!$BD$63)))))))))))),5),0)," ")</f>
        <v xml:space="preserve"> </v>
      </c>
      <c r="EG237" s="361" t="str">
        <f t="shared" si="668"/>
        <v xml:space="preserve"> </v>
      </c>
      <c r="EH237" s="361" t="e">
        <f ca="1">INDEX(INDIRECT(VLOOKUP(LEFT(BO237,7),CLU!$Z$3:$AH$18,7)),M237-1,3+LEFT(DZ237,1))</f>
        <v>#N/A</v>
      </c>
      <c r="EI237" s="362" t="str">
        <f t="shared" si="669"/>
        <v xml:space="preserve"> </v>
      </c>
      <c r="EJ237" s="363" t="str">
        <f t="shared" si="670"/>
        <v xml:space="preserve"> </v>
      </c>
      <c r="EK237" s="363" t="str">
        <f t="shared" si="671"/>
        <v xml:space="preserve"> </v>
      </c>
      <c r="EL237" s="363" t="str">
        <f t="shared" si="672"/>
        <v xml:space="preserve"> </v>
      </c>
      <c r="EM237" s="362" t="str">
        <f>IF(L237&gt;0,IF(BR237&gt;0,(Calculation!T237/ED237)^2,0)," ")</f>
        <v xml:space="preserve"> </v>
      </c>
      <c r="EN237" s="362" t="str">
        <f>IF(L237&gt;0,IF(O237="2 Pipe (Cooling)","N/A",IF(BR237&gt;0,(Calculation!U237/EI237)^2,0))," ")</f>
        <v xml:space="preserve"> </v>
      </c>
      <c r="EO237" s="361" t="str">
        <f t="shared" si="673"/>
        <v/>
      </c>
      <c r="EP237" s="361" t="str">
        <f t="shared" si="674"/>
        <v/>
      </c>
      <c r="EQ237" s="361" t="str">
        <f t="shared" si="675"/>
        <v/>
      </c>
      <c r="ER237" s="361" t="str">
        <f t="shared" si="676"/>
        <v/>
      </c>
      <c r="ES237" s="361" t="str">
        <f t="shared" si="677"/>
        <v/>
      </c>
      <c r="ET237" s="361" t="str">
        <f t="shared" si="678"/>
        <v/>
      </c>
      <c r="EU237" s="361" t="str">
        <f t="shared" si="679"/>
        <v/>
      </c>
      <c r="EV237" s="361" t="str">
        <f t="shared" si="680"/>
        <v/>
      </c>
      <c r="EW237" s="361" t="str">
        <f t="shared" si="681"/>
        <v/>
      </c>
      <c r="EX237" s="361" t="str">
        <f t="shared" si="771"/>
        <v>1 slot, 1 way</v>
      </c>
      <c r="EY237" s="361" t="str">
        <f t="shared" si="772"/>
        <v xml:space="preserve"> </v>
      </c>
      <c r="EZ237" s="361" t="str">
        <f t="shared" si="773"/>
        <v xml:space="preserve"> </v>
      </c>
      <c r="FA237" s="361" t="str">
        <f t="shared" si="774"/>
        <v xml:space="preserve"> </v>
      </c>
      <c r="FB237" s="361" t="str">
        <f t="shared" si="775"/>
        <v xml:space="preserve"> </v>
      </c>
      <c r="FC237" s="361"/>
      <c r="FD237" s="361" t="str">
        <f>IF(J237&gt;0,IF(Calculation!R237&lt;=70,4,IF(Calculation!R237&lt;=110,5,IF(Calculation!R237&lt;=160,6,IF(Calculation!R237&lt;=300,8,"10 EO")))),"")</f>
        <v/>
      </c>
      <c r="FE237" s="361" t="str">
        <f t="shared" si="776"/>
        <v/>
      </c>
      <c r="FF237" s="361" t="str">
        <f t="shared" si="777"/>
        <v/>
      </c>
      <c r="FG237" s="361" t="e">
        <f t="shared" si="682"/>
        <v>#N/A</v>
      </c>
      <c r="FH237" s="361">
        <f t="shared" si="683"/>
        <v>0</v>
      </c>
      <c r="FI237" s="361" t="e">
        <f t="shared" si="684"/>
        <v>#DIV/0!</v>
      </c>
      <c r="FJ237" s="361"/>
      <c r="FK237" s="356" t="e">
        <f t="shared" si="685"/>
        <v>#VALUE!</v>
      </c>
      <c r="FL237" s="361"/>
      <c r="FM237" s="361"/>
      <c r="FN237" s="362" t="str">
        <f t="shared" si="778"/>
        <v xml:space="preserve"> </v>
      </c>
      <c r="FO237" s="362" t="str">
        <f t="shared" si="779"/>
        <v xml:space="preserve"> </v>
      </c>
      <c r="FP237" s="362">
        <f t="shared" si="780"/>
        <v>0</v>
      </c>
      <c r="FQ237" s="361">
        <f t="shared" si="686"/>
        <v>0</v>
      </c>
      <c r="FR237" s="362" t="str">
        <f>IF(L237&gt;0,IF(J237="CBAL2",Worksheet!$P$67,IF(J237="CBE2-24",Worksheet!$Q$67,IF(J237="CBAM",Worksheet!$R$67,IF(J237="CBLV",Worksheet!$S$67,IF(J237="CBAB",Worksheet!$U$67,IF(J237="CBAW",Worksheet!$X$67,IF(J237="CBE2-12",Worksheet!$Y$67,IF(J237="CBAL2",Worksheet!$Z$67,"N/A"))))))))," ")</f>
        <v xml:space="preserve"> </v>
      </c>
      <c r="FS237" s="362" t="str">
        <f>IF(L237&gt;0,IF(J237="CBAL2",Worksheet!$P$68,IF(J237="CBE2-24",Worksheet!$Q$68,IF(J237="CBAM",Worksheet!$R$68,IF(J237="CBLV",Worksheet!$S$68,IF(J237="CBAB",Worksheet!$U$68,IF(J237="CBAW",Worksheet!$X$68,IF(J237="CBE2-12",Worksheet!$Y$68,IF(J237="CBAL2",Worksheet!$Z$68,"N/A"))))))))," ")</f>
        <v xml:space="preserve"> </v>
      </c>
      <c r="FT237" s="362" t="str">
        <f>IF(L237&gt;0,IF(J237="CBAL2",Worksheet!$P$69,IF(J237="CBE2-24",Worksheet!$Q$69,IF(J237="CBAM",Worksheet!$R$69,IF(J237="CBLV",Worksheet!$S$69,IF(J237="CBAB",Worksheet!$U$69,IF(J237="CBAW",Worksheet!$X$69,IF(J237="CBE2-12",Worksheet!$Y$69,IF(J237="CBAL2",Worksheet!$Z$69,"N/A"))))))))," ")</f>
        <v xml:space="preserve"> </v>
      </c>
      <c r="FU237" s="361" t="str">
        <f t="shared" si="781"/>
        <v xml:space="preserve"> </v>
      </c>
      <c r="FV237" s="362" t="str">
        <f t="shared" si="782"/>
        <v xml:space="preserve"> </v>
      </c>
      <c r="FW237" s="362" t="str">
        <f t="shared" si="783"/>
        <v xml:space="preserve"> </v>
      </c>
      <c r="FX237" s="362" t="str">
        <f t="shared" si="784"/>
        <v xml:space="preserve"> </v>
      </c>
      <c r="FY237" s="355" t="str">
        <f t="shared" si="785"/>
        <v xml:space="preserve"> </v>
      </c>
      <c r="FZ237" s="361" t="str">
        <f t="shared" si="786"/>
        <v xml:space="preserve"> </v>
      </c>
      <c r="GA237" s="347" t="str">
        <f t="shared" si="787"/>
        <v xml:space="preserve"> </v>
      </c>
      <c r="GB237" s="355" t="str">
        <f t="shared" si="788"/>
        <v xml:space="preserve"> </v>
      </c>
      <c r="GC237" s="328" t="str">
        <f t="shared" si="789"/>
        <v xml:space="preserve"> </v>
      </c>
      <c r="GD237" s="361" t="str">
        <f t="shared" si="790"/>
        <v xml:space="preserve"> </v>
      </c>
      <c r="GE237" s="347" t="str">
        <f t="shared" si="791"/>
        <v xml:space="preserve"> </v>
      </c>
      <c r="GF237" s="361" t="str">
        <f t="shared" si="792"/>
        <v xml:space="preserve"> </v>
      </c>
      <c r="GG237" s="347" t="str">
        <f t="shared" si="793"/>
        <v xml:space="preserve"> </v>
      </c>
      <c r="GH237" s="364">
        <f t="shared" si="687"/>
        <v>0</v>
      </c>
      <c r="GI237" s="362">
        <f t="shared" si="794"/>
        <v>2</v>
      </c>
      <c r="GJ237" s="433" t="e">
        <f>IF(6-COUNTBLANK(GT237:GY237)=4,MATCH(MID(BO237,9,3),CLU!$H$16:$K$16),MATCH(MID(BO237,9,3),CLU!$H$13:$M$13))</f>
        <v>#N/A</v>
      </c>
      <c r="GK237" s="433" t="e">
        <f>HLOOKUP(VALUE(BP237),CLU!$H$9:$M$10,2)</f>
        <v>#VALUE!</v>
      </c>
      <c r="GL237" s="433" t="e">
        <f ca="1">MATCH(BU237,CLU!$H$2:$V$2,1)</f>
        <v>#VALUE!</v>
      </c>
      <c r="GM237" s="433" t="e">
        <f t="shared" ca="1" si="795"/>
        <v>#VALUE!</v>
      </c>
      <c r="GN237" s="433" t="e">
        <f t="shared" ca="1" si="796"/>
        <v>#VALUE!</v>
      </c>
      <c r="GO237" s="433" t="e">
        <f t="shared" ca="1" si="797"/>
        <v>#VALUE!</v>
      </c>
      <c r="GP237" s="433" t="e">
        <f t="shared" ca="1" si="798"/>
        <v>#VALUE!</v>
      </c>
      <c r="GQ237" s="433" t="e">
        <f t="shared" ca="1" si="799"/>
        <v>#VALUE!</v>
      </c>
      <c r="GR237" s="433" t="e">
        <f ca="1">MATCH(T237,INDIRECT(VLOOKUP(CONCATENATE(LEFT(BO237,7),"-",MID(BO237,13,1)),CLU!$P$3:$Q$16,2)),1)</f>
        <v>#N/A</v>
      </c>
      <c r="GS237" s="433" t="e">
        <f ca="1">MATCH(U237,INDIRECT(VLOOKUP(CONCATENATE(LEFT(BO237,7),"-",MID(BO237,13,1)),CLU!$P$3:$Q$16,2)),1)</f>
        <v>#N/A</v>
      </c>
      <c r="GT237" s="347" t="s">
        <v>512</v>
      </c>
      <c r="GU237" s="97" t="s">
        <v>513</v>
      </c>
      <c r="GV237" s="97" t="str">
        <f t="shared" si="800"/>
        <v>M23</v>
      </c>
      <c r="GW237" s="97" t="str">
        <f t="shared" si="801"/>
        <v>M31</v>
      </c>
      <c r="GX237" s="97" t="str">
        <f t="shared" si="802"/>
        <v/>
      </c>
      <c r="GY237" s="97" t="str">
        <f t="shared" si="803"/>
        <v/>
      </c>
      <c r="GZ237" s="481"/>
      <c r="HA237" s="288"/>
      <c r="HB237" s="240"/>
      <c r="HC237" s="240"/>
      <c r="HD237" s="240"/>
      <c r="HE237" s="240"/>
      <c r="HF237" s="240"/>
      <c r="HG237" s="240"/>
      <c r="HH237" s="240"/>
      <c r="HI237" s="240"/>
      <c r="HJ237" s="240"/>
      <c r="HK237" s="240"/>
      <c r="HL237" s="240"/>
      <c r="HM237" s="240"/>
      <c r="HN237" s="240"/>
      <c r="HO237" s="240"/>
      <c r="HP237" s="240"/>
      <c r="HQ237" s="240"/>
      <c r="HR237" s="240"/>
      <c r="HS237" s="240"/>
      <c r="HT237" s="240"/>
      <c r="HU237" s="240"/>
      <c r="HV237" s="245"/>
      <c r="HW237" s="245" t="b">
        <v>1</v>
      </c>
      <c r="HX237" s="245" t="str">
        <f t="shared" si="688"/>
        <v/>
      </c>
      <c r="HY237" s="245" t="e">
        <f t="shared" si="689"/>
        <v>#DIV/0!</v>
      </c>
      <c r="HZ237" s="245" t="e">
        <f t="shared" si="690"/>
        <v>#DIV/0!</v>
      </c>
      <c r="IA237" s="245">
        <f t="shared" si="691"/>
        <v>0</v>
      </c>
      <c r="IB237" s="245"/>
      <c r="IC237" t="b">
        <f t="shared" si="692"/>
        <v>1</v>
      </c>
      <c r="ID237" s="245" t="b">
        <f t="shared" si="693"/>
        <v>1</v>
      </c>
      <c r="IE237" s="245" t="b">
        <f t="shared" si="694"/>
        <v>1</v>
      </c>
      <c r="IF237" s="245" t="b">
        <f t="shared" si="695"/>
        <v>0</v>
      </c>
      <c r="IG237" s="245" t="b">
        <f t="shared" si="696"/>
        <v>1</v>
      </c>
      <c r="IH237" s="245" t="b">
        <f t="shared" si="697"/>
        <v>1</v>
      </c>
      <c r="II237" s="245">
        <f t="shared" si="804"/>
        <v>0</v>
      </c>
      <c r="IJ237" s="245" t="e">
        <f t="shared" si="698"/>
        <v>#VALUE!</v>
      </c>
      <c r="IK237" s="245" t="e">
        <f t="shared" si="699"/>
        <v>#VALUE!</v>
      </c>
      <c r="IL237" s="245"/>
      <c r="IM237" s="245" t="e">
        <f t="shared" si="805"/>
        <v>#N/A</v>
      </c>
      <c r="IN237" s="245" t="e">
        <f t="shared" si="806"/>
        <v>#N/A</v>
      </c>
      <c r="IO237" s="245"/>
      <c r="IP237" s="245"/>
      <c r="IQ237" s="245" t="str">
        <f t="shared" si="700"/>
        <v/>
      </c>
      <c r="IR237" s="245" t="str">
        <f>IF(J237="","",VLOOKUP(J237,Worksheet!$R$4:$T$14,2))</f>
        <v/>
      </c>
      <c r="IS237" s="245"/>
      <c r="IT237" s="245">
        <f t="shared" si="701"/>
        <v>0</v>
      </c>
      <c r="IU237" s="245">
        <f t="shared" si="702"/>
        <v>0</v>
      </c>
      <c r="IV237" s="245">
        <f t="shared" si="703"/>
        <v>0</v>
      </c>
      <c r="IW237" s="245">
        <f t="shared" si="704"/>
        <v>0</v>
      </c>
      <c r="IX237" s="245">
        <f t="shared" si="807"/>
        <v>0</v>
      </c>
      <c r="IY237" s="245">
        <f t="shared" si="705"/>
        <v>0</v>
      </c>
      <c r="IZ237" s="245">
        <f t="shared" si="706"/>
        <v>0</v>
      </c>
      <c r="JA237">
        <f t="shared" si="707"/>
        <v>0</v>
      </c>
      <c r="JB237">
        <f t="shared" si="808"/>
        <v>0</v>
      </c>
      <c r="JC237">
        <f t="shared" si="708"/>
        <v>0</v>
      </c>
      <c r="JD237">
        <f t="shared" si="709"/>
        <v>0</v>
      </c>
      <c r="JE237">
        <f t="shared" si="710"/>
        <v>0</v>
      </c>
      <c r="JF237">
        <f t="shared" si="711"/>
        <v>0</v>
      </c>
      <c r="JG237">
        <f t="shared" si="712"/>
        <v>0</v>
      </c>
      <c r="JH237">
        <f t="shared" si="713"/>
        <v>0</v>
      </c>
      <c r="JI237">
        <f t="shared" si="714"/>
        <v>0</v>
      </c>
      <c r="JJ237" s="447">
        <f t="shared" si="715"/>
        <v>0</v>
      </c>
      <c r="JK237" s="447">
        <f t="shared" si="716"/>
        <v>0</v>
      </c>
      <c r="JL237">
        <f t="shared" si="717"/>
        <v>0</v>
      </c>
      <c r="JM237" s="245" t="str">
        <f>IFERROR(VLOOKUP(MATCH(BN237,#REF!,0),#REF!,7),"")</f>
        <v/>
      </c>
      <c r="JN237" t="e">
        <f>HLOOKUP(LEFT(BO237,7),Discharge_Area,MATCH(JO237,LookUps!$B$130:$B$149,1)+2)</f>
        <v>#N/A</v>
      </c>
      <c r="JO237" t="str">
        <f t="shared" si="718"/>
        <v>- S</v>
      </c>
      <c r="JP237" t="e">
        <f>HLOOKUP(LEFT(BO237,7),Discharge_Area,MATCH(JO237,LookUps!$B$130:$B$149,1)+2)</f>
        <v>#N/A</v>
      </c>
      <c r="JQ237" t="e">
        <f t="shared" si="719"/>
        <v>#N/A</v>
      </c>
      <c r="JR237" t="e">
        <f t="shared" si="720"/>
        <v>#N/A</v>
      </c>
      <c r="JS237" t="e">
        <f t="shared" si="721"/>
        <v>#N/A</v>
      </c>
      <c r="JT237" s="532" t="str">
        <f t="shared" si="722"/>
        <v xml:space="preserve"> </v>
      </c>
      <c r="JU237" s="532" t="str">
        <f t="shared" si="723"/>
        <v xml:space="preserve"> </v>
      </c>
      <c r="JV237" s="533" t="str">
        <f t="shared" si="724"/>
        <v xml:space="preserve"> </v>
      </c>
      <c r="JW237" s="534">
        <f t="shared" si="725"/>
        <v>0</v>
      </c>
      <c r="JX237" s="535" t="str">
        <f t="shared" si="809"/>
        <v xml:space="preserve"> </v>
      </c>
      <c r="JY237" s="535" t="str">
        <f t="shared" si="810"/>
        <v xml:space="preserve"> </v>
      </c>
      <c r="JZ237" s="535" t="str">
        <f t="shared" si="811"/>
        <v xml:space="preserve"> </v>
      </c>
      <c r="KA237" s="536" t="str">
        <f t="shared" si="726"/>
        <v xml:space="preserve"> </v>
      </c>
      <c r="KB237" s="535" t="e">
        <f t="shared" si="812"/>
        <v>#VALUE!</v>
      </c>
      <c r="KC237" s="535" t="str">
        <f t="shared" si="727"/>
        <v/>
      </c>
      <c r="KD237" s="537" t="str">
        <f t="shared" si="813"/>
        <v xml:space="preserve"> </v>
      </c>
      <c r="KE237" s="537" t="str">
        <f t="shared" si="814"/>
        <v xml:space="preserve"> </v>
      </c>
      <c r="KF237" s="534">
        <f t="shared" si="728"/>
        <v>0</v>
      </c>
      <c r="KG237" s="535" t="str">
        <f t="shared" si="729"/>
        <v xml:space="preserve"> </v>
      </c>
      <c r="KH237" s="535" t="str">
        <f t="shared" si="730"/>
        <v xml:space="preserve"> </v>
      </c>
      <c r="KI237" s="535" t="str">
        <f t="shared" si="731"/>
        <v xml:space="preserve"> </v>
      </c>
      <c r="KJ237" s="536" t="str">
        <f t="shared" si="732"/>
        <v xml:space="preserve"> </v>
      </c>
      <c r="KK237" s="535" t="str">
        <f t="shared" si="815"/>
        <v xml:space="preserve"> </v>
      </c>
      <c r="KL237" s="535" t="str">
        <f t="shared" si="816"/>
        <v xml:space="preserve"> </v>
      </c>
      <c r="KM237" s="537" t="str">
        <f t="shared" si="733"/>
        <v xml:space="preserve"> </v>
      </c>
      <c r="KN237" s="537" t="str">
        <f t="shared" si="817"/>
        <v xml:space="preserve"> </v>
      </c>
      <c r="KP237">
        <f t="shared" si="734"/>
        <v>0</v>
      </c>
      <c r="LA237" t="e">
        <f t="shared" si="735"/>
        <v>#VALUE!</v>
      </c>
      <c r="LB237" t="e">
        <f t="shared" si="736"/>
        <v>#VALUE!</v>
      </c>
      <c r="LC237" t="e">
        <f t="shared" si="737"/>
        <v>#VALUE!</v>
      </c>
      <c r="LD237" t="e">
        <f t="shared" si="738"/>
        <v>#VALUE!</v>
      </c>
      <c r="LE237" t="e">
        <f t="shared" si="818"/>
        <v>#VALUE!</v>
      </c>
      <c r="LF237">
        <f t="shared" si="739"/>
        <v>0</v>
      </c>
      <c r="LG237" t="e">
        <f t="shared" si="819"/>
        <v>#VALUE!</v>
      </c>
      <c r="LH237" t="str">
        <f t="shared" si="740"/>
        <v xml:space="preserve"> </v>
      </c>
      <c r="LI237">
        <f t="shared" si="820"/>
        <v>1</v>
      </c>
    </row>
    <row r="238" spans="2:321" ht="15" customHeight="1">
      <c r="B238" s="311"/>
      <c r="C238" s="311"/>
      <c r="D238" s="312"/>
      <c r="E238" s="311"/>
      <c r="F238" s="312"/>
      <c r="G238" s="311"/>
      <c r="H238" s="311"/>
      <c r="I238" s="232"/>
      <c r="J238" s="311"/>
      <c r="K238" s="305" t="str">
        <f t="shared" si="741"/>
        <v/>
      </c>
      <c r="L238" s="313"/>
      <c r="M238" s="312"/>
      <c r="N238" s="311"/>
      <c r="O238" s="312"/>
      <c r="P238" s="311"/>
      <c r="Q238" s="305" t="str">
        <f t="shared" si="742"/>
        <v/>
      </c>
      <c r="R238" s="314"/>
      <c r="S238" s="450" t="str">
        <f t="shared" si="625"/>
        <v/>
      </c>
      <c r="T238" s="315"/>
      <c r="U238" s="315"/>
      <c r="W238" s="149" t="str">
        <f t="shared" si="626"/>
        <v xml:space="preserve"> </v>
      </c>
      <c r="X238" s="243" t="str">
        <f t="shared" si="627"/>
        <v xml:space="preserve"> </v>
      </c>
      <c r="Y238" s="150" t="str">
        <f t="shared" si="628"/>
        <v/>
      </c>
      <c r="Z238" s="149" t="str">
        <f t="shared" si="629"/>
        <v xml:space="preserve"> </v>
      </c>
      <c r="AA238" s="98" t="str">
        <f t="shared" si="630"/>
        <v xml:space="preserve"> </v>
      </c>
      <c r="AB238" s="153" t="str">
        <f t="shared" si="631"/>
        <v xml:space="preserve"> </v>
      </c>
      <c r="AC238" s="153" t="str">
        <f t="shared" si="632"/>
        <v xml:space="preserve"> </v>
      </c>
      <c r="AD238" s="148" t="str">
        <f t="shared" si="633"/>
        <v/>
      </c>
      <c r="AE238" s="149" t="str">
        <f t="shared" si="634"/>
        <v/>
      </c>
      <c r="AF238" s="151" t="str">
        <f t="shared" si="635"/>
        <v xml:space="preserve"> </v>
      </c>
      <c r="AG238" s="153" t="str">
        <f t="shared" si="636"/>
        <v xml:space="preserve"> </v>
      </c>
      <c r="AH238" s="98" t="str">
        <f t="shared" si="637"/>
        <v xml:space="preserve"> </v>
      </c>
      <c r="AI238" s="149" t="str">
        <f t="shared" si="638"/>
        <v xml:space="preserve"> </v>
      </c>
      <c r="AK238" s="144" t="str">
        <f t="shared" si="639"/>
        <v xml:space="preserve"> </v>
      </c>
      <c r="AL238" s="144"/>
      <c r="AM238" s="243" t="str">
        <f t="shared" si="640"/>
        <v xml:space="preserve"> </v>
      </c>
      <c r="AN238" s="149" t="str">
        <f t="shared" si="743"/>
        <v xml:space="preserve"> </v>
      </c>
      <c r="AO238" s="144" t="str">
        <f>IF(JB238&gt;0,IF(GI238=10,-R238*1.085*(Calculation!$F$6-Calculation!$F$13)*$S$14," "),"")</f>
        <v/>
      </c>
      <c r="AP238" s="144" t="str">
        <f t="shared" si="641"/>
        <v/>
      </c>
      <c r="AQ238" s="56" t="str">
        <f t="shared" si="642"/>
        <v/>
      </c>
      <c r="AR238" s="144" t="str">
        <f t="shared" si="643"/>
        <v/>
      </c>
      <c r="AS238" s="176" t="str">
        <f t="shared" si="644"/>
        <v/>
      </c>
      <c r="AT238" s="176" t="str">
        <f t="shared" si="744"/>
        <v xml:space="preserve"> </v>
      </c>
      <c r="AU238" s="176" t="str">
        <f t="shared" si="645"/>
        <v/>
      </c>
      <c r="AV238" s="177" t="str">
        <f t="shared" si="646"/>
        <v xml:space="preserve"> </v>
      </c>
      <c r="AW238" s="144" t="str">
        <f t="shared" si="647"/>
        <v xml:space="preserve"> </v>
      </c>
      <c r="AX238" s="144" t="str">
        <f t="shared" si="648"/>
        <v xml:space="preserve"> </v>
      </c>
      <c r="AY238" s="152" t="str">
        <f t="shared" si="649"/>
        <v xml:space="preserve"> </v>
      </c>
      <c r="AZ238" s="246" t="str">
        <f t="shared" si="650"/>
        <v/>
      </c>
      <c r="BA238" s="176" t="str">
        <f t="shared" si="651"/>
        <v xml:space="preserve"> </v>
      </c>
      <c r="BB238" s="176" t="str">
        <f t="shared" si="652"/>
        <v xml:space="preserve"> </v>
      </c>
      <c r="BC238" s="195"/>
      <c r="BD238" s="316"/>
      <c r="BE238" s="317"/>
      <c r="BF238" s="318"/>
      <c r="BG238" s="318"/>
      <c r="BH238" s="144" t="str">
        <f t="shared" si="821"/>
        <v xml:space="preserve"> </v>
      </c>
      <c r="BI238" s="176" t="str">
        <f t="shared" si="653"/>
        <v/>
      </c>
      <c r="BJ238" s="144" t="str">
        <f t="shared" si="822"/>
        <v/>
      </c>
      <c r="BK238" s="246" t="str">
        <f t="shared" si="654"/>
        <v/>
      </c>
      <c r="BL238" s="144" t="str">
        <f t="shared" si="823"/>
        <v/>
      </c>
      <c r="BM238" s="246" t="str">
        <f t="shared" si="655"/>
        <v/>
      </c>
      <c r="BN238" s="337" t="str">
        <f t="shared" si="745"/>
        <v/>
      </c>
      <c r="BO238" s="371" t="str">
        <f t="shared" si="746"/>
        <v/>
      </c>
      <c r="BP238" s="328" t="str">
        <f t="shared" si="824"/>
        <v xml:space="preserve"> </v>
      </c>
      <c r="BQ238" s="347" t="str">
        <f t="shared" si="747"/>
        <v xml:space="preserve"> </v>
      </c>
      <c r="BR238" s="353" t="str">
        <f t="shared" si="748"/>
        <v xml:space="preserve"> </v>
      </c>
      <c r="BS238" s="626" t="str">
        <f>IF(L238&gt;0,IF(Calculation!P238="M13",BR238*3.1416*(0.134^2)/(4*144),IF(Calculation!P238="M17",BR238*3.1416*(0.165^2)/(4*144),IF(Calculation!P238="M20",BR238*3.1416*(0.198^2)/(4*144),IF(Calculation!P238="M23",BR238*3.1416*(0.228^2)/(4*144),IF(Calculation!P238="M27",BR238*3.1416*(0.269^2)/(4*144),BR238*3.1416*(0.307^2)/(4*144))))))," ")</f>
        <v xml:space="preserve"> </v>
      </c>
      <c r="BT238" s="353" t="str">
        <f>IF(L238&gt;0,IF(BS238&gt;0,R238/Calculation!BS238,0)," ")</f>
        <v xml:space="preserve"> </v>
      </c>
      <c r="BU238" s="438" t="e">
        <f t="shared" ca="1" si="656"/>
        <v>#VALUE!</v>
      </c>
      <c r="BV238" s="449" t="e">
        <f ca="1">INDEX(INDIRECT(VLOOKUP(LEFT(BO238,7),CLU!$Z$3:$AH$18,2)),GN238,GR238)</f>
        <v>#N/A</v>
      </c>
      <c r="BW238" s="433" t="e">
        <f ca="1">INDEX(INDIRECT(VLOOKUP(LEFT(BO238,7),CLU!$Z$3:$AH$18,3)),GN238,GR238)</f>
        <v>#N/A</v>
      </c>
      <c r="BX238" s="433" t="e">
        <f ca="1">INDEX(INDIRECT(VLOOKUP(LEFT(BO238,7),CLU!$Z$3:$AH$18,4)),GN238,GR238)</f>
        <v>#N/A</v>
      </c>
      <c r="BY238" s="433" t="e">
        <f ca="1">INDEX(INDIRECT(VLOOKUP(LEFT(BO238,7),CLU!$Z$3:$AH$18,9)),((M238-2)*(6-COUNTBLANK(GT238:GY238)))+GJ238)</f>
        <v>#N/A</v>
      </c>
      <c r="BZ238" s="426" t="e">
        <f t="shared" ca="1" si="749"/>
        <v>#N/A</v>
      </c>
      <c r="CA238" s="424" t="e">
        <f t="shared" ca="1" si="750"/>
        <v>#N/A</v>
      </c>
      <c r="CB238" s="429" t="e">
        <f ca="1">INDEX(INDIRECT(VLOOKUP(LEFT(BO238,7),CLU!$Z$3:$AH$18,2)),GN238,GS238)</f>
        <v>#N/A</v>
      </c>
      <c r="CC238" s="342" t="e">
        <f ca="1">INDEX(INDIRECT(VLOOKUP(LEFT(BO238,7),CLU!$Z$3:$AH$18,3)),GN238,GS238)</f>
        <v>#N/A</v>
      </c>
      <c r="CD238" s="342" t="e">
        <f ca="1">INDEX(INDIRECT(VLOOKUP(LEFT(BO238,7),CLU!$Z$3:$AH$18,4)),GN238,GS238)</f>
        <v>#N/A</v>
      </c>
      <c r="CE238" s="426" t="e">
        <f t="shared" ca="1" si="751"/>
        <v>#N/A</v>
      </c>
      <c r="CF238" s="440">
        <f t="shared" si="752"/>
        <v>0</v>
      </c>
      <c r="CG238" s="431" t="e">
        <f ca="1">INDEX(INDIRECT(VLOOKUP(LEFT(BO238,7),CLU!$Z$3:$AH$18,2)),GQ238,GR238)</f>
        <v>#N/A</v>
      </c>
      <c r="CH238" s="431" t="e">
        <f ca="1">INDEX(INDIRECT(VLOOKUP(LEFT(BO238,7),CLU!$Z$3:$AH$18,3)),GQ238,GR238)</f>
        <v>#N/A</v>
      </c>
      <c r="CI238" s="431" t="e">
        <f ca="1">INDEX(INDIRECT(VLOOKUP(LEFT(BO238,7),CLU!$Z$3:$AH$18,4)),GQ238,GR238)</f>
        <v>#N/A</v>
      </c>
      <c r="CJ238" s="448" t="e">
        <f t="shared" ca="1" si="753"/>
        <v>#N/A</v>
      </c>
      <c r="CK238" s="431" t="e">
        <f t="shared" ca="1" si="754"/>
        <v>#N/A</v>
      </c>
      <c r="CL238" s="440" t="e">
        <f t="shared" ca="1" si="755"/>
        <v>#N/A</v>
      </c>
      <c r="CM238" s="431" t="e">
        <f ca="1">INDEX(INDIRECT(VLOOKUP(LEFT(BO238,7),CLU!$Z$3:$AH$18,2)),GQ238,GS238)</f>
        <v>#N/A</v>
      </c>
      <c r="CN238" s="431" t="e">
        <f ca="1">INDEX(INDIRECT(VLOOKUP(LEFT(BO238,7),CLU!$Z$3:$AH$18,3)),GQ238,GS238)</f>
        <v>#N/A</v>
      </c>
      <c r="CO238" s="431" t="e">
        <f ca="1">INDEX(INDIRECT(VLOOKUP(LEFT(BO238,7),CLU!$Z$3:$AH$18,4)),GQ238,GS238)</f>
        <v>#N/A</v>
      </c>
      <c r="CP238" s="431" t="e">
        <f t="shared" ca="1" si="756"/>
        <v>#N/A</v>
      </c>
      <c r="CQ238" s="440">
        <f t="shared" si="757"/>
        <v>0</v>
      </c>
      <c r="CR238" s="51" t="e">
        <f t="shared" ca="1" si="758"/>
        <v>#N/A</v>
      </c>
      <c r="CS238" s="439" t="e">
        <f t="shared" ca="1" si="759"/>
        <v>#VALUE!</v>
      </c>
      <c r="CT238" s="51" t="e">
        <f t="shared" ca="1" si="760"/>
        <v>#VALUE!</v>
      </c>
      <c r="CU238" s="10"/>
      <c r="CV238" s="51" t="e">
        <f t="shared" ca="1" si="657"/>
        <v>#VALUE!</v>
      </c>
      <c r="CW238" s="51">
        <f t="shared" si="761"/>
        <v>0</v>
      </c>
      <c r="CX238" s="439" t="e">
        <f t="shared" ca="1" si="762"/>
        <v>#VALUE!</v>
      </c>
      <c r="CY238" s="51" t="e">
        <f t="shared" ca="1" si="763"/>
        <v>#VALUE!</v>
      </c>
      <c r="CZ238" s="10"/>
      <c r="DA238" s="51" t="e">
        <f t="shared" ca="1" si="764"/>
        <v>#VALUE!</v>
      </c>
      <c r="DB238" s="347" t="e">
        <f ca="1">INDEX(INDIRECT(VLOOKUP(LEFT(BO238,7),CLU!$Z$3:$AI$18,10)),((M238-2)*(6-COUNTBLANK(GT238:GY238)))+GJ238)*LI238</f>
        <v>#N/A</v>
      </c>
      <c r="DC238" s="347" t="str">
        <f>IF(L238&gt;0,((R238/Worksheet!$I$15)/DB238)^2," ")</f>
        <v xml:space="preserve"> </v>
      </c>
      <c r="DD238" s="602" t="str">
        <f t="shared" si="765"/>
        <v xml:space="preserve"> </v>
      </c>
      <c r="DE238" s="347" t="str">
        <f t="shared" si="658"/>
        <v xml:space="preserve"> </v>
      </c>
      <c r="DF238" s="356" t="e">
        <f ca="1">INDEX(INDIRECT(VLOOKUP(LEFT(BO238,7),CLU!$Z$3:$AH$18,8)),((M238-2)*(6-COUNTBLANK(GT238:GY238)))+GJ238)</f>
        <v>#N/A</v>
      </c>
      <c r="DG238" s="347" t="str">
        <f t="shared" si="659"/>
        <v xml:space="preserve"> </v>
      </c>
      <c r="DH238" s="357" t="str">
        <f t="shared" si="660"/>
        <v xml:space="preserve"> </v>
      </c>
      <c r="DI238" s="355" t="str">
        <f t="shared" si="661"/>
        <v xml:space="preserve"> </v>
      </c>
      <c r="DJ238" s="245" t="e">
        <f ca="1">INDEX(INDIRECT(VLOOKUP(LEFT(BO238,7),CLU!$Z$3:$AH$18,5)),GL238,GK238)</f>
        <v>#N/A</v>
      </c>
      <c r="DK238" s="245" t="e">
        <f ca="1">INDEX(INDIRECT(VLOOKUP(LEFT(BO238,7),CLU!$Z$3:$AH$18,6)),GL238,GK238)</f>
        <v>#N/A</v>
      </c>
      <c r="DL238" s="355">
        <f>(Calculation!R238*0.69143*(Calculation!$BQ$8-Calculation!$F$8))*$S$14</f>
        <v>0</v>
      </c>
      <c r="DM238" s="359" t="e">
        <f t="shared" si="766"/>
        <v>#VALUE!</v>
      </c>
      <c r="DN238" s="611">
        <f t="shared" si="767"/>
        <v>0</v>
      </c>
      <c r="DO238" s="359">
        <f t="shared" si="768"/>
        <v>100</v>
      </c>
      <c r="DP238" s="359">
        <f t="shared" si="769"/>
        <v>0</v>
      </c>
      <c r="DQ238" s="360"/>
      <c r="DR238" s="245" t="e">
        <f ca="1">INDEX(INDIRECT(VLOOKUP(LEFT(BO238,7),CLU!$Z$3:$AH$18,7)),M238-1,1)</f>
        <v>#N/A</v>
      </c>
      <c r="DS238" s="245" t="e">
        <f ca="1">INDEX(INDIRECT(VLOOKUP(LEFT(BO238,7),CLU!$Z$3:$AH$18,7)),M238-1,2)</f>
        <v>#N/A</v>
      </c>
      <c r="DT238" s="245" t="e">
        <f ca="1">INDEX(INDIRECT(VLOOKUP(LEFT(BO238,7),CLU!$Z$3:$AH$18,7)),M238-1,3)</f>
        <v>#N/A</v>
      </c>
      <c r="DU238" s="245" t="e">
        <f ca="1">INDEX(INDIRECT(VLOOKUP(LEFT(BO238,7),CLU!$Z$3:$AH$18,7)),M238-1,4)</f>
        <v>#N/A</v>
      </c>
      <c r="DV238" s="361" t="e">
        <f ca="1">INDEX(INDIRECT(VLOOKUP(LEFT(BO238,7),CLU!$Z$3:$AH$18,7)),M238-1,4+LEFT(DZ238,1)*0.5)</f>
        <v>#N/A</v>
      </c>
      <c r="DW238" s="245" t="e">
        <f ca="1">INDEX(INDIRECT(VLOOKUP(LEFT(BO238,7),CLU!$Z$3:$AH$18,7)),M238-1,8)</f>
        <v>#N/A</v>
      </c>
      <c r="DX238" s="361" t="str">
        <f t="shared" si="662"/>
        <v xml:space="preserve"> </v>
      </c>
      <c r="DY238" s="361" t="str">
        <f t="shared" si="663"/>
        <v xml:space="preserve"> </v>
      </c>
      <c r="DZ238" s="361" t="str">
        <f t="shared" si="664"/>
        <v xml:space="preserve"> </v>
      </c>
      <c r="EA238" s="362" t="str">
        <f t="shared" si="665"/>
        <v xml:space="preserve"> </v>
      </c>
      <c r="EB238" s="624" t="str">
        <f t="shared" si="770"/>
        <v xml:space="preserve"> </v>
      </c>
      <c r="EC238" s="361" t="e">
        <f ca="1">INDEX(INDIRECT(VLOOKUP(LEFT(BO238,7),CLU!$Z$3:$AH$18,7)),M238-1,4+LEFT(DZ238,1)*0.5)</f>
        <v>#N/A</v>
      </c>
      <c r="ED238" s="362" t="str">
        <f t="shared" si="666"/>
        <v xml:space="preserve"> </v>
      </c>
      <c r="EE238" s="361" t="str">
        <f t="shared" si="667"/>
        <v xml:space="preserve"> </v>
      </c>
      <c r="EF238" s="362" t="str">
        <f>IF(L238&gt;0,IF(BR238&gt;0,IF(EE238="2P",IF(Calculation!DZ238="2P",IF(Calculation!DS238=13.75,IF(Calculation!DR238=13,Worksheet!$BD$43,IF(Calculation!DR238=37,Worksheet!$BD$44,Worksheet!$BD$45)),IF(Calculation!DS238=10,IF(Calculation!DR238=18,Worksheet!$BD$29,IF(Calculation!DR238=30,Worksheet!$BD$30,IF(Calculation!DR238=42,Worksheet!$BD$31,IF(Calculation!DR238=54,Worksheet!$BD$32,IF(Calculation!DR238=66,Worksheet!$BD$33,IF(Calculation!DR238=78,Worksheet!$BD$34,IF(Calculation!DR238=90,Worksheet!$BD$35,IF(Calculation!DR238=102,Worksheet!$BD$36,Worksheet!$BD$37)))))))),IF(Calculation!DS238=12.5,IF(Calculation!DR238=18,Worksheet!$BD$38,IF(Calculation!DR238=Worksheet!$BD$39,IF(Calculation!DR238=42,Worksheet!$BD$40,IF(Calculation!DR238=54,Worksheet!$BD$41,Worksheet!$BD$42)))),IF(Calculation!DR238=18,Worksheet!$BD$11,IF(Calculation!DR238=30,Worksheet!$BD$12,IF(Calculation!DR238=42,Worksheet!$BD$13,IF(Calculation!DR238=54,Worksheet!$BD$14,IF(Calculation!DR238=66,Worksheet!$BD$15,IF(Calculation!DR238=78,Worksheet!$BD$16,IF(Calculation!DR238=90,Worksheet!$BD$17,IF(Calculation!DR238=102,Worksheet!$BD$18,Worksheet!$BD$19))))))))))),IF(Calculation!DS238=13.75,IF(Calculation!DR238=13,Worksheet!$BD$78,IF(Calculation!DR238=37,Worksheet!$BD$79,Worksheet!$BD$80)),IF(Calculation!DS238=10,IF(Calculation!DR238=18,Worksheet!$BD$64,IF(Calculation!DR238=30,Worksheet!$BD$65,IF(Calculation!DR238=42,Worksheet!$BD$66,IF(Calculation!DR238=54,Worksheet!$BD$68,IF(Calculation!DR238=66,Worksheet!$BD$68,IF(Calculation!DR238=78,Worksheet!$BD$69,IF(Calculation!DR238=90,Worksheet!$BD$70,IF(Calculation!DR238=102,Worksheet!$BD$71,Worksheet!$BD$72)))))))),IF(Calculation!DS238=12.5,IF(Calculation!DR238=18,Worksheet!$BD$73,IF(Calculation!DR238=Worksheet!$BD$74,IF(Calculation!DR238=42,Worksheet!$BD$75,IF(Calculation!DR238=54,Worksheet!$BD$76,Worksheet!$BD$77)))),IF(Calculation!DR238=18,Worksheet!$BD$55,IF(Calculation!DR238=30,Worksheet!$BD$56,IF(Calculation!DR238=42,Worksheet!$BD$57,IF(Calculation!DR238=54,Worksheet!$BD$58,IF(Calculation!DR238=66,Worksheet!$BD$59,IF(Calculation!DR238=78,Worksheet!$BD$60,IF(Calculation!DR238=90,Worksheet!$BD$61,IF(Calculation!DR238=102,Worksheet!$BD$62,Worksheet!$BD$63)))))))))))),5),0)," ")</f>
        <v xml:space="preserve"> </v>
      </c>
      <c r="EG238" s="361" t="str">
        <f t="shared" si="668"/>
        <v xml:space="preserve"> </v>
      </c>
      <c r="EH238" s="361" t="e">
        <f ca="1">INDEX(INDIRECT(VLOOKUP(LEFT(BO238,7),CLU!$Z$3:$AH$18,7)),M238-1,3+LEFT(DZ238,1))</f>
        <v>#N/A</v>
      </c>
      <c r="EI238" s="362" t="str">
        <f t="shared" si="669"/>
        <v xml:space="preserve"> </v>
      </c>
      <c r="EJ238" s="363" t="str">
        <f t="shared" si="670"/>
        <v xml:space="preserve"> </v>
      </c>
      <c r="EK238" s="363" t="str">
        <f t="shared" si="671"/>
        <v xml:space="preserve"> </v>
      </c>
      <c r="EL238" s="363" t="str">
        <f t="shared" si="672"/>
        <v xml:space="preserve"> </v>
      </c>
      <c r="EM238" s="362" t="str">
        <f>IF(L238&gt;0,IF(BR238&gt;0,(Calculation!T238/ED238)^2,0)," ")</f>
        <v xml:space="preserve"> </v>
      </c>
      <c r="EN238" s="362" t="str">
        <f>IF(L238&gt;0,IF(O238="2 Pipe (Cooling)","N/A",IF(BR238&gt;0,(Calculation!U238/EI238)^2,0))," ")</f>
        <v xml:space="preserve"> </v>
      </c>
      <c r="EO238" s="361" t="str">
        <f t="shared" si="673"/>
        <v/>
      </c>
      <c r="EP238" s="361" t="str">
        <f t="shared" si="674"/>
        <v/>
      </c>
      <c r="EQ238" s="361" t="str">
        <f t="shared" si="675"/>
        <v/>
      </c>
      <c r="ER238" s="361" t="str">
        <f t="shared" si="676"/>
        <v/>
      </c>
      <c r="ES238" s="361" t="str">
        <f t="shared" si="677"/>
        <v/>
      </c>
      <c r="ET238" s="361" t="str">
        <f t="shared" si="678"/>
        <v/>
      </c>
      <c r="EU238" s="361" t="str">
        <f t="shared" si="679"/>
        <v/>
      </c>
      <c r="EV238" s="361" t="str">
        <f t="shared" si="680"/>
        <v/>
      </c>
      <c r="EW238" s="361" t="str">
        <f t="shared" si="681"/>
        <v/>
      </c>
      <c r="EX238" s="361" t="str">
        <f t="shared" si="771"/>
        <v>1 slot, 1 way</v>
      </c>
      <c r="EY238" s="361" t="str">
        <f t="shared" si="772"/>
        <v xml:space="preserve"> </v>
      </c>
      <c r="EZ238" s="361" t="str">
        <f t="shared" si="773"/>
        <v xml:space="preserve"> </v>
      </c>
      <c r="FA238" s="361" t="str">
        <f t="shared" si="774"/>
        <v xml:space="preserve"> </v>
      </c>
      <c r="FB238" s="361" t="str">
        <f t="shared" si="775"/>
        <v xml:space="preserve"> </v>
      </c>
      <c r="FC238" s="361"/>
      <c r="FD238" s="361" t="str">
        <f>IF(J238&gt;0,IF(Calculation!R238&lt;=70,4,IF(Calculation!R238&lt;=110,5,IF(Calculation!R238&lt;=160,6,IF(Calculation!R238&lt;=300,8,"10 EO")))),"")</f>
        <v/>
      </c>
      <c r="FE238" s="361" t="str">
        <f t="shared" si="776"/>
        <v/>
      </c>
      <c r="FF238" s="361" t="str">
        <f t="shared" si="777"/>
        <v/>
      </c>
      <c r="FG238" s="361" t="e">
        <f t="shared" si="682"/>
        <v>#N/A</v>
      </c>
      <c r="FH238" s="361">
        <f t="shared" si="683"/>
        <v>0</v>
      </c>
      <c r="FI238" s="361" t="e">
        <f t="shared" si="684"/>
        <v>#DIV/0!</v>
      </c>
      <c r="FJ238" s="361"/>
      <c r="FK238" s="356" t="e">
        <f t="shared" si="685"/>
        <v>#VALUE!</v>
      </c>
      <c r="FL238" s="361"/>
      <c r="FM238" s="361"/>
      <c r="FN238" s="362" t="str">
        <f t="shared" si="778"/>
        <v xml:space="preserve"> </v>
      </c>
      <c r="FO238" s="362" t="str">
        <f t="shared" si="779"/>
        <v xml:space="preserve"> </v>
      </c>
      <c r="FP238" s="362">
        <f t="shared" si="780"/>
        <v>0</v>
      </c>
      <c r="FQ238" s="361">
        <f t="shared" si="686"/>
        <v>0</v>
      </c>
      <c r="FR238" s="362" t="str">
        <f>IF(L238&gt;0,IF(J238="CBAL2",Worksheet!$P$67,IF(J238="CBE2-24",Worksheet!$Q$67,IF(J238="CBAM",Worksheet!$R$67,IF(J238="CBLV",Worksheet!$S$67,IF(J238="CBAB",Worksheet!$U$67,IF(J238="CBAW",Worksheet!$X$67,IF(J238="CBE2-12",Worksheet!$Y$67,IF(J238="CBAL2",Worksheet!$Z$67,"N/A"))))))))," ")</f>
        <v xml:space="preserve"> </v>
      </c>
      <c r="FS238" s="362" t="str">
        <f>IF(L238&gt;0,IF(J238="CBAL2",Worksheet!$P$68,IF(J238="CBE2-24",Worksheet!$Q$68,IF(J238="CBAM",Worksheet!$R$68,IF(J238="CBLV",Worksheet!$S$68,IF(J238="CBAB",Worksheet!$U$68,IF(J238="CBAW",Worksheet!$X$68,IF(J238="CBE2-12",Worksheet!$Y$68,IF(J238="CBAL2",Worksheet!$Z$68,"N/A"))))))))," ")</f>
        <v xml:space="preserve"> </v>
      </c>
      <c r="FT238" s="362" t="str">
        <f>IF(L238&gt;0,IF(J238="CBAL2",Worksheet!$P$69,IF(J238="CBE2-24",Worksheet!$Q$69,IF(J238="CBAM",Worksheet!$R$69,IF(J238="CBLV",Worksheet!$S$69,IF(J238="CBAB",Worksheet!$U$69,IF(J238="CBAW",Worksheet!$X$69,IF(J238="CBE2-12",Worksheet!$Y$69,IF(J238="CBAL2",Worksheet!$Z$69,"N/A"))))))))," ")</f>
        <v xml:space="preserve"> </v>
      </c>
      <c r="FU238" s="361" t="str">
        <f t="shared" si="781"/>
        <v xml:space="preserve"> </v>
      </c>
      <c r="FV238" s="362" t="str">
        <f t="shared" si="782"/>
        <v xml:space="preserve"> </v>
      </c>
      <c r="FW238" s="362" t="str">
        <f t="shared" si="783"/>
        <v xml:space="preserve"> </v>
      </c>
      <c r="FX238" s="362" t="str">
        <f t="shared" si="784"/>
        <v xml:space="preserve"> </v>
      </c>
      <c r="FY238" s="355" t="str">
        <f t="shared" si="785"/>
        <v xml:space="preserve"> </v>
      </c>
      <c r="FZ238" s="361" t="str">
        <f t="shared" si="786"/>
        <v xml:space="preserve"> </v>
      </c>
      <c r="GA238" s="347" t="str">
        <f t="shared" si="787"/>
        <v xml:space="preserve"> </v>
      </c>
      <c r="GB238" s="355" t="str">
        <f t="shared" si="788"/>
        <v xml:space="preserve"> </v>
      </c>
      <c r="GC238" s="328" t="str">
        <f t="shared" si="789"/>
        <v xml:space="preserve"> </v>
      </c>
      <c r="GD238" s="361" t="str">
        <f t="shared" si="790"/>
        <v xml:space="preserve"> </v>
      </c>
      <c r="GE238" s="347" t="str">
        <f t="shared" si="791"/>
        <v xml:space="preserve"> </v>
      </c>
      <c r="GF238" s="361" t="str">
        <f t="shared" si="792"/>
        <v xml:space="preserve"> </v>
      </c>
      <c r="GG238" s="347" t="str">
        <f t="shared" si="793"/>
        <v xml:space="preserve"> </v>
      </c>
      <c r="GH238" s="364">
        <f t="shared" si="687"/>
        <v>0</v>
      </c>
      <c r="GI238" s="362">
        <f t="shared" si="794"/>
        <v>2</v>
      </c>
      <c r="GJ238" s="433" t="e">
        <f>IF(6-COUNTBLANK(GT238:GY238)=4,MATCH(MID(BO238,9,3),CLU!$H$16:$K$16),MATCH(MID(BO238,9,3),CLU!$H$13:$M$13))</f>
        <v>#N/A</v>
      </c>
      <c r="GK238" s="433" t="e">
        <f>HLOOKUP(VALUE(BP238),CLU!$H$9:$M$10,2)</f>
        <v>#VALUE!</v>
      </c>
      <c r="GL238" s="433" t="e">
        <f ca="1">MATCH(BU238,CLU!$H$2:$V$2,1)</f>
        <v>#VALUE!</v>
      </c>
      <c r="GM238" s="433" t="e">
        <f t="shared" ca="1" si="795"/>
        <v>#VALUE!</v>
      </c>
      <c r="GN238" s="433" t="e">
        <f t="shared" ca="1" si="796"/>
        <v>#VALUE!</v>
      </c>
      <c r="GO238" s="433" t="e">
        <f t="shared" ca="1" si="797"/>
        <v>#VALUE!</v>
      </c>
      <c r="GP238" s="433" t="e">
        <f t="shared" ca="1" si="798"/>
        <v>#VALUE!</v>
      </c>
      <c r="GQ238" s="433" t="e">
        <f t="shared" ca="1" si="799"/>
        <v>#VALUE!</v>
      </c>
      <c r="GR238" s="433" t="e">
        <f ca="1">MATCH(T238,INDIRECT(VLOOKUP(CONCATENATE(LEFT(BO238,7),"-",MID(BO238,13,1)),CLU!$P$3:$Q$16,2)),1)</f>
        <v>#N/A</v>
      </c>
      <c r="GS238" s="433" t="e">
        <f ca="1">MATCH(U238,INDIRECT(VLOOKUP(CONCATENATE(LEFT(BO238,7),"-",MID(BO238,13,1)),CLU!$P$3:$Q$16,2)),1)</f>
        <v>#N/A</v>
      </c>
      <c r="GT238" s="347" t="s">
        <v>512</v>
      </c>
      <c r="GU238" s="97" t="s">
        <v>513</v>
      </c>
      <c r="GV238" s="97" t="str">
        <f t="shared" si="800"/>
        <v>M23</v>
      </c>
      <c r="GW238" s="97" t="str">
        <f t="shared" si="801"/>
        <v>M31</v>
      </c>
      <c r="GX238" s="97" t="str">
        <f t="shared" si="802"/>
        <v/>
      </c>
      <c r="GY238" s="97" t="str">
        <f t="shared" si="803"/>
        <v/>
      </c>
      <c r="GZ238" s="481"/>
      <c r="HA238" s="288"/>
      <c r="HB238" s="240"/>
      <c r="HC238" s="240"/>
      <c r="HD238" s="240"/>
      <c r="HE238" s="240"/>
      <c r="HF238" s="240"/>
      <c r="HG238" s="240"/>
      <c r="HH238" s="240"/>
      <c r="HI238" s="240"/>
      <c r="HJ238" s="240"/>
      <c r="HK238" s="240"/>
      <c r="HL238" s="240"/>
      <c r="HM238" s="240"/>
      <c r="HN238" s="240"/>
      <c r="HO238" s="240"/>
      <c r="HP238" s="240"/>
      <c r="HQ238" s="240"/>
      <c r="HR238" s="240"/>
      <c r="HS238" s="240"/>
      <c r="HT238" s="240"/>
      <c r="HU238" s="240"/>
      <c r="HV238" s="245"/>
      <c r="HW238" s="245" t="b">
        <v>1</v>
      </c>
      <c r="HX238" s="245" t="str">
        <f t="shared" si="688"/>
        <v/>
      </c>
      <c r="HY238" s="245" t="e">
        <f t="shared" si="689"/>
        <v>#DIV/0!</v>
      </c>
      <c r="HZ238" s="245" t="e">
        <f t="shared" si="690"/>
        <v>#DIV/0!</v>
      </c>
      <c r="IA238" s="245">
        <f t="shared" si="691"/>
        <v>0</v>
      </c>
      <c r="IB238" s="245"/>
      <c r="IC238" t="b">
        <f t="shared" si="692"/>
        <v>1</v>
      </c>
      <c r="ID238" s="245" t="b">
        <f t="shared" si="693"/>
        <v>1</v>
      </c>
      <c r="IE238" s="245" t="b">
        <f t="shared" si="694"/>
        <v>1</v>
      </c>
      <c r="IF238" s="245" t="b">
        <f t="shared" si="695"/>
        <v>0</v>
      </c>
      <c r="IG238" s="245" t="b">
        <f t="shared" si="696"/>
        <v>1</v>
      </c>
      <c r="IH238" s="245" t="b">
        <f t="shared" si="697"/>
        <v>1</v>
      </c>
      <c r="II238" s="245">
        <f t="shared" si="804"/>
        <v>0</v>
      </c>
      <c r="IJ238" s="245" t="e">
        <f t="shared" si="698"/>
        <v>#VALUE!</v>
      </c>
      <c r="IK238" s="245" t="e">
        <f t="shared" si="699"/>
        <v>#VALUE!</v>
      </c>
      <c r="IL238" s="245"/>
      <c r="IM238" s="245" t="e">
        <f t="shared" si="805"/>
        <v>#N/A</v>
      </c>
      <c r="IN238" s="245" t="e">
        <f t="shared" si="806"/>
        <v>#N/A</v>
      </c>
      <c r="IO238" s="245"/>
      <c r="IP238" s="245"/>
      <c r="IQ238" s="245" t="str">
        <f t="shared" si="700"/>
        <v/>
      </c>
      <c r="IR238" s="245" t="str">
        <f>IF(J238="","",VLOOKUP(J238,Worksheet!$R$4:$T$14,2))</f>
        <v/>
      </c>
      <c r="IS238" s="245"/>
      <c r="IT238" s="245">
        <f t="shared" si="701"/>
        <v>0</v>
      </c>
      <c r="IU238" s="245">
        <f t="shared" si="702"/>
        <v>0</v>
      </c>
      <c r="IV238" s="245">
        <f t="shared" si="703"/>
        <v>0</v>
      </c>
      <c r="IW238" s="245">
        <f t="shared" si="704"/>
        <v>0</v>
      </c>
      <c r="IX238" s="245">
        <f t="shared" si="807"/>
        <v>0</v>
      </c>
      <c r="IY238" s="245">
        <f t="shared" si="705"/>
        <v>0</v>
      </c>
      <c r="IZ238" s="245">
        <f t="shared" si="706"/>
        <v>0</v>
      </c>
      <c r="JA238">
        <f t="shared" si="707"/>
        <v>0</v>
      </c>
      <c r="JB238">
        <f t="shared" si="808"/>
        <v>0</v>
      </c>
      <c r="JC238">
        <f t="shared" si="708"/>
        <v>0</v>
      </c>
      <c r="JD238">
        <f t="shared" si="709"/>
        <v>0</v>
      </c>
      <c r="JE238">
        <f t="shared" si="710"/>
        <v>0</v>
      </c>
      <c r="JF238">
        <f t="shared" si="711"/>
        <v>0</v>
      </c>
      <c r="JG238">
        <f t="shared" si="712"/>
        <v>0</v>
      </c>
      <c r="JH238">
        <f t="shared" si="713"/>
        <v>0</v>
      </c>
      <c r="JI238">
        <f t="shared" si="714"/>
        <v>0</v>
      </c>
      <c r="JJ238" s="447">
        <f t="shared" si="715"/>
        <v>0</v>
      </c>
      <c r="JK238" s="447">
        <f t="shared" si="716"/>
        <v>0</v>
      </c>
      <c r="JL238">
        <f t="shared" si="717"/>
        <v>0</v>
      </c>
      <c r="JM238" s="245" t="str">
        <f>IFERROR(VLOOKUP(MATCH(BN238,#REF!,0),#REF!,7),"")</f>
        <v/>
      </c>
      <c r="JN238" t="e">
        <f>HLOOKUP(LEFT(BO238,7),Discharge_Area,MATCH(JO238,LookUps!$B$130:$B$149,1)+2)</f>
        <v>#N/A</v>
      </c>
      <c r="JO238" t="str">
        <f t="shared" si="718"/>
        <v>- S</v>
      </c>
      <c r="JP238" t="e">
        <f>HLOOKUP(LEFT(BO238,7),Discharge_Area,MATCH(JO238,LookUps!$B$130:$B$149,1)+2)</f>
        <v>#N/A</v>
      </c>
      <c r="JQ238" t="e">
        <f t="shared" si="719"/>
        <v>#N/A</v>
      </c>
      <c r="JR238" t="e">
        <f t="shared" si="720"/>
        <v>#N/A</v>
      </c>
      <c r="JS238" t="e">
        <f t="shared" si="721"/>
        <v>#N/A</v>
      </c>
      <c r="JT238" s="532" t="str">
        <f t="shared" si="722"/>
        <v xml:space="preserve"> </v>
      </c>
      <c r="JU238" s="532" t="str">
        <f t="shared" si="723"/>
        <v xml:space="preserve"> </v>
      </c>
      <c r="JV238" s="533" t="str">
        <f t="shared" si="724"/>
        <v xml:space="preserve"> </v>
      </c>
      <c r="JW238" s="534">
        <f t="shared" si="725"/>
        <v>0</v>
      </c>
      <c r="JX238" s="535" t="str">
        <f t="shared" si="809"/>
        <v xml:space="preserve"> </v>
      </c>
      <c r="JY238" s="535" t="str">
        <f t="shared" si="810"/>
        <v xml:space="preserve"> </v>
      </c>
      <c r="JZ238" s="535" t="str">
        <f t="shared" si="811"/>
        <v xml:space="preserve"> </v>
      </c>
      <c r="KA238" s="536" t="str">
        <f t="shared" si="726"/>
        <v xml:space="preserve"> </v>
      </c>
      <c r="KB238" s="535" t="e">
        <f t="shared" si="812"/>
        <v>#VALUE!</v>
      </c>
      <c r="KC238" s="535" t="str">
        <f t="shared" si="727"/>
        <v/>
      </c>
      <c r="KD238" s="537" t="str">
        <f t="shared" si="813"/>
        <v xml:space="preserve"> </v>
      </c>
      <c r="KE238" s="537" t="str">
        <f t="shared" si="814"/>
        <v xml:space="preserve"> </v>
      </c>
      <c r="KF238" s="534">
        <f t="shared" si="728"/>
        <v>0</v>
      </c>
      <c r="KG238" s="535" t="str">
        <f t="shared" si="729"/>
        <v xml:space="preserve"> </v>
      </c>
      <c r="KH238" s="535" t="str">
        <f t="shared" si="730"/>
        <v xml:space="preserve"> </v>
      </c>
      <c r="KI238" s="535" t="str">
        <f t="shared" si="731"/>
        <v xml:space="preserve"> </v>
      </c>
      <c r="KJ238" s="536" t="str">
        <f t="shared" si="732"/>
        <v xml:space="preserve"> </v>
      </c>
      <c r="KK238" s="535" t="str">
        <f t="shared" si="815"/>
        <v xml:space="preserve"> </v>
      </c>
      <c r="KL238" s="535" t="str">
        <f t="shared" si="816"/>
        <v xml:space="preserve"> </v>
      </c>
      <c r="KM238" s="537" t="str">
        <f t="shared" si="733"/>
        <v xml:space="preserve"> </v>
      </c>
      <c r="KN238" s="537" t="str">
        <f t="shared" si="817"/>
        <v xml:space="preserve"> </v>
      </c>
      <c r="KP238">
        <f t="shared" si="734"/>
        <v>0</v>
      </c>
      <c r="LA238" t="e">
        <f t="shared" si="735"/>
        <v>#VALUE!</v>
      </c>
      <c r="LB238" t="e">
        <f t="shared" si="736"/>
        <v>#VALUE!</v>
      </c>
      <c r="LC238" t="e">
        <f t="shared" si="737"/>
        <v>#VALUE!</v>
      </c>
      <c r="LD238" t="e">
        <f t="shared" si="738"/>
        <v>#VALUE!</v>
      </c>
      <c r="LE238" t="e">
        <f t="shared" si="818"/>
        <v>#VALUE!</v>
      </c>
      <c r="LF238">
        <f t="shared" si="739"/>
        <v>0</v>
      </c>
      <c r="LG238" t="e">
        <f t="shared" si="819"/>
        <v>#VALUE!</v>
      </c>
      <c r="LH238" t="str">
        <f t="shared" si="740"/>
        <v xml:space="preserve"> </v>
      </c>
      <c r="LI238">
        <f t="shared" si="820"/>
        <v>1</v>
      </c>
    </row>
    <row r="239" spans="2:321" ht="15" customHeight="1">
      <c r="B239" s="311"/>
      <c r="C239" s="311"/>
      <c r="D239" s="312"/>
      <c r="E239" s="311"/>
      <c r="F239" s="312"/>
      <c r="G239" s="311"/>
      <c r="H239" s="311"/>
      <c r="I239" s="232"/>
      <c r="J239" s="311"/>
      <c r="K239" s="305" t="str">
        <f t="shared" si="741"/>
        <v/>
      </c>
      <c r="L239" s="313"/>
      <c r="M239" s="312"/>
      <c r="N239" s="311"/>
      <c r="O239" s="312"/>
      <c r="P239" s="311"/>
      <c r="Q239" s="305" t="str">
        <f t="shared" si="742"/>
        <v/>
      </c>
      <c r="R239" s="314"/>
      <c r="S239" s="450" t="str">
        <f t="shared" si="625"/>
        <v/>
      </c>
      <c r="T239" s="315"/>
      <c r="U239" s="315"/>
      <c r="W239" s="149" t="str">
        <f t="shared" si="626"/>
        <v xml:space="preserve"> </v>
      </c>
      <c r="X239" s="243" t="str">
        <f t="shared" si="627"/>
        <v xml:space="preserve"> </v>
      </c>
      <c r="Y239" s="150" t="str">
        <f t="shared" si="628"/>
        <v/>
      </c>
      <c r="Z239" s="149" t="str">
        <f t="shared" si="629"/>
        <v xml:space="preserve"> </v>
      </c>
      <c r="AA239" s="98" t="str">
        <f t="shared" si="630"/>
        <v xml:space="preserve"> </v>
      </c>
      <c r="AB239" s="153" t="str">
        <f t="shared" si="631"/>
        <v xml:space="preserve"> </v>
      </c>
      <c r="AC239" s="153" t="str">
        <f t="shared" si="632"/>
        <v xml:space="preserve"> </v>
      </c>
      <c r="AD239" s="148" t="str">
        <f t="shared" si="633"/>
        <v/>
      </c>
      <c r="AE239" s="149" t="str">
        <f t="shared" si="634"/>
        <v/>
      </c>
      <c r="AF239" s="151" t="str">
        <f t="shared" si="635"/>
        <v xml:space="preserve"> </v>
      </c>
      <c r="AG239" s="153" t="str">
        <f t="shared" si="636"/>
        <v xml:space="preserve"> </v>
      </c>
      <c r="AH239" s="98" t="str">
        <f t="shared" si="637"/>
        <v xml:space="preserve"> </v>
      </c>
      <c r="AI239" s="149" t="str">
        <f t="shared" si="638"/>
        <v xml:space="preserve"> </v>
      </c>
      <c r="AK239" s="144" t="str">
        <f t="shared" si="639"/>
        <v xml:space="preserve"> </v>
      </c>
      <c r="AL239" s="144"/>
      <c r="AM239" s="243" t="str">
        <f t="shared" si="640"/>
        <v xml:space="preserve"> </v>
      </c>
      <c r="AN239" s="149" t="str">
        <f t="shared" si="743"/>
        <v xml:space="preserve"> </v>
      </c>
      <c r="AO239" s="144" t="str">
        <f>IF(JB239&gt;0,IF(GI239=10,-R239*1.085*(Calculation!$F$6-Calculation!$F$13)*$S$14," "),"")</f>
        <v/>
      </c>
      <c r="AP239" s="144" t="str">
        <f t="shared" si="641"/>
        <v/>
      </c>
      <c r="AQ239" s="56" t="str">
        <f t="shared" si="642"/>
        <v/>
      </c>
      <c r="AR239" s="144" t="str">
        <f t="shared" si="643"/>
        <v/>
      </c>
      <c r="AS239" s="176" t="str">
        <f t="shared" si="644"/>
        <v/>
      </c>
      <c r="AT239" s="176" t="str">
        <f t="shared" si="744"/>
        <v xml:space="preserve"> </v>
      </c>
      <c r="AU239" s="176" t="str">
        <f t="shared" si="645"/>
        <v/>
      </c>
      <c r="AV239" s="177" t="str">
        <f t="shared" si="646"/>
        <v xml:space="preserve"> </v>
      </c>
      <c r="AW239" s="144" t="str">
        <f t="shared" si="647"/>
        <v xml:space="preserve"> </v>
      </c>
      <c r="AX239" s="144" t="str">
        <f t="shared" si="648"/>
        <v xml:space="preserve"> </v>
      </c>
      <c r="AY239" s="152" t="str">
        <f t="shared" si="649"/>
        <v xml:space="preserve"> </v>
      </c>
      <c r="AZ239" s="246" t="str">
        <f t="shared" si="650"/>
        <v/>
      </c>
      <c r="BA239" s="176" t="str">
        <f t="shared" si="651"/>
        <v xml:space="preserve"> </v>
      </c>
      <c r="BB239" s="176" t="str">
        <f t="shared" si="652"/>
        <v xml:space="preserve"> </v>
      </c>
      <c r="BC239" s="195"/>
      <c r="BD239" s="316"/>
      <c r="BE239" s="317"/>
      <c r="BF239" s="318"/>
      <c r="BG239" s="318"/>
      <c r="BH239" s="144" t="str">
        <f t="shared" si="821"/>
        <v xml:space="preserve"> </v>
      </c>
      <c r="BI239" s="176" t="str">
        <f t="shared" si="653"/>
        <v/>
      </c>
      <c r="BJ239" s="144" t="str">
        <f t="shared" si="822"/>
        <v/>
      </c>
      <c r="BK239" s="246" t="str">
        <f t="shared" si="654"/>
        <v/>
      </c>
      <c r="BL239" s="144" t="str">
        <f t="shared" si="823"/>
        <v/>
      </c>
      <c r="BM239" s="246" t="str">
        <f t="shared" si="655"/>
        <v/>
      </c>
      <c r="BN239" s="337" t="str">
        <f t="shared" si="745"/>
        <v/>
      </c>
      <c r="BO239" s="371" t="str">
        <f t="shared" si="746"/>
        <v/>
      </c>
      <c r="BP239" s="328" t="str">
        <f t="shared" si="824"/>
        <v xml:space="preserve"> </v>
      </c>
      <c r="BQ239" s="347" t="str">
        <f t="shared" si="747"/>
        <v xml:space="preserve"> </v>
      </c>
      <c r="BR239" s="353" t="str">
        <f t="shared" si="748"/>
        <v xml:space="preserve"> </v>
      </c>
      <c r="BS239" s="626" t="str">
        <f>IF(L239&gt;0,IF(Calculation!P239="M13",BR239*3.1416*(0.134^2)/(4*144),IF(Calculation!P239="M17",BR239*3.1416*(0.165^2)/(4*144),IF(Calculation!P239="M20",BR239*3.1416*(0.198^2)/(4*144),IF(Calculation!P239="M23",BR239*3.1416*(0.228^2)/(4*144),IF(Calculation!P239="M27",BR239*3.1416*(0.269^2)/(4*144),BR239*3.1416*(0.307^2)/(4*144))))))," ")</f>
        <v xml:space="preserve"> </v>
      </c>
      <c r="BT239" s="353" t="str">
        <f>IF(L239&gt;0,IF(BS239&gt;0,R239/Calculation!BS239,0)," ")</f>
        <v xml:space="preserve"> </v>
      </c>
      <c r="BU239" s="438" t="e">
        <f t="shared" ca="1" si="656"/>
        <v>#VALUE!</v>
      </c>
      <c r="BV239" s="449" t="e">
        <f ca="1">INDEX(INDIRECT(VLOOKUP(LEFT(BO239,7),CLU!$Z$3:$AH$18,2)),GN239,GR239)</f>
        <v>#N/A</v>
      </c>
      <c r="BW239" s="433" t="e">
        <f ca="1">INDEX(INDIRECT(VLOOKUP(LEFT(BO239,7),CLU!$Z$3:$AH$18,3)),GN239,GR239)</f>
        <v>#N/A</v>
      </c>
      <c r="BX239" s="433" t="e">
        <f ca="1">INDEX(INDIRECT(VLOOKUP(LEFT(BO239,7),CLU!$Z$3:$AH$18,4)),GN239,GR239)</f>
        <v>#N/A</v>
      </c>
      <c r="BY239" s="433" t="e">
        <f ca="1">INDEX(INDIRECT(VLOOKUP(LEFT(BO239,7),CLU!$Z$3:$AH$18,9)),((M239-2)*(6-COUNTBLANK(GT239:GY239)))+GJ239)</f>
        <v>#N/A</v>
      </c>
      <c r="BZ239" s="426" t="e">
        <f t="shared" ca="1" si="749"/>
        <v>#N/A</v>
      </c>
      <c r="CA239" s="424" t="e">
        <f t="shared" ca="1" si="750"/>
        <v>#N/A</v>
      </c>
      <c r="CB239" s="429" t="e">
        <f ca="1">INDEX(INDIRECT(VLOOKUP(LEFT(BO239,7),CLU!$Z$3:$AH$18,2)),GN239,GS239)</f>
        <v>#N/A</v>
      </c>
      <c r="CC239" s="342" t="e">
        <f ca="1">INDEX(INDIRECT(VLOOKUP(LEFT(BO239,7),CLU!$Z$3:$AH$18,3)),GN239,GS239)</f>
        <v>#N/A</v>
      </c>
      <c r="CD239" s="342" t="e">
        <f ca="1">INDEX(INDIRECT(VLOOKUP(LEFT(BO239,7),CLU!$Z$3:$AH$18,4)),GN239,GS239)</f>
        <v>#N/A</v>
      </c>
      <c r="CE239" s="426" t="e">
        <f t="shared" ca="1" si="751"/>
        <v>#N/A</v>
      </c>
      <c r="CF239" s="440">
        <f t="shared" si="752"/>
        <v>0</v>
      </c>
      <c r="CG239" s="431" t="e">
        <f ca="1">INDEX(INDIRECT(VLOOKUP(LEFT(BO239,7),CLU!$Z$3:$AH$18,2)),GQ239,GR239)</f>
        <v>#N/A</v>
      </c>
      <c r="CH239" s="431" t="e">
        <f ca="1">INDEX(INDIRECT(VLOOKUP(LEFT(BO239,7),CLU!$Z$3:$AH$18,3)),GQ239,GR239)</f>
        <v>#N/A</v>
      </c>
      <c r="CI239" s="431" t="e">
        <f ca="1">INDEX(INDIRECT(VLOOKUP(LEFT(BO239,7),CLU!$Z$3:$AH$18,4)),GQ239,GR239)</f>
        <v>#N/A</v>
      </c>
      <c r="CJ239" s="448" t="e">
        <f t="shared" ca="1" si="753"/>
        <v>#N/A</v>
      </c>
      <c r="CK239" s="431" t="e">
        <f t="shared" ca="1" si="754"/>
        <v>#N/A</v>
      </c>
      <c r="CL239" s="440" t="e">
        <f t="shared" ca="1" si="755"/>
        <v>#N/A</v>
      </c>
      <c r="CM239" s="431" t="e">
        <f ca="1">INDEX(INDIRECT(VLOOKUP(LEFT(BO239,7),CLU!$Z$3:$AH$18,2)),GQ239,GS239)</f>
        <v>#N/A</v>
      </c>
      <c r="CN239" s="431" t="e">
        <f ca="1">INDEX(INDIRECT(VLOOKUP(LEFT(BO239,7),CLU!$Z$3:$AH$18,3)),GQ239,GS239)</f>
        <v>#N/A</v>
      </c>
      <c r="CO239" s="431" t="e">
        <f ca="1">INDEX(INDIRECT(VLOOKUP(LEFT(BO239,7),CLU!$Z$3:$AH$18,4)),GQ239,GS239)</f>
        <v>#N/A</v>
      </c>
      <c r="CP239" s="431" t="e">
        <f t="shared" ca="1" si="756"/>
        <v>#N/A</v>
      </c>
      <c r="CQ239" s="440">
        <f t="shared" si="757"/>
        <v>0</v>
      </c>
      <c r="CR239" s="51" t="e">
        <f t="shared" ca="1" si="758"/>
        <v>#N/A</v>
      </c>
      <c r="CS239" s="439" t="e">
        <f t="shared" ca="1" si="759"/>
        <v>#VALUE!</v>
      </c>
      <c r="CT239" s="51" t="e">
        <f t="shared" ca="1" si="760"/>
        <v>#VALUE!</v>
      </c>
      <c r="CU239" s="10"/>
      <c r="CV239" s="51" t="e">
        <f t="shared" ca="1" si="657"/>
        <v>#VALUE!</v>
      </c>
      <c r="CW239" s="51">
        <f t="shared" si="761"/>
        <v>0</v>
      </c>
      <c r="CX239" s="439" t="e">
        <f t="shared" ca="1" si="762"/>
        <v>#VALUE!</v>
      </c>
      <c r="CY239" s="51" t="e">
        <f t="shared" ca="1" si="763"/>
        <v>#VALUE!</v>
      </c>
      <c r="CZ239" s="10"/>
      <c r="DA239" s="51" t="e">
        <f t="shared" ca="1" si="764"/>
        <v>#VALUE!</v>
      </c>
      <c r="DB239" s="347" t="e">
        <f ca="1">INDEX(INDIRECT(VLOOKUP(LEFT(BO239,7),CLU!$Z$3:$AI$18,10)),((M239-2)*(6-COUNTBLANK(GT239:GY239)))+GJ239)*LI239</f>
        <v>#N/A</v>
      </c>
      <c r="DC239" s="347" t="str">
        <f>IF(L239&gt;0,((R239/Worksheet!$I$15)/DB239)^2," ")</f>
        <v xml:space="preserve"> </v>
      </c>
      <c r="DD239" s="602" t="str">
        <f t="shared" si="765"/>
        <v xml:space="preserve"> </v>
      </c>
      <c r="DE239" s="347" t="str">
        <f t="shared" si="658"/>
        <v xml:space="preserve"> </v>
      </c>
      <c r="DF239" s="356" t="e">
        <f ca="1">INDEX(INDIRECT(VLOOKUP(LEFT(BO239,7),CLU!$Z$3:$AH$18,8)),((M239-2)*(6-COUNTBLANK(GT239:GY239)))+GJ239)</f>
        <v>#N/A</v>
      </c>
      <c r="DG239" s="347" t="str">
        <f t="shared" si="659"/>
        <v xml:space="preserve"> </v>
      </c>
      <c r="DH239" s="357" t="str">
        <f t="shared" si="660"/>
        <v xml:space="preserve"> </v>
      </c>
      <c r="DI239" s="355" t="str">
        <f t="shared" si="661"/>
        <v xml:space="preserve"> </v>
      </c>
      <c r="DJ239" s="245" t="e">
        <f ca="1">INDEX(INDIRECT(VLOOKUP(LEFT(BO239,7),CLU!$Z$3:$AH$18,5)),GL239,GK239)</f>
        <v>#N/A</v>
      </c>
      <c r="DK239" s="245" t="e">
        <f ca="1">INDEX(INDIRECT(VLOOKUP(LEFT(BO239,7),CLU!$Z$3:$AH$18,6)),GL239,GK239)</f>
        <v>#N/A</v>
      </c>
      <c r="DL239" s="355">
        <f>(Calculation!R239*0.69143*(Calculation!$BQ$8-Calculation!$F$8))*$S$14</f>
        <v>0</v>
      </c>
      <c r="DM239" s="359" t="e">
        <f t="shared" si="766"/>
        <v>#VALUE!</v>
      </c>
      <c r="DN239" s="611">
        <f t="shared" si="767"/>
        <v>0</v>
      </c>
      <c r="DO239" s="359">
        <f t="shared" si="768"/>
        <v>100</v>
      </c>
      <c r="DP239" s="359">
        <f t="shared" si="769"/>
        <v>0</v>
      </c>
      <c r="DQ239" s="360"/>
      <c r="DR239" s="245" t="e">
        <f ca="1">INDEX(INDIRECT(VLOOKUP(LEFT(BO239,7),CLU!$Z$3:$AH$18,7)),M239-1,1)</f>
        <v>#N/A</v>
      </c>
      <c r="DS239" s="245" t="e">
        <f ca="1">INDEX(INDIRECT(VLOOKUP(LEFT(BO239,7),CLU!$Z$3:$AH$18,7)),M239-1,2)</f>
        <v>#N/A</v>
      </c>
      <c r="DT239" s="245" t="e">
        <f ca="1">INDEX(INDIRECT(VLOOKUP(LEFT(BO239,7),CLU!$Z$3:$AH$18,7)),M239-1,3)</f>
        <v>#N/A</v>
      </c>
      <c r="DU239" s="245" t="e">
        <f ca="1">INDEX(INDIRECT(VLOOKUP(LEFT(BO239,7),CLU!$Z$3:$AH$18,7)),M239-1,4)</f>
        <v>#N/A</v>
      </c>
      <c r="DV239" s="361" t="e">
        <f ca="1">INDEX(INDIRECT(VLOOKUP(LEFT(BO239,7),CLU!$Z$3:$AH$18,7)),M239-1,4+LEFT(DZ239,1)*0.5)</f>
        <v>#N/A</v>
      </c>
      <c r="DW239" s="245" t="e">
        <f ca="1">INDEX(INDIRECT(VLOOKUP(LEFT(BO239,7),CLU!$Z$3:$AH$18,7)),M239-1,8)</f>
        <v>#N/A</v>
      </c>
      <c r="DX239" s="361" t="str">
        <f t="shared" si="662"/>
        <v xml:space="preserve"> </v>
      </c>
      <c r="DY239" s="361" t="str">
        <f t="shared" si="663"/>
        <v xml:space="preserve"> </v>
      </c>
      <c r="DZ239" s="361" t="str">
        <f t="shared" si="664"/>
        <v xml:space="preserve"> </v>
      </c>
      <c r="EA239" s="362" t="str">
        <f t="shared" si="665"/>
        <v xml:space="preserve"> </v>
      </c>
      <c r="EB239" s="624" t="str">
        <f t="shared" si="770"/>
        <v xml:space="preserve"> </v>
      </c>
      <c r="EC239" s="361" t="e">
        <f ca="1">INDEX(INDIRECT(VLOOKUP(LEFT(BO239,7),CLU!$Z$3:$AH$18,7)),M239-1,4+LEFT(DZ239,1)*0.5)</f>
        <v>#N/A</v>
      </c>
      <c r="ED239" s="362" t="str">
        <f t="shared" si="666"/>
        <v xml:space="preserve"> </v>
      </c>
      <c r="EE239" s="361" t="str">
        <f t="shared" si="667"/>
        <v xml:space="preserve"> </v>
      </c>
      <c r="EF239" s="362" t="str">
        <f>IF(L239&gt;0,IF(BR239&gt;0,IF(EE239="2P",IF(Calculation!DZ239="2P",IF(Calculation!DS239=13.75,IF(Calculation!DR239=13,Worksheet!$BD$43,IF(Calculation!DR239=37,Worksheet!$BD$44,Worksheet!$BD$45)),IF(Calculation!DS239=10,IF(Calculation!DR239=18,Worksheet!$BD$29,IF(Calculation!DR239=30,Worksheet!$BD$30,IF(Calculation!DR239=42,Worksheet!$BD$31,IF(Calculation!DR239=54,Worksheet!$BD$32,IF(Calculation!DR239=66,Worksheet!$BD$33,IF(Calculation!DR239=78,Worksheet!$BD$34,IF(Calculation!DR239=90,Worksheet!$BD$35,IF(Calculation!DR239=102,Worksheet!$BD$36,Worksheet!$BD$37)))))))),IF(Calculation!DS239=12.5,IF(Calculation!DR239=18,Worksheet!$BD$38,IF(Calculation!DR239=Worksheet!$BD$39,IF(Calculation!DR239=42,Worksheet!$BD$40,IF(Calculation!DR239=54,Worksheet!$BD$41,Worksheet!$BD$42)))),IF(Calculation!DR239=18,Worksheet!$BD$11,IF(Calculation!DR239=30,Worksheet!$BD$12,IF(Calculation!DR239=42,Worksheet!$BD$13,IF(Calculation!DR239=54,Worksheet!$BD$14,IF(Calculation!DR239=66,Worksheet!$BD$15,IF(Calculation!DR239=78,Worksheet!$BD$16,IF(Calculation!DR239=90,Worksheet!$BD$17,IF(Calculation!DR239=102,Worksheet!$BD$18,Worksheet!$BD$19))))))))))),IF(Calculation!DS239=13.75,IF(Calculation!DR239=13,Worksheet!$BD$78,IF(Calculation!DR239=37,Worksheet!$BD$79,Worksheet!$BD$80)),IF(Calculation!DS239=10,IF(Calculation!DR239=18,Worksheet!$BD$64,IF(Calculation!DR239=30,Worksheet!$BD$65,IF(Calculation!DR239=42,Worksheet!$BD$66,IF(Calculation!DR239=54,Worksheet!$BD$68,IF(Calculation!DR239=66,Worksheet!$BD$68,IF(Calculation!DR239=78,Worksheet!$BD$69,IF(Calculation!DR239=90,Worksheet!$BD$70,IF(Calculation!DR239=102,Worksheet!$BD$71,Worksheet!$BD$72)))))))),IF(Calculation!DS239=12.5,IF(Calculation!DR239=18,Worksheet!$BD$73,IF(Calculation!DR239=Worksheet!$BD$74,IF(Calculation!DR239=42,Worksheet!$BD$75,IF(Calculation!DR239=54,Worksheet!$BD$76,Worksheet!$BD$77)))),IF(Calculation!DR239=18,Worksheet!$BD$55,IF(Calculation!DR239=30,Worksheet!$BD$56,IF(Calculation!DR239=42,Worksheet!$BD$57,IF(Calculation!DR239=54,Worksheet!$BD$58,IF(Calculation!DR239=66,Worksheet!$BD$59,IF(Calculation!DR239=78,Worksheet!$BD$60,IF(Calculation!DR239=90,Worksheet!$BD$61,IF(Calculation!DR239=102,Worksheet!$BD$62,Worksheet!$BD$63)))))))))))),5),0)," ")</f>
        <v xml:space="preserve"> </v>
      </c>
      <c r="EG239" s="361" t="str">
        <f t="shared" si="668"/>
        <v xml:space="preserve"> </v>
      </c>
      <c r="EH239" s="361" t="e">
        <f ca="1">INDEX(INDIRECT(VLOOKUP(LEFT(BO239,7),CLU!$Z$3:$AH$18,7)),M239-1,3+LEFT(DZ239,1))</f>
        <v>#N/A</v>
      </c>
      <c r="EI239" s="362" t="str">
        <f t="shared" si="669"/>
        <v xml:space="preserve"> </v>
      </c>
      <c r="EJ239" s="363" t="str">
        <f t="shared" si="670"/>
        <v xml:space="preserve"> </v>
      </c>
      <c r="EK239" s="363" t="str">
        <f t="shared" si="671"/>
        <v xml:space="preserve"> </v>
      </c>
      <c r="EL239" s="363" t="str">
        <f t="shared" si="672"/>
        <v xml:space="preserve"> </v>
      </c>
      <c r="EM239" s="362" t="str">
        <f>IF(L239&gt;0,IF(BR239&gt;0,(Calculation!T239/ED239)^2,0)," ")</f>
        <v xml:space="preserve"> </v>
      </c>
      <c r="EN239" s="362" t="str">
        <f>IF(L239&gt;0,IF(O239="2 Pipe (Cooling)","N/A",IF(BR239&gt;0,(Calculation!U239/EI239)^2,0))," ")</f>
        <v xml:space="preserve"> </v>
      </c>
      <c r="EO239" s="361" t="str">
        <f t="shared" si="673"/>
        <v/>
      </c>
      <c r="EP239" s="361" t="str">
        <f t="shared" si="674"/>
        <v/>
      </c>
      <c r="EQ239" s="361" t="str">
        <f t="shared" si="675"/>
        <v/>
      </c>
      <c r="ER239" s="361" t="str">
        <f t="shared" si="676"/>
        <v/>
      </c>
      <c r="ES239" s="361" t="str">
        <f t="shared" si="677"/>
        <v/>
      </c>
      <c r="ET239" s="361" t="str">
        <f t="shared" si="678"/>
        <v/>
      </c>
      <c r="EU239" s="361" t="str">
        <f t="shared" si="679"/>
        <v/>
      </c>
      <c r="EV239" s="361" t="str">
        <f t="shared" si="680"/>
        <v/>
      </c>
      <c r="EW239" s="361" t="str">
        <f t="shared" si="681"/>
        <v/>
      </c>
      <c r="EX239" s="361" t="str">
        <f t="shared" si="771"/>
        <v>1 slot, 1 way</v>
      </c>
      <c r="EY239" s="361" t="str">
        <f t="shared" si="772"/>
        <v xml:space="preserve"> </v>
      </c>
      <c r="EZ239" s="361" t="str">
        <f t="shared" si="773"/>
        <v xml:space="preserve"> </v>
      </c>
      <c r="FA239" s="361" t="str">
        <f t="shared" si="774"/>
        <v xml:space="preserve"> </v>
      </c>
      <c r="FB239" s="361" t="str">
        <f t="shared" si="775"/>
        <v xml:space="preserve"> </v>
      </c>
      <c r="FC239" s="361"/>
      <c r="FD239" s="361" t="str">
        <f>IF(J239&gt;0,IF(Calculation!R239&lt;=70,4,IF(Calculation!R239&lt;=110,5,IF(Calculation!R239&lt;=160,6,IF(Calculation!R239&lt;=300,8,"10 EO")))),"")</f>
        <v/>
      </c>
      <c r="FE239" s="361" t="str">
        <f t="shared" si="776"/>
        <v/>
      </c>
      <c r="FF239" s="361" t="str">
        <f t="shared" si="777"/>
        <v/>
      </c>
      <c r="FG239" s="361" t="e">
        <f t="shared" si="682"/>
        <v>#N/A</v>
      </c>
      <c r="FH239" s="361">
        <f t="shared" si="683"/>
        <v>0</v>
      </c>
      <c r="FI239" s="361" t="e">
        <f t="shared" si="684"/>
        <v>#DIV/0!</v>
      </c>
      <c r="FJ239" s="361"/>
      <c r="FK239" s="356" t="e">
        <f t="shared" si="685"/>
        <v>#VALUE!</v>
      </c>
      <c r="FL239" s="361"/>
      <c r="FM239" s="361"/>
      <c r="FN239" s="362" t="str">
        <f t="shared" si="778"/>
        <v xml:space="preserve"> </v>
      </c>
      <c r="FO239" s="362" t="str">
        <f t="shared" si="779"/>
        <v xml:space="preserve"> </v>
      </c>
      <c r="FP239" s="362">
        <f t="shared" si="780"/>
        <v>0</v>
      </c>
      <c r="FQ239" s="361">
        <f t="shared" si="686"/>
        <v>0</v>
      </c>
      <c r="FR239" s="362" t="str">
        <f>IF(L239&gt;0,IF(J239="CBAL2",Worksheet!$P$67,IF(J239="CBE2-24",Worksheet!$Q$67,IF(J239="CBAM",Worksheet!$R$67,IF(J239="CBLV",Worksheet!$S$67,IF(J239="CBAB",Worksheet!$U$67,IF(J239="CBAW",Worksheet!$X$67,IF(J239="CBE2-12",Worksheet!$Y$67,IF(J239="CBAL2",Worksheet!$Z$67,"N/A"))))))))," ")</f>
        <v xml:space="preserve"> </v>
      </c>
      <c r="FS239" s="362" t="str">
        <f>IF(L239&gt;0,IF(J239="CBAL2",Worksheet!$P$68,IF(J239="CBE2-24",Worksheet!$Q$68,IF(J239="CBAM",Worksheet!$R$68,IF(J239="CBLV",Worksheet!$S$68,IF(J239="CBAB",Worksheet!$U$68,IF(J239="CBAW",Worksheet!$X$68,IF(J239="CBE2-12",Worksheet!$Y$68,IF(J239="CBAL2",Worksheet!$Z$68,"N/A"))))))))," ")</f>
        <v xml:space="preserve"> </v>
      </c>
      <c r="FT239" s="362" t="str">
        <f>IF(L239&gt;0,IF(J239="CBAL2",Worksheet!$P$69,IF(J239="CBE2-24",Worksheet!$Q$69,IF(J239="CBAM",Worksheet!$R$69,IF(J239="CBLV",Worksheet!$S$69,IF(J239="CBAB",Worksheet!$U$69,IF(J239="CBAW",Worksheet!$X$69,IF(J239="CBE2-12",Worksheet!$Y$69,IF(J239="CBAL2",Worksheet!$Z$69,"N/A"))))))))," ")</f>
        <v xml:space="preserve"> </v>
      </c>
      <c r="FU239" s="361" t="str">
        <f t="shared" si="781"/>
        <v xml:space="preserve"> </v>
      </c>
      <c r="FV239" s="362" t="str">
        <f t="shared" si="782"/>
        <v xml:space="preserve"> </v>
      </c>
      <c r="FW239" s="362" t="str">
        <f t="shared" si="783"/>
        <v xml:space="preserve"> </v>
      </c>
      <c r="FX239" s="362" t="str">
        <f t="shared" si="784"/>
        <v xml:space="preserve"> </v>
      </c>
      <c r="FY239" s="355" t="str">
        <f t="shared" si="785"/>
        <v xml:space="preserve"> </v>
      </c>
      <c r="FZ239" s="361" t="str">
        <f t="shared" si="786"/>
        <v xml:space="preserve"> </v>
      </c>
      <c r="GA239" s="347" t="str">
        <f t="shared" si="787"/>
        <v xml:space="preserve"> </v>
      </c>
      <c r="GB239" s="355" t="str">
        <f t="shared" si="788"/>
        <v xml:space="preserve"> </v>
      </c>
      <c r="GC239" s="328" t="str">
        <f t="shared" si="789"/>
        <v xml:space="preserve"> </v>
      </c>
      <c r="GD239" s="361" t="str">
        <f t="shared" si="790"/>
        <v xml:space="preserve"> </v>
      </c>
      <c r="GE239" s="347" t="str">
        <f t="shared" si="791"/>
        <v xml:space="preserve"> </v>
      </c>
      <c r="GF239" s="361" t="str">
        <f t="shared" si="792"/>
        <v xml:space="preserve"> </v>
      </c>
      <c r="GG239" s="347" t="str">
        <f t="shared" si="793"/>
        <v xml:space="preserve"> </v>
      </c>
      <c r="GH239" s="364">
        <f t="shared" si="687"/>
        <v>0</v>
      </c>
      <c r="GI239" s="362">
        <f t="shared" si="794"/>
        <v>2</v>
      </c>
      <c r="GJ239" s="433" t="e">
        <f>IF(6-COUNTBLANK(GT239:GY239)=4,MATCH(MID(BO239,9,3),CLU!$H$16:$K$16),MATCH(MID(BO239,9,3),CLU!$H$13:$M$13))</f>
        <v>#N/A</v>
      </c>
      <c r="GK239" s="433" t="e">
        <f>HLOOKUP(VALUE(BP239),CLU!$H$9:$M$10,2)</f>
        <v>#VALUE!</v>
      </c>
      <c r="GL239" s="433" t="e">
        <f ca="1">MATCH(BU239,CLU!$H$2:$V$2,1)</f>
        <v>#VALUE!</v>
      </c>
      <c r="GM239" s="433" t="e">
        <f t="shared" ca="1" si="795"/>
        <v>#VALUE!</v>
      </c>
      <c r="GN239" s="433" t="e">
        <f t="shared" ca="1" si="796"/>
        <v>#VALUE!</v>
      </c>
      <c r="GO239" s="433" t="e">
        <f t="shared" ca="1" si="797"/>
        <v>#VALUE!</v>
      </c>
      <c r="GP239" s="433" t="e">
        <f t="shared" ca="1" si="798"/>
        <v>#VALUE!</v>
      </c>
      <c r="GQ239" s="433" t="e">
        <f t="shared" ca="1" si="799"/>
        <v>#VALUE!</v>
      </c>
      <c r="GR239" s="433" t="e">
        <f ca="1">MATCH(T239,INDIRECT(VLOOKUP(CONCATENATE(LEFT(BO239,7),"-",MID(BO239,13,1)),CLU!$P$3:$Q$16,2)),1)</f>
        <v>#N/A</v>
      </c>
      <c r="GS239" s="433" t="e">
        <f ca="1">MATCH(U239,INDIRECT(VLOOKUP(CONCATENATE(LEFT(BO239,7),"-",MID(BO239,13,1)),CLU!$P$3:$Q$16,2)),1)</f>
        <v>#N/A</v>
      </c>
      <c r="GT239" s="347" t="s">
        <v>512</v>
      </c>
      <c r="GU239" s="97" t="s">
        <v>513</v>
      </c>
      <c r="GV239" s="97" t="str">
        <f t="shared" si="800"/>
        <v>M23</v>
      </c>
      <c r="GW239" s="97" t="str">
        <f t="shared" si="801"/>
        <v>M31</v>
      </c>
      <c r="GX239" s="97" t="str">
        <f t="shared" si="802"/>
        <v/>
      </c>
      <c r="GY239" s="97" t="str">
        <f t="shared" si="803"/>
        <v/>
      </c>
      <c r="GZ239" s="481"/>
      <c r="HA239" s="288"/>
      <c r="HB239" s="240"/>
      <c r="HC239" s="240"/>
      <c r="HD239" s="240"/>
      <c r="HE239" s="240"/>
      <c r="HF239" s="240"/>
      <c r="HG239" s="240"/>
      <c r="HH239" s="240"/>
      <c r="HI239" s="240"/>
      <c r="HJ239" s="240"/>
      <c r="HK239" s="240"/>
      <c r="HL239" s="240"/>
      <c r="HM239" s="240"/>
      <c r="HN239" s="240"/>
      <c r="HO239" s="240"/>
      <c r="HP239" s="240"/>
      <c r="HQ239" s="240"/>
      <c r="HR239" s="240"/>
      <c r="HS239" s="240"/>
      <c r="HT239" s="240"/>
      <c r="HU239" s="240"/>
      <c r="HV239" s="245"/>
      <c r="HW239" s="245" t="b">
        <v>1</v>
      </c>
      <c r="HX239" s="245" t="str">
        <f t="shared" si="688"/>
        <v/>
      </c>
      <c r="HY239" s="245" t="e">
        <f t="shared" si="689"/>
        <v>#DIV/0!</v>
      </c>
      <c r="HZ239" s="245" t="e">
        <f t="shared" si="690"/>
        <v>#DIV/0!</v>
      </c>
      <c r="IA239" s="245">
        <f t="shared" si="691"/>
        <v>0</v>
      </c>
      <c r="IB239" s="245"/>
      <c r="IC239" t="b">
        <f t="shared" si="692"/>
        <v>1</v>
      </c>
      <c r="ID239" s="245" t="b">
        <f t="shared" si="693"/>
        <v>1</v>
      </c>
      <c r="IE239" s="245" t="b">
        <f t="shared" si="694"/>
        <v>1</v>
      </c>
      <c r="IF239" s="245" t="b">
        <f t="shared" si="695"/>
        <v>0</v>
      </c>
      <c r="IG239" s="245" t="b">
        <f t="shared" si="696"/>
        <v>1</v>
      </c>
      <c r="IH239" s="245" t="b">
        <f t="shared" si="697"/>
        <v>1</v>
      </c>
      <c r="II239" s="245">
        <f t="shared" si="804"/>
        <v>0</v>
      </c>
      <c r="IJ239" s="245" t="e">
        <f t="shared" si="698"/>
        <v>#VALUE!</v>
      </c>
      <c r="IK239" s="245" t="e">
        <f t="shared" si="699"/>
        <v>#VALUE!</v>
      </c>
      <c r="IL239" s="245"/>
      <c r="IM239" s="245" t="e">
        <f t="shared" si="805"/>
        <v>#N/A</v>
      </c>
      <c r="IN239" s="245" t="e">
        <f t="shared" si="806"/>
        <v>#N/A</v>
      </c>
      <c r="IO239" s="245"/>
      <c r="IP239" s="245"/>
      <c r="IQ239" s="245" t="str">
        <f t="shared" si="700"/>
        <v/>
      </c>
      <c r="IR239" s="245" t="str">
        <f>IF(J239="","",VLOOKUP(J239,Worksheet!$R$4:$T$14,2))</f>
        <v/>
      </c>
      <c r="IS239" s="245"/>
      <c r="IT239" s="245">
        <f t="shared" si="701"/>
        <v>0</v>
      </c>
      <c r="IU239" s="245">
        <f t="shared" si="702"/>
        <v>0</v>
      </c>
      <c r="IV239" s="245">
        <f t="shared" si="703"/>
        <v>0</v>
      </c>
      <c r="IW239" s="245">
        <f t="shared" si="704"/>
        <v>0</v>
      </c>
      <c r="IX239" s="245">
        <f t="shared" si="807"/>
        <v>0</v>
      </c>
      <c r="IY239" s="245">
        <f t="shared" si="705"/>
        <v>0</v>
      </c>
      <c r="IZ239" s="245">
        <f t="shared" si="706"/>
        <v>0</v>
      </c>
      <c r="JA239">
        <f t="shared" si="707"/>
        <v>0</v>
      </c>
      <c r="JB239">
        <f t="shared" si="808"/>
        <v>0</v>
      </c>
      <c r="JC239">
        <f t="shared" si="708"/>
        <v>0</v>
      </c>
      <c r="JD239">
        <f t="shared" si="709"/>
        <v>0</v>
      </c>
      <c r="JE239">
        <f t="shared" si="710"/>
        <v>0</v>
      </c>
      <c r="JF239">
        <f t="shared" si="711"/>
        <v>0</v>
      </c>
      <c r="JG239">
        <f t="shared" si="712"/>
        <v>0</v>
      </c>
      <c r="JH239">
        <f t="shared" si="713"/>
        <v>0</v>
      </c>
      <c r="JI239">
        <f t="shared" si="714"/>
        <v>0</v>
      </c>
      <c r="JJ239" s="447">
        <f t="shared" si="715"/>
        <v>0</v>
      </c>
      <c r="JK239" s="447">
        <f t="shared" si="716"/>
        <v>0</v>
      </c>
      <c r="JL239">
        <f t="shared" si="717"/>
        <v>0</v>
      </c>
      <c r="JM239" s="245" t="str">
        <f>IFERROR(VLOOKUP(MATCH(BN239,#REF!,0),#REF!,7),"")</f>
        <v/>
      </c>
      <c r="JN239" t="e">
        <f>HLOOKUP(LEFT(BO239,7),Discharge_Area,MATCH(JO239,LookUps!$B$130:$B$149,1)+2)</f>
        <v>#N/A</v>
      </c>
      <c r="JO239" t="str">
        <f t="shared" si="718"/>
        <v>- S</v>
      </c>
      <c r="JP239" t="e">
        <f>HLOOKUP(LEFT(BO239,7),Discharge_Area,MATCH(JO239,LookUps!$B$130:$B$149,1)+2)</f>
        <v>#N/A</v>
      </c>
      <c r="JQ239" t="e">
        <f t="shared" si="719"/>
        <v>#N/A</v>
      </c>
      <c r="JR239" t="e">
        <f t="shared" si="720"/>
        <v>#N/A</v>
      </c>
      <c r="JS239" t="e">
        <f t="shared" si="721"/>
        <v>#N/A</v>
      </c>
      <c r="JT239" s="532" t="str">
        <f t="shared" si="722"/>
        <v xml:space="preserve"> </v>
      </c>
      <c r="JU239" s="532" t="str">
        <f t="shared" si="723"/>
        <v xml:space="preserve"> </v>
      </c>
      <c r="JV239" s="533" t="str">
        <f t="shared" si="724"/>
        <v xml:space="preserve"> </v>
      </c>
      <c r="JW239" s="534">
        <f t="shared" si="725"/>
        <v>0</v>
      </c>
      <c r="JX239" s="535" t="str">
        <f t="shared" si="809"/>
        <v xml:space="preserve"> </v>
      </c>
      <c r="JY239" s="535" t="str">
        <f t="shared" si="810"/>
        <v xml:space="preserve"> </v>
      </c>
      <c r="JZ239" s="535" t="str">
        <f t="shared" si="811"/>
        <v xml:space="preserve"> </v>
      </c>
      <c r="KA239" s="536" t="str">
        <f t="shared" si="726"/>
        <v xml:space="preserve"> </v>
      </c>
      <c r="KB239" s="535" t="e">
        <f t="shared" si="812"/>
        <v>#VALUE!</v>
      </c>
      <c r="KC239" s="535" t="str">
        <f t="shared" si="727"/>
        <v/>
      </c>
      <c r="KD239" s="537" t="str">
        <f t="shared" si="813"/>
        <v xml:space="preserve"> </v>
      </c>
      <c r="KE239" s="537" t="str">
        <f t="shared" si="814"/>
        <v xml:space="preserve"> </v>
      </c>
      <c r="KF239" s="534">
        <f t="shared" si="728"/>
        <v>0</v>
      </c>
      <c r="KG239" s="535" t="str">
        <f t="shared" si="729"/>
        <v xml:space="preserve"> </v>
      </c>
      <c r="KH239" s="535" t="str">
        <f t="shared" si="730"/>
        <v xml:space="preserve"> </v>
      </c>
      <c r="KI239" s="535" t="str">
        <f t="shared" si="731"/>
        <v xml:space="preserve"> </v>
      </c>
      <c r="KJ239" s="536" t="str">
        <f t="shared" si="732"/>
        <v xml:space="preserve"> </v>
      </c>
      <c r="KK239" s="535" t="str">
        <f t="shared" si="815"/>
        <v xml:space="preserve"> </v>
      </c>
      <c r="KL239" s="535" t="str">
        <f t="shared" si="816"/>
        <v xml:space="preserve"> </v>
      </c>
      <c r="KM239" s="537" t="str">
        <f t="shared" si="733"/>
        <v xml:space="preserve"> </v>
      </c>
      <c r="KN239" s="537" t="str">
        <f t="shared" si="817"/>
        <v xml:space="preserve"> </v>
      </c>
      <c r="KP239">
        <f t="shared" si="734"/>
        <v>0</v>
      </c>
      <c r="LA239" t="e">
        <f t="shared" si="735"/>
        <v>#VALUE!</v>
      </c>
      <c r="LB239" t="e">
        <f t="shared" si="736"/>
        <v>#VALUE!</v>
      </c>
      <c r="LC239" t="e">
        <f t="shared" si="737"/>
        <v>#VALUE!</v>
      </c>
      <c r="LD239" t="e">
        <f t="shared" si="738"/>
        <v>#VALUE!</v>
      </c>
      <c r="LE239" t="e">
        <f t="shared" si="818"/>
        <v>#VALUE!</v>
      </c>
      <c r="LF239">
        <f t="shared" si="739"/>
        <v>0</v>
      </c>
      <c r="LG239" t="e">
        <f t="shared" si="819"/>
        <v>#VALUE!</v>
      </c>
      <c r="LH239" t="str">
        <f t="shared" si="740"/>
        <v xml:space="preserve"> </v>
      </c>
      <c r="LI239">
        <f t="shared" si="820"/>
        <v>1</v>
      </c>
    </row>
    <row r="240" spans="2:321" ht="15" customHeight="1">
      <c r="B240" s="311"/>
      <c r="C240" s="311"/>
      <c r="D240" s="312"/>
      <c r="E240" s="311"/>
      <c r="F240" s="312"/>
      <c r="G240" s="311"/>
      <c r="H240" s="311"/>
      <c r="I240" s="232"/>
      <c r="J240" s="311"/>
      <c r="K240" s="305" t="str">
        <f t="shared" si="741"/>
        <v/>
      </c>
      <c r="L240" s="313"/>
      <c r="M240" s="312"/>
      <c r="N240" s="311"/>
      <c r="O240" s="312"/>
      <c r="P240" s="311"/>
      <c r="Q240" s="305" t="str">
        <f t="shared" si="742"/>
        <v/>
      </c>
      <c r="R240" s="314"/>
      <c r="S240" s="450" t="str">
        <f t="shared" si="625"/>
        <v/>
      </c>
      <c r="T240" s="315"/>
      <c r="U240" s="315"/>
      <c r="W240" s="149" t="str">
        <f t="shared" si="626"/>
        <v xml:space="preserve"> </v>
      </c>
      <c r="X240" s="243" t="str">
        <f t="shared" si="627"/>
        <v xml:space="preserve"> </v>
      </c>
      <c r="Y240" s="150" t="str">
        <f t="shared" si="628"/>
        <v/>
      </c>
      <c r="Z240" s="149" t="str">
        <f t="shared" si="629"/>
        <v xml:space="preserve"> </v>
      </c>
      <c r="AA240" s="98" t="str">
        <f t="shared" si="630"/>
        <v xml:space="preserve"> </v>
      </c>
      <c r="AB240" s="153" t="str">
        <f t="shared" si="631"/>
        <v xml:space="preserve"> </v>
      </c>
      <c r="AC240" s="153" t="str">
        <f t="shared" si="632"/>
        <v xml:space="preserve"> </v>
      </c>
      <c r="AD240" s="148" t="str">
        <f t="shared" si="633"/>
        <v/>
      </c>
      <c r="AE240" s="149" t="str">
        <f t="shared" si="634"/>
        <v/>
      </c>
      <c r="AF240" s="151" t="str">
        <f t="shared" si="635"/>
        <v xml:space="preserve"> </v>
      </c>
      <c r="AG240" s="153" t="str">
        <f t="shared" si="636"/>
        <v xml:space="preserve"> </v>
      </c>
      <c r="AH240" s="98" t="str">
        <f t="shared" si="637"/>
        <v xml:space="preserve"> </v>
      </c>
      <c r="AI240" s="149" t="str">
        <f t="shared" si="638"/>
        <v xml:space="preserve"> </v>
      </c>
      <c r="AK240" s="144" t="str">
        <f t="shared" si="639"/>
        <v xml:space="preserve"> </v>
      </c>
      <c r="AL240" s="144"/>
      <c r="AM240" s="243" t="str">
        <f t="shared" si="640"/>
        <v xml:space="preserve"> </v>
      </c>
      <c r="AN240" s="149" t="str">
        <f t="shared" si="743"/>
        <v xml:space="preserve"> </v>
      </c>
      <c r="AO240" s="144" t="str">
        <f>IF(JB240&gt;0,IF(GI240=10,-R240*1.085*(Calculation!$F$6-Calculation!$F$13)*$S$14," "),"")</f>
        <v/>
      </c>
      <c r="AP240" s="144" t="str">
        <f t="shared" si="641"/>
        <v/>
      </c>
      <c r="AQ240" s="56" t="str">
        <f t="shared" si="642"/>
        <v/>
      </c>
      <c r="AR240" s="144" t="str">
        <f t="shared" si="643"/>
        <v/>
      </c>
      <c r="AS240" s="176" t="str">
        <f t="shared" si="644"/>
        <v/>
      </c>
      <c r="AT240" s="176" t="str">
        <f t="shared" si="744"/>
        <v xml:space="preserve"> </v>
      </c>
      <c r="AU240" s="176" t="str">
        <f t="shared" si="645"/>
        <v/>
      </c>
      <c r="AV240" s="177" t="str">
        <f t="shared" si="646"/>
        <v xml:space="preserve"> </v>
      </c>
      <c r="AW240" s="144" t="str">
        <f t="shared" si="647"/>
        <v xml:space="preserve"> </v>
      </c>
      <c r="AX240" s="144" t="str">
        <f t="shared" si="648"/>
        <v xml:space="preserve"> </v>
      </c>
      <c r="AY240" s="152" t="str">
        <f t="shared" si="649"/>
        <v xml:space="preserve"> </v>
      </c>
      <c r="AZ240" s="246" t="str">
        <f t="shared" si="650"/>
        <v/>
      </c>
      <c r="BA240" s="176" t="str">
        <f t="shared" si="651"/>
        <v xml:space="preserve"> </v>
      </c>
      <c r="BB240" s="176" t="str">
        <f t="shared" si="652"/>
        <v xml:space="preserve"> </v>
      </c>
      <c r="BC240" s="195"/>
      <c r="BD240" s="316"/>
      <c r="BE240" s="317"/>
      <c r="BF240" s="318"/>
      <c r="BG240" s="318"/>
      <c r="BH240" s="144" t="str">
        <f t="shared" si="821"/>
        <v xml:space="preserve"> </v>
      </c>
      <c r="BI240" s="176" t="str">
        <f t="shared" si="653"/>
        <v/>
      </c>
      <c r="BJ240" s="144" t="str">
        <f t="shared" si="822"/>
        <v/>
      </c>
      <c r="BK240" s="246" t="str">
        <f t="shared" si="654"/>
        <v/>
      </c>
      <c r="BL240" s="144" t="str">
        <f t="shared" si="823"/>
        <v/>
      </c>
      <c r="BM240" s="246" t="str">
        <f t="shared" si="655"/>
        <v/>
      </c>
      <c r="BN240" s="337" t="str">
        <f t="shared" si="745"/>
        <v/>
      </c>
      <c r="BO240" s="371" t="str">
        <f t="shared" si="746"/>
        <v/>
      </c>
      <c r="BP240" s="328" t="str">
        <f t="shared" si="824"/>
        <v xml:space="preserve"> </v>
      </c>
      <c r="BQ240" s="347" t="str">
        <f t="shared" si="747"/>
        <v xml:space="preserve"> </v>
      </c>
      <c r="BR240" s="353" t="str">
        <f t="shared" si="748"/>
        <v xml:space="preserve"> </v>
      </c>
      <c r="BS240" s="626" t="str">
        <f>IF(L240&gt;0,IF(Calculation!P240="M13",BR240*3.1416*(0.134^2)/(4*144),IF(Calculation!P240="M17",BR240*3.1416*(0.165^2)/(4*144),IF(Calculation!P240="M20",BR240*3.1416*(0.198^2)/(4*144),IF(Calculation!P240="M23",BR240*3.1416*(0.228^2)/(4*144),IF(Calculation!P240="M27",BR240*3.1416*(0.269^2)/(4*144),BR240*3.1416*(0.307^2)/(4*144))))))," ")</f>
        <v xml:space="preserve"> </v>
      </c>
      <c r="BT240" s="353" t="str">
        <f>IF(L240&gt;0,IF(BS240&gt;0,R240/Calculation!BS240,0)," ")</f>
        <v xml:space="preserve"> </v>
      </c>
      <c r="BU240" s="438" t="e">
        <f t="shared" ca="1" si="656"/>
        <v>#VALUE!</v>
      </c>
      <c r="BV240" s="449" t="e">
        <f ca="1">INDEX(INDIRECT(VLOOKUP(LEFT(BO240,7),CLU!$Z$3:$AH$18,2)),GN240,GR240)</f>
        <v>#N/A</v>
      </c>
      <c r="BW240" s="433" t="e">
        <f ca="1">INDEX(INDIRECT(VLOOKUP(LEFT(BO240,7),CLU!$Z$3:$AH$18,3)),GN240,GR240)</f>
        <v>#N/A</v>
      </c>
      <c r="BX240" s="433" t="e">
        <f ca="1">INDEX(INDIRECT(VLOOKUP(LEFT(BO240,7),CLU!$Z$3:$AH$18,4)),GN240,GR240)</f>
        <v>#N/A</v>
      </c>
      <c r="BY240" s="433" t="e">
        <f ca="1">INDEX(INDIRECT(VLOOKUP(LEFT(BO240,7),CLU!$Z$3:$AH$18,9)),((M240-2)*(6-COUNTBLANK(GT240:GY240)))+GJ240)</f>
        <v>#N/A</v>
      </c>
      <c r="BZ240" s="426" t="e">
        <f t="shared" ca="1" si="749"/>
        <v>#N/A</v>
      </c>
      <c r="CA240" s="424" t="e">
        <f t="shared" ca="1" si="750"/>
        <v>#N/A</v>
      </c>
      <c r="CB240" s="429" t="e">
        <f ca="1">INDEX(INDIRECT(VLOOKUP(LEFT(BO240,7),CLU!$Z$3:$AH$18,2)),GN240,GS240)</f>
        <v>#N/A</v>
      </c>
      <c r="CC240" s="342" t="e">
        <f ca="1">INDEX(INDIRECT(VLOOKUP(LEFT(BO240,7),CLU!$Z$3:$AH$18,3)),GN240,GS240)</f>
        <v>#N/A</v>
      </c>
      <c r="CD240" s="342" t="e">
        <f ca="1">INDEX(INDIRECT(VLOOKUP(LEFT(BO240,7),CLU!$Z$3:$AH$18,4)),GN240,GS240)</f>
        <v>#N/A</v>
      </c>
      <c r="CE240" s="426" t="e">
        <f t="shared" ca="1" si="751"/>
        <v>#N/A</v>
      </c>
      <c r="CF240" s="440">
        <f t="shared" si="752"/>
        <v>0</v>
      </c>
      <c r="CG240" s="431" t="e">
        <f ca="1">INDEX(INDIRECT(VLOOKUP(LEFT(BO240,7),CLU!$Z$3:$AH$18,2)),GQ240,GR240)</f>
        <v>#N/A</v>
      </c>
      <c r="CH240" s="431" t="e">
        <f ca="1">INDEX(INDIRECT(VLOOKUP(LEFT(BO240,7),CLU!$Z$3:$AH$18,3)),GQ240,GR240)</f>
        <v>#N/A</v>
      </c>
      <c r="CI240" s="431" t="e">
        <f ca="1">INDEX(INDIRECT(VLOOKUP(LEFT(BO240,7),CLU!$Z$3:$AH$18,4)),GQ240,GR240)</f>
        <v>#N/A</v>
      </c>
      <c r="CJ240" s="448" t="e">
        <f t="shared" ca="1" si="753"/>
        <v>#N/A</v>
      </c>
      <c r="CK240" s="431" t="e">
        <f t="shared" ca="1" si="754"/>
        <v>#N/A</v>
      </c>
      <c r="CL240" s="440" t="e">
        <f t="shared" ca="1" si="755"/>
        <v>#N/A</v>
      </c>
      <c r="CM240" s="431" t="e">
        <f ca="1">INDEX(INDIRECT(VLOOKUP(LEFT(BO240,7),CLU!$Z$3:$AH$18,2)),GQ240,GS240)</f>
        <v>#N/A</v>
      </c>
      <c r="CN240" s="431" t="e">
        <f ca="1">INDEX(INDIRECT(VLOOKUP(LEFT(BO240,7),CLU!$Z$3:$AH$18,3)),GQ240,GS240)</f>
        <v>#N/A</v>
      </c>
      <c r="CO240" s="431" t="e">
        <f ca="1">INDEX(INDIRECT(VLOOKUP(LEFT(BO240,7),CLU!$Z$3:$AH$18,4)),GQ240,GS240)</f>
        <v>#N/A</v>
      </c>
      <c r="CP240" s="431" t="e">
        <f t="shared" ca="1" si="756"/>
        <v>#N/A</v>
      </c>
      <c r="CQ240" s="440">
        <f t="shared" si="757"/>
        <v>0</v>
      </c>
      <c r="CR240" s="51" t="e">
        <f t="shared" ca="1" si="758"/>
        <v>#N/A</v>
      </c>
      <c r="CS240" s="439" t="e">
        <f t="shared" ca="1" si="759"/>
        <v>#VALUE!</v>
      </c>
      <c r="CT240" s="51" t="e">
        <f t="shared" ca="1" si="760"/>
        <v>#VALUE!</v>
      </c>
      <c r="CU240" s="10"/>
      <c r="CV240" s="51" t="e">
        <f t="shared" ca="1" si="657"/>
        <v>#VALUE!</v>
      </c>
      <c r="CW240" s="51">
        <f t="shared" si="761"/>
        <v>0</v>
      </c>
      <c r="CX240" s="439" t="e">
        <f t="shared" ca="1" si="762"/>
        <v>#VALUE!</v>
      </c>
      <c r="CY240" s="51" t="e">
        <f t="shared" ca="1" si="763"/>
        <v>#VALUE!</v>
      </c>
      <c r="CZ240" s="10"/>
      <c r="DA240" s="51" t="e">
        <f t="shared" ca="1" si="764"/>
        <v>#VALUE!</v>
      </c>
      <c r="DB240" s="347" t="e">
        <f ca="1">INDEX(INDIRECT(VLOOKUP(LEFT(BO240,7),CLU!$Z$3:$AI$18,10)),((M240-2)*(6-COUNTBLANK(GT240:GY240)))+GJ240)*LI240</f>
        <v>#N/A</v>
      </c>
      <c r="DC240" s="347" t="str">
        <f>IF(L240&gt;0,((R240/Worksheet!$I$15)/DB240)^2," ")</f>
        <v xml:space="preserve"> </v>
      </c>
      <c r="DD240" s="602" t="str">
        <f t="shared" si="765"/>
        <v xml:space="preserve"> </v>
      </c>
      <c r="DE240" s="347" t="str">
        <f t="shared" si="658"/>
        <v xml:space="preserve"> </v>
      </c>
      <c r="DF240" s="356" t="e">
        <f ca="1">INDEX(INDIRECT(VLOOKUP(LEFT(BO240,7),CLU!$Z$3:$AH$18,8)),((M240-2)*(6-COUNTBLANK(GT240:GY240)))+GJ240)</f>
        <v>#N/A</v>
      </c>
      <c r="DG240" s="347" t="str">
        <f t="shared" si="659"/>
        <v xml:space="preserve"> </v>
      </c>
      <c r="DH240" s="357" t="str">
        <f t="shared" si="660"/>
        <v xml:space="preserve"> </v>
      </c>
      <c r="DI240" s="355" t="str">
        <f t="shared" si="661"/>
        <v xml:space="preserve"> </v>
      </c>
      <c r="DJ240" s="245" t="e">
        <f ca="1">INDEX(INDIRECT(VLOOKUP(LEFT(BO240,7),CLU!$Z$3:$AH$18,5)),GL240,GK240)</f>
        <v>#N/A</v>
      </c>
      <c r="DK240" s="245" t="e">
        <f ca="1">INDEX(INDIRECT(VLOOKUP(LEFT(BO240,7),CLU!$Z$3:$AH$18,6)),GL240,GK240)</f>
        <v>#N/A</v>
      </c>
      <c r="DL240" s="355">
        <f>(Calculation!R240*0.69143*(Calculation!$BQ$8-Calculation!$F$8))*$S$14</f>
        <v>0</v>
      </c>
      <c r="DM240" s="359" t="e">
        <f t="shared" si="766"/>
        <v>#VALUE!</v>
      </c>
      <c r="DN240" s="611">
        <f t="shared" si="767"/>
        <v>0</v>
      </c>
      <c r="DO240" s="359">
        <f t="shared" si="768"/>
        <v>100</v>
      </c>
      <c r="DP240" s="359">
        <f t="shared" si="769"/>
        <v>0</v>
      </c>
      <c r="DQ240" s="360"/>
      <c r="DR240" s="245" t="e">
        <f ca="1">INDEX(INDIRECT(VLOOKUP(LEFT(BO240,7),CLU!$Z$3:$AH$18,7)),M240-1,1)</f>
        <v>#N/A</v>
      </c>
      <c r="DS240" s="245" t="e">
        <f ca="1">INDEX(INDIRECT(VLOOKUP(LEFT(BO240,7),CLU!$Z$3:$AH$18,7)),M240-1,2)</f>
        <v>#N/A</v>
      </c>
      <c r="DT240" s="245" t="e">
        <f ca="1">INDEX(INDIRECT(VLOOKUP(LEFT(BO240,7),CLU!$Z$3:$AH$18,7)),M240-1,3)</f>
        <v>#N/A</v>
      </c>
      <c r="DU240" s="245" t="e">
        <f ca="1">INDEX(INDIRECT(VLOOKUP(LEFT(BO240,7),CLU!$Z$3:$AH$18,7)),M240-1,4)</f>
        <v>#N/A</v>
      </c>
      <c r="DV240" s="361" t="e">
        <f ca="1">INDEX(INDIRECT(VLOOKUP(LEFT(BO240,7),CLU!$Z$3:$AH$18,7)),M240-1,4+LEFT(DZ240,1)*0.5)</f>
        <v>#N/A</v>
      </c>
      <c r="DW240" s="245" t="e">
        <f ca="1">INDEX(INDIRECT(VLOOKUP(LEFT(BO240,7),CLU!$Z$3:$AH$18,7)),M240-1,8)</f>
        <v>#N/A</v>
      </c>
      <c r="DX240" s="361" t="str">
        <f t="shared" si="662"/>
        <v xml:space="preserve"> </v>
      </c>
      <c r="DY240" s="361" t="str">
        <f t="shared" si="663"/>
        <v xml:space="preserve"> </v>
      </c>
      <c r="DZ240" s="361" t="str">
        <f t="shared" si="664"/>
        <v xml:space="preserve"> </v>
      </c>
      <c r="EA240" s="362" t="str">
        <f t="shared" si="665"/>
        <v xml:space="preserve"> </v>
      </c>
      <c r="EB240" s="624" t="str">
        <f t="shared" si="770"/>
        <v xml:space="preserve"> </v>
      </c>
      <c r="EC240" s="361" t="e">
        <f ca="1">INDEX(INDIRECT(VLOOKUP(LEFT(BO240,7),CLU!$Z$3:$AH$18,7)),M240-1,4+LEFT(DZ240,1)*0.5)</f>
        <v>#N/A</v>
      </c>
      <c r="ED240" s="362" t="str">
        <f t="shared" si="666"/>
        <v xml:space="preserve"> </v>
      </c>
      <c r="EE240" s="361" t="str">
        <f t="shared" si="667"/>
        <v xml:space="preserve"> </v>
      </c>
      <c r="EF240" s="362" t="str">
        <f>IF(L240&gt;0,IF(BR240&gt;0,IF(EE240="2P",IF(Calculation!DZ240="2P",IF(Calculation!DS240=13.75,IF(Calculation!DR240=13,Worksheet!$BD$43,IF(Calculation!DR240=37,Worksheet!$BD$44,Worksheet!$BD$45)),IF(Calculation!DS240=10,IF(Calculation!DR240=18,Worksheet!$BD$29,IF(Calculation!DR240=30,Worksheet!$BD$30,IF(Calculation!DR240=42,Worksheet!$BD$31,IF(Calculation!DR240=54,Worksheet!$BD$32,IF(Calculation!DR240=66,Worksheet!$BD$33,IF(Calculation!DR240=78,Worksheet!$BD$34,IF(Calculation!DR240=90,Worksheet!$BD$35,IF(Calculation!DR240=102,Worksheet!$BD$36,Worksheet!$BD$37)))))))),IF(Calculation!DS240=12.5,IF(Calculation!DR240=18,Worksheet!$BD$38,IF(Calculation!DR240=Worksheet!$BD$39,IF(Calculation!DR240=42,Worksheet!$BD$40,IF(Calculation!DR240=54,Worksheet!$BD$41,Worksheet!$BD$42)))),IF(Calculation!DR240=18,Worksheet!$BD$11,IF(Calculation!DR240=30,Worksheet!$BD$12,IF(Calculation!DR240=42,Worksheet!$BD$13,IF(Calculation!DR240=54,Worksheet!$BD$14,IF(Calculation!DR240=66,Worksheet!$BD$15,IF(Calculation!DR240=78,Worksheet!$BD$16,IF(Calculation!DR240=90,Worksheet!$BD$17,IF(Calculation!DR240=102,Worksheet!$BD$18,Worksheet!$BD$19))))))))))),IF(Calculation!DS240=13.75,IF(Calculation!DR240=13,Worksheet!$BD$78,IF(Calculation!DR240=37,Worksheet!$BD$79,Worksheet!$BD$80)),IF(Calculation!DS240=10,IF(Calculation!DR240=18,Worksheet!$BD$64,IF(Calculation!DR240=30,Worksheet!$BD$65,IF(Calculation!DR240=42,Worksheet!$BD$66,IF(Calculation!DR240=54,Worksheet!$BD$68,IF(Calculation!DR240=66,Worksheet!$BD$68,IF(Calculation!DR240=78,Worksheet!$BD$69,IF(Calculation!DR240=90,Worksheet!$BD$70,IF(Calculation!DR240=102,Worksheet!$BD$71,Worksheet!$BD$72)))))))),IF(Calculation!DS240=12.5,IF(Calculation!DR240=18,Worksheet!$BD$73,IF(Calculation!DR240=Worksheet!$BD$74,IF(Calculation!DR240=42,Worksheet!$BD$75,IF(Calculation!DR240=54,Worksheet!$BD$76,Worksheet!$BD$77)))),IF(Calculation!DR240=18,Worksheet!$BD$55,IF(Calculation!DR240=30,Worksheet!$BD$56,IF(Calculation!DR240=42,Worksheet!$BD$57,IF(Calculation!DR240=54,Worksheet!$BD$58,IF(Calculation!DR240=66,Worksheet!$BD$59,IF(Calculation!DR240=78,Worksheet!$BD$60,IF(Calculation!DR240=90,Worksheet!$BD$61,IF(Calculation!DR240=102,Worksheet!$BD$62,Worksheet!$BD$63)))))))))))),5),0)," ")</f>
        <v xml:space="preserve"> </v>
      </c>
      <c r="EG240" s="361" t="str">
        <f t="shared" si="668"/>
        <v xml:space="preserve"> </v>
      </c>
      <c r="EH240" s="361" t="e">
        <f ca="1">INDEX(INDIRECT(VLOOKUP(LEFT(BO240,7),CLU!$Z$3:$AH$18,7)),M240-1,3+LEFT(DZ240,1))</f>
        <v>#N/A</v>
      </c>
      <c r="EI240" s="362" t="str">
        <f t="shared" si="669"/>
        <v xml:space="preserve"> </v>
      </c>
      <c r="EJ240" s="363" t="str">
        <f t="shared" si="670"/>
        <v xml:space="preserve"> </v>
      </c>
      <c r="EK240" s="363" t="str">
        <f t="shared" si="671"/>
        <v xml:space="preserve"> </v>
      </c>
      <c r="EL240" s="363" t="str">
        <f t="shared" si="672"/>
        <v xml:space="preserve"> </v>
      </c>
      <c r="EM240" s="362" t="str">
        <f>IF(L240&gt;0,IF(BR240&gt;0,(Calculation!T240/ED240)^2,0)," ")</f>
        <v xml:space="preserve"> </v>
      </c>
      <c r="EN240" s="362" t="str">
        <f>IF(L240&gt;0,IF(O240="2 Pipe (Cooling)","N/A",IF(BR240&gt;0,(Calculation!U240/EI240)^2,0))," ")</f>
        <v xml:space="preserve"> </v>
      </c>
      <c r="EO240" s="361" t="str">
        <f t="shared" si="673"/>
        <v/>
      </c>
      <c r="EP240" s="361" t="str">
        <f t="shared" si="674"/>
        <v/>
      </c>
      <c r="EQ240" s="361" t="str">
        <f t="shared" si="675"/>
        <v/>
      </c>
      <c r="ER240" s="361" t="str">
        <f t="shared" si="676"/>
        <v/>
      </c>
      <c r="ES240" s="361" t="str">
        <f t="shared" si="677"/>
        <v/>
      </c>
      <c r="ET240" s="361" t="str">
        <f t="shared" si="678"/>
        <v/>
      </c>
      <c r="EU240" s="361" t="str">
        <f t="shared" si="679"/>
        <v/>
      </c>
      <c r="EV240" s="361" t="str">
        <f t="shared" si="680"/>
        <v/>
      </c>
      <c r="EW240" s="361" t="str">
        <f t="shared" si="681"/>
        <v/>
      </c>
      <c r="EX240" s="361" t="str">
        <f t="shared" si="771"/>
        <v>1 slot, 1 way</v>
      </c>
      <c r="EY240" s="361" t="str">
        <f t="shared" si="772"/>
        <v xml:space="preserve"> </v>
      </c>
      <c r="EZ240" s="361" t="str">
        <f t="shared" si="773"/>
        <v xml:space="preserve"> </v>
      </c>
      <c r="FA240" s="361" t="str">
        <f t="shared" si="774"/>
        <v xml:space="preserve"> </v>
      </c>
      <c r="FB240" s="361" t="str">
        <f t="shared" si="775"/>
        <v xml:space="preserve"> </v>
      </c>
      <c r="FC240" s="361"/>
      <c r="FD240" s="361" t="str">
        <f>IF(J240&gt;0,IF(Calculation!R240&lt;=70,4,IF(Calculation!R240&lt;=110,5,IF(Calculation!R240&lt;=160,6,IF(Calculation!R240&lt;=300,8,"10 EO")))),"")</f>
        <v/>
      </c>
      <c r="FE240" s="361" t="str">
        <f t="shared" si="776"/>
        <v/>
      </c>
      <c r="FF240" s="361" t="str">
        <f t="shared" si="777"/>
        <v/>
      </c>
      <c r="FG240" s="361" t="e">
        <f t="shared" si="682"/>
        <v>#N/A</v>
      </c>
      <c r="FH240" s="361">
        <f t="shared" si="683"/>
        <v>0</v>
      </c>
      <c r="FI240" s="361" t="e">
        <f t="shared" si="684"/>
        <v>#DIV/0!</v>
      </c>
      <c r="FJ240" s="361"/>
      <c r="FK240" s="356" t="e">
        <f t="shared" si="685"/>
        <v>#VALUE!</v>
      </c>
      <c r="FL240" s="361"/>
      <c r="FM240" s="361"/>
      <c r="FN240" s="362" t="str">
        <f t="shared" si="778"/>
        <v xml:space="preserve"> </v>
      </c>
      <c r="FO240" s="362" t="str">
        <f t="shared" si="779"/>
        <v xml:space="preserve"> </v>
      </c>
      <c r="FP240" s="362">
        <f t="shared" si="780"/>
        <v>0</v>
      </c>
      <c r="FQ240" s="361">
        <f t="shared" si="686"/>
        <v>0</v>
      </c>
      <c r="FR240" s="362" t="str">
        <f>IF(L240&gt;0,IF(J240="CBAL2",Worksheet!$P$67,IF(J240="CBE2-24",Worksheet!$Q$67,IF(J240="CBAM",Worksheet!$R$67,IF(J240="CBLV",Worksheet!$S$67,IF(J240="CBAB",Worksheet!$U$67,IF(J240="CBAW",Worksheet!$X$67,IF(J240="CBE2-12",Worksheet!$Y$67,IF(J240="CBAL2",Worksheet!$Z$67,"N/A"))))))))," ")</f>
        <v xml:space="preserve"> </v>
      </c>
      <c r="FS240" s="362" t="str">
        <f>IF(L240&gt;0,IF(J240="CBAL2",Worksheet!$P$68,IF(J240="CBE2-24",Worksheet!$Q$68,IF(J240="CBAM",Worksheet!$R$68,IF(J240="CBLV",Worksheet!$S$68,IF(J240="CBAB",Worksheet!$U$68,IF(J240="CBAW",Worksheet!$X$68,IF(J240="CBE2-12",Worksheet!$Y$68,IF(J240="CBAL2",Worksheet!$Z$68,"N/A"))))))))," ")</f>
        <v xml:space="preserve"> </v>
      </c>
      <c r="FT240" s="362" t="str">
        <f>IF(L240&gt;0,IF(J240="CBAL2",Worksheet!$P$69,IF(J240="CBE2-24",Worksheet!$Q$69,IF(J240="CBAM",Worksheet!$R$69,IF(J240="CBLV",Worksheet!$S$69,IF(J240="CBAB",Worksheet!$U$69,IF(J240="CBAW",Worksheet!$X$69,IF(J240="CBE2-12",Worksheet!$Y$69,IF(J240="CBAL2",Worksheet!$Z$69,"N/A"))))))))," ")</f>
        <v xml:space="preserve"> </v>
      </c>
      <c r="FU240" s="361" t="str">
        <f t="shared" si="781"/>
        <v xml:space="preserve"> </v>
      </c>
      <c r="FV240" s="362" t="str">
        <f t="shared" si="782"/>
        <v xml:space="preserve"> </v>
      </c>
      <c r="FW240" s="362" t="str">
        <f t="shared" si="783"/>
        <v xml:space="preserve"> </v>
      </c>
      <c r="FX240" s="362" t="str">
        <f t="shared" si="784"/>
        <v xml:space="preserve"> </v>
      </c>
      <c r="FY240" s="355" t="str">
        <f t="shared" si="785"/>
        <v xml:space="preserve"> </v>
      </c>
      <c r="FZ240" s="361" t="str">
        <f t="shared" si="786"/>
        <v xml:space="preserve"> </v>
      </c>
      <c r="GA240" s="347" t="str">
        <f t="shared" si="787"/>
        <v xml:space="preserve"> </v>
      </c>
      <c r="GB240" s="355" t="str">
        <f t="shared" si="788"/>
        <v xml:space="preserve"> </v>
      </c>
      <c r="GC240" s="328" t="str">
        <f t="shared" si="789"/>
        <v xml:space="preserve"> </v>
      </c>
      <c r="GD240" s="361" t="str">
        <f t="shared" si="790"/>
        <v xml:space="preserve"> </v>
      </c>
      <c r="GE240" s="347" t="str">
        <f t="shared" si="791"/>
        <v xml:space="preserve"> </v>
      </c>
      <c r="GF240" s="361" t="str">
        <f t="shared" si="792"/>
        <v xml:space="preserve"> </v>
      </c>
      <c r="GG240" s="347" t="str">
        <f t="shared" si="793"/>
        <v xml:space="preserve"> </v>
      </c>
      <c r="GH240" s="364">
        <f t="shared" si="687"/>
        <v>0</v>
      </c>
      <c r="GI240" s="362">
        <f t="shared" si="794"/>
        <v>2</v>
      </c>
      <c r="GJ240" s="433" t="e">
        <f>IF(6-COUNTBLANK(GT240:GY240)=4,MATCH(MID(BO240,9,3),CLU!$H$16:$K$16),MATCH(MID(BO240,9,3),CLU!$H$13:$M$13))</f>
        <v>#N/A</v>
      </c>
      <c r="GK240" s="433" t="e">
        <f>HLOOKUP(VALUE(BP240),CLU!$H$9:$M$10,2)</f>
        <v>#VALUE!</v>
      </c>
      <c r="GL240" s="433" t="e">
        <f ca="1">MATCH(BU240,CLU!$H$2:$V$2,1)</f>
        <v>#VALUE!</v>
      </c>
      <c r="GM240" s="433" t="e">
        <f t="shared" ca="1" si="795"/>
        <v>#VALUE!</v>
      </c>
      <c r="GN240" s="433" t="e">
        <f t="shared" ca="1" si="796"/>
        <v>#VALUE!</v>
      </c>
      <c r="GO240" s="433" t="e">
        <f t="shared" ca="1" si="797"/>
        <v>#VALUE!</v>
      </c>
      <c r="GP240" s="433" t="e">
        <f t="shared" ca="1" si="798"/>
        <v>#VALUE!</v>
      </c>
      <c r="GQ240" s="433" t="e">
        <f t="shared" ca="1" si="799"/>
        <v>#VALUE!</v>
      </c>
      <c r="GR240" s="433" t="e">
        <f ca="1">MATCH(T240,INDIRECT(VLOOKUP(CONCATENATE(LEFT(BO240,7),"-",MID(BO240,13,1)),CLU!$P$3:$Q$16,2)),1)</f>
        <v>#N/A</v>
      </c>
      <c r="GS240" s="433" t="e">
        <f ca="1">MATCH(U240,INDIRECT(VLOOKUP(CONCATENATE(LEFT(BO240,7),"-",MID(BO240,13,1)),CLU!$P$3:$Q$16,2)),1)</f>
        <v>#N/A</v>
      </c>
      <c r="GT240" s="347" t="s">
        <v>512</v>
      </c>
      <c r="GU240" s="97" t="s">
        <v>513</v>
      </c>
      <c r="GV240" s="97" t="str">
        <f t="shared" si="800"/>
        <v>M23</v>
      </c>
      <c r="GW240" s="97" t="str">
        <f t="shared" si="801"/>
        <v>M31</v>
      </c>
      <c r="GX240" s="97" t="str">
        <f t="shared" si="802"/>
        <v/>
      </c>
      <c r="GY240" s="97" t="str">
        <f t="shared" si="803"/>
        <v/>
      </c>
      <c r="GZ240" s="481"/>
      <c r="HA240" s="288"/>
      <c r="HB240" s="240"/>
      <c r="HC240" s="240"/>
      <c r="HD240" s="240"/>
      <c r="HE240" s="240"/>
      <c r="HF240" s="240"/>
      <c r="HG240" s="240"/>
      <c r="HH240" s="240"/>
      <c r="HI240" s="240"/>
      <c r="HJ240" s="240"/>
      <c r="HK240" s="240"/>
      <c r="HL240" s="240"/>
      <c r="HM240" s="240"/>
      <c r="HN240" s="240"/>
      <c r="HO240" s="240"/>
      <c r="HP240" s="240"/>
      <c r="HQ240" s="240"/>
      <c r="HR240" s="240"/>
      <c r="HS240" s="240"/>
      <c r="HT240" s="240"/>
      <c r="HU240" s="240"/>
      <c r="HV240" s="245"/>
      <c r="HW240" s="245" t="b">
        <v>1</v>
      </c>
      <c r="HX240" s="245" t="str">
        <f t="shared" si="688"/>
        <v/>
      </c>
      <c r="HY240" s="245" t="e">
        <f t="shared" si="689"/>
        <v>#DIV/0!</v>
      </c>
      <c r="HZ240" s="245" t="e">
        <f t="shared" si="690"/>
        <v>#DIV/0!</v>
      </c>
      <c r="IA240" s="245">
        <f t="shared" si="691"/>
        <v>0</v>
      </c>
      <c r="IB240" s="245"/>
      <c r="IC240" t="b">
        <f t="shared" si="692"/>
        <v>1</v>
      </c>
      <c r="ID240" s="245" t="b">
        <f t="shared" si="693"/>
        <v>1</v>
      </c>
      <c r="IE240" s="245" t="b">
        <f t="shared" si="694"/>
        <v>1</v>
      </c>
      <c r="IF240" s="245" t="b">
        <f t="shared" si="695"/>
        <v>0</v>
      </c>
      <c r="IG240" s="245" t="b">
        <f t="shared" si="696"/>
        <v>1</v>
      </c>
      <c r="IH240" s="245" t="b">
        <f t="shared" si="697"/>
        <v>1</v>
      </c>
      <c r="II240" s="245">
        <f t="shared" si="804"/>
        <v>0</v>
      </c>
      <c r="IJ240" s="245" t="e">
        <f t="shared" si="698"/>
        <v>#VALUE!</v>
      </c>
      <c r="IK240" s="245" t="e">
        <f t="shared" si="699"/>
        <v>#VALUE!</v>
      </c>
      <c r="IL240" s="245"/>
      <c r="IM240" s="245" t="e">
        <f t="shared" si="805"/>
        <v>#N/A</v>
      </c>
      <c r="IN240" s="245" t="e">
        <f t="shared" si="806"/>
        <v>#N/A</v>
      </c>
      <c r="IO240" s="245"/>
      <c r="IP240" s="245"/>
      <c r="IQ240" s="245" t="str">
        <f t="shared" si="700"/>
        <v/>
      </c>
      <c r="IR240" s="245" t="str">
        <f>IF(J240="","",VLOOKUP(J240,Worksheet!$R$4:$T$14,2))</f>
        <v/>
      </c>
      <c r="IS240" s="245"/>
      <c r="IT240" s="245">
        <f t="shared" si="701"/>
        <v>0</v>
      </c>
      <c r="IU240" s="245">
        <f t="shared" si="702"/>
        <v>0</v>
      </c>
      <c r="IV240" s="245">
        <f t="shared" si="703"/>
        <v>0</v>
      </c>
      <c r="IW240" s="245">
        <f t="shared" si="704"/>
        <v>0</v>
      </c>
      <c r="IX240" s="245">
        <f t="shared" si="807"/>
        <v>0</v>
      </c>
      <c r="IY240" s="245">
        <f t="shared" si="705"/>
        <v>0</v>
      </c>
      <c r="IZ240" s="245">
        <f t="shared" si="706"/>
        <v>0</v>
      </c>
      <c r="JA240">
        <f t="shared" si="707"/>
        <v>0</v>
      </c>
      <c r="JB240">
        <f t="shared" si="808"/>
        <v>0</v>
      </c>
      <c r="JC240">
        <f t="shared" si="708"/>
        <v>0</v>
      </c>
      <c r="JD240">
        <f t="shared" si="709"/>
        <v>0</v>
      </c>
      <c r="JE240">
        <f t="shared" si="710"/>
        <v>0</v>
      </c>
      <c r="JF240">
        <f t="shared" si="711"/>
        <v>0</v>
      </c>
      <c r="JG240">
        <f t="shared" si="712"/>
        <v>0</v>
      </c>
      <c r="JH240">
        <f t="shared" si="713"/>
        <v>0</v>
      </c>
      <c r="JI240">
        <f t="shared" si="714"/>
        <v>0</v>
      </c>
      <c r="JJ240" s="447">
        <f t="shared" si="715"/>
        <v>0</v>
      </c>
      <c r="JK240" s="447">
        <f t="shared" si="716"/>
        <v>0</v>
      </c>
      <c r="JL240">
        <f t="shared" si="717"/>
        <v>0</v>
      </c>
      <c r="JM240" s="245" t="str">
        <f>IFERROR(VLOOKUP(MATCH(BN240,#REF!,0),#REF!,7),"")</f>
        <v/>
      </c>
      <c r="JN240" t="e">
        <f>HLOOKUP(LEFT(BO240,7),Discharge_Area,MATCH(JO240,LookUps!$B$130:$B$149,1)+2)</f>
        <v>#N/A</v>
      </c>
      <c r="JO240" t="str">
        <f t="shared" si="718"/>
        <v>- S</v>
      </c>
      <c r="JP240" t="e">
        <f>HLOOKUP(LEFT(BO240,7),Discharge_Area,MATCH(JO240,LookUps!$B$130:$B$149,1)+2)</f>
        <v>#N/A</v>
      </c>
      <c r="JQ240" t="e">
        <f t="shared" si="719"/>
        <v>#N/A</v>
      </c>
      <c r="JR240" t="e">
        <f t="shared" si="720"/>
        <v>#N/A</v>
      </c>
      <c r="JS240" t="e">
        <f t="shared" si="721"/>
        <v>#N/A</v>
      </c>
      <c r="JT240" s="532" t="str">
        <f t="shared" si="722"/>
        <v xml:space="preserve"> </v>
      </c>
      <c r="JU240" s="532" t="str">
        <f t="shared" si="723"/>
        <v xml:space="preserve"> </v>
      </c>
      <c r="JV240" s="533" t="str">
        <f t="shared" si="724"/>
        <v xml:space="preserve"> </v>
      </c>
      <c r="JW240" s="534">
        <f t="shared" si="725"/>
        <v>0</v>
      </c>
      <c r="JX240" s="535" t="str">
        <f t="shared" si="809"/>
        <v xml:space="preserve"> </v>
      </c>
      <c r="JY240" s="535" t="str">
        <f t="shared" si="810"/>
        <v xml:space="preserve"> </v>
      </c>
      <c r="JZ240" s="535" t="str">
        <f t="shared" si="811"/>
        <v xml:space="preserve"> </v>
      </c>
      <c r="KA240" s="536" t="str">
        <f t="shared" si="726"/>
        <v xml:space="preserve"> </v>
      </c>
      <c r="KB240" s="535" t="e">
        <f t="shared" si="812"/>
        <v>#VALUE!</v>
      </c>
      <c r="KC240" s="535" t="str">
        <f t="shared" si="727"/>
        <v/>
      </c>
      <c r="KD240" s="537" t="str">
        <f t="shared" si="813"/>
        <v xml:space="preserve"> </v>
      </c>
      <c r="KE240" s="537" t="str">
        <f t="shared" si="814"/>
        <v xml:space="preserve"> </v>
      </c>
      <c r="KF240" s="534">
        <f t="shared" si="728"/>
        <v>0</v>
      </c>
      <c r="KG240" s="535" t="str">
        <f t="shared" si="729"/>
        <v xml:space="preserve"> </v>
      </c>
      <c r="KH240" s="535" t="str">
        <f t="shared" si="730"/>
        <v xml:space="preserve"> </v>
      </c>
      <c r="KI240" s="535" t="str">
        <f t="shared" si="731"/>
        <v xml:space="preserve"> </v>
      </c>
      <c r="KJ240" s="536" t="str">
        <f t="shared" si="732"/>
        <v xml:space="preserve"> </v>
      </c>
      <c r="KK240" s="535" t="str">
        <f t="shared" si="815"/>
        <v xml:space="preserve"> </v>
      </c>
      <c r="KL240" s="535" t="str">
        <f t="shared" si="816"/>
        <v xml:space="preserve"> </v>
      </c>
      <c r="KM240" s="537" t="str">
        <f t="shared" si="733"/>
        <v xml:space="preserve"> </v>
      </c>
      <c r="KN240" s="537" t="str">
        <f t="shared" si="817"/>
        <v xml:space="preserve"> </v>
      </c>
      <c r="KP240">
        <f t="shared" si="734"/>
        <v>0</v>
      </c>
      <c r="LA240" t="e">
        <f t="shared" si="735"/>
        <v>#VALUE!</v>
      </c>
      <c r="LB240" t="e">
        <f t="shared" si="736"/>
        <v>#VALUE!</v>
      </c>
      <c r="LC240" t="e">
        <f t="shared" si="737"/>
        <v>#VALUE!</v>
      </c>
      <c r="LD240" t="e">
        <f t="shared" si="738"/>
        <v>#VALUE!</v>
      </c>
      <c r="LE240" t="e">
        <f t="shared" si="818"/>
        <v>#VALUE!</v>
      </c>
      <c r="LF240">
        <f t="shared" si="739"/>
        <v>0</v>
      </c>
      <c r="LG240" t="e">
        <f t="shared" si="819"/>
        <v>#VALUE!</v>
      </c>
      <c r="LH240" t="str">
        <f t="shared" si="740"/>
        <v xml:space="preserve"> </v>
      </c>
      <c r="LI240">
        <f t="shared" si="820"/>
        <v>1</v>
      </c>
    </row>
    <row r="241" spans="2:321" ht="15" customHeight="1">
      <c r="B241" s="311"/>
      <c r="C241" s="311"/>
      <c r="D241" s="312"/>
      <c r="E241" s="311"/>
      <c r="F241" s="312"/>
      <c r="G241" s="311"/>
      <c r="H241" s="311"/>
      <c r="I241" s="232"/>
      <c r="J241" s="311"/>
      <c r="K241" s="305" t="str">
        <f t="shared" si="741"/>
        <v/>
      </c>
      <c r="L241" s="313"/>
      <c r="M241" s="312"/>
      <c r="N241" s="311"/>
      <c r="O241" s="312"/>
      <c r="P241" s="311"/>
      <c r="Q241" s="305" t="str">
        <f t="shared" si="742"/>
        <v/>
      </c>
      <c r="R241" s="314"/>
      <c r="S241" s="450" t="str">
        <f t="shared" si="625"/>
        <v/>
      </c>
      <c r="T241" s="315"/>
      <c r="U241" s="315"/>
      <c r="W241" s="149" t="str">
        <f t="shared" si="626"/>
        <v xml:space="preserve"> </v>
      </c>
      <c r="X241" s="243" t="str">
        <f t="shared" si="627"/>
        <v xml:space="preserve"> </v>
      </c>
      <c r="Y241" s="150" t="str">
        <f t="shared" si="628"/>
        <v/>
      </c>
      <c r="Z241" s="149" t="str">
        <f t="shared" si="629"/>
        <v xml:space="preserve"> </v>
      </c>
      <c r="AA241" s="98" t="str">
        <f t="shared" si="630"/>
        <v xml:space="preserve"> </v>
      </c>
      <c r="AB241" s="153" t="str">
        <f t="shared" si="631"/>
        <v xml:space="preserve"> </v>
      </c>
      <c r="AC241" s="153" t="str">
        <f t="shared" si="632"/>
        <v xml:space="preserve"> </v>
      </c>
      <c r="AD241" s="148" t="str">
        <f t="shared" si="633"/>
        <v/>
      </c>
      <c r="AE241" s="149" t="str">
        <f t="shared" si="634"/>
        <v/>
      </c>
      <c r="AF241" s="151" t="str">
        <f t="shared" si="635"/>
        <v xml:space="preserve"> </v>
      </c>
      <c r="AG241" s="153" t="str">
        <f t="shared" si="636"/>
        <v xml:space="preserve"> </v>
      </c>
      <c r="AH241" s="98" t="str">
        <f t="shared" si="637"/>
        <v xml:space="preserve"> </v>
      </c>
      <c r="AI241" s="149" t="str">
        <f t="shared" si="638"/>
        <v xml:space="preserve"> </v>
      </c>
      <c r="AK241" s="144" t="str">
        <f t="shared" si="639"/>
        <v xml:space="preserve"> </v>
      </c>
      <c r="AL241" s="144"/>
      <c r="AM241" s="243" t="str">
        <f t="shared" si="640"/>
        <v xml:space="preserve"> </v>
      </c>
      <c r="AN241" s="149" t="str">
        <f t="shared" si="743"/>
        <v xml:space="preserve"> </v>
      </c>
      <c r="AO241" s="144" t="str">
        <f>IF(JB241&gt;0,IF(GI241=10,-R241*1.085*(Calculation!$F$6-Calculation!$F$13)*$S$14," "),"")</f>
        <v/>
      </c>
      <c r="AP241" s="144" t="str">
        <f t="shared" si="641"/>
        <v/>
      </c>
      <c r="AQ241" s="56" t="str">
        <f t="shared" si="642"/>
        <v/>
      </c>
      <c r="AR241" s="144" t="str">
        <f t="shared" si="643"/>
        <v/>
      </c>
      <c r="AS241" s="176" t="str">
        <f t="shared" si="644"/>
        <v/>
      </c>
      <c r="AT241" s="176" t="str">
        <f t="shared" si="744"/>
        <v xml:space="preserve"> </v>
      </c>
      <c r="AU241" s="176" t="str">
        <f t="shared" si="645"/>
        <v/>
      </c>
      <c r="AV241" s="177" t="str">
        <f t="shared" si="646"/>
        <v xml:space="preserve"> </v>
      </c>
      <c r="AW241" s="144" t="str">
        <f t="shared" si="647"/>
        <v xml:space="preserve"> </v>
      </c>
      <c r="AX241" s="144" t="str">
        <f t="shared" si="648"/>
        <v xml:space="preserve"> </v>
      </c>
      <c r="AY241" s="152" t="str">
        <f t="shared" si="649"/>
        <v xml:space="preserve"> </v>
      </c>
      <c r="AZ241" s="246" t="str">
        <f t="shared" si="650"/>
        <v/>
      </c>
      <c r="BA241" s="176" t="str">
        <f t="shared" si="651"/>
        <v xml:space="preserve"> </v>
      </c>
      <c r="BB241" s="176" t="str">
        <f t="shared" si="652"/>
        <v xml:space="preserve"> </v>
      </c>
      <c r="BC241" s="195"/>
      <c r="BD241" s="316"/>
      <c r="BE241" s="317"/>
      <c r="BF241" s="318"/>
      <c r="BG241" s="318"/>
      <c r="BH241" s="144" t="str">
        <f t="shared" si="821"/>
        <v xml:space="preserve"> </v>
      </c>
      <c r="BI241" s="176" t="str">
        <f t="shared" si="653"/>
        <v/>
      </c>
      <c r="BJ241" s="144" t="str">
        <f t="shared" si="822"/>
        <v/>
      </c>
      <c r="BK241" s="246" t="str">
        <f t="shared" si="654"/>
        <v/>
      </c>
      <c r="BL241" s="144" t="str">
        <f t="shared" si="823"/>
        <v/>
      </c>
      <c r="BM241" s="246" t="str">
        <f t="shared" si="655"/>
        <v/>
      </c>
      <c r="BN241" s="337" t="str">
        <f t="shared" si="745"/>
        <v/>
      </c>
      <c r="BO241" s="371" t="str">
        <f t="shared" si="746"/>
        <v/>
      </c>
      <c r="BP241" s="328" t="str">
        <f t="shared" si="824"/>
        <v xml:space="preserve"> </v>
      </c>
      <c r="BQ241" s="347" t="str">
        <f t="shared" si="747"/>
        <v xml:space="preserve"> </v>
      </c>
      <c r="BR241" s="353" t="str">
        <f t="shared" si="748"/>
        <v xml:space="preserve"> </v>
      </c>
      <c r="BS241" s="626" t="str">
        <f>IF(L241&gt;0,IF(Calculation!P241="M13",BR241*3.1416*(0.134^2)/(4*144),IF(Calculation!P241="M17",BR241*3.1416*(0.165^2)/(4*144),IF(Calculation!P241="M20",BR241*3.1416*(0.198^2)/(4*144),IF(Calculation!P241="M23",BR241*3.1416*(0.228^2)/(4*144),IF(Calculation!P241="M27",BR241*3.1416*(0.269^2)/(4*144),BR241*3.1416*(0.307^2)/(4*144))))))," ")</f>
        <v xml:space="preserve"> </v>
      </c>
      <c r="BT241" s="353" t="str">
        <f>IF(L241&gt;0,IF(BS241&gt;0,R241/Calculation!BS241,0)," ")</f>
        <v xml:space="preserve"> </v>
      </c>
      <c r="BU241" s="438" t="e">
        <f t="shared" ca="1" si="656"/>
        <v>#VALUE!</v>
      </c>
      <c r="BV241" s="449" t="e">
        <f ca="1">INDEX(INDIRECT(VLOOKUP(LEFT(BO241,7),CLU!$Z$3:$AH$18,2)),GN241,GR241)</f>
        <v>#N/A</v>
      </c>
      <c r="BW241" s="433" t="e">
        <f ca="1">INDEX(INDIRECT(VLOOKUP(LEFT(BO241,7),CLU!$Z$3:$AH$18,3)),GN241,GR241)</f>
        <v>#N/A</v>
      </c>
      <c r="BX241" s="433" t="e">
        <f ca="1">INDEX(INDIRECT(VLOOKUP(LEFT(BO241,7),CLU!$Z$3:$AH$18,4)),GN241,GR241)</f>
        <v>#N/A</v>
      </c>
      <c r="BY241" s="433" t="e">
        <f ca="1">INDEX(INDIRECT(VLOOKUP(LEFT(BO241,7),CLU!$Z$3:$AH$18,9)),((M241-2)*(6-COUNTBLANK(GT241:GY241)))+GJ241)</f>
        <v>#N/A</v>
      </c>
      <c r="BZ241" s="426" t="e">
        <f t="shared" ca="1" si="749"/>
        <v>#N/A</v>
      </c>
      <c r="CA241" s="424" t="e">
        <f t="shared" ca="1" si="750"/>
        <v>#N/A</v>
      </c>
      <c r="CB241" s="429" t="e">
        <f ca="1">INDEX(INDIRECT(VLOOKUP(LEFT(BO241,7),CLU!$Z$3:$AH$18,2)),GN241,GS241)</f>
        <v>#N/A</v>
      </c>
      <c r="CC241" s="342" t="e">
        <f ca="1">INDEX(INDIRECT(VLOOKUP(LEFT(BO241,7),CLU!$Z$3:$AH$18,3)),GN241,GS241)</f>
        <v>#N/A</v>
      </c>
      <c r="CD241" s="342" t="e">
        <f ca="1">INDEX(INDIRECT(VLOOKUP(LEFT(BO241,7),CLU!$Z$3:$AH$18,4)),GN241,GS241)</f>
        <v>#N/A</v>
      </c>
      <c r="CE241" s="426" t="e">
        <f t="shared" ca="1" si="751"/>
        <v>#N/A</v>
      </c>
      <c r="CF241" s="440">
        <f t="shared" si="752"/>
        <v>0</v>
      </c>
      <c r="CG241" s="431" t="e">
        <f ca="1">INDEX(INDIRECT(VLOOKUP(LEFT(BO241,7),CLU!$Z$3:$AH$18,2)),GQ241,GR241)</f>
        <v>#N/A</v>
      </c>
      <c r="CH241" s="431" t="e">
        <f ca="1">INDEX(INDIRECT(VLOOKUP(LEFT(BO241,7),CLU!$Z$3:$AH$18,3)),GQ241,GR241)</f>
        <v>#N/A</v>
      </c>
      <c r="CI241" s="431" t="e">
        <f ca="1">INDEX(INDIRECT(VLOOKUP(LEFT(BO241,7),CLU!$Z$3:$AH$18,4)),GQ241,GR241)</f>
        <v>#N/A</v>
      </c>
      <c r="CJ241" s="448" t="e">
        <f t="shared" ca="1" si="753"/>
        <v>#N/A</v>
      </c>
      <c r="CK241" s="431" t="e">
        <f t="shared" ca="1" si="754"/>
        <v>#N/A</v>
      </c>
      <c r="CL241" s="440" t="e">
        <f t="shared" ca="1" si="755"/>
        <v>#N/A</v>
      </c>
      <c r="CM241" s="431" t="e">
        <f ca="1">INDEX(INDIRECT(VLOOKUP(LEFT(BO241,7),CLU!$Z$3:$AH$18,2)),GQ241,GS241)</f>
        <v>#N/A</v>
      </c>
      <c r="CN241" s="431" t="e">
        <f ca="1">INDEX(INDIRECT(VLOOKUP(LEFT(BO241,7),CLU!$Z$3:$AH$18,3)),GQ241,GS241)</f>
        <v>#N/A</v>
      </c>
      <c r="CO241" s="431" t="e">
        <f ca="1">INDEX(INDIRECT(VLOOKUP(LEFT(BO241,7),CLU!$Z$3:$AH$18,4)),GQ241,GS241)</f>
        <v>#N/A</v>
      </c>
      <c r="CP241" s="431" t="e">
        <f t="shared" ca="1" si="756"/>
        <v>#N/A</v>
      </c>
      <c r="CQ241" s="440">
        <f t="shared" si="757"/>
        <v>0</v>
      </c>
      <c r="CR241" s="51" t="e">
        <f t="shared" ca="1" si="758"/>
        <v>#N/A</v>
      </c>
      <c r="CS241" s="439" t="e">
        <f t="shared" ca="1" si="759"/>
        <v>#VALUE!</v>
      </c>
      <c r="CT241" s="51" t="e">
        <f t="shared" ca="1" si="760"/>
        <v>#VALUE!</v>
      </c>
      <c r="CU241" s="10"/>
      <c r="CV241" s="51" t="e">
        <f t="shared" ca="1" si="657"/>
        <v>#VALUE!</v>
      </c>
      <c r="CW241" s="51">
        <f t="shared" si="761"/>
        <v>0</v>
      </c>
      <c r="CX241" s="439" t="e">
        <f t="shared" ca="1" si="762"/>
        <v>#VALUE!</v>
      </c>
      <c r="CY241" s="51" t="e">
        <f t="shared" ca="1" si="763"/>
        <v>#VALUE!</v>
      </c>
      <c r="CZ241" s="10"/>
      <c r="DA241" s="51" t="e">
        <f t="shared" ca="1" si="764"/>
        <v>#VALUE!</v>
      </c>
      <c r="DB241" s="347" t="e">
        <f ca="1">INDEX(INDIRECT(VLOOKUP(LEFT(BO241,7),CLU!$Z$3:$AI$18,10)),((M241-2)*(6-COUNTBLANK(GT241:GY241)))+GJ241)*LI241</f>
        <v>#N/A</v>
      </c>
      <c r="DC241" s="347" t="str">
        <f>IF(L241&gt;0,((R241/Worksheet!$I$15)/DB241)^2," ")</f>
        <v xml:space="preserve"> </v>
      </c>
      <c r="DD241" s="602" t="str">
        <f t="shared" si="765"/>
        <v xml:space="preserve"> </v>
      </c>
      <c r="DE241" s="347" t="str">
        <f t="shared" si="658"/>
        <v xml:space="preserve"> </v>
      </c>
      <c r="DF241" s="356" t="e">
        <f ca="1">INDEX(INDIRECT(VLOOKUP(LEFT(BO241,7),CLU!$Z$3:$AH$18,8)),((M241-2)*(6-COUNTBLANK(GT241:GY241)))+GJ241)</f>
        <v>#N/A</v>
      </c>
      <c r="DG241" s="347" t="str">
        <f t="shared" si="659"/>
        <v xml:space="preserve"> </v>
      </c>
      <c r="DH241" s="357" t="str">
        <f t="shared" si="660"/>
        <v xml:space="preserve"> </v>
      </c>
      <c r="DI241" s="355" t="str">
        <f t="shared" si="661"/>
        <v xml:space="preserve"> </v>
      </c>
      <c r="DJ241" s="245" t="e">
        <f ca="1">INDEX(INDIRECT(VLOOKUP(LEFT(BO241,7),CLU!$Z$3:$AH$18,5)),GL241,GK241)</f>
        <v>#N/A</v>
      </c>
      <c r="DK241" s="245" t="e">
        <f ca="1">INDEX(INDIRECT(VLOOKUP(LEFT(BO241,7),CLU!$Z$3:$AH$18,6)),GL241,GK241)</f>
        <v>#N/A</v>
      </c>
      <c r="DL241" s="355">
        <f>(Calculation!R241*0.69143*(Calculation!$BQ$8-Calculation!$F$8))*$S$14</f>
        <v>0</v>
      </c>
      <c r="DM241" s="359" t="e">
        <f t="shared" si="766"/>
        <v>#VALUE!</v>
      </c>
      <c r="DN241" s="611">
        <f t="shared" si="767"/>
        <v>0</v>
      </c>
      <c r="DO241" s="359">
        <f t="shared" si="768"/>
        <v>100</v>
      </c>
      <c r="DP241" s="359">
        <f t="shared" si="769"/>
        <v>0</v>
      </c>
      <c r="DQ241" s="360"/>
      <c r="DR241" s="245" t="e">
        <f ca="1">INDEX(INDIRECT(VLOOKUP(LEFT(BO241,7),CLU!$Z$3:$AH$18,7)),M241-1,1)</f>
        <v>#N/A</v>
      </c>
      <c r="DS241" s="245" t="e">
        <f ca="1">INDEX(INDIRECT(VLOOKUP(LEFT(BO241,7),CLU!$Z$3:$AH$18,7)),M241-1,2)</f>
        <v>#N/A</v>
      </c>
      <c r="DT241" s="245" t="e">
        <f ca="1">INDEX(INDIRECT(VLOOKUP(LEFT(BO241,7),CLU!$Z$3:$AH$18,7)),M241-1,3)</f>
        <v>#N/A</v>
      </c>
      <c r="DU241" s="245" t="e">
        <f ca="1">INDEX(INDIRECT(VLOOKUP(LEFT(BO241,7),CLU!$Z$3:$AH$18,7)),M241-1,4)</f>
        <v>#N/A</v>
      </c>
      <c r="DV241" s="361" t="e">
        <f ca="1">INDEX(INDIRECT(VLOOKUP(LEFT(BO241,7),CLU!$Z$3:$AH$18,7)),M241-1,4+LEFT(DZ241,1)*0.5)</f>
        <v>#N/A</v>
      </c>
      <c r="DW241" s="245" t="e">
        <f ca="1">INDEX(INDIRECT(VLOOKUP(LEFT(BO241,7),CLU!$Z$3:$AH$18,7)),M241-1,8)</f>
        <v>#N/A</v>
      </c>
      <c r="DX241" s="361" t="str">
        <f t="shared" si="662"/>
        <v xml:space="preserve"> </v>
      </c>
      <c r="DY241" s="361" t="str">
        <f t="shared" si="663"/>
        <v xml:space="preserve"> </v>
      </c>
      <c r="DZ241" s="361" t="str">
        <f t="shared" si="664"/>
        <v xml:space="preserve"> </v>
      </c>
      <c r="EA241" s="362" t="str">
        <f t="shared" si="665"/>
        <v xml:space="preserve"> </v>
      </c>
      <c r="EB241" s="624" t="str">
        <f t="shared" si="770"/>
        <v xml:space="preserve"> </v>
      </c>
      <c r="EC241" s="361" t="e">
        <f ca="1">INDEX(INDIRECT(VLOOKUP(LEFT(BO241,7),CLU!$Z$3:$AH$18,7)),M241-1,4+LEFT(DZ241,1)*0.5)</f>
        <v>#N/A</v>
      </c>
      <c r="ED241" s="362" t="str">
        <f t="shared" si="666"/>
        <v xml:space="preserve"> </v>
      </c>
      <c r="EE241" s="361" t="str">
        <f t="shared" si="667"/>
        <v xml:space="preserve"> </v>
      </c>
      <c r="EF241" s="362" t="str">
        <f>IF(L241&gt;0,IF(BR241&gt;0,IF(EE241="2P",IF(Calculation!DZ241="2P",IF(Calculation!DS241=13.75,IF(Calculation!DR241=13,Worksheet!$BD$43,IF(Calculation!DR241=37,Worksheet!$BD$44,Worksheet!$BD$45)),IF(Calculation!DS241=10,IF(Calculation!DR241=18,Worksheet!$BD$29,IF(Calculation!DR241=30,Worksheet!$BD$30,IF(Calculation!DR241=42,Worksheet!$BD$31,IF(Calculation!DR241=54,Worksheet!$BD$32,IF(Calculation!DR241=66,Worksheet!$BD$33,IF(Calculation!DR241=78,Worksheet!$BD$34,IF(Calculation!DR241=90,Worksheet!$BD$35,IF(Calculation!DR241=102,Worksheet!$BD$36,Worksheet!$BD$37)))))))),IF(Calculation!DS241=12.5,IF(Calculation!DR241=18,Worksheet!$BD$38,IF(Calculation!DR241=Worksheet!$BD$39,IF(Calculation!DR241=42,Worksheet!$BD$40,IF(Calculation!DR241=54,Worksheet!$BD$41,Worksheet!$BD$42)))),IF(Calculation!DR241=18,Worksheet!$BD$11,IF(Calculation!DR241=30,Worksheet!$BD$12,IF(Calculation!DR241=42,Worksheet!$BD$13,IF(Calculation!DR241=54,Worksheet!$BD$14,IF(Calculation!DR241=66,Worksheet!$BD$15,IF(Calculation!DR241=78,Worksheet!$BD$16,IF(Calculation!DR241=90,Worksheet!$BD$17,IF(Calculation!DR241=102,Worksheet!$BD$18,Worksheet!$BD$19))))))))))),IF(Calculation!DS241=13.75,IF(Calculation!DR241=13,Worksheet!$BD$78,IF(Calculation!DR241=37,Worksheet!$BD$79,Worksheet!$BD$80)),IF(Calculation!DS241=10,IF(Calculation!DR241=18,Worksheet!$BD$64,IF(Calculation!DR241=30,Worksheet!$BD$65,IF(Calculation!DR241=42,Worksheet!$BD$66,IF(Calculation!DR241=54,Worksheet!$BD$68,IF(Calculation!DR241=66,Worksheet!$BD$68,IF(Calculation!DR241=78,Worksheet!$BD$69,IF(Calculation!DR241=90,Worksheet!$BD$70,IF(Calculation!DR241=102,Worksheet!$BD$71,Worksheet!$BD$72)))))))),IF(Calculation!DS241=12.5,IF(Calculation!DR241=18,Worksheet!$BD$73,IF(Calculation!DR241=Worksheet!$BD$74,IF(Calculation!DR241=42,Worksheet!$BD$75,IF(Calculation!DR241=54,Worksheet!$BD$76,Worksheet!$BD$77)))),IF(Calculation!DR241=18,Worksheet!$BD$55,IF(Calculation!DR241=30,Worksheet!$BD$56,IF(Calculation!DR241=42,Worksheet!$BD$57,IF(Calculation!DR241=54,Worksheet!$BD$58,IF(Calculation!DR241=66,Worksheet!$BD$59,IF(Calculation!DR241=78,Worksheet!$BD$60,IF(Calculation!DR241=90,Worksheet!$BD$61,IF(Calculation!DR241=102,Worksheet!$BD$62,Worksheet!$BD$63)))))))))))),5),0)," ")</f>
        <v xml:space="preserve"> </v>
      </c>
      <c r="EG241" s="361" t="str">
        <f t="shared" si="668"/>
        <v xml:space="preserve"> </v>
      </c>
      <c r="EH241" s="361" t="e">
        <f ca="1">INDEX(INDIRECT(VLOOKUP(LEFT(BO241,7),CLU!$Z$3:$AH$18,7)),M241-1,3+LEFT(DZ241,1))</f>
        <v>#N/A</v>
      </c>
      <c r="EI241" s="362" t="str">
        <f t="shared" si="669"/>
        <v xml:space="preserve"> </v>
      </c>
      <c r="EJ241" s="363" t="str">
        <f t="shared" si="670"/>
        <v xml:space="preserve"> </v>
      </c>
      <c r="EK241" s="363" t="str">
        <f t="shared" si="671"/>
        <v xml:space="preserve"> </v>
      </c>
      <c r="EL241" s="363" t="str">
        <f t="shared" si="672"/>
        <v xml:space="preserve"> </v>
      </c>
      <c r="EM241" s="362" t="str">
        <f>IF(L241&gt;0,IF(BR241&gt;0,(Calculation!T241/ED241)^2,0)," ")</f>
        <v xml:space="preserve"> </v>
      </c>
      <c r="EN241" s="362" t="str">
        <f>IF(L241&gt;0,IF(O241="2 Pipe (Cooling)","N/A",IF(BR241&gt;0,(Calculation!U241/EI241)^2,0))," ")</f>
        <v xml:space="preserve"> </v>
      </c>
      <c r="EO241" s="361" t="str">
        <f t="shared" si="673"/>
        <v/>
      </c>
      <c r="EP241" s="361" t="str">
        <f t="shared" si="674"/>
        <v/>
      </c>
      <c r="EQ241" s="361" t="str">
        <f t="shared" si="675"/>
        <v/>
      </c>
      <c r="ER241" s="361" t="str">
        <f t="shared" si="676"/>
        <v/>
      </c>
      <c r="ES241" s="361" t="str">
        <f t="shared" si="677"/>
        <v/>
      </c>
      <c r="ET241" s="361" t="str">
        <f t="shared" si="678"/>
        <v/>
      </c>
      <c r="EU241" s="361" t="str">
        <f t="shared" si="679"/>
        <v/>
      </c>
      <c r="EV241" s="361" t="str">
        <f t="shared" si="680"/>
        <v/>
      </c>
      <c r="EW241" s="361" t="str">
        <f t="shared" si="681"/>
        <v/>
      </c>
      <c r="EX241" s="361" t="str">
        <f t="shared" si="771"/>
        <v>1 slot, 1 way</v>
      </c>
      <c r="EY241" s="361" t="str">
        <f t="shared" si="772"/>
        <v xml:space="preserve"> </v>
      </c>
      <c r="EZ241" s="361" t="str">
        <f t="shared" si="773"/>
        <v xml:space="preserve"> </v>
      </c>
      <c r="FA241" s="361" t="str">
        <f t="shared" si="774"/>
        <v xml:space="preserve"> </v>
      </c>
      <c r="FB241" s="361" t="str">
        <f t="shared" si="775"/>
        <v xml:space="preserve"> </v>
      </c>
      <c r="FC241" s="361"/>
      <c r="FD241" s="361" t="str">
        <f>IF(J241&gt;0,IF(Calculation!R241&lt;=70,4,IF(Calculation!R241&lt;=110,5,IF(Calculation!R241&lt;=160,6,IF(Calculation!R241&lt;=300,8,"10 EO")))),"")</f>
        <v/>
      </c>
      <c r="FE241" s="361" t="str">
        <f t="shared" si="776"/>
        <v/>
      </c>
      <c r="FF241" s="361" t="str">
        <f t="shared" si="777"/>
        <v/>
      </c>
      <c r="FG241" s="361" t="e">
        <f t="shared" si="682"/>
        <v>#N/A</v>
      </c>
      <c r="FH241" s="361">
        <f t="shared" si="683"/>
        <v>0</v>
      </c>
      <c r="FI241" s="361" t="e">
        <f t="shared" si="684"/>
        <v>#DIV/0!</v>
      </c>
      <c r="FJ241" s="361"/>
      <c r="FK241" s="356" t="e">
        <f t="shared" si="685"/>
        <v>#VALUE!</v>
      </c>
      <c r="FL241" s="361"/>
      <c r="FM241" s="361"/>
      <c r="FN241" s="362" t="str">
        <f t="shared" si="778"/>
        <v xml:space="preserve"> </v>
      </c>
      <c r="FO241" s="362" t="str">
        <f t="shared" si="779"/>
        <v xml:space="preserve"> </v>
      </c>
      <c r="FP241" s="362">
        <f t="shared" si="780"/>
        <v>0</v>
      </c>
      <c r="FQ241" s="361">
        <f t="shared" si="686"/>
        <v>0</v>
      </c>
      <c r="FR241" s="362" t="str">
        <f>IF(L241&gt;0,IF(J241="CBAL2",Worksheet!$P$67,IF(J241="CBE2-24",Worksheet!$Q$67,IF(J241="CBAM",Worksheet!$R$67,IF(J241="CBLV",Worksheet!$S$67,IF(J241="CBAB",Worksheet!$U$67,IF(J241="CBAW",Worksheet!$X$67,IF(J241="CBE2-12",Worksheet!$Y$67,IF(J241="CBAL2",Worksheet!$Z$67,"N/A"))))))))," ")</f>
        <v xml:space="preserve"> </v>
      </c>
      <c r="FS241" s="362" t="str">
        <f>IF(L241&gt;0,IF(J241="CBAL2",Worksheet!$P$68,IF(J241="CBE2-24",Worksheet!$Q$68,IF(J241="CBAM",Worksheet!$R$68,IF(J241="CBLV",Worksheet!$S$68,IF(J241="CBAB",Worksheet!$U$68,IF(J241="CBAW",Worksheet!$X$68,IF(J241="CBE2-12",Worksheet!$Y$68,IF(J241="CBAL2",Worksheet!$Z$68,"N/A"))))))))," ")</f>
        <v xml:space="preserve"> </v>
      </c>
      <c r="FT241" s="362" t="str">
        <f>IF(L241&gt;0,IF(J241="CBAL2",Worksheet!$P$69,IF(J241="CBE2-24",Worksheet!$Q$69,IF(J241="CBAM",Worksheet!$R$69,IF(J241="CBLV",Worksheet!$S$69,IF(J241="CBAB",Worksheet!$U$69,IF(J241="CBAW",Worksheet!$X$69,IF(J241="CBE2-12",Worksheet!$Y$69,IF(J241="CBAL2",Worksheet!$Z$69,"N/A"))))))))," ")</f>
        <v xml:space="preserve"> </v>
      </c>
      <c r="FU241" s="361" t="str">
        <f t="shared" si="781"/>
        <v xml:space="preserve"> </v>
      </c>
      <c r="FV241" s="362" t="str">
        <f t="shared" si="782"/>
        <v xml:space="preserve"> </v>
      </c>
      <c r="FW241" s="362" t="str">
        <f t="shared" si="783"/>
        <v xml:space="preserve"> </v>
      </c>
      <c r="FX241" s="362" t="str">
        <f t="shared" si="784"/>
        <v xml:space="preserve"> </v>
      </c>
      <c r="FY241" s="355" t="str">
        <f t="shared" si="785"/>
        <v xml:space="preserve"> </v>
      </c>
      <c r="FZ241" s="361" t="str">
        <f t="shared" si="786"/>
        <v xml:space="preserve"> </v>
      </c>
      <c r="GA241" s="347" t="str">
        <f t="shared" si="787"/>
        <v xml:space="preserve"> </v>
      </c>
      <c r="GB241" s="355" t="str">
        <f t="shared" si="788"/>
        <v xml:space="preserve"> </v>
      </c>
      <c r="GC241" s="328" t="str">
        <f t="shared" si="789"/>
        <v xml:space="preserve"> </v>
      </c>
      <c r="GD241" s="361" t="str">
        <f t="shared" si="790"/>
        <v xml:space="preserve"> </v>
      </c>
      <c r="GE241" s="347" t="str">
        <f t="shared" si="791"/>
        <v xml:space="preserve"> </v>
      </c>
      <c r="GF241" s="361" t="str">
        <f t="shared" si="792"/>
        <v xml:space="preserve"> </v>
      </c>
      <c r="GG241" s="347" t="str">
        <f t="shared" si="793"/>
        <v xml:space="preserve"> </v>
      </c>
      <c r="GH241" s="364">
        <f t="shared" si="687"/>
        <v>0</v>
      </c>
      <c r="GI241" s="362">
        <f t="shared" si="794"/>
        <v>2</v>
      </c>
      <c r="GJ241" s="433" t="e">
        <f>IF(6-COUNTBLANK(GT241:GY241)=4,MATCH(MID(BO241,9,3),CLU!$H$16:$K$16),MATCH(MID(BO241,9,3),CLU!$H$13:$M$13))</f>
        <v>#N/A</v>
      </c>
      <c r="GK241" s="433" t="e">
        <f>HLOOKUP(VALUE(BP241),CLU!$H$9:$M$10,2)</f>
        <v>#VALUE!</v>
      </c>
      <c r="GL241" s="433" t="e">
        <f ca="1">MATCH(BU241,CLU!$H$2:$V$2,1)</f>
        <v>#VALUE!</v>
      </c>
      <c r="GM241" s="433" t="e">
        <f t="shared" ca="1" si="795"/>
        <v>#VALUE!</v>
      </c>
      <c r="GN241" s="433" t="e">
        <f t="shared" ca="1" si="796"/>
        <v>#VALUE!</v>
      </c>
      <c r="GO241" s="433" t="e">
        <f t="shared" ca="1" si="797"/>
        <v>#VALUE!</v>
      </c>
      <c r="GP241" s="433" t="e">
        <f t="shared" ca="1" si="798"/>
        <v>#VALUE!</v>
      </c>
      <c r="GQ241" s="433" t="e">
        <f t="shared" ca="1" si="799"/>
        <v>#VALUE!</v>
      </c>
      <c r="GR241" s="433" t="e">
        <f ca="1">MATCH(T241,INDIRECT(VLOOKUP(CONCATENATE(LEFT(BO241,7),"-",MID(BO241,13,1)),CLU!$P$3:$Q$16,2)),1)</f>
        <v>#N/A</v>
      </c>
      <c r="GS241" s="433" t="e">
        <f ca="1">MATCH(U241,INDIRECT(VLOOKUP(CONCATENATE(LEFT(BO241,7),"-",MID(BO241,13,1)),CLU!$P$3:$Q$16,2)),1)</f>
        <v>#N/A</v>
      </c>
      <c r="GT241" s="347" t="s">
        <v>512</v>
      </c>
      <c r="GU241" s="97" t="s">
        <v>513</v>
      </c>
      <c r="GV241" s="97" t="str">
        <f t="shared" si="800"/>
        <v>M23</v>
      </c>
      <c r="GW241" s="97" t="str">
        <f t="shared" si="801"/>
        <v>M31</v>
      </c>
      <c r="GX241" s="97" t="str">
        <f t="shared" si="802"/>
        <v/>
      </c>
      <c r="GY241" s="97" t="str">
        <f t="shared" si="803"/>
        <v/>
      </c>
      <c r="GZ241" s="481"/>
      <c r="HA241" s="288"/>
      <c r="HB241" s="240"/>
      <c r="HC241" s="240"/>
      <c r="HD241" s="240"/>
      <c r="HE241" s="240"/>
      <c r="HF241" s="240"/>
      <c r="HG241" s="240"/>
      <c r="HH241" s="240"/>
      <c r="HI241" s="240"/>
      <c r="HJ241" s="240"/>
      <c r="HK241" s="240"/>
      <c r="HL241" s="240"/>
      <c r="HM241" s="240"/>
      <c r="HN241" s="240"/>
      <c r="HO241" s="240"/>
      <c r="HP241" s="240"/>
      <c r="HQ241" s="240"/>
      <c r="HR241" s="240"/>
      <c r="HS241" s="240"/>
      <c r="HT241" s="240"/>
      <c r="HU241" s="240"/>
      <c r="HV241" s="245"/>
      <c r="HW241" s="245" t="b">
        <v>1</v>
      </c>
      <c r="HX241" s="245" t="str">
        <f t="shared" si="688"/>
        <v/>
      </c>
      <c r="HY241" s="245" t="e">
        <f t="shared" si="689"/>
        <v>#DIV/0!</v>
      </c>
      <c r="HZ241" s="245" t="e">
        <f t="shared" si="690"/>
        <v>#DIV/0!</v>
      </c>
      <c r="IA241" s="245">
        <f t="shared" si="691"/>
        <v>0</v>
      </c>
      <c r="IB241" s="245"/>
      <c r="IC241" t="b">
        <f t="shared" si="692"/>
        <v>1</v>
      </c>
      <c r="ID241" s="245" t="b">
        <f t="shared" si="693"/>
        <v>1</v>
      </c>
      <c r="IE241" s="245" t="b">
        <f t="shared" si="694"/>
        <v>1</v>
      </c>
      <c r="IF241" s="245" t="b">
        <f t="shared" si="695"/>
        <v>0</v>
      </c>
      <c r="IG241" s="245" t="b">
        <f t="shared" si="696"/>
        <v>1</v>
      </c>
      <c r="IH241" s="245" t="b">
        <f t="shared" si="697"/>
        <v>1</v>
      </c>
      <c r="II241" s="245">
        <f t="shared" si="804"/>
        <v>0</v>
      </c>
      <c r="IJ241" s="245" t="e">
        <f t="shared" si="698"/>
        <v>#VALUE!</v>
      </c>
      <c r="IK241" s="245" t="e">
        <f t="shared" si="699"/>
        <v>#VALUE!</v>
      </c>
      <c r="IL241" s="245"/>
      <c r="IM241" s="245" t="e">
        <f t="shared" si="805"/>
        <v>#N/A</v>
      </c>
      <c r="IN241" s="245" t="e">
        <f t="shared" si="806"/>
        <v>#N/A</v>
      </c>
      <c r="IO241" s="245"/>
      <c r="IP241" s="245"/>
      <c r="IQ241" s="245" t="str">
        <f t="shared" si="700"/>
        <v/>
      </c>
      <c r="IR241" s="245" t="str">
        <f>IF(J241="","",VLOOKUP(J241,Worksheet!$R$4:$T$14,2))</f>
        <v/>
      </c>
      <c r="IS241" s="245"/>
      <c r="IT241" s="245">
        <f t="shared" si="701"/>
        <v>0</v>
      </c>
      <c r="IU241" s="245">
        <f t="shared" si="702"/>
        <v>0</v>
      </c>
      <c r="IV241" s="245">
        <f t="shared" si="703"/>
        <v>0</v>
      </c>
      <c r="IW241" s="245">
        <f t="shared" si="704"/>
        <v>0</v>
      </c>
      <c r="IX241" s="245">
        <f t="shared" si="807"/>
        <v>0</v>
      </c>
      <c r="IY241" s="245">
        <f t="shared" si="705"/>
        <v>0</v>
      </c>
      <c r="IZ241" s="245">
        <f t="shared" si="706"/>
        <v>0</v>
      </c>
      <c r="JA241">
        <f t="shared" si="707"/>
        <v>0</v>
      </c>
      <c r="JB241">
        <f t="shared" si="808"/>
        <v>0</v>
      </c>
      <c r="JC241">
        <f t="shared" si="708"/>
        <v>0</v>
      </c>
      <c r="JD241">
        <f t="shared" si="709"/>
        <v>0</v>
      </c>
      <c r="JE241">
        <f t="shared" si="710"/>
        <v>0</v>
      </c>
      <c r="JF241">
        <f t="shared" si="711"/>
        <v>0</v>
      </c>
      <c r="JG241">
        <f t="shared" si="712"/>
        <v>0</v>
      </c>
      <c r="JH241">
        <f t="shared" si="713"/>
        <v>0</v>
      </c>
      <c r="JI241">
        <f t="shared" si="714"/>
        <v>0</v>
      </c>
      <c r="JJ241" s="447">
        <f t="shared" si="715"/>
        <v>0</v>
      </c>
      <c r="JK241" s="447">
        <f t="shared" si="716"/>
        <v>0</v>
      </c>
      <c r="JL241">
        <f t="shared" si="717"/>
        <v>0</v>
      </c>
      <c r="JM241" s="245" t="str">
        <f>IFERROR(VLOOKUP(MATCH(BN241,#REF!,0),#REF!,7),"")</f>
        <v/>
      </c>
      <c r="JN241" t="e">
        <f>HLOOKUP(LEFT(BO241,7),Discharge_Area,MATCH(JO241,LookUps!$B$130:$B$149,1)+2)</f>
        <v>#N/A</v>
      </c>
      <c r="JO241" t="str">
        <f t="shared" si="718"/>
        <v>- S</v>
      </c>
      <c r="JP241" t="e">
        <f>HLOOKUP(LEFT(BO241,7),Discharge_Area,MATCH(JO241,LookUps!$B$130:$B$149,1)+2)</f>
        <v>#N/A</v>
      </c>
      <c r="JQ241" t="e">
        <f t="shared" si="719"/>
        <v>#N/A</v>
      </c>
      <c r="JR241" t="e">
        <f t="shared" si="720"/>
        <v>#N/A</v>
      </c>
      <c r="JS241" t="e">
        <f t="shared" si="721"/>
        <v>#N/A</v>
      </c>
      <c r="JT241" s="532" t="str">
        <f t="shared" si="722"/>
        <v xml:space="preserve"> </v>
      </c>
      <c r="JU241" s="532" t="str">
        <f t="shared" si="723"/>
        <v xml:space="preserve"> </v>
      </c>
      <c r="JV241" s="533" t="str">
        <f t="shared" si="724"/>
        <v xml:space="preserve"> </v>
      </c>
      <c r="JW241" s="534">
        <f t="shared" si="725"/>
        <v>0</v>
      </c>
      <c r="JX241" s="535" t="str">
        <f t="shared" si="809"/>
        <v xml:space="preserve"> </v>
      </c>
      <c r="JY241" s="535" t="str">
        <f t="shared" si="810"/>
        <v xml:space="preserve"> </v>
      </c>
      <c r="JZ241" s="535" t="str">
        <f t="shared" si="811"/>
        <v xml:space="preserve"> </v>
      </c>
      <c r="KA241" s="536" t="str">
        <f t="shared" si="726"/>
        <v xml:space="preserve"> </v>
      </c>
      <c r="KB241" s="535" t="e">
        <f t="shared" si="812"/>
        <v>#VALUE!</v>
      </c>
      <c r="KC241" s="535" t="str">
        <f t="shared" si="727"/>
        <v/>
      </c>
      <c r="KD241" s="537" t="str">
        <f t="shared" si="813"/>
        <v xml:space="preserve"> </v>
      </c>
      <c r="KE241" s="537" t="str">
        <f t="shared" si="814"/>
        <v xml:space="preserve"> </v>
      </c>
      <c r="KF241" s="534">
        <f t="shared" si="728"/>
        <v>0</v>
      </c>
      <c r="KG241" s="535" t="str">
        <f t="shared" si="729"/>
        <v xml:space="preserve"> </v>
      </c>
      <c r="KH241" s="535" t="str">
        <f t="shared" si="730"/>
        <v xml:space="preserve"> </v>
      </c>
      <c r="KI241" s="535" t="str">
        <f t="shared" si="731"/>
        <v xml:space="preserve"> </v>
      </c>
      <c r="KJ241" s="536" t="str">
        <f t="shared" si="732"/>
        <v xml:space="preserve"> </v>
      </c>
      <c r="KK241" s="535" t="str">
        <f t="shared" si="815"/>
        <v xml:space="preserve"> </v>
      </c>
      <c r="KL241" s="535" t="str">
        <f t="shared" si="816"/>
        <v xml:space="preserve"> </v>
      </c>
      <c r="KM241" s="537" t="str">
        <f t="shared" si="733"/>
        <v xml:space="preserve"> </v>
      </c>
      <c r="KN241" s="537" t="str">
        <f t="shared" si="817"/>
        <v xml:space="preserve"> </v>
      </c>
      <c r="KP241">
        <f t="shared" si="734"/>
        <v>0</v>
      </c>
      <c r="LA241" t="e">
        <f t="shared" si="735"/>
        <v>#VALUE!</v>
      </c>
      <c r="LB241" t="e">
        <f t="shared" si="736"/>
        <v>#VALUE!</v>
      </c>
      <c r="LC241" t="e">
        <f t="shared" si="737"/>
        <v>#VALUE!</v>
      </c>
      <c r="LD241" t="e">
        <f t="shared" si="738"/>
        <v>#VALUE!</v>
      </c>
      <c r="LE241" t="e">
        <f t="shared" si="818"/>
        <v>#VALUE!</v>
      </c>
      <c r="LF241">
        <f t="shared" si="739"/>
        <v>0</v>
      </c>
      <c r="LG241" t="e">
        <f t="shared" si="819"/>
        <v>#VALUE!</v>
      </c>
      <c r="LH241" t="str">
        <f t="shared" si="740"/>
        <v xml:space="preserve"> </v>
      </c>
      <c r="LI241">
        <f t="shared" si="820"/>
        <v>1</v>
      </c>
    </row>
    <row r="242" spans="2:321" ht="15" customHeight="1">
      <c r="B242" s="311"/>
      <c r="C242" s="311"/>
      <c r="D242" s="312"/>
      <c r="E242" s="311"/>
      <c r="F242" s="312"/>
      <c r="G242" s="311"/>
      <c r="H242" s="311"/>
      <c r="I242" s="232"/>
      <c r="J242" s="311"/>
      <c r="K242" s="305" t="str">
        <f t="shared" si="741"/>
        <v/>
      </c>
      <c r="L242" s="313"/>
      <c r="M242" s="312"/>
      <c r="N242" s="311"/>
      <c r="O242" s="312"/>
      <c r="P242" s="311"/>
      <c r="Q242" s="305" t="str">
        <f t="shared" si="742"/>
        <v/>
      </c>
      <c r="R242" s="314"/>
      <c r="S242" s="450" t="str">
        <f t="shared" si="625"/>
        <v/>
      </c>
      <c r="T242" s="315"/>
      <c r="U242" s="315"/>
      <c r="W242" s="149" t="str">
        <f t="shared" si="626"/>
        <v xml:space="preserve"> </v>
      </c>
      <c r="X242" s="243" t="str">
        <f t="shared" si="627"/>
        <v xml:space="preserve"> </v>
      </c>
      <c r="Y242" s="150" t="str">
        <f t="shared" si="628"/>
        <v/>
      </c>
      <c r="Z242" s="149" t="str">
        <f t="shared" si="629"/>
        <v xml:space="preserve"> </v>
      </c>
      <c r="AA242" s="98" t="str">
        <f t="shared" si="630"/>
        <v xml:space="preserve"> </v>
      </c>
      <c r="AB242" s="153" t="str">
        <f t="shared" si="631"/>
        <v xml:space="preserve"> </v>
      </c>
      <c r="AC242" s="153" t="str">
        <f t="shared" si="632"/>
        <v xml:space="preserve"> </v>
      </c>
      <c r="AD242" s="148" t="str">
        <f t="shared" si="633"/>
        <v/>
      </c>
      <c r="AE242" s="149" t="str">
        <f t="shared" si="634"/>
        <v/>
      </c>
      <c r="AF242" s="151" t="str">
        <f t="shared" si="635"/>
        <v xml:space="preserve"> </v>
      </c>
      <c r="AG242" s="153" t="str">
        <f t="shared" si="636"/>
        <v xml:space="preserve"> </v>
      </c>
      <c r="AH242" s="98" t="str">
        <f t="shared" si="637"/>
        <v xml:space="preserve"> </v>
      </c>
      <c r="AI242" s="149" t="str">
        <f t="shared" si="638"/>
        <v xml:space="preserve"> </v>
      </c>
      <c r="AK242" s="144" t="str">
        <f t="shared" si="639"/>
        <v xml:space="preserve"> </v>
      </c>
      <c r="AL242" s="144"/>
      <c r="AM242" s="243" t="str">
        <f t="shared" si="640"/>
        <v xml:space="preserve"> </v>
      </c>
      <c r="AN242" s="149" t="str">
        <f t="shared" si="743"/>
        <v xml:space="preserve"> </v>
      </c>
      <c r="AO242" s="144" t="str">
        <f>IF(JB242&gt;0,IF(GI242=10,-R242*1.085*(Calculation!$F$6-Calculation!$F$13)*$S$14," "),"")</f>
        <v/>
      </c>
      <c r="AP242" s="144" t="str">
        <f t="shared" si="641"/>
        <v/>
      </c>
      <c r="AQ242" s="56" t="str">
        <f t="shared" si="642"/>
        <v/>
      </c>
      <c r="AR242" s="144" t="str">
        <f t="shared" si="643"/>
        <v/>
      </c>
      <c r="AS242" s="176" t="str">
        <f t="shared" si="644"/>
        <v/>
      </c>
      <c r="AT242" s="176" t="str">
        <f t="shared" si="744"/>
        <v xml:space="preserve"> </v>
      </c>
      <c r="AU242" s="176" t="str">
        <f t="shared" si="645"/>
        <v/>
      </c>
      <c r="AV242" s="177" t="str">
        <f t="shared" si="646"/>
        <v xml:space="preserve"> </v>
      </c>
      <c r="AW242" s="144" t="str">
        <f t="shared" si="647"/>
        <v xml:space="preserve"> </v>
      </c>
      <c r="AX242" s="144" t="str">
        <f t="shared" si="648"/>
        <v xml:space="preserve"> </v>
      </c>
      <c r="AY242" s="152" t="str">
        <f t="shared" si="649"/>
        <v xml:space="preserve"> </v>
      </c>
      <c r="AZ242" s="246" t="str">
        <f t="shared" si="650"/>
        <v/>
      </c>
      <c r="BA242" s="176" t="str">
        <f t="shared" si="651"/>
        <v xml:space="preserve"> </v>
      </c>
      <c r="BB242" s="176" t="str">
        <f t="shared" si="652"/>
        <v xml:space="preserve"> </v>
      </c>
      <c r="BC242" s="195"/>
      <c r="BD242" s="316"/>
      <c r="BE242" s="317"/>
      <c r="BF242" s="318"/>
      <c r="BG242" s="318"/>
      <c r="BH242" s="144" t="str">
        <f t="shared" si="821"/>
        <v xml:space="preserve"> </v>
      </c>
      <c r="BI242" s="176" t="str">
        <f t="shared" si="653"/>
        <v/>
      </c>
      <c r="BJ242" s="144" t="str">
        <f t="shared" si="822"/>
        <v/>
      </c>
      <c r="BK242" s="246" t="str">
        <f t="shared" si="654"/>
        <v/>
      </c>
      <c r="BL242" s="144" t="str">
        <f t="shared" si="823"/>
        <v/>
      </c>
      <c r="BM242" s="246" t="str">
        <f t="shared" si="655"/>
        <v/>
      </c>
      <c r="BN242" s="337" t="str">
        <f t="shared" si="745"/>
        <v/>
      </c>
      <c r="BO242" s="371" t="str">
        <f t="shared" si="746"/>
        <v/>
      </c>
      <c r="BP242" s="328" t="str">
        <f t="shared" si="824"/>
        <v xml:space="preserve"> </v>
      </c>
      <c r="BQ242" s="347" t="str">
        <f t="shared" si="747"/>
        <v xml:space="preserve"> </v>
      </c>
      <c r="BR242" s="353" t="str">
        <f t="shared" si="748"/>
        <v xml:space="preserve"> </v>
      </c>
      <c r="BS242" s="626" t="str">
        <f>IF(L242&gt;0,IF(Calculation!P242="M13",BR242*3.1416*(0.134^2)/(4*144),IF(Calculation!P242="M17",BR242*3.1416*(0.165^2)/(4*144),IF(Calculation!P242="M20",BR242*3.1416*(0.198^2)/(4*144),IF(Calculation!P242="M23",BR242*3.1416*(0.228^2)/(4*144),IF(Calculation!P242="M27",BR242*3.1416*(0.269^2)/(4*144),BR242*3.1416*(0.307^2)/(4*144))))))," ")</f>
        <v xml:space="preserve"> </v>
      </c>
      <c r="BT242" s="353" t="str">
        <f>IF(L242&gt;0,IF(BS242&gt;0,R242/Calculation!BS242,0)," ")</f>
        <v xml:space="preserve"> </v>
      </c>
      <c r="BU242" s="438" t="e">
        <f t="shared" ca="1" si="656"/>
        <v>#VALUE!</v>
      </c>
      <c r="BV242" s="449" t="e">
        <f ca="1">INDEX(INDIRECT(VLOOKUP(LEFT(BO242,7),CLU!$Z$3:$AH$18,2)),GN242,GR242)</f>
        <v>#N/A</v>
      </c>
      <c r="BW242" s="433" t="e">
        <f ca="1">INDEX(INDIRECT(VLOOKUP(LEFT(BO242,7),CLU!$Z$3:$AH$18,3)),GN242,GR242)</f>
        <v>#N/A</v>
      </c>
      <c r="BX242" s="433" t="e">
        <f ca="1">INDEX(INDIRECT(VLOOKUP(LEFT(BO242,7),CLU!$Z$3:$AH$18,4)),GN242,GR242)</f>
        <v>#N/A</v>
      </c>
      <c r="BY242" s="433" t="e">
        <f ca="1">INDEX(INDIRECT(VLOOKUP(LEFT(BO242,7),CLU!$Z$3:$AH$18,9)),((M242-2)*(6-COUNTBLANK(GT242:GY242)))+GJ242)</f>
        <v>#N/A</v>
      </c>
      <c r="BZ242" s="426" t="e">
        <f t="shared" ca="1" si="749"/>
        <v>#N/A</v>
      </c>
      <c r="CA242" s="424" t="e">
        <f t="shared" ca="1" si="750"/>
        <v>#N/A</v>
      </c>
      <c r="CB242" s="429" t="e">
        <f ca="1">INDEX(INDIRECT(VLOOKUP(LEFT(BO242,7),CLU!$Z$3:$AH$18,2)),GN242,GS242)</f>
        <v>#N/A</v>
      </c>
      <c r="CC242" s="342" t="e">
        <f ca="1">INDEX(INDIRECT(VLOOKUP(LEFT(BO242,7),CLU!$Z$3:$AH$18,3)),GN242,GS242)</f>
        <v>#N/A</v>
      </c>
      <c r="CD242" s="342" t="e">
        <f ca="1">INDEX(INDIRECT(VLOOKUP(LEFT(BO242,7),CLU!$Z$3:$AH$18,4)),GN242,GS242)</f>
        <v>#N/A</v>
      </c>
      <c r="CE242" s="426" t="e">
        <f t="shared" ca="1" si="751"/>
        <v>#N/A</v>
      </c>
      <c r="CF242" s="440">
        <f t="shared" si="752"/>
        <v>0</v>
      </c>
      <c r="CG242" s="431" t="e">
        <f ca="1">INDEX(INDIRECT(VLOOKUP(LEFT(BO242,7),CLU!$Z$3:$AH$18,2)),GQ242,GR242)</f>
        <v>#N/A</v>
      </c>
      <c r="CH242" s="431" t="e">
        <f ca="1">INDEX(INDIRECT(VLOOKUP(LEFT(BO242,7),CLU!$Z$3:$AH$18,3)),GQ242,GR242)</f>
        <v>#N/A</v>
      </c>
      <c r="CI242" s="431" t="e">
        <f ca="1">INDEX(INDIRECT(VLOOKUP(LEFT(BO242,7),CLU!$Z$3:$AH$18,4)),GQ242,GR242)</f>
        <v>#N/A</v>
      </c>
      <c r="CJ242" s="448" t="e">
        <f t="shared" ca="1" si="753"/>
        <v>#N/A</v>
      </c>
      <c r="CK242" s="431" t="e">
        <f t="shared" ca="1" si="754"/>
        <v>#N/A</v>
      </c>
      <c r="CL242" s="440" t="e">
        <f t="shared" ca="1" si="755"/>
        <v>#N/A</v>
      </c>
      <c r="CM242" s="431" t="e">
        <f ca="1">INDEX(INDIRECT(VLOOKUP(LEFT(BO242,7),CLU!$Z$3:$AH$18,2)),GQ242,GS242)</f>
        <v>#N/A</v>
      </c>
      <c r="CN242" s="431" t="e">
        <f ca="1">INDEX(INDIRECT(VLOOKUP(LEFT(BO242,7),CLU!$Z$3:$AH$18,3)),GQ242,GS242)</f>
        <v>#N/A</v>
      </c>
      <c r="CO242" s="431" t="e">
        <f ca="1">INDEX(INDIRECT(VLOOKUP(LEFT(BO242,7),CLU!$Z$3:$AH$18,4)),GQ242,GS242)</f>
        <v>#N/A</v>
      </c>
      <c r="CP242" s="431" t="e">
        <f t="shared" ca="1" si="756"/>
        <v>#N/A</v>
      </c>
      <c r="CQ242" s="440">
        <f t="shared" si="757"/>
        <v>0</v>
      </c>
      <c r="CR242" s="51" t="e">
        <f t="shared" ca="1" si="758"/>
        <v>#N/A</v>
      </c>
      <c r="CS242" s="439" t="e">
        <f t="shared" ca="1" si="759"/>
        <v>#VALUE!</v>
      </c>
      <c r="CT242" s="51" t="e">
        <f t="shared" ca="1" si="760"/>
        <v>#VALUE!</v>
      </c>
      <c r="CU242" s="10"/>
      <c r="CV242" s="51" t="e">
        <f t="shared" ca="1" si="657"/>
        <v>#VALUE!</v>
      </c>
      <c r="CW242" s="51">
        <f t="shared" si="761"/>
        <v>0</v>
      </c>
      <c r="CX242" s="439" t="e">
        <f t="shared" ca="1" si="762"/>
        <v>#VALUE!</v>
      </c>
      <c r="CY242" s="51" t="e">
        <f t="shared" ca="1" si="763"/>
        <v>#VALUE!</v>
      </c>
      <c r="CZ242" s="10"/>
      <c r="DA242" s="51" t="e">
        <f t="shared" ca="1" si="764"/>
        <v>#VALUE!</v>
      </c>
      <c r="DB242" s="347" t="e">
        <f ca="1">INDEX(INDIRECT(VLOOKUP(LEFT(BO242,7),CLU!$Z$3:$AI$18,10)),((M242-2)*(6-COUNTBLANK(GT242:GY242)))+GJ242)*LI242</f>
        <v>#N/A</v>
      </c>
      <c r="DC242" s="347" t="str">
        <f>IF(L242&gt;0,((R242/Worksheet!$I$15)/DB242)^2," ")</f>
        <v xml:space="preserve"> </v>
      </c>
      <c r="DD242" s="602" t="str">
        <f t="shared" si="765"/>
        <v xml:space="preserve"> </v>
      </c>
      <c r="DE242" s="347" t="str">
        <f t="shared" si="658"/>
        <v xml:space="preserve"> </v>
      </c>
      <c r="DF242" s="356" t="e">
        <f ca="1">INDEX(INDIRECT(VLOOKUP(LEFT(BO242,7),CLU!$Z$3:$AH$18,8)),((M242-2)*(6-COUNTBLANK(GT242:GY242)))+GJ242)</f>
        <v>#N/A</v>
      </c>
      <c r="DG242" s="347" t="str">
        <f t="shared" si="659"/>
        <v xml:space="preserve"> </v>
      </c>
      <c r="DH242" s="357" t="str">
        <f t="shared" si="660"/>
        <v xml:space="preserve"> </v>
      </c>
      <c r="DI242" s="355" t="str">
        <f t="shared" si="661"/>
        <v xml:space="preserve"> </v>
      </c>
      <c r="DJ242" s="245" t="e">
        <f ca="1">INDEX(INDIRECT(VLOOKUP(LEFT(BO242,7),CLU!$Z$3:$AH$18,5)),GL242,GK242)</f>
        <v>#N/A</v>
      </c>
      <c r="DK242" s="245" t="e">
        <f ca="1">INDEX(INDIRECT(VLOOKUP(LEFT(BO242,7),CLU!$Z$3:$AH$18,6)),GL242,GK242)</f>
        <v>#N/A</v>
      </c>
      <c r="DL242" s="355">
        <f>(Calculation!R242*0.69143*(Calculation!$BQ$8-Calculation!$F$8))*$S$14</f>
        <v>0</v>
      </c>
      <c r="DM242" s="359" t="e">
        <f t="shared" si="766"/>
        <v>#VALUE!</v>
      </c>
      <c r="DN242" s="611">
        <f t="shared" si="767"/>
        <v>0</v>
      </c>
      <c r="DO242" s="359">
        <f t="shared" si="768"/>
        <v>100</v>
      </c>
      <c r="DP242" s="359">
        <f t="shared" si="769"/>
        <v>0</v>
      </c>
      <c r="DQ242" s="360"/>
      <c r="DR242" s="245" t="e">
        <f ca="1">INDEX(INDIRECT(VLOOKUP(LEFT(BO242,7),CLU!$Z$3:$AH$18,7)),M242-1,1)</f>
        <v>#N/A</v>
      </c>
      <c r="DS242" s="245" t="e">
        <f ca="1">INDEX(INDIRECT(VLOOKUP(LEFT(BO242,7),CLU!$Z$3:$AH$18,7)),M242-1,2)</f>
        <v>#N/A</v>
      </c>
      <c r="DT242" s="245" t="e">
        <f ca="1">INDEX(INDIRECT(VLOOKUP(LEFT(BO242,7),CLU!$Z$3:$AH$18,7)),M242-1,3)</f>
        <v>#N/A</v>
      </c>
      <c r="DU242" s="245" t="e">
        <f ca="1">INDEX(INDIRECT(VLOOKUP(LEFT(BO242,7),CLU!$Z$3:$AH$18,7)),M242-1,4)</f>
        <v>#N/A</v>
      </c>
      <c r="DV242" s="361" t="e">
        <f ca="1">INDEX(INDIRECT(VLOOKUP(LEFT(BO242,7),CLU!$Z$3:$AH$18,7)),M242-1,4+LEFT(DZ242,1)*0.5)</f>
        <v>#N/A</v>
      </c>
      <c r="DW242" s="245" t="e">
        <f ca="1">INDEX(INDIRECT(VLOOKUP(LEFT(BO242,7),CLU!$Z$3:$AH$18,7)),M242-1,8)</f>
        <v>#N/A</v>
      </c>
      <c r="DX242" s="361" t="str">
        <f t="shared" si="662"/>
        <v xml:space="preserve"> </v>
      </c>
      <c r="DY242" s="361" t="str">
        <f t="shared" si="663"/>
        <v xml:space="preserve"> </v>
      </c>
      <c r="DZ242" s="361" t="str">
        <f t="shared" si="664"/>
        <v xml:space="preserve"> </v>
      </c>
      <c r="EA242" s="362" t="str">
        <f t="shared" si="665"/>
        <v xml:space="preserve"> </v>
      </c>
      <c r="EB242" s="624" t="str">
        <f t="shared" si="770"/>
        <v xml:space="preserve"> </v>
      </c>
      <c r="EC242" s="361" t="e">
        <f ca="1">INDEX(INDIRECT(VLOOKUP(LEFT(BO242,7),CLU!$Z$3:$AH$18,7)),M242-1,4+LEFT(DZ242,1)*0.5)</f>
        <v>#N/A</v>
      </c>
      <c r="ED242" s="362" t="str">
        <f t="shared" si="666"/>
        <v xml:space="preserve"> </v>
      </c>
      <c r="EE242" s="361" t="str">
        <f t="shared" si="667"/>
        <v xml:space="preserve"> </v>
      </c>
      <c r="EF242" s="362" t="str">
        <f>IF(L242&gt;0,IF(BR242&gt;0,IF(EE242="2P",IF(Calculation!DZ242="2P",IF(Calculation!DS242=13.75,IF(Calculation!DR242=13,Worksheet!$BD$43,IF(Calculation!DR242=37,Worksheet!$BD$44,Worksheet!$BD$45)),IF(Calculation!DS242=10,IF(Calculation!DR242=18,Worksheet!$BD$29,IF(Calculation!DR242=30,Worksheet!$BD$30,IF(Calculation!DR242=42,Worksheet!$BD$31,IF(Calculation!DR242=54,Worksheet!$BD$32,IF(Calculation!DR242=66,Worksheet!$BD$33,IF(Calculation!DR242=78,Worksheet!$BD$34,IF(Calculation!DR242=90,Worksheet!$BD$35,IF(Calculation!DR242=102,Worksheet!$BD$36,Worksheet!$BD$37)))))))),IF(Calculation!DS242=12.5,IF(Calculation!DR242=18,Worksheet!$BD$38,IF(Calculation!DR242=Worksheet!$BD$39,IF(Calculation!DR242=42,Worksheet!$BD$40,IF(Calculation!DR242=54,Worksheet!$BD$41,Worksheet!$BD$42)))),IF(Calculation!DR242=18,Worksheet!$BD$11,IF(Calculation!DR242=30,Worksheet!$BD$12,IF(Calculation!DR242=42,Worksheet!$BD$13,IF(Calculation!DR242=54,Worksheet!$BD$14,IF(Calculation!DR242=66,Worksheet!$BD$15,IF(Calculation!DR242=78,Worksheet!$BD$16,IF(Calculation!DR242=90,Worksheet!$BD$17,IF(Calculation!DR242=102,Worksheet!$BD$18,Worksheet!$BD$19))))))))))),IF(Calculation!DS242=13.75,IF(Calculation!DR242=13,Worksheet!$BD$78,IF(Calculation!DR242=37,Worksheet!$BD$79,Worksheet!$BD$80)),IF(Calculation!DS242=10,IF(Calculation!DR242=18,Worksheet!$BD$64,IF(Calculation!DR242=30,Worksheet!$BD$65,IF(Calculation!DR242=42,Worksheet!$BD$66,IF(Calculation!DR242=54,Worksheet!$BD$68,IF(Calculation!DR242=66,Worksheet!$BD$68,IF(Calculation!DR242=78,Worksheet!$BD$69,IF(Calculation!DR242=90,Worksheet!$BD$70,IF(Calculation!DR242=102,Worksheet!$BD$71,Worksheet!$BD$72)))))))),IF(Calculation!DS242=12.5,IF(Calculation!DR242=18,Worksheet!$BD$73,IF(Calculation!DR242=Worksheet!$BD$74,IF(Calculation!DR242=42,Worksheet!$BD$75,IF(Calculation!DR242=54,Worksheet!$BD$76,Worksheet!$BD$77)))),IF(Calculation!DR242=18,Worksheet!$BD$55,IF(Calculation!DR242=30,Worksheet!$BD$56,IF(Calculation!DR242=42,Worksheet!$BD$57,IF(Calculation!DR242=54,Worksheet!$BD$58,IF(Calculation!DR242=66,Worksheet!$BD$59,IF(Calculation!DR242=78,Worksheet!$BD$60,IF(Calculation!DR242=90,Worksheet!$BD$61,IF(Calculation!DR242=102,Worksheet!$BD$62,Worksheet!$BD$63)))))))))))),5),0)," ")</f>
        <v xml:space="preserve"> </v>
      </c>
      <c r="EG242" s="361" t="str">
        <f t="shared" si="668"/>
        <v xml:space="preserve"> </v>
      </c>
      <c r="EH242" s="361" t="e">
        <f ca="1">INDEX(INDIRECT(VLOOKUP(LEFT(BO242,7),CLU!$Z$3:$AH$18,7)),M242-1,3+LEFT(DZ242,1))</f>
        <v>#N/A</v>
      </c>
      <c r="EI242" s="362" t="str">
        <f t="shared" si="669"/>
        <v xml:space="preserve"> </v>
      </c>
      <c r="EJ242" s="363" t="str">
        <f t="shared" si="670"/>
        <v xml:space="preserve"> </v>
      </c>
      <c r="EK242" s="363" t="str">
        <f t="shared" si="671"/>
        <v xml:space="preserve"> </v>
      </c>
      <c r="EL242" s="363" t="str">
        <f t="shared" si="672"/>
        <v xml:space="preserve"> </v>
      </c>
      <c r="EM242" s="362" t="str">
        <f>IF(L242&gt;0,IF(BR242&gt;0,(Calculation!T242/ED242)^2,0)," ")</f>
        <v xml:space="preserve"> </v>
      </c>
      <c r="EN242" s="362" t="str">
        <f>IF(L242&gt;0,IF(O242="2 Pipe (Cooling)","N/A",IF(BR242&gt;0,(Calculation!U242/EI242)^2,0))," ")</f>
        <v xml:space="preserve"> </v>
      </c>
      <c r="EO242" s="361" t="str">
        <f t="shared" si="673"/>
        <v/>
      </c>
      <c r="EP242" s="361" t="str">
        <f t="shared" si="674"/>
        <v/>
      </c>
      <c r="EQ242" s="361" t="str">
        <f t="shared" si="675"/>
        <v/>
      </c>
      <c r="ER242" s="361" t="str">
        <f t="shared" si="676"/>
        <v/>
      </c>
      <c r="ES242" s="361" t="str">
        <f t="shared" si="677"/>
        <v/>
      </c>
      <c r="ET242" s="361" t="str">
        <f t="shared" si="678"/>
        <v/>
      </c>
      <c r="EU242" s="361" t="str">
        <f t="shared" si="679"/>
        <v/>
      </c>
      <c r="EV242" s="361" t="str">
        <f t="shared" si="680"/>
        <v/>
      </c>
      <c r="EW242" s="361" t="str">
        <f t="shared" si="681"/>
        <v/>
      </c>
      <c r="EX242" s="361" t="str">
        <f t="shared" si="771"/>
        <v>1 slot, 1 way</v>
      </c>
      <c r="EY242" s="361" t="str">
        <f t="shared" si="772"/>
        <v xml:space="preserve"> </v>
      </c>
      <c r="EZ242" s="361" t="str">
        <f t="shared" si="773"/>
        <v xml:space="preserve"> </v>
      </c>
      <c r="FA242" s="361" t="str">
        <f t="shared" si="774"/>
        <v xml:space="preserve"> </v>
      </c>
      <c r="FB242" s="361" t="str">
        <f t="shared" si="775"/>
        <v xml:space="preserve"> </v>
      </c>
      <c r="FC242" s="361"/>
      <c r="FD242" s="361" t="str">
        <f>IF(J242&gt;0,IF(Calculation!R242&lt;=70,4,IF(Calculation!R242&lt;=110,5,IF(Calculation!R242&lt;=160,6,IF(Calculation!R242&lt;=300,8,"10 EO")))),"")</f>
        <v/>
      </c>
      <c r="FE242" s="361" t="str">
        <f t="shared" si="776"/>
        <v/>
      </c>
      <c r="FF242" s="361" t="str">
        <f t="shared" si="777"/>
        <v/>
      </c>
      <c r="FG242" s="361" t="e">
        <f t="shared" si="682"/>
        <v>#N/A</v>
      </c>
      <c r="FH242" s="361">
        <f t="shared" si="683"/>
        <v>0</v>
      </c>
      <c r="FI242" s="361" t="e">
        <f t="shared" si="684"/>
        <v>#DIV/0!</v>
      </c>
      <c r="FJ242" s="361"/>
      <c r="FK242" s="356" t="e">
        <f t="shared" si="685"/>
        <v>#VALUE!</v>
      </c>
      <c r="FL242" s="361"/>
      <c r="FM242" s="361"/>
      <c r="FN242" s="362" t="str">
        <f t="shared" si="778"/>
        <v xml:space="preserve"> </v>
      </c>
      <c r="FO242" s="362" t="str">
        <f t="shared" si="779"/>
        <v xml:space="preserve"> </v>
      </c>
      <c r="FP242" s="362">
        <f t="shared" si="780"/>
        <v>0</v>
      </c>
      <c r="FQ242" s="361">
        <f t="shared" si="686"/>
        <v>0</v>
      </c>
      <c r="FR242" s="362" t="str">
        <f>IF(L242&gt;0,IF(J242="CBAL2",Worksheet!$P$67,IF(J242="CBE2-24",Worksheet!$Q$67,IF(J242="CBAM",Worksheet!$R$67,IF(J242="CBLV",Worksheet!$S$67,IF(J242="CBAB",Worksheet!$U$67,IF(J242="CBAW",Worksheet!$X$67,IF(J242="CBE2-12",Worksheet!$Y$67,IF(J242="CBAL2",Worksheet!$Z$67,"N/A"))))))))," ")</f>
        <v xml:space="preserve"> </v>
      </c>
      <c r="FS242" s="362" t="str">
        <f>IF(L242&gt;0,IF(J242="CBAL2",Worksheet!$P$68,IF(J242="CBE2-24",Worksheet!$Q$68,IF(J242="CBAM",Worksheet!$R$68,IF(J242="CBLV",Worksheet!$S$68,IF(J242="CBAB",Worksheet!$U$68,IF(J242="CBAW",Worksheet!$X$68,IF(J242="CBE2-12",Worksheet!$Y$68,IF(J242="CBAL2",Worksheet!$Z$68,"N/A"))))))))," ")</f>
        <v xml:space="preserve"> </v>
      </c>
      <c r="FT242" s="362" t="str">
        <f>IF(L242&gt;0,IF(J242="CBAL2",Worksheet!$P$69,IF(J242="CBE2-24",Worksheet!$Q$69,IF(J242="CBAM",Worksheet!$R$69,IF(J242="CBLV",Worksheet!$S$69,IF(J242="CBAB",Worksheet!$U$69,IF(J242="CBAW",Worksheet!$X$69,IF(J242="CBE2-12",Worksheet!$Y$69,IF(J242="CBAL2",Worksheet!$Z$69,"N/A"))))))))," ")</f>
        <v xml:space="preserve"> </v>
      </c>
      <c r="FU242" s="361" t="str">
        <f t="shared" si="781"/>
        <v xml:space="preserve"> </v>
      </c>
      <c r="FV242" s="362" t="str">
        <f t="shared" si="782"/>
        <v xml:space="preserve"> </v>
      </c>
      <c r="FW242" s="362" t="str">
        <f t="shared" si="783"/>
        <v xml:space="preserve"> </v>
      </c>
      <c r="FX242" s="362" t="str">
        <f t="shared" si="784"/>
        <v xml:space="preserve"> </v>
      </c>
      <c r="FY242" s="355" t="str">
        <f t="shared" si="785"/>
        <v xml:space="preserve"> </v>
      </c>
      <c r="FZ242" s="361" t="str">
        <f t="shared" si="786"/>
        <v xml:space="preserve"> </v>
      </c>
      <c r="GA242" s="347" t="str">
        <f t="shared" si="787"/>
        <v xml:space="preserve"> </v>
      </c>
      <c r="GB242" s="355" t="str">
        <f t="shared" si="788"/>
        <v xml:space="preserve"> </v>
      </c>
      <c r="GC242" s="328" t="str">
        <f t="shared" si="789"/>
        <v xml:space="preserve"> </v>
      </c>
      <c r="GD242" s="361" t="str">
        <f t="shared" si="790"/>
        <v xml:space="preserve"> </v>
      </c>
      <c r="GE242" s="347" t="str">
        <f t="shared" si="791"/>
        <v xml:space="preserve"> </v>
      </c>
      <c r="GF242" s="361" t="str">
        <f t="shared" si="792"/>
        <v xml:space="preserve"> </v>
      </c>
      <c r="GG242" s="347" t="str">
        <f t="shared" si="793"/>
        <v xml:space="preserve"> </v>
      </c>
      <c r="GH242" s="364">
        <f t="shared" si="687"/>
        <v>0</v>
      </c>
      <c r="GI242" s="362">
        <f t="shared" si="794"/>
        <v>2</v>
      </c>
      <c r="GJ242" s="433" t="e">
        <f>IF(6-COUNTBLANK(GT242:GY242)=4,MATCH(MID(BO242,9,3),CLU!$H$16:$K$16),MATCH(MID(BO242,9,3),CLU!$H$13:$M$13))</f>
        <v>#N/A</v>
      </c>
      <c r="GK242" s="433" t="e">
        <f>HLOOKUP(VALUE(BP242),CLU!$H$9:$M$10,2)</f>
        <v>#VALUE!</v>
      </c>
      <c r="GL242" s="433" t="e">
        <f ca="1">MATCH(BU242,CLU!$H$2:$V$2,1)</f>
        <v>#VALUE!</v>
      </c>
      <c r="GM242" s="433" t="e">
        <f t="shared" ca="1" si="795"/>
        <v>#VALUE!</v>
      </c>
      <c r="GN242" s="433" t="e">
        <f t="shared" ca="1" si="796"/>
        <v>#VALUE!</v>
      </c>
      <c r="GO242" s="433" t="e">
        <f t="shared" ca="1" si="797"/>
        <v>#VALUE!</v>
      </c>
      <c r="GP242" s="433" t="e">
        <f t="shared" ca="1" si="798"/>
        <v>#VALUE!</v>
      </c>
      <c r="GQ242" s="433" t="e">
        <f t="shared" ca="1" si="799"/>
        <v>#VALUE!</v>
      </c>
      <c r="GR242" s="433" t="e">
        <f ca="1">MATCH(T242,INDIRECT(VLOOKUP(CONCATENATE(LEFT(BO242,7),"-",MID(BO242,13,1)),CLU!$P$3:$Q$16,2)),1)</f>
        <v>#N/A</v>
      </c>
      <c r="GS242" s="433" t="e">
        <f ca="1">MATCH(U242,INDIRECT(VLOOKUP(CONCATENATE(LEFT(BO242,7),"-",MID(BO242,13,1)),CLU!$P$3:$Q$16,2)),1)</f>
        <v>#N/A</v>
      </c>
      <c r="GT242" s="347" t="s">
        <v>512</v>
      </c>
      <c r="GU242" s="97" t="s">
        <v>513</v>
      </c>
      <c r="GV242" s="97" t="str">
        <f t="shared" si="800"/>
        <v>M23</v>
      </c>
      <c r="GW242" s="97" t="str">
        <f t="shared" si="801"/>
        <v>M31</v>
      </c>
      <c r="GX242" s="97" t="str">
        <f t="shared" si="802"/>
        <v/>
      </c>
      <c r="GY242" s="97" t="str">
        <f t="shared" si="803"/>
        <v/>
      </c>
      <c r="GZ242" s="481"/>
      <c r="HA242" s="288"/>
      <c r="HB242" s="240"/>
      <c r="HC242" s="240"/>
      <c r="HD242" s="240"/>
      <c r="HE242" s="240"/>
      <c r="HF242" s="240"/>
      <c r="HG242" s="240"/>
      <c r="HH242" s="240"/>
      <c r="HI242" s="240"/>
      <c r="HJ242" s="240"/>
      <c r="HK242" s="240"/>
      <c r="HL242" s="240"/>
      <c r="HM242" s="240"/>
      <c r="HN242" s="240"/>
      <c r="HO242" s="240"/>
      <c r="HP242" s="240"/>
      <c r="HQ242" s="240"/>
      <c r="HR242" s="240"/>
      <c r="HS242" s="240"/>
      <c r="HT242" s="240"/>
      <c r="HU242" s="240"/>
      <c r="HV242" s="245"/>
      <c r="HW242" s="245" t="b">
        <v>1</v>
      </c>
      <c r="HX242" s="245" t="str">
        <f t="shared" si="688"/>
        <v/>
      </c>
      <c r="HY242" s="245" t="e">
        <f t="shared" si="689"/>
        <v>#DIV/0!</v>
      </c>
      <c r="HZ242" s="245" t="e">
        <f t="shared" si="690"/>
        <v>#DIV/0!</v>
      </c>
      <c r="IA242" s="245">
        <f t="shared" si="691"/>
        <v>0</v>
      </c>
      <c r="IB242" s="245"/>
      <c r="IC242" t="b">
        <f t="shared" si="692"/>
        <v>1</v>
      </c>
      <c r="ID242" s="245" t="b">
        <f t="shared" si="693"/>
        <v>1</v>
      </c>
      <c r="IE242" s="245" t="b">
        <f t="shared" si="694"/>
        <v>1</v>
      </c>
      <c r="IF242" s="245" t="b">
        <f t="shared" si="695"/>
        <v>0</v>
      </c>
      <c r="IG242" s="245" t="b">
        <f t="shared" si="696"/>
        <v>1</v>
      </c>
      <c r="IH242" s="245" t="b">
        <f t="shared" si="697"/>
        <v>1</v>
      </c>
      <c r="II242" s="245">
        <f t="shared" si="804"/>
        <v>0</v>
      </c>
      <c r="IJ242" s="245" t="e">
        <f t="shared" si="698"/>
        <v>#VALUE!</v>
      </c>
      <c r="IK242" s="245" t="e">
        <f t="shared" si="699"/>
        <v>#VALUE!</v>
      </c>
      <c r="IL242" s="245"/>
      <c r="IM242" s="245" t="e">
        <f t="shared" si="805"/>
        <v>#N/A</v>
      </c>
      <c r="IN242" s="245" t="e">
        <f t="shared" si="806"/>
        <v>#N/A</v>
      </c>
      <c r="IO242" s="245"/>
      <c r="IP242" s="245"/>
      <c r="IQ242" s="245" t="str">
        <f t="shared" si="700"/>
        <v/>
      </c>
      <c r="IR242" s="245" t="str">
        <f>IF(J242="","",VLOOKUP(J242,Worksheet!$R$4:$T$14,2))</f>
        <v/>
      </c>
      <c r="IS242" s="245"/>
      <c r="IT242" s="245">
        <f t="shared" si="701"/>
        <v>0</v>
      </c>
      <c r="IU242" s="245">
        <f t="shared" si="702"/>
        <v>0</v>
      </c>
      <c r="IV242" s="245">
        <f t="shared" si="703"/>
        <v>0</v>
      </c>
      <c r="IW242" s="245">
        <f t="shared" si="704"/>
        <v>0</v>
      </c>
      <c r="IX242" s="245">
        <f t="shared" si="807"/>
        <v>0</v>
      </c>
      <c r="IY242" s="245">
        <f t="shared" si="705"/>
        <v>0</v>
      </c>
      <c r="IZ242" s="245">
        <f t="shared" si="706"/>
        <v>0</v>
      </c>
      <c r="JA242">
        <f t="shared" si="707"/>
        <v>0</v>
      </c>
      <c r="JB242">
        <f t="shared" si="808"/>
        <v>0</v>
      </c>
      <c r="JC242">
        <f t="shared" si="708"/>
        <v>0</v>
      </c>
      <c r="JD242">
        <f t="shared" si="709"/>
        <v>0</v>
      </c>
      <c r="JE242">
        <f t="shared" si="710"/>
        <v>0</v>
      </c>
      <c r="JF242">
        <f t="shared" si="711"/>
        <v>0</v>
      </c>
      <c r="JG242">
        <f t="shared" si="712"/>
        <v>0</v>
      </c>
      <c r="JH242">
        <f t="shared" si="713"/>
        <v>0</v>
      </c>
      <c r="JI242">
        <f t="shared" si="714"/>
        <v>0</v>
      </c>
      <c r="JJ242" s="447">
        <f t="shared" si="715"/>
        <v>0</v>
      </c>
      <c r="JK242" s="447">
        <f t="shared" si="716"/>
        <v>0</v>
      </c>
      <c r="JL242">
        <f t="shared" si="717"/>
        <v>0</v>
      </c>
      <c r="JM242" s="245" t="str">
        <f>IFERROR(VLOOKUP(MATCH(BN242,#REF!,0),#REF!,7),"")</f>
        <v/>
      </c>
      <c r="JN242" t="e">
        <f>HLOOKUP(LEFT(BO242,7),Discharge_Area,MATCH(JO242,LookUps!$B$130:$B$149,1)+2)</f>
        <v>#N/A</v>
      </c>
      <c r="JO242" t="str">
        <f t="shared" si="718"/>
        <v>- S</v>
      </c>
      <c r="JP242" t="e">
        <f>HLOOKUP(LEFT(BO242,7),Discharge_Area,MATCH(JO242,LookUps!$B$130:$B$149,1)+2)</f>
        <v>#N/A</v>
      </c>
      <c r="JQ242" t="e">
        <f t="shared" si="719"/>
        <v>#N/A</v>
      </c>
      <c r="JR242" t="e">
        <f t="shared" si="720"/>
        <v>#N/A</v>
      </c>
      <c r="JS242" t="e">
        <f t="shared" si="721"/>
        <v>#N/A</v>
      </c>
      <c r="JT242" s="532" t="str">
        <f t="shared" si="722"/>
        <v xml:space="preserve"> </v>
      </c>
      <c r="JU242" s="532" t="str">
        <f t="shared" si="723"/>
        <v xml:space="preserve"> </v>
      </c>
      <c r="JV242" s="533" t="str">
        <f t="shared" si="724"/>
        <v xml:space="preserve"> </v>
      </c>
      <c r="JW242" s="534">
        <f t="shared" si="725"/>
        <v>0</v>
      </c>
      <c r="JX242" s="535" t="str">
        <f t="shared" si="809"/>
        <v xml:space="preserve"> </v>
      </c>
      <c r="JY242" s="535" t="str">
        <f t="shared" si="810"/>
        <v xml:space="preserve"> </v>
      </c>
      <c r="JZ242" s="535" t="str">
        <f t="shared" si="811"/>
        <v xml:space="preserve"> </v>
      </c>
      <c r="KA242" s="536" t="str">
        <f t="shared" si="726"/>
        <v xml:space="preserve"> </v>
      </c>
      <c r="KB242" s="535" t="e">
        <f t="shared" si="812"/>
        <v>#VALUE!</v>
      </c>
      <c r="KC242" s="535" t="str">
        <f t="shared" si="727"/>
        <v/>
      </c>
      <c r="KD242" s="537" t="str">
        <f t="shared" si="813"/>
        <v xml:space="preserve"> </v>
      </c>
      <c r="KE242" s="537" t="str">
        <f t="shared" si="814"/>
        <v xml:space="preserve"> </v>
      </c>
      <c r="KF242" s="534">
        <f t="shared" si="728"/>
        <v>0</v>
      </c>
      <c r="KG242" s="535" t="str">
        <f t="shared" si="729"/>
        <v xml:space="preserve"> </v>
      </c>
      <c r="KH242" s="535" t="str">
        <f t="shared" si="730"/>
        <v xml:space="preserve"> </v>
      </c>
      <c r="KI242" s="535" t="str">
        <f t="shared" si="731"/>
        <v xml:space="preserve"> </v>
      </c>
      <c r="KJ242" s="536" t="str">
        <f t="shared" si="732"/>
        <v xml:space="preserve"> </v>
      </c>
      <c r="KK242" s="535" t="str">
        <f t="shared" si="815"/>
        <v xml:space="preserve"> </v>
      </c>
      <c r="KL242" s="535" t="str">
        <f t="shared" si="816"/>
        <v xml:space="preserve"> </v>
      </c>
      <c r="KM242" s="537" t="str">
        <f t="shared" si="733"/>
        <v xml:space="preserve"> </v>
      </c>
      <c r="KN242" s="537" t="str">
        <f t="shared" si="817"/>
        <v xml:space="preserve"> </v>
      </c>
      <c r="KP242">
        <f t="shared" si="734"/>
        <v>0</v>
      </c>
      <c r="LA242" t="e">
        <f t="shared" si="735"/>
        <v>#VALUE!</v>
      </c>
      <c r="LB242" t="e">
        <f t="shared" si="736"/>
        <v>#VALUE!</v>
      </c>
      <c r="LC242" t="e">
        <f t="shared" si="737"/>
        <v>#VALUE!</v>
      </c>
      <c r="LD242" t="e">
        <f t="shared" si="738"/>
        <v>#VALUE!</v>
      </c>
      <c r="LE242" t="e">
        <f t="shared" si="818"/>
        <v>#VALUE!</v>
      </c>
      <c r="LF242">
        <f t="shared" si="739"/>
        <v>0</v>
      </c>
      <c r="LG242" t="e">
        <f t="shared" si="819"/>
        <v>#VALUE!</v>
      </c>
      <c r="LH242" t="str">
        <f t="shared" si="740"/>
        <v xml:space="preserve"> </v>
      </c>
      <c r="LI242">
        <f t="shared" si="820"/>
        <v>1</v>
      </c>
    </row>
    <row r="243" spans="2:321" ht="15" customHeight="1">
      <c r="B243" s="311"/>
      <c r="C243" s="311"/>
      <c r="D243" s="312"/>
      <c r="E243" s="311"/>
      <c r="F243" s="312"/>
      <c r="G243" s="311"/>
      <c r="H243" s="311"/>
      <c r="I243" s="232"/>
      <c r="J243" s="311"/>
      <c r="K243" s="305" t="str">
        <f t="shared" si="741"/>
        <v/>
      </c>
      <c r="L243" s="313"/>
      <c r="M243" s="312"/>
      <c r="N243" s="311"/>
      <c r="O243" s="312"/>
      <c r="P243" s="311"/>
      <c r="Q243" s="305" t="str">
        <f t="shared" si="742"/>
        <v/>
      </c>
      <c r="R243" s="314"/>
      <c r="S243" s="450" t="str">
        <f t="shared" si="625"/>
        <v/>
      </c>
      <c r="T243" s="315"/>
      <c r="U243" s="315"/>
      <c r="W243" s="149" t="str">
        <f t="shared" si="626"/>
        <v xml:space="preserve"> </v>
      </c>
      <c r="X243" s="243" t="str">
        <f t="shared" si="627"/>
        <v xml:space="preserve"> </v>
      </c>
      <c r="Y243" s="150" t="str">
        <f t="shared" si="628"/>
        <v/>
      </c>
      <c r="Z243" s="149" t="str">
        <f t="shared" si="629"/>
        <v xml:space="preserve"> </v>
      </c>
      <c r="AA243" s="98" t="str">
        <f t="shared" si="630"/>
        <v xml:space="preserve"> </v>
      </c>
      <c r="AB243" s="153" t="str">
        <f t="shared" si="631"/>
        <v xml:space="preserve"> </v>
      </c>
      <c r="AC243" s="153" t="str">
        <f t="shared" si="632"/>
        <v xml:space="preserve"> </v>
      </c>
      <c r="AD243" s="148" t="str">
        <f t="shared" si="633"/>
        <v/>
      </c>
      <c r="AE243" s="149" t="str">
        <f t="shared" si="634"/>
        <v/>
      </c>
      <c r="AF243" s="151" t="str">
        <f t="shared" si="635"/>
        <v xml:space="preserve"> </v>
      </c>
      <c r="AG243" s="153" t="str">
        <f t="shared" si="636"/>
        <v xml:space="preserve"> </v>
      </c>
      <c r="AH243" s="98" t="str">
        <f t="shared" si="637"/>
        <v xml:space="preserve"> </v>
      </c>
      <c r="AI243" s="149" t="str">
        <f t="shared" si="638"/>
        <v xml:space="preserve"> </v>
      </c>
      <c r="AK243" s="144" t="str">
        <f t="shared" si="639"/>
        <v xml:space="preserve"> </v>
      </c>
      <c r="AL243" s="144"/>
      <c r="AM243" s="243" t="str">
        <f t="shared" si="640"/>
        <v xml:space="preserve"> </v>
      </c>
      <c r="AN243" s="149" t="str">
        <f t="shared" si="743"/>
        <v xml:space="preserve"> </v>
      </c>
      <c r="AO243" s="144" t="str">
        <f>IF(JB243&gt;0,IF(GI243=10,-R243*1.085*(Calculation!$F$6-Calculation!$F$13)*$S$14," "),"")</f>
        <v/>
      </c>
      <c r="AP243" s="144" t="str">
        <f t="shared" si="641"/>
        <v/>
      </c>
      <c r="AQ243" s="56" t="str">
        <f t="shared" si="642"/>
        <v/>
      </c>
      <c r="AR243" s="144" t="str">
        <f t="shared" si="643"/>
        <v/>
      </c>
      <c r="AS243" s="176" t="str">
        <f t="shared" si="644"/>
        <v/>
      </c>
      <c r="AT243" s="176" t="str">
        <f t="shared" si="744"/>
        <v xml:space="preserve"> </v>
      </c>
      <c r="AU243" s="176" t="str">
        <f t="shared" si="645"/>
        <v/>
      </c>
      <c r="AV243" s="177" t="str">
        <f t="shared" si="646"/>
        <v xml:space="preserve"> </v>
      </c>
      <c r="AW243" s="144" t="str">
        <f t="shared" si="647"/>
        <v xml:space="preserve"> </v>
      </c>
      <c r="AX243" s="144" t="str">
        <f t="shared" si="648"/>
        <v xml:space="preserve"> </v>
      </c>
      <c r="AY243" s="152" t="str">
        <f t="shared" si="649"/>
        <v xml:space="preserve"> </v>
      </c>
      <c r="AZ243" s="246" t="str">
        <f t="shared" si="650"/>
        <v/>
      </c>
      <c r="BA243" s="176" t="str">
        <f t="shared" si="651"/>
        <v xml:space="preserve"> </v>
      </c>
      <c r="BB243" s="176" t="str">
        <f t="shared" si="652"/>
        <v xml:space="preserve"> </v>
      </c>
      <c r="BC243" s="195"/>
      <c r="BD243" s="316"/>
      <c r="BE243" s="317"/>
      <c r="BF243" s="318"/>
      <c r="BG243" s="318"/>
      <c r="BH243" s="144" t="str">
        <f t="shared" si="821"/>
        <v xml:space="preserve"> </v>
      </c>
      <c r="BI243" s="176" t="str">
        <f t="shared" si="653"/>
        <v/>
      </c>
      <c r="BJ243" s="144" t="str">
        <f t="shared" si="822"/>
        <v/>
      </c>
      <c r="BK243" s="246" t="str">
        <f t="shared" si="654"/>
        <v/>
      </c>
      <c r="BL243" s="144" t="str">
        <f t="shared" si="823"/>
        <v/>
      </c>
      <c r="BM243" s="246" t="str">
        <f t="shared" si="655"/>
        <v/>
      </c>
      <c r="BN243" s="337" t="str">
        <f t="shared" si="745"/>
        <v/>
      </c>
      <c r="BO243" s="371" t="str">
        <f t="shared" si="746"/>
        <v/>
      </c>
      <c r="BP243" s="328" t="str">
        <f t="shared" si="824"/>
        <v xml:space="preserve"> </v>
      </c>
      <c r="BQ243" s="347" t="str">
        <f t="shared" si="747"/>
        <v xml:space="preserve"> </v>
      </c>
      <c r="BR243" s="353" t="str">
        <f t="shared" si="748"/>
        <v xml:space="preserve"> </v>
      </c>
      <c r="BS243" s="626" t="str">
        <f>IF(L243&gt;0,IF(Calculation!P243="M13",BR243*3.1416*(0.134^2)/(4*144),IF(Calculation!P243="M17",BR243*3.1416*(0.165^2)/(4*144),IF(Calculation!P243="M20",BR243*3.1416*(0.198^2)/(4*144),IF(Calculation!P243="M23",BR243*3.1416*(0.228^2)/(4*144),IF(Calculation!P243="M27",BR243*3.1416*(0.269^2)/(4*144),BR243*3.1416*(0.307^2)/(4*144))))))," ")</f>
        <v xml:space="preserve"> </v>
      </c>
      <c r="BT243" s="353" t="str">
        <f>IF(L243&gt;0,IF(BS243&gt;0,R243/Calculation!BS243,0)," ")</f>
        <v xml:space="preserve"> </v>
      </c>
      <c r="BU243" s="438" t="e">
        <f t="shared" ca="1" si="656"/>
        <v>#VALUE!</v>
      </c>
      <c r="BV243" s="449" t="e">
        <f ca="1">INDEX(INDIRECT(VLOOKUP(LEFT(BO243,7),CLU!$Z$3:$AH$18,2)),GN243,GR243)</f>
        <v>#N/A</v>
      </c>
      <c r="BW243" s="433" t="e">
        <f ca="1">INDEX(INDIRECT(VLOOKUP(LEFT(BO243,7),CLU!$Z$3:$AH$18,3)),GN243,GR243)</f>
        <v>#N/A</v>
      </c>
      <c r="BX243" s="433" t="e">
        <f ca="1">INDEX(INDIRECT(VLOOKUP(LEFT(BO243,7),CLU!$Z$3:$AH$18,4)),GN243,GR243)</f>
        <v>#N/A</v>
      </c>
      <c r="BY243" s="433" t="e">
        <f ca="1">INDEX(INDIRECT(VLOOKUP(LEFT(BO243,7),CLU!$Z$3:$AH$18,9)),((M243-2)*(6-COUNTBLANK(GT243:GY243)))+GJ243)</f>
        <v>#N/A</v>
      </c>
      <c r="BZ243" s="426" t="e">
        <f t="shared" ca="1" si="749"/>
        <v>#N/A</v>
      </c>
      <c r="CA243" s="424" t="e">
        <f t="shared" ca="1" si="750"/>
        <v>#N/A</v>
      </c>
      <c r="CB243" s="429" t="e">
        <f ca="1">INDEX(INDIRECT(VLOOKUP(LEFT(BO243,7),CLU!$Z$3:$AH$18,2)),GN243,GS243)</f>
        <v>#N/A</v>
      </c>
      <c r="CC243" s="342" t="e">
        <f ca="1">INDEX(INDIRECT(VLOOKUP(LEFT(BO243,7),CLU!$Z$3:$AH$18,3)),GN243,GS243)</f>
        <v>#N/A</v>
      </c>
      <c r="CD243" s="342" t="e">
        <f ca="1">INDEX(INDIRECT(VLOOKUP(LEFT(BO243,7),CLU!$Z$3:$AH$18,4)),GN243,GS243)</f>
        <v>#N/A</v>
      </c>
      <c r="CE243" s="426" t="e">
        <f t="shared" ca="1" si="751"/>
        <v>#N/A</v>
      </c>
      <c r="CF243" s="440">
        <f t="shared" si="752"/>
        <v>0</v>
      </c>
      <c r="CG243" s="431" t="e">
        <f ca="1">INDEX(INDIRECT(VLOOKUP(LEFT(BO243,7),CLU!$Z$3:$AH$18,2)),GQ243,GR243)</f>
        <v>#N/A</v>
      </c>
      <c r="CH243" s="431" t="e">
        <f ca="1">INDEX(INDIRECT(VLOOKUP(LEFT(BO243,7),CLU!$Z$3:$AH$18,3)),GQ243,GR243)</f>
        <v>#N/A</v>
      </c>
      <c r="CI243" s="431" t="e">
        <f ca="1">INDEX(INDIRECT(VLOOKUP(LEFT(BO243,7),CLU!$Z$3:$AH$18,4)),GQ243,GR243)</f>
        <v>#N/A</v>
      </c>
      <c r="CJ243" s="448" t="e">
        <f t="shared" ca="1" si="753"/>
        <v>#N/A</v>
      </c>
      <c r="CK243" s="431" t="e">
        <f t="shared" ca="1" si="754"/>
        <v>#N/A</v>
      </c>
      <c r="CL243" s="440" t="e">
        <f t="shared" ca="1" si="755"/>
        <v>#N/A</v>
      </c>
      <c r="CM243" s="431" t="e">
        <f ca="1">INDEX(INDIRECT(VLOOKUP(LEFT(BO243,7),CLU!$Z$3:$AH$18,2)),GQ243,GS243)</f>
        <v>#N/A</v>
      </c>
      <c r="CN243" s="431" t="e">
        <f ca="1">INDEX(INDIRECT(VLOOKUP(LEFT(BO243,7),CLU!$Z$3:$AH$18,3)),GQ243,GS243)</f>
        <v>#N/A</v>
      </c>
      <c r="CO243" s="431" t="e">
        <f ca="1">INDEX(INDIRECT(VLOOKUP(LEFT(BO243,7),CLU!$Z$3:$AH$18,4)),GQ243,GS243)</f>
        <v>#N/A</v>
      </c>
      <c r="CP243" s="431" t="e">
        <f t="shared" ca="1" si="756"/>
        <v>#N/A</v>
      </c>
      <c r="CQ243" s="440">
        <f t="shared" si="757"/>
        <v>0</v>
      </c>
      <c r="CR243" s="51" t="e">
        <f t="shared" ca="1" si="758"/>
        <v>#N/A</v>
      </c>
      <c r="CS243" s="439" t="e">
        <f t="shared" ca="1" si="759"/>
        <v>#VALUE!</v>
      </c>
      <c r="CT243" s="51" t="e">
        <f t="shared" ca="1" si="760"/>
        <v>#VALUE!</v>
      </c>
      <c r="CU243" s="10"/>
      <c r="CV243" s="51" t="e">
        <f t="shared" ca="1" si="657"/>
        <v>#VALUE!</v>
      </c>
      <c r="CW243" s="51">
        <f t="shared" si="761"/>
        <v>0</v>
      </c>
      <c r="CX243" s="439" t="e">
        <f t="shared" ca="1" si="762"/>
        <v>#VALUE!</v>
      </c>
      <c r="CY243" s="51" t="e">
        <f t="shared" ca="1" si="763"/>
        <v>#VALUE!</v>
      </c>
      <c r="CZ243" s="10"/>
      <c r="DA243" s="51" t="e">
        <f t="shared" ca="1" si="764"/>
        <v>#VALUE!</v>
      </c>
      <c r="DB243" s="347" t="e">
        <f ca="1">INDEX(INDIRECT(VLOOKUP(LEFT(BO243,7),CLU!$Z$3:$AI$18,10)),((M243-2)*(6-COUNTBLANK(GT243:GY243)))+GJ243)*LI243</f>
        <v>#N/A</v>
      </c>
      <c r="DC243" s="347" t="str">
        <f>IF(L243&gt;0,((R243/Worksheet!$I$15)/DB243)^2," ")</f>
        <v xml:space="preserve"> </v>
      </c>
      <c r="DD243" s="602" t="str">
        <f t="shared" si="765"/>
        <v xml:space="preserve"> </v>
      </c>
      <c r="DE243" s="347" t="str">
        <f t="shared" si="658"/>
        <v xml:space="preserve"> </v>
      </c>
      <c r="DF243" s="356" t="e">
        <f ca="1">INDEX(INDIRECT(VLOOKUP(LEFT(BO243,7),CLU!$Z$3:$AH$18,8)),((M243-2)*(6-COUNTBLANK(GT243:GY243)))+GJ243)</f>
        <v>#N/A</v>
      </c>
      <c r="DG243" s="347" t="str">
        <f t="shared" si="659"/>
        <v xml:space="preserve"> </v>
      </c>
      <c r="DH243" s="357" t="str">
        <f t="shared" si="660"/>
        <v xml:space="preserve"> </v>
      </c>
      <c r="DI243" s="355" t="str">
        <f t="shared" si="661"/>
        <v xml:space="preserve"> </v>
      </c>
      <c r="DJ243" s="245" t="e">
        <f ca="1">INDEX(INDIRECT(VLOOKUP(LEFT(BO243,7),CLU!$Z$3:$AH$18,5)),GL243,GK243)</f>
        <v>#N/A</v>
      </c>
      <c r="DK243" s="245" t="e">
        <f ca="1">INDEX(INDIRECT(VLOOKUP(LEFT(BO243,7),CLU!$Z$3:$AH$18,6)),GL243,GK243)</f>
        <v>#N/A</v>
      </c>
      <c r="DL243" s="355">
        <f>(Calculation!R243*0.69143*(Calculation!$BQ$8-Calculation!$F$8))*$S$14</f>
        <v>0</v>
      </c>
      <c r="DM243" s="359" t="e">
        <f t="shared" si="766"/>
        <v>#VALUE!</v>
      </c>
      <c r="DN243" s="611">
        <f t="shared" si="767"/>
        <v>0</v>
      </c>
      <c r="DO243" s="359">
        <f t="shared" si="768"/>
        <v>100</v>
      </c>
      <c r="DP243" s="359">
        <f t="shared" si="769"/>
        <v>0</v>
      </c>
      <c r="DQ243" s="360"/>
      <c r="DR243" s="245" t="e">
        <f ca="1">INDEX(INDIRECT(VLOOKUP(LEFT(BO243,7),CLU!$Z$3:$AH$18,7)),M243-1,1)</f>
        <v>#N/A</v>
      </c>
      <c r="DS243" s="245" t="e">
        <f ca="1">INDEX(INDIRECT(VLOOKUP(LEFT(BO243,7),CLU!$Z$3:$AH$18,7)),M243-1,2)</f>
        <v>#N/A</v>
      </c>
      <c r="DT243" s="245" t="e">
        <f ca="1">INDEX(INDIRECT(VLOOKUP(LEFT(BO243,7),CLU!$Z$3:$AH$18,7)),M243-1,3)</f>
        <v>#N/A</v>
      </c>
      <c r="DU243" s="245" t="e">
        <f ca="1">INDEX(INDIRECT(VLOOKUP(LEFT(BO243,7),CLU!$Z$3:$AH$18,7)),M243-1,4)</f>
        <v>#N/A</v>
      </c>
      <c r="DV243" s="361" t="e">
        <f ca="1">INDEX(INDIRECT(VLOOKUP(LEFT(BO243,7),CLU!$Z$3:$AH$18,7)),M243-1,4+LEFT(DZ243,1)*0.5)</f>
        <v>#N/A</v>
      </c>
      <c r="DW243" s="245" t="e">
        <f ca="1">INDEX(INDIRECT(VLOOKUP(LEFT(BO243,7),CLU!$Z$3:$AH$18,7)),M243-1,8)</f>
        <v>#N/A</v>
      </c>
      <c r="DX243" s="361" t="str">
        <f t="shared" si="662"/>
        <v xml:space="preserve"> </v>
      </c>
      <c r="DY243" s="361" t="str">
        <f t="shared" si="663"/>
        <v xml:space="preserve"> </v>
      </c>
      <c r="DZ243" s="361" t="str">
        <f t="shared" si="664"/>
        <v xml:space="preserve"> </v>
      </c>
      <c r="EA243" s="362" t="str">
        <f t="shared" si="665"/>
        <v xml:space="preserve"> </v>
      </c>
      <c r="EB243" s="624" t="str">
        <f t="shared" si="770"/>
        <v xml:space="preserve"> </v>
      </c>
      <c r="EC243" s="361" t="e">
        <f ca="1">INDEX(INDIRECT(VLOOKUP(LEFT(BO243,7),CLU!$Z$3:$AH$18,7)),M243-1,4+LEFT(DZ243,1)*0.5)</f>
        <v>#N/A</v>
      </c>
      <c r="ED243" s="362" t="str">
        <f t="shared" si="666"/>
        <v xml:space="preserve"> </v>
      </c>
      <c r="EE243" s="361" t="str">
        <f t="shared" si="667"/>
        <v xml:space="preserve"> </v>
      </c>
      <c r="EF243" s="362" t="str">
        <f>IF(L243&gt;0,IF(BR243&gt;0,IF(EE243="2P",IF(Calculation!DZ243="2P",IF(Calculation!DS243=13.75,IF(Calculation!DR243=13,Worksheet!$BD$43,IF(Calculation!DR243=37,Worksheet!$BD$44,Worksheet!$BD$45)),IF(Calculation!DS243=10,IF(Calculation!DR243=18,Worksheet!$BD$29,IF(Calculation!DR243=30,Worksheet!$BD$30,IF(Calculation!DR243=42,Worksheet!$BD$31,IF(Calculation!DR243=54,Worksheet!$BD$32,IF(Calculation!DR243=66,Worksheet!$BD$33,IF(Calculation!DR243=78,Worksheet!$BD$34,IF(Calculation!DR243=90,Worksheet!$BD$35,IF(Calculation!DR243=102,Worksheet!$BD$36,Worksheet!$BD$37)))))))),IF(Calculation!DS243=12.5,IF(Calculation!DR243=18,Worksheet!$BD$38,IF(Calculation!DR243=Worksheet!$BD$39,IF(Calculation!DR243=42,Worksheet!$BD$40,IF(Calculation!DR243=54,Worksheet!$BD$41,Worksheet!$BD$42)))),IF(Calculation!DR243=18,Worksheet!$BD$11,IF(Calculation!DR243=30,Worksheet!$BD$12,IF(Calculation!DR243=42,Worksheet!$BD$13,IF(Calculation!DR243=54,Worksheet!$BD$14,IF(Calculation!DR243=66,Worksheet!$BD$15,IF(Calculation!DR243=78,Worksheet!$BD$16,IF(Calculation!DR243=90,Worksheet!$BD$17,IF(Calculation!DR243=102,Worksheet!$BD$18,Worksheet!$BD$19))))))))))),IF(Calculation!DS243=13.75,IF(Calculation!DR243=13,Worksheet!$BD$78,IF(Calculation!DR243=37,Worksheet!$BD$79,Worksheet!$BD$80)),IF(Calculation!DS243=10,IF(Calculation!DR243=18,Worksheet!$BD$64,IF(Calculation!DR243=30,Worksheet!$BD$65,IF(Calculation!DR243=42,Worksheet!$BD$66,IF(Calculation!DR243=54,Worksheet!$BD$68,IF(Calculation!DR243=66,Worksheet!$BD$68,IF(Calculation!DR243=78,Worksheet!$BD$69,IF(Calculation!DR243=90,Worksheet!$BD$70,IF(Calculation!DR243=102,Worksheet!$BD$71,Worksheet!$BD$72)))))))),IF(Calculation!DS243=12.5,IF(Calculation!DR243=18,Worksheet!$BD$73,IF(Calculation!DR243=Worksheet!$BD$74,IF(Calculation!DR243=42,Worksheet!$BD$75,IF(Calculation!DR243=54,Worksheet!$BD$76,Worksheet!$BD$77)))),IF(Calculation!DR243=18,Worksheet!$BD$55,IF(Calculation!DR243=30,Worksheet!$BD$56,IF(Calculation!DR243=42,Worksheet!$BD$57,IF(Calculation!DR243=54,Worksheet!$BD$58,IF(Calculation!DR243=66,Worksheet!$BD$59,IF(Calculation!DR243=78,Worksheet!$BD$60,IF(Calculation!DR243=90,Worksheet!$BD$61,IF(Calculation!DR243=102,Worksheet!$BD$62,Worksheet!$BD$63)))))))))))),5),0)," ")</f>
        <v xml:space="preserve"> </v>
      </c>
      <c r="EG243" s="361" t="str">
        <f t="shared" si="668"/>
        <v xml:space="preserve"> </v>
      </c>
      <c r="EH243" s="361" t="e">
        <f ca="1">INDEX(INDIRECT(VLOOKUP(LEFT(BO243,7),CLU!$Z$3:$AH$18,7)),M243-1,3+LEFT(DZ243,1))</f>
        <v>#N/A</v>
      </c>
      <c r="EI243" s="362" t="str">
        <f t="shared" si="669"/>
        <v xml:space="preserve"> </v>
      </c>
      <c r="EJ243" s="363" t="str">
        <f t="shared" si="670"/>
        <v xml:space="preserve"> </v>
      </c>
      <c r="EK243" s="363" t="str">
        <f t="shared" si="671"/>
        <v xml:space="preserve"> </v>
      </c>
      <c r="EL243" s="363" t="str">
        <f t="shared" si="672"/>
        <v xml:space="preserve"> </v>
      </c>
      <c r="EM243" s="362" t="str">
        <f>IF(L243&gt;0,IF(BR243&gt;0,(Calculation!T243/ED243)^2,0)," ")</f>
        <v xml:space="preserve"> </v>
      </c>
      <c r="EN243" s="362" t="str">
        <f>IF(L243&gt;0,IF(O243="2 Pipe (Cooling)","N/A",IF(BR243&gt;0,(Calculation!U243/EI243)^2,0))," ")</f>
        <v xml:space="preserve"> </v>
      </c>
      <c r="EO243" s="361" t="str">
        <f t="shared" si="673"/>
        <v/>
      </c>
      <c r="EP243" s="361" t="str">
        <f t="shared" si="674"/>
        <v/>
      </c>
      <c r="EQ243" s="361" t="str">
        <f t="shared" si="675"/>
        <v/>
      </c>
      <c r="ER243" s="361" t="str">
        <f t="shared" si="676"/>
        <v/>
      </c>
      <c r="ES243" s="361" t="str">
        <f t="shared" si="677"/>
        <v/>
      </c>
      <c r="ET243" s="361" t="str">
        <f t="shared" si="678"/>
        <v/>
      </c>
      <c r="EU243" s="361" t="str">
        <f t="shared" si="679"/>
        <v/>
      </c>
      <c r="EV243" s="361" t="str">
        <f t="shared" si="680"/>
        <v/>
      </c>
      <c r="EW243" s="361" t="str">
        <f t="shared" si="681"/>
        <v/>
      </c>
      <c r="EX243" s="361" t="str">
        <f t="shared" si="771"/>
        <v>1 slot, 1 way</v>
      </c>
      <c r="EY243" s="361" t="str">
        <f t="shared" si="772"/>
        <v xml:space="preserve"> </v>
      </c>
      <c r="EZ243" s="361" t="str">
        <f t="shared" si="773"/>
        <v xml:space="preserve"> </v>
      </c>
      <c r="FA243" s="361" t="str">
        <f t="shared" si="774"/>
        <v xml:space="preserve"> </v>
      </c>
      <c r="FB243" s="361" t="str">
        <f t="shared" si="775"/>
        <v xml:space="preserve"> </v>
      </c>
      <c r="FC243" s="361"/>
      <c r="FD243" s="361" t="str">
        <f>IF(J243&gt;0,IF(Calculation!R243&lt;=70,4,IF(Calculation!R243&lt;=110,5,IF(Calculation!R243&lt;=160,6,IF(Calculation!R243&lt;=300,8,"10 EO")))),"")</f>
        <v/>
      </c>
      <c r="FE243" s="361" t="str">
        <f t="shared" si="776"/>
        <v/>
      </c>
      <c r="FF243" s="361" t="str">
        <f t="shared" si="777"/>
        <v/>
      </c>
      <c r="FG243" s="361" t="e">
        <f t="shared" si="682"/>
        <v>#N/A</v>
      </c>
      <c r="FH243" s="361">
        <f t="shared" si="683"/>
        <v>0</v>
      </c>
      <c r="FI243" s="361" t="e">
        <f t="shared" si="684"/>
        <v>#DIV/0!</v>
      </c>
      <c r="FJ243" s="361"/>
      <c r="FK243" s="356" t="e">
        <f t="shared" si="685"/>
        <v>#VALUE!</v>
      </c>
      <c r="FL243" s="361"/>
      <c r="FM243" s="361"/>
      <c r="FN243" s="362" t="str">
        <f t="shared" si="778"/>
        <v xml:space="preserve"> </v>
      </c>
      <c r="FO243" s="362" t="str">
        <f t="shared" si="779"/>
        <v xml:space="preserve"> </v>
      </c>
      <c r="FP243" s="362">
        <f t="shared" si="780"/>
        <v>0</v>
      </c>
      <c r="FQ243" s="361">
        <f t="shared" si="686"/>
        <v>0</v>
      </c>
      <c r="FR243" s="362" t="str">
        <f>IF(L243&gt;0,IF(J243="CBAL2",Worksheet!$P$67,IF(J243="CBE2-24",Worksheet!$Q$67,IF(J243="CBAM",Worksheet!$R$67,IF(J243="CBLV",Worksheet!$S$67,IF(J243="CBAB",Worksheet!$U$67,IF(J243="CBAW",Worksheet!$X$67,IF(J243="CBE2-12",Worksheet!$Y$67,IF(J243="CBAL2",Worksheet!$Z$67,"N/A"))))))))," ")</f>
        <v xml:space="preserve"> </v>
      </c>
      <c r="FS243" s="362" t="str">
        <f>IF(L243&gt;0,IF(J243="CBAL2",Worksheet!$P$68,IF(J243="CBE2-24",Worksheet!$Q$68,IF(J243="CBAM",Worksheet!$R$68,IF(J243="CBLV",Worksheet!$S$68,IF(J243="CBAB",Worksheet!$U$68,IF(J243="CBAW",Worksheet!$X$68,IF(J243="CBE2-12",Worksheet!$Y$68,IF(J243="CBAL2",Worksheet!$Z$68,"N/A"))))))))," ")</f>
        <v xml:space="preserve"> </v>
      </c>
      <c r="FT243" s="362" t="str">
        <f>IF(L243&gt;0,IF(J243="CBAL2",Worksheet!$P$69,IF(J243="CBE2-24",Worksheet!$Q$69,IF(J243="CBAM",Worksheet!$R$69,IF(J243="CBLV",Worksheet!$S$69,IF(J243="CBAB",Worksheet!$U$69,IF(J243="CBAW",Worksheet!$X$69,IF(J243="CBE2-12",Worksheet!$Y$69,IF(J243="CBAL2",Worksheet!$Z$69,"N/A"))))))))," ")</f>
        <v xml:space="preserve"> </v>
      </c>
      <c r="FU243" s="361" t="str">
        <f t="shared" si="781"/>
        <v xml:space="preserve"> </v>
      </c>
      <c r="FV243" s="362" t="str">
        <f t="shared" si="782"/>
        <v xml:space="preserve"> </v>
      </c>
      <c r="FW243" s="362" t="str">
        <f t="shared" si="783"/>
        <v xml:space="preserve"> </v>
      </c>
      <c r="FX243" s="362" t="str">
        <f t="shared" si="784"/>
        <v xml:space="preserve"> </v>
      </c>
      <c r="FY243" s="355" t="str">
        <f t="shared" si="785"/>
        <v xml:space="preserve"> </v>
      </c>
      <c r="FZ243" s="361" t="str">
        <f t="shared" si="786"/>
        <v xml:space="preserve"> </v>
      </c>
      <c r="GA243" s="347" t="str">
        <f t="shared" si="787"/>
        <v xml:space="preserve"> </v>
      </c>
      <c r="GB243" s="355" t="str">
        <f t="shared" si="788"/>
        <v xml:space="preserve"> </v>
      </c>
      <c r="GC243" s="328" t="str">
        <f t="shared" si="789"/>
        <v xml:space="preserve"> </v>
      </c>
      <c r="GD243" s="361" t="str">
        <f t="shared" si="790"/>
        <v xml:space="preserve"> </v>
      </c>
      <c r="GE243" s="347" t="str">
        <f t="shared" si="791"/>
        <v xml:space="preserve"> </v>
      </c>
      <c r="GF243" s="361" t="str">
        <f t="shared" si="792"/>
        <v xml:space="preserve"> </v>
      </c>
      <c r="GG243" s="347" t="str">
        <f t="shared" si="793"/>
        <v xml:space="preserve"> </v>
      </c>
      <c r="GH243" s="364">
        <f t="shared" si="687"/>
        <v>0</v>
      </c>
      <c r="GI243" s="362">
        <f t="shared" si="794"/>
        <v>2</v>
      </c>
      <c r="GJ243" s="433" t="e">
        <f>IF(6-COUNTBLANK(GT243:GY243)=4,MATCH(MID(BO243,9,3),CLU!$H$16:$K$16),MATCH(MID(BO243,9,3),CLU!$H$13:$M$13))</f>
        <v>#N/A</v>
      </c>
      <c r="GK243" s="433" t="e">
        <f>HLOOKUP(VALUE(BP243),CLU!$H$9:$M$10,2)</f>
        <v>#VALUE!</v>
      </c>
      <c r="GL243" s="433" t="e">
        <f ca="1">MATCH(BU243,CLU!$H$2:$V$2,1)</f>
        <v>#VALUE!</v>
      </c>
      <c r="GM243" s="433" t="e">
        <f t="shared" ca="1" si="795"/>
        <v>#VALUE!</v>
      </c>
      <c r="GN243" s="433" t="e">
        <f t="shared" ca="1" si="796"/>
        <v>#VALUE!</v>
      </c>
      <c r="GO243" s="433" t="e">
        <f t="shared" ca="1" si="797"/>
        <v>#VALUE!</v>
      </c>
      <c r="GP243" s="433" t="e">
        <f t="shared" ca="1" si="798"/>
        <v>#VALUE!</v>
      </c>
      <c r="GQ243" s="433" t="e">
        <f t="shared" ca="1" si="799"/>
        <v>#VALUE!</v>
      </c>
      <c r="GR243" s="433" t="e">
        <f ca="1">MATCH(T243,INDIRECT(VLOOKUP(CONCATENATE(LEFT(BO243,7),"-",MID(BO243,13,1)),CLU!$P$3:$Q$16,2)),1)</f>
        <v>#N/A</v>
      </c>
      <c r="GS243" s="433" t="e">
        <f ca="1">MATCH(U243,INDIRECT(VLOOKUP(CONCATENATE(LEFT(BO243,7),"-",MID(BO243,13,1)),CLU!$P$3:$Q$16,2)),1)</f>
        <v>#N/A</v>
      </c>
      <c r="GT243" s="347" t="s">
        <v>512</v>
      </c>
      <c r="GU243" s="97" t="s">
        <v>513</v>
      </c>
      <c r="GV243" s="97" t="str">
        <f t="shared" si="800"/>
        <v>M23</v>
      </c>
      <c r="GW243" s="97" t="str">
        <f t="shared" si="801"/>
        <v>M31</v>
      </c>
      <c r="GX243" s="97" t="str">
        <f t="shared" si="802"/>
        <v/>
      </c>
      <c r="GY243" s="97" t="str">
        <f t="shared" si="803"/>
        <v/>
      </c>
      <c r="GZ243" s="481"/>
      <c r="HA243" s="288"/>
      <c r="HB243" s="240"/>
      <c r="HC243" s="240"/>
      <c r="HD243" s="240"/>
      <c r="HE243" s="240"/>
      <c r="HF243" s="240"/>
      <c r="HG243" s="240"/>
      <c r="HH243" s="240"/>
      <c r="HI243" s="240"/>
      <c r="HJ243" s="240"/>
      <c r="HK243" s="240"/>
      <c r="HL243" s="240"/>
      <c r="HM243" s="240"/>
      <c r="HN243" s="240"/>
      <c r="HO243" s="240"/>
      <c r="HP243" s="240"/>
      <c r="HQ243" s="240"/>
      <c r="HR243" s="240"/>
      <c r="HS243" s="240"/>
      <c r="HT243" s="240"/>
      <c r="HU243" s="240"/>
      <c r="HV243" s="245"/>
      <c r="HW243" s="245" t="b">
        <v>1</v>
      </c>
      <c r="HX243" s="245" t="str">
        <f t="shared" si="688"/>
        <v/>
      </c>
      <c r="HY243" s="245" t="e">
        <f t="shared" si="689"/>
        <v>#DIV/0!</v>
      </c>
      <c r="HZ243" s="245" t="e">
        <f t="shared" si="690"/>
        <v>#DIV/0!</v>
      </c>
      <c r="IA243" s="245">
        <f t="shared" si="691"/>
        <v>0</v>
      </c>
      <c r="IB243" s="245"/>
      <c r="IC243" t="b">
        <f t="shared" si="692"/>
        <v>1</v>
      </c>
      <c r="ID243" s="245" t="b">
        <f t="shared" si="693"/>
        <v>1</v>
      </c>
      <c r="IE243" s="245" t="b">
        <f t="shared" si="694"/>
        <v>1</v>
      </c>
      <c r="IF243" s="245" t="b">
        <f t="shared" si="695"/>
        <v>0</v>
      </c>
      <c r="IG243" s="245" t="b">
        <f t="shared" si="696"/>
        <v>1</v>
      </c>
      <c r="IH243" s="245" t="b">
        <f t="shared" si="697"/>
        <v>1</v>
      </c>
      <c r="II243" s="245">
        <f t="shared" si="804"/>
        <v>0</v>
      </c>
      <c r="IJ243" s="245" t="e">
        <f t="shared" si="698"/>
        <v>#VALUE!</v>
      </c>
      <c r="IK243" s="245" t="e">
        <f t="shared" si="699"/>
        <v>#VALUE!</v>
      </c>
      <c r="IL243" s="245"/>
      <c r="IM243" s="245" t="e">
        <f t="shared" si="805"/>
        <v>#N/A</v>
      </c>
      <c r="IN243" s="245" t="e">
        <f t="shared" si="806"/>
        <v>#N/A</v>
      </c>
      <c r="IO243" s="245"/>
      <c r="IP243" s="245"/>
      <c r="IQ243" s="245" t="str">
        <f t="shared" si="700"/>
        <v/>
      </c>
      <c r="IR243" s="245" t="str">
        <f>IF(J243="","",VLOOKUP(J243,Worksheet!$R$4:$T$14,2))</f>
        <v/>
      </c>
      <c r="IS243" s="245"/>
      <c r="IT243" s="245">
        <f t="shared" si="701"/>
        <v>0</v>
      </c>
      <c r="IU243" s="245">
        <f t="shared" si="702"/>
        <v>0</v>
      </c>
      <c r="IV243" s="245">
        <f t="shared" si="703"/>
        <v>0</v>
      </c>
      <c r="IW243" s="245">
        <f t="shared" si="704"/>
        <v>0</v>
      </c>
      <c r="IX243" s="245">
        <f t="shared" si="807"/>
        <v>0</v>
      </c>
      <c r="IY243" s="245">
        <f t="shared" si="705"/>
        <v>0</v>
      </c>
      <c r="IZ243" s="245">
        <f t="shared" si="706"/>
        <v>0</v>
      </c>
      <c r="JA243">
        <f t="shared" si="707"/>
        <v>0</v>
      </c>
      <c r="JB243">
        <f t="shared" si="808"/>
        <v>0</v>
      </c>
      <c r="JC243">
        <f t="shared" si="708"/>
        <v>0</v>
      </c>
      <c r="JD243">
        <f t="shared" si="709"/>
        <v>0</v>
      </c>
      <c r="JE243">
        <f t="shared" si="710"/>
        <v>0</v>
      </c>
      <c r="JF243">
        <f t="shared" si="711"/>
        <v>0</v>
      </c>
      <c r="JG243">
        <f t="shared" si="712"/>
        <v>0</v>
      </c>
      <c r="JH243">
        <f t="shared" si="713"/>
        <v>0</v>
      </c>
      <c r="JI243">
        <f t="shared" si="714"/>
        <v>0</v>
      </c>
      <c r="JJ243" s="447">
        <f t="shared" si="715"/>
        <v>0</v>
      </c>
      <c r="JK243" s="447">
        <f t="shared" si="716"/>
        <v>0</v>
      </c>
      <c r="JL243">
        <f t="shared" si="717"/>
        <v>0</v>
      </c>
      <c r="JM243" s="245" t="str">
        <f>IFERROR(VLOOKUP(MATCH(BN243,#REF!,0),#REF!,7),"")</f>
        <v/>
      </c>
      <c r="JN243" t="e">
        <f>HLOOKUP(LEFT(BO243,7),Discharge_Area,MATCH(JO243,LookUps!$B$130:$B$149,1)+2)</f>
        <v>#N/A</v>
      </c>
      <c r="JO243" t="str">
        <f t="shared" si="718"/>
        <v>- S</v>
      </c>
      <c r="JP243" t="e">
        <f>HLOOKUP(LEFT(BO243,7),Discharge_Area,MATCH(JO243,LookUps!$B$130:$B$149,1)+2)</f>
        <v>#N/A</v>
      </c>
      <c r="JQ243" t="e">
        <f t="shared" si="719"/>
        <v>#N/A</v>
      </c>
      <c r="JR243" t="e">
        <f t="shared" si="720"/>
        <v>#N/A</v>
      </c>
      <c r="JS243" t="e">
        <f t="shared" si="721"/>
        <v>#N/A</v>
      </c>
      <c r="JT243" s="532" t="str">
        <f t="shared" si="722"/>
        <v xml:space="preserve"> </v>
      </c>
      <c r="JU243" s="532" t="str">
        <f t="shared" si="723"/>
        <v xml:space="preserve"> </v>
      </c>
      <c r="JV243" s="533" t="str">
        <f t="shared" si="724"/>
        <v xml:space="preserve"> </v>
      </c>
      <c r="JW243" s="534">
        <f t="shared" si="725"/>
        <v>0</v>
      </c>
      <c r="JX243" s="535" t="str">
        <f t="shared" si="809"/>
        <v xml:space="preserve"> </v>
      </c>
      <c r="JY243" s="535" t="str">
        <f t="shared" si="810"/>
        <v xml:space="preserve"> </v>
      </c>
      <c r="JZ243" s="535" t="str">
        <f t="shared" si="811"/>
        <v xml:space="preserve"> </v>
      </c>
      <c r="KA243" s="536" t="str">
        <f t="shared" si="726"/>
        <v xml:space="preserve"> </v>
      </c>
      <c r="KB243" s="535" t="e">
        <f t="shared" si="812"/>
        <v>#VALUE!</v>
      </c>
      <c r="KC243" s="535" t="str">
        <f t="shared" si="727"/>
        <v/>
      </c>
      <c r="KD243" s="537" t="str">
        <f t="shared" si="813"/>
        <v xml:space="preserve"> </v>
      </c>
      <c r="KE243" s="537" t="str">
        <f t="shared" si="814"/>
        <v xml:space="preserve"> </v>
      </c>
      <c r="KF243" s="534">
        <f t="shared" si="728"/>
        <v>0</v>
      </c>
      <c r="KG243" s="535" t="str">
        <f t="shared" si="729"/>
        <v xml:space="preserve"> </v>
      </c>
      <c r="KH243" s="535" t="str">
        <f t="shared" si="730"/>
        <v xml:space="preserve"> </v>
      </c>
      <c r="KI243" s="535" t="str">
        <f t="shared" si="731"/>
        <v xml:space="preserve"> </v>
      </c>
      <c r="KJ243" s="536" t="str">
        <f t="shared" si="732"/>
        <v xml:space="preserve"> </v>
      </c>
      <c r="KK243" s="535" t="str">
        <f t="shared" si="815"/>
        <v xml:space="preserve"> </v>
      </c>
      <c r="KL243" s="535" t="str">
        <f t="shared" si="816"/>
        <v xml:space="preserve"> </v>
      </c>
      <c r="KM243" s="537" t="str">
        <f t="shared" si="733"/>
        <v xml:space="preserve"> </v>
      </c>
      <c r="KN243" s="537" t="str">
        <f t="shared" si="817"/>
        <v xml:space="preserve"> </v>
      </c>
      <c r="KP243">
        <f t="shared" si="734"/>
        <v>0</v>
      </c>
      <c r="LA243" t="e">
        <f t="shared" si="735"/>
        <v>#VALUE!</v>
      </c>
      <c r="LB243" t="e">
        <f t="shared" si="736"/>
        <v>#VALUE!</v>
      </c>
      <c r="LC243" t="e">
        <f t="shared" si="737"/>
        <v>#VALUE!</v>
      </c>
      <c r="LD243" t="e">
        <f t="shared" si="738"/>
        <v>#VALUE!</v>
      </c>
      <c r="LE243" t="e">
        <f t="shared" si="818"/>
        <v>#VALUE!</v>
      </c>
      <c r="LF243">
        <f t="shared" si="739"/>
        <v>0</v>
      </c>
      <c r="LG243" t="e">
        <f t="shared" si="819"/>
        <v>#VALUE!</v>
      </c>
      <c r="LH243" t="str">
        <f t="shared" si="740"/>
        <v xml:space="preserve"> </v>
      </c>
      <c r="LI243">
        <f t="shared" si="820"/>
        <v>1</v>
      </c>
    </row>
    <row r="244" spans="2:321" ht="15" customHeight="1">
      <c r="B244" s="311"/>
      <c r="C244" s="311"/>
      <c r="D244" s="312"/>
      <c r="E244" s="311"/>
      <c r="F244" s="312"/>
      <c r="G244" s="311"/>
      <c r="H244" s="311"/>
      <c r="I244" s="232"/>
      <c r="J244" s="311"/>
      <c r="K244" s="305" t="str">
        <f t="shared" si="741"/>
        <v/>
      </c>
      <c r="L244" s="313"/>
      <c r="M244" s="312"/>
      <c r="N244" s="311"/>
      <c r="O244" s="312"/>
      <c r="P244" s="311"/>
      <c r="Q244" s="305" t="str">
        <f t="shared" si="742"/>
        <v/>
      </c>
      <c r="R244" s="314"/>
      <c r="S244" s="450" t="str">
        <f t="shared" si="625"/>
        <v/>
      </c>
      <c r="T244" s="315"/>
      <c r="U244" s="315"/>
      <c r="W244" s="149" t="str">
        <f t="shared" si="626"/>
        <v xml:space="preserve"> </v>
      </c>
      <c r="X244" s="243" t="str">
        <f t="shared" si="627"/>
        <v xml:space="preserve"> </v>
      </c>
      <c r="Y244" s="150" t="str">
        <f t="shared" si="628"/>
        <v/>
      </c>
      <c r="Z244" s="149" t="str">
        <f t="shared" si="629"/>
        <v xml:space="preserve"> </v>
      </c>
      <c r="AA244" s="98" t="str">
        <f t="shared" si="630"/>
        <v xml:space="preserve"> </v>
      </c>
      <c r="AB244" s="153" t="str">
        <f t="shared" si="631"/>
        <v xml:space="preserve"> </v>
      </c>
      <c r="AC244" s="153" t="str">
        <f t="shared" si="632"/>
        <v xml:space="preserve"> </v>
      </c>
      <c r="AD244" s="148" t="str">
        <f t="shared" si="633"/>
        <v/>
      </c>
      <c r="AE244" s="149" t="str">
        <f t="shared" si="634"/>
        <v/>
      </c>
      <c r="AF244" s="151" t="str">
        <f t="shared" si="635"/>
        <v xml:space="preserve"> </v>
      </c>
      <c r="AG244" s="153" t="str">
        <f t="shared" si="636"/>
        <v xml:space="preserve"> </v>
      </c>
      <c r="AH244" s="98" t="str">
        <f t="shared" si="637"/>
        <v xml:space="preserve"> </v>
      </c>
      <c r="AI244" s="149" t="str">
        <f t="shared" si="638"/>
        <v xml:space="preserve"> </v>
      </c>
      <c r="AK244" s="144" t="str">
        <f t="shared" si="639"/>
        <v xml:space="preserve"> </v>
      </c>
      <c r="AL244" s="144"/>
      <c r="AM244" s="243" t="str">
        <f t="shared" si="640"/>
        <v xml:space="preserve"> </v>
      </c>
      <c r="AN244" s="149" t="str">
        <f t="shared" si="743"/>
        <v xml:space="preserve"> </v>
      </c>
      <c r="AO244" s="144" t="str">
        <f>IF(JB244&gt;0,IF(GI244=10,-R244*1.085*(Calculation!$F$6-Calculation!$F$13)*$S$14," "),"")</f>
        <v/>
      </c>
      <c r="AP244" s="144" t="str">
        <f t="shared" si="641"/>
        <v/>
      </c>
      <c r="AQ244" s="56" t="str">
        <f t="shared" si="642"/>
        <v/>
      </c>
      <c r="AR244" s="144" t="str">
        <f t="shared" si="643"/>
        <v/>
      </c>
      <c r="AS244" s="176" t="str">
        <f t="shared" si="644"/>
        <v/>
      </c>
      <c r="AT244" s="176" t="str">
        <f t="shared" si="744"/>
        <v xml:space="preserve"> </v>
      </c>
      <c r="AU244" s="176" t="str">
        <f t="shared" si="645"/>
        <v/>
      </c>
      <c r="AV244" s="177" t="str">
        <f t="shared" si="646"/>
        <v xml:space="preserve"> </v>
      </c>
      <c r="AW244" s="144" t="str">
        <f t="shared" si="647"/>
        <v xml:space="preserve"> </v>
      </c>
      <c r="AX244" s="144" t="str">
        <f t="shared" si="648"/>
        <v xml:space="preserve"> </v>
      </c>
      <c r="AY244" s="152" t="str">
        <f t="shared" si="649"/>
        <v xml:space="preserve"> </v>
      </c>
      <c r="AZ244" s="246" t="str">
        <f t="shared" si="650"/>
        <v/>
      </c>
      <c r="BA244" s="176" t="str">
        <f t="shared" si="651"/>
        <v xml:space="preserve"> </v>
      </c>
      <c r="BB244" s="176" t="str">
        <f t="shared" si="652"/>
        <v xml:space="preserve"> </v>
      </c>
      <c r="BC244" s="195"/>
      <c r="BD244" s="316"/>
      <c r="BE244" s="317"/>
      <c r="BF244" s="318"/>
      <c r="BG244" s="318"/>
      <c r="BH244" s="144" t="str">
        <f t="shared" si="821"/>
        <v xml:space="preserve"> </v>
      </c>
      <c r="BI244" s="176" t="str">
        <f t="shared" si="653"/>
        <v/>
      </c>
      <c r="BJ244" s="144" t="str">
        <f t="shared" si="822"/>
        <v/>
      </c>
      <c r="BK244" s="246" t="str">
        <f t="shared" si="654"/>
        <v/>
      </c>
      <c r="BL244" s="144" t="str">
        <f t="shared" si="823"/>
        <v/>
      </c>
      <c r="BM244" s="246" t="str">
        <f t="shared" si="655"/>
        <v/>
      </c>
      <c r="BN244" s="337" t="str">
        <f t="shared" si="745"/>
        <v/>
      </c>
      <c r="BO244" s="371" t="str">
        <f t="shared" si="746"/>
        <v/>
      </c>
      <c r="BP244" s="328" t="str">
        <f t="shared" si="824"/>
        <v xml:space="preserve"> </v>
      </c>
      <c r="BQ244" s="347" t="str">
        <f t="shared" si="747"/>
        <v xml:space="preserve"> </v>
      </c>
      <c r="BR244" s="353" t="str">
        <f t="shared" si="748"/>
        <v xml:space="preserve"> </v>
      </c>
      <c r="BS244" s="626" t="str">
        <f>IF(L244&gt;0,IF(Calculation!P244="M13",BR244*3.1416*(0.134^2)/(4*144),IF(Calculation!P244="M17",BR244*3.1416*(0.165^2)/(4*144),IF(Calculation!P244="M20",BR244*3.1416*(0.198^2)/(4*144),IF(Calculation!P244="M23",BR244*3.1416*(0.228^2)/(4*144),IF(Calculation!P244="M27",BR244*3.1416*(0.269^2)/(4*144),BR244*3.1416*(0.307^2)/(4*144))))))," ")</f>
        <v xml:space="preserve"> </v>
      </c>
      <c r="BT244" s="353" t="str">
        <f>IF(L244&gt;0,IF(BS244&gt;0,R244/Calculation!BS244,0)," ")</f>
        <v xml:space="preserve"> </v>
      </c>
      <c r="BU244" s="438" t="e">
        <f t="shared" ca="1" si="656"/>
        <v>#VALUE!</v>
      </c>
      <c r="BV244" s="449" t="e">
        <f ca="1">INDEX(INDIRECT(VLOOKUP(LEFT(BO244,7),CLU!$Z$3:$AH$18,2)),GN244,GR244)</f>
        <v>#N/A</v>
      </c>
      <c r="BW244" s="433" t="e">
        <f ca="1">INDEX(INDIRECT(VLOOKUP(LEFT(BO244,7),CLU!$Z$3:$AH$18,3)),GN244,GR244)</f>
        <v>#N/A</v>
      </c>
      <c r="BX244" s="433" t="e">
        <f ca="1">INDEX(INDIRECT(VLOOKUP(LEFT(BO244,7),CLU!$Z$3:$AH$18,4)),GN244,GR244)</f>
        <v>#N/A</v>
      </c>
      <c r="BY244" s="433" t="e">
        <f ca="1">INDEX(INDIRECT(VLOOKUP(LEFT(BO244,7),CLU!$Z$3:$AH$18,9)),((M244-2)*(6-COUNTBLANK(GT244:GY244)))+GJ244)</f>
        <v>#N/A</v>
      </c>
      <c r="BZ244" s="426" t="e">
        <f t="shared" ca="1" si="749"/>
        <v>#N/A</v>
      </c>
      <c r="CA244" s="424" t="e">
        <f t="shared" ca="1" si="750"/>
        <v>#N/A</v>
      </c>
      <c r="CB244" s="429" t="e">
        <f ca="1">INDEX(INDIRECT(VLOOKUP(LEFT(BO244,7),CLU!$Z$3:$AH$18,2)),GN244,GS244)</f>
        <v>#N/A</v>
      </c>
      <c r="CC244" s="342" t="e">
        <f ca="1">INDEX(INDIRECT(VLOOKUP(LEFT(BO244,7),CLU!$Z$3:$AH$18,3)),GN244,GS244)</f>
        <v>#N/A</v>
      </c>
      <c r="CD244" s="342" t="e">
        <f ca="1">INDEX(INDIRECT(VLOOKUP(LEFT(BO244,7),CLU!$Z$3:$AH$18,4)),GN244,GS244)</f>
        <v>#N/A</v>
      </c>
      <c r="CE244" s="426" t="e">
        <f t="shared" ca="1" si="751"/>
        <v>#N/A</v>
      </c>
      <c r="CF244" s="440">
        <f t="shared" si="752"/>
        <v>0</v>
      </c>
      <c r="CG244" s="431" t="e">
        <f ca="1">INDEX(INDIRECT(VLOOKUP(LEFT(BO244,7),CLU!$Z$3:$AH$18,2)),GQ244,GR244)</f>
        <v>#N/A</v>
      </c>
      <c r="CH244" s="431" t="e">
        <f ca="1">INDEX(INDIRECT(VLOOKUP(LEFT(BO244,7),CLU!$Z$3:$AH$18,3)),GQ244,GR244)</f>
        <v>#N/A</v>
      </c>
      <c r="CI244" s="431" t="e">
        <f ca="1">INDEX(INDIRECT(VLOOKUP(LEFT(BO244,7),CLU!$Z$3:$AH$18,4)),GQ244,GR244)</f>
        <v>#N/A</v>
      </c>
      <c r="CJ244" s="448" t="e">
        <f t="shared" ca="1" si="753"/>
        <v>#N/A</v>
      </c>
      <c r="CK244" s="431" t="e">
        <f t="shared" ca="1" si="754"/>
        <v>#N/A</v>
      </c>
      <c r="CL244" s="440" t="e">
        <f t="shared" ca="1" si="755"/>
        <v>#N/A</v>
      </c>
      <c r="CM244" s="431" t="e">
        <f ca="1">INDEX(INDIRECT(VLOOKUP(LEFT(BO244,7),CLU!$Z$3:$AH$18,2)),GQ244,GS244)</f>
        <v>#N/A</v>
      </c>
      <c r="CN244" s="431" t="e">
        <f ca="1">INDEX(INDIRECT(VLOOKUP(LEFT(BO244,7),CLU!$Z$3:$AH$18,3)),GQ244,GS244)</f>
        <v>#N/A</v>
      </c>
      <c r="CO244" s="431" t="e">
        <f ca="1">INDEX(INDIRECT(VLOOKUP(LEFT(BO244,7),CLU!$Z$3:$AH$18,4)),GQ244,GS244)</f>
        <v>#N/A</v>
      </c>
      <c r="CP244" s="431" t="e">
        <f t="shared" ca="1" si="756"/>
        <v>#N/A</v>
      </c>
      <c r="CQ244" s="440">
        <f t="shared" si="757"/>
        <v>0</v>
      </c>
      <c r="CR244" s="51" t="e">
        <f t="shared" ca="1" si="758"/>
        <v>#N/A</v>
      </c>
      <c r="CS244" s="439" t="e">
        <f t="shared" ca="1" si="759"/>
        <v>#VALUE!</v>
      </c>
      <c r="CT244" s="51" t="e">
        <f t="shared" ca="1" si="760"/>
        <v>#VALUE!</v>
      </c>
      <c r="CU244" s="10"/>
      <c r="CV244" s="51" t="e">
        <f t="shared" ca="1" si="657"/>
        <v>#VALUE!</v>
      </c>
      <c r="CW244" s="51">
        <f t="shared" si="761"/>
        <v>0</v>
      </c>
      <c r="CX244" s="439" t="e">
        <f t="shared" ca="1" si="762"/>
        <v>#VALUE!</v>
      </c>
      <c r="CY244" s="51" t="e">
        <f t="shared" ca="1" si="763"/>
        <v>#VALUE!</v>
      </c>
      <c r="CZ244" s="10"/>
      <c r="DA244" s="51" t="e">
        <f t="shared" ca="1" si="764"/>
        <v>#VALUE!</v>
      </c>
      <c r="DB244" s="347" t="e">
        <f ca="1">INDEX(INDIRECT(VLOOKUP(LEFT(BO244,7),CLU!$Z$3:$AI$18,10)),((M244-2)*(6-COUNTBLANK(GT244:GY244)))+GJ244)*LI244</f>
        <v>#N/A</v>
      </c>
      <c r="DC244" s="347" t="str">
        <f>IF(L244&gt;0,((R244/Worksheet!$I$15)/DB244)^2," ")</f>
        <v xml:space="preserve"> </v>
      </c>
      <c r="DD244" s="602" t="str">
        <f t="shared" si="765"/>
        <v xml:space="preserve"> </v>
      </c>
      <c r="DE244" s="347" t="str">
        <f t="shared" si="658"/>
        <v xml:space="preserve"> </v>
      </c>
      <c r="DF244" s="356" t="e">
        <f ca="1">INDEX(INDIRECT(VLOOKUP(LEFT(BO244,7),CLU!$Z$3:$AH$18,8)),((M244-2)*(6-COUNTBLANK(GT244:GY244)))+GJ244)</f>
        <v>#N/A</v>
      </c>
      <c r="DG244" s="347" t="str">
        <f t="shared" si="659"/>
        <v xml:space="preserve"> </v>
      </c>
      <c r="DH244" s="357" t="str">
        <f t="shared" si="660"/>
        <v xml:space="preserve"> </v>
      </c>
      <c r="DI244" s="355" t="str">
        <f t="shared" si="661"/>
        <v xml:space="preserve"> </v>
      </c>
      <c r="DJ244" s="245" t="e">
        <f ca="1">INDEX(INDIRECT(VLOOKUP(LEFT(BO244,7),CLU!$Z$3:$AH$18,5)),GL244,GK244)</f>
        <v>#N/A</v>
      </c>
      <c r="DK244" s="245" t="e">
        <f ca="1">INDEX(INDIRECT(VLOOKUP(LEFT(BO244,7),CLU!$Z$3:$AH$18,6)),GL244,GK244)</f>
        <v>#N/A</v>
      </c>
      <c r="DL244" s="355">
        <f>(Calculation!R244*0.69143*(Calculation!$BQ$8-Calculation!$F$8))*$S$14</f>
        <v>0</v>
      </c>
      <c r="DM244" s="359" t="e">
        <f t="shared" si="766"/>
        <v>#VALUE!</v>
      </c>
      <c r="DN244" s="611">
        <f t="shared" si="767"/>
        <v>0</v>
      </c>
      <c r="DO244" s="359">
        <f t="shared" si="768"/>
        <v>100</v>
      </c>
      <c r="DP244" s="359">
        <f t="shared" si="769"/>
        <v>0</v>
      </c>
      <c r="DQ244" s="360"/>
      <c r="DR244" s="245" t="e">
        <f ca="1">INDEX(INDIRECT(VLOOKUP(LEFT(BO244,7),CLU!$Z$3:$AH$18,7)),M244-1,1)</f>
        <v>#N/A</v>
      </c>
      <c r="DS244" s="245" t="e">
        <f ca="1">INDEX(INDIRECT(VLOOKUP(LEFT(BO244,7),CLU!$Z$3:$AH$18,7)),M244-1,2)</f>
        <v>#N/A</v>
      </c>
      <c r="DT244" s="245" t="e">
        <f ca="1">INDEX(INDIRECT(VLOOKUP(LEFT(BO244,7),CLU!$Z$3:$AH$18,7)),M244-1,3)</f>
        <v>#N/A</v>
      </c>
      <c r="DU244" s="245" t="e">
        <f ca="1">INDEX(INDIRECT(VLOOKUP(LEFT(BO244,7),CLU!$Z$3:$AH$18,7)),M244-1,4)</f>
        <v>#N/A</v>
      </c>
      <c r="DV244" s="361" t="e">
        <f ca="1">INDEX(INDIRECT(VLOOKUP(LEFT(BO244,7),CLU!$Z$3:$AH$18,7)),M244-1,4+LEFT(DZ244,1)*0.5)</f>
        <v>#N/A</v>
      </c>
      <c r="DW244" s="245" t="e">
        <f ca="1">INDEX(INDIRECT(VLOOKUP(LEFT(BO244,7),CLU!$Z$3:$AH$18,7)),M244-1,8)</f>
        <v>#N/A</v>
      </c>
      <c r="DX244" s="361" t="str">
        <f t="shared" si="662"/>
        <v xml:space="preserve"> </v>
      </c>
      <c r="DY244" s="361" t="str">
        <f t="shared" si="663"/>
        <v xml:space="preserve"> </v>
      </c>
      <c r="DZ244" s="361" t="str">
        <f t="shared" si="664"/>
        <v xml:space="preserve"> </v>
      </c>
      <c r="EA244" s="362" t="str">
        <f t="shared" si="665"/>
        <v xml:space="preserve"> </v>
      </c>
      <c r="EB244" s="624" t="str">
        <f t="shared" si="770"/>
        <v xml:space="preserve"> </v>
      </c>
      <c r="EC244" s="361" t="e">
        <f ca="1">INDEX(INDIRECT(VLOOKUP(LEFT(BO244,7),CLU!$Z$3:$AH$18,7)),M244-1,4+LEFT(DZ244,1)*0.5)</f>
        <v>#N/A</v>
      </c>
      <c r="ED244" s="362" t="str">
        <f t="shared" si="666"/>
        <v xml:space="preserve"> </v>
      </c>
      <c r="EE244" s="361" t="str">
        <f t="shared" si="667"/>
        <v xml:space="preserve"> </v>
      </c>
      <c r="EF244" s="362" t="str">
        <f>IF(L244&gt;0,IF(BR244&gt;0,IF(EE244="2P",IF(Calculation!DZ244="2P",IF(Calculation!DS244=13.75,IF(Calculation!DR244=13,Worksheet!$BD$43,IF(Calculation!DR244=37,Worksheet!$BD$44,Worksheet!$BD$45)),IF(Calculation!DS244=10,IF(Calculation!DR244=18,Worksheet!$BD$29,IF(Calculation!DR244=30,Worksheet!$BD$30,IF(Calculation!DR244=42,Worksheet!$BD$31,IF(Calculation!DR244=54,Worksheet!$BD$32,IF(Calculation!DR244=66,Worksheet!$BD$33,IF(Calculation!DR244=78,Worksheet!$BD$34,IF(Calculation!DR244=90,Worksheet!$BD$35,IF(Calculation!DR244=102,Worksheet!$BD$36,Worksheet!$BD$37)))))))),IF(Calculation!DS244=12.5,IF(Calculation!DR244=18,Worksheet!$BD$38,IF(Calculation!DR244=Worksheet!$BD$39,IF(Calculation!DR244=42,Worksheet!$BD$40,IF(Calculation!DR244=54,Worksheet!$BD$41,Worksheet!$BD$42)))),IF(Calculation!DR244=18,Worksheet!$BD$11,IF(Calculation!DR244=30,Worksheet!$BD$12,IF(Calculation!DR244=42,Worksheet!$BD$13,IF(Calculation!DR244=54,Worksheet!$BD$14,IF(Calculation!DR244=66,Worksheet!$BD$15,IF(Calculation!DR244=78,Worksheet!$BD$16,IF(Calculation!DR244=90,Worksheet!$BD$17,IF(Calculation!DR244=102,Worksheet!$BD$18,Worksheet!$BD$19))))))))))),IF(Calculation!DS244=13.75,IF(Calculation!DR244=13,Worksheet!$BD$78,IF(Calculation!DR244=37,Worksheet!$BD$79,Worksheet!$BD$80)),IF(Calculation!DS244=10,IF(Calculation!DR244=18,Worksheet!$BD$64,IF(Calculation!DR244=30,Worksheet!$BD$65,IF(Calculation!DR244=42,Worksheet!$BD$66,IF(Calculation!DR244=54,Worksheet!$BD$68,IF(Calculation!DR244=66,Worksheet!$BD$68,IF(Calculation!DR244=78,Worksheet!$BD$69,IF(Calculation!DR244=90,Worksheet!$BD$70,IF(Calculation!DR244=102,Worksheet!$BD$71,Worksheet!$BD$72)))))))),IF(Calculation!DS244=12.5,IF(Calculation!DR244=18,Worksheet!$BD$73,IF(Calculation!DR244=Worksheet!$BD$74,IF(Calculation!DR244=42,Worksheet!$BD$75,IF(Calculation!DR244=54,Worksheet!$BD$76,Worksheet!$BD$77)))),IF(Calculation!DR244=18,Worksheet!$BD$55,IF(Calculation!DR244=30,Worksheet!$BD$56,IF(Calculation!DR244=42,Worksheet!$BD$57,IF(Calculation!DR244=54,Worksheet!$BD$58,IF(Calculation!DR244=66,Worksheet!$BD$59,IF(Calculation!DR244=78,Worksheet!$BD$60,IF(Calculation!DR244=90,Worksheet!$BD$61,IF(Calculation!DR244=102,Worksheet!$BD$62,Worksheet!$BD$63)))))))))))),5),0)," ")</f>
        <v xml:space="preserve"> </v>
      </c>
      <c r="EG244" s="361" t="str">
        <f t="shared" si="668"/>
        <v xml:space="preserve"> </v>
      </c>
      <c r="EH244" s="361" t="e">
        <f ca="1">INDEX(INDIRECT(VLOOKUP(LEFT(BO244,7),CLU!$Z$3:$AH$18,7)),M244-1,3+LEFT(DZ244,1))</f>
        <v>#N/A</v>
      </c>
      <c r="EI244" s="362" t="str">
        <f t="shared" si="669"/>
        <v xml:space="preserve"> </v>
      </c>
      <c r="EJ244" s="363" t="str">
        <f t="shared" si="670"/>
        <v xml:space="preserve"> </v>
      </c>
      <c r="EK244" s="363" t="str">
        <f t="shared" si="671"/>
        <v xml:space="preserve"> </v>
      </c>
      <c r="EL244" s="363" t="str">
        <f t="shared" si="672"/>
        <v xml:space="preserve"> </v>
      </c>
      <c r="EM244" s="362" t="str">
        <f>IF(L244&gt;0,IF(BR244&gt;0,(Calculation!T244/ED244)^2,0)," ")</f>
        <v xml:space="preserve"> </v>
      </c>
      <c r="EN244" s="362" t="str">
        <f>IF(L244&gt;0,IF(O244="2 Pipe (Cooling)","N/A",IF(BR244&gt;0,(Calculation!U244/EI244)^2,0))," ")</f>
        <v xml:space="preserve"> </v>
      </c>
      <c r="EO244" s="361" t="str">
        <f t="shared" si="673"/>
        <v/>
      </c>
      <c r="EP244" s="361" t="str">
        <f t="shared" si="674"/>
        <v/>
      </c>
      <c r="EQ244" s="361" t="str">
        <f t="shared" si="675"/>
        <v/>
      </c>
      <c r="ER244" s="361" t="str">
        <f t="shared" si="676"/>
        <v/>
      </c>
      <c r="ES244" s="361" t="str">
        <f t="shared" si="677"/>
        <v/>
      </c>
      <c r="ET244" s="361" t="str">
        <f t="shared" si="678"/>
        <v/>
      </c>
      <c r="EU244" s="361" t="str">
        <f t="shared" si="679"/>
        <v/>
      </c>
      <c r="EV244" s="361" t="str">
        <f t="shared" si="680"/>
        <v/>
      </c>
      <c r="EW244" s="361" t="str">
        <f t="shared" si="681"/>
        <v/>
      </c>
      <c r="EX244" s="361" t="str">
        <f t="shared" si="771"/>
        <v>1 slot, 1 way</v>
      </c>
      <c r="EY244" s="361" t="str">
        <f t="shared" si="772"/>
        <v xml:space="preserve"> </v>
      </c>
      <c r="EZ244" s="361" t="str">
        <f t="shared" si="773"/>
        <v xml:space="preserve"> </v>
      </c>
      <c r="FA244" s="361" t="str">
        <f t="shared" si="774"/>
        <v xml:space="preserve"> </v>
      </c>
      <c r="FB244" s="361" t="str">
        <f t="shared" si="775"/>
        <v xml:space="preserve"> </v>
      </c>
      <c r="FC244" s="361"/>
      <c r="FD244" s="361" t="str">
        <f>IF(J244&gt;0,IF(Calculation!R244&lt;=70,4,IF(Calculation!R244&lt;=110,5,IF(Calculation!R244&lt;=160,6,IF(Calculation!R244&lt;=300,8,"10 EO")))),"")</f>
        <v/>
      </c>
      <c r="FE244" s="361" t="str">
        <f t="shared" si="776"/>
        <v/>
      </c>
      <c r="FF244" s="361" t="str">
        <f t="shared" si="777"/>
        <v/>
      </c>
      <c r="FG244" s="361" t="e">
        <f t="shared" si="682"/>
        <v>#N/A</v>
      </c>
      <c r="FH244" s="361">
        <f t="shared" si="683"/>
        <v>0</v>
      </c>
      <c r="FI244" s="361" t="e">
        <f t="shared" si="684"/>
        <v>#DIV/0!</v>
      </c>
      <c r="FJ244" s="361"/>
      <c r="FK244" s="356" t="e">
        <f t="shared" si="685"/>
        <v>#VALUE!</v>
      </c>
      <c r="FL244" s="361"/>
      <c r="FM244" s="361"/>
      <c r="FN244" s="362" t="str">
        <f t="shared" si="778"/>
        <v xml:space="preserve"> </v>
      </c>
      <c r="FO244" s="362" t="str">
        <f t="shared" si="779"/>
        <v xml:space="preserve"> </v>
      </c>
      <c r="FP244" s="362">
        <f t="shared" si="780"/>
        <v>0</v>
      </c>
      <c r="FQ244" s="361">
        <f t="shared" si="686"/>
        <v>0</v>
      </c>
      <c r="FR244" s="362" t="str">
        <f>IF(L244&gt;0,IF(J244="CBAL2",Worksheet!$P$67,IF(J244="CBE2-24",Worksheet!$Q$67,IF(J244="CBAM",Worksheet!$R$67,IF(J244="CBLV",Worksheet!$S$67,IF(J244="CBAB",Worksheet!$U$67,IF(J244="CBAW",Worksheet!$X$67,IF(J244="CBE2-12",Worksheet!$Y$67,IF(J244="CBAL2",Worksheet!$Z$67,"N/A"))))))))," ")</f>
        <v xml:space="preserve"> </v>
      </c>
      <c r="FS244" s="362" t="str">
        <f>IF(L244&gt;0,IF(J244="CBAL2",Worksheet!$P$68,IF(J244="CBE2-24",Worksheet!$Q$68,IF(J244="CBAM",Worksheet!$R$68,IF(J244="CBLV",Worksheet!$S$68,IF(J244="CBAB",Worksheet!$U$68,IF(J244="CBAW",Worksheet!$X$68,IF(J244="CBE2-12",Worksheet!$Y$68,IF(J244="CBAL2",Worksheet!$Z$68,"N/A"))))))))," ")</f>
        <v xml:space="preserve"> </v>
      </c>
      <c r="FT244" s="362" t="str">
        <f>IF(L244&gt;0,IF(J244="CBAL2",Worksheet!$P$69,IF(J244="CBE2-24",Worksheet!$Q$69,IF(J244="CBAM",Worksheet!$R$69,IF(J244="CBLV",Worksheet!$S$69,IF(J244="CBAB",Worksheet!$U$69,IF(J244="CBAW",Worksheet!$X$69,IF(J244="CBE2-12",Worksheet!$Y$69,IF(J244="CBAL2",Worksheet!$Z$69,"N/A"))))))))," ")</f>
        <v xml:space="preserve"> </v>
      </c>
      <c r="FU244" s="361" t="str">
        <f t="shared" si="781"/>
        <v xml:space="preserve"> </v>
      </c>
      <c r="FV244" s="362" t="str">
        <f t="shared" si="782"/>
        <v xml:space="preserve"> </v>
      </c>
      <c r="FW244" s="362" t="str">
        <f t="shared" si="783"/>
        <v xml:space="preserve"> </v>
      </c>
      <c r="FX244" s="362" t="str">
        <f t="shared" si="784"/>
        <v xml:space="preserve"> </v>
      </c>
      <c r="FY244" s="355" t="str">
        <f t="shared" si="785"/>
        <v xml:space="preserve"> </v>
      </c>
      <c r="FZ244" s="361" t="str">
        <f t="shared" si="786"/>
        <v xml:space="preserve"> </v>
      </c>
      <c r="GA244" s="347" t="str">
        <f t="shared" si="787"/>
        <v xml:space="preserve"> </v>
      </c>
      <c r="GB244" s="355" t="str">
        <f t="shared" si="788"/>
        <v xml:space="preserve"> </v>
      </c>
      <c r="GC244" s="328" t="str">
        <f t="shared" si="789"/>
        <v xml:space="preserve"> </v>
      </c>
      <c r="GD244" s="361" t="str">
        <f t="shared" si="790"/>
        <v xml:space="preserve"> </v>
      </c>
      <c r="GE244" s="347" t="str">
        <f t="shared" si="791"/>
        <v xml:space="preserve"> </v>
      </c>
      <c r="GF244" s="361" t="str">
        <f t="shared" si="792"/>
        <v xml:space="preserve"> </v>
      </c>
      <c r="GG244" s="347" t="str">
        <f t="shared" si="793"/>
        <v xml:space="preserve"> </v>
      </c>
      <c r="GH244" s="364">
        <f t="shared" si="687"/>
        <v>0</v>
      </c>
      <c r="GI244" s="362">
        <f t="shared" si="794"/>
        <v>2</v>
      </c>
      <c r="GJ244" s="433" t="e">
        <f>IF(6-COUNTBLANK(GT244:GY244)=4,MATCH(MID(BO244,9,3),CLU!$H$16:$K$16),MATCH(MID(BO244,9,3),CLU!$H$13:$M$13))</f>
        <v>#N/A</v>
      </c>
      <c r="GK244" s="433" t="e">
        <f>HLOOKUP(VALUE(BP244),CLU!$H$9:$M$10,2)</f>
        <v>#VALUE!</v>
      </c>
      <c r="GL244" s="433" t="e">
        <f ca="1">MATCH(BU244,CLU!$H$2:$V$2,1)</f>
        <v>#VALUE!</v>
      </c>
      <c r="GM244" s="433" t="e">
        <f t="shared" ca="1" si="795"/>
        <v>#VALUE!</v>
      </c>
      <c r="GN244" s="433" t="e">
        <f t="shared" ca="1" si="796"/>
        <v>#VALUE!</v>
      </c>
      <c r="GO244" s="433" t="e">
        <f t="shared" ca="1" si="797"/>
        <v>#VALUE!</v>
      </c>
      <c r="GP244" s="433" t="e">
        <f t="shared" ca="1" si="798"/>
        <v>#VALUE!</v>
      </c>
      <c r="GQ244" s="433" t="e">
        <f t="shared" ca="1" si="799"/>
        <v>#VALUE!</v>
      </c>
      <c r="GR244" s="433" t="e">
        <f ca="1">MATCH(T244,INDIRECT(VLOOKUP(CONCATENATE(LEFT(BO244,7),"-",MID(BO244,13,1)),CLU!$P$3:$Q$16,2)),1)</f>
        <v>#N/A</v>
      </c>
      <c r="GS244" s="433" t="e">
        <f ca="1">MATCH(U244,INDIRECT(VLOOKUP(CONCATENATE(LEFT(BO244,7),"-",MID(BO244,13,1)),CLU!$P$3:$Q$16,2)),1)</f>
        <v>#N/A</v>
      </c>
      <c r="GT244" s="347" t="s">
        <v>512</v>
      </c>
      <c r="GU244" s="97" t="s">
        <v>513</v>
      </c>
      <c r="GV244" s="97" t="str">
        <f t="shared" si="800"/>
        <v>M23</v>
      </c>
      <c r="GW244" s="97" t="str">
        <f t="shared" si="801"/>
        <v>M31</v>
      </c>
      <c r="GX244" s="97" t="str">
        <f t="shared" si="802"/>
        <v/>
      </c>
      <c r="GY244" s="97" t="str">
        <f t="shared" si="803"/>
        <v/>
      </c>
      <c r="GZ244" s="481"/>
      <c r="HA244" s="288"/>
      <c r="HB244" s="240"/>
      <c r="HC244" s="240"/>
      <c r="HD244" s="240"/>
      <c r="HE244" s="240"/>
      <c r="HF244" s="240"/>
      <c r="HG244" s="240"/>
      <c r="HH244" s="240"/>
      <c r="HI244" s="240"/>
      <c r="HJ244" s="240"/>
      <c r="HK244" s="240"/>
      <c r="HL244" s="240"/>
      <c r="HM244" s="240"/>
      <c r="HN244" s="240"/>
      <c r="HO244" s="240"/>
      <c r="HP244" s="240"/>
      <c r="HQ244" s="240"/>
      <c r="HR244" s="240"/>
      <c r="HS244" s="240"/>
      <c r="HT244" s="240"/>
      <c r="HU244" s="240"/>
      <c r="HV244" s="245"/>
      <c r="HW244" s="245" t="b">
        <v>1</v>
      </c>
      <c r="HX244" s="245" t="str">
        <f t="shared" si="688"/>
        <v/>
      </c>
      <c r="HY244" s="245" t="e">
        <f t="shared" si="689"/>
        <v>#DIV/0!</v>
      </c>
      <c r="HZ244" s="245" t="e">
        <f t="shared" si="690"/>
        <v>#DIV/0!</v>
      </c>
      <c r="IA244" s="245">
        <f t="shared" si="691"/>
        <v>0</v>
      </c>
      <c r="IB244" s="245"/>
      <c r="IC244" t="b">
        <f t="shared" si="692"/>
        <v>1</v>
      </c>
      <c r="ID244" s="245" t="b">
        <f t="shared" si="693"/>
        <v>1</v>
      </c>
      <c r="IE244" s="245" t="b">
        <f t="shared" si="694"/>
        <v>1</v>
      </c>
      <c r="IF244" s="245" t="b">
        <f t="shared" si="695"/>
        <v>0</v>
      </c>
      <c r="IG244" s="245" t="b">
        <f t="shared" si="696"/>
        <v>1</v>
      </c>
      <c r="IH244" s="245" t="b">
        <f t="shared" si="697"/>
        <v>1</v>
      </c>
      <c r="II244" s="245">
        <f t="shared" si="804"/>
        <v>0</v>
      </c>
      <c r="IJ244" s="245" t="e">
        <f t="shared" si="698"/>
        <v>#VALUE!</v>
      </c>
      <c r="IK244" s="245" t="e">
        <f t="shared" si="699"/>
        <v>#VALUE!</v>
      </c>
      <c r="IL244" s="245"/>
      <c r="IM244" s="245" t="e">
        <f t="shared" si="805"/>
        <v>#N/A</v>
      </c>
      <c r="IN244" s="245" t="e">
        <f t="shared" si="806"/>
        <v>#N/A</v>
      </c>
      <c r="IO244" s="245"/>
      <c r="IP244" s="245"/>
      <c r="IQ244" s="245" t="str">
        <f t="shared" si="700"/>
        <v/>
      </c>
      <c r="IR244" s="245" t="str">
        <f>IF(J244="","",VLOOKUP(J244,Worksheet!$R$4:$T$14,2))</f>
        <v/>
      </c>
      <c r="IS244" s="245"/>
      <c r="IT244" s="245">
        <f t="shared" si="701"/>
        <v>0</v>
      </c>
      <c r="IU244" s="245">
        <f t="shared" si="702"/>
        <v>0</v>
      </c>
      <c r="IV244" s="245">
        <f t="shared" si="703"/>
        <v>0</v>
      </c>
      <c r="IW244" s="245">
        <f t="shared" si="704"/>
        <v>0</v>
      </c>
      <c r="IX244" s="245">
        <f t="shared" si="807"/>
        <v>0</v>
      </c>
      <c r="IY244" s="245">
        <f t="shared" si="705"/>
        <v>0</v>
      </c>
      <c r="IZ244" s="245">
        <f t="shared" si="706"/>
        <v>0</v>
      </c>
      <c r="JA244">
        <f t="shared" si="707"/>
        <v>0</v>
      </c>
      <c r="JB244">
        <f t="shared" si="808"/>
        <v>0</v>
      </c>
      <c r="JC244">
        <f t="shared" si="708"/>
        <v>0</v>
      </c>
      <c r="JD244">
        <f t="shared" si="709"/>
        <v>0</v>
      </c>
      <c r="JE244">
        <f t="shared" si="710"/>
        <v>0</v>
      </c>
      <c r="JF244">
        <f t="shared" si="711"/>
        <v>0</v>
      </c>
      <c r="JG244">
        <f t="shared" si="712"/>
        <v>0</v>
      </c>
      <c r="JH244">
        <f t="shared" si="713"/>
        <v>0</v>
      </c>
      <c r="JI244">
        <f t="shared" si="714"/>
        <v>0</v>
      </c>
      <c r="JJ244" s="447">
        <f t="shared" si="715"/>
        <v>0</v>
      </c>
      <c r="JK244" s="447">
        <f t="shared" si="716"/>
        <v>0</v>
      </c>
      <c r="JL244">
        <f t="shared" si="717"/>
        <v>0</v>
      </c>
      <c r="JM244" s="245" t="str">
        <f>IFERROR(VLOOKUP(MATCH(BN244,#REF!,0),#REF!,7),"")</f>
        <v/>
      </c>
      <c r="JN244" t="e">
        <f>HLOOKUP(LEFT(BO244,7),Discharge_Area,MATCH(JO244,LookUps!$B$130:$B$149,1)+2)</f>
        <v>#N/A</v>
      </c>
      <c r="JO244" t="str">
        <f t="shared" si="718"/>
        <v>- S</v>
      </c>
      <c r="JP244" t="e">
        <f>HLOOKUP(LEFT(BO244,7),Discharge_Area,MATCH(JO244,LookUps!$B$130:$B$149,1)+2)</f>
        <v>#N/A</v>
      </c>
      <c r="JQ244" t="e">
        <f t="shared" si="719"/>
        <v>#N/A</v>
      </c>
      <c r="JR244" t="e">
        <f t="shared" si="720"/>
        <v>#N/A</v>
      </c>
      <c r="JS244" t="e">
        <f t="shared" si="721"/>
        <v>#N/A</v>
      </c>
      <c r="JT244" s="532" t="str">
        <f t="shared" si="722"/>
        <v xml:space="preserve"> </v>
      </c>
      <c r="JU244" s="532" t="str">
        <f t="shared" si="723"/>
        <v xml:space="preserve"> </v>
      </c>
      <c r="JV244" s="533" t="str">
        <f t="shared" si="724"/>
        <v xml:space="preserve"> </v>
      </c>
      <c r="JW244" s="534">
        <f t="shared" si="725"/>
        <v>0</v>
      </c>
      <c r="JX244" s="535" t="str">
        <f t="shared" si="809"/>
        <v xml:space="preserve"> </v>
      </c>
      <c r="JY244" s="535" t="str">
        <f t="shared" si="810"/>
        <v xml:space="preserve"> </v>
      </c>
      <c r="JZ244" s="535" t="str">
        <f t="shared" si="811"/>
        <v xml:space="preserve"> </v>
      </c>
      <c r="KA244" s="536" t="str">
        <f t="shared" si="726"/>
        <v xml:space="preserve"> </v>
      </c>
      <c r="KB244" s="535" t="e">
        <f t="shared" si="812"/>
        <v>#VALUE!</v>
      </c>
      <c r="KC244" s="535" t="str">
        <f t="shared" si="727"/>
        <v/>
      </c>
      <c r="KD244" s="537" t="str">
        <f t="shared" si="813"/>
        <v xml:space="preserve"> </v>
      </c>
      <c r="KE244" s="537" t="str">
        <f t="shared" si="814"/>
        <v xml:space="preserve"> </v>
      </c>
      <c r="KF244" s="534">
        <f t="shared" si="728"/>
        <v>0</v>
      </c>
      <c r="KG244" s="535" t="str">
        <f t="shared" si="729"/>
        <v xml:space="preserve"> </v>
      </c>
      <c r="KH244" s="535" t="str">
        <f t="shared" si="730"/>
        <v xml:space="preserve"> </v>
      </c>
      <c r="KI244" s="535" t="str">
        <f t="shared" si="731"/>
        <v xml:space="preserve"> </v>
      </c>
      <c r="KJ244" s="536" t="str">
        <f t="shared" si="732"/>
        <v xml:space="preserve"> </v>
      </c>
      <c r="KK244" s="535" t="str">
        <f t="shared" si="815"/>
        <v xml:space="preserve"> </v>
      </c>
      <c r="KL244" s="535" t="str">
        <f t="shared" si="816"/>
        <v xml:space="preserve"> </v>
      </c>
      <c r="KM244" s="537" t="str">
        <f t="shared" si="733"/>
        <v xml:space="preserve"> </v>
      </c>
      <c r="KN244" s="537" t="str">
        <f t="shared" si="817"/>
        <v xml:space="preserve"> </v>
      </c>
      <c r="KP244">
        <f t="shared" si="734"/>
        <v>0</v>
      </c>
      <c r="LA244" t="e">
        <f t="shared" si="735"/>
        <v>#VALUE!</v>
      </c>
      <c r="LB244" t="e">
        <f t="shared" si="736"/>
        <v>#VALUE!</v>
      </c>
      <c r="LC244" t="e">
        <f t="shared" si="737"/>
        <v>#VALUE!</v>
      </c>
      <c r="LD244" t="e">
        <f t="shared" si="738"/>
        <v>#VALUE!</v>
      </c>
      <c r="LE244" t="e">
        <f t="shared" si="818"/>
        <v>#VALUE!</v>
      </c>
      <c r="LF244">
        <f t="shared" si="739"/>
        <v>0</v>
      </c>
      <c r="LG244" t="e">
        <f t="shared" si="819"/>
        <v>#VALUE!</v>
      </c>
      <c r="LH244" t="str">
        <f t="shared" si="740"/>
        <v xml:space="preserve"> </v>
      </c>
      <c r="LI244">
        <f t="shared" si="820"/>
        <v>1</v>
      </c>
    </row>
    <row r="245" spans="2:321" ht="15" customHeight="1">
      <c r="B245" s="311"/>
      <c r="C245" s="311"/>
      <c r="D245" s="312"/>
      <c r="E245" s="311"/>
      <c r="F245" s="312"/>
      <c r="G245" s="311"/>
      <c r="H245" s="311"/>
      <c r="I245" s="232"/>
      <c r="J245" s="311"/>
      <c r="K245" s="305" t="str">
        <f t="shared" si="741"/>
        <v/>
      </c>
      <c r="L245" s="313"/>
      <c r="M245" s="312"/>
      <c r="N245" s="311"/>
      <c r="O245" s="312"/>
      <c r="P245" s="311"/>
      <c r="Q245" s="305" t="str">
        <f t="shared" si="742"/>
        <v/>
      </c>
      <c r="R245" s="314"/>
      <c r="S245" s="450" t="str">
        <f t="shared" si="625"/>
        <v/>
      </c>
      <c r="T245" s="315"/>
      <c r="U245" s="315"/>
      <c r="W245" s="149" t="str">
        <f t="shared" si="626"/>
        <v xml:space="preserve"> </v>
      </c>
      <c r="X245" s="243" t="str">
        <f t="shared" si="627"/>
        <v xml:space="preserve"> </v>
      </c>
      <c r="Y245" s="150" t="str">
        <f t="shared" si="628"/>
        <v/>
      </c>
      <c r="Z245" s="149" t="str">
        <f t="shared" si="629"/>
        <v xml:space="preserve"> </v>
      </c>
      <c r="AA245" s="98" t="str">
        <f t="shared" si="630"/>
        <v xml:space="preserve"> </v>
      </c>
      <c r="AB245" s="153" t="str">
        <f t="shared" si="631"/>
        <v xml:space="preserve"> </v>
      </c>
      <c r="AC245" s="153" t="str">
        <f t="shared" si="632"/>
        <v xml:space="preserve"> </v>
      </c>
      <c r="AD245" s="148" t="str">
        <f t="shared" si="633"/>
        <v/>
      </c>
      <c r="AE245" s="149" t="str">
        <f t="shared" si="634"/>
        <v/>
      </c>
      <c r="AF245" s="151" t="str">
        <f t="shared" si="635"/>
        <v xml:space="preserve"> </v>
      </c>
      <c r="AG245" s="153" t="str">
        <f t="shared" si="636"/>
        <v xml:space="preserve"> </v>
      </c>
      <c r="AH245" s="98" t="str">
        <f t="shared" si="637"/>
        <v xml:space="preserve"> </v>
      </c>
      <c r="AI245" s="149" t="str">
        <f t="shared" si="638"/>
        <v xml:space="preserve"> </v>
      </c>
      <c r="AK245" s="144" t="str">
        <f t="shared" si="639"/>
        <v xml:space="preserve"> </v>
      </c>
      <c r="AL245" s="144"/>
      <c r="AM245" s="243" t="str">
        <f t="shared" si="640"/>
        <v xml:space="preserve"> </v>
      </c>
      <c r="AN245" s="149" t="str">
        <f t="shared" si="743"/>
        <v xml:space="preserve"> </v>
      </c>
      <c r="AO245" s="144" t="str">
        <f>IF(JB245&gt;0,IF(GI245=10,-R245*1.085*(Calculation!$F$6-Calculation!$F$13)*$S$14," "),"")</f>
        <v/>
      </c>
      <c r="AP245" s="144" t="str">
        <f t="shared" si="641"/>
        <v/>
      </c>
      <c r="AQ245" s="56" t="str">
        <f t="shared" si="642"/>
        <v/>
      </c>
      <c r="AR245" s="144" t="str">
        <f t="shared" si="643"/>
        <v/>
      </c>
      <c r="AS245" s="176" t="str">
        <f t="shared" si="644"/>
        <v/>
      </c>
      <c r="AT245" s="176" t="str">
        <f t="shared" si="744"/>
        <v xml:space="preserve"> </v>
      </c>
      <c r="AU245" s="176" t="str">
        <f t="shared" si="645"/>
        <v/>
      </c>
      <c r="AV245" s="177" t="str">
        <f t="shared" si="646"/>
        <v xml:space="preserve"> </v>
      </c>
      <c r="AW245" s="144" t="str">
        <f t="shared" si="647"/>
        <v xml:space="preserve"> </v>
      </c>
      <c r="AX245" s="144" t="str">
        <f t="shared" si="648"/>
        <v xml:space="preserve"> </v>
      </c>
      <c r="AY245" s="152" t="str">
        <f t="shared" si="649"/>
        <v xml:space="preserve"> </v>
      </c>
      <c r="AZ245" s="246" t="str">
        <f t="shared" si="650"/>
        <v/>
      </c>
      <c r="BA245" s="176" t="str">
        <f t="shared" si="651"/>
        <v xml:space="preserve"> </v>
      </c>
      <c r="BB245" s="176" t="str">
        <f t="shared" si="652"/>
        <v xml:space="preserve"> </v>
      </c>
      <c r="BC245" s="195"/>
      <c r="BD245" s="316"/>
      <c r="BE245" s="317"/>
      <c r="BF245" s="318"/>
      <c r="BG245" s="318"/>
      <c r="BH245" s="144" t="str">
        <f t="shared" si="821"/>
        <v xml:space="preserve"> </v>
      </c>
      <c r="BI245" s="176" t="str">
        <f t="shared" si="653"/>
        <v/>
      </c>
      <c r="BJ245" s="144" t="str">
        <f t="shared" si="822"/>
        <v/>
      </c>
      <c r="BK245" s="246" t="str">
        <f t="shared" si="654"/>
        <v/>
      </c>
      <c r="BL245" s="144" t="str">
        <f t="shared" si="823"/>
        <v/>
      </c>
      <c r="BM245" s="246" t="str">
        <f t="shared" si="655"/>
        <v/>
      </c>
      <c r="BN245" s="337" t="str">
        <f t="shared" si="745"/>
        <v/>
      </c>
      <c r="BO245" s="371" t="str">
        <f t="shared" si="746"/>
        <v/>
      </c>
      <c r="BP245" s="328" t="str">
        <f t="shared" si="824"/>
        <v xml:space="preserve"> </v>
      </c>
      <c r="BQ245" s="347" t="str">
        <f t="shared" si="747"/>
        <v xml:space="preserve"> </v>
      </c>
      <c r="BR245" s="353" t="str">
        <f t="shared" si="748"/>
        <v xml:space="preserve"> </v>
      </c>
      <c r="BS245" s="626" t="str">
        <f>IF(L245&gt;0,IF(Calculation!P245="M13",BR245*3.1416*(0.134^2)/(4*144),IF(Calculation!P245="M17",BR245*3.1416*(0.165^2)/(4*144),IF(Calculation!P245="M20",BR245*3.1416*(0.198^2)/(4*144),IF(Calculation!P245="M23",BR245*3.1416*(0.228^2)/(4*144),IF(Calculation!P245="M27",BR245*3.1416*(0.269^2)/(4*144),BR245*3.1416*(0.307^2)/(4*144))))))," ")</f>
        <v xml:space="preserve"> </v>
      </c>
      <c r="BT245" s="353" t="str">
        <f>IF(L245&gt;0,IF(BS245&gt;0,R245/Calculation!BS245,0)," ")</f>
        <v xml:space="preserve"> </v>
      </c>
      <c r="BU245" s="438" t="e">
        <f t="shared" ca="1" si="656"/>
        <v>#VALUE!</v>
      </c>
      <c r="BV245" s="449" t="e">
        <f ca="1">INDEX(INDIRECT(VLOOKUP(LEFT(BO245,7),CLU!$Z$3:$AH$18,2)),GN245,GR245)</f>
        <v>#N/A</v>
      </c>
      <c r="BW245" s="433" t="e">
        <f ca="1">INDEX(INDIRECT(VLOOKUP(LEFT(BO245,7),CLU!$Z$3:$AH$18,3)),GN245,GR245)</f>
        <v>#N/A</v>
      </c>
      <c r="BX245" s="433" t="e">
        <f ca="1">INDEX(INDIRECT(VLOOKUP(LEFT(BO245,7),CLU!$Z$3:$AH$18,4)),GN245,GR245)</f>
        <v>#N/A</v>
      </c>
      <c r="BY245" s="433" t="e">
        <f ca="1">INDEX(INDIRECT(VLOOKUP(LEFT(BO245,7),CLU!$Z$3:$AH$18,9)),((M245-2)*(6-COUNTBLANK(GT245:GY245)))+GJ245)</f>
        <v>#N/A</v>
      </c>
      <c r="BZ245" s="426" t="e">
        <f t="shared" ca="1" si="749"/>
        <v>#N/A</v>
      </c>
      <c r="CA245" s="424" t="e">
        <f t="shared" ca="1" si="750"/>
        <v>#N/A</v>
      </c>
      <c r="CB245" s="429" t="e">
        <f ca="1">INDEX(INDIRECT(VLOOKUP(LEFT(BO245,7),CLU!$Z$3:$AH$18,2)),GN245,GS245)</f>
        <v>#N/A</v>
      </c>
      <c r="CC245" s="342" t="e">
        <f ca="1">INDEX(INDIRECT(VLOOKUP(LEFT(BO245,7),CLU!$Z$3:$AH$18,3)),GN245,GS245)</f>
        <v>#N/A</v>
      </c>
      <c r="CD245" s="342" t="e">
        <f ca="1">INDEX(INDIRECT(VLOOKUP(LEFT(BO245,7),CLU!$Z$3:$AH$18,4)),GN245,GS245)</f>
        <v>#N/A</v>
      </c>
      <c r="CE245" s="426" t="e">
        <f t="shared" ca="1" si="751"/>
        <v>#N/A</v>
      </c>
      <c r="CF245" s="440">
        <f t="shared" si="752"/>
        <v>0</v>
      </c>
      <c r="CG245" s="431" t="e">
        <f ca="1">INDEX(INDIRECT(VLOOKUP(LEFT(BO245,7),CLU!$Z$3:$AH$18,2)),GQ245,GR245)</f>
        <v>#N/A</v>
      </c>
      <c r="CH245" s="431" t="e">
        <f ca="1">INDEX(INDIRECT(VLOOKUP(LEFT(BO245,7),CLU!$Z$3:$AH$18,3)),GQ245,GR245)</f>
        <v>#N/A</v>
      </c>
      <c r="CI245" s="431" t="e">
        <f ca="1">INDEX(INDIRECT(VLOOKUP(LEFT(BO245,7),CLU!$Z$3:$AH$18,4)),GQ245,GR245)</f>
        <v>#N/A</v>
      </c>
      <c r="CJ245" s="448" t="e">
        <f t="shared" ca="1" si="753"/>
        <v>#N/A</v>
      </c>
      <c r="CK245" s="431" t="e">
        <f t="shared" ca="1" si="754"/>
        <v>#N/A</v>
      </c>
      <c r="CL245" s="440" t="e">
        <f t="shared" ca="1" si="755"/>
        <v>#N/A</v>
      </c>
      <c r="CM245" s="431" t="e">
        <f ca="1">INDEX(INDIRECT(VLOOKUP(LEFT(BO245,7),CLU!$Z$3:$AH$18,2)),GQ245,GS245)</f>
        <v>#N/A</v>
      </c>
      <c r="CN245" s="431" t="e">
        <f ca="1">INDEX(INDIRECT(VLOOKUP(LEFT(BO245,7),CLU!$Z$3:$AH$18,3)),GQ245,GS245)</f>
        <v>#N/A</v>
      </c>
      <c r="CO245" s="431" t="e">
        <f ca="1">INDEX(INDIRECT(VLOOKUP(LEFT(BO245,7),CLU!$Z$3:$AH$18,4)),GQ245,GS245)</f>
        <v>#N/A</v>
      </c>
      <c r="CP245" s="431" t="e">
        <f t="shared" ca="1" si="756"/>
        <v>#N/A</v>
      </c>
      <c r="CQ245" s="440">
        <f t="shared" si="757"/>
        <v>0</v>
      </c>
      <c r="CR245" s="51" t="e">
        <f t="shared" ca="1" si="758"/>
        <v>#N/A</v>
      </c>
      <c r="CS245" s="439" t="e">
        <f t="shared" ca="1" si="759"/>
        <v>#VALUE!</v>
      </c>
      <c r="CT245" s="51" t="e">
        <f t="shared" ca="1" si="760"/>
        <v>#VALUE!</v>
      </c>
      <c r="CU245" s="10"/>
      <c r="CV245" s="51" t="e">
        <f t="shared" ca="1" si="657"/>
        <v>#VALUE!</v>
      </c>
      <c r="CW245" s="51">
        <f t="shared" si="761"/>
        <v>0</v>
      </c>
      <c r="CX245" s="439" t="e">
        <f t="shared" ca="1" si="762"/>
        <v>#VALUE!</v>
      </c>
      <c r="CY245" s="51" t="e">
        <f t="shared" ca="1" si="763"/>
        <v>#VALUE!</v>
      </c>
      <c r="CZ245" s="10"/>
      <c r="DA245" s="51" t="e">
        <f t="shared" ca="1" si="764"/>
        <v>#VALUE!</v>
      </c>
      <c r="DB245" s="347" t="e">
        <f ca="1">INDEX(INDIRECT(VLOOKUP(LEFT(BO245,7),CLU!$Z$3:$AI$18,10)),((M245-2)*(6-COUNTBLANK(GT245:GY245)))+GJ245)*LI245</f>
        <v>#N/A</v>
      </c>
      <c r="DC245" s="347" t="str">
        <f>IF(L245&gt;0,((R245/Worksheet!$I$15)/DB245)^2," ")</f>
        <v xml:space="preserve"> </v>
      </c>
      <c r="DD245" s="602" t="str">
        <f t="shared" si="765"/>
        <v xml:space="preserve"> </v>
      </c>
      <c r="DE245" s="347" t="str">
        <f t="shared" si="658"/>
        <v xml:space="preserve"> </v>
      </c>
      <c r="DF245" s="356" t="e">
        <f ca="1">INDEX(INDIRECT(VLOOKUP(LEFT(BO245,7),CLU!$Z$3:$AH$18,8)),((M245-2)*(6-COUNTBLANK(GT245:GY245)))+GJ245)</f>
        <v>#N/A</v>
      </c>
      <c r="DG245" s="347" t="str">
        <f t="shared" si="659"/>
        <v xml:space="preserve"> </v>
      </c>
      <c r="DH245" s="357" t="str">
        <f t="shared" si="660"/>
        <v xml:space="preserve"> </v>
      </c>
      <c r="DI245" s="355" t="str">
        <f t="shared" si="661"/>
        <v xml:space="preserve"> </v>
      </c>
      <c r="DJ245" s="245" t="e">
        <f ca="1">INDEX(INDIRECT(VLOOKUP(LEFT(BO245,7),CLU!$Z$3:$AH$18,5)),GL245,GK245)</f>
        <v>#N/A</v>
      </c>
      <c r="DK245" s="245" t="e">
        <f ca="1">INDEX(INDIRECT(VLOOKUP(LEFT(BO245,7),CLU!$Z$3:$AH$18,6)),GL245,GK245)</f>
        <v>#N/A</v>
      </c>
      <c r="DL245" s="355">
        <f>(Calculation!R245*0.69143*(Calculation!$BQ$8-Calculation!$F$8))*$S$14</f>
        <v>0</v>
      </c>
      <c r="DM245" s="359" t="e">
        <f t="shared" si="766"/>
        <v>#VALUE!</v>
      </c>
      <c r="DN245" s="611">
        <f t="shared" si="767"/>
        <v>0</v>
      </c>
      <c r="DO245" s="359">
        <f t="shared" si="768"/>
        <v>100</v>
      </c>
      <c r="DP245" s="359">
        <f t="shared" si="769"/>
        <v>0</v>
      </c>
      <c r="DQ245" s="360"/>
      <c r="DR245" s="245" t="e">
        <f ca="1">INDEX(INDIRECT(VLOOKUP(LEFT(BO245,7),CLU!$Z$3:$AH$18,7)),M245-1,1)</f>
        <v>#N/A</v>
      </c>
      <c r="DS245" s="245" t="e">
        <f ca="1">INDEX(INDIRECT(VLOOKUP(LEFT(BO245,7),CLU!$Z$3:$AH$18,7)),M245-1,2)</f>
        <v>#N/A</v>
      </c>
      <c r="DT245" s="245" t="e">
        <f ca="1">INDEX(INDIRECT(VLOOKUP(LEFT(BO245,7),CLU!$Z$3:$AH$18,7)),M245-1,3)</f>
        <v>#N/A</v>
      </c>
      <c r="DU245" s="245" t="e">
        <f ca="1">INDEX(INDIRECT(VLOOKUP(LEFT(BO245,7),CLU!$Z$3:$AH$18,7)),M245-1,4)</f>
        <v>#N/A</v>
      </c>
      <c r="DV245" s="361" t="e">
        <f ca="1">INDEX(INDIRECT(VLOOKUP(LEFT(BO245,7),CLU!$Z$3:$AH$18,7)),M245-1,4+LEFT(DZ245,1)*0.5)</f>
        <v>#N/A</v>
      </c>
      <c r="DW245" s="245" t="e">
        <f ca="1">INDEX(INDIRECT(VLOOKUP(LEFT(BO245,7),CLU!$Z$3:$AH$18,7)),M245-1,8)</f>
        <v>#N/A</v>
      </c>
      <c r="DX245" s="361" t="str">
        <f t="shared" si="662"/>
        <v xml:space="preserve"> </v>
      </c>
      <c r="DY245" s="361" t="str">
        <f t="shared" si="663"/>
        <v xml:space="preserve"> </v>
      </c>
      <c r="DZ245" s="361" t="str">
        <f t="shared" si="664"/>
        <v xml:space="preserve"> </v>
      </c>
      <c r="EA245" s="362" t="str">
        <f t="shared" si="665"/>
        <v xml:space="preserve"> </v>
      </c>
      <c r="EB245" s="624" t="str">
        <f t="shared" si="770"/>
        <v xml:space="preserve"> </v>
      </c>
      <c r="EC245" s="361" t="e">
        <f ca="1">INDEX(INDIRECT(VLOOKUP(LEFT(BO245,7),CLU!$Z$3:$AH$18,7)),M245-1,4+LEFT(DZ245,1)*0.5)</f>
        <v>#N/A</v>
      </c>
      <c r="ED245" s="362" t="str">
        <f t="shared" si="666"/>
        <v xml:space="preserve"> </v>
      </c>
      <c r="EE245" s="361" t="str">
        <f t="shared" si="667"/>
        <v xml:space="preserve"> </v>
      </c>
      <c r="EF245" s="362" t="str">
        <f>IF(L245&gt;0,IF(BR245&gt;0,IF(EE245="2P",IF(Calculation!DZ245="2P",IF(Calculation!DS245=13.75,IF(Calculation!DR245=13,Worksheet!$BD$43,IF(Calculation!DR245=37,Worksheet!$BD$44,Worksheet!$BD$45)),IF(Calculation!DS245=10,IF(Calculation!DR245=18,Worksheet!$BD$29,IF(Calculation!DR245=30,Worksheet!$BD$30,IF(Calculation!DR245=42,Worksheet!$BD$31,IF(Calculation!DR245=54,Worksheet!$BD$32,IF(Calculation!DR245=66,Worksheet!$BD$33,IF(Calculation!DR245=78,Worksheet!$BD$34,IF(Calculation!DR245=90,Worksheet!$BD$35,IF(Calculation!DR245=102,Worksheet!$BD$36,Worksheet!$BD$37)))))))),IF(Calculation!DS245=12.5,IF(Calculation!DR245=18,Worksheet!$BD$38,IF(Calculation!DR245=Worksheet!$BD$39,IF(Calculation!DR245=42,Worksheet!$BD$40,IF(Calculation!DR245=54,Worksheet!$BD$41,Worksheet!$BD$42)))),IF(Calculation!DR245=18,Worksheet!$BD$11,IF(Calculation!DR245=30,Worksheet!$BD$12,IF(Calculation!DR245=42,Worksheet!$BD$13,IF(Calculation!DR245=54,Worksheet!$BD$14,IF(Calculation!DR245=66,Worksheet!$BD$15,IF(Calculation!DR245=78,Worksheet!$BD$16,IF(Calculation!DR245=90,Worksheet!$BD$17,IF(Calculation!DR245=102,Worksheet!$BD$18,Worksheet!$BD$19))))))))))),IF(Calculation!DS245=13.75,IF(Calculation!DR245=13,Worksheet!$BD$78,IF(Calculation!DR245=37,Worksheet!$BD$79,Worksheet!$BD$80)),IF(Calculation!DS245=10,IF(Calculation!DR245=18,Worksheet!$BD$64,IF(Calculation!DR245=30,Worksheet!$BD$65,IF(Calculation!DR245=42,Worksheet!$BD$66,IF(Calculation!DR245=54,Worksheet!$BD$68,IF(Calculation!DR245=66,Worksheet!$BD$68,IF(Calculation!DR245=78,Worksheet!$BD$69,IF(Calculation!DR245=90,Worksheet!$BD$70,IF(Calculation!DR245=102,Worksheet!$BD$71,Worksheet!$BD$72)))))))),IF(Calculation!DS245=12.5,IF(Calculation!DR245=18,Worksheet!$BD$73,IF(Calculation!DR245=Worksheet!$BD$74,IF(Calculation!DR245=42,Worksheet!$BD$75,IF(Calculation!DR245=54,Worksheet!$BD$76,Worksheet!$BD$77)))),IF(Calculation!DR245=18,Worksheet!$BD$55,IF(Calculation!DR245=30,Worksheet!$BD$56,IF(Calculation!DR245=42,Worksheet!$BD$57,IF(Calculation!DR245=54,Worksheet!$BD$58,IF(Calculation!DR245=66,Worksheet!$BD$59,IF(Calculation!DR245=78,Worksheet!$BD$60,IF(Calculation!DR245=90,Worksheet!$BD$61,IF(Calculation!DR245=102,Worksheet!$BD$62,Worksheet!$BD$63)))))))))))),5),0)," ")</f>
        <v xml:space="preserve"> </v>
      </c>
      <c r="EG245" s="361" t="str">
        <f t="shared" si="668"/>
        <v xml:space="preserve"> </v>
      </c>
      <c r="EH245" s="361" t="e">
        <f ca="1">INDEX(INDIRECT(VLOOKUP(LEFT(BO245,7),CLU!$Z$3:$AH$18,7)),M245-1,3+LEFT(DZ245,1))</f>
        <v>#N/A</v>
      </c>
      <c r="EI245" s="362" t="str">
        <f t="shared" si="669"/>
        <v xml:space="preserve"> </v>
      </c>
      <c r="EJ245" s="363" t="str">
        <f t="shared" si="670"/>
        <v xml:space="preserve"> </v>
      </c>
      <c r="EK245" s="363" t="str">
        <f t="shared" si="671"/>
        <v xml:space="preserve"> </v>
      </c>
      <c r="EL245" s="363" t="str">
        <f t="shared" si="672"/>
        <v xml:space="preserve"> </v>
      </c>
      <c r="EM245" s="362" t="str">
        <f>IF(L245&gt;0,IF(BR245&gt;0,(Calculation!T245/ED245)^2,0)," ")</f>
        <v xml:space="preserve"> </v>
      </c>
      <c r="EN245" s="362" t="str">
        <f>IF(L245&gt;0,IF(O245="2 Pipe (Cooling)","N/A",IF(BR245&gt;0,(Calculation!U245/EI245)^2,0))," ")</f>
        <v xml:space="preserve"> </v>
      </c>
      <c r="EO245" s="361" t="str">
        <f t="shared" si="673"/>
        <v/>
      </c>
      <c r="EP245" s="361" t="str">
        <f t="shared" si="674"/>
        <v/>
      </c>
      <c r="EQ245" s="361" t="str">
        <f t="shared" si="675"/>
        <v/>
      </c>
      <c r="ER245" s="361" t="str">
        <f t="shared" si="676"/>
        <v/>
      </c>
      <c r="ES245" s="361" t="str">
        <f t="shared" si="677"/>
        <v/>
      </c>
      <c r="ET245" s="361" t="str">
        <f t="shared" si="678"/>
        <v/>
      </c>
      <c r="EU245" s="361" t="str">
        <f t="shared" si="679"/>
        <v/>
      </c>
      <c r="EV245" s="361" t="str">
        <f t="shared" si="680"/>
        <v/>
      </c>
      <c r="EW245" s="361" t="str">
        <f t="shared" si="681"/>
        <v/>
      </c>
      <c r="EX245" s="361" t="str">
        <f t="shared" si="771"/>
        <v>1 slot, 1 way</v>
      </c>
      <c r="EY245" s="361" t="str">
        <f t="shared" si="772"/>
        <v xml:space="preserve"> </v>
      </c>
      <c r="EZ245" s="361" t="str">
        <f t="shared" si="773"/>
        <v xml:space="preserve"> </v>
      </c>
      <c r="FA245" s="361" t="str">
        <f t="shared" si="774"/>
        <v xml:space="preserve"> </v>
      </c>
      <c r="FB245" s="361" t="str">
        <f t="shared" si="775"/>
        <v xml:space="preserve"> </v>
      </c>
      <c r="FC245" s="361"/>
      <c r="FD245" s="361" t="str">
        <f>IF(J245&gt;0,IF(Calculation!R245&lt;=70,4,IF(Calculation!R245&lt;=110,5,IF(Calculation!R245&lt;=160,6,IF(Calculation!R245&lt;=300,8,"10 EO")))),"")</f>
        <v/>
      </c>
      <c r="FE245" s="361" t="str">
        <f t="shared" si="776"/>
        <v/>
      </c>
      <c r="FF245" s="361" t="str">
        <f t="shared" si="777"/>
        <v/>
      </c>
      <c r="FG245" s="361" t="e">
        <f t="shared" si="682"/>
        <v>#N/A</v>
      </c>
      <c r="FH245" s="361">
        <f t="shared" si="683"/>
        <v>0</v>
      </c>
      <c r="FI245" s="361" t="e">
        <f t="shared" si="684"/>
        <v>#DIV/0!</v>
      </c>
      <c r="FJ245" s="361"/>
      <c r="FK245" s="356" t="e">
        <f t="shared" si="685"/>
        <v>#VALUE!</v>
      </c>
      <c r="FL245" s="361"/>
      <c r="FM245" s="361"/>
      <c r="FN245" s="362" t="str">
        <f t="shared" si="778"/>
        <v xml:space="preserve"> </v>
      </c>
      <c r="FO245" s="362" t="str">
        <f t="shared" si="779"/>
        <v xml:space="preserve"> </v>
      </c>
      <c r="FP245" s="362">
        <f t="shared" si="780"/>
        <v>0</v>
      </c>
      <c r="FQ245" s="361">
        <f t="shared" si="686"/>
        <v>0</v>
      </c>
      <c r="FR245" s="362" t="str">
        <f>IF(L245&gt;0,IF(J245="CBAL2",Worksheet!$P$67,IF(J245="CBE2-24",Worksheet!$Q$67,IF(J245="CBAM",Worksheet!$R$67,IF(J245="CBLV",Worksheet!$S$67,IF(J245="CBAB",Worksheet!$U$67,IF(J245="CBAW",Worksheet!$X$67,IF(J245="CBE2-12",Worksheet!$Y$67,IF(J245="CBAL2",Worksheet!$Z$67,"N/A"))))))))," ")</f>
        <v xml:space="preserve"> </v>
      </c>
      <c r="FS245" s="362" t="str">
        <f>IF(L245&gt;0,IF(J245="CBAL2",Worksheet!$P$68,IF(J245="CBE2-24",Worksheet!$Q$68,IF(J245="CBAM",Worksheet!$R$68,IF(J245="CBLV",Worksheet!$S$68,IF(J245="CBAB",Worksheet!$U$68,IF(J245="CBAW",Worksheet!$X$68,IF(J245="CBE2-12",Worksheet!$Y$68,IF(J245="CBAL2",Worksheet!$Z$68,"N/A"))))))))," ")</f>
        <v xml:space="preserve"> </v>
      </c>
      <c r="FT245" s="362" t="str">
        <f>IF(L245&gt;0,IF(J245="CBAL2",Worksheet!$P$69,IF(J245="CBE2-24",Worksheet!$Q$69,IF(J245="CBAM",Worksheet!$R$69,IF(J245="CBLV",Worksheet!$S$69,IF(J245="CBAB",Worksheet!$U$69,IF(J245="CBAW",Worksheet!$X$69,IF(J245="CBE2-12",Worksheet!$Y$69,IF(J245="CBAL2",Worksheet!$Z$69,"N/A"))))))))," ")</f>
        <v xml:space="preserve"> </v>
      </c>
      <c r="FU245" s="361" t="str">
        <f t="shared" si="781"/>
        <v xml:space="preserve"> </v>
      </c>
      <c r="FV245" s="362" t="str">
        <f t="shared" si="782"/>
        <v xml:space="preserve"> </v>
      </c>
      <c r="FW245" s="362" t="str">
        <f t="shared" si="783"/>
        <v xml:space="preserve"> </v>
      </c>
      <c r="FX245" s="362" t="str">
        <f t="shared" si="784"/>
        <v xml:space="preserve"> </v>
      </c>
      <c r="FY245" s="355" t="str">
        <f t="shared" si="785"/>
        <v xml:space="preserve"> </v>
      </c>
      <c r="FZ245" s="361" t="str">
        <f t="shared" si="786"/>
        <v xml:space="preserve"> </v>
      </c>
      <c r="GA245" s="347" t="str">
        <f t="shared" si="787"/>
        <v xml:space="preserve"> </v>
      </c>
      <c r="GB245" s="355" t="str">
        <f t="shared" si="788"/>
        <v xml:space="preserve"> </v>
      </c>
      <c r="GC245" s="328" t="str">
        <f t="shared" si="789"/>
        <v xml:space="preserve"> </v>
      </c>
      <c r="GD245" s="361" t="str">
        <f t="shared" si="790"/>
        <v xml:space="preserve"> </v>
      </c>
      <c r="GE245" s="347" t="str">
        <f t="shared" si="791"/>
        <v xml:space="preserve"> </v>
      </c>
      <c r="GF245" s="361" t="str">
        <f t="shared" si="792"/>
        <v xml:space="preserve"> </v>
      </c>
      <c r="GG245" s="347" t="str">
        <f t="shared" si="793"/>
        <v xml:space="preserve"> </v>
      </c>
      <c r="GH245" s="364">
        <f t="shared" si="687"/>
        <v>0</v>
      </c>
      <c r="GI245" s="362">
        <f t="shared" si="794"/>
        <v>2</v>
      </c>
      <c r="GJ245" s="433" t="e">
        <f>IF(6-COUNTBLANK(GT245:GY245)=4,MATCH(MID(BO245,9,3),CLU!$H$16:$K$16),MATCH(MID(BO245,9,3),CLU!$H$13:$M$13))</f>
        <v>#N/A</v>
      </c>
      <c r="GK245" s="433" t="e">
        <f>HLOOKUP(VALUE(BP245),CLU!$H$9:$M$10,2)</f>
        <v>#VALUE!</v>
      </c>
      <c r="GL245" s="433" t="e">
        <f ca="1">MATCH(BU245,CLU!$H$2:$V$2,1)</f>
        <v>#VALUE!</v>
      </c>
      <c r="GM245" s="433" t="e">
        <f t="shared" ca="1" si="795"/>
        <v>#VALUE!</v>
      </c>
      <c r="GN245" s="433" t="e">
        <f t="shared" ca="1" si="796"/>
        <v>#VALUE!</v>
      </c>
      <c r="GO245" s="433" t="e">
        <f t="shared" ca="1" si="797"/>
        <v>#VALUE!</v>
      </c>
      <c r="GP245" s="433" t="e">
        <f t="shared" ca="1" si="798"/>
        <v>#VALUE!</v>
      </c>
      <c r="GQ245" s="433" t="e">
        <f t="shared" ca="1" si="799"/>
        <v>#VALUE!</v>
      </c>
      <c r="GR245" s="433" t="e">
        <f ca="1">MATCH(T245,INDIRECT(VLOOKUP(CONCATENATE(LEFT(BO245,7),"-",MID(BO245,13,1)),CLU!$P$3:$Q$16,2)),1)</f>
        <v>#N/A</v>
      </c>
      <c r="GS245" s="433" t="e">
        <f ca="1">MATCH(U245,INDIRECT(VLOOKUP(CONCATENATE(LEFT(BO245,7),"-",MID(BO245,13,1)),CLU!$P$3:$Q$16,2)),1)</f>
        <v>#N/A</v>
      </c>
      <c r="GT245" s="347" t="s">
        <v>512</v>
      </c>
      <c r="GU245" s="97" t="s">
        <v>513</v>
      </c>
      <c r="GV245" s="97" t="str">
        <f t="shared" si="800"/>
        <v>M23</v>
      </c>
      <c r="GW245" s="97" t="str">
        <f t="shared" si="801"/>
        <v>M31</v>
      </c>
      <c r="GX245" s="97" t="str">
        <f t="shared" si="802"/>
        <v/>
      </c>
      <c r="GY245" s="97" t="str">
        <f t="shared" si="803"/>
        <v/>
      </c>
      <c r="GZ245" s="481"/>
      <c r="HA245" s="288"/>
      <c r="HB245" s="240"/>
      <c r="HC245" s="240"/>
      <c r="HD245" s="240"/>
      <c r="HE245" s="240"/>
      <c r="HF245" s="240"/>
      <c r="HG245" s="240"/>
      <c r="HH245" s="240"/>
      <c r="HI245" s="240"/>
      <c r="HJ245" s="240"/>
      <c r="HK245" s="240"/>
      <c r="HL245" s="240"/>
      <c r="HM245" s="240"/>
      <c r="HN245" s="240"/>
      <c r="HO245" s="240"/>
      <c r="HP245" s="240"/>
      <c r="HQ245" s="240"/>
      <c r="HR245" s="240"/>
      <c r="HS245" s="240"/>
      <c r="HT245" s="240"/>
      <c r="HU245" s="240"/>
      <c r="HV245" s="245"/>
      <c r="HW245" s="245" t="b">
        <v>1</v>
      </c>
      <c r="HX245" s="245" t="str">
        <f t="shared" si="688"/>
        <v/>
      </c>
      <c r="HY245" s="245" t="e">
        <f t="shared" si="689"/>
        <v>#DIV/0!</v>
      </c>
      <c r="HZ245" s="245" t="e">
        <f t="shared" si="690"/>
        <v>#DIV/0!</v>
      </c>
      <c r="IA245" s="245">
        <f t="shared" si="691"/>
        <v>0</v>
      </c>
      <c r="IB245" s="245"/>
      <c r="IC245" t="b">
        <f t="shared" si="692"/>
        <v>1</v>
      </c>
      <c r="ID245" s="245" t="b">
        <f t="shared" si="693"/>
        <v>1</v>
      </c>
      <c r="IE245" s="245" t="b">
        <f t="shared" si="694"/>
        <v>1</v>
      </c>
      <c r="IF245" s="245" t="b">
        <f t="shared" si="695"/>
        <v>0</v>
      </c>
      <c r="IG245" s="245" t="b">
        <f t="shared" si="696"/>
        <v>1</v>
      </c>
      <c r="IH245" s="245" t="b">
        <f t="shared" si="697"/>
        <v>1</v>
      </c>
      <c r="II245" s="245">
        <f t="shared" si="804"/>
        <v>0</v>
      </c>
      <c r="IJ245" s="245" t="e">
        <f t="shared" si="698"/>
        <v>#VALUE!</v>
      </c>
      <c r="IK245" s="245" t="e">
        <f t="shared" si="699"/>
        <v>#VALUE!</v>
      </c>
      <c r="IL245" s="245"/>
      <c r="IM245" s="245" t="e">
        <f t="shared" si="805"/>
        <v>#N/A</v>
      </c>
      <c r="IN245" s="245" t="e">
        <f t="shared" si="806"/>
        <v>#N/A</v>
      </c>
      <c r="IO245" s="245"/>
      <c r="IP245" s="245"/>
      <c r="IQ245" s="245" t="str">
        <f t="shared" si="700"/>
        <v/>
      </c>
      <c r="IR245" s="245" t="str">
        <f>IF(J245="","",VLOOKUP(J245,Worksheet!$R$4:$T$14,2))</f>
        <v/>
      </c>
      <c r="IS245" s="245"/>
      <c r="IT245" s="245">
        <f t="shared" si="701"/>
        <v>0</v>
      </c>
      <c r="IU245" s="245">
        <f t="shared" si="702"/>
        <v>0</v>
      </c>
      <c r="IV245" s="245">
        <f t="shared" si="703"/>
        <v>0</v>
      </c>
      <c r="IW245" s="245">
        <f t="shared" si="704"/>
        <v>0</v>
      </c>
      <c r="IX245" s="245">
        <f t="shared" si="807"/>
        <v>0</v>
      </c>
      <c r="IY245" s="245">
        <f t="shared" si="705"/>
        <v>0</v>
      </c>
      <c r="IZ245" s="245">
        <f t="shared" si="706"/>
        <v>0</v>
      </c>
      <c r="JA245">
        <f t="shared" si="707"/>
        <v>0</v>
      </c>
      <c r="JB245">
        <f t="shared" si="808"/>
        <v>0</v>
      </c>
      <c r="JC245">
        <f t="shared" si="708"/>
        <v>0</v>
      </c>
      <c r="JD245">
        <f t="shared" si="709"/>
        <v>0</v>
      </c>
      <c r="JE245">
        <f t="shared" si="710"/>
        <v>0</v>
      </c>
      <c r="JF245">
        <f t="shared" si="711"/>
        <v>0</v>
      </c>
      <c r="JG245">
        <f t="shared" si="712"/>
        <v>0</v>
      </c>
      <c r="JH245">
        <f t="shared" si="713"/>
        <v>0</v>
      </c>
      <c r="JI245">
        <f t="shared" si="714"/>
        <v>0</v>
      </c>
      <c r="JJ245" s="447">
        <f t="shared" si="715"/>
        <v>0</v>
      </c>
      <c r="JK245" s="447">
        <f t="shared" si="716"/>
        <v>0</v>
      </c>
      <c r="JL245">
        <f t="shared" si="717"/>
        <v>0</v>
      </c>
      <c r="JM245" s="245" t="str">
        <f>IFERROR(VLOOKUP(MATCH(BN245,#REF!,0),#REF!,7),"")</f>
        <v/>
      </c>
      <c r="JN245" t="e">
        <f>HLOOKUP(LEFT(BO245,7),Discharge_Area,MATCH(JO245,LookUps!$B$130:$B$149,1)+2)</f>
        <v>#N/A</v>
      </c>
      <c r="JO245" t="str">
        <f t="shared" si="718"/>
        <v>- S</v>
      </c>
      <c r="JP245" t="e">
        <f>HLOOKUP(LEFT(BO245,7),Discharge_Area,MATCH(JO245,LookUps!$B$130:$B$149,1)+2)</f>
        <v>#N/A</v>
      </c>
      <c r="JQ245" t="e">
        <f t="shared" si="719"/>
        <v>#N/A</v>
      </c>
      <c r="JR245" t="e">
        <f t="shared" si="720"/>
        <v>#N/A</v>
      </c>
      <c r="JS245" t="e">
        <f t="shared" si="721"/>
        <v>#N/A</v>
      </c>
      <c r="JT245" s="532" t="str">
        <f t="shared" si="722"/>
        <v xml:space="preserve"> </v>
      </c>
      <c r="JU245" s="532" t="str">
        <f t="shared" si="723"/>
        <v xml:space="preserve"> </v>
      </c>
      <c r="JV245" s="533" t="str">
        <f t="shared" si="724"/>
        <v xml:space="preserve"> </v>
      </c>
      <c r="JW245" s="534">
        <f t="shared" si="725"/>
        <v>0</v>
      </c>
      <c r="JX245" s="535" t="str">
        <f t="shared" si="809"/>
        <v xml:space="preserve"> </v>
      </c>
      <c r="JY245" s="535" t="str">
        <f t="shared" si="810"/>
        <v xml:space="preserve"> </v>
      </c>
      <c r="JZ245" s="535" t="str">
        <f t="shared" si="811"/>
        <v xml:space="preserve"> </v>
      </c>
      <c r="KA245" s="536" t="str">
        <f t="shared" si="726"/>
        <v xml:space="preserve"> </v>
      </c>
      <c r="KB245" s="535" t="e">
        <f t="shared" si="812"/>
        <v>#VALUE!</v>
      </c>
      <c r="KC245" s="535" t="str">
        <f t="shared" si="727"/>
        <v/>
      </c>
      <c r="KD245" s="537" t="str">
        <f t="shared" si="813"/>
        <v xml:space="preserve"> </v>
      </c>
      <c r="KE245" s="537" t="str">
        <f t="shared" si="814"/>
        <v xml:space="preserve"> </v>
      </c>
      <c r="KF245" s="534">
        <f t="shared" si="728"/>
        <v>0</v>
      </c>
      <c r="KG245" s="535" t="str">
        <f t="shared" si="729"/>
        <v xml:space="preserve"> </v>
      </c>
      <c r="KH245" s="535" t="str">
        <f t="shared" si="730"/>
        <v xml:space="preserve"> </v>
      </c>
      <c r="KI245" s="535" t="str">
        <f t="shared" si="731"/>
        <v xml:space="preserve"> </v>
      </c>
      <c r="KJ245" s="536" t="str">
        <f t="shared" si="732"/>
        <v xml:space="preserve"> </v>
      </c>
      <c r="KK245" s="535" t="str">
        <f t="shared" si="815"/>
        <v xml:space="preserve"> </v>
      </c>
      <c r="KL245" s="535" t="str">
        <f t="shared" si="816"/>
        <v xml:space="preserve"> </v>
      </c>
      <c r="KM245" s="537" t="str">
        <f t="shared" si="733"/>
        <v xml:space="preserve"> </v>
      </c>
      <c r="KN245" s="537" t="str">
        <f t="shared" si="817"/>
        <v xml:space="preserve"> </v>
      </c>
      <c r="KP245">
        <f t="shared" si="734"/>
        <v>0</v>
      </c>
      <c r="LA245" t="e">
        <f t="shared" si="735"/>
        <v>#VALUE!</v>
      </c>
      <c r="LB245" t="e">
        <f t="shared" si="736"/>
        <v>#VALUE!</v>
      </c>
      <c r="LC245" t="e">
        <f t="shared" si="737"/>
        <v>#VALUE!</v>
      </c>
      <c r="LD245" t="e">
        <f t="shared" si="738"/>
        <v>#VALUE!</v>
      </c>
      <c r="LE245" t="e">
        <f t="shared" si="818"/>
        <v>#VALUE!</v>
      </c>
      <c r="LF245">
        <f t="shared" si="739"/>
        <v>0</v>
      </c>
      <c r="LG245" t="e">
        <f t="shared" si="819"/>
        <v>#VALUE!</v>
      </c>
      <c r="LH245" t="str">
        <f t="shared" si="740"/>
        <v xml:space="preserve"> </v>
      </c>
      <c r="LI245">
        <f t="shared" si="820"/>
        <v>1</v>
      </c>
    </row>
    <row r="246" spans="2:321" ht="15" customHeight="1">
      <c r="B246" s="311"/>
      <c r="C246" s="311"/>
      <c r="D246" s="312"/>
      <c r="E246" s="311"/>
      <c r="F246" s="312"/>
      <c r="G246" s="311"/>
      <c r="H246" s="311"/>
      <c r="I246" s="232"/>
      <c r="J246" s="311"/>
      <c r="K246" s="305" t="str">
        <f t="shared" si="741"/>
        <v/>
      </c>
      <c r="L246" s="313"/>
      <c r="M246" s="312"/>
      <c r="N246" s="311"/>
      <c r="O246" s="312"/>
      <c r="P246" s="311"/>
      <c r="Q246" s="305" t="str">
        <f t="shared" si="742"/>
        <v/>
      </c>
      <c r="R246" s="314"/>
      <c r="S246" s="450" t="str">
        <f t="shared" si="625"/>
        <v/>
      </c>
      <c r="T246" s="315"/>
      <c r="U246" s="315"/>
      <c r="W246" s="149" t="str">
        <f t="shared" si="626"/>
        <v xml:space="preserve"> </v>
      </c>
      <c r="X246" s="243" t="str">
        <f t="shared" si="627"/>
        <v xml:space="preserve"> </v>
      </c>
      <c r="Y246" s="150" t="str">
        <f t="shared" si="628"/>
        <v/>
      </c>
      <c r="Z246" s="149" t="str">
        <f t="shared" si="629"/>
        <v xml:space="preserve"> </v>
      </c>
      <c r="AA246" s="98" t="str">
        <f t="shared" si="630"/>
        <v xml:space="preserve"> </v>
      </c>
      <c r="AB246" s="153" t="str">
        <f t="shared" si="631"/>
        <v xml:space="preserve"> </v>
      </c>
      <c r="AC246" s="153" t="str">
        <f t="shared" si="632"/>
        <v xml:space="preserve"> </v>
      </c>
      <c r="AD246" s="148" t="str">
        <f t="shared" si="633"/>
        <v/>
      </c>
      <c r="AE246" s="149" t="str">
        <f t="shared" si="634"/>
        <v/>
      </c>
      <c r="AF246" s="151" t="str">
        <f t="shared" si="635"/>
        <v xml:space="preserve"> </v>
      </c>
      <c r="AG246" s="153" t="str">
        <f t="shared" si="636"/>
        <v xml:space="preserve"> </v>
      </c>
      <c r="AH246" s="98" t="str">
        <f t="shared" si="637"/>
        <v xml:space="preserve"> </v>
      </c>
      <c r="AI246" s="149" t="str">
        <f t="shared" si="638"/>
        <v xml:space="preserve"> </v>
      </c>
      <c r="AK246" s="144" t="str">
        <f t="shared" si="639"/>
        <v xml:space="preserve"> </v>
      </c>
      <c r="AL246" s="144"/>
      <c r="AM246" s="243" t="str">
        <f t="shared" si="640"/>
        <v xml:space="preserve"> </v>
      </c>
      <c r="AN246" s="149" t="str">
        <f t="shared" si="743"/>
        <v xml:space="preserve"> </v>
      </c>
      <c r="AO246" s="144" t="str">
        <f>IF(JB246&gt;0,IF(GI246=10,-R246*1.085*(Calculation!$F$6-Calculation!$F$13)*$S$14," "),"")</f>
        <v/>
      </c>
      <c r="AP246" s="144" t="str">
        <f t="shared" si="641"/>
        <v/>
      </c>
      <c r="AQ246" s="56" t="str">
        <f t="shared" si="642"/>
        <v/>
      </c>
      <c r="AR246" s="144" t="str">
        <f t="shared" si="643"/>
        <v/>
      </c>
      <c r="AS246" s="176" t="str">
        <f t="shared" si="644"/>
        <v/>
      </c>
      <c r="AT246" s="176" t="str">
        <f t="shared" si="744"/>
        <v xml:space="preserve"> </v>
      </c>
      <c r="AU246" s="176" t="str">
        <f t="shared" si="645"/>
        <v/>
      </c>
      <c r="AV246" s="177" t="str">
        <f t="shared" si="646"/>
        <v xml:space="preserve"> </v>
      </c>
      <c r="AW246" s="144" t="str">
        <f t="shared" si="647"/>
        <v xml:space="preserve"> </v>
      </c>
      <c r="AX246" s="144" t="str">
        <f t="shared" si="648"/>
        <v xml:space="preserve"> </v>
      </c>
      <c r="AY246" s="152" t="str">
        <f t="shared" si="649"/>
        <v xml:space="preserve"> </v>
      </c>
      <c r="AZ246" s="246" t="str">
        <f t="shared" si="650"/>
        <v/>
      </c>
      <c r="BA246" s="176" t="str">
        <f t="shared" si="651"/>
        <v xml:space="preserve"> </v>
      </c>
      <c r="BB246" s="176" t="str">
        <f t="shared" si="652"/>
        <v xml:space="preserve"> </v>
      </c>
      <c r="BC246" s="195"/>
      <c r="BD246" s="316"/>
      <c r="BE246" s="317"/>
      <c r="BF246" s="318"/>
      <c r="BG246" s="318"/>
      <c r="BH246" s="144" t="str">
        <f t="shared" si="821"/>
        <v xml:space="preserve"> </v>
      </c>
      <c r="BI246" s="176" t="str">
        <f t="shared" si="653"/>
        <v/>
      </c>
      <c r="BJ246" s="144" t="str">
        <f t="shared" si="822"/>
        <v/>
      </c>
      <c r="BK246" s="246" t="str">
        <f t="shared" si="654"/>
        <v/>
      </c>
      <c r="BL246" s="144" t="str">
        <f t="shared" si="823"/>
        <v/>
      </c>
      <c r="BM246" s="246" t="str">
        <f t="shared" si="655"/>
        <v/>
      </c>
      <c r="BN246" s="337" t="str">
        <f t="shared" si="745"/>
        <v/>
      </c>
      <c r="BO246" s="371" t="str">
        <f t="shared" si="746"/>
        <v/>
      </c>
      <c r="BP246" s="328" t="str">
        <f t="shared" si="824"/>
        <v xml:space="preserve"> </v>
      </c>
      <c r="BQ246" s="347" t="str">
        <f t="shared" si="747"/>
        <v xml:space="preserve"> </v>
      </c>
      <c r="BR246" s="353" t="str">
        <f t="shared" si="748"/>
        <v xml:space="preserve"> </v>
      </c>
      <c r="BS246" s="626" t="str">
        <f>IF(L246&gt;0,IF(Calculation!P246="M13",BR246*3.1416*(0.134^2)/(4*144),IF(Calculation!P246="M17",BR246*3.1416*(0.165^2)/(4*144),IF(Calculation!P246="M20",BR246*3.1416*(0.198^2)/(4*144),IF(Calculation!P246="M23",BR246*3.1416*(0.228^2)/(4*144),IF(Calculation!P246="M27",BR246*3.1416*(0.269^2)/(4*144),BR246*3.1416*(0.307^2)/(4*144))))))," ")</f>
        <v xml:space="preserve"> </v>
      </c>
      <c r="BT246" s="353" t="str">
        <f>IF(L246&gt;0,IF(BS246&gt;0,R246/Calculation!BS246,0)," ")</f>
        <v xml:space="preserve"> </v>
      </c>
      <c r="BU246" s="438" t="e">
        <f t="shared" ca="1" si="656"/>
        <v>#VALUE!</v>
      </c>
      <c r="BV246" s="449" t="e">
        <f ca="1">INDEX(INDIRECT(VLOOKUP(LEFT(BO246,7),CLU!$Z$3:$AH$18,2)),GN246,GR246)</f>
        <v>#N/A</v>
      </c>
      <c r="BW246" s="433" t="e">
        <f ca="1">INDEX(INDIRECT(VLOOKUP(LEFT(BO246,7),CLU!$Z$3:$AH$18,3)),GN246,GR246)</f>
        <v>#N/A</v>
      </c>
      <c r="BX246" s="433" t="e">
        <f ca="1">INDEX(INDIRECT(VLOOKUP(LEFT(BO246,7),CLU!$Z$3:$AH$18,4)),GN246,GR246)</f>
        <v>#N/A</v>
      </c>
      <c r="BY246" s="433" t="e">
        <f ca="1">INDEX(INDIRECT(VLOOKUP(LEFT(BO246,7),CLU!$Z$3:$AH$18,9)),((M246-2)*(6-COUNTBLANK(GT246:GY246)))+GJ246)</f>
        <v>#N/A</v>
      </c>
      <c r="BZ246" s="426" t="e">
        <f t="shared" ca="1" si="749"/>
        <v>#N/A</v>
      </c>
      <c r="CA246" s="424" t="e">
        <f t="shared" ca="1" si="750"/>
        <v>#N/A</v>
      </c>
      <c r="CB246" s="429" t="e">
        <f ca="1">INDEX(INDIRECT(VLOOKUP(LEFT(BO246,7),CLU!$Z$3:$AH$18,2)),GN246,GS246)</f>
        <v>#N/A</v>
      </c>
      <c r="CC246" s="342" t="e">
        <f ca="1">INDEX(INDIRECT(VLOOKUP(LEFT(BO246,7),CLU!$Z$3:$AH$18,3)),GN246,GS246)</f>
        <v>#N/A</v>
      </c>
      <c r="CD246" s="342" t="e">
        <f ca="1">INDEX(INDIRECT(VLOOKUP(LEFT(BO246,7),CLU!$Z$3:$AH$18,4)),GN246,GS246)</f>
        <v>#N/A</v>
      </c>
      <c r="CE246" s="426" t="e">
        <f t="shared" ca="1" si="751"/>
        <v>#N/A</v>
      </c>
      <c r="CF246" s="440">
        <f t="shared" si="752"/>
        <v>0</v>
      </c>
      <c r="CG246" s="431" t="e">
        <f ca="1">INDEX(INDIRECT(VLOOKUP(LEFT(BO246,7),CLU!$Z$3:$AH$18,2)),GQ246,GR246)</f>
        <v>#N/A</v>
      </c>
      <c r="CH246" s="431" t="e">
        <f ca="1">INDEX(INDIRECT(VLOOKUP(LEFT(BO246,7),CLU!$Z$3:$AH$18,3)),GQ246,GR246)</f>
        <v>#N/A</v>
      </c>
      <c r="CI246" s="431" t="e">
        <f ca="1">INDEX(INDIRECT(VLOOKUP(LEFT(BO246,7),CLU!$Z$3:$AH$18,4)),GQ246,GR246)</f>
        <v>#N/A</v>
      </c>
      <c r="CJ246" s="448" t="e">
        <f t="shared" ca="1" si="753"/>
        <v>#N/A</v>
      </c>
      <c r="CK246" s="431" t="e">
        <f t="shared" ca="1" si="754"/>
        <v>#N/A</v>
      </c>
      <c r="CL246" s="440" t="e">
        <f t="shared" ca="1" si="755"/>
        <v>#N/A</v>
      </c>
      <c r="CM246" s="431" t="e">
        <f ca="1">INDEX(INDIRECT(VLOOKUP(LEFT(BO246,7),CLU!$Z$3:$AH$18,2)),GQ246,GS246)</f>
        <v>#N/A</v>
      </c>
      <c r="CN246" s="431" t="e">
        <f ca="1">INDEX(INDIRECT(VLOOKUP(LEFT(BO246,7),CLU!$Z$3:$AH$18,3)),GQ246,GS246)</f>
        <v>#N/A</v>
      </c>
      <c r="CO246" s="431" t="e">
        <f ca="1">INDEX(INDIRECT(VLOOKUP(LEFT(BO246,7),CLU!$Z$3:$AH$18,4)),GQ246,GS246)</f>
        <v>#N/A</v>
      </c>
      <c r="CP246" s="431" t="e">
        <f t="shared" ca="1" si="756"/>
        <v>#N/A</v>
      </c>
      <c r="CQ246" s="440">
        <f t="shared" si="757"/>
        <v>0</v>
      </c>
      <c r="CR246" s="51" t="e">
        <f t="shared" ca="1" si="758"/>
        <v>#N/A</v>
      </c>
      <c r="CS246" s="439" t="e">
        <f t="shared" ca="1" si="759"/>
        <v>#VALUE!</v>
      </c>
      <c r="CT246" s="51" t="e">
        <f t="shared" ca="1" si="760"/>
        <v>#VALUE!</v>
      </c>
      <c r="CU246" s="10"/>
      <c r="CV246" s="51" t="e">
        <f t="shared" ca="1" si="657"/>
        <v>#VALUE!</v>
      </c>
      <c r="CW246" s="51">
        <f t="shared" si="761"/>
        <v>0</v>
      </c>
      <c r="CX246" s="439" t="e">
        <f t="shared" ca="1" si="762"/>
        <v>#VALUE!</v>
      </c>
      <c r="CY246" s="51" t="e">
        <f t="shared" ca="1" si="763"/>
        <v>#VALUE!</v>
      </c>
      <c r="CZ246" s="10"/>
      <c r="DA246" s="51" t="e">
        <f t="shared" ca="1" si="764"/>
        <v>#VALUE!</v>
      </c>
      <c r="DB246" s="347" t="e">
        <f ca="1">INDEX(INDIRECT(VLOOKUP(LEFT(BO246,7),CLU!$Z$3:$AI$18,10)),((M246-2)*(6-COUNTBLANK(GT246:GY246)))+GJ246)*LI246</f>
        <v>#N/A</v>
      </c>
      <c r="DC246" s="347" t="str">
        <f>IF(L246&gt;0,((R246/Worksheet!$I$15)/DB246)^2," ")</f>
        <v xml:space="preserve"> </v>
      </c>
      <c r="DD246" s="602" t="str">
        <f t="shared" si="765"/>
        <v xml:space="preserve"> </v>
      </c>
      <c r="DE246" s="347" t="str">
        <f t="shared" si="658"/>
        <v xml:space="preserve"> </v>
      </c>
      <c r="DF246" s="356" t="e">
        <f ca="1">INDEX(INDIRECT(VLOOKUP(LEFT(BO246,7),CLU!$Z$3:$AH$18,8)),((M246-2)*(6-COUNTBLANK(GT246:GY246)))+GJ246)</f>
        <v>#N/A</v>
      </c>
      <c r="DG246" s="347" t="str">
        <f t="shared" si="659"/>
        <v xml:space="preserve"> </v>
      </c>
      <c r="DH246" s="357" t="str">
        <f t="shared" si="660"/>
        <v xml:space="preserve"> </v>
      </c>
      <c r="DI246" s="355" t="str">
        <f t="shared" si="661"/>
        <v xml:space="preserve"> </v>
      </c>
      <c r="DJ246" s="245" t="e">
        <f ca="1">INDEX(INDIRECT(VLOOKUP(LEFT(BO246,7),CLU!$Z$3:$AH$18,5)),GL246,GK246)</f>
        <v>#N/A</v>
      </c>
      <c r="DK246" s="245" t="e">
        <f ca="1">INDEX(INDIRECT(VLOOKUP(LEFT(BO246,7),CLU!$Z$3:$AH$18,6)),GL246,GK246)</f>
        <v>#N/A</v>
      </c>
      <c r="DL246" s="355">
        <f>(Calculation!R246*0.69143*(Calculation!$BQ$8-Calculation!$F$8))*$S$14</f>
        <v>0</v>
      </c>
      <c r="DM246" s="359" t="e">
        <f t="shared" si="766"/>
        <v>#VALUE!</v>
      </c>
      <c r="DN246" s="611">
        <f t="shared" si="767"/>
        <v>0</v>
      </c>
      <c r="DO246" s="359">
        <f t="shared" si="768"/>
        <v>100</v>
      </c>
      <c r="DP246" s="359">
        <f t="shared" si="769"/>
        <v>0</v>
      </c>
      <c r="DQ246" s="360"/>
      <c r="DR246" s="245" t="e">
        <f ca="1">INDEX(INDIRECT(VLOOKUP(LEFT(BO246,7),CLU!$Z$3:$AH$18,7)),M246-1,1)</f>
        <v>#N/A</v>
      </c>
      <c r="DS246" s="245" t="e">
        <f ca="1">INDEX(INDIRECT(VLOOKUP(LEFT(BO246,7),CLU!$Z$3:$AH$18,7)),M246-1,2)</f>
        <v>#N/A</v>
      </c>
      <c r="DT246" s="245" t="e">
        <f ca="1">INDEX(INDIRECT(VLOOKUP(LEFT(BO246,7),CLU!$Z$3:$AH$18,7)),M246-1,3)</f>
        <v>#N/A</v>
      </c>
      <c r="DU246" s="245" t="e">
        <f ca="1">INDEX(INDIRECT(VLOOKUP(LEFT(BO246,7),CLU!$Z$3:$AH$18,7)),M246-1,4)</f>
        <v>#N/A</v>
      </c>
      <c r="DV246" s="361" t="e">
        <f ca="1">INDEX(INDIRECT(VLOOKUP(LEFT(BO246,7),CLU!$Z$3:$AH$18,7)),M246-1,4+LEFT(DZ246,1)*0.5)</f>
        <v>#N/A</v>
      </c>
      <c r="DW246" s="245" t="e">
        <f ca="1">INDEX(INDIRECT(VLOOKUP(LEFT(BO246,7),CLU!$Z$3:$AH$18,7)),M246-1,8)</f>
        <v>#N/A</v>
      </c>
      <c r="DX246" s="361" t="str">
        <f t="shared" si="662"/>
        <v xml:space="preserve"> </v>
      </c>
      <c r="DY246" s="361" t="str">
        <f t="shared" si="663"/>
        <v xml:space="preserve"> </v>
      </c>
      <c r="DZ246" s="361" t="str">
        <f t="shared" si="664"/>
        <v xml:space="preserve"> </v>
      </c>
      <c r="EA246" s="362" t="str">
        <f t="shared" si="665"/>
        <v xml:space="preserve"> </v>
      </c>
      <c r="EB246" s="624" t="str">
        <f t="shared" si="770"/>
        <v xml:space="preserve"> </v>
      </c>
      <c r="EC246" s="361" t="e">
        <f ca="1">INDEX(INDIRECT(VLOOKUP(LEFT(BO246,7),CLU!$Z$3:$AH$18,7)),M246-1,4+LEFT(DZ246,1)*0.5)</f>
        <v>#N/A</v>
      </c>
      <c r="ED246" s="362" t="str">
        <f t="shared" si="666"/>
        <v xml:space="preserve"> </v>
      </c>
      <c r="EE246" s="361" t="str">
        <f t="shared" si="667"/>
        <v xml:space="preserve"> </v>
      </c>
      <c r="EF246" s="362" t="str">
        <f>IF(L246&gt;0,IF(BR246&gt;0,IF(EE246="2P",IF(Calculation!DZ246="2P",IF(Calculation!DS246=13.75,IF(Calculation!DR246=13,Worksheet!$BD$43,IF(Calculation!DR246=37,Worksheet!$BD$44,Worksheet!$BD$45)),IF(Calculation!DS246=10,IF(Calculation!DR246=18,Worksheet!$BD$29,IF(Calculation!DR246=30,Worksheet!$BD$30,IF(Calculation!DR246=42,Worksheet!$BD$31,IF(Calculation!DR246=54,Worksheet!$BD$32,IF(Calculation!DR246=66,Worksheet!$BD$33,IF(Calculation!DR246=78,Worksheet!$BD$34,IF(Calculation!DR246=90,Worksheet!$BD$35,IF(Calculation!DR246=102,Worksheet!$BD$36,Worksheet!$BD$37)))))))),IF(Calculation!DS246=12.5,IF(Calculation!DR246=18,Worksheet!$BD$38,IF(Calculation!DR246=Worksheet!$BD$39,IF(Calculation!DR246=42,Worksheet!$BD$40,IF(Calculation!DR246=54,Worksheet!$BD$41,Worksheet!$BD$42)))),IF(Calculation!DR246=18,Worksheet!$BD$11,IF(Calculation!DR246=30,Worksheet!$BD$12,IF(Calculation!DR246=42,Worksheet!$BD$13,IF(Calculation!DR246=54,Worksheet!$BD$14,IF(Calculation!DR246=66,Worksheet!$BD$15,IF(Calculation!DR246=78,Worksheet!$BD$16,IF(Calculation!DR246=90,Worksheet!$BD$17,IF(Calculation!DR246=102,Worksheet!$BD$18,Worksheet!$BD$19))))))))))),IF(Calculation!DS246=13.75,IF(Calculation!DR246=13,Worksheet!$BD$78,IF(Calculation!DR246=37,Worksheet!$BD$79,Worksheet!$BD$80)),IF(Calculation!DS246=10,IF(Calculation!DR246=18,Worksheet!$BD$64,IF(Calculation!DR246=30,Worksheet!$BD$65,IF(Calculation!DR246=42,Worksheet!$BD$66,IF(Calculation!DR246=54,Worksheet!$BD$68,IF(Calculation!DR246=66,Worksheet!$BD$68,IF(Calculation!DR246=78,Worksheet!$BD$69,IF(Calculation!DR246=90,Worksheet!$BD$70,IF(Calculation!DR246=102,Worksheet!$BD$71,Worksheet!$BD$72)))))))),IF(Calculation!DS246=12.5,IF(Calculation!DR246=18,Worksheet!$BD$73,IF(Calculation!DR246=Worksheet!$BD$74,IF(Calculation!DR246=42,Worksheet!$BD$75,IF(Calculation!DR246=54,Worksheet!$BD$76,Worksheet!$BD$77)))),IF(Calculation!DR246=18,Worksheet!$BD$55,IF(Calculation!DR246=30,Worksheet!$BD$56,IF(Calculation!DR246=42,Worksheet!$BD$57,IF(Calculation!DR246=54,Worksheet!$BD$58,IF(Calculation!DR246=66,Worksheet!$BD$59,IF(Calculation!DR246=78,Worksheet!$BD$60,IF(Calculation!DR246=90,Worksheet!$BD$61,IF(Calculation!DR246=102,Worksheet!$BD$62,Worksheet!$BD$63)))))))))))),5),0)," ")</f>
        <v xml:space="preserve"> </v>
      </c>
      <c r="EG246" s="361" t="str">
        <f t="shared" si="668"/>
        <v xml:space="preserve"> </v>
      </c>
      <c r="EH246" s="361" t="e">
        <f ca="1">INDEX(INDIRECT(VLOOKUP(LEFT(BO246,7),CLU!$Z$3:$AH$18,7)),M246-1,3+LEFT(DZ246,1))</f>
        <v>#N/A</v>
      </c>
      <c r="EI246" s="362" t="str">
        <f t="shared" si="669"/>
        <v xml:space="preserve"> </v>
      </c>
      <c r="EJ246" s="363" t="str">
        <f t="shared" si="670"/>
        <v xml:space="preserve"> </v>
      </c>
      <c r="EK246" s="363" t="str">
        <f t="shared" si="671"/>
        <v xml:space="preserve"> </v>
      </c>
      <c r="EL246" s="363" t="str">
        <f t="shared" si="672"/>
        <v xml:space="preserve"> </v>
      </c>
      <c r="EM246" s="362" t="str">
        <f>IF(L246&gt;0,IF(BR246&gt;0,(Calculation!T246/ED246)^2,0)," ")</f>
        <v xml:space="preserve"> </v>
      </c>
      <c r="EN246" s="362" t="str">
        <f>IF(L246&gt;0,IF(O246="2 Pipe (Cooling)","N/A",IF(BR246&gt;0,(Calculation!U246/EI246)^2,0))," ")</f>
        <v xml:space="preserve"> </v>
      </c>
      <c r="EO246" s="361" t="str">
        <f t="shared" si="673"/>
        <v/>
      </c>
      <c r="EP246" s="361" t="str">
        <f t="shared" si="674"/>
        <v/>
      </c>
      <c r="EQ246" s="361" t="str">
        <f t="shared" si="675"/>
        <v/>
      </c>
      <c r="ER246" s="361" t="str">
        <f t="shared" si="676"/>
        <v/>
      </c>
      <c r="ES246" s="361" t="str">
        <f t="shared" si="677"/>
        <v/>
      </c>
      <c r="ET246" s="361" t="str">
        <f t="shared" si="678"/>
        <v/>
      </c>
      <c r="EU246" s="361" t="str">
        <f t="shared" si="679"/>
        <v/>
      </c>
      <c r="EV246" s="361" t="str">
        <f t="shared" si="680"/>
        <v/>
      </c>
      <c r="EW246" s="361" t="str">
        <f t="shared" si="681"/>
        <v/>
      </c>
      <c r="EX246" s="361" t="str">
        <f t="shared" si="771"/>
        <v>1 slot, 1 way</v>
      </c>
      <c r="EY246" s="361" t="str">
        <f t="shared" si="772"/>
        <v xml:space="preserve"> </v>
      </c>
      <c r="EZ246" s="361" t="str">
        <f t="shared" si="773"/>
        <v xml:space="preserve"> </v>
      </c>
      <c r="FA246" s="361" t="str">
        <f t="shared" si="774"/>
        <v xml:space="preserve"> </v>
      </c>
      <c r="FB246" s="361" t="str">
        <f t="shared" si="775"/>
        <v xml:space="preserve"> </v>
      </c>
      <c r="FC246" s="361"/>
      <c r="FD246" s="361" t="str">
        <f>IF(J246&gt;0,IF(Calculation!R246&lt;=70,4,IF(Calculation!R246&lt;=110,5,IF(Calculation!R246&lt;=160,6,IF(Calculation!R246&lt;=300,8,"10 EO")))),"")</f>
        <v/>
      </c>
      <c r="FE246" s="361" t="str">
        <f t="shared" si="776"/>
        <v/>
      </c>
      <c r="FF246" s="361" t="str">
        <f t="shared" si="777"/>
        <v/>
      </c>
      <c r="FG246" s="361" t="e">
        <f t="shared" si="682"/>
        <v>#N/A</v>
      </c>
      <c r="FH246" s="361">
        <f t="shared" si="683"/>
        <v>0</v>
      </c>
      <c r="FI246" s="361" t="e">
        <f t="shared" si="684"/>
        <v>#DIV/0!</v>
      </c>
      <c r="FJ246" s="361"/>
      <c r="FK246" s="356" t="e">
        <f t="shared" si="685"/>
        <v>#VALUE!</v>
      </c>
      <c r="FL246" s="361"/>
      <c r="FM246" s="361"/>
      <c r="FN246" s="362" t="str">
        <f t="shared" si="778"/>
        <v xml:space="preserve"> </v>
      </c>
      <c r="FO246" s="362" t="str">
        <f t="shared" si="779"/>
        <v xml:space="preserve"> </v>
      </c>
      <c r="FP246" s="362">
        <f t="shared" si="780"/>
        <v>0</v>
      </c>
      <c r="FQ246" s="361">
        <f t="shared" si="686"/>
        <v>0</v>
      </c>
      <c r="FR246" s="362" t="str">
        <f>IF(L246&gt;0,IF(J246="CBAL2",Worksheet!$P$67,IF(J246="CBE2-24",Worksheet!$Q$67,IF(J246="CBAM",Worksheet!$R$67,IF(J246="CBLV",Worksheet!$S$67,IF(J246="CBAB",Worksheet!$U$67,IF(J246="CBAW",Worksheet!$X$67,IF(J246="CBE2-12",Worksheet!$Y$67,IF(J246="CBAL2",Worksheet!$Z$67,"N/A"))))))))," ")</f>
        <v xml:space="preserve"> </v>
      </c>
      <c r="FS246" s="362" t="str">
        <f>IF(L246&gt;0,IF(J246="CBAL2",Worksheet!$P$68,IF(J246="CBE2-24",Worksheet!$Q$68,IF(J246="CBAM",Worksheet!$R$68,IF(J246="CBLV",Worksheet!$S$68,IF(J246="CBAB",Worksheet!$U$68,IF(J246="CBAW",Worksheet!$X$68,IF(J246="CBE2-12",Worksheet!$Y$68,IF(J246="CBAL2",Worksheet!$Z$68,"N/A"))))))))," ")</f>
        <v xml:space="preserve"> </v>
      </c>
      <c r="FT246" s="362" t="str">
        <f>IF(L246&gt;0,IF(J246="CBAL2",Worksheet!$P$69,IF(J246="CBE2-24",Worksheet!$Q$69,IF(J246="CBAM",Worksheet!$R$69,IF(J246="CBLV",Worksheet!$S$69,IF(J246="CBAB",Worksheet!$U$69,IF(J246="CBAW",Worksheet!$X$69,IF(J246="CBE2-12",Worksheet!$Y$69,IF(J246="CBAL2",Worksheet!$Z$69,"N/A"))))))))," ")</f>
        <v xml:space="preserve"> </v>
      </c>
      <c r="FU246" s="361" t="str">
        <f t="shared" si="781"/>
        <v xml:space="preserve"> </v>
      </c>
      <c r="FV246" s="362" t="str">
        <f t="shared" si="782"/>
        <v xml:space="preserve"> </v>
      </c>
      <c r="FW246" s="362" t="str">
        <f t="shared" si="783"/>
        <v xml:space="preserve"> </v>
      </c>
      <c r="FX246" s="362" t="str">
        <f t="shared" si="784"/>
        <v xml:space="preserve"> </v>
      </c>
      <c r="FY246" s="355" t="str">
        <f t="shared" si="785"/>
        <v xml:space="preserve"> </v>
      </c>
      <c r="FZ246" s="361" t="str">
        <f t="shared" si="786"/>
        <v xml:space="preserve"> </v>
      </c>
      <c r="GA246" s="347" t="str">
        <f t="shared" si="787"/>
        <v xml:space="preserve"> </v>
      </c>
      <c r="GB246" s="355" t="str">
        <f t="shared" si="788"/>
        <v xml:space="preserve"> </v>
      </c>
      <c r="GC246" s="328" t="str">
        <f t="shared" si="789"/>
        <v xml:space="preserve"> </v>
      </c>
      <c r="GD246" s="361" t="str">
        <f t="shared" si="790"/>
        <v xml:space="preserve"> </v>
      </c>
      <c r="GE246" s="347" t="str">
        <f t="shared" si="791"/>
        <v xml:space="preserve"> </v>
      </c>
      <c r="GF246" s="361" t="str">
        <f t="shared" si="792"/>
        <v xml:space="preserve"> </v>
      </c>
      <c r="GG246" s="347" t="str">
        <f t="shared" si="793"/>
        <v xml:space="preserve"> </v>
      </c>
      <c r="GH246" s="364">
        <f t="shared" si="687"/>
        <v>0</v>
      </c>
      <c r="GI246" s="362">
        <f t="shared" si="794"/>
        <v>2</v>
      </c>
      <c r="GJ246" s="433" t="e">
        <f>IF(6-COUNTBLANK(GT246:GY246)=4,MATCH(MID(BO246,9,3),CLU!$H$16:$K$16),MATCH(MID(BO246,9,3),CLU!$H$13:$M$13))</f>
        <v>#N/A</v>
      </c>
      <c r="GK246" s="433" t="e">
        <f>HLOOKUP(VALUE(BP246),CLU!$H$9:$M$10,2)</f>
        <v>#VALUE!</v>
      </c>
      <c r="GL246" s="433" t="e">
        <f ca="1">MATCH(BU246,CLU!$H$2:$V$2,1)</f>
        <v>#VALUE!</v>
      </c>
      <c r="GM246" s="433" t="e">
        <f t="shared" ca="1" si="795"/>
        <v>#VALUE!</v>
      </c>
      <c r="GN246" s="433" t="e">
        <f t="shared" ca="1" si="796"/>
        <v>#VALUE!</v>
      </c>
      <c r="GO246" s="433" t="e">
        <f t="shared" ca="1" si="797"/>
        <v>#VALUE!</v>
      </c>
      <c r="GP246" s="433" t="e">
        <f t="shared" ca="1" si="798"/>
        <v>#VALUE!</v>
      </c>
      <c r="GQ246" s="433" t="e">
        <f t="shared" ca="1" si="799"/>
        <v>#VALUE!</v>
      </c>
      <c r="GR246" s="433" t="e">
        <f ca="1">MATCH(T246,INDIRECT(VLOOKUP(CONCATENATE(LEFT(BO246,7),"-",MID(BO246,13,1)),CLU!$P$3:$Q$16,2)),1)</f>
        <v>#N/A</v>
      </c>
      <c r="GS246" s="433" t="e">
        <f ca="1">MATCH(U246,INDIRECT(VLOOKUP(CONCATENATE(LEFT(BO246,7),"-",MID(BO246,13,1)),CLU!$P$3:$Q$16,2)),1)</f>
        <v>#N/A</v>
      </c>
      <c r="GT246" s="347" t="s">
        <v>512</v>
      </c>
      <c r="GU246" s="97" t="s">
        <v>513</v>
      </c>
      <c r="GV246" s="97" t="str">
        <f t="shared" si="800"/>
        <v>M23</v>
      </c>
      <c r="GW246" s="97" t="str">
        <f t="shared" si="801"/>
        <v>M31</v>
      </c>
      <c r="GX246" s="97" t="str">
        <f t="shared" si="802"/>
        <v/>
      </c>
      <c r="GY246" s="97" t="str">
        <f t="shared" si="803"/>
        <v/>
      </c>
      <c r="GZ246" s="481"/>
      <c r="HA246" s="288"/>
      <c r="HB246" s="240"/>
      <c r="HC246" s="240"/>
      <c r="HD246" s="240"/>
      <c r="HE246" s="240"/>
      <c r="HF246" s="240"/>
      <c r="HG246" s="240"/>
      <c r="HH246" s="240"/>
      <c r="HI246" s="240"/>
      <c r="HJ246" s="240"/>
      <c r="HK246" s="240"/>
      <c r="HL246" s="240"/>
      <c r="HM246" s="240"/>
      <c r="HN246" s="240"/>
      <c r="HO246" s="240"/>
      <c r="HP246" s="240"/>
      <c r="HQ246" s="240"/>
      <c r="HR246" s="240"/>
      <c r="HS246" s="240"/>
      <c r="HT246" s="240"/>
      <c r="HU246" s="240"/>
      <c r="HV246" s="245"/>
      <c r="HW246" s="245" t="b">
        <v>1</v>
      </c>
      <c r="HX246" s="245" t="str">
        <f t="shared" si="688"/>
        <v/>
      </c>
      <c r="HY246" s="245" t="e">
        <f t="shared" si="689"/>
        <v>#DIV/0!</v>
      </c>
      <c r="HZ246" s="245" t="e">
        <f t="shared" si="690"/>
        <v>#DIV/0!</v>
      </c>
      <c r="IA246" s="245">
        <f t="shared" si="691"/>
        <v>0</v>
      </c>
      <c r="IB246" s="245"/>
      <c r="IC246" t="b">
        <f t="shared" si="692"/>
        <v>1</v>
      </c>
      <c r="ID246" s="245" t="b">
        <f t="shared" si="693"/>
        <v>1</v>
      </c>
      <c r="IE246" s="245" t="b">
        <f t="shared" si="694"/>
        <v>1</v>
      </c>
      <c r="IF246" s="245" t="b">
        <f t="shared" si="695"/>
        <v>0</v>
      </c>
      <c r="IG246" s="245" t="b">
        <f t="shared" si="696"/>
        <v>1</v>
      </c>
      <c r="IH246" s="245" t="b">
        <f t="shared" si="697"/>
        <v>1</v>
      </c>
      <c r="II246" s="245">
        <f t="shared" si="804"/>
        <v>0</v>
      </c>
      <c r="IJ246" s="245" t="e">
        <f t="shared" si="698"/>
        <v>#VALUE!</v>
      </c>
      <c r="IK246" s="245" t="e">
        <f t="shared" si="699"/>
        <v>#VALUE!</v>
      </c>
      <c r="IL246" s="245"/>
      <c r="IM246" s="245" t="e">
        <f t="shared" si="805"/>
        <v>#N/A</v>
      </c>
      <c r="IN246" s="245" t="e">
        <f t="shared" si="806"/>
        <v>#N/A</v>
      </c>
      <c r="IO246" s="245"/>
      <c r="IP246" s="245"/>
      <c r="IQ246" s="245" t="str">
        <f t="shared" si="700"/>
        <v/>
      </c>
      <c r="IR246" s="245" t="str">
        <f>IF(J246="","",VLOOKUP(J246,Worksheet!$R$4:$T$14,2))</f>
        <v/>
      </c>
      <c r="IS246" s="245"/>
      <c r="IT246" s="245">
        <f t="shared" si="701"/>
        <v>0</v>
      </c>
      <c r="IU246" s="245">
        <f t="shared" si="702"/>
        <v>0</v>
      </c>
      <c r="IV246" s="245">
        <f t="shared" si="703"/>
        <v>0</v>
      </c>
      <c r="IW246" s="245">
        <f t="shared" si="704"/>
        <v>0</v>
      </c>
      <c r="IX246" s="245">
        <f t="shared" si="807"/>
        <v>0</v>
      </c>
      <c r="IY246" s="245">
        <f t="shared" si="705"/>
        <v>0</v>
      </c>
      <c r="IZ246" s="245">
        <f t="shared" si="706"/>
        <v>0</v>
      </c>
      <c r="JA246">
        <f t="shared" si="707"/>
        <v>0</v>
      </c>
      <c r="JB246">
        <f t="shared" si="808"/>
        <v>0</v>
      </c>
      <c r="JC246">
        <f t="shared" si="708"/>
        <v>0</v>
      </c>
      <c r="JD246">
        <f t="shared" si="709"/>
        <v>0</v>
      </c>
      <c r="JE246">
        <f t="shared" si="710"/>
        <v>0</v>
      </c>
      <c r="JF246">
        <f t="shared" si="711"/>
        <v>0</v>
      </c>
      <c r="JG246">
        <f t="shared" si="712"/>
        <v>0</v>
      </c>
      <c r="JH246">
        <f t="shared" si="713"/>
        <v>0</v>
      </c>
      <c r="JI246">
        <f t="shared" si="714"/>
        <v>0</v>
      </c>
      <c r="JJ246" s="447">
        <f t="shared" si="715"/>
        <v>0</v>
      </c>
      <c r="JK246" s="447">
        <f t="shared" si="716"/>
        <v>0</v>
      </c>
      <c r="JL246">
        <f t="shared" si="717"/>
        <v>0</v>
      </c>
      <c r="JM246" s="245" t="str">
        <f>IFERROR(VLOOKUP(MATCH(BN246,#REF!,0),#REF!,7),"")</f>
        <v/>
      </c>
      <c r="JN246" t="e">
        <f>HLOOKUP(LEFT(BO246,7),Discharge_Area,MATCH(JO246,LookUps!$B$130:$B$149,1)+2)</f>
        <v>#N/A</v>
      </c>
      <c r="JO246" t="str">
        <f t="shared" si="718"/>
        <v>- S</v>
      </c>
      <c r="JP246" t="e">
        <f>HLOOKUP(LEFT(BO246,7),Discharge_Area,MATCH(JO246,LookUps!$B$130:$B$149,1)+2)</f>
        <v>#N/A</v>
      </c>
      <c r="JQ246" t="e">
        <f t="shared" si="719"/>
        <v>#N/A</v>
      </c>
      <c r="JR246" t="e">
        <f t="shared" si="720"/>
        <v>#N/A</v>
      </c>
      <c r="JS246" t="e">
        <f t="shared" si="721"/>
        <v>#N/A</v>
      </c>
      <c r="JT246" s="532" t="str">
        <f t="shared" si="722"/>
        <v xml:space="preserve"> </v>
      </c>
      <c r="JU246" s="532" t="str">
        <f t="shared" si="723"/>
        <v xml:space="preserve"> </v>
      </c>
      <c r="JV246" s="533" t="str">
        <f t="shared" si="724"/>
        <v xml:space="preserve"> </v>
      </c>
      <c r="JW246" s="534">
        <f t="shared" si="725"/>
        <v>0</v>
      </c>
      <c r="JX246" s="535" t="str">
        <f t="shared" si="809"/>
        <v xml:space="preserve"> </v>
      </c>
      <c r="JY246" s="535" t="str">
        <f t="shared" si="810"/>
        <v xml:space="preserve"> </v>
      </c>
      <c r="JZ246" s="535" t="str">
        <f t="shared" si="811"/>
        <v xml:space="preserve"> </v>
      </c>
      <c r="KA246" s="536" t="str">
        <f t="shared" si="726"/>
        <v xml:space="preserve"> </v>
      </c>
      <c r="KB246" s="535" t="e">
        <f t="shared" si="812"/>
        <v>#VALUE!</v>
      </c>
      <c r="KC246" s="535" t="str">
        <f t="shared" si="727"/>
        <v/>
      </c>
      <c r="KD246" s="537" t="str">
        <f t="shared" si="813"/>
        <v xml:space="preserve"> </v>
      </c>
      <c r="KE246" s="537" t="str">
        <f t="shared" si="814"/>
        <v xml:space="preserve"> </v>
      </c>
      <c r="KF246" s="534">
        <f t="shared" si="728"/>
        <v>0</v>
      </c>
      <c r="KG246" s="535" t="str">
        <f t="shared" si="729"/>
        <v xml:space="preserve"> </v>
      </c>
      <c r="KH246" s="535" t="str">
        <f t="shared" si="730"/>
        <v xml:space="preserve"> </v>
      </c>
      <c r="KI246" s="535" t="str">
        <f t="shared" si="731"/>
        <v xml:space="preserve"> </v>
      </c>
      <c r="KJ246" s="536" t="str">
        <f t="shared" si="732"/>
        <v xml:space="preserve"> </v>
      </c>
      <c r="KK246" s="535" t="str">
        <f t="shared" si="815"/>
        <v xml:space="preserve"> </v>
      </c>
      <c r="KL246" s="535" t="str">
        <f t="shared" si="816"/>
        <v xml:space="preserve"> </v>
      </c>
      <c r="KM246" s="537" t="str">
        <f t="shared" si="733"/>
        <v xml:space="preserve"> </v>
      </c>
      <c r="KN246" s="537" t="str">
        <f t="shared" si="817"/>
        <v xml:space="preserve"> </v>
      </c>
      <c r="KP246">
        <f t="shared" si="734"/>
        <v>0</v>
      </c>
      <c r="LA246" t="e">
        <f t="shared" si="735"/>
        <v>#VALUE!</v>
      </c>
      <c r="LB246" t="e">
        <f t="shared" si="736"/>
        <v>#VALUE!</v>
      </c>
      <c r="LC246" t="e">
        <f t="shared" si="737"/>
        <v>#VALUE!</v>
      </c>
      <c r="LD246" t="e">
        <f t="shared" si="738"/>
        <v>#VALUE!</v>
      </c>
      <c r="LE246" t="e">
        <f t="shared" si="818"/>
        <v>#VALUE!</v>
      </c>
      <c r="LF246">
        <f t="shared" si="739"/>
        <v>0</v>
      </c>
      <c r="LG246" t="e">
        <f t="shared" si="819"/>
        <v>#VALUE!</v>
      </c>
      <c r="LH246" t="str">
        <f t="shared" si="740"/>
        <v xml:space="preserve"> </v>
      </c>
      <c r="LI246">
        <f t="shared" si="820"/>
        <v>1</v>
      </c>
    </row>
    <row r="247" spans="2:321" ht="15" customHeight="1">
      <c r="B247" s="311"/>
      <c r="C247" s="311"/>
      <c r="D247" s="312"/>
      <c r="E247" s="311"/>
      <c r="F247" s="312"/>
      <c r="G247" s="311"/>
      <c r="H247" s="311"/>
      <c r="I247" s="232"/>
      <c r="J247" s="311"/>
      <c r="K247" s="305" t="str">
        <f t="shared" si="741"/>
        <v/>
      </c>
      <c r="L247" s="313"/>
      <c r="M247" s="312"/>
      <c r="N247" s="311"/>
      <c r="O247" s="312"/>
      <c r="P247" s="311"/>
      <c r="Q247" s="305" t="str">
        <f t="shared" si="742"/>
        <v/>
      </c>
      <c r="R247" s="314"/>
      <c r="S247" s="450" t="str">
        <f t="shared" si="625"/>
        <v/>
      </c>
      <c r="T247" s="315"/>
      <c r="U247" s="315"/>
      <c r="W247" s="149" t="str">
        <f t="shared" si="626"/>
        <v xml:space="preserve"> </v>
      </c>
      <c r="X247" s="243" t="str">
        <f t="shared" si="627"/>
        <v xml:space="preserve"> </v>
      </c>
      <c r="Y247" s="150" t="str">
        <f t="shared" si="628"/>
        <v/>
      </c>
      <c r="Z247" s="149" t="str">
        <f t="shared" si="629"/>
        <v xml:space="preserve"> </v>
      </c>
      <c r="AA247" s="98" t="str">
        <f t="shared" si="630"/>
        <v xml:space="preserve"> </v>
      </c>
      <c r="AB247" s="153" t="str">
        <f t="shared" si="631"/>
        <v xml:space="preserve"> </v>
      </c>
      <c r="AC247" s="153" t="str">
        <f t="shared" si="632"/>
        <v xml:space="preserve"> </v>
      </c>
      <c r="AD247" s="148" t="str">
        <f t="shared" si="633"/>
        <v/>
      </c>
      <c r="AE247" s="149" t="str">
        <f t="shared" si="634"/>
        <v/>
      </c>
      <c r="AF247" s="151" t="str">
        <f t="shared" si="635"/>
        <v xml:space="preserve"> </v>
      </c>
      <c r="AG247" s="153" t="str">
        <f t="shared" si="636"/>
        <v xml:space="preserve"> </v>
      </c>
      <c r="AH247" s="98" t="str">
        <f t="shared" si="637"/>
        <v xml:space="preserve"> </v>
      </c>
      <c r="AI247" s="149" t="str">
        <f t="shared" si="638"/>
        <v xml:space="preserve"> </v>
      </c>
      <c r="AK247" s="144" t="str">
        <f t="shared" si="639"/>
        <v xml:space="preserve"> </v>
      </c>
      <c r="AL247" s="144"/>
      <c r="AM247" s="243" t="str">
        <f t="shared" si="640"/>
        <v xml:space="preserve"> </v>
      </c>
      <c r="AN247" s="149" t="str">
        <f t="shared" si="743"/>
        <v xml:space="preserve"> </v>
      </c>
      <c r="AO247" s="144" t="str">
        <f>IF(JB247&gt;0,IF(GI247=10,-R247*1.085*(Calculation!$F$6-Calculation!$F$13)*$S$14," "),"")</f>
        <v/>
      </c>
      <c r="AP247" s="144" t="str">
        <f t="shared" si="641"/>
        <v/>
      </c>
      <c r="AQ247" s="56" t="str">
        <f t="shared" si="642"/>
        <v/>
      </c>
      <c r="AR247" s="144" t="str">
        <f t="shared" si="643"/>
        <v/>
      </c>
      <c r="AS247" s="176" t="str">
        <f t="shared" si="644"/>
        <v/>
      </c>
      <c r="AT247" s="176" t="str">
        <f t="shared" si="744"/>
        <v xml:space="preserve"> </v>
      </c>
      <c r="AU247" s="176" t="str">
        <f t="shared" si="645"/>
        <v/>
      </c>
      <c r="AV247" s="177" t="str">
        <f t="shared" si="646"/>
        <v xml:space="preserve"> </v>
      </c>
      <c r="AW247" s="144" t="str">
        <f t="shared" si="647"/>
        <v xml:space="preserve"> </v>
      </c>
      <c r="AX247" s="144" t="str">
        <f t="shared" si="648"/>
        <v xml:space="preserve"> </v>
      </c>
      <c r="AY247" s="152" t="str">
        <f t="shared" si="649"/>
        <v xml:space="preserve"> </v>
      </c>
      <c r="AZ247" s="246" t="str">
        <f t="shared" si="650"/>
        <v/>
      </c>
      <c r="BA247" s="176" t="str">
        <f t="shared" si="651"/>
        <v xml:space="preserve"> </v>
      </c>
      <c r="BB247" s="176" t="str">
        <f t="shared" si="652"/>
        <v xml:space="preserve"> </v>
      </c>
      <c r="BC247" s="195"/>
      <c r="BD247" s="316"/>
      <c r="BE247" s="317"/>
      <c r="BF247" s="318"/>
      <c r="BG247" s="318"/>
      <c r="BH247" s="144" t="str">
        <f t="shared" si="821"/>
        <v xml:space="preserve"> </v>
      </c>
      <c r="BI247" s="176" t="str">
        <f t="shared" si="653"/>
        <v/>
      </c>
      <c r="BJ247" s="144" t="str">
        <f t="shared" si="822"/>
        <v/>
      </c>
      <c r="BK247" s="246" t="str">
        <f t="shared" si="654"/>
        <v/>
      </c>
      <c r="BL247" s="144" t="str">
        <f t="shared" si="823"/>
        <v/>
      </c>
      <c r="BM247" s="246" t="str">
        <f t="shared" si="655"/>
        <v/>
      </c>
      <c r="BN247" s="337" t="str">
        <f t="shared" si="745"/>
        <v/>
      </c>
      <c r="BO247" s="371" t="str">
        <f t="shared" si="746"/>
        <v/>
      </c>
      <c r="BP247" s="328" t="str">
        <f t="shared" si="824"/>
        <v xml:space="preserve"> </v>
      </c>
      <c r="BQ247" s="347" t="str">
        <f t="shared" si="747"/>
        <v xml:space="preserve"> </v>
      </c>
      <c r="BR247" s="353" t="str">
        <f t="shared" si="748"/>
        <v xml:space="preserve"> </v>
      </c>
      <c r="BS247" s="626" t="str">
        <f>IF(L247&gt;0,IF(Calculation!P247="M13",BR247*3.1416*(0.134^2)/(4*144),IF(Calculation!P247="M17",BR247*3.1416*(0.165^2)/(4*144),IF(Calculation!P247="M20",BR247*3.1416*(0.198^2)/(4*144),IF(Calculation!P247="M23",BR247*3.1416*(0.228^2)/(4*144),IF(Calculation!P247="M27",BR247*3.1416*(0.269^2)/(4*144),BR247*3.1416*(0.307^2)/(4*144))))))," ")</f>
        <v xml:space="preserve"> </v>
      </c>
      <c r="BT247" s="353" t="str">
        <f>IF(L247&gt;0,IF(BS247&gt;0,R247/Calculation!BS247,0)," ")</f>
        <v xml:space="preserve"> </v>
      </c>
      <c r="BU247" s="438" t="e">
        <f t="shared" ca="1" si="656"/>
        <v>#VALUE!</v>
      </c>
      <c r="BV247" s="449" t="e">
        <f ca="1">INDEX(INDIRECT(VLOOKUP(LEFT(BO247,7),CLU!$Z$3:$AH$18,2)),GN247,GR247)</f>
        <v>#N/A</v>
      </c>
      <c r="BW247" s="433" t="e">
        <f ca="1">INDEX(INDIRECT(VLOOKUP(LEFT(BO247,7),CLU!$Z$3:$AH$18,3)),GN247,GR247)</f>
        <v>#N/A</v>
      </c>
      <c r="BX247" s="433" t="e">
        <f ca="1">INDEX(INDIRECT(VLOOKUP(LEFT(BO247,7),CLU!$Z$3:$AH$18,4)),GN247,GR247)</f>
        <v>#N/A</v>
      </c>
      <c r="BY247" s="433" t="e">
        <f ca="1">INDEX(INDIRECT(VLOOKUP(LEFT(BO247,7),CLU!$Z$3:$AH$18,9)),((M247-2)*(6-COUNTBLANK(GT247:GY247)))+GJ247)</f>
        <v>#N/A</v>
      </c>
      <c r="BZ247" s="426" t="e">
        <f t="shared" ca="1" si="749"/>
        <v>#N/A</v>
      </c>
      <c r="CA247" s="424" t="e">
        <f t="shared" ca="1" si="750"/>
        <v>#N/A</v>
      </c>
      <c r="CB247" s="429" t="e">
        <f ca="1">INDEX(INDIRECT(VLOOKUP(LEFT(BO247,7),CLU!$Z$3:$AH$18,2)),GN247,GS247)</f>
        <v>#N/A</v>
      </c>
      <c r="CC247" s="342" t="e">
        <f ca="1">INDEX(INDIRECT(VLOOKUP(LEFT(BO247,7),CLU!$Z$3:$AH$18,3)),GN247,GS247)</f>
        <v>#N/A</v>
      </c>
      <c r="CD247" s="342" t="e">
        <f ca="1">INDEX(INDIRECT(VLOOKUP(LEFT(BO247,7),CLU!$Z$3:$AH$18,4)),GN247,GS247)</f>
        <v>#N/A</v>
      </c>
      <c r="CE247" s="426" t="e">
        <f t="shared" ca="1" si="751"/>
        <v>#N/A</v>
      </c>
      <c r="CF247" s="440">
        <f t="shared" si="752"/>
        <v>0</v>
      </c>
      <c r="CG247" s="431" t="e">
        <f ca="1">INDEX(INDIRECT(VLOOKUP(LEFT(BO247,7),CLU!$Z$3:$AH$18,2)),GQ247,GR247)</f>
        <v>#N/A</v>
      </c>
      <c r="CH247" s="431" t="e">
        <f ca="1">INDEX(INDIRECT(VLOOKUP(LEFT(BO247,7),CLU!$Z$3:$AH$18,3)),GQ247,GR247)</f>
        <v>#N/A</v>
      </c>
      <c r="CI247" s="431" t="e">
        <f ca="1">INDEX(INDIRECT(VLOOKUP(LEFT(BO247,7),CLU!$Z$3:$AH$18,4)),GQ247,GR247)</f>
        <v>#N/A</v>
      </c>
      <c r="CJ247" s="448" t="e">
        <f t="shared" ca="1" si="753"/>
        <v>#N/A</v>
      </c>
      <c r="CK247" s="431" t="e">
        <f t="shared" ca="1" si="754"/>
        <v>#N/A</v>
      </c>
      <c r="CL247" s="440" t="e">
        <f t="shared" ca="1" si="755"/>
        <v>#N/A</v>
      </c>
      <c r="CM247" s="431" t="e">
        <f ca="1">INDEX(INDIRECT(VLOOKUP(LEFT(BO247,7),CLU!$Z$3:$AH$18,2)),GQ247,GS247)</f>
        <v>#N/A</v>
      </c>
      <c r="CN247" s="431" t="e">
        <f ca="1">INDEX(INDIRECT(VLOOKUP(LEFT(BO247,7),CLU!$Z$3:$AH$18,3)),GQ247,GS247)</f>
        <v>#N/A</v>
      </c>
      <c r="CO247" s="431" t="e">
        <f ca="1">INDEX(INDIRECT(VLOOKUP(LEFT(BO247,7),CLU!$Z$3:$AH$18,4)),GQ247,GS247)</f>
        <v>#N/A</v>
      </c>
      <c r="CP247" s="431" t="e">
        <f t="shared" ca="1" si="756"/>
        <v>#N/A</v>
      </c>
      <c r="CQ247" s="440">
        <f t="shared" si="757"/>
        <v>0</v>
      </c>
      <c r="CR247" s="51" t="e">
        <f t="shared" ca="1" si="758"/>
        <v>#N/A</v>
      </c>
      <c r="CS247" s="439" t="e">
        <f t="shared" ca="1" si="759"/>
        <v>#VALUE!</v>
      </c>
      <c r="CT247" s="51" t="e">
        <f t="shared" ca="1" si="760"/>
        <v>#VALUE!</v>
      </c>
      <c r="CU247" s="10"/>
      <c r="CV247" s="51" t="e">
        <f t="shared" ca="1" si="657"/>
        <v>#VALUE!</v>
      </c>
      <c r="CW247" s="51">
        <f t="shared" si="761"/>
        <v>0</v>
      </c>
      <c r="CX247" s="439" t="e">
        <f t="shared" ca="1" si="762"/>
        <v>#VALUE!</v>
      </c>
      <c r="CY247" s="51" t="e">
        <f t="shared" ca="1" si="763"/>
        <v>#VALUE!</v>
      </c>
      <c r="CZ247" s="10"/>
      <c r="DA247" s="51" t="e">
        <f t="shared" ca="1" si="764"/>
        <v>#VALUE!</v>
      </c>
      <c r="DB247" s="347" t="e">
        <f ca="1">INDEX(INDIRECT(VLOOKUP(LEFT(BO247,7),CLU!$Z$3:$AI$18,10)),((M247-2)*(6-COUNTBLANK(GT247:GY247)))+GJ247)*LI247</f>
        <v>#N/A</v>
      </c>
      <c r="DC247" s="347" t="str">
        <f>IF(L247&gt;0,((R247/Worksheet!$I$15)/DB247)^2," ")</f>
        <v xml:space="preserve"> </v>
      </c>
      <c r="DD247" s="602" t="str">
        <f t="shared" si="765"/>
        <v xml:space="preserve"> </v>
      </c>
      <c r="DE247" s="347" t="str">
        <f t="shared" si="658"/>
        <v xml:space="preserve"> </v>
      </c>
      <c r="DF247" s="356" t="e">
        <f ca="1">INDEX(INDIRECT(VLOOKUP(LEFT(BO247,7),CLU!$Z$3:$AH$18,8)),((M247-2)*(6-COUNTBLANK(GT247:GY247)))+GJ247)</f>
        <v>#N/A</v>
      </c>
      <c r="DG247" s="347" t="str">
        <f t="shared" si="659"/>
        <v xml:space="preserve"> </v>
      </c>
      <c r="DH247" s="357" t="str">
        <f t="shared" si="660"/>
        <v xml:space="preserve"> </v>
      </c>
      <c r="DI247" s="355" t="str">
        <f t="shared" si="661"/>
        <v xml:space="preserve"> </v>
      </c>
      <c r="DJ247" s="245" t="e">
        <f ca="1">INDEX(INDIRECT(VLOOKUP(LEFT(BO247,7),CLU!$Z$3:$AH$18,5)),GL247,GK247)</f>
        <v>#N/A</v>
      </c>
      <c r="DK247" s="245" t="e">
        <f ca="1">INDEX(INDIRECT(VLOOKUP(LEFT(BO247,7),CLU!$Z$3:$AH$18,6)),GL247,GK247)</f>
        <v>#N/A</v>
      </c>
      <c r="DL247" s="355">
        <f>(Calculation!R247*0.69143*(Calculation!$BQ$8-Calculation!$F$8))*$S$14</f>
        <v>0</v>
      </c>
      <c r="DM247" s="359" t="e">
        <f t="shared" si="766"/>
        <v>#VALUE!</v>
      </c>
      <c r="DN247" s="611">
        <f t="shared" si="767"/>
        <v>0</v>
      </c>
      <c r="DO247" s="359">
        <f t="shared" si="768"/>
        <v>100</v>
      </c>
      <c r="DP247" s="359">
        <f t="shared" si="769"/>
        <v>0</v>
      </c>
      <c r="DQ247" s="360"/>
      <c r="DR247" s="245" t="e">
        <f ca="1">INDEX(INDIRECT(VLOOKUP(LEFT(BO247,7),CLU!$Z$3:$AH$18,7)),M247-1,1)</f>
        <v>#N/A</v>
      </c>
      <c r="DS247" s="245" t="e">
        <f ca="1">INDEX(INDIRECT(VLOOKUP(LEFT(BO247,7),CLU!$Z$3:$AH$18,7)),M247-1,2)</f>
        <v>#N/A</v>
      </c>
      <c r="DT247" s="245" t="e">
        <f ca="1">INDEX(INDIRECT(VLOOKUP(LEFT(BO247,7),CLU!$Z$3:$AH$18,7)),M247-1,3)</f>
        <v>#N/A</v>
      </c>
      <c r="DU247" s="245" t="e">
        <f ca="1">INDEX(INDIRECT(VLOOKUP(LEFT(BO247,7),CLU!$Z$3:$AH$18,7)),M247-1,4)</f>
        <v>#N/A</v>
      </c>
      <c r="DV247" s="361" t="e">
        <f ca="1">INDEX(INDIRECT(VLOOKUP(LEFT(BO247,7),CLU!$Z$3:$AH$18,7)),M247-1,4+LEFT(DZ247,1)*0.5)</f>
        <v>#N/A</v>
      </c>
      <c r="DW247" s="245" t="e">
        <f ca="1">INDEX(INDIRECT(VLOOKUP(LEFT(BO247,7),CLU!$Z$3:$AH$18,7)),M247-1,8)</f>
        <v>#N/A</v>
      </c>
      <c r="DX247" s="361" t="str">
        <f t="shared" si="662"/>
        <v xml:space="preserve"> </v>
      </c>
      <c r="DY247" s="361" t="str">
        <f t="shared" si="663"/>
        <v xml:space="preserve"> </v>
      </c>
      <c r="DZ247" s="361" t="str">
        <f t="shared" si="664"/>
        <v xml:space="preserve"> </v>
      </c>
      <c r="EA247" s="362" t="str">
        <f t="shared" si="665"/>
        <v xml:space="preserve"> </v>
      </c>
      <c r="EB247" s="624" t="str">
        <f t="shared" si="770"/>
        <v xml:space="preserve"> </v>
      </c>
      <c r="EC247" s="361" t="e">
        <f ca="1">INDEX(INDIRECT(VLOOKUP(LEFT(BO247,7),CLU!$Z$3:$AH$18,7)),M247-1,4+LEFT(DZ247,1)*0.5)</f>
        <v>#N/A</v>
      </c>
      <c r="ED247" s="362" t="str">
        <f t="shared" si="666"/>
        <v xml:space="preserve"> </v>
      </c>
      <c r="EE247" s="361" t="str">
        <f t="shared" si="667"/>
        <v xml:space="preserve"> </v>
      </c>
      <c r="EF247" s="362" t="str">
        <f>IF(L247&gt;0,IF(BR247&gt;0,IF(EE247="2P",IF(Calculation!DZ247="2P",IF(Calculation!DS247=13.75,IF(Calculation!DR247=13,Worksheet!$BD$43,IF(Calculation!DR247=37,Worksheet!$BD$44,Worksheet!$BD$45)),IF(Calculation!DS247=10,IF(Calculation!DR247=18,Worksheet!$BD$29,IF(Calculation!DR247=30,Worksheet!$BD$30,IF(Calculation!DR247=42,Worksheet!$BD$31,IF(Calculation!DR247=54,Worksheet!$BD$32,IF(Calculation!DR247=66,Worksheet!$BD$33,IF(Calculation!DR247=78,Worksheet!$BD$34,IF(Calculation!DR247=90,Worksheet!$BD$35,IF(Calculation!DR247=102,Worksheet!$BD$36,Worksheet!$BD$37)))))))),IF(Calculation!DS247=12.5,IF(Calculation!DR247=18,Worksheet!$BD$38,IF(Calculation!DR247=Worksheet!$BD$39,IF(Calculation!DR247=42,Worksheet!$BD$40,IF(Calculation!DR247=54,Worksheet!$BD$41,Worksheet!$BD$42)))),IF(Calculation!DR247=18,Worksheet!$BD$11,IF(Calculation!DR247=30,Worksheet!$BD$12,IF(Calculation!DR247=42,Worksheet!$BD$13,IF(Calculation!DR247=54,Worksheet!$BD$14,IF(Calculation!DR247=66,Worksheet!$BD$15,IF(Calculation!DR247=78,Worksheet!$BD$16,IF(Calculation!DR247=90,Worksheet!$BD$17,IF(Calculation!DR247=102,Worksheet!$BD$18,Worksheet!$BD$19))))))))))),IF(Calculation!DS247=13.75,IF(Calculation!DR247=13,Worksheet!$BD$78,IF(Calculation!DR247=37,Worksheet!$BD$79,Worksheet!$BD$80)),IF(Calculation!DS247=10,IF(Calculation!DR247=18,Worksheet!$BD$64,IF(Calculation!DR247=30,Worksheet!$BD$65,IF(Calculation!DR247=42,Worksheet!$BD$66,IF(Calculation!DR247=54,Worksheet!$BD$68,IF(Calculation!DR247=66,Worksheet!$BD$68,IF(Calculation!DR247=78,Worksheet!$BD$69,IF(Calculation!DR247=90,Worksheet!$BD$70,IF(Calculation!DR247=102,Worksheet!$BD$71,Worksheet!$BD$72)))))))),IF(Calculation!DS247=12.5,IF(Calculation!DR247=18,Worksheet!$BD$73,IF(Calculation!DR247=Worksheet!$BD$74,IF(Calculation!DR247=42,Worksheet!$BD$75,IF(Calculation!DR247=54,Worksheet!$BD$76,Worksheet!$BD$77)))),IF(Calculation!DR247=18,Worksheet!$BD$55,IF(Calculation!DR247=30,Worksheet!$BD$56,IF(Calculation!DR247=42,Worksheet!$BD$57,IF(Calculation!DR247=54,Worksheet!$BD$58,IF(Calculation!DR247=66,Worksheet!$BD$59,IF(Calculation!DR247=78,Worksheet!$BD$60,IF(Calculation!DR247=90,Worksheet!$BD$61,IF(Calculation!DR247=102,Worksheet!$BD$62,Worksheet!$BD$63)))))))))))),5),0)," ")</f>
        <v xml:space="preserve"> </v>
      </c>
      <c r="EG247" s="361" t="str">
        <f t="shared" si="668"/>
        <v xml:space="preserve"> </v>
      </c>
      <c r="EH247" s="361" t="e">
        <f ca="1">INDEX(INDIRECT(VLOOKUP(LEFT(BO247,7),CLU!$Z$3:$AH$18,7)),M247-1,3+LEFT(DZ247,1))</f>
        <v>#N/A</v>
      </c>
      <c r="EI247" s="362" t="str">
        <f t="shared" si="669"/>
        <v xml:space="preserve"> </v>
      </c>
      <c r="EJ247" s="363" t="str">
        <f t="shared" si="670"/>
        <v xml:space="preserve"> </v>
      </c>
      <c r="EK247" s="363" t="str">
        <f t="shared" si="671"/>
        <v xml:space="preserve"> </v>
      </c>
      <c r="EL247" s="363" t="str">
        <f t="shared" si="672"/>
        <v xml:space="preserve"> </v>
      </c>
      <c r="EM247" s="362" t="str">
        <f>IF(L247&gt;0,IF(BR247&gt;0,(Calculation!T247/ED247)^2,0)," ")</f>
        <v xml:space="preserve"> </v>
      </c>
      <c r="EN247" s="362" t="str">
        <f>IF(L247&gt;0,IF(O247="2 Pipe (Cooling)","N/A",IF(BR247&gt;0,(Calculation!U247/EI247)^2,0))," ")</f>
        <v xml:space="preserve"> </v>
      </c>
      <c r="EO247" s="361" t="str">
        <f t="shared" si="673"/>
        <v/>
      </c>
      <c r="EP247" s="361" t="str">
        <f t="shared" si="674"/>
        <v/>
      </c>
      <c r="EQ247" s="361" t="str">
        <f t="shared" si="675"/>
        <v/>
      </c>
      <c r="ER247" s="361" t="str">
        <f t="shared" si="676"/>
        <v/>
      </c>
      <c r="ES247" s="361" t="str">
        <f t="shared" si="677"/>
        <v/>
      </c>
      <c r="ET247" s="361" t="str">
        <f t="shared" si="678"/>
        <v/>
      </c>
      <c r="EU247" s="361" t="str">
        <f t="shared" si="679"/>
        <v/>
      </c>
      <c r="EV247" s="361" t="str">
        <f t="shared" si="680"/>
        <v/>
      </c>
      <c r="EW247" s="361" t="str">
        <f t="shared" si="681"/>
        <v/>
      </c>
      <c r="EX247" s="361" t="str">
        <f t="shared" si="771"/>
        <v>1 slot, 1 way</v>
      </c>
      <c r="EY247" s="361" t="str">
        <f t="shared" si="772"/>
        <v xml:space="preserve"> </v>
      </c>
      <c r="EZ247" s="361" t="str">
        <f t="shared" si="773"/>
        <v xml:space="preserve"> </v>
      </c>
      <c r="FA247" s="361" t="str">
        <f t="shared" si="774"/>
        <v xml:space="preserve"> </v>
      </c>
      <c r="FB247" s="361" t="str">
        <f t="shared" si="775"/>
        <v xml:space="preserve"> </v>
      </c>
      <c r="FC247" s="361"/>
      <c r="FD247" s="361" t="str">
        <f>IF(J247&gt;0,IF(Calculation!R247&lt;=70,4,IF(Calculation!R247&lt;=110,5,IF(Calculation!R247&lt;=160,6,IF(Calculation!R247&lt;=300,8,"10 EO")))),"")</f>
        <v/>
      </c>
      <c r="FE247" s="361" t="str">
        <f t="shared" si="776"/>
        <v/>
      </c>
      <c r="FF247" s="361" t="str">
        <f t="shared" si="777"/>
        <v/>
      </c>
      <c r="FG247" s="361" t="e">
        <f t="shared" si="682"/>
        <v>#N/A</v>
      </c>
      <c r="FH247" s="361">
        <f t="shared" si="683"/>
        <v>0</v>
      </c>
      <c r="FI247" s="361" t="e">
        <f t="shared" si="684"/>
        <v>#DIV/0!</v>
      </c>
      <c r="FJ247" s="361"/>
      <c r="FK247" s="356" t="e">
        <f t="shared" si="685"/>
        <v>#VALUE!</v>
      </c>
      <c r="FL247" s="361"/>
      <c r="FM247" s="361"/>
      <c r="FN247" s="362" t="str">
        <f t="shared" si="778"/>
        <v xml:space="preserve"> </v>
      </c>
      <c r="FO247" s="362" t="str">
        <f t="shared" si="779"/>
        <v xml:space="preserve"> </v>
      </c>
      <c r="FP247" s="362">
        <f t="shared" si="780"/>
        <v>0</v>
      </c>
      <c r="FQ247" s="361">
        <f t="shared" si="686"/>
        <v>0</v>
      </c>
      <c r="FR247" s="362" t="str">
        <f>IF(L247&gt;0,IF(J247="CBAL2",Worksheet!$P$67,IF(J247="CBE2-24",Worksheet!$Q$67,IF(J247="CBAM",Worksheet!$R$67,IF(J247="CBLV",Worksheet!$S$67,IF(J247="CBAB",Worksheet!$U$67,IF(J247="CBAW",Worksheet!$X$67,IF(J247="CBE2-12",Worksheet!$Y$67,IF(J247="CBAL2",Worksheet!$Z$67,"N/A"))))))))," ")</f>
        <v xml:space="preserve"> </v>
      </c>
      <c r="FS247" s="362" t="str">
        <f>IF(L247&gt;0,IF(J247="CBAL2",Worksheet!$P$68,IF(J247="CBE2-24",Worksheet!$Q$68,IF(J247="CBAM",Worksheet!$R$68,IF(J247="CBLV",Worksheet!$S$68,IF(J247="CBAB",Worksheet!$U$68,IF(J247="CBAW",Worksheet!$X$68,IF(J247="CBE2-12",Worksheet!$Y$68,IF(J247="CBAL2",Worksheet!$Z$68,"N/A"))))))))," ")</f>
        <v xml:space="preserve"> </v>
      </c>
      <c r="FT247" s="362" t="str">
        <f>IF(L247&gt;0,IF(J247="CBAL2",Worksheet!$P$69,IF(J247="CBE2-24",Worksheet!$Q$69,IF(J247="CBAM",Worksheet!$R$69,IF(J247="CBLV",Worksheet!$S$69,IF(J247="CBAB",Worksheet!$U$69,IF(J247="CBAW",Worksheet!$X$69,IF(J247="CBE2-12",Worksheet!$Y$69,IF(J247="CBAL2",Worksheet!$Z$69,"N/A"))))))))," ")</f>
        <v xml:space="preserve"> </v>
      </c>
      <c r="FU247" s="361" t="str">
        <f t="shared" si="781"/>
        <v xml:space="preserve"> </v>
      </c>
      <c r="FV247" s="362" t="str">
        <f t="shared" si="782"/>
        <v xml:space="preserve"> </v>
      </c>
      <c r="FW247" s="362" t="str">
        <f t="shared" si="783"/>
        <v xml:space="preserve"> </v>
      </c>
      <c r="FX247" s="362" t="str">
        <f t="shared" si="784"/>
        <v xml:space="preserve"> </v>
      </c>
      <c r="FY247" s="355" t="str">
        <f t="shared" si="785"/>
        <v xml:space="preserve"> </v>
      </c>
      <c r="FZ247" s="361" t="str">
        <f t="shared" si="786"/>
        <v xml:space="preserve"> </v>
      </c>
      <c r="GA247" s="347" t="str">
        <f t="shared" si="787"/>
        <v xml:space="preserve"> </v>
      </c>
      <c r="GB247" s="355" t="str">
        <f t="shared" si="788"/>
        <v xml:space="preserve"> </v>
      </c>
      <c r="GC247" s="328" t="str">
        <f t="shared" si="789"/>
        <v xml:space="preserve"> </v>
      </c>
      <c r="GD247" s="361" t="str">
        <f t="shared" si="790"/>
        <v xml:space="preserve"> </v>
      </c>
      <c r="GE247" s="347" t="str">
        <f t="shared" si="791"/>
        <v xml:space="preserve"> </v>
      </c>
      <c r="GF247" s="361" t="str">
        <f t="shared" si="792"/>
        <v xml:space="preserve"> </v>
      </c>
      <c r="GG247" s="347" t="str">
        <f t="shared" si="793"/>
        <v xml:space="preserve"> </v>
      </c>
      <c r="GH247" s="364">
        <f t="shared" si="687"/>
        <v>0</v>
      </c>
      <c r="GI247" s="362">
        <f t="shared" si="794"/>
        <v>2</v>
      </c>
      <c r="GJ247" s="433" t="e">
        <f>IF(6-COUNTBLANK(GT247:GY247)=4,MATCH(MID(BO247,9,3),CLU!$H$16:$K$16),MATCH(MID(BO247,9,3),CLU!$H$13:$M$13))</f>
        <v>#N/A</v>
      </c>
      <c r="GK247" s="433" t="e">
        <f>HLOOKUP(VALUE(BP247),CLU!$H$9:$M$10,2)</f>
        <v>#VALUE!</v>
      </c>
      <c r="GL247" s="433" t="e">
        <f ca="1">MATCH(BU247,CLU!$H$2:$V$2,1)</f>
        <v>#VALUE!</v>
      </c>
      <c r="GM247" s="433" t="e">
        <f t="shared" ca="1" si="795"/>
        <v>#VALUE!</v>
      </c>
      <c r="GN247" s="433" t="e">
        <f t="shared" ca="1" si="796"/>
        <v>#VALUE!</v>
      </c>
      <c r="GO247" s="433" t="e">
        <f t="shared" ca="1" si="797"/>
        <v>#VALUE!</v>
      </c>
      <c r="GP247" s="433" t="e">
        <f t="shared" ca="1" si="798"/>
        <v>#VALUE!</v>
      </c>
      <c r="GQ247" s="433" t="e">
        <f t="shared" ca="1" si="799"/>
        <v>#VALUE!</v>
      </c>
      <c r="GR247" s="433" t="e">
        <f ca="1">MATCH(T247,INDIRECT(VLOOKUP(CONCATENATE(LEFT(BO247,7),"-",MID(BO247,13,1)),CLU!$P$3:$Q$16,2)),1)</f>
        <v>#N/A</v>
      </c>
      <c r="GS247" s="433" t="e">
        <f ca="1">MATCH(U247,INDIRECT(VLOOKUP(CONCATENATE(LEFT(BO247,7),"-",MID(BO247,13,1)),CLU!$P$3:$Q$16,2)),1)</f>
        <v>#N/A</v>
      </c>
      <c r="GT247" s="347" t="s">
        <v>512</v>
      </c>
      <c r="GU247" s="97" t="s">
        <v>513</v>
      </c>
      <c r="GV247" s="97" t="str">
        <f t="shared" si="800"/>
        <v>M23</v>
      </c>
      <c r="GW247" s="97" t="str">
        <f t="shared" si="801"/>
        <v>M31</v>
      </c>
      <c r="GX247" s="97" t="str">
        <f t="shared" si="802"/>
        <v/>
      </c>
      <c r="GY247" s="97" t="str">
        <f t="shared" si="803"/>
        <v/>
      </c>
      <c r="GZ247" s="481"/>
      <c r="HA247" s="288"/>
      <c r="HB247" s="240"/>
      <c r="HC247" s="240"/>
      <c r="HD247" s="240"/>
      <c r="HE247" s="240"/>
      <c r="HF247" s="240"/>
      <c r="HG247" s="240"/>
      <c r="HH247" s="240"/>
      <c r="HI247" s="240"/>
      <c r="HJ247" s="240"/>
      <c r="HK247" s="240"/>
      <c r="HL247" s="240"/>
      <c r="HM247" s="240"/>
      <c r="HN247" s="240"/>
      <c r="HO247" s="240"/>
      <c r="HP247" s="240"/>
      <c r="HQ247" s="240"/>
      <c r="HR247" s="240"/>
      <c r="HS247" s="240"/>
      <c r="HT247" s="240"/>
      <c r="HU247" s="240"/>
      <c r="HV247" s="245"/>
      <c r="HW247" s="245" t="b">
        <v>1</v>
      </c>
      <c r="HX247" s="245" t="str">
        <f t="shared" si="688"/>
        <v/>
      </c>
      <c r="HY247" s="245" t="e">
        <f t="shared" si="689"/>
        <v>#DIV/0!</v>
      </c>
      <c r="HZ247" s="245" t="e">
        <f t="shared" si="690"/>
        <v>#DIV/0!</v>
      </c>
      <c r="IA247" s="245">
        <f t="shared" si="691"/>
        <v>0</v>
      </c>
      <c r="IB247" s="245"/>
      <c r="IC247" t="b">
        <f t="shared" si="692"/>
        <v>1</v>
      </c>
      <c r="ID247" s="245" t="b">
        <f t="shared" si="693"/>
        <v>1</v>
      </c>
      <c r="IE247" s="245" t="b">
        <f t="shared" si="694"/>
        <v>1</v>
      </c>
      <c r="IF247" s="245" t="b">
        <f t="shared" si="695"/>
        <v>0</v>
      </c>
      <c r="IG247" s="245" t="b">
        <f t="shared" si="696"/>
        <v>1</v>
      </c>
      <c r="IH247" s="245" t="b">
        <f t="shared" si="697"/>
        <v>1</v>
      </c>
      <c r="II247" s="245">
        <f t="shared" si="804"/>
        <v>0</v>
      </c>
      <c r="IJ247" s="245" t="e">
        <f t="shared" si="698"/>
        <v>#VALUE!</v>
      </c>
      <c r="IK247" s="245" t="e">
        <f t="shared" si="699"/>
        <v>#VALUE!</v>
      </c>
      <c r="IL247" s="245"/>
      <c r="IM247" s="245" t="e">
        <f t="shared" si="805"/>
        <v>#N/A</v>
      </c>
      <c r="IN247" s="245" t="e">
        <f t="shared" si="806"/>
        <v>#N/A</v>
      </c>
      <c r="IO247" s="245"/>
      <c r="IP247" s="245"/>
      <c r="IQ247" s="245" t="str">
        <f t="shared" si="700"/>
        <v/>
      </c>
      <c r="IR247" s="245" t="str">
        <f>IF(J247="","",VLOOKUP(J247,Worksheet!$R$4:$T$14,2))</f>
        <v/>
      </c>
      <c r="IS247" s="245"/>
      <c r="IT247" s="245">
        <f t="shared" si="701"/>
        <v>0</v>
      </c>
      <c r="IU247" s="245">
        <f t="shared" si="702"/>
        <v>0</v>
      </c>
      <c r="IV247" s="245">
        <f t="shared" si="703"/>
        <v>0</v>
      </c>
      <c r="IW247" s="245">
        <f t="shared" si="704"/>
        <v>0</v>
      </c>
      <c r="IX247" s="245">
        <f t="shared" si="807"/>
        <v>0</v>
      </c>
      <c r="IY247" s="245">
        <f t="shared" si="705"/>
        <v>0</v>
      </c>
      <c r="IZ247" s="245">
        <f t="shared" si="706"/>
        <v>0</v>
      </c>
      <c r="JA247">
        <f t="shared" si="707"/>
        <v>0</v>
      </c>
      <c r="JB247">
        <f t="shared" si="808"/>
        <v>0</v>
      </c>
      <c r="JC247">
        <f t="shared" si="708"/>
        <v>0</v>
      </c>
      <c r="JD247">
        <f t="shared" si="709"/>
        <v>0</v>
      </c>
      <c r="JE247">
        <f t="shared" si="710"/>
        <v>0</v>
      </c>
      <c r="JF247">
        <f t="shared" si="711"/>
        <v>0</v>
      </c>
      <c r="JG247">
        <f t="shared" si="712"/>
        <v>0</v>
      </c>
      <c r="JH247">
        <f t="shared" si="713"/>
        <v>0</v>
      </c>
      <c r="JI247">
        <f t="shared" si="714"/>
        <v>0</v>
      </c>
      <c r="JJ247" s="447">
        <f t="shared" si="715"/>
        <v>0</v>
      </c>
      <c r="JK247" s="447">
        <f t="shared" si="716"/>
        <v>0</v>
      </c>
      <c r="JL247">
        <f t="shared" si="717"/>
        <v>0</v>
      </c>
      <c r="JM247" s="245" t="str">
        <f>IFERROR(VLOOKUP(MATCH(BN247,#REF!,0),#REF!,7),"")</f>
        <v/>
      </c>
      <c r="JN247" t="e">
        <f>HLOOKUP(LEFT(BO247,7),Discharge_Area,MATCH(JO247,LookUps!$B$130:$B$149,1)+2)</f>
        <v>#N/A</v>
      </c>
      <c r="JO247" t="str">
        <f t="shared" si="718"/>
        <v>- S</v>
      </c>
      <c r="JP247" t="e">
        <f>HLOOKUP(LEFT(BO247,7),Discharge_Area,MATCH(JO247,LookUps!$B$130:$B$149,1)+2)</f>
        <v>#N/A</v>
      </c>
      <c r="JQ247" t="e">
        <f t="shared" si="719"/>
        <v>#N/A</v>
      </c>
      <c r="JR247" t="e">
        <f t="shared" si="720"/>
        <v>#N/A</v>
      </c>
      <c r="JS247" t="e">
        <f t="shared" si="721"/>
        <v>#N/A</v>
      </c>
      <c r="JT247" s="532" t="str">
        <f t="shared" si="722"/>
        <v xml:space="preserve"> </v>
      </c>
      <c r="JU247" s="532" t="str">
        <f t="shared" si="723"/>
        <v xml:space="preserve"> </v>
      </c>
      <c r="JV247" s="533" t="str">
        <f t="shared" si="724"/>
        <v xml:space="preserve"> </v>
      </c>
      <c r="JW247" s="534">
        <f t="shared" si="725"/>
        <v>0</v>
      </c>
      <c r="JX247" s="535" t="str">
        <f t="shared" si="809"/>
        <v xml:space="preserve"> </v>
      </c>
      <c r="JY247" s="535" t="str">
        <f t="shared" si="810"/>
        <v xml:space="preserve"> </v>
      </c>
      <c r="JZ247" s="535" t="str">
        <f t="shared" si="811"/>
        <v xml:space="preserve"> </v>
      </c>
      <c r="KA247" s="536" t="str">
        <f t="shared" si="726"/>
        <v xml:space="preserve"> </v>
      </c>
      <c r="KB247" s="535" t="e">
        <f t="shared" si="812"/>
        <v>#VALUE!</v>
      </c>
      <c r="KC247" s="535" t="str">
        <f t="shared" si="727"/>
        <v/>
      </c>
      <c r="KD247" s="537" t="str">
        <f t="shared" si="813"/>
        <v xml:space="preserve"> </v>
      </c>
      <c r="KE247" s="537" t="str">
        <f t="shared" si="814"/>
        <v xml:space="preserve"> </v>
      </c>
      <c r="KF247" s="534">
        <f t="shared" si="728"/>
        <v>0</v>
      </c>
      <c r="KG247" s="535" t="str">
        <f t="shared" si="729"/>
        <v xml:space="preserve"> </v>
      </c>
      <c r="KH247" s="535" t="str">
        <f t="shared" si="730"/>
        <v xml:space="preserve"> </v>
      </c>
      <c r="KI247" s="535" t="str">
        <f t="shared" si="731"/>
        <v xml:space="preserve"> </v>
      </c>
      <c r="KJ247" s="536" t="str">
        <f t="shared" si="732"/>
        <v xml:space="preserve"> </v>
      </c>
      <c r="KK247" s="535" t="str">
        <f t="shared" si="815"/>
        <v xml:space="preserve"> </v>
      </c>
      <c r="KL247" s="535" t="str">
        <f t="shared" si="816"/>
        <v xml:space="preserve"> </v>
      </c>
      <c r="KM247" s="537" t="str">
        <f t="shared" si="733"/>
        <v xml:space="preserve"> </v>
      </c>
      <c r="KN247" s="537" t="str">
        <f t="shared" si="817"/>
        <v xml:space="preserve"> </v>
      </c>
      <c r="KP247">
        <f t="shared" si="734"/>
        <v>0</v>
      </c>
      <c r="LA247" t="e">
        <f t="shared" si="735"/>
        <v>#VALUE!</v>
      </c>
      <c r="LB247" t="e">
        <f t="shared" si="736"/>
        <v>#VALUE!</v>
      </c>
      <c r="LC247" t="e">
        <f t="shared" si="737"/>
        <v>#VALUE!</v>
      </c>
      <c r="LD247" t="e">
        <f t="shared" si="738"/>
        <v>#VALUE!</v>
      </c>
      <c r="LE247" t="e">
        <f t="shared" si="818"/>
        <v>#VALUE!</v>
      </c>
      <c r="LF247">
        <f t="shared" si="739"/>
        <v>0</v>
      </c>
      <c r="LG247" t="e">
        <f t="shared" si="819"/>
        <v>#VALUE!</v>
      </c>
      <c r="LH247" t="str">
        <f t="shared" si="740"/>
        <v xml:space="preserve"> </v>
      </c>
      <c r="LI247">
        <f t="shared" si="820"/>
        <v>1</v>
      </c>
    </row>
    <row r="248" spans="2:321" ht="15" customHeight="1">
      <c r="B248" s="311"/>
      <c r="C248" s="311"/>
      <c r="D248" s="312"/>
      <c r="E248" s="311"/>
      <c r="F248" s="312"/>
      <c r="G248" s="311"/>
      <c r="H248" s="311"/>
      <c r="I248" s="232"/>
      <c r="J248" s="311"/>
      <c r="K248" s="305" t="str">
        <f t="shared" si="741"/>
        <v/>
      </c>
      <c r="L248" s="313"/>
      <c r="M248" s="312"/>
      <c r="N248" s="311"/>
      <c r="O248" s="312"/>
      <c r="P248" s="311"/>
      <c r="Q248" s="305" t="str">
        <f t="shared" si="742"/>
        <v/>
      </c>
      <c r="R248" s="314"/>
      <c r="S248" s="450" t="str">
        <f t="shared" si="625"/>
        <v/>
      </c>
      <c r="T248" s="315"/>
      <c r="U248" s="315"/>
      <c r="W248" s="149" t="str">
        <f t="shared" si="626"/>
        <v xml:space="preserve"> </v>
      </c>
      <c r="X248" s="243" t="str">
        <f t="shared" si="627"/>
        <v xml:space="preserve"> </v>
      </c>
      <c r="Y248" s="150" t="str">
        <f t="shared" si="628"/>
        <v/>
      </c>
      <c r="Z248" s="149" t="str">
        <f t="shared" si="629"/>
        <v xml:space="preserve"> </v>
      </c>
      <c r="AA248" s="98" t="str">
        <f t="shared" si="630"/>
        <v xml:space="preserve"> </v>
      </c>
      <c r="AB248" s="153" t="str">
        <f t="shared" si="631"/>
        <v xml:space="preserve"> </v>
      </c>
      <c r="AC248" s="153" t="str">
        <f t="shared" si="632"/>
        <v xml:space="preserve"> </v>
      </c>
      <c r="AD248" s="148" t="str">
        <f t="shared" si="633"/>
        <v/>
      </c>
      <c r="AE248" s="149" t="str">
        <f t="shared" si="634"/>
        <v/>
      </c>
      <c r="AF248" s="151" t="str">
        <f t="shared" si="635"/>
        <v xml:space="preserve"> </v>
      </c>
      <c r="AG248" s="153" t="str">
        <f t="shared" si="636"/>
        <v xml:space="preserve"> </v>
      </c>
      <c r="AH248" s="98" t="str">
        <f t="shared" si="637"/>
        <v xml:space="preserve"> </v>
      </c>
      <c r="AI248" s="149" t="str">
        <f t="shared" si="638"/>
        <v xml:space="preserve"> </v>
      </c>
      <c r="AK248" s="144" t="str">
        <f t="shared" si="639"/>
        <v xml:space="preserve"> </v>
      </c>
      <c r="AL248" s="144"/>
      <c r="AM248" s="243" t="str">
        <f t="shared" si="640"/>
        <v xml:space="preserve"> </v>
      </c>
      <c r="AN248" s="149" t="str">
        <f t="shared" si="743"/>
        <v xml:space="preserve"> </v>
      </c>
      <c r="AO248" s="144" t="str">
        <f>IF(JB248&gt;0,IF(GI248=10,-R248*1.085*(Calculation!$F$6-Calculation!$F$13)*$S$14," "),"")</f>
        <v/>
      </c>
      <c r="AP248" s="144" t="str">
        <f t="shared" si="641"/>
        <v/>
      </c>
      <c r="AQ248" s="56" t="str">
        <f t="shared" si="642"/>
        <v/>
      </c>
      <c r="AR248" s="144" t="str">
        <f t="shared" si="643"/>
        <v/>
      </c>
      <c r="AS248" s="176" t="str">
        <f t="shared" si="644"/>
        <v/>
      </c>
      <c r="AT248" s="176" t="str">
        <f t="shared" si="744"/>
        <v xml:space="preserve"> </v>
      </c>
      <c r="AU248" s="176" t="str">
        <f t="shared" si="645"/>
        <v/>
      </c>
      <c r="AV248" s="177" t="str">
        <f t="shared" si="646"/>
        <v xml:space="preserve"> </v>
      </c>
      <c r="AW248" s="144" t="str">
        <f t="shared" si="647"/>
        <v xml:space="preserve"> </v>
      </c>
      <c r="AX248" s="144" t="str">
        <f t="shared" si="648"/>
        <v xml:space="preserve"> </v>
      </c>
      <c r="AY248" s="152" t="str">
        <f t="shared" si="649"/>
        <v xml:space="preserve"> </v>
      </c>
      <c r="AZ248" s="246" t="str">
        <f t="shared" si="650"/>
        <v/>
      </c>
      <c r="BA248" s="176" t="str">
        <f t="shared" si="651"/>
        <v xml:space="preserve"> </v>
      </c>
      <c r="BB248" s="176" t="str">
        <f t="shared" si="652"/>
        <v xml:space="preserve"> </v>
      </c>
      <c r="BC248" s="195"/>
      <c r="BD248" s="316"/>
      <c r="BE248" s="317"/>
      <c r="BF248" s="318"/>
      <c r="BG248" s="318"/>
      <c r="BH248" s="144" t="str">
        <f t="shared" si="821"/>
        <v xml:space="preserve"> </v>
      </c>
      <c r="BI248" s="176" t="str">
        <f t="shared" si="653"/>
        <v/>
      </c>
      <c r="BJ248" s="144" t="str">
        <f t="shared" si="822"/>
        <v/>
      </c>
      <c r="BK248" s="246" t="str">
        <f t="shared" si="654"/>
        <v/>
      </c>
      <c r="BL248" s="144" t="str">
        <f t="shared" si="823"/>
        <v/>
      </c>
      <c r="BM248" s="246" t="str">
        <f t="shared" si="655"/>
        <v/>
      </c>
      <c r="BN248" s="337" t="str">
        <f t="shared" si="745"/>
        <v/>
      </c>
      <c r="BO248" s="371" t="str">
        <f t="shared" si="746"/>
        <v/>
      </c>
      <c r="BP248" s="328" t="str">
        <f t="shared" si="824"/>
        <v xml:space="preserve"> </v>
      </c>
      <c r="BQ248" s="347" t="str">
        <f t="shared" si="747"/>
        <v xml:space="preserve"> </v>
      </c>
      <c r="BR248" s="353" t="str">
        <f t="shared" si="748"/>
        <v xml:space="preserve"> </v>
      </c>
      <c r="BS248" s="626" t="str">
        <f>IF(L248&gt;0,IF(Calculation!P248="M13",BR248*3.1416*(0.134^2)/(4*144),IF(Calculation!P248="M17",BR248*3.1416*(0.165^2)/(4*144),IF(Calculation!P248="M20",BR248*3.1416*(0.198^2)/(4*144),IF(Calculation!P248="M23",BR248*3.1416*(0.228^2)/(4*144),IF(Calculation!P248="M27",BR248*3.1416*(0.269^2)/(4*144),BR248*3.1416*(0.307^2)/(4*144))))))," ")</f>
        <v xml:space="preserve"> </v>
      </c>
      <c r="BT248" s="353" t="str">
        <f>IF(L248&gt;0,IF(BS248&gt;0,R248/Calculation!BS248,0)," ")</f>
        <v xml:space="preserve"> </v>
      </c>
      <c r="BU248" s="438" t="e">
        <f t="shared" ca="1" si="656"/>
        <v>#VALUE!</v>
      </c>
      <c r="BV248" s="449" t="e">
        <f ca="1">INDEX(INDIRECT(VLOOKUP(LEFT(BO248,7),CLU!$Z$3:$AH$18,2)),GN248,GR248)</f>
        <v>#N/A</v>
      </c>
      <c r="BW248" s="433" t="e">
        <f ca="1">INDEX(INDIRECT(VLOOKUP(LEFT(BO248,7),CLU!$Z$3:$AH$18,3)),GN248,GR248)</f>
        <v>#N/A</v>
      </c>
      <c r="BX248" s="433" t="e">
        <f ca="1">INDEX(INDIRECT(VLOOKUP(LEFT(BO248,7),CLU!$Z$3:$AH$18,4)),GN248,GR248)</f>
        <v>#N/A</v>
      </c>
      <c r="BY248" s="433" t="e">
        <f ca="1">INDEX(INDIRECT(VLOOKUP(LEFT(BO248,7),CLU!$Z$3:$AH$18,9)),((M248-2)*(6-COUNTBLANK(GT248:GY248)))+GJ248)</f>
        <v>#N/A</v>
      </c>
      <c r="BZ248" s="426" t="e">
        <f t="shared" ca="1" si="749"/>
        <v>#N/A</v>
      </c>
      <c r="CA248" s="424" t="e">
        <f t="shared" ca="1" si="750"/>
        <v>#N/A</v>
      </c>
      <c r="CB248" s="429" t="e">
        <f ca="1">INDEX(INDIRECT(VLOOKUP(LEFT(BO248,7),CLU!$Z$3:$AH$18,2)),GN248,GS248)</f>
        <v>#N/A</v>
      </c>
      <c r="CC248" s="342" t="e">
        <f ca="1">INDEX(INDIRECT(VLOOKUP(LEFT(BO248,7),CLU!$Z$3:$AH$18,3)),GN248,GS248)</f>
        <v>#N/A</v>
      </c>
      <c r="CD248" s="342" t="e">
        <f ca="1">INDEX(INDIRECT(VLOOKUP(LEFT(BO248,7),CLU!$Z$3:$AH$18,4)),GN248,GS248)</f>
        <v>#N/A</v>
      </c>
      <c r="CE248" s="426" t="e">
        <f t="shared" ca="1" si="751"/>
        <v>#N/A</v>
      </c>
      <c r="CF248" s="440">
        <f t="shared" si="752"/>
        <v>0</v>
      </c>
      <c r="CG248" s="431" t="e">
        <f ca="1">INDEX(INDIRECT(VLOOKUP(LEFT(BO248,7),CLU!$Z$3:$AH$18,2)),GQ248,GR248)</f>
        <v>#N/A</v>
      </c>
      <c r="CH248" s="431" t="e">
        <f ca="1">INDEX(INDIRECT(VLOOKUP(LEFT(BO248,7),CLU!$Z$3:$AH$18,3)),GQ248,GR248)</f>
        <v>#N/A</v>
      </c>
      <c r="CI248" s="431" t="e">
        <f ca="1">INDEX(INDIRECT(VLOOKUP(LEFT(BO248,7),CLU!$Z$3:$AH$18,4)),GQ248,GR248)</f>
        <v>#N/A</v>
      </c>
      <c r="CJ248" s="448" t="e">
        <f t="shared" ca="1" si="753"/>
        <v>#N/A</v>
      </c>
      <c r="CK248" s="431" t="e">
        <f t="shared" ca="1" si="754"/>
        <v>#N/A</v>
      </c>
      <c r="CL248" s="440" t="e">
        <f t="shared" ca="1" si="755"/>
        <v>#N/A</v>
      </c>
      <c r="CM248" s="431" t="e">
        <f ca="1">INDEX(INDIRECT(VLOOKUP(LEFT(BO248,7),CLU!$Z$3:$AH$18,2)),GQ248,GS248)</f>
        <v>#N/A</v>
      </c>
      <c r="CN248" s="431" t="e">
        <f ca="1">INDEX(INDIRECT(VLOOKUP(LEFT(BO248,7),CLU!$Z$3:$AH$18,3)),GQ248,GS248)</f>
        <v>#N/A</v>
      </c>
      <c r="CO248" s="431" t="e">
        <f ca="1">INDEX(INDIRECT(VLOOKUP(LEFT(BO248,7),CLU!$Z$3:$AH$18,4)),GQ248,GS248)</f>
        <v>#N/A</v>
      </c>
      <c r="CP248" s="431" t="e">
        <f t="shared" ca="1" si="756"/>
        <v>#N/A</v>
      </c>
      <c r="CQ248" s="440">
        <f t="shared" si="757"/>
        <v>0</v>
      </c>
      <c r="CR248" s="51" t="e">
        <f t="shared" ca="1" si="758"/>
        <v>#N/A</v>
      </c>
      <c r="CS248" s="439" t="e">
        <f t="shared" ca="1" si="759"/>
        <v>#VALUE!</v>
      </c>
      <c r="CT248" s="51" t="e">
        <f t="shared" ca="1" si="760"/>
        <v>#VALUE!</v>
      </c>
      <c r="CU248" s="10"/>
      <c r="CV248" s="51" t="e">
        <f t="shared" ca="1" si="657"/>
        <v>#VALUE!</v>
      </c>
      <c r="CW248" s="51">
        <f t="shared" si="761"/>
        <v>0</v>
      </c>
      <c r="CX248" s="439" t="e">
        <f t="shared" ca="1" si="762"/>
        <v>#VALUE!</v>
      </c>
      <c r="CY248" s="51" t="e">
        <f t="shared" ca="1" si="763"/>
        <v>#VALUE!</v>
      </c>
      <c r="CZ248" s="10"/>
      <c r="DA248" s="51" t="e">
        <f t="shared" ca="1" si="764"/>
        <v>#VALUE!</v>
      </c>
      <c r="DB248" s="347" t="e">
        <f ca="1">INDEX(INDIRECT(VLOOKUP(LEFT(BO248,7),CLU!$Z$3:$AI$18,10)),((M248-2)*(6-COUNTBLANK(GT248:GY248)))+GJ248)*LI248</f>
        <v>#N/A</v>
      </c>
      <c r="DC248" s="347" t="str">
        <f>IF(L248&gt;0,((R248/Worksheet!$I$15)/DB248)^2," ")</f>
        <v xml:space="preserve"> </v>
      </c>
      <c r="DD248" s="602" t="str">
        <f t="shared" si="765"/>
        <v xml:space="preserve"> </v>
      </c>
      <c r="DE248" s="347" t="str">
        <f t="shared" si="658"/>
        <v xml:space="preserve"> </v>
      </c>
      <c r="DF248" s="356" t="e">
        <f ca="1">INDEX(INDIRECT(VLOOKUP(LEFT(BO248,7),CLU!$Z$3:$AH$18,8)),((M248-2)*(6-COUNTBLANK(GT248:GY248)))+GJ248)</f>
        <v>#N/A</v>
      </c>
      <c r="DG248" s="347" t="str">
        <f t="shared" si="659"/>
        <v xml:space="preserve"> </v>
      </c>
      <c r="DH248" s="357" t="str">
        <f t="shared" si="660"/>
        <v xml:space="preserve"> </v>
      </c>
      <c r="DI248" s="355" t="str">
        <f t="shared" si="661"/>
        <v xml:space="preserve"> </v>
      </c>
      <c r="DJ248" s="245" t="e">
        <f ca="1">INDEX(INDIRECT(VLOOKUP(LEFT(BO248,7),CLU!$Z$3:$AH$18,5)),GL248,GK248)</f>
        <v>#N/A</v>
      </c>
      <c r="DK248" s="245" t="e">
        <f ca="1">INDEX(INDIRECT(VLOOKUP(LEFT(BO248,7),CLU!$Z$3:$AH$18,6)),GL248,GK248)</f>
        <v>#N/A</v>
      </c>
      <c r="DL248" s="355">
        <f>(Calculation!R248*0.69143*(Calculation!$BQ$8-Calculation!$F$8))*$S$14</f>
        <v>0</v>
      </c>
      <c r="DM248" s="359" t="e">
        <f t="shared" si="766"/>
        <v>#VALUE!</v>
      </c>
      <c r="DN248" s="611">
        <f t="shared" si="767"/>
        <v>0</v>
      </c>
      <c r="DO248" s="359">
        <f t="shared" si="768"/>
        <v>100</v>
      </c>
      <c r="DP248" s="359">
        <f t="shared" si="769"/>
        <v>0</v>
      </c>
      <c r="DQ248" s="360"/>
      <c r="DR248" s="245" t="e">
        <f ca="1">INDEX(INDIRECT(VLOOKUP(LEFT(BO248,7),CLU!$Z$3:$AH$18,7)),M248-1,1)</f>
        <v>#N/A</v>
      </c>
      <c r="DS248" s="245" t="e">
        <f ca="1">INDEX(INDIRECT(VLOOKUP(LEFT(BO248,7),CLU!$Z$3:$AH$18,7)),M248-1,2)</f>
        <v>#N/A</v>
      </c>
      <c r="DT248" s="245" t="e">
        <f ca="1">INDEX(INDIRECT(VLOOKUP(LEFT(BO248,7),CLU!$Z$3:$AH$18,7)),M248-1,3)</f>
        <v>#N/A</v>
      </c>
      <c r="DU248" s="245" t="e">
        <f ca="1">INDEX(INDIRECT(VLOOKUP(LEFT(BO248,7),CLU!$Z$3:$AH$18,7)),M248-1,4)</f>
        <v>#N/A</v>
      </c>
      <c r="DV248" s="361" t="e">
        <f ca="1">INDEX(INDIRECT(VLOOKUP(LEFT(BO248,7),CLU!$Z$3:$AH$18,7)),M248-1,4+LEFT(DZ248,1)*0.5)</f>
        <v>#N/A</v>
      </c>
      <c r="DW248" s="245" t="e">
        <f ca="1">INDEX(INDIRECT(VLOOKUP(LEFT(BO248,7),CLU!$Z$3:$AH$18,7)),M248-1,8)</f>
        <v>#N/A</v>
      </c>
      <c r="DX248" s="361" t="str">
        <f t="shared" si="662"/>
        <v xml:space="preserve"> </v>
      </c>
      <c r="DY248" s="361" t="str">
        <f t="shared" si="663"/>
        <v xml:space="preserve"> </v>
      </c>
      <c r="DZ248" s="361" t="str">
        <f t="shared" si="664"/>
        <v xml:space="preserve"> </v>
      </c>
      <c r="EA248" s="362" t="str">
        <f t="shared" si="665"/>
        <v xml:space="preserve"> </v>
      </c>
      <c r="EB248" s="624" t="str">
        <f t="shared" si="770"/>
        <v xml:space="preserve"> </v>
      </c>
      <c r="EC248" s="361" t="e">
        <f ca="1">INDEX(INDIRECT(VLOOKUP(LEFT(BO248,7),CLU!$Z$3:$AH$18,7)),M248-1,4+LEFT(DZ248,1)*0.5)</f>
        <v>#N/A</v>
      </c>
      <c r="ED248" s="362" t="str">
        <f t="shared" si="666"/>
        <v xml:space="preserve"> </v>
      </c>
      <c r="EE248" s="361" t="str">
        <f t="shared" si="667"/>
        <v xml:space="preserve"> </v>
      </c>
      <c r="EF248" s="362" t="str">
        <f>IF(L248&gt;0,IF(BR248&gt;0,IF(EE248="2P",IF(Calculation!DZ248="2P",IF(Calculation!DS248=13.75,IF(Calculation!DR248=13,Worksheet!$BD$43,IF(Calculation!DR248=37,Worksheet!$BD$44,Worksheet!$BD$45)),IF(Calculation!DS248=10,IF(Calculation!DR248=18,Worksheet!$BD$29,IF(Calculation!DR248=30,Worksheet!$BD$30,IF(Calculation!DR248=42,Worksheet!$BD$31,IF(Calculation!DR248=54,Worksheet!$BD$32,IF(Calculation!DR248=66,Worksheet!$BD$33,IF(Calculation!DR248=78,Worksheet!$BD$34,IF(Calculation!DR248=90,Worksheet!$BD$35,IF(Calculation!DR248=102,Worksheet!$BD$36,Worksheet!$BD$37)))))))),IF(Calculation!DS248=12.5,IF(Calculation!DR248=18,Worksheet!$BD$38,IF(Calculation!DR248=Worksheet!$BD$39,IF(Calculation!DR248=42,Worksheet!$BD$40,IF(Calculation!DR248=54,Worksheet!$BD$41,Worksheet!$BD$42)))),IF(Calculation!DR248=18,Worksheet!$BD$11,IF(Calculation!DR248=30,Worksheet!$BD$12,IF(Calculation!DR248=42,Worksheet!$BD$13,IF(Calculation!DR248=54,Worksheet!$BD$14,IF(Calculation!DR248=66,Worksheet!$BD$15,IF(Calculation!DR248=78,Worksheet!$BD$16,IF(Calculation!DR248=90,Worksheet!$BD$17,IF(Calculation!DR248=102,Worksheet!$BD$18,Worksheet!$BD$19))))))))))),IF(Calculation!DS248=13.75,IF(Calculation!DR248=13,Worksheet!$BD$78,IF(Calculation!DR248=37,Worksheet!$BD$79,Worksheet!$BD$80)),IF(Calculation!DS248=10,IF(Calculation!DR248=18,Worksheet!$BD$64,IF(Calculation!DR248=30,Worksheet!$BD$65,IF(Calculation!DR248=42,Worksheet!$BD$66,IF(Calculation!DR248=54,Worksheet!$BD$68,IF(Calculation!DR248=66,Worksheet!$BD$68,IF(Calculation!DR248=78,Worksheet!$BD$69,IF(Calculation!DR248=90,Worksheet!$BD$70,IF(Calculation!DR248=102,Worksheet!$BD$71,Worksheet!$BD$72)))))))),IF(Calculation!DS248=12.5,IF(Calculation!DR248=18,Worksheet!$BD$73,IF(Calculation!DR248=Worksheet!$BD$74,IF(Calculation!DR248=42,Worksheet!$BD$75,IF(Calculation!DR248=54,Worksheet!$BD$76,Worksheet!$BD$77)))),IF(Calculation!DR248=18,Worksheet!$BD$55,IF(Calculation!DR248=30,Worksheet!$BD$56,IF(Calculation!DR248=42,Worksheet!$BD$57,IF(Calculation!DR248=54,Worksheet!$BD$58,IF(Calculation!DR248=66,Worksheet!$BD$59,IF(Calculation!DR248=78,Worksheet!$BD$60,IF(Calculation!DR248=90,Worksheet!$BD$61,IF(Calculation!DR248=102,Worksheet!$BD$62,Worksheet!$BD$63)))))))))))),5),0)," ")</f>
        <v xml:space="preserve"> </v>
      </c>
      <c r="EG248" s="361" t="str">
        <f t="shared" si="668"/>
        <v xml:space="preserve"> </v>
      </c>
      <c r="EH248" s="361" t="e">
        <f ca="1">INDEX(INDIRECT(VLOOKUP(LEFT(BO248,7),CLU!$Z$3:$AH$18,7)),M248-1,3+LEFT(DZ248,1))</f>
        <v>#N/A</v>
      </c>
      <c r="EI248" s="362" t="str">
        <f t="shared" si="669"/>
        <v xml:space="preserve"> </v>
      </c>
      <c r="EJ248" s="363" t="str">
        <f t="shared" si="670"/>
        <v xml:space="preserve"> </v>
      </c>
      <c r="EK248" s="363" t="str">
        <f t="shared" si="671"/>
        <v xml:space="preserve"> </v>
      </c>
      <c r="EL248" s="363" t="str">
        <f t="shared" si="672"/>
        <v xml:space="preserve"> </v>
      </c>
      <c r="EM248" s="362" t="str">
        <f>IF(L248&gt;0,IF(BR248&gt;0,(Calculation!T248/ED248)^2,0)," ")</f>
        <v xml:space="preserve"> </v>
      </c>
      <c r="EN248" s="362" t="str">
        <f>IF(L248&gt;0,IF(O248="2 Pipe (Cooling)","N/A",IF(BR248&gt;0,(Calculation!U248/EI248)^2,0))," ")</f>
        <v xml:space="preserve"> </v>
      </c>
      <c r="EO248" s="361" t="str">
        <f t="shared" si="673"/>
        <v/>
      </c>
      <c r="EP248" s="361" t="str">
        <f t="shared" si="674"/>
        <v/>
      </c>
      <c r="EQ248" s="361" t="str">
        <f t="shared" si="675"/>
        <v/>
      </c>
      <c r="ER248" s="361" t="str">
        <f t="shared" si="676"/>
        <v/>
      </c>
      <c r="ES248" s="361" t="str">
        <f t="shared" si="677"/>
        <v/>
      </c>
      <c r="ET248" s="361" t="str">
        <f t="shared" si="678"/>
        <v/>
      </c>
      <c r="EU248" s="361" t="str">
        <f t="shared" si="679"/>
        <v/>
      </c>
      <c r="EV248" s="361" t="str">
        <f t="shared" si="680"/>
        <v/>
      </c>
      <c r="EW248" s="361" t="str">
        <f t="shared" si="681"/>
        <v/>
      </c>
      <c r="EX248" s="361" t="str">
        <f t="shared" si="771"/>
        <v>1 slot, 1 way</v>
      </c>
      <c r="EY248" s="361" t="str">
        <f t="shared" si="772"/>
        <v xml:space="preserve"> </v>
      </c>
      <c r="EZ248" s="361" t="str">
        <f t="shared" si="773"/>
        <v xml:space="preserve"> </v>
      </c>
      <c r="FA248" s="361" t="str">
        <f t="shared" si="774"/>
        <v xml:space="preserve"> </v>
      </c>
      <c r="FB248" s="361" t="str">
        <f t="shared" si="775"/>
        <v xml:space="preserve"> </v>
      </c>
      <c r="FC248" s="361"/>
      <c r="FD248" s="361" t="str">
        <f>IF(J248&gt;0,IF(Calculation!R248&lt;=70,4,IF(Calculation!R248&lt;=110,5,IF(Calculation!R248&lt;=160,6,IF(Calculation!R248&lt;=300,8,"10 EO")))),"")</f>
        <v/>
      </c>
      <c r="FE248" s="361" t="str">
        <f t="shared" si="776"/>
        <v/>
      </c>
      <c r="FF248" s="361" t="str">
        <f t="shared" si="777"/>
        <v/>
      </c>
      <c r="FG248" s="361" t="e">
        <f t="shared" si="682"/>
        <v>#N/A</v>
      </c>
      <c r="FH248" s="361">
        <f t="shared" si="683"/>
        <v>0</v>
      </c>
      <c r="FI248" s="361" t="e">
        <f t="shared" si="684"/>
        <v>#DIV/0!</v>
      </c>
      <c r="FJ248" s="361"/>
      <c r="FK248" s="356" t="e">
        <f t="shared" si="685"/>
        <v>#VALUE!</v>
      </c>
      <c r="FL248" s="361"/>
      <c r="FM248" s="361"/>
      <c r="FN248" s="362" t="str">
        <f t="shared" si="778"/>
        <v xml:space="preserve"> </v>
      </c>
      <c r="FO248" s="362" t="str">
        <f t="shared" si="779"/>
        <v xml:space="preserve"> </v>
      </c>
      <c r="FP248" s="362">
        <f t="shared" si="780"/>
        <v>0</v>
      </c>
      <c r="FQ248" s="361">
        <f t="shared" si="686"/>
        <v>0</v>
      </c>
      <c r="FR248" s="362" t="str">
        <f>IF(L248&gt;0,IF(J248="CBAL2",Worksheet!$P$67,IF(J248="CBE2-24",Worksheet!$Q$67,IF(J248="CBAM",Worksheet!$R$67,IF(J248="CBLV",Worksheet!$S$67,IF(J248="CBAB",Worksheet!$U$67,IF(J248="CBAW",Worksheet!$X$67,IF(J248="CBE2-12",Worksheet!$Y$67,IF(J248="CBAL2",Worksheet!$Z$67,"N/A"))))))))," ")</f>
        <v xml:space="preserve"> </v>
      </c>
      <c r="FS248" s="362" t="str">
        <f>IF(L248&gt;0,IF(J248="CBAL2",Worksheet!$P$68,IF(J248="CBE2-24",Worksheet!$Q$68,IF(J248="CBAM",Worksheet!$R$68,IF(J248="CBLV",Worksheet!$S$68,IF(J248="CBAB",Worksheet!$U$68,IF(J248="CBAW",Worksheet!$X$68,IF(J248="CBE2-12",Worksheet!$Y$68,IF(J248="CBAL2",Worksheet!$Z$68,"N/A"))))))))," ")</f>
        <v xml:space="preserve"> </v>
      </c>
      <c r="FT248" s="362" t="str">
        <f>IF(L248&gt;0,IF(J248="CBAL2",Worksheet!$P$69,IF(J248="CBE2-24",Worksheet!$Q$69,IF(J248="CBAM",Worksheet!$R$69,IF(J248="CBLV",Worksheet!$S$69,IF(J248="CBAB",Worksheet!$U$69,IF(J248="CBAW",Worksheet!$X$69,IF(J248="CBE2-12",Worksheet!$Y$69,IF(J248="CBAL2",Worksheet!$Z$69,"N/A"))))))))," ")</f>
        <v xml:space="preserve"> </v>
      </c>
      <c r="FU248" s="361" t="str">
        <f t="shared" si="781"/>
        <v xml:space="preserve"> </v>
      </c>
      <c r="FV248" s="362" t="str">
        <f t="shared" si="782"/>
        <v xml:space="preserve"> </v>
      </c>
      <c r="FW248" s="362" t="str">
        <f t="shared" si="783"/>
        <v xml:space="preserve"> </v>
      </c>
      <c r="FX248" s="362" t="str">
        <f t="shared" si="784"/>
        <v xml:space="preserve"> </v>
      </c>
      <c r="FY248" s="355" t="str">
        <f t="shared" si="785"/>
        <v xml:space="preserve"> </v>
      </c>
      <c r="FZ248" s="361" t="str">
        <f t="shared" si="786"/>
        <v xml:space="preserve"> </v>
      </c>
      <c r="GA248" s="347" t="str">
        <f t="shared" si="787"/>
        <v xml:space="preserve"> </v>
      </c>
      <c r="GB248" s="355" t="str">
        <f t="shared" si="788"/>
        <v xml:space="preserve"> </v>
      </c>
      <c r="GC248" s="328" t="str">
        <f t="shared" si="789"/>
        <v xml:space="preserve"> </v>
      </c>
      <c r="GD248" s="361" t="str">
        <f t="shared" si="790"/>
        <v xml:space="preserve"> </v>
      </c>
      <c r="GE248" s="347" t="str">
        <f t="shared" si="791"/>
        <v xml:space="preserve"> </v>
      </c>
      <c r="GF248" s="361" t="str">
        <f t="shared" si="792"/>
        <v xml:space="preserve"> </v>
      </c>
      <c r="GG248" s="347" t="str">
        <f t="shared" si="793"/>
        <v xml:space="preserve"> </v>
      </c>
      <c r="GH248" s="364">
        <f t="shared" si="687"/>
        <v>0</v>
      </c>
      <c r="GI248" s="362">
        <f t="shared" si="794"/>
        <v>2</v>
      </c>
      <c r="GJ248" s="433" t="e">
        <f>IF(6-COUNTBLANK(GT248:GY248)=4,MATCH(MID(BO248,9,3),CLU!$H$16:$K$16),MATCH(MID(BO248,9,3),CLU!$H$13:$M$13))</f>
        <v>#N/A</v>
      </c>
      <c r="GK248" s="433" t="e">
        <f>HLOOKUP(VALUE(BP248),CLU!$H$9:$M$10,2)</f>
        <v>#VALUE!</v>
      </c>
      <c r="GL248" s="433" t="e">
        <f ca="1">MATCH(BU248,CLU!$H$2:$V$2,1)</f>
        <v>#VALUE!</v>
      </c>
      <c r="GM248" s="433" t="e">
        <f t="shared" ca="1" si="795"/>
        <v>#VALUE!</v>
      </c>
      <c r="GN248" s="433" t="e">
        <f t="shared" ca="1" si="796"/>
        <v>#VALUE!</v>
      </c>
      <c r="GO248" s="433" t="e">
        <f t="shared" ca="1" si="797"/>
        <v>#VALUE!</v>
      </c>
      <c r="GP248" s="433" t="e">
        <f t="shared" ca="1" si="798"/>
        <v>#VALUE!</v>
      </c>
      <c r="GQ248" s="433" t="e">
        <f t="shared" ca="1" si="799"/>
        <v>#VALUE!</v>
      </c>
      <c r="GR248" s="433" t="e">
        <f ca="1">MATCH(T248,INDIRECT(VLOOKUP(CONCATENATE(LEFT(BO248,7),"-",MID(BO248,13,1)),CLU!$P$3:$Q$16,2)),1)</f>
        <v>#N/A</v>
      </c>
      <c r="GS248" s="433" t="e">
        <f ca="1">MATCH(U248,INDIRECT(VLOOKUP(CONCATENATE(LEFT(BO248,7),"-",MID(BO248,13,1)),CLU!$P$3:$Q$16,2)),1)</f>
        <v>#N/A</v>
      </c>
      <c r="GT248" s="347" t="s">
        <v>512</v>
      </c>
      <c r="GU248" s="97" t="s">
        <v>513</v>
      </c>
      <c r="GV248" s="97" t="str">
        <f t="shared" si="800"/>
        <v>M23</v>
      </c>
      <c r="GW248" s="97" t="str">
        <f t="shared" si="801"/>
        <v>M31</v>
      </c>
      <c r="GX248" s="97" t="str">
        <f t="shared" si="802"/>
        <v/>
      </c>
      <c r="GY248" s="97" t="str">
        <f t="shared" si="803"/>
        <v/>
      </c>
      <c r="GZ248" s="481"/>
      <c r="HA248" s="288"/>
      <c r="HB248" s="240"/>
      <c r="HC248" s="240"/>
      <c r="HD248" s="240"/>
      <c r="HE248" s="240"/>
      <c r="HF248" s="240"/>
      <c r="HG248" s="240"/>
      <c r="HH248" s="240"/>
      <c r="HI248" s="240"/>
      <c r="HJ248" s="240"/>
      <c r="HK248" s="240"/>
      <c r="HL248" s="240"/>
      <c r="HM248" s="240"/>
      <c r="HN248" s="240"/>
      <c r="HO248" s="240"/>
      <c r="HP248" s="240"/>
      <c r="HQ248" s="240"/>
      <c r="HR248" s="240"/>
      <c r="HS248" s="240"/>
      <c r="HT248" s="240"/>
      <c r="HU248" s="240"/>
      <c r="HV248" s="245"/>
      <c r="HW248" s="245" t="b">
        <v>1</v>
      </c>
      <c r="HX248" s="245" t="str">
        <f t="shared" si="688"/>
        <v/>
      </c>
      <c r="HY248" s="245" t="e">
        <f t="shared" si="689"/>
        <v>#DIV/0!</v>
      </c>
      <c r="HZ248" s="245" t="e">
        <f t="shared" si="690"/>
        <v>#DIV/0!</v>
      </c>
      <c r="IA248" s="245">
        <f t="shared" si="691"/>
        <v>0</v>
      </c>
      <c r="IB248" s="245"/>
      <c r="IC248" t="b">
        <f t="shared" si="692"/>
        <v>1</v>
      </c>
      <c r="ID248" s="245" t="b">
        <f t="shared" si="693"/>
        <v>1</v>
      </c>
      <c r="IE248" s="245" t="b">
        <f t="shared" si="694"/>
        <v>1</v>
      </c>
      <c r="IF248" s="245" t="b">
        <f t="shared" si="695"/>
        <v>0</v>
      </c>
      <c r="IG248" s="245" t="b">
        <f t="shared" si="696"/>
        <v>1</v>
      </c>
      <c r="IH248" s="245" t="b">
        <f t="shared" si="697"/>
        <v>1</v>
      </c>
      <c r="II248" s="245">
        <f t="shared" si="804"/>
        <v>0</v>
      </c>
      <c r="IJ248" s="245" t="e">
        <f t="shared" si="698"/>
        <v>#VALUE!</v>
      </c>
      <c r="IK248" s="245" t="e">
        <f t="shared" si="699"/>
        <v>#VALUE!</v>
      </c>
      <c r="IL248" s="245"/>
      <c r="IM248" s="245" t="e">
        <f t="shared" si="805"/>
        <v>#N/A</v>
      </c>
      <c r="IN248" s="245" t="e">
        <f t="shared" si="806"/>
        <v>#N/A</v>
      </c>
      <c r="IO248" s="245"/>
      <c r="IP248" s="245"/>
      <c r="IQ248" s="245" t="str">
        <f t="shared" si="700"/>
        <v/>
      </c>
      <c r="IR248" s="245" t="str">
        <f>IF(J248="","",VLOOKUP(J248,Worksheet!$R$4:$T$14,2))</f>
        <v/>
      </c>
      <c r="IS248" s="245"/>
      <c r="IT248" s="245">
        <f t="shared" si="701"/>
        <v>0</v>
      </c>
      <c r="IU248" s="245">
        <f t="shared" si="702"/>
        <v>0</v>
      </c>
      <c r="IV248" s="245">
        <f t="shared" si="703"/>
        <v>0</v>
      </c>
      <c r="IW248" s="245">
        <f t="shared" si="704"/>
        <v>0</v>
      </c>
      <c r="IX248" s="245">
        <f t="shared" si="807"/>
        <v>0</v>
      </c>
      <c r="IY248" s="245">
        <f t="shared" si="705"/>
        <v>0</v>
      </c>
      <c r="IZ248" s="245">
        <f t="shared" si="706"/>
        <v>0</v>
      </c>
      <c r="JA248">
        <f t="shared" si="707"/>
        <v>0</v>
      </c>
      <c r="JB248">
        <f t="shared" si="808"/>
        <v>0</v>
      </c>
      <c r="JC248">
        <f t="shared" si="708"/>
        <v>0</v>
      </c>
      <c r="JD248">
        <f t="shared" si="709"/>
        <v>0</v>
      </c>
      <c r="JE248">
        <f t="shared" si="710"/>
        <v>0</v>
      </c>
      <c r="JF248">
        <f t="shared" si="711"/>
        <v>0</v>
      </c>
      <c r="JG248">
        <f t="shared" si="712"/>
        <v>0</v>
      </c>
      <c r="JH248">
        <f t="shared" si="713"/>
        <v>0</v>
      </c>
      <c r="JI248">
        <f t="shared" si="714"/>
        <v>0</v>
      </c>
      <c r="JJ248" s="447">
        <f t="shared" si="715"/>
        <v>0</v>
      </c>
      <c r="JK248" s="447">
        <f t="shared" si="716"/>
        <v>0</v>
      </c>
      <c r="JL248">
        <f t="shared" si="717"/>
        <v>0</v>
      </c>
      <c r="JM248" s="245" t="str">
        <f>IFERROR(VLOOKUP(MATCH(BN248,#REF!,0),#REF!,7),"")</f>
        <v/>
      </c>
      <c r="JN248" t="e">
        <f>HLOOKUP(LEFT(BO248,7),Discharge_Area,MATCH(JO248,LookUps!$B$130:$B$149,1)+2)</f>
        <v>#N/A</v>
      </c>
      <c r="JO248" t="str">
        <f t="shared" si="718"/>
        <v>- S</v>
      </c>
      <c r="JP248" t="e">
        <f>HLOOKUP(LEFT(BO248,7),Discharge_Area,MATCH(JO248,LookUps!$B$130:$B$149,1)+2)</f>
        <v>#N/A</v>
      </c>
      <c r="JQ248" t="e">
        <f t="shared" si="719"/>
        <v>#N/A</v>
      </c>
      <c r="JR248" t="e">
        <f t="shared" si="720"/>
        <v>#N/A</v>
      </c>
      <c r="JS248" t="e">
        <f t="shared" si="721"/>
        <v>#N/A</v>
      </c>
      <c r="JT248" s="532" t="str">
        <f t="shared" si="722"/>
        <v xml:space="preserve"> </v>
      </c>
      <c r="JU248" s="532" t="str">
        <f t="shared" si="723"/>
        <v xml:space="preserve"> </v>
      </c>
      <c r="JV248" s="533" t="str">
        <f t="shared" si="724"/>
        <v xml:space="preserve"> </v>
      </c>
      <c r="JW248" s="534">
        <f t="shared" si="725"/>
        <v>0</v>
      </c>
      <c r="JX248" s="535" t="str">
        <f t="shared" si="809"/>
        <v xml:space="preserve"> </v>
      </c>
      <c r="JY248" s="535" t="str">
        <f t="shared" si="810"/>
        <v xml:space="preserve"> </v>
      </c>
      <c r="JZ248" s="535" t="str">
        <f t="shared" si="811"/>
        <v xml:space="preserve"> </v>
      </c>
      <c r="KA248" s="536" t="str">
        <f t="shared" si="726"/>
        <v xml:space="preserve"> </v>
      </c>
      <c r="KB248" s="535" t="e">
        <f t="shared" si="812"/>
        <v>#VALUE!</v>
      </c>
      <c r="KC248" s="535" t="str">
        <f t="shared" si="727"/>
        <v/>
      </c>
      <c r="KD248" s="537" t="str">
        <f t="shared" si="813"/>
        <v xml:space="preserve"> </v>
      </c>
      <c r="KE248" s="537" t="str">
        <f t="shared" si="814"/>
        <v xml:space="preserve"> </v>
      </c>
      <c r="KF248" s="534">
        <f t="shared" si="728"/>
        <v>0</v>
      </c>
      <c r="KG248" s="535" t="str">
        <f t="shared" si="729"/>
        <v xml:space="preserve"> </v>
      </c>
      <c r="KH248" s="535" t="str">
        <f t="shared" si="730"/>
        <v xml:space="preserve"> </v>
      </c>
      <c r="KI248" s="535" t="str">
        <f t="shared" si="731"/>
        <v xml:space="preserve"> </v>
      </c>
      <c r="KJ248" s="536" t="str">
        <f t="shared" si="732"/>
        <v xml:space="preserve"> </v>
      </c>
      <c r="KK248" s="535" t="str">
        <f t="shared" si="815"/>
        <v xml:space="preserve"> </v>
      </c>
      <c r="KL248" s="535" t="str">
        <f t="shared" si="816"/>
        <v xml:space="preserve"> </v>
      </c>
      <c r="KM248" s="537" t="str">
        <f t="shared" si="733"/>
        <v xml:space="preserve"> </v>
      </c>
      <c r="KN248" s="537" t="str">
        <f t="shared" si="817"/>
        <v xml:space="preserve"> </v>
      </c>
      <c r="KP248">
        <f t="shared" si="734"/>
        <v>0</v>
      </c>
      <c r="LA248" t="e">
        <f t="shared" si="735"/>
        <v>#VALUE!</v>
      </c>
      <c r="LB248" t="e">
        <f t="shared" si="736"/>
        <v>#VALUE!</v>
      </c>
      <c r="LC248" t="e">
        <f t="shared" si="737"/>
        <v>#VALUE!</v>
      </c>
      <c r="LD248" t="e">
        <f t="shared" si="738"/>
        <v>#VALUE!</v>
      </c>
      <c r="LE248" t="e">
        <f t="shared" si="818"/>
        <v>#VALUE!</v>
      </c>
      <c r="LF248">
        <f t="shared" si="739"/>
        <v>0</v>
      </c>
      <c r="LG248" t="e">
        <f t="shared" si="819"/>
        <v>#VALUE!</v>
      </c>
      <c r="LH248" t="str">
        <f t="shared" si="740"/>
        <v xml:space="preserve"> </v>
      </c>
      <c r="LI248">
        <f t="shared" si="820"/>
        <v>1</v>
      </c>
    </row>
    <row r="249" spans="2:321" ht="15" customHeight="1">
      <c r="B249" s="311"/>
      <c r="C249" s="311"/>
      <c r="D249" s="312"/>
      <c r="E249" s="311"/>
      <c r="F249" s="312"/>
      <c r="G249" s="311"/>
      <c r="H249" s="311"/>
      <c r="I249" s="232"/>
      <c r="J249" s="311"/>
      <c r="K249" s="305" t="str">
        <f t="shared" si="741"/>
        <v/>
      </c>
      <c r="L249" s="313"/>
      <c r="M249" s="312"/>
      <c r="N249" s="311"/>
      <c r="O249" s="312"/>
      <c r="P249" s="311"/>
      <c r="Q249" s="305" t="str">
        <f t="shared" si="742"/>
        <v/>
      </c>
      <c r="R249" s="314"/>
      <c r="S249" s="450" t="str">
        <f t="shared" si="625"/>
        <v/>
      </c>
      <c r="T249" s="315"/>
      <c r="U249" s="315"/>
      <c r="W249" s="149" t="str">
        <f t="shared" si="626"/>
        <v xml:space="preserve"> </v>
      </c>
      <c r="X249" s="243" t="str">
        <f t="shared" si="627"/>
        <v xml:space="preserve"> </v>
      </c>
      <c r="Y249" s="150" t="str">
        <f t="shared" si="628"/>
        <v/>
      </c>
      <c r="Z249" s="149" t="str">
        <f t="shared" si="629"/>
        <v xml:space="preserve"> </v>
      </c>
      <c r="AA249" s="98" t="str">
        <f t="shared" si="630"/>
        <v xml:space="preserve"> </v>
      </c>
      <c r="AB249" s="153" t="str">
        <f t="shared" si="631"/>
        <v xml:space="preserve"> </v>
      </c>
      <c r="AC249" s="153" t="str">
        <f t="shared" si="632"/>
        <v xml:space="preserve"> </v>
      </c>
      <c r="AD249" s="148" t="str">
        <f t="shared" si="633"/>
        <v/>
      </c>
      <c r="AE249" s="149" t="str">
        <f t="shared" si="634"/>
        <v/>
      </c>
      <c r="AF249" s="151" t="str">
        <f t="shared" si="635"/>
        <v xml:space="preserve"> </v>
      </c>
      <c r="AG249" s="153" t="str">
        <f t="shared" si="636"/>
        <v xml:space="preserve"> </v>
      </c>
      <c r="AH249" s="98" t="str">
        <f t="shared" si="637"/>
        <v xml:space="preserve"> </v>
      </c>
      <c r="AI249" s="149" t="str">
        <f t="shared" si="638"/>
        <v xml:space="preserve"> </v>
      </c>
      <c r="AK249" s="144" t="str">
        <f t="shared" si="639"/>
        <v xml:space="preserve"> </v>
      </c>
      <c r="AL249" s="144"/>
      <c r="AM249" s="243" t="str">
        <f t="shared" si="640"/>
        <v xml:space="preserve"> </v>
      </c>
      <c r="AN249" s="149" t="str">
        <f t="shared" si="743"/>
        <v xml:space="preserve"> </v>
      </c>
      <c r="AO249" s="144" t="str">
        <f>IF(JB249&gt;0,IF(GI249=10,-R249*1.085*(Calculation!$F$6-Calculation!$F$13)*$S$14," "),"")</f>
        <v/>
      </c>
      <c r="AP249" s="144" t="str">
        <f t="shared" si="641"/>
        <v/>
      </c>
      <c r="AQ249" s="56" t="str">
        <f t="shared" si="642"/>
        <v/>
      </c>
      <c r="AR249" s="144" t="str">
        <f t="shared" si="643"/>
        <v/>
      </c>
      <c r="AS249" s="176" t="str">
        <f t="shared" si="644"/>
        <v/>
      </c>
      <c r="AT249" s="176" t="str">
        <f t="shared" si="744"/>
        <v xml:space="preserve"> </v>
      </c>
      <c r="AU249" s="176" t="str">
        <f t="shared" si="645"/>
        <v/>
      </c>
      <c r="AV249" s="177" t="str">
        <f t="shared" si="646"/>
        <v xml:space="preserve"> </v>
      </c>
      <c r="AW249" s="144" t="str">
        <f t="shared" si="647"/>
        <v xml:space="preserve"> </v>
      </c>
      <c r="AX249" s="144" t="str">
        <f t="shared" si="648"/>
        <v xml:space="preserve"> </v>
      </c>
      <c r="AY249" s="152" t="str">
        <f t="shared" si="649"/>
        <v xml:space="preserve"> </v>
      </c>
      <c r="AZ249" s="246" t="str">
        <f t="shared" si="650"/>
        <v/>
      </c>
      <c r="BA249" s="176" t="str">
        <f t="shared" si="651"/>
        <v xml:space="preserve"> </v>
      </c>
      <c r="BB249" s="176" t="str">
        <f t="shared" si="652"/>
        <v xml:space="preserve"> </v>
      </c>
      <c r="BC249" s="195"/>
      <c r="BD249" s="316"/>
      <c r="BE249" s="317"/>
      <c r="BF249" s="318"/>
      <c r="BG249" s="318"/>
      <c r="BH249" s="144" t="str">
        <f t="shared" si="821"/>
        <v xml:space="preserve"> </v>
      </c>
      <c r="BI249" s="176" t="str">
        <f t="shared" si="653"/>
        <v/>
      </c>
      <c r="BJ249" s="144" t="str">
        <f t="shared" si="822"/>
        <v/>
      </c>
      <c r="BK249" s="246" t="str">
        <f t="shared" si="654"/>
        <v/>
      </c>
      <c r="BL249" s="144" t="str">
        <f t="shared" si="823"/>
        <v/>
      </c>
      <c r="BM249" s="246" t="str">
        <f t="shared" si="655"/>
        <v/>
      </c>
      <c r="BN249" s="337" t="str">
        <f t="shared" si="745"/>
        <v/>
      </c>
      <c r="BO249" s="371" t="str">
        <f t="shared" si="746"/>
        <v/>
      </c>
      <c r="BP249" s="328" t="str">
        <f t="shared" si="824"/>
        <v xml:space="preserve"> </v>
      </c>
      <c r="BQ249" s="347" t="str">
        <f t="shared" si="747"/>
        <v xml:space="preserve"> </v>
      </c>
      <c r="BR249" s="353" t="str">
        <f t="shared" si="748"/>
        <v xml:space="preserve"> </v>
      </c>
      <c r="BS249" s="626" t="str">
        <f>IF(L249&gt;0,IF(Calculation!P249="M13",BR249*3.1416*(0.134^2)/(4*144),IF(Calculation!P249="M17",BR249*3.1416*(0.165^2)/(4*144),IF(Calculation!P249="M20",BR249*3.1416*(0.198^2)/(4*144),IF(Calculation!P249="M23",BR249*3.1416*(0.228^2)/(4*144),IF(Calculation!P249="M27",BR249*3.1416*(0.269^2)/(4*144),BR249*3.1416*(0.307^2)/(4*144))))))," ")</f>
        <v xml:space="preserve"> </v>
      </c>
      <c r="BT249" s="353" t="str">
        <f>IF(L249&gt;0,IF(BS249&gt;0,R249/Calculation!BS249,0)," ")</f>
        <v xml:space="preserve"> </v>
      </c>
      <c r="BU249" s="438" t="e">
        <f t="shared" ca="1" si="656"/>
        <v>#VALUE!</v>
      </c>
      <c r="BV249" s="449" t="e">
        <f ca="1">INDEX(INDIRECT(VLOOKUP(LEFT(BO249,7),CLU!$Z$3:$AH$18,2)),GN249,GR249)</f>
        <v>#N/A</v>
      </c>
      <c r="BW249" s="433" t="e">
        <f ca="1">INDEX(INDIRECT(VLOOKUP(LEFT(BO249,7),CLU!$Z$3:$AH$18,3)),GN249,GR249)</f>
        <v>#N/A</v>
      </c>
      <c r="BX249" s="433" t="e">
        <f ca="1">INDEX(INDIRECT(VLOOKUP(LEFT(BO249,7),CLU!$Z$3:$AH$18,4)),GN249,GR249)</f>
        <v>#N/A</v>
      </c>
      <c r="BY249" s="433" t="e">
        <f ca="1">INDEX(INDIRECT(VLOOKUP(LEFT(BO249,7),CLU!$Z$3:$AH$18,9)),((M249-2)*(6-COUNTBLANK(GT249:GY249)))+GJ249)</f>
        <v>#N/A</v>
      </c>
      <c r="BZ249" s="426" t="e">
        <f t="shared" ca="1" si="749"/>
        <v>#N/A</v>
      </c>
      <c r="CA249" s="424" t="e">
        <f t="shared" ca="1" si="750"/>
        <v>#N/A</v>
      </c>
      <c r="CB249" s="429" t="e">
        <f ca="1">INDEX(INDIRECT(VLOOKUP(LEFT(BO249,7),CLU!$Z$3:$AH$18,2)),GN249,GS249)</f>
        <v>#N/A</v>
      </c>
      <c r="CC249" s="342" t="e">
        <f ca="1">INDEX(INDIRECT(VLOOKUP(LEFT(BO249,7),CLU!$Z$3:$AH$18,3)),GN249,GS249)</f>
        <v>#N/A</v>
      </c>
      <c r="CD249" s="342" t="e">
        <f ca="1">INDEX(INDIRECT(VLOOKUP(LEFT(BO249,7),CLU!$Z$3:$AH$18,4)),GN249,GS249)</f>
        <v>#N/A</v>
      </c>
      <c r="CE249" s="426" t="e">
        <f t="shared" ca="1" si="751"/>
        <v>#N/A</v>
      </c>
      <c r="CF249" s="440">
        <f t="shared" si="752"/>
        <v>0</v>
      </c>
      <c r="CG249" s="431" t="e">
        <f ca="1">INDEX(INDIRECT(VLOOKUP(LEFT(BO249,7),CLU!$Z$3:$AH$18,2)),GQ249,GR249)</f>
        <v>#N/A</v>
      </c>
      <c r="CH249" s="431" t="e">
        <f ca="1">INDEX(INDIRECT(VLOOKUP(LEFT(BO249,7),CLU!$Z$3:$AH$18,3)),GQ249,GR249)</f>
        <v>#N/A</v>
      </c>
      <c r="CI249" s="431" t="e">
        <f ca="1">INDEX(INDIRECT(VLOOKUP(LEFT(BO249,7),CLU!$Z$3:$AH$18,4)),GQ249,GR249)</f>
        <v>#N/A</v>
      </c>
      <c r="CJ249" s="448" t="e">
        <f t="shared" ca="1" si="753"/>
        <v>#N/A</v>
      </c>
      <c r="CK249" s="431" t="e">
        <f t="shared" ca="1" si="754"/>
        <v>#N/A</v>
      </c>
      <c r="CL249" s="440" t="e">
        <f t="shared" ca="1" si="755"/>
        <v>#N/A</v>
      </c>
      <c r="CM249" s="431" t="e">
        <f ca="1">INDEX(INDIRECT(VLOOKUP(LEFT(BO249,7),CLU!$Z$3:$AH$18,2)),GQ249,GS249)</f>
        <v>#N/A</v>
      </c>
      <c r="CN249" s="431" t="e">
        <f ca="1">INDEX(INDIRECT(VLOOKUP(LEFT(BO249,7),CLU!$Z$3:$AH$18,3)),GQ249,GS249)</f>
        <v>#N/A</v>
      </c>
      <c r="CO249" s="431" t="e">
        <f ca="1">INDEX(INDIRECT(VLOOKUP(LEFT(BO249,7),CLU!$Z$3:$AH$18,4)),GQ249,GS249)</f>
        <v>#N/A</v>
      </c>
      <c r="CP249" s="431" t="e">
        <f t="shared" ca="1" si="756"/>
        <v>#N/A</v>
      </c>
      <c r="CQ249" s="440">
        <f t="shared" si="757"/>
        <v>0</v>
      </c>
      <c r="CR249" s="51" t="e">
        <f t="shared" ca="1" si="758"/>
        <v>#N/A</v>
      </c>
      <c r="CS249" s="439" t="e">
        <f t="shared" ca="1" si="759"/>
        <v>#VALUE!</v>
      </c>
      <c r="CT249" s="51" t="e">
        <f t="shared" ca="1" si="760"/>
        <v>#VALUE!</v>
      </c>
      <c r="CU249" s="10"/>
      <c r="CV249" s="51" t="e">
        <f t="shared" ca="1" si="657"/>
        <v>#VALUE!</v>
      </c>
      <c r="CW249" s="51">
        <f t="shared" si="761"/>
        <v>0</v>
      </c>
      <c r="CX249" s="439" t="e">
        <f t="shared" ca="1" si="762"/>
        <v>#VALUE!</v>
      </c>
      <c r="CY249" s="51" t="e">
        <f t="shared" ca="1" si="763"/>
        <v>#VALUE!</v>
      </c>
      <c r="CZ249" s="10"/>
      <c r="DA249" s="51" t="e">
        <f t="shared" ca="1" si="764"/>
        <v>#VALUE!</v>
      </c>
      <c r="DB249" s="347" t="e">
        <f ca="1">INDEX(INDIRECT(VLOOKUP(LEFT(BO249,7),CLU!$Z$3:$AI$18,10)),((M249-2)*(6-COUNTBLANK(GT249:GY249)))+GJ249)*LI249</f>
        <v>#N/A</v>
      </c>
      <c r="DC249" s="347" t="str">
        <f>IF(L249&gt;0,((R249/Worksheet!$I$15)/DB249)^2," ")</f>
        <v xml:space="preserve"> </v>
      </c>
      <c r="DD249" s="602" t="str">
        <f t="shared" si="765"/>
        <v xml:space="preserve"> </v>
      </c>
      <c r="DE249" s="347" t="str">
        <f t="shared" si="658"/>
        <v xml:space="preserve"> </v>
      </c>
      <c r="DF249" s="356" t="e">
        <f ca="1">INDEX(INDIRECT(VLOOKUP(LEFT(BO249,7),CLU!$Z$3:$AH$18,8)),((M249-2)*(6-COUNTBLANK(GT249:GY249)))+GJ249)</f>
        <v>#N/A</v>
      </c>
      <c r="DG249" s="347" t="str">
        <f t="shared" si="659"/>
        <v xml:space="preserve"> </v>
      </c>
      <c r="DH249" s="357" t="str">
        <f t="shared" si="660"/>
        <v xml:space="preserve"> </v>
      </c>
      <c r="DI249" s="355" t="str">
        <f t="shared" si="661"/>
        <v xml:space="preserve"> </v>
      </c>
      <c r="DJ249" s="245" t="e">
        <f ca="1">INDEX(INDIRECT(VLOOKUP(LEFT(BO249,7),CLU!$Z$3:$AH$18,5)),GL249,GK249)</f>
        <v>#N/A</v>
      </c>
      <c r="DK249" s="245" t="e">
        <f ca="1">INDEX(INDIRECT(VLOOKUP(LEFT(BO249,7),CLU!$Z$3:$AH$18,6)),GL249,GK249)</f>
        <v>#N/A</v>
      </c>
      <c r="DL249" s="355">
        <f>(Calculation!R249*0.69143*(Calculation!$BQ$8-Calculation!$F$8))*$S$14</f>
        <v>0</v>
      </c>
      <c r="DM249" s="359" t="e">
        <f t="shared" si="766"/>
        <v>#VALUE!</v>
      </c>
      <c r="DN249" s="611">
        <f t="shared" si="767"/>
        <v>0</v>
      </c>
      <c r="DO249" s="359">
        <f t="shared" si="768"/>
        <v>100</v>
      </c>
      <c r="DP249" s="359">
        <f t="shared" si="769"/>
        <v>0</v>
      </c>
      <c r="DQ249" s="360"/>
      <c r="DR249" s="245" t="e">
        <f ca="1">INDEX(INDIRECT(VLOOKUP(LEFT(BO249,7),CLU!$Z$3:$AH$18,7)),M249-1,1)</f>
        <v>#N/A</v>
      </c>
      <c r="DS249" s="245" t="e">
        <f ca="1">INDEX(INDIRECT(VLOOKUP(LEFT(BO249,7),CLU!$Z$3:$AH$18,7)),M249-1,2)</f>
        <v>#N/A</v>
      </c>
      <c r="DT249" s="245" t="e">
        <f ca="1">INDEX(INDIRECT(VLOOKUP(LEFT(BO249,7),CLU!$Z$3:$AH$18,7)),M249-1,3)</f>
        <v>#N/A</v>
      </c>
      <c r="DU249" s="245" t="e">
        <f ca="1">INDEX(INDIRECT(VLOOKUP(LEFT(BO249,7),CLU!$Z$3:$AH$18,7)),M249-1,4)</f>
        <v>#N/A</v>
      </c>
      <c r="DV249" s="361" t="e">
        <f ca="1">INDEX(INDIRECT(VLOOKUP(LEFT(BO249,7),CLU!$Z$3:$AH$18,7)),M249-1,4+LEFT(DZ249,1)*0.5)</f>
        <v>#N/A</v>
      </c>
      <c r="DW249" s="245" t="e">
        <f ca="1">INDEX(INDIRECT(VLOOKUP(LEFT(BO249,7),CLU!$Z$3:$AH$18,7)),M249-1,8)</f>
        <v>#N/A</v>
      </c>
      <c r="DX249" s="361" t="str">
        <f t="shared" si="662"/>
        <v xml:space="preserve"> </v>
      </c>
      <c r="DY249" s="361" t="str">
        <f t="shared" si="663"/>
        <v xml:space="preserve"> </v>
      </c>
      <c r="DZ249" s="361" t="str">
        <f t="shared" si="664"/>
        <v xml:space="preserve"> </v>
      </c>
      <c r="EA249" s="362" t="str">
        <f t="shared" si="665"/>
        <v xml:space="preserve"> </v>
      </c>
      <c r="EB249" s="624" t="str">
        <f t="shared" si="770"/>
        <v xml:space="preserve"> </v>
      </c>
      <c r="EC249" s="361" t="e">
        <f ca="1">INDEX(INDIRECT(VLOOKUP(LEFT(BO249,7),CLU!$Z$3:$AH$18,7)),M249-1,4+LEFT(DZ249,1)*0.5)</f>
        <v>#N/A</v>
      </c>
      <c r="ED249" s="362" t="str">
        <f t="shared" si="666"/>
        <v xml:space="preserve"> </v>
      </c>
      <c r="EE249" s="361" t="str">
        <f t="shared" si="667"/>
        <v xml:space="preserve"> </v>
      </c>
      <c r="EF249" s="362" t="str">
        <f>IF(L249&gt;0,IF(BR249&gt;0,IF(EE249="2P",IF(Calculation!DZ249="2P",IF(Calculation!DS249=13.75,IF(Calculation!DR249=13,Worksheet!$BD$43,IF(Calculation!DR249=37,Worksheet!$BD$44,Worksheet!$BD$45)),IF(Calculation!DS249=10,IF(Calculation!DR249=18,Worksheet!$BD$29,IF(Calculation!DR249=30,Worksheet!$BD$30,IF(Calculation!DR249=42,Worksheet!$BD$31,IF(Calculation!DR249=54,Worksheet!$BD$32,IF(Calculation!DR249=66,Worksheet!$BD$33,IF(Calculation!DR249=78,Worksheet!$BD$34,IF(Calculation!DR249=90,Worksheet!$BD$35,IF(Calculation!DR249=102,Worksheet!$BD$36,Worksheet!$BD$37)))))))),IF(Calculation!DS249=12.5,IF(Calculation!DR249=18,Worksheet!$BD$38,IF(Calculation!DR249=Worksheet!$BD$39,IF(Calculation!DR249=42,Worksheet!$BD$40,IF(Calculation!DR249=54,Worksheet!$BD$41,Worksheet!$BD$42)))),IF(Calculation!DR249=18,Worksheet!$BD$11,IF(Calculation!DR249=30,Worksheet!$BD$12,IF(Calculation!DR249=42,Worksheet!$BD$13,IF(Calculation!DR249=54,Worksheet!$BD$14,IF(Calculation!DR249=66,Worksheet!$BD$15,IF(Calculation!DR249=78,Worksheet!$BD$16,IF(Calculation!DR249=90,Worksheet!$BD$17,IF(Calculation!DR249=102,Worksheet!$BD$18,Worksheet!$BD$19))))))))))),IF(Calculation!DS249=13.75,IF(Calculation!DR249=13,Worksheet!$BD$78,IF(Calculation!DR249=37,Worksheet!$BD$79,Worksheet!$BD$80)),IF(Calculation!DS249=10,IF(Calculation!DR249=18,Worksheet!$BD$64,IF(Calculation!DR249=30,Worksheet!$BD$65,IF(Calculation!DR249=42,Worksheet!$BD$66,IF(Calculation!DR249=54,Worksheet!$BD$68,IF(Calculation!DR249=66,Worksheet!$BD$68,IF(Calculation!DR249=78,Worksheet!$BD$69,IF(Calculation!DR249=90,Worksheet!$BD$70,IF(Calculation!DR249=102,Worksheet!$BD$71,Worksheet!$BD$72)))))))),IF(Calculation!DS249=12.5,IF(Calculation!DR249=18,Worksheet!$BD$73,IF(Calculation!DR249=Worksheet!$BD$74,IF(Calculation!DR249=42,Worksheet!$BD$75,IF(Calculation!DR249=54,Worksheet!$BD$76,Worksheet!$BD$77)))),IF(Calculation!DR249=18,Worksheet!$BD$55,IF(Calculation!DR249=30,Worksheet!$BD$56,IF(Calculation!DR249=42,Worksheet!$BD$57,IF(Calculation!DR249=54,Worksheet!$BD$58,IF(Calculation!DR249=66,Worksheet!$BD$59,IF(Calculation!DR249=78,Worksheet!$BD$60,IF(Calculation!DR249=90,Worksheet!$BD$61,IF(Calculation!DR249=102,Worksheet!$BD$62,Worksheet!$BD$63)))))))))))),5),0)," ")</f>
        <v xml:space="preserve"> </v>
      </c>
      <c r="EG249" s="361" t="str">
        <f t="shared" si="668"/>
        <v xml:space="preserve"> </v>
      </c>
      <c r="EH249" s="361" t="e">
        <f ca="1">INDEX(INDIRECT(VLOOKUP(LEFT(BO249,7),CLU!$Z$3:$AH$18,7)),M249-1,3+LEFT(DZ249,1))</f>
        <v>#N/A</v>
      </c>
      <c r="EI249" s="362" t="str">
        <f t="shared" si="669"/>
        <v xml:space="preserve"> </v>
      </c>
      <c r="EJ249" s="363" t="str">
        <f t="shared" si="670"/>
        <v xml:space="preserve"> </v>
      </c>
      <c r="EK249" s="363" t="str">
        <f t="shared" si="671"/>
        <v xml:space="preserve"> </v>
      </c>
      <c r="EL249" s="363" t="str">
        <f t="shared" si="672"/>
        <v xml:space="preserve"> </v>
      </c>
      <c r="EM249" s="362" t="str">
        <f>IF(L249&gt;0,IF(BR249&gt;0,(Calculation!T249/ED249)^2,0)," ")</f>
        <v xml:space="preserve"> </v>
      </c>
      <c r="EN249" s="362" t="str">
        <f>IF(L249&gt;0,IF(O249="2 Pipe (Cooling)","N/A",IF(BR249&gt;0,(Calculation!U249/EI249)^2,0))," ")</f>
        <v xml:space="preserve"> </v>
      </c>
      <c r="EO249" s="361" t="str">
        <f t="shared" si="673"/>
        <v/>
      </c>
      <c r="EP249" s="361" t="str">
        <f t="shared" si="674"/>
        <v/>
      </c>
      <c r="EQ249" s="361" t="str">
        <f t="shared" si="675"/>
        <v/>
      </c>
      <c r="ER249" s="361" t="str">
        <f t="shared" si="676"/>
        <v/>
      </c>
      <c r="ES249" s="361" t="str">
        <f t="shared" si="677"/>
        <v/>
      </c>
      <c r="ET249" s="361" t="str">
        <f t="shared" si="678"/>
        <v/>
      </c>
      <c r="EU249" s="361" t="str">
        <f t="shared" si="679"/>
        <v/>
      </c>
      <c r="EV249" s="361" t="str">
        <f t="shared" si="680"/>
        <v/>
      </c>
      <c r="EW249" s="361" t="str">
        <f t="shared" si="681"/>
        <v/>
      </c>
      <c r="EX249" s="361" t="str">
        <f t="shared" si="771"/>
        <v>1 slot, 1 way</v>
      </c>
      <c r="EY249" s="361" t="str">
        <f t="shared" si="772"/>
        <v xml:space="preserve"> </v>
      </c>
      <c r="EZ249" s="361" t="str">
        <f t="shared" si="773"/>
        <v xml:space="preserve"> </v>
      </c>
      <c r="FA249" s="361" t="str">
        <f t="shared" si="774"/>
        <v xml:space="preserve"> </v>
      </c>
      <c r="FB249" s="361" t="str">
        <f t="shared" si="775"/>
        <v xml:space="preserve"> </v>
      </c>
      <c r="FC249" s="361"/>
      <c r="FD249" s="361" t="str">
        <f>IF(J249&gt;0,IF(Calculation!R249&lt;=70,4,IF(Calculation!R249&lt;=110,5,IF(Calculation!R249&lt;=160,6,IF(Calculation!R249&lt;=300,8,"10 EO")))),"")</f>
        <v/>
      </c>
      <c r="FE249" s="361" t="str">
        <f t="shared" si="776"/>
        <v/>
      </c>
      <c r="FF249" s="361" t="str">
        <f t="shared" si="777"/>
        <v/>
      </c>
      <c r="FG249" s="361" t="e">
        <f t="shared" si="682"/>
        <v>#N/A</v>
      </c>
      <c r="FH249" s="361">
        <f t="shared" si="683"/>
        <v>0</v>
      </c>
      <c r="FI249" s="361" t="e">
        <f t="shared" si="684"/>
        <v>#DIV/0!</v>
      </c>
      <c r="FJ249" s="361"/>
      <c r="FK249" s="356" t="e">
        <f t="shared" si="685"/>
        <v>#VALUE!</v>
      </c>
      <c r="FL249" s="361"/>
      <c r="FM249" s="361"/>
      <c r="FN249" s="362" t="str">
        <f t="shared" si="778"/>
        <v xml:space="preserve"> </v>
      </c>
      <c r="FO249" s="362" t="str">
        <f t="shared" si="779"/>
        <v xml:space="preserve"> </v>
      </c>
      <c r="FP249" s="362">
        <f t="shared" si="780"/>
        <v>0</v>
      </c>
      <c r="FQ249" s="361">
        <f t="shared" si="686"/>
        <v>0</v>
      </c>
      <c r="FR249" s="362" t="str">
        <f>IF(L249&gt;0,IF(J249="CBAL2",Worksheet!$P$67,IF(J249="CBE2-24",Worksheet!$Q$67,IF(J249="CBAM",Worksheet!$R$67,IF(J249="CBLV",Worksheet!$S$67,IF(J249="CBAB",Worksheet!$U$67,IF(J249="CBAW",Worksheet!$X$67,IF(J249="CBE2-12",Worksheet!$Y$67,IF(J249="CBAL2",Worksheet!$Z$67,"N/A"))))))))," ")</f>
        <v xml:space="preserve"> </v>
      </c>
      <c r="FS249" s="362" t="str">
        <f>IF(L249&gt;0,IF(J249="CBAL2",Worksheet!$P$68,IF(J249="CBE2-24",Worksheet!$Q$68,IF(J249="CBAM",Worksheet!$R$68,IF(J249="CBLV",Worksheet!$S$68,IF(J249="CBAB",Worksheet!$U$68,IF(J249="CBAW",Worksheet!$X$68,IF(J249="CBE2-12",Worksheet!$Y$68,IF(J249="CBAL2",Worksheet!$Z$68,"N/A"))))))))," ")</f>
        <v xml:space="preserve"> </v>
      </c>
      <c r="FT249" s="362" t="str">
        <f>IF(L249&gt;0,IF(J249="CBAL2",Worksheet!$P$69,IF(J249="CBE2-24",Worksheet!$Q$69,IF(J249="CBAM",Worksheet!$R$69,IF(J249="CBLV",Worksheet!$S$69,IF(J249="CBAB",Worksheet!$U$69,IF(J249="CBAW",Worksheet!$X$69,IF(J249="CBE2-12",Worksheet!$Y$69,IF(J249="CBAL2",Worksheet!$Z$69,"N/A"))))))))," ")</f>
        <v xml:space="preserve"> </v>
      </c>
      <c r="FU249" s="361" t="str">
        <f t="shared" si="781"/>
        <v xml:space="preserve"> </v>
      </c>
      <c r="FV249" s="362" t="str">
        <f t="shared" si="782"/>
        <v xml:space="preserve"> </v>
      </c>
      <c r="FW249" s="362" t="str">
        <f t="shared" si="783"/>
        <v xml:space="preserve"> </v>
      </c>
      <c r="FX249" s="362" t="str">
        <f t="shared" si="784"/>
        <v xml:space="preserve"> </v>
      </c>
      <c r="FY249" s="355" t="str">
        <f t="shared" si="785"/>
        <v xml:space="preserve"> </v>
      </c>
      <c r="FZ249" s="361" t="str">
        <f t="shared" si="786"/>
        <v xml:space="preserve"> </v>
      </c>
      <c r="GA249" s="347" t="str">
        <f t="shared" si="787"/>
        <v xml:space="preserve"> </v>
      </c>
      <c r="GB249" s="355" t="str">
        <f t="shared" si="788"/>
        <v xml:space="preserve"> </v>
      </c>
      <c r="GC249" s="328" t="str">
        <f t="shared" si="789"/>
        <v xml:space="preserve"> </v>
      </c>
      <c r="GD249" s="361" t="str">
        <f t="shared" si="790"/>
        <v xml:space="preserve"> </v>
      </c>
      <c r="GE249" s="347" t="str">
        <f t="shared" si="791"/>
        <v xml:space="preserve"> </v>
      </c>
      <c r="GF249" s="361" t="str">
        <f t="shared" si="792"/>
        <v xml:space="preserve"> </v>
      </c>
      <c r="GG249" s="347" t="str">
        <f t="shared" si="793"/>
        <v xml:space="preserve"> </v>
      </c>
      <c r="GH249" s="364">
        <f t="shared" si="687"/>
        <v>0</v>
      </c>
      <c r="GI249" s="362">
        <f t="shared" si="794"/>
        <v>2</v>
      </c>
      <c r="GJ249" s="433" t="e">
        <f>IF(6-COUNTBLANK(GT249:GY249)=4,MATCH(MID(BO249,9,3),CLU!$H$16:$K$16),MATCH(MID(BO249,9,3),CLU!$H$13:$M$13))</f>
        <v>#N/A</v>
      </c>
      <c r="GK249" s="433" t="e">
        <f>HLOOKUP(VALUE(BP249),CLU!$H$9:$M$10,2)</f>
        <v>#VALUE!</v>
      </c>
      <c r="GL249" s="433" t="e">
        <f ca="1">MATCH(BU249,CLU!$H$2:$V$2,1)</f>
        <v>#VALUE!</v>
      </c>
      <c r="GM249" s="433" t="e">
        <f t="shared" ca="1" si="795"/>
        <v>#VALUE!</v>
      </c>
      <c r="GN249" s="433" t="e">
        <f t="shared" ca="1" si="796"/>
        <v>#VALUE!</v>
      </c>
      <c r="GO249" s="433" t="e">
        <f t="shared" ca="1" si="797"/>
        <v>#VALUE!</v>
      </c>
      <c r="GP249" s="433" t="e">
        <f t="shared" ca="1" si="798"/>
        <v>#VALUE!</v>
      </c>
      <c r="GQ249" s="433" t="e">
        <f t="shared" ca="1" si="799"/>
        <v>#VALUE!</v>
      </c>
      <c r="GR249" s="433" t="e">
        <f ca="1">MATCH(T249,INDIRECT(VLOOKUP(CONCATENATE(LEFT(BO249,7),"-",MID(BO249,13,1)),CLU!$P$3:$Q$16,2)),1)</f>
        <v>#N/A</v>
      </c>
      <c r="GS249" s="433" t="e">
        <f ca="1">MATCH(U249,INDIRECT(VLOOKUP(CONCATENATE(LEFT(BO249,7),"-",MID(BO249,13,1)),CLU!$P$3:$Q$16,2)),1)</f>
        <v>#N/A</v>
      </c>
      <c r="GT249" s="347" t="s">
        <v>512</v>
      </c>
      <c r="GU249" s="97" t="s">
        <v>513</v>
      </c>
      <c r="GV249" s="97" t="str">
        <f t="shared" si="800"/>
        <v>M23</v>
      </c>
      <c r="GW249" s="97" t="str">
        <f t="shared" si="801"/>
        <v>M31</v>
      </c>
      <c r="GX249" s="97" t="str">
        <f t="shared" si="802"/>
        <v/>
      </c>
      <c r="GY249" s="97" t="str">
        <f t="shared" si="803"/>
        <v/>
      </c>
      <c r="GZ249" s="481"/>
      <c r="HA249" s="288"/>
      <c r="HB249" s="240"/>
      <c r="HC249" s="240"/>
      <c r="HD249" s="240"/>
      <c r="HE249" s="240"/>
      <c r="HF249" s="240"/>
      <c r="HG249" s="240"/>
      <c r="HH249" s="240"/>
      <c r="HI249" s="240"/>
      <c r="HJ249" s="240"/>
      <c r="HK249" s="240"/>
      <c r="HL249" s="240"/>
      <c r="HM249" s="240"/>
      <c r="HN249" s="240"/>
      <c r="HO249" s="240"/>
      <c r="HP249" s="240"/>
      <c r="HQ249" s="240"/>
      <c r="HR249" s="240"/>
      <c r="HS249" s="240"/>
      <c r="HT249" s="240"/>
      <c r="HU249" s="240"/>
      <c r="HV249" s="245"/>
      <c r="HW249" s="245" t="b">
        <v>1</v>
      </c>
      <c r="HX249" s="245" t="str">
        <f t="shared" si="688"/>
        <v/>
      </c>
      <c r="HY249" s="245" t="e">
        <f t="shared" si="689"/>
        <v>#DIV/0!</v>
      </c>
      <c r="HZ249" s="245" t="e">
        <f t="shared" si="690"/>
        <v>#DIV/0!</v>
      </c>
      <c r="IA249" s="245">
        <f t="shared" si="691"/>
        <v>0</v>
      </c>
      <c r="IB249" s="245"/>
      <c r="IC249" t="b">
        <f t="shared" si="692"/>
        <v>1</v>
      </c>
      <c r="ID249" s="245" t="b">
        <f t="shared" si="693"/>
        <v>1</v>
      </c>
      <c r="IE249" s="245" t="b">
        <f t="shared" si="694"/>
        <v>1</v>
      </c>
      <c r="IF249" s="245" t="b">
        <f t="shared" si="695"/>
        <v>0</v>
      </c>
      <c r="IG249" s="245" t="b">
        <f t="shared" si="696"/>
        <v>1</v>
      </c>
      <c r="IH249" s="245" t="b">
        <f t="shared" si="697"/>
        <v>1</v>
      </c>
      <c r="II249" s="245">
        <f t="shared" si="804"/>
        <v>0</v>
      </c>
      <c r="IJ249" s="245" t="e">
        <f t="shared" si="698"/>
        <v>#VALUE!</v>
      </c>
      <c r="IK249" s="245" t="e">
        <f t="shared" si="699"/>
        <v>#VALUE!</v>
      </c>
      <c r="IL249" s="245"/>
      <c r="IM249" s="245" t="e">
        <f t="shared" si="805"/>
        <v>#N/A</v>
      </c>
      <c r="IN249" s="245" t="e">
        <f t="shared" si="806"/>
        <v>#N/A</v>
      </c>
      <c r="IO249" s="245"/>
      <c r="IP249" s="245"/>
      <c r="IQ249" s="245" t="str">
        <f t="shared" si="700"/>
        <v/>
      </c>
      <c r="IR249" s="245" t="str">
        <f>IF(J249="","",VLOOKUP(J249,Worksheet!$R$4:$T$14,2))</f>
        <v/>
      </c>
      <c r="IS249" s="245"/>
      <c r="IT249" s="245">
        <f t="shared" si="701"/>
        <v>0</v>
      </c>
      <c r="IU249" s="245">
        <f t="shared" si="702"/>
        <v>0</v>
      </c>
      <c r="IV249" s="245">
        <f t="shared" si="703"/>
        <v>0</v>
      </c>
      <c r="IW249" s="245">
        <f t="shared" si="704"/>
        <v>0</v>
      </c>
      <c r="IX249" s="245">
        <f t="shared" si="807"/>
        <v>0</v>
      </c>
      <c r="IY249" s="245">
        <f t="shared" si="705"/>
        <v>0</v>
      </c>
      <c r="IZ249" s="245">
        <f t="shared" si="706"/>
        <v>0</v>
      </c>
      <c r="JA249">
        <f t="shared" si="707"/>
        <v>0</v>
      </c>
      <c r="JB249">
        <f t="shared" si="808"/>
        <v>0</v>
      </c>
      <c r="JC249">
        <f t="shared" si="708"/>
        <v>0</v>
      </c>
      <c r="JD249">
        <f t="shared" si="709"/>
        <v>0</v>
      </c>
      <c r="JE249">
        <f t="shared" si="710"/>
        <v>0</v>
      </c>
      <c r="JF249">
        <f t="shared" si="711"/>
        <v>0</v>
      </c>
      <c r="JG249">
        <f t="shared" si="712"/>
        <v>0</v>
      </c>
      <c r="JH249">
        <f t="shared" si="713"/>
        <v>0</v>
      </c>
      <c r="JI249">
        <f t="shared" si="714"/>
        <v>0</v>
      </c>
      <c r="JJ249" s="447">
        <f t="shared" si="715"/>
        <v>0</v>
      </c>
      <c r="JK249" s="447">
        <f t="shared" si="716"/>
        <v>0</v>
      </c>
      <c r="JL249">
        <f t="shared" si="717"/>
        <v>0</v>
      </c>
      <c r="JM249" s="245" t="str">
        <f>IFERROR(VLOOKUP(MATCH(BN249,#REF!,0),#REF!,7),"")</f>
        <v/>
      </c>
      <c r="JN249" t="e">
        <f>HLOOKUP(LEFT(BO249,7),Discharge_Area,MATCH(JO249,LookUps!$B$130:$B$149,1)+2)</f>
        <v>#N/A</v>
      </c>
      <c r="JO249" t="str">
        <f t="shared" si="718"/>
        <v>- S</v>
      </c>
      <c r="JP249" t="e">
        <f>HLOOKUP(LEFT(BO249,7),Discharge_Area,MATCH(JO249,LookUps!$B$130:$B$149,1)+2)</f>
        <v>#N/A</v>
      </c>
      <c r="JQ249" t="e">
        <f t="shared" si="719"/>
        <v>#N/A</v>
      </c>
      <c r="JR249" t="e">
        <f t="shared" si="720"/>
        <v>#N/A</v>
      </c>
      <c r="JS249" t="e">
        <f t="shared" si="721"/>
        <v>#N/A</v>
      </c>
      <c r="JT249" s="532" t="str">
        <f t="shared" si="722"/>
        <v xml:space="preserve"> </v>
      </c>
      <c r="JU249" s="532" t="str">
        <f t="shared" si="723"/>
        <v xml:space="preserve"> </v>
      </c>
      <c r="JV249" s="533" t="str">
        <f t="shared" si="724"/>
        <v xml:space="preserve"> </v>
      </c>
      <c r="JW249" s="534">
        <f t="shared" si="725"/>
        <v>0</v>
      </c>
      <c r="JX249" s="535" t="str">
        <f t="shared" si="809"/>
        <v xml:space="preserve"> </v>
      </c>
      <c r="JY249" s="535" t="str">
        <f t="shared" si="810"/>
        <v xml:space="preserve"> </v>
      </c>
      <c r="JZ249" s="535" t="str">
        <f t="shared" si="811"/>
        <v xml:space="preserve"> </v>
      </c>
      <c r="KA249" s="536" t="str">
        <f t="shared" si="726"/>
        <v xml:space="preserve"> </v>
      </c>
      <c r="KB249" s="535" t="e">
        <f t="shared" si="812"/>
        <v>#VALUE!</v>
      </c>
      <c r="KC249" s="535" t="str">
        <f t="shared" si="727"/>
        <v/>
      </c>
      <c r="KD249" s="537" t="str">
        <f t="shared" si="813"/>
        <v xml:space="preserve"> </v>
      </c>
      <c r="KE249" s="537" t="str">
        <f t="shared" si="814"/>
        <v xml:space="preserve"> </v>
      </c>
      <c r="KF249" s="534">
        <f t="shared" si="728"/>
        <v>0</v>
      </c>
      <c r="KG249" s="535" t="str">
        <f t="shared" si="729"/>
        <v xml:space="preserve"> </v>
      </c>
      <c r="KH249" s="535" t="str">
        <f t="shared" si="730"/>
        <v xml:space="preserve"> </v>
      </c>
      <c r="KI249" s="535" t="str">
        <f t="shared" si="731"/>
        <v xml:space="preserve"> </v>
      </c>
      <c r="KJ249" s="536" t="str">
        <f t="shared" si="732"/>
        <v xml:space="preserve"> </v>
      </c>
      <c r="KK249" s="535" t="str">
        <f t="shared" si="815"/>
        <v xml:space="preserve"> </v>
      </c>
      <c r="KL249" s="535" t="str">
        <f t="shared" si="816"/>
        <v xml:space="preserve"> </v>
      </c>
      <c r="KM249" s="537" t="str">
        <f t="shared" si="733"/>
        <v xml:space="preserve"> </v>
      </c>
      <c r="KN249" s="537" t="str">
        <f t="shared" si="817"/>
        <v xml:space="preserve"> </v>
      </c>
      <c r="KP249">
        <f t="shared" si="734"/>
        <v>0</v>
      </c>
      <c r="LA249" t="e">
        <f t="shared" si="735"/>
        <v>#VALUE!</v>
      </c>
      <c r="LB249" t="e">
        <f t="shared" si="736"/>
        <v>#VALUE!</v>
      </c>
      <c r="LC249" t="e">
        <f t="shared" si="737"/>
        <v>#VALUE!</v>
      </c>
      <c r="LD249" t="e">
        <f t="shared" si="738"/>
        <v>#VALUE!</v>
      </c>
      <c r="LE249" t="e">
        <f t="shared" si="818"/>
        <v>#VALUE!</v>
      </c>
      <c r="LF249">
        <f t="shared" si="739"/>
        <v>0</v>
      </c>
      <c r="LG249" t="e">
        <f t="shared" si="819"/>
        <v>#VALUE!</v>
      </c>
      <c r="LH249" t="str">
        <f t="shared" si="740"/>
        <v xml:space="preserve"> </v>
      </c>
      <c r="LI249">
        <f t="shared" si="820"/>
        <v>1</v>
      </c>
    </row>
    <row r="250" spans="2:321" ht="15" customHeight="1">
      <c r="B250" s="311"/>
      <c r="C250" s="311"/>
      <c r="D250" s="312"/>
      <c r="E250" s="311"/>
      <c r="F250" s="312"/>
      <c r="G250" s="311"/>
      <c r="H250" s="311"/>
      <c r="I250" s="232"/>
      <c r="J250" s="311"/>
      <c r="K250" s="305" t="str">
        <f t="shared" si="741"/>
        <v/>
      </c>
      <c r="L250" s="313"/>
      <c r="M250" s="312"/>
      <c r="N250" s="311"/>
      <c r="O250" s="312"/>
      <c r="P250" s="311"/>
      <c r="Q250" s="305" t="str">
        <f t="shared" si="742"/>
        <v/>
      </c>
      <c r="R250" s="314"/>
      <c r="S250" s="450" t="str">
        <f t="shared" si="625"/>
        <v/>
      </c>
      <c r="T250" s="315"/>
      <c r="U250" s="315"/>
      <c r="W250" s="149" t="str">
        <f t="shared" si="626"/>
        <v xml:space="preserve"> </v>
      </c>
      <c r="X250" s="243" t="str">
        <f t="shared" si="627"/>
        <v xml:space="preserve"> </v>
      </c>
      <c r="Y250" s="150" t="str">
        <f t="shared" si="628"/>
        <v/>
      </c>
      <c r="Z250" s="149" t="str">
        <f t="shared" si="629"/>
        <v xml:space="preserve"> </v>
      </c>
      <c r="AA250" s="98" t="str">
        <f t="shared" si="630"/>
        <v xml:space="preserve"> </v>
      </c>
      <c r="AB250" s="153" t="str">
        <f t="shared" si="631"/>
        <v xml:space="preserve"> </v>
      </c>
      <c r="AC250" s="153" t="str">
        <f t="shared" si="632"/>
        <v xml:space="preserve"> </v>
      </c>
      <c r="AD250" s="148" t="str">
        <f t="shared" si="633"/>
        <v/>
      </c>
      <c r="AE250" s="149" t="str">
        <f t="shared" si="634"/>
        <v/>
      </c>
      <c r="AF250" s="151" t="str">
        <f t="shared" si="635"/>
        <v xml:space="preserve"> </v>
      </c>
      <c r="AG250" s="153" t="str">
        <f t="shared" si="636"/>
        <v xml:space="preserve"> </v>
      </c>
      <c r="AH250" s="98" t="str">
        <f t="shared" si="637"/>
        <v xml:space="preserve"> </v>
      </c>
      <c r="AI250" s="149" t="str">
        <f t="shared" si="638"/>
        <v xml:space="preserve"> </v>
      </c>
      <c r="AK250" s="144" t="str">
        <f t="shared" si="639"/>
        <v xml:space="preserve"> </v>
      </c>
      <c r="AL250" s="144"/>
      <c r="AM250" s="243" t="str">
        <f t="shared" si="640"/>
        <v xml:space="preserve"> </v>
      </c>
      <c r="AN250" s="149" t="str">
        <f t="shared" si="743"/>
        <v xml:space="preserve"> </v>
      </c>
      <c r="AO250" s="144" t="str">
        <f>IF(JB250&gt;0,IF(GI250=10,-R250*1.085*(Calculation!$F$6-Calculation!$F$13)*$S$14," "),"")</f>
        <v/>
      </c>
      <c r="AP250" s="144" t="str">
        <f t="shared" si="641"/>
        <v/>
      </c>
      <c r="AQ250" s="56" t="str">
        <f t="shared" si="642"/>
        <v/>
      </c>
      <c r="AR250" s="144" t="str">
        <f t="shared" si="643"/>
        <v/>
      </c>
      <c r="AS250" s="176" t="str">
        <f t="shared" si="644"/>
        <v/>
      </c>
      <c r="AT250" s="176" t="str">
        <f t="shared" si="744"/>
        <v xml:space="preserve"> </v>
      </c>
      <c r="AU250" s="176" t="str">
        <f t="shared" si="645"/>
        <v/>
      </c>
      <c r="AV250" s="177" t="str">
        <f t="shared" si="646"/>
        <v xml:space="preserve"> </v>
      </c>
      <c r="AW250" s="144" t="str">
        <f t="shared" si="647"/>
        <v xml:space="preserve"> </v>
      </c>
      <c r="AX250" s="144" t="str">
        <f t="shared" si="648"/>
        <v xml:space="preserve"> </v>
      </c>
      <c r="AY250" s="152" t="str">
        <f t="shared" si="649"/>
        <v xml:space="preserve"> </v>
      </c>
      <c r="AZ250" s="246" t="str">
        <f t="shared" si="650"/>
        <v/>
      </c>
      <c r="BA250" s="176" t="str">
        <f t="shared" si="651"/>
        <v xml:space="preserve"> </v>
      </c>
      <c r="BB250" s="176" t="str">
        <f t="shared" si="652"/>
        <v xml:space="preserve"> </v>
      </c>
      <c r="BC250" s="195"/>
      <c r="BD250" s="316"/>
      <c r="BE250" s="317"/>
      <c r="BF250" s="318"/>
      <c r="BG250" s="318"/>
      <c r="BH250" s="144" t="str">
        <f t="shared" si="821"/>
        <v xml:space="preserve"> </v>
      </c>
      <c r="BI250" s="176" t="str">
        <f t="shared" si="653"/>
        <v/>
      </c>
      <c r="BJ250" s="144" t="str">
        <f t="shared" si="822"/>
        <v/>
      </c>
      <c r="BK250" s="246" t="str">
        <f t="shared" si="654"/>
        <v/>
      </c>
      <c r="BL250" s="144" t="str">
        <f t="shared" si="823"/>
        <v/>
      </c>
      <c r="BM250" s="246" t="str">
        <f t="shared" si="655"/>
        <v/>
      </c>
      <c r="BN250" s="337" t="str">
        <f t="shared" si="745"/>
        <v/>
      </c>
      <c r="BO250" s="371" t="str">
        <f t="shared" si="746"/>
        <v/>
      </c>
      <c r="BP250" s="328" t="str">
        <f t="shared" si="824"/>
        <v xml:space="preserve"> </v>
      </c>
      <c r="BQ250" s="347" t="str">
        <f t="shared" si="747"/>
        <v xml:space="preserve"> </v>
      </c>
      <c r="BR250" s="353" t="str">
        <f t="shared" si="748"/>
        <v xml:space="preserve"> </v>
      </c>
      <c r="BS250" s="626" t="str">
        <f>IF(L250&gt;0,IF(Calculation!P250="M13",BR250*3.1416*(0.134^2)/(4*144),IF(Calculation!P250="M17",BR250*3.1416*(0.165^2)/(4*144),IF(Calculation!P250="M20",BR250*3.1416*(0.198^2)/(4*144),IF(Calculation!P250="M23",BR250*3.1416*(0.228^2)/(4*144),IF(Calculation!P250="M27",BR250*3.1416*(0.269^2)/(4*144),BR250*3.1416*(0.307^2)/(4*144))))))," ")</f>
        <v xml:space="preserve"> </v>
      </c>
      <c r="BT250" s="353" t="str">
        <f>IF(L250&gt;0,IF(BS250&gt;0,R250/Calculation!BS250,0)," ")</f>
        <v xml:space="preserve"> </v>
      </c>
      <c r="BU250" s="438" t="e">
        <f t="shared" ca="1" si="656"/>
        <v>#VALUE!</v>
      </c>
      <c r="BV250" s="449" t="e">
        <f ca="1">INDEX(INDIRECT(VLOOKUP(LEFT(BO250,7),CLU!$Z$3:$AH$18,2)),GN250,GR250)</f>
        <v>#N/A</v>
      </c>
      <c r="BW250" s="433" t="e">
        <f ca="1">INDEX(INDIRECT(VLOOKUP(LEFT(BO250,7),CLU!$Z$3:$AH$18,3)),GN250,GR250)</f>
        <v>#N/A</v>
      </c>
      <c r="BX250" s="433" t="e">
        <f ca="1">INDEX(INDIRECT(VLOOKUP(LEFT(BO250,7),CLU!$Z$3:$AH$18,4)),GN250,GR250)</f>
        <v>#N/A</v>
      </c>
      <c r="BY250" s="433" t="e">
        <f ca="1">INDEX(INDIRECT(VLOOKUP(LEFT(BO250,7),CLU!$Z$3:$AH$18,9)),((M250-2)*(6-COUNTBLANK(GT250:GY250)))+GJ250)</f>
        <v>#N/A</v>
      </c>
      <c r="BZ250" s="426" t="e">
        <f t="shared" ca="1" si="749"/>
        <v>#N/A</v>
      </c>
      <c r="CA250" s="424" t="e">
        <f t="shared" ca="1" si="750"/>
        <v>#N/A</v>
      </c>
      <c r="CB250" s="429" t="e">
        <f ca="1">INDEX(INDIRECT(VLOOKUP(LEFT(BO250,7),CLU!$Z$3:$AH$18,2)),GN250,GS250)</f>
        <v>#N/A</v>
      </c>
      <c r="CC250" s="342" t="e">
        <f ca="1">INDEX(INDIRECT(VLOOKUP(LEFT(BO250,7),CLU!$Z$3:$AH$18,3)),GN250,GS250)</f>
        <v>#N/A</v>
      </c>
      <c r="CD250" s="342" t="e">
        <f ca="1">INDEX(INDIRECT(VLOOKUP(LEFT(BO250,7),CLU!$Z$3:$AH$18,4)),GN250,GS250)</f>
        <v>#N/A</v>
      </c>
      <c r="CE250" s="426" t="e">
        <f t="shared" ca="1" si="751"/>
        <v>#N/A</v>
      </c>
      <c r="CF250" s="440">
        <f t="shared" si="752"/>
        <v>0</v>
      </c>
      <c r="CG250" s="431" t="e">
        <f ca="1">INDEX(INDIRECT(VLOOKUP(LEFT(BO250,7),CLU!$Z$3:$AH$18,2)),GQ250,GR250)</f>
        <v>#N/A</v>
      </c>
      <c r="CH250" s="431" t="e">
        <f ca="1">INDEX(INDIRECT(VLOOKUP(LEFT(BO250,7),CLU!$Z$3:$AH$18,3)),GQ250,GR250)</f>
        <v>#N/A</v>
      </c>
      <c r="CI250" s="431" t="e">
        <f ca="1">INDEX(INDIRECT(VLOOKUP(LEFT(BO250,7),CLU!$Z$3:$AH$18,4)),GQ250,GR250)</f>
        <v>#N/A</v>
      </c>
      <c r="CJ250" s="448" t="e">
        <f t="shared" ca="1" si="753"/>
        <v>#N/A</v>
      </c>
      <c r="CK250" s="431" t="e">
        <f t="shared" ca="1" si="754"/>
        <v>#N/A</v>
      </c>
      <c r="CL250" s="440" t="e">
        <f t="shared" ca="1" si="755"/>
        <v>#N/A</v>
      </c>
      <c r="CM250" s="431" t="e">
        <f ca="1">INDEX(INDIRECT(VLOOKUP(LEFT(BO250,7),CLU!$Z$3:$AH$18,2)),GQ250,GS250)</f>
        <v>#N/A</v>
      </c>
      <c r="CN250" s="431" t="e">
        <f ca="1">INDEX(INDIRECT(VLOOKUP(LEFT(BO250,7),CLU!$Z$3:$AH$18,3)),GQ250,GS250)</f>
        <v>#N/A</v>
      </c>
      <c r="CO250" s="431" t="e">
        <f ca="1">INDEX(INDIRECT(VLOOKUP(LEFT(BO250,7),CLU!$Z$3:$AH$18,4)),GQ250,GS250)</f>
        <v>#N/A</v>
      </c>
      <c r="CP250" s="431" t="e">
        <f t="shared" ca="1" si="756"/>
        <v>#N/A</v>
      </c>
      <c r="CQ250" s="440">
        <f t="shared" si="757"/>
        <v>0</v>
      </c>
      <c r="CR250" s="51" t="e">
        <f t="shared" ca="1" si="758"/>
        <v>#N/A</v>
      </c>
      <c r="CS250" s="439" t="e">
        <f t="shared" ca="1" si="759"/>
        <v>#VALUE!</v>
      </c>
      <c r="CT250" s="51" t="e">
        <f t="shared" ca="1" si="760"/>
        <v>#VALUE!</v>
      </c>
      <c r="CU250" s="10"/>
      <c r="CV250" s="51" t="e">
        <f t="shared" ca="1" si="657"/>
        <v>#VALUE!</v>
      </c>
      <c r="CW250" s="51">
        <f t="shared" si="761"/>
        <v>0</v>
      </c>
      <c r="CX250" s="439" t="e">
        <f t="shared" ca="1" si="762"/>
        <v>#VALUE!</v>
      </c>
      <c r="CY250" s="51" t="e">
        <f t="shared" ca="1" si="763"/>
        <v>#VALUE!</v>
      </c>
      <c r="CZ250" s="10"/>
      <c r="DA250" s="51" t="e">
        <f t="shared" ca="1" si="764"/>
        <v>#VALUE!</v>
      </c>
      <c r="DB250" s="347" t="e">
        <f ca="1">INDEX(INDIRECT(VLOOKUP(LEFT(BO250,7),CLU!$Z$3:$AI$18,10)),((M250-2)*(6-COUNTBLANK(GT250:GY250)))+GJ250)*LI250</f>
        <v>#N/A</v>
      </c>
      <c r="DC250" s="347" t="str">
        <f>IF(L250&gt;0,((R250/Worksheet!$I$15)/DB250)^2," ")</f>
        <v xml:space="preserve"> </v>
      </c>
      <c r="DD250" s="602" t="str">
        <f t="shared" si="765"/>
        <v xml:space="preserve"> </v>
      </c>
      <c r="DE250" s="347" t="str">
        <f t="shared" si="658"/>
        <v xml:space="preserve"> </v>
      </c>
      <c r="DF250" s="356" t="e">
        <f ca="1">INDEX(INDIRECT(VLOOKUP(LEFT(BO250,7),CLU!$Z$3:$AH$18,8)),((M250-2)*(6-COUNTBLANK(GT250:GY250)))+GJ250)</f>
        <v>#N/A</v>
      </c>
      <c r="DG250" s="347" t="str">
        <f t="shared" si="659"/>
        <v xml:space="preserve"> </v>
      </c>
      <c r="DH250" s="357" t="str">
        <f t="shared" si="660"/>
        <v xml:space="preserve"> </v>
      </c>
      <c r="DI250" s="355" t="str">
        <f t="shared" si="661"/>
        <v xml:space="preserve"> </v>
      </c>
      <c r="DJ250" s="245" t="e">
        <f ca="1">INDEX(INDIRECT(VLOOKUP(LEFT(BO250,7),CLU!$Z$3:$AH$18,5)),GL250,GK250)</f>
        <v>#N/A</v>
      </c>
      <c r="DK250" s="245" t="e">
        <f ca="1">INDEX(INDIRECT(VLOOKUP(LEFT(BO250,7),CLU!$Z$3:$AH$18,6)),GL250,GK250)</f>
        <v>#N/A</v>
      </c>
      <c r="DL250" s="355">
        <f>(Calculation!R250*0.69143*(Calculation!$BQ$8-Calculation!$F$8))*$S$14</f>
        <v>0</v>
      </c>
      <c r="DM250" s="359" t="e">
        <f t="shared" si="766"/>
        <v>#VALUE!</v>
      </c>
      <c r="DN250" s="611">
        <f t="shared" si="767"/>
        <v>0</v>
      </c>
      <c r="DO250" s="359">
        <f t="shared" si="768"/>
        <v>100</v>
      </c>
      <c r="DP250" s="359">
        <f t="shared" si="769"/>
        <v>0</v>
      </c>
      <c r="DQ250" s="360"/>
      <c r="DR250" s="245" t="e">
        <f ca="1">INDEX(INDIRECT(VLOOKUP(LEFT(BO250,7),CLU!$Z$3:$AH$18,7)),M250-1,1)</f>
        <v>#N/A</v>
      </c>
      <c r="DS250" s="245" t="e">
        <f ca="1">INDEX(INDIRECT(VLOOKUP(LEFT(BO250,7),CLU!$Z$3:$AH$18,7)),M250-1,2)</f>
        <v>#N/A</v>
      </c>
      <c r="DT250" s="245" t="e">
        <f ca="1">INDEX(INDIRECT(VLOOKUP(LEFT(BO250,7),CLU!$Z$3:$AH$18,7)),M250-1,3)</f>
        <v>#N/A</v>
      </c>
      <c r="DU250" s="245" t="e">
        <f ca="1">INDEX(INDIRECT(VLOOKUP(LEFT(BO250,7),CLU!$Z$3:$AH$18,7)),M250-1,4)</f>
        <v>#N/A</v>
      </c>
      <c r="DV250" s="361" t="e">
        <f ca="1">INDEX(INDIRECT(VLOOKUP(LEFT(BO250,7),CLU!$Z$3:$AH$18,7)),M250-1,4+LEFT(DZ250,1)*0.5)</f>
        <v>#N/A</v>
      </c>
      <c r="DW250" s="245" t="e">
        <f ca="1">INDEX(INDIRECT(VLOOKUP(LEFT(BO250,7),CLU!$Z$3:$AH$18,7)),M250-1,8)</f>
        <v>#N/A</v>
      </c>
      <c r="DX250" s="361" t="str">
        <f t="shared" si="662"/>
        <v xml:space="preserve"> </v>
      </c>
      <c r="DY250" s="361" t="str">
        <f t="shared" si="663"/>
        <v xml:space="preserve"> </v>
      </c>
      <c r="DZ250" s="361" t="str">
        <f t="shared" si="664"/>
        <v xml:space="preserve"> </v>
      </c>
      <c r="EA250" s="362" t="str">
        <f t="shared" si="665"/>
        <v xml:space="preserve"> </v>
      </c>
      <c r="EB250" s="624" t="str">
        <f t="shared" si="770"/>
        <v xml:space="preserve"> </v>
      </c>
      <c r="EC250" s="361" t="e">
        <f ca="1">INDEX(INDIRECT(VLOOKUP(LEFT(BO250,7),CLU!$Z$3:$AH$18,7)),M250-1,4+LEFT(DZ250,1)*0.5)</f>
        <v>#N/A</v>
      </c>
      <c r="ED250" s="362" t="str">
        <f t="shared" si="666"/>
        <v xml:space="preserve"> </v>
      </c>
      <c r="EE250" s="361" t="str">
        <f t="shared" si="667"/>
        <v xml:space="preserve"> </v>
      </c>
      <c r="EF250" s="362" t="str">
        <f>IF(L250&gt;0,IF(BR250&gt;0,IF(EE250="2P",IF(Calculation!DZ250="2P",IF(Calculation!DS250=13.75,IF(Calculation!DR250=13,Worksheet!$BD$43,IF(Calculation!DR250=37,Worksheet!$BD$44,Worksheet!$BD$45)),IF(Calculation!DS250=10,IF(Calculation!DR250=18,Worksheet!$BD$29,IF(Calculation!DR250=30,Worksheet!$BD$30,IF(Calculation!DR250=42,Worksheet!$BD$31,IF(Calculation!DR250=54,Worksheet!$BD$32,IF(Calculation!DR250=66,Worksheet!$BD$33,IF(Calculation!DR250=78,Worksheet!$BD$34,IF(Calculation!DR250=90,Worksheet!$BD$35,IF(Calculation!DR250=102,Worksheet!$BD$36,Worksheet!$BD$37)))))))),IF(Calculation!DS250=12.5,IF(Calculation!DR250=18,Worksheet!$BD$38,IF(Calculation!DR250=Worksheet!$BD$39,IF(Calculation!DR250=42,Worksheet!$BD$40,IF(Calculation!DR250=54,Worksheet!$BD$41,Worksheet!$BD$42)))),IF(Calculation!DR250=18,Worksheet!$BD$11,IF(Calculation!DR250=30,Worksheet!$BD$12,IF(Calculation!DR250=42,Worksheet!$BD$13,IF(Calculation!DR250=54,Worksheet!$BD$14,IF(Calculation!DR250=66,Worksheet!$BD$15,IF(Calculation!DR250=78,Worksheet!$BD$16,IF(Calculation!DR250=90,Worksheet!$BD$17,IF(Calculation!DR250=102,Worksheet!$BD$18,Worksheet!$BD$19))))))))))),IF(Calculation!DS250=13.75,IF(Calculation!DR250=13,Worksheet!$BD$78,IF(Calculation!DR250=37,Worksheet!$BD$79,Worksheet!$BD$80)),IF(Calculation!DS250=10,IF(Calculation!DR250=18,Worksheet!$BD$64,IF(Calculation!DR250=30,Worksheet!$BD$65,IF(Calculation!DR250=42,Worksheet!$BD$66,IF(Calculation!DR250=54,Worksheet!$BD$68,IF(Calculation!DR250=66,Worksheet!$BD$68,IF(Calculation!DR250=78,Worksheet!$BD$69,IF(Calculation!DR250=90,Worksheet!$BD$70,IF(Calculation!DR250=102,Worksheet!$BD$71,Worksheet!$BD$72)))))))),IF(Calculation!DS250=12.5,IF(Calculation!DR250=18,Worksheet!$BD$73,IF(Calculation!DR250=Worksheet!$BD$74,IF(Calculation!DR250=42,Worksheet!$BD$75,IF(Calculation!DR250=54,Worksheet!$BD$76,Worksheet!$BD$77)))),IF(Calculation!DR250=18,Worksheet!$BD$55,IF(Calculation!DR250=30,Worksheet!$BD$56,IF(Calculation!DR250=42,Worksheet!$BD$57,IF(Calculation!DR250=54,Worksheet!$BD$58,IF(Calculation!DR250=66,Worksheet!$BD$59,IF(Calculation!DR250=78,Worksheet!$BD$60,IF(Calculation!DR250=90,Worksheet!$BD$61,IF(Calculation!DR250=102,Worksheet!$BD$62,Worksheet!$BD$63)))))))))))),5),0)," ")</f>
        <v xml:space="preserve"> </v>
      </c>
      <c r="EG250" s="361" t="str">
        <f t="shared" si="668"/>
        <v xml:space="preserve"> </v>
      </c>
      <c r="EH250" s="361" t="e">
        <f ca="1">INDEX(INDIRECT(VLOOKUP(LEFT(BO250,7),CLU!$Z$3:$AH$18,7)),M250-1,3+LEFT(DZ250,1))</f>
        <v>#N/A</v>
      </c>
      <c r="EI250" s="362" t="str">
        <f t="shared" si="669"/>
        <v xml:space="preserve"> </v>
      </c>
      <c r="EJ250" s="363" t="str">
        <f t="shared" si="670"/>
        <v xml:space="preserve"> </v>
      </c>
      <c r="EK250" s="363" t="str">
        <f t="shared" si="671"/>
        <v xml:space="preserve"> </v>
      </c>
      <c r="EL250" s="363" t="str">
        <f t="shared" si="672"/>
        <v xml:space="preserve"> </v>
      </c>
      <c r="EM250" s="362" t="str">
        <f>IF(L250&gt;0,IF(BR250&gt;0,(Calculation!T250/ED250)^2,0)," ")</f>
        <v xml:space="preserve"> </v>
      </c>
      <c r="EN250" s="362" t="str">
        <f>IF(L250&gt;0,IF(O250="2 Pipe (Cooling)","N/A",IF(BR250&gt;0,(Calculation!U250/EI250)^2,0))," ")</f>
        <v xml:space="preserve"> </v>
      </c>
      <c r="EO250" s="361" t="str">
        <f t="shared" si="673"/>
        <v/>
      </c>
      <c r="EP250" s="361" t="str">
        <f t="shared" si="674"/>
        <v/>
      </c>
      <c r="EQ250" s="361" t="str">
        <f t="shared" si="675"/>
        <v/>
      </c>
      <c r="ER250" s="361" t="str">
        <f t="shared" si="676"/>
        <v/>
      </c>
      <c r="ES250" s="361" t="str">
        <f t="shared" si="677"/>
        <v/>
      </c>
      <c r="ET250" s="361" t="str">
        <f t="shared" si="678"/>
        <v/>
      </c>
      <c r="EU250" s="361" t="str">
        <f t="shared" si="679"/>
        <v/>
      </c>
      <c r="EV250" s="361" t="str">
        <f t="shared" si="680"/>
        <v/>
      </c>
      <c r="EW250" s="361" t="str">
        <f t="shared" si="681"/>
        <v/>
      </c>
      <c r="EX250" s="361" t="str">
        <f t="shared" si="771"/>
        <v>1 slot, 1 way</v>
      </c>
      <c r="EY250" s="361" t="str">
        <f t="shared" si="772"/>
        <v xml:space="preserve"> </v>
      </c>
      <c r="EZ250" s="361" t="str">
        <f t="shared" si="773"/>
        <v xml:space="preserve"> </v>
      </c>
      <c r="FA250" s="361" t="str">
        <f t="shared" si="774"/>
        <v xml:space="preserve"> </v>
      </c>
      <c r="FB250" s="361" t="str">
        <f t="shared" si="775"/>
        <v xml:space="preserve"> </v>
      </c>
      <c r="FC250" s="361"/>
      <c r="FD250" s="361" t="str">
        <f>IF(J250&gt;0,IF(Calculation!R250&lt;=70,4,IF(Calculation!R250&lt;=110,5,IF(Calculation!R250&lt;=160,6,IF(Calculation!R250&lt;=300,8,"10 EO")))),"")</f>
        <v/>
      </c>
      <c r="FE250" s="361" t="str">
        <f t="shared" si="776"/>
        <v/>
      </c>
      <c r="FF250" s="361" t="str">
        <f t="shared" si="777"/>
        <v/>
      </c>
      <c r="FG250" s="361" t="e">
        <f t="shared" si="682"/>
        <v>#N/A</v>
      </c>
      <c r="FH250" s="361">
        <f t="shared" si="683"/>
        <v>0</v>
      </c>
      <c r="FI250" s="361" t="e">
        <f t="shared" si="684"/>
        <v>#DIV/0!</v>
      </c>
      <c r="FJ250" s="361"/>
      <c r="FK250" s="356" t="e">
        <f t="shared" si="685"/>
        <v>#VALUE!</v>
      </c>
      <c r="FL250" s="361"/>
      <c r="FM250" s="361"/>
      <c r="FN250" s="362" t="str">
        <f t="shared" si="778"/>
        <v xml:space="preserve"> </v>
      </c>
      <c r="FO250" s="362" t="str">
        <f t="shared" si="779"/>
        <v xml:space="preserve"> </v>
      </c>
      <c r="FP250" s="362">
        <f t="shared" si="780"/>
        <v>0</v>
      </c>
      <c r="FQ250" s="361">
        <f t="shared" si="686"/>
        <v>0</v>
      </c>
      <c r="FR250" s="362" t="str">
        <f>IF(L250&gt;0,IF(J250="CBAL2",Worksheet!$P$67,IF(J250="CBE2-24",Worksheet!$Q$67,IF(J250="CBAM",Worksheet!$R$67,IF(J250="CBLV",Worksheet!$S$67,IF(J250="CBAB",Worksheet!$U$67,IF(J250="CBAW",Worksheet!$X$67,IF(J250="CBE2-12",Worksheet!$Y$67,IF(J250="CBAL2",Worksheet!$Z$67,"N/A"))))))))," ")</f>
        <v xml:space="preserve"> </v>
      </c>
      <c r="FS250" s="362" t="str">
        <f>IF(L250&gt;0,IF(J250="CBAL2",Worksheet!$P$68,IF(J250="CBE2-24",Worksheet!$Q$68,IF(J250="CBAM",Worksheet!$R$68,IF(J250="CBLV",Worksheet!$S$68,IF(J250="CBAB",Worksheet!$U$68,IF(J250="CBAW",Worksheet!$X$68,IF(J250="CBE2-12",Worksheet!$Y$68,IF(J250="CBAL2",Worksheet!$Z$68,"N/A"))))))))," ")</f>
        <v xml:space="preserve"> </v>
      </c>
      <c r="FT250" s="362" t="str">
        <f>IF(L250&gt;0,IF(J250="CBAL2",Worksheet!$P$69,IF(J250="CBE2-24",Worksheet!$Q$69,IF(J250="CBAM",Worksheet!$R$69,IF(J250="CBLV",Worksheet!$S$69,IF(J250="CBAB",Worksheet!$U$69,IF(J250="CBAW",Worksheet!$X$69,IF(J250="CBE2-12",Worksheet!$Y$69,IF(J250="CBAL2",Worksheet!$Z$69,"N/A"))))))))," ")</f>
        <v xml:space="preserve"> </v>
      </c>
      <c r="FU250" s="361" t="str">
        <f t="shared" si="781"/>
        <v xml:space="preserve"> </v>
      </c>
      <c r="FV250" s="362" t="str">
        <f t="shared" si="782"/>
        <v xml:space="preserve"> </v>
      </c>
      <c r="FW250" s="362" t="str">
        <f t="shared" si="783"/>
        <v xml:space="preserve"> </v>
      </c>
      <c r="FX250" s="362" t="str">
        <f t="shared" si="784"/>
        <v xml:space="preserve"> </v>
      </c>
      <c r="FY250" s="355" t="str">
        <f t="shared" si="785"/>
        <v xml:space="preserve"> </v>
      </c>
      <c r="FZ250" s="361" t="str">
        <f t="shared" si="786"/>
        <v xml:space="preserve"> </v>
      </c>
      <c r="GA250" s="347" t="str">
        <f t="shared" si="787"/>
        <v xml:space="preserve"> </v>
      </c>
      <c r="GB250" s="355" t="str">
        <f t="shared" si="788"/>
        <v xml:space="preserve"> </v>
      </c>
      <c r="GC250" s="328" t="str">
        <f t="shared" si="789"/>
        <v xml:space="preserve"> </v>
      </c>
      <c r="GD250" s="361" t="str">
        <f t="shared" si="790"/>
        <v xml:space="preserve"> </v>
      </c>
      <c r="GE250" s="347" t="str">
        <f t="shared" si="791"/>
        <v xml:space="preserve"> </v>
      </c>
      <c r="GF250" s="361" t="str">
        <f t="shared" si="792"/>
        <v xml:space="preserve"> </v>
      </c>
      <c r="GG250" s="347" t="str">
        <f t="shared" si="793"/>
        <v xml:space="preserve"> </v>
      </c>
      <c r="GH250" s="364">
        <f t="shared" si="687"/>
        <v>0</v>
      </c>
      <c r="GI250" s="362">
        <f t="shared" si="794"/>
        <v>2</v>
      </c>
      <c r="GJ250" s="433" t="e">
        <f>IF(6-COUNTBLANK(GT250:GY250)=4,MATCH(MID(BO250,9,3),CLU!$H$16:$K$16),MATCH(MID(BO250,9,3),CLU!$H$13:$M$13))</f>
        <v>#N/A</v>
      </c>
      <c r="GK250" s="433" t="e">
        <f>HLOOKUP(VALUE(BP250),CLU!$H$9:$M$10,2)</f>
        <v>#VALUE!</v>
      </c>
      <c r="GL250" s="433" t="e">
        <f ca="1">MATCH(BU250,CLU!$H$2:$V$2,1)</f>
        <v>#VALUE!</v>
      </c>
      <c r="GM250" s="433" t="e">
        <f t="shared" ca="1" si="795"/>
        <v>#VALUE!</v>
      </c>
      <c r="GN250" s="433" t="e">
        <f t="shared" ca="1" si="796"/>
        <v>#VALUE!</v>
      </c>
      <c r="GO250" s="433" t="e">
        <f t="shared" ca="1" si="797"/>
        <v>#VALUE!</v>
      </c>
      <c r="GP250" s="433" t="e">
        <f t="shared" ca="1" si="798"/>
        <v>#VALUE!</v>
      </c>
      <c r="GQ250" s="433" t="e">
        <f t="shared" ca="1" si="799"/>
        <v>#VALUE!</v>
      </c>
      <c r="GR250" s="433" t="e">
        <f ca="1">MATCH(T250,INDIRECT(VLOOKUP(CONCATENATE(LEFT(BO250,7),"-",MID(BO250,13,1)),CLU!$P$3:$Q$16,2)),1)</f>
        <v>#N/A</v>
      </c>
      <c r="GS250" s="433" t="e">
        <f ca="1">MATCH(U250,INDIRECT(VLOOKUP(CONCATENATE(LEFT(BO250,7),"-",MID(BO250,13,1)),CLU!$P$3:$Q$16,2)),1)</f>
        <v>#N/A</v>
      </c>
      <c r="GT250" s="347" t="s">
        <v>512</v>
      </c>
      <c r="GU250" s="97" t="s">
        <v>513</v>
      </c>
      <c r="GV250" s="97" t="str">
        <f t="shared" si="800"/>
        <v>M23</v>
      </c>
      <c r="GW250" s="97" t="str">
        <f t="shared" si="801"/>
        <v>M31</v>
      </c>
      <c r="GX250" s="97" t="str">
        <f t="shared" si="802"/>
        <v/>
      </c>
      <c r="GY250" s="97" t="str">
        <f t="shared" si="803"/>
        <v/>
      </c>
      <c r="GZ250" s="481"/>
      <c r="HA250" s="288"/>
      <c r="HB250" s="240"/>
      <c r="HC250" s="240"/>
      <c r="HD250" s="240"/>
      <c r="HE250" s="240"/>
      <c r="HF250" s="240"/>
      <c r="HG250" s="240"/>
      <c r="HH250" s="240"/>
      <c r="HI250" s="240"/>
      <c r="HJ250" s="240"/>
      <c r="HK250" s="240"/>
      <c r="HL250" s="240"/>
      <c r="HM250" s="240"/>
      <c r="HN250" s="240"/>
      <c r="HO250" s="240"/>
      <c r="HP250" s="240"/>
      <c r="HQ250" s="240"/>
      <c r="HR250" s="240"/>
      <c r="HS250" s="240"/>
      <c r="HT250" s="240"/>
      <c r="HU250" s="240"/>
      <c r="HV250" s="245"/>
      <c r="HW250" s="245" t="b">
        <v>1</v>
      </c>
      <c r="HX250" s="245" t="str">
        <f t="shared" si="688"/>
        <v/>
      </c>
      <c r="HY250" s="245" t="e">
        <f t="shared" si="689"/>
        <v>#DIV/0!</v>
      </c>
      <c r="HZ250" s="245" t="e">
        <f t="shared" si="690"/>
        <v>#DIV/0!</v>
      </c>
      <c r="IA250" s="245">
        <f t="shared" si="691"/>
        <v>0</v>
      </c>
      <c r="IB250" s="245"/>
      <c r="IC250" t="b">
        <f t="shared" si="692"/>
        <v>1</v>
      </c>
      <c r="ID250" s="245" t="b">
        <f t="shared" si="693"/>
        <v>1</v>
      </c>
      <c r="IE250" s="245" t="b">
        <f t="shared" si="694"/>
        <v>1</v>
      </c>
      <c r="IF250" s="245" t="b">
        <f t="shared" si="695"/>
        <v>0</v>
      </c>
      <c r="IG250" s="245" t="b">
        <f t="shared" si="696"/>
        <v>1</v>
      </c>
      <c r="IH250" s="245" t="b">
        <f t="shared" si="697"/>
        <v>1</v>
      </c>
      <c r="II250" s="245">
        <f t="shared" si="804"/>
        <v>0</v>
      </c>
      <c r="IJ250" s="245" t="e">
        <f t="shared" si="698"/>
        <v>#VALUE!</v>
      </c>
      <c r="IK250" s="245" t="e">
        <f t="shared" si="699"/>
        <v>#VALUE!</v>
      </c>
      <c r="IL250" s="245"/>
      <c r="IM250" s="245" t="e">
        <f t="shared" si="805"/>
        <v>#N/A</v>
      </c>
      <c r="IN250" s="245" t="e">
        <f t="shared" si="806"/>
        <v>#N/A</v>
      </c>
      <c r="IO250" s="245"/>
      <c r="IP250" s="245"/>
      <c r="IQ250" s="245" t="str">
        <f t="shared" si="700"/>
        <v/>
      </c>
      <c r="IR250" s="245" t="str">
        <f>IF(J250="","",VLOOKUP(J250,Worksheet!$R$4:$T$14,2))</f>
        <v/>
      </c>
      <c r="IS250" s="245"/>
      <c r="IT250" s="245">
        <f t="shared" si="701"/>
        <v>0</v>
      </c>
      <c r="IU250" s="245">
        <f t="shared" si="702"/>
        <v>0</v>
      </c>
      <c r="IV250" s="245">
        <f t="shared" si="703"/>
        <v>0</v>
      </c>
      <c r="IW250" s="245">
        <f t="shared" si="704"/>
        <v>0</v>
      </c>
      <c r="IX250" s="245">
        <f t="shared" si="807"/>
        <v>0</v>
      </c>
      <c r="IY250" s="245">
        <f t="shared" si="705"/>
        <v>0</v>
      </c>
      <c r="IZ250" s="245">
        <f t="shared" si="706"/>
        <v>0</v>
      </c>
      <c r="JA250">
        <f t="shared" si="707"/>
        <v>0</v>
      </c>
      <c r="JB250">
        <f t="shared" si="808"/>
        <v>0</v>
      </c>
      <c r="JC250">
        <f t="shared" si="708"/>
        <v>0</v>
      </c>
      <c r="JD250">
        <f t="shared" si="709"/>
        <v>0</v>
      </c>
      <c r="JE250">
        <f t="shared" si="710"/>
        <v>0</v>
      </c>
      <c r="JF250">
        <f t="shared" si="711"/>
        <v>0</v>
      </c>
      <c r="JG250">
        <f t="shared" si="712"/>
        <v>0</v>
      </c>
      <c r="JH250">
        <f t="shared" si="713"/>
        <v>0</v>
      </c>
      <c r="JI250">
        <f t="shared" si="714"/>
        <v>0</v>
      </c>
      <c r="JJ250" s="447">
        <f t="shared" si="715"/>
        <v>0</v>
      </c>
      <c r="JK250" s="447">
        <f t="shared" si="716"/>
        <v>0</v>
      </c>
      <c r="JL250">
        <f t="shared" si="717"/>
        <v>0</v>
      </c>
      <c r="JM250" s="245" t="str">
        <f>IFERROR(VLOOKUP(MATCH(BN250,#REF!,0),#REF!,7),"")</f>
        <v/>
      </c>
      <c r="JN250" t="e">
        <f>HLOOKUP(LEFT(BO250,7),Discharge_Area,MATCH(JO250,LookUps!$B$130:$B$149,1)+2)</f>
        <v>#N/A</v>
      </c>
      <c r="JO250" t="str">
        <f t="shared" si="718"/>
        <v>- S</v>
      </c>
      <c r="JP250" t="e">
        <f>HLOOKUP(LEFT(BO250,7),Discharge_Area,MATCH(JO250,LookUps!$B$130:$B$149,1)+2)</f>
        <v>#N/A</v>
      </c>
      <c r="JQ250" t="e">
        <f t="shared" si="719"/>
        <v>#N/A</v>
      </c>
      <c r="JR250" t="e">
        <f t="shared" si="720"/>
        <v>#N/A</v>
      </c>
      <c r="JS250" t="e">
        <f t="shared" si="721"/>
        <v>#N/A</v>
      </c>
      <c r="JT250" s="532" t="str">
        <f t="shared" si="722"/>
        <v xml:space="preserve"> </v>
      </c>
      <c r="JU250" s="532" t="str">
        <f t="shared" si="723"/>
        <v xml:space="preserve"> </v>
      </c>
      <c r="JV250" s="533" t="str">
        <f t="shared" si="724"/>
        <v xml:space="preserve"> </v>
      </c>
      <c r="JW250" s="534">
        <f t="shared" si="725"/>
        <v>0</v>
      </c>
      <c r="JX250" s="535" t="str">
        <f t="shared" si="809"/>
        <v xml:space="preserve"> </v>
      </c>
      <c r="JY250" s="535" t="str">
        <f t="shared" si="810"/>
        <v xml:space="preserve"> </v>
      </c>
      <c r="JZ250" s="535" t="str">
        <f t="shared" si="811"/>
        <v xml:space="preserve"> </v>
      </c>
      <c r="KA250" s="536" t="str">
        <f t="shared" si="726"/>
        <v xml:space="preserve"> </v>
      </c>
      <c r="KB250" s="535" t="e">
        <f t="shared" si="812"/>
        <v>#VALUE!</v>
      </c>
      <c r="KC250" s="535" t="str">
        <f t="shared" si="727"/>
        <v/>
      </c>
      <c r="KD250" s="537" t="str">
        <f t="shared" si="813"/>
        <v xml:space="preserve"> </v>
      </c>
      <c r="KE250" s="537" t="str">
        <f t="shared" si="814"/>
        <v xml:space="preserve"> </v>
      </c>
      <c r="KF250" s="534">
        <f t="shared" si="728"/>
        <v>0</v>
      </c>
      <c r="KG250" s="535" t="str">
        <f t="shared" si="729"/>
        <v xml:space="preserve"> </v>
      </c>
      <c r="KH250" s="535" t="str">
        <f t="shared" si="730"/>
        <v xml:space="preserve"> </v>
      </c>
      <c r="KI250" s="535" t="str">
        <f t="shared" si="731"/>
        <v xml:space="preserve"> </v>
      </c>
      <c r="KJ250" s="536" t="str">
        <f t="shared" si="732"/>
        <v xml:space="preserve"> </v>
      </c>
      <c r="KK250" s="535" t="str">
        <f t="shared" si="815"/>
        <v xml:space="preserve"> </v>
      </c>
      <c r="KL250" s="535" t="str">
        <f t="shared" si="816"/>
        <v xml:space="preserve"> </v>
      </c>
      <c r="KM250" s="537" t="str">
        <f t="shared" si="733"/>
        <v xml:space="preserve"> </v>
      </c>
      <c r="KN250" s="537" t="str">
        <f t="shared" si="817"/>
        <v xml:space="preserve"> </v>
      </c>
      <c r="KP250">
        <f t="shared" si="734"/>
        <v>0</v>
      </c>
      <c r="LA250" t="e">
        <f t="shared" si="735"/>
        <v>#VALUE!</v>
      </c>
      <c r="LB250" t="e">
        <f t="shared" si="736"/>
        <v>#VALUE!</v>
      </c>
      <c r="LC250" t="e">
        <f t="shared" si="737"/>
        <v>#VALUE!</v>
      </c>
      <c r="LD250" t="e">
        <f t="shared" si="738"/>
        <v>#VALUE!</v>
      </c>
      <c r="LE250" t="e">
        <f t="shared" si="818"/>
        <v>#VALUE!</v>
      </c>
      <c r="LF250">
        <f t="shared" si="739"/>
        <v>0</v>
      </c>
      <c r="LG250" t="e">
        <f t="shared" si="819"/>
        <v>#VALUE!</v>
      </c>
      <c r="LH250" t="str">
        <f t="shared" si="740"/>
        <v xml:space="preserve"> </v>
      </c>
      <c r="LI250">
        <f t="shared" si="820"/>
        <v>1</v>
      </c>
    </row>
    <row r="251" spans="2:321" ht="15" customHeight="1">
      <c r="B251" s="311"/>
      <c r="C251" s="311"/>
      <c r="D251" s="312"/>
      <c r="E251" s="311"/>
      <c r="F251" s="312"/>
      <c r="G251" s="311"/>
      <c r="H251" s="311"/>
      <c r="I251" s="232"/>
      <c r="J251" s="311"/>
      <c r="K251" s="305" t="str">
        <f t="shared" si="741"/>
        <v/>
      </c>
      <c r="L251" s="313"/>
      <c r="M251" s="312"/>
      <c r="N251" s="311"/>
      <c r="O251" s="312"/>
      <c r="P251" s="311"/>
      <c r="Q251" s="305" t="str">
        <f t="shared" si="742"/>
        <v/>
      </c>
      <c r="R251" s="314"/>
      <c r="S251" s="450" t="str">
        <f t="shared" si="625"/>
        <v/>
      </c>
      <c r="T251" s="315"/>
      <c r="U251" s="315"/>
      <c r="W251" s="149" t="str">
        <f t="shared" si="626"/>
        <v xml:space="preserve"> </v>
      </c>
      <c r="X251" s="243" t="str">
        <f t="shared" si="627"/>
        <v xml:space="preserve"> </v>
      </c>
      <c r="Y251" s="150" t="str">
        <f t="shared" si="628"/>
        <v/>
      </c>
      <c r="Z251" s="149" t="str">
        <f t="shared" si="629"/>
        <v xml:space="preserve"> </v>
      </c>
      <c r="AA251" s="98" t="str">
        <f t="shared" si="630"/>
        <v xml:space="preserve"> </v>
      </c>
      <c r="AB251" s="153" t="str">
        <f t="shared" si="631"/>
        <v xml:space="preserve"> </v>
      </c>
      <c r="AC251" s="153" t="str">
        <f t="shared" si="632"/>
        <v xml:space="preserve"> </v>
      </c>
      <c r="AD251" s="148" t="str">
        <f t="shared" si="633"/>
        <v/>
      </c>
      <c r="AE251" s="149" t="str">
        <f t="shared" si="634"/>
        <v/>
      </c>
      <c r="AF251" s="151" t="str">
        <f t="shared" si="635"/>
        <v xml:space="preserve"> </v>
      </c>
      <c r="AG251" s="153" t="str">
        <f t="shared" si="636"/>
        <v xml:space="preserve"> </v>
      </c>
      <c r="AH251" s="98" t="str">
        <f t="shared" si="637"/>
        <v xml:space="preserve"> </v>
      </c>
      <c r="AI251" s="149" t="str">
        <f t="shared" si="638"/>
        <v xml:space="preserve"> </v>
      </c>
      <c r="AK251" s="144" t="str">
        <f t="shared" si="639"/>
        <v xml:space="preserve"> </v>
      </c>
      <c r="AL251" s="144"/>
      <c r="AM251" s="243" t="str">
        <f t="shared" si="640"/>
        <v xml:space="preserve"> </v>
      </c>
      <c r="AN251" s="149" t="str">
        <f t="shared" si="743"/>
        <v xml:space="preserve"> </v>
      </c>
      <c r="AO251" s="144" t="str">
        <f>IF(JB251&gt;0,IF(GI251=10,-R251*1.085*(Calculation!$F$6-Calculation!$F$13)*$S$14," "),"")</f>
        <v/>
      </c>
      <c r="AP251" s="144" t="str">
        <f t="shared" si="641"/>
        <v/>
      </c>
      <c r="AQ251" s="56" t="str">
        <f t="shared" si="642"/>
        <v/>
      </c>
      <c r="AR251" s="144" t="str">
        <f t="shared" si="643"/>
        <v/>
      </c>
      <c r="AS251" s="176" t="str">
        <f t="shared" si="644"/>
        <v/>
      </c>
      <c r="AT251" s="176" t="str">
        <f t="shared" si="744"/>
        <v xml:space="preserve"> </v>
      </c>
      <c r="AU251" s="176" t="str">
        <f t="shared" si="645"/>
        <v/>
      </c>
      <c r="AV251" s="177" t="str">
        <f t="shared" si="646"/>
        <v xml:space="preserve"> </v>
      </c>
      <c r="AW251" s="144" t="str">
        <f t="shared" si="647"/>
        <v xml:space="preserve"> </v>
      </c>
      <c r="AX251" s="144" t="str">
        <f t="shared" si="648"/>
        <v xml:space="preserve"> </v>
      </c>
      <c r="AY251" s="152" t="str">
        <f t="shared" si="649"/>
        <v xml:space="preserve"> </v>
      </c>
      <c r="AZ251" s="246" t="str">
        <f t="shared" si="650"/>
        <v/>
      </c>
      <c r="BA251" s="176" t="str">
        <f t="shared" si="651"/>
        <v xml:space="preserve"> </v>
      </c>
      <c r="BB251" s="176" t="str">
        <f t="shared" si="652"/>
        <v xml:space="preserve"> </v>
      </c>
      <c r="BC251" s="195"/>
      <c r="BD251" s="316"/>
      <c r="BE251" s="317"/>
      <c r="BF251" s="318"/>
      <c r="BG251" s="318"/>
      <c r="BH251" s="144" t="str">
        <f t="shared" si="821"/>
        <v xml:space="preserve"> </v>
      </c>
      <c r="BI251" s="176" t="str">
        <f t="shared" si="653"/>
        <v/>
      </c>
      <c r="BJ251" s="144" t="str">
        <f t="shared" si="822"/>
        <v/>
      </c>
      <c r="BK251" s="246" t="str">
        <f t="shared" si="654"/>
        <v/>
      </c>
      <c r="BL251" s="144" t="str">
        <f t="shared" si="823"/>
        <v/>
      </c>
      <c r="BM251" s="246" t="str">
        <f t="shared" si="655"/>
        <v/>
      </c>
      <c r="BN251" s="337" t="str">
        <f t="shared" si="745"/>
        <v/>
      </c>
      <c r="BO251" s="371" t="str">
        <f t="shared" si="746"/>
        <v/>
      </c>
      <c r="BP251" s="328" t="str">
        <f t="shared" si="824"/>
        <v xml:space="preserve"> </v>
      </c>
      <c r="BQ251" s="347" t="str">
        <f t="shared" si="747"/>
        <v xml:space="preserve"> </v>
      </c>
      <c r="BR251" s="353" t="str">
        <f t="shared" si="748"/>
        <v xml:space="preserve"> </v>
      </c>
      <c r="BS251" s="626" t="str">
        <f>IF(L251&gt;0,IF(Calculation!P251="M13",BR251*3.1416*(0.134^2)/(4*144),IF(Calculation!P251="M17",BR251*3.1416*(0.165^2)/(4*144),IF(Calculation!P251="M20",BR251*3.1416*(0.198^2)/(4*144),IF(Calculation!P251="M23",BR251*3.1416*(0.228^2)/(4*144),IF(Calculation!P251="M27",BR251*3.1416*(0.269^2)/(4*144),BR251*3.1416*(0.307^2)/(4*144))))))," ")</f>
        <v xml:space="preserve"> </v>
      </c>
      <c r="BT251" s="353" t="str">
        <f>IF(L251&gt;0,IF(BS251&gt;0,R251/Calculation!BS251,0)," ")</f>
        <v xml:space="preserve"> </v>
      </c>
      <c r="BU251" s="438" t="e">
        <f t="shared" ca="1" si="656"/>
        <v>#VALUE!</v>
      </c>
      <c r="BV251" s="449" t="e">
        <f ca="1">INDEX(INDIRECT(VLOOKUP(LEFT(BO251,7),CLU!$Z$3:$AH$18,2)),GN251,GR251)</f>
        <v>#N/A</v>
      </c>
      <c r="BW251" s="433" t="e">
        <f ca="1">INDEX(INDIRECT(VLOOKUP(LEFT(BO251,7),CLU!$Z$3:$AH$18,3)),GN251,GR251)</f>
        <v>#N/A</v>
      </c>
      <c r="BX251" s="433" t="e">
        <f ca="1">INDEX(INDIRECT(VLOOKUP(LEFT(BO251,7),CLU!$Z$3:$AH$18,4)),GN251,GR251)</f>
        <v>#N/A</v>
      </c>
      <c r="BY251" s="433" t="e">
        <f ca="1">INDEX(INDIRECT(VLOOKUP(LEFT(BO251,7),CLU!$Z$3:$AH$18,9)),((M251-2)*(6-COUNTBLANK(GT251:GY251)))+GJ251)</f>
        <v>#N/A</v>
      </c>
      <c r="BZ251" s="426" t="e">
        <f t="shared" ca="1" si="749"/>
        <v>#N/A</v>
      </c>
      <c r="CA251" s="424" t="e">
        <f t="shared" ca="1" si="750"/>
        <v>#N/A</v>
      </c>
      <c r="CB251" s="429" t="e">
        <f ca="1">INDEX(INDIRECT(VLOOKUP(LEFT(BO251,7),CLU!$Z$3:$AH$18,2)),GN251,GS251)</f>
        <v>#N/A</v>
      </c>
      <c r="CC251" s="342" t="e">
        <f ca="1">INDEX(INDIRECT(VLOOKUP(LEFT(BO251,7),CLU!$Z$3:$AH$18,3)),GN251,GS251)</f>
        <v>#N/A</v>
      </c>
      <c r="CD251" s="342" t="e">
        <f ca="1">INDEX(INDIRECT(VLOOKUP(LEFT(BO251,7),CLU!$Z$3:$AH$18,4)),GN251,GS251)</f>
        <v>#N/A</v>
      </c>
      <c r="CE251" s="426" t="e">
        <f t="shared" ca="1" si="751"/>
        <v>#N/A</v>
      </c>
      <c r="CF251" s="440">
        <f t="shared" si="752"/>
        <v>0</v>
      </c>
      <c r="CG251" s="431" t="e">
        <f ca="1">INDEX(INDIRECT(VLOOKUP(LEFT(BO251,7),CLU!$Z$3:$AH$18,2)),GQ251,GR251)</f>
        <v>#N/A</v>
      </c>
      <c r="CH251" s="431" t="e">
        <f ca="1">INDEX(INDIRECT(VLOOKUP(LEFT(BO251,7),CLU!$Z$3:$AH$18,3)),GQ251,GR251)</f>
        <v>#N/A</v>
      </c>
      <c r="CI251" s="431" t="e">
        <f ca="1">INDEX(INDIRECT(VLOOKUP(LEFT(BO251,7),CLU!$Z$3:$AH$18,4)),GQ251,GR251)</f>
        <v>#N/A</v>
      </c>
      <c r="CJ251" s="448" t="e">
        <f t="shared" ca="1" si="753"/>
        <v>#N/A</v>
      </c>
      <c r="CK251" s="431" t="e">
        <f t="shared" ca="1" si="754"/>
        <v>#N/A</v>
      </c>
      <c r="CL251" s="440" t="e">
        <f t="shared" ca="1" si="755"/>
        <v>#N/A</v>
      </c>
      <c r="CM251" s="431" t="e">
        <f ca="1">INDEX(INDIRECT(VLOOKUP(LEFT(BO251,7),CLU!$Z$3:$AH$18,2)),GQ251,GS251)</f>
        <v>#N/A</v>
      </c>
      <c r="CN251" s="431" t="e">
        <f ca="1">INDEX(INDIRECT(VLOOKUP(LEFT(BO251,7),CLU!$Z$3:$AH$18,3)),GQ251,GS251)</f>
        <v>#N/A</v>
      </c>
      <c r="CO251" s="431" t="e">
        <f ca="1">INDEX(INDIRECT(VLOOKUP(LEFT(BO251,7),CLU!$Z$3:$AH$18,4)),GQ251,GS251)</f>
        <v>#N/A</v>
      </c>
      <c r="CP251" s="431" t="e">
        <f t="shared" ca="1" si="756"/>
        <v>#N/A</v>
      </c>
      <c r="CQ251" s="440">
        <f t="shared" si="757"/>
        <v>0</v>
      </c>
      <c r="CR251" s="51" t="e">
        <f t="shared" ca="1" si="758"/>
        <v>#N/A</v>
      </c>
      <c r="CS251" s="439" t="e">
        <f t="shared" ca="1" si="759"/>
        <v>#VALUE!</v>
      </c>
      <c r="CT251" s="51" t="e">
        <f t="shared" ca="1" si="760"/>
        <v>#VALUE!</v>
      </c>
      <c r="CU251" s="10"/>
      <c r="CV251" s="51" t="e">
        <f t="shared" ca="1" si="657"/>
        <v>#VALUE!</v>
      </c>
      <c r="CW251" s="51">
        <f t="shared" si="761"/>
        <v>0</v>
      </c>
      <c r="CX251" s="439" t="e">
        <f t="shared" ca="1" si="762"/>
        <v>#VALUE!</v>
      </c>
      <c r="CY251" s="51" t="e">
        <f t="shared" ca="1" si="763"/>
        <v>#VALUE!</v>
      </c>
      <c r="CZ251" s="10"/>
      <c r="DA251" s="51" t="e">
        <f t="shared" ca="1" si="764"/>
        <v>#VALUE!</v>
      </c>
      <c r="DB251" s="347" t="e">
        <f ca="1">INDEX(INDIRECT(VLOOKUP(LEFT(BO251,7),CLU!$Z$3:$AI$18,10)),((M251-2)*(6-COUNTBLANK(GT251:GY251)))+GJ251)*LI251</f>
        <v>#N/A</v>
      </c>
      <c r="DC251" s="347" t="str">
        <f>IF(L251&gt;0,((R251/Worksheet!$I$15)/DB251)^2," ")</f>
        <v xml:space="preserve"> </v>
      </c>
      <c r="DD251" s="602" t="str">
        <f t="shared" si="765"/>
        <v xml:space="preserve"> </v>
      </c>
      <c r="DE251" s="347" t="str">
        <f t="shared" si="658"/>
        <v xml:space="preserve"> </v>
      </c>
      <c r="DF251" s="356" t="e">
        <f ca="1">INDEX(INDIRECT(VLOOKUP(LEFT(BO251,7),CLU!$Z$3:$AH$18,8)),((M251-2)*(6-COUNTBLANK(GT251:GY251)))+GJ251)</f>
        <v>#N/A</v>
      </c>
      <c r="DG251" s="347" t="str">
        <f t="shared" si="659"/>
        <v xml:space="preserve"> </v>
      </c>
      <c r="DH251" s="357" t="str">
        <f t="shared" si="660"/>
        <v xml:space="preserve"> </v>
      </c>
      <c r="DI251" s="355" t="str">
        <f t="shared" si="661"/>
        <v xml:space="preserve"> </v>
      </c>
      <c r="DJ251" s="245" t="e">
        <f ca="1">INDEX(INDIRECT(VLOOKUP(LEFT(BO251,7),CLU!$Z$3:$AH$18,5)),GL251,GK251)</f>
        <v>#N/A</v>
      </c>
      <c r="DK251" s="245" t="e">
        <f ca="1">INDEX(INDIRECT(VLOOKUP(LEFT(BO251,7),CLU!$Z$3:$AH$18,6)),GL251,GK251)</f>
        <v>#N/A</v>
      </c>
      <c r="DL251" s="355">
        <f>(Calculation!R251*0.69143*(Calculation!$BQ$8-Calculation!$F$8))*$S$14</f>
        <v>0</v>
      </c>
      <c r="DM251" s="359" t="e">
        <f t="shared" si="766"/>
        <v>#VALUE!</v>
      </c>
      <c r="DN251" s="611">
        <f t="shared" si="767"/>
        <v>0</v>
      </c>
      <c r="DO251" s="359">
        <f t="shared" si="768"/>
        <v>100</v>
      </c>
      <c r="DP251" s="359">
        <f t="shared" si="769"/>
        <v>0</v>
      </c>
      <c r="DQ251" s="360"/>
      <c r="DR251" s="245" t="e">
        <f ca="1">INDEX(INDIRECT(VLOOKUP(LEFT(BO251,7),CLU!$Z$3:$AH$18,7)),M251-1,1)</f>
        <v>#N/A</v>
      </c>
      <c r="DS251" s="245" t="e">
        <f ca="1">INDEX(INDIRECT(VLOOKUP(LEFT(BO251,7),CLU!$Z$3:$AH$18,7)),M251-1,2)</f>
        <v>#N/A</v>
      </c>
      <c r="DT251" s="245" t="e">
        <f ca="1">INDEX(INDIRECT(VLOOKUP(LEFT(BO251,7),CLU!$Z$3:$AH$18,7)),M251-1,3)</f>
        <v>#N/A</v>
      </c>
      <c r="DU251" s="245" t="e">
        <f ca="1">INDEX(INDIRECT(VLOOKUP(LEFT(BO251,7),CLU!$Z$3:$AH$18,7)),M251-1,4)</f>
        <v>#N/A</v>
      </c>
      <c r="DV251" s="361" t="e">
        <f ca="1">INDEX(INDIRECT(VLOOKUP(LEFT(BO251,7),CLU!$Z$3:$AH$18,7)),M251-1,4+LEFT(DZ251,1)*0.5)</f>
        <v>#N/A</v>
      </c>
      <c r="DW251" s="245" t="e">
        <f ca="1">INDEX(INDIRECT(VLOOKUP(LEFT(BO251,7),CLU!$Z$3:$AH$18,7)),M251-1,8)</f>
        <v>#N/A</v>
      </c>
      <c r="DX251" s="361" t="str">
        <f t="shared" si="662"/>
        <v xml:space="preserve"> </v>
      </c>
      <c r="DY251" s="361" t="str">
        <f t="shared" si="663"/>
        <v xml:space="preserve"> </v>
      </c>
      <c r="DZ251" s="361" t="str">
        <f t="shared" si="664"/>
        <v xml:space="preserve"> </v>
      </c>
      <c r="EA251" s="362" t="str">
        <f t="shared" si="665"/>
        <v xml:space="preserve"> </v>
      </c>
      <c r="EB251" s="624" t="str">
        <f t="shared" si="770"/>
        <v xml:space="preserve"> </v>
      </c>
      <c r="EC251" s="361" t="e">
        <f ca="1">INDEX(INDIRECT(VLOOKUP(LEFT(BO251,7),CLU!$Z$3:$AH$18,7)),M251-1,4+LEFT(DZ251,1)*0.5)</f>
        <v>#N/A</v>
      </c>
      <c r="ED251" s="362" t="str">
        <f t="shared" si="666"/>
        <v xml:space="preserve"> </v>
      </c>
      <c r="EE251" s="361" t="str">
        <f t="shared" si="667"/>
        <v xml:space="preserve"> </v>
      </c>
      <c r="EF251" s="362" t="str">
        <f>IF(L251&gt;0,IF(BR251&gt;0,IF(EE251="2P",IF(Calculation!DZ251="2P",IF(Calculation!DS251=13.75,IF(Calculation!DR251=13,Worksheet!$BD$43,IF(Calculation!DR251=37,Worksheet!$BD$44,Worksheet!$BD$45)),IF(Calculation!DS251=10,IF(Calculation!DR251=18,Worksheet!$BD$29,IF(Calculation!DR251=30,Worksheet!$BD$30,IF(Calculation!DR251=42,Worksheet!$BD$31,IF(Calculation!DR251=54,Worksheet!$BD$32,IF(Calculation!DR251=66,Worksheet!$BD$33,IF(Calculation!DR251=78,Worksheet!$BD$34,IF(Calculation!DR251=90,Worksheet!$BD$35,IF(Calculation!DR251=102,Worksheet!$BD$36,Worksheet!$BD$37)))))))),IF(Calculation!DS251=12.5,IF(Calculation!DR251=18,Worksheet!$BD$38,IF(Calculation!DR251=Worksheet!$BD$39,IF(Calculation!DR251=42,Worksheet!$BD$40,IF(Calculation!DR251=54,Worksheet!$BD$41,Worksheet!$BD$42)))),IF(Calculation!DR251=18,Worksheet!$BD$11,IF(Calculation!DR251=30,Worksheet!$BD$12,IF(Calculation!DR251=42,Worksheet!$BD$13,IF(Calculation!DR251=54,Worksheet!$BD$14,IF(Calculation!DR251=66,Worksheet!$BD$15,IF(Calculation!DR251=78,Worksheet!$BD$16,IF(Calculation!DR251=90,Worksheet!$BD$17,IF(Calculation!DR251=102,Worksheet!$BD$18,Worksheet!$BD$19))))))))))),IF(Calculation!DS251=13.75,IF(Calculation!DR251=13,Worksheet!$BD$78,IF(Calculation!DR251=37,Worksheet!$BD$79,Worksheet!$BD$80)),IF(Calculation!DS251=10,IF(Calculation!DR251=18,Worksheet!$BD$64,IF(Calculation!DR251=30,Worksheet!$BD$65,IF(Calculation!DR251=42,Worksheet!$BD$66,IF(Calculation!DR251=54,Worksheet!$BD$68,IF(Calculation!DR251=66,Worksheet!$BD$68,IF(Calculation!DR251=78,Worksheet!$BD$69,IF(Calculation!DR251=90,Worksheet!$BD$70,IF(Calculation!DR251=102,Worksheet!$BD$71,Worksheet!$BD$72)))))))),IF(Calculation!DS251=12.5,IF(Calculation!DR251=18,Worksheet!$BD$73,IF(Calculation!DR251=Worksheet!$BD$74,IF(Calculation!DR251=42,Worksheet!$BD$75,IF(Calculation!DR251=54,Worksheet!$BD$76,Worksheet!$BD$77)))),IF(Calculation!DR251=18,Worksheet!$BD$55,IF(Calculation!DR251=30,Worksheet!$BD$56,IF(Calculation!DR251=42,Worksheet!$BD$57,IF(Calculation!DR251=54,Worksheet!$BD$58,IF(Calculation!DR251=66,Worksheet!$BD$59,IF(Calculation!DR251=78,Worksheet!$BD$60,IF(Calculation!DR251=90,Worksheet!$BD$61,IF(Calculation!DR251=102,Worksheet!$BD$62,Worksheet!$BD$63)))))))))))),5),0)," ")</f>
        <v xml:space="preserve"> </v>
      </c>
      <c r="EG251" s="361" t="str">
        <f t="shared" si="668"/>
        <v xml:space="preserve"> </v>
      </c>
      <c r="EH251" s="361" t="e">
        <f ca="1">INDEX(INDIRECT(VLOOKUP(LEFT(BO251,7),CLU!$Z$3:$AH$18,7)),M251-1,3+LEFT(DZ251,1))</f>
        <v>#N/A</v>
      </c>
      <c r="EI251" s="362" t="str">
        <f t="shared" si="669"/>
        <v xml:space="preserve"> </v>
      </c>
      <c r="EJ251" s="363" t="str">
        <f t="shared" si="670"/>
        <v xml:space="preserve"> </v>
      </c>
      <c r="EK251" s="363" t="str">
        <f t="shared" si="671"/>
        <v xml:space="preserve"> </v>
      </c>
      <c r="EL251" s="363" t="str">
        <f t="shared" si="672"/>
        <v xml:space="preserve"> </v>
      </c>
      <c r="EM251" s="362" t="str">
        <f>IF(L251&gt;0,IF(BR251&gt;0,(Calculation!T251/ED251)^2,0)," ")</f>
        <v xml:space="preserve"> </v>
      </c>
      <c r="EN251" s="362" t="str">
        <f>IF(L251&gt;0,IF(O251="2 Pipe (Cooling)","N/A",IF(BR251&gt;0,(Calculation!U251/EI251)^2,0))," ")</f>
        <v xml:space="preserve"> </v>
      </c>
      <c r="EO251" s="361" t="str">
        <f t="shared" si="673"/>
        <v/>
      </c>
      <c r="EP251" s="361" t="str">
        <f t="shared" si="674"/>
        <v/>
      </c>
      <c r="EQ251" s="361" t="str">
        <f t="shared" si="675"/>
        <v/>
      </c>
      <c r="ER251" s="361" t="str">
        <f t="shared" si="676"/>
        <v/>
      </c>
      <c r="ES251" s="361" t="str">
        <f t="shared" si="677"/>
        <v/>
      </c>
      <c r="ET251" s="361" t="str">
        <f t="shared" si="678"/>
        <v/>
      </c>
      <c r="EU251" s="361" t="str">
        <f t="shared" si="679"/>
        <v/>
      </c>
      <c r="EV251" s="361" t="str">
        <f t="shared" si="680"/>
        <v/>
      </c>
      <c r="EW251" s="361" t="str">
        <f t="shared" si="681"/>
        <v/>
      </c>
      <c r="EX251" s="361" t="str">
        <f t="shared" si="771"/>
        <v>1 slot, 1 way</v>
      </c>
      <c r="EY251" s="361" t="str">
        <f t="shared" si="772"/>
        <v xml:space="preserve"> </v>
      </c>
      <c r="EZ251" s="361" t="str">
        <f t="shared" si="773"/>
        <v xml:space="preserve"> </v>
      </c>
      <c r="FA251" s="361" t="str">
        <f t="shared" si="774"/>
        <v xml:space="preserve"> </v>
      </c>
      <c r="FB251" s="361" t="str">
        <f t="shared" si="775"/>
        <v xml:space="preserve"> </v>
      </c>
      <c r="FC251" s="361"/>
      <c r="FD251" s="361" t="str">
        <f>IF(J251&gt;0,IF(Calculation!R251&lt;=70,4,IF(Calculation!R251&lt;=110,5,IF(Calculation!R251&lt;=160,6,IF(Calculation!R251&lt;=300,8,"10 EO")))),"")</f>
        <v/>
      </c>
      <c r="FE251" s="361" t="str">
        <f t="shared" si="776"/>
        <v/>
      </c>
      <c r="FF251" s="361" t="str">
        <f t="shared" si="777"/>
        <v/>
      </c>
      <c r="FG251" s="361" t="e">
        <f t="shared" si="682"/>
        <v>#N/A</v>
      </c>
      <c r="FH251" s="361">
        <f t="shared" si="683"/>
        <v>0</v>
      </c>
      <c r="FI251" s="361" t="e">
        <f t="shared" si="684"/>
        <v>#DIV/0!</v>
      </c>
      <c r="FJ251" s="361"/>
      <c r="FK251" s="356" t="e">
        <f t="shared" si="685"/>
        <v>#VALUE!</v>
      </c>
      <c r="FL251" s="361"/>
      <c r="FM251" s="361"/>
      <c r="FN251" s="362" t="str">
        <f t="shared" si="778"/>
        <v xml:space="preserve"> </v>
      </c>
      <c r="FO251" s="362" t="str">
        <f t="shared" si="779"/>
        <v xml:space="preserve"> </v>
      </c>
      <c r="FP251" s="362">
        <f t="shared" si="780"/>
        <v>0</v>
      </c>
      <c r="FQ251" s="361">
        <f t="shared" si="686"/>
        <v>0</v>
      </c>
      <c r="FR251" s="362" t="str">
        <f>IF(L251&gt;0,IF(J251="CBAL2",Worksheet!$P$67,IF(J251="CBE2-24",Worksheet!$Q$67,IF(J251="CBAM",Worksheet!$R$67,IF(J251="CBLV",Worksheet!$S$67,IF(J251="CBAB",Worksheet!$U$67,IF(J251="CBAW",Worksheet!$X$67,IF(J251="CBE2-12",Worksheet!$Y$67,IF(J251="CBAL2",Worksheet!$Z$67,"N/A"))))))))," ")</f>
        <v xml:space="preserve"> </v>
      </c>
      <c r="FS251" s="362" t="str">
        <f>IF(L251&gt;0,IF(J251="CBAL2",Worksheet!$P$68,IF(J251="CBE2-24",Worksheet!$Q$68,IF(J251="CBAM",Worksheet!$R$68,IF(J251="CBLV",Worksheet!$S$68,IF(J251="CBAB",Worksheet!$U$68,IF(J251="CBAW",Worksheet!$X$68,IF(J251="CBE2-12",Worksheet!$Y$68,IF(J251="CBAL2",Worksheet!$Z$68,"N/A"))))))))," ")</f>
        <v xml:space="preserve"> </v>
      </c>
      <c r="FT251" s="362" t="str">
        <f>IF(L251&gt;0,IF(J251="CBAL2",Worksheet!$P$69,IF(J251="CBE2-24",Worksheet!$Q$69,IF(J251="CBAM",Worksheet!$R$69,IF(J251="CBLV",Worksheet!$S$69,IF(J251="CBAB",Worksheet!$U$69,IF(J251="CBAW",Worksheet!$X$69,IF(J251="CBE2-12",Worksheet!$Y$69,IF(J251="CBAL2",Worksheet!$Z$69,"N/A"))))))))," ")</f>
        <v xml:space="preserve"> </v>
      </c>
      <c r="FU251" s="361" t="str">
        <f t="shared" si="781"/>
        <v xml:space="preserve"> </v>
      </c>
      <c r="FV251" s="362" t="str">
        <f t="shared" si="782"/>
        <v xml:space="preserve"> </v>
      </c>
      <c r="FW251" s="362" t="str">
        <f t="shared" si="783"/>
        <v xml:space="preserve"> </v>
      </c>
      <c r="FX251" s="362" t="str">
        <f t="shared" si="784"/>
        <v xml:space="preserve"> </v>
      </c>
      <c r="FY251" s="355" t="str">
        <f t="shared" si="785"/>
        <v xml:space="preserve"> </v>
      </c>
      <c r="FZ251" s="361" t="str">
        <f t="shared" si="786"/>
        <v xml:space="preserve"> </v>
      </c>
      <c r="GA251" s="347" t="str">
        <f t="shared" si="787"/>
        <v xml:space="preserve"> </v>
      </c>
      <c r="GB251" s="355" t="str">
        <f t="shared" si="788"/>
        <v xml:space="preserve"> </v>
      </c>
      <c r="GC251" s="328" t="str">
        <f t="shared" si="789"/>
        <v xml:space="preserve"> </v>
      </c>
      <c r="GD251" s="361" t="str">
        <f t="shared" si="790"/>
        <v xml:space="preserve"> </v>
      </c>
      <c r="GE251" s="347" t="str">
        <f t="shared" si="791"/>
        <v xml:space="preserve"> </v>
      </c>
      <c r="GF251" s="361" t="str">
        <f t="shared" si="792"/>
        <v xml:space="preserve"> </v>
      </c>
      <c r="GG251" s="347" t="str">
        <f t="shared" si="793"/>
        <v xml:space="preserve"> </v>
      </c>
      <c r="GH251" s="364">
        <f t="shared" si="687"/>
        <v>0</v>
      </c>
      <c r="GI251" s="362">
        <f t="shared" si="794"/>
        <v>2</v>
      </c>
      <c r="GJ251" s="433" t="e">
        <f>IF(6-COUNTBLANK(GT251:GY251)=4,MATCH(MID(BO251,9,3),CLU!$H$16:$K$16),MATCH(MID(BO251,9,3),CLU!$H$13:$M$13))</f>
        <v>#N/A</v>
      </c>
      <c r="GK251" s="433" t="e">
        <f>HLOOKUP(VALUE(BP251),CLU!$H$9:$M$10,2)</f>
        <v>#VALUE!</v>
      </c>
      <c r="GL251" s="433" t="e">
        <f ca="1">MATCH(BU251,CLU!$H$2:$V$2,1)</f>
        <v>#VALUE!</v>
      </c>
      <c r="GM251" s="433" t="e">
        <f t="shared" ca="1" si="795"/>
        <v>#VALUE!</v>
      </c>
      <c r="GN251" s="433" t="e">
        <f t="shared" ca="1" si="796"/>
        <v>#VALUE!</v>
      </c>
      <c r="GO251" s="433" t="e">
        <f t="shared" ca="1" si="797"/>
        <v>#VALUE!</v>
      </c>
      <c r="GP251" s="433" t="e">
        <f t="shared" ca="1" si="798"/>
        <v>#VALUE!</v>
      </c>
      <c r="GQ251" s="433" t="e">
        <f t="shared" ca="1" si="799"/>
        <v>#VALUE!</v>
      </c>
      <c r="GR251" s="433" t="e">
        <f ca="1">MATCH(T251,INDIRECT(VLOOKUP(CONCATENATE(LEFT(BO251,7),"-",MID(BO251,13,1)),CLU!$P$3:$Q$16,2)),1)</f>
        <v>#N/A</v>
      </c>
      <c r="GS251" s="433" t="e">
        <f ca="1">MATCH(U251,INDIRECT(VLOOKUP(CONCATENATE(LEFT(BO251,7),"-",MID(BO251,13,1)),CLU!$P$3:$Q$16,2)),1)</f>
        <v>#N/A</v>
      </c>
      <c r="GT251" s="347" t="s">
        <v>512</v>
      </c>
      <c r="GU251" s="97" t="s">
        <v>513</v>
      </c>
      <c r="GV251" s="97" t="str">
        <f t="shared" si="800"/>
        <v>M23</v>
      </c>
      <c r="GW251" s="97" t="str">
        <f t="shared" si="801"/>
        <v>M31</v>
      </c>
      <c r="GX251" s="97" t="str">
        <f t="shared" si="802"/>
        <v/>
      </c>
      <c r="GY251" s="97" t="str">
        <f t="shared" si="803"/>
        <v/>
      </c>
      <c r="GZ251" s="481"/>
      <c r="HA251" s="288"/>
      <c r="HB251" s="240"/>
      <c r="HC251" s="240"/>
      <c r="HD251" s="240"/>
      <c r="HE251" s="240"/>
      <c r="HF251" s="240"/>
      <c r="HG251" s="240"/>
      <c r="HH251" s="240"/>
      <c r="HI251" s="240"/>
      <c r="HJ251" s="240"/>
      <c r="HK251" s="240"/>
      <c r="HL251" s="240"/>
      <c r="HM251" s="240"/>
      <c r="HN251" s="240"/>
      <c r="HO251" s="240"/>
      <c r="HP251" s="240"/>
      <c r="HQ251" s="240"/>
      <c r="HR251" s="240"/>
      <c r="HS251" s="240"/>
      <c r="HT251" s="240"/>
      <c r="HU251" s="240"/>
      <c r="HV251" s="245"/>
      <c r="HW251" s="245" t="b">
        <v>1</v>
      </c>
      <c r="HX251" s="245" t="str">
        <f t="shared" si="688"/>
        <v/>
      </c>
      <c r="HY251" s="245" t="e">
        <f t="shared" si="689"/>
        <v>#DIV/0!</v>
      </c>
      <c r="HZ251" s="245" t="e">
        <f t="shared" si="690"/>
        <v>#DIV/0!</v>
      </c>
      <c r="IA251" s="245">
        <f t="shared" si="691"/>
        <v>0</v>
      </c>
      <c r="IB251" s="245"/>
      <c r="IC251" t="b">
        <f t="shared" si="692"/>
        <v>1</v>
      </c>
      <c r="ID251" s="245" t="b">
        <f t="shared" si="693"/>
        <v>1</v>
      </c>
      <c r="IE251" s="245" t="b">
        <f t="shared" si="694"/>
        <v>1</v>
      </c>
      <c r="IF251" s="245" t="b">
        <f t="shared" si="695"/>
        <v>0</v>
      </c>
      <c r="IG251" s="245" t="b">
        <f t="shared" si="696"/>
        <v>1</v>
      </c>
      <c r="IH251" s="245" t="b">
        <f t="shared" si="697"/>
        <v>1</v>
      </c>
      <c r="II251" s="245">
        <f t="shared" si="804"/>
        <v>0</v>
      </c>
      <c r="IJ251" s="245" t="e">
        <f t="shared" si="698"/>
        <v>#VALUE!</v>
      </c>
      <c r="IK251" s="245" t="e">
        <f t="shared" si="699"/>
        <v>#VALUE!</v>
      </c>
      <c r="IL251" s="245"/>
      <c r="IM251" s="245" t="e">
        <f t="shared" si="805"/>
        <v>#N/A</v>
      </c>
      <c r="IN251" s="245" t="e">
        <f t="shared" si="806"/>
        <v>#N/A</v>
      </c>
      <c r="IO251" s="245"/>
      <c r="IP251" s="245"/>
      <c r="IQ251" s="245" t="str">
        <f t="shared" si="700"/>
        <v/>
      </c>
      <c r="IR251" s="245" t="str">
        <f>IF(J251="","",VLOOKUP(J251,Worksheet!$R$4:$T$14,2))</f>
        <v/>
      </c>
      <c r="IS251" s="245"/>
      <c r="IT251" s="245">
        <f t="shared" si="701"/>
        <v>0</v>
      </c>
      <c r="IU251" s="245">
        <f t="shared" si="702"/>
        <v>0</v>
      </c>
      <c r="IV251" s="245">
        <f t="shared" si="703"/>
        <v>0</v>
      </c>
      <c r="IW251" s="245">
        <f t="shared" si="704"/>
        <v>0</v>
      </c>
      <c r="IX251" s="245">
        <f t="shared" si="807"/>
        <v>0</v>
      </c>
      <c r="IY251" s="245">
        <f t="shared" si="705"/>
        <v>0</v>
      </c>
      <c r="IZ251" s="245">
        <f t="shared" si="706"/>
        <v>0</v>
      </c>
      <c r="JA251">
        <f t="shared" si="707"/>
        <v>0</v>
      </c>
      <c r="JB251">
        <f t="shared" si="808"/>
        <v>0</v>
      </c>
      <c r="JC251">
        <f t="shared" si="708"/>
        <v>0</v>
      </c>
      <c r="JD251">
        <f t="shared" si="709"/>
        <v>0</v>
      </c>
      <c r="JE251">
        <f t="shared" si="710"/>
        <v>0</v>
      </c>
      <c r="JF251">
        <f t="shared" si="711"/>
        <v>0</v>
      </c>
      <c r="JG251">
        <f t="shared" si="712"/>
        <v>0</v>
      </c>
      <c r="JH251">
        <f t="shared" si="713"/>
        <v>0</v>
      </c>
      <c r="JI251">
        <f t="shared" si="714"/>
        <v>0</v>
      </c>
      <c r="JJ251" s="447">
        <f t="shared" si="715"/>
        <v>0</v>
      </c>
      <c r="JK251" s="447">
        <f t="shared" si="716"/>
        <v>0</v>
      </c>
      <c r="JL251">
        <f t="shared" si="717"/>
        <v>0</v>
      </c>
      <c r="JM251" s="245" t="str">
        <f>IFERROR(VLOOKUP(MATCH(BN251,#REF!,0),#REF!,7),"")</f>
        <v/>
      </c>
      <c r="JN251" t="e">
        <f>HLOOKUP(LEFT(BO251,7),Discharge_Area,MATCH(JO251,LookUps!$B$130:$B$149,1)+2)</f>
        <v>#N/A</v>
      </c>
      <c r="JO251" t="str">
        <f t="shared" si="718"/>
        <v>- S</v>
      </c>
      <c r="JP251" t="e">
        <f>HLOOKUP(LEFT(BO251,7),Discharge_Area,MATCH(JO251,LookUps!$B$130:$B$149,1)+2)</f>
        <v>#N/A</v>
      </c>
      <c r="JQ251" t="e">
        <f t="shared" si="719"/>
        <v>#N/A</v>
      </c>
      <c r="JR251" t="e">
        <f t="shared" si="720"/>
        <v>#N/A</v>
      </c>
      <c r="JS251" t="e">
        <f t="shared" si="721"/>
        <v>#N/A</v>
      </c>
      <c r="JT251" s="532" t="str">
        <f t="shared" si="722"/>
        <v xml:space="preserve"> </v>
      </c>
      <c r="JU251" s="532" t="str">
        <f t="shared" si="723"/>
        <v xml:space="preserve"> </v>
      </c>
      <c r="JV251" s="533" t="str">
        <f t="shared" si="724"/>
        <v xml:space="preserve"> </v>
      </c>
      <c r="JW251" s="534">
        <f t="shared" si="725"/>
        <v>0</v>
      </c>
      <c r="JX251" s="535" t="str">
        <f t="shared" si="809"/>
        <v xml:space="preserve"> </v>
      </c>
      <c r="JY251" s="535" t="str">
        <f t="shared" si="810"/>
        <v xml:space="preserve"> </v>
      </c>
      <c r="JZ251" s="535" t="str">
        <f t="shared" si="811"/>
        <v xml:space="preserve"> </v>
      </c>
      <c r="KA251" s="536" t="str">
        <f t="shared" si="726"/>
        <v xml:space="preserve"> </v>
      </c>
      <c r="KB251" s="535" t="e">
        <f t="shared" si="812"/>
        <v>#VALUE!</v>
      </c>
      <c r="KC251" s="535" t="str">
        <f t="shared" si="727"/>
        <v/>
      </c>
      <c r="KD251" s="537" t="str">
        <f t="shared" si="813"/>
        <v xml:space="preserve"> </v>
      </c>
      <c r="KE251" s="537" t="str">
        <f t="shared" si="814"/>
        <v xml:space="preserve"> </v>
      </c>
      <c r="KF251" s="534">
        <f t="shared" si="728"/>
        <v>0</v>
      </c>
      <c r="KG251" s="535" t="str">
        <f t="shared" si="729"/>
        <v xml:space="preserve"> </v>
      </c>
      <c r="KH251" s="535" t="str">
        <f t="shared" si="730"/>
        <v xml:space="preserve"> </v>
      </c>
      <c r="KI251" s="535" t="str">
        <f t="shared" si="731"/>
        <v xml:space="preserve"> </v>
      </c>
      <c r="KJ251" s="536" t="str">
        <f t="shared" si="732"/>
        <v xml:space="preserve"> </v>
      </c>
      <c r="KK251" s="535" t="str">
        <f t="shared" si="815"/>
        <v xml:space="preserve"> </v>
      </c>
      <c r="KL251" s="535" t="str">
        <f t="shared" si="816"/>
        <v xml:space="preserve"> </v>
      </c>
      <c r="KM251" s="537" t="str">
        <f t="shared" si="733"/>
        <v xml:space="preserve"> </v>
      </c>
      <c r="KN251" s="537" t="str">
        <f t="shared" si="817"/>
        <v xml:space="preserve"> </v>
      </c>
      <c r="KP251">
        <f t="shared" si="734"/>
        <v>0</v>
      </c>
      <c r="LA251" t="e">
        <f t="shared" si="735"/>
        <v>#VALUE!</v>
      </c>
      <c r="LB251" t="e">
        <f t="shared" si="736"/>
        <v>#VALUE!</v>
      </c>
      <c r="LC251" t="e">
        <f t="shared" si="737"/>
        <v>#VALUE!</v>
      </c>
      <c r="LD251" t="e">
        <f t="shared" si="738"/>
        <v>#VALUE!</v>
      </c>
      <c r="LE251" t="e">
        <f t="shared" si="818"/>
        <v>#VALUE!</v>
      </c>
      <c r="LF251">
        <f t="shared" si="739"/>
        <v>0</v>
      </c>
      <c r="LG251" t="e">
        <f t="shared" si="819"/>
        <v>#VALUE!</v>
      </c>
      <c r="LH251" t="str">
        <f t="shared" si="740"/>
        <v xml:space="preserve"> </v>
      </c>
      <c r="LI251">
        <f t="shared" si="820"/>
        <v>1</v>
      </c>
    </row>
    <row r="252" spans="2:321" ht="15" customHeight="1">
      <c r="B252" s="311"/>
      <c r="C252" s="311"/>
      <c r="D252" s="312"/>
      <c r="E252" s="311"/>
      <c r="F252" s="312"/>
      <c r="G252" s="311"/>
      <c r="H252" s="311"/>
      <c r="I252" s="232"/>
      <c r="J252" s="311"/>
      <c r="K252" s="305" t="str">
        <f t="shared" si="741"/>
        <v/>
      </c>
      <c r="L252" s="313"/>
      <c r="M252" s="312"/>
      <c r="N252" s="311"/>
      <c r="O252" s="312"/>
      <c r="P252" s="311"/>
      <c r="Q252" s="305" t="str">
        <f t="shared" si="742"/>
        <v/>
      </c>
      <c r="R252" s="314"/>
      <c r="S252" s="450" t="str">
        <f t="shared" si="625"/>
        <v/>
      </c>
      <c r="T252" s="315"/>
      <c r="U252" s="315"/>
      <c r="W252" s="149" t="str">
        <f t="shared" si="626"/>
        <v xml:space="preserve"> </v>
      </c>
      <c r="X252" s="243" t="str">
        <f t="shared" si="627"/>
        <v xml:space="preserve"> </v>
      </c>
      <c r="Y252" s="150" t="str">
        <f t="shared" si="628"/>
        <v/>
      </c>
      <c r="Z252" s="149" t="str">
        <f t="shared" si="629"/>
        <v xml:space="preserve"> </v>
      </c>
      <c r="AA252" s="98" t="str">
        <f t="shared" si="630"/>
        <v xml:space="preserve"> </v>
      </c>
      <c r="AB252" s="153" t="str">
        <f t="shared" si="631"/>
        <v xml:space="preserve"> </v>
      </c>
      <c r="AC252" s="153" t="str">
        <f t="shared" si="632"/>
        <v xml:space="preserve"> </v>
      </c>
      <c r="AD252" s="148" t="str">
        <f t="shared" si="633"/>
        <v/>
      </c>
      <c r="AE252" s="149" t="str">
        <f t="shared" si="634"/>
        <v/>
      </c>
      <c r="AF252" s="151" t="str">
        <f t="shared" si="635"/>
        <v xml:space="preserve"> </v>
      </c>
      <c r="AG252" s="153" t="str">
        <f t="shared" si="636"/>
        <v xml:space="preserve"> </v>
      </c>
      <c r="AH252" s="98" t="str">
        <f t="shared" si="637"/>
        <v xml:space="preserve"> </v>
      </c>
      <c r="AI252" s="149" t="str">
        <f t="shared" si="638"/>
        <v xml:space="preserve"> </v>
      </c>
      <c r="AK252" s="144" t="str">
        <f t="shared" si="639"/>
        <v xml:space="preserve"> </v>
      </c>
      <c r="AL252" s="144"/>
      <c r="AM252" s="243" t="str">
        <f t="shared" si="640"/>
        <v xml:space="preserve"> </v>
      </c>
      <c r="AN252" s="149" t="str">
        <f t="shared" si="743"/>
        <v xml:space="preserve"> </v>
      </c>
      <c r="AO252" s="144" t="str">
        <f>IF(JB252&gt;0,IF(GI252=10,-R252*1.085*(Calculation!$F$6-Calculation!$F$13)*$S$14," "),"")</f>
        <v/>
      </c>
      <c r="AP252" s="144" t="str">
        <f t="shared" si="641"/>
        <v/>
      </c>
      <c r="AQ252" s="56" t="str">
        <f t="shared" si="642"/>
        <v/>
      </c>
      <c r="AR252" s="144" t="str">
        <f t="shared" si="643"/>
        <v/>
      </c>
      <c r="AS252" s="176" t="str">
        <f t="shared" si="644"/>
        <v/>
      </c>
      <c r="AT252" s="176" t="str">
        <f t="shared" si="744"/>
        <v xml:space="preserve"> </v>
      </c>
      <c r="AU252" s="176" t="str">
        <f t="shared" si="645"/>
        <v/>
      </c>
      <c r="AV252" s="177" t="str">
        <f t="shared" si="646"/>
        <v xml:space="preserve"> </v>
      </c>
      <c r="AW252" s="144" t="str">
        <f t="shared" si="647"/>
        <v xml:space="preserve"> </v>
      </c>
      <c r="AX252" s="144" t="str">
        <f t="shared" si="648"/>
        <v xml:space="preserve"> </v>
      </c>
      <c r="AY252" s="152" t="str">
        <f t="shared" si="649"/>
        <v xml:space="preserve"> </v>
      </c>
      <c r="AZ252" s="246" t="str">
        <f t="shared" si="650"/>
        <v/>
      </c>
      <c r="BA252" s="176" t="str">
        <f t="shared" si="651"/>
        <v xml:space="preserve"> </v>
      </c>
      <c r="BB252" s="176" t="str">
        <f t="shared" si="652"/>
        <v xml:space="preserve"> </v>
      </c>
      <c r="BC252" s="195"/>
      <c r="BD252" s="316"/>
      <c r="BE252" s="317"/>
      <c r="BF252" s="318"/>
      <c r="BG252" s="318"/>
      <c r="BH252" s="144" t="str">
        <f t="shared" si="821"/>
        <v xml:space="preserve"> </v>
      </c>
      <c r="BI252" s="176" t="str">
        <f t="shared" si="653"/>
        <v/>
      </c>
      <c r="BJ252" s="144" t="str">
        <f t="shared" si="822"/>
        <v/>
      </c>
      <c r="BK252" s="246" t="str">
        <f t="shared" si="654"/>
        <v/>
      </c>
      <c r="BL252" s="144" t="str">
        <f t="shared" si="823"/>
        <v/>
      </c>
      <c r="BM252" s="246" t="str">
        <f t="shared" si="655"/>
        <v/>
      </c>
      <c r="BN252" s="337" t="str">
        <f t="shared" si="745"/>
        <v/>
      </c>
      <c r="BO252" s="371" t="str">
        <f t="shared" si="746"/>
        <v/>
      </c>
      <c r="BP252" s="328" t="str">
        <f t="shared" si="824"/>
        <v xml:space="preserve"> </v>
      </c>
      <c r="BQ252" s="347" t="str">
        <f t="shared" si="747"/>
        <v xml:space="preserve"> </v>
      </c>
      <c r="BR252" s="353" t="str">
        <f t="shared" si="748"/>
        <v xml:space="preserve"> </v>
      </c>
      <c r="BS252" s="626" t="str">
        <f>IF(L252&gt;0,IF(Calculation!P252="M13",BR252*3.1416*(0.134^2)/(4*144),IF(Calculation!P252="M17",BR252*3.1416*(0.165^2)/(4*144),IF(Calculation!P252="M20",BR252*3.1416*(0.198^2)/(4*144),IF(Calculation!P252="M23",BR252*3.1416*(0.228^2)/(4*144),IF(Calculation!P252="M27",BR252*3.1416*(0.269^2)/(4*144),BR252*3.1416*(0.307^2)/(4*144))))))," ")</f>
        <v xml:space="preserve"> </v>
      </c>
      <c r="BT252" s="353" t="str">
        <f>IF(L252&gt;0,IF(BS252&gt;0,R252/Calculation!BS252,0)," ")</f>
        <v xml:space="preserve"> </v>
      </c>
      <c r="BU252" s="438" t="e">
        <f t="shared" ca="1" si="656"/>
        <v>#VALUE!</v>
      </c>
      <c r="BV252" s="449" t="e">
        <f ca="1">INDEX(INDIRECT(VLOOKUP(LEFT(BO252,7),CLU!$Z$3:$AH$18,2)),GN252,GR252)</f>
        <v>#N/A</v>
      </c>
      <c r="BW252" s="433" t="e">
        <f ca="1">INDEX(INDIRECT(VLOOKUP(LEFT(BO252,7),CLU!$Z$3:$AH$18,3)),GN252,GR252)</f>
        <v>#N/A</v>
      </c>
      <c r="BX252" s="433" t="e">
        <f ca="1">INDEX(INDIRECT(VLOOKUP(LEFT(BO252,7),CLU!$Z$3:$AH$18,4)),GN252,GR252)</f>
        <v>#N/A</v>
      </c>
      <c r="BY252" s="433" t="e">
        <f ca="1">INDEX(INDIRECT(VLOOKUP(LEFT(BO252,7),CLU!$Z$3:$AH$18,9)),((M252-2)*(6-COUNTBLANK(GT252:GY252)))+GJ252)</f>
        <v>#N/A</v>
      </c>
      <c r="BZ252" s="426" t="e">
        <f t="shared" ca="1" si="749"/>
        <v>#N/A</v>
      </c>
      <c r="CA252" s="424" t="e">
        <f t="shared" ca="1" si="750"/>
        <v>#N/A</v>
      </c>
      <c r="CB252" s="429" t="e">
        <f ca="1">INDEX(INDIRECT(VLOOKUP(LEFT(BO252,7),CLU!$Z$3:$AH$18,2)),GN252,GS252)</f>
        <v>#N/A</v>
      </c>
      <c r="CC252" s="342" t="e">
        <f ca="1">INDEX(INDIRECT(VLOOKUP(LEFT(BO252,7),CLU!$Z$3:$AH$18,3)),GN252,GS252)</f>
        <v>#N/A</v>
      </c>
      <c r="CD252" s="342" t="e">
        <f ca="1">INDEX(INDIRECT(VLOOKUP(LEFT(BO252,7),CLU!$Z$3:$AH$18,4)),GN252,GS252)</f>
        <v>#N/A</v>
      </c>
      <c r="CE252" s="426" t="e">
        <f t="shared" ca="1" si="751"/>
        <v>#N/A</v>
      </c>
      <c r="CF252" s="440">
        <f t="shared" si="752"/>
        <v>0</v>
      </c>
      <c r="CG252" s="431" t="e">
        <f ca="1">INDEX(INDIRECT(VLOOKUP(LEFT(BO252,7),CLU!$Z$3:$AH$18,2)),GQ252,GR252)</f>
        <v>#N/A</v>
      </c>
      <c r="CH252" s="431" t="e">
        <f ca="1">INDEX(INDIRECT(VLOOKUP(LEFT(BO252,7),CLU!$Z$3:$AH$18,3)),GQ252,GR252)</f>
        <v>#N/A</v>
      </c>
      <c r="CI252" s="431" t="e">
        <f ca="1">INDEX(INDIRECT(VLOOKUP(LEFT(BO252,7),CLU!$Z$3:$AH$18,4)),GQ252,GR252)</f>
        <v>#N/A</v>
      </c>
      <c r="CJ252" s="448" t="e">
        <f t="shared" ca="1" si="753"/>
        <v>#N/A</v>
      </c>
      <c r="CK252" s="431" t="e">
        <f t="shared" ca="1" si="754"/>
        <v>#N/A</v>
      </c>
      <c r="CL252" s="440" t="e">
        <f t="shared" ca="1" si="755"/>
        <v>#N/A</v>
      </c>
      <c r="CM252" s="431" t="e">
        <f ca="1">INDEX(INDIRECT(VLOOKUP(LEFT(BO252,7),CLU!$Z$3:$AH$18,2)),GQ252,GS252)</f>
        <v>#N/A</v>
      </c>
      <c r="CN252" s="431" t="e">
        <f ca="1">INDEX(INDIRECT(VLOOKUP(LEFT(BO252,7),CLU!$Z$3:$AH$18,3)),GQ252,GS252)</f>
        <v>#N/A</v>
      </c>
      <c r="CO252" s="431" t="e">
        <f ca="1">INDEX(INDIRECT(VLOOKUP(LEFT(BO252,7),CLU!$Z$3:$AH$18,4)),GQ252,GS252)</f>
        <v>#N/A</v>
      </c>
      <c r="CP252" s="431" t="e">
        <f t="shared" ca="1" si="756"/>
        <v>#N/A</v>
      </c>
      <c r="CQ252" s="440">
        <f t="shared" si="757"/>
        <v>0</v>
      </c>
      <c r="CR252" s="51" t="e">
        <f t="shared" ca="1" si="758"/>
        <v>#N/A</v>
      </c>
      <c r="CS252" s="439" t="e">
        <f t="shared" ca="1" si="759"/>
        <v>#VALUE!</v>
      </c>
      <c r="CT252" s="51" t="e">
        <f t="shared" ca="1" si="760"/>
        <v>#VALUE!</v>
      </c>
      <c r="CU252" s="10"/>
      <c r="CV252" s="51" t="e">
        <f t="shared" ca="1" si="657"/>
        <v>#VALUE!</v>
      </c>
      <c r="CW252" s="51">
        <f t="shared" si="761"/>
        <v>0</v>
      </c>
      <c r="CX252" s="439" t="e">
        <f t="shared" ca="1" si="762"/>
        <v>#VALUE!</v>
      </c>
      <c r="CY252" s="51" t="e">
        <f t="shared" ca="1" si="763"/>
        <v>#VALUE!</v>
      </c>
      <c r="CZ252" s="10"/>
      <c r="DA252" s="51" t="e">
        <f t="shared" ca="1" si="764"/>
        <v>#VALUE!</v>
      </c>
      <c r="DB252" s="347" t="e">
        <f ca="1">INDEX(INDIRECT(VLOOKUP(LEFT(BO252,7),CLU!$Z$3:$AI$18,10)),((M252-2)*(6-COUNTBLANK(GT252:GY252)))+GJ252)*LI252</f>
        <v>#N/A</v>
      </c>
      <c r="DC252" s="347" t="str">
        <f>IF(L252&gt;0,((R252/Worksheet!$I$15)/DB252)^2," ")</f>
        <v xml:space="preserve"> </v>
      </c>
      <c r="DD252" s="602" t="str">
        <f t="shared" si="765"/>
        <v xml:space="preserve"> </v>
      </c>
      <c r="DE252" s="347" t="str">
        <f t="shared" si="658"/>
        <v xml:space="preserve"> </v>
      </c>
      <c r="DF252" s="356" t="e">
        <f ca="1">INDEX(INDIRECT(VLOOKUP(LEFT(BO252,7),CLU!$Z$3:$AH$18,8)),((M252-2)*(6-COUNTBLANK(GT252:GY252)))+GJ252)</f>
        <v>#N/A</v>
      </c>
      <c r="DG252" s="347" t="str">
        <f t="shared" si="659"/>
        <v xml:space="preserve"> </v>
      </c>
      <c r="DH252" s="357" t="str">
        <f t="shared" si="660"/>
        <v xml:space="preserve"> </v>
      </c>
      <c r="DI252" s="355" t="str">
        <f t="shared" si="661"/>
        <v xml:space="preserve"> </v>
      </c>
      <c r="DJ252" s="245" t="e">
        <f ca="1">INDEX(INDIRECT(VLOOKUP(LEFT(BO252,7),CLU!$Z$3:$AH$18,5)),GL252,GK252)</f>
        <v>#N/A</v>
      </c>
      <c r="DK252" s="245" t="e">
        <f ca="1">INDEX(INDIRECT(VLOOKUP(LEFT(BO252,7),CLU!$Z$3:$AH$18,6)),GL252,GK252)</f>
        <v>#N/A</v>
      </c>
      <c r="DL252" s="355">
        <f>(Calculation!R252*0.69143*(Calculation!$BQ$8-Calculation!$F$8))*$S$14</f>
        <v>0</v>
      </c>
      <c r="DM252" s="359" t="e">
        <f t="shared" si="766"/>
        <v>#VALUE!</v>
      </c>
      <c r="DN252" s="611">
        <f t="shared" si="767"/>
        <v>0</v>
      </c>
      <c r="DO252" s="359">
        <f t="shared" si="768"/>
        <v>100</v>
      </c>
      <c r="DP252" s="359">
        <f t="shared" si="769"/>
        <v>0</v>
      </c>
      <c r="DQ252" s="360"/>
      <c r="DR252" s="245" t="e">
        <f ca="1">INDEX(INDIRECT(VLOOKUP(LEFT(BO252,7),CLU!$Z$3:$AH$18,7)),M252-1,1)</f>
        <v>#N/A</v>
      </c>
      <c r="DS252" s="245" t="e">
        <f ca="1">INDEX(INDIRECT(VLOOKUP(LEFT(BO252,7),CLU!$Z$3:$AH$18,7)),M252-1,2)</f>
        <v>#N/A</v>
      </c>
      <c r="DT252" s="245" t="e">
        <f ca="1">INDEX(INDIRECT(VLOOKUP(LEFT(BO252,7),CLU!$Z$3:$AH$18,7)),M252-1,3)</f>
        <v>#N/A</v>
      </c>
      <c r="DU252" s="245" t="e">
        <f ca="1">INDEX(INDIRECT(VLOOKUP(LEFT(BO252,7),CLU!$Z$3:$AH$18,7)),M252-1,4)</f>
        <v>#N/A</v>
      </c>
      <c r="DV252" s="361" t="e">
        <f ca="1">INDEX(INDIRECT(VLOOKUP(LEFT(BO252,7),CLU!$Z$3:$AH$18,7)),M252-1,4+LEFT(DZ252,1)*0.5)</f>
        <v>#N/A</v>
      </c>
      <c r="DW252" s="245" t="e">
        <f ca="1">INDEX(INDIRECT(VLOOKUP(LEFT(BO252,7),CLU!$Z$3:$AH$18,7)),M252-1,8)</f>
        <v>#N/A</v>
      </c>
      <c r="DX252" s="361" t="str">
        <f t="shared" si="662"/>
        <v xml:space="preserve"> </v>
      </c>
      <c r="DY252" s="361" t="str">
        <f t="shared" si="663"/>
        <v xml:space="preserve"> </v>
      </c>
      <c r="DZ252" s="361" t="str">
        <f t="shared" si="664"/>
        <v xml:space="preserve"> </v>
      </c>
      <c r="EA252" s="362" t="str">
        <f t="shared" si="665"/>
        <v xml:space="preserve"> </v>
      </c>
      <c r="EB252" s="624" t="str">
        <f t="shared" si="770"/>
        <v xml:space="preserve"> </v>
      </c>
      <c r="EC252" s="361" t="e">
        <f ca="1">INDEX(INDIRECT(VLOOKUP(LEFT(BO252,7),CLU!$Z$3:$AH$18,7)),M252-1,4+LEFT(DZ252,1)*0.5)</f>
        <v>#N/A</v>
      </c>
      <c r="ED252" s="362" t="str">
        <f t="shared" si="666"/>
        <v xml:space="preserve"> </v>
      </c>
      <c r="EE252" s="361" t="str">
        <f t="shared" si="667"/>
        <v xml:space="preserve"> </v>
      </c>
      <c r="EF252" s="362" t="str">
        <f>IF(L252&gt;0,IF(BR252&gt;0,IF(EE252="2P",IF(Calculation!DZ252="2P",IF(Calculation!DS252=13.75,IF(Calculation!DR252=13,Worksheet!$BD$43,IF(Calculation!DR252=37,Worksheet!$BD$44,Worksheet!$BD$45)),IF(Calculation!DS252=10,IF(Calculation!DR252=18,Worksheet!$BD$29,IF(Calculation!DR252=30,Worksheet!$BD$30,IF(Calculation!DR252=42,Worksheet!$BD$31,IF(Calculation!DR252=54,Worksheet!$BD$32,IF(Calculation!DR252=66,Worksheet!$BD$33,IF(Calculation!DR252=78,Worksheet!$BD$34,IF(Calculation!DR252=90,Worksheet!$BD$35,IF(Calculation!DR252=102,Worksheet!$BD$36,Worksheet!$BD$37)))))))),IF(Calculation!DS252=12.5,IF(Calculation!DR252=18,Worksheet!$BD$38,IF(Calculation!DR252=Worksheet!$BD$39,IF(Calculation!DR252=42,Worksheet!$BD$40,IF(Calculation!DR252=54,Worksheet!$BD$41,Worksheet!$BD$42)))),IF(Calculation!DR252=18,Worksheet!$BD$11,IF(Calculation!DR252=30,Worksheet!$BD$12,IF(Calculation!DR252=42,Worksheet!$BD$13,IF(Calculation!DR252=54,Worksheet!$BD$14,IF(Calculation!DR252=66,Worksheet!$BD$15,IF(Calculation!DR252=78,Worksheet!$BD$16,IF(Calculation!DR252=90,Worksheet!$BD$17,IF(Calculation!DR252=102,Worksheet!$BD$18,Worksheet!$BD$19))))))))))),IF(Calculation!DS252=13.75,IF(Calculation!DR252=13,Worksheet!$BD$78,IF(Calculation!DR252=37,Worksheet!$BD$79,Worksheet!$BD$80)),IF(Calculation!DS252=10,IF(Calculation!DR252=18,Worksheet!$BD$64,IF(Calculation!DR252=30,Worksheet!$BD$65,IF(Calculation!DR252=42,Worksheet!$BD$66,IF(Calculation!DR252=54,Worksheet!$BD$68,IF(Calculation!DR252=66,Worksheet!$BD$68,IF(Calculation!DR252=78,Worksheet!$BD$69,IF(Calculation!DR252=90,Worksheet!$BD$70,IF(Calculation!DR252=102,Worksheet!$BD$71,Worksheet!$BD$72)))))))),IF(Calculation!DS252=12.5,IF(Calculation!DR252=18,Worksheet!$BD$73,IF(Calculation!DR252=Worksheet!$BD$74,IF(Calculation!DR252=42,Worksheet!$BD$75,IF(Calculation!DR252=54,Worksheet!$BD$76,Worksheet!$BD$77)))),IF(Calculation!DR252=18,Worksheet!$BD$55,IF(Calculation!DR252=30,Worksheet!$BD$56,IF(Calculation!DR252=42,Worksheet!$BD$57,IF(Calculation!DR252=54,Worksheet!$BD$58,IF(Calculation!DR252=66,Worksheet!$BD$59,IF(Calculation!DR252=78,Worksheet!$BD$60,IF(Calculation!DR252=90,Worksheet!$BD$61,IF(Calculation!DR252=102,Worksheet!$BD$62,Worksheet!$BD$63)))))))))))),5),0)," ")</f>
        <v xml:space="preserve"> </v>
      </c>
      <c r="EG252" s="361" t="str">
        <f t="shared" si="668"/>
        <v xml:space="preserve"> </v>
      </c>
      <c r="EH252" s="361" t="e">
        <f ca="1">INDEX(INDIRECT(VLOOKUP(LEFT(BO252,7),CLU!$Z$3:$AH$18,7)),M252-1,3+LEFT(DZ252,1))</f>
        <v>#N/A</v>
      </c>
      <c r="EI252" s="362" t="str">
        <f t="shared" si="669"/>
        <v xml:space="preserve"> </v>
      </c>
      <c r="EJ252" s="363" t="str">
        <f t="shared" si="670"/>
        <v xml:space="preserve"> </v>
      </c>
      <c r="EK252" s="363" t="str">
        <f t="shared" si="671"/>
        <v xml:space="preserve"> </v>
      </c>
      <c r="EL252" s="363" t="str">
        <f t="shared" si="672"/>
        <v xml:space="preserve"> </v>
      </c>
      <c r="EM252" s="362" t="str">
        <f>IF(L252&gt;0,IF(BR252&gt;0,(Calculation!T252/ED252)^2,0)," ")</f>
        <v xml:space="preserve"> </v>
      </c>
      <c r="EN252" s="362" t="str">
        <f>IF(L252&gt;0,IF(O252="2 Pipe (Cooling)","N/A",IF(BR252&gt;0,(Calculation!U252/EI252)^2,0))," ")</f>
        <v xml:space="preserve"> </v>
      </c>
      <c r="EO252" s="361" t="str">
        <f t="shared" si="673"/>
        <v/>
      </c>
      <c r="EP252" s="361" t="str">
        <f t="shared" si="674"/>
        <v/>
      </c>
      <c r="EQ252" s="361" t="str">
        <f t="shared" si="675"/>
        <v/>
      </c>
      <c r="ER252" s="361" t="str">
        <f t="shared" si="676"/>
        <v/>
      </c>
      <c r="ES252" s="361" t="str">
        <f t="shared" si="677"/>
        <v/>
      </c>
      <c r="ET252" s="361" t="str">
        <f t="shared" si="678"/>
        <v/>
      </c>
      <c r="EU252" s="361" t="str">
        <f t="shared" si="679"/>
        <v/>
      </c>
      <c r="EV252" s="361" t="str">
        <f t="shared" si="680"/>
        <v/>
      </c>
      <c r="EW252" s="361" t="str">
        <f t="shared" si="681"/>
        <v/>
      </c>
      <c r="EX252" s="361" t="str">
        <f t="shared" si="771"/>
        <v>1 slot, 1 way</v>
      </c>
      <c r="EY252" s="361" t="str">
        <f t="shared" si="772"/>
        <v xml:space="preserve"> </v>
      </c>
      <c r="EZ252" s="361" t="str">
        <f t="shared" si="773"/>
        <v xml:space="preserve"> </v>
      </c>
      <c r="FA252" s="361" t="str">
        <f t="shared" si="774"/>
        <v xml:space="preserve"> </v>
      </c>
      <c r="FB252" s="361" t="str">
        <f t="shared" si="775"/>
        <v xml:space="preserve"> </v>
      </c>
      <c r="FC252" s="361"/>
      <c r="FD252" s="361" t="str">
        <f>IF(J252&gt;0,IF(Calculation!R252&lt;=70,4,IF(Calculation!R252&lt;=110,5,IF(Calculation!R252&lt;=160,6,IF(Calculation!R252&lt;=300,8,"10 EO")))),"")</f>
        <v/>
      </c>
      <c r="FE252" s="361" t="str">
        <f t="shared" si="776"/>
        <v/>
      </c>
      <c r="FF252" s="361" t="str">
        <f t="shared" si="777"/>
        <v/>
      </c>
      <c r="FG252" s="361" t="e">
        <f t="shared" si="682"/>
        <v>#N/A</v>
      </c>
      <c r="FH252" s="361">
        <f t="shared" si="683"/>
        <v>0</v>
      </c>
      <c r="FI252" s="361" t="e">
        <f t="shared" si="684"/>
        <v>#DIV/0!</v>
      </c>
      <c r="FJ252" s="361"/>
      <c r="FK252" s="356" t="e">
        <f t="shared" si="685"/>
        <v>#VALUE!</v>
      </c>
      <c r="FL252" s="361"/>
      <c r="FM252" s="361"/>
      <c r="FN252" s="362" t="str">
        <f t="shared" si="778"/>
        <v xml:space="preserve"> </v>
      </c>
      <c r="FO252" s="362" t="str">
        <f t="shared" si="779"/>
        <v xml:space="preserve"> </v>
      </c>
      <c r="FP252" s="362">
        <f t="shared" si="780"/>
        <v>0</v>
      </c>
      <c r="FQ252" s="361">
        <f t="shared" si="686"/>
        <v>0</v>
      </c>
      <c r="FR252" s="362" t="str">
        <f>IF(L252&gt;0,IF(J252="CBAL2",Worksheet!$P$67,IF(J252="CBE2-24",Worksheet!$Q$67,IF(J252="CBAM",Worksheet!$R$67,IF(J252="CBLV",Worksheet!$S$67,IF(J252="CBAB",Worksheet!$U$67,IF(J252="CBAW",Worksheet!$X$67,IF(J252="CBE2-12",Worksheet!$Y$67,IF(J252="CBAL2",Worksheet!$Z$67,"N/A"))))))))," ")</f>
        <v xml:space="preserve"> </v>
      </c>
      <c r="FS252" s="362" t="str">
        <f>IF(L252&gt;0,IF(J252="CBAL2",Worksheet!$P$68,IF(J252="CBE2-24",Worksheet!$Q$68,IF(J252="CBAM",Worksheet!$R$68,IF(J252="CBLV",Worksheet!$S$68,IF(J252="CBAB",Worksheet!$U$68,IF(J252="CBAW",Worksheet!$X$68,IF(J252="CBE2-12",Worksheet!$Y$68,IF(J252="CBAL2",Worksheet!$Z$68,"N/A"))))))))," ")</f>
        <v xml:space="preserve"> </v>
      </c>
      <c r="FT252" s="362" t="str">
        <f>IF(L252&gt;0,IF(J252="CBAL2",Worksheet!$P$69,IF(J252="CBE2-24",Worksheet!$Q$69,IF(J252="CBAM",Worksheet!$R$69,IF(J252="CBLV",Worksheet!$S$69,IF(J252="CBAB",Worksheet!$U$69,IF(J252="CBAW",Worksheet!$X$69,IF(J252="CBE2-12",Worksheet!$Y$69,IF(J252="CBAL2",Worksheet!$Z$69,"N/A"))))))))," ")</f>
        <v xml:space="preserve"> </v>
      </c>
      <c r="FU252" s="361" t="str">
        <f t="shared" si="781"/>
        <v xml:space="preserve"> </v>
      </c>
      <c r="FV252" s="362" t="str">
        <f t="shared" si="782"/>
        <v xml:space="preserve"> </v>
      </c>
      <c r="FW252" s="362" t="str">
        <f t="shared" si="783"/>
        <v xml:space="preserve"> </v>
      </c>
      <c r="FX252" s="362" t="str">
        <f t="shared" si="784"/>
        <v xml:space="preserve"> </v>
      </c>
      <c r="FY252" s="355" t="str">
        <f t="shared" si="785"/>
        <v xml:space="preserve"> </v>
      </c>
      <c r="FZ252" s="361" t="str">
        <f t="shared" si="786"/>
        <v xml:space="preserve"> </v>
      </c>
      <c r="GA252" s="347" t="str">
        <f t="shared" si="787"/>
        <v xml:space="preserve"> </v>
      </c>
      <c r="GB252" s="355" t="str">
        <f t="shared" si="788"/>
        <v xml:space="preserve"> </v>
      </c>
      <c r="GC252" s="328" t="str">
        <f t="shared" si="789"/>
        <v xml:space="preserve"> </v>
      </c>
      <c r="GD252" s="361" t="str">
        <f t="shared" si="790"/>
        <v xml:space="preserve"> </v>
      </c>
      <c r="GE252" s="347" t="str">
        <f t="shared" si="791"/>
        <v xml:space="preserve"> </v>
      </c>
      <c r="GF252" s="361" t="str">
        <f t="shared" si="792"/>
        <v xml:space="preserve"> </v>
      </c>
      <c r="GG252" s="347" t="str">
        <f t="shared" si="793"/>
        <v xml:space="preserve"> </v>
      </c>
      <c r="GH252" s="364">
        <f t="shared" si="687"/>
        <v>0</v>
      </c>
      <c r="GI252" s="362">
        <f t="shared" si="794"/>
        <v>2</v>
      </c>
      <c r="GJ252" s="433" t="e">
        <f>IF(6-COUNTBLANK(GT252:GY252)=4,MATCH(MID(BO252,9,3),CLU!$H$16:$K$16),MATCH(MID(BO252,9,3),CLU!$H$13:$M$13))</f>
        <v>#N/A</v>
      </c>
      <c r="GK252" s="433" t="e">
        <f>HLOOKUP(VALUE(BP252),CLU!$H$9:$M$10,2)</f>
        <v>#VALUE!</v>
      </c>
      <c r="GL252" s="433" t="e">
        <f ca="1">MATCH(BU252,CLU!$H$2:$V$2,1)</f>
        <v>#VALUE!</v>
      </c>
      <c r="GM252" s="433" t="e">
        <f t="shared" ca="1" si="795"/>
        <v>#VALUE!</v>
      </c>
      <c r="GN252" s="433" t="e">
        <f t="shared" ca="1" si="796"/>
        <v>#VALUE!</v>
      </c>
      <c r="GO252" s="433" t="e">
        <f t="shared" ca="1" si="797"/>
        <v>#VALUE!</v>
      </c>
      <c r="GP252" s="433" t="e">
        <f t="shared" ca="1" si="798"/>
        <v>#VALUE!</v>
      </c>
      <c r="GQ252" s="433" t="e">
        <f t="shared" ca="1" si="799"/>
        <v>#VALUE!</v>
      </c>
      <c r="GR252" s="433" t="e">
        <f ca="1">MATCH(T252,INDIRECT(VLOOKUP(CONCATENATE(LEFT(BO252,7),"-",MID(BO252,13,1)),CLU!$P$3:$Q$16,2)),1)</f>
        <v>#N/A</v>
      </c>
      <c r="GS252" s="433" t="e">
        <f ca="1">MATCH(U252,INDIRECT(VLOOKUP(CONCATENATE(LEFT(BO252,7),"-",MID(BO252,13,1)),CLU!$P$3:$Q$16,2)),1)</f>
        <v>#N/A</v>
      </c>
      <c r="GT252" s="347" t="s">
        <v>512</v>
      </c>
      <c r="GU252" s="97" t="s">
        <v>513</v>
      </c>
      <c r="GV252" s="97" t="str">
        <f t="shared" si="800"/>
        <v>M23</v>
      </c>
      <c r="GW252" s="97" t="str">
        <f t="shared" si="801"/>
        <v>M31</v>
      </c>
      <c r="GX252" s="97" t="str">
        <f t="shared" si="802"/>
        <v/>
      </c>
      <c r="GY252" s="97" t="str">
        <f t="shared" si="803"/>
        <v/>
      </c>
      <c r="GZ252" s="481"/>
      <c r="HA252" s="288"/>
      <c r="HB252" s="240"/>
      <c r="HC252" s="240"/>
      <c r="HD252" s="240"/>
      <c r="HE252" s="240"/>
      <c r="HF252" s="240"/>
      <c r="HG252" s="240"/>
      <c r="HH252" s="240"/>
      <c r="HI252" s="240"/>
      <c r="HJ252" s="240"/>
      <c r="HK252" s="240"/>
      <c r="HL252" s="240"/>
      <c r="HM252" s="240"/>
      <c r="HN252" s="240"/>
      <c r="HO252" s="240"/>
      <c r="HP252" s="240"/>
      <c r="HQ252" s="240"/>
      <c r="HR252" s="240"/>
      <c r="HS252" s="240"/>
      <c r="HT252" s="240"/>
      <c r="HU252" s="240"/>
      <c r="HV252" s="245"/>
      <c r="HW252" s="245" t="b">
        <v>1</v>
      </c>
      <c r="HX252" s="245" t="str">
        <f t="shared" si="688"/>
        <v/>
      </c>
      <c r="HY252" s="245" t="e">
        <f t="shared" si="689"/>
        <v>#DIV/0!</v>
      </c>
      <c r="HZ252" s="245" t="e">
        <f t="shared" si="690"/>
        <v>#DIV/0!</v>
      </c>
      <c r="IA252" s="245">
        <f t="shared" si="691"/>
        <v>0</v>
      </c>
      <c r="IB252" s="245"/>
      <c r="IC252" t="b">
        <f t="shared" si="692"/>
        <v>1</v>
      </c>
      <c r="ID252" s="245" t="b">
        <f t="shared" si="693"/>
        <v>1</v>
      </c>
      <c r="IE252" s="245" t="b">
        <f t="shared" si="694"/>
        <v>1</v>
      </c>
      <c r="IF252" s="245" t="b">
        <f t="shared" si="695"/>
        <v>0</v>
      </c>
      <c r="IG252" s="245" t="b">
        <f t="shared" si="696"/>
        <v>1</v>
      </c>
      <c r="IH252" s="245" t="b">
        <f t="shared" si="697"/>
        <v>1</v>
      </c>
      <c r="II252" s="245">
        <f t="shared" si="804"/>
        <v>0</v>
      </c>
      <c r="IJ252" s="245" t="e">
        <f t="shared" si="698"/>
        <v>#VALUE!</v>
      </c>
      <c r="IK252" s="245" t="e">
        <f t="shared" si="699"/>
        <v>#VALUE!</v>
      </c>
      <c r="IL252" s="245"/>
      <c r="IM252" s="245" t="e">
        <f t="shared" si="805"/>
        <v>#N/A</v>
      </c>
      <c r="IN252" s="245" t="e">
        <f t="shared" si="806"/>
        <v>#N/A</v>
      </c>
      <c r="IO252" s="245"/>
      <c r="IP252" s="245"/>
      <c r="IQ252" s="245" t="str">
        <f t="shared" si="700"/>
        <v/>
      </c>
      <c r="IR252" s="245" t="str">
        <f>IF(J252="","",VLOOKUP(J252,Worksheet!$R$4:$T$14,2))</f>
        <v/>
      </c>
      <c r="IS252" s="245"/>
      <c r="IT252" s="245">
        <f t="shared" si="701"/>
        <v>0</v>
      </c>
      <c r="IU252" s="245">
        <f t="shared" si="702"/>
        <v>0</v>
      </c>
      <c r="IV252" s="245">
        <f t="shared" si="703"/>
        <v>0</v>
      </c>
      <c r="IW252" s="245">
        <f t="shared" si="704"/>
        <v>0</v>
      </c>
      <c r="IX252" s="245">
        <f t="shared" si="807"/>
        <v>0</v>
      </c>
      <c r="IY252" s="245">
        <f t="shared" si="705"/>
        <v>0</v>
      </c>
      <c r="IZ252" s="245">
        <f t="shared" si="706"/>
        <v>0</v>
      </c>
      <c r="JA252">
        <f t="shared" si="707"/>
        <v>0</v>
      </c>
      <c r="JB252">
        <f t="shared" si="808"/>
        <v>0</v>
      </c>
      <c r="JC252">
        <f t="shared" si="708"/>
        <v>0</v>
      </c>
      <c r="JD252">
        <f t="shared" si="709"/>
        <v>0</v>
      </c>
      <c r="JE252">
        <f t="shared" si="710"/>
        <v>0</v>
      </c>
      <c r="JF252">
        <f t="shared" si="711"/>
        <v>0</v>
      </c>
      <c r="JG252">
        <f t="shared" si="712"/>
        <v>0</v>
      </c>
      <c r="JH252">
        <f t="shared" si="713"/>
        <v>0</v>
      </c>
      <c r="JI252">
        <f t="shared" si="714"/>
        <v>0</v>
      </c>
      <c r="JJ252" s="447">
        <f t="shared" si="715"/>
        <v>0</v>
      </c>
      <c r="JK252" s="447">
        <f t="shared" si="716"/>
        <v>0</v>
      </c>
      <c r="JL252">
        <f t="shared" si="717"/>
        <v>0</v>
      </c>
      <c r="JM252" s="245" t="str">
        <f>IFERROR(VLOOKUP(MATCH(BN252,#REF!,0),#REF!,7),"")</f>
        <v/>
      </c>
      <c r="JN252" t="e">
        <f>HLOOKUP(LEFT(BO252,7),Discharge_Area,MATCH(JO252,LookUps!$B$130:$B$149,1)+2)</f>
        <v>#N/A</v>
      </c>
      <c r="JO252" t="str">
        <f t="shared" si="718"/>
        <v>- S</v>
      </c>
      <c r="JP252" t="e">
        <f>HLOOKUP(LEFT(BO252,7),Discharge_Area,MATCH(JO252,LookUps!$B$130:$B$149,1)+2)</f>
        <v>#N/A</v>
      </c>
      <c r="JQ252" t="e">
        <f t="shared" si="719"/>
        <v>#N/A</v>
      </c>
      <c r="JR252" t="e">
        <f t="shared" si="720"/>
        <v>#N/A</v>
      </c>
      <c r="JS252" t="e">
        <f t="shared" si="721"/>
        <v>#N/A</v>
      </c>
      <c r="JT252" s="532" t="str">
        <f t="shared" si="722"/>
        <v xml:space="preserve"> </v>
      </c>
      <c r="JU252" s="532" t="str">
        <f t="shared" si="723"/>
        <v xml:space="preserve"> </v>
      </c>
      <c r="JV252" s="533" t="str">
        <f t="shared" si="724"/>
        <v xml:space="preserve"> </v>
      </c>
      <c r="JW252" s="534">
        <f t="shared" si="725"/>
        <v>0</v>
      </c>
      <c r="JX252" s="535" t="str">
        <f t="shared" si="809"/>
        <v xml:space="preserve"> </v>
      </c>
      <c r="JY252" s="535" t="str">
        <f t="shared" si="810"/>
        <v xml:space="preserve"> </v>
      </c>
      <c r="JZ252" s="535" t="str">
        <f t="shared" si="811"/>
        <v xml:space="preserve"> </v>
      </c>
      <c r="KA252" s="536" t="str">
        <f t="shared" si="726"/>
        <v xml:space="preserve"> </v>
      </c>
      <c r="KB252" s="535" t="e">
        <f t="shared" si="812"/>
        <v>#VALUE!</v>
      </c>
      <c r="KC252" s="535" t="str">
        <f t="shared" si="727"/>
        <v/>
      </c>
      <c r="KD252" s="537" t="str">
        <f t="shared" si="813"/>
        <v xml:space="preserve"> </v>
      </c>
      <c r="KE252" s="537" t="str">
        <f t="shared" si="814"/>
        <v xml:space="preserve"> </v>
      </c>
      <c r="KF252" s="534">
        <f t="shared" si="728"/>
        <v>0</v>
      </c>
      <c r="KG252" s="535" t="str">
        <f t="shared" si="729"/>
        <v xml:space="preserve"> </v>
      </c>
      <c r="KH252" s="535" t="str">
        <f t="shared" si="730"/>
        <v xml:space="preserve"> </v>
      </c>
      <c r="KI252" s="535" t="str">
        <f t="shared" si="731"/>
        <v xml:space="preserve"> </v>
      </c>
      <c r="KJ252" s="536" t="str">
        <f t="shared" si="732"/>
        <v xml:space="preserve"> </v>
      </c>
      <c r="KK252" s="535" t="str">
        <f t="shared" si="815"/>
        <v xml:space="preserve"> </v>
      </c>
      <c r="KL252" s="535" t="str">
        <f t="shared" si="816"/>
        <v xml:space="preserve"> </v>
      </c>
      <c r="KM252" s="537" t="str">
        <f t="shared" si="733"/>
        <v xml:space="preserve"> </v>
      </c>
      <c r="KN252" s="537" t="str">
        <f t="shared" si="817"/>
        <v xml:space="preserve"> </v>
      </c>
      <c r="KP252">
        <f t="shared" si="734"/>
        <v>0</v>
      </c>
      <c r="LA252" t="e">
        <f t="shared" si="735"/>
        <v>#VALUE!</v>
      </c>
      <c r="LB252" t="e">
        <f t="shared" si="736"/>
        <v>#VALUE!</v>
      </c>
      <c r="LC252" t="e">
        <f t="shared" si="737"/>
        <v>#VALUE!</v>
      </c>
      <c r="LD252" t="e">
        <f t="shared" si="738"/>
        <v>#VALUE!</v>
      </c>
      <c r="LE252" t="e">
        <f t="shared" si="818"/>
        <v>#VALUE!</v>
      </c>
      <c r="LF252">
        <f t="shared" si="739"/>
        <v>0</v>
      </c>
      <c r="LG252" t="e">
        <f t="shared" si="819"/>
        <v>#VALUE!</v>
      </c>
      <c r="LH252" t="str">
        <f t="shared" si="740"/>
        <v xml:space="preserve"> </v>
      </c>
      <c r="LI252">
        <f t="shared" si="820"/>
        <v>1</v>
      </c>
    </row>
    <row r="253" spans="2:321" ht="15" customHeight="1">
      <c r="B253" s="311"/>
      <c r="C253" s="311"/>
      <c r="D253" s="312"/>
      <c r="E253" s="311"/>
      <c r="F253" s="312"/>
      <c r="G253" s="311"/>
      <c r="H253" s="311"/>
      <c r="I253" s="232"/>
      <c r="J253" s="311"/>
      <c r="K253" s="305" t="str">
        <f t="shared" si="741"/>
        <v/>
      </c>
      <c r="L253" s="313"/>
      <c r="M253" s="312"/>
      <c r="N253" s="311"/>
      <c r="O253" s="312"/>
      <c r="P253" s="311"/>
      <c r="Q253" s="305" t="str">
        <f t="shared" si="742"/>
        <v/>
      </c>
      <c r="R253" s="314"/>
      <c r="S253" s="450" t="str">
        <f t="shared" si="625"/>
        <v/>
      </c>
      <c r="T253" s="315"/>
      <c r="U253" s="315"/>
      <c r="W253" s="149" t="str">
        <f t="shared" si="626"/>
        <v xml:space="preserve"> </v>
      </c>
      <c r="X253" s="243" t="str">
        <f t="shared" si="627"/>
        <v xml:space="preserve"> </v>
      </c>
      <c r="Y253" s="150" t="str">
        <f t="shared" si="628"/>
        <v/>
      </c>
      <c r="Z253" s="149" t="str">
        <f t="shared" si="629"/>
        <v xml:space="preserve"> </v>
      </c>
      <c r="AA253" s="98" t="str">
        <f t="shared" si="630"/>
        <v xml:space="preserve"> </v>
      </c>
      <c r="AB253" s="153" t="str">
        <f t="shared" si="631"/>
        <v xml:space="preserve"> </v>
      </c>
      <c r="AC253" s="153" t="str">
        <f t="shared" si="632"/>
        <v xml:space="preserve"> </v>
      </c>
      <c r="AD253" s="148" t="str">
        <f t="shared" si="633"/>
        <v/>
      </c>
      <c r="AE253" s="149" t="str">
        <f t="shared" si="634"/>
        <v/>
      </c>
      <c r="AF253" s="151" t="str">
        <f t="shared" si="635"/>
        <v xml:space="preserve"> </v>
      </c>
      <c r="AG253" s="153" t="str">
        <f t="shared" si="636"/>
        <v xml:space="preserve"> </v>
      </c>
      <c r="AH253" s="98" t="str">
        <f t="shared" si="637"/>
        <v xml:space="preserve"> </v>
      </c>
      <c r="AI253" s="149" t="str">
        <f t="shared" si="638"/>
        <v xml:space="preserve"> </v>
      </c>
      <c r="AK253" s="144" t="str">
        <f t="shared" si="639"/>
        <v xml:space="preserve"> </v>
      </c>
      <c r="AL253" s="144"/>
      <c r="AM253" s="243" t="str">
        <f t="shared" si="640"/>
        <v xml:space="preserve"> </v>
      </c>
      <c r="AN253" s="149" t="str">
        <f t="shared" si="743"/>
        <v xml:space="preserve"> </v>
      </c>
      <c r="AO253" s="144" t="str">
        <f>IF(JB253&gt;0,IF(GI253=10,-R253*1.085*(Calculation!$F$6-Calculation!$F$13)*$S$14," "),"")</f>
        <v/>
      </c>
      <c r="AP253" s="144" t="str">
        <f t="shared" si="641"/>
        <v/>
      </c>
      <c r="AQ253" s="56" t="str">
        <f t="shared" si="642"/>
        <v/>
      </c>
      <c r="AR253" s="144" t="str">
        <f t="shared" si="643"/>
        <v/>
      </c>
      <c r="AS253" s="176" t="str">
        <f t="shared" si="644"/>
        <v/>
      </c>
      <c r="AT253" s="176" t="str">
        <f t="shared" si="744"/>
        <v xml:space="preserve"> </v>
      </c>
      <c r="AU253" s="176" t="str">
        <f t="shared" si="645"/>
        <v/>
      </c>
      <c r="AV253" s="177" t="str">
        <f t="shared" si="646"/>
        <v xml:space="preserve"> </v>
      </c>
      <c r="AW253" s="144" t="str">
        <f t="shared" si="647"/>
        <v xml:space="preserve"> </v>
      </c>
      <c r="AX253" s="144" t="str">
        <f t="shared" si="648"/>
        <v xml:space="preserve"> </v>
      </c>
      <c r="AY253" s="152" t="str">
        <f t="shared" si="649"/>
        <v xml:space="preserve"> </v>
      </c>
      <c r="AZ253" s="246" t="str">
        <f t="shared" si="650"/>
        <v/>
      </c>
      <c r="BA253" s="176" t="str">
        <f t="shared" si="651"/>
        <v xml:space="preserve"> </v>
      </c>
      <c r="BB253" s="176" t="str">
        <f t="shared" si="652"/>
        <v xml:space="preserve"> </v>
      </c>
      <c r="BC253" s="195"/>
      <c r="BD253" s="316"/>
      <c r="BE253" s="317"/>
      <c r="BF253" s="318"/>
      <c r="BG253" s="318"/>
      <c r="BH253" s="144" t="str">
        <f t="shared" si="821"/>
        <v xml:space="preserve"> </v>
      </c>
      <c r="BI253" s="176" t="str">
        <f t="shared" si="653"/>
        <v/>
      </c>
      <c r="BJ253" s="144" t="str">
        <f t="shared" si="822"/>
        <v/>
      </c>
      <c r="BK253" s="246" t="str">
        <f t="shared" si="654"/>
        <v/>
      </c>
      <c r="BL253" s="144" t="str">
        <f t="shared" si="823"/>
        <v/>
      </c>
      <c r="BM253" s="246" t="str">
        <f t="shared" si="655"/>
        <v/>
      </c>
      <c r="BN253" s="337" t="str">
        <f t="shared" si="745"/>
        <v/>
      </c>
      <c r="BO253" s="371" t="str">
        <f t="shared" si="746"/>
        <v/>
      </c>
      <c r="BP253" s="328" t="str">
        <f t="shared" si="824"/>
        <v xml:space="preserve"> </v>
      </c>
      <c r="BQ253" s="347" t="str">
        <f t="shared" si="747"/>
        <v xml:space="preserve"> </v>
      </c>
      <c r="BR253" s="353" t="str">
        <f t="shared" si="748"/>
        <v xml:space="preserve"> </v>
      </c>
      <c r="BS253" s="626" t="str">
        <f>IF(L253&gt;0,IF(Calculation!P253="M13",BR253*3.1416*(0.134^2)/(4*144),IF(Calculation!P253="M17",BR253*3.1416*(0.165^2)/(4*144),IF(Calculation!P253="M20",BR253*3.1416*(0.198^2)/(4*144),IF(Calculation!P253="M23",BR253*3.1416*(0.228^2)/(4*144),IF(Calculation!P253="M27",BR253*3.1416*(0.269^2)/(4*144),BR253*3.1416*(0.307^2)/(4*144))))))," ")</f>
        <v xml:space="preserve"> </v>
      </c>
      <c r="BT253" s="353" t="str">
        <f>IF(L253&gt;0,IF(BS253&gt;0,R253/Calculation!BS253,0)," ")</f>
        <v xml:space="preserve"> </v>
      </c>
      <c r="BU253" s="438" t="e">
        <f t="shared" ca="1" si="656"/>
        <v>#VALUE!</v>
      </c>
      <c r="BV253" s="449" t="e">
        <f ca="1">INDEX(INDIRECT(VLOOKUP(LEFT(BO253,7),CLU!$Z$3:$AH$18,2)),GN253,GR253)</f>
        <v>#N/A</v>
      </c>
      <c r="BW253" s="433" t="e">
        <f ca="1">INDEX(INDIRECT(VLOOKUP(LEFT(BO253,7),CLU!$Z$3:$AH$18,3)),GN253,GR253)</f>
        <v>#N/A</v>
      </c>
      <c r="BX253" s="433" t="e">
        <f ca="1">INDEX(INDIRECT(VLOOKUP(LEFT(BO253,7),CLU!$Z$3:$AH$18,4)),GN253,GR253)</f>
        <v>#N/A</v>
      </c>
      <c r="BY253" s="433" t="e">
        <f ca="1">INDEX(INDIRECT(VLOOKUP(LEFT(BO253,7),CLU!$Z$3:$AH$18,9)),((M253-2)*(6-COUNTBLANK(GT253:GY253)))+GJ253)</f>
        <v>#N/A</v>
      </c>
      <c r="BZ253" s="426" t="e">
        <f t="shared" ca="1" si="749"/>
        <v>#N/A</v>
      </c>
      <c r="CA253" s="424" t="e">
        <f t="shared" ca="1" si="750"/>
        <v>#N/A</v>
      </c>
      <c r="CB253" s="429" t="e">
        <f ca="1">INDEX(INDIRECT(VLOOKUP(LEFT(BO253,7),CLU!$Z$3:$AH$18,2)),GN253,GS253)</f>
        <v>#N/A</v>
      </c>
      <c r="CC253" s="342" t="e">
        <f ca="1">INDEX(INDIRECT(VLOOKUP(LEFT(BO253,7),CLU!$Z$3:$AH$18,3)),GN253,GS253)</f>
        <v>#N/A</v>
      </c>
      <c r="CD253" s="342" t="e">
        <f ca="1">INDEX(INDIRECT(VLOOKUP(LEFT(BO253,7),CLU!$Z$3:$AH$18,4)),GN253,GS253)</f>
        <v>#N/A</v>
      </c>
      <c r="CE253" s="426" t="e">
        <f t="shared" ca="1" si="751"/>
        <v>#N/A</v>
      </c>
      <c r="CF253" s="440">
        <f t="shared" si="752"/>
        <v>0</v>
      </c>
      <c r="CG253" s="431" t="e">
        <f ca="1">INDEX(INDIRECT(VLOOKUP(LEFT(BO253,7),CLU!$Z$3:$AH$18,2)),GQ253,GR253)</f>
        <v>#N/A</v>
      </c>
      <c r="CH253" s="431" t="e">
        <f ca="1">INDEX(INDIRECT(VLOOKUP(LEFT(BO253,7),CLU!$Z$3:$AH$18,3)),GQ253,GR253)</f>
        <v>#N/A</v>
      </c>
      <c r="CI253" s="431" t="e">
        <f ca="1">INDEX(INDIRECT(VLOOKUP(LEFT(BO253,7),CLU!$Z$3:$AH$18,4)),GQ253,GR253)</f>
        <v>#N/A</v>
      </c>
      <c r="CJ253" s="448" t="e">
        <f t="shared" ca="1" si="753"/>
        <v>#N/A</v>
      </c>
      <c r="CK253" s="431" t="e">
        <f t="shared" ca="1" si="754"/>
        <v>#N/A</v>
      </c>
      <c r="CL253" s="440" t="e">
        <f t="shared" ca="1" si="755"/>
        <v>#N/A</v>
      </c>
      <c r="CM253" s="431" t="e">
        <f ca="1">INDEX(INDIRECT(VLOOKUP(LEFT(BO253,7),CLU!$Z$3:$AH$18,2)),GQ253,GS253)</f>
        <v>#N/A</v>
      </c>
      <c r="CN253" s="431" t="e">
        <f ca="1">INDEX(INDIRECT(VLOOKUP(LEFT(BO253,7),CLU!$Z$3:$AH$18,3)),GQ253,GS253)</f>
        <v>#N/A</v>
      </c>
      <c r="CO253" s="431" t="e">
        <f ca="1">INDEX(INDIRECT(VLOOKUP(LEFT(BO253,7),CLU!$Z$3:$AH$18,4)),GQ253,GS253)</f>
        <v>#N/A</v>
      </c>
      <c r="CP253" s="431" t="e">
        <f t="shared" ca="1" si="756"/>
        <v>#N/A</v>
      </c>
      <c r="CQ253" s="440">
        <f t="shared" si="757"/>
        <v>0</v>
      </c>
      <c r="CR253" s="51" t="e">
        <f t="shared" ca="1" si="758"/>
        <v>#N/A</v>
      </c>
      <c r="CS253" s="439" t="e">
        <f t="shared" ca="1" si="759"/>
        <v>#VALUE!</v>
      </c>
      <c r="CT253" s="51" t="e">
        <f t="shared" ca="1" si="760"/>
        <v>#VALUE!</v>
      </c>
      <c r="CU253" s="10"/>
      <c r="CV253" s="51" t="e">
        <f t="shared" ca="1" si="657"/>
        <v>#VALUE!</v>
      </c>
      <c r="CW253" s="51">
        <f t="shared" si="761"/>
        <v>0</v>
      </c>
      <c r="CX253" s="439" t="e">
        <f t="shared" ca="1" si="762"/>
        <v>#VALUE!</v>
      </c>
      <c r="CY253" s="51" t="e">
        <f t="shared" ca="1" si="763"/>
        <v>#VALUE!</v>
      </c>
      <c r="CZ253" s="10"/>
      <c r="DA253" s="51" t="e">
        <f t="shared" ca="1" si="764"/>
        <v>#VALUE!</v>
      </c>
      <c r="DB253" s="347" t="e">
        <f ca="1">INDEX(INDIRECT(VLOOKUP(LEFT(BO253,7),CLU!$Z$3:$AI$18,10)),((M253-2)*(6-COUNTBLANK(GT253:GY253)))+GJ253)*LI253</f>
        <v>#N/A</v>
      </c>
      <c r="DC253" s="347" t="str">
        <f>IF(L253&gt;0,((R253/Worksheet!$I$15)/DB253)^2," ")</f>
        <v xml:space="preserve"> </v>
      </c>
      <c r="DD253" s="602" t="str">
        <f t="shared" si="765"/>
        <v xml:space="preserve"> </v>
      </c>
      <c r="DE253" s="347" t="str">
        <f t="shared" si="658"/>
        <v xml:space="preserve"> </v>
      </c>
      <c r="DF253" s="356" t="e">
        <f ca="1">INDEX(INDIRECT(VLOOKUP(LEFT(BO253,7),CLU!$Z$3:$AH$18,8)),((M253-2)*(6-COUNTBLANK(GT253:GY253)))+GJ253)</f>
        <v>#N/A</v>
      </c>
      <c r="DG253" s="347" t="str">
        <f t="shared" si="659"/>
        <v xml:space="preserve"> </v>
      </c>
      <c r="DH253" s="357" t="str">
        <f t="shared" si="660"/>
        <v xml:space="preserve"> </v>
      </c>
      <c r="DI253" s="355" t="str">
        <f t="shared" si="661"/>
        <v xml:space="preserve"> </v>
      </c>
      <c r="DJ253" s="245" t="e">
        <f ca="1">INDEX(INDIRECT(VLOOKUP(LEFT(BO253,7),CLU!$Z$3:$AH$18,5)),GL253,GK253)</f>
        <v>#N/A</v>
      </c>
      <c r="DK253" s="245" t="e">
        <f ca="1">INDEX(INDIRECT(VLOOKUP(LEFT(BO253,7),CLU!$Z$3:$AH$18,6)),GL253,GK253)</f>
        <v>#N/A</v>
      </c>
      <c r="DL253" s="355">
        <f>(Calculation!R253*0.69143*(Calculation!$BQ$8-Calculation!$F$8))*$S$14</f>
        <v>0</v>
      </c>
      <c r="DM253" s="359" t="e">
        <f t="shared" si="766"/>
        <v>#VALUE!</v>
      </c>
      <c r="DN253" s="611">
        <f t="shared" si="767"/>
        <v>0</v>
      </c>
      <c r="DO253" s="359">
        <f t="shared" si="768"/>
        <v>100</v>
      </c>
      <c r="DP253" s="359">
        <f t="shared" si="769"/>
        <v>0</v>
      </c>
      <c r="DQ253" s="360"/>
      <c r="DR253" s="245" t="e">
        <f ca="1">INDEX(INDIRECT(VLOOKUP(LEFT(BO253,7),CLU!$Z$3:$AH$18,7)),M253-1,1)</f>
        <v>#N/A</v>
      </c>
      <c r="DS253" s="245" t="e">
        <f ca="1">INDEX(INDIRECT(VLOOKUP(LEFT(BO253,7),CLU!$Z$3:$AH$18,7)),M253-1,2)</f>
        <v>#N/A</v>
      </c>
      <c r="DT253" s="245" t="e">
        <f ca="1">INDEX(INDIRECT(VLOOKUP(LEFT(BO253,7),CLU!$Z$3:$AH$18,7)),M253-1,3)</f>
        <v>#N/A</v>
      </c>
      <c r="DU253" s="245" t="e">
        <f ca="1">INDEX(INDIRECT(VLOOKUP(LEFT(BO253,7),CLU!$Z$3:$AH$18,7)),M253-1,4)</f>
        <v>#N/A</v>
      </c>
      <c r="DV253" s="361" t="e">
        <f ca="1">INDEX(INDIRECT(VLOOKUP(LEFT(BO253,7),CLU!$Z$3:$AH$18,7)),M253-1,4+LEFT(DZ253,1)*0.5)</f>
        <v>#N/A</v>
      </c>
      <c r="DW253" s="245" t="e">
        <f ca="1">INDEX(INDIRECT(VLOOKUP(LEFT(BO253,7),CLU!$Z$3:$AH$18,7)),M253-1,8)</f>
        <v>#N/A</v>
      </c>
      <c r="DX253" s="361" t="str">
        <f t="shared" si="662"/>
        <v xml:space="preserve"> </v>
      </c>
      <c r="DY253" s="361" t="str">
        <f t="shared" si="663"/>
        <v xml:space="preserve"> </v>
      </c>
      <c r="DZ253" s="361" t="str">
        <f t="shared" si="664"/>
        <v xml:space="preserve"> </v>
      </c>
      <c r="EA253" s="362" t="str">
        <f t="shared" si="665"/>
        <v xml:space="preserve"> </v>
      </c>
      <c r="EB253" s="624" t="str">
        <f t="shared" si="770"/>
        <v xml:space="preserve"> </v>
      </c>
      <c r="EC253" s="361" t="e">
        <f ca="1">INDEX(INDIRECT(VLOOKUP(LEFT(BO253,7),CLU!$Z$3:$AH$18,7)),M253-1,4+LEFT(DZ253,1)*0.5)</f>
        <v>#N/A</v>
      </c>
      <c r="ED253" s="362" t="str">
        <f t="shared" si="666"/>
        <v xml:space="preserve"> </v>
      </c>
      <c r="EE253" s="361" t="str">
        <f t="shared" si="667"/>
        <v xml:space="preserve"> </v>
      </c>
      <c r="EF253" s="362" t="str">
        <f>IF(L253&gt;0,IF(BR253&gt;0,IF(EE253="2P",IF(Calculation!DZ253="2P",IF(Calculation!DS253=13.75,IF(Calculation!DR253=13,Worksheet!$BD$43,IF(Calculation!DR253=37,Worksheet!$BD$44,Worksheet!$BD$45)),IF(Calculation!DS253=10,IF(Calculation!DR253=18,Worksheet!$BD$29,IF(Calculation!DR253=30,Worksheet!$BD$30,IF(Calculation!DR253=42,Worksheet!$BD$31,IF(Calculation!DR253=54,Worksheet!$BD$32,IF(Calculation!DR253=66,Worksheet!$BD$33,IF(Calculation!DR253=78,Worksheet!$BD$34,IF(Calculation!DR253=90,Worksheet!$BD$35,IF(Calculation!DR253=102,Worksheet!$BD$36,Worksheet!$BD$37)))))))),IF(Calculation!DS253=12.5,IF(Calculation!DR253=18,Worksheet!$BD$38,IF(Calculation!DR253=Worksheet!$BD$39,IF(Calculation!DR253=42,Worksheet!$BD$40,IF(Calculation!DR253=54,Worksheet!$BD$41,Worksheet!$BD$42)))),IF(Calculation!DR253=18,Worksheet!$BD$11,IF(Calculation!DR253=30,Worksheet!$BD$12,IF(Calculation!DR253=42,Worksheet!$BD$13,IF(Calculation!DR253=54,Worksheet!$BD$14,IF(Calculation!DR253=66,Worksheet!$BD$15,IF(Calculation!DR253=78,Worksheet!$BD$16,IF(Calculation!DR253=90,Worksheet!$BD$17,IF(Calculation!DR253=102,Worksheet!$BD$18,Worksheet!$BD$19))))))))))),IF(Calculation!DS253=13.75,IF(Calculation!DR253=13,Worksheet!$BD$78,IF(Calculation!DR253=37,Worksheet!$BD$79,Worksheet!$BD$80)),IF(Calculation!DS253=10,IF(Calculation!DR253=18,Worksheet!$BD$64,IF(Calculation!DR253=30,Worksheet!$BD$65,IF(Calculation!DR253=42,Worksheet!$BD$66,IF(Calculation!DR253=54,Worksheet!$BD$68,IF(Calculation!DR253=66,Worksheet!$BD$68,IF(Calculation!DR253=78,Worksheet!$BD$69,IF(Calculation!DR253=90,Worksheet!$BD$70,IF(Calculation!DR253=102,Worksheet!$BD$71,Worksheet!$BD$72)))))))),IF(Calculation!DS253=12.5,IF(Calculation!DR253=18,Worksheet!$BD$73,IF(Calculation!DR253=Worksheet!$BD$74,IF(Calculation!DR253=42,Worksheet!$BD$75,IF(Calculation!DR253=54,Worksheet!$BD$76,Worksheet!$BD$77)))),IF(Calculation!DR253=18,Worksheet!$BD$55,IF(Calculation!DR253=30,Worksheet!$BD$56,IF(Calculation!DR253=42,Worksheet!$BD$57,IF(Calculation!DR253=54,Worksheet!$BD$58,IF(Calculation!DR253=66,Worksheet!$BD$59,IF(Calculation!DR253=78,Worksheet!$BD$60,IF(Calculation!DR253=90,Worksheet!$BD$61,IF(Calculation!DR253=102,Worksheet!$BD$62,Worksheet!$BD$63)))))))))))),5),0)," ")</f>
        <v xml:space="preserve"> </v>
      </c>
      <c r="EG253" s="361" t="str">
        <f t="shared" si="668"/>
        <v xml:space="preserve"> </v>
      </c>
      <c r="EH253" s="361" t="e">
        <f ca="1">INDEX(INDIRECT(VLOOKUP(LEFT(BO253,7),CLU!$Z$3:$AH$18,7)),M253-1,3+LEFT(DZ253,1))</f>
        <v>#N/A</v>
      </c>
      <c r="EI253" s="362" t="str">
        <f t="shared" si="669"/>
        <v xml:space="preserve"> </v>
      </c>
      <c r="EJ253" s="363" t="str">
        <f t="shared" si="670"/>
        <v xml:space="preserve"> </v>
      </c>
      <c r="EK253" s="363" t="str">
        <f t="shared" si="671"/>
        <v xml:space="preserve"> </v>
      </c>
      <c r="EL253" s="363" t="str">
        <f t="shared" si="672"/>
        <v xml:space="preserve"> </v>
      </c>
      <c r="EM253" s="362" t="str">
        <f>IF(L253&gt;0,IF(BR253&gt;0,(Calculation!T253/ED253)^2,0)," ")</f>
        <v xml:space="preserve"> </v>
      </c>
      <c r="EN253" s="362" t="str">
        <f>IF(L253&gt;0,IF(O253="2 Pipe (Cooling)","N/A",IF(BR253&gt;0,(Calculation!U253/EI253)^2,0))," ")</f>
        <v xml:space="preserve"> </v>
      </c>
      <c r="EO253" s="361" t="str">
        <f t="shared" si="673"/>
        <v/>
      </c>
      <c r="EP253" s="361" t="str">
        <f t="shared" si="674"/>
        <v/>
      </c>
      <c r="EQ253" s="361" t="str">
        <f t="shared" si="675"/>
        <v/>
      </c>
      <c r="ER253" s="361" t="str">
        <f t="shared" si="676"/>
        <v/>
      </c>
      <c r="ES253" s="361" t="str">
        <f t="shared" si="677"/>
        <v/>
      </c>
      <c r="ET253" s="361" t="str">
        <f t="shared" si="678"/>
        <v/>
      </c>
      <c r="EU253" s="361" t="str">
        <f t="shared" si="679"/>
        <v/>
      </c>
      <c r="EV253" s="361" t="str">
        <f t="shared" si="680"/>
        <v/>
      </c>
      <c r="EW253" s="361" t="str">
        <f t="shared" si="681"/>
        <v/>
      </c>
      <c r="EX253" s="361" t="str">
        <f t="shared" si="771"/>
        <v>1 slot, 1 way</v>
      </c>
      <c r="EY253" s="361" t="str">
        <f t="shared" si="772"/>
        <v xml:space="preserve"> </v>
      </c>
      <c r="EZ253" s="361" t="str">
        <f t="shared" si="773"/>
        <v xml:space="preserve"> </v>
      </c>
      <c r="FA253" s="361" t="str">
        <f t="shared" si="774"/>
        <v xml:space="preserve"> </v>
      </c>
      <c r="FB253" s="361" t="str">
        <f t="shared" si="775"/>
        <v xml:space="preserve"> </v>
      </c>
      <c r="FC253" s="361"/>
      <c r="FD253" s="361" t="str">
        <f>IF(J253&gt;0,IF(Calculation!R253&lt;=70,4,IF(Calculation!R253&lt;=110,5,IF(Calculation!R253&lt;=160,6,IF(Calculation!R253&lt;=300,8,"10 EO")))),"")</f>
        <v/>
      </c>
      <c r="FE253" s="361" t="str">
        <f t="shared" si="776"/>
        <v/>
      </c>
      <c r="FF253" s="361" t="str">
        <f t="shared" si="777"/>
        <v/>
      </c>
      <c r="FG253" s="361" t="e">
        <f t="shared" si="682"/>
        <v>#N/A</v>
      </c>
      <c r="FH253" s="361">
        <f t="shared" si="683"/>
        <v>0</v>
      </c>
      <c r="FI253" s="361" t="e">
        <f t="shared" si="684"/>
        <v>#DIV/0!</v>
      </c>
      <c r="FJ253" s="361"/>
      <c r="FK253" s="356" t="e">
        <f t="shared" si="685"/>
        <v>#VALUE!</v>
      </c>
      <c r="FL253" s="361"/>
      <c r="FM253" s="361"/>
      <c r="FN253" s="362" t="str">
        <f t="shared" si="778"/>
        <v xml:space="preserve"> </v>
      </c>
      <c r="FO253" s="362" t="str">
        <f t="shared" si="779"/>
        <v xml:space="preserve"> </v>
      </c>
      <c r="FP253" s="362">
        <f t="shared" si="780"/>
        <v>0</v>
      </c>
      <c r="FQ253" s="361">
        <f t="shared" si="686"/>
        <v>0</v>
      </c>
      <c r="FR253" s="362" t="str">
        <f>IF(L253&gt;0,IF(J253="CBAL2",Worksheet!$P$67,IF(J253="CBE2-24",Worksheet!$Q$67,IF(J253="CBAM",Worksheet!$R$67,IF(J253="CBLV",Worksheet!$S$67,IF(J253="CBAB",Worksheet!$U$67,IF(J253="CBAW",Worksheet!$X$67,IF(J253="CBE2-12",Worksheet!$Y$67,IF(J253="CBAL2",Worksheet!$Z$67,"N/A"))))))))," ")</f>
        <v xml:space="preserve"> </v>
      </c>
      <c r="FS253" s="362" t="str">
        <f>IF(L253&gt;0,IF(J253="CBAL2",Worksheet!$P$68,IF(J253="CBE2-24",Worksheet!$Q$68,IF(J253="CBAM",Worksheet!$R$68,IF(J253="CBLV",Worksheet!$S$68,IF(J253="CBAB",Worksheet!$U$68,IF(J253="CBAW",Worksheet!$X$68,IF(J253="CBE2-12",Worksheet!$Y$68,IF(J253="CBAL2",Worksheet!$Z$68,"N/A"))))))))," ")</f>
        <v xml:space="preserve"> </v>
      </c>
      <c r="FT253" s="362" t="str">
        <f>IF(L253&gt;0,IF(J253="CBAL2",Worksheet!$P$69,IF(J253="CBE2-24",Worksheet!$Q$69,IF(J253="CBAM",Worksheet!$R$69,IF(J253="CBLV",Worksheet!$S$69,IF(J253="CBAB",Worksheet!$U$69,IF(J253="CBAW",Worksheet!$X$69,IF(J253="CBE2-12",Worksheet!$Y$69,IF(J253="CBAL2",Worksheet!$Z$69,"N/A"))))))))," ")</f>
        <v xml:space="preserve"> </v>
      </c>
      <c r="FU253" s="361" t="str">
        <f t="shared" si="781"/>
        <v xml:space="preserve"> </v>
      </c>
      <c r="FV253" s="362" t="str">
        <f t="shared" si="782"/>
        <v xml:space="preserve"> </v>
      </c>
      <c r="FW253" s="362" t="str">
        <f t="shared" si="783"/>
        <v xml:space="preserve"> </v>
      </c>
      <c r="FX253" s="362" t="str">
        <f t="shared" si="784"/>
        <v xml:space="preserve"> </v>
      </c>
      <c r="FY253" s="355" t="str">
        <f t="shared" si="785"/>
        <v xml:space="preserve"> </v>
      </c>
      <c r="FZ253" s="361" t="str">
        <f t="shared" si="786"/>
        <v xml:space="preserve"> </v>
      </c>
      <c r="GA253" s="347" t="str">
        <f t="shared" si="787"/>
        <v xml:space="preserve"> </v>
      </c>
      <c r="GB253" s="355" t="str">
        <f t="shared" si="788"/>
        <v xml:space="preserve"> </v>
      </c>
      <c r="GC253" s="328" t="str">
        <f t="shared" si="789"/>
        <v xml:space="preserve"> </v>
      </c>
      <c r="GD253" s="361" t="str">
        <f t="shared" si="790"/>
        <v xml:space="preserve"> </v>
      </c>
      <c r="GE253" s="347" t="str">
        <f t="shared" si="791"/>
        <v xml:space="preserve"> </v>
      </c>
      <c r="GF253" s="361" t="str">
        <f t="shared" si="792"/>
        <v xml:space="preserve"> </v>
      </c>
      <c r="GG253" s="347" t="str">
        <f t="shared" si="793"/>
        <v xml:space="preserve"> </v>
      </c>
      <c r="GH253" s="364">
        <f t="shared" si="687"/>
        <v>0</v>
      </c>
      <c r="GI253" s="362">
        <f t="shared" si="794"/>
        <v>2</v>
      </c>
      <c r="GJ253" s="433" t="e">
        <f>IF(6-COUNTBLANK(GT253:GY253)=4,MATCH(MID(BO253,9,3),CLU!$H$16:$K$16),MATCH(MID(BO253,9,3),CLU!$H$13:$M$13))</f>
        <v>#N/A</v>
      </c>
      <c r="GK253" s="433" t="e">
        <f>HLOOKUP(VALUE(BP253),CLU!$H$9:$M$10,2)</f>
        <v>#VALUE!</v>
      </c>
      <c r="GL253" s="433" t="e">
        <f ca="1">MATCH(BU253,CLU!$H$2:$V$2,1)</f>
        <v>#VALUE!</v>
      </c>
      <c r="GM253" s="433" t="e">
        <f t="shared" ca="1" si="795"/>
        <v>#VALUE!</v>
      </c>
      <c r="GN253" s="433" t="e">
        <f t="shared" ca="1" si="796"/>
        <v>#VALUE!</v>
      </c>
      <c r="GO253" s="433" t="e">
        <f t="shared" ca="1" si="797"/>
        <v>#VALUE!</v>
      </c>
      <c r="GP253" s="433" t="e">
        <f t="shared" ca="1" si="798"/>
        <v>#VALUE!</v>
      </c>
      <c r="GQ253" s="433" t="e">
        <f t="shared" ca="1" si="799"/>
        <v>#VALUE!</v>
      </c>
      <c r="GR253" s="433" t="e">
        <f ca="1">MATCH(T253,INDIRECT(VLOOKUP(CONCATENATE(LEFT(BO253,7),"-",MID(BO253,13,1)),CLU!$P$3:$Q$16,2)),1)</f>
        <v>#N/A</v>
      </c>
      <c r="GS253" s="433" t="e">
        <f ca="1">MATCH(U253,INDIRECT(VLOOKUP(CONCATENATE(LEFT(BO253,7),"-",MID(BO253,13,1)),CLU!$P$3:$Q$16,2)),1)</f>
        <v>#N/A</v>
      </c>
      <c r="GT253" s="347" t="s">
        <v>512</v>
      </c>
      <c r="GU253" s="97" t="s">
        <v>513</v>
      </c>
      <c r="GV253" s="97" t="str">
        <f t="shared" si="800"/>
        <v>M23</v>
      </c>
      <c r="GW253" s="97" t="str">
        <f t="shared" si="801"/>
        <v>M31</v>
      </c>
      <c r="GX253" s="97" t="str">
        <f t="shared" si="802"/>
        <v/>
      </c>
      <c r="GY253" s="97" t="str">
        <f t="shared" si="803"/>
        <v/>
      </c>
      <c r="GZ253" s="481"/>
      <c r="HA253" s="288"/>
      <c r="HB253" s="240"/>
      <c r="HC253" s="240"/>
      <c r="HD253" s="240"/>
      <c r="HE253" s="240"/>
      <c r="HF253" s="240"/>
      <c r="HG253" s="240"/>
      <c r="HH253" s="240"/>
      <c r="HI253" s="240"/>
      <c r="HJ253" s="240"/>
      <c r="HK253" s="240"/>
      <c r="HL253" s="240"/>
      <c r="HM253" s="240"/>
      <c r="HN253" s="240"/>
      <c r="HO253" s="240"/>
      <c r="HP253" s="240"/>
      <c r="HQ253" s="240"/>
      <c r="HR253" s="240"/>
      <c r="HS253" s="240"/>
      <c r="HT253" s="240"/>
      <c r="HU253" s="240"/>
      <c r="HV253" s="245"/>
      <c r="HW253" s="245" t="b">
        <v>1</v>
      </c>
      <c r="HX253" s="245" t="str">
        <f t="shared" si="688"/>
        <v/>
      </c>
      <c r="HY253" s="245" t="e">
        <f t="shared" si="689"/>
        <v>#DIV/0!</v>
      </c>
      <c r="HZ253" s="245" t="e">
        <f t="shared" si="690"/>
        <v>#DIV/0!</v>
      </c>
      <c r="IA253" s="245">
        <f t="shared" si="691"/>
        <v>0</v>
      </c>
      <c r="IB253" s="245"/>
      <c r="IC253" t="b">
        <f t="shared" si="692"/>
        <v>1</v>
      </c>
      <c r="ID253" s="245" t="b">
        <f t="shared" si="693"/>
        <v>1</v>
      </c>
      <c r="IE253" s="245" t="b">
        <f t="shared" si="694"/>
        <v>1</v>
      </c>
      <c r="IF253" s="245" t="b">
        <f t="shared" si="695"/>
        <v>0</v>
      </c>
      <c r="IG253" s="245" t="b">
        <f t="shared" si="696"/>
        <v>1</v>
      </c>
      <c r="IH253" s="245" t="b">
        <f t="shared" si="697"/>
        <v>1</v>
      </c>
      <c r="II253" s="245">
        <f t="shared" si="804"/>
        <v>0</v>
      </c>
      <c r="IJ253" s="245" t="e">
        <f t="shared" si="698"/>
        <v>#VALUE!</v>
      </c>
      <c r="IK253" s="245" t="e">
        <f t="shared" si="699"/>
        <v>#VALUE!</v>
      </c>
      <c r="IL253" s="245"/>
      <c r="IM253" s="245" t="e">
        <f t="shared" si="805"/>
        <v>#N/A</v>
      </c>
      <c r="IN253" s="245" t="e">
        <f t="shared" si="806"/>
        <v>#N/A</v>
      </c>
      <c r="IO253" s="245"/>
      <c r="IP253" s="245"/>
      <c r="IQ253" s="245" t="str">
        <f t="shared" si="700"/>
        <v/>
      </c>
      <c r="IR253" s="245" t="str">
        <f>IF(J253="","",VLOOKUP(J253,Worksheet!$R$4:$T$14,2))</f>
        <v/>
      </c>
      <c r="IS253" s="245"/>
      <c r="IT253" s="245">
        <f t="shared" si="701"/>
        <v>0</v>
      </c>
      <c r="IU253" s="245">
        <f t="shared" si="702"/>
        <v>0</v>
      </c>
      <c r="IV253" s="245">
        <f t="shared" si="703"/>
        <v>0</v>
      </c>
      <c r="IW253" s="245">
        <f t="shared" si="704"/>
        <v>0</v>
      </c>
      <c r="IX253" s="245">
        <f t="shared" si="807"/>
        <v>0</v>
      </c>
      <c r="IY253" s="245">
        <f t="shared" si="705"/>
        <v>0</v>
      </c>
      <c r="IZ253" s="245">
        <f t="shared" si="706"/>
        <v>0</v>
      </c>
      <c r="JA253">
        <f t="shared" si="707"/>
        <v>0</v>
      </c>
      <c r="JB253">
        <f t="shared" si="808"/>
        <v>0</v>
      </c>
      <c r="JC253">
        <f t="shared" si="708"/>
        <v>0</v>
      </c>
      <c r="JD253">
        <f t="shared" si="709"/>
        <v>0</v>
      </c>
      <c r="JE253">
        <f t="shared" si="710"/>
        <v>0</v>
      </c>
      <c r="JF253">
        <f t="shared" si="711"/>
        <v>0</v>
      </c>
      <c r="JG253">
        <f t="shared" si="712"/>
        <v>0</v>
      </c>
      <c r="JH253">
        <f t="shared" si="713"/>
        <v>0</v>
      </c>
      <c r="JI253">
        <f t="shared" si="714"/>
        <v>0</v>
      </c>
      <c r="JJ253" s="447">
        <f t="shared" si="715"/>
        <v>0</v>
      </c>
      <c r="JK253" s="447">
        <f t="shared" si="716"/>
        <v>0</v>
      </c>
      <c r="JL253">
        <f t="shared" si="717"/>
        <v>0</v>
      </c>
      <c r="JM253" s="245" t="str">
        <f>IFERROR(VLOOKUP(MATCH(BN253,#REF!,0),#REF!,7),"")</f>
        <v/>
      </c>
      <c r="JN253" t="e">
        <f>HLOOKUP(LEFT(BO253,7),Discharge_Area,MATCH(JO253,LookUps!$B$130:$B$149,1)+2)</f>
        <v>#N/A</v>
      </c>
      <c r="JO253" t="str">
        <f t="shared" si="718"/>
        <v>- S</v>
      </c>
      <c r="JP253" t="e">
        <f>HLOOKUP(LEFT(BO253,7),Discharge_Area,MATCH(JO253,LookUps!$B$130:$B$149,1)+2)</f>
        <v>#N/A</v>
      </c>
      <c r="JQ253" t="e">
        <f t="shared" si="719"/>
        <v>#N/A</v>
      </c>
      <c r="JR253" t="e">
        <f t="shared" si="720"/>
        <v>#N/A</v>
      </c>
      <c r="JS253" t="e">
        <f t="shared" si="721"/>
        <v>#N/A</v>
      </c>
      <c r="JT253" s="532" t="str">
        <f t="shared" si="722"/>
        <v xml:space="preserve"> </v>
      </c>
      <c r="JU253" s="532" t="str">
        <f t="shared" si="723"/>
        <v xml:space="preserve"> </v>
      </c>
      <c r="JV253" s="533" t="str">
        <f t="shared" si="724"/>
        <v xml:space="preserve"> </v>
      </c>
      <c r="JW253" s="534">
        <f t="shared" si="725"/>
        <v>0</v>
      </c>
      <c r="JX253" s="535" t="str">
        <f t="shared" si="809"/>
        <v xml:space="preserve"> </v>
      </c>
      <c r="JY253" s="535" t="str">
        <f t="shared" si="810"/>
        <v xml:space="preserve"> </v>
      </c>
      <c r="JZ253" s="535" t="str">
        <f t="shared" si="811"/>
        <v xml:space="preserve"> </v>
      </c>
      <c r="KA253" s="536" t="str">
        <f t="shared" si="726"/>
        <v xml:space="preserve"> </v>
      </c>
      <c r="KB253" s="535" t="e">
        <f t="shared" si="812"/>
        <v>#VALUE!</v>
      </c>
      <c r="KC253" s="535" t="str">
        <f t="shared" si="727"/>
        <v/>
      </c>
      <c r="KD253" s="537" t="str">
        <f t="shared" si="813"/>
        <v xml:space="preserve"> </v>
      </c>
      <c r="KE253" s="537" t="str">
        <f t="shared" si="814"/>
        <v xml:space="preserve"> </v>
      </c>
      <c r="KF253" s="534">
        <f t="shared" si="728"/>
        <v>0</v>
      </c>
      <c r="KG253" s="535" t="str">
        <f t="shared" si="729"/>
        <v xml:space="preserve"> </v>
      </c>
      <c r="KH253" s="535" t="str">
        <f t="shared" si="730"/>
        <v xml:space="preserve"> </v>
      </c>
      <c r="KI253" s="535" t="str">
        <f t="shared" si="731"/>
        <v xml:space="preserve"> </v>
      </c>
      <c r="KJ253" s="536" t="str">
        <f t="shared" si="732"/>
        <v xml:space="preserve"> </v>
      </c>
      <c r="KK253" s="535" t="str">
        <f t="shared" si="815"/>
        <v xml:space="preserve"> </v>
      </c>
      <c r="KL253" s="535" t="str">
        <f t="shared" si="816"/>
        <v xml:space="preserve"> </v>
      </c>
      <c r="KM253" s="537" t="str">
        <f t="shared" si="733"/>
        <v xml:space="preserve"> </v>
      </c>
      <c r="KN253" s="537" t="str">
        <f t="shared" si="817"/>
        <v xml:space="preserve"> </v>
      </c>
      <c r="KP253">
        <f t="shared" si="734"/>
        <v>0</v>
      </c>
      <c r="LA253" t="e">
        <f t="shared" si="735"/>
        <v>#VALUE!</v>
      </c>
      <c r="LB253" t="e">
        <f t="shared" si="736"/>
        <v>#VALUE!</v>
      </c>
      <c r="LC253" t="e">
        <f t="shared" si="737"/>
        <v>#VALUE!</v>
      </c>
      <c r="LD253" t="e">
        <f t="shared" si="738"/>
        <v>#VALUE!</v>
      </c>
      <c r="LE253" t="e">
        <f t="shared" si="818"/>
        <v>#VALUE!</v>
      </c>
      <c r="LF253">
        <f t="shared" si="739"/>
        <v>0</v>
      </c>
      <c r="LG253" t="e">
        <f t="shared" si="819"/>
        <v>#VALUE!</v>
      </c>
      <c r="LH253" t="str">
        <f t="shared" si="740"/>
        <v xml:space="preserve"> </v>
      </c>
      <c r="LI253">
        <f t="shared" si="820"/>
        <v>1</v>
      </c>
    </row>
    <row r="254" spans="2:321" ht="15" customHeight="1">
      <c r="B254" s="311"/>
      <c r="C254" s="311"/>
      <c r="D254" s="312"/>
      <c r="E254" s="311"/>
      <c r="F254" s="312"/>
      <c r="G254" s="311"/>
      <c r="H254" s="311"/>
      <c r="I254" s="232"/>
      <c r="J254" s="311"/>
      <c r="K254" s="305" t="str">
        <f t="shared" si="741"/>
        <v/>
      </c>
      <c r="L254" s="313"/>
      <c r="M254" s="312"/>
      <c r="N254" s="311"/>
      <c r="O254" s="312"/>
      <c r="P254" s="311"/>
      <c r="Q254" s="305" t="str">
        <f t="shared" si="742"/>
        <v/>
      </c>
      <c r="R254" s="314"/>
      <c r="S254" s="450" t="str">
        <f t="shared" si="625"/>
        <v/>
      </c>
      <c r="T254" s="315"/>
      <c r="U254" s="315"/>
      <c r="W254" s="149" t="str">
        <f t="shared" si="626"/>
        <v xml:space="preserve"> </v>
      </c>
      <c r="X254" s="243" t="str">
        <f t="shared" si="627"/>
        <v xml:space="preserve"> </v>
      </c>
      <c r="Y254" s="150" t="str">
        <f t="shared" si="628"/>
        <v/>
      </c>
      <c r="Z254" s="149" t="str">
        <f t="shared" si="629"/>
        <v xml:space="preserve"> </v>
      </c>
      <c r="AA254" s="98" t="str">
        <f t="shared" si="630"/>
        <v xml:space="preserve"> </v>
      </c>
      <c r="AB254" s="153" t="str">
        <f t="shared" si="631"/>
        <v xml:space="preserve"> </v>
      </c>
      <c r="AC254" s="153" t="str">
        <f t="shared" si="632"/>
        <v xml:space="preserve"> </v>
      </c>
      <c r="AD254" s="148" t="str">
        <f t="shared" si="633"/>
        <v/>
      </c>
      <c r="AE254" s="149" t="str">
        <f t="shared" si="634"/>
        <v/>
      </c>
      <c r="AF254" s="151" t="str">
        <f t="shared" si="635"/>
        <v xml:space="preserve"> </v>
      </c>
      <c r="AG254" s="153" t="str">
        <f t="shared" si="636"/>
        <v xml:space="preserve"> </v>
      </c>
      <c r="AH254" s="98" t="str">
        <f t="shared" si="637"/>
        <v xml:space="preserve"> </v>
      </c>
      <c r="AI254" s="149" t="str">
        <f t="shared" si="638"/>
        <v xml:space="preserve"> </v>
      </c>
      <c r="AK254" s="144" t="str">
        <f t="shared" si="639"/>
        <v xml:space="preserve"> </v>
      </c>
      <c r="AL254" s="144"/>
      <c r="AM254" s="243" t="str">
        <f t="shared" si="640"/>
        <v xml:space="preserve"> </v>
      </c>
      <c r="AN254" s="149" t="str">
        <f t="shared" si="743"/>
        <v xml:space="preserve"> </v>
      </c>
      <c r="AO254" s="144" t="str">
        <f>IF(JB254&gt;0,IF(GI254=10,-R254*1.085*(Calculation!$F$6-Calculation!$F$13)*$S$14," "),"")</f>
        <v/>
      </c>
      <c r="AP254" s="144" t="str">
        <f t="shared" si="641"/>
        <v/>
      </c>
      <c r="AQ254" s="56" t="str">
        <f t="shared" si="642"/>
        <v/>
      </c>
      <c r="AR254" s="144" t="str">
        <f t="shared" si="643"/>
        <v/>
      </c>
      <c r="AS254" s="176" t="str">
        <f t="shared" si="644"/>
        <v/>
      </c>
      <c r="AT254" s="176" t="str">
        <f t="shared" si="744"/>
        <v xml:space="preserve"> </v>
      </c>
      <c r="AU254" s="176" t="str">
        <f t="shared" si="645"/>
        <v/>
      </c>
      <c r="AV254" s="177" t="str">
        <f t="shared" si="646"/>
        <v xml:space="preserve"> </v>
      </c>
      <c r="AW254" s="144" t="str">
        <f t="shared" si="647"/>
        <v xml:space="preserve"> </v>
      </c>
      <c r="AX254" s="144" t="str">
        <f t="shared" si="648"/>
        <v xml:space="preserve"> </v>
      </c>
      <c r="AY254" s="152" t="str">
        <f t="shared" si="649"/>
        <v xml:space="preserve"> </v>
      </c>
      <c r="AZ254" s="246" t="str">
        <f t="shared" si="650"/>
        <v/>
      </c>
      <c r="BA254" s="176" t="str">
        <f t="shared" si="651"/>
        <v xml:space="preserve"> </v>
      </c>
      <c r="BB254" s="176" t="str">
        <f t="shared" si="652"/>
        <v xml:space="preserve"> </v>
      </c>
      <c r="BC254" s="195"/>
      <c r="BD254" s="316"/>
      <c r="BE254" s="317"/>
      <c r="BF254" s="318"/>
      <c r="BG254" s="318"/>
      <c r="BH254" s="144" t="str">
        <f t="shared" si="821"/>
        <v xml:space="preserve"> </v>
      </c>
      <c r="BI254" s="176" t="str">
        <f t="shared" si="653"/>
        <v/>
      </c>
      <c r="BJ254" s="144" t="str">
        <f t="shared" si="822"/>
        <v/>
      </c>
      <c r="BK254" s="246" t="str">
        <f t="shared" si="654"/>
        <v/>
      </c>
      <c r="BL254" s="144" t="str">
        <f t="shared" si="823"/>
        <v/>
      </c>
      <c r="BM254" s="246" t="str">
        <f t="shared" si="655"/>
        <v/>
      </c>
      <c r="BN254" s="337" t="str">
        <f t="shared" si="745"/>
        <v/>
      </c>
      <c r="BO254" s="371" t="str">
        <f t="shared" si="746"/>
        <v/>
      </c>
      <c r="BP254" s="328" t="str">
        <f t="shared" si="824"/>
        <v xml:space="preserve"> </v>
      </c>
      <c r="BQ254" s="347" t="str">
        <f t="shared" si="747"/>
        <v xml:space="preserve"> </v>
      </c>
      <c r="BR254" s="353" t="str">
        <f t="shared" si="748"/>
        <v xml:space="preserve"> </v>
      </c>
      <c r="BS254" s="626" t="str">
        <f>IF(L254&gt;0,IF(Calculation!P254="M13",BR254*3.1416*(0.134^2)/(4*144),IF(Calculation!P254="M17",BR254*3.1416*(0.165^2)/(4*144),IF(Calculation!P254="M20",BR254*3.1416*(0.198^2)/(4*144),IF(Calculation!P254="M23",BR254*3.1416*(0.228^2)/(4*144),IF(Calculation!P254="M27",BR254*3.1416*(0.269^2)/(4*144),BR254*3.1416*(0.307^2)/(4*144))))))," ")</f>
        <v xml:space="preserve"> </v>
      </c>
      <c r="BT254" s="353" t="str">
        <f>IF(L254&gt;0,IF(BS254&gt;0,R254/Calculation!BS254,0)," ")</f>
        <v xml:space="preserve"> </v>
      </c>
      <c r="BU254" s="438" t="e">
        <f t="shared" ca="1" si="656"/>
        <v>#VALUE!</v>
      </c>
      <c r="BV254" s="449" t="e">
        <f ca="1">INDEX(INDIRECT(VLOOKUP(LEFT(BO254,7),CLU!$Z$3:$AH$18,2)),GN254,GR254)</f>
        <v>#N/A</v>
      </c>
      <c r="BW254" s="433" t="e">
        <f ca="1">INDEX(INDIRECT(VLOOKUP(LEFT(BO254,7),CLU!$Z$3:$AH$18,3)),GN254,GR254)</f>
        <v>#N/A</v>
      </c>
      <c r="BX254" s="433" t="e">
        <f ca="1">INDEX(INDIRECT(VLOOKUP(LEFT(BO254,7),CLU!$Z$3:$AH$18,4)),GN254,GR254)</f>
        <v>#N/A</v>
      </c>
      <c r="BY254" s="433" t="e">
        <f ca="1">INDEX(INDIRECT(VLOOKUP(LEFT(BO254,7),CLU!$Z$3:$AH$18,9)),((M254-2)*(6-COUNTBLANK(GT254:GY254)))+GJ254)</f>
        <v>#N/A</v>
      </c>
      <c r="BZ254" s="426" t="e">
        <f t="shared" ca="1" si="749"/>
        <v>#N/A</v>
      </c>
      <c r="CA254" s="424" t="e">
        <f t="shared" ca="1" si="750"/>
        <v>#N/A</v>
      </c>
      <c r="CB254" s="429" t="e">
        <f ca="1">INDEX(INDIRECT(VLOOKUP(LEFT(BO254,7),CLU!$Z$3:$AH$18,2)),GN254,GS254)</f>
        <v>#N/A</v>
      </c>
      <c r="CC254" s="342" t="e">
        <f ca="1">INDEX(INDIRECT(VLOOKUP(LEFT(BO254,7),CLU!$Z$3:$AH$18,3)),GN254,GS254)</f>
        <v>#N/A</v>
      </c>
      <c r="CD254" s="342" t="e">
        <f ca="1">INDEX(INDIRECT(VLOOKUP(LEFT(BO254,7),CLU!$Z$3:$AH$18,4)),GN254,GS254)</f>
        <v>#N/A</v>
      </c>
      <c r="CE254" s="426" t="e">
        <f t="shared" ca="1" si="751"/>
        <v>#N/A</v>
      </c>
      <c r="CF254" s="440">
        <f t="shared" si="752"/>
        <v>0</v>
      </c>
      <c r="CG254" s="431" t="e">
        <f ca="1">INDEX(INDIRECT(VLOOKUP(LEFT(BO254,7),CLU!$Z$3:$AH$18,2)),GQ254,GR254)</f>
        <v>#N/A</v>
      </c>
      <c r="CH254" s="431" t="e">
        <f ca="1">INDEX(INDIRECT(VLOOKUP(LEFT(BO254,7),CLU!$Z$3:$AH$18,3)),GQ254,GR254)</f>
        <v>#N/A</v>
      </c>
      <c r="CI254" s="431" t="e">
        <f ca="1">INDEX(INDIRECT(VLOOKUP(LEFT(BO254,7),CLU!$Z$3:$AH$18,4)),GQ254,GR254)</f>
        <v>#N/A</v>
      </c>
      <c r="CJ254" s="448" t="e">
        <f t="shared" ca="1" si="753"/>
        <v>#N/A</v>
      </c>
      <c r="CK254" s="431" t="e">
        <f t="shared" ca="1" si="754"/>
        <v>#N/A</v>
      </c>
      <c r="CL254" s="440" t="e">
        <f t="shared" ca="1" si="755"/>
        <v>#N/A</v>
      </c>
      <c r="CM254" s="431" t="e">
        <f ca="1">INDEX(INDIRECT(VLOOKUP(LEFT(BO254,7),CLU!$Z$3:$AH$18,2)),GQ254,GS254)</f>
        <v>#N/A</v>
      </c>
      <c r="CN254" s="431" t="e">
        <f ca="1">INDEX(INDIRECT(VLOOKUP(LEFT(BO254,7),CLU!$Z$3:$AH$18,3)),GQ254,GS254)</f>
        <v>#N/A</v>
      </c>
      <c r="CO254" s="431" t="e">
        <f ca="1">INDEX(INDIRECT(VLOOKUP(LEFT(BO254,7),CLU!$Z$3:$AH$18,4)),GQ254,GS254)</f>
        <v>#N/A</v>
      </c>
      <c r="CP254" s="431" t="e">
        <f t="shared" ca="1" si="756"/>
        <v>#N/A</v>
      </c>
      <c r="CQ254" s="440">
        <f t="shared" si="757"/>
        <v>0</v>
      </c>
      <c r="CR254" s="51" t="e">
        <f t="shared" ca="1" si="758"/>
        <v>#N/A</v>
      </c>
      <c r="CS254" s="439" t="e">
        <f t="shared" ca="1" si="759"/>
        <v>#VALUE!</v>
      </c>
      <c r="CT254" s="51" t="e">
        <f t="shared" ca="1" si="760"/>
        <v>#VALUE!</v>
      </c>
      <c r="CU254" s="10"/>
      <c r="CV254" s="51" t="e">
        <f t="shared" ca="1" si="657"/>
        <v>#VALUE!</v>
      </c>
      <c r="CW254" s="51">
        <f t="shared" si="761"/>
        <v>0</v>
      </c>
      <c r="CX254" s="439" t="e">
        <f t="shared" ca="1" si="762"/>
        <v>#VALUE!</v>
      </c>
      <c r="CY254" s="51" t="e">
        <f t="shared" ca="1" si="763"/>
        <v>#VALUE!</v>
      </c>
      <c r="CZ254" s="10"/>
      <c r="DA254" s="51" t="e">
        <f t="shared" ca="1" si="764"/>
        <v>#VALUE!</v>
      </c>
      <c r="DB254" s="347" t="e">
        <f ca="1">INDEX(INDIRECT(VLOOKUP(LEFT(BO254,7),CLU!$Z$3:$AI$18,10)),((M254-2)*(6-COUNTBLANK(GT254:GY254)))+GJ254)*LI254</f>
        <v>#N/A</v>
      </c>
      <c r="DC254" s="347" t="str">
        <f>IF(L254&gt;0,((R254/Worksheet!$I$15)/DB254)^2," ")</f>
        <v xml:space="preserve"> </v>
      </c>
      <c r="DD254" s="602" t="str">
        <f t="shared" si="765"/>
        <v xml:space="preserve"> </v>
      </c>
      <c r="DE254" s="347" t="str">
        <f t="shared" si="658"/>
        <v xml:space="preserve"> </v>
      </c>
      <c r="DF254" s="356" t="e">
        <f ca="1">INDEX(INDIRECT(VLOOKUP(LEFT(BO254,7),CLU!$Z$3:$AH$18,8)),((M254-2)*(6-COUNTBLANK(GT254:GY254)))+GJ254)</f>
        <v>#N/A</v>
      </c>
      <c r="DG254" s="347" t="str">
        <f t="shared" si="659"/>
        <v xml:space="preserve"> </v>
      </c>
      <c r="DH254" s="357" t="str">
        <f t="shared" si="660"/>
        <v xml:space="preserve"> </v>
      </c>
      <c r="DI254" s="355" t="str">
        <f t="shared" si="661"/>
        <v xml:space="preserve"> </v>
      </c>
      <c r="DJ254" s="245" t="e">
        <f ca="1">INDEX(INDIRECT(VLOOKUP(LEFT(BO254,7),CLU!$Z$3:$AH$18,5)),GL254,GK254)</f>
        <v>#N/A</v>
      </c>
      <c r="DK254" s="245" t="e">
        <f ca="1">INDEX(INDIRECT(VLOOKUP(LEFT(BO254,7),CLU!$Z$3:$AH$18,6)),GL254,GK254)</f>
        <v>#N/A</v>
      </c>
      <c r="DL254" s="355">
        <f>(Calculation!R254*0.69143*(Calculation!$BQ$8-Calculation!$F$8))*$S$14</f>
        <v>0</v>
      </c>
      <c r="DM254" s="359" t="e">
        <f t="shared" si="766"/>
        <v>#VALUE!</v>
      </c>
      <c r="DN254" s="611">
        <f t="shared" si="767"/>
        <v>0</v>
      </c>
      <c r="DO254" s="359">
        <f t="shared" si="768"/>
        <v>100</v>
      </c>
      <c r="DP254" s="359">
        <f t="shared" si="769"/>
        <v>0</v>
      </c>
      <c r="DQ254" s="360"/>
      <c r="DR254" s="245" t="e">
        <f ca="1">INDEX(INDIRECT(VLOOKUP(LEFT(BO254,7),CLU!$Z$3:$AH$18,7)),M254-1,1)</f>
        <v>#N/A</v>
      </c>
      <c r="DS254" s="245" t="e">
        <f ca="1">INDEX(INDIRECT(VLOOKUP(LEFT(BO254,7),CLU!$Z$3:$AH$18,7)),M254-1,2)</f>
        <v>#N/A</v>
      </c>
      <c r="DT254" s="245" t="e">
        <f ca="1">INDEX(INDIRECT(VLOOKUP(LEFT(BO254,7),CLU!$Z$3:$AH$18,7)),M254-1,3)</f>
        <v>#N/A</v>
      </c>
      <c r="DU254" s="245" t="e">
        <f ca="1">INDEX(INDIRECT(VLOOKUP(LEFT(BO254,7),CLU!$Z$3:$AH$18,7)),M254-1,4)</f>
        <v>#N/A</v>
      </c>
      <c r="DV254" s="361" t="e">
        <f ca="1">INDEX(INDIRECT(VLOOKUP(LEFT(BO254,7),CLU!$Z$3:$AH$18,7)),M254-1,4+LEFT(DZ254,1)*0.5)</f>
        <v>#N/A</v>
      </c>
      <c r="DW254" s="245" t="e">
        <f ca="1">INDEX(INDIRECT(VLOOKUP(LEFT(BO254,7),CLU!$Z$3:$AH$18,7)),M254-1,8)</f>
        <v>#N/A</v>
      </c>
      <c r="DX254" s="361" t="str">
        <f t="shared" si="662"/>
        <v xml:space="preserve"> </v>
      </c>
      <c r="DY254" s="361" t="str">
        <f t="shared" si="663"/>
        <v xml:space="preserve"> </v>
      </c>
      <c r="DZ254" s="361" t="str">
        <f t="shared" si="664"/>
        <v xml:space="preserve"> </v>
      </c>
      <c r="EA254" s="362" t="str">
        <f t="shared" si="665"/>
        <v xml:space="preserve"> </v>
      </c>
      <c r="EB254" s="624" t="str">
        <f t="shared" si="770"/>
        <v xml:space="preserve"> </v>
      </c>
      <c r="EC254" s="361" t="e">
        <f ca="1">INDEX(INDIRECT(VLOOKUP(LEFT(BO254,7),CLU!$Z$3:$AH$18,7)),M254-1,4+LEFT(DZ254,1)*0.5)</f>
        <v>#N/A</v>
      </c>
      <c r="ED254" s="362" t="str">
        <f t="shared" si="666"/>
        <v xml:space="preserve"> </v>
      </c>
      <c r="EE254" s="361" t="str">
        <f t="shared" si="667"/>
        <v xml:space="preserve"> </v>
      </c>
      <c r="EF254" s="362" t="str">
        <f>IF(L254&gt;0,IF(BR254&gt;0,IF(EE254="2P",IF(Calculation!DZ254="2P",IF(Calculation!DS254=13.75,IF(Calculation!DR254=13,Worksheet!$BD$43,IF(Calculation!DR254=37,Worksheet!$BD$44,Worksheet!$BD$45)),IF(Calculation!DS254=10,IF(Calculation!DR254=18,Worksheet!$BD$29,IF(Calculation!DR254=30,Worksheet!$BD$30,IF(Calculation!DR254=42,Worksheet!$BD$31,IF(Calculation!DR254=54,Worksheet!$BD$32,IF(Calculation!DR254=66,Worksheet!$BD$33,IF(Calculation!DR254=78,Worksheet!$BD$34,IF(Calculation!DR254=90,Worksheet!$BD$35,IF(Calculation!DR254=102,Worksheet!$BD$36,Worksheet!$BD$37)))))))),IF(Calculation!DS254=12.5,IF(Calculation!DR254=18,Worksheet!$BD$38,IF(Calculation!DR254=Worksheet!$BD$39,IF(Calculation!DR254=42,Worksheet!$BD$40,IF(Calculation!DR254=54,Worksheet!$BD$41,Worksheet!$BD$42)))),IF(Calculation!DR254=18,Worksheet!$BD$11,IF(Calculation!DR254=30,Worksheet!$BD$12,IF(Calculation!DR254=42,Worksheet!$BD$13,IF(Calculation!DR254=54,Worksheet!$BD$14,IF(Calculation!DR254=66,Worksheet!$BD$15,IF(Calculation!DR254=78,Worksheet!$BD$16,IF(Calculation!DR254=90,Worksheet!$BD$17,IF(Calculation!DR254=102,Worksheet!$BD$18,Worksheet!$BD$19))))))))))),IF(Calculation!DS254=13.75,IF(Calculation!DR254=13,Worksheet!$BD$78,IF(Calculation!DR254=37,Worksheet!$BD$79,Worksheet!$BD$80)),IF(Calculation!DS254=10,IF(Calculation!DR254=18,Worksheet!$BD$64,IF(Calculation!DR254=30,Worksheet!$BD$65,IF(Calculation!DR254=42,Worksheet!$BD$66,IF(Calculation!DR254=54,Worksheet!$BD$68,IF(Calculation!DR254=66,Worksheet!$BD$68,IF(Calculation!DR254=78,Worksheet!$BD$69,IF(Calculation!DR254=90,Worksheet!$BD$70,IF(Calculation!DR254=102,Worksheet!$BD$71,Worksheet!$BD$72)))))))),IF(Calculation!DS254=12.5,IF(Calculation!DR254=18,Worksheet!$BD$73,IF(Calculation!DR254=Worksheet!$BD$74,IF(Calculation!DR254=42,Worksheet!$BD$75,IF(Calculation!DR254=54,Worksheet!$BD$76,Worksheet!$BD$77)))),IF(Calculation!DR254=18,Worksheet!$BD$55,IF(Calculation!DR254=30,Worksheet!$BD$56,IF(Calculation!DR254=42,Worksheet!$BD$57,IF(Calculation!DR254=54,Worksheet!$BD$58,IF(Calculation!DR254=66,Worksheet!$BD$59,IF(Calculation!DR254=78,Worksheet!$BD$60,IF(Calculation!DR254=90,Worksheet!$BD$61,IF(Calculation!DR254=102,Worksheet!$BD$62,Worksheet!$BD$63)))))))))))),5),0)," ")</f>
        <v xml:space="preserve"> </v>
      </c>
      <c r="EG254" s="361" t="str">
        <f t="shared" si="668"/>
        <v xml:space="preserve"> </v>
      </c>
      <c r="EH254" s="361" t="e">
        <f ca="1">INDEX(INDIRECT(VLOOKUP(LEFT(BO254,7),CLU!$Z$3:$AH$18,7)),M254-1,3+LEFT(DZ254,1))</f>
        <v>#N/A</v>
      </c>
      <c r="EI254" s="362" t="str">
        <f t="shared" si="669"/>
        <v xml:space="preserve"> </v>
      </c>
      <c r="EJ254" s="363" t="str">
        <f t="shared" si="670"/>
        <v xml:space="preserve"> </v>
      </c>
      <c r="EK254" s="363" t="str">
        <f t="shared" si="671"/>
        <v xml:space="preserve"> </v>
      </c>
      <c r="EL254" s="363" t="str">
        <f t="shared" si="672"/>
        <v xml:space="preserve"> </v>
      </c>
      <c r="EM254" s="362" t="str">
        <f>IF(L254&gt;0,IF(BR254&gt;0,(Calculation!T254/ED254)^2,0)," ")</f>
        <v xml:space="preserve"> </v>
      </c>
      <c r="EN254" s="362" t="str">
        <f>IF(L254&gt;0,IF(O254="2 Pipe (Cooling)","N/A",IF(BR254&gt;0,(Calculation!U254/EI254)^2,0))," ")</f>
        <v xml:space="preserve"> </v>
      </c>
      <c r="EO254" s="361" t="str">
        <f t="shared" si="673"/>
        <v/>
      </c>
      <c r="EP254" s="361" t="str">
        <f t="shared" si="674"/>
        <v/>
      </c>
      <c r="EQ254" s="361" t="str">
        <f t="shared" si="675"/>
        <v/>
      </c>
      <c r="ER254" s="361" t="str">
        <f t="shared" si="676"/>
        <v/>
      </c>
      <c r="ES254" s="361" t="str">
        <f t="shared" si="677"/>
        <v/>
      </c>
      <c r="ET254" s="361" t="str">
        <f t="shared" si="678"/>
        <v/>
      </c>
      <c r="EU254" s="361" t="str">
        <f t="shared" si="679"/>
        <v/>
      </c>
      <c r="EV254" s="361" t="str">
        <f t="shared" si="680"/>
        <v/>
      </c>
      <c r="EW254" s="361" t="str">
        <f t="shared" si="681"/>
        <v/>
      </c>
      <c r="EX254" s="361" t="str">
        <f t="shared" si="771"/>
        <v>1 slot, 1 way</v>
      </c>
      <c r="EY254" s="361" t="str">
        <f t="shared" si="772"/>
        <v xml:space="preserve"> </v>
      </c>
      <c r="EZ254" s="361" t="str">
        <f t="shared" si="773"/>
        <v xml:space="preserve"> </v>
      </c>
      <c r="FA254" s="361" t="str">
        <f t="shared" si="774"/>
        <v xml:space="preserve"> </v>
      </c>
      <c r="FB254" s="361" t="str">
        <f t="shared" si="775"/>
        <v xml:space="preserve"> </v>
      </c>
      <c r="FC254" s="361"/>
      <c r="FD254" s="361" t="str">
        <f>IF(J254&gt;0,IF(Calculation!R254&lt;=70,4,IF(Calculation!R254&lt;=110,5,IF(Calculation!R254&lt;=160,6,IF(Calculation!R254&lt;=300,8,"10 EO")))),"")</f>
        <v/>
      </c>
      <c r="FE254" s="361" t="str">
        <f t="shared" si="776"/>
        <v/>
      </c>
      <c r="FF254" s="361" t="str">
        <f t="shared" si="777"/>
        <v/>
      </c>
      <c r="FG254" s="361" t="e">
        <f t="shared" si="682"/>
        <v>#N/A</v>
      </c>
      <c r="FH254" s="361">
        <f t="shared" si="683"/>
        <v>0</v>
      </c>
      <c r="FI254" s="361" t="e">
        <f t="shared" si="684"/>
        <v>#DIV/0!</v>
      </c>
      <c r="FJ254" s="361"/>
      <c r="FK254" s="356" t="e">
        <f t="shared" si="685"/>
        <v>#VALUE!</v>
      </c>
      <c r="FL254" s="361"/>
      <c r="FM254" s="361"/>
      <c r="FN254" s="362" t="str">
        <f t="shared" si="778"/>
        <v xml:space="preserve"> </v>
      </c>
      <c r="FO254" s="362" t="str">
        <f t="shared" si="779"/>
        <v xml:space="preserve"> </v>
      </c>
      <c r="FP254" s="362">
        <f t="shared" si="780"/>
        <v>0</v>
      </c>
      <c r="FQ254" s="361">
        <f t="shared" si="686"/>
        <v>0</v>
      </c>
      <c r="FR254" s="362" t="str">
        <f>IF(L254&gt;0,IF(J254="CBAL2",Worksheet!$P$67,IF(J254="CBE2-24",Worksheet!$Q$67,IF(J254="CBAM",Worksheet!$R$67,IF(J254="CBLV",Worksheet!$S$67,IF(J254="CBAB",Worksheet!$U$67,IF(J254="CBAW",Worksheet!$X$67,IF(J254="CBE2-12",Worksheet!$Y$67,IF(J254="CBAL2",Worksheet!$Z$67,"N/A"))))))))," ")</f>
        <v xml:space="preserve"> </v>
      </c>
      <c r="FS254" s="362" t="str">
        <f>IF(L254&gt;0,IF(J254="CBAL2",Worksheet!$P$68,IF(J254="CBE2-24",Worksheet!$Q$68,IF(J254="CBAM",Worksheet!$R$68,IF(J254="CBLV",Worksheet!$S$68,IF(J254="CBAB",Worksheet!$U$68,IF(J254="CBAW",Worksheet!$X$68,IF(J254="CBE2-12",Worksheet!$Y$68,IF(J254="CBAL2",Worksheet!$Z$68,"N/A"))))))))," ")</f>
        <v xml:space="preserve"> </v>
      </c>
      <c r="FT254" s="362" t="str">
        <f>IF(L254&gt;0,IF(J254="CBAL2",Worksheet!$P$69,IF(J254="CBE2-24",Worksheet!$Q$69,IF(J254="CBAM",Worksheet!$R$69,IF(J254="CBLV",Worksheet!$S$69,IF(J254="CBAB",Worksheet!$U$69,IF(J254="CBAW",Worksheet!$X$69,IF(J254="CBE2-12",Worksheet!$Y$69,IF(J254="CBAL2",Worksheet!$Z$69,"N/A"))))))))," ")</f>
        <v xml:space="preserve"> </v>
      </c>
      <c r="FU254" s="361" t="str">
        <f t="shared" si="781"/>
        <v xml:space="preserve"> </v>
      </c>
      <c r="FV254" s="362" t="str">
        <f t="shared" si="782"/>
        <v xml:space="preserve"> </v>
      </c>
      <c r="FW254" s="362" t="str">
        <f t="shared" si="783"/>
        <v xml:space="preserve"> </v>
      </c>
      <c r="FX254" s="362" t="str">
        <f t="shared" si="784"/>
        <v xml:space="preserve"> </v>
      </c>
      <c r="FY254" s="355" t="str">
        <f t="shared" si="785"/>
        <v xml:space="preserve"> </v>
      </c>
      <c r="FZ254" s="361" t="str">
        <f t="shared" si="786"/>
        <v xml:space="preserve"> </v>
      </c>
      <c r="GA254" s="347" t="str">
        <f t="shared" si="787"/>
        <v xml:space="preserve"> </v>
      </c>
      <c r="GB254" s="355" t="str">
        <f t="shared" si="788"/>
        <v xml:space="preserve"> </v>
      </c>
      <c r="GC254" s="328" t="str">
        <f t="shared" si="789"/>
        <v xml:space="preserve"> </v>
      </c>
      <c r="GD254" s="361" t="str">
        <f t="shared" si="790"/>
        <v xml:space="preserve"> </v>
      </c>
      <c r="GE254" s="347" t="str">
        <f t="shared" si="791"/>
        <v xml:space="preserve"> </v>
      </c>
      <c r="GF254" s="361" t="str">
        <f t="shared" si="792"/>
        <v xml:space="preserve"> </v>
      </c>
      <c r="GG254" s="347" t="str">
        <f t="shared" si="793"/>
        <v xml:space="preserve"> </v>
      </c>
      <c r="GH254" s="364">
        <f t="shared" si="687"/>
        <v>0</v>
      </c>
      <c r="GI254" s="362">
        <f t="shared" si="794"/>
        <v>2</v>
      </c>
      <c r="GJ254" s="433" t="e">
        <f>IF(6-COUNTBLANK(GT254:GY254)=4,MATCH(MID(BO254,9,3),CLU!$H$16:$K$16),MATCH(MID(BO254,9,3),CLU!$H$13:$M$13))</f>
        <v>#N/A</v>
      </c>
      <c r="GK254" s="433" t="e">
        <f>HLOOKUP(VALUE(BP254),CLU!$H$9:$M$10,2)</f>
        <v>#VALUE!</v>
      </c>
      <c r="GL254" s="433" t="e">
        <f ca="1">MATCH(BU254,CLU!$H$2:$V$2,1)</f>
        <v>#VALUE!</v>
      </c>
      <c r="GM254" s="433" t="e">
        <f t="shared" ca="1" si="795"/>
        <v>#VALUE!</v>
      </c>
      <c r="GN254" s="433" t="e">
        <f t="shared" ca="1" si="796"/>
        <v>#VALUE!</v>
      </c>
      <c r="GO254" s="433" t="e">
        <f t="shared" ca="1" si="797"/>
        <v>#VALUE!</v>
      </c>
      <c r="GP254" s="433" t="e">
        <f t="shared" ca="1" si="798"/>
        <v>#VALUE!</v>
      </c>
      <c r="GQ254" s="433" t="e">
        <f t="shared" ca="1" si="799"/>
        <v>#VALUE!</v>
      </c>
      <c r="GR254" s="433" t="e">
        <f ca="1">MATCH(T254,INDIRECT(VLOOKUP(CONCATENATE(LEFT(BO254,7),"-",MID(BO254,13,1)),CLU!$P$3:$Q$16,2)),1)</f>
        <v>#N/A</v>
      </c>
      <c r="GS254" s="433" t="e">
        <f ca="1">MATCH(U254,INDIRECT(VLOOKUP(CONCATENATE(LEFT(BO254,7),"-",MID(BO254,13,1)),CLU!$P$3:$Q$16,2)),1)</f>
        <v>#N/A</v>
      </c>
      <c r="GT254" s="347" t="s">
        <v>512</v>
      </c>
      <c r="GU254" s="97" t="s">
        <v>513</v>
      </c>
      <c r="GV254" s="97" t="str">
        <f t="shared" si="800"/>
        <v>M23</v>
      </c>
      <c r="GW254" s="97" t="str">
        <f t="shared" si="801"/>
        <v>M31</v>
      </c>
      <c r="GX254" s="97" t="str">
        <f t="shared" si="802"/>
        <v/>
      </c>
      <c r="GY254" s="97" t="str">
        <f t="shared" si="803"/>
        <v/>
      </c>
      <c r="GZ254" s="481"/>
      <c r="HA254" s="240"/>
      <c r="HB254" s="240"/>
      <c r="HC254" s="240"/>
      <c r="HD254" s="240"/>
      <c r="HE254" s="240"/>
      <c r="HF254" s="240"/>
      <c r="HG254" s="240"/>
      <c r="HH254" s="240"/>
      <c r="HI254" s="240"/>
      <c r="HJ254" s="240"/>
      <c r="HK254" s="240"/>
      <c r="HL254" s="240"/>
      <c r="HM254" s="240"/>
      <c r="HN254" s="240"/>
      <c r="HO254" s="240"/>
      <c r="HP254" s="240"/>
      <c r="HQ254" s="240"/>
      <c r="HR254" s="240"/>
      <c r="HS254" s="240"/>
      <c r="HT254" s="240"/>
      <c r="HU254" s="240"/>
      <c r="HV254" s="245"/>
      <c r="HW254" s="245" t="b">
        <v>1</v>
      </c>
      <c r="HX254" s="245" t="str">
        <f t="shared" si="688"/>
        <v/>
      </c>
      <c r="HY254" s="245" t="e">
        <f t="shared" si="689"/>
        <v>#DIV/0!</v>
      </c>
      <c r="HZ254" s="245" t="e">
        <f t="shared" si="690"/>
        <v>#DIV/0!</v>
      </c>
      <c r="IA254" s="245">
        <f t="shared" si="691"/>
        <v>0</v>
      </c>
      <c r="IB254" s="245"/>
      <c r="IC254" t="b">
        <f t="shared" si="692"/>
        <v>1</v>
      </c>
      <c r="ID254" s="245" t="b">
        <f t="shared" si="693"/>
        <v>1</v>
      </c>
      <c r="IE254" s="245" t="b">
        <f t="shared" si="694"/>
        <v>1</v>
      </c>
      <c r="IF254" s="245" t="b">
        <f t="shared" si="695"/>
        <v>0</v>
      </c>
      <c r="IG254" s="245" t="b">
        <f t="shared" si="696"/>
        <v>1</v>
      </c>
      <c r="IH254" s="245" t="b">
        <f t="shared" si="697"/>
        <v>1</v>
      </c>
      <c r="II254" s="245">
        <f t="shared" si="804"/>
        <v>0</v>
      </c>
      <c r="IJ254" s="245" t="e">
        <f t="shared" si="698"/>
        <v>#VALUE!</v>
      </c>
      <c r="IK254" s="245" t="e">
        <f t="shared" si="699"/>
        <v>#VALUE!</v>
      </c>
      <c r="IL254" s="245"/>
      <c r="IM254" s="245" t="e">
        <f t="shared" si="805"/>
        <v>#N/A</v>
      </c>
      <c r="IN254" s="245" t="e">
        <f t="shared" si="806"/>
        <v>#N/A</v>
      </c>
      <c r="IO254" s="245"/>
      <c r="IP254" s="245"/>
      <c r="IQ254" s="245" t="str">
        <f t="shared" si="700"/>
        <v/>
      </c>
      <c r="IR254" s="245" t="str">
        <f>IF(J254="","",VLOOKUP(J254,Worksheet!$R$4:$T$14,2))</f>
        <v/>
      </c>
      <c r="IS254" s="245"/>
      <c r="IT254" s="245">
        <f t="shared" si="701"/>
        <v>0</v>
      </c>
      <c r="IU254" s="245">
        <f t="shared" si="702"/>
        <v>0</v>
      </c>
      <c r="IV254" s="245">
        <f t="shared" si="703"/>
        <v>0</v>
      </c>
      <c r="IW254" s="245">
        <f t="shared" si="704"/>
        <v>0</v>
      </c>
      <c r="IX254" s="245">
        <f t="shared" si="807"/>
        <v>0</v>
      </c>
      <c r="IY254" s="245">
        <f t="shared" si="705"/>
        <v>0</v>
      </c>
      <c r="IZ254" s="245">
        <f t="shared" si="706"/>
        <v>0</v>
      </c>
      <c r="JA254">
        <f t="shared" si="707"/>
        <v>0</v>
      </c>
      <c r="JB254">
        <f t="shared" si="808"/>
        <v>0</v>
      </c>
      <c r="JC254">
        <f t="shared" si="708"/>
        <v>0</v>
      </c>
      <c r="JD254">
        <f t="shared" si="709"/>
        <v>0</v>
      </c>
      <c r="JE254">
        <f t="shared" si="710"/>
        <v>0</v>
      </c>
      <c r="JF254">
        <f t="shared" si="711"/>
        <v>0</v>
      </c>
      <c r="JG254">
        <f t="shared" si="712"/>
        <v>0</v>
      </c>
      <c r="JH254">
        <f t="shared" si="713"/>
        <v>0</v>
      </c>
      <c r="JI254">
        <f t="shared" si="714"/>
        <v>0</v>
      </c>
      <c r="JJ254" s="447">
        <f t="shared" si="715"/>
        <v>0</v>
      </c>
      <c r="JK254" s="447">
        <f t="shared" si="716"/>
        <v>0</v>
      </c>
      <c r="JL254">
        <f t="shared" si="717"/>
        <v>0</v>
      </c>
      <c r="JM254" s="245" t="str">
        <f>IFERROR(VLOOKUP(MATCH(BN254,#REF!,0),#REF!,7),"")</f>
        <v/>
      </c>
      <c r="JN254" t="e">
        <f>HLOOKUP(LEFT(BO254,7),Discharge_Area,MATCH(JO254,LookUps!$B$130:$B$149,1)+2)</f>
        <v>#N/A</v>
      </c>
      <c r="JO254" t="str">
        <f t="shared" si="718"/>
        <v>- S</v>
      </c>
      <c r="JP254" t="e">
        <f>HLOOKUP(LEFT(BO254,7),Discharge_Area,MATCH(JO254,LookUps!$B$130:$B$149,1)+2)</f>
        <v>#N/A</v>
      </c>
      <c r="JQ254" t="e">
        <f t="shared" si="719"/>
        <v>#N/A</v>
      </c>
      <c r="JR254" t="e">
        <f t="shared" si="720"/>
        <v>#N/A</v>
      </c>
      <c r="JS254" t="e">
        <f t="shared" si="721"/>
        <v>#N/A</v>
      </c>
      <c r="JT254" s="532" t="str">
        <f t="shared" si="722"/>
        <v xml:space="preserve"> </v>
      </c>
      <c r="JU254" s="532" t="str">
        <f t="shared" si="723"/>
        <v xml:space="preserve"> </v>
      </c>
      <c r="JV254" s="533" t="str">
        <f t="shared" si="724"/>
        <v xml:space="preserve"> </v>
      </c>
      <c r="JW254" s="534">
        <f t="shared" si="725"/>
        <v>0</v>
      </c>
      <c r="JX254" s="535" t="str">
        <f t="shared" si="809"/>
        <v xml:space="preserve"> </v>
      </c>
      <c r="JY254" s="535" t="str">
        <f t="shared" si="810"/>
        <v xml:space="preserve"> </v>
      </c>
      <c r="JZ254" s="535" t="str">
        <f t="shared" si="811"/>
        <v xml:space="preserve"> </v>
      </c>
      <c r="KA254" s="536" t="str">
        <f t="shared" si="726"/>
        <v xml:space="preserve"> </v>
      </c>
      <c r="KB254" s="535" t="e">
        <f t="shared" si="812"/>
        <v>#VALUE!</v>
      </c>
      <c r="KC254" s="535" t="str">
        <f t="shared" si="727"/>
        <v/>
      </c>
      <c r="KD254" s="537" t="str">
        <f t="shared" si="813"/>
        <v xml:space="preserve"> </v>
      </c>
      <c r="KE254" s="537" t="str">
        <f t="shared" si="814"/>
        <v xml:space="preserve"> </v>
      </c>
      <c r="KF254" s="534">
        <f t="shared" si="728"/>
        <v>0</v>
      </c>
      <c r="KG254" s="535" t="str">
        <f t="shared" si="729"/>
        <v xml:space="preserve"> </v>
      </c>
      <c r="KH254" s="535" t="str">
        <f t="shared" si="730"/>
        <v xml:space="preserve"> </v>
      </c>
      <c r="KI254" s="535" t="str">
        <f t="shared" si="731"/>
        <v xml:space="preserve"> </v>
      </c>
      <c r="KJ254" s="536" t="str">
        <f t="shared" si="732"/>
        <v xml:space="preserve"> </v>
      </c>
      <c r="KK254" s="535" t="str">
        <f t="shared" si="815"/>
        <v xml:space="preserve"> </v>
      </c>
      <c r="KL254" s="535" t="str">
        <f t="shared" si="816"/>
        <v xml:space="preserve"> </v>
      </c>
      <c r="KM254" s="537" t="str">
        <f t="shared" si="733"/>
        <v xml:space="preserve"> </v>
      </c>
      <c r="KN254" s="537" t="str">
        <f t="shared" si="817"/>
        <v xml:space="preserve"> </v>
      </c>
      <c r="KP254">
        <f t="shared" si="734"/>
        <v>0</v>
      </c>
      <c r="LA254" t="e">
        <f t="shared" si="735"/>
        <v>#VALUE!</v>
      </c>
      <c r="LB254" t="e">
        <f t="shared" si="736"/>
        <v>#VALUE!</v>
      </c>
      <c r="LC254" t="e">
        <f t="shared" si="737"/>
        <v>#VALUE!</v>
      </c>
      <c r="LD254" t="e">
        <f t="shared" si="738"/>
        <v>#VALUE!</v>
      </c>
      <c r="LE254" t="e">
        <f t="shared" si="818"/>
        <v>#VALUE!</v>
      </c>
      <c r="LF254">
        <f t="shared" si="739"/>
        <v>0</v>
      </c>
      <c r="LG254" t="e">
        <f t="shared" si="819"/>
        <v>#VALUE!</v>
      </c>
      <c r="LH254" t="str">
        <f t="shared" si="740"/>
        <v xml:space="preserve"> </v>
      </c>
      <c r="LI254">
        <f t="shared" si="820"/>
        <v>1</v>
      </c>
    </row>
    <row r="255" spans="2:321" ht="15" customHeight="1">
      <c r="B255" s="311"/>
      <c r="C255" s="311"/>
      <c r="D255" s="312"/>
      <c r="E255" s="311"/>
      <c r="F255" s="312"/>
      <c r="G255" s="311"/>
      <c r="H255" s="311"/>
      <c r="I255" s="232"/>
      <c r="J255" s="311"/>
      <c r="K255" s="305" t="str">
        <f t="shared" si="741"/>
        <v/>
      </c>
      <c r="L255" s="313"/>
      <c r="M255" s="312"/>
      <c r="N255" s="311"/>
      <c r="O255" s="312"/>
      <c r="P255" s="311"/>
      <c r="Q255" s="305" t="str">
        <f t="shared" si="742"/>
        <v/>
      </c>
      <c r="R255" s="314"/>
      <c r="S255" s="450" t="str">
        <f t="shared" si="625"/>
        <v/>
      </c>
      <c r="T255" s="315"/>
      <c r="U255" s="315"/>
      <c r="W255" s="149" t="str">
        <f t="shared" si="626"/>
        <v xml:space="preserve"> </v>
      </c>
      <c r="X255" s="243" t="str">
        <f t="shared" si="627"/>
        <v xml:space="preserve"> </v>
      </c>
      <c r="Y255" s="150" t="str">
        <f t="shared" si="628"/>
        <v/>
      </c>
      <c r="Z255" s="149" t="str">
        <f t="shared" si="629"/>
        <v xml:space="preserve"> </v>
      </c>
      <c r="AA255" s="98" t="str">
        <f t="shared" si="630"/>
        <v xml:space="preserve"> </v>
      </c>
      <c r="AB255" s="153" t="str">
        <f t="shared" si="631"/>
        <v xml:space="preserve"> </v>
      </c>
      <c r="AC255" s="153" t="str">
        <f t="shared" si="632"/>
        <v xml:space="preserve"> </v>
      </c>
      <c r="AD255" s="148" t="str">
        <f t="shared" si="633"/>
        <v/>
      </c>
      <c r="AE255" s="149" t="str">
        <f t="shared" si="634"/>
        <v/>
      </c>
      <c r="AF255" s="151" t="str">
        <f t="shared" si="635"/>
        <v xml:space="preserve"> </v>
      </c>
      <c r="AG255" s="153" t="str">
        <f t="shared" si="636"/>
        <v xml:space="preserve"> </v>
      </c>
      <c r="AH255" s="98" t="str">
        <f t="shared" si="637"/>
        <v xml:space="preserve"> </v>
      </c>
      <c r="AI255" s="149" t="str">
        <f t="shared" si="638"/>
        <v xml:space="preserve"> </v>
      </c>
      <c r="AK255" s="144" t="str">
        <f t="shared" si="639"/>
        <v xml:space="preserve"> </v>
      </c>
      <c r="AL255" s="144"/>
      <c r="AM255" s="243" t="str">
        <f t="shared" si="640"/>
        <v xml:space="preserve"> </v>
      </c>
      <c r="AN255" s="149" t="str">
        <f t="shared" si="743"/>
        <v xml:space="preserve"> </v>
      </c>
      <c r="AO255" s="144" t="str">
        <f>IF(JB255&gt;0,IF(GI255=10,-R255*1.085*(Calculation!$F$6-Calculation!$F$13)*$S$14," "),"")</f>
        <v/>
      </c>
      <c r="AP255" s="144" t="str">
        <f t="shared" si="641"/>
        <v/>
      </c>
      <c r="AQ255" s="56" t="str">
        <f t="shared" si="642"/>
        <v/>
      </c>
      <c r="AR255" s="144" t="str">
        <f t="shared" si="643"/>
        <v/>
      </c>
      <c r="AS255" s="176" t="str">
        <f t="shared" si="644"/>
        <v/>
      </c>
      <c r="AT255" s="176" t="str">
        <f t="shared" si="744"/>
        <v xml:space="preserve"> </v>
      </c>
      <c r="AU255" s="176" t="str">
        <f t="shared" si="645"/>
        <v/>
      </c>
      <c r="AV255" s="177" t="str">
        <f t="shared" si="646"/>
        <v xml:space="preserve"> </v>
      </c>
      <c r="AW255" s="144" t="str">
        <f t="shared" si="647"/>
        <v xml:space="preserve"> </v>
      </c>
      <c r="AX255" s="144" t="str">
        <f t="shared" si="648"/>
        <v xml:space="preserve"> </v>
      </c>
      <c r="AY255" s="152" t="str">
        <f t="shared" si="649"/>
        <v xml:space="preserve"> </v>
      </c>
      <c r="AZ255" s="246" t="str">
        <f t="shared" si="650"/>
        <v/>
      </c>
      <c r="BA255" s="176" t="str">
        <f t="shared" si="651"/>
        <v xml:space="preserve"> </v>
      </c>
      <c r="BB255" s="176" t="str">
        <f t="shared" si="652"/>
        <v xml:space="preserve"> </v>
      </c>
      <c r="BC255" s="195"/>
      <c r="BD255" s="316"/>
      <c r="BE255" s="317"/>
      <c r="BF255" s="318"/>
      <c r="BG255" s="318"/>
      <c r="BH255" s="144" t="str">
        <f t="shared" si="821"/>
        <v xml:space="preserve"> </v>
      </c>
      <c r="BI255" s="176" t="str">
        <f t="shared" si="653"/>
        <v/>
      </c>
      <c r="BJ255" s="144" t="str">
        <f t="shared" si="822"/>
        <v/>
      </c>
      <c r="BK255" s="246" t="str">
        <f t="shared" si="654"/>
        <v/>
      </c>
      <c r="BL255" s="144" t="str">
        <f t="shared" si="823"/>
        <v/>
      </c>
      <c r="BM255" s="246" t="str">
        <f t="shared" si="655"/>
        <v/>
      </c>
      <c r="BN255" s="337" t="str">
        <f t="shared" si="745"/>
        <v/>
      </c>
      <c r="BO255" s="371" t="str">
        <f t="shared" si="746"/>
        <v/>
      </c>
      <c r="BP255" s="328" t="str">
        <f t="shared" si="824"/>
        <v xml:space="preserve"> </v>
      </c>
      <c r="BQ255" s="347" t="str">
        <f t="shared" si="747"/>
        <v xml:space="preserve"> </v>
      </c>
      <c r="BR255" s="353" t="str">
        <f t="shared" si="748"/>
        <v xml:space="preserve"> </v>
      </c>
      <c r="BS255" s="626" t="str">
        <f>IF(L255&gt;0,IF(Calculation!P255="M13",BR255*3.1416*(0.134^2)/(4*144),IF(Calculation!P255="M17",BR255*3.1416*(0.165^2)/(4*144),IF(Calculation!P255="M20",BR255*3.1416*(0.198^2)/(4*144),IF(Calculation!P255="M23",BR255*3.1416*(0.228^2)/(4*144),IF(Calculation!P255="M27",BR255*3.1416*(0.269^2)/(4*144),BR255*3.1416*(0.307^2)/(4*144))))))," ")</f>
        <v xml:space="preserve"> </v>
      </c>
      <c r="BT255" s="353" t="str">
        <f>IF(L255&gt;0,IF(BS255&gt;0,R255/Calculation!BS255,0)," ")</f>
        <v xml:space="preserve"> </v>
      </c>
      <c r="BU255" s="438" t="e">
        <f t="shared" ca="1" si="656"/>
        <v>#VALUE!</v>
      </c>
      <c r="BV255" s="449" t="e">
        <f ca="1">INDEX(INDIRECT(VLOOKUP(LEFT(BO255,7),CLU!$Z$3:$AH$18,2)),GN255,GR255)</f>
        <v>#N/A</v>
      </c>
      <c r="BW255" s="433" t="e">
        <f ca="1">INDEX(INDIRECT(VLOOKUP(LEFT(BO255,7),CLU!$Z$3:$AH$18,3)),GN255,GR255)</f>
        <v>#N/A</v>
      </c>
      <c r="BX255" s="433" t="e">
        <f ca="1">INDEX(INDIRECT(VLOOKUP(LEFT(BO255,7),CLU!$Z$3:$AH$18,4)),GN255,GR255)</f>
        <v>#N/A</v>
      </c>
      <c r="BY255" s="433" t="e">
        <f ca="1">INDEX(INDIRECT(VLOOKUP(LEFT(BO255,7),CLU!$Z$3:$AH$18,9)),((M255-2)*(6-COUNTBLANK(GT255:GY255)))+GJ255)</f>
        <v>#N/A</v>
      </c>
      <c r="BZ255" s="426" t="e">
        <f t="shared" ca="1" si="749"/>
        <v>#N/A</v>
      </c>
      <c r="CA255" s="424" t="e">
        <f t="shared" ca="1" si="750"/>
        <v>#N/A</v>
      </c>
      <c r="CB255" s="429" t="e">
        <f ca="1">INDEX(INDIRECT(VLOOKUP(LEFT(BO255,7),CLU!$Z$3:$AH$18,2)),GN255,GS255)</f>
        <v>#N/A</v>
      </c>
      <c r="CC255" s="342" t="e">
        <f ca="1">INDEX(INDIRECT(VLOOKUP(LEFT(BO255,7),CLU!$Z$3:$AH$18,3)),GN255,GS255)</f>
        <v>#N/A</v>
      </c>
      <c r="CD255" s="342" t="e">
        <f ca="1">INDEX(INDIRECT(VLOOKUP(LEFT(BO255,7),CLU!$Z$3:$AH$18,4)),GN255,GS255)</f>
        <v>#N/A</v>
      </c>
      <c r="CE255" s="426" t="e">
        <f t="shared" ca="1" si="751"/>
        <v>#N/A</v>
      </c>
      <c r="CF255" s="440">
        <f t="shared" si="752"/>
        <v>0</v>
      </c>
      <c r="CG255" s="431" t="e">
        <f ca="1">INDEX(INDIRECT(VLOOKUP(LEFT(BO255,7),CLU!$Z$3:$AH$18,2)),GQ255,GR255)</f>
        <v>#N/A</v>
      </c>
      <c r="CH255" s="431" t="e">
        <f ca="1">INDEX(INDIRECT(VLOOKUP(LEFT(BO255,7),CLU!$Z$3:$AH$18,3)),GQ255,GR255)</f>
        <v>#N/A</v>
      </c>
      <c r="CI255" s="431" t="e">
        <f ca="1">INDEX(INDIRECT(VLOOKUP(LEFT(BO255,7),CLU!$Z$3:$AH$18,4)),GQ255,GR255)</f>
        <v>#N/A</v>
      </c>
      <c r="CJ255" s="448" t="e">
        <f t="shared" ca="1" si="753"/>
        <v>#N/A</v>
      </c>
      <c r="CK255" s="431" t="e">
        <f t="shared" ca="1" si="754"/>
        <v>#N/A</v>
      </c>
      <c r="CL255" s="440" t="e">
        <f t="shared" ca="1" si="755"/>
        <v>#N/A</v>
      </c>
      <c r="CM255" s="431" t="e">
        <f ca="1">INDEX(INDIRECT(VLOOKUP(LEFT(BO255,7),CLU!$Z$3:$AH$18,2)),GQ255,GS255)</f>
        <v>#N/A</v>
      </c>
      <c r="CN255" s="431" t="e">
        <f ca="1">INDEX(INDIRECT(VLOOKUP(LEFT(BO255,7),CLU!$Z$3:$AH$18,3)),GQ255,GS255)</f>
        <v>#N/A</v>
      </c>
      <c r="CO255" s="431" t="e">
        <f ca="1">INDEX(INDIRECT(VLOOKUP(LEFT(BO255,7),CLU!$Z$3:$AH$18,4)),GQ255,GS255)</f>
        <v>#N/A</v>
      </c>
      <c r="CP255" s="431" t="e">
        <f t="shared" ca="1" si="756"/>
        <v>#N/A</v>
      </c>
      <c r="CQ255" s="440">
        <f t="shared" si="757"/>
        <v>0</v>
      </c>
      <c r="CR255" s="51" t="e">
        <f t="shared" ca="1" si="758"/>
        <v>#N/A</v>
      </c>
      <c r="CS255" s="439" t="e">
        <f t="shared" ca="1" si="759"/>
        <v>#VALUE!</v>
      </c>
      <c r="CT255" s="51" t="e">
        <f t="shared" ca="1" si="760"/>
        <v>#VALUE!</v>
      </c>
      <c r="CU255" s="10"/>
      <c r="CV255" s="51" t="e">
        <f t="shared" ca="1" si="657"/>
        <v>#VALUE!</v>
      </c>
      <c r="CW255" s="51">
        <f t="shared" si="761"/>
        <v>0</v>
      </c>
      <c r="CX255" s="439" t="e">
        <f t="shared" ca="1" si="762"/>
        <v>#VALUE!</v>
      </c>
      <c r="CY255" s="51" t="e">
        <f t="shared" ca="1" si="763"/>
        <v>#VALUE!</v>
      </c>
      <c r="CZ255" s="10"/>
      <c r="DA255" s="51" t="e">
        <f t="shared" ca="1" si="764"/>
        <v>#VALUE!</v>
      </c>
      <c r="DB255" s="347" t="e">
        <f ca="1">INDEX(INDIRECT(VLOOKUP(LEFT(BO255,7),CLU!$Z$3:$AI$18,10)),((M255-2)*(6-COUNTBLANK(GT255:GY255)))+GJ255)*LI255</f>
        <v>#N/A</v>
      </c>
      <c r="DC255" s="347" t="str">
        <f>IF(L255&gt;0,((R255/Worksheet!$I$15)/DB255)^2," ")</f>
        <v xml:space="preserve"> </v>
      </c>
      <c r="DD255" s="602" t="str">
        <f t="shared" si="765"/>
        <v xml:space="preserve"> </v>
      </c>
      <c r="DE255" s="347" t="str">
        <f t="shared" si="658"/>
        <v xml:space="preserve"> </v>
      </c>
      <c r="DF255" s="356" t="e">
        <f ca="1">INDEX(INDIRECT(VLOOKUP(LEFT(BO255,7),CLU!$Z$3:$AH$18,8)),((M255-2)*(6-COUNTBLANK(GT255:GY255)))+GJ255)</f>
        <v>#N/A</v>
      </c>
      <c r="DG255" s="347" t="str">
        <f t="shared" si="659"/>
        <v xml:space="preserve"> </v>
      </c>
      <c r="DH255" s="357" t="str">
        <f t="shared" si="660"/>
        <v xml:space="preserve"> </v>
      </c>
      <c r="DI255" s="355" t="str">
        <f t="shared" si="661"/>
        <v xml:space="preserve"> </v>
      </c>
      <c r="DJ255" s="245" t="e">
        <f ca="1">INDEX(INDIRECT(VLOOKUP(LEFT(BO255,7),CLU!$Z$3:$AH$18,5)),GL255,GK255)</f>
        <v>#N/A</v>
      </c>
      <c r="DK255" s="245" t="e">
        <f ca="1">INDEX(INDIRECT(VLOOKUP(LEFT(BO255,7),CLU!$Z$3:$AH$18,6)),GL255,GK255)</f>
        <v>#N/A</v>
      </c>
      <c r="DL255" s="355">
        <f>(Calculation!R255*0.69143*(Calculation!$BQ$8-Calculation!$F$8))*$S$14</f>
        <v>0</v>
      </c>
      <c r="DM255" s="359" t="e">
        <f t="shared" si="766"/>
        <v>#VALUE!</v>
      </c>
      <c r="DN255" s="611">
        <f t="shared" si="767"/>
        <v>0</v>
      </c>
      <c r="DO255" s="359">
        <f t="shared" si="768"/>
        <v>100</v>
      </c>
      <c r="DP255" s="359">
        <f t="shared" si="769"/>
        <v>0</v>
      </c>
      <c r="DQ255" s="360"/>
      <c r="DR255" s="245" t="e">
        <f ca="1">INDEX(INDIRECT(VLOOKUP(LEFT(BO255,7),CLU!$Z$3:$AH$18,7)),M255-1,1)</f>
        <v>#N/A</v>
      </c>
      <c r="DS255" s="245" t="e">
        <f ca="1">INDEX(INDIRECT(VLOOKUP(LEFT(BO255,7),CLU!$Z$3:$AH$18,7)),M255-1,2)</f>
        <v>#N/A</v>
      </c>
      <c r="DT255" s="245" t="e">
        <f ca="1">INDEX(INDIRECT(VLOOKUP(LEFT(BO255,7),CLU!$Z$3:$AH$18,7)),M255-1,3)</f>
        <v>#N/A</v>
      </c>
      <c r="DU255" s="245" t="e">
        <f ca="1">INDEX(INDIRECT(VLOOKUP(LEFT(BO255,7),CLU!$Z$3:$AH$18,7)),M255-1,4)</f>
        <v>#N/A</v>
      </c>
      <c r="DV255" s="361" t="e">
        <f ca="1">INDEX(INDIRECT(VLOOKUP(LEFT(BO255,7),CLU!$Z$3:$AH$18,7)),M255-1,4+LEFT(DZ255,1)*0.5)</f>
        <v>#N/A</v>
      </c>
      <c r="DW255" s="245" t="e">
        <f ca="1">INDEX(INDIRECT(VLOOKUP(LEFT(BO255,7),CLU!$Z$3:$AH$18,7)),M255-1,8)</f>
        <v>#N/A</v>
      </c>
      <c r="DX255" s="361" t="str">
        <f t="shared" si="662"/>
        <v xml:space="preserve"> </v>
      </c>
      <c r="DY255" s="361" t="str">
        <f t="shared" si="663"/>
        <v xml:space="preserve"> </v>
      </c>
      <c r="DZ255" s="361" t="str">
        <f t="shared" si="664"/>
        <v xml:space="preserve"> </v>
      </c>
      <c r="EA255" s="362" t="str">
        <f t="shared" si="665"/>
        <v xml:space="preserve"> </v>
      </c>
      <c r="EB255" s="624" t="str">
        <f t="shared" si="770"/>
        <v xml:space="preserve"> </v>
      </c>
      <c r="EC255" s="361" t="e">
        <f ca="1">INDEX(INDIRECT(VLOOKUP(LEFT(BO255,7),CLU!$Z$3:$AH$18,7)),M255-1,4+LEFT(DZ255,1)*0.5)</f>
        <v>#N/A</v>
      </c>
      <c r="ED255" s="362" t="str">
        <f t="shared" si="666"/>
        <v xml:space="preserve"> </v>
      </c>
      <c r="EE255" s="361" t="str">
        <f t="shared" si="667"/>
        <v xml:space="preserve"> </v>
      </c>
      <c r="EF255" s="362" t="str">
        <f>IF(L255&gt;0,IF(BR255&gt;0,IF(EE255="2P",IF(Calculation!DZ255="2P",IF(Calculation!DS255=13.75,IF(Calculation!DR255=13,Worksheet!$BD$43,IF(Calculation!DR255=37,Worksheet!$BD$44,Worksheet!$BD$45)),IF(Calculation!DS255=10,IF(Calculation!DR255=18,Worksheet!$BD$29,IF(Calculation!DR255=30,Worksheet!$BD$30,IF(Calculation!DR255=42,Worksheet!$BD$31,IF(Calculation!DR255=54,Worksheet!$BD$32,IF(Calculation!DR255=66,Worksheet!$BD$33,IF(Calculation!DR255=78,Worksheet!$BD$34,IF(Calculation!DR255=90,Worksheet!$BD$35,IF(Calculation!DR255=102,Worksheet!$BD$36,Worksheet!$BD$37)))))))),IF(Calculation!DS255=12.5,IF(Calculation!DR255=18,Worksheet!$BD$38,IF(Calculation!DR255=Worksheet!$BD$39,IF(Calculation!DR255=42,Worksheet!$BD$40,IF(Calculation!DR255=54,Worksheet!$BD$41,Worksheet!$BD$42)))),IF(Calculation!DR255=18,Worksheet!$BD$11,IF(Calculation!DR255=30,Worksheet!$BD$12,IF(Calculation!DR255=42,Worksheet!$BD$13,IF(Calculation!DR255=54,Worksheet!$BD$14,IF(Calculation!DR255=66,Worksheet!$BD$15,IF(Calculation!DR255=78,Worksheet!$BD$16,IF(Calculation!DR255=90,Worksheet!$BD$17,IF(Calculation!DR255=102,Worksheet!$BD$18,Worksheet!$BD$19))))))))))),IF(Calculation!DS255=13.75,IF(Calculation!DR255=13,Worksheet!$BD$78,IF(Calculation!DR255=37,Worksheet!$BD$79,Worksheet!$BD$80)),IF(Calculation!DS255=10,IF(Calculation!DR255=18,Worksheet!$BD$64,IF(Calculation!DR255=30,Worksheet!$BD$65,IF(Calculation!DR255=42,Worksheet!$BD$66,IF(Calculation!DR255=54,Worksheet!$BD$68,IF(Calculation!DR255=66,Worksheet!$BD$68,IF(Calculation!DR255=78,Worksheet!$BD$69,IF(Calculation!DR255=90,Worksheet!$BD$70,IF(Calculation!DR255=102,Worksheet!$BD$71,Worksheet!$BD$72)))))))),IF(Calculation!DS255=12.5,IF(Calculation!DR255=18,Worksheet!$BD$73,IF(Calculation!DR255=Worksheet!$BD$74,IF(Calculation!DR255=42,Worksheet!$BD$75,IF(Calculation!DR255=54,Worksheet!$BD$76,Worksheet!$BD$77)))),IF(Calculation!DR255=18,Worksheet!$BD$55,IF(Calculation!DR255=30,Worksheet!$BD$56,IF(Calculation!DR255=42,Worksheet!$BD$57,IF(Calculation!DR255=54,Worksheet!$BD$58,IF(Calculation!DR255=66,Worksheet!$BD$59,IF(Calculation!DR255=78,Worksheet!$BD$60,IF(Calculation!DR255=90,Worksheet!$BD$61,IF(Calculation!DR255=102,Worksheet!$BD$62,Worksheet!$BD$63)))))))))))),5),0)," ")</f>
        <v xml:space="preserve"> </v>
      </c>
      <c r="EG255" s="361" t="str">
        <f t="shared" si="668"/>
        <v xml:space="preserve"> </v>
      </c>
      <c r="EH255" s="361" t="e">
        <f ca="1">INDEX(INDIRECT(VLOOKUP(LEFT(BO255,7),CLU!$Z$3:$AH$18,7)),M255-1,3+LEFT(DZ255,1))</f>
        <v>#N/A</v>
      </c>
      <c r="EI255" s="362" t="str">
        <f t="shared" si="669"/>
        <v xml:space="preserve"> </v>
      </c>
      <c r="EJ255" s="363" t="str">
        <f t="shared" si="670"/>
        <v xml:space="preserve"> </v>
      </c>
      <c r="EK255" s="363" t="str">
        <f t="shared" si="671"/>
        <v xml:space="preserve"> </v>
      </c>
      <c r="EL255" s="363" t="str">
        <f t="shared" si="672"/>
        <v xml:space="preserve"> </v>
      </c>
      <c r="EM255" s="362" t="str">
        <f>IF(L255&gt;0,IF(BR255&gt;0,(Calculation!T255/ED255)^2,0)," ")</f>
        <v xml:space="preserve"> </v>
      </c>
      <c r="EN255" s="362" t="str">
        <f>IF(L255&gt;0,IF(O255="2 Pipe (Cooling)","N/A",IF(BR255&gt;0,(Calculation!U255/EI255)^2,0))," ")</f>
        <v xml:space="preserve"> </v>
      </c>
      <c r="EO255" s="361" t="str">
        <f t="shared" si="673"/>
        <v/>
      </c>
      <c r="EP255" s="361" t="str">
        <f t="shared" si="674"/>
        <v/>
      </c>
      <c r="EQ255" s="361" t="str">
        <f t="shared" si="675"/>
        <v/>
      </c>
      <c r="ER255" s="361" t="str">
        <f t="shared" si="676"/>
        <v/>
      </c>
      <c r="ES255" s="361" t="str">
        <f t="shared" si="677"/>
        <v/>
      </c>
      <c r="ET255" s="361" t="str">
        <f t="shared" si="678"/>
        <v/>
      </c>
      <c r="EU255" s="361" t="str">
        <f t="shared" si="679"/>
        <v/>
      </c>
      <c r="EV255" s="361" t="str">
        <f t="shared" si="680"/>
        <v/>
      </c>
      <c r="EW255" s="361" t="str">
        <f t="shared" si="681"/>
        <v/>
      </c>
      <c r="EX255" s="361" t="str">
        <f t="shared" si="771"/>
        <v>1 slot, 1 way</v>
      </c>
      <c r="EY255" s="361" t="str">
        <f t="shared" si="772"/>
        <v xml:space="preserve"> </v>
      </c>
      <c r="EZ255" s="361" t="str">
        <f t="shared" si="773"/>
        <v xml:space="preserve"> </v>
      </c>
      <c r="FA255" s="361" t="str">
        <f t="shared" si="774"/>
        <v xml:space="preserve"> </v>
      </c>
      <c r="FB255" s="361" t="str">
        <f t="shared" si="775"/>
        <v xml:space="preserve"> </v>
      </c>
      <c r="FC255" s="361"/>
      <c r="FD255" s="361" t="str">
        <f>IF(J255&gt;0,IF(Calculation!R255&lt;=70,4,IF(Calculation!R255&lt;=110,5,IF(Calculation!R255&lt;=160,6,IF(Calculation!R255&lt;=300,8,"10 EO")))),"")</f>
        <v/>
      </c>
      <c r="FE255" s="361" t="str">
        <f t="shared" si="776"/>
        <v/>
      </c>
      <c r="FF255" s="361" t="str">
        <f t="shared" si="777"/>
        <v/>
      </c>
      <c r="FG255" s="361" t="e">
        <f t="shared" si="682"/>
        <v>#N/A</v>
      </c>
      <c r="FH255" s="361">
        <f t="shared" si="683"/>
        <v>0</v>
      </c>
      <c r="FI255" s="361" t="e">
        <f t="shared" si="684"/>
        <v>#DIV/0!</v>
      </c>
      <c r="FJ255" s="361"/>
      <c r="FK255" s="356" t="e">
        <f t="shared" si="685"/>
        <v>#VALUE!</v>
      </c>
      <c r="FL255" s="361"/>
      <c r="FM255" s="361"/>
      <c r="FN255" s="362" t="str">
        <f t="shared" si="778"/>
        <v xml:space="preserve"> </v>
      </c>
      <c r="FO255" s="362" t="str">
        <f t="shared" si="779"/>
        <v xml:space="preserve"> </v>
      </c>
      <c r="FP255" s="362">
        <f t="shared" si="780"/>
        <v>0</v>
      </c>
      <c r="FQ255" s="361">
        <f t="shared" si="686"/>
        <v>0</v>
      </c>
      <c r="FR255" s="362" t="str">
        <f>IF(L255&gt;0,IF(J255="CBAL2",Worksheet!$P$67,IF(J255="CBE2-24",Worksheet!$Q$67,IF(J255="CBAM",Worksheet!$R$67,IF(J255="CBLV",Worksheet!$S$67,IF(J255="CBAB",Worksheet!$U$67,IF(J255="CBAW",Worksheet!$X$67,IF(J255="CBE2-12",Worksheet!$Y$67,IF(J255="CBAL2",Worksheet!$Z$67,"N/A"))))))))," ")</f>
        <v xml:space="preserve"> </v>
      </c>
      <c r="FS255" s="362" t="str">
        <f>IF(L255&gt;0,IF(J255="CBAL2",Worksheet!$P$68,IF(J255="CBE2-24",Worksheet!$Q$68,IF(J255="CBAM",Worksheet!$R$68,IF(J255="CBLV",Worksheet!$S$68,IF(J255="CBAB",Worksheet!$U$68,IF(J255="CBAW",Worksheet!$X$68,IF(J255="CBE2-12",Worksheet!$Y$68,IF(J255="CBAL2",Worksheet!$Z$68,"N/A"))))))))," ")</f>
        <v xml:space="preserve"> </v>
      </c>
      <c r="FT255" s="362" t="str">
        <f>IF(L255&gt;0,IF(J255="CBAL2",Worksheet!$P$69,IF(J255="CBE2-24",Worksheet!$Q$69,IF(J255="CBAM",Worksheet!$R$69,IF(J255="CBLV",Worksheet!$S$69,IF(J255="CBAB",Worksheet!$U$69,IF(J255="CBAW",Worksheet!$X$69,IF(J255="CBE2-12",Worksheet!$Y$69,IF(J255="CBAL2",Worksheet!$Z$69,"N/A"))))))))," ")</f>
        <v xml:space="preserve"> </v>
      </c>
      <c r="FU255" s="361" t="str">
        <f t="shared" si="781"/>
        <v xml:space="preserve"> </v>
      </c>
      <c r="FV255" s="362" t="str">
        <f t="shared" si="782"/>
        <v xml:space="preserve"> </v>
      </c>
      <c r="FW255" s="362" t="str">
        <f t="shared" si="783"/>
        <v xml:space="preserve"> </v>
      </c>
      <c r="FX255" s="362" t="str">
        <f t="shared" si="784"/>
        <v xml:space="preserve"> </v>
      </c>
      <c r="FY255" s="355" t="str">
        <f t="shared" si="785"/>
        <v xml:space="preserve"> </v>
      </c>
      <c r="FZ255" s="361" t="str">
        <f t="shared" si="786"/>
        <v xml:space="preserve"> </v>
      </c>
      <c r="GA255" s="347" t="str">
        <f t="shared" si="787"/>
        <v xml:space="preserve"> </v>
      </c>
      <c r="GB255" s="355" t="str">
        <f t="shared" si="788"/>
        <v xml:space="preserve"> </v>
      </c>
      <c r="GC255" s="328" t="str">
        <f t="shared" si="789"/>
        <v xml:space="preserve"> </v>
      </c>
      <c r="GD255" s="361" t="str">
        <f t="shared" si="790"/>
        <v xml:space="preserve"> </v>
      </c>
      <c r="GE255" s="347" t="str">
        <f t="shared" si="791"/>
        <v xml:space="preserve"> </v>
      </c>
      <c r="GF255" s="361" t="str">
        <f t="shared" si="792"/>
        <v xml:space="preserve"> </v>
      </c>
      <c r="GG255" s="347" t="str">
        <f t="shared" si="793"/>
        <v xml:space="preserve"> </v>
      </c>
      <c r="GH255" s="364">
        <f t="shared" si="687"/>
        <v>0</v>
      </c>
      <c r="GI255" s="362">
        <f t="shared" si="794"/>
        <v>2</v>
      </c>
      <c r="GJ255" s="433" t="e">
        <f>IF(6-COUNTBLANK(GT255:GY255)=4,MATCH(MID(BO255,9,3),CLU!$H$16:$K$16),MATCH(MID(BO255,9,3),CLU!$H$13:$M$13))</f>
        <v>#N/A</v>
      </c>
      <c r="GK255" s="433" t="e">
        <f>HLOOKUP(VALUE(BP255),CLU!$H$9:$M$10,2)</f>
        <v>#VALUE!</v>
      </c>
      <c r="GL255" s="433" t="e">
        <f ca="1">MATCH(BU255,CLU!$H$2:$V$2,1)</f>
        <v>#VALUE!</v>
      </c>
      <c r="GM255" s="433" t="e">
        <f t="shared" ca="1" si="795"/>
        <v>#VALUE!</v>
      </c>
      <c r="GN255" s="433" t="e">
        <f t="shared" ca="1" si="796"/>
        <v>#VALUE!</v>
      </c>
      <c r="GO255" s="433" t="e">
        <f t="shared" ca="1" si="797"/>
        <v>#VALUE!</v>
      </c>
      <c r="GP255" s="433" t="e">
        <f t="shared" ca="1" si="798"/>
        <v>#VALUE!</v>
      </c>
      <c r="GQ255" s="433" t="e">
        <f t="shared" ca="1" si="799"/>
        <v>#VALUE!</v>
      </c>
      <c r="GR255" s="433" t="e">
        <f ca="1">MATCH(T255,INDIRECT(VLOOKUP(CONCATENATE(LEFT(BO255,7),"-",MID(BO255,13,1)),CLU!$P$3:$Q$16,2)),1)</f>
        <v>#N/A</v>
      </c>
      <c r="GS255" s="433" t="e">
        <f ca="1">MATCH(U255,INDIRECT(VLOOKUP(CONCATENATE(LEFT(BO255,7),"-",MID(BO255,13,1)),CLU!$P$3:$Q$16,2)),1)</f>
        <v>#N/A</v>
      </c>
      <c r="GT255" s="347" t="s">
        <v>512</v>
      </c>
      <c r="GU255" s="97" t="s">
        <v>513</v>
      </c>
      <c r="GV255" s="97" t="str">
        <f t="shared" si="800"/>
        <v>M23</v>
      </c>
      <c r="GW255" s="97" t="str">
        <f t="shared" si="801"/>
        <v>M31</v>
      </c>
      <c r="GX255" s="97" t="str">
        <f t="shared" si="802"/>
        <v/>
      </c>
      <c r="GY255" s="97" t="str">
        <f t="shared" si="803"/>
        <v/>
      </c>
      <c r="GZ255" s="481"/>
      <c r="HA255" s="240"/>
      <c r="HB255" s="240"/>
      <c r="HC255" s="240"/>
      <c r="HD255" s="240"/>
      <c r="HE255" s="240"/>
      <c r="HF255" s="240"/>
      <c r="HG255" s="240"/>
      <c r="HH255" s="240"/>
      <c r="HI255" s="240"/>
      <c r="HJ255" s="240"/>
      <c r="HK255" s="240"/>
      <c r="HL255" s="240"/>
      <c r="HM255" s="240"/>
      <c r="HN255" s="240"/>
      <c r="HO255" s="240"/>
      <c r="HP255" s="240"/>
      <c r="HQ255" s="240"/>
      <c r="HR255" s="240"/>
      <c r="HS255" s="240"/>
      <c r="HT255" s="240"/>
      <c r="HU255" s="240"/>
      <c r="HV255" s="245"/>
      <c r="HW255" s="245" t="b">
        <v>1</v>
      </c>
      <c r="HX255" s="245" t="str">
        <f t="shared" si="688"/>
        <v/>
      </c>
      <c r="HY255" s="245" t="e">
        <f t="shared" si="689"/>
        <v>#DIV/0!</v>
      </c>
      <c r="HZ255" s="245" t="e">
        <f t="shared" si="690"/>
        <v>#DIV/0!</v>
      </c>
      <c r="IA255" s="245">
        <f t="shared" si="691"/>
        <v>0</v>
      </c>
      <c r="IB255" s="245"/>
      <c r="IC255" t="b">
        <f t="shared" si="692"/>
        <v>1</v>
      </c>
      <c r="ID255" s="245" t="b">
        <f t="shared" si="693"/>
        <v>1</v>
      </c>
      <c r="IE255" s="245" t="b">
        <f t="shared" si="694"/>
        <v>1</v>
      </c>
      <c r="IF255" s="245" t="b">
        <f t="shared" si="695"/>
        <v>0</v>
      </c>
      <c r="IG255" s="245" t="b">
        <f t="shared" si="696"/>
        <v>1</v>
      </c>
      <c r="IH255" s="245" t="b">
        <f t="shared" si="697"/>
        <v>1</v>
      </c>
      <c r="II255" s="245">
        <f t="shared" si="804"/>
        <v>0</v>
      </c>
      <c r="IJ255" s="245" t="e">
        <f t="shared" si="698"/>
        <v>#VALUE!</v>
      </c>
      <c r="IK255" s="245" t="e">
        <f t="shared" si="699"/>
        <v>#VALUE!</v>
      </c>
      <c r="IL255" s="245"/>
      <c r="IM255" s="245" t="e">
        <f t="shared" si="805"/>
        <v>#N/A</v>
      </c>
      <c r="IN255" s="245" t="e">
        <f t="shared" si="806"/>
        <v>#N/A</v>
      </c>
      <c r="IO255" s="245"/>
      <c r="IP255" s="245"/>
      <c r="IQ255" s="245" t="str">
        <f t="shared" si="700"/>
        <v/>
      </c>
      <c r="IR255" s="245" t="str">
        <f>IF(J255="","",VLOOKUP(J255,Worksheet!$R$4:$T$14,2))</f>
        <v/>
      </c>
      <c r="IS255" s="245"/>
      <c r="IT255" s="245">
        <f t="shared" si="701"/>
        <v>0</v>
      </c>
      <c r="IU255" s="245">
        <f t="shared" si="702"/>
        <v>0</v>
      </c>
      <c r="IV255" s="245">
        <f t="shared" si="703"/>
        <v>0</v>
      </c>
      <c r="IW255" s="245">
        <f t="shared" si="704"/>
        <v>0</v>
      </c>
      <c r="IX255" s="245">
        <f t="shared" si="807"/>
        <v>0</v>
      </c>
      <c r="IY255" s="245">
        <f t="shared" si="705"/>
        <v>0</v>
      </c>
      <c r="IZ255" s="245">
        <f t="shared" si="706"/>
        <v>0</v>
      </c>
      <c r="JA255">
        <f t="shared" si="707"/>
        <v>0</v>
      </c>
      <c r="JB255">
        <f t="shared" si="808"/>
        <v>0</v>
      </c>
      <c r="JC255">
        <f t="shared" si="708"/>
        <v>0</v>
      </c>
      <c r="JD255">
        <f t="shared" si="709"/>
        <v>0</v>
      </c>
      <c r="JE255">
        <f t="shared" si="710"/>
        <v>0</v>
      </c>
      <c r="JF255">
        <f t="shared" si="711"/>
        <v>0</v>
      </c>
      <c r="JG255">
        <f t="shared" si="712"/>
        <v>0</v>
      </c>
      <c r="JH255">
        <f t="shared" si="713"/>
        <v>0</v>
      </c>
      <c r="JI255">
        <f t="shared" si="714"/>
        <v>0</v>
      </c>
      <c r="JJ255" s="447">
        <f t="shared" si="715"/>
        <v>0</v>
      </c>
      <c r="JK255" s="447">
        <f t="shared" si="716"/>
        <v>0</v>
      </c>
      <c r="JL255">
        <f t="shared" si="717"/>
        <v>0</v>
      </c>
      <c r="JM255" s="245" t="str">
        <f>IFERROR(VLOOKUP(MATCH(BN255,#REF!,0),#REF!,7),"")</f>
        <v/>
      </c>
      <c r="JN255" t="e">
        <f>HLOOKUP(LEFT(BO255,7),Discharge_Area,MATCH(JO255,LookUps!$B$130:$B$149,1)+2)</f>
        <v>#N/A</v>
      </c>
      <c r="JO255" t="str">
        <f t="shared" si="718"/>
        <v>- S</v>
      </c>
      <c r="JP255" t="e">
        <f>HLOOKUP(LEFT(BO255,7),Discharge_Area,MATCH(JO255,LookUps!$B$130:$B$149,1)+2)</f>
        <v>#N/A</v>
      </c>
      <c r="JQ255" t="e">
        <f t="shared" si="719"/>
        <v>#N/A</v>
      </c>
      <c r="JR255" t="e">
        <f t="shared" si="720"/>
        <v>#N/A</v>
      </c>
      <c r="JS255" t="e">
        <f t="shared" si="721"/>
        <v>#N/A</v>
      </c>
      <c r="JT255" s="532" t="str">
        <f t="shared" si="722"/>
        <v xml:space="preserve"> </v>
      </c>
      <c r="JU255" s="532" t="str">
        <f t="shared" si="723"/>
        <v xml:space="preserve"> </v>
      </c>
      <c r="JV255" s="533" t="str">
        <f t="shared" si="724"/>
        <v xml:space="preserve"> </v>
      </c>
      <c r="JW255" s="534">
        <f t="shared" si="725"/>
        <v>0</v>
      </c>
      <c r="JX255" s="535" t="str">
        <f t="shared" si="809"/>
        <v xml:space="preserve"> </v>
      </c>
      <c r="JY255" s="535" t="str">
        <f t="shared" si="810"/>
        <v xml:space="preserve"> </v>
      </c>
      <c r="JZ255" s="535" t="str">
        <f t="shared" si="811"/>
        <v xml:space="preserve"> </v>
      </c>
      <c r="KA255" s="536" t="str">
        <f t="shared" si="726"/>
        <v xml:space="preserve"> </v>
      </c>
      <c r="KB255" s="535" t="e">
        <f t="shared" si="812"/>
        <v>#VALUE!</v>
      </c>
      <c r="KC255" s="535" t="str">
        <f t="shared" si="727"/>
        <v/>
      </c>
      <c r="KD255" s="537" t="str">
        <f t="shared" si="813"/>
        <v xml:space="preserve"> </v>
      </c>
      <c r="KE255" s="537" t="str">
        <f t="shared" si="814"/>
        <v xml:space="preserve"> </v>
      </c>
      <c r="KF255" s="534">
        <f t="shared" si="728"/>
        <v>0</v>
      </c>
      <c r="KG255" s="535" t="str">
        <f t="shared" si="729"/>
        <v xml:space="preserve"> </v>
      </c>
      <c r="KH255" s="535" t="str">
        <f t="shared" si="730"/>
        <v xml:space="preserve"> </v>
      </c>
      <c r="KI255" s="535" t="str">
        <f t="shared" si="731"/>
        <v xml:space="preserve"> </v>
      </c>
      <c r="KJ255" s="536" t="str">
        <f t="shared" si="732"/>
        <v xml:space="preserve"> </v>
      </c>
      <c r="KK255" s="535" t="str">
        <f t="shared" si="815"/>
        <v xml:space="preserve"> </v>
      </c>
      <c r="KL255" s="535" t="str">
        <f t="shared" si="816"/>
        <v xml:space="preserve"> </v>
      </c>
      <c r="KM255" s="537" t="str">
        <f t="shared" si="733"/>
        <v xml:space="preserve"> </v>
      </c>
      <c r="KN255" s="537" t="str">
        <f t="shared" si="817"/>
        <v xml:space="preserve"> </v>
      </c>
      <c r="KP255">
        <f t="shared" si="734"/>
        <v>0</v>
      </c>
      <c r="LA255" t="e">
        <f t="shared" si="735"/>
        <v>#VALUE!</v>
      </c>
      <c r="LB255" t="e">
        <f t="shared" si="736"/>
        <v>#VALUE!</v>
      </c>
      <c r="LC255" t="e">
        <f t="shared" si="737"/>
        <v>#VALUE!</v>
      </c>
      <c r="LD255" t="e">
        <f t="shared" si="738"/>
        <v>#VALUE!</v>
      </c>
      <c r="LE255" t="e">
        <f t="shared" si="818"/>
        <v>#VALUE!</v>
      </c>
      <c r="LF255">
        <f t="shared" si="739"/>
        <v>0</v>
      </c>
      <c r="LG255" t="e">
        <f t="shared" si="819"/>
        <v>#VALUE!</v>
      </c>
      <c r="LH255" t="str">
        <f t="shared" si="740"/>
        <v xml:space="preserve"> </v>
      </c>
      <c r="LI255">
        <f t="shared" si="820"/>
        <v>1</v>
      </c>
    </row>
    <row r="256" spans="2:321" ht="15" customHeight="1">
      <c r="B256" s="311"/>
      <c r="C256" s="311"/>
      <c r="D256" s="312"/>
      <c r="E256" s="311"/>
      <c r="F256" s="312"/>
      <c r="G256" s="311"/>
      <c r="H256" s="311"/>
      <c r="I256" s="232"/>
      <c r="J256" s="311"/>
      <c r="K256" s="305" t="str">
        <f t="shared" si="741"/>
        <v/>
      </c>
      <c r="L256" s="313"/>
      <c r="M256" s="312"/>
      <c r="N256" s="311"/>
      <c r="O256" s="312"/>
      <c r="P256" s="311"/>
      <c r="Q256" s="305" t="str">
        <f t="shared" si="742"/>
        <v/>
      </c>
      <c r="R256" s="314"/>
      <c r="S256" s="450" t="str">
        <f t="shared" si="625"/>
        <v/>
      </c>
      <c r="T256" s="315"/>
      <c r="U256" s="315"/>
      <c r="W256" s="149" t="str">
        <f t="shared" si="626"/>
        <v xml:space="preserve"> </v>
      </c>
      <c r="X256" s="243" t="str">
        <f t="shared" si="627"/>
        <v xml:space="preserve"> </v>
      </c>
      <c r="Y256" s="150" t="str">
        <f t="shared" si="628"/>
        <v/>
      </c>
      <c r="Z256" s="149" t="str">
        <f t="shared" si="629"/>
        <v xml:space="preserve"> </v>
      </c>
      <c r="AA256" s="98" t="str">
        <f t="shared" si="630"/>
        <v xml:space="preserve"> </v>
      </c>
      <c r="AB256" s="153" t="str">
        <f t="shared" si="631"/>
        <v xml:space="preserve"> </v>
      </c>
      <c r="AC256" s="153" t="str">
        <f t="shared" si="632"/>
        <v xml:space="preserve"> </v>
      </c>
      <c r="AD256" s="148" t="str">
        <f t="shared" si="633"/>
        <v/>
      </c>
      <c r="AE256" s="149" t="str">
        <f t="shared" si="634"/>
        <v/>
      </c>
      <c r="AF256" s="151" t="str">
        <f t="shared" si="635"/>
        <v xml:space="preserve"> </v>
      </c>
      <c r="AG256" s="153" t="str">
        <f t="shared" si="636"/>
        <v xml:space="preserve"> </v>
      </c>
      <c r="AH256" s="98" t="str">
        <f t="shared" si="637"/>
        <v xml:space="preserve"> </v>
      </c>
      <c r="AI256" s="149" t="str">
        <f t="shared" si="638"/>
        <v xml:space="preserve"> </v>
      </c>
      <c r="AK256" s="144" t="str">
        <f t="shared" si="639"/>
        <v xml:space="preserve"> </v>
      </c>
      <c r="AL256" s="144"/>
      <c r="AM256" s="243" t="str">
        <f t="shared" si="640"/>
        <v xml:space="preserve"> </v>
      </c>
      <c r="AN256" s="149" t="str">
        <f t="shared" si="743"/>
        <v xml:space="preserve"> </v>
      </c>
      <c r="AO256" s="144" t="str">
        <f>IF(JB256&gt;0,IF(GI256=10,-R256*1.085*(Calculation!$F$6-Calculation!$F$13)*$S$14," "),"")</f>
        <v/>
      </c>
      <c r="AP256" s="144" t="str">
        <f t="shared" si="641"/>
        <v/>
      </c>
      <c r="AQ256" s="56" t="str">
        <f t="shared" si="642"/>
        <v/>
      </c>
      <c r="AR256" s="144" t="str">
        <f t="shared" si="643"/>
        <v/>
      </c>
      <c r="AS256" s="176" t="str">
        <f t="shared" si="644"/>
        <v/>
      </c>
      <c r="AT256" s="176" t="str">
        <f t="shared" si="744"/>
        <v xml:space="preserve"> </v>
      </c>
      <c r="AU256" s="176" t="str">
        <f t="shared" si="645"/>
        <v/>
      </c>
      <c r="AV256" s="177" t="str">
        <f t="shared" si="646"/>
        <v xml:space="preserve"> </v>
      </c>
      <c r="AW256" s="144" t="str">
        <f t="shared" si="647"/>
        <v xml:space="preserve"> </v>
      </c>
      <c r="AX256" s="144" t="str">
        <f t="shared" si="648"/>
        <v xml:space="preserve"> </v>
      </c>
      <c r="AY256" s="152" t="str">
        <f t="shared" si="649"/>
        <v xml:space="preserve"> </v>
      </c>
      <c r="AZ256" s="246" t="str">
        <f t="shared" si="650"/>
        <v/>
      </c>
      <c r="BA256" s="176" t="str">
        <f t="shared" si="651"/>
        <v xml:space="preserve"> </v>
      </c>
      <c r="BB256" s="176" t="str">
        <f t="shared" si="652"/>
        <v xml:space="preserve"> </v>
      </c>
      <c r="BC256" s="195"/>
      <c r="BD256" s="316"/>
      <c r="BE256" s="317"/>
      <c r="BF256" s="318"/>
      <c r="BG256" s="318"/>
      <c r="BH256" s="144" t="str">
        <f t="shared" si="821"/>
        <v xml:space="preserve"> </v>
      </c>
      <c r="BI256" s="176" t="str">
        <f t="shared" si="653"/>
        <v/>
      </c>
      <c r="BJ256" s="144" t="str">
        <f t="shared" si="822"/>
        <v/>
      </c>
      <c r="BK256" s="246" t="str">
        <f t="shared" si="654"/>
        <v/>
      </c>
      <c r="BL256" s="144" t="str">
        <f t="shared" si="823"/>
        <v/>
      </c>
      <c r="BM256" s="246" t="str">
        <f t="shared" si="655"/>
        <v/>
      </c>
      <c r="BN256" s="337" t="str">
        <f t="shared" si="745"/>
        <v/>
      </c>
      <c r="BO256" s="371" t="str">
        <f t="shared" si="746"/>
        <v/>
      </c>
      <c r="BP256" s="328" t="str">
        <f t="shared" si="824"/>
        <v xml:space="preserve"> </v>
      </c>
      <c r="BQ256" s="347" t="str">
        <f t="shared" si="747"/>
        <v xml:space="preserve"> </v>
      </c>
      <c r="BR256" s="353" t="str">
        <f t="shared" si="748"/>
        <v xml:space="preserve"> </v>
      </c>
      <c r="BS256" s="626" t="str">
        <f>IF(L256&gt;0,IF(Calculation!P256="M13",BR256*3.1416*(0.134^2)/(4*144),IF(Calculation!P256="M17",BR256*3.1416*(0.165^2)/(4*144),IF(Calculation!P256="M20",BR256*3.1416*(0.198^2)/(4*144),IF(Calculation!P256="M23",BR256*3.1416*(0.228^2)/(4*144),IF(Calculation!P256="M27",BR256*3.1416*(0.269^2)/(4*144),BR256*3.1416*(0.307^2)/(4*144))))))," ")</f>
        <v xml:space="preserve"> </v>
      </c>
      <c r="BT256" s="353" t="str">
        <f>IF(L256&gt;0,IF(BS256&gt;0,R256/Calculation!BS256,0)," ")</f>
        <v xml:space="preserve"> </v>
      </c>
      <c r="BU256" s="438" t="e">
        <f t="shared" ca="1" si="656"/>
        <v>#VALUE!</v>
      </c>
      <c r="BV256" s="449" t="e">
        <f ca="1">INDEX(INDIRECT(VLOOKUP(LEFT(BO256,7),CLU!$Z$3:$AH$18,2)),GN256,GR256)</f>
        <v>#N/A</v>
      </c>
      <c r="BW256" s="433" t="e">
        <f ca="1">INDEX(INDIRECT(VLOOKUP(LEFT(BO256,7),CLU!$Z$3:$AH$18,3)),GN256,GR256)</f>
        <v>#N/A</v>
      </c>
      <c r="BX256" s="433" t="e">
        <f ca="1">INDEX(INDIRECT(VLOOKUP(LEFT(BO256,7),CLU!$Z$3:$AH$18,4)),GN256,GR256)</f>
        <v>#N/A</v>
      </c>
      <c r="BY256" s="433" t="e">
        <f ca="1">INDEX(INDIRECT(VLOOKUP(LEFT(BO256,7),CLU!$Z$3:$AH$18,9)),((M256-2)*(6-COUNTBLANK(GT256:GY256)))+GJ256)</f>
        <v>#N/A</v>
      </c>
      <c r="BZ256" s="426" t="e">
        <f t="shared" ca="1" si="749"/>
        <v>#N/A</v>
      </c>
      <c r="CA256" s="424" t="e">
        <f t="shared" ca="1" si="750"/>
        <v>#N/A</v>
      </c>
      <c r="CB256" s="429" t="e">
        <f ca="1">INDEX(INDIRECT(VLOOKUP(LEFT(BO256,7),CLU!$Z$3:$AH$18,2)),GN256,GS256)</f>
        <v>#N/A</v>
      </c>
      <c r="CC256" s="342" t="e">
        <f ca="1">INDEX(INDIRECT(VLOOKUP(LEFT(BO256,7),CLU!$Z$3:$AH$18,3)),GN256,GS256)</f>
        <v>#N/A</v>
      </c>
      <c r="CD256" s="342" t="e">
        <f ca="1">INDEX(INDIRECT(VLOOKUP(LEFT(BO256,7),CLU!$Z$3:$AH$18,4)),GN256,GS256)</f>
        <v>#N/A</v>
      </c>
      <c r="CE256" s="426" t="e">
        <f t="shared" ca="1" si="751"/>
        <v>#N/A</v>
      </c>
      <c r="CF256" s="440">
        <f t="shared" si="752"/>
        <v>0</v>
      </c>
      <c r="CG256" s="431" t="e">
        <f ca="1">INDEX(INDIRECT(VLOOKUP(LEFT(BO256,7),CLU!$Z$3:$AH$18,2)),GQ256,GR256)</f>
        <v>#N/A</v>
      </c>
      <c r="CH256" s="431" t="e">
        <f ca="1">INDEX(INDIRECT(VLOOKUP(LEFT(BO256,7),CLU!$Z$3:$AH$18,3)),GQ256,GR256)</f>
        <v>#N/A</v>
      </c>
      <c r="CI256" s="431" t="e">
        <f ca="1">INDEX(INDIRECT(VLOOKUP(LEFT(BO256,7),CLU!$Z$3:$AH$18,4)),GQ256,GR256)</f>
        <v>#N/A</v>
      </c>
      <c r="CJ256" s="448" t="e">
        <f t="shared" ca="1" si="753"/>
        <v>#N/A</v>
      </c>
      <c r="CK256" s="431" t="e">
        <f t="shared" ca="1" si="754"/>
        <v>#N/A</v>
      </c>
      <c r="CL256" s="440" t="e">
        <f t="shared" ca="1" si="755"/>
        <v>#N/A</v>
      </c>
      <c r="CM256" s="431" t="e">
        <f ca="1">INDEX(INDIRECT(VLOOKUP(LEFT(BO256,7),CLU!$Z$3:$AH$18,2)),GQ256,GS256)</f>
        <v>#N/A</v>
      </c>
      <c r="CN256" s="431" t="e">
        <f ca="1">INDEX(INDIRECT(VLOOKUP(LEFT(BO256,7),CLU!$Z$3:$AH$18,3)),GQ256,GS256)</f>
        <v>#N/A</v>
      </c>
      <c r="CO256" s="431" t="e">
        <f ca="1">INDEX(INDIRECT(VLOOKUP(LEFT(BO256,7),CLU!$Z$3:$AH$18,4)),GQ256,GS256)</f>
        <v>#N/A</v>
      </c>
      <c r="CP256" s="431" t="e">
        <f t="shared" ca="1" si="756"/>
        <v>#N/A</v>
      </c>
      <c r="CQ256" s="440">
        <f t="shared" si="757"/>
        <v>0</v>
      </c>
      <c r="CR256" s="51" t="e">
        <f t="shared" ca="1" si="758"/>
        <v>#N/A</v>
      </c>
      <c r="CS256" s="439" t="e">
        <f t="shared" ca="1" si="759"/>
        <v>#VALUE!</v>
      </c>
      <c r="CT256" s="51" t="e">
        <f t="shared" ca="1" si="760"/>
        <v>#VALUE!</v>
      </c>
      <c r="CU256" s="10"/>
      <c r="CV256" s="51" t="e">
        <f t="shared" ca="1" si="657"/>
        <v>#VALUE!</v>
      </c>
      <c r="CW256" s="51">
        <f t="shared" si="761"/>
        <v>0</v>
      </c>
      <c r="CX256" s="439" t="e">
        <f t="shared" ca="1" si="762"/>
        <v>#VALUE!</v>
      </c>
      <c r="CY256" s="51" t="e">
        <f t="shared" ca="1" si="763"/>
        <v>#VALUE!</v>
      </c>
      <c r="CZ256" s="10"/>
      <c r="DA256" s="51" t="e">
        <f t="shared" ca="1" si="764"/>
        <v>#VALUE!</v>
      </c>
      <c r="DB256" s="347" t="e">
        <f ca="1">INDEX(INDIRECT(VLOOKUP(LEFT(BO256,7),CLU!$Z$3:$AI$18,10)),((M256-2)*(6-COUNTBLANK(GT256:GY256)))+GJ256)*LI256</f>
        <v>#N/A</v>
      </c>
      <c r="DC256" s="347" t="str">
        <f>IF(L256&gt;0,((R256/Worksheet!$I$15)/DB256)^2," ")</f>
        <v xml:space="preserve"> </v>
      </c>
      <c r="DD256" s="602" t="str">
        <f t="shared" si="765"/>
        <v xml:space="preserve"> </v>
      </c>
      <c r="DE256" s="347" t="str">
        <f t="shared" si="658"/>
        <v xml:space="preserve"> </v>
      </c>
      <c r="DF256" s="356" t="e">
        <f ca="1">INDEX(INDIRECT(VLOOKUP(LEFT(BO256,7),CLU!$Z$3:$AH$18,8)),((M256-2)*(6-COUNTBLANK(GT256:GY256)))+GJ256)</f>
        <v>#N/A</v>
      </c>
      <c r="DG256" s="347" t="str">
        <f t="shared" si="659"/>
        <v xml:space="preserve"> </v>
      </c>
      <c r="DH256" s="357" t="str">
        <f t="shared" si="660"/>
        <v xml:space="preserve"> </v>
      </c>
      <c r="DI256" s="355" t="str">
        <f t="shared" si="661"/>
        <v xml:space="preserve"> </v>
      </c>
      <c r="DJ256" s="245" t="e">
        <f ca="1">INDEX(INDIRECT(VLOOKUP(LEFT(BO256,7),CLU!$Z$3:$AH$18,5)),GL256,GK256)</f>
        <v>#N/A</v>
      </c>
      <c r="DK256" s="245" t="e">
        <f ca="1">INDEX(INDIRECT(VLOOKUP(LEFT(BO256,7),CLU!$Z$3:$AH$18,6)),GL256,GK256)</f>
        <v>#N/A</v>
      </c>
      <c r="DL256" s="355">
        <f>(Calculation!R256*0.69143*(Calculation!$BQ$8-Calculation!$F$8))*$S$14</f>
        <v>0</v>
      </c>
      <c r="DM256" s="359" t="e">
        <f t="shared" si="766"/>
        <v>#VALUE!</v>
      </c>
      <c r="DN256" s="611">
        <f t="shared" si="767"/>
        <v>0</v>
      </c>
      <c r="DO256" s="359">
        <f t="shared" si="768"/>
        <v>100</v>
      </c>
      <c r="DP256" s="359">
        <f t="shared" si="769"/>
        <v>0</v>
      </c>
      <c r="DQ256" s="360"/>
      <c r="DR256" s="245" t="e">
        <f ca="1">INDEX(INDIRECT(VLOOKUP(LEFT(BO256,7),CLU!$Z$3:$AH$18,7)),M256-1,1)</f>
        <v>#N/A</v>
      </c>
      <c r="DS256" s="245" t="e">
        <f ca="1">INDEX(INDIRECT(VLOOKUP(LEFT(BO256,7),CLU!$Z$3:$AH$18,7)),M256-1,2)</f>
        <v>#N/A</v>
      </c>
      <c r="DT256" s="245" t="e">
        <f ca="1">INDEX(INDIRECT(VLOOKUP(LEFT(BO256,7),CLU!$Z$3:$AH$18,7)),M256-1,3)</f>
        <v>#N/A</v>
      </c>
      <c r="DU256" s="245" t="e">
        <f ca="1">INDEX(INDIRECT(VLOOKUP(LEFT(BO256,7),CLU!$Z$3:$AH$18,7)),M256-1,4)</f>
        <v>#N/A</v>
      </c>
      <c r="DV256" s="361" t="e">
        <f ca="1">INDEX(INDIRECT(VLOOKUP(LEFT(BO256,7),CLU!$Z$3:$AH$18,7)),M256-1,4+LEFT(DZ256,1)*0.5)</f>
        <v>#N/A</v>
      </c>
      <c r="DW256" s="245" t="e">
        <f ca="1">INDEX(INDIRECT(VLOOKUP(LEFT(BO256,7),CLU!$Z$3:$AH$18,7)),M256-1,8)</f>
        <v>#N/A</v>
      </c>
      <c r="DX256" s="361" t="str">
        <f t="shared" si="662"/>
        <v xml:space="preserve"> </v>
      </c>
      <c r="DY256" s="361" t="str">
        <f t="shared" si="663"/>
        <v xml:space="preserve"> </v>
      </c>
      <c r="DZ256" s="361" t="str">
        <f t="shared" si="664"/>
        <v xml:space="preserve"> </v>
      </c>
      <c r="EA256" s="362" t="str">
        <f t="shared" si="665"/>
        <v xml:space="preserve"> </v>
      </c>
      <c r="EB256" s="624" t="str">
        <f t="shared" si="770"/>
        <v xml:space="preserve"> </v>
      </c>
      <c r="EC256" s="361" t="e">
        <f ca="1">INDEX(INDIRECT(VLOOKUP(LEFT(BO256,7),CLU!$Z$3:$AH$18,7)),M256-1,4+LEFT(DZ256,1)*0.5)</f>
        <v>#N/A</v>
      </c>
      <c r="ED256" s="362" t="str">
        <f t="shared" si="666"/>
        <v xml:space="preserve"> </v>
      </c>
      <c r="EE256" s="361" t="str">
        <f t="shared" si="667"/>
        <v xml:space="preserve"> </v>
      </c>
      <c r="EF256" s="362" t="str">
        <f>IF(L256&gt;0,IF(BR256&gt;0,IF(EE256="2P",IF(Calculation!DZ256="2P",IF(Calculation!DS256=13.75,IF(Calculation!DR256=13,Worksheet!$BD$43,IF(Calculation!DR256=37,Worksheet!$BD$44,Worksheet!$BD$45)),IF(Calculation!DS256=10,IF(Calculation!DR256=18,Worksheet!$BD$29,IF(Calculation!DR256=30,Worksheet!$BD$30,IF(Calculation!DR256=42,Worksheet!$BD$31,IF(Calculation!DR256=54,Worksheet!$BD$32,IF(Calculation!DR256=66,Worksheet!$BD$33,IF(Calculation!DR256=78,Worksheet!$BD$34,IF(Calculation!DR256=90,Worksheet!$BD$35,IF(Calculation!DR256=102,Worksheet!$BD$36,Worksheet!$BD$37)))))))),IF(Calculation!DS256=12.5,IF(Calculation!DR256=18,Worksheet!$BD$38,IF(Calculation!DR256=Worksheet!$BD$39,IF(Calculation!DR256=42,Worksheet!$BD$40,IF(Calculation!DR256=54,Worksheet!$BD$41,Worksheet!$BD$42)))),IF(Calculation!DR256=18,Worksheet!$BD$11,IF(Calculation!DR256=30,Worksheet!$BD$12,IF(Calculation!DR256=42,Worksheet!$BD$13,IF(Calculation!DR256=54,Worksheet!$BD$14,IF(Calculation!DR256=66,Worksheet!$BD$15,IF(Calculation!DR256=78,Worksheet!$BD$16,IF(Calculation!DR256=90,Worksheet!$BD$17,IF(Calculation!DR256=102,Worksheet!$BD$18,Worksheet!$BD$19))))))))))),IF(Calculation!DS256=13.75,IF(Calculation!DR256=13,Worksheet!$BD$78,IF(Calculation!DR256=37,Worksheet!$BD$79,Worksheet!$BD$80)),IF(Calculation!DS256=10,IF(Calculation!DR256=18,Worksheet!$BD$64,IF(Calculation!DR256=30,Worksheet!$BD$65,IF(Calculation!DR256=42,Worksheet!$BD$66,IF(Calculation!DR256=54,Worksheet!$BD$68,IF(Calculation!DR256=66,Worksheet!$BD$68,IF(Calculation!DR256=78,Worksheet!$BD$69,IF(Calculation!DR256=90,Worksheet!$BD$70,IF(Calculation!DR256=102,Worksheet!$BD$71,Worksheet!$BD$72)))))))),IF(Calculation!DS256=12.5,IF(Calculation!DR256=18,Worksheet!$BD$73,IF(Calculation!DR256=Worksheet!$BD$74,IF(Calculation!DR256=42,Worksheet!$BD$75,IF(Calculation!DR256=54,Worksheet!$BD$76,Worksheet!$BD$77)))),IF(Calculation!DR256=18,Worksheet!$BD$55,IF(Calculation!DR256=30,Worksheet!$BD$56,IF(Calculation!DR256=42,Worksheet!$BD$57,IF(Calculation!DR256=54,Worksheet!$BD$58,IF(Calculation!DR256=66,Worksheet!$BD$59,IF(Calculation!DR256=78,Worksheet!$BD$60,IF(Calculation!DR256=90,Worksheet!$BD$61,IF(Calculation!DR256=102,Worksheet!$BD$62,Worksheet!$BD$63)))))))))))),5),0)," ")</f>
        <v xml:space="preserve"> </v>
      </c>
      <c r="EG256" s="361" t="str">
        <f t="shared" si="668"/>
        <v xml:space="preserve"> </v>
      </c>
      <c r="EH256" s="361" t="e">
        <f ca="1">INDEX(INDIRECT(VLOOKUP(LEFT(BO256,7),CLU!$Z$3:$AH$18,7)),M256-1,3+LEFT(DZ256,1))</f>
        <v>#N/A</v>
      </c>
      <c r="EI256" s="362" t="str">
        <f t="shared" si="669"/>
        <v xml:space="preserve"> </v>
      </c>
      <c r="EJ256" s="363" t="str">
        <f t="shared" si="670"/>
        <v xml:space="preserve"> </v>
      </c>
      <c r="EK256" s="363" t="str">
        <f t="shared" si="671"/>
        <v xml:space="preserve"> </v>
      </c>
      <c r="EL256" s="363" t="str">
        <f t="shared" si="672"/>
        <v xml:space="preserve"> </v>
      </c>
      <c r="EM256" s="362" t="str">
        <f>IF(L256&gt;0,IF(BR256&gt;0,(Calculation!T256/ED256)^2,0)," ")</f>
        <v xml:space="preserve"> </v>
      </c>
      <c r="EN256" s="362" t="str">
        <f>IF(L256&gt;0,IF(O256="2 Pipe (Cooling)","N/A",IF(BR256&gt;0,(Calculation!U256/EI256)^2,0))," ")</f>
        <v xml:space="preserve"> </v>
      </c>
      <c r="EO256" s="361" t="str">
        <f t="shared" si="673"/>
        <v/>
      </c>
      <c r="EP256" s="361" t="str">
        <f t="shared" si="674"/>
        <v/>
      </c>
      <c r="EQ256" s="361" t="str">
        <f t="shared" si="675"/>
        <v/>
      </c>
      <c r="ER256" s="361" t="str">
        <f t="shared" si="676"/>
        <v/>
      </c>
      <c r="ES256" s="361" t="str">
        <f t="shared" si="677"/>
        <v/>
      </c>
      <c r="ET256" s="361" t="str">
        <f t="shared" si="678"/>
        <v/>
      </c>
      <c r="EU256" s="361" t="str">
        <f t="shared" si="679"/>
        <v/>
      </c>
      <c r="EV256" s="361" t="str">
        <f t="shared" si="680"/>
        <v/>
      </c>
      <c r="EW256" s="361" t="str">
        <f t="shared" si="681"/>
        <v/>
      </c>
      <c r="EX256" s="361" t="str">
        <f t="shared" si="771"/>
        <v>1 slot, 1 way</v>
      </c>
      <c r="EY256" s="361" t="str">
        <f t="shared" si="772"/>
        <v xml:space="preserve"> </v>
      </c>
      <c r="EZ256" s="361" t="str">
        <f t="shared" si="773"/>
        <v xml:space="preserve"> </v>
      </c>
      <c r="FA256" s="361" t="str">
        <f t="shared" si="774"/>
        <v xml:space="preserve"> </v>
      </c>
      <c r="FB256" s="361" t="str">
        <f t="shared" si="775"/>
        <v xml:space="preserve"> </v>
      </c>
      <c r="FC256" s="361"/>
      <c r="FD256" s="361" t="str">
        <f>IF(J256&gt;0,IF(Calculation!R256&lt;=70,4,IF(Calculation!R256&lt;=110,5,IF(Calculation!R256&lt;=160,6,IF(Calculation!R256&lt;=300,8,"10 EO")))),"")</f>
        <v/>
      </c>
      <c r="FE256" s="361" t="str">
        <f t="shared" si="776"/>
        <v/>
      </c>
      <c r="FF256" s="361" t="str">
        <f t="shared" si="777"/>
        <v/>
      </c>
      <c r="FG256" s="361" t="e">
        <f t="shared" si="682"/>
        <v>#N/A</v>
      </c>
      <c r="FH256" s="361">
        <f t="shared" si="683"/>
        <v>0</v>
      </c>
      <c r="FI256" s="361" t="e">
        <f t="shared" si="684"/>
        <v>#DIV/0!</v>
      </c>
      <c r="FJ256" s="361"/>
      <c r="FK256" s="356" t="e">
        <f t="shared" si="685"/>
        <v>#VALUE!</v>
      </c>
      <c r="FL256" s="361"/>
      <c r="FM256" s="361"/>
      <c r="FN256" s="362" t="str">
        <f t="shared" si="778"/>
        <v xml:space="preserve"> </v>
      </c>
      <c r="FO256" s="362" t="str">
        <f t="shared" si="779"/>
        <v xml:space="preserve"> </v>
      </c>
      <c r="FP256" s="362">
        <f t="shared" si="780"/>
        <v>0</v>
      </c>
      <c r="FQ256" s="361">
        <f t="shared" si="686"/>
        <v>0</v>
      </c>
      <c r="FR256" s="362" t="str">
        <f>IF(L256&gt;0,IF(J256="CBAL2",Worksheet!$P$67,IF(J256="CBE2-24",Worksheet!$Q$67,IF(J256="CBAM",Worksheet!$R$67,IF(J256="CBLV",Worksheet!$S$67,IF(J256="CBAB",Worksheet!$U$67,IF(J256="CBAW",Worksheet!$X$67,IF(J256="CBE2-12",Worksheet!$Y$67,IF(J256="CBAL2",Worksheet!$Z$67,"N/A"))))))))," ")</f>
        <v xml:space="preserve"> </v>
      </c>
      <c r="FS256" s="362" t="str">
        <f>IF(L256&gt;0,IF(J256="CBAL2",Worksheet!$P$68,IF(J256="CBE2-24",Worksheet!$Q$68,IF(J256="CBAM",Worksheet!$R$68,IF(J256="CBLV",Worksheet!$S$68,IF(J256="CBAB",Worksheet!$U$68,IF(J256="CBAW",Worksheet!$X$68,IF(J256="CBE2-12",Worksheet!$Y$68,IF(J256="CBAL2",Worksheet!$Z$68,"N/A"))))))))," ")</f>
        <v xml:space="preserve"> </v>
      </c>
      <c r="FT256" s="362" t="str">
        <f>IF(L256&gt;0,IF(J256="CBAL2",Worksheet!$P$69,IF(J256="CBE2-24",Worksheet!$Q$69,IF(J256="CBAM",Worksheet!$R$69,IF(J256="CBLV",Worksheet!$S$69,IF(J256="CBAB",Worksheet!$U$69,IF(J256="CBAW",Worksheet!$X$69,IF(J256="CBE2-12",Worksheet!$Y$69,IF(J256="CBAL2",Worksheet!$Z$69,"N/A"))))))))," ")</f>
        <v xml:space="preserve"> </v>
      </c>
      <c r="FU256" s="361" t="str">
        <f t="shared" si="781"/>
        <v xml:space="preserve"> </v>
      </c>
      <c r="FV256" s="362" t="str">
        <f t="shared" si="782"/>
        <v xml:space="preserve"> </v>
      </c>
      <c r="FW256" s="362" t="str">
        <f t="shared" si="783"/>
        <v xml:space="preserve"> </v>
      </c>
      <c r="FX256" s="362" t="str">
        <f t="shared" si="784"/>
        <v xml:space="preserve"> </v>
      </c>
      <c r="FY256" s="355" t="str">
        <f t="shared" si="785"/>
        <v xml:space="preserve"> </v>
      </c>
      <c r="FZ256" s="361" t="str">
        <f t="shared" si="786"/>
        <v xml:space="preserve"> </v>
      </c>
      <c r="GA256" s="347" t="str">
        <f t="shared" si="787"/>
        <v xml:space="preserve"> </v>
      </c>
      <c r="GB256" s="355" t="str">
        <f t="shared" si="788"/>
        <v xml:space="preserve"> </v>
      </c>
      <c r="GC256" s="328" t="str">
        <f t="shared" si="789"/>
        <v xml:space="preserve"> </v>
      </c>
      <c r="GD256" s="361" t="str">
        <f t="shared" si="790"/>
        <v xml:space="preserve"> </v>
      </c>
      <c r="GE256" s="347" t="str">
        <f t="shared" si="791"/>
        <v xml:space="preserve"> </v>
      </c>
      <c r="GF256" s="361" t="str">
        <f t="shared" si="792"/>
        <v xml:space="preserve"> </v>
      </c>
      <c r="GG256" s="347" t="str">
        <f t="shared" si="793"/>
        <v xml:space="preserve"> </v>
      </c>
      <c r="GH256" s="364">
        <f t="shared" si="687"/>
        <v>0</v>
      </c>
      <c r="GI256" s="362">
        <f t="shared" si="794"/>
        <v>2</v>
      </c>
      <c r="GJ256" s="433" t="e">
        <f>IF(6-COUNTBLANK(GT256:GY256)=4,MATCH(MID(BO256,9,3),CLU!$H$16:$K$16),MATCH(MID(BO256,9,3),CLU!$H$13:$M$13))</f>
        <v>#N/A</v>
      </c>
      <c r="GK256" s="433" t="e">
        <f>HLOOKUP(VALUE(BP256),CLU!$H$9:$M$10,2)</f>
        <v>#VALUE!</v>
      </c>
      <c r="GL256" s="433" t="e">
        <f ca="1">MATCH(BU256,CLU!$H$2:$V$2,1)</f>
        <v>#VALUE!</v>
      </c>
      <c r="GM256" s="433" t="e">
        <f t="shared" ca="1" si="795"/>
        <v>#VALUE!</v>
      </c>
      <c r="GN256" s="433" t="e">
        <f t="shared" ca="1" si="796"/>
        <v>#VALUE!</v>
      </c>
      <c r="GO256" s="433" t="e">
        <f t="shared" ca="1" si="797"/>
        <v>#VALUE!</v>
      </c>
      <c r="GP256" s="433" t="e">
        <f t="shared" ca="1" si="798"/>
        <v>#VALUE!</v>
      </c>
      <c r="GQ256" s="433" t="e">
        <f t="shared" ca="1" si="799"/>
        <v>#VALUE!</v>
      </c>
      <c r="GR256" s="433" t="e">
        <f ca="1">MATCH(T256,INDIRECT(VLOOKUP(CONCATENATE(LEFT(BO256,7),"-",MID(BO256,13,1)),CLU!$P$3:$Q$16,2)),1)</f>
        <v>#N/A</v>
      </c>
      <c r="GS256" s="433" t="e">
        <f ca="1">MATCH(U256,INDIRECT(VLOOKUP(CONCATENATE(LEFT(BO256,7),"-",MID(BO256,13,1)),CLU!$P$3:$Q$16,2)),1)</f>
        <v>#N/A</v>
      </c>
      <c r="GT256" s="347" t="s">
        <v>512</v>
      </c>
      <c r="GU256" s="97" t="s">
        <v>513</v>
      </c>
      <c r="GV256" s="97" t="str">
        <f t="shared" si="800"/>
        <v>M23</v>
      </c>
      <c r="GW256" s="97" t="str">
        <f t="shared" si="801"/>
        <v>M31</v>
      </c>
      <c r="GX256" s="97" t="str">
        <f t="shared" si="802"/>
        <v/>
      </c>
      <c r="GY256" s="97" t="str">
        <f t="shared" si="803"/>
        <v/>
      </c>
      <c r="GZ256" s="481"/>
      <c r="HA256" s="240"/>
      <c r="HB256" s="240"/>
      <c r="HC256" s="240"/>
      <c r="HD256" s="240"/>
      <c r="HE256" s="240"/>
      <c r="HF256" s="240"/>
      <c r="HG256" s="240"/>
      <c r="HH256" s="240"/>
      <c r="HI256" s="240"/>
      <c r="HJ256" s="240"/>
      <c r="HK256" s="240"/>
      <c r="HL256" s="240"/>
      <c r="HM256" s="240"/>
      <c r="HN256" s="240"/>
      <c r="HO256" s="240"/>
      <c r="HP256" s="240"/>
      <c r="HQ256" s="240"/>
      <c r="HR256" s="240"/>
      <c r="HS256" s="240"/>
      <c r="HT256" s="240"/>
      <c r="HU256" s="240"/>
      <c r="HV256" s="245"/>
      <c r="HW256" s="245" t="b">
        <v>1</v>
      </c>
      <c r="HX256" s="245" t="str">
        <f t="shared" si="688"/>
        <v/>
      </c>
      <c r="HY256" s="245" t="e">
        <f t="shared" si="689"/>
        <v>#DIV/0!</v>
      </c>
      <c r="HZ256" s="245" t="e">
        <f t="shared" si="690"/>
        <v>#DIV/0!</v>
      </c>
      <c r="IA256" s="245">
        <f t="shared" si="691"/>
        <v>0</v>
      </c>
      <c r="IB256" s="245"/>
      <c r="IC256" t="b">
        <f t="shared" si="692"/>
        <v>1</v>
      </c>
      <c r="ID256" s="245" t="b">
        <f t="shared" si="693"/>
        <v>1</v>
      </c>
      <c r="IE256" s="245" t="b">
        <f t="shared" si="694"/>
        <v>1</v>
      </c>
      <c r="IF256" s="245" t="b">
        <f t="shared" si="695"/>
        <v>0</v>
      </c>
      <c r="IG256" s="245" t="b">
        <f t="shared" si="696"/>
        <v>1</v>
      </c>
      <c r="IH256" s="245" t="b">
        <f t="shared" si="697"/>
        <v>1</v>
      </c>
      <c r="II256" s="245">
        <f t="shared" si="804"/>
        <v>0</v>
      </c>
      <c r="IJ256" s="245" t="e">
        <f t="shared" si="698"/>
        <v>#VALUE!</v>
      </c>
      <c r="IK256" s="245" t="e">
        <f t="shared" si="699"/>
        <v>#VALUE!</v>
      </c>
      <c r="IL256" s="245"/>
      <c r="IM256" s="245" t="e">
        <f t="shared" si="805"/>
        <v>#N/A</v>
      </c>
      <c r="IN256" s="245" t="e">
        <f t="shared" si="806"/>
        <v>#N/A</v>
      </c>
      <c r="IO256" s="245"/>
      <c r="IP256" s="245"/>
      <c r="IQ256" s="245" t="str">
        <f t="shared" si="700"/>
        <v/>
      </c>
      <c r="IR256" s="245" t="str">
        <f>IF(J256="","",VLOOKUP(J256,Worksheet!$R$4:$T$14,2))</f>
        <v/>
      </c>
      <c r="IS256" s="245"/>
      <c r="IT256" s="245">
        <f t="shared" si="701"/>
        <v>0</v>
      </c>
      <c r="IU256" s="245">
        <f t="shared" si="702"/>
        <v>0</v>
      </c>
      <c r="IV256" s="245">
        <f t="shared" si="703"/>
        <v>0</v>
      </c>
      <c r="IW256" s="245">
        <f t="shared" si="704"/>
        <v>0</v>
      </c>
      <c r="IX256" s="245">
        <f t="shared" si="807"/>
        <v>0</v>
      </c>
      <c r="IY256" s="245">
        <f t="shared" si="705"/>
        <v>0</v>
      </c>
      <c r="IZ256" s="245">
        <f t="shared" si="706"/>
        <v>0</v>
      </c>
      <c r="JA256">
        <f t="shared" si="707"/>
        <v>0</v>
      </c>
      <c r="JB256">
        <f t="shared" si="808"/>
        <v>0</v>
      </c>
      <c r="JC256">
        <f t="shared" si="708"/>
        <v>0</v>
      </c>
      <c r="JD256">
        <f t="shared" si="709"/>
        <v>0</v>
      </c>
      <c r="JE256">
        <f t="shared" si="710"/>
        <v>0</v>
      </c>
      <c r="JF256">
        <f t="shared" si="711"/>
        <v>0</v>
      </c>
      <c r="JG256">
        <f t="shared" si="712"/>
        <v>0</v>
      </c>
      <c r="JH256">
        <f t="shared" si="713"/>
        <v>0</v>
      </c>
      <c r="JI256">
        <f t="shared" si="714"/>
        <v>0</v>
      </c>
      <c r="JJ256" s="447">
        <f t="shared" si="715"/>
        <v>0</v>
      </c>
      <c r="JK256" s="447">
        <f t="shared" si="716"/>
        <v>0</v>
      </c>
      <c r="JL256">
        <f t="shared" si="717"/>
        <v>0</v>
      </c>
      <c r="JM256" s="245" t="str">
        <f>IFERROR(VLOOKUP(MATCH(BN256,#REF!,0),#REF!,7),"")</f>
        <v/>
      </c>
      <c r="JN256" t="e">
        <f>HLOOKUP(LEFT(BO256,7),Discharge_Area,MATCH(JO256,LookUps!$B$130:$B$149,1)+2)</f>
        <v>#N/A</v>
      </c>
      <c r="JO256" t="str">
        <f t="shared" si="718"/>
        <v>- S</v>
      </c>
      <c r="JP256" t="e">
        <f>HLOOKUP(LEFT(BO256,7),Discharge_Area,MATCH(JO256,LookUps!$B$130:$B$149,1)+2)</f>
        <v>#N/A</v>
      </c>
      <c r="JQ256" t="e">
        <f t="shared" si="719"/>
        <v>#N/A</v>
      </c>
      <c r="JR256" t="e">
        <f t="shared" si="720"/>
        <v>#N/A</v>
      </c>
      <c r="JS256" t="e">
        <f t="shared" si="721"/>
        <v>#N/A</v>
      </c>
      <c r="JT256" s="532" t="str">
        <f t="shared" si="722"/>
        <v xml:space="preserve"> </v>
      </c>
      <c r="JU256" s="532" t="str">
        <f t="shared" si="723"/>
        <v xml:space="preserve"> </v>
      </c>
      <c r="JV256" s="533" t="str">
        <f t="shared" si="724"/>
        <v xml:space="preserve"> </v>
      </c>
      <c r="JW256" s="534">
        <f t="shared" si="725"/>
        <v>0</v>
      </c>
      <c r="JX256" s="535" t="str">
        <f t="shared" si="809"/>
        <v xml:space="preserve"> </v>
      </c>
      <c r="JY256" s="535" t="str">
        <f t="shared" si="810"/>
        <v xml:space="preserve"> </v>
      </c>
      <c r="JZ256" s="535" t="str">
        <f t="shared" si="811"/>
        <v xml:space="preserve"> </v>
      </c>
      <c r="KA256" s="536" t="str">
        <f t="shared" si="726"/>
        <v xml:space="preserve"> </v>
      </c>
      <c r="KB256" s="535" t="e">
        <f t="shared" si="812"/>
        <v>#VALUE!</v>
      </c>
      <c r="KC256" s="535" t="str">
        <f t="shared" si="727"/>
        <v/>
      </c>
      <c r="KD256" s="537" t="str">
        <f t="shared" si="813"/>
        <v xml:space="preserve"> </v>
      </c>
      <c r="KE256" s="537" t="str">
        <f t="shared" si="814"/>
        <v xml:space="preserve"> </v>
      </c>
      <c r="KF256" s="534">
        <f t="shared" si="728"/>
        <v>0</v>
      </c>
      <c r="KG256" s="535" t="str">
        <f t="shared" si="729"/>
        <v xml:space="preserve"> </v>
      </c>
      <c r="KH256" s="535" t="str">
        <f t="shared" si="730"/>
        <v xml:space="preserve"> </v>
      </c>
      <c r="KI256" s="535" t="str">
        <f t="shared" si="731"/>
        <v xml:space="preserve"> </v>
      </c>
      <c r="KJ256" s="536" t="str">
        <f t="shared" si="732"/>
        <v xml:space="preserve"> </v>
      </c>
      <c r="KK256" s="535" t="str">
        <f t="shared" si="815"/>
        <v xml:space="preserve"> </v>
      </c>
      <c r="KL256" s="535" t="str">
        <f t="shared" si="816"/>
        <v xml:space="preserve"> </v>
      </c>
      <c r="KM256" s="537" t="str">
        <f t="shared" si="733"/>
        <v xml:space="preserve"> </v>
      </c>
      <c r="KN256" s="537" t="str">
        <f t="shared" si="817"/>
        <v xml:space="preserve"> </v>
      </c>
      <c r="KP256">
        <f t="shared" si="734"/>
        <v>0</v>
      </c>
      <c r="LA256" t="e">
        <f t="shared" si="735"/>
        <v>#VALUE!</v>
      </c>
      <c r="LB256" t="e">
        <f t="shared" si="736"/>
        <v>#VALUE!</v>
      </c>
      <c r="LC256" t="e">
        <f t="shared" si="737"/>
        <v>#VALUE!</v>
      </c>
      <c r="LD256" t="e">
        <f t="shared" si="738"/>
        <v>#VALUE!</v>
      </c>
      <c r="LE256" t="e">
        <f t="shared" si="818"/>
        <v>#VALUE!</v>
      </c>
      <c r="LF256">
        <f t="shared" si="739"/>
        <v>0</v>
      </c>
      <c r="LG256" t="e">
        <f t="shared" si="819"/>
        <v>#VALUE!</v>
      </c>
      <c r="LH256" t="str">
        <f t="shared" si="740"/>
        <v xml:space="preserve"> </v>
      </c>
      <c r="LI256">
        <f t="shared" si="820"/>
        <v>1</v>
      </c>
    </row>
    <row r="257" spans="2:321" ht="15" customHeight="1">
      <c r="B257" s="311"/>
      <c r="C257" s="311"/>
      <c r="D257" s="312"/>
      <c r="E257" s="311"/>
      <c r="F257" s="312"/>
      <c r="G257" s="311"/>
      <c r="H257" s="311"/>
      <c r="I257" s="232"/>
      <c r="J257" s="311"/>
      <c r="K257" s="305" t="str">
        <f t="shared" si="741"/>
        <v/>
      </c>
      <c r="L257" s="313"/>
      <c r="M257" s="312"/>
      <c r="N257" s="311"/>
      <c r="O257" s="312"/>
      <c r="P257" s="311"/>
      <c r="Q257" s="305" t="str">
        <f t="shared" si="742"/>
        <v/>
      </c>
      <c r="R257" s="314"/>
      <c r="S257" s="450" t="str">
        <f t="shared" si="625"/>
        <v/>
      </c>
      <c r="T257" s="315"/>
      <c r="U257" s="315"/>
      <c r="W257" s="149" t="str">
        <f t="shared" si="626"/>
        <v xml:space="preserve"> </v>
      </c>
      <c r="X257" s="243" t="str">
        <f t="shared" si="627"/>
        <v xml:space="preserve"> </v>
      </c>
      <c r="Y257" s="150" t="str">
        <f t="shared" si="628"/>
        <v/>
      </c>
      <c r="Z257" s="149" t="str">
        <f t="shared" si="629"/>
        <v xml:space="preserve"> </v>
      </c>
      <c r="AA257" s="98" t="str">
        <f t="shared" si="630"/>
        <v xml:space="preserve"> </v>
      </c>
      <c r="AB257" s="153" t="str">
        <f t="shared" si="631"/>
        <v xml:space="preserve"> </v>
      </c>
      <c r="AC257" s="153" t="str">
        <f t="shared" si="632"/>
        <v xml:space="preserve"> </v>
      </c>
      <c r="AD257" s="148" t="str">
        <f t="shared" si="633"/>
        <v/>
      </c>
      <c r="AE257" s="149" t="str">
        <f t="shared" si="634"/>
        <v/>
      </c>
      <c r="AF257" s="151" t="str">
        <f t="shared" si="635"/>
        <v xml:space="preserve"> </v>
      </c>
      <c r="AG257" s="153" t="str">
        <f t="shared" si="636"/>
        <v xml:space="preserve"> </v>
      </c>
      <c r="AH257" s="98" t="str">
        <f t="shared" si="637"/>
        <v xml:space="preserve"> </v>
      </c>
      <c r="AI257" s="149" t="str">
        <f t="shared" si="638"/>
        <v xml:space="preserve"> </v>
      </c>
      <c r="AK257" s="144" t="str">
        <f t="shared" si="639"/>
        <v xml:space="preserve"> </v>
      </c>
      <c r="AL257" s="144"/>
      <c r="AM257" s="243" t="str">
        <f t="shared" si="640"/>
        <v xml:space="preserve"> </v>
      </c>
      <c r="AN257" s="149" t="str">
        <f t="shared" si="743"/>
        <v xml:space="preserve"> </v>
      </c>
      <c r="AO257" s="144" t="str">
        <f>IF(JB257&gt;0,IF(GI257=10,-R257*1.085*(Calculation!$F$6-Calculation!$F$13)*$S$14," "),"")</f>
        <v/>
      </c>
      <c r="AP257" s="144" t="str">
        <f t="shared" si="641"/>
        <v/>
      </c>
      <c r="AQ257" s="56" t="str">
        <f t="shared" si="642"/>
        <v/>
      </c>
      <c r="AR257" s="144" t="str">
        <f t="shared" si="643"/>
        <v/>
      </c>
      <c r="AS257" s="176" t="str">
        <f t="shared" si="644"/>
        <v/>
      </c>
      <c r="AT257" s="176" t="str">
        <f t="shared" si="744"/>
        <v xml:space="preserve"> </v>
      </c>
      <c r="AU257" s="176" t="str">
        <f t="shared" si="645"/>
        <v/>
      </c>
      <c r="AV257" s="177" t="str">
        <f t="shared" si="646"/>
        <v xml:space="preserve"> </v>
      </c>
      <c r="AW257" s="144" t="str">
        <f t="shared" si="647"/>
        <v xml:space="preserve"> </v>
      </c>
      <c r="AX257" s="144" t="str">
        <f t="shared" si="648"/>
        <v xml:space="preserve"> </v>
      </c>
      <c r="AY257" s="152" t="str">
        <f t="shared" si="649"/>
        <v xml:space="preserve"> </v>
      </c>
      <c r="AZ257" s="246" t="str">
        <f t="shared" si="650"/>
        <v/>
      </c>
      <c r="BA257" s="176" t="str">
        <f t="shared" si="651"/>
        <v xml:space="preserve"> </v>
      </c>
      <c r="BB257" s="176" t="str">
        <f t="shared" si="652"/>
        <v xml:space="preserve"> </v>
      </c>
      <c r="BC257" s="195"/>
      <c r="BD257" s="316"/>
      <c r="BE257" s="317"/>
      <c r="BF257" s="318"/>
      <c r="BG257" s="318"/>
      <c r="BH257" s="144" t="str">
        <f t="shared" si="821"/>
        <v xml:space="preserve"> </v>
      </c>
      <c r="BI257" s="176" t="str">
        <f t="shared" si="653"/>
        <v/>
      </c>
      <c r="BJ257" s="144" t="str">
        <f t="shared" si="822"/>
        <v/>
      </c>
      <c r="BK257" s="246" t="str">
        <f t="shared" si="654"/>
        <v/>
      </c>
      <c r="BL257" s="144" t="str">
        <f t="shared" si="823"/>
        <v/>
      </c>
      <c r="BM257" s="246" t="str">
        <f t="shared" si="655"/>
        <v/>
      </c>
      <c r="BN257" s="337" t="str">
        <f t="shared" si="745"/>
        <v/>
      </c>
      <c r="BO257" s="371" t="str">
        <f t="shared" si="746"/>
        <v/>
      </c>
      <c r="BP257" s="328" t="str">
        <f t="shared" si="824"/>
        <v xml:space="preserve"> </v>
      </c>
      <c r="BQ257" s="347" t="str">
        <f t="shared" si="747"/>
        <v xml:space="preserve"> </v>
      </c>
      <c r="BR257" s="353" t="str">
        <f t="shared" si="748"/>
        <v xml:space="preserve"> </v>
      </c>
      <c r="BS257" s="626" t="str">
        <f>IF(L257&gt;0,IF(Calculation!P257="M13",BR257*3.1416*(0.134^2)/(4*144),IF(Calculation!P257="M17",BR257*3.1416*(0.165^2)/(4*144),IF(Calculation!P257="M20",BR257*3.1416*(0.198^2)/(4*144),IF(Calculation!P257="M23",BR257*3.1416*(0.228^2)/(4*144),IF(Calculation!P257="M27",BR257*3.1416*(0.269^2)/(4*144),BR257*3.1416*(0.307^2)/(4*144))))))," ")</f>
        <v xml:space="preserve"> </v>
      </c>
      <c r="BT257" s="353" t="str">
        <f>IF(L257&gt;0,IF(BS257&gt;0,R257/Calculation!BS257,0)," ")</f>
        <v xml:space="preserve"> </v>
      </c>
      <c r="BU257" s="438" t="e">
        <f t="shared" ca="1" si="656"/>
        <v>#VALUE!</v>
      </c>
      <c r="BV257" s="449" t="e">
        <f ca="1">INDEX(INDIRECT(VLOOKUP(LEFT(BO257,7),CLU!$Z$3:$AH$18,2)),GN257,GR257)</f>
        <v>#N/A</v>
      </c>
      <c r="BW257" s="433" t="e">
        <f ca="1">INDEX(INDIRECT(VLOOKUP(LEFT(BO257,7),CLU!$Z$3:$AH$18,3)),GN257,GR257)</f>
        <v>#N/A</v>
      </c>
      <c r="BX257" s="433" t="e">
        <f ca="1">INDEX(INDIRECT(VLOOKUP(LEFT(BO257,7),CLU!$Z$3:$AH$18,4)),GN257,GR257)</f>
        <v>#N/A</v>
      </c>
      <c r="BY257" s="433" t="e">
        <f ca="1">INDEX(INDIRECT(VLOOKUP(LEFT(BO257,7),CLU!$Z$3:$AH$18,9)),((M257-2)*(6-COUNTBLANK(GT257:GY257)))+GJ257)</f>
        <v>#N/A</v>
      </c>
      <c r="BZ257" s="426" t="e">
        <f t="shared" ca="1" si="749"/>
        <v>#N/A</v>
      </c>
      <c r="CA257" s="424" t="e">
        <f t="shared" ca="1" si="750"/>
        <v>#N/A</v>
      </c>
      <c r="CB257" s="429" t="e">
        <f ca="1">INDEX(INDIRECT(VLOOKUP(LEFT(BO257,7),CLU!$Z$3:$AH$18,2)),GN257,GS257)</f>
        <v>#N/A</v>
      </c>
      <c r="CC257" s="342" t="e">
        <f ca="1">INDEX(INDIRECT(VLOOKUP(LEFT(BO257,7),CLU!$Z$3:$AH$18,3)),GN257,GS257)</f>
        <v>#N/A</v>
      </c>
      <c r="CD257" s="342" t="e">
        <f ca="1">INDEX(INDIRECT(VLOOKUP(LEFT(BO257,7),CLU!$Z$3:$AH$18,4)),GN257,GS257)</f>
        <v>#N/A</v>
      </c>
      <c r="CE257" s="426" t="e">
        <f t="shared" ca="1" si="751"/>
        <v>#N/A</v>
      </c>
      <c r="CF257" s="440">
        <f t="shared" si="752"/>
        <v>0</v>
      </c>
      <c r="CG257" s="431" t="e">
        <f ca="1">INDEX(INDIRECT(VLOOKUP(LEFT(BO257,7),CLU!$Z$3:$AH$18,2)),GQ257,GR257)</f>
        <v>#N/A</v>
      </c>
      <c r="CH257" s="431" t="e">
        <f ca="1">INDEX(INDIRECT(VLOOKUP(LEFT(BO257,7),CLU!$Z$3:$AH$18,3)),GQ257,GR257)</f>
        <v>#N/A</v>
      </c>
      <c r="CI257" s="431" t="e">
        <f ca="1">INDEX(INDIRECT(VLOOKUP(LEFT(BO257,7),CLU!$Z$3:$AH$18,4)),GQ257,GR257)</f>
        <v>#N/A</v>
      </c>
      <c r="CJ257" s="448" t="e">
        <f t="shared" ca="1" si="753"/>
        <v>#N/A</v>
      </c>
      <c r="CK257" s="431" t="e">
        <f t="shared" ca="1" si="754"/>
        <v>#N/A</v>
      </c>
      <c r="CL257" s="440" t="e">
        <f t="shared" ca="1" si="755"/>
        <v>#N/A</v>
      </c>
      <c r="CM257" s="431" t="e">
        <f ca="1">INDEX(INDIRECT(VLOOKUP(LEFT(BO257,7),CLU!$Z$3:$AH$18,2)),GQ257,GS257)</f>
        <v>#N/A</v>
      </c>
      <c r="CN257" s="431" t="e">
        <f ca="1">INDEX(INDIRECT(VLOOKUP(LEFT(BO257,7),CLU!$Z$3:$AH$18,3)),GQ257,GS257)</f>
        <v>#N/A</v>
      </c>
      <c r="CO257" s="431" t="e">
        <f ca="1">INDEX(INDIRECT(VLOOKUP(LEFT(BO257,7),CLU!$Z$3:$AH$18,4)),GQ257,GS257)</f>
        <v>#N/A</v>
      </c>
      <c r="CP257" s="431" t="e">
        <f t="shared" ca="1" si="756"/>
        <v>#N/A</v>
      </c>
      <c r="CQ257" s="440">
        <f t="shared" si="757"/>
        <v>0</v>
      </c>
      <c r="CR257" s="51" t="e">
        <f t="shared" ca="1" si="758"/>
        <v>#N/A</v>
      </c>
      <c r="CS257" s="439" t="e">
        <f t="shared" ca="1" si="759"/>
        <v>#VALUE!</v>
      </c>
      <c r="CT257" s="51" t="e">
        <f t="shared" ca="1" si="760"/>
        <v>#VALUE!</v>
      </c>
      <c r="CU257" s="10"/>
      <c r="CV257" s="51" t="e">
        <f t="shared" ca="1" si="657"/>
        <v>#VALUE!</v>
      </c>
      <c r="CW257" s="51">
        <f t="shared" si="761"/>
        <v>0</v>
      </c>
      <c r="CX257" s="439" t="e">
        <f t="shared" ca="1" si="762"/>
        <v>#VALUE!</v>
      </c>
      <c r="CY257" s="51" t="e">
        <f t="shared" ca="1" si="763"/>
        <v>#VALUE!</v>
      </c>
      <c r="CZ257" s="10"/>
      <c r="DA257" s="51" t="e">
        <f t="shared" ca="1" si="764"/>
        <v>#VALUE!</v>
      </c>
      <c r="DB257" s="347" t="e">
        <f ca="1">INDEX(INDIRECT(VLOOKUP(LEFT(BO257,7),CLU!$Z$3:$AI$18,10)),((M257-2)*(6-COUNTBLANK(GT257:GY257)))+GJ257)*LI257</f>
        <v>#N/A</v>
      </c>
      <c r="DC257" s="347" t="str">
        <f>IF(L257&gt;0,((R257/Worksheet!$I$15)/DB257)^2," ")</f>
        <v xml:space="preserve"> </v>
      </c>
      <c r="DD257" s="602" t="str">
        <f t="shared" si="765"/>
        <v xml:space="preserve"> </v>
      </c>
      <c r="DE257" s="347" t="str">
        <f t="shared" si="658"/>
        <v xml:space="preserve"> </v>
      </c>
      <c r="DF257" s="356" t="e">
        <f ca="1">INDEX(INDIRECT(VLOOKUP(LEFT(BO257,7),CLU!$Z$3:$AH$18,8)),((M257-2)*(6-COUNTBLANK(GT257:GY257)))+GJ257)</f>
        <v>#N/A</v>
      </c>
      <c r="DG257" s="347" t="str">
        <f t="shared" si="659"/>
        <v xml:space="preserve"> </v>
      </c>
      <c r="DH257" s="357" t="str">
        <f t="shared" si="660"/>
        <v xml:space="preserve"> </v>
      </c>
      <c r="DI257" s="355" t="str">
        <f t="shared" si="661"/>
        <v xml:space="preserve"> </v>
      </c>
      <c r="DJ257" s="245" t="e">
        <f ca="1">INDEX(INDIRECT(VLOOKUP(LEFT(BO257,7),CLU!$Z$3:$AH$18,5)),GL257,GK257)</f>
        <v>#N/A</v>
      </c>
      <c r="DK257" s="245" t="e">
        <f ca="1">INDEX(INDIRECT(VLOOKUP(LEFT(BO257,7),CLU!$Z$3:$AH$18,6)),GL257,GK257)</f>
        <v>#N/A</v>
      </c>
      <c r="DL257" s="355">
        <f>(Calculation!R257*0.69143*(Calculation!$BQ$8-Calculation!$F$8))*$S$14</f>
        <v>0</v>
      </c>
      <c r="DM257" s="359" t="e">
        <f t="shared" si="766"/>
        <v>#VALUE!</v>
      </c>
      <c r="DN257" s="611">
        <f t="shared" si="767"/>
        <v>0</v>
      </c>
      <c r="DO257" s="359">
        <f t="shared" si="768"/>
        <v>100</v>
      </c>
      <c r="DP257" s="359">
        <f t="shared" si="769"/>
        <v>0</v>
      </c>
      <c r="DQ257" s="360"/>
      <c r="DR257" s="245" t="e">
        <f ca="1">INDEX(INDIRECT(VLOOKUP(LEFT(BO257,7),CLU!$Z$3:$AH$18,7)),M257-1,1)</f>
        <v>#N/A</v>
      </c>
      <c r="DS257" s="245" t="e">
        <f ca="1">INDEX(INDIRECT(VLOOKUP(LEFT(BO257,7),CLU!$Z$3:$AH$18,7)),M257-1,2)</f>
        <v>#N/A</v>
      </c>
      <c r="DT257" s="245" t="e">
        <f ca="1">INDEX(INDIRECT(VLOOKUP(LEFT(BO257,7),CLU!$Z$3:$AH$18,7)),M257-1,3)</f>
        <v>#N/A</v>
      </c>
      <c r="DU257" s="245" t="e">
        <f ca="1">INDEX(INDIRECT(VLOOKUP(LEFT(BO257,7),CLU!$Z$3:$AH$18,7)),M257-1,4)</f>
        <v>#N/A</v>
      </c>
      <c r="DV257" s="361" t="e">
        <f ca="1">INDEX(INDIRECT(VLOOKUP(LEFT(BO257,7),CLU!$Z$3:$AH$18,7)),M257-1,4+LEFT(DZ257,1)*0.5)</f>
        <v>#N/A</v>
      </c>
      <c r="DW257" s="245" t="e">
        <f ca="1">INDEX(INDIRECT(VLOOKUP(LEFT(BO257,7),CLU!$Z$3:$AH$18,7)),M257-1,8)</f>
        <v>#N/A</v>
      </c>
      <c r="DX257" s="361" t="str">
        <f t="shared" si="662"/>
        <v xml:space="preserve"> </v>
      </c>
      <c r="DY257" s="361" t="str">
        <f t="shared" si="663"/>
        <v xml:space="preserve"> </v>
      </c>
      <c r="DZ257" s="361" t="str">
        <f t="shared" si="664"/>
        <v xml:space="preserve"> </v>
      </c>
      <c r="EA257" s="362" t="str">
        <f t="shared" si="665"/>
        <v xml:space="preserve"> </v>
      </c>
      <c r="EB257" s="624" t="str">
        <f t="shared" si="770"/>
        <v xml:space="preserve"> </v>
      </c>
      <c r="EC257" s="361" t="e">
        <f ca="1">INDEX(INDIRECT(VLOOKUP(LEFT(BO257,7),CLU!$Z$3:$AH$18,7)),M257-1,4+LEFT(DZ257,1)*0.5)</f>
        <v>#N/A</v>
      </c>
      <c r="ED257" s="362" t="str">
        <f t="shared" si="666"/>
        <v xml:space="preserve"> </v>
      </c>
      <c r="EE257" s="361" t="str">
        <f t="shared" si="667"/>
        <v xml:space="preserve"> </v>
      </c>
      <c r="EF257" s="362" t="str">
        <f>IF(L257&gt;0,IF(BR257&gt;0,IF(EE257="2P",IF(Calculation!DZ257="2P",IF(Calculation!DS257=13.75,IF(Calculation!DR257=13,Worksheet!$BD$43,IF(Calculation!DR257=37,Worksheet!$BD$44,Worksheet!$BD$45)),IF(Calculation!DS257=10,IF(Calculation!DR257=18,Worksheet!$BD$29,IF(Calculation!DR257=30,Worksheet!$BD$30,IF(Calculation!DR257=42,Worksheet!$BD$31,IF(Calculation!DR257=54,Worksheet!$BD$32,IF(Calculation!DR257=66,Worksheet!$BD$33,IF(Calculation!DR257=78,Worksheet!$BD$34,IF(Calculation!DR257=90,Worksheet!$BD$35,IF(Calculation!DR257=102,Worksheet!$BD$36,Worksheet!$BD$37)))))))),IF(Calculation!DS257=12.5,IF(Calculation!DR257=18,Worksheet!$BD$38,IF(Calculation!DR257=Worksheet!$BD$39,IF(Calculation!DR257=42,Worksheet!$BD$40,IF(Calculation!DR257=54,Worksheet!$BD$41,Worksheet!$BD$42)))),IF(Calculation!DR257=18,Worksheet!$BD$11,IF(Calculation!DR257=30,Worksheet!$BD$12,IF(Calculation!DR257=42,Worksheet!$BD$13,IF(Calculation!DR257=54,Worksheet!$BD$14,IF(Calculation!DR257=66,Worksheet!$BD$15,IF(Calculation!DR257=78,Worksheet!$BD$16,IF(Calculation!DR257=90,Worksheet!$BD$17,IF(Calculation!DR257=102,Worksheet!$BD$18,Worksheet!$BD$19))))))))))),IF(Calculation!DS257=13.75,IF(Calculation!DR257=13,Worksheet!$BD$78,IF(Calculation!DR257=37,Worksheet!$BD$79,Worksheet!$BD$80)),IF(Calculation!DS257=10,IF(Calculation!DR257=18,Worksheet!$BD$64,IF(Calculation!DR257=30,Worksheet!$BD$65,IF(Calculation!DR257=42,Worksheet!$BD$66,IF(Calculation!DR257=54,Worksheet!$BD$68,IF(Calculation!DR257=66,Worksheet!$BD$68,IF(Calculation!DR257=78,Worksheet!$BD$69,IF(Calculation!DR257=90,Worksheet!$BD$70,IF(Calculation!DR257=102,Worksheet!$BD$71,Worksheet!$BD$72)))))))),IF(Calculation!DS257=12.5,IF(Calculation!DR257=18,Worksheet!$BD$73,IF(Calculation!DR257=Worksheet!$BD$74,IF(Calculation!DR257=42,Worksheet!$BD$75,IF(Calculation!DR257=54,Worksheet!$BD$76,Worksheet!$BD$77)))),IF(Calculation!DR257=18,Worksheet!$BD$55,IF(Calculation!DR257=30,Worksheet!$BD$56,IF(Calculation!DR257=42,Worksheet!$BD$57,IF(Calculation!DR257=54,Worksheet!$BD$58,IF(Calculation!DR257=66,Worksheet!$BD$59,IF(Calculation!DR257=78,Worksheet!$BD$60,IF(Calculation!DR257=90,Worksheet!$BD$61,IF(Calculation!DR257=102,Worksheet!$BD$62,Worksheet!$BD$63)))))))))))),5),0)," ")</f>
        <v xml:space="preserve"> </v>
      </c>
      <c r="EG257" s="361" t="str">
        <f t="shared" si="668"/>
        <v xml:space="preserve"> </v>
      </c>
      <c r="EH257" s="361" t="e">
        <f ca="1">INDEX(INDIRECT(VLOOKUP(LEFT(BO257,7),CLU!$Z$3:$AH$18,7)),M257-1,3+LEFT(DZ257,1))</f>
        <v>#N/A</v>
      </c>
      <c r="EI257" s="362" t="str">
        <f t="shared" si="669"/>
        <v xml:space="preserve"> </v>
      </c>
      <c r="EJ257" s="363" t="str">
        <f t="shared" si="670"/>
        <v xml:space="preserve"> </v>
      </c>
      <c r="EK257" s="363" t="str">
        <f t="shared" si="671"/>
        <v xml:space="preserve"> </v>
      </c>
      <c r="EL257" s="363" t="str">
        <f t="shared" si="672"/>
        <v xml:space="preserve"> </v>
      </c>
      <c r="EM257" s="362" t="str">
        <f>IF(L257&gt;0,IF(BR257&gt;0,(Calculation!T257/ED257)^2,0)," ")</f>
        <v xml:space="preserve"> </v>
      </c>
      <c r="EN257" s="362" t="str">
        <f>IF(L257&gt;0,IF(O257="2 Pipe (Cooling)","N/A",IF(BR257&gt;0,(Calculation!U257/EI257)^2,0))," ")</f>
        <v xml:space="preserve"> </v>
      </c>
      <c r="EO257" s="361" t="str">
        <f t="shared" si="673"/>
        <v/>
      </c>
      <c r="EP257" s="361" t="str">
        <f t="shared" si="674"/>
        <v/>
      </c>
      <c r="EQ257" s="361" t="str">
        <f t="shared" si="675"/>
        <v/>
      </c>
      <c r="ER257" s="361" t="str">
        <f t="shared" si="676"/>
        <v/>
      </c>
      <c r="ES257" s="361" t="str">
        <f t="shared" si="677"/>
        <v/>
      </c>
      <c r="ET257" s="361" t="str">
        <f t="shared" si="678"/>
        <v/>
      </c>
      <c r="EU257" s="361" t="str">
        <f t="shared" si="679"/>
        <v/>
      </c>
      <c r="EV257" s="361" t="str">
        <f t="shared" si="680"/>
        <v/>
      </c>
      <c r="EW257" s="361" t="str">
        <f t="shared" si="681"/>
        <v/>
      </c>
      <c r="EX257" s="361" t="str">
        <f t="shared" si="771"/>
        <v>1 slot, 1 way</v>
      </c>
      <c r="EY257" s="361" t="str">
        <f t="shared" si="772"/>
        <v xml:space="preserve"> </v>
      </c>
      <c r="EZ257" s="361" t="str">
        <f t="shared" si="773"/>
        <v xml:space="preserve"> </v>
      </c>
      <c r="FA257" s="361" t="str">
        <f t="shared" si="774"/>
        <v xml:space="preserve"> </v>
      </c>
      <c r="FB257" s="361" t="str">
        <f t="shared" si="775"/>
        <v xml:space="preserve"> </v>
      </c>
      <c r="FC257" s="361"/>
      <c r="FD257" s="361" t="str">
        <f>IF(J257&gt;0,IF(Calculation!R257&lt;=70,4,IF(Calculation!R257&lt;=110,5,IF(Calculation!R257&lt;=160,6,IF(Calculation!R257&lt;=300,8,"10 EO")))),"")</f>
        <v/>
      </c>
      <c r="FE257" s="361" t="str">
        <f t="shared" si="776"/>
        <v/>
      </c>
      <c r="FF257" s="361" t="str">
        <f t="shared" si="777"/>
        <v/>
      </c>
      <c r="FG257" s="361" t="e">
        <f t="shared" si="682"/>
        <v>#N/A</v>
      </c>
      <c r="FH257" s="361">
        <f t="shared" si="683"/>
        <v>0</v>
      </c>
      <c r="FI257" s="361" t="e">
        <f t="shared" si="684"/>
        <v>#DIV/0!</v>
      </c>
      <c r="FJ257" s="361"/>
      <c r="FK257" s="356" t="e">
        <f t="shared" si="685"/>
        <v>#VALUE!</v>
      </c>
      <c r="FL257" s="361"/>
      <c r="FM257" s="361"/>
      <c r="FN257" s="362" t="str">
        <f t="shared" si="778"/>
        <v xml:space="preserve"> </v>
      </c>
      <c r="FO257" s="362" t="str">
        <f t="shared" si="779"/>
        <v xml:space="preserve"> </v>
      </c>
      <c r="FP257" s="362">
        <f t="shared" si="780"/>
        <v>0</v>
      </c>
      <c r="FQ257" s="361">
        <f t="shared" si="686"/>
        <v>0</v>
      </c>
      <c r="FR257" s="362" t="str">
        <f>IF(L257&gt;0,IF(J257="CBAL2",Worksheet!$P$67,IF(J257="CBE2-24",Worksheet!$Q$67,IF(J257="CBAM",Worksheet!$R$67,IF(J257="CBLV",Worksheet!$S$67,IF(J257="CBAB",Worksheet!$U$67,IF(J257="CBAW",Worksheet!$X$67,IF(J257="CBE2-12",Worksheet!$Y$67,IF(J257="CBAL2",Worksheet!$Z$67,"N/A"))))))))," ")</f>
        <v xml:space="preserve"> </v>
      </c>
      <c r="FS257" s="362" t="str">
        <f>IF(L257&gt;0,IF(J257="CBAL2",Worksheet!$P$68,IF(J257="CBE2-24",Worksheet!$Q$68,IF(J257="CBAM",Worksheet!$R$68,IF(J257="CBLV",Worksheet!$S$68,IF(J257="CBAB",Worksheet!$U$68,IF(J257="CBAW",Worksheet!$X$68,IF(J257="CBE2-12",Worksheet!$Y$68,IF(J257="CBAL2",Worksheet!$Z$68,"N/A"))))))))," ")</f>
        <v xml:space="preserve"> </v>
      </c>
      <c r="FT257" s="362" t="str">
        <f>IF(L257&gt;0,IF(J257="CBAL2",Worksheet!$P$69,IF(J257="CBE2-24",Worksheet!$Q$69,IF(J257="CBAM",Worksheet!$R$69,IF(J257="CBLV",Worksheet!$S$69,IF(J257="CBAB",Worksheet!$U$69,IF(J257="CBAW",Worksheet!$X$69,IF(J257="CBE2-12",Worksheet!$Y$69,IF(J257="CBAL2",Worksheet!$Z$69,"N/A"))))))))," ")</f>
        <v xml:space="preserve"> </v>
      </c>
      <c r="FU257" s="361" t="str">
        <f t="shared" si="781"/>
        <v xml:space="preserve"> </v>
      </c>
      <c r="FV257" s="362" t="str">
        <f t="shared" si="782"/>
        <v xml:space="preserve"> </v>
      </c>
      <c r="FW257" s="362" t="str">
        <f t="shared" si="783"/>
        <v xml:space="preserve"> </v>
      </c>
      <c r="FX257" s="362" t="str">
        <f t="shared" si="784"/>
        <v xml:space="preserve"> </v>
      </c>
      <c r="FY257" s="355" t="str">
        <f t="shared" si="785"/>
        <v xml:space="preserve"> </v>
      </c>
      <c r="FZ257" s="361" t="str">
        <f t="shared" si="786"/>
        <v xml:space="preserve"> </v>
      </c>
      <c r="GA257" s="347" t="str">
        <f t="shared" si="787"/>
        <v xml:space="preserve"> </v>
      </c>
      <c r="GB257" s="355" t="str">
        <f t="shared" si="788"/>
        <v xml:space="preserve"> </v>
      </c>
      <c r="GC257" s="328" t="str">
        <f t="shared" si="789"/>
        <v xml:space="preserve"> </v>
      </c>
      <c r="GD257" s="361" t="str">
        <f t="shared" si="790"/>
        <v xml:space="preserve"> </v>
      </c>
      <c r="GE257" s="347" t="str">
        <f t="shared" si="791"/>
        <v xml:space="preserve"> </v>
      </c>
      <c r="GF257" s="361" t="str">
        <f t="shared" si="792"/>
        <v xml:space="preserve"> </v>
      </c>
      <c r="GG257" s="347" t="str">
        <f t="shared" si="793"/>
        <v xml:space="preserve"> </v>
      </c>
      <c r="GH257" s="364">
        <f t="shared" si="687"/>
        <v>0</v>
      </c>
      <c r="GI257" s="362">
        <f t="shared" si="794"/>
        <v>2</v>
      </c>
      <c r="GJ257" s="433" t="e">
        <f>IF(6-COUNTBLANK(GT257:GY257)=4,MATCH(MID(BO257,9,3),CLU!$H$16:$K$16),MATCH(MID(BO257,9,3),CLU!$H$13:$M$13))</f>
        <v>#N/A</v>
      </c>
      <c r="GK257" s="433" t="e">
        <f>HLOOKUP(VALUE(BP257),CLU!$H$9:$M$10,2)</f>
        <v>#VALUE!</v>
      </c>
      <c r="GL257" s="433" t="e">
        <f ca="1">MATCH(BU257,CLU!$H$2:$V$2,1)</f>
        <v>#VALUE!</v>
      </c>
      <c r="GM257" s="433" t="e">
        <f t="shared" ca="1" si="795"/>
        <v>#VALUE!</v>
      </c>
      <c r="GN257" s="433" t="e">
        <f t="shared" ca="1" si="796"/>
        <v>#VALUE!</v>
      </c>
      <c r="GO257" s="433" t="e">
        <f t="shared" ca="1" si="797"/>
        <v>#VALUE!</v>
      </c>
      <c r="GP257" s="433" t="e">
        <f t="shared" ca="1" si="798"/>
        <v>#VALUE!</v>
      </c>
      <c r="GQ257" s="433" t="e">
        <f t="shared" ca="1" si="799"/>
        <v>#VALUE!</v>
      </c>
      <c r="GR257" s="433" t="e">
        <f ca="1">MATCH(T257,INDIRECT(VLOOKUP(CONCATENATE(LEFT(BO257,7),"-",MID(BO257,13,1)),CLU!$P$3:$Q$16,2)),1)</f>
        <v>#N/A</v>
      </c>
      <c r="GS257" s="433" t="e">
        <f ca="1">MATCH(U257,INDIRECT(VLOOKUP(CONCATENATE(LEFT(BO257,7),"-",MID(BO257,13,1)),CLU!$P$3:$Q$16,2)),1)</f>
        <v>#N/A</v>
      </c>
      <c r="GT257" s="347" t="s">
        <v>512</v>
      </c>
      <c r="GU257" s="97" t="s">
        <v>513</v>
      </c>
      <c r="GV257" s="97" t="str">
        <f t="shared" si="800"/>
        <v>M23</v>
      </c>
      <c r="GW257" s="97" t="str">
        <f t="shared" si="801"/>
        <v>M31</v>
      </c>
      <c r="GX257" s="97" t="str">
        <f t="shared" si="802"/>
        <v/>
      </c>
      <c r="GY257" s="97" t="str">
        <f t="shared" si="803"/>
        <v/>
      </c>
      <c r="GZ257" s="481"/>
      <c r="HA257" s="240"/>
      <c r="HB257" s="240"/>
      <c r="HC257" s="240"/>
      <c r="HD257" s="240"/>
      <c r="HE257" s="240"/>
      <c r="HF257" s="240"/>
      <c r="HG257" s="240"/>
      <c r="HH257" s="240"/>
      <c r="HI257" s="240"/>
      <c r="HJ257" s="240"/>
      <c r="HK257" s="240"/>
      <c r="HL257" s="240"/>
      <c r="HM257" s="240"/>
      <c r="HN257" s="240"/>
      <c r="HO257" s="240"/>
      <c r="HP257" s="240"/>
      <c r="HQ257" s="240"/>
      <c r="HR257" s="240"/>
      <c r="HS257" s="240"/>
      <c r="HT257" s="240"/>
      <c r="HU257" s="240"/>
      <c r="HV257" s="245"/>
      <c r="HW257" s="245" t="b">
        <v>1</v>
      </c>
      <c r="HX257" s="245" t="str">
        <f t="shared" si="688"/>
        <v/>
      </c>
      <c r="HY257" s="245" t="e">
        <f t="shared" si="689"/>
        <v>#DIV/0!</v>
      </c>
      <c r="HZ257" s="245" t="e">
        <f t="shared" si="690"/>
        <v>#DIV/0!</v>
      </c>
      <c r="IA257" s="245">
        <f t="shared" si="691"/>
        <v>0</v>
      </c>
      <c r="IB257" s="245"/>
      <c r="IC257" t="b">
        <f t="shared" si="692"/>
        <v>1</v>
      </c>
      <c r="ID257" s="245" t="b">
        <f t="shared" si="693"/>
        <v>1</v>
      </c>
      <c r="IE257" s="245" t="b">
        <f t="shared" si="694"/>
        <v>1</v>
      </c>
      <c r="IF257" s="245" t="b">
        <f t="shared" si="695"/>
        <v>0</v>
      </c>
      <c r="IG257" s="245" t="b">
        <f t="shared" si="696"/>
        <v>1</v>
      </c>
      <c r="IH257" s="245" t="b">
        <f t="shared" si="697"/>
        <v>1</v>
      </c>
      <c r="II257" s="245">
        <f t="shared" si="804"/>
        <v>0</v>
      </c>
      <c r="IJ257" s="245" t="e">
        <f t="shared" si="698"/>
        <v>#VALUE!</v>
      </c>
      <c r="IK257" s="245" t="e">
        <f t="shared" si="699"/>
        <v>#VALUE!</v>
      </c>
      <c r="IL257" s="245"/>
      <c r="IM257" s="245" t="e">
        <f t="shared" si="805"/>
        <v>#N/A</v>
      </c>
      <c r="IN257" s="245" t="e">
        <f t="shared" si="806"/>
        <v>#N/A</v>
      </c>
      <c r="IO257" s="245"/>
      <c r="IP257" s="245"/>
      <c r="IQ257" s="245" t="str">
        <f t="shared" si="700"/>
        <v/>
      </c>
      <c r="IR257" s="245" t="str">
        <f>IF(J257="","",VLOOKUP(J257,Worksheet!$R$4:$T$14,2))</f>
        <v/>
      </c>
      <c r="IS257" s="245"/>
      <c r="IT257" s="245">
        <f t="shared" si="701"/>
        <v>0</v>
      </c>
      <c r="IU257" s="245">
        <f t="shared" si="702"/>
        <v>0</v>
      </c>
      <c r="IV257" s="245">
        <f t="shared" si="703"/>
        <v>0</v>
      </c>
      <c r="IW257" s="245">
        <f t="shared" si="704"/>
        <v>0</v>
      </c>
      <c r="IX257" s="245">
        <f t="shared" si="807"/>
        <v>0</v>
      </c>
      <c r="IY257" s="245">
        <f t="shared" si="705"/>
        <v>0</v>
      </c>
      <c r="IZ257" s="245">
        <f t="shared" si="706"/>
        <v>0</v>
      </c>
      <c r="JA257">
        <f t="shared" si="707"/>
        <v>0</v>
      </c>
      <c r="JB257">
        <f t="shared" si="808"/>
        <v>0</v>
      </c>
      <c r="JC257">
        <f t="shared" si="708"/>
        <v>0</v>
      </c>
      <c r="JD257">
        <f t="shared" si="709"/>
        <v>0</v>
      </c>
      <c r="JE257">
        <f t="shared" si="710"/>
        <v>0</v>
      </c>
      <c r="JF257">
        <f t="shared" si="711"/>
        <v>0</v>
      </c>
      <c r="JG257">
        <f t="shared" si="712"/>
        <v>0</v>
      </c>
      <c r="JH257">
        <f t="shared" si="713"/>
        <v>0</v>
      </c>
      <c r="JI257">
        <f t="shared" si="714"/>
        <v>0</v>
      </c>
      <c r="JJ257" s="447">
        <f t="shared" si="715"/>
        <v>0</v>
      </c>
      <c r="JK257" s="447">
        <f t="shared" si="716"/>
        <v>0</v>
      </c>
      <c r="JL257">
        <f t="shared" si="717"/>
        <v>0</v>
      </c>
      <c r="JM257" s="245" t="str">
        <f>IFERROR(VLOOKUP(MATCH(BN257,#REF!,0),#REF!,7),"")</f>
        <v/>
      </c>
      <c r="JN257" t="e">
        <f>HLOOKUP(LEFT(BO257,7),Discharge_Area,MATCH(JO257,LookUps!$B$130:$B$149,1)+2)</f>
        <v>#N/A</v>
      </c>
      <c r="JO257" t="str">
        <f t="shared" si="718"/>
        <v>- S</v>
      </c>
      <c r="JP257" t="e">
        <f>HLOOKUP(LEFT(BO257,7),Discharge_Area,MATCH(JO257,LookUps!$B$130:$B$149,1)+2)</f>
        <v>#N/A</v>
      </c>
      <c r="JQ257" t="e">
        <f t="shared" si="719"/>
        <v>#N/A</v>
      </c>
      <c r="JR257" t="e">
        <f t="shared" si="720"/>
        <v>#N/A</v>
      </c>
      <c r="JS257" t="e">
        <f t="shared" si="721"/>
        <v>#N/A</v>
      </c>
      <c r="JT257" s="532" t="str">
        <f t="shared" si="722"/>
        <v xml:space="preserve"> </v>
      </c>
      <c r="JU257" s="532" t="str">
        <f t="shared" si="723"/>
        <v xml:space="preserve"> </v>
      </c>
      <c r="JV257" s="533" t="str">
        <f t="shared" si="724"/>
        <v xml:space="preserve"> </v>
      </c>
      <c r="JW257" s="534">
        <f t="shared" si="725"/>
        <v>0</v>
      </c>
      <c r="JX257" s="535" t="str">
        <f t="shared" si="809"/>
        <v xml:space="preserve"> </v>
      </c>
      <c r="JY257" s="535" t="str">
        <f t="shared" si="810"/>
        <v xml:space="preserve"> </v>
      </c>
      <c r="JZ257" s="535" t="str">
        <f t="shared" si="811"/>
        <v xml:space="preserve"> </v>
      </c>
      <c r="KA257" s="536" t="str">
        <f t="shared" si="726"/>
        <v xml:space="preserve"> </v>
      </c>
      <c r="KB257" s="535" t="e">
        <f t="shared" si="812"/>
        <v>#VALUE!</v>
      </c>
      <c r="KC257" s="535" t="str">
        <f t="shared" si="727"/>
        <v/>
      </c>
      <c r="KD257" s="537" t="str">
        <f t="shared" si="813"/>
        <v xml:space="preserve"> </v>
      </c>
      <c r="KE257" s="537" t="str">
        <f t="shared" si="814"/>
        <v xml:space="preserve"> </v>
      </c>
      <c r="KF257" s="534">
        <f t="shared" si="728"/>
        <v>0</v>
      </c>
      <c r="KG257" s="535" t="str">
        <f t="shared" si="729"/>
        <v xml:space="preserve"> </v>
      </c>
      <c r="KH257" s="535" t="str">
        <f t="shared" si="730"/>
        <v xml:space="preserve"> </v>
      </c>
      <c r="KI257" s="535" t="str">
        <f t="shared" si="731"/>
        <v xml:space="preserve"> </v>
      </c>
      <c r="KJ257" s="536" t="str">
        <f t="shared" si="732"/>
        <v xml:space="preserve"> </v>
      </c>
      <c r="KK257" s="535" t="str">
        <f t="shared" si="815"/>
        <v xml:space="preserve"> </v>
      </c>
      <c r="KL257" s="535" t="str">
        <f t="shared" si="816"/>
        <v xml:space="preserve"> </v>
      </c>
      <c r="KM257" s="537" t="str">
        <f t="shared" si="733"/>
        <v xml:space="preserve"> </v>
      </c>
      <c r="KN257" s="537" t="str">
        <f t="shared" si="817"/>
        <v xml:space="preserve"> </v>
      </c>
      <c r="KP257">
        <f t="shared" si="734"/>
        <v>0</v>
      </c>
      <c r="LA257" t="e">
        <f t="shared" si="735"/>
        <v>#VALUE!</v>
      </c>
      <c r="LB257" t="e">
        <f t="shared" si="736"/>
        <v>#VALUE!</v>
      </c>
      <c r="LC257" t="e">
        <f t="shared" si="737"/>
        <v>#VALUE!</v>
      </c>
      <c r="LD257" t="e">
        <f t="shared" si="738"/>
        <v>#VALUE!</v>
      </c>
      <c r="LE257" t="e">
        <f t="shared" si="818"/>
        <v>#VALUE!</v>
      </c>
      <c r="LF257">
        <f t="shared" si="739"/>
        <v>0</v>
      </c>
      <c r="LG257" t="e">
        <f t="shared" si="819"/>
        <v>#VALUE!</v>
      </c>
      <c r="LH257" t="str">
        <f t="shared" si="740"/>
        <v xml:space="preserve"> </v>
      </c>
      <c r="LI257">
        <f t="shared" si="820"/>
        <v>1</v>
      </c>
    </row>
    <row r="258" spans="2:321" ht="15" customHeight="1">
      <c r="B258" s="311"/>
      <c r="C258" s="311"/>
      <c r="D258" s="312"/>
      <c r="E258" s="311"/>
      <c r="F258" s="312"/>
      <c r="G258" s="311"/>
      <c r="H258" s="311"/>
      <c r="I258" s="232"/>
      <c r="J258" s="311"/>
      <c r="K258" s="305" t="str">
        <f t="shared" si="741"/>
        <v/>
      </c>
      <c r="L258" s="313"/>
      <c r="M258" s="312"/>
      <c r="N258" s="311"/>
      <c r="O258" s="312"/>
      <c r="P258" s="311"/>
      <c r="Q258" s="305" t="str">
        <f t="shared" si="742"/>
        <v/>
      </c>
      <c r="R258" s="314"/>
      <c r="S258" s="450" t="str">
        <f t="shared" si="625"/>
        <v/>
      </c>
      <c r="T258" s="315"/>
      <c r="U258" s="315"/>
      <c r="W258" s="149" t="str">
        <f t="shared" si="626"/>
        <v xml:space="preserve"> </v>
      </c>
      <c r="X258" s="243" t="str">
        <f t="shared" si="627"/>
        <v xml:space="preserve"> </v>
      </c>
      <c r="Y258" s="150" t="str">
        <f t="shared" si="628"/>
        <v/>
      </c>
      <c r="Z258" s="149" t="str">
        <f t="shared" si="629"/>
        <v xml:space="preserve"> </v>
      </c>
      <c r="AA258" s="98" t="str">
        <f t="shared" si="630"/>
        <v xml:space="preserve"> </v>
      </c>
      <c r="AB258" s="153" t="str">
        <f t="shared" si="631"/>
        <v xml:space="preserve"> </v>
      </c>
      <c r="AC258" s="153" t="str">
        <f t="shared" si="632"/>
        <v xml:space="preserve"> </v>
      </c>
      <c r="AD258" s="148" t="str">
        <f t="shared" si="633"/>
        <v/>
      </c>
      <c r="AE258" s="149" t="str">
        <f t="shared" si="634"/>
        <v/>
      </c>
      <c r="AF258" s="151" t="str">
        <f t="shared" si="635"/>
        <v xml:space="preserve"> </v>
      </c>
      <c r="AG258" s="153" t="str">
        <f t="shared" si="636"/>
        <v xml:space="preserve"> </v>
      </c>
      <c r="AH258" s="98" t="str">
        <f t="shared" si="637"/>
        <v xml:space="preserve"> </v>
      </c>
      <c r="AI258" s="149" t="str">
        <f t="shared" si="638"/>
        <v xml:space="preserve"> </v>
      </c>
      <c r="AK258" s="144" t="str">
        <f t="shared" si="639"/>
        <v xml:space="preserve"> </v>
      </c>
      <c r="AL258" s="144"/>
      <c r="AM258" s="243" t="str">
        <f t="shared" si="640"/>
        <v xml:space="preserve"> </v>
      </c>
      <c r="AN258" s="149" t="str">
        <f t="shared" si="743"/>
        <v xml:space="preserve"> </v>
      </c>
      <c r="AO258" s="144" t="str">
        <f>IF(JB258&gt;0,IF(GI258=10,-R258*1.085*(Calculation!$F$6-Calculation!$F$13)*$S$14," "),"")</f>
        <v/>
      </c>
      <c r="AP258" s="144" t="str">
        <f t="shared" si="641"/>
        <v/>
      </c>
      <c r="AQ258" s="56" t="str">
        <f t="shared" si="642"/>
        <v/>
      </c>
      <c r="AR258" s="144" t="str">
        <f t="shared" si="643"/>
        <v/>
      </c>
      <c r="AS258" s="176" t="str">
        <f t="shared" si="644"/>
        <v/>
      </c>
      <c r="AT258" s="176" t="str">
        <f t="shared" si="744"/>
        <v xml:space="preserve"> </v>
      </c>
      <c r="AU258" s="176" t="str">
        <f t="shared" si="645"/>
        <v/>
      </c>
      <c r="AV258" s="177" t="str">
        <f t="shared" si="646"/>
        <v xml:space="preserve"> </v>
      </c>
      <c r="AW258" s="144" t="str">
        <f t="shared" si="647"/>
        <v xml:space="preserve"> </v>
      </c>
      <c r="AX258" s="144" t="str">
        <f t="shared" si="648"/>
        <v xml:space="preserve"> </v>
      </c>
      <c r="AY258" s="152" t="str">
        <f t="shared" si="649"/>
        <v xml:space="preserve"> </v>
      </c>
      <c r="AZ258" s="246" t="str">
        <f t="shared" si="650"/>
        <v/>
      </c>
      <c r="BA258" s="176" t="str">
        <f t="shared" si="651"/>
        <v xml:space="preserve"> </v>
      </c>
      <c r="BB258" s="176" t="str">
        <f t="shared" si="652"/>
        <v xml:space="preserve"> </v>
      </c>
      <c r="BC258" s="195"/>
      <c r="BD258" s="316"/>
      <c r="BE258" s="317"/>
      <c r="BF258" s="318"/>
      <c r="BG258" s="318"/>
      <c r="BH258" s="144" t="str">
        <f t="shared" si="821"/>
        <v xml:space="preserve"> </v>
      </c>
      <c r="BI258" s="176" t="str">
        <f t="shared" si="653"/>
        <v/>
      </c>
      <c r="BJ258" s="144" t="str">
        <f t="shared" si="822"/>
        <v/>
      </c>
      <c r="BK258" s="246" t="str">
        <f t="shared" si="654"/>
        <v/>
      </c>
      <c r="BL258" s="144" t="str">
        <f t="shared" si="823"/>
        <v/>
      </c>
      <c r="BM258" s="246" t="str">
        <f t="shared" si="655"/>
        <v/>
      </c>
      <c r="BN258" s="337" t="str">
        <f t="shared" si="745"/>
        <v/>
      </c>
      <c r="BO258" s="371" t="str">
        <f t="shared" si="746"/>
        <v/>
      </c>
      <c r="BP258" s="328" t="str">
        <f t="shared" si="824"/>
        <v xml:space="preserve"> </v>
      </c>
      <c r="BQ258" s="347" t="str">
        <f t="shared" si="747"/>
        <v xml:space="preserve"> </v>
      </c>
      <c r="BR258" s="353" t="str">
        <f t="shared" si="748"/>
        <v xml:space="preserve"> </v>
      </c>
      <c r="BS258" s="626" t="str">
        <f>IF(L258&gt;0,IF(Calculation!P258="M13",BR258*3.1416*(0.134^2)/(4*144),IF(Calculation!P258="M17",BR258*3.1416*(0.165^2)/(4*144),IF(Calculation!P258="M20",BR258*3.1416*(0.198^2)/(4*144),IF(Calculation!P258="M23",BR258*3.1416*(0.228^2)/(4*144),IF(Calculation!P258="M27",BR258*3.1416*(0.269^2)/(4*144),BR258*3.1416*(0.307^2)/(4*144))))))," ")</f>
        <v xml:space="preserve"> </v>
      </c>
      <c r="BT258" s="353" t="str">
        <f>IF(L258&gt;0,IF(BS258&gt;0,R258/Calculation!BS258,0)," ")</f>
        <v xml:space="preserve"> </v>
      </c>
      <c r="BU258" s="438" t="e">
        <f t="shared" ca="1" si="656"/>
        <v>#VALUE!</v>
      </c>
      <c r="BV258" s="449" t="e">
        <f ca="1">INDEX(INDIRECT(VLOOKUP(LEFT(BO258,7),CLU!$Z$3:$AH$18,2)),GN258,GR258)</f>
        <v>#N/A</v>
      </c>
      <c r="BW258" s="433" t="e">
        <f ca="1">INDEX(INDIRECT(VLOOKUP(LEFT(BO258,7),CLU!$Z$3:$AH$18,3)),GN258,GR258)</f>
        <v>#N/A</v>
      </c>
      <c r="BX258" s="433" t="e">
        <f ca="1">INDEX(INDIRECT(VLOOKUP(LEFT(BO258,7),CLU!$Z$3:$AH$18,4)),GN258,GR258)</f>
        <v>#N/A</v>
      </c>
      <c r="BY258" s="433" t="e">
        <f ca="1">INDEX(INDIRECT(VLOOKUP(LEFT(BO258,7),CLU!$Z$3:$AH$18,9)),((M258-2)*(6-COUNTBLANK(GT258:GY258)))+GJ258)</f>
        <v>#N/A</v>
      </c>
      <c r="BZ258" s="426" t="e">
        <f t="shared" ca="1" si="749"/>
        <v>#N/A</v>
      </c>
      <c r="CA258" s="424" t="e">
        <f t="shared" ca="1" si="750"/>
        <v>#N/A</v>
      </c>
      <c r="CB258" s="429" t="e">
        <f ca="1">INDEX(INDIRECT(VLOOKUP(LEFT(BO258,7),CLU!$Z$3:$AH$18,2)),GN258,GS258)</f>
        <v>#N/A</v>
      </c>
      <c r="CC258" s="342" t="e">
        <f ca="1">INDEX(INDIRECT(VLOOKUP(LEFT(BO258,7),CLU!$Z$3:$AH$18,3)),GN258,GS258)</f>
        <v>#N/A</v>
      </c>
      <c r="CD258" s="342" t="e">
        <f ca="1">INDEX(INDIRECT(VLOOKUP(LEFT(BO258,7),CLU!$Z$3:$AH$18,4)),GN258,GS258)</f>
        <v>#N/A</v>
      </c>
      <c r="CE258" s="426" t="e">
        <f t="shared" ca="1" si="751"/>
        <v>#N/A</v>
      </c>
      <c r="CF258" s="440">
        <f t="shared" si="752"/>
        <v>0</v>
      </c>
      <c r="CG258" s="431" t="e">
        <f ca="1">INDEX(INDIRECT(VLOOKUP(LEFT(BO258,7),CLU!$Z$3:$AH$18,2)),GQ258,GR258)</f>
        <v>#N/A</v>
      </c>
      <c r="CH258" s="431" t="e">
        <f ca="1">INDEX(INDIRECT(VLOOKUP(LEFT(BO258,7),CLU!$Z$3:$AH$18,3)),GQ258,GR258)</f>
        <v>#N/A</v>
      </c>
      <c r="CI258" s="431" t="e">
        <f ca="1">INDEX(INDIRECT(VLOOKUP(LEFT(BO258,7),CLU!$Z$3:$AH$18,4)),GQ258,GR258)</f>
        <v>#N/A</v>
      </c>
      <c r="CJ258" s="448" t="e">
        <f t="shared" ca="1" si="753"/>
        <v>#N/A</v>
      </c>
      <c r="CK258" s="431" t="e">
        <f t="shared" ca="1" si="754"/>
        <v>#N/A</v>
      </c>
      <c r="CL258" s="440" t="e">
        <f t="shared" ca="1" si="755"/>
        <v>#N/A</v>
      </c>
      <c r="CM258" s="431" t="e">
        <f ca="1">INDEX(INDIRECT(VLOOKUP(LEFT(BO258,7),CLU!$Z$3:$AH$18,2)),GQ258,GS258)</f>
        <v>#N/A</v>
      </c>
      <c r="CN258" s="431" t="e">
        <f ca="1">INDEX(INDIRECT(VLOOKUP(LEFT(BO258,7),CLU!$Z$3:$AH$18,3)),GQ258,GS258)</f>
        <v>#N/A</v>
      </c>
      <c r="CO258" s="431" t="e">
        <f ca="1">INDEX(INDIRECT(VLOOKUP(LEFT(BO258,7),CLU!$Z$3:$AH$18,4)),GQ258,GS258)</f>
        <v>#N/A</v>
      </c>
      <c r="CP258" s="431" t="e">
        <f t="shared" ca="1" si="756"/>
        <v>#N/A</v>
      </c>
      <c r="CQ258" s="440">
        <f t="shared" si="757"/>
        <v>0</v>
      </c>
      <c r="CR258" s="51" t="e">
        <f t="shared" ca="1" si="758"/>
        <v>#N/A</v>
      </c>
      <c r="CS258" s="439" t="e">
        <f t="shared" ca="1" si="759"/>
        <v>#VALUE!</v>
      </c>
      <c r="CT258" s="51" t="e">
        <f t="shared" ca="1" si="760"/>
        <v>#VALUE!</v>
      </c>
      <c r="CU258" s="10"/>
      <c r="CV258" s="51" t="e">
        <f t="shared" ca="1" si="657"/>
        <v>#VALUE!</v>
      </c>
      <c r="CW258" s="51">
        <f t="shared" si="761"/>
        <v>0</v>
      </c>
      <c r="CX258" s="439" t="e">
        <f t="shared" ca="1" si="762"/>
        <v>#VALUE!</v>
      </c>
      <c r="CY258" s="51" t="e">
        <f t="shared" ca="1" si="763"/>
        <v>#VALUE!</v>
      </c>
      <c r="CZ258" s="10"/>
      <c r="DA258" s="51" t="e">
        <f t="shared" ca="1" si="764"/>
        <v>#VALUE!</v>
      </c>
      <c r="DB258" s="347" t="e">
        <f ca="1">INDEX(INDIRECT(VLOOKUP(LEFT(BO258,7),CLU!$Z$3:$AI$18,10)),((M258-2)*(6-COUNTBLANK(GT258:GY258)))+GJ258)*LI258</f>
        <v>#N/A</v>
      </c>
      <c r="DC258" s="347" t="str">
        <f>IF(L258&gt;0,((R258/Worksheet!$I$15)/DB258)^2," ")</f>
        <v xml:space="preserve"> </v>
      </c>
      <c r="DD258" s="602" t="str">
        <f t="shared" si="765"/>
        <v xml:space="preserve"> </v>
      </c>
      <c r="DE258" s="347" t="str">
        <f t="shared" si="658"/>
        <v xml:space="preserve"> </v>
      </c>
      <c r="DF258" s="356" t="e">
        <f ca="1">INDEX(INDIRECT(VLOOKUP(LEFT(BO258,7),CLU!$Z$3:$AH$18,8)),((M258-2)*(6-COUNTBLANK(GT258:GY258)))+GJ258)</f>
        <v>#N/A</v>
      </c>
      <c r="DG258" s="347" t="str">
        <f t="shared" si="659"/>
        <v xml:space="preserve"> </v>
      </c>
      <c r="DH258" s="357" t="str">
        <f t="shared" si="660"/>
        <v xml:space="preserve"> </v>
      </c>
      <c r="DI258" s="355" t="str">
        <f t="shared" si="661"/>
        <v xml:space="preserve"> </v>
      </c>
      <c r="DJ258" s="245" t="e">
        <f ca="1">INDEX(INDIRECT(VLOOKUP(LEFT(BO258,7),CLU!$Z$3:$AH$18,5)),GL258,GK258)</f>
        <v>#N/A</v>
      </c>
      <c r="DK258" s="245" t="e">
        <f ca="1">INDEX(INDIRECT(VLOOKUP(LEFT(BO258,7),CLU!$Z$3:$AH$18,6)),GL258,GK258)</f>
        <v>#N/A</v>
      </c>
      <c r="DL258" s="355">
        <f>(Calculation!R258*0.69143*(Calculation!$BQ$8-Calculation!$F$8))*$S$14</f>
        <v>0</v>
      </c>
      <c r="DM258" s="359" t="e">
        <f t="shared" si="766"/>
        <v>#VALUE!</v>
      </c>
      <c r="DN258" s="611">
        <f t="shared" si="767"/>
        <v>0</v>
      </c>
      <c r="DO258" s="359">
        <f t="shared" si="768"/>
        <v>100</v>
      </c>
      <c r="DP258" s="359">
        <f t="shared" si="769"/>
        <v>0</v>
      </c>
      <c r="DQ258" s="360"/>
      <c r="DR258" s="245" t="e">
        <f ca="1">INDEX(INDIRECT(VLOOKUP(LEFT(BO258,7),CLU!$Z$3:$AH$18,7)),M258-1,1)</f>
        <v>#N/A</v>
      </c>
      <c r="DS258" s="245" t="e">
        <f ca="1">INDEX(INDIRECT(VLOOKUP(LEFT(BO258,7),CLU!$Z$3:$AH$18,7)),M258-1,2)</f>
        <v>#N/A</v>
      </c>
      <c r="DT258" s="245" t="e">
        <f ca="1">INDEX(INDIRECT(VLOOKUP(LEFT(BO258,7),CLU!$Z$3:$AH$18,7)),M258-1,3)</f>
        <v>#N/A</v>
      </c>
      <c r="DU258" s="245" t="e">
        <f ca="1">INDEX(INDIRECT(VLOOKUP(LEFT(BO258,7),CLU!$Z$3:$AH$18,7)),M258-1,4)</f>
        <v>#N/A</v>
      </c>
      <c r="DV258" s="361" t="e">
        <f ca="1">INDEX(INDIRECT(VLOOKUP(LEFT(BO258,7),CLU!$Z$3:$AH$18,7)),M258-1,4+LEFT(DZ258,1)*0.5)</f>
        <v>#N/A</v>
      </c>
      <c r="DW258" s="245" t="e">
        <f ca="1">INDEX(INDIRECT(VLOOKUP(LEFT(BO258,7),CLU!$Z$3:$AH$18,7)),M258-1,8)</f>
        <v>#N/A</v>
      </c>
      <c r="DX258" s="361" t="str">
        <f t="shared" si="662"/>
        <v xml:space="preserve"> </v>
      </c>
      <c r="DY258" s="361" t="str">
        <f t="shared" si="663"/>
        <v xml:space="preserve"> </v>
      </c>
      <c r="DZ258" s="361" t="str">
        <f t="shared" si="664"/>
        <v xml:space="preserve"> </v>
      </c>
      <c r="EA258" s="362" t="str">
        <f t="shared" si="665"/>
        <v xml:space="preserve"> </v>
      </c>
      <c r="EB258" s="624" t="str">
        <f t="shared" si="770"/>
        <v xml:space="preserve"> </v>
      </c>
      <c r="EC258" s="361" t="e">
        <f ca="1">INDEX(INDIRECT(VLOOKUP(LEFT(BO258,7),CLU!$Z$3:$AH$18,7)),M258-1,4+LEFT(DZ258,1)*0.5)</f>
        <v>#N/A</v>
      </c>
      <c r="ED258" s="362" t="str">
        <f t="shared" si="666"/>
        <v xml:space="preserve"> </v>
      </c>
      <c r="EE258" s="361" t="str">
        <f t="shared" si="667"/>
        <v xml:space="preserve"> </v>
      </c>
      <c r="EF258" s="362" t="str">
        <f>IF(L258&gt;0,IF(BR258&gt;0,IF(EE258="2P",IF(Calculation!DZ258="2P",IF(Calculation!DS258=13.75,IF(Calculation!DR258=13,Worksheet!$BD$43,IF(Calculation!DR258=37,Worksheet!$BD$44,Worksheet!$BD$45)),IF(Calculation!DS258=10,IF(Calculation!DR258=18,Worksheet!$BD$29,IF(Calculation!DR258=30,Worksheet!$BD$30,IF(Calculation!DR258=42,Worksheet!$BD$31,IF(Calculation!DR258=54,Worksheet!$BD$32,IF(Calculation!DR258=66,Worksheet!$BD$33,IF(Calculation!DR258=78,Worksheet!$BD$34,IF(Calculation!DR258=90,Worksheet!$BD$35,IF(Calculation!DR258=102,Worksheet!$BD$36,Worksheet!$BD$37)))))))),IF(Calculation!DS258=12.5,IF(Calculation!DR258=18,Worksheet!$BD$38,IF(Calculation!DR258=Worksheet!$BD$39,IF(Calculation!DR258=42,Worksheet!$BD$40,IF(Calculation!DR258=54,Worksheet!$BD$41,Worksheet!$BD$42)))),IF(Calculation!DR258=18,Worksheet!$BD$11,IF(Calculation!DR258=30,Worksheet!$BD$12,IF(Calculation!DR258=42,Worksheet!$BD$13,IF(Calculation!DR258=54,Worksheet!$BD$14,IF(Calculation!DR258=66,Worksheet!$BD$15,IF(Calculation!DR258=78,Worksheet!$BD$16,IF(Calculation!DR258=90,Worksheet!$BD$17,IF(Calculation!DR258=102,Worksheet!$BD$18,Worksheet!$BD$19))))))))))),IF(Calculation!DS258=13.75,IF(Calculation!DR258=13,Worksheet!$BD$78,IF(Calculation!DR258=37,Worksheet!$BD$79,Worksheet!$BD$80)),IF(Calculation!DS258=10,IF(Calculation!DR258=18,Worksheet!$BD$64,IF(Calculation!DR258=30,Worksheet!$BD$65,IF(Calculation!DR258=42,Worksheet!$BD$66,IF(Calculation!DR258=54,Worksheet!$BD$68,IF(Calculation!DR258=66,Worksheet!$BD$68,IF(Calculation!DR258=78,Worksheet!$BD$69,IF(Calculation!DR258=90,Worksheet!$BD$70,IF(Calculation!DR258=102,Worksheet!$BD$71,Worksheet!$BD$72)))))))),IF(Calculation!DS258=12.5,IF(Calculation!DR258=18,Worksheet!$BD$73,IF(Calculation!DR258=Worksheet!$BD$74,IF(Calculation!DR258=42,Worksheet!$BD$75,IF(Calculation!DR258=54,Worksheet!$BD$76,Worksheet!$BD$77)))),IF(Calculation!DR258=18,Worksheet!$BD$55,IF(Calculation!DR258=30,Worksheet!$BD$56,IF(Calculation!DR258=42,Worksheet!$BD$57,IF(Calculation!DR258=54,Worksheet!$BD$58,IF(Calculation!DR258=66,Worksheet!$BD$59,IF(Calculation!DR258=78,Worksheet!$BD$60,IF(Calculation!DR258=90,Worksheet!$BD$61,IF(Calculation!DR258=102,Worksheet!$BD$62,Worksheet!$BD$63)))))))))))),5),0)," ")</f>
        <v xml:space="preserve"> </v>
      </c>
      <c r="EG258" s="361" t="str">
        <f t="shared" si="668"/>
        <v xml:space="preserve"> </v>
      </c>
      <c r="EH258" s="361" t="e">
        <f ca="1">INDEX(INDIRECT(VLOOKUP(LEFT(BO258,7),CLU!$Z$3:$AH$18,7)),M258-1,3+LEFT(DZ258,1))</f>
        <v>#N/A</v>
      </c>
      <c r="EI258" s="362" t="str">
        <f t="shared" si="669"/>
        <v xml:space="preserve"> </v>
      </c>
      <c r="EJ258" s="363" t="str">
        <f t="shared" si="670"/>
        <v xml:space="preserve"> </v>
      </c>
      <c r="EK258" s="363" t="str">
        <f t="shared" si="671"/>
        <v xml:space="preserve"> </v>
      </c>
      <c r="EL258" s="363" t="str">
        <f t="shared" si="672"/>
        <v xml:space="preserve"> </v>
      </c>
      <c r="EM258" s="362" t="str">
        <f>IF(L258&gt;0,IF(BR258&gt;0,(Calculation!T258/ED258)^2,0)," ")</f>
        <v xml:space="preserve"> </v>
      </c>
      <c r="EN258" s="362" t="str">
        <f>IF(L258&gt;0,IF(O258="2 Pipe (Cooling)","N/A",IF(BR258&gt;0,(Calculation!U258/EI258)^2,0))," ")</f>
        <v xml:space="preserve"> </v>
      </c>
      <c r="EO258" s="361" t="str">
        <f t="shared" si="673"/>
        <v/>
      </c>
      <c r="EP258" s="361" t="str">
        <f t="shared" si="674"/>
        <v/>
      </c>
      <c r="EQ258" s="361" t="str">
        <f t="shared" si="675"/>
        <v/>
      </c>
      <c r="ER258" s="361" t="str">
        <f t="shared" si="676"/>
        <v/>
      </c>
      <c r="ES258" s="361" t="str">
        <f t="shared" si="677"/>
        <v/>
      </c>
      <c r="ET258" s="361" t="str">
        <f t="shared" si="678"/>
        <v/>
      </c>
      <c r="EU258" s="361" t="str">
        <f t="shared" si="679"/>
        <v/>
      </c>
      <c r="EV258" s="361" t="str">
        <f t="shared" si="680"/>
        <v/>
      </c>
      <c r="EW258" s="361" t="str">
        <f t="shared" si="681"/>
        <v/>
      </c>
      <c r="EX258" s="361" t="str">
        <f t="shared" si="771"/>
        <v>1 slot, 1 way</v>
      </c>
      <c r="EY258" s="361" t="str">
        <f t="shared" si="772"/>
        <v xml:space="preserve"> </v>
      </c>
      <c r="EZ258" s="361" t="str">
        <f t="shared" si="773"/>
        <v xml:space="preserve"> </v>
      </c>
      <c r="FA258" s="361" t="str">
        <f t="shared" si="774"/>
        <v xml:space="preserve"> </v>
      </c>
      <c r="FB258" s="361" t="str">
        <f t="shared" si="775"/>
        <v xml:space="preserve"> </v>
      </c>
      <c r="FC258" s="361"/>
      <c r="FD258" s="361" t="str">
        <f>IF(J258&gt;0,IF(Calculation!R258&lt;=70,4,IF(Calculation!R258&lt;=110,5,IF(Calculation!R258&lt;=160,6,IF(Calculation!R258&lt;=300,8,"10 EO")))),"")</f>
        <v/>
      </c>
      <c r="FE258" s="361" t="str">
        <f t="shared" si="776"/>
        <v/>
      </c>
      <c r="FF258" s="361" t="str">
        <f t="shared" si="777"/>
        <v/>
      </c>
      <c r="FG258" s="361" t="e">
        <f t="shared" si="682"/>
        <v>#N/A</v>
      </c>
      <c r="FH258" s="361">
        <f t="shared" si="683"/>
        <v>0</v>
      </c>
      <c r="FI258" s="361" t="e">
        <f t="shared" si="684"/>
        <v>#DIV/0!</v>
      </c>
      <c r="FJ258" s="361"/>
      <c r="FK258" s="356" t="e">
        <f t="shared" si="685"/>
        <v>#VALUE!</v>
      </c>
      <c r="FL258" s="361"/>
      <c r="FM258" s="361"/>
      <c r="FN258" s="362" t="str">
        <f t="shared" si="778"/>
        <v xml:space="preserve"> </v>
      </c>
      <c r="FO258" s="362" t="str">
        <f t="shared" si="779"/>
        <v xml:space="preserve"> </v>
      </c>
      <c r="FP258" s="362">
        <f t="shared" si="780"/>
        <v>0</v>
      </c>
      <c r="FQ258" s="361">
        <f t="shared" si="686"/>
        <v>0</v>
      </c>
      <c r="FR258" s="362" t="str">
        <f>IF(L258&gt;0,IF(J258="CBAL2",Worksheet!$P$67,IF(J258="CBE2-24",Worksheet!$Q$67,IF(J258="CBAM",Worksheet!$R$67,IF(J258="CBLV",Worksheet!$S$67,IF(J258="CBAB",Worksheet!$U$67,IF(J258="CBAW",Worksheet!$X$67,IF(J258="CBE2-12",Worksheet!$Y$67,IF(J258="CBAL2",Worksheet!$Z$67,"N/A"))))))))," ")</f>
        <v xml:space="preserve"> </v>
      </c>
      <c r="FS258" s="362" t="str">
        <f>IF(L258&gt;0,IF(J258="CBAL2",Worksheet!$P$68,IF(J258="CBE2-24",Worksheet!$Q$68,IF(J258="CBAM",Worksheet!$R$68,IF(J258="CBLV",Worksheet!$S$68,IF(J258="CBAB",Worksheet!$U$68,IF(J258="CBAW",Worksheet!$X$68,IF(J258="CBE2-12",Worksheet!$Y$68,IF(J258="CBAL2",Worksheet!$Z$68,"N/A"))))))))," ")</f>
        <v xml:space="preserve"> </v>
      </c>
      <c r="FT258" s="362" t="str">
        <f>IF(L258&gt;0,IF(J258="CBAL2",Worksheet!$P$69,IF(J258="CBE2-24",Worksheet!$Q$69,IF(J258="CBAM",Worksheet!$R$69,IF(J258="CBLV",Worksheet!$S$69,IF(J258="CBAB",Worksheet!$U$69,IF(J258="CBAW",Worksheet!$X$69,IF(J258="CBE2-12",Worksheet!$Y$69,IF(J258="CBAL2",Worksheet!$Z$69,"N/A"))))))))," ")</f>
        <v xml:space="preserve"> </v>
      </c>
      <c r="FU258" s="361" t="str">
        <f t="shared" si="781"/>
        <v xml:space="preserve"> </v>
      </c>
      <c r="FV258" s="362" t="str">
        <f t="shared" si="782"/>
        <v xml:space="preserve"> </v>
      </c>
      <c r="FW258" s="362" t="str">
        <f t="shared" si="783"/>
        <v xml:space="preserve"> </v>
      </c>
      <c r="FX258" s="362" t="str">
        <f t="shared" si="784"/>
        <v xml:space="preserve"> </v>
      </c>
      <c r="FY258" s="355" t="str">
        <f t="shared" si="785"/>
        <v xml:space="preserve"> </v>
      </c>
      <c r="FZ258" s="361" t="str">
        <f t="shared" si="786"/>
        <v xml:space="preserve"> </v>
      </c>
      <c r="GA258" s="347" t="str">
        <f t="shared" si="787"/>
        <v xml:space="preserve"> </v>
      </c>
      <c r="GB258" s="355" t="str">
        <f t="shared" si="788"/>
        <v xml:space="preserve"> </v>
      </c>
      <c r="GC258" s="328" t="str">
        <f t="shared" si="789"/>
        <v xml:space="preserve"> </v>
      </c>
      <c r="GD258" s="361" t="str">
        <f t="shared" si="790"/>
        <v xml:space="preserve"> </v>
      </c>
      <c r="GE258" s="347" t="str">
        <f t="shared" si="791"/>
        <v xml:space="preserve"> </v>
      </c>
      <c r="GF258" s="361" t="str">
        <f t="shared" si="792"/>
        <v xml:space="preserve"> </v>
      </c>
      <c r="GG258" s="347" t="str">
        <f t="shared" si="793"/>
        <v xml:space="preserve"> </v>
      </c>
      <c r="GH258" s="364">
        <f t="shared" si="687"/>
        <v>0</v>
      </c>
      <c r="GI258" s="362">
        <f t="shared" si="794"/>
        <v>2</v>
      </c>
      <c r="GJ258" s="433" t="e">
        <f>IF(6-COUNTBLANK(GT258:GY258)=4,MATCH(MID(BO258,9,3),CLU!$H$16:$K$16),MATCH(MID(BO258,9,3),CLU!$H$13:$M$13))</f>
        <v>#N/A</v>
      </c>
      <c r="GK258" s="433" t="e">
        <f>HLOOKUP(VALUE(BP258),CLU!$H$9:$M$10,2)</f>
        <v>#VALUE!</v>
      </c>
      <c r="GL258" s="433" t="e">
        <f ca="1">MATCH(BU258,CLU!$H$2:$V$2,1)</f>
        <v>#VALUE!</v>
      </c>
      <c r="GM258" s="433" t="e">
        <f t="shared" ca="1" si="795"/>
        <v>#VALUE!</v>
      </c>
      <c r="GN258" s="433" t="e">
        <f t="shared" ca="1" si="796"/>
        <v>#VALUE!</v>
      </c>
      <c r="GO258" s="433" t="e">
        <f t="shared" ca="1" si="797"/>
        <v>#VALUE!</v>
      </c>
      <c r="GP258" s="433" t="e">
        <f t="shared" ca="1" si="798"/>
        <v>#VALUE!</v>
      </c>
      <c r="GQ258" s="433" t="e">
        <f t="shared" ca="1" si="799"/>
        <v>#VALUE!</v>
      </c>
      <c r="GR258" s="433" t="e">
        <f ca="1">MATCH(T258,INDIRECT(VLOOKUP(CONCATENATE(LEFT(BO258,7),"-",MID(BO258,13,1)),CLU!$P$3:$Q$16,2)),1)</f>
        <v>#N/A</v>
      </c>
      <c r="GS258" s="433" t="e">
        <f ca="1">MATCH(U258,INDIRECT(VLOOKUP(CONCATENATE(LEFT(BO258,7),"-",MID(BO258,13,1)),CLU!$P$3:$Q$16,2)),1)</f>
        <v>#N/A</v>
      </c>
      <c r="GT258" s="347" t="s">
        <v>512</v>
      </c>
      <c r="GU258" s="97" t="s">
        <v>513</v>
      </c>
      <c r="GV258" s="97" t="str">
        <f t="shared" si="800"/>
        <v>M23</v>
      </c>
      <c r="GW258" s="97" t="str">
        <f t="shared" si="801"/>
        <v>M31</v>
      </c>
      <c r="GX258" s="97" t="str">
        <f t="shared" si="802"/>
        <v/>
      </c>
      <c r="GY258" s="97" t="str">
        <f t="shared" si="803"/>
        <v/>
      </c>
      <c r="GZ258" s="481"/>
      <c r="HA258" s="240"/>
      <c r="HB258" s="240"/>
      <c r="HC258" s="240"/>
      <c r="HD258" s="240"/>
      <c r="HE258" s="240"/>
      <c r="HF258" s="240"/>
      <c r="HG258" s="240"/>
      <c r="HH258" s="240"/>
      <c r="HI258" s="240"/>
      <c r="HJ258" s="240"/>
      <c r="HK258" s="240"/>
      <c r="HL258" s="240"/>
      <c r="HM258" s="240"/>
      <c r="HN258" s="240"/>
      <c r="HO258" s="240"/>
      <c r="HP258" s="240"/>
      <c r="HQ258" s="240"/>
      <c r="HR258" s="240"/>
      <c r="HS258" s="240"/>
      <c r="HT258" s="240"/>
      <c r="HU258" s="240"/>
      <c r="HV258" s="245"/>
      <c r="HW258" s="245" t="b">
        <v>1</v>
      </c>
      <c r="HX258" s="245" t="str">
        <f t="shared" si="688"/>
        <v/>
      </c>
      <c r="HY258" s="245" t="e">
        <f t="shared" si="689"/>
        <v>#DIV/0!</v>
      </c>
      <c r="HZ258" s="245" t="e">
        <f t="shared" si="690"/>
        <v>#DIV/0!</v>
      </c>
      <c r="IA258" s="245">
        <f t="shared" si="691"/>
        <v>0</v>
      </c>
      <c r="IB258" s="245"/>
      <c r="IC258" t="b">
        <f t="shared" si="692"/>
        <v>1</v>
      </c>
      <c r="ID258" s="245" t="b">
        <f t="shared" si="693"/>
        <v>1</v>
      </c>
      <c r="IE258" s="245" t="b">
        <f t="shared" si="694"/>
        <v>1</v>
      </c>
      <c r="IF258" s="245" t="b">
        <f t="shared" si="695"/>
        <v>0</v>
      </c>
      <c r="IG258" s="245" t="b">
        <f t="shared" si="696"/>
        <v>1</v>
      </c>
      <c r="IH258" s="245" t="b">
        <f t="shared" si="697"/>
        <v>1</v>
      </c>
      <c r="II258" s="245">
        <f t="shared" si="804"/>
        <v>0</v>
      </c>
      <c r="IJ258" s="245" t="e">
        <f t="shared" si="698"/>
        <v>#VALUE!</v>
      </c>
      <c r="IK258" s="245" t="e">
        <f t="shared" si="699"/>
        <v>#VALUE!</v>
      </c>
      <c r="IL258" s="245"/>
      <c r="IM258" s="245" t="e">
        <f t="shared" si="805"/>
        <v>#N/A</v>
      </c>
      <c r="IN258" s="245" t="e">
        <f t="shared" si="806"/>
        <v>#N/A</v>
      </c>
      <c r="IO258" s="245"/>
      <c r="IP258" s="245"/>
      <c r="IQ258" s="245" t="str">
        <f t="shared" si="700"/>
        <v/>
      </c>
      <c r="IR258" s="245" t="str">
        <f>IF(J258="","",VLOOKUP(J258,Worksheet!$R$4:$T$14,2))</f>
        <v/>
      </c>
      <c r="IS258" s="245"/>
      <c r="IT258" s="245">
        <f t="shared" si="701"/>
        <v>0</v>
      </c>
      <c r="IU258" s="245">
        <f t="shared" si="702"/>
        <v>0</v>
      </c>
      <c r="IV258" s="245">
        <f t="shared" si="703"/>
        <v>0</v>
      </c>
      <c r="IW258" s="245">
        <f t="shared" si="704"/>
        <v>0</v>
      </c>
      <c r="IX258" s="245">
        <f t="shared" si="807"/>
        <v>0</v>
      </c>
      <c r="IY258" s="245">
        <f t="shared" si="705"/>
        <v>0</v>
      </c>
      <c r="IZ258" s="245">
        <f t="shared" si="706"/>
        <v>0</v>
      </c>
      <c r="JA258">
        <f t="shared" si="707"/>
        <v>0</v>
      </c>
      <c r="JB258">
        <f t="shared" si="808"/>
        <v>0</v>
      </c>
      <c r="JC258">
        <f t="shared" si="708"/>
        <v>0</v>
      </c>
      <c r="JD258">
        <f t="shared" si="709"/>
        <v>0</v>
      </c>
      <c r="JE258">
        <f t="shared" si="710"/>
        <v>0</v>
      </c>
      <c r="JF258">
        <f t="shared" si="711"/>
        <v>0</v>
      </c>
      <c r="JG258">
        <f t="shared" si="712"/>
        <v>0</v>
      </c>
      <c r="JH258">
        <f t="shared" si="713"/>
        <v>0</v>
      </c>
      <c r="JI258">
        <f t="shared" si="714"/>
        <v>0</v>
      </c>
      <c r="JJ258" s="447">
        <f t="shared" si="715"/>
        <v>0</v>
      </c>
      <c r="JK258" s="447">
        <f t="shared" si="716"/>
        <v>0</v>
      </c>
      <c r="JL258">
        <f t="shared" si="717"/>
        <v>0</v>
      </c>
      <c r="JM258" s="245" t="str">
        <f>IFERROR(VLOOKUP(MATCH(BN258,#REF!,0),#REF!,7),"")</f>
        <v/>
      </c>
      <c r="JN258" t="e">
        <f>HLOOKUP(LEFT(BO258,7),Discharge_Area,MATCH(JO258,LookUps!$B$130:$B$149,1)+2)</f>
        <v>#N/A</v>
      </c>
      <c r="JO258" t="str">
        <f t="shared" si="718"/>
        <v>- S</v>
      </c>
      <c r="JP258" t="e">
        <f>HLOOKUP(LEFT(BO258,7),Discharge_Area,MATCH(JO258,LookUps!$B$130:$B$149,1)+2)</f>
        <v>#N/A</v>
      </c>
      <c r="JQ258" t="e">
        <f t="shared" si="719"/>
        <v>#N/A</v>
      </c>
      <c r="JR258" t="e">
        <f t="shared" si="720"/>
        <v>#N/A</v>
      </c>
      <c r="JS258" t="e">
        <f t="shared" si="721"/>
        <v>#N/A</v>
      </c>
      <c r="JT258" s="532" t="str">
        <f t="shared" si="722"/>
        <v xml:space="preserve"> </v>
      </c>
      <c r="JU258" s="532" t="str">
        <f t="shared" si="723"/>
        <v xml:space="preserve"> </v>
      </c>
      <c r="JV258" s="533" t="str">
        <f t="shared" si="724"/>
        <v xml:space="preserve"> </v>
      </c>
      <c r="JW258" s="534">
        <f t="shared" si="725"/>
        <v>0</v>
      </c>
      <c r="JX258" s="535" t="str">
        <f t="shared" si="809"/>
        <v xml:space="preserve"> </v>
      </c>
      <c r="JY258" s="535" t="str">
        <f t="shared" si="810"/>
        <v xml:space="preserve"> </v>
      </c>
      <c r="JZ258" s="535" t="str">
        <f t="shared" si="811"/>
        <v xml:space="preserve"> </v>
      </c>
      <c r="KA258" s="536" t="str">
        <f t="shared" si="726"/>
        <v xml:space="preserve"> </v>
      </c>
      <c r="KB258" s="535" t="e">
        <f t="shared" si="812"/>
        <v>#VALUE!</v>
      </c>
      <c r="KC258" s="535" t="str">
        <f t="shared" si="727"/>
        <v/>
      </c>
      <c r="KD258" s="537" t="str">
        <f t="shared" si="813"/>
        <v xml:space="preserve"> </v>
      </c>
      <c r="KE258" s="537" t="str">
        <f t="shared" si="814"/>
        <v xml:space="preserve"> </v>
      </c>
      <c r="KF258" s="534">
        <f t="shared" si="728"/>
        <v>0</v>
      </c>
      <c r="KG258" s="535" t="str">
        <f t="shared" si="729"/>
        <v xml:space="preserve"> </v>
      </c>
      <c r="KH258" s="535" t="str">
        <f t="shared" si="730"/>
        <v xml:space="preserve"> </v>
      </c>
      <c r="KI258" s="535" t="str">
        <f t="shared" si="731"/>
        <v xml:space="preserve"> </v>
      </c>
      <c r="KJ258" s="536" t="str">
        <f t="shared" si="732"/>
        <v xml:space="preserve"> </v>
      </c>
      <c r="KK258" s="535" t="str">
        <f t="shared" si="815"/>
        <v xml:space="preserve"> </v>
      </c>
      <c r="KL258" s="535" t="str">
        <f t="shared" si="816"/>
        <v xml:space="preserve"> </v>
      </c>
      <c r="KM258" s="537" t="str">
        <f t="shared" si="733"/>
        <v xml:space="preserve"> </v>
      </c>
      <c r="KN258" s="537" t="str">
        <f t="shared" si="817"/>
        <v xml:space="preserve"> </v>
      </c>
      <c r="KP258">
        <f t="shared" si="734"/>
        <v>0</v>
      </c>
      <c r="LA258" t="e">
        <f t="shared" si="735"/>
        <v>#VALUE!</v>
      </c>
      <c r="LB258" t="e">
        <f t="shared" si="736"/>
        <v>#VALUE!</v>
      </c>
      <c r="LC258" t="e">
        <f t="shared" si="737"/>
        <v>#VALUE!</v>
      </c>
      <c r="LD258" t="e">
        <f t="shared" si="738"/>
        <v>#VALUE!</v>
      </c>
      <c r="LE258" t="e">
        <f t="shared" si="818"/>
        <v>#VALUE!</v>
      </c>
      <c r="LF258">
        <f t="shared" si="739"/>
        <v>0</v>
      </c>
      <c r="LG258" t="e">
        <f t="shared" si="819"/>
        <v>#VALUE!</v>
      </c>
      <c r="LH258" t="str">
        <f t="shared" si="740"/>
        <v xml:space="preserve"> </v>
      </c>
      <c r="LI258">
        <f t="shared" si="820"/>
        <v>1</v>
      </c>
    </row>
    <row r="259" spans="2:321" ht="15" customHeight="1">
      <c r="B259" s="311"/>
      <c r="C259" s="311"/>
      <c r="D259" s="312"/>
      <c r="E259" s="311"/>
      <c r="F259" s="312"/>
      <c r="G259" s="311"/>
      <c r="H259" s="311"/>
      <c r="I259" s="232"/>
      <c r="J259" s="311"/>
      <c r="K259" s="305" t="str">
        <f t="shared" si="741"/>
        <v/>
      </c>
      <c r="L259" s="313"/>
      <c r="M259" s="312"/>
      <c r="N259" s="311"/>
      <c r="O259" s="312"/>
      <c r="P259" s="311"/>
      <c r="Q259" s="305" t="str">
        <f t="shared" si="742"/>
        <v/>
      </c>
      <c r="R259" s="314"/>
      <c r="S259" s="450" t="str">
        <f t="shared" si="625"/>
        <v/>
      </c>
      <c r="T259" s="315"/>
      <c r="U259" s="315"/>
      <c r="W259" s="149" t="str">
        <f t="shared" si="626"/>
        <v xml:space="preserve"> </v>
      </c>
      <c r="X259" s="243" t="str">
        <f t="shared" si="627"/>
        <v xml:space="preserve"> </v>
      </c>
      <c r="Y259" s="150" t="str">
        <f t="shared" si="628"/>
        <v/>
      </c>
      <c r="Z259" s="149" t="str">
        <f t="shared" si="629"/>
        <v xml:space="preserve"> </v>
      </c>
      <c r="AA259" s="98" t="str">
        <f t="shared" si="630"/>
        <v xml:space="preserve"> </v>
      </c>
      <c r="AB259" s="153" t="str">
        <f t="shared" si="631"/>
        <v xml:space="preserve"> </v>
      </c>
      <c r="AC259" s="153" t="str">
        <f t="shared" si="632"/>
        <v xml:space="preserve"> </v>
      </c>
      <c r="AD259" s="148" t="str">
        <f t="shared" si="633"/>
        <v/>
      </c>
      <c r="AE259" s="149" t="str">
        <f t="shared" si="634"/>
        <v/>
      </c>
      <c r="AF259" s="151" t="str">
        <f t="shared" si="635"/>
        <v xml:space="preserve"> </v>
      </c>
      <c r="AG259" s="153" t="str">
        <f t="shared" si="636"/>
        <v xml:space="preserve"> </v>
      </c>
      <c r="AH259" s="98" t="str">
        <f t="shared" si="637"/>
        <v xml:space="preserve"> </v>
      </c>
      <c r="AI259" s="149" t="str">
        <f t="shared" si="638"/>
        <v xml:space="preserve"> </v>
      </c>
      <c r="AK259" s="144" t="str">
        <f t="shared" si="639"/>
        <v xml:space="preserve"> </v>
      </c>
      <c r="AL259" s="144"/>
      <c r="AM259" s="243" t="str">
        <f t="shared" si="640"/>
        <v xml:space="preserve"> </v>
      </c>
      <c r="AN259" s="149" t="str">
        <f t="shared" si="743"/>
        <v xml:space="preserve"> </v>
      </c>
      <c r="AO259" s="144" t="str">
        <f>IF(JB259&gt;0,IF(GI259=10,-R259*1.085*(Calculation!$F$6-Calculation!$F$13)*$S$14," "),"")</f>
        <v/>
      </c>
      <c r="AP259" s="144" t="str">
        <f t="shared" si="641"/>
        <v/>
      </c>
      <c r="AQ259" s="56" t="str">
        <f t="shared" si="642"/>
        <v/>
      </c>
      <c r="AR259" s="144" t="str">
        <f t="shared" si="643"/>
        <v/>
      </c>
      <c r="AS259" s="176" t="str">
        <f t="shared" si="644"/>
        <v/>
      </c>
      <c r="AT259" s="176" t="str">
        <f t="shared" si="744"/>
        <v xml:space="preserve"> </v>
      </c>
      <c r="AU259" s="176" t="str">
        <f t="shared" si="645"/>
        <v/>
      </c>
      <c r="AV259" s="177" t="str">
        <f t="shared" si="646"/>
        <v xml:space="preserve"> </v>
      </c>
      <c r="AW259" s="144" t="str">
        <f t="shared" si="647"/>
        <v xml:space="preserve"> </v>
      </c>
      <c r="AX259" s="144" t="str">
        <f t="shared" si="648"/>
        <v xml:space="preserve"> </v>
      </c>
      <c r="AY259" s="152" t="str">
        <f t="shared" si="649"/>
        <v xml:space="preserve"> </v>
      </c>
      <c r="AZ259" s="246" t="str">
        <f t="shared" si="650"/>
        <v/>
      </c>
      <c r="BA259" s="176" t="str">
        <f t="shared" si="651"/>
        <v xml:space="preserve"> </v>
      </c>
      <c r="BB259" s="176" t="str">
        <f t="shared" si="652"/>
        <v xml:space="preserve"> </v>
      </c>
      <c r="BC259" s="195"/>
      <c r="BD259" s="316"/>
      <c r="BE259" s="317"/>
      <c r="BF259" s="318"/>
      <c r="BG259" s="318"/>
      <c r="BH259" s="144" t="str">
        <f t="shared" si="821"/>
        <v xml:space="preserve"> </v>
      </c>
      <c r="BI259" s="176" t="str">
        <f t="shared" si="653"/>
        <v/>
      </c>
      <c r="BJ259" s="144" t="str">
        <f t="shared" si="822"/>
        <v/>
      </c>
      <c r="BK259" s="246" t="str">
        <f t="shared" si="654"/>
        <v/>
      </c>
      <c r="BL259" s="144" t="str">
        <f t="shared" si="823"/>
        <v/>
      </c>
      <c r="BM259" s="246" t="str">
        <f t="shared" si="655"/>
        <v/>
      </c>
      <c r="BN259" s="337" t="str">
        <f t="shared" si="745"/>
        <v/>
      </c>
      <c r="BO259" s="371" t="str">
        <f t="shared" si="746"/>
        <v/>
      </c>
      <c r="BP259" s="328" t="str">
        <f t="shared" si="824"/>
        <v xml:space="preserve"> </v>
      </c>
      <c r="BQ259" s="347" t="str">
        <f t="shared" si="747"/>
        <v xml:space="preserve"> </v>
      </c>
      <c r="BR259" s="353" t="str">
        <f t="shared" si="748"/>
        <v xml:space="preserve"> </v>
      </c>
      <c r="BS259" s="626" t="str">
        <f>IF(L259&gt;0,IF(Calculation!P259="M13",BR259*3.1416*(0.134^2)/(4*144),IF(Calculation!P259="M17",BR259*3.1416*(0.165^2)/(4*144),IF(Calculation!P259="M20",BR259*3.1416*(0.198^2)/(4*144),IF(Calculation!P259="M23",BR259*3.1416*(0.228^2)/(4*144),IF(Calculation!P259="M27",BR259*3.1416*(0.269^2)/(4*144),BR259*3.1416*(0.307^2)/(4*144))))))," ")</f>
        <v xml:space="preserve"> </v>
      </c>
      <c r="BT259" s="353" t="str">
        <f>IF(L259&gt;0,IF(BS259&gt;0,R259/Calculation!BS259,0)," ")</f>
        <v xml:space="preserve"> </v>
      </c>
      <c r="BU259" s="438" t="e">
        <f t="shared" ca="1" si="656"/>
        <v>#VALUE!</v>
      </c>
      <c r="BV259" s="449" t="e">
        <f ca="1">INDEX(INDIRECT(VLOOKUP(LEFT(BO259,7),CLU!$Z$3:$AH$18,2)),GN259,GR259)</f>
        <v>#N/A</v>
      </c>
      <c r="BW259" s="433" t="e">
        <f ca="1">INDEX(INDIRECT(VLOOKUP(LEFT(BO259,7),CLU!$Z$3:$AH$18,3)),GN259,GR259)</f>
        <v>#N/A</v>
      </c>
      <c r="BX259" s="433" t="e">
        <f ca="1">INDEX(INDIRECT(VLOOKUP(LEFT(BO259,7),CLU!$Z$3:$AH$18,4)),GN259,GR259)</f>
        <v>#N/A</v>
      </c>
      <c r="BY259" s="433" t="e">
        <f ca="1">INDEX(INDIRECT(VLOOKUP(LEFT(BO259,7),CLU!$Z$3:$AH$18,9)),((M259-2)*(6-COUNTBLANK(GT259:GY259)))+GJ259)</f>
        <v>#N/A</v>
      </c>
      <c r="BZ259" s="426" t="e">
        <f t="shared" ca="1" si="749"/>
        <v>#N/A</v>
      </c>
      <c r="CA259" s="424" t="e">
        <f t="shared" ca="1" si="750"/>
        <v>#N/A</v>
      </c>
      <c r="CB259" s="429" t="e">
        <f ca="1">INDEX(INDIRECT(VLOOKUP(LEFT(BO259,7),CLU!$Z$3:$AH$18,2)),GN259,GS259)</f>
        <v>#N/A</v>
      </c>
      <c r="CC259" s="342" t="e">
        <f ca="1">INDEX(INDIRECT(VLOOKUP(LEFT(BO259,7),CLU!$Z$3:$AH$18,3)),GN259,GS259)</f>
        <v>#N/A</v>
      </c>
      <c r="CD259" s="342" t="e">
        <f ca="1">INDEX(INDIRECT(VLOOKUP(LEFT(BO259,7),CLU!$Z$3:$AH$18,4)),GN259,GS259)</f>
        <v>#N/A</v>
      </c>
      <c r="CE259" s="426" t="e">
        <f t="shared" ca="1" si="751"/>
        <v>#N/A</v>
      </c>
      <c r="CF259" s="440">
        <f t="shared" si="752"/>
        <v>0</v>
      </c>
      <c r="CG259" s="431" t="e">
        <f ca="1">INDEX(INDIRECT(VLOOKUP(LEFT(BO259,7),CLU!$Z$3:$AH$18,2)),GQ259,GR259)</f>
        <v>#N/A</v>
      </c>
      <c r="CH259" s="431" t="e">
        <f ca="1">INDEX(INDIRECT(VLOOKUP(LEFT(BO259,7),CLU!$Z$3:$AH$18,3)),GQ259,GR259)</f>
        <v>#N/A</v>
      </c>
      <c r="CI259" s="431" t="e">
        <f ca="1">INDEX(INDIRECT(VLOOKUP(LEFT(BO259,7),CLU!$Z$3:$AH$18,4)),GQ259,GR259)</f>
        <v>#N/A</v>
      </c>
      <c r="CJ259" s="448" t="e">
        <f t="shared" ca="1" si="753"/>
        <v>#N/A</v>
      </c>
      <c r="CK259" s="431" t="e">
        <f t="shared" ca="1" si="754"/>
        <v>#N/A</v>
      </c>
      <c r="CL259" s="440" t="e">
        <f t="shared" ca="1" si="755"/>
        <v>#N/A</v>
      </c>
      <c r="CM259" s="431" t="e">
        <f ca="1">INDEX(INDIRECT(VLOOKUP(LEFT(BO259,7),CLU!$Z$3:$AH$18,2)),GQ259,GS259)</f>
        <v>#N/A</v>
      </c>
      <c r="CN259" s="431" t="e">
        <f ca="1">INDEX(INDIRECT(VLOOKUP(LEFT(BO259,7),CLU!$Z$3:$AH$18,3)),GQ259,GS259)</f>
        <v>#N/A</v>
      </c>
      <c r="CO259" s="431" t="e">
        <f ca="1">INDEX(INDIRECT(VLOOKUP(LEFT(BO259,7),CLU!$Z$3:$AH$18,4)),GQ259,GS259)</f>
        <v>#N/A</v>
      </c>
      <c r="CP259" s="431" t="e">
        <f t="shared" ca="1" si="756"/>
        <v>#N/A</v>
      </c>
      <c r="CQ259" s="440">
        <f t="shared" si="757"/>
        <v>0</v>
      </c>
      <c r="CR259" s="51" t="e">
        <f t="shared" ca="1" si="758"/>
        <v>#N/A</v>
      </c>
      <c r="CS259" s="439" t="e">
        <f t="shared" ca="1" si="759"/>
        <v>#VALUE!</v>
      </c>
      <c r="CT259" s="51" t="e">
        <f t="shared" ca="1" si="760"/>
        <v>#VALUE!</v>
      </c>
      <c r="CU259" s="10"/>
      <c r="CV259" s="51" t="e">
        <f t="shared" ca="1" si="657"/>
        <v>#VALUE!</v>
      </c>
      <c r="CW259" s="51">
        <f t="shared" si="761"/>
        <v>0</v>
      </c>
      <c r="CX259" s="439" t="e">
        <f t="shared" ca="1" si="762"/>
        <v>#VALUE!</v>
      </c>
      <c r="CY259" s="51" t="e">
        <f t="shared" ca="1" si="763"/>
        <v>#VALUE!</v>
      </c>
      <c r="CZ259" s="10"/>
      <c r="DA259" s="51" t="e">
        <f t="shared" ca="1" si="764"/>
        <v>#VALUE!</v>
      </c>
      <c r="DB259" s="347" t="e">
        <f ca="1">INDEX(INDIRECT(VLOOKUP(LEFT(BO259,7),CLU!$Z$3:$AI$18,10)),((M259-2)*(6-COUNTBLANK(GT259:GY259)))+GJ259)*LI259</f>
        <v>#N/A</v>
      </c>
      <c r="DC259" s="347" t="str">
        <f>IF(L259&gt;0,((R259/Worksheet!$I$15)/DB259)^2," ")</f>
        <v xml:space="preserve"> </v>
      </c>
      <c r="DD259" s="602" t="str">
        <f t="shared" si="765"/>
        <v xml:space="preserve"> </v>
      </c>
      <c r="DE259" s="347" t="str">
        <f t="shared" si="658"/>
        <v xml:space="preserve"> </v>
      </c>
      <c r="DF259" s="356" t="e">
        <f ca="1">INDEX(INDIRECT(VLOOKUP(LEFT(BO259,7),CLU!$Z$3:$AH$18,8)),((M259-2)*(6-COUNTBLANK(GT259:GY259)))+GJ259)</f>
        <v>#N/A</v>
      </c>
      <c r="DG259" s="347" t="str">
        <f t="shared" si="659"/>
        <v xml:space="preserve"> </v>
      </c>
      <c r="DH259" s="357" t="str">
        <f t="shared" si="660"/>
        <v xml:space="preserve"> </v>
      </c>
      <c r="DI259" s="355" t="str">
        <f t="shared" si="661"/>
        <v xml:space="preserve"> </v>
      </c>
      <c r="DJ259" s="245" t="e">
        <f ca="1">INDEX(INDIRECT(VLOOKUP(LEFT(BO259,7),CLU!$Z$3:$AH$18,5)),GL259,GK259)</f>
        <v>#N/A</v>
      </c>
      <c r="DK259" s="245" t="e">
        <f ca="1">INDEX(INDIRECT(VLOOKUP(LEFT(BO259,7),CLU!$Z$3:$AH$18,6)),GL259,GK259)</f>
        <v>#N/A</v>
      </c>
      <c r="DL259" s="355">
        <f>(Calculation!R259*0.69143*(Calculation!$BQ$8-Calculation!$F$8))*$S$14</f>
        <v>0</v>
      </c>
      <c r="DM259" s="359" t="e">
        <f t="shared" si="766"/>
        <v>#VALUE!</v>
      </c>
      <c r="DN259" s="611">
        <f t="shared" si="767"/>
        <v>0</v>
      </c>
      <c r="DO259" s="359">
        <f t="shared" si="768"/>
        <v>100</v>
      </c>
      <c r="DP259" s="359">
        <f t="shared" si="769"/>
        <v>0</v>
      </c>
      <c r="DQ259" s="360"/>
      <c r="DR259" s="245" t="e">
        <f ca="1">INDEX(INDIRECT(VLOOKUP(LEFT(BO259,7),CLU!$Z$3:$AH$18,7)),M259-1,1)</f>
        <v>#N/A</v>
      </c>
      <c r="DS259" s="245" t="e">
        <f ca="1">INDEX(INDIRECT(VLOOKUP(LEFT(BO259,7),CLU!$Z$3:$AH$18,7)),M259-1,2)</f>
        <v>#N/A</v>
      </c>
      <c r="DT259" s="245" t="e">
        <f ca="1">INDEX(INDIRECT(VLOOKUP(LEFT(BO259,7),CLU!$Z$3:$AH$18,7)),M259-1,3)</f>
        <v>#N/A</v>
      </c>
      <c r="DU259" s="245" t="e">
        <f ca="1">INDEX(INDIRECT(VLOOKUP(LEFT(BO259,7),CLU!$Z$3:$AH$18,7)),M259-1,4)</f>
        <v>#N/A</v>
      </c>
      <c r="DV259" s="361" t="e">
        <f ca="1">INDEX(INDIRECT(VLOOKUP(LEFT(BO259,7),CLU!$Z$3:$AH$18,7)),M259-1,4+LEFT(DZ259,1)*0.5)</f>
        <v>#N/A</v>
      </c>
      <c r="DW259" s="245" t="e">
        <f ca="1">INDEX(INDIRECT(VLOOKUP(LEFT(BO259,7),CLU!$Z$3:$AH$18,7)),M259-1,8)</f>
        <v>#N/A</v>
      </c>
      <c r="DX259" s="361" t="str">
        <f t="shared" si="662"/>
        <v xml:space="preserve"> </v>
      </c>
      <c r="DY259" s="361" t="str">
        <f t="shared" si="663"/>
        <v xml:space="preserve"> </v>
      </c>
      <c r="DZ259" s="361" t="str">
        <f t="shared" si="664"/>
        <v xml:space="preserve"> </v>
      </c>
      <c r="EA259" s="362" t="str">
        <f t="shared" si="665"/>
        <v xml:space="preserve"> </v>
      </c>
      <c r="EB259" s="624" t="str">
        <f t="shared" si="770"/>
        <v xml:space="preserve"> </v>
      </c>
      <c r="EC259" s="361" t="e">
        <f ca="1">INDEX(INDIRECT(VLOOKUP(LEFT(BO259,7),CLU!$Z$3:$AH$18,7)),M259-1,4+LEFT(DZ259,1)*0.5)</f>
        <v>#N/A</v>
      </c>
      <c r="ED259" s="362" t="str">
        <f t="shared" si="666"/>
        <v xml:space="preserve"> </v>
      </c>
      <c r="EE259" s="361" t="str">
        <f t="shared" si="667"/>
        <v xml:space="preserve"> </v>
      </c>
      <c r="EF259" s="362" t="str">
        <f>IF(L259&gt;0,IF(BR259&gt;0,IF(EE259="2P",IF(Calculation!DZ259="2P",IF(Calculation!DS259=13.75,IF(Calculation!DR259=13,Worksheet!$BD$43,IF(Calculation!DR259=37,Worksheet!$BD$44,Worksheet!$BD$45)),IF(Calculation!DS259=10,IF(Calculation!DR259=18,Worksheet!$BD$29,IF(Calculation!DR259=30,Worksheet!$BD$30,IF(Calculation!DR259=42,Worksheet!$BD$31,IF(Calculation!DR259=54,Worksheet!$BD$32,IF(Calculation!DR259=66,Worksheet!$BD$33,IF(Calculation!DR259=78,Worksheet!$BD$34,IF(Calculation!DR259=90,Worksheet!$BD$35,IF(Calculation!DR259=102,Worksheet!$BD$36,Worksheet!$BD$37)))))))),IF(Calculation!DS259=12.5,IF(Calculation!DR259=18,Worksheet!$BD$38,IF(Calculation!DR259=Worksheet!$BD$39,IF(Calculation!DR259=42,Worksheet!$BD$40,IF(Calculation!DR259=54,Worksheet!$BD$41,Worksheet!$BD$42)))),IF(Calculation!DR259=18,Worksheet!$BD$11,IF(Calculation!DR259=30,Worksheet!$BD$12,IF(Calculation!DR259=42,Worksheet!$BD$13,IF(Calculation!DR259=54,Worksheet!$BD$14,IF(Calculation!DR259=66,Worksheet!$BD$15,IF(Calculation!DR259=78,Worksheet!$BD$16,IF(Calculation!DR259=90,Worksheet!$BD$17,IF(Calculation!DR259=102,Worksheet!$BD$18,Worksheet!$BD$19))))))))))),IF(Calculation!DS259=13.75,IF(Calculation!DR259=13,Worksheet!$BD$78,IF(Calculation!DR259=37,Worksheet!$BD$79,Worksheet!$BD$80)),IF(Calculation!DS259=10,IF(Calculation!DR259=18,Worksheet!$BD$64,IF(Calculation!DR259=30,Worksheet!$BD$65,IF(Calculation!DR259=42,Worksheet!$BD$66,IF(Calculation!DR259=54,Worksheet!$BD$68,IF(Calculation!DR259=66,Worksheet!$BD$68,IF(Calculation!DR259=78,Worksheet!$BD$69,IF(Calculation!DR259=90,Worksheet!$BD$70,IF(Calculation!DR259=102,Worksheet!$BD$71,Worksheet!$BD$72)))))))),IF(Calculation!DS259=12.5,IF(Calculation!DR259=18,Worksheet!$BD$73,IF(Calculation!DR259=Worksheet!$BD$74,IF(Calculation!DR259=42,Worksheet!$BD$75,IF(Calculation!DR259=54,Worksheet!$BD$76,Worksheet!$BD$77)))),IF(Calculation!DR259=18,Worksheet!$BD$55,IF(Calculation!DR259=30,Worksheet!$BD$56,IF(Calculation!DR259=42,Worksheet!$BD$57,IF(Calculation!DR259=54,Worksheet!$BD$58,IF(Calculation!DR259=66,Worksheet!$BD$59,IF(Calculation!DR259=78,Worksheet!$BD$60,IF(Calculation!DR259=90,Worksheet!$BD$61,IF(Calculation!DR259=102,Worksheet!$BD$62,Worksheet!$BD$63)))))))))))),5),0)," ")</f>
        <v xml:space="preserve"> </v>
      </c>
      <c r="EG259" s="361" t="str">
        <f t="shared" si="668"/>
        <v xml:space="preserve"> </v>
      </c>
      <c r="EH259" s="361" t="e">
        <f ca="1">INDEX(INDIRECT(VLOOKUP(LEFT(BO259,7),CLU!$Z$3:$AH$18,7)),M259-1,3+LEFT(DZ259,1))</f>
        <v>#N/A</v>
      </c>
      <c r="EI259" s="362" t="str">
        <f t="shared" si="669"/>
        <v xml:space="preserve"> </v>
      </c>
      <c r="EJ259" s="363" t="str">
        <f t="shared" si="670"/>
        <v xml:space="preserve"> </v>
      </c>
      <c r="EK259" s="363" t="str">
        <f t="shared" si="671"/>
        <v xml:space="preserve"> </v>
      </c>
      <c r="EL259" s="363" t="str">
        <f t="shared" si="672"/>
        <v xml:space="preserve"> </v>
      </c>
      <c r="EM259" s="362" t="str">
        <f>IF(L259&gt;0,IF(BR259&gt;0,(Calculation!T259/ED259)^2,0)," ")</f>
        <v xml:space="preserve"> </v>
      </c>
      <c r="EN259" s="362" t="str">
        <f>IF(L259&gt;0,IF(O259="2 Pipe (Cooling)","N/A",IF(BR259&gt;0,(Calculation!U259/EI259)^2,0))," ")</f>
        <v xml:space="preserve"> </v>
      </c>
      <c r="EO259" s="361" t="str">
        <f t="shared" si="673"/>
        <v/>
      </c>
      <c r="EP259" s="361" t="str">
        <f t="shared" si="674"/>
        <v/>
      </c>
      <c r="EQ259" s="361" t="str">
        <f t="shared" si="675"/>
        <v/>
      </c>
      <c r="ER259" s="361" t="str">
        <f t="shared" si="676"/>
        <v/>
      </c>
      <c r="ES259" s="361" t="str">
        <f t="shared" si="677"/>
        <v/>
      </c>
      <c r="ET259" s="361" t="str">
        <f t="shared" si="678"/>
        <v/>
      </c>
      <c r="EU259" s="361" t="str">
        <f t="shared" si="679"/>
        <v/>
      </c>
      <c r="EV259" s="361" t="str">
        <f t="shared" si="680"/>
        <v/>
      </c>
      <c r="EW259" s="361" t="str">
        <f t="shared" si="681"/>
        <v/>
      </c>
      <c r="EX259" s="361" t="str">
        <f t="shared" si="771"/>
        <v>1 slot, 1 way</v>
      </c>
      <c r="EY259" s="361" t="str">
        <f t="shared" si="772"/>
        <v xml:space="preserve"> </v>
      </c>
      <c r="EZ259" s="361" t="str">
        <f t="shared" si="773"/>
        <v xml:space="preserve"> </v>
      </c>
      <c r="FA259" s="361" t="str">
        <f t="shared" si="774"/>
        <v xml:space="preserve"> </v>
      </c>
      <c r="FB259" s="361" t="str">
        <f t="shared" si="775"/>
        <v xml:space="preserve"> </v>
      </c>
      <c r="FC259" s="361"/>
      <c r="FD259" s="361" t="str">
        <f>IF(J259&gt;0,IF(Calculation!R259&lt;=70,4,IF(Calculation!R259&lt;=110,5,IF(Calculation!R259&lt;=160,6,IF(Calculation!R259&lt;=300,8,"10 EO")))),"")</f>
        <v/>
      </c>
      <c r="FE259" s="361" t="str">
        <f t="shared" si="776"/>
        <v/>
      </c>
      <c r="FF259" s="361" t="str">
        <f t="shared" si="777"/>
        <v/>
      </c>
      <c r="FG259" s="361" t="e">
        <f t="shared" si="682"/>
        <v>#N/A</v>
      </c>
      <c r="FH259" s="361">
        <f t="shared" si="683"/>
        <v>0</v>
      </c>
      <c r="FI259" s="361" t="e">
        <f t="shared" si="684"/>
        <v>#DIV/0!</v>
      </c>
      <c r="FJ259" s="361"/>
      <c r="FK259" s="356" t="e">
        <f t="shared" si="685"/>
        <v>#VALUE!</v>
      </c>
      <c r="FL259" s="361"/>
      <c r="FM259" s="361"/>
      <c r="FN259" s="362" t="str">
        <f t="shared" si="778"/>
        <v xml:space="preserve"> </v>
      </c>
      <c r="FO259" s="362" t="str">
        <f t="shared" si="779"/>
        <v xml:space="preserve"> </v>
      </c>
      <c r="FP259" s="362">
        <f t="shared" si="780"/>
        <v>0</v>
      </c>
      <c r="FQ259" s="361">
        <f t="shared" si="686"/>
        <v>0</v>
      </c>
      <c r="FR259" s="362" t="str">
        <f>IF(L259&gt;0,IF(J259="CBAL2",Worksheet!$P$67,IF(J259="CBE2-24",Worksheet!$Q$67,IF(J259="CBAM",Worksheet!$R$67,IF(J259="CBLV",Worksheet!$S$67,IF(J259="CBAB",Worksheet!$U$67,IF(J259="CBAW",Worksheet!$X$67,IF(J259="CBE2-12",Worksheet!$Y$67,IF(J259="CBAL2",Worksheet!$Z$67,"N/A"))))))))," ")</f>
        <v xml:space="preserve"> </v>
      </c>
      <c r="FS259" s="362" t="str">
        <f>IF(L259&gt;0,IF(J259="CBAL2",Worksheet!$P$68,IF(J259="CBE2-24",Worksheet!$Q$68,IF(J259="CBAM",Worksheet!$R$68,IF(J259="CBLV",Worksheet!$S$68,IF(J259="CBAB",Worksheet!$U$68,IF(J259="CBAW",Worksheet!$X$68,IF(J259="CBE2-12",Worksheet!$Y$68,IF(J259="CBAL2",Worksheet!$Z$68,"N/A"))))))))," ")</f>
        <v xml:space="preserve"> </v>
      </c>
      <c r="FT259" s="362" t="str">
        <f>IF(L259&gt;0,IF(J259="CBAL2",Worksheet!$P$69,IF(J259="CBE2-24",Worksheet!$Q$69,IF(J259="CBAM",Worksheet!$R$69,IF(J259="CBLV",Worksheet!$S$69,IF(J259="CBAB",Worksheet!$U$69,IF(J259="CBAW",Worksheet!$X$69,IF(J259="CBE2-12",Worksheet!$Y$69,IF(J259="CBAL2",Worksheet!$Z$69,"N/A"))))))))," ")</f>
        <v xml:space="preserve"> </v>
      </c>
      <c r="FU259" s="361" t="str">
        <f t="shared" si="781"/>
        <v xml:space="preserve"> </v>
      </c>
      <c r="FV259" s="362" t="str">
        <f t="shared" si="782"/>
        <v xml:space="preserve"> </v>
      </c>
      <c r="FW259" s="362" t="str">
        <f t="shared" si="783"/>
        <v xml:space="preserve"> </v>
      </c>
      <c r="FX259" s="362" t="str">
        <f t="shared" si="784"/>
        <v xml:space="preserve"> </v>
      </c>
      <c r="FY259" s="355" t="str">
        <f t="shared" si="785"/>
        <v xml:space="preserve"> </v>
      </c>
      <c r="FZ259" s="361" t="str">
        <f t="shared" si="786"/>
        <v xml:space="preserve"> </v>
      </c>
      <c r="GA259" s="347" t="str">
        <f t="shared" si="787"/>
        <v xml:space="preserve"> </v>
      </c>
      <c r="GB259" s="355" t="str">
        <f t="shared" si="788"/>
        <v xml:space="preserve"> </v>
      </c>
      <c r="GC259" s="328" t="str">
        <f t="shared" si="789"/>
        <v xml:space="preserve"> </v>
      </c>
      <c r="GD259" s="361" t="str">
        <f t="shared" si="790"/>
        <v xml:space="preserve"> </v>
      </c>
      <c r="GE259" s="347" t="str">
        <f t="shared" si="791"/>
        <v xml:space="preserve"> </v>
      </c>
      <c r="GF259" s="361" t="str">
        <f t="shared" si="792"/>
        <v xml:space="preserve"> </v>
      </c>
      <c r="GG259" s="347" t="str">
        <f t="shared" si="793"/>
        <v xml:space="preserve"> </v>
      </c>
      <c r="GH259" s="364">
        <f t="shared" si="687"/>
        <v>0</v>
      </c>
      <c r="GI259" s="362">
        <f t="shared" si="794"/>
        <v>2</v>
      </c>
      <c r="GJ259" s="433" t="e">
        <f>IF(6-COUNTBLANK(GT259:GY259)=4,MATCH(MID(BO259,9,3),CLU!$H$16:$K$16),MATCH(MID(BO259,9,3),CLU!$H$13:$M$13))</f>
        <v>#N/A</v>
      </c>
      <c r="GK259" s="433" t="e">
        <f>HLOOKUP(VALUE(BP259),CLU!$H$9:$M$10,2)</f>
        <v>#VALUE!</v>
      </c>
      <c r="GL259" s="433" t="e">
        <f ca="1">MATCH(BU259,CLU!$H$2:$V$2,1)</f>
        <v>#VALUE!</v>
      </c>
      <c r="GM259" s="433" t="e">
        <f t="shared" ca="1" si="795"/>
        <v>#VALUE!</v>
      </c>
      <c r="GN259" s="433" t="e">
        <f t="shared" ca="1" si="796"/>
        <v>#VALUE!</v>
      </c>
      <c r="GO259" s="433" t="e">
        <f t="shared" ca="1" si="797"/>
        <v>#VALUE!</v>
      </c>
      <c r="GP259" s="433" t="e">
        <f t="shared" ca="1" si="798"/>
        <v>#VALUE!</v>
      </c>
      <c r="GQ259" s="433" t="e">
        <f t="shared" ca="1" si="799"/>
        <v>#VALUE!</v>
      </c>
      <c r="GR259" s="433" t="e">
        <f ca="1">MATCH(T259,INDIRECT(VLOOKUP(CONCATENATE(LEFT(BO259,7),"-",MID(BO259,13,1)),CLU!$P$3:$Q$16,2)),1)</f>
        <v>#N/A</v>
      </c>
      <c r="GS259" s="433" t="e">
        <f ca="1">MATCH(U259,INDIRECT(VLOOKUP(CONCATENATE(LEFT(BO259,7),"-",MID(BO259,13,1)),CLU!$P$3:$Q$16,2)),1)</f>
        <v>#N/A</v>
      </c>
      <c r="GT259" s="347" t="s">
        <v>512</v>
      </c>
      <c r="GU259" s="97" t="s">
        <v>513</v>
      </c>
      <c r="GV259" s="97" t="str">
        <f t="shared" si="800"/>
        <v>M23</v>
      </c>
      <c r="GW259" s="97" t="str">
        <f t="shared" si="801"/>
        <v>M31</v>
      </c>
      <c r="GX259" s="97" t="str">
        <f t="shared" si="802"/>
        <v/>
      </c>
      <c r="GY259" s="97" t="str">
        <f t="shared" si="803"/>
        <v/>
      </c>
      <c r="GZ259" s="481"/>
      <c r="HA259" s="240"/>
      <c r="HB259" s="240"/>
      <c r="HC259" s="240"/>
      <c r="HD259" s="240"/>
      <c r="HE259" s="240"/>
      <c r="HF259" s="240"/>
      <c r="HG259" s="240"/>
      <c r="HH259" s="240"/>
      <c r="HI259" s="240"/>
      <c r="HJ259" s="240"/>
      <c r="HK259" s="240"/>
      <c r="HL259" s="240"/>
      <c r="HM259" s="240"/>
      <c r="HN259" s="240"/>
      <c r="HO259" s="240"/>
      <c r="HP259" s="240"/>
      <c r="HQ259" s="240"/>
      <c r="HR259" s="240"/>
      <c r="HS259" s="240"/>
      <c r="HT259" s="240"/>
      <c r="HU259" s="240"/>
      <c r="HV259" s="245"/>
      <c r="HW259" s="245" t="b">
        <v>1</v>
      </c>
      <c r="HX259" s="245" t="str">
        <f t="shared" si="688"/>
        <v/>
      </c>
      <c r="HY259" s="245" t="e">
        <f t="shared" si="689"/>
        <v>#DIV/0!</v>
      </c>
      <c r="HZ259" s="245" t="e">
        <f t="shared" si="690"/>
        <v>#DIV/0!</v>
      </c>
      <c r="IA259" s="245">
        <f t="shared" si="691"/>
        <v>0</v>
      </c>
      <c r="IB259" s="245"/>
      <c r="IC259" t="b">
        <f t="shared" si="692"/>
        <v>1</v>
      </c>
      <c r="ID259" s="245" t="b">
        <f t="shared" si="693"/>
        <v>1</v>
      </c>
      <c r="IE259" s="245" t="b">
        <f t="shared" si="694"/>
        <v>1</v>
      </c>
      <c r="IF259" s="245" t="b">
        <f t="shared" si="695"/>
        <v>0</v>
      </c>
      <c r="IG259" s="245" t="b">
        <f t="shared" si="696"/>
        <v>1</v>
      </c>
      <c r="IH259" s="245" t="b">
        <f t="shared" si="697"/>
        <v>1</v>
      </c>
      <c r="II259" s="245">
        <f t="shared" si="804"/>
        <v>0</v>
      </c>
      <c r="IJ259" s="245" t="e">
        <f t="shared" si="698"/>
        <v>#VALUE!</v>
      </c>
      <c r="IK259" s="245" t="e">
        <f t="shared" si="699"/>
        <v>#VALUE!</v>
      </c>
      <c r="IL259" s="245"/>
      <c r="IM259" s="245" t="e">
        <f t="shared" si="805"/>
        <v>#N/A</v>
      </c>
      <c r="IN259" s="245" t="e">
        <f t="shared" si="806"/>
        <v>#N/A</v>
      </c>
      <c r="IO259" s="245"/>
      <c r="IP259" s="245"/>
      <c r="IQ259" s="245" t="str">
        <f t="shared" si="700"/>
        <v/>
      </c>
      <c r="IR259" s="245" t="str">
        <f>IF(J259="","",VLOOKUP(J259,Worksheet!$R$4:$T$14,2))</f>
        <v/>
      </c>
      <c r="IS259" s="245"/>
      <c r="IT259" s="245">
        <f t="shared" si="701"/>
        <v>0</v>
      </c>
      <c r="IU259" s="245">
        <f t="shared" si="702"/>
        <v>0</v>
      </c>
      <c r="IV259" s="245">
        <f t="shared" si="703"/>
        <v>0</v>
      </c>
      <c r="IW259" s="245">
        <f t="shared" si="704"/>
        <v>0</v>
      </c>
      <c r="IX259" s="245">
        <f t="shared" si="807"/>
        <v>0</v>
      </c>
      <c r="IY259" s="245">
        <f t="shared" si="705"/>
        <v>0</v>
      </c>
      <c r="IZ259" s="245">
        <f t="shared" si="706"/>
        <v>0</v>
      </c>
      <c r="JA259">
        <f t="shared" si="707"/>
        <v>0</v>
      </c>
      <c r="JB259">
        <f t="shared" si="808"/>
        <v>0</v>
      </c>
      <c r="JC259">
        <f t="shared" si="708"/>
        <v>0</v>
      </c>
      <c r="JD259">
        <f t="shared" si="709"/>
        <v>0</v>
      </c>
      <c r="JE259">
        <f t="shared" si="710"/>
        <v>0</v>
      </c>
      <c r="JF259">
        <f t="shared" si="711"/>
        <v>0</v>
      </c>
      <c r="JG259">
        <f t="shared" si="712"/>
        <v>0</v>
      </c>
      <c r="JH259">
        <f t="shared" si="713"/>
        <v>0</v>
      </c>
      <c r="JI259">
        <f t="shared" si="714"/>
        <v>0</v>
      </c>
      <c r="JJ259" s="447">
        <f t="shared" si="715"/>
        <v>0</v>
      </c>
      <c r="JK259" s="447">
        <f t="shared" si="716"/>
        <v>0</v>
      </c>
      <c r="JL259">
        <f t="shared" si="717"/>
        <v>0</v>
      </c>
      <c r="JM259" s="245" t="str">
        <f>IFERROR(VLOOKUP(MATCH(BN259,#REF!,0),#REF!,7),"")</f>
        <v/>
      </c>
      <c r="JN259" t="e">
        <f>HLOOKUP(LEFT(BO259,7),Discharge_Area,MATCH(JO259,LookUps!$B$130:$B$149,1)+2)</f>
        <v>#N/A</v>
      </c>
      <c r="JO259" t="str">
        <f t="shared" si="718"/>
        <v>- S</v>
      </c>
      <c r="JP259" t="e">
        <f>HLOOKUP(LEFT(BO259,7),Discharge_Area,MATCH(JO259,LookUps!$B$130:$B$149,1)+2)</f>
        <v>#N/A</v>
      </c>
      <c r="JQ259" t="e">
        <f t="shared" si="719"/>
        <v>#N/A</v>
      </c>
      <c r="JR259" t="e">
        <f t="shared" si="720"/>
        <v>#N/A</v>
      </c>
      <c r="JS259" t="e">
        <f t="shared" si="721"/>
        <v>#N/A</v>
      </c>
      <c r="JT259" s="532" t="str">
        <f t="shared" si="722"/>
        <v xml:space="preserve"> </v>
      </c>
      <c r="JU259" s="532" t="str">
        <f t="shared" si="723"/>
        <v xml:space="preserve"> </v>
      </c>
      <c r="JV259" s="533" t="str">
        <f t="shared" si="724"/>
        <v xml:space="preserve"> </v>
      </c>
      <c r="JW259" s="534">
        <f t="shared" si="725"/>
        <v>0</v>
      </c>
      <c r="JX259" s="535" t="str">
        <f t="shared" si="809"/>
        <v xml:space="preserve"> </v>
      </c>
      <c r="JY259" s="535" t="str">
        <f t="shared" si="810"/>
        <v xml:space="preserve"> </v>
      </c>
      <c r="JZ259" s="535" t="str">
        <f t="shared" si="811"/>
        <v xml:space="preserve"> </v>
      </c>
      <c r="KA259" s="536" t="str">
        <f t="shared" si="726"/>
        <v xml:space="preserve"> </v>
      </c>
      <c r="KB259" s="535" t="e">
        <f t="shared" si="812"/>
        <v>#VALUE!</v>
      </c>
      <c r="KC259" s="535" t="str">
        <f t="shared" si="727"/>
        <v/>
      </c>
      <c r="KD259" s="537" t="str">
        <f t="shared" si="813"/>
        <v xml:space="preserve"> </v>
      </c>
      <c r="KE259" s="537" t="str">
        <f t="shared" si="814"/>
        <v xml:space="preserve"> </v>
      </c>
      <c r="KF259" s="534">
        <f t="shared" si="728"/>
        <v>0</v>
      </c>
      <c r="KG259" s="535" t="str">
        <f t="shared" si="729"/>
        <v xml:space="preserve"> </v>
      </c>
      <c r="KH259" s="535" t="str">
        <f t="shared" si="730"/>
        <v xml:space="preserve"> </v>
      </c>
      <c r="KI259" s="535" t="str">
        <f t="shared" si="731"/>
        <v xml:space="preserve"> </v>
      </c>
      <c r="KJ259" s="536" t="str">
        <f t="shared" si="732"/>
        <v xml:space="preserve"> </v>
      </c>
      <c r="KK259" s="535" t="str">
        <f t="shared" si="815"/>
        <v xml:space="preserve"> </v>
      </c>
      <c r="KL259" s="535" t="str">
        <f t="shared" si="816"/>
        <v xml:space="preserve"> </v>
      </c>
      <c r="KM259" s="537" t="str">
        <f t="shared" si="733"/>
        <v xml:space="preserve"> </v>
      </c>
      <c r="KN259" s="537" t="str">
        <f t="shared" si="817"/>
        <v xml:space="preserve"> </v>
      </c>
      <c r="KP259">
        <f t="shared" si="734"/>
        <v>0</v>
      </c>
      <c r="LA259" t="e">
        <f t="shared" si="735"/>
        <v>#VALUE!</v>
      </c>
      <c r="LB259" t="e">
        <f t="shared" si="736"/>
        <v>#VALUE!</v>
      </c>
      <c r="LC259" t="e">
        <f t="shared" si="737"/>
        <v>#VALUE!</v>
      </c>
      <c r="LD259" t="e">
        <f t="shared" si="738"/>
        <v>#VALUE!</v>
      </c>
      <c r="LE259" t="e">
        <f t="shared" si="818"/>
        <v>#VALUE!</v>
      </c>
      <c r="LF259">
        <f t="shared" si="739"/>
        <v>0</v>
      </c>
      <c r="LG259" t="e">
        <f t="shared" si="819"/>
        <v>#VALUE!</v>
      </c>
      <c r="LH259" t="str">
        <f t="shared" si="740"/>
        <v xml:space="preserve"> </v>
      </c>
      <c r="LI259">
        <f t="shared" si="820"/>
        <v>1</v>
      </c>
    </row>
    <row r="260" spans="2:321" ht="15" customHeight="1">
      <c r="B260" s="311"/>
      <c r="C260" s="311"/>
      <c r="D260" s="312"/>
      <c r="E260" s="311"/>
      <c r="F260" s="312"/>
      <c r="G260" s="311"/>
      <c r="H260" s="311"/>
      <c r="I260" s="232"/>
      <c r="J260" s="311"/>
      <c r="K260" s="305" t="str">
        <f t="shared" si="741"/>
        <v/>
      </c>
      <c r="L260" s="313"/>
      <c r="M260" s="312"/>
      <c r="N260" s="311"/>
      <c r="O260" s="312"/>
      <c r="P260" s="311"/>
      <c r="Q260" s="305" t="str">
        <f t="shared" si="742"/>
        <v/>
      </c>
      <c r="R260" s="314"/>
      <c r="S260" s="450" t="str">
        <f t="shared" si="625"/>
        <v/>
      </c>
      <c r="T260" s="315"/>
      <c r="U260" s="315"/>
      <c r="W260" s="149" t="str">
        <f t="shared" si="626"/>
        <v xml:space="preserve"> </v>
      </c>
      <c r="X260" s="243" t="str">
        <f t="shared" si="627"/>
        <v xml:space="preserve"> </v>
      </c>
      <c r="Y260" s="150" t="str">
        <f t="shared" si="628"/>
        <v/>
      </c>
      <c r="Z260" s="149" t="str">
        <f t="shared" si="629"/>
        <v xml:space="preserve"> </v>
      </c>
      <c r="AA260" s="98" t="str">
        <f t="shared" si="630"/>
        <v xml:space="preserve"> </v>
      </c>
      <c r="AB260" s="153" t="str">
        <f t="shared" si="631"/>
        <v xml:space="preserve"> </v>
      </c>
      <c r="AC260" s="153" t="str">
        <f t="shared" si="632"/>
        <v xml:space="preserve"> </v>
      </c>
      <c r="AD260" s="148" t="str">
        <f t="shared" si="633"/>
        <v/>
      </c>
      <c r="AE260" s="149" t="str">
        <f t="shared" si="634"/>
        <v/>
      </c>
      <c r="AF260" s="151" t="str">
        <f t="shared" si="635"/>
        <v xml:space="preserve"> </v>
      </c>
      <c r="AG260" s="153" t="str">
        <f t="shared" si="636"/>
        <v xml:space="preserve"> </v>
      </c>
      <c r="AH260" s="98" t="str">
        <f t="shared" si="637"/>
        <v xml:space="preserve"> </v>
      </c>
      <c r="AI260" s="149" t="str">
        <f t="shared" si="638"/>
        <v xml:space="preserve"> </v>
      </c>
      <c r="AK260" s="144" t="str">
        <f t="shared" si="639"/>
        <v xml:space="preserve"> </v>
      </c>
      <c r="AL260" s="144"/>
      <c r="AM260" s="243" t="str">
        <f t="shared" si="640"/>
        <v xml:space="preserve"> </v>
      </c>
      <c r="AN260" s="149" t="str">
        <f t="shared" si="743"/>
        <v xml:space="preserve"> </v>
      </c>
      <c r="AO260" s="144" t="str">
        <f>IF(JB260&gt;0,IF(GI260=10,-R260*1.085*(Calculation!$F$6-Calculation!$F$13)*$S$14," "),"")</f>
        <v/>
      </c>
      <c r="AP260" s="144" t="str">
        <f t="shared" si="641"/>
        <v/>
      </c>
      <c r="AQ260" s="56" t="str">
        <f t="shared" si="642"/>
        <v/>
      </c>
      <c r="AR260" s="144" t="str">
        <f t="shared" si="643"/>
        <v/>
      </c>
      <c r="AS260" s="176" t="str">
        <f t="shared" si="644"/>
        <v/>
      </c>
      <c r="AT260" s="176" t="str">
        <f t="shared" si="744"/>
        <v xml:space="preserve"> </v>
      </c>
      <c r="AU260" s="176" t="str">
        <f t="shared" si="645"/>
        <v/>
      </c>
      <c r="AV260" s="177" t="str">
        <f t="shared" si="646"/>
        <v xml:space="preserve"> </v>
      </c>
      <c r="AW260" s="144" t="str">
        <f t="shared" si="647"/>
        <v xml:space="preserve"> </v>
      </c>
      <c r="AX260" s="144" t="str">
        <f t="shared" si="648"/>
        <v xml:space="preserve"> </v>
      </c>
      <c r="AY260" s="152" t="str">
        <f t="shared" si="649"/>
        <v xml:space="preserve"> </v>
      </c>
      <c r="AZ260" s="246" t="str">
        <f t="shared" si="650"/>
        <v/>
      </c>
      <c r="BA260" s="176" t="str">
        <f t="shared" si="651"/>
        <v xml:space="preserve"> </v>
      </c>
      <c r="BB260" s="176" t="str">
        <f t="shared" si="652"/>
        <v xml:space="preserve"> </v>
      </c>
      <c r="BC260" s="195"/>
      <c r="BD260" s="316"/>
      <c r="BE260" s="317"/>
      <c r="BF260" s="318"/>
      <c r="BG260" s="318"/>
      <c r="BH260" s="144" t="str">
        <f t="shared" si="821"/>
        <v xml:space="preserve"> </v>
      </c>
      <c r="BI260" s="176" t="str">
        <f t="shared" si="653"/>
        <v/>
      </c>
      <c r="BJ260" s="144" t="str">
        <f t="shared" si="822"/>
        <v/>
      </c>
      <c r="BK260" s="246" t="str">
        <f t="shared" si="654"/>
        <v/>
      </c>
      <c r="BL260" s="144" t="str">
        <f t="shared" si="823"/>
        <v/>
      </c>
      <c r="BM260" s="246" t="str">
        <f t="shared" si="655"/>
        <v/>
      </c>
      <c r="BN260" s="337" t="str">
        <f t="shared" si="745"/>
        <v/>
      </c>
      <c r="BO260" s="371" t="str">
        <f t="shared" si="746"/>
        <v/>
      </c>
      <c r="BP260" s="328" t="str">
        <f t="shared" si="824"/>
        <v xml:space="preserve"> </v>
      </c>
      <c r="BQ260" s="347" t="str">
        <f t="shared" si="747"/>
        <v xml:space="preserve"> </v>
      </c>
      <c r="BR260" s="353" t="str">
        <f t="shared" si="748"/>
        <v xml:space="preserve"> </v>
      </c>
      <c r="BS260" s="626" t="str">
        <f>IF(L260&gt;0,IF(Calculation!P260="M13",BR260*3.1416*(0.134^2)/(4*144),IF(Calculation!P260="M17",BR260*3.1416*(0.165^2)/(4*144),IF(Calculation!P260="M20",BR260*3.1416*(0.198^2)/(4*144),IF(Calculation!P260="M23",BR260*3.1416*(0.228^2)/(4*144),IF(Calculation!P260="M27",BR260*3.1416*(0.269^2)/(4*144),BR260*3.1416*(0.307^2)/(4*144))))))," ")</f>
        <v xml:space="preserve"> </v>
      </c>
      <c r="BT260" s="353" t="str">
        <f>IF(L260&gt;0,IF(BS260&gt;0,R260/Calculation!BS260,0)," ")</f>
        <v xml:space="preserve"> </v>
      </c>
      <c r="BU260" s="438" t="e">
        <f t="shared" ca="1" si="656"/>
        <v>#VALUE!</v>
      </c>
      <c r="BV260" s="449" t="e">
        <f ca="1">INDEX(INDIRECT(VLOOKUP(LEFT(BO260,7),CLU!$Z$3:$AH$18,2)),GN260,GR260)</f>
        <v>#N/A</v>
      </c>
      <c r="BW260" s="433" t="e">
        <f ca="1">INDEX(INDIRECT(VLOOKUP(LEFT(BO260,7),CLU!$Z$3:$AH$18,3)),GN260,GR260)</f>
        <v>#N/A</v>
      </c>
      <c r="BX260" s="433" t="e">
        <f ca="1">INDEX(INDIRECT(VLOOKUP(LEFT(BO260,7),CLU!$Z$3:$AH$18,4)),GN260,GR260)</f>
        <v>#N/A</v>
      </c>
      <c r="BY260" s="433" t="e">
        <f ca="1">INDEX(INDIRECT(VLOOKUP(LEFT(BO260,7),CLU!$Z$3:$AH$18,9)),((M260-2)*(6-COUNTBLANK(GT260:GY260)))+GJ260)</f>
        <v>#N/A</v>
      </c>
      <c r="BZ260" s="426" t="e">
        <f t="shared" ca="1" si="749"/>
        <v>#N/A</v>
      </c>
      <c r="CA260" s="424" t="e">
        <f t="shared" ca="1" si="750"/>
        <v>#N/A</v>
      </c>
      <c r="CB260" s="429" t="e">
        <f ca="1">INDEX(INDIRECT(VLOOKUP(LEFT(BO260,7),CLU!$Z$3:$AH$18,2)),GN260,GS260)</f>
        <v>#N/A</v>
      </c>
      <c r="CC260" s="342" t="e">
        <f ca="1">INDEX(INDIRECT(VLOOKUP(LEFT(BO260,7),CLU!$Z$3:$AH$18,3)),GN260,GS260)</f>
        <v>#N/A</v>
      </c>
      <c r="CD260" s="342" t="e">
        <f ca="1">INDEX(INDIRECT(VLOOKUP(LEFT(BO260,7),CLU!$Z$3:$AH$18,4)),GN260,GS260)</f>
        <v>#N/A</v>
      </c>
      <c r="CE260" s="426" t="e">
        <f t="shared" ca="1" si="751"/>
        <v>#N/A</v>
      </c>
      <c r="CF260" s="440">
        <f t="shared" si="752"/>
        <v>0</v>
      </c>
      <c r="CG260" s="431" t="e">
        <f ca="1">INDEX(INDIRECT(VLOOKUP(LEFT(BO260,7),CLU!$Z$3:$AH$18,2)),GQ260,GR260)</f>
        <v>#N/A</v>
      </c>
      <c r="CH260" s="431" t="e">
        <f ca="1">INDEX(INDIRECT(VLOOKUP(LEFT(BO260,7),CLU!$Z$3:$AH$18,3)),GQ260,GR260)</f>
        <v>#N/A</v>
      </c>
      <c r="CI260" s="431" t="e">
        <f ca="1">INDEX(INDIRECT(VLOOKUP(LEFT(BO260,7),CLU!$Z$3:$AH$18,4)),GQ260,GR260)</f>
        <v>#N/A</v>
      </c>
      <c r="CJ260" s="448" t="e">
        <f t="shared" ca="1" si="753"/>
        <v>#N/A</v>
      </c>
      <c r="CK260" s="431" t="e">
        <f t="shared" ca="1" si="754"/>
        <v>#N/A</v>
      </c>
      <c r="CL260" s="440" t="e">
        <f t="shared" ca="1" si="755"/>
        <v>#N/A</v>
      </c>
      <c r="CM260" s="431" t="e">
        <f ca="1">INDEX(INDIRECT(VLOOKUP(LEFT(BO260,7),CLU!$Z$3:$AH$18,2)),GQ260,GS260)</f>
        <v>#N/A</v>
      </c>
      <c r="CN260" s="431" t="e">
        <f ca="1">INDEX(INDIRECT(VLOOKUP(LEFT(BO260,7),CLU!$Z$3:$AH$18,3)),GQ260,GS260)</f>
        <v>#N/A</v>
      </c>
      <c r="CO260" s="431" t="e">
        <f ca="1">INDEX(INDIRECT(VLOOKUP(LEFT(BO260,7),CLU!$Z$3:$AH$18,4)),GQ260,GS260)</f>
        <v>#N/A</v>
      </c>
      <c r="CP260" s="431" t="e">
        <f t="shared" ca="1" si="756"/>
        <v>#N/A</v>
      </c>
      <c r="CQ260" s="440">
        <f t="shared" si="757"/>
        <v>0</v>
      </c>
      <c r="CR260" s="51" t="e">
        <f t="shared" ca="1" si="758"/>
        <v>#N/A</v>
      </c>
      <c r="CS260" s="439" t="e">
        <f t="shared" ca="1" si="759"/>
        <v>#VALUE!</v>
      </c>
      <c r="CT260" s="51" t="e">
        <f t="shared" ca="1" si="760"/>
        <v>#VALUE!</v>
      </c>
      <c r="CU260" s="10"/>
      <c r="CV260" s="51" t="e">
        <f t="shared" ca="1" si="657"/>
        <v>#VALUE!</v>
      </c>
      <c r="CW260" s="51">
        <f t="shared" si="761"/>
        <v>0</v>
      </c>
      <c r="CX260" s="439" t="e">
        <f t="shared" ca="1" si="762"/>
        <v>#VALUE!</v>
      </c>
      <c r="CY260" s="51" t="e">
        <f t="shared" ca="1" si="763"/>
        <v>#VALUE!</v>
      </c>
      <c r="CZ260" s="10"/>
      <c r="DA260" s="51" t="e">
        <f t="shared" ca="1" si="764"/>
        <v>#VALUE!</v>
      </c>
      <c r="DB260" s="347" t="e">
        <f ca="1">INDEX(INDIRECT(VLOOKUP(LEFT(BO260,7),CLU!$Z$3:$AI$18,10)),((M260-2)*(6-COUNTBLANK(GT260:GY260)))+GJ260)*LI260</f>
        <v>#N/A</v>
      </c>
      <c r="DC260" s="347" t="str">
        <f>IF(L260&gt;0,((R260/Worksheet!$I$15)/DB260)^2," ")</f>
        <v xml:space="preserve"> </v>
      </c>
      <c r="DD260" s="602" t="str">
        <f t="shared" si="765"/>
        <v xml:space="preserve"> </v>
      </c>
      <c r="DE260" s="347" t="str">
        <f t="shared" si="658"/>
        <v xml:space="preserve"> </v>
      </c>
      <c r="DF260" s="356" t="e">
        <f ca="1">INDEX(INDIRECT(VLOOKUP(LEFT(BO260,7),CLU!$Z$3:$AH$18,8)),((M260-2)*(6-COUNTBLANK(GT260:GY260)))+GJ260)</f>
        <v>#N/A</v>
      </c>
      <c r="DG260" s="347" t="str">
        <f t="shared" si="659"/>
        <v xml:space="preserve"> </v>
      </c>
      <c r="DH260" s="357" t="str">
        <f t="shared" si="660"/>
        <v xml:space="preserve"> </v>
      </c>
      <c r="DI260" s="355" t="str">
        <f t="shared" si="661"/>
        <v xml:space="preserve"> </v>
      </c>
      <c r="DJ260" s="245" t="e">
        <f ca="1">INDEX(INDIRECT(VLOOKUP(LEFT(BO260,7),CLU!$Z$3:$AH$18,5)),GL260,GK260)</f>
        <v>#N/A</v>
      </c>
      <c r="DK260" s="245" t="e">
        <f ca="1">INDEX(INDIRECT(VLOOKUP(LEFT(BO260,7),CLU!$Z$3:$AH$18,6)),GL260,GK260)</f>
        <v>#N/A</v>
      </c>
      <c r="DL260" s="355">
        <f>(Calculation!R260*0.69143*(Calculation!$BQ$8-Calculation!$F$8))*$S$14</f>
        <v>0</v>
      </c>
      <c r="DM260" s="359" t="e">
        <f t="shared" si="766"/>
        <v>#VALUE!</v>
      </c>
      <c r="DN260" s="611">
        <f t="shared" si="767"/>
        <v>0</v>
      </c>
      <c r="DO260" s="359">
        <f t="shared" si="768"/>
        <v>100</v>
      </c>
      <c r="DP260" s="359">
        <f t="shared" si="769"/>
        <v>0</v>
      </c>
      <c r="DQ260" s="360"/>
      <c r="DR260" s="245" t="e">
        <f ca="1">INDEX(INDIRECT(VLOOKUP(LEFT(BO260,7),CLU!$Z$3:$AH$18,7)),M260-1,1)</f>
        <v>#N/A</v>
      </c>
      <c r="DS260" s="245" t="e">
        <f ca="1">INDEX(INDIRECT(VLOOKUP(LEFT(BO260,7),CLU!$Z$3:$AH$18,7)),M260-1,2)</f>
        <v>#N/A</v>
      </c>
      <c r="DT260" s="245" t="e">
        <f ca="1">INDEX(INDIRECT(VLOOKUP(LEFT(BO260,7),CLU!$Z$3:$AH$18,7)),M260-1,3)</f>
        <v>#N/A</v>
      </c>
      <c r="DU260" s="245" t="e">
        <f ca="1">INDEX(INDIRECT(VLOOKUP(LEFT(BO260,7),CLU!$Z$3:$AH$18,7)),M260-1,4)</f>
        <v>#N/A</v>
      </c>
      <c r="DV260" s="361" t="e">
        <f ca="1">INDEX(INDIRECT(VLOOKUP(LEFT(BO260,7),CLU!$Z$3:$AH$18,7)),M260-1,4+LEFT(DZ260,1)*0.5)</f>
        <v>#N/A</v>
      </c>
      <c r="DW260" s="245" t="e">
        <f ca="1">INDEX(INDIRECT(VLOOKUP(LEFT(BO260,7),CLU!$Z$3:$AH$18,7)),M260-1,8)</f>
        <v>#N/A</v>
      </c>
      <c r="DX260" s="361" t="str">
        <f t="shared" si="662"/>
        <v xml:space="preserve"> </v>
      </c>
      <c r="DY260" s="361" t="str">
        <f t="shared" si="663"/>
        <v xml:space="preserve"> </v>
      </c>
      <c r="DZ260" s="361" t="str">
        <f t="shared" si="664"/>
        <v xml:space="preserve"> </v>
      </c>
      <c r="EA260" s="362" t="str">
        <f t="shared" si="665"/>
        <v xml:space="preserve"> </v>
      </c>
      <c r="EB260" s="624" t="str">
        <f t="shared" si="770"/>
        <v xml:space="preserve"> </v>
      </c>
      <c r="EC260" s="361" t="e">
        <f ca="1">INDEX(INDIRECT(VLOOKUP(LEFT(BO260,7),CLU!$Z$3:$AH$18,7)),M260-1,4+LEFT(DZ260,1)*0.5)</f>
        <v>#N/A</v>
      </c>
      <c r="ED260" s="362" t="str">
        <f t="shared" si="666"/>
        <v xml:space="preserve"> </v>
      </c>
      <c r="EE260" s="361" t="str">
        <f t="shared" si="667"/>
        <v xml:space="preserve"> </v>
      </c>
      <c r="EF260" s="362" t="str">
        <f>IF(L260&gt;0,IF(BR260&gt;0,IF(EE260="2P",IF(Calculation!DZ260="2P",IF(Calculation!DS260=13.75,IF(Calculation!DR260=13,Worksheet!$BD$43,IF(Calculation!DR260=37,Worksheet!$BD$44,Worksheet!$BD$45)),IF(Calculation!DS260=10,IF(Calculation!DR260=18,Worksheet!$BD$29,IF(Calculation!DR260=30,Worksheet!$BD$30,IF(Calculation!DR260=42,Worksheet!$BD$31,IF(Calculation!DR260=54,Worksheet!$BD$32,IF(Calculation!DR260=66,Worksheet!$BD$33,IF(Calculation!DR260=78,Worksheet!$BD$34,IF(Calculation!DR260=90,Worksheet!$BD$35,IF(Calculation!DR260=102,Worksheet!$BD$36,Worksheet!$BD$37)))))))),IF(Calculation!DS260=12.5,IF(Calculation!DR260=18,Worksheet!$BD$38,IF(Calculation!DR260=Worksheet!$BD$39,IF(Calculation!DR260=42,Worksheet!$BD$40,IF(Calculation!DR260=54,Worksheet!$BD$41,Worksheet!$BD$42)))),IF(Calculation!DR260=18,Worksheet!$BD$11,IF(Calculation!DR260=30,Worksheet!$BD$12,IF(Calculation!DR260=42,Worksheet!$BD$13,IF(Calculation!DR260=54,Worksheet!$BD$14,IF(Calculation!DR260=66,Worksheet!$BD$15,IF(Calculation!DR260=78,Worksheet!$BD$16,IF(Calculation!DR260=90,Worksheet!$BD$17,IF(Calculation!DR260=102,Worksheet!$BD$18,Worksheet!$BD$19))))))))))),IF(Calculation!DS260=13.75,IF(Calculation!DR260=13,Worksheet!$BD$78,IF(Calculation!DR260=37,Worksheet!$BD$79,Worksheet!$BD$80)),IF(Calculation!DS260=10,IF(Calculation!DR260=18,Worksheet!$BD$64,IF(Calculation!DR260=30,Worksheet!$BD$65,IF(Calculation!DR260=42,Worksheet!$BD$66,IF(Calculation!DR260=54,Worksheet!$BD$68,IF(Calculation!DR260=66,Worksheet!$BD$68,IF(Calculation!DR260=78,Worksheet!$BD$69,IF(Calculation!DR260=90,Worksheet!$BD$70,IF(Calculation!DR260=102,Worksheet!$BD$71,Worksheet!$BD$72)))))))),IF(Calculation!DS260=12.5,IF(Calculation!DR260=18,Worksheet!$BD$73,IF(Calculation!DR260=Worksheet!$BD$74,IF(Calculation!DR260=42,Worksheet!$BD$75,IF(Calculation!DR260=54,Worksheet!$BD$76,Worksheet!$BD$77)))),IF(Calculation!DR260=18,Worksheet!$BD$55,IF(Calculation!DR260=30,Worksheet!$BD$56,IF(Calculation!DR260=42,Worksheet!$BD$57,IF(Calculation!DR260=54,Worksheet!$BD$58,IF(Calculation!DR260=66,Worksheet!$BD$59,IF(Calculation!DR260=78,Worksheet!$BD$60,IF(Calculation!DR260=90,Worksheet!$BD$61,IF(Calculation!DR260=102,Worksheet!$BD$62,Worksheet!$BD$63)))))))))))),5),0)," ")</f>
        <v xml:space="preserve"> </v>
      </c>
      <c r="EG260" s="361" t="str">
        <f t="shared" si="668"/>
        <v xml:space="preserve"> </v>
      </c>
      <c r="EH260" s="361" t="e">
        <f ca="1">INDEX(INDIRECT(VLOOKUP(LEFT(BO260,7),CLU!$Z$3:$AH$18,7)),M260-1,3+LEFT(DZ260,1))</f>
        <v>#N/A</v>
      </c>
      <c r="EI260" s="362" t="str">
        <f t="shared" si="669"/>
        <v xml:space="preserve"> </v>
      </c>
      <c r="EJ260" s="363" t="str">
        <f t="shared" si="670"/>
        <v xml:space="preserve"> </v>
      </c>
      <c r="EK260" s="363" t="str">
        <f t="shared" si="671"/>
        <v xml:space="preserve"> </v>
      </c>
      <c r="EL260" s="363" t="str">
        <f t="shared" si="672"/>
        <v xml:space="preserve"> </v>
      </c>
      <c r="EM260" s="362" t="str">
        <f>IF(L260&gt;0,IF(BR260&gt;0,(Calculation!T260/ED260)^2,0)," ")</f>
        <v xml:space="preserve"> </v>
      </c>
      <c r="EN260" s="362" t="str">
        <f>IF(L260&gt;0,IF(O260="2 Pipe (Cooling)","N/A",IF(BR260&gt;0,(Calculation!U260/EI260)^2,0))," ")</f>
        <v xml:space="preserve"> </v>
      </c>
      <c r="EO260" s="361" t="str">
        <f t="shared" si="673"/>
        <v/>
      </c>
      <c r="EP260" s="361" t="str">
        <f t="shared" si="674"/>
        <v/>
      </c>
      <c r="EQ260" s="361" t="str">
        <f t="shared" si="675"/>
        <v/>
      </c>
      <c r="ER260" s="361" t="str">
        <f t="shared" si="676"/>
        <v/>
      </c>
      <c r="ES260" s="361" t="str">
        <f t="shared" si="677"/>
        <v/>
      </c>
      <c r="ET260" s="361" t="str">
        <f t="shared" si="678"/>
        <v/>
      </c>
      <c r="EU260" s="361" t="str">
        <f t="shared" si="679"/>
        <v/>
      </c>
      <c r="EV260" s="361" t="str">
        <f t="shared" si="680"/>
        <v/>
      </c>
      <c r="EW260" s="361" t="str">
        <f t="shared" si="681"/>
        <v/>
      </c>
      <c r="EX260" s="361" t="str">
        <f t="shared" si="771"/>
        <v>1 slot, 1 way</v>
      </c>
      <c r="EY260" s="361" t="str">
        <f t="shared" si="772"/>
        <v xml:space="preserve"> </v>
      </c>
      <c r="EZ260" s="361" t="str">
        <f t="shared" si="773"/>
        <v xml:space="preserve"> </v>
      </c>
      <c r="FA260" s="361" t="str">
        <f t="shared" si="774"/>
        <v xml:space="preserve"> </v>
      </c>
      <c r="FB260" s="361" t="str">
        <f t="shared" si="775"/>
        <v xml:space="preserve"> </v>
      </c>
      <c r="FC260" s="361"/>
      <c r="FD260" s="361" t="str">
        <f>IF(J260&gt;0,IF(Calculation!R260&lt;=70,4,IF(Calculation!R260&lt;=110,5,IF(Calculation!R260&lt;=160,6,IF(Calculation!R260&lt;=300,8,"10 EO")))),"")</f>
        <v/>
      </c>
      <c r="FE260" s="361" t="str">
        <f t="shared" si="776"/>
        <v/>
      </c>
      <c r="FF260" s="361" t="str">
        <f t="shared" si="777"/>
        <v/>
      </c>
      <c r="FG260" s="361" t="e">
        <f t="shared" si="682"/>
        <v>#N/A</v>
      </c>
      <c r="FH260" s="361">
        <f t="shared" si="683"/>
        <v>0</v>
      </c>
      <c r="FI260" s="361" t="e">
        <f t="shared" si="684"/>
        <v>#DIV/0!</v>
      </c>
      <c r="FJ260" s="361"/>
      <c r="FK260" s="356" t="e">
        <f t="shared" si="685"/>
        <v>#VALUE!</v>
      </c>
      <c r="FL260" s="361"/>
      <c r="FM260" s="361"/>
      <c r="FN260" s="362" t="str">
        <f t="shared" si="778"/>
        <v xml:space="preserve"> </v>
      </c>
      <c r="FO260" s="362" t="str">
        <f t="shared" si="779"/>
        <v xml:space="preserve"> </v>
      </c>
      <c r="FP260" s="362">
        <f t="shared" si="780"/>
        <v>0</v>
      </c>
      <c r="FQ260" s="361">
        <f t="shared" si="686"/>
        <v>0</v>
      </c>
      <c r="FR260" s="362" t="str">
        <f>IF(L260&gt;0,IF(J260="CBAL2",Worksheet!$P$67,IF(J260="CBE2-24",Worksheet!$Q$67,IF(J260="CBAM",Worksheet!$R$67,IF(J260="CBLV",Worksheet!$S$67,IF(J260="CBAB",Worksheet!$U$67,IF(J260="CBAW",Worksheet!$X$67,IF(J260="CBE2-12",Worksheet!$Y$67,IF(J260="CBAL2",Worksheet!$Z$67,"N/A"))))))))," ")</f>
        <v xml:space="preserve"> </v>
      </c>
      <c r="FS260" s="362" t="str">
        <f>IF(L260&gt;0,IF(J260="CBAL2",Worksheet!$P$68,IF(J260="CBE2-24",Worksheet!$Q$68,IF(J260="CBAM",Worksheet!$R$68,IF(J260="CBLV",Worksheet!$S$68,IF(J260="CBAB",Worksheet!$U$68,IF(J260="CBAW",Worksheet!$X$68,IF(J260="CBE2-12",Worksheet!$Y$68,IF(J260="CBAL2",Worksheet!$Z$68,"N/A"))))))))," ")</f>
        <v xml:space="preserve"> </v>
      </c>
      <c r="FT260" s="362" t="str">
        <f>IF(L260&gt;0,IF(J260="CBAL2",Worksheet!$P$69,IF(J260="CBE2-24",Worksheet!$Q$69,IF(J260="CBAM",Worksheet!$R$69,IF(J260="CBLV",Worksheet!$S$69,IF(J260="CBAB",Worksheet!$U$69,IF(J260="CBAW",Worksheet!$X$69,IF(J260="CBE2-12",Worksheet!$Y$69,IF(J260="CBAL2",Worksheet!$Z$69,"N/A"))))))))," ")</f>
        <v xml:space="preserve"> </v>
      </c>
      <c r="FU260" s="361" t="str">
        <f t="shared" si="781"/>
        <v xml:space="preserve"> </v>
      </c>
      <c r="FV260" s="362" t="str">
        <f t="shared" si="782"/>
        <v xml:space="preserve"> </v>
      </c>
      <c r="FW260" s="362" t="str">
        <f t="shared" si="783"/>
        <v xml:space="preserve"> </v>
      </c>
      <c r="FX260" s="362" t="str">
        <f t="shared" si="784"/>
        <v xml:space="preserve"> </v>
      </c>
      <c r="FY260" s="355" t="str">
        <f t="shared" si="785"/>
        <v xml:space="preserve"> </v>
      </c>
      <c r="FZ260" s="361" t="str">
        <f t="shared" si="786"/>
        <v xml:space="preserve"> </v>
      </c>
      <c r="GA260" s="347" t="str">
        <f t="shared" si="787"/>
        <v xml:space="preserve"> </v>
      </c>
      <c r="GB260" s="355" t="str">
        <f t="shared" si="788"/>
        <v xml:space="preserve"> </v>
      </c>
      <c r="GC260" s="328" t="str">
        <f t="shared" si="789"/>
        <v xml:space="preserve"> </v>
      </c>
      <c r="GD260" s="361" t="str">
        <f t="shared" si="790"/>
        <v xml:space="preserve"> </v>
      </c>
      <c r="GE260" s="347" t="str">
        <f t="shared" si="791"/>
        <v xml:space="preserve"> </v>
      </c>
      <c r="GF260" s="361" t="str">
        <f t="shared" si="792"/>
        <v xml:space="preserve"> </v>
      </c>
      <c r="GG260" s="347" t="str">
        <f t="shared" si="793"/>
        <v xml:space="preserve"> </v>
      </c>
      <c r="GH260" s="364">
        <f t="shared" si="687"/>
        <v>0</v>
      </c>
      <c r="GI260" s="362">
        <f t="shared" si="794"/>
        <v>2</v>
      </c>
      <c r="GJ260" s="433" t="e">
        <f>IF(6-COUNTBLANK(GT260:GY260)=4,MATCH(MID(BO260,9,3),CLU!$H$16:$K$16),MATCH(MID(BO260,9,3),CLU!$H$13:$M$13))</f>
        <v>#N/A</v>
      </c>
      <c r="GK260" s="433" t="e">
        <f>HLOOKUP(VALUE(BP260),CLU!$H$9:$M$10,2)</f>
        <v>#VALUE!</v>
      </c>
      <c r="GL260" s="433" t="e">
        <f ca="1">MATCH(BU260,CLU!$H$2:$V$2,1)</f>
        <v>#VALUE!</v>
      </c>
      <c r="GM260" s="433" t="e">
        <f t="shared" ca="1" si="795"/>
        <v>#VALUE!</v>
      </c>
      <c r="GN260" s="433" t="e">
        <f t="shared" ca="1" si="796"/>
        <v>#VALUE!</v>
      </c>
      <c r="GO260" s="433" t="e">
        <f t="shared" ca="1" si="797"/>
        <v>#VALUE!</v>
      </c>
      <c r="GP260" s="433" t="e">
        <f t="shared" ca="1" si="798"/>
        <v>#VALUE!</v>
      </c>
      <c r="GQ260" s="433" t="e">
        <f t="shared" ca="1" si="799"/>
        <v>#VALUE!</v>
      </c>
      <c r="GR260" s="433" t="e">
        <f ca="1">MATCH(T260,INDIRECT(VLOOKUP(CONCATENATE(LEFT(BO260,7),"-",MID(BO260,13,1)),CLU!$P$3:$Q$16,2)),1)</f>
        <v>#N/A</v>
      </c>
      <c r="GS260" s="433" t="e">
        <f ca="1">MATCH(U260,INDIRECT(VLOOKUP(CONCATENATE(LEFT(BO260,7),"-",MID(BO260,13,1)),CLU!$P$3:$Q$16,2)),1)</f>
        <v>#N/A</v>
      </c>
      <c r="GT260" s="347" t="s">
        <v>512</v>
      </c>
      <c r="GU260" s="97" t="s">
        <v>513</v>
      </c>
      <c r="GV260" s="97" t="str">
        <f t="shared" si="800"/>
        <v>M23</v>
      </c>
      <c r="GW260" s="97" t="str">
        <f t="shared" si="801"/>
        <v>M31</v>
      </c>
      <c r="GX260" s="97" t="str">
        <f t="shared" si="802"/>
        <v/>
      </c>
      <c r="GY260" s="97" t="str">
        <f t="shared" si="803"/>
        <v/>
      </c>
      <c r="GZ260" s="481"/>
      <c r="HA260" s="240"/>
      <c r="HB260" s="240"/>
      <c r="HC260" s="240"/>
      <c r="HD260" s="240"/>
      <c r="HE260" s="240"/>
      <c r="HF260" s="240"/>
      <c r="HG260" s="240"/>
      <c r="HH260" s="240"/>
      <c r="HI260" s="240"/>
      <c r="HJ260" s="240"/>
      <c r="HK260" s="240"/>
      <c r="HL260" s="240"/>
      <c r="HM260" s="240"/>
      <c r="HN260" s="240"/>
      <c r="HO260" s="240"/>
      <c r="HP260" s="240"/>
      <c r="HQ260" s="240"/>
      <c r="HR260" s="240"/>
      <c r="HS260" s="240"/>
      <c r="HT260" s="240"/>
      <c r="HU260" s="240"/>
      <c r="HV260" s="245"/>
      <c r="HW260" s="245" t="b">
        <v>1</v>
      </c>
      <c r="HX260" s="245" t="str">
        <f t="shared" si="688"/>
        <v/>
      </c>
      <c r="HY260" s="245" t="e">
        <f t="shared" si="689"/>
        <v>#DIV/0!</v>
      </c>
      <c r="HZ260" s="245" t="e">
        <f t="shared" si="690"/>
        <v>#DIV/0!</v>
      </c>
      <c r="IA260" s="245">
        <f t="shared" si="691"/>
        <v>0</v>
      </c>
      <c r="IB260" s="245"/>
      <c r="IC260" t="b">
        <f t="shared" si="692"/>
        <v>1</v>
      </c>
      <c r="ID260" s="245" t="b">
        <f t="shared" si="693"/>
        <v>1</v>
      </c>
      <c r="IE260" s="245" t="b">
        <f t="shared" si="694"/>
        <v>1</v>
      </c>
      <c r="IF260" s="245" t="b">
        <f t="shared" si="695"/>
        <v>0</v>
      </c>
      <c r="IG260" s="245" t="b">
        <f t="shared" si="696"/>
        <v>1</v>
      </c>
      <c r="IH260" s="245" t="b">
        <f t="shared" si="697"/>
        <v>1</v>
      </c>
      <c r="II260" s="245">
        <f t="shared" si="804"/>
        <v>0</v>
      </c>
      <c r="IJ260" s="245" t="e">
        <f t="shared" si="698"/>
        <v>#VALUE!</v>
      </c>
      <c r="IK260" s="245" t="e">
        <f t="shared" si="699"/>
        <v>#VALUE!</v>
      </c>
      <c r="IL260" s="245"/>
      <c r="IM260" s="245" t="e">
        <f t="shared" si="805"/>
        <v>#N/A</v>
      </c>
      <c r="IN260" s="245" t="e">
        <f t="shared" si="806"/>
        <v>#N/A</v>
      </c>
      <c r="IO260" s="245"/>
      <c r="IP260" s="245"/>
      <c r="IQ260" s="245" t="str">
        <f t="shared" si="700"/>
        <v/>
      </c>
      <c r="IR260" s="245" t="str">
        <f>IF(J260="","",VLOOKUP(J260,Worksheet!$R$4:$T$14,2))</f>
        <v/>
      </c>
      <c r="IS260" s="245"/>
      <c r="IT260" s="245">
        <f t="shared" si="701"/>
        <v>0</v>
      </c>
      <c r="IU260" s="245">
        <f t="shared" si="702"/>
        <v>0</v>
      </c>
      <c r="IV260" s="245">
        <f t="shared" si="703"/>
        <v>0</v>
      </c>
      <c r="IW260" s="245">
        <f t="shared" si="704"/>
        <v>0</v>
      </c>
      <c r="IX260" s="245">
        <f t="shared" si="807"/>
        <v>0</v>
      </c>
      <c r="IY260" s="245">
        <f t="shared" si="705"/>
        <v>0</v>
      </c>
      <c r="IZ260" s="245">
        <f t="shared" si="706"/>
        <v>0</v>
      </c>
      <c r="JA260">
        <f t="shared" si="707"/>
        <v>0</v>
      </c>
      <c r="JB260">
        <f t="shared" si="808"/>
        <v>0</v>
      </c>
      <c r="JC260">
        <f t="shared" si="708"/>
        <v>0</v>
      </c>
      <c r="JD260">
        <f t="shared" si="709"/>
        <v>0</v>
      </c>
      <c r="JE260">
        <f t="shared" si="710"/>
        <v>0</v>
      </c>
      <c r="JF260">
        <f t="shared" si="711"/>
        <v>0</v>
      </c>
      <c r="JG260">
        <f t="shared" si="712"/>
        <v>0</v>
      </c>
      <c r="JH260">
        <f t="shared" si="713"/>
        <v>0</v>
      </c>
      <c r="JI260">
        <f t="shared" si="714"/>
        <v>0</v>
      </c>
      <c r="JJ260" s="447">
        <f t="shared" si="715"/>
        <v>0</v>
      </c>
      <c r="JK260" s="447">
        <f t="shared" si="716"/>
        <v>0</v>
      </c>
      <c r="JL260">
        <f t="shared" si="717"/>
        <v>0</v>
      </c>
      <c r="JM260" s="245" t="str">
        <f>IFERROR(VLOOKUP(MATCH(BN260,#REF!,0),#REF!,7),"")</f>
        <v/>
      </c>
      <c r="JN260" t="e">
        <f>HLOOKUP(LEFT(BO260,7),Discharge_Area,MATCH(JO260,LookUps!$B$130:$B$149,1)+2)</f>
        <v>#N/A</v>
      </c>
      <c r="JO260" t="str">
        <f t="shared" si="718"/>
        <v>- S</v>
      </c>
      <c r="JP260" t="e">
        <f>HLOOKUP(LEFT(BO260,7),Discharge_Area,MATCH(JO260,LookUps!$B$130:$B$149,1)+2)</f>
        <v>#N/A</v>
      </c>
      <c r="JQ260" t="e">
        <f t="shared" si="719"/>
        <v>#N/A</v>
      </c>
      <c r="JR260" t="e">
        <f t="shared" si="720"/>
        <v>#N/A</v>
      </c>
      <c r="JS260" t="e">
        <f t="shared" si="721"/>
        <v>#N/A</v>
      </c>
      <c r="JT260" s="532" t="str">
        <f t="shared" si="722"/>
        <v xml:space="preserve"> </v>
      </c>
      <c r="JU260" s="532" t="str">
        <f t="shared" si="723"/>
        <v xml:space="preserve"> </v>
      </c>
      <c r="JV260" s="533" t="str">
        <f t="shared" si="724"/>
        <v xml:space="preserve"> </v>
      </c>
      <c r="JW260" s="534">
        <f t="shared" si="725"/>
        <v>0</v>
      </c>
      <c r="JX260" s="535" t="str">
        <f t="shared" si="809"/>
        <v xml:space="preserve"> </v>
      </c>
      <c r="JY260" s="535" t="str">
        <f t="shared" si="810"/>
        <v xml:space="preserve"> </v>
      </c>
      <c r="JZ260" s="535" t="str">
        <f t="shared" si="811"/>
        <v xml:space="preserve"> </v>
      </c>
      <c r="KA260" s="536" t="str">
        <f t="shared" si="726"/>
        <v xml:space="preserve"> </v>
      </c>
      <c r="KB260" s="535" t="e">
        <f t="shared" si="812"/>
        <v>#VALUE!</v>
      </c>
      <c r="KC260" s="535" t="str">
        <f t="shared" si="727"/>
        <v/>
      </c>
      <c r="KD260" s="537" t="str">
        <f t="shared" si="813"/>
        <v xml:space="preserve"> </v>
      </c>
      <c r="KE260" s="537" t="str">
        <f t="shared" si="814"/>
        <v xml:space="preserve"> </v>
      </c>
      <c r="KF260" s="534">
        <f t="shared" si="728"/>
        <v>0</v>
      </c>
      <c r="KG260" s="535" t="str">
        <f t="shared" si="729"/>
        <v xml:space="preserve"> </v>
      </c>
      <c r="KH260" s="535" t="str">
        <f t="shared" si="730"/>
        <v xml:space="preserve"> </v>
      </c>
      <c r="KI260" s="535" t="str">
        <f t="shared" si="731"/>
        <v xml:space="preserve"> </v>
      </c>
      <c r="KJ260" s="536" t="str">
        <f t="shared" si="732"/>
        <v xml:space="preserve"> </v>
      </c>
      <c r="KK260" s="535" t="str">
        <f t="shared" si="815"/>
        <v xml:space="preserve"> </v>
      </c>
      <c r="KL260" s="535" t="str">
        <f t="shared" si="816"/>
        <v xml:space="preserve"> </v>
      </c>
      <c r="KM260" s="537" t="str">
        <f t="shared" si="733"/>
        <v xml:space="preserve"> </v>
      </c>
      <c r="KN260" s="537" t="str">
        <f t="shared" si="817"/>
        <v xml:space="preserve"> </v>
      </c>
      <c r="KP260">
        <f t="shared" si="734"/>
        <v>0</v>
      </c>
      <c r="LA260" t="e">
        <f t="shared" si="735"/>
        <v>#VALUE!</v>
      </c>
      <c r="LB260" t="e">
        <f t="shared" si="736"/>
        <v>#VALUE!</v>
      </c>
      <c r="LC260" t="e">
        <f t="shared" si="737"/>
        <v>#VALUE!</v>
      </c>
      <c r="LD260" t="e">
        <f t="shared" si="738"/>
        <v>#VALUE!</v>
      </c>
      <c r="LE260" t="e">
        <f t="shared" si="818"/>
        <v>#VALUE!</v>
      </c>
      <c r="LF260">
        <f t="shared" si="739"/>
        <v>0</v>
      </c>
      <c r="LG260" t="e">
        <f t="shared" si="819"/>
        <v>#VALUE!</v>
      </c>
      <c r="LH260" t="str">
        <f t="shared" si="740"/>
        <v xml:space="preserve"> </v>
      </c>
      <c r="LI260">
        <f t="shared" si="820"/>
        <v>1</v>
      </c>
    </row>
    <row r="261" spans="2:321" ht="15" customHeight="1">
      <c r="B261" s="311"/>
      <c r="C261" s="311"/>
      <c r="D261" s="312"/>
      <c r="E261" s="311"/>
      <c r="F261" s="312"/>
      <c r="G261" s="311"/>
      <c r="H261" s="311"/>
      <c r="I261" s="232"/>
      <c r="J261" s="311"/>
      <c r="K261" s="305" t="str">
        <f t="shared" si="741"/>
        <v/>
      </c>
      <c r="L261" s="313"/>
      <c r="M261" s="312"/>
      <c r="N261" s="311"/>
      <c r="O261" s="312"/>
      <c r="P261" s="311"/>
      <c r="Q261" s="305" t="str">
        <f t="shared" si="742"/>
        <v/>
      </c>
      <c r="R261" s="314"/>
      <c r="S261" s="450" t="str">
        <f t="shared" si="625"/>
        <v/>
      </c>
      <c r="T261" s="315"/>
      <c r="U261" s="315"/>
      <c r="W261" s="149" t="str">
        <f t="shared" si="626"/>
        <v xml:space="preserve"> </v>
      </c>
      <c r="X261" s="243" t="str">
        <f t="shared" si="627"/>
        <v xml:space="preserve"> </v>
      </c>
      <c r="Y261" s="150" t="str">
        <f t="shared" si="628"/>
        <v/>
      </c>
      <c r="Z261" s="149" t="str">
        <f t="shared" si="629"/>
        <v xml:space="preserve"> </v>
      </c>
      <c r="AA261" s="98" t="str">
        <f t="shared" si="630"/>
        <v xml:space="preserve"> </v>
      </c>
      <c r="AB261" s="153" t="str">
        <f t="shared" si="631"/>
        <v xml:space="preserve"> </v>
      </c>
      <c r="AC261" s="153" t="str">
        <f t="shared" si="632"/>
        <v xml:space="preserve"> </v>
      </c>
      <c r="AD261" s="148" t="str">
        <f t="shared" si="633"/>
        <v/>
      </c>
      <c r="AE261" s="149" t="str">
        <f t="shared" si="634"/>
        <v/>
      </c>
      <c r="AF261" s="151" t="str">
        <f t="shared" si="635"/>
        <v xml:space="preserve"> </v>
      </c>
      <c r="AG261" s="153" t="str">
        <f t="shared" si="636"/>
        <v xml:space="preserve"> </v>
      </c>
      <c r="AH261" s="98" t="str">
        <f t="shared" si="637"/>
        <v xml:space="preserve"> </v>
      </c>
      <c r="AI261" s="149" t="str">
        <f t="shared" si="638"/>
        <v xml:space="preserve"> </v>
      </c>
      <c r="AK261" s="144" t="str">
        <f t="shared" si="639"/>
        <v xml:space="preserve"> </v>
      </c>
      <c r="AL261" s="144"/>
      <c r="AM261" s="243" t="str">
        <f t="shared" si="640"/>
        <v xml:space="preserve"> </v>
      </c>
      <c r="AN261" s="149" t="str">
        <f t="shared" si="743"/>
        <v xml:space="preserve"> </v>
      </c>
      <c r="AO261" s="144" t="str">
        <f>IF(JB261&gt;0,IF(GI261=10,-R261*1.085*(Calculation!$F$6-Calculation!$F$13)*$S$14," "),"")</f>
        <v/>
      </c>
      <c r="AP261" s="144" t="str">
        <f t="shared" si="641"/>
        <v/>
      </c>
      <c r="AQ261" s="56" t="str">
        <f t="shared" si="642"/>
        <v/>
      </c>
      <c r="AR261" s="144" t="str">
        <f t="shared" si="643"/>
        <v/>
      </c>
      <c r="AS261" s="176" t="str">
        <f t="shared" si="644"/>
        <v/>
      </c>
      <c r="AT261" s="176" t="str">
        <f t="shared" si="744"/>
        <v xml:space="preserve"> </v>
      </c>
      <c r="AU261" s="176" t="str">
        <f t="shared" si="645"/>
        <v/>
      </c>
      <c r="AV261" s="177" t="str">
        <f t="shared" si="646"/>
        <v xml:space="preserve"> </v>
      </c>
      <c r="AW261" s="144" t="str">
        <f t="shared" si="647"/>
        <v xml:space="preserve"> </v>
      </c>
      <c r="AX261" s="144" t="str">
        <f t="shared" si="648"/>
        <v xml:space="preserve"> </v>
      </c>
      <c r="AY261" s="152" t="str">
        <f t="shared" si="649"/>
        <v xml:space="preserve"> </v>
      </c>
      <c r="AZ261" s="246" t="str">
        <f t="shared" si="650"/>
        <v/>
      </c>
      <c r="BA261" s="176" t="str">
        <f t="shared" si="651"/>
        <v xml:space="preserve"> </v>
      </c>
      <c r="BB261" s="176" t="str">
        <f t="shared" si="652"/>
        <v xml:space="preserve"> </v>
      </c>
      <c r="BC261" s="195"/>
      <c r="BD261" s="316"/>
      <c r="BE261" s="317"/>
      <c r="BF261" s="318"/>
      <c r="BG261" s="318"/>
      <c r="BH261" s="144" t="str">
        <f t="shared" si="821"/>
        <v xml:space="preserve"> </v>
      </c>
      <c r="BI261" s="176" t="str">
        <f t="shared" si="653"/>
        <v/>
      </c>
      <c r="BJ261" s="144" t="str">
        <f t="shared" si="822"/>
        <v/>
      </c>
      <c r="BK261" s="246" t="str">
        <f t="shared" si="654"/>
        <v/>
      </c>
      <c r="BL261" s="144" t="str">
        <f t="shared" si="823"/>
        <v/>
      </c>
      <c r="BM261" s="246" t="str">
        <f t="shared" si="655"/>
        <v/>
      </c>
      <c r="BN261" s="337" t="str">
        <f t="shared" si="745"/>
        <v/>
      </c>
      <c r="BO261" s="371" t="str">
        <f t="shared" si="746"/>
        <v/>
      </c>
      <c r="BP261" s="328" t="str">
        <f t="shared" si="824"/>
        <v xml:space="preserve"> </v>
      </c>
      <c r="BQ261" s="347" t="str">
        <f t="shared" si="747"/>
        <v xml:space="preserve"> </v>
      </c>
      <c r="BR261" s="353" t="str">
        <f t="shared" si="748"/>
        <v xml:space="preserve"> </v>
      </c>
      <c r="BS261" s="626" t="str">
        <f>IF(L261&gt;0,IF(Calculation!P261="M13",BR261*3.1416*(0.134^2)/(4*144),IF(Calculation!P261="M17",BR261*3.1416*(0.165^2)/(4*144),IF(Calculation!P261="M20",BR261*3.1416*(0.198^2)/(4*144),IF(Calculation!P261="M23",BR261*3.1416*(0.228^2)/(4*144),IF(Calculation!P261="M27",BR261*3.1416*(0.269^2)/(4*144),BR261*3.1416*(0.307^2)/(4*144))))))," ")</f>
        <v xml:space="preserve"> </v>
      </c>
      <c r="BT261" s="353" t="str">
        <f>IF(L261&gt;0,IF(BS261&gt;0,R261/Calculation!BS261,0)," ")</f>
        <v xml:space="preserve"> </v>
      </c>
      <c r="BU261" s="438" t="e">
        <f t="shared" ca="1" si="656"/>
        <v>#VALUE!</v>
      </c>
      <c r="BV261" s="449" t="e">
        <f ca="1">INDEX(INDIRECT(VLOOKUP(LEFT(BO261,7),CLU!$Z$3:$AH$18,2)),GN261,GR261)</f>
        <v>#N/A</v>
      </c>
      <c r="BW261" s="433" t="e">
        <f ca="1">INDEX(INDIRECT(VLOOKUP(LEFT(BO261,7),CLU!$Z$3:$AH$18,3)),GN261,GR261)</f>
        <v>#N/A</v>
      </c>
      <c r="BX261" s="433" t="e">
        <f ca="1">INDEX(INDIRECT(VLOOKUP(LEFT(BO261,7),CLU!$Z$3:$AH$18,4)),GN261,GR261)</f>
        <v>#N/A</v>
      </c>
      <c r="BY261" s="433" t="e">
        <f ca="1">INDEX(INDIRECT(VLOOKUP(LEFT(BO261,7),CLU!$Z$3:$AH$18,9)),((M261-2)*(6-COUNTBLANK(GT261:GY261)))+GJ261)</f>
        <v>#N/A</v>
      </c>
      <c r="BZ261" s="426" t="e">
        <f t="shared" ca="1" si="749"/>
        <v>#N/A</v>
      </c>
      <c r="CA261" s="424" t="e">
        <f t="shared" ca="1" si="750"/>
        <v>#N/A</v>
      </c>
      <c r="CB261" s="429" t="e">
        <f ca="1">INDEX(INDIRECT(VLOOKUP(LEFT(BO261,7),CLU!$Z$3:$AH$18,2)),GN261,GS261)</f>
        <v>#N/A</v>
      </c>
      <c r="CC261" s="342" t="e">
        <f ca="1">INDEX(INDIRECT(VLOOKUP(LEFT(BO261,7),CLU!$Z$3:$AH$18,3)),GN261,GS261)</f>
        <v>#N/A</v>
      </c>
      <c r="CD261" s="342" t="e">
        <f ca="1">INDEX(INDIRECT(VLOOKUP(LEFT(BO261,7),CLU!$Z$3:$AH$18,4)),GN261,GS261)</f>
        <v>#N/A</v>
      </c>
      <c r="CE261" s="426" t="e">
        <f t="shared" ca="1" si="751"/>
        <v>#N/A</v>
      </c>
      <c r="CF261" s="440">
        <f t="shared" si="752"/>
        <v>0</v>
      </c>
      <c r="CG261" s="431" t="e">
        <f ca="1">INDEX(INDIRECT(VLOOKUP(LEFT(BO261,7),CLU!$Z$3:$AH$18,2)),GQ261,GR261)</f>
        <v>#N/A</v>
      </c>
      <c r="CH261" s="431" t="e">
        <f ca="1">INDEX(INDIRECT(VLOOKUP(LEFT(BO261,7),CLU!$Z$3:$AH$18,3)),GQ261,GR261)</f>
        <v>#N/A</v>
      </c>
      <c r="CI261" s="431" t="e">
        <f ca="1">INDEX(INDIRECT(VLOOKUP(LEFT(BO261,7),CLU!$Z$3:$AH$18,4)),GQ261,GR261)</f>
        <v>#N/A</v>
      </c>
      <c r="CJ261" s="448" t="e">
        <f t="shared" ca="1" si="753"/>
        <v>#N/A</v>
      </c>
      <c r="CK261" s="431" t="e">
        <f t="shared" ca="1" si="754"/>
        <v>#N/A</v>
      </c>
      <c r="CL261" s="440" t="e">
        <f t="shared" ca="1" si="755"/>
        <v>#N/A</v>
      </c>
      <c r="CM261" s="431" t="e">
        <f ca="1">INDEX(INDIRECT(VLOOKUP(LEFT(BO261,7),CLU!$Z$3:$AH$18,2)),GQ261,GS261)</f>
        <v>#N/A</v>
      </c>
      <c r="CN261" s="431" t="e">
        <f ca="1">INDEX(INDIRECT(VLOOKUP(LEFT(BO261,7),CLU!$Z$3:$AH$18,3)),GQ261,GS261)</f>
        <v>#N/A</v>
      </c>
      <c r="CO261" s="431" t="e">
        <f ca="1">INDEX(INDIRECT(VLOOKUP(LEFT(BO261,7),CLU!$Z$3:$AH$18,4)),GQ261,GS261)</f>
        <v>#N/A</v>
      </c>
      <c r="CP261" s="431" t="e">
        <f t="shared" ca="1" si="756"/>
        <v>#N/A</v>
      </c>
      <c r="CQ261" s="440">
        <f t="shared" si="757"/>
        <v>0</v>
      </c>
      <c r="CR261" s="51" t="e">
        <f t="shared" ca="1" si="758"/>
        <v>#N/A</v>
      </c>
      <c r="CS261" s="439" t="e">
        <f t="shared" ca="1" si="759"/>
        <v>#VALUE!</v>
      </c>
      <c r="CT261" s="51" t="e">
        <f t="shared" ca="1" si="760"/>
        <v>#VALUE!</v>
      </c>
      <c r="CU261" s="10"/>
      <c r="CV261" s="51" t="e">
        <f t="shared" ca="1" si="657"/>
        <v>#VALUE!</v>
      </c>
      <c r="CW261" s="51">
        <f t="shared" si="761"/>
        <v>0</v>
      </c>
      <c r="CX261" s="439" t="e">
        <f t="shared" ca="1" si="762"/>
        <v>#VALUE!</v>
      </c>
      <c r="CY261" s="51" t="e">
        <f t="shared" ca="1" si="763"/>
        <v>#VALUE!</v>
      </c>
      <c r="CZ261" s="10"/>
      <c r="DA261" s="51" t="e">
        <f t="shared" ca="1" si="764"/>
        <v>#VALUE!</v>
      </c>
      <c r="DB261" s="347" t="e">
        <f ca="1">INDEX(INDIRECT(VLOOKUP(LEFT(BO261,7),CLU!$Z$3:$AI$18,10)),((M261-2)*(6-COUNTBLANK(GT261:GY261)))+GJ261)*LI261</f>
        <v>#N/A</v>
      </c>
      <c r="DC261" s="347" t="str">
        <f>IF(L261&gt;0,((R261/Worksheet!$I$15)/DB261)^2," ")</f>
        <v xml:space="preserve"> </v>
      </c>
      <c r="DD261" s="602" t="str">
        <f t="shared" si="765"/>
        <v xml:space="preserve"> </v>
      </c>
      <c r="DE261" s="347" t="str">
        <f t="shared" si="658"/>
        <v xml:space="preserve"> </v>
      </c>
      <c r="DF261" s="356" t="e">
        <f ca="1">INDEX(INDIRECT(VLOOKUP(LEFT(BO261,7),CLU!$Z$3:$AH$18,8)),((M261-2)*(6-COUNTBLANK(GT261:GY261)))+GJ261)</f>
        <v>#N/A</v>
      </c>
      <c r="DG261" s="347" t="str">
        <f t="shared" si="659"/>
        <v xml:space="preserve"> </v>
      </c>
      <c r="DH261" s="357" t="str">
        <f t="shared" si="660"/>
        <v xml:space="preserve"> </v>
      </c>
      <c r="DI261" s="355" t="str">
        <f t="shared" si="661"/>
        <v xml:space="preserve"> </v>
      </c>
      <c r="DJ261" s="245" t="e">
        <f ca="1">INDEX(INDIRECT(VLOOKUP(LEFT(BO261,7),CLU!$Z$3:$AH$18,5)),GL261,GK261)</f>
        <v>#N/A</v>
      </c>
      <c r="DK261" s="245" t="e">
        <f ca="1">INDEX(INDIRECT(VLOOKUP(LEFT(BO261,7),CLU!$Z$3:$AH$18,6)),GL261,GK261)</f>
        <v>#N/A</v>
      </c>
      <c r="DL261" s="355">
        <f>(Calculation!R261*0.69143*(Calculation!$BQ$8-Calculation!$F$8))*$S$14</f>
        <v>0</v>
      </c>
      <c r="DM261" s="359" t="e">
        <f t="shared" si="766"/>
        <v>#VALUE!</v>
      </c>
      <c r="DN261" s="611">
        <f t="shared" si="767"/>
        <v>0</v>
      </c>
      <c r="DO261" s="359">
        <f t="shared" si="768"/>
        <v>100</v>
      </c>
      <c r="DP261" s="359">
        <f t="shared" si="769"/>
        <v>0</v>
      </c>
      <c r="DQ261" s="360"/>
      <c r="DR261" s="245" t="e">
        <f ca="1">INDEX(INDIRECT(VLOOKUP(LEFT(BO261,7),CLU!$Z$3:$AH$18,7)),M261-1,1)</f>
        <v>#N/A</v>
      </c>
      <c r="DS261" s="245" t="e">
        <f ca="1">INDEX(INDIRECT(VLOOKUP(LEFT(BO261,7),CLU!$Z$3:$AH$18,7)),M261-1,2)</f>
        <v>#N/A</v>
      </c>
      <c r="DT261" s="245" t="e">
        <f ca="1">INDEX(INDIRECT(VLOOKUP(LEFT(BO261,7),CLU!$Z$3:$AH$18,7)),M261-1,3)</f>
        <v>#N/A</v>
      </c>
      <c r="DU261" s="245" t="e">
        <f ca="1">INDEX(INDIRECT(VLOOKUP(LEFT(BO261,7),CLU!$Z$3:$AH$18,7)),M261-1,4)</f>
        <v>#N/A</v>
      </c>
      <c r="DV261" s="361" t="e">
        <f ca="1">INDEX(INDIRECT(VLOOKUP(LEFT(BO261,7),CLU!$Z$3:$AH$18,7)),M261-1,4+LEFT(DZ261,1)*0.5)</f>
        <v>#N/A</v>
      </c>
      <c r="DW261" s="245" t="e">
        <f ca="1">INDEX(INDIRECT(VLOOKUP(LEFT(BO261,7),CLU!$Z$3:$AH$18,7)),M261-1,8)</f>
        <v>#N/A</v>
      </c>
      <c r="DX261" s="361" t="str">
        <f t="shared" si="662"/>
        <v xml:space="preserve"> </v>
      </c>
      <c r="DY261" s="361" t="str">
        <f t="shared" si="663"/>
        <v xml:space="preserve"> </v>
      </c>
      <c r="DZ261" s="361" t="str">
        <f t="shared" si="664"/>
        <v xml:space="preserve"> </v>
      </c>
      <c r="EA261" s="362" t="str">
        <f t="shared" si="665"/>
        <v xml:space="preserve"> </v>
      </c>
      <c r="EB261" s="624" t="str">
        <f t="shared" si="770"/>
        <v xml:space="preserve"> </v>
      </c>
      <c r="EC261" s="361" t="e">
        <f ca="1">INDEX(INDIRECT(VLOOKUP(LEFT(BO261,7),CLU!$Z$3:$AH$18,7)),M261-1,4+LEFT(DZ261,1)*0.5)</f>
        <v>#N/A</v>
      </c>
      <c r="ED261" s="362" t="str">
        <f t="shared" si="666"/>
        <v xml:space="preserve"> </v>
      </c>
      <c r="EE261" s="361" t="str">
        <f t="shared" si="667"/>
        <v xml:space="preserve"> </v>
      </c>
      <c r="EF261" s="362" t="str">
        <f>IF(L261&gt;0,IF(BR261&gt;0,IF(EE261="2P",IF(Calculation!DZ261="2P",IF(Calculation!DS261=13.75,IF(Calculation!DR261=13,Worksheet!$BD$43,IF(Calculation!DR261=37,Worksheet!$BD$44,Worksheet!$BD$45)),IF(Calculation!DS261=10,IF(Calculation!DR261=18,Worksheet!$BD$29,IF(Calculation!DR261=30,Worksheet!$BD$30,IF(Calculation!DR261=42,Worksheet!$BD$31,IF(Calculation!DR261=54,Worksheet!$BD$32,IF(Calculation!DR261=66,Worksheet!$BD$33,IF(Calculation!DR261=78,Worksheet!$BD$34,IF(Calculation!DR261=90,Worksheet!$BD$35,IF(Calculation!DR261=102,Worksheet!$BD$36,Worksheet!$BD$37)))))))),IF(Calculation!DS261=12.5,IF(Calculation!DR261=18,Worksheet!$BD$38,IF(Calculation!DR261=Worksheet!$BD$39,IF(Calculation!DR261=42,Worksheet!$BD$40,IF(Calculation!DR261=54,Worksheet!$BD$41,Worksheet!$BD$42)))),IF(Calculation!DR261=18,Worksheet!$BD$11,IF(Calculation!DR261=30,Worksheet!$BD$12,IF(Calculation!DR261=42,Worksheet!$BD$13,IF(Calculation!DR261=54,Worksheet!$BD$14,IF(Calculation!DR261=66,Worksheet!$BD$15,IF(Calculation!DR261=78,Worksheet!$BD$16,IF(Calculation!DR261=90,Worksheet!$BD$17,IF(Calculation!DR261=102,Worksheet!$BD$18,Worksheet!$BD$19))))))))))),IF(Calculation!DS261=13.75,IF(Calculation!DR261=13,Worksheet!$BD$78,IF(Calculation!DR261=37,Worksheet!$BD$79,Worksheet!$BD$80)),IF(Calculation!DS261=10,IF(Calculation!DR261=18,Worksheet!$BD$64,IF(Calculation!DR261=30,Worksheet!$BD$65,IF(Calculation!DR261=42,Worksheet!$BD$66,IF(Calculation!DR261=54,Worksheet!$BD$68,IF(Calculation!DR261=66,Worksheet!$BD$68,IF(Calculation!DR261=78,Worksheet!$BD$69,IF(Calculation!DR261=90,Worksheet!$BD$70,IF(Calculation!DR261=102,Worksheet!$BD$71,Worksheet!$BD$72)))))))),IF(Calculation!DS261=12.5,IF(Calculation!DR261=18,Worksheet!$BD$73,IF(Calculation!DR261=Worksheet!$BD$74,IF(Calculation!DR261=42,Worksheet!$BD$75,IF(Calculation!DR261=54,Worksheet!$BD$76,Worksheet!$BD$77)))),IF(Calculation!DR261=18,Worksheet!$BD$55,IF(Calculation!DR261=30,Worksheet!$BD$56,IF(Calculation!DR261=42,Worksheet!$BD$57,IF(Calculation!DR261=54,Worksheet!$BD$58,IF(Calculation!DR261=66,Worksheet!$BD$59,IF(Calculation!DR261=78,Worksheet!$BD$60,IF(Calculation!DR261=90,Worksheet!$BD$61,IF(Calculation!DR261=102,Worksheet!$BD$62,Worksheet!$BD$63)))))))))))),5),0)," ")</f>
        <v xml:space="preserve"> </v>
      </c>
      <c r="EG261" s="361" t="str">
        <f t="shared" si="668"/>
        <v xml:space="preserve"> </v>
      </c>
      <c r="EH261" s="361" t="e">
        <f ca="1">INDEX(INDIRECT(VLOOKUP(LEFT(BO261,7),CLU!$Z$3:$AH$18,7)),M261-1,3+LEFT(DZ261,1))</f>
        <v>#N/A</v>
      </c>
      <c r="EI261" s="362" t="str">
        <f t="shared" si="669"/>
        <v xml:space="preserve"> </v>
      </c>
      <c r="EJ261" s="363" t="str">
        <f t="shared" si="670"/>
        <v xml:space="preserve"> </v>
      </c>
      <c r="EK261" s="363" t="str">
        <f t="shared" si="671"/>
        <v xml:space="preserve"> </v>
      </c>
      <c r="EL261" s="363" t="str">
        <f t="shared" si="672"/>
        <v xml:space="preserve"> </v>
      </c>
      <c r="EM261" s="362" t="str">
        <f>IF(L261&gt;0,IF(BR261&gt;0,(Calculation!T261/ED261)^2,0)," ")</f>
        <v xml:space="preserve"> </v>
      </c>
      <c r="EN261" s="362" t="str">
        <f>IF(L261&gt;0,IF(O261="2 Pipe (Cooling)","N/A",IF(BR261&gt;0,(Calculation!U261/EI261)^2,0))," ")</f>
        <v xml:space="preserve"> </v>
      </c>
      <c r="EO261" s="361" t="str">
        <f t="shared" si="673"/>
        <v/>
      </c>
      <c r="EP261" s="361" t="str">
        <f t="shared" si="674"/>
        <v/>
      </c>
      <c r="EQ261" s="361" t="str">
        <f t="shared" si="675"/>
        <v/>
      </c>
      <c r="ER261" s="361" t="str">
        <f t="shared" si="676"/>
        <v/>
      </c>
      <c r="ES261" s="361" t="str">
        <f t="shared" si="677"/>
        <v/>
      </c>
      <c r="ET261" s="361" t="str">
        <f t="shared" si="678"/>
        <v/>
      </c>
      <c r="EU261" s="361" t="str">
        <f t="shared" si="679"/>
        <v/>
      </c>
      <c r="EV261" s="361" t="str">
        <f t="shared" si="680"/>
        <v/>
      </c>
      <c r="EW261" s="361" t="str">
        <f t="shared" si="681"/>
        <v/>
      </c>
      <c r="EX261" s="361" t="str">
        <f t="shared" si="771"/>
        <v>1 slot, 1 way</v>
      </c>
      <c r="EY261" s="361" t="str">
        <f t="shared" si="772"/>
        <v xml:space="preserve"> </v>
      </c>
      <c r="EZ261" s="361" t="str">
        <f t="shared" si="773"/>
        <v xml:space="preserve"> </v>
      </c>
      <c r="FA261" s="361" t="str">
        <f t="shared" si="774"/>
        <v xml:space="preserve"> </v>
      </c>
      <c r="FB261" s="361" t="str">
        <f t="shared" si="775"/>
        <v xml:space="preserve"> </v>
      </c>
      <c r="FC261" s="361"/>
      <c r="FD261" s="361" t="str">
        <f>IF(J261&gt;0,IF(Calculation!R261&lt;=70,4,IF(Calculation!R261&lt;=110,5,IF(Calculation!R261&lt;=160,6,IF(Calculation!R261&lt;=300,8,"10 EO")))),"")</f>
        <v/>
      </c>
      <c r="FE261" s="361" t="str">
        <f t="shared" si="776"/>
        <v/>
      </c>
      <c r="FF261" s="361" t="str">
        <f t="shared" si="777"/>
        <v/>
      </c>
      <c r="FG261" s="361" t="e">
        <f t="shared" si="682"/>
        <v>#N/A</v>
      </c>
      <c r="FH261" s="361">
        <f t="shared" si="683"/>
        <v>0</v>
      </c>
      <c r="FI261" s="361" t="e">
        <f t="shared" si="684"/>
        <v>#DIV/0!</v>
      </c>
      <c r="FJ261" s="361"/>
      <c r="FK261" s="356" t="e">
        <f t="shared" si="685"/>
        <v>#VALUE!</v>
      </c>
      <c r="FL261" s="361"/>
      <c r="FM261" s="361"/>
      <c r="FN261" s="362" t="str">
        <f t="shared" si="778"/>
        <v xml:space="preserve"> </v>
      </c>
      <c r="FO261" s="362" t="str">
        <f t="shared" si="779"/>
        <v xml:space="preserve"> </v>
      </c>
      <c r="FP261" s="362">
        <f t="shared" si="780"/>
        <v>0</v>
      </c>
      <c r="FQ261" s="361">
        <f t="shared" si="686"/>
        <v>0</v>
      </c>
      <c r="FR261" s="362" t="str">
        <f>IF(L261&gt;0,IF(J261="CBAL2",Worksheet!$P$67,IF(J261="CBE2-24",Worksheet!$Q$67,IF(J261="CBAM",Worksheet!$R$67,IF(J261="CBLV",Worksheet!$S$67,IF(J261="CBAB",Worksheet!$U$67,IF(J261="CBAW",Worksheet!$X$67,IF(J261="CBE2-12",Worksheet!$Y$67,IF(J261="CBAL2",Worksheet!$Z$67,"N/A"))))))))," ")</f>
        <v xml:space="preserve"> </v>
      </c>
      <c r="FS261" s="362" t="str">
        <f>IF(L261&gt;0,IF(J261="CBAL2",Worksheet!$P$68,IF(J261="CBE2-24",Worksheet!$Q$68,IF(J261="CBAM",Worksheet!$R$68,IF(J261="CBLV",Worksheet!$S$68,IF(J261="CBAB",Worksheet!$U$68,IF(J261="CBAW",Worksheet!$X$68,IF(J261="CBE2-12",Worksheet!$Y$68,IF(J261="CBAL2",Worksheet!$Z$68,"N/A"))))))))," ")</f>
        <v xml:space="preserve"> </v>
      </c>
      <c r="FT261" s="362" t="str">
        <f>IF(L261&gt;0,IF(J261="CBAL2",Worksheet!$P$69,IF(J261="CBE2-24",Worksheet!$Q$69,IF(J261="CBAM",Worksheet!$R$69,IF(J261="CBLV",Worksheet!$S$69,IF(J261="CBAB",Worksheet!$U$69,IF(J261="CBAW",Worksheet!$X$69,IF(J261="CBE2-12",Worksheet!$Y$69,IF(J261="CBAL2",Worksheet!$Z$69,"N/A"))))))))," ")</f>
        <v xml:space="preserve"> </v>
      </c>
      <c r="FU261" s="361" t="str">
        <f t="shared" si="781"/>
        <v xml:space="preserve"> </v>
      </c>
      <c r="FV261" s="362" t="str">
        <f t="shared" si="782"/>
        <v xml:space="preserve"> </v>
      </c>
      <c r="FW261" s="362" t="str">
        <f t="shared" si="783"/>
        <v xml:space="preserve"> </v>
      </c>
      <c r="FX261" s="362" t="str">
        <f t="shared" si="784"/>
        <v xml:space="preserve"> </v>
      </c>
      <c r="FY261" s="355" t="str">
        <f t="shared" si="785"/>
        <v xml:space="preserve"> </v>
      </c>
      <c r="FZ261" s="361" t="str">
        <f t="shared" si="786"/>
        <v xml:space="preserve"> </v>
      </c>
      <c r="GA261" s="347" t="str">
        <f t="shared" si="787"/>
        <v xml:space="preserve"> </v>
      </c>
      <c r="GB261" s="355" t="str">
        <f t="shared" si="788"/>
        <v xml:space="preserve"> </v>
      </c>
      <c r="GC261" s="328" t="str">
        <f t="shared" si="789"/>
        <v xml:space="preserve"> </v>
      </c>
      <c r="GD261" s="361" t="str">
        <f t="shared" si="790"/>
        <v xml:space="preserve"> </v>
      </c>
      <c r="GE261" s="347" t="str">
        <f t="shared" si="791"/>
        <v xml:space="preserve"> </v>
      </c>
      <c r="GF261" s="361" t="str">
        <f t="shared" si="792"/>
        <v xml:space="preserve"> </v>
      </c>
      <c r="GG261" s="347" t="str">
        <f t="shared" si="793"/>
        <v xml:space="preserve"> </v>
      </c>
      <c r="GH261" s="364">
        <f t="shared" si="687"/>
        <v>0</v>
      </c>
      <c r="GI261" s="362">
        <f t="shared" si="794"/>
        <v>2</v>
      </c>
      <c r="GJ261" s="433" t="e">
        <f>IF(6-COUNTBLANK(GT261:GY261)=4,MATCH(MID(BO261,9,3),CLU!$H$16:$K$16),MATCH(MID(BO261,9,3),CLU!$H$13:$M$13))</f>
        <v>#N/A</v>
      </c>
      <c r="GK261" s="433" t="e">
        <f>HLOOKUP(VALUE(BP261),CLU!$H$9:$M$10,2)</f>
        <v>#VALUE!</v>
      </c>
      <c r="GL261" s="433" t="e">
        <f ca="1">MATCH(BU261,CLU!$H$2:$V$2,1)</f>
        <v>#VALUE!</v>
      </c>
      <c r="GM261" s="433" t="e">
        <f t="shared" ca="1" si="795"/>
        <v>#VALUE!</v>
      </c>
      <c r="GN261" s="433" t="e">
        <f t="shared" ca="1" si="796"/>
        <v>#VALUE!</v>
      </c>
      <c r="GO261" s="433" t="e">
        <f t="shared" ca="1" si="797"/>
        <v>#VALUE!</v>
      </c>
      <c r="GP261" s="433" t="e">
        <f t="shared" ca="1" si="798"/>
        <v>#VALUE!</v>
      </c>
      <c r="GQ261" s="433" t="e">
        <f t="shared" ca="1" si="799"/>
        <v>#VALUE!</v>
      </c>
      <c r="GR261" s="433" t="e">
        <f ca="1">MATCH(T261,INDIRECT(VLOOKUP(CONCATENATE(LEFT(BO261,7),"-",MID(BO261,13,1)),CLU!$P$3:$Q$16,2)),1)</f>
        <v>#N/A</v>
      </c>
      <c r="GS261" s="433" t="e">
        <f ca="1">MATCH(U261,INDIRECT(VLOOKUP(CONCATENATE(LEFT(BO261,7),"-",MID(BO261,13,1)),CLU!$P$3:$Q$16,2)),1)</f>
        <v>#N/A</v>
      </c>
      <c r="GT261" s="347" t="s">
        <v>512</v>
      </c>
      <c r="GU261" s="97" t="s">
        <v>513</v>
      </c>
      <c r="GV261" s="97" t="str">
        <f t="shared" si="800"/>
        <v>M23</v>
      </c>
      <c r="GW261" s="97" t="str">
        <f t="shared" si="801"/>
        <v>M31</v>
      </c>
      <c r="GX261" s="97" t="str">
        <f t="shared" si="802"/>
        <v/>
      </c>
      <c r="GY261" s="97" t="str">
        <f t="shared" si="803"/>
        <v/>
      </c>
      <c r="GZ261" s="481"/>
      <c r="HA261" s="240"/>
      <c r="HB261" s="240"/>
      <c r="HC261" s="240"/>
      <c r="HD261" s="240"/>
      <c r="HE261" s="240"/>
      <c r="HF261" s="240"/>
      <c r="HG261" s="240"/>
      <c r="HH261" s="240"/>
      <c r="HI261" s="240"/>
      <c r="HJ261" s="240"/>
      <c r="HK261" s="240"/>
      <c r="HL261" s="240"/>
      <c r="HM261" s="240"/>
      <c r="HN261" s="240"/>
      <c r="HO261" s="240"/>
      <c r="HP261" s="240"/>
      <c r="HQ261" s="240"/>
      <c r="HR261" s="240"/>
      <c r="HS261" s="240"/>
      <c r="HT261" s="240"/>
      <c r="HU261" s="240"/>
      <c r="HV261" s="245"/>
      <c r="HW261" s="245" t="b">
        <v>1</v>
      </c>
      <c r="HX261" s="245" t="str">
        <f t="shared" si="688"/>
        <v/>
      </c>
      <c r="HY261" s="245" t="e">
        <f t="shared" si="689"/>
        <v>#DIV/0!</v>
      </c>
      <c r="HZ261" s="245" t="e">
        <f t="shared" si="690"/>
        <v>#DIV/0!</v>
      </c>
      <c r="IA261" s="245">
        <f t="shared" si="691"/>
        <v>0</v>
      </c>
      <c r="IB261" s="245"/>
      <c r="IC261" t="b">
        <f t="shared" si="692"/>
        <v>1</v>
      </c>
      <c r="ID261" s="245" t="b">
        <f t="shared" si="693"/>
        <v>1</v>
      </c>
      <c r="IE261" s="245" t="b">
        <f t="shared" si="694"/>
        <v>1</v>
      </c>
      <c r="IF261" s="245" t="b">
        <f t="shared" si="695"/>
        <v>0</v>
      </c>
      <c r="IG261" s="245" t="b">
        <f t="shared" si="696"/>
        <v>1</v>
      </c>
      <c r="IH261" s="245" t="b">
        <f t="shared" si="697"/>
        <v>1</v>
      </c>
      <c r="II261" s="245">
        <f t="shared" si="804"/>
        <v>0</v>
      </c>
      <c r="IJ261" s="245" t="e">
        <f t="shared" si="698"/>
        <v>#VALUE!</v>
      </c>
      <c r="IK261" s="245" t="e">
        <f t="shared" si="699"/>
        <v>#VALUE!</v>
      </c>
      <c r="IL261" s="245"/>
      <c r="IM261" s="245" t="e">
        <f t="shared" si="805"/>
        <v>#N/A</v>
      </c>
      <c r="IN261" s="245" t="e">
        <f t="shared" si="806"/>
        <v>#N/A</v>
      </c>
      <c r="IO261" s="245"/>
      <c r="IP261" s="245"/>
      <c r="IQ261" s="245" t="str">
        <f t="shared" si="700"/>
        <v/>
      </c>
      <c r="IR261" s="245" t="str">
        <f>IF(J261="","",VLOOKUP(J261,Worksheet!$R$4:$T$14,2))</f>
        <v/>
      </c>
      <c r="IS261" s="245"/>
      <c r="IT261" s="245">
        <f t="shared" si="701"/>
        <v>0</v>
      </c>
      <c r="IU261" s="245">
        <f t="shared" si="702"/>
        <v>0</v>
      </c>
      <c r="IV261" s="245">
        <f t="shared" si="703"/>
        <v>0</v>
      </c>
      <c r="IW261" s="245">
        <f t="shared" si="704"/>
        <v>0</v>
      </c>
      <c r="IX261" s="245">
        <f t="shared" si="807"/>
        <v>0</v>
      </c>
      <c r="IY261" s="245">
        <f t="shared" si="705"/>
        <v>0</v>
      </c>
      <c r="IZ261" s="245">
        <f t="shared" si="706"/>
        <v>0</v>
      </c>
      <c r="JA261">
        <f t="shared" si="707"/>
        <v>0</v>
      </c>
      <c r="JB261">
        <f t="shared" si="808"/>
        <v>0</v>
      </c>
      <c r="JC261">
        <f t="shared" si="708"/>
        <v>0</v>
      </c>
      <c r="JD261">
        <f t="shared" si="709"/>
        <v>0</v>
      </c>
      <c r="JE261">
        <f t="shared" si="710"/>
        <v>0</v>
      </c>
      <c r="JF261">
        <f t="shared" si="711"/>
        <v>0</v>
      </c>
      <c r="JG261">
        <f t="shared" si="712"/>
        <v>0</v>
      </c>
      <c r="JH261">
        <f t="shared" si="713"/>
        <v>0</v>
      </c>
      <c r="JI261">
        <f t="shared" si="714"/>
        <v>0</v>
      </c>
      <c r="JJ261" s="447">
        <f t="shared" si="715"/>
        <v>0</v>
      </c>
      <c r="JK261" s="447">
        <f t="shared" si="716"/>
        <v>0</v>
      </c>
      <c r="JL261">
        <f t="shared" si="717"/>
        <v>0</v>
      </c>
      <c r="JM261" s="245" t="str">
        <f>IFERROR(VLOOKUP(MATCH(BN261,#REF!,0),#REF!,7),"")</f>
        <v/>
      </c>
      <c r="JN261" t="e">
        <f>HLOOKUP(LEFT(BO261,7),Discharge_Area,MATCH(JO261,LookUps!$B$130:$B$149,1)+2)</f>
        <v>#N/A</v>
      </c>
      <c r="JO261" t="str">
        <f t="shared" si="718"/>
        <v>- S</v>
      </c>
      <c r="JP261" t="e">
        <f>HLOOKUP(LEFT(BO261,7),Discharge_Area,MATCH(JO261,LookUps!$B$130:$B$149,1)+2)</f>
        <v>#N/A</v>
      </c>
      <c r="JQ261" t="e">
        <f t="shared" si="719"/>
        <v>#N/A</v>
      </c>
      <c r="JR261" t="e">
        <f t="shared" si="720"/>
        <v>#N/A</v>
      </c>
      <c r="JS261" t="e">
        <f t="shared" si="721"/>
        <v>#N/A</v>
      </c>
      <c r="JT261" s="532" t="str">
        <f t="shared" si="722"/>
        <v xml:space="preserve"> </v>
      </c>
      <c r="JU261" s="532" t="str">
        <f t="shared" si="723"/>
        <v xml:space="preserve"> </v>
      </c>
      <c r="JV261" s="533" t="str">
        <f t="shared" si="724"/>
        <v xml:space="preserve"> </v>
      </c>
      <c r="JW261" s="534">
        <f t="shared" si="725"/>
        <v>0</v>
      </c>
      <c r="JX261" s="535" t="str">
        <f t="shared" si="809"/>
        <v xml:space="preserve"> </v>
      </c>
      <c r="JY261" s="535" t="str">
        <f t="shared" si="810"/>
        <v xml:space="preserve"> </v>
      </c>
      <c r="JZ261" s="535" t="str">
        <f t="shared" si="811"/>
        <v xml:space="preserve"> </v>
      </c>
      <c r="KA261" s="536" t="str">
        <f t="shared" si="726"/>
        <v xml:space="preserve"> </v>
      </c>
      <c r="KB261" s="535" t="e">
        <f t="shared" si="812"/>
        <v>#VALUE!</v>
      </c>
      <c r="KC261" s="535" t="str">
        <f t="shared" si="727"/>
        <v/>
      </c>
      <c r="KD261" s="537" t="str">
        <f t="shared" si="813"/>
        <v xml:space="preserve"> </v>
      </c>
      <c r="KE261" s="537" t="str">
        <f t="shared" si="814"/>
        <v xml:space="preserve"> </v>
      </c>
      <c r="KF261" s="534">
        <f t="shared" si="728"/>
        <v>0</v>
      </c>
      <c r="KG261" s="535" t="str">
        <f t="shared" si="729"/>
        <v xml:space="preserve"> </v>
      </c>
      <c r="KH261" s="535" t="str">
        <f t="shared" si="730"/>
        <v xml:space="preserve"> </v>
      </c>
      <c r="KI261" s="535" t="str">
        <f t="shared" si="731"/>
        <v xml:space="preserve"> </v>
      </c>
      <c r="KJ261" s="536" t="str">
        <f t="shared" si="732"/>
        <v xml:space="preserve"> </v>
      </c>
      <c r="KK261" s="535" t="str">
        <f t="shared" si="815"/>
        <v xml:space="preserve"> </v>
      </c>
      <c r="KL261" s="535" t="str">
        <f t="shared" si="816"/>
        <v xml:space="preserve"> </v>
      </c>
      <c r="KM261" s="537" t="str">
        <f t="shared" si="733"/>
        <v xml:space="preserve"> </v>
      </c>
      <c r="KN261" s="537" t="str">
        <f t="shared" si="817"/>
        <v xml:space="preserve"> </v>
      </c>
      <c r="KP261">
        <f t="shared" si="734"/>
        <v>0</v>
      </c>
      <c r="LA261" t="e">
        <f t="shared" si="735"/>
        <v>#VALUE!</v>
      </c>
      <c r="LB261" t="e">
        <f t="shared" si="736"/>
        <v>#VALUE!</v>
      </c>
      <c r="LC261" t="e">
        <f t="shared" si="737"/>
        <v>#VALUE!</v>
      </c>
      <c r="LD261" t="e">
        <f t="shared" si="738"/>
        <v>#VALUE!</v>
      </c>
      <c r="LE261" t="e">
        <f t="shared" si="818"/>
        <v>#VALUE!</v>
      </c>
      <c r="LF261">
        <f t="shared" si="739"/>
        <v>0</v>
      </c>
      <c r="LG261" t="e">
        <f t="shared" si="819"/>
        <v>#VALUE!</v>
      </c>
      <c r="LH261" t="str">
        <f t="shared" si="740"/>
        <v xml:space="preserve"> </v>
      </c>
      <c r="LI261">
        <f t="shared" si="820"/>
        <v>1</v>
      </c>
    </row>
    <row r="262" spans="2:321" ht="15" customHeight="1">
      <c r="B262" s="311"/>
      <c r="C262" s="311"/>
      <c r="D262" s="312"/>
      <c r="E262" s="311"/>
      <c r="F262" s="312"/>
      <c r="G262" s="311"/>
      <c r="H262" s="311"/>
      <c r="I262" s="232"/>
      <c r="J262" s="311"/>
      <c r="K262" s="305" t="str">
        <f t="shared" si="741"/>
        <v/>
      </c>
      <c r="L262" s="313"/>
      <c r="M262" s="312"/>
      <c r="N262" s="311"/>
      <c r="O262" s="312"/>
      <c r="P262" s="311"/>
      <c r="Q262" s="305" t="str">
        <f t="shared" si="742"/>
        <v/>
      </c>
      <c r="R262" s="314"/>
      <c r="S262" s="450" t="str">
        <f t="shared" si="625"/>
        <v/>
      </c>
      <c r="T262" s="315"/>
      <c r="U262" s="315"/>
      <c r="W262" s="149" t="str">
        <f t="shared" si="626"/>
        <v xml:space="preserve"> </v>
      </c>
      <c r="X262" s="243" t="str">
        <f t="shared" si="627"/>
        <v xml:space="preserve"> </v>
      </c>
      <c r="Y262" s="150" t="str">
        <f t="shared" si="628"/>
        <v/>
      </c>
      <c r="Z262" s="149" t="str">
        <f t="shared" si="629"/>
        <v xml:space="preserve"> </v>
      </c>
      <c r="AA262" s="98" t="str">
        <f t="shared" si="630"/>
        <v xml:space="preserve"> </v>
      </c>
      <c r="AB262" s="153" t="str">
        <f t="shared" si="631"/>
        <v xml:space="preserve"> </v>
      </c>
      <c r="AC262" s="153" t="str">
        <f t="shared" si="632"/>
        <v xml:space="preserve"> </v>
      </c>
      <c r="AD262" s="148" t="str">
        <f t="shared" si="633"/>
        <v/>
      </c>
      <c r="AE262" s="149" t="str">
        <f t="shared" si="634"/>
        <v/>
      </c>
      <c r="AF262" s="151" t="str">
        <f t="shared" si="635"/>
        <v xml:space="preserve"> </v>
      </c>
      <c r="AG262" s="153" t="str">
        <f t="shared" si="636"/>
        <v xml:space="preserve"> </v>
      </c>
      <c r="AH262" s="98" t="str">
        <f t="shared" si="637"/>
        <v xml:space="preserve"> </v>
      </c>
      <c r="AI262" s="149" t="str">
        <f t="shared" si="638"/>
        <v xml:space="preserve"> </v>
      </c>
      <c r="AK262" s="144" t="str">
        <f t="shared" si="639"/>
        <v xml:space="preserve"> </v>
      </c>
      <c r="AL262" s="144"/>
      <c r="AM262" s="243" t="str">
        <f t="shared" si="640"/>
        <v xml:space="preserve"> </v>
      </c>
      <c r="AN262" s="149" t="str">
        <f t="shared" si="743"/>
        <v xml:space="preserve"> </v>
      </c>
      <c r="AO262" s="144" t="str">
        <f>IF(JB262&gt;0,IF(GI262=10,-R262*1.085*(Calculation!$F$6-Calculation!$F$13)*$S$14," "),"")</f>
        <v/>
      </c>
      <c r="AP262" s="144" t="str">
        <f t="shared" si="641"/>
        <v/>
      </c>
      <c r="AQ262" s="56" t="str">
        <f t="shared" si="642"/>
        <v/>
      </c>
      <c r="AR262" s="144" t="str">
        <f t="shared" si="643"/>
        <v/>
      </c>
      <c r="AS262" s="176" t="str">
        <f t="shared" si="644"/>
        <v/>
      </c>
      <c r="AT262" s="176" t="str">
        <f t="shared" si="744"/>
        <v xml:space="preserve"> </v>
      </c>
      <c r="AU262" s="176" t="str">
        <f t="shared" si="645"/>
        <v/>
      </c>
      <c r="AV262" s="177" t="str">
        <f t="shared" si="646"/>
        <v xml:space="preserve"> </v>
      </c>
      <c r="AW262" s="144" t="str">
        <f t="shared" si="647"/>
        <v xml:space="preserve"> </v>
      </c>
      <c r="AX262" s="144" t="str">
        <f t="shared" si="648"/>
        <v xml:space="preserve"> </v>
      </c>
      <c r="AY262" s="152" t="str">
        <f t="shared" si="649"/>
        <v xml:space="preserve"> </v>
      </c>
      <c r="AZ262" s="246" t="str">
        <f t="shared" si="650"/>
        <v/>
      </c>
      <c r="BA262" s="176" t="str">
        <f t="shared" si="651"/>
        <v xml:space="preserve"> </v>
      </c>
      <c r="BB262" s="176" t="str">
        <f t="shared" si="652"/>
        <v xml:space="preserve"> </v>
      </c>
      <c r="BC262" s="195"/>
      <c r="BD262" s="316"/>
      <c r="BE262" s="317"/>
      <c r="BF262" s="318"/>
      <c r="BG262" s="318"/>
      <c r="BH262" s="144" t="str">
        <f t="shared" si="821"/>
        <v xml:space="preserve"> </v>
      </c>
      <c r="BI262" s="176" t="str">
        <f t="shared" si="653"/>
        <v/>
      </c>
      <c r="BJ262" s="144" t="str">
        <f t="shared" si="822"/>
        <v/>
      </c>
      <c r="BK262" s="246" t="str">
        <f t="shared" si="654"/>
        <v/>
      </c>
      <c r="BL262" s="144" t="str">
        <f t="shared" si="823"/>
        <v/>
      </c>
      <c r="BM262" s="246" t="str">
        <f t="shared" si="655"/>
        <v/>
      </c>
      <c r="BN262" s="337" t="str">
        <f t="shared" si="745"/>
        <v/>
      </c>
      <c r="BO262" s="371" t="str">
        <f t="shared" si="746"/>
        <v/>
      </c>
      <c r="BP262" s="328" t="str">
        <f t="shared" si="824"/>
        <v xml:space="preserve"> </v>
      </c>
      <c r="BQ262" s="347" t="str">
        <f t="shared" si="747"/>
        <v xml:space="preserve"> </v>
      </c>
      <c r="BR262" s="353" t="str">
        <f t="shared" si="748"/>
        <v xml:space="preserve"> </v>
      </c>
      <c r="BS262" s="626" t="str">
        <f>IF(L262&gt;0,IF(Calculation!P262="M13",BR262*3.1416*(0.134^2)/(4*144),IF(Calculation!P262="M17",BR262*3.1416*(0.165^2)/(4*144),IF(Calculation!P262="M20",BR262*3.1416*(0.198^2)/(4*144),IF(Calculation!P262="M23",BR262*3.1416*(0.228^2)/(4*144),IF(Calculation!P262="M27",BR262*3.1416*(0.269^2)/(4*144),BR262*3.1416*(0.307^2)/(4*144))))))," ")</f>
        <v xml:space="preserve"> </v>
      </c>
      <c r="BT262" s="353" t="str">
        <f>IF(L262&gt;0,IF(BS262&gt;0,R262/Calculation!BS262,0)," ")</f>
        <v xml:space="preserve"> </v>
      </c>
      <c r="BU262" s="438" t="e">
        <f t="shared" ca="1" si="656"/>
        <v>#VALUE!</v>
      </c>
      <c r="BV262" s="449" t="e">
        <f ca="1">INDEX(INDIRECT(VLOOKUP(LEFT(BO262,7),CLU!$Z$3:$AH$18,2)),GN262,GR262)</f>
        <v>#N/A</v>
      </c>
      <c r="BW262" s="433" t="e">
        <f ca="1">INDEX(INDIRECT(VLOOKUP(LEFT(BO262,7),CLU!$Z$3:$AH$18,3)),GN262,GR262)</f>
        <v>#N/A</v>
      </c>
      <c r="BX262" s="433" t="e">
        <f ca="1">INDEX(INDIRECT(VLOOKUP(LEFT(BO262,7),CLU!$Z$3:$AH$18,4)),GN262,GR262)</f>
        <v>#N/A</v>
      </c>
      <c r="BY262" s="433" t="e">
        <f ca="1">INDEX(INDIRECT(VLOOKUP(LEFT(BO262,7),CLU!$Z$3:$AH$18,9)),((M262-2)*(6-COUNTBLANK(GT262:GY262)))+GJ262)</f>
        <v>#N/A</v>
      </c>
      <c r="BZ262" s="426" t="e">
        <f t="shared" ca="1" si="749"/>
        <v>#N/A</v>
      </c>
      <c r="CA262" s="424" t="e">
        <f t="shared" ca="1" si="750"/>
        <v>#N/A</v>
      </c>
      <c r="CB262" s="429" t="e">
        <f ca="1">INDEX(INDIRECT(VLOOKUP(LEFT(BO262,7),CLU!$Z$3:$AH$18,2)),GN262,GS262)</f>
        <v>#N/A</v>
      </c>
      <c r="CC262" s="342" t="e">
        <f ca="1">INDEX(INDIRECT(VLOOKUP(LEFT(BO262,7),CLU!$Z$3:$AH$18,3)),GN262,GS262)</f>
        <v>#N/A</v>
      </c>
      <c r="CD262" s="342" t="e">
        <f ca="1">INDEX(INDIRECT(VLOOKUP(LEFT(BO262,7),CLU!$Z$3:$AH$18,4)),GN262,GS262)</f>
        <v>#N/A</v>
      </c>
      <c r="CE262" s="426" t="e">
        <f t="shared" ca="1" si="751"/>
        <v>#N/A</v>
      </c>
      <c r="CF262" s="440">
        <f t="shared" si="752"/>
        <v>0</v>
      </c>
      <c r="CG262" s="431" t="e">
        <f ca="1">INDEX(INDIRECT(VLOOKUP(LEFT(BO262,7),CLU!$Z$3:$AH$18,2)),GQ262,GR262)</f>
        <v>#N/A</v>
      </c>
      <c r="CH262" s="431" t="e">
        <f ca="1">INDEX(INDIRECT(VLOOKUP(LEFT(BO262,7),CLU!$Z$3:$AH$18,3)),GQ262,GR262)</f>
        <v>#N/A</v>
      </c>
      <c r="CI262" s="431" t="e">
        <f ca="1">INDEX(INDIRECT(VLOOKUP(LEFT(BO262,7),CLU!$Z$3:$AH$18,4)),GQ262,GR262)</f>
        <v>#N/A</v>
      </c>
      <c r="CJ262" s="448" t="e">
        <f t="shared" ca="1" si="753"/>
        <v>#N/A</v>
      </c>
      <c r="CK262" s="431" t="e">
        <f t="shared" ca="1" si="754"/>
        <v>#N/A</v>
      </c>
      <c r="CL262" s="440" t="e">
        <f t="shared" ca="1" si="755"/>
        <v>#N/A</v>
      </c>
      <c r="CM262" s="431" t="e">
        <f ca="1">INDEX(INDIRECT(VLOOKUP(LEFT(BO262,7),CLU!$Z$3:$AH$18,2)),GQ262,GS262)</f>
        <v>#N/A</v>
      </c>
      <c r="CN262" s="431" t="e">
        <f ca="1">INDEX(INDIRECT(VLOOKUP(LEFT(BO262,7),CLU!$Z$3:$AH$18,3)),GQ262,GS262)</f>
        <v>#N/A</v>
      </c>
      <c r="CO262" s="431" t="e">
        <f ca="1">INDEX(INDIRECT(VLOOKUP(LEFT(BO262,7),CLU!$Z$3:$AH$18,4)),GQ262,GS262)</f>
        <v>#N/A</v>
      </c>
      <c r="CP262" s="431" t="e">
        <f t="shared" ca="1" si="756"/>
        <v>#N/A</v>
      </c>
      <c r="CQ262" s="440">
        <f t="shared" si="757"/>
        <v>0</v>
      </c>
      <c r="CR262" s="51" t="e">
        <f t="shared" ca="1" si="758"/>
        <v>#N/A</v>
      </c>
      <c r="CS262" s="439" t="e">
        <f t="shared" ca="1" si="759"/>
        <v>#VALUE!</v>
      </c>
      <c r="CT262" s="51" t="e">
        <f t="shared" ca="1" si="760"/>
        <v>#VALUE!</v>
      </c>
      <c r="CU262" s="10"/>
      <c r="CV262" s="51" t="e">
        <f t="shared" ca="1" si="657"/>
        <v>#VALUE!</v>
      </c>
      <c r="CW262" s="51">
        <f t="shared" si="761"/>
        <v>0</v>
      </c>
      <c r="CX262" s="439" t="e">
        <f t="shared" ca="1" si="762"/>
        <v>#VALUE!</v>
      </c>
      <c r="CY262" s="51" t="e">
        <f t="shared" ca="1" si="763"/>
        <v>#VALUE!</v>
      </c>
      <c r="CZ262" s="10"/>
      <c r="DA262" s="51" t="e">
        <f t="shared" ca="1" si="764"/>
        <v>#VALUE!</v>
      </c>
      <c r="DB262" s="347" t="e">
        <f ca="1">INDEX(INDIRECT(VLOOKUP(LEFT(BO262,7),CLU!$Z$3:$AI$18,10)),((M262-2)*(6-COUNTBLANK(GT262:GY262)))+GJ262)*LI262</f>
        <v>#N/A</v>
      </c>
      <c r="DC262" s="347" t="str">
        <f>IF(L262&gt;0,((R262/Worksheet!$I$15)/DB262)^2," ")</f>
        <v xml:space="preserve"> </v>
      </c>
      <c r="DD262" s="602" t="str">
        <f t="shared" si="765"/>
        <v xml:space="preserve"> </v>
      </c>
      <c r="DE262" s="347" t="str">
        <f t="shared" si="658"/>
        <v xml:space="preserve"> </v>
      </c>
      <c r="DF262" s="356" t="e">
        <f ca="1">INDEX(INDIRECT(VLOOKUP(LEFT(BO262,7),CLU!$Z$3:$AH$18,8)),((M262-2)*(6-COUNTBLANK(GT262:GY262)))+GJ262)</f>
        <v>#N/A</v>
      </c>
      <c r="DG262" s="347" t="str">
        <f t="shared" si="659"/>
        <v xml:space="preserve"> </v>
      </c>
      <c r="DH262" s="357" t="str">
        <f t="shared" si="660"/>
        <v xml:space="preserve"> </v>
      </c>
      <c r="DI262" s="355" t="str">
        <f t="shared" si="661"/>
        <v xml:space="preserve"> </v>
      </c>
      <c r="DJ262" s="245" t="e">
        <f ca="1">INDEX(INDIRECT(VLOOKUP(LEFT(BO262,7),CLU!$Z$3:$AH$18,5)),GL262,GK262)</f>
        <v>#N/A</v>
      </c>
      <c r="DK262" s="245" t="e">
        <f ca="1">INDEX(INDIRECT(VLOOKUP(LEFT(BO262,7),CLU!$Z$3:$AH$18,6)),GL262,GK262)</f>
        <v>#N/A</v>
      </c>
      <c r="DL262" s="355">
        <f>(Calculation!R262*0.69143*(Calculation!$BQ$8-Calculation!$F$8))*$S$14</f>
        <v>0</v>
      </c>
      <c r="DM262" s="359" t="e">
        <f t="shared" si="766"/>
        <v>#VALUE!</v>
      </c>
      <c r="DN262" s="611">
        <f t="shared" si="767"/>
        <v>0</v>
      </c>
      <c r="DO262" s="359">
        <f t="shared" si="768"/>
        <v>100</v>
      </c>
      <c r="DP262" s="359">
        <f t="shared" si="769"/>
        <v>0</v>
      </c>
      <c r="DQ262" s="360"/>
      <c r="DR262" s="245" t="e">
        <f ca="1">INDEX(INDIRECT(VLOOKUP(LEFT(BO262,7),CLU!$Z$3:$AH$18,7)),M262-1,1)</f>
        <v>#N/A</v>
      </c>
      <c r="DS262" s="245" t="e">
        <f ca="1">INDEX(INDIRECT(VLOOKUP(LEFT(BO262,7),CLU!$Z$3:$AH$18,7)),M262-1,2)</f>
        <v>#N/A</v>
      </c>
      <c r="DT262" s="245" t="e">
        <f ca="1">INDEX(INDIRECT(VLOOKUP(LEFT(BO262,7),CLU!$Z$3:$AH$18,7)),M262-1,3)</f>
        <v>#N/A</v>
      </c>
      <c r="DU262" s="245" t="e">
        <f ca="1">INDEX(INDIRECT(VLOOKUP(LEFT(BO262,7),CLU!$Z$3:$AH$18,7)),M262-1,4)</f>
        <v>#N/A</v>
      </c>
      <c r="DV262" s="361" t="e">
        <f ca="1">INDEX(INDIRECT(VLOOKUP(LEFT(BO262,7),CLU!$Z$3:$AH$18,7)),M262-1,4+LEFT(DZ262,1)*0.5)</f>
        <v>#N/A</v>
      </c>
      <c r="DW262" s="245" t="e">
        <f ca="1">INDEX(INDIRECT(VLOOKUP(LEFT(BO262,7),CLU!$Z$3:$AH$18,7)),M262-1,8)</f>
        <v>#N/A</v>
      </c>
      <c r="DX262" s="361" t="str">
        <f t="shared" si="662"/>
        <v xml:space="preserve"> </v>
      </c>
      <c r="DY262" s="361" t="str">
        <f t="shared" si="663"/>
        <v xml:space="preserve"> </v>
      </c>
      <c r="DZ262" s="361" t="str">
        <f t="shared" si="664"/>
        <v xml:space="preserve"> </v>
      </c>
      <c r="EA262" s="362" t="str">
        <f t="shared" si="665"/>
        <v xml:space="preserve"> </v>
      </c>
      <c r="EB262" s="624" t="str">
        <f t="shared" si="770"/>
        <v xml:space="preserve"> </v>
      </c>
      <c r="EC262" s="361" t="e">
        <f ca="1">INDEX(INDIRECT(VLOOKUP(LEFT(BO262,7),CLU!$Z$3:$AH$18,7)),M262-1,4+LEFT(DZ262,1)*0.5)</f>
        <v>#N/A</v>
      </c>
      <c r="ED262" s="362" t="str">
        <f t="shared" si="666"/>
        <v xml:space="preserve"> </v>
      </c>
      <c r="EE262" s="361" t="str">
        <f t="shared" si="667"/>
        <v xml:space="preserve"> </v>
      </c>
      <c r="EF262" s="362" t="str">
        <f>IF(L262&gt;0,IF(BR262&gt;0,IF(EE262="2P",IF(Calculation!DZ262="2P",IF(Calculation!DS262=13.75,IF(Calculation!DR262=13,Worksheet!$BD$43,IF(Calculation!DR262=37,Worksheet!$BD$44,Worksheet!$BD$45)),IF(Calculation!DS262=10,IF(Calculation!DR262=18,Worksheet!$BD$29,IF(Calculation!DR262=30,Worksheet!$BD$30,IF(Calculation!DR262=42,Worksheet!$BD$31,IF(Calculation!DR262=54,Worksheet!$BD$32,IF(Calculation!DR262=66,Worksheet!$BD$33,IF(Calculation!DR262=78,Worksheet!$BD$34,IF(Calculation!DR262=90,Worksheet!$BD$35,IF(Calculation!DR262=102,Worksheet!$BD$36,Worksheet!$BD$37)))))))),IF(Calculation!DS262=12.5,IF(Calculation!DR262=18,Worksheet!$BD$38,IF(Calculation!DR262=Worksheet!$BD$39,IF(Calculation!DR262=42,Worksheet!$BD$40,IF(Calculation!DR262=54,Worksheet!$BD$41,Worksheet!$BD$42)))),IF(Calculation!DR262=18,Worksheet!$BD$11,IF(Calculation!DR262=30,Worksheet!$BD$12,IF(Calculation!DR262=42,Worksheet!$BD$13,IF(Calculation!DR262=54,Worksheet!$BD$14,IF(Calculation!DR262=66,Worksheet!$BD$15,IF(Calculation!DR262=78,Worksheet!$BD$16,IF(Calculation!DR262=90,Worksheet!$BD$17,IF(Calculation!DR262=102,Worksheet!$BD$18,Worksheet!$BD$19))))))))))),IF(Calculation!DS262=13.75,IF(Calculation!DR262=13,Worksheet!$BD$78,IF(Calculation!DR262=37,Worksheet!$BD$79,Worksheet!$BD$80)),IF(Calculation!DS262=10,IF(Calculation!DR262=18,Worksheet!$BD$64,IF(Calculation!DR262=30,Worksheet!$BD$65,IF(Calculation!DR262=42,Worksheet!$BD$66,IF(Calculation!DR262=54,Worksheet!$BD$68,IF(Calculation!DR262=66,Worksheet!$BD$68,IF(Calculation!DR262=78,Worksheet!$BD$69,IF(Calculation!DR262=90,Worksheet!$BD$70,IF(Calculation!DR262=102,Worksheet!$BD$71,Worksheet!$BD$72)))))))),IF(Calculation!DS262=12.5,IF(Calculation!DR262=18,Worksheet!$BD$73,IF(Calculation!DR262=Worksheet!$BD$74,IF(Calculation!DR262=42,Worksheet!$BD$75,IF(Calculation!DR262=54,Worksheet!$BD$76,Worksheet!$BD$77)))),IF(Calculation!DR262=18,Worksheet!$BD$55,IF(Calculation!DR262=30,Worksheet!$BD$56,IF(Calculation!DR262=42,Worksheet!$BD$57,IF(Calculation!DR262=54,Worksheet!$BD$58,IF(Calculation!DR262=66,Worksheet!$BD$59,IF(Calculation!DR262=78,Worksheet!$BD$60,IF(Calculation!DR262=90,Worksheet!$BD$61,IF(Calculation!DR262=102,Worksheet!$BD$62,Worksheet!$BD$63)))))))))))),5),0)," ")</f>
        <v xml:space="preserve"> </v>
      </c>
      <c r="EG262" s="361" t="str">
        <f t="shared" si="668"/>
        <v xml:space="preserve"> </v>
      </c>
      <c r="EH262" s="361" t="e">
        <f ca="1">INDEX(INDIRECT(VLOOKUP(LEFT(BO262,7),CLU!$Z$3:$AH$18,7)),M262-1,3+LEFT(DZ262,1))</f>
        <v>#N/A</v>
      </c>
      <c r="EI262" s="362" t="str">
        <f t="shared" si="669"/>
        <v xml:space="preserve"> </v>
      </c>
      <c r="EJ262" s="363" t="str">
        <f t="shared" si="670"/>
        <v xml:space="preserve"> </v>
      </c>
      <c r="EK262" s="363" t="str">
        <f t="shared" si="671"/>
        <v xml:space="preserve"> </v>
      </c>
      <c r="EL262" s="363" t="str">
        <f t="shared" si="672"/>
        <v xml:space="preserve"> </v>
      </c>
      <c r="EM262" s="362" t="str">
        <f>IF(L262&gt;0,IF(BR262&gt;0,(Calculation!T262/ED262)^2,0)," ")</f>
        <v xml:space="preserve"> </v>
      </c>
      <c r="EN262" s="362" t="str">
        <f>IF(L262&gt;0,IF(O262="2 Pipe (Cooling)","N/A",IF(BR262&gt;0,(Calculation!U262/EI262)^2,0))," ")</f>
        <v xml:space="preserve"> </v>
      </c>
      <c r="EO262" s="361" t="str">
        <f t="shared" si="673"/>
        <v/>
      </c>
      <c r="EP262" s="361" t="str">
        <f t="shared" si="674"/>
        <v/>
      </c>
      <c r="EQ262" s="361" t="str">
        <f t="shared" si="675"/>
        <v/>
      </c>
      <c r="ER262" s="361" t="str">
        <f t="shared" si="676"/>
        <v/>
      </c>
      <c r="ES262" s="361" t="str">
        <f t="shared" si="677"/>
        <v/>
      </c>
      <c r="ET262" s="361" t="str">
        <f t="shared" si="678"/>
        <v/>
      </c>
      <c r="EU262" s="361" t="str">
        <f t="shared" si="679"/>
        <v/>
      </c>
      <c r="EV262" s="361" t="str">
        <f t="shared" si="680"/>
        <v/>
      </c>
      <c r="EW262" s="361" t="str">
        <f t="shared" si="681"/>
        <v/>
      </c>
      <c r="EX262" s="361" t="str">
        <f t="shared" si="771"/>
        <v>1 slot, 1 way</v>
      </c>
      <c r="EY262" s="361" t="str">
        <f t="shared" si="772"/>
        <v xml:space="preserve"> </v>
      </c>
      <c r="EZ262" s="361" t="str">
        <f t="shared" si="773"/>
        <v xml:space="preserve"> </v>
      </c>
      <c r="FA262" s="361" t="str">
        <f t="shared" si="774"/>
        <v xml:space="preserve"> </v>
      </c>
      <c r="FB262" s="361" t="str">
        <f t="shared" si="775"/>
        <v xml:space="preserve"> </v>
      </c>
      <c r="FC262" s="361"/>
      <c r="FD262" s="361" t="str">
        <f>IF(J262&gt;0,IF(Calculation!R262&lt;=70,4,IF(Calculation!R262&lt;=110,5,IF(Calculation!R262&lt;=160,6,IF(Calculation!R262&lt;=300,8,"10 EO")))),"")</f>
        <v/>
      </c>
      <c r="FE262" s="361" t="str">
        <f t="shared" si="776"/>
        <v/>
      </c>
      <c r="FF262" s="361" t="str">
        <f t="shared" si="777"/>
        <v/>
      </c>
      <c r="FG262" s="361" t="e">
        <f t="shared" si="682"/>
        <v>#N/A</v>
      </c>
      <c r="FH262" s="361">
        <f t="shared" si="683"/>
        <v>0</v>
      </c>
      <c r="FI262" s="361" t="e">
        <f t="shared" si="684"/>
        <v>#DIV/0!</v>
      </c>
      <c r="FJ262" s="361"/>
      <c r="FK262" s="356" t="e">
        <f t="shared" si="685"/>
        <v>#VALUE!</v>
      </c>
      <c r="FL262" s="361"/>
      <c r="FM262" s="361"/>
      <c r="FN262" s="362" t="str">
        <f t="shared" si="778"/>
        <v xml:space="preserve"> </v>
      </c>
      <c r="FO262" s="362" t="str">
        <f t="shared" si="779"/>
        <v xml:space="preserve"> </v>
      </c>
      <c r="FP262" s="362">
        <f t="shared" si="780"/>
        <v>0</v>
      </c>
      <c r="FQ262" s="361">
        <f t="shared" si="686"/>
        <v>0</v>
      </c>
      <c r="FR262" s="362" t="str">
        <f>IF(L262&gt;0,IF(J262="CBAL2",Worksheet!$P$67,IF(J262="CBE2-24",Worksheet!$Q$67,IF(J262="CBAM",Worksheet!$R$67,IF(J262="CBLV",Worksheet!$S$67,IF(J262="CBAB",Worksheet!$U$67,IF(J262="CBAW",Worksheet!$X$67,IF(J262="CBE2-12",Worksheet!$Y$67,IF(J262="CBAL2",Worksheet!$Z$67,"N/A"))))))))," ")</f>
        <v xml:space="preserve"> </v>
      </c>
      <c r="FS262" s="362" t="str">
        <f>IF(L262&gt;0,IF(J262="CBAL2",Worksheet!$P$68,IF(J262="CBE2-24",Worksheet!$Q$68,IF(J262="CBAM",Worksheet!$R$68,IF(J262="CBLV",Worksheet!$S$68,IF(J262="CBAB",Worksheet!$U$68,IF(J262="CBAW",Worksheet!$X$68,IF(J262="CBE2-12",Worksheet!$Y$68,IF(J262="CBAL2",Worksheet!$Z$68,"N/A"))))))))," ")</f>
        <v xml:space="preserve"> </v>
      </c>
      <c r="FT262" s="362" t="str">
        <f>IF(L262&gt;0,IF(J262="CBAL2",Worksheet!$P$69,IF(J262="CBE2-24",Worksheet!$Q$69,IF(J262="CBAM",Worksheet!$R$69,IF(J262="CBLV",Worksheet!$S$69,IF(J262="CBAB",Worksheet!$U$69,IF(J262="CBAW",Worksheet!$X$69,IF(J262="CBE2-12",Worksheet!$Y$69,IF(J262="CBAL2",Worksheet!$Z$69,"N/A"))))))))," ")</f>
        <v xml:space="preserve"> </v>
      </c>
      <c r="FU262" s="361" t="str">
        <f t="shared" si="781"/>
        <v xml:space="preserve"> </v>
      </c>
      <c r="FV262" s="362" t="str">
        <f t="shared" si="782"/>
        <v xml:space="preserve"> </v>
      </c>
      <c r="FW262" s="362" t="str">
        <f t="shared" si="783"/>
        <v xml:space="preserve"> </v>
      </c>
      <c r="FX262" s="362" t="str">
        <f t="shared" si="784"/>
        <v xml:space="preserve"> </v>
      </c>
      <c r="FY262" s="355" t="str">
        <f t="shared" si="785"/>
        <v xml:space="preserve"> </v>
      </c>
      <c r="FZ262" s="361" t="str">
        <f t="shared" si="786"/>
        <v xml:space="preserve"> </v>
      </c>
      <c r="GA262" s="347" t="str">
        <f t="shared" si="787"/>
        <v xml:space="preserve"> </v>
      </c>
      <c r="GB262" s="355" t="str">
        <f t="shared" si="788"/>
        <v xml:space="preserve"> </v>
      </c>
      <c r="GC262" s="328" t="str">
        <f t="shared" si="789"/>
        <v xml:space="preserve"> </v>
      </c>
      <c r="GD262" s="361" t="str">
        <f t="shared" si="790"/>
        <v xml:space="preserve"> </v>
      </c>
      <c r="GE262" s="347" t="str">
        <f t="shared" si="791"/>
        <v xml:space="preserve"> </v>
      </c>
      <c r="GF262" s="361" t="str">
        <f t="shared" si="792"/>
        <v xml:space="preserve"> </v>
      </c>
      <c r="GG262" s="347" t="str">
        <f t="shared" si="793"/>
        <v xml:space="preserve"> </v>
      </c>
      <c r="GH262" s="364">
        <f t="shared" si="687"/>
        <v>0</v>
      </c>
      <c r="GI262" s="362">
        <f t="shared" si="794"/>
        <v>2</v>
      </c>
      <c r="GJ262" s="433" t="e">
        <f>IF(6-COUNTBLANK(GT262:GY262)=4,MATCH(MID(BO262,9,3),CLU!$H$16:$K$16),MATCH(MID(BO262,9,3),CLU!$H$13:$M$13))</f>
        <v>#N/A</v>
      </c>
      <c r="GK262" s="433" t="e">
        <f>HLOOKUP(VALUE(BP262),CLU!$H$9:$M$10,2)</f>
        <v>#VALUE!</v>
      </c>
      <c r="GL262" s="433" t="e">
        <f ca="1">MATCH(BU262,CLU!$H$2:$V$2,1)</f>
        <v>#VALUE!</v>
      </c>
      <c r="GM262" s="433" t="e">
        <f t="shared" ca="1" si="795"/>
        <v>#VALUE!</v>
      </c>
      <c r="GN262" s="433" t="e">
        <f t="shared" ca="1" si="796"/>
        <v>#VALUE!</v>
      </c>
      <c r="GO262" s="433" t="e">
        <f t="shared" ca="1" si="797"/>
        <v>#VALUE!</v>
      </c>
      <c r="GP262" s="433" t="e">
        <f t="shared" ca="1" si="798"/>
        <v>#VALUE!</v>
      </c>
      <c r="GQ262" s="433" t="e">
        <f t="shared" ca="1" si="799"/>
        <v>#VALUE!</v>
      </c>
      <c r="GR262" s="433" t="e">
        <f ca="1">MATCH(T262,INDIRECT(VLOOKUP(CONCATENATE(LEFT(BO262,7),"-",MID(BO262,13,1)),CLU!$P$3:$Q$16,2)),1)</f>
        <v>#N/A</v>
      </c>
      <c r="GS262" s="433" t="e">
        <f ca="1">MATCH(U262,INDIRECT(VLOOKUP(CONCATENATE(LEFT(BO262,7),"-",MID(BO262,13,1)),CLU!$P$3:$Q$16,2)),1)</f>
        <v>#N/A</v>
      </c>
      <c r="GT262" s="347" t="s">
        <v>512</v>
      </c>
      <c r="GU262" s="97" t="s">
        <v>513</v>
      </c>
      <c r="GV262" s="97" t="str">
        <f t="shared" si="800"/>
        <v>M23</v>
      </c>
      <c r="GW262" s="97" t="str">
        <f t="shared" si="801"/>
        <v>M31</v>
      </c>
      <c r="GX262" s="97" t="str">
        <f t="shared" si="802"/>
        <v/>
      </c>
      <c r="GY262" s="97" t="str">
        <f t="shared" si="803"/>
        <v/>
      </c>
      <c r="GZ262" s="481"/>
      <c r="HA262" s="240"/>
      <c r="HB262" s="240"/>
      <c r="HC262" s="240"/>
      <c r="HD262" s="240"/>
      <c r="HE262" s="240"/>
      <c r="HF262" s="240"/>
      <c r="HG262" s="240"/>
      <c r="HH262" s="240"/>
      <c r="HI262" s="240"/>
      <c r="HJ262" s="240"/>
      <c r="HK262" s="240"/>
      <c r="HL262" s="240"/>
      <c r="HM262" s="240"/>
      <c r="HN262" s="240"/>
      <c r="HO262" s="240"/>
      <c r="HP262" s="240"/>
      <c r="HQ262" s="240"/>
      <c r="HR262" s="240"/>
      <c r="HS262" s="240"/>
      <c r="HT262" s="240"/>
      <c r="HU262" s="240"/>
      <c r="HV262" s="245"/>
      <c r="HW262" s="245" t="b">
        <v>1</v>
      </c>
      <c r="HX262" s="245" t="str">
        <f t="shared" si="688"/>
        <v/>
      </c>
      <c r="HY262" s="245" t="e">
        <f t="shared" si="689"/>
        <v>#DIV/0!</v>
      </c>
      <c r="HZ262" s="245" t="e">
        <f t="shared" si="690"/>
        <v>#DIV/0!</v>
      </c>
      <c r="IA262" s="245">
        <f t="shared" si="691"/>
        <v>0</v>
      </c>
      <c r="IB262" s="245"/>
      <c r="IC262" t="b">
        <f t="shared" si="692"/>
        <v>1</v>
      </c>
      <c r="ID262" s="245" t="b">
        <f t="shared" si="693"/>
        <v>1</v>
      </c>
      <c r="IE262" s="245" t="b">
        <f t="shared" si="694"/>
        <v>1</v>
      </c>
      <c r="IF262" s="245" t="b">
        <f t="shared" si="695"/>
        <v>0</v>
      </c>
      <c r="IG262" s="245" t="b">
        <f t="shared" si="696"/>
        <v>1</v>
      </c>
      <c r="IH262" s="245" t="b">
        <f t="shared" si="697"/>
        <v>1</v>
      </c>
      <c r="II262" s="245">
        <f t="shared" si="804"/>
        <v>0</v>
      </c>
      <c r="IJ262" s="245" t="e">
        <f t="shared" si="698"/>
        <v>#VALUE!</v>
      </c>
      <c r="IK262" s="245" t="e">
        <f t="shared" si="699"/>
        <v>#VALUE!</v>
      </c>
      <c r="IL262" s="245"/>
      <c r="IM262" s="245" t="e">
        <f t="shared" si="805"/>
        <v>#N/A</v>
      </c>
      <c r="IN262" s="245" t="e">
        <f t="shared" si="806"/>
        <v>#N/A</v>
      </c>
      <c r="IO262" s="245"/>
      <c r="IP262" s="245"/>
      <c r="IQ262" s="245" t="str">
        <f t="shared" si="700"/>
        <v/>
      </c>
      <c r="IR262" s="245" t="str">
        <f>IF(J262="","",VLOOKUP(J262,Worksheet!$R$4:$T$14,2))</f>
        <v/>
      </c>
      <c r="IS262" s="245"/>
      <c r="IT262" s="245">
        <f t="shared" si="701"/>
        <v>0</v>
      </c>
      <c r="IU262" s="245">
        <f t="shared" si="702"/>
        <v>0</v>
      </c>
      <c r="IV262" s="245">
        <f t="shared" si="703"/>
        <v>0</v>
      </c>
      <c r="IW262" s="245">
        <f t="shared" si="704"/>
        <v>0</v>
      </c>
      <c r="IX262" s="245">
        <f t="shared" si="807"/>
        <v>0</v>
      </c>
      <c r="IY262" s="245">
        <f t="shared" si="705"/>
        <v>0</v>
      </c>
      <c r="IZ262" s="245">
        <f t="shared" si="706"/>
        <v>0</v>
      </c>
      <c r="JA262">
        <f t="shared" si="707"/>
        <v>0</v>
      </c>
      <c r="JB262">
        <f t="shared" si="808"/>
        <v>0</v>
      </c>
      <c r="JC262">
        <f t="shared" si="708"/>
        <v>0</v>
      </c>
      <c r="JD262">
        <f t="shared" si="709"/>
        <v>0</v>
      </c>
      <c r="JE262">
        <f t="shared" si="710"/>
        <v>0</v>
      </c>
      <c r="JF262">
        <f t="shared" si="711"/>
        <v>0</v>
      </c>
      <c r="JG262">
        <f t="shared" si="712"/>
        <v>0</v>
      </c>
      <c r="JH262">
        <f t="shared" si="713"/>
        <v>0</v>
      </c>
      <c r="JI262">
        <f t="shared" si="714"/>
        <v>0</v>
      </c>
      <c r="JJ262" s="447">
        <f t="shared" si="715"/>
        <v>0</v>
      </c>
      <c r="JK262" s="447">
        <f t="shared" si="716"/>
        <v>0</v>
      </c>
      <c r="JL262">
        <f t="shared" si="717"/>
        <v>0</v>
      </c>
      <c r="JM262" s="245" t="str">
        <f>IFERROR(VLOOKUP(MATCH(BN262,#REF!,0),#REF!,7),"")</f>
        <v/>
      </c>
      <c r="JN262" t="e">
        <f>HLOOKUP(LEFT(BO262,7),Discharge_Area,MATCH(JO262,LookUps!$B$130:$B$149,1)+2)</f>
        <v>#N/A</v>
      </c>
      <c r="JO262" t="str">
        <f t="shared" si="718"/>
        <v>- S</v>
      </c>
      <c r="JP262" t="e">
        <f>HLOOKUP(LEFT(BO262,7),Discharge_Area,MATCH(JO262,LookUps!$B$130:$B$149,1)+2)</f>
        <v>#N/A</v>
      </c>
      <c r="JQ262" t="e">
        <f t="shared" si="719"/>
        <v>#N/A</v>
      </c>
      <c r="JR262" t="e">
        <f t="shared" si="720"/>
        <v>#N/A</v>
      </c>
      <c r="JS262" t="e">
        <f t="shared" si="721"/>
        <v>#N/A</v>
      </c>
      <c r="JT262" s="532" t="str">
        <f t="shared" si="722"/>
        <v xml:space="preserve"> </v>
      </c>
      <c r="JU262" s="532" t="str">
        <f t="shared" si="723"/>
        <v xml:space="preserve"> </v>
      </c>
      <c r="JV262" s="533" t="str">
        <f t="shared" si="724"/>
        <v xml:space="preserve"> </v>
      </c>
      <c r="JW262" s="534">
        <f t="shared" si="725"/>
        <v>0</v>
      </c>
      <c r="JX262" s="535" t="str">
        <f t="shared" si="809"/>
        <v xml:space="preserve"> </v>
      </c>
      <c r="JY262" s="535" t="str">
        <f t="shared" si="810"/>
        <v xml:space="preserve"> </v>
      </c>
      <c r="JZ262" s="535" t="str">
        <f t="shared" si="811"/>
        <v xml:space="preserve"> </v>
      </c>
      <c r="KA262" s="536" t="str">
        <f t="shared" si="726"/>
        <v xml:space="preserve"> </v>
      </c>
      <c r="KB262" s="535" t="e">
        <f t="shared" si="812"/>
        <v>#VALUE!</v>
      </c>
      <c r="KC262" s="535" t="str">
        <f t="shared" si="727"/>
        <v/>
      </c>
      <c r="KD262" s="537" t="str">
        <f t="shared" si="813"/>
        <v xml:space="preserve"> </v>
      </c>
      <c r="KE262" s="537" t="str">
        <f t="shared" si="814"/>
        <v xml:space="preserve"> </v>
      </c>
      <c r="KF262" s="534">
        <f t="shared" si="728"/>
        <v>0</v>
      </c>
      <c r="KG262" s="535" t="str">
        <f t="shared" si="729"/>
        <v xml:space="preserve"> </v>
      </c>
      <c r="KH262" s="535" t="str">
        <f t="shared" si="730"/>
        <v xml:space="preserve"> </v>
      </c>
      <c r="KI262" s="535" t="str">
        <f t="shared" si="731"/>
        <v xml:space="preserve"> </v>
      </c>
      <c r="KJ262" s="536" t="str">
        <f t="shared" si="732"/>
        <v xml:space="preserve"> </v>
      </c>
      <c r="KK262" s="535" t="str">
        <f t="shared" si="815"/>
        <v xml:space="preserve"> </v>
      </c>
      <c r="KL262" s="535" t="str">
        <f t="shared" si="816"/>
        <v xml:space="preserve"> </v>
      </c>
      <c r="KM262" s="537" t="str">
        <f t="shared" si="733"/>
        <v xml:space="preserve"> </v>
      </c>
      <c r="KN262" s="537" t="str">
        <f t="shared" si="817"/>
        <v xml:space="preserve"> </v>
      </c>
      <c r="KP262">
        <f t="shared" si="734"/>
        <v>0</v>
      </c>
      <c r="LA262" t="e">
        <f t="shared" si="735"/>
        <v>#VALUE!</v>
      </c>
      <c r="LB262" t="e">
        <f t="shared" si="736"/>
        <v>#VALUE!</v>
      </c>
      <c r="LC262" t="e">
        <f t="shared" si="737"/>
        <v>#VALUE!</v>
      </c>
      <c r="LD262" t="e">
        <f t="shared" si="738"/>
        <v>#VALUE!</v>
      </c>
      <c r="LE262" t="e">
        <f t="shared" si="818"/>
        <v>#VALUE!</v>
      </c>
      <c r="LF262">
        <f t="shared" si="739"/>
        <v>0</v>
      </c>
      <c r="LG262" t="e">
        <f t="shared" si="819"/>
        <v>#VALUE!</v>
      </c>
      <c r="LH262" t="str">
        <f t="shared" si="740"/>
        <v xml:space="preserve"> </v>
      </c>
      <c r="LI262">
        <f t="shared" si="820"/>
        <v>1</v>
      </c>
    </row>
    <row r="263" spans="2:321" ht="15" customHeight="1">
      <c r="B263" s="311"/>
      <c r="C263" s="311"/>
      <c r="D263" s="312"/>
      <c r="E263" s="311"/>
      <c r="F263" s="312"/>
      <c r="G263" s="311"/>
      <c r="H263" s="311"/>
      <c r="I263" s="232"/>
      <c r="J263" s="311"/>
      <c r="K263" s="305" t="str">
        <f t="shared" si="741"/>
        <v/>
      </c>
      <c r="L263" s="313"/>
      <c r="M263" s="312"/>
      <c r="N263" s="311"/>
      <c r="O263" s="312"/>
      <c r="P263" s="311"/>
      <c r="Q263" s="305" t="str">
        <f t="shared" si="742"/>
        <v/>
      </c>
      <c r="R263" s="314"/>
      <c r="S263" s="450" t="str">
        <f t="shared" si="625"/>
        <v/>
      </c>
      <c r="T263" s="315"/>
      <c r="U263" s="315"/>
      <c r="W263" s="149" t="str">
        <f t="shared" si="626"/>
        <v xml:space="preserve"> </v>
      </c>
      <c r="X263" s="243" t="str">
        <f t="shared" si="627"/>
        <v xml:space="preserve"> </v>
      </c>
      <c r="Y263" s="150" t="str">
        <f t="shared" si="628"/>
        <v/>
      </c>
      <c r="Z263" s="149" t="str">
        <f t="shared" si="629"/>
        <v xml:space="preserve"> </v>
      </c>
      <c r="AA263" s="98" t="str">
        <f t="shared" si="630"/>
        <v xml:space="preserve"> </v>
      </c>
      <c r="AB263" s="153" t="str">
        <f t="shared" si="631"/>
        <v xml:space="preserve"> </v>
      </c>
      <c r="AC263" s="153" t="str">
        <f t="shared" si="632"/>
        <v xml:space="preserve"> </v>
      </c>
      <c r="AD263" s="148" t="str">
        <f t="shared" si="633"/>
        <v/>
      </c>
      <c r="AE263" s="149" t="str">
        <f t="shared" si="634"/>
        <v/>
      </c>
      <c r="AF263" s="151" t="str">
        <f t="shared" si="635"/>
        <v xml:space="preserve"> </v>
      </c>
      <c r="AG263" s="153" t="str">
        <f t="shared" si="636"/>
        <v xml:space="preserve"> </v>
      </c>
      <c r="AH263" s="98" t="str">
        <f t="shared" si="637"/>
        <v xml:space="preserve"> </v>
      </c>
      <c r="AI263" s="149" t="str">
        <f t="shared" si="638"/>
        <v xml:space="preserve"> </v>
      </c>
      <c r="AK263" s="144" t="str">
        <f t="shared" si="639"/>
        <v xml:space="preserve"> </v>
      </c>
      <c r="AL263" s="144"/>
      <c r="AM263" s="243" t="str">
        <f t="shared" si="640"/>
        <v xml:space="preserve"> </v>
      </c>
      <c r="AN263" s="149" t="str">
        <f t="shared" si="743"/>
        <v xml:space="preserve"> </v>
      </c>
      <c r="AO263" s="144" t="str">
        <f>IF(JB263&gt;0,IF(GI263=10,-R263*1.085*(Calculation!$F$6-Calculation!$F$13)*$S$14," "),"")</f>
        <v/>
      </c>
      <c r="AP263" s="144" t="str">
        <f t="shared" si="641"/>
        <v/>
      </c>
      <c r="AQ263" s="56" t="str">
        <f t="shared" si="642"/>
        <v/>
      </c>
      <c r="AR263" s="144" t="str">
        <f t="shared" si="643"/>
        <v/>
      </c>
      <c r="AS263" s="176" t="str">
        <f t="shared" si="644"/>
        <v/>
      </c>
      <c r="AT263" s="176" t="str">
        <f t="shared" si="744"/>
        <v xml:space="preserve"> </v>
      </c>
      <c r="AU263" s="176" t="str">
        <f t="shared" si="645"/>
        <v/>
      </c>
      <c r="AV263" s="177" t="str">
        <f t="shared" si="646"/>
        <v xml:space="preserve"> </v>
      </c>
      <c r="AW263" s="144" t="str">
        <f t="shared" si="647"/>
        <v xml:space="preserve"> </v>
      </c>
      <c r="AX263" s="144" t="str">
        <f t="shared" si="648"/>
        <v xml:space="preserve"> </v>
      </c>
      <c r="AY263" s="152" t="str">
        <f t="shared" si="649"/>
        <v xml:space="preserve"> </v>
      </c>
      <c r="AZ263" s="246" t="str">
        <f t="shared" si="650"/>
        <v/>
      </c>
      <c r="BA263" s="176" t="str">
        <f t="shared" si="651"/>
        <v xml:space="preserve"> </v>
      </c>
      <c r="BB263" s="176" t="str">
        <f t="shared" si="652"/>
        <v xml:space="preserve"> </v>
      </c>
      <c r="BC263" s="195"/>
      <c r="BD263" s="316"/>
      <c r="BE263" s="317"/>
      <c r="BF263" s="318"/>
      <c r="BG263" s="318"/>
      <c r="BH263" s="144" t="str">
        <f t="shared" si="821"/>
        <v xml:space="preserve"> </v>
      </c>
      <c r="BI263" s="176" t="str">
        <f t="shared" si="653"/>
        <v/>
      </c>
      <c r="BJ263" s="144" t="str">
        <f t="shared" si="822"/>
        <v/>
      </c>
      <c r="BK263" s="246" t="str">
        <f t="shared" si="654"/>
        <v/>
      </c>
      <c r="BL263" s="144" t="str">
        <f t="shared" si="823"/>
        <v/>
      </c>
      <c r="BM263" s="246" t="str">
        <f t="shared" si="655"/>
        <v/>
      </c>
      <c r="BN263" s="337" t="str">
        <f t="shared" si="745"/>
        <v/>
      </c>
      <c r="BO263" s="371" t="str">
        <f t="shared" si="746"/>
        <v/>
      </c>
      <c r="BP263" s="328" t="str">
        <f t="shared" si="824"/>
        <v xml:space="preserve"> </v>
      </c>
      <c r="BQ263" s="347" t="str">
        <f t="shared" si="747"/>
        <v xml:space="preserve"> </v>
      </c>
      <c r="BR263" s="353" t="str">
        <f t="shared" si="748"/>
        <v xml:space="preserve"> </v>
      </c>
      <c r="BS263" s="626" t="str">
        <f>IF(L263&gt;0,IF(Calculation!P263="M13",BR263*3.1416*(0.134^2)/(4*144),IF(Calculation!P263="M17",BR263*3.1416*(0.165^2)/(4*144),IF(Calculation!P263="M20",BR263*3.1416*(0.198^2)/(4*144),IF(Calculation!P263="M23",BR263*3.1416*(0.228^2)/(4*144),IF(Calculation!P263="M27",BR263*3.1416*(0.269^2)/(4*144),BR263*3.1416*(0.307^2)/(4*144))))))," ")</f>
        <v xml:space="preserve"> </v>
      </c>
      <c r="BT263" s="353" t="str">
        <f>IF(L263&gt;0,IF(BS263&gt;0,R263/Calculation!BS263,0)," ")</f>
        <v xml:space="preserve"> </v>
      </c>
      <c r="BU263" s="438" t="e">
        <f t="shared" ca="1" si="656"/>
        <v>#VALUE!</v>
      </c>
      <c r="BV263" s="449" t="e">
        <f ca="1">INDEX(INDIRECT(VLOOKUP(LEFT(BO263,7),CLU!$Z$3:$AH$18,2)),GN263,GR263)</f>
        <v>#N/A</v>
      </c>
      <c r="BW263" s="433" t="e">
        <f ca="1">INDEX(INDIRECT(VLOOKUP(LEFT(BO263,7),CLU!$Z$3:$AH$18,3)),GN263,GR263)</f>
        <v>#N/A</v>
      </c>
      <c r="BX263" s="433" t="e">
        <f ca="1">INDEX(INDIRECT(VLOOKUP(LEFT(BO263,7),CLU!$Z$3:$AH$18,4)),GN263,GR263)</f>
        <v>#N/A</v>
      </c>
      <c r="BY263" s="433" t="e">
        <f ca="1">INDEX(INDIRECT(VLOOKUP(LEFT(BO263,7),CLU!$Z$3:$AH$18,9)),((M263-2)*(6-COUNTBLANK(GT263:GY263)))+GJ263)</f>
        <v>#N/A</v>
      </c>
      <c r="BZ263" s="426" t="e">
        <f t="shared" ca="1" si="749"/>
        <v>#N/A</v>
      </c>
      <c r="CA263" s="424" t="e">
        <f t="shared" ca="1" si="750"/>
        <v>#N/A</v>
      </c>
      <c r="CB263" s="429" t="e">
        <f ca="1">INDEX(INDIRECT(VLOOKUP(LEFT(BO263,7),CLU!$Z$3:$AH$18,2)),GN263,GS263)</f>
        <v>#N/A</v>
      </c>
      <c r="CC263" s="342" t="e">
        <f ca="1">INDEX(INDIRECT(VLOOKUP(LEFT(BO263,7),CLU!$Z$3:$AH$18,3)),GN263,GS263)</f>
        <v>#N/A</v>
      </c>
      <c r="CD263" s="342" t="e">
        <f ca="1">INDEX(INDIRECT(VLOOKUP(LEFT(BO263,7),CLU!$Z$3:$AH$18,4)),GN263,GS263)</f>
        <v>#N/A</v>
      </c>
      <c r="CE263" s="426" t="e">
        <f t="shared" ca="1" si="751"/>
        <v>#N/A</v>
      </c>
      <c r="CF263" s="440">
        <f t="shared" si="752"/>
        <v>0</v>
      </c>
      <c r="CG263" s="431" t="e">
        <f ca="1">INDEX(INDIRECT(VLOOKUP(LEFT(BO263,7),CLU!$Z$3:$AH$18,2)),GQ263,GR263)</f>
        <v>#N/A</v>
      </c>
      <c r="CH263" s="431" t="e">
        <f ca="1">INDEX(INDIRECT(VLOOKUP(LEFT(BO263,7),CLU!$Z$3:$AH$18,3)),GQ263,GR263)</f>
        <v>#N/A</v>
      </c>
      <c r="CI263" s="431" t="e">
        <f ca="1">INDEX(INDIRECT(VLOOKUP(LEFT(BO263,7),CLU!$Z$3:$AH$18,4)),GQ263,GR263)</f>
        <v>#N/A</v>
      </c>
      <c r="CJ263" s="448" t="e">
        <f t="shared" ca="1" si="753"/>
        <v>#N/A</v>
      </c>
      <c r="CK263" s="431" t="e">
        <f t="shared" ca="1" si="754"/>
        <v>#N/A</v>
      </c>
      <c r="CL263" s="440" t="e">
        <f t="shared" ca="1" si="755"/>
        <v>#N/A</v>
      </c>
      <c r="CM263" s="431" t="e">
        <f ca="1">INDEX(INDIRECT(VLOOKUP(LEFT(BO263,7),CLU!$Z$3:$AH$18,2)),GQ263,GS263)</f>
        <v>#N/A</v>
      </c>
      <c r="CN263" s="431" t="e">
        <f ca="1">INDEX(INDIRECT(VLOOKUP(LEFT(BO263,7),CLU!$Z$3:$AH$18,3)),GQ263,GS263)</f>
        <v>#N/A</v>
      </c>
      <c r="CO263" s="431" t="e">
        <f ca="1">INDEX(INDIRECT(VLOOKUP(LEFT(BO263,7),CLU!$Z$3:$AH$18,4)),GQ263,GS263)</f>
        <v>#N/A</v>
      </c>
      <c r="CP263" s="431" t="e">
        <f t="shared" ca="1" si="756"/>
        <v>#N/A</v>
      </c>
      <c r="CQ263" s="440">
        <f t="shared" si="757"/>
        <v>0</v>
      </c>
      <c r="CR263" s="51" t="e">
        <f t="shared" ca="1" si="758"/>
        <v>#N/A</v>
      </c>
      <c r="CS263" s="439" t="e">
        <f t="shared" ca="1" si="759"/>
        <v>#VALUE!</v>
      </c>
      <c r="CT263" s="51" t="e">
        <f t="shared" ca="1" si="760"/>
        <v>#VALUE!</v>
      </c>
      <c r="CU263" s="10"/>
      <c r="CV263" s="51" t="e">
        <f t="shared" ca="1" si="657"/>
        <v>#VALUE!</v>
      </c>
      <c r="CW263" s="51">
        <f t="shared" si="761"/>
        <v>0</v>
      </c>
      <c r="CX263" s="439" t="e">
        <f t="shared" ca="1" si="762"/>
        <v>#VALUE!</v>
      </c>
      <c r="CY263" s="51" t="e">
        <f t="shared" ca="1" si="763"/>
        <v>#VALUE!</v>
      </c>
      <c r="CZ263" s="10"/>
      <c r="DA263" s="51" t="e">
        <f t="shared" ca="1" si="764"/>
        <v>#VALUE!</v>
      </c>
      <c r="DB263" s="347" t="e">
        <f ca="1">INDEX(INDIRECT(VLOOKUP(LEFT(BO263,7),CLU!$Z$3:$AI$18,10)),((M263-2)*(6-COUNTBLANK(GT263:GY263)))+GJ263)*LI263</f>
        <v>#N/A</v>
      </c>
      <c r="DC263" s="347" t="str">
        <f>IF(L263&gt;0,((R263/Worksheet!$I$15)/DB263)^2," ")</f>
        <v xml:space="preserve"> </v>
      </c>
      <c r="DD263" s="602" t="str">
        <f t="shared" si="765"/>
        <v xml:space="preserve"> </v>
      </c>
      <c r="DE263" s="347" t="str">
        <f t="shared" si="658"/>
        <v xml:space="preserve"> </v>
      </c>
      <c r="DF263" s="356" t="e">
        <f ca="1">INDEX(INDIRECT(VLOOKUP(LEFT(BO263,7),CLU!$Z$3:$AH$18,8)),((M263-2)*(6-COUNTBLANK(GT263:GY263)))+GJ263)</f>
        <v>#N/A</v>
      </c>
      <c r="DG263" s="347" t="str">
        <f t="shared" si="659"/>
        <v xml:space="preserve"> </v>
      </c>
      <c r="DH263" s="357" t="str">
        <f t="shared" si="660"/>
        <v xml:space="preserve"> </v>
      </c>
      <c r="DI263" s="355" t="str">
        <f t="shared" si="661"/>
        <v xml:space="preserve"> </v>
      </c>
      <c r="DJ263" s="245" t="e">
        <f ca="1">INDEX(INDIRECT(VLOOKUP(LEFT(BO263,7),CLU!$Z$3:$AH$18,5)),GL263,GK263)</f>
        <v>#N/A</v>
      </c>
      <c r="DK263" s="245" t="e">
        <f ca="1">INDEX(INDIRECT(VLOOKUP(LEFT(BO263,7),CLU!$Z$3:$AH$18,6)),GL263,GK263)</f>
        <v>#N/A</v>
      </c>
      <c r="DL263" s="355">
        <f>(Calculation!R263*0.69143*(Calculation!$BQ$8-Calculation!$F$8))*$S$14</f>
        <v>0</v>
      </c>
      <c r="DM263" s="359" t="e">
        <f t="shared" si="766"/>
        <v>#VALUE!</v>
      </c>
      <c r="DN263" s="611">
        <f t="shared" si="767"/>
        <v>0</v>
      </c>
      <c r="DO263" s="359">
        <f t="shared" si="768"/>
        <v>100</v>
      </c>
      <c r="DP263" s="359">
        <f t="shared" si="769"/>
        <v>0</v>
      </c>
      <c r="DQ263" s="360"/>
      <c r="DR263" s="245" t="e">
        <f ca="1">INDEX(INDIRECT(VLOOKUP(LEFT(BO263,7),CLU!$Z$3:$AH$18,7)),M263-1,1)</f>
        <v>#N/A</v>
      </c>
      <c r="DS263" s="245" t="e">
        <f ca="1">INDEX(INDIRECT(VLOOKUP(LEFT(BO263,7),CLU!$Z$3:$AH$18,7)),M263-1,2)</f>
        <v>#N/A</v>
      </c>
      <c r="DT263" s="245" t="e">
        <f ca="1">INDEX(INDIRECT(VLOOKUP(LEFT(BO263,7),CLU!$Z$3:$AH$18,7)),M263-1,3)</f>
        <v>#N/A</v>
      </c>
      <c r="DU263" s="245" t="e">
        <f ca="1">INDEX(INDIRECT(VLOOKUP(LEFT(BO263,7),CLU!$Z$3:$AH$18,7)),M263-1,4)</f>
        <v>#N/A</v>
      </c>
      <c r="DV263" s="361" t="e">
        <f ca="1">INDEX(INDIRECT(VLOOKUP(LEFT(BO263,7),CLU!$Z$3:$AH$18,7)),M263-1,4+LEFT(DZ263,1)*0.5)</f>
        <v>#N/A</v>
      </c>
      <c r="DW263" s="245" t="e">
        <f ca="1">INDEX(INDIRECT(VLOOKUP(LEFT(BO263,7),CLU!$Z$3:$AH$18,7)),M263-1,8)</f>
        <v>#N/A</v>
      </c>
      <c r="DX263" s="361" t="str">
        <f t="shared" si="662"/>
        <v xml:space="preserve"> </v>
      </c>
      <c r="DY263" s="361" t="str">
        <f t="shared" si="663"/>
        <v xml:space="preserve"> </v>
      </c>
      <c r="DZ263" s="361" t="str">
        <f t="shared" si="664"/>
        <v xml:space="preserve"> </v>
      </c>
      <c r="EA263" s="362" t="str">
        <f t="shared" si="665"/>
        <v xml:space="preserve"> </v>
      </c>
      <c r="EB263" s="624" t="str">
        <f t="shared" si="770"/>
        <v xml:space="preserve"> </v>
      </c>
      <c r="EC263" s="361" t="e">
        <f ca="1">INDEX(INDIRECT(VLOOKUP(LEFT(BO263,7),CLU!$Z$3:$AH$18,7)),M263-1,4+LEFT(DZ263,1)*0.5)</f>
        <v>#N/A</v>
      </c>
      <c r="ED263" s="362" t="str">
        <f t="shared" si="666"/>
        <v xml:space="preserve"> </v>
      </c>
      <c r="EE263" s="361" t="str">
        <f t="shared" si="667"/>
        <v xml:space="preserve"> </v>
      </c>
      <c r="EF263" s="362" t="str">
        <f>IF(L263&gt;0,IF(BR263&gt;0,IF(EE263="2P",IF(Calculation!DZ263="2P",IF(Calculation!DS263=13.75,IF(Calculation!DR263=13,Worksheet!$BD$43,IF(Calculation!DR263=37,Worksheet!$BD$44,Worksheet!$BD$45)),IF(Calculation!DS263=10,IF(Calculation!DR263=18,Worksheet!$BD$29,IF(Calculation!DR263=30,Worksheet!$BD$30,IF(Calculation!DR263=42,Worksheet!$BD$31,IF(Calculation!DR263=54,Worksheet!$BD$32,IF(Calculation!DR263=66,Worksheet!$BD$33,IF(Calculation!DR263=78,Worksheet!$BD$34,IF(Calculation!DR263=90,Worksheet!$BD$35,IF(Calculation!DR263=102,Worksheet!$BD$36,Worksheet!$BD$37)))))))),IF(Calculation!DS263=12.5,IF(Calculation!DR263=18,Worksheet!$BD$38,IF(Calculation!DR263=Worksheet!$BD$39,IF(Calculation!DR263=42,Worksheet!$BD$40,IF(Calculation!DR263=54,Worksheet!$BD$41,Worksheet!$BD$42)))),IF(Calculation!DR263=18,Worksheet!$BD$11,IF(Calculation!DR263=30,Worksheet!$BD$12,IF(Calculation!DR263=42,Worksheet!$BD$13,IF(Calculation!DR263=54,Worksheet!$BD$14,IF(Calculation!DR263=66,Worksheet!$BD$15,IF(Calculation!DR263=78,Worksheet!$BD$16,IF(Calculation!DR263=90,Worksheet!$BD$17,IF(Calculation!DR263=102,Worksheet!$BD$18,Worksheet!$BD$19))))))))))),IF(Calculation!DS263=13.75,IF(Calculation!DR263=13,Worksheet!$BD$78,IF(Calculation!DR263=37,Worksheet!$BD$79,Worksheet!$BD$80)),IF(Calculation!DS263=10,IF(Calculation!DR263=18,Worksheet!$BD$64,IF(Calculation!DR263=30,Worksheet!$BD$65,IF(Calculation!DR263=42,Worksheet!$BD$66,IF(Calculation!DR263=54,Worksheet!$BD$68,IF(Calculation!DR263=66,Worksheet!$BD$68,IF(Calculation!DR263=78,Worksheet!$BD$69,IF(Calculation!DR263=90,Worksheet!$BD$70,IF(Calculation!DR263=102,Worksheet!$BD$71,Worksheet!$BD$72)))))))),IF(Calculation!DS263=12.5,IF(Calculation!DR263=18,Worksheet!$BD$73,IF(Calculation!DR263=Worksheet!$BD$74,IF(Calculation!DR263=42,Worksheet!$BD$75,IF(Calculation!DR263=54,Worksheet!$BD$76,Worksheet!$BD$77)))),IF(Calculation!DR263=18,Worksheet!$BD$55,IF(Calculation!DR263=30,Worksheet!$BD$56,IF(Calculation!DR263=42,Worksheet!$BD$57,IF(Calculation!DR263=54,Worksheet!$BD$58,IF(Calculation!DR263=66,Worksheet!$BD$59,IF(Calculation!DR263=78,Worksheet!$BD$60,IF(Calculation!DR263=90,Worksheet!$BD$61,IF(Calculation!DR263=102,Worksheet!$BD$62,Worksheet!$BD$63)))))))))))),5),0)," ")</f>
        <v xml:space="preserve"> </v>
      </c>
      <c r="EG263" s="361" t="str">
        <f t="shared" si="668"/>
        <v xml:space="preserve"> </v>
      </c>
      <c r="EH263" s="361" t="e">
        <f ca="1">INDEX(INDIRECT(VLOOKUP(LEFT(BO263,7),CLU!$Z$3:$AH$18,7)),M263-1,3+LEFT(DZ263,1))</f>
        <v>#N/A</v>
      </c>
      <c r="EI263" s="362" t="str">
        <f t="shared" si="669"/>
        <v xml:space="preserve"> </v>
      </c>
      <c r="EJ263" s="363" t="str">
        <f t="shared" si="670"/>
        <v xml:space="preserve"> </v>
      </c>
      <c r="EK263" s="363" t="str">
        <f t="shared" si="671"/>
        <v xml:space="preserve"> </v>
      </c>
      <c r="EL263" s="363" t="str">
        <f t="shared" si="672"/>
        <v xml:space="preserve"> </v>
      </c>
      <c r="EM263" s="362" t="str">
        <f>IF(L263&gt;0,IF(BR263&gt;0,(Calculation!T263/ED263)^2,0)," ")</f>
        <v xml:space="preserve"> </v>
      </c>
      <c r="EN263" s="362" t="str">
        <f>IF(L263&gt;0,IF(O263="2 Pipe (Cooling)","N/A",IF(BR263&gt;0,(Calculation!U263/EI263)^2,0))," ")</f>
        <v xml:space="preserve"> </v>
      </c>
      <c r="EO263" s="361" t="str">
        <f t="shared" si="673"/>
        <v/>
      </c>
      <c r="EP263" s="361" t="str">
        <f t="shared" si="674"/>
        <v/>
      </c>
      <c r="EQ263" s="361" t="str">
        <f t="shared" si="675"/>
        <v/>
      </c>
      <c r="ER263" s="361" t="str">
        <f t="shared" si="676"/>
        <v/>
      </c>
      <c r="ES263" s="361" t="str">
        <f t="shared" si="677"/>
        <v/>
      </c>
      <c r="ET263" s="361" t="str">
        <f t="shared" si="678"/>
        <v/>
      </c>
      <c r="EU263" s="361" t="str">
        <f t="shared" si="679"/>
        <v/>
      </c>
      <c r="EV263" s="361" t="str">
        <f t="shared" si="680"/>
        <v/>
      </c>
      <c r="EW263" s="361" t="str">
        <f t="shared" si="681"/>
        <v/>
      </c>
      <c r="EX263" s="361" t="str">
        <f t="shared" si="771"/>
        <v>1 slot, 1 way</v>
      </c>
      <c r="EY263" s="361" t="str">
        <f t="shared" si="772"/>
        <v xml:space="preserve"> </v>
      </c>
      <c r="EZ263" s="361" t="str">
        <f t="shared" si="773"/>
        <v xml:space="preserve"> </v>
      </c>
      <c r="FA263" s="361" t="str">
        <f t="shared" si="774"/>
        <v xml:space="preserve"> </v>
      </c>
      <c r="FB263" s="361" t="str">
        <f t="shared" si="775"/>
        <v xml:space="preserve"> </v>
      </c>
      <c r="FC263" s="361"/>
      <c r="FD263" s="361" t="str">
        <f>IF(J263&gt;0,IF(Calculation!R263&lt;=70,4,IF(Calculation!R263&lt;=110,5,IF(Calculation!R263&lt;=160,6,IF(Calculation!R263&lt;=300,8,"10 EO")))),"")</f>
        <v/>
      </c>
      <c r="FE263" s="361" t="str">
        <f t="shared" si="776"/>
        <v/>
      </c>
      <c r="FF263" s="361" t="str">
        <f t="shared" si="777"/>
        <v/>
      </c>
      <c r="FG263" s="361" t="e">
        <f t="shared" si="682"/>
        <v>#N/A</v>
      </c>
      <c r="FH263" s="361">
        <f t="shared" si="683"/>
        <v>0</v>
      </c>
      <c r="FI263" s="361" t="e">
        <f t="shared" si="684"/>
        <v>#DIV/0!</v>
      </c>
      <c r="FJ263" s="361"/>
      <c r="FK263" s="356" t="e">
        <f t="shared" si="685"/>
        <v>#VALUE!</v>
      </c>
      <c r="FL263" s="361"/>
      <c r="FM263" s="361"/>
      <c r="FN263" s="362" t="str">
        <f t="shared" si="778"/>
        <v xml:space="preserve"> </v>
      </c>
      <c r="FO263" s="362" t="str">
        <f t="shared" si="779"/>
        <v xml:space="preserve"> </v>
      </c>
      <c r="FP263" s="362">
        <f t="shared" si="780"/>
        <v>0</v>
      </c>
      <c r="FQ263" s="361">
        <f t="shared" si="686"/>
        <v>0</v>
      </c>
      <c r="FR263" s="362" t="str">
        <f>IF(L263&gt;0,IF(J263="CBAL2",Worksheet!$P$67,IF(J263="CBE2-24",Worksheet!$Q$67,IF(J263="CBAM",Worksheet!$R$67,IF(J263="CBLV",Worksheet!$S$67,IF(J263="CBAB",Worksheet!$U$67,IF(J263="CBAW",Worksheet!$X$67,IF(J263="CBE2-12",Worksheet!$Y$67,IF(J263="CBAL2",Worksheet!$Z$67,"N/A"))))))))," ")</f>
        <v xml:space="preserve"> </v>
      </c>
      <c r="FS263" s="362" t="str">
        <f>IF(L263&gt;0,IF(J263="CBAL2",Worksheet!$P$68,IF(J263="CBE2-24",Worksheet!$Q$68,IF(J263="CBAM",Worksheet!$R$68,IF(J263="CBLV",Worksheet!$S$68,IF(J263="CBAB",Worksheet!$U$68,IF(J263="CBAW",Worksheet!$X$68,IF(J263="CBE2-12",Worksheet!$Y$68,IF(J263="CBAL2",Worksheet!$Z$68,"N/A"))))))))," ")</f>
        <v xml:space="preserve"> </v>
      </c>
      <c r="FT263" s="362" t="str">
        <f>IF(L263&gt;0,IF(J263="CBAL2",Worksheet!$P$69,IF(J263="CBE2-24",Worksheet!$Q$69,IF(J263="CBAM",Worksheet!$R$69,IF(J263="CBLV",Worksheet!$S$69,IF(J263="CBAB",Worksheet!$U$69,IF(J263="CBAW",Worksheet!$X$69,IF(J263="CBE2-12",Worksheet!$Y$69,IF(J263="CBAL2",Worksheet!$Z$69,"N/A"))))))))," ")</f>
        <v xml:space="preserve"> </v>
      </c>
      <c r="FU263" s="361" t="str">
        <f t="shared" si="781"/>
        <v xml:space="preserve"> </v>
      </c>
      <c r="FV263" s="362" t="str">
        <f t="shared" si="782"/>
        <v xml:space="preserve"> </v>
      </c>
      <c r="FW263" s="362" t="str">
        <f t="shared" si="783"/>
        <v xml:space="preserve"> </v>
      </c>
      <c r="FX263" s="362" t="str">
        <f t="shared" si="784"/>
        <v xml:space="preserve"> </v>
      </c>
      <c r="FY263" s="355" t="str">
        <f t="shared" si="785"/>
        <v xml:space="preserve"> </v>
      </c>
      <c r="FZ263" s="361" t="str">
        <f t="shared" si="786"/>
        <v xml:space="preserve"> </v>
      </c>
      <c r="GA263" s="347" t="str">
        <f t="shared" si="787"/>
        <v xml:space="preserve"> </v>
      </c>
      <c r="GB263" s="355" t="str">
        <f t="shared" si="788"/>
        <v xml:space="preserve"> </v>
      </c>
      <c r="GC263" s="328" t="str">
        <f t="shared" si="789"/>
        <v xml:space="preserve"> </v>
      </c>
      <c r="GD263" s="361" t="str">
        <f t="shared" si="790"/>
        <v xml:space="preserve"> </v>
      </c>
      <c r="GE263" s="347" t="str">
        <f t="shared" si="791"/>
        <v xml:space="preserve"> </v>
      </c>
      <c r="GF263" s="361" t="str">
        <f t="shared" si="792"/>
        <v xml:space="preserve"> </v>
      </c>
      <c r="GG263" s="347" t="str">
        <f t="shared" si="793"/>
        <v xml:space="preserve"> </v>
      </c>
      <c r="GH263" s="364">
        <f t="shared" si="687"/>
        <v>0</v>
      </c>
      <c r="GI263" s="362">
        <f t="shared" si="794"/>
        <v>2</v>
      </c>
      <c r="GJ263" s="433" t="e">
        <f>IF(6-COUNTBLANK(GT263:GY263)=4,MATCH(MID(BO263,9,3),CLU!$H$16:$K$16),MATCH(MID(BO263,9,3),CLU!$H$13:$M$13))</f>
        <v>#N/A</v>
      </c>
      <c r="GK263" s="433" t="e">
        <f>HLOOKUP(VALUE(BP263),CLU!$H$9:$M$10,2)</f>
        <v>#VALUE!</v>
      </c>
      <c r="GL263" s="433" t="e">
        <f ca="1">MATCH(BU263,CLU!$H$2:$V$2,1)</f>
        <v>#VALUE!</v>
      </c>
      <c r="GM263" s="433" t="e">
        <f t="shared" ca="1" si="795"/>
        <v>#VALUE!</v>
      </c>
      <c r="GN263" s="433" t="e">
        <f t="shared" ca="1" si="796"/>
        <v>#VALUE!</v>
      </c>
      <c r="GO263" s="433" t="e">
        <f t="shared" ca="1" si="797"/>
        <v>#VALUE!</v>
      </c>
      <c r="GP263" s="433" t="e">
        <f t="shared" ca="1" si="798"/>
        <v>#VALUE!</v>
      </c>
      <c r="GQ263" s="433" t="e">
        <f t="shared" ca="1" si="799"/>
        <v>#VALUE!</v>
      </c>
      <c r="GR263" s="433" t="e">
        <f ca="1">MATCH(T263,INDIRECT(VLOOKUP(CONCATENATE(LEFT(BO263,7),"-",MID(BO263,13,1)),CLU!$P$3:$Q$16,2)),1)</f>
        <v>#N/A</v>
      </c>
      <c r="GS263" s="433" t="e">
        <f ca="1">MATCH(U263,INDIRECT(VLOOKUP(CONCATENATE(LEFT(BO263,7),"-",MID(BO263,13,1)),CLU!$P$3:$Q$16,2)),1)</f>
        <v>#N/A</v>
      </c>
      <c r="GT263" s="347" t="s">
        <v>512</v>
      </c>
      <c r="GU263" s="97" t="s">
        <v>513</v>
      </c>
      <c r="GV263" s="97" t="str">
        <f t="shared" si="800"/>
        <v>M23</v>
      </c>
      <c r="GW263" s="97" t="str">
        <f t="shared" si="801"/>
        <v>M31</v>
      </c>
      <c r="GX263" s="97" t="str">
        <f t="shared" si="802"/>
        <v/>
      </c>
      <c r="GY263" s="97" t="str">
        <f t="shared" si="803"/>
        <v/>
      </c>
      <c r="GZ263" s="481"/>
      <c r="HA263" s="240"/>
      <c r="HB263" s="240"/>
      <c r="HC263" s="240"/>
      <c r="HD263" s="240"/>
      <c r="HE263" s="240"/>
      <c r="HF263" s="240"/>
      <c r="HG263" s="240"/>
      <c r="HH263" s="240"/>
      <c r="HI263" s="240"/>
      <c r="HJ263" s="240"/>
      <c r="HK263" s="240"/>
      <c r="HL263" s="240"/>
      <c r="HM263" s="240"/>
      <c r="HN263" s="240"/>
      <c r="HO263" s="240"/>
      <c r="HP263" s="240"/>
      <c r="HQ263" s="240"/>
      <c r="HR263" s="240"/>
      <c r="HS263" s="240"/>
      <c r="HT263" s="240"/>
      <c r="HU263" s="240"/>
      <c r="HV263" s="245"/>
      <c r="HW263" s="245" t="b">
        <v>1</v>
      </c>
      <c r="HX263" s="245" t="str">
        <f t="shared" si="688"/>
        <v/>
      </c>
      <c r="HY263" s="245" t="e">
        <f t="shared" si="689"/>
        <v>#DIV/0!</v>
      </c>
      <c r="HZ263" s="245" t="e">
        <f t="shared" si="690"/>
        <v>#DIV/0!</v>
      </c>
      <c r="IA263" s="245">
        <f t="shared" si="691"/>
        <v>0</v>
      </c>
      <c r="IB263" s="245"/>
      <c r="IC263" t="b">
        <f t="shared" si="692"/>
        <v>1</v>
      </c>
      <c r="ID263" s="245" t="b">
        <f t="shared" si="693"/>
        <v>1</v>
      </c>
      <c r="IE263" s="245" t="b">
        <f t="shared" si="694"/>
        <v>1</v>
      </c>
      <c r="IF263" s="245" t="b">
        <f t="shared" si="695"/>
        <v>0</v>
      </c>
      <c r="IG263" s="245" t="b">
        <f t="shared" si="696"/>
        <v>1</v>
      </c>
      <c r="IH263" s="245" t="b">
        <f t="shared" si="697"/>
        <v>1</v>
      </c>
      <c r="II263" s="245">
        <f t="shared" si="804"/>
        <v>0</v>
      </c>
      <c r="IJ263" s="245" t="e">
        <f t="shared" si="698"/>
        <v>#VALUE!</v>
      </c>
      <c r="IK263" s="245" t="e">
        <f t="shared" si="699"/>
        <v>#VALUE!</v>
      </c>
      <c r="IL263" s="245"/>
      <c r="IM263" s="245" t="e">
        <f t="shared" si="805"/>
        <v>#N/A</v>
      </c>
      <c r="IN263" s="245" t="e">
        <f t="shared" si="806"/>
        <v>#N/A</v>
      </c>
      <c r="IO263" s="245"/>
      <c r="IP263" s="245"/>
      <c r="IQ263" s="245" t="str">
        <f t="shared" si="700"/>
        <v/>
      </c>
      <c r="IR263" s="245" t="str">
        <f>IF(J263="","",VLOOKUP(J263,Worksheet!$R$4:$T$14,2))</f>
        <v/>
      </c>
      <c r="IS263" s="245"/>
      <c r="IT263" s="245">
        <f t="shared" si="701"/>
        <v>0</v>
      </c>
      <c r="IU263" s="245">
        <f t="shared" si="702"/>
        <v>0</v>
      </c>
      <c r="IV263" s="245">
        <f t="shared" si="703"/>
        <v>0</v>
      </c>
      <c r="IW263" s="245">
        <f t="shared" si="704"/>
        <v>0</v>
      </c>
      <c r="IX263" s="245">
        <f t="shared" si="807"/>
        <v>0</v>
      </c>
      <c r="IY263" s="245">
        <f t="shared" si="705"/>
        <v>0</v>
      </c>
      <c r="IZ263" s="245">
        <f t="shared" si="706"/>
        <v>0</v>
      </c>
      <c r="JA263">
        <f t="shared" si="707"/>
        <v>0</v>
      </c>
      <c r="JB263">
        <f t="shared" si="808"/>
        <v>0</v>
      </c>
      <c r="JC263">
        <f t="shared" si="708"/>
        <v>0</v>
      </c>
      <c r="JD263">
        <f t="shared" si="709"/>
        <v>0</v>
      </c>
      <c r="JE263">
        <f t="shared" si="710"/>
        <v>0</v>
      </c>
      <c r="JF263">
        <f t="shared" si="711"/>
        <v>0</v>
      </c>
      <c r="JG263">
        <f t="shared" si="712"/>
        <v>0</v>
      </c>
      <c r="JH263">
        <f t="shared" si="713"/>
        <v>0</v>
      </c>
      <c r="JI263">
        <f t="shared" si="714"/>
        <v>0</v>
      </c>
      <c r="JJ263" s="447">
        <f t="shared" si="715"/>
        <v>0</v>
      </c>
      <c r="JK263" s="447">
        <f t="shared" si="716"/>
        <v>0</v>
      </c>
      <c r="JL263">
        <f t="shared" si="717"/>
        <v>0</v>
      </c>
      <c r="JM263" s="245" t="str">
        <f>IFERROR(VLOOKUP(MATCH(BN263,#REF!,0),#REF!,7),"")</f>
        <v/>
      </c>
      <c r="JN263" t="e">
        <f>HLOOKUP(LEFT(BO263,7),Discharge_Area,MATCH(JO263,LookUps!$B$130:$B$149,1)+2)</f>
        <v>#N/A</v>
      </c>
      <c r="JO263" t="str">
        <f t="shared" si="718"/>
        <v>- S</v>
      </c>
      <c r="JP263" t="e">
        <f>HLOOKUP(LEFT(BO263,7),Discharge_Area,MATCH(JO263,LookUps!$B$130:$B$149,1)+2)</f>
        <v>#N/A</v>
      </c>
      <c r="JQ263" t="e">
        <f t="shared" si="719"/>
        <v>#N/A</v>
      </c>
      <c r="JR263" t="e">
        <f t="shared" si="720"/>
        <v>#N/A</v>
      </c>
      <c r="JS263" t="e">
        <f t="shared" si="721"/>
        <v>#N/A</v>
      </c>
      <c r="JT263" s="532" t="str">
        <f t="shared" si="722"/>
        <v xml:space="preserve"> </v>
      </c>
      <c r="JU263" s="532" t="str">
        <f t="shared" si="723"/>
        <v xml:space="preserve"> </v>
      </c>
      <c r="JV263" s="533" t="str">
        <f t="shared" si="724"/>
        <v xml:space="preserve"> </v>
      </c>
      <c r="JW263" s="534">
        <f t="shared" si="725"/>
        <v>0</v>
      </c>
      <c r="JX263" s="535" t="str">
        <f t="shared" si="809"/>
        <v xml:space="preserve"> </v>
      </c>
      <c r="JY263" s="535" t="str">
        <f t="shared" si="810"/>
        <v xml:space="preserve"> </v>
      </c>
      <c r="JZ263" s="535" t="str">
        <f t="shared" si="811"/>
        <v xml:space="preserve"> </v>
      </c>
      <c r="KA263" s="536" t="str">
        <f t="shared" si="726"/>
        <v xml:space="preserve"> </v>
      </c>
      <c r="KB263" s="535" t="e">
        <f t="shared" si="812"/>
        <v>#VALUE!</v>
      </c>
      <c r="KC263" s="535" t="str">
        <f t="shared" si="727"/>
        <v/>
      </c>
      <c r="KD263" s="537" t="str">
        <f t="shared" si="813"/>
        <v xml:space="preserve"> </v>
      </c>
      <c r="KE263" s="537" t="str">
        <f t="shared" si="814"/>
        <v xml:space="preserve"> </v>
      </c>
      <c r="KF263" s="534">
        <f t="shared" si="728"/>
        <v>0</v>
      </c>
      <c r="KG263" s="535" t="str">
        <f t="shared" si="729"/>
        <v xml:space="preserve"> </v>
      </c>
      <c r="KH263" s="535" t="str">
        <f t="shared" si="730"/>
        <v xml:space="preserve"> </v>
      </c>
      <c r="KI263" s="535" t="str">
        <f t="shared" si="731"/>
        <v xml:space="preserve"> </v>
      </c>
      <c r="KJ263" s="536" t="str">
        <f t="shared" si="732"/>
        <v xml:space="preserve"> </v>
      </c>
      <c r="KK263" s="535" t="str">
        <f t="shared" si="815"/>
        <v xml:space="preserve"> </v>
      </c>
      <c r="KL263" s="535" t="str">
        <f t="shared" si="816"/>
        <v xml:space="preserve"> </v>
      </c>
      <c r="KM263" s="537" t="str">
        <f t="shared" si="733"/>
        <v xml:space="preserve"> </v>
      </c>
      <c r="KN263" s="537" t="str">
        <f t="shared" si="817"/>
        <v xml:space="preserve"> </v>
      </c>
      <c r="KP263">
        <f t="shared" si="734"/>
        <v>0</v>
      </c>
      <c r="LA263" t="e">
        <f t="shared" si="735"/>
        <v>#VALUE!</v>
      </c>
      <c r="LB263" t="e">
        <f t="shared" si="736"/>
        <v>#VALUE!</v>
      </c>
      <c r="LC263" t="e">
        <f t="shared" si="737"/>
        <v>#VALUE!</v>
      </c>
      <c r="LD263" t="e">
        <f t="shared" si="738"/>
        <v>#VALUE!</v>
      </c>
      <c r="LE263" t="e">
        <f t="shared" si="818"/>
        <v>#VALUE!</v>
      </c>
      <c r="LF263">
        <f t="shared" si="739"/>
        <v>0</v>
      </c>
      <c r="LG263" t="e">
        <f t="shared" si="819"/>
        <v>#VALUE!</v>
      </c>
      <c r="LH263" t="str">
        <f t="shared" si="740"/>
        <v xml:space="preserve"> </v>
      </c>
      <c r="LI263">
        <f t="shared" si="820"/>
        <v>1</v>
      </c>
    </row>
    <row r="264" spans="2:321" ht="15" customHeight="1">
      <c r="B264" s="311"/>
      <c r="C264" s="311"/>
      <c r="D264" s="312"/>
      <c r="E264" s="311"/>
      <c r="F264" s="312"/>
      <c r="G264" s="311"/>
      <c r="H264" s="311"/>
      <c r="I264" s="232"/>
      <c r="J264" s="311"/>
      <c r="K264" s="305" t="str">
        <f t="shared" si="741"/>
        <v/>
      </c>
      <c r="L264" s="313"/>
      <c r="M264" s="312"/>
      <c r="N264" s="311"/>
      <c r="O264" s="312"/>
      <c r="P264" s="311"/>
      <c r="Q264" s="305" t="str">
        <f t="shared" si="742"/>
        <v/>
      </c>
      <c r="R264" s="314"/>
      <c r="S264" s="450" t="str">
        <f t="shared" si="625"/>
        <v/>
      </c>
      <c r="T264" s="315"/>
      <c r="U264" s="315"/>
      <c r="W264" s="149" t="str">
        <f t="shared" si="626"/>
        <v xml:space="preserve"> </v>
      </c>
      <c r="X264" s="243" t="str">
        <f t="shared" si="627"/>
        <v xml:space="preserve"> </v>
      </c>
      <c r="Y264" s="150" t="str">
        <f t="shared" si="628"/>
        <v/>
      </c>
      <c r="Z264" s="149" t="str">
        <f t="shared" si="629"/>
        <v xml:space="preserve"> </v>
      </c>
      <c r="AA264" s="98" t="str">
        <f t="shared" si="630"/>
        <v xml:space="preserve"> </v>
      </c>
      <c r="AB264" s="153" t="str">
        <f t="shared" si="631"/>
        <v xml:space="preserve"> </v>
      </c>
      <c r="AC264" s="153" t="str">
        <f t="shared" si="632"/>
        <v xml:space="preserve"> </v>
      </c>
      <c r="AD264" s="148" t="str">
        <f t="shared" si="633"/>
        <v/>
      </c>
      <c r="AE264" s="149" t="str">
        <f t="shared" si="634"/>
        <v/>
      </c>
      <c r="AF264" s="151" t="str">
        <f t="shared" si="635"/>
        <v xml:space="preserve"> </v>
      </c>
      <c r="AG264" s="153" t="str">
        <f t="shared" si="636"/>
        <v xml:space="preserve"> </v>
      </c>
      <c r="AH264" s="98" t="str">
        <f t="shared" si="637"/>
        <v xml:space="preserve"> </v>
      </c>
      <c r="AI264" s="149" t="str">
        <f t="shared" si="638"/>
        <v xml:space="preserve"> </v>
      </c>
      <c r="AK264" s="144" t="str">
        <f t="shared" si="639"/>
        <v xml:space="preserve"> </v>
      </c>
      <c r="AL264" s="144"/>
      <c r="AM264" s="243" t="str">
        <f t="shared" si="640"/>
        <v xml:space="preserve"> </v>
      </c>
      <c r="AN264" s="149" t="str">
        <f t="shared" si="743"/>
        <v xml:space="preserve"> </v>
      </c>
      <c r="AO264" s="144" t="str">
        <f>IF(JB264&gt;0,IF(GI264=10,-R264*1.085*(Calculation!$F$6-Calculation!$F$13)*$S$14," "),"")</f>
        <v/>
      </c>
      <c r="AP264" s="144" t="str">
        <f t="shared" si="641"/>
        <v/>
      </c>
      <c r="AQ264" s="56" t="str">
        <f t="shared" si="642"/>
        <v/>
      </c>
      <c r="AR264" s="144" t="str">
        <f t="shared" si="643"/>
        <v/>
      </c>
      <c r="AS264" s="176" t="str">
        <f t="shared" si="644"/>
        <v/>
      </c>
      <c r="AT264" s="176" t="str">
        <f t="shared" si="744"/>
        <v xml:space="preserve"> </v>
      </c>
      <c r="AU264" s="176" t="str">
        <f t="shared" si="645"/>
        <v/>
      </c>
      <c r="AV264" s="177" t="str">
        <f t="shared" si="646"/>
        <v xml:space="preserve"> </v>
      </c>
      <c r="AW264" s="144" t="str">
        <f t="shared" si="647"/>
        <v xml:space="preserve"> </v>
      </c>
      <c r="AX264" s="144" t="str">
        <f t="shared" si="648"/>
        <v xml:space="preserve"> </v>
      </c>
      <c r="AY264" s="152" t="str">
        <f t="shared" si="649"/>
        <v xml:space="preserve"> </v>
      </c>
      <c r="AZ264" s="246" t="str">
        <f t="shared" si="650"/>
        <v/>
      </c>
      <c r="BA264" s="176" t="str">
        <f t="shared" si="651"/>
        <v xml:space="preserve"> </v>
      </c>
      <c r="BB264" s="176" t="str">
        <f t="shared" si="652"/>
        <v xml:space="preserve"> </v>
      </c>
      <c r="BC264" s="195"/>
      <c r="BD264" s="316"/>
      <c r="BE264" s="317"/>
      <c r="BF264" s="318"/>
      <c r="BG264" s="318"/>
      <c r="BH264" s="144" t="str">
        <f t="shared" si="821"/>
        <v xml:space="preserve"> </v>
      </c>
      <c r="BI264" s="176" t="str">
        <f t="shared" si="653"/>
        <v/>
      </c>
      <c r="BJ264" s="144" t="str">
        <f t="shared" si="822"/>
        <v/>
      </c>
      <c r="BK264" s="246" t="str">
        <f t="shared" si="654"/>
        <v/>
      </c>
      <c r="BL264" s="144" t="str">
        <f t="shared" si="823"/>
        <v/>
      </c>
      <c r="BM264" s="246" t="str">
        <f t="shared" si="655"/>
        <v/>
      </c>
      <c r="BN264" s="337" t="str">
        <f t="shared" si="745"/>
        <v/>
      </c>
      <c r="BO264" s="371" t="str">
        <f t="shared" si="746"/>
        <v/>
      </c>
      <c r="BP264" s="328" t="str">
        <f t="shared" si="824"/>
        <v xml:space="preserve"> </v>
      </c>
      <c r="BQ264" s="347" t="str">
        <f t="shared" si="747"/>
        <v xml:space="preserve"> </v>
      </c>
      <c r="BR264" s="353" t="str">
        <f t="shared" si="748"/>
        <v xml:space="preserve"> </v>
      </c>
      <c r="BS264" s="626" t="str">
        <f>IF(L264&gt;0,IF(Calculation!P264="M13",BR264*3.1416*(0.134^2)/(4*144),IF(Calculation!P264="M17",BR264*3.1416*(0.165^2)/(4*144),IF(Calculation!P264="M20",BR264*3.1416*(0.198^2)/(4*144),IF(Calculation!P264="M23",BR264*3.1416*(0.228^2)/(4*144),IF(Calculation!P264="M27",BR264*3.1416*(0.269^2)/(4*144),BR264*3.1416*(0.307^2)/(4*144))))))," ")</f>
        <v xml:space="preserve"> </v>
      </c>
      <c r="BT264" s="353" t="str">
        <f>IF(L264&gt;0,IF(BS264&gt;0,R264/Calculation!BS264,0)," ")</f>
        <v xml:space="preserve"> </v>
      </c>
      <c r="BU264" s="438" t="e">
        <f t="shared" ca="1" si="656"/>
        <v>#VALUE!</v>
      </c>
      <c r="BV264" s="449" t="e">
        <f ca="1">INDEX(INDIRECT(VLOOKUP(LEFT(BO264,7),CLU!$Z$3:$AH$18,2)),GN264,GR264)</f>
        <v>#N/A</v>
      </c>
      <c r="BW264" s="433" t="e">
        <f ca="1">INDEX(INDIRECT(VLOOKUP(LEFT(BO264,7),CLU!$Z$3:$AH$18,3)),GN264,GR264)</f>
        <v>#N/A</v>
      </c>
      <c r="BX264" s="433" t="e">
        <f ca="1">INDEX(INDIRECT(VLOOKUP(LEFT(BO264,7),CLU!$Z$3:$AH$18,4)),GN264,GR264)</f>
        <v>#N/A</v>
      </c>
      <c r="BY264" s="433" t="e">
        <f ca="1">INDEX(INDIRECT(VLOOKUP(LEFT(BO264,7),CLU!$Z$3:$AH$18,9)),((M264-2)*(6-COUNTBLANK(GT264:GY264)))+GJ264)</f>
        <v>#N/A</v>
      </c>
      <c r="BZ264" s="426" t="e">
        <f t="shared" ca="1" si="749"/>
        <v>#N/A</v>
      </c>
      <c r="CA264" s="424" t="e">
        <f t="shared" ca="1" si="750"/>
        <v>#N/A</v>
      </c>
      <c r="CB264" s="429" t="e">
        <f ca="1">INDEX(INDIRECT(VLOOKUP(LEFT(BO264,7),CLU!$Z$3:$AH$18,2)),GN264,GS264)</f>
        <v>#N/A</v>
      </c>
      <c r="CC264" s="342" t="e">
        <f ca="1">INDEX(INDIRECT(VLOOKUP(LEFT(BO264,7),CLU!$Z$3:$AH$18,3)),GN264,GS264)</f>
        <v>#N/A</v>
      </c>
      <c r="CD264" s="342" t="e">
        <f ca="1">INDEX(INDIRECT(VLOOKUP(LEFT(BO264,7),CLU!$Z$3:$AH$18,4)),GN264,GS264)</f>
        <v>#N/A</v>
      </c>
      <c r="CE264" s="426" t="e">
        <f t="shared" ca="1" si="751"/>
        <v>#N/A</v>
      </c>
      <c r="CF264" s="440">
        <f t="shared" si="752"/>
        <v>0</v>
      </c>
      <c r="CG264" s="431" t="e">
        <f ca="1">INDEX(INDIRECT(VLOOKUP(LEFT(BO264,7),CLU!$Z$3:$AH$18,2)),GQ264,GR264)</f>
        <v>#N/A</v>
      </c>
      <c r="CH264" s="431" t="e">
        <f ca="1">INDEX(INDIRECT(VLOOKUP(LEFT(BO264,7),CLU!$Z$3:$AH$18,3)),GQ264,GR264)</f>
        <v>#N/A</v>
      </c>
      <c r="CI264" s="431" t="e">
        <f ca="1">INDEX(INDIRECT(VLOOKUP(LEFT(BO264,7),CLU!$Z$3:$AH$18,4)),GQ264,GR264)</f>
        <v>#N/A</v>
      </c>
      <c r="CJ264" s="448" t="e">
        <f t="shared" ca="1" si="753"/>
        <v>#N/A</v>
      </c>
      <c r="CK264" s="431" t="e">
        <f t="shared" ca="1" si="754"/>
        <v>#N/A</v>
      </c>
      <c r="CL264" s="440" t="e">
        <f t="shared" ca="1" si="755"/>
        <v>#N/A</v>
      </c>
      <c r="CM264" s="431" t="e">
        <f ca="1">INDEX(INDIRECT(VLOOKUP(LEFT(BO264,7),CLU!$Z$3:$AH$18,2)),GQ264,GS264)</f>
        <v>#N/A</v>
      </c>
      <c r="CN264" s="431" t="e">
        <f ca="1">INDEX(INDIRECT(VLOOKUP(LEFT(BO264,7),CLU!$Z$3:$AH$18,3)),GQ264,GS264)</f>
        <v>#N/A</v>
      </c>
      <c r="CO264" s="431" t="e">
        <f ca="1">INDEX(INDIRECT(VLOOKUP(LEFT(BO264,7),CLU!$Z$3:$AH$18,4)),GQ264,GS264)</f>
        <v>#N/A</v>
      </c>
      <c r="CP264" s="431" t="e">
        <f t="shared" ca="1" si="756"/>
        <v>#N/A</v>
      </c>
      <c r="CQ264" s="440">
        <f t="shared" si="757"/>
        <v>0</v>
      </c>
      <c r="CR264" s="51" t="e">
        <f t="shared" ca="1" si="758"/>
        <v>#N/A</v>
      </c>
      <c r="CS264" s="439" t="e">
        <f t="shared" ca="1" si="759"/>
        <v>#VALUE!</v>
      </c>
      <c r="CT264" s="51" t="e">
        <f t="shared" ca="1" si="760"/>
        <v>#VALUE!</v>
      </c>
      <c r="CU264" s="10"/>
      <c r="CV264" s="51" t="e">
        <f t="shared" ca="1" si="657"/>
        <v>#VALUE!</v>
      </c>
      <c r="CW264" s="51">
        <f t="shared" si="761"/>
        <v>0</v>
      </c>
      <c r="CX264" s="439" t="e">
        <f t="shared" ca="1" si="762"/>
        <v>#VALUE!</v>
      </c>
      <c r="CY264" s="51" t="e">
        <f t="shared" ca="1" si="763"/>
        <v>#VALUE!</v>
      </c>
      <c r="CZ264" s="10"/>
      <c r="DA264" s="51" t="e">
        <f t="shared" ca="1" si="764"/>
        <v>#VALUE!</v>
      </c>
      <c r="DB264" s="347" t="e">
        <f ca="1">INDEX(INDIRECT(VLOOKUP(LEFT(BO264,7),CLU!$Z$3:$AI$18,10)),((M264-2)*(6-COUNTBLANK(GT264:GY264)))+GJ264)*LI264</f>
        <v>#N/A</v>
      </c>
      <c r="DC264" s="347" t="str">
        <f>IF(L264&gt;0,((R264/Worksheet!$I$15)/DB264)^2," ")</f>
        <v xml:space="preserve"> </v>
      </c>
      <c r="DD264" s="602" t="str">
        <f t="shared" si="765"/>
        <v xml:space="preserve"> </v>
      </c>
      <c r="DE264" s="347" t="str">
        <f t="shared" si="658"/>
        <v xml:space="preserve"> </v>
      </c>
      <c r="DF264" s="356" t="e">
        <f ca="1">INDEX(INDIRECT(VLOOKUP(LEFT(BO264,7),CLU!$Z$3:$AH$18,8)),((M264-2)*(6-COUNTBLANK(GT264:GY264)))+GJ264)</f>
        <v>#N/A</v>
      </c>
      <c r="DG264" s="347" t="str">
        <f t="shared" si="659"/>
        <v xml:space="preserve"> </v>
      </c>
      <c r="DH264" s="357" t="str">
        <f t="shared" si="660"/>
        <v xml:space="preserve"> </v>
      </c>
      <c r="DI264" s="355" t="str">
        <f t="shared" si="661"/>
        <v xml:space="preserve"> </v>
      </c>
      <c r="DJ264" s="245" t="e">
        <f ca="1">INDEX(INDIRECT(VLOOKUP(LEFT(BO264,7),CLU!$Z$3:$AH$18,5)),GL264,GK264)</f>
        <v>#N/A</v>
      </c>
      <c r="DK264" s="245" t="e">
        <f ca="1">INDEX(INDIRECT(VLOOKUP(LEFT(BO264,7),CLU!$Z$3:$AH$18,6)),GL264,GK264)</f>
        <v>#N/A</v>
      </c>
      <c r="DL264" s="355">
        <f>(Calculation!R264*0.69143*(Calculation!$BQ$8-Calculation!$F$8))*$S$14</f>
        <v>0</v>
      </c>
      <c r="DM264" s="359" t="e">
        <f t="shared" si="766"/>
        <v>#VALUE!</v>
      </c>
      <c r="DN264" s="611">
        <f t="shared" si="767"/>
        <v>0</v>
      </c>
      <c r="DO264" s="359">
        <f t="shared" si="768"/>
        <v>100</v>
      </c>
      <c r="DP264" s="359">
        <f t="shared" si="769"/>
        <v>0</v>
      </c>
      <c r="DQ264" s="360"/>
      <c r="DR264" s="245" t="e">
        <f ca="1">INDEX(INDIRECT(VLOOKUP(LEFT(BO264,7),CLU!$Z$3:$AH$18,7)),M264-1,1)</f>
        <v>#N/A</v>
      </c>
      <c r="DS264" s="245" t="e">
        <f ca="1">INDEX(INDIRECT(VLOOKUP(LEFT(BO264,7),CLU!$Z$3:$AH$18,7)),M264-1,2)</f>
        <v>#N/A</v>
      </c>
      <c r="DT264" s="245" t="e">
        <f ca="1">INDEX(INDIRECT(VLOOKUP(LEFT(BO264,7),CLU!$Z$3:$AH$18,7)),M264-1,3)</f>
        <v>#N/A</v>
      </c>
      <c r="DU264" s="245" t="e">
        <f ca="1">INDEX(INDIRECT(VLOOKUP(LEFT(BO264,7),CLU!$Z$3:$AH$18,7)),M264-1,4)</f>
        <v>#N/A</v>
      </c>
      <c r="DV264" s="361" t="e">
        <f ca="1">INDEX(INDIRECT(VLOOKUP(LEFT(BO264,7),CLU!$Z$3:$AH$18,7)),M264-1,4+LEFT(DZ264,1)*0.5)</f>
        <v>#N/A</v>
      </c>
      <c r="DW264" s="245" t="e">
        <f ca="1">INDEX(INDIRECT(VLOOKUP(LEFT(BO264,7),CLU!$Z$3:$AH$18,7)),M264-1,8)</f>
        <v>#N/A</v>
      </c>
      <c r="DX264" s="361" t="str">
        <f t="shared" si="662"/>
        <v xml:space="preserve"> </v>
      </c>
      <c r="DY264" s="361" t="str">
        <f t="shared" si="663"/>
        <v xml:space="preserve"> </v>
      </c>
      <c r="DZ264" s="361" t="str">
        <f t="shared" si="664"/>
        <v xml:space="preserve"> </v>
      </c>
      <c r="EA264" s="362" t="str">
        <f t="shared" si="665"/>
        <v xml:space="preserve"> </v>
      </c>
      <c r="EB264" s="624" t="str">
        <f t="shared" si="770"/>
        <v xml:space="preserve"> </v>
      </c>
      <c r="EC264" s="361" t="e">
        <f ca="1">INDEX(INDIRECT(VLOOKUP(LEFT(BO264,7),CLU!$Z$3:$AH$18,7)),M264-1,4+LEFT(DZ264,1)*0.5)</f>
        <v>#N/A</v>
      </c>
      <c r="ED264" s="362" t="str">
        <f t="shared" si="666"/>
        <v xml:space="preserve"> </v>
      </c>
      <c r="EE264" s="361" t="str">
        <f t="shared" si="667"/>
        <v xml:space="preserve"> </v>
      </c>
      <c r="EF264" s="362" t="str">
        <f>IF(L264&gt;0,IF(BR264&gt;0,IF(EE264="2P",IF(Calculation!DZ264="2P",IF(Calculation!DS264=13.75,IF(Calculation!DR264=13,Worksheet!$BD$43,IF(Calculation!DR264=37,Worksheet!$BD$44,Worksheet!$BD$45)),IF(Calculation!DS264=10,IF(Calculation!DR264=18,Worksheet!$BD$29,IF(Calculation!DR264=30,Worksheet!$BD$30,IF(Calculation!DR264=42,Worksheet!$BD$31,IF(Calculation!DR264=54,Worksheet!$BD$32,IF(Calculation!DR264=66,Worksheet!$BD$33,IF(Calculation!DR264=78,Worksheet!$BD$34,IF(Calculation!DR264=90,Worksheet!$BD$35,IF(Calculation!DR264=102,Worksheet!$BD$36,Worksheet!$BD$37)))))))),IF(Calculation!DS264=12.5,IF(Calculation!DR264=18,Worksheet!$BD$38,IF(Calculation!DR264=Worksheet!$BD$39,IF(Calculation!DR264=42,Worksheet!$BD$40,IF(Calculation!DR264=54,Worksheet!$BD$41,Worksheet!$BD$42)))),IF(Calculation!DR264=18,Worksheet!$BD$11,IF(Calculation!DR264=30,Worksheet!$BD$12,IF(Calculation!DR264=42,Worksheet!$BD$13,IF(Calculation!DR264=54,Worksheet!$BD$14,IF(Calculation!DR264=66,Worksheet!$BD$15,IF(Calculation!DR264=78,Worksheet!$BD$16,IF(Calculation!DR264=90,Worksheet!$BD$17,IF(Calculation!DR264=102,Worksheet!$BD$18,Worksheet!$BD$19))))))))))),IF(Calculation!DS264=13.75,IF(Calculation!DR264=13,Worksheet!$BD$78,IF(Calculation!DR264=37,Worksheet!$BD$79,Worksheet!$BD$80)),IF(Calculation!DS264=10,IF(Calculation!DR264=18,Worksheet!$BD$64,IF(Calculation!DR264=30,Worksheet!$BD$65,IF(Calculation!DR264=42,Worksheet!$BD$66,IF(Calculation!DR264=54,Worksheet!$BD$68,IF(Calculation!DR264=66,Worksheet!$BD$68,IF(Calculation!DR264=78,Worksheet!$BD$69,IF(Calculation!DR264=90,Worksheet!$BD$70,IF(Calculation!DR264=102,Worksheet!$BD$71,Worksheet!$BD$72)))))))),IF(Calculation!DS264=12.5,IF(Calculation!DR264=18,Worksheet!$BD$73,IF(Calculation!DR264=Worksheet!$BD$74,IF(Calculation!DR264=42,Worksheet!$BD$75,IF(Calculation!DR264=54,Worksheet!$BD$76,Worksheet!$BD$77)))),IF(Calculation!DR264=18,Worksheet!$BD$55,IF(Calculation!DR264=30,Worksheet!$BD$56,IF(Calculation!DR264=42,Worksheet!$BD$57,IF(Calculation!DR264=54,Worksheet!$BD$58,IF(Calculation!DR264=66,Worksheet!$BD$59,IF(Calculation!DR264=78,Worksheet!$BD$60,IF(Calculation!DR264=90,Worksheet!$BD$61,IF(Calculation!DR264=102,Worksheet!$BD$62,Worksheet!$BD$63)))))))))))),5),0)," ")</f>
        <v xml:space="preserve"> </v>
      </c>
      <c r="EG264" s="361" t="str">
        <f t="shared" si="668"/>
        <v xml:space="preserve"> </v>
      </c>
      <c r="EH264" s="361" t="e">
        <f ca="1">INDEX(INDIRECT(VLOOKUP(LEFT(BO264,7),CLU!$Z$3:$AH$18,7)),M264-1,3+LEFT(DZ264,1))</f>
        <v>#N/A</v>
      </c>
      <c r="EI264" s="362" t="str">
        <f t="shared" si="669"/>
        <v xml:space="preserve"> </v>
      </c>
      <c r="EJ264" s="363" t="str">
        <f t="shared" si="670"/>
        <v xml:space="preserve"> </v>
      </c>
      <c r="EK264" s="363" t="str">
        <f t="shared" si="671"/>
        <v xml:space="preserve"> </v>
      </c>
      <c r="EL264" s="363" t="str">
        <f t="shared" si="672"/>
        <v xml:space="preserve"> </v>
      </c>
      <c r="EM264" s="362" t="str">
        <f>IF(L264&gt;0,IF(BR264&gt;0,(Calculation!T264/ED264)^2,0)," ")</f>
        <v xml:space="preserve"> </v>
      </c>
      <c r="EN264" s="362" t="str">
        <f>IF(L264&gt;0,IF(O264="2 Pipe (Cooling)","N/A",IF(BR264&gt;0,(Calculation!U264/EI264)^2,0))," ")</f>
        <v xml:space="preserve"> </v>
      </c>
      <c r="EO264" s="361" t="str">
        <f t="shared" si="673"/>
        <v/>
      </c>
      <c r="EP264" s="361" t="str">
        <f t="shared" si="674"/>
        <v/>
      </c>
      <c r="EQ264" s="361" t="str">
        <f t="shared" si="675"/>
        <v/>
      </c>
      <c r="ER264" s="361" t="str">
        <f t="shared" si="676"/>
        <v/>
      </c>
      <c r="ES264" s="361" t="str">
        <f t="shared" si="677"/>
        <v/>
      </c>
      <c r="ET264" s="361" t="str">
        <f t="shared" si="678"/>
        <v/>
      </c>
      <c r="EU264" s="361" t="str">
        <f t="shared" si="679"/>
        <v/>
      </c>
      <c r="EV264" s="361" t="str">
        <f t="shared" si="680"/>
        <v/>
      </c>
      <c r="EW264" s="361" t="str">
        <f t="shared" si="681"/>
        <v/>
      </c>
      <c r="EX264" s="361" t="str">
        <f t="shared" si="771"/>
        <v>1 slot, 1 way</v>
      </c>
      <c r="EY264" s="361" t="str">
        <f t="shared" si="772"/>
        <v xml:space="preserve"> </v>
      </c>
      <c r="EZ264" s="361" t="str">
        <f t="shared" si="773"/>
        <v xml:space="preserve"> </v>
      </c>
      <c r="FA264" s="361" t="str">
        <f t="shared" si="774"/>
        <v xml:space="preserve"> </v>
      </c>
      <c r="FB264" s="361" t="str">
        <f t="shared" si="775"/>
        <v xml:space="preserve"> </v>
      </c>
      <c r="FC264" s="361"/>
      <c r="FD264" s="361" t="str">
        <f>IF(J264&gt;0,IF(Calculation!R264&lt;=70,4,IF(Calculation!R264&lt;=110,5,IF(Calculation!R264&lt;=160,6,IF(Calculation!R264&lt;=300,8,"10 EO")))),"")</f>
        <v/>
      </c>
      <c r="FE264" s="361" t="str">
        <f t="shared" si="776"/>
        <v/>
      </c>
      <c r="FF264" s="361" t="str">
        <f t="shared" si="777"/>
        <v/>
      </c>
      <c r="FG264" s="361" t="e">
        <f t="shared" si="682"/>
        <v>#N/A</v>
      </c>
      <c r="FH264" s="361">
        <f t="shared" si="683"/>
        <v>0</v>
      </c>
      <c r="FI264" s="361" t="e">
        <f t="shared" si="684"/>
        <v>#DIV/0!</v>
      </c>
      <c r="FJ264" s="361"/>
      <c r="FK264" s="356" t="e">
        <f t="shared" si="685"/>
        <v>#VALUE!</v>
      </c>
      <c r="FL264" s="361"/>
      <c r="FM264" s="361"/>
      <c r="FN264" s="362" t="str">
        <f t="shared" si="778"/>
        <v xml:space="preserve"> </v>
      </c>
      <c r="FO264" s="362" t="str">
        <f t="shared" si="779"/>
        <v xml:space="preserve"> </v>
      </c>
      <c r="FP264" s="362">
        <f t="shared" si="780"/>
        <v>0</v>
      </c>
      <c r="FQ264" s="361">
        <f t="shared" si="686"/>
        <v>0</v>
      </c>
      <c r="FR264" s="362" t="str">
        <f>IF(L264&gt;0,IF(J264="CBAL2",Worksheet!$P$67,IF(J264="CBE2-24",Worksheet!$Q$67,IF(J264="CBAM",Worksheet!$R$67,IF(J264="CBLV",Worksheet!$S$67,IF(J264="CBAB",Worksheet!$U$67,IF(J264="CBAW",Worksheet!$X$67,IF(J264="CBE2-12",Worksheet!$Y$67,IF(J264="CBAL2",Worksheet!$Z$67,"N/A"))))))))," ")</f>
        <v xml:space="preserve"> </v>
      </c>
      <c r="FS264" s="362" t="str">
        <f>IF(L264&gt;0,IF(J264="CBAL2",Worksheet!$P$68,IF(J264="CBE2-24",Worksheet!$Q$68,IF(J264="CBAM",Worksheet!$R$68,IF(J264="CBLV",Worksheet!$S$68,IF(J264="CBAB",Worksheet!$U$68,IF(J264="CBAW",Worksheet!$X$68,IF(J264="CBE2-12",Worksheet!$Y$68,IF(J264="CBAL2",Worksheet!$Z$68,"N/A"))))))))," ")</f>
        <v xml:space="preserve"> </v>
      </c>
      <c r="FT264" s="362" t="str">
        <f>IF(L264&gt;0,IF(J264="CBAL2",Worksheet!$P$69,IF(J264="CBE2-24",Worksheet!$Q$69,IF(J264="CBAM",Worksheet!$R$69,IF(J264="CBLV",Worksheet!$S$69,IF(J264="CBAB",Worksheet!$U$69,IF(J264="CBAW",Worksheet!$X$69,IF(J264="CBE2-12",Worksheet!$Y$69,IF(J264="CBAL2",Worksheet!$Z$69,"N/A"))))))))," ")</f>
        <v xml:space="preserve"> </v>
      </c>
      <c r="FU264" s="361" t="str">
        <f t="shared" si="781"/>
        <v xml:space="preserve"> </v>
      </c>
      <c r="FV264" s="362" t="str">
        <f t="shared" si="782"/>
        <v xml:space="preserve"> </v>
      </c>
      <c r="FW264" s="362" t="str">
        <f t="shared" si="783"/>
        <v xml:space="preserve"> </v>
      </c>
      <c r="FX264" s="362" t="str">
        <f t="shared" si="784"/>
        <v xml:space="preserve"> </v>
      </c>
      <c r="FY264" s="355" t="str">
        <f t="shared" si="785"/>
        <v xml:space="preserve"> </v>
      </c>
      <c r="FZ264" s="361" t="str">
        <f t="shared" si="786"/>
        <v xml:space="preserve"> </v>
      </c>
      <c r="GA264" s="347" t="str">
        <f t="shared" si="787"/>
        <v xml:space="preserve"> </v>
      </c>
      <c r="GB264" s="355" t="str">
        <f t="shared" si="788"/>
        <v xml:space="preserve"> </v>
      </c>
      <c r="GC264" s="328" t="str">
        <f t="shared" si="789"/>
        <v xml:space="preserve"> </v>
      </c>
      <c r="GD264" s="361" t="str">
        <f t="shared" si="790"/>
        <v xml:space="preserve"> </v>
      </c>
      <c r="GE264" s="347" t="str">
        <f t="shared" si="791"/>
        <v xml:space="preserve"> </v>
      </c>
      <c r="GF264" s="361" t="str">
        <f t="shared" si="792"/>
        <v xml:space="preserve"> </v>
      </c>
      <c r="GG264" s="347" t="str">
        <f t="shared" si="793"/>
        <v xml:space="preserve"> </v>
      </c>
      <c r="GH264" s="364">
        <f t="shared" si="687"/>
        <v>0</v>
      </c>
      <c r="GI264" s="362">
        <f t="shared" si="794"/>
        <v>2</v>
      </c>
      <c r="GJ264" s="433" t="e">
        <f>IF(6-COUNTBLANK(GT264:GY264)=4,MATCH(MID(BO264,9,3),CLU!$H$16:$K$16),MATCH(MID(BO264,9,3),CLU!$H$13:$M$13))</f>
        <v>#N/A</v>
      </c>
      <c r="GK264" s="433" t="e">
        <f>HLOOKUP(VALUE(BP264),CLU!$H$9:$M$10,2)</f>
        <v>#VALUE!</v>
      </c>
      <c r="GL264" s="433" t="e">
        <f ca="1">MATCH(BU264,CLU!$H$2:$V$2,1)</f>
        <v>#VALUE!</v>
      </c>
      <c r="GM264" s="433" t="e">
        <f t="shared" ca="1" si="795"/>
        <v>#VALUE!</v>
      </c>
      <c r="GN264" s="433" t="e">
        <f t="shared" ca="1" si="796"/>
        <v>#VALUE!</v>
      </c>
      <c r="GO264" s="433" t="e">
        <f t="shared" ca="1" si="797"/>
        <v>#VALUE!</v>
      </c>
      <c r="GP264" s="433" t="e">
        <f t="shared" ca="1" si="798"/>
        <v>#VALUE!</v>
      </c>
      <c r="GQ264" s="433" t="e">
        <f t="shared" ca="1" si="799"/>
        <v>#VALUE!</v>
      </c>
      <c r="GR264" s="433" t="e">
        <f ca="1">MATCH(T264,INDIRECT(VLOOKUP(CONCATENATE(LEFT(BO264,7),"-",MID(BO264,13,1)),CLU!$P$3:$Q$16,2)),1)</f>
        <v>#N/A</v>
      </c>
      <c r="GS264" s="433" t="e">
        <f ca="1">MATCH(U264,INDIRECT(VLOOKUP(CONCATENATE(LEFT(BO264,7),"-",MID(BO264,13,1)),CLU!$P$3:$Q$16,2)),1)</f>
        <v>#N/A</v>
      </c>
      <c r="GT264" s="347" t="s">
        <v>512</v>
      </c>
      <c r="GU264" s="97" t="s">
        <v>513</v>
      </c>
      <c r="GV264" s="97" t="str">
        <f t="shared" si="800"/>
        <v>M23</v>
      </c>
      <c r="GW264" s="97" t="str">
        <f t="shared" si="801"/>
        <v>M31</v>
      </c>
      <c r="GX264" s="97" t="str">
        <f t="shared" si="802"/>
        <v/>
      </c>
      <c r="GY264" s="97" t="str">
        <f t="shared" si="803"/>
        <v/>
      </c>
      <c r="GZ264" s="481"/>
      <c r="HA264" s="240"/>
      <c r="HB264" s="240"/>
      <c r="HC264" s="240"/>
      <c r="HD264" s="240"/>
      <c r="HE264" s="240"/>
      <c r="HF264" s="240"/>
      <c r="HG264" s="240"/>
      <c r="HH264" s="240"/>
      <c r="HI264" s="240"/>
      <c r="HJ264" s="240"/>
      <c r="HK264" s="240"/>
      <c r="HL264" s="240"/>
      <c r="HM264" s="240"/>
      <c r="HN264" s="240"/>
      <c r="HO264" s="240"/>
      <c r="HP264" s="240"/>
      <c r="HQ264" s="240"/>
      <c r="HR264" s="240"/>
      <c r="HS264" s="240"/>
      <c r="HT264" s="240"/>
      <c r="HU264" s="240"/>
      <c r="HV264" s="245"/>
      <c r="HW264" s="245" t="b">
        <v>1</v>
      </c>
      <c r="HX264" s="245" t="str">
        <f t="shared" si="688"/>
        <v/>
      </c>
      <c r="HY264" s="245" t="e">
        <f t="shared" si="689"/>
        <v>#DIV/0!</v>
      </c>
      <c r="HZ264" s="245" t="e">
        <f t="shared" si="690"/>
        <v>#DIV/0!</v>
      </c>
      <c r="IA264" s="245">
        <f t="shared" si="691"/>
        <v>0</v>
      </c>
      <c r="IB264" s="245"/>
      <c r="IC264" t="b">
        <f t="shared" si="692"/>
        <v>1</v>
      </c>
      <c r="ID264" s="245" t="b">
        <f t="shared" si="693"/>
        <v>1</v>
      </c>
      <c r="IE264" s="245" t="b">
        <f t="shared" si="694"/>
        <v>1</v>
      </c>
      <c r="IF264" s="245" t="b">
        <f t="shared" si="695"/>
        <v>0</v>
      </c>
      <c r="IG264" s="245" t="b">
        <f t="shared" si="696"/>
        <v>1</v>
      </c>
      <c r="IH264" s="245" t="b">
        <f t="shared" si="697"/>
        <v>1</v>
      </c>
      <c r="II264" s="245">
        <f t="shared" si="804"/>
        <v>0</v>
      </c>
      <c r="IJ264" s="245" t="e">
        <f t="shared" si="698"/>
        <v>#VALUE!</v>
      </c>
      <c r="IK264" s="245" t="e">
        <f t="shared" si="699"/>
        <v>#VALUE!</v>
      </c>
      <c r="IL264" s="245"/>
      <c r="IM264" s="245" t="e">
        <f t="shared" si="805"/>
        <v>#N/A</v>
      </c>
      <c r="IN264" s="245" t="e">
        <f t="shared" si="806"/>
        <v>#N/A</v>
      </c>
      <c r="IO264" s="245"/>
      <c r="IP264" s="245"/>
      <c r="IQ264" s="245" t="str">
        <f t="shared" si="700"/>
        <v/>
      </c>
      <c r="IR264" s="245" t="str">
        <f>IF(J264="","",VLOOKUP(J264,Worksheet!$R$4:$T$14,2))</f>
        <v/>
      </c>
      <c r="IS264" s="245"/>
      <c r="IT264" s="245">
        <f t="shared" si="701"/>
        <v>0</v>
      </c>
      <c r="IU264" s="245">
        <f t="shared" si="702"/>
        <v>0</v>
      </c>
      <c r="IV264" s="245">
        <f t="shared" si="703"/>
        <v>0</v>
      </c>
      <c r="IW264" s="245">
        <f t="shared" si="704"/>
        <v>0</v>
      </c>
      <c r="IX264" s="245">
        <f t="shared" si="807"/>
        <v>0</v>
      </c>
      <c r="IY264" s="245">
        <f t="shared" si="705"/>
        <v>0</v>
      </c>
      <c r="IZ264" s="245">
        <f t="shared" si="706"/>
        <v>0</v>
      </c>
      <c r="JA264">
        <f t="shared" si="707"/>
        <v>0</v>
      </c>
      <c r="JB264">
        <f t="shared" si="808"/>
        <v>0</v>
      </c>
      <c r="JC264">
        <f t="shared" si="708"/>
        <v>0</v>
      </c>
      <c r="JD264">
        <f t="shared" si="709"/>
        <v>0</v>
      </c>
      <c r="JE264">
        <f t="shared" si="710"/>
        <v>0</v>
      </c>
      <c r="JF264">
        <f t="shared" si="711"/>
        <v>0</v>
      </c>
      <c r="JG264">
        <f t="shared" si="712"/>
        <v>0</v>
      </c>
      <c r="JH264">
        <f t="shared" si="713"/>
        <v>0</v>
      </c>
      <c r="JI264">
        <f t="shared" si="714"/>
        <v>0</v>
      </c>
      <c r="JJ264" s="447">
        <f t="shared" si="715"/>
        <v>0</v>
      </c>
      <c r="JK264" s="447">
        <f t="shared" si="716"/>
        <v>0</v>
      </c>
      <c r="JL264">
        <f t="shared" si="717"/>
        <v>0</v>
      </c>
      <c r="JM264" s="245" t="str">
        <f>IFERROR(VLOOKUP(MATCH(BN264,#REF!,0),#REF!,7),"")</f>
        <v/>
      </c>
      <c r="JN264" t="e">
        <f>HLOOKUP(LEFT(BO264,7),Discharge_Area,MATCH(JO264,LookUps!$B$130:$B$149,1)+2)</f>
        <v>#N/A</v>
      </c>
      <c r="JO264" t="str">
        <f t="shared" si="718"/>
        <v>- S</v>
      </c>
      <c r="JP264" t="e">
        <f>HLOOKUP(LEFT(BO264,7),Discharge_Area,MATCH(JO264,LookUps!$B$130:$B$149,1)+2)</f>
        <v>#N/A</v>
      </c>
      <c r="JQ264" t="e">
        <f t="shared" si="719"/>
        <v>#N/A</v>
      </c>
      <c r="JR264" t="e">
        <f t="shared" si="720"/>
        <v>#N/A</v>
      </c>
      <c r="JS264" t="e">
        <f t="shared" si="721"/>
        <v>#N/A</v>
      </c>
      <c r="JT264" s="532" t="str">
        <f t="shared" si="722"/>
        <v xml:space="preserve"> </v>
      </c>
      <c r="JU264" s="532" t="str">
        <f t="shared" si="723"/>
        <v xml:space="preserve"> </v>
      </c>
      <c r="JV264" s="533" t="str">
        <f t="shared" si="724"/>
        <v xml:space="preserve"> </v>
      </c>
      <c r="JW264" s="534">
        <f t="shared" si="725"/>
        <v>0</v>
      </c>
      <c r="JX264" s="535" t="str">
        <f t="shared" si="809"/>
        <v xml:space="preserve"> </v>
      </c>
      <c r="JY264" s="535" t="str">
        <f t="shared" si="810"/>
        <v xml:space="preserve"> </v>
      </c>
      <c r="JZ264" s="535" t="str">
        <f t="shared" si="811"/>
        <v xml:space="preserve"> </v>
      </c>
      <c r="KA264" s="536" t="str">
        <f t="shared" si="726"/>
        <v xml:space="preserve"> </v>
      </c>
      <c r="KB264" s="535" t="e">
        <f t="shared" si="812"/>
        <v>#VALUE!</v>
      </c>
      <c r="KC264" s="535" t="str">
        <f t="shared" si="727"/>
        <v/>
      </c>
      <c r="KD264" s="537" t="str">
        <f t="shared" si="813"/>
        <v xml:space="preserve"> </v>
      </c>
      <c r="KE264" s="537" t="str">
        <f t="shared" si="814"/>
        <v xml:space="preserve"> </v>
      </c>
      <c r="KF264" s="534">
        <f t="shared" si="728"/>
        <v>0</v>
      </c>
      <c r="KG264" s="535" t="str">
        <f t="shared" si="729"/>
        <v xml:space="preserve"> </v>
      </c>
      <c r="KH264" s="535" t="str">
        <f t="shared" si="730"/>
        <v xml:space="preserve"> </v>
      </c>
      <c r="KI264" s="535" t="str">
        <f t="shared" si="731"/>
        <v xml:space="preserve"> </v>
      </c>
      <c r="KJ264" s="536" t="str">
        <f t="shared" si="732"/>
        <v xml:space="preserve"> </v>
      </c>
      <c r="KK264" s="535" t="str">
        <f t="shared" si="815"/>
        <v xml:space="preserve"> </v>
      </c>
      <c r="KL264" s="535" t="str">
        <f t="shared" si="816"/>
        <v xml:space="preserve"> </v>
      </c>
      <c r="KM264" s="537" t="str">
        <f t="shared" si="733"/>
        <v xml:space="preserve"> </v>
      </c>
      <c r="KN264" s="537" t="str">
        <f t="shared" si="817"/>
        <v xml:space="preserve"> </v>
      </c>
      <c r="KP264">
        <f t="shared" si="734"/>
        <v>0</v>
      </c>
      <c r="LA264" t="e">
        <f t="shared" si="735"/>
        <v>#VALUE!</v>
      </c>
      <c r="LB264" t="e">
        <f t="shared" si="736"/>
        <v>#VALUE!</v>
      </c>
      <c r="LC264" t="e">
        <f t="shared" si="737"/>
        <v>#VALUE!</v>
      </c>
      <c r="LD264" t="e">
        <f t="shared" si="738"/>
        <v>#VALUE!</v>
      </c>
      <c r="LE264" t="e">
        <f t="shared" si="818"/>
        <v>#VALUE!</v>
      </c>
      <c r="LF264">
        <f t="shared" si="739"/>
        <v>0</v>
      </c>
      <c r="LG264" t="e">
        <f t="shared" si="819"/>
        <v>#VALUE!</v>
      </c>
      <c r="LH264" t="str">
        <f t="shared" si="740"/>
        <v xml:space="preserve"> </v>
      </c>
      <c r="LI264">
        <f t="shared" si="820"/>
        <v>1</v>
      </c>
    </row>
    <row r="265" spans="2:321" ht="15" customHeight="1">
      <c r="B265" s="311"/>
      <c r="C265" s="311"/>
      <c r="D265" s="312"/>
      <c r="E265" s="311"/>
      <c r="F265" s="312"/>
      <c r="G265" s="311"/>
      <c r="H265" s="311"/>
      <c r="I265" s="232"/>
      <c r="J265" s="311"/>
      <c r="K265" s="305" t="str">
        <f t="shared" si="741"/>
        <v/>
      </c>
      <c r="L265" s="313"/>
      <c r="M265" s="312"/>
      <c r="N265" s="311"/>
      <c r="O265" s="312"/>
      <c r="P265" s="311"/>
      <c r="Q265" s="305" t="str">
        <f t="shared" si="742"/>
        <v/>
      </c>
      <c r="R265" s="314"/>
      <c r="S265" s="450" t="str">
        <f t="shared" si="625"/>
        <v/>
      </c>
      <c r="T265" s="315"/>
      <c r="U265" s="315"/>
      <c r="W265" s="149" t="str">
        <f t="shared" si="626"/>
        <v xml:space="preserve"> </v>
      </c>
      <c r="X265" s="243" t="str">
        <f t="shared" si="627"/>
        <v xml:space="preserve"> </v>
      </c>
      <c r="Y265" s="150" t="str">
        <f t="shared" si="628"/>
        <v/>
      </c>
      <c r="Z265" s="149" t="str">
        <f t="shared" si="629"/>
        <v xml:space="preserve"> </v>
      </c>
      <c r="AA265" s="98" t="str">
        <f t="shared" si="630"/>
        <v xml:space="preserve"> </v>
      </c>
      <c r="AB265" s="153" t="str">
        <f t="shared" si="631"/>
        <v xml:space="preserve"> </v>
      </c>
      <c r="AC265" s="153" t="str">
        <f t="shared" si="632"/>
        <v xml:space="preserve"> </v>
      </c>
      <c r="AD265" s="148" t="str">
        <f t="shared" si="633"/>
        <v/>
      </c>
      <c r="AE265" s="149" t="str">
        <f t="shared" si="634"/>
        <v/>
      </c>
      <c r="AF265" s="151" t="str">
        <f t="shared" si="635"/>
        <v xml:space="preserve"> </v>
      </c>
      <c r="AG265" s="153" t="str">
        <f t="shared" si="636"/>
        <v xml:space="preserve"> </v>
      </c>
      <c r="AH265" s="98" t="str">
        <f t="shared" si="637"/>
        <v xml:space="preserve"> </v>
      </c>
      <c r="AI265" s="149" t="str">
        <f t="shared" si="638"/>
        <v xml:space="preserve"> </v>
      </c>
      <c r="AK265" s="144" t="str">
        <f t="shared" si="639"/>
        <v xml:space="preserve"> </v>
      </c>
      <c r="AL265" s="144"/>
      <c r="AM265" s="243" t="str">
        <f t="shared" si="640"/>
        <v xml:space="preserve"> </v>
      </c>
      <c r="AN265" s="149" t="str">
        <f t="shared" si="743"/>
        <v xml:space="preserve"> </v>
      </c>
      <c r="AO265" s="144" t="str">
        <f>IF(JB265&gt;0,IF(GI265=10,-R265*1.085*(Calculation!$F$6-Calculation!$F$13)*$S$14," "),"")</f>
        <v/>
      </c>
      <c r="AP265" s="144" t="str">
        <f t="shared" si="641"/>
        <v/>
      </c>
      <c r="AQ265" s="56" t="str">
        <f t="shared" si="642"/>
        <v/>
      </c>
      <c r="AR265" s="144" t="str">
        <f t="shared" si="643"/>
        <v/>
      </c>
      <c r="AS265" s="176" t="str">
        <f t="shared" si="644"/>
        <v/>
      </c>
      <c r="AT265" s="176" t="str">
        <f t="shared" si="744"/>
        <v xml:space="preserve"> </v>
      </c>
      <c r="AU265" s="176" t="str">
        <f t="shared" si="645"/>
        <v/>
      </c>
      <c r="AV265" s="177" t="str">
        <f t="shared" si="646"/>
        <v xml:space="preserve"> </v>
      </c>
      <c r="AW265" s="144" t="str">
        <f t="shared" si="647"/>
        <v xml:space="preserve"> </v>
      </c>
      <c r="AX265" s="144" t="str">
        <f t="shared" si="648"/>
        <v xml:space="preserve"> </v>
      </c>
      <c r="AY265" s="152" t="str">
        <f t="shared" si="649"/>
        <v xml:space="preserve"> </v>
      </c>
      <c r="AZ265" s="246" t="str">
        <f t="shared" si="650"/>
        <v/>
      </c>
      <c r="BA265" s="176" t="str">
        <f t="shared" si="651"/>
        <v xml:space="preserve"> </v>
      </c>
      <c r="BB265" s="176" t="str">
        <f t="shared" si="652"/>
        <v xml:space="preserve"> </v>
      </c>
      <c r="BC265" s="195"/>
      <c r="BD265" s="316"/>
      <c r="BE265" s="317"/>
      <c r="BF265" s="318"/>
      <c r="BG265" s="318"/>
      <c r="BH265" s="144" t="str">
        <f t="shared" si="821"/>
        <v xml:space="preserve"> </v>
      </c>
      <c r="BI265" s="176" t="str">
        <f t="shared" si="653"/>
        <v/>
      </c>
      <c r="BJ265" s="144" t="str">
        <f t="shared" si="822"/>
        <v/>
      </c>
      <c r="BK265" s="246" t="str">
        <f t="shared" si="654"/>
        <v/>
      </c>
      <c r="BL265" s="144" t="str">
        <f t="shared" si="823"/>
        <v/>
      </c>
      <c r="BM265" s="246" t="str">
        <f t="shared" si="655"/>
        <v/>
      </c>
      <c r="BN265" s="337" t="str">
        <f t="shared" si="745"/>
        <v/>
      </c>
      <c r="BO265" s="371" t="str">
        <f t="shared" si="746"/>
        <v/>
      </c>
      <c r="BP265" s="328" t="str">
        <f t="shared" si="824"/>
        <v xml:space="preserve"> </v>
      </c>
      <c r="BQ265" s="347" t="str">
        <f t="shared" si="747"/>
        <v xml:space="preserve"> </v>
      </c>
      <c r="BR265" s="353" t="str">
        <f t="shared" si="748"/>
        <v xml:space="preserve"> </v>
      </c>
      <c r="BS265" s="626" t="str">
        <f>IF(L265&gt;0,IF(Calculation!P265="M13",BR265*3.1416*(0.134^2)/(4*144),IF(Calculation!P265="M17",BR265*3.1416*(0.165^2)/(4*144),IF(Calculation!P265="M20",BR265*3.1416*(0.198^2)/(4*144),IF(Calculation!P265="M23",BR265*3.1416*(0.228^2)/(4*144),IF(Calculation!P265="M27",BR265*3.1416*(0.269^2)/(4*144),BR265*3.1416*(0.307^2)/(4*144))))))," ")</f>
        <v xml:space="preserve"> </v>
      </c>
      <c r="BT265" s="353" t="str">
        <f>IF(L265&gt;0,IF(BS265&gt;0,R265/Calculation!BS265,0)," ")</f>
        <v xml:space="preserve"> </v>
      </c>
      <c r="BU265" s="438" t="e">
        <f t="shared" ca="1" si="656"/>
        <v>#VALUE!</v>
      </c>
      <c r="BV265" s="449" t="e">
        <f ca="1">INDEX(INDIRECT(VLOOKUP(LEFT(BO265,7),CLU!$Z$3:$AH$18,2)),GN265,GR265)</f>
        <v>#N/A</v>
      </c>
      <c r="BW265" s="433" t="e">
        <f ca="1">INDEX(INDIRECT(VLOOKUP(LEFT(BO265,7),CLU!$Z$3:$AH$18,3)),GN265,GR265)</f>
        <v>#N/A</v>
      </c>
      <c r="BX265" s="433" t="e">
        <f ca="1">INDEX(INDIRECT(VLOOKUP(LEFT(BO265,7),CLU!$Z$3:$AH$18,4)),GN265,GR265)</f>
        <v>#N/A</v>
      </c>
      <c r="BY265" s="433" t="e">
        <f ca="1">INDEX(INDIRECT(VLOOKUP(LEFT(BO265,7),CLU!$Z$3:$AH$18,9)),((M265-2)*(6-COUNTBLANK(GT265:GY265)))+GJ265)</f>
        <v>#N/A</v>
      </c>
      <c r="BZ265" s="426" t="e">
        <f t="shared" ca="1" si="749"/>
        <v>#N/A</v>
      </c>
      <c r="CA265" s="424" t="e">
        <f t="shared" ca="1" si="750"/>
        <v>#N/A</v>
      </c>
      <c r="CB265" s="429" t="e">
        <f ca="1">INDEX(INDIRECT(VLOOKUP(LEFT(BO265,7),CLU!$Z$3:$AH$18,2)),GN265,GS265)</f>
        <v>#N/A</v>
      </c>
      <c r="CC265" s="342" t="e">
        <f ca="1">INDEX(INDIRECT(VLOOKUP(LEFT(BO265,7),CLU!$Z$3:$AH$18,3)),GN265,GS265)</f>
        <v>#N/A</v>
      </c>
      <c r="CD265" s="342" t="e">
        <f ca="1">INDEX(INDIRECT(VLOOKUP(LEFT(BO265,7),CLU!$Z$3:$AH$18,4)),GN265,GS265)</f>
        <v>#N/A</v>
      </c>
      <c r="CE265" s="426" t="e">
        <f t="shared" ca="1" si="751"/>
        <v>#N/A</v>
      </c>
      <c r="CF265" s="440">
        <f t="shared" si="752"/>
        <v>0</v>
      </c>
      <c r="CG265" s="431" t="e">
        <f ca="1">INDEX(INDIRECT(VLOOKUP(LEFT(BO265,7),CLU!$Z$3:$AH$18,2)),GQ265,GR265)</f>
        <v>#N/A</v>
      </c>
      <c r="CH265" s="431" t="e">
        <f ca="1">INDEX(INDIRECT(VLOOKUP(LEFT(BO265,7),CLU!$Z$3:$AH$18,3)),GQ265,GR265)</f>
        <v>#N/A</v>
      </c>
      <c r="CI265" s="431" t="e">
        <f ca="1">INDEX(INDIRECT(VLOOKUP(LEFT(BO265,7),CLU!$Z$3:$AH$18,4)),GQ265,GR265)</f>
        <v>#N/A</v>
      </c>
      <c r="CJ265" s="448" t="e">
        <f t="shared" ca="1" si="753"/>
        <v>#N/A</v>
      </c>
      <c r="CK265" s="431" t="e">
        <f t="shared" ca="1" si="754"/>
        <v>#N/A</v>
      </c>
      <c r="CL265" s="440" t="e">
        <f t="shared" ca="1" si="755"/>
        <v>#N/A</v>
      </c>
      <c r="CM265" s="431" t="e">
        <f ca="1">INDEX(INDIRECT(VLOOKUP(LEFT(BO265,7),CLU!$Z$3:$AH$18,2)),GQ265,GS265)</f>
        <v>#N/A</v>
      </c>
      <c r="CN265" s="431" t="e">
        <f ca="1">INDEX(INDIRECT(VLOOKUP(LEFT(BO265,7),CLU!$Z$3:$AH$18,3)),GQ265,GS265)</f>
        <v>#N/A</v>
      </c>
      <c r="CO265" s="431" t="e">
        <f ca="1">INDEX(INDIRECT(VLOOKUP(LEFT(BO265,7),CLU!$Z$3:$AH$18,4)),GQ265,GS265)</f>
        <v>#N/A</v>
      </c>
      <c r="CP265" s="431" t="e">
        <f t="shared" ca="1" si="756"/>
        <v>#N/A</v>
      </c>
      <c r="CQ265" s="440">
        <f t="shared" si="757"/>
        <v>0</v>
      </c>
      <c r="CR265" s="51" t="e">
        <f t="shared" ca="1" si="758"/>
        <v>#N/A</v>
      </c>
      <c r="CS265" s="439" t="e">
        <f t="shared" ca="1" si="759"/>
        <v>#VALUE!</v>
      </c>
      <c r="CT265" s="51" t="e">
        <f t="shared" ca="1" si="760"/>
        <v>#VALUE!</v>
      </c>
      <c r="CU265" s="10"/>
      <c r="CV265" s="51" t="e">
        <f t="shared" ca="1" si="657"/>
        <v>#VALUE!</v>
      </c>
      <c r="CW265" s="51">
        <f t="shared" si="761"/>
        <v>0</v>
      </c>
      <c r="CX265" s="439" t="e">
        <f t="shared" ca="1" si="762"/>
        <v>#VALUE!</v>
      </c>
      <c r="CY265" s="51" t="e">
        <f t="shared" ca="1" si="763"/>
        <v>#VALUE!</v>
      </c>
      <c r="CZ265" s="10"/>
      <c r="DA265" s="51" t="e">
        <f t="shared" ca="1" si="764"/>
        <v>#VALUE!</v>
      </c>
      <c r="DB265" s="347" t="e">
        <f ca="1">INDEX(INDIRECT(VLOOKUP(LEFT(BO265,7),CLU!$Z$3:$AI$18,10)),((M265-2)*(6-COUNTBLANK(GT265:GY265)))+GJ265)*LI265</f>
        <v>#N/A</v>
      </c>
      <c r="DC265" s="347" t="str">
        <f>IF(L265&gt;0,((R265/Worksheet!$I$15)/DB265)^2," ")</f>
        <v xml:space="preserve"> </v>
      </c>
      <c r="DD265" s="602" t="str">
        <f t="shared" si="765"/>
        <v xml:space="preserve"> </v>
      </c>
      <c r="DE265" s="347" t="str">
        <f t="shared" si="658"/>
        <v xml:space="preserve"> </v>
      </c>
      <c r="DF265" s="356" t="e">
        <f ca="1">INDEX(INDIRECT(VLOOKUP(LEFT(BO265,7),CLU!$Z$3:$AH$18,8)),((M265-2)*(6-COUNTBLANK(GT265:GY265)))+GJ265)</f>
        <v>#N/A</v>
      </c>
      <c r="DG265" s="347" t="str">
        <f t="shared" si="659"/>
        <v xml:space="preserve"> </v>
      </c>
      <c r="DH265" s="357" t="str">
        <f t="shared" si="660"/>
        <v xml:space="preserve"> </v>
      </c>
      <c r="DI265" s="355" t="str">
        <f t="shared" si="661"/>
        <v xml:space="preserve"> </v>
      </c>
      <c r="DJ265" s="245" t="e">
        <f ca="1">INDEX(INDIRECT(VLOOKUP(LEFT(BO265,7),CLU!$Z$3:$AH$18,5)),GL265,GK265)</f>
        <v>#N/A</v>
      </c>
      <c r="DK265" s="245" t="e">
        <f ca="1">INDEX(INDIRECT(VLOOKUP(LEFT(BO265,7),CLU!$Z$3:$AH$18,6)),GL265,GK265)</f>
        <v>#N/A</v>
      </c>
      <c r="DL265" s="355">
        <f>(Calculation!R265*0.69143*(Calculation!$BQ$8-Calculation!$F$8))*$S$14</f>
        <v>0</v>
      </c>
      <c r="DM265" s="359" t="e">
        <f t="shared" si="766"/>
        <v>#VALUE!</v>
      </c>
      <c r="DN265" s="611">
        <f t="shared" si="767"/>
        <v>0</v>
      </c>
      <c r="DO265" s="359">
        <f t="shared" si="768"/>
        <v>100</v>
      </c>
      <c r="DP265" s="359">
        <f t="shared" si="769"/>
        <v>0</v>
      </c>
      <c r="DQ265" s="360"/>
      <c r="DR265" s="245" t="e">
        <f ca="1">INDEX(INDIRECT(VLOOKUP(LEFT(BO265,7),CLU!$Z$3:$AH$18,7)),M265-1,1)</f>
        <v>#N/A</v>
      </c>
      <c r="DS265" s="245" t="e">
        <f ca="1">INDEX(INDIRECT(VLOOKUP(LEFT(BO265,7),CLU!$Z$3:$AH$18,7)),M265-1,2)</f>
        <v>#N/A</v>
      </c>
      <c r="DT265" s="245" t="e">
        <f ca="1">INDEX(INDIRECT(VLOOKUP(LEFT(BO265,7),CLU!$Z$3:$AH$18,7)),M265-1,3)</f>
        <v>#N/A</v>
      </c>
      <c r="DU265" s="245" t="e">
        <f ca="1">INDEX(INDIRECT(VLOOKUP(LEFT(BO265,7),CLU!$Z$3:$AH$18,7)),M265-1,4)</f>
        <v>#N/A</v>
      </c>
      <c r="DV265" s="361" t="e">
        <f ca="1">INDEX(INDIRECT(VLOOKUP(LEFT(BO265,7),CLU!$Z$3:$AH$18,7)),M265-1,4+LEFT(DZ265,1)*0.5)</f>
        <v>#N/A</v>
      </c>
      <c r="DW265" s="245" t="e">
        <f ca="1">INDEX(INDIRECT(VLOOKUP(LEFT(BO265,7),CLU!$Z$3:$AH$18,7)),M265-1,8)</f>
        <v>#N/A</v>
      </c>
      <c r="DX265" s="361" t="str">
        <f t="shared" si="662"/>
        <v xml:space="preserve"> </v>
      </c>
      <c r="DY265" s="361" t="str">
        <f t="shared" si="663"/>
        <v xml:space="preserve"> </v>
      </c>
      <c r="DZ265" s="361" t="str">
        <f t="shared" si="664"/>
        <v xml:space="preserve"> </v>
      </c>
      <c r="EA265" s="362" t="str">
        <f t="shared" si="665"/>
        <v xml:space="preserve"> </v>
      </c>
      <c r="EB265" s="624" t="str">
        <f t="shared" si="770"/>
        <v xml:space="preserve"> </v>
      </c>
      <c r="EC265" s="361" t="e">
        <f ca="1">INDEX(INDIRECT(VLOOKUP(LEFT(BO265,7),CLU!$Z$3:$AH$18,7)),M265-1,4+LEFT(DZ265,1)*0.5)</f>
        <v>#N/A</v>
      </c>
      <c r="ED265" s="362" t="str">
        <f t="shared" si="666"/>
        <v xml:space="preserve"> </v>
      </c>
      <c r="EE265" s="361" t="str">
        <f t="shared" si="667"/>
        <v xml:space="preserve"> </v>
      </c>
      <c r="EF265" s="362" t="str">
        <f>IF(L265&gt;0,IF(BR265&gt;0,IF(EE265="2P",IF(Calculation!DZ265="2P",IF(Calculation!DS265=13.75,IF(Calculation!DR265=13,Worksheet!$BD$43,IF(Calculation!DR265=37,Worksheet!$BD$44,Worksheet!$BD$45)),IF(Calculation!DS265=10,IF(Calculation!DR265=18,Worksheet!$BD$29,IF(Calculation!DR265=30,Worksheet!$BD$30,IF(Calculation!DR265=42,Worksheet!$BD$31,IF(Calculation!DR265=54,Worksheet!$BD$32,IF(Calculation!DR265=66,Worksheet!$BD$33,IF(Calculation!DR265=78,Worksheet!$BD$34,IF(Calculation!DR265=90,Worksheet!$BD$35,IF(Calculation!DR265=102,Worksheet!$BD$36,Worksheet!$BD$37)))))))),IF(Calculation!DS265=12.5,IF(Calculation!DR265=18,Worksheet!$BD$38,IF(Calculation!DR265=Worksheet!$BD$39,IF(Calculation!DR265=42,Worksheet!$BD$40,IF(Calculation!DR265=54,Worksheet!$BD$41,Worksheet!$BD$42)))),IF(Calculation!DR265=18,Worksheet!$BD$11,IF(Calculation!DR265=30,Worksheet!$BD$12,IF(Calculation!DR265=42,Worksheet!$BD$13,IF(Calculation!DR265=54,Worksheet!$BD$14,IF(Calculation!DR265=66,Worksheet!$BD$15,IF(Calculation!DR265=78,Worksheet!$BD$16,IF(Calculation!DR265=90,Worksheet!$BD$17,IF(Calculation!DR265=102,Worksheet!$BD$18,Worksheet!$BD$19))))))))))),IF(Calculation!DS265=13.75,IF(Calculation!DR265=13,Worksheet!$BD$78,IF(Calculation!DR265=37,Worksheet!$BD$79,Worksheet!$BD$80)),IF(Calculation!DS265=10,IF(Calculation!DR265=18,Worksheet!$BD$64,IF(Calculation!DR265=30,Worksheet!$BD$65,IF(Calculation!DR265=42,Worksheet!$BD$66,IF(Calculation!DR265=54,Worksheet!$BD$68,IF(Calculation!DR265=66,Worksheet!$BD$68,IF(Calculation!DR265=78,Worksheet!$BD$69,IF(Calculation!DR265=90,Worksheet!$BD$70,IF(Calculation!DR265=102,Worksheet!$BD$71,Worksheet!$BD$72)))))))),IF(Calculation!DS265=12.5,IF(Calculation!DR265=18,Worksheet!$BD$73,IF(Calculation!DR265=Worksheet!$BD$74,IF(Calculation!DR265=42,Worksheet!$BD$75,IF(Calculation!DR265=54,Worksheet!$BD$76,Worksheet!$BD$77)))),IF(Calculation!DR265=18,Worksheet!$BD$55,IF(Calculation!DR265=30,Worksheet!$BD$56,IF(Calculation!DR265=42,Worksheet!$BD$57,IF(Calculation!DR265=54,Worksheet!$BD$58,IF(Calculation!DR265=66,Worksheet!$BD$59,IF(Calculation!DR265=78,Worksheet!$BD$60,IF(Calculation!DR265=90,Worksheet!$BD$61,IF(Calculation!DR265=102,Worksheet!$BD$62,Worksheet!$BD$63)))))))))))),5),0)," ")</f>
        <v xml:space="preserve"> </v>
      </c>
      <c r="EG265" s="361" t="str">
        <f t="shared" si="668"/>
        <v xml:space="preserve"> </v>
      </c>
      <c r="EH265" s="361" t="e">
        <f ca="1">INDEX(INDIRECT(VLOOKUP(LEFT(BO265,7),CLU!$Z$3:$AH$18,7)),M265-1,3+LEFT(DZ265,1))</f>
        <v>#N/A</v>
      </c>
      <c r="EI265" s="362" t="str">
        <f t="shared" si="669"/>
        <v xml:space="preserve"> </v>
      </c>
      <c r="EJ265" s="363" t="str">
        <f t="shared" si="670"/>
        <v xml:space="preserve"> </v>
      </c>
      <c r="EK265" s="363" t="str">
        <f t="shared" si="671"/>
        <v xml:space="preserve"> </v>
      </c>
      <c r="EL265" s="363" t="str">
        <f t="shared" si="672"/>
        <v xml:space="preserve"> </v>
      </c>
      <c r="EM265" s="362" t="str">
        <f>IF(L265&gt;0,IF(BR265&gt;0,(Calculation!T265/ED265)^2,0)," ")</f>
        <v xml:space="preserve"> </v>
      </c>
      <c r="EN265" s="362" t="str">
        <f>IF(L265&gt;0,IF(O265="2 Pipe (Cooling)","N/A",IF(BR265&gt;0,(Calculation!U265/EI265)^2,0))," ")</f>
        <v xml:space="preserve"> </v>
      </c>
      <c r="EO265" s="361" t="str">
        <f t="shared" si="673"/>
        <v/>
      </c>
      <c r="EP265" s="361" t="str">
        <f t="shared" si="674"/>
        <v/>
      </c>
      <c r="EQ265" s="361" t="str">
        <f t="shared" si="675"/>
        <v/>
      </c>
      <c r="ER265" s="361" t="str">
        <f t="shared" si="676"/>
        <v/>
      </c>
      <c r="ES265" s="361" t="str">
        <f t="shared" si="677"/>
        <v/>
      </c>
      <c r="ET265" s="361" t="str">
        <f t="shared" si="678"/>
        <v/>
      </c>
      <c r="EU265" s="361" t="str">
        <f t="shared" si="679"/>
        <v/>
      </c>
      <c r="EV265" s="361" t="str">
        <f t="shared" si="680"/>
        <v/>
      </c>
      <c r="EW265" s="361" t="str">
        <f t="shared" si="681"/>
        <v/>
      </c>
      <c r="EX265" s="361" t="str">
        <f t="shared" si="771"/>
        <v>1 slot, 1 way</v>
      </c>
      <c r="EY265" s="361" t="str">
        <f t="shared" si="772"/>
        <v xml:space="preserve"> </v>
      </c>
      <c r="EZ265" s="361" t="str">
        <f t="shared" si="773"/>
        <v xml:space="preserve"> </v>
      </c>
      <c r="FA265" s="361" t="str">
        <f t="shared" si="774"/>
        <v xml:space="preserve"> </v>
      </c>
      <c r="FB265" s="361" t="str">
        <f t="shared" si="775"/>
        <v xml:space="preserve"> </v>
      </c>
      <c r="FC265" s="361"/>
      <c r="FD265" s="361" t="str">
        <f>IF(J265&gt;0,IF(Calculation!R265&lt;=70,4,IF(Calculation!R265&lt;=110,5,IF(Calculation!R265&lt;=160,6,IF(Calculation!R265&lt;=300,8,"10 EO")))),"")</f>
        <v/>
      </c>
      <c r="FE265" s="361" t="str">
        <f t="shared" si="776"/>
        <v/>
      </c>
      <c r="FF265" s="361" t="str">
        <f t="shared" si="777"/>
        <v/>
      </c>
      <c r="FG265" s="361" t="e">
        <f t="shared" si="682"/>
        <v>#N/A</v>
      </c>
      <c r="FH265" s="361">
        <f t="shared" si="683"/>
        <v>0</v>
      </c>
      <c r="FI265" s="361" t="e">
        <f t="shared" si="684"/>
        <v>#DIV/0!</v>
      </c>
      <c r="FJ265" s="361"/>
      <c r="FK265" s="356" t="e">
        <f t="shared" si="685"/>
        <v>#VALUE!</v>
      </c>
      <c r="FL265" s="361"/>
      <c r="FM265" s="361"/>
      <c r="FN265" s="362" t="str">
        <f t="shared" si="778"/>
        <v xml:space="preserve"> </v>
      </c>
      <c r="FO265" s="362" t="str">
        <f t="shared" si="779"/>
        <v xml:space="preserve"> </v>
      </c>
      <c r="FP265" s="362">
        <f t="shared" si="780"/>
        <v>0</v>
      </c>
      <c r="FQ265" s="361">
        <f t="shared" si="686"/>
        <v>0</v>
      </c>
      <c r="FR265" s="362" t="str">
        <f>IF(L265&gt;0,IF(J265="CBAL2",Worksheet!$P$67,IF(J265="CBE2-24",Worksheet!$Q$67,IF(J265="CBAM",Worksheet!$R$67,IF(J265="CBLV",Worksheet!$S$67,IF(J265="CBAB",Worksheet!$U$67,IF(J265="CBAW",Worksheet!$X$67,IF(J265="CBE2-12",Worksheet!$Y$67,IF(J265="CBAL2",Worksheet!$Z$67,"N/A"))))))))," ")</f>
        <v xml:space="preserve"> </v>
      </c>
      <c r="FS265" s="362" t="str">
        <f>IF(L265&gt;0,IF(J265="CBAL2",Worksheet!$P$68,IF(J265="CBE2-24",Worksheet!$Q$68,IF(J265="CBAM",Worksheet!$R$68,IF(J265="CBLV",Worksheet!$S$68,IF(J265="CBAB",Worksheet!$U$68,IF(J265="CBAW",Worksheet!$X$68,IF(J265="CBE2-12",Worksheet!$Y$68,IF(J265="CBAL2",Worksheet!$Z$68,"N/A"))))))))," ")</f>
        <v xml:space="preserve"> </v>
      </c>
      <c r="FT265" s="362" t="str">
        <f>IF(L265&gt;0,IF(J265="CBAL2",Worksheet!$P$69,IF(J265="CBE2-24",Worksheet!$Q$69,IF(J265="CBAM",Worksheet!$R$69,IF(J265="CBLV",Worksheet!$S$69,IF(J265="CBAB",Worksheet!$U$69,IF(J265="CBAW",Worksheet!$X$69,IF(J265="CBE2-12",Worksheet!$Y$69,IF(J265="CBAL2",Worksheet!$Z$69,"N/A"))))))))," ")</f>
        <v xml:space="preserve"> </v>
      </c>
      <c r="FU265" s="361" t="str">
        <f t="shared" si="781"/>
        <v xml:space="preserve"> </v>
      </c>
      <c r="FV265" s="362" t="str">
        <f t="shared" si="782"/>
        <v xml:space="preserve"> </v>
      </c>
      <c r="FW265" s="362" t="str">
        <f t="shared" si="783"/>
        <v xml:space="preserve"> </v>
      </c>
      <c r="FX265" s="362" t="str">
        <f t="shared" si="784"/>
        <v xml:space="preserve"> </v>
      </c>
      <c r="FY265" s="355" t="str">
        <f t="shared" si="785"/>
        <v xml:space="preserve"> </v>
      </c>
      <c r="FZ265" s="361" t="str">
        <f t="shared" si="786"/>
        <v xml:space="preserve"> </v>
      </c>
      <c r="GA265" s="347" t="str">
        <f t="shared" si="787"/>
        <v xml:space="preserve"> </v>
      </c>
      <c r="GB265" s="355" t="str">
        <f t="shared" si="788"/>
        <v xml:space="preserve"> </v>
      </c>
      <c r="GC265" s="328" t="str">
        <f t="shared" si="789"/>
        <v xml:space="preserve"> </v>
      </c>
      <c r="GD265" s="361" t="str">
        <f t="shared" si="790"/>
        <v xml:space="preserve"> </v>
      </c>
      <c r="GE265" s="347" t="str">
        <f t="shared" si="791"/>
        <v xml:space="preserve"> </v>
      </c>
      <c r="GF265" s="361" t="str">
        <f t="shared" si="792"/>
        <v xml:space="preserve"> </v>
      </c>
      <c r="GG265" s="347" t="str">
        <f t="shared" si="793"/>
        <v xml:space="preserve"> </v>
      </c>
      <c r="GH265" s="364">
        <f t="shared" si="687"/>
        <v>0</v>
      </c>
      <c r="GI265" s="362">
        <f t="shared" si="794"/>
        <v>2</v>
      </c>
      <c r="GJ265" s="433" t="e">
        <f>IF(6-COUNTBLANK(GT265:GY265)=4,MATCH(MID(BO265,9,3),CLU!$H$16:$K$16),MATCH(MID(BO265,9,3),CLU!$H$13:$M$13))</f>
        <v>#N/A</v>
      </c>
      <c r="GK265" s="433" t="e">
        <f>HLOOKUP(VALUE(BP265),CLU!$H$9:$M$10,2)</f>
        <v>#VALUE!</v>
      </c>
      <c r="GL265" s="433" t="e">
        <f ca="1">MATCH(BU265,CLU!$H$2:$V$2,1)</f>
        <v>#VALUE!</v>
      </c>
      <c r="GM265" s="433" t="e">
        <f t="shared" ca="1" si="795"/>
        <v>#VALUE!</v>
      </c>
      <c r="GN265" s="433" t="e">
        <f t="shared" ca="1" si="796"/>
        <v>#VALUE!</v>
      </c>
      <c r="GO265" s="433" t="e">
        <f t="shared" ca="1" si="797"/>
        <v>#VALUE!</v>
      </c>
      <c r="GP265" s="433" t="e">
        <f t="shared" ca="1" si="798"/>
        <v>#VALUE!</v>
      </c>
      <c r="GQ265" s="433" t="e">
        <f t="shared" ca="1" si="799"/>
        <v>#VALUE!</v>
      </c>
      <c r="GR265" s="433" t="e">
        <f ca="1">MATCH(T265,INDIRECT(VLOOKUP(CONCATENATE(LEFT(BO265,7),"-",MID(BO265,13,1)),CLU!$P$3:$Q$16,2)),1)</f>
        <v>#N/A</v>
      </c>
      <c r="GS265" s="433" t="e">
        <f ca="1">MATCH(U265,INDIRECT(VLOOKUP(CONCATENATE(LEFT(BO265,7),"-",MID(BO265,13,1)),CLU!$P$3:$Q$16,2)),1)</f>
        <v>#N/A</v>
      </c>
      <c r="GT265" s="347" t="s">
        <v>512</v>
      </c>
      <c r="GU265" s="97" t="s">
        <v>513</v>
      </c>
      <c r="GV265" s="97" t="str">
        <f t="shared" si="800"/>
        <v>M23</v>
      </c>
      <c r="GW265" s="97" t="str">
        <f t="shared" si="801"/>
        <v>M31</v>
      </c>
      <c r="GX265" s="97" t="str">
        <f t="shared" si="802"/>
        <v/>
      </c>
      <c r="GY265" s="97" t="str">
        <f t="shared" si="803"/>
        <v/>
      </c>
      <c r="GZ265" s="481"/>
      <c r="HA265" s="240"/>
      <c r="HB265" s="240"/>
      <c r="HC265" s="240"/>
      <c r="HD265" s="240"/>
      <c r="HE265" s="240"/>
      <c r="HF265" s="240"/>
      <c r="HG265" s="240"/>
      <c r="HH265" s="240"/>
      <c r="HI265" s="240"/>
      <c r="HJ265" s="240"/>
      <c r="HK265" s="240"/>
      <c r="HL265" s="240"/>
      <c r="HM265" s="240"/>
      <c r="HN265" s="240"/>
      <c r="HO265" s="240"/>
      <c r="HP265" s="240"/>
      <c r="HQ265" s="240"/>
      <c r="HR265" s="240"/>
      <c r="HS265" s="240"/>
      <c r="HT265" s="240"/>
      <c r="HU265" s="240"/>
      <c r="HV265" s="245"/>
      <c r="HW265" s="245" t="b">
        <v>1</v>
      </c>
      <c r="HX265" s="245" t="str">
        <f t="shared" si="688"/>
        <v/>
      </c>
      <c r="HY265" s="245" t="e">
        <f t="shared" si="689"/>
        <v>#DIV/0!</v>
      </c>
      <c r="HZ265" s="245" t="e">
        <f t="shared" si="690"/>
        <v>#DIV/0!</v>
      </c>
      <c r="IA265" s="245">
        <f t="shared" si="691"/>
        <v>0</v>
      </c>
      <c r="IB265" s="245"/>
      <c r="IC265" t="b">
        <f t="shared" si="692"/>
        <v>1</v>
      </c>
      <c r="ID265" s="245" t="b">
        <f t="shared" si="693"/>
        <v>1</v>
      </c>
      <c r="IE265" s="245" t="b">
        <f t="shared" si="694"/>
        <v>1</v>
      </c>
      <c r="IF265" s="245" t="b">
        <f t="shared" si="695"/>
        <v>0</v>
      </c>
      <c r="IG265" s="245" t="b">
        <f t="shared" si="696"/>
        <v>1</v>
      </c>
      <c r="IH265" s="245" t="b">
        <f t="shared" si="697"/>
        <v>1</v>
      </c>
      <c r="II265" s="245">
        <f t="shared" si="804"/>
        <v>0</v>
      </c>
      <c r="IJ265" s="245" t="e">
        <f t="shared" si="698"/>
        <v>#VALUE!</v>
      </c>
      <c r="IK265" s="245" t="e">
        <f t="shared" si="699"/>
        <v>#VALUE!</v>
      </c>
      <c r="IL265" s="245"/>
      <c r="IM265" s="245" t="e">
        <f t="shared" si="805"/>
        <v>#N/A</v>
      </c>
      <c r="IN265" s="245" t="e">
        <f t="shared" si="806"/>
        <v>#N/A</v>
      </c>
      <c r="IO265" s="245"/>
      <c r="IP265" s="245"/>
      <c r="IQ265" s="245" t="str">
        <f t="shared" si="700"/>
        <v/>
      </c>
      <c r="IR265" s="245" t="str">
        <f>IF(J265="","",VLOOKUP(J265,Worksheet!$R$4:$T$14,2))</f>
        <v/>
      </c>
      <c r="IS265" s="245"/>
      <c r="IT265" s="245">
        <f t="shared" si="701"/>
        <v>0</v>
      </c>
      <c r="IU265" s="245">
        <f t="shared" si="702"/>
        <v>0</v>
      </c>
      <c r="IV265" s="245">
        <f t="shared" si="703"/>
        <v>0</v>
      </c>
      <c r="IW265" s="245">
        <f t="shared" si="704"/>
        <v>0</v>
      </c>
      <c r="IX265" s="245">
        <f t="shared" si="807"/>
        <v>0</v>
      </c>
      <c r="IY265" s="245">
        <f t="shared" si="705"/>
        <v>0</v>
      </c>
      <c r="IZ265" s="245">
        <f t="shared" si="706"/>
        <v>0</v>
      </c>
      <c r="JA265">
        <f t="shared" si="707"/>
        <v>0</v>
      </c>
      <c r="JB265">
        <f t="shared" si="808"/>
        <v>0</v>
      </c>
      <c r="JC265">
        <f t="shared" si="708"/>
        <v>0</v>
      </c>
      <c r="JD265">
        <f t="shared" si="709"/>
        <v>0</v>
      </c>
      <c r="JE265">
        <f t="shared" si="710"/>
        <v>0</v>
      </c>
      <c r="JF265">
        <f t="shared" si="711"/>
        <v>0</v>
      </c>
      <c r="JG265">
        <f t="shared" si="712"/>
        <v>0</v>
      </c>
      <c r="JH265">
        <f t="shared" si="713"/>
        <v>0</v>
      </c>
      <c r="JI265">
        <f t="shared" si="714"/>
        <v>0</v>
      </c>
      <c r="JJ265" s="447">
        <f t="shared" si="715"/>
        <v>0</v>
      </c>
      <c r="JK265" s="447">
        <f t="shared" si="716"/>
        <v>0</v>
      </c>
      <c r="JL265">
        <f t="shared" si="717"/>
        <v>0</v>
      </c>
      <c r="JM265" s="245" t="str">
        <f>IFERROR(VLOOKUP(MATCH(BN265,#REF!,0),#REF!,7),"")</f>
        <v/>
      </c>
      <c r="JN265" t="e">
        <f>HLOOKUP(LEFT(BO265,7),Discharge_Area,MATCH(JO265,LookUps!$B$130:$B$149,1)+2)</f>
        <v>#N/A</v>
      </c>
      <c r="JO265" t="str">
        <f t="shared" si="718"/>
        <v>- S</v>
      </c>
      <c r="JP265" t="e">
        <f>HLOOKUP(LEFT(BO265,7),Discharge_Area,MATCH(JO265,LookUps!$B$130:$B$149,1)+2)</f>
        <v>#N/A</v>
      </c>
      <c r="JQ265" t="e">
        <f t="shared" si="719"/>
        <v>#N/A</v>
      </c>
      <c r="JR265" t="e">
        <f t="shared" si="720"/>
        <v>#N/A</v>
      </c>
      <c r="JS265" t="e">
        <f t="shared" si="721"/>
        <v>#N/A</v>
      </c>
      <c r="JT265" s="532" t="str">
        <f t="shared" si="722"/>
        <v xml:space="preserve"> </v>
      </c>
      <c r="JU265" s="532" t="str">
        <f t="shared" si="723"/>
        <v xml:space="preserve"> </v>
      </c>
      <c r="JV265" s="533" t="str">
        <f t="shared" si="724"/>
        <v xml:space="preserve"> </v>
      </c>
      <c r="JW265" s="534">
        <f t="shared" si="725"/>
        <v>0</v>
      </c>
      <c r="JX265" s="535" t="str">
        <f t="shared" si="809"/>
        <v xml:space="preserve"> </v>
      </c>
      <c r="JY265" s="535" t="str">
        <f t="shared" si="810"/>
        <v xml:space="preserve"> </v>
      </c>
      <c r="JZ265" s="535" t="str">
        <f t="shared" si="811"/>
        <v xml:space="preserve"> </v>
      </c>
      <c r="KA265" s="536" t="str">
        <f t="shared" si="726"/>
        <v xml:space="preserve"> </v>
      </c>
      <c r="KB265" s="535" t="e">
        <f t="shared" si="812"/>
        <v>#VALUE!</v>
      </c>
      <c r="KC265" s="535" t="str">
        <f t="shared" si="727"/>
        <v/>
      </c>
      <c r="KD265" s="537" t="str">
        <f t="shared" si="813"/>
        <v xml:space="preserve"> </v>
      </c>
      <c r="KE265" s="537" t="str">
        <f t="shared" si="814"/>
        <v xml:space="preserve"> </v>
      </c>
      <c r="KF265" s="534">
        <f t="shared" si="728"/>
        <v>0</v>
      </c>
      <c r="KG265" s="535" t="str">
        <f t="shared" si="729"/>
        <v xml:space="preserve"> </v>
      </c>
      <c r="KH265" s="535" t="str">
        <f t="shared" si="730"/>
        <v xml:space="preserve"> </v>
      </c>
      <c r="KI265" s="535" t="str">
        <f t="shared" si="731"/>
        <v xml:space="preserve"> </v>
      </c>
      <c r="KJ265" s="536" t="str">
        <f t="shared" si="732"/>
        <v xml:space="preserve"> </v>
      </c>
      <c r="KK265" s="535" t="str">
        <f t="shared" si="815"/>
        <v xml:space="preserve"> </v>
      </c>
      <c r="KL265" s="535" t="str">
        <f t="shared" si="816"/>
        <v xml:space="preserve"> </v>
      </c>
      <c r="KM265" s="537" t="str">
        <f t="shared" si="733"/>
        <v xml:space="preserve"> </v>
      </c>
      <c r="KN265" s="537" t="str">
        <f t="shared" si="817"/>
        <v xml:space="preserve"> </v>
      </c>
      <c r="KP265">
        <f t="shared" si="734"/>
        <v>0</v>
      </c>
      <c r="LA265" t="e">
        <f t="shared" si="735"/>
        <v>#VALUE!</v>
      </c>
      <c r="LB265" t="e">
        <f t="shared" si="736"/>
        <v>#VALUE!</v>
      </c>
      <c r="LC265" t="e">
        <f t="shared" si="737"/>
        <v>#VALUE!</v>
      </c>
      <c r="LD265" t="e">
        <f t="shared" si="738"/>
        <v>#VALUE!</v>
      </c>
      <c r="LE265" t="e">
        <f t="shared" si="818"/>
        <v>#VALUE!</v>
      </c>
      <c r="LF265">
        <f t="shared" si="739"/>
        <v>0</v>
      </c>
      <c r="LG265" t="e">
        <f t="shared" si="819"/>
        <v>#VALUE!</v>
      </c>
      <c r="LH265" t="str">
        <f t="shared" si="740"/>
        <v xml:space="preserve"> </v>
      </c>
      <c r="LI265">
        <f t="shared" si="820"/>
        <v>1</v>
      </c>
    </row>
    <row r="266" spans="2:321" ht="15" customHeight="1">
      <c r="B266" s="311"/>
      <c r="C266" s="311"/>
      <c r="D266" s="312"/>
      <c r="E266" s="311"/>
      <c r="F266" s="312"/>
      <c r="G266" s="311"/>
      <c r="H266" s="311"/>
      <c r="I266" s="232"/>
      <c r="J266" s="311"/>
      <c r="K266" s="305" t="str">
        <f t="shared" si="741"/>
        <v/>
      </c>
      <c r="L266" s="313"/>
      <c r="M266" s="312"/>
      <c r="N266" s="311"/>
      <c r="O266" s="312"/>
      <c r="P266" s="311"/>
      <c r="Q266" s="305" t="str">
        <f t="shared" si="742"/>
        <v/>
      </c>
      <c r="R266" s="314"/>
      <c r="S266" s="450" t="str">
        <f t="shared" si="625"/>
        <v/>
      </c>
      <c r="T266" s="315"/>
      <c r="U266" s="315"/>
      <c r="W266" s="149" t="str">
        <f t="shared" si="626"/>
        <v xml:space="preserve"> </v>
      </c>
      <c r="X266" s="243" t="str">
        <f t="shared" si="627"/>
        <v xml:space="preserve"> </v>
      </c>
      <c r="Y266" s="150" t="str">
        <f t="shared" si="628"/>
        <v/>
      </c>
      <c r="Z266" s="149" t="str">
        <f t="shared" si="629"/>
        <v xml:space="preserve"> </v>
      </c>
      <c r="AA266" s="98" t="str">
        <f t="shared" si="630"/>
        <v xml:space="preserve"> </v>
      </c>
      <c r="AB266" s="153" t="str">
        <f t="shared" si="631"/>
        <v xml:space="preserve"> </v>
      </c>
      <c r="AC266" s="153" t="str">
        <f t="shared" si="632"/>
        <v xml:space="preserve"> </v>
      </c>
      <c r="AD266" s="148" t="str">
        <f t="shared" si="633"/>
        <v/>
      </c>
      <c r="AE266" s="149" t="str">
        <f t="shared" si="634"/>
        <v/>
      </c>
      <c r="AF266" s="151" t="str">
        <f t="shared" si="635"/>
        <v xml:space="preserve"> </v>
      </c>
      <c r="AG266" s="153" t="str">
        <f t="shared" si="636"/>
        <v xml:space="preserve"> </v>
      </c>
      <c r="AH266" s="98" t="str">
        <f t="shared" si="637"/>
        <v xml:space="preserve"> </v>
      </c>
      <c r="AI266" s="149" t="str">
        <f t="shared" si="638"/>
        <v xml:space="preserve"> </v>
      </c>
      <c r="AK266" s="144" t="str">
        <f t="shared" si="639"/>
        <v xml:space="preserve"> </v>
      </c>
      <c r="AL266" s="144"/>
      <c r="AM266" s="243" t="str">
        <f t="shared" si="640"/>
        <v xml:space="preserve"> </v>
      </c>
      <c r="AN266" s="149" t="str">
        <f t="shared" si="743"/>
        <v xml:space="preserve"> </v>
      </c>
      <c r="AO266" s="144" t="str">
        <f>IF(JB266&gt;0,IF(GI266=10,-R266*1.085*(Calculation!$F$6-Calculation!$F$13)*$S$14," "),"")</f>
        <v/>
      </c>
      <c r="AP266" s="144" t="str">
        <f t="shared" si="641"/>
        <v/>
      </c>
      <c r="AQ266" s="56" t="str">
        <f t="shared" si="642"/>
        <v/>
      </c>
      <c r="AR266" s="144" t="str">
        <f t="shared" si="643"/>
        <v/>
      </c>
      <c r="AS266" s="176" t="str">
        <f t="shared" si="644"/>
        <v/>
      </c>
      <c r="AT266" s="176" t="str">
        <f t="shared" si="744"/>
        <v xml:space="preserve"> </v>
      </c>
      <c r="AU266" s="176" t="str">
        <f t="shared" si="645"/>
        <v/>
      </c>
      <c r="AV266" s="177" t="str">
        <f t="shared" si="646"/>
        <v xml:space="preserve"> </v>
      </c>
      <c r="AW266" s="144" t="str">
        <f t="shared" si="647"/>
        <v xml:space="preserve"> </v>
      </c>
      <c r="AX266" s="144" t="str">
        <f t="shared" si="648"/>
        <v xml:space="preserve"> </v>
      </c>
      <c r="AY266" s="152" t="str">
        <f t="shared" si="649"/>
        <v xml:space="preserve"> </v>
      </c>
      <c r="AZ266" s="246" t="str">
        <f t="shared" si="650"/>
        <v/>
      </c>
      <c r="BA266" s="176" t="str">
        <f t="shared" si="651"/>
        <v xml:space="preserve"> </v>
      </c>
      <c r="BB266" s="176" t="str">
        <f t="shared" si="652"/>
        <v xml:space="preserve"> </v>
      </c>
      <c r="BC266" s="195"/>
      <c r="BD266" s="316"/>
      <c r="BE266" s="317"/>
      <c r="BF266" s="318"/>
      <c r="BG266" s="318"/>
      <c r="BH266" s="144" t="str">
        <f t="shared" si="821"/>
        <v xml:space="preserve"> </v>
      </c>
      <c r="BI266" s="176" t="str">
        <f t="shared" si="653"/>
        <v/>
      </c>
      <c r="BJ266" s="144" t="str">
        <f t="shared" si="822"/>
        <v/>
      </c>
      <c r="BK266" s="246" t="str">
        <f t="shared" si="654"/>
        <v/>
      </c>
      <c r="BL266" s="144" t="str">
        <f t="shared" si="823"/>
        <v/>
      </c>
      <c r="BM266" s="246" t="str">
        <f t="shared" si="655"/>
        <v/>
      </c>
      <c r="BN266" s="337" t="str">
        <f t="shared" si="745"/>
        <v/>
      </c>
      <c r="BO266" s="371" t="str">
        <f t="shared" si="746"/>
        <v/>
      </c>
      <c r="BP266" s="328" t="str">
        <f t="shared" si="824"/>
        <v xml:space="preserve"> </v>
      </c>
      <c r="BQ266" s="347" t="str">
        <f t="shared" si="747"/>
        <v xml:space="preserve"> </v>
      </c>
      <c r="BR266" s="353" t="str">
        <f t="shared" si="748"/>
        <v xml:space="preserve"> </v>
      </c>
      <c r="BS266" s="626" t="str">
        <f>IF(L266&gt;0,IF(Calculation!P266="M13",BR266*3.1416*(0.134^2)/(4*144),IF(Calculation!P266="M17",BR266*3.1416*(0.165^2)/(4*144),IF(Calculation!P266="M20",BR266*3.1416*(0.198^2)/(4*144),IF(Calculation!P266="M23",BR266*3.1416*(0.228^2)/(4*144),IF(Calculation!P266="M27",BR266*3.1416*(0.269^2)/(4*144),BR266*3.1416*(0.307^2)/(4*144))))))," ")</f>
        <v xml:space="preserve"> </v>
      </c>
      <c r="BT266" s="353" t="str">
        <f>IF(L266&gt;0,IF(BS266&gt;0,R266/Calculation!BS266,0)," ")</f>
        <v xml:space="preserve"> </v>
      </c>
      <c r="BU266" s="438" t="e">
        <f t="shared" ca="1" si="656"/>
        <v>#VALUE!</v>
      </c>
      <c r="BV266" s="449" t="e">
        <f ca="1">INDEX(INDIRECT(VLOOKUP(LEFT(BO266,7),CLU!$Z$3:$AH$18,2)),GN266,GR266)</f>
        <v>#N/A</v>
      </c>
      <c r="BW266" s="433" t="e">
        <f ca="1">INDEX(INDIRECT(VLOOKUP(LEFT(BO266,7),CLU!$Z$3:$AH$18,3)),GN266,GR266)</f>
        <v>#N/A</v>
      </c>
      <c r="BX266" s="433" t="e">
        <f ca="1">INDEX(INDIRECT(VLOOKUP(LEFT(BO266,7),CLU!$Z$3:$AH$18,4)),GN266,GR266)</f>
        <v>#N/A</v>
      </c>
      <c r="BY266" s="433" t="e">
        <f ca="1">INDEX(INDIRECT(VLOOKUP(LEFT(BO266,7),CLU!$Z$3:$AH$18,9)),((M266-2)*(6-COUNTBLANK(GT266:GY266)))+GJ266)</f>
        <v>#N/A</v>
      </c>
      <c r="BZ266" s="426" t="e">
        <f t="shared" ca="1" si="749"/>
        <v>#N/A</v>
      </c>
      <c r="CA266" s="424" t="e">
        <f t="shared" ca="1" si="750"/>
        <v>#N/A</v>
      </c>
      <c r="CB266" s="429" t="e">
        <f ca="1">INDEX(INDIRECT(VLOOKUP(LEFT(BO266,7),CLU!$Z$3:$AH$18,2)),GN266,GS266)</f>
        <v>#N/A</v>
      </c>
      <c r="CC266" s="342" t="e">
        <f ca="1">INDEX(INDIRECT(VLOOKUP(LEFT(BO266,7),CLU!$Z$3:$AH$18,3)),GN266,GS266)</f>
        <v>#N/A</v>
      </c>
      <c r="CD266" s="342" t="e">
        <f ca="1">INDEX(INDIRECT(VLOOKUP(LEFT(BO266,7),CLU!$Z$3:$AH$18,4)),GN266,GS266)</f>
        <v>#N/A</v>
      </c>
      <c r="CE266" s="426" t="e">
        <f t="shared" ca="1" si="751"/>
        <v>#N/A</v>
      </c>
      <c r="CF266" s="440">
        <f t="shared" si="752"/>
        <v>0</v>
      </c>
      <c r="CG266" s="431" t="e">
        <f ca="1">INDEX(INDIRECT(VLOOKUP(LEFT(BO266,7),CLU!$Z$3:$AH$18,2)),GQ266,GR266)</f>
        <v>#N/A</v>
      </c>
      <c r="CH266" s="431" t="e">
        <f ca="1">INDEX(INDIRECT(VLOOKUP(LEFT(BO266,7),CLU!$Z$3:$AH$18,3)),GQ266,GR266)</f>
        <v>#N/A</v>
      </c>
      <c r="CI266" s="431" t="e">
        <f ca="1">INDEX(INDIRECT(VLOOKUP(LEFT(BO266,7),CLU!$Z$3:$AH$18,4)),GQ266,GR266)</f>
        <v>#N/A</v>
      </c>
      <c r="CJ266" s="448" t="e">
        <f t="shared" ca="1" si="753"/>
        <v>#N/A</v>
      </c>
      <c r="CK266" s="431" t="e">
        <f t="shared" ca="1" si="754"/>
        <v>#N/A</v>
      </c>
      <c r="CL266" s="440" t="e">
        <f t="shared" ca="1" si="755"/>
        <v>#N/A</v>
      </c>
      <c r="CM266" s="431" t="e">
        <f ca="1">INDEX(INDIRECT(VLOOKUP(LEFT(BO266,7),CLU!$Z$3:$AH$18,2)),GQ266,GS266)</f>
        <v>#N/A</v>
      </c>
      <c r="CN266" s="431" t="e">
        <f ca="1">INDEX(INDIRECT(VLOOKUP(LEFT(BO266,7),CLU!$Z$3:$AH$18,3)),GQ266,GS266)</f>
        <v>#N/A</v>
      </c>
      <c r="CO266" s="431" t="e">
        <f ca="1">INDEX(INDIRECT(VLOOKUP(LEFT(BO266,7),CLU!$Z$3:$AH$18,4)),GQ266,GS266)</f>
        <v>#N/A</v>
      </c>
      <c r="CP266" s="431" t="e">
        <f t="shared" ca="1" si="756"/>
        <v>#N/A</v>
      </c>
      <c r="CQ266" s="440">
        <f t="shared" si="757"/>
        <v>0</v>
      </c>
      <c r="CR266" s="51" t="e">
        <f t="shared" ca="1" si="758"/>
        <v>#N/A</v>
      </c>
      <c r="CS266" s="439" t="e">
        <f t="shared" ca="1" si="759"/>
        <v>#VALUE!</v>
      </c>
      <c r="CT266" s="51" t="e">
        <f t="shared" ca="1" si="760"/>
        <v>#VALUE!</v>
      </c>
      <c r="CU266" s="10"/>
      <c r="CV266" s="51" t="e">
        <f t="shared" ca="1" si="657"/>
        <v>#VALUE!</v>
      </c>
      <c r="CW266" s="51">
        <f t="shared" si="761"/>
        <v>0</v>
      </c>
      <c r="CX266" s="439" t="e">
        <f t="shared" ca="1" si="762"/>
        <v>#VALUE!</v>
      </c>
      <c r="CY266" s="51" t="e">
        <f t="shared" ca="1" si="763"/>
        <v>#VALUE!</v>
      </c>
      <c r="CZ266" s="10"/>
      <c r="DA266" s="51" t="e">
        <f t="shared" ca="1" si="764"/>
        <v>#VALUE!</v>
      </c>
      <c r="DB266" s="347" t="e">
        <f ca="1">INDEX(INDIRECT(VLOOKUP(LEFT(BO266,7),CLU!$Z$3:$AI$18,10)),((M266-2)*(6-COUNTBLANK(GT266:GY266)))+GJ266)*LI266</f>
        <v>#N/A</v>
      </c>
      <c r="DC266" s="347" t="str">
        <f>IF(L266&gt;0,((R266/Worksheet!$I$15)/DB266)^2," ")</f>
        <v xml:space="preserve"> </v>
      </c>
      <c r="DD266" s="602" t="str">
        <f t="shared" si="765"/>
        <v xml:space="preserve"> </v>
      </c>
      <c r="DE266" s="347" t="str">
        <f t="shared" si="658"/>
        <v xml:space="preserve"> </v>
      </c>
      <c r="DF266" s="356" t="e">
        <f ca="1">INDEX(INDIRECT(VLOOKUP(LEFT(BO266,7),CLU!$Z$3:$AH$18,8)),((M266-2)*(6-COUNTBLANK(GT266:GY266)))+GJ266)</f>
        <v>#N/A</v>
      </c>
      <c r="DG266" s="347" t="str">
        <f t="shared" si="659"/>
        <v xml:space="preserve"> </v>
      </c>
      <c r="DH266" s="357" t="str">
        <f t="shared" si="660"/>
        <v xml:space="preserve"> </v>
      </c>
      <c r="DI266" s="355" t="str">
        <f t="shared" si="661"/>
        <v xml:space="preserve"> </v>
      </c>
      <c r="DJ266" s="245" t="e">
        <f ca="1">INDEX(INDIRECT(VLOOKUP(LEFT(BO266,7),CLU!$Z$3:$AH$18,5)),GL266,GK266)</f>
        <v>#N/A</v>
      </c>
      <c r="DK266" s="245" t="e">
        <f ca="1">INDEX(INDIRECT(VLOOKUP(LEFT(BO266,7),CLU!$Z$3:$AH$18,6)),GL266,GK266)</f>
        <v>#N/A</v>
      </c>
      <c r="DL266" s="355">
        <f>(Calculation!R266*0.69143*(Calculation!$BQ$8-Calculation!$F$8))*$S$14</f>
        <v>0</v>
      </c>
      <c r="DM266" s="359" t="e">
        <f t="shared" si="766"/>
        <v>#VALUE!</v>
      </c>
      <c r="DN266" s="611">
        <f t="shared" si="767"/>
        <v>0</v>
      </c>
      <c r="DO266" s="359">
        <f t="shared" si="768"/>
        <v>100</v>
      </c>
      <c r="DP266" s="359">
        <f t="shared" si="769"/>
        <v>0</v>
      </c>
      <c r="DQ266" s="360"/>
      <c r="DR266" s="245" t="e">
        <f ca="1">INDEX(INDIRECT(VLOOKUP(LEFT(BO266,7),CLU!$Z$3:$AH$18,7)),M266-1,1)</f>
        <v>#N/A</v>
      </c>
      <c r="DS266" s="245" t="e">
        <f ca="1">INDEX(INDIRECT(VLOOKUP(LEFT(BO266,7),CLU!$Z$3:$AH$18,7)),M266-1,2)</f>
        <v>#N/A</v>
      </c>
      <c r="DT266" s="245" t="e">
        <f ca="1">INDEX(INDIRECT(VLOOKUP(LEFT(BO266,7),CLU!$Z$3:$AH$18,7)),M266-1,3)</f>
        <v>#N/A</v>
      </c>
      <c r="DU266" s="245" t="e">
        <f ca="1">INDEX(INDIRECT(VLOOKUP(LEFT(BO266,7),CLU!$Z$3:$AH$18,7)),M266-1,4)</f>
        <v>#N/A</v>
      </c>
      <c r="DV266" s="361" t="e">
        <f ca="1">INDEX(INDIRECT(VLOOKUP(LEFT(BO266,7),CLU!$Z$3:$AH$18,7)),M266-1,4+LEFT(DZ266,1)*0.5)</f>
        <v>#N/A</v>
      </c>
      <c r="DW266" s="245" t="e">
        <f ca="1">INDEX(INDIRECT(VLOOKUP(LEFT(BO266,7),CLU!$Z$3:$AH$18,7)),M266-1,8)</f>
        <v>#N/A</v>
      </c>
      <c r="DX266" s="361" t="str">
        <f t="shared" si="662"/>
        <v xml:space="preserve"> </v>
      </c>
      <c r="DY266" s="361" t="str">
        <f t="shared" si="663"/>
        <v xml:space="preserve"> </v>
      </c>
      <c r="DZ266" s="361" t="str">
        <f t="shared" si="664"/>
        <v xml:space="preserve"> </v>
      </c>
      <c r="EA266" s="362" t="str">
        <f t="shared" si="665"/>
        <v xml:space="preserve"> </v>
      </c>
      <c r="EB266" s="624" t="str">
        <f t="shared" si="770"/>
        <v xml:space="preserve"> </v>
      </c>
      <c r="EC266" s="361" t="e">
        <f ca="1">INDEX(INDIRECT(VLOOKUP(LEFT(BO266,7),CLU!$Z$3:$AH$18,7)),M266-1,4+LEFT(DZ266,1)*0.5)</f>
        <v>#N/A</v>
      </c>
      <c r="ED266" s="362" t="str">
        <f t="shared" si="666"/>
        <v xml:space="preserve"> </v>
      </c>
      <c r="EE266" s="361" t="str">
        <f t="shared" si="667"/>
        <v xml:space="preserve"> </v>
      </c>
      <c r="EF266" s="362" t="str">
        <f>IF(L266&gt;0,IF(BR266&gt;0,IF(EE266="2P",IF(Calculation!DZ266="2P",IF(Calculation!DS266=13.75,IF(Calculation!DR266=13,Worksheet!$BD$43,IF(Calculation!DR266=37,Worksheet!$BD$44,Worksheet!$BD$45)),IF(Calculation!DS266=10,IF(Calculation!DR266=18,Worksheet!$BD$29,IF(Calculation!DR266=30,Worksheet!$BD$30,IF(Calculation!DR266=42,Worksheet!$BD$31,IF(Calculation!DR266=54,Worksheet!$BD$32,IF(Calculation!DR266=66,Worksheet!$BD$33,IF(Calculation!DR266=78,Worksheet!$BD$34,IF(Calculation!DR266=90,Worksheet!$BD$35,IF(Calculation!DR266=102,Worksheet!$BD$36,Worksheet!$BD$37)))))))),IF(Calculation!DS266=12.5,IF(Calculation!DR266=18,Worksheet!$BD$38,IF(Calculation!DR266=Worksheet!$BD$39,IF(Calculation!DR266=42,Worksheet!$BD$40,IF(Calculation!DR266=54,Worksheet!$BD$41,Worksheet!$BD$42)))),IF(Calculation!DR266=18,Worksheet!$BD$11,IF(Calculation!DR266=30,Worksheet!$BD$12,IF(Calculation!DR266=42,Worksheet!$BD$13,IF(Calculation!DR266=54,Worksheet!$BD$14,IF(Calculation!DR266=66,Worksheet!$BD$15,IF(Calculation!DR266=78,Worksheet!$BD$16,IF(Calculation!DR266=90,Worksheet!$BD$17,IF(Calculation!DR266=102,Worksheet!$BD$18,Worksheet!$BD$19))))))))))),IF(Calculation!DS266=13.75,IF(Calculation!DR266=13,Worksheet!$BD$78,IF(Calculation!DR266=37,Worksheet!$BD$79,Worksheet!$BD$80)),IF(Calculation!DS266=10,IF(Calculation!DR266=18,Worksheet!$BD$64,IF(Calculation!DR266=30,Worksheet!$BD$65,IF(Calculation!DR266=42,Worksheet!$BD$66,IF(Calculation!DR266=54,Worksheet!$BD$68,IF(Calculation!DR266=66,Worksheet!$BD$68,IF(Calculation!DR266=78,Worksheet!$BD$69,IF(Calculation!DR266=90,Worksheet!$BD$70,IF(Calculation!DR266=102,Worksheet!$BD$71,Worksheet!$BD$72)))))))),IF(Calculation!DS266=12.5,IF(Calculation!DR266=18,Worksheet!$BD$73,IF(Calculation!DR266=Worksheet!$BD$74,IF(Calculation!DR266=42,Worksheet!$BD$75,IF(Calculation!DR266=54,Worksheet!$BD$76,Worksheet!$BD$77)))),IF(Calculation!DR266=18,Worksheet!$BD$55,IF(Calculation!DR266=30,Worksheet!$BD$56,IF(Calculation!DR266=42,Worksheet!$BD$57,IF(Calculation!DR266=54,Worksheet!$BD$58,IF(Calculation!DR266=66,Worksheet!$BD$59,IF(Calculation!DR266=78,Worksheet!$BD$60,IF(Calculation!DR266=90,Worksheet!$BD$61,IF(Calculation!DR266=102,Worksheet!$BD$62,Worksheet!$BD$63)))))))))))),5),0)," ")</f>
        <v xml:space="preserve"> </v>
      </c>
      <c r="EG266" s="361" t="str">
        <f t="shared" si="668"/>
        <v xml:space="preserve"> </v>
      </c>
      <c r="EH266" s="361" t="e">
        <f ca="1">INDEX(INDIRECT(VLOOKUP(LEFT(BO266,7),CLU!$Z$3:$AH$18,7)),M266-1,3+LEFT(DZ266,1))</f>
        <v>#N/A</v>
      </c>
      <c r="EI266" s="362" t="str">
        <f t="shared" si="669"/>
        <v xml:space="preserve"> </v>
      </c>
      <c r="EJ266" s="363" t="str">
        <f t="shared" si="670"/>
        <v xml:space="preserve"> </v>
      </c>
      <c r="EK266" s="363" t="str">
        <f t="shared" si="671"/>
        <v xml:space="preserve"> </v>
      </c>
      <c r="EL266" s="363" t="str">
        <f t="shared" si="672"/>
        <v xml:space="preserve"> </v>
      </c>
      <c r="EM266" s="362" t="str">
        <f>IF(L266&gt;0,IF(BR266&gt;0,(Calculation!T266/ED266)^2,0)," ")</f>
        <v xml:space="preserve"> </v>
      </c>
      <c r="EN266" s="362" t="str">
        <f>IF(L266&gt;0,IF(O266="2 Pipe (Cooling)","N/A",IF(BR266&gt;0,(Calculation!U266/EI266)^2,0))," ")</f>
        <v xml:space="preserve"> </v>
      </c>
      <c r="EO266" s="361" t="str">
        <f t="shared" si="673"/>
        <v/>
      </c>
      <c r="EP266" s="361" t="str">
        <f t="shared" si="674"/>
        <v/>
      </c>
      <c r="EQ266" s="361" t="str">
        <f t="shared" si="675"/>
        <v/>
      </c>
      <c r="ER266" s="361" t="str">
        <f t="shared" si="676"/>
        <v/>
      </c>
      <c r="ES266" s="361" t="str">
        <f t="shared" si="677"/>
        <v/>
      </c>
      <c r="ET266" s="361" t="str">
        <f t="shared" si="678"/>
        <v/>
      </c>
      <c r="EU266" s="361" t="str">
        <f t="shared" si="679"/>
        <v/>
      </c>
      <c r="EV266" s="361" t="str">
        <f t="shared" si="680"/>
        <v/>
      </c>
      <c r="EW266" s="361" t="str">
        <f t="shared" si="681"/>
        <v/>
      </c>
      <c r="EX266" s="361" t="str">
        <f t="shared" si="771"/>
        <v>1 slot, 1 way</v>
      </c>
      <c r="EY266" s="361" t="str">
        <f t="shared" si="772"/>
        <v xml:space="preserve"> </v>
      </c>
      <c r="EZ266" s="361" t="str">
        <f t="shared" si="773"/>
        <v xml:space="preserve"> </v>
      </c>
      <c r="FA266" s="361" t="str">
        <f t="shared" si="774"/>
        <v xml:space="preserve"> </v>
      </c>
      <c r="FB266" s="361" t="str">
        <f t="shared" si="775"/>
        <v xml:space="preserve"> </v>
      </c>
      <c r="FC266" s="361"/>
      <c r="FD266" s="361" t="str">
        <f>IF(J266&gt;0,IF(Calculation!R266&lt;=70,4,IF(Calculation!R266&lt;=110,5,IF(Calculation!R266&lt;=160,6,IF(Calculation!R266&lt;=300,8,"10 EO")))),"")</f>
        <v/>
      </c>
      <c r="FE266" s="361" t="str">
        <f t="shared" si="776"/>
        <v/>
      </c>
      <c r="FF266" s="361" t="str">
        <f t="shared" si="777"/>
        <v/>
      </c>
      <c r="FG266" s="361" t="e">
        <f t="shared" si="682"/>
        <v>#N/A</v>
      </c>
      <c r="FH266" s="361">
        <f t="shared" si="683"/>
        <v>0</v>
      </c>
      <c r="FI266" s="361" t="e">
        <f t="shared" si="684"/>
        <v>#DIV/0!</v>
      </c>
      <c r="FJ266" s="361"/>
      <c r="FK266" s="356" t="e">
        <f t="shared" si="685"/>
        <v>#VALUE!</v>
      </c>
      <c r="FL266" s="361"/>
      <c r="FM266" s="361"/>
      <c r="FN266" s="362" t="str">
        <f t="shared" si="778"/>
        <v xml:space="preserve"> </v>
      </c>
      <c r="FO266" s="362" t="str">
        <f t="shared" si="779"/>
        <v xml:space="preserve"> </v>
      </c>
      <c r="FP266" s="362">
        <f t="shared" si="780"/>
        <v>0</v>
      </c>
      <c r="FQ266" s="361">
        <f t="shared" si="686"/>
        <v>0</v>
      </c>
      <c r="FR266" s="362" t="str">
        <f>IF(L266&gt;0,IF(J266="CBAL2",Worksheet!$P$67,IF(J266="CBE2-24",Worksheet!$Q$67,IF(J266="CBAM",Worksheet!$R$67,IF(J266="CBLV",Worksheet!$S$67,IF(J266="CBAB",Worksheet!$U$67,IF(J266="CBAW",Worksheet!$X$67,IF(J266="CBE2-12",Worksheet!$Y$67,IF(J266="CBAL2",Worksheet!$Z$67,"N/A"))))))))," ")</f>
        <v xml:space="preserve"> </v>
      </c>
      <c r="FS266" s="362" t="str">
        <f>IF(L266&gt;0,IF(J266="CBAL2",Worksheet!$P$68,IF(J266="CBE2-24",Worksheet!$Q$68,IF(J266="CBAM",Worksheet!$R$68,IF(J266="CBLV",Worksheet!$S$68,IF(J266="CBAB",Worksheet!$U$68,IF(J266="CBAW",Worksheet!$X$68,IF(J266="CBE2-12",Worksheet!$Y$68,IF(J266="CBAL2",Worksheet!$Z$68,"N/A"))))))))," ")</f>
        <v xml:space="preserve"> </v>
      </c>
      <c r="FT266" s="362" t="str">
        <f>IF(L266&gt;0,IF(J266="CBAL2",Worksheet!$P$69,IF(J266="CBE2-24",Worksheet!$Q$69,IF(J266="CBAM",Worksheet!$R$69,IF(J266="CBLV",Worksheet!$S$69,IF(J266="CBAB",Worksheet!$U$69,IF(J266="CBAW",Worksheet!$X$69,IF(J266="CBE2-12",Worksheet!$Y$69,IF(J266="CBAL2",Worksheet!$Z$69,"N/A"))))))))," ")</f>
        <v xml:space="preserve"> </v>
      </c>
      <c r="FU266" s="361" t="str">
        <f t="shared" si="781"/>
        <v xml:space="preserve"> </v>
      </c>
      <c r="FV266" s="362" t="str">
        <f t="shared" si="782"/>
        <v xml:space="preserve"> </v>
      </c>
      <c r="FW266" s="362" t="str">
        <f t="shared" si="783"/>
        <v xml:space="preserve"> </v>
      </c>
      <c r="FX266" s="362" t="str">
        <f t="shared" si="784"/>
        <v xml:space="preserve"> </v>
      </c>
      <c r="FY266" s="355" t="str">
        <f t="shared" si="785"/>
        <v xml:space="preserve"> </v>
      </c>
      <c r="FZ266" s="361" t="str">
        <f t="shared" si="786"/>
        <v xml:space="preserve"> </v>
      </c>
      <c r="GA266" s="347" t="str">
        <f t="shared" si="787"/>
        <v xml:space="preserve"> </v>
      </c>
      <c r="GB266" s="355" t="str">
        <f t="shared" si="788"/>
        <v xml:space="preserve"> </v>
      </c>
      <c r="GC266" s="328" t="str">
        <f t="shared" si="789"/>
        <v xml:space="preserve"> </v>
      </c>
      <c r="GD266" s="361" t="str">
        <f t="shared" si="790"/>
        <v xml:space="preserve"> </v>
      </c>
      <c r="GE266" s="347" t="str">
        <f t="shared" si="791"/>
        <v xml:space="preserve"> </v>
      </c>
      <c r="GF266" s="361" t="str">
        <f t="shared" si="792"/>
        <v xml:space="preserve"> </v>
      </c>
      <c r="GG266" s="347" t="str">
        <f t="shared" si="793"/>
        <v xml:space="preserve"> </v>
      </c>
      <c r="GH266" s="364">
        <f t="shared" si="687"/>
        <v>0</v>
      </c>
      <c r="GI266" s="362">
        <f t="shared" si="794"/>
        <v>2</v>
      </c>
      <c r="GJ266" s="433" t="e">
        <f>IF(6-COUNTBLANK(GT266:GY266)=4,MATCH(MID(BO266,9,3),CLU!$H$16:$K$16),MATCH(MID(BO266,9,3),CLU!$H$13:$M$13))</f>
        <v>#N/A</v>
      </c>
      <c r="GK266" s="433" t="e">
        <f>HLOOKUP(VALUE(BP266),CLU!$H$9:$M$10,2)</f>
        <v>#VALUE!</v>
      </c>
      <c r="GL266" s="433" t="e">
        <f ca="1">MATCH(BU266,CLU!$H$2:$V$2,1)</f>
        <v>#VALUE!</v>
      </c>
      <c r="GM266" s="433" t="e">
        <f t="shared" ca="1" si="795"/>
        <v>#VALUE!</v>
      </c>
      <c r="GN266" s="433" t="e">
        <f t="shared" ca="1" si="796"/>
        <v>#VALUE!</v>
      </c>
      <c r="GO266" s="433" t="e">
        <f t="shared" ca="1" si="797"/>
        <v>#VALUE!</v>
      </c>
      <c r="GP266" s="433" t="e">
        <f t="shared" ca="1" si="798"/>
        <v>#VALUE!</v>
      </c>
      <c r="GQ266" s="433" t="e">
        <f t="shared" ca="1" si="799"/>
        <v>#VALUE!</v>
      </c>
      <c r="GR266" s="433" t="e">
        <f ca="1">MATCH(T266,INDIRECT(VLOOKUP(CONCATENATE(LEFT(BO266,7),"-",MID(BO266,13,1)),CLU!$P$3:$Q$16,2)),1)</f>
        <v>#N/A</v>
      </c>
      <c r="GS266" s="433" t="e">
        <f ca="1">MATCH(U266,INDIRECT(VLOOKUP(CONCATENATE(LEFT(BO266,7),"-",MID(BO266,13,1)),CLU!$P$3:$Q$16,2)),1)</f>
        <v>#N/A</v>
      </c>
      <c r="GT266" s="347" t="s">
        <v>512</v>
      </c>
      <c r="GU266" s="97" t="s">
        <v>513</v>
      </c>
      <c r="GV266" s="97" t="str">
        <f t="shared" si="800"/>
        <v>M23</v>
      </c>
      <c r="GW266" s="97" t="str">
        <f t="shared" si="801"/>
        <v>M31</v>
      </c>
      <c r="GX266" s="97" t="str">
        <f t="shared" si="802"/>
        <v/>
      </c>
      <c r="GY266" s="97" t="str">
        <f t="shared" si="803"/>
        <v/>
      </c>
      <c r="GZ266" s="481"/>
      <c r="HA266" s="240"/>
      <c r="HB266" s="240"/>
      <c r="HC266" s="240"/>
      <c r="HD266" s="240"/>
      <c r="HE266" s="240"/>
      <c r="HF266" s="240"/>
      <c r="HG266" s="240"/>
      <c r="HH266" s="240"/>
      <c r="HI266" s="240"/>
      <c r="HJ266" s="240"/>
      <c r="HK266" s="240"/>
      <c r="HL266" s="240"/>
      <c r="HM266" s="240"/>
      <c r="HN266" s="240"/>
      <c r="HO266" s="240"/>
      <c r="HP266" s="240"/>
      <c r="HQ266" s="240"/>
      <c r="HR266" s="240"/>
      <c r="HS266" s="240"/>
      <c r="HT266" s="240"/>
      <c r="HU266" s="240"/>
      <c r="HV266" s="245"/>
      <c r="HW266" s="245" t="b">
        <v>1</v>
      </c>
      <c r="HX266" s="245" t="str">
        <f t="shared" si="688"/>
        <v/>
      </c>
      <c r="HY266" s="245" t="e">
        <f t="shared" si="689"/>
        <v>#DIV/0!</v>
      </c>
      <c r="HZ266" s="245" t="e">
        <f t="shared" si="690"/>
        <v>#DIV/0!</v>
      </c>
      <c r="IA266" s="245">
        <f t="shared" si="691"/>
        <v>0</v>
      </c>
      <c r="IB266" s="245"/>
      <c r="IC266" t="b">
        <f t="shared" si="692"/>
        <v>1</v>
      </c>
      <c r="ID266" s="245" t="b">
        <f t="shared" si="693"/>
        <v>1</v>
      </c>
      <c r="IE266" s="245" t="b">
        <f t="shared" si="694"/>
        <v>1</v>
      </c>
      <c r="IF266" s="245" t="b">
        <f t="shared" si="695"/>
        <v>0</v>
      </c>
      <c r="IG266" s="245" t="b">
        <f t="shared" si="696"/>
        <v>1</v>
      </c>
      <c r="IH266" s="245" t="b">
        <f t="shared" si="697"/>
        <v>1</v>
      </c>
      <c r="II266" s="245">
        <f t="shared" si="804"/>
        <v>0</v>
      </c>
      <c r="IJ266" s="245" t="e">
        <f t="shared" si="698"/>
        <v>#VALUE!</v>
      </c>
      <c r="IK266" s="245" t="e">
        <f t="shared" si="699"/>
        <v>#VALUE!</v>
      </c>
      <c r="IL266" s="245"/>
      <c r="IM266" s="245" t="e">
        <f t="shared" si="805"/>
        <v>#N/A</v>
      </c>
      <c r="IN266" s="245" t="e">
        <f t="shared" si="806"/>
        <v>#N/A</v>
      </c>
      <c r="IO266" s="245"/>
      <c r="IP266" s="245"/>
      <c r="IQ266" s="245" t="str">
        <f t="shared" si="700"/>
        <v/>
      </c>
      <c r="IR266" s="245" t="str">
        <f>IF(J266="","",VLOOKUP(J266,Worksheet!$R$4:$T$14,2))</f>
        <v/>
      </c>
      <c r="IS266" s="245"/>
      <c r="IT266" s="245">
        <f t="shared" si="701"/>
        <v>0</v>
      </c>
      <c r="IU266" s="245">
        <f t="shared" si="702"/>
        <v>0</v>
      </c>
      <c r="IV266" s="245">
        <f t="shared" si="703"/>
        <v>0</v>
      </c>
      <c r="IW266" s="245">
        <f t="shared" si="704"/>
        <v>0</v>
      </c>
      <c r="IX266" s="245">
        <f t="shared" si="807"/>
        <v>0</v>
      </c>
      <c r="IY266" s="245">
        <f t="shared" si="705"/>
        <v>0</v>
      </c>
      <c r="IZ266" s="245">
        <f t="shared" si="706"/>
        <v>0</v>
      </c>
      <c r="JA266">
        <f t="shared" si="707"/>
        <v>0</v>
      </c>
      <c r="JB266">
        <f t="shared" si="808"/>
        <v>0</v>
      </c>
      <c r="JC266">
        <f t="shared" si="708"/>
        <v>0</v>
      </c>
      <c r="JD266">
        <f t="shared" si="709"/>
        <v>0</v>
      </c>
      <c r="JE266">
        <f t="shared" si="710"/>
        <v>0</v>
      </c>
      <c r="JF266">
        <f t="shared" si="711"/>
        <v>0</v>
      </c>
      <c r="JG266">
        <f t="shared" si="712"/>
        <v>0</v>
      </c>
      <c r="JH266">
        <f t="shared" si="713"/>
        <v>0</v>
      </c>
      <c r="JI266">
        <f t="shared" si="714"/>
        <v>0</v>
      </c>
      <c r="JJ266" s="447">
        <f t="shared" si="715"/>
        <v>0</v>
      </c>
      <c r="JK266" s="447">
        <f t="shared" si="716"/>
        <v>0</v>
      </c>
      <c r="JL266">
        <f t="shared" si="717"/>
        <v>0</v>
      </c>
      <c r="JM266" s="245" t="str">
        <f>IFERROR(VLOOKUP(MATCH(BN266,#REF!,0),#REF!,7),"")</f>
        <v/>
      </c>
      <c r="JN266" t="e">
        <f>HLOOKUP(LEFT(BO266,7),Discharge_Area,MATCH(JO266,LookUps!$B$130:$B$149,1)+2)</f>
        <v>#N/A</v>
      </c>
      <c r="JO266" t="str">
        <f t="shared" si="718"/>
        <v>- S</v>
      </c>
      <c r="JP266" t="e">
        <f>HLOOKUP(LEFT(BO266,7),Discharge_Area,MATCH(JO266,LookUps!$B$130:$B$149,1)+2)</f>
        <v>#N/A</v>
      </c>
      <c r="JQ266" t="e">
        <f t="shared" si="719"/>
        <v>#N/A</v>
      </c>
      <c r="JR266" t="e">
        <f t="shared" si="720"/>
        <v>#N/A</v>
      </c>
      <c r="JS266" t="e">
        <f t="shared" si="721"/>
        <v>#N/A</v>
      </c>
      <c r="JT266" s="532" t="str">
        <f t="shared" si="722"/>
        <v xml:space="preserve"> </v>
      </c>
      <c r="JU266" s="532" t="str">
        <f t="shared" si="723"/>
        <v xml:space="preserve"> </v>
      </c>
      <c r="JV266" s="533" t="str">
        <f t="shared" si="724"/>
        <v xml:space="preserve"> </v>
      </c>
      <c r="JW266" s="534">
        <f t="shared" si="725"/>
        <v>0</v>
      </c>
      <c r="JX266" s="535" t="str">
        <f t="shared" si="809"/>
        <v xml:space="preserve"> </v>
      </c>
      <c r="JY266" s="535" t="str">
        <f t="shared" si="810"/>
        <v xml:space="preserve"> </v>
      </c>
      <c r="JZ266" s="535" t="str">
        <f t="shared" si="811"/>
        <v xml:space="preserve"> </v>
      </c>
      <c r="KA266" s="536" t="str">
        <f t="shared" si="726"/>
        <v xml:space="preserve"> </v>
      </c>
      <c r="KB266" s="535" t="e">
        <f t="shared" si="812"/>
        <v>#VALUE!</v>
      </c>
      <c r="KC266" s="535" t="str">
        <f t="shared" si="727"/>
        <v/>
      </c>
      <c r="KD266" s="537" t="str">
        <f t="shared" si="813"/>
        <v xml:space="preserve"> </v>
      </c>
      <c r="KE266" s="537" t="str">
        <f t="shared" si="814"/>
        <v xml:space="preserve"> </v>
      </c>
      <c r="KF266" s="534">
        <f t="shared" si="728"/>
        <v>0</v>
      </c>
      <c r="KG266" s="535" t="str">
        <f t="shared" si="729"/>
        <v xml:space="preserve"> </v>
      </c>
      <c r="KH266" s="535" t="str">
        <f t="shared" si="730"/>
        <v xml:space="preserve"> </v>
      </c>
      <c r="KI266" s="535" t="str">
        <f t="shared" si="731"/>
        <v xml:space="preserve"> </v>
      </c>
      <c r="KJ266" s="536" t="str">
        <f t="shared" si="732"/>
        <v xml:space="preserve"> </v>
      </c>
      <c r="KK266" s="535" t="str">
        <f t="shared" si="815"/>
        <v xml:space="preserve"> </v>
      </c>
      <c r="KL266" s="535" t="str">
        <f t="shared" si="816"/>
        <v xml:space="preserve"> </v>
      </c>
      <c r="KM266" s="537" t="str">
        <f t="shared" si="733"/>
        <v xml:space="preserve"> </v>
      </c>
      <c r="KN266" s="537" t="str">
        <f t="shared" si="817"/>
        <v xml:space="preserve"> </v>
      </c>
      <c r="KP266">
        <f t="shared" si="734"/>
        <v>0</v>
      </c>
      <c r="LA266" t="e">
        <f t="shared" si="735"/>
        <v>#VALUE!</v>
      </c>
      <c r="LB266" t="e">
        <f t="shared" si="736"/>
        <v>#VALUE!</v>
      </c>
      <c r="LC266" t="e">
        <f t="shared" si="737"/>
        <v>#VALUE!</v>
      </c>
      <c r="LD266" t="e">
        <f t="shared" si="738"/>
        <v>#VALUE!</v>
      </c>
      <c r="LE266" t="e">
        <f t="shared" si="818"/>
        <v>#VALUE!</v>
      </c>
      <c r="LF266">
        <f t="shared" si="739"/>
        <v>0</v>
      </c>
      <c r="LG266" t="e">
        <f t="shared" si="819"/>
        <v>#VALUE!</v>
      </c>
      <c r="LH266" t="str">
        <f t="shared" si="740"/>
        <v xml:space="preserve"> </v>
      </c>
      <c r="LI266">
        <f t="shared" si="820"/>
        <v>1</v>
      </c>
    </row>
    <row r="267" spans="2:321" ht="15" customHeight="1">
      <c r="B267" s="311"/>
      <c r="C267" s="311"/>
      <c r="D267" s="312"/>
      <c r="E267" s="311"/>
      <c r="F267" s="312"/>
      <c r="G267" s="311"/>
      <c r="H267" s="311"/>
      <c r="I267" s="232"/>
      <c r="J267" s="311"/>
      <c r="K267" s="305" t="str">
        <f t="shared" si="741"/>
        <v/>
      </c>
      <c r="L267" s="313"/>
      <c r="M267" s="312"/>
      <c r="N267" s="311"/>
      <c r="O267" s="312"/>
      <c r="P267" s="311"/>
      <c r="Q267" s="305" t="str">
        <f t="shared" si="742"/>
        <v/>
      </c>
      <c r="R267" s="314"/>
      <c r="S267" s="450" t="str">
        <f t="shared" si="625"/>
        <v/>
      </c>
      <c r="T267" s="315"/>
      <c r="U267" s="315"/>
      <c r="W267" s="149" t="str">
        <f t="shared" si="626"/>
        <v xml:space="preserve"> </v>
      </c>
      <c r="X267" s="243" t="str">
        <f t="shared" si="627"/>
        <v xml:space="preserve"> </v>
      </c>
      <c r="Y267" s="150" t="str">
        <f t="shared" si="628"/>
        <v/>
      </c>
      <c r="Z267" s="149" t="str">
        <f t="shared" si="629"/>
        <v xml:space="preserve"> </v>
      </c>
      <c r="AA267" s="98" t="str">
        <f t="shared" si="630"/>
        <v xml:space="preserve"> </v>
      </c>
      <c r="AB267" s="153" t="str">
        <f t="shared" si="631"/>
        <v xml:space="preserve"> </v>
      </c>
      <c r="AC267" s="153" t="str">
        <f t="shared" si="632"/>
        <v xml:space="preserve"> </v>
      </c>
      <c r="AD267" s="148" t="str">
        <f t="shared" si="633"/>
        <v/>
      </c>
      <c r="AE267" s="149" t="str">
        <f t="shared" si="634"/>
        <v/>
      </c>
      <c r="AF267" s="151" t="str">
        <f t="shared" si="635"/>
        <v xml:space="preserve"> </v>
      </c>
      <c r="AG267" s="153" t="str">
        <f t="shared" si="636"/>
        <v xml:space="preserve"> </v>
      </c>
      <c r="AH267" s="98" t="str">
        <f t="shared" si="637"/>
        <v xml:space="preserve"> </v>
      </c>
      <c r="AI267" s="149" t="str">
        <f t="shared" si="638"/>
        <v xml:space="preserve"> </v>
      </c>
      <c r="AK267" s="144" t="str">
        <f t="shared" si="639"/>
        <v xml:space="preserve"> </v>
      </c>
      <c r="AL267" s="144"/>
      <c r="AM267" s="243" t="str">
        <f t="shared" si="640"/>
        <v xml:space="preserve"> </v>
      </c>
      <c r="AN267" s="149" t="str">
        <f t="shared" si="743"/>
        <v xml:space="preserve"> </v>
      </c>
      <c r="AO267" s="144" t="str">
        <f>IF(JB267&gt;0,IF(GI267=10,-R267*1.085*(Calculation!$F$6-Calculation!$F$13)*$S$14," "),"")</f>
        <v/>
      </c>
      <c r="AP267" s="144" t="str">
        <f t="shared" si="641"/>
        <v/>
      </c>
      <c r="AQ267" s="56" t="str">
        <f t="shared" si="642"/>
        <v/>
      </c>
      <c r="AR267" s="144" t="str">
        <f t="shared" si="643"/>
        <v/>
      </c>
      <c r="AS267" s="176" t="str">
        <f t="shared" si="644"/>
        <v/>
      </c>
      <c r="AT267" s="176" t="str">
        <f t="shared" si="744"/>
        <v xml:space="preserve"> </v>
      </c>
      <c r="AU267" s="176" t="str">
        <f t="shared" si="645"/>
        <v/>
      </c>
      <c r="AV267" s="177" t="str">
        <f t="shared" si="646"/>
        <v xml:space="preserve"> </v>
      </c>
      <c r="AW267" s="144" t="str">
        <f t="shared" si="647"/>
        <v xml:space="preserve"> </v>
      </c>
      <c r="AX267" s="144" t="str">
        <f t="shared" si="648"/>
        <v xml:space="preserve"> </v>
      </c>
      <c r="AY267" s="152" t="str">
        <f t="shared" si="649"/>
        <v xml:space="preserve"> </v>
      </c>
      <c r="AZ267" s="246" t="str">
        <f t="shared" si="650"/>
        <v/>
      </c>
      <c r="BA267" s="176" t="str">
        <f t="shared" si="651"/>
        <v xml:space="preserve"> </v>
      </c>
      <c r="BB267" s="176" t="str">
        <f t="shared" si="652"/>
        <v xml:space="preserve"> </v>
      </c>
      <c r="BC267" s="195"/>
      <c r="BD267" s="316"/>
      <c r="BE267" s="317"/>
      <c r="BF267" s="318"/>
      <c r="BG267" s="318"/>
      <c r="BH267" s="144" t="str">
        <f t="shared" si="821"/>
        <v xml:space="preserve"> </v>
      </c>
      <c r="BI267" s="176" t="str">
        <f t="shared" si="653"/>
        <v/>
      </c>
      <c r="BJ267" s="144" t="str">
        <f t="shared" si="822"/>
        <v/>
      </c>
      <c r="BK267" s="246" t="str">
        <f t="shared" si="654"/>
        <v/>
      </c>
      <c r="BL267" s="144" t="str">
        <f t="shared" si="823"/>
        <v/>
      </c>
      <c r="BM267" s="246" t="str">
        <f t="shared" si="655"/>
        <v/>
      </c>
      <c r="BN267" s="337" t="str">
        <f t="shared" si="745"/>
        <v/>
      </c>
      <c r="BO267" s="371" t="str">
        <f t="shared" si="746"/>
        <v/>
      </c>
      <c r="BP267" s="328" t="str">
        <f t="shared" si="824"/>
        <v xml:space="preserve"> </v>
      </c>
      <c r="BQ267" s="347" t="str">
        <f t="shared" si="747"/>
        <v xml:space="preserve"> </v>
      </c>
      <c r="BR267" s="353" t="str">
        <f t="shared" si="748"/>
        <v xml:space="preserve"> </v>
      </c>
      <c r="BS267" s="626" t="str">
        <f>IF(L267&gt;0,IF(Calculation!P267="M13",BR267*3.1416*(0.134^2)/(4*144),IF(Calculation!P267="M17",BR267*3.1416*(0.165^2)/(4*144),IF(Calculation!P267="M20",BR267*3.1416*(0.198^2)/(4*144),IF(Calculation!P267="M23",BR267*3.1416*(0.228^2)/(4*144),IF(Calculation!P267="M27",BR267*3.1416*(0.269^2)/(4*144),BR267*3.1416*(0.307^2)/(4*144))))))," ")</f>
        <v xml:space="preserve"> </v>
      </c>
      <c r="BT267" s="353" t="str">
        <f>IF(L267&gt;0,IF(BS267&gt;0,R267/Calculation!BS267,0)," ")</f>
        <v xml:space="preserve"> </v>
      </c>
      <c r="BU267" s="438" t="e">
        <f t="shared" ca="1" si="656"/>
        <v>#VALUE!</v>
      </c>
      <c r="BV267" s="449" t="e">
        <f ca="1">INDEX(INDIRECT(VLOOKUP(LEFT(BO267,7),CLU!$Z$3:$AH$18,2)),GN267,GR267)</f>
        <v>#N/A</v>
      </c>
      <c r="BW267" s="433" t="e">
        <f ca="1">INDEX(INDIRECT(VLOOKUP(LEFT(BO267,7),CLU!$Z$3:$AH$18,3)),GN267,GR267)</f>
        <v>#N/A</v>
      </c>
      <c r="BX267" s="433" t="e">
        <f ca="1">INDEX(INDIRECT(VLOOKUP(LEFT(BO267,7),CLU!$Z$3:$AH$18,4)),GN267,GR267)</f>
        <v>#N/A</v>
      </c>
      <c r="BY267" s="433" t="e">
        <f ca="1">INDEX(INDIRECT(VLOOKUP(LEFT(BO267,7),CLU!$Z$3:$AH$18,9)),((M267-2)*(6-COUNTBLANK(GT267:GY267)))+GJ267)</f>
        <v>#N/A</v>
      </c>
      <c r="BZ267" s="426" t="e">
        <f t="shared" ca="1" si="749"/>
        <v>#N/A</v>
      </c>
      <c r="CA267" s="424" t="e">
        <f t="shared" ca="1" si="750"/>
        <v>#N/A</v>
      </c>
      <c r="CB267" s="429" t="e">
        <f ca="1">INDEX(INDIRECT(VLOOKUP(LEFT(BO267,7),CLU!$Z$3:$AH$18,2)),GN267,GS267)</f>
        <v>#N/A</v>
      </c>
      <c r="CC267" s="342" t="e">
        <f ca="1">INDEX(INDIRECT(VLOOKUP(LEFT(BO267,7),CLU!$Z$3:$AH$18,3)),GN267,GS267)</f>
        <v>#N/A</v>
      </c>
      <c r="CD267" s="342" t="e">
        <f ca="1">INDEX(INDIRECT(VLOOKUP(LEFT(BO267,7),CLU!$Z$3:$AH$18,4)),GN267,GS267)</f>
        <v>#N/A</v>
      </c>
      <c r="CE267" s="426" t="e">
        <f t="shared" ca="1" si="751"/>
        <v>#N/A</v>
      </c>
      <c r="CF267" s="440">
        <f t="shared" si="752"/>
        <v>0</v>
      </c>
      <c r="CG267" s="431" t="e">
        <f ca="1">INDEX(INDIRECT(VLOOKUP(LEFT(BO267,7),CLU!$Z$3:$AH$18,2)),GQ267,GR267)</f>
        <v>#N/A</v>
      </c>
      <c r="CH267" s="431" t="e">
        <f ca="1">INDEX(INDIRECT(VLOOKUP(LEFT(BO267,7),CLU!$Z$3:$AH$18,3)),GQ267,GR267)</f>
        <v>#N/A</v>
      </c>
      <c r="CI267" s="431" t="e">
        <f ca="1">INDEX(INDIRECT(VLOOKUP(LEFT(BO267,7),CLU!$Z$3:$AH$18,4)),GQ267,GR267)</f>
        <v>#N/A</v>
      </c>
      <c r="CJ267" s="448" t="e">
        <f t="shared" ca="1" si="753"/>
        <v>#N/A</v>
      </c>
      <c r="CK267" s="431" t="e">
        <f t="shared" ca="1" si="754"/>
        <v>#N/A</v>
      </c>
      <c r="CL267" s="440" t="e">
        <f t="shared" ca="1" si="755"/>
        <v>#N/A</v>
      </c>
      <c r="CM267" s="431" t="e">
        <f ca="1">INDEX(INDIRECT(VLOOKUP(LEFT(BO267,7),CLU!$Z$3:$AH$18,2)),GQ267,GS267)</f>
        <v>#N/A</v>
      </c>
      <c r="CN267" s="431" t="e">
        <f ca="1">INDEX(INDIRECT(VLOOKUP(LEFT(BO267,7),CLU!$Z$3:$AH$18,3)),GQ267,GS267)</f>
        <v>#N/A</v>
      </c>
      <c r="CO267" s="431" t="e">
        <f ca="1">INDEX(INDIRECT(VLOOKUP(LEFT(BO267,7),CLU!$Z$3:$AH$18,4)),GQ267,GS267)</f>
        <v>#N/A</v>
      </c>
      <c r="CP267" s="431" t="e">
        <f t="shared" ca="1" si="756"/>
        <v>#N/A</v>
      </c>
      <c r="CQ267" s="440">
        <f t="shared" si="757"/>
        <v>0</v>
      </c>
      <c r="CR267" s="51" t="e">
        <f t="shared" ca="1" si="758"/>
        <v>#N/A</v>
      </c>
      <c r="CS267" s="439" t="e">
        <f t="shared" ca="1" si="759"/>
        <v>#VALUE!</v>
      </c>
      <c r="CT267" s="51" t="e">
        <f t="shared" ca="1" si="760"/>
        <v>#VALUE!</v>
      </c>
      <c r="CU267" s="10"/>
      <c r="CV267" s="51" t="e">
        <f t="shared" ca="1" si="657"/>
        <v>#VALUE!</v>
      </c>
      <c r="CW267" s="51">
        <f t="shared" si="761"/>
        <v>0</v>
      </c>
      <c r="CX267" s="439" t="e">
        <f t="shared" ca="1" si="762"/>
        <v>#VALUE!</v>
      </c>
      <c r="CY267" s="51" t="e">
        <f t="shared" ca="1" si="763"/>
        <v>#VALUE!</v>
      </c>
      <c r="CZ267" s="10"/>
      <c r="DA267" s="51" t="e">
        <f t="shared" ca="1" si="764"/>
        <v>#VALUE!</v>
      </c>
      <c r="DB267" s="347" t="e">
        <f ca="1">INDEX(INDIRECT(VLOOKUP(LEFT(BO267,7),CLU!$Z$3:$AI$18,10)),((M267-2)*(6-COUNTBLANK(GT267:GY267)))+GJ267)*LI267</f>
        <v>#N/A</v>
      </c>
      <c r="DC267" s="347" t="str">
        <f>IF(L267&gt;0,((R267/Worksheet!$I$15)/DB267)^2," ")</f>
        <v xml:space="preserve"> </v>
      </c>
      <c r="DD267" s="602" t="str">
        <f t="shared" si="765"/>
        <v xml:space="preserve"> </v>
      </c>
      <c r="DE267" s="347" t="str">
        <f t="shared" si="658"/>
        <v xml:space="preserve"> </v>
      </c>
      <c r="DF267" s="356" t="e">
        <f ca="1">INDEX(INDIRECT(VLOOKUP(LEFT(BO267,7),CLU!$Z$3:$AH$18,8)),((M267-2)*(6-COUNTBLANK(GT267:GY267)))+GJ267)</f>
        <v>#N/A</v>
      </c>
      <c r="DG267" s="347" t="str">
        <f t="shared" si="659"/>
        <v xml:space="preserve"> </v>
      </c>
      <c r="DH267" s="357" t="str">
        <f t="shared" si="660"/>
        <v xml:space="preserve"> </v>
      </c>
      <c r="DI267" s="355" t="str">
        <f t="shared" si="661"/>
        <v xml:space="preserve"> </v>
      </c>
      <c r="DJ267" s="245" t="e">
        <f ca="1">INDEX(INDIRECT(VLOOKUP(LEFT(BO267,7),CLU!$Z$3:$AH$18,5)),GL267,GK267)</f>
        <v>#N/A</v>
      </c>
      <c r="DK267" s="245" t="e">
        <f ca="1">INDEX(INDIRECT(VLOOKUP(LEFT(BO267,7),CLU!$Z$3:$AH$18,6)),GL267,GK267)</f>
        <v>#N/A</v>
      </c>
      <c r="DL267" s="355">
        <f>(Calculation!R267*0.69143*(Calculation!$BQ$8-Calculation!$F$8))*$S$14</f>
        <v>0</v>
      </c>
      <c r="DM267" s="359" t="e">
        <f t="shared" si="766"/>
        <v>#VALUE!</v>
      </c>
      <c r="DN267" s="611">
        <f t="shared" si="767"/>
        <v>0</v>
      </c>
      <c r="DO267" s="359">
        <f t="shared" si="768"/>
        <v>100</v>
      </c>
      <c r="DP267" s="359">
        <f t="shared" si="769"/>
        <v>0</v>
      </c>
      <c r="DQ267" s="360"/>
      <c r="DR267" s="245" t="e">
        <f ca="1">INDEX(INDIRECT(VLOOKUP(LEFT(BO267,7),CLU!$Z$3:$AH$18,7)),M267-1,1)</f>
        <v>#N/A</v>
      </c>
      <c r="DS267" s="245" t="e">
        <f ca="1">INDEX(INDIRECT(VLOOKUP(LEFT(BO267,7),CLU!$Z$3:$AH$18,7)),M267-1,2)</f>
        <v>#N/A</v>
      </c>
      <c r="DT267" s="245" t="e">
        <f ca="1">INDEX(INDIRECT(VLOOKUP(LEFT(BO267,7),CLU!$Z$3:$AH$18,7)),M267-1,3)</f>
        <v>#N/A</v>
      </c>
      <c r="DU267" s="245" t="e">
        <f ca="1">INDEX(INDIRECT(VLOOKUP(LEFT(BO267,7),CLU!$Z$3:$AH$18,7)),M267-1,4)</f>
        <v>#N/A</v>
      </c>
      <c r="DV267" s="361" t="e">
        <f ca="1">INDEX(INDIRECT(VLOOKUP(LEFT(BO267,7),CLU!$Z$3:$AH$18,7)),M267-1,4+LEFT(DZ267,1)*0.5)</f>
        <v>#N/A</v>
      </c>
      <c r="DW267" s="245" t="e">
        <f ca="1">INDEX(INDIRECT(VLOOKUP(LEFT(BO267,7),CLU!$Z$3:$AH$18,7)),M267-1,8)</f>
        <v>#N/A</v>
      </c>
      <c r="DX267" s="361" t="str">
        <f t="shared" si="662"/>
        <v xml:space="preserve"> </v>
      </c>
      <c r="DY267" s="361" t="str">
        <f t="shared" si="663"/>
        <v xml:space="preserve"> </v>
      </c>
      <c r="DZ267" s="361" t="str">
        <f t="shared" si="664"/>
        <v xml:space="preserve"> </v>
      </c>
      <c r="EA267" s="362" t="str">
        <f t="shared" si="665"/>
        <v xml:space="preserve"> </v>
      </c>
      <c r="EB267" s="624" t="str">
        <f t="shared" si="770"/>
        <v xml:space="preserve"> </v>
      </c>
      <c r="EC267" s="361" t="e">
        <f ca="1">INDEX(INDIRECT(VLOOKUP(LEFT(BO267,7),CLU!$Z$3:$AH$18,7)),M267-1,4+LEFT(DZ267,1)*0.5)</f>
        <v>#N/A</v>
      </c>
      <c r="ED267" s="362" t="str">
        <f t="shared" si="666"/>
        <v xml:space="preserve"> </v>
      </c>
      <c r="EE267" s="361" t="str">
        <f t="shared" si="667"/>
        <v xml:space="preserve"> </v>
      </c>
      <c r="EF267" s="362" t="str">
        <f>IF(L267&gt;0,IF(BR267&gt;0,IF(EE267="2P",IF(Calculation!DZ267="2P",IF(Calculation!DS267=13.75,IF(Calculation!DR267=13,Worksheet!$BD$43,IF(Calculation!DR267=37,Worksheet!$BD$44,Worksheet!$BD$45)),IF(Calculation!DS267=10,IF(Calculation!DR267=18,Worksheet!$BD$29,IF(Calculation!DR267=30,Worksheet!$BD$30,IF(Calculation!DR267=42,Worksheet!$BD$31,IF(Calculation!DR267=54,Worksheet!$BD$32,IF(Calculation!DR267=66,Worksheet!$BD$33,IF(Calculation!DR267=78,Worksheet!$BD$34,IF(Calculation!DR267=90,Worksheet!$BD$35,IF(Calculation!DR267=102,Worksheet!$BD$36,Worksheet!$BD$37)))))))),IF(Calculation!DS267=12.5,IF(Calculation!DR267=18,Worksheet!$BD$38,IF(Calculation!DR267=Worksheet!$BD$39,IF(Calculation!DR267=42,Worksheet!$BD$40,IF(Calculation!DR267=54,Worksheet!$BD$41,Worksheet!$BD$42)))),IF(Calculation!DR267=18,Worksheet!$BD$11,IF(Calculation!DR267=30,Worksheet!$BD$12,IF(Calculation!DR267=42,Worksheet!$BD$13,IF(Calculation!DR267=54,Worksheet!$BD$14,IF(Calculation!DR267=66,Worksheet!$BD$15,IF(Calculation!DR267=78,Worksheet!$BD$16,IF(Calculation!DR267=90,Worksheet!$BD$17,IF(Calculation!DR267=102,Worksheet!$BD$18,Worksheet!$BD$19))))))))))),IF(Calculation!DS267=13.75,IF(Calculation!DR267=13,Worksheet!$BD$78,IF(Calculation!DR267=37,Worksheet!$BD$79,Worksheet!$BD$80)),IF(Calculation!DS267=10,IF(Calculation!DR267=18,Worksheet!$BD$64,IF(Calculation!DR267=30,Worksheet!$BD$65,IF(Calculation!DR267=42,Worksheet!$BD$66,IF(Calculation!DR267=54,Worksheet!$BD$68,IF(Calculation!DR267=66,Worksheet!$BD$68,IF(Calculation!DR267=78,Worksheet!$BD$69,IF(Calculation!DR267=90,Worksheet!$BD$70,IF(Calculation!DR267=102,Worksheet!$BD$71,Worksheet!$BD$72)))))))),IF(Calculation!DS267=12.5,IF(Calculation!DR267=18,Worksheet!$BD$73,IF(Calculation!DR267=Worksheet!$BD$74,IF(Calculation!DR267=42,Worksheet!$BD$75,IF(Calculation!DR267=54,Worksheet!$BD$76,Worksheet!$BD$77)))),IF(Calculation!DR267=18,Worksheet!$BD$55,IF(Calculation!DR267=30,Worksheet!$BD$56,IF(Calculation!DR267=42,Worksheet!$BD$57,IF(Calculation!DR267=54,Worksheet!$BD$58,IF(Calculation!DR267=66,Worksheet!$BD$59,IF(Calculation!DR267=78,Worksheet!$BD$60,IF(Calculation!DR267=90,Worksheet!$BD$61,IF(Calculation!DR267=102,Worksheet!$BD$62,Worksheet!$BD$63)))))))))))),5),0)," ")</f>
        <v xml:space="preserve"> </v>
      </c>
      <c r="EG267" s="361" t="str">
        <f t="shared" si="668"/>
        <v xml:space="preserve"> </v>
      </c>
      <c r="EH267" s="361" t="e">
        <f ca="1">INDEX(INDIRECT(VLOOKUP(LEFT(BO267,7),CLU!$Z$3:$AH$18,7)),M267-1,3+LEFT(DZ267,1))</f>
        <v>#N/A</v>
      </c>
      <c r="EI267" s="362" t="str">
        <f t="shared" si="669"/>
        <v xml:space="preserve"> </v>
      </c>
      <c r="EJ267" s="363" t="str">
        <f t="shared" si="670"/>
        <v xml:space="preserve"> </v>
      </c>
      <c r="EK267" s="363" t="str">
        <f t="shared" si="671"/>
        <v xml:space="preserve"> </v>
      </c>
      <c r="EL267" s="363" t="str">
        <f t="shared" si="672"/>
        <v xml:space="preserve"> </v>
      </c>
      <c r="EM267" s="362" t="str">
        <f>IF(L267&gt;0,IF(BR267&gt;0,(Calculation!T267/ED267)^2,0)," ")</f>
        <v xml:space="preserve"> </v>
      </c>
      <c r="EN267" s="362" t="str">
        <f>IF(L267&gt;0,IF(O267="2 Pipe (Cooling)","N/A",IF(BR267&gt;0,(Calculation!U267/EI267)^2,0))," ")</f>
        <v xml:space="preserve"> </v>
      </c>
      <c r="EO267" s="361" t="str">
        <f t="shared" si="673"/>
        <v/>
      </c>
      <c r="EP267" s="361" t="str">
        <f t="shared" si="674"/>
        <v/>
      </c>
      <c r="EQ267" s="361" t="str">
        <f t="shared" si="675"/>
        <v/>
      </c>
      <c r="ER267" s="361" t="str">
        <f t="shared" si="676"/>
        <v/>
      </c>
      <c r="ES267" s="361" t="str">
        <f t="shared" si="677"/>
        <v/>
      </c>
      <c r="ET267" s="361" t="str">
        <f t="shared" si="678"/>
        <v/>
      </c>
      <c r="EU267" s="361" t="str">
        <f t="shared" si="679"/>
        <v/>
      </c>
      <c r="EV267" s="361" t="str">
        <f t="shared" si="680"/>
        <v/>
      </c>
      <c r="EW267" s="361" t="str">
        <f t="shared" si="681"/>
        <v/>
      </c>
      <c r="EX267" s="361" t="str">
        <f t="shared" si="771"/>
        <v>1 slot, 1 way</v>
      </c>
      <c r="EY267" s="361" t="str">
        <f t="shared" si="772"/>
        <v xml:space="preserve"> </v>
      </c>
      <c r="EZ267" s="361" t="str">
        <f t="shared" si="773"/>
        <v xml:space="preserve"> </v>
      </c>
      <c r="FA267" s="361" t="str">
        <f t="shared" si="774"/>
        <v xml:space="preserve"> </v>
      </c>
      <c r="FB267" s="361" t="str">
        <f t="shared" si="775"/>
        <v xml:space="preserve"> </v>
      </c>
      <c r="FC267" s="361"/>
      <c r="FD267" s="361" t="str">
        <f>IF(J267&gt;0,IF(Calculation!R267&lt;=70,4,IF(Calculation!R267&lt;=110,5,IF(Calculation!R267&lt;=160,6,IF(Calculation!R267&lt;=300,8,"10 EO")))),"")</f>
        <v/>
      </c>
      <c r="FE267" s="361" t="str">
        <f t="shared" si="776"/>
        <v/>
      </c>
      <c r="FF267" s="361" t="str">
        <f t="shared" si="777"/>
        <v/>
      </c>
      <c r="FG267" s="361" t="e">
        <f t="shared" si="682"/>
        <v>#N/A</v>
      </c>
      <c r="FH267" s="361">
        <f t="shared" si="683"/>
        <v>0</v>
      </c>
      <c r="FI267" s="361" t="e">
        <f t="shared" si="684"/>
        <v>#DIV/0!</v>
      </c>
      <c r="FJ267" s="361"/>
      <c r="FK267" s="356" t="e">
        <f t="shared" si="685"/>
        <v>#VALUE!</v>
      </c>
      <c r="FL267" s="361"/>
      <c r="FM267" s="361"/>
      <c r="FN267" s="362" t="str">
        <f t="shared" si="778"/>
        <v xml:space="preserve"> </v>
      </c>
      <c r="FO267" s="362" t="str">
        <f t="shared" si="779"/>
        <v xml:space="preserve"> </v>
      </c>
      <c r="FP267" s="362">
        <f t="shared" si="780"/>
        <v>0</v>
      </c>
      <c r="FQ267" s="361">
        <f t="shared" si="686"/>
        <v>0</v>
      </c>
      <c r="FR267" s="362" t="str">
        <f>IF(L267&gt;0,IF(J267="CBAL2",Worksheet!$P$67,IF(J267="CBE2-24",Worksheet!$Q$67,IF(J267="CBAM",Worksheet!$R$67,IF(J267="CBLV",Worksheet!$S$67,IF(J267="CBAB",Worksheet!$U$67,IF(J267="CBAW",Worksheet!$X$67,IF(J267="CBE2-12",Worksheet!$Y$67,IF(J267="CBAL2",Worksheet!$Z$67,"N/A"))))))))," ")</f>
        <v xml:space="preserve"> </v>
      </c>
      <c r="FS267" s="362" t="str">
        <f>IF(L267&gt;0,IF(J267="CBAL2",Worksheet!$P$68,IF(J267="CBE2-24",Worksheet!$Q$68,IF(J267="CBAM",Worksheet!$R$68,IF(J267="CBLV",Worksheet!$S$68,IF(J267="CBAB",Worksheet!$U$68,IF(J267="CBAW",Worksheet!$X$68,IF(J267="CBE2-12",Worksheet!$Y$68,IF(J267="CBAL2",Worksheet!$Z$68,"N/A"))))))))," ")</f>
        <v xml:space="preserve"> </v>
      </c>
      <c r="FT267" s="362" t="str">
        <f>IF(L267&gt;0,IF(J267="CBAL2",Worksheet!$P$69,IF(J267="CBE2-24",Worksheet!$Q$69,IF(J267="CBAM",Worksheet!$R$69,IF(J267="CBLV",Worksheet!$S$69,IF(J267="CBAB",Worksheet!$U$69,IF(J267="CBAW",Worksheet!$X$69,IF(J267="CBE2-12",Worksheet!$Y$69,IF(J267="CBAL2",Worksheet!$Z$69,"N/A"))))))))," ")</f>
        <v xml:space="preserve"> </v>
      </c>
      <c r="FU267" s="361" t="str">
        <f t="shared" si="781"/>
        <v xml:space="preserve"> </v>
      </c>
      <c r="FV267" s="362" t="str">
        <f t="shared" si="782"/>
        <v xml:space="preserve"> </v>
      </c>
      <c r="FW267" s="362" t="str">
        <f t="shared" si="783"/>
        <v xml:space="preserve"> </v>
      </c>
      <c r="FX267" s="362" t="str">
        <f t="shared" si="784"/>
        <v xml:space="preserve"> </v>
      </c>
      <c r="FY267" s="355" t="str">
        <f t="shared" si="785"/>
        <v xml:space="preserve"> </v>
      </c>
      <c r="FZ267" s="361" t="str">
        <f t="shared" si="786"/>
        <v xml:space="preserve"> </v>
      </c>
      <c r="GA267" s="347" t="str">
        <f t="shared" si="787"/>
        <v xml:space="preserve"> </v>
      </c>
      <c r="GB267" s="355" t="str">
        <f t="shared" si="788"/>
        <v xml:space="preserve"> </v>
      </c>
      <c r="GC267" s="328" t="str">
        <f t="shared" si="789"/>
        <v xml:space="preserve"> </v>
      </c>
      <c r="GD267" s="361" t="str">
        <f t="shared" si="790"/>
        <v xml:space="preserve"> </v>
      </c>
      <c r="GE267" s="347" t="str">
        <f t="shared" si="791"/>
        <v xml:space="preserve"> </v>
      </c>
      <c r="GF267" s="361" t="str">
        <f t="shared" si="792"/>
        <v xml:space="preserve"> </v>
      </c>
      <c r="GG267" s="347" t="str">
        <f t="shared" si="793"/>
        <v xml:space="preserve"> </v>
      </c>
      <c r="GH267" s="364">
        <f t="shared" si="687"/>
        <v>0</v>
      </c>
      <c r="GI267" s="362">
        <f t="shared" si="794"/>
        <v>2</v>
      </c>
      <c r="GJ267" s="433" t="e">
        <f>IF(6-COUNTBLANK(GT267:GY267)=4,MATCH(MID(BO267,9,3),CLU!$H$16:$K$16),MATCH(MID(BO267,9,3),CLU!$H$13:$M$13))</f>
        <v>#N/A</v>
      </c>
      <c r="GK267" s="433" t="e">
        <f>HLOOKUP(VALUE(BP267),CLU!$H$9:$M$10,2)</f>
        <v>#VALUE!</v>
      </c>
      <c r="GL267" s="433" t="e">
        <f ca="1">MATCH(BU267,CLU!$H$2:$V$2,1)</f>
        <v>#VALUE!</v>
      </c>
      <c r="GM267" s="433" t="e">
        <f t="shared" ca="1" si="795"/>
        <v>#VALUE!</v>
      </c>
      <c r="GN267" s="433" t="e">
        <f t="shared" ca="1" si="796"/>
        <v>#VALUE!</v>
      </c>
      <c r="GO267" s="433" t="e">
        <f t="shared" ca="1" si="797"/>
        <v>#VALUE!</v>
      </c>
      <c r="GP267" s="433" t="e">
        <f t="shared" ca="1" si="798"/>
        <v>#VALUE!</v>
      </c>
      <c r="GQ267" s="433" t="e">
        <f t="shared" ca="1" si="799"/>
        <v>#VALUE!</v>
      </c>
      <c r="GR267" s="433" t="e">
        <f ca="1">MATCH(T267,INDIRECT(VLOOKUP(CONCATENATE(LEFT(BO267,7),"-",MID(BO267,13,1)),CLU!$P$3:$Q$16,2)),1)</f>
        <v>#N/A</v>
      </c>
      <c r="GS267" s="433" t="e">
        <f ca="1">MATCH(U267,INDIRECT(VLOOKUP(CONCATENATE(LEFT(BO267,7),"-",MID(BO267,13,1)),CLU!$P$3:$Q$16,2)),1)</f>
        <v>#N/A</v>
      </c>
      <c r="GT267" s="347" t="s">
        <v>512</v>
      </c>
      <c r="GU267" s="97" t="s">
        <v>513</v>
      </c>
      <c r="GV267" s="97" t="str">
        <f t="shared" si="800"/>
        <v>M23</v>
      </c>
      <c r="GW267" s="97" t="str">
        <f t="shared" si="801"/>
        <v>M31</v>
      </c>
      <c r="GX267" s="97" t="str">
        <f t="shared" si="802"/>
        <v/>
      </c>
      <c r="GY267" s="97" t="str">
        <f t="shared" si="803"/>
        <v/>
      </c>
      <c r="GZ267" s="481"/>
      <c r="HA267" s="240"/>
      <c r="HB267" s="240"/>
      <c r="HC267" s="240"/>
      <c r="HD267" s="240"/>
      <c r="HE267" s="240"/>
      <c r="HF267" s="240"/>
      <c r="HG267" s="240"/>
      <c r="HH267" s="240"/>
      <c r="HI267" s="240"/>
      <c r="HJ267" s="240"/>
      <c r="HK267" s="240"/>
      <c r="HL267" s="240"/>
      <c r="HM267" s="240"/>
      <c r="HN267" s="240"/>
      <c r="HO267" s="240"/>
      <c r="HP267" s="240"/>
      <c r="HQ267" s="240"/>
      <c r="HR267" s="240"/>
      <c r="HS267" s="240"/>
      <c r="HT267" s="240"/>
      <c r="HU267" s="240"/>
      <c r="HV267" s="245"/>
      <c r="HW267" s="245" t="b">
        <v>1</v>
      </c>
      <c r="HX267" s="245" t="str">
        <f t="shared" si="688"/>
        <v/>
      </c>
      <c r="HY267" s="245" t="e">
        <f t="shared" si="689"/>
        <v>#DIV/0!</v>
      </c>
      <c r="HZ267" s="245" t="e">
        <f t="shared" si="690"/>
        <v>#DIV/0!</v>
      </c>
      <c r="IA267" s="245">
        <f t="shared" si="691"/>
        <v>0</v>
      </c>
      <c r="IB267" s="245"/>
      <c r="IC267" t="b">
        <f t="shared" si="692"/>
        <v>1</v>
      </c>
      <c r="ID267" s="245" t="b">
        <f t="shared" si="693"/>
        <v>1</v>
      </c>
      <c r="IE267" s="245" t="b">
        <f t="shared" si="694"/>
        <v>1</v>
      </c>
      <c r="IF267" s="245" t="b">
        <f t="shared" si="695"/>
        <v>0</v>
      </c>
      <c r="IG267" s="245" t="b">
        <f t="shared" si="696"/>
        <v>1</v>
      </c>
      <c r="IH267" s="245" t="b">
        <f t="shared" si="697"/>
        <v>1</v>
      </c>
      <c r="II267" s="245">
        <f t="shared" si="804"/>
        <v>0</v>
      </c>
      <c r="IJ267" s="245" t="e">
        <f t="shared" si="698"/>
        <v>#VALUE!</v>
      </c>
      <c r="IK267" s="245" t="e">
        <f t="shared" si="699"/>
        <v>#VALUE!</v>
      </c>
      <c r="IL267" s="245"/>
      <c r="IM267" s="245" t="e">
        <f t="shared" si="805"/>
        <v>#N/A</v>
      </c>
      <c r="IN267" s="245" t="e">
        <f t="shared" si="806"/>
        <v>#N/A</v>
      </c>
      <c r="IO267" s="245"/>
      <c r="IP267" s="245"/>
      <c r="IQ267" s="245" t="str">
        <f t="shared" si="700"/>
        <v/>
      </c>
      <c r="IR267" s="245" t="str">
        <f>IF(J267="","",VLOOKUP(J267,Worksheet!$R$4:$T$14,2))</f>
        <v/>
      </c>
      <c r="IS267" s="245"/>
      <c r="IT267" s="245">
        <f t="shared" si="701"/>
        <v>0</v>
      </c>
      <c r="IU267" s="245">
        <f t="shared" si="702"/>
        <v>0</v>
      </c>
      <c r="IV267" s="245">
        <f t="shared" si="703"/>
        <v>0</v>
      </c>
      <c r="IW267" s="245">
        <f t="shared" si="704"/>
        <v>0</v>
      </c>
      <c r="IX267" s="245">
        <f t="shared" si="807"/>
        <v>0</v>
      </c>
      <c r="IY267" s="245">
        <f t="shared" si="705"/>
        <v>0</v>
      </c>
      <c r="IZ267" s="245">
        <f t="shared" si="706"/>
        <v>0</v>
      </c>
      <c r="JA267">
        <f t="shared" si="707"/>
        <v>0</v>
      </c>
      <c r="JB267">
        <f t="shared" si="808"/>
        <v>0</v>
      </c>
      <c r="JC267">
        <f t="shared" si="708"/>
        <v>0</v>
      </c>
      <c r="JD267">
        <f t="shared" si="709"/>
        <v>0</v>
      </c>
      <c r="JE267">
        <f t="shared" si="710"/>
        <v>0</v>
      </c>
      <c r="JF267">
        <f t="shared" si="711"/>
        <v>0</v>
      </c>
      <c r="JG267">
        <f t="shared" si="712"/>
        <v>0</v>
      </c>
      <c r="JH267">
        <f t="shared" si="713"/>
        <v>0</v>
      </c>
      <c r="JI267">
        <f t="shared" si="714"/>
        <v>0</v>
      </c>
      <c r="JJ267" s="447">
        <f t="shared" si="715"/>
        <v>0</v>
      </c>
      <c r="JK267" s="447">
        <f t="shared" si="716"/>
        <v>0</v>
      </c>
      <c r="JL267">
        <f t="shared" si="717"/>
        <v>0</v>
      </c>
      <c r="JM267" s="245" t="str">
        <f>IFERROR(VLOOKUP(MATCH(BN267,#REF!,0),#REF!,7),"")</f>
        <v/>
      </c>
      <c r="JN267" t="e">
        <f>HLOOKUP(LEFT(BO267,7),Discharge_Area,MATCH(JO267,LookUps!$B$130:$B$149,1)+2)</f>
        <v>#N/A</v>
      </c>
      <c r="JO267" t="str">
        <f t="shared" si="718"/>
        <v>- S</v>
      </c>
      <c r="JP267" t="e">
        <f>HLOOKUP(LEFT(BO267,7),Discharge_Area,MATCH(JO267,LookUps!$B$130:$B$149,1)+2)</f>
        <v>#N/A</v>
      </c>
      <c r="JQ267" t="e">
        <f t="shared" si="719"/>
        <v>#N/A</v>
      </c>
      <c r="JR267" t="e">
        <f t="shared" si="720"/>
        <v>#N/A</v>
      </c>
      <c r="JS267" t="e">
        <f t="shared" si="721"/>
        <v>#N/A</v>
      </c>
      <c r="JT267" s="532" t="str">
        <f t="shared" si="722"/>
        <v xml:space="preserve"> </v>
      </c>
      <c r="JU267" s="532" t="str">
        <f t="shared" si="723"/>
        <v xml:space="preserve"> </v>
      </c>
      <c r="JV267" s="533" t="str">
        <f t="shared" si="724"/>
        <v xml:space="preserve"> </v>
      </c>
      <c r="JW267" s="534">
        <f t="shared" si="725"/>
        <v>0</v>
      </c>
      <c r="JX267" s="535" t="str">
        <f t="shared" si="809"/>
        <v xml:space="preserve"> </v>
      </c>
      <c r="JY267" s="535" t="str">
        <f t="shared" si="810"/>
        <v xml:space="preserve"> </v>
      </c>
      <c r="JZ267" s="535" t="str">
        <f t="shared" si="811"/>
        <v xml:space="preserve"> </v>
      </c>
      <c r="KA267" s="536" t="str">
        <f t="shared" si="726"/>
        <v xml:space="preserve"> </v>
      </c>
      <c r="KB267" s="535" t="e">
        <f t="shared" si="812"/>
        <v>#VALUE!</v>
      </c>
      <c r="KC267" s="535" t="str">
        <f t="shared" si="727"/>
        <v/>
      </c>
      <c r="KD267" s="537" t="str">
        <f t="shared" si="813"/>
        <v xml:space="preserve"> </v>
      </c>
      <c r="KE267" s="537" t="str">
        <f t="shared" si="814"/>
        <v xml:space="preserve"> </v>
      </c>
      <c r="KF267" s="534">
        <f t="shared" si="728"/>
        <v>0</v>
      </c>
      <c r="KG267" s="535" t="str">
        <f t="shared" si="729"/>
        <v xml:space="preserve"> </v>
      </c>
      <c r="KH267" s="535" t="str">
        <f t="shared" si="730"/>
        <v xml:space="preserve"> </v>
      </c>
      <c r="KI267" s="535" t="str">
        <f t="shared" si="731"/>
        <v xml:space="preserve"> </v>
      </c>
      <c r="KJ267" s="536" t="str">
        <f t="shared" si="732"/>
        <v xml:space="preserve"> </v>
      </c>
      <c r="KK267" s="535" t="str">
        <f t="shared" si="815"/>
        <v xml:space="preserve"> </v>
      </c>
      <c r="KL267" s="535" t="str">
        <f t="shared" si="816"/>
        <v xml:space="preserve"> </v>
      </c>
      <c r="KM267" s="537" t="str">
        <f t="shared" si="733"/>
        <v xml:space="preserve"> </v>
      </c>
      <c r="KN267" s="537" t="str">
        <f t="shared" si="817"/>
        <v xml:space="preserve"> </v>
      </c>
      <c r="KP267">
        <f t="shared" si="734"/>
        <v>0</v>
      </c>
      <c r="LA267" t="e">
        <f t="shared" si="735"/>
        <v>#VALUE!</v>
      </c>
      <c r="LB267" t="e">
        <f t="shared" si="736"/>
        <v>#VALUE!</v>
      </c>
      <c r="LC267" t="e">
        <f t="shared" si="737"/>
        <v>#VALUE!</v>
      </c>
      <c r="LD267" t="e">
        <f t="shared" si="738"/>
        <v>#VALUE!</v>
      </c>
      <c r="LE267" t="e">
        <f t="shared" si="818"/>
        <v>#VALUE!</v>
      </c>
      <c r="LF267">
        <f t="shared" si="739"/>
        <v>0</v>
      </c>
      <c r="LG267" t="e">
        <f t="shared" si="819"/>
        <v>#VALUE!</v>
      </c>
      <c r="LH267" t="str">
        <f t="shared" si="740"/>
        <v xml:space="preserve"> </v>
      </c>
      <c r="LI267">
        <f t="shared" si="820"/>
        <v>1</v>
      </c>
    </row>
    <row r="268" spans="2:321" ht="15" customHeight="1">
      <c r="B268" s="311"/>
      <c r="C268" s="311"/>
      <c r="D268" s="312"/>
      <c r="E268" s="311"/>
      <c r="F268" s="312"/>
      <c r="G268" s="311"/>
      <c r="H268" s="311"/>
      <c r="I268" s="232"/>
      <c r="J268" s="311"/>
      <c r="K268" s="305" t="str">
        <f t="shared" si="741"/>
        <v/>
      </c>
      <c r="L268" s="313"/>
      <c r="M268" s="312"/>
      <c r="N268" s="311"/>
      <c r="O268" s="312"/>
      <c r="P268" s="311"/>
      <c r="Q268" s="305" t="str">
        <f t="shared" si="742"/>
        <v/>
      </c>
      <c r="R268" s="314"/>
      <c r="S268" s="450" t="str">
        <f t="shared" si="625"/>
        <v/>
      </c>
      <c r="T268" s="315"/>
      <c r="U268" s="315"/>
      <c r="W268" s="149" t="str">
        <f t="shared" si="626"/>
        <v xml:space="preserve"> </v>
      </c>
      <c r="X268" s="243" t="str">
        <f t="shared" si="627"/>
        <v xml:space="preserve"> </v>
      </c>
      <c r="Y268" s="150" t="str">
        <f t="shared" si="628"/>
        <v/>
      </c>
      <c r="Z268" s="149" t="str">
        <f t="shared" si="629"/>
        <v xml:space="preserve"> </v>
      </c>
      <c r="AA268" s="98" t="str">
        <f t="shared" si="630"/>
        <v xml:space="preserve"> </v>
      </c>
      <c r="AB268" s="153" t="str">
        <f t="shared" si="631"/>
        <v xml:space="preserve"> </v>
      </c>
      <c r="AC268" s="153" t="str">
        <f t="shared" si="632"/>
        <v xml:space="preserve"> </v>
      </c>
      <c r="AD268" s="148" t="str">
        <f t="shared" si="633"/>
        <v/>
      </c>
      <c r="AE268" s="149" t="str">
        <f t="shared" si="634"/>
        <v/>
      </c>
      <c r="AF268" s="151" t="str">
        <f t="shared" si="635"/>
        <v xml:space="preserve"> </v>
      </c>
      <c r="AG268" s="153" t="str">
        <f t="shared" si="636"/>
        <v xml:space="preserve"> </v>
      </c>
      <c r="AH268" s="98" t="str">
        <f t="shared" si="637"/>
        <v xml:space="preserve"> </v>
      </c>
      <c r="AI268" s="149" t="str">
        <f t="shared" si="638"/>
        <v xml:space="preserve"> </v>
      </c>
      <c r="AK268" s="144" t="str">
        <f t="shared" si="639"/>
        <v xml:space="preserve"> </v>
      </c>
      <c r="AL268" s="144"/>
      <c r="AM268" s="243" t="str">
        <f t="shared" si="640"/>
        <v xml:space="preserve"> </v>
      </c>
      <c r="AN268" s="149" t="str">
        <f t="shared" si="743"/>
        <v xml:space="preserve"> </v>
      </c>
      <c r="AO268" s="144" t="str">
        <f>IF(JB268&gt;0,IF(GI268=10,-R268*1.085*(Calculation!$F$6-Calculation!$F$13)*$S$14," "),"")</f>
        <v/>
      </c>
      <c r="AP268" s="144" t="str">
        <f t="shared" si="641"/>
        <v/>
      </c>
      <c r="AQ268" s="56" t="str">
        <f t="shared" si="642"/>
        <v/>
      </c>
      <c r="AR268" s="144" t="str">
        <f t="shared" si="643"/>
        <v/>
      </c>
      <c r="AS268" s="176" t="str">
        <f t="shared" si="644"/>
        <v/>
      </c>
      <c r="AT268" s="176" t="str">
        <f t="shared" si="744"/>
        <v xml:space="preserve"> </v>
      </c>
      <c r="AU268" s="176" t="str">
        <f t="shared" si="645"/>
        <v/>
      </c>
      <c r="AV268" s="177" t="str">
        <f t="shared" si="646"/>
        <v xml:space="preserve"> </v>
      </c>
      <c r="AW268" s="144" t="str">
        <f t="shared" si="647"/>
        <v xml:space="preserve"> </v>
      </c>
      <c r="AX268" s="144" t="str">
        <f t="shared" si="648"/>
        <v xml:space="preserve"> </v>
      </c>
      <c r="AY268" s="152" t="str">
        <f t="shared" si="649"/>
        <v xml:space="preserve"> </v>
      </c>
      <c r="AZ268" s="246" t="str">
        <f t="shared" si="650"/>
        <v/>
      </c>
      <c r="BA268" s="176" t="str">
        <f t="shared" si="651"/>
        <v xml:space="preserve"> </v>
      </c>
      <c r="BB268" s="176" t="str">
        <f t="shared" si="652"/>
        <v xml:space="preserve"> </v>
      </c>
      <c r="BC268" s="195"/>
      <c r="BD268" s="316"/>
      <c r="BE268" s="317"/>
      <c r="BF268" s="318"/>
      <c r="BG268" s="318"/>
      <c r="BH268" s="144" t="str">
        <f t="shared" si="821"/>
        <v xml:space="preserve"> </v>
      </c>
      <c r="BI268" s="176" t="str">
        <f t="shared" si="653"/>
        <v/>
      </c>
      <c r="BJ268" s="144" t="str">
        <f t="shared" si="822"/>
        <v/>
      </c>
      <c r="BK268" s="246" t="str">
        <f t="shared" si="654"/>
        <v/>
      </c>
      <c r="BL268" s="144" t="str">
        <f t="shared" si="823"/>
        <v/>
      </c>
      <c r="BM268" s="246" t="str">
        <f t="shared" si="655"/>
        <v/>
      </c>
      <c r="BN268" s="337" t="str">
        <f t="shared" si="745"/>
        <v/>
      </c>
      <c r="BO268" s="371" t="str">
        <f t="shared" si="746"/>
        <v/>
      </c>
      <c r="BP268" s="328" t="str">
        <f t="shared" si="824"/>
        <v xml:space="preserve"> </v>
      </c>
      <c r="BQ268" s="347" t="str">
        <f t="shared" si="747"/>
        <v xml:space="preserve"> </v>
      </c>
      <c r="BR268" s="353" t="str">
        <f t="shared" si="748"/>
        <v xml:space="preserve"> </v>
      </c>
      <c r="BS268" s="626" t="str">
        <f>IF(L268&gt;0,IF(Calculation!P268="M13",BR268*3.1416*(0.134^2)/(4*144),IF(Calculation!P268="M17",BR268*3.1416*(0.165^2)/(4*144),IF(Calculation!P268="M20",BR268*3.1416*(0.198^2)/(4*144),IF(Calculation!P268="M23",BR268*3.1416*(0.228^2)/(4*144),IF(Calculation!P268="M27",BR268*3.1416*(0.269^2)/(4*144),BR268*3.1416*(0.307^2)/(4*144))))))," ")</f>
        <v xml:space="preserve"> </v>
      </c>
      <c r="BT268" s="353" t="str">
        <f>IF(L268&gt;0,IF(BS268&gt;0,R268/Calculation!BS268,0)," ")</f>
        <v xml:space="preserve"> </v>
      </c>
      <c r="BU268" s="438" t="e">
        <f t="shared" ca="1" si="656"/>
        <v>#VALUE!</v>
      </c>
      <c r="BV268" s="449" t="e">
        <f ca="1">INDEX(INDIRECT(VLOOKUP(LEFT(BO268,7),CLU!$Z$3:$AH$18,2)),GN268,GR268)</f>
        <v>#N/A</v>
      </c>
      <c r="BW268" s="433" t="e">
        <f ca="1">INDEX(INDIRECT(VLOOKUP(LEFT(BO268,7),CLU!$Z$3:$AH$18,3)),GN268,GR268)</f>
        <v>#N/A</v>
      </c>
      <c r="BX268" s="433" t="e">
        <f ca="1">INDEX(INDIRECT(VLOOKUP(LEFT(BO268,7),CLU!$Z$3:$AH$18,4)),GN268,GR268)</f>
        <v>#N/A</v>
      </c>
      <c r="BY268" s="433" t="e">
        <f ca="1">INDEX(INDIRECT(VLOOKUP(LEFT(BO268,7),CLU!$Z$3:$AH$18,9)),((M268-2)*(6-COUNTBLANK(GT268:GY268)))+GJ268)</f>
        <v>#N/A</v>
      </c>
      <c r="BZ268" s="426" t="e">
        <f t="shared" ca="1" si="749"/>
        <v>#N/A</v>
      </c>
      <c r="CA268" s="424" t="e">
        <f t="shared" ca="1" si="750"/>
        <v>#N/A</v>
      </c>
      <c r="CB268" s="429" t="e">
        <f ca="1">INDEX(INDIRECT(VLOOKUP(LEFT(BO268,7),CLU!$Z$3:$AH$18,2)),GN268,GS268)</f>
        <v>#N/A</v>
      </c>
      <c r="CC268" s="342" t="e">
        <f ca="1">INDEX(INDIRECT(VLOOKUP(LEFT(BO268,7),CLU!$Z$3:$AH$18,3)),GN268,GS268)</f>
        <v>#N/A</v>
      </c>
      <c r="CD268" s="342" t="e">
        <f ca="1">INDEX(INDIRECT(VLOOKUP(LEFT(BO268,7),CLU!$Z$3:$AH$18,4)),GN268,GS268)</f>
        <v>#N/A</v>
      </c>
      <c r="CE268" s="426" t="e">
        <f t="shared" ca="1" si="751"/>
        <v>#N/A</v>
      </c>
      <c r="CF268" s="440">
        <f t="shared" si="752"/>
        <v>0</v>
      </c>
      <c r="CG268" s="431" t="e">
        <f ca="1">INDEX(INDIRECT(VLOOKUP(LEFT(BO268,7),CLU!$Z$3:$AH$18,2)),GQ268,GR268)</f>
        <v>#N/A</v>
      </c>
      <c r="CH268" s="431" t="e">
        <f ca="1">INDEX(INDIRECT(VLOOKUP(LEFT(BO268,7),CLU!$Z$3:$AH$18,3)),GQ268,GR268)</f>
        <v>#N/A</v>
      </c>
      <c r="CI268" s="431" t="e">
        <f ca="1">INDEX(INDIRECT(VLOOKUP(LEFT(BO268,7),CLU!$Z$3:$AH$18,4)),GQ268,GR268)</f>
        <v>#N/A</v>
      </c>
      <c r="CJ268" s="448" t="e">
        <f t="shared" ca="1" si="753"/>
        <v>#N/A</v>
      </c>
      <c r="CK268" s="431" t="e">
        <f t="shared" ca="1" si="754"/>
        <v>#N/A</v>
      </c>
      <c r="CL268" s="440" t="e">
        <f t="shared" ca="1" si="755"/>
        <v>#N/A</v>
      </c>
      <c r="CM268" s="431" t="e">
        <f ca="1">INDEX(INDIRECT(VLOOKUP(LEFT(BO268,7),CLU!$Z$3:$AH$18,2)),GQ268,GS268)</f>
        <v>#N/A</v>
      </c>
      <c r="CN268" s="431" t="e">
        <f ca="1">INDEX(INDIRECT(VLOOKUP(LEFT(BO268,7),CLU!$Z$3:$AH$18,3)),GQ268,GS268)</f>
        <v>#N/A</v>
      </c>
      <c r="CO268" s="431" t="e">
        <f ca="1">INDEX(INDIRECT(VLOOKUP(LEFT(BO268,7),CLU!$Z$3:$AH$18,4)),GQ268,GS268)</f>
        <v>#N/A</v>
      </c>
      <c r="CP268" s="431" t="e">
        <f t="shared" ca="1" si="756"/>
        <v>#N/A</v>
      </c>
      <c r="CQ268" s="440">
        <f t="shared" si="757"/>
        <v>0</v>
      </c>
      <c r="CR268" s="51" t="e">
        <f t="shared" ca="1" si="758"/>
        <v>#N/A</v>
      </c>
      <c r="CS268" s="439" t="e">
        <f t="shared" ca="1" si="759"/>
        <v>#VALUE!</v>
      </c>
      <c r="CT268" s="51" t="e">
        <f t="shared" ca="1" si="760"/>
        <v>#VALUE!</v>
      </c>
      <c r="CU268" s="10"/>
      <c r="CV268" s="51" t="e">
        <f t="shared" ca="1" si="657"/>
        <v>#VALUE!</v>
      </c>
      <c r="CW268" s="51">
        <f t="shared" si="761"/>
        <v>0</v>
      </c>
      <c r="CX268" s="439" t="e">
        <f t="shared" ca="1" si="762"/>
        <v>#VALUE!</v>
      </c>
      <c r="CY268" s="51" t="e">
        <f t="shared" ca="1" si="763"/>
        <v>#VALUE!</v>
      </c>
      <c r="CZ268" s="10"/>
      <c r="DA268" s="51" t="e">
        <f t="shared" ca="1" si="764"/>
        <v>#VALUE!</v>
      </c>
      <c r="DB268" s="347" t="e">
        <f ca="1">INDEX(INDIRECT(VLOOKUP(LEFT(BO268,7),CLU!$Z$3:$AI$18,10)),((M268-2)*(6-COUNTBLANK(GT268:GY268)))+GJ268)*LI268</f>
        <v>#N/A</v>
      </c>
      <c r="DC268" s="347" t="str">
        <f>IF(L268&gt;0,((R268/Worksheet!$I$15)/DB268)^2," ")</f>
        <v xml:space="preserve"> </v>
      </c>
      <c r="DD268" s="602" t="str">
        <f t="shared" si="765"/>
        <v xml:space="preserve"> </v>
      </c>
      <c r="DE268" s="347" t="str">
        <f t="shared" si="658"/>
        <v xml:space="preserve"> </v>
      </c>
      <c r="DF268" s="356" t="e">
        <f ca="1">INDEX(INDIRECT(VLOOKUP(LEFT(BO268,7),CLU!$Z$3:$AH$18,8)),((M268-2)*(6-COUNTBLANK(GT268:GY268)))+GJ268)</f>
        <v>#N/A</v>
      </c>
      <c r="DG268" s="347" t="str">
        <f t="shared" si="659"/>
        <v xml:space="preserve"> </v>
      </c>
      <c r="DH268" s="357" t="str">
        <f t="shared" si="660"/>
        <v xml:space="preserve"> </v>
      </c>
      <c r="DI268" s="355" t="str">
        <f t="shared" si="661"/>
        <v xml:space="preserve"> </v>
      </c>
      <c r="DJ268" s="245" t="e">
        <f ca="1">INDEX(INDIRECT(VLOOKUP(LEFT(BO268,7),CLU!$Z$3:$AH$18,5)),GL268,GK268)</f>
        <v>#N/A</v>
      </c>
      <c r="DK268" s="245" t="e">
        <f ca="1">INDEX(INDIRECT(VLOOKUP(LEFT(BO268,7),CLU!$Z$3:$AH$18,6)),GL268,GK268)</f>
        <v>#N/A</v>
      </c>
      <c r="DL268" s="355">
        <f>(Calculation!R268*0.69143*(Calculation!$BQ$8-Calculation!$F$8))*$S$14</f>
        <v>0</v>
      </c>
      <c r="DM268" s="359" t="e">
        <f t="shared" si="766"/>
        <v>#VALUE!</v>
      </c>
      <c r="DN268" s="611">
        <f t="shared" si="767"/>
        <v>0</v>
      </c>
      <c r="DO268" s="359">
        <f t="shared" si="768"/>
        <v>100</v>
      </c>
      <c r="DP268" s="359">
        <f t="shared" si="769"/>
        <v>0</v>
      </c>
      <c r="DQ268" s="360"/>
      <c r="DR268" s="245" t="e">
        <f ca="1">INDEX(INDIRECT(VLOOKUP(LEFT(BO268,7),CLU!$Z$3:$AH$18,7)),M268-1,1)</f>
        <v>#N/A</v>
      </c>
      <c r="DS268" s="245" t="e">
        <f ca="1">INDEX(INDIRECT(VLOOKUP(LEFT(BO268,7),CLU!$Z$3:$AH$18,7)),M268-1,2)</f>
        <v>#N/A</v>
      </c>
      <c r="DT268" s="245" t="e">
        <f ca="1">INDEX(INDIRECT(VLOOKUP(LEFT(BO268,7),CLU!$Z$3:$AH$18,7)),M268-1,3)</f>
        <v>#N/A</v>
      </c>
      <c r="DU268" s="245" t="e">
        <f ca="1">INDEX(INDIRECT(VLOOKUP(LEFT(BO268,7),CLU!$Z$3:$AH$18,7)),M268-1,4)</f>
        <v>#N/A</v>
      </c>
      <c r="DV268" s="361" t="e">
        <f ca="1">INDEX(INDIRECT(VLOOKUP(LEFT(BO268,7),CLU!$Z$3:$AH$18,7)),M268-1,4+LEFT(DZ268,1)*0.5)</f>
        <v>#N/A</v>
      </c>
      <c r="DW268" s="245" t="e">
        <f ca="1">INDEX(INDIRECT(VLOOKUP(LEFT(BO268,7),CLU!$Z$3:$AH$18,7)),M268-1,8)</f>
        <v>#N/A</v>
      </c>
      <c r="DX268" s="361" t="str">
        <f t="shared" si="662"/>
        <v xml:space="preserve"> </v>
      </c>
      <c r="DY268" s="361" t="str">
        <f t="shared" si="663"/>
        <v xml:space="preserve"> </v>
      </c>
      <c r="DZ268" s="361" t="str">
        <f t="shared" si="664"/>
        <v xml:space="preserve"> </v>
      </c>
      <c r="EA268" s="362" t="str">
        <f t="shared" si="665"/>
        <v xml:space="preserve"> </v>
      </c>
      <c r="EB268" s="624" t="str">
        <f t="shared" si="770"/>
        <v xml:space="preserve"> </v>
      </c>
      <c r="EC268" s="361" t="e">
        <f ca="1">INDEX(INDIRECT(VLOOKUP(LEFT(BO268,7),CLU!$Z$3:$AH$18,7)),M268-1,4+LEFT(DZ268,1)*0.5)</f>
        <v>#N/A</v>
      </c>
      <c r="ED268" s="362" t="str">
        <f t="shared" si="666"/>
        <v xml:space="preserve"> </v>
      </c>
      <c r="EE268" s="361" t="str">
        <f t="shared" si="667"/>
        <v xml:space="preserve"> </v>
      </c>
      <c r="EF268" s="362" t="str">
        <f>IF(L268&gt;0,IF(BR268&gt;0,IF(EE268="2P",IF(Calculation!DZ268="2P",IF(Calculation!DS268=13.75,IF(Calculation!DR268=13,Worksheet!$BD$43,IF(Calculation!DR268=37,Worksheet!$BD$44,Worksheet!$BD$45)),IF(Calculation!DS268=10,IF(Calculation!DR268=18,Worksheet!$BD$29,IF(Calculation!DR268=30,Worksheet!$BD$30,IF(Calculation!DR268=42,Worksheet!$BD$31,IF(Calculation!DR268=54,Worksheet!$BD$32,IF(Calculation!DR268=66,Worksheet!$BD$33,IF(Calculation!DR268=78,Worksheet!$BD$34,IF(Calculation!DR268=90,Worksheet!$BD$35,IF(Calculation!DR268=102,Worksheet!$BD$36,Worksheet!$BD$37)))))))),IF(Calculation!DS268=12.5,IF(Calculation!DR268=18,Worksheet!$BD$38,IF(Calculation!DR268=Worksheet!$BD$39,IF(Calculation!DR268=42,Worksheet!$BD$40,IF(Calculation!DR268=54,Worksheet!$BD$41,Worksheet!$BD$42)))),IF(Calculation!DR268=18,Worksheet!$BD$11,IF(Calculation!DR268=30,Worksheet!$BD$12,IF(Calculation!DR268=42,Worksheet!$BD$13,IF(Calculation!DR268=54,Worksheet!$BD$14,IF(Calculation!DR268=66,Worksheet!$BD$15,IF(Calculation!DR268=78,Worksheet!$BD$16,IF(Calculation!DR268=90,Worksheet!$BD$17,IF(Calculation!DR268=102,Worksheet!$BD$18,Worksheet!$BD$19))))))))))),IF(Calculation!DS268=13.75,IF(Calculation!DR268=13,Worksheet!$BD$78,IF(Calculation!DR268=37,Worksheet!$BD$79,Worksheet!$BD$80)),IF(Calculation!DS268=10,IF(Calculation!DR268=18,Worksheet!$BD$64,IF(Calculation!DR268=30,Worksheet!$BD$65,IF(Calculation!DR268=42,Worksheet!$BD$66,IF(Calculation!DR268=54,Worksheet!$BD$68,IF(Calculation!DR268=66,Worksheet!$BD$68,IF(Calculation!DR268=78,Worksheet!$BD$69,IF(Calculation!DR268=90,Worksheet!$BD$70,IF(Calculation!DR268=102,Worksheet!$BD$71,Worksheet!$BD$72)))))))),IF(Calculation!DS268=12.5,IF(Calculation!DR268=18,Worksheet!$BD$73,IF(Calculation!DR268=Worksheet!$BD$74,IF(Calculation!DR268=42,Worksheet!$BD$75,IF(Calculation!DR268=54,Worksheet!$BD$76,Worksheet!$BD$77)))),IF(Calculation!DR268=18,Worksheet!$BD$55,IF(Calculation!DR268=30,Worksheet!$BD$56,IF(Calculation!DR268=42,Worksheet!$BD$57,IF(Calculation!DR268=54,Worksheet!$BD$58,IF(Calculation!DR268=66,Worksheet!$BD$59,IF(Calculation!DR268=78,Worksheet!$BD$60,IF(Calculation!DR268=90,Worksheet!$BD$61,IF(Calculation!DR268=102,Worksheet!$BD$62,Worksheet!$BD$63)))))))))))),5),0)," ")</f>
        <v xml:space="preserve"> </v>
      </c>
      <c r="EG268" s="361" t="str">
        <f t="shared" si="668"/>
        <v xml:space="preserve"> </v>
      </c>
      <c r="EH268" s="361" t="e">
        <f ca="1">INDEX(INDIRECT(VLOOKUP(LEFT(BO268,7),CLU!$Z$3:$AH$18,7)),M268-1,3+LEFT(DZ268,1))</f>
        <v>#N/A</v>
      </c>
      <c r="EI268" s="362" t="str">
        <f t="shared" si="669"/>
        <v xml:space="preserve"> </v>
      </c>
      <c r="EJ268" s="363" t="str">
        <f t="shared" si="670"/>
        <v xml:space="preserve"> </v>
      </c>
      <c r="EK268" s="363" t="str">
        <f t="shared" si="671"/>
        <v xml:space="preserve"> </v>
      </c>
      <c r="EL268" s="363" t="str">
        <f t="shared" si="672"/>
        <v xml:space="preserve"> </v>
      </c>
      <c r="EM268" s="362" t="str">
        <f>IF(L268&gt;0,IF(BR268&gt;0,(Calculation!T268/ED268)^2,0)," ")</f>
        <v xml:space="preserve"> </v>
      </c>
      <c r="EN268" s="362" t="str">
        <f>IF(L268&gt;0,IF(O268="2 Pipe (Cooling)","N/A",IF(BR268&gt;0,(Calculation!U268/EI268)^2,0))," ")</f>
        <v xml:space="preserve"> </v>
      </c>
      <c r="EO268" s="361" t="str">
        <f t="shared" si="673"/>
        <v/>
      </c>
      <c r="EP268" s="361" t="str">
        <f t="shared" si="674"/>
        <v/>
      </c>
      <c r="EQ268" s="361" t="str">
        <f t="shared" si="675"/>
        <v/>
      </c>
      <c r="ER268" s="361" t="str">
        <f t="shared" si="676"/>
        <v/>
      </c>
      <c r="ES268" s="361" t="str">
        <f t="shared" si="677"/>
        <v/>
      </c>
      <c r="ET268" s="361" t="str">
        <f t="shared" si="678"/>
        <v/>
      </c>
      <c r="EU268" s="361" t="str">
        <f t="shared" si="679"/>
        <v/>
      </c>
      <c r="EV268" s="361" t="str">
        <f t="shared" si="680"/>
        <v/>
      </c>
      <c r="EW268" s="361" t="str">
        <f t="shared" si="681"/>
        <v/>
      </c>
      <c r="EX268" s="361" t="str">
        <f t="shared" si="771"/>
        <v>1 slot, 1 way</v>
      </c>
      <c r="EY268" s="361" t="str">
        <f t="shared" si="772"/>
        <v xml:space="preserve"> </v>
      </c>
      <c r="EZ268" s="361" t="str">
        <f t="shared" si="773"/>
        <v xml:space="preserve"> </v>
      </c>
      <c r="FA268" s="361" t="str">
        <f t="shared" si="774"/>
        <v xml:space="preserve"> </v>
      </c>
      <c r="FB268" s="361" t="str">
        <f t="shared" si="775"/>
        <v xml:space="preserve"> </v>
      </c>
      <c r="FC268" s="361"/>
      <c r="FD268" s="361" t="str">
        <f>IF(J268&gt;0,IF(Calculation!R268&lt;=70,4,IF(Calculation!R268&lt;=110,5,IF(Calculation!R268&lt;=160,6,IF(Calculation!R268&lt;=300,8,"10 EO")))),"")</f>
        <v/>
      </c>
      <c r="FE268" s="361" t="str">
        <f t="shared" si="776"/>
        <v/>
      </c>
      <c r="FF268" s="361" t="str">
        <f t="shared" si="777"/>
        <v/>
      </c>
      <c r="FG268" s="361" t="e">
        <f t="shared" si="682"/>
        <v>#N/A</v>
      </c>
      <c r="FH268" s="361">
        <f t="shared" si="683"/>
        <v>0</v>
      </c>
      <c r="FI268" s="361" t="e">
        <f t="shared" si="684"/>
        <v>#DIV/0!</v>
      </c>
      <c r="FJ268" s="361"/>
      <c r="FK268" s="356" t="e">
        <f t="shared" si="685"/>
        <v>#VALUE!</v>
      </c>
      <c r="FL268" s="361"/>
      <c r="FM268" s="361"/>
      <c r="FN268" s="362" t="str">
        <f t="shared" si="778"/>
        <v xml:space="preserve"> </v>
      </c>
      <c r="FO268" s="362" t="str">
        <f t="shared" si="779"/>
        <v xml:space="preserve"> </v>
      </c>
      <c r="FP268" s="362">
        <f t="shared" si="780"/>
        <v>0</v>
      </c>
      <c r="FQ268" s="361">
        <f t="shared" si="686"/>
        <v>0</v>
      </c>
      <c r="FR268" s="362" t="str">
        <f>IF(L268&gt;0,IF(J268="CBAL2",Worksheet!$P$67,IF(J268="CBE2-24",Worksheet!$Q$67,IF(J268="CBAM",Worksheet!$R$67,IF(J268="CBLV",Worksheet!$S$67,IF(J268="CBAB",Worksheet!$U$67,IF(J268="CBAW",Worksheet!$X$67,IF(J268="CBE2-12",Worksheet!$Y$67,IF(J268="CBAL2",Worksheet!$Z$67,"N/A"))))))))," ")</f>
        <v xml:space="preserve"> </v>
      </c>
      <c r="FS268" s="362" t="str">
        <f>IF(L268&gt;0,IF(J268="CBAL2",Worksheet!$P$68,IF(J268="CBE2-24",Worksheet!$Q$68,IF(J268="CBAM",Worksheet!$R$68,IF(J268="CBLV",Worksheet!$S$68,IF(J268="CBAB",Worksheet!$U$68,IF(J268="CBAW",Worksheet!$X$68,IF(J268="CBE2-12",Worksheet!$Y$68,IF(J268="CBAL2",Worksheet!$Z$68,"N/A"))))))))," ")</f>
        <v xml:space="preserve"> </v>
      </c>
      <c r="FT268" s="362" t="str">
        <f>IF(L268&gt;0,IF(J268="CBAL2",Worksheet!$P$69,IF(J268="CBE2-24",Worksheet!$Q$69,IF(J268="CBAM",Worksheet!$R$69,IF(J268="CBLV",Worksheet!$S$69,IF(J268="CBAB",Worksheet!$U$69,IF(J268="CBAW",Worksheet!$X$69,IF(J268="CBE2-12",Worksheet!$Y$69,IF(J268="CBAL2",Worksheet!$Z$69,"N/A"))))))))," ")</f>
        <v xml:space="preserve"> </v>
      </c>
      <c r="FU268" s="361" t="str">
        <f t="shared" si="781"/>
        <v xml:space="preserve"> </v>
      </c>
      <c r="FV268" s="362" t="str">
        <f t="shared" si="782"/>
        <v xml:space="preserve"> </v>
      </c>
      <c r="FW268" s="362" t="str">
        <f t="shared" si="783"/>
        <v xml:space="preserve"> </v>
      </c>
      <c r="FX268" s="362" t="str">
        <f t="shared" si="784"/>
        <v xml:space="preserve"> </v>
      </c>
      <c r="FY268" s="355" t="str">
        <f t="shared" si="785"/>
        <v xml:space="preserve"> </v>
      </c>
      <c r="FZ268" s="361" t="str">
        <f t="shared" si="786"/>
        <v xml:space="preserve"> </v>
      </c>
      <c r="GA268" s="347" t="str">
        <f t="shared" si="787"/>
        <v xml:space="preserve"> </v>
      </c>
      <c r="GB268" s="355" t="str">
        <f t="shared" si="788"/>
        <v xml:space="preserve"> </v>
      </c>
      <c r="GC268" s="328" t="str">
        <f t="shared" si="789"/>
        <v xml:space="preserve"> </v>
      </c>
      <c r="GD268" s="361" t="str">
        <f t="shared" si="790"/>
        <v xml:space="preserve"> </v>
      </c>
      <c r="GE268" s="347" t="str">
        <f t="shared" si="791"/>
        <v xml:space="preserve"> </v>
      </c>
      <c r="GF268" s="361" t="str">
        <f t="shared" si="792"/>
        <v xml:space="preserve"> </v>
      </c>
      <c r="GG268" s="347" t="str">
        <f t="shared" si="793"/>
        <v xml:space="preserve"> </v>
      </c>
      <c r="GH268" s="364">
        <f t="shared" si="687"/>
        <v>0</v>
      </c>
      <c r="GI268" s="362">
        <f t="shared" si="794"/>
        <v>2</v>
      </c>
      <c r="GJ268" s="433" t="e">
        <f>IF(6-COUNTBLANK(GT268:GY268)=4,MATCH(MID(BO268,9,3),CLU!$H$16:$K$16),MATCH(MID(BO268,9,3),CLU!$H$13:$M$13))</f>
        <v>#N/A</v>
      </c>
      <c r="GK268" s="433" t="e">
        <f>HLOOKUP(VALUE(BP268),CLU!$H$9:$M$10,2)</f>
        <v>#VALUE!</v>
      </c>
      <c r="GL268" s="433" t="e">
        <f ca="1">MATCH(BU268,CLU!$H$2:$V$2,1)</f>
        <v>#VALUE!</v>
      </c>
      <c r="GM268" s="433" t="e">
        <f t="shared" ca="1" si="795"/>
        <v>#VALUE!</v>
      </c>
      <c r="GN268" s="433" t="e">
        <f t="shared" ca="1" si="796"/>
        <v>#VALUE!</v>
      </c>
      <c r="GO268" s="433" t="e">
        <f t="shared" ca="1" si="797"/>
        <v>#VALUE!</v>
      </c>
      <c r="GP268" s="433" t="e">
        <f t="shared" ca="1" si="798"/>
        <v>#VALUE!</v>
      </c>
      <c r="GQ268" s="433" t="e">
        <f t="shared" ca="1" si="799"/>
        <v>#VALUE!</v>
      </c>
      <c r="GR268" s="433" t="e">
        <f ca="1">MATCH(T268,INDIRECT(VLOOKUP(CONCATENATE(LEFT(BO268,7),"-",MID(BO268,13,1)),CLU!$P$3:$Q$16,2)),1)</f>
        <v>#N/A</v>
      </c>
      <c r="GS268" s="433" t="e">
        <f ca="1">MATCH(U268,INDIRECT(VLOOKUP(CONCATENATE(LEFT(BO268,7),"-",MID(BO268,13,1)),CLU!$P$3:$Q$16,2)),1)</f>
        <v>#N/A</v>
      </c>
      <c r="GT268" s="347" t="s">
        <v>512</v>
      </c>
      <c r="GU268" s="97" t="s">
        <v>513</v>
      </c>
      <c r="GV268" s="97" t="str">
        <f t="shared" si="800"/>
        <v>M23</v>
      </c>
      <c r="GW268" s="97" t="str">
        <f t="shared" si="801"/>
        <v>M31</v>
      </c>
      <c r="GX268" s="97" t="str">
        <f t="shared" si="802"/>
        <v/>
      </c>
      <c r="GY268" s="97" t="str">
        <f t="shared" si="803"/>
        <v/>
      </c>
      <c r="GZ268" s="481"/>
      <c r="HA268" s="240"/>
      <c r="HB268" s="240"/>
      <c r="HC268" s="240"/>
      <c r="HD268" s="240"/>
      <c r="HE268" s="240"/>
      <c r="HF268" s="240"/>
      <c r="HG268" s="240"/>
      <c r="HH268" s="240"/>
      <c r="HI268" s="240"/>
      <c r="HJ268" s="240"/>
      <c r="HK268" s="240"/>
      <c r="HL268" s="240"/>
      <c r="HM268" s="240"/>
      <c r="HN268" s="240"/>
      <c r="HO268" s="240"/>
      <c r="HP268" s="240"/>
      <c r="HQ268" s="240"/>
      <c r="HR268" s="240"/>
      <c r="HS268" s="240"/>
      <c r="HT268" s="240"/>
      <c r="HU268" s="240"/>
      <c r="HV268" s="245"/>
      <c r="HW268" s="245" t="b">
        <v>1</v>
      </c>
      <c r="HX268" s="245" t="str">
        <f t="shared" si="688"/>
        <v/>
      </c>
      <c r="HY268" s="245" t="e">
        <f t="shared" si="689"/>
        <v>#DIV/0!</v>
      </c>
      <c r="HZ268" s="245" t="e">
        <f t="shared" si="690"/>
        <v>#DIV/0!</v>
      </c>
      <c r="IA268" s="245">
        <f t="shared" si="691"/>
        <v>0</v>
      </c>
      <c r="IB268" s="245"/>
      <c r="IC268" t="b">
        <f t="shared" si="692"/>
        <v>1</v>
      </c>
      <c r="ID268" s="245" t="b">
        <f t="shared" si="693"/>
        <v>1</v>
      </c>
      <c r="IE268" s="245" t="b">
        <f t="shared" si="694"/>
        <v>1</v>
      </c>
      <c r="IF268" s="245" t="b">
        <f t="shared" si="695"/>
        <v>0</v>
      </c>
      <c r="IG268" s="245" t="b">
        <f t="shared" si="696"/>
        <v>1</v>
      </c>
      <c r="IH268" s="245" t="b">
        <f t="shared" si="697"/>
        <v>1</v>
      </c>
      <c r="II268" s="245">
        <f t="shared" si="804"/>
        <v>0</v>
      </c>
      <c r="IJ268" s="245" t="e">
        <f t="shared" si="698"/>
        <v>#VALUE!</v>
      </c>
      <c r="IK268" s="245" t="e">
        <f t="shared" si="699"/>
        <v>#VALUE!</v>
      </c>
      <c r="IL268" s="245"/>
      <c r="IM268" s="245" t="e">
        <f t="shared" si="805"/>
        <v>#N/A</v>
      </c>
      <c r="IN268" s="245" t="e">
        <f t="shared" si="806"/>
        <v>#N/A</v>
      </c>
      <c r="IO268" s="245"/>
      <c r="IP268" s="245"/>
      <c r="IQ268" s="245" t="str">
        <f t="shared" si="700"/>
        <v/>
      </c>
      <c r="IR268" s="245" t="str">
        <f>IF(J268="","",VLOOKUP(J268,Worksheet!$R$4:$T$14,2))</f>
        <v/>
      </c>
      <c r="IS268" s="245"/>
      <c r="IT268" s="245">
        <f t="shared" si="701"/>
        <v>0</v>
      </c>
      <c r="IU268" s="245">
        <f t="shared" si="702"/>
        <v>0</v>
      </c>
      <c r="IV268" s="245">
        <f t="shared" si="703"/>
        <v>0</v>
      </c>
      <c r="IW268" s="245">
        <f t="shared" si="704"/>
        <v>0</v>
      </c>
      <c r="IX268" s="245">
        <f t="shared" si="807"/>
        <v>0</v>
      </c>
      <c r="IY268" s="245">
        <f t="shared" si="705"/>
        <v>0</v>
      </c>
      <c r="IZ268" s="245">
        <f t="shared" si="706"/>
        <v>0</v>
      </c>
      <c r="JA268">
        <f t="shared" si="707"/>
        <v>0</v>
      </c>
      <c r="JB268">
        <f t="shared" si="808"/>
        <v>0</v>
      </c>
      <c r="JC268">
        <f t="shared" si="708"/>
        <v>0</v>
      </c>
      <c r="JD268">
        <f t="shared" si="709"/>
        <v>0</v>
      </c>
      <c r="JE268">
        <f t="shared" si="710"/>
        <v>0</v>
      </c>
      <c r="JF268">
        <f t="shared" si="711"/>
        <v>0</v>
      </c>
      <c r="JG268">
        <f t="shared" si="712"/>
        <v>0</v>
      </c>
      <c r="JH268">
        <f t="shared" si="713"/>
        <v>0</v>
      </c>
      <c r="JI268">
        <f t="shared" si="714"/>
        <v>0</v>
      </c>
      <c r="JJ268" s="447">
        <f t="shared" si="715"/>
        <v>0</v>
      </c>
      <c r="JK268" s="447">
        <f t="shared" si="716"/>
        <v>0</v>
      </c>
      <c r="JL268">
        <f t="shared" si="717"/>
        <v>0</v>
      </c>
      <c r="JM268" s="245" t="str">
        <f>IFERROR(VLOOKUP(MATCH(BN268,#REF!,0),#REF!,7),"")</f>
        <v/>
      </c>
      <c r="JN268" t="e">
        <f>HLOOKUP(LEFT(BO268,7),Discharge_Area,MATCH(JO268,LookUps!$B$130:$B$149,1)+2)</f>
        <v>#N/A</v>
      </c>
      <c r="JO268" t="str">
        <f t="shared" si="718"/>
        <v>- S</v>
      </c>
      <c r="JP268" t="e">
        <f>HLOOKUP(LEFT(BO268,7),Discharge_Area,MATCH(JO268,LookUps!$B$130:$B$149,1)+2)</f>
        <v>#N/A</v>
      </c>
      <c r="JQ268" t="e">
        <f t="shared" si="719"/>
        <v>#N/A</v>
      </c>
      <c r="JR268" t="e">
        <f t="shared" si="720"/>
        <v>#N/A</v>
      </c>
      <c r="JS268" t="e">
        <f t="shared" si="721"/>
        <v>#N/A</v>
      </c>
      <c r="JT268" s="532" t="str">
        <f t="shared" si="722"/>
        <v xml:space="preserve"> </v>
      </c>
      <c r="JU268" s="532" t="str">
        <f t="shared" si="723"/>
        <v xml:space="preserve"> </v>
      </c>
      <c r="JV268" s="533" t="str">
        <f t="shared" si="724"/>
        <v xml:space="preserve"> </v>
      </c>
      <c r="JW268" s="534">
        <f t="shared" si="725"/>
        <v>0</v>
      </c>
      <c r="JX268" s="535" t="str">
        <f t="shared" si="809"/>
        <v xml:space="preserve"> </v>
      </c>
      <c r="JY268" s="535" t="str">
        <f t="shared" si="810"/>
        <v xml:space="preserve"> </v>
      </c>
      <c r="JZ268" s="535" t="str">
        <f t="shared" si="811"/>
        <v xml:space="preserve"> </v>
      </c>
      <c r="KA268" s="536" t="str">
        <f t="shared" si="726"/>
        <v xml:space="preserve"> </v>
      </c>
      <c r="KB268" s="535" t="e">
        <f t="shared" si="812"/>
        <v>#VALUE!</v>
      </c>
      <c r="KC268" s="535" t="str">
        <f t="shared" si="727"/>
        <v/>
      </c>
      <c r="KD268" s="537" t="str">
        <f t="shared" si="813"/>
        <v xml:space="preserve"> </v>
      </c>
      <c r="KE268" s="537" t="str">
        <f t="shared" si="814"/>
        <v xml:space="preserve"> </v>
      </c>
      <c r="KF268" s="534">
        <f t="shared" si="728"/>
        <v>0</v>
      </c>
      <c r="KG268" s="535" t="str">
        <f t="shared" si="729"/>
        <v xml:space="preserve"> </v>
      </c>
      <c r="KH268" s="535" t="str">
        <f t="shared" si="730"/>
        <v xml:space="preserve"> </v>
      </c>
      <c r="KI268" s="535" t="str">
        <f t="shared" si="731"/>
        <v xml:space="preserve"> </v>
      </c>
      <c r="KJ268" s="536" t="str">
        <f t="shared" si="732"/>
        <v xml:space="preserve"> </v>
      </c>
      <c r="KK268" s="535" t="str">
        <f t="shared" si="815"/>
        <v xml:space="preserve"> </v>
      </c>
      <c r="KL268" s="535" t="str">
        <f t="shared" si="816"/>
        <v xml:space="preserve"> </v>
      </c>
      <c r="KM268" s="537" t="str">
        <f t="shared" si="733"/>
        <v xml:space="preserve"> </v>
      </c>
      <c r="KN268" s="537" t="str">
        <f t="shared" si="817"/>
        <v xml:space="preserve"> </v>
      </c>
      <c r="KP268">
        <f t="shared" si="734"/>
        <v>0</v>
      </c>
      <c r="LA268" t="e">
        <f t="shared" si="735"/>
        <v>#VALUE!</v>
      </c>
      <c r="LB268" t="e">
        <f t="shared" si="736"/>
        <v>#VALUE!</v>
      </c>
      <c r="LC268" t="e">
        <f t="shared" si="737"/>
        <v>#VALUE!</v>
      </c>
      <c r="LD268" t="e">
        <f t="shared" si="738"/>
        <v>#VALUE!</v>
      </c>
      <c r="LE268" t="e">
        <f t="shared" si="818"/>
        <v>#VALUE!</v>
      </c>
      <c r="LF268">
        <f t="shared" si="739"/>
        <v>0</v>
      </c>
      <c r="LG268" t="e">
        <f t="shared" si="819"/>
        <v>#VALUE!</v>
      </c>
      <c r="LH268" t="str">
        <f t="shared" si="740"/>
        <v xml:space="preserve"> </v>
      </c>
      <c r="LI268">
        <f t="shared" si="820"/>
        <v>1</v>
      </c>
    </row>
    <row r="269" spans="2:321" ht="15" customHeight="1">
      <c r="B269" s="311"/>
      <c r="C269" s="311"/>
      <c r="D269" s="312"/>
      <c r="E269" s="311"/>
      <c r="F269" s="312"/>
      <c r="G269" s="311"/>
      <c r="H269" s="311"/>
      <c r="I269" s="232"/>
      <c r="J269" s="311"/>
      <c r="K269" s="305" t="str">
        <f t="shared" si="741"/>
        <v/>
      </c>
      <c r="L269" s="313"/>
      <c r="M269" s="312"/>
      <c r="N269" s="311"/>
      <c r="O269" s="312"/>
      <c r="P269" s="311"/>
      <c r="Q269" s="305" t="str">
        <f t="shared" si="742"/>
        <v/>
      </c>
      <c r="R269" s="314"/>
      <c r="S269" s="450" t="str">
        <f t="shared" si="625"/>
        <v/>
      </c>
      <c r="T269" s="315"/>
      <c r="U269" s="315"/>
      <c r="W269" s="149" t="str">
        <f t="shared" si="626"/>
        <v xml:space="preserve"> </v>
      </c>
      <c r="X269" s="243" t="str">
        <f t="shared" si="627"/>
        <v xml:space="preserve"> </v>
      </c>
      <c r="Y269" s="150" t="str">
        <f t="shared" si="628"/>
        <v/>
      </c>
      <c r="Z269" s="149" t="str">
        <f t="shared" si="629"/>
        <v xml:space="preserve"> </v>
      </c>
      <c r="AA269" s="98" t="str">
        <f t="shared" si="630"/>
        <v xml:space="preserve"> </v>
      </c>
      <c r="AB269" s="153" t="str">
        <f t="shared" si="631"/>
        <v xml:space="preserve"> </v>
      </c>
      <c r="AC269" s="153" t="str">
        <f t="shared" si="632"/>
        <v xml:space="preserve"> </v>
      </c>
      <c r="AD269" s="148" t="str">
        <f t="shared" si="633"/>
        <v/>
      </c>
      <c r="AE269" s="149" t="str">
        <f t="shared" si="634"/>
        <v/>
      </c>
      <c r="AF269" s="151" t="str">
        <f t="shared" si="635"/>
        <v xml:space="preserve"> </v>
      </c>
      <c r="AG269" s="153" t="str">
        <f t="shared" si="636"/>
        <v xml:space="preserve"> </v>
      </c>
      <c r="AH269" s="98" t="str">
        <f t="shared" si="637"/>
        <v xml:space="preserve"> </v>
      </c>
      <c r="AI269" s="149" t="str">
        <f t="shared" si="638"/>
        <v xml:space="preserve"> </v>
      </c>
      <c r="AK269" s="144" t="str">
        <f t="shared" si="639"/>
        <v xml:space="preserve"> </v>
      </c>
      <c r="AL269" s="144"/>
      <c r="AM269" s="243" t="str">
        <f t="shared" si="640"/>
        <v xml:space="preserve"> </v>
      </c>
      <c r="AN269" s="149" t="str">
        <f t="shared" si="743"/>
        <v xml:space="preserve"> </v>
      </c>
      <c r="AO269" s="144" t="str">
        <f>IF(JB269&gt;0,IF(GI269=10,-R269*1.085*(Calculation!$F$6-Calculation!$F$13)*$S$14," "),"")</f>
        <v/>
      </c>
      <c r="AP269" s="144" t="str">
        <f t="shared" si="641"/>
        <v/>
      </c>
      <c r="AQ269" s="56" t="str">
        <f t="shared" si="642"/>
        <v/>
      </c>
      <c r="AR269" s="144" t="str">
        <f t="shared" si="643"/>
        <v/>
      </c>
      <c r="AS269" s="176" t="str">
        <f t="shared" si="644"/>
        <v/>
      </c>
      <c r="AT269" s="176" t="str">
        <f t="shared" si="744"/>
        <v xml:space="preserve"> </v>
      </c>
      <c r="AU269" s="176" t="str">
        <f t="shared" si="645"/>
        <v/>
      </c>
      <c r="AV269" s="177" t="str">
        <f t="shared" si="646"/>
        <v xml:space="preserve"> </v>
      </c>
      <c r="AW269" s="144" t="str">
        <f t="shared" si="647"/>
        <v xml:space="preserve"> </v>
      </c>
      <c r="AX269" s="144" t="str">
        <f t="shared" si="648"/>
        <v xml:space="preserve"> </v>
      </c>
      <c r="AY269" s="152" t="str">
        <f t="shared" si="649"/>
        <v xml:space="preserve"> </v>
      </c>
      <c r="AZ269" s="246" t="str">
        <f t="shared" si="650"/>
        <v/>
      </c>
      <c r="BA269" s="176" t="str">
        <f t="shared" si="651"/>
        <v xml:space="preserve"> </v>
      </c>
      <c r="BB269" s="176" t="str">
        <f t="shared" si="652"/>
        <v xml:space="preserve"> </v>
      </c>
      <c r="BC269" s="195"/>
      <c r="BD269" s="316"/>
      <c r="BE269" s="317"/>
      <c r="BF269" s="318"/>
      <c r="BG269" s="318"/>
      <c r="BH269" s="144" t="str">
        <f t="shared" si="821"/>
        <v xml:space="preserve"> </v>
      </c>
      <c r="BI269" s="176" t="str">
        <f t="shared" si="653"/>
        <v/>
      </c>
      <c r="BJ269" s="144" t="str">
        <f t="shared" si="822"/>
        <v/>
      </c>
      <c r="BK269" s="246" t="str">
        <f t="shared" si="654"/>
        <v/>
      </c>
      <c r="BL269" s="144" t="str">
        <f t="shared" si="823"/>
        <v/>
      </c>
      <c r="BM269" s="246" t="str">
        <f t="shared" si="655"/>
        <v/>
      </c>
      <c r="BN269" s="337" t="str">
        <f t="shared" si="745"/>
        <v/>
      </c>
      <c r="BO269" s="371" t="str">
        <f t="shared" si="746"/>
        <v/>
      </c>
      <c r="BP269" s="328" t="str">
        <f t="shared" si="824"/>
        <v xml:space="preserve"> </v>
      </c>
      <c r="BQ269" s="347" t="str">
        <f t="shared" si="747"/>
        <v xml:space="preserve"> </v>
      </c>
      <c r="BR269" s="353" t="str">
        <f t="shared" si="748"/>
        <v xml:space="preserve"> </v>
      </c>
      <c r="BS269" s="626" t="str">
        <f>IF(L269&gt;0,IF(Calculation!P269="M13",BR269*3.1416*(0.134^2)/(4*144),IF(Calculation!P269="M17",BR269*3.1416*(0.165^2)/(4*144),IF(Calculation!P269="M20",BR269*3.1416*(0.198^2)/(4*144),IF(Calculation!P269="M23",BR269*3.1416*(0.228^2)/(4*144),IF(Calculation!P269="M27",BR269*3.1416*(0.269^2)/(4*144),BR269*3.1416*(0.307^2)/(4*144))))))," ")</f>
        <v xml:space="preserve"> </v>
      </c>
      <c r="BT269" s="353" t="str">
        <f>IF(L269&gt;0,IF(BS269&gt;0,R269/Calculation!BS269,0)," ")</f>
        <v xml:space="preserve"> </v>
      </c>
      <c r="BU269" s="438" t="e">
        <f t="shared" ca="1" si="656"/>
        <v>#VALUE!</v>
      </c>
      <c r="BV269" s="449" t="e">
        <f ca="1">INDEX(INDIRECT(VLOOKUP(LEFT(BO269,7),CLU!$Z$3:$AH$18,2)),GN269,GR269)</f>
        <v>#N/A</v>
      </c>
      <c r="BW269" s="433" t="e">
        <f ca="1">INDEX(INDIRECT(VLOOKUP(LEFT(BO269,7),CLU!$Z$3:$AH$18,3)),GN269,GR269)</f>
        <v>#N/A</v>
      </c>
      <c r="BX269" s="433" t="e">
        <f ca="1">INDEX(INDIRECT(VLOOKUP(LEFT(BO269,7),CLU!$Z$3:$AH$18,4)),GN269,GR269)</f>
        <v>#N/A</v>
      </c>
      <c r="BY269" s="433" t="e">
        <f ca="1">INDEX(INDIRECT(VLOOKUP(LEFT(BO269,7),CLU!$Z$3:$AH$18,9)),((M269-2)*(6-COUNTBLANK(GT269:GY269)))+GJ269)</f>
        <v>#N/A</v>
      </c>
      <c r="BZ269" s="426" t="e">
        <f t="shared" ca="1" si="749"/>
        <v>#N/A</v>
      </c>
      <c r="CA269" s="424" t="e">
        <f t="shared" ca="1" si="750"/>
        <v>#N/A</v>
      </c>
      <c r="CB269" s="429" t="e">
        <f ca="1">INDEX(INDIRECT(VLOOKUP(LEFT(BO269,7),CLU!$Z$3:$AH$18,2)),GN269,GS269)</f>
        <v>#N/A</v>
      </c>
      <c r="CC269" s="342" t="e">
        <f ca="1">INDEX(INDIRECT(VLOOKUP(LEFT(BO269,7),CLU!$Z$3:$AH$18,3)),GN269,GS269)</f>
        <v>#N/A</v>
      </c>
      <c r="CD269" s="342" t="e">
        <f ca="1">INDEX(INDIRECT(VLOOKUP(LEFT(BO269,7),CLU!$Z$3:$AH$18,4)),GN269,GS269)</f>
        <v>#N/A</v>
      </c>
      <c r="CE269" s="426" t="e">
        <f t="shared" ca="1" si="751"/>
        <v>#N/A</v>
      </c>
      <c r="CF269" s="440">
        <f t="shared" si="752"/>
        <v>0</v>
      </c>
      <c r="CG269" s="431" t="e">
        <f ca="1">INDEX(INDIRECT(VLOOKUP(LEFT(BO269,7),CLU!$Z$3:$AH$18,2)),GQ269,GR269)</f>
        <v>#N/A</v>
      </c>
      <c r="CH269" s="431" t="e">
        <f ca="1">INDEX(INDIRECT(VLOOKUP(LEFT(BO269,7),CLU!$Z$3:$AH$18,3)),GQ269,GR269)</f>
        <v>#N/A</v>
      </c>
      <c r="CI269" s="431" t="e">
        <f ca="1">INDEX(INDIRECT(VLOOKUP(LEFT(BO269,7),CLU!$Z$3:$AH$18,4)),GQ269,GR269)</f>
        <v>#N/A</v>
      </c>
      <c r="CJ269" s="448" t="e">
        <f t="shared" ca="1" si="753"/>
        <v>#N/A</v>
      </c>
      <c r="CK269" s="431" t="e">
        <f t="shared" ca="1" si="754"/>
        <v>#N/A</v>
      </c>
      <c r="CL269" s="440" t="e">
        <f t="shared" ca="1" si="755"/>
        <v>#N/A</v>
      </c>
      <c r="CM269" s="431" t="e">
        <f ca="1">INDEX(INDIRECT(VLOOKUP(LEFT(BO269,7),CLU!$Z$3:$AH$18,2)),GQ269,GS269)</f>
        <v>#N/A</v>
      </c>
      <c r="CN269" s="431" t="e">
        <f ca="1">INDEX(INDIRECT(VLOOKUP(LEFT(BO269,7),CLU!$Z$3:$AH$18,3)),GQ269,GS269)</f>
        <v>#N/A</v>
      </c>
      <c r="CO269" s="431" t="e">
        <f ca="1">INDEX(INDIRECT(VLOOKUP(LEFT(BO269,7),CLU!$Z$3:$AH$18,4)),GQ269,GS269)</f>
        <v>#N/A</v>
      </c>
      <c r="CP269" s="431" t="e">
        <f t="shared" ca="1" si="756"/>
        <v>#N/A</v>
      </c>
      <c r="CQ269" s="440">
        <f t="shared" si="757"/>
        <v>0</v>
      </c>
      <c r="CR269" s="51" t="e">
        <f t="shared" ca="1" si="758"/>
        <v>#N/A</v>
      </c>
      <c r="CS269" s="439" t="e">
        <f t="shared" ca="1" si="759"/>
        <v>#VALUE!</v>
      </c>
      <c r="CT269" s="51" t="e">
        <f t="shared" ca="1" si="760"/>
        <v>#VALUE!</v>
      </c>
      <c r="CU269" s="10"/>
      <c r="CV269" s="51" t="e">
        <f t="shared" ca="1" si="657"/>
        <v>#VALUE!</v>
      </c>
      <c r="CW269" s="51">
        <f t="shared" si="761"/>
        <v>0</v>
      </c>
      <c r="CX269" s="439" t="e">
        <f t="shared" ca="1" si="762"/>
        <v>#VALUE!</v>
      </c>
      <c r="CY269" s="51" t="e">
        <f t="shared" ca="1" si="763"/>
        <v>#VALUE!</v>
      </c>
      <c r="CZ269" s="10"/>
      <c r="DA269" s="51" t="e">
        <f t="shared" ca="1" si="764"/>
        <v>#VALUE!</v>
      </c>
      <c r="DB269" s="347" t="e">
        <f ca="1">INDEX(INDIRECT(VLOOKUP(LEFT(BO269,7),CLU!$Z$3:$AI$18,10)),((M269-2)*(6-COUNTBLANK(GT269:GY269)))+GJ269)*LI269</f>
        <v>#N/A</v>
      </c>
      <c r="DC269" s="347" t="str">
        <f>IF(L269&gt;0,((R269/Worksheet!$I$15)/DB269)^2," ")</f>
        <v xml:space="preserve"> </v>
      </c>
      <c r="DD269" s="602" t="str">
        <f t="shared" si="765"/>
        <v xml:space="preserve"> </v>
      </c>
      <c r="DE269" s="347" t="str">
        <f t="shared" si="658"/>
        <v xml:space="preserve"> </v>
      </c>
      <c r="DF269" s="356" t="e">
        <f ca="1">INDEX(INDIRECT(VLOOKUP(LEFT(BO269,7),CLU!$Z$3:$AH$18,8)),((M269-2)*(6-COUNTBLANK(GT269:GY269)))+GJ269)</f>
        <v>#N/A</v>
      </c>
      <c r="DG269" s="347" t="str">
        <f t="shared" si="659"/>
        <v xml:space="preserve"> </v>
      </c>
      <c r="DH269" s="357" t="str">
        <f t="shared" si="660"/>
        <v xml:space="preserve"> </v>
      </c>
      <c r="DI269" s="355" t="str">
        <f t="shared" si="661"/>
        <v xml:space="preserve"> </v>
      </c>
      <c r="DJ269" s="245" t="e">
        <f ca="1">INDEX(INDIRECT(VLOOKUP(LEFT(BO269,7),CLU!$Z$3:$AH$18,5)),GL269,GK269)</f>
        <v>#N/A</v>
      </c>
      <c r="DK269" s="245" t="e">
        <f ca="1">INDEX(INDIRECT(VLOOKUP(LEFT(BO269,7),CLU!$Z$3:$AH$18,6)),GL269,GK269)</f>
        <v>#N/A</v>
      </c>
      <c r="DL269" s="355">
        <f>(Calculation!R269*0.69143*(Calculation!$BQ$8-Calculation!$F$8))*$S$14</f>
        <v>0</v>
      </c>
      <c r="DM269" s="359" t="e">
        <f t="shared" si="766"/>
        <v>#VALUE!</v>
      </c>
      <c r="DN269" s="611">
        <f t="shared" si="767"/>
        <v>0</v>
      </c>
      <c r="DO269" s="359">
        <f t="shared" si="768"/>
        <v>100</v>
      </c>
      <c r="DP269" s="359">
        <f t="shared" si="769"/>
        <v>0</v>
      </c>
      <c r="DQ269" s="360"/>
      <c r="DR269" s="245" t="e">
        <f ca="1">INDEX(INDIRECT(VLOOKUP(LEFT(BO269,7),CLU!$Z$3:$AH$18,7)),M269-1,1)</f>
        <v>#N/A</v>
      </c>
      <c r="DS269" s="245" t="e">
        <f ca="1">INDEX(INDIRECT(VLOOKUP(LEFT(BO269,7),CLU!$Z$3:$AH$18,7)),M269-1,2)</f>
        <v>#N/A</v>
      </c>
      <c r="DT269" s="245" t="e">
        <f ca="1">INDEX(INDIRECT(VLOOKUP(LEFT(BO269,7),CLU!$Z$3:$AH$18,7)),M269-1,3)</f>
        <v>#N/A</v>
      </c>
      <c r="DU269" s="245" t="e">
        <f ca="1">INDEX(INDIRECT(VLOOKUP(LEFT(BO269,7),CLU!$Z$3:$AH$18,7)),M269-1,4)</f>
        <v>#N/A</v>
      </c>
      <c r="DV269" s="361" t="e">
        <f ca="1">INDEX(INDIRECT(VLOOKUP(LEFT(BO269,7),CLU!$Z$3:$AH$18,7)),M269-1,4+LEFT(DZ269,1)*0.5)</f>
        <v>#N/A</v>
      </c>
      <c r="DW269" s="245" t="e">
        <f ca="1">INDEX(INDIRECT(VLOOKUP(LEFT(BO269,7),CLU!$Z$3:$AH$18,7)),M269-1,8)</f>
        <v>#N/A</v>
      </c>
      <c r="DX269" s="361" t="str">
        <f t="shared" si="662"/>
        <v xml:space="preserve"> </v>
      </c>
      <c r="DY269" s="361" t="str">
        <f t="shared" si="663"/>
        <v xml:space="preserve"> </v>
      </c>
      <c r="DZ269" s="361" t="str">
        <f t="shared" si="664"/>
        <v xml:space="preserve"> </v>
      </c>
      <c r="EA269" s="362" t="str">
        <f t="shared" si="665"/>
        <v xml:space="preserve"> </v>
      </c>
      <c r="EB269" s="624" t="str">
        <f t="shared" si="770"/>
        <v xml:space="preserve"> </v>
      </c>
      <c r="EC269" s="361" t="e">
        <f ca="1">INDEX(INDIRECT(VLOOKUP(LEFT(BO269,7),CLU!$Z$3:$AH$18,7)),M269-1,4+LEFT(DZ269,1)*0.5)</f>
        <v>#N/A</v>
      </c>
      <c r="ED269" s="362" t="str">
        <f t="shared" si="666"/>
        <v xml:space="preserve"> </v>
      </c>
      <c r="EE269" s="361" t="str">
        <f t="shared" si="667"/>
        <v xml:space="preserve"> </v>
      </c>
      <c r="EF269" s="362" t="str">
        <f>IF(L269&gt;0,IF(BR269&gt;0,IF(EE269="2P",IF(Calculation!DZ269="2P",IF(Calculation!DS269=13.75,IF(Calculation!DR269=13,Worksheet!$BD$43,IF(Calculation!DR269=37,Worksheet!$BD$44,Worksheet!$BD$45)),IF(Calculation!DS269=10,IF(Calculation!DR269=18,Worksheet!$BD$29,IF(Calculation!DR269=30,Worksheet!$BD$30,IF(Calculation!DR269=42,Worksheet!$BD$31,IF(Calculation!DR269=54,Worksheet!$BD$32,IF(Calculation!DR269=66,Worksheet!$BD$33,IF(Calculation!DR269=78,Worksheet!$BD$34,IF(Calculation!DR269=90,Worksheet!$BD$35,IF(Calculation!DR269=102,Worksheet!$BD$36,Worksheet!$BD$37)))))))),IF(Calculation!DS269=12.5,IF(Calculation!DR269=18,Worksheet!$BD$38,IF(Calculation!DR269=Worksheet!$BD$39,IF(Calculation!DR269=42,Worksheet!$BD$40,IF(Calculation!DR269=54,Worksheet!$BD$41,Worksheet!$BD$42)))),IF(Calculation!DR269=18,Worksheet!$BD$11,IF(Calculation!DR269=30,Worksheet!$BD$12,IF(Calculation!DR269=42,Worksheet!$BD$13,IF(Calculation!DR269=54,Worksheet!$BD$14,IF(Calculation!DR269=66,Worksheet!$BD$15,IF(Calculation!DR269=78,Worksheet!$BD$16,IF(Calculation!DR269=90,Worksheet!$BD$17,IF(Calculation!DR269=102,Worksheet!$BD$18,Worksheet!$BD$19))))))))))),IF(Calculation!DS269=13.75,IF(Calculation!DR269=13,Worksheet!$BD$78,IF(Calculation!DR269=37,Worksheet!$BD$79,Worksheet!$BD$80)),IF(Calculation!DS269=10,IF(Calculation!DR269=18,Worksheet!$BD$64,IF(Calculation!DR269=30,Worksheet!$BD$65,IF(Calculation!DR269=42,Worksheet!$BD$66,IF(Calculation!DR269=54,Worksheet!$BD$68,IF(Calculation!DR269=66,Worksheet!$BD$68,IF(Calculation!DR269=78,Worksheet!$BD$69,IF(Calculation!DR269=90,Worksheet!$BD$70,IF(Calculation!DR269=102,Worksheet!$BD$71,Worksheet!$BD$72)))))))),IF(Calculation!DS269=12.5,IF(Calculation!DR269=18,Worksheet!$BD$73,IF(Calculation!DR269=Worksheet!$BD$74,IF(Calculation!DR269=42,Worksheet!$BD$75,IF(Calculation!DR269=54,Worksheet!$BD$76,Worksheet!$BD$77)))),IF(Calculation!DR269=18,Worksheet!$BD$55,IF(Calculation!DR269=30,Worksheet!$BD$56,IF(Calculation!DR269=42,Worksheet!$BD$57,IF(Calculation!DR269=54,Worksheet!$BD$58,IF(Calculation!DR269=66,Worksheet!$BD$59,IF(Calculation!DR269=78,Worksheet!$BD$60,IF(Calculation!DR269=90,Worksheet!$BD$61,IF(Calculation!DR269=102,Worksheet!$BD$62,Worksheet!$BD$63)))))))))))),5),0)," ")</f>
        <v xml:space="preserve"> </v>
      </c>
      <c r="EG269" s="361" t="str">
        <f t="shared" si="668"/>
        <v xml:space="preserve"> </v>
      </c>
      <c r="EH269" s="361" t="e">
        <f ca="1">INDEX(INDIRECT(VLOOKUP(LEFT(BO269,7),CLU!$Z$3:$AH$18,7)),M269-1,3+LEFT(DZ269,1))</f>
        <v>#N/A</v>
      </c>
      <c r="EI269" s="362" t="str">
        <f t="shared" si="669"/>
        <v xml:space="preserve"> </v>
      </c>
      <c r="EJ269" s="363" t="str">
        <f t="shared" si="670"/>
        <v xml:space="preserve"> </v>
      </c>
      <c r="EK269" s="363" t="str">
        <f t="shared" si="671"/>
        <v xml:space="preserve"> </v>
      </c>
      <c r="EL269" s="363" t="str">
        <f t="shared" si="672"/>
        <v xml:space="preserve"> </v>
      </c>
      <c r="EM269" s="362" t="str">
        <f>IF(L269&gt;0,IF(BR269&gt;0,(Calculation!T269/ED269)^2,0)," ")</f>
        <v xml:space="preserve"> </v>
      </c>
      <c r="EN269" s="362" t="str">
        <f>IF(L269&gt;0,IF(O269="2 Pipe (Cooling)","N/A",IF(BR269&gt;0,(Calculation!U269/EI269)^2,0))," ")</f>
        <v xml:space="preserve"> </v>
      </c>
      <c r="EO269" s="361" t="str">
        <f t="shared" si="673"/>
        <v/>
      </c>
      <c r="EP269" s="361" t="str">
        <f t="shared" si="674"/>
        <v/>
      </c>
      <c r="EQ269" s="361" t="str">
        <f t="shared" si="675"/>
        <v/>
      </c>
      <c r="ER269" s="361" t="str">
        <f t="shared" si="676"/>
        <v/>
      </c>
      <c r="ES269" s="361" t="str">
        <f t="shared" si="677"/>
        <v/>
      </c>
      <c r="ET269" s="361" t="str">
        <f t="shared" si="678"/>
        <v/>
      </c>
      <c r="EU269" s="361" t="str">
        <f t="shared" si="679"/>
        <v/>
      </c>
      <c r="EV269" s="361" t="str">
        <f t="shared" si="680"/>
        <v/>
      </c>
      <c r="EW269" s="361" t="str">
        <f t="shared" si="681"/>
        <v/>
      </c>
      <c r="EX269" s="361" t="str">
        <f t="shared" si="771"/>
        <v>1 slot, 1 way</v>
      </c>
      <c r="EY269" s="361" t="str">
        <f t="shared" si="772"/>
        <v xml:space="preserve"> </v>
      </c>
      <c r="EZ269" s="361" t="str">
        <f t="shared" si="773"/>
        <v xml:space="preserve"> </v>
      </c>
      <c r="FA269" s="361" t="str">
        <f t="shared" si="774"/>
        <v xml:space="preserve"> </v>
      </c>
      <c r="FB269" s="361" t="str">
        <f t="shared" si="775"/>
        <v xml:space="preserve"> </v>
      </c>
      <c r="FC269" s="361"/>
      <c r="FD269" s="361" t="str">
        <f>IF(J269&gt;0,IF(Calculation!R269&lt;=70,4,IF(Calculation!R269&lt;=110,5,IF(Calculation!R269&lt;=160,6,IF(Calculation!R269&lt;=300,8,"10 EO")))),"")</f>
        <v/>
      </c>
      <c r="FE269" s="361" t="str">
        <f t="shared" si="776"/>
        <v/>
      </c>
      <c r="FF269" s="361" t="str">
        <f t="shared" si="777"/>
        <v/>
      </c>
      <c r="FG269" s="361" t="e">
        <f t="shared" si="682"/>
        <v>#N/A</v>
      </c>
      <c r="FH269" s="361">
        <f t="shared" si="683"/>
        <v>0</v>
      </c>
      <c r="FI269" s="361" t="e">
        <f t="shared" si="684"/>
        <v>#DIV/0!</v>
      </c>
      <c r="FJ269" s="361"/>
      <c r="FK269" s="356" t="e">
        <f t="shared" si="685"/>
        <v>#VALUE!</v>
      </c>
      <c r="FL269" s="361"/>
      <c r="FM269" s="361"/>
      <c r="FN269" s="362" t="str">
        <f t="shared" si="778"/>
        <v xml:space="preserve"> </v>
      </c>
      <c r="FO269" s="362" t="str">
        <f t="shared" si="779"/>
        <v xml:space="preserve"> </v>
      </c>
      <c r="FP269" s="362">
        <f t="shared" si="780"/>
        <v>0</v>
      </c>
      <c r="FQ269" s="361">
        <f t="shared" si="686"/>
        <v>0</v>
      </c>
      <c r="FR269" s="362" t="str">
        <f>IF(L269&gt;0,IF(J269="CBAL2",Worksheet!$P$67,IF(J269="CBE2-24",Worksheet!$Q$67,IF(J269="CBAM",Worksheet!$R$67,IF(J269="CBLV",Worksheet!$S$67,IF(J269="CBAB",Worksheet!$U$67,IF(J269="CBAW",Worksheet!$X$67,IF(J269="CBE2-12",Worksheet!$Y$67,IF(J269="CBAL2",Worksheet!$Z$67,"N/A"))))))))," ")</f>
        <v xml:space="preserve"> </v>
      </c>
      <c r="FS269" s="362" t="str">
        <f>IF(L269&gt;0,IF(J269="CBAL2",Worksheet!$P$68,IF(J269="CBE2-24",Worksheet!$Q$68,IF(J269="CBAM",Worksheet!$R$68,IF(J269="CBLV",Worksheet!$S$68,IF(J269="CBAB",Worksheet!$U$68,IF(J269="CBAW",Worksheet!$X$68,IF(J269="CBE2-12",Worksheet!$Y$68,IF(J269="CBAL2",Worksheet!$Z$68,"N/A"))))))))," ")</f>
        <v xml:space="preserve"> </v>
      </c>
      <c r="FT269" s="362" t="str">
        <f>IF(L269&gt;0,IF(J269="CBAL2",Worksheet!$P$69,IF(J269="CBE2-24",Worksheet!$Q$69,IF(J269="CBAM",Worksheet!$R$69,IF(J269="CBLV",Worksheet!$S$69,IF(J269="CBAB",Worksheet!$U$69,IF(J269="CBAW",Worksheet!$X$69,IF(J269="CBE2-12",Worksheet!$Y$69,IF(J269="CBAL2",Worksheet!$Z$69,"N/A"))))))))," ")</f>
        <v xml:space="preserve"> </v>
      </c>
      <c r="FU269" s="361" t="str">
        <f t="shared" si="781"/>
        <v xml:space="preserve"> </v>
      </c>
      <c r="FV269" s="362" t="str">
        <f t="shared" si="782"/>
        <v xml:space="preserve"> </v>
      </c>
      <c r="FW269" s="362" t="str">
        <f t="shared" si="783"/>
        <v xml:space="preserve"> </v>
      </c>
      <c r="FX269" s="362" t="str">
        <f t="shared" si="784"/>
        <v xml:space="preserve"> </v>
      </c>
      <c r="FY269" s="355" t="str">
        <f t="shared" si="785"/>
        <v xml:space="preserve"> </v>
      </c>
      <c r="FZ269" s="361" t="str">
        <f t="shared" si="786"/>
        <v xml:space="preserve"> </v>
      </c>
      <c r="GA269" s="347" t="str">
        <f t="shared" si="787"/>
        <v xml:space="preserve"> </v>
      </c>
      <c r="GB269" s="355" t="str">
        <f t="shared" si="788"/>
        <v xml:space="preserve"> </v>
      </c>
      <c r="GC269" s="328" t="str">
        <f t="shared" si="789"/>
        <v xml:space="preserve"> </v>
      </c>
      <c r="GD269" s="361" t="str">
        <f t="shared" si="790"/>
        <v xml:space="preserve"> </v>
      </c>
      <c r="GE269" s="347" t="str">
        <f t="shared" si="791"/>
        <v xml:space="preserve"> </v>
      </c>
      <c r="GF269" s="361" t="str">
        <f t="shared" si="792"/>
        <v xml:space="preserve"> </v>
      </c>
      <c r="GG269" s="347" t="str">
        <f t="shared" si="793"/>
        <v xml:space="preserve"> </v>
      </c>
      <c r="GH269" s="364">
        <f t="shared" si="687"/>
        <v>0</v>
      </c>
      <c r="GI269" s="362">
        <f t="shared" si="794"/>
        <v>2</v>
      </c>
      <c r="GJ269" s="433" t="e">
        <f>IF(6-COUNTBLANK(GT269:GY269)=4,MATCH(MID(BO269,9,3),CLU!$H$16:$K$16),MATCH(MID(BO269,9,3),CLU!$H$13:$M$13))</f>
        <v>#N/A</v>
      </c>
      <c r="GK269" s="433" t="e">
        <f>HLOOKUP(VALUE(BP269),CLU!$H$9:$M$10,2)</f>
        <v>#VALUE!</v>
      </c>
      <c r="GL269" s="433" t="e">
        <f ca="1">MATCH(BU269,CLU!$H$2:$V$2,1)</f>
        <v>#VALUE!</v>
      </c>
      <c r="GM269" s="433" t="e">
        <f t="shared" ca="1" si="795"/>
        <v>#VALUE!</v>
      </c>
      <c r="GN269" s="433" t="e">
        <f t="shared" ca="1" si="796"/>
        <v>#VALUE!</v>
      </c>
      <c r="GO269" s="433" t="e">
        <f t="shared" ca="1" si="797"/>
        <v>#VALUE!</v>
      </c>
      <c r="GP269" s="433" t="e">
        <f t="shared" ca="1" si="798"/>
        <v>#VALUE!</v>
      </c>
      <c r="GQ269" s="433" t="e">
        <f t="shared" ca="1" si="799"/>
        <v>#VALUE!</v>
      </c>
      <c r="GR269" s="433" t="e">
        <f ca="1">MATCH(T269,INDIRECT(VLOOKUP(CONCATENATE(LEFT(BO269,7),"-",MID(BO269,13,1)),CLU!$P$3:$Q$16,2)),1)</f>
        <v>#N/A</v>
      </c>
      <c r="GS269" s="433" t="e">
        <f ca="1">MATCH(U269,INDIRECT(VLOOKUP(CONCATENATE(LEFT(BO269,7),"-",MID(BO269,13,1)),CLU!$P$3:$Q$16,2)),1)</f>
        <v>#N/A</v>
      </c>
      <c r="GT269" s="347" t="s">
        <v>512</v>
      </c>
      <c r="GU269" s="97" t="s">
        <v>513</v>
      </c>
      <c r="GV269" s="97" t="str">
        <f t="shared" si="800"/>
        <v>M23</v>
      </c>
      <c r="GW269" s="97" t="str">
        <f t="shared" si="801"/>
        <v>M31</v>
      </c>
      <c r="GX269" s="97" t="str">
        <f t="shared" si="802"/>
        <v/>
      </c>
      <c r="GY269" s="97" t="str">
        <f t="shared" si="803"/>
        <v/>
      </c>
      <c r="GZ269" s="481"/>
      <c r="HA269" s="240"/>
      <c r="HB269" s="240"/>
      <c r="HC269" s="240"/>
      <c r="HD269" s="240"/>
      <c r="HE269" s="240"/>
      <c r="HF269" s="240"/>
      <c r="HG269" s="240"/>
      <c r="HH269" s="240"/>
      <c r="HI269" s="240"/>
      <c r="HJ269" s="240"/>
      <c r="HK269" s="240"/>
      <c r="HL269" s="240"/>
      <c r="HM269" s="240"/>
      <c r="HN269" s="240"/>
      <c r="HO269" s="240"/>
      <c r="HP269" s="240"/>
      <c r="HQ269" s="240"/>
      <c r="HR269" s="240"/>
      <c r="HS269" s="240"/>
      <c r="HT269" s="240"/>
      <c r="HU269" s="240"/>
      <c r="HV269" s="245"/>
      <c r="HW269" s="245" t="b">
        <v>1</v>
      </c>
      <c r="HX269" s="245" t="str">
        <f t="shared" si="688"/>
        <v/>
      </c>
      <c r="HY269" s="245" t="e">
        <f t="shared" si="689"/>
        <v>#DIV/0!</v>
      </c>
      <c r="HZ269" s="245" t="e">
        <f t="shared" si="690"/>
        <v>#DIV/0!</v>
      </c>
      <c r="IA269" s="245">
        <f t="shared" si="691"/>
        <v>0</v>
      </c>
      <c r="IB269" s="245"/>
      <c r="IC269" t="b">
        <f t="shared" si="692"/>
        <v>1</v>
      </c>
      <c r="ID269" s="245" t="b">
        <f t="shared" si="693"/>
        <v>1</v>
      </c>
      <c r="IE269" s="245" t="b">
        <f t="shared" si="694"/>
        <v>1</v>
      </c>
      <c r="IF269" s="245" t="b">
        <f t="shared" si="695"/>
        <v>0</v>
      </c>
      <c r="IG269" s="245" t="b">
        <f t="shared" si="696"/>
        <v>1</v>
      </c>
      <c r="IH269" s="245" t="b">
        <f t="shared" si="697"/>
        <v>1</v>
      </c>
      <c r="II269" s="245">
        <f t="shared" si="804"/>
        <v>0</v>
      </c>
      <c r="IJ269" s="245" t="e">
        <f t="shared" si="698"/>
        <v>#VALUE!</v>
      </c>
      <c r="IK269" s="245" t="e">
        <f t="shared" si="699"/>
        <v>#VALUE!</v>
      </c>
      <c r="IL269" s="245"/>
      <c r="IM269" s="245" t="e">
        <f t="shared" si="805"/>
        <v>#N/A</v>
      </c>
      <c r="IN269" s="245" t="e">
        <f t="shared" si="806"/>
        <v>#N/A</v>
      </c>
      <c r="IO269" s="245"/>
      <c r="IP269" s="245"/>
      <c r="IQ269" s="245" t="str">
        <f t="shared" si="700"/>
        <v/>
      </c>
      <c r="IR269" s="245" t="str">
        <f>IF(J269="","",VLOOKUP(J269,Worksheet!$R$4:$T$14,2))</f>
        <v/>
      </c>
      <c r="IS269" s="245"/>
      <c r="IT269" s="245">
        <f t="shared" si="701"/>
        <v>0</v>
      </c>
      <c r="IU269" s="245">
        <f t="shared" si="702"/>
        <v>0</v>
      </c>
      <c r="IV269" s="245">
        <f t="shared" si="703"/>
        <v>0</v>
      </c>
      <c r="IW269" s="245">
        <f t="shared" si="704"/>
        <v>0</v>
      </c>
      <c r="IX269" s="245">
        <f t="shared" si="807"/>
        <v>0</v>
      </c>
      <c r="IY269" s="245">
        <f t="shared" si="705"/>
        <v>0</v>
      </c>
      <c r="IZ269" s="245">
        <f t="shared" si="706"/>
        <v>0</v>
      </c>
      <c r="JA269">
        <f t="shared" si="707"/>
        <v>0</v>
      </c>
      <c r="JB269">
        <f t="shared" si="808"/>
        <v>0</v>
      </c>
      <c r="JC269">
        <f t="shared" si="708"/>
        <v>0</v>
      </c>
      <c r="JD269">
        <f t="shared" si="709"/>
        <v>0</v>
      </c>
      <c r="JE269">
        <f t="shared" si="710"/>
        <v>0</v>
      </c>
      <c r="JF269">
        <f t="shared" si="711"/>
        <v>0</v>
      </c>
      <c r="JG269">
        <f t="shared" si="712"/>
        <v>0</v>
      </c>
      <c r="JH269">
        <f t="shared" si="713"/>
        <v>0</v>
      </c>
      <c r="JI269">
        <f t="shared" si="714"/>
        <v>0</v>
      </c>
      <c r="JJ269" s="447">
        <f t="shared" si="715"/>
        <v>0</v>
      </c>
      <c r="JK269" s="447">
        <f t="shared" si="716"/>
        <v>0</v>
      </c>
      <c r="JL269">
        <f t="shared" si="717"/>
        <v>0</v>
      </c>
      <c r="JM269" s="245" t="str">
        <f>IFERROR(VLOOKUP(MATCH(BN269,#REF!,0),#REF!,7),"")</f>
        <v/>
      </c>
      <c r="JN269" t="e">
        <f>HLOOKUP(LEFT(BO269,7),Discharge_Area,MATCH(JO269,LookUps!$B$130:$B$149,1)+2)</f>
        <v>#N/A</v>
      </c>
      <c r="JO269" t="str">
        <f t="shared" si="718"/>
        <v>- S</v>
      </c>
      <c r="JP269" t="e">
        <f>HLOOKUP(LEFT(BO269,7),Discharge_Area,MATCH(JO269,LookUps!$B$130:$B$149,1)+2)</f>
        <v>#N/A</v>
      </c>
      <c r="JQ269" t="e">
        <f t="shared" si="719"/>
        <v>#N/A</v>
      </c>
      <c r="JR269" t="e">
        <f t="shared" si="720"/>
        <v>#N/A</v>
      </c>
      <c r="JS269" t="e">
        <f t="shared" si="721"/>
        <v>#N/A</v>
      </c>
      <c r="JT269" s="532" t="str">
        <f t="shared" si="722"/>
        <v xml:space="preserve"> </v>
      </c>
      <c r="JU269" s="532" t="str">
        <f t="shared" si="723"/>
        <v xml:space="preserve"> </v>
      </c>
      <c r="JV269" s="533" t="str">
        <f t="shared" si="724"/>
        <v xml:space="preserve"> </v>
      </c>
      <c r="JW269" s="534">
        <f t="shared" si="725"/>
        <v>0</v>
      </c>
      <c r="JX269" s="535" t="str">
        <f t="shared" si="809"/>
        <v xml:space="preserve"> </v>
      </c>
      <c r="JY269" s="535" t="str">
        <f t="shared" si="810"/>
        <v xml:space="preserve"> </v>
      </c>
      <c r="JZ269" s="535" t="str">
        <f t="shared" si="811"/>
        <v xml:space="preserve"> </v>
      </c>
      <c r="KA269" s="536" t="str">
        <f t="shared" si="726"/>
        <v xml:space="preserve"> </v>
      </c>
      <c r="KB269" s="535" t="e">
        <f t="shared" si="812"/>
        <v>#VALUE!</v>
      </c>
      <c r="KC269" s="535" t="str">
        <f t="shared" si="727"/>
        <v/>
      </c>
      <c r="KD269" s="537" t="str">
        <f t="shared" si="813"/>
        <v xml:space="preserve"> </v>
      </c>
      <c r="KE269" s="537" t="str">
        <f t="shared" si="814"/>
        <v xml:space="preserve"> </v>
      </c>
      <c r="KF269" s="534">
        <f t="shared" si="728"/>
        <v>0</v>
      </c>
      <c r="KG269" s="535" t="str">
        <f t="shared" si="729"/>
        <v xml:space="preserve"> </v>
      </c>
      <c r="KH269" s="535" t="str">
        <f t="shared" si="730"/>
        <v xml:space="preserve"> </v>
      </c>
      <c r="KI269" s="535" t="str">
        <f t="shared" si="731"/>
        <v xml:space="preserve"> </v>
      </c>
      <c r="KJ269" s="536" t="str">
        <f t="shared" si="732"/>
        <v xml:space="preserve"> </v>
      </c>
      <c r="KK269" s="535" t="str">
        <f t="shared" si="815"/>
        <v xml:space="preserve"> </v>
      </c>
      <c r="KL269" s="535" t="str">
        <f t="shared" si="816"/>
        <v xml:space="preserve"> </v>
      </c>
      <c r="KM269" s="537" t="str">
        <f t="shared" si="733"/>
        <v xml:space="preserve"> </v>
      </c>
      <c r="KN269" s="537" t="str">
        <f t="shared" si="817"/>
        <v xml:space="preserve"> </v>
      </c>
      <c r="KP269">
        <f t="shared" si="734"/>
        <v>0</v>
      </c>
      <c r="LA269" t="e">
        <f t="shared" si="735"/>
        <v>#VALUE!</v>
      </c>
      <c r="LB269" t="e">
        <f t="shared" si="736"/>
        <v>#VALUE!</v>
      </c>
      <c r="LC269" t="e">
        <f t="shared" si="737"/>
        <v>#VALUE!</v>
      </c>
      <c r="LD269" t="e">
        <f t="shared" si="738"/>
        <v>#VALUE!</v>
      </c>
      <c r="LE269" t="e">
        <f t="shared" si="818"/>
        <v>#VALUE!</v>
      </c>
      <c r="LF269">
        <f t="shared" si="739"/>
        <v>0</v>
      </c>
      <c r="LG269" t="e">
        <f t="shared" si="819"/>
        <v>#VALUE!</v>
      </c>
      <c r="LH269" t="str">
        <f t="shared" si="740"/>
        <v xml:space="preserve"> </v>
      </c>
      <c r="LI269">
        <f t="shared" si="820"/>
        <v>1</v>
      </c>
    </row>
    <row r="270" spans="2:321" ht="15" customHeight="1">
      <c r="B270" s="311"/>
      <c r="C270" s="311"/>
      <c r="D270" s="312"/>
      <c r="E270" s="311"/>
      <c r="F270" s="312"/>
      <c r="G270" s="311"/>
      <c r="H270" s="311"/>
      <c r="I270" s="232"/>
      <c r="J270" s="311"/>
      <c r="K270" s="305" t="str">
        <f t="shared" si="741"/>
        <v/>
      </c>
      <c r="L270" s="313"/>
      <c r="M270" s="312"/>
      <c r="N270" s="311"/>
      <c r="O270" s="312"/>
      <c r="P270" s="311"/>
      <c r="Q270" s="305" t="str">
        <f t="shared" si="742"/>
        <v/>
      </c>
      <c r="R270" s="314"/>
      <c r="S270" s="450" t="str">
        <f t="shared" si="625"/>
        <v/>
      </c>
      <c r="T270" s="315"/>
      <c r="U270" s="315"/>
      <c r="W270" s="149" t="str">
        <f t="shared" si="626"/>
        <v xml:space="preserve"> </v>
      </c>
      <c r="X270" s="243" t="str">
        <f t="shared" si="627"/>
        <v xml:space="preserve"> </v>
      </c>
      <c r="Y270" s="150" t="str">
        <f t="shared" si="628"/>
        <v/>
      </c>
      <c r="Z270" s="149" t="str">
        <f t="shared" si="629"/>
        <v xml:space="preserve"> </v>
      </c>
      <c r="AA270" s="98" t="str">
        <f t="shared" si="630"/>
        <v xml:space="preserve"> </v>
      </c>
      <c r="AB270" s="153" t="str">
        <f t="shared" si="631"/>
        <v xml:space="preserve"> </v>
      </c>
      <c r="AC270" s="153" t="str">
        <f t="shared" si="632"/>
        <v xml:space="preserve"> </v>
      </c>
      <c r="AD270" s="148" t="str">
        <f t="shared" si="633"/>
        <v/>
      </c>
      <c r="AE270" s="149" t="str">
        <f t="shared" si="634"/>
        <v/>
      </c>
      <c r="AF270" s="151" t="str">
        <f t="shared" si="635"/>
        <v xml:space="preserve"> </v>
      </c>
      <c r="AG270" s="153" t="str">
        <f t="shared" si="636"/>
        <v xml:space="preserve"> </v>
      </c>
      <c r="AH270" s="98" t="str">
        <f t="shared" si="637"/>
        <v xml:space="preserve"> </v>
      </c>
      <c r="AI270" s="149" t="str">
        <f t="shared" si="638"/>
        <v xml:space="preserve"> </v>
      </c>
      <c r="AK270" s="144" t="str">
        <f t="shared" si="639"/>
        <v xml:space="preserve"> </v>
      </c>
      <c r="AL270" s="144"/>
      <c r="AM270" s="243" t="str">
        <f t="shared" si="640"/>
        <v xml:space="preserve"> </v>
      </c>
      <c r="AN270" s="149" t="str">
        <f t="shared" si="743"/>
        <v xml:space="preserve"> </v>
      </c>
      <c r="AO270" s="144" t="str">
        <f>IF(JB270&gt;0,IF(GI270=10,-R270*1.085*(Calculation!$F$6-Calculation!$F$13)*$S$14," "),"")</f>
        <v/>
      </c>
      <c r="AP270" s="144" t="str">
        <f t="shared" si="641"/>
        <v/>
      </c>
      <c r="AQ270" s="56" t="str">
        <f t="shared" si="642"/>
        <v/>
      </c>
      <c r="AR270" s="144" t="str">
        <f t="shared" si="643"/>
        <v/>
      </c>
      <c r="AS270" s="176" t="str">
        <f t="shared" si="644"/>
        <v/>
      </c>
      <c r="AT270" s="176" t="str">
        <f t="shared" si="744"/>
        <v xml:space="preserve"> </v>
      </c>
      <c r="AU270" s="176" t="str">
        <f t="shared" si="645"/>
        <v/>
      </c>
      <c r="AV270" s="177" t="str">
        <f t="shared" si="646"/>
        <v xml:space="preserve"> </v>
      </c>
      <c r="AW270" s="144" t="str">
        <f t="shared" si="647"/>
        <v xml:space="preserve"> </v>
      </c>
      <c r="AX270" s="144" t="str">
        <f t="shared" si="648"/>
        <v xml:space="preserve"> </v>
      </c>
      <c r="AY270" s="152" t="str">
        <f t="shared" si="649"/>
        <v xml:space="preserve"> </v>
      </c>
      <c r="AZ270" s="246" t="str">
        <f t="shared" si="650"/>
        <v/>
      </c>
      <c r="BA270" s="176" t="str">
        <f t="shared" si="651"/>
        <v xml:space="preserve"> </v>
      </c>
      <c r="BB270" s="176" t="str">
        <f t="shared" si="652"/>
        <v xml:space="preserve"> </v>
      </c>
      <c r="BC270" s="195"/>
      <c r="BD270" s="316"/>
      <c r="BE270" s="317"/>
      <c r="BF270" s="318"/>
      <c r="BG270" s="318"/>
      <c r="BH270" s="144" t="str">
        <f t="shared" si="821"/>
        <v xml:space="preserve"> </v>
      </c>
      <c r="BI270" s="176" t="str">
        <f t="shared" si="653"/>
        <v/>
      </c>
      <c r="BJ270" s="144" t="str">
        <f t="shared" si="822"/>
        <v/>
      </c>
      <c r="BK270" s="246" t="str">
        <f t="shared" si="654"/>
        <v/>
      </c>
      <c r="BL270" s="144" t="str">
        <f t="shared" si="823"/>
        <v/>
      </c>
      <c r="BM270" s="246" t="str">
        <f t="shared" si="655"/>
        <v/>
      </c>
      <c r="BN270" s="337" t="str">
        <f t="shared" si="745"/>
        <v/>
      </c>
      <c r="BO270" s="371" t="str">
        <f t="shared" si="746"/>
        <v/>
      </c>
      <c r="BP270" s="328" t="str">
        <f t="shared" si="824"/>
        <v xml:space="preserve"> </v>
      </c>
      <c r="BQ270" s="347" t="str">
        <f t="shared" si="747"/>
        <v xml:space="preserve"> </v>
      </c>
      <c r="BR270" s="353" t="str">
        <f t="shared" si="748"/>
        <v xml:space="preserve"> </v>
      </c>
      <c r="BS270" s="626" t="str">
        <f>IF(L270&gt;0,IF(Calculation!P270="M13",BR270*3.1416*(0.134^2)/(4*144),IF(Calculation!P270="M17",BR270*3.1416*(0.165^2)/(4*144),IF(Calculation!P270="M20",BR270*3.1416*(0.198^2)/(4*144),IF(Calculation!P270="M23",BR270*3.1416*(0.228^2)/(4*144),IF(Calculation!P270="M27",BR270*3.1416*(0.269^2)/(4*144),BR270*3.1416*(0.307^2)/(4*144))))))," ")</f>
        <v xml:space="preserve"> </v>
      </c>
      <c r="BT270" s="353" t="str">
        <f>IF(L270&gt;0,IF(BS270&gt;0,R270/Calculation!BS270,0)," ")</f>
        <v xml:space="preserve"> </v>
      </c>
      <c r="BU270" s="438" t="e">
        <f t="shared" ca="1" si="656"/>
        <v>#VALUE!</v>
      </c>
      <c r="BV270" s="449" t="e">
        <f ca="1">INDEX(INDIRECT(VLOOKUP(LEFT(BO270,7),CLU!$Z$3:$AH$18,2)),GN270,GR270)</f>
        <v>#N/A</v>
      </c>
      <c r="BW270" s="433" t="e">
        <f ca="1">INDEX(INDIRECT(VLOOKUP(LEFT(BO270,7),CLU!$Z$3:$AH$18,3)),GN270,GR270)</f>
        <v>#N/A</v>
      </c>
      <c r="BX270" s="433" t="e">
        <f ca="1">INDEX(INDIRECT(VLOOKUP(LEFT(BO270,7),CLU!$Z$3:$AH$18,4)),GN270,GR270)</f>
        <v>#N/A</v>
      </c>
      <c r="BY270" s="433" t="e">
        <f ca="1">INDEX(INDIRECT(VLOOKUP(LEFT(BO270,7),CLU!$Z$3:$AH$18,9)),((M270-2)*(6-COUNTBLANK(GT270:GY270)))+GJ270)</f>
        <v>#N/A</v>
      </c>
      <c r="BZ270" s="426" t="e">
        <f t="shared" ca="1" si="749"/>
        <v>#N/A</v>
      </c>
      <c r="CA270" s="424" t="e">
        <f t="shared" ca="1" si="750"/>
        <v>#N/A</v>
      </c>
      <c r="CB270" s="429" t="e">
        <f ca="1">INDEX(INDIRECT(VLOOKUP(LEFT(BO270,7),CLU!$Z$3:$AH$18,2)),GN270,GS270)</f>
        <v>#N/A</v>
      </c>
      <c r="CC270" s="342" t="e">
        <f ca="1">INDEX(INDIRECT(VLOOKUP(LEFT(BO270,7),CLU!$Z$3:$AH$18,3)),GN270,GS270)</f>
        <v>#N/A</v>
      </c>
      <c r="CD270" s="342" t="e">
        <f ca="1">INDEX(INDIRECT(VLOOKUP(LEFT(BO270,7),CLU!$Z$3:$AH$18,4)),GN270,GS270)</f>
        <v>#N/A</v>
      </c>
      <c r="CE270" s="426" t="e">
        <f t="shared" ca="1" si="751"/>
        <v>#N/A</v>
      </c>
      <c r="CF270" s="440">
        <f t="shared" si="752"/>
        <v>0</v>
      </c>
      <c r="CG270" s="431" t="e">
        <f ca="1">INDEX(INDIRECT(VLOOKUP(LEFT(BO270,7),CLU!$Z$3:$AH$18,2)),GQ270,GR270)</f>
        <v>#N/A</v>
      </c>
      <c r="CH270" s="431" t="e">
        <f ca="1">INDEX(INDIRECT(VLOOKUP(LEFT(BO270,7),CLU!$Z$3:$AH$18,3)),GQ270,GR270)</f>
        <v>#N/A</v>
      </c>
      <c r="CI270" s="431" t="e">
        <f ca="1">INDEX(INDIRECT(VLOOKUP(LEFT(BO270,7),CLU!$Z$3:$AH$18,4)),GQ270,GR270)</f>
        <v>#N/A</v>
      </c>
      <c r="CJ270" s="448" t="e">
        <f t="shared" ca="1" si="753"/>
        <v>#N/A</v>
      </c>
      <c r="CK270" s="431" t="e">
        <f t="shared" ca="1" si="754"/>
        <v>#N/A</v>
      </c>
      <c r="CL270" s="440" t="e">
        <f t="shared" ca="1" si="755"/>
        <v>#N/A</v>
      </c>
      <c r="CM270" s="431" t="e">
        <f ca="1">INDEX(INDIRECT(VLOOKUP(LEFT(BO270,7),CLU!$Z$3:$AH$18,2)),GQ270,GS270)</f>
        <v>#N/A</v>
      </c>
      <c r="CN270" s="431" t="e">
        <f ca="1">INDEX(INDIRECT(VLOOKUP(LEFT(BO270,7),CLU!$Z$3:$AH$18,3)),GQ270,GS270)</f>
        <v>#N/A</v>
      </c>
      <c r="CO270" s="431" t="e">
        <f ca="1">INDEX(INDIRECT(VLOOKUP(LEFT(BO270,7),CLU!$Z$3:$AH$18,4)),GQ270,GS270)</f>
        <v>#N/A</v>
      </c>
      <c r="CP270" s="431" t="e">
        <f t="shared" ca="1" si="756"/>
        <v>#N/A</v>
      </c>
      <c r="CQ270" s="440">
        <f t="shared" si="757"/>
        <v>0</v>
      </c>
      <c r="CR270" s="51" t="e">
        <f t="shared" ca="1" si="758"/>
        <v>#N/A</v>
      </c>
      <c r="CS270" s="439" t="e">
        <f t="shared" ca="1" si="759"/>
        <v>#VALUE!</v>
      </c>
      <c r="CT270" s="51" t="e">
        <f t="shared" ca="1" si="760"/>
        <v>#VALUE!</v>
      </c>
      <c r="CU270" s="10"/>
      <c r="CV270" s="51" t="e">
        <f t="shared" ca="1" si="657"/>
        <v>#VALUE!</v>
      </c>
      <c r="CW270" s="51">
        <f t="shared" si="761"/>
        <v>0</v>
      </c>
      <c r="CX270" s="439" t="e">
        <f t="shared" ca="1" si="762"/>
        <v>#VALUE!</v>
      </c>
      <c r="CY270" s="51" t="e">
        <f t="shared" ca="1" si="763"/>
        <v>#VALUE!</v>
      </c>
      <c r="CZ270" s="10"/>
      <c r="DA270" s="51" t="e">
        <f t="shared" ca="1" si="764"/>
        <v>#VALUE!</v>
      </c>
      <c r="DB270" s="347" t="e">
        <f ca="1">INDEX(INDIRECT(VLOOKUP(LEFT(BO270,7),CLU!$Z$3:$AI$18,10)),((M270-2)*(6-COUNTBLANK(GT270:GY270)))+GJ270)*LI270</f>
        <v>#N/A</v>
      </c>
      <c r="DC270" s="347" t="str">
        <f>IF(L270&gt;0,((R270/Worksheet!$I$15)/DB270)^2," ")</f>
        <v xml:space="preserve"> </v>
      </c>
      <c r="DD270" s="602" t="str">
        <f t="shared" si="765"/>
        <v xml:space="preserve"> </v>
      </c>
      <c r="DE270" s="347" t="str">
        <f t="shared" si="658"/>
        <v xml:space="preserve"> </v>
      </c>
      <c r="DF270" s="356" t="e">
        <f ca="1">INDEX(INDIRECT(VLOOKUP(LEFT(BO270,7),CLU!$Z$3:$AH$18,8)),((M270-2)*(6-COUNTBLANK(GT270:GY270)))+GJ270)</f>
        <v>#N/A</v>
      </c>
      <c r="DG270" s="347" t="str">
        <f t="shared" si="659"/>
        <v xml:space="preserve"> </v>
      </c>
      <c r="DH270" s="357" t="str">
        <f t="shared" si="660"/>
        <v xml:space="preserve"> </v>
      </c>
      <c r="DI270" s="355" t="str">
        <f t="shared" si="661"/>
        <v xml:space="preserve"> </v>
      </c>
      <c r="DJ270" s="245" t="e">
        <f ca="1">INDEX(INDIRECT(VLOOKUP(LEFT(BO270,7),CLU!$Z$3:$AH$18,5)),GL270,GK270)</f>
        <v>#N/A</v>
      </c>
      <c r="DK270" s="245" t="e">
        <f ca="1">INDEX(INDIRECT(VLOOKUP(LEFT(BO270,7),CLU!$Z$3:$AH$18,6)),GL270,GK270)</f>
        <v>#N/A</v>
      </c>
      <c r="DL270" s="355">
        <f>(Calculation!R270*0.69143*(Calculation!$BQ$8-Calculation!$F$8))*$S$14</f>
        <v>0</v>
      </c>
      <c r="DM270" s="359" t="e">
        <f t="shared" si="766"/>
        <v>#VALUE!</v>
      </c>
      <c r="DN270" s="611">
        <f t="shared" si="767"/>
        <v>0</v>
      </c>
      <c r="DO270" s="359">
        <f t="shared" si="768"/>
        <v>100</v>
      </c>
      <c r="DP270" s="359">
        <f t="shared" si="769"/>
        <v>0</v>
      </c>
      <c r="DQ270" s="360"/>
      <c r="DR270" s="245" t="e">
        <f ca="1">INDEX(INDIRECT(VLOOKUP(LEFT(BO270,7),CLU!$Z$3:$AH$18,7)),M270-1,1)</f>
        <v>#N/A</v>
      </c>
      <c r="DS270" s="245" t="e">
        <f ca="1">INDEX(INDIRECT(VLOOKUP(LEFT(BO270,7),CLU!$Z$3:$AH$18,7)),M270-1,2)</f>
        <v>#N/A</v>
      </c>
      <c r="DT270" s="245" t="e">
        <f ca="1">INDEX(INDIRECT(VLOOKUP(LEFT(BO270,7),CLU!$Z$3:$AH$18,7)),M270-1,3)</f>
        <v>#N/A</v>
      </c>
      <c r="DU270" s="245" t="e">
        <f ca="1">INDEX(INDIRECT(VLOOKUP(LEFT(BO270,7),CLU!$Z$3:$AH$18,7)),M270-1,4)</f>
        <v>#N/A</v>
      </c>
      <c r="DV270" s="361" t="e">
        <f ca="1">INDEX(INDIRECT(VLOOKUP(LEFT(BO270,7),CLU!$Z$3:$AH$18,7)),M270-1,4+LEFT(DZ270,1)*0.5)</f>
        <v>#N/A</v>
      </c>
      <c r="DW270" s="245" t="e">
        <f ca="1">INDEX(INDIRECT(VLOOKUP(LEFT(BO270,7),CLU!$Z$3:$AH$18,7)),M270-1,8)</f>
        <v>#N/A</v>
      </c>
      <c r="DX270" s="361" t="str">
        <f t="shared" si="662"/>
        <v xml:space="preserve"> </v>
      </c>
      <c r="DY270" s="361" t="str">
        <f t="shared" si="663"/>
        <v xml:space="preserve"> </v>
      </c>
      <c r="DZ270" s="361" t="str">
        <f t="shared" si="664"/>
        <v xml:space="preserve"> </v>
      </c>
      <c r="EA270" s="362" t="str">
        <f t="shared" si="665"/>
        <v xml:space="preserve"> </v>
      </c>
      <c r="EB270" s="624" t="str">
        <f t="shared" si="770"/>
        <v xml:space="preserve"> </v>
      </c>
      <c r="EC270" s="361" t="e">
        <f ca="1">INDEX(INDIRECT(VLOOKUP(LEFT(BO270,7),CLU!$Z$3:$AH$18,7)),M270-1,4+LEFT(DZ270,1)*0.5)</f>
        <v>#N/A</v>
      </c>
      <c r="ED270" s="362" t="str">
        <f t="shared" si="666"/>
        <v xml:space="preserve"> </v>
      </c>
      <c r="EE270" s="361" t="str">
        <f t="shared" si="667"/>
        <v xml:space="preserve"> </v>
      </c>
      <c r="EF270" s="362" t="str">
        <f>IF(L270&gt;0,IF(BR270&gt;0,IF(EE270="2P",IF(Calculation!DZ270="2P",IF(Calculation!DS270=13.75,IF(Calculation!DR270=13,Worksheet!$BD$43,IF(Calculation!DR270=37,Worksheet!$BD$44,Worksheet!$BD$45)),IF(Calculation!DS270=10,IF(Calculation!DR270=18,Worksheet!$BD$29,IF(Calculation!DR270=30,Worksheet!$BD$30,IF(Calculation!DR270=42,Worksheet!$BD$31,IF(Calculation!DR270=54,Worksheet!$BD$32,IF(Calculation!DR270=66,Worksheet!$BD$33,IF(Calculation!DR270=78,Worksheet!$BD$34,IF(Calculation!DR270=90,Worksheet!$BD$35,IF(Calculation!DR270=102,Worksheet!$BD$36,Worksheet!$BD$37)))))))),IF(Calculation!DS270=12.5,IF(Calculation!DR270=18,Worksheet!$BD$38,IF(Calculation!DR270=Worksheet!$BD$39,IF(Calculation!DR270=42,Worksheet!$BD$40,IF(Calculation!DR270=54,Worksheet!$BD$41,Worksheet!$BD$42)))),IF(Calculation!DR270=18,Worksheet!$BD$11,IF(Calculation!DR270=30,Worksheet!$BD$12,IF(Calculation!DR270=42,Worksheet!$BD$13,IF(Calculation!DR270=54,Worksheet!$BD$14,IF(Calculation!DR270=66,Worksheet!$BD$15,IF(Calculation!DR270=78,Worksheet!$BD$16,IF(Calculation!DR270=90,Worksheet!$BD$17,IF(Calculation!DR270=102,Worksheet!$BD$18,Worksheet!$BD$19))))))))))),IF(Calculation!DS270=13.75,IF(Calculation!DR270=13,Worksheet!$BD$78,IF(Calculation!DR270=37,Worksheet!$BD$79,Worksheet!$BD$80)),IF(Calculation!DS270=10,IF(Calculation!DR270=18,Worksheet!$BD$64,IF(Calculation!DR270=30,Worksheet!$BD$65,IF(Calculation!DR270=42,Worksheet!$BD$66,IF(Calculation!DR270=54,Worksheet!$BD$68,IF(Calculation!DR270=66,Worksheet!$BD$68,IF(Calculation!DR270=78,Worksheet!$BD$69,IF(Calculation!DR270=90,Worksheet!$BD$70,IF(Calculation!DR270=102,Worksheet!$BD$71,Worksheet!$BD$72)))))))),IF(Calculation!DS270=12.5,IF(Calculation!DR270=18,Worksheet!$BD$73,IF(Calculation!DR270=Worksheet!$BD$74,IF(Calculation!DR270=42,Worksheet!$BD$75,IF(Calculation!DR270=54,Worksheet!$BD$76,Worksheet!$BD$77)))),IF(Calculation!DR270=18,Worksheet!$BD$55,IF(Calculation!DR270=30,Worksheet!$BD$56,IF(Calculation!DR270=42,Worksheet!$BD$57,IF(Calculation!DR270=54,Worksheet!$BD$58,IF(Calculation!DR270=66,Worksheet!$BD$59,IF(Calculation!DR270=78,Worksheet!$BD$60,IF(Calculation!DR270=90,Worksheet!$BD$61,IF(Calculation!DR270=102,Worksheet!$BD$62,Worksheet!$BD$63)))))))))))),5),0)," ")</f>
        <v xml:space="preserve"> </v>
      </c>
      <c r="EG270" s="361" t="str">
        <f t="shared" si="668"/>
        <v xml:space="preserve"> </v>
      </c>
      <c r="EH270" s="361" t="e">
        <f ca="1">INDEX(INDIRECT(VLOOKUP(LEFT(BO270,7),CLU!$Z$3:$AH$18,7)),M270-1,3+LEFT(DZ270,1))</f>
        <v>#N/A</v>
      </c>
      <c r="EI270" s="362" t="str">
        <f t="shared" si="669"/>
        <v xml:space="preserve"> </v>
      </c>
      <c r="EJ270" s="363" t="str">
        <f t="shared" si="670"/>
        <v xml:space="preserve"> </v>
      </c>
      <c r="EK270" s="363" t="str">
        <f t="shared" si="671"/>
        <v xml:space="preserve"> </v>
      </c>
      <c r="EL270" s="363" t="str">
        <f t="shared" si="672"/>
        <v xml:space="preserve"> </v>
      </c>
      <c r="EM270" s="362" t="str">
        <f>IF(L270&gt;0,IF(BR270&gt;0,(Calculation!T270/ED270)^2,0)," ")</f>
        <v xml:space="preserve"> </v>
      </c>
      <c r="EN270" s="362" t="str">
        <f>IF(L270&gt;0,IF(O270="2 Pipe (Cooling)","N/A",IF(BR270&gt;0,(Calculation!U270/EI270)^2,0))," ")</f>
        <v xml:space="preserve"> </v>
      </c>
      <c r="EO270" s="361" t="str">
        <f t="shared" si="673"/>
        <v/>
      </c>
      <c r="EP270" s="361" t="str">
        <f t="shared" si="674"/>
        <v/>
      </c>
      <c r="EQ270" s="361" t="str">
        <f t="shared" si="675"/>
        <v/>
      </c>
      <c r="ER270" s="361" t="str">
        <f t="shared" si="676"/>
        <v/>
      </c>
      <c r="ES270" s="361" t="str">
        <f t="shared" si="677"/>
        <v/>
      </c>
      <c r="ET270" s="361" t="str">
        <f t="shared" si="678"/>
        <v/>
      </c>
      <c r="EU270" s="361" t="str">
        <f t="shared" si="679"/>
        <v/>
      </c>
      <c r="EV270" s="361" t="str">
        <f t="shared" si="680"/>
        <v/>
      </c>
      <c r="EW270" s="361" t="str">
        <f t="shared" si="681"/>
        <v/>
      </c>
      <c r="EX270" s="361" t="str">
        <f t="shared" si="771"/>
        <v>1 slot, 1 way</v>
      </c>
      <c r="EY270" s="361" t="str">
        <f t="shared" si="772"/>
        <v xml:space="preserve"> </v>
      </c>
      <c r="EZ270" s="361" t="str">
        <f t="shared" si="773"/>
        <v xml:space="preserve"> </v>
      </c>
      <c r="FA270" s="361" t="str">
        <f t="shared" si="774"/>
        <v xml:space="preserve"> </v>
      </c>
      <c r="FB270" s="361" t="str">
        <f t="shared" si="775"/>
        <v xml:space="preserve"> </v>
      </c>
      <c r="FC270" s="361"/>
      <c r="FD270" s="361" t="str">
        <f>IF(J270&gt;0,IF(Calculation!R270&lt;=70,4,IF(Calculation!R270&lt;=110,5,IF(Calculation!R270&lt;=160,6,IF(Calculation!R270&lt;=300,8,"10 EO")))),"")</f>
        <v/>
      </c>
      <c r="FE270" s="361" t="str">
        <f t="shared" si="776"/>
        <v/>
      </c>
      <c r="FF270" s="361" t="str">
        <f t="shared" si="777"/>
        <v/>
      </c>
      <c r="FG270" s="361" t="e">
        <f t="shared" si="682"/>
        <v>#N/A</v>
      </c>
      <c r="FH270" s="361">
        <f t="shared" si="683"/>
        <v>0</v>
      </c>
      <c r="FI270" s="361" t="e">
        <f t="shared" si="684"/>
        <v>#DIV/0!</v>
      </c>
      <c r="FJ270" s="361"/>
      <c r="FK270" s="356" t="e">
        <f t="shared" si="685"/>
        <v>#VALUE!</v>
      </c>
      <c r="FL270" s="361"/>
      <c r="FM270" s="361"/>
      <c r="FN270" s="362" t="str">
        <f t="shared" si="778"/>
        <v xml:space="preserve"> </v>
      </c>
      <c r="FO270" s="362" t="str">
        <f t="shared" si="779"/>
        <v xml:space="preserve"> </v>
      </c>
      <c r="FP270" s="362">
        <f t="shared" si="780"/>
        <v>0</v>
      </c>
      <c r="FQ270" s="361">
        <f t="shared" si="686"/>
        <v>0</v>
      </c>
      <c r="FR270" s="362" t="str">
        <f>IF(L270&gt;0,IF(J270="CBAL2",Worksheet!$P$67,IF(J270="CBE2-24",Worksheet!$Q$67,IF(J270="CBAM",Worksheet!$R$67,IF(J270="CBLV",Worksheet!$S$67,IF(J270="CBAB",Worksheet!$U$67,IF(J270="CBAW",Worksheet!$X$67,IF(J270="CBE2-12",Worksheet!$Y$67,IF(J270="CBAL2",Worksheet!$Z$67,"N/A"))))))))," ")</f>
        <v xml:space="preserve"> </v>
      </c>
      <c r="FS270" s="362" t="str">
        <f>IF(L270&gt;0,IF(J270="CBAL2",Worksheet!$P$68,IF(J270="CBE2-24",Worksheet!$Q$68,IF(J270="CBAM",Worksheet!$R$68,IF(J270="CBLV",Worksheet!$S$68,IF(J270="CBAB",Worksheet!$U$68,IF(J270="CBAW",Worksheet!$X$68,IF(J270="CBE2-12",Worksheet!$Y$68,IF(J270="CBAL2",Worksheet!$Z$68,"N/A"))))))))," ")</f>
        <v xml:space="preserve"> </v>
      </c>
      <c r="FT270" s="362" t="str">
        <f>IF(L270&gt;0,IF(J270="CBAL2",Worksheet!$P$69,IF(J270="CBE2-24",Worksheet!$Q$69,IF(J270="CBAM",Worksheet!$R$69,IF(J270="CBLV",Worksheet!$S$69,IF(J270="CBAB",Worksheet!$U$69,IF(J270="CBAW",Worksheet!$X$69,IF(J270="CBE2-12",Worksheet!$Y$69,IF(J270="CBAL2",Worksheet!$Z$69,"N/A"))))))))," ")</f>
        <v xml:space="preserve"> </v>
      </c>
      <c r="FU270" s="361" t="str">
        <f t="shared" si="781"/>
        <v xml:space="preserve"> </v>
      </c>
      <c r="FV270" s="362" t="str">
        <f t="shared" si="782"/>
        <v xml:space="preserve"> </v>
      </c>
      <c r="FW270" s="362" t="str">
        <f t="shared" si="783"/>
        <v xml:space="preserve"> </v>
      </c>
      <c r="FX270" s="362" t="str">
        <f t="shared" si="784"/>
        <v xml:space="preserve"> </v>
      </c>
      <c r="FY270" s="355" t="str">
        <f t="shared" si="785"/>
        <v xml:space="preserve"> </v>
      </c>
      <c r="FZ270" s="361" t="str">
        <f t="shared" si="786"/>
        <v xml:space="preserve"> </v>
      </c>
      <c r="GA270" s="347" t="str">
        <f t="shared" si="787"/>
        <v xml:space="preserve"> </v>
      </c>
      <c r="GB270" s="355" t="str">
        <f t="shared" si="788"/>
        <v xml:space="preserve"> </v>
      </c>
      <c r="GC270" s="328" t="str">
        <f t="shared" si="789"/>
        <v xml:space="preserve"> </v>
      </c>
      <c r="GD270" s="361" t="str">
        <f t="shared" si="790"/>
        <v xml:space="preserve"> </v>
      </c>
      <c r="GE270" s="347" t="str">
        <f t="shared" si="791"/>
        <v xml:space="preserve"> </v>
      </c>
      <c r="GF270" s="361" t="str">
        <f t="shared" si="792"/>
        <v xml:space="preserve"> </v>
      </c>
      <c r="GG270" s="347" t="str">
        <f t="shared" si="793"/>
        <v xml:space="preserve"> </v>
      </c>
      <c r="GH270" s="364">
        <f t="shared" si="687"/>
        <v>0</v>
      </c>
      <c r="GI270" s="362">
        <f t="shared" si="794"/>
        <v>2</v>
      </c>
      <c r="GJ270" s="433" t="e">
        <f>IF(6-COUNTBLANK(GT270:GY270)=4,MATCH(MID(BO270,9,3),CLU!$H$16:$K$16),MATCH(MID(BO270,9,3),CLU!$H$13:$M$13))</f>
        <v>#N/A</v>
      </c>
      <c r="GK270" s="433" t="e">
        <f>HLOOKUP(VALUE(BP270),CLU!$H$9:$M$10,2)</f>
        <v>#VALUE!</v>
      </c>
      <c r="GL270" s="433" t="e">
        <f ca="1">MATCH(BU270,CLU!$H$2:$V$2,1)</f>
        <v>#VALUE!</v>
      </c>
      <c r="GM270" s="433" t="e">
        <f t="shared" ca="1" si="795"/>
        <v>#VALUE!</v>
      </c>
      <c r="GN270" s="433" t="e">
        <f t="shared" ca="1" si="796"/>
        <v>#VALUE!</v>
      </c>
      <c r="GO270" s="433" t="e">
        <f t="shared" ca="1" si="797"/>
        <v>#VALUE!</v>
      </c>
      <c r="GP270" s="433" t="e">
        <f t="shared" ca="1" si="798"/>
        <v>#VALUE!</v>
      </c>
      <c r="GQ270" s="433" t="e">
        <f t="shared" ca="1" si="799"/>
        <v>#VALUE!</v>
      </c>
      <c r="GR270" s="433" t="e">
        <f ca="1">MATCH(T270,INDIRECT(VLOOKUP(CONCATENATE(LEFT(BO270,7),"-",MID(BO270,13,1)),CLU!$P$3:$Q$16,2)),1)</f>
        <v>#N/A</v>
      </c>
      <c r="GS270" s="433" t="e">
        <f ca="1">MATCH(U270,INDIRECT(VLOOKUP(CONCATENATE(LEFT(BO270,7),"-",MID(BO270,13,1)),CLU!$P$3:$Q$16,2)),1)</f>
        <v>#N/A</v>
      </c>
      <c r="GT270" s="347" t="s">
        <v>512</v>
      </c>
      <c r="GU270" s="97" t="s">
        <v>513</v>
      </c>
      <c r="GV270" s="97" t="str">
        <f t="shared" si="800"/>
        <v>M23</v>
      </c>
      <c r="GW270" s="97" t="str">
        <f t="shared" si="801"/>
        <v>M31</v>
      </c>
      <c r="GX270" s="97" t="str">
        <f t="shared" si="802"/>
        <v/>
      </c>
      <c r="GY270" s="97" t="str">
        <f t="shared" si="803"/>
        <v/>
      </c>
      <c r="GZ270" s="481"/>
      <c r="HA270" s="240"/>
      <c r="HB270" s="240"/>
      <c r="HC270" s="240"/>
      <c r="HD270" s="240"/>
      <c r="HE270" s="240"/>
      <c r="HF270" s="240"/>
      <c r="HG270" s="240"/>
      <c r="HH270" s="240"/>
      <c r="HI270" s="240"/>
      <c r="HJ270" s="240"/>
      <c r="HK270" s="240"/>
      <c r="HL270" s="240"/>
      <c r="HM270" s="240"/>
      <c r="HN270" s="240"/>
      <c r="HO270" s="240"/>
      <c r="HP270" s="240"/>
      <c r="HQ270" s="240"/>
      <c r="HR270" s="240"/>
      <c r="HS270" s="240"/>
      <c r="HT270" s="240"/>
      <c r="HU270" s="240"/>
      <c r="HV270" s="245"/>
      <c r="HW270" s="245" t="b">
        <v>1</v>
      </c>
      <c r="HX270" s="245" t="str">
        <f t="shared" si="688"/>
        <v/>
      </c>
      <c r="HY270" s="245" t="e">
        <f t="shared" si="689"/>
        <v>#DIV/0!</v>
      </c>
      <c r="HZ270" s="245" t="e">
        <f t="shared" si="690"/>
        <v>#DIV/0!</v>
      </c>
      <c r="IA270" s="245">
        <f t="shared" si="691"/>
        <v>0</v>
      </c>
      <c r="IB270" s="245"/>
      <c r="IC270" t="b">
        <f t="shared" si="692"/>
        <v>1</v>
      </c>
      <c r="ID270" s="245" t="b">
        <f t="shared" si="693"/>
        <v>1</v>
      </c>
      <c r="IE270" s="245" t="b">
        <f t="shared" si="694"/>
        <v>1</v>
      </c>
      <c r="IF270" s="245" t="b">
        <f t="shared" si="695"/>
        <v>0</v>
      </c>
      <c r="IG270" s="245" t="b">
        <f t="shared" si="696"/>
        <v>1</v>
      </c>
      <c r="IH270" s="245" t="b">
        <f t="shared" si="697"/>
        <v>1</v>
      </c>
      <c r="II270" s="245">
        <f t="shared" si="804"/>
        <v>0</v>
      </c>
      <c r="IJ270" s="245" t="e">
        <f t="shared" si="698"/>
        <v>#VALUE!</v>
      </c>
      <c r="IK270" s="245" t="e">
        <f t="shared" si="699"/>
        <v>#VALUE!</v>
      </c>
      <c r="IL270" s="245"/>
      <c r="IM270" s="245" t="e">
        <f t="shared" si="805"/>
        <v>#N/A</v>
      </c>
      <c r="IN270" s="245" t="e">
        <f t="shared" si="806"/>
        <v>#N/A</v>
      </c>
      <c r="IO270" s="245"/>
      <c r="IP270" s="245"/>
      <c r="IQ270" s="245" t="str">
        <f t="shared" si="700"/>
        <v/>
      </c>
      <c r="IR270" s="245" t="str">
        <f>IF(J270="","",VLOOKUP(J270,Worksheet!$R$4:$T$14,2))</f>
        <v/>
      </c>
      <c r="IS270" s="245"/>
      <c r="IT270" s="245">
        <f t="shared" si="701"/>
        <v>0</v>
      </c>
      <c r="IU270" s="245">
        <f t="shared" si="702"/>
        <v>0</v>
      </c>
      <c r="IV270" s="245">
        <f t="shared" si="703"/>
        <v>0</v>
      </c>
      <c r="IW270" s="245">
        <f t="shared" si="704"/>
        <v>0</v>
      </c>
      <c r="IX270" s="245">
        <f t="shared" si="807"/>
        <v>0</v>
      </c>
      <c r="IY270" s="245">
        <f t="shared" si="705"/>
        <v>0</v>
      </c>
      <c r="IZ270" s="245">
        <f t="shared" si="706"/>
        <v>0</v>
      </c>
      <c r="JA270">
        <f t="shared" si="707"/>
        <v>0</v>
      </c>
      <c r="JB270">
        <f t="shared" si="808"/>
        <v>0</v>
      </c>
      <c r="JC270">
        <f t="shared" si="708"/>
        <v>0</v>
      </c>
      <c r="JD270">
        <f t="shared" si="709"/>
        <v>0</v>
      </c>
      <c r="JE270">
        <f t="shared" si="710"/>
        <v>0</v>
      </c>
      <c r="JF270">
        <f t="shared" si="711"/>
        <v>0</v>
      </c>
      <c r="JG270">
        <f t="shared" si="712"/>
        <v>0</v>
      </c>
      <c r="JH270">
        <f t="shared" si="713"/>
        <v>0</v>
      </c>
      <c r="JI270">
        <f t="shared" si="714"/>
        <v>0</v>
      </c>
      <c r="JJ270" s="447">
        <f t="shared" si="715"/>
        <v>0</v>
      </c>
      <c r="JK270" s="447">
        <f t="shared" si="716"/>
        <v>0</v>
      </c>
      <c r="JL270">
        <f t="shared" si="717"/>
        <v>0</v>
      </c>
      <c r="JM270" s="245" t="str">
        <f>IFERROR(VLOOKUP(MATCH(BN270,#REF!,0),#REF!,7),"")</f>
        <v/>
      </c>
      <c r="JN270" t="e">
        <f>HLOOKUP(LEFT(BO270,7),Discharge_Area,MATCH(JO270,LookUps!$B$130:$B$149,1)+2)</f>
        <v>#N/A</v>
      </c>
      <c r="JO270" t="str">
        <f t="shared" si="718"/>
        <v>- S</v>
      </c>
      <c r="JP270" t="e">
        <f>HLOOKUP(LEFT(BO270,7),Discharge_Area,MATCH(JO270,LookUps!$B$130:$B$149,1)+2)</f>
        <v>#N/A</v>
      </c>
      <c r="JQ270" t="e">
        <f t="shared" si="719"/>
        <v>#N/A</v>
      </c>
      <c r="JR270" t="e">
        <f t="shared" si="720"/>
        <v>#N/A</v>
      </c>
      <c r="JS270" t="e">
        <f t="shared" si="721"/>
        <v>#N/A</v>
      </c>
      <c r="JT270" s="532" t="str">
        <f t="shared" si="722"/>
        <v xml:space="preserve"> </v>
      </c>
      <c r="JU270" s="532" t="str">
        <f t="shared" si="723"/>
        <v xml:space="preserve"> </v>
      </c>
      <c r="JV270" s="533" t="str">
        <f t="shared" si="724"/>
        <v xml:space="preserve"> </v>
      </c>
      <c r="JW270" s="534">
        <f t="shared" si="725"/>
        <v>0</v>
      </c>
      <c r="JX270" s="535" t="str">
        <f t="shared" si="809"/>
        <v xml:space="preserve"> </v>
      </c>
      <c r="JY270" s="535" t="str">
        <f t="shared" si="810"/>
        <v xml:space="preserve"> </v>
      </c>
      <c r="JZ270" s="535" t="str">
        <f t="shared" si="811"/>
        <v xml:space="preserve"> </v>
      </c>
      <c r="KA270" s="536" t="str">
        <f t="shared" si="726"/>
        <v xml:space="preserve"> </v>
      </c>
      <c r="KB270" s="535" t="e">
        <f t="shared" si="812"/>
        <v>#VALUE!</v>
      </c>
      <c r="KC270" s="535" t="str">
        <f t="shared" si="727"/>
        <v/>
      </c>
      <c r="KD270" s="537" t="str">
        <f t="shared" si="813"/>
        <v xml:space="preserve"> </v>
      </c>
      <c r="KE270" s="537" t="str">
        <f t="shared" si="814"/>
        <v xml:space="preserve"> </v>
      </c>
      <c r="KF270" s="534">
        <f t="shared" si="728"/>
        <v>0</v>
      </c>
      <c r="KG270" s="535" t="str">
        <f t="shared" si="729"/>
        <v xml:space="preserve"> </v>
      </c>
      <c r="KH270" s="535" t="str">
        <f t="shared" si="730"/>
        <v xml:space="preserve"> </v>
      </c>
      <c r="KI270" s="535" t="str">
        <f t="shared" si="731"/>
        <v xml:space="preserve"> </v>
      </c>
      <c r="KJ270" s="536" t="str">
        <f t="shared" si="732"/>
        <v xml:space="preserve"> </v>
      </c>
      <c r="KK270" s="535" t="str">
        <f t="shared" si="815"/>
        <v xml:space="preserve"> </v>
      </c>
      <c r="KL270" s="535" t="str">
        <f t="shared" si="816"/>
        <v xml:space="preserve"> </v>
      </c>
      <c r="KM270" s="537" t="str">
        <f t="shared" si="733"/>
        <v xml:space="preserve"> </v>
      </c>
      <c r="KN270" s="537" t="str">
        <f t="shared" si="817"/>
        <v xml:space="preserve"> </v>
      </c>
      <c r="KP270">
        <f t="shared" si="734"/>
        <v>0</v>
      </c>
      <c r="LA270" t="e">
        <f t="shared" si="735"/>
        <v>#VALUE!</v>
      </c>
      <c r="LB270" t="e">
        <f t="shared" si="736"/>
        <v>#VALUE!</v>
      </c>
      <c r="LC270" t="e">
        <f t="shared" si="737"/>
        <v>#VALUE!</v>
      </c>
      <c r="LD270" t="e">
        <f t="shared" si="738"/>
        <v>#VALUE!</v>
      </c>
      <c r="LE270" t="e">
        <f t="shared" si="818"/>
        <v>#VALUE!</v>
      </c>
      <c r="LF270">
        <f t="shared" si="739"/>
        <v>0</v>
      </c>
      <c r="LG270" t="e">
        <f t="shared" si="819"/>
        <v>#VALUE!</v>
      </c>
      <c r="LH270" t="str">
        <f t="shared" si="740"/>
        <v xml:space="preserve"> </v>
      </c>
      <c r="LI270">
        <f t="shared" si="820"/>
        <v>1</v>
      </c>
    </row>
    <row r="271" spans="2:321" ht="15" customHeight="1">
      <c r="B271" s="311"/>
      <c r="C271" s="311"/>
      <c r="D271" s="312"/>
      <c r="E271" s="311"/>
      <c r="F271" s="312"/>
      <c r="G271" s="311"/>
      <c r="H271" s="311"/>
      <c r="I271" s="232"/>
      <c r="J271" s="311"/>
      <c r="K271" s="305" t="str">
        <f t="shared" si="741"/>
        <v/>
      </c>
      <c r="L271" s="313"/>
      <c r="M271" s="312"/>
      <c r="N271" s="311"/>
      <c r="O271" s="312"/>
      <c r="P271" s="311"/>
      <c r="Q271" s="305" t="str">
        <f t="shared" si="742"/>
        <v/>
      </c>
      <c r="R271" s="314"/>
      <c r="S271" s="450" t="str">
        <f t="shared" si="625"/>
        <v/>
      </c>
      <c r="T271" s="315"/>
      <c r="U271" s="315"/>
      <c r="W271" s="149" t="str">
        <f t="shared" si="626"/>
        <v xml:space="preserve"> </v>
      </c>
      <c r="X271" s="243" t="str">
        <f t="shared" si="627"/>
        <v xml:space="preserve"> </v>
      </c>
      <c r="Y271" s="150" t="str">
        <f t="shared" si="628"/>
        <v/>
      </c>
      <c r="Z271" s="149" t="str">
        <f t="shared" si="629"/>
        <v xml:space="preserve"> </v>
      </c>
      <c r="AA271" s="98" t="str">
        <f t="shared" si="630"/>
        <v xml:space="preserve"> </v>
      </c>
      <c r="AB271" s="153" t="str">
        <f t="shared" si="631"/>
        <v xml:space="preserve"> </v>
      </c>
      <c r="AC271" s="153" t="str">
        <f t="shared" si="632"/>
        <v xml:space="preserve"> </v>
      </c>
      <c r="AD271" s="148" t="str">
        <f t="shared" si="633"/>
        <v/>
      </c>
      <c r="AE271" s="149" t="str">
        <f t="shared" si="634"/>
        <v/>
      </c>
      <c r="AF271" s="151" t="str">
        <f t="shared" si="635"/>
        <v xml:space="preserve"> </v>
      </c>
      <c r="AG271" s="153" t="str">
        <f t="shared" si="636"/>
        <v xml:space="preserve"> </v>
      </c>
      <c r="AH271" s="98" t="str">
        <f t="shared" si="637"/>
        <v xml:space="preserve"> </v>
      </c>
      <c r="AI271" s="149" t="str">
        <f t="shared" si="638"/>
        <v xml:space="preserve"> </v>
      </c>
      <c r="AK271" s="144" t="str">
        <f t="shared" si="639"/>
        <v xml:space="preserve"> </v>
      </c>
      <c r="AL271" s="144"/>
      <c r="AM271" s="243" t="str">
        <f t="shared" si="640"/>
        <v xml:space="preserve"> </v>
      </c>
      <c r="AN271" s="149" t="str">
        <f t="shared" si="743"/>
        <v xml:space="preserve"> </v>
      </c>
      <c r="AO271" s="144" t="str">
        <f>IF(JB271&gt;0,IF(GI271=10,-R271*1.085*(Calculation!$F$6-Calculation!$F$13)*$S$14," "),"")</f>
        <v/>
      </c>
      <c r="AP271" s="144" t="str">
        <f t="shared" si="641"/>
        <v/>
      </c>
      <c r="AQ271" s="56" t="str">
        <f t="shared" si="642"/>
        <v/>
      </c>
      <c r="AR271" s="144" t="str">
        <f t="shared" si="643"/>
        <v/>
      </c>
      <c r="AS271" s="176" t="str">
        <f t="shared" si="644"/>
        <v/>
      </c>
      <c r="AT271" s="176" t="str">
        <f t="shared" si="744"/>
        <v xml:space="preserve"> </v>
      </c>
      <c r="AU271" s="176" t="str">
        <f t="shared" si="645"/>
        <v/>
      </c>
      <c r="AV271" s="177" t="str">
        <f t="shared" si="646"/>
        <v xml:space="preserve"> </v>
      </c>
      <c r="AW271" s="144" t="str">
        <f t="shared" si="647"/>
        <v xml:space="preserve"> </v>
      </c>
      <c r="AX271" s="144" t="str">
        <f t="shared" si="648"/>
        <v xml:space="preserve"> </v>
      </c>
      <c r="AY271" s="152" t="str">
        <f t="shared" si="649"/>
        <v xml:space="preserve"> </v>
      </c>
      <c r="AZ271" s="246" t="str">
        <f t="shared" si="650"/>
        <v/>
      </c>
      <c r="BA271" s="176" t="str">
        <f t="shared" si="651"/>
        <v xml:space="preserve"> </v>
      </c>
      <c r="BB271" s="176" t="str">
        <f t="shared" si="652"/>
        <v xml:space="preserve"> </v>
      </c>
      <c r="BC271" s="195"/>
      <c r="BD271" s="316"/>
      <c r="BE271" s="317"/>
      <c r="BF271" s="318"/>
      <c r="BG271" s="318"/>
      <c r="BH271" s="144" t="str">
        <f t="shared" si="821"/>
        <v xml:space="preserve"> </v>
      </c>
      <c r="BI271" s="176" t="str">
        <f t="shared" si="653"/>
        <v/>
      </c>
      <c r="BJ271" s="144" t="str">
        <f t="shared" si="822"/>
        <v/>
      </c>
      <c r="BK271" s="246" t="str">
        <f t="shared" si="654"/>
        <v/>
      </c>
      <c r="BL271" s="144" t="str">
        <f t="shared" si="823"/>
        <v/>
      </c>
      <c r="BM271" s="246" t="str">
        <f t="shared" si="655"/>
        <v/>
      </c>
      <c r="BN271" s="337" t="str">
        <f t="shared" si="745"/>
        <v/>
      </c>
      <c r="BO271" s="371" t="str">
        <f t="shared" si="746"/>
        <v/>
      </c>
      <c r="BP271" s="328" t="str">
        <f t="shared" si="824"/>
        <v xml:space="preserve"> </v>
      </c>
      <c r="BQ271" s="347" t="str">
        <f t="shared" si="747"/>
        <v xml:space="preserve"> </v>
      </c>
      <c r="BR271" s="353" t="str">
        <f t="shared" si="748"/>
        <v xml:space="preserve"> </v>
      </c>
      <c r="BS271" s="626" t="str">
        <f>IF(L271&gt;0,IF(Calculation!P271="M13",BR271*3.1416*(0.134^2)/(4*144),IF(Calculation!P271="M17",BR271*3.1416*(0.165^2)/(4*144),IF(Calculation!P271="M20",BR271*3.1416*(0.198^2)/(4*144),IF(Calculation!P271="M23",BR271*3.1416*(0.228^2)/(4*144),IF(Calculation!P271="M27",BR271*3.1416*(0.269^2)/(4*144),BR271*3.1416*(0.307^2)/(4*144))))))," ")</f>
        <v xml:space="preserve"> </v>
      </c>
      <c r="BT271" s="353" t="str">
        <f>IF(L271&gt;0,IF(BS271&gt;0,R271/Calculation!BS271,0)," ")</f>
        <v xml:space="preserve"> </v>
      </c>
      <c r="BU271" s="438" t="e">
        <f t="shared" ca="1" si="656"/>
        <v>#VALUE!</v>
      </c>
      <c r="BV271" s="449" t="e">
        <f ca="1">INDEX(INDIRECT(VLOOKUP(LEFT(BO271,7),CLU!$Z$3:$AH$18,2)),GN271,GR271)</f>
        <v>#N/A</v>
      </c>
      <c r="BW271" s="433" t="e">
        <f ca="1">INDEX(INDIRECT(VLOOKUP(LEFT(BO271,7),CLU!$Z$3:$AH$18,3)),GN271,GR271)</f>
        <v>#N/A</v>
      </c>
      <c r="BX271" s="433" t="e">
        <f ca="1">INDEX(INDIRECT(VLOOKUP(LEFT(BO271,7),CLU!$Z$3:$AH$18,4)),GN271,GR271)</f>
        <v>#N/A</v>
      </c>
      <c r="BY271" s="433" t="e">
        <f ca="1">INDEX(INDIRECT(VLOOKUP(LEFT(BO271,7),CLU!$Z$3:$AH$18,9)),((M271-2)*(6-COUNTBLANK(GT271:GY271)))+GJ271)</f>
        <v>#N/A</v>
      </c>
      <c r="BZ271" s="426" t="e">
        <f t="shared" ca="1" si="749"/>
        <v>#N/A</v>
      </c>
      <c r="CA271" s="424" t="e">
        <f t="shared" ca="1" si="750"/>
        <v>#N/A</v>
      </c>
      <c r="CB271" s="429" t="e">
        <f ca="1">INDEX(INDIRECT(VLOOKUP(LEFT(BO271,7),CLU!$Z$3:$AH$18,2)),GN271,GS271)</f>
        <v>#N/A</v>
      </c>
      <c r="CC271" s="342" t="e">
        <f ca="1">INDEX(INDIRECT(VLOOKUP(LEFT(BO271,7),CLU!$Z$3:$AH$18,3)),GN271,GS271)</f>
        <v>#N/A</v>
      </c>
      <c r="CD271" s="342" t="e">
        <f ca="1">INDEX(INDIRECT(VLOOKUP(LEFT(BO271,7),CLU!$Z$3:$AH$18,4)),GN271,GS271)</f>
        <v>#N/A</v>
      </c>
      <c r="CE271" s="426" t="e">
        <f t="shared" ca="1" si="751"/>
        <v>#N/A</v>
      </c>
      <c r="CF271" s="440">
        <f t="shared" si="752"/>
        <v>0</v>
      </c>
      <c r="CG271" s="431" t="e">
        <f ca="1">INDEX(INDIRECT(VLOOKUP(LEFT(BO271,7),CLU!$Z$3:$AH$18,2)),GQ271,GR271)</f>
        <v>#N/A</v>
      </c>
      <c r="CH271" s="431" t="e">
        <f ca="1">INDEX(INDIRECT(VLOOKUP(LEFT(BO271,7),CLU!$Z$3:$AH$18,3)),GQ271,GR271)</f>
        <v>#N/A</v>
      </c>
      <c r="CI271" s="431" t="e">
        <f ca="1">INDEX(INDIRECT(VLOOKUP(LEFT(BO271,7),CLU!$Z$3:$AH$18,4)),GQ271,GR271)</f>
        <v>#N/A</v>
      </c>
      <c r="CJ271" s="448" t="e">
        <f t="shared" ca="1" si="753"/>
        <v>#N/A</v>
      </c>
      <c r="CK271" s="431" t="e">
        <f t="shared" ca="1" si="754"/>
        <v>#N/A</v>
      </c>
      <c r="CL271" s="440" t="e">
        <f t="shared" ca="1" si="755"/>
        <v>#N/A</v>
      </c>
      <c r="CM271" s="431" t="e">
        <f ca="1">INDEX(INDIRECT(VLOOKUP(LEFT(BO271,7),CLU!$Z$3:$AH$18,2)),GQ271,GS271)</f>
        <v>#N/A</v>
      </c>
      <c r="CN271" s="431" t="e">
        <f ca="1">INDEX(INDIRECT(VLOOKUP(LEFT(BO271,7),CLU!$Z$3:$AH$18,3)),GQ271,GS271)</f>
        <v>#N/A</v>
      </c>
      <c r="CO271" s="431" t="e">
        <f ca="1">INDEX(INDIRECT(VLOOKUP(LEFT(BO271,7),CLU!$Z$3:$AH$18,4)),GQ271,GS271)</f>
        <v>#N/A</v>
      </c>
      <c r="CP271" s="431" t="e">
        <f t="shared" ca="1" si="756"/>
        <v>#N/A</v>
      </c>
      <c r="CQ271" s="440">
        <f t="shared" si="757"/>
        <v>0</v>
      </c>
      <c r="CR271" s="51" t="e">
        <f t="shared" ca="1" si="758"/>
        <v>#N/A</v>
      </c>
      <c r="CS271" s="439" t="e">
        <f t="shared" ca="1" si="759"/>
        <v>#VALUE!</v>
      </c>
      <c r="CT271" s="51" t="e">
        <f t="shared" ca="1" si="760"/>
        <v>#VALUE!</v>
      </c>
      <c r="CU271" s="10"/>
      <c r="CV271" s="51" t="e">
        <f t="shared" ca="1" si="657"/>
        <v>#VALUE!</v>
      </c>
      <c r="CW271" s="51">
        <f t="shared" si="761"/>
        <v>0</v>
      </c>
      <c r="CX271" s="439" t="e">
        <f t="shared" ca="1" si="762"/>
        <v>#VALUE!</v>
      </c>
      <c r="CY271" s="51" t="e">
        <f t="shared" ca="1" si="763"/>
        <v>#VALUE!</v>
      </c>
      <c r="CZ271" s="10"/>
      <c r="DA271" s="51" t="e">
        <f t="shared" ca="1" si="764"/>
        <v>#VALUE!</v>
      </c>
      <c r="DB271" s="347" t="e">
        <f ca="1">INDEX(INDIRECT(VLOOKUP(LEFT(BO271,7),CLU!$Z$3:$AI$18,10)),((M271-2)*(6-COUNTBLANK(GT271:GY271)))+GJ271)*LI271</f>
        <v>#N/A</v>
      </c>
      <c r="DC271" s="347" t="str">
        <f>IF(L271&gt;0,((R271/Worksheet!$I$15)/DB271)^2," ")</f>
        <v xml:space="preserve"> </v>
      </c>
      <c r="DD271" s="602" t="str">
        <f t="shared" si="765"/>
        <v xml:space="preserve"> </v>
      </c>
      <c r="DE271" s="347" t="str">
        <f t="shared" si="658"/>
        <v xml:space="preserve"> </v>
      </c>
      <c r="DF271" s="356" t="e">
        <f ca="1">INDEX(INDIRECT(VLOOKUP(LEFT(BO271,7),CLU!$Z$3:$AH$18,8)),((M271-2)*(6-COUNTBLANK(GT271:GY271)))+GJ271)</f>
        <v>#N/A</v>
      </c>
      <c r="DG271" s="347" t="str">
        <f t="shared" si="659"/>
        <v xml:space="preserve"> </v>
      </c>
      <c r="DH271" s="357" t="str">
        <f t="shared" si="660"/>
        <v xml:space="preserve"> </v>
      </c>
      <c r="DI271" s="355" t="str">
        <f t="shared" si="661"/>
        <v xml:space="preserve"> </v>
      </c>
      <c r="DJ271" s="245" t="e">
        <f ca="1">INDEX(INDIRECT(VLOOKUP(LEFT(BO271,7),CLU!$Z$3:$AH$18,5)),GL271,GK271)</f>
        <v>#N/A</v>
      </c>
      <c r="DK271" s="245" t="e">
        <f ca="1">INDEX(INDIRECT(VLOOKUP(LEFT(BO271,7),CLU!$Z$3:$AH$18,6)),GL271,GK271)</f>
        <v>#N/A</v>
      </c>
      <c r="DL271" s="355">
        <f>(Calculation!R271*0.69143*(Calculation!$BQ$8-Calculation!$F$8))*$S$14</f>
        <v>0</v>
      </c>
      <c r="DM271" s="359" t="e">
        <f t="shared" si="766"/>
        <v>#VALUE!</v>
      </c>
      <c r="DN271" s="611">
        <f t="shared" si="767"/>
        <v>0</v>
      </c>
      <c r="DO271" s="359">
        <f t="shared" si="768"/>
        <v>100</v>
      </c>
      <c r="DP271" s="359">
        <f t="shared" si="769"/>
        <v>0</v>
      </c>
      <c r="DQ271" s="360"/>
      <c r="DR271" s="245" t="e">
        <f ca="1">INDEX(INDIRECT(VLOOKUP(LEFT(BO271,7),CLU!$Z$3:$AH$18,7)),M271-1,1)</f>
        <v>#N/A</v>
      </c>
      <c r="DS271" s="245" t="e">
        <f ca="1">INDEX(INDIRECT(VLOOKUP(LEFT(BO271,7),CLU!$Z$3:$AH$18,7)),M271-1,2)</f>
        <v>#N/A</v>
      </c>
      <c r="DT271" s="245" t="e">
        <f ca="1">INDEX(INDIRECT(VLOOKUP(LEFT(BO271,7),CLU!$Z$3:$AH$18,7)),M271-1,3)</f>
        <v>#N/A</v>
      </c>
      <c r="DU271" s="245" t="e">
        <f ca="1">INDEX(INDIRECT(VLOOKUP(LEFT(BO271,7),CLU!$Z$3:$AH$18,7)),M271-1,4)</f>
        <v>#N/A</v>
      </c>
      <c r="DV271" s="361" t="e">
        <f ca="1">INDEX(INDIRECT(VLOOKUP(LEFT(BO271,7),CLU!$Z$3:$AH$18,7)),M271-1,4+LEFT(DZ271,1)*0.5)</f>
        <v>#N/A</v>
      </c>
      <c r="DW271" s="245" t="e">
        <f ca="1">INDEX(INDIRECT(VLOOKUP(LEFT(BO271,7),CLU!$Z$3:$AH$18,7)),M271-1,8)</f>
        <v>#N/A</v>
      </c>
      <c r="DX271" s="361" t="str">
        <f t="shared" si="662"/>
        <v xml:space="preserve"> </v>
      </c>
      <c r="DY271" s="361" t="str">
        <f t="shared" si="663"/>
        <v xml:space="preserve"> </v>
      </c>
      <c r="DZ271" s="361" t="str">
        <f t="shared" si="664"/>
        <v xml:space="preserve"> </v>
      </c>
      <c r="EA271" s="362" t="str">
        <f t="shared" si="665"/>
        <v xml:space="preserve"> </v>
      </c>
      <c r="EB271" s="624" t="str">
        <f t="shared" si="770"/>
        <v xml:space="preserve"> </v>
      </c>
      <c r="EC271" s="361" t="e">
        <f ca="1">INDEX(INDIRECT(VLOOKUP(LEFT(BO271,7),CLU!$Z$3:$AH$18,7)),M271-1,4+LEFT(DZ271,1)*0.5)</f>
        <v>#N/A</v>
      </c>
      <c r="ED271" s="362" t="str">
        <f t="shared" si="666"/>
        <v xml:space="preserve"> </v>
      </c>
      <c r="EE271" s="361" t="str">
        <f t="shared" si="667"/>
        <v xml:space="preserve"> </v>
      </c>
      <c r="EF271" s="362" t="str">
        <f>IF(L271&gt;0,IF(BR271&gt;0,IF(EE271="2P",IF(Calculation!DZ271="2P",IF(Calculation!DS271=13.75,IF(Calculation!DR271=13,Worksheet!$BD$43,IF(Calculation!DR271=37,Worksheet!$BD$44,Worksheet!$BD$45)),IF(Calculation!DS271=10,IF(Calculation!DR271=18,Worksheet!$BD$29,IF(Calculation!DR271=30,Worksheet!$BD$30,IF(Calculation!DR271=42,Worksheet!$BD$31,IF(Calculation!DR271=54,Worksheet!$BD$32,IF(Calculation!DR271=66,Worksheet!$BD$33,IF(Calculation!DR271=78,Worksheet!$BD$34,IF(Calculation!DR271=90,Worksheet!$BD$35,IF(Calculation!DR271=102,Worksheet!$BD$36,Worksheet!$BD$37)))))))),IF(Calculation!DS271=12.5,IF(Calculation!DR271=18,Worksheet!$BD$38,IF(Calculation!DR271=Worksheet!$BD$39,IF(Calculation!DR271=42,Worksheet!$BD$40,IF(Calculation!DR271=54,Worksheet!$BD$41,Worksheet!$BD$42)))),IF(Calculation!DR271=18,Worksheet!$BD$11,IF(Calculation!DR271=30,Worksheet!$BD$12,IF(Calculation!DR271=42,Worksheet!$BD$13,IF(Calculation!DR271=54,Worksheet!$BD$14,IF(Calculation!DR271=66,Worksheet!$BD$15,IF(Calculation!DR271=78,Worksheet!$BD$16,IF(Calculation!DR271=90,Worksheet!$BD$17,IF(Calculation!DR271=102,Worksheet!$BD$18,Worksheet!$BD$19))))))))))),IF(Calculation!DS271=13.75,IF(Calculation!DR271=13,Worksheet!$BD$78,IF(Calculation!DR271=37,Worksheet!$BD$79,Worksheet!$BD$80)),IF(Calculation!DS271=10,IF(Calculation!DR271=18,Worksheet!$BD$64,IF(Calculation!DR271=30,Worksheet!$BD$65,IF(Calculation!DR271=42,Worksheet!$BD$66,IF(Calculation!DR271=54,Worksheet!$BD$68,IF(Calculation!DR271=66,Worksheet!$BD$68,IF(Calculation!DR271=78,Worksheet!$BD$69,IF(Calculation!DR271=90,Worksheet!$BD$70,IF(Calculation!DR271=102,Worksheet!$BD$71,Worksheet!$BD$72)))))))),IF(Calculation!DS271=12.5,IF(Calculation!DR271=18,Worksheet!$BD$73,IF(Calculation!DR271=Worksheet!$BD$74,IF(Calculation!DR271=42,Worksheet!$BD$75,IF(Calculation!DR271=54,Worksheet!$BD$76,Worksheet!$BD$77)))),IF(Calculation!DR271=18,Worksheet!$BD$55,IF(Calculation!DR271=30,Worksheet!$BD$56,IF(Calculation!DR271=42,Worksheet!$BD$57,IF(Calculation!DR271=54,Worksheet!$BD$58,IF(Calculation!DR271=66,Worksheet!$BD$59,IF(Calculation!DR271=78,Worksheet!$BD$60,IF(Calculation!DR271=90,Worksheet!$BD$61,IF(Calculation!DR271=102,Worksheet!$BD$62,Worksheet!$BD$63)))))))))))),5),0)," ")</f>
        <v xml:space="preserve"> </v>
      </c>
      <c r="EG271" s="361" t="str">
        <f t="shared" si="668"/>
        <v xml:space="preserve"> </v>
      </c>
      <c r="EH271" s="361" t="e">
        <f ca="1">INDEX(INDIRECT(VLOOKUP(LEFT(BO271,7),CLU!$Z$3:$AH$18,7)),M271-1,3+LEFT(DZ271,1))</f>
        <v>#N/A</v>
      </c>
      <c r="EI271" s="362" t="str">
        <f t="shared" si="669"/>
        <v xml:space="preserve"> </v>
      </c>
      <c r="EJ271" s="363" t="str">
        <f t="shared" si="670"/>
        <v xml:space="preserve"> </v>
      </c>
      <c r="EK271" s="363" t="str">
        <f t="shared" si="671"/>
        <v xml:space="preserve"> </v>
      </c>
      <c r="EL271" s="363" t="str">
        <f t="shared" si="672"/>
        <v xml:space="preserve"> </v>
      </c>
      <c r="EM271" s="362" t="str">
        <f>IF(L271&gt;0,IF(BR271&gt;0,(Calculation!T271/ED271)^2,0)," ")</f>
        <v xml:space="preserve"> </v>
      </c>
      <c r="EN271" s="362" t="str">
        <f>IF(L271&gt;0,IF(O271="2 Pipe (Cooling)","N/A",IF(BR271&gt;0,(Calculation!U271/EI271)^2,0))," ")</f>
        <v xml:space="preserve"> </v>
      </c>
      <c r="EO271" s="361" t="str">
        <f t="shared" si="673"/>
        <v/>
      </c>
      <c r="EP271" s="361" t="str">
        <f t="shared" si="674"/>
        <v/>
      </c>
      <c r="EQ271" s="361" t="str">
        <f t="shared" si="675"/>
        <v/>
      </c>
      <c r="ER271" s="361" t="str">
        <f t="shared" si="676"/>
        <v/>
      </c>
      <c r="ES271" s="361" t="str">
        <f t="shared" si="677"/>
        <v/>
      </c>
      <c r="ET271" s="361" t="str">
        <f t="shared" si="678"/>
        <v/>
      </c>
      <c r="EU271" s="361" t="str">
        <f t="shared" si="679"/>
        <v/>
      </c>
      <c r="EV271" s="361" t="str">
        <f t="shared" si="680"/>
        <v/>
      </c>
      <c r="EW271" s="361" t="str">
        <f t="shared" si="681"/>
        <v/>
      </c>
      <c r="EX271" s="361" t="str">
        <f t="shared" si="771"/>
        <v>1 slot, 1 way</v>
      </c>
      <c r="EY271" s="361" t="str">
        <f t="shared" si="772"/>
        <v xml:space="preserve"> </v>
      </c>
      <c r="EZ271" s="361" t="str">
        <f t="shared" si="773"/>
        <v xml:space="preserve"> </v>
      </c>
      <c r="FA271" s="361" t="str">
        <f t="shared" si="774"/>
        <v xml:space="preserve"> </v>
      </c>
      <c r="FB271" s="361" t="str">
        <f t="shared" si="775"/>
        <v xml:space="preserve"> </v>
      </c>
      <c r="FC271" s="361"/>
      <c r="FD271" s="361" t="str">
        <f>IF(J271&gt;0,IF(Calculation!R271&lt;=70,4,IF(Calculation!R271&lt;=110,5,IF(Calculation!R271&lt;=160,6,IF(Calculation!R271&lt;=300,8,"10 EO")))),"")</f>
        <v/>
      </c>
      <c r="FE271" s="361" t="str">
        <f t="shared" si="776"/>
        <v/>
      </c>
      <c r="FF271" s="361" t="str">
        <f t="shared" si="777"/>
        <v/>
      </c>
      <c r="FG271" s="361" t="e">
        <f t="shared" si="682"/>
        <v>#N/A</v>
      </c>
      <c r="FH271" s="361">
        <f t="shared" si="683"/>
        <v>0</v>
      </c>
      <c r="FI271" s="361" t="e">
        <f t="shared" si="684"/>
        <v>#DIV/0!</v>
      </c>
      <c r="FJ271" s="361"/>
      <c r="FK271" s="356" t="e">
        <f t="shared" si="685"/>
        <v>#VALUE!</v>
      </c>
      <c r="FL271" s="361"/>
      <c r="FM271" s="361"/>
      <c r="FN271" s="362" t="str">
        <f t="shared" si="778"/>
        <v xml:space="preserve"> </v>
      </c>
      <c r="FO271" s="362" t="str">
        <f t="shared" si="779"/>
        <v xml:space="preserve"> </v>
      </c>
      <c r="FP271" s="362">
        <f t="shared" si="780"/>
        <v>0</v>
      </c>
      <c r="FQ271" s="361">
        <f t="shared" si="686"/>
        <v>0</v>
      </c>
      <c r="FR271" s="362" t="str">
        <f>IF(L271&gt;0,IF(J271="CBAL2",Worksheet!$P$67,IF(J271="CBE2-24",Worksheet!$Q$67,IF(J271="CBAM",Worksheet!$R$67,IF(J271="CBLV",Worksheet!$S$67,IF(J271="CBAB",Worksheet!$U$67,IF(J271="CBAW",Worksheet!$X$67,IF(J271="CBE2-12",Worksheet!$Y$67,IF(J271="CBAL2",Worksheet!$Z$67,"N/A"))))))))," ")</f>
        <v xml:space="preserve"> </v>
      </c>
      <c r="FS271" s="362" t="str">
        <f>IF(L271&gt;0,IF(J271="CBAL2",Worksheet!$P$68,IF(J271="CBE2-24",Worksheet!$Q$68,IF(J271="CBAM",Worksheet!$R$68,IF(J271="CBLV",Worksheet!$S$68,IF(J271="CBAB",Worksheet!$U$68,IF(J271="CBAW",Worksheet!$X$68,IF(J271="CBE2-12",Worksheet!$Y$68,IF(J271="CBAL2",Worksheet!$Z$68,"N/A"))))))))," ")</f>
        <v xml:space="preserve"> </v>
      </c>
      <c r="FT271" s="362" t="str">
        <f>IF(L271&gt;0,IF(J271="CBAL2",Worksheet!$P$69,IF(J271="CBE2-24",Worksheet!$Q$69,IF(J271="CBAM",Worksheet!$R$69,IF(J271="CBLV",Worksheet!$S$69,IF(J271="CBAB",Worksheet!$U$69,IF(J271="CBAW",Worksheet!$X$69,IF(J271="CBE2-12",Worksheet!$Y$69,IF(J271="CBAL2",Worksheet!$Z$69,"N/A"))))))))," ")</f>
        <v xml:space="preserve"> </v>
      </c>
      <c r="FU271" s="361" t="str">
        <f t="shared" si="781"/>
        <v xml:space="preserve"> </v>
      </c>
      <c r="FV271" s="362" t="str">
        <f t="shared" si="782"/>
        <v xml:space="preserve"> </v>
      </c>
      <c r="FW271" s="362" t="str">
        <f t="shared" si="783"/>
        <v xml:space="preserve"> </v>
      </c>
      <c r="FX271" s="362" t="str">
        <f t="shared" si="784"/>
        <v xml:space="preserve"> </v>
      </c>
      <c r="FY271" s="355" t="str">
        <f t="shared" si="785"/>
        <v xml:space="preserve"> </v>
      </c>
      <c r="FZ271" s="361" t="str">
        <f t="shared" si="786"/>
        <v xml:space="preserve"> </v>
      </c>
      <c r="GA271" s="347" t="str">
        <f t="shared" si="787"/>
        <v xml:space="preserve"> </v>
      </c>
      <c r="GB271" s="355" t="str">
        <f t="shared" si="788"/>
        <v xml:space="preserve"> </v>
      </c>
      <c r="GC271" s="328" t="str">
        <f t="shared" si="789"/>
        <v xml:space="preserve"> </v>
      </c>
      <c r="GD271" s="361" t="str">
        <f t="shared" si="790"/>
        <v xml:space="preserve"> </v>
      </c>
      <c r="GE271" s="347" t="str">
        <f t="shared" si="791"/>
        <v xml:space="preserve"> </v>
      </c>
      <c r="GF271" s="361" t="str">
        <f t="shared" si="792"/>
        <v xml:space="preserve"> </v>
      </c>
      <c r="GG271" s="347" t="str">
        <f t="shared" si="793"/>
        <v xml:space="preserve"> </v>
      </c>
      <c r="GH271" s="364">
        <f t="shared" si="687"/>
        <v>0</v>
      </c>
      <c r="GI271" s="362">
        <f t="shared" si="794"/>
        <v>2</v>
      </c>
      <c r="GJ271" s="433" t="e">
        <f>IF(6-COUNTBLANK(GT271:GY271)=4,MATCH(MID(BO271,9,3),CLU!$H$16:$K$16),MATCH(MID(BO271,9,3),CLU!$H$13:$M$13))</f>
        <v>#N/A</v>
      </c>
      <c r="GK271" s="433" t="e">
        <f>HLOOKUP(VALUE(BP271),CLU!$H$9:$M$10,2)</f>
        <v>#VALUE!</v>
      </c>
      <c r="GL271" s="433" t="e">
        <f ca="1">MATCH(BU271,CLU!$H$2:$V$2,1)</f>
        <v>#VALUE!</v>
      </c>
      <c r="GM271" s="433" t="e">
        <f t="shared" ca="1" si="795"/>
        <v>#VALUE!</v>
      </c>
      <c r="GN271" s="433" t="e">
        <f t="shared" ca="1" si="796"/>
        <v>#VALUE!</v>
      </c>
      <c r="GO271" s="433" t="e">
        <f t="shared" ca="1" si="797"/>
        <v>#VALUE!</v>
      </c>
      <c r="GP271" s="433" t="e">
        <f t="shared" ca="1" si="798"/>
        <v>#VALUE!</v>
      </c>
      <c r="GQ271" s="433" t="e">
        <f t="shared" ca="1" si="799"/>
        <v>#VALUE!</v>
      </c>
      <c r="GR271" s="433" t="e">
        <f ca="1">MATCH(T271,INDIRECT(VLOOKUP(CONCATENATE(LEFT(BO271,7),"-",MID(BO271,13,1)),CLU!$P$3:$Q$16,2)),1)</f>
        <v>#N/A</v>
      </c>
      <c r="GS271" s="433" t="e">
        <f ca="1">MATCH(U271,INDIRECT(VLOOKUP(CONCATENATE(LEFT(BO271,7),"-",MID(BO271,13,1)),CLU!$P$3:$Q$16,2)),1)</f>
        <v>#N/A</v>
      </c>
      <c r="GT271" s="347" t="s">
        <v>512</v>
      </c>
      <c r="GU271" s="97" t="s">
        <v>513</v>
      </c>
      <c r="GV271" s="97" t="str">
        <f t="shared" si="800"/>
        <v>M23</v>
      </c>
      <c r="GW271" s="97" t="str">
        <f t="shared" si="801"/>
        <v>M31</v>
      </c>
      <c r="GX271" s="97" t="str">
        <f t="shared" si="802"/>
        <v/>
      </c>
      <c r="GY271" s="97" t="str">
        <f t="shared" si="803"/>
        <v/>
      </c>
      <c r="GZ271" s="481"/>
      <c r="HA271" s="240"/>
      <c r="HB271" s="240"/>
      <c r="HC271" s="240"/>
      <c r="HD271" s="240"/>
      <c r="HE271" s="240"/>
      <c r="HF271" s="240"/>
      <c r="HG271" s="240"/>
      <c r="HH271" s="240"/>
      <c r="HI271" s="240"/>
      <c r="HJ271" s="240"/>
      <c r="HK271" s="240"/>
      <c r="HL271" s="240"/>
      <c r="HM271" s="240"/>
      <c r="HN271" s="240"/>
      <c r="HO271" s="240"/>
      <c r="HP271" s="240"/>
      <c r="HQ271" s="240"/>
      <c r="HR271" s="240"/>
      <c r="HS271" s="240"/>
      <c r="HT271" s="240"/>
      <c r="HU271" s="240"/>
      <c r="HV271" s="245"/>
      <c r="HW271" s="245" t="b">
        <v>1</v>
      </c>
      <c r="HX271" s="245" t="str">
        <f t="shared" si="688"/>
        <v/>
      </c>
      <c r="HY271" s="245" t="e">
        <f t="shared" si="689"/>
        <v>#DIV/0!</v>
      </c>
      <c r="HZ271" s="245" t="e">
        <f t="shared" si="690"/>
        <v>#DIV/0!</v>
      </c>
      <c r="IA271" s="245">
        <f t="shared" si="691"/>
        <v>0</v>
      </c>
      <c r="IB271" s="245"/>
      <c r="IC271" t="b">
        <f t="shared" si="692"/>
        <v>1</v>
      </c>
      <c r="ID271" s="245" t="b">
        <f t="shared" si="693"/>
        <v>1</v>
      </c>
      <c r="IE271" s="245" t="b">
        <f t="shared" si="694"/>
        <v>1</v>
      </c>
      <c r="IF271" s="245" t="b">
        <f t="shared" si="695"/>
        <v>0</v>
      </c>
      <c r="IG271" s="245" t="b">
        <f t="shared" si="696"/>
        <v>1</v>
      </c>
      <c r="IH271" s="245" t="b">
        <f t="shared" si="697"/>
        <v>1</v>
      </c>
      <c r="II271" s="245">
        <f t="shared" si="804"/>
        <v>0</v>
      </c>
      <c r="IJ271" s="245" t="e">
        <f t="shared" si="698"/>
        <v>#VALUE!</v>
      </c>
      <c r="IK271" s="245" t="e">
        <f t="shared" si="699"/>
        <v>#VALUE!</v>
      </c>
      <c r="IL271" s="245"/>
      <c r="IM271" s="245" t="e">
        <f t="shared" si="805"/>
        <v>#N/A</v>
      </c>
      <c r="IN271" s="245" t="e">
        <f t="shared" si="806"/>
        <v>#N/A</v>
      </c>
      <c r="IO271" s="245"/>
      <c r="IP271" s="245"/>
      <c r="IQ271" s="245" t="str">
        <f t="shared" si="700"/>
        <v/>
      </c>
      <c r="IR271" s="245" t="str">
        <f>IF(J271="","",VLOOKUP(J271,Worksheet!$R$4:$T$14,2))</f>
        <v/>
      </c>
      <c r="IS271" s="245"/>
      <c r="IT271" s="245">
        <f t="shared" si="701"/>
        <v>0</v>
      </c>
      <c r="IU271" s="245">
        <f t="shared" si="702"/>
        <v>0</v>
      </c>
      <c r="IV271" s="245">
        <f t="shared" si="703"/>
        <v>0</v>
      </c>
      <c r="IW271" s="245">
        <f t="shared" si="704"/>
        <v>0</v>
      </c>
      <c r="IX271" s="245">
        <f t="shared" si="807"/>
        <v>0</v>
      </c>
      <c r="IY271" s="245">
        <f t="shared" si="705"/>
        <v>0</v>
      </c>
      <c r="IZ271" s="245">
        <f t="shared" si="706"/>
        <v>0</v>
      </c>
      <c r="JA271">
        <f t="shared" si="707"/>
        <v>0</v>
      </c>
      <c r="JB271">
        <f t="shared" si="808"/>
        <v>0</v>
      </c>
      <c r="JC271">
        <f t="shared" si="708"/>
        <v>0</v>
      </c>
      <c r="JD271">
        <f t="shared" si="709"/>
        <v>0</v>
      </c>
      <c r="JE271">
        <f t="shared" si="710"/>
        <v>0</v>
      </c>
      <c r="JF271">
        <f t="shared" si="711"/>
        <v>0</v>
      </c>
      <c r="JG271">
        <f t="shared" si="712"/>
        <v>0</v>
      </c>
      <c r="JH271">
        <f t="shared" si="713"/>
        <v>0</v>
      </c>
      <c r="JI271">
        <f t="shared" si="714"/>
        <v>0</v>
      </c>
      <c r="JJ271" s="447">
        <f t="shared" si="715"/>
        <v>0</v>
      </c>
      <c r="JK271" s="447">
        <f t="shared" si="716"/>
        <v>0</v>
      </c>
      <c r="JL271">
        <f t="shared" si="717"/>
        <v>0</v>
      </c>
      <c r="JM271" s="245" t="str">
        <f>IFERROR(VLOOKUP(MATCH(BN271,#REF!,0),#REF!,7),"")</f>
        <v/>
      </c>
      <c r="JN271" t="e">
        <f>HLOOKUP(LEFT(BO271,7),Discharge_Area,MATCH(JO271,LookUps!$B$130:$B$149,1)+2)</f>
        <v>#N/A</v>
      </c>
      <c r="JO271" t="str">
        <f t="shared" si="718"/>
        <v>- S</v>
      </c>
      <c r="JP271" t="e">
        <f>HLOOKUP(LEFT(BO271,7),Discharge_Area,MATCH(JO271,LookUps!$B$130:$B$149,1)+2)</f>
        <v>#N/A</v>
      </c>
      <c r="JQ271" t="e">
        <f t="shared" si="719"/>
        <v>#N/A</v>
      </c>
      <c r="JR271" t="e">
        <f t="shared" si="720"/>
        <v>#N/A</v>
      </c>
      <c r="JS271" t="e">
        <f t="shared" si="721"/>
        <v>#N/A</v>
      </c>
      <c r="JT271" s="532" t="str">
        <f t="shared" si="722"/>
        <v xml:space="preserve"> </v>
      </c>
      <c r="JU271" s="532" t="str">
        <f t="shared" si="723"/>
        <v xml:space="preserve"> </v>
      </c>
      <c r="JV271" s="533" t="str">
        <f t="shared" si="724"/>
        <v xml:space="preserve"> </v>
      </c>
      <c r="JW271" s="534">
        <f t="shared" si="725"/>
        <v>0</v>
      </c>
      <c r="JX271" s="535" t="str">
        <f t="shared" si="809"/>
        <v xml:space="preserve"> </v>
      </c>
      <c r="JY271" s="535" t="str">
        <f t="shared" si="810"/>
        <v xml:space="preserve"> </v>
      </c>
      <c r="JZ271" s="535" t="str">
        <f t="shared" si="811"/>
        <v xml:space="preserve"> </v>
      </c>
      <c r="KA271" s="536" t="str">
        <f t="shared" si="726"/>
        <v xml:space="preserve"> </v>
      </c>
      <c r="KB271" s="535" t="e">
        <f t="shared" si="812"/>
        <v>#VALUE!</v>
      </c>
      <c r="KC271" s="535" t="str">
        <f t="shared" si="727"/>
        <v/>
      </c>
      <c r="KD271" s="537" t="str">
        <f t="shared" si="813"/>
        <v xml:space="preserve"> </v>
      </c>
      <c r="KE271" s="537" t="str">
        <f t="shared" si="814"/>
        <v xml:space="preserve"> </v>
      </c>
      <c r="KF271" s="534">
        <f t="shared" si="728"/>
        <v>0</v>
      </c>
      <c r="KG271" s="535" t="str">
        <f t="shared" si="729"/>
        <v xml:space="preserve"> </v>
      </c>
      <c r="KH271" s="535" t="str">
        <f t="shared" si="730"/>
        <v xml:space="preserve"> </v>
      </c>
      <c r="KI271" s="535" t="str">
        <f t="shared" si="731"/>
        <v xml:space="preserve"> </v>
      </c>
      <c r="KJ271" s="536" t="str">
        <f t="shared" si="732"/>
        <v xml:space="preserve"> </v>
      </c>
      <c r="KK271" s="535" t="str">
        <f t="shared" si="815"/>
        <v xml:space="preserve"> </v>
      </c>
      <c r="KL271" s="535" t="str">
        <f t="shared" si="816"/>
        <v xml:space="preserve"> </v>
      </c>
      <c r="KM271" s="537" t="str">
        <f t="shared" si="733"/>
        <v xml:space="preserve"> </v>
      </c>
      <c r="KN271" s="537" t="str">
        <f t="shared" si="817"/>
        <v xml:space="preserve"> </v>
      </c>
      <c r="KP271">
        <f t="shared" si="734"/>
        <v>0</v>
      </c>
      <c r="LA271" t="e">
        <f t="shared" si="735"/>
        <v>#VALUE!</v>
      </c>
      <c r="LB271" t="e">
        <f t="shared" si="736"/>
        <v>#VALUE!</v>
      </c>
      <c r="LC271" t="e">
        <f t="shared" si="737"/>
        <v>#VALUE!</v>
      </c>
      <c r="LD271" t="e">
        <f t="shared" si="738"/>
        <v>#VALUE!</v>
      </c>
      <c r="LE271" t="e">
        <f t="shared" si="818"/>
        <v>#VALUE!</v>
      </c>
      <c r="LF271">
        <f t="shared" si="739"/>
        <v>0</v>
      </c>
      <c r="LG271" t="e">
        <f t="shared" si="819"/>
        <v>#VALUE!</v>
      </c>
      <c r="LH271" t="str">
        <f t="shared" si="740"/>
        <v xml:space="preserve"> </v>
      </c>
      <c r="LI271">
        <f t="shared" si="820"/>
        <v>1</v>
      </c>
    </row>
    <row r="272" spans="2:321" ht="15" customHeight="1">
      <c r="B272" s="311"/>
      <c r="C272" s="311"/>
      <c r="D272" s="312"/>
      <c r="E272" s="311"/>
      <c r="F272" s="312"/>
      <c r="G272" s="311"/>
      <c r="H272" s="311"/>
      <c r="I272" s="232"/>
      <c r="J272" s="311"/>
      <c r="K272" s="305" t="str">
        <f t="shared" si="741"/>
        <v/>
      </c>
      <c r="L272" s="313"/>
      <c r="M272" s="312"/>
      <c r="N272" s="311"/>
      <c r="O272" s="312"/>
      <c r="P272" s="311"/>
      <c r="Q272" s="305" t="str">
        <f t="shared" si="742"/>
        <v/>
      </c>
      <c r="R272" s="314"/>
      <c r="S272" s="450" t="str">
        <f t="shared" si="625"/>
        <v/>
      </c>
      <c r="T272" s="315"/>
      <c r="U272" s="315"/>
      <c r="W272" s="149" t="str">
        <f t="shared" si="626"/>
        <v xml:space="preserve"> </v>
      </c>
      <c r="X272" s="243" t="str">
        <f t="shared" si="627"/>
        <v xml:space="preserve"> </v>
      </c>
      <c r="Y272" s="150" t="str">
        <f t="shared" si="628"/>
        <v/>
      </c>
      <c r="Z272" s="149" t="str">
        <f t="shared" si="629"/>
        <v xml:space="preserve"> </v>
      </c>
      <c r="AA272" s="98" t="str">
        <f t="shared" si="630"/>
        <v xml:space="preserve"> </v>
      </c>
      <c r="AB272" s="153" t="str">
        <f t="shared" si="631"/>
        <v xml:space="preserve"> </v>
      </c>
      <c r="AC272" s="153" t="str">
        <f t="shared" si="632"/>
        <v xml:space="preserve"> </v>
      </c>
      <c r="AD272" s="148" t="str">
        <f t="shared" si="633"/>
        <v/>
      </c>
      <c r="AE272" s="149" t="str">
        <f t="shared" si="634"/>
        <v/>
      </c>
      <c r="AF272" s="151" t="str">
        <f t="shared" si="635"/>
        <v xml:space="preserve"> </v>
      </c>
      <c r="AG272" s="153" t="str">
        <f t="shared" si="636"/>
        <v xml:space="preserve"> </v>
      </c>
      <c r="AH272" s="98" t="str">
        <f t="shared" si="637"/>
        <v xml:space="preserve"> </v>
      </c>
      <c r="AI272" s="149" t="str">
        <f t="shared" si="638"/>
        <v xml:space="preserve"> </v>
      </c>
      <c r="AK272" s="144" t="str">
        <f t="shared" si="639"/>
        <v xml:space="preserve"> </v>
      </c>
      <c r="AL272" s="144"/>
      <c r="AM272" s="243" t="str">
        <f t="shared" si="640"/>
        <v xml:space="preserve"> </v>
      </c>
      <c r="AN272" s="149" t="str">
        <f t="shared" si="743"/>
        <v xml:space="preserve"> </v>
      </c>
      <c r="AO272" s="144" t="str">
        <f>IF(JB272&gt;0,IF(GI272=10,-R272*1.085*(Calculation!$F$6-Calculation!$F$13)*$S$14," "),"")</f>
        <v/>
      </c>
      <c r="AP272" s="144" t="str">
        <f t="shared" si="641"/>
        <v/>
      </c>
      <c r="AQ272" s="56" t="str">
        <f t="shared" si="642"/>
        <v/>
      </c>
      <c r="AR272" s="144" t="str">
        <f t="shared" si="643"/>
        <v/>
      </c>
      <c r="AS272" s="176" t="str">
        <f t="shared" si="644"/>
        <v/>
      </c>
      <c r="AT272" s="176" t="str">
        <f t="shared" si="744"/>
        <v xml:space="preserve"> </v>
      </c>
      <c r="AU272" s="176" t="str">
        <f t="shared" si="645"/>
        <v/>
      </c>
      <c r="AV272" s="177" t="str">
        <f t="shared" si="646"/>
        <v xml:space="preserve"> </v>
      </c>
      <c r="AW272" s="144" t="str">
        <f t="shared" si="647"/>
        <v xml:space="preserve"> </v>
      </c>
      <c r="AX272" s="144" t="str">
        <f t="shared" si="648"/>
        <v xml:space="preserve"> </v>
      </c>
      <c r="AY272" s="152" t="str">
        <f t="shared" si="649"/>
        <v xml:space="preserve"> </v>
      </c>
      <c r="AZ272" s="246" t="str">
        <f t="shared" si="650"/>
        <v/>
      </c>
      <c r="BA272" s="176" t="str">
        <f t="shared" si="651"/>
        <v xml:space="preserve"> </v>
      </c>
      <c r="BB272" s="176" t="str">
        <f t="shared" si="652"/>
        <v xml:space="preserve"> </v>
      </c>
      <c r="BC272" s="195"/>
      <c r="BD272" s="316"/>
      <c r="BE272" s="317"/>
      <c r="BF272" s="318"/>
      <c r="BG272" s="318"/>
      <c r="BH272" s="144" t="str">
        <f t="shared" si="821"/>
        <v xml:space="preserve"> </v>
      </c>
      <c r="BI272" s="176" t="str">
        <f t="shared" si="653"/>
        <v/>
      </c>
      <c r="BJ272" s="144" t="str">
        <f t="shared" si="822"/>
        <v/>
      </c>
      <c r="BK272" s="246" t="str">
        <f t="shared" si="654"/>
        <v/>
      </c>
      <c r="BL272" s="144" t="str">
        <f t="shared" si="823"/>
        <v/>
      </c>
      <c r="BM272" s="246" t="str">
        <f t="shared" si="655"/>
        <v/>
      </c>
      <c r="BN272" s="337" t="str">
        <f t="shared" si="745"/>
        <v/>
      </c>
      <c r="BO272" s="371" t="str">
        <f t="shared" si="746"/>
        <v/>
      </c>
      <c r="BP272" s="328" t="str">
        <f t="shared" si="824"/>
        <v xml:space="preserve"> </v>
      </c>
      <c r="BQ272" s="347" t="str">
        <f t="shared" si="747"/>
        <v xml:space="preserve"> </v>
      </c>
      <c r="BR272" s="353" t="str">
        <f t="shared" si="748"/>
        <v xml:space="preserve"> </v>
      </c>
      <c r="BS272" s="626" t="str">
        <f>IF(L272&gt;0,IF(Calculation!P272="M13",BR272*3.1416*(0.134^2)/(4*144),IF(Calculation!P272="M17",BR272*3.1416*(0.165^2)/(4*144),IF(Calculation!P272="M20",BR272*3.1416*(0.198^2)/(4*144),IF(Calculation!P272="M23",BR272*3.1416*(0.228^2)/(4*144),IF(Calculation!P272="M27",BR272*3.1416*(0.269^2)/(4*144),BR272*3.1416*(0.307^2)/(4*144))))))," ")</f>
        <v xml:space="preserve"> </v>
      </c>
      <c r="BT272" s="353" t="str">
        <f>IF(L272&gt;0,IF(BS272&gt;0,R272/Calculation!BS272,0)," ")</f>
        <v xml:space="preserve"> </v>
      </c>
      <c r="BU272" s="438" t="e">
        <f t="shared" ca="1" si="656"/>
        <v>#VALUE!</v>
      </c>
      <c r="BV272" s="449" t="e">
        <f ca="1">INDEX(INDIRECT(VLOOKUP(LEFT(BO272,7),CLU!$Z$3:$AH$18,2)),GN272,GR272)</f>
        <v>#N/A</v>
      </c>
      <c r="BW272" s="433" t="e">
        <f ca="1">INDEX(INDIRECT(VLOOKUP(LEFT(BO272,7),CLU!$Z$3:$AH$18,3)),GN272,GR272)</f>
        <v>#N/A</v>
      </c>
      <c r="BX272" s="433" t="e">
        <f ca="1">INDEX(INDIRECT(VLOOKUP(LEFT(BO272,7),CLU!$Z$3:$AH$18,4)),GN272,GR272)</f>
        <v>#N/A</v>
      </c>
      <c r="BY272" s="433" t="e">
        <f ca="1">INDEX(INDIRECT(VLOOKUP(LEFT(BO272,7),CLU!$Z$3:$AH$18,9)),((M272-2)*(6-COUNTBLANK(GT272:GY272)))+GJ272)</f>
        <v>#N/A</v>
      </c>
      <c r="BZ272" s="426" t="e">
        <f t="shared" ca="1" si="749"/>
        <v>#N/A</v>
      </c>
      <c r="CA272" s="424" t="e">
        <f t="shared" ca="1" si="750"/>
        <v>#N/A</v>
      </c>
      <c r="CB272" s="429" t="e">
        <f ca="1">INDEX(INDIRECT(VLOOKUP(LEFT(BO272,7),CLU!$Z$3:$AH$18,2)),GN272,GS272)</f>
        <v>#N/A</v>
      </c>
      <c r="CC272" s="342" t="e">
        <f ca="1">INDEX(INDIRECT(VLOOKUP(LEFT(BO272,7),CLU!$Z$3:$AH$18,3)),GN272,GS272)</f>
        <v>#N/A</v>
      </c>
      <c r="CD272" s="342" t="e">
        <f ca="1">INDEX(INDIRECT(VLOOKUP(LEFT(BO272,7),CLU!$Z$3:$AH$18,4)),GN272,GS272)</f>
        <v>#N/A</v>
      </c>
      <c r="CE272" s="426" t="e">
        <f t="shared" ca="1" si="751"/>
        <v>#N/A</v>
      </c>
      <c r="CF272" s="440">
        <f t="shared" si="752"/>
        <v>0</v>
      </c>
      <c r="CG272" s="431" t="e">
        <f ca="1">INDEX(INDIRECT(VLOOKUP(LEFT(BO272,7),CLU!$Z$3:$AH$18,2)),GQ272,GR272)</f>
        <v>#N/A</v>
      </c>
      <c r="CH272" s="431" t="e">
        <f ca="1">INDEX(INDIRECT(VLOOKUP(LEFT(BO272,7),CLU!$Z$3:$AH$18,3)),GQ272,GR272)</f>
        <v>#N/A</v>
      </c>
      <c r="CI272" s="431" t="e">
        <f ca="1">INDEX(INDIRECT(VLOOKUP(LEFT(BO272,7),CLU!$Z$3:$AH$18,4)),GQ272,GR272)</f>
        <v>#N/A</v>
      </c>
      <c r="CJ272" s="448" t="e">
        <f t="shared" ca="1" si="753"/>
        <v>#N/A</v>
      </c>
      <c r="CK272" s="431" t="e">
        <f t="shared" ca="1" si="754"/>
        <v>#N/A</v>
      </c>
      <c r="CL272" s="440" t="e">
        <f t="shared" ca="1" si="755"/>
        <v>#N/A</v>
      </c>
      <c r="CM272" s="431" t="e">
        <f ca="1">INDEX(INDIRECT(VLOOKUP(LEFT(BO272,7),CLU!$Z$3:$AH$18,2)),GQ272,GS272)</f>
        <v>#N/A</v>
      </c>
      <c r="CN272" s="431" t="e">
        <f ca="1">INDEX(INDIRECT(VLOOKUP(LEFT(BO272,7),CLU!$Z$3:$AH$18,3)),GQ272,GS272)</f>
        <v>#N/A</v>
      </c>
      <c r="CO272" s="431" t="e">
        <f ca="1">INDEX(INDIRECT(VLOOKUP(LEFT(BO272,7),CLU!$Z$3:$AH$18,4)),GQ272,GS272)</f>
        <v>#N/A</v>
      </c>
      <c r="CP272" s="431" t="e">
        <f t="shared" ca="1" si="756"/>
        <v>#N/A</v>
      </c>
      <c r="CQ272" s="440">
        <f t="shared" si="757"/>
        <v>0</v>
      </c>
      <c r="CR272" s="51" t="e">
        <f t="shared" ca="1" si="758"/>
        <v>#N/A</v>
      </c>
      <c r="CS272" s="439" t="e">
        <f t="shared" ca="1" si="759"/>
        <v>#VALUE!</v>
      </c>
      <c r="CT272" s="51" t="e">
        <f t="shared" ca="1" si="760"/>
        <v>#VALUE!</v>
      </c>
      <c r="CU272" s="10"/>
      <c r="CV272" s="51" t="e">
        <f t="shared" ca="1" si="657"/>
        <v>#VALUE!</v>
      </c>
      <c r="CW272" s="51">
        <f t="shared" si="761"/>
        <v>0</v>
      </c>
      <c r="CX272" s="439" t="e">
        <f t="shared" ca="1" si="762"/>
        <v>#VALUE!</v>
      </c>
      <c r="CY272" s="51" t="e">
        <f t="shared" ca="1" si="763"/>
        <v>#VALUE!</v>
      </c>
      <c r="CZ272" s="10"/>
      <c r="DA272" s="51" t="e">
        <f t="shared" ca="1" si="764"/>
        <v>#VALUE!</v>
      </c>
      <c r="DB272" s="347" t="e">
        <f ca="1">INDEX(INDIRECT(VLOOKUP(LEFT(BO272,7),CLU!$Z$3:$AI$18,10)),((M272-2)*(6-COUNTBLANK(GT272:GY272)))+GJ272)*LI272</f>
        <v>#N/A</v>
      </c>
      <c r="DC272" s="347" t="str">
        <f>IF(L272&gt;0,((R272/Worksheet!$I$15)/DB272)^2," ")</f>
        <v xml:space="preserve"> </v>
      </c>
      <c r="DD272" s="602" t="str">
        <f t="shared" si="765"/>
        <v xml:space="preserve"> </v>
      </c>
      <c r="DE272" s="347" t="str">
        <f t="shared" si="658"/>
        <v xml:space="preserve"> </v>
      </c>
      <c r="DF272" s="356" t="e">
        <f ca="1">INDEX(INDIRECT(VLOOKUP(LEFT(BO272,7),CLU!$Z$3:$AH$18,8)),((M272-2)*(6-COUNTBLANK(GT272:GY272)))+GJ272)</f>
        <v>#N/A</v>
      </c>
      <c r="DG272" s="347" t="str">
        <f t="shared" si="659"/>
        <v xml:space="preserve"> </v>
      </c>
      <c r="DH272" s="357" t="str">
        <f t="shared" si="660"/>
        <v xml:space="preserve"> </v>
      </c>
      <c r="DI272" s="355" t="str">
        <f t="shared" si="661"/>
        <v xml:space="preserve"> </v>
      </c>
      <c r="DJ272" s="245" t="e">
        <f ca="1">INDEX(INDIRECT(VLOOKUP(LEFT(BO272,7),CLU!$Z$3:$AH$18,5)),GL272,GK272)</f>
        <v>#N/A</v>
      </c>
      <c r="DK272" s="245" t="e">
        <f ca="1">INDEX(INDIRECT(VLOOKUP(LEFT(BO272,7),CLU!$Z$3:$AH$18,6)),GL272,GK272)</f>
        <v>#N/A</v>
      </c>
      <c r="DL272" s="355">
        <f>(Calculation!R272*0.69143*(Calculation!$BQ$8-Calculation!$F$8))*$S$14</f>
        <v>0</v>
      </c>
      <c r="DM272" s="359" t="e">
        <f t="shared" si="766"/>
        <v>#VALUE!</v>
      </c>
      <c r="DN272" s="611">
        <f t="shared" si="767"/>
        <v>0</v>
      </c>
      <c r="DO272" s="359">
        <f t="shared" si="768"/>
        <v>100</v>
      </c>
      <c r="DP272" s="359">
        <f t="shared" si="769"/>
        <v>0</v>
      </c>
      <c r="DQ272" s="360"/>
      <c r="DR272" s="245" t="e">
        <f ca="1">INDEX(INDIRECT(VLOOKUP(LEFT(BO272,7),CLU!$Z$3:$AH$18,7)),M272-1,1)</f>
        <v>#N/A</v>
      </c>
      <c r="DS272" s="245" t="e">
        <f ca="1">INDEX(INDIRECT(VLOOKUP(LEFT(BO272,7),CLU!$Z$3:$AH$18,7)),M272-1,2)</f>
        <v>#N/A</v>
      </c>
      <c r="DT272" s="245" t="e">
        <f ca="1">INDEX(INDIRECT(VLOOKUP(LEFT(BO272,7),CLU!$Z$3:$AH$18,7)),M272-1,3)</f>
        <v>#N/A</v>
      </c>
      <c r="DU272" s="245" t="e">
        <f ca="1">INDEX(INDIRECT(VLOOKUP(LEFT(BO272,7),CLU!$Z$3:$AH$18,7)),M272-1,4)</f>
        <v>#N/A</v>
      </c>
      <c r="DV272" s="361" t="e">
        <f ca="1">INDEX(INDIRECT(VLOOKUP(LEFT(BO272,7),CLU!$Z$3:$AH$18,7)),M272-1,4+LEFT(DZ272,1)*0.5)</f>
        <v>#N/A</v>
      </c>
      <c r="DW272" s="245" t="e">
        <f ca="1">INDEX(INDIRECT(VLOOKUP(LEFT(BO272,7),CLU!$Z$3:$AH$18,7)),M272-1,8)</f>
        <v>#N/A</v>
      </c>
      <c r="DX272" s="361" t="str">
        <f t="shared" si="662"/>
        <v xml:space="preserve"> </v>
      </c>
      <c r="DY272" s="361" t="str">
        <f t="shared" si="663"/>
        <v xml:space="preserve"> </v>
      </c>
      <c r="DZ272" s="361" t="str">
        <f t="shared" si="664"/>
        <v xml:space="preserve"> </v>
      </c>
      <c r="EA272" s="362" t="str">
        <f t="shared" si="665"/>
        <v xml:space="preserve"> </v>
      </c>
      <c r="EB272" s="624" t="str">
        <f t="shared" si="770"/>
        <v xml:space="preserve"> </v>
      </c>
      <c r="EC272" s="361" t="e">
        <f ca="1">INDEX(INDIRECT(VLOOKUP(LEFT(BO272,7),CLU!$Z$3:$AH$18,7)),M272-1,4+LEFT(DZ272,1)*0.5)</f>
        <v>#N/A</v>
      </c>
      <c r="ED272" s="362" t="str">
        <f t="shared" si="666"/>
        <v xml:space="preserve"> </v>
      </c>
      <c r="EE272" s="361" t="str">
        <f t="shared" si="667"/>
        <v xml:space="preserve"> </v>
      </c>
      <c r="EF272" s="362" t="str">
        <f>IF(L272&gt;0,IF(BR272&gt;0,IF(EE272="2P",IF(Calculation!DZ272="2P",IF(Calculation!DS272=13.75,IF(Calculation!DR272=13,Worksheet!$BD$43,IF(Calculation!DR272=37,Worksheet!$BD$44,Worksheet!$BD$45)),IF(Calculation!DS272=10,IF(Calculation!DR272=18,Worksheet!$BD$29,IF(Calculation!DR272=30,Worksheet!$BD$30,IF(Calculation!DR272=42,Worksheet!$BD$31,IF(Calculation!DR272=54,Worksheet!$BD$32,IF(Calculation!DR272=66,Worksheet!$BD$33,IF(Calculation!DR272=78,Worksheet!$BD$34,IF(Calculation!DR272=90,Worksheet!$BD$35,IF(Calculation!DR272=102,Worksheet!$BD$36,Worksheet!$BD$37)))))))),IF(Calculation!DS272=12.5,IF(Calculation!DR272=18,Worksheet!$BD$38,IF(Calculation!DR272=Worksheet!$BD$39,IF(Calculation!DR272=42,Worksheet!$BD$40,IF(Calculation!DR272=54,Worksheet!$BD$41,Worksheet!$BD$42)))),IF(Calculation!DR272=18,Worksheet!$BD$11,IF(Calculation!DR272=30,Worksheet!$BD$12,IF(Calculation!DR272=42,Worksheet!$BD$13,IF(Calculation!DR272=54,Worksheet!$BD$14,IF(Calculation!DR272=66,Worksheet!$BD$15,IF(Calculation!DR272=78,Worksheet!$BD$16,IF(Calculation!DR272=90,Worksheet!$BD$17,IF(Calculation!DR272=102,Worksheet!$BD$18,Worksheet!$BD$19))))))))))),IF(Calculation!DS272=13.75,IF(Calculation!DR272=13,Worksheet!$BD$78,IF(Calculation!DR272=37,Worksheet!$BD$79,Worksheet!$BD$80)),IF(Calculation!DS272=10,IF(Calculation!DR272=18,Worksheet!$BD$64,IF(Calculation!DR272=30,Worksheet!$BD$65,IF(Calculation!DR272=42,Worksheet!$BD$66,IF(Calculation!DR272=54,Worksheet!$BD$68,IF(Calculation!DR272=66,Worksheet!$BD$68,IF(Calculation!DR272=78,Worksheet!$BD$69,IF(Calculation!DR272=90,Worksheet!$BD$70,IF(Calculation!DR272=102,Worksheet!$BD$71,Worksheet!$BD$72)))))))),IF(Calculation!DS272=12.5,IF(Calculation!DR272=18,Worksheet!$BD$73,IF(Calculation!DR272=Worksheet!$BD$74,IF(Calculation!DR272=42,Worksheet!$BD$75,IF(Calculation!DR272=54,Worksheet!$BD$76,Worksheet!$BD$77)))),IF(Calculation!DR272=18,Worksheet!$BD$55,IF(Calculation!DR272=30,Worksheet!$BD$56,IF(Calculation!DR272=42,Worksheet!$BD$57,IF(Calculation!DR272=54,Worksheet!$BD$58,IF(Calculation!DR272=66,Worksheet!$BD$59,IF(Calculation!DR272=78,Worksheet!$BD$60,IF(Calculation!DR272=90,Worksheet!$BD$61,IF(Calculation!DR272=102,Worksheet!$BD$62,Worksheet!$BD$63)))))))))))),5),0)," ")</f>
        <v xml:space="preserve"> </v>
      </c>
      <c r="EG272" s="361" t="str">
        <f t="shared" si="668"/>
        <v xml:space="preserve"> </v>
      </c>
      <c r="EH272" s="361" t="e">
        <f ca="1">INDEX(INDIRECT(VLOOKUP(LEFT(BO272,7),CLU!$Z$3:$AH$18,7)),M272-1,3+LEFT(DZ272,1))</f>
        <v>#N/A</v>
      </c>
      <c r="EI272" s="362" t="str">
        <f t="shared" si="669"/>
        <v xml:space="preserve"> </v>
      </c>
      <c r="EJ272" s="363" t="str">
        <f t="shared" si="670"/>
        <v xml:space="preserve"> </v>
      </c>
      <c r="EK272" s="363" t="str">
        <f t="shared" si="671"/>
        <v xml:space="preserve"> </v>
      </c>
      <c r="EL272" s="363" t="str">
        <f t="shared" si="672"/>
        <v xml:space="preserve"> </v>
      </c>
      <c r="EM272" s="362" t="str">
        <f>IF(L272&gt;0,IF(BR272&gt;0,(Calculation!T272/ED272)^2,0)," ")</f>
        <v xml:space="preserve"> </v>
      </c>
      <c r="EN272" s="362" t="str">
        <f>IF(L272&gt;0,IF(O272="2 Pipe (Cooling)","N/A",IF(BR272&gt;0,(Calculation!U272/EI272)^2,0))," ")</f>
        <v xml:space="preserve"> </v>
      </c>
      <c r="EO272" s="361" t="str">
        <f t="shared" si="673"/>
        <v/>
      </c>
      <c r="EP272" s="361" t="str">
        <f t="shared" si="674"/>
        <v/>
      </c>
      <c r="EQ272" s="361" t="str">
        <f t="shared" si="675"/>
        <v/>
      </c>
      <c r="ER272" s="361" t="str">
        <f t="shared" si="676"/>
        <v/>
      </c>
      <c r="ES272" s="361" t="str">
        <f t="shared" si="677"/>
        <v/>
      </c>
      <c r="ET272" s="361" t="str">
        <f t="shared" si="678"/>
        <v/>
      </c>
      <c r="EU272" s="361" t="str">
        <f t="shared" si="679"/>
        <v/>
      </c>
      <c r="EV272" s="361" t="str">
        <f t="shared" si="680"/>
        <v/>
      </c>
      <c r="EW272" s="361" t="str">
        <f t="shared" si="681"/>
        <v/>
      </c>
      <c r="EX272" s="361" t="str">
        <f t="shared" si="771"/>
        <v>1 slot, 1 way</v>
      </c>
      <c r="EY272" s="361" t="str">
        <f t="shared" si="772"/>
        <v xml:space="preserve"> </v>
      </c>
      <c r="EZ272" s="361" t="str">
        <f t="shared" si="773"/>
        <v xml:space="preserve"> </v>
      </c>
      <c r="FA272" s="361" t="str">
        <f t="shared" si="774"/>
        <v xml:space="preserve"> </v>
      </c>
      <c r="FB272" s="361" t="str">
        <f t="shared" si="775"/>
        <v xml:space="preserve"> </v>
      </c>
      <c r="FC272" s="361"/>
      <c r="FD272" s="361" t="str">
        <f>IF(J272&gt;0,IF(Calculation!R272&lt;=70,4,IF(Calculation!R272&lt;=110,5,IF(Calculation!R272&lt;=160,6,IF(Calculation!R272&lt;=300,8,"10 EO")))),"")</f>
        <v/>
      </c>
      <c r="FE272" s="361" t="str">
        <f t="shared" si="776"/>
        <v/>
      </c>
      <c r="FF272" s="361" t="str">
        <f t="shared" si="777"/>
        <v/>
      </c>
      <c r="FG272" s="361" t="e">
        <f t="shared" si="682"/>
        <v>#N/A</v>
      </c>
      <c r="FH272" s="361">
        <f t="shared" si="683"/>
        <v>0</v>
      </c>
      <c r="FI272" s="361" t="e">
        <f t="shared" si="684"/>
        <v>#DIV/0!</v>
      </c>
      <c r="FJ272" s="361"/>
      <c r="FK272" s="356" t="e">
        <f t="shared" si="685"/>
        <v>#VALUE!</v>
      </c>
      <c r="FL272" s="361"/>
      <c r="FM272" s="361"/>
      <c r="FN272" s="362" t="str">
        <f t="shared" si="778"/>
        <v xml:space="preserve"> </v>
      </c>
      <c r="FO272" s="362" t="str">
        <f t="shared" si="779"/>
        <v xml:space="preserve"> </v>
      </c>
      <c r="FP272" s="362">
        <f t="shared" si="780"/>
        <v>0</v>
      </c>
      <c r="FQ272" s="361">
        <f t="shared" si="686"/>
        <v>0</v>
      </c>
      <c r="FR272" s="362" t="str">
        <f>IF(L272&gt;0,IF(J272="CBAL2",Worksheet!$P$67,IF(J272="CBE2-24",Worksheet!$Q$67,IF(J272="CBAM",Worksheet!$R$67,IF(J272="CBLV",Worksheet!$S$67,IF(J272="CBAB",Worksheet!$U$67,IF(J272="CBAW",Worksheet!$X$67,IF(J272="CBE2-12",Worksheet!$Y$67,IF(J272="CBAL2",Worksheet!$Z$67,"N/A"))))))))," ")</f>
        <v xml:space="preserve"> </v>
      </c>
      <c r="FS272" s="362" t="str">
        <f>IF(L272&gt;0,IF(J272="CBAL2",Worksheet!$P$68,IF(J272="CBE2-24",Worksheet!$Q$68,IF(J272="CBAM",Worksheet!$R$68,IF(J272="CBLV",Worksheet!$S$68,IF(J272="CBAB",Worksheet!$U$68,IF(J272="CBAW",Worksheet!$X$68,IF(J272="CBE2-12",Worksheet!$Y$68,IF(J272="CBAL2",Worksheet!$Z$68,"N/A"))))))))," ")</f>
        <v xml:space="preserve"> </v>
      </c>
      <c r="FT272" s="362" t="str">
        <f>IF(L272&gt;0,IF(J272="CBAL2",Worksheet!$P$69,IF(J272="CBE2-24",Worksheet!$Q$69,IF(J272="CBAM",Worksheet!$R$69,IF(J272="CBLV",Worksheet!$S$69,IF(J272="CBAB",Worksheet!$U$69,IF(J272="CBAW",Worksheet!$X$69,IF(J272="CBE2-12",Worksheet!$Y$69,IF(J272="CBAL2",Worksheet!$Z$69,"N/A"))))))))," ")</f>
        <v xml:space="preserve"> </v>
      </c>
      <c r="FU272" s="361" t="str">
        <f t="shared" si="781"/>
        <v xml:space="preserve"> </v>
      </c>
      <c r="FV272" s="362" t="str">
        <f t="shared" si="782"/>
        <v xml:space="preserve"> </v>
      </c>
      <c r="FW272" s="362" t="str">
        <f t="shared" si="783"/>
        <v xml:space="preserve"> </v>
      </c>
      <c r="FX272" s="362" t="str">
        <f t="shared" si="784"/>
        <v xml:space="preserve"> </v>
      </c>
      <c r="FY272" s="355" t="str">
        <f t="shared" si="785"/>
        <v xml:space="preserve"> </v>
      </c>
      <c r="FZ272" s="361" t="str">
        <f t="shared" si="786"/>
        <v xml:space="preserve"> </v>
      </c>
      <c r="GA272" s="347" t="str">
        <f t="shared" si="787"/>
        <v xml:space="preserve"> </v>
      </c>
      <c r="GB272" s="355" t="str">
        <f t="shared" si="788"/>
        <v xml:space="preserve"> </v>
      </c>
      <c r="GC272" s="328" t="str">
        <f t="shared" si="789"/>
        <v xml:space="preserve"> </v>
      </c>
      <c r="GD272" s="361" t="str">
        <f t="shared" si="790"/>
        <v xml:space="preserve"> </v>
      </c>
      <c r="GE272" s="347" t="str">
        <f t="shared" si="791"/>
        <v xml:space="preserve"> </v>
      </c>
      <c r="GF272" s="361" t="str">
        <f t="shared" si="792"/>
        <v xml:space="preserve"> </v>
      </c>
      <c r="GG272" s="347" t="str">
        <f t="shared" si="793"/>
        <v xml:space="preserve"> </v>
      </c>
      <c r="GH272" s="364">
        <f t="shared" si="687"/>
        <v>0</v>
      </c>
      <c r="GI272" s="362">
        <f t="shared" si="794"/>
        <v>2</v>
      </c>
      <c r="GJ272" s="433" t="e">
        <f>IF(6-COUNTBLANK(GT272:GY272)=4,MATCH(MID(BO272,9,3),CLU!$H$16:$K$16),MATCH(MID(BO272,9,3),CLU!$H$13:$M$13))</f>
        <v>#N/A</v>
      </c>
      <c r="GK272" s="433" t="e">
        <f>HLOOKUP(VALUE(BP272),CLU!$H$9:$M$10,2)</f>
        <v>#VALUE!</v>
      </c>
      <c r="GL272" s="433" t="e">
        <f ca="1">MATCH(BU272,CLU!$H$2:$V$2,1)</f>
        <v>#VALUE!</v>
      </c>
      <c r="GM272" s="433" t="e">
        <f t="shared" ca="1" si="795"/>
        <v>#VALUE!</v>
      </c>
      <c r="GN272" s="433" t="e">
        <f t="shared" ca="1" si="796"/>
        <v>#VALUE!</v>
      </c>
      <c r="GO272" s="433" t="e">
        <f t="shared" ca="1" si="797"/>
        <v>#VALUE!</v>
      </c>
      <c r="GP272" s="433" t="e">
        <f t="shared" ca="1" si="798"/>
        <v>#VALUE!</v>
      </c>
      <c r="GQ272" s="433" t="e">
        <f t="shared" ca="1" si="799"/>
        <v>#VALUE!</v>
      </c>
      <c r="GR272" s="433" t="e">
        <f ca="1">MATCH(T272,INDIRECT(VLOOKUP(CONCATENATE(LEFT(BO272,7),"-",MID(BO272,13,1)),CLU!$P$3:$Q$16,2)),1)</f>
        <v>#N/A</v>
      </c>
      <c r="GS272" s="433" t="e">
        <f ca="1">MATCH(U272,INDIRECT(VLOOKUP(CONCATENATE(LEFT(BO272,7),"-",MID(BO272,13,1)),CLU!$P$3:$Q$16,2)),1)</f>
        <v>#N/A</v>
      </c>
      <c r="GT272" s="347" t="s">
        <v>512</v>
      </c>
      <c r="GU272" s="97" t="s">
        <v>513</v>
      </c>
      <c r="GV272" s="97" t="str">
        <f t="shared" si="800"/>
        <v>M23</v>
      </c>
      <c r="GW272" s="97" t="str">
        <f t="shared" si="801"/>
        <v>M31</v>
      </c>
      <c r="GX272" s="97" t="str">
        <f t="shared" si="802"/>
        <v/>
      </c>
      <c r="GY272" s="97" t="str">
        <f t="shared" si="803"/>
        <v/>
      </c>
      <c r="GZ272" s="481"/>
      <c r="HA272" s="240"/>
      <c r="HB272" s="240"/>
      <c r="HC272" s="240"/>
      <c r="HD272" s="240"/>
      <c r="HE272" s="240"/>
      <c r="HF272" s="240"/>
      <c r="HG272" s="240"/>
      <c r="HH272" s="240"/>
      <c r="HI272" s="240"/>
      <c r="HJ272" s="240"/>
      <c r="HK272" s="240"/>
      <c r="HL272" s="240"/>
      <c r="HM272" s="240"/>
      <c r="HN272" s="240"/>
      <c r="HO272" s="240"/>
      <c r="HP272" s="240"/>
      <c r="HQ272" s="240"/>
      <c r="HR272" s="240"/>
      <c r="HS272" s="240"/>
      <c r="HT272" s="240"/>
      <c r="HU272" s="240"/>
      <c r="HV272" s="245"/>
      <c r="HW272" s="245" t="b">
        <v>1</v>
      </c>
      <c r="HX272" s="245" t="str">
        <f t="shared" si="688"/>
        <v/>
      </c>
      <c r="HY272" s="245" t="e">
        <f t="shared" si="689"/>
        <v>#DIV/0!</v>
      </c>
      <c r="HZ272" s="245" t="e">
        <f t="shared" si="690"/>
        <v>#DIV/0!</v>
      </c>
      <c r="IA272" s="245">
        <f t="shared" si="691"/>
        <v>0</v>
      </c>
      <c r="IB272" s="245"/>
      <c r="IC272" t="b">
        <f t="shared" si="692"/>
        <v>1</v>
      </c>
      <c r="ID272" s="245" t="b">
        <f t="shared" si="693"/>
        <v>1</v>
      </c>
      <c r="IE272" s="245" t="b">
        <f t="shared" si="694"/>
        <v>1</v>
      </c>
      <c r="IF272" s="245" t="b">
        <f t="shared" si="695"/>
        <v>0</v>
      </c>
      <c r="IG272" s="245" t="b">
        <f t="shared" si="696"/>
        <v>1</v>
      </c>
      <c r="IH272" s="245" t="b">
        <f t="shared" si="697"/>
        <v>1</v>
      </c>
      <c r="II272" s="245">
        <f t="shared" si="804"/>
        <v>0</v>
      </c>
      <c r="IJ272" s="245" t="e">
        <f t="shared" si="698"/>
        <v>#VALUE!</v>
      </c>
      <c r="IK272" s="245" t="e">
        <f t="shared" si="699"/>
        <v>#VALUE!</v>
      </c>
      <c r="IL272" s="245"/>
      <c r="IM272" s="245" t="e">
        <f t="shared" si="805"/>
        <v>#N/A</v>
      </c>
      <c r="IN272" s="245" t="e">
        <f t="shared" si="806"/>
        <v>#N/A</v>
      </c>
      <c r="IO272" s="245"/>
      <c r="IP272" s="245"/>
      <c r="IQ272" s="245" t="str">
        <f t="shared" si="700"/>
        <v/>
      </c>
      <c r="IR272" s="245" t="str">
        <f>IF(J272="","",VLOOKUP(J272,Worksheet!$R$4:$T$14,2))</f>
        <v/>
      </c>
      <c r="IS272" s="245"/>
      <c r="IT272" s="245">
        <f t="shared" si="701"/>
        <v>0</v>
      </c>
      <c r="IU272" s="245">
        <f t="shared" si="702"/>
        <v>0</v>
      </c>
      <c r="IV272" s="245">
        <f t="shared" si="703"/>
        <v>0</v>
      </c>
      <c r="IW272" s="245">
        <f t="shared" si="704"/>
        <v>0</v>
      </c>
      <c r="IX272" s="245">
        <f t="shared" si="807"/>
        <v>0</v>
      </c>
      <c r="IY272" s="245">
        <f t="shared" si="705"/>
        <v>0</v>
      </c>
      <c r="IZ272" s="245">
        <f t="shared" si="706"/>
        <v>0</v>
      </c>
      <c r="JA272">
        <f t="shared" si="707"/>
        <v>0</v>
      </c>
      <c r="JB272">
        <f t="shared" si="808"/>
        <v>0</v>
      </c>
      <c r="JC272">
        <f t="shared" si="708"/>
        <v>0</v>
      </c>
      <c r="JD272">
        <f t="shared" si="709"/>
        <v>0</v>
      </c>
      <c r="JE272">
        <f t="shared" si="710"/>
        <v>0</v>
      </c>
      <c r="JF272">
        <f t="shared" si="711"/>
        <v>0</v>
      </c>
      <c r="JG272">
        <f t="shared" si="712"/>
        <v>0</v>
      </c>
      <c r="JH272">
        <f t="shared" si="713"/>
        <v>0</v>
      </c>
      <c r="JI272">
        <f t="shared" si="714"/>
        <v>0</v>
      </c>
      <c r="JJ272" s="447">
        <f t="shared" si="715"/>
        <v>0</v>
      </c>
      <c r="JK272" s="447">
        <f t="shared" si="716"/>
        <v>0</v>
      </c>
      <c r="JL272">
        <f t="shared" si="717"/>
        <v>0</v>
      </c>
      <c r="JM272" s="245" t="str">
        <f>IFERROR(VLOOKUP(MATCH(BN272,#REF!,0),#REF!,7),"")</f>
        <v/>
      </c>
      <c r="JN272" t="e">
        <f>HLOOKUP(LEFT(BO272,7),Discharge_Area,MATCH(JO272,LookUps!$B$130:$B$149,1)+2)</f>
        <v>#N/A</v>
      </c>
      <c r="JO272" t="str">
        <f t="shared" si="718"/>
        <v>- S</v>
      </c>
      <c r="JP272" t="e">
        <f>HLOOKUP(LEFT(BO272,7),Discharge_Area,MATCH(JO272,LookUps!$B$130:$B$149,1)+2)</f>
        <v>#N/A</v>
      </c>
      <c r="JQ272" t="e">
        <f t="shared" si="719"/>
        <v>#N/A</v>
      </c>
      <c r="JR272" t="e">
        <f t="shared" si="720"/>
        <v>#N/A</v>
      </c>
      <c r="JS272" t="e">
        <f t="shared" si="721"/>
        <v>#N/A</v>
      </c>
      <c r="JT272" s="532" t="str">
        <f t="shared" si="722"/>
        <v xml:space="preserve"> </v>
      </c>
      <c r="JU272" s="532" t="str">
        <f t="shared" si="723"/>
        <v xml:space="preserve"> </v>
      </c>
      <c r="JV272" s="533" t="str">
        <f t="shared" si="724"/>
        <v xml:space="preserve"> </v>
      </c>
      <c r="JW272" s="534">
        <f t="shared" si="725"/>
        <v>0</v>
      </c>
      <c r="JX272" s="535" t="str">
        <f t="shared" si="809"/>
        <v xml:space="preserve"> </v>
      </c>
      <c r="JY272" s="535" t="str">
        <f t="shared" si="810"/>
        <v xml:space="preserve"> </v>
      </c>
      <c r="JZ272" s="535" t="str">
        <f t="shared" si="811"/>
        <v xml:space="preserve"> </v>
      </c>
      <c r="KA272" s="536" t="str">
        <f t="shared" si="726"/>
        <v xml:space="preserve"> </v>
      </c>
      <c r="KB272" s="535" t="e">
        <f t="shared" si="812"/>
        <v>#VALUE!</v>
      </c>
      <c r="KC272" s="535" t="str">
        <f t="shared" si="727"/>
        <v/>
      </c>
      <c r="KD272" s="537" t="str">
        <f t="shared" si="813"/>
        <v xml:space="preserve"> </v>
      </c>
      <c r="KE272" s="537" t="str">
        <f t="shared" si="814"/>
        <v xml:space="preserve"> </v>
      </c>
      <c r="KF272" s="534">
        <f t="shared" si="728"/>
        <v>0</v>
      </c>
      <c r="KG272" s="535" t="str">
        <f t="shared" si="729"/>
        <v xml:space="preserve"> </v>
      </c>
      <c r="KH272" s="535" t="str">
        <f t="shared" si="730"/>
        <v xml:space="preserve"> </v>
      </c>
      <c r="KI272" s="535" t="str">
        <f t="shared" si="731"/>
        <v xml:space="preserve"> </v>
      </c>
      <c r="KJ272" s="536" t="str">
        <f t="shared" si="732"/>
        <v xml:space="preserve"> </v>
      </c>
      <c r="KK272" s="535" t="str">
        <f t="shared" si="815"/>
        <v xml:space="preserve"> </v>
      </c>
      <c r="KL272" s="535" t="str">
        <f t="shared" si="816"/>
        <v xml:space="preserve"> </v>
      </c>
      <c r="KM272" s="537" t="str">
        <f t="shared" si="733"/>
        <v xml:space="preserve"> </v>
      </c>
      <c r="KN272" s="537" t="str">
        <f t="shared" si="817"/>
        <v xml:space="preserve"> </v>
      </c>
      <c r="KP272">
        <f t="shared" si="734"/>
        <v>0</v>
      </c>
      <c r="LA272" t="e">
        <f t="shared" si="735"/>
        <v>#VALUE!</v>
      </c>
      <c r="LB272" t="e">
        <f t="shared" si="736"/>
        <v>#VALUE!</v>
      </c>
      <c r="LC272" t="e">
        <f t="shared" si="737"/>
        <v>#VALUE!</v>
      </c>
      <c r="LD272" t="e">
        <f t="shared" si="738"/>
        <v>#VALUE!</v>
      </c>
      <c r="LE272" t="e">
        <f t="shared" si="818"/>
        <v>#VALUE!</v>
      </c>
      <c r="LF272">
        <f t="shared" si="739"/>
        <v>0</v>
      </c>
      <c r="LG272" t="e">
        <f t="shared" si="819"/>
        <v>#VALUE!</v>
      </c>
      <c r="LH272" t="str">
        <f t="shared" si="740"/>
        <v xml:space="preserve"> </v>
      </c>
      <c r="LI272">
        <f t="shared" si="820"/>
        <v>1</v>
      </c>
    </row>
    <row r="273" spans="2:321" ht="15" customHeight="1">
      <c r="B273" s="311"/>
      <c r="C273" s="311"/>
      <c r="D273" s="312"/>
      <c r="E273" s="311"/>
      <c r="F273" s="312"/>
      <c r="G273" s="311"/>
      <c r="H273" s="311"/>
      <c r="I273" s="232"/>
      <c r="J273" s="311"/>
      <c r="K273" s="305" t="str">
        <f t="shared" si="741"/>
        <v/>
      </c>
      <c r="L273" s="313"/>
      <c r="M273" s="312"/>
      <c r="N273" s="311"/>
      <c r="O273" s="312"/>
      <c r="P273" s="311"/>
      <c r="Q273" s="305" t="str">
        <f t="shared" si="742"/>
        <v/>
      </c>
      <c r="R273" s="314"/>
      <c r="S273" s="450" t="str">
        <f t="shared" si="625"/>
        <v/>
      </c>
      <c r="T273" s="315"/>
      <c r="U273" s="315"/>
      <c r="W273" s="149" t="str">
        <f t="shared" si="626"/>
        <v xml:space="preserve"> </v>
      </c>
      <c r="X273" s="243" t="str">
        <f t="shared" si="627"/>
        <v xml:space="preserve"> </v>
      </c>
      <c r="Y273" s="150" t="str">
        <f t="shared" si="628"/>
        <v/>
      </c>
      <c r="Z273" s="149" t="str">
        <f t="shared" si="629"/>
        <v xml:space="preserve"> </v>
      </c>
      <c r="AA273" s="98" t="str">
        <f t="shared" si="630"/>
        <v xml:space="preserve"> </v>
      </c>
      <c r="AB273" s="153" t="str">
        <f t="shared" si="631"/>
        <v xml:space="preserve"> </v>
      </c>
      <c r="AC273" s="153" t="str">
        <f t="shared" si="632"/>
        <v xml:space="preserve"> </v>
      </c>
      <c r="AD273" s="148" t="str">
        <f t="shared" si="633"/>
        <v/>
      </c>
      <c r="AE273" s="149" t="str">
        <f t="shared" si="634"/>
        <v/>
      </c>
      <c r="AF273" s="151" t="str">
        <f t="shared" si="635"/>
        <v xml:space="preserve"> </v>
      </c>
      <c r="AG273" s="153" t="str">
        <f t="shared" si="636"/>
        <v xml:space="preserve"> </v>
      </c>
      <c r="AH273" s="98" t="str">
        <f t="shared" si="637"/>
        <v xml:space="preserve"> </v>
      </c>
      <c r="AI273" s="149" t="str">
        <f t="shared" si="638"/>
        <v xml:space="preserve"> </v>
      </c>
      <c r="AK273" s="144" t="str">
        <f t="shared" si="639"/>
        <v xml:space="preserve"> </v>
      </c>
      <c r="AL273" s="144"/>
      <c r="AM273" s="243" t="str">
        <f t="shared" si="640"/>
        <v xml:space="preserve"> </v>
      </c>
      <c r="AN273" s="149" t="str">
        <f t="shared" si="743"/>
        <v xml:space="preserve"> </v>
      </c>
      <c r="AO273" s="144" t="str">
        <f>IF(JB273&gt;0,IF(GI273=10,-R273*1.085*(Calculation!$F$6-Calculation!$F$13)*$S$14," "),"")</f>
        <v/>
      </c>
      <c r="AP273" s="144" t="str">
        <f t="shared" si="641"/>
        <v/>
      </c>
      <c r="AQ273" s="56" t="str">
        <f t="shared" si="642"/>
        <v/>
      </c>
      <c r="AR273" s="144" t="str">
        <f t="shared" si="643"/>
        <v/>
      </c>
      <c r="AS273" s="176" t="str">
        <f t="shared" si="644"/>
        <v/>
      </c>
      <c r="AT273" s="176" t="str">
        <f t="shared" si="744"/>
        <v xml:space="preserve"> </v>
      </c>
      <c r="AU273" s="176" t="str">
        <f t="shared" si="645"/>
        <v/>
      </c>
      <c r="AV273" s="177" t="str">
        <f t="shared" si="646"/>
        <v xml:space="preserve"> </v>
      </c>
      <c r="AW273" s="144" t="str">
        <f t="shared" si="647"/>
        <v xml:space="preserve"> </v>
      </c>
      <c r="AX273" s="144" t="str">
        <f t="shared" si="648"/>
        <v xml:space="preserve"> </v>
      </c>
      <c r="AY273" s="152" t="str">
        <f t="shared" si="649"/>
        <v xml:space="preserve"> </v>
      </c>
      <c r="AZ273" s="246" t="str">
        <f t="shared" si="650"/>
        <v/>
      </c>
      <c r="BA273" s="176" t="str">
        <f t="shared" si="651"/>
        <v xml:space="preserve"> </v>
      </c>
      <c r="BB273" s="176" t="str">
        <f t="shared" si="652"/>
        <v xml:space="preserve"> </v>
      </c>
      <c r="BC273" s="195"/>
      <c r="BD273" s="316"/>
      <c r="BE273" s="317"/>
      <c r="BF273" s="318"/>
      <c r="BG273" s="318"/>
      <c r="BH273" s="144" t="str">
        <f t="shared" si="821"/>
        <v xml:space="preserve"> </v>
      </c>
      <c r="BI273" s="176" t="str">
        <f t="shared" si="653"/>
        <v/>
      </c>
      <c r="BJ273" s="144" t="str">
        <f t="shared" si="822"/>
        <v/>
      </c>
      <c r="BK273" s="246" t="str">
        <f t="shared" si="654"/>
        <v/>
      </c>
      <c r="BL273" s="144" t="str">
        <f t="shared" si="823"/>
        <v/>
      </c>
      <c r="BM273" s="246" t="str">
        <f t="shared" si="655"/>
        <v/>
      </c>
      <c r="BN273" s="337" t="str">
        <f t="shared" si="745"/>
        <v/>
      </c>
      <c r="BO273" s="371" t="str">
        <f t="shared" si="746"/>
        <v/>
      </c>
      <c r="BP273" s="328" t="str">
        <f t="shared" si="824"/>
        <v xml:space="preserve"> </v>
      </c>
      <c r="BQ273" s="347" t="str">
        <f t="shared" si="747"/>
        <v xml:space="preserve"> </v>
      </c>
      <c r="BR273" s="353" t="str">
        <f t="shared" si="748"/>
        <v xml:space="preserve"> </v>
      </c>
      <c r="BS273" s="626" t="str">
        <f>IF(L273&gt;0,IF(Calculation!P273="M13",BR273*3.1416*(0.134^2)/(4*144),IF(Calculation!P273="M17",BR273*3.1416*(0.165^2)/(4*144),IF(Calculation!P273="M20",BR273*3.1416*(0.198^2)/(4*144),IF(Calculation!P273="M23",BR273*3.1416*(0.228^2)/(4*144),IF(Calculation!P273="M27",BR273*3.1416*(0.269^2)/(4*144),BR273*3.1416*(0.307^2)/(4*144))))))," ")</f>
        <v xml:space="preserve"> </v>
      </c>
      <c r="BT273" s="353" t="str">
        <f>IF(L273&gt;0,IF(BS273&gt;0,R273/Calculation!BS273,0)," ")</f>
        <v xml:space="preserve"> </v>
      </c>
      <c r="BU273" s="438" t="e">
        <f t="shared" ca="1" si="656"/>
        <v>#VALUE!</v>
      </c>
      <c r="BV273" s="449" t="e">
        <f ca="1">INDEX(INDIRECT(VLOOKUP(LEFT(BO273,7),CLU!$Z$3:$AH$18,2)),GN273,GR273)</f>
        <v>#N/A</v>
      </c>
      <c r="BW273" s="433" t="e">
        <f ca="1">INDEX(INDIRECT(VLOOKUP(LEFT(BO273,7),CLU!$Z$3:$AH$18,3)),GN273,GR273)</f>
        <v>#N/A</v>
      </c>
      <c r="BX273" s="433" t="e">
        <f ca="1">INDEX(INDIRECT(VLOOKUP(LEFT(BO273,7),CLU!$Z$3:$AH$18,4)),GN273,GR273)</f>
        <v>#N/A</v>
      </c>
      <c r="BY273" s="433" t="e">
        <f ca="1">INDEX(INDIRECT(VLOOKUP(LEFT(BO273,7),CLU!$Z$3:$AH$18,9)),((M273-2)*(6-COUNTBLANK(GT273:GY273)))+GJ273)</f>
        <v>#N/A</v>
      </c>
      <c r="BZ273" s="426" t="e">
        <f t="shared" ca="1" si="749"/>
        <v>#N/A</v>
      </c>
      <c r="CA273" s="424" t="e">
        <f t="shared" ca="1" si="750"/>
        <v>#N/A</v>
      </c>
      <c r="CB273" s="429" t="e">
        <f ca="1">INDEX(INDIRECT(VLOOKUP(LEFT(BO273,7),CLU!$Z$3:$AH$18,2)),GN273,GS273)</f>
        <v>#N/A</v>
      </c>
      <c r="CC273" s="342" t="e">
        <f ca="1">INDEX(INDIRECT(VLOOKUP(LEFT(BO273,7),CLU!$Z$3:$AH$18,3)),GN273,GS273)</f>
        <v>#N/A</v>
      </c>
      <c r="CD273" s="342" t="e">
        <f ca="1">INDEX(INDIRECT(VLOOKUP(LEFT(BO273,7),CLU!$Z$3:$AH$18,4)),GN273,GS273)</f>
        <v>#N/A</v>
      </c>
      <c r="CE273" s="426" t="e">
        <f t="shared" ca="1" si="751"/>
        <v>#N/A</v>
      </c>
      <c r="CF273" s="440">
        <f t="shared" si="752"/>
        <v>0</v>
      </c>
      <c r="CG273" s="431" t="e">
        <f ca="1">INDEX(INDIRECT(VLOOKUP(LEFT(BO273,7),CLU!$Z$3:$AH$18,2)),GQ273,GR273)</f>
        <v>#N/A</v>
      </c>
      <c r="CH273" s="431" t="e">
        <f ca="1">INDEX(INDIRECT(VLOOKUP(LEFT(BO273,7),CLU!$Z$3:$AH$18,3)),GQ273,GR273)</f>
        <v>#N/A</v>
      </c>
      <c r="CI273" s="431" t="e">
        <f ca="1">INDEX(INDIRECT(VLOOKUP(LEFT(BO273,7),CLU!$Z$3:$AH$18,4)),GQ273,GR273)</f>
        <v>#N/A</v>
      </c>
      <c r="CJ273" s="448" t="e">
        <f t="shared" ca="1" si="753"/>
        <v>#N/A</v>
      </c>
      <c r="CK273" s="431" t="e">
        <f t="shared" ca="1" si="754"/>
        <v>#N/A</v>
      </c>
      <c r="CL273" s="440" t="e">
        <f t="shared" ca="1" si="755"/>
        <v>#N/A</v>
      </c>
      <c r="CM273" s="431" t="e">
        <f ca="1">INDEX(INDIRECT(VLOOKUP(LEFT(BO273,7),CLU!$Z$3:$AH$18,2)),GQ273,GS273)</f>
        <v>#N/A</v>
      </c>
      <c r="CN273" s="431" t="e">
        <f ca="1">INDEX(INDIRECT(VLOOKUP(LEFT(BO273,7),CLU!$Z$3:$AH$18,3)),GQ273,GS273)</f>
        <v>#N/A</v>
      </c>
      <c r="CO273" s="431" t="e">
        <f ca="1">INDEX(INDIRECT(VLOOKUP(LEFT(BO273,7),CLU!$Z$3:$AH$18,4)),GQ273,GS273)</f>
        <v>#N/A</v>
      </c>
      <c r="CP273" s="431" t="e">
        <f t="shared" ca="1" si="756"/>
        <v>#N/A</v>
      </c>
      <c r="CQ273" s="440">
        <f t="shared" si="757"/>
        <v>0</v>
      </c>
      <c r="CR273" s="51" t="e">
        <f t="shared" ca="1" si="758"/>
        <v>#N/A</v>
      </c>
      <c r="CS273" s="439" t="e">
        <f t="shared" ca="1" si="759"/>
        <v>#VALUE!</v>
      </c>
      <c r="CT273" s="51" t="e">
        <f t="shared" ca="1" si="760"/>
        <v>#VALUE!</v>
      </c>
      <c r="CU273" s="10"/>
      <c r="CV273" s="51" t="e">
        <f t="shared" ca="1" si="657"/>
        <v>#VALUE!</v>
      </c>
      <c r="CW273" s="51">
        <f t="shared" si="761"/>
        <v>0</v>
      </c>
      <c r="CX273" s="439" t="e">
        <f t="shared" ca="1" si="762"/>
        <v>#VALUE!</v>
      </c>
      <c r="CY273" s="51" t="e">
        <f t="shared" ca="1" si="763"/>
        <v>#VALUE!</v>
      </c>
      <c r="CZ273" s="10"/>
      <c r="DA273" s="51" t="e">
        <f t="shared" ca="1" si="764"/>
        <v>#VALUE!</v>
      </c>
      <c r="DB273" s="347" t="e">
        <f ca="1">INDEX(INDIRECT(VLOOKUP(LEFT(BO273,7),CLU!$Z$3:$AI$18,10)),((M273-2)*(6-COUNTBLANK(GT273:GY273)))+GJ273)*LI273</f>
        <v>#N/A</v>
      </c>
      <c r="DC273" s="347" t="str">
        <f>IF(L273&gt;0,((R273/Worksheet!$I$15)/DB273)^2," ")</f>
        <v xml:space="preserve"> </v>
      </c>
      <c r="DD273" s="602" t="str">
        <f t="shared" si="765"/>
        <v xml:space="preserve"> </v>
      </c>
      <c r="DE273" s="347" t="str">
        <f t="shared" si="658"/>
        <v xml:space="preserve"> </v>
      </c>
      <c r="DF273" s="356" t="e">
        <f ca="1">INDEX(INDIRECT(VLOOKUP(LEFT(BO273,7),CLU!$Z$3:$AH$18,8)),((M273-2)*(6-COUNTBLANK(GT273:GY273)))+GJ273)</f>
        <v>#N/A</v>
      </c>
      <c r="DG273" s="347" t="str">
        <f t="shared" si="659"/>
        <v xml:space="preserve"> </v>
      </c>
      <c r="DH273" s="357" t="str">
        <f t="shared" si="660"/>
        <v xml:space="preserve"> </v>
      </c>
      <c r="DI273" s="355" t="str">
        <f t="shared" si="661"/>
        <v xml:space="preserve"> </v>
      </c>
      <c r="DJ273" s="245" t="e">
        <f ca="1">INDEX(INDIRECT(VLOOKUP(LEFT(BO273,7),CLU!$Z$3:$AH$18,5)),GL273,GK273)</f>
        <v>#N/A</v>
      </c>
      <c r="DK273" s="245" t="e">
        <f ca="1">INDEX(INDIRECT(VLOOKUP(LEFT(BO273,7),CLU!$Z$3:$AH$18,6)),GL273,GK273)</f>
        <v>#N/A</v>
      </c>
      <c r="DL273" s="355">
        <f>(Calculation!R273*0.69143*(Calculation!$BQ$8-Calculation!$F$8))*$S$14</f>
        <v>0</v>
      </c>
      <c r="DM273" s="359" t="e">
        <f t="shared" si="766"/>
        <v>#VALUE!</v>
      </c>
      <c r="DN273" s="611">
        <f t="shared" si="767"/>
        <v>0</v>
      </c>
      <c r="DO273" s="359">
        <f t="shared" si="768"/>
        <v>100</v>
      </c>
      <c r="DP273" s="359">
        <f t="shared" si="769"/>
        <v>0</v>
      </c>
      <c r="DQ273" s="360"/>
      <c r="DR273" s="245" t="e">
        <f ca="1">INDEX(INDIRECT(VLOOKUP(LEFT(BO273,7),CLU!$Z$3:$AH$18,7)),M273-1,1)</f>
        <v>#N/A</v>
      </c>
      <c r="DS273" s="245" t="e">
        <f ca="1">INDEX(INDIRECT(VLOOKUP(LEFT(BO273,7),CLU!$Z$3:$AH$18,7)),M273-1,2)</f>
        <v>#N/A</v>
      </c>
      <c r="DT273" s="245" t="e">
        <f ca="1">INDEX(INDIRECT(VLOOKUP(LEFT(BO273,7),CLU!$Z$3:$AH$18,7)),M273-1,3)</f>
        <v>#N/A</v>
      </c>
      <c r="DU273" s="245" t="e">
        <f ca="1">INDEX(INDIRECT(VLOOKUP(LEFT(BO273,7),CLU!$Z$3:$AH$18,7)),M273-1,4)</f>
        <v>#N/A</v>
      </c>
      <c r="DV273" s="361" t="e">
        <f ca="1">INDEX(INDIRECT(VLOOKUP(LEFT(BO273,7),CLU!$Z$3:$AH$18,7)),M273-1,4+LEFT(DZ273,1)*0.5)</f>
        <v>#N/A</v>
      </c>
      <c r="DW273" s="245" t="e">
        <f ca="1">INDEX(INDIRECT(VLOOKUP(LEFT(BO273,7),CLU!$Z$3:$AH$18,7)),M273-1,8)</f>
        <v>#N/A</v>
      </c>
      <c r="DX273" s="361" t="str">
        <f t="shared" si="662"/>
        <v xml:space="preserve"> </v>
      </c>
      <c r="DY273" s="361" t="str">
        <f t="shared" si="663"/>
        <v xml:space="preserve"> </v>
      </c>
      <c r="DZ273" s="361" t="str">
        <f t="shared" si="664"/>
        <v xml:space="preserve"> </v>
      </c>
      <c r="EA273" s="362" t="str">
        <f t="shared" si="665"/>
        <v xml:space="preserve"> </v>
      </c>
      <c r="EB273" s="624" t="str">
        <f t="shared" si="770"/>
        <v xml:space="preserve"> </v>
      </c>
      <c r="EC273" s="361" t="e">
        <f ca="1">INDEX(INDIRECT(VLOOKUP(LEFT(BO273,7),CLU!$Z$3:$AH$18,7)),M273-1,4+LEFT(DZ273,1)*0.5)</f>
        <v>#N/A</v>
      </c>
      <c r="ED273" s="362" t="str">
        <f t="shared" si="666"/>
        <v xml:space="preserve"> </v>
      </c>
      <c r="EE273" s="361" t="str">
        <f t="shared" si="667"/>
        <v xml:space="preserve"> </v>
      </c>
      <c r="EF273" s="362" t="str">
        <f>IF(L273&gt;0,IF(BR273&gt;0,IF(EE273="2P",IF(Calculation!DZ273="2P",IF(Calculation!DS273=13.75,IF(Calculation!DR273=13,Worksheet!$BD$43,IF(Calculation!DR273=37,Worksheet!$BD$44,Worksheet!$BD$45)),IF(Calculation!DS273=10,IF(Calculation!DR273=18,Worksheet!$BD$29,IF(Calculation!DR273=30,Worksheet!$BD$30,IF(Calculation!DR273=42,Worksheet!$BD$31,IF(Calculation!DR273=54,Worksheet!$BD$32,IF(Calculation!DR273=66,Worksheet!$BD$33,IF(Calculation!DR273=78,Worksheet!$BD$34,IF(Calculation!DR273=90,Worksheet!$BD$35,IF(Calculation!DR273=102,Worksheet!$BD$36,Worksheet!$BD$37)))))))),IF(Calculation!DS273=12.5,IF(Calculation!DR273=18,Worksheet!$BD$38,IF(Calculation!DR273=Worksheet!$BD$39,IF(Calculation!DR273=42,Worksheet!$BD$40,IF(Calculation!DR273=54,Worksheet!$BD$41,Worksheet!$BD$42)))),IF(Calculation!DR273=18,Worksheet!$BD$11,IF(Calculation!DR273=30,Worksheet!$BD$12,IF(Calculation!DR273=42,Worksheet!$BD$13,IF(Calculation!DR273=54,Worksheet!$BD$14,IF(Calculation!DR273=66,Worksheet!$BD$15,IF(Calculation!DR273=78,Worksheet!$BD$16,IF(Calculation!DR273=90,Worksheet!$BD$17,IF(Calculation!DR273=102,Worksheet!$BD$18,Worksheet!$BD$19))))))))))),IF(Calculation!DS273=13.75,IF(Calculation!DR273=13,Worksheet!$BD$78,IF(Calculation!DR273=37,Worksheet!$BD$79,Worksheet!$BD$80)),IF(Calculation!DS273=10,IF(Calculation!DR273=18,Worksheet!$BD$64,IF(Calculation!DR273=30,Worksheet!$BD$65,IF(Calculation!DR273=42,Worksheet!$BD$66,IF(Calculation!DR273=54,Worksheet!$BD$68,IF(Calculation!DR273=66,Worksheet!$BD$68,IF(Calculation!DR273=78,Worksheet!$BD$69,IF(Calculation!DR273=90,Worksheet!$BD$70,IF(Calculation!DR273=102,Worksheet!$BD$71,Worksheet!$BD$72)))))))),IF(Calculation!DS273=12.5,IF(Calculation!DR273=18,Worksheet!$BD$73,IF(Calculation!DR273=Worksheet!$BD$74,IF(Calculation!DR273=42,Worksheet!$BD$75,IF(Calculation!DR273=54,Worksheet!$BD$76,Worksheet!$BD$77)))),IF(Calculation!DR273=18,Worksheet!$BD$55,IF(Calculation!DR273=30,Worksheet!$BD$56,IF(Calculation!DR273=42,Worksheet!$BD$57,IF(Calculation!DR273=54,Worksheet!$BD$58,IF(Calculation!DR273=66,Worksheet!$BD$59,IF(Calculation!DR273=78,Worksheet!$BD$60,IF(Calculation!DR273=90,Worksheet!$BD$61,IF(Calculation!DR273=102,Worksheet!$BD$62,Worksheet!$BD$63)))))))))))),5),0)," ")</f>
        <v xml:space="preserve"> </v>
      </c>
      <c r="EG273" s="361" t="str">
        <f t="shared" si="668"/>
        <v xml:space="preserve"> </v>
      </c>
      <c r="EH273" s="361" t="e">
        <f ca="1">INDEX(INDIRECT(VLOOKUP(LEFT(BO273,7),CLU!$Z$3:$AH$18,7)),M273-1,3+LEFT(DZ273,1))</f>
        <v>#N/A</v>
      </c>
      <c r="EI273" s="362" t="str">
        <f t="shared" si="669"/>
        <v xml:space="preserve"> </v>
      </c>
      <c r="EJ273" s="363" t="str">
        <f t="shared" si="670"/>
        <v xml:space="preserve"> </v>
      </c>
      <c r="EK273" s="363" t="str">
        <f t="shared" si="671"/>
        <v xml:space="preserve"> </v>
      </c>
      <c r="EL273" s="363" t="str">
        <f t="shared" si="672"/>
        <v xml:space="preserve"> </v>
      </c>
      <c r="EM273" s="362" t="str">
        <f>IF(L273&gt;0,IF(BR273&gt;0,(Calculation!T273/ED273)^2,0)," ")</f>
        <v xml:space="preserve"> </v>
      </c>
      <c r="EN273" s="362" t="str">
        <f>IF(L273&gt;0,IF(O273="2 Pipe (Cooling)","N/A",IF(BR273&gt;0,(Calculation!U273/EI273)^2,0))," ")</f>
        <v xml:space="preserve"> </v>
      </c>
      <c r="EO273" s="361" t="str">
        <f t="shared" si="673"/>
        <v/>
      </c>
      <c r="EP273" s="361" t="str">
        <f t="shared" si="674"/>
        <v/>
      </c>
      <c r="EQ273" s="361" t="str">
        <f t="shared" si="675"/>
        <v/>
      </c>
      <c r="ER273" s="361" t="str">
        <f t="shared" si="676"/>
        <v/>
      </c>
      <c r="ES273" s="361" t="str">
        <f t="shared" si="677"/>
        <v/>
      </c>
      <c r="ET273" s="361" t="str">
        <f t="shared" si="678"/>
        <v/>
      </c>
      <c r="EU273" s="361" t="str">
        <f t="shared" si="679"/>
        <v/>
      </c>
      <c r="EV273" s="361" t="str">
        <f t="shared" si="680"/>
        <v/>
      </c>
      <c r="EW273" s="361" t="str">
        <f t="shared" si="681"/>
        <v/>
      </c>
      <c r="EX273" s="361" t="str">
        <f t="shared" si="771"/>
        <v>1 slot, 1 way</v>
      </c>
      <c r="EY273" s="361" t="str">
        <f t="shared" si="772"/>
        <v xml:space="preserve"> </v>
      </c>
      <c r="EZ273" s="361" t="str">
        <f t="shared" si="773"/>
        <v xml:space="preserve"> </v>
      </c>
      <c r="FA273" s="361" t="str">
        <f t="shared" si="774"/>
        <v xml:space="preserve"> </v>
      </c>
      <c r="FB273" s="361" t="str">
        <f t="shared" si="775"/>
        <v xml:space="preserve"> </v>
      </c>
      <c r="FC273" s="361"/>
      <c r="FD273" s="361" t="str">
        <f>IF(J273&gt;0,IF(Calculation!R273&lt;=70,4,IF(Calculation!R273&lt;=110,5,IF(Calculation!R273&lt;=160,6,IF(Calculation!R273&lt;=300,8,"10 EO")))),"")</f>
        <v/>
      </c>
      <c r="FE273" s="361" t="str">
        <f t="shared" si="776"/>
        <v/>
      </c>
      <c r="FF273" s="361" t="str">
        <f t="shared" si="777"/>
        <v/>
      </c>
      <c r="FG273" s="361" t="e">
        <f t="shared" si="682"/>
        <v>#N/A</v>
      </c>
      <c r="FH273" s="361">
        <f t="shared" si="683"/>
        <v>0</v>
      </c>
      <c r="FI273" s="361" t="e">
        <f t="shared" si="684"/>
        <v>#DIV/0!</v>
      </c>
      <c r="FJ273" s="361"/>
      <c r="FK273" s="356" t="e">
        <f t="shared" si="685"/>
        <v>#VALUE!</v>
      </c>
      <c r="FL273" s="361"/>
      <c r="FM273" s="361"/>
      <c r="FN273" s="362" t="str">
        <f t="shared" si="778"/>
        <v xml:space="preserve"> </v>
      </c>
      <c r="FO273" s="362" t="str">
        <f t="shared" si="779"/>
        <v xml:space="preserve"> </v>
      </c>
      <c r="FP273" s="362">
        <f t="shared" si="780"/>
        <v>0</v>
      </c>
      <c r="FQ273" s="361">
        <f t="shared" si="686"/>
        <v>0</v>
      </c>
      <c r="FR273" s="362" t="str">
        <f>IF(L273&gt;0,IF(J273="CBAL2",Worksheet!$P$67,IF(J273="CBE2-24",Worksheet!$Q$67,IF(J273="CBAM",Worksheet!$R$67,IF(J273="CBLV",Worksheet!$S$67,IF(J273="CBAB",Worksheet!$U$67,IF(J273="CBAW",Worksheet!$X$67,IF(J273="CBE2-12",Worksheet!$Y$67,IF(J273="CBAL2",Worksheet!$Z$67,"N/A"))))))))," ")</f>
        <v xml:space="preserve"> </v>
      </c>
      <c r="FS273" s="362" t="str">
        <f>IF(L273&gt;0,IF(J273="CBAL2",Worksheet!$P$68,IF(J273="CBE2-24",Worksheet!$Q$68,IF(J273="CBAM",Worksheet!$R$68,IF(J273="CBLV",Worksheet!$S$68,IF(J273="CBAB",Worksheet!$U$68,IF(J273="CBAW",Worksheet!$X$68,IF(J273="CBE2-12",Worksheet!$Y$68,IF(J273="CBAL2",Worksheet!$Z$68,"N/A"))))))))," ")</f>
        <v xml:space="preserve"> </v>
      </c>
      <c r="FT273" s="362" t="str">
        <f>IF(L273&gt;0,IF(J273="CBAL2",Worksheet!$P$69,IF(J273="CBE2-24",Worksheet!$Q$69,IF(J273="CBAM",Worksheet!$R$69,IF(J273="CBLV",Worksheet!$S$69,IF(J273="CBAB",Worksheet!$U$69,IF(J273="CBAW",Worksheet!$X$69,IF(J273="CBE2-12",Worksheet!$Y$69,IF(J273="CBAL2",Worksheet!$Z$69,"N/A"))))))))," ")</f>
        <v xml:space="preserve"> </v>
      </c>
      <c r="FU273" s="361" t="str">
        <f t="shared" si="781"/>
        <v xml:space="preserve"> </v>
      </c>
      <c r="FV273" s="362" t="str">
        <f t="shared" si="782"/>
        <v xml:space="preserve"> </v>
      </c>
      <c r="FW273" s="362" t="str">
        <f t="shared" si="783"/>
        <v xml:space="preserve"> </v>
      </c>
      <c r="FX273" s="362" t="str">
        <f t="shared" si="784"/>
        <v xml:space="preserve"> </v>
      </c>
      <c r="FY273" s="355" t="str">
        <f t="shared" si="785"/>
        <v xml:space="preserve"> </v>
      </c>
      <c r="FZ273" s="361" t="str">
        <f t="shared" si="786"/>
        <v xml:space="preserve"> </v>
      </c>
      <c r="GA273" s="347" t="str">
        <f t="shared" si="787"/>
        <v xml:space="preserve"> </v>
      </c>
      <c r="GB273" s="355" t="str">
        <f t="shared" si="788"/>
        <v xml:space="preserve"> </v>
      </c>
      <c r="GC273" s="328" t="str">
        <f t="shared" si="789"/>
        <v xml:space="preserve"> </v>
      </c>
      <c r="GD273" s="361" t="str">
        <f t="shared" si="790"/>
        <v xml:space="preserve"> </v>
      </c>
      <c r="GE273" s="347" t="str">
        <f t="shared" si="791"/>
        <v xml:space="preserve"> </v>
      </c>
      <c r="GF273" s="361" t="str">
        <f t="shared" si="792"/>
        <v xml:space="preserve"> </v>
      </c>
      <c r="GG273" s="347" t="str">
        <f t="shared" si="793"/>
        <v xml:space="preserve"> </v>
      </c>
      <c r="GH273" s="364">
        <f t="shared" si="687"/>
        <v>0</v>
      </c>
      <c r="GI273" s="362">
        <f t="shared" si="794"/>
        <v>2</v>
      </c>
      <c r="GJ273" s="433" t="e">
        <f>IF(6-COUNTBLANK(GT273:GY273)=4,MATCH(MID(BO273,9,3),CLU!$H$16:$K$16),MATCH(MID(BO273,9,3),CLU!$H$13:$M$13))</f>
        <v>#N/A</v>
      </c>
      <c r="GK273" s="433" t="e">
        <f>HLOOKUP(VALUE(BP273),CLU!$H$9:$M$10,2)</f>
        <v>#VALUE!</v>
      </c>
      <c r="GL273" s="433" t="e">
        <f ca="1">MATCH(BU273,CLU!$H$2:$V$2,1)</f>
        <v>#VALUE!</v>
      </c>
      <c r="GM273" s="433" t="e">
        <f t="shared" ca="1" si="795"/>
        <v>#VALUE!</v>
      </c>
      <c r="GN273" s="433" t="e">
        <f t="shared" ca="1" si="796"/>
        <v>#VALUE!</v>
      </c>
      <c r="GO273" s="433" t="e">
        <f t="shared" ca="1" si="797"/>
        <v>#VALUE!</v>
      </c>
      <c r="GP273" s="433" t="e">
        <f t="shared" ca="1" si="798"/>
        <v>#VALUE!</v>
      </c>
      <c r="GQ273" s="433" t="e">
        <f t="shared" ca="1" si="799"/>
        <v>#VALUE!</v>
      </c>
      <c r="GR273" s="433" t="e">
        <f ca="1">MATCH(T273,INDIRECT(VLOOKUP(CONCATENATE(LEFT(BO273,7),"-",MID(BO273,13,1)),CLU!$P$3:$Q$16,2)),1)</f>
        <v>#N/A</v>
      </c>
      <c r="GS273" s="433" t="e">
        <f ca="1">MATCH(U273,INDIRECT(VLOOKUP(CONCATENATE(LEFT(BO273,7),"-",MID(BO273,13,1)),CLU!$P$3:$Q$16,2)),1)</f>
        <v>#N/A</v>
      </c>
      <c r="GT273" s="347" t="s">
        <v>512</v>
      </c>
      <c r="GU273" s="97" t="s">
        <v>513</v>
      </c>
      <c r="GV273" s="97" t="str">
        <f t="shared" si="800"/>
        <v>M23</v>
      </c>
      <c r="GW273" s="97" t="str">
        <f t="shared" si="801"/>
        <v>M31</v>
      </c>
      <c r="GX273" s="97" t="str">
        <f t="shared" si="802"/>
        <v/>
      </c>
      <c r="GY273" s="97" t="str">
        <f t="shared" si="803"/>
        <v/>
      </c>
      <c r="GZ273" s="481"/>
      <c r="HA273" s="240"/>
      <c r="HB273" s="240"/>
      <c r="HC273" s="240"/>
      <c r="HD273" s="240"/>
      <c r="HE273" s="240"/>
      <c r="HF273" s="240"/>
      <c r="HG273" s="240"/>
      <c r="HH273" s="240"/>
      <c r="HI273" s="240"/>
      <c r="HJ273" s="240"/>
      <c r="HK273" s="240"/>
      <c r="HL273" s="240"/>
      <c r="HM273" s="240"/>
      <c r="HN273" s="240"/>
      <c r="HO273" s="240"/>
      <c r="HP273" s="240"/>
      <c r="HQ273" s="240"/>
      <c r="HR273" s="240"/>
      <c r="HS273" s="240"/>
      <c r="HT273" s="240"/>
      <c r="HU273" s="240"/>
      <c r="HV273" s="245"/>
      <c r="HW273" s="245" t="b">
        <v>1</v>
      </c>
      <c r="HX273" s="245" t="str">
        <f t="shared" si="688"/>
        <v/>
      </c>
      <c r="HY273" s="245" t="e">
        <f t="shared" si="689"/>
        <v>#DIV/0!</v>
      </c>
      <c r="HZ273" s="245" t="e">
        <f t="shared" si="690"/>
        <v>#DIV/0!</v>
      </c>
      <c r="IA273" s="245">
        <f t="shared" si="691"/>
        <v>0</v>
      </c>
      <c r="IB273" s="245"/>
      <c r="IC273" t="b">
        <f t="shared" si="692"/>
        <v>1</v>
      </c>
      <c r="ID273" s="245" t="b">
        <f t="shared" si="693"/>
        <v>1</v>
      </c>
      <c r="IE273" s="245" t="b">
        <f t="shared" si="694"/>
        <v>1</v>
      </c>
      <c r="IF273" s="245" t="b">
        <f t="shared" si="695"/>
        <v>0</v>
      </c>
      <c r="IG273" s="245" t="b">
        <f t="shared" si="696"/>
        <v>1</v>
      </c>
      <c r="IH273" s="245" t="b">
        <f t="shared" si="697"/>
        <v>1</v>
      </c>
      <c r="II273" s="245">
        <f t="shared" si="804"/>
        <v>0</v>
      </c>
      <c r="IJ273" s="245" t="e">
        <f t="shared" si="698"/>
        <v>#VALUE!</v>
      </c>
      <c r="IK273" s="245" t="e">
        <f t="shared" si="699"/>
        <v>#VALUE!</v>
      </c>
      <c r="IL273" s="245"/>
      <c r="IM273" s="245" t="e">
        <f t="shared" si="805"/>
        <v>#N/A</v>
      </c>
      <c r="IN273" s="245" t="e">
        <f t="shared" si="806"/>
        <v>#N/A</v>
      </c>
      <c r="IO273" s="245"/>
      <c r="IP273" s="245"/>
      <c r="IQ273" s="245" t="str">
        <f t="shared" si="700"/>
        <v/>
      </c>
      <c r="IR273" s="245" t="str">
        <f>IF(J273="","",VLOOKUP(J273,Worksheet!$R$4:$T$14,2))</f>
        <v/>
      </c>
      <c r="IS273" s="245"/>
      <c r="IT273" s="245">
        <f t="shared" si="701"/>
        <v>0</v>
      </c>
      <c r="IU273" s="245">
        <f t="shared" si="702"/>
        <v>0</v>
      </c>
      <c r="IV273" s="245">
        <f t="shared" si="703"/>
        <v>0</v>
      </c>
      <c r="IW273" s="245">
        <f t="shared" si="704"/>
        <v>0</v>
      </c>
      <c r="IX273" s="245">
        <f t="shared" si="807"/>
        <v>0</v>
      </c>
      <c r="IY273" s="245">
        <f t="shared" si="705"/>
        <v>0</v>
      </c>
      <c r="IZ273" s="245">
        <f t="shared" si="706"/>
        <v>0</v>
      </c>
      <c r="JA273">
        <f t="shared" si="707"/>
        <v>0</v>
      </c>
      <c r="JB273">
        <f t="shared" si="808"/>
        <v>0</v>
      </c>
      <c r="JC273">
        <f t="shared" si="708"/>
        <v>0</v>
      </c>
      <c r="JD273">
        <f t="shared" si="709"/>
        <v>0</v>
      </c>
      <c r="JE273">
        <f t="shared" si="710"/>
        <v>0</v>
      </c>
      <c r="JF273">
        <f t="shared" si="711"/>
        <v>0</v>
      </c>
      <c r="JG273">
        <f t="shared" si="712"/>
        <v>0</v>
      </c>
      <c r="JH273">
        <f t="shared" si="713"/>
        <v>0</v>
      </c>
      <c r="JI273">
        <f t="shared" si="714"/>
        <v>0</v>
      </c>
      <c r="JJ273" s="447">
        <f t="shared" si="715"/>
        <v>0</v>
      </c>
      <c r="JK273" s="447">
        <f t="shared" si="716"/>
        <v>0</v>
      </c>
      <c r="JL273">
        <f t="shared" si="717"/>
        <v>0</v>
      </c>
      <c r="JM273" s="245" t="str">
        <f>IFERROR(VLOOKUP(MATCH(BN273,#REF!,0),#REF!,7),"")</f>
        <v/>
      </c>
      <c r="JN273" t="e">
        <f>HLOOKUP(LEFT(BO273,7),Discharge_Area,MATCH(JO273,LookUps!$B$130:$B$149,1)+2)</f>
        <v>#N/A</v>
      </c>
      <c r="JO273" t="str">
        <f t="shared" si="718"/>
        <v>- S</v>
      </c>
      <c r="JP273" t="e">
        <f>HLOOKUP(LEFT(BO273,7),Discharge_Area,MATCH(JO273,LookUps!$B$130:$B$149,1)+2)</f>
        <v>#N/A</v>
      </c>
      <c r="JQ273" t="e">
        <f t="shared" si="719"/>
        <v>#N/A</v>
      </c>
      <c r="JR273" t="e">
        <f t="shared" si="720"/>
        <v>#N/A</v>
      </c>
      <c r="JS273" t="e">
        <f t="shared" si="721"/>
        <v>#N/A</v>
      </c>
      <c r="JT273" s="532" t="str">
        <f t="shared" si="722"/>
        <v xml:space="preserve"> </v>
      </c>
      <c r="JU273" s="532" t="str">
        <f t="shared" si="723"/>
        <v xml:space="preserve"> </v>
      </c>
      <c r="JV273" s="533" t="str">
        <f t="shared" si="724"/>
        <v xml:space="preserve"> </v>
      </c>
      <c r="JW273" s="534">
        <f t="shared" si="725"/>
        <v>0</v>
      </c>
      <c r="JX273" s="535" t="str">
        <f t="shared" si="809"/>
        <v xml:space="preserve"> </v>
      </c>
      <c r="JY273" s="535" t="str">
        <f t="shared" si="810"/>
        <v xml:space="preserve"> </v>
      </c>
      <c r="JZ273" s="535" t="str">
        <f t="shared" si="811"/>
        <v xml:space="preserve"> </v>
      </c>
      <c r="KA273" s="536" t="str">
        <f t="shared" si="726"/>
        <v xml:space="preserve"> </v>
      </c>
      <c r="KB273" s="535" t="e">
        <f t="shared" si="812"/>
        <v>#VALUE!</v>
      </c>
      <c r="KC273" s="535" t="str">
        <f t="shared" si="727"/>
        <v/>
      </c>
      <c r="KD273" s="537" t="str">
        <f t="shared" si="813"/>
        <v xml:space="preserve"> </v>
      </c>
      <c r="KE273" s="537" t="str">
        <f t="shared" si="814"/>
        <v xml:space="preserve"> </v>
      </c>
      <c r="KF273" s="534">
        <f t="shared" si="728"/>
        <v>0</v>
      </c>
      <c r="KG273" s="535" t="str">
        <f t="shared" si="729"/>
        <v xml:space="preserve"> </v>
      </c>
      <c r="KH273" s="535" t="str">
        <f t="shared" si="730"/>
        <v xml:space="preserve"> </v>
      </c>
      <c r="KI273" s="535" t="str">
        <f t="shared" si="731"/>
        <v xml:space="preserve"> </v>
      </c>
      <c r="KJ273" s="536" t="str">
        <f t="shared" si="732"/>
        <v xml:space="preserve"> </v>
      </c>
      <c r="KK273" s="535" t="str">
        <f t="shared" si="815"/>
        <v xml:space="preserve"> </v>
      </c>
      <c r="KL273" s="535" t="str">
        <f t="shared" si="816"/>
        <v xml:space="preserve"> </v>
      </c>
      <c r="KM273" s="537" t="str">
        <f t="shared" si="733"/>
        <v xml:space="preserve"> </v>
      </c>
      <c r="KN273" s="537" t="str">
        <f t="shared" si="817"/>
        <v xml:space="preserve"> </v>
      </c>
      <c r="KP273">
        <f t="shared" si="734"/>
        <v>0</v>
      </c>
      <c r="LA273" t="e">
        <f t="shared" si="735"/>
        <v>#VALUE!</v>
      </c>
      <c r="LB273" t="e">
        <f t="shared" si="736"/>
        <v>#VALUE!</v>
      </c>
      <c r="LC273" t="e">
        <f t="shared" si="737"/>
        <v>#VALUE!</v>
      </c>
      <c r="LD273" t="e">
        <f t="shared" si="738"/>
        <v>#VALUE!</v>
      </c>
      <c r="LE273" t="e">
        <f t="shared" si="818"/>
        <v>#VALUE!</v>
      </c>
      <c r="LF273">
        <f t="shared" si="739"/>
        <v>0</v>
      </c>
      <c r="LG273" t="e">
        <f t="shared" si="819"/>
        <v>#VALUE!</v>
      </c>
      <c r="LH273" t="str">
        <f t="shared" si="740"/>
        <v xml:space="preserve"> </v>
      </c>
      <c r="LI273">
        <f t="shared" si="820"/>
        <v>1</v>
      </c>
    </row>
    <row r="274" spans="2:321" ht="15" customHeight="1">
      <c r="B274" s="311"/>
      <c r="C274" s="311"/>
      <c r="D274" s="312"/>
      <c r="E274" s="311"/>
      <c r="F274" s="312"/>
      <c r="G274" s="311"/>
      <c r="H274" s="311"/>
      <c r="I274" s="232"/>
      <c r="J274" s="311"/>
      <c r="K274" s="305" t="str">
        <f t="shared" si="741"/>
        <v/>
      </c>
      <c r="L274" s="313"/>
      <c r="M274" s="312"/>
      <c r="N274" s="311"/>
      <c r="O274" s="312"/>
      <c r="P274" s="311"/>
      <c r="Q274" s="305" t="str">
        <f t="shared" si="742"/>
        <v/>
      </c>
      <c r="R274" s="314"/>
      <c r="S274" s="450" t="str">
        <f t="shared" si="625"/>
        <v/>
      </c>
      <c r="T274" s="315"/>
      <c r="U274" s="315"/>
      <c r="W274" s="149" t="str">
        <f t="shared" si="626"/>
        <v xml:space="preserve"> </v>
      </c>
      <c r="X274" s="243" t="str">
        <f t="shared" si="627"/>
        <v xml:space="preserve"> </v>
      </c>
      <c r="Y274" s="150" t="str">
        <f t="shared" si="628"/>
        <v/>
      </c>
      <c r="Z274" s="149" t="str">
        <f t="shared" si="629"/>
        <v xml:space="preserve"> </v>
      </c>
      <c r="AA274" s="98" t="str">
        <f t="shared" si="630"/>
        <v xml:space="preserve"> </v>
      </c>
      <c r="AB274" s="153" t="str">
        <f t="shared" si="631"/>
        <v xml:space="preserve"> </v>
      </c>
      <c r="AC274" s="153" t="str">
        <f t="shared" si="632"/>
        <v xml:space="preserve"> </v>
      </c>
      <c r="AD274" s="148" t="str">
        <f t="shared" si="633"/>
        <v/>
      </c>
      <c r="AE274" s="149" t="str">
        <f t="shared" si="634"/>
        <v/>
      </c>
      <c r="AF274" s="151" t="str">
        <f t="shared" si="635"/>
        <v xml:space="preserve"> </v>
      </c>
      <c r="AG274" s="153" t="str">
        <f t="shared" si="636"/>
        <v xml:space="preserve"> </v>
      </c>
      <c r="AH274" s="98" t="str">
        <f t="shared" si="637"/>
        <v xml:space="preserve"> </v>
      </c>
      <c r="AI274" s="149" t="str">
        <f t="shared" si="638"/>
        <v xml:space="preserve"> </v>
      </c>
      <c r="AK274" s="144" t="str">
        <f t="shared" si="639"/>
        <v xml:space="preserve"> </v>
      </c>
      <c r="AL274" s="144"/>
      <c r="AM274" s="243" t="str">
        <f t="shared" si="640"/>
        <v xml:space="preserve"> </v>
      </c>
      <c r="AN274" s="149" t="str">
        <f t="shared" si="743"/>
        <v xml:space="preserve"> </v>
      </c>
      <c r="AO274" s="144" t="str">
        <f>IF(JB274&gt;0,IF(GI274=10,-R274*1.085*(Calculation!$F$6-Calculation!$F$13)*$S$14," "),"")</f>
        <v/>
      </c>
      <c r="AP274" s="144" t="str">
        <f t="shared" si="641"/>
        <v/>
      </c>
      <c r="AQ274" s="56" t="str">
        <f t="shared" si="642"/>
        <v/>
      </c>
      <c r="AR274" s="144" t="str">
        <f t="shared" si="643"/>
        <v/>
      </c>
      <c r="AS274" s="176" t="str">
        <f t="shared" si="644"/>
        <v/>
      </c>
      <c r="AT274" s="176" t="str">
        <f t="shared" si="744"/>
        <v xml:space="preserve"> </v>
      </c>
      <c r="AU274" s="176" t="str">
        <f t="shared" si="645"/>
        <v/>
      </c>
      <c r="AV274" s="177" t="str">
        <f t="shared" si="646"/>
        <v xml:space="preserve"> </v>
      </c>
      <c r="AW274" s="144" t="str">
        <f t="shared" si="647"/>
        <v xml:space="preserve"> </v>
      </c>
      <c r="AX274" s="144" t="str">
        <f t="shared" si="648"/>
        <v xml:space="preserve"> </v>
      </c>
      <c r="AY274" s="152" t="str">
        <f t="shared" si="649"/>
        <v xml:space="preserve"> </v>
      </c>
      <c r="AZ274" s="246" t="str">
        <f t="shared" si="650"/>
        <v/>
      </c>
      <c r="BA274" s="176" t="str">
        <f t="shared" si="651"/>
        <v xml:space="preserve"> </v>
      </c>
      <c r="BB274" s="176" t="str">
        <f t="shared" si="652"/>
        <v xml:space="preserve"> </v>
      </c>
      <c r="BC274" s="195"/>
      <c r="BD274" s="316"/>
      <c r="BE274" s="317"/>
      <c r="BF274" s="318"/>
      <c r="BG274" s="318"/>
      <c r="BH274" s="144" t="str">
        <f t="shared" si="821"/>
        <v xml:space="preserve"> </v>
      </c>
      <c r="BI274" s="176" t="str">
        <f t="shared" si="653"/>
        <v/>
      </c>
      <c r="BJ274" s="144" t="str">
        <f t="shared" si="822"/>
        <v/>
      </c>
      <c r="BK274" s="246" t="str">
        <f t="shared" si="654"/>
        <v/>
      </c>
      <c r="BL274" s="144" t="str">
        <f t="shared" si="823"/>
        <v/>
      </c>
      <c r="BM274" s="246" t="str">
        <f t="shared" si="655"/>
        <v/>
      </c>
      <c r="BN274" s="337" t="str">
        <f t="shared" si="745"/>
        <v/>
      </c>
      <c r="BO274" s="371" t="str">
        <f t="shared" si="746"/>
        <v/>
      </c>
      <c r="BP274" s="328" t="str">
        <f t="shared" si="824"/>
        <v xml:space="preserve"> </v>
      </c>
      <c r="BQ274" s="347" t="str">
        <f t="shared" si="747"/>
        <v xml:space="preserve"> </v>
      </c>
      <c r="BR274" s="353" t="str">
        <f t="shared" si="748"/>
        <v xml:space="preserve"> </v>
      </c>
      <c r="BS274" s="626" t="str">
        <f>IF(L274&gt;0,IF(Calculation!P274="M13",BR274*3.1416*(0.134^2)/(4*144),IF(Calculation!P274="M17",BR274*3.1416*(0.165^2)/(4*144),IF(Calculation!P274="M20",BR274*3.1416*(0.198^2)/(4*144),IF(Calculation!P274="M23",BR274*3.1416*(0.228^2)/(4*144),IF(Calculation!P274="M27",BR274*3.1416*(0.269^2)/(4*144),BR274*3.1416*(0.307^2)/(4*144))))))," ")</f>
        <v xml:space="preserve"> </v>
      </c>
      <c r="BT274" s="353" t="str">
        <f>IF(L274&gt;0,IF(BS274&gt;0,R274/Calculation!BS274,0)," ")</f>
        <v xml:space="preserve"> </v>
      </c>
      <c r="BU274" s="438" t="e">
        <f t="shared" ca="1" si="656"/>
        <v>#VALUE!</v>
      </c>
      <c r="BV274" s="449" t="e">
        <f ca="1">INDEX(INDIRECT(VLOOKUP(LEFT(BO274,7),CLU!$Z$3:$AH$18,2)),GN274,GR274)</f>
        <v>#N/A</v>
      </c>
      <c r="BW274" s="433" t="e">
        <f ca="1">INDEX(INDIRECT(VLOOKUP(LEFT(BO274,7),CLU!$Z$3:$AH$18,3)),GN274,GR274)</f>
        <v>#N/A</v>
      </c>
      <c r="BX274" s="433" t="e">
        <f ca="1">INDEX(INDIRECT(VLOOKUP(LEFT(BO274,7),CLU!$Z$3:$AH$18,4)),GN274,GR274)</f>
        <v>#N/A</v>
      </c>
      <c r="BY274" s="433" t="e">
        <f ca="1">INDEX(INDIRECT(VLOOKUP(LEFT(BO274,7),CLU!$Z$3:$AH$18,9)),((M274-2)*(6-COUNTBLANK(GT274:GY274)))+GJ274)</f>
        <v>#N/A</v>
      </c>
      <c r="BZ274" s="426" t="e">
        <f t="shared" ca="1" si="749"/>
        <v>#N/A</v>
      </c>
      <c r="CA274" s="424" t="e">
        <f t="shared" ca="1" si="750"/>
        <v>#N/A</v>
      </c>
      <c r="CB274" s="429" t="e">
        <f ca="1">INDEX(INDIRECT(VLOOKUP(LEFT(BO274,7),CLU!$Z$3:$AH$18,2)),GN274,GS274)</f>
        <v>#N/A</v>
      </c>
      <c r="CC274" s="342" t="e">
        <f ca="1">INDEX(INDIRECT(VLOOKUP(LEFT(BO274,7),CLU!$Z$3:$AH$18,3)),GN274,GS274)</f>
        <v>#N/A</v>
      </c>
      <c r="CD274" s="342" t="e">
        <f ca="1">INDEX(INDIRECT(VLOOKUP(LEFT(BO274,7),CLU!$Z$3:$AH$18,4)),GN274,GS274)</f>
        <v>#N/A</v>
      </c>
      <c r="CE274" s="426" t="e">
        <f t="shared" ca="1" si="751"/>
        <v>#N/A</v>
      </c>
      <c r="CF274" s="440">
        <f t="shared" si="752"/>
        <v>0</v>
      </c>
      <c r="CG274" s="431" t="e">
        <f ca="1">INDEX(INDIRECT(VLOOKUP(LEFT(BO274,7),CLU!$Z$3:$AH$18,2)),GQ274,GR274)</f>
        <v>#N/A</v>
      </c>
      <c r="CH274" s="431" t="e">
        <f ca="1">INDEX(INDIRECT(VLOOKUP(LEFT(BO274,7),CLU!$Z$3:$AH$18,3)),GQ274,GR274)</f>
        <v>#N/A</v>
      </c>
      <c r="CI274" s="431" t="e">
        <f ca="1">INDEX(INDIRECT(VLOOKUP(LEFT(BO274,7),CLU!$Z$3:$AH$18,4)),GQ274,GR274)</f>
        <v>#N/A</v>
      </c>
      <c r="CJ274" s="448" t="e">
        <f t="shared" ca="1" si="753"/>
        <v>#N/A</v>
      </c>
      <c r="CK274" s="431" t="e">
        <f t="shared" ca="1" si="754"/>
        <v>#N/A</v>
      </c>
      <c r="CL274" s="440" t="e">
        <f t="shared" ca="1" si="755"/>
        <v>#N/A</v>
      </c>
      <c r="CM274" s="431" t="e">
        <f ca="1">INDEX(INDIRECT(VLOOKUP(LEFT(BO274,7),CLU!$Z$3:$AH$18,2)),GQ274,GS274)</f>
        <v>#N/A</v>
      </c>
      <c r="CN274" s="431" t="e">
        <f ca="1">INDEX(INDIRECT(VLOOKUP(LEFT(BO274,7),CLU!$Z$3:$AH$18,3)),GQ274,GS274)</f>
        <v>#N/A</v>
      </c>
      <c r="CO274" s="431" t="e">
        <f ca="1">INDEX(INDIRECT(VLOOKUP(LEFT(BO274,7),CLU!$Z$3:$AH$18,4)),GQ274,GS274)</f>
        <v>#N/A</v>
      </c>
      <c r="CP274" s="431" t="e">
        <f t="shared" ca="1" si="756"/>
        <v>#N/A</v>
      </c>
      <c r="CQ274" s="440">
        <f t="shared" si="757"/>
        <v>0</v>
      </c>
      <c r="CR274" s="51" t="e">
        <f t="shared" ca="1" si="758"/>
        <v>#N/A</v>
      </c>
      <c r="CS274" s="439" t="e">
        <f t="shared" ca="1" si="759"/>
        <v>#VALUE!</v>
      </c>
      <c r="CT274" s="51" t="e">
        <f t="shared" ca="1" si="760"/>
        <v>#VALUE!</v>
      </c>
      <c r="CU274" s="10"/>
      <c r="CV274" s="51" t="e">
        <f t="shared" ca="1" si="657"/>
        <v>#VALUE!</v>
      </c>
      <c r="CW274" s="51">
        <f t="shared" si="761"/>
        <v>0</v>
      </c>
      <c r="CX274" s="439" t="e">
        <f t="shared" ca="1" si="762"/>
        <v>#VALUE!</v>
      </c>
      <c r="CY274" s="51" t="e">
        <f t="shared" ca="1" si="763"/>
        <v>#VALUE!</v>
      </c>
      <c r="CZ274" s="10"/>
      <c r="DA274" s="51" t="e">
        <f t="shared" ca="1" si="764"/>
        <v>#VALUE!</v>
      </c>
      <c r="DB274" s="347" t="e">
        <f ca="1">INDEX(INDIRECT(VLOOKUP(LEFT(BO274,7),CLU!$Z$3:$AI$18,10)),((M274-2)*(6-COUNTBLANK(GT274:GY274)))+GJ274)*LI274</f>
        <v>#N/A</v>
      </c>
      <c r="DC274" s="347" t="str">
        <f>IF(L274&gt;0,((R274/Worksheet!$I$15)/DB274)^2," ")</f>
        <v xml:space="preserve"> </v>
      </c>
      <c r="DD274" s="602" t="str">
        <f t="shared" si="765"/>
        <v xml:space="preserve"> </v>
      </c>
      <c r="DE274" s="347" t="str">
        <f t="shared" si="658"/>
        <v xml:space="preserve"> </v>
      </c>
      <c r="DF274" s="356" t="e">
        <f ca="1">INDEX(INDIRECT(VLOOKUP(LEFT(BO274,7),CLU!$Z$3:$AH$18,8)),((M274-2)*(6-COUNTBLANK(GT274:GY274)))+GJ274)</f>
        <v>#N/A</v>
      </c>
      <c r="DG274" s="347" t="str">
        <f t="shared" si="659"/>
        <v xml:space="preserve"> </v>
      </c>
      <c r="DH274" s="357" t="str">
        <f t="shared" si="660"/>
        <v xml:space="preserve"> </v>
      </c>
      <c r="DI274" s="355" t="str">
        <f t="shared" si="661"/>
        <v xml:space="preserve"> </v>
      </c>
      <c r="DJ274" s="245" t="e">
        <f ca="1">INDEX(INDIRECT(VLOOKUP(LEFT(BO274,7),CLU!$Z$3:$AH$18,5)),GL274,GK274)</f>
        <v>#N/A</v>
      </c>
      <c r="DK274" s="245" t="e">
        <f ca="1">INDEX(INDIRECT(VLOOKUP(LEFT(BO274,7),CLU!$Z$3:$AH$18,6)),GL274,GK274)</f>
        <v>#N/A</v>
      </c>
      <c r="DL274" s="355">
        <f>(Calculation!R274*0.69143*(Calculation!$BQ$8-Calculation!$F$8))*$S$14</f>
        <v>0</v>
      </c>
      <c r="DM274" s="359" t="e">
        <f t="shared" si="766"/>
        <v>#VALUE!</v>
      </c>
      <c r="DN274" s="611">
        <f t="shared" si="767"/>
        <v>0</v>
      </c>
      <c r="DO274" s="359">
        <f t="shared" si="768"/>
        <v>100</v>
      </c>
      <c r="DP274" s="359">
        <f t="shared" si="769"/>
        <v>0</v>
      </c>
      <c r="DQ274" s="360"/>
      <c r="DR274" s="245" t="e">
        <f ca="1">INDEX(INDIRECT(VLOOKUP(LEFT(BO274,7),CLU!$Z$3:$AH$18,7)),M274-1,1)</f>
        <v>#N/A</v>
      </c>
      <c r="DS274" s="245" t="e">
        <f ca="1">INDEX(INDIRECT(VLOOKUP(LEFT(BO274,7),CLU!$Z$3:$AH$18,7)),M274-1,2)</f>
        <v>#N/A</v>
      </c>
      <c r="DT274" s="245" t="e">
        <f ca="1">INDEX(INDIRECT(VLOOKUP(LEFT(BO274,7),CLU!$Z$3:$AH$18,7)),M274-1,3)</f>
        <v>#N/A</v>
      </c>
      <c r="DU274" s="245" t="e">
        <f ca="1">INDEX(INDIRECT(VLOOKUP(LEFT(BO274,7),CLU!$Z$3:$AH$18,7)),M274-1,4)</f>
        <v>#N/A</v>
      </c>
      <c r="DV274" s="361" t="e">
        <f ca="1">INDEX(INDIRECT(VLOOKUP(LEFT(BO274,7),CLU!$Z$3:$AH$18,7)),M274-1,4+LEFT(DZ274,1)*0.5)</f>
        <v>#N/A</v>
      </c>
      <c r="DW274" s="245" t="e">
        <f ca="1">INDEX(INDIRECT(VLOOKUP(LEFT(BO274,7),CLU!$Z$3:$AH$18,7)),M274-1,8)</f>
        <v>#N/A</v>
      </c>
      <c r="DX274" s="361" t="str">
        <f t="shared" si="662"/>
        <v xml:space="preserve"> </v>
      </c>
      <c r="DY274" s="361" t="str">
        <f t="shared" si="663"/>
        <v xml:space="preserve"> </v>
      </c>
      <c r="DZ274" s="361" t="str">
        <f t="shared" si="664"/>
        <v xml:space="preserve"> </v>
      </c>
      <c r="EA274" s="362" t="str">
        <f t="shared" si="665"/>
        <v xml:space="preserve"> </v>
      </c>
      <c r="EB274" s="624" t="str">
        <f t="shared" si="770"/>
        <v xml:space="preserve"> </v>
      </c>
      <c r="EC274" s="361" t="e">
        <f ca="1">INDEX(INDIRECT(VLOOKUP(LEFT(BO274,7),CLU!$Z$3:$AH$18,7)),M274-1,4+LEFT(DZ274,1)*0.5)</f>
        <v>#N/A</v>
      </c>
      <c r="ED274" s="362" t="str">
        <f t="shared" si="666"/>
        <v xml:space="preserve"> </v>
      </c>
      <c r="EE274" s="361" t="str">
        <f t="shared" si="667"/>
        <v xml:space="preserve"> </v>
      </c>
      <c r="EF274" s="362" t="str">
        <f>IF(L274&gt;0,IF(BR274&gt;0,IF(EE274="2P",IF(Calculation!DZ274="2P",IF(Calculation!DS274=13.75,IF(Calculation!DR274=13,Worksheet!$BD$43,IF(Calculation!DR274=37,Worksheet!$BD$44,Worksheet!$BD$45)),IF(Calculation!DS274=10,IF(Calculation!DR274=18,Worksheet!$BD$29,IF(Calculation!DR274=30,Worksheet!$BD$30,IF(Calculation!DR274=42,Worksheet!$BD$31,IF(Calculation!DR274=54,Worksheet!$BD$32,IF(Calculation!DR274=66,Worksheet!$BD$33,IF(Calculation!DR274=78,Worksheet!$BD$34,IF(Calculation!DR274=90,Worksheet!$BD$35,IF(Calculation!DR274=102,Worksheet!$BD$36,Worksheet!$BD$37)))))))),IF(Calculation!DS274=12.5,IF(Calculation!DR274=18,Worksheet!$BD$38,IF(Calculation!DR274=Worksheet!$BD$39,IF(Calculation!DR274=42,Worksheet!$BD$40,IF(Calculation!DR274=54,Worksheet!$BD$41,Worksheet!$BD$42)))),IF(Calculation!DR274=18,Worksheet!$BD$11,IF(Calculation!DR274=30,Worksheet!$BD$12,IF(Calculation!DR274=42,Worksheet!$BD$13,IF(Calculation!DR274=54,Worksheet!$BD$14,IF(Calculation!DR274=66,Worksheet!$BD$15,IF(Calculation!DR274=78,Worksheet!$BD$16,IF(Calculation!DR274=90,Worksheet!$BD$17,IF(Calculation!DR274=102,Worksheet!$BD$18,Worksheet!$BD$19))))))))))),IF(Calculation!DS274=13.75,IF(Calculation!DR274=13,Worksheet!$BD$78,IF(Calculation!DR274=37,Worksheet!$BD$79,Worksheet!$BD$80)),IF(Calculation!DS274=10,IF(Calculation!DR274=18,Worksheet!$BD$64,IF(Calculation!DR274=30,Worksheet!$BD$65,IF(Calculation!DR274=42,Worksheet!$BD$66,IF(Calculation!DR274=54,Worksheet!$BD$68,IF(Calculation!DR274=66,Worksheet!$BD$68,IF(Calculation!DR274=78,Worksheet!$BD$69,IF(Calculation!DR274=90,Worksheet!$BD$70,IF(Calculation!DR274=102,Worksheet!$BD$71,Worksheet!$BD$72)))))))),IF(Calculation!DS274=12.5,IF(Calculation!DR274=18,Worksheet!$BD$73,IF(Calculation!DR274=Worksheet!$BD$74,IF(Calculation!DR274=42,Worksheet!$BD$75,IF(Calculation!DR274=54,Worksheet!$BD$76,Worksheet!$BD$77)))),IF(Calculation!DR274=18,Worksheet!$BD$55,IF(Calculation!DR274=30,Worksheet!$BD$56,IF(Calculation!DR274=42,Worksheet!$BD$57,IF(Calculation!DR274=54,Worksheet!$BD$58,IF(Calculation!DR274=66,Worksheet!$BD$59,IF(Calculation!DR274=78,Worksheet!$BD$60,IF(Calculation!DR274=90,Worksheet!$BD$61,IF(Calculation!DR274=102,Worksheet!$BD$62,Worksheet!$BD$63)))))))))))),5),0)," ")</f>
        <v xml:space="preserve"> </v>
      </c>
      <c r="EG274" s="361" t="str">
        <f t="shared" si="668"/>
        <v xml:space="preserve"> </v>
      </c>
      <c r="EH274" s="361" t="e">
        <f ca="1">INDEX(INDIRECT(VLOOKUP(LEFT(BO274,7),CLU!$Z$3:$AH$18,7)),M274-1,3+LEFT(DZ274,1))</f>
        <v>#N/A</v>
      </c>
      <c r="EI274" s="362" t="str">
        <f t="shared" si="669"/>
        <v xml:space="preserve"> </v>
      </c>
      <c r="EJ274" s="363" t="str">
        <f t="shared" si="670"/>
        <v xml:space="preserve"> </v>
      </c>
      <c r="EK274" s="363" t="str">
        <f t="shared" si="671"/>
        <v xml:space="preserve"> </v>
      </c>
      <c r="EL274" s="363" t="str">
        <f t="shared" si="672"/>
        <v xml:space="preserve"> </v>
      </c>
      <c r="EM274" s="362" t="str">
        <f>IF(L274&gt;0,IF(BR274&gt;0,(Calculation!T274/ED274)^2,0)," ")</f>
        <v xml:space="preserve"> </v>
      </c>
      <c r="EN274" s="362" t="str">
        <f>IF(L274&gt;0,IF(O274="2 Pipe (Cooling)","N/A",IF(BR274&gt;0,(Calculation!U274/EI274)^2,0))," ")</f>
        <v xml:space="preserve"> </v>
      </c>
      <c r="EO274" s="361" t="str">
        <f t="shared" si="673"/>
        <v/>
      </c>
      <c r="EP274" s="361" t="str">
        <f t="shared" si="674"/>
        <v/>
      </c>
      <c r="EQ274" s="361" t="str">
        <f t="shared" si="675"/>
        <v/>
      </c>
      <c r="ER274" s="361" t="str">
        <f t="shared" si="676"/>
        <v/>
      </c>
      <c r="ES274" s="361" t="str">
        <f t="shared" si="677"/>
        <v/>
      </c>
      <c r="ET274" s="361" t="str">
        <f t="shared" si="678"/>
        <v/>
      </c>
      <c r="EU274" s="361" t="str">
        <f t="shared" si="679"/>
        <v/>
      </c>
      <c r="EV274" s="361" t="str">
        <f t="shared" si="680"/>
        <v/>
      </c>
      <c r="EW274" s="361" t="str">
        <f t="shared" si="681"/>
        <v/>
      </c>
      <c r="EX274" s="361" t="str">
        <f t="shared" si="771"/>
        <v>1 slot, 1 way</v>
      </c>
      <c r="EY274" s="361" t="str">
        <f t="shared" si="772"/>
        <v xml:space="preserve"> </v>
      </c>
      <c r="EZ274" s="361" t="str">
        <f t="shared" si="773"/>
        <v xml:space="preserve"> </v>
      </c>
      <c r="FA274" s="361" t="str">
        <f t="shared" si="774"/>
        <v xml:space="preserve"> </v>
      </c>
      <c r="FB274" s="361" t="str">
        <f t="shared" si="775"/>
        <v xml:space="preserve"> </v>
      </c>
      <c r="FC274" s="361"/>
      <c r="FD274" s="361" t="str">
        <f>IF(J274&gt;0,IF(Calculation!R274&lt;=70,4,IF(Calculation!R274&lt;=110,5,IF(Calculation!R274&lt;=160,6,IF(Calculation!R274&lt;=300,8,"10 EO")))),"")</f>
        <v/>
      </c>
      <c r="FE274" s="361" t="str">
        <f t="shared" si="776"/>
        <v/>
      </c>
      <c r="FF274" s="361" t="str">
        <f t="shared" si="777"/>
        <v/>
      </c>
      <c r="FG274" s="361" t="e">
        <f t="shared" si="682"/>
        <v>#N/A</v>
      </c>
      <c r="FH274" s="361">
        <f t="shared" si="683"/>
        <v>0</v>
      </c>
      <c r="FI274" s="361" t="e">
        <f t="shared" si="684"/>
        <v>#DIV/0!</v>
      </c>
      <c r="FJ274" s="361"/>
      <c r="FK274" s="356" t="e">
        <f t="shared" si="685"/>
        <v>#VALUE!</v>
      </c>
      <c r="FL274" s="361"/>
      <c r="FM274" s="361"/>
      <c r="FN274" s="362" t="str">
        <f t="shared" si="778"/>
        <v xml:space="preserve"> </v>
      </c>
      <c r="FO274" s="362" t="str">
        <f t="shared" si="779"/>
        <v xml:space="preserve"> </v>
      </c>
      <c r="FP274" s="362">
        <f t="shared" si="780"/>
        <v>0</v>
      </c>
      <c r="FQ274" s="361">
        <f t="shared" si="686"/>
        <v>0</v>
      </c>
      <c r="FR274" s="362" t="str">
        <f>IF(L274&gt;0,IF(J274="CBAL2",Worksheet!$P$67,IF(J274="CBE2-24",Worksheet!$Q$67,IF(J274="CBAM",Worksheet!$R$67,IF(J274="CBLV",Worksheet!$S$67,IF(J274="CBAB",Worksheet!$U$67,IF(J274="CBAW",Worksheet!$X$67,IF(J274="CBE2-12",Worksheet!$Y$67,IF(J274="CBAL2",Worksheet!$Z$67,"N/A"))))))))," ")</f>
        <v xml:space="preserve"> </v>
      </c>
      <c r="FS274" s="362" t="str">
        <f>IF(L274&gt;0,IF(J274="CBAL2",Worksheet!$P$68,IF(J274="CBE2-24",Worksheet!$Q$68,IF(J274="CBAM",Worksheet!$R$68,IF(J274="CBLV",Worksheet!$S$68,IF(J274="CBAB",Worksheet!$U$68,IF(J274="CBAW",Worksheet!$X$68,IF(J274="CBE2-12",Worksheet!$Y$68,IF(J274="CBAL2",Worksheet!$Z$68,"N/A"))))))))," ")</f>
        <v xml:space="preserve"> </v>
      </c>
      <c r="FT274" s="362" t="str">
        <f>IF(L274&gt;0,IF(J274="CBAL2",Worksheet!$P$69,IF(J274="CBE2-24",Worksheet!$Q$69,IF(J274="CBAM",Worksheet!$R$69,IF(J274="CBLV",Worksheet!$S$69,IF(J274="CBAB",Worksheet!$U$69,IF(J274="CBAW",Worksheet!$X$69,IF(J274="CBE2-12",Worksheet!$Y$69,IF(J274="CBAL2",Worksheet!$Z$69,"N/A"))))))))," ")</f>
        <v xml:space="preserve"> </v>
      </c>
      <c r="FU274" s="361" t="str">
        <f t="shared" si="781"/>
        <v xml:space="preserve"> </v>
      </c>
      <c r="FV274" s="362" t="str">
        <f t="shared" si="782"/>
        <v xml:space="preserve"> </v>
      </c>
      <c r="FW274" s="362" t="str">
        <f t="shared" si="783"/>
        <v xml:space="preserve"> </v>
      </c>
      <c r="FX274" s="362" t="str">
        <f t="shared" si="784"/>
        <v xml:space="preserve"> </v>
      </c>
      <c r="FY274" s="355" t="str">
        <f t="shared" si="785"/>
        <v xml:space="preserve"> </v>
      </c>
      <c r="FZ274" s="361" t="str">
        <f t="shared" si="786"/>
        <v xml:space="preserve"> </v>
      </c>
      <c r="GA274" s="347" t="str">
        <f t="shared" si="787"/>
        <v xml:space="preserve"> </v>
      </c>
      <c r="GB274" s="355" t="str">
        <f t="shared" si="788"/>
        <v xml:space="preserve"> </v>
      </c>
      <c r="GC274" s="328" t="str">
        <f t="shared" si="789"/>
        <v xml:space="preserve"> </v>
      </c>
      <c r="GD274" s="361" t="str">
        <f t="shared" si="790"/>
        <v xml:space="preserve"> </v>
      </c>
      <c r="GE274" s="347" t="str">
        <f t="shared" si="791"/>
        <v xml:space="preserve"> </v>
      </c>
      <c r="GF274" s="361" t="str">
        <f t="shared" si="792"/>
        <v xml:space="preserve"> </v>
      </c>
      <c r="GG274" s="347" t="str">
        <f t="shared" si="793"/>
        <v xml:space="preserve"> </v>
      </c>
      <c r="GH274" s="364">
        <f t="shared" si="687"/>
        <v>0</v>
      </c>
      <c r="GI274" s="362">
        <f t="shared" si="794"/>
        <v>2</v>
      </c>
      <c r="GJ274" s="433" t="e">
        <f>IF(6-COUNTBLANK(GT274:GY274)=4,MATCH(MID(BO274,9,3),CLU!$H$16:$K$16),MATCH(MID(BO274,9,3),CLU!$H$13:$M$13))</f>
        <v>#N/A</v>
      </c>
      <c r="GK274" s="433" t="e">
        <f>HLOOKUP(VALUE(BP274),CLU!$H$9:$M$10,2)</f>
        <v>#VALUE!</v>
      </c>
      <c r="GL274" s="433" t="e">
        <f ca="1">MATCH(BU274,CLU!$H$2:$V$2,1)</f>
        <v>#VALUE!</v>
      </c>
      <c r="GM274" s="433" t="e">
        <f t="shared" ca="1" si="795"/>
        <v>#VALUE!</v>
      </c>
      <c r="GN274" s="433" t="e">
        <f t="shared" ca="1" si="796"/>
        <v>#VALUE!</v>
      </c>
      <c r="GO274" s="433" t="e">
        <f t="shared" ca="1" si="797"/>
        <v>#VALUE!</v>
      </c>
      <c r="GP274" s="433" t="e">
        <f t="shared" ca="1" si="798"/>
        <v>#VALUE!</v>
      </c>
      <c r="GQ274" s="433" t="e">
        <f t="shared" ca="1" si="799"/>
        <v>#VALUE!</v>
      </c>
      <c r="GR274" s="433" t="e">
        <f ca="1">MATCH(T274,INDIRECT(VLOOKUP(CONCATENATE(LEFT(BO274,7),"-",MID(BO274,13,1)),CLU!$P$3:$Q$16,2)),1)</f>
        <v>#N/A</v>
      </c>
      <c r="GS274" s="433" t="e">
        <f ca="1">MATCH(U274,INDIRECT(VLOOKUP(CONCATENATE(LEFT(BO274,7),"-",MID(BO274,13,1)),CLU!$P$3:$Q$16,2)),1)</f>
        <v>#N/A</v>
      </c>
      <c r="GT274" s="347" t="s">
        <v>512</v>
      </c>
      <c r="GU274" s="97" t="s">
        <v>513</v>
      </c>
      <c r="GV274" s="97" t="str">
        <f t="shared" si="800"/>
        <v>M23</v>
      </c>
      <c r="GW274" s="97" t="str">
        <f t="shared" si="801"/>
        <v>M31</v>
      </c>
      <c r="GX274" s="97" t="str">
        <f t="shared" si="802"/>
        <v/>
      </c>
      <c r="GY274" s="97" t="str">
        <f t="shared" si="803"/>
        <v/>
      </c>
      <c r="GZ274" s="481"/>
      <c r="HA274" s="240"/>
      <c r="HB274" s="240"/>
      <c r="HC274" s="240"/>
      <c r="HD274" s="240"/>
      <c r="HE274" s="240"/>
      <c r="HF274" s="240"/>
      <c r="HG274" s="240"/>
      <c r="HH274" s="240"/>
      <c r="HI274" s="240"/>
      <c r="HJ274" s="240"/>
      <c r="HK274" s="240"/>
      <c r="HL274" s="240"/>
      <c r="HM274" s="240"/>
      <c r="HN274" s="240"/>
      <c r="HO274" s="240"/>
      <c r="HP274" s="240"/>
      <c r="HQ274" s="240"/>
      <c r="HR274" s="240"/>
      <c r="HS274" s="240"/>
      <c r="HT274" s="240"/>
      <c r="HU274" s="240"/>
      <c r="HV274" s="245"/>
      <c r="HW274" s="245" t="b">
        <v>1</v>
      </c>
      <c r="HX274" s="245" t="str">
        <f t="shared" si="688"/>
        <v/>
      </c>
      <c r="HY274" s="245" t="e">
        <f t="shared" si="689"/>
        <v>#DIV/0!</v>
      </c>
      <c r="HZ274" s="245" t="e">
        <f t="shared" si="690"/>
        <v>#DIV/0!</v>
      </c>
      <c r="IA274" s="245">
        <f t="shared" si="691"/>
        <v>0</v>
      </c>
      <c r="IB274" s="245"/>
      <c r="IC274" t="b">
        <f t="shared" si="692"/>
        <v>1</v>
      </c>
      <c r="ID274" s="245" t="b">
        <f t="shared" si="693"/>
        <v>1</v>
      </c>
      <c r="IE274" s="245" t="b">
        <f t="shared" si="694"/>
        <v>1</v>
      </c>
      <c r="IF274" s="245" t="b">
        <f t="shared" si="695"/>
        <v>0</v>
      </c>
      <c r="IG274" s="245" t="b">
        <f t="shared" si="696"/>
        <v>1</v>
      </c>
      <c r="IH274" s="245" t="b">
        <f t="shared" si="697"/>
        <v>1</v>
      </c>
      <c r="II274" s="245">
        <f t="shared" si="804"/>
        <v>0</v>
      </c>
      <c r="IJ274" s="245" t="e">
        <f t="shared" si="698"/>
        <v>#VALUE!</v>
      </c>
      <c r="IK274" s="245" t="e">
        <f t="shared" si="699"/>
        <v>#VALUE!</v>
      </c>
      <c r="IL274" s="245"/>
      <c r="IM274" s="245" t="e">
        <f t="shared" si="805"/>
        <v>#N/A</v>
      </c>
      <c r="IN274" s="245" t="e">
        <f t="shared" si="806"/>
        <v>#N/A</v>
      </c>
      <c r="IO274" s="245"/>
      <c r="IP274" s="245"/>
      <c r="IQ274" s="245" t="str">
        <f t="shared" si="700"/>
        <v/>
      </c>
      <c r="IR274" s="245" t="str">
        <f>IF(J274="","",VLOOKUP(J274,Worksheet!$R$4:$T$14,2))</f>
        <v/>
      </c>
      <c r="IS274" s="245"/>
      <c r="IT274" s="245">
        <f t="shared" si="701"/>
        <v>0</v>
      </c>
      <c r="IU274" s="245">
        <f t="shared" si="702"/>
        <v>0</v>
      </c>
      <c r="IV274" s="245">
        <f t="shared" si="703"/>
        <v>0</v>
      </c>
      <c r="IW274" s="245">
        <f t="shared" si="704"/>
        <v>0</v>
      </c>
      <c r="IX274" s="245">
        <f t="shared" si="807"/>
        <v>0</v>
      </c>
      <c r="IY274" s="245">
        <f t="shared" si="705"/>
        <v>0</v>
      </c>
      <c r="IZ274" s="245">
        <f t="shared" si="706"/>
        <v>0</v>
      </c>
      <c r="JA274">
        <f t="shared" si="707"/>
        <v>0</v>
      </c>
      <c r="JB274">
        <f t="shared" si="808"/>
        <v>0</v>
      </c>
      <c r="JC274">
        <f t="shared" si="708"/>
        <v>0</v>
      </c>
      <c r="JD274">
        <f t="shared" si="709"/>
        <v>0</v>
      </c>
      <c r="JE274">
        <f t="shared" si="710"/>
        <v>0</v>
      </c>
      <c r="JF274">
        <f t="shared" si="711"/>
        <v>0</v>
      </c>
      <c r="JG274">
        <f t="shared" si="712"/>
        <v>0</v>
      </c>
      <c r="JH274">
        <f t="shared" si="713"/>
        <v>0</v>
      </c>
      <c r="JI274">
        <f t="shared" si="714"/>
        <v>0</v>
      </c>
      <c r="JJ274" s="447">
        <f t="shared" si="715"/>
        <v>0</v>
      </c>
      <c r="JK274" s="447">
        <f t="shared" si="716"/>
        <v>0</v>
      </c>
      <c r="JL274">
        <f t="shared" si="717"/>
        <v>0</v>
      </c>
      <c r="JM274" s="245" t="str">
        <f>IFERROR(VLOOKUP(MATCH(BN274,#REF!,0),#REF!,7),"")</f>
        <v/>
      </c>
      <c r="JN274" t="e">
        <f>HLOOKUP(LEFT(BO274,7),Discharge_Area,MATCH(JO274,LookUps!$B$130:$B$149,1)+2)</f>
        <v>#N/A</v>
      </c>
      <c r="JO274" t="str">
        <f t="shared" si="718"/>
        <v>- S</v>
      </c>
      <c r="JP274" t="e">
        <f>HLOOKUP(LEFT(BO274,7),Discharge_Area,MATCH(JO274,LookUps!$B$130:$B$149,1)+2)</f>
        <v>#N/A</v>
      </c>
      <c r="JQ274" t="e">
        <f t="shared" si="719"/>
        <v>#N/A</v>
      </c>
      <c r="JR274" t="e">
        <f t="shared" si="720"/>
        <v>#N/A</v>
      </c>
      <c r="JS274" t="e">
        <f t="shared" si="721"/>
        <v>#N/A</v>
      </c>
      <c r="JT274" s="532" t="str">
        <f t="shared" si="722"/>
        <v xml:space="preserve"> </v>
      </c>
      <c r="JU274" s="532" t="str">
        <f t="shared" si="723"/>
        <v xml:space="preserve"> </v>
      </c>
      <c r="JV274" s="533" t="str">
        <f t="shared" si="724"/>
        <v xml:space="preserve"> </v>
      </c>
      <c r="JW274" s="534">
        <f t="shared" si="725"/>
        <v>0</v>
      </c>
      <c r="JX274" s="535" t="str">
        <f t="shared" si="809"/>
        <v xml:space="preserve"> </v>
      </c>
      <c r="JY274" s="535" t="str">
        <f t="shared" si="810"/>
        <v xml:space="preserve"> </v>
      </c>
      <c r="JZ274" s="535" t="str">
        <f t="shared" si="811"/>
        <v xml:space="preserve"> </v>
      </c>
      <c r="KA274" s="536" t="str">
        <f t="shared" si="726"/>
        <v xml:space="preserve"> </v>
      </c>
      <c r="KB274" s="535" t="e">
        <f t="shared" si="812"/>
        <v>#VALUE!</v>
      </c>
      <c r="KC274" s="535" t="str">
        <f t="shared" si="727"/>
        <v/>
      </c>
      <c r="KD274" s="537" t="str">
        <f t="shared" si="813"/>
        <v xml:space="preserve"> </v>
      </c>
      <c r="KE274" s="537" t="str">
        <f t="shared" si="814"/>
        <v xml:space="preserve"> </v>
      </c>
      <c r="KF274" s="534">
        <f t="shared" si="728"/>
        <v>0</v>
      </c>
      <c r="KG274" s="535" t="str">
        <f t="shared" si="729"/>
        <v xml:space="preserve"> </v>
      </c>
      <c r="KH274" s="535" t="str">
        <f t="shared" si="730"/>
        <v xml:space="preserve"> </v>
      </c>
      <c r="KI274" s="535" t="str">
        <f t="shared" si="731"/>
        <v xml:space="preserve"> </v>
      </c>
      <c r="KJ274" s="536" t="str">
        <f t="shared" si="732"/>
        <v xml:space="preserve"> </v>
      </c>
      <c r="KK274" s="535" t="str">
        <f t="shared" si="815"/>
        <v xml:space="preserve"> </v>
      </c>
      <c r="KL274" s="535" t="str">
        <f t="shared" si="816"/>
        <v xml:space="preserve"> </v>
      </c>
      <c r="KM274" s="537" t="str">
        <f t="shared" si="733"/>
        <v xml:space="preserve"> </v>
      </c>
      <c r="KN274" s="537" t="str">
        <f t="shared" si="817"/>
        <v xml:space="preserve"> </v>
      </c>
      <c r="KP274">
        <f t="shared" si="734"/>
        <v>0</v>
      </c>
      <c r="LA274" t="e">
        <f t="shared" si="735"/>
        <v>#VALUE!</v>
      </c>
      <c r="LB274" t="e">
        <f t="shared" si="736"/>
        <v>#VALUE!</v>
      </c>
      <c r="LC274" t="e">
        <f t="shared" si="737"/>
        <v>#VALUE!</v>
      </c>
      <c r="LD274" t="e">
        <f t="shared" si="738"/>
        <v>#VALUE!</v>
      </c>
      <c r="LE274" t="e">
        <f t="shared" si="818"/>
        <v>#VALUE!</v>
      </c>
      <c r="LF274">
        <f t="shared" si="739"/>
        <v>0</v>
      </c>
      <c r="LG274" t="e">
        <f t="shared" si="819"/>
        <v>#VALUE!</v>
      </c>
      <c r="LH274" t="str">
        <f t="shared" si="740"/>
        <v xml:space="preserve"> </v>
      </c>
      <c r="LI274">
        <f t="shared" si="820"/>
        <v>1</v>
      </c>
    </row>
    <row r="275" spans="2:321" ht="15" customHeight="1">
      <c r="B275" s="311"/>
      <c r="C275" s="311"/>
      <c r="D275" s="312"/>
      <c r="E275" s="311"/>
      <c r="F275" s="312"/>
      <c r="G275" s="311"/>
      <c r="H275" s="311"/>
      <c r="I275" s="232"/>
      <c r="J275" s="311"/>
      <c r="K275" s="305" t="str">
        <f t="shared" si="741"/>
        <v/>
      </c>
      <c r="L275" s="313"/>
      <c r="M275" s="312"/>
      <c r="N275" s="311"/>
      <c r="O275" s="312"/>
      <c r="P275" s="311"/>
      <c r="Q275" s="305" t="str">
        <f t="shared" si="742"/>
        <v/>
      </c>
      <c r="R275" s="314"/>
      <c r="S275" s="450" t="str">
        <f t="shared" si="625"/>
        <v/>
      </c>
      <c r="T275" s="315"/>
      <c r="U275" s="315"/>
      <c r="W275" s="149" t="str">
        <f t="shared" si="626"/>
        <v xml:space="preserve"> </v>
      </c>
      <c r="X275" s="243" t="str">
        <f t="shared" si="627"/>
        <v xml:space="preserve"> </v>
      </c>
      <c r="Y275" s="150" t="str">
        <f t="shared" si="628"/>
        <v/>
      </c>
      <c r="Z275" s="149" t="str">
        <f t="shared" si="629"/>
        <v xml:space="preserve"> </v>
      </c>
      <c r="AA275" s="98" t="str">
        <f t="shared" si="630"/>
        <v xml:space="preserve"> </v>
      </c>
      <c r="AB275" s="153" t="str">
        <f t="shared" si="631"/>
        <v xml:space="preserve"> </v>
      </c>
      <c r="AC275" s="153" t="str">
        <f t="shared" si="632"/>
        <v xml:space="preserve"> </v>
      </c>
      <c r="AD275" s="148" t="str">
        <f t="shared" si="633"/>
        <v/>
      </c>
      <c r="AE275" s="149" t="str">
        <f t="shared" si="634"/>
        <v/>
      </c>
      <c r="AF275" s="151" t="str">
        <f t="shared" si="635"/>
        <v xml:space="preserve"> </v>
      </c>
      <c r="AG275" s="153" t="str">
        <f t="shared" si="636"/>
        <v xml:space="preserve"> </v>
      </c>
      <c r="AH275" s="98" t="str">
        <f t="shared" si="637"/>
        <v xml:space="preserve"> </v>
      </c>
      <c r="AI275" s="149" t="str">
        <f t="shared" si="638"/>
        <v xml:space="preserve"> </v>
      </c>
      <c r="AK275" s="144" t="str">
        <f t="shared" si="639"/>
        <v xml:space="preserve"> </v>
      </c>
      <c r="AL275" s="144"/>
      <c r="AM275" s="243" t="str">
        <f t="shared" si="640"/>
        <v xml:space="preserve"> </v>
      </c>
      <c r="AN275" s="149" t="str">
        <f t="shared" si="743"/>
        <v xml:space="preserve"> </v>
      </c>
      <c r="AO275" s="144" t="str">
        <f>IF(JB275&gt;0,IF(GI275=10,-R275*1.085*(Calculation!$F$6-Calculation!$F$13)*$S$14," "),"")</f>
        <v/>
      </c>
      <c r="AP275" s="144" t="str">
        <f t="shared" si="641"/>
        <v/>
      </c>
      <c r="AQ275" s="56" t="str">
        <f t="shared" si="642"/>
        <v/>
      </c>
      <c r="AR275" s="144" t="str">
        <f t="shared" si="643"/>
        <v/>
      </c>
      <c r="AS275" s="176" t="str">
        <f t="shared" si="644"/>
        <v/>
      </c>
      <c r="AT275" s="176" t="str">
        <f t="shared" si="744"/>
        <v xml:space="preserve"> </v>
      </c>
      <c r="AU275" s="176" t="str">
        <f t="shared" si="645"/>
        <v/>
      </c>
      <c r="AV275" s="177" t="str">
        <f t="shared" si="646"/>
        <v xml:space="preserve"> </v>
      </c>
      <c r="AW275" s="144" t="str">
        <f t="shared" si="647"/>
        <v xml:space="preserve"> </v>
      </c>
      <c r="AX275" s="144" t="str">
        <f t="shared" si="648"/>
        <v xml:space="preserve"> </v>
      </c>
      <c r="AY275" s="152" t="str">
        <f t="shared" si="649"/>
        <v xml:space="preserve"> </v>
      </c>
      <c r="AZ275" s="246" t="str">
        <f t="shared" si="650"/>
        <v/>
      </c>
      <c r="BA275" s="176" t="str">
        <f t="shared" si="651"/>
        <v xml:space="preserve"> </v>
      </c>
      <c r="BB275" s="176" t="str">
        <f t="shared" si="652"/>
        <v xml:space="preserve"> </v>
      </c>
      <c r="BC275" s="195"/>
      <c r="BD275" s="316"/>
      <c r="BE275" s="317"/>
      <c r="BF275" s="318"/>
      <c r="BG275" s="318"/>
      <c r="BH275" s="144" t="str">
        <f t="shared" si="821"/>
        <v xml:space="preserve"> </v>
      </c>
      <c r="BI275" s="176" t="str">
        <f t="shared" si="653"/>
        <v/>
      </c>
      <c r="BJ275" s="144" t="str">
        <f t="shared" si="822"/>
        <v/>
      </c>
      <c r="BK275" s="246" t="str">
        <f t="shared" si="654"/>
        <v/>
      </c>
      <c r="BL275" s="144" t="str">
        <f t="shared" si="823"/>
        <v/>
      </c>
      <c r="BM275" s="246" t="str">
        <f t="shared" si="655"/>
        <v/>
      </c>
      <c r="BN275" s="337" t="str">
        <f t="shared" si="745"/>
        <v/>
      </c>
      <c r="BO275" s="371" t="str">
        <f t="shared" si="746"/>
        <v/>
      </c>
      <c r="BP275" s="328" t="str">
        <f t="shared" si="824"/>
        <v xml:space="preserve"> </v>
      </c>
      <c r="BQ275" s="347" t="str">
        <f t="shared" si="747"/>
        <v xml:space="preserve"> </v>
      </c>
      <c r="BR275" s="353" t="str">
        <f t="shared" si="748"/>
        <v xml:space="preserve"> </v>
      </c>
      <c r="BS275" s="626" t="str">
        <f>IF(L275&gt;0,IF(Calculation!P275="M13",BR275*3.1416*(0.134^2)/(4*144),IF(Calculation!P275="M17",BR275*3.1416*(0.165^2)/(4*144),IF(Calculation!P275="M20",BR275*3.1416*(0.198^2)/(4*144),IF(Calculation!P275="M23",BR275*3.1416*(0.228^2)/(4*144),IF(Calculation!P275="M27",BR275*3.1416*(0.269^2)/(4*144),BR275*3.1416*(0.307^2)/(4*144))))))," ")</f>
        <v xml:space="preserve"> </v>
      </c>
      <c r="BT275" s="353" t="str">
        <f>IF(L275&gt;0,IF(BS275&gt;0,R275/Calculation!BS275,0)," ")</f>
        <v xml:space="preserve"> </v>
      </c>
      <c r="BU275" s="438" t="e">
        <f t="shared" ca="1" si="656"/>
        <v>#VALUE!</v>
      </c>
      <c r="BV275" s="449" t="e">
        <f ca="1">INDEX(INDIRECT(VLOOKUP(LEFT(BO275,7),CLU!$Z$3:$AH$18,2)),GN275,GR275)</f>
        <v>#N/A</v>
      </c>
      <c r="BW275" s="433" t="e">
        <f ca="1">INDEX(INDIRECT(VLOOKUP(LEFT(BO275,7),CLU!$Z$3:$AH$18,3)),GN275,GR275)</f>
        <v>#N/A</v>
      </c>
      <c r="BX275" s="433" t="e">
        <f ca="1">INDEX(INDIRECT(VLOOKUP(LEFT(BO275,7),CLU!$Z$3:$AH$18,4)),GN275,GR275)</f>
        <v>#N/A</v>
      </c>
      <c r="BY275" s="433" t="e">
        <f ca="1">INDEX(INDIRECT(VLOOKUP(LEFT(BO275,7),CLU!$Z$3:$AH$18,9)),((M275-2)*(6-COUNTBLANK(GT275:GY275)))+GJ275)</f>
        <v>#N/A</v>
      </c>
      <c r="BZ275" s="426" t="e">
        <f t="shared" ca="1" si="749"/>
        <v>#N/A</v>
      </c>
      <c r="CA275" s="424" t="e">
        <f t="shared" ca="1" si="750"/>
        <v>#N/A</v>
      </c>
      <c r="CB275" s="429" t="e">
        <f ca="1">INDEX(INDIRECT(VLOOKUP(LEFT(BO275,7),CLU!$Z$3:$AH$18,2)),GN275,GS275)</f>
        <v>#N/A</v>
      </c>
      <c r="CC275" s="342" t="e">
        <f ca="1">INDEX(INDIRECT(VLOOKUP(LEFT(BO275,7),CLU!$Z$3:$AH$18,3)),GN275,GS275)</f>
        <v>#N/A</v>
      </c>
      <c r="CD275" s="342" t="e">
        <f ca="1">INDEX(INDIRECT(VLOOKUP(LEFT(BO275,7),CLU!$Z$3:$AH$18,4)),GN275,GS275)</f>
        <v>#N/A</v>
      </c>
      <c r="CE275" s="426" t="e">
        <f t="shared" ca="1" si="751"/>
        <v>#N/A</v>
      </c>
      <c r="CF275" s="440">
        <f t="shared" si="752"/>
        <v>0</v>
      </c>
      <c r="CG275" s="431" t="e">
        <f ca="1">INDEX(INDIRECT(VLOOKUP(LEFT(BO275,7),CLU!$Z$3:$AH$18,2)),GQ275,GR275)</f>
        <v>#N/A</v>
      </c>
      <c r="CH275" s="431" t="e">
        <f ca="1">INDEX(INDIRECT(VLOOKUP(LEFT(BO275,7),CLU!$Z$3:$AH$18,3)),GQ275,GR275)</f>
        <v>#N/A</v>
      </c>
      <c r="CI275" s="431" t="e">
        <f ca="1">INDEX(INDIRECT(VLOOKUP(LEFT(BO275,7),CLU!$Z$3:$AH$18,4)),GQ275,GR275)</f>
        <v>#N/A</v>
      </c>
      <c r="CJ275" s="448" t="e">
        <f t="shared" ca="1" si="753"/>
        <v>#N/A</v>
      </c>
      <c r="CK275" s="431" t="e">
        <f t="shared" ca="1" si="754"/>
        <v>#N/A</v>
      </c>
      <c r="CL275" s="440" t="e">
        <f t="shared" ca="1" si="755"/>
        <v>#N/A</v>
      </c>
      <c r="CM275" s="431" t="e">
        <f ca="1">INDEX(INDIRECT(VLOOKUP(LEFT(BO275,7),CLU!$Z$3:$AH$18,2)),GQ275,GS275)</f>
        <v>#N/A</v>
      </c>
      <c r="CN275" s="431" t="e">
        <f ca="1">INDEX(INDIRECT(VLOOKUP(LEFT(BO275,7),CLU!$Z$3:$AH$18,3)),GQ275,GS275)</f>
        <v>#N/A</v>
      </c>
      <c r="CO275" s="431" t="e">
        <f ca="1">INDEX(INDIRECT(VLOOKUP(LEFT(BO275,7),CLU!$Z$3:$AH$18,4)),GQ275,GS275)</f>
        <v>#N/A</v>
      </c>
      <c r="CP275" s="431" t="e">
        <f t="shared" ca="1" si="756"/>
        <v>#N/A</v>
      </c>
      <c r="CQ275" s="440">
        <f t="shared" si="757"/>
        <v>0</v>
      </c>
      <c r="CR275" s="51" t="e">
        <f t="shared" ca="1" si="758"/>
        <v>#N/A</v>
      </c>
      <c r="CS275" s="439" t="e">
        <f t="shared" ca="1" si="759"/>
        <v>#VALUE!</v>
      </c>
      <c r="CT275" s="51" t="e">
        <f t="shared" ca="1" si="760"/>
        <v>#VALUE!</v>
      </c>
      <c r="CU275" s="10"/>
      <c r="CV275" s="51" t="e">
        <f t="shared" ca="1" si="657"/>
        <v>#VALUE!</v>
      </c>
      <c r="CW275" s="51">
        <f t="shared" si="761"/>
        <v>0</v>
      </c>
      <c r="CX275" s="439" t="e">
        <f t="shared" ca="1" si="762"/>
        <v>#VALUE!</v>
      </c>
      <c r="CY275" s="51" t="e">
        <f t="shared" ca="1" si="763"/>
        <v>#VALUE!</v>
      </c>
      <c r="CZ275" s="10"/>
      <c r="DA275" s="51" t="e">
        <f t="shared" ca="1" si="764"/>
        <v>#VALUE!</v>
      </c>
      <c r="DB275" s="347" t="e">
        <f ca="1">INDEX(INDIRECT(VLOOKUP(LEFT(BO275,7),CLU!$Z$3:$AI$18,10)),((M275-2)*(6-COUNTBLANK(GT275:GY275)))+GJ275)*LI275</f>
        <v>#N/A</v>
      </c>
      <c r="DC275" s="347" t="str">
        <f>IF(L275&gt;0,((R275/Worksheet!$I$15)/DB275)^2," ")</f>
        <v xml:space="preserve"> </v>
      </c>
      <c r="DD275" s="602" t="str">
        <f t="shared" si="765"/>
        <v xml:space="preserve"> </v>
      </c>
      <c r="DE275" s="347" t="str">
        <f t="shared" si="658"/>
        <v xml:space="preserve"> </v>
      </c>
      <c r="DF275" s="356" t="e">
        <f ca="1">INDEX(INDIRECT(VLOOKUP(LEFT(BO275,7),CLU!$Z$3:$AH$18,8)),((M275-2)*(6-COUNTBLANK(GT275:GY275)))+GJ275)</f>
        <v>#N/A</v>
      </c>
      <c r="DG275" s="347" t="str">
        <f t="shared" si="659"/>
        <v xml:space="preserve"> </v>
      </c>
      <c r="DH275" s="357" t="str">
        <f t="shared" si="660"/>
        <v xml:space="preserve"> </v>
      </c>
      <c r="DI275" s="355" t="str">
        <f t="shared" si="661"/>
        <v xml:space="preserve"> </v>
      </c>
      <c r="DJ275" s="245" t="e">
        <f ca="1">INDEX(INDIRECT(VLOOKUP(LEFT(BO275,7),CLU!$Z$3:$AH$18,5)),GL275,GK275)</f>
        <v>#N/A</v>
      </c>
      <c r="DK275" s="245" t="e">
        <f ca="1">INDEX(INDIRECT(VLOOKUP(LEFT(BO275,7),CLU!$Z$3:$AH$18,6)),GL275,GK275)</f>
        <v>#N/A</v>
      </c>
      <c r="DL275" s="355">
        <f>(Calculation!R275*0.69143*(Calculation!$BQ$8-Calculation!$F$8))*$S$14</f>
        <v>0</v>
      </c>
      <c r="DM275" s="359" t="e">
        <f t="shared" si="766"/>
        <v>#VALUE!</v>
      </c>
      <c r="DN275" s="611">
        <f t="shared" si="767"/>
        <v>0</v>
      </c>
      <c r="DO275" s="359">
        <f t="shared" si="768"/>
        <v>100</v>
      </c>
      <c r="DP275" s="359">
        <f t="shared" si="769"/>
        <v>0</v>
      </c>
      <c r="DQ275" s="360"/>
      <c r="DR275" s="245" t="e">
        <f ca="1">INDEX(INDIRECT(VLOOKUP(LEFT(BO275,7),CLU!$Z$3:$AH$18,7)),M275-1,1)</f>
        <v>#N/A</v>
      </c>
      <c r="DS275" s="245" t="e">
        <f ca="1">INDEX(INDIRECT(VLOOKUP(LEFT(BO275,7),CLU!$Z$3:$AH$18,7)),M275-1,2)</f>
        <v>#N/A</v>
      </c>
      <c r="DT275" s="245" t="e">
        <f ca="1">INDEX(INDIRECT(VLOOKUP(LEFT(BO275,7),CLU!$Z$3:$AH$18,7)),M275-1,3)</f>
        <v>#N/A</v>
      </c>
      <c r="DU275" s="245" t="e">
        <f ca="1">INDEX(INDIRECT(VLOOKUP(LEFT(BO275,7),CLU!$Z$3:$AH$18,7)),M275-1,4)</f>
        <v>#N/A</v>
      </c>
      <c r="DV275" s="361" t="e">
        <f ca="1">INDEX(INDIRECT(VLOOKUP(LEFT(BO275,7),CLU!$Z$3:$AH$18,7)),M275-1,4+LEFT(DZ275,1)*0.5)</f>
        <v>#N/A</v>
      </c>
      <c r="DW275" s="245" t="e">
        <f ca="1">INDEX(INDIRECT(VLOOKUP(LEFT(BO275,7),CLU!$Z$3:$AH$18,7)),M275-1,8)</f>
        <v>#N/A</v>
      </c>
      <c r="DX275" s="361" t="str">
        <f t="shared" si="662"/>
        <v xml:space="preserve"> </v>
      </c>
      <c r="DY275" s="361" t="str">
        <f t="shared" si="663"/>
        <v xml:space="preserve"> </v>
      </c>
      <c r="DZ275" s="361" t="str">
        <f t="shared" si="664"/>
        <v xml:space="preserve"> </v>
      </c>
      <c r="EA275" s="362" t="str">
        <f t="shared" si="665"/>
        <v xml:space="preserve"> </v>
      </c>
      <c r="EB275" s="624" t="str">
        <f t="shared" si="770"/>
        <v xml:space="preserve"> </v>
      </c>
      <c r="EC275" s="361" t="e">
        <f ca="1">INDEX(INDIRECT(VLOOKUP(LEFT(BO275,7),CLU!$Z$3:$AH$18,7)),M275-1,4+LEFT(DZ275,1)*0.5)</f>
        <v>#N/A</v>
      </c>
      <c r="ED275" s="362" t="str">
        <f t="shared" si="666"/>
        <v xml:space="preserve"> </v>
      </c>
      <c r="EE275" s="361" t="str">
        <f t="shared" si="667"/>
        <v xml:space="preserve"> </v>
      </c>
      <c r="EF275" s="362" t="str">
        <f>IF(L275&gt;0,IF(BR275&gt;0,IF(EE275="2P",IF(Calculation!DZ275="2P",IF(Calculation!DS275=13.75,IF(Calculation!DR275=13,Worksheet!$BD$43,IF(Calculation!DR275=37,Worksheet!$BD$44,Worksheet!$BD$45)),IF(Calculation!DS275=10,IF(Calculation!DR275=18,Worksheet!$BD$29,IF(Calculation!DR275=30,Worksheet!$BD$30,IF(Calculation!DR275=42,Worksheet!$BD$31,IF(Calculation!DR275=54,Worksheet!$BD$32,IF(Calculation!DR275=66,Worksheet!$BD$33,IF(Calculation!DR275=78,Worksheet!$BD$34,IF(Calculation!DR275=90,Worksheet!$BD$35,IF(Calculation!DR275=102,Worksheet!$BD$36,Worksheet!$BD$37)))))))),IF(Calculation!DS275=12.5,IF(Calculation!DR275=18,Worksheet!$BD$38,IF(Calculation!DR275=Worksheet!$BD$39,IF(Calculation!DR275=42,Worksheet!$BD$40,IF(Calculation!DR275=54,Worksheet!$BD$41,Worksheet!$BD$42)))),IF(Calculation!DR275=18,Worksheet!$BD$11,IF(Calculation!DR275=30,Worksheet!$BD$12,IF(Calculation!DR275=42,Worksheet!$BD$13,IF(Calculation!DR275=54,Worksheet!$BD$14,IF(Calculation!DR275=66,Worksheet!$BD$15,IF(Calculation!DR275=78,Worksheet!$BD$16,IF(Calculation!DR275=90,Worksheet!$BD$17,IF(Calculation!DR275=102,Worksheet!$BD$18,Worksheet!$BD$19))))))))))),IF(Calculation!DS275=13.75,IF(Calculation!DR275=13,Worksheet!$BD$78,IF(Calculation!DR275=37,Worksheet!$BD$79,Worksheet!$BD$80)),IF(Calculation!DS275=10,IF(Calculation!DR275=18,Worksheet!$BD$64,IF(Calculation!DR275=30,Worksheet!$BD$65,IF(Calculation!DR275=42,Worksheet!$BD$66,IF(Calculation!DR275=54,Worksheet!$BD$68,IF(Calculation!DR275=66,Worksheet!$BD$68,IF(Calculation!DR275=78,Worksheet!$BD$69,IF(Calculation!DR275=90,Worksheet!$BD$70,IF(Calculation!DR275=102,Worksheet!$BD$71,Worksheet!$BD$72)))))))),IF(Calculation!DS275=12.5,IF(Calculation!DR275=18,Worksheet!$BD$73,IF(Calculation!DR275=Worksheet!$BD$74,IF(Calculation!DR275=42,Worksheet!$BD$75,IF(Calculation!DR275=54,Worksheet!$BD$76,Worksheet!$BD$77)))),IF(Calculation!DR275=18,Worksheet!$BD$55,IF(Calculation!DR275=30,Worksheet!$BD$56,IF(Calculation!DR275=42,Worksheet!$BD$57,IF(Calculation!DR275=54,Worksheet!$BD$58,IF(Calculation!DR275=66,Worksheet!$BD$59,IF(Calculation!DR275=78,Worksheet!$BD$60,IF(Calculation!DR275=90,Worksheet!$BD$61,IF(Calculation!DR275=102,Worksheet!$BD$62,Worksheet!$BD$63)))))))))))),5),0)," ")</f>
        <v xml:space="preserve"> </v>
      </c>
      <c r="EG275" s="361" t="str">
        <f t="shared" si="668"/>
        <v xml:space="preserve"> </v>
      </c>
      <c r="EH275" s="361" t="e">
        <f ca="1">INDEX(INDIRECT(VLOOKUP(LEFT(BO275,7),CLU!$Z$3:$AH$18,7)),M275-1,3+LEFT(DZ275,1))</f>
        <v>#N/A</v>
      </c>
      <c r="EI275" s="362" t="str">
        <f t="shared" si="669"/>
        <v xml:space="preserve"> </v>
      </c>
      <c r="EJ275" s="363" t="str">
        <f t="shared" si="670"/>
        <v xml:space="preserve"> </v>
      </c>
      <c r="EK275" s="363" t="str">
        <f t="shared" si="671"/>
        <v xml:space="preserve"> </v>
      </c>
      <c r="EL275" s="363" t="str">
        <f t="shared" si="672"/>
        <v xml:space="preserve"> </v>
      </c>
      <c r="EM275" s="362" t="str">
        <f>IF(L275&gt;0,IF(BR275&gt;0,(Calculation!T275/ED275)^2,0)," ")</f>
        <v xml:space="preserve"> </v>
      </c>
      <c r="EN275" s="362" t="str">
        <f>IF(L275&gt;0,IF(O275="2 Pipe (Cooling)","N/A",IF(BR275&gt;0,(Calculation!U275/EI275)^2,0))," ")</f>
        <v xml:space="preserve"> </v>
      </c>
      <c r="EO275" s="361" t="str">
        <f t="shared" si="673"/>
        <v/>
      </c>
      <c r="EP275" s="361" t="str">
        <f t="shared" si="674"/>
        <v/>
      </c>
      <c r="EQ275" s="361" t="str">
        <f t="shared" si="675"/>
        <v/>
      </c>
      <c r="ER275" s="361" t="str">
        <f t="shared" si="676"/>
        <v/>
      </c>
      <c r="ES275" s="361" t="str">
        <f t="shared" si="677"/>
        <v/>
      </c>
      <c r="ET275" s="361" t="str">
        <f t="shared" si="678"/>
        <v/>
      </c>
      <c r="EU275" s="361" t="str">
        <f t="shared" si="679"/>
        <v/>
      </c>
      <c r="EV275" s="361" t="str">
        <f t="shared" si="680"/>
        <v/>
      </c>
      <c r="EW275" s="361" t="str">
        <f t="shared" si="681"/>
        <v/>
      </c>
      <c r="EX275" s="361" t="str">
        <f t="shared" si="771"/>
        <v>1 slot, 1 way</v>
      </c>
      <c r="EY275" s="361" t="str">
        <f t="shared" si="772"/>
        <v xml:space="preserve"> </v>
      </c>
      <c r="EZ275" s="361" t="str">
        <f t="shared" si="773"/>
        <v xml:space="preserve"> </v>
      </c>
      <c r="FA275" s="361" t="str">
        <f t="shared" si="774"/>
        <v xml:space="preserve"> </v>
      </c>
      <c r="FB275" s="361" t="str">
        <f t="shared" si="775"/>
        <v xml:space="preserve"> </v>
      </c>
      <c r="FC275" s="361"/>
      <c r="FD275" s="361" t="str">
        <f>IF(J275&gt;0,IF(Calculation!R275&lt;=70,4,IF(Calculation!R275&lt;=110,5,IF(Calculation!R275&lt;=160,6,IF(Calculation!R275&lt;=300,8,"10 EO")))),"")</f>
        <v/>
      </c>
      <c r="FE275" s="361" t="str">
        <f t="shared" si="776"/>
        <v/>
      </c>
      <c r="FF275" s="361" t="str">
        <f t="shared" si="777"/>
        <v/>
      </c>
      <c r="FG275" s="361" t="e">
        <f t="shared" si="682"/>
        <v>#N/A</v>
      </c>
      <c r="FH275" s="361">
        <f t="shared" si="683"/>
        <v>0</v>
      </c>
      <c r="FI275" s="361" t="e">
        <f t="shared" si="684"/>
        <v>#DIV/0!</v>
      </c>
      <c r="FJ275" s="361"/>
      <c r="FK275" s="356" t="e">
        <f t="shared" si="685"/>
        <v>#VALUE!</v>
      </c>
      <c r="FL275" s="361"/>
      <c r="FM275" s="361"/>
      <c r="FN275" s="362" t="str">
        <f t="shared" si="778"/>
        <v xml:space="preserve"> </v>
      </c>
      <c r="FO275" s="362" t="str">
        <f t="shared" si="779"/>
        <v xml:space="preserve"> </v>
      </c>
      <c r="FP275" s="362">
        <f t="shared" si="780"/>
        <v>0</v>
      </c>
      <c r="FQ275" s="361">
        <f t="shared" si="686"/>
        <v>0</v>
      </c>
      <c r="FR275" s="362" t="str">
        <f>IF(L275&gt;0,IF(J275="CBAL2",Worksheet!$P$67,IF(J275="CBE2-24",Worksheet!$Q$67,IF(J275="CBAM",Worksheet!$R$67,IF(J275="CBLV",Worksheet!$S$67,IF(J275="CBAB",Worksheet!$U$67,IF(J275="CBAW",Worksheet!$X$67,IF(J275="CBE2-12",Worksheet!$Y$67,IF(J275="CBAL2",Worksheet!$Z$67,"N/A"))))))))," ")</f>
        <v xml:space="preserve"> </v>
      </c>
      <c r="FS275" s="362" t="str">
        <f>IF(L275&gt;0,IF(J275="CBAL2",Worksheet!$P$68,IF(J275="CBE2-24",Worksheet!$Q$68,IF(J275="CBAM",Worksheet!$R$68,IF(J275="CBLV",Worksheet!$S$68,IF(J275="CBAB",Worksheet!$U$68,IF(J275="CBAW",Worksheet!$X$68,IF(J275="CBE2-12",Worksheet!$Y$68,IF(J275="CBAL2",Worksheet!$Z$68,"N/A"))))))))," ")</f>
        <v xml:space="preserve"> </v>
      </c>
      <c r="FT275" s="362" t="str">
        <f>IF(L275&gt;0,IF(J275="CBAL2",Worksheet!$P$69,IF(J275="CBE2-24",Worksheet!$Q$69,IF(J275="CBAM",Worksheet!$R$69,IF(J275="CBLV",Worksheet!$S$69,IF(J275="CBAB",Worksheet!$U$69,IF(J275="CBAW",Worksheet!$X$69,IF(J275="CBE2-12",Worksheet!$Y$69,IF(J275="CBAL2",Worksheet!$Z$69,"N/A"))))))))," ")</f>
        <v xml:space="preserve"> </v>
      </c>
      <c r="FU275" s="361" t="str">
        <f t="shared" si="781"/>
        <v xml:space="preserve"> </v>
      </c>
      <c r="FV275" s="362" t="str">
        <f t="shared" si="782"/>
        <v xml:space="preserve"> </v>
      </c>
      <c r="FW275" s="362" t="str">
        <f t="shared" si="783"/>
        <v xml:space="preserve"> </v>
      </c>
      <c r="FX275" s="362" t="str">
        <f t="shared" si="784"/>
        <v xml:space="preserve"> </v>
      </c>
      <c r="FY275" s="355" t="str">
        <f t="shared" si="785"/>
        <v xml:space="preserve"> </v>
      </c>
      <c r="FZ275" s="361" t="str">
        <f t="shared" si="786"/>
        <v xml:space="preserve"> </v>
      </c>
      <c r="GA275" s="347" t="str">
        <f t="shared" si="787"/>
        <v xml:space="preserve"> </v>
      </c>
      <c r="GB275" s="355" t="str">
        <f t="shared" si="788"/>
        <v xml:space="preserve"> </v>
      </c>
      <c r="GC275" s="328" t="str">
        <f t="shared" si="789"/>
        <v xml:space="preserve"> </v>
      </c>
      <c r="GD275" s="361" t="str">
        <f t="shared" si="790"/>
        <v xml:space="preserve"> </v>
      </c>
      <c r="GE275" s="347" t="str">
        <f t="shared" si="791"/>
        <v xml:space="preserve"> </v>
      </c>
      <c r="GF275" s="361" t="str">
        <f t="shared" si="792"/>
        <v xml:space="preserve"> </v>
      </c>
      <c r="GG275" s="347" t="str">
        <f t="shared" si="793"/>
        <v xml:space="preserve"> </v>
      </c>
      <c r="GH275" s="364">
        <f t="shared" si="687"/>
        <v>0</v>
      </c>
      <c r="GI275" s="362">
        <f t="shared" si="794"/>
        <v>2</v>
      </c>
      <c r="GJ275" s="433" t="e">
        <f>IF(6-COUNTBLANK(GT275:GY275)=4,MATCH(MID(BO275,9,3),CLU!$H$16:$K$16),MATCH(MID(BO275,9,3),CLU!$H$13:$M$13))</f>
        <v>#N/A</v>
      </c>
      <c r="GK275" s="433" t="e">
        <f>HLOOKUP(VALUE(BP275),CLU!$H$9:$M$10,2)</f>
        <v>#VALUE!</v>
      </c>
      <c r="GL275" s="433" t="e">
        <f ca="1">MATCH(BU275,CLU!$H$2:$V$2,1)</f>
        <v>#VALUE!</v>
      </c>
      <c r="GM275" s="433" t="e">
        <f t="shared" ca="1" si="795"/>
        <v>#VALUE!</v>
      </c>
      <c r="GN275" s="433" t="e">
        <f t="shared" ca="1" si="796"/>
        <v>#VALUE!</v>
      </c>
      <c r="GO275" s="433" t="e">
        <f t="shared" ca="1" si="797"/>
        <v>#VALUE!</v>
      </c>
      <c r="GP275" s="433" t="e">
        <f t="shared" ca="1" si="798"/>
        <v>#VALUE!</v>
      </c>
      <c r="GQ275" s="433" t="e">
        <f t="shared" ca="1" si="799"/>
        <v>#VALUE!</v>
      </c>
      <c r="GR275" s="433" t="e">
        <f ca="1">MATCH(T275,INDIRECT(VLOOKUP(CONCATENATE(LEFT(BO275,7),"-",MID(BO275,13,1)),CLU!$P$3:$Q$16,2)),1)</f>
        <v>#N/A</v>
      </c>
      <c r="GS275" s="433" t="e">
        <f ca="1">MATCH(U275,INDIRECT(VLOOKUP(CONCATENATE(LEFT(BO275,7),"-",MID(BO275,13,1)),CLU!$P$3:$Q$16,2)),1)</f>
        <v>#N/A</v>
      </c>
      <c r="GT275" s="347" t="s">
        <v>512</v>
      </c>
      <c r="GU275" s="97" t="s">
        <v>513</v>
      </c>
      <c r="GV275" s="97" t="str">
        <f t="shared" si="800"/>
        <v>M23</v>
      </c>
      <c r="GW275" s="97" t="str">
        <f t="shared" si="801"/>
        <v>M31</v>
      </c>
      <c r="GX275" s="97" t="str">
        <f t="shared" si="802"/>
        <v/>
      </c>
      <c r="GY275" s="97" t="str">
        <f t="shared" si="803"/>
        <v/>
      </c>
      <c r="GZ275" s="481"/>
      <c r="HA275" s="240"/>
      <c r="HB275" s="240"/>
      <c r="HC275" s="240"/>
      <c r="HD275" s="240"/>
      <c r="HE275" s="240"/>
      <c r="HF275" s="240"/>
      <c r="HG275" s="240"/>
      <c r="HH275" s="240"/>
      <c r="HI275" s="240"/>
      <c r="HJ275" s="240"/>
      <c r="HK275" s="240"/>
      <c r="HL275" s="240"/>
      <c r="HM275" s="240"/>
      <c r="HN275" s="240"/>
      <c r="HO275" s="240"/>
      <c r="HP275" s="240"/>
      <c r="HQ275" s="240"/>
      <c r="HR275" s="240"/>
      <c r="HS275" s="240"/>
      <c r="HT275" s="240"/>
      <c r="HU275" s="240"/>
      <c r="HV275" s="245"/>
      <c r="HW275" s="245" t="b">
        <v>1</v>
      </c>
      <c r="HX275" s="245" t="str">
        <f t="shared" si="688"/>
        <v/>
      </c>
      <c r="HY275" s="245" t="e">
        <f t="shared" si="689"/>
        <v>#DIV/0!</v>
      </c>
      <c r="HZ275" s="245" t="e">
        <f t="shared" si="690"/>
        <v>#DIV/0!</v>
      </c>
      <c r="IA275" s="245">
        <f t="shared" si="691"/>
        <v>0</v>
      </c>
      <c r="IB275" s="245"/>
      <c r="IC275" t="b">
        <f t="shared" si="692"/>
        <v>1</v>
      </c>
      <c r="ID275" s="245" t="b">
        <f t="shared" si="693"/>
        <v>1</v>
      </c>
      <c r="IE275" s="245" t="b">
        <f t="shared" si="694"/>
        <v>1</v>
      </c>
      <c r="IF275" s="245" t="b">
        <f t="shared" si="695"/>
        <v>0</v>
      </c>
      <c r="IG275" s="245" t="b">
        <f t="shared" si="696"/>
        <v>1</v>
      </c>
      <c r="IH275" s="245" t="b">
        <f t="shared" si="697"/>
        <v>1</v>
      </c>
      <c r="II275" s="245">
        <f t="shared" si="804"/>
        <v>0</v>
      </c>
      <c r="IJ275" s="245" t="e">
        <f t="shared" si="698"/>
        <v>#VALUE!</v>
      </c>
      <c r="IK275" s="245" t="e">
        <f t="shared" si="699"/>
        <v>#VALUE!</v>
      </c>
      <c r="IL275" s="245"/>
      <c r="IM275" s="245" t="e">
        <f t="shared" si="805"/>
        <v>#N/A</v>
      </c>
      <c r="IN275" s="245" t="e">
        <f t="shared" si="806"/>
        <v>#N/A</v>
      </c>
      <c r="IO275" s="245"/>
      <c r="IP275" s="245"/>
      <c r="IQ275" s="245" t="str">
        <f t="shared" si="700"/>
        <v/>
      </c>
      <c r="IR275" s="245" t="str">
        <f>IF(J275="","",VLOOKUP(J275,Worksheet!$R$4:$T$14,2))</f>
        <v/>
      </c>
      <c r="IS275" s="245"/>
      <c r="IT275" s="245">
        <f t="shared" si="701"/>
        <v>0</v>
      </c>
      <c r="IU275" s="245">
        <f t="shared" si="702"/>
        <v>0</v>
      </c>
      <c r="IV275" s="245">
        <f t="shared" si="703"/>
        <v>0</v>
      </c>
      <c r="IW275" s="245">
        <f t="shared" si="704"/>
        <v>0</v>
      </c>
      <c r="IX275" s="245">
        <f t="shared" si="807"/>
        <v>0</v>
      </c>
      <c r="IY275" s="245">
        <f t="shared" si="705"/>
        <v>0</v>
      </c>
      <c r="IZ275" s="245">
        <f t="shared" si="706"/>
        <v>0</v>
      </c>
      <c r="JA275">
        <f t="shared" si="707"/>
        <v>0</v>
      </c>
      <c r="JB275">
        <f t="shared" si="808"/>
        <v>0</v>
      </c>
      <c r="JC275">
        <f t="shared" si="708"/>
        <v>0</v>
      </c>
      <c r="JD275">
        <f t="shared" si="709"/>
        <v>0</v>
      </c>
      <c r="JE275">
        <f t="shared" si="710"/>
        <v>0</v>
      </c>
      <c r="JF275">
        <f t="shared" si="711"/>
        <v>0</v>
      </c>
      <c r="JG275">
        <f t="shared" si="712"/>
        <v>0</v>
      </c>
      <c r="JH275">
        <f t="shared" si="713"/>
        <v>0</v>
      </c>
      <c r="JI275">
        <f t="shared" si="714"/>
        <v>0</v>
      </c>
      <c r="JJ275" s="447">
        <f t="shared" si="715"/>
        <v>0</v>
      </c>
      <c r="JK275" s="447">
        <f t="shared" si="716"/>
        <v>0</v>
      </c>
      <c r="JL275">
        <f t="shared" si="717"/>
        <v>0</v>
      </c>
      <c r="JM275" s="245" t="str">
        <f>IFERROR(VLOOKUP(MATCH(BN275,#REF!,0),#REF!,7),"")</f>
        <v/>
      </c>
      <c r="JN275" t="e">
        <f>HLOOKUP(LEFT(BO275,7),Discharge_Area,MATCH(JO275,LookUps!$B$130:$B$149,1)+2)</f>
        <v>#N/A</v>
      </c>
      <c r="JO275" t="str">
        <f t="shared" si="718"/>
        <v>- S</v>
      </c>
      <c r="JP275" t="e">
        <f>HLOOKUP(LEFT(BO275,7),Discharge_Area,MATCH(JO275,LookUps!$B$130:$B$149,1)+2)</f>
        <v>#N/A</v>
      </c>
      <c r="JQ275" t="e">
        <f t="shared" si="719"/>
        <v>#N/A</v>
      </c>
      <c r="JR275" t="e">
        <f t="shared" si="720"/>
        <v>#N/A</v>
      </c>
      <c r="JS275" t="e">
        <f t="shared" si="721"/>
        <v>#N/A</v>
      </c>
      <c r="JT275" s="532" t="str">
        <f t="shared" si="722"/>
        <v xml:space="preserve"> </v>
      </c>
      <c r="JU275" s="532" t="str">
        <f t="shared" si="723"/>
        <v xml:space="preserve"> </v>
      </c>
      <c r="JV275" s="533" t="str">
        <f t="shared" si="724"/>
        <v xml:space="preserve"> </v>
      </c>
      <c r="JW275" s="534">
        <f t="shared" si="725"/>
        <v>0</v>
      </c>
      <c r="JX275" s="535" t="str">
        <f t="shared" si="809"/>
        <v xml:space="preserve"> </v>
      </c>
      <c r="JY275" s="535" t="str">
        <f t="shared" si="810"/>
        <v xml:space="preserve"> </v>
      </c>
      <c r="JZ275" s="535" t="str">
        <f t="shared" si="811"/>
        <v xml:space="preserve"> </v>
      </c>
      <c r="KA275" s="536" t="str">
        <f t="shared" si="726"/>
        <v xml:space="preserve"> </v>
      </c>
      <c r="KB275" s="535" t="e">
        <f t="shared" si="812"/>
        <v>#VALUE!</v>
      </c>
      <c r="KC275" s="535" t="str">
        <f t="shared" si="727"/>
        <v/>
      </c>
      <c r="KD275" s="537" t="str">
        <f t="shared" si="813"/>
        <v xml:space="preserve"> </v>
      </c>
      <c r="KE275" s="537" t="str">
        <f t="shared" si="814"/>
        <v xml:space="preserve"> </v>
      </c>
      <c r="KF275" s="534">
        <f t="shared" si="728"/>
        <v>0</v>
      </c>
      <c r="KG275" s="535" t="str">
        <f t="shared" si="729"/>
        <v xml:space="preserve"> </v>
      </c>
      <c r="KH275" s="535" t="str">
        <f t="shared" si="730"/>
        <v xml:space="preserve"> </v>
      </c>
      <c r="KI275" s="535" t="str">
        <f t="shared" si="731"/>
        <v xml:space="preserve"> </v>
      </c>
      <c r="KJ275" s="536" t="str">
        <f t="shared" si="732"/>
        <v xml:space="preserve"> </v>
      </c>
      <c r="KK275" s="535" t="str">
        <f t="shared" si="815"/>
        <v xml:space="preserve"> </v>
      </c>
      <c r="KL275" s="535" t="str">
        <f t="shared" si="816"/>
        <v xml:space="preserve"> </v>
      </c>
      <c r="KM275" s="537" t="str">
        <f t="shared" si="733"/>
        <v xml:space="preserve"> </v>
      </c>
      <c r="KN275" s="537" t="str">
        <f t="shared" si="817"/>
        <v xml:space="preserve"> </v>
      </c>
      <c r="KP275">
        <f t="shared" si="734"/>
        <v>0</v>
      </c>
      <c r="LA275" t="e">
        <f t="shared" si="735"/>
        <v>#VALUE!</v>
      </c>
      <c r="LB275" t="e">
        <f t="shared" si="736"/>
        <v>#VALUE!</v>
      </c>
      <c r="LC275" t="e">
        <f t="shared" si="737"/>
        <v>#VALUE!</v>
      </c>
      <c r="LD275" t="e">
        <f t="shared" si="738"/>
        <v>#VALUE!</v>
      </c>
      <c r="LE275" t="e">
        <f t="shared" si="818"/>
        <v>#VALUE!</v>
      </c>
      <c r="LF275">
        <f t="shared" si="739"/>
        <v>0</v>
      </c>
      <c r="LG275" t="e">
        <f t="shared" si="819"/>
        <v>#VALUE!</v>
      </c>
      <c r="LH275" t="str">
        <f t="shared" si="740"/>
        <v xml:space="preserve"> </v>
      </c>
      <c r="LI275">
        <f t="shared" si="820"/>
        <v>1</v>
      </c>
    </row>
    <row r="276" spans="2:321" ht="15" customHeight="1">
      <c r="B276" s="311"/>
      <c r="C276" s="311"/>
      <c r="D276" s="312"/>
      <c r="E276" s="311"/>
      <c r="F276" s="312"/>
      <c r="G276" s="311"/>
      <c r="H276" s="311"/>
      <c r="I276" s="232"/>
      <c r="J276" s="311"/>
      <c r="K276" s="305" t="str">
        <f t="shared" si="741"/>
        <v/>
      </c>
      <c r="L276" s="313"/>
      <c r="M276" s="312"/>
      <c r="N276" s="311"/>
      <c r="O276" s="312"/>
      <c r="P276" s="311"/>
      <c r="Q276" s="305" t="str">
        <f t="shared" si="742"/>
        <v/>
      </c>
      <c r="R276" s="314"/>
      <c r="S276" s="450" t="str">
        <f t="shared" si="625"/>
        <v/>
      </c>
      <c r="T276" s="315"/>
      <c r="U276" s="315"/>
      <c r="W276" s="149" t="str">
        <f t="shared" si="626"/>
        <v xml:space="preserve"> </v>
      </c>
      <c r="X276" s="243" t="str">
        <f t="shared" si="627"/>
        <v xml:space="preserve"> </v>
      </c>
      <c r="Y276" s="150" t="str">
        <f t="shared" si="628"/>
        <v/>
      </c>
      <c r="Z276" s="149" t="str">
        <f t="shared" si="629"/>
        <v xml:space="preserve"> </v>
      </c>
      <c r="AA276" s="98" t="str">
        <f t="shared" si="630"/>
        <v xml:space="preserve"> </v>
      </c>
      <c r="AB276" s="153" t="str">
        <f t="shared" si="631"/>
        <v xml:space="preserve"> </v>
      </c>
      <c r="AC276" s="153" t="str">
        <f t="shared" si="632"/>
        <v xml:space="preserve"> </v>
      </c>
      <c r="AD276" s="148" t="str">
        <f t="shared" si="633"/>
        <v/>
      </c>
      <c r="AE276" s="149" t="str">
        <f t="shared" si="634"/>
        <v/>
      </c>
      <c r="AF276" s="151" t="str">
        <f t="shared" si="635"/>
        <v xml:space="preserve"> </v>
      </c>
      <c r="AG276" s="153" t="str">
        <f t="shared" si="636"/>
        <v xml:space="preserve"> </v>
      </c>
      <c r="AH276" s="98" t="str">
        <f t="shared" si="637"/>
        <v xml:space="preserve"> </v>
      </c>
      <c r="AI276" s="149" t="str">
        <f t="shared" si="638"/>
        <v xml:space="preserve"> </v>
      </c>
      <c r="AK276" s="144" t="str">
        <f t="shared" si="639"/>
        <v xml:space="preserve"> </v>
      </c>
      <c r="AL276" s="144"/>
      <c r="AM276" s="243" t="str">
        <f t="shared" si="640"/>
        <v xml:space="preserve"> </v>
      </c>
      <c r="AN276" s="149" t="str">
        <f t="shared" si="743"/>
        <v xml:space="preserve"> </v>
      </c>
      <c r="AO276" s="144" t="str">
        <f>IF(JB276&gt;0,IF(GI276=10,-R276*1.085*(Calculation!$F$6-Calculation!$F$13)*$S$14," "),"")</f>
        <v/>
      </c>
      <c r="AP276" s="144" t="str">
        <f t="shared" si="641"/>
        <v/>
      </c>
      <c r="AQ276" s="56" t="str">
        <f t="shared" si="642"/>
        <v/>
      </c>
      <c r="AR276" s="144" t="str">
        <f t="shared" si="643"/>
        <v/>
      </c>
      <c r="AS276" s="176" t="str">
        <f t="shared" si="644"/>
        <v/>
      </c>
      <c r="AT276" s="176" t="str">
        <f t="shared" si="744"/>
        <v xml:space="preserve"> </v>
      </c>
      <c r="AU276" s="176" t="str">
        <f t="shared" si="645"/>
        <v/>
      </c>
      <c r="AV276" s="177" t="str">
        <f t="shared" si="646"/>
        <v xml:space="preserve"> </v>
      </c>
      <c r="AW276" s="144" t="str">
        <f t="shared" si="647"/>
        <v xml:space="preserve"> </v>
      </c>
      <c r="AX276" s="144" t="str">
        <f t="shared" si="648"/>
        <v xml:space="preserve"> </v>
      </c>
      <c r="AY276" s="152" t="str">
        <f t="shared" si="649"/>
        <v xml:space="preserve"> </v>
      </c>
      <c r="AZ276" s="246" t="str">
        <f t="shared" si="650"/>
        <v/>
      </c>
      <c r="BA276" s="176" t="str">
        <f t="shared" si="651"/>
        <v xml:space="preserve"> </v>
      </c>
      <c r="BB276" s="176" t="str">
        <f t="shared" si="652"/>
        <v xml:space="preserve"> </v>
      </c>
      <c r="BC276" s="195"/>
      <c r="BD276" s="316"/>
      <c r="BE276" s="317"/>
      <c r="BF276" s="318"/>
      <c r="BG276" s="318"/>
      <c r="BH276" s="144" t="str">
        <f t="shared" si="821"/>
        <v xml:space="preserve"> </v>
      </c>
      <c r="BI276" s="176" t="str">
        <f t="shared" si="653"/>
        <v/>
      </c>
      <c r="BJ276" s="144" t="str">
        <f t="shared" si="822"/>
        <v/>
      </c>
      <c r="BK276" s="246" t="str">
        <f t="shared" si="654"/>
        <v/>
      </c>
      <c r="BL276" s="144" t="str">
        <f t="shared" si="823"/>
        <v/>
      </c>
      <c r="BM276" s="246" t="str">
        <f t="shared" si="655"/>
        <v/>
      </c>
      <c r="BN276" s="337" t="str">
        <f t="shared" si="745"/>
        <v/>
      </c>
      <c r="BO276" s="371" t="str">
        <f t="shared" si="746"/>
        <v/>
      </c>
      <c r="BP276" s="328" t="str">
        <f t="shared" si="824"/>
        <v xml:space="preserve"> </v>
      </c>
      <c r="BQ276" s="347" t="str">
        <f t="shared" si="747"/>
        <v xml:space="preserve"> </v>
      </c>
      <c r="BR276" s="353" t="str">
        <f t="shared" si="748"/>
        <v xml:space="preserve"> </v>
      </c>
      <c r="BS276" s="626" t="str">
        <f>IF(L276&gt;0,IF(Calculation!P276="M13",BR276*3.1416*(0.134^2)/(4*144),IF(Calculation!P276="M17",BR276*3.1416*(0.165^2)/(4*144),IF(Calculation!P276="M20",BR276*3.1416*(0.198^2)/(4*144),IF(Calculation!P276="M23",BR276*3.1416*(0.228^2)/(4*144),IF(Calculation!P276="M27",BR276*3.1416*(0.269^2)/(4*144),BR276*3.1416*(0.307^2)/(4*144))))))," ")</f>
        <v xml:space="preserve"> </v>
      </c>
      <c r="BT276" s="353" t="str">
        <f>IF(L276&gt;0,IF(BS276&gt;0,R276/Calculation!BS276,0)," ")</f>
        <v xml:space="preserve"> </v>
      </c>
      <c r="BU276" s="438" t="e">
        <f t="shared" ca="1" si="656"/>
        <v>#VALUE!</v>
      </c>
      <c r="BV276" s="449" t="e">
        <f ca="1">INDEX(INDIRECT(VLOOKUP(LEFT(BO276,7),CLU!$Z$3:$AH$18,2)),GN276,GR276)</f>
        <v>#N/A</v>
      </c>
      <c r="BW276" s="433" t="e">
        <f ca="1">INDEX(INDIRECT(VLOOKUP(LEFT(BO276,7),CLU!$Z$3:$AH$18,3)),GN276,GR276)</f>
        <v>#N/A</v>
      </c>
      <c r="BX276" s="433" t="e">
        <f ca="1">INDEX(INDIRECT(VLOOKUP(LEFT(BO276,7),CLU!$Z$3:$AH$18,4)),GN276,GR276)</f>
        <v>#N/A</v>
      </c>
      <c r="BY276" s="433" t="e">
        <f ca="1">INDEX(INDIRECT(VLOOKUP(LEFT(BO276,7),CLU!$Z$3:$AH$18,9)),((M276-2)*(6-COUNTBLANK(GT276:GY276)))+GJ276)</f>
        <v>#N/A</v>
      </c>
      <c r="BZ276" s="426" t="e">
        <f t="shared" ca="1" si="749"/>
        <v>#N/A</v>
      </c>
      <c r="CA276" s="424" t="e">
        <f t="shared" ca="1" si="750"/>
        <v>#N/A</v>
      </c>
      <c r="CB276" s="429" t="e">
        <f ca="1">INDEX(INDIRECT(VLOOKUP(LEFT(BO276,7),CLU!$Z$3:$AH$18,2)),GN276,GS276)</f>
        <v>#N/A</v>
      </c>
      <c r="CC276" s="342" t="e">
        <f ca="1">INDEX(INDIRECT(VLOOKUP(LEFT(BO276,7),CLU!$Z$3:$AH$18,3)),GN276,GS276)</f>
        <v>#N/A</v>
      </c>
      <c r="CD276" s="342" t="e">
        <f ca="1">INDEX(INDIRECT(VLOOKUP(LEFT(BO276,7),CLU!$Z$3:$AH$18,4)),GN276,GS276)</f>
        <v>#N/A</v>
      </c>
      <c r="CE276" s="426" t="e">
        <f t="shared" ca="1" si="751"/>
        <v>#N/A</v>
      </c>
      <c r="CF276" s="440">
        <f t="shared" si="752"/>
        <v>0</v>
      </c>
      <c r="CG276" s="431" t="e">
        <f ca="1">INDEX(INDIRECT(VLOOKUP(LEFT(BO276,7),CLU!$Z$3:$AH$18,2)),GQ276,GR276)</f>
        <v>#N/A</v>
      </c>
      <c r="CH276" s="431" t="e">
        <f ca="1">INDEX(INDIRECT(VLOOKUP(LEFT(BO276,7),CLU!$Z$3:$AH$18,3)),GQ276,GR276)</f>
        <v>#N/A</v>
      </c>
      <c r="CI276" s="431" t="e">
        <f ca="1">INDEX(INDIRECT(VLOOKUP(LEFT(BO276,7),CLU!$Z$3:$AH$18,4)),GQ276,GR276)</f>
        <v>#N/A</v>
      </c>
      <c r="CJ276" s="448" t="e">
        <f t="shared" ca="1" si="753"/>
        <v>#N/A</v>
      </c>
      <c r="CK276" s="431" t="e">
        <f t="shared" ca="1" si="754"/>
        <v>#N/A</v>
      </c>
      <c r="CL276" s="440" t="e">
        <f t="shared" ca="1" si="755"/>
        <v>#N/A</v>
      </c>
      <c r="CM276" s="431" t="e">
        <f ca="1">INDEX(INDIRECT(VLOOKUP(LEFT(BO276,7),CLU!$Z$3:$AH$18,2)),GQ276,GS276)</f>
        <v>#N/A</v>
      </c>
      <c r="CN276" s="431" t="e">
        <f ca="1">INDEX(INDIRECT(VLOOKUP(LEFT(BO276,7),CLU!$Z$3:$AH$18,3)),GQ276,GS276)</f>
        <v>#N/A</v>
      </c>
      <c r="CO276" s="431" t="e">
        <f ca="1">INDEX(INDIRECT(VLOOKUP(LEFT(BO276,7),CLU!$Z$3:$AH$18,4)),GQ276,GS276)</f>
        <v>#N/A</v>
      </c>
      <c r="CP276" s="431" t="e">
        <f t="shared" ca="1" si="756"/>
        <v>#N/A</v>
      </c>
      <c r="CQ276" s="440">
        <f t="shared" si="757"/>
        <v>0</v>
      </c>
      <c r="CR276" s="51" t="e">
        <f t="shared" ca="1" si="758"/>
        <v>#N/A</v>
      </c>
      <c r="CS276" s="439" t="e">
        <f t="shared" ca="1" si="759"/>
        <v>#VALUE!</v>
      </c>
      <c r="CT276" s="51" t="e">
        <f t="shared" ca="1" si="760"/>
        <v>#VALUE!</v>
      </c>
      <c r="CU276" s="10"/>
      <c r="CV276" s="51" t="e">
        <f t="shared" ca="1" si="657"/>
        <v>#VALUE!</v>
      </c>
      <c r="CW276" s="51">
        <f t="shared" si="761"/>
        <v>0</v>
      </c>
      <c r="CX276" s="439" t="e">
        <f t="shared" ca="1" si="762"/>
        <v>#VALUE!</v>
      </c>
      <c r="CY276" s="51" t="e">
        <f t="shared" ca="1" si="763"/>
        <v>#VALUE!</v>
      </c>
      <c r="CZ276" s="10"/>
      <c r="DA276" s="51" t="e">
        <f t="shared" ca="1" si="764"/>
        <v>#VALUE!</v>
      </c>
      <c r="DB276" s="347" t="e">
        <f ca="1">INDEX(INDIRECT(VLOOKUP(LEFT(BO276,7),CLU!$Z$3:$AI$18,10)),((M276-2)*(6-COUNTBLANK(GT276:GY276)))+GJ276)*LI276</f>
        <v>#N/A</v>
      </c>
      <c r="DC276" s="347" t="str">
        <f>IF(L276&gt;0,((R276/Worksheet!$I$15)/DB276)^2," ")</f>
        <v xml:space="preserve"> </v>
      </c>
      <c r="DD276" s="602" t="str">
        <f t="shared" si="765"/>
        <v xml:space="preserve"> </v>
      </c>
      <c r="DE276" s="347" t="str">
        <f t="shared" si="658"/>
        <v xml:space="preserve"> </v>
      </c>
      <c r="DF276" s="356" t="e">
        <f ca="1">INDEX(INDIRECT(VLOOKUP(LEFT(BO276,7),CLU!$Z$3:$AH$18,8)),((M276-2)*(6-COUNTBLANK(GT276:GY276)))+GJ276)</f>
        <v>#N/A</v>
      </c>
      <c r="DG276" s="347" t="str">
        <f t="shared" si="659"/>
        <v xml:space="preserve"> </v>
      </c>
      <c r="DH276" s="357" t="str">
        <f t="shared" si="660"/>
        <v xml:space="preserve"> </v>
      </c>
      <c r="DI276" s="355" t="str">
        <f t="shared" si="661"/>
        <v xml:space="preserve"> </v>
      </c>
      <c r="DJ276" s="245" t="e">
        <f ca="1">INDEX(INDIRECT(VLOOKUP(LEFT(BO276,7),CLU!$Z$3:$AH$18,5)),GL276,GK276)</f>
        <v>#N/A</v>
      </c>
      <c r="DK276" s="245" t="e">
        <f ca="1">INDEX(INDIRECT(VLOOKUP(LEFT(BO276,7),CLU!$Z$3:$AH$18,6)),GL276,GK276)</f>
        <v>#N/A</v>
      </c>
      <c r="DL276" s="355">
        <f>(Calculation!R276*0.69143*(Calculation!$BQ$8-Calculation!$F$8))*$S$14</f>
        <v>0</v>
      </c>
      <c r="DM276" s="359" t="e">
        <f t="shared" si="766"/>
        <v>#VALUE!</v>
      </c>
      <c r="DN276" s="611">
        <f t="shared" si="767"/>
        <v>0</v>
      </c>
      <c r="DO276" s="359">
        <f t="shared" si="768"/>
        <v>100</v>
      </c>
      <c r="DP276" s="359">
        <f t="shared" si="769"/>
        <v>0</v>
      </c>
      <c r="DQ276" s="360"/>
      <c r="DR276" s="245" t="e">
        <f ca="1">INDEX(INDIRECT(VLOOKUP(LEFT(BO276,7),CLU!$Z$3:$AH$18,7)),M276-1,1)</f>
        <v>#N/A</v>
      </c>
      <c r="DS276" s="245" t="e">
        <f ca="1">INDEX(INDIRECT(VLOOKUP(LEFT(BO276,7),CLU!$Z$3:$AH$18,7)),M276-1,2)</f>
        <v>#N/A</v>
      </c>
      <c r="DT276" s="245" t="e">
        <f ca="1">INDEX(INDIRECT(VLOOKUP(LEFT(BO276,7),CLU!$Z$3:$AH$18,7)),M276-1,3)</f>
        <v>#N/A</v>
      </c>
      <c r="DU276" s="245" t="e">
        <f ca="1">INDEX(INDIRECT(VLOOKUP(LEFT(BO276,7),CLU!$Z$3:$AH$18,7)),M276-1,4)</f>
        <v>#N/A</v>
      </c>
      <c r="DV276" s="361" t="e">
        <f ca="1">INDEX(INDIRECT(VLOOKUP(LEFT(BO276,7),CLU!$Z$3:$AH$18,7)),M276-1,4+LEFT(DZ276,1)*0.5)</f>
        <v>#N/A</v>
      </c>
      <c r="DW276" s="245" t="e">
        <f ca="1">INDEX(INDIRECT(VLOOKUP(LEFT(BO276,7),CLU!$Z$3:$AH$18,7)),M276-1,8)</f>
        <v>#N/A</v>
      </c>
      <c r="DX276" s="361" t="str">
        <f t="shared" si="662"/>
        <v xml:space="preserve"> </v>
      </c>
      <c r="DY276" s="361" t="str">
        <f t="shared" si="663"/>
        <v xml:space="preserve"> </v>
      </c>
      <c r="DZ276" s="361" t="str">
        <f t="shared" si="664"/>
        <v xml:space="preserve"> </v>
      </c>
      <c r="EA276" s="362" t="str">
        <f t="shared" si="665"/>
        <v xml:space="preserve"> </v>
      </c>
      <c r="EB276" s="624" t="str">
        <f t="shared" si="770"/>
        <v xml:space="preserve"> </v>
      </c>
      <c r="EC276" s="361" t="e">
        <f ca="1">INDEX(INDIRECT(VLOOKUP(LEFT(BO276,7),CLU!$Z$3:$AH$18,7)),M276-1,4+LEFT(DZ276,1)*0.5)</f>
        <v>#N/A</v>
      </c>
      <c r="ED276" s="362" t="str">
        <f t="shared" si="666"/>
        <v xml:space="preserve"> </v>
      </c>
      <c r="EE276" s="361" t="str">
        <f t="shared" si="667"/>
        <v xml:space="preserve"> </v>
      </c>
      <c r="EF276" s="362" t="str">
        <f>IF(L276&gt;0,IF(BR276&gt;0,IF(EE276="2P",IF(Calculation!DZ276="2P",IF(Calculation!DS276=13.75,IF(Calculation!DR276=13,Worksheet!$BD$43,IF(Calculation!DR276=37,Worksheet!$BD$44,Worksheet!$BD$45)),IF(Calculation!DS276=10,IF(Calculation!DR276=18,Worksheet!$BD$29,IF(Calculation!DR276=30,Worksheet!$BD$30,IF(Calculation!DR276=42,Worksheet!$BD$31,IF(Calculation!DR276=54,Worksheet!$BD$32,IF(Calculation!DR276=66,Worksheet!$BD$33,IF(Calculation!DR276=78,Worksheet!$BD$34,IF(Calculation!DR276=90,Worksheet!$BD$35,IF(Calculation!DR276=102,Worksheet!$BD$36,Worksheet!$BD$37)))))))),IF(Calculation!DS276=12.5,IF(Calculation!DR276=18,Worksheet!$BD$38,IF(Calculation!DR276=Worksheet!$BD$39,IF(Calculation!DR276=42,Worksheet!$BD$40,IF(Calculation!DR276=54,Worksheet!$BD$41,Worksheet!$BD$42)))),IF(Calculation!DR276=18,Worksheet!$BD$11,IF(Calculation!DR276=30,Worksheet!$BD$12,IF(Calculation!DR276=42,Worksheet!$BD$13,IF(Calculation!DR276=54,Worksheet!$BD$14,IF(Calculation!DR276=66,Worksheet!$BD$15,IF(Calculation!DR276=78,Worksheet!$BD$16,IF(Calculation!DR276=90,Worksheet!$BD$17,IF(Calculation!DR276=102,Worksheet!$BD$18,Worksheet!$BD$19))))))))))),IF(Calculation!DS276=13.75,IF(Calculation!DR276=13,Worksheet!$BD$78,IF(Calculation!DR276=37,Worksheet!$BD$79,Worksheet!$BD$80)),IF(Calculation!DS276=10,IF(Calculation!DR276=18,Worksheet!$BD$64,IF(Calculation!DR276=30,Worksheet!$BD$65,IF(Calculation!DR276=42,Worksheet!$BD$66,IF(Calculation!DR276=54,Worksheet!$BD$68,IF(Calculation!DR276=66,Worksheet!$BD$68,IF(Calculation!DR276=78,Worksheet!$BD$69,IF(Calculation!DR276=90,Worksheet!$BD$70,IF(Calculation!DR276=102,Worksheet!$BD$71,Worksheet!$BD$72)))))))),IF(Calculation!DS276=12.5,IF(Calculation!DR276=18,Worksheet!$BD$73,IF(Calculation!DR276=Worksheet!$BD$74,IF(Calculation!DR276=42,Worksheet!$BD$75,IF(Calculation!DR276=54,Worksheet!$BD$76,Worksheet!$BD$77)))),IF(Calculation!DR276=18,Worksheet!$BD$55,IF(Calculation!DR276=30,Worksheet!$BD$56,IF(Calculation!DR276=42,Worksheet!$BD$57,IF(Calculation!DR276=54,Worksheet!$BD$58,IF(Calculation!DR276=66,Worksheet!$BD$59,IF(Calculation!DR276=78,Worksheet!$BD$60,IF(Calculation!DR276=90,Worksheet!$BD$61,IF(Calculation!DR276=102,Worksheet!$BD$62,Worksheet!$BD$63)))))))))))),5),0)," ")</f>
        <v xml:space="preserve"> </v>
      </c>
      <c r="EG276" s="361" t="str">
        <f t="shared" si="668"/>
        <v xml:space="preserve"> </v>
      </c>
      <c r="EH276" s="361" t="e">
        <f ca="1">INDEX(INDIRECT(VLOOKUP(LEFT(BO276,7),CLU!$Z$3:$AH$18,7)),M276-1,3+LEFT(DZ276,1))</f>
        <v>#N/A</v>
      </c>
      <c r="EI276" s="362" t="str">
        <f t="shared" si="669"/>
        <v xml:space="preserve"> </v>
      </c>
      <c r="EJ276" s="363" t="str">
        <f t="shared" si="670"/>
        <v xml:space="preserve"> </v>
      </c>
      <c r="EK276" s="363" t="str">
        <f t="shared" si="671"/>
        <v xml:space="preserve"> </v>
      </c>
      <c r="EL276" s="363" t="str">
        <f t="shared" si="672"/>
        <v xml:space="preserve"> </v>
      </c>
      <c r="EM276" s="362" t="str">
        <f>IF(L276&gt;0,IF(BR276&gt;0,(Calculation!T276/ED276)^2,0)," ")</f>
        <v xml:space="preserve"> </v>
      </c>
      <c r="EN276" s="362" t="str">
        <f>IF(L276&gt;0,IF(O276="2 Pipe (Cooling)","N/A",IF(BR276&gt;0,(Calculation!U276/EI276)^2,0))," ")</f>
        <v xml:space="preserve"> </v>
      </c>
      <c r="EO276" s="361" t="str">
        <f t="shared" si="673"/>
        <v/>
      </c>
      <c r="EP276" s="361" t="str">
        <f t="shared" si="674"/>
        <v/>
      </c>
      <c r="EQ276" s="361" t="str">
        <f t="shared" si="675"/>
        <v/>
      </c>
      <c r="ER276" s="361" t="str">
        <f t="shared" si="676"/>
        <v/>
      </c>
      <c r="ES276" s="361" t="str">
        <f t="shared" si="677"/>
        <v/>
      </c>
      <c r="ET276" s="361" t="str">
        <f t="shared" si="678"/>
        <v/>
      </c>
      <c r="EU276" s="361" t="str">
        <f t="shared" si="679"/>
        <v/>
      </c>
      <c r="EV276" s="361" t="str">
        <f t="shared" si="680"/>
        <v/>
      </c>
      <c r="EW276" s="361" t="str">
        <f t="shared" si="681"/>
        <v/>
      </c>
      <c r="EX276" s="361" t="str">
        <f t="shared" si="771"/>
        <v>1 slot, 1 way</v>
      </c>
      <c r="EY276" s="361" t="str">
        <f t="shared" si="772"/>
        <v xml:space="preserve"> </v>
      </c>
      <c r="EZ276" s="361" t="str">
        <f t="shared" si="773"/>
        <v xml:space="preserve"> </v>
      </c>
      <c r="FA276" s="361" t="str">
        <f t="shared" si="774"/>
        <v xml:space="preserve"> </v>
      </c>
      <c r="FB276" s="361" t="str">
        <f t="shared" si="775"/>
        <v xml:space="preserve"> </v>
      </c>
      <c r="FC276" s="361"/>
      <c r="FD276" s="361" t="str">
        <f>IF(J276&gt;0,IF(Calculation!R276&lt;=70,4,IF(Calculation!R276&lt;=110,5,IF(Calculation!R276&lt;=160,6,IF(Calculation!R276&lt;=300,8,"10 EO")))),"")</f>
        <v/>
      </c>
      <c r="FE276" s="361" t="str">
        <f t="shared" si="776"/>
        <v/>
      </c>
      <c r="FF276" s="361" t="str">
        <f t="shared" si="777"/>
        <v/>
      </c>
      <c r="FG276" s="361" t="e">
        <f t="shared" si="682"/>
        <v>#N/A</v>
      </c>
      <c r="FH276" s="361">
        <f t="shared" si="683"/>
        <v>0</v>
      </c>
      <c r="FI276" s="361" t="e">
        <f t="shared" si="684"/>
        <v>#DIV/0!</v>
      </c>
      <c r="FJ276" s="361"/>
      <c r="FK276" s="356" t="e">
        <f t="shared" si="685"/>
        <v>#VALUE!</v>
      </c>
      <c r="FL276" s="361"/>
      <c r="FM276" s="361"/>
      <c r="FN276" s="362" t="str">
        <f t="shared" si="778"/>
        <v xml:space="preserve"> </v>
      </c>
      <c r="FO276" s="362" t="str">
        <f t="shared" si="779"/>
        <v xml:space="preserve"> </v>
      </c>
      <c r="FP276" s="362">
        <f t="shared" si="780"/>
        <v>0</v>
      </c>
      <c r="FQ276" s="361">
        <f t="shared" si="686"/>
        <v>0</v>
      </c>
      <c r="FR276" s="362" t="str">
        <f>IF(L276&gt;0,IF(J276="CBAL2",Worksheet!$P$67,IF(J276="CBE2-24",Worksheet!$Q$67,IF(J276="CBAM",Worksheet!$R$67,IF(J276="CBLV",Worksheet!$S$67,IF(J276="CBAB",Worksheet!$U$67,IF(J276="CBAW",Worksheet!$X$67,IF(J276="CBE2-12",Worksheet!$Y$67,IF(J276="CBAL2",Worksheet!$Z$67,"N/A"))))))))," ")</f>
        <v xml:space="preserve"> </v>
      </c>
      <c r="FS276" s="362" t="str">
        <f>IF(L276&gt;0,IF(J276="CBAL2",Worksheet!$P$68,IF(J276="CBE2-24",Worksheet!$Q$68,IF(J276="CBAM",Worksheet!$R$68,IF(J276="CBLV",Worksheet!$S$68,IF(J276="CBAB",Worksheet!$U$68,IF(J276="CBAW",Worksheet!$X$68,IF(J276="CBE2-12",Worksheet!$Y$68,IF(J276="CBAL2",Worksheet!$Z$68,"N/A"))))))))," ")</f>
        <v xml:space="preserve"> </v>
      </c>
      <c r="FT276" s="362" t="str">
        <f>IF(L276&gt;0,IF(J276="CBAL2",Worksheet!$P$69,IF(J276="CBE2-24",Worksheet!$Q$69,IF(J276="CBAM",Worksheet!$R$69,IF(J276="CBLV",Worksheet!$S$69,IF(J276="CBAB",Worksheet!$U$69,IF(J276="CBAW",Worksheet!$X$69,IF(J276="CBE2-12",Worksheet!$Y$69,IF(J276="CBAL2",Worksheet!$Z$69,"N/A"))))))))," ")</f>
        <v xml:space="preserve"> </v>
      </c>
      <c r="FU276" s="361" t="str">
        <f t="shared" si="781"/>
        <v xml:space="preserve"> </v>
      </c>
      <c r="FV276" s="362" t="str">
        <f t="shared" si="782"/>
        <v xml:space="preserve"> </v>
      </c>
      <c r="FW276" s="362" t="str">
        <f t="shared" si="783"/>
        <v xml:space="preserve"> </v>
      </c>
      <c r="FX276" s="362" t="str">
        <f t="shared" si="784"/>
        <v xml:space="preserve"> </v>
      </c>
      <c r="FY276" s="355" t="str">
        <f t="shared" si="785"/>
        <v xml:space="preserve"> </v>
      </c>
      <c r="FZ276" s="361" t="str">
        <f t="shared" si="786"/>
        <v xml:space="preserve"> </v>
      </c>
      <c r="GA276" s="347" t="str">
        <f t="shared" si="787"/>
        <v xml:space="preserve"> </v>
      </c>
      <c r="GB276" s="355" t="str">
        <f t="shared" si="788"/>
        <v xml:space="preserve"> </v>
      </c>
      <c r="GC276" s="328" t="str">
        <f t="shared" si="789"/>
        <v xml:space="preserve"> </v>
      </c>
      <c r="GD276" s="361" t="str">
        <f t="shared" si="790"/>
        <v xml:space="preserve"> </v>
      </c>
      <c r="GE276" s="347" t="str">
        <f t="shared" si="791"/>
        <v xml:space="preserve"> </v>
      </c>
      <c r="GF276" s="361" t="str">
        <f t="shared" si="792"/>
        <v xml:space="preserve"> </v>
      </c>
      <c r="GG276" s="347" t="str">
        <f t="shared" si="793"/>
        <v xml:space="preserve"> </v>
      </c>
      <c r="GH276" s="364">
        <f t="shared" si="687"/>
        <v>0</v>
      </c>
      <c r="GI276" s="362">
        <f t="shared" si="794"/>
        <v>2</v>
      </c>
      <c r="GJ276" s="433" t="e">
        <f>IF(6-COUNTBLANK(GT276:GY276)=4,MATCH(MID(BO276,9,3),CLU!$H$16:$K$16),MATCH(MID(BO276,9,3),CLU!$H$13:$M$13))</f>
        <v>#N/A</v>
      </c>
      <c r="GK276" s="433" t="e">
        <f>HLOOKUP(VALUE(BP276),CLU!$H$9:$M$10,2)</f>
        <v>#VALUE!</v>
      </c>
      <c r="GL276" s="433" t="e">
        <f ca="1">MATCH(BU276,CLU!$H$2:$V$2,1)</f>
        <v>#VALUE!</v>
      </c>
      <c r="GM276" s="433" t="e">
        <f t="shared" ca="1" si="795"/>
        <v>#VALUE!</v>
      </c>
      <c r="GN276" s="433" t="e">
        <f t="shared" ca="1" si="796"/>
        <v>#VALUE!</v>
      </c>
      <c r="GO276" s="433" t="e">
        <f t="shared" ca="1" si="797"/>
        <v>#VALUE!</v>
      </c>
      <c r="GP276" s="433" t="e">
        <f t="shared" ca="1" si="798"/>
        <v>#VALUE!</v>
      </c>
      <c r="GQ276" s="433" t="e">
        <f t="shared" ca="1" si="799"/>
        <v>#VALUE!</v>
      </c>
      <c r="GR276" s="433" t="e">
        <f ca="1">MATCH(T276,INDIRECT(VLOOKUP(CONCATENATE(LEFT(BO276,7),"-",MID(BO276,13,1)),CLU!$P$3:$Q$16,2)),1)</f>
        <v>#N/A</v>
      </c>
      <c r="GS276" s="433" t="e">
        <f ca="1">MATCH(U276,INDIRECT(VLOOKUP(CONCATENATE(LEFT(BO276,7),"-",MID(BO276,13,1)),CLU!$P$3:$Q$16,2)),1)</f>
        <v>#N/A</v>
      </c>
      <c r="GT276" s="347" t="s">
        <v>512</v>
      </c>
      <c r="GU276" s="97" t="s">
        <v>513</v>
      </c>
      <c r="GV276" s="97" t="str">
        <f t="shared" si="800"/>
        <v>M23</v>
      </c>
      <c r="GW276" s="97" t="str">
        <f t="shared" si="801"/>
        <v>M31</v>
      </c>
      <c r="GX276" s="97" t="str">
        <f t="shared" si="802"/>
        <v/>
      </c>
      <c r="GY276" s="97" t="str">
        <f t="shared" si="803"/>
        <v/>
      </c>
      <c r="GZ276" s="481"/>
      <c r="HA276" s="240"/>
      <c r="HB276" s="240"/>
      <c r="HC276" s="240"/>
      <c r="HD276" s="240"/>
      <c r="HE276" s="240"/>
      <c r="HF276" s="240"/>
      <c r="HG276" s="240"/>
      <c r="HH276" s="240"/>
      <c r="HI276" s="240"/>
      <c r="HJ276" s="240"/>
      <c r="HK276" s="240"/>
      <c r="HL276" s="240"/>
      <c r="HM276" s="240"/>
      <c r="HN276" s="240"/>
      <c r="HO276" s="240"/>
      <c r="HP276" s="240"/>
      <c r="HQ276" s="240"/>
      <c r="HR276" s="240"/>
      <c r="HS276" s="240"/>
      <c r="HT276" s="240"/>
      <c r="HU276" s="240"/>
      <c r="HV276" s="245"/>
      <c r="HW276" s="245" t="b">
        <v>1</v>
      </c>
      <c r="HX276" s="245" t="str">
        <f t="shared" si="688"/>
        <v/>
      </c>
      <c r="HY276" s="245" t="e">
        <f t="shared" si="689"/>
        <v>#DIV/0!</v>
      </c>
      <c r="HZ276" s="245" t="e">
        <f t="shared" si="690"/>
        <v>#DIV/0!</v>
      </c>
      <c r="IA276" s="245">
        <f t="shared" si="691"/>
        <v>0</v>
      </c>
      <c r="IB276" s="245"/>
      <c r="IC276" t="b">
        <f t="shared" si="692"/>
        <v>1</v>
      </c>
      <c r="ID276" s="245" t="b">
        <f t="shared" si="693"/>
        <v>1</v>
      </c>
      <c r="IE276" s="245" t="b">
        <f t="shared" si="694"/>
        <v>1</v>
      </c>
      <c r="IF276" s="245" t="b">
        <f t="shared" si="695"/>
        <v>0</v>
      </c>
      <c r="IG276" s="245" t="b">
        <f t="shared" si="696"/>
        <v>1</v>
      </c>
      <c r="IH276" s="245" t="b">
        <f t="shared" si="697"/>
        <v>1</v>
      </c>
      <c r="II276" s="245">
        <f t="shared" si="804"/>
        <v>0</v>
      </c>
      <c r="IJ276" s="245" t="e">
        <f t="shared" si="698"/>
        <v>#VALUE!</v>
      </c>
      <c r="IK276" s="245" t="e">
        <f t="shared" si="699"/>
        <v>#VALUE!</v>
      </c>
      <c r="IL276" s="245"/>
      <c r="IM276" s="245" t="e">
        <f t="shared" si="805"/>
        <v>#N/A</v>
      </c>
      <c r="IN276" s="245" t="e">
        <f t="shared" si="806"/>
        <v>#N/A</v>
      </c>
      <c r="IO276" s="245"/>
      <c r="IP276" s="245"/>
      <c r="IQ276" s="245" t="str">
        <f t="shared" si="700"/>
        <v/>
      </c>
      <c r="IR276" s="245" t="str">
        <f>IF(J276="","",VLOOKUP(J276,Worksheet!$R$4:$T$14,2))</f>
        <v/>
      </c>
      <c r="IS276" s="245"/>
      <c r="IT276" s="245">
        <f t="shared" si="701"/>
        <v>0</v>
      </c>
      <c r="IU276" s="245">
        <f t="shared" si="702"/>
        <v>0</v>
      </c>
      <c r="IV276" s="245">
        <f t="shared" si="703"/>
        <v>0</v>
      </c>
      <c r="IW276" s="245">
        <f t="shared" si="704"/>
        <v>0</v>
      </c>
      <c r="IX276" s="245">
        <f t="shared" si="807"/>
        <v>0</v>
      </c>
      <c r="IY276" s="245">
        <f t="shared" si="705"/>
        <v>0</v>
      </c>
      <c r="IZ276" s="245">
        <f t="shared" si="706"/>
        <v>0</v>
      </c>
      <c r="JA276">
        <f t="shared" si="707"/>
        <v>0</v>
      </c>
      <c r="JB276">
        <f t="shared" si="808"/>
        <v>0</v>
      </c>
      <c r="JC276">
        <f t="shared" si="708"/>
        <v>0</v>
      </c>
      <c r="JD276">
        <f t="shared" si="709"/>
        <v>0</v>
      </c>
      <c r="JE276">
        <f t="shared" si="710"/>
        <v>0</v>
      </c>
      <c r="JF276">
        <f t="shared" si="711"/>
        <v>0</v>
      </c>
      <c r="JG276">
        <f t="shared" si="712"/>
        <v>0</v>
      </c>
      <c r="JH276">
        <f t="shared" si="713"/>
        <v>0</v>
      </c>
      <c r="JI276">
        <f t="shared" si="714"/>
        <v>0</v>
      </c>
      <c r="JJ276" s="447">
        <f t="shared" si="715"/>
        <v>0</v>
      </c>
      <c r="JK276" s="447">
        <f t="shared" si="716"/>
        <v>0</v>
      </c>
      <c r="JL276">
        <f t="shared" si="717"/>
        <v>0</v>
      </c>
      <c r="JM276" s="245" t="str">
        <f>IFERROR(VLOOKUP(MATCH(BN276,#REF!,0),#REF!,7),"")</f>
        <v/>
      </c>
      <c r="JN276" t="e">
        <f>HLOOKUP(LEFT(BO276,7),Discharge_Area,MATCH(JO276,LookUps!$B$130:$B$149,1)+2)</f>
        <v>#N/A</v>
      </c>
      <c r="JO276" t="str">
        <f t="shared" si="718"/>
        <v>- S</v>
      </c>
      <c r="JP276" t="e">
        <f>HLOOKUP(LEFT(BO276,7),Discharge_Area,MATCH(JO276,LookUps!$B$130:$B$149,1)+2)</f>
        <v>#N/A</v>
      </c>
      <c r="JQ276" t="e">
        <f t="shared" si="719"/>
        <v>#N/A</v>
      </c>
      <c r="JR276" t="e">
        <f t="shared" si="720"/>
        <v>#N/A</v>
      </c>
      <c r="JS276" t="e">
        <f t="shared" si="721"/>
        <v>#N/A</v>
      </c>
      <c r="JT276" s="532" t="str">
        <f t="shared" si="722"/>
        <v xml:space="preserve"> </v>
      </c>
      <c r="JU276" s="532" t="str">
        <f t="shared" si="723"/>
        <v xml:space="preserve"> </v>
      </c>
      <c r="JV276" s="533" t="str">
        <f t="shared" si="724"/>
        <v xml:space="preserve"> </v>
      </c>
      <c r="JW276" s="534">
        <f t="shared" si="725"/>
        <v>0</v>
      </c>
      <c r="JX276" s="535" t="str">
        <f t="shared" si="809"/>
        <v xml:space="preserve"> </v>
      </c>
      <c r="JY276" s="535" t="str">
        <f t="shared" si="810"/>
        <v xml:space="preserve"> </v>
      </c>
      <c r="JZ276" s="535" t="str">
        <f t="shared" si="811"/>
        <v xml:space="preserve"> </v>
      </c>
      <c r="KA276" s="536" t="str">
        <f t="shared" si="726"/>
        <v xml:space="preserve"> </v>
      </c>
      <c r="KB276" s="535" t="e">
        <f t="shared" si="812"/>
        <v>#VALUE!</v>
      </c>
      <c r="KC276" s="535" t="str">
        <f t="shared" si="727"/>
        <v/>
      </c>
      <c r="KD276" s="537" t="str">
        <f t="shared" si="813"/>
        <v xml:space="preserve"> </v>
      </c>
      <c r="KE276" s="537" t="str">
        <f t="shared" si="814"/>
        <v xml:space="preserve"> </v>
      </c>
      <c r="KF276" s="534">
        <f t="shared" si="728"/>
        <v>0</v>
      </c>
      <c r="KG276" s="535" t="str">
        <f t="shared" si="729"/>
        <v xml:space="preserve"> </v>
      </c>
      <c r="KH276" s="535" t="str">
        <f t="shared" si="730"/>
        <v xml:space="preserve"> </v>
      </c>
      <c r="KI276" s="535" t="str">
        <f t="shared" si="731"/>
        <v xml:space="preserve"> </v>
      </c>
      <c r="KJ276" s="536" t="str">
        <f t="shared" si="732"/>
        <v xml:space="preserve"> </v>
      </c>
      <c r="KK276" s="535" t="str">
        <f t="shared" si="815"/>
        <v xml:space="preserve"> </v>
      </c>
      <c r="KL276" s="535" t="str">
        <f t="shared" si="816"/>
        <v xml:space="preserve"> </v>
      </c>
      <c r="KM276" s="537" t="str">
        <f t="shared" si="733"/>
        <v xml:space="preserve"> </v>
      </c>
      <c r="KN276" s="537" t="str">
        <f t="shared" si="817"/>
        <v xml:space="preserve"> </v>
      </c>
      <c r="KP276">
        <f t="shared" si="734"/>
        <v>0</v>
      </c>
      <c r="LA276" t="e">
        <f t="shared" si="735"/>
        <v>#VALUE!</v>
      </c>
      <c r="LB276" t="e">
        <f t="shared" si="736"/>
        <v>#VALUE!</v>
      </c>
      <c r="LC276" t="e">
        <f t="shared" si="737"/>
        <v>#VALUE!</v>
      </c>
      <c r="LD276" t="e">
        <f t="shared" si="738"/>
        <v>#VALUE!</v>
      </c>
      <c r="LE276" t="e">
        <f t="shared" si="818"/>
        <v>#VALUE!</v>
      </c>
      <c r="LF276">
        <f t="shared" si="739"/>
        <v>0</v>
      </c>
      <c r="LG276" t="e">
        <f t="shared" si="819"/>
        <v>#VALUE!</v>
      </c>
      <c r="LH276" t="str">
        <f t="shared" si="740"/>
        <v xml:space="preserve"> </v>
      </c>
      <c r="LI276">
        <f t="shared" si="820"/>
        <v>1</v>
      </c>
    </row>
    <row r="277" spans="2:321" ht="15" customHeight="1">
      <c r="B277" s="311"/>
      <c r="C277" s="311"/>
      <c r="D277" s="312"/>
      <c r="E277" s="311"/>
      <c r="F277" s="312"/>
      <c r="G277" s="311"/>
      <c r="H277" s="311"/>
      <c r="I277" s="232"/>
      <c r="J277" s="311"/>
      <c r="K277" s="305" t="str">
        <f t="shared" si="741"/>
        <v/>
      </c>
      <c r="L277" s="313"/>
      <c r="M277" s="312"/>
      <c r="N277" s="311"/>
      <c r="O277" s="312"/>
      <c r="P277" s="311"/>
      <c r="Q277" s="305" t="str">
        <f t="shared" si="742"/>
        <v/>
      </c>
      <c r="R277" s="314"/>
      <c r="S277" s="450" t="str">
        <f t="shared" si="625"/>
        <v/>
      </c>
      <c r="T277" s="315"/>
      <c r="U277" s="315"/>
      <c r="W277" s="149" t="str">
        <f t="shared" si="626"/>
        <v xml:space="preserve"> </v>
      </c>
      <c r="X277" s="243" t="str">
        <f t="shared" si="627"/>
        <v xml:space="preserve"> </v>
      </c>
      <c r="Y277" s="150" t="str">
        <f t="shared" si="628"/>
        <v/>
      </c>
      <c r="Z277" s="149" t="str">
        <f t="shared" si="629"/>
        <v xml:space="preserve"> </v>
      </c>
      <c r="AA277" s="98" t="str">
        <f t="shared" si="630"/>
        <v xml:space="preserve"> </v>
      </c>
      <c r="AB277" s="153" t="str">
        <f t="shared" si="631"/>
        <v xml:space="preserve"> </v>
      </c>
      <c r="AC277" s="153" t="str">
        <f t="shared" si="632"/>
        <v xml:space="preserve"> </v>
      </c>
      <c r="AD277" s="148" t="str">
        <f t="shared" si="633"/>
        <v/>
      </c>
      <c r="AE277" s="149" t="str">
        <f t="shared" si="634"/>
        <v/>
      </c>
      <c r="AF277" s="151" t="str">
        <f t="shared" si="635"/>
        <v xml:space="preserve"> </v>
      </c>
      <c r="AG277" s="153" t="str">
        <f t="shared" si="636"/>
        <v xml:space="preserve"> </v>
      </c>
      <c r="AH277" s="98" t="str">
        <f t="shared" si="637"/>
        <v xml:space="preserve"> </v>
      </c>
      <c r="AI277" s="149" t="str">
        <f t="shared" si="638"/>
        <v xml:space="preserve"> </v>
      </c>
      <c r="AK277" s="144" t="str">
        <f t="shared" si="639"/>
        <v xml:space="preserve"> </v>
      </c>
      <c r="AL277" s="144"/>
      <c r="AM277" s="243" t="str">
        <f t="shared" si="640"/>
        <v xml:space="preserve"> </v>
      </c>
      <c r="AN277" s="149" t="str">
        <f t="shared" si="743"/>
        <v xml:space="preserve"> </v>
      </c>
      <c r="AO277" s="144" t="str">
        <f>IF(JB277&gt;0,IF(GI277=10,-R277*1.085*(Calculation!$F$6-Calculation!$F$13)*$S$14," "),"")</f>
        <v/>
      </c>
      <c r="AP277" s="144" t="str">
        <f t="shared" si="641"/>
        <v/>
      </c>
      <c r="AQ277" s="56" t="str">
        <f t="shared" si="642"/>
        <v/>
      </c>
      <c r="AR277" s="144" t="str">
        <f t="shared" si="643"/>
        <v/>
      </c>
      <c r="AS277" s="176" t="str">
        <f t="shared" si="644"/>
        <v/>
      </c>
      <c r="AT277" s="176" t="str">
        <f t="shared" si="744"/>
        <v xml:space="preserve"> </v>
      </c>
      <c r="AU277" s="176" t="str">
        <f t="shared" si="645"/>
        <v/>
      </c>
      <c r="AV277" s="177" t="str">
        <f t="shared" si="646"/>
        <v xml:space="preserve"> </v>
      </c>
      <c r="AW277" s="144" t="str">
        <f t="shared" si="647"/>
        <v xml:space="preserve"> </v>
      </c>
      <c r="AX277" s="144" t="str">
        <f t="shared" si="648"/>
        <v xml:space="preserve"> </v>
      </c>
      <c r="AY277" s="152" t="str">
        <f t="shared" si="649"/>
        <v xml:space="preserve"> </v>
      </c>
      <c r="AZ277" s="246" t="str">
        <f t="shared" si="650"/>
        <v/>
      </c>
      <c r="BA277" s="176" t="str">
        <f t="shared" si="651"/>
        <v xml:space="preserve"> </v>
      </c>
      <c r="BB277" s="176" t="str">
        <f t="shared" si="652"/>
        <v xml:space="preserve"> </v>
      </c>
      <c r="BC277" s="195"/>
      <c r="BD277" s="316"/>
      <c r="BE277" s="317"/>
      <c r="BF277" s="318"/>
      <c r="BG277" s="318"/>
      <c r="BH277" s="144" t="str">
        <f t="shared" si="821"/>
        <v xml:space="preserve"> </v>
      </c>
      <c r="BI277" s="176" t="str">
        <f t="shared" si="653"/>
        <v/>
      </c>
      <c r="BJ277" s="144" t="str">
        <f t="shared" si="822"/>
        <v/>
      </c>
      <c r="BK277" s="246" t="str">
        <f t="shared" si="654"/>
        <v/>
      </c>
      <c r="BL277" s="144" t="str">
        <f t="shared" si="823"/>
        <v/>
      </c>
      <c r="BM277" s="246" t="str">
        <f t="shared" si="655"/>
        <v/>
      </c>
      <c r="BN277" s="337" t="str">
        <f t="shared" si="745"/>
        <v/>
      </c>
      <c r="BO277" s="371" t="str">
        <f t="shared" si="746"/>
        <v/>
      </c>
      <c r="BP277" s="328" t="str">
        <f t="shared" si="824"/>
        <v xml:space="preserve"> </v>
      </c>
      <c r="BQ277" s="347" t="str">
        <f t="shared" si="747"/>
        <v xml:space="preserve"> </v>
      </c>
      <c r="BR277" s="353" t="str">
        <f t="shared" si="748"/>
        <v xml:space="preserve"> </v>
      </c>
      <c r="BS277" s="626" t="str">
        <f>IF(L277&gt;0,IF(Calculation!P277="M13",BR277*3.1416*(0.134^2)/(4*144),IF(Calculation!P277="M17",BR277*3.1416*(0.165^2)/(4*144),IF(Calculation!P277="M20",BR277*3.1416*(0.198^2)/(4*144),IF(Calculation!P277="M23",BR277*3.1416*(0.228^2)/(4*144),IF(Calculation!P277="M27",BR277*3.1416*(0.269^2)/(4*144),BR277*3.1416*(0.307^2)/(4*144))))))," ")</f>
        <v xml:space="preserve"> </v>
      </c>
      <c r="BT277" s="353" t="str">
        <f>IF(L277&gt;0,IF(BS277&gt;0,R277/Calculation!BS277,0)," ")</f>
        <v xml:space="preserve"> </v>
      </c>
      <c r="BU277" s="438" t="e">
        <f t="shared" ca="1" si="656"/>
        <v>#VALUE!</v>
      </c>
      <c r="BV277" s="449" t="e">
        <f ca="1">INDEX(INDIRECT(VLOOKUP(LEFT(BO277,7),CLU!$Z$3:$AH$18,2)),GN277,GR277)</f>
        <v>#N/A</v>
      </c>
      <c r="BW277" s="433" t="e">
        <f ca="1">INDEX(INDIRECT(VLOOKUP(LEFT(BO277,7),CLU!$Z$3:$AH$18,3)),GN277,GR277)</f>
        <v>#N/A</v>
      </c>
      <c r="BX277" s="433" t="e">
        <f ca="1">INDEX(INDIRECT(VLOOKUP(LEFT(BO277,7),CLU!$Z$3:$AH$18,4)),GN277,GR277)</f>
        <v>#N/A</v>
      </c>
      <c r="BY277" s="433" t="e">
        <f ca="1">INDEX(INDIRECT(VLOOKUP(LEFT(BO277,7),CLU!$Z$3:$AH$18,9)),((M277-2)*(6-COUNTBLANK(GT277:GY277)))+GJ277)</f>
        <v>#N/A</v>
      </c>
      <c r="BZ277" s="426" t="e">
        <f t="shared" ca="1" si="749"/>
        <v>#N/A</v>
      </c>
      <c r="CA277" s="424" t="e">
        <f t="shared" ca="1" si="750"/>
        <v>#N/A</v>
      </c>
      <c r="CB277" s="429" t="e">
        <f ca="1">INDEX(INDIRECT(VLOOKUP(LEFT(BO277,7),CLU!$Z$3:$AH$18,2)),GN277,GS277)</f>
        <v>#N/A</v>
      </c>
      <c r="CC277" s="342" t="e">
        <f ca="1">INDEX(INDIRECT(VLOOKUP(LEFT(BO277,7),CLU!$Z$3:$AH$18,3)),GN277,GS277)</f>
        <v>#N/A</v>
      </c>
      <c r="CD277" s="342" t="e">
        <f ca="1">INDEX(INDIRECT(VLOOKUP(LEFT(BO277,7),CLU!$Z$3:$AH$18,4)),GN277,GS277)</f>
        <v>#N/A</v>
      </c>
      <c r="CE277" s="426" t="e">
        <f t="shared" ca="1" si="751"/>
        <v>#N/A</v>
      </c>
      <c r="CF277" s="440">
        <f t="shared" si="752"/>
        <v>0</v>
      </c>
      <c r="CG277" s="431" t="e">
        <f ca="1">INDEX(INDIRECT(VLOOKUP(LEFT(BO277,7),CLU!$Z$3:$AH$18,2)),GQ277,GR277)</f>
        <v>#N/A</v>
      </c>
      <c r="CH277" s="431" t="e">
        <f ca="1">INDEX(INDIRECT(VLOOKUP(LEFT(BO277,7),CLU!$Z$3:$AH$18,3)),GQ277,GR277)</f>
        <v>#N/A</v>
      </c>
      <c r="CI277" s="431" t="e">
        <f ca="1">INDEX(INDIRECT(VLOOKUP(LEFT(BO277,7),CLU!$Z$3:$AH$18,4)),GQ277,GR277)</f>
        <v>#N/A</v>
      </c>
      <c r="CJ277" s="448" t="e">
        <f t="shared" ca="1" si="753"/>
        <v>#N/A</v>
      </c>
      <c r="CK277" s="431" t="e">
        <f t="shared" ca="1" si="754"/>
        <v>#N/A</v>
      </c>
      <c r="CL277" s="440" t="e">
        <f t="shared" ca="1" si="755"/>
        <v>#N/A</v>
      </c>
      <c r="CM277" s="431" t="e">
        <f ca="1">INDEX(INDIRECT(VLOOKUP(LEFT(BO277,7),CLU!$Z$3:$AH$18,2)),GQ277,GS277)</f>
        <v>#N/A</v>
      </c>
      <c r="CN277" s="431" t="e">
        <f ca="1">INDEX(INDIRECT(VLOOKUP(LEFT(BO277,7),CLU!$Z$3:$AH$18,3)),GQ277,GS277)</f>
        <v>#N/A</v>
      </c>
      <c r="CO277" s="431" t="e">
        <f ca="1">INDEX(INDIRECT(VLOOKUP(LEFT(BO277,7),CLU!$Z$3:$AH$18,4)),GQ277,GS277)</f>
        <v>#N/A</v>
      </c>
      <c r="CP277" s="431" t="e">
        <f t="shared" ca="1" si="756"/>
        <v>#N/A</v>
      </c>
      <c r="CQ277" s="440">
        <f t="shared" si="757"/>
        <v>0</v>
      </c>
      <c r="CR277" s="51" t="e">
        <f t="shared" ca="1" si="758"/>
        <v>#N/A</v>
      </c>
      <c r="CS277" s="439" t="e">
        <f t="shared" ca="1" si="759"/>
        <v>#VALUE!</v>
      </c>
      <c r="CT277" s="51" t="e">
        <f t="shared" ca="1" si="760"/>
        <v>#VALUE!</v>
      </c>
      <c r="CU277" s="10"/>
      <c r="CV277" s="51" t="e">
        <f t="shared" ca="1" si="657"/>
        <v>#VALUE!</v>
      </c>
      <c r="CW277" s="51">
        <f t="shared" si="761"/>
        <v>0</v>
      </c>
      <c r="CX277" s="439" t="e">
        <f t="shared" ca="1" si="762"/>
        <v>#VALUE!</v>
      </c>
      <c r="CY277" s="51" t="e">
        <f t="shared" ca="1" si="763"/>
        <v>#VALUE!</v>
      </c>
      <c r="CZ277" s="10"/>
      <c r="DA277" s="51" t="e">
        <f t="shared" ca="1" si="764"/>
        <v>#VALUE!</v>
      </c>
      <c r="DB277" s="347" t="e">
        <f ca="1">INDEX(INDIRECT(VLOOKUP(LEFT(BO277,7),CLU!$Z$3:$AI$18,10)),((M277-2)*(6-COUNTBLANK(GT277:GY277)))+GJ277)*LI277</f>
        <v>#N/A</v>
      </c>
      <c r="DC277" s="347" t="str">
        <f>IF(L277&gt;0,((R277/Worksheet!$I$15)/DB277)^2," ")</f>
        <v xml:space="preserve"> </v>
      </c>
      <c r="DD277" s="602" t="str">
        <f t="shared" si="765"/>
        <v xml:space="preserve"> </v>
      </c>
      <c r="DE277" s="347" t="str">
        <f t="shared" si="658"/>
        <v xml:space="preserve"> </v>
      </c>
      <c r="DF277" s="356" t="e">
        <f ca="1">INDEX(INDIRECT(VLOOKUP(LEFT(BO277,7),CLU!$Z$3:$AH$18,8)),((M277-2)*(6-COUNTBLANK(GT277:GY277)))+GJ277)</f>
        <v>#N/A</v>
      </c>
      <c r="DG277" s="347" t="str">
        <f t="shared" si="659"/>
        <v xml:space="preserve"> </v>
      </c>
      <c r="DH277" s="357" t="str">
        <f t="shared" si="660"/>
        <v xml:space="preserve"> </v>
      </c>
      <c r="DI277" s="355" t="str">
        <f t="shared" si="661"/>
        <v xml:space="preserve"> </v>
      </c>
      <c r="DJ277" s="245" t="e">
        <f ca="1">INDEX(INDIRECT(VLOOKUP(LEFT(BO277,7),CLU!$Z$3:$AH$18,5)),GL277,GK277)</f>
        <v>#N/A</v>
      </c>
      <c r="DK277" s="245" t="e">
        <f ca="1">INDEX(INDIRECT(VLOOKUP(LEFT(BO277,7),CLU!$Z$3:$AH$18,6)),GL277,GK277)</f>
        <v>#N/A</v>
      </c>
      <c r="DL277" s="355">
        <f>(Calculation!R277*0.69143*(Calculation!$BQ$8-Calculation!$F$8))*$S$14</f>
        <v>0</v>
      </c>
      <c r="DM277" s="359" t="e">
        <f t="shared" si="766"/>
        <v>#VALUE!</v>
      </c>
      <c r="DN277" s="611">
        <f t="shared" si="767"/>
        <v>0</v>
      </c>
      <c r="DO277" s="359">
        <f t="shared" si="768"/>
        <v>100</v>
      </c>
      <c r="DP277" s="359">
        <f t="shared" si="769"/>
        <v>0</v>
      </c>
      <c r="DQ277" s="360"/>
      <c r="DR277" s="245" t="e">
        <f ca="1">INDEX(INDIRECT(VLOOKUP(LEFT(BO277,7),CLU!$Z$3:$AH$18,7)),M277-1,1)</f>
        <v>#N/A</v>
      </c>
      <c r="DS277" s="245" t="e">
        <f ca="1">INDEX(INDIRECT(VLOOKUP(LEFT(BO277,7),CLU!$Z$3:$AH$18,7)),M277-1,2)</f>
        <v>#N/A</v>
      </c>
      <c r="DT277" s="245" t="e">
        <f ca="1">INDEX(INDIRECT(VLOOKUP(LEFT(BO277,7),CLU!$Z$3:$AH$18,7)),M277-1,3)</f>
        <v>#N/A</v>
      </c>
      <c r="DU277" s="245" t="e">
        <f ca="1">INDEX(INDIRECT(VLOOKUP(LEFT(BO277,7),CLU!$Z$3:$AH$18,7)),M277-1,4)</f>
        <v>#N/A</v>
      </c>
      <c r="DV277" s="361" t="e">
        <f ca="1">INDEX(INDIRECT(VLOOKUP(LEFT(BO277,7),CLU!$Z$3:$AH$18,7)),M277-1,4+LEFT(DZ277,1)*0.5)</f>
        <v>#N/A</v>
      </c>
      <c r="DW277" s="245" t="e">
        <f ca="1">INDEX(INDIRECT(VLOOKUP(LEFT(BO277,7),CLU!$Z$3:$AH$18,7)),M277-1,8)</f>
        <v>#N/A</v>
      </c>
      <c r="DX277" s="361" t="str">
        <f t="shared" si="662"/>
        <v xml:space="preserve"> </v>
      </c>
      <c r="DY277" s="361" t="str">
        <f t="shared" si="663"/>
        <v xml:space="preserve"> </v>
      </c>
      <c r="DZ277" s="361" t="str">
        <f t="shared" si="664"/>
        <v xml:space="preserve"> </v>
      </c>
      <c r="EA277" s="362" t="str">
        <f t="shared" si="665"/>
        <v xml:space="preserve"> </v>
      </c>
      <c r="EB277" s="624" t="str">
        <f t="shared" si="770"/>
        <v xml:space="preserve"> </v>
      </c>
      <c r="EC277" s="361" t="e">
        <f ca="1">INDEX(INDIRECT(VLOOKUP(LEFT(BO277,7),CLU!$Z$3:$AH$18,7)),M277-1,4+LEFT(DZ277,1)*0.5)</f>
        <v>#N/A</v>
      </c>
      <c r="ED277" s="362" t="str">
        <f t="shared" si="666"/>
        <v xml:space="preserve"> </v>
      </c>
      <c r="EE277" s="361" t="str">
        <f t="shared" si="667"/>
        <v xml:space="preserve"> </v>
      </c>
      <c r="EF277" s="362" t="str">
        <f>IF(L277&gt;0,IF(BR277&gt;0,IF(EE277="2P",IF(Calculation!DZ277="2P",IF(Calculation!DS277=13.75,IF(Calculation!DR277=13,Worksheet!$BD$43,IF(Calculation!DR277=37,Worksheet!$BD$44,Worksheet!$BD$45)),IF(Calculation!DS277=10,IF(Calculation!DR277=18,Worksheet!$BD$29,IF(Calculation!DR277=30,Worksheet!$BD$30,IF(Calculation!DR277=42,Worksheet!$BD$31,IF(Calculation!DR277=54,Worksheet!$BD$32,IF(Calculation!DR277=66,Worksheet!$BD$33,IF(Calculation!DR277=78,Worksheet!$BD$34,IF(Calculation!DR277=90,Worksheet!$BD$35,IF(Calculation!DR277=102,Worksheet!$BD$36,Worksheet!$BD$37)))))))),IF(Calculation!DS277=12.5,IF(Calculation!DR277=18,Worksheet!$BD$38,IF(Calculation!DR277=Worksheet!$BD$39,IF(Calculation!DR277=42,Worksheet!$BD$40,IF(Calculation!DR277=54,Worksheet!$BD$41,Worksheet!$BD$42)))),IF(Calculation!DR277=18,Worksheet!$BD$11,IF(Calculation!DR277=30,Worksheet!$BD$12,IF(Calculation!DR277=42,Worksheet!$BD$13,IF(Calculation!DR277=54,Worksheet!$BD$14,IF(Calculation!DR277=66,Worksheet!$BD$15,IF(Calculation!DR277=78,Worksheet!$BD$16,IF(Calculation!DR277=90,Worksheet!$BD$17,IF(Calculation!DR277=102,Worksheet!$BD$18,Worksheet!$BD$19))))))))))),IF(Calculation!DS277=13.75,IF(Calculation!DR277=13,Worksheet!$BD$78,IF(Calculation!DR277=37,Worksheet!$BD$79,Worksheet!$BD$80)),IF(Calculation!DS277=10,IF(Calculation!DR277=18,Worksheet!$BD$64,IF(Calculation!DR277=30,Worksheet!$BD$65,IF(Calculation!DR277=42,Worksheet!$BD$66,IF(Calculation!DR277=54,Worksheet!$BD$68,IF(Calculation!DR277=66,Worksheet!$BD$68,IF(Calculation!DR277=78,Worksheet!$BD$69,IF(Calculation!DR277=90,Worksheet!$BD$70,IF(Calculation!DR277=102,Worksheet!$BD$71,Worksheet!$BD$72)))))))),IF(Calculation!DS277=12.5,IF(Calculation!DR277=18,Worksheet!$BD$73,IF(Calculation!DR277=Worksheet!$BD$74,IF(Calculation!DR277=42,Worksheet!$BD$75,IF(Calculation!DR277=54,Worksheet!$BD$76,Worksheet!$BD$77)))),IF(Calculation!DR277=18,Worksheet!$BD$55,IF(Calculation!DR277=30,Worksheet!$BD$56,IF(Calculation!DR277=42,Worksheet!$BD$57,IF(Calculation!DR277=54,Worksheet!$BD$58,IF(Calculation!DR277=66,Worksheet!$BD$59,IF(Calculation!DR277=78,Worksheet!$BD$60,IF(Calculation!DR277=90,Worksheet!$BD$61,IF(Calculation!DR277=102,Worksheet!$BD$62,Worksheet!$BD$63)))))))))))),5),0)," ")</f>
        <v xml:space="preserve"> </v>
      </c>
      <c r="EG277" s="361" t="str">
        <f t="shared" si="668"/>
        <v xml:space="preserve"> </v>
      </c>
      <c r="EH277" s="361" t="e">
        <f ca="1">INDEX(INDIRECT(VLOOKUP(LEFT(BO277,7),CLU!$Z$3:$AH$18,7)),M277-1,3+LEFT(DZ277,1))</f>
        <v>#N/A</v>
      </c>
      <c r="EI277" s="362" t="str">
        <f t="shared" si="669"/>
        <v xml:space="preserve"> </v>
      </c>
      <c r="EJ277" s="363" t="str">
        <f t="shared" si="670"/>
        <v xml:space="preserve"> </v>
      </c>
      <c r="EK277" s="363" t="str">
        <f t="shared" si="671"/>
        <v xml:space="preserve"> </v>
      </c>
      <c r="EL277" s="363" t="str">
        <f t="shared" si="672"/>
        <v xml:space="preserve"> </v>
      </c>
      <c r="EM277" s="362" t="str">
        <f>IF(L277&gt;0,IF(BR277&gt;0,(Calculation!T277/ED277)^2,0)," ")</f>
        <v xml:space="preserve"> </v>
      </c>
      <c r="EN277" s="362" t="str">
        <f>IF(L277&gt;0,IF(O277="2 Pipe (Cooling)","N/A",IF(BR277&gt;0,(Calculation!U277/EI277)^2,0))," ")</f>
        <v xml:space="preserve"> </v>
      </c>
      <c r="EO277" s="361" t="str">
        <f t="shared" si="673"/>
        <v/>
      </c>
      <c r="EP277" s="361" t="str">
        <f t="shared" si="674"/>
        <v/>
      </c>
      <c r="EQ277" s="361" t="str">
        <f t="shared" si="675"/>
        <v/>
      </c>
      <c r="ER277" s="361" t="str">
        <f t="shared" si="676"/>
        <v/>
      </c>
      <c r="ES277" s="361" t="str">
        <f t="shared" si="677"/>
        <v/>
      </c>
      <c r="ET277" s="361" t="str">
        <f t="shared" si="678"/>
        <v/>
      </c>
      <c r="EU277" s="361" t="str">
        <f t="shared" si="679"/>
        <v/>
      </c>
      <c r="EV277" s="361" t="str">
        <f t="shared" si="680"/>
        <v/>
      </c>
      <c r="EW277" s="361" t="str">
        <f t="shared" si="681"/>
        <v/>
      </c>
      <c r="EX277" s="361" t="str">
        <f t="shared" si="771"/>
        <v>1 slot, 1 way</v>
      </c>
      <c r="EY277" s="361" t="str">
        <f t="shared" si="772"/>
        <v xml:space="preserve"> </v>
      </c>
      <c r="EZ277" s="361" t="str">
        <f t="shared" si="773"/>
        <v xml:space="preserve"> </v>
      </c>
      <c r="FA277" s="361" t="str">
        <f t="shared" si="774"/>
        <v xml:space="preserve"> </v>
      </c>
      <c r="FB277" s="361" t="str">
        <f t="shared" si="775"/>
        <v xml:space="preserve"> </v>
      </c>
      <c r="FC277" s="361"/>
      <c r="FD277" s="361" t="str">
        <f>IF(J277&gt;0,IF(Calculation!R277&lt;=70,4,IF(Calculation!R277&lt;=110,5,IF(Calculation!R277&lt;=160,6,IF(Calculation!R277&lt;=300,8,"10 EO")))),"")</f>
        <v/>
      </c>
      <c r="FE277" s="361" t="str">
        <f t="shared" si="776"/>
        <v/>
      </c>
      <c r="FF277" s="361" t="str">
        <f t="shared" si="777"/>
        <v/>
      </c>
      <c r="FG277" s="361" t="e">
        <f t="shared" si="682"/>
        <v>#N/A</v>
      </c>
      <c r="FH277" s="361">
        <f t="shared" si="683"/>
        <v>0</v>
      </c>
      <c r="FI277" s="361" t="e">
        <f t="shared" si="684"/>
        <v>#DIV/0!</v>
      </c>
      <c r="FJ277" s="361"/>
      <c r="FK277" s="356" t="e">
        <f t="shared" si="685"/>
        <v>#VALUE!</v>
      </c>
      <c r="FL277" s="361"/>
      <c r="FM277" s="361"/>
      <c r="FN277" s="362" t="str">
        <f t="shared" si="778"/>
        <v xml:space="preserve"> </v>
      </c>
      <c r="FO277" s="362" t="str">
        <f t="shared" si="779"/>
        <v xml:space="preserve"> </v>
      </c>
      <c r="FP277" s="362">
        <f t="shared" si="780"/>
        <v>0</v>
      </c>
      <c r="FQ277" s="361">
        <f t="shared" si="686"/>
        <v>0</v>
      </c>
      <c r="FR277" s="362" t="str">
        <f>IF(L277&gt;0,IF(J277="CBAL2",Worksheet!$P$67,IF(J277="CBE2-24",Worksheet!$Q$67,IF(J277="CBAM",Worksheet!$R$67,IF(J277="CBLV",Worksheet!$S$67,IF(J277="CBAB",Worksheet!$U$67,IF(J277="CBAW",Worksheet!$X$67,IF(J277="CBE2-12",Worksheet!$Y$67,IF(J277="CBAL2",Worksheet!$Z$67,"N/A"))))))))," ")</f>
        <v xml:space="preserve"> </v>
      </c>
      <c r="FS277" s="362" t="str">
        <f>IF(L277&gt;0,IF(J277="CBAL2",Worksheet!$P$68,IF(J277="CBE2-24",Worksheet!$Q$68,IF(J277="CBAM",Worksheet!$R$68,IF(J277="CBLV",Worksheet!$S$68,IF(J277="CBAB",Worksheet!$U$68,IF(J277="CBAW",Worksheet!$X$68,IF(J277="CBE2-12",Worksheet!$Y$68,IF(J277="CBAL2",Worksheet!$Z$68,"N/A"))))))))," ")</f>
        <v xml:space="preserve"> </v>
      </c>
      <c r="FT277" s="362" t="str">
        <f>IF(L277&gt;0,IF(J277="CBAL2",Worksheet!$P$69,IF(J277="CBE2-24",Worksheet!$Q$69,IF(J277="CBAM",Worksheet!$R$69,IF(J277="CBLV",Worksheet!$S$69,IF(J277="CBAB",Worksheet!$U$69,IF(J277="CBAW",Worksheet!$X$69,IF(J277="CBE2-12",Worksheet!$Y$69,IF(J277="CBAL2",Worksheet!$Z$69,"N/A"))))))))," ")</f>
        <v xml:space="preserve"> </v>
      </c>
      <c r="FU277" s="361" t="str">
        <f t="shared" si="781"/>
        <v xml:space="preserve"> </v>
      </c>
      <c r="FV277" s="362" t="str">
        <f t="shared" si="782"/>
        <v xml:space="preserve"> </v>
      </c>
      <c r="FW277" s="362" t="str">
        <f t="shared" si="783"/>
        <v xml:space="preserve"> </v>
      </c>
      <c r="FX277" s="362" t="str">
        <f t="shared" si="784"/>
        <v xml:space="preserve"> </v>
      </c>
      <c r="FY277" s="355" t="str">
        <f t="shared" si="785"/>
        <v xml:space="preserve"> </v>
      </c>
      <c r="FZ277" s="361" t="str">
        <f t="shared" si="786"/>
        <v xml:space="preserve"> </v>
      </c>
      <c r="GA277" s="347" t="str">
        <f t="shared" si="787"/>
        <v xml:space="preserve"> </v>
      </c>
      <c r="GB277" s="355" t="str">
        <f t="shared" si="788"/>
        <v xml:space="preserve"> </v>
      </c>
      <c r="GC277" s="328" t="str">
        <f t="shared" si="789"/>
        <v xml:space="preserve"> </v>
      </c>
      <c r="GD277" s="361" t="str">
        <f t="shared" si="790"/>
        <v xml:space="preserve"> </v>
      </c>
      <c r="GE277" s="347" t="str">
        <f t="shared" si="791"/>
        <v xml:space="preserve"> </v>
      </c>
      <c r="GF277" s="361" t="str">
        <f t="shared" si="792"/>
        <v xml:space="preserve"> </v>
      </c>
      <c r="GG277" s="347" t="str">
        <f t="shared" si="793"/>
        <v xml:space="preserve"> </v>
      </c>
      <c r="GH277" s="364">
        <f t="shared" si="687"/>
        <v>0</v>
      </c>
      <c r="GI277" s="362">
        <f t="shared" si="794"/>
        <v>2</v>
      </c>
      <c r="GJ277" s="433" t="e">
        <f>IF(6-COUNTBLANK(GT277:GY277)=4,MATCH(MID(BO277,9,3),CLU!$H$16:$K$16),MATCH(MID(BO277,9,3),CLU!$H$13:$M$13))</f>
        <v>#N/A</v>
      </c>
      <c r="GK277" s="433" t="e">
        <f>HLOOKUP(VALUE(BP277),CLU!$H$9:$M$10,2)</f>
        <v>#VALUE!</v>
      </c>
      <c r="GL277" s="433" t="e">
        <f ca="1">MATCH(BU277,CLU!$H$2:$V$2,1)</f>
        <v>#VALUE!</v>
      </c>
      <c r="GM277" s="433" t="e">
        <f t="shared" ca="1" si="795"/>
        <v>#VALUE!</v>
      </c>
      <c r="GN277" s="433" t="e">
        <f t="shared" ca="1" si="796"/>
        <v>#VALUE!</v>
      </c>
      <c r="GO277" s="433" t="e">
        <f t="shared" ca="1" si="797"/>
        <v>#VALUE!</v>
      </c>
      <c r="GP277" s="433" t="e">
        <f t="shared" ca="1" si="798"/>
        <v>#VALUE!</v>
      </c>
      <c r="GQ277" s="433" t="e">
        <f t="shared" ca="1" si="799"/>
        <v>#VALUE!</v>
      </c>
      <c r="GR277" s="433" t="e">
        <f ca="1">MATCH(T277,INDIRECT(VLOOKUP(CONCATENATE(LEFT(BO277,7),"-",MID(BO277,13,1)),CLU!$P$3:$Q$16,2)),1)</f>
        <v>#N/A</v>
      </c>
      <c r="GS277" s="433" t="e">
        <f ca="1">MATCH(U277,INDIRECT(VLOOKUP(CONCATENATE(LEFT(BO277,7),"-",MID(BO277,13,1)),CLU!$P$3:$Q$16,2)),1)</f>
        <v>#N/A</v>
      </c>
      <c r="GT277" s="347" t="s">
        <v>512</v>
      </c>
      <c r="GU277" s="97" t="s">
        <v>513</v>
      </c>
      <c r="GV277" s="97" t="str">
        <f t="shared" si="800"/>
        <v>M23</v>
      </c>
      <c r="GW277" s="97" t="str">
        <f t="shared" si="801"/>
        <v>M31</v>
      </c>
      <c r="GX277" s="97" t="str">
        <f t="shared" si="802"/>
        <v/>
      </c>
      <c r="GY277" s="97" t="str">
        <f t="shared" si="803"/>
        <v/>
      </c>
      <c r="GZ277" s="481"/>
      <c r="HA277" s="240"/>
      <c r="HB277" s="240"/>
      <c r="HC277" s="240"/>
      <c r="HD277" s="240"/>
      <c r="HE277" s="240"/>
      <c r="HF277" s="240"/>
      <c r="HG277" s="240"/>
      <c r="HH277" s="240"/>
      <c r="HI277" s="240"/>
      <c r="HJ277" s="240"/>
      <c r="HK277" s="240"/>
      <c r="HL277" s="240"/>
      <c r="HM277" s="240"/>
      <c r="HN277" s="240"/>
      <c r="HO277" s="240"/>
      <c r="HP277" s="240"/>
      <c r="HQ277" s="240"/>
      <c r="HR277" s="240"/>
      <c r="HS277" s="240"/>
      <c r="HT277" s="240"/>
      <c r="HU277" s="240"/>
      <c r="HV277" s="245"/>
      <c r="HW277" s="245" t="b">
        <v>1</v>
      </c>
      <c r="HX277" s="245" t="str">
        <f t="shared" si="688"/>
        <v/>
      </c>
      <c r="HY277" s="245" t="e">
        <f t="shared" si="689"/>
        <v>#DIV/0!</v>
      </c>
      <c r="HZ277" s="245" t="e">
        <f t="shared" si="690"/>
        <v>#DIV/0!</v>
      </c>
      <c r="IA277" s="245">
        <f t="shared" si="691"/>
        <v>0</v>
      </c>
      <c r="IB277" s="245"/>
      <c r="IC277" t="b">
        <f t="shared" si="692"/>
        <v>1</v>
      </c>
      <c r="ID277" s="245" t="b">
        <f t="shared" si="693"/>
        <v>1</v>
      </c>
      <c r="IE277" s="245" t="b">
        <f t="shared" si="694"/>
        <v>1</v>
      </c>
      <c r="IF277" s="245" t="b">
        <f t="shared" si="695"/>
        <v>0</v>
      </c>
      <c r="IG277" s="245" t="b">
        <f t="shared" si="696"/>
        <v>1</v>
      </c>
      <c r="IH277" s="245" t="b">
        <f t="shared" si="697"/>
        <v>1</v>
      </c>
      <c r="II277" s="245">
        <f t="shared" si="804"/>
        <v>0</v>
      </c>
      <c r="IJ277" s="245" t="e">
        <f t="shared" si="698"/>
        <v>#VALUE!</v>
      </c>
      <c r="IK277" s="245" t="e">
        <f t="shared" si="699"/>
        <v>#VALUE!</v>
      </c>
      <c r="IL277" s="245"/>
      <c r="IM277" s="245" t="e">
        <f t="shared" si="805"/>
        <v>#N/A</v>
      </c>
      <c r="IN277" s="245" t="e">
        <f t="shared" si="806"/>
        <v>#N/A</v>
      </c>
      <c r="IO277" s="245"/>
      <c r="IP277" s="245"/>
      <c r="IQ277" s="245" t="str">
        <f t="shared" si="700"/>
        <v/>
      </c>
      <c r="IR277" s="245" t="str">
        <f>IF(J277="","",VLOOKUP(J277,Worksheet!$R$4:$T$14,2))</f>
        <v/>
      </c>
      <c r="IS277" s="245"/>
      <c r="IT277" s="245">
        <f t="shared" si="701"/>
        <v>0</v>
      </c>
      <c r="IU277" s="245">
        <f t="shared" si="702"/>
        <v>0</v>
      </c>
      <c r="IV277" s="245">
        <f t="shared" si="703"/>
        <v>0</v>
      </c>
      <c r="IW277" s="245">
        <f t="shared" si="704"/>
        <v>0</v>
      </c>
      <c r="IX277" s="245">
        <f t="shared" si="807"/>
        <v>0</v>
      </c>
      <c r="IY277" s="245">
        <f t="shared" si="705"/>
        <v>0</v>
      </c>
      <c r="IZ277" s="245">
        <f t="shared" si="706"/>
        <v>0</v>
      </c>
      <c r="JA277">
        <f t="shared" si="707"/>
        <v>0</v>
      </c>
      <c r="JB277">
        <f t="shared" si="808"/>
        <v>0</v>
      </c>
      <c r="JC277">
        <f t="shared" si="708"/>
        <v>0</v>
      </c>
      <c r="JD277">
        <f t="shared" si="709"/>
        <v>0</v>
      </c>
      <c r="JE277">
        <f t="shared" si="710"/>
        <v>0</v>
      </c>
      <c r="JF277">
        <f t="shared" si="711"/>
        <v>0</v>
      </c>
      <c r="JG277">
        <f t="shared" si="712"/>
        <v>0</v>
      </c>
      <c r="JH277">
        <f t="shared" si="713"/>
        <v>0</v>
      </c>
      <c r="JI277">
        <f t="shared" si="714"/>
        <v>0</v>
      </c>
      <c r="JJ277" s="447">
        <f t="shared" si="715"/>
        <v>0</v>
      </c>
      <c r="JK277" s="447">
        <f t="shared" si="716"/>
        <v>0</v>
      </c>
      <c r="JL277">
        <f t="shared" si="717"/>
        <v>0</v>
      </c>
      <c r="JM277" s="245" t="str">
        <f>IFERROR(VLOOKUP(MATCH(BN277,#REF!,0),#REF!,7),"")</f>
        <v/>
      </c>
      <c r="JN277" t="e">
        <f>HLOOKUP(LEFT(BO277,7),Discharge_Area,MATCH(JO277,LookUps!$B$130:$B$149,1)+2)</f>
        <v>#N/A</v>
      </c>
      <c r="JO277" t="str">
        <f t="shared" si="718"/>
        <v>- S</v>
      </c>
      <c r="JP277" t="e">
        <f>HLOOKUP(LEFT(BO277,7),Discharge_Area,MATCH(JO277,LookUps!$B$130:$B$149,1)+2)</f>
        <v>#N/A</v>
      </c>
      <c r="JQ277" t="e">
        <f t="shared" si="719"/>
        <v>#N/A</v>
      </c>
      <c r="JR277" t="e">
        <f t="shared" si="720"/>
        <v>#N/A</v>
      </c>
      <c r="JS277" t="e">
        <f t="shared" si="721"/>
        <v>#N/A</v>
      </c>
      <c r="JT277" s="532" t="str">
        <f t="shared" si="722"/>
        <v xml:space="preserve"> </v>
      </c>
      <c r="JU277" s="532" t="str">
        <f t="shared" si="723"/>
        <v xml:space="preserve"> </v>
      </c>
      <c r="JV277" s="533" t="str">
        <f t="shared" si="724"/>
        <v xml:space="preserve"> </v>
      </c>
      <c r="JW277" s="534">
        <f t="shared" si="725"/>
        <v>0</v>
      </c>
      <c r="JX277" s="535" t="str">
        <f t="shared" si="809"/>
        <v xml:space="preserve"> </v>
      </c>
      <c r="JY277" s="535" t="str">
        <f t="shared" si="810"/>
        <v xml:space="preserve"> </v>
      </c>
      <c r="JZ277" s="535" t="str">
        <f t="shared" si="811"/>
        <v xml:space="preserve"> </v>
      </c>
      <c r="KA277" s="536" t="str">
        <f t="shared" si="726"/>
        <v xml:space="preserve"> </v>
      </c>
      <c r="KB277" s="535" t="e">
        <f t="shared" si="812"/>
        <v>#VALUE!</v>
      </c>
      <c r="KC277" s="535" t="str">
        <f t="shared" si="727"/>
        <v/>
      </c>
      <c r="KD277" s="537" t="str">
        <f t="shared" si="813"/>
        <v xml:space="preserve"> </v>
      </c>
      <c r="KE277" s="537" t="str">
        <f t="shared" si="814"/>
        <v xml:space="preserve"> </v>
      </c>
      <c r="KF277" s="534">
        <f t="shared" si="728"/>
        <v>0</v>
      </c>
      <c r="KG277" s="535" t="str">
        <f t="shared" si="729"/>
        <v xml:space="preserve"> </v>
      </c>
      <c r="KH277" s="535" t="str">
        <f t="shared" si="730"/>
        <v xml:space="preserve"> </v>
      </c>
      <c r="KI277" s="535" t="str">
        <f t="shared" si="731"/>
        <v xml:space="preserve"> </v>
      </c>
      <c r="KJ277" s="536" t="str">
        <f t="shared" si="732"/>
        <v xml:space="preserve"> </v>
      </c>
      <c r="KK277" s="535" t="str">
        <f t="shared" si="815"/>
        <v xml:space="preserve"> </v>
      </c>
      <c r="KL277" s="535" t="str">
        <f t="shared" si="816"/>
        <v xml:space="preserve"> </v>
      </c>
      <c r="KM277" s="537" t="str">
        <f t="shared" si="733"/>
        <v xml:space="preserve"> </v>
      </c>
      <c r="KN277" s="537" t="str">
        <f t="shared" si="817"/>
        <v xml:space="preserve"> </v>
      </c>
      <c r="KP277">
        <f t="shared" si="734"/>
        <v>0</v>
      </c>
      <c r="LA277" t="e">
        <f t="shared" si="735"/>
        <v>#VALUE!</v>
      </c>
      <c r="LB277" t="e">
        <f t="shared" si="736"/>
        <v>#VALUE!</v>
      </c>
      <c r="LC277" t="e">
        <f t="shared" si="737"/>
        <v>#VALUE!</v>
      </c>
      <c r="LD277" t="e">
        <f t="shared" si="738"/>
        <v>#VALUE!</v>
      </c>
      <c r="LE277" t="e">
        <f t="shared" si="818"/>
        <v>#VALUE!</v>
      </c>
      <c r="LF277">
        <f t="shared" si="739"/>
        <v>0</v>
      </c>
      <c r="LG277" t="e">
        <f t="shared" si="819"/>
        <v>#VALUE!</v>
      </c>
      <c r="LH277" t="str">
        <f t="shared" si="740"/>
        <v xml:space="preserve"> </v>
      </c>
      <c r="LI277">
        <f t="shared" si="820"/>
        <v>1</v>
      </c>
    </row>
    <row r="278" spans="2:321" ht="15" customHeight="1">
      <c r="B278" s="311"/>
      <c r="C278" s="311"/>
      <c r="D278" s="312"/>
      <c r="E278" s="311"/>
      <c r="F278" s="312"/>
      <c r="G278" s="311"/>
      <c r="H278" s="311"/>
      <c r="I278" s="232"/>
      <c r="J278" s="311"/>
      <c r="K278" s="305" t="str">
        <f t="shared" si="741"/>
        <v/>
      </c>
      <c r="L278" s="313"/>
      <c r="M278" s="312"/>
      <c r="N278" s="311"/>
      <c r="O278" s="312"/>
      <c r="P278" s="311"/>
      <c r="Q278" s="305" t="str">
        <f t="shared" si="742"/>
        <v/>
      </c>
      <c r="R278" s="314"/>
      <c r="S278" s="450" t="str">
        <f t="shared" ref="S278:S341" si="825">IF(COUNTBLANK(FD278:FF278)=0,FE278,FD278)</f>
        <v/>
      </c>
      <c r="T278" s="315"/>
      <c r="U278" s="315"/>
      <c r="W278" s="149" t="str">
        <f t="shared" ref="W278:W341" si="826">IF((JB278&gt;0),R278*L278," ")</f>
        <v xml:space="preserve"> </v>
      </c>
      <c r="X278" s="243" t="str">
        <f t="shared" ref="X278:X341" si="827">IF((JB278&gt;0),DC278+DE278," ")</f>
        <v xml:space="preserve"> </v>
      </c>
      <c r="Y278" s="150" t="str">
        <f t="shared" ref="Y278:Y341" si="828">IF((JB278&gt;0),IF(L278&gt;1,IF(AN278="&lt;15","&lt;15",AN278+3),AN278),"")</f>
        <v/>
      </c>
      <c r="Z278" s="149" t="str">
        <f t="shared" ref="Z278:Z341" si="829">IF(JB278&gt;0,CONCATENATE(DN278,"/",DO278)," ")</f>
        <v xml:space="preserve"> </v>
      </c>
      <c r="AA278" s="98" t="str">
        <f t="shared" ref="AA278:AA341" si="830">IF(JB278&gt;0,T278*L278," ")</f>
        <v xml:space="preserve"> </v>
      </c>
      <c r="AB278" s="153" t="str">
        <f t="shared" ref="AB278:AB341" si="831">IF(JB278&gt;0,AT278," ")</f>
        <v xml:space="preserve"> </v>
      </c>
      <c r="AC278" s="153" t="str">
        <f t="shared" ref="AC278:AC341" si="832">IF(JB278&gt;0,IF(T278&gt;0,AU278-$P$6," ")," ")</f>
        <v xml:space="preserve"> </v>
      </c>
      <c r="AD278" s="148" t="str">
        <f t="shared" ref="AD278:AD341" si="833">IF(JB278&gt;0,IF(GI278=10,IF(AQ278*L278&lt;0,AQ278*L278," ")," "),"")</f>
        <v/>
      </c>
      <c r="AE278" s="149" t="str">
        <f t="shared" ref="AE278:AE341" si="834">IF(JB278&gt;0,IF(GI278=10,L278*AR278," "),"")</f>
        <v/>
      </c>
      <c r="AF278" s="151" t="str">
        <f t="shared" ref="AF278:AF341" si="835">IF(JB278&gt;0,L278*U278," ")</f>
        <v xml:space="preserve"> </v>
      </c>
      <c r="AG278" s="153" t="str">
        <f t="shared" ref="AG278:AG341" si="836">IF(AF278&gt;0,IF(JB278&gt;0,EN278," "),"N/A")</f>
        <v xml:space="preserve"> </v>
      </c>
      <c r="AH278" s="98" t="str">
        <f t="shared" ref="AH278:AH341" si="837">IF(AF278&gt;0,IF((JB278&gt;0),IF(AX278&gt;0,-(AX278*L278)/(500*AF278),0)," "),"N/A")</f>
        <v xml:space="preserve"> </v>
      </c>
      <c r="AI278" s="149" t="str">
        <f t="shared" ref="AI278:AI341" si="838">IF((JB278&gt;0),IF(AY278*L278&lt;0,"",AY278*L278)," ")</f>
        <v xml:space="preserve"> </v>
      </c>
      <c r="AK278" s="144" t="str">
        <f t="shared" ref="AK278:AK341" si="839">IF((JB278&gt;0),R278," ")</f>
        <v xml:space="preserve"> </v>
      </c>
      <c r="AL278" s="144"/>
      <c r="AM278" s="243" t="str">
        <f t="shared" ref="AM278:AM341" si="840">IF((JB278&gt;0),X278," ")</f>
        <v xml:space="preserve"> </v>
      </c>
      <c r="AN278" s="149" t="str">
        <f t="shared" si="743"/>
        <v xml:space="preserve"> </v>
      </c>
      <c r="AO278" s="144" t="str">
        <f>IF(JB278&gt;0,IF(GI278=10,-R278*1.085*(Calculation!$F$6-Calculation!$F$13)*$S$14," "),"")</f>
        <v/>
      </c>
      <c r="AP278" s="144" t="str">
        <f t="shared" ref="AP278:AP341" si="841">IF(JB278&gt;0,IF(GI278=10,-CV278," "),"")</f>
        <v/>
      </c>
      <c r="AQ278" s="56" t="str">
        <f t="shared" ref="AQ278:AQ341" si="842">IF(JB278&gt;0,IF(GI278=10,AO278+AP278," "),"")</f>
        <v/>
      </c>
      <c r="AR278" s="144" t="str">
        <f t="shared" ref="AR278:AR341" si="843">IF(JB278&gt;0,IF(GI278=10,DL278," "),"")</f>
        <v/>
      </c>
      <c r="AS278" s="176" t="str">
        <f t="shared" ref="AS278:AS341" si="844">IF(JB278&gt;0,IF(GI278=10,$F$6-(-AQ278/(1.085*LH278)),""),"")</f>
        <v/>
      </c>
      <c r="AT278" s="176" t="str">
        <f t="shared" si="744"/>
        <v xml:space="preserve"> </v>
      </c>
      <c r="AU278" s="176" t="str">
        <f t="shared" ref="AU278:AU341" si="845">IF(JB278&gt;0,IF(GI278=10,$P$6-AP278/(500*T278)," "),"")</f>
        <v/>
      </c>
      <c r="AV278" s="177" t="str">
        <f t="shared" ref="AV278:AV341" si="846">IF(JB278&gt;0,DX278," ")</f>
        <v xml:space="preserve"> </v>
      </c>
      <c r="AW278" s="144" t="str">
        <f t="shared" ref="AW278:AW341" si="847">IF(JB278&gt;0,1.085*R278*$S$14*(EJ278-$H$6)," ")</f>
        <v xml:space="preserve"> </v>
      </c>
      <c r="AX278" s="144" t="str">
        <f t="shared" ref="AX278:AX341" si="848">IF(JB278&gt;0,IF(O278="2 pipe (cooling)",0,(IF(L278&gt;0,DA278," ")))," ")</f>
        <v xml:space="preserve"> </v>
      </c>
      <c r="AY278" s="152" t="str">
        <f t="shared" ref="AY278:AY341" si="849">IF(JB278&gt;0,IF(AW278+AX278&lt;0,0,AW278+AX278)," ")</f>
        <v xml:space="preserve"> </v>
      </c>
      <c r="AZ278" s="246" t="str">
        <f t="shared" ref="AZ278:AZ341" si="850">IF(AY278&gt;0,IF((JB278&gt;0),EL278,""),0)</f>
        <v/>
      </c>
      <c r="BA278" s="176" t="str">
        <f t="shared" ref="BA278:BA341" si="851">IF(AX278&gt;0,IF((JB278&gt;0),IF(O278="2 pipe (cooling)",0,IF(L278&gt;0,EN278," "))," "),"N/A")</f>
        <v xml:space="preserve"> </v>
      </c>
      <c r="BB278" s="176" t="str">
        <f t="shared" ref="BB278:BB341" si="852">IF(AX278&gt;0,IF((JB278&gt;0),$S$6-AX278/(500*U278)," "),"N/A")</f>
        <v xml:space="preserve"> </v>
      </c>
      <c r="BC278" s="195"/>
      <c r="BD278" s="316"/>
      <c r="BE278" s="317"/>
      <c r="BF278" s="318"/>
      <c r="BG278" s="318"/>
      <c r="BH278" s="144" t="str">
        <f t="shared" si="821"/>
        <v xml:space="preserve"> </v>
      </c>
      <c r="BI278" s="176" t="str">
        <f t="shared" ref="BI278:BI341" si="853">IFERROR(($F$6+KM278),"")</f>
        <v/>
      </c>
      <c r="BJ278" s="144" t="str">
        <f t="shared" si="822"/>
        <v/>
      </c>
      <c r="BK278" s="246" t="str">
        <f t="shared" ref="BK278:BK341" si="854">IFERROR(($F$6+KD278),"")</f>
        <v/>
      </c>
      <c r="BL278" s="144" t="str">
        <f t="shared" si="823"/>
        <v/>
      </c>
      <c r="BM278" s="246" t="str">
        <f t="shared" ref="BM278:BM341" si="855">IFERROR(($H$6+KE278),"")</f>
        <v/>
      </c>
      <c r="BN278" s="337" t="str">
        <f t="shared" si="745"/>
        <v/>
      </c>
      <c r="BO278" s="371" t="str">
        <f t="shared" si="746"/>
        <v/>
      </c>
      <c r="BP278" s="328" t="str">
        <f t="shared" si="824"/>
        <v xml:space="preserve"> </v>
      </c>
      <c r="BQ278" s="347" t="str">
        <f t="shared" si="747"/>
        <v xml:space="preserve"> </v>
      </c>
      <c r="BR278" s="353" t="str">
        <f t="shared" si="748"/>
        <v xml:space="preserve"> </v>
      </c>
      <c r="BS278" s="626" t="str">
        <f>IF(L278&gt;0,IF(Calculation!P278="M13",BR278*3.1416*(0.134^2)/(4*144),IF(Calculation!P278="M17",BR278*3.1416*(0.165^2)/(4*144),IF(Calculation!P278="M20",BR278*3.1416*(0.198^2)/(4*144),IF(Calculation!P278="M23",BR278*3.1416*(0.228^2)/(4*144),IF(Calculation!P278="M27",BR278*3.1416*(0.269^2)/(4*144),BR278*3.1416*(0.307^2)/(4*144))))))," ")</f>
        <v xml:space="preserve"> </v>
      </c>
      <c r="BT278" s="353" t="str">
        <f>IF(L278&gt;0,IF(BS278&gt;0,R278/Calculation!BS278,0)," ")</f>
        <v xml:space="preserve"> </v>
      </c>
      <c r="BU278" s="438" t="e">
        <f t="shared" ref="BU278:BU341" ca="1" si="856">(LH278-R278)/DW278</f>
        <v>#VALUE!</v>
      </c>
      <c r="BV278" s="449" t="e">
        <f ca="1">INDEX(INDIRECT(VLOOKUP(LEFT(BO278,7),CLU!$Z$3:$AH$18,2)),GN278,GR278)</f>
        <v>#N/A</v>
      </c>
      <c r="BW278" s="433" t="e">
        <f ca="1">INDEX(INDIRECT(VLOOKUP(LEFT(BO278,7),CLU!$Z$3:$AH$18,3)),GN278,GR278)</f>
        <v>#N/A</v>
      </c>
      <c r="BX278" s="433" t="e">
        <f ca="1">INDEX(INDIRECT(VLOOKUP(LEFT(BO278,7),CLU!$Z$3:$AH$18,4)),GN278,GR278)</f>
        <v>#N/A</v>
      </c>
      <c r="BY278" s="433" t="e">
        <f ca="1">INDEX(INDIRECT(VLOOKUP(LEFT(BO278,7),CLU!$Z$3:$AH$18,9)),((M278-2)*(6-COUNTBLANK(GT278:GY278)))+GJ278)</f>
        <v>#N/A</v>
      </c>
      <c r="BZ278" s="426" t="e">
        <f t="shared" ca="1" si="749"/>
        <v>#N/A</v>
      </c>
      <c r="CA278" s="424" t="e">
        <f t="shared" ca="1" si="750"/>
        <v>#N/A</v>
      </c>
      <c r="CB278" s="429" t="e">
        <f ca="1">INDEX(INDIRECT(VLOOKUP(LEFT(BO278,7),CLU!$Z$3:$AH$18,2)),GN278,GS278)</f>
        <v>#N/A</v>
      </c>
      <c r="CC278" s="342" t="e">
        <f ca="1">INDEX(INDIRECT(VLOOKUP(LEFT(BO278,7),CLU!$Z$3:$AH$18,3)),GN278,GS278)</f>
        <v>#N/A</v>
      </c>
      <c r="CD278" s="342" t="e">
        <f ca="1">INDEX(INDIRECT(VLOOKUP(LEFT(BO278,7),CLU!$Z$3:$AH$18,4)),GN278,GS278)</f>
        <v>#N/A</v>
      </c>
      <c r="CE278" s="426" t="e">
        <f t="shared" ca="1" si="751"/>
        <v>#N/A</v>
      </c>
      <c r="CF278" s="440">
        <f t="shared" si="752"/>
        <v>0</v>
      </c>
      <c r="CG278" s="431" t="e">
        <f ca="1">INDEX(INDIRECT(VLOOKUP(LEFT(BO278,7),CLU!$Z$3:$AH$18,2)),GQ278,GR278)</f>
        <v>#N/A</v>
      </c>
      <c r="CH278" s="431" t="e">
        <f ca="1">INDEX(INDIRECT(VLOOKUP(LEFT(BO278,7),CLU!$Z$3:$AH$18,3)),GQ278,GR278)</f>
        <v>#N/A</v>
      </c>
      <c r="CI278" s="431" t="e">
        <f ca="1">INDEX(INDIRECT(VLOOKUP(LEFT(BO278,7),CLU!$Z$3:$AH$18,4)),GQ278,GR278)</f>
        <v>#N/A</v>
      </c>
      <c r="CJ278" s="448" t="e">
        <f t="shared" ca="1" si="753"/>
        <v>#N/A</v>
      </c>
      <c r="CK278" s="431" t="e">
        <f t="shared" ca="1" si="754"/>
        <v>#N/A</v>
      </c>
      <c r="CL278" s="440" t="e">
        <f t="shared" ca="1" si="755"/>
        <v>#N/A</v>
      </c>
      <c r="CM278" s="431" t="e">
        <f ca="1">INDEX(INDIRECT(VLOOKUP(LEFT(BO278,7),CLU!$Z$3:$AH$18,2)),GQ278,GS278)</f>
        <v>#N/A</v>
      </c>
      <c r="CN278" s="431" t="e">
        <f ca="1">INDEX(INDIRECT(VLOOKUP(LEFT(BO278,7),CLU!$Z$3:$AH$18,3)),GQ278,GS278)</f>
        <v>#N/A</v>
      </c>
      <c r="CO278" s="431" t="e">
        <f ca="1">INDEX(INDIRECT(VLOOKUP(LEFT(BO278,7),CLU!$Z$3:$AH$18,4)),GQ278,GS278)</f>
        <v>#N/A</v>
      </c>
      <c r="CP278" s="431" t="e">
        <f t="shared" ca="1" si="756"/>
        <v>#N/A</v>
      </c>
      <c r="CQ278" s="440">
        <f t="shared" si="757"/>
        <v>0</v>
      </c>
      <c r="CR278" s="51" t="e">
        <f t="shared" ca="1" si="758"/>
        <v>#N/A</v>
      </c>
      <c r="CS278" s="439" t="e">
        <f t="shared" ca="1" si="759"/>
        <v>#VALUE!</v>
      </c>
      <c r="CT278" s="51" t="e">
        <f t="shared" ca="1" si="760"/>
        <v>#VALUE!</v>
      </c>
      <c r="CU278" s="10"/>
      <c r="CV278" s="51" t="e">
        <f t="shared" ref="CV278:CV341" ca="1" si="857">MIN((CT278+CA278)*$CU$21,KP278)</f>
        <v>#VALUE!</v>
      </c>
      <c r="CW278" s="51">
        <f t="shared" si="761"/>
        <v>0</v>
      </c>
      <c r="CX278" s="439" t="e">
        <f t="shared" ca="1" si="762"/>
        <v>#VALUE!</v>
      </c>
      <c r="CY278" s="51" t="e">
        <f t="shared" ca="1" si="763"/>
        <v>#VALUE!</v>
      </c>
      <c r="CZ278" s="10"/>
      <c r="DA278" s="51" t="e">
        <f t="shared" ca="1" si="764"/>
        <v>#VALUE!</v>
      </c>
      <c r="DB278" s="347" t="e">
        <f ca="1">INDEX(INDIRECT(VLOOKUP(LEFT(BO278,7),CLU!$Z$3:$AI$18,10)),((M278-2)*(6-COUNTBLANK(GT278:GY278)))+GJ278)*LI278</f>
        <v>#N/A</v>
      </c>
      <c r="DC278" s="347" t="str">
        <f>IF(L278&gt;0,((R278/Worksheet!$I$15)/DB278)^2," ")</f>
        <v xml:space="preserve"> </v>
      </c>
      <c r="DD278" s="602" t="str">
        <f t="shared" si="765"/>
        <v xml:space="preserve"> </v>
      </c>
      <c r="DE278" s="347" t="str">
        <f t="shared" ref="DE278:DE341" si="858">IF(L278&gt;0,(DD278/4005)^2," ")</f>
        <v xml:space="preserve"> </v>
      </c>
      <c r="DF278" s="356" t="e">
        <f ca="1">INDEX(INDIRECT(VLOOKUP(LEFT(BO278,7),CLU!$Z$3:$AH$18,8)),((M278-2)*(6-COUNTBLANK(GT278:GY278)))+GJ278)</f>
        <v>#N/A</v>
      </c>
      <c r="DG278" s="347" t="str">
        <f t="shared" ref="DG278:DG341" si="859">IF(L278&gt;0,IF(J278="CBAM",(DF278+1)*R278*IF(J278=2,0.25,0.35),R278*(DF278+1)/BQ278)," ")</f>
        <v xml:space="preserve"> </v>
      </c>
      <c r="DH278" s="357" t="str">
        <f t="shared" ref="DH278:DH341" si="860">IF(L278&gt;0,IF(J278="CBAM",IF(M278=2,0.168,0.333),(M278*12-1)/144)," ")</f>
        <v xml:space="preserve"> </v>
      </c>
      <c r="DI278" s="355" t="str">
        <f t="shared" ref="DI278:DI341" si="861">IF(L278&gt;0,DG278/DH278," ")</f>
        <v xml:space="preserve"> </v>
      </c>
      <c r="DJ278" s="245" t="e">
        <f ca="1">INDEX(INDIRECT(VLOOKUP(LEFT(BO278,7),CLU!$Z$3:$AH$18,5)),GL278,GK278)</f>
        <v>#N/A</v>
      </c>
      <c r="DK278" s="245" t="e">
        <f ca="1">INDEX(INDIRECT(VLOOKUP(LEFT(BO278,7),CLU!$Z$3:$AH$18,6)),GL278,GK278)</f>
        <v>#N/A</v>
      </c>
      <c r="DL278" s="355">
        <f>(Calculation!R278*0.69143*(Calculation!$BQ$8-Calculation!$F$8))*$S$14</f>
        <v>0</v>
      </c>
      <c r="DM278" s="359" t="e">
        <f t="shared" si="766"/>
        <v>#VALUE!</v>
      </c>
      <c r="DN278" s="611">
        <f t="shared" si="767"/>
        <v>0</v>
      </c>
      <c r="DO278" s="359">
        <f t="shared" si="768"/>
        <v>100</v>
      </c>
      <c r="DP278" s="359">
        <f t="shared" si="769"/>
        <v>0</v>
      </c>
      <c r="DQ278" s="360"/>
      <c r="DR278" s="245" t="e">
        <f ca="1">INDEX(INDIRECT(VLOOKUP(LEFT(BO278,7),CLU!$Z$3:$AH$18,7)),M278-1,1)</f>
        <v>#N/A</v>
      </c>
      <c r="DS278" s="245" t="e">
        <f ca="1">INDEX(INDIRECT(VLOOKUP(LEFT(BO278,7),CLU!$Z$3:$AH$18,7)),M278-1,2)</f>
        <v>#N/A</v>
      </c>
      <c r="DT278" s="245" t="e">
        <f ca="1">INDEX(INDIRECT(VLOOKUP(LEFT(BO278,7),CLU!$Z$3:$AH$18,7)),M278-1,3)</f>
        <v>#N/A</v>
      </c>
      <c r="DU278" s="245" t="e">
        <f ca="1">INDEX(INDIRECT(VLOOKUP(LEFT(BO278,7),CLU!$Z$3:$AH$18,7)),M278-1,4)</f>
        <v>#N/A</v>
      </c>
      <c r="DV278" s="361" t="e">
        <f ca="1">INDEX(INDIRECT(VLOOKUP(LEFT(BO278,7),CLU!$Z$3:$AH$18,7)),M278-1,4+LEFT(DZ278,1)*0.5)</f>
        <v>#N/A</v>
      </c>
      <c r="DW278" s="245" t="e">
        <f ca="1">INDEX(INDIRECT(VLOOKUP(LEFT(BO278,7),CLU!$Z$3:$AH$18,7)),M278-1,8)</f>
        <v>#N/A</v>
      </c>
      <c r="DX278" s="361" t="str">
        <f t="shared" ref="DX278:DX341" si="862">IF(L278&gt;0,IF(BR278&gt;0,IF(DZ278="2P",IF(EB278=1,"2P1C","2P2C"),IF(EB278=1,"4P1C","4P2C")),0)," ")</f>
        <v xml:space="preserve"> </v>
      </c>
      <c r="DY278" s="361" t="str">
        <f t="shared" ref="DY278:DY341" si="863">IF(L278&gt;0,CONCATENATE(IF(LEN(M278)=1,"0",""),M278,"-",DX278)," ")</f>
        <v xml:space="preserve"> </v>
      </c>
      <c r="DZ278" s="361" t="str">
        <f t="shared" ref="DZ278:DZ341" si="864">IF(L278&gt;0,IF(BR278&gt;0,IF(O278="2 Pipe (Cooling)","2P",IF(O278="2 Pipe (Heating)","NA",IF(O278="2 Pipe (H/C)","2P","4P"))),0)," ")</f>
        <v xml:space="preserve"> </v>
      </c>
      <c r="EA278" s="362" t="str">
        <f t="shared" ref="EA278:EA341" si="865">IF(L278&gt;0,HLOOKUP(LEFT(BO278,7),SCMG,(MATCH(CONCATENATE(IF(LEN(M278)=1,"0",""),M278,"-",DZ278),SCMG_LU))+2)," ")</f>
        <v xml:space="preserve"> </v>
      </c>
      <c r="EB278" s="624" t="str">
        <f t="shared" si="770"/>
        <v xml:space="preserve"> </v>
      </c>
      <c r="EC278" s="361" t="e">
        <f ca="1">INDEX(INDIRECT(VLOOKUP(LEFT(BO278,7),CLU!$Z$3:$AH$18,7)),M278-1,4+LEFT(DZ278,1)*0.5)</f>
        <v>#N/A</v>
      </c>
      <c r="ED278" s="362" t="str">
        <f t="shared" ref="ED278:ED341" si="866">IF(L278&gt;0,HLOOKUP(LEFT(BO278,7),Coil_K,(MATCH(DY278,LengthCoilLU))+2)," ")</f>
        <v xml:space="preserve"> </v>
      </c>
      <c r="EE278" s="361" t="str">
        <f t="shared" ref="EE278:EE341" si="867">IF(L278&gt;0,IF(BR278&gt;0,IF(O278="2 Pipe (Cooling)","N/A",IF(O278="2 Pipe (Heating)","2P",IF(O278="2 Pipe (H/C)","2P","4P"))),0)," ")</f>
        <v xml:space="preserve"> </v>
      </c>
      <c r="EF278" s="362" t="str">
        <f>IF(L278&gt;0,IF(BR278&gt;0,IF(EE278="2P",IF(Calculation!DZ278="2P",IF(Calculation!DS278=13.75,IF(Calculation!DR278=13,Worksheet!$BD$43,IF(Calculation!DR278=37,Worksheet!$BD$44,Worksheet!$BD$45)),IF(Calculation!DS278=10,IF(Calculation!DR278=18,Worksheet!$BD$29,IF(Calculation!DR278=30,Worksheet!$BD$30,IF(Calculation!DR278=42,Worksheet!$BD$31,IF(Calculation!DR278=54,Worksheet!$BD$32,IF(Calculation!DR278=66,Worksheet!$BD$33,IF(Calculation!DR278=78,Worksheet!$BD$34,IF(Calculation!DR278=90,Worksheet!$BD$35,IF(Calculation!DR278=102,Worksheet!$BD$36,Worksheet!$BD$37)))))))),IF(Calculation!DS278=12.5,IF(Calculation!DR278=18,Worksheet!$BD$38,IF(Calculation!DR278=Worksheet!$BD$39,IF(Calculation!DR278=42,Worksheet!$BD$40,IF(Calculation!DR278=54,Worksheet!$BD$41,Worksheet!$BD$42)))),IF(Calculation!DR278=18,Worksheet!$BD$11,IF(Calculation!DR278=30,Worksheet!$BD$12,IF(Calculation!DR278=42,Worksheet!$BD$13,IF(Calculation!DR278=54,Worksheet!$BD$14,IF(Calculation!DR278=66,Worksheet!$BD$15,IF(Calculation!DR278=78,Worksheet!$BD$16,IF(Calculation!DR278=90,Worksheet!$BD$17,IF(Calculation!DR278=102,Worksheet!$BD$18,Worksheet!$BD$19))))))))))),IF(Calculation!DS278=13.75,IF(Calculation!DR278=13,Worksheet!$BD$78,IF(Calculation!DR278=37,Worksheet!$BD$79,Worksheet!$BD$80)),IF(Calculation!DS278=10,IF(Calculation!DR278=18,Worksheet!$BD$64,IF(Calculation!DR278=30,Worksheet!$BD$65,IF(Calculation!DR278=42,Worksheet!$BD$66,IF(Calculation!DR278=54,Worksheet!$BD$68,IF(Calculation!DR278=66,Worksheet!$BD$68,IF(Calculation!DR278=78,Worksheet!$BD$69,IF(Calculation!DR278=90,Worksheet!$BD$70,IF(Calculation!DR278=102,Worksheet!$BD$71,Worksheet!$BD$72)))))))),IF(Calculation!DS278=12.5,IF(Calculation!DR278=18,Worksheet!$BD$73,IF(Calculation!DR278=Worksheet!$BD$74,IF(Calculation!DR278=42,Worksheet!$BD$75,IF(Calculation!DR278=54,Worksheet!$BD$76,Worksheet!$BD$77)))),IF(Calculation!DR278=18,Worksheet!$BD$55,IF(Calculation!DR278=30,Worksheet!$BD$56,IF(Calculation!DR278=42,Worksheet!$BD$57,IF(Calculation!DR278=54,Worksheet!$BD$58,IF(Calculation!DR278=66,Worksheet!$BD$59,IF(Calculation!DR278=78,Worksheet!$BD$60,IF(Calculation!DR278=90,Worksheet!$BD$61,IF(Calculation!DR278=102,Worksheet!$BD$62,Worksheet!$BD$63)))))))))))),5),0)," ")</f>
        <v xml:space="preserve"> </v>
      </c>
      <c r="EG278" s="361" t="str">
        <f t="shared" ref="EG278:EG341" si="868">IF(L278&gt;0,IF(BR278&gt;0,IF(U278&gt;EF278,2,1),0)," ")</f>
        <v xml:space="preserve"> </v>
      </c>
      <c r="EH278" s="361" t="e">
        <f ca="1">INDEX(INDIRECT(VLOOKUP(LEFT(BO278,7),CLU!$Z$3:$AH$18,7)),M278-1,3+LEFT(DZ278,1))</f>
        <v>#N/A</v>
      </c>
      <c r="EI278" s="362" t="str">
        <f t="shared" ref="EI278:EI341" si="869">IF(L278&gt;0,IF(O278="2 Pipe (Cooling)","N/A",IF(EE278="2P",ED278,HLOOKUP(LEFT(BO278,7),Sec_Coil_K,MATCH(LEFT(DY278,5),FourP_Coil_LU)+2)))," ")</f>
        <v xml:space="preserve"> </v>
      </c>
      <c r="EJ278" s="363" t="str">
        <f t="shared" ref="EJ278:EJ341" si="870">IF(L278&gt;0,IF(O278="2 pipe (cooling)",IF(G278&gt;0,$H$6+(G278/(1.085*W278*$S$14)),$H$13),$H$13)," ")</f>
        <v xml:space="preserve"> </v>
      </c>
      <c r="EK278" s="363" t="str">
        <f t="shared" ref="EK278:EK341" si="871">IF(L278&gt;0,IF(AX278=0,$H$6,$H$6+AX278/(1.085*$S$14*(R278*DF278)))," ")</f>
        <v xml:space="preserve"> </v>
      </c>
      <c r="EL278" s="363" t="str">
        <f t="shared" ref="EL278:EL341" si="872">IF(L278&gt;0,((R278*EJ278)+(DF278*R278*EK278))/(R278*(DF278+1))," ")</f>
        <v xml:space="preserve"> </v>
      </c>
      <c r="EM278" s="362" t="str">
        <f>IF(L278&gt;0,IF(BR278&gt;0,(Calculation!T278/ED278)^2,0)," ")</f>
        <v xml:space="preserve"> </v>
      </c>
      <c r="EN278" s="362" t="str">
        <f>IF(L278&gt;0,IF(O278="2 Pipe (Cooling)","N/A",IF(BR278&gt;0,(Calculation!U278/EI278)^2,0))," ")</f>
        <v xml:space="preserve"> </v>
      </c>
      <c r="EO278" s="361" t="str">
        <f t="shared" ref="EO278:EO341" si="873">IF($J278&gt;0,HLOOKUP($BO278,Avail_Lengths,3),"")</f>
        <v/>
      </c>
      <c r="EP278" s="361" t="str">
        <f t="shared" ref="EP278:EP341" si="874">IF($J278&gt;0,HLOOKUP($BO278,Avail_Lengths,4),"")</f>
        <v/>
      </c>
      <c r="EQ278" s="361" t="str">
        <f t="shared" ref="EQ278:EQ341" si="875">IF($J278&gt;0,HLOOKUP($BO278,Avail_Lengths,5),"")</f>
        <v/>
      </c>
      <c r="ER278" s="361" t="str">
        <f t="shared" ref="ER278:ER341" si="876">IF($J278&gt;0,HLOOKUP($BO278,Avail_Lengths,6),"")</f>
        <v/>
      </c>
      <c r="ES278" s="361" t="str">
        <f t="shared" ref="ES278:ES341" si="877">IF($J278&gt;0,HLOOKUP($BO278,Avail_Lengths,7),"")</f>
        <v/>
      </c>
      <c r="ET278" s="361" t="str">
        <f t="shared" ref="ET278:ET341" si="878">IF($J278&gt;0,HLOOKUP($BO278,Avail_Lengths,8),"")</f>
        <v/>
      </c>
      <c r="EU278" s="361" t="str">
        <f t="shared" ref="EU278:EU341" si="879">IF($J278&gt;0,HLOOKUP($BO278,Avail_Lengths,9),"")</f>
        <v/>
      </c>
      <c r="EV278" s="361" t="str">
        <f t="shared" ref="EV278:EV341" si="880">IF($J278&gt;0,HLOOKUP($BO278,Avail_Lengths,10),"")</f>
        <v/>
      </c>
      <c r="EW278" s="361" t="str">
        <f t="shared" ref="EW278:EW341" si="881">IF($J278&gt;0,HLOOKUP($BO278,Avail_Lengths,11),"")</f>
        <v/>
      </c>
      <c r="EX278" s="361" t="str">
        <f t="shared" si="771"/>
        <v>1 slot, 1 way</v>
      </c>
      <c r="EY278" s="361" t="str">
        <f t="shared" si="772"/>
        <v xml:space="preserve"> </v>
      </c>
      <c r="EZ278" s="361" t="str">
        <f t="shared" si="773"/>
        <v xml:space="preserve"> </v>
      </c>
      <c r="FA278" s="361" t="str">
        <f t="shared" si="774"/>
        <v xml:space="preserve"> </v>
      </c>
      <c r="FB278" s="361" t="str">
        <f t="shared" si="775"/>
        <v xml:space="preserve"> </v>
      </c>
      <c r="FC278" s="361"/>
      <c r="FD278" s="361" t="str">
        <f>IF(J278&gt;0,IF(Calculation!R278&lt;=70,4,IF(Calculation!R278&lt;=110,5,IF(Calculation!R278&lt;=160,6,IF(Calculation!R278&lt;=300,8,"10 EO")))),"")</f>
        <v/>
      </c>
      <c r="FE278" s="361" t="str">
        <f t="shared" si="776"/>
        <v/>
      </c>
      <c r="FF278" s="361" t="str">
        <f t="shared" si="777"/>
        <v/>
      </c>
      <c r="FG278" s="361" t="e">
        <f t="shared" ref="FG278:FG341" si="882">HLOOKUP(LEFT(BO278,7),Approx_Cool,3)*IFERROR((BQ278/VALUE(LEFT(EY278))),1)</f>
        <v>#N/A</v>
      </c>
      <c r="FH278" s="361">
        <f t="shared" ref="FH278:FH341" si="883">F278/$CB$8</f>
        <v>0</v>
      </c>
      <c r="FI278" s="361" t="e">
        <f t="shared" ref="FI278:FI341" si="884">(F278/$CB$8)/L278</f>
        <v>#DIV/0!</v>
      </c>
      <c r="FJ278" s="361"/>
      <c r="FK278" s="356" t="e">
        <f t="shared" ref="FK278:FK341" si="885">0+X278</f>
        <v>#VALUE!</v>
      </c>
      <c r="FL278" s="361"/>
      <c r="FM278" s="361"/>
      <c r="FN278" s="362" t="str">
        <f t="shared" si="778"/>
        <v xml:space="preserve"> </v>
      </c>
      <c r="FO278" s="362" t="str">
        <f t="shared" si="779"/>
        <v xml:space="preserve"> </v>
      </c>
      <c r="FP278" s="362">
        <f t="shared" si="780"/>
        <v>0</v>
      </c>
      <c r="FQ278" s="361">
        <f t="shared" ref="FQ278:FQ341" si="886">IF(T278=0,0,IF(T278&lt;FP278,1,0))</f>
        <v>0</v>
      </c>
      <c r="FR278" s="362" t="str">
        <f>IF(L278&gt;0,IF(J278="CBAL2",Worksheet!$P$67,IF(J278="CBE2-24",Worksheet!$Q$67,IF(J278="CBAM",Worksheet!$R$67,IF(J278="CBLV",Worksheet!$S$67,IF(J278="CBAB",Worksheet!$U$67,IF(J278="CBAW",Worksheet!$X$67,IF(J278="CBE2-12",Worksheet!$Y$67,IF(J278="CBAL2",Worksheet!$Z$67,"N/A"))))))))," ")</f>
        <v xml:space="preserve"> </v>
      </c>
      <c r="FS278" s="362" t="str">
        <f>IF(L278&gt;0,IF(J278="CBAL2",Worksheet!$P$68,IF(J278="CBE2-24",Worksheet!$Q$68,IF(J278="CBAM",Worksheet!$R$68,IF(J278="CBLV",Worksheet!$S$68,IF(J278="CBAB",Worksheet!$U$68,IF(J278="CBAW",Worksheet!$X$68,IF(J278="CBE2-12",Worksheet!$Y$68,IF(J278="CBAL2",Worksheet!$Z$68,"N/A"))))))))," ")</f>
        <v xml:space="preserve"> </v>
      </c>
      <c r="FT278" s="362" t="str">
        <f>IF(L278&gt;0,IF(J278="CBAL2",Worksheet!$P$69,IF(J278="CBE2-24",Worksheet!$Q$69,IF(J278="CBAM",Worksheet!$R$69,IF(J278="CBLV",Worksheet!$S$69,IF(J278="CBAB",Worksheet!$U$69,IF(J278="CBAW",Worksheet!$X$69,IF(J278="CBE2-12",Worksheet!$Y$69,IF(J278="CBAL2",Worksheet!$Z$69,"N/A"))))))))," ")</f>
        <v xml:space="preserve"> </v>
      </c>
      <c r="FU278" s="361" t="str">
        <f t="shared" si="781"/>
        <v xml:space="preserve"> </v>
      </c>
      <c r="FV278" s="362" t="str">
        <f t="shared" si="782"/>
        <v xml:space="preserve"> </v>
      </c>
      <c r="FW278" s="362" t="str">
        <f t="shared" si="783"/>
        <v xml:space="preserve"> </v>
      </c>
      <c r="FX278" s="362" t="str">
        <f t="shared" si="784"/>
        <v xml:space="preserve"> </v>
      </c>
      <c r="FY278" s="355" t="str">
        <f t="shared" si="785"/>
        <v xml:space="preserve"> </v>
      </c>
      <c r="FZ278" s="361" t="str">
        <f t="shared" si="786"/>
        <v xml:space="preserve"> </v>
      </c>
      <c r="GA278" s="347" t="str">
        <f t="shared" si="787"/>
        <v xml:space="preserve"> </v>
      </c>
      <c r="GB278" s="355" t="str">
        <f t="shared" si="788"/>
        <v xml:space="preserve"> </v>
      </c>
      <c r="GC278" s="328" t="str">
        <f t="shared" si="789"/>
        <v xml:space="preserve"> </v>
      </c>
      <c r="GD278" s="361" t="str">
        <f t="shared" si="790"/>
        <v xml:space="preserve"> </v>
      </c>
      <c r="GE278" s="347" t="str">
        <f t="shared" si="791"/>
        <v xml:space="preserve"> </v>
      </c>
      <c r="GF278" s="361" t="str">
        <f t="shared" si="792"/>
        <v xml:space="preserve"> </v>
      </c>
      <c r="GG278" s="347" t="str">
        <f t="shared" si="793"/>
        <v xml:space="preserve"> </v>
      </c>
      <c r="GH278" s="364">
        <f t="shared" ref="GH278:GH341" si="887">IFERROR(IF(AZ278="",0,AZ278-$H$6),0)</f>
        <v>0</v>
      </c>
      <c r="GI278" s="362">
        <f t="shared" si="794"/>
        <v>2</v>
      </c>
      <c r="GJ278" s="433" t="e">
        <f>IF(6-COUNTBLANK(GT278:GY278)=4,MATCH(MID(BO278,9,3),CLU!$H$16:$K$16),MATCH(MID(BO278,9,3),CLU!$H$13:$M$13))</f>
        <v>#N/A</v>
      </c>
      <c r="GK278" s="433" t="e">
        <f>HLOOKUP(VALUE(BP278),CLU!$H$9:$M$10,2)</f>
        <v>#VALUE!</v>
      </c>
      <c r="GL278" s="433" t="e">
        <f ca="1">MATCH(BU278,CLU!$H$2:$V$2,1)</f>
        <v>#VALUE!</v>
      </c>
      <c r="GM278" s="433" t="e">
        <f t="shared" ca="1" si="795"/>
        <v>#VALUE!</v>
      </c>
      <c r="GN278" s="433" t="e">
        <f t="shared" ca="1" si="796"/>
        <v>#VALUE!</v>
      </c>
      <c r="GO278" s="433" t="e">
        <f t="shared" ca="1" si="797"/>
        <v>#VALUE!</v>
      </c>
      <c r="GP278" s="433" t="e">
        <f t="shared" ca="1" si="798"/>
        <v>#VALUE!</v>
      </c>
      <c r="GQ278" s="433" t="e">
        <f t="shared" ca="1" si="799"/>
        <v>#VALUE!</v>
      </c>
      <c r="GR278" s="433" t="e">
        <f ca="1">MATCH(T278,INDIRECT(VLOOKUP(CONCATENATE(LEFT(BO278,7),"-",MID(BO278,13,1)),CLU!$P$3:$Q$16,2)),1)</f>
        <v>#N/A</v>
      </c>
      <c r="GS278" s="433" t="e">
        <f ca="1">MATCH(U278,INDIRECT(VLOOKUP(CONCATENATE(LEFT(BO278,7),"-",MID(BO278,13,1)),CLU!$P$3:$Q$16,2)),1)</f>
        <v>#N/A</v>
      </c>
      <c r="GT278" s="347" t="s">
        <v>512</v>
      </c>
      <c r="GU278" s="97" t="s">
        <v>513</v>
      </c>
      <c r="GV278" s="97" t="str">
        <f t="shared" si="800"/>
        <v>M23</v>
      </c>
      <c r="GW278" s="97" t="str">
        <f t="shared" si="801"/>
        <v>M31</v>
      </c>
      <c r="GX278" s="97" t="str">
        <f t="shared" si="802"/>
        <v/>
      </c>
      <c r="GY278" s="97" t="str">
        <f t="shared" si="803"/>
        <v/>
      </c>
      <c r="GZ278" s="481"/>
      <c r="HA278" s="240"/>
      <c r="HB278" s="240"/>
      <c r="HC278" s="240"/>
      <c r="HD278" s="240"/>
      <c r="HE278" s="240"/>
      <c r="HF278" s="240"/>
      <c r="HG278" s="240"/>
      <c r="HH278" s="240"/>
      <c r="HI278" s="240"/>
      <c r="HJ278" s="240"/>
      <c r="HK278" s="240"/>
      <c r="HL278" s="240"/>
      <c r="HM278" s="240"/>
      <c r="HN278" s="240"/>
      <c r="HO278" s="240"/>
      <c r="HP278" s="240"/>
      <c r="HQ278" s="240"/>
      <c r="HR278" s="240"/>
      <c r="HS278" s="240"/>
      <c r="HT278" s="240"/>
      <c r="HU278" s="240"/>
      <c r="HV278" s="245"/>
      <c r="HW278" s="245" t="b">
        <v>1</v>
      </c>
      <c r="HX278" s="245" t="str">
        <f t="shared" ref="HX278:HX341" si="888">IF(J278="","",CONCATENATE(LEFT(BO278,7),"-",BQ278,"-",LEFT(O278,1)))</f>
        <v/>
      </c>
      <c r="HY278" s="245" t="e">
        <f t="shared" ref="HY278:HY341" si="889">ROUNDUP(MAX(H278/L278,FI278),0)</f>
        <v>#DIV/0!</v>
      </c>
      <c r="HZ278" s="245" t="e">
        <f t="shared" ref="HZ278:HZ341" si="890">ROUNDUP((E278/L278)*$X$5,0)</f>
        <v>#DIV/0!</v>
      </c>
      <c r="IA278" s="245">
        <f t="shared" ref="IA278:IA341" si="891">IF(G278=0,0,G278/L278)</f>
        <v>0</v>
      </c>
      <c r="IB278" s="245"/>
      <c r="IC278" t="b">
        <f t="shared" ref="IC278:IC341" si="892">ISBLANK(E278)</f>
        <v>1</v>
      </c>
      <c r="ID278" s="245" t="b">
        <f t="shared" ref="ID278:ID341" si="893">ISBLANK(J278)</f>
        <v>1</v>
      </c>
      <c r="IE278" s="245" t="b">
        <f t="shared" ref="IE278:IE341" si="894">ISBLANK(J278)</f>
        <v>1</v>
      </c>
      <c r="IF278" s="245" t="b">
        <f t="shared" ref="IF278:IF341" si="895">ISNUMBER(L278)</f>
        <v>0</v>
      </c>
      <c r="IG278" s="245" t="b">
        <f t="shared" ref="IG278:IG341" si="896">ISBLANK(N278)</f>
        <v>1</v>
      </c>
      <c r="IH278" s="245" t="b">
        <f t="shared" ref="IH278:IH341" si="897">ISBLANK(O278)</f>
        <v>1</v>
      </c>
      <c r="II278" s="245">
        <f t="shared" si="804"/>
        <v>0</v>
      </c>
      <c r="IJ278" s="245" t="e">
        <f t="shared" ref="IJ278:IJ341" si="898">INT(ABS(AQ278))</f>
        <v>#VALUE!</v>
      </c>
      <c r="IK278" s="245" t="e">
        <f t="shared" ref="IK278:IK341" si="899">INT(ABS(AY278))</f>
        <v>#VALUE!</v>
      </c>
      <c r="IL278" s="245"/>
      <c r="IM278" s="245" t="e">
        <f t="shared" si="805"/>
        <v>#N/A</v>
      </c>
      <c r="IN278" s="245" t="e">
        <f t="shared" si="806"/>
        <v>#N/A</v>
      </c>
      <c r="IO278" s="245"/>
      <c r="IP278" s="245"/>
      <c r="IQ278" s="245" t="str">
        <f t="shared" ref="IQ278:IQ341" si="900">IF(J278="","",$X$8)</f>
        <v/>
      </c>
      <c r="IR278" s="245" t="str">
        <f>IF(J278="","",VLOOKUP(J278,Worksheet!$R$4:$T$14,2))</f>
        <v/>
      </c>
      <c r="IS278" s="245"/>
      <c r="IT278" s="245">
        <f t="shared" ref="IT278:IT341" si="901">IF((L278&gt;0),1,0)</f>
        <v>0</v>
      </c>
      <c r="IU278" s="245">
        <f t="shared" ref="IU278:IU341" si="902">IFERROR(MATCH(M278,EO278:EW278,0),0)</f>
        <v>0</v>
      </c>
      <c r="IV278" s="245">
        <f t="shared" ref="IV278:IV341" si="903">IFERROR(MATCH(N278,EX278:EY278,0),0)</f>
        <v>0</v>
      </c>
      <c r="IW278" s="245">
        <f t="shared" ref="IW278:IW341" si="904">IFERROR(MATCH(O278,EZ278:FC278,0),0)</f>
        <v>0</v>
      </c>
      <c r="IX278" s="245">
        <f t="shared" si="807"/>
        <v>0</v>
      </c>
      <c r="IY278" s="245">
        <f t="shared" ref="IY278:IY341" si="905">IF(LEN(S278)=0,0,1)</f>
        <v>0</v>
      </c>
      <c r="IZ278" s="245">
        <f t="shared" ref="IZ278:IZ341" si="906">IFERROR(IF((R278&gt;BS278*1250),1,0),0)</f>
        <v>0</v>
      </c>
      <c r="JA278">
        <f t="shared" ref="JA278:JA341" si="907">IFERROR(IF(AND(T278&gt;0.24,T278&lt;(IN278+0.01)),1,0),0)</f>
        <v>0</v>
      </c>
      <c r="JB278">
        <f t="shared" si="808"/>
        <v>0</v>
      </c>
      <c r="JC278">
        <f t="shared" ref="JC278:JC341" si="908">IF($JB278=1,W278,0)</f>
        <v>0</v>
      </c>
      <c r="JD278">
        <f t="shared" ref="JD278:JD341" si="909">IF($JB278=1,Z278,0)</f>
        <v>0</v>
      </c>
      <c r="JE278">
        <f t="shared" ref="JE278:JE341" si="910">IF($JB278=1,AA278,0)</f>
        <v>0</v>
      </c>
      <c r="JF278">
        <f t="shared" ref="JF278:JF341" si="911">IF($JB278=1,AF278,0)</f>
        <v>0</v>
      </c>
      <c r="JG278">
        <f t="shared" ref="JG278:JG341" si="912">IF($JB278=1,L278,0)</f>
        <v>0</v>
      </c>
      <c r="JH278">
        <f t="shared" ref="JH278:JH341" si="913">IF($JB278=1,L278*M278,0)</f>
        <v>0</v>
      </c>
      <c r="JI278">
        <f t="shared" ref="JI278:JI341" si="914">IF($JB278=1,AO278*L278,0)</f>
        <v>0</v>
      </c>
      <c r="JJ278" s="447">
        <f t="shared" ref="JJ278:JJ341" si="915">ABS(IF($JB278=1,AP278*L278,0))</f>
        <v>0</v>
      </c>
      <c r="JK278" s="447">
        <f t="shared" ref="JK278:JK341" si="916">ABS(IF($JB278=1,AE278,0))</f>
        <v>0</v>
      </c>
      <c r="JL278">
        <f t="shared" ref="JL278:JL341" si="917">IF($JB278=1,AI278,0)</f>
        <v>0</v>
      </c>
      <c r="JM278" s="245" t="str">
        <f>IFERROR(VLOOKUP(MATCH(BN278,#REF!,0),#REF!,7),"")</f>
        <v/>
      </c>
      <c r="JN278" t="e">
        <f>HLOOKUP(LEFT(BO278,7),Discharge_Area,MATCH(JO278,LookUps!$B$130:$B$149,1)+2)</f>
        <v>#N/A</v>
      </c>
      <c r="JO278" t="str">
        <f t="shared" ref="JO278:JO341" si="918">CONCATENATE(M278,"-",BQ278,"S")</f>
        <v>- S</v>
      </c>
      <c r="JP278" t="e">
        <f>HLOOKUP(LEFT(BO278,7),Discharge_Area,MATCH(JO278,LookUps!$B$130:$B$149,1)+2)</f>
        <v>#N/A</v>
      </c>
      <c r="JQ278" t="e">
        <f t="shared" ref="JQ278:JQ341" si="919">HLOOKUP(LEFT(BO278,7),Throw_Coeff,3)</f>
        <v>#N/A</v>
      </c>
      <c r="JR278" t="e">
        <f t="shared" ref="JR278:JR341" si="920">HLOOKUP(LEFT(BO278,7),Throw_Coeff,4)</f>
        <v>#N/A</v>
      </c>
      <c r="JS278" t="e">
        <f t="shared" ref="JS278:JS341" si="921">HLOOKUP(LEFT(BO278,7),Throw_Coeff,5)</f>
        <v>#N/A</v>
      </c>
      <c r="JT278" s="532" t="str">
        <f t="shared" ref="JT278:JT341" si="922">IF(L278&gt;0,AS278-$F$6," ")</f>
        <v xml:space="preserve"> </v>
      </c>
      <c r="JU278" s="532" t="str">
        <f t="shared" ref="JU278:JU341" si="923">IF(L278&gt;0,AZ278-$H$6," ")</f>
        <v xml:space="preserve"> </v>
      </c>
      <c r="JV278" s="533" t="str">
        <f t="shared" ref="JV278:JV341" si="924">IF(L278&gt;0,LH278/JP278," ")</f>
        <v xml:space="preserve"> </v>
      </c>
      <c r="JW278" s="534">
        <f t="shared" ref="JW278:JW341" si="925">IF(L278&gt;0,IF(BD278&gt;0,IF(BE278&gt;0,IF(BF278&gt;0,BF278+(BD278-BE278),0),0),0),0)</f>
        <v>0</v>
      </c>
      <c r="JX278" s="535" t="str">
        <f t="shared" si="809"/>
        <v xml:space="preserve"> </v>
      </c>
      <c r="JY278" s="535" t="str">
        <f t="shared" si="810"/>
        <v xml:space="preserve"> </v>
      </c>
      <c r="JZ278" s="535" t="str">
        <f t="shared" si="811"/>
        <v xml:space="preserve"> </v>
      </c>
      <c r="KA278" s="536" t="str">
        <f t="shared" ref="KA278:KA341" si="926">IF(JW278&gt;0,0.8*(JV278/200)^0.2*(M278/4)^0.05," ")</f>
        <v xml:space="preserve"> </v>
      </c>
      <c r="KB278" s="535" t="e">
        <f t="shared" si="812"/>
        <v>#VALUE!</v>
      </c>
      <c r="KC278" s="535" t="str">
        <f t="shared" ref="KC278:KC341" si="927">IF(U278=0,"",IF(JW278&gt;0,KA278*0.8*MIN(JX278:JZ278)/(JU278/10)^0.3," "))</f>
        <v/>
      </c>
      <c r="KD278" s="537" t="str">
        <f t="shared" si="813"/>
        <v xml:space="preserve"> </v>
      </c>
      <c r="KE278" s="537" t="str">
        <f t="shared" si="814"/>
        <v xml:space="preserve"> </v>
      </c>
      <c r="KF278" s="534">
        <f t="shared" ref="KF278:KF341" si="928">IF(L278&gt;0,IF(BG278&gt;0,IF(BD278&gt;0,IF(BE278&gt;0,BG278/2,0),0),0),0)</f>
        <v>0</v>
      </c>
      <c r="KG278" s="535" t="str">
        <f t="shared" ref="KG278:KG341" si="929">IF(KF278&gt;0,JV278/(BG278*0.5/JQ278/SQRT(JP278/2))^0.5," ")</f>
        <v xml:space="preserve"> </v>
      </c>
      <c r="KH278" s="535" t="str">
        <f t="shared" ref="KH278:KH341" si="930">IF(KF278&gt;0,JV278/(BG278*0.5/JR278/SQRT(JP278/2))," ")</f>
        <v xml:space="preserve"> </v>
      </c>
      <c r="KI278" s="535" t="str">
        <f t="shared" ref="KI278:KI341" si="931">IF(KF278&gt;0,JV278/(BG278*0.5/JS278/SQRT(JP278/2))^2," ")</f>
        <v xml:space="preserve"> </v>
      </c>
      <c r="KJ278" s="536" t="str">
        <f t="shared" ref="KJ278:KJ341" si="932">IF(KF278&gt;0,3.3/(BD278-BE278)*0.53*0.8*(JV278/200)^0.2*(M278/4)^0.05," ")</f>
        <v xml:space="preserve"> </v>
      </c>
      <c r="KK278" s="535" t="str">
        <f t="shared" si="815"/>
        <v xml:space="preserve"> </v>
      </c>
      <c r="KL278" s="535" t="str">
        <f t="shared" si="816"/>
        <v xml:space="preserve"> </v>
      </c>
      <c r="KM278" s="537" t="str">
        <f t="shared" ref="KM278:KM341" si="933">IF(KF278&gt;0,0.35*KD278*(BG278*0.5+(BD278-BE278))/JW278," ")</f>
        <v xml:space="preserve"> </v>
      </c>
      <c r="KN278" s="537" t="str">
        <f t="shared" si="817"/>
        <v xml:space="preserve"> </v>
      </c>
      <c r="KP278">
        <f t="shared" ref="KP278:KP341" si="934">12*500*T278</f>
        <v>0</v>
      </c>
      <c r="LA278" t="e">
        <f t="shared" ref="LA278:LA341" si="935">(2.241*(LN(BS278))-5.325)</f>
        <v>#VALUE!</v>
      </c>
      <c r="LB278" t="e">
        <f t="shared" ref="LB278:LB341" si="936">(24.173*(LN(DC278+DE278))+133.37)</f>
        <v>#VALUE!</v>
      </c>
      <c r="LC278" t="e">
        <f t="shared" ref="LC278:LC341" si="937">IF(DD278&lt;590,15.827*(LN(590))-83.608,(15.827*(LN(DD278))-83.608))</f>
        <v>#VALUE!</v>
      </c>
      <c r="LD278" t="e">
        <f t="shared" ref="LD278:LD341" si="938">(35.444*(LN(BT278))-187.23)</f>
        <v>#VALUE!</v>
      </c>
      <c r="LE278" t="e">
        <f t="shared" si="818"/>
        <v>#VALUE!</v>
      </c>
      <c r="LF278">
        <f t="shared" ref="LF278:LF341" si="939">IF(AND(R278&gt;210,P278="M31")=TRUE,((R278-210)/26),0)</f>
        <v>0</v>
      </c>
      <c r="LG278" t="e">
        <f t="shared" si="819"/>
        <v>#VALUE!</v>
      </c>
      <c r="LH278" t="str">
        <f t="shared" ref="LH278:LH341" si="940">IF((JB278&gt;0),(DF278+1)*R278," ")</f>
        <v xml:space="preserve"> </v>
      </c>
      <c r="LI278">
        <f t="shared" si="820"/>
        <v>1</v>
      </c>
    </row>
    <row r="279" spans="2:321" ht="15" customHeight="1">
      <c r="B279" s="311"/>
      <c r="C279" s="311"/>
      <c r="D279" s="312"/>
      <c r="E279" s="311"/>
      <c r="F279" s="312"/>
      <c r="G279" s="311"/>
      <c r="H279" s="311"/>
      <c r="I279" s="232"/>
      <c r="J279" s="311"/>
      <c r="K279" s="305" t="str">
        <f t="shared" ref="K279:K342" si="941">IF(AND(E279&gt;0,J279&gt;0),ROUNDUP(MAX(D279/$X$9,E279/FG279,H279/220,FH279/220),0),"")</f>
        <v/>
      </c>
      <c r="L279" s="313"/>
      <c r="M279" s="312"/>
      <c r="N279" s="311"/>
      <c r="O279" s="312"/>
      <c r="P279" s="311"/>
      <c r="Q279" s="305" t="str">
        <f t="shared" ref="Q279:Q342" si="942">IF(AND(J279&gt;0,L279&gt;0,M279&gt;0,N279&gt;0,O279&gt;0,P279&gt;0),ROUNDUP(MAX(H279/L279,BS279*1250,FI279),0),"")</f>
        <v/>
      </c>
      <c r="R279" s="314"/>
      <c r="S279" s="450" t="str">
        <f t="shared" si="825"/>
        <v/>
      </c>
      <c r="T279" s="315"/>
      <c r="U279" s="315"/>
      <c r="W279" s="149" t="str">
        <f t="shared" si="826"/>
        <v xml:space="preserve"> </v>
      </c>
      <c r="X279" s="243" t="str">
        <f t="shared" si="827"/>
        <v xml:space="preserve"> </v>
      </c>
      <c r="Y279" s="150" t="str">
        <f t="shared" si="828"/>
        <v/>
      </c>
      <c r="Z279" s="149" t="str">
        <f t="shared" si="829"/>
        <v xml:space="preserve"> </v>
      </c>
      <c r="AA279" s="98" t="str">
        <f t="shared" si="830"/>
        <v xml:space="preserve"> </v>
      </c>
      <c r="AB279" s="153" t="str">
        <f t="shared" si="831"/>
        <v xml:space="preserve"> </v>
      </c>
      <c r="AC279" s="153" t="str">
        <f t="shared" si="832"/>
        <v xml:space="preserve"> </v>
      </c>
      <c r="AD279" s="148" t="str">
        <f t="shared" si="833"/>
        <v/>
      </c>
      <c r="AE279" s="149" t="str">
        <f t="shared" si="834"/>
        <v/>
      </c>
      <c r="AF279" s="151" t="str">
        <f t="shared" si="835"/>
        <v xml:space="preserve"> </v>
      </c>
      <c r="AG279" s="153" t="str">
        <f t="shared" si="836"/>
        <v xml:space="preserve"> </v>
      </c>
      <c r="AH279" s="98" t="str">
        <f t="shared" si="837"/>
        <v xml:space="preserve"> </v>
      </c>
      <c r="AI279" s="149" t="str">
        <f t="shared" si="838"/>
        <v xml:space="preserve"> </v>
      </c>
      <c r="AK279" s="144" t="str">
        <f t="shared" si="839"/>
        <v xml:space="preserve"> </v>
      </c>
      <c r="AL279" s="144"/>
      <c r="AM279" s="243" t="str">
        <f t="shared" si="840"/>
        <v xml:space="preserve"> </v>
      </c>
      <c r="AN279" s="149" t="str">
        <f t="shared" ref="AN279:AN342" si="943">IF((JB279&gt;0),LG279," ")</f>
        <v xml:space="preserve"> </v>
      </c>
      <c r="AO279" s="144" t="str">
        <f>IF(JB279&gt;0,IF(GI279=10,-R279*1.085*(Calculation!$F$6-Calculation!$F$13)*$S$14," "),"")</f>
        <v/>
      </c>
      <c r="AP279" s="144" t="str">
        <f t="shared" si="841"/>
        <v/>
      </c>
      <c r="AQ279" s="56" t="str">
        <f t="shared" si="842"/>
        <v/>
      </c>
      <c r="AR279" s="144" t="str">
        <f t="shared" si="843"/>
        <v/>
      </c>
      <c r="AS279" s="176" t="str">
        <f t="shared" si="844"/>
        <v/>
      </c>
      <c r="AT279" s="176" t="str">
        <f t="shared" ref="AT279:AT342" si="944">IF(GI279=10,EM279," ")</f>
        <v xml:space="preserve"> </v>
      </c>
      <c r="AU279" s="176" t="str">
        <f t="shared" si="845"/>
        <v/>
      </c>
      <c r="AV279" s="177" t="str">
        <f t="shared" si="846"/>
        <v xml:space="preserve"> </v>
      </c>
      <c r="AW279" s="144" t="str">
        <f t="shared" si="847"/>
        <v xml:space="preserve"> </v>
      </c>
      <c r="AX279" s="144" t="str">
        <f t="shared" si="848"/>
        <v xml:space="preserve"> </v>
      </c>
      <c r="AY279" s="152" t="str">
        <f t="shared" si="849"/>
        <v xml:space="preserve"> </v>
      </c>
      <c r="AZ279" s="246" t="str">
        <f t="shared" si="850"/>
        <v/>
      </c>
      <c r="BA279" s="176" t="str">
        <f t="shared" si="851"/>
        <v xml:space="preserve"> </v>
      </c>
      <c r="BB279" s="176" t="str">
        <f t="shared" si="852"/>
        <v xml:space="preserve"> </v>
      </c>
      <c r="BC279" s="195"/>
      <c r="BD279" s="316"/>
      <c r="BE279" s="317"/>
      <c r="BF279" s="318"/>
      <c r="BG279" s="318"/>
      <c r="BH279" s="144" t="str">
        <f t="shared" si="821"/>
        <v xml:space="preserve"> </v>
      </c>
      <c r="BI279" s="176" t="str">
        <f t="shared" si="853"/>
        <v/>
      </c>
      <c r="BJ279" s="144" t="str">
        <f t="shared" si="822"/>
        <v/>
      </c>
      <c r="BK279" s="246" t="str">
        <f t="shared" si="854"/>
        <v/>
      </c>
      <c r="BL279" s="144" t="str">
        <f t="shared" si="823"/>
        <v/>
      </c>
      <c r="BM279" s="246" t="str">
        <f t="shared" si="855"/>
        <v/>
      </c>
      <c r="BN279" s="337" t="str">
        <f t="shared" ref="BN279:BN342" si="945">IF(COUNTBLANK(L279:T279)+COUNTBLANK(J279)=0,CONCATENATE(BO279,"-",R279,"-",S279,"-",T279,"-",U279),"")</f>
        <v/>
      </c>
      <c r="BO279" s="371" t="str">
        <f t="shared" ref="BO279:BO342" si="946">IF(AND(J279="",N279="",O279=""),"",CONCATENATE(J279,(IF(LEN(J279)=4,("-00"),IF(LEN(J279)=5,("-0"),""))),"-",P279,"-",(LEFT(N279,1)),"-",M279,"-",(LEFT(O279,1))))</f>
        <v/>
      </c>
      <c r="BP279" s="328" t="str">
        <f t="shared" si="824"/>
        <v xml:space="preserve"> </v>
      </c>
      <c r="BQ279" s="347" t="str">
        <f t="shared" ref="BQ279:BQ342" si="947">LEFT(BP279,1)</f>
        <v xml:space="preserve"> </v>
      </c>
      <c r="BR279" s="353" t="str">
        <f t="shared" ref="BR279:BR342" si="948">IF(L279&gt;0,HLOOKUP(LEFT(BO279,7),Noz_Qty,(MATCH(CONCATENATE(IF(LEN(M279)=1,("0"),""),M279,"-",LEFT(BP279,1),"S"),Len_SlotLU,0)+2))," ")</f>
        <v xml:space="preserve"> </v>
      </c>
      <c r="BS279" s="626" t="str">
        <f>IF(L279&gt;0,IF(Calculation!P279="M13",BR279*3.1416*(0.134^2)/(4*144),IF(Calculation!P279="M17",BR279*3.1416*(0.165^2)/(4*144),IF(Calculation!P279="M20",BR279*3.1416*(0.198^2)/(4*144),IF(Calculation!P279="M23",BR279*3.1416*(0.228^2)/(4*144),IF(Calculation!P279="M27",BR279*3.1416*(0.269^2)/(4*144),BR279*3.1416*(0.307^2)/(4*144))))))," ")</f>
        <v xml:space="preserve"> </v>
      </c>
      <c r="BT279" s="353" t="str">
        <f>IF(L279&gt;0,IF(BS279&gt;0,R279/Calculation!BS279,0)," ")</f>
        <v xml:space="preserve"> </v>
      </c>
      <c r="BU279" s="438" t="e">
        <f t="shared" ca="1" si="856"/>
        <v>#VALUE!</v>
      </c>
      <c r="BV279" s="449" t="e">
        <f ca="1">INDEX(INDIRECT(VLOOKUP(LEFT(BO279,7),CLU!$Z$3:$AH$18,2)),GN279,GR279)</f>
        <v>#N/A</v>
      </c>
      <c r="BW279" s="433" t="e">
        <f ca="1">INDEX(INDIRECT(VLOOKUP(LEFT(BO279,7),CLU!$Z$3:$AH$18,3)),GN279,GR279)</f>
        <v>#N/A</v>
      </c>
      <c r="BX279" s="433" t="e">
        <f ca="1">INDEX(INDIRECT(VLOOKUP(LEFT(BO279,7),CLU!$Z$3:$AH$18,4)),GN279,GR279)</f>
        <v>#N/A</v>
      </c>
      <c r="BY279" s="433" t="e">
        <f ca="1">INDEX(INDIRECT(VLOOKUP(LEFT(BO279,7),CLU!$Z$3:$AH$18,9)),((M279-2)*(6-COUNTBLANK(GT279:GY279)))+GJ279)</f>
        <v>#N/A</v>
      </c>
      <c r="BZ279" s="426" t="e">
        <f t="shared" ref="BZ279:BZ342" ca="1" si="949">((BV279*T279)+BW279)*BX279*BY279</f>
        <v>#N/A</v>
      </c>
      <c r="CA279" s="424" t="e">
        <f t="shared" ref="CA279:CA342" ca="1" si="950">BZ279*DJ279*$BT$8</f>
        <v>#N/A</v>
      </c>
      <c r="CB279" s="429" t="e">
        <f ca="1">INDEX(INDIRECT(VLOOKUP(LEFT(BO279,7),CLU!$Z$3:$AH$18,2)),GN279,GS279)</f>
        <v>#N/A</v>
      </c>
      <c r="CC279" s="342" t="e">
        <f ca="1">INDEX(INDIRECT(VLOOKUP(LEFT(BO279,7),CLU!$Z$3:$AH$18,3)),GN279,GS279)</f>
        <v>#N/A</v>
      </c>
      <c r="CD279" s="342" t="e">
        <f ca="1">INDEX(INDIRECT(VLOOKUP(LEFT(BO279,7),CLU!$Z$3:$AH$18,4)),GN279,GS279)</f>
        <v>#N/A</v>
      </c>
      <c r="CE279" s="426" t="e">
        <f t="shared" ref="CE279:CE342" ca="1" si="951">((CB279*U279)+CC279)*CD279*BY279</f>
        <v>#N/A</v>
      </c>
      <c r="CF279" s="440">
        <f t="shared" ref="CF279:CF342" si="952">IF(U279=0,0,IF(O279="2 pipe (cooling)",0,CE279*DK279))*$BV$8</f>
        <v>0</v>
      </c>
      <c r="CG279" s="431" t="e">
        <f ca="1">INDEX(INDIRECT(VLOOKUP(LEFT(BO279,7),CLU!$Z$3:$AH$18,2)),GQ279,GR279)</f>
        <v>#N/A</v>
      </c>
      <c r="CH279" s="431" t="e">
        <f ca="1">INDEX(INDIRECT(VLOOKUP(LEFT(BO279,7),CLU!$Z$3:$AH$18,3)),GQ279,GR279)</f>
        <v>#N/A</v>
      </c>
      <c r="CI279" s="431" t="e">
        <f ca="1">INDEX(INDIRECT(VLOOKUP(LEFT(BO279,7),CLU!$Z$3:$AH$18,4)),GQ279,GR279)</f>
        <v>#N/A</v>
      </c>
      <c r="CJ279" s="448" t="e">
        <f t="shared" ref="CJ279:CJ342" ca="1" si="953">BY279</f>
        <v>#N/A</v>
      </c>
      <c r="CK279" s="431" t="e">
        <f t="shared" ref="CK279:CK342" ca="1" si="954">((CG279*T279)+CH279)*CI279*CJ279</f>
        <v>#N/A</v>
      </c>
      <c r="CL279" s="440" t="e">
        <f t="shared" ref="CL279:CL342" ca="1" si="955">CK279*DJ279*$BT$8</f>
        <v>#N/A</v>
      </c>
      <c r="CM279" s="431" t="e">
        <f ca="1">INDEX(INDIRECT(VLOOKUP(LEFT(BO279,7),CLU!$Z$3:$AH$18,2)),GQ279,GS279)</f>
        <v>#N/A</v>
      </c>
      <c r="CN279" s="431" t="e">
        <f ca="1">INDEX(INDIRECT(VLOOKUP(LEFT(BO279,7),CLU!$Z$3:$AH$18,3)),GQ279,GS279)</f>
        <v>#N/A</v>
      </c>
      <c r="CO279" s="431" t="e">
        <f ca="1">INDEX(INDIRECT(VLOOKUP(LEFT(BO279,7),CLU!$Z$3:$AH$18,4)),GQ279,GS279)</f>
        <v>#N/A</v>
      </c>
      <c r="CP279" s="431" t="e">
        <f t="shared" ref="CP279:CP342" ca="1" si="956">((CM279*U279)+CN279)*CO279*CJ279</f>
        <v>#N/A</v>
      </c>
      <c r="CQ279" s="440">
        <f t="shared" ref="CQ279:CQ342" si="957">IF(U279=0,0,IF(O279="2 pipe (cooling)",0,CP279*DK279))*$BV$8</f>
        <v>0</v>
      </c>
      <c r="CR279" s="51" t="e">
        <f t="shared" ref="CR279:CR342" ca="1" si="958">CL279-CA279</f>
        <v>#N/A</v>
      </c>
      <c r="CS279" s="439" t="e">
        <f t="shared" ref="CS279:CS342" ca="1" si="959">(BU279-GM279)/10</f>
        <v>#VALUE!</v>
      </c>
      <c r="CT279" s="51" t="e">
        <f t="shared" ref="CT279:CT342" ca="1" si="960">CS279*CR279</f>
        <v>#VALUE!</v>
      </c>
      <c r="CU279" s="10"/>
      <c r="CV279" s="51" t="e">
        <f t="shared" ca="1" si="857"/>
        <v>#VALUE!</v>
      </c>
      <c r="CW279" s="51">
        <f t="shared" ref="CW279:CW342" si="961">CQ279-CF279</f>
        <v>0</v>
      </c>
      <c r="CX279" s="439" t="e">
        <f t="shared" ref="CX279:CX342" ca="1" si="962">(BU279-GM279)/10</f>
        <v>#VALUE!</v>
      </c>
      <c r="CY279" s="51" t="e">
        <f t="shared" ref="CY279:CY342" ca="1" si="963">CX279*CW279</f>
        <v>#VALUE!</v>
      </c>
      <c r="CZ279" s="10"/>
      <c r="DA279" s="51" t="e">
        <f t="shared" ref="DA279:DA342" ca="1" si="964">(CF279+CY279)*$CZ$21</f>
        <v>#VALUE!</v>
      </c>
      <c r="DB279" s="347" t="e">
        <f ca="1">INDEX(INDIRECT(VLOOKUP(LEFT(BO279,7),CLU!$Z$3:$AI$18,10)),((M279-2)*(6-COUNTBLANK(GT279:GY279)))+GJ279)*LI279</f>
        <v>#N/A</v>
      </c>
      <c r="DC279" s="347" t="str">
        <f>IF(L279&gt;0,((R279/Worksheet!$I$15)/DB279)^2," ")</f>
        <v xml:space="preserve"> </v>
      </c>
      <c r="DD279" s="602" t="str">
        <f t="shared" ref="DD279:DD342" si="965">IF(L279&gt;0,IF(S279=4,R279/0.087,IF(S279=5,R279/0.136,IF(S279=6,R279/0.197,IF(S279=8,R279/0.35,R279/0.415))))," ")</f>
        <v xml:space="preserve"> </v>
      </c>
      <c r="DE279" s="347" t="str">
        <f t="shared" si="858"/>
        <v xml:space="preserve"> </v>
      </c>
      <c r="DF279" s="356" t="e">
        <f ca="1">INDEX(INDIRECT(VLOOKUP(LEFT(BO279,7),CLU!$Z$3:$AH$18,8)),((M279-2)*(6-COUNTBLANK(GT279:GY279)))+GJ279)</f>
        <v>#N/A</v>
      </c>
      <c r="DG279" s="347" t="str">
        <f t="shared" si="859"/>
        <v xml:space="preserve"> </v>
      </c>
      <c r="DH279" s="357" t="str">
        <f t="shared" si="860"/>
        <v xml:space="preserve"> </v>
      </c>
      <c r="DI279" s="355" t="str">
        <f t="shared" si="861"/>
        <v xml:space="preserve"> </v>
      </c>
      <c r="DJ279" s="245" t="e">
        <f ca="1">INDEX(INDIRECT(VLOOKUP(LEFT(BO279,7),CLU!$Z$3:$AH$18,5)),GL279,GK279)</f>
        <v>#N/A</v>
      </c>
      <c r="DK279" s="245" t="e">
        <f ca="1">INDEX(INDIRECT(VLOOKUP(LEFT(BO279,7),CLU!$Z$3:$AH$18,6)),GL279,GK279)</f>
        <v>#N/A</v>
      </c>
      <c r="DL279" s="355">
        <f>(Calculation!R279*0.69143*(Calculation!$BQ$8-Calculation!$F$8))*$S$14</f>
        <v>0</v>
      </c>
      <c r="DM279" s="359" t="e">
        <f t="shared" ref="DM279:DM342" si="966">ABS(AO279*L279)</f>
        <v>#VALUE!</v>
      </c>
      <c r="DN279" s="611">
        <f t="shared" ref="DN279:DN342" si="967">IF(E279=0,DP279,ROUND((DM279/E279)*100,0))</f>
        <v>0</v>
      </c>
      <c r="DO279" s="359">
        <f t="shared" ref="DO279:DO342" si="968">100-DN279</f>
        <v>100</v>
      </c>
      <c r="DP279" s="359">
        <f t="shared" ref="DP279:DP342" si="969">IF(AO279="",0,ROUND(ABS(AO279)/ABS(AQ279)*100,0))</f>
        <v>0</v>
      </c>
      <c r="DQ279" s="360"/>
      <c r="DR279" s="245" t="e">
        <f ca="1">INDEX(INDIRECT(VLOOKUP(LEFT(BO279,7),CLU!$Z$3:$AH$18,7)),M279-1,1)</f>
        <v>#N/A</v>
      </c>
      <c r="DS279" s="245" t="e">
        <f ca="1">INDEX(INDIRECT(VLOOKUP(LEFT(BO279,7),CLU!$Z$3:$AH$18,7)),M279-1,2)</f>
        <v>#N/A</v>
      </c>
      <c r="DT279" s="245" t="e">
        <f ca="1">INDEX(INDIRECT(VLOOKUP(LEFT(BO279,7),CLU!$Z$3:$AH$18,7)),M279-1,3)</f>
        <v>#N/A</v>
      </c>
      <c r="DU279" s="245" t="e">
        <f ca="1">INDEX(INDIRECT(VLOOKUP(LEFT(BO279,7),CLU!$Z$3:$AH$18,7)),M279-1,4)</f>
        <v>#N/A</v>
      </c>
      <c r="DV279" s="361" t="e">
        <f ca="1">INDEX(INDIRECT(VLOOKUP(LEFT(BO279,7),CLU!$Z$3:$AH$18,7)),M279-1,4+LEFT(DZ279,1)*0.5)</f>
        <v>#N/A</v>
      </c>
      <c r="DW279" s="245" t="e">
        <f ca="1">INDEX(INDIRECT(VLOOKUP(LEFT(BO279,7),CLU!$Z$3:$AH$18,7)),M279-1,8)</f>
        <v>#N/A</v>
      </c>
      <c r="DX279" s="361" t="str">
        <f t="shared" si="862"/>
        <v xml:space="preserve"> </v>
      </c>
      <c r="DY279" s="361" t="str">
        <f t="shared" si="863"/>
        <v xml:space="preserve"> </v>
      </c>
      <c r="DZ279" s="361" t="str">
        <f t="shared" si="864"/>
        <v xml:space="preserve"> </v>
      </c>
      <c r="EA279" s="362" t="str">
        <f t="shared" si="865"/>
        <v xml:space="preserve"> </v>
      </c>
      <c r="EB279" s="624" t="str">
        <f t="shared" ref="EB279:EB342" si="970">IF(AND(MID(J279,6,2)="12",O279="4 pipe (H/C)"),1,IF(L279&gt;0,IF(BR279&gt;0,IF(MAX(T279,U279)&gt;EA279,2,1),0)," "))</f>
        <v xml:space="preserve"> </v>
      </c>
      <c r="EC279" s="361" t="e">
        <f ca="1">INDEX(INDIRECT(VLOOKUP(LEFT(BO279,7),CLU!$Z$3:$AH$18,7)),M279-1,4+LEFT(DZ279,1)*0.5)</f>
        <v>#N/A</v>
      </c>
      <c r="ED279" s="362" t="str">
        <f t="shared" si="866"/>
        <v xml:space="preserve"> </v>
      </c>
      <c r="EE279" s="361" t="str">
        <f t="shared" si="867"/>
        <v xml:space="preserve"> </v>
      </c>
      <c r="EF279" s="362" t="str">
        <f>IF(L279&gt;0,IF(BR279&gt;0,IF(EE279="2P",IF(Calculation!DZ279="2P",IF(Calculation!DS279=13.75,IF(Calculation!DR279=13,Worksheet!$BD$43,IF(Calculation!DR279=37,Worksheet!$BD$44,Worksheet!$BD$45)),IF(Calculation!DS279=10,IF(Calculation!DR279=18,Worksheet!$BD$29,IF(Calculation!DR279=30,Worksheet!$BD$30,IF(Calculation!DR279=42,Worksheet!$BD$31,IF(Calculation!DR279=54,Worksheet!$BD$32,IF(Calculation!DR279=66,Worksheet!$BD$33,IF(Calculation!DR279=78,Worksheet!$BD$34,IF(Calculation!DR279=90,Worksheet!$BD$35,IF(Calculation!DR279=102,Worksheet!$BD$36,Worksheet!$BD$37)))))))),IF(Calculation!DS279=12.5,IF(Calculation!DR279=18,Worksheet!$BD$38,IF(Calculation!DR279=Worksheet!$BD$39,IF(Calculation!DR279=42,Worksheet!$BD$40,IF(Calculation!DR279=54,Worksheet!$BD$41,Worksheet!$BD$42)))),IF(Calculation!DR279=18,Worksheet!$BD$11,IF(Calculation!DR279=30,Worksheet!$BD$12,IF(Calculation!DR279=42,Worksheet!$BD$13,IF(Calculation!DR279=54,Worksheet!$BD$14,IF(Calculation!DR279=66,Worksheet!$BD$15,IF(Calculation!DR279=78,Worksheet!$BD$16,IF(Calculation!DR279=90,Worksheet!$BD$17,IF(Calculation!DR279=102,Worksheet!$BD$18,Worksheet!$BD$19))))))))))),IF(Calculation!DS279=13.75,IF(Calculation!DR279=13,Worksheet!$BD$78,IF(Calculation!DR279=37,Worksheet!$BD$79,Worksheet!$BD$80)),IF(Calculation!DS279=10,IF(Calculation!DR279=18,Worksheet!$BD$64,IF(Calculation!DR279=30,Worksheet!$BD$65,IF(Calculation!DR279=42,Worksheet!$BD$66,IF(Calculation!DR279=54,Worksheet!$BD$68,IF(Calculation!DR279=66,Worksheet!$BD$68,IF(Calculation!DR279=78,Worksheet!$BD$69,IF(Calculation!DR279=90,Worksheet!$BD$70,IF(Calculation!DR279=102,Worksheet!$BD$71,Worksheet!$BD$72)))))))),IF(Calculation!DS279=12.5,IF(Calculation!DR279=18,Worksheet!$BD$73,IF(Calculation!DR279=Worksheet!$BD$74,IF(Calculation!DR279=42,Worksheet!$BD$75,IF(Calculation!DR279=54,Worksheet!$BD$76,Worksheet!$BD$77)))),IF(Calculation!DR279=18,Worksheet!$BD$55,IF(Calculation!DR279=30,Worksheet!$BD$56,IF(Calculation!DR279=42,Worksheet!$BD$57,IF(Calculation!DR279=54,Worksheet!$BD$58,IF(Calculation!DR279=66,Worksheet!$BD$59,IF(Calculation!DR279=78,Worksheet!$BD$60,IF(Calculation!DR279=90,Worksheet!$BD$61,IF(Calculation!DR279=102,Worksheet!$BD$62,Worksheet!$BD$63)))))))))))),5),0)," ")</f>
        <v xml:space="preserve"> </v>
      </c>
      <c r="EG279" s="361" t="str">
        <f t="shared" si="868"/>
        <v xml:space="preserve"> </v>
      </c>
      <c r="EH279" s="361" t="e">
        <f ca="1">INDEX(INDIRECT(VLOOKUP(LEFT(BO279,7),CLU!$Z$3:$AH$18,7)),M279-1,3+LEFT(DZ279,1))</f>
        <v>#N/A</v>
      </c>
      <c r="EI279" s="362" t="str">
        <f t="shared" si="869"/>
        <v xml:space="preserve"> </v>
      </c>
      <c r="EJ279" s="363" t="str">
        <f t="shared" si="870"/>
        <v xml:space="preserve"> </v>
      </c>
      <c r="EK279" s="363" t="str">
        <f t="shared" si="871"/>
        <v xml:space="preserve"> </v>
      </c>
      <c r="EL279" s="363" t="str">
        <f t="shared" si="872"/>
        <v xml:space="preserve"> </v>
      </c>
      <c r="EM279" s="362" t="str">
        <f>IF(L279&gt;0,IF(BR279&gt;0,(Calculation!T279/ED279)^2,0)," ")</f>
        <v xml:space="preserve"> </v>
      </c>
      <c r="EN279" s="362" t="str">
        <f>IF(L279&gt;0,IF(O279="2 Pipe (Cooling)","N/A",IF(BR279&gt;0,(Calculation!U279/EI279)^2,0))," ")</f>
        <v xml:space="preserve"> </v>
      </c>
      <c r="EO279" s="361" t="str">
        <f t="shared" si="873"/>
        <v/>
      </c>
      <c r="EP279" s="361" t="str">
        <f t="shared" si="874"/>
        <v/>
      </c>
      <c r="EQ279" s="361" t="str">
        <f t="shared" si="875"/>
        <v/>
      </c>
      <c r="ER279" s="361" t="str">
        <f t="shared" si="876"/>
        <v/>
      </c>
      <c r="ES279" s="361" t="str">
        <f t="shared" si="877"/>
        <v/>
      </c>
      <c r="ET279" s="361" t="str">
        <f t="shared" si="878"/>
        <v/>
      </c>
      <c r="EU279" s="361" t="str">
        <f t="shared" si="879"/>
        <v/>
      </c>
      <c r="EV279" s="361" t="str">
        <f t="shared" si="880"/>
        <v/>
      </c>
      <c r="EW279" s="361" t="str">
        <f t="shared" si="881"/>
        <v/>
      </c>
      <c r="EX279" s="361" t="str">
        <f t="shared" ref="EX279:EX342" si="971">IF(J279="CBAM","4 way",IF(J279="CBLV","2 slots, 2 way",IF(J279="CBAV","As specified *","1 slot, 1 way")))</f>
        <v>1 slot, 1 way</v>
      </c>
      <c r="EY279" s="361" t="str">
        <f t="shared" ref="EY279:EY342" si="972">IF(J279="CBAL2","2 slots, 2 way",IF(J279="CBE2-24","2 slots, 2 way",IF(J279="CBLV-12","2 slots, 2 way",IF(J279="CBE2-12","2 slots, 2 way"," "))))</f>
        <v xml:space="preserve"> </v>
      </c>
      <c r="EZ279" s="361" t="str">
        <f t="shared" ref="EZ279:EZ342" si="973">IF(J279&gt;0,"2 pipe (cooling)"," ")</f>
        <v xml:space="preserve"> </v>
      </c>
      <c r="FA279" s="361" t="str">
        <f t="shared" ref="FA279:FA342" si="974">IF(J279&gt;0,"2 pipe (H/C)"," ")</f>
        <v xml:space="preserve"> </v>
      </c>
      <c r="FB279" s="361" t="str">
        <f t="shared" ref="FB279:FB342" si="975">IF(J279&gt;0,"4 pipe (H/C)"," ")</f>
        <v xml:space="preserve"> </v>
      </c>
      <c r="FC279" s="361"/>
      <c r="FD279" s="361" t="str">
        <f>IF(J279&gt;0,IF(Calculation!R279&lt;=70,4,IF(Calculation!R279&lt;=110,5,IF(Calculation!R279&lt;=160,6,IF(Calculation!R279&lt;=300,8,"10 EO")))),"")</f>
        <v/>
      </c>
      <c r="FE279" s="361" t="str">
        <f t="shared" ref="FE279:FE342" si="976">IF(J279&gt;0,IF(FD279=4,5,IF(FD279=5,6,IF(FD279=6,8,IF(FD279=8,"10 EO","")))),"")</f>
        <v/>
      </c>
      <c r="FF279" s="361" t="str">
        <f t="shared" ref="FF279:FF342" si="977">IF(J279&gt;0,IF(FE279=4,5,IF(FE279=5,6,IF(FE279=6,8,IF(FE279=8,"10 EO","")))),"")</f>
        <v/>
      </c>
      <c r="FG279" s="361" t="e">
        <f t="shared" si="882"/>
        <v>#N/A</v>
      </c>
      <c r="FH279" s="361">
        <f t="shared" si="883"/>
        <v>0</v>
      </c>
      <c r="FI279" s="361" t="e">
        <f t="shared" si="884"/>
        <v>#DIV/0!</v>
      </c>
      <c r="FJ279" s="361"/>
      <c r="FK279" s="356" t="e">
        <f t="shared" si="885"/>
        <v>#VALUE!</v>
      </c>
      <c r="FL279" s="361"/>
      <c r="FM279" s="361"/>
      <c r="FN279" s="362" t="str">
        <f t="shared" ref="FN279:FN342" si="978">IF(L279&gt;0,IF(J279="CBLV-12",0.5,IF(J279="CBE2-12",0.5,IF(J279="CBLV",0.5,0.25)))," ")</f>
        <v xml:space="preserve"> </v>
      </c>
      <c r="FO279" s="362" t="str">
        <f t="shared" ref="FO279:FO342" si="979">IF(L279&gt;0,IF(J279="CBAW",1.9,IF(J279="CBAM",1.7,IF(J279="CBAL-12",4,IF(J279="CBE2-12",4,IF(J279="CBLV",4,2.5)))))," ")</f>
        <v xml:space="preserve"> </v>
      </c>
      <c r="FP279" s="362">
        <f t="shared" ref="FP279:FP342" si="980">IF(T279=0,0,IF(OR(LEFT(BO279,7)="CBLV-00",LEFT(BO279,7)="CBLV-12"),1,0.5))</f>
        <v>0</v>
      </c>
      <c r="FQ279" s="361">
        <f t="shared" si="886"/>
        <v>0</v>
      </c>
      <c r="FR279" s="362" t="str">
        <f>IF(L279&gt;0,IF(J279="CBAL2",Worksheet!$P$67,IF(J279="CBE2-24",Worksheet!$Q$67,IF(J279="CBAM",Worksheet!$R$67,IF(J279="CBLV",Worksheet!$S$67,IF(J279="CBAB",Worksheet!$U$67,IF(J279="CBAW",Worksheet!$X$67,IF(J279="CBE2-12",Worksheet!$Y$67,IF(J279="CBAL2",Worksheet!$Z$67,"N/A"))))))))," ")</f>
        <v xml:space="preserve"> </v>
      </c>
      <c r="FS279" s="362" t="str">
        <f>IF(L279&gt;0,IF(J279="CBAL2",Worksheet!$P$68,IF(J279="CBE2-24",Worksheet!$Q$68,IF(J279="CBAM",Worksheet!$R$68,IF(J279="CBLV",Worksheet!$S$68,IF(J279="CBAB",Worksheet!$U$68,IF(J279="CBAW",Worksheet!$X$68,IF(J279="CBE2-12",Worksheet!$Y$68,IF(J279="CBAL2",Worksheet!$Z$68,"N/A"))))))))," ")</f>
        <v xml:space="preserve"> </v>
      </c>
      <c r="FT279" s="362" t="str">
        <f>IF(L279&gt;0,IF(J279="CBAL2",Worksheet!$P$69,IF(J279="CBE2-24",Worksheet!$Q$69,IF(J279="CBAM",Worksheet!$R$69,IF(J279="CBLV",Worksheet!$S$69,IF(J279="CBAB",Worksheet!$U$69,IF(J279="CBAW",Worksheet!$X$69,IF(J279="CBE2-12",Worksheet!$Y$69,IF(J279="CBAL2",Worksheet!$Z$69,"N/A"))))))))," ")</f>
        <v xml:space="preserve"> </v>
      </c>
      <c r="FU279" s="361" t="str">
        <f t="shared" ref="FU279:FU342" si="981">IF(FR279="N/A","N/A",IF(BD279&gt;0,MIN(FR279*(DI279/(0.5*BG279))^2/(DH279^2),FS279*(DI279/(0.5*BG279))/DH279,FT279*(DI279/(0.5*BG279))^0.5/(DH279^0.5))," "))</f>
        <v xml:space="preserve"> </v>
      </c>
      <c r="FV279" s="362" t="str">
        <f t="shared" ref="FV279:FV342" si="982">IF(FU279="N/A","N/A",IF(BD279&gt;0,0.5*(3.5/(BD279-BE279))^0.8," "))</f>
        <v xml:space="preserve"> </v>
      </c>
      <c r="FW279" s="362" t="str">
        <f t="shared" ref="FW279:FW342" si="983">IF(FU279="N/A","N/A",IF(BD279&gt;0,($F$6-AS279)*0.01," "))</f>
        <v xml:space="preserve"> </v>
      </c>
      <c r="FX279" s="362" t="str">
        <f t="shared" ref="FX279:FX342" si="984">IF(FU279="N/A","N/A",IF(BD279&gt;0,(AZ279-$H$6)*0.01," "))</f>
        <v xml:space="preserve"> </v>
      </c>
      <c r="FY279" s="355" t="str">
        <f t="shared" ref="FY279:FY342" si="985">IF(FR279="N/A","N/A",IF(BD279&gt;0,MIN(FR279*(DI279/(BD279+BF279-BE279))^2/(DH279^2),FS279*(DI279/(BD279-BE279+BF279))/DH279,FT279*(DI279/(BD279-BE279+BF279))^0.5/(DH279^0.5))," "))</f>
        <v xml:space="preserve"> </v>
      </c>
      <c r="FZ279" s="361" t="str">
        <f t="shared" ref="FZ279:FZ342" si="986">IF(BD279&gt;0,IF(FU279="N/A","N/A",FU279*FV279*(1-FW279))," ")</f>
        <v xml:space="preserve"> </v>
      </c>
      <c r="GA279" s="347" t="str">
        <f t="shared" ref="GA279:GA342" si="987">IF(BD279&gt;0,IF(FU279="N/A","N/A",$F$6-(FZ279/DI279)*($F$6-AS279))," ")</f>
        <v xml:space="preserve"> </v>
      </c>
      <c r="GB279" s="355" t="str">
        <f t="shared" ref="GB279:GB342" si="988">IF(BD279&gt;0,IF(FU279="N/A","N/A",FY279*(1+FW279))," ")</f>
        <v xml:space="preserve"> </v>
      </c>
      <c r="GC279" s="328" t="str">
        <f t="shared" ref="GC279:GC342" si="989">IF(BD279&gt;0,IF(FU279="N/A","N/A",$F$6-(FY279/DI279)*($F$6-AS279))," ")</f>
        <v xml:space="preserve"> </v>
      </c>
      <c r="GD279" s="361" t="str">
        <f t="shared" ref="GD279:GD342" si="990">IF(BD279&gt;0,IF(FU279="N/A","N/A",FU279*FV279*(1-FX279))," ")</f>
        <v xml:space="preserve"> </v>
      </c>
      <c r="GE279" s="347" t="str">
        <f t="shared" ref="GE279:GE342" si="991">IF(BD279&gt;0,IF(FU279="N/A","N/A",$H$6-(GD279/DI279)*($H$6-AZ279))," ")</f>
        <v xml:space="preserve"> </v>
      </c>
      <c r="GF279" s="361" t="str">
        <f t="shared" ref="GF279:GF342" si="992">IF(BD279&gt;0,IF(FU279="N/A","N/A",FY279*(1-FX279))," ")</f>
        <v xml:space="preserve"> </v>
      </c>
      <c r="GG279" s="347" t="str">
        <f t="shared" ref="GG279:GG342" si="993">IF(BD279&gt;0,IF(FU279="N/A","N/A",$H$6-(GF279/DI279)*($H$6-AZ279))," ")</f>
        <v xml:space="preserve"> </v>
      </c>
      <c r="GH279" s="364">
        <f t="shared" si="887"/>
        <v>0</v>
      </c>
      <c r="GI279" s="362">
        <f t="shared" ref="GI279:GI342" si="994">COUNTA(J279:R279)+COUNTA(T279)</f>
        <v>2</v>
      </c>
      <c r="GJ279" s="433" t="e">
        <f>IF(6-COUNTBLANK(GT279:GY279)=4,MATCH(MID(BO279,9,3),CLU!$H$16:$K$16),MATCH(MID(BO279,9,3),CLU!$H$13:$M$13))</f>
        <v>#N/A</v>
      </c>
      <c r="GK279" s="433" t="e">
        <f>HLOOKUP(VALUE(BP279),CLU!$H$9:$M$10,2)</f>
        <v>#VALUE!</v>
      </c>
      <c r="GL279" s="433" t="e">
        <f ca="1">MATCH(BU279,CLU!$H$2:$V$2,1)</f>
        <v>#VALUE!</v>
      </c>
      <c r="GM279" s="433" t="e">
        <f t="shared" ref="GM279:GM342" ca="1" si="995">((GL279-1)*10)+15</f>
        <v>#VALUE!</v>
      </c>
      <c r="GN279" s="433" t="e">
        <f t="shared" ref="GN279:GN342" ca="1" si="996">((M279-2)*15)+GL279</f>
        <v>#VALUE!</v>
      </c>
      <c r="GO279" s="433" t="e">
        <f t="shared" ref="GO279:GO342" ca="1" si="997">IF(GL279=15,15,GL279+1)</f>
        <v>#VALUE!</v>
      </c>
      <c r="GP279" s="433" t="e">
        <f t="shared" ref="GP279:GP342" ca="1" si="998">((GO279-1)*10)+15</f>
        <v>#VALUE!</v>
      </c>
      <c r="GQ279" s="433" t="e">
        <f t="shared" ref="GQ279:GQ342" ca="1" si="999">((M279-2)*15)+GO279</f>
        <v>#VALUE!</v>
      </c>
      <c r="GR279" s="433" t="e">
        <f ca="1">MATCH(T279,INDIRECT(VLOOKUP(CONCATENATE(LEFT(BO279,7),"-",MID(BO279,13,1)),CLU!$P$3:$Q$16,2)),1)</f>
        <v>#N/A</v>
      </c>
      <c r="GS279" s="433" t="e">
        <f ca="1">MATCH(U279,INDIRECT(VLOOKUP(CONCATENATE(LEFT(BO279,7),"-",MID(BO279,13,1)),CLU!$P$3:$Q$16,2)),1)</f>
        <v>#N/A</v>
      </c>
      <c r="GT279" s="347" t="s">
        <v>512</v>
      </c>
      <c r="GU279" s="97" t="s">
        <v>513</v>
      </c>
      <c r="GV279" s="97" t="str">
        <f t="shared" ref="GV279:GV342" si="1000">IF(J279="CBAL2","M20",IF(J279="CBE2-24","M20","M23"))</f>
        <v>M23</v>
      </c>
      <c r="GW279" s="97" t="str">
        <f t="shared" ref="GW279:GW342" si="1001">IF(J279="CBAL2","M23",IF(J279="CBE2-24","M23","M31"))</f>
        <v>M31</v>
      </c>
      <c r="GX279" s="97" t="str">
        <f t="shared" ref="GX279:GX342" si="1002">IF(J279="CBAL2","M27",IF(J279="CBE2-24","M27",""))</f>
        <v/>
      </c>
      <c r="GY279" s="97" t="str">
        <f t="shared" ref="GY279:GY342" si="1003">IF(J279="CBAL2","M31",IF(J279="CBE2-24","M31",""))</f>
        <v/>
      </c>
      <c r="GZ279" s="481"/>
      <c r="HA279" s="240"/>
      <c r="HB279" s="240"/>
      <c r="HC279" s="240"/>
      <c r="HD279" s="240"/>
      <c r="HE279" s="240"/>
      <c r="HF279" s="240"/>
      <c r="HG279" s="240"/>
      <c r="HH279" s="240"/>
      <c r="HI279" s="240"/>
      <c r="HJ279" s="240"/>
      <c r="HK279" s="240"/>
      <c r="HL279" s="240"/>
      <c r="HM279" s="240"/>
      <c r="HN279" s="240"/>
      <c r="HO279" s="240"/>
      <c r="HP279" s="240"/>
      <c r="HQ279" s="240"/>
      <c r="HR279" s="240"/>
      <c r="HS279" s="240"/>
      <c r="HT279" s="240"/>
      <c r="HU279" s="240"/>
      <c r="HV279" s="245"/>
      <c r="HW279" s="245" t="b">
        <v>1</v>
      </c>
      <c r="HX279" s="245" t="str">
        <f t="shared" si="888"/>
        <v/>
      </c>
      <c r="HY279" s="245" t="e">
        <f t="shared" si="889"/>
        <v>#DIV/0!</v>
      </c>
      <c r="HZ279" s="245" t="e">
        <f t="shared" si="890"/>
        <v>#DIV/0!</v>
      </c>
      <c r="IA279" s="245">
        <f t="shared" si="891"/>
        <v>0</v>
      </c>
      <c r="IB279" s="245"/>
      <c r="IC279" t="b">
        <f t="shared" si="892"/>
        <v>1</v>
      </c>
      <c r="ID279" s="245" t="b">
        <f t="shared" si="893"/>
        <v>1</v>
      </c>
      <c r="IE279" s="245" t="b">
        <f t="shared" si="894"/>
        <v>1</v>
      </c>
      <c r="IF279" s="245" t="b">
        <f t="shared" si="895"/>
        <v>0</v>
      </c>
      <c r="IG279" s="245" t="b">
        <f t="shared" si="896"/>
        <v>1</v>
      </c>
      <c r="IH279" s="245" t="b">
        <f t="shared" si="897"/>
        <v>1</v>
      </c>
      <c r="II279" s="245">
        <f t="shared" ref="II279:II342" si="1004">IFERROR(IF(AND(IV279&gt;0,HW279=TRUE,IW279&gt;0,HX279&gt;0,IC279=FALSE,ID279=FALSE,IE279=FALSE,IF279=TRUE,IG279=FALSE,IH279=FALSE),1,0),0)</f>
        <v>0</v>
      </c>
      <c r="IJ279" s="245" t="e">
        <f t="shared" si="898"/>
        <v>#VALUE!</v>
      </c>
      <c r="IK279" s="245" t="e">
        <f t="shared" si="899"/>
        <v>#VALUE!</v>
      </c>
      <c r="IL279" s="245"/>
      <c r="IM279" s="245" t="e">
        <f t="shared" ref="IM279:IM342" si="1005">VLOOKUP(MATCH(LEFT(HX279,7),$IM$7:$IM$17,0),$IL$7:$IO$17,3)</f>
        <v>#N/A</v>
      </c>
      <c r="IN279" s="245" t="e">
        <f t="shared" ref="IN279:IN342" si="1006">VLOOKUP(MATCH(LEFT(HX279,7),$IM$7:$IM$17,0),$IL$7:$IO$17,4)</f>
        <v>#N/A</v>
      </c>
      <c r="IO279" s="245"/>
      <c r="IP279" s="245"/>
      <c r="IQ279" s="245" t="str">
        <f t="shared" si="900"/>
        <v/>
      </c>
      <c r="IR279" s="245" t="str">
        <f>IF(J279="","",VLOOKUP(J279,Worksheet!$R$4:$T$14,2))</f>
        <v/>
      </c>
      <c r="IS279" s="245"/>
      <c r="IT279" s="245">
        <f t="shared" si="901"/>
        <v>0</v>
      </c>
      <c r="IU279" s="245">
        <f t="shared" si="902"/>
        <v>0</v>
      </c>
      <c r="IV279" s="245">
        <f t="shared" si="903"/>
        <v>0</v>
      </c>
      <c r="IW279" s="245">
        <f t="shared" si="904"/>
        <v>0</v>
      </c>
      <c r="IX279" s="245">
        <f t="shared" ref="IX279:IX342" si="1007">IFERROR(MATCH(P279,GT279:GY279,0),0)</f>
        <v>0</v>
      </c>
      <c r="IY279" s="245">
        <f t="shared" si="905"/>
        <v>0</v>
      </c>
      <c r="IZ279" s="245">
        <f t="shared" si="906"/>
        <v>0</v>
      </c>
      <c r="JA279">
        <f t="shared" si="907"/>
        <v>0</v>
      </c>
      <c r="JB279">
        <f t="shared" ref="JB279:JB342" si="1008">IF(ISERROR(IF(MIN(IT279,IU279,IV279,IW279,IX279,IZ279,JA279)=0,0,1))=TRUE,0,MIN(IT279,IU279,IV279,IW279,IX279,IZ279,JA279))</f>
        <v>0</v>
      </c>
      <c r="JC279">
        <f t="shared" si="908"/>
        <v>0</v>
      </c>
      <c r="JD279">
        <f t="shared" si="909"/>
        <v>0</v>
      </c>
      <c r="JE279">
        <f t="shared" si="910"/>
        <v>0</v>
      </c>
      <c r="JF279">
        <f t="shared" si="911"/>
        <v>0</v>
      </c>
      <c r="JG279">
        <f t="shared" si="912"/>
        <v>0</v>
      </c>
      <c r="JH279">
        <f t="shared" si="913"/>
        <v>0</v>
      </c>
      <c r="JI279">
        <f t="shared" si="914"/>
        <v>0</v>
      </c>
      <c r="JJ279" s="447">
        <f t="shared" si="915"/>
        <v>0</v>
      </c>
      <c r="JK279" s="447">
        <f t="shared" si="916"/>
        <v>0</v>
      </c>
      <c r="JL279">
        <f t="shared" si="917"/>
        <v>0</v>
      </c>
      <c r="JM279" s="245" t="str">
        <f>IFERROR(VLOOKUP(MATCH(BN279,#REF!,0),#REF!,7),"")</f>
        <v/>
      </c>
      <c r="JN279" t="e">
        <f>HLOOKUP(LEFT(BO279,7),Discharge_Area,MATCH(JO279,LookUps!$B$130:$B$149,1)+2)</f>
        <v>#N/A</v>
      </c>
      <c r="JO279" t="str">
        <f t="shared" si="918"/>
        <v>- S</v>
      </c>
      <c r="JP279" t="e">
        <f>HLOOKUP(LEFT(BO279,7),Discharge_Area,MATCH(JO279,LookUps!$B$130:$B$149,1)+2)</f>
        <v>#N/A</v>
      </c>
      <c r="JQ279" t="e">
        <f t="shared" si="919"/>
        <v>#N/A</v>
      </c>
      <c r="JR279" t="e">
        <f t="shared" si="920"/>
        <v>#N/A</v>
      </c>
      <c r="JS279" t="e">
        <f t="shared" si="921"/>
        <v>#N/A</v>
      </c>
      <c r="JT279" s="532" t="str">
        <f t="shared" si="922"/>
        <v xml:space="preserve"> </v>
      </c>
      <c r="JU279" s="532" t="str">
        <f t="shared" si="923"/>
        <v xml:space="preserve"> </v>
      </c>
      <c r="JV279" s="533" t="str">
        <f t="shared" si="924"/>
        <v xml:space="preserve"> </v>
      </c>
      <c r="JW279" s="534">
        <f t="shared" si="925"/>
        <v>0</v>
      </c>
      <c r="JX279" s="535" t="str">
        <f t="shared" ref="JX279:JX342" si="1009">IF(JW279&gt;0,JV279/(JW279/JQ279/SQRT(JP279/2))^0.5," ")</f>
        <v xml:space="preserve"> </v>
      </c>
      <c r="JY279" s="535" t="str">
        <f t="shared" ref="JY279:JY342" si="1010">IF(JW279&gt;0,JV279/(JW279/JR279/SQRT(JP279/2))," ")</f>
        <v xml:space="preserve"> </v>
      </c>
      <c r="JZ279" s="535" t="str">
        <f t="shared" ref="JZ279:JZ342" si="1011">IF(JW279&gt;0,JV279/(JW279/JS279/SQRT(JP279/2))^2," ")</f>
        <v xml:space="preserve"> </v>
      </c>
      <c r="KA279" s="536" t="str">
        <f t="shared" si="926"/>
        <v xml:space="preserve"> </v>
      </c>
      <c r="KB279" s="535" t="e">
        <f t="shared" ref="KB279:KB342" si="1012">IF(JW279&gt;0,MIN(JX279:JZ279)*KA279," ")*0.6</f>
        <v>#VALUE!</v>
      </c>
      <c r="KC279" s="535" t="str">
        <f t="shared" si="927"/>
        <v/>
      </c>
      <c r="KD279" s="537" t="str">
        <f t="shared" ref="KD279:KD342" si="1013">IF(JW279&gt;0,(0.72*(KB279/JV279)*(JV279/200)^0.2)*JT279," ")</f>
        <v xml:space="preserve"> </v>
      </c>
      <c r="KE279" s="537" t="str">
        <f t="shared" ref="KE279:KE342" si="1014">IF(JW279&gt;0,(0.72*(KC279/JV279)*(JV279/200)^0.2)*JU279," ")</f>
        <v xml:space="preserve"> </v>
      </c>
      <c r="KF279" s="534">
        <f t="shared" si="928"/>
        <v>0</v>
      </c>
      <c r="KG279" s="535" t="str">
        <f t="shared" si="929"/>
        <v xml:space="preserve"> </v>
      </c>
      <c r="KH279" s="535" t="str">
        <f t="shared" si="930"/>
        <v xml:space="preserve"> </v>
      </c>
      <c r="KI279" s="535" t="str">
        <f t="shared" si="931"/>
        <v xml:space="preserve"> </v>
      </c>
      <c r="KJ279" s="536" t="str">
        <f t="shared" si="932"/>
        <v xml:space="preserve"> </v>
      </c>
      <c r="KK279" s="535" t="str">
        <f t="shared" ref="KK279:KK342" si="1015">IF(KF279&gt;0,MIN(KG279:KI279)*KJ279," ")</f>
        <v xml:space="preserve"> </v>
      </c>
      <c r="KL279" s="535" t="str">
        <f t="shared" ref="KL279:KL342" si="1016">IF(KF279&gt;0,KJ279*MIN(KG279:KI279)/(KB279/10)^0.3," ")</f>
        <v xml:space="preserve"> </v>
      </c>
      <c r="KM279" s="537" t="str">
        <f t="shared" si="933"/>
        <v xml:space="preserve"> </v>
      </c>
      <c r="KN279" s="537" t="str">
        <f t="shared" ref="KN279:KN342" si="1017">IF(KF279&gt;0,KM279*JU279/JT279," ")</f>
        <v xml:space="preserve"> </v>
      </c>
      <c r="KP279">
        <f t="shared" si="934"/>
        <v>0</v>
      </c>
      <c r="LA279" t="e">
        <f t="shared" si="935"/>
        <v>#VALUE!</v>
      </c>
      <c r="LB279" t="e">
        <f t="shared" si="936"/>
        <v>#VALUE!</v>
      </c>
      <c r="LC279" t="e">
        <f t="shared" si="937"/>
        <v>#VALUE!</v>
      </c>
      <c r="LD279" t="e">
        <f t="shared" si="938"/>
        <v>#VALUE!</v>
      </c>
      <c r="LE279" t="e">
        <f t="shared" ref="LE279:LE342" si="1018">SUM(LA279+LB279+LC279-LD279)+11.198</f>
        <v>#VALUE!</v>
      </c>
      <c r="LF279">
        <f t="shared" si="939"/>
        <v>0</v>
      </c>
      <c r="LG279" t="e">
        <f t="shared" ref="LG279:LG342" si="1019">ROUND(IF((LE279-17)&lt;15,15,LE279-17)+LF279,0)</f>
        <v>#VALUE!</v>
      </c>
      <c r="LH279" t="str">
        <f t="shared" si="940"/>
        <v xml:space="preserve"> </v>
      </c>
      <c r="LI279">
        <f t="shared" ref="LI279:LI342" si="1020">IF(OR(LEFT(HX279,9)="CBAL2-0-1",LEFT(HX279,9)="CBLV-12-1",LEFT(HX279,9)="CBE2-24-1",LEFT(HX279,9)="CBE2-12-1")=TRUE,0.525,1)</f>
        <v>1</v>
      </c>
    </row>
    <row r="280" spans="2:321" ht="15" customHeight="1">
      <c r="B280" s="311"/>
      <c r="C280" s="311"/>
      <c r="D280" s="312"/>
      <c r="E280" s="311"/>
      <c r="F280" s="312"/>
      <c r="G280" s="311"/>
      <c r="H280" s="311"/>
      <c r="I280" s="232"/>
      <c r="J280" s="311"/>
      <c r="K280" s="305" t="str">
        <f t="shared" si="941"/>
        <v/>
      </c>
      <c r="L280" s="313"/>
      <c r="M280" s="312"/>
      <c r="N280" s="311"/>
      <c r="O280" s="312"/>
      <c r="P280" s="311"/>
      <c r="Q280" s="305" t="str">
        <f t="shared" si="942"/>
        <v/>
      </c>
      <c r="R280" s="314"/>
      <c r="S280" s="450" t="str">
        <f t="shared" si="825"/>
        <v/>
      </c>
      <c r="T280" s="315"/>
      <c r="U280" s="315"/>
      <c r="W280" s="149" t="str">
        <f t="shared" si="826"/>
        <v xml:space="preserve"> </v>
      </c>
      <c r="X280" s="243" t="str">
        <f t="shared" si="827"/>
        <v xml:space="preserve"> </v>
      </c>
      <c r="Y280" s="150" t="str">
        <f t="shared" si="828"/>
        <v/>
      </c>
      <c r="Z280" s="149" t="str">
        <f t="shared" si="829"/>
        <v xml:space="preserve"> </v>
      </c>
      <c r="AA280" s="98" t="str">
        <f t="shared" si="830"/>
        <v xml:space="preserve"> </v>
      </c>
      <c r="AB280" s="153" t="str">
        <f t="shared" si="831"/>
        <v xml:space="preserve"> </v>
      </c>
      <c r="AC280" s="153" t="str">
        <f t="shared" si="832"/>
        <v xml:space="preserve"> </v>
      </c>
      <c r="AD280" s="148" t="str">
        <f t="shared" si="833"/>
        <v/>
      </c>
      <c r="AE280" s="149" t="str">
        <f t="shared" si="834"/>
        <v/>
      </c>
      <c r="AF280" s="151" t="str">
        <f t="shared" si="835"/>
        <v xml:space="preserve"> </v>
      </c>
      <c r="AG280" s="153" t="str">
        <f t="shared" si="836"/>
        <v xml:space="preserve"> </v>
      </c>
      <c r="AH280" s="98" t="str">
        <f t="shared" si="837"/>
        <v xml:space="preserve"> </v>
      </c>
      <c r="AI280" s="149" t="str">
        <f t="shared" si="838"/>
        <v xml:space="preserve"> </v>
      </c>
      <c r="AK280" s="144" t="str">
        <f t="shared" si="839"/>
        <v xml:space="preserve"> </v>
      </c>
      <c r="AL280" s="144"/>
      <c r="AM280" s="243" t="str">
        <f t="shared" si="840"/>
        <v xml:space="preserve"> </v>
      </c>
      <c r="AN280" s="149" t="str">
        <f t="shared" si="943"/>
        <v xml:space="preserve"> </v>
      </c>
      <c r="AO280" s="144" t="str">
        <f>IF(JB280&gt;0,IF(GI280=10,-R280*1.085*(Calculation!$F$6-Calculation!$F$13)*$S$14," "),"")</f>
        <v/>
      </c>
      <c r="AP280" s="144" t="str">
        <f t="shared" si="841"/>
        <v/>
      </c>
      <c r="AQ280" s="56" t="str">
        <f t="shared" si="842"/>
        <v/>
      </c>
      <c r="AR280" s="144" t="str">
        <f t="shared" si="843"/>
        <v/>
      </c>
      <c r="AS280" s="176" t="str">
        <f t="shared" si="844"/>
        <v/>
      </c>
      <c r="AT280" s="176" t="str">
        <f t="shared" si="944"/>
        <v xml:space="preserve"> </v>
      </c>
      <c r="AU280" s="176" t="str">
        <f t="shared" si="845"/>
        <v/>
      </c>
      <c r="AV280" s="177" t="str">
        <f t="shared" si="846"/>
        <v xml:space="preserve"> </v>
      </c>
      <c r="AW280" s="144" t="str">
        <f t="shared" si="847"/>
        <v xml:space="preserve"> </v>
      </c>
      <c r="AX280" s="144" t="str">
        <f t="shared" si="848"/>
        <v xml:space="preserve"> </v>
      </c>
      <c r="AY280" s="152" t="str">
        <f t="shared" si="849"/>
        <v xml:space="preserve"> </v>
      </c>
      <c r="AZ280" s="246" t="str">
        <f t="shared" si="850"/>
        <v/>
      </c>
      <c r="BA280" s="176" t="str">
        <f t="shared" si="851"/>
        <v xml:space="preserve"> </v>
      </c>
      <c r="BB280" s="176" t="str">
        <f t="shared" si="852"/>
        <v xml:space="preserve"> </v>
      </c>
      <c r="BC280" s="195"/>
      <c r="BD280" s="316"/>
      <c r="BE280" s="317"/>
      <c r="BF280" s="318"/>
      <c r="BG280" s="318"/>
      <c r="BH280" s="144" t="str">
        <f t="shared" ref="BH280:BH343" si="1021">IFERROR(KK280,"")</f>
        <v xml:space="preserve"> </v>
      </c>
      <c r="BI280" s="176" t="str">
        <f t="shared" si="853"/>
        <v/>
      </c>
      <c r="BJ280" s="144" t="str">
        <f t="shared" ref="BJ280:BJ343" si="1022">IFERROR(KB280,"")</f>
        <v/>
      </c>
      <c r="BK280" s="246" t="str">
        <f t="shared" si="854"/>
        <v/>
      </c>
      <c r="BL280" s="144" t="str">
        <f t="shared" ref="BL280:BL343" si="1023">IFERROR(KC280,"")</f>
        <v/>
      </c>
      <c r="BM280" s="246" t="str">
        <f t="shared" si="855"/>
        <v/>
      </c>
      <c r="BN280" s="337" t="str">
        <f t="shared" si="945"/>
        <v/>
      </c>
      <c r="BO280" s="371" t="str">
        <f t="shared" si="946"/>
        <v/>
      </c>
      <c r="BP280" s="328" t="str">
        <f t="shared" ref="BP280:BP343" si="1024">IF(AND(N280&gt;0,O280&gt;0),IF(LEFT(BO280,4)="CBAV",VALUE(CONCATENATE(1,LEFT(O280,1))),VALUE(CONCATENATE(LEFT(N280,1),(LEFT(O280,1)))))," ")</f>
        <v xml:space="preserve"> </v>
      </c>
      <c r="BQ280" s="347" t="str">
        <f t="shared" si="947"/>
        <v xml:space="preserve"> </v>
      </c>
      <c r="BR280" s="353" t="str">
        <f t="shared" si="948"/>
        <v xml:space="preserve"> </v>
      </c>
      <c r="BS280" s="626" t="str">
        <f>IF(L280&gt;0,IF(Calculation!P280="M13",BR280*3.1416*(0.134^2)/(4*144),IF(Calculation!P280="M17",BR280*3.1416*(0.165^2)/(4*144),IF(Calculation!P280="M20",BR280*3.1416*(0.198^2)/(4*144),IF(Calculation!P280="M23",BR280*3.1416*(0.228^2)/(4*144),IF(Calculation!P280="M27",BR280*3.1416*(0.269^2)/(4*144),BR280*3.1416*(0.307^2)/(4*144))))))," ")</f>
        <v xml:space="preserve"> </v>
      </c>
      <c r="BT280" s="353" t="str">
        <f>IF(L280&gt;0,IF(BS280&gt;0,R280/Calculation!BS280,0)," ")</f>
        <v xml:space="preserve"> </v>
      </c>
      <c r="BU280" s="438" t="e">
        <f t="shared" ca="1" si="856"/>
        <v>#VALUE!</v>
      </c>
      <c r="BV280" s="449" t="e">
        <f ca="1">INDEX(INDIRECT(VLOOKUP(LEFT(BO280,7),CLU!$Z$3:$AH$18,2)),GN280,GR280)</f>
        <v>#N/A</v>
      </c>
      <c r="BW280" s="433" t="e">
        <f ca="1">INDEX(INDIRECT(VLOOKUP(LEFT(BO280,7),CLU!$Z$3:$AH$18,3)),GN280,GR280)</f>
        <v>#N/A</v>
      </c>
      <c r="BX280" s="433" t="e">
        <f ca="1">INDEX(INDIRECT(VLOOKUP(LEFT(BO280,7),CLU!$Z$3:$AH$18,4)),GN280,GR280)</f>
        <v>#N/A</v>
      </c>
      <c r="BY280" s="433" t="e">
        <f ca="1">INDEX(INDIRECT(VLOOKUP(LEFT(BO280,7),CLU!$Z$3:$AH$18,9)),((M280-2)*(6-COUNTBLANK(GT280:GY280)))+GJ280)</f>
        <v>#N/A</v>
      </c>
      <c r="BZ280" s="426" t="e">
        <f t="shared" ca="1" si="949"/>
        <v>#N/A</v>
      </c>
      <c r="CA280" s="424" t="e">
        <f t="shared" ca="1" si="950"/>
        <v>#N/A</v>
      </c>
      <c r="CB280" s="429" t="e">
        <f ca="1">INDEX(INDIRECT(VLOOKUP(LEFT(BO280,7),CLU!$Z$3:$AH$18,2)),GN280,GS280)</f>
        <v>#N/A</v>
      </c>
      <c r="CC280" s="342" t="e">
        <f ca="1">INDEX(INDIRECT(VLOOKUP(LEFT(BO280,7),CLU!$Z$3:$AH$18,3)),GN280,GS280)</f>
        <v>#N/A</v>
      </c>
      <c r="CD280" s="342" t="e">
        <f ca="1">INDEX(INDIRECT(VLOOKUP(LEFT(BO280,7),CLU!$Z$3:$AH$18,4)),GN280,GS280)</f>
        <v>#N/A</v>
      </c>
      <c r="CE280" s="426" t="e">
        <f t="shared" ca="1" si="951"/>
        <v>#N/A</v>
      </c>
      <c r="CF280" s="440">
        <f t="shared" si="952"/>
        <v>0</v>
      </c>
      <c r="CG280" s="431" t="e">
        <f ca="1">INDEX(INDIRECT(VLOOKUP(LEFT(BO280,7),CLU!$Z$3:$AH$18,2)),GQ280,GR280)</f>
        <v>#N/A</v>
      </c>
      <c r="CH280" s="431" t="e">
        <f ca="1">INDEX(INDIRECT(VLOOKUP(LEFT(BO280,7),CLU!$Z$3:$AH$18,3)),GQ280,GR280)</f>
        <v>#N/A</v>
      </c>
      <c r="CI280" s="431" t="e">
        <f ca="1">INDEX(INDIRECT(VLOOKUP(LEFT(BO280,7),CLU!$Z$3:$AH$18,4)),GQ280,GR280)</f>
        <v>#N/A</v>
      </c>
      <c r="CJ280" s="448" t="e">
        <f t="shared" ca="1" si="953"/>
        <v>#N/A</v>
      </c>
      <c r="CK280" s="431" t="e">
        <f t="shared" ca="1" si="954"/>
        <v>#N/A</v>
      </c>
      <c r="CL280" s="440" t="e">
        <f t="shared" ca="1" si="955"/>
        <v>#N/A</v>
      </c>
      <c r="CM280" s="431" t="e">
        <f ca="1">INDEX(INDIRECT(VLOOKUP(LEFT(BO280,7),CLU!$Z$3:$AH$18,2)),GQ280,GS280)</f>
        <v>#N/A</v>
      </c>
      <c r="CN280" s="431" t="e">
        <f ca="1">INDEX(INDIRECT(VLOOKUP(LEFT(BO280,7),CLU!$Z$3:$AH$18,3)),GQ280,GS280)</f>
        <v>#N/A</v>
      </c>
      <c r="CO280" s="431" t="e">
        <f ca="1">INDEX(INDIRECT(VLOOKUP(LEFT(BO280,7),CLU!$Z$3:$AH$18,4)),GQ280,GS280)</f>
        <v>#N/A</v>
      </c>
      <c r="CP280" s="431" t="e">
        <f t="shared" ca="1" si="956"/>
        <v>#N/A</v>
      </c>
      <c r="CQ280" s="440">
        <f t="shared" si="957"/>
        <v>0</v>
      </c>
      <c r="CR280" s="51" t="e">
        <f t="shared" ca="1" si="958"/>
        <v>#N/A</v>
      </c>
      <c r="CS280" s="439" t="e">
        <f t="shared" ca="1" si="959"/>
        <v>#VALUE!</v>
      </c>
      <c r="CT280" s="51" t="e">
        <f t="shared" ca="1" si="960"/>
        <v>#VALUE!</v>
      </c>
      <c r="CU280" s="10"/>
      <c r="CV280" s="51" t="e">
        <f t="shared" ca="1" si="857"/>
        <v>#VALUE!</v>
      </c>
      <c r="CW280" s="51">
        <f t="shared" si="961"/>
        <v>0</v>
      </c>
      <c r="CX280" s="439" t="e">
        <f t="shared" ca="1" si="962"/>
        <v>#VALUE!</v>
      </c>
      <c r="CY280" s="51" t="e">
        <f t="shared" ca="1" si="963"/>
        <v>#VALUE!</v>
      </c>
      <c r="CZ280" s="10"/>
      <c r="DA280" s="51" t="e">
        <f t="shared" ca="1" si="964"/>
        <v>#VALUE!</v>
      </c>
      <c r="DB280" s="347" t="e">
        <f ca="1">INDEX(INDIRECT(VLOOKUP(LEFT(BO280,7),CLU!$Z$3:$AI$18,10)),((M280-2)*(6-COUNTBLANK(GT280:GY280)))+GJ280)*LI280</f>
        <v>#N/A</v>
      </c>
      <c r="DC280" s="347" t="str">
        <f>IF(L280&gt;0,((R280/Worksheet!$I$15)/DB280)^2," ")</f>
        <v xml:space="preserve"> </v>
      </c>
      <c r="DD280" s="602" t="str">
        <f t="shared" si="965"/>
        <v xml:space="preserve"> </v>
      </c>
      <c r="DE280" s="347" t="str">
        <f t="shared" si="858"/>
        <v xml:space="preserve"> </v>
      </c>
      <c r="DF280" s="356" t="e">
        <f ca="1">INDEX(INDIRECT(VLOOKUP(LEFT(BO280,7),CLU!$Z$3:$AH$18,8)),((M280-2)*(6-COUNTBLANK(GT280:GY280)))+GJ280)</f>
        <v>#N/A</v>
      </c>
      <c r="DG280" s="347" t="str">
        <f t="shared" si="859"/>
        <v xml:space="preserve"> </v>
      </c>
      <c r="DH280" s="357" t="str">
        <f t="shared" si="860"/>
        <v xml:space="preserve"> </v>
      </c>
      <c r="DI280" s="355" t="str">
        <f t="shared" si="861"/>
        <v xml:space="preserve"> </v>
      </c>
      <c r="DJ280" s="245" t="e">
        <f ca="1">INDEX(INDIRECT(VLOOKUP(LEFT(BO280,7),CLU!$Z$3:$AH$18,5)),GL280,GK280)</f>
        <v>#N/A</v>
      </c>
      <c r="DK280" s="245" t="e">
        <f ca="1">INDEX(INDIRECT(VLOOKUP(LEFT(BO280,7),CLU!$Z$3:$AH$18,6)),GL280,GK280)</f>
        <v>#N/A</v>
      </c>
      <c r="DL280" s="355">
        <f>(Calculation!R280*0.69143*(Calculation!$BQ$8-Calculation!$F$8))*$S$14</f>
        <v>0</v>
      </c>
      <c r="DM280" s="359" t="e">
        <f t="shared" si="966"/>
        <v>#VALUE!</v>
      </c>
      <c r="DN280" s="611">
        <f t="shared" si="967"/>
        <v>0</v>
      </c>
      <c r="DO280" s="359">
        <f t="shared" si="968"/>
        <v>100</v>
      </c>
      <c r="DP280" s="359">
        <f t="shared" si="969"/>
        <v>0</v>
      </c>
      <c r="DQ280" s="360"/>
      <c r="DR280" s="245" t="e">
        <f ca="1">INDEX(INDIRECT(VLOOKUP(LEFT(BO280,7),CLU!$Z$3:$AH$18,7)),M280-1,1)</f>
        <v>#N/A</v>
      </c>
      <c r="DS280" s="245" t="e">
        <f ca="1">INDEX(INDIRECT(VLOOKUP(LEFT(BO280,7),CLU!$Z$3:$AH$18,7)),M280-1,2)</f>
        <v>#N/A</v>
      </c>
      <c r="DT280" s="245" t="e">
        <f ca="1">INDEX(INDIRECT(VLOOKUP(LEFT(BO280,7),CLU!$Z$3:$AH$18,7)),M280-1,3)</f>
        <v>#N/A</v>
      </c>
      <c r="DU280" s="245" t="e">
        <f ca="1">INDEX(INDIRECT(VLOOKUP(LEFT(BO280,7),CLU!$Z$3:$AH$18,7)),M280-1,4)</f>
        <v>#N/A</v>
      </c>
      <c r="DV280" s="361" t="e">
        <f ca="1">INDEX(INDIRECT(VLOOKUP(LEFT(BO280,7),CLU!$Z$3:$AH$18,7)),M280-1,4+LEFT(DZ280,1)*0.5)</f>
        <v>#N/A</v>
      </c>
      <c r="DW280" s="245" t="e">
        <f ca="1">INDEX(INDIRECT(VLOOKUP(LEFT(BO280,7),CLU!$Z$3:$AH$18,7)),M280-1,8)</f>
        <v>#N/A</v>
      </c>
      <c r="DX280" s="361" t="str">
        <f t="shared" si="862"/>
        <v xml:space="preserve"> </v>
      </c>
      <c r="DY280" s="361" t="str">
        <f t="shared" si="863"/>
        <v xml:space="preserve"> </v>
      </c>
      <c r="DZ280" s="361" t="str">
        <f t="shared" si="864"/>
        <v xml:space="preserve"> </v>
      </c>
      <c r="EA280" s="362" t="str">
        <f t="shared" si="865"/>
        <v xml:space="preserve"> </v>
      </c>
      <c r="EB280" s="624" t="str">
        <f t="shared" si="970"/>
        <v xml:space="preserve"> </v>
      </c>
      <c r="EC280" s="361" t="e">
        <f ca="1">INDEX(INDIRECT(VLOOKUP(LEFT(BO280,7),CLU!$Z$3:$AH$18,7)),M280-1,4+LEFT(DZ280,1)*0.5)</f>
        <v>#N/A</v>
      </c>
      <c r="ED280" s="362" t="str">
        <f t="shared" si="866"/>
        <v xml:space="preserve"> </v>
      </c>
      <c r="EE280" s="361" t="str">
        <f t="shared" si="867"/>
        <v xml:space="preserve"> </v>
      </c>
      <c r="EF280" s="362" t="str">
        <f>IF(L280&gt;0,IF(BR280&gt;0,IF(EE280="2P",IF(Calculation!DZ280="2P",IF(Calculation!DS280=13.75,IF(Calculation!DR280=13,Worksheet!$BD$43,IF(Calculation!DR280=37,Worksheet!$BD$44,Worksheet!$BD$45)),IF(Calculation!DS280=10,IF(Calculation!DR280=18,Worksheet!$BD$29,IF(Calculation!DR280=30,Worksheet!$BD$30,IF(Calculation!DR280=42,Worksheet!$BD$31,IF(Calculation!DR280=54,Worksheet!$BD$32,IF(Calculation!DR280=66,Worksheet!$BD$33,IF(Calculation!DR280=78,Worksheet!$BD$34,IF(Calculation!DR280=90,Worksheet!$BD$35,IF(Calculation!DR280=102,Worksheet!$BD$36,Worksheet!$BD$37)))))))),IF(Calculation!DS280=12.5,IF(Calculation!DR280=18,Worksheet!$BD$38,IF(Calculation!DR280=Worksheet!$BD$39,IF(Calculation!DR280=42,Worksheet!$BD$40,IF(Calculation!DR280=54,Worksheet!$BD$41,Worksheet!$BD$42)))),IF(Calculation!DR280=18,Worksheet!$BD$11,IF(Calculation!DR280=30,Worksheet!$BD$12,IF(Calculation!DR280=42,Worksheet!$BD$13,IF(Calculation!DR280=54,Worksheet!$BD$14,IF(Calculation!DR280=66,Worksheet!$BD$15,IF(Calculation!DR280=78,Worksheet!$BD$16,IF(Calculation!DR280=90,Worksheet!$BD$17,IF(Calculation!DR280=102,Worksheet!$BD$18,Worksheet!$BD$19))))))))))),IF(Calculation!DS280=13.75,IF(Calculation!DR280=13,Worksheet!$BD$78,IF(Calculation!DR280=37,Worksheet!$BD$79,Worksheet!$BD$80)),IF(Calculation!DS280=10,IF(Calculation!DR280=18,Worksheet!$BD$64,IF(Calculation!DR280=30,Worksheet!$BD$65,IF(Calculation!DR280=42,Worksheet!$BD$66,IF(Calculation!DR280=54,Worksheet!$BD$68,IF(Calculation!DR280=66,Worksheet!$BD$68,IF(Calculation!DR280=78,Worksheet!$BD$69,IF(Calculation!DR280=90,Worksheet!$BD$70,IF(Calculation!DR280=102,Worksheet!$BD$71,Worksheet!$BD$72)))))))),IF(Calculation!DS280=12.5,IF(Calculation!DR280=18,Worksheet!$BD$73,IF(Calculation!DR280=Worksheet!$BD$74,IF(Calculation!DR280=42,Worksheet!$BD$75,IF(Calculation!DR280=54,Worksheet!$BD$76,Worksheet!$BD$77)))),IF(Calculation!DR280=18,Worksheet!$BD$55,IF(Calculation!DR280=30,Worksheet!$BD$56,IF(Calculation!DR280=42,Worksheet!$BD$57,IF(Calculation!DR280=54,Worksheet!$BD$58,IF(Calculation!DR280=66,Worksheet!$BD$59,IF(Calculation!DR280=78,Worksheet!$BD$60,IF(Calculation!DR280=90,Worksheet!$BD$61,IF(Calculation!DR280=102,Worksheet!$BD$62,Worksheet!$BD$63)))))))))))),5),0)," ")</f>
        <v xml:space="preserve"> </v>
      </c>
      <c r="EG280" s="361" t="str">
        <f t="shared" si="868"/>
        <v xml:space="preserve"> </v>
      </c>
      <c r="EH280" s="361" t="e">
        <f ca="1">INDEX(INDIRECT(VLOOKUP(LEFT(BO280,7),CLU!$Z$3:$AH$18,7)),M280-1,3+LEFT(DZ280,1))</f>
        <v>#N/A</v>
      </c>
      <c r="EI280" s="362" t="str">
        <f t="shared" si="869"/>
        <v xml:space="preserve"> </v>
      </c>
      <c r="EJ280" s="363" t="str">
        <f t="shared" si="870"/>
        <v xml:space="preserve"> </v>
      </c>
      <c r="EK280" s="363" t="str">
        <f t="shared" si="871"/>
        <v xml:space="preserve"> </v>
      </c>
      <c r="EL280" s="363" t="str">
        <f t="shared" si="872"/>
        <v xml:space="preserve"> </v>
      </c>
      <c r="EM280" s="362" t="str">
        <f>IF(L280&gt;0,IF(BR280&gt;0,(Calculation!T280/ED280)^2,0)," ")</f>
        <v xml:space="preserve"> </v>
      </c>
      <c r="EN280" s="362" t="str">
        <f>IF(L280&gt;0,IF(O280="2 Pipe (Cooling)","N/A",IF(BR280&gt;0,(Calculation!U280/EI280)^2,0))," ")</f>
        <v xml:space="preserve"> </v>
      </c>
      <c r="EO280" s="361" t="str">
        <f t="shared" si="873"/>
        <v/>
      </c>
      <c r="EP280" s="361" t="str">
        <f t="shared" si="874"/>
        <v/>
      </c>
      <c r="EQ280" s="361" t="str">
        <f t="shared" si="875"/>
        <v/>
      </c>
      <c r="ER280" s="361" t="str">
        <f t="shared" si="876"/>
        <v/>
      </c>
      <c r="ES280" s="361" t="str">
        <f t="shared" si="877"/>
        <v/>
      </c>
      <c r="ET280" s="361" t="str">
        <f t="shared" si="878"/>
        <v/>
      </c>
      <c r="EU280" s="361" t="str">
        <f t="shared" si="879"/>
        <v/>
      </c>
      <c r="EV280" s="361" t="str">
        <f t="shared" si="880"/>
        <v/>
      </c>
      <c r="EW280" s="361" t="str">
        <f t="shared" si="881"/>
        <v/>
      </c>
      <c r="EX280" s="361" t="str">
        <f t="shared" si="971"/>
        <v>1 slot, 1 way</v>
      </c>
      <c r="EY280" s="361" t="str">
        <f t="shared" si="972"/>
        <v xml:space="preserve"> </v>
      </c>
      <c r="EZ280" s="361" t="str">
        <f t="shared" si="973"/>
        <v xml:space="preserve"> </v>
      </c>
      <c r="FA280" s="361" t="str">
        <f t="shared" si="974"/>
        <v xml:space="preserve"> </v>
      </c>
      <c r="FB280" s="361" t="str">
        <f t="shared" si="975"/>
        <v xml:space="preserve"> </v>
      </c>
      <c r="FC280" s="361"/>
      <c r="FD280" s="361" t="str">
        <f>IF(J280&gt;0,IF(Calculation!R280&lt;=70,4,IF(Calculation!R280&lt;=110,5,IF(Calculation!R280&lt;=160,6,IF(Calculation!R280&lt;=300,8,"10 EO")))),"")</f>
        <v/>
      </c>
      <c r="FE280" s="361" t="str">
        <f t="shared" si="976"/>
        <v/>
      </c>
      <c r="FF280" s="361" t="str">
        <f t="shared" si="977"/>
        <v/>
      </c>
      <c r="FG280" s="361" t="e">
        <f t="shared" si="882"/>
        <v>#N/A</v>
      </c>
      <c r="FH280" s="361">
        <f t="shared" si="883"/>
        <v>0</v>
      </c>
      <c r="FI280" s="361" t="e">
        <f t="shared" si="884"/>
        <v>#DIV/0!</v>
      </c>
      <c r="FJ280" s="361"/>
      <c r="FK280" s="356" t="e">
        <f t="shared" si="885"/>
        <v>#VALUE!</v>
      </c>
      <c r="FL280" s="361"/>
      <c r="FM280" s="361"/>
      <c r="FN280" s="362" t="str">
        <f t="shared" si="978"/>
        <v xml:space="preserve"> </v>
      </c>
      <c r="FO280" s="362" t="str">
        <f t="shared" si="979"/>
        <v xml:space="preserve"> </v>
      </c>
      <c r="FP280" s="362">
        <f t="shared" si="980"/>
        <v>0</v>
      </c>
      <c r="FQ280" s="361">
        <f t="shared" si="886"/>
        <v>0</v>
      </c>
      <c r="FR280" s="362" t="str">
        <f>IF(L280&gt;0,IF(J280="CBAL2",Worksheet!$P$67,IF(J280="CBE2-24",Worksheet!$Q$67,IF(J280="CBAM",Worksheet!$R$67,IF(J280="CBLV",Worksheet!$S$67,IF(J280="CBAB",Worksheet!$U$67,IF(J280="CBAW",Worksheet!$X$67,IF(J280="CBE2-12",Worksheet!$Y$67,IF(J280="CBAL2",Worksheet!$Z$67,"N/A"))))))))," ")</f>
        <v xml:space="preserve"> </v>
      </c>
      <c r="FS280" s="362" t="str">
        <f>IF(L280&gt;0,IF(J280="CBAL2",Worksheet!$P$68,IF(J280="CBE2-24",Worksheet!$Q$68,IF(J280="CBAM",Worksheet!$R$68,IF(J280="CBLV",Worksheet!$S$68,IF(J280="CBAB",Worksheet!$U$68,IF(J280="CBAW",Worksheet!$X$68,IF(J280="CBE2-12",Worksheet!$Y$68,IF(J280="CBAL2",Worksheet!$Z$68,"N/A"))))))))," ")</f>
        <v xml:space="preserve"> </v>
      </c>
      <c r="FT280" s="362" t="str">
        <f>IF(L280&gt;0,IF(J280="CBAL2",Worksheet!$P$69,IF(J280="CBE2-24",Worksheet!$Q$69,IF(J280="CBAM",Worksheet!$R$69,IF(J280="CBLV",Worksheet!$S$69,IF(J280="CBAB",Worksheet!$U$69,IF(J280="CBAW",Worksheet!$X$69,IF(J280="CBE2-12",Worksheet!$Y$69,IF(J280="CBAL2",Worksheet!$Z$69,"N/A"))))))))," ")</f>
        <v xml:space="preserve"> </v>
      </c>
      <c r="FU280" s="361" t="str">
        <f t="shared" si="981"/>
        <v xml:space="preserve"> </v>
      </c>
      <c r="FV280" s="362" t="str">
        <f t="shared" si="982"/>
        <v xml:space="preserve"> </v>
      </c>
      <c r="FW280" s="362" t="str">
        <f t="shared" si="983"/>
        <v xml:space="preserve"> </v>
      </c>
      <c r="FX280" s="362" t="str">
        <f t="shared" si="984"/>
        <v xml:space="preserve"> </v>
      </c>
      <c r="FY280" s="355" t="str">
        <f t="shared" si="985"/>
        <v xml:space="preserve"> </v>
      </c>
      <c r="FZ280" s="361" t="str">
        <f t="shared" si="986"/>
        <v xml:space="preserve"> </v>
      </c>
      <c r="GA280" s="347" t="str">
        <f t="shared" si="987"/>
        <v xml:space="preserve"> </v>
      </c>
      <c r="GB280" s="355" t="str">
        <f t="shared" si="988"/>
        <v xml:space="preserve"> </v>
      </c>
      <c r="GC280" s="328" t="str">
        <f t="shared" si="989"/>
        <v xml:space="preserve"> </v>
      </c>
      <c r="GD280" s="361" t="str">
        <f t="shared" si="990"/>
        <v xml:space="preserve"> </v>
      </c>
      <c r="GE280" s="347" t="str">
        <f t="shared" si="991"/>
        <v xml:space="preserve"> </v>
      </c>
      <c r="GF280" s="361" t="str">
        <f t="shared" si="992"/>
        <v xml:space="preserve"> </v>
      </c>
      <c r="GG280" s="347" t="str">
        <f t="shared" si="993"/>
        <v xml:space="preserve"> </v>
      </c>
      <c r="GH280" s="364">
        <f t="shared" si="887"/>
        <v>0</v>
      </c>
      <c r="GI280" s="362">
        <f t="shared" si="994"/>
        <v>2</v>
      </c>
      <c r="GJ280" s="433" t="e">
        <f>IF(6-COUNTBLANK(GT280:GY280)=4,MATCH(MID(BO280,9,3),CLU!$H$16:$K$16),MATCH(MID(BO280,9,3),CLU!$H$13:$M$13))</f>
        <v>#N/A</v>
      </c>
      <c r="GK280" s="433" t="e">
        <f>HLOOKUP(VALUE(BP280),CLU!$H$9:$M$10,2)</f>
        <v>#VALUE!</v>
      </c>
      <c r="GL280" s="433" t="e">
        <f ca="1">MATCH(BU280,CLU!$H$2:$V$2,1)</f>
        <v>#VALUE!</v>
      </c>
      <c r="GM280" s="433" t="e">
        <f t="shared" ca="1" si="995"/>
        <v>#VALUE!</v>
      </c>
      <c r="GN280" s="433" t="e">
        <f t="shared" ca="1" si="996"/>
        <v>#VALUE!</v>
      </c>
      <c r="GO280" s="433" t="e">
        <f t="shared" ca="1" si="997"/>
        <v>#VALUE!</v>
      </c>
      <c r="GP280" s="433" t="e">
        <f t="shared" ca="1" si="998"/>
        <v>#VALUE!</v>
      </c>
      <c r="GQ280" s="433" t="e">
        <f t="shared" ca="1" si="999"/>
        <v>#VALUE!</v>
      </c>
      <c r="GR280" s="433" t="e">
        <f ca="1">MATCH(T280,INDIRECT(VLOOKUP(CONCATENATE(LEFT(BO280,7),"-",MID(BO280,13,1)),CLU!$P$3:$Q$16,2)),1)</f>
        <v>#N/A</v>
      </c>
      <c r="GS280" s="433" t="e">
        <f ca="1">MATCH(U280,INDIRECT(VLOOKUP(CONCATENATE(LEFT(BO280,7),"-",MID(BO280,13,1)),CLU!$P$3:$Q$16,2)),1)</f>
        <v>#N/A</v>
      </c>
      <c r="GT280" s="347" t="s">
        <v>512</v>
      </c>
      <c r="GU280" s="97" t="s">
        <v>513</v>
      </c>
      <c r="GV280" s="97" t="str">
        <f t="shared" si="1000"/>
        <v>M23</v>
      </c>
      <c r="GW280" s="97" t="str">
        <f t="shared" si="1001"/>
        <v>M31</v>
      </c>
      <c r="GX280" s="97" t="str">
        <f t="shared" si="1002"/>
        <v/>
      </c>
      <c r="GY280" s="97" t="str">
        <f t="shared" si="1003"/>
        <v/>
      </c>
      <c r="GZ280" s="481"/>
      <c r="HA280" s="240"/>
      <c r="HB280" s="240"/>
      <c r="HC280" s="240"/>
      <c r="HD280" s="240"/>
      <c r="HE280" s="240"/>
      <c r="HF280" s="240"/>
      <c r="HG280" s="240"/>
      <c r="HH280" s="240"/>
      <c r="HI280" s="240"/>
      <c r="HJ280" s="240"/>
      <c r="HK280" s="240"/>
      <c r="HL280" s="240"/>
      <c r="HM280" s="240"/>
      <c r="HN280" s="240"/>
      <c r="HO280" s="240"/>
      <c r="HP280" s="240"/>
      <c r="HQ280" s="240"/>
      <c r="HR280" s="240"/>
      <c r="HS280" s="240"/>
      <c r="HT280" s="240"/>
      <c r="HU280" s="240"/>
      <c r="HV280" s="245"/>
      <c r="HW280" s="245" t="b">
        <v>1</v>
      </c>
      <c r="HX280" s="245" t="str">
        <f t="shared" si="888"/>
        <v/>
      </c>
      <c r="HY280" s="245" t="e">
        <f t="shared" si="889"/>
        <v>#DIV/0!</v>
      </c>
      <c r="HZ280" s="245" t="e">
        <f t="shared" si="890"/>
        <v>#DIV/0!</v>
      </c>
      <c r="IA280" s="245">
        <f t="shared" si="891"/>
        <v>0</v>
      </c>
      <c r="IB280" s="245"/>
      <c r="IC280" t="b">
        <f t="shared" si="892"/>
        <v>1</v>
      </c>
      <c r="ID280" s="245" t="b">
        <f t="shared" si="893"/>
        <v>1</v>
      </c>
      <c r="IE280" s="245" t="b">
        <f t="shared" si="894"/>
        <v>1</v>
      </c>
      <c r="IF280" s="245" t="b">
        <f t="shared" si="895"/>
        <v>0</v>
      </c>
      <c r="IG280" s="245" t="b">
        <f t="shared" si="896"/>
        <v>1</v>
      </c>
      <c r="IH280" s="245" t="b">
        <f t="shared" si="897"/>
        <v>1</v>
      </c>
      <c r="II280" s="245">
        <f t="shared" si="1004"/>
        <v>0</v>
      </c>
      <c r="IJ280" s="245" t="e">
        <f t="shared" si="898"/>
        <v>#VALUE!</v>
      </c>
      <c r="IK280" s="245" t="e">
        <f t="shared" si="899"/>
        <v>#VALUE!</v>
      </c>
      <c r="IL280" s="245"/>
      <c r="IM280" s="245" t="e">
        <f t="shared" si="1005"/>
        <v>#N/A</v>
      </c>
      <c r="IN280" s="245" t="e">
        <f t="shared" si="1006"/>
        <v>#N/A</v>
      </c>
      <c r="IO280" s="245"/>
      <c r="IP280" s="245"/>
      <c r="IQ280" s="245" t="str">
        <f t="shared" si="900"/>
        <v/>
      </c>
      <c r="IR280" s="245" t="str">
        <f>IF(J280="","",VLOOKUP(J280,Worksheet!$R$4:$T$14,2))</f>
        <v/>
      </c>
      <c r="IS280" s="245"/>
      <c r="IT280" s="245">
        <f t="shared" si="901"/>
        <v>0</v>
      </c>
      <c r="IU280" s="245">
        <f t="shared" si="902"/>
        <v>0</v>
      </c>
      <c r="IV280" s="245">
        <f t="shared" si="903"/>
        <v>0</v>
      </c>
      <c r="IW280" s="245">
        <f t="shared" si="904"/>
        <v>0</v>
      </c>
      <c r="IX280" s="245">
        <f t="shared" si="1007"/>
        <v>0</v>
      </c>
      <c r="IY280" s="245">
        <f t="shared" si="905"/>
        <v>0</v>
      </c>
      <c r="IZ280" s="245">
        <f t="shared" si="906"/>
        <v>0</v>
      </c>
      <c r="JA280">
        <f t="shared" si="907"/>
        <v>0</v>
      </c>
      <c r="JB280">
        <f t="shared" si="1008"/>
        <v>0</v>
      </c>
      <c r="JC280">
        <f t="shared" si="908"/>
        <v>0</v>
      </c>
      <c r="JD280">
        <f t="shared" si="909"/>
        <v>0</v>
      </c>
      <c r="JE280">
        <f t="shared" si="910"/>
        <v>0</v>
      </c>
      <c r="JF280">
        <f t="shared" si="911"/>
        <v>0</v>
      </c>
      <c r="JG280">
        <f t="shared" si="912"/>
        <v>0</v>
      </c>
      <c r="JH280">
        <f t="shared" si="913"/>
        <v>0</v>
      </c>
      <c r="JI280">
        <f t="shared" si="914"/>
        <v>0</v>
      </c>
      <c r="JJ280" s="447">
        <f t="shared" si="915"/>
        <v>0</v>
      </c>
      <c r="JK280" s="447">
        <f t="shared" si="916"/>
        <v>0</v>
      </c>
      <c r="JL280">
        <f t="shared" si="917"/>
        <v>0</v>
      </c>
      <c r="JM280" s="245" t="str">
        <f>IFERROR(VLOOKUP(MATCH(BN280,#REF!,0),#REF!,7),"")</f>
        <v/>
      </c>
      <c r="JN280" t="e">
        <f>HLOOKUP(LEFT(BO280,7),Discharge_Area,MATCH(JO280,LookUps!$B$130:$B$149,1)+2)</f>
        <v>#N/A</v>
      </c>
      <c r="JO280" t="str">
        <f t="shared" si="918"/>
        <v>- S</v>
      </c>
      <c r="JP280" t="e">
        <f>HLOOKUP(LEFT(BO280,7),Discharge_Area,MATCH(JO280,LookUps!$B$130:$B$149,1)+2)</f>
        <v>#N/A</v>
      </c>
      <c r="JQ280" t="e">
        <f t="shared" si="919"/>
        <v>#N/A</v>
      </c>
      <c r="JR280" t="e">
        <f t="shared" si="920"/>
        <v>#N/A</v>
      </c>
      <c r="JS280" t="e">
        <f t="shared" si="921"/>
        <v>#N/A</v>
      </c>
      <c r="JT280" s="532" t="str">
        <f t="shared" si="922"/>
        <v xml:space="preserve"> </v>
      </c>
      <c r="JU280" s="532" t="str">
        <f t="shared" si="923"/>
        <v xml:space="preserve"> </v>
      </c>
      <c r="JV280" s="533" t="str">
        <f t="shared" si="924"/>
        <v xml:space="preserve"> </v>
      </c>
      <c r="JW280" s="534">
        <f t="shared" si="925"/>
        <v>0</v>
      </c>
      <c r="JX280" s="535" t="str">
        <f t="shared" si="1009"/>
        <v xml:space="preserve"> </v>
      </c>
      <c r="JY280" s="535" t="str">
        <f t="shared" si="1010"/>
        <v xml:space="preserve"> </v>
      </c>
      <c r="JZ280" s="535" t="str">
        <f t="shared" si="1011"/>
        <v xml:space="preserve"> </v>
      </c>
      <c r="KA280" s="536" t="str">
        <f t="shared" si="926"/>
        <v xml:space="preserve"> </v>
      </c>
      <c r="KB280" s="535" t="e">
        <f t="shared" si="1012"/>
        <v>#VALUE!</v>
      </c>
      <c r="KC280" s="535" t="str">
        <f t="shared" si="927"/>
        <v/>
      </c>
      <c r="KD280" s="537" t="str">
        <f t="shared" si="1013"/>
        <v xml:space="preserve"> </v>
      </c>
      <c r="KE280" s="537" t="str">
        <f t="shared" si="1014"/>
        <v xml:space="preserve"> </v>
      </c>
      <c r="KF280" s="534">
        <f t="shared" si="928"/>
        <v>0</v>
      </c>
      <c r="KG280" s="535" t="str">
        <f t="shared" si="929"/>
        <v xml:space="preserve"> </v>
      </c>
      <c r="KH280" s="535" t="str">
        <f t="shared" si="930"/>
        <v xml:space="preserve"> </v>
      </c>
      <c r="KI280" s="535" t="str">
        <f t="shared" si="931"/>
        <v xml:space="preserve"> </v>
      </c>
      <c r="KJ280" s="536" t="str">
        <f t="shared" si="932"/>
        <v xml:space="preserve"> </v>
      </c>
      <c r="KK280" s="535" t="str">
        <f t="shared" si="1015"/>
        <v xml:space="preserve"> </v>
      </c>
      <c r="KL280" s="535" t="str">
        <f t="shared" si="1016"/>
        <v xml:space="preserve"> </v>
      </c>
      <c r="KM280" s="537" t="str">
        <f t="shared" si="933"/>
        <v xml:space="preserve"> </v>
      </c>
      <c r="KN280" s="537" t="str">
        <f t="shared" si="1017"/>
        <v xml:space="preserve"> </v>
      </c>
      <c r="KP280">
        <f t="shared" si="934"/>
        <v>0</v>
      </c>
      <c r="LA280" t="e">
        <f t="shared" si="935"/>
        <v>#VALUE!</v>
      </c>
      <c r="LB280" t="e">
        <f t="shared" si="936"/>
        <v>#VALUE!</v>
      </c>
      <c r="LC280" t="e">
        <f t="shared" si="937"/>
        <v>#VALUE!</v>
      </c>
      <c r="LD280" t="e">
        <f t="shared" si="938"/>
        <v>#VALUE!</v>
      </c>
      <c r="LE280" t="e">
        <f t="shared" si="1018"/>
        <v>#VALUE!</v>
      </c>
      <c r="LF280">
        <f t="shared" si="939"/>
        <v>0</v>
      </c>
      <c r="LG280" t="e">
        <f t="shared" si="1019"/>
        <v>#VALUE!</v>
      </c>
      <c r="LH280" t="str">
        <f t="shared" si="940"/>
        <v xml:space="preserve"> </v>
      </c>
      <c r="LI280">
        <f t="shared" si="1020"/>
        <v>1</v>
      </c>
    </row>
    <row r="281" spans="2:321" ht="15" customHeight="1">
      <c r="B281" s="311"/>
      <c r="C281" s="311"/>
      <c r="D281" s="312"/>
      <c r="E281" s="311"/>
      <c r="F281" s="312"/>
      <c r="G281" s="311"/>
      <c r="H281" s="311"/>
      <c r="I281" s="232"/>
      <c r="J281" s="311"/>
      <c r="K281" s="305" t="str">
        <f t="shared" si="941"/>
        <v/>
      </c>
      <c r="L281" s="313"/>
      <c r="M281" s="312"/>
      <c r="N281" s="311"/>
      <c r="O281" s="312"/>
      <c r="P281" s="311"/>
      <c r="Q281" s="305" t="str">
        <f t="shared" si="942"/>
        <v/>
      </c>
      <c r="R281" s="314"/>
      <c r="S281" s="450" t="str">
        <f t="shared" si="825"/>
        <v/>
      </c>
      <c r="T281" s="315"/>
      <c r="U281" s="315"/>
      <c r="W281" s="149" t="str">
        <f t="shared" si="826"/>
        <v xml:space="preserve"> </v>
      </c>
      <c r="X281" s="243" t="str">
        <f t="shared" si="827"/>
        <v xml:space="preserve"> </v>
      </c>
      <c r="Y281" s="150" t="str">
        <f t="shared" si="828"/>
        <v/>
      </c>
      <c r="Z281" s="149" t="str">
        <f t="shared" si="829"/>
        <v xml:space="preserve"> </v>
      </c>
      <c r="AA281" s="98" t="str">
        <f t="shared" si="830"/>
        <v xml:space="preserve"> </v>
      </c>
      <c r="AB281" s="153" t="str">
        <f t="shared" si="831"/>
        <v xml:space="preserve"> </v>
      </c>
      <c r="AC281" s="153" t="str">
        <f t="shared" si="832"/>
        <v xml:space="preserve"> </v>
      </c>
      <c r="AD281" s="148" t="str">
        <f t="shared" si="833"/>
        <v/>
      </c>
      <c r="AE281" s="149" t="str">
        <f t="shared" si="834"/>
        <v/>
      </c>
      <c r="AF281" s="151" t="str">
        <f t="shared" si="835"/>
        <v xml:space="preserve"> </v>
      </c>
      <c r="AG281" s="153" t="str">
        <f t="shared" si="836"/>
        <v xml:space="preserve"> </v>
      </c>
      <c r="AH281" s="98" t="str">
        <f t="shared" si="837"/>
        <v xml:space="preserve"> </v>
      </c>
      <c r="AI281" s="149" t="str">
        <f t="shared" si="838"/>
        <v xml:space="preserve"> </v>
      </c>
      <c r="AK281" s="144" t="str">
        <f t="shared" si="839"/>
        <v xml:space="preserve"> </v>
      </c>
      <c r="AL281" s="144"/>
      <c r="AM281" s="243" t="str">
        <f t="shared" si="840"/>
        <v xml:space="preserve"> </v>
      </c>
      <c r="AN281" s="149" t="str">
        <f t="shared" si="943"/>
        <v xml:space="preserve"> </v>
      </c>
      <c r="AO281" s="144" t="str">
        <f>IF(JB281&gt;0,IF(GI281=10,-R281*1.085*(Calculation!$F$6-Calculation!$F$13)*$S$14," "),"")</f>
        <v/>
      </c>
      <c r="AP281" s="144" t="str">
        <f t="shared" si="841"/>
        <v/>
      </c>
      <c r="AQ281" s="56" t="str">
        <f t="shared" si="842"/>
        <v/>
      </c>
      <c r="AR281" s="144" t="str">
        <f t="shared" si="843"/>
        <v/>
      </c>
      <c r="AS281" s="176" t="str">
        <f t="shared" si="844"/>
        <v/>
      </c>
      <c r="AT281" s="176" t="str">
        <f t="shared" si="944"/>
        <v xml:space="preserve"> </v>
      </c>
      <c r="AU281" s="176" t="str">
        <f t="shared" si="845"/>
        <v/>
      </c>
      <c r="AV281" s="177" t="str">
        <f t="shared" si="846"/>
        <v xml:space="preserve"> </v>
      </c>
      <c r="AW281" s="144" t="str">
        <f t="shared" si="847"/>
        <v xml:space="preserve"> </v>
      </c>
      <c r="AX281" s="144" t="str">
        <f t="shared" si="848"/>
        <v xml:space="preserve"> </v>
      </c>
      <c r="AY281" s="152" t="str">
        <f t="shared" si="849"/>
        <v xml:space="preserve"> </v>
      </c>
      <c r="AZ281" s="246" t="str">
        <f t="shared" si="850"/>
        <v/>
      </c>
      <c r="BA281" s="176" t="str">
        <f t="shared" si="851"/>
        <v xml:space="preserve"> </v>
      </c>
      <c r="BB281" s="176" t="str">
        <f t="shared" si="852"/>
        <v xml:space="preserve"> </v>
      </c>
      <c r="BC281" s="195"/>
      <c r="BD281" s="316"/>
      <c r="BE281" s="317"/>
      <c r="BF281" s="318"/>
      <c r="BG281" s="318"/>
      <c r="BH281" s="144" t="str">
        <f t="shared" si="1021"/>
        <v xml:space="preserve"> </v>
      </c>
      <c r="BI281" s="176" t="str">
        <f t="shared" si="853"/>
        <v/>
      </c>
      <c r="BJ281" s="144" t="str">
        <f t="shared" si="1022"/>
        <v/>
      </c>
      <c r="BK281" s="246" t="str">
        <f t="shared" si="854"/>
        <v/>
      </c>
      <c r="BL281" s="144" t="str">
        <f t="shared" si="1023"/>
        <v/>
      </c>
      <c r="BM281" s="246" t="str">
        <f t="shared" si="855"/>
        <v/>
      </c>
      <c r="BN281" s="337" t="str">
        <f t="shared" si="945"/>
        <v/>
      </c>
      <c r="BO281" s="371" t="str">
        <f t="shared" si="946"/>
        <v/>
      </c>
      <c r="BP281" s="328" t="str">
        <f t="shared" si="1024"/>
        <v xml:space="preserve"> </v>
      </c>
      <c r="BQ281" s="347" t="str">
        <f t="shared" si="947"/>
        <v xml:space="preserve"> </v>
      </c>
      <c r="BR281" s="353" t="str">
        <f t="shared" si="948"/>
        <v xml:space="preserve"> </v>
      </c>
      <c r="BS281" s="626" t="str">
        <f>IF(L281&gt;0,IF(Calculation!P281="M13",BR281*3.1416*(0.134^2)/(4*144),IF(Calculation!P281="M17",BR281*3.1416*(0.165^2)/(4*144),IF(Calculation!P281="M20",BR281*3.1416*(0.198^2)/(4*144),IF(Calculation!P281="M23",BR281*3.1416*(0.228^2)/(4*144),IF(Calculation!P281="M27",BR281*3.1416*(0.269^2)/(4*144),BR281*3.1416*(0.307^2)/(4*144))))))," ")</f>
        <v xml:space="preserve"> </v>
      </c>
      <c r="BT281" s="353" t="str">
        <f>IF(L281&gt;0,IF(BS281&gt;0,R281/Calculation!BS281,0)," ")</f>
        <v xml:space="preserve"> </v>
      </c>
      <c r="BU281" s="438" t="e">
        <f t="shared" ca="1" si="856"/>
        <v>#VALUE!</v>
      </c>
      <c r="BV281" s="449" t="e">
        <f ca="1">INDEX(INDIRECT(VLOOKUP(LEFT(BO281,7),CLU!$Z$3:$AH$18,2)),GN281,GR281)</f>
        <v>#N/A</v>
      </c>
      <c r="BW281" s="433" t="e">
        <f ca="1">INDEX(INDIRECT(VLOOKUP(LEFT(BO281,7),CLU!$Z$3:$AH$18,3)),GN281,GR281)</f>
        <v>#N/A</v>
      </c>
      <c r="BX281" s="433" t="e">
        <f ca="1">INDEX(INDIRECT(VLOOKUP(LEFT(BO281,7),CLU!$Z$3:$AH$18,4)),GN281,GR281)</f>
        <v>#N/A</v>
      </c>
      <c r="BY281" s="433" t="e">
        <f ca="1">INDEX(INDIRECT(VLOOKUP(LEFT(BO281,7),CLU!$Z$3:$AH$18,9)),((M281-2)*(6-COUNTBLANK(GT281:GY281)))+GJ281)</f>
        <v>#N/A</v>
      </c>
      <c r="BZ281" s="426" t="e">
        <f t="shared" ca="1" si="949"/>
        <v>#N/A</v>
      </c>
      <c r="CA281" s="424" t="e">
        <f t="shared" ca="1" si="950"/>
        <v>#N/A</v>
      </c>
      <c r="CB281" s="429" t="e">
        <f ca="1">INDEX(INDIRECT(VLOOKUP(LEFT(BO281,7),CLU!$Z$3:$AH$18,2)),GN281,GS281)</f>
        <v>#N/A</v>
      </c>
      <c r="CC281" s="342" t="e">
        <f ca="1">INDEX(INDIRECT(VLOOKUP(LEFT(BO281,7),CLU!$Z$3:$AH$18,3)),GN281,GS281)</f>
        <v>#N/A</v>
      </c>
      <c r="CD281" s="342" t="e">
        <f ca="1">INDEX(INDIRECT(VLOOKUP(LEFT(BO281,7),CLU!$Z$3:$AH$18,4)),GN281,GS281)</f>
        <v>#N/A</v>
      </c>
      <c r="CE281" s="426" t="e">
        <f t="shared" ca="1" si="951"/>
        <v>#N/A</v>
      </c>
      <c r="CF281" s="440">
        <f t="shared" si="952"/>
        <v>0</v>
      </c>
      <c r="CG281" s="431" t="e">
        <f ca="1">INDEX(INDIRECT(VLOOKUP(LEFT(BO281,7),CLU!$Z$3:$AH$18,2)),GQ281,GR281)</f>
        <v>#N/A</v>
      </c>
      <c r="CH281" s="431" t="e">
        <f ca="1">INDEX(INDIRECT(VLOOKUP(LEFT(BO281,7),CLU!$Z$3:$AH$18,3)),GQ281,GR281)</f>
        <v>#N/A</v>
      </c>
      <c r="CI281" s="431" t="e">
        <f ca="1">INDEX(INDIRECT(VLOOKUP(LEFT(BO281,7),CLU!$Z$3:$AH$18,4)),GQ281,GR281)</f>
        <v>#N/A</v>
      </c>
      <c r="CJ281" s="448" t="e">
        <f t="shared" ca="1" si="953"/>
        <v>#N/A</v>
      </c>
      <c r="CK281" s="431" t="e">
        <f t="shared" ca="1" si="954"/>
        <v>#N/A</v>
      </c>
      <c r="CL281" s="440" t="e">
        <f t="shared" ca="1" si="955"/>
        <v>#N/A</v>
      </c>
      <c r="CM281" s="431" t="e">
        <f ca="1">INDEX(INDIRECT(VLOOKUP(LEFT(BO281,7),CLU!$Z$3:$AH$18,2)),GQ281,GS281)</f>
        <v>#N/A</v>
      </c>
      <c r="CN281" s="431" t="e">
        <f ca="1">INDEX(INDIRECT(VLOOKUP(LEFT(BO281,7),CLU!$Z$3:$AH$18,3)),GQ281,GS281)</f>
        <v>#N/A</v>
      </c>
      <c r="CO281" s="431" t="e">
        <f ca="1">INDEX(INDIRECT(VLOOKUP(LEFT(BO281,7),CLU!$Z$3:$AH$18,4)),GQ281,GS281)</f>
        <v>#N/A</v>
      </c>
      <c r="CP281" s="431" t="e">
        <f t="shared" ca="1" si="956"/>
        <v>#N/A</v>
      </c>
      <c r="CQ281" s="440">
        <f t="shared" si="957"/>
        <v>0</v>
      </c>
      <c r="CR281" s="51" t="e">
        <f t="shared" ca="1" si="958"/>
        <v>#N/A</v>
      </c>
      <c r="CS281" s="439" t="e">
        <f t="shared" ca="1" si="959"/>
        <v>#VALUE!</v>
      </c>
      <c r="CT281" s="51" t="e">
        <f t="shared" ca="1" si="960"/>
        <v>#VALUE!</v>
      </c>
      <c r="CU281" s="10"/>
      <c r="CV281" s="51" t="e">
        <f t="shared" ca="1" si="857"/>
        <v>#VALUE!</v>
      </c>
      <c r="CW281" s="51">
        <f t="shared" si="961"/>
        <v>0</v>
      </c>
      <c r="CX281" s="439" t="e">
        <f t="shared" ca="1" si="962"/>
        <v>#VALUE!</v>
      </c>
      <c r="CY281" s="51" t="e">
        <f t="shared" ca="1" si="963"/>
        <v>#VALUE!</v>
      </c>
      <c r="CZ281" s="10"/>
      <c r="DA281" s="51" t="e">
        <f t="shared" ca="1" si="964"/>
        <v>#VALUE!</v>
      </c>
      <c r="DB281" s="347" t="e">
        <f ca="1">INDEX(INDIRECT(VLOOKUP(LEFT(BO281,7),CLU!$Z$3:$AI$18,10)),((M281-2)*(6-COUNTBLANK(GT281:GY281)))+GJ281)*LI281</f>
        <v>#N/A</v>
      </c>
      <c r="DC281" s="347" t="str">
        <f>IF(L281&gt;0,((R281/Worksheet!$I$15)/DB281)^2," ")</f>
        <v xml:space="preserve"> </v>
      </c>
      <c r="DD281" s="602" t="str">
        <f t="shared" si="965"/>
        <v xml:space="preserve"> </v>
      </c>
      <c r="DE281" s="347" t="str">
        <f t="shared" si="858"/>
        <v xml:space="preserve"> </v>
      </c>
      <c r="DF281" s="356" t="e">
        <f ca="1">INDEX(INDIRECT(VLOOKUP(LEFT(BO281,7),CLU!$Z$3:$AH$18,8)),((M281-2)*(6-COUNTBLANK(GT281:GY281)))+GJ281)</f>
        <v>#N/A</v>
      </c>
      <c r="DG281" s="347" t="str">
        <f t="shared" si="859"/>
        <v xml:space="preserve"> </v>
      </c>
      <c r="DH281" s="357" t="str">
        <f t="shared" si="860"/>
        <v xml:space="preserve"> </v>
      </c>
      <c r="DI281" s="355" t="str">
        <f t="shared" si="861"/>
        <v xml:space="preserve"> </v>
      </c>
      <c r="DJ281" s="245" t="e">
        <f ca="1">INDEX(INDIRECT(VLOOKUP(LEFT(BO281,7),CLU!$Z$3:$AH$18,5)),GL281,GK281)</f>
        <v>#N/A</v>
      </c>
      <c r="DK281" s="245" t="e">
        <f ca="1">INDEX(INDIRECT(VLOOKUP(LEFT(BO281,7),CLU!$Z$3:$AH$18,6)),GL281,GK281)</f>
        <v>#N/A</v>
      </c>
      <c r="DL281" s="355">
        <f>(Calculation!R281*0.69143*(Calculation!$BQ$8-Calculation!$F$8))*$S$14</f>
        <v>0</v>
      </c>
      <c r="DM281" s="359" t="e">
        <f t="shared" si="966"/>
        <v>#VALUE!</v>
      </c>
      <c r="DN281" s="611">
        <f t="shared" si="967"/>
        <v>0</v>
      </c>
      <c r="DO281" s="359">
        <f t="shared" si="968"/>
        <v>100</v>
      </c>
      <c r="DP281" s="359">
        <f t="shared" si="969"/>
        <v>0</v>
      </c>
      <c r="DQ281" s="360"/>
      <c r="DR281" s="245" t="e">
        <f ca="1">INDEX(INDIRECT(VLOOKUP(LEFT(BO281,7),CLU!$Z$3:$AH$18,7)),M281-1,1)</f>
        <v>#N/A</v>
      </c>
      <c r="DS281" s="245" t="e">
        <f ca="1">INDEX(INDIRECT(VLOOKUP(LEFT(BO281,7),CLU!$Z$3:$AH$18,7)),M281-1,2)</f>
        <v>#N/A</v>
      </c>
      <c r="DT281" s="245" t="e">
        <f ca="1">INDEX(INDIRECT(VLOOKUP(LEFT(BO281,7),CLU!$Z$3:$AH$18,7)),M281-1,3)</f>
        <v>#N/A</v>
      </c>
      <c r="DU281" s="245" t="e">
        <f ca="1">INDEX(INDIRECT(VLOOKUP(LEFT(BO281,7),CLU!$Z$3:$AH$18,7)),M281-1,4)</f>
        <v>#N/A</v>
      </c>
      <c r="DV281" s="361" t="e">
        <f ca="1">INDEX(INDIRECT(VLOOKUP(LEFT(BO281,7),CLU!$Z$3:$AH$18,7)),M281-1,4+LEFT(DZ281,1)*0.5)</f>
        <v>#N/A</v>
      </c>
      <c r="DW281" s="245" t="e">
        <f ca="1">INDEX(INDIRECT(VLOOKUP(LEFT(BO281,7),CLU!$Z$3:$AH$18,7)),M281-1,8)</f>
        <v>#N/A</v>
      </c>
      <c r="DX281" s="361" t="str">
        <f t="shared" si="862"/>
        <v xml:space="preserve"> </v>
      </c>
      <c r="DY281" s="361" t="str">
        <f t="shared" si="863"/>
        <v xml:space="preserve"> </v>
      </c>
      <c r="DZ281" s="361" t="str">
        <f t="shared" si="864"/>
        <v xml:space="preserve"> </v>
      </c>
      <c r="EA281" s="362" t="str">
        <f t="shared" si="865"/>
        <v xml:space="preserve"> </v>
      </c>
      <c r="EB281" s="624" t="str">
        <f t="shared" si="970"/>
        <v xml:space="preserve"> </v>
      </c>
      <c r="EC281" s="361" t="e">
        <f ca="1">INDEX(INDIRECT(VLOOKUP(LEFT(BO281,7),CLU!$Z$3:$AH$18,7)),M281-1,4+LEFT(DZ281,1)*0.5)</f>
        <v>#N/A</v>
      </c>
      <c r="ED281" s="362" t="str">
        <f t="shared" si="866"/>
        <v xml:space="preserve"> </v>
      </c>
      <c r="EE281" s="361" t="str">
        <f t="shared" si="867"/>
        <v xml:space="preserve"> </v>
      </c>
      <c r="EF281" s="362" t="str">
        <f>IF(L281&gt;0,IF(BR281&gt;0,IF(EE281="2P",IF(Calculation!DZ281="2P",IF(Calculation!DS281=13.75,IF(Calculation!DR281=13,Worksheet!$BD$43,IF(Calculation!DR281=37,Worksheet!$BD$44,Worksheet!$BD$45)),IF(Calculation!DS281=10,IF(Calculation!DR281=18,Worksheet!$BD$29,IF(Calculation!DR281=30,Worksheet!$BD$30,IF(Calculation!DR281=42,Worksheet!$BD$31,IF(Calculation!DR281=54,Worksheet!$BD$32,IF(Calculation!DR281=66,Worksheet!$BD$33,IF(Calculation!DR281=78,Worksheet!$BD$34,IF(Calculation!DR281=90,Worksheet!$BD$35,IF(Calculation!DR281=102,Worksheet!$BD$36,Worksheet!$BD$37)))))))),IF(Calculation!DS281=12.5,IF(Calculation!DR281=18,Worksheet!$BD$38,IF(Calculation!DR281=Worksheet!$BD$39,IF(Calculation!DR281=42,Worksheet!$BD$40,IF(Calculation!DR281=54,Worksheet!$BD$41,Worksheet!$BD$42)))),IF(Calculation!DR281=18,Worksheet!$BD$11,IF(Calculation!DR281=30,Worksheet!$BD$12,IF(Calculation!DR281=42,Worksheet!$BD$13,IF(Calculation!DR281=54,Worksheet!$BD$14,IF(Calculation!DR281=66,Worksheet!$BD$15,IF(Calculation!DR281=78,Worksheet!$BD$16,IF(Calculation!DR281=90,Worksheet!$BD$17,IF(Calculation!DR281=102,Worksheet!$BD$18,Worksheet!$BD$19))))))))))),IF(Calculation!DS281=13.75,IF(Calculation!DR281=13,Worksheet!$BD$78,IF(Calculation!DR281=37,Worksheet!$BD$79,Worksheet!$BD$80)),IF(Calculation!DS281=10,IF(Calculation!DR281=18,Worksheet!$BD$64,IF(Calculation!DR281=30,Worksheet!$BD$65,IF(Calculation!DR281=42,Worksheet!$BD$66,IF(Calculation!DR281=54,Worksheet!$BD$68,IF(Calculation!DR281=66,Worksheet!$BD$68,IF(Calculation!DR281=78,Worksheet!$BD$69,IF(Calculation!DR281=90,Worksheet!$BD$70,IF(Calculation!DR281=102,Worksheet!$BD$71,Worksheet!$BD$72)))))))),IF(Calculation!DS281=12.5,IF(Calculation!DR281=18,Worksheet!$BD$73,IF(Calculation!DR281=Worksheet!$BD$74,IF(Calculation!DR281=42,Worksheet!$BD$75,IF(Calculation!DR281=54,Worksheet!$BD$76,Worksheet!$BD$77)))),IF(Calculation!DR281=18,Worksheet!$BD$55,IF(Calculation!DR281=30,Worksheet!$BD$56,IF(Calculation!DR281=42,Worksheet!$BD$57,IF(Calculation!DR281=54,Worksheet!$BD$58,IF(Calculation!DR281=66,Worksheet!$BD$59,IF(Calculation!DR281=78,Worksheet!$BD$60,IF(Calculation!DR281=90,Worksheet!$BD$61,IF(Calculation!DR281=102,Worksheet!$BD$62,Worksheet!$BD$63)))))))))))),5),0)," ")</f>
        <v xml:space="preserve"> </v>
      </c>
      <c r="EG281" s="361" t="str">
        <f t="shared" si="868"/>
        <v xml:space="preserve"> </v>
      </c>
      <c r="EH281" s="361" t="e">
        <f ca="1">INDEX(INDIRECT(VLOOKUP(LEFT(BO281,7),CLU!$Z$3:$AH$18,7)),M281-1,3+LEFT(DZ281,1))</f>
        <v>#N/A</v>
      </c>
      <c r="EI281" s="362" t="str">
        <f t="shared" si="869"/>
        <v xml:space="preserve"> </v>
      </c>
      <c r="EJ281" s="363" t="str">
        <f t="shared" si="870"/>
        <v xml:space="preserve"> </v>
      </c>
      <c r="EK281" s="363" t="str">
        <f t="shared" si="871"/>
        <v xml:space="preserve"> </v>
      </c>
      <c r="EL281" s="363" t="str">
        <f t="shared" si="872"/>
        <v xml:space="preserve"> </v>
      </c>
      <c r="EM281" s="362" t="str">
        <f>IF(L281&gt;0,IF(BR281&gt;0,(Calculation!T281/ED281)^2,0)," ")</f>
        <v xml:space="preserve"> </v>
      </c>
      <c r="EN281" s="362" t="str">
        <f>IF(L281&gt;0,IF(O281="2 Pipe (Cooling)","N/A",IF(BR281&gt;0,(Calculation!U281/EI281)^2,0))," ")</f>
        <v xml:space="preserve"> </v>
      </c>
      <c r="EO281" s="361" t="str">
        <f t="shared" si="873"/>
        <v/>
      </c>
      <c r="EP281" s="361" t="str">
        <f t="shared" si="874"/>
        <v/>
      </c>
      <c r="EQ281" s="361" t="str">
        <f t="shared" si="875"/>
        <v/>
      </c>
      <c r="ER281" s="361" t="str">
        <f t="shared" si="876"/>
        <v/>
      </c>
      <c r="ES281" s="361" t="str">
        <f t="shared" si="877"/>
        <v/>
      </c>
      <c r="ET281" s="361" t="str">
        <f t="shared" si="878"/>
        <v/>
      </c>
      <c r="EU281" s="361" t="str">
        <f t="shared" si="879"/>
        <v/>
      </c>
      <c r="EV281" s="361" t="str">
        <f t="shared" si="880"/>
        <v/>
      </c>
      <c r="EW281" s="361" t="str">
        <f t="shared" si="881"/>
        <v/>
      </c>
      <c r="EX281" s="361" t="str">
        <f t="shared" si="971"/>
        <v>1 slot, 1 way</v>
      </c>
      <c r="EY281" s="361" t="str">
        <f t="shared" si="972"/>
        <v xml:space="preserve"> </v>
      </c>
      <c r="EZ281" s="361" t="str">
        <f t="shared" si="973"/>
        <v xml:space="preserve"> </v>
      </c>
      <c r="FA281" s="361" t="str">
        <f t="shared" si="974"/>
        <v xml:space="preserve"> </v>
      </c>
      <c r="FB281" s="361" t="str">
        <f t="shared" si="975"/>
        <v xml:space="preserve"> </v>
      </c>
      <c r="FC281" s="361"/>
      <c r="FD281" s="361" t="str">
        <f>IF(J281&gt;0,IF(Calculation!R281&lt;=70,4,IF(Calculation!R281&lt;=110,5,IF(Calculation!R281&lt;=160,6,IF(Calculation!R281&lt;=300,8,"10 EO")))),"")</f>
        <v/>
      </c>
      <c r="FE281" s="361" t="str">
        <f t="shared" si="976"/>
        <v/>
      </c>
      <c r="FF281" s="361" t="str">
        <f t="shared" si="977"/>
        <v/>
      </c>
      <c r="FG281" s="361" t="e">
        <f t="shared" si="882"/>
        <v>#N/A</v>
      </c>
      <c r="FH281" s="361">
        <f t="shared" si="883"/>
        <v>0</v>
      </c>
      <c r="FI281" s="361" t="e">
        <f t="shared" si="884"/>
        <v>#DIV/0!</v>
      </c>
      <c r="FJ281" s="361"/>
      <c r="FK281" s="356" t="e">
        <f t="shared" si="885"/>
        <v>#VALUE!</v>
      </c>
      <c r="FL281" s="361"/>
      <c r="FM281" s="361"/>
      <c r="FN281" s="362" t="str">
        <f t="shared" si="978"/>
        <v xml:space="preserve"> </v>
      </c>
      <c r="FO281" s="362" t="str">
        <f t="shared" si="979"/>
        <v xml:space="preserve"> </v>
      </c>
      <c r="FP281" s="362">
        <f t="shared" si="980"/>
        <v>0</v>
      </c>
      <c r="FQ281" s="361">
        <f t="shared" si="886"/>
        <v>0</v>
      </c>
      <c r="FR281" s="362" t="str">
        <f>IF(L281&gt;0,IF(J281="CBAL2",Worksheet!$P$67,IF(J281="CBE2-24",Worksheet!$Q$67,IF(J281="CBAM",Worksheet!$R$67,IF(J281="CBLV",Worksheet!$S$67,IF(J281="CBAB",Worksheet!$U$67,IF(J281="CBAW",Worksheet!$X$67,IF(J281="CBE2-12",Worksheet!$Y$67,IF(J281="CBAL2",Worksheet!$Z$67,"N/A"))))))))," ")</f>
        <v xml:space="preserve"> </v>
      </c>
      <c r="FS281" s="362" t="str">
        <f>IF(L281&gt;0,IF(J281="CBAL2",Worksheet!$P$68,IF(J281="CBE2-24",Worksheet!$Q$68,IF(J281="CBAM",Worksheet!$R$68,IF(J281="CBLV",Worksheet!$S$68,IF(J281="CBAB",Worksheet!$U$68,IF(J281="CBAW",Worksheet!$X$68,IF(J281="CBE2-12",Worksheet!$Y$68,IF(J281="CBAL2",Worksheet!$Z$68,"N/A"))))))))," ")</f>
        <v xml:space="preserve"> </v>
      </c>
      <c r="FT281" s="362" t="str">
        <f>IF(L281&gt;0,IF(J281="CBAL2",Worksheet!$P$69,IF(J281="CBE2-24",Worksheet!$Q$69,IF(J281="CBAM",Worksheet!$R$69,IF(J281="CBLV",Worksheet!$S$69,IF(J281="CBAB",Worksheet!$U$69,IF(J281="CBAW",Worksheet!$X$69,IF(J281="CBE2-12",Worksheet!$Y$69,IF(J281="CBAL2",Worksheet!$Z$69,"N/A"))))))))," ")</f>
        <v xml:space="preserve"> </v>
      </c>
      <c r="FU281" s="361" t="str">
        <f t="shared" si="981"/>
        <v xml:space="preserve"> </v>
      </c>
      <c r="FV281" s="362" t="str">
        <f t="shared" si="982"/>
        <v xml:space="preserve"> </v>
      </c>
      <c r="FW281" s="362" t="str">
        <f t="shared" si="983"/>
        <v xml:space="preserve"> </v>
      </c>
      <c r="FX281" s="362" t="str">
        <f t="shared" si="984"/>
        <v xml:space="preserve"> </v>
      </c>
      <c r="FY281" s="355" t="str">
        <f t="shared" si="985"/>
        <v xml:space="preserve"> </v>
      </c>
      <c r="FZ281" s="361" t="str">
        <f t="shared" si="986"/>
        <v xml:space="preserve"> </v>
      </c>
      <c r="GA281" s="347" t="str">
        <f t="shared" si="987"/>
        <v xml:space="preserve"> </v>
      </c>
      <c r="GB281" s="355" t="str">
        <f t="shared" si="988"/>
        <v xml:space="preserve"> </v>
      </c>
      <c r="GC281" s="328" t="str">
        <f t="shared" si="989"/>
        <v xml:space="preserve"> </v>
      </c>
      <c r="GD281" s="361" t="str">
        <f t="shared" si="990"/>
        <v xml:space="preserve"> </v>
      </c>
      <c r="GE281" s="347" t="str">
        <f t="shared" si="991"/>
        <v xml:space="preserve"> </v>
      </c>
      <c r="GF281" s="361" t="str">
        <f t="shared" si="992"/>
        <v xml:space="preserve"> </v>
      </c>
      <c r="GG281" s="347" t="str">
        <f t="shared" si="993"/>
        <v xml:space="preserve"> </v>
      </c>
      <c r="GH281" s="364">
        <f t="shared" si="887"/>
        <v>0</v>
      </c>
      <c r="GI281" s="362">
        <f t="shared" si="994"/>
        <v>2</v>
      </c>
      <c r="GJ281" s="433" t="e">
        <f>IF(6-COUNTBLANK(GT281:GY281)=4,MATCH(MID(BO281,9,3),CLU!$H$16:$K$16),MATCH(MID(BO281,9,3),CLU!$H$13:$M$13))</f>
        <v>#N/A</v>
      </c>
      <c r="GK281" s="433" t="e">
        <f>HLOOKUP(VALUE(BP281),CLU!$H$9:$M$10,2)</f>
        <v>#VALUE!</v>
      </c>
      <c r="GL281" s="433" t="e">
        <f ca="1">MATCH(BU281,CLU!$H$2:$V$2,1)</f>
        <v>#VALUE!</v>
      </c>
      <c r="GM281" s="433" t="e">
        <f t="shared" ca="1" si="995"/>
        <v>#VALUE!</v>
      </c>
      <c r="GN281" s="433" t="e">
        <f t="shared" ca="1" si="996"/>
        <v>#VALUE!</v>
      </c>
      <c r="GO281" s="433" t="e">
        <f t="shared" ca="1" si="997"/>
        <v>#VALUE!</v>
      </c>
      <c r="GP281" s="433" t="e">
        <f t="shared" ca="1" si="998"/>
        <v>#VALUE!</v>
      </c>
      <c r="GQ281" s="433" t="e">
        <f t="shared" ca="1" si="999"/>
        <v>#VALUE!</v>
      </c>
      <c r="GR281" s="433" t="e">
        <f ca="1">MATCH(T281,INDIRECT(VLOOKUP(CONCATENATE(LEFT(BO281,7),"-",MID(BO281,13,1)),CLU!$P$3:$Q$16,2)),1)</f>
        <v>#N/A</v>
      </c>
      <c r="GS281" s="433" t="e">
        <f ca="1">MATCH(U281,INDIRECT(VLOOKUP(CONCATENATE(LEFT(BO281,7),"-",MID(BO281,13,1)),CLU!$P$3:$Q$16,2)),1)</f>
        <v>#N/A</v>
      </c>
      <c r="GT281" s="347" t="s">
        <v>512</v>
      </c>
      <c r="GU281" s="97" t="s">
        <v>513</v>
      </c>
      <c r="GV281" s="97" t="str">
        <f t="shared" si="1000"/>
        <v>M23</v>
      </c>
      <c r="GW281" s="97" t="str">
        <f t="shared" si="1001"/>
        <v>M31</v>
      </c>
      <c r="GX281" s="97" t="str">
        <f t="shared" si="1002"/>
        <v/>
      </c>
      <c r="GY281" s="97" t="str">
        <f t="shared" si="1003"/>
        <v/>
      </c>
      <c r="GZ281" s="481"/>
      <c r="HA281" s="240"/>
      <c r="HB281" s="240"/>
      <c r="HC281" s="240"/>
      <c r="HD281" s="240"/>
      <c r="HE281" s="240"/>
      <c r="HF281" s="240"/>
      <c r="HG281" s="240"/>
      <c r="HH281" s="240"/>
      <c r="HI281" s="240"/>
      <c r="HJ281" s="240"/>
      <c r="HK281" s="240"/>
      <c r="HL281" s="240"/>
      <c r="HM281" s="240"/>
      <c r="HN281" s="240"/>
      <c r="HO281" s="240"/>
      <c r="HP281" s="240"/>
      <c r="HQ281" s="240"/>
      <c r="HR281" s="240"/>
      <c r="HS281" s="240"/>
      <c r="HT281" s="240"/>
      <c r="HU281" s="240"/>
      <c r="HV281" s="245"/>
      <c r="HW281" s="245" t="b">
        <v>1</v>
      </c>
      <c r="HX281" s="245" t="str">
        <f t="shared" si="888"/>
        <v/>
      </c>
      <c r="HY281" s="245" t="e">
        <f t="shared" si="889"/>
        <v>#DIV/0!</v>
      </c>
      <c r="HZ281" s="245" t="e">
        <f t="shared" si="890"/>
        <v>#DIV/0!</v>
      </c>
      <c r="IA281" s="245">
        <f t="shared" si="891"/>
        <v>0</v>
      </c>
      <c r="IB281" s="245"/>
      <c r="IC281" t="b">
        <f t="shared" si="892"/>
        <v>1</v>
      </c>
      <c r="ID281" s="245" t="b">
        <f t="shared" si="893"/>
        <v>1</v>
      </c>
      <c r="IE281" s="245" t="b">
        <f t="shared" si="894"/>
        <v>1</v>
      </c>
      <c r="IF281" s="245" t="b">
        <f t="shared" si="895"/>
        <v>0</v>
      </c>
      <c r="IG281" s="245" t="b">
        <f t="shared" si="896"/>
        <v>1</v>
      </c>
      <c r="IH281" s="245" t="b">
        <f t="shared" si="897"/>
        <v>1</v>
      </c>
      <c r="II281" s="245">
        <f t="shared" si="1004"/>
        <v>0</v>
      </c>
      <c r="IJ281" s="245" t="e">
        <f t="shared" si="898"/>
        <v>#VALUE!</v>
      </c>
      <c r="IK281" s="245" t="e">
        <f t="shared" si="899"/>
        <v>#VALUE!</v>
      </c>
      <c r="IL281" s="245"/>
      <c r="IM281" s="245" t="e">
        <f t="shared" si="1005"/>
        <v>#N/A</v>
      </c>
      <c r="IN281" s="245" t="e">
        <f t="shared" si="1006"/>
        <v>#N/A</v>
      </c>
      <c r="IO281" s="245"/>
      <c r="IP281" s="245"/>
      <c r="IQ281" s="245" t="str">
        <f t="shared" si="900"/>
        <v/>
      </c>
      <c r="IR281" s="245" t="str">
        <f>IF(J281="","",VLOOKUP(J281,Worksheet!$R$4:$T$14,2))</f>
        <v/>
      </c>
      <c r="IS281" s="245"/>
      <c r="IT281" s="245">
        <f t="shared" si="901"/>
        <v>0</v>
      </c>
      <c r="IU281" s="245">
        <f t="shared" si="902"/>
        <v>0</v>
      </c>
      <c r="IV281" s="245">
        <f t="shared" si="903"/>
        <v>0</v>
      </c>
      <c r="IW281" s="245">
        <f t="shared" si="904"/>
        <v>0</v>
      </c>
      <c r="IX281" s="245">
        <f t="shared" si="1007"/>
        <v>0</v>
      </c>
      <c r="IY281" s="245">
        <f t="shared" si="905"/>
        <v>0</v>
      </c>
      <c r="IZ281" s="245">
        <f t="shared" si="906"/>
        <v>0</v>
      </c>
      <c r="JA281">
        <f t="shared" si="907"/>
        <v>0</v>
      </c>
      <c r="JB281">
        <f t="shared" si="1008"/>
        <v>0</v>
      </c>
      <c r="JC281">
        <f t="shared" si="908"/>
        <v>0</v>
      </c>
      <c r="JD281">
        <f t="shared" si="909"/>
        <v>0</v>
      </c>
      <c r="JE281">
        <f t="shared" si="910"/>
        <v>0</v>
      </c>
      <c r="JF281">
        <f t="shared" si="911"/>
        <v>0</v>
      </c>
      <c r="JG281">
        <f t="shared" si="912"/>
        <v>0</v>
      </c>
      <c r="JH281">
        <f t="shared" si="913"/>
        <v>0</v>
      </c>
      <c r="JI281">
        <f t="shared" si="914"/>
        <v>0</v>
      </c>
      <c r="JJ281" s="447">
        <f t="shared" si="915"/>
        <v>0</v>
      </c>
      <c r="JK281" s="447">
        <f t="shared" si="916"/>
        <v>0</v>
      </c>
      <c r="JL281">
        <f t="shared" si="917"/>
        <v>0</v>
      </c>
      <c r="JM281" s="245" t="str">
        <f>IFERROR(VLOOKUP(MATCH(BN281,#REF!,0),#REF!,7),"")</f>
        <v/>
      </c>
      <c r="JN281" t="e">
        <f>HLOOKUP(LEFT(BO281,7),Discharge_Area,MATCH(JO281,LookUps!$B$130:$B$149,1)+2)</f>
        <v>#N/A</v>
      </c>
      <c r="JO281" t="str">
        <f t="shared" si="918"/>
        <v>- S</v>
      </c>
      <c r="JP281" t="e">
        <f>HLOOKUP(LEFT(BO281,7),Discharge_Area,MATCH(JO281,LookUps!$B$130:$B$149,1)+2)</f>
        <v>#N/A</v>
      </c>
      <c r="JQ281" t="e">
        <f t="shared" si="919"/>
        <v>#N/A</v>
      </c>
      <c r="JR281" t="e">
        <f t="shared" si="920"/>
        <v>#N/A</v>
      </c>
      <c r="JS281" t="e">
        <f t="shared" si="921"/>
        <v>#N/A</v>
      </c>
      <c r="JT281" s="532" t="str">
        <f t="shared" si="922"/>
        <v xml:space="preserve"> </v>
      </c>
      <c r="JU281" s="532" t="str">
        <f t="shared" si="923"/>
        <v xml:space="preserve"> </v>
      </c>
      <c r="JV281" s="533" t="str">
        <f t="shared" si="924"/>
        <v xml:space="preserve"> </v>
      </c>
      <c r="JW281" s="534">
        <f t="shared" si="925"/>
        <v>0</v>
      </c>
      <c r="JX281" s="535" t="str">
        <f t="shared" si="1009"/>
        <v xml:space="preserve"> </v>
      </c>
      <c r="JY281" s="535" t="str">
        <f t="shared" si="1010"/>
        <v xml:space="preserve"> </v>
      </c>
      <c r="JZ281" s="535" t="str">
        <f t="shared" si="1011"/>
        <v xml:space="preserve"> </v>
      </c>
      <c r="KA281" s="536" t="str">
        <f t="shared" si="926"/>
        <v xml:space="preserve"> </v>
      </c>
      <c r="KB281" s="535" t="e">
        <f t="shared" si="1012"/>
        <v>#VALUE!</v>
      </c>
      <c r="KC281" s="535" t="str">
        <f t="shared" si="927"/>
        <v/>
      </c>
      <c r="KD281" s="537" t="str">
        <f t="shared" si="1013"/>
        <v xml:space="preserve"> </v>
      </c>
      <c r="KE281" s="537" t="str">
        <f t="shared" si="1014"/>
        <v xml:space="preserve"> </v>
      </c>
      <c r="KF281" s="534">
        <f t="shared" si="928"/>
        <v>0</v>
      </c>
      <c r="KG281" s="535" t="str">
        <f t="shared" si="929"/>
        <v xml:space="preserve"> </v>
      </c>
      <c r="KH281" s="535" t="str">
        <f t="shared" si="930"/>
        <v xml:space="preserve"> </v>
      </c>
      <c r="KI281" s="535" t="str">
        <f t="shared" si="931"/>
        <v xml:space="preserve"> </v>
      </c>
      <c r="KJ281" s="536" t="str">
        <f t="shared" si="932"/>
        <v xml:space="preserve"> </v>
      </c>
      <c r="KK281" s="535" t="str">
        <f t="shared" si="1015"/>
        <v xml:space="preserve"> </v>
      </c>
      <c r="KL281" s="535" t="str">
        <f t="shared" si="1016"/>
        <v xml:space="preserve"> </v>
      </c>
      <c r="KM281" s="537" t="str">
        <f t="shared" si="933"/>
        <v xml:space="preserve"> </v>
      </c>
      <c r="KN281" s="537" t="str">
        <f t="shared" si="1017"/>
        <v xml:space="preserve"> </v>
      </c>
      <c r="KP281">
        <f t="shared" si="934"/>
        <v>0</v>
      </c>
      <c r="LA281" t="e">
        <f t="shared" si="935"/>
        <v>#VALUE!</v>
      </c>
      <c r="LB281" t="e">
        <f t="shared" si="936"/>
        <v>#VALUE!</v>
      </c>
      <c r="LC281" t="e">
        <f t="shared" si="937"/>
        <v>#VALUE!</v>
      </c>
      <c r="LD281" t="e">
        <f t="shared" si="938"/>
        <v>#VALUE!</v>
      </c>
      <c r="LE281" t="e">
        <f t="shared" si="1018"/>
        <v>#VALUE!</v>
      </c>
      <c r="LF281">
        <f t="shared" si="939"/>
        <v>0</v>
      </c>
      <c r="LG281" t="e">
        <f t="shared" si="1019"/>
        <v>#VALUE!</v>
      </c>
      <c r="LH281" t="str">
        <f t="shared" si="940"/>
        <v xml:space="preserve"> </v>
      </c>
      <c r="LI281">
        <f t="shared" si="1020"/>
        <v>1</v>
      </c>
    </row>
    <row r="282" spans="2:321" ht="15" customHeight="1">
      <c r="B282" s="311"/>
      <c r="C282" s="311"/>
      <c r="D282" s="312"/>
      <c r="E282" s="311"/>
      <c r="F282" s="312"/>
      <c r="G282" s="311"/>
      <c r="H282" s="311"/>
      <c r="I282" s="232"/>
      <c r="J282" s="311"/>
      <c r="K282" s="305" t="str">
        <f t="shared" si="941"/>
        <v/>
      </c>
      <c r="L282" s="313"/>
      <c r="M282" s="312"/>
      <c r="N282" s="311"/>
      <c r="O282" s="312"/>
      <c r="P282" s="311"/>
      <c r="Q282" s="305" t="str">
        <f t="shared" si="942"/>
        <v/>
      </c>
      <c r="R282" s="314"/>
      <c r="S282" s="450" t="str">
        <f t="shared" si="825"/>
        <v/>
      </c>
      <c r="T282" s="315"/>
      <c r="U282" s="315"/>
      <c r="W282" s="149" t="str">
        <f t="shared" si="826"/>
        <v xml:space="preserve"> </v>
      </c>
      <c r="X282" s="243" t="str">
        <f t="shared" si="827"/>
        <v xml:space="preserve"> </v>
      </c>
      <c r="Y282" s="150" t="str">
        <f t="shared" si="828"/>
        <v/>
      </c>
      <c r="Z282" s="149" t="str">
        <f t="shared" si="829"/>
        <v xml:space="preserve"> </v>
      </c>
      <c r="AA282" s="98" t="str">
        <f t="shared" si="830"/>
        <v xml:space="preserve"> </v>
      </c>
      <c r="AB282" s="153" t="str">
        <f t="shared" si="831"/>
        <v xml:space="preserve"> </v>
      </c>
      <c r="AC282" s="153" t="str">
        <f t="shared" si="832"/>
        <v xml:space="preserve"> </v>
      </c>
      <c r="AD282" s="148" t="str">
        <f t="shared" si="833"/>
        <v/>
      </c>
      <c r="AE282" s="149" t="str">
        <f t="shared" si="834"/>
        <v/>
      </c>
      <c r="AF282" s="151" t="str">
        <f t="shared" si="835"/>
        <v xml:space="preserve"> </v>
      </c>
      <c r="AG282" s="153" t="str">
        <f t="shared" si="836"/>
        <v xml:space="preserve"> </v>
      </c>
      <c r="AH282" s="98" t="str">
        <f t="shared" si="837"/>
        <v xml:space="preserve"> </v>
      </c>
      <c r="AI282" s="149" t="str">
        <f t="shared" si="838"/>
        <v xml:space="preserve"> </v>
      </c>
      <c r="AK282" s="144" t="str">
        <f t="shared" si="839"/>
        <v xml:space="preserve"> </v>
      </c>
      <c r="AL282" s="144"/>
      <c r="AM282" s="243" t="str">
        <f t="shared" si="840"/>
        <v xml:space="preserve"> </v>
      </c>
      <c r="AN282" s="149" t="str">
        <f t="shared" si="943"/>
        <v xml:space="preserve"> </v>
      </c>
      <c r="AO282" s="144" t="str">
        <f>IF(JB282&gt;0,IF(GI282=10,-R282*1.085*(Calculation!$F$6-Calculation!$F$13)*$S$14," "),"")</f>
        <v/>
      </c>
      <c r="AP282" s="144" t="str">
        <f t="shared" si="841"/>
        <v/>
      </c>
      <c r="AQ282" s="56" t="str">
        <f t="shared" si="842"/>
        <v/>
      </c>
      <c r="AR282" s="144" t="str">
        <f t="shared" si="843"/>
        <v/>
      </c>
      <c r="AS282" s="176" t="str">
        <f t="shared" si="844"/>
        <v/>
      </c>
      <c r="AT282" s="176" t="str">
        <f t="shared" si="944"/>
        <v xml:space="preserve"> </v>
      </c>
      <c r="AU282" s="176" t="str">
        <f t="shared" si="845"/>
        <v/>
      </c>
      <c r="AV282" s="177" t="str">
        <f t="shared" si="846"/>
        <v xml:space="preserve"> </v>
      </c>
      <c r="AW282" s="144" t="str">
        <f t="shared" si="847"/>
        <v xml:space="preserve"> </v>
      </c>
      <c r="AX282" s="144" t="str">
        <f t="shared" si="848"/>
        <v xml:space="preserve"> </v>
      </c>
      <c r="AY282" s="152" t="str">
        <f t="shared" si="849"/>
        <v xml:space="preserve"> </v>
      </c>
      <c r="AZ282" s="246" t="str">
        <f t="shared" si="850"/>
        <v/>
      </c>
      <c r="BA282" s="176" t="str">
        <f t="shared" si="851"/>
        <v xml:space="preserve"> </v>
      </c>
      <c r="BB282" s="176" t="str">
        <f t="shared" si="852"/>
        <v xml:space="preserve"> </v>
      </c>
      <c r="BC282" s="195"/>
      <c r="BD282" s="316"/>
      <c r="BE282" s="317"/>
      <c r="BF282" s="318"/>
      <c r="BG282" s="318"/>
      <c r="BH282" s="144" t="str">
        <f t="shared" si="1021"/>
        <v xml:space="preserve"> </v>
      </c>
      <c r="BI282" s="176" t="str">
        <f t="shared" si="853"/>
        <v/>
      </c>
      <c r="BJ282" s="144" t="str">
        <f t="shared" si="1022"/>
        <v/>
      </c>
      <c r="BK282" s="246" t="str">
        <f t="shared" si="854"/>
        <v/>
      </c>
      <c r="BL282" s="144" t="str">
        <f t="shared" si="1023"/>
        <v/>
      </c>
      <c r="BM282" s="246" t="str">
        <f t="shared" si="855"/>
        <v/>
      </c>
      <c r="BN282" s="337" t="str">
        <f t="shared" si="945"/>
        <v/>
      </c>
      <c r="BO282" s="371" t="str">
        <f t="shared" si="946"/>
        <v/>
      </c>
      <c r="BP282" s="328" t="str">
        <f t="shared" si="1024"/>
        <v xml:space="preserve"> </v>
      </c>
      <c r="BQ282" s="347" t="str">
        <f t="shared" si="947"/>
        <v xml:space="preserve"> </v>
      </c>
      <c r="BR282" s="353" t="str">
        <f t="shared" si="948"/>
        <v xml:space="preserve"> </v>
      </c>
      <c r="BS282" s="626" t="str">
        <f>IF(L282&gt;0,IF(Calculation!P282="M13",BR282*3.1416*(0.134^2)/(4*144),IF(Calculation!P282="M17",BR282*3.1416*(0.165^2)/(4*144),IF(Calculation!P282="M20",BR282*3.1416*(0.198^2)/(4*144),IF(Calculation!P282="M23",BR282*3.1416*(0.228^2)/(4*144),IF(Calculation!P282="M27",BR282*3.1416*(0.269^2)/(4*144),BR282*3.1416*(0.307^2)/(4*144))))))," ")</f>
        <v xml:space="preserve"> </v>
      </c>
      <c r="BT282" s="353" t="str">
        <f>IF(L282&gt;0,IF(BS282&gt;0,R282/Calculation!BS282,0)," ")</f>
        <v xml:space="preserve"> </v>
      </c>
      <c r="BU282" s="438" t="e">
        <f t="shared" ca="1" si="856"/>
        <v>#VALUE!</v>
      </c>
      <c r="BV282" s="449" t="e">
        <f ca="1">INDEX(INDIRECT(VLOOKUP(LEFT(BO282,7),CLU!$Z$3:$AH$18,2)),GN282,GR282)</f>
        <v>#N/A</v>
      </c>
      <c r="BW282" s="433" t="e">
        <f ca="1">INDEX(INDIRECT(VLOOKUP(LEFT(BO282,7),CLU!$Z$3:$AH$18,3)),GN282,GR282)</f>
        <v>#N/A</v>
      </c>
      <c r="BX282" s="433" t="e">
        <f ca="1">INDEX(INDIRECT(VLOOKUP(LEFT(BO282,7),CLU!$Z$3:$AH$18,4)),GN282,GR282)</f>
        <v>#N/A</v>
      </c>
      <c r="BY282" s="433" t="e">
        <f ca="1">INDEX(INDIRECT(VLOOKUP(LEFT(BO282,7),CLU!$Z$3:$AH$18,9)),((M282-2)*(6-COUNTBLANK(GT282:GY282)))+GJ282)</f>
        <v>#N/A</v>
      </c>
      <c r="BZ282" s="426" t="e">
        <f t="shared" ca="1" si="949"/>
        <v>#N/A</v>
      </c>
      <c r="CA282" s="424" t="e">
        <f t="shared" ca="1" si="950"/>
        <v>#N/A</v>
      </c>
      <c r="CB282" s="429" t="e">
        <f ca="1">INDEX(INDIRECT(VLOOKUP(LEFT(BO282,7),CLU!$Z$3:$AH$18,2)),GN282,GS282)</f>
        <v>#N/A</v>
      </c>
      <c r="CC282" s="342" t="e">
        <f ca="1">INDEX(INDIRECT(VLOOKUP(LEFT(BO282,7),CLU!$Z$3:$AH$18,3)),GN282,GS282)</f>
        <v>#N/A</v>
      </c>
      <c r="CD282" s="342" t="e">
        <f ca="1">INDEX(INDIRECT(VLOOKUP(LEFT(BO282,7),CLU!$Z$3:$AH$18,4)),GN282,GS282)</f>
        <v>#N/A</v>
      </c>
      <c r="CE282" s="426" t="e">
        <f t="shared" ca="1" si="951"/>
        <v>#N/A</v>
      </c>
      <c r="CF282" s="440">
        <f t="shared" si="952"/>
        <v>0</v>
      </c>
      <c r="CG282" s="431" t="e">
        <f ca="1">INDEX(INDIRECT(VLOOKUP(LEFT(BO282,7),CLU!$Z$3:$AH$18,2)),GQ282,GR282)</f>
        <v>#N/A</v>
      </c>
      <c r="CH282" s="431" t="e">
        <f ca="1">INDEX(INDIRECT(VLOOKUP(LEFT(BO282,7),CLU!$Z$3:$AH$18,3)),GQ282,GR282)</f>
        <v>#N/A</v>
      </c>
      <c r="CI282" s="431" t="e">
        <f ca="1">INDEX(INDIRECT(VLOOKUP(LEFT(BO282,7),CLU!$Z$3:$AH$18,4)),GQ282,GR282)</f>
        <v>#N/A</v>
      </c>
      <c r="CJ282" s="448" t="e">
        <f t="shared" ca="1" si="953"/>
        <v>#N/A</v>
      </c>
      <c r="CK282" s="431" t="e">
        <f t="shared" ca="1" si="954"/>
        <v>#N/A</v>
      </c>
      <c r="CL282" s="440" t="e">
        <f t="shared" ca="1" si="955"/>
        <v>#N/A</v>
      </c>
      <c r="CM282" s="431" t="e">
        <f ca="1">INDEX(INDIRECT(VLOOKUP(LEFT(BO282,7),CLU!$Z$3:$AH$18,2)),GQ282,GS282)</f>
        <v>#N/A</v>
      </c>
      <c r="CN282" s="431" t="e">
        <f ca="1">INDEX(INDIRECT(VLOOKUP(LEFT(BO282,7),CLU!$Z$3:$AH$18,3)),GQ282,GS282)</f>
        <v>#N/A</v>
      </c>
      <c r="CO282" s="431" t="e">
        <f ca="1">INDEX(INDIRECT(VLOOKUP(LEFT(BO282,7),CLU!$Z$3:$AH$18,4)),GQ282,GS282)</f>
        <v>#N/A</v>
      </c>
      <c r="CP282" s="431" t="e">
        <f t="shared" ca="1" si="956"/>
        <v>#N/A</v>
      </c>
      <c r="CQ282" s="440">
        <f t="shared" si="957"/>
        <v>0</v>
      </c>
      <c r="CR282" s="51" t="e">
        <f t="shared" ca="1" si="958"/>
        <v>#N/A</v>
      </c>
      <c r="CS282" s="439" t="e">
        <f t="shared" ca="1" si="959"/>
        <v>#VALUE!</v>
      </c>
      <c r="CT282" s="51" t="e">
        <f t="shared" ca="1" si="960"/>
        <v>#VALUE!</v>
      </c>
      <c r="CU282" s="10"/>
      <c r="CV282" s="51" t="e">
        <f t="shared" ca="1" si="857"/>
        <v>#VALUE!</v>
      </c>
      <c r="CW282" s="51">
        <f t="shared" si="961"/>
        <v>0</v>
      </c>
      <c r="CX282" s="439" t="e">
        <f t="shared" ca="1" si="962"/>
        <v>#VALUE!</v>
      </c>
      <c r="CY282" s="51" t="e">
        <f t="shared" ca="1" si="963"/>
        <v>#VALUE!</v>
      </c>
      <c r="CZ282" s="10"/>
      <c r="DA282" s="51" t="e">
        <f t="shared" ca="1" si="964"/>
        <v>#VALUE!</v>
      </c>
      <c r="DB282" s="347" t="e">
        <f ca="1">INDEX(INDIRECT(VLOOKUP(LEFT(BO282,7),CLU!$Z$3:$AI$18,10)),((M282-2)*(6-COUNTBLANK(GT282:GY282)))+GJ282)*LI282</f>
        <v>#N/A</v>
      </c>
      <c r="DC282" s="347" t="str">
        <f>IF(L282&gt;0,((R282/Worksheet!$I$15)/DB282)^2," ")</f>
        <v xml:space="preserve"> </v>
      </c>
      <c r="DD282" s="602" t="str">
        <f t="shared" si="965"/>
        <v xml:space="preserve"> </v>
      </c>
      <c r="DE282" s="347" t="str">
        <f t="shared" si="858"/>
        <v xml:space="preserve"> </v>
      </c>
      <c r="DF282" s="356" t="e">
        <f ca="1">INDEX(INDIRECT(VLOOKUP(LEFT(BO282,7),CLU!$Z$3:$AH$18,8)),((M282-2)*(6-COUNTBLANK(GT282:GY282)))+GJ282)</f>
        <v>#N/A</v>
      </c>
      <c r="DG282" s="347" t="str">
        <f t="shared" si="859"/>
        <v xml:space="preserve"> </v>
      </c>
      <c r="DH282" s="357" t="str">
        <f t="shared" si="860"/>
        <v xml:space="preserve"> </v>
      </c>
      <c r="DI282" s="355" t="str">
        <f t="shared" si="861"/>
        <v xml:space="preserve"> </v>
      </c>
      <c r="DJ282" s="245" t="e">
        <f ca="1">INDEX(INDIRECT(VLOOKUP(LEFT(BO282,7),CLU!$Z$3:$AH$18,5)),GL282,GK282)</f>
        <v>#N/A</v>
      </c>
      <c r="DK282" s="245" t="e">
        <f ca="1">INDEX(INDIRECT(VLOOKUP(LEFT(BO282,7),CLU!$Z$3:$AH$18,6)),GL282,GK282)</f>
        <v>#N/A</v>
      </c>
      <c r="DL282" s="355">
        <f>(Calculation!R282*0.69143*(Calculation!$BQ$8-Calculation!$F$8))*$S$14</f>
        <v>0</v>
      </c>
      <c r="DM282" s="359" t="e">
        <f t="shared" si="966"/>
        <v>#VALUE!</v>
      </c>
      <c r="DN282" s="611">
        <f t="shared" si="967"/>
        <v>0</v>
      </c>
      <c r="DO282" s="359">
        <f t="shared" si="968"/>
        <v>100</v>
      </c>
      <c r="DP282" s="359">
        <f t="shared" si="969"/>
        <v>0</v>
      </c>
      <c r="DQ282" s="360"/>
      <c r="DR282" s="245" t="e">
        <f ca="1">INDEX(INDIRECT(VLOOKUP(LEFT(BO282,7),CLU!$Z$3:$AH$18,7)),M282-1,1)</f>
        <v>#N/A</v>
      </c>
      <c r="DS282" s="245" t="e">
        <f ca="1">INDEX(INDIRECT(VLOOKUP(LEFT(BO282,7),CLU!$Z$3:$AH$18,7)),M282-1,2)</f>
        <v>#N/A</v>
      </c>
      <c r="DT282" s="245" t="e">
        <f ca="1">INDEX(INDIRECT(VLOOKUP(LEFT(BO282,7),CLU!$Z$3:$AH$18,7)),M282-1,3)</f>
        <v>#N/A</v>
      </c>
      <c r="DU282" s="245" t="e">
        <f ca="1">INDEX(INDIRECT(VLOOKUP(LEFT(BO282,7),CLU!$Z$3:$AH$18,7)),M282-1,4)</f>
        <v>#N/A</v>
      </c>
      <c r="DV282" s="361" t="e">
        <f ca="1">INDEX(INDIRECT(VLOOKUP(LEFT(BO282,7),CLU!$Z$3:$AH$18,7)),M282-1,4+LEFT(DZ282,1)*0.5)</f>
        <v>#N/A</v>
      </c>
      <c r="DW282" s="245" t="e">
        <f ca="1">INDEX(INDIRECT(VLOOKUP(LEFT(BO282,7),CLU!$Z$3:$AH$18,7)),M282-1,8)</f>
        <v>#N/A</v>
      </c>
      <c r="DX282" s="361" t="str">
        <f t="shared" si="862"/>
        <v xml:space="preserve"> </v>
      </c>
      <c r="DY282" s="361" t="str">
        <f t="shared" si="863"/>
        <v xml:space="preserve"> </v>
      </c>
      <c r="DZ282" s="361" t="str">
        <f t="shared" si="864"/>
        <v xml:space="preserve"> </v>
      </c>
      <c r="EA282" s="362" t="str">
        <f t="shared" si="865"/>
        <v xml:space="preserve"> </v>
      </c>
      <c r="EB282" s="624" t="str">
        <f t="shared" si="970"/>
        <v xml:space="preserve"> </v>
      </c>
      <c r="EC282" s="361" t="e">
        <f ca="1">INDEX(INDIRECT(VLOOKUP(LEFT(BO282,7),CLU!$Z$3:$AH$18,7)),M282-1,4+LEFT(DZ282,1)*0.5)</f>
        <v>#N/A</v>
      </c>
      <c r="ED282" s="362" t="str">
        <f t="shared" si="866"/>
        <v xml:space="preserve"> </v>
      </c>
      <c r="EE282" s="361" t="str">
        <f t="shared" si="867"/>
        <v xml:space="preserve"> </v>
      </c>
      <c r="EF282" s="362" t="str">
        <f>IF(L282&gt;0,IF(BR282&gt;0,IF(EE282="2P",IF(Calculation!DZ282="2P",IF(Calculation!DS282=13.75,IF(Calculation!DR282=13,Worksheet!$BD$43,IF(Calculation!DR282=37,Worksheet!$BD$44,Worksheet!$BD$45)),IF(Calculation!DS282=10,IF(Calculation!DR282=18,Worksheet!$BD$29,IF(Calculation!DR282=30,Worksheet!$BD$30,IF(Calculation!DR282=42,Worksheet!$BD$31,IF(Calculation!DR282=54,Worksheet!$BD$32,IF(Calculation!DR282=66,Worksheet!$BD$33,IF(Calculation!DR282=78,Worksheet!$BD$34,IF(Calculation!DR282=90,Worksheet!$BD$35,IF(Calculation!DR282=102,Worksheet!$BD$36,Worksheet!$BD$37)))))))),IF(Calculation!DS282=12.5,IF(Calculation!DR282=18,Worksheet!$BD$38,IF(Calculation!DR282=Worksheet!$BD$39,IF(Calculation!DR282=42,Worksheet!$BD$40,IF(Calculation!DR282=54,Worksheet!$BD$41,Worksheet!$BD$42)))),IF(Calculation!DR282=18,Worksheet!$BD$11,IF(Calculation!DR282=30,Worksheet!$BD$12,IF(Calculation!DR282=42,Worksheet!$BD$13,IF(Calculation!DR282=54,Worksheet!$BD$14,IF(Calculation!DR282=66,Worksheet!$BD$15,IF(Calculation!DR282=78,Worksheet!$BD$16,IF(Calculation!DR282=90,Worksheet!$BD$17,IF(Calculation!DR282=102,Worksheet!$BD$18,Worksheet!$BD$19))))))))))),IF(Calculation!DS282=13.75,IF(Calculation!DR282=13,Worksheet!$BD$78,IF(Calculation!DR282=37,Worksheet!$BD$79,Worksheet!$BD$80)),IF(Calculation!DS282=10,IF(Calculation!DR282=18,Worksheet!$BD$64,IF(Calculation!DR282=30,Worksheet!$BD$65,IF(Calculation!DR282=42,Worksheet!$BD$66,IF(Calculation!DR282=54,Worksheet!$BD$68,IF(Calculation!DR282=66,Worksheet!$BD$68,IF(Calculation!DR282=78,Worksheet!$BD$69,IF(Calculation!DR282=90,Worksheet!$BD$70,IF(Calculation!DR282=102,Worksheet!$BD$71,Worksheet!$BD$72)))))))),IF(Calculation!DS282=12.5,IF(Calculation!DR282=18,Worksheet!$BD$73,IF(Calculation!DR282=Worksheet!$BD$74,IF(Calculation!DR282=42,Worksheet!$BD$75,IF(Calculation!DR282=54,Worksheet!$BD$76,Worksheet!$BD$77)))),IF(Calculation!DR282=18,Worksheet!$BD$55,IF(Calculation!DR282=30,Worksheet!$BD$56,IF(Calculation!DR282=42,Worksheet!$BD$57,IF(Calculation!DR282=54,Worksheet!$BD$58,IF(Calculation!DR282=66,Worksheet!$BD$59,IF(Calculation!DR282=78,Worksheet!$BD$60,IF(Calculation!DR282=90,Worksheet!$BD$61,IF(Calculation!DR282=102,Worksheet!$BD$62,Worksheet!$BD$63)))))))))))),5),0)," ")</f>
        <v xml:space="preserve"> </v>
      </c>
      <c r="EG282" s="361" t="str">
        <f t="shared" si="868"/>
        <v xml:space="preserve"> </v>
      </c>
      <c r="EH282" s="361" t="e">
        <f ca="1">INDEX(INDIRECT(VLOOKUP(LEFT(BO282,7),CLU!$Z$3:$AH$18,7)),M282-1,3+LEFT(DZ282,1))</f>
        <v>#N/A</v>
      </c>
      <c r="EI282" s="362" t="str">
        <f t="shared" si="869"/>
        <v xml:space="preserve"> </v>
      </c>
      <c r="EJ282" s="363" t="str">
        <f t="shared" si="870"/>
        <v xml:space="preserve"> </v>
      </c>
      <c r="EK282" s="363" t="str">
        <f t="shared" si="871"/>
        <v xml:space="preserve"> </v>
      </c>
      <c r="EL282" s="363" t="str">
        <f t="shared" si="872"/>
        <v xml:space="preserve"> </v>
      </c>
      <c r="EM282" s="362" t="str">
        <f>IF(L282&gt;0,IF(BR282&gt;0,(Calculation!T282/ED282)^2,0)," ")</f>
        <v xml:space="preserve"> </v>
      </c>
      <c r="EN282" s="362" t="str">
        <f>IF(L282&gt;0,IF(O282="2 Pipe (Cooling)","N/A",IF(BR282&gt;0,(Calculation!U282/EI282)^2,0))," ")</f>
        <v xml:space="preserve"> </v>
      </c>
      <c r="EO282" s="361" t="str">
        <f t="shared" si="873"/>
        <v/>
      </c>
      <c r="EP282" s="361" t="str">
        <f t="shared" si="874"/>
        <v/>
      </c>
      <c r="EQ282" s="361" t="str">
        <f t="shared" si="875"/>
        <v/>
      </c>
      <c r="ER282" s="361" t="str">
        <f t="shared" si="876"/>
        <v/>
      </c>
      <c r="ES282" s="361" t="str">
        <f t="shared" si="877"/>
        <v/>
      </c>
      <c r="ET282" s="361" t="str">
        <f t="shared" si="878"/>
        <v/>
      </c>
      <c r="EU282" s="361" t="str">
        <f t="shared" si="879"/>
        <v/>
      </c>
      <c r="EV282" s="361" t="str">
        <f t="shared" si="880"/>
        <v/>
      </c>
      <c r="EW282" s="361" t="str">
        <f t="shared" si="881"/>
        <v/>
      </c>
      <c r="EX282" s="361" t="str">
        <f t="shared" si="971"/>
        <v>1 slot, 1 way</v>
      </c>
      <c r="EY282" s="361" t="str">
        <f t="shared" si="972"/>
        <v xml:space="preserve"> </v>
      </c>
      <c r="EZ282" s="361" t="str">
        <f t="shared" si="973"/>
        <v xml:space="preserve"> </v>
      </c>
      <c r="FA282" s="361" t="str">
        <f t="shared" si="974"/>
        <v xml:space="preserve"> </v>
      </c>
      <c r="FB282" s="361" t="str">
        <f t="shared" si="975"/>
        <v xml:space="preserve"> </v>
      </c>
      <c r="FC282" s="361"/>
      <c r="FD282" s="361" t="str">
        <f>IF(J282&gt;0,IF(Calculation!R282&lt;=70,4,IF(Calculation!R282&lt;=110,5,IF(Calculation!R282&lt;=160,6,IF(Calculation!R282&lt;=300,8,"10 EO")))),"")</f>
        <v/>
      </c>
      <c r="FE282" s="361" t="str">
        <f t="shared" si="976"/>
        <v/>
      </c>
      <c r="FF282" s="361" t="str">
        <f t="shared" si="977"/>
        <v/>
      </c>
      <c r="FG282" s="361" t="e">
        <f t="shared" si="882"/>
        <v>#N/A</v>
      </c>
      <c r="FH282" s="361">
        <f t="shared" si="883"/>
        <v>0</v>
      </c>
      <c r="FI282" s="361" t="e">
        <f t="shared" si="884"/>
        <v>#DIV/0!</v>
      </c>
      <c r="FJ282" s="361"/>
      <c r="FK282" s="356" t="e">
        <f t="shared" si="885"/>
        <v>#VALUE!</v>
      </c>
      <c r="FL282" s="361"/>
      <c r="FM282" s="361"/>
      <c r="FN282" s="362" t="str">
        <f t="shared" si="978"/>
        <v xml:space="preserve"> </v>
      </c>
      <c r="FO282" s="362" t="str">
        <f t="shared" si="979"/>
        <v xml:space="preserve"> </v>
      </c>
      <c r="FP282" s="362">
        <f t="shared" si="980"/>
        <v>0</v>
      </c>
      <c r="FQ282" s="361">
        <f t="shared" si="886"/>
        <v>0</v>
      </c>
      <c r="FR282" s="362" t="str">
        <f>IF(L282&gt;0,IF(J282="CBAL2",Worksheet!$P$67,IF(J282="CBE2-24",Worksheet!$Q$67,IF(J282="CBAM",Worksheet!$R$67,IF(J282="CBLV",Worksheet!$S$67,IF(J282="CBAB",Worksheet!$U$67,IF(J282="CBAW",Worksheet!$X$67,IF(J282="CBE2-12",Worksheet!$Y$67,IF(J282="CBAL2",Worksheet!$Z$67,"N/A"))))))))," ")</f>
        <v xml:space="preserve"> </v>
      </c>
      <c r="FS282" s="362" t="str">
        <f>IF(L282&gt;0,IF(J282="CBAL2",Worksheet!$P$68,IF(J282="CBE2-24",Worksheet!$Q$68,IF(J282="CBAM",Worksheet!$R$68,IF(J282="CBLV",Worksheet!$S$68,IF(J282="CBAB",Worksheet!$U$68,IF(J282="CBAW",Worksheet!$X$68,IF(J282="CBE2-12",Worksheet!$Y$68,IF(J282="CBAL2",Worksheet!$Z$68,"N/A"))))))))," ")</f>
        <v xml:space="preserve"> </v>
      </c>
      <c r="FT282" s="362" t="str">
        <f>IF(L282&gt;0,IF(J282="CBAL2",Worksheet!$P$69,IF(J282="CBE2-24",Worksheet!$Q$69,IF(J282="CBAM",Worksheet!$R$69,IF(J282="CBLV",Worksheet!$S$69,IF(J282="CBAB",Worksheet!$U$69,IF(J282="CBAW",Worksheet!$X$69,IF(J282="CBE2-12",Worksheet!$Y$69,IF(J282="CBAL2",Worksheet!$Z$69,"N/A"))))))))," ")</f>
        <v xml:space="preserve"> </v>
      </c>
      <c r="FU282" s="361" t="str">
        <f t="shared" si="981"/>
        <v xml:space="preserve"> </v>
      </c>
      <c r="FV282" s="362" t="str">
        <f t="shared" si="982"/>
        <v xml:space="preserve"> </v>
      </c>
      <c r="FW282" s="362" t="str">
        <f t="shared" si="983"/>
        <v xml:space="preserve"> </v>
      </c>
      <c r="FX282" s="362" t="str">
        <f t="shared" si="984"/>
        <v xml:space="preserve"> </v>
      </c>
      <c r="FY282" s="355" t="str">
        <f t="shared" si="985"/>
        <v xml:space="preserve"> </v>
      </c>
      <c r="FZ282" s="361" t="str">
        <f t="shared" si="986"/>
        <v xml:space="preserve"> </v>
      </c>
      <c r="GA282" s="347" t="str">
        <f t="shared" si="987"/>
        <v xml:space="preserve"> </v>
      </c>
      <c r="GB282" s="355" t="str">
        <f t="shared" si="988"/>
        <v xml:space="preserve"> </v>
      </c>
      <c r="GC282" s="328" t="str">
        <f t="shared" si="989"/>
        <v xml:space="preserve"> </v>
      </c>
      <c r="GD282" s="361" t="str">
        <f t="shared" si="990"/>
        <v xml:space="preserve"> </v>
      </c>
      <c r="GE282" s="347" t="str">
        <f t="shared" si="991"/>
        <v xml:space="preserve"> </v>
      </c>
      <c r="GF282" s="361" t="str">
        <f t="shared" si="992"/>
        <v xml:space="preserve"> </v>
      </c>
      <c r="GG282" s="347" t="str">
        <f t="shared" si="993"/>
        <v xml:space="preserve"> </v>
      </c>
      <c r="GH282" s="364">
        <f t="shared" si="887"/>
        <v>0</v>
      </c>
      <c r="GI282" s="362">
        <f t="shared" si="994"/>
        <v>2</v>
      </c>
      <c r="GJ282" s="433" t="e">
        <f>IF(6-COUNTBLANK(GT282:GY282)=4,MATCH(MID(BO282,9,3),CLU!$H$16:$K$16),MATCH(MID(BO282,9,3),CLU!$H$13:$M$13))</f>
        <v>#N/A</v>
      </c>
      <c r="GK282" s="433" t="e">
        <f>HLOOKUP(VALUE(BP282),CLU!$H$9:$M$10,2)</f>
        <v>#VALUE!</v>
      </c>
      <c r="GL282" s="433" t="e">
        <f ca="1">MATCH(BU282,CLU!$H$2:$V$2,1)</f>
        <v>#VALUE!</v>
      </c>
      <c r="GM282" s="433" t="e">
        <f t="shared" ca="1" si="995"/>
        <v>#VALUE!</v>
      </c>
      <c r="GN282" s="433" t="e">
        <f t="shared" ca="1" si="996"/>
        <v>#VALUE!</v>
      </c>
      <c r="GO282" s="433" t="e">
        <f t="shared" ca="1" si="997"/>
        <v>#VALUE!</v>
      </c>
      <c r="GP282" s="433" t="e">
        <f t="shared" ca="1" si="998"/>
        <v>#VALUE!</v>
      </c>
      <c r="GQ282" s="433" t="e">
        <f t="shared" ca="1" si="999"/>
        <v>#VALUE!</v>
      </c>
      <c r="GR282" s="433" t="e">
        <f ca="1">MATCH(T282,INDIRECT(VLOOKUP(CONCATENATE(LEFT(BO282,7),"-",MID(BO282,13,1)),CLU!$P$3:$Q$16,2)),1)</f>
        <v>#N/A</v>
      </c>
      <c r="GS282" s="433" t="e">
        <f ca="1">MATCH(U282,INDIRECT(VLOOKUP(CONCATENATE(LEFT(BO282,7),"-",MID(BO282,13,1)),CLU!$P$3:$Q$16,2)),1)</f>
        <v>#N/A</v>
      </c>
      <c r="GT282" s="347" t="s">
        <v>512</v>
      </c>
      <c r="GU282" s="97" t="s">
        <v>513</v>
      </c>
      <c r="GV282" s="97" t="str">
        <f t="shared" si="1000"/>
        <v>M23</v>
      </c>
      <c r="GW282" s="97" t="str">
        <f t="shared" si="1001"/>
        <v>M31</v>
      </c>
      <c r="GX282" s="97" t="str">
        <f t="shared" si="1002"/>
        <v/>
      </c>
      <c r="GY282" s="97" t="str">
        <f t="shared" si="1003"/>
        <v/>
      </c>
      <c r="GZ282" s="481"/>
      <c r="HA282" s="240"/>
      <c r="HB282" s="240"/>
      <c r="HC282" s="240"/>
      <c r="HD282" s="240"/>
      <c r="HE282" s="240"/>
      <c r="HF282" s="240"/>
      <c r="HG282" s="240"/>
      <c r="HH282" s="240"/>
      <c r="HI282" s="240"/>
      <c r="HJ282" s="240"/>
      <c r="HK282" s="240"/>
      <c r="HL282" s="240"/>
      <c r="HM282" s="240"/>
      <c r="HN282" s="240"/>
      <c r="HO282" s="240"/>
      <c r="HP282" s="240"/>
      <c r="HQ282" s="240"/>
      <c r="HR282" s="240"/>
      <c r="HS282" s="240"/>
      <c r="HT282" s="240"/>
      <c r="HU282" s="240"/>
      <c r="HV282" s="245"/>
      <c r="HW282" s="245" t="b">
        <v>1</v>
      </c>
      <c r="HX282" s="245" t="str">
        <f t="shared" si="888"/>
        <v/>
      </c>
      <c r="HY282" s="245" t="e">
        <f t="shared" si="889"/>
        <v>#DIV/0!</v>
      </c>
      <c r="HZ282" s="245" t="e">
        <f t="shared" si="890"/>
        <v>#DIV/0!</v>
      </c>
      <c r="IA282" s="245">
        <f t="shared" si="891"/>
        <v>0</v>
      </c>
      <c r="IB282" s="245"/>
      <c r="IC282" t="b">
        <f t="shared" si="892"/>
        <v>1</v>
      </c>
      <c r="ID282" s="245" t="b">
        <f t="shared" si="893"/>
        <v>1</v>
      </c>
      <c r="IE282" s="245" t="b">
        <f t="shared" si="894"/>
        <v>1</v>
      </c>
      <c r="IF282" s="245" t="b">
        <f t="shared" si="895"/>
        <v>0</v>
      </c>
      <c r="IG282" s="245" t="b">
        <f t="shared" si="896"/>
        <v>1</v>
      </c>
      <c r="IH282" s="245" t="b">
        <f t="shared" si="897"/>
        <v>1</v>
      </c>
      <c r="II282" s="245">
        <f t="shared" si="1004"/>
        <v>0</v>
      </c>
      <c r="IJ282" s="245" t="e">
        <f t="shared" si="898"/>
        <v>#VALUE!</v>
      </c>
      <c r="IK282" s="245" t="e">
        <f t="shared" si="899"/>
        <v>#VALUE!</v>
      </c>
      <c r="IL282" s="245"/>
      <c r="IM282" s="245" t="e">
        <f t="shared" si="1005"/>
        <v>#N/A</v>
      </c>
      <c r="IN282" s="245" t="e">
        <f t="shared" si="1006"/>
        <v>#N/A</v>
      </c>
      <c r="IO282" s="245"/>
      <c r="IP282" s="245"/>
      <c r="IQ282" s="245" t="str">
        <f t="shared" si="900"/>
        <v/>
      </c>
      <c r="IR282" s="245" t="str">
        <f>IF(J282="","",VLOOKUP(J282,Worksheet!$R$4:$T$14,2))</f>
        <v/>
      </c>
      <c r="IS282" s="245"/>
      <c r="IT282" s="245">
        <f t="shared" si="901"/>
        <v>0</v>
      </c>
      <c r="IU282" s="245">
        <f t="shared" si="902"/>
        <v>0</v>
      </c>
      <c r="IV282" s="245">
        <f t="shared" si="903"/>
        <v>0</v>
      </c>
      <c r="IW282" s="245">
        <f t="shared" si="904"/>
        <v>0</v>
      </c>
      <c r="IX282" s="245">
        <f t="shared" si="1007"/>
        <v>0</v>
      </c>
      <c r="IY282" s="245">
        <f t="shared" si="905"/>
        <v>0</v>
      </c>
      <c r="IZ282" s="245">
        <f t="shared" si="906"/>
        <v>0</v>
      </c>
      <c r="JA282">
        <f t="shared" si="907"/>
        <v>0</v>
      </c>
      <c r="JB282">
        <f t="shared" si="1008"/>
        <v>0</v>
      </c>
      <c r="JC282">
        <f t="shared" si="908"/>
        <v>0</v>
      </c>
      <c r="JD282">
        <f t="shared" si="909"/>
        <v>0</v>
      </c>
      <c r="JE282">
        <f t="shared" si="910"/>
        <v>0</v>
      </c>
      <c r="JF282">
        <f t="shared" si="911"/>
        <v>0</v>
      </c>
      <c r="JG282">
        <f t="shared" si="912"/>
        <v>0</v>
      </c>
      <c r="JH282">
        <f t="shared" si="913"/>
        <v>0</v>
      </c>
      <c r="JI282">
        <f t="shared" si="914"/>
        <v>0</v>
      </c>
      <c r="JJ282" s="447">
        <f t="shared" si="915"/>
        <v>0</v>
      </c>
      <c r="JK282" s="447">
        <f t="shared" si="916"/>
        <v>0</v>
      </c>
      <c r="JL282">
        <f t="shared" si="917"/>
        <v>0</v>
      </c>
      <c r="JM282" s="245" t="str">
        <f>IFERROR(VLOOKUP(MATCH(BN282,#REF!,0),#REF!,7),"")</f>
        <v/>
      </c>
      <c r="JN282" t="e">
        <f>HLOOKUP(LEFT(BO282,7),Discharge_Area,MATCH(JO282,LookUps!$B$130:$B$149,1)+2)</f>
        <v>#N/A</v>
      </c>
      <c r="JO282" t="str">
        <f t="shared" si="918"/>
        <v>- S</v>
      </c>
      <c r="JP282" t="e">
        <f>HLOOKUP(LEFT(BO282,7),Discharge_Area,MATCH(JO282,LookUps!$B$130:$B$149,1)+2)</f>
        <v>#N/A</v>
      </c>
      <c r="JQ282" t="e">
        <f t="shared" si="919"/>
        <v>#N/A</v>
      </c>
      <c r="JR282" t="e">
        <f t="shared" si="920"/>
        <v>#N/A</v>
      </c>
      <c r="JS282" t="e">
        <f t="shared" si="921"/>
        <v>#N/A</v>
      </c>
      <c r="JT282" s="532" t="str">
        <f t="shared" si="922"/>
        <v xml:space="preserve"> </v>
      </c>
      <c r="JU282" s="532" t="str">
        <f t="shared" si="923"/>
        <v xml:space="preserve"> </v>
      </c>
      <c r="JV282" s="533" t="str">
        <f t="shared" si="924"/>
        <v xml:space="preserve"> </v>
      </c>
      <c r="JW282" s="534">
        <f t="shared" si="925"/>
        <v>0</v>
      </c>
      <c r="JX282" s="535" t="str">
        <f t="shared" si="1009"/>
        <v xml:space="preserve"> </v>
      </c>
      <c r="JY282" s="535" t="str">
        <f t="shared" si="1010"/>
        <v xml:space="preserve"> </v>
      </c>
      <c r="JZ282" s="535" t="str">
        <f t="shared" si="1011"/>
        <v xml:space="preserve"> </v>
      </c>
      <c r="KA282" s="536" t="str">
        <f t="shared" si="926"/>
        <v xml:space="preserve"> </v>
      </c>
      <c r="KB282" s="535" t="e">
        <f t="shared" si="1012"/>
        <v>#VALUE!</v>
      </c>
      <c r="KC282" s="535" t="str">
        <f t="shared" si="927"/>
        <v/>
      </c>
      <c r="KD282" s="537" t="str">
        <f t="shared" si="1013"/>
        <v xml:space="preserve"> </v>
      </c>
      <c r="KE282" s="537" t="str">
        <f t="shared" si="1014"/>
        <v xml:space="preserve"> </v>
      </c>
      <c r="KF282" s="534">
        <f t="shared" si="928"/>
        <v>0</v>
      </c>
      <c r="KG282" s="535" t="str">
        <f t="shared" si="929"/>
        <v xml:space="preserve"> </v>
      </c>
      <c r="KH282" s="535" t="str">
        <f t="shared" si="930"/>
        <v xml:space="preserve"> </v>
      </c>
      <c r="KI282" s="535" t="str">
        <f t="shared" si="931"/>
        <v xml:space="preserve"> </v>
      </c>
      <c r="KJ282" s="536" t="str">
        <f t="shared" si="932"/>
        <v xml:space="preserve"> </v>
      </c>
      <c r="KK282" s="535" t="str">
        <f t="shared" si="1015"/>
        <v xml:space="preserve"> </v>
      </c>
      <c r="KL282" s="535" t="str">
        <f t="shared" si="1016"/>
        <v xml:space="preserve"> </v>
      </c>
      <c r="KM282" s="537" t="str">
        <f t="shared" si="933"/>
        <v xml:space="preserve"> </v>
      </c>
      <c r="KN282" s="537" t="str">
        <f t="shared" si="1017"/>
        <v xml:space="preserve"> </v>
      </c>
      <c r="KP282">
        <f t="shared" si="934"/>
        <v>0</v>
      </c>
      <c r="LA282" t="e">
        <f t="shared" si="935"/>
        <v>#VALUE!</v>
      </c>
      <c r="LB282" t="e">
        <f t="shared" si="936"/>
        <v>#VALUE!</v>
      </c>
      <c r="LC282" t="e">
        <f t="shared" si="937"/>
        <v>#VALUE!</v>
      </c>
      <c r="LD282" t="e">
        <f t="shared" si="938"/>
        <v>#VALUE!</v>
      </c>
      <c r="LE282" t="e">
        <f t="shared" si="1018"/>
        <v>#VALUE!</v>
      </c>
      <c r="LF282">
        <f t="shared" si="939"/>
        <v>0</v>
      </c>
      <c r="LG282" t="e">
        <f t="shared" si="1019"/>
        <v>#VALUE!</v>
      </c>
      <c r="LH282" t="str">
        <f t="shared" si="940"/>
        <v xml:space="preserve"> </v>
      </c>
      <c r="LI282">
        <f t="shared" si="1020"/>
        <v>1</v>
      </c>
    </row>
    <row r="283" spans="2:321" ht="15" customHeight="1">
      <c r="B283" s="311"/>
      <c r="C283" s="311"/>
      <c r="D283" s="312"/>
      <c r="E283" s="311"/>
      <c r="F283" s="312"/>
      <c r="G283" s="311"/>
      <c r="H283" s="311"/>
      <c r="I283" s="232"/>
      <c r="J283" s="311"/>
      <c r="K283" s="305" t="str">
        <f t="shared" si="941"/>
        <v/>
      </c>
      <c r="L283" s="313"/>
      <c r="M283" s="312"/>
      <c r="N283" s="311"/>
      <c r="O283" s="312"/>
      <c r="P283" s="311"/>
      <c r="Q283" s="305" t="str">
        <f t="shared" si="942"/>
        <v/>
      </c>
      <c r="R283" s="314"/>
      <c r="S283" s="450" t="str">
        <f t="shared" si="825"/>
        <v/>
      </c>
      <c r="T283" s="315"/>
      <c r="U283" s="315"/>
      <c r="W283" s="149" t="str">
        <f t="shared" si="826"/>
        <v xml:space="preserve"> </v>
      </c>
      <c r="X283" s="243" t="str">
        <f t="shared" si="827"/>
        <v xml:space="preserve"> </v>
      </c>
      <c r="Y283" s="150" t="str">
        <f t="shared" si="828"/>
        <v/>
      </c>
      <c r="Z283" s="149" t="str">
        <f t="shared" si="829"/>
        <v xml:space="preserve"> </v>
      </c>
      <c r="AA283" s="98" t="str">
        <f t="shared" si="830"/>
        <v xml:space="preserve"> </v>
      </c>
      <c r="AB283" s="153" t="str">
        <f t="shared" si="831"/>
        <v xml:space="preserve"> </v>
      </c>
      <c r="AC283" s="153" t="str">
        <f t="shared" si="832"/>
        <v xml:space="preserve"> </v>
      </c>
      <c r="AD283" s="148" t="str">
        <f t="shared" si="833"/>
        <v/>
      </c>
      <c r="AE283" s="149" t="str">
        <f t="shared" si="834"/>
        <v/>
      </c>
      <c r="AF283" s="151" t="str">
        <f t="shared" si="835"/>
        <v xml:space="preserve"> </v>
      </c>
      <c r="AG283" s="153" t="str">
        <f t="shared" si="836"/>
        <v xml:space="preserve"> </v>
      </c>
      <c r="AH283" s="98" t="str">
        <f t="shared" si="837"/>
        <v xml:space="preserve"> </v>
      </c>
      <c r="AI283" s="149" t="str">
        <f t="shared" si="838"/>
        <v xml:space="preserve"> </v>
      </c>
      <c r="AK283" s="144" t="str">
        <f t="shared" si="839"/>
        <v xml:space="preserve"> </v>
      </c>
      <c r="AL283" s="144"/>
      <c r="AM283" s="243" t="str">
        <f t="shared" si="840"/>
        <v xml:space="preserve"> </v>
      </c>
      <c r="AN283" s="149" t="str">
        <f t="shared" si="943"/>
        <v xml:space="preserve"> </v>
      </c>
      <c r="AO283" s="144" t="str">
        <f>IF(JB283&gt;0,IF(GI283=10,-R283*1.085*(Calculation!$F$6-Calculation!$F$13)*$S$14," "),"")</f>
        <v/>
      </c>
      <c r="AP283" s="144" t="str">
        <f t="shared" si="841"/>
        <v/>
      </c>
      <c r="AQ283" s="56" t="str">
        <f t="shared" si="842"/>
        <v/>
      </c>
      <c r="AR283" s="144" t="str">
        <f t="shared" si="843"/>
        <v/>
      </c>
      <c r="AS283" s="176" t="str">
        <f t="shared" si="844"/>
        <v/>
      </c>
      <c r="AT283" s="176" t="str">
        <f t="shared" si="944"/>
        <v xml:space="preserve"> </v>
      </c>
      <c r="AU283" s="176" t="str">
        <f t="shared" si="845"/>
        <v/>
      </c>
      <c r="AV283" s="177" t="str">
        <f t="shared" si="846"/>
        <v xml:space="preserve"> </v>
      </c>
      <c r="AW283" s="144" t="str">
        <f t="shared" si="847"/>
        <v xml:space="preserve"> </v>
      </c>
      <c r="AX283" s="144" t="str">
        <f t="shared" si="848"/>
        <v xml:space="preserve"> </v>
      </c>
      <c r="AY283" s="152" t="str">
        <f t="shared" si="849"/>
        <v xml:space="preserve"> </v>
      </c>
      <c r="AZ283" s="246" t="str">
        <f t="shared" si="850"/>
        <v/>
      </c>
      <c r="BA283" s="176" t="str">
        <f t="shared" si="851"/>
        <v xml:space="preserve"> </v>
      </c>
      <c r="BB283" s="176" t="str">
        <f t="shared" si="852"/>
        <v xml:space="preserve"> </v>
      </c>
      <c r="BC283" s="195"/>
      <c r="BD283" s="316"/>
      <c r="BE283" s="317"/>
      <c r="BF283" s="318"/>
      <c r="BG283" s="318"/>
      <c r="BH283" s="144" t="str">
        <f t="shared" si="1021"/>
        <v xml:space="preserve"> </v>
      </c>
      <c r="BI283" s="176" t="str">
        <f t="shared" si="853"/>
        <v/>
      </c>
      <c r="BJ283" s="144" t="str">
        <f t="shared" si="1022"/>
        <v/>
      </c>
      <c r="BK283" s="246" t="str">
        <f t="shared" si="854"/>
        <v/>
      </c>
      <c r="BL283" s="144" t="str">
        <f t="shared" si="1023"/>
        <v/>
      </c>
      <c r="BM283" s="246" t="str">
        <f t="shared" si="855"/>
        <v/>
      </c>
      <c r="BN283" s="337" t="str">
        <f t="shared" si="945"/>
        <v/>
      </c>
      <c r="BO283" s="371" t="str">
        <f t="shared" si="946"/>
        <v/>
      </c>
      <c r="BP283" s="328" t="str">
        <f t="shared" si="1024"/>
        <v xml:space="preserve"> </v>
      </c>
      <c r="BQ283" s="347" t="str">
        <f t="shared" si="947"/>
        <v xml:space="preserve"> </v>
      </c>
      <c r="BR283" s="353" t="str">
        <f t="shared" si="948"/>
        <v xml:space="preserve"> </v>
      </c>
      <c r="BS283" s="626" t="str">
        <f>IF(L283&gt;0,IF(Calculation!P283="M13",BR283*3.1416*(0.134^2)/(4*144),IF(Calculation!P283="M17",BR283*3.1416*(0.165^2)/(4*144),IF(Calculation!P283="M20",BR283*3.1416*(0.198^2)/(4*144),IF(Calculation!P283="M23",BR283*3.1416*(0.228^2)/(4*144),IF(Calculation!P283="M27",BR283*3.1416*(0.269^2)/(4*144),BR283*3.1416*(0.307^2)/(4*144))))))," ")</f>
        <v xml:space="preserve"> </v>
      </c>
      <c r="BT283" s="353" t="str">
        <f>IF(L283&gt;0,IF(BS283&gt;0,R283/Calculation!BS283,0)," ")</f>
        <v xml:space="preserve"> </v>
      </c>
      <c r="BU283" s="438" t="e">
        <f t="shared" ca="1" si="856"/>
        <v>#VALUE!</v>
      </c>
      <c r="BV283" s="449" t="e">
        <f ca="1">INDEX(INDIRECT(VLOOKUP(LEFT(BO283,7),CLU!$Z$3:$AH$18,2)),GN283,GR283)</f>
        <v>#N/A</v>
      </c>
      <c r="BW283" s="433" t="e">
        <f ca="1">INDEX(INDIRECT(VLOOKUP(LEFT(BO283,7),CLU!$Z$3:$AH$18,3)),GN283,GR283)</f>
        <v>#N/A</v>
      </c>
      <c r="BX283" s="433" t="e">
        <f ca="1">INDEX(INDIRECT(VLOOKUP(LEFT(BO283,7),CLU!$Z$3:$AH$18,4)),GN283,GR283)</f>
        <v>#N/A</v>
      </c>
      <c r="BY283" s="433" t="e">
        <f ca="1">INDEX(INDIRECT(VLOOKUP(LEFT(BO283,7),CLU!$Z$3:$AH$18,9)),((M283-2)*(6-COUNTBLANK(GT283:GY283)))+GJ283)</f>
        <v>#N/A</v>
      </c>
      <c r="BZ283" s="426" t="e">
        <f t="shared" ca="1" si="949"/>
        <v>#N/A</v>
      </c>
      <c r="CA283" s="424" t="e">
        <f t="shared" ca="1" si="950"/>
        <v>#N/A</v>
      </c>
      <c r="CB283" s="429" t="e">
        <f ca="1">INDEX(INDIRECT(VLOOKUP(LEFT(BO283,7),CLU!$Z$3:$AH$18,2)),GN283,GS283)</f>
        <v>#N/A</v>
      </c>
      <c r="CC283" s="342" t="e">
        <f ca="1">INDEX(INDIRECT(VLOOKUP(LEFT(BO283,7),CLU!$Z$3:$AH$18,3)),GN283,GS283)</f>
        <v>#N/A</v>
      </c>
      <c r="CD283" s="342" t="e">
        <f ca="1">INDEX(INDIRECT(VLOOKUP(LEFT(BO283,7),CLU!$Z$3:$AH$18,4)),GN283,GS283)</f>
        <v>#N/A</v>
      </c>
      <c r="CE283" s="426" t="e">
        <f t="shared" ca="1" si="951"/>
        <v>#N/A</v>
      </c>
      <c r="CF283" s="440">
        <f t="shared" si="952"/>
        <v>0</v>
      </c>
      <c r="CG283" s="431" t="e">
        <f ca="1">INDEX(INDIRECT(VLOOKUP(LEFT(BO283,7),CLU!$Z$3:$AH$18,2)),GQ283,GR283)</f>
        <v>#N/A</v>
      </c>
      <c r="CH283" s="431" t="e">
        <f ca="1">INDEX(INDIRECT(VLOOKUP(LEFT(BO283,7),CLU!$Z$3:$AH$18,3)),GQ283,GR283)</f>
        <v>#N/A</v>
      </c>
      <c r="CI283" s="431" t="e">
        <f ca="1">INDEX(INDIRECT(VLOOKUP(LEFT(BO283,7),CLU!$Z$3:$AH$18,4)),GQ283,GR283)</f>
        <v>#N/A</v>
      </c>
      <c r="CJ283" s="448" t="e">
        <f t="shared" ca="1" si="953"/>
        <v>#N/A</v>
      </c>
      <c r="CK283" s="431" t="e">
        <f t="shared" ca="1" si="954"/>
        <v>#N/A</v>
      </c>
      <c r="CL283" s="440" t="e">
        <f t="shared" ca="1" si="955"/>
        <v>#N/A</v>
      </c>
      <c r="CM283" s="431" t="e">
        <f ca="1">INDEX(INDIRECT(VLOOKUP(LEFT(BO283,7),CLU!$Z$3:$AH$18,2)),GQ283,GS283)</f>
        <v>#N/A</v>
      </c>
      <c r="CN283" s="431" t="e">
        <f ca="1">INDEX(INDIRECT(VLOOKUP(LEFT(BO283,7),CLU!$Z$3:$AH$18,3)),GQ283,GS283)</f>
        <v>#N/A</v>
      </c>
      <c r="CO283" s="431" t="e">
        <f ca="1">INDEX(INDIRECT(VLOOKUP(LEFT(BO283,7),CLU!$Z$3:$AH$18,4)),GQ283,GS283)</f>
        <v>#N/A</v>
      </c>
      <c r="CP283" s="431" t="e">
        <f t="shared" ca="1" si="956"/>
        <v>#N/A</v>
      </c>
      <c r="CQ283" s="440">
        <f t="shared" si="957"/>
        <v>0</v>
      </c>
      <c r="CR283" s="51" t="e">
        <f t="shared" ca="1" si="958"/>
        <v>#N/A</v>
      </c>
      <c r="CS283" s="439" t="e">
        <f t="shared" ca="1" si="959"/>
        <v>#VALUE!</v>
      </c>
      <c r="CT283" s="51" t="e">
        <f t="shared" ca="1" si="960"/>
        <v>#VALUE!</v>
      </c>
      <c r="CU283" s="10"/>
      <c r="CV283" s="51" t="e">
        <f t="shared" ca="1" si="857"/>
        <v>#VALUE!</v>
      </c>
      <c r="CW283" s="51">
        <f t="shared" si="961"/>
        <v>0</v>
      </c>
      <c r="CX283" s="439" t="e">
        <f t="shared" ca="1" si="962"/>
        <v>#VALUE!</v>
      </c>
      <c r="CY283" s="51" t="e">
        <f t="shared" ca="1" si="963"/>
        <v>#VALUE!</v>
      </c>
      <c r="CZ283" s="10"/>
      <c r="DA283" s="51" t="e">
        <f t="shared" ca="1" si="964"/>
        <v>#VALUE!</v>
      </c>
      <c r="DB283" s="347" t="e">
        <f ca="1">INDEX(INDIRECT(VLOOKUP(LEFT(BO283,7),CLU!$Z$3:$AI$18,10)),((M283-2)*(6-COUNTBLANK(GT283:GY283)))+GJ283)*LI283</f>
        <v>#N/A</v>
      </c>
      <c r="DC283" s="347" t="str">
        <f>IF(L283&gt;0,((R283/Worksheet!$I$15)/DB283)^2," ")</f>
        <v xml:space="preserve"> </v>
      </c>
      <c r="DD283" s="602" t="str">
        <f t="shared" si="965"/>
        <v xml:space="preserve"> </v>
      </c>
      <c r="DE283" s="347" t="str">
        <f t="shared" si="858"/>
        <v xml:space="preserve"> </v>
      </c>
      <c r="DF283" s="356" t="e">
        <f ca="1">INDEX(INDIRECT(VLOOKUP(LEFT(BO283,7),CLU!$Z$3:$AH$18,8)),((M283-2)*(6-COUNTBLANK(GT283:GY283)))+GJ283)</f>
        <v>#N/A</v>
      </c>
      <c r="DG283" s="347" t="str">
        <f t="shared" si="859"/>
        <v xml:space="preserve"> </v>
      </c>
      <c r="DH283" s="357" t="str">
        <f t="shared" si="860"/>
        <v xml:space="preserve"> </v>
      </c>
      <c r="DI283" s="355" t="str">
        <f t="shared" si="861"/>
        <v xml:space="preserve"> </v>
      </c>
      <c r="DJ283" s="245" t="e">
        <f ca="1">INDEX(INDIRECT(VLOOKUP(LEFT(BO283,7),CLU!$Z$3:$AH$18,5)),GL283,GK283)</f>
        <v>#N/A</v>
      </c>
      <c r="DK283" s="245" t="e">
        <f ca="1">INDEX(INDIRECT(VLOOKUP(LEFT(BO283,7),CLU!$Z$3:$AH$18,6)),GL283,GK283)</f>
        <v>#N/A</v>
      </c>
      <c r="DL283" s="355">
        <f>(Calculation!R283*0.69143*(Calculation!$BQ$8-Calculation!$F$8))*$S$14</f>
        <v>0</v>
      </c>
      <c r="DM283" s="359" t="e">
        <f t="shared" si="966"/>
        <v>#VALUE!</v>
      </c>
      <c r="DN283" s="611">
        <f t="shared" si="967"/>
        <v>0</v>
      </c>
      <c r="DO283" s="359">
        <f t="shared" si="968"/>
        <v>100</v>
      </c>
      <c r="DP283" s="359">
        <f t="shared" si="969"/>
        <v>0</v>
      </c>
      <c r="DQ283" s="360"/>
      <c r="DR283" s="245" t="e">
        <f ca="1">INDEX(INDIRECT(VLOOKUP(LEFT(BO283,7),CLU!$Z$3:$AH$18,7)),M283-1,1)</f>
        <v>#N/A</v>
      </c>
      <c r="DS283" s="245" t="e">
        <f ca="1">INDEX(INDIRECT(VLOOKUP(LEFT(BO283,7),CLU!$Z$3:$AH$18,7)),M283-1,2)</f>
        <v>#N/A</v>
      </c>
      <c r="DT283" s="245" t="e">
        <f ca="1">INDEX(INDIRECT(VLOOKUP(LEFT(BO283,7),CLU!$Z$3:$AH$18,7)),M283-1,3)</f>
        <v>#N/A</v>
      </c>
      <c r="DU283" s="245" t="e">
        <f ca="1">INDEX(INDIRECT(VLOOKUP(LEFT(BO283,7),CLU!$Z$3:$AH$18,7)),M283-1,4)</f>
        <v>#N/A</v>
      </c>
      <c r="DV283" s="361" t="e">
        <f ca="1">INDEX(INDIRECT(VLOOKUP(LEFT(BO283,7),CLU!$Z$3:$AH$18,7)),M283-1,4+LEFT(DZ283,1)*0.5)</f>
        <v>#N/A</v>
      </c>
      <c r="DW283" s="245" t="e">
        <f ca="1">INDEX(INDIRECT(VLOOKUP(LEFT(BO283,7),CLU!$Z$3:$AH$18,7)),M283-1,8)</f>
        <v>#N/A</v>
      </c>
      <c r="DX283" s="361" t="str">
        <f t="shared" si="862"/>
        <v xml:space="preserve"> </v>
      </c>
      <c r="DY283" s="361" t="str">
        <f t="shared" si="863"/>
        <v xml:space="preserve"> </v>
      </c>
      <c r="DZ283" s="361" t="str">
        <f t="shared" si="864"/>
        <v xml:space="preserve"> </v>
      </c>
      <c r="EA283" s="362" t="str">
        <f t="shared" si="865"/>
        <v xml:space="preserve"> </v>
      </c>
      <c r="EB283" s="624" t="str">
        <f t="shared" si="970"/>
        <v xml:space="preserve"> </v>
      </c>
      <c r="EC283" s="361" t="e">
        <f ca="1">INDEX(INDIRECT(VLOOKUP(LEFT(BO283,7),CLU!$Z$3:$AH$18,7)),M283-1,4+LEFT(DZ283,1)*0.5)</f>
        <v>#N/A</v>
      </c>
      <c r="ED283" s="362" t="str">
        <f t="shared" si="866"/>
        <v xml:space="preserve"> </v>
      </c>
      <c r="EE283" s="361" t="str">
        <f t="shared" si="867"/>
        <v xml:space="preserve"> </v>
      </c>
      <c r="EF283" s="362" t="str">
        <f>IF(L283&gt;0,IF(BR283&gt;0,IF(EE283="2P",IF(Calculation!DZ283="2P",IF(Calculation!DS283=13.75,IF(Calculation!DR283=13,Worksheet!$BD$43,IF(Calculation!DR283=37,Worksheet!$BD$44,Worksheet!$BD$45)),IF(Calculation!DS283=10,IF(Calculation!DR283=18,Worksheet!$BD$29,IF(Calculation!DR283=30,Worksheet!$BD$30,IF(Calculation!DR283=42,Worksheet!$BD$31,IF(Calculation!DR283=54,Worksheet!$BD$32,IF(Calculation!DR283=66,Worksheet!$BD$33,IF(Calculation!DR283=78,Worksheet!$BD$34,IF(Calculation!DR283=90,Worksheet!$BD$35,IF(Calculation!DR283=102,Worksheet!$BD$36,Worksheet!$BD$37)))))))),IF(Calculation!DS283=12.5,IF(Calculation!DR283=18,Worksheet!$BD$38,IF(Calculation!DR283=Worksheet!$BD$39,IF(Calculation!DR283=42,Worksheet!$BD$40,IF(Calculation!DR283=54,Worksheet!$BD$41,Worksheet!$BD$42)))),IF(Calculation!DR283=18,Worksheet!$BD$11,IF(Calculation!DR283=30,Worksheet!$BD$12,IF(Calculation!DR283=42,Worksheet!$BD$13,IF(Calculation!DR283=54,Worksheet!$BD$14,IF(Calculation!DR283=66,Worksheet!$BD$15,IF(Calculation!DR283=78,Worksheet!$BD$16,IF(Calculation!DR283=90,Worksheet!$BD$17,IF(Calculation!DR283=102,Worksheet!$BD$18,Worksheet!$BD$19))))))))))),IF(Calculation!DS283=13.75,IF(Calculation!DR283=13,Worksheet!$BD$78,IF(Calculation!DR283=37,Worksheet!$BD$79,Worksheet!$BD$80)),IF(Calculation!DS283=10,IF(Calculation!DR283=18,Worksheet!$BD$64,IF(Calculation!DR283=30,Worksheet!$BD$65,IF(Calculation!DR283=42,Worksheet!$BD$66,IF(Calculation!DR283=54,Worksheet!$BD$68,IF(Calculation!DR283=66,Worksheet!$BD$68,IF(Calculation!DR283=78,Worksheet!$BD$69,IF(Calculation!DR283=90,Worksheet!$BD$70,IF(Calculation!DR283=102,Worksheet!$BD$71,Worksheet!$BD$72)))))))),IF(Calculation!DS283=12.5,IF(Calculation!DR283=18,Worksheet!$BD$73,IF(Calculation!DR283=Worksheet!$BD$74,IF(Calculation!DR283=42,Worksheet!$BD$75,IF(Calculation!DR283=54,Worksheet!$BD$76,Worksheet!$BD$77)))),IF(Calculation!DR283=18,Worksheet!$BD$55,IF(Calculation!DR283=30,Worksheet!$BD$56,IF(Calculation!DR283=42,Worksheet!$BD$57,IF(Calculation!DR283=54,Worksheet!$BD$58,IF(Calculation!DR283=66,Worksheet!$BD$59,IF(Calculation!DR283=78,Worksheet!$BD$60,IF(Calculation!DR283=90,Worksheet!$BD$61,IF(Calculation!DR283=102,Worksheet!$BD$62,Worksheet!$BD$63)))))))))))),5),0)," ")</f>
        <v xml:space="preserve"> </v>
      </c>
      <c r="EG283" s="361" t="str">
        <f t="shared" si="868"/>
        <v xml:space="preserve"> </v>
      </c>
      <c r="EH283" s="361" t="e">
        <f ca="1">INDEX(INDIRECT(VLOOKUP(LEFT(BO283,7),CLU!$Z$3:$AH$18,7)),M283-1,3+LEFT(DZ283,1))</f>
        <v>#N/A</v>
      </c>
      <c r="EI283" s="362" t="str">
        <f t="shared" si="869"/>
        <v xml:space="preserve"> </v>
      </c>
      <c r="EJ283" s="363" t="str">
        <f t="shared" si="870"/>
        <v xml:space="preserve"> </v>
      </c>
      <c r="EK283" s="363" t="str">
        <f t="shared" si="871"/>
        <v xml:space="preserve"> </v>
      </c>
      <c r="EL283" s="363" t="str">
        <f t="shared" si="872"/>
        <v xml:space="preserve"> </v>
      </c>
      <c r="EM283" s="362" t="str">
        <f>IF(L283&gt;0,IF(BR283&gt;0,(Calculation!T283/ED283)^2,0)," ")</f>
        <v xml:space="preserve"> </v>
      </c>
      <c r="EN283" s="362" t="str">
        <f>IF(L283&gt;0,IF(O283="2 Pipe (Cooling)","N/A",IF(BR283&gt;0,(Calculation!U283/EI283)^2,0))," ")</f>
        <v xml:space="preserve"> </v>
      </c>
      <c r="EO283" s="361" t="str">
        <f t="shared" si="873"/>
        <v/>
      </c>
      <c r="EP283" s="361" t="str">
        <f t="shared" si="874"/>
        <v/>
      </c>
      <c r="EQ283" s="361" t="str">
        <f t="shared" si="875"/>
        <v/>
      </c>
      <c r="ER283" s="361" t="str">
        <f t="shared" si="876"/>
        <v/>
      </c>
      <c r="ES283" s="361" t="str">
        <f t="shared" si="877"/>
        <v/>
      </c>
      <c r="ET283" s="361" t="str">
        <f t="shared" si="878"/>
        <v/>
      </c>
      <c r="EU283" s="361" t="str">
        <f t="shared" si="879"/>
        <v/>
      </c>
      <c r="EV283" s="361" t="str">
        <f t="shared" si="880"/>
        <v/>
      </c>
      <c r="EW283" s="361" t="str">
        <f t="shared" si="881"/>
        <v/>
      </c>
      <c r="EX283" s="361" t="str">
        <f t="shared" si="971"/>
        <v>1 slot, 1 way</v>
      </c>
      <c r="EY283" s="361" t="str">
        <f t="shared" si="972"/>
        <v xml:space="preserve"> </v>
      </c>
      <c r="EZ283" s="361" t="str">
        <f t="shared" si="973"/>
        <v xml:space="preserve"> </v>
      </c>
      <c r="FA283" s="361" t="str">
        <f t="shared" si="974"/>
        <v xml:space="preserve"> </v>
      </c>
      <c r="FB283" s="361" t="str">
        <f t="shared" si="975"/>
        <v xml:space="preserve"> </v>
      </c>
      <c r="FC283" s="361"/>
      <c r="FD283" s="361" t="str">
        <f>IF(J283&gt;0,IF(Calculation!R283&lt;=70,4,IF(Calculation!R283&lt;=110,5,IF(Calculation!R283&lt;=160,6,IF(Calculation!R283&lt;=300,8,"10 EO")))),"")</f>
        <v/>
      </c>
      <c r="FE283" s="361" t="str">
        <f t="shared" si="976"/>
        <v/>
      </c>
      <c r="FF283" s="361" t="str">
        <f t="shared" si="977"/>
        <v/>
      </c>
      <c r="FG283" s="361" t="e">
        <f t="shared" si="882"/>
        <v>#N/A</v>
      </c>
      <c r="FH283" s="361">
        <f t="shared" si="883"/>
        <v>0</v>
      </c>
      <c r="FI283" s="361" t="e">
        <f t="shared" si="884"/>
        <v>#DIV/0!</v>
      </c>
      <c r="FJ283" s="361"/>
      <c r="FK283" s="356" t="e">
        <f t="shared" si="885"/>
        <v>#VALUE!</v>
      </c>
      <c r="FL283" s="361"/>
      <c r="FM283" s="361"/>
      <c r="FN283" s="362" t="str">
        <f t="shared" si="978"/>
        <v xml:space="preserve"> </v>
      </c>
      <c r="FO283" s="362" t="str">
        <f t="shared" si="979"/>
        <v xml:space="preserve"> </v>
      </c>
      <c r="FP283" s="362">
        <f t="shared" si="980"/>
        <v>0</v>
      </c>
      <c r="FQ283" s="361">
        <f t="shared" si="886"/>
        <v>0</v>
      </c>
      <c r="FR283" s="362" t="str">
        <f>IF(L283&gt;0,IF(J283="CBAL2",Worksheet!$P$67,IF(J283="CBE2-24",Worksheet!$Q$67,IF(J283="CBAM",Worksheet!$R$67,IF(J283="CBLV",Worksheet!$S$67,IF(J283="CBAB",Worksheet!$U$67,IF(J283="CBAW",Worksheet!$X$67,IF(J283="CBE2-12",Worksheet!$Y$67,IF(J283="CBAL2",Worksheet!$Z$67,"N/A"))))))))," ")</f>
        <v xml:space="preserve"> </v>
      </c>
      <c r="FS283" s="362" t="str">
        <f>IF(L283&gt;0,IF(J283="CBAL2",Worksheet!$P$68,IF(J283="CBE2-24",Worksheet!$Q$68,IF(J283="CBAM",Worksheet!$R$68,IF(J283="CBLV",Worksheet!$S$68,IF(J283="CBAB",Worksheet!$U$68,IF(J283="CBAW",Worksheet!$X$68,IF(J283="CBE2-12",Worksheet!$Y$68,IF(J283="CBAL2",Worksheet!$Z$68,"N/A"))))))))," ")</f>
        <v xml:space="preserve"> </v>
      </c>
      <c r="FT283" s="362" t="str">
        <f>IF(L283&gt;0,IF(J283="CBAL2",Worksheet!$P$69,IF(J283="CBE2-24",Worksheet!$Q$69,IF(J283="CBAM",Worksheet!$R$69,IF(J283="CBLV",Worksheet!$S$69,IF(J283="CBAB",Worksheet!$U$69,IF(J283="CBAW",Worksheet!$X$69,IF(J283="CBE2-12",Worksheet!$Y$69,IF(J283="CBAL2",Worksheet!$Z$69,"N/A"))))))))," ")</f>
        <v xml:space="preserve"> </v>
      </c>
      <c r="FU283" s="361" t="str">
        <f t="shared" si="981"/>
        <v xml:space="preserve"> </v>
      </c>
      <c r="FV283" s="362" t="str">
        <f t="shared" si="982"/>
        <v xml:space="preserve"> </v>
      </c>
      <c r="FW283" s="362" t="str">
        <f t="shared" si="983"/>
        <v xml:space="preserve"> </v>
      </c>
      <c r="FX283" s="362" t="str">
        <f t="shared" si="984"/>
        <v xml:space="preserve"> </v>
      </c>
      <c r="FY283" s="355" t="str">
        <f t="shared" si="985"/>
        <v xml:space="preserve"> </v>
      </c>
      <c r="FZ283" s="361" t="str">
        <f t="shared" si="986"/>
        <v xml:space="preserve"> </v>
      </c>
      <c r="GA283" s="347" t="str">
        <f t="shared" si="987"/>
        <v xml:space="preserve"> </v>
      </c>
      <c r="GB283" s="355" t="str">
        <f t="shared" si="988"/>
        <v xml:space="preserve"> </v>
      </c>
      <c r="GC283" s="328" t="str">
        <f t="shared" si="989"/>
        <v xml:space="preserve"> </v>
      </c>
      <c r="GD283" s="361" t="str">
        <f t="shared" si="990"/>
        <v xml:space="preserve"> </v>
      </c>
      <c r="GE283" s="347" t="str">
        <f t="shared" si="991"/>
        <v xml:space="preserve"> </v>
      </c>
      <c r="GF283" s="361" t="str">
        <f t="shared" si="992"/>
        <v xml:space="preserve"> </v>
      </c>
      <c r="GG283" s="347" t="str">
        <f t="shared" si="993"/>
        <v xml:space="preserve"> </v>
      </c>
      <c r="GH283" s="364">
        <f t="shared" si="887"/>
        <v>0</v>
      </c>
      <c r="GI283" s="362">
        <f t="shared" si="994"/>
        <v>2</v>
      </c>
      <c r="GJ283" s="433" t="e">
        <f>IF(6-COUNTBLANK(GT283:GY283)=4,MATCH(MID(BO283,9,3),CLU!$H$16:$K$16),MATCH(MID(BO283,9,3),CLU!$H$13:$M$13))</f>
        <v>#N/A</v>
      </c>
      <c r="GK283" s="433" t="e">
        <f>HLOOKUP(VALUE(BP283),CLU!$H$9:$M$10,2)</f>
        <v>#VALUE!</v>
      </c>
      <c r="GL283" s="433" t="e">
        <f ca="1">MATCH(BU283,CLU!$H$2:$V$2,1)</f>
        <v>#VALUE!</v>
      </c>
      <c r="GM283" s="433" t="e">
        <f t="shared" ca="1" si="995"/>
        <v>#VALUE!</v>
      </c>
      <c r="GN283" s="433" t="e">
        <f t="shared" ca="1" si="996"/>
        <v>#VALUE!</v>
      </c>
      <c r="GO283" s="433" t="e">
        <f t="shared" ca="1" si="997"/>
        <v>#VALUE!</v>
      </c>
      <c r="GP283" s="433" t="e">
        <f t="shared" ca="1" si="998"/>
        <v>#VALUE!</v>
      </c>
      <c r="GQ283" s="433" t="e">
        <f t="shared" ca="1" si="999"/>
        <v>#VALUE!</v>
      </c>
      <c r="GR283" s="433" t="e">
        <f ca="1">MATCH(T283,INDIRECT(VLOOKUP(CONCATENATE(LEFT(BO283,7),"-",MID(BO283,13,1)),CLU!$P$3:$Q$16,2)),1)</f>
        <v>#N/A</v>
      </c>
      <c r="GS283" s="433" t="e">
        <f ca="1">MATCH(U283,INDIRECT(VLOOKUP(CONCATENATE(LEFT(BO283,7),"-",MID(BO283,13,1)),CLU!$P$3:$Q$16,2)),1)</f>
        <v>#N/A</v>
      </c>
      <c r="GT283" s="347" t="s">
        <v>512</v>
      </c>
      <c r="GU283" s="97" t="s">
        <v>513</v>
      </c>
      <c r="GV283" s="97" t="str">
        <f t="shared" si="1000"/>
        <v>M23</v>
      </c>
      <c r="GW283" s="97" t="str">
        <f t="shared" si="1001"/>
        <v>M31</v>
      </c>
      <c r="GX283" s="97" t="str">
        <f t="shared" si="1002"/>
        <v/>
      </c>
      <c r="GY283" s="97" t="str">
        <f t="shared" si="1003"/>
        <v/>
      </c>
      <c r="GZ283" s="481"/>
      <c r="HA283" s="240"/>
      <c r="HB283" s="240"/>
      <c r="HC283" s="240"/>
      <c r="HD283" s="240"/>
      <c r="HE283" s="240"/>
      <c r="HF283" s="240"/>
      <c r="HG283" s="240"/>
      <c r="HH283" s="240"/>
      <c r="HI283" s="240"/>
      <c r="HJ283" s="240"/>
      <c r="HK283" s="240"/>
      <c r="HL283" s="240"/>
      <c r="HM283" s="240"/>
      <c r="HN283" s="240"/>
      <c r="HO283" s="240"/>
      <c r="HP283" s="240"/>
      <c r="HQ283" s="240"/>
      <c r="HR283" s="240"/>
      <c r="HS283" s="240"/>
      <c r="HT283" s="240"/>
      <c r="HU283" s="240"/>
      <c r="HV283" s="245"/>
      <c r="HW283" s="245" t="b">
        <v>1</v>
      </c>
      <c r="HX283" s="245" t="str">
        <f t="shared" si="888"/>
        <v/>
      </c>
      <c r="HY283" s="245" t="e">
        <f t="shared" si="889"/>
        <v>#DIV/0!</v>
      </c>
      <c r="HZ283" s="245" t="e">
        <f t="shared" si="890"/>
        <v>#DIV/0!</v>
      </c>
      <c r="IA283" s="245">
        <f t="shared" si="891"/>
        <v>0</v>
      </c>
      <c r="IB283" s="245"/>
      <c r="IC283" t="b">
        <f t="shared" si="892"/>
        <v>1</v>
      </c>
      <c r="ID283" s="245" t="b">
        <f t="shared" si="893"/>
        <v>1</v>
      </c>
      <c r="IE283" s="245" t="b">
        <f t="shared" si="894"/>
        <v>1</v>
      </c>
      <c r="IF283" s="245" t="b">
        <f t="shared" si="895"/>
        <v>0</v>
      </c>
      <c r="IG283" s="245" t="b">
        <f t="shared" si="896"/>
        <v>1</v>
      </c>
      <c r="IH283" s="245" t="b">
        <f t="shared" si="897"/>
        <v>1</v>
      </c>
      <c r="II283" s="245">
        <f t="shared" si="1004"/>
        <v>0</v>
      </c>
      <c r="IJ283" s="245" t="e">
        <f t="shared" si="898"/>
        <v>#VALUE!</v>
      </c>
      <c r="IK283" s="245" t="e">
        <f t="shared" si="899"/>
        <v>#VALUE!</v>
      </c>
      <c r="IL283" s="245"/>
      <c r="IM283" s="245" t="e">
        <f t="shared" si="1005"/>
        <v>#N/A</v>
      </c>
      <c r="IN283" s="245" t="e">
        <f t="shared" si="1006"/>
        <v>#N/A</v>
      </c>
      <c r="IO283" s="245"/>
      <c r="IP283" s="245"/>
      <c r="IQ283" s="245" t="str">
        <f t="shared" si="900"/>
        <v/>
      </c>
      <c r="IR283" s="245" t="str">
        <f>IF(J283="","",VLOOKUP(J283,Worksheet!$R$4:$T$14,2))</f>
        <v/>
      </c>
      <c r="IS283" s="245"/>
      <c r="IT283" s="245">
        <f t="shared" si="901"/>
        <v>0</v>
      </c>
      <c r="IU283" s="245">
        <f t="shared" si="902"/>
        <v>0</v>
      </c>
      <c r="IV283" s="245">
        <f t="shared" si="903"/>
        <v>0</v>
      </c>
      <c r="IW283" s="245">
        <f t="shared" si="904"/>
        <v>0</v>
      </c>
      <c r="IX283" s="245">
        <f t="shared" si="1007"/>
        <v>0</v>
      </c>
      <c r="IY283" s="245">
        <f t="shared" si="905"/>
        <v>0</v>
      </c>
      <c r="IZ283" s="245">
        <f t="shared" si="906"/>
        <v>0</v>
      </c>
      <c r="JA283">
        <f t="shared" si="907"/>
        <v>0</v>
      </c>
      <c r="JB283">
        <f t="shared" si="1008"/>
        <v>0</v>
      </c>
      <c r="JC283">
        <f t="shared" si="908"/>
        <v>0</v>
      </c>
      <c r="JD283">
        <f t="shared" si="909"/>
        <v>0</v>
      </c>
      <c r="JE283">
        <f t="shared" si="910"/>
        <v>0</v>
      </c>
      <c r="JF283">
        <f t="shared" si="911"/>
        <v>0</v>
      </c>
      <c r="JG283">
        <f t="shared" si="912"/>
        <v>0</v>
      </c>
      <c r="JH283">
        <f t="shared" si="913"/>
        <v>0</v>
      </c>
      <c r="JI283">
        <f t="shared" si="914"/>
        <v>0</v>
      </c>
      <c r="JJ283" s="447">
        <f t="shared" si="915"/>
        <v>0</v>
      </c>
      <c r="JK283" s="447">
        <f t="shared" si="916"/>
        <v>0</v>
      </c>
      <c r="JL283">
        <f t="shared" si="917"/>
        <v>0</v>
      </c>
      <c r="JM283" s="245" t="str">
        <f>IFERROR(VLOOKUP(MATCH(BN283,#REF!,0),#REF!,7),"")</f>
        <v/>
      </c>
      <c r="JN283" t="e">
        <f>HLOOKUP(LEFT(BO283,7),Discharge_Area,MATCH(JO283,LookUps!$B$130:$B$149,1)+2)</f>
        <v>#N/A</v>
      </c>
      <c r="JO283" t="str">
        <f t="shared" si="918"/>
        <v>- S</v>
      </c>
      <c r="JP283" t="e">
        <f>HLOOKUP(LEFT(BO283,7),Discharge_Area,MATCH(JO283,LookUps!$B$130:$B$149,1)+2)</f>
        <v>#N/A</v>
      </c>
      <c r="JQ283" t="e">
        <f t="shared" si="919"/>
        <v>#N/A</v>
      </c>
      <c r="JR283" t="e">
        <f t="shared" si="920"/>
        <v>#N/A</v>
      </c>
      <c r="JS283" t="e">
        <f t="shared" si="921"/>
        <v>#N/A</v>
      </c>
      <c r="JT283" s="532" t="str">
        <f t="shared" si="922"/>
        <v xml:space="preserve"> </v>
      </c>
      <c r="JU283" s="532" t="str">
        <f t="shared" si="923"/>
        <v xml:space="preserve"> </v>
      </c>
      <c r="JV283" s="533" t="str">
        <f t="shared" si="924"/>
        <v xml:space="preserve"> </v>
      </c>
      <c r="JW283" s="534">
        <f t="shared" si="925"/>
        <v>0</v>
      </c>
      <c r="JX283" s="535" t="str">
        <f t="shared" si="1009"/>
        <v xml:space="preserve"> </v>
      </c>
      <c r="JY283" s="535" t="str">
        <f t="shared" si="1010"/>
        <v xml:space="preserve"> </v>
      </c>
      <c r="JZ283" s="535" t="str">
        <f t="shared" si="1011"/>
        <v xml:space="preserve"> </v>
      </c>
      <c r="KA283" s="536" t="str">
        <f t="shared" si="926"/>
        <v xml:space="preserve"> </v>
      </c>
      <c r="KB283" s="535" t="e">
        <f t="shared" si="1012"/>
        <v>#VALUE!</v>
      </c>
      <c r="KC283" s="535" t="str">
        <f t="shared" si="927"/>
        <v/>
      </c>
      <c r="KD283" s="537" t="str">
        <f t="shared" si="1013"/>
        <v xml:space="preserve"> </v>
      </c>
      <c r="KE283" s="537" t="str">
        <f t="shared" si="1014"/>
        <v xml:space="preserve"> </v>
      </c>
      <c r="KF283" s="534">
        <f t="shared" si="928"/>
        <v>0</v>
      </c>
      <c r="KG283" s="535" t="str">
        <f t="shared" si="929"/>
        <v xml:space="preserve"> </v>
      </c>
      <c r="KH283" s="535" t="str">
        <f t="shared" si="930"/>
        <v xml:space="preserve"> </v>
      </c>
      <c r="KI283" s="535" t="str">
        <f t="shared" si="931"/>
        <v xml:space="preserve"> </v>
      </c>
      <c r="KJ283" s="536" t="str">
        <f t="shared" si="932"/>
        <v xml:space="preserve"> </v>
      </c>
      <c r="KK283" s="535" t="str">
        <f t="shared" si="1015"/>
        <v xml:space="preserve"> </v>
      </c>
      <c r="KL283" s="535" t="str">
        <f t="shared" si="1016"/>
        <v xml:space="preserve"> </v>
      </c>
      <c r="KM283" s="537" t="str">
        <f t="shared" si="933"/>
        <v xml:space="preserve"> </v>
      </c>
      <c r="KN283" s="537" t="str">
        <f t="shared" si="1017"/>
        <v xml:space="preserve"> </v>
      </c>
      <c r="KP283">
        <f t="shared" si="934"/>
        <v>0</v>
      </c>
      <c r="LA283" t="e">
        <f t="shared" si="935"/>
        <v>#VALUE!</v>
      </c>
      <c r="LB283" t="e">
        <f t="shared" si="936"/>
        <v>#VALUE!</v>
      </c>
      <c r="LC283" t="e">
        <f t="shared" si="937"/>
        <v>#VALUE!</v>
      </c>
      <c r="LD283" t="e">
        <f t="shared" si="938"/>
        <v>#VALUE!</v>
      </c>
      <c r="LE283" t="e">
        <f t="shared" si="1018"/>
        <v>#VALUE!</v>
      </c>
      <c r="LF283">
        <f t="shared" si="939"/>
        <v>0</v>
      </c>
      <c r="LG283" t="e">
        <f t="shared" si="1019"/>
        <v>#VALUE!</v>
      </c>
      <c r="LH283" t="str">
        <f t="shared" si="940"/>
        <v xml:space="preserve"> </v>
      </c>
      <c r="LI283">
        <f t="shared" si="1020"/>
        <v>1</v>
      </c>
    </row>
    <row r="284" spans="2:321" ht="15" customHeight="1">
      <c r="B284" s="311"/>
      <c r="C284" s="311"/>
      <c r="D284" s="312"/>
      <c r="E284" s="311"/>
      <c r="F284" s="312"/>
      <c r="G284" s="311"/>
      <c r="H284" s="311"/>
      <c r="I284" s="232"/>
      <c r="J284" s="311"/>
      <c r="K284" s="305" t="str">
        <f t="shared" si="941"/>
        <v/>
      </c>
      <c r="L284" s="313"/>
      <c r="M284" s="312"/>
      <c r="N284" s="311"/>
      <c r="O284" s="312"/>
      <c r="P284" s="311"/>
      <c r="Q284" s="305" t="str">
        <f t="shared" si="942"/>
        <v/>
      </c>
      <c r="R284" s="314"/>
      <c r="S284" s="450" t="str">
        <f t="shared" si="825"/>
        <v/>
      </c>
      <c r="T284" s="315"/>
      <c r="U284" s="315"/>
      <c r="W284" s="149" t="str">
        <f t="shared" si="826"/>
        <v xml:space="preserve"> </v>
      </c>
      <c r="X284" s="243" t="str">
        <f t="shared" si="827"/>
        <v xml:space="preserve"> </v>
      </c>
      <c r="Y284" s="150" t="str">
        <f t="shared" si="828"/>
        <v/>
      </c>
      <c r="Z284" s="149" t="str">
        <f t="shared" si="829"/>
        <v xml:space="preserve"> </v>
      </c>
      <c r="AA284" s="98" t="str">
        <f t="shared" si="830"/>
        <v xml:space="preserve"> </v>
      </c>
      <c r="AB284" s="153" t="str">
        <f t="shared" si="831"/>
        <v xml:space="preserve"> </v>
      </c>
      <c r="AC284" s="153" t="str">
        <f t="shared" si="832"/>
        <v xml:space="preserve"> </v>
      </c>
      <c r="AD284" s="148" t="str">
        <f t="shared" si="833"/>
        <v/>
      </c>
      <c r="AE284" s="149" t="str">
        <f t="shared" si="834"/>
        <v/>
      </c>
      <c r="AF284" s="151" t="str">
        <f t="shared" si="835"/>
        <v xml:space="preserve"> </v>
      </c>
      <c r="AG284" s="153" t="str">
        <f t="shared" si="836"/>
        <v xml:space="preserve"> </v>
      </c>
      <c r="AH284" s="98" t="str">
        <f t="shared" si="837"/>
        <v xml:space="preserve"> </v>
      </c>
      <c r="AI284" s="149" t="str">
        <f t="shared" si="838"/>
        <v xml:space="preserve"> </v>
      </c>
      <c r="AK284" s="144" t="str">
        <f t="shared" si="839"/>
        <v xml:space="preserve"> </v>
      </c>
      <c r="AL284" s="144"/>
      <c r="AM284" s="243" t="str">
        <f t="shared" si="840"/>
        <v xml:space="preserve"> </v>
      </c>
      <c r="AN284" s="149" t="str">
        <f t="shared" si="943"/>
        <v xml:space="preserve"> </v>
      </c>
      <c r="AO284" s="144" t="str">
        <f>IF(JB284&gt;0,IF(GI284=10,-R284*1.085*(Calculation!$F$6-Calculation!$F$13)*$S$14," "),"")</f>
        <v/>
      </c>
      <c r="AP284" s="144" t="str">
        <f t="shared" si="841"/>
        <v/>
      </c>
      <c r="AQ284" s="56" t="str">
        <f t="shared" si="842"/>
        <v/>
      </c>
      <c r="AR284" s="144" t="str">
        <f t="shared" si="843"/>
        <v/>
      </c>
      <c r="AS284" s="176" t="str">
        <f t="shared" si="844"/>
        <v/>
      </c>
      <c r="AT284" s="176" t="str">
        <f t="shared" si="944"/>
        <v xml:space="preserve"> </v>
      </c>
      <c r="AU284" s="176" t="str">
        <f t="shared" si="845"/>
        <v/>
      </c>
      <c r="AV284" s="177" t="str">
        <f t="shared" si="846"/>
        <v xml:space="preserve"> </v>
      </c>
      <c r="AW284" s="144" t="str">
        <f t="shared" si="847"/>
        <v xml:space="preserve"> </v>
      </c>
      <c r="AX284" s="144" t="str">
        <f t="shared" si="848"/>
        <v xml:space="preserve"> </v>
      </c>
      <c r="AY284" s="152" t="str">
        <f t="shared" si="849"/>
        <v xml:space="preserve"> </v>
      </c>
      <c r="AZ284" s="246" t="str">
        <f t="shared" si="850"/>
        <v/>
      </c>
      <c r="BA284" s="176" t="str">
        <f t="shared" si="851"/>
        <v xml:space="preserve"> </v>
      </c>
      <c r="BB284" s="176" t="str">
        <f t="shared" si="852"/>
        <v xml:space="preserve"> </v>
      </c>
      <c r="BC284" s="195"/>
      <c r="BD284" s="316"/>
      <c r="BE284" s="317"/>
      <c r="BF284" s="318"/>
      <c r="BG284" s="318"/>
      <c r="BH284" s="144" t="str">
        <f t="shared" si="1021"/>
        <v xml:space="preserve"> </v>
      </c>
      <c r="BI284" s="176" t="str">
        <f t="shared" si="853"/>
        <v/>
      </c>
      <c r="BJ284" s="144" t="str">
        <f t="shared" si="1022"/>
        <v/>
      </c>
      <c r="BK284" s="246" t="str">
        <f t="shared" si="854"/>
        <v/>
      </c>
      <c r="BL284" s="144" t="str">
        <f t="shared" si="1023"/>
        <v/>
      </c>
      <c r="BM284" s="246" t="str">
        <f t="shared" si="855"/>
        <v/>
      </c>
      <c r="BN284" s="337" t="str">
        <f t="shared" si="945"/>
        <v/>
      </c>
      <c r="BO284" s="371" t="str">
        <f t="shared" si="946"/>
        <v/>
      </c>
      <c r="BP284" s="328" t="str">
        <f t="shared" si="1024"/>
        <v xml:space="preserve"> </v>
      </c>
      <c r="BQ284" s="347" t="str">
        <f t="shared" si="947"/>
        <v xml:space="preserve"> </v>
      </c>
      <c r="BR284" s="353" t="str">
        <f t="shared" si="948"/>
        <v xml:space="preserve"> </v>
      </c>
      <c r="BS284" s="626" t="str">
        <f>IF(L284&gt;0,IF(Calculation!P284="M13",BR284*3.1416*(0.134^2)/(4*144),IF(Calculation!P284="M17",BR284*3.1416*(0.165^2)/(4*144),IF(Calculation!P284="M20",BR284*3.1416*(0.198^2)/(4*144),IF(Calculation!P284="M23",BR284*3.1416*(0.228^2)/(4*144),IF(Calculation!P284="M27",BR284*3.1416*(0.269^2)/(4*144),BR284*3.1416*(0.307^2)/(4*144))))))," ")</f>
        <v xml:space="preserve"> </v>
      </c>
      <c r="BT284" s="353" t="str">
        <f>IF(L284&gt;0,IF(BS284&gt;0,R284/Calculation!BS284,0)," ")</f>
        <v xml:space="preserve"> </v>
      </c>
      <c r="BU284" s="438" t="e">
        <f t="shared" ca="1" si="856"/>
        <v>#VALUE!</v>
      </c>
      <c r="BV284" s="449" t="e">
        <f ca="1">INDEX(INDIRECT(VLOOKUP(LEFT(BO284,7),CLU!$Z$3:$AH$18,2)),GN284,GR284)</f>
        <v>#N/A</v>
      </c>
      <c r="BW284" s="433" t="e">
        <f ca="1">INDEX(INDIRECT(VLOOKUP(LEFT(BO284,7),CLU!$Z$3:$AH$18,3)),GN284,GR284)</f>
        <v>#N/A</v>
      </c>
      <c r="BX284" s="433" t="e">
        <f ca="1">INDEX(INDIRECT(VLOOKUP(LEFT(BO284,7),CLU!$Z$3:$AH$18,4)),GN284,GR284)</f>
        <v>#N/A</v>
      </c>
      <c r="BY284" s="433" t="e">
        <f ca="1">INDEX(INDIRECT(VLOOKUP(LEFT(BO284,7),CLU!$Z$3:$AH$18,9)),((M284-2)*(6-COUNTBLANK(GT284:GY284)))+GJ284)</f>
        <v>#N/A</v>
      </c>
      <c r="BZ284" s="426" t="e">
        <f t="shared" ca="1" si="949"/>
        <v>#N/A</v>
      </c>
      <c r="CA284" s="424" t="e">
        <f t="shared" ca="1" si="950"/>
        <v>#N/A</v>
      </c>
      <c r="CB284" s="429" t="e">
        <f ca="1">INDEX(INDIRECT(VLOOKUP(LEFT(BO284,7),CLU!$Z$3:$AH$18,2)),GN284,GS284)</f>
        <v>#N/A</v>
      </c>
      <c r="CC284" s="342" t="e">
        <f ca="1">INDEX(INDIRECT(VLOOKUP(LEFT(BO284,7),CLU!$Z$3:$AH$18,3)),GN284,GS284)</f>
        <v>#N/A</v>
      </c>
      <c r="CD284" s="342" t="e">
        <f ca="1">INDEX(INDIRECT(VLOOKUP(LEFT(BO284,7),CLU!$Z$3:$AH$18,4)),GN284,GS284)</f>
        <v>#N/A</v>
      </c>
      <c r="CE284" s="426" t="e">
        <f t="shared" ca="1" si="951"/>
        <v>#N/A</v>
      </c>
      <c r="CF284" s="440">
        <f t="shared" si="952"/>
        <v>0</v>
      </c>
      <c r="CG284" s="431" t="e">
        <f ca="1">INDEX(INDIRECT(VLOOKUP(LEFT(BO284,7),CLU!$Z$3:$AH$18,2)),GQ284,GR284)</f>
        <v>#N/A</v>
      </c>
      <c r="CH284" s="431" t="e">
        <f ca="1">INDEX(INDIRECT(VLOOKUP(LEFT(BO284,7),CLU!$Z$3:$AH$18,3)),GQ284,GR284)</f>
        <v>#N/A</v>
      </c>
      <c r="CI284" s="431" t="e">
        <f ca="1">INDEX(INDIRECT(VLOOKUP(LEFT(BO284,7),CLU!$Z$3:$AH$18,4)),GQ284,GR284)</f>
        <v>#N/A</v>
      </c>
      <c r="CJ284" s="448" t="e">
        <f t="shared" ca="1" si="953"/>
        <v>#N/A</v>
      </c>
      <c r="CK284" s="431" t="e">
        <f t="shared" ca="1" si="954"/>
        <v>#N/A</v>
      </c>
      <c r="CL284" s="440" t="e">
        <f t="shared" ca="1" si="955"/>
        <v>#N/A</v>
      </c>
      <c r="CM284" s="431" t="e">
        <f ca="1">INDEX(INDIRECT(VLOOKUP(LEFT(BO284,7),CLU!$Z$3:$AH$18,2)),GQ284,GS284)</f>
        <v>#N/A</v>
      </c>
      <c r="CN284" s="431" t="e">
        <f ca="1">INDEX(INDIRECT(VLOOKUP(LEFT(BO284,7),CLU!$Z$3:$AH$18,3)),GQ284,GS284)</f>
        <v>#N/A</v>
      </c>
      <c r="CO284" s="431" t="e">
        <f ca="1">INDEX(INDIRECT(VLOOKUP(LEFT(BO284,7),CLU!$Z$3:$AH$18,4)),GQ284,GS284)</f>
        <v>#N/A</v>
      </c>
      <c r="CP284" s="431" t="e">
        <f t="shared" ca="1" si="956"/>
        <v>#N/A</v>
      </c>
      <c r="CQ284" s="440">
        <f t="shared" si="957"/>
        <v>0</v>
      </c>
      <c r="CR284" s="51" t="e">
        <f t="shared" ca="1" si="958"/>
        <v>#N/A</v>
      </c>
      <c r="CS284" s="439" t="e">
        <f t="shared" ca="1" si="959"/>
        <v>#VALUE!</v>
      </c>
      <c r="CT284" s="51" t="e">
        <f t="shared" ca="1" si="960"/>
        <v>#VALUE!</v>
      </c>
      <c r="CU284" s="10"/>
      <c r="CV284" s="51" t="e">
        <f t="shared" ca="1" si="857"/>
        <v>#VALUE!</v>
      </c>
      <c r="CW284" s="51">
        <f t="shared" si="961"/>
        <v>0</v>
      </c>
      <c r="CX284" s="439" t="e">
        <f t="shared" ca="1" si="962"/>
        <v>#VALUE!</v>
      </c>
      <c r="CY284" s="51" t="e">
        <f t="shared" ca="1" si="963"/>
        <v>#VALUE!</v>
      </c>
      <c r="CZ284" s="10"/>
      <c r="DA284" s="51" t="e">
        <f t="shared" ca="1" si="964"/>
        <v>#VALUE!</v>
      </c>
      <c r="DB284" s="347" t="e">
        <f ca="1">INDEX(INDIRECT(VLOOKUP(LEFT(BO284,7),CLU!$Z$3:$AI$18,10)),((M284-2)*(6-COUNTBLANK(GT284:GY284)))+GJ284)*LI284</f>
        <v>#N/A</v>
      </c>
      <c r="DC284" s="347" t="str">
        <f>IF(L284&gt;0,((R284/Worksheet!$I$15)/DB284)^2," ")</f>
        <v xml:space="preserve"> </v>
      </c>
      <c r="DD284" s="602" t="str">
        <f t="shared" si="965"/>
        <v xml:space="preserve"> </v>
      </c>
      <c r="DE284" s="347" t="str">
        <f t="shared" si="858"/>
        <v xml:space="preserve"> </v>
      </c>
      <c r="DF284" s="356" t="e">
        <f ca="1">INDEX(INDIRECT(VLOOKUP(LEFT(BO284,7),CLU!$Z$3:$AH$18,8)),((M284-2)*(6-COUNTBLANK(GT284:GY284)))+GJ284)</f>
        <v>#N/A</v>
      </c>
      <c r="DG284" s="347" t="str">
        <f t="shared" si="859"/>
        <v xml:space="preserve"> </v>
      </c>
      <c r="DH284" s="357" t="str">
        <f t="shared" si="860"/>
        <v xml:space="preserve"> </v>
      </c>
      <c r="DI284" s="355" t="str">
        <f t="shared" si="861"/>
        <v xml:space="preserve"> </v>
      </c>
      <c r="DJ284" s="245" t="e">
        <f ca="1">INDEX(INDIRECT(VLOOKUP(LEFT(BO284,7),CLU!$Z$3:$AH$18,5)),GL284,GK284)</f>
        <v>#N/A</v>
      </c>
      <c r="DK284" s="245" t="e">
        <f ca="1">INDEX(INDIRECT(VLOOKUP(LEFT(BO284,7),CLU!$Z$3:$AH$18,6)),GL284,GK284)</f>
        <v>#N/A</v>
      </c>
      <c r="DL284" s="355">
        <f>(Calculation!R284*0.69143*(Calculation!$BQ$8-Calculation!$F$8))*$S$14</f>
        <v>0</v>
      </c>
      <c r="DM284" s="359" t="e">
        <f t="shared" si="966"/>
        <v>#VALUE!</v>
      </c>
      <c r="DN284" s="611">
        <f t="shared" si="967"/>
        <v>0</v>
      </c>
      <c r="DO284" s="359">
        <f t="shared" si="968"/>
        <v>100</v>
      </c>
      <c r="DP284" s="359">
        <f t="shared" si="969"/>
        <v>0</v>
      </c>
      <c r="DQ284" s="360"/>
      <c r="DR284" s="245" t="e">
        <f ca="1">INDEX(INDIRECT(VLOOKUP(LEFT(BO284,7),CLU!$Z$3:$AH$18,7)),M284-1,1)</f>
        <v>#N/A</v>
      </c>
      <c r="DS284" s="245" t="e">
        <f ca="1">INDEX(INDIRECT(VLOOKUP(LEFT(BO284,7),CLU!$Z$3:$AH$18,7)),M284-1,2)</f>
        <v>#N/A</v>
      </c>
      <c r="DT284" s="245" t="e">
        <f ca="1">INDEX(INDIRECT(VLOOKUP(LEFT(BO284,7),CLU!$Z$3:$AH$18,7)),M284-1,3)</f>
        <v>#N/A</v>
      </c>
      <c r="DU284" s="245" t="e">
        <f ca="1">INDEX(INDIRECT(VLOOKUP(LEFT(BO284,7),CLU!$Z$3:$AH$18,7)),M284-1,4)</f>
        <v>#N/A</v>
      </c>
      <c r="DV284" s="361" t="e">
        <f ca="1">INDEX(INDIRECT(VLOOKUP(LEFT(BO284,7),CLU!$Z$3:$AH$18,7)),M284-1,4+LEFT(DZ284,1)*0.5)</f>
        <v>#N/A</v>
      </c>
      <c r="DW284" s="245" t="e">
        <f ca="1">INDEX(INDIRECT(VLOOKUP(LEFT(BO284,7),CLU!$Z$3:$AH$18,7)),M284-1,8)</f>
        <v>#N/A</v>
      </c>
      <c r="DX284" s="361" t="str">
        <f t="shared" si="862"/>
        <v xml:space="preserve"> </v>
      </c>
      <c r="DY284" s="361" t="str">
        <f t="shared" si="863"/>
        <v xml:space="preserve"> </v>
      </c>
      <c r="DZ284" s="361" t="str">
        <f t="shared" si="864"/>
        <v xml:space="preserve"> </v>
      </c>
      <c r="EA284" s="362" t="str">
        <f t="shared" si="865"/>
        <v xml:space="preserve"> </v>
      </c>
      <c r="EB284" s="624" t="str">
        <f t="shared" si="970"/>
        <v xml:space="preserve"> </v>
      </c>
      <c r="EC284" s="361" t="e">
        <f ca="1">INDEX(INDIRECT(VLOOKUP(LEFT(BO284,7),CLU!$Z$3:$AH$18,7)),M284-1,4+LEFT(DZ284,1)*0.5)</f>
        <v>#N/A</v>
      </c>
      <c r="ED284" s="362" t="str">
        <f t="shared" si="866"/>
        <v xml:space="preserve"> </v>
      </c>
      <c r="EE284" s="361" t="str">
        <f t="shared" si="867"/>
        <v xml:space="preserve"> </v>
      </c>
      <c r="EF284" s="362" t="str">
        <f>IF(L284&gt;0,IF(BR284&gt;0,IF(EE284="2P",IF(Calculation!DZ284="2P",IF(Calculation!DS284=13.75,IF(Calculation!DR284=13,Worksheet!$BD$43,IF(Calculation!DR284=37,Worksheet!$BD$44,Worksheet!$BD$45)),IF(Calculation!DS284=10,IF(Calculation!DR284=18,Worksheet!$BD$29,IF(Calculation!DR284=30,Worksheet!$BD$30,IF(Calculation!DR284=42,Worksheet!$BD$31,IF(Calculation!DR284=54,Worksheet!$BD$32,IF(Calculation!DR284=66,Worksheet!$BD$33,IF(Calculation!DR284=78,Worksheet!$BD$34,IF(Calculation!DR284=90,Worksheet!$BD$35,IF(Calculation!DR284=102,Worksheet!$BD$36,Worksheet!$BD$37)))))))),IF(Calculation!DS284=12.5,IF(Calculation!DR284=18,Worksheet!$BD$38,IF(Calculation!DR284=Worksheet!$BD$39,IF(Calculation!DR284=42,Worksheet!$BD$40,IF(Calculation!DR284=54,Worksheet!$BD$41,Worksheet!$BD$42)))),IF(Calculation!DR284=18,Worksheet!$BD$11,IF(Calculation!DR284=30,Worksheet!$BD$12,IF(Calculation!DR284=42,Worksheet!$BD$13,IF(Calculation!DR284=54,Worksheet!$BD$14,IF(Calculation!DR284=66,Worksheet!$BD$15,IF(Calculation!DR284=78,Worksheet!$BD$16,IF(Calculation!DR284=90,Worksheet!$BD$17,IF(Calculation!DR284=102,Worksheet!$BD$18,Worksheet!$BD$19))))))))))),IF(Calculation!DS284=13.75,IF(Calculation!DR284=13,Worksheet!$BD$78,IF(Calculation!DR284=37,Worksheet!$BD$79,Worksheet!$BD$80)),IF(Calculation!DS284=10,IF(Calculation!DR284=18,Worksheet!$BD$64,IF(Calculation!DR284=30,Worksheet!$BD$65,IF(Calculation!DR284=42,Worksheet!$BD$66,IF(Calculation!DR284=54,Worksheet!$BD$68,IF(Calculation!DR284=66,Worksheet!$BD$68,IF(Calculation!DR284=78,Worksheet!$BD$69,IF(Calculation!DR284=90,Worksheet!$BD$70,IF(Calculation!DR284=102,Worksheet!$BD$71,Worksheet!$BD$72)))))))),IF(Calculation!DS284=12.5,IF(Calculation!DR284=18,Worksheet!$BD$73,IF(Calculation!DR284=Worksheet!$BD$74,IF(Calculation!DR284=42,Worksheet!$BD$75,IF(Calculation!DR284=54,Worksheet!$BD$76,Worksheet!$BD$77)))),IF(Calculation!DR284=18,Worksheet!$BD$55,IF(Calculation!DR284=30,Worksheet!$BD$56,IF(Calculation!DR284=42,Worksheet!$BD$57,IF(Calculation!DR284=54,Worksheet!$BD$58,IF(Calculation!DR284=66,Worksheet!$BD$59,IF(Calculation!DR284=78,Worksheet!$BD$60,IF(Calculation!DR284=90,Worksheet!$BD$61,IF(Calculation!DR284=102,Worksheet!$BD$62,Worksheet!$BD$63)))))))))))),5),0)," ")</f>
        <v xml:space="preserve"> </v>
      </c>
      <c r="EG284" s="361" t="str">
        <f t="shared" si="868"/>
        <v xml:space="preserve"> </v>
      </c>
      <c r="EH284" s="361" t="e">
        <f ca="1">INDEX(INDIRECT(VLOOKUP(LEFT(BO284,7),CLU!$Z$3:$AH$18,7)),M284-1,3+LEFT(DZ284,1))</f>
        <v>#N/A</v>
      </c>
      <c r="EI284" s="362" t="str">
        <f t="shared" si="869"/>
        <v xml:space="preserve"> </v>
      </c>
      <c r="EJ284" s="363" t="str">
        <f t="shared" si="870"/>
        <v xml:space="preserve"> </v>
      </c>
      <c r="EK284" s="363" t="str">
        <f t="shared" si="871"/>
        <v xml:space="preserve"> </v>
      </c>
      <c r="EL284" s="363" t="str">
        <f t="shared" si="872"/>
        <v xml:space="preserve"> </v>
      </c>
      <c r="EM284" s="362" t="str">
        <f>IF(L284&gt;0,IF(BR284&gt;0,(Calculation!T284/ED284)^2,0)," ")</f>
        <v xml:space="preserve"> </v>
      </c>
      <c r="EN284" s="362" t="str">
        <f>IF(L284&gt;0,IF(O284="2 Pipe (Cooling)","N/A",IF(BR284&gt;0,(Calculation!U284/EI284)^2,0))," ")</f>
        <v xml:space="preserve"> </v>
      </c>
      <c r="EO284" s="361" t="str">
        <f t="shared" si="873"/>
        <v/>
      </c>
      <c r="EP284" s="361" t="str">
        <f t="shared" si="874"/>
        <v/>
      </c>
      <c r="EQ284" s="361" t="str">
        <f t="shared" si="875"/>
        <v/>
      </c>
      <c r="ER284" s="361" t="str">
        <f t="shared" si="876"/>
        <v/>
      </c>
      <c r="ES284" s="361" t="str">
        <f t="shared" si="877"/>
        <v/>
      </c>
      <c r="ET284" s="361" t="str">
        <f t="shared" si="878"/>
        <v/>
      </c>
      <c r="EU284" s="361" t="str">
        <f t="shared" si="879"/>
        <v/>
      </c>
      <c r="EV284" s="361" t="str">
        <f t="shared" si="880"/>
        <v/>
      </c>
      <c r="EW284" s="361" t="str">
        <f t="shared" si="881"/>
        <v/>
      </c>
      <c r="EX284" s="361" t="str">
        <f t="shared" si="971"/>
        <v>1 slot, 1 way</v>
      </c>
      <c r="EY284" s="361" t="str">
        <f t="shared" si="972"/>
        <v xml:space="preserve"> </v>
      </c>
      <c r="EZ284" s="361" t="str">
        <f t="shared" si="973"/>
        <v xml:space="preserve"> </v>
      </c>
      <c r="FA284" s="361" t="str">
        <f t="shared" si="974"/>
        <v xml:space="preserve"> </v>
      </c>
      <c r="FB284" s="361" t="str">
        <f t="shared" si="975"/>
        <v xml:space="preserve"> </v>
      </c>
      <c r="FC284" s="361"/>
      <c r="FD284" s="361" t="str">
        <f>IF(J284&gt;0,IF(Calculation!R284&lt;=70,4,IF(Calculation!R284&lt;=110,5,IF(Calculation!R284&lt;=160,6,IF(Calculation!R284&lt;=300,8,"10 EO")))),"")</f>
        <v/>
      </c>
      <c r="FE284" s="361" t="str">
        <f t="shared" si="976"/>
        <v/>
      </c>
      <c r="FF284" s="361" t="str">
        <f t="shared" si="977"/>
        <v/>
      </c>
      <c r="FG284" s="361" t="e">
        <f t="shared" si="882"/>
        <v>#N/A</v>
      </c>
      <c r="FH284" s="361">
        <f t="shared" si="883"/>
        <v>0</v>
      </c>
      <c r="FI284" s="361" t="e">
        <f t="shared" si="884"/>
        <v>#DIV/0!</v>
      </c>
      <c r="FJ284" s="361"/>
      <c r="FK284" s="356" t="e">
        <f t="shared" si="885"/>
        <v>#VALUE!</v>
      </c>
      <c r="FL284" s="361"/>
      <c r="FM284" s="361"/>
      <c r="FN284" s="362" t="str">
        <f t="shared" si="978"/>
        <v xml:space="preserve"> </v>
      </c>
      <c r="FO284" s="362" t="str">
        <f t="shared" si="979"/>
        <v xml:space="preserve"> </v>
      </c>
      <c r="FP284" s="362">
        <f t="shared" si="980"/>
        <v>0</v>
      </c>
      <c r="FQ284" s="361">
        <f t="shared" si="886"/>
        <v>0</v>
      </c>
      <c r="FR284" s="362" t="str">
        <f>IF(L284&gt;0,IF(J284="CBAL2",Worksheet!$P$67,IF(J284="CBE2-24",Worksheet!$Q$67,IF(J284="CBAM",Worksheet!$R$67,IF(J284="CBLV",Worksheet!$S$67,IF(J284="CBAB",Worksheet!$U$67,IF(J284="CBAW",Worksheet!$X$67,IF(J284="CBE2-12",Worksheet!$Y$67,IF(J284="CBAL2",Worksheet!$Z$67,"N/A"))))))))," ")</f>
        <v xml:space="preserve"> </v>
      </c>
      <c r="FS284" s="362" t="str">
        <f>IF(L284&gt;0,IF(J284="CBAL2",Worksheet!$P$68,IF(J284="CBE2-24",Worksheet!$Q$68,IF(J284="CBAM",Worksheet!$R$68,IF(J284="CBLV",Worksheet!$S$68,IF(J284="CBAB",Worksheet!$U$68,IF(J284="CBAW",Worksheet!$X$68,IF(J284="CBE2-12",Worksheet!$Y$68,IF(J284="CBAL2",Worksheet!$Z$68,"N/A"))))))))," ")</f>
        <v xml:space="preserve"> </v>
      </c>
      <c r="FT284" s="362" t="str">
        <f>IF(L284&gt;0,IF(J284="CBAL2",Worksheet!$P$69,IF(J284="CBE2-24",Worksheet!$Q$69,IF(J284="CBAM",Worksheet!$R$69,IF(J284="CBLV",Worksheet!$S$69,IF(J284="CBAB",Worksheet!$U$69,IF(J284="CBAW",Worksheet!$X$69,IF(J284="CBE2-12",Worksheet!$Y$69,IF(J284="CBAL2",Worksheet!$Z$69,"N/A"))))))))," ")</f>
        <v xml:space="preserve"> </v>
      </c>
      <c r="FU284" s="361" t="str">
        <f t="shared" si="981"/>
        <v xml:space="preserve"> </v>
      </c>
      <c r="FV284" s="362" t="str">
        <f t="shared" si="982"/>
        <v xml:space="preserve"> </v>
      </c>
      <c r="FW284" s="362" t="str">
        <f t="shared" si="983"/>
        <v xml:space="preserve"> </v>
      </c>
      <c r="FX284" s="362" t="str">
        <f t="shared" si="984"/>
        <v xml:space="preserve"> </v>
      </c>
      <c r="FY284" s="355" t="str">
        <f t="shared" si="985"/>
        <v xml:space="preserve"> </v>
      </c>
      <c r="FZ284" s="361" t="str">
        <f t="shared" si="986"/>
        <v xml:space="preserve"> </v>
      </c>
      <c r="GA284" s="347" t="str">
        <f t="shared" si="987"/>
        <v xml:space="preserve"> </v>
      </c>
      <c r="GB284" s="355" t="str">
        <f t="shared" si="988"/>
        <v xml:space="preserve"> </v>
      </c>
      <c r="GC284" s="328" t="str">
        <f t="shared" si="989"/>
        <v xml:space="preserve"> </v>
      </c>
      <c r="GD284" s="361" t="str">
        <f t="shared" si="990"/>
        <v xml:space="preserve"> </v>
      </c>
      <c r="GE284" s="347" t="str">
        <f t="shared" si="991"/>
        <v xml:space="preserve"> </v>
      </c>
      <c r="GF284" s="361" t="str">
        <f t="shared" si="992"/>
        <v xml:space="preserve"> </v>
      </c>
      <c r="GG284" s="347" t="str">
        <f t="shared" si="993"/>
        <v xml:space="preserve"> </v>
      </c>
      <c r="GH284" s="364">
        <f t="shared" si="887"/>
        <v>0</v>
      </c>
      <c r="GI284" s="362">
        <f t="shared" si="994"/>
        <v>2</v>
      </c>
      <c r="GJ284" s="433" t="e">
        <f>IF(6-COUNTBLANK(GT284:GY284)=4,MATCH(MID(BO284,9,3),CLU!$H$16:$K$16),MATCH(MID(BO284,9,3),CLU!$H$13:$M$13))</f>
        <v>#N/A</v>
      </c>
      <c r="GK284" s="433" t="e">
        <f>HLOOKUP(VALUE(BP284),CLU!$H$9:$M$10,2)</f>
        <v>#VALUE!</v>
      </c>
      <c r="GL284" s="433" t="e">
        <f ca="1">MATCH(BU284,CLU!$H$2:$V$2,1)</f>
        <v>#VALUE!</v>
      </c>
      <c r="GM284" s="433" t="e">
        <f t="shared" ca="1" si="995"/>
        <v>#VALUE!</v>
      </c>
      <c r="GN284" s="433" t="e">
        <f t="shared" ca="1" si="996"/>
        <v>#VALUE!</v>
      </c>
      <c r="GO284" s="433" t="e">
        <f t="shared" ca="1" si="997"/>
        <v>#VALUE!</v>
      </c>
      <c r="GP284" s="433" t="e">
        <f t="shared" ca="1" si="998"/>
        <v>#VALUE!</v>
      </c>
      <c r="GQ284" s="433" t="e">
        <f t="shared" ca="1" si="999"/>
        <v>#VALUE!</v>
      </c>
      <c r="GR284" s="433" t="e">
        <f ca="1">MATCH(T284,INDIRECT(VLOOKUP(CONCATENATE(LEFT(BO284,7),"-",MID(BO284,13,1)),CLU!$P$3:$Q$16,2)),1)</f>
        <v>#N/A</v>
      </c>
      <c r="GS284" s="433" t="e">
        <f ca="1">MATCH(U284,INDIRECT(VLOOKUP(CONCATENATE(LEFT(BO284,7),"-",MID(BO284,13,1)),CLU!$P$3:$Q$16,2)),1)</f>
        <v>#N/A</v>
      </c>
      <c r="GT284" s="347" t="s">
        <v>512</v>
      </c>
      <c r="GU284" s="97" t="s">
        <v>513</v>
      </c>
      <c r="GV284" s="97" t="str">
        <f t="shared" si="1000"/>
        <v>M23</v>
      </c>
      <c r="GW284" s="97" t="str">
        <f t="shared" si="1001"/>
        <v>M31</v>
      </c>
      <c r="GX284" s="97" t="str">
        <f t="shared" si="1002"/>
        <v/>
      </c>
      <c r="GY284" s="97" t="str">
        <f t="shared" si="1003"/>
        <v/>
      </c>
      <c r="GZ284" s="481"/>
      <c r="HA284" s="240"/>
      <c r="HB284" s="240"/>
      <c r="HC284" s="240"/>
      <c r="HD284" s="240"/>
      <c r="HE284" s="240"/>
      <c r="HF284" s="240"/>
      <c r="HG284" s="240"/>
      <c r="HH284" s="240"/>
      <c r="HI284" s="240"/>
      <c r="HJ284" s="240"/>
      <c r="HK284" s="240"/>
      <c r="HL284" s="240"/>
      <c r="HM284" s="240"/>
      <c r="HN284" s="240"/>
      <c r="HO284" s="240"/>
      <c r="HP284" s="240"/>
      <c r="HQ284" s="240"/>
      <c r="HR284" s="240"/>
      <c r="HS284" s="240"/>
      <c r="HT284" s="240"/>
      <c r="HU284" s="240"/>
      <c r="HV284" s="245"/>
      <c r="HW284" s="245" t="b">
        <v>1</v>
      </c>
      <c r="HX284" s="245" t="str">
        <f t="shared" si="888"/>
        <v/>
      </c>
      <c r="HY284" s="245" t="e">
        <f t="shared" si="889"/>
        <v>#DIV/0!</v>
      </c>
      <c r="HZ284" s="245" t="e">
        <f t="shared" si="890"/>
        <v>#DIV/0!</v>
      </c>
      <c r="IA284" s="245">
        <f t="shared" si="891"/>
        <v>0</v>
      </c>
      <c r="IB284" s="245"/>
      <c r="IC284" t="b">
        <f t="shared" si="892"/>
        <v>1</v>
      </c>
      <c r="ID284" s="245" t="b">
        <f t="shared" si="893"/>
        <v>1</v>
      </c>
      <c r="IE284" s="245" t="b">
        <f t="shared" si="894"/>
        <v>1</v>
      </c>
      <c r="IF284" s="245" t="b">
        <f t="shared" si="895"/>
        <v>0</v>
      </c>
      <c r="IG284" s="245" t="b">
        <f t="shared" si="896"/>
        <v>1</v>
      </c>
      <c r="IH284" s="245" t="b">
        <f t="shared" si="897"/>
        <v>1</v>
      </c>
      <c r="II284" s="245">
        <f t="shared" si="1004"/>
        <v>0</v>
      </c>
      <c r="IJ284" s="245" t="e">
        <f t="shared" si="898"/>
        <v>#VALUE!</v>
      </c>
      <c r="IK284" s="245" t="e">
        <f t="shared" si="899"/>
        <v>#VALUE!</v>
      </c>
      <c r="IL284" s="245"/>
      <c r="IM284" s="245" t="e">
        <f t="shared" si="1005"/>
        <v>#N/A</v>
      </c>
      <c r="IN284" s="245" t="e">
        <f t="shared" si="1006"/>
        <v>#N/A</v>
      </c>
      <c r="IO284" s="245"/>
      <c r="IP284" s="245"/>
      <c r="IQ284" s="245" t="str">
        <f t="shared" si="900"/>
        <v/>
      </c>
      <c r="IR284" s="245" t="str">
        <f>IF(J284="","",VLOOKUP(J284,Worksheet!$R$4:$T$14,2))</f>
        <v/>
      </c>
      <c r="IS284" s="245"/>
      <c r="IT284" s="245">
        <f t="shared" si="901"/>
        <v>0</v>
      </c>
      <c r="IU284" s="245">
        <f t="shared" si="902"/>
        <v>0</v>
      </c>
      <c r="IV284" s="245">
        <f t="shared" si="903"/>
        <v>0</v>
      </c>
      <c r="IW284" s="245">
        <f t="shared" si="904"/>
        <v>0</v>
      </c>
      <c r="IX284" s="245">
        <f t="shared" si="1007"/>
        <v>0</v>
      </c>
      <c r="IY284" s="245">
        <f t="shared" si="905"/>
        <v>0</v>
      </c>
      <c r="IZ284" s="245">
        <f t="shared" si="906"/>
        <v>0</v>
      </c>
      <c r="JA284">
        <f t="shared" si="907"/>
        <v>0</v>
      </c>
      <c r="JB284">
        <f t="shared" si="1008"/>
        <v>0</v>
      </c>
      <c r="JC284">
        <f t="shared" si="908"/>
        <v>0</v>
      </c>
      <c r="JD284">
        <f t="shared" si="909"/>
        <v>0</v>
      </c>
      <c r="JE284">
        <f t="shared" si="910"/>
        <v>0</v>
      </c>
      <c r="JF284">
        <f t="shared" si="911"/>
        <v>0</v>
      </c>
      <c r="JG284">
        <f t="shared" si="912"/>
        <v>0</v>
      </c>
      <c r="JH284">
        <f t="shared" si="913"/>
        <v>0</v>
      </c>
      <c r="JI284">
        <f t="shared" si="914"/>
        <v>0</v>
      </c>
      <c r="JJ284" s="447">
        <f t="shared" si="915"/>
        <v>0</v>
      </c>
      <c r="JK284" s="447">
        <f t="shared" si="916"/>
        <v>0</v>
      </c>
      <c r="JL284">
        <f t="shared" si="917"/>
        <v>0</v>
      </c>
      <c r="JM284" s="245" t="str">
        <f>IFERROR(VLOOKUP(MATCH(BN284,#REF!,0),#REF!,7),"")</f>
        <v/>
      </c>
      <c r="JN284" t="e">
        <f>HLOOKUP(LEFT(BO284,7),Discharge_Area,MATCH(JO284,LookUps!$B$130:$B$149,1)+2)</f>
        <v>#N/A</v>
      </c>
      <c r="JO284" t="str">
        <f t="shared" si="918"/>
        <v>- S</v>
      </c>
      <c r="JP284" t="e">
        <f>HLOOKUP(LEFT(BO284,7),Discharge_Area,MATCH(JO284,LookUps!$B$130:$B$149,1)+2)</f>
        <v>#N/A</v>
      </c>
      <c r="JQ284" t="e">
        <f t="shared" si="919"/>
        <v>#N/A</v>
      </c>
      <c r="JR284" t="e">
        <f t="shared" si="920"/>
        <v>#N/A</v>
      </c>
      <c r="JS284" t="e">
        <f t="shared" si="921"/>
        <v>#N/A</v>
      </c>
      <c r="JT284" s="532" t="str">
        <f t="shared" si="922"/>
        <v xml:space="preserve"> </v>
      </c>
      <c r="JU284" s="532" t="str">
        <f t="shared" si="923"/>
        <v xml:space="preserve"> </v>
      </c>
      <c r="JV284" s="533" t="str">
        <f t="shared" si="924"/>
        <v xml:space="preserve"> </v>
      </c>
      <c r="JW284" s="534">
        <f t="shared" si="925"/>
        <v>0</v>
      </c>
      <c r="JX284" s="535" t="str">
        <f t="shared" si="1009"/>
        <v xml:space="preserve"> </v>
      </c>
      <c r="JY284" s="535" t="str">
        <f t="shared" si="1010"/>
        <v xml:space="preserve"> </v>
      </c>
      <c r="JZ284" s="535" t="str">
        <f t="shared" si="1011"/>
        <v xml:space="preserve"> </v>
      </c>
      <c r="KA284" s="536" t="str">
        <f t="shared" si="926"/>
        <v xml:space="preserve"> </v>
      </c>
      <c r="KB284" s="535" t="e">
        <f t="shared" si="1012"/>
        <v>#VALUE!</v>
      </c>
      <c r="KC284" s="535" t="str">
        <f t="shared" si="927"/>
        <v/>
      </c>
      <c r="KD284" s="537" t="str">
        <f t="shared" si="1013"/>
        <v xml:space="preserve"> </v>
      </c>
      <c r="KE284" s="537" t="str">
        <f t="shared" si="1014"/>
        <v xml:space="preserve"> </v>
      </c>
      <c r="KF284" s="534">
        <f t="shared" si="928"/>
        <v>0</v>
      </c>
      <c r="KG284" s="535" t="str">
        <f t="shared" si="929"/>
        <v xml:space="preserve"> </v>
      </c>
      <c r="KH284" s="535" t="str">
        <f t="shared" si="930"/>
        <v xml:space="preserve"> </v>
      </c>
      <c r="KI284" s="535" t="str">
        <f t="shared" si="931"/>
        <v xml:space="preserve"> </v>
      </c>
      <c r="KJ284" s="536" t="str">
        <f t="shared" si="932"/>
        <v xml:space="preserve"> </v>
      </c>
      <c r="KK284" s="535" t="str">
        <f t="shared" si="1015"/>
        <v xml:space="preserve"> </v>
      </c>
      <c r="KL284" s="535" t="str">
        <f t="shared" si="1016"/>
        <v xml:space="preserve"> </v>
      </c>
      <c r="KM284" s="537" t="str">
        <f t="shared" si="933"/>
        <v xml:space="preserve"> </v>
      </c>
      <c r="KN284" s="537" t="str">
        <f t="shared" si="1017"/>
        <v xml:space="preserve"> </v>
      </c>
      <c r="KP284">
        <f t="shared" si="934"/>
        <v>0</v>
      </c>
      <c r="LA284" t="e">
        <f t="shared" si="935"/>
        <v>#VALUE!</v>
      </c>
      <c r="LB284" t="e">
        <f t="shared" si="936"/>
        <v>#VALUE!</v>
      </c>
      <c r="LC284" t="e">
        <f t="shared" si="937"/>
        <v>#VALUE!</v>
      </c>
      <c r="LD284" t="e">
        <f t="shared" si="938"/>
        <v>#VALUE!</v>
      </c>
      <c r="LE284" t="e">
        <f t="shared" si="1018"/>
        <v>#VALUE!</v>
      </c>
      <c r="LF284">
        <f t="shared" si="939"/>
        <v>0</v>
      </c>
      <c r="LG284" t="e">
        <f t="shared" si="1019"/>
        <v>#VALUE!</v>
      </c>
      <c r="LH284" t="str">
        <f t="shared" si="940"/>
        <v xml:space="preserve"> </v>
      </c>
      <c r="LI284">
        <f t="shared" si="1020"/>
        <v>1</v>
      </c>
    </row>
    <row r="285" spans="2:321" ht="15" customHeight="1">
      <c r="B285" s="311"/>
      <c r="C285" s="311"/>
      <c r="D285" s="312"/>
      <c r="E285" s="311"/>
      <c r="F285" s="312"/>
      <c r="G285" s="311"/>
      <c r="H285" s="311"/>
      <c r="I285" s="232"/>
      <c r="J285" s="311"/>
      <c r="K285" s="305" t="str">
        <f t="shared" si="941"/>
        <v/>
      </c>
      <c r="L285" s="313"/>
      <c r="M285" s="312"/>
      <c r="N285" s="311"/>
      <c r="O285" s="312"/>
      <c r="P285" s="311"/>
      <c r="Q285" s="305" t="str">
        <f t="shared" si="942"/>
        <v/>
      </c>
      <c r="R285" s="314"/>
      <c r="S285" s="450" t="str">
        <f t="shared" si="825"/>
        <v/>
      </c>
      <c r="T285" s="315"/>
      <c r="U285" s="315"/>
      <c r="W285" s="149" t="str">
        <f t="shared" si="826"/>
        <v xml:space="preserve"> </v>
      </c>
      <c r="X285" s="243" t="str">
        <f t="shared" si="827"/>
        <v xml:space="preserve"> </v>
      </c>
      <c r="Y285" s="150" t="str">
        <f t="shared" si="828"/>
        <v/>
      </c>
      <c r="Z285" s="149" t="str">
        <f t="shared" si="829"/>
        <v xml:space="preserve"> </v>
      </c>
      <c r="AA285" s="98" t="str">
        <f t="shared" si="830"/>
        <v xml:space="preserve"> </v>
      </c>
      <c r="AB285" s="153" t="str">
        <f t="shared" si="831"/>
        <v xml:space="preserve"> </v>
      </c>
      <c r="AC285" s="153" t="str">
        <f t="shared" si="832"/>
        <v xml:space="preserve"> </v>
      </c>
      <c r="AD285" s="148" t="str">
        <f t="shared" si="833"/>
        <v/>
      </c>
      <c r="AE285" s="149" t="str">
        <f t="shared" si="834"/>
        <v/>
      </c>
      <c r="AF285" s="151" t="str">
        <f t="shared" si="835"/>
        <v xml:space="preserve"> </v>
      </c>
      <c r="AG285" s="153" t="str">
        <f t="shared" si="836"/>
        <v xml:space="preserve"> </v>
      </c>
      <c r="AH285" s="98" t="str">
        <f t="shared" si="837"/>
        <v xml:space="preserve"> </v>
      </c>
      <c r="AI285" s="149" t="str">
        <f t="shared" si="838"/>
        <v xml:space="preserve"> </v>
      </c>
      <c r="AK285" s="144" t="str">
        <f t="shared" si="839"/>
        <v xml:space="preserve"> </v>
      </c>
      <c r="AL285" s="144"/>
      <c r="AM285" s="243" t="str">
        <f t="shared" si="840"/>
        <v xml:space="preserve"> </v>
      </c>
      <c r="AN285" s="149" t="str">
        <f t="shared" si="943"/>
        <v xml:space="preserve"> </v>
      </c>
      <c r="AO285" s="144" t="str">
        <f>IF(JB285&gt;0,IF(GI285=10,-R285*1.085*(Calculation!$F$6-Calculation!$F$13)*$S$14," "),"")</f>
        <v/>
      </c>
      <c r="AP285" s="144" t="str">
        <f t="shared" si="841"/>
        <v/>
      </c>
      <c r="AQ285" s="56" t="str">
        <f t="shared" si="842"/>
        <v/>
      </c>
      <c r="AR285" s="144" t="str">
        <f t="shared" si="843"/>
        <v/>
      </c>
      <c r="AS285" s="176" t="str">
        <f t="shared" si="844"/>
        <v/>
      </c>
      <c r="AT285" s="176" t="str">
        <f t="shared" si="944"/>
        <v xml:space="preserve"> </v>
      </c>
      <c r="AU285" s="176" t="str">
        <f t="shared" si="845"/>
        <v/>
      </c>
      <c r="AV285" s="177" t="str">
        <f t="shared" si="846"/>
        <v xml:space="preserve"> </v>
      </c>
      <c r="AW285" s="144" t="str">
        <f t="shared" si="847"/>
        <v xml:space="preserve"> </v>
      </c>
      <c r="AX285" s="144" t="str">
        <f t="shared" si="848"/>
        <v xml:space="preserve"> </v>
      </c>
      <c r="AY285" s="152" t="str">
        <f t="shared" si="849"/>
        <v xml:space="preserve"> </v>
      </c>
      <c r="AZ285" s="246" t="str">
        <f t="shared" si="850"/>
        <v/>
      </c>
      <c r="BA285" s="176" t="str">
        <f t="shared" si="851"/>
        <v xml:space="preserve"> </v>
      </c>
      <c r="BB285" s="176" t="str">
        <f t="shared" si="852"/>
        <v xml:space="preserve"> </v>
      </c>
      <c r="BC285" s="195"/>
      <c r="BD285" s="316"/>
      <c r="BE285" s="317"/>
      <c r="BF285" s="318"/>
      <c r="BG285" s="318"/>
      <c r="BH285" s="144" t="str">
        <f t="shared" si="1021"/>
        <v xml:space="preserve"> </v>
      </c>
      <c r="BI285" s="176" t="str">
        <f t="shared" si="853"/>
        <v/>
      </c>
      <c r="BJ285" s="144" t="str">
        <f t="shared" si="1022"/>
        <v/>
      </c>
      <c r="BK285" s="246" t="str">
        <f t="shared" si="854"/>
        <v/>
      </c>
      <c r="BL285" s="144" t="str">
        <f t="shared" si="1023"/>
        <v/>
      </c>
      <c r="BM285" s="246" t="str">
        <f t="shared" si="855"/>
        <v/>
      </c>
      <c r="BN285" s="337" t="str">
        <f t="shared" si="945"/>
        <v/>
      </c>
      <c r="BO285" s="371" t="str">
        <f t="shared" si="946"/>
        <v/>
      </c>
      <c r="BP285" s="328" t="str">
        <f t="shared" si="1024"/>
        <v xml:space="preserve"> </v>
      </c>
      <c r="BQ285" s="347" t="str">
        <f t="shared" si="947"/>
        <v xml:space="preserve"> </v>
      </c>
      <c r="BR285" s="353" t="str">
        <f t="shared" si="948"/>
        <v xml:space="preserve"> </v>
      </c>
      <c r="BS285" s="626" t="str">
        <f>IF(L285&gt;0,IF(Calculation!P285="M13",BR285*3.1416*(0.134^2)/(4*144),IF(Calculation!P285="M17",BR285*3.1416*(0.165^2)/(4*144),IF(Calculation!P285="M20",BR285*3.1416*(0.198^2)/(4*144),IF(Calculation!P285="M23",BR285*3.1416*(0.228^2)/(4*144),IF(Calculation!P285="M27",BR285*3.1416*(0.269^2)/(4*144),BR285*3.1416*(0.307^2)/(4*144))))))," ")</f>
        <v xml:space="preserve"> </v>
      </c>
      <c r="BT285" s="353" t="str">
        <f>IF(L285&gt;0,IF(BS285&gt;0,R285/Calculation!BS285,0)," ")</f>
        <v xml:space="preserve"> </v>
      </c>
      <c r="BU285" s="438" t="e">
        <f t="shared" ca="1" si="856"/>
        <v>#VALUE!</v>
      </c>
      <c r="BV285" s="449" t="e">
        <f ca="1">INDEX(INDIRECT(VLOOKUP(LEFT(BO285,7),CLU!$Z$3:$AH$18,2)),GN285,GR285)</f>
        <v>#N/A</v>
      </c>
      <c r="BW285" s="433" t="e">
        <f ca="1">INDEX(INDIRECT(VLOOKUP(LEFT(BO285,7),CLU!$Z$3:$AH$18,3)),GN285,GR285)</f>
        <v>#N/A</v>
      </c>
      <c r="BX285" s="433" t="e">
        <f ca="1">INDEX(INDIRECT(VLOOKUP(LEFT(BO285,7),CLU!$Z$3:$AH$18,4)),GN285,GR285)</f>
        <v>#N/A</v>
      </c>
      <c r="BY285" s="433" t="e">
        <f ca="1">INDEX(INDIRECT(VLOOKUP(LEFT(BO285,7),CLU!$Z$3:$AH$18,9)),((M285-2)*(6-COUNTBLANK(GT285:GY285)))+GJ285)</f>
        <v>#N/A</v>
      </c>
      <c r="BZ285" s="426" t="e">
        <f t="shared" ca="1" si="949"/>
        <v>#N/A</v>
      </c>
      <c r="CA285" s="424" t="e">
        <f t="shared" ca="1" si="950"/>
        <v>#N/A</v>
      </c>
      <c r="CB285" s="429" t="e">
        <f ca="1">INDEX(INDIRECT(VLOOKUP(LEFT(BO285,7),CLU!$Z$3:$AH$18,2)),GN285,GS285)</f>
        <v>#N/A</v>
      </c>
      <c r="CC285" s="342" t="e">
        <f ca="1">INDEX(INDIRECT(VLOOKUP(LEFT(BO285,7),CLU!$Z$3:$AH$18,3)),GN285,GS285)</f>
        <v>#N/A</v>
      </c>
      <c r="CD285" s="342" t="e">
        <f ca="1">INDEX(INDIRECT(VLOOKUP(LEFT(BO285,7),CLU!$Z$3:$AH$18,4)),GN285,GS285)</f>
        <v>#N/A</v>
      </c>
      <c r="CE285" s="426" t="e">
        <f t="shared" ca="1" si="951"/>
        <v>#N/A</v>
      </c>
      <c r="CF285" s="440">
        <f t="shared" si="952"/>
        <v>0</v>
      </c>
      <c r="CG285" s="431" t="e">
        <f ca="1">INDEX(INDIRECT(VLOOKUP(LEFT(BO285,7),CLU!$Z$3:$AH$18,2)),GQ285,GR285)</f>
        <v>#N/A</v>
      </c>
      <c r="CH285" s="431" t="e">
        <f ca="1">INDEX(INDIRECT(VLOOKUP(LEFT(BO285,7),CLU!$Z$3:$AH$18,3)),GQ285,GR285)</f>
        <v>#N/A</v>
      </c>
      <c r="CI285" s="431" t="e">
        <f ca="1">INDEX(INDIRECT(VLOOKUP(LEFT(BO285,7),CLU!$Z$3:$AH$18,4)),GQ285,GR285)</f>
        <v>#N/A</v>
      </c>
      <c r="CJ285" s="448" t="e">
        <f t="shared" ca="1" si="953"/>
        <v>#N/A</v>
      </c>
      <c r="CK285" s="431" t="e">
        <f t="shared" ca="1" si="954"/>
        <v>#N/A</v>
      </c>
      <c r="CL285" s="440" t="e">
        <f t="shared" ca="1" si="955"/>
        <v>#N/A</v>
      </c>
      <c r="CM285" s="431" t="e">
        <f ca="1">INDEX(INDIRECT(VLOOKUP(LEFT(BO285,7),CLU!$Z$3:$AH$18,2)),GQ285,GS285)</f>
        <v>#N/A</v>
      </c>
      <c r="CN285" s="431" t="e">
        <f ca="1">INDEX(INDIRECT(VLOOKUP(LEFT(BO285,7),CLU!$Z$3:$AH$18,3)),GQ285,GS285)</f>
        <v>#N/A</v>
      </c>
      <c r="CO285" s="431" t="e">
        <f ca="1">INDEX(INDIRECT(VLOOKUP(LEFT(BO285,7),CLU!$Z$3:$AH$18,4)),GQ285,GS285)</f>
        <v>#N/A</v>
      </c>
      <c r="CP285" s="431" t="e">
        <f t="shared" ca="1" si="956"/>
        <v>#N/A</v>
      </c>
      <c r="CQ285" s="440">
        <f t="shared" si="957"/>
        <v>0</v>
      </c>
      <c r="CR285" s="51" t="e">
        <f t="shared" ca="1" si="958"/>
        <v>#N/A</v>
      </c>
      <c r="CS285" s="439" t="e">
        <f t="shared" ca="1" si="959"/>
        <v>#VALUE!</v>
      </c>
      <c r="CT285" s="51" t="e">
        <f t="shared" ca="1" si="960"/>
        <v>#VALUE!</v>
      </c>
      <c r="CU285" s="10"/>
      <c r="CV285" s="51" t="e">
        <f t="shared" ca="1" si="857"/>
        <v>#VALUE!</v>
      </c>
      <c r="CW285" s="51">
        <f t="shared" si="961"/>
        <v>0</v>
      </c>
      <c r="CX285" s="439" t="e">
        <f t="shared" ca="1" si="962"/>
        <v>#VALUE!</v>
      </c>
      <c r="CY285" s="51" t="e">
        <f t="shared" ca="1" si="963"/>
        <v>#VALUE!</v>
      </c>
      <c r="CZ285" s="10"/>
      <c r="DA285" s="51" t="e">
        <f t="shared" ca="1" si="964"/>
        <v>#VALUE!</v>
      </c>
      <c r="DB285" s="347" t="e">
        <f ca="1">INDEX(INDIRECT(VLOOKUP(LEFT(BO285,7),CLU!$Z$3:$AI$18,10)),((M285-2)*(6-COUNTBLANK(GT285:GY285)))+GJ285)*LI285</f>
        <v>#N/A</v>
      </c>
      <c r="DC285" s="347" t="str">
        <f>IF(L285&gt;0,((R285/Worksheet!$I$15)/DB285)^2," ")</f>
        <v xml:space="preserve"> </v>
      </c>
      <c r="DD285" s="602" t="str">
        <f t="shared" si="965"/>
        <v xml:space="preserve"> </v>
      </c>
      <c r="DE285" s="347" t="str">
        <f t="shared" si="858"/>
        <v xml:space="preserve"> </v>
      </c>
      <c r="DF285" s="356" t="e">
        <f ca="1">INDEX(INDIRECT(VLOOKUP(LEFT(BO285,7),CLU!$Z$3:$AH$18,8)),((M285-2)*(6-COUNTBLANK(GT285:GY285)))+GJ285)</f>
        <v>#N/A</v>
      </c>
      <c r="DG285" s="347" t="str">
        <f t="shared" si="859"/>
        <v xml:space="preserve"> </v>
      </c>
      <c r="DH285" s="357" t="str">
        <f t="shared" si="860"/>
        <v xml:space="preserve"> </v>
      </c>
      <c r="DI285" s="355" t="str">
        <f t="shared" si="861"/>
        <v xml:space="preserve"> </v>
      </c>
      <c r="DJ285" s="245" t="e">
        <f ca="1">INDEX(INDIRECT(VLOOKUP(LEFT(BO285,7),CLU!$Z$3:$AH$18,5)),GL285,GK285)</f>
        <v>#N/A</v>
      </c>
      <c r="DK285" s="245" t="e">
        <f ca="1">INDEX(INDIRECT(VLOOKUP(LEFT(BO285,7),CLU!$Z$3:$AH$18,6)),GL285,GK285)</f>
        <v>#N/A</v>
      </c>
      <c r="DL285" s="355">
        <f>(Calculation!R285*0.69143*(Calculation!$BQ$8-Calculation!$F$8))*$S$14</f>
        <v>0</v>
      </c>
      <c r="DM285" s="359" t="e">
        <f t="shared" si="966"/>
        <v>#VALUE!</v>
      </c>
      <c r="DN285" s="611">
        <f t="shared" si="967"/>
        <v>0</v>
      </c>
      <c r="DO285" s="359">
        <f t="shared" si="968"/>
        <v>100</v>
      </c>
      <c r="DP285" s="359">
        <f t="shared" si="969"/>
        <v>0</v>
      </c>
      <c r="DQ285" s="360"/>
      <c r="DR285" s="245" t="e">
        <f ca="1">INDEX(INDIRECT(VLOOKUP(LEFT(BO285,7),CLU!$Z$3:$AH$18,7)),M285-1,1)</f>
        <v>#N/A</v>
      </c>
      <c r="DS285" s="245" t="e">
        <f ca="1">INDEX(INDIRECT(VLOOKUP(LEFT(BO285,7),CLU!$Z$3:$AH$18,7)),M285-1,2)</f>
        <v>#N/A</v>
      </c>
      <c r="DT285" s="245" t="e">
        <f ca="1">INDEX(INDIRECT(VLOOKUP(LEFT(BO285,7),CLU!$Z$3:$AH$18,7)),M285-1,3)</f>
        <v>#N/A</v>
      </c>
      <c r="DU285" s="245" t="e">
        <f ca="1">INDEX(INDIRECT(VLOOKUP(LEFT(BO285,7),CLU!$Z$3:$AH$18,7)),M285-1,4)</f>
        <v>#N/A</v>
      </c>
      <c r="DV285" s="361" t="e">
        <f ca="1">INDEX(INDIRECT(VLOOKUP(LEFT(BO285,7),CLU!$Z$3:$AH$18,7)),M285-1,4+LEFT(DZ285,1)*0.5)</f>
        <v>#N/A</v>
      </c>
      <c r="DW285" s="245" t="e">
        <f ca="1">INDEX(INDIRECT(VLOOKUP(LEFT(BO285,7),CLU!$Z$3:$AH$18,7)),M285-1,8)</f>
        <v>#N/A</v>
      </c>
      <c r="DX285" s="361" t="str">
        <f t="shared" si="862"/>
        <v xml:space="preserve"> </v>
      </c>
      <c r="DY285" s="361" t="str">
        <f t="shared" si="863"/>
        <v xml:space="preserve"> </v>
      </c>
      <c r="DZ285" s="361" t="str">
        <f t="shared" si="864"/>
        <v xml:space="preserve"> </v>
      </c>
      <c r="EA285" s="362" t="str">
        <f t="shared" si="865"/>
        <v xml:space="preserve"> </v>
      </c>
      <c r="EB285" s="624" t="str">
        <f t="shared" si="970"/>
        <v xml:space="preserve"> </v>
      </c>
      <c r="EC285" s="361" t="e">
        <f ca="1">INDEX(INDIRECT(VLOOKUP(LEFT(BO285,7),CLU!$Z$3:$AH$18,7)),M285-1,4+LEFT(DZ285,1)*0.5)</f>
        <v>#N/A</v>
      </c>
      <c r="ED285" s="362" t="str">
        <f t="shared" si="866"/>
        <v xml:space="preserve"> </v>
      </c>
      <c r="EE285" s="361" t="str">
        <f t="shared" si="867"/>
        <v xml:space="preserve"> </v>
      </c>
      <c r="EF285" s="362" t="str">
        <f>IF(L285&gt;0,IF(BR285&gt;0,IF(EE285="2P",IF(Calculation!DZ285="2P",IF(Calculation!DS285=13.75,IF(Calculation!DR285=13,Worksheet!$BD$43,IF(Calculation!DR285=37,Worksheet!$BD$44,Worksheet!$BD$45)),IF(Calculation!DS285=10,IF(Calculation!DR285=18,Worksheet!$BD$29,IF(Calculation!DR285=30,Worksheet!$BD$30,IF(Calculation!DR285=42,Worksheet!$BD$31,IF(Calculation!DR285=54,Worksheet!$BD$32,IF(Calculation!DR285=66,Worksheet!$BD$33,IF(Calculation!DR285=78,Worksheet!$BD$34,IF(Calculation!DR285=90,Worksheet!$BD$35,IF(Calculation!DR285=102,Worksheet!$BD$36,Worksheet!$BD$37)))))))),IF(Calculation!DS285=12.5,IF(Calculation!DR285=18,Worksheet!$BD$38,IF(Calculation!DR285=Worksheet!$BD$39,IF(Calculation!DR285=42,Worksheet!$BD$40,IF(Calculation!DR285=54,Worksheet!$BD$41,Worksheet!$BD$42)))),IF(Calculation!DR285=18,Worksheet!$BD$11,IF(Calculation!DR285=30,Worksheet!$BD$12,IF(Calculation!DR285=42,Worksheet!$BD$13,IF(Calculation!DR285=54,Worksheet!$BD$14,IF(Calculation!DR285=66,Worksheet!$BD$15,IF(Calculation!DR285=78,Worksheet!$BD$16,IF(Calculation!DR285=90,Worksheet!$BD$17,IF(Calculation!DR285=102,Worksheet!$BD$18,Worksheet!$BD$19))))))))))),IF(Calculation!DS285=13.75,IF(Calculation!DR285=13,Worksheet!$BD$78,IF(Calculation!DR285=37,Worksheet!$BD$79,Worksheet!$BD$80)),IF(Calculation!DS285=10,IF(Calculation!DR285=18,Worksheet!$BD$64,IF(Calculation!DR285=30,Worksheet!$BD$65,IF(Calculation!DR285=42,Worksheet!$BD$66,IF(Calculation!DR285=54,Worksheet!$BD$68,IF(Calculation!DR285=66,Worksheet!$BD$68,IF(Calculation!DR285=78,Worksheet!$BD$69,IF(Calculation!DR285=90,Worksheet!$BD$70,IF(Calculation!DR285=102,Worksheet!$BD$71,Worksheet!$BD$72)))))))),IF(Calculation!DS285=12.5,IF(Calculation!DR285=18,Worksheet!$BD$73,IF(Calculation!DR285=Worksheet!$BD$74,IF(Calculation!DR285=42,Worksheet!$BD$75,IF(Calculation!DR285=54,Worksheet!$BD$76,Worksheet!$BD$77)))),IF(Calculation!DR285=18,Worksheet!$BD$55,IF(Calculation!DR285=30,Worksheet!$BD$56,IF(Calculation!DR285=42,Worksheet!$BD$57,IF(Calculation!DR285=54,Worksheet!$BD$58,IF(Calculation!DR285=66,Worksheet!$BD$59,IF(Calculation!DR285=78,Worksheet!$BD$60,IF(Calculation!DR285=90,Worksheet!$BD$61,IF(Calculation!DR285=102,Worksheet!$BD$62,Worksheet!$BD$63)))))))))))),5),0)," ")</f>
        <v xml:space="preserve"> </v>
      </c>
      <c r="EG285" s="361" t="str">
        <f t="shared" si="868"/>
        <v xml:space="preserve"> </v>
      </c>
      <c r="EH285" s="361" t="e">
        <f ca="1">INDEX(INDIRECT(VLOOKUP(LEFT(BO285,7),CLU!$Z$3:$AH$18,7)),M285-1,3+LEFT(DZ285,1))</f>
        <v>#N/A</v>
      </c>
      <c r="EI285" s="362" t="str">
        <f t="shared" si="869"/>
        <v xml:space="preserve"> </v>
      </c>
      <c r="EJ285" s="363" t="str">
        <f t="shared" si="870"/>
        <v xml:space="preserve"> </v>
      </c>
      <c r="EK285" s="363" t="str">
        <f t="shared" si="871"/>
        <v xml:space="preserve"> </v>
      </c>
      <c r="EL285" s="363" t="str">
        <f t="shared" si="872"/>
        <v xml:space="preserve"> </v>
      </c>
      <c r="EM285" s="362" t="str">
        <f>IF(L285&gt;0,IF(BR285&gt;0,(Calculation!T285/ED285)^2,0)," ")</f>
        <v xml:space="preserve"> </v>
      </c>
      <c r="EN285" s="362" t="str">
        <f>IF(L285&gt;0,IF(O285="2 Pipe (Cooling)","N/A",IF(BR285&gt;0,(Calculation!U285/EI285)^2,0))," ")</f>
        <v xml:space="preserve"> </v>
      </c>
      <c r="EO285" s="361" t="str">
        <f t="shared" si="873"/>
        <v/>
      </c>
      <c r="EP285" s="361" t="str">
        <f t="shared" si="874"/>
        <v/>
      </c>
      <c r="EQ285" s="361" t="str">
        <f t="shared" si="875"/>
        <v/>
      </c>
      <c r="ER285" s="361" t="str">
        <f t="shared" si="876"/>
        <v/>
      </c>
      <c r="ES285" s="361" t="str">
        <f t="shared" si="877"/>
        <v/>
      </c>
      <c r="ET285" s="361" t="str">
        <f t="shared" si="878"/>
        <v/>
      </c>
      <c r="EU285" s="361" t="str">
        <f t="shared" si="879"/>
        <v/>
      </c>
      <c r="EV285" s="361" t="str">
        <f t="shared" si="880"/>
        <v/>
      </c>
      <c r="EW285" s="361" t="str">
        <f t="shared" si="881"/>
        <v/>
      </c>
      <c r="EX285" s="361" t="str">
        <f t="shared" si="971"/>
        <v>1 slot, 1 way</v>
      </c>
      <c r="EY285" s="361" t="str">
        <f t="shared" si="972"/>
        <v xml:space="preserve"> </v>
      </c>
      <c r="EZ285" s="361" t="str">
        <f t="shared" si="973"/>
        <v xml:space="preserve"> </v>
      </c>
      <c r="FA285" s="361" t="str">
        <f t="shared" si="974"/>
        <v xml:space="preserve"> </v>
      </c>
      <c r="FB285" s="361" t="str">
        <f t="shared" si="975"/>
        <v xml:space="preserve"> </v>
      </c>
      <c r="FC285" s="361"/>
      <c r="FD285" s="361" t="str">
        <f>IF(J285&gt;0,IF(Calculation!R285&lt;=70,4,IF(Calculation!R285&lt;=110,5,IF(Calculation!R285&lt;=160,6,IF(Calculation!R285&lt;=300,8,"10 EO")))),"")</f>
        <v/>
      </c>
      <c r="FE285" s="361" t="str">
        <f t="shared" si="976"/>
        <v/>
      </c>
      <c r="FF285" s="361" t="str">
        <f t="shared" si="977"/>
        <v/>
      </c>
      <c r="FG285" s="361" t="e">
        <f t="shared" si="882"/>
        <v>#N/A</v>
      </c>
      <c r="FH285" s="361">
        <f t="shared" si="883"/>
        <v>0</v>
      </c>
      <c r="FI285" s="361" t="e">
        <f t="shared" si="884"/>
        <v>#DIV/0!</v>
      </c>
      <c r="FJ285" s="361"/>
      <c r="FK285" s="356" t="e">
        <f t="shared" si="885"/>
        <v>#VALUE!</v>
      </c>
      <c r="FL285" s="361"/>
      <c r="FM285" s="361"/>
      <c r="FN285" s="362" t="str">
        <f t="shared" si="978"/>
        <v xml:space="preserve"> </v>
      </c>
      <c r="FO285" s="362" t="str">
        <f t="shared" si="979"/>
        <v xml:space="preserve"> </v>
      </c>
      <c r="FP285" s="362">
        <f t="shared" si="980"/>
        <v>0</v>
      </c>
      <c r="FQ285" s="361">
        <f t="shared" si="886"/>
        <v>0</v>
      </c>
      <c r="FR285" s="362" t="str">
        <f>IF(L285&gt;0,IF(J285="CBAL2",Worksheet!$P$67,IF(J285="CBE2-24",Worksheet!$Q$67,IF(J285="CBAM",Worksheet!$R$67,IF(J285="CBLV",Worksheet!$S$67,IF(J285="CBAB",Worksheet!$U$67,IF(J285="CBAW",Worksheet!$X$67,IF(J285="CBE2-12",Worksheet!$Y$67,IF(J285="CBAL2",Worksheet!$Z$67,"N/A"))))))))," ")</f>
        <v xml:space="preserve"> </v>
      </c>
      <c r="FS285" s="362" t="str">
        <f>IF(L285&gt;0,IF(J285="CBAL2",Worksheet!$P$68,IF(J285="CBE2-24",Worksheet!$Q$68,IF(J285="CBAM",Worksheet!$R$68,IF(J285="CBLV",Worksheet!$S$68,IF(J285="CBAB",Worksheet!$U$68,IF(J285="CBAW",Worksheet!$X$68,IF(J285="CBE2-12",Worksheet!$Y$68,IF(J285="CBAL2",Worksheet!$Z$68,"N/A"))))))))," ")</f>
        <v xml:space="preserve"> </v>
      </c>
      <c r="FT285" s="362" t="str">
        <f>IF(L285&gt;0,IF(J285="CBAL2",Worksheet!$P$69,IF(J285="CBE2-24",Worksheet!$Q$69,IF(J285="CBAM",Worksheet!$R$69,IF(J285="CBLV",Worksheet!$S$69,IF(J285="CBAB",Worksheet!$U$69,IF(J285="CBAW",Worksheet!$X$69,IF(J285="CBE2-12",Worksheet!$Y$69,IF(J285="CBAL2",Worksheet!$Z$69,"N/A"))))))))," ")</f>
        <v xml:space="preserve"> </v>
      </c>
      <c r="FU285" s="361" t="str">
        <f t="shared" si="981"/>
        <v xml:space="preserve"> </v>
      </c>
      <c r="FV285" s="362" t="str">
        <f t="shared" si="982"/>
        <v xml:space="preserve"> </v>
      </c>
      <c r="FW285" s="362" t="str">
        <f t="shared" si="983"/>
        <v xml:space="preserve"> </v>
      </c>
      <c r="FX285" s="362" t="str">
        <f t="shared" si="984"/>
        <v xml:space="preserve"> </v>
      </c>
      <c r="FY285" s="355" t="str">
        <f t="shared" si="985"/>
        <v xml:space="preserve"> </v>
      </c>
      <c r="FZ285" s="361" t="str">
        <f t="shared" si="986"/>
        <v xml:space="preserve"> </v>
      </c>
      <c r="GA285" s="347" t="str">
        <f t="shared" si="987"/>
        <v xml:space="preserve"> </v>
      </c>
      <c r="GB285" s="355" t="str">
        <f t="shared" si="988"/>
        <v xml:space="preserve"> </v>
      </c>
      <c r="GC285" s="328" t="str">
        <f t="shared" si="989"/>
        <v xml:space="preserve"> </v>
      </c>
      <c r="GD285" s="361" t="str">
        <f t="shared" si="990"/>
        <v xml:space="preserve"> </v>
      </c>
      <c r="GE285" s="347" t="str">
        <f t="shared" si="991"/>
        <v xml:space="preserve"> </v>
      </c>
      <c r="GF285" s="361" t="str">
        <f t="shared" si="992"/>
        <v xml:space="preserve"> </v>
      </c>
      <c r="GG285" s="347" t="str">
        <f t="shared" si="993"/>
        <v xml:space="preserve"> </v>
      </c>
      <c r="GH285" s="364">
        <f t="shared" si="887"/>
        <v>0</v>
      </c>
      <c r="GI285" s="362">
        <f t="shared" si="994"/>
        <v>2</v>
      </c>
      <c r="GJ285" s="433" t="e">
        <f>IF(6-COUNTBLANK(GT285:GY285)=4,MATCH(MID(BO285,9,3),CLU!$H$16:$K$16),MATCH(MID(BO285,9,3),CLU!$H$13:$M$13))</f>
        <v>#N/A</v>
      </c>
      <c r="GK285" s="433" t="e">
        <f>HLOOKUP(VALUE(BP285),CLU!$H$9:$M$10,2)</f>
        <v>#VALUE!</v>
      </c>
      <c r="GL285" s="433" t="e">
        <f ca="1">MATCH(BU285,CLU!$H$2:$V$2,1)</f>
        <v>#VALUE!</v>
      </c>
      <c r="GM285" s="433" t="e">
        <f t="shared" ca="1" si="995"/>
        <v>#VALUE!</v>
      </c>
      <c r="GN285" s="433" t="e">
        <f t="shared" ca="1" si="996"/>
        <v>#VALUE!</v>
      </c>
      <c r="GO285" s="433" t="e">
        <f t="shared" ca="1" si="997"/>
        <v>#VALUE!</v>
      </c>
      <c r="GP285" s="433" t="e">
        <f t="shared" ca="1" si="998"/>
        <v>#VALUE!</v>
      </c>
      <c r="GQ285" s="433" t="e">
        <f t="shared" ca="1" si="999"/>
        <v>#VALUE!</v>
      </c>
      <c r="GR285" s="433" t="e">
        <f ca="1">MATCH(T285,INDIRECT(VLOOKUP(CONCATENATE(LEFT(BO285,7),"-",MID(BO285,13,1)),CLU!$P$3:$Q$16,2)),1)</f>
        <v>#N/A</v>
      </c>
      <c r="GS285" s="433" t="e">
        <f ca="1">MATCH(U285,INDIRECT(VLOOKUP(CONCATENATE(LEFT(BO285,7),"-",MID(BO285,13,1)),CLU!$P$3:$Q$16,2)),1)</f>
        <v>#N/A</v>
      </c>
      <c r="GT285" s="347" t="s">
        <v>512</v>
      </c>
      <c r="GU285" s="97" t="s">
        <v>513</v>
      </c>
      <c r="GV285" s="97" t="str">
        <f t="shared" si="1000"/>
        <v>M23</v>
      </c>
      <c r="GW285" s="97" t="str">
        <f t="shared" si="1001"/>
        <v>M31</v>
      </c>
      <c r="GX285" s="97" t="str">
        <f t="shared" si="1002"/>
        <v/>
      </c>
      <c r="GY285" s="97" t="str">
        <f t="shared" si="1003"/>
        <v/>
      </c>
      <c r="GZ285" s="481"/>
      <c r="HA285" s="240"/>
      <c r="HB285" s="240"/>
      <c r="HC285" s="240"/>
      <c r="HD285" s="240"/>
      <c r="HE285" s="240"/>
      <c r="HF285" s="240"/>
      <c r="HG285" s="240"/>
      <c r="HH285" s="240"/>
      <c r="HI285" s="240"/>
      <c r="HJ285" s="240"/>
      <c r="HK285" s="240"/>
      <c r="HL285" s="240"/>
      <c r="HM285" s="240"/>
      <c r="HN285" s="240"/>
      <c r="HO285" s="240"/>
      <c r="HP285" s="240"/>
      <c r="HQ285" s="240"/>
      <c r="HR285" s="240"/>
      <c r="HS285" s="240"/>
      <c r="HT285" s="240"/>
      <c r="HU285" s="240"/>
      <c r="HV285" s="245"/>
      <c r="HW285" s="245" t="b">
        <v>1</v>
      </c>
      <c r="HX285" s="245" t="str">
        <f t="shared" si="888"/>
        <v/>
      </c>
      <c r="HY285" s="245" t="e">
        <f t="shared" si="889"/>
        <v>#DIV/0!</v>
      </c>
      <c r="HZ285" s="245" t="e">
        <f t="shared" si="890"/>
        <v>#DIV/0!</v>
      </c>
      <c r="IA285" s="245">
        <f t="shared" si="891"/>
        <v>0</v>
      </c>
      <c r="IB285" s="245"/>
      <c r="IC285" t="b">
        <f t="shared" si="892"/>
        <v>1</v>
      </c>
      <c r="ID285" s="245" t="b">
        <f t="shared" si="893"/>
        <v>1</v>
      </c>
      <c r="IE285" s="245" t="b">
        <f t="shared" si="894"/>
        <v>1</v>
      </c>
      <c r="IF285" s="245" t="b">
        <f t="shared" si="895"/>
        <v>0</v>
      </c>
      <c r="IG285" s="245" t="b">
        <f t="shared" si="896"/>
        <v>1</v>
      </c>
      <c r="IH285" s="245" t="b">
        <f t="shared" si="897"/>
        <v>1</v>
      </c>
      <c r="II285" s="245">
        <f t="shared" si="1004"/>
        <v>0</v>
      </c>
      <c r="IJ285" s="245" t="e">
        <f t="shared" si="898"/>
        <v>#VALUE!</v>
      </c>
      <c r="IK285" s="245" t="e">
        <f t="shared" si="899"/>
        <v>#VALUE!</v>
      </c>
      <c r="IL285" s="245"/>
      <c r="IM285" s="245" t="e">
        <f t="shared" si="1005"/>
        <v>#N/A</v>
      </c>
      <c r="IN285" s="245" t="e">
        <f t="shared" si="1006"/>
        <v>#N/A</v>
      </c>
      <c r="IO285" s="245"/>
      <c r="IP285" s="245"/>
      <c r="IQ285" s="245" t="str">
        <f t="shared" si="900"/>
        <v/>
      </c>
      <c r="IR285" s="245" t="str">
        <f>IF(J285="","",VLOOKUP(J285,Worksheet!$R$4:$T$14,2))</f>
        <v/>
      </c>
      <c r="IS285" s="245"/>
      <c r="IT285" s="245">
        <f t="shared" si="901"/>
        <v>0</v>
      </c>
      <c r="IU285" s="245">
        <f t="shared" si="902"/>
        <v>0</v>
      </c>
      <c r="IV285" s="245">
        <f t="shared" si="903"/>
        <v>0</v>
      </c>
      <c r="IW285" s="245">
        <f t="shared" si="904"/>
        <v>0</v>
      </c>
      <c r="IX285" s="245">
        <f t="shared" si="1007"/>
        <v>0</v>
      </c>
      <c r="IY285" s="245">
        <f t="shared" si="905"/>
        <v>0</v>
      </c>
      <c r="IZ285" s="245">
        <f t="shared" si="906"/>
        <v>0</v>
      </c>
      <c r="JA285">
        <f t="shared" si="907"/>
        <v>0</v>
      </c>
      <c r="JB285">
        <f t="shared" si="1008"/>
        <v>0</v>
      </c>
      <c r="JC285">
        <f t="shared" si="908"/>
        <v>0</v>
      </c>
      <c r="JD285">
        <f t="shared" si="909"/>
        <v>0</v>
      </c>
      <c r="JE285">
        <f t="shared" si="910"/>
        <v>0</v>
      </c>
      <c r="JF285">
        <f t="shared" si="911"/>
        <v>0</v>
      </c>
      <c r="JG285">
        <f t="shared" si="912"/>
        <v>0</v>
      </c>
      <c r="JH285">
        <f t="shared" si="913"/>
        <v>0</v>
      </c>
      <c r="JI285">
        <f t="shared" si="914"/>
        <v>0</v>
      </c>
      <c r="JJ285" s="447">
        <f t="shared" si="915"/>
        <v>0</v>
      </c>
      <c r="JK285" s="447">
        <f t="shared" si="916"/>
        <v>0</v>
      </c>
      <c r="JL285">
        <f t="shared" si="917"/>
        <v>0</v>
      </c>
      <c r="JM285" s="245" t="str">
        <f>IFERROR(VLOOKUP(MATCH(BN285,#REF!,0),#REF!,7),"")</f>
        <v/>
      </c>
      <c r="JN285" t="e">
        <f>HLOOKUP(LEFT(BO285,7),Discharge_Area,MATCH(JO285,LookUps!$B$130:$B$149,1)+2)</f>
        <v>#N/A</v>
      </c>
      <c r="JO285" t="str">
        <f t="shared" si="918"/>
        <v>- S</v>
      </c>
      <c r="JP285" t="e">
        <f>HLOOKUP(LEFT(BO285,7),Discharge_Area,MATCH(JO285,LookUps!$B$130:$B$149,1)+2)</f>
        <v>#N/A</v>
      </c>
      <c r="JQ285" t="e">
        <f t="shared" si="919"/>
        <v>#N/A</v>
      </c>
      <c r="JR285" t="e">
        <f t="shared" si="920"/>
        <v>#N/A</v>
      </c>
      <c r="JS285" t="e">
        <f t="shared" si="921"/>
        <v>#N/A</v>
      </c>
      <c r="JT285" s="532" t="str">
        <f t="shared" si="922"/>
        <v xml:space="preserve"> </v>
      </c>
      <c r="JU285" s="532" t="str">
        <f t="shared" si="923"/>
        <v xml:space="preserve"> </v>
      </c>
      <c r="JV285" s="533" t="str">
        <f t="shared" si="924"/>
        <v xml:space="preserve"> </v>
      </c>
      <c r="JW285" s="534">
        <f t="shared" si="925"/>
        <v>0</v>
      </c>
      <c r="JX285" s="535" t="str">
        <f t="shared" si="1009"/>
        <v xml:space="preserve"> </v>
      </c>
      <c r="JY285" s="535" t="str">
        <f t="shared" si="1010"/>
        <v xml:space="preserve"> </v>
      </c>
      <c r="JZ285" s="535" t="str">
        <f t="shared" si="1011"/>
        <v xml:space="preserve"> </v>
      </c>
      <c r="KA285" s="536" t="str">
        <f t="shared" si="926"/>
        <v xml:space="preserve"> </v>
      </c>
      <c r="KB285" s="535" t="e">
        <f t="shared" si="1012"/>
        <v>#VALUE!</v>
      </c>
      <c r="KC285" s="535" t="str">
        <f t="shared" si="927"/>
        <v/>
      </c>
      <c r="KD285" s="537" t="str">
        <f t="shared" si="1013"/>
        <v xml:space="preserve"> </v>
      </c>
      <c r="KE285" s="537" t="str">
        <f t="shared" si="1014"/>
        <v xml:space="preserve"> </v>
      </c>
      <c r="KF285" s="534">
        <f t="shared" si="928"/>
        <v>0</v>
      </c>
      <c r="KG285" s="535" t="str">
        <f t="shared" si="929"/>
        <v xml:space="preserve"> </v>
      </c>
      <c r="KH285" s="535" t="str">
        <f t="shared" si="930"/>
        <v xml:space="preserve"> </v>
      </c>
      <c r="KI285" s="535" t="str">
        <f t="shared" si="931"/>
        <v xml:space="preserve"> </v>
      </c>
      <c r="KJ285" s="536" t="str">
        <f t="shared" si="932"/>
        <v xml:space="preserve"> </v>
      </c>
      <c r="KK285" s="535" t="str">
        <f t="shared" si="1015"/>
        <v xml:space="preserve"> </v>
      </c>
      <c r="KL285" s="535" t="str">
        <f t="shared" si="1016"/>
        <v xml:space="preserve"> </v>
      </c>
      <c r="KM285" s="537" t="str">
        <f t="shared" si="933"/>
        <v xml:space="preserve"> </v>
      </c>
      <c r="KN285" s="537" t="str">
        <f t="shared" si="1017"/>
        <v xml:space="preserve"> </v>
      </c>
      <c r="KP285">
        <f t="shared" si="934"/>
        <v>0</v>
      </c>
      <c r="LA285" t="e">
        <f t="shared" si="935"/>
        <v>#VALUE!</v>
      </c>
      <c r="LB285" t="e">
        <f t="shared" si="936"/>
        <v>#VALUE!</v>
      </c>
      <c r="LC285" t="e">
        <f t="shared" si="937"/>
        <v>#VALUE!</v>
      </c>
      <c r="LD285" t="e">
        <f t="shared" si="938"/>
        <v>#VALUE!</v>
      </c>
      <c r="LE285" t="e">
        <f t="shared" si="1018"/>
        <v>#VALUE!</v>
      </c>
      <c r="LF285">
        <f t="shared" si="939"/>
        <v>0</v>
      </c>
      <c r="LG285" t="e">
        <f t="shared" si="1019"/>
        <v>#VALUE!</v>
      </c>
      <c r="LH285" t="str">
        <f t="shared" si="940"/>
        <v xml:space="preserve"> </v>
      </c>
      <c r="LI285">
        <f t="shared" si="1020"/>
        <v>1</v>
      </c>
    </row>
    <row r="286" spans="2:321" ht="15" customHeight="1">
      <c r="B286" s="311"/>
      <c r="C286" s="311"/>
      <c r="D286" s="312"/>
      <c r="E286" s="311"/>
      <c r="F286" s="312"/>
      <c r="G286" s="311"/>
      <c r="H286" s="311"/>
      <c r="I286" s="232"/>
      <c r="J286" s="311"/>
      <c r="K286" s="305" t="str">
        <f t="shared" si="941"/>
        <v/>
      </c>
      <c r="L286" s="313"/>
      <c r="M286" s="312"/>
      <c r="N286" s="311"/>
      <c r="O286" s="312"/>
      <c r="P286" s="311"/>
      <c r="Q286" s="305" t="str">
        <f t="shared" si="942"/>
        <v/>
      </c>
      <c r="R286" s="314"/>
      <c r="S286" s="450" t="str">
        <f t="shared" si="825"/>
        <v/>
      </c>
      <c r="T286" s="315"/>
      <c r="U286" s="315"/>
      <c r="W286" s="149" t="str">
        <f t="shared" si="826"/>
        <v xml:space="preserve"> </v>
      </c>
      <c r="X286" s="243" t="str">
        <f t="shared" si="827"/>
        <v xml:space="preserve"> </v>
      </c>
      <c r="Y286" s="150" t="str">
        <f t="shared" si="828"/>
        <v/>
      </c>
      <c r="Z286" s="149" t="str">
        <f t="shared" si="829"/>
        <v xml:space="preserve"> </v>
      </c>
      <c r="AA286" s="98" t="str">
        <f t="shared" si="830"/>
        <v xml:space="preserve"> </v>
      </c>
      <c r="AB286" s="153" t="str">
        <f t="shared" si="831"/>
        <v xml:space="preserve"> </v>
      </c>
      <c r="AC286" s="153" t="str">
        <f t="shared" si="832"/>
        <v xml:space="preserve"> </v>
      </c>
      <c r="AD286" s="148" t="str">
        <f t="shared" si="833"/>
        <v/>
      </c>
      <c r="AE286" s="149" t="str">
        <f t="shared" si="834"/>
        <v/>
      </c>
      <c r="AF286" s="151" t="str">
        <f t="shared" si="835"/>
        <v xml:space="preserve"> </v>
      </c>
      <c r="AG286" s="153" t="str">
        <f t="shared" si="836"/>
        <v xml:space="preserve"> </v>
      </c>
      <c r="AH286" s="98" t="str">
        <f t="shared" si="837"/>
        <v xml:space="preserve"> </v>
      </c>
      <c r="AI286" s="149" t="str">
        <f t="shared" si="838"/>
        <v xml:space="preserve"> </v>
      </c>
      <c r="AK286" s="144" t="str">
        <f t="shared" si="839"/>
        <v xml:space="preserve"> </v>
      </c>
      <c r="AL286" s="144"/>
      <c r="AM286" s="243" t="str">
        <f t="shared" si="840"/>
        <v xml:space="preserve"> </v>
      </c>
      <c r="AN286" s="149" t="str">
        <f t="shared" si="943"/>
        <v xml:space="preserve"> </v>
      </c>
      <c r="AO286" s="144" t="str">
        <f>IF(JB286&gt;0,IF(GI286=10,-R286*1.085*(Calculation!$F$6-Calculation!$F$13)*$S$14," "),"")</f>
        <v/>
      </c>
      <c r="AP286" s="144" t="str">
        <f t="shared" si="841"/>
        <v/>
      </c>
      <c r="AQ286" s="56" t="str">
        <f t="shared" si="842"/>
        <v/>
      </c>
      <c r="AR286" s="144" t="str">
        <f t="shared" si="843"/>
        <v/>
      </c>
      <c r="AS286" s="176" t="str">
        <f t="shared" si="844"/>
        <v/>
      </c>
      <c r="AT286" s="176" t="str">
        <f t="shared" si="944"/>
        <v xml:space="preserve"> </v>
      </c>
      <c r="AU286" s="176" t="str">
        <f t="shared" si="845"/>
        <v/>
      </c>
      <c r="AV286" s="177" t="str">
        <f t="shared" si="846"/>
        <v xml:space="preserve"> </v>
      </c>
      <c r="AW286" s="144" t="str">
        <f t="shared" si="847"/>
        <v xml:space="preserve"> </v>
      </c>
      <c r="AX286" s="144" t="str">
        <f t="shared" si="848"/>
        <v xml:space="preserve"> </v>
      </c>
      <c r="AY286" s="152" t="str">
        <f t="shared" si="849"/>
        <v xml:space="preserve"> </v>
      </c>
      <c r="AZ286" s="246" t="str">
        <f t="shared" si="850"/>
        <v/>
      </c>
      <c r="BA286" s="176" t="str">
        <f t="shared" si="851"/>
        <v xml:space="preserve"> </v>
      </c>
      <c r="BB286" s="176" t="str">
        <f t="shared" si="852"/>
        <v xml:space="preserve"> </v>
      </c>
      <c r="BC286" s="195"/>
      <c r="BD286" s="316"/>
      <c r="BE286" s="317"/>
      <c r="BF286" s="318"/>
      <c r="BG286" s="318"/>
      <c r="BH286" s="144" t="str">
        <f t="shared" si="1021"/>
        <v xml:space="preserve"> </v>
      </c>
      <c r="BI286" s="176" t="str">
        <f t="shared" si="853"/>
        <v/>
      </c>
      <c r="BJ286" s="144" t="str">
        <f t="shared" si="1022"/>
        <v/>
      </c>
      <c r="BK286" s="246" t="str">
        <f t="shared" si="854"/>
        <v/>
      </c>
      <c r="BL286" s="144" t="str">
        <f t="shared" si="1023"/>
        <v/>
      </c>
      <c r="BM286" s="246" t="str">
        <f t="shared" si="855"/>
        <v/>
      </c>
      <c r="BN286" s="337" t="str">
        <f t="shared" si="945"/>
        <v/>
      </c>
      <c r="BO286" s="371" t="str">
        <f t="shared" si="946"/>
        <v/>
      </c>
      <c r="BP286" s="328" t="str">
        <f t="shared" si="1024"/>
        <v xml:space="preserve"> </v>
      </c>
      <c r="BQ286" s="347" t="str">
        <f t="shared" si="947"/>
        <v xml:space="preserve"> </v>
      </c>
      <c r="BR286" s="353" t="str">
        <f t="shared" si="948"/>
        <v xml:space="preserve"> </v>
      </c>
      <c r="BS286" s="626" t="str">
        <f>IF(L286&gt;0,IF(Calculation!P286="M13",BR286*3.1416*(0.134^2)/(4*144),IF(Calculation!P286="M17",BR286*3.1416*(0.165^2)/(4*144),IF(Calculation!P286="M20",BR286*3.1416*(0.198^2)/(4*144),IF(Calculation!P286="M23",BR286*3.1416*(0.228^2)/(4*144),IF(Calculation!P286="M27",BR286*3.1416*(0.269^2)/(4*144),BR286*3.1416*(0.307^2)/(4*144))))))," ")</f>
        <v xml:space="preserve"> </v>
      </c>
      <c r="BT286" s="353" t="str">
        <f>IF(L286&gt;0,IF(BS286&gt;0,R286/Calculation!BS286,0)," ")</f>
        <v xml:space="preserve"> </v>
      </c>
      <c r="BU286" s="438" t="e">
        <f t="shared" ca="1" si="856"/>
        <v>#VALUE!</v>
      </c>
      <c r="BV286" s="449" t="e">
        <f ca="1">INDEX(INDIRECT(VLOOKUP(LEFT(BO286,7),CLU!$Z$3:$AH$18,2)),GN286,GR286)</f>
        <v>#N/A</v>
      </c>
      <c r="BW286" s="433" t="e">
        <f ca="1">INDEX(INDIRECT(VLOOKUP(LEFT(BO286,7),CLU!$Z$3:$AH$18,3)),GN286,GR286)</f>
        <v>#N/A</v>
      </c>
      <c r="BX286" s="433" t="e">
        <f ca="1">INDEX(INDIRECT(VLOOKUP(LEFT(BO286,7),CLU!$Z$3:$AH$18,4)),GN286,GR286)</f>
        <v>#N/A</v>
      </c>
      <c r="BY286" s="433" t="e">
        <f ca="1">INDEX(INDIRECT(VLOOKUP(LEFT(BO286,7),CLU!$Z$3:$AH$18,9)),((M286-2)*(6-COUNTBLANK(GT286:GY286)))+GJ286)</f>
        <v>#N/A</v>
      </c>
      <c r="BZ286" s="426" t="e">
        <f t="shared" ca="1" si="949"/>
        <v>#N/A</v>
      </c>
      <c r="CA286" s="424" t="e">
        <f t="shared" ca="1" si="950"/>
        <v>#N/A</v>
      </c>
      <c r="CB286" s="429" t="e">
        <f ca="1">INDEX(INDIRECT(VLOOKUP(LEFT(BO286,7),CLU!$Z$3:$AH$18,2)),GN286,GS286)</f>
        <v>#N/A</v>
      </c>
      <c r="CC286" s="342" t="e">
        <f ca="1">INDEX(INDIRECT(VLOOKUP(LEFT(BO286,7),CLU!$Z$3:$AH$18,3)),GN286,GS286)</f>
        <v>#N/A</v>
      </c>
      <c r="CD286" s="342" t="e">
        <f ca="1">INDEX(INDIRECT(VLOOKUP(LEFT(BO286,7),CLU!$Z$3:$AH$18,4)),GN286,GS286)</f>
        <v>#N/A</v>
      </c>
      <c r="CE286" s="426" t="e">
        <f t="shared" ca="1" si="951"/>
        <v>#N/A</v>
      </c>
      <c r="CF286" s="440">
        <f t="shared" si="952"/>
        <v>0</v>
      </c>
      <c r="CG286" s="431" t="e">
        <f ca="1">INDEX(INDIRECT(VLOOKUP(LEFT(BO286,7),CLU!$Z$3:$AH$18,2)),GQ286,GR286)</f>
        <v>#N/A</v>
      </c>
      <c r="CH286" s="431" t="e">
        <f ca="1">INDEX(INDIRECT(VLOOKUP(LEFT(BO286,7),CLU!$Z$3:$AH$18,3)),GQ286,GR286)</f>
        <v>#N/A</v>
      </c>
      <c r="CI286" s="431" t="e">
        <f ca="1">INDEX(INDIRECT(VLOOKUP(LEFT(BO286,7),CLU!$Z$3:$AH$18,4)),GQ286,GR286)</f>
        <v>#N/A</v>
      </c>
      <c r="CJ286" s="448" t="e">
        <f t="shared" ca="1" si="953"/>
        <v>#N/A</v>
      </c>
      <c r="CK286" s="431" t="e">
        <f t="shared" ca="1" si="954"/>
        <v>#N/A</v>
      </c>
      <c r="CL286" s="440" t="e">
        <f t="shared" ca="1" si="955"/>
        <v>#N/A</v>
      </c>
      <c r="CM286" s="431" t="e">
        <f ca="1">INDEX(INDIRECT(VLOOKUP(LEFT(BO286,7),CLU!$Z$3:$AH$18,2)),GQ286,GS286)</f>
        <v>#N/A</v>
      </c>
      <c r="CN286" s="431" t="e">
        <f ca="1">INDEX(INDIRECT(VLOOKUP(LEFT(BO286,7),CLU!$Z$3:$AH$18,3)),GQ286,GS286)</f>
        <v>#N/A</v>
      </c>
      <c r="CO286" s="431" t="e">
        <f ca="1">INDEX(INDIRECT(VLOOKUP(LEFT(BO286,7),CLU!$Z$3:$AH$18,4)),GQ286,GS286)</f>
        <v>#N/A</v>
      </c>
      <c r="CP286" s="431" t="e">
        <f t="shared" ca="1" si="956"/>
        <v>#N/A</v>
      </c>
      <c r="CQ286" s="440">
        <f t="shared" si="957"/>
        <v>0</v>
      </c>
      <c r="CR286" s="51" t="e">
        <f t="shared" ca="1" si="958"/>
        <v>#N/A</v>
      </c>
      <c r="CS286" s="439" t="e">
        <f t="shared" ca="1" si="959"/>
        <v>#VALUE!</v>
      </c>
      <c r="CT286" s="51" t="e">
        <f t="shared" ca="1" si="960"/>
        <v>#VALUE!</v>
      </c>
      <c r="CU286" s="10"/>
      <c r="CV286" s="51" t="e">
        <f t="shared" ca="1" si="857"/>
        <v>#VALUE!</v>
      </c>
      <c r="CW286" s="51">
        <f t="shared" si="961"/>
        <v>0</v>
      </c>
      <c r="CX286" s="439" t="e">
        <f t="shared" ca="1" si="962"/>
        <v>#VALUE!</v>
      </c>
      <c r="CY286" s="51" t="e">
        <f t="shared" ca="1" si="963"/>
        <v>#VALUE!</v>
      </c>
      <c r="CZ286" s="10"/>
      <c r="DA286" s="51" t="e">
        <f t="shared" ca="1" si="964"/>
        <v>#VALUE!</v>
      </c>
      <c r="DB286" s="347" t="e">
        <f ca="1">INDEX(INDIRECT(VLOOKUP(LEFT(BO286,7),CLU!$Z$3:$AI$18,10)),((M286-2)*(6-COUNTBLANK(GT286:GY286)))+GJ286)*LI286</f>
        <v>#N/A</v>
      </c>
      <c r="DC286" s="347" t="str">
        <f>IF(L286&gt;0,((R286/Worksheet!$I$15)/DB286)^2," ")</f>
        <v xml:space="preserve"> </v>
      </c>
      <c r="DD286" s="602" t="str">
        <f t="shared" si="965"/>
        <v xml:space="preserve"> </v>
      </c>
      <c r="DE286" s="347" t="str">
        <f t="shared" si="858"/>
        <v xml:space="preserve"> </v>
      </c>
      <c r="DF286" s="356" t="e">
        <f ca="1">INDEX(INDIRECT(VLOOKUP(LEFT(BO286,7),CLU!$Z$3:$AH$18,8)),((M286-2)*(6-COUNTBLANK(GT286:GY286)))+GJ286)</f>
        <v>#N/A</v>
      </c>
      <c r="DG286" s="347" t="str">
        <f t="shared" si="859"/>
        <v xml:space="preserve"> </v>
      </c>
      <c r="DH286" s="357" t="str">
        <f t="shared" si="860"/>
        <v xml:space="preserve"> </v>
      </c>
      <c r="DI286" s="355" t="str">
        <f t="shared" si="861"/>
        <v xml:space="preserve"> </v>
      </c>
      <c r="DJ286" s="245" t="e">
        <f ca="1">INDEX(INDIRECT(VLOOKUP(LEFT(BO286,7),CLU!$Z$3:$AH$18,5)),GL286,GK286)</f>
        <v>#N/A</v>
      </c>
      <c r="DK286" s="245" t="e">
        <f ca="1">INDEX(INDIRECT(VLOOKUP(LEFT(BO286,7),CLU!$Z$3:$AH$18,6)),GL286,GK286)</f>
        <v>#N/A</v>
      </c>
      <c r="DL286" s="355">
        <f>(Calculation!R286*0.69143*(Calculation!$BQ$8-Calculation!$F$8))*$S$14</f>
        <v>0</v>
      </c>
      <c r="DM286" s="359" t="e">
        <f t="shared" si="966"/>
        <v>#VALUE!</v>
      </c>
      <c r="DN286" s="611">
        <f t="shared" si="967"/>
        <v>0</v>
      </c>
      <c r="DO286" s="359">
        <f t="shared" si="968"/>
        <v>100</v>
      </c>
      <c r="DP286" s="359">
        <f t="shared" si="969"/>
        <v>0</v>
      </c>
      <c r="DQ286" s="360"/>
      <c r="DR286" s="245" t="e">
        <f ca="1">INDEX(INDIRECT(VLOOKUP(LEFT(BO286,7),CLU!$Z$3:$AH$18,7)),M286-1,1)</f>
        <v>#N/A</v>
      </c>
      <c r="DS286" s="245" t="e">
        <f ca="1">INDEX(INDIRECT(VLOOKUP(LEFT(BO286,7),CLU!$Z$3:$AH$18,7)),M286-1,2)</f>
        <v>#N/A</v>
      </c>
      <c r="DT286" s="245" t="e">
        <f ca="1">INDEX(INDIRECT(VLOOKUP(LEFT(BO286,7),CLU!$Z$3:$AH$18,7)),M286-1,3)</f>
        <v>#N/A</v>
      </c>
      <c r="DU286" s="245" t="e">
        <f ca="1">INDEX(INDIRECT(VLOOKUP(LEFT(BO286,7),CLU!$Z$3:$AH$18,7)),M286-1,4)</f>
        <v>#N/A</v>
      </c>
      <c r="DV286" s="361" t="e">
        <f ca="1">INDEX(INDIRECT(VLOOKUP(LEFT(BO286,7),CLU!$Z$3:$AH$18,7)),M286-1,4+LEFT(DZ286,1)*0.5)</f>
        <v>#N/A</v>
      </c>
      <c r="DW286" s="245" t="e">
        <f ca="1">INDEX(INDIRECT(VLOOKUP(LEFT(BO286,7),CLU!$Z$3:$AH$18,7)),M286-1,8)</f>
        <v>#N/A</v>
      </c>
      <c r="DX286" s="361" t="str">
        <f t="shared" si="862"/>
        <v xml:space="preserve"> </v>
      </c>
      <c r="DY286" s="361" t="str">
        <f t="shared" si="863"/>
        <v xml:space="preserve"> </v>
      </c>
      <c r="DZ286" s="361" t="str">
        <f t="shared" si="864"/>
        <v xml:space="preserve"> </v>
      </c>
      <c r="EA286" s="362" t="str">
        <f t="shared" si="865"/>
        <v xml:space="preserve"> </v>
      </c>
      <c r="EB286" s="624" t="str">
        <f t="shared" si="970"/>
        <v xml:space="preserve"> </v>
      </c>
      <c r="EC286" s="361" t="e">
        <f ca="1">INDEX(INDIRECT(VLOOKUP(LEFT(BO286,7),CLU!$Z$3:$AH$18,7)),M286-1,4+LEFT(DZ286,1)*0.5)</f>
        <v>#N/A</v>
      </c>
      <c r="ED286" s="362" t="str">
        <f t="shared" si="866"/>
        <v xml:space="preserve"> </v>
      </c>
      <c r="EE286" s="361" t="str">
        <f t="shared" si="867"/>
        <v xml:space="preserve"> </v>
      </c>
      <c r="EF286" s="362" t="str">
        <f>IF(L286&gt;0,IF(BR286&gt;0,IF(EE286="2P",IF(Calculation!DZ286="2P",IF(Calculation!DS286=13.75,IF(Calculation!DR286=13,Worksheet!$BD$43,IF(Calculation!DR286=37,Worksheet!$BD$44,Worksheet!$BD$45)),IF(Calculation!DS286=10,IF(Calculation!DR286=18,Worksheet!$BD$29,IF(Calculation!DR286=30,Worksheet!$BD$30,IF(Calculation!DR286=42,Worksheet!$BD$31,IF(Calculation!DR286=54,Worksheet!$BD$32,IF(Calculation!DR286=66,Worksheet!$BD$33,IF(Calculation!DR286=78,Worksheet!$BD$34,IF(Calculation!DR286=90,Worksheet!$BD$35,IF(Calculation!DR286=102,Worksheet!$BD$36,Worksheet!$BD$37)))))))),IF(Calculation!DS286=12.5,IF(Calculation!DR286=18,Worksheet!$BD$38,IF(Calculation!DR286=Worksheet!$BD$39,IF(Calculation!DR286=42,Worksheet!$BD$40,IF(Calculation!DR286=54,Worksheet!$BD$41,Worksheet!$BD$42)))),IF(Calculation!DR286=18,Worksheet!$BD$11,IF(Calculation!DR286=30,Worksheet!$BD$12,IF(Calculation!DR286=42,Worksheet!$BD$13,IF(Calculation!DR286=54,Worksheet!$BD$14,IF(Calculation!DR286=66,Worksheet!$BD$15,IF(Calculation!DR286=78,Worksheet!$BD$16,IF(Calculation!DR286=90,Worksheet!$BD$17,IF(Calculation!DR286=102,Worksheet!$BD$18,Worksheet!$BD$19))))))))))),IF(Calculation!DS286=13.75,IF(Calculation!DR286=13,Worksheet!$BD$78,IF(Calculation!DR286=37,Worksheet!$BD$79,Worksheet!$BD$80)),IF(Calculation!DS286=10,IF(Calculation!DR286=18,Worksheet!$BD$64,IF(Calculation!DR286=30,Worksheet!$BD$65,IF(Calculation!DR286=42,Worksheet!$BD$66,IF(Calculation!DR286=54,Worksheet!$BD$68,IF(Calculation!DR286=66,Worksheet!$BD$68,IF(Calculation!DR286=78,Worksheet!$BD$69,IF(Calculation!DR286=90,Worksheet!$BD$70,IF(Calculation!DR286=102,Worksheet!$BD$71,Worksheet!$BD$72)))))))),IF(Calculation!DS286=12.5,IF(Calculation!DR286=18,Worksheet!$BD$73,IF(Calculation!DR286=Worksheet!$BD$74,IF(Calculation!DR286=42,Worksheet!$BD$75,IF(Calculation!DR286=54,Worksheet!$BD$76,Worksheet!$BD$77)))),IF(Calculation!DR286=18,Worksheet!$BD$55,IF(Calculation!DR286=30,Worksheet!$BD$56,IF(Calculation!DR286=42,Worksheet!$BD$57,IF(Calculation!DR286=54,Worksheet!$BD$58,IF(Calculation!DR286=66,Worksheet!$BD$59,IF(Calculation!DR286=78,Worksheet!$BD$60,IF(Calculation!DR286=90,Worksheet!$BD$61,IF(Calculation!DR286=102,Worksheet!$BD$62,Worksheet!$BD$63)))))))))))),5),0)," ")</f>
        <v xml:space="preserve"> </v>
      </c>
      <c r="EG286" s="361" t="str">
        <f t="shared" si="868"/>
        <v xml:space="preserve"> </v>
      </c>
      <c r="EH286" s="361" t="e">
        <f ca="1">INDEX(INDIRECT(VLOOKUP(LEFT(BO286,7),CLU!$Z$3:$AH$18,7)),M286-1,3+LEFT(DZ286,1))</f>
        <v>#N/A</v>
      </c>
      <c r="EI286" s="362" t="str">
        <f t="shared" si="869"/>
        <v xml:space="preserve"> </v>
      </c>
      <c r="EJ286" s="363" t="str">
        <f t="shared" si="870"/>
        <v xml:space="preserve"> </v>
      </c>
      <c r="EK286" s="363" t="str">
        <f t="shared" si="871"/>
        <v xml:space="preserve"> </v>
      </c>
      <c r="EL286" s="363" t="str">
        <f t="shared" si="872"/>
        <v xml:space="preserve"> </v>
      </c>
      <c r="EM286" s="362" t="str">
        <f>IF(L286&gt;0,IF(BR286&gt;0,(Calculation!T286/ED286)^2,0)," ")</f>
        <v xml:space="preserve"> </v>
      </c>
      <c r="EN286" s="362" t="str">
        <f>IF(L286&gt;0,IF(O286="2 Pipe (Cooling)","N/A",IF(BR286&gt;0,(Calculation!U286/EI286)^2,0))," ")</f>
        <v xml:space="preserve"> </v>
      </c>
      <c r="EO286" s="361" t="str">
        <f t="shared" si="873"/>
        <v/>
      </c>
      <c r="EP286" s="361" t="str">
        <f t="shared" si="874"/>
        <v/>
      </c>
      <c r="EQ286" s="361" t="str">
        <f t="shared" si="875"/>
        <v/>
      </c>
      <c r="ER286" s="361" t="str">
        <f t="shared" si="876"/>
        <v/>
      </c>
      <c r="ES286" s="361" t="str">
        <f t="shared" si="877"/>
        <v/>
      </c>
      <c r="ET286" s="361" t="str">
        <f t="shared" si="878"/>
        <v/>
      </c>
      <c r="EU286" s="361" t="str">
        <f t="shared" si="879"/>
        <v/>
      </c>
      <c r="EV286" s="361" t="str">
        <f t="shared" si="880"/>
        <v/>
      </c>
      <c r="EW286" s="361" t="str">
        <f t="shared" si="881"/>
        <v/>
      </c>
      <c r="EX286" s="361" t="str">
        <f t="shared" si="971"/>
        <v>1 slot, 1 way</v>
      </c>
      <c r="EY286" s="361" t="str">
        <f t="shared" si="972"/>
        <v xml:space="preserve"> </v>
      </c>
      <c r="EZ286" s="361" t="str">
        <f t="shared" si="973"/>
        <v xml:space="preserve"> </v>
      </c>
      <c r="FA286" s="361" t="str">
        <f t="shared" si="974"/>
        <v xml:space="preserve"> </v>
      </c>
      <c r="FB286" s="361" t="str">
        <f t="shared" si="975"/>
        <v xml:space="preserve"> </v>
      </c>
      <c r="FC286" s="361"/>
      <c r="FD286" s="361" t="str">
        <f>IF(J286&gt;0,IF(Calculation!R286&lt;=70,4,IF(Calculation!R286&lt;=110,5,IF(Calculation!R286&lt;=160,6,IF(Calculation!R286&lt;=300,8,"10 EO")))),"")</f>
        <v/>
      </c>
      <c r="FE286" s="361" t="str">
        <f t="shared" si="976"/>
        <v/>
      </c>
      <c r="FF286" s="361" t="str">
        <f t="shared" si="977"/>
        <v/>
      </c>
      <c r="FG286" s="361" t="e">
        <f t="shared" si="882"/>
        <v>#N/A</v>
      </c>
      <c r="FH286" s="361">
        <f t="shared" si="883"/>
        <v>0</v>
      </c>
      <c r="FI286" s="361" t="e">
        <f t="shared" si="884"/>
        <v>#DIV/0!</v>
      </c>
      <c r="FJ286" s="361"/>
      <c r="FK286" s="356" t="e">
        <f t="shared" si="885"/>
        <v>#VALUE!</v>
      </c>
      <c r="FL286" s="361"/>
      <c r="FM286" s="361"/>
      <c r="FN286" s="362" t="str">
        <f t="shared" si="978"/>
        <v xml:space="preserve"> </v>
      </c>
      <c r="FO286" s="362" t="str">
        <f t="shared" si="979"/>
        <v xml:space="preserve"> </v>
      </c>
      <c r="FP286" s="362">
        <f t="shared" si="980"/>
        <v>0</v>
      </c>
      <c r="FQ286" s="361">
        <f t="shared" si="886"/>
        <v>0</v>
      </c>
      <c r="FR286" s="362" t="str">
        <f>IF(L286&gt;0,IF(J286="CBAL2",Worksheet!$P$67,IF(J286="CBE2-24",Worksheet!$Q$67,IF(J286="CBAM",Worksheet!$R$67,IF(J286="CBLV",Worksheet!$S$67,IF(J286="CBAB",Worksheet!$U$67,IF(J286="CBAW",Worksheet!$X$67,IF(J286="CBE2-12",Worksheet!$Y$67,IF(J286="CBAL2",Worksheet!$Z$67,"N/A"))))))))," ")</f>
        <v xml:space="preserve"> </v>
      </c>
      <c r="FS286" s="362" t="str">
        <f>IF(L286&gt;0,IF(J286="CBAL2",Worksheet!$P$68,IF(J286="CBE2-24",Worksheet!$Q$68,IF(J286="CBAM",Worksheet!$R$68,IF(J286="CBLV",Worksheet!$S$68,IF(J286="CBAB",Worksheet!$U$68,IF(J286="CBAW",Worksheet!$X$68,IF(J286="CBE2-12",Worksheet!$Y$68,IF(J286="CBAL2",Worksheet!$Z$68,"N/A"))))))))," ")</f>
        <v xml:space="preserve"> </v>
      </c>
      <c r="FT286" s="362" t="str">
        <f>IF(L286&gt;0,IF(J286="CBAL2",Worksheet!$P$69,IF(J286="CBE2-24",Worksheet!$Q$69,IF(J286="CBAM",Worksheet!$R$69,IF(J286="CBLV",Worksheet!$S$69,IF(J286="CBAB",Worksheet!$U$69,IF(J286="CBAW",Worksheet!$X$69,IF(J286="CBE2-12",Worksheet!$Y$69,IF(J286="CBAL2",Worksheet!$Z$69,"N/A"))))))))," ")</f>
        <v xml:space="preserve"> </v>
      </c>
      <c r="FU286" s="361" t="str">
        <f t="shared" si="981"/>
        <v xml:space="preserve"> </v>
      </c>
      <c r="FV286" s="362" t="str">
        <f t="shared" si="982"/>
        <v xml:space="preserve"> </v>
      </c>
      <c r="FW286" s="362" t="str">
        <f t="shared" si="983"/>
        <v xml:space="preserve"> </v>
      </c>
      <c r="FX286" s="362" t="str">
        <f t="shared" si="984"/>
        <v xml:space="preserve"> </v>
      </c>
      <c r="FY286" s="355" t="str">
        <f t="shared" si="985"/>
        <v xml:space="preserve"> </v>
      </c>
      <c r="FZ286" s="361" t="str">
        <f t="shared" si="986"/>
        <v xml:space="preserve"> </v>
      </c>
      <c r="GA286" s="347" t="str">
        <f t="shared" si="987"/>
        <v xml:space="preserve"> </v>
      </c>
      <c r="GB286" s="355" t="str">
        <f t="shared" si="988"/>
        <v xml:space="preserve"> </v>
      </c>
      <c r="GC286" s="328" t="str">
        <f t="shared" si="989"/>
        <v xml:space="preserve"> </v>
      </c>
      <c r="GD286" s="361" t="str">
        <f t="shared" si="990"/>
        <v xml:space="preserve"> </v>
      </c>
      <c r="GE286" s="347" t="str">
        <f t="shared" si="991"/>
        <v xml:space="preserve"> </v>
      </c>
      <c r="GF286" s="361" t="str">
        <f t="shared" si="992"/>
        <v xml:space="preserve"> </v>
      </c>
      <c r="GG286" s="347" t="str">
        <f t="shared" si="993"/>
        <v xml:space="preserve"> </v>
      </c>
      <c r="GH286" s="364">
        <f t="shared" si="887"/>
        <v>0</v>
      </c>
      <c r="GI286" s="362">
        <f t="shared" si="994"/>
        <v>2</v>
      </c>
      <c r="GJ286" s="433" t="e">
        <f>IF(6-COUNTBLANK(GT286:GY286)=4,MATCH(MID(BO286,9,3),CLU!$H$16:$K$16),MATCH(MID(BO286,9,3),CLU!$H$13:$M$13))</f>
        <v>#N/A</v>
      </c>
      <c r="GK286" s="433" t="e">
        <f>HLOOKUP(VALUE(BP286),CLU!$H$9:$M$10,2)</f>
        <v>#VALUE!</v>
      </c>
      <c r="GL286" s="433" t="e">
        <f ca="1">MATCH(BU286,CLU!$H$2:$V$2,1)</f>
        <v>#VALUE!</v>
      </c>
      <c r="GM286" s="433" t="e">
        <f t="shared" ca="1" si="995"/>
        <v>#VALUE!</v>
      </c>
      <c r="GN286" s="433" t="e">
        <f t="shared" ca="1" si="996"/>
        <v>#VALUE!</v>
      </c>
      <c r="GO286" s="433" t="e">
        <f t="shared" ca="1" si="997"/>
        <v>#VALUE!</v>
      </c>
      <c r="GP286" s="433" t="e">
        <f t="shared" ca="1" si="998"/>
        <v>#VALUE!</v>
      </c>
      <c r="GQ286" s="433" t="e">
        <f t="shared" ca="1" si="999"/>
        <v>#VALUE!</v>
      </c>
      <c r="GR286" s="433" t="e">
        <f ca="1">MATCH(T286,INDIRECT(VLOOKUP(CONCATENATE(LEFT(BO286,7),"-",MID(BO286,13,1)),CLU!$P$3:$Q$16,2)),1)</f>
        <v>#N/A</v>
      </c>
      <c r="GS286" s="433" t="e">
        <f ca="1">MATCH(U286,INDIRECT(VLOOKUP(CONCATENATE(LEFT(BO286,7),"-",MID(BO286,13,1)),CLU!$P$3:$Q$16,2)),1)</f>
        <v>#N/A</v>
      </c>
      <c r="GT286" s="347" t="s">
        <v>512</v>
      </c>
      <c r="GU286" s="97" t="s">
        <v>513</v>
      </c>
      <c r="GV286" s="97" t="str">
        <f t="shared" si="1000"/>
        <v>M23</v>
      </c>
      <c r="GW286" s="97" t="str">
        <f t="shared" si="1001"/>
        <v>M31</v>
      </c>
      <c r="GX286" s="97" t="str">
        <f t="shared" si="1002"/>
        <v/>
      </c>
      <c r="GY286" s="97" t="str">
        <f t="shared" si="1003"/>
        <v/>
      </c>
      <c r="GZ286" s="481"/>
      <c r="HA286" s="240"/>
      <c r="HB286" s="240"/>
      <c r="HC286" s="240"/>
      <c r="HD286" s="240"/>
      <c r="HE286" s="240"/>
      <c r="HF286" s="240"/>
      <c r="HG286" s="240"/>
      <c r="HH286" s="240"/>
      <c r="HI286" s="240"/>
      <c r="HJ286" s="240"/>
      <c r="HK286" s="240"/>
      <c r="HL286" s="240"/>
      <c r="HM286" s="240"/>
      <c r="HN286" s="240"/>
      <c r="HO286" s="240"/>
      <c r="HP286" s="240"/>
      <c r="HQ286" s="240"/>
      <c r="HR286" s="240"/>
      <c r="HS286" s="240"/>
      <c r="HT286" s="240"/>
      <c r="HU286" s="240"/>
      <c r="HV286" s="245"/>
      <c r="HW286" s="245" t="b">
        <v>1</v>
      </c>
      <c r="HX286" s="245" t="str">
        <f t="shared" si="888"/>
        <v/>
      </c>
      <c r="HY286" s="245" t="e">
        <f t="shared" si="889"/>
        <v>#DIV/0!</v>
      </c>
      <c r="HZ286" s="245" t="e">
        <f t="shared" si="890"/>
        <v>#DIV/0!</v>
      </c>
      <c r="IA286" s="245">
        <f t="shared" si="891"/>
        <v>0</v>
      </c>
      <c r="IB286" s="245"/>
      <c r="IC286" t="b">
        <f t="shared" si="892"/>
        <v>1</v>
      </c>
      <c r="ID286" s="245" t="b">
        <f t="shared" si="893"/>
        <v>1</v>
      </c>
      <c r="IE286" s="245" t="b">
        <f t="shared" si="894"/>
        <v>1</v>
      </c>
      <c r="IF286" s="245" t="b">
        <f t="shared" si="895"/>
        <v>0</v>
      </c>
      <c r="IG286" s="245" t="b">
        <f t="shared" si="896"/>
        <v>1</v>
      </c>
      <c r="IH286" s="245" t="b">
        <f t="shared" si="897"/>
        <v>1</v>
      </c>
      <c r="II286" s="245">
        <f t="shared" si="1004"/>
        <v>0</v>
      </c>
      <c r="IJ286" s="245" t="e">
        <f t="shared" si="898"/>
        <v>#VALUE!</v>
      </c>
      <c r="IK286" s="245" t="e">
        <f t="shared" si="899"/>
        <v>#VALUE!</v>
      </c>
      <c r="IL286" s="245"/>
      <c r="IM286" s="245" t="e">
        <f t="shared" si="1005"/>
        <v>#N/A</v>
      </c>
      <c r="IN286" s="245" t="e">
        <f t="shared" si="1006"/>
        <v>#N/A</v>
      </c>
      <c r="IO286" s="245"/>
      <c r="IP286" s="245"/>
      <c r="IQ286" s="245" t="str">
        <f t="shared" si="900"/>
        <v/>
      </c>
      <c r="IR286" s="245" t="str">
        <f>IF(J286="","",VLOOKUP(J286,Worksheet!$R$4:$T$14,2))</f>
        <v/>
      </c>
      <c r="IS286" s="245"/>
      <c r="IT286" s="245">
        <f t="shared" si="901"/>
        <v>0</v>
      </c>
      <c r="IU286" s="245">
        <f t="shared" si="902"/>
        <v>0</v>
      </c>
      <c r="IV286" s="245">
        <f t="shared" si="903"/>
        <v>0</v>
      </c>
      <c r="IW286" s="245">
        <f t="shared" si="904"/>
        <v>0</v>
      </c>
      <c r="IX286" s="245">
        <f t="shared" si="1007"/>
        <v>0</v>
      </c>
      <c r="IY286" s="245">
        <f t="shared" si="905"/>
        <v>0</v>
      </c>
      <c r="IZ286" s="245">
        <f t="shared" si="906"/>
        <v>0</v>
      </c>
      <c r="JA286">
        <f t="shared" si="907"/>
        <v>0</v>
      </c>
      <c r="JB286">
        <f t="shared" si="1008"/>
        <v>0</v>
      </c>
      <c r="JC286">
        <f t="shared" si="908"/>
        <v>0</v>
      </c>
      <c r="JD286">
        <f t="shared" si="909"/>
        <v>0</v>
      </c>
      <c r="JE286">
        <f t="shared" si="910"/>
        <v>0</v>
      </c>
      <c r="JF286">
        <f t="shared" si="911"/>
        <v>0</v>
      </c>
      <c r="JG286">
        <f t="shared" si="912"/>
        <v>0</v>
      </c>
      <c r="JH286">
        <f t="shared" si="913"/>
        <v>0</v>
      </c>
      <c r="JI286">
        <f t="shared" si="914"/>
        <v>0</v>
      </c>
      <c r="JJ286" s="447">
        <f t="shared" si="915"/>
        <v>0</v>
      </c>
      <c r="JK286" s="447">
        <f t="shared" si="916"/>
        <v>0</v>
      </c>
      <c r="JL286">
        <f t="shared" si="917"/>
        <v>0</v>
      </c>
      <c r="JM286" s="245" t="str">
        <f>IFERROR(VLOOKUP(MATCH(BN286,#REF!,0),#REF!,7),"")</f>
        <v/>
      </c>
      <c r="JN286" t="e">
        <f>HLOOKUP(LEFT(BO286,7),Discharge_Area,MATCH(JO286,LookUps!$B$130:$B$149,1)+2)</f>
        <v>#N/A</v>
      </c>
      <c r="JO286" t="str">
        <f t="shared" si="918"/>
        <v>- S</v>
      </c>
      <c r="JP286" t="e">
        <f>HLOOKUP(LEFT(BO286,7),Discharge_Area,MATCH(JO286,LookUps!$B$130:$B$149,1)+2)</f>
        <v>#N/A</v>
      </c>
      <c r="JQ286" t="e">
        <f t="shared" si="919"/>
        <v>#N/A</v>
      </c>
      <c r="JR286" t="e">
        <f t="shared" si="920"/>
        <v>#N/A</v>
      </c>
      <c r="JS286" t="e">
        <f t="shared" si="921"/>
        <v>#N/A</v>
      </c>
      <c r="JT286" s="532" t="str">
        <f t="shared" si="922"/>
        <v xml:space="preserve"> </v>
      </c>
      <c r="JU286" s="532" t="str">
        <f t="shared" si="923"/>
        <v xml:space="preserve"> </v>
      </c>
      <c r="JV286" s="533" t="str">
        <f t="shared" si="924"/>
        <v xml:space="preserve"> </v>
      </c>
      <c r="JW286" s="534">
        <f t="shared" si="925"/>
        <v>0</v>
      </c>
      <c r="JX286" s="535" t="str">
        <f t="shared" si="1009"/>
        <v xml:space="preserve"> </v>
      </c>
      <c r="JY286" s="535" t="str">
        <f t="shared" si="1010"/>
        <v xml:space="preserve"> </v>
      </c>
      <c r="JZ286" s="535" t="str">
        <f t="shared" si="1011"/>
        <v xml:space="preserve"> </v>
      </c>
      <c r="KA286" s="536" t="str">
        <f t="shared" si="926"/>
        <v xml:space="preserve"> </v>
      </c>
      <c r="KB286" s="535" t="e">
        <f t="shared" si="1012"/>
        <v>#VALUE!</v>
      </c>
      <c r="KC286" s="535" t="str">
        <f t="shared" si="927"/>
        <v/>
      </c>
      <c r="KD286" s="537" t="str">
        <f t="shared" si="1013"/>
        <v xml:space="preserve"> </v>
      </c>
      <c r="KE286" s="537" t="str">
        <f t="shared" si="1014"/>
        <v xml:space="preserve"> </v>
      </c>
      <c r="KF286" s="534">
        <f t="shared" si="928"/>
        <v>0</v>
      </c>
      <c r="KG286" s="535" t="str">
        <f t="shared" si="929"/>
        <v xml:space="preserve"> </v>
      </c>
      <c r="KH286" s="535" t="str">
        <f t="shared" si="930"/>
        <v xml:space="preserve"> </v>
      </c>
      <c r="KI286" s="535" t="str">
        <f t="shared" si="931"/>
        <v xml:space="preserve"> </v>
      </c>
      <c r="KJ286" s="536" t="str">
        <f t="shared" si="932"/>
        <v xml:space="preserve"> </v>
      </c>
      <c r="KK286" s="535" t="str">
        <f t="shared" si="1015"/>
        <v xml:space="preserve"> </v>
      </c>
      <c r="KL286" s="535" t="str">
        <f t="shared" si="1016"/>
        <v xml:space="preserve"> </v>
      </c>
      <c r="KM286" s="537" t="str">
        <f t="shared" si="933"/>
        <v xml:space="preserve"> </v>
      </c>
      <c r="KN286" s="537" t="str">
        <f t="shared" si="1017"/>
        <v xml:space="preserve"> </v>
      </c>
      <c r="KP286">
        <f t="shared" si="934"/>
        <v>0</v>
      </c>
      <c r="LA286" t="e">
        <f t="shared" si="935"/>
        <v>#VALUE!</v>
      </c>
      <c r="LB286" t="e">
        <f t="shared" si="936"/>
        <v>#VALUE!</v>
      </c>
      <c r="LC286" t="e">
        <f t="shared" si="937"/>
        <v>#VALUE!</v>
      </c>
      <c r="LD286" t="e">
        <f t="shared" si="938"/>
        <v>#VALUE!</v>
      </c>
      <c r="LE286" t="e">
        <f t="shared" si="1018"/>
        <v>#VALUE!</v>
      </c>
      <c r="LF286">
        <f t="shared" si="939"/>
        <v>0</v>
      </c>
      <c r="LG286" t="e">
        <f t="shared" si="1019"/>
        <v>#VALUE!</v>
      </c>
      <c r="LH286" t="str">
        <f t="shared" si="940"/>
        <v xml:space="preserve"> </v>
      </c>
      <c r="LI286">
        <f t="shared" si="1020"/>
        <v>1</v>
      </c>
    </row>
    <row r="287" spans="2:321" ht="15" customHeight="1">
      <c r="B287" s="311"/>
      <c r="C287" s="311"/>
      <c r="D287" s="312"/>
      <c r="E287" s="311"/>
      <c r="F287" s="312"/>
      <c r="G287" s="311"/>
      <c r="H287" s="311"/>
      <c r="I287" s="232"/>
      <c r="J287" s="311"/>
      <c r="K287" s="305" t="str">
        <f t="shared" si="941"/>
        <v/>
      </c>
      <c r="L287" s="313"/>
      <c r="M287" s="312"/>
      <c r="N287" s="311"/>
      <c r="O287" s="312"/>
      <c r="P287" s="311"/>
      <c r="Q287" s="305" t="str">
        <f t="shared" si="942"/>
        <v/>
      </c>
      <c r="R287" s="314"/>
      <c r="S287" s="450" t="str">
        <f t="shared" si="825"/>
        <v/>
      </c>
      <c r="T287" s="315"/>
      <c r="U287" s="315"/>
      <c r="W287" s="149" t="str">
        <f t="shared" si="826"/>
        <v xml:space="preserve"> </v>
      </c>
      <c r="X287" s="243" t="str">
        <f t="shared" si="827"/>
        <v xml:space="preserve"> </v>
      </c>
      <c r="Y287" s="150" t="str">
        <f t="shared" si="828"/>
        <v/>
      </c>
      <c r="Z287" s="149" t="str">
        <f t="shared" si="829"/>
        <v xml:space="preserve"> </v>
      </c>
      <c r="AA287" s="98" t="str">
        <f t="shared" si="830"/>
        <v xml:space="preserve"> </v>
      </c>
      <c r="AB287" s="153" t="str">
        <f t="shared" si="831"/>
        <v xml:space="preserve"> </v>
      </c>
      <c r="AC287" s="153" t="str">
        <f t="shared" si="832"/>
        <v xml:space="preserve"> </v>
      </c>
      <c r="AD287" s="148" t="str">
        <f t="shared" si="833"/>
        <v/>
      </c>
      <c r="AE287" s="149" t="str">
        <f t="shared" si="834"/>
        <v/>
      </c>
      <c r="AF287" s="151" t="str">
        <f t="shared" si="835"/>
        <v xml:space="preserve"> </v>
      </c>
      <c r="AG287" s="153" t="str">
        <f t="shared" si="836"/>
        <v xml:space="preserve"> </v>
      </c>
      <c r="AH287" s="98" t="str">
        <f t="shared" si="837"/>
        <v xml:space="preserve"> </v>
      </c>
      <c r="AI287" s="149" t="str">
        <f t="shared" si="838"/>
        <v xml:space="preserve"> </v>
      </c>
      <c r="AK287" s="144" t="str">
        <f t="shared" si="839"/>
        <v xml:space="preserve"> </v>
      </c>
      <c r="AL287" s="144"/>
      <c r="AM287" s="243" t="str">
        <f t="shared" si="840"/>
        <v xml:space="preserve"> </v>
      </c>
      <c r="AN287" s="149" t="str">
        <f t="shared" si="943"/>
        <v xml:space="preserve"> </v>
      </c>
      <c r="AO287" s="144" t="str">
        <f>IF(JB287&gt;0,IF(GI287=10,-R287*1.085*(Calculation!$F$6-Calculation!$F$13)*$S$14," "),"")</f>
        <v/>
      </c>
      <c r="AP287" s="144" t="str">
        <f t="shared" si="841"/>
        <v/>
      </c>
      <c r="AQ287" s="56" t="str">
        <f t="shared" si="842"/>
        <v/>
      </c>
      <c r="AR287" s="144" t="str">
        <f t="shared" si="843"/>
        <v/>
      </c>
      <c r="AS287" s="176" t="str">
        <f t="shared" si="844"/>
        <v/>
      </c>
      <c r="AT287" s="176" t="str">
        <f t="shared" si="944"/>
        <v xml:space="preserve"> </v>
      </c>
      <c r="AU287" s="176" t="str">
        <f t="shared" si="845"/>
        <v/>
      </c>
      <c r="AV287" s="177" t="str">
        <f t="shared" si="846"/>
        <v xml:space="preserve"> </v>
      </c>
      <c r="AW287" s="144" t="str">
        <f t="shared" si="847"/>
        <v xml:space="preserve"> </v>
      </c>
      <c r="AX287" s="144" t="str">
        <f t="shared" si="848"/>
        <v xml:space="preserve"> </v>
      </c>
      <c r="AY287" s="152" t="str">
        <f t="shared" si="849"/>
        <v xml:space="preserve"> </v>
      </c>
      <c r="AZ287" s="246" t="str">
        <f t="shared" si="850"/>
        <v/>
      </c>
      <c r="BA287" s="176" t="str">
        <f t="shared" si="851"/>
        <v xml:space="preserve"> </v>
      </c>
      <c r="BB287" s="176" t="str">
        <f t="shared" si="852"/>
        <v xml:space="preserve"> </v>
      </c>
      <c r="BC287" s="195"/>
      <c r="BD287" s="316"/>
      <c r="BE287" s="317"/>
      <c r="BF287" s="318"/>
      <c r="BG287" s="318"/>
      <c r="BH287" s="144" t="str">
        <f t="shared" si="1021"/>
        <v xml:space="preserve"> </v>
      </c>
      <c r="BI287" s="176" t="str">
        <f t="shared" si="853"/>
        <v/>
      </c>
      <c r="BJ287" s="144" t="str">
        <f t="shared" si="1022"/>
        <v/>
      </c>
      <c r="BK287" s="246" t="str">
        <f t="shared" si="854"/>
        <v/>
      </c>
      <c r="BL287" s="144" t="str">
        <f t="shared" si="1023"/>
        <v/>
      </c>
      <c r="BM287" s="246" t="str">
        <f t="shared" si="855"/>
        <v/>
      </c>
      <c r="BN287" s="337" t="str">
        <f t="shared" si="945"/>
        <v/>
      </c>
      <c r="BO287" s="371" t="str">
        <f t="shared" si="946"/>
        <v/>
      </c>
      <c r="BP287" s="328" t="str">
        <f t="shared" si="1024"/>
        <v xml:space="preserve"> </v>
      </c>
      <c r="BQ287" s="347" t="str">
        <f t="shared" si="947"/>
        <v xml:space="preserve"> </v>
      </c>
      <c r="BR287" s="353" t="str">
        <f t="shared" si="948"/>
        <v xml:space="preserve"> </v>
      </c>
      <c r="BS287" s="626" t="str">
        <f>IF(L287&gt;0,IF(Calculation!P287="M13",BR287*3.1416*(0.134^2)/(4*144),IF(Calculation!P287="M17",BR287*3.1416*(0.165^2)/(4*144),IF(Calculation!P287="M20",BR287*3.1416*(0.198^2)/(4*144),IF(Calculation!P287="M23",BR287*3.1416*(0.228^2)/(4*144),IF(Calculation!P287="M27",BR287*3.1416*(0.269^2)/(4*144),BR287*3.1416*(0.307^2)/(4*144))))))," ")</f>
        <v xml:space="preserve"> </v>
      </c>
      <c r="BT287" s="353" t="str">
        <f>IF(L287&gt;0,IF(BS287&gt;0,R287/Calculation!BS287,0)," ")</f>
        <v xml:space="preserve"> </v>
      </c>
      <c r="BU287" s="438" t="e">
        <f t="shared" ca="1" si="856"/>
        <v>#VALUE!</v>
      </c>
      <c r="BV287" s="449" t="e">
        <f ca="1">INDEX(INDIRECT(VLOOKUP(LEFT(BO287,7),CLU!$Z$3:$AH$18,2)),GN287,GR287)</f>
        <v>#N/A</v>
      </c>
      <c r="BW287" s="433" t="e">
        <f ca="1">INDEX(INDIRECT(VLOOKUP(LEFT(BO287,7),CLU!$Z$3:$AH$18,3)),GN287,GR287)</f>
        <v>#N/A</v>
      </c>
      <c r="BX287" s="433" t="e">
        <f ca="1">INDEX(INDIRECT(VLOOKUP(LEFT(BO287,7),CLU!$Z$3:$AH$18,4)),GN287,GR287)</f>
        <v>#N/A</v>
      </c>
      <c r="BY287" s="433" t="e">
        <f ca="1">INDEX(INDIRECT(VLOOKUP(LEFT(BO287,7),CLU!$Z$3:$AH$18,9)),((M287-2)*(6-COUNTBLANK(GT287:GY287)))+GJ287)</f>
        <v>#N/A</v>
      </c>
      <c r="BZ287" s="426" t="e">
        <f t="shared" ca="1" si="949"/>
        <v>#N/A</v>
      </c>
      <c r="CA287" s="424" t="e">
        <f t="shared" ca="1" si="950"/>
        <v>#N/A</v>
      </c>
      <c r="CB287" s="429" t="e">
        <f ca="1">INDEX(INDIRECT(VLOOKUP(LEFT(BO287,7),CLU!$Z$3:$AH$18,2)),GN287,GS287)</f>
        <v>#N/A</v>
      </c>
      <c r="CC287" s="342" t="e">
        <f ca="1">INDEX(INDIRECT(VLOOKUP(LEFT(BO287,7),CLU!$Z$3:$AH$18,3)),GN287,GS287)</f>
        <v>#N/A</v>
      </c>
      <c r="CD287" s="342" t="e">
        <f ca="1">INDEX(INDIRECT(VLOOKUP(LEFT(BO287,7),CLU!$Z$3:$AH$18,4)),GN287,GS287)</f>
        <v>#N/A</v>
      </c>
      <c r="CE287" s="426" t="e">
        <f t="shared" ca="1" si="951"/>
        <v>#N/A</v>
      </c>
      <c r="CF287" s="440">
        <f t="shared" si="952"/>
        <v>0</v>
      </c>
      <c r="CG287" s="431" t="e">
        <f ca="1">INDEX(INDIRECT(VLOOKUP(LEFT(BO287,7),CLU!$Z$3:$AH$18,2)),GQ287,GR287)</f>
        <v>#N/A</v>
      </c>
      <c r="CH287" s="431" t="e">
        <f ca="1">INDEX(INDIRECT(VLOOKUP(LEFT(BO287,7),CLU!$Z$3:$AH$18,3)),GQ287,GR287)</f>
        <v>#N/A</v>
      </c>
      <c r="CI287" s="431" t="e">
        <f ca="1">INDEX(INDIRECT(VLOOKUP(LEFT(BO287,7),CLU!$Z$3:$AH$18,4)),GQ287,GR287)</f>
        <v>#N/A</v>
      </c>
      <c r="CJ287" s="448" t="e">
        <f t="shared" ca="1" si="953"/>
        <v>#N/A</v>
      </c>
      <c r="CK287" s="431" t="e">
        <f t="shared" ca="1" si="954"/>
        <v>#N/A</v>
      </c>
      <c r="CL287" s="440" t="e">
        <f t="shared" ca="1" si="955"/>
        <v>#N/A</v>
      </c>
      <c r="CM287" s="431" t="e">
        <f ca="1">INDEX(INDIRECT(VLOOKUP(LEFT(BO287,7),CLU!$Z$3:$AH$18,2)),GQ287,GS287)</f>
        <v>#N/A</v>
      </c>
      <c r="CN287" s="431" t="e">
        <f ca="1">INDEX(INDIRECT(VLOOKUP(LEFT(BO287,7),CLU!$Z$3:$AH$18,3)),GQ287,GS287)</f>
        <v>#N/A</v>
      </c>
      <c r="CO287" s="431" t="e">
        <f ca="1">INDEX(INDIRECT(VLOOKUP(LEFT(BO287,7),CLU!$Z$3:$AH$18,4)),GQ287,GS287)</f>
        <v>#N/A</v>
      </c>
      <c r="CP287" s="431" t="e">
        <f t="shared" ca="1" si="956"/>
        <v>#N/A</v>
      </c>
      <c r="CQ287" s="440">
        <f t="shared" si="957"/>
        <v>0</v>
      </c>
      <c r="CR287" s="51" t="e">
        <f t="shared" ca="1" si="958"/>
        <v>#N/A</v>
      </c>
      <c r="CS287" s="439" t="e">
        <f t="shared" ca="1" si="959"/>
        <v>#VALUE!</v>
      </c>
      <c r="CT287" s="51" t="e">
        <f t="shared" ca="1" si="960"/>
        <v>#VALUE!</v>
      </c>
      <c r="CU287" s="10"/>
      <c r="CV287" s="51" t="e">
        <f t="shared" ca="1" si="857"/>
        <v>#VALUE!</v>
      </c>
      <c r="CW287" s="51">
        <f t="shared" si="961"/>
        <v>0</v>
      </c>
      <c r="CX287" s="439" t="e">
        <f t="shared" ca="1" si="962"/>
        <v>#VALUE!</v>
      </c>
      <c r="CY287" s="51" t="e">
        <f t="shared" ca="1" si="963"/>
        <v>#VALUE!</v>
      </c>
      <c r="CZ287" s="10"/>
      <c r="DA287" s="51" t="e">
        <f t="shared" ca="1" si="964"/>
        <v>#VALUE!</v>
      </c>
      <c r="DB287" s="347" t="e">
        <f ca="1">INDEX(INDIRECT(VLOOKUP(LEFT(BO287,7),CLU!$Z$3:$AI$18,10)),((M287-2)*(6-COUNTBLANK(GT287:GY287)))+GJ287)*LI287</f>
        <v>#N/A</v>
      </c>
      <c r="DC287" s="347" t="str">
        <f>IF(L287&gt;0,((R287/Worksheet!$I$15)/DB287)^2," ")</f>
        <v xml:space="preserve"> </v>
      </c>
      <c r="DD287" s="602" t="str">
        <f t="shared" si="965"/>
        <v xml:space="preserve"> </v>
      </c>
      <c r="DE287" s="347" t="str">
        <f t="shared" si="858"/>
        <v xml:space="preserve"> </v>
      </c>
      <c r="DF287" s="356" t="e">
        <f ca="1">INDEX(INDIRECT(VLOOKUP(LEFT(BO287,7),CLU!$Z$3:$AH$18,8)),((M287-2)*(6-COUNTBLANK(GT287:GY287)))+GJ287)</f>
        <v>#N/A</v>
      </c>
      <c r="DG287" s="347" t="str">
        <f t="shared" si="859"/>
        <v xml:space="preserve"> </v>
      </c>
      <c r="DH287" s="357" t="str">
        <f t="shared" si="860"/>
        <v xml:space="preserve"> </v>
      </c>
      <c r="DI287" s="355" t="str">
        <f t="shared" si="861"/>
        <v xml:space="preserve"> </v>
      </c>
      <c r="DJ287" s="245" t="e">
        <f ca="1">INDEX(INDIRECT(VLOOKUP(LEFT(BO287,7),CLU!$Z$3:$AH$18,5)),GL287,GK287)</f>
        <v>#N/A</v>
      </c>
      <c r="DK287" s="245" t="e">
        <f ca="1">INDEX(INDIRECT(VLOOKUP(LEFT(BO287,7),CLU!$Z$3:$AH$18,6)),GL287,GK287)</f>
        <v>#N/A</v>
      </c>
      <c r="DL287" s="355">
        <f>(Calculation!R287*0.69143*(Calculation!$BQ$8-Calculation!$F$8))*$S$14</f>
        <v>0</v>
      </c>
      <c r="DM287" s="359" t="e">
        <f t="shared" si="966"/>
        <v>#VALUE!</v>
      </c>
      <c r="DN287" s="611">
        <f t="shared" si="967"/>
        <v>0</v>
      </c>
      <c r="DO287" s="359">
        <f t="shared" si="968"/>
        <v>100</v>
      </c>
      <c r="DP287" s="359">
        <f t="shared" si="969"/>
        <v>0</v>
      </c>
      <c r="DQ287" s="360"/>
      <c r="DR287" s="245" t="e">
        <f ca="1">INDEX(INDIRECT(VLOOKUP(LEFT(BO287,7),CLU!$Z$3:$AH$18,7)),M287-1,1)</f>
        <v>#N/A</v>
      </c>
      <c r="DS287" s="245" t="e">
        <f ca="1">INDEX(INDIRECT(VLOOKUP(LEFT(BO287,7),CLU!$Z$3:$AH$18,7)),M287-1,2)</f>
        <v>#N/A</v>
      </c>
      <c r="DT287" s="245" t="e">
        <f ca="1">INDEX(INDIRECT(VLOOKUP(LEFT(BO287,7),CLU!$Z$3:$AH$18,7)),M287-1,3)</f>
        <v>#N/A</v>
      </c>
      <c r="DU287" s="245" t="e">
        <f ca="1">INDEX(INDIRECT(VLOOKUP(LEFT(BO287,7),CLU!$Z$3:$AH$18,7)),M287-1,4)</f>
        <v>#N/A</v>
      </c>
      <c r="DV287" s="361" t="e">
        <f ca="1">INDEX(INDIRECT(VLOOKUP(LEFT(BO287,7),CLU!$Z$3:$AH$18,7)),M287-1,4+LEFT(DZ287,1)*0.5)</f>
        <v>#N/A</v>
      </c>
      <c r="DW287" s="245" t="e">
        <f ca="1">INDEX(INDIRECT(VLOOKUP(LEFT(BO287,7),CLU!$Z$3:$AH$18,7)),M287-1,8)</f>
        <v>#N/A</v>
      </c>
      <c r="DX287" s="361" t="str">
        <f t="shared" si="862"/>
        <v xml:space="preserve"> </v>
      </c>
      <c r="DY287" s="361" t="str">
        <f t="shared" si="863"/>
        <v xml:space="preserve"> </v>
      </c>
      <c r="DZ287" s="361" t="str">
        <f t="shared" si="864"/>
        <v xml:space="preserve"> </v>
      </c>
      <c r="EA287" s="362" t="str">
        <f t="shared" si="865"/>
        <v xml:space="preserve"> </v>
      </c>
      <c r="EB287" s="624" t="str">
        <f t="shared" si="970"/>
        <v xml:space="preserve"> </v>
      </c>
      <c r="EC287" s="361" t="e">
        <f ca="1">INDEX(INDIRECT(VLOOKUP(LEFT(BO287,7),CLU!$Z$3:$AH$18,7)),M287-1,4+LEFT(DZ287,1)*0.5)</f>
        <v>#N/A</v>
      </c>
      <c r="ED287" s="362" t="str">
        <f t="shared" si="866"/>
        <v xml:space="preserve"> </v>
      </c>
      <c r="EE287" s="361" t="str">
        <f t="shared" si="867"/>
        <v xml:space="preserve"> </v>
      </c>
      <c r="EF287" s="362" t="str">
        <f>IF(L287&gt;0,IF(BR287&gt;0,IF(EE287="2P",IF(Calculation!DZ287="2P",IF(Calculation!DS287=13.75,IF(Calculation!DR287=13,Worksheet!$BD$43,IF(Calculation!DR287=37,Worksheet!$BD$44,Worksheet!$BD$45)),IF(Calculation!DS287=10,IF(Calculation!DR287=18,Worksheet!$BD$29,IF(Calculation!DR287=30,Worksheet!$BD$30,IF(Calculation!DR287=42,Worksheet!$BD$31,IF(Calculation!DR287=54,Worksheet!$BD$32,IF(Calculation!DR287=66,Worksheet!$BD$33,IF(Calculation!DR287=78,Worksheet!$BD$34,IF(Calculation!DR287=90,Worksheet!$BD$35,IF(Calculation!DR287=102,Worksheet!$BD$36,Worksheet!$BD$37)))))))),IF(Calculation!DS287=12.5,IF(Calculation!DR287=18,Worksheet!$BD$38,IF(Calculation!DR287=Worksheet!$BD$39,IF(Calculation!DR287=42,Worksheet!$BD$40,IF(Calculation!DR287=54,Worksheet!$BD$41,Worksheet!$BD$42)))),IF(Calculation!DR287=18,Worksheet!$BD$11,IF(Calculation!DR287=30,Worksheet!$BD$12,IF(Calculation!DR287=42,Worksheet!$BD$13,IF(Calculation!DR287=54,Worksheet!$BD$14,IF(Calculation!DR287=66,Worksheet!$BD$15,IF(Calculation!DR287=78,Worksheet!$BD$16,IF(Calculation!DR287=90,Worksheet!$BD$17,IF(Calculation!DR287=102,Worksheet!$BD$18,Worksheet!$BD$19))))))))))),IF(Calculation!DS287=13.75,IF(Calculation!DR287=13,Worksheet!$BD$78,IF(Calculation!DR287=37,Worksheet!$BD$79,Worksheet!$BD$80)),IF(Calculation!DS287=10,IF(Calculation!DR287=18,Worksheet!$BD$64,IF(Calculation!DR287=30,Worksheet!$BD$65,IF(Calculation!DR287=42,Worksheet!$BD$66,IF(Calculation!DR287=54,Worksheet!$BD$68,IF(Calculation!DR287=66,Worksheet!$BD$68,IF(Calculation!DR287=78,Worksheet!$BD$69,IF(Calculation!DR287=90,Worksheet!$BD$70,IF(Calculation!DR287=102,Worksheet!$BD$71,Worksheet!$BD$72)))))))),IF(Calculation!DS287=12.5,IF(Calculation!DR287=18,Worksheet!$BD$73,IF(Calculation!DR287=Worksheet!$BD$74,IF(Calculation!DR287=42,Worksheet!$BD$75,IF(Calculation!DR287=54,Worksheet!$BD$76,Worksheet!$BD$77)))),IF(Calculation!DR287=18,Worksheet!$BD$55,IF(Calculation!DR287=30,Worksheet!$BD$56,IF(Calculation!DR287=42,Worksheet!$BD$57,IF(Calculation!DR287=54,Worksheet!$BD$58,IF(Calculation!DR287=66,Worksheet!$BD$59,IF(Calculation!DR287=78,Worksheet!$BD$60,IF(Calculation!DR287=90,Worksheet!$BD$61,IF(Calculation!DR287=102,Worksheet!$BD$62,Worksheet!$BD$63)))))))))))),5),0)," ")</f>
        <v xml:space="preserve"> </v>
      </c>
      <c r="EG287" s="361" t="str">
        <f t="shared" si="868"/>
        <v xml:space="preserve"> </v>
      </c>
      <c r="EH287" s="361" t="e">
        <f ca="1">INDEX(INDIRECT(VLOOKUP(LEFT(BO287,7),CLU!$Z$3:$AH$18,7)),M287-1,3+LEFT(DZ287,1))</f>
        <v>#N/A</v>
      </c>
      <c r="EI287" s="362" t="str">
        <f t="shared" si="869"/>
        <v xml:space="preserve"> </v>
      </c>
      <c r="EJ287" s="363" t="str">
        <f t="shared" si="870"/>
        <v xml:space="preserve"> </v>
      </c>
      <c r="EK287" s="363" t="str">
        <f t="shared" si="871"/>
        <v xml:space="preserve"> </v>
      </c>
      <c r="EL287" s="363" t="str">
        <f t="shared" si="872"/>
        <v xml:space="preserve"> </v>
      </c>
      <c r="EM287" s="362" t="str">
        <f>IF(L287&gt;0,IF(BR287&gt;0,(Calculation!T287/ED287)^2,0)," ")</f>
        <v xml:space="preserve"> </v>
      </c>
      <c r="EN287" s="362" t="str">
        <f>IF(L287&gt;0,IF(O287="2 Pipe (Cooling)","N/A",IF(BR287&gt;0,(Calculation!U287/EI287)^2,0))," ")</f>
        <v xml:space="preserve"> </v>
      </c>
      <c r="EO287" s="361" t="str">
        <f t="shared" si="873"/>
        <v/>
      </c>
      <c r="EP287" s="361" t="str">
        <f t="shared" si="874"/>
        <v/>
      </c>
      <c r="EQ287" s="361" t="str">
        <f t="shared" si="875"/>
        <v/>
      </c>
      <c r="ER287" s="361" t="str">
        <f t="shared" si="876"/>
        <v/>
      </c>
      <c r="ES287" s="361" t="str">
        <f t="shared" si="877"/>
        <v/>
      </c>
      <c r="ET287" s="361" t="str">
        <f t="shared" si="878"/>
        <v/>
      </c>
      <c r="EU287" s="361" t="str">
        <f t="shared" si="879"/>
        <v/>
      </c>
      <c r="EV287" s="361" t="str">
        <f t="shared" si="880"/>
        <v/>
      </c>
      <c r="EW287" s="361" t="str">
        <f t="shared" si="881"/>
        <v/>
      </c>
      <c r="EX287" s="361" t="str">
        <f t="shared" si="971"/>
        <v>1 slot, 1 way</v>
      </c>
      <c r="EY287" s="361" t="str">
        <f t="shared" si="972"/>
        <v xml:space="preserve"> </v>
      </c>
      <c r="EZ287" s="361" t="str">
        <f t="shared" si="973"/>
        <v xml:space="preserve"> </v>
      </c>
      <c r="FA287" s="361" t="str">
        <f t="shared" si="974"/>
        <v xml:space="preserve"> </v>
      </c>
      <c r="FB287" s="361" t="str">
        <f t="shared" si="975"/>
        <v xml:space="preserve"> </v>
      </c>
      <c r="FC287" s="361"/>
      <c r="FD287" s="361" t="str">
        <f>IF(J287&gt;0,IF(Calculation!R287&lt;=70,4,IF(Calculation!R287&lt;=110,5,IF(Calculation!R287&lt;=160,6,IF(Calculation!R287&lt;=300,8,"10 EO")))),"")</f>
        <v/>
      </c>
      <c r="FE287" s="361" t="str">
        <f t="shared" si="976"/>
        <v/>
      </c>
      <c r="FF287" s="361" t="str">
        <f t="shared" si="977"/>
        <v/>
      </c>
      <c r="FG287" s="361" t="e">
        <f t="shared" si="882"/>
        <v>#N/A</v>
      </c>
      <c r="FH287" s="361">
        <f t="shared" si="883"/>
        <v>0</v>
      </c>
      <c r="FI287" s="361" t="e">
        <f t="shared" si="884"/>
        <v>#DIV/0!</v>
      </c>
      <c r="FJ287" s="361"/>
      <c r="FK287" s="356" t="e">
        <f t="shared" si="885"/>
        <v>#VALUE!</v>
      </c>
      <c r="FL287" s="361"/>
      <c r="FM287" s="361"/>
      <c r="FN287" s="362" t="str">
        <f t="shared" si="978"/>
        <v xml:space="preserve"> </v>
      </c>
      <c r="FO287" s="362" t="str">
        <f t="shared" si="979"/>
        <v xml:space="preserve"> </v>
      </c>
      <c r="FP287" s="362">
        <f t="shared" si="980"/>
        <v>0</v>
      </c>
      <c r="FQ287" s="361">
        <f t="shared" si="886"/>
        <v>0</v>
      </c>
      <c r="FR287" s="362" t="str">
        <f>IF(L287&gt;0,IF(J287="CBAL2",Worksheet!$P$67,IF(J287="CBE2-24",Worksheet!$Q$67,IF(J287="CBAM",Worksheet!$R$67,IF(J287="CBLV",Worksheet!$S$67,IF(J287="CBAB",Worksheet!$U$67,IF(J287="CBAW",Worksheet!$X$67,IF(J287="CBE2-12",Worksheet!$Y$67,IF(J287="CBAL2",Worksheet!$Z$67,"N/A"))))))))," ")</f>
        <v xml:space="preserve"> </v>
      </c>
      <c r="FS287" s="362" t="str">
        <f>IF(L287&gt;0,IF(J287="CBAL2",Worksheet!$P$68,IF(J287="CBE2-24",Worksheet!$Q$68,IF(J287="CBAM",Worksheet!$R$68,IF(J287="CBLV",Worksheet!$S$68,IF(J287="CBAB",Worksheet!$U$68,IF(J287="CBAW",Worksheet!$X$68,IF(J287="CBE2-12",Worksheet!$Y$68,IF(J287="CBAL2",Worksheet!$Z$68,"N/A"))))))))," ")</f>
        <v xml:space="preserve"> </v>
      </c>
      <c r="FT287" s="362" t="str">
        <f>IF(L287&gt;0,IF(J287="CBAL2",Worksheet!$P$69,IF(J287="CBE2-24",Worksheet!$Q$69,IF(J287="CBAM",Worksheet!$R$69,IF(J287="CBLV",Worksheet!$S$69,IF(J287="CBAB",Worksheet!$U$69,IF(J287="CBAW",Worksheet!$X$69,IF(J287="CBE2-12",Worksheet!$Y$69,IF(J287="CBAL2",Worksheet!$Z$69,"N/A"))))))))," ")</f>
        <v xml:space="preserve"> </v>
      </c>
      <c r="FU287" s="361" t="str">
        <f t="shared" si="981"/>
        <v xml:space="preserve"> </v>
      </c>
      <c r="FV287" s="362" t="str">
        <f t="shared" si="982"/>
        <v xml:space="preserve"> </v>
      </c>
      <c r="FW287" s="362" t="str">
        <f t="shared" si="983"/>
        <v xml:space="preserve"> </v>
      </c>
      <c r="FX287" s="362" t="str">
        <f t="shared" si="984"/>
        <v xml:space="preserve"> </v>
      </c>
      <c r="FY287" s="355" t="str">
        <f t="shared" si="985"/>
        <v xml:space="preserve"> </v>
      </c>
      <c r="FZ287" s="361" t="str">
        <f t="shared" si="986"/>
        <v xml:space="preserve"> </v>
      </c>
      <c r="GA287" s="347" t="str">
        <f t="shared" si="987"/>
        <v xml:space="preserve"> </v>
      </c>
      <c r="GB287" s="355" t="str">
        <f t="shared" si="988"/>
        <v xml:space="preserve"> </v>
      </c>
      <c r="GC287" s="328" t="str">
        <f t="shared" si="989"/>
        <v xml:space="preserve"> </v>
      </c>
      <c r="GD287" s="361" t="str">
        <f t="shared" si="990"/>
        <v xml:space="preserve"> </v>
      </c>
      <c r="GE287" s="347" t="str">
        <f t="shared" si="991"/>
        <v xml:space="preserve"> </v>
      </c>
      <c r="GF287" s="361" t="str">
        <f t="shared" si="992"/>
        <v xml:space="preserve"> </v>
      </c>
      <c r="GG287" s="347" t="str">
        <f t="shared" si="993"/>
        <v xml:space="preserve"> </v>
      </c>
      <c r="GH287" s="364">
        <f t="shared" si="887"/>
        <v>0</v>
      </c>
      <c r="GI287" s="362">
        <f t="shared" si="994"/>
        <v>2</v>
      </c>
      <c r="GJ287" s="433" t="e">
        <f>IF(6-COUNTBLANK(GT287:GY287)=4,MATCH(MID(BO287,9,3),CLU!$H$16:$K$16),MATCH(MID(BO287,9,3),CLU!$H$13:$M$13))</f>
        <v>#N/A</v>
      </c>
      <c r="GK287" s="433" t="e">
        <f>HLOOKUP(VALUE(BP287),CLU!$H$9:$M$10,2)</f>
        <v>#VALUE!</v>
      </c>
      <c r="GL287" s="433" t="e">
        <f ca="1">MATCH(BU287,CLU!$H$2:$V$2,1)</f>
        <v>#VALUE!</v>
      </c>
      <c r="GM287" s="433" t="e">
        <f t="shared" ca="1" si="995"/>
        <v>#VALUE!</v>
      </c>
      <c r="GN287" s="433" t="e">
        <f t="shared" ca="1" si="996"/>
        <v>#VALUE!</v>
      </c>
      <c r="GO287" s="433" t="e">
        <f t="shared" ca="1" si="997"/>
        <v>#VALUE!</v>
      </c>
      <c r="GP287" s="433" t="e">
        <f t="shared" ca="1" si="998"/>
        <v>#VALUE!</v>
      </c>
      <c r="GQ287" s="433" t="e">
        <f t="shared" ca="1" si="999"/>
        <v>#VALUE!</v>
      </c>
      <c r="GR287" s="433" t="e">
        <f ca="1">MATCH(T287,INDIRECT(VLOOKUP(CONCATENATE(LEFT(BO287,7),"-",MID(BO287,13,1)),CLU!$P$3:$Q$16,2)),1)</f>
        <v>#N/A</v>
      </c>
      <c r="GS287" s="433" t="e">
        <f ca="1">MATCH(U287,INDIRECT(VLOOKUP(CONCATENATE(LEFT(BO287,7),"-",MID(BO287,13,1)),CLU!$P$3:$Q$16,2)),1)</f>
        <v>#N/A</v>
      </c>
      <c r="GT287" s="347" t="s">
        <v>512</v>
      </c>
      <c r="GU287" s="97" t="s">
        <v>513</v>
      </c>
      <c r="GV287" s="97" t="str">
        <f t="shared" si="1000"/>
        <v>M23</v>
      </c>
      <c r="GW287" s="97" t="str">
        <f t="shared" si="1001"/>
        <v>M31</v>
      </c>
      <c r="GX287" s="97" t="str">
        <f t="shared" si="1002"/>
        <v/>
      </c>
      <c r="GY287" s="97" t="str">
        <f t="shared" si="1003"/>
        <v/>
      </c>
      <c r="GZ287" s="481"/>
      <c r="HA287" s="240"/>
      <c r="HB287" s="240"/>
      <c r="HC287" s="240"/>
      <c r="HD287" s="240"/>
      <c r="HE287" s="240"/>
      <c r="HF287" s="240"/>
      <c r="HG287" s="240"/>
      <c r="HH287" s="240"/>
      <c r="HI287" s="240"/>
      <c r="HJ287" s="240"/>
      <c r="HK287" s="240"/>
      <c r="HL287" s="240"/>
      <c r="HM287" s="240"/>
      <c r="HN287" s="240"/>
      <c r="HO287" s="240"/>
      <c r="HP287" s="240"/>
      <c r="HQ287" s="240"/>
      <c r="HR287" s="240"/>
      <c r="HS287" s="240"/>
      <c r="HT287" s="240"/>
      <c r="HU287" s="240"/>
      <c r="HV287" s="245"/>
      <c r="HW287" s="245" t="b">
        <v>1</v>
      </c>
      <c r="HX287" s="245" t="str">
        <f t="shared" si="888"/>
        <v/>
      </c>
      <c r="HY287" s="245" t="e">
        <f t="shared" si="889"/>
        <v>#DIV/0!</v>
      </c>
      <c r="HZ287" s="245" t="e">
        <f t="shared" si="890"/>
        <v>#DIV/0!</v>
      </c>
      <c r="IA287" s="245">
        <f t="shared" si="891"/>
        <v>0</v>
      </c>
      <c r="IB287" s="245"/>
      <c r="IC287" t="b">
        <f t="shared" si="892"/>
        <v>1</v>
      </c>
      <c r="ID287" s="245" t="b">
        <f t="shared" si="893"/>
        <v>1</v>
      </c>
      <c r="IE287" s="245" t="b">
        <f t="shared" si="894"/>
        <v>1</v>
      </c>
      <c r="IF287" s="245" t="b">
        <f t="shared" si="895"/>
        <v>0</v>
      </c>
      <c r="IG287" s="245" t="b">
        <f t="shared" si="896"/>
        <v>1</v>
      </c>
      <c r="IH287" s="245" t="b">
        <f t="shared" si="897"/>
        <v>1</v>
      </c>
      <c r="II287" s="245">
        <f t="shared" si="1004"/>
        <v>0</v>
      </c>
      <c r="IJ287" s="245" t="e">
        <f t="shared" si="898"/>
        <v>#VALUE!</v>
      </c>
      <c r="IK287" s="245" t="e">
        <f t="shared" si="899"/>
        <v>#VALUE!</v>
      </c>
      <c r="IL287" s="245"/>
      <c r="IM287" s="245" t="e">
        <f t="shared" si="1005"/>
        <v>#N/A</v>
      </c>
      <c r="IN287" s="245" t="e">
        <f t="shared" si="1006"/>
        <v>#N/A</v>
      </c>
      <c r="IO287" s="245"/>
      <c r="IP287" s="245"/>
      <c r="IQ287" s="245" t="str">
        <f t="shared" si="900"/>
        <v/>
      </c>
      <c r="IR287" s="245" t="str">
        <f>IF(J287="","",VLOOKUP(J287,Worksheet!$R$4:$T$14,2))</f>
        <v/>
      </c>
      <c r="IS287" s="245"/>
      <c r="IT287" s="245">
        <f t="shared" si="901"/>
        <v>0</v>
      </c>
      <c r="IU287" s="245">
        <f t="shared" si="902"/>
        <v>0</v>
      </c>
      <c r="IV287" s="245">
        <f t="shared" si="903"/>
        <v>0</v>
      </c>
      <c r="IW287" s="245">
        <f t="shared" si="904"/>
        <v>0</v>
      </c>
      <c r="IX287" s="245">
        <f t="shared" si="1007"/>
        <v>0</v>
      </c>
      <c r="IY287" s="245">
        <f t="shared" si="905"/>
        <v>0</v>
      </c>
      <c r="IZ287" s="245">
        <f t="shared" si="906"/>
        <v>0</v>
      </c>
      <c r="JA287">
        <f t="shared" si="907"/>
        <v>0</v>
      </c>
      <c r="JB287">
        <f t="shared" si="1008"/>
        <v>0</v>
      </c>
      <c r="JC287">
        <f t="shared" si="908"/>
        <v>0</v>
      </c>
      <c r="JD287">
        <f t="shared" si="909"/>
        <v>0</v>
      </c>
      <c r="JE287">
        <f t="shared" si="910"/>
        <v>0</v>
      </c>
      <c r="JF287">
        <f t="shared" si="911"/>
        <v>0</v>
      </c>
      <c r="JG287">
        <f t="shared" si="912"/>
        <v>0</v>
      </c>
      <c r="JH287">
        <f t="shared" si="913"/>
        <v>0</v>
      </c>
      <c r="JI287">
        <f t="shared" si="914"/>
        <v>0</v>
      </c>
      <c r="JJ287" s="447">
        <f t="shared" si="915"/>
        <v>0</v>
      </c>
      <c r="JK287" s="447">
        <f t="shared" si="916"/>
        <v>0</v>
      </c>
      <c r="JL287">
        <f t="shared" si="917"/>
        <v>0</v>
      </c>
      <c r="JM287" s="245" t="str">
        <f>IFERROR(VLOOKUP(MATCH(BN287,#REF!,0),#REF!,7),"")</f>
        <v/>
      </c>
      <c r="JN287" t="e">
        <f>HLOOKUP(LEFT(BO287,7),Discharge_Area,MATCH(JO287,LookUps!$B$130:$B$149,1)+2)</f>
        <v>#N/A</v>
      </c>
      <c r="JO287" t="str">
        <f t="shared" si="918"/>
        <v>- S</v>
      </c>
      <c r="JP287" t="e">
        <f>HLOOKUP(LEFT(BO287,7),Discharge_Area,MATCH(JO287,LookUps!$B$130:$B$149,1)+2)</f>
        <v>#N/A</v>
      </c>
      <c r="JQ287" t="e">
        <f t="shared" si="919"/>
        <v>#N/A</v>
      </c>
      <c r="JR287" t="e">
        <f t="shared" si="920"/>
        <v>#N/A</v>
      </c>
      <c r="JS287" t="e">
        <f t="shared" si="921"/>
        <v>#N/A</v>
      </c>
      <c r="JT287" s="532" t="str">
        <f t="shared" si="922"/>
        <v xml:space="preserve"> </v>
      </c>
      <c r="JU287" s="532" t="str">
        <f t="shared" si="923"/>
        <v xml:space="preserve"> </v>
      </c>
      <c r="JV287" s="533" t="str">
        <f t="shared" si="924"/>
        <v xml:space="preserve"> </v>
      </c>
      <c r="JW287" s="534">
        <f t="shared" si="925"/>
        <v>0</v>
      </c>
      <c r="JX287" s="535" t="str">
        <f t="shared" si="1009"/>
        <v xml:space="preserve"> </v>
      </c>
      <c r="JY287" s="535" t="str">
        <f t="shared" si="1010"/>
        <v xml:space="preserve"> </v>
      </c>
      <c r="JZ287" s="535" t="str">
        <f t="shared" si="1011"/>
        <v xml:space="preserve"> </v>
      </c>
      <c r="KA287" s="536" t="str">
        <f t="shared" si="926"/>
        <v xml:space="preserve"> </v>
      </c>
      <c r="KB287" s="535" t="e">
        <f t="shared" si="1012"/>
        <v>#VALUE!</v>
      </c>
      <c r="KC287" s="535" t="str">
        <f t="shared" si="927"/>
        <v/>
      </c>
      <c r="KD287" s="537" t="str">
        <f t="shared" si="1013"/>
        <v xml:space="preserve"> </v>
      </c>
      <c r="KE287" s="537" t="str">
        <f t="shared" si="1014"/>
        <v xml:space="preserve"> </v>
      </c>
      <c r="KF287" s="534">
        <f t="shared" si="928"/>
        <v>0</v>
      </c>
      <c r="KG287" s="535" t="str">
        <f t="shared" si="929"/>
        <v xml:space="preserve"> </v>
      </c>
      <c r="KH287" s="535" t="str">
        <f t="shared" si="930"/>
        <v xml:space="preserve"> </v>
      </c>
      <c r="KI287" s="535" t="str">
        <f t="shared" si="931"/>
        <v xml:space="preserve"> </v>
      </c>
      <c r="KJ287" s="536" t="str">
        <f t="shared" si="932"/>
        <v xml:space="preserve"> </v>
      </c>
      <c r="KK287" s="535" t="str">
        <f t="shared" si="1015"/>
        <v xml:space="preserve"> </v>
      </c>
      <c r="KL287" s="535" t="str">
        <f t="shared" si="1016"/>
        <v xml:space="preserve"> </v>
      </c>
      <c r="KM287" s="537" t="str">
        <f t="shared" si="933"/>
        <v xml:space="preserve"> </v>
      </c>
      <c r="KN287" s="537" t="str">
        <f t="shared" si="1017"/>
        <v xml:space="preserve"> </v>
      </c>
      <c r="KP287">
        <f t="shared" si="934"/>
        <v>0</v>
      </c>
      <c r="LA287" t="e">
        <f t="shared" si="935"/>
        <v>#VALUE!</v>
      </c>
      <c r="LB287" t="e">
        <f t="shared" si="936"/>
        <v>#VALUE!</v>
      </c>
      <c r="LC287" t="e">
        <f t="shared" si="937"/>
        <v>#VALUE!</v>
      </c>
      <c r="LD287" t="e">
        <f t="shared" si="938"/>
        <v>#VALUE!</v>
      </c>
      <c r="LE287" t="e">
        <f t="shared" si="1018"/>
        <v>#VALUE!</v>
      </c>
      <c r="LF287">
        <f t="shared" si="939"/>
        <v>0</v>
      </c>
      <c r="LG287" t="e">
        <f t="shared" si="1019"/>
        <v>#VALUE!</v>
      </c>
      <c r="LH287" t="str">
        <f t="shared" si="940"/>
        <v xml:space="preserve"> </v>
      </c>
      <c r="LI287">
        <f t="shared" si="1020"/>
        <v>1</v>
      </c>
    </row>
    <row r="288" spans="2:321" ht="15" customHeight="1">
      <c r="B288" s="311"/>
      <c r="C288" s="311"/>
      <c r="D288" s="312"/>
      <c r="E288" s="311"/>
      <c r="F288" s="312"/>
      <c r="G288" s="311"/>
      <c r="H288" s="311"/>
      <c r="I288" s="232"/>
      <c r="J288" s="311"/>
      <c r="K288" s="305" t="str">
        <f t="shared" si="941"/>
        <v/>
      </c>
      <c r="L288" s="313"/>
      <c r="M288" s="312"/>
      <c r="N288" s="311"/>
      <c r="O288" s="312"/>
      <c r="P288" s="311"/>
      <c r="Q288" s="305" t="str">
        <f t="shared" si="942"/>
        <v/>
      </c>
      <c r="R288" s="314"/>
      <c r="S288" s="450" t="str">
        <f t="shared" si="825"/>
        <v/>
      </c>
      <c r="T288" s="315"/>
      <c r="U288" s="315"/>
      <c r="W288" s="149" t="str">
        <f t="shared" si="826"/>
        <v xml:space="preserve"> </v>
      </c>
      <c r="X288" s="243" t="str">
        <f t="shared" si="827"/>
        <v xml:space="preserve"> </v>
      </c>
      <c r="Y288" s="150" t="str">
        <f t="shared" si="828"/>
        <v/>
      </c>
      <c r="Z288" s="149" t="str">
        <f t="shared" si="829"/>
        <v xml:space="preserve"> </v>
      </c>
      <c r="AA288" s="98" t="str">
        <f t="shared" si="830"/>
        <v xml:space="preserve"> </v>
      </c>
      <c r="AB288" s="153" t="str">
        <f t="shared" si="831"/>
        <v xml:space="preserve"> </v>
      </c>
      <c r="AC288" s="153" t="str">
        <f t="shared" si="832"/>
        <v xml:space="preserve"> </v>
      </c>
      <c r="AD288" s="148" t="str">
        <f t="shared" si="833"/>
        <v/>
      </c>
      <c r="AE288" s="149" t="str">
        <f t="shared" si="834"/>
        <v/>
      </c>
      <c r="AF288" s="151" t="str">
        <f t="shared" si="835"/>
        <v xml:space="preserve"> </v>
      </c>
      <c r="AG288" s="153" t="str">
        <f t="shared" si="836"/>
        <v xml:space="preserve"> </v>
      </c>
      <c r="AH288" s="98" t="str">
        <f t="shared" si="837"/>
        <v xml:space="preserve"> </v>
      </c>
      <c r="AI288" s="149" t="str">
        <f t="shared" si="838"/>
        <v xml:space="preserve"> </v>
      </c>
      <c r="AK288" s="144" t="str">
        <f t="shared" si="839"/>
        <v xml:space="preserve"> </v>
      </c>
      <c r="AL288" s="144"/>
      <c r="AM288" s="243" t="str">
        <f t="shared" si="840"/>
        <v xml:space="preserve"> </v>
      </c>
      <c r="AN288" s="149" t="str">
        <f t="shared" si="943"/>
        <v xml:space="preserve"> </v>
      </c>
      <c r="AO288" s="144" t="str">
        <f>IF(JB288&gt;0,IF(GI288=10,-R288*1.085*(Calculation!$F$6-Calculation!$F$13)*$S$14," "),"")</f>
        <v/>
      </c>
      <c r="AP288" s="144" t="str">
        <f t="shared" si="841"/>
        <v/>
      </c>
      <c r="AQ288" s="56" t="str">
        <f t="shared" si="842"/>
        <v/>
      </c>
      <c r="AR288" s="144" t="str">
        <f t="shared" si="843"/>
        <v/>
      </c>
      <c r="AS288" s="176" t="str">
        <f t="shared" si="844"/>
        <v/>
      </c>
      <c r="AT288" s="176" t="str">
        <f t="shared" si="944"/>
        <v xml:space="preserve"> </v>
      </c>
      <c r="AU288" s="176" t="str">
        <f t="shared" si="845"/>
        <v/>
      </c>
      <c r="AV288" s="177" t="str">
        <f t="shared" si="846"/>
        <v xml:space="preserve"> </v>
      </c>
      <c r="AW288" s="144" t="str">
        <f t="shared" si="847"/>
        <v xml:space="preserve"> </v>
      </c>
      <c r="AX288" s="144" t="str">
        <f t="shared" si="848"/>
        <v xml:space="preserve"> </v>
      </c>
      <c r="AY288" s="152" t="str">
        <f t="shared" si="849"/>
        <v xml:space="preserve"> </v>
      </c>
      <c r="AZ288" s="246" t="str">
        <f t="shared" si="850"/>
        <v/>
      </c>
      <c r="BA288" s="176" t="str">
        <f t="shared" si="851"/>
        <v xml:space="preserve"> </v>
      </c>
      <c r="BB288" s="176" t="str">
        <f t="shared" si="852"/>
        <v xml:space="preserve"> </v>
      </c>
      <c r="BC288" s="195"/>
      <c r="BD288" s="316"/>
      <c r="BE288" s="317"/>
      <c r="BF288" s="318"/>
      <c r="BG288" s="318"/>
      <c r="BH288" s="144" t="str">
        <f t="shared" si="1021"/>
        <v xml:space="preserve"> </v>
      </c>
      <c r="BI288" s="176" t="str">
        <f t="shared" si="853"/>
        <v/>
      </c>
      <c r="BJ288" s="144" t="str">
        <f t="shared" si="1022"/>
        <v/>
      </c>
      <c r="BK288" s="246" t="str">
        <f t="shared" si="854"/>
        <v/>
      </c>
      <c r="BL288" s="144" t="str">
        <f t="shared" si="1023"/>
        <v/>
      </c>
      <c r="BM288" s="246" t="str">
        <f t="shared" si="855"/>
        <v/>
      </c>
      <c r="BN288" s="337" t="str">
        <f t="shared" si="945"/>
        <v/>
      </c>
      <c r="BO288" s="371" t="str">
        <f t="shared" si="946"/>
        <v/>
      </c>
      <c r="BP288" s="328" t="str">
        <f t="shared" si="1024"/>
        <v xml:space="preserve"> </v>
      </c>
      <c r="BQ288" s="347" t="str">
        <f t="shared" si="947"/>
        <v xml:space="preserve"> </v>
      </c>
      <c r="BR288" s="353" t="str">
        <f t="shared" si="948"/>
        <v xml:space="preserve"> </v>
      </c>
      <c r="BS288" s="626" t="str">
        <f>IF(L288&gt;0,IF(Calculation!P288="M13",BR288*3.1416*(0.134^2)/(4*144),IF(Calculation!P288="M17",BR288*3.1416*(0.165^2)/(4*144),IF(Calculation!P288="M20",BR288*3.1416*(0.198^2)/(4*144),IF(Calculation!P288="M23",BR288*3.1416*(0.228^2)/(4*144),IF(Calculation!P288="M27",BR288*3.1416*(0.269^2)/(4*144),BR288*3.1416*(0.307^2)/(4*144))))))," ")</f>
        <v xml:space="preserve"> </v>
      </c>
      <c r="BT288" s="353" t="str">
        <f>IF(L288&gt;0,IF(BS288&gt;0,R288/Calculation!BS288,0)," ")</f>
        <v xml:space="preserve"> </v>
      </c>
      <c r="BU288" s="438" t="e">
        <f t="shared" ca="1" si="856"/>
        <v>#VALUE!</v>
      </c>
      <c r="BV288" s="449" t="e">
        <f ca="1">INDEX(INDIRECT(VLOOKUP(LEFT(BO288,7),CLU!$Z$3:$AH$18,2)),GN288,GR288)</f>
        <v>#N/A</v>
      </c>
      <c r="BW288" s="433" t="e">
        <f ca="1">INDEX(INDIRECT(VLOOKUP(LEFT(BO288,7),CLU!$Z$3:$AH$18,3)),GN288,GR288)</f>
        <v>#N/A</v>
      </c>
      <c r="BX288" s="433" t="e">
        <f ca="1">INDEX(INDIRECT(VLOOKUP(LEFT(BO288,7),CLU!$Z$3:$AH$18,4)),GN288,GR288)</f>
        <v>#N/A</v>
      </c>
      <c r="BY288" s="433" t="e">
        <f ca="1">INDEX(INDIRECT(VLOOKUP(LEFT(BO288,7),CLU!$Z$3:$AH$18,9)),((M288-2)*(6-COUNTBLANK(GT288:GY288)))+GJ288)</f>
        <v>#N/A</v>
      </c>
      <c r="BZ288" s="426" t="e">
        <f t="shared" ca="1" si="949"/>
        <v>#N/A</v>
      </c>
      <c r="CA288" s="424" t="e">
        <f t="shared" ca="1" si="950"/>
        <v>#N/A</v>
      </c>
      <c r="CB288" s="429" t="e">
        <f ca="1">INDEX(INDIRECT(VLOOKUP(LEFT(BO288,7),CLU!$Z$3:$AH$18,2)),GN288,GS288)</f>
        <v>#N/A</v>
      </c>
      <c r="CC288" s="342" t="e">
        <f ca="1">INDEX(INDIRECT(VLOOKUP(LEFT(BO288,7),CLU!$Z$3:$AH$18,3)),GN288,GS288)</f>
        <v>#N/A</v>
      </c>
      <c r="CD288" s="342" t="e">
        <f ca="1">INDEX(INDIRECT(VLOOKUP(LEFT(BO288,7),CLU!$Z$3:$AH$18,4)),GN288,GS288)</f>
        <v>#N/A</v>
      </c>
      <c r="CE288" s="426" t="e">
        <f t="shared" ca="1" si="951"/>
        <v>#N/A</v>
      </c>
      <c r="CF288" s="440">
        <f t="shared" si="952"/>
        <v>0</v>
      </c>
      <c r="CG288" s="431" t="e">
        <f ca="1">INDEX(INDIRECT(VLOOKUP(LEFT(BO288,7),CLU!$Z$3:$AH$18,2)),GQ288,GR288)</f>
        <v>#N/A</v>
      </c>
      <c r="CH288" s="431" t="e">
        <f ca="1">INDEX(INDIRECT(VLOOKUP(LEFT(BO288,7),CLU!$Z$3:$AH$18,3)),GQ288,GR288)</f>
        <v>#N/A</v>
      </c>
      <c r="CI288" s="431" t="e">
        <f ca="1">INDEX(INDIRECT(VLOOKUP(LEFT(BO288,7),CLU!$Z$3:$AH$18,4)),GQ288,GR288)</f>
        <v>#N/A</v>
      </c>
      <c r="CJ288" s="448" t="e">
        <f t="shared" ca="1" si="953"/>
        <v>#N/A</v>
      </c>
      <c r="CK288" s="431" t="e">
        <f t="shared" ca="1" si="954"/>
        <v>#N/A</v>
      </c>
      <c r="CL288" s="440" t="e">
        <f t="shared" ca="1" si="955"/>
        <v>#N/A</v>
      </c>
      <c r="CM288" s="431" t="e">
        <f ca="1">INDEX(INDIRECT(VLOOKUP(LEFT(BO288,7),CLU!$Z$3:$AH$18,2)),GQ288,GS288)</f>
        <v>#N/A</v>
      </c>
      <c r="CN288" s="431" t="e">
        <f ca="1">INDEX(INDIRECT(VLOOKUP(LEFT(BO288,7),CLU!$Z$3:$AH$18,3)),GQ288,GS288)</f>
        <v>#N/A</v>
      </c>
      <c r="CO288" s="431" t="e">
        <f ca="1">INDEX(INDIRECT(VLOOKUP(LEFT(BO288,7),CLU!$Z$3:$AH$18,4)),GQ288,GS288)</f>
        <v>#N/A</v>
      </c>
      <c r="CP288" s="431" t="e">
        <f t="shared" ca="1" si="956"/>
        <v>#N/A</v>
      </c>
      <c r="CQ288" s="440">
        <f t="shared" si="957"/>
        <v>0</v>
      </c>
      <c r="CR288" s="51" t="e">
        <f t="shared" ca="1" si="958"/>
        <v>#N/A</v>
      </c>
      <c r="CS288" s="439" t="e">
        <f t="shared" ca="1" si="959"/>
        <v>#VALUE!</v>
      </c>
      <c r="CT288" s="51" t="e">
        <f t="shared" ca="1" si="960"/>
        <v>#VALUE!</v>
      </c>
      <c r="CU288" s="10"/>
      <c r="CV288" s="51" t="e">
        <f t="shared" ca="1" si="857"/>
        <v>#VALUE!</v>
      </c>
      <c r="CW288" s="51">
        <f t="shared" si="961"/>
        <v>0</v>
      </c>
      <c r="CX288" s="439" t="e">
        <f t="shared" ca="1" si="962"/>
        <v>#VALUE!</v>
      </c>
      <c r="CY288" s="51" t="e">
        <f t="shared" ca="1" si="963"/>
        <v>#VALUE!</v>
      </c>
      <c r="CZ288" s="10"/>
      <c r="DA288" s="51" t="e">
        <f t="shared" ca="1" si="964"/>
        <v>#VALUE!</v>
      </c>
      <c r="DB288" s="347" t="e">
        <f ca="1">INDEX(INDIRECT(VLOOKUP(LEFT(BO288,7),CLU!$Z$3:$AI$18,10)),((M288-2)*(6-COUNTBLANK(GT288:GY288)))+GJ288)*LI288</f>
        <v>#N/A</v>
      </c>
      <c r="DC288" s="347" t="str">
        <f>IF(L288&gt;0,((R288/Worksheet!$I$15)/DB288)^2," ")</f>
        <v xml:space="preserve"> </v>
      </c>
      <c r="DD288" s="602" t="str">
        <f t="shared" si="965"/>
        <v xml:space="preserve"> </v>
      </c>
      <c r="DE288" s="347" t="str">
        <f t="shared" si="858"/>
        <v xml:space="preserve"> </v>
      </c>
      <c r="DF288" s="356" t="e">
        <f ca="1">INDEX(INDIRECT(VLOOKUP(LEFT(BO288,7),CLU!$Z$3:$AH$18,8)),((M288-2)*(6-COUNTBLANK(GT288:GY288)))+GJ288)</f>
        <v>#N/A</v>
      </c>
      <c r="DG288" s="347" t="str">
        <f t="shared" si="859"/>
        <v xml:space="preserve"> </v>
      </c>
      <c r="DH288" s="357" t="str">
        <f t="shared" si="860"/>
        <v xml:space="preserve"> </v>
      </c>
      <c r="DI288" s="355" t="str">
        <f t="shared" si="861"/>
        <v xml:space="preserve"> </v>
      </c>
      <c r="DJ288" s="245" t="e">
        <f ca="1">INDEX(INDIRECT(VLOOKUP(LEFT(BO288,7),CLU!$Z$3:$AH$18,5)),GL288,GK288)</f>
        <v>#N/A</v>
      </c>
      <c r="DK288" s="245" t="e">
        <f ca="1">INDEX(INDIRECT(VLOOKUP(LEFT(BO288,7),CLU!$Z$3:$AH$18,6)),GL288,GK288)</f>
        <v>#N/A</v>
      </c>
      <c r="DL288" s="355">
        <f>(Calculation!R288*0.69143*(Calculation!$BQ$8-Calculation!$F$8))*$S$14</f>
        <v>0</v>
      </c>
      <c r="DM288" s="359" t="e">
        <f t="shared" si="966"/>
        <v>#VALUE!</v>
      </c>
      <c r="DN288" s="611">
        <f t="shared" si="967"/>
        <v>0</v>
      </c>
      <c r="DO288" s="359">
        <f t="shared" si="968"/>
        <v>100</v>
      </c>
      <c r="DP288" s="359">
        <f t="shared" si="969"/>
        <v>0</v>
      </c>
      <c r="DQ288" s="360"/>
      <c r="DR288" s="245" t="e">
        <f ca="1">INDEX(INDIRECT(VLOOKUP(LEFT(BO288,7),CLU!$Z$3:$AH$18,7)),M288-1,1)</f>
        <v>#N/A</v>
      </c>
      <c r="DS288" s="245" t="e">
        <f ca="1">INDEX(INDIRECT(VLOOKUP(LEFT(BO288,7),CLU!$Z$3:$AH$18,7)),M288-1,2)</f>
        <v>#N/A</v>
      </c>
      <c r="DT288" s="245" t="e">
        <f ca="1">INDEX(INDIRECT(VLOOKUP(LEFT(BO288,7),CLU!$Z$3:$AH$18,7)),M288-1,3)</f>
        <v>#N/A</v>
      </c>
      <c r="DU288" s="245" t="e">
        <f ca="1">INDEX(INDIRECT(VLOOKUP(LEFT(BO288,7),CLU!$Z$3:$AH$18,7)),M288-1,4)</f>
        <v>#N/A</v>
      </c>
      <c r="DV288" s="361" t="e">
        <f ca="1">INDEX(INDIRECT(VLOOKUP(LEFT(BO288,7),CLU!$Z$3:$AH$18,7)),M288-1,4+LEFT(DZ288,1)*0.5)</f>
        <v>#N/A</v>
      </c>
      <c r="DW288" s="245" t="e">
        <f ca="1">INDEX(INDIRECT(VLOOKUP(LEFT(BO288,7),CLU!$Z$3:$AH$18,7)),M288-1,8)</f>
        <v>#N/A</v>
      </c>
      <c r="DX288" s="361" t="str">
        <f t="shared" si="862"/>
        <v xml:space="preserve"> </v>
      </c>
      <c r="DY288" s="361" t="str">
        <f t="shared" si="863"/>
        <v xml:space="preserve"> </v>
      </c>
      <c r="DZ288" s="361" t="str">
        <f t="shared" si="864"/>
        <v xml:space="preserve"> </v>
      </c>
      <c r="EA288" s="362" t="str">
        <f t="shared" si="865"/>
        <v xml:space="preserve"> </v>
      </c>
      <c r="EB288" s="624" t="str">
        <f t="shared" si="970"/>
        <v xml:space="preserve"> </v>
      </c>
      <c r="EC288" s="361" t="e">
        <f ca="1">INDEX(INDIRECT(VLOOKUP(LEFT(BO288,7),CLU!$Z$3:$AH$18,7)),M288-1,4+LEFT(DZ288,1)*0.5)</f>
        <v>#N/A</v>
      </c>
      <c r="ED288" s="362" t="str">
        <f t="shared" si="866"/>
        <v xml:space="preserve"> </v>
      </c>
      <c r="EE288" s="361" t="str">
        <f t="shared" si="867"/>
        <v xml:space="preserve"> </v>
      </c>
      <c r="EF288" s="362" t="str">
        <f>IF(L288&gt;0,IF(BR288&gt;0,IF(EE288="2P",IF(Calculation!DZ288="2P",IF(Calculation!DS288=13.75,IF(Calculation!DR288=13,Worksheet!$BD$43,IF(Calculation!DR288=37,Worksheet!$BD$44,Worksheet!$BD$45)),IF(Calculation!DS288=10,IF(Calculation!DR288=18,Worksheet!$BD$29,IF(Calculation!DR288=30,Worksheet!$BD$30,IF(Calculation!DR288=42,Worksheet!$BD$31,IF(Calculation!DR288=54,Worksheet!$BD$32,IF(Calculation!DR288=66,Worksheet!$BD$33,IF(Calculation!DR288=78,Worksheet!$BD$34,IF(Calculation!DR288=90,Worksheet!$BD$35,IF(Calculation!DR288=102,Worksheet!$BD$36,Worksheet!$BD$37)))))))),IF(Calculation!DS288=12.5,IF(Calculation!DR288=18,Worksheet!$BD$38,IF(Calculation!DR288=Worksheet!$BD$39,IF(Calculation!DR288=42,Worksheet!$BD$40,IF(Calculation!DR288=54,Worksheet!$BD$41,Worksheet!$BD$42)))),IF(Calculation!DR288=18,Worksheet!$BD$11,IF(Calculation!DR288=30,Worksheet!$BD$12,IF(Calculation!DR288=42,Worksheet!$BD$13,IF(Calculation!DR288=54,Worksheet!$BD$14,IF(Calculation!DR288=66,Worksheet!$BD$15,IF(Calculation!DR288=78,Worksheet!$BD$16,IF(Calculation!DR288=90,Worksheet!$BD$17,IF(Calculation!DR288=102,Worksheet!$BD$18,Worksheet!$BD$19))))))))))),IF(Calculation!DS288=13.75,IF(Calculation!DR288=13,Worksheet!$BD$78,IF(Calculation!DR288=37,Worksheet!$BD$79,Worksheet!$BD$80)),IF(Calculation!DS288=10,IF(Calculation!DR288=18,Worksheet!$BD$64,IF(Calculation!DR288=30,Worksheet!$BD$65,IF(Calculation!DR288=42,Worksheet!$BD$66,IF(Calculation!DR288=54,Worksheet!$BD$68,IF(Calculation!DR288=66,Worksheet!$BD$68,IF(Calculation!DR288=78,Worksheet!$BD$69,IF(Calculation!DR288=90,Worksheet!$BD$70,IF(Calculation!DR288=102,Worksheet!$BD$71,Worksheet!$BD$72)))))))),IF(Calculation!DS288=12.5,IF(Calculation!DR288=18,Worksheet!$BD$73,IF(Calculation!DR288=Worksheet!$BD$74,IF(Calculation!DR288=42,Worksheet!$BD$75,IF(Calculation!DR288=54,Worksheet!$BD$76,Worksheet!$BD$77)))),IF(Calculation!DR288=18,Worksheet!$BD$55,IF(Calculation!DR288=30,Worksheet!$BD$56,IF(Calculation!DR288=42,Worksheet!$BD$57,IF(Calculation!DR288=54,Worksheet!$BD$58,IF(Calculation!DR288=66,Worksheet!$BD$59,IF(Calculation!DR288=78,Worksheet!$BD$60,IF(Calculation!DR288=90,Worksheet!$BD$61,IF(Calculation!DR288=102,Worksheet!$BD$62,Worksheet!$BD$63)))))))))))),5),0)," ")</f>
        <v xml:space="preserve"> </v>
      </c>
      <c r="EG288" s="361" t="str">
        <f t="shared" si="868"/>
        <v xml:space="preserve"> </v>
      </c>
      <c r="EH288" s="361" t="e">
        <f ca="1">INDEX(INDIRECT(VLOOKUP(LEFT(BO288,7),CLU!$Z$3:$AH$18,7)),M288-1,3+LEFT(DZ288,1))</f>
        <v>#N/A</v>
      </c>
      <c r="EI288" s="362" t="str">
        <f t="shared" si="869"/>
        <v xml:space="preserve"> </v>
      </c>
      <c r="EJ288" s="363" t="str">
        <f t="shared" si="870"/>
        <v xml:space="preserve"> </v>
      </c>
      <c r="EK288" s="363" t="str">
        <f t="shared" si="871"/>
        <v xml:space="preserve"> </v>
      </c>
      <c r="EL288" s="363" t="str">
        <f t="shared" si="872"/>
        <v xml:space="preserve"> </v>
      </c>
      <c r="EM288" s="362" t="str">
        <f>IF(L288&gt;0,IF(BR288&gt;0,(Calculation!T288/ED288)^2,0)," ")</f>
        <v xml:space="preserve"> </v>
      </c>
      <c r="EN288" s="362" t="str">
        <f>IF(L288&gt;0,IF(O288="2 Pipe (Cooling)","N/A",IF(BR288&gt;0,(Calculation!U288/EI288)^2,0))," ")</f>
        <v xml:space="preserve"> </v>
      </c>
      <c r="EO288" s="361" t="str">
        <f t="shared" si="873"/>
        <v/>
      </c>
      <c r="EP288" s="361" t="str">
        <f t="shared" si="874"/>
        <v/>
      </c>
      <c r="EQ288" s="361" t="str">
        <f t="shared" si="875"/>
        <v/>
      </c>
      <c r="ER288" s="361" t="str">
        <f t="shared" si="876"/>
        <v/>
      </c>
      <c r="ES288" s="361" t="str">
        <f t="shared" si="877"/>
        <v/>
      </c>
      <c r="ET288" s="361" t="str">
        <f t="shared" si="878"/>
        <v/>
      </c>
      <c r="EU288" s="361" t="str">
        <f t="shared" si="879"/>
        <v/>
      </c>
      <c r="EV288" s="361" t="str">
        <f t="shared" si="880"/>
        <v/>
      </c>
      <c r="EW288" s="361" t="str">
        <f t="shared" si="881"/>
        <v/>
      </c>
      <c r="EX288" s="361" t="str">
        <f t="shared" si="971"/>
        <v>1 slot, 1 way</v>
      </c>
      <c r="EY288" s="361" t="str">
        <f t="shared" si="972"/>
        <v xml:space="preserve"> </v>
      </c>
      <c r="EZ288" s="361" t="str">
        <f t="shared" si="973"/>
        <v xml:space="preserve"> </v>
      </c>
      <c r="FA288" s="361" t="str">
        <f t="shared" si="974"/>
        <v xml:space="preserve"> </v>
      </c>
      <c r="FB288" s="361" t="str">
        <f t="shared" si="975"/>
        <v xml:space="preserve"> </v>
      </c>
      <c r="FC288" s="361"/>
      <c r="FD288" s="361" t="str">
        <f>IF(J288&gt;0,IF(Calculation!R288&lt;=70,4,IF(Calculation!R288&lt;=110,5,IF(Calculation!R288&lt;=160,6,IF(Calculation!R288&lt;=300,8,"10 EO")))),"")</f>
        <v/>
      </c>
      <c r="FE288" s="361" t="str">
        <f t="shared" si="976"/>
        <v/>
      </c>
      <c r="FF288" s="361" t="str">
        <f t="shared" si="977"/>
        <v/>
      </c>
      <c r="FG288" s="361" t="e">
        <f t="shared" si="882"/>
        <v>#N/A</v>
      </c>
      <c r="FH288" s="361">
        <f t="shared" si="883"/>
        <v>0</v>
      </c>
      <c r="FI288" s="361" t="e">
        <f t="shared" si="884"/>
        <v>#DIV/0!</v>
      </c>
      <c r="FJ288" s="361"/>
      <c r="FK288" s="356" t="e">
        <f t="shared" si="885"/>
        <v>#VALUE!</v>
      </c>
      <c r="FL288" s="361"/>
      <c r="FM288" s="361"/>
      <c r="FN288" s="362" t="str">
        <f t="shared" si="978"/>
        <v xml:space="preserve"> </v>
      </c>
      <c r="FO288" s="362" t="str">
        <f t="shared" si="979"/>
        <v xml:space="preserve"> </v>
      </c>
      <c r="FP288" s="362">
        <f t="shared" si="980"/>
        <v>0</v>
      </c>
      <c r="FQ288" s="361">
        <f t="shared" si="886"/>
        <v>0</v>
      </c>
      <c r="FR288" s="362" t="str">
        <f>IF(L288&gt;0,IF(J288="CBAL2",Worksheet!$P$67,IF(J288="CBE2-24",Worksheet!$Q$67,IF(J288="CBAM",Worksheet!$R$67,IF(J288="CBLV",Worksheet!$S$67,IF(J288="CBAB",Worksheet!$U$67,IF(J288="CBAW",Worksheet!$X$67,IF(J288="CBE2-12",Worksheet!$Y$67,IF(J288="CBAL2",Worksheet!$Z$67,"N/A"))))))))," ")</f>
        <v xml:space="preserve"> </v>
      </c>
      <c r="FS288" s="362" t="str">
        <f>IF(L288&gt;0,IF(J288="CBAL2",Worksheet!$P$68,IF(J288="CBE2-24",Worksheet!$Q$68,IF(J288="CBAM",Worksheet!$R$68,IF(J288="CBLV",Worksheet!$S$68,IF(J288="CBAB",Worksheet!$U$68,IF(J288="CBAW",Worksheet!$X$68,IF(J288="CBE2-12",Worksheet!$Y$68,IF(J288="CBAL2",Worksheet!$Z$68,"N/A"))))))))," ")</f>
        <v xml:space="preserve"> </v>
      </c>
      <c r="FT288" s="362" t="str">
        <f>IF(L288&gt;0,IF(J288="CBAL2",Worksheet!$P$69,IF(J288="CBE2-24",Worksheet!$Q$69,IF(J288="CBAM",Worksheet!$R$69,IF(J288="CBLV",Worksheet!$S$69,IF(J288="CBAB",Worksheet!$U$69,IF(J288="CBAW",Worksheet!$X$69,IF(J288="CBE2-12",Worksheet!$Y$69,IF(J288="CBAL2",Worksheet!$Z$69,"N/A"))))))))," ")</f>
        <v xml:space="preserve"> </v>
      </c>
      <c r="FU288" s="361" t="str">
        <f t="shared" si="981"/>
        <v xml:space="preserve"> </v>
      </c>
      <c r="FV288" s="362" t="str">
        <f t="shared" si="982"/>
        <v xml:space="preserve"> </v>
      </c>
      <c r="FW288" s="362" t="str">
        <f t="shared" si="983"/>
        <v xml:space="preserve"> </v>
      </c>
      <c r="FX288" s="362" t="str">
        <f t="shared" si="984"/>
        <v xml:space="preserve"> </v>
      </c>
      <c r="FY288" s="355" t="str">
        <f t="shared" si="985"/>
        <v xml:space="preserve"> </v>
      </c>
      <c r="FZ288" s="361" t="str">
        <f t="shared" si="986"/>
        <v xml:space="preserve"> </v>
      </c>
      <c r="GA288" s="347" t="str">
        <f t="shared" si="987"/>
        <v xml:space="preserve"> </v>
      </c>
      <c r="GB288" s="355" t="str">
        <f t="shared" si="988"/>
        <v xml:space="preserve"> </v>
      </c>
      <c r="GC288" s="328" t="str">
        <f t="shared" si="989"/>
        <v xml:space="preserve"> </v>
      </c>
      <c r="GD288" s="361" t="str">
        <f t="shared" si="990"/>
        <v xml:space="preserve"> </v>
      </c>
      <c r="GE288" s="347" t="str">
        <f t="shared" si="991"/>
        <v xml:space="preserve"> </v>
      </c>
      <c r="GF288" s="361" t="str">
        <f t="shared" si="992"/>
        <v xml:space="preserve"> </v>
      </c>
      <c r="GG288" s="347" t="str">
        <f t="shared" si="993"/>
        <v xml:space="preserve"> </v>
      </c>
      <c r="GH288" s="364">
        <f t="shared" si="887"/>
        <v>0</v>
      </c>
      <c r="GI288" s="362">
        <f t="shared" si="994"/>
        <v>2</v>
      </c>
      <c r="GJ288" s="433" t="e">
        <f>IF(6-COUNTBLANK(GT288:GY288)=4,MATCH(MID(BO288,9,3),CLU!$H$16:$K$16),MATCH(MID(BO288,9,3),CLU!$H$13:$M$13))</f>
        <v>#N/A</v>
      </c>
      <c r="GK288" s="433" t="e">
        <f>HLOOKUP(VALUE(BP288),CLU!$H$9:$M$10,2)</f>
        <v>#VALUE!</v>
      </c>
      <c r="GL288" s="433" t="e">
        <f ca="1">MATCH(BU288,CLU!$H$2:$V$2,1)</f>
        <v>#VALUE!</v>
      </c>
      <c r="GM288" s="433" t="e">
        <f t="shared" ca="1" si="995"/>
        <v>#VALUE!</v>
      </c>
      <c r="GN288" s="433" t="e">
        <f t="shared" ca="1" si="996"/>
        <v>#VALUE!</v>
      </c>
      <c r="GO288" s="433" t="e">
        <f t="shared" ca="1" si="997"/>
        <v>#VALUE!</v>
      </c>
      <c r="GP288" s="433" t="e">
        <f t="shared" ca="1" si="998"/>
        <v>#VALUE!</v>
      </c>
      <c r="GQ288" s="433" t="e">
        <f t="shared" ca="1" si="999"/>
        <v>#VALUE!</v>
      </c>
      <c r="GR288" s="433" t="e">
        <f ca="1">MATCH(T288,INDIRECT(VLOOKUP(CONCATENATE(LEFT(BO288,7),"-",MID(BO288,13,1)),CLU!$P$3:$Q$16,2)),1)</f>
        <v>#N/A</v>
      </c>
      <c r="GS288" s="433" t="e">
        <f ca="1">MATCH(U288,INDIRECT(VLOOKUP(CONCATENATE(LEFT(BO288,7),"-",MID(BO288,13,1)),CLU!$P$3:$Q$16,2)),1)</f>
        <v>#N/A</v>
      </c>
      <c r="GT288" s="347" t="s">
        <v>512</v>
      </c>
      <c r="GU288" s="97" t="s">
        <v>513</v>
      </c>
      <c r="GV288" s="97" t="str">
        <f t="shared" si="1000"/>
        <v>M23</v>
      </c>
      <c r="GW288" s="97" t="str">
        <f t="shared" si="1001"/>
        <v>M31</v>
      </c>
      <c r="GX288" s="97" t="str">
        <f t="shared" si="1002"/>
        <v/>
      </c>
      <c r="GY288" s="97" t="str">
        <f t="shared" si="1003"/>
        <v/>
      </c>
      <c r="GZ288" s="481"/>
      <c r="HA288" s="240"/>
      <c r="HB288" s="240"/>
      <c r="HC288" s="240"/>
      <c r="HD288" s="240"/>
      <c r="HE288" s="240"/>
      <c r="HF288" s="240"/>
      <c r="HG288" s="240"/>
      <c r="HH288" s="240"/>
      <c r="HI288" s="240"/>
      <c r="HJ288" s="240"/>
      <c r="HK288" s="240"/>
      <c r="HL288" s="240"/>
      <c r="HM288" s="240"/>
      <c r="HN288" s="240"/>
      <c r="HO288" s="240"/>
      <c r="HP288" s="240"/>
      <c r="HQ288" s="240"/>
      <c r="HR288" s="240"/>
      <c r="HS288" s="240"/>
      <c r="HT288" s="240"/>
      <c r="HU288" s="240"/>
      <c r="HV288" s="245"/>
      <c r="HW288" s="245" t="b">
        <v>1</v>
      </c>
      <c r="HX288" s="245" t="str">
        <f t="shared" si="888"/>
        <v/>
      </c>
      <c r="HY288" s="245" t="e">
        <f t="shared" si="889"/>
        <v>#DIV/0!</v>
      </c>
      <c r="HZ288" s="245" t="e">
        <f t="shared" si="890"/>
        <v>#DIV/0!</v>
      </c>
      <c r="IA288" s="245">
        <f t="shared" si="891"/>
        <v>0</v>
      </c>
      <c r="IB288" s="245"/>
      <c r="IC288" t="b">
        <f t="shared" si="892"/>
        <v>1</v>
      </c>
      <c r="ID288" s="245" t="b">
        <f t="shared" si="893"/>
        <v>1</v>
      </c>
      <c r="IE288" s="245" t="b">
        <f t="shared" si="894"/>
        <v>1</v>
      </c>
      <c r="IF288" s="245" t="b">
        <f t="shared" si="895"/>
        <v>0</v>
      </c>
      <c r="IG288" s="245" t="b">
        <f t="shared" si="896"/>
        <v>1</v>
      </c>
      <c r="IH288" s="245" t="b">
        <f t="shared" si="897"/>
        <v>1</v>
      </c>
      <c r="II288" s="245">
        <f t="shared" si="1004"/>
        <v>0</v>
      </c>
      <c r="IJ288" s="245" t="e">
        <f t="shared" si="898"/>
        <v>#VALUE!</v>
      </c>
      <c r="IK288" s="245" t="e">
        <f t="shared" si="899"/>
        <v>#VALUE!</v>
      </c>
      <c r="IL288" s="245"/>
      <c r="IM288" s="245" t="e">
        <f t="shared" si="1005"/>
        <v>#N/A</v>
      </c>
      <c r="IN288" s="245" t="e">
        <f t="shared" si="1006"/>
        <v>#N/A</v>
      </c>
      <c r="IO288" s="245"/>
      <c r="IP288" s="245"/>
      <c r="IQ288" s="245" t="str">
        <f t="shared" si="900"/>
        <v/>
      </c>
      <c r="IR288" s="245" t="str">
        <f>IF(J288="","",VLOOKUP(J288,Worksheet!$R$4:$T$14,2))</f>
        <v/>
      </c>
      <c r="IS288" s="245"/>
      <c r="IT288" s="245">
        <f t="shared" si="901"/>
        <v>0</v>
      </c>
      <c r="IU288" s="245">
        <f t="shared" si="902"/>
        <v>0</v>
      </c>
      <c r="IV288" s="245">
        <f t="shared" si="903"/>
        <v>0</v>
      </c>
      <c r="IW288" s="245">
        <f t="shared" si="904"/>
        <v>0</v>
      </c>
      <c r="IX288" s="245">
        <f t="shared" si="1007"/>
        <v>0</v>
      </c>
      <c r="IY288" s="245">
        <f t="shared" si="905"/>
        <v>0</v>
      </c>
      <c r="IZ288" s="245">
        <f t="shared" si="906"/>
        <v>0</v>
      </c>
      <c r="JA288">
        <f t="shared" si="907"/>
        <v>0</v>
      </c>
      <c r="JB288">
        <f t="shared" si="1008"/>
        <v>0</v>
      </c>
      <c r="JC288">
        <f t="shared" si="908"/>
        <v>0</v>
      </c>
      <c r="JD288">
        <f t="shared" si="909"/>
        <v>0</v>
      </c>
      <c r="JE288">
        <f t="shared" si="910"/>
        <v>0</v>
      </c>
      <c r="JF288">
        <f t="shared" si="911"/>
        <v>0</v>
      </c>
      <c r="JG288">
        <f t="shared" si="912"/>
        <v>0</v>
      </c>
      <c r="JH288">
        <f t="shared" si="913"/>
        <v>0</v>
      </c>
      <c r="JI288">
        <f t="shared" si="914"/>
        <v>0</v>
      </c>
      <c r="JJ288" s="447">
        <f t="shared" si="915"/>
        <v>0</v>
      </c>
      <c r="JK288" s="447">
        <f t="shared" si="916"/>
        <v>0</v>
      </c>
      <c r="JL288">
        <f t="shared" si="917"/>
        <v>0</v>
      </c>
      <c r="JM288" s="245" t="str">
        <f>IFERROR(VLOOKUP(MATCH(BN288,#REF!,0),#REF!,7),"")</f>
        <v/>
      </c>
      <c r="JN288" t="e">
        <f>HLOOKUP(LEFT(BO288,7),Discharge_Area,MATCH(JO288,LookUps!$B$130:$B$149,1)+2)</f>
        <v>#N/A</v>
      </c>
      <c r="JO288" t="str">
        <f t="shared" si="918"/>
        <v>- S</v>
      </c>
      <c r="JP288" t="e">
        <f>HLOOKUP(LEFT(BO288,7),Discharge_Area,MATCH(JO288,LookUps!$B$130:$B$149,1)+2)</f>
        <v>#N/A</v>
      </c>
      <c r="JQ288" t="e">
        <f t="shared" si="919"/>
        <v>#N/A</v>
      </c>
      <c r="JR288" t="e">
        <f t="shared" si="920"/>
        <v>#N/A</v>
      </c>
      <c r="JS288" t="e">
        <f t="shared" si="921"/>
        <v>#N/A</v>
      </c>
      <c r="JT288" s="532" t="str">
        <f t="shared" si="922"/>
        <v xml:space="preserve"> </v>
      </c>
      <c r="JU288" s="532" t="str">
        <f t="shared" si="923"/>
        <v xml:space="preserve"> </v>
      </c>
      <c r="JV288" s="533" t="str">
        <f t="shared" si="924"/>
        <v xml:space="preserve"> </v>
      </c>
      <c r="JW288" s="534">
        <f t="shared" si="925"/>
        <v>0</v>
      </c>
      <c r="JX288" s="535" t="str">
        <f t="shared" si="1009"/>
        <v xml:space="preserve"> </v>
      </c>
      <c r="JY288" s="535" t="str">
        <f t="shared" si="1010"/>
        <v xml:space="preserve"> </v>
      </c>
      <c r="JZ288" s="535" t="str">
        <f t="shared" si="1011"/>
        <v xml:space="preserve"> </v>
      </c>
      <c r="KA288" s="536" t="str">
        <f t="shared" si="926"/>
        <v xml:space="preserve"> </v>
      </c>
      <c r="KB288" s="535" t="e">
        <f t="shared" si="1012"/>
        <v>#VALUE!</v>
      </c>
      <c r="KC288" s="535" t="str">
        <f t="shared" si="927"/>
        <v/>
      </c>
      <c r="KD288" s="537" t="str">
        <f t="shared" si="1013"/>
        <v xml:space="preserve"> </v>
      </c>
      <c r="KE288" s="537" t="str">
        <f t="shared" si="1014"/>
        <v xml:space="preserve"> </v>
      </c>
      <c r="KF288" s="534">
        <f t="shared" si="928"/>
        <v>0</v>
      </c>
      <c r="KG288" s="535" t="str">
        <f t="shared" si="929"/>
        <v xml:space="preserve"> </v>
      </c>
      <c r="KH288" s="535" t="str">
        <f t="shared" si="930"/>
        <v xml:space="preserve"> </v>
      </c>
      <c r="KI288" s="535" t="str">
        <f t="shared" si="931"/>
        <v xml:space="preserve"> </v>
      </c>
      <c r="KJ288" s="536" t="str">
        <f t="shared" si="932"/>
        <v xml:space="preserve"> </v>
      </c>
      <c r="KK288" s="535" t="str">
        <f t="shared" si="1015"/>
        <v xml:space="preserve"> </v>
      </c>
      <c r="KL288" s="535" t="str">
        <f t="shared" si="1016"/>
        <v xml:space="preserve"> </v>
      </c>
      <c r="KM288" s="537" t="str">
        <f t="shared" si="933"/>
        <v xml:space="preserve"> </v>
      </c>
      <c r="KN288" s="537" t="str">
        <f t="shared" si="1017"/>
        <v xml:space="preserve"> </v>
      </c>
      <c r="KP288">
        <f t="shared" si="934"/>
        <v>0</v>
      </c>
      <c r="LA288" t="e">
        <f t="shared" si="935"/>
        <v>#VALUE!</v>
      </c>
      <c r="LB288" t="e">
        <f t="shared" si="936"/>
        <v>#VALUE!</v>
      </c>
      <c r="LC288" t="e">
        <f t="shared" si="937"/>
        <v>#VALUE!</v>
      </c>
      <c r="LD288" t="e">
        <f t="shared" si="938"/>
        <v>#VALUE!</v>
      </c>
      <c r="LE288" t="e">
        <f t="shared" si="1018"/>
        <v>#VALUE!</v>
      </c>
      <c r="LF288">
        <f t="shared" si="939"/>
        <v>0</v>
      </c>
      <c r="LG288" t="e">
        <f t="shared" si="1019"/>
        <v>#VALUE!</v>
      </c>
      <c r="LH288" t="str">
        <f t="shared" si="940"/>
        <v xml:space="preserve"> </v>
      </c>
      <c r="LI288">
        <f t="shared" si="1020"/>
        <v>1</v>
      </c>
    </row>
    <row r="289" spans="2:321" ht="15" customHeight="1">
      <c r="B289" s="311"/>
      <c r="C289" s="311"/>
      <c r="D289" s="312"/>
      <c r="E289" s="311"/>
      <c r="F289" s="312"/>
      <c r="G289" s="311"/>
      <c r="H289" s="311"/>
      <c r="I289" s="232"/>
      <c r="J289" s="311"/>
      <c r="K289" s="305" t="str">
        <f t="shared" si="941"/>
        <v/>
      </c>
      <c r="L289" s="313"/>
      <c r="M289" s="312"/>
      <c r="N289" s="311"/>
      <c r="O289" s="312"/>
      <c r="P289" s="311"/>
      <c r="Q289" s="305" t="str">
        <f t="shared" si="942"/>
        <v/>
      </c>
      <c r="R289" s="314"/>
      <c r="S289" s="450" t="str">
        <f t="shared" si="825"/>
        <v/>
      </c>
      <c r="T289" s="315"/>
      <c r="U289" s="315"/>
      <c r="W289" s="149" t="str">
        <f t="shared" si="826"/>
        <v xml:space="preserve"> </v>
      </c>
      <c r="X289" s="243" t="str">
        <f t="shared" si="827"/>
        <v xml:space="preserve"> </v>
      </c>
      <c r="Y289" s="150" t="str">
        <f t="shared" si="828"/>
        <v/>
      </c>
      <c r="Z289" s="149" t="str">
        <f t="shared" si="829"/>
        <v xml:space="preserve"> </v>
      </c>
      <c r="AA289" s="98" t="str">
        <f t="shared" si="830"/>
        <v xml:space="preserve"> </v>
      </c>
      <c r="AB289" s="153" t="str">
        <f t="shared" si="831"/>
        <v xml:space="preserve"> </v>
      </c>
      <c r="AC289" s="153" t="str">
        <f t="shared" si="832"/>
        <v xml:space="preserve"> </v>
      </c>
      <c r="AD289" s="148" t="str">
        <f t="shared" si="833"/>
        <v/>
      </c>
      <c r="AE289" s="149" t="str">
        <f t="shared" si="834"/>
        <v/>
      </c>
      <c r="AF289" s="151" t="str">
        <f t="shared" si="835"/>
        <v xml:space="preserve"> </v>
      </c>
      <c r="AG289" s="153" t="str">
        <f t="shared" si="836"/>
        <v xml:space="preserve"> </v>
      </c>
      <c r="AH289" s="98" t="str">
        <f t="shared" si="837"/>
        <v xml:space="preserve"> </v>
      </c>
      <c r="AI289" s="149" t="str">
        <f t="shared" si="838"/>
        <v xml:space="preserve"> </v>
      </c>
      <c r="AK289" s="144" t="str">
        <f t="shared" si="839"/>
        <v xml:space="preserve"> </v>
      </c>
      <c r="AL289" s="144"/>
      <c r="AM289" s="243" t="str">
        <f t="shared" si="840"/>
        <v xml:space="preserve"> </v>
      </c>
      <c r="AN289" s="149" t="str">
        <f t="shared" si="943"/>
        <v xml:space="preserve"> </v>
      </c>
      <c r="AO289" s="144" t="str">
        <f>IF(JB289&gt;0,IF(GI289=10,-R289*1.085*(Calculation!$F$6-Calculation!$F$13)*$S$14," "),"")</f>
        <v/>
      </c>
      <c r="AP289" s="144" t="str">
        <f t="shared" si="841"/>
        <v/>
      </c>
      <c r="AQ289" s="56" t="str">
        <f t="shared" si="842"/>
        <v/>
      </c>
      <c r="AR289" s="144" t="str">
        <f t="shared" si="843"/>
        <v/>
      </c>
      <c r="AS289" s="176" t="str">
        <f t="shared" si="844"/>
        <v/>
      </c>
      <c r="AT289" s="176" t="str">
        <f t="shared" si="944"/>
        <v xml:space="preserve"> </v>
      </c>
      <c r="AU289" s="176" t="str">
        <f t="shared" si="845"/>
        <v/>
      </c>
      <c r="AV289" s="177" t="str">
        <f t="shared" si="846"/>
        <v xml:space="preserve"> </v>
      </c>
      <c r="AW289" s="144" t="str">
        <f t="shared" si="847"/>
        <v xml:space="preserve"> </v>
      </c>
      <c r="AX289" s="144" t="str">
        <f t="shared" si="848"/>
        <v xml:space="preserve"> </v>
      </c>
      <c r="AY289" s="152" t="str">
        <f t="shared" si="849"/>
        <v xml:space="preserve"> </v>
      </c>
      <c r="AZ289" s="246" t="str">
        <f t="shared" si="850"/>
        <v/>
      </c>
      <c r="BA289" s="176" t="str">
        <f t="shared" si="851"/>
        <v xml:space="preserve"> </v>
      </c>
      <c r="BB289" s="176" t="str">
        <f t="shared" si="852"/>
        <v xml:space="preserve"> </v>
      </c>
      <c r="BC289" s="195"/>
      <c r="BD289" s="316"/>
      <c r="BE289" s="317"/>
      <c r="BF289" s="318"/>
      <c r="BG289" s="318"/>
      <c r="BH289" s="144" t="str">
        <f t="shared" si="1021"/>
        <v xml:space="preserve"> </v>
      </c>
      <c r="BI289" s="176" t="str">
        <f t="shared" si="853"/>
        <v/>
      </c>
      <c r="BJ289" s="144" t="str">
        <f t="shared" si="1022"/>
        <v/>
      </c>
      <c r="BK289" s="246" t="str">
        <f t="shared" si="854"/>
        <v/>
      </c>
      <c r="BL289" s="144" t="str">
        <f t="shared" si="1023"/>
        <v/>
      </c>
      <c r="BM289" s="246" t="str">
        <f t="shared" si="855"/>
        <v/>
      </c>
      <c r="BN289" s="337" t="str">
        <f t="shared" si="945"/>
        <v/>
      </c>
      <c r="BO289" s="371" t="str">
        <f t="shared" si="946"/>
        <v/>
      </c>
      <c r="BP289" s="328" t="str">
        <f t="shared" si="1024"/>
        <v xml:space="preserve"> </v>
      </c>
      <c r="BQ289" s="347" t="str">
        <f t="shared" si="947"/>
        <v xml:space="preserve"> </v>
      </c>
      <c r="BR289" s="353" t="str">
        <f t="shared" si="948"/>
        <v xml:space="preserve"> </v>
      </c>
      <c r="BS289" s="626" t="str">
        <f>IF(L289&gt;0,IF(Calculation!P289="M13",BR289*3.1416*(0.134^2)/(4*144),IF(Calculation!P289="M17",BR289*3.1416*(0.165^2)/(4*144),IF(Calculation!P289="M20",BR289*3.1416*(0.198^2)/(4*144),IF(Calculation!P289="M23",BR289*3.1416*(0.228^2)/(4*144),IF(Calculation!P289="M27",BR289*3.1416*(0.269^2)/(4*144),BR289*3.1416*(0.307^2)/(4*144))))))," ")</f>
        <v xml:space="preserve"> </v>
      </c>
      <c r="BT289" s="353" t="str">
        <f>IF(L289&gt;0,IF(BS289&gt;0,R289/Calculation!BS289,0)," ")</f>
        <v xml:space="preserve"> </v>
      </c>
      <c r="BU289" s="438" t="e">
        <f t="shared" ca="1" si="856"/>
        <v>#VALUE!</v>
      </c>
      <c r="BV289" s="449" t="e">
        <f ca="1">INDEX(INDIRECT(VLOOKUP(LEFT(BO289,7),CLU!$Z$3:$AH$18,2)),GN289,GR289)</f>
        <v>#N/A</v>
      </c>
      <c r="BW289" s="433" t="e">
        <f ca="1">INDEX(INDIRECT(VLOOKUP(LEFT(BO289,7),CLU!$Z$3:$AH$18,3)),GN289,GR289)</f>
        <v>#N/A</v>
      </c>
      <c r="BX289" s="433" t="e">
        <f ca="1">INDEX(INDIRECT(VLOOKUP(LEFT(BO289,7),CLU!$Z$3:$AH$18,4)),GN289,GR289)</f>
        <v>#N/A</v>
      </c>
      <c r="BY289" s="433" t="e">
        <f ca="1">INDEX(INDIRECT(VLOOKUP(LEFT(BO289,7),CLU!$Z$3:$AH$18,9)),((M289-2)*(6-COUNTBLANK(GT289:GY289)))+GJ289)</f>
        <v>#N/A</v>
      </c>
      <c r="BZ289" s="426" t="e">
        <f t="shared" ca="1" si="949"/>
        <v>#N/A</v>
      </c>
      <c r="CA289" s="424" t="e">
        <f t="shared" ca="1" si="950"/>
        <v>#N/A</v>
      </c>
      <c r="CB289" s="429" t="e">
        <f ca="1">INDEX(INDIRECT(VLOOKUP(LEFT(BO289,7),CLU!$Z$3:$AH$18,2)),GN289,GS289)</f>
        <v>#N/A</v>
      </c>
      <c r="CC289" s="342" t="e">
        <f ca="1">INDEX(INDIRECT(VLOOKUP(LEFT(BO289,7),CLU!$Z$3:$AH$18,3)),GN289,GS289)</f>
        <v>#N/A</v>
      </c>
      <c r="CD289" s="342" t="e">
        <f ca="1">INDEX(INDIRECT(VLOOKUP(LEFT(BO289,7),CLU!$Z$3:$AH$18,4)),GN289,GS289)</f>
        <v>#N/A</v>
      </c>
      <c r="CE289" s="426" t="e">
        <f t="shared" ca="1" si="951"/>
        <v>#N/A</v>
      </c>
      <c r="CF289" s="440">
        <f t="shared" si="952"/>
        <v>0</v>
      </c>
      <c r="CG289" s="431" t="e">
        <f ca="1">INDEX(INDIRECT(VLOOKUP(LEFT(BO289,7),CLU!$Z$3:$AH$18,2)),GQ289,GR289)</f>
        <v>#N/A</v>
      </c>
      <c r="CH289" s="431" t="e">
        <f ca="1">INDEX(INDIRECT(VLOOKUP(LEFT(BO289,7),CLU!$Z$3:$AH$18,3)),GQ289,GR289)</f>
        <v>#N/A</v>
      </c>
      <c r="CI289" s="431" t="e">
        <f ca="1">INDEX(INDIRECT(VLOOKUP(LEFT(BO289,7),CLU!$Z$3:$AH$18,4)),GQ289,GR289)</f>
        <v>#N/A</v>
      </c>
      <c r="CJ289" s="448" t="e">
        <f t="shared" ca="1" si="953"/>
        <v>#N/A</v>
      </c>
      <c r="CK289" s="431" t="e">
        <f t="shared" ca="1" si="954"/>
        <v>#N/A</v>
      </c>
      <c r="CL289" s="440" t="e">
        <f t="shared" ca="1" si="955"/>
        <v>#N/A</v>
      </c>
      <c r="CM289" s="431" t="e">
        <f ca="1">INDEX(INDIRECT(VLOOKUP(LEFT(BO289,7),CLU!$Z$3:$AH$18,2)),GQ289,GS289)</f>
        <v>#N/A</v>
      </c>
      <c r="CN289" s="431" t="e">
        <f ca="1">INDEX(INDIRECT(VLOOKUP(LEFT(BO289,7),CLU!$Z$3:$AH$18,3)),GQ289,GS289)</f>
        <v>#N/A</v>
      </c>
      <c r="CO289" s="431" t="e">
        <f ca="1">INDEX(INDIRECT(VLOOKUP(LEFT(BO289,7),CLU!$Z$3:$AH$18,4)),GQ289,GS289)</f>
        <v>#N/A</v>
      </c>
      <c r="CP289" s="431" t="e">
        <f t="shared" ca="1" si="956"/>
        <v>#N/A</v>
      </c>
      <c r="CQ289" s="440">
        <f t="shared" si="957"/>
        <v>0</v>
      </c>
      <c r="CR289" s="51" t="e">
        <f t="shared" ca="1" si="958"/>
        <v>#N/A</v>
      </c>
      <c r="CS289" s="439" t="e">
        <f t="shared" ca="1" si="959"/>
        <v>#VALUE!</v>
      </c>
      <c r="CT289" s="51" t="e">
        <f t="shared" ca="1" si="960"/>
        <v>#VALUE!</v>
      </c>
      <c r="CU289" s="10"/>
      <c r="CV289" s="51" t="e">
        <f t="shared" ca="1" si="857"/>
        <v>#VALUE!</v>
      </c>
      <c r="CW289" s="51">
        <f t="shared" si="961"/>
        <v>0</v>
      </c>
      <c r="CX289" s="439" t="e">
        <f t="shared" ca="1" si="962"/>
        <v>#VALUE!</v>
      </c>
      <c r="CY289" s="51" t="e">
        <f t="shared" ca="1" si="963"/>
        <v>#VALUE!</v>
      </c>
      <c r="CZ289" s="10"/>
      <c r="DA289" s="51" t="e">
        <f t="shared" ca="1" si="964"/>
        <v>#VALUE!</v>
      </c>
      <c r="DB289" s="347" t="e">
        <f ca="1">INDEX(INDIRECT(VLOOKUP(LEFT(BO289,7),CLU!$Z$3:$AI$18,10)),((M289-2)*(6-COUNTBLANK(GT289:GY289)))+GJ289)*LI289</f>
        <v>#N/A</v>
      </c>
      <c r="DC289" s="347" t="str">
        <f>IF(L289&gt;0,((R289/Worksheet!$I$15)/DB289)^2," ")</f>
        <v xml:space="preserve"> </v>
      </c>
      <c r="DD289" s="602" t="str">
        <f t="shared" si="965"/>
        <v xml:space="preserve"> </v>
      </c>
      <c r="DE289" s="347" t="str">
        <f t="shared" si="858"/>
        <v xml:space="preserve"> </v>
      </c>
      <c r="DF289" s="356" t="e">
        <f ca="1">INDEX(INDIRECT(VLOOKUP(LEFT(BO289,7),CLU!$Z$3:$AH$18,8)),((M289-2)*(6-COUNTBLANK(GT289:GY289)))+GJ289)</f>
        <v>#N/A</v>
      </c>
      <c r="DG289" s="347" t="str">
        <f t="shared" si="859"/>
        <v xml:space="preserve"> </v>
      </c>
      <c r="DH289" s="357" t="str">
        <f t="shared" si="860"/>
        <v xml:space="preserve"> </v>
      </c>
      <c r="DI289" s="355" t="str">
        <f t="shared" si="861"/>
        <v xml:space="preserve"> </v>
      </c>
      <c r="DJ289" s="245" t="e">
        <f ca="1">INDEX(INDIRECT(VLOOKUP(LEFT(BO289,7),CLU!$Z$3:$AH$18,5)),GL289,GK289)</f>
        <v>#N/A</v>
      </c>
      <c r="DK289" s="245" t="e">
        <f ca="1">INDEX(INDIRECT(VLOOKUP(LEFT(BO289,7),CLU!$Z$3:$AH$18,6)),GL289,GK289)</f>
        <v>#N/A</v>
      </c>
      <c r="DL289" s="355">
        <f>(Calculation!R289*0.69143*(Calculation!$BQ$8-Calculation!$F$8))*$S$14</f>
        <v>0</v>
      </c>
      <c r="DM289" s="359" t="e">
        <f t="shared" si="966"/>
        <v>#VALUE!</v>
      </c>
      <c r="DN289" s="611">
        <f t="shared" si="967"/>
        <v>0</v>
      </c>
      <c r="DO289" s="359">
        <f t="shared" si="968"/>
        <v>100</v>
      </c>
      <c r="DP289" s="359">
        <f t="shared" si="969"/>
        <v>0</v>
      </c>
      <c r="DQ289" s="360"/>
      <c r="DR289" s="245" t="e">
        <f ca="1">INDEX(INDIRECT(VLOOKUP(LEFT(BO289,7),CLU!$Z$3:$AH$18,7)),M289-1,1)</f>
        <v>#N/A</v>
      </c>
      <c r="DS289" s="245" t="e">
        <f ca="1">INDEX(INDIRECT(VLOOKUP(LEFT(BO289,7),CLU!$Z$3:$AH$18,7)),M289-1,2)</f>
        <v>#N/A</v>
      </c>
      <c r="DT289" s="245" t="e">
        <f ca="1">INDEX(INDIRECT(VLOOKUP(LEFT(BO289,7),CLU!$Z$3:$AH$18,7)),M289-1,3)</f>
        <v>#N/A</v>
      </c>
      <c r="DU289" s="245" t="e">
        <f ca="1">INDEX(INDIRECT(VLOOKUP(LEFT(BO289,7),CLU!$Z$3:$AH$18,7)),M289-1,4)</f>
        <v>#N/A</v>
      </c>
      <c r="DV289" s="361" t="e">
        <f ca="1">INDEX(INDIRECT(VLOOKUP(LEFT(BO289,7),CLU!$Z$3:$AH$18,7)),M289-1,4+LEFT(DZ289,1)*0.5)</f>
        <v>#N/A</v>
      </c>
      <c r="DW289" s="245" t="e">
        <f ca="1">INDEX(INDIRECT(VLOOKUP(LEFT(BO289,7),CLU!$Z$3:$AH$18,7)),M289-1,8)</f>
        <v>#N/A</v>
      </c>
      <c r="DX289" s="361" t="str">
        <f t="shared" si="862"/>
        <v xml:space="preserve"> </v>
      </c>
      <c r="DY289" s="361" t="str">
        <f t="shared" si="863"/>
        <v xml:space="preserve"> </v>
      </c>
      <c r="DZ289" s="361" t="str">
        <f t="shared" si="864"/>
        <v xml:space="preserve"> </v>
      </c>
      <c r="EA289" s="362" t="str">
        <f t="shared" si="865"/>
        <v xml:space="preserve"> </v>
      </c>
      <c r="EB289" s="624" t="str">
        <f t="shared" si="970"/>
        <v xml:space="preserve"> </v>
      </c>
      <c r="EC289" s="361" t="e">
        <f ca="1">INDEX(INDIRECT(VLOOKUP(LEFT(BO289,7),CLU!$Z$3:$AH$18,7)),M289-1,4+LEFT(DZ289,1)*0.5)</f>
        <v>#N/A</v>
      </c>
      <c r="ED289" s="362" t="str">
        <f t="shared" si="866"/>
        <v xml:space="preserve"> </v>
      </c>
      <c r="EE289" s="361" t="str">
        <f t="shared" si="867"/>
        <v xml:space="preserve"> </v>
      </c>
      <c r="EF289" s="362" t="str">
        <f>IF(L289&gt;0,IF(BR289&gt;0,IF(EE289="2P",IF(Calculation!DZ289="2P",IF(Calculation!DS289=13.75,IF(Calculation!DR289=13,Worksheet!$BD$43,IF(Calculation!DR289=37,Worksheet!$BD$44,Worksheet!$BD$45)),IF(Calculation!DS289=10,IF(Calculation!DR289=18,Worksheet!$BD$29,IF(Calculation!DR289=30,Worksheet!$BD$30,IF(Calculation!DR289=42,Worksheet!$BD$31,IF(Calculation!DR289=54,Worksheet!$BD$32,IF(Calculation!DR289=66,Worksheet!$BD$33,IF(Calculation!DR289=78,Worksheet!$BD$34,IF(Calculation!DR289=90,Worksheet!$BD$35,IF(Calculation!DR289=102,Worksheet!$BD$36,Worksheet!$BD$37)))))))),IF(Calculation!DS289=12.5,IF(Calculation!DR289=18,Worksheet!$BD$38,IF(Calculation!DR289=Worksheet!$BD$39,IF(Calculation!DR289=42,Worksheet!$BD$40,IF(Calculation!DR289=54,Worksheet!$BD$41,Worksheet!$BD$42)))),IF(Calculation!DR289=18,Worksheet!$BD$11,IF(Calculation!DR289=30,Worksheet!$BD$12,IF(Calculation!DR289=42,Worksheet!$BD$13,IF(Calculation!DR289=54,Worksheet!$BD$14,IF(Calculation!DR289=66,Worksheet!$BD$15,IF(Calculation!DR289=78,Worksheet!$BD$16,IF(Calculation!DR289=90,Worksheet!$BD$17,IF(Calculation!DR289=102,Worksheet!$BD$18,Worksheet!$BD$19))))))))))),IF(Calculation!DS289=13.75,IF(Calculation!DR289=13,Worksheet!$BD$78,IF(Calculation!DR289=37,Worksheet!$BD$79,Worksheet!$BD$80)),IF(Calculation!DS289=10,IF(Calculation!DR289=18,Worksheet!$BD$64,IF(Calculation!DR289=30,Worksheet!$BD$65,IF(Calculation!DR289=42,Worksheet!$BD$66,IF(Calculation!DR289=54,Worksheet!$BD$68,IF(Calculation!DR289=66,Worksheet!$BD$68,IF(Calculation!DR289=78,Worksheet!$BD$69,IF(Calculation!DR289=90,Worksheet!$BD$70,IF(Calculation!DR289=102,Worksheet!$BD$71,Worksheet!$BD$72)))))))),IF(Calculation!DS289=12.5,IF(Calculation!DR289=18,Worksheet!$BD$73,IF(Calculation!DR289=Worksheet!$BD$74,IF(Calculation!DR289=42,Worksheet!$BD$75,IF(Calculation!DR289=54,Worksheet!$BD$76,Worksheet!$BD$77)))),IF(Calculation!DR289=18,Worksheet!$BD$55,IF(Calculation!DR289=30,Worksheet!$BD$56,IF(Calculation!DR289=42,Worksheet!$BD$57,IF(Calculation!DR289=54,Worksheet!$BD$58,IF(Calculation!DR289=66,Worksheet!$BD$59,IF(Calculation!DR289=78,Worksheet!$BD$60,IF(Calculation!DR289=90,Worksheet!$BD$61,IF(Calculation!DR289=102,Worksheet!$BD$62,Worksheet!$BD$63)))))))))))),5),0)," ")</f>
        <v xml:space="preserve"> </v>
      </c>
      <c r="EG289" s="361" t="str">
        <f t="shared" si="868"/>
        <v xml:space="preserve"> </v>
      </c>
      <c r="EH289" s="361" t="e">
        <f ca="1">INDEX(INDIRECT(VLOOKUP(LEFT(BO289,7),CLU!$Z$3:$AH$18,7)),M289-1,3+LEFT(DZ289,1))</f>
        <v>#N/A</v>
      </c>
      <c r="EI289" s="362" t="str">
        <f t="shared" si="869"/>
        <v xml:space="preserve"> </v>
      </c>
      <c r="EJ289" s="363" t="str">
        <f t="shared" si="870"/>
        <v xml:space="preserve"> </v>
      </c>
      <c r="EK289" s="363" t="str">
        <f t="shared" si="871"/>
        <v xml:space="preserve"> </v>
      </c>
      <c r="EL289" s="363" t="str">
        <f t="shared" si="872"/>
        <v xml:space="preserve"> </v>
      </c>
      <c r="EM289" s="362" t="str">
        <f>IF(L289&gt;0,IF(BR289&gt;0,(Calculation!T289/ED289)^2,0)," ")</f>
        <v xml:space="preserve"> </v>
      </c>
      <c r="EN289" s="362" t="str">
        <f>IF(L289&gt;0,IF(O289="2 Pipe (Cooling)","N/A",IF(BR289&gt;0,(Calculation!U289/EI289)^2,0))," ")</f>
        <v xml:space="preserve"> </v>
      </c>
      <c r="EO289" s="361" t="str">
        <f t="shared" si="873"/>
        <v/>
      </c>
      <c r="EP289" s="361" t="str">
        <f t="shared" si="874"/>
        <v/>
      </c>
      <c r="EQ289" s="361" t="str">
        <f t="shared" si="875"/>
        <v/>
      </c>
      <c r="ER289" s="361" t="str">
        <f t="shared" si="876"/>
        <v/>
      </c>
      <c r="ES289" s="361" t="str">
        <f t="shared" si="877"/>
        <v/>
      </c>
      <c r="ET289" s="361" t="str">
        <f t="shared" si="878"/>
        <v/>
      </c>
      <c r="EU289" s="361" t="str">
        <f t="shared" si="879"/>
        <v/>
      </c>
      <c r="EV289" s="361" t="str">
        <f t="shared" si="880"/>
        <v/>
      </c>
      <c r="EW289" s="361" t="str">
        <f t="shared" si="881"/>
        <v/>
      </c>
      <c r="EX289" s="361" t="str">
        <f t="shared" si="971"/>
        <v>1 slot, 1 way</v>
      </c>
      <c r="EY289" s="361" t="str">
        <f t="shared" si="972"/>
        <v xml:space="preserve"> </v>
      </c>
      <c r="EZ289" s="361" t="str">
        <f t="shared" si="973"/>
        <v xml:space="preserve"> </v>
      </c>
      <c r="FA289" s="361" t="str">
        <f t="shared" si="974"/>
        <v xml:space="preserve"> </v>
      </c>
      <c r="FB289" s="361" t="str">
        <f t="shared" si="975"/>
        <v xml:space="preserve"> </v>
      </c>
      <c r="FC289" s="361"/>
      <c r="FD289" s="361" t="str">
        <f>IF(J289&gt;0,IF(Calculation!R289&lt;=70,4,IF(Calculation!R289&lt;=110,5,IF(Calculation!R289&lt;=160,6,IF(Calculation!R289&lt;=300,8,"10 EO")))),"")</f>
        <v/>
      </c>
      <c r="FE289" s="361" t="str">
        <f t="shared" si="976"/>
        <v/>
      </c>
      <c r="FF289" s="361" t="str">
        <f t="shared" si="977"/>
        <v/>
      </c>
      <c r="FG289" s="361" t="e">
        <f t="shared" si="882"/>
        <v>#N/A</v>
      </c>
      <c r="FH289" s="361">
        <f t="shared" si="883"/>
        <v>0</v>
      </c>
      <c r="FI289" s="361" t="e">
        <f t="shared" si="884"/>
        <v>#DIV/0!</v>
      </c>
      <c r="FJ289" s="361"/>
      <c r="FK289" s="356" t="e">
        <f t="shared" si="885"/>
        <v>#VALUE!</v>
      </c>
      <c r="FL289" s="361"/>
      <c r="FM289" s="361"/>
      <c r="FN289" s="362" t="str">
        <f t="shared" si="978"/>
        <v xml:space="preserve"> </v>
      </c>
      <c r="FO289" s="362" t="str">
        <f t="shared" si="979"/>
        <v xml:space="preserve"> </v>
      </c>
      <c r="FP289" s="362">
        <f t="shared" si="980"/>
        <v>0</v>
      </c>
      <c r="FQ289" s="361">
        <f t="shared" si="886"/>
        <v>0</v>
      </c>
      <c r="FR289" s="362" t="str">
        <f>IF(L289&gt;0,IF(J289="CBAL2",Worksheet!$P$67,IF(J289="CBE2-24",Worksheet!$Q$67,IF(J289="CBAM",Worksheet!$R$67,IF(J289="CBLV",Worksheet!$S$67,IF(J289="CBAB",Worksheet!$U$67,IF(J289="CBAW",Worksheet!$X$67,IF(J289="CBE2-12",Worksheet!$Y$67,IF(J289="CBAL2",Worksheet!$Z$67,"N/A"))))))))," ")</f>
        <v xml:space="preserve"> </v>
      </c>
      <c r="FS289" s="362" t="str">
        <f>IF(L289&gt;0,IF(J289="CBAL2",Worksheet!$P$68,IF(J289="CBE2-24",Worksheet!$Q$68,IF(J289="CBAM",Worksheet!$R$68,IF(J289="CBLV",Worksheet!$S$68,IF(J289="CBAB",Worksheet!$U$68,IF(J289="CBAW",Worksheet!$X$68,IF(J289="CBE2-12",Worksheet!$Y$68,IF(J289="CBAL2",Worksheet!$Z$68,"N/A"))))))))," ")</f>
        <v xml:space="preserve"> </v>
      </c>
      <c r="FT289" s="362" t="str">
        <f>IF(L289&gt;0,IF(J289="CBAL2",Worksheet!$P$69,IF(J289="CBE2-24",Worksheet!$Q$69,IF(J289="CBAM",Worksheet!$R$69,IF(J289="CBLV",Worksheet!$S$69,IF(J289="CBAB",Worksheet!$U$69,IF(J289="CBAW",Worksheet!$X$69,IF(J289="CBE2-12",Worksheet!$Y$69,IF(J289="CBAL2",Worksheet!$Z$69,"N/A"))))))))," ")</f>
        <v xml:space="preserve"> </v>
      </c>
      <c r="FU289" s="361" t="str">
        <f t="shared" si="981"/>
        <v xml:space="preserve"> </v>
      </c>
      <c r="FV289" s="362" t="str">
        <f t="shared" si="982"/>
        <v xml:space="preserve"> </v>
      </c>
      <c r="FW289" s="362" t="str">
        <f t="shared" si="983"/>
        <v xml:space="preserve"> </v>
      </c>
      <c r="FX289" s="362" t="str">
        <f t="shared" si="984"/>
        <v xml:space="preserve"> </v>
      </c>
      <c r="FY289" s="355" t="str">
        <f t="shared" si="985"/>
        <v xml:space="preserve"> </v>
      </c>
      <c r="FZ289" s="361" t="str">
        <f t="shared" si="986"/>
        <v xml:space="preserve"> </v>
      </c>
      <c r="GA289" s="347" t="str">
        <f t="shared" si="987"/>
        <v xml:space="preserve"> </v>
      </c>
      <c r="GB289" s="355" t="str">
        <f t="shared" si="988"/>
        <v xml:space="preserve"> </v>
      </c>
      <c r="GC289" s="328" t="str">
        <f t="shared" si="989"/>
        <v xml:space="preserve"> </v>
      </c>
      <c r="GD289" s="361" t="str">
        <f t="shared" si="990"/>
        <v xml:space="preserve"> </v>
      </c>
      <c r="GE289" s="347" t="str">
        <f t="shared" si="991"/>
        <v xml:space="preserve"> </v>
      </c>
      <c r="GF289" s="361" t="str">
        <f t="shared" si="992"/>
        <v xml:space="preserve"> </v>
      </c>
      <c r="GG289" s="347" t="str">
        <f t="shared" si="993"/>
        <v xml:space="preserve"> </v>
      </c>
      <c r="GH289" s="364">
        <f t="shared" si="887"/>
        <v>0</v>
      </c>
      <c r="GI289" s="362">
        <f t="shared" si="994"/>
        <v>2</v>
      </c>
      <c r="GJ289" s="433" t="e">
        <f>IF(6-COUNTBLANK(GT289:GY289)=4,MATCH(MID(BO289,9,3),CLU!$H$16:$K$16),MATCH(MID(BO289,9,3),CLU!$H$13:$M$13))</f>
        <v>#N/A</v>
      </c>
      <c r="GK289" s="433" t="e">
        <f>HLOOKUP(VALUE(BP289),CLU!$H$9:$M$10,2)</f>
        <v>#VALUE!</v>
      </c>
      <c r="GL289" s="433" t="e">
        <f ca="1">MATCH(BU289,CLU!$H$2:$V$2,1)</f>
        <v>#VALUE!</v>
      </c>
      <c r="GM289" s="433" t="e">
        <f t="shared" ca="1" si="995"/>
        <v>#VALUE!</v>
      </c>
      <c r="GN289" s="433" t="e">
        <f t="shared" ca="1" si="996"/>
        <v>#VALUE!</v>
      </c>
      <c r="GO289" s="433" t="e">
        <f t="shared" ca="1" si="997"/>
        <v>#VALUE!</v>
      </c>
      <c r="GP289" s="433" t="e">
        <f t="shared" ca="1" si="998"/>
        <v>#VALUE!</v>
      </c>
      <c r="GQ289" s="433" t="e">
        <f t="shared" ca="1" si="999"/>
        <v>#VALUE!</v>
      </c>
      <c r="GR289" s="433" t="e">
        <f ca="1">MATCH(T289,INDIRECT(VLOOKUP(CONCATENATE(LEFT(BO289,7),"-",MID(BO289,13,1)),CLU!$P$3:$Q$16,2)),1)</f>
        <v>#N/A</v>
      </c>
      <c r="GS289" s="433" t="e">
        <f ca="1">MATCH(U289,INDIRECT(VLOOKUP(CONCATENATE(LEFT(BO289,7),"-",MID(BO289,13,1)),CLU!$P$3:$Q$16,2)),1)</f>
        <v>#N/A</v>
      </c>
      <c r="GT289" s="347" t="s">
        <v>512</v>
      </c>
      <c r="GU289" s="97" t="s">
        <v>513</v>
      </c>
      <c r="GV289" s="97" t="str">
        <f t="shared" si="1000"/>
        <v>M23</v>
      </c>
      <c r="GW289" s="97" t="str">
        <f t="shared" si="1001"/>
        <v>M31</v>
      </c>
      <c r="GX289" s="97" t="str">
        <f t="shared" si="1002"/>
        <v/>
      </c>
      <c r="GY289" s="97" t="str">
        <f t="shared" si="1003"/>
        <v/>
      </c>
      <c r="GZ289" s="481"/>
      <c r="HA289" s="240"/>
      <c r="HB289" s="240"/>
      <c r="HC289" s="240"/>
      <c r="HD289" s="240"/>
      <c r="HE289" s="240"/>
      <c r="HF289" s="240"/>
      <c r="HG289" s="240"/>
      <c r="HH289" s="240"/>
      <c r="HI289" s="240"/>
      <c r="HJ289" s="240"/>
      <c r="HK289" s="240"/>
      <c r="HL289" s="240"/>
      <c r="HM289" s="240"/>
      <c r="HN289" s="240"/>
      <c r="HO289" s="240"/>
      <c r="HP289" s="240"/>
      <c r="HQ289" s="240"/>
      <c r="HR289" s="240"/>
      <c r="HS289" s="240"/>
      <c r="HT289" s="240"/>
      <c r="HU289" s="240"/>
      <c r="HV289" s="245"/>
      <c r="HW289" s="245" t="b">
        <v>1</v>
      </c>
      <c r="HX289" s="245" t="str">
        <f t="shared" si="888"/>
        <v/>
      </c>
      <c r="HY289" s="245" t="e">
        <f t="shared" si="889"/>
        <v>#DIV/0!</v>
      </c>
      <c r="HZ289" s="245" t="e">
        <f t="shared" si="890"/>
        <v>#DIV/0!</v>
      </c>
      <c r="IA289" s="245">
        <f t="shared" si="891"/>
        <v>0</v>
      </c>
      <c r="IB289" s="245"/>
      <c r="IC289" t="b">
        <f t="shared" si="892"/>
        <v>1</v>
      </c>
      <c r="ID289" s="245" t="b">
        <f t="shared" si="893"/>
        <v>1</v>
      </c>
      <c r="IE289" s="245" t="b">
        <f t="shared" si="894"/>
        <v>1</v>
      </c>
      <c r="IF289" s="245" t="b">
        <f t="shared" si="895"/>
        <v>0</v>
      </c>
      <c r="IG289" s="245" t="b">
        <f t="shared" si="896"/>
        <v>1</v>
      </c>
      <c r="IH289" s="245" t="b">
        <f t="shared" si="897"/>
        <v>1</v>
      </c>
      <c r="II289" s="245">
        <f t="shared" si="1004"/>
        <v>0</v>
      </c>
      <c r="IJ289" s="245" t="e">
        <f t="shared" si="898"/>
        <v>#VALUE!</v>
      </c>
      <c r="IK289" s="245" t="e">
        <f t="shared" si="899"/>
        <v>#VALUE!</v>
      </c>
      <c r="IL289" s="245"/>
      <c r="IM289" s="245" t="e">
        <f t="shared" si="1005"/>
        <v>#N/A</v>
      </c>
      <c r="IN289" s="245" t="e">
        <f t="shared" si="1006"/>
        <v>#N/A</v>
      </c>
      <c r="IO289" s="245"/>
      <c r="IP289" s="245"/>
      <c r="IQ289" s="245" t="str">
        <f t="shared" si="900"/>
        <v/>
      </c>
      <c r="IR289" s="245" t="str">
        <f>IF(J289="","",VLOOKUP(J289,Worksheet!$R$4:$T$14,2))</f>
        <v/>
      </c>
      <c r="IS289" s="245"/>
      <c r="IT289" s="245">
        <f t="shared" si="901"/>
        <v>0</v>
      </c>
      <c r="IU289" s="245">
        <f t="shared" si="902"/>
        <v>0</v>
      </c>
      <c r="IV289" s="245">
        <f t="shared" si="903"/>
        <v>0</v>
      </c>
      <c r="IW289" s="245">
        <f t="shared" si="904"/>
        <v>0</v>
      </c>
      <c r="IX289" s="245">
        <f t="shared" si="1007"/>
        <v>0</v>
      </c>
      <c r="IY289" s="245">
        <f t="shared" si="905"/>
        <v>0</v>
      </c>
      <c r="IZ289" s="245">
        <f t="shared" si="906"/>
        <v>0</v>
      </c>
      <c r="JA289">
        <f t="shared" si="907"/>
        <v>0</v>
      </c>
      <c r="JB289">
        <f t="shared" si="1008"/>
        <v>0</v>
      </c>
      <c r="JC289">
        <f t="shared" si="908"/>
        <v>0</v>
      </c>
      <c r="JD289">
        <f t="shared" si="909"/>
        <v>0</v>
      </c>
      <c r="JE289">
        <f t="shared" si="910"/>
        <v>0</v>
      </c>
      <c r="JF289">
        <f t="shared" si="911"/>
        <v>0</v>
      </c>
      <c r="JG289">
        <f t="shared" si="912"/>
        <v>0</v>
      </c>
      <c r="JH289">
        <f t="shared" si="913"/>
        <v>0</v>
      </c>
      <c r="JI289">
        <f t="shared" si="914"/>
        <v>0</v>
      </c>
      <c r="JJ289" s="447">
        <f t="shared" si="915"/>
        <v>0</v>
      </c>
      <c r="JK289" s="447">
        <f t="shared" si="916"/>
        <v>0</v>
      </c>
      <c r="JL289">
        <f t="shared" si="917"/>
        <v>0</v>
      </c>
      <c r="JM289" s="245" t="str">
        <f>IFERROR(VLOOKUP(MATCH(BN289,#REF!,0),#REF!,7),"")</f>
        <v/>
      </c>
      <c r="JN289" t="e">
        <f>HLOOKUP(LEFT(BO289,7),Discharge_Area,MATCH(JO289,LookUps!$B$130:$B$149,1)+2)</f>
        <v>#N/A</v>
      </c>
      <c r="JO289" t="str">
        <f t="shared" si="918"/>
        <v>- S</v>
      </c>
      <c r="JP289" t="e">
        <f>HLOOKUP(LEFT(BO289,7),Discharge_Area,MATCH(JO289,LookUps!$B$130:$B$149,1)+2)</f>
        <v>#N/A</v>
      </c>
      <c r="JQ289" t="e">
        <f t="shared" si="919"/>
        <v>#N/A</v>
      </c>
      <c r="JR289" t="e">
        <f t="shared" si="920"/>
        <v>#N/A</v>
      </c>
      <c r="JS289" t="e">
        <f t="shared" si="921"/>
        <v>#N/A</v>
      </c>
      <c r="JT289" s="532" t="str">
        <f t="shared" si="922"/>
        <v xml:space="preserve"> </v>
      </c>
      <c r="JU289" s="532" t="str">
        <f t="shared" si="923"/>
        <v xml:space="preserve"> </v>
      </c>
      <c r="JV289" s="533" t="str">
        <f t="shared" si="924"/>
        <v xml:space="preserve"> </v>
      </c>
      <c r="JW289" s="534">
        <f t="shared" si="925"/>
        <v>0</v>
      </c>
      <c r="JX289" s="535" t="str">
        <f t="shared" si="1009"/>
        <v xml:space="preserve"> </v>
      </c>
      <c r="JY289" s="535" t="str">
        <f t="shared" si="1010"/>
        <v xml:space="preserve"> </v>
      </c>
      <c r="JZ289" s="535" t="str">
        <f t="shared" si="1011"/>
        <v xml:space="preserve"> </v>
      </c>
      <c r="KA289" s="536" t="str">
        <f t="shared" si="926"/>
        <v xml:space="preserve"> </v>
      </c>
      <c r="KB289" s="535" t="e">
        <f t="shared" si="1012"/>
        <v>#VALUE!</v>
      </c>
      <c r="KC289" s="535" t="str">
        <f t="shared" si="927"/>
        <v/>
      </c>
      <c r="KD289" s="537" t="str">
        <f t="shared" si="1013"/>
        <v xml:space="preserve"> </v>
      </c>
      <c r="KE289" s="537" t="str">
        <f t="shared" si="1014"/>
        <v xml:space="preserve"> </v>
      </c>
      <c r="KF289" s="534">
        <f t="shared" si="928"/>
        <v>0</v>
      </c>
      <c r="KG289" s="535" t="str">
        <f t="shared" si="929"/>
        <v xml:space="preserve"> </v>
      </c>
      <c r="KH289" s="535" t="str">
        <f t="shared" si="930"/>
        <v xml:space="preserve"> </v>
      </c>
      <c r="KI289" s="535" t="str">
        <f t="shared" si="931"/>
        <v xml:space="preserve"> </v>
      </c>
      <c r="KJ289" s="536" t="str">
        <f t="shared" si="932"/>
        <v xml:space="preserve"> </v>
      </c>
      <c r="KK289" s="535" t="str">
        <f t="shared" si="1015"/>
        <v xml:space="preserve"> </v>
      </c>
      <c r="KL289" s="535" t="str">
        <f t="shared" si="1016"/>
        <v xml:space="preserve"> </v>
      </c>
      <c r="KM289" s="537" t="str">
        <f t="shared" si="933"/>
        <v xml:space="preserve"> </v>
      </c>
      <c r="KN289" s="537" t="str">
        <f t="shared" si="1017"/>
        <v xml:space="preserve"> </v>
      </c>
      <c r="KP289">
        <f t="shared" si="934"/>
        <v>0</v>
      </c>
      <c r="LA289" t="e">
        <f t="shared" si="935"/>
        <v>#VALUE!</v>
      </c>
      <c r="LB289" t="e">
        <f t="shared" si="936"/>
        <v>#VALUE!</v>
      </c>
      <c r="LC289" t="e">
        <f t="shared" si="937"/>
        <v>#VALUE!</v>
      </c>
      <c r="LD289" t="e">
        <f t="shared" si="938"/>
        <v>#VALUE!</v>
      </c>
      <c r="LE289" t="e">
        <f t="shared" si="1018"/>
        <v>#VALUE!</v>
      </c>
      <c r="LF289">
        <f t="shared" si="939"/>
        <v>0</v>
      </c>
      <c r="LG289" t="e">
        <f t="shared" si="1019"/>
        <v>#VALUE!</v>
      </c>
      <c r="LH289" t="str">
        <f t="shared" si="940"/>
        <v xml:space="preserve"> </v>
      </c>
      <c r="LI289">
        <f t="shared" si="1020"/>
        <v>1</v>
      </c>
    </row>
    <row r="290" spans="2:321" ht="15" customHeight="1">
      <c r="B290" s="311"/>
      <c r="C290" s="311"/>
      <c r="D290" s="312"/>
      <c r="E290" s="311"/>
      <c r="F290" s="312"/>
      <c r="G290" s="311"/>
      <c r="H290" s="311"/>
      <c r="I290" s="232"/>
      <c r="J290" s="311"/>
      <c r="K290" s="305" t="str">
        <f t="shared" si="941"/>
        <v/>
      </c>
      <c r="L290" s="313"/>
      <c r="M290" s="312"/>
      <c r="N290" s="311"/>
      <c r="O290" s="312"/>
      <c r="P290" s="311"/>
      <c r="Q290" s="305" t="str">
        <f t="shared" si="942"/>
        <v/>
      </c>
      <c r="R290" s="314"/>
      <c r="S290" s="450" t="str">
        <f t="shared" si="825"/>
        <v/>
      </c>
      <c r="T290" s="315"/>
      <c r="U290" s="315"/>
      <c r="W290" s="149" t="str">
        <f t="shared" si="826"/>
        <v xml:space="preserve"> </v>
      </c>
      <c r="X290" s="243" t="str">
        <f t="shared" si="827"/>
        <v xml:space="preserve"> </v>
      </c>
      <c r="Y290" s="150" t="str">
        <f t="shared" si="828"/>
        <v/>
      </c>
      <c r="Z290" s="149" t="str">
        <f t="shared" si="829"/>
        <v xml:space="preserve"> </v>
      </c>
      <c r="AA290" s="98" t="str">
        <f t="shared" si="830"/>
        <v xml:space="preserve"> </v>
      </c>
      <c r="AB290" s="153" t="str">
        <f t="shared" si="831"/>
        <v xml:space="preserve"> </v>
      </c>
      <c r="AC290" s="153" t="str">
        <f t="shared" si="832"/>
        <v xml:space="preserve"> </v>
      </c>
      <c r="AD290" s="148" t="str">
        <f t="shared" si="833"/>
        <v/>
      </c>
      <c r="AE290" s="149" t="str">
        <f t="shared" si="834"/>
        <v/>
      </c>
      <c r="AF290" s="151" t="str">
        <f t="shared" si="835"/>
        <v xml:space="preserve"> </v>
      </c>
      <c r="AG290" s="153" t="str">
        <f t="shared" si="836"/>
        <v xml:space="preserve"> </v>
      </c>
      <c r="AH290" s="98" t="str">
        <f t="shared" si="837"/>
        <v xml:space="preserve"> </v>
      </c>
      <c r="AI290" s="149" t="str">
        <f t="shared" si="838"/>
        <v xml:space="preserve"> </v>
      </c>
      <c r="AK290" s="144" t="str">
        <f t="shared" si="839"/>
        <v xml:space="preserve"> </v>
      </c>
      <c r="AL290" s="144"/>
      <c r="AM290" s="243" t="str">
        <f t="shared" si="840"/>
        <v xml:space="preserve"> </v>
      </c>
      <c r="AN290" s="149" t="str">
        <f t="shared" si="943"/>
        <v xml:space="preserve"> </v>
      </c>
      <c r="AO290" s="144" t="str">
        <f>IF(JB290&gt;0,IF(GI290=10,-R290*1.085*(Calculation!$F$6-Calculation!$F$13)*$S$14," "),"")</f>
        <v/>
      </c>
      <c r="AP290" s="144" t="str">
        <f t="shared" si="841"/>
        <v/>
      </c>
      <c r="AQ290" s="56" t="str">
        <f t="shared" si="842"/>
        <v/>
      </c>
      <c r="AR290" s="144" t="str">
        <f t="shared" si="843"/>
        <v/>
      </c>
      <c r="AS290" s="176" t="str">
        <f t="shared" si="844"/>
        <v/>
      </c>
      <c r="AT290" s="176" t="str">
        <f t="shared" si="944"/>
        <v xml:space="preserve"> </v>
      </c>
      <c r="AU290" s="176" t="str">
        <f t="shared" si="845"/>
        <v/>
      </c>
      <c r="AV290" s="177" t="str">
        <f t="shared" si="846"/>
        <v xml:space="preserve"> </v>
      </c>
      <c r="AW290" s="144" t="str">
        <f t="shared" si="847"/>
        <v xml:space="preserve"> </v>
      </c>
      <c r="AX290" s="144" t="str">
        <f t="shared" si="848"/>
        <v xml:space="preserve"> </v>
      </c>
      <c r="AY290" s="152" t="str">
        <f t="shared" si="849"/>
        <v xml:space="preserve"> </v>
      </c>
      <c r="AZ290" s="246" t="str">
        <f t="shared" si="850"/>
        <v/>
      </c>
      <c r="BA290" s="176" t="str">
        <f t="shared" si="851"/>
        <v xml:space="preserve"> </v>
      </c>
      <c r="BB290" s="176" t="str">
        <f t="shared" si="852"/>
        <v xml:space="preserve"> </v>
      </c>
      <c r="BC290" s="195"/>
      <c r="BD290" s="316"/>
      <c r="BE290" s="317"/>
      <c r="BF290" s="318"/>
      <c r="BG290" s="318"/>
      <c r="BH290" s="144" t="str">
        <f t="shared" si="1021"/>
        <v xml:space="preserve"> </v>
      </c>
      <c r="BI290" s="176" t="str">
        <f t="shared" si="853"/>
        <v/>
      </c>
      <c r="BJ290" s="144" t="str">
        <f t="shared" si="1022"/>
        <v/>
      </c>
      <c r="BK290" s="246" t="str">
        <f t="shared" si="854"/>
        <v/>
      </c>
      <c r="BL290" s="144" t="str">
        <f t="shared" si="1023"/>
        <v/>
      </c>
      <c r="BM290" s="246" t="str">
        <f t="shared" si="855"/>
        <v/>
      </c>
      <c r="BN290" s="337" t="str">
        <f t="shared" si="945"/>
        <v/>
      </c>
      <c r="BO290" s="371" t="str">
        <f t="shared" si="946"/>
        <v/>
      </c>
      <c r="BP290" s="328" t="str">
        <f t="shared" si="1024"/>
        <v xml:space="preserve"> </v>
      </c>
      <c r="BQ290" s="347" t="str">
        <f t="shared" si="947"/>
        <v xml:space="preserve"> </v>
      </c>
      <c r="BR290" s="353" t="str">
        <f t="shared" si="948"/>
        <v xml:space="preserve"> </v>
      </c>
      <c r="BS290" s="626" t="str">
        <f>IF(L290&gt;0,IF(Calculation!P290="M13",BR290*3.1416*(0.134^2)/(4*144),IF(Calculation!P290="M17",BR290*3.1416*(0.165^2)/(4*144),IF(Calculation!P290="M20",BR290*3.1416*(0.198^2)/(4*144),IF(Calculation!P290="M23",BR290*3.1416*(0.228^2)/(4*144),IF(Calculation!P290="M27",BR290*3.1416*(0.269^2)/(4*144),BR290*3.1416*(0.307^2)/(4*144))))))," ")</f>
        <v xml:space="preserve"> </v>
      </c>
      <c r="BT290" s="353" t="str">
        <f>IF(L290&gt;0,IF(BS290&gt;0,R290/Calculation!BS290,0)," ")</f>
        <v xml:space="preserve"> </v>
      </c>
      <c r="BU290" s="438" t="e">
        <f t="shared" ca="1" si="856"/>
        <v>#VALUE!</v>
      </c>
      <c r="BV290" s="449" t="e">
        <f ca="1">INDEX(INDIRECT(VLOOKUP(LEFT(BO290,7),CLU!$Z$3:$AH$18,2)),GN290,GR290)</f>
        <v>#N/A</v>
      </c>
      <c r="BW290" s="433" t="e">
        <f ca="1">INDEX(INDIRECT(VLOOKUP(LEFT(BO290,7),CLU!$Z$3:$AH$18,3)),GN290,GR290)</f>
        <v>#N/A</v>
      </c>
      <c r="BX290" s="433" t="e">
        <f ca="1">INDEX(INDIRECT(VLOOKUP(LEFT(BO290,7),CLU!$Z$3:$AH$18,4)),GN290,GR290)</f>
        <v>#N/A</v>
      </c>
      <c r="BY290" s="433" t="e">
        <f ca="1">INDEX(INDIRECT(VLOOKUP(LEFT(BO290,7),CLU!$Z$3:$AH$18,9)),((M290-2)*(6-COUNTBLANK(GT290:GY290)))+GJ290)</f>
        <v>#N/A</v>
      </c>
      <c r="BZ290" s="426" t="e">
        <f t="shared" ca="1" si="949"/>
        <v>#N/A</v>
      </c>
      <c r="CA290" s="424" t="e">
        <f t="shared" ca="1" si="950"/>
        <v>#N/A</v>
      </c>
      <c r="CB290" s="429" t="e">
        <f ca="1">INDEX(INDIRECT(VLOOKUP(LEFT(BO290,7),CLU!$Z$3:$AH$18,2)),GN290,GS290)</f>
        <v>#N/A</v>
      </c>
      <c r="CC290" s="342" t="e">
        <f ca="1">INDEX(INDIRECT(VLOOKUP(LEFT(BO290,7),CLU!$Z$3:$AH$18,3)),GN290,GS290)</f>
        <v>#N/A</v>
      </c>
      <c r="CD290" s="342" t="e">
        <f ca="1">INDEX(INDIRECT(VLOOKUP(LEFT(BO290,7),CLU!$Z$3:$AH$18,4)),GN290,GS290)</f>
        <v>#N/A</v>
      </c>
      <c r="CE290" s="426" t="e">
        <f t="shared" ca="1" si="951"/>
        <v>#N/A</v>
      </c>
      <c r="CF290" s="440">
        <f t="shared" si="952"/>
        <v>0</v>
      </c>
      <c r="CG290" s="431" t="e">
        <f ca="1">INDEX(INDIRECT(VLOOKUP(LEFT(BO290,7),CLU!$Z$3:$AH$18,2)),GQ290,GR290)</f>
        <v>#N/A</v>
      </c>
      <c r="CH290" s="431" t="e">
        <f ca="1">INDEX(INDIRECT(VLOOKUP(LEFT(BO290,7),CLU!$Z$3:$AH$18,3)),GQ290,GR290)</f>
        <v>#N/A</v>
      </c>
      <c r="CI290" s="431" t="e">
        <f ca="1">INDEX(INDIRECT(VLOOKUP(LEFT(BO290,7),CLU!$Z$3:$AH$18,4)),GQ290,GR290)</f>
        <v>#N/A</v>
      </c>
      <c r="CJ290" s="448" t="e">
        <f t="shared" ca="1" si="953"/>
        <v>#N/A</v>
      </c>
      <c r="CK290" s="431" t="e">
        <f t="shared" ca="1" si="954"/>
        <v>#N/A</v>
      </c>
      <c r="CL290" s="440" t="e">
        <f t="shared" ca="1" si="955"/>
        <v>#N/A</v>
      </c>
      <c r="CM290" s="431" t="e">
        <f ca="1">INDEX(INDIRECT(VLOOKUP(LEFT(BO290,7),CLU!$Z$3:$AH$18,2)),GQ290,GS290)</f>
        <v>#N/A</v>
      </c>
      <c r="CN290" s="431" t="e">
        <f ca="1">INDEX(INDIRECT(VLOOKUP(LEFT(BO290,7),CLU!$Z$3:$AH$18,3)),GQ290,GS290)</f>
        <v>#N/A</v>
      </c>
      <c r="CO290" s="431" t="e">
        <f ca="1">INDEX(INDIRECT(VLOOKUP(LEFT(BO290,7),CLU!$Z$3:$AH$18,4)),GQ290,GS290)</f>
        <v>#N/A</v>
      </c>
      <c r="CP290" s="431" t="e">
        <f t="shared" ca="1" si="956"/>
        <v>#N/A</v>
      </c>
      <c r="CQ290" s="440">
        <f t="shared" si="957"/>
        <v>0</v>
      </c>
      <c r="CR290" s="51" t="e">
        <f t="shared" ca="1" si="958"/>
        <v>#N/A</v>
      </c>
      <c r="CS290" s="439" t="e">
        <f t="shared" ca="1" si="959"/>
        <v>#VALUE!</v>
      </c>
      <c r="CT290" s="51" t="e">
        <f t="shared" ca="1" si="960"/>
        <v>#VALUE!</v>
      </c>
      <c r="CU290" s="10"/>
      <c r="CV290" s="51" t="e">
        <f t="shared" ca="1" si="857"/>
        <v>#VALUE!</v>
      </c>
      <c r="CW290" s="51">
        <f t="shared" si="961"/>
        <v>0</v>
      </c>
      <c r="CX290" s="439" t="e">
        <f t="shared" ca="1" si="962"/>
        <v>#VALUE!</v>
      </c>
      <c r="CY290" s="51" t="e">
        <f t="shared" ca="1" si="963"/>
        <v>#VALUE!</v>
      </c>
      <c r="CZ290" s="10"/>
      <c r="DA290" s="51" t="e">
        <f t="shared" ca="1" si="964"/>
        <v>#VALUE!</v>
      </c>
      <c r="DB290" s="347" t="e">
        <f ca="1">INDEX(INDIRECT(VLOOKUP(LEFT(BO290,7),CLU!$Z$3:$AI$18,10)),((M290-2)*(6-COUNTBLANK(GT290:GY290)))+GJ290)*LI290</f>
        <v>#N/A</v>
      </c>
      <c r="DC290" s="347" t="str">
        <f>IF(L290&gt;0,((R290/Worksheet!$I$15)/DB290)^2," ")</f>
        <v xml:space="preserve"> </v>
      </c>
      <c r="DD290" s="602" t="str">
        <f t="shared" si="965"/>
        <v xml:space="preserve"> </v>
      </c>
      <c r="DE290" s="347" t="str">
        <f t="shared" si="858"/>
        <v xml:space="preserve"> </v>
      </c>
      <c r="DF290" s="356" t="e">
        <f ca="1">INDEX(INDIRECT(VLOOKUP(LEFT(BO290,7),CLU!$Z$3:$AH$18,8)),((M290-2)*(6-COUNTBLANK(GT290:GY290)))+GJ290)</f>
        <v>#N/A</v>
      </c>
      <c r="DG290" s="347" t="str">
        <f t="shared" si="859"/>
        <v xml:space="preserve"> </v>
      </c>
      <c r="DH290" s="357" t="str">
        <f t="shared" si="860"/>
        <v xml:space="preserve"> </v>
      </c>
      <c r="DI290" s="355" t="str">
        <f t="shared" si="861"/>
        <v xml:space="preserve"> </v>
      </c>
      <c r="DJ290" s="245" t="e">
        <f ca="1">INDEX(INDIRECT(VLOOKUP(LEFT(BO290,7),CLU!$Z$3:$AH$18,5)),GL290,GK290)</f>
        <v>#N/A</v>
      </c>
      <c r="DK290" s="245" t="e">
        <f ca="1">INDEX(INDIRECT(VLOOKUP(LEFT(BO290,7),CLU!$Z$3:$AH$18,6)),GL290,GK290)</f>
        <v>#N/A</v>
      </c>
      <c r="DL290" s="355">
        <f>(Calculation!R290*0.69143*(Calculation!$BQ$8-Calculation!$F$8))*$S$14</f>
        <v>0</v>
      </c>
      <c r="DM290" s="359" t="e">
        <f t="shared" si="966"/>
        <v>#VALUE!</v>
      </c>
      <c r="DN290" s="611">
        <f t="shared" si="967"/>
        <v>0</v>
      </c>
      <c r="DO290" s="359">
        <f t="shared" si="968"/>
        <v>100</v>
      </c>
      <c r="DP290" s="359">
        <f t="shared" si="969"/>
        <v>0</v>
      </c>
      <c r="DQ290" s="360"/>
      <c r="DR290" s="245" t="e">
        <f ca="1">INDEX(INDIRECT(VLOOKUP(LEFT(BO290,7),CLU!$Z$3:$AH$18,7)),M290-1,1)</f>
        <v>#N/A</v>
      </c>
      <c r="DS290" s="245" t="e">
        <f ca="1">INDEX(INDIRECT(VLOOKUP(LEFT(BO290,7),CLU!$Z$3:$AH$18,7)),M290-1,2)</f>
        <v>#N/A</v>
      </c>
      <c r="DT290" s="245" t="e">
        <f ca="1">INDEX(INDIRECT(VLOOKUP(LEFT(BO290,7),CLU!$Z$3:$AH$18,7)),M290-1,3)</f>
        <v>#N/A</v>
      </c>
      <c r="DU290" s="245" t="e">
        <f ca="1">INDEX(INDIRECT(VLOOKUP(LEFT(BO290,7),CLU!$Z$3:$AH$18,7)),M290-1,4)</f>
        <v>#N/A</v>
      </c>
      <c r="DV290" s="361" t="e">
        <f ca="1">INDEX(INDIRECT(VLOOKUP(LEFT(BO290,7),CLU!$Z$3:$AH$18,7)),M290-1,4+LEFT(DZ290,1)*0.5)</f>
        <v>#N/A</v>
      </c>
      <c r="DW290" s="245" t="e">
        <f ca="1">INDEX(INDIRECT(VLOOKUP(LEFT(BO290,7),CLU!$Z$3:$AH$18,7)),M290-1,8)</f>
        <v>#N/A</v>
      </c>
      <c r="DX290" s="361" t="str">
        <f t="shared" si="862"/>
        <v xml:space="preserve"> </v>
      </c>
      <c r="DY290" s="361" t="str">
        <f t="shared" si="863"/>
        <v xml:space="preserve"> </v>
      </c>
      <c r="DZ290" s="361" t="str">
        <f t="shared" si="864"/>
        <v xml:space="preserve"> </v>
      </c>
      <c r="EA290" s="362" t="str">
        <f t="shared" si="865"/>
        <v xml:space="preserve"> </v>
      </c>
      <c r="EB290" s="624" t="str">
        <f t="shared" si="970"/>
        <v xml:space="preserve"> </v>
      </c>
      <c r="EC290" s="361" t="e">
        <f ca="1">INDEX(INDIRECT(VLOOKUP(LEFT(BO290,7),CLU!$Z$3:$AH$18,7)),M290-1,4+LEFT(DZ290,1)*0.5)</f>
        <v>#N/A</v>
      </c>
      <c r="ED290" s="362" t="str">
        <f t="shared" si="866"/>
        <v xml:space="preserve"> </v>
      </c>
      <c r="EE290" s="361" t="str">
        <f t="shared" si="867"/>
        <v xml:space="preserve"> </v>
      </c>
      <c r="EF290" s="362" t="str">
        <f>IF(L290&gt;0,IF(BR290&gt;0,IF(EE290="2P",IF(Calculation!DZ290="2P",IF(Calculation!DS290=13.75,IF(Calculation!DR290=13,Worksheet!$BD$43,IF(Calculation!DR290=37,Worksheet!$BD$44,Worksheet!$BD$45)),IF(Calculation!DS290=10,IF(Calculation!DR290=18,Worksheet!$BD$29,IF(Calculation!DR290=30,Worksheet!$BD$30,IF(Calculation!DR290=42,Worksheet!$BD$31,IF(Calculation!DR290=54,Worksheet!$BD$32,IF(Calculation!DR290=66,Worksheet!$BD$33,IF(Calculation!DR290=78,Worksheet!$BD$34,IF(Calculation!DR290=90,Worksheet!$BD$35,IF(Calculation!DR290=102,Worksheet!$BD$36,Worksheet!$BD$37)))))))),IF(Calculation!DS290=12.5,IF(Calculation!DR290=18,Worksheet!$BD$38,IF(Calculation!DR290=Worksheet!$BD$39,IF(Calculation!DR290=42,Worksheet!$BD$40,IF(Calculation!DR290=54,Worksheet!$BD$41,Worksheet!$BD$42)))),IF(Calculation!DR290=18,Worksheet!$BD$11,IF(Calculation!DR290=30,Worksheet!$BD$12,IF(Calculation!DR290=42,Worksheet!$BD$13,IF(Calculation!DR290=54,Worksheet!$BD$14,IF(Calculation!DR290=66,Worksheet!$BD$15,IF(Calculation!DR290=78,Worksheet!$BD$16,IF(Calculation!DR290=90,Worksheet!$BD$17,IF(Calculation!DR290=102,Worksheet!$BD$18,Worksheet!$BD$19))))))))))),IF(Calculation!DS290=13.75,IF(Calculation!DR290=13,Worksheet!$BD$78,IF(Calculation!DR290=37,Worksheet!$BD$79,Worksheet!$BD$80)),IF(Calculation!DS290=10,IF(Calculation!DR290=18,Worksheet!$BD$64,IF(Calculation!DR290=30,Worksheet!$BD$65,IF(Calculation!DR290=42,Worksheet!$BD$66,IF(Calculation!DR290=54,Worksheet!$BD$68,IF(Calculation!DR290=66,Worksheet!$BD$68,IF(Calculation!DR290=78,Worksheet!$BD$69,IF(Calculation!DR290=90,Worksheet!$BD$70,IF(Calculation!DR290=102,Worksheet!$BD$71,Worksheet!$BD$72)))))))),IF(Calculation!DS290=12.5,IF(Calculation!DR290=18,Worksheet!$BD$73,IF(Calculation!DR290=Worksheet!$BD$74,IF(Calculation!DR290=42,Worksheet!$BD$75,IF(Calculation!DR290=54,Worksheet!$BD$76,Worksheet!$BD$77)))),IF(Calculation!DR290=18,Worksheet!$BD$55,IF(Calculation!DR290=30,Worksheet!$BD$56,IF(Calculation!DR290=42,Worksheet!$BD$57,IF(Calculation!DR290=54,Worksheet!$BD$58,IF(Calculation!DR290=66,Worksheet!$BD$59,IF(Calculation!DR290=78,Worksheet!$BD$60,IF(Calculation!DR290=90,Worksheet!$BD$61,IF(Calculation!DR290=102,Worksheet!$BD$62,Worksheet!$BD$63)))))))))))),5),0)," ")</f>
        <v xml:space="preserve"> </v>
      </c>
      <c r="EG290" s="361" t="str">
        <f t="shared" si="868"/>
        <v xml:space="preserve"> </v>
      </c>
      <c r="EH290" s="361" t="e">
        <f ca="1">INDEX(INDIRECT(VLOOKUP(LEFT(BO290,7),CLU!$Z$3:$AH$18,7)),M290-1,3+LEFT(DZ290,1))</f>
        <v>#N/A</v>
      </c>
      <c r="EI290" s="362" t="str">
        <f t="shared" si="869"/>
        <v xml:space="preserve"> </v>
      </c>
      <c r="EJ290" s="363" t="str">
        <f t="shared" si="870"/>
        <v xml:space="preserve"> </v>
      </c>
      <c r="EK290" s="363" t="str">
        <f t="shared" si="871"/>
        <v xml:space="preserve"> </v>
      </c>
      <c r="EL290" s="363" t="str">
        <f t="shared" si="872"/>
        <v xml:space="preserve"> </v>
      </c>
      <c r="EM290" s="362" t="str">
        <f>IF(L290&gt;0,IF(BR290&gt;0,(Calculation!T290/ED290)^2,0)," ")</f>
        <v xml:space="preserve"> </v>
      </c>
      <c r="EN290" s="362" t="str">
        <f>IF(L290&gt;0,IF(O290="2 Pipe (Cooling)","N/A",IF(BR290&gt;0,(Calculation!U290/EI290)^2,0))," ")</f>
        <v xml:space="preserve"> </v>
      </c>
      <c r="EO290" s="361" t="str">
        <f t="shared" si="873"/>
        <v/>
      </c>
      <c r="EP290" s="361" t="str">
        <f t="shared" si="874"/>
        <v/>
      </c>
      <c r="EQ290" s="361" t="str">
        <f t="shared" si="875"/>
        <v/>
      </c>
      <c r="ER290" s="361" t="str">
        <f t="shared" si="876"/>
        <v/>
      </c>
      <c r="ES290" s="361" t="str">
        <f t="shared" si="877"/>
        <v/>
      </c>
      <c r="ET290" s="361" t="str">
        <f t="shared" si="878"/>
        <v/>
      </c>
      <c r="EU290" s="361" t="str">
        <f t="shared" si="879"/>
        <v/>
      </c>
      <c r="EV290" s="361" t="str">
        <f t="shared" si="880"/>
        <v/>
      </c>
      <c r="EW290" s="361" t="str">
        <f t="shared" si="881"/>
        <v/>
      </c>
      <c r="EX290" s="361" t="str">
        <f t="shared" si="971"/>
        <v>1 slot, 1 way</v>
      </c>
      <c r="EY290" s="361" t="str">
        <f t="shared" si="972"/>
        <v xml:space="preserve"> </v>
      </c>
      <c r="EZ290" s="361" t="str">
        <f t="shared" si="973"/>
        <v xml:space="preserve"> </v>
      </c>
      <c r="FA290" s="361" t="str">
        <f t="shared" si="974"/>
        <v xml:space="preserve"> </v>
      </c>
      <c r="FB290" s="361" t="str">
        <f t="shared" si="975"/>
        <v xml:space="preserve"> </v>
      </c>
      <c r="FC290" s="361"/>
      <c r="FD290" s="361" t="str">
        <f>IF(J290&gt;0,IF(Calculation!R290&lt;=70,4,IF(Calculation!R290&lt;=110,5,IF(Calculation!R290&lt;=160,6,IF(Calculation!R290&lt;=300,8,"10 EO")))),"")</f>
        <v/>
      </c>
      <c r="FE290" s="361" t="str">
        <f t="shared" si="976"/>
        <v/>
      </c>
      <c r="FF290" s="361" t="str">
        <f t="shared" si="977"/>
        <v/>
      </c>
      <c r="FG290" s="361" t="e">
        <f t="shared" si="882"/>
        <v>#N/A</v>
      </c>
      <c r="FH290" s="361">
        <f t="shared" si="883"/>
        <v>0</v>
      </c>
      <c r="FI290" s="361" t="e">
        <f t="shared" si="884"/>
        <v>#DIV/0!</v>
      </c>
      <c r="FJ290" s="361"/>
      <c r="FK290" s="356" t="e">
        <f t="shared" si="885"/>
        <v>#VALUE!</v>
      </c>
      <c r="FL290" s="361"/>
      <c r="FM290" s="361"/>
      <c r="FN290" s="362" t="str">
        <f t="shared" si="978"/>
        <v xml:space="preserve"> </v>
      </c>
      <c r="FO290" s="362" t="str">
        <f t="shared" si="979"/>
        <v xml:space="preserve"> </v>
      </c>
      <c r="FP290" s="362">
        <f t="shared" si="980"/>
        <v>0</v>
      </c>
      <c r="FQ290" s="361">
        <f t="shared" si="886"/>
        <v>0</v>
      </c>
      <c r="FR290" s="362" t="str">
        <f>IF(L290&gt;0,IF(J290="CBAL2",Worksheet!$P$67,IF(J290="CBE2-24",Worksheet!$Q$67,IF(J290="CBAM",Worksheet!$R$67,IF(J290="CBLV",Worksheet!$S$67,IF(J290="CBAB",Worksheet!$U$67,IF(J290="CBAW",Worksheet!$X$67,IF(J290="CBE2-12",Worksheet!$Y$67,IF(J290="CBAL2",Worksheet!$Z$67,"N/A"))))))))," ")</f>
        <v xml:space="preserve"> </v>
      </c>
      <c r="FS290" s="362" t="str">
        <f>IF(L290&gt;0,IF(J290="CBAL2",Worksheet!$P$68,IF(J290="CBE2-24",Worksheet!$Q$68,IF(J290="CBAM",Worksheet!$R$68,IF(J290="CBLV",Worksheet!$S$68,IF(J290="CBAB",Worksheet!$U$68,IF(J290="CBAW",Worksheet!$X$68,IF(J290="CBE2-12",Worksheet!$Y$68,IF(J290="CBAL2",Worksheet!$Z$68,"N/A"))))))))," ")</f>
        <v xml:space="preserve"> </v>
      </c>
      <c r="FT290" s="362" t="str">
        <f>IF(L290&gt;0,IF(J290="CBAL2",Worksheet!$P$69,IF(J290="CBE2-24",Worksheet!$Q$69,IF(J290="CBAM",Worksheet!$R$69,IF(J290="CBLV",Worksheet!$S$69,IF(J290="CBAB",Worksheet!$U$69,IF(J290="CBAW",Worksheet!$X$69,IF(J290="CBE2-12",Worksheet!$Y$69,IF(J290="CBAL2",Worksheet!$Z$69,"N/A"))))))))," ")</f>
        <v xml:space="preserve"> </v>
      </c>
      <c r="FU290" s="361" t="str">
        <f t="shared" si="981"/>
        <v xml:space="preserve"> </v>
      </c>
      <c r="FV290" s="362" t="str">
        <f t="shared" si="982"/>
        <v xml:space="preserve"> </v>
      </c>
      <c r="FW290" s="362" t="str">
        <f t="shared" si="983"/>
        <v xml:space="preserve"> </v>
      </c>
      <c r="FX290" s="362" t="str">
        <f t="shared" si="984"/>
        <v xml:space="preserve"> </v>
      </c>
      <c r="FY290" s="355" t="str">
        <f t="shared" si="985"/>
        <v xml:space="preserve"> </v>
      </c>
      <c r="FZ290" s="361" t="str">
        <f t="shared" si="986"/>
        <v xml:space="preserve"> </v>
      </c>
      <c r="GA290" s="347" t="str">
        <f t="shared" si="987"/>
        <v xml:space="preserve"> </v>
      </c>
      <c r="GB290" s="355" t="str">
        <f t="shared" si="988"/>
        <v xml:space="preserve"> </v>
      </c>
      <c r="GC290" s="328" t="str">
        <f t="shared" si="989"/>
        <v xml:space="preserve"> </v>
      </c>
      <c r="GD290" s="361" t="str">
        <f t="shared" si="990"/>
        <v xml:space="preserve"> </v>
      </c>
      <c r="GE290" s="347" t="str">
        <f t="shared" si="991"/>
        <v xml:space="preserve"> </v>
      </c>
      <c r="GF290" s="361" t="str">
        <f t="shared" si="992"/>
        <v xml:space="preserve"> </v>
      </c>
      <c r="GG290" s="347" t="str">
        <f t="shared" si="993"/>
        <v xml:space="preserve"> </v>
      </c>
      <c r="GH290" s="364">
        <f t="shared" si="887"/>
        <v>0</v>
      </c>
      <c r="GI290" s="362">
        <f t="shared" si="994"/>
        <v>2</v>
      </c>
      <c r="GJ290" s="433" t="e">
        <f>IF(6-COUNTBLANK(GT290:GY290)=4,MATCH(MID(BO290,9,3),CLU!$H$16:$K$16),MATCH(MID(BO290,9,3),CLU!$H$13:$M$13))</f>
        <v>#N/A</v>
      </c>
      <c r="GK290" s="433" t="e">
        <f>HLOOKUP(VALUE(BP290),CLU!$H$9:$M$10,2)</f>
        <v>#VALUE!</v>
      </c>
      <c r="GL290" s="433" t="e">
        <f ca="1">MATCH(BU290,CLU!$H$2:$V$2,1)</f>
        <v>#VALUE!</v>
      </c>
      <c r="GM290" s="433" t="e">
        <f t="shared" ca="1" si="995"/>
        <v>#VALUE!</v>
      </c>
      <c r="GN290" s="433" t="e">
        <f t="shared" ca="1" si="996"/>
        <v>#VALUE!</v>
      </c>
      <c r="GO290" s="433" t="e">
        <f t="shared" ca="1" si="997"/>
        <v>#VALUE!</v>
      </c>
      <c r="GP290" s="433" t="e">
        <f t="shared" ca="1" si="998"/>
        <v>#VALUE!</v>
      </c>
      <c r="GQ290" s="433" t="e">
        <f t="shared" ca="1" si="999"/>
        <v>#VALUE!</v>
      </c>
      <c r="GR290" s="433" t="e">
        <f ca="1">MATCH(T290,INDIRECT(VLOOKUP(CONCATENATE(LEFT(BO290,7),"-",MID(BO290,13,1)),CLU!$P$3:$Q$16,2)),1)</f>
        <v>#N/A</v>
      </c>
      <c r="GS290" s="433" t="e">
        <f ca="1">MATCH(U290,INDIRECT(VLOOKUP(CONCATENATE(LEFT(BO290,7),"-",MID(BO290,13,1)),CLU!$P$3:$Q$16,2)),1)</f>
        <v>#N/A</v>
      </c>
      <c r="GT290" s="347" t="s">
        <v>512</v>
      </c>
      <c r="GU290" s="97" t="s">
        <v>513</v>
      </c>
      <c r="GV290" s="97" t="str">
        <f t="shared" si="1000"/>
        <v>M23</v>
      </c>
      <c r="GW290" s="97" t="str">
        <f t="shared" si="1001"/>
        <v>M31</v>
      </c>
      <c r="GX290" s="97" t="str">
        <f t="shared" si="1002"/>
        <v/>
      </c>
      <c r="GY290" s="97" t="str">
        <f t="shared" si="1003"/>
        <v/>
      </c>
      <c r="GZ290" s="481"/>
      <c r="HA290" s="240"/>
      <c r="HB290" s="240"/>
      <c r="HC290" s="240"/>
      <c r="HD290" s="240"/>
      <c r="HE290" s="240"/>
      <c r="HF290" s="240"/>
      <c r="HG290" s="240"/>
      <c r="HH290" s="240"/>
      <c r="HI290" s="240"/>
      <c r="HJ290" s="240"/>
      <c r="HK290" s="240"/>
      <c r="HL290" s="240"/>
      <c r="HM290" s="240"/>
      <c r="HN290" s="240"/>
      <c r="HO290" s="240"/>
      <c r="HP290" s="240"/>
      <c r="HQ290" s="240"/>
      <c r="HR290" s="240"/>
      <c r="HS290" s="240"/>
      <c r="HT290" s="240"/>
      <c r="HU290" s="240"/>
      <c r="HV290" s="245"/>
      <c r="HW290" s="245" t="b">
        <v>1</v>
      </c>
      <c r="HX290" s="245" t="str">
        <f t="shared" si="888"/>
        <v/>
      </c>
      <c r="HY290" s="245" t="e">
        <f t="shared" si="889"/>
        <v>#DIV/0!</v>
      </c>
      <c r="HZ290" s="245" t="e">
        <f t="shared" si="890"/>
        <v>#DIV/0!</v>
      </c>
      <c r="IA290" s="245">
        <f t="shared" si="891"/>
        <v>0</v>
      </c>
      <c r="IB290" s="245"/>
      <c r="IC290" t="b">
        <f t="shared" si="892"/>
        <v>1</v>
      </c>
      <c r="ID290" s="245" t="b">
        <f t="shared" si="893"/>
        <v>1</v>
      </c>
      <c r="IE290" s="245" t="b">
        <f t="shared" si="894"/>
        <v>1</v>
      </c>
      <c r="IF290" s="245" t="b">
        <f t="shared" si="895"/>
        <v>0</v>
      </c>
      <c r="IG290" s="245" t="b">
        <f t="shared" si="896"/>
        <v>1</v>
      </c>
      <c r="IH290" s="245" t="b">
        <f t="shared" si="897"/>
        <v>1</v>
      </c>
      <c r="II290" s="245">
        <f t="shared" si="1004"/>
        <v>0</v>
      </c>
      <c r="IJ290" s="245" t="e">
        <f t="shared" si="898"/>
        <v>#VALUE!</v>
      </c>
      <c r="IK290" s="245" t="e">
        <f t="shared" si="899"/>
        <v>#VALUE!</v>
      </c>
      <c r="IL290" s="245"/>
      <c r="IM290" s="245" t="e">
        <f t="shared" si="1005"/>
        <v>#N/A</v>
      </c>
      <c r="IN290" s="245" t="e">
        <f t="shared" si="1006"/>
        <v>#N/A</v>
      </c>
      <c r="IO290" s="245"/>
      <c r="IP290" s="245"/>
      <c r="IQ290" s="245" t="str">
        <f t="shared" si="900"/>
        <v/>
      </c>
      <c r="IR290" s="245" t="str">
        <f>IF(J290="","",VLOOKUP(J290,Worksheet!$R$4:$T$14,2))</f>
        <v/>
      </c>
      <c r="IS290" s="245"/>
      <c r="IT290" s="245">
        <f t="shared" si="901"/>
        <v>0</v>
      </c>
      <c r="IU290" s="245">
        <f t="shared" si="902"/>
        <v>0</v>
      </c>
      <c r="IV290" s="245">
        <f t="shared" si="903"/>
        <v>0</v>
      </c>
      <c r="IW290" s="245">
        <f t="shared" si="904"/>
        <v>0</v>
      </c>
      <c r="IX290" s="245">
        <f t="shared" si="1007"/>
        <v>0</v>
      </c>
      <c r="IY290" s="245">
        <f t="shared" si="905"/>
        <v>0</v>
      </c>
      <c r="IZ290" s="245">
        <f t="shared" si="906"/>
        <v>0</v>
      </c>
      <c r="JA290">
        <f t="shared" si="907"/>
        <v>0</v>
      </c>
      <c r="JB290">
        <f t="shared" si="1008"/>
        <v>0</v>
      </c>
      <c r="JC290">
        <f t="shared" si="908"/>
        <v>0</v>
      </c>
      <c r="JD290">
        <f t="shared" si="909"/>
        <v>0</v>
      </c>
      <c r="JE290">
        <f t="shared" si="910"/>
        <v>0</v>
      </c>
      <c r="JF290">
        <f t="shared" si="911"/>
        <v>0</v>
      </c>
      <c r="JG290">
        <f t="shared" si="912"/>
        <v>0</v>
      </c>
      <c r="JH290">
        <f t="shared" si="913"/>
        <v>0</v>
      </c>
      <c r="JI290">
        <f t="shared" si="914"/>
        <v>0</v>
      </c>
      <c r="JJ290" s="447">
        <f t="shared" si="915"/>
        <v>0</v>
      </c>
      <c r="JK290" s="447">
        <f t="shared" si="916"/>
        <v>0</v>
      </c>
      <c r="JL290">
        <f t="shared" si="917"/>
        <v>0</v>
      </c>
      <c r="JM290" s="245" t="str">
        <f>IFERROR(VLOOKUP(MATCH(BN290,#REF!,0),#REF!,7),"")</f>
        <v/>
      </c>
      <c r="JN290" t="e">
        <f>HLOOKUP(LEFT(BO290,7),Discharge_Area,MATCH(JO290,LookUps!$B$130:$B$149,1)+2)</f>
        <v>#N/A</v>
      </c>
      <c r="JO290" t="str">
        <f t="shared" si="918"/>
        <v>- S</v>
      </c>
      <c r="JP290" t="e">
        <f>HLOOKUP(LEFT(BO290,7),Discharge_Area,MATCH(JO290,LookUps!$B$130:$B$149,1)+2)</f>
        <v>#N/A</v>
      </c>
      <c r="JQ290" t="e">
        <f t="shared" si="919"/>
        <v>#N/A</v>
      </c>
      <c r="JR290" t="e">
        <f t="shared" si="920"/>
        <v>#N/A</v>
      </c>
      <c r="JS290" t="e">
        <f t="shared" si="921"/>
        <v>#N/A</v>
      </c>
      <c r="JT290" s="532" t="str">
        <f t="shared" si="922"/>
        <v xml:space="preserve"> </v>
      </c>
      <c r="JU290" s="532" t="str">
        <f t="shared" si="923"/>
        <v xml:space="preserve"> </v>
      </c>
      <c r="JV290" s="533" t="str">
        <f t="shared" si="924"/>
        <v xml:space="preserve"> </v>
      </c>
      <c r="JW290" s="534">
        <f t="shared" si="925"/>
        <v>0</v>
      </c>
      <c r="JX290" s="535" t="str">
        <f t="shared" si="1009"/>
        <v xml:space="preserve"> </v>
      </c>
      <c r="JY290" s="535" t="str">
        <f t="shared" si="1010"/>
        <v xml:space="preserve"> </v>
      </c>
      <c r="JZ290" s="535" t="str">
        <f t="shared" si="1011"/>
        <v xml:space="preserve"> </v>
      </c>
      <c r="KA290" s="536" t="str">
        <f t="shared" si="926"/>
        <v xml:space="preserve"> </v>
      </c>
      <c r="KB290" s="535" t="e">
        <f t="shared" si="1012"/>
        <v>#VALUE!</v>
      </c>
      <c r="KC290" s="535" t="str">
        <f t="shared" si="927"/>
        <v/>
      </c>
      <c r="KD290" s="537" t="str">
        <f t="shared" si="1013"/>
        <v xml:space="preserve"> </v>
      </c>
      <c r="KE290" s="537" t="str">
        <f t="shared" si="1014"/>
        <v xml:space="preserve"> </v>
      </c>
      <c r="KF290" s="534">
        <f t="shared" si="928"/>
        <v>0</v>
      </c>
      <c r="KG290" s="535" t="str">
        <f t="shared" si="929"/>
        <v xml:space="preserve"> </v>
      </c>
      <c r="KH290" s="535" t="str">
        <f t="shared" si="930"/>
        <v xml:space="preserve"> </v>
      </c>
      <c r="KI290" s="535" t="str">
        <f t="shared" si="931"/>
        <v xml:space="preserve"> </v>
      </c>
      <c r="KJ290" s="536" t="str">
        <f t="shared" si="932"/>
        <v xml:space="preserve"> </v>
      </c>
      <c r="KK290" s="535" t="str">
        <f t="shared" si="1015"/>
        <v xml:space="preserve"> </v>
      </c>
      <c r="KL290" s="535" t="str">
        <f t="shared" si="1016"/>
        <v xml:space="preserve"> </v>
      </c>
      <c r="KM290" s="537" t="str">
        <f t="shared" si="933"/>
        <v xml:space="preserve"> </v>
      </c>
      <c r="KN290" s="537" t="str">
        <f t="shared" si="1017"/>
        <v xml:space="preserve"> </v>
      </c>
      <c r="KP290">
        <f t="shared" si="934"/>
        <v>0</v>
      </c>
      <c r="LA290" t="e">
        <f t="shared" si="935"/>
        <v>#VALUE!</v>
      </c>
      <c r="LB290" t="e">
        <f t="shared" si="936"/>
        <v>#VALUE!</v>
      </c>
      <c r="LC290" t="e">
        <f t="shared" si="937"/>
        <v>#VALUE!</v>
      </c>
      <c r="LD290" t="e">
        <f t="shared" si="938"/>
        <v>#VALUE!</v>
      </c>
      <c r="LE290" t="e">
        <f t="shared" si="1018"/>
        <v>#VALUE!</v>
      </c>
      <c r="LF290">
        <f t="shared" si="939"/>
        <v>0</v>
      </c>
      <c r="LG290" t="e">
        <f t="shared" si="1019"/>
        <v>#VALUE!</v>
      </c>
      <c r="LH290" t="str">
        <f t="shared" si="940"/>
        <v xml:space="preserve"> </v>
      </c>
      <c r="LI290">
        <f t="shared" si="1020"/>
        <v>1</v>
      </c>
    </row>
    <row r="291" spans="2:321" ht="15" customHeight="1">
      <c r="B291" s="311"/>
      <c r="C291" s="311"/>
      <c r="D291" s="312"/>
      <c r="E291" s="311"/>
      <c r="F291" s="312"/>
      <c r="G291" s="311"/>
      <c r="H291" s="311"/>
      <c r="I291" s="232"/>
      <c r="J291" s="311"/>
      <c r="K291" s="305" t="str">
        <f t="shared" si="941"/>
        <v/>
      </c>
      <c r="L291" s="313"/>
      <c r="M291" s="312"/>
      <c r="N291" s="311"/>
      <c r="O291" s="312"/>
      <c r="P291" s="311"/>
      <c r="Q291" s="305" t="str">
        <f t="shared" si="942"/>
        <v/>
      </c>
      <c r="R291" s="314"/>
      <c r="S291" s="450" t="str">
        <f t="shared" si="825"/>
        <v/>
      </c>
      <c r="T291" s="315"/>
      <c r="U291" s="315"/>
      <c r="W291" s="149" t="str">
        <f t="shared" si="826"/>
        <v xml:space="preserve"> </v>
      </c>
      <c r="X291" s="243" t="str">
        <f t="shared" si="827"/>
        <v xml:space="preserve"> </v>
      </c>
      <c r="Y291" s="150" t="str">
        <f t="shared" si="828"/>
        <v/>
      </c>
      <c r="Z291" s="149" t="str">
        <f t="shared" si="829"/>
        <v xml:space="preserve"> </v>
      </c>
      <c r="AA291" s="98" t="str">
        <f t="shared" si="830"/>
        <v xml:space="preserve"> </v>
      </c>
      <c r="AB291" s="153" t="str">
        <f t="shared" si="831"/>
        <v xml:space="preserve"> </v>
      </c>
      <c r="AC291" s="153" t="str">
        <f t="shared" si="832"/>
        <v xml:space="preserve"> </v>
      </c>
      <c r="AD291" s="148" t="str">
        <f t="shared" si="833"/>
        <v/>
      </c>
      <c r="AE291" s="149" t="str">
        <f t="shared" si="834"/>
        <v/>
      </c>
      <c r="AF291" s="151" t="str">
        <f t="shared" si="835"/>
        <v xml:space="preserve"> </v>
      </c>
      <c r="AG291" s="153" t="str">
        <f t="shared" si="836"/>
        <v xml:space="preserve"> </v>
      </c>
      <c r="AH291" s="98" t="str">
        <f t="shared" si="837"/>
        <v xml:space="preserve"> </v>
      </c>
      <c r="AI291" s="149" t="str">
        <f t="shared" si="838"/>
        <v xml:space="preserve"> </v>
      </c>
      <c r="AK291" s="144" t="str">
        <f t="shared" si="839"/>
        <v xml:space="preserve"> </v>
      </c>
      <c r="AL291" s="144"/>
      <c r="AM291" s="243" t="str">
        <f t="shared" si="840"/>
        <v xml:space="preserve"> </v>
      </c>
      <c r="AN291" s="149" t="str">
        <f t="shared" si="943"/>
        <v xml:space="preserve"> </v>
      </c>
      <c r="AO291" s="144" t="str">
        <f>IF(JB291&gt;0,IF(GI291=10,-R291*1.085*(Calculation!$F$6-Calculation!$F$13)*$S$14," "),"")</f>
        <v/>
      </c>
      <c r="AP291" s="144" t="str">
        <f t="shared" si="841"/>
        <v/>
      </c>
      <c r="AQ291" s="56" t="str">
        <f t="shared" si="842"/>
        <v/>
      </c>
      <c r="AR291" s="144" t="str">
        <f t="shared" si="843"/>
        <v/>
      </c>
      <c r="AS291" s="176" t="str">
        <f t="shared" si="844"/>
        <v/>
      </c>
      <c r="AT291" s="176" t="str">
        <f t="shared" si="944"/>
        <v xml:space="preserve"> </v>
      </c>
      <c r="AU291" s="176" t="str">
        <f t="shared" si="845"/>
        <v/>
      </c>
      <c r="AV291" s="177" t="str">
        <f t="shared" si="846"/>
        <v xml:space="preserve"> </v>
      </c>
      <c r="AW291" s="144" t="str">
        <f t="shared" si="847"/>
        <v xml:space="preserve"> </v>
      </c>
      <c r="AX291" s="144" t="str">
        <f t="shared" si="848"/>
        <v xml:space="preserve"> </v>
      </c>
      <c r="AY291" s="152" t="str">
        <f t="shared" si="849"/>
        <v xml:space="preserve"> </v>
      </c>
      <c r="AZ291" s="246" t="str">
        <f t="shared" si="850"/>
        <v/>
      </c>
      <c r="BA291" s="176" t="str">
        <f t="shared" si="851"/>
        <v xml:space="preserve"> </v>
      </c>
      <c r="BB291" s="176" t="str">
        <f t="shared" si="852"/>
        <v xml:space="preserve"> </v>
      </c>
      <c r="BC291" s="195"/>
      <c r="BD291" s="316"/>
      <c r="BE291" s="317"/>
      <c r="BF291" s="318"/>
      <c r="BG291" s="318"/>
      <c r="BH291" s="144" t="str">
        <f t="shared" si="1021"/>
        <v xml:space="preserve"> </v>
      </c>
      <c r="BI291" s="176" t="str">
        <f t="shared" si="853"/>
        <v/>
      </c>
      <c r="BJ291" s="144" t="str">
        <f t="shared" si="1022"/>
        <v/>
      </c>
      <c r="BK291" s="246" t="str">
        <f t="shared" si="854"/>
        <v/>
      </c>
      <c r="BL291" s="144" t="str">
        <f t="shared" si="1023"/>
        <v/>
      </c>
      <c r="BM291" s="246" t="str">
        <f t="shared" si="855"/>
        <v/>
      </c>
      <c r="BN291" s="337" t="str">
        <f t="shared" si="945"/>
        <v/>
      </c>
      <c r="BO291" s="371" t="str">
        <f t="shared" si="946"/>
        <v/>
      </c>
      <c r="BP291" s="328" t="str">
        <f t="shared" si="1024"/>
        <v xml:space="preserve"> </v>
      </c>
      <c r="BQ291" s="347" t="str">
        <f t="shared" si="947"/>
        <v xml:space="preserve"> </v>
      </c>
      <c r="BR291" s="353" t="str">
        <f t="shared" si="948"/>
        <v xml:space="preserve"> </v>
      </c>
      <c r="BS291" s="626" t="str">
        <f>IF(L291&gt;0,IF(Calculation!P291="M13",BR291*3.1416*(0.134^2)/(4*144),IF(Calculation!P291="M17",BR291*3.1416*(0.165^2)/(4*144),IF(Calculation!P291="M20",BR291*3.1416*(0.198^2)/(4*144),IF(Calculation!P291="M23",BR291*3.1416*(0.228^2)/(4*144),IF(Calculation!P291="M27",BR291*3.1416*(0.269^2)/(4*144),BR291*3.1416*(0.307^2)/(4*144))))))," ")</f>
        <v xml:space="preserve"> </v>
      </c>
      <c r="BT291" s="353" t="str">
        <f>IF(L291&gt;0,IF(BS291&gt;0,R291/Calculation!BS291,0)," ")</f>
        <v xml:space="preserve"> </v>
      </c>
      <c r="BU291" s="438" t="e">
        <f t="shared" ca="1" si="856"/>
        <v>#VALUE!</v>
      </c>
      <c r="BV291" s="449" t="e">
        <f ca="1">INDEX(INDIRECT(VLOOKUP(LEFT(BO291,7),CLU!$Z$3:$AH$18,2)),GN291,GR291)</f>
        <v>#N/A</v>
      </c>
      <c r="BW291" s="433" t="e">
        <f ca="1">INDEX(INDIRECT(VLOOKUP(LEFT(BO291,7),CLU!$Z$3:$AH$18,3)),GN291,GR291)</f>
        <v>#N/A</v>
      </c>
      <c r="BX291" s="433" t="e">
        <f ca="1">INDEX(INDIRECT(VLOOKUP(LEFT(BO291,7),CLU!$Z$3:$AH$18,4)),GN291,GR291)</f>
        <v>#N/A</v>
      </c>
      <c r="BY291" s="433" t="e">
        <f ca="1">INDEX(INDIRECT(VLOOKUP(LEFT(BO291,7),CLU!$Z$3:$AH$18,9)),((M291-2)*(6-COUNTBLANK(GT291:GY291)))+GJ291)</f>
        <v>#N/A</v>
      </c>
      <c r="BZ291" s="426" t="e">
        <f t="shared" ca="1" si="949"/>
        <v>#N/A</v>
      </c>
      <c r="CA291" s="424" t="e">
        <f t="shared" ca="1" si="950"/>
        <v>#N/A</v>
      </c>
      <c r="CB291" s="429" t="e">
        <f ca="1">INDEX(INDIRECT(VLOOKUP(LEFT(BO291,7),CLU!$Z$3:$AH$18,2)),GN291,GS291)</f>
        <v>#N/A</v>
      </c>
      <c r="CC291" s="342" t="e">
        <f ca="1">INDEX(INDIRECT(VLOOKUP(LEFT(BO291,7),CLU!$Z$3:$AH$18,3)),GN291,GS291)</f>
        <v>#N/A</v>
      </c>
      <c r="CD291" s="342" t="e">
        <f ca="1">INDEX(INDIRECT(VLOOKUP(LEFT(BO291,7),CLU!$Z$3:$AH$18,4)),GN291,GS291)</f>
        <v>#N/A</v>
      </c>
      <c r="CE291" s="426" t="e">
        <f t="shared" ca="1" si="951"/>
        <v>#N/A</v>
      </c>
      <c r="CF291" s="440">
        <f t="shared" si="952"/>
        <v>0</v>
      </c>
      <c r="CG291" s="431" t="e">
        <f ca="1">INDEX(INDIRECT(VLOOKUP(LEFT(BO291,7),CLU!$Z$3:$AH$18,2)),GQ291,GR291)</f>
        <v>#N/A</v>
      </c>
      <c r="CH291" s="431" t="e">
        <f ca="1">INDEX(INDIRECT(VLOOKUP(LEFT(BO291,7),CLU!$Z$3:$AH$18,3)),GQ291,GR291)</f>
        <v>#N/A</v>
      </c>
      <c r="CI291" s="431" t="e">
        <f ca="1">INDEX(INDIRECT(VLOOKUP(LEFT(BO291,7),CLU!$Z$3:$AH$18,4)),GQ291,GR291)</f>
        <v>#N/A</v>
      </c>
      <c r="CJ291" s="448" t="e">
        <f t="shared" ca="1" si="953"/>
        <v>#N/A</v>
      </c>
      <c r="CK291" s="431" t="e">
        <f t="shared" ca="1" si="954"/>
        <v>#N/A</v>
      </c>
      <c r="CL291" s="440" t="e">
        <f t="shared" ca="1" si="955"/>
        <v>#N/A</v>
      </c>
      <c r="CM291" s="431" t="e">
        <f ca="1">INDEX(INDIRECT(VLOOKUP(LEFT(BO291,7),CLU!$Z$3:$AH$18,2)),GQ291,GS291)</f>
        <v>#N/A</v>
      </c>
      <c r="CN291" s="431" t="e">
        <f ca="1">INDEX(INDIRECT(VLOOKUP(LEFT(BO291,7),CLU!$Z$3:$AH$18,3)),GQ291,GS291)</f>
        <v>#N/A</v>
      </c>
      <c r="CO291" s="431" t="e">
        <f ca="1">INDEX(INDIRECT(VLOOKUP(LEFT(BO291,7),CLU!$Z$3:$AH$18,4)),GQ291,GS291)</f>
        <v>#N/A</v>
      </c>
      <c r="CP291" s="431" t="e">
        <f t="shared" ca="1" si="956"/>
        <v>#N/A</v>
      </c>
      <c r="CQ291" s="440">
        <f t="shared" si="957"/>
        <v>0</v>
      </c>
      <c r="CR291" s="51" t="e">
        <f t="shared" ca="1" si="958"/>
        <v>#N/A</v>
      </c>
      <c r="CS291" s="439" t="e">
        <f t="shared" ca="1" si="959"/>
        <v>#VALUE!</v>
      </c>
      <c r="CT291" s="51" t="e">
        <f t="shared" ca="1" si="960"/>
        <v>#VALUE!</v>
      </c>
      <c r="CU291" s="10"/>
      <c r="CV291" s="51" t="e">
        <f t="shared" ca="1" si="857"/>
        <v>#VALUE!</v>
      </c>
      <c r="CW291" s="51">
        <f t="shared" si="961"/>
        <v>0</v>
      </c>
      <c r="CX291" s="439" t="e">
        <f t="shared" ca="1" si="962"/>
        <v>#VALUE!</v>
      </c>
      <c r="CY291" s="51" t="e">
        <f t="shared" ca="1" si="963"/>
        <v>#VALUE!</v>
      </c>
      <c r="CZ291" s="10"/>
      <c r="DA291" s="51" t="e">
        <f t="shared" ca="1" si="964"/>
        <v>#VALUE!</v>
      </c>
      <c r="DB291" s="347" t="e">
        <f ca="1">INDEX(INDIRECT(VLOOKUP(LEFT(BO291,7),CLU!$Z$3:$AI$18,10)),((M291-2)*(6-COUNTBLANK(GT291:GY291)))+GJ291)*LI291</f>
        <v>#N/A</v>
      </c>
      <c r="DC291" s="347" t="str">
        <f>IF(L291&gt;0,((R291/Worksheet!$I$15)/DB291)^2," ")</f>
        <v xml:space="preserve"> </v>
      </c>
      <c r="DD291" s="602" t="str">
        <f t="shared" si="965"/>
        <v xml:space="preserve"> </v>
      </c>
      <c r="DE291" s="347" t="str">
        <f t="shared" si="858"/>
        <v xml:space="preserve"> </v>
      </c>
      <c r="DF291" s="356" t="e">
        <f ca="1">INDEX(INDIRECT(VLOOKUP(LEFT(BO291,7),CLU!$Z$3:$AH$18,8)),((M291-2)*(6-COUNTBLANK(GT291:GY291)))+GJ291)</f>
        <v>#N/A</v>
      </c>
      <c r="DG291" s="347" t="str">
        <f t="shared" si="859"/>
        <v xml:space="preserve"> </v>
      </c>
      <c r="DH291" s="357" t="str">
        <f t="shared" si="860"/>
        <v xml:space="preserve"> </v>
      </c>
      <c r="DI291" s="355" t="str">
        <f t="shared" si="861"/>
        <v xml:space="preserve"> </v>
      </c>
      <c r="DJ291" s="245" t="e">
        <f ca="1">INDEX(INDIRECT(VLOOKUP(LEFT(BO291,7),CLU!$Z$3:$AH$18,5)),GL291,GK291)</f>
        <v>#N/A</v>
      </c>
      <c r="DK291" s="245" t="e">
        <f ca="1">INDEX(INDIRECT(VLOOKUP(LEFT(BO291,7),CLU!$Z$3:$AH$18,6)),GL291,GK291)</f>
        <v>#N/A</v>
      </c>
      <c r="DL291" s="355">
        <f>(Calculation!R291*0.69143*(Calculation!$BQ$8-Calculation!$F$8))*$S$14</f>
        <v>0</v>
      </c>
      <c r="DM291" s="359" t="e">
        <f t="shared" si="966"/>
        <v>#VALUE!</v>
      </c>
      <c r="DN291" s="611">
        <f t="shared" si="967"/>
        <v>0</v>
      </c>
      <c r="DO291" s="359">
        <f t="shared" si="968"/>
        <v>100</v>
      </c>
      <c r="DP291" s="359">
        <f t="shared" si="969"/>
        <v>0</v>
      </c>
      <c r="DQ291" s="360"/>
      <c r="DR291" s="245" t="e">
        <f ca="1">INDEX(INDIRECT(VLOOKUP(LEFT(BO291,7),CLU!$Z$3:$AH$18,7)),M291-1,1)</f>
        <v>#N/A</v>
      </c>
      <c r="DS291" s="245" t="e">
        <f ca="1">INDEX(INDIRECT(VLOOKUP(LEFT(BO291,7),CLU!$Z$3:$AH$18,7)),M291-1,2)</f>
        <v>#N/A</v>
      </c>
      <c r="DT291" s="245" t="e">
        <f ca="1">INDEX(INDIRECT(VLOOKUP(LEFT(BO291,7),CLU!$Z$3:$AH$18,7)),M291-1,3)</f>
        <v>#N/A</v>
      </c>
      <c r="DU291" s="245" t="e">
        <f ca="1">INDEX(INDIRECT(VLOOKUP(LEFT(BO291,7),CLU!$Z$3:$AH$18,7)),M291-1,4)</f>
        <v>#N/A</v>
      </c>
      <c r="DV291" s="361" t="e">
        <f ca="1">INDEX(INDIRECT(VLOOKUP(LEFT(BO291,7),CLU!$Z$3:$AH$18,7)),M291-1,4+LEFT(DZ291,1)*0.5)</f>
        <v>#N/A</v>
      </c>
      <c r="DW291" s="245" t="e">
        <f ca="1">INDEX(INDIRECT(VLOOKUP(LEFT(BO291,7),CLU!$Z$3:$AH$18,7)),M291-1,8)</f>
        <v>#N/A</v>
      </c>
      <c r="DX291" s="361" t="str">
        <f t="shared" si="862"/>
        <v xml:space="preserve"> </v>
      </c>
      <c r="DY291" s="361" t="str">
        <f t="shared" si="863"/>
        <v xml:space="preserve"> </v>
      </c>
      <c r="DZ291" s="361" t="str">
        <f t="shared" si="864"/>
        <v xml:space="preserve"> </v>
      </c>
      <c r="EA291" s="362" t="str">
        <f t="shared" si="865"/>
        <v xml:space="preserve"> </v>
      </c>
      <c r="EB291" s="624" t="str">
        <f t="shared" si="970"/>
        <v xml:space="preserve"> </v>
      </c>
      <c r="EC291" s="361" t="e">
        <f ca="1">INDEX(INDIRECT(VLOOKUP(LEFT(BO291,7),CLU!$Z$3:$AH$18,7)),M291-1,4+LEFT(DZ291,1)*0.5)</f>
        <v>#N/A</v>
      </c>
      <c r="ED291" s="362" t="str">
        <f t="shared" si="866"/>
        <v xml:space="preserve"> </v>
      </c>
      <c r="EE291" s="361" t="str">
        <f t="shared" si="867"/>
        <v xml:space="preserve"> </v>
      </c>
      <c r="EF291" s="362" t="str">
        <f>IF(L291&gt;0,IF(BR291&gt;0,IF(EE291="2P",IF(Calculation!DZ291="2P",IF(Calculation!DS291=13.75,IF(Calculation!DR291=13,Worksheet!$BD$43,IF(Calculation!DR291=37,Worksheet!$BD$44,Worksheet!$BD$45)),IF(Calculation!DS291=10,IF(Calculation!DR291=18,Worksheet!$BD$29,IF(Calculation!DR291=30,Worksheet!$BD$30,IF(Calculation!DR291=42,Worksheet!$BD$31,IF(Calculation!DR291=54,Worksheet!$BD$32,IF(Calculation!DR291=66,Worksheet!$BD$33,IF(Calculation!DR291=78,Worksheet!$BD$34,IF(Calculation!DR291=90,Worksheet!$BD$35,IF(Calculation!DR291=102,Worksheet!$BD$36,Worksheet!$BD$37)))))))),IF(Calculation!DS291=12.5,IF(Calculation!DR291=18,Worksheet!$BD$38,IF(Calculation!DR291=Worksheet!$BD$39,IF(Calculation!DR291=42,Worksheet!$BD$40,IF(Calculation!DR291=54,Worksheet!$BD$41,Worksheet!$BD$42)))),IF(Calculation!DR291=18,Worksheet!$BD$11,IF(Calculation!DR291=30,Worksheet!$BD$12,IF(Calculation!DR291=42,Worksheet!$BD$13,IF(Calculation!DR291=54,Worksheet!$BD$14,IF(Calculation!DR291=66,Worksheet!$BD$15,IF(Calculation!DR291=78,Worksheet!$BD$16,IF(Calculation!DR291=90,Worksheet!$BD$17,IF(Calculation!DR291=102,Worksheet!$BD$18,Worksheet!$BD$19))))))))))),IF(Calculation!DS291=13.75,IF(Calculation!DR291=13,Worksheet!$BD$78,IF(Calculation!DR291=37,Worksheet!$BD$79,Worksheet!$BD$80)),IF(Calculation!DS291=10,IF(Calculation!DR291=18,Worksheet!$BD$64,IF(Calculation!DR291=30,Worksheet!$BD$65,IF(Calculation!DR291=42,Worksheet!$BD$66,IF(Calculation!DR291=54,Worksheet!$BD$68,IF(Calculation!DR291=66,Worksheet!$BD$68,IF(Calculation!DR291=78,Worksheet!$BD$69,IF(Calculation!DR291=90,Worksheet!$BD$70,IF(Calculation!DR291=102,Worksheet!$BD$71,Worksheet!$BD$72)))))))),IF(Calculation!DS291=12.5,IF(Calculation!DR291=18,Worksheet!$BD$73,IF(Calculation!DR291=Worksheet!$BD$74,IF(Calculation!DR291=42,Worksheet!$BD$75,IF(Calculation!DR291=54,Worksheet!$BD$76,Worksheet!$BD$77)))),IF(Calculation!DR291=18,Worksheet!$BD$55,IF(Calculation!DR291=30,Worksheet!$BD$56,IF(Calculation!DR291=42,Worksheet!$BD$57,IF(Calculation!DR291=54,Worksheet!$BD$58,IF(Calculation!DR291=66,Worksheet!$BD$59,IF(Calculation!DR291=78,Worksheet!$BD$60,IF(Calculation!DR291=90,Worksheet!$BD$61,IF(Calculation!DR291=102,Worksheet!$BD$62,Worksheet!$BD$63)))))))))))),5),0)," ")</f>
        <v xml:space="preserve"> </v>
      </c>
      <c r="EG291" s="361" t="str">
        <f t="shared" si="868"/>
        <v xml:space="preserve"> </v>
      </c>
      <c r="EH291" s="361" t="e">
        <f ca="1">INDEX(INDIRECT(VLOOKUP(LEFT(BO291,7),CLU!$Z$3:$AH$18,7)),M291-1,3+LEFT(DZ291,1))</f>
        <v>#N/A</v>
      </c>
      <c r="EI291" s="362" t="str">
        <f t="shared" si="869"/>
        <v xml:space="preserve"> </v>
      </c>
      <c r="EJ291" s="363" t="str">
        <f t="shared" si="870"/>
        <v xml:space="preserve"> </v>
      </c>
      <c r="EK291" s="363" t="str">
        <f t="shared" si="871"/>
        <v xml:space="preserve"> </v>
      </c>
      <c r="EL291" s="363" t="str">
        <f t="shared" si="872"/>
        <v xml:space="preserve"> </v>
      </c>
      <c r="EM291" s="362" t="str">
        <f>IF(L291&gt;0,IF(BR291&gt;0,(Calculation!T291/ED291)^2,0)," ")</f>
        <v xml:space="preserve"> </v>
      </c>
      <c r="EN291" s="362" t="str">
        <f>IF(L291&gt;0,IF(O291="2 Pipe (Cooling)","N/A",IF(BR291&gt;0,(Calculation!U291/EI291)^2,0))," ")</f>
        <v xml:space="preserve"> </v>
      </c>
      <c r="EO291" s="361" t="str">
        <f t="shared" si="873"/>
        <v/>
      </c>
      <c r="EP291" s="361" t="str">
        <f t="shared" si="874"/>
        <v/>
      </c>
      <c r="EQ291" s="361" t="str">
        <f t="shared" si="875"/>
        <v/>
      </c>
      <c r="ER291" s="361" t="str">
        <f t="shared" si="876"/>
        <v/>
      </c>
      <c r="ES291" s="361" t="str">
        <f t="shared" si="877"/>
        <v/>
      </c>
      <c r="ET291" s="361" t="str">
        <f t="shared" si="878"/>
        <v/>
      </c>
      <c r="EU291" s="361" t="str">
        <f t="shared" si="879"/>
        <v/>
      </c>
      <c r="EV291" s="361" t="str">
        <f t="shared" si="880"/>
        <v/>
      </c>
      <c r="EW291" s="361" t="str">
        <f t="shared" si="881"/>
        <v/>
      </c>
      <c r="EX291" s="361" t="str">
        <f t="shared" si="971"/>
        <v>1 slot, 1 way</v>
      </c>
      <c r="EY291" s="361" t="str">
        <f t="shared" si="972"/>
        <v xml:space="preserve"> </v>
      </c>
      <c r="EZ291" s="361" t="str">
        <f t="shared" si="973"/>
        <v xml:space="preserve"> </v>
      </c>
      <c r="FA291" s="361" t="str">
        <f t="shared" si="974"/>
        <v xml:space="preserve"> </v>
      </c>
      <c r="FB291" s="361" t="str">
        <f t="shared" si="975"/>
        <v xml:space="preserve"> </v>
      </c>
      <c r="FC291" s="361"/>
      <c r="FD291" s="361" t="str">
        <f>IF(J291&gt;0,IF(Calculation!R291&lt;=70,4,IF(Calculation!R291&lt;=110,5,IF(Calculation!R291&lt;=160,6,IF(Calculation!R291&lt;=300,8,"10 EO")))),"")</f>
        <v/>
      </c>
      <c r="FE291" s="361" t="str">
        <f t="shared" si="976"/>
        <v/>
      </c>
      <c r="FF291" s="361" t="str">
        <f t="shared" si="977"/>
        <v/>
      </c>
      <c r="FG291" s="361" t="e">
        <f t="shared" si="882"/>
        <v>#N/A</v>
      </c>
      <c r="FH291" s="361">
        <f t="shared" si="883"/>
        <v>0</v>
      </c>
      <c r="FI291" s="361" t="e">
        <f t="shared" si="884"/>
        <v>#DIV/0!</v>
      </c>
      <c r="FJ291" s="361"/>
      <c r="FK291" s="356" t="e">
        <f t="shared" si="885"/>
        <v>#VALUE!</v>
      </c>
      <c r="FL291" s="361"/>
      <c r="FM291" s="361"/>
      <c r="FN291" s="362" t="str">
        <f t="shared" si="978"/>
        <v xml:space="preserve"> </v>
      </c>
      <c r="FO291" s="362" t="str">
        <f t="shared" si="979"/>
        <v xml:space="preserve"> </v>
      </c>
      <c r="FP291" s="362">
        <f t="shared" si="980"/>
        <v>0</v>
      </c>
      <c r="FQ291" s="361">
        <f t="shared" si="886"/>
        <v>0</v>
      </c>
      <c r="FR291" s="362" t="str">
        <f>IF(L291&gt;0,IF(J291="CBAL2",Worksheet!$P$67,IF(J291="CBE2-24",Worksheet!$Q$67,IF(J291="CBAM",Worksheet!$R$67,IF(J291="CBLV",Worksheet!$S$67,IF(J291="CBAB",Worksheet!$U$67,IF(J291="CBAW",Worksheet!$X$67,IF(J291="CBE2-12",Worksheet!$Y$67,IF(J291="CBAL2",Worksheet!$Z$67,"N/A"))))))))," ")</f>
        <v xml:space="preserve"> </v>
      </c>
      <c r="FS291" s="362" t="str">
        <f>IF(L291&gt;0,IF(J291="CBAL2",Worksheet!$P$68,IF(J291="CBE2-24",Worksheet!$Q$68,IF(J291="CBAM",Worksheet!$R$68,IF(J291="CBLV",Worksheet!$S$68,IF(J291="CBAB",Worksheet!$U$68,IF(J291="CBAW",Worksheet!$X$68,IF(J291="CBE2-12",Worksheet!$Y$68,IF(J291="CBAL2",Worksheet!$Z$68,"N/A"))))))))," ")</f>
        <v xml:space="preserve"> </v>
      </c>
      <c r="FT291" s="362" t="str">
        <f>IF(L291&gt;0,IF(J291="CBAL2",Worksheet!$P$69,IF(J291="CBE2-24",Worksheet!$Q$69,IF(J291="CBAM",Worksheet!$R$69,IF(J291="CBLV",Worksheet!$S$69,IF(J291="CBAB",Worksheet!$U$69,IF(J291="CBAW",Worksheet!$X$69,IF(J291="CBE2-12",Worksheet!$Y$69,IF(J291="CBAL2",Worksheet!$Z$69,"N/A"))))))))," ")</f>
        <v xml:space="preserve"> </v>
      </c>
      <c r="FU291" s="361" t="str">
        <f t="shared" si="981"/>
        <v xml:space="preserve"> </v>
      </c>
      <c r="FV291" s="362" t="str">
        <f t="shared" si="982"/>
        <v xml:space="preserve"> </v>
      </c>
      <c r="FW291" s="362" t="str">
        <f t="shared" si="983"/>
        <v xml:space="preserve"> </v>
      </c>
      <c r="FX291" s="362" t="str">
        <f t="shared" si="984"/>
        <v xml:space="preserve"> </v>
      </c>
      <c r="FY291" s="355" t="str">
        <f t="shared" si="985"/>
        <v xml:space="preserve"> </v>
      </c>
      <c r="FZ291" s="361" t="str">
        <f t="shared" si="986"/>
        <v xml:space="preserve"> </v>
      </c>
      <c r="GA291" s="347" t="str">
        <f t="shared" si="987"/>
        <v xml:space="preserve"> </v>
      </c>
      <c r="GB291" s="355" t="str">
        <f t="shared" si="988"/>
        <v xml:space="preserve"> </v>
      </c>
      <c r="GC291" s="328" t="str">
        <f t="shared" si="989"/>
        <v xml:space="preserve"> </v>
      </c>
      <c r="GD291" s="361" t="str">
        <f t="shared" si="990"/>
        <v xml:space="preserve"> </v>
      </c>
      <c r="GE291" s="347" t="str">
        <f t="shared" si="991"/>
        <v xml:space="preserve"> </v>
      </c>
      <c r="GF291" s="361" t="str">
        <f t="shared" si="992"/>
        <v xml:space="preserve"> </v>
      </c>
      <c r="GG291" s="347" t="str">
        <f t="shared" si="993"/>
        <v xml:space="preserve"> </v>
      </c>
      <c r="GH291" s="364">
        <f t="shared" si="887"/>
        <v>0</v>
      </c>
      <c r="GI291" s="362">
        <f t="shared" si="994"/>
        <v>2</v>
      </c>
      <c r="GJ291" s="433" t="e">
        <f>IF(6-COUNTBLANK(GT291:GY291)=4,MATCH(MID(BO291,9,3),CLU!$H$16:$K$16),MATCH(MID(BO291,9,3),CLU!$H$13:$M$13))</f>
        <v>#N/A</v>
      </c>
      <c r="GK291" s="433" t="e">
        <f>HLOOKUP(VALUE(BP291),CLU!$H$9:$M$10,2)</f>
        <v>#VALUE!</v>
      </c>
      <c r="GL291" s="433" t="e">
        <f ca="1">MATCH(BU291,CLU!$H$2:$V$2,1)</f>
        <v>#VALUE!</v>
      </c>
      <c r="GM291" s="433" t="e">
        <f t="shared" ca="1" si="995"/>
        <v>#VALUE!</v>
      </c>
      <c r="GN291" s="433" t="e">
        <f t="shared" ca="1" si="996"/>
        <v>#VALUE!</v>
      </c>
      <c r="GO291" s="433" t="e">
        <f t="shared" ca="1" si="997"/>
        <v>#VALUE!</v>
      </c>
      <c r="GP291" s="433" t="e">
        <f t="shared" ca="1" si="998"/>
        <v>#VALUE!</v>
      </c>
      <c r="GQ291" s="433" t="e">
        <f t="shared" ca="1" si="999"/>
        <v>#VALUE!</v>
      </c>
      <c r="GR291" s="433" t="e">
        <f ca="1">MATCH(T291,INDIRECT(VLOOKUP(CONCATENATE(LEFT(BO291,7),"-",MID(BO291,13,1)),CLU!$P$3:$Q$16,2)),1)</f>
        <v>#N/A</v>
      </c>
      <c r="GS291" s="433" t="e">
        <f ca="1">MATCH(U291,INDIRECT(VLOOKUP(CONCATENATE(LEFT(BO291,7),"-",MID(BO291,13,1)),CLU!$P$3:$Q$16,2)),1)</f>
        <v>#N/A</v>
      </c>
      <c r="GT291" s="347" t="s">
        <v>512</v>
      </c>
      <c r="GU291" s="97" t="s">
        <v>513</v>
      </c>
      <c r="GV291" s="97" t="str">
        <f t="shared" si="1000"/>
        <v>M23</v>
      </c>
      <c r="GW291" s="97" t="str">
        <f t="shared" si="1001"/>
        <v>M31</v>
      </c>
      <c r="GX291" s="97" t="str">
        <f t="shared" si="1002"/>
        <v/>
      </c>
      <c r="GY291" s="97" t="str">
        <f t="shared" si="1003"/>
        <v/>
      </c>
      <c r="GZ291" s="481"/>
      <c r="HA291" s="240"/>
      <c r="HB291" s="240"/>
      <c r="HC291" s="240"/>
      <c r="HD291" s="240"/>
      <c r="HE291" s="240"/>
      <c r="HF291" s="240"/>
      <c r="HG291" s="240"/>
      <c r="HH291" s="240"/>
      <c r="HI291" s="240"/>
      <c r="HJ291" s="240"/>
      <c r="HK291" s="240"/>
      <c r="HL291" s="240"/>
      <c r="HM291" s="240"/>
      <c r="HN291" s="240"/>
      <c r="HO291" s="240"/>
      <c r="HP291" s="240"/>
      <c r="HQ291" s="240"/>
      <c r="HR291" s="240"/>
      <c r="HS291" s="240"/>
      <c r="HT291" s="240"/>
      <c r="HU291" s="240"/>
      <c r="HV291" s="245"/>
      <c r="HW291" s="245" t="b">
        <v>1</v>
      </c>
      <c r="HX291" s="245" t="str">
        <f t="shared" si="888"/>
        <v/>
      </c>
      <c r="HY291" s="245" t="e">
        <f t="shared" si="889"/>
        <v>#DIV/0!</v>
      </c>
      <c r="HZ291" s="245" t="e">
        <f t="shared" si="890"/>
        <v>#DIV/0!</v>
      </c>
      <c r="IA291" s="245">
        <f t="shared" si="891"/>
        <v>0</v>
      </c>
      <c r="IB291" s="245"/>
      <c r="IC291" t="b">
        <f t="shared" si="892"/>
        <v>1</v>
      </c>
      <c r="ID291" s="245" t="b">
        <f t="shared" si="893"/>
        <v>1</v>
      </c>
      <c r="IE291" s="245" t="b">
        <f t="shared" si="894"/>
        <v>1</v>
      </c>
      <c r="IF291" s="245" t="b">
        <f t="shared" si="895"/>
        <v>0</v>
      </c>
      <c r="IG291" s="245" t="b">
        <f t="shared" si="896"/>
        <v>1</v>
      </c>
      <c r="IH291" s="245" t="b">
        <f t="shared" si="897"/>
        <v>1</v>
      </c>
      <c r="II291" s="245">
        <f t="shared" si="1004"/>
        <v>0</v>
      </c>
      <c r="IJ291" s="245" t="e">
        <f t="shared" si="898"/>
        <v>#VALUE!</v>
      </c>
      <c r="IK291" s="245" t="e">
        <f t="shared" si="899"/>
        <v>#VALUE!</v>
      </c>
      <c r="IL291" s="245"/>
      <c r="IM291" s="245" t="e">
        <f t="shared" si="1005"/>
        <v>#N/A</v>
      </c>
      <c r="IN291" s="245" t="e">
        <f t="shared" si="1006"/>
        <v>#N/A</v>
      </c>
      <c r="IO291" s="245"/>
      <c r="IP291" s="245"/>
      <c r="IQ291" s="245" t="str">
        <f t="shared" si="900"/>
        <v/>
      </c>
      <c r="IR291" s="245" t="str">
        <f>IF(J291="","",VLOOKUP(J291,Worksheet!$R$4:$T$14,2))</f>
        <v/>
      </c>
      <c r="IS291" s="245"/>
      <c r="IT291" s="245">
        <f t="shared" si="901"/>
        <v>0</v>
      </c>
      <c r="IU291" s="245">
        <f t="shared" si="902"/>
        <v>0</v>
      </c>
      <c r="IV291" s="245">
        <f t="shared" si="903"/>
        <v>0</v>
      </c>
      <c r="IW291" s="245">
        <f t="shared" si="904"/>
        <v>0</v>
      </c>
      <c r="IX291" s="245">
        <f t="shared" si="1007"/>
        <v>0</v>
      </c>
      <c r="IY291" s="245">
        <f t="shared" si="905"/>
        <v>0</v>
      </c>
      <c r="IZ291" s="245">
        <f t="shared" si="906"/>
        <v>0</v>
      </c>
      <c r="JA291">
        <f t="shared" si="907"/>
        <v>0</v>
      </c>
      <c r="JB291">
        <f t="shared" si="1008"/>
        <v>0</v>
      </c>
      <c r="JC291">
        <f t="shared" si="908"/>
        <v>0</v>
      </c>
      <c r="JD291">
        <f t="shared" si="909"/>
        <v>0</v>
      </c>
      <c r="JE291">
        <f t="shared" si="910"/>
        <v>0</v>
      </c>
      <c r="JF291">
        <f t="shared" si="911"/>
        <v>0</v>
      </c>
      <c r="JG291">
        <f t="shared" si="912"/>
        <v>0</v>
      </c>
      <c r="JH291">
        <f t="shared" si="913"/>
        <v>0</v>
      </c>
      <c r="JI291">
        <f t="shared" si="914"/>
        <v>0</v>
      </c>
      <c r="JJ291" s="447">
        <f t="shared" si="915"/>
        <v>0</v>
      </c>
      <c r="JK291" s="447">
        <f t="shared" si="916"/>
        <v>0</v>
      </c>
      <c r="JL291">
        <f t="shared" si="917"/>
        <v>0</v>
      </c>
      <c r="JM291" s="245" t="str">
        <f>IFERROR(VLOOKUP(MATCH(BN291,#REF!,0),#REF!,7),"")</f>
        <v/>
      </c>
      <c r="JN291" t="e">
        <f>HLOOKUP(LEFT(BO291,7),Discharge_Area,MATCH(JO291,LookUps!$B$130:$B$149,1)+2)</f>
        <v>#N/A</v>
      </c>
      <c r="JO291" t="str">
        <f t="shared" si="918"/>
        <v>- S</v>
      </c>
      <c r="JP291" t="e">
        <f>HLOOKUP(LEFT(BO291,7),Discharge_Area,MATCH(JO291,LookUps!$B$130:$B$149,1)+2)</f>
        <v>#N/A</v>
      </c>
      <c r="JQ291" t="e">
        <f t="shared" si="919"/>
        <v>#N/A</v>
      </c>
      <c r="JR291" t="e">
        <f t="shared" si="920"/>
        <v>#N/A</v>
      </c>
      <c r="JS291" t="e">
        <f t="shared" si="921"/>
        <v>#N/A</v>
      </c>
      <c r="JT291" s="532" t="str">
        <f t="shared" si="922"/>
        <v xml:space="preserve"> </v>
      </c>
      <c r="JU291" s="532" t="str">
        <f t="shared" si="923"/>
        <v xml:space="preserve"> </v>
      </c>
      <c r="JV291" s="533" t="str">
        <f t="shared" si="924"/>
        <v xml:space="preserve"> </v>
      </c>
      <c r="JW291" s="534">
        <f t="shared" si="925"/>
        <v>0</v>
      </c>
      <c r="JX291" s="535" t="str">
        <f t="shared" si="1009"/>
        <v xml:space="preserve"> </v>
      </c>
      <c r="JY291" s="535" t="str">
        <f t="shared" si="1010"/>
        <v xml:space="preserve"> </v>
      </c>
      <c r="JZ291" s="535" t="str">
        <f t="shared" si="1011"/>
        <v xml:space="preserve"> </v>
      </c>
      <c r="KA291" s="536" t="str">
        <f t="shared" si="926"/>
        <v xml:space="preserve"> </v>
      </c>
      <c r="KB291" s="535" t="e">
        <f t="shared" si="1012"/>
        <v>#VALUE!</v>
      </c>
      <c r="KC291" s="535" t="str">
        <f t="shared" si="927"/>
        <v/>
      </c>
      <c r="KD291" s="537" t="str">
        <f t="shared" si="1013"/>
        <v xml:space="preserve"> </v>
      </c>
      <c r="KE291" s="537" t="str">
        <f t="shared" si="1014"/>
        <v xml:space="preserve"> </v>
      </c>
      <c r="KF291" s="534">
        <f t="shared" si="928"/>
        <v>0</v>
      </c>
      <c r="KG291" s="535" t="str">
        <f t="shared" si="929"/>
        <v xml:space="preserve"> </v>
      </c>
      <c r="KH291" s="535" t="str">
        <f t="shared" si="930"/>
        <v xml:space="preserve"> </v>
      </c>
      <c r="KI291" s="535" t="str">
        <f t="shared" si="931"/>
        <v xml:space="preserve"> </v>
      </c>
      <c r="KJ291" s="536" t="str">
        <f t="shared" si="932"/>
        <v xml:space="preserve"> </v>
      </c>
      <c r="KK291" s="535" t="str">
        <f t="shared" si="1015"/>
        <v xml:space="preserve"> </v>
      </c>
      <c r="KL291" s="535" t="str">
        <f t="shared" si="1016"/>
        <v xml:space="preserve"> </v>
      </c>
      <c r="KM291" s="537" t="str">
        <f t="shared" si="933"/>
        <v xml:space="preserve"> </v>
      </c>
      <c r="KN291" s="537" t="str">
        <f t="shared" si="1017"/>
        <v xml:space="preserve"> </v>
      </c>
      <c r="KP291">
        <f t="shared" si="934"/>
        <v>0</v>
      </c>
      <c r="LA291" t="e">
        <f t="shared" si="935"/>
        <v>#VALUE!</v>
      </c>
      <c r="LB291" t="e">
        <f t="shared" si="936"/>
        <v>#VALUE!</v>
      </c>
      <c r="LC291" t="e">
        <f t="shared" si="937"/>
        <v>#VALUE!</v>
      </c>
      <c r="LD291" t="e">
        <f t="shared" si="938"/>
        <v>#VALUE!</v>
      </c>
      <c r="LE291" t="e">
        <f t="shared" si="1018"/>
        <v>#VALUE!</v>
      </c>
      <c r="LF291">
        <f t="shared" si="939"/>
        <v>0</v>
      </c>
      <c r="LG291" t="e">
        <f t="shared" si="1019"/>
        <v>#VALUE!</v>
      </c>
      <c r="LH291" t="str">
        <f t="shared" si="940"/>
        <v xml:space="preserve"> </v>
      </c>
      <c r="LI291">
        <f t="shared" si="1020"/>
        <v>1</v>
      </c>
    </row>
    <row r="292" spans="2:321" ht="15" customHeight="1">
      <c r="B292" s="311"/>
      <c r="C292" s="311"/>
      <c r="D292" s="312"/>
      <c r="E292" s="311"/>
      <c r="F292" s="312"/>
      <c r="G292" s="311"/>
      <c r="H292" s="311"/>
      <c r="I292" s="232"/>
      <c r="J292" s="311"/>
      <c r="K292" s="305" t="str">
        <f t="shared" si="941"/>
        <v/>
      </c>
      <c r="L292" s="313"/>
      <c r="M292" s="312"/>
      <c r="N292" s="311"/>
      <c r="O292" s="312"/>
      <c r="P292" s="311"/>
      <c r="Q292" s="305" t="str">
        <f t="shared" si="942"/>
        <v/>
      </c>
      <c r="R292" s="314"/>
      <c r="S292" s="450" t="str">
        <f t="shared" si="825"/>
        <v/>
      </c>
      <c r="T292" s="315"/>
      <c r="U292" s="315"/>
      <c r="W292" s="149" t="str">
        <f t="shared" si="826"/>
        <v xml:space="preserve"> </v>
      </c>
      <c r="X292" s="243" t="str">
        <f t="shared" si="827"/>
        <v xml:space="preserve"> </v>
      </c>
      <c r="Y292" s="150" t="str">
        <f t="shared" si="828"/>
        <v/>
      </c>
      <c r="Z292" s="149" t="str">
        <f t="shared" si="829"/>
        <v xml:space="preserve"> </v>
      </c>
      <c r="AA292" s="98" t="str">
        <f t="shared" si="830"/>
        <v xml:space="preserve"> </v>
      </c>
      <c r="AB292" s="153" t="str">
        <f t="shared" si="831"/>
        <v xml:space="preserve"> </v>
      </c>
      <c r="AC292" s="153" t="str">
        <f t="shared" si="832"/>
        <v xml:space="preserve"> </v>
      </c>
      <c r="AD292" s="148" t="str">
        <f t="shared" si="833"/>
        <v/>
      </c>
      <c r="AE292" s="149" t="str">
        <f t="shared" si="834"/>
        <v/>
      </c>
      <c r="AF292" s="151" t="str">
        <f t="shared" si="835"/>
        <v xml:space="preserve"> </v>
      </c>
      <c r="AG292" s="153" t="str">
        <f t="shared" si="836"/>
        <v xml:space="preserve"> </v>
      </c>
      <c r="AH292" s="98" t="str">
        <f t="shared" si="837"/>
        <v xml:space="preserve"> </v>
      </c>
      <c r="AI292" s="149" t="str">
        <f t="shared" si="838"/>
        <v xml:space="preserve"> </v>
      </c>
      <c r="AK292" s="144" t="str">
        <f t="shared" si="839"/>
        <v xml:space="preserve"> </v>
      </c>
      <c r="AL292" s="144"/>
      <c r="AM292" s="243" t="str">
        <f t="shared" si="840"/>
        <v xml:space="preserve"> </v>
      </c>
      <c r="AN292" s="149" t="str">
        <f t="shared" si="943"/>
        <v xml:space="preserve"> </v>
      </c>
      <c r="AO292" s="144" t="str">
        <f>IF(JB292&gt;0,IF(GI292=10,-R292*1.085*(Calculation!$F$6-Calculation!$F$13)*$S$14," "),"")</f>
        <v/>
      </c>
      <c r="AP292" s="144" t="str">
        <f t="shared" si="841"/>
        <v/>
      </c>
      <c r="AQ292" s="56" t="str">
        <f t="shared" si="842"/>
        <v/>
      </c>
      <c r="AR292" s="144" t="str">
        <f t="shared" si="843"/>
        <v/>
      </c>
      <c r="AS292" s="176" t="str">
        <f t="shared" si="844"/>
        <v/>
      </c>
      <c r="AT292" s="176" t="str">
        <f t="shared" si="944"/>
        <v xml:space="preserve"> </v>
      </c>
      <c r="AU292" s="176" t="str">
        <f t="shared" si="845"/>
        <v/>
      </c>
      <c r="AV292" s="177" t="str">
        <f t="shared" si="846"/>
        <v xml:space="preserve"> </v>
      </c>
      <c r="AW292" s="144" t="str">
        <f t="shared" si="847"/>
        <v xml:space="preserve"> </v>
      </c>
      <c r="AX292" s="144" t="str">
        <f t="shared" si="848"/>
        <v xml:space="preserve"> </v>
      </c>
      <c r="AY292" s="152" t="str">
        <f t="shared" si="849"/>
        <v xml:space="preserve"> </v>
      </c>
      <c r="AZ292" s="246" t="str">
        <f t="shared" si="850"/>
        <v/>
      </c>
      <c r="BA292" s="176" t="str">
        <f t="shared" si="851"/>
        <v xml:space="preserve"> </v>
      </c>
      <c r="BB292" s="176" t="str">
        <f t="shared" si="852"/>
        <v xml:space="preserve"> </v>
      </c>
      <c r="BC292" s="195"/>
      <c r="BD292" s="316"/>
      <c r="BE292" s="317"/>
      <c r="BF292" s="318"/>
      <c r="BG292" s="318"/>
      <c r="BH292" s="144" t="str">
        <f t="shared" si="1021"/>
        <v xml:space="preserve"> </v>
      </c>
      <c r="BI292" s="176" t="str">
        <f t="shared" si="853"/>
        <v/>
      </c>
      <c r="BJ292" s="144" t="str">
        <f t="shared" si="1022"/>
        <v/>
      </c>
      <c r="BK292" s="246" t="str">
        <f t="shared" si="854"/>
        <v/>
      </c>
      <c r="BL292" s="144" t="str">
        <f t="shared" si="1023"/>
        <v/>
      </c>
      <c r="BM292" s="246" t="str">
        <f t="shared" si="855"/>
        <v/>
      </c>
      <c r="BN292" s="337" t="str">
        <f t="shared" si="945"/>
        <v/>
      </c>
      <c r="BO292" s="371" t="str">
        <f t="shared" si="946"/>
        <v/>
      </c>
      <c r="BP292" s="328" t="str">
        <f t="shared" si="1024"/>
        <v xml:space="preserve"> </v>
      </c>
      <c r="BQ292" s="347" t="str">
        <f t="shared" si="947"/>
        <v xml:space="preserve"> </v>
      </c>
      <c r="BR292" s="353" t="str">
        <f t="shared" si="948"/>
        <v xml:space="preserve"> </v>
      </c>
      <c r="BS292" s="626" t="str">
        <f>IF(L292&gt;0,IF(Calculation!P292="M13",BR292*3.1416*(0.134^2)/(4*144),IF(Calculation!P292="M17",BR292*3.1416*(0.165^2)/(4*144),IF(Calculation!P292="M20",BR292*3.1416*(0.198^2)/(4*144),IF(Calculation!P292="M23",BR292*3.1416*(0.228^2)/(4*144),IF(Calculation!P292="M27",BR292*3.1416*(0.269^2)/(4*144),BR292*3.1416*(0.307^2)/(4*144))))))," ")</f>
        <v xml:space="preserve"> </v>
      </c>
      <c r="BT292" s="353" t="str">
        <f>IF(L292&gt;0,IF(BS292&gt;0,R292/Calculation!BS292,0)," ")</f>
        <v xml:space="preserve"> </v>
      </c>
      <c r="BU292" s="438" t="e">
        <f t="shared" ca="1" si="856"/>
        <v>#VALUE!</v>
      </c>
      <c r="BV292" s="449" t="e">
        <f ca="1">INDEX(INDIRECT(VLOOKUP(LEFT(BO292,7),CLU!$Z$3:$AH$18,2)),GN292,GR292)</f>
        <v>#N/A</v>
      </c>
      <c r="BW292" s="433" t="e">
        <f ca="1">INDEX(INDIRECT(VLOOKUP(LEFT(BO292,7),CLU!$Z$3:$AH$18,3)),GN292,GR292)</f>
        <v>#N/A</v>
      </c>
      <c r="BX292" s="433" t="e">
        <f ca="1">INDEX(INDIRECT(VLOOKUP(LEFT(BO292,7),CLU!$Z$3:$AH$18,4)),GN292,GR292)</f>
        <v>#N/A</v>
      </c>
      <c r="BY292" s="433" t="e">
        <f ca="1">INDEX(INDIRECT(VLOOKUP(LEFT(BO292,7),CLU!$Z$3:$AH$18,9)),((M292-2)*(6-COUNTBLANK(GT292:GY292)))+GJ292)</f>
        <v>#N/A</v>
      </c>
      <c r="BZ292" s="426" t="e">
        <f t="shared" ca="1" si="949"/>
        <v>#N/A</v>
      </c>
      <c r="CA292" s="424" t="e">
        <f t="shared" ca="1" si="950"/>
        <v>#N/A</v>
      </c>
      <c r="CB292" s="429" t="e">
        <f ca="1">INDEX(INDIRECT(VLOOKUP(LEFT(BO292,7),CLU!$Z$3:$AH$18,2)),GN292,GS292)</f>
        <v>#N/A</v>
      </c>
      <c r="CC292" s="342" t="e">
        <f ca="1">INDEX(INDIRECT(VLOOKUP(LEFT(BO292,7),CLU!$Z$3:$AH$18,3)),GN292,GS292)</f>
        <v>#N/A</v>
      </c>
      <c r="CD292" s="342" t="e">
        <f ca="1">INDEX(INDIRECT(VLOOKUP(LEFT(BO292,7),CLU!$Z$3:$AH$18,4)),GN292,GS292)</f>
        <v>#N/A</v>
      </c>
      <c r="CE292" s="426" t="e">
        <f t="shared" ca="1" si="951"/>
        <v>#N/A</v>
      </c>
      <c r="CF292" s="440">
        <f t="shared" si="952"/>
        <v>0</v>
      </c>
      <c r="CG292" s="431" t="e">
        <f ca="1">INDEX(INDIRECT(VLOOKUP(LEFT(BO292,7),CLU!$Z$3:$AH$18,2)),GQ292,GR292)</f>
        <v>#N/A</v>
      </c>
      <c r="CH292" s="431" t="e">
        <f ca="1">INDEX(INDIRECT(VLOOKUP(LEFT(BO292,7),CLU!$Z$3:$AH$18,3)),GQ292,GR292)</f>
        <v>#N/A</v>
      </c>
      <c r="CI292" s="431" t="e">
        <f ca="1">INDEX(INDIRECT(VLOOKUP(LEFT(BO292,7),CLU!$Z$3:$AH$18,4)),GQ292,GR292)</f>
        <v>#N/A</v>
      </c>
      <c r="CJ292" s="448" t="e">
        <f t="shared" ca="1" si="953"/>
        <v>#N/A</v>
      </c>
      <c r="CK292" s="431" t="e">
        <f t="shared" ca="1" si="954"/>
        <v>#N/A</v>
      </c>
      <c r="CL292" s="440" t="e">
        <f t="shared" ca="1" si="955"/>
        <v>#N/A</v>
      </c>
      <c r="CM292" s="431" t="e">
        <f ca="1">INDEX(INDIRECT(VLOOKUP(LEFT(BO292,7),CLU!$Z$3:$AH$18,2)),GQ292,GS292)</f>
        <v>#N/A</v>
      </c>
      <c r="CN292" s="431" t="e">
        <f ca="1">INDEX(INDIRECT(VLOOKUP(LEFT(BO292,7),CLU!$Z$3:$AH$18,3)),GQ292,GS292)</f>
        <v>#N/A</v>
      </c>
      <c r="CO292" s="431" t="e">
        <f ca="1">INDEX(INDIRECT(VLOOKUP(LEFT(BO292,7),CLU!$Z$3:$AH$18,4)),GQ292,GS292)</f>
        <v>#N/A</v>
      </c>
      <c r="CP292" s="431" t="e">
        <f t="shared" ca="1" si="956"/>
        <v>#N/A</v>
      </c>
      <c r="CQ292" s="440">
        <f t="shared" si="957"/>
        <v>0</v>
      </c>
      <c r="CR292" s="51" t="e">
        <f t="shared" ca="1" si="958"/>
        <v>#N/A</v>
      </c>
      <c r="CS292" s="439" t="e">
        <f t="shared" ca="1" si="959"/>
        <v>#VALUE!</v>
      </c>
      <c r="CT292" s="51" t="e">
        <f t="shared" ca="1" si="960"/>
        <v>#VALUE!</v>
      </c>
      <c r="CU292" s="10"/>
      <c r="CV292" s="51" t="e">
        <f t="shared" ca="1" si="857"/>
        <v>#VALUE!</v>
      </c>
      <c r="CW292" s="51">
        <f t="shared" si="961"/>
        <v>0</v>
      </c>
      <c r="CX292" s="439" t="e">
        <f t="shared" ca="1" si="962"/>
        <v>#VALUE!</v>
      </c>
      <c r="CY292" s="51" t="e">
        <f t="shared" ca="1" si="963"/>
        <v>#VALUE!</v>
      </c>
      <c r="CZ292" s="10"/>
      <c r="DA292" s="51" t="e">
        <f t="shared" ca="1" si="964"/>
        <v>#VALUE!</v>
      </c>
      <c r="DB292" s="347" t="e">
        <f ca="1">INDEX(INDIRECT(VLOOKUP(LEFT(BO292,7),CLU!$Z$3:$AI$18,10)),((M292-2)*(6-COUNTBLANK(GT292:GY292)))+GJ292)*LI292</f>
        <v>#N/A</v>
      </c>
      <c r="DC292" s="347" t="str">
        <f>IF(L292&gt;0,((R292/Worksheet!$I$15)/DB292)^2," ")</f>
        <v xml:space="preserve"> </v>
      </c>
      <c r="DD292" s="602" t="str">
        <f t="shared" si="965"/>
        <v xml:space="preserve"> </v>
      </c>
      <c r="DE292" s="347" t="str">
        <f t="shared" si="858"/>
        <v xml:space="preserve"> </v>
      </c>
      <c r="DF292" s="356" t="e">
        <f ca="1">INDEX(INDIRECT(VLOOKUP(LEFT(BO292,7),CLU!$Z$3:$AH$18,8)),((M292-2)*(6-COUNTBLANK(GT292:GY292)))+GJ292)</f>
        <v>#N/A</v>
      </c>
      <c r="DG292" s="347" t="str">
        <f t="shared" si="859"/>
        <v xml:space="preserve"> </v>
      </c>
      <c r="DH292" s="357" t="str">
        <f t="shared" si="860"/>
        <v xml:space="preserve"> </v>
      </c>
      <c r="DI292" s="355" t="str">
        <f t="shared" si="861"/>
        <v xml:space="preserve"> </v>
      </c>
      <c r="DJ292" s="245" t="e">
        <f ca="1">INDEX(INDIRECT(VLOOKUP(LEFT(BO292,7),CLU!$Z$3:$AH$18,5)),GL292,GK292)</f>
        <v>#N/A</v>
      </c>
      <c r="DK292" s="245" t="e">
        <f ca="1">INDEX(INDIRECT(VLOOKUP(LEFT(BO292,7),CLU!$Z$3:$AH$18,6)),GL292,GK292)</f>
        <v>#N/A</v>
      </c>
      <c r="DL292" s="355">
        <f>(Calculation!R292*0.69143*(Calculation!$BQ$8-Calculation!$F$8))*$S$14</f>
        <v>0</v>
      </c>
      <c r="DM292" s="359" t="e">
        <f t="shared" si="966"/>
        <v>#VALUE!</v>
      </c>
      <c r="DN292" s="611">
        <f t="shared" si="967"/>
        <v>0</v>
      </c>
      <c r="DO292" s="359">
        <f t="shared" si="968"/>
        <v>100</v>
      </c>
      <c r="DP292" s="359">
        <f t="shared" si="969"/>
        <v>0</v>
      </c>
      <c r="DQ292" s="360"/>
      <c r="DR292" s="245" t="e">
        <f ca="1">INDEX(INDIRECT(VLOOKUP(LEFT(BO292,7),CLU!$Z$3:$AH$18,7)),M292-1,1)</f>
        <v>#N/A</v>
      </c>
      <c r="DS292" s="245" t="e">
        <f ca="1">INDEX(INDIRECT(VLOOKUP(LEFT(BO292,7),CLU!$Z$3:$AH$18,7)),M292-1,2)</f>
        <v>#N/A</v>
      </c>
      <c r="DT292" s="245" t="e">
        <f ca="1">INDEX(INDIRECT(VLOOKUP(LEFT(BO292,7),CLU!$Z$3:$AH$18,7)),M292-1,3)</f>
        <v>#N/A</v>
      </c>
      <c r="DU292" s="245" t="e">
        <f ca="1">INDEX(INDIRECT(VLOOKUP(LEFT(BO292,7),CLU!$Z$3:$AH$18,7)),M292-1,4)</f>
        <v>#N/A</v>
      </c>
      <c r="DV292" s="361" t="e">
        <f ca="1">INDEX(INDIRECT(VLOOKUP(LEFT(BO292,7),CLU!$Z$3:$AH$18,7)),M292-1,4+LEFT(DZ292,1)*0.5)</f>
        <v>#N/A</v>
      </c>
      <c r="DW292" s="245" t="e">
        <f ca="1">INDEX(INDIRECT(VLOOKUP(LEFT(BO292,7),CLU!$Z$3:$AH$18,7)),M292-1,8)</f>
        <v>#N/A</v>
      </c>
      <c r="DX292" s="361" t="str">
        <f t="shared" si="862"/>
        <v xml:space="preserve"> </v>
      </c>
      <c r="DY292" s="361" t="str">
        <f t="shared" si="863"/>
        <v xml:space="preserve"> </v>
      </c>
      <c r="DZ292" s="361" t="str">
        <f t="shared" si="864"/>
        <v xml:space="preserve"> </v>
      </c>
      <c r="EA292" s="362" t="str">
        <f t="shared" si="865"/>
        <v xml:space="preserve"> </v>
      </c>
      <c r="EB292" s="624" t="str">
        <f t="shared" si="970"/>
        <v xml:space="preserve"> </v>
      </c>
      <c r="EC292" s="361" t="e">
        <f ca="1">INDEX(INDIRECT(VLOOKUP(LEFT(BO292,7),CLU!$Z$3:$AH$18,7)),M292-1,4+LEFT(DZ292,1)*0.5)</f>
        <v>#N/A</v>
      </c>
      <c r="ED292" s="362" t="str">
        <f t="shared" si="866"/>
        <v xml:space="preserve"> </v>
      </c>
      <c r="EE292" s="361" t="str">
        <f t="shared" si="867"/>
        <v xml:space="preserve"> </v>
      </c>
      <c r="EF292" s="362" t="str">
        <f>IF(L292&gt;0,IF(BR292&gt;0,IF(EE292="2P",IF(Calculation!DZ292="2P",IF(Calculation!DS292=13.75,IF(Calculation!DR292=13,Worksheet!$BD$43,IF(Calculation!DR292=37,Worksheet!$BD$44,Worksheet!$BD$45)),IF(Calculation!DS292=10,IF(Calculation!DR292=18,Worksheet!$BD$29,IF(Calculation!DR292=30,Worksheet!$BD$30,IF(Calculation!DR292=42,Worksheet!$BD$31,IF(Calculation!DR292=54,Worksheet!$BD$32,IF(Calculation!DR292=66,Worksheet!$BD$33,IF(Calculation!DR292=78,Worksheet!$BD$34,IF(Calculation!DR292=90,Worksheet!$BD$35,IF(Calculation!DR292=102,Worksheet!$BD$36,Worksheet!$BD$37)))))))),IF(Calculation!DS292=12.5,IF(Calculation!DR292=18,Worksheet!$BD$38,IF(Calculation!DR292=Worksheet!$BD$39,IF(Calculation!DR292=42,Worksheet!$BD$40,IF(Calculation!DR292=54,Worksheet!$BD$41,Worksheet!$BD$42)))),IF(Calculation!DR292=18,Worksheet!$BD$11,IF(Calculation!DR292=30,Worksheet!$BD$12,IF(Calculation!DR292=42,Worksheet!$BD$13,IF(Calculation!DR292=54,Worksheet!$BD$14,IF(Calculation!DR292=66,Worksheet!$BD$15,IF(Calculation!DR292=78,Worksheet!$BD$16,IF(Calculation!DR292=90,Worksheet!$BD$17,IF(Calculation!DR292=102,Worksheet!$BD$18,Worksheet!$BD$19))))))))))),IF(Calculation!DS292=13.75,IF(Calculation!DR292=13,Worksheet!$BD$78,IF(Calculation!DR292=37,Worksheet!$BD$79,Worksheet!$BD$80)),IF(Calculation!DS292=10,IF(Calculation!DR292=18,Worksheet!$BD$64,IF(Calculation!DR292=30,Worksheet!$BD$65,IF(Calculation!DR292=42,Worksheet!$BD$66,IF(Calculation!DR292=54,Worksheet!$BD$68,IF(Calculation!DR292=66,Worksheet!$BD$68,IF(Calculation!DR292=78,Worksheet!$BD$69,IF(Calculation!DR292=90,Worksheet!$BD$70,IF(Calculation!DR292=102,Worksheet!$BD$71,Worksheet!$BD$72)))))))),IF(Calculation!DS292=12.5,IF(Calculation!DR292=18,Worksheet!$BD$73,IF(Calculation!DR292=Worksheet!$BD$74,IF(Calculation!DR292=42,Worksheet!$BD$75,IF(Calculation!DR292=54,Worksheet!$BD$76,Worksheet!$BD$77)))),IF(Calculation!DR292=18,Worksheet!$BD$55,IF(Calculation!DR292=30,Worksheet!$BD$56,IF(Calculation!DR292=42,Worksheet!$BD$57,IF(Calculation!DR292=54,Worksheet!$BD$58,IF(Calculation!DR292=66,Worksheet!$BD$59,IF(Calculation!DR292=78,Worksheet!$BD$60,IF(Calculation!DR292=90,Worksheet!$BD$61,IF(Calculation!DR292=102,Worksheet!$BD$62,Worksheet!$BD$63)))))))))))),5),0)," ")</f>
        <v xml:space="preserve"> </v>
      </c>
      <c r="EG292" s="361" t="str">
        <f t="shared" si="868"/>
        <v xml:space="preserve"> </v>
      </c>
      <c r="EH292" s="361" t="e">
        <f ca="1">INDEX(INDIRECT(VLOOKUP(LEFT(BO292,7),CLU!$Z$3:$AH$18,7)),M292-1,3+LEFT(DZ292,1))</f>
        <v>#N/A</v>
      </c>
      <c r="EI292" s="362" t="str">
        <f t="shared" si="869"/>
        <v xml:space="preserve"> </v>
      </c>
      <c r="EJ292" s="363" t="str">
        <f t="shared" si="870"/>
        <v xml:space="preserve"> </v>
      </c>
      <c r="EK292" s="363" t="str">
        <f t="shared" si="871"/>
        <v xml:space="preserve"> </v>
      </c>
      <c r="EL292" s="363" t="str">
        <f t="shared" si="872"/>
        <v xml:space="preserve"> </v>
      </c>
      <c r="EM292" s="362" t="str">
        <f>IF(L292&gt;0,IF(BR292&gt;0,(Calculation!T292/ED292)^2,0)," ")</f>
        <v xml:space="preserve"> </v>
      </c>
      <c r="EN292" s="362" t="str">
        <f>IF(L292&gt;0,IF(O292="2 Pipe (Cooling)","N/A",IF(BR292&gt;0,(Calculation!U292/EI292)^2,0))," ")</f>
        <v xml:space="preserve"> </v>
      </c>
      <c r="EO292" s="361" t="str">
        <f t="shared" si="873"/>
        <v/>
      </c>
      <c r="EP292" s="361" t="str">
        <f t="shared" si="874"/>
        <v/>
      </c>
      <c r="EQ292" s="361" t="str">
        <f t="shared" si="875"/>
        <v/>
      </c>
      <c r="ER292" s="361" t="str">
        <f t="shared" si="876"/>
        <v/>
      </c>
      <c r="ES292" s="361" t="str">
        <f t="shared" si="877"/>
        <v/>
      </c>
      <c r="ET292" s="361" t="str">
        <f t="shared" si="878"/>
        <v/>
      </c>
      <c r="EU292" s="361" t="str">
        <f t="shared" si="879"/>
        <v/>
      </c>
      <c r="EV292" s="361" t="str">
        <f t="shared" si="880"/>
        <v/>
      </c>
      <c r="EW292" s="361" t="str">
        <f t="shared" si="881"/>
        <v/>
      </c>
      <c r="EX292" s="361" t="str">
        <f t="shared" si="971"/>
        <v>1 slot, 1 way</v>
      </c>
      <c r="EY292" s="361" t="str">
        <f t="shared" si="972"/>
        <v xml:space="preserve"> </v>
      </c>
      <c r="EZ292" s="361" t="str">
        <f t="shared" si="973"/>
        <v xml:space="preserve"> </v>
      </c>
      <c r="FA292" s="361" t="str">
        <f t="shared" si="974"/>
        <v xml:space="preserve"> </v>
      </c>
      <c r="FB292" s="361" t="str">
        <f t="shared" si="975"/>
        <v xml:space="preserve"> </v>
      </c>
      <c r="FC292" s="361"/>
      <c r="FD292" s="361" t="str">
        <f>IF(J292&gt;0,IF(Calculation!R292&lt;=70,4,IF(Calculation!R292&lt;=110,5,IF(Calculation!R292&lt;=160,6,IF(Calculation!R292&lt;=300,8,"10 EO")))),"")</f>
        <v/>
      </c>
      <c r="FE292" s="361" t="str">
        <f t="shared" si="976"/>
        <v/>
      </c>
      <c r="FF292" s="361" t="str">
        <f t="shared" si="977"/>
        <v/>
      </c>
      <c r="FG292" s="361" t="e">
        <f t="shared" si="882"/>
        <v>#N/A</v>
      </c>
      <c r="FH292" s="361">
        <f t="shared" si="883"/>
        <v>0</v>
      </c>
      <c r="FI292" s="361" t="e">
        <f t="shared" si="884"/>
        <v>#DIV/0!</v>
      </c>
      <c r="FJ292" s="361"/>
      <c r="FK292" s="356" t="e">
        <f t="shared" si="885"/>
        <v>#VALUE!</v>
      </c>
      <c r="FL292" s="361"/>
      <c r="FM292" s="361"/>
      <c r="FN292" s="362" t="str">
        <f t="shared" si="978"/>
        <v xml:space="preserve"> </v>
      </c>
      <c r="FO292" s="362" t="str">
        <f t="shared" si="979"/>
        <v xml:space="preserve"> </v>
      </c>
      <c r="FP292" s="362">
        <f t="shared" si="980"/>
        <v>0</v>
      </c>
      <c r="FQ292" s="361">
        <f t="shared" si="886"/>
        <v>0</v>
      </c>
      <c r="FR292" s="362" t="str">
        <f>IF(L292&gt;0,IF(J292="CBAL2",Worksheet!$P$67,IF(J292="CBE2-24",Worksheet!$Q$67,IF(J292="CBAM",Worksheet!$R$67,IF(J292="CBLV",Worksheet!$S$67,IF(J292="CBAB",Worksheet!$U$67,IF(J292="CBAW",Worksheet!$X$67,IF(J292="CBE2-12",Worksheet!$Y$67,IF(J292="CBAL2",Worksheet!$Z$67,"N/A"))))))))," ")</f>
        <v xml:space="preserve"> </v>
      </c>
      <c r="FS292" s="362" t="str">
        <f>IF(L292&gt;0,IF(J292="CBAL2",Worksheet!$P$68,IF(J292="CBE2-24",Worksheet!$Q$68,IF(J292="CBAM",Worksheet!$R$68,IF(J292="CBLV",Worksheet!$S$68,IF(J292="CBAB",Worksheet!$U$68,IF(J292="CBAW",Worksheet!$X$68,IF(J292="CBE2-12",Worksheet!$Y$68,IF(J292="CBAL2",Worksheet!$Z$68,"N/A"))))))))," ")</f>
        <v xml:space="preserve"> </v>
      </c>
      <c r="FT292" s="362" t="str">
        <f>IF(L292&gt;0,IF(J292="CBAL2",Worksheet!$P$69,IF(J292="CBE2-24",Worksheet!$Q$69,IF(J292="CBAM",Worksheet!$R$69,IF(J292="CBLV",Worksheet!$S$69,IF(J292="CBAB",Worksheet!$U$69,IF(J292="CBAW",Worksheet!$X$69,IF(J292="CBE2-12",Worksheet!$Y$69,IF(J292="CBAL2",Worksheet!$Z$69,"N/A"))))))))," ")</f>
        <v xml:space="preserve"> </v>
      </c>
      <c r="FU292" s="361" t="str">
        <f t="shared" si="981"/>
        <v xml:space="preserve"> </v>
      </c>
      <c r="FV292" s="362" t="str">
        <f t="shared" si="982"/>
        <v xml:space="preserve"> </v>
      </c>
      <c r="FW292" s="362" t="str">
        <f t="shared" si="983"/>
        <v xml:space="preserve"> </v>
      </c>
      <c r="FX292" s="362" t="str">
        <f t="shared" si="984"/>
        <v xml:space="preserve"> </v>
      </c>
      <c r="FY292" s="355" t="str">
        <f t="shared" si="985"/>
        <v xml:space="preserve"> </v>
      </c>
      <c r="FZ292" s="361" t="str">
        <f t="shared" si="986"/>
        <v xml:space="preserve"> </v>
      </c>
      <c r="GA292" s="347" t="str">
        <f t="shared" si="987"/>
        <v xml:space="preserve"> </v>
      </c>
      <c r="GB292" s="355" t="str">
        <f t="shared" si="988"/>
        <v xml:space="preserve"> </v>
      </c>
      <c r="GC292" s="328" t="str">
        <f t="shared" si="989"/>
        <v xml:space="preserve"> </v>
      </c>
      <c r="GD292" s="361" t="str">
        <f t="shared" si="990"/>
        <v xml:space="preserve"> </v>
      </c>
      <c r="GE292" s="347" t="str">
        <f t="shared" si="991"/>
        <v xml:space="preserve"> </v>
      </c>
      <c r="GF292" s="361" t="str">
        <f t="shared" si="992"/>
        <v xml:space="preserve"> </v>
      </c>
      <c r="GG292" s="347" t="str">
        <f t="shared" si="993"/>
        <v xml:space="preserve"> </v>
      </c>
      <c r="GH292" s="364">
        <f t="shared" si="887"/>
        <v>0</v>
      </c>
      <c r="GI292" s="362">
        <f t="shared" si="994"/>
        <v>2</v>
      </c>
      <c r="GJ292" s="433" t="e">
        <f>IF(6-COUNTBLANK(GT292:GY292)=4,MATCH(MID(BO292,9,3),CLU!$H$16:$K$16),MATCH(MID(BO292,9,3),CLU!$H$13:$M$13))</f>
        <v>#N/A</v>
      </c>
      <c r="GK292" s="433" t="e">
        <f>HLOOKUP(VALUE(BP292),CLU!$H$9:$M$10,2)</f>
        <v>#VALUE!</v>
      </c>
      <c r="GL292" s="433" t="e">
        <f ca="1">MATCH(BU292,CLU!$H$2:$V$2,1)</f>
        <v>#VALUE!</v>
      </c>
      <c r="GM292" s="433" t="e">
        <f t="shared" ca="1" si="995"/>
        <v>#VALUE!</v>
      </c>
      <c r="GN292" s="433" t="e">
        <f t="shared" ca="1" si="996"/>
        <v>#VALUE!</v>
      </c>
      <c r="GO292" s="433" t="e">
        <f t="shared" ca="1" si="997"/>
        <v>#VALUE!</v>
      </c>
      <c r="GP292" s="433" t="e">
        <f t="shared" ca="1" si="998"/>
        <v>#VALUE!</v>
      </c>
      <c r="GQ292" s="433" t="e">
        <f t="shared" ca="1" si="999"/>
        <v>#VALUE!</v>
      </c>
      <c r="GR292" s="433" t="e">
        <f ca="1">MATCH(T292,INDIRECT(VLOOKUP(CONCATENATE(LEFT(BO292,7),"-",MID(BO292,13,1)),CLU!$P$3:$Q$16,2)),1)</f>
        <v>#N/A</v>
      </c>
      <c r="GS292" s="433" t="e">
        <f ca="1">MATCH(U292,INDIRECT(VLOOKUP(CONCATENATE(LEFT(BO292,7),"-",MID(BO292,13,1)),CLU!$P$3:$Q$16,2)),1)</f>
        <v>#N/A</v>
      </c>
      <c r="GT292" s="347" t="s">
        <v>512</v>
      </c>
      <c r="GU292" s="97" t="s">
        <v>513</v>
      </c>
      <c r="GV292" s="97" t="str">
        <f t="shared" si="1000"/>
        <v>M23</v>
      </c>
      <c r="GW292" s="97" t="str">
        <f t="shared" si="1001"/>
        <v>M31</v>
      </c>
      <c r="GX292" s="97" t="str">
        <f t="shared" si="1002"/>
        <v/>
      </c>
      <c r="GY292" s="97" t="str">
        <f t="shared" si="1003"/>
        <v/>
      </c>
      <c r="GZ292" s="481"/>
      <c r="HA292" s="240"/>
      <c r="HB292" s="240"/>
      <c r="HC292" s="240"/>
      <c r="HD292" s="240"/>
      <c r="HE292" s="240"/>
      <c r="HF292" s="240"/>
      <c r="HG292" s="240"/>
      <c r="HH292" s="240"/>
      <c r="HI292" s="240"/>
      <c r="HJ292" s="240"/>
      <c r="HK292" s="240"/>
      <c r="HL292" s="240"/>
      <c r="HM292" s="240"/>
      <c r="HN292" s="240"/>
      <c r="HO292" s="240"/>
      <c r="HP292" s="240"/>
      <c r="HQ292" s="240"/>
      <c r="HR292" s="240"/>
      <c r="HS292" s="240"/>
      <c r="HT292" s="240"/>
      <c r="HU292" s="240"/>
      <c r="HV292" s="245"/>
      <c r="HW292" s="245" t="b">
        <v>1</v>
      </c>
      <c r="HX292" s="245" t="str">
        <f t="shared" si="888"/>
        <v/>
      </c>
      <c r="HY292" s="245" t="e">
        <f t="shared" si="889"/>
        <v>#DIV/0!</v>
      </c>
      <c r="HZ292" s="245" t="e">
        <f t="shared" si="890"/>
        <v>#DIV/0!</v>
      </c>
      <c r="IA292" s="245">
        <f t="shared" si="891"/>
        <v>0</v>
      </c>
      <c r="IB292" s="245"/>
      <c r="IC292" t="b">
        <f t="shared" si="892"/>
        <v>1</v>
      </c>
      <c r="ID292" s="245" t="b">
        <f t="shared" si="893"/>
        <v>1</v>
      </c>
      <c r="IE292" s="245" t="b">
        <f t="shared" si="894"/>
        <v>1</v>
      </c>
      <c r="IF292" s="245" t="b">
        <f t="shared" si="895"/>
        <v>0</v>
      </c>
      <c r="IG292" s="245" t="b">
        <f t="shared" si="896"/>
        <v>1</v>
      </c>
      <c r="IH292" s="245" t="b">
        <f t="shared" si="897"/>
        <v>1</v>
      </c>
      <c r="II292" s="245">
        <f t="shared" si="1004"/>
        <v>0</v>
      </c>
      <c r="IJ292" s="245" t="e">
        <f t="shared" si="898"/>
        <v>#VALUE!</v>
      </c>
      <c r="IK292" s="245" t="e">
        <f t="shared" si="899"/>
        <v>#VALUE!</v>
      </c>
      <c r="IL292" s="245"/>
      <c r="IM292" s="245" t="e">
        <f t="shared" si="1005"/>
        <v>#N/A</v>
      </c>
      <c r="IN292" s="245" t="e">
        <f t="shared" si="1006"/>
        <v>#N/A</v>
      </c>
      <c r="IO292" s="245"/>
      <c r="IP292" s="245"/>
      <c r="IQ292" s="245" t="str">
        <f t="shared" si="900"/>
        <v/>
      </c>
      <c r="IR292" s="245" t="str">
        <f>IF(J292="","",VLOOKUP(J292,Worksheet!$R$4:$T$14,2))</f>
        <v/>
      </c>
      <c r="IS292" s="245"/>
      <c r="IT292" s="245">
        <f t="shared" si="901"/>
        <v>0</v>
      </c>
      <c r="IU292" s="245">
        <f t="shared" si="902"/>
        <v>0</v>
      </c>
      <c r="IV292" s="245">
        <f t="shared" si="903"/>
        <v>0</v>
      </c>
      <c r="IW292" s="245">
        <f t="shared" si="904"/>
        <v>0</v>
      </c>
      <c r="IX292" s="245">
        <f t="shared" si="1007"/>
        <v>0</v>
      </c>
      <c r="IY292" s="245">
        <f t="shared" si="905"/>
        <v>0</v>
      </c>
      <c r="IZ292" s="245">
        <f t="shared" si="906"/>
        <v>0</v>
      </c>
      <c r="JA292">
        <f t="shared" si="907"/>
        <v>0</v>
      </c>
      <c r="JB292">
        <f t="shared" si="1008"/>
        <v>0</v>
      </c>
      <c r="JC292">
        <f t="shared" si="908"/>
        <v>0</v>
      </c>
      <c r="JD292">
        <f t="shared" si="909"/>
        <v>0</v>
      </c>
      <c r="JE292">
        <f t="shared" si="910"/>
        <v>0</v>
      </c>
      <c r="JF292">
        <f t="shared" si="911"/>
        <v>0</v>
      </c>
      <c r="JG292">
        <f t="shared" si="912"/>
        <v>0</v>
      </c>
      <c r="JH292">
        <f t="shared" si="913"/>
        <v>0</v>
      </c>
      <c r="JI292">
        <f t="shared" si="914"/>
        <v>0</v>
      </c>
      <c r="JJ292" s="447">
        <f t="shared" si="915"/>
        <v>0</v>
      </c>
      <c r="JK292" s="447">
        <f t="shared" si="916"/>
        <v>0</v>
      </c>
      <c r="JL292">
        <f t="shared" si="917"/>
        <v>0</v>
      </c>
      <c r="JM292" s="245" t="str">
        <f>IFERROR(VLOOKUP(MATCH(BN292,#REF!,0),#REF!,7),"")</f>
        <v/>
      </c>
      <c r="JN292" t="e">
        <f>HLOOKUP(LEFT(BO292,7),Discharge_Area,MATCH(JO292,LookUps!$B$130:$B$149,1)+2)</f>
        <v>#N/A</v>
      </c>
      <c r="JO292" t="str">
        <f t="shared" si="918"/>
        <v>- S</v>
      </c>
      <c r="JP292" t="e">
        <f>HLOOKUP(LEFT(BO292,7),Discharge_Area,MATCH(JO292,LookUps!$B$130:$B$149,1)+2)</f>
        <v>#N/A</v>
      </c>
      <c r="JQ292" t="e">
        <f t="shared" si="919"/>
        <v>#N/A</v>
      </c>
      <c r="JR292" t="e">
        <f t="shared" si="920"/>
        <v>#N/A</v>
      </c>
      <c r="JS292" t="e">
        <f t="shared" si="921"/>
        <v>#N/A</v>
      </c>
      <c r="JT292" s="532" t="str">
        <f t="shared" si="922"/>
        <v xml:space="preserve"> </v>
      </c>
      <c r="JU292" s="532" t="str">
        <f t="shared" si="923"/>
        <v xml:space="preserve"> </v>
      </c>
      <c r="JV292" s="533" t="str">
        <f t="shared" si="924"/>
        <v xml:space="preserve"> </v>
      </c>
      <c r="JW292" s="534">
        <f t="shared" si="925"/>
        <v>0</v>
      </c>
      <c r="JX292" s="535" t="str">
        <f t="shared" si="1009"/>
        <v xml:space="preserve"> </v>
      </c>
      <c r="JY292" s="535" t="str">
        <f t="shared" si="1010"/>
        <v xml:space="preserve"> </v>
      </c>
      <c r="JZ292" s="535" t="str">
        <f t="shared" si="1011"/>
        <v xml:space="preserve"> </v>
      </c>
      <c r="KA292" s="536" t="str">
        <f t="shared" si="926"/>
        <v xml:space="preserve"> </v>
      </c>
      <c r="KB292" s="535" t="e">
        <f t="shared" si="1012"/>
        <v>#VALUE!</v>
      </c>
      <c r="KC292" s="535" t="str">
        <f t="shared" si="927"/>
        <v/>
      </c>
      <c r="KD292" s="537" t="str">
        <f t="shared" si="1013"/>
        <v xml:space="preserve"> </v>
      </c>
      <c r="KE292" s="537" t="str">
        <f t="shared" si="1014"/>
        <v xml:space="preserve"> </v>
      </c>
      <c r="KF292" s="534">
        <f t="shared" si="928"/>
        <v>0</v>
      </c>
      <c r="KG292" s="535" t="str">
        <f t="shared" si="929"/>
        <v xml:space="preserve"> </v>
      </c>
      <c r="KH292" s="535" t="str">
        <f t="shared" si="930"/>
        <v xml:space="preserve"> </v>
      </c>
      <c r="KI292" s="535" t="str">
        <f t="shared" si="931"/>
        <v xml:space="preserve"> </v>
      </c>
      <c r="KJ292" s="536" t="str">
        <f t="shared" si="932"/>
        <v xml:space="preserve"> </v>
      </c>
      <c r="KK292" s="535" t="str">
        <f t="shared" si="1015"/>
        <v xml:space="preserve"> </v>
      </c>
      <c r="KL292" s="535" t="str">
        <f t="shared" si="1016"/>
        <v xml:space="preserve"> </v>
      </c>
      <c r="KM292" s="537" t="str">
        <f t="shared" si="933"/>
        <v xml:space="preserve"> </v>
      </c>
      <c r="KN292" s="537" t="str">
        <f t="shared" si="1017"/>
        <v xml:space="preserve"> </v>
      </c>
      <c r="KP292">
        <f t="shared" si="934"/>
        <v>0</v>
      </c>
      <c r="LA292" t="e">
        <f t="shared" si="935"/>
        <v>#VALUE!</v>
      </c>
      <c r="LB292" t="e">
        <f t="shared" si="936"/>
        <v>#VALUE!</v>
      </c>
      <c r="LC292" t="e">
        <f t="shared" si="937"/>
        <v>#VALUE!</v>
      </c>
      <c r="LD292" t="e">
        <f t="shared" si="938"/>
        <v>#VALUE!</v>
      </c>
      <c r="LE292" t="e">
        <f t="shared" si="1018"/>
        <v>#VALUE!</v>
      </c>
      <c r="LF292">
        <f t="shared" si="939"/>
        <v>0</v>
      </c>
      <c r="LG292" t="e">
        <f t="shared" si="1019"/>
        <v>#VALUE!</v>
      </c>
      <c r="LH292" t="str">
        <f t="shared" si="940"/>
        <v xml:space="preserve"> </v>
      </c>
      <c r="LI292">
        <f t="shared" si="1020"/>
        <v>1</v>
      </c>
    </row>
    <row r="293" spans="2:321" ht="15" customHeight="1">
      <c r="B293" s="311"/>
      <c r="C293" s="311"/>
      <c r="D293" s="312"/>
      <c r="E293" s="311"/>
      <c r="F293" s="312"/>
      <c r="G293" s="311"/>
      <c r="H293" s="311"/>
      <c r="I293" s="232"/>
      <c r="J293" s="311"/>
      <c r="K293" s="305" t="str">
        <f t="shared" si="941"/>
        <v/>
      </c>
      <c r="L293" s="313"/>
      <c r="M293" s="312"/>
      <c r="N293" s="311"/>
      <c r="O293" s="312"/>
      <c r="P293" s="311"/>
      <c r="Q293" s="305" t="str">
        <f t="shared" si="942"/>
        <v/>
      </c>
      <c r="R293" s="314"/>
      <c r="S293" s="450" t="str">
        <f t="shared" si="825"/>
        <v/>
      </c>
      <c r="T293" s="315"/>
      <c r="U293" s="315"/>
      <c r="W293" s="149" t="str">
        <f t="shared" si="826"/>
        <v xml:space="preserve"> </v>
      </c>
      <c r="X293" s="243" t="str">
        <f t="shared" si="827"/>
        <v xml:space="preserve"> </v>
      </c>
      <c r="Y293" s="150" t="str">
        <f t="shared" si="828"/>
        <v/>
      </c>
      <c r="Z293" s="149" t="str">
        <f t="shared" si="829"/>
        <v xml:space="preserve"> </v>
      </c>
      <c r="AA293" s="98" t="str">
        <f t="shared" si="830"/>
        <v xml:space="preserve"> </v>
      </c>
      <c r="AB293" s="153" t="str">
        <f t="shared" si="831"/>
        <v xml:space="preserve"> </v>
      </c>
      <c r="AC293" s="153" t="str">
        <f t="shared" si="832"/>
        <v xml:space="preserve"> </v>
      </c>
      <c r="AD293" s="148" t="str">
        <f t="shared" si="833"/>
        <v/>
      </c>
      <c r="AE293" s="149" t="str">
        <f t="shared" si="834"/>
        <v/>
      </c>
      <c r="AF293" s="151" t="str">
        <f t="shared" si="835"/>
        <v xml:space="preserve"> </v>
      </c>
      <c r="AG293" s="153" t="str">
        <f t="shared" si="836"/>
        <v xml:space="preserve"> </v>
      </c>
      <c r="AH293" s="98" t="str">
        <f t="shared" si="837"/>
        <v xml:space="preserve"> </v>
      </c>
      <c r="AI293" s="149" t="str">
        <f t="shared" si="838"/>
        <v xml:space="preserve"> </v>
      </c>
      <c r="AK293" s="144" t="str">
        <f t="shared" si="839"/>
        <v xml:space="preserve"> </v>
      </c>
      <c r="AL293" s="144"/>
      <c r="AM293" s="243" t="str">
        <f t="shared" si="840"/>
        <v xml:space="preserve"> </v>
      </c>
      <c r="AN293" s="149" t="str">
        <f t="shared" si="943"/>
        <v xml:space="preserve"> </v>
      </c>
      <c r="AO293" s="144" t="str">
        <f>IF(JB293&gt;0,IF(GI293=10,-R293*1.085*(Calculation!$F$6-Calculation!$F$13)*$S$14," "),"")</f>
        <v/>
      </c>
      <c r="AP293" s="144" t="str">
        <f t="shared" si="841"/>
        <v/>
      </c>
      <c r="AQ293" s="56" t="str">
        <f t="shared" si="842"/>
        <v/>
      </c>
      <c r="AR293" s="144" t="str">
        <f t="shared" si="843"/>
        <v/>
      </c>
      <c r="AS293" s="176" t="str">
        <f t="shared" si="844"/>
        <v/>
      </c>
      <c r="AT293" s="176" t="str">
        <f t="shared" si="944"/>
        <v xml:space="preserve"> </v>
      </c>
      <c r="AU293" s="176" t="str">
        <f t="shared" si="845"/>
        <v/>
      </c>
      <c r="AV293" s="177" t="str">
        <f t="shared" si="846"/>
        <v xml:space="preserve"> </v>
      </c>
      <c r="AW293" s="144" t="str">
        <f t="shared" si="847"/>
        <v xml:space="preserve"> </v>
      </c>
      <c r="AX293" s="144" t="str">
        <f t="shared" si="848"/>
        <v xml:space="preserve"> </v>
      </c>
      <c r="AY293" s="152" t="str">
        <f t="shared" si="849"/>
        <v xml:space="preserve"> </v>
      </c>
      <c r="AZ293" s="246" t="str">
        <f t="shared" si="850"/>
        <v/>
      </c>
      <c r="BA293" s="176" t="str">
        <f t="shared" si="851"/>
        <v xml:space="preserve"> </v>
      </c>
      <c r="BB293" s="176" t="str">
        <f t="shared" si="852"/>
        <v xml:space="preserve"> </v>
      </c>
      <c r="BC293" s="195"/>
      <c r="BD293" s="316"/>
      <c r="BE293" s="317"/>
      <c r="BF293" s="318"/>
      <c r="BG293" s="318"/>
      <c r="BH293" s="144" t="str">
        <f t="shared" si="1021"/>
        <v xml:space="preserve"> </v>
      </c>
      <c r="BI293" s="176" t="str">
        <f t="shared" si="853"/>
        <v/>
      </c>
      <c r="BJ293" s="144" t="str">
        <f t="shared" si="1022"/>
        <v/>
      </c>
      <c r="BK293" s="246" t="str">
        <f t="shared" si="854"/>
        <v/>
      </c>
      <c r="BL293" s="144" t="str">
        <f t="shared" si="1023"/>
        <v/>
      </c>
      <c r="BM293" s="246" t="str">
        <f t="shared" si="855"/>
        <v/>
      </c>
      <c r="BN293" s="337" t="str">
        <f t="shared" si="945"/>
        <v/>
      </c>
      <c r="BO293" s="371" t="str">
        <f t="shared" si="946"/>
        <v/>
      </c>
      <c r="BP293" s="328" t="str">
        <f t="shared" si="1024"/>
        <v xml:space="preserve"> </v>
      </c>
      <c r="BQ293" s="347" t="str">
        <f t="shared" si="947"/>
        <v xml:space="preserve"> </v>
      </c>
      <c r="BR293" s="353" t="str">
        <f t="shared" si="948"/>
        <v xml:space="preserve"> </v>
      </c>
      <c r="BS293" s="626" t="str">
        <f>IF(L293&gt;0,IF(Calculation!P293="M13",BR293*3.1416*(0.134^2)/(4*144),IF(Calculation!P293="M17",BR293*3.1416*(0.165^2)/(4*144),IF(Calculation!P293="M20",BR293*3.1416*(0.198^2)/(4*144),IF(Calculation!P293="M23",BR293*3.1416*(0.228^2)/(4*144),IF(Calculation!P293="M27",BR293*3.1416*(0.269^2)/(4*144),BR293*3.1416*(0.307^2)/(4*144))))))," ")</f>
        <v xml:space="preserve"> </v>
      </c>
      <c r="BT293" s="353" t="str">
        <f>IF(L293&gt;0,IF(BS293&gt;0,R293/Calculation!BS293,0)," ")</f>
        <v xml:space="preserve"> </v>
      </c>
      <c r="BU293" s="438" t="e">
        <f t="shared" ca="1" si="856"/>
        <v>#VALUE!</v>
      </c>
      <c r="BV293" s="449" t="e">
        <f ca="1">INDEX(INDIRECT(VLOOKUP(LEFT(BO293,7),CLU!$Z$3:$AH$18,2)),GN293,GR293)</f>
        <v>#N/A</v>
      </c>
      <c r="BW293" s="433" t="e">
        <f ca="1">INDEX(INDIRECT(VLOOKUP(LEFT(BO293,7),CLU!$Z$3:$AH$18,3)),GN293,GR293)</f>
        <v>#N/A</v>
      </c>
      <c r="BX293" s="433" t="e">
        <f ca="1">INDEX(INDIRECT(VLOOKUP(LEFT(BO293,7),CLU!$Z$3:$AH$18,4)),GN293,GR293)</f>
        <v>#N/A</v>
      </c>
      <c r="BY293" s="433" t="e">
        <f ca="1">INDEX(INDIRECT(VLOOKUP(LEFT(BO293,7),CLU!$Z$3:$AH$18,9)),((M293-2)*(6-COUNTBLANK(GT293:GY293)))+GJ293)</f>
        <v>#N/A</v>
      </c>
      <c r="BZ293" s="426" t="e">
        <f t="shared" ca="1" si="949"/>
        <v>#N/A</v>
      </c>
      <c r="CA293" s="424" t="e">
        <f t="shared" ca="1" si="950"/>
        <v>#N/A</v>
      </c>
      <c r="CB293" s="429" t="e">
        <f ca="1">INDEX(INDIRECT(VLOOKUP(LEFT(BO293,7),CLU!$Z$3:$AH$18,2)),GN293,GS293)</f>
        <v>#N/A</v>
      </c>
      <c r="CC293" s="342" t="e">
        <f ca="1">INDEX(INDIRECT(VLOOKUP(LEFT(BO293,7),CLU!$Z$3:$AH$18,3)),GN293,GS293)</f>
        <v>#N/A</v>
      </c>
      <c r="CD293" s="342" t="e">
        <f ca="1">INDEX(INDIRECT(VLOOKUP(LEFT(BO293,7),CLU!$Z$3:$AH$18,4)),GN293,GS293)</f>
        <v>#N/A</v>
      </c>
      <c r="CE293" s="426" t="e">
        <f t="shared" ca="1" si="951"/>
        <v>#N/A</v>
      </c>
      <c r="CF293" s="440">
        <f t="shared" si="952"/>
        <v>0</v>
      </c>
      <c r="CG293" s="431" t="e">
        <f ca="1">INDEX(INDIRECT(VLOOKUP(LEFT(BO293,7),CLU!$Z$3:$AH$18,2)),GQ293,GR293)</f>
        <v>#N/A</v>
      </c>
      <c r="CH293" s="431" t="e">
        <f ca="1">INDEX(INDIRECT(VLOOKUP(LEFT(BO293,7),CLU!$Z$3:$AH$18,3)),GQ293,GR293)</f>
        <v>#N/A</v>
      </c>
      <c r="CI293" s="431" t="e">
        <f ca="1">INDEX(INDIRECT(VLOOKUP(LEFT(BO293,7),CLU!$Z$3:$AH$18,4)),GQ293,GR293)</f>
        <v>#N/A</v>
      </c>
      <c r="CJ293" s="448" t="e">
        <f t="shared" ca="1" si="953"/>
        <v>#N/A</v>
      </c>
      <c r="CK293" s="431" t="e">
        <f t="shared" ca="1" si="954"/>
        <v>#N/A</v>
      </c>
      <c r="CL293" s="440" t="e">
        <f t="shared" ca="1" si="955"/>
        <v>#N/A</v>
      </c>
      <c r="CM293" s="431" t="e">
        <f ca="1">INDEX(INDIRECT(VLOOKUP(LEFT(BO293,7),CLU!$Z$3:$AH$18,2)),GQ293,GS293)</f>
        <v>#N/A</v>
      </c>
      <c r="CN293" s="431" t="e">
        <f ca="1">INDEX(INDIRECT(VLOOKUP(LEFT(BO293,7),CLU!$Z$3:$AH$18,3)),GQ293,GS293)</f>
        <v>#N/A</v>
      </c>
      <c r="CO293" s="431" t="e">
        <f ca="1">INDEX(INDIRECT(VLOOKUP(LEFT(BO293,7),CLU!$Z$3:$AH$18,4)),GQ293,GS293)</f>
        <v>#N/A</v>
      </c>
      <c r="CP293" s="431" t="e">
        <f t="shared" ca="1" si="956"/>
        <v>#N/A</v>
      </c>
      <c r="CQ293" s="440">
        <f t="shared" si="957"/>
        <v>0</v>
      </c>
      <c r="CR293" s="51" t="e">
        <f t="shared" ca="1" si="958"/>
        <v>#N/A</v>
      </c>
      <c r="CS293" s="439" t="e">
        <f t="shared" ca="1" si="959"/>
        <v>#VALUE!</v>
      </c>
      <c r="CT293" s="51" t="e">
        <f t="shared" ca="1" si="960"/>
        <v>#VALUE!</v>
      </c>
      <c r="CU293" s="10"/>
      <c r="CV293" s="51" t="e">
        <f t="shared" ca="1" si="857"/>
        <v>#VALUE!</v>
      </c>
      <c r="CW293" s="51">
        <f t="shared" si="961"/>
        <v>0</v>
      </c>
      <c r="CX293" s="439" t="e">
        <f t="shared" ca="1" si="962"/>
        <v>#VALUE!</v>
      </c>
      <c r="CY293" s="51" t="e">
        <f t="shared" ca="1" si="963"/>
        <v>#VALUE!</v>
      </c>
      <c r="CZ293" s="10"/>
      <c r="DA293" s="51" t="e">
        <f t="shared" ca="1" si="964"/>
        <v>#VALUE!</v>
      </c>
      <c r="DB293" s="347" t="e">
        <f ca="1">INDEX(INDIRECT(VLOOKUP(LEFT(BO293,7),CLU!$Z$3:$AI$18,10)),((M293-2)*(6-COUNTBLANK(GT293:GY293)))+GJ293)*LI293</f>
        <v>#N/A</v>
      </c>
      <c r="DC293" s="347" t="str">
        <f>IF(L293&gt;0,((R293/Worksheet!$I$15)/DB293)^2," ")</f>
        <v xml:space="preserve"> </v>
      </c>
      <c r="DD293" s="602" t="str">
        <f t="shared" si="965"/>
        <v xml:space="preserve"> </v>
      </c>
      <c r="DE293" s="347" t="str">
        <f t="shared" si="858"/>
        <v xml:space="preserve"> </v>
      </c>
      <c r="DF293" s="356" t="e">
        <f ca="1">INDEX(INDIRECT(VLOOKUP(LEFT(BO293,7),CLU!$Z$3:$AH$18,8)),((M293-2)*(6-COUNTBLANK(GT293:GY293)))+GJ293)</f>
        <v>#N/A</v>
      </c>
      <c r="DG293" s="347" t="str">
        <f t="shared" si="859"/>
        <v xml:space="preserve"> </v>
      </c>
      <c r="DH293" s="357" t="str">
        <f t="shared" si="860"/>
        <v xml:space="preserve"> </v>
      </c>
      <c r="DI293" s="355" t="str">
        <f t="shared" si="861"/>
        <v xml:space="preserve"> </v>
      </c>
      <c r="DJ293" s="245" t="e">
        <f ca="1">INDEX(INDIRECT(VLOOKUP(LEFT(BO293,7),CLU!$Z$3:$AH$18,5)),GL293,GK293)</f>
        <v>#N/A</v>
      </c>
      <c r="DK293" s="245" t="e">
        <f ca="1">INDEX(INDIRECT(VLOOKUP(LEFT(BO293,7),CLU!$Z$3:$AH$18,6)),GL293,GK293)</f>
        <v>#N/A</v>
      </c>
      <c r="DL293" s="355">
        <f>(Calculation!R293*0.69143*(Calculation!$BQ$8-Calculation!$F$8))*$S$14</f>
        <v>0</v>
      </c>
      <c r="DM293" s="359" t="e">
        <f t="shared" si="966"/>
        <v>#VALUE!</v>
      </c>
      <c r="DN293" s="611">
        <f t="shared" si="967"/>
        <v>0</v>
      </c>
      <c r="DO293" s="359">
        <f t="shared" si="968"/>
        <v>100</v>
      </c>
      <c r="DP293" s="359">
        <f t="shared" si="969"/>
        <v>0</v>
      </c>
      <c r="DQ293" s="360"/>
      <c r="DR293" s="245" t="e">
        <f ca="1">INDEX(INDIRECT(VLOOKUP(LEFT(BO293,7),CLU!$Z$3:$AH$18,7)),M293-1,1)</f>
        <v>#N/A</v>
      </c>
      <c r="DS293" s="245" t="e">
        <f ca="1">INDEX(INDIRECT(VLOOKUP(LEFT(BO293,7),CLU!$Z$3:$AH$18,7)),M293-1,2)</f>
        <v>#N/A</v>
      </c>
      <c r="DT293" s="245" t="e">
        <f ca="1">INDEX(INDIRECT(VLOOKUP(LEFT(BO293,7),CLU!$Z$3:$AH$18,7)),M293-1,3)</f>
        <v>#N/A</v>
      </c>
      <c r="DU293" s="245" t="e">
        <f ca="1">INDEX(INDIRECT(VLOOKUP(LEFT(BO293,7),CLU!$Z$3:$AH$18,7)),M293-1,4)</f>
        <v>#N/A</v>
      </c>
      <c r="DV293" s="361" t="e">
        <f ca="1">INDEX(INDIRECT(VLOOKUP(LEFT(BO293,7),CLU!$Z$3:$AH$18,7)),M293-1,4+LEFT(DZ293,1)*0.5)</f>
        <v>#N/A</v>
      </c>
      <c r="DW293" s="245" t="e">
        <f ca="1">INDEX(INDIRECT(VLOOKUP(LEFT(BO293,7),CLU!$Z$3:$AH$18,7)),M293-1,8)</f>
        <v>#N/A</v>
      </c>
      <c r="DX293" s="361" t="str">
        <f t="shared" si="862"/>
        <v xml:space="preserve"> </v>
      </c>
      <c r="DY293" s="361" t="str">
        <f t="shared" si="863"/>
        <v xml:space="preserve"> </v>
      </c>
      <c r="DZ293" s="361" t="str">
        <f t="shared" si="864"/>
        <v xml:space="preserve"> </v>
      </c>
      <c r="EA293" s="362" t="str">
        <f t="shared" si="865"/>
        <v xml:space="preserve"> </v>
      </c>
      <c r="EB293" s="624" t="str">
        <f t="shared" si="970"/>
        <v xml:space="preserve"> </v>
      </c>
      <c r="EC293" s="361" t="e">
        <f ca="1">INDEX(INDIRECT(VLOOKUP(LEFT(BO293,7),CLU!$Z$3:$AH$18,7)),M293-1,4+LEFT(DZ293,1)*0.5)</f>
        <v>#N/A</v>
      </c>
      <c r="ED293" s="362" t="str">
        <f t="shared" si="866"/>
        <v xml:space="preserve"> </v>
      </c>
      <c r="EE293" s="361" t="str">
        <f t="shared" si="867"/>
        <v xml:space="preserve"> </v>
      </c>
      <c r="EF293" s="362" t="str">
        <f>IF(L293&gt;0,IF(BR293&gt;0,IF(EE293="2P",IF(Calculation!DZ293="2P",IF(Calculation!DS293=13.75,IF(Calculation!DR293=13,Worksheet!$BD$43,IF(Calculation!DR293=37,Worksheet!$BD$44,Worksheet!$BD$45)),IF(Calculation!DS293=10,IF(Calculation!DR293=18,Worksheet!$BD$29,IF(Calculation!DR293=30,Worksheet!$BD$30,IF(Calculation!DR293=42,Worksheet!$BD$31,IF(Calculation!DR293=54,Worksheet!$BD$32,IF(Calculation!DR293=66,Worksheet!$BD$33,IF(Calculation!DR293=78,Worksheet!$BD$34,IF(Calculation!DR293=90,Worksheet!$BD$35,IF(Calculation!DR293=102,Worksheet!$BD$36,Worksheet!$BD$37)))))))),IF(Calculation!DS293=12.5,IF(Calculation!DR293=18,Worksheet!$BD$38,IF(Calculation!DR293=Worksheet!$BD$39,IF(Calculation!DR293=42,Worksheet!$BD$40,IF(Calculation!DR293=54,Worksheet!$BD$41,Worksheet!$BD$42)))),IF(Calculation!DR293=18,Worksheet!$BD$11,IF(Calculation!DR293=30,Worksheet!$BD$12,IF(Calculation!DR293=42,Worksheet!$BD$13,IF(Calculation!DR293=54,Worksheet!$BD$14,IF(Calculation!DR293=66,Worksheet!$BD$15,IF(Calculation!DR293=78,Worksheet!$BD$16,IF(Calculation!DR293=90,Worksheet!$BD$17,IF(Calculation!DR293=102,Worksheet!$BD$18,Worksheet!$BD$19))))))))))),IF(Calculation!DS293=13.75,IF(Calculation!DR293=13,Worksheet!$BD$78,IF(Calculation!DR293=37,Worksheet!$BD$79,Worksheet!$BD$80)),IF(Calculation!DS293=10,IF(Calculation!DR293=18,Worksheet!$BD$64,IF(Calculation!DR293=30,Worksheet!$BD$65,IF(Calculation!DR293=42,Worksheet!$BD$66,IF(Calculation!DR293=54,Worksheet!$BD$68,IF(Calculation!DR293=66,Worksheet!$BD$68,IF(Calculation!DR293=78,Worksheet!$BD$69,IF(Calculation!DR293=90,Worksheet!$BD$70,IF(Calculation!DR293=102,Worksheet!$BD$71,Worksheet!$BD$72)))))))),IF(Calculation!DS293=12.5,IF(Calculation!DR293=18,Worksheet!$BD$73,IF(Calculation!DR293=Worksheet!$BD$74,IF(Calculation!DR293=42,Worksheet!$BD$75,IF(Calculation!DR293=54,Worksheet!$BD$76,Worksheet!$BD$77)))),IF(Calculation!DR293=18,Worksheet!$BD$55,IF(Calculation!DR293=30,Worksheet!$BD$56,IF(Calculation!DR293=42,Worksheet!$BD$57,IF(Calculation!DR293=54,Worksheet!$BD$58,IF(Calculation!DR293=66,Worksheet!$BD$59,IF(Calculation!DR293=78,Worksheet!$BD$60,IF(Calculation!DR293=90,Worksheet!$BD$61,IF(Calculation!DR293=102,Worksheet!$BD$62,Worksheet!$BD$63)))))))))))),5),0)," ")</f>
        <v xml:space="preserve"> </v>
      </c>
      <c r="EG293" s="361" t="str">
        <f t="shared" si="868"/>
        <v xml:space="preserve"> </v>
      </c>
      <c r="EH293" s="361" t="e">
        <f ca="1">INDEX(INDIRECT(VLOOKUP(LEFT(BO293,7),CLU!$Z$3:$AH$18,7)),M293-1,3+LEFT(DZ293,1))</f>
        <v>#N/A</v>
      </c>
      <c r="EI293" s="362" t="str">
        <f t="shared" si="869"/>
        <v xml:space="preserve"> </v>
      </c>
      <c r="EJ293" s="363" t="str">
        <f t="shared" si="870"/>
        <v xml:space="preserve"> </v>
      </c>
      <c r="EK293" s="363" t="str">
        <f t="shared" si="871"/>
        <v xml:space="preserve"> </v>
      </c>
      <c r="EL293" s="363" t="str">
        <f t="shared" si="872"/>
        <v xml:space="preserve"> </v>
      </c>
      <c r="EM293" s="362" t="str">
        <f>IF(L293&gt;0,IF(BR293&gt;0,(Calculation!T293/ED293)^2,0)," ")</f>
        <v xml:space="preserve"> </v>
      </c>
      <c r="EN293" s="362" t="str">
        <f>IF(L293&gt;0,IF(O293="2 Pipe (Cooling)","N/A",IF(BR293&gt;0,(Calculation!U293/EI293)^2,0))," ")</f>
        <v xml:space="preserve"> </v>
      </c>
      <c r="EO293" s="361" t="str">
        <f t="shared" si="873"/>
        <v/>
      </c>
      <c r="EP293" s="361" t="str">
        <f t="shared" si="874"/>
        <v/>
      </c>
      <c r="EQ293" s="361" t="str">
        <f t="shared" si="875"/>
        <v/>
      </c>
      <c r="ER293" s="361" t="str">
        <f t="shared" si="876"/>
        <v/>
      </c>
      <c r="ES293" s="361" t="str">
        <f t="shared" si="877"/>
        <v/>
      </c>
      <c r="ET293" s="361" t="str">
        <f t="shared" si="878"/>
        <v/>
      </c>
      <c r="EU293" s="361" t="str">
        <f t="shared" si="879"/>
        <v/>
      </c>
      <c r="EV293" s="361" t="str">
        <f t="shared" si="880"/>
        <v/>
      </c>
      <c r="EW293" s="361" t="str">
        <f t="shared" si="881"/>
        <v/>
      </c>
      <c r="EX293" s="361" t="str">
        <f t="shared" si="971"/>
        <v>1 slot, 1 way</v>
      </c>
      <c r="EY293" s="361" t="str">
        <f t="shared" si="972"/>
        <v xml:space="preserve"> </v>
      </c>
      <c r="EZ293" s="361" t="str">
        <f t="shared" si="973"/>
        <v xml:space="preserve"> </v>
      </c>
      <c r="FA293" s="361" t="str">
        <f t="shared" si="974"/>
        <v xml:space="preserve"> </v>
      </c>
      <c r="FB293" s="361" t="str">
        <f t="shared" si="975"/>
        <v xml:space="preserve"> </v>
      </c>
      <c r="FC293" s="361"/>
      <c r="FD293" s="361" t="str">
        <f>IF(J293&gt;0,IF(Calculation!R293&lt;=70,4,IF(Calculation!R293&lt;=110,5,IF(Calculation!R293&lt;=160,6,IF(Calculation!R293&lt;=300,8,"10 EO")))),"")</f>
        <v/>
      </c>
      <c r="FE293" s="361" t="str">
        <f t="shared" si="976"/>
        <v/>
      </c>
      <c r="FF293" s="361" t="str">
        <f t="shared" si="977"/>
        <v/>
      </c>
      <c r="FG293" s="361" t="e">
        <f t="shared" si="882"/>
        <v>#N/A</v>
      </c>
      <c r="FH293" s="361">
        <f t="shared" si="883"/>
        <v>0</v>
      </c>
      <c r="FI293" s="361" t="e">
        <f t="shared" si="884"/>
        <v>#DIV/0!</v>
      </c>
      <c r="FJ293" s="361"/>
      <c r="FK293" s="356" t="e">
        <f t="shared" si="885"/>
        <v>#VALUE!</v>
      </c>
      <c r="FL293" s="361"/>
      <c r="FM293" s="361"/>
      <c r="FN293" s="362" t="str">
        <f t="shared" si="978"/>
        <v xml:space="preserve"> </v>
      </c>
      <c r="FO293" s="362" t="str">
        <f t="shared" si="979"/>
        <v xml:space="preserve"> </v>
      </c>
      <c r="FP293" s="362">
        <f t="shared" si="980"/>
        <v>0</v>
      </c>
      <c r="FQ293" s="361">
        <f t="shared" si="886"/>
        <v>0</v>
      </c>
      <c r="FR293" s="362" t="str">
        <f>IF(L293&gt;0,IF(J293="CBAL2",Worksheet!$P$67,IF(J293="CBE2-24",Worksheet!$Q$67,IF(J293="CBAM",Worksheet!$R$67,IF(J293="CBLV",Worksheet!$S$67,IF(J293="CBAB",Worksheet!$U$67,IF(J293="CBAW",Worksheet!$X$67,IF(J293="CBE2-12",Worksheet!$Y$67,IF(J293="CBAL2",Worksheet!$Z$67,"N/A"))))))))," ")</f>
        <v xml:space="preserve"> </v>
      </c>
      <c r="FS293" s="362" t="str">
        <f>IF(L293&gt;0,IF(J293="CBAL2",Worksheet!$P$68,IF(J293="CBE2-24",Worksheet!$Q$68,IF(J293="CBAM",Worksheet!$R$68,IF(J293="CBLV",Worksheet!$S$68,IF(J293="CBAB",Worksheet!$U$68,IF(J293="CBAW",Worksheet!$X$68,IF(J293="CBE2-12",Worksheet!$Y$68,IF(J293="CBAL2",Worksheet!$Z$68,"N/A"))))))))," ")</f>
        <v xml:space="preserve"> </v>
      </c>
      <c r="FT293" s="362" t="str">
        <f>IF(L293&gt;0,IF(J293="CBAL2",Worksheet!$P$69,IF(J293="CBE2-24",Worksheet!$Q$69,IF(J293="CBAM",Worksheet!$R$69,IF(J293="CBLV",Worksheet!$S$69,IF(J293="CBAB",Worksheet!$U$69,IF(J293="CBAW",Worksheet!$X$69,IF(J293="CBE2-12",Worksheet!$Y$69,IF(J293="CBAL2",Worksheet!$Z$69,"N/A"))))))))," ")</f>
        <v xml:space="preserve"> </v>
      </c>
      <c r="FU293" s="361" t="str">
        <f t="shared" si="981"/>
        <v xml:space="preserve"> </v>
      </c>
      <c r="FV293" s="362" t="str">
        <f t="shared" si="982"/>
        <v xml:space="preserve"> </v>
      </c>
      <c r="FW293" s="362" t="str">
        <f t="shared" si="983"/>
        <v xml:space="preserve"> </v>
      </c>
      <c r="FX293" s="362" t="str">
        <f t="shared" si="984"/>
        <v xml:space="preserve"> </v>
      </c>
      <c r="FY293" s="355" t="str">
        <f t="shared" si="985"/>
        <v xml:space="preserve"> </v>
      </c>
      <c r="FZ293" s="361" t="str">
        <f t="shared" si="986"/>
        <v xml:space="preserve"> </v>
      </c>
      <c r="GA293" s="347" t="str">
        <f t="shared" si="987"/>
        <v xml:space="preserve"> </v>
      </c>
      <c r="GB293" s="355" t="str">
        <f t="shared" si="988"/>
        <v xml:space="preserve"> </v>
      </c>
      <c r="GC293" s="328" t="str">
        <f t="shared" si="989"/>
        <v xml:space="preserve"> </v>
      </c>
      <c r="GD293" s="361" t="str">
        <f t="shared" si="990"/>
        <v xml:space="preserve"> </v>
      </c>
      <c r="GE293" s="347" t="str">
        <f t="shared" si="991"/>
        <v xml:space="preserve"> </v>
      </c>
      <c r="GF293" s="361" t="str">
        <f t="shared" si="992"/>
        <v xml:space="preserve"> </v>
      </c>
      <c r="GG293" s="347" t="str">
        <f t="shared" si="993"/>
        <v xml:space="preserve"> </v>
      </c>
      <c r="GH293" s="364">
        <f t="shared" si="887"/>
        <v>0</v>
      </c>
      <c r="GI293" s="362">
        <f t="shared" si="994"/>
        <v>2</v>
      </c>
      <c r="GJ293" s="433" t="e">
        <f>IF(6-COUNTBLANK(GT293:GY293)=4,MATCH(MID(BO293,9,3),CLU!$H$16:$K$16),MATCH(MID(BO293,9,3),CLU!$H$13:$M$13))</f>
        <v>#N/A</v>
      </c>
      <c r="GK293" s="433" t="e">
        <f>HLOOKUP(VALUE(BP293),CLU!$H$9:$M$10,2)</f>
        <v>#VALUE!</v>
      </c>
      <c r="GL293" s="433" t="e">
        <f ca="1">MATCH(BU293,CLU!$H$2:$V$2,1)</f>
        <v>#VALUE!</v>
      </c>
      <c r="GM293" s="433" t="e">
        <f t="shared" ca="1" si="995"/>
        <v>#VALUE!</v>
      </c>
      <c r="GN293" s="433" t="e">
        <f t="shared" ca="1" si="996"/>
        <v>#VALUE!</v>
      </c>
      <c r="GO293" s="433" t="e">
        <f t="shared" ca="1" si="997"/>
        <v>#VALUE!</v>
      </c>
      <c r="GP293" s="433" t="e">
        <f t="shared" ca="1" si="998"/>
        <v>#VALUE!</v>
      </c>
      <c r="GQ293" s="433" t="e">
        <f t="shared" ca="1" si="999"/>
        <v>#VALUE!</v>
      </c>
      <c r="GR293" s="433" t="e">
        <f ca="1">MATCH(T293,INDIRECT(VLOOKUP(CONCATENATE(LEFT(BO293,7),"-",MID(BO293,13,1)),CLU!$P$3:$Q$16,2)),1)</f>
        <v>#N/A</v>
      </c>
      <c r="GS293" s="433" t="e">
        <f ca="1">MATCH(U293,INDIRECT(VLOOKUP(CONCATENATE(LEFT(BO293,7),"-",MID(BO293,13,1)),CLU!$P$3:$Q$16,2)),1)</f>
        <v>#N/A</v>
      </c>
      <c r="GT293" s="347" t="s">
        <v>512</v>
      </c>
      <c r="GU293" s="97" t="s">
        <v>513</v>
      </c>
      <c r="GV293" s="97" t="str">
        <f t="shared" si="1000"/>
        <v>M23</v>
      </c>
      <c r="GW293" s="97" t="str">
        <f t="shared" si="1001"/>
        <v>M31</v>
      </c>
      <c r="GX293" s="97" t="str">
        <f t="shared" si="1002"/>
        <v/>
      </c>
      <c r="GY293" s="97" t="str">
        <f t="shared" si="1003"/>
        <v/>
      </c>
      <c r="GZ293" s="481"/>
      <c r="HA293" s="240"/>
      <c r="HB293" s="240"/>
      <c r="HC293" s="240"/>
      <c r="HD293" s="240"/>
      <c r="HE293" s="240"/>
      <c r="HF293" s="240"/>
      <c r="HG293" s="240"/>
      <c r="HH293" s="240"/>
      <c r="HI293" s="240"/>
      <c r="HJ293" s="240"/>
      <c r="HK293" s="240"/>
      <c r="HL293" s="240"/>
      <c r="HM293" s="240"/>
      <c r="HN293" s="240"/>
      <c r="HO293" s="240"/>
      <c r="HP293" s="240"/>
      <c r="HQ293" s="240"/>
      <c r="HR293" s="240"/>
      <c r="HS293" s="240"/>
      <c r="HT293" s="240"/>
      <c r="HU293" s="240"/>
      <c r="HV293" s="245"/>
      <c r="HW293" s="245" t="b">
        <v>1</v>
      </c>
      <c r="HX293" s="245" t="str">
        <f t="shared" si="888"/>
        <v/>
      </c>
      <c r="HY293" s="245" t="e">
        <f t="shared" si="889"/>
        <v>#DIV/0!</v>
      </c>
      <c r="HZ293" s="245" t="e">
        <f t="shared" si="890"/>
        <v>#DIV/0!</v>
      </c>
      <c r="IA293" s="245">
        <f t="shared" si="891"/>
        <v>0</v>
      </c>
      <c r="IB293" s="245"/>
      <c r="IC293" t="b">
        <f t="shared" si="892"/>
        <v>1</v>
      </c>
      <c r="ID293" s="245" t="b">
        <f t="shared" si="893"/>
        <v>1</v>
      </c>
      <c r="IE293" s="245" t="b">
        <f t="shared" si="894"/>
        <v>1</v>
      </c>
      <c r="IF293" s="245" t="b">
        <f t="shared" si="895"/>
        <v>0</v>
      </c>
      <c r="IG293" s="245" t="b">
        <f t="shared" si="896"/>
        <v>1</v>
      </c>
      <c r="IH293" s="245" t="b">
        <f t="shared" si="897"/>
        <v>1</v>
      </c>
      <c r="II293" s="245">
        <f t="shared" si="1004"/>
        <v>0</v>
      </c>
      <c r="IJ293" s="245" t="e">
        <f t="shared" si="898"/>
        <v>#VALUE!</v>
      </c>
      <c r="IK293" s="245" t="e">
        <f t="shared" si="899"/>
        <v>#VALUE!</v>
      </c>
      <c r="IL293" s="245"/>
      <c r="IM293" s="245" t="e">
        <f t="shared" si="1005"/>
        <v>#N/A</v>
      </c>
      <c r="IN293" s="245" t="e">
        <f t="shared" si="1006"/>
        <v>#N/A</v>
      </c>
      <c r="IO293" s="245"/>
      <c r="IP293" s="245"/>
      <c r="IQ293" s="245" t="str">
        <f t="shared" si="900"/>
        <v/>
      </c>
      <c r="IR293" s="245" t="str">
        <f>IF(J293="","",VLOOKUP(J293,Worksheet!$R$4:$T$14,2))</f>
        <v/>
      </c>
      <c r="IS293" s="245"/>
      <c r="IT293" s="245">
        <f t="shared" si="901"/>
        <v>0</v>
      </c>
      <c r="IU293" s="245">
        <f t="shared" si="902"/>
        <v>0</v>
      </c>
      <c r="IV293" s="245">
        <f t="shared" si="903"/>
        <v>0</v>
      </c>
      <c r="IW293" s="245">
        <f t="shared" si="904"/>
        <v>0</v>
      </c>
      <c r="IX293" s="245">
        <f t="shared" si="1007"/>
        <v>0</v>
      </c>
      <c r="IY293" s="245">
        <f t="shared" si="905"/>
        <v>0</v>
      </c>
      <c r="IZ293" s="245">
        <f t="shared" si="906"/>
        <v>0</v>
      </c>
      <c r="JA293">
        <f t="shared" si="907"/>
        <v>0</v>
      </c>
      <c r="JB293">
        <f t="shared" si="1008"/>
        <v>0</v>
      </c>
      <c r="JC293">
        <f t="shared" si="908"/>
        <v>0</v>
      </c>
      <c r="JD293">
        <f t="shared" si="909"/>
        <v>0</v>
      </c>
      <c r="JE293">
        <f t="shared" si="910"/>
        <v>0</v>
      </c>
      <c r="JF293">
        <f t="shared" si="911"/>
        <v>0</v>
      </c>
      <c r="JG293">
        <f t="shared" si="912"/>
        <v>0</v>
      </c>
      <c r="JH293">
        <f t="shared" si="913"/>
        <v>0</v>
      </c>
      <c r="JI293">
        <f t="shared" si="914"/>
        <v>0</v>
      </c>
      <c r="JJ293" s="447">
        <f t="shared" si="915"/>
        <v>0</v>
      </c>
      <c r="JK293" s="447">
        <f t="shared" si="916"/>
        <v>0</v>
      </c>
      <c r="JL293">
        <f t="shared" si="917"/>
        <v>0</v>
      </c>
      <c r="JM293" s="245" t="str">
        <f>IFERROR(VLOOKUP(MATCH(BN293,#REF!,0),#REF!,7),"")</f>
        <v/>
      </c>
      <c r="JN293" t="e">
        <f>HLOOKUP(LEFT(BO293,7),Discharge_Area,MATCH(JO293,LookUps!$B$130:$B$149,1)+2)</f>
        <v>#N/A</v>
      </c>
      <c r="JO293" t="str">
        <f t="shared" si="918"/>
        <v>- S</v>
      </c>
      <c r="JP293" t="e">
        <f>HLOOKUP(LEFT(BO293,7),Discharge_Area,MATCH(JO293,LookUps!$B$130:$B$149,1)+2)</f>
        <v>#N/A</v>
      </c>
      <c r="JQ293" t="e">
        <f t="shared" si="919"/>
        <v>#N/A</v>
      </c>
      <c r="JR293" t="e">
        <f t="shared" si="920"/>
        <v>#N/A</v>
      </c>
      <c r="JS293" t="e">
        <f t="shared" si="921"/>
        <v>#N/A</v>
      </c>
      <c r="JT293" s="532" t="str">
        <f t="shared" si="922"/>
        <v xml:space="preserve"> </v>
      </c>
      <c r="JU293" s="532" t="str">
        <f t="shared" si="923"/>
        <v xml:space="preserve"> </v>
      </c>
      <c r="JV293" s="533" t="str">
        <f t="shared" si="924"/>
        <v xml:space="preserve"> </v>
      </c>
      <c r="JW293" s="534">
        <f t="shared" si="925"/>
        <v>0</v>
      </c>
      <c r="JX293" s="535" t="str">
        <f t="shared" si="1009"/>
        <v xml:space="preserve"> </v>
      </c>
      <c r="JY293" s="535" t="str">
        <f t="shared" si="1010"/>
        <v xml:space="preserve"> </v>
      </c>
      <c r="JZ293" s="535" t="str">
        <f t="shared" si="1011"/>
        <v xml:space="preserve"> </v>
      </c>
      <c r="KA293" s="536" t="str">
        <f t="shared" si="926"/>
        <v xml:space="preserve"> </v>
      </c>
      <c r="KB293" s="535" t="e">
        <f t="shared" si="1012"/>
        <v>#VALUE!</v>
      </c>
      <c r="KC293" s="535" t="str">
        <f t="shared" si="927"/>
        <v/>
      </c>
      <c r="KD293" s="537" t="str">
        <f t="shared" si="1013"/>
        <v xml:space="preserve"> </v>
      </c>
      <c r="KE293" s="537" t="str">
        <f t="shared" si="1014"/>
        <v xml:space="preserve"> </v>
      </c>
      <c r="KF293" s="534">
        <f t="shared" si="928"/>
        <v>0</v>
      </c>
      <c r="KG293" s="535" t="str">
        <f t="shared" si="929"/>
        <v xml:space="preserve"> </v>
      </c>
      <c r="KH293" s="535" t="str">
        <f t="shared" si="930"/>
        <v xml:space="preserve"> </v>
      </c>
      <c r="KI293" s="535" t="str">
        <f t="shared" si="931"/>
        <v xml:space="preserve"> </v>
      </c>
      <c r="KJ293" s="536" t="str">
        <f t="shared" si="932"/>
        <v xml:space="preserve"> </v>
      </c>
      <c r="KK293" s="535" t="str">
        <f t="shared" si="1015"/>
        <v xml:space="preserve"> </v>
      </c>
      <c r="KL293" s="535" t="str">
        <f t="shared" si="1016"/>
        <v xml:space="preserve"> </v>
      </c>
      <c r="KM293" s="537" t="str">
        <f t="shared" si="933"/>
        <v xml:space="preserve"> </v>
      </c>
      <c r="KN293" s="537" t="str">
        <f t="shared" si="1017"/>
        <v xml:space="preserve"> </v>
      </c>
      <c r="KP293">
        <f t="shared" si="934"/>
        <v>0</v>
      </c>
      <c r="LA293" t="e">
        <f t="shared" si="935"/>
        <v>#VALUE!</v>
      </c>
      <c r="LB293" t="e">
        <f t="shared" si="936"/>
        <v>#VALUE!</v>
      </c>
      <c r="LC293" t="e">
        <f t="shared" si="937"/>
        <v>#VALUE!</v>
      </c>
      <c r="LD293" t="e">
        <f t="shared" si="938"/>
        <v>#VALUE!</v>
      </c>
      <c r="LE293" t="e">
        <f t="shared" si="1018"/>
        <v>#VALUE!</v>
      </c>
      <c r="LF293">
        <f t="shared" si="939"/>
        <v>0</v>
      </c>
      <c r="LG293" t="e">
        <f t="shared" si="1019"/>
        <v>#VALUE!</v>
      </c>
      <c r="LH293" t="str">
        <f t="shared" si="940"/>
        <v xml:space="preserve"> </v>
      </c>
      <c r="LI293">
        <f t="shared" si="1020"/>
        <v>1</v>
      </c>
    </row>
    <row r="294" spans="2:321" ht="15" customHeight="1">
      <c r="B294" s="311"/>
      <c r="C294" s="311"/>
      <c r="D294" s="312"/>
      <c r="E294" s="311"/>
      <c r="F294" s="312"/>
      <c r="G294" s="311"/>
      <c r="H294" s="311"/>
      <c r="I294" s="232"/>
      <c r="J294" s="311"/>
      <c r="K294" s="305" t="str">
        <f t="shared" si="941"/>
        <v/>
      </c>
      <c r="L294" s="313"/>
      <c r="M294" s="312"/>
      <c r="N294" s="311"/>
      <c r="O294" s="312"/>
      <c r="P294" s="311"/>
      <c r="Q294" s="305" t="str">
        <f t="shared" si="942"/>
        <v/>
      </c>
      <c r="R294" s="314"/>
      <c r="S294" s="450" t="str">
        <f t="shared" si="825"/>
        <v/>
      </c>
      <c r="T294" s="315"/>
      <c r="U294" s="315"/>
      <c r="W294" s="149" t="str">
        <f t="shared" si="826"/>
        <v xml:space="preserve"> </v>
      </c>
      <c r="X294" s="243" t="str">
        <f t="shared" si="827"/>
        <v xml:space="preserve"> </v>
      </c>
      <c r="Y294" s="150" t="str">
        <f t="shared" si="828"/>
        <v/>
      </c>
      <c r="Z294" s="149" t="str">
        <f t="shared" si="829"/>
        <v xml:space="preserve"> </v>
      </c>
      <c r="AA294" s="98" t="str">
        <f t="shared" si="830"/>
        <v xml:space="preserve"> </v>
      </c>
      <c r="AB294" s="153" t="str">
        <f t="shared" si="831"/>
        <v xml:space="preserve"> </v>
      </c>
      <c r="AC294" s="153" t="str">
        <f t="shared" si="832"/>
        <v xml:space="preserve"> </v>
      </c>
      <c r="AD294" s="148" t="str">
        <f t="shared" si="833"/>
        <v/>
      </c>
      <c r="AE294" s="149" t="str">
        <f t="shared" si="834"/>
        <v/>
      </c>
      <c r="AF294" s="151" t="str">
        <f t="shared" si="835"/>
        <v xml:space="preserve"> </v>
      </c>
      <c r="AG294" s="153" t="str">
        <f t="shared" si="836"/>
        <v xml:space="preserve"> </v>
      </c>
      <c r="AH294" s="98" t="str">
        <f t="shared" si="837"/>
        <v xml:space="preserve"> </v>
      </c>
      <c r="AI294" s="149" t="str">
        <f t="shared" si="838"/>
        <v xml:space="preserve"> </v>
      </c>
      <c r="AK294" s="144" t="str">
        <f t="shared" si="839"/>
        <v xml:space="preserve"> </v>
      </c>
      <c r="AL294" s="144"/>
      <c r="AM294" s="243" t="str">
        <f t="shared" si="840"/>
        <v xml:space="preserve"> </v>
      </c>
      <c r="AN294" s="149" t="str">
        <f t="shared" si="943"/>
        <v xml:space="preserve"> </v>
      </c>
      <c r="AO294" s="144" t="str">
        <f>IF(JB294&gt;0,IF(GI294=10,-R294*1.085*(Calculation!$F$6-Calculation!$F$13)*$S$14," "),"")</f>
        <v/>
      </c>
      <c r="AP294" s="144" t="str">
        <f t="shared" si="841"/>
        <v/>
      </c>
      <c r="AQ294" s="56" t="str">
        <f t="shared" si="842"/>
        <v/>
      </c>
      <c r="AR294" s="144" t="str">
        <f t="shared" si="843"/>
        <v/>
      </c>
      <c r="AS294" s="176" t="str">
        <f t="shared" si="844"/>
        <v/>
      </c>
      <c r="AT294" s="176" t="str">
        <f t="shared" si="944"/>
        <v xml:space="preserve"> </v>
      </c>
      <c r="AU294" s="176" t="str">
        <f t="shared" si="845"/>
        <v/>
      </c>
      <c r="AV294" s="177" t="str">
        <f t="shared" si="846"/>
        <v xml:space="preserve"> </v>
      </c>
      <c r="AW294" s="144" t="str">
        <f t="shared" si="847"/>
        <v xml:space="preserve"> </v>
      </c>
      <c r="AX294" s="144" t="str">
        <f t="shared" si="848"/>
        <v xml:space="preserve"> </v>
      </c>
      <c r="AY294" s="152" t="str">
        <f t="shared" si="849"/>
        <v xml:space="preserve"> </v>
      </c>
      <c r="AZ294" s="246" t="str">
        <f t="shared" si="850"/>
        <v/>
      </c>
      <c r="BA294" s="176" t="str">
        <f t="shared" si="851"/>
        <v xml:space="preserve"> </v>
      </c>
      <c r="BB294" s="176" t="str">
        <f t="shared" si="852"/>
        <v xml:space="preserve"> </v>
      </c>
      <c r="BC294" s="195"/>
      <c r="BD294" s="316"/>
      <c r="BE294" s="317"/>
      <c r="BF294" s="318"/>
      <c r="BG294" s="318"/>
      <c r="BH294" s="144" t="str">
        <f t="shared" si="1021"/>
        <v xml:space="preserve"> </v>
      </c>
      <c r="BI294" s="176" t="str">
        <f t="shared" si="853"/>
        <v/>
      </c>
      <c r="BJ294" s="144" t="str">
        <f t="shared" si="1022"/>
        <v/>
      </c>
      <c r="BK294" s="246" t="str">
        <f t="shared" si="854"/>
        <v/>
      </c>
      <c r="BL294" s="144" t="str">
        <f t="shared" si="1023"/>
        <v/>
      </c>
      <c r="BM294" s="246" t="str">
        <f t="shared" si="855"/>
        <v/>
      </c>
      <c r="BN294" s="337" t="str">
        <f t="shared" si="945"/>
        <v/>
      </c>
      <c r="BO294" s="371" t="str">
        <f t="shared" si="946"/>
        <v/>
      </c>
      <c r="BP294" s="328" t="str">
        <f t="shared" si="1024"/>
        <v xml:space="preserve"> </v>
      </c>
      <c r="BQ294" s="347" t="str">
        <f t="shared" si="947"/>
        <v xml:space="preserve"> </v>
      </c>
      <c r="BR294" s="353" t="str">
        <f t="shared" si="948"/>
        <v xml:space="preserve"> </v>
      </c>
      <c r="BS294" s="626" t="str">
        <f>IF(L294&gt;0,IF(Calculation!P294="M13",BR294*3.1416*(0.134^2)/(4*144),IF(Calculation!P294="M17",BR294*3.1416*(0.165^2)/(4*144),IF(Calculation!P294="M20",BR294*3.1416*(0.198^2)/(4*144),IF(Calculation!P294="M23",BR294*3.1416*(0.228^2)/(4*144),IF(Calculation!P294="M27",BR294*3.1416*(0.269^2)/(4*144),BR294*3.1416*(0.307^2)/(4*144))))))," ")</f>
        <v xml:space="preserve"> </v>
      </c>
      <c r="BT294" s="353" t="str">
        <f>IF(L294&gt;0,IF(BS294&gt;0,R294/Calculation!BS294,0)," ")</f>
        <v xml:space="preserve"> </v>
      </c>
      <c r="BU294" s="438" t="e">
        <f t="shared" ca="1" si="856"/>
        <v>#VALUE!</v>
      </c>
      <c r="BV294" s="449" t="e">
        <f ca="1">INDEX(INDIRECT(VLOOKUP(LEFT(BO294,7),CLU!$Z$3:$AH$18,2)),GN294,GR294)</f>
        <v>#N/A</v>
      </c>
      <c r="BW294" s="433" t="e">
        <f ca="1">INDEX(INDIRECT(VLOOKUP(LEFT(BO294,7),CLU!$Z$3:$AH$18,3)),GN294,GR294)</f>
        <v>#N/A</v>
      </c>
      <c r="BX294" s="433" t="e">
        <f ca="1">INDEX(INDIRECT(VLOOKUP(LEFT(BO294,7),CLU!$Z$3:$AH$18,4)),GN294,GR294)</f>
        <v>#N/A</v>
      </c>
      <c r="BY294" s="433" t="e">
        <f ca="1">INDEX(INDIRECT(VLOOKUP(LEFT(BO294,7),CLU!$Z$3:$AH$18,9)),((M294-2)*(6-COUNTBLANK(GT294:GY294)))+GJ294)</f>
        <v>#N/A</v>
      </c>
      <c r="BZ294" s="426" t="e">
        <f t="shared" ca="1" si="949"/>
        <v>#N/A</v>
      </c>
      <c r="CA294" s="424" t="e">
        <f t="shared" ca="1" si="950"/>
        <v>#N/A</v>
      </c>
      <c r="CB294" s="429" t="e">
        <f ca="1">INDEX(INDIRECT(VLOOKUP(LEFT(BO294,7),CLU!$Z$3:$AH$18,2)),GN294,GS294)</f>
        <v>#N/A</v>
      </c>
      <c r="CC294" s="342" t="e">
        <f ca="1">INDEX(INDIRECT(VLOOKUP(LEFT(BO294,7),CLU!$Z$3:$AH$18,3)),GN294,GS294)</f>
        <v>#N/A</v>
      </c>
      <c r="CD294" s="342" t="e">
        <f ca="1">INDEX(INDIRECT(VLOOKUP(LEFT(BO294,7),CLU!$Z$3:$AH$18,4)),GN294,GS294)</f>
        <v>#N/A</v>
      </c>
      <c r="CE294" s="426" t="e">
        <f t="shared" ca="1" si="951"/>
        <v>#N/A</v>
      </c>
      <c r="CF294" s="440">
        <f t="shared" si="952"/>
        <v>0</v>
      </c>
      <c r="CG294" s="431" t="e">
        <f ca="1">INDEX(INDIRECT(VLOOKUP(LEFT(BO294,7),CLU!$Z$3:$AH$18,2)),GQ294,GR294)</f>
        <v>#N/A</v>
      </c>
      <c r="CH294" s="431" t="e">
        <f ca="1">INDEX(INDIRECT(VLOOKUP(LEFT(BO294,7),CLU!$Z$3:$AH$18,3)),GQ294,GR294)</f>
        <v>#N/A</v>
      </c>
      <c r="CI294" s="431" t="e">
        <f ca="1">INDEX(INDIRECT(VLOOKUP(LEFT(BO294,7),CLU!$Z$3:$AH$18,4)),GQ294,GR294)</f>
        <v>#N/A</v>
      </c>
      <c r="CJ294" s="448" t="e">
        <f t="shared" ca="1" si="953"/>
        <v>#N/A</v>
      </c>
      <c r="CK294" s="431" t="e">
        <f t="shared" ca="1" si="954"/>
        <v>#N/A</v>
      </c>
      <c r="CL294" s="440" t="e">
        <f t="shared" ca="1" si="955"/>
        <v>#N/A</v>
      </c>
      <c r="CM294" s="431" t="e">
        <f ca="1">INDEX(INDIRECT(VLOOKUP(LEFT(BO294,7),CLU!$Z$3:$AH$18,2)),GQ294,GS294)</f>
        <v>#N/A</v>
      </c>
      <c r="CN294" s="431" t="e">
        <f ca="1">INDEX(INDIRECT(VLOOKUP(LEFT(BO294,7),CLU!$Z$3:$AH$18,3)),GQ294,GS294)</f>
        <v>#N/A</v>
      </c>
      <c r="CO294" s="431" t="e">
        <f ca="1">INDEX(INDIRECT(VLOOKUP(LEFT(BO294,7),CLU!$Z$3:$AH$18,4)),GQ294,GS294)</f>
        <v>#N/A</v>
      </c>
      <c r="CP294" s="431" t="e">
        <f t="shared" ca="1" si="956"/>
        <v>#N/A</v>
      </c>
      <c r="CQ294" s="440">
        <f t="shared" si="957"/>
        <v>0</v>
      </c>
      <c r="CR294" s="51" t="e">
        <f t="shared" ca="1" si="958"/>
        <v>#N/A</v>
      </c>
      <c r="CS294" s="439" t="e">
        <f t="shared" ca="1" si="959"/>
        <v>#VALUE!</v>
      </c>
      <c r="CT294" s="51" t="e">
        <f t="shared" ca="1" si="960"/>
        <v>#VALUE!</v>
      </c>
      <c r="CU294" s="10"/>
      <c r="CV294" s="51" t="e">
        <f t="shared" ca="1" si="857"/>
        <v>#VALUE!</v>
      </c>
      <c r="CW294" s="51">
        <f t="shared" si="961"/>
        <v>0</v>
      </c>
      <c r="CX294" s="439" t="e">
        <f t="shared" ca="1" si="962"/>
        <v>#VALUE!</v>
      </c>
      <c r="CY294" s="51" t="e">
        <f t="shared" ca="1" si="963"/>
        <v>#VALUE!</v>
      </c>
      <c r="CZ294" s="10"/>
      <c r="DA294" s="51" t="e">
        <f t="shared" ca="1" si="964"/>
        <v>#VALUE!</v>
      </c>
      <c r="DB294" s="347" t="e">
        <f ca="1">INDEX(INDIRECT(VLOOKUP(LEFT(BO294,7),CLU!$Z$3:$AI$18,10)),((M294-2)*(6-COUNTBLANK(GT294:GY294)))+GJ294)*LI294</f>
        <v>#N/A</v>
      </c>
      <c r="DC294" s="347" t="str">
        <f>IF(L294&gt;0,((R294/Worksheet!$I$15)/DB294)^2," ")</f>
        <v xml:space="preserve"> </v>
      </c>
      <c r="DD294" s="602" t="str">
        <f t="shared" si="965"/>
        <v xml:space="preserve"> </v>
      </c>
      <c r="DE294" s="347" t="str">
        <f t="shared" si="858"/>
        <v xml:space="preserve"> </v>
      </c>
      <c r="DF294" s="356" t="e">
        <f ca="1">INDEX(INDIRECT(VLOOKUP(LEFT(BO294,7),CLU!$Z$3:$AH$18,8)),((M294-2)*(6-COUNTBLANK(GT294:GY294)))+GJ294)</f>
        <v>#N/A</v>
      </c>
      <c r="DG294" s="347" t="str">
        <f t="shared" si="859"/>
        <v xml:space="preserve"> </v>
      </c>
      <c r="DH294" s="357" t="str">
        <f t="shared" si="860"/>
        <v xml:space="preserve"> </v>
      </c>
      <c r="DI294" s="355" t="str">
        <f t="shared" si="861"/>
        <v xml:space="preserve"> </v>
      </c>
      <c r="DJ294" s="245" t="e">
        <f ca="1">INDEX(INDIRECT(VLOOKUP(LEFT(BO294,7),CLU!$Z$3:$AH$18,5)),GL294,GK294)</f>
        <v>#N/A</v>
      </c>
      <c r="DK294" s="245" t="e">
        <f ca="1">INDEX(INDIRECT(VLOOKUP(LEFT(BO294,7),CLU!$Z$3:$AH$18,6)),GL294,GK294)</f>
        <v>#N/A</v>
      </c>
      <c r="DL294" s="355">
        <f>(Calculation!R294*0.69143*(Calculation!$BQ$8-Calculation!$F$8))*$S$14</f>
        <v>0</v>
      </c>
      <c r="DM294" s="359" t="e">
        <f t="shared" si="966"/>
        <v>#VALUE!</v>
      </c>
      <c r="DN294" s="611">
        <f t="shared" si="967"/>
        <v>0</v>
      </c>
      <c r="DO294" s="359">
        <f t="shared" si="968"/>
        <v>100</v>
      </c>
      <c r="DP294" s="359">
        <f t="shared" si="969"/>
        <v>0</v>
      </c>
      <c r="DQ294" s="360"/>
      <c r="DR294" s="245" t="e">
        <f ca="1">INDEX(INDIRECT(VLOOKUP(LEFT(BO294,7),CLU!$Z$3:$AH$18,7)),M294-1,1)</f>
        <v>#N/A</v>
      </c>
      <c r="DS294" s="245" t="e">
        <f ca="1">INDEX(INDIRECT(VLOOKUP(LEFT(BO294,7),CLU!$Z$3:$AH$18,7)),M294-1,2)</f>
        <v>#N/A</v>
      </c>
      <c r="DT294" s="245" t="e">
        <f ca="1">INDEX(INDIRECT(VLOOKUP(LEFT(BO294,7),CLU!$Z$3:$AH$18,7)),M294-1,3)</f>
        <v>#N/A</v>
      </c>
      <c r="DU294" s="245" t="e">
        <f ca="1">INDEX(INDIRECT(VLOOKUP(LEFT(BO294,7),CLU!$Z$3:$AH$18,7)),M294-1,4)</f>
        <v>#N/A</v>
      </c>
      <c r="DV294" s="361" t="e">
        <f ca="1">INDEX(INDIRECT(VLOOKUP(LEFT(BO294,7),CLU!$Z$3:$AH$18,7)),M294-1,4+LEFT(DZ294,1)*0.5)</f>
        <v>#N/A</v>
      </c>
      <c r="DW294" s="245" t="e">
        <f ca="1">INDEX(INDIRECT(VLOOKUP(LEFT(BO294,7),CLU!$Z$3:$AH$18,7)),M294-1,8)</f>
        <v>#N/A</v>
      </c>
      <c r="DX294" s="361" t="str">
        <f t="shared" si="862"/>
        <v xml:space="preserve"> </v>
      </c>
      <c r="DY294" s="361" t="str">
        <f t="shared" si="863"/>
        <v xml:space="preserve"> </v>
      </c>
      <c r="DZ294" s="361" t="str">
        <f t="shared" si="864"/>
        <v xml:space="preserve"> </v>
      </c>
      <c r="EA294" s="362" t="str">
        <f t="shared" si="865"/>
        <v xml:space="preserve"> </v>
      </c>
      <c r="EB294" s="624" t="str">
        <f t="shared" si="970"/>
        <v xml:space="preserve"> </v>
      </c>
      <c r="EC294" s="361" t="e">
        <f ca="1">INDEX(INDIRECT(VLOOKUP(LEFT(BO294,7),CLU!$Z$3:$AH$18,7)),M294-1,4+LEFT(DZ294,1)*0.5)</f>
        <v>#N/A</v>
      </c>
      <c r="ED294" s="362" t="str">
        <f t="shared" si="866"/>
        <v xml:space="preserve"> </v>
      </c>
      <c r="EE294" s="361" t="str">
        <f t="shared" si="867"/>
        <v xml:space="preserve"> </v>
      </c>
      <c r="EF294" s="362" t="str">
        <f>IF(L294&gt;0,IF(BR294&gt;0,IF(EE294="2P",IF(Calculation!DZ294="2P",IF(Calculation!DS294=13.75,IF(Calculation!DR294=13,Worksheet!$BD$43,IF(Calculation!DR294=37,Worksheet!$BD$44,Worksheet!$BD$45)),IF(Calculation!DS294=10,IF(Calculation!DR294=18,Worksheet!$BD$29,IF(Calculation!DR294=30,Worksheet!$BD$30,IF(Calculation!DR294=42,Worksheet!$BD$31,IF(Calculation!DR294=54,Worksheet!$BD$32,IF(Calculation!DR294=66,Worksheet!$BD$33,IF(Calculation!DR294=78,Worksheet!$BD$34,IF(Calculation!DR294=90,Worksheet!$BD$35,IF(Calculation!DR294=102,Worksheet!$BD$36,Worksheet!$BD$37)))))))),IF(Calculation!DS294=12.5,IF(Calculation!DR294=18,Worksheet!$BD$38,IF(Calculation!DR294=Worksheet!$BD$39,IF(Calculation!DR294=42,Worksheet!$BD$40,IF(Calculation!DR294=54,Worksheet!$BD$41,Worksheet!$BD$42)))),IF(Calculation!DR294=18,Worksheet!$BD$11,IF(Calculation!DR294=30,Worksheet!$BD$12,IF(Calculation!DR294=42,Worksheet!$BD$13,IF(Calculation!DR294=54,Worksheet!$BD$14,IF(Calculation!DR294=66,Worksheet!$BD$15,IF(Calculation!DR294=78,Worksheet!$BD$16,IF(Calculation!DR294=90,Worksheet!$BD$17,IF(Calculation!DR294=102,Worksheet!$BD$18,Worksheet!$BD$19))))))))))),IF(Calculation!DS294=13.75,IF(Calculation!DR294=13,Worksheet!$BD$78,IF(Calculation!DR294=37,Worksheet!$BD$79,Worksheet!$BD$80)),IF(Calculation!DS294=10,IF(Calculation!DR294=18,Worksheet!$BD$64,IF(Calculation!DR294=30,Worksheet!$BD$65,IF(Calculation!DR294=42,Worksheet!$BD$66,IF(Calculation!DR294=54,Worksheet!$BD$68,IF(Calculation!DR294=66,Worksheet!$BD$68,IF(Calculation!DR294=78,Worksheet!$BD$69,IF(Calculation!DR294=90,Worksheet!$BD$70,IF(Calculation!DR294=102,Worksheet!$BD$71,Worksheet!$BD$72)))))))),IF(Calculation!DS294=12.5,IF(Calculation!DR294=18,Worksheet!$BD$73,IF(Calculation!DR294=Worksheet!$BD$74,IF(Calculation!DR294=42,Worksheet!$BD$75,IF(Calculation!DR294=54,Worksheet!$BD$76,Worksheet!$BD$77)))),IF(Calculation!DR294=18,Worksheet!$BD$55,IF(Calculation!DR294=30,Worksheet!$BD$56,IF(Calculation!DR294=42,Worksheet!$BD$57,IF(Calculation!DR294=54,Worksheet!$BD$58,IF(Calculation!DR294=66,Worksheet!$BD$59,IF(Calculation!DR294=78,Worksheet!$BD$60,IF(Calculation!DR294=90,Worksheet!$BD$61,IF(Calculation!DR294=102,Worksheet!$BD$62,Worksheet!$BD$63)))))))))))),5),0)," ")</f>
        <v xml:space="preserve"> </v>
      </c>
      <c r="EG294" s="361" t="str">
        <f t="shared" si="868"/>
        <v xml:space="preserve"> </v>
      </c>
      <c r="EH294" s="361" t="e">
        <f ca="1">INDEX(INDIRECT(VLOOKUP(LEFT(BO294,7),CLU!$Z$3:$AH$18,7)),M294-1,3+LEFT(DZ294,1))</f>
        <v>#N/A</v>
      </c>
      <c r="EI294" s="362" t="str">
        <f t="shared" si="869"/>
        <v xml:space="preserve"> </v>
      </c>
      <c r="EJ294" s="363" t="str">
        <f t="shared" si="870"/>
        <v xml:space="preserve"> </v>
      </c>
      <c r="EK294" s="363" t="str">
        <f t="shared" si="871"/>
        <v xml:space="preserve"> </v>
      </c>
      <c r="EL294" s="363" t="str">
        <f t="shared" si="872"/>
        <v xml:space="preserve"> </v>
      </c>
      <c r="EM294" s="362" t="str">
        <f>IF(L294&gt;0,IF(BR294&gt;0,(Calculation!T294/ED294)^2,0)," ")</f>
        <v xml:space="preserve"> </v>
      </c>
      <c r="EN294" s="362" t="str">
        <f>IF(L294&gt;0,IF(O294="2 Pipe (Cooling)","N/A",IF(BR294&gt;0,(Calculation!U294/EI294)^2,0))," ")</f>
        <v xml:space="preserve"> </v>
      </c>
      <c r="EO294" s="361" t="str">
        <f t="shared" si="873"/>
        <v/>
      </c>
      <c r="EP294" s="361" t="str">
        <f t="shared" si="874"/>
        <v/>
      </c>
      <c r="EQ294" s="361" t="str">
        <f t="shared" si="875"/>
        <v/>
      </c>
      <c r="ER294" s="361" t="str">
        <f t="shared" si="876"/>
        <v/>
      </c>
      <c r="ES294" s="361" t="str">
        <f t="shared" si="877"/>
        <v/>
      </c>
      <c r="ET294" s="361" t="str">
        <f t="shared" si="878"/>
        <v/>
      </c>
      <c r="EU294" s="361" t="str">
        <f t="shared" si="879"/>
        <v/>
      </c>
      <c r="EV294" s="361" t="str">
        <f t="shared" si="880"/>
        <v/>
      </c>
      <c r="EW294" s="361" t="str">
        <f t="shared" si="881"/>
        <v/>
      </c>
      <c r="EX294" s="361" t="str">
        <f t="shared" si="971"/>
        <v>1 slot, 1 way</v>
      </c>
      <c r="EY294" s="361" t="str">
        <f t="shared" si="972"/>
        <v xml:space="preserve"> </v>
      </c>
      <c r="EZ294" s="361" t="str">
        <f t="shared" si="973"/>
        <v xml:space="preserve"> </v>
      </c>
      <c r="FA294" s="361" t="str">
        <f t="shared" si="974"/>
        <v xml:space="preserve"> </v>
      </c>
      <c r="FB294" s="361" t="str">
        <f t="shared" si="975"/>
        <v xml:space="preserve"> </v>
      </c>
      <c r="FC294" s="361"/>
      <c r="FD294" s="361" t="str">
        <f>IF(J294&gt;0,IF(Calculation!R294&lt;=70,4,IF(Calculation!R294&lt;=110,5,IF(Calculation!R294&lt;=160,6,IF(Calculation!R294&lt;=300,8,"10 EO")))),"")</f>
        <v/>
      </c>
      <c r="FE294" s="361" t="str">
        <f t="shared" si="976"/>
        <v/>
      </c>
      <c r="FF294" s="361" t="str">
        <f t="shared" si="977"/>
        <v/>
      </c>
      <c r="FG294" s="361" t="e">
        <f t="shared" si="882"/>
        <v>#N/A</v>
      </c>
      <c r="FH294" s="361">
        <f t="shared" si="883"/>
        <v>0</v>
      </c>
      <c r="FI294" s="361" t="e">
        <f t="shared" si="884"/>
        <v>#DIV/0!</v>
      </c>
      <c r="FJ294" s="361"/>
      <c r="FK294" s="356" t="e">
        <f t="shared" si="885"/>
        <v>#VALUE!</v>
      </c>
      <c r="FL294" s="361"/>
      <c r="FM294" s="361"/>
      <c r="FN294" s="362" t="str">
        <f t="shared" si="978"/>
        <v xml:space="preserve"> </v>
      </c>
      <c r="FO294" s="362" t="str">
        <f t="shared" si="979"/>
        <v xml:space="preserve"> </v>
      </c>
      <c r="FP294" s="362">
        <f t="shared" si="980"/>
        <v>0</v>
      </c>
      <c r="FQ294" s="361">
        <f t="shared" si="886"/>
        <v>0</v>
      </c>
      <c r="FR294" s="362" t="str">
        <f>IF(L294&gt;0,IF(J294="CBAL2",Worksheet!$P$67,IF(J294="CBE2-24",Worksheet!$Q$67,IF(J294="CBAM",Worksheet!$R$67,IF(J294="CBLV",Worksheet!$S$67,IF(J294="CBAB",Worksheet!$U$67,IF(J294="CBAW",Worksheet!$X$67,IF(J294="CBE2-12",Worksheet!$Y$67,IF(J294="CBAL2",Worksheet!$Z$67,"N/A"))))))))," ")</f>
        <v xml:space="preserve"> </v>
      </c>
      <c r="FS294" s="362" t="str">
        <f>IF(L294&gt;0,IF(J294="CBAL2",Worksheet!$P$68,IF(J294="CBE2-24",Worksheet!$Q$68,IF(J294="CBAM",Worksheet!$R$68,IF(J294="CBLV",Worksheet!$S$68,IF(J294="CBAB",Worksheet!$U$68,IF(J294="CBAW",Worksheet!$X$68,IF(J294="CBE2-12",Worksheet!$Y$68,IF(J294="CBAL2",Worksheet!$Z$68,"N/A"))))))))," ")</f>
        <v xml:space="preserve"> </v>
      </c>
      <c r="FT294" s="362" t="str">
        <f>IF(L294&gt;0,IF(J294="CBAL2",Worksheet!$P$69,IF(J294="CBE2-24",Worksheet!$Q$69,IF(J294="CBAM",Worksheet!$R$69,IF(J294="CBLV",Worksheet!$S$69,IF(J294="CBAB",Worksheet!$U$69,IF(J294="CBAW",Worksheet!$X$69,IF(J294="CBE2-12",Worksheet!$Y$69,IF(J294="CBAL2",Worksheet!$Z$69,"N/A"))))))))," ")</f>
        <v xml:space="preserve"> </v>
      </c>
      <c r="FU294" s="361" t="str">
        <f t="shared" si="981"/>
        <v xml:space="preserve"> </v>
      </c>
      <c r="FV294" s="362" t="str">
        <f t="shared" si="982"/>
        <v xml:space="preserve"> </v>
      </c>
      <c r="FW294" s="362" t="str">
        <f t="shared" si="983"/>
        <v xml:space="preserve"> </v>
      </c>
      <c r="FX294" s="362" t="str">
        <f t="shared" si="984"/>
        <v xml:space="preserve"> </v>
      </c>
      <c r="FY294" s="355" t="str">
        <f t="shared" si="985"/>
        <v xml:space="preserve"> </v>
      </c>
      <c r="FZ294" s="361" t="str">
        <f t="shared" si="986"/>
        <v xml:space="preserve"> </v>
      </c>
      <c r="GA294" s="347" t="str">
        <f t="shared" si="987"/>
        <v xml:space="preserve"> </v>
      </c>
      <c r="GB294" s="355" t="str">
        <f t="shared" si="988"/>
        <v xml:space="preserve"> </v>
      </c>
      <c r="GC294" s="328" t="str">
        <f t="shared" si="989"/>
        <v xml:space="preserve"> </v>
      </c>
      <c r="GD294" s="361" t="str">
        <f t="shared" si="990"/>
        <v xml:space="preserve"> </v>
      </c>
      <c r="GE294" s="347" t="str">
        <f t="shared" si="991"/>
        <v xml:space="preserve"> </v>
      </c>
      <c r="GF294" s="361" t="str">
        <f t="shared" si="992"/>
        <v xml:space="preserve"> </v>
      </c>
      <c r="GG294" s="347" t="str">
        <f t="shared" si="993"/>
        <v xml:space="preserve"> </v>
      </c>
      <c r="GH294" s="364">
        <f t="shared" si="887"/>
        <v>0</v>
      </c>
      <c r="GI294" s="362">
        <f t="shared" si="994"/>
        <v>2</v>
      </c>
      <c r="GJ294" s="433" t="e">
        <f>IF(6-COUNTBLANK(GT294:GY294)=4,MATCH(MID(BO294,9,3),CLU!$H$16:$K$16),MATCH(MID(BO294,9,3),CLU!$H$13:$M$13))</f>
        <v>#N/A</v>
      </c>
      <c r="GK294" s="433" t="e">
        <f>HLOOKUP(VALUE(BP294),CLU!$H$9:$M$10,2)</f>
        <v>#VALUE!</v>
      </c>
      <c r="GL294" s="433" t="e">
        <f ca="1">MATCH(BU294,CLU!$H$2:$V$2,1)</f>
        <v>#VALUE!</v>
      </c>
      <c r="GM294" s="433" t="e">
        <f t="shared" ca="1" si="995"/>
        <v>#VALUE!</v>
      </c>
      <c r="GN294" s="433" t="e">
        <f t="shared" ca="1" si="996"/>
        <v>#VALUE!</v>
      </c>
      <c r="GO294" s="433" t="e">
        <f t="shared" ca="1" si="997"/>
        <v>#VALUE!</v>
      </c>
      <c r="GP294" s="433" t="e">
        <f t="shared" ca="1" si="998"/>
        <v>#VALUE!</v>
      </c>
      <c r="GQ294" s="433" t="e">
        <f t="shared" ca="1" si="999"/>
        <v>#VALUE!</v>
      </c>
      <c r="GR294" s="433" t="e">
        <f ca="1">MATCH(T294,INDIRECT(VLOOKUP(CONCATENATE(LEFT(BO294,7),"-",MID(BO294,13,1)),CLU!$P$3:$Q$16,2)),1)</f>
        <v>#N/A</v>
      </c>
      <c r="GS294" s="433" t="e">
        <f ca="1">MATCH(U294,INDIRECT(VLOOKUP(CONCATENATE(LEFT(BO294,7),"-",MID(BO294,13,1)),CLU!$P$3:$Q$16,2)),1)</f>
        <v>#N/A</v>
      </c>
      <c r="GT294" s="347" t="s">
        <v>512</v>
      </c>
      <c r="GU294" s="97" t="s">
        <v>513</v>
      </c>
      <c r="GV294" s="97" t="str">
        <f t="shared" si="1000"/>
        <v>M23</v>
      </c>
      <c r="GW294" s="97" t="str">
        <f t="shared" si="1001"/>
        <v>M31</v>
      </c>
      <c r="GX294" s="97" t="str">
        <f t="shared" si="1002"/>
        <v/>
      </c>
      <c r="GY294" s="97" t="str">
        <f t="shared" si="1003"/>
        <v/>
      </c>
      <c r="GZ294" s="481"/>
      <c r="HA294" s="240"/>
      <c r="HB294" s="240"/>
      <c r="HC294" s="240"/>
      <c r="HD294" s="240"/>
      <c r="HE294" s="240"/>
      <c r="HF294" s="240"/>
      <c r="HG294" s="240"/>
      <c r="HH294" s="240"/>
      <c r="HI294" s="240"/>
      <c r="HJ294" s="240"/>
      <c r="HK294" s="240"/>
      <c r="HL294" s="240"/>
      <c r="HM294" s="240"/>
      <c r="HN294" s="240"/>
      <c r="HO294" s="240"/>
      <c r="HP294" s="240"/>
      <c r="HQ294" s="240"/>
      <c r="HR294" s="240"/>
      <c r="HS294" s="240"/>
      <c r="HT294" s="240"/>
      <c r="HU294" s="240"/>
      <c r="HV294" s="245"/>
      <c r="HW294" s="245" t="b">
        <v>1</v>
      </c>
      <c r="HX294" s="245" t="str">
        <f t="shared" si="888"/>
        <v/>
      </c>
      <c r="HY294" s="245" t="e">
        <f t="shared" si="889"/>
        <v>#DIV/0!</v>
      </c>
      <c r="HZ294" s="245" t="e">
        <f t="shared" si="890"/>
        <v>#DIV/0!</v>
      </c>
      <c r="IA294" s="245">
        <f t="shared" si="891"/>
        <v>0</v>
      </c>
      <c r="IB294" s="245"/>
      <c r="IC294" t="b">
        <f t="shared" si="892"/>
        <v>1</v>
      </c>
      <c r="ID294" s="245" t="b">
        <f t="shared" si="893"/>
        <v>1</v>
      </c>
      <c r="IE294" s="245" t="b">
        <f t="shared" si="894"/>
        <v>1</v>
      </c>
      <c r="IF294" s="245" t="b">
        <f t="shared" si="895"/>
        <v>0</v>
      </c>
      <c r="IG294" s="245" t="b">
        <f t="shared" si="896"/>
        <v>1</v>
      </c>
      <c r="IH294" s="245" t="b">
        <f t="shared" si="897"/>
        <v>1</v>
      </c>
      <c r="II294" s="245">
        <f t="shared" si="1004"/>
        <v>0</v>
      </c>
      <c r="IJ294" s="245" t="e">
        <f t="shared" si="898"/>
        <v>#VALUE!</v>
      </c>
      <c r="IK294" s="245" t="e">
        <f t="shared" si="899"/>
        <v>#VALUE!</v>
      </c>
      <c r="IL294" s="245"/>
      <c r="IM294" s="245" t="e">
        <f t="shared" si="1005"/>
        <v>#N/A</v>
      </c>
      <c r="IN294" s="245" t="e">
        <f t="shared" si="1006"/>
        <v>#N/A</v>
      </c>
      <c r="IO294" s="245"/>
      <c r="IP294" s="245"/>
      <c r="IQ294" s="245" t="str">
        <f t="shared" si="900"/>
        <v/>
      </c>
      <c r="IR294" s="245" t="str">
        <f>IF(J294="","",VLOOKUP(J294,Worksheet!$R$4:$T$14,2))</f>
        <v/>
      </c>
      <c r="IS294" s="245"/>
      <c r="IT294" s="245">
        <f t="shared" si="901"/>
        <v>0</v>
      </c>
      <c r="IU294" s="245">
        <f t="shared" si="902"/>
        <v>0</v>
      </c>
      <c r="IV294" s="245">
        <f t="shared" si="903"/>
        <v>0</v>
      </c>
      <c r="IW294" s="245">
        <f t="shared" si="904"/>
        <v>0</v>
      </c>
      <c r="IX294" s="245">
        <f t="shared" si="1007"/>
        <v>0</v>
      </c>
      <c r="IY294" s="245">
        <f t="shared" si="905"/>
        <v>0</v>
      </c>
      <c r="IZ294" s="245">
        <f t="shared" si="906"/>
        <v>0</v>
      </c>
      <c r="JA294">
        <f t="shared" si="907"/>
        <v>0</v>
      </c>
      <c r="JB294">
        <f t="shared" si="1008"/>
        <v>0</v>
      </c>
      <c r="JC294">
        <f t="shared" si="908"/>
        <v>0</v>
      </c>
      <c r="JD294">
        <f t="shared" si="909"/>
        <v>0</v>
      </c>
      <c r="JE294">
        <f t="shared" si="910"/>
        <v>0</v>
      </c>
      <c r="JF294">
        <f t="shared" si="911"/>
        <v>0</v>
      </c>
      <c r="JG294">
        <f t="shared" si="912"/>
        <v>0</v>
      </c>
      <c r="JH294">
        <f t="shared" si="913"/>
        <v>0</v>
      </c>
      <c r="JI294">
        <f t="shared" si="914"/>
        <v>0</v>
      </c>
      <c r="JJ294" s="447">
        <f t="shared" si="915"/>
        <v>0</v>
      </c>
      <c r="JK294" s="447">
        <f t="shared" si="916"/>
        <v>0</v>
      </c>
      <c r="JL294">
        <f t="shared" si="917"/>
        <v>0</v>
      </c>
      <c r="JM294" s="245" t="str">
        <f>IFERROR(VLOOKUP(MATCH(BN294,#REF!,0),#REF!,7),"")</f>
        <v/>
      </c>
      <c r="JN294" t="e">
        <f>HLOOKUP(LEFT(BO294,7),Discharge_Area,MATCH(JO294,LookUps!$B$130:$B$149,1)+2)</f>
        <v>#N/A</v>
      </c>
      <c r="JO294" t="str">
        <f t="shared" si="918"/>
        <v>- S</v>
      </c>
      <c r="JP294" t="e">
        <f>HLOOKUP(LEFT(BO294,7),Discharge_Area,MATCH(JO294,LookUps!$B$130:$B$149,1)+2)</f>
        <v>#N/A</v>
      </c>
      <c r="JQ294" t="e">
        <f t="shared" si="919"/>
        <v>#N/A</v>
      </c>
      <c r="JR294" t="e">
        <f t="shared" si="920"/>
        <v>#N/A</v>
      </c>
      <c r="JS294" t="e">
        <f t="shared" si="921"/>
        <v>#N/A</v>
      </c>
      <c r="JT294" s="532" t="str">
        <f t="shared" si="922"/>
        <v xml:space="preserve"> </v>
      </c>
      <c r="JU294" s="532" t="str">
        <f t="shared" si="923"/>
        <v xml:space="preserve"> </v>
      </c>
      <c r="JV294" s="533" t="str">
        <f t="shared" si="924"/>
        <v xml:space="preserve"> </v>
      </c>
      <c r="JW294" s="534">
        <f t="shared" si="925"/>
        <v>0</v>
      </c>
      <c r="JX294" s="535" t="str">
        <f t="shared" si="1009"/>
        <v xml:space="preserve"> </v>
      </c>
      <c r="JY294" s="535" t="str">
        <f t="shared" si="1010"/>
        <v xml:space="preserve"> </v>
      </c>
      <c r="JZ294" s="535" t="str">
        <f t="shared" si="1011"/>
        <v xml:space="preserve"> </v>
      </c>
      <c r="KA294" s="536" t="str">
        <f t="shared" si="926"/>
        <v xml:space="preserve"> </v>
      </c>
      <c r="KB294" s="535" t="e">
        <f t="shared" si="1012"/>
        <v>#VALUE!</v>
      </c>
      <c r="KC294" s="535" t="str">
        <f t="shared" si="927"/>
        <v/>
      </c>
      <c r="KD294" s="537" t="str">
        <f t="shared" si="1013"/>
        <v xml:space="preserve"> </v>
      </c>
      <c r="KE294" s="537" t="str">
        <f t="shared" si="1014"/>
        <v xml:space="preserve"> </v>
      </c>
      <c r="KF294" s="534">
        <f t="shared" si="928"/>
        <v>0</v>
      </c>
      <c r="KG294" s="535" t="str">
        <f t="shared" si="929"/>
        <v xml:space="preserve"> </v>
      </c>
      <c r="KH294" s="535" t="str">
        <f t="shared" si="930"/>
        <v xml:space="preserve"> </v>
      </c>
      <c r="KI294" s="535" t="str">
        <f t="shared" si="931"/>
        <v xml:space="preserve"> </v>
      </c>
      <c r="KJ294" s="536" t="str">
        <f t="shared" si="932"/>
        <v xml:space="preserve"> </v>
      </c>
      <c r="KK294" s="535" t="str">
        <f t="shared" si="1015"/>
        <v xml:space="preserve"> </v>
      </c>
      <c r="KL294" s="535" t="str">
        <f t="shared" si="1016"/>
        <v xml:space="preserve"> </v>
      </c>
      <c r="KM294" s="537" t="str">
        <f t="shared" si="933"/>
        <v xml:space="preserve"> </v>
      </c>
      <c r="KN294" s="537" t="str">
        <f t="shared" si="1017"/>
        <v xml:space="preserve"> </v>
      </c>
      <c r="KP294">
        <f t="shared" si="934"/>
        <v>0</v>
      </c>
      <c r="LA294" t="e">
        <f t="shared" si="935"/>
        <v>#VALUE!</v>
      </c>
      <c r="LB294" t="e">
        <f t="shared" si="936"/>
        <v>#VALUE!</v>
      </c>
      <c r="LC294" t="e">
        <f t="shared" si="937"/>
        <v>#VALUE!</v>
      </c>
      <c r="LD294" t="e">
        <f t="shared" si="938"/>
        <v>#VALUE!</v>
      </c>
      <c r="LE294" t="e">
        <f t="shared" si="1018"/>
        <v>#VALUE!</v>
      </c>
      <c r="LF294">
        <f t="shared" si="939"/>
        <v>0</v>
      </c>
      <c r="LG294" t="e">
        <f t="shared" si="1019"/>
        <v>#VALUE!</v>
      </c>
      <c r="LH294" t="str">
        <f t="shared" si="940"/>
        <v xml:space="preserve"> </v>
      </c>
      <c r="LI294">
        <f t="shared" si="1020"/>
        <v>1</v>
      </c>
    </row>
    <row r="295" spans="2:321" ht="15" customHeight="1">
      <c r="B295" s="311"/>
      <c r="C295" s="311"/>
      <c r="D295" s="312"/>
      <c r="E295" s="311"/>
      <c r="F295" s="312"/>
      <c r="G295" s="311"/>
      <c r="H295" s="311"/>
      <c r="I295" s="232"/>
      <c r="J295" s="311"/>
      <c r="K295" s="305" t="str">
        <f t="shared" si="941"/>
        <v/>
      </c>
      <c r="L295" s="313"/>
      <c r="M295" s="312"/>
      <c r="N295" s="311"/>
      <c r="O295" s="312"/>
      <c r="P295" s="311"/>
      <c r="Q295" s="305" t="str">
        <f t="shared" si="942"/>
        <v/>
      </c>
      <c r="R295" s="314"/>
      <c r="S295" s="450" t="str">
        <f t="shared" si="825"/>
        <v/>
      </c>
      <c r="T295" s="315"/>
      <c r="U295" s="315"/>
      <c r="W295" s="149" t="str">
        <f t="shared" si="826"/>
        <v xml:space="preserve"> </v>
      </c>
      <c r="X295" s="243" t="str">
        <f t="shared" si="827"/>
        <v xml:space="preserve"> </v>
      </c>
      <c r="Y295" s="150" t="str">
        <f t="shared" si="828"/>
        <v/>
      </c>
      <c r="Z295" s="149" t="str">
        <f t="shared" si="829"/>
        <v xml:space="preserve"> </v>
      </c>
      <c r="AA295" s="98" t="str">
        <f t="shared" si="830"/>
        <v xml:space="preserve"> </v>
      </c>
      <c r="AB295" s="153" t="str">
        <f t="shared" si="831"/>
        <v xml:space="preserve"> </v>
      </c>
      <c r="AC295" s="153" t="str">
        <f t="shared" si="832"/>
        <v xml:space="preserve"> </v>
      </c>
      <c r="AD295" s="148" t="str">
        <f t="shared" si="833"/>
        <v/>
      </c>
      <c r="AE295" s="149" t="str">
        <f t="shared" si="834"/>
        <v/>
      </c>
      <c r="AF295" s="151" t="str">
        <f t="shared" si="835"/>
        <v xml:space="preserve"> </v>
      </c>
      <c r="AG295" s="153" t="str">
        <f t="shared" si="836"/>
        <v xml:space="preserve"> </v>
      </c>
      <c r="AH295" s="98" t="str">
        <f t="shared" si="837"/>
        <v xml:space="preserve"> </v>
      </c>
      <c r="AI295" s="149" t="str">
        <f t="shared" si="838"/>
        <v xml:space="preserve"> </v>
      </c>
      <c r="AK295" s="144" t="str">
        <f t="shared" si="839"/>
        <v xml:space="preserve"> </v>
      </c>
      <c r="AL295" s="144"/>
      <c r="AM295" s="243" t="str">
        <f t="shared" si="840"/>
        <v xml:space="preserve"> </v>
      </c>
      <c r="AN295" s="149" t="str">
        <f t="shared" si="943"/>
        <v xml:space="preserve"> </v>
      </c>
      <c r="AO295" s="144" t="str">
        <f>IF(JB295&gt;0,IF(GI295=10,-R295*1.085*(Calculation!$F$6-Calculation!$F$13)*$S$14," "),"")</f>
        <v/>
      </c>
      <c r="AP295" s="144" t="str">
        <f t="shared" si="841"/>
        <v/>
      </c>
      <c r="AQ295" s="56" t="str">
        <f t="shared" si="842"/>
        <v/>
      </c>
      <c r="AR295" s="144" t="str">
        <f t="shared" si="843"/>
        <v/>
      </c>
      <c r="AS295" s="176" t="str">
        <f t="shared" si="844"/>
        <v/>
      </c>
      <c r="AT295" s="176" t="str">
        <f t="shared" si="944"/>
        <v xml:space="preserve"> </v>
      </c>
      <c r="AU295" s="176" t="str">
        <f t="shared" si="845"/>
        <v/>
      </c>
      <c r="AV295" s="177" t="str">
        <f t="shared" si="846"/>
        <v xml:space="preserve"> </v>
      </c>
      <c r="AW295" s="144" t="str">
        <f t="shared" si="847"/>
        <v xml:space="preserve"> </v>
      </c>
      <c r="AX295" s="144" t="str">
        <f t="shared" si="848"/>
        <v xml:space="preserve"> </v>
      </c>
      <c r="AY295" s="152" t="str">
        <f t="shared" si="849"/>
        <v xml:space="preserve"> </v>
      </c>
      <c r="AZ295" s="246" t="str">
        <f t="shared" si="850"/>
        <v/>
      </c>
      <c r="BA295" s="176" t="str">
        <f t="shared" si="851"/>
        <v xml:space="preserve"> </v>
      </c>
      <c r="BB295" s="176" t="str">
        <f t="shared" si="852"/>
        <v xml:space="preserve"> </v>
      </c>
      <c r="BC295" s="195"/>
      <c r="BD295" s="316"/>
      <c r="BE295" s="317"/>
      <c r="BF295" s="318"/>
      <c r="BG295" s="318"/>
      <c r="BH295" s="144" t="str">
        <f t="shared" si="1021"/>
        <v xml:space="preserve"> </v>
      </c>
      <c r="BI295" s="176" t="str">
        <f t="shared" si="853"/>
        <v/>
      </c>
      <c r="BJ295" s="144" t="str">
        <f t="shared" si="1022"/>
        <v/>
      </c>
      <c r="BK295" s="246" t="str">
        <f t="shared" si="854"/>
        <v/>
      </c>
      <c r="BL295" s="144" t="str">
        <f t="shared" si="1023"/>
        <v/>
      </c>
      <c r="BM295" s="246" t="str">
        <f t="shared" si="855"/>
        <v/>
      </c>
      <c r="BN295" s="337" t="str">
        <f t="shared" si="945"/>
        <v/>
      </c>
      <c r="BO295" s="371" t="str">
        <f t="shared" si="946"/>
        <v/>
      </c>
      <c r="BP295" s="328" t="str">
        <f t="shared" si="1024"/>
        <v xml:space="preserve"> </v>
      </c>
      <c r="BQ295" s="347" t="str">
        <f t="shared" si="947"/>
        <v xml:space="preserve"> </v>
      </c>
      <c r="BR295" s="353" t="str">
        <f t="shared" si="948"/>
        <v xml:space="preserve"> </v>
      </c>
      <c r="BS295" s="626" t="str">
        <f>IF(L295&gt;0,IF(Calculation!P295="M13",BR295*3.1416*(0.134^2)/(4*144),IF(Calculation!P295="M17",BR295*3.1416*(0.165^2)/(4*144),IF(Calculation!P295="M20",BR295*3.1416*(0.198^2)/(4*144),IF(Calculation!P295="M23",BR295*3.1416*(0.228^2)/(4*144),IF(Calculation!P295="M27",BR295*3.1416*(0.269^2)/(4*144),BR295*3.1416*(0.307^2)/(4*144))))))," ")</f>
        <v xml:space="preserve"> </v>
      </c>
      <c r="BT295" s="353" t="str">
        <f>IF(L295&gt;0,IF(BS295&gt;0,R295/Calculation!BS295,0)," ")</f>
        <v xml:space="preserve"> </v>
      </c>
      <c r="BU295" s="438" t="e">
        <f t="shared" ca="1" si="856"/>
        <v>#VALUE!</v>
      </c>
      <c r="BV295" s="449" t="e">
        <f ca="1">INDEX(INDIRECT(VLOOKUP(LEFT(BO295,7),CLU!$Z$3:$AH$18,2)),GN295,GR295)</f>
        <v>#N/A</v>
      </c>
      <c r="BW295" s="433" t="e">
        <f ca="1">INDEX(INDIRECT(VLOOKUP(LEFT(BO295,7),CLU!$Z$3:$AH$18,3)),GN295,GR295)</f>
        <v>#N/A</v>
      </c>
      <c r="BX295" s="433" t="e">
        <f ca="1">INDEX(INDIRECT(VLOOKUP(LEFT(BO295,7),CLU!$Z$3:$AH$18,4)),GN295,GR295)</f>
        <v>#N/A</v>
      </c>
      <c r="BY295" s="433" t="e">
        <f ca="1">INDEX(INDIRECT(VLOOKUP(LEFT(BO295,7),CLU!$Z$3:$AH$18,9)),((M295-2)*(6-COUNTBLANK(GT295:GY295)))+GJ295)</f>
        <v>#N/A</v>
      </c>
      <c r="BZ295" s="426" t="e">
        <f t="shared" ca="1" si="949"/>
        <v>#N/A</v>
      </c>
      <c r="CA295" s="424" t="e">
        <f t="shared" ca="1" si="950"/>
        <v>#N/A</v>
      </c>
      <c r="CB295" s="429" t="e">
        <f ca="1">INDEX(INDIRECT(VLOOKUP(LEFT(BO295,7),CLU!$Z$3:$AH$18,2)),GN295,GS295)</f>
        <v>#N/A</v>
      </c>
      <c r="CC295" s="342" t="e">
        <f ca="1">INDEX(INDIRECT(VLOOKUP(LEFT(BO295,7),CLU!$Z$3:$AH$18,3)),GN295,GS295)</f>
        <v>#N/A</v>
      </c>
      <c r="CD295" s="342" t="e">
        <f ca="1">INDEX(INDIRECT(VLOOKUP(LEFT(BO295,7),CLU!$Z$3:$AH$18,4)),GN295,GS295)</f>
        <v>#N/A</v>
      </c>
      <c r="CE295" s="426" t="e">
        <f t="shared" ca="1" si="951"/>
        <v>#N/A</v>
      </c>
      <c r="CF295" s="440">
        <f t="shared" si="952"/>
        <v>0</v>
      </c>
      <c r="CG295" s="431" t="e">
        <f ca="1">INDEX(INDIRECT(VLOOKUP(LEFT(BO295,7),CLU!$Z$3:$AH$18,2)),GQ295,GR295)</f>
        <v>#N/A</v>
      </c>
      <c r="CH295" s="431" t="e">
        <f ca="1">INDEX(INDIRECT(VLOOKUP(LEFT(BO295,7),CLU!$Z$3:$AH$18,3)),GQ295,GR295)</f>
        <v>#N/A</v>
      </c>
      <c r="CI295" s="431" t="e">
        <f ca="1">INDEX(INDIRECT(VLOOKUP(LEFT(BO295,7),CLU!$Z$3:$AH$18,4)),GQ295,GR295)</f>
        <v>#N/A</v>
      </c>
      <c r="CJ295" s="448" t="e">
        <f t="shared" ca="1" si="953"/>
        <v>#N/A</v>
      </c>
      <c r="CK295" s="431" t="e">
        <f t="shared" ca="1" si="954"/>
        <v>#N/A</v>
      </c>
      <c r="CL295" s="440" t="e">
        <f t="shared" ca="1" si="955"/>
        <v>#N/A</v>
      </c>
      <c r="CM295" s="431" t="e">
        <f ca="1">INDEX(INDIRECT(VLOOKUP(LEFT(BO295,7),CLU!$Z$3:$AH$18,2)),GQ295,GS295)</f>
        <v>#N/A</v>
      </c>
      <c r="CN295" s="431" t="e">
        <f ca="1">INDEX(INDIRECT(VLOOKUP(LEFT(BO295,7),CLU!$Z$3:$AH$18,3)),GQ295,GS295)</f>
        <v>#N/A</v>
      </c>
      <c r="CO295" s="431" t="e">
        <f ca="1">INDEX(INDIRECT(VLOOKUP(LEFT(BO295,7),CLU!$Z$3:$AH$18,4)),GQ295,GS295)</f>
        <v>#N/A</v>
      </c>
      <c r="CP295" s="431" t="e">
        <f t="shared" ca="1" si="956"/>
        <v>#N/A</v>
      </c>
      <c r="CQ295" s="440">
        <f t="shared" si="957"/>
        <v>0</v>
      </c>
      <c r="CR295" s="51" t="e">
        <f t="shared" ca="1" si="958"/>
        <v>#N/A</v>
      </c>
      <c r="CS295" s="439" t="e">
        <f t="shared" ca="1" si="959"/>
        <v>#VALUE!</v>
      </c>
      <c r="CT295" s="51" t="e">
        <f t="shared" ca="1" si="960"/>
        <v>#VALUE!</v>
      </c>
      <c r="CU295" s="10"/>
      <c r="CV295" s="51" t="e">
        <f t="shared" ca="1" si="857"/>
        <v>#VALUE!</v>
      </c>
      <c r="CW295" s="51">
        <f t="shared" si="961"/>
        <v>0</v>
      </c>
      <c r="CX295" s="439" t="e">
        <f t="shared" ca="1" si="962"/>
        <v>#VALUE!</v>
      </c>
      <c r="CY295" s="51" t="e">
        <f t="shared" ca="1" si="963"/>
        <v>#VALUE!</v>
      </c>
      <c r="CZ295" s="10"/>
      <c r="DA295" s="51" t="e">
        <f t="shared" ca="1" si="964"/>
        <v>#VALUE!</v>
      </c>
      <c r="DB295" s="347" t="e">
        <f ca="1">INDEX(INDIRECT(VLOOKUP(LEFT(BO295,7),CLU!$Z$3:$AI$18,10)),((M295-2)*(6-COUNTBLANK(GT295:GY295)))+GJ295)*LI295</f>
        <v>#N/A</v>
      </c>
      <c r="DC295" s="347" t="str">
        <f>IF(L295&gt;0,((R295/Worksheet!$I$15)/DB295)^2," ")</f>
        <v xml:space="preserve"> </v>
      </c>
      <c r="DD295" s="602" t="str">
        <f t="shared" si="965"/>
        <v xml:space="preserve"> </v>
      </c>
      <c r="DE295" s="347" t="str">
        <f t="shared" si="858"/>
        <v xml:space="preserve"> </v>
      </c>
      <c r="DF295" s="356" t="e">
        <f ca="1">INDEX(INDIRECT(VLOOKUP(LEFT(BO295,7),CLU!$Z$3:$AH$18,8)),((M295-2)*(6-COUNTBLANK(GT295:GY295)))+GJ295)</f>
        <v>#N/A</v>
      </c>
      <c r="DG295" s="347" t="str">
        <f t="shared" si="859"/>
        <v xml:space="preserve"> </v>
      </c>
      <c r="DH295" s="357" t="str">
        <f t="shared" si="860"/>
        <v xml:space="preserve"> </v>
      </c>
      <c r="DI295" s="355" t="str">
        <f t="shared" si="861"/>
        <v xml:space="preserve"> </v>
      </c>
      <c r="DJ295" s="245" t="e">
        <f ca="1">INDEX(INDIRECT(VLOOKUP(LEFT(BO295,7),CLU!$Z$3:$AH$18,5)),GL295,GK295)</f>
        <v>#N/A</v>
      </c>
      <c r="DK295" s="245" t="e">
        <f ca="1">INDEX(INDIRECT(VLOOKUP(LEFT(BO295,7),CLU!$Z$3:$AH$18,6)),GL295,GK295)</f>
        <v>#N/A</v>
      </c>
      <c r="DL295" s="355">
        <f>(Calculation!R295*0.69143*(Calculation!$BQ$8-Calculation!$F$8))*$S$14</f>
        <v>0</v>
      </c>
      <c r="DM295" s="359" t="e">
        <f t="shared" si="966"/>
        <v>#VALUE!</v>
      </c>
      <c r="DN295" s="611">
        <f t="shared" si="967"/>
        <v>0</v>
      </c>
      <c r="DO295" s="359">
        <f t="shared" si="968"/>
        <v>100</v>
      </c>
      <c r="DP295" s="359">
        <f t="shared" si="969"/>
        <v>0</v>
      </c>
      <c r="DQ295" s="360"/>
      <c r="DR295" s="245" t="e">
        <f ca="1">INDEX(INDIRECT(VLOOKUP(LEFT(BO295,7),CLU!$Z$3:$AH$18,7)),M295-1,1)</f>
        <v>#N/A</v>
      </c>
      <c r="DS295" s="245" t="e">
        <f ca="1">INDEX(INDIRECT(VLOOKUP(LEFT(BO295,7),CLU!$Z$3:$AH$18,7)),M295-1,2)</f>
        <v>#N/A</v>
      </c>
      <c r="DT295" s="245" t="e">
        <f ca="1">INDEX(INDIRECT(VLOOKUP(LEFT(BO295,7),CLU!$Z$3:$AH$18,7)),M295-1,3)</f>
        <v>#N/A</v>
      </c>
      <c r="DU295" s="245" t="e">
        <f ca="1">INDEX(INDIRECT(VLOOKUP(LEFT(BO295,7),CLU!$Z$3:$AH$18,7)),M295-1,4)</f>
        <v>#N/A</v>
      </c>
      <c r="DV295" s="361" t="e">
        <f ca="1">INDEX(INDIRECT(VLOOKUP(LEFT(BO295,7),CLU!$Z$3:$AH$18,7)),M295-1,4+LEFT(DZ295,1)*0.5)</f>
        <v>#N/A</v>
      </c>
      <c r="DW295" s="245" t="e">
        <f ca="1">INDEX(INDIRECT(VLOOKUP(LEFT(BO295,7),CLU!$Z$3:$AH$18,7)),M295-1,8)</f>
        <v>#N/A</v>
      </c>
      <c r="DX295" s="361" t="str">
        <f t="shared" si="862"/>
        <v xml:space="preserve"> </v>
      </c>
      <c r="DY295" s="361" t="str">
        <f t="shared" si="863"/>
        <v xml:space="preserve"> </v>
      </c>
      <c r="DZ295" s="361" t="str">
        <f t="shared" si="864"/>
        <v xml:space="preserve"> </v>
      </c>
      <c r="EA295" s="362" t="str">
        <f t="shared" si="865"/>
        <v xml:space="preserve"> </v>
      </c>
      <c r="EB295" s="624" t="str">
        <f t="shared" si="970"/>
        <v xml:space="preserve"> </v>
      </c>
      <c r="EC295" s="361" t="e">
        <f ca="1">INDEX(INDIRECT(VLOOKUP(LEFT(BO295,7),CLU!$Z$3:$AH$18,7)),M295-1,4+LEFT(DZ295,1)*0.5)</f>
        <v>#N/A</v>
      </c>
      <c r="ED295" s="362" t="str">
        <f t="shared" si="866"/>
        <v xml:space="preserve"> </v>
      </c>
      <c r="EE295" s="361" t="str">
        <f t="shared" si="867"/>
        <v xml:space="preserve"> </v>
      </c>
      <c r="EF295" s="362" t="str">
        <f>IF(L295&gt;0,IF(BR295&gt;0,IF(EE295="2P",IF(Calculation!DZ295="2P",IF(Calculation!DS295=13.75,IF(Calculation!DR295=13,Worksheet!$BD$43,IF(Calculation!DR295=37,Worksheet!$BD$44,Worksheet!$BD$45)),IF(Calculation!DS295=10,IF(Calculation!DR295=18,Worksheet!$BD$29,IF(Calculation!DR295=30,Worksheet!$BD$30,IF(Calculation!DR295=42,Worksheet!$BD$31,IF(Calculation!DR295=54,Worksheet!$BD$32,IF(Calculation!DR295=66,Worksheet!$BD$33,IF(Calculation!DR295=78,Worksheet!$BD$34,IF(Calculation!DR295=90,Worksheet!$BD$35,IF(Calculation!DR295=102,Worksheet!$BD$36,Worksheet!$BD$37)))))))),IF(Calculation!DS295=12.5,IF(Calculation!DR295=18,Worksheet!$BD$38,IF(Calculation!DR295=Worksheet!$BD$39,IF(Calculation!DR295=42,Worksheet!$BD$40,IF(Calculation!DR295=54,Worksheet!$BD$41,Worksheet!$BD$42)))),IF(Calculation!DR295=18,Worksheet!$BD$11,IF(Calculation!DR295=30,Worksheet!$BD$12,IF(Calculation!DR295=42,Worksheet!$BD$13,IF(Calculation!DR295=54,Worksheet!$BD$14,IF(Calculation!DR295=66,Worksheet!$BD$15,IF(Calculation!DR295=78,Worksheet!$BD$16,IF(Calculation!DR295=90,Worksheet!$BD$17,IF(Calculation!DR295=102,Worksheet!$BD$18,Worksheet!$BD$19))))))))))),IF(Calculation!DS295=13.75,IF(Calculation!DR295=13,Worksheet!$BD$78,IF(Calculation!DR295=37,Worksheet!$BD$79,Worksheet!$BD$80)),IF(Calculation!DS295=10,IF(Calculation!DR295=18,Worksheet!$BD$64,IF(Calculation!DR295=30,Worksheet!$BD$65,IF(Calculation!DR295=42,Worksheet!$BD$66,IF(Calculation!DR295=54,Worksheet!$BD$68,IF(Calculation!DR295=66,Worksheet!$BD$68,IF(Calculation!DR295=78,Worksheet!$BD$69,IF(Calculation!DR295=90,Worksheet!$BD$70,IF(Calculation!DR295=102,Worksheet!$BD$71,Worksheet!$BD$72)))))))),IF(Calculation!DS295=12.5,IF(Calculation!DR295=18,Worksheet!$BD$73,IF(Calculation!DR295=Worksheet!$BD$74,IF(Calculation!DR295=42,Worksheet!$BD$75,IF(Calculation!DR295=54,Worksheet!$BD$76,Worksheet!$BD$77)))),IF(Calculation!DR295=18,Worksheet!$BD$55,IF(Calculation!DR295=30,Worksheet!$BD$56,IF(Calculation!DR295=42,Worksheet!$BD$57,IF(Calculation!DR295=54,Worksheet!$BD$58,IF(Calculation!DR295=66,Worksheet!$BD$59,IF(Calculation!DR295=78,Worksheet!$BD$60,IF(Calculation!DR295=90,Worksheet!$BD$61,IF(Calculation!DR295=102,Worksheet!$BD$62,Worksheet!$BD$63)))))))))))),5),0)," ")</f>
        <v xml:space="preserve"> </v>
      </c>
      <c r="EG295" s="361" t="str">
        <f t="shared" si="868"/>
        <v xml:space="preserve"> </v>
      </c>
      <c r="EH295" s="361" t="e">
        <f ca="1">INDEX(INDIRECT(VLOOKUP(LEFT(BO295,7),CLU!$Z$3:$AH$18,7)),M295-1,3+LEFT(DZ295,1))</f>
        <v>#N/A</v>
      </c>
      <c r="EI295" s="362" t="str">
        <f t="shared" si="869"/>
        <v xml:space="preserve"> </v>
      </c>
      <c r="EJ295" s="363" t="str">
        <f t="shared" si="870"/>
        <v xml:space="preserve"> </v>
      </c>
      <c r="EK295" s="363" t="str">
        <f t="shared" si="871"/>
        <v xml:space="preserve"> </v>
      </c>
      <c r="EL295" s="363" t="str">
        <f t="shared" si="872"/>
        <v xml:space="preserve"> </v>
      </c>
      <c r="EM295" s="362" t="str">
        <f>IF(L295&gt;0,IF(BR295&gt;0,(Calculation!T295/ED295)^2,0)," ")</f>
        <v xml:space="preserve"> </v>
      </c>
      <c r="EN295" s="362" t="str">
        <f>IF(L295&gt;0,IF(O295="2 Pipe (Cooling)","N/A",IF(BR295&gt;0,(Calculation!U295/EI295)^2,0))," ")</f>
        <v xml:space="preserve"> </v>
      </c>
      <c r="EO295" s="361" t="str">
        <f t="shared" si="873"/>
        <v/>
      </c>
      <c r="EP295" s="361" t="str">
        <f t="shared" si="874"/>
        <v/>
      </c>
      <c r="EQ295" s="361" t="str">
        <f t="shared" si="875"/>
        <v/>
      </c>
      <c r="ER295" s="361" t="str">
        <f t="shared" si="876"/>
        <v/>
      </c>
      <c r="ES295" s="361" t="str">
        <f t="shared" si="877"/>
        <v/>
      </c>
      <c r="ET295" s="361" t="str">
        <f t="shared" si="878"/>
        <v/>
      </c>
      <c r="EU295" s="361" t="str">
        <f t="shared" si="879"/>
        <v/>
      </c>
      <c r="EV295" s="361" t="str">
        <f t="shared" si="880"/>
        <v/>
      </c>
      <c r="EW295" s="361" t="str">
        <f t="shared" si="881"/>
        <v/>
      </c>
      <c r="EX295" s="361" t="str">
        <f t="shared" si="971"/>
        <v>1 slot, 1 way</v>
      </c>
      <c r="EY295" s="361" t="str">
        <f t="shared" si="972"/>
        <v xml:space="preserve"> </v>
      </c>
      <c r="EZ295" s="361" t="str">
        <f t="shared" si="973"/>
        <v xml:space="preserve"> </v>
      </c>
      <c r="FA295" s="361" t="str">
        <f t="shared" si="974"/>
        <v xml:space="preserve"> </v>
      </c>
      <c r="FB295" s="361" t="str">
        <f t="shared" si="975"/>
        <v xml:space="preserve"> </v>
      </c>
      <c r="FC295" s="361"/>
      <c r="FD295" s="361" t="str">
        <f>IF(J295&gt;0,IF(Calculation!R295&lt;=70,4,IF(Calculation!R295&lt;=110,5,IF(Calculation!R295&lt;=160,6,IF(Calculation!R295&lt;=300,8,"10 EO")))),"")</f>
        <v/>
      </c>
      <c r="FE295" s="361" t="str">
        <f t="shared" si="976"/>
        <v/>
      </c>
      <c r="FF295" s="361" t="str">
        <f t="shared" si="977"/>
        <v/>
      </c>
      <c r="FG295" s="361" t="e">
        <f t="shared" si="882"/>
        <v>#N/A</v>
      </c>
      <c r="FH295" s="361">
        <f t="shared" si="883"/>
        <v>0</v>
      </c>
      <c r="FI295" s="361" t="e">
        <f t="shared" si="884"/>
        <v>#DIV/0!</v>
      </c>
      <c r="FJ295" s="361"/>
      <c r="FK295" s="356" t="e">
        <f t="shared" si="885"/>
        <v>#VALUE!</v>
      </c>
      <c r="FL295" s="361"/>
      <c r="FM295" s="361"/>
      <c r="FN295" s="362" t="str">
        <f t="shared" si="978"/>
        <v xml:space="preserve"> </v>
      </c>
      <c r="FO295" s="362" t="str">
        <f t="shared" si="979"/>
        <v xml:space="preserve"> </v>
      </c>
      <c r="FP295" s="362">
        <f t="shared" si="980"/>
        <v>0</v>
      </c>
      <c r="FQ295" s="361">
        <f t="shared" si="886"/>
        <v>0</v>
      </c>
      <c r="FR295" s="362" t="str">
        <f>IF(L295&gt;0,IF(J295="CBAL2",Worksheet!$P$67,IF(J295="CBE2-24",Worksheet!$Q$67,IF(J295="CBAM",Worksheet!$R$67,IF(J295="CBLV",Worksheet!$S$67,IF(J295="CBAB",Worksheet!$U$67,IF(J295="CBAW",Worksheet!$X$67,IF(J295="CBE2-12",Worksheet!$Y$67,IF(J295="CBAL2",Worksheet!$Z$67,"N/A"))))))))," ")</f>
        <v xml:space="preserve"> </v>
      </c>
      <c r="FS295" s="362" t="str">
        <f>IF(L295&gt;0,IF(J295="CBAL2",Worksheet!$P$68,IF(J295="CBE2-24",Worksheet!$Q$68,IF(J295="CBAM",Worksheet!$R$68,IF(J295="CBLV",Worksheet!$S$68,IF(J295="CBAB",Worksheet!$U$68,IF(J295="CBAW",Worksheet!$X$68,IF(J295="CBE2-12",Worksheet!$Y$68,IF(J295="CBAL2",Worksheet!$Z$68,"N/A"))))))))," ")</f>
        <v xml:space="preserve"> </v>
      </c>
      <c r="FT295" s="362" t="str">
        <f>IF(L295&gt;0,IF(J295="CBAL2",Worksheet!$P$69,IF(J295="CBE2-24",Worksheet!$Q$69,IF(J295="CBAM",Worksheet!$R$69,IF(J295="CBLV",Worksheet!$S$69,IF(J295="CBAB",Worksheet!$U$69,IF(J295="CBAW",Worksheet!$X$69,IF(J295="CBE2-12",Worksheet!$Y$69,IF(J295="CBAL2",Worksheet!$Z$69,"N/A"))))))))," ")</f>
        <v xml:space="preserve"> </v>
      </c>
      <c r="FU295" s="361" t="str">
        <f t="shared" si="981"/>
        <v xml:space="preserve"> </v>
      </c>
      <c r="FV295" s="362" t="str">
        <f t="shared" si="982"/>
        <v xml:space="preserve"> </v>
      </c>
      <c r="FW295" s="362" t="str">
        <f t="shared" si="983"/>
        <v xml:space="preserve"> </v>
      </c>
      <c r="FX295" s="362" t="str">
        <f t="shared" si="984"/>
        <v xml:space="preserve"> </v>
      </c>
      <c r="FY295" s="355" t="str">
        <f t="shared" si="985"/>
        <v xml:space="preserve"> </v>
      </c>
      <c r="FZ295" s="361" t="str">
        <f t="shared" si="986"/>
        <v xml:space="preserve"> </v>
      </c>
      <c r="GA295" s="347" t="str">
        <f t="shared" si="987"/>
        <v xml:space="preserve"> </v>
      </c>
      <c r="GB295" s="355" t="str">
        <f t="shared" si="988"/>
        <v xml:space="preserve"> </v>
      </c>
      <c r="GC295" s="328" t="str">
        <f t="shared" si="989"/>
        <v xml:space="preserve"> </v>
      </c>
      <c r="GD295" s="361" t="str">
        <f t="shared" si="990"/>
        <v xml:space="preserve"> </v>
      </c>
      <c r="GE295" s="347" t="str">
        <f t="shared" si="991"/>
        <v xml:space="preserve"> </v>
      </c>
      <c r="GF295" s="361" t="str">
        <f t="shared" si="992"/>
        <v xml:space="preserve"> </v>
      </c>
      <c r="GG295" s="347" t="str">
        <f t="shared" si="993"/>
        <v xml:space="preserve"> </v>
      </c>
      <c r="GH295" s="364">
        <f t="shared" si="887"/>
        <v>0</v>
      </c>
      <c r="GI295" s="362">
        <f t="shared" si="994"/>
        <v>2</v>
      </c>
      <c r="GJ295" s="433" t="e">
        <f>IF(6-COUNTBLANK(GT295:GY295)=4,MATCH(MID(BO295,9,3),CLU!$H$16:$K$16),MATCH(MID(BO295,9,3),CLU!$H$13:$M$13))</f>
        <v>#N/A</v>
      </c>
      <c r="GK295" s="433" t="e">
        <f>HLOOKUP(VALUE(BP295),CLU!$H$9:$M$10,2)</f>
        <v>#VALUE!</v>
      </c>
      <c r="GL295" s="433" t="e">
        <f ca="1">MATCH(BU295,CLU!$H$2:$V$2,1)</f>
        <v>#VALUE!</v>
      </c>
      <c r="GM295" s="433" t="e">
        <f t="shared" ca="1" si="995"/>
        <v>#VALUE!</v>
      </c>
      <c r="GN295" s="433" t="e">
        <f t="shared" ca="1" si="996"/>
        <v>#VALUE!</v>
      </c>
      <c r="GO295" s="433" t="e">
        <f t="shared" ca="1" si="997"/>
        <v>#VALUE!</v>
      </c>
      <c r="GP295" s="433" t="e">
        <f t="shared" ca="1" si="998"/>
        <v>#VALUE!</v>
      </c>
      <c r="GQ295" s="433" t="e">
        <f t="shared" ca="1" si="999"/>
        <v>#VALUE!</v>
      </c>
      <c r="GR295" s="433" t="e">
        <f ca="1">MATCH(T295,INDIRECT(VLOOKUP(CONCATENATE(LEFT(BO295,7),"-",MID(BO295,13,1)),CLU!$P$3:$Q$16,2)),1)</f>
        <v>#N/A</v>
      </c>
      <c r="GS295" s="433" t="e">
        <f ca="1">MATCH(U295,INDIRECT(VLOOKUP(CONCATENATE(LEFT(BO295,7),"-",MID(BO295,13,1)),CLU!$P$3:$Q$16,2)),1)</f>
        <v>#N/A</v>
      </c>
      <c r="GT295" s="347" t="s">
        <v>512</v>
      </c>
      <c r="GU295" s="97" t="s">
        <v>513</v>
      </c>
      <c r="GV295" s="97" t="str">
        <f t="shared" si="1000"/>
        <v>M23</v>
      </c>
      <c r="GW295" s="97" t="str">
        <f t="shared" si="1001"/>
        <v>M31</v>
      </c>
      <c r="GX295" s="97" t="str">
        <f t="shared" si="1002"/>
        <v/>
      </c>
      <c r="GY295" s="97" t="str">
        <f t="shared" si="1003"/>
        <v/>
      </c>
      <c r="GZ295" s="481"/>
      <c r="HA295" s="240"/>
      <c r="HB295" s="240"/>
      <c r="HC295" s="240"/>
      <c r="HD295" s="240"/>
      <c r="HE295" s="240"/>
      <c r="HF295" s="240"/>
      <c r="HG295" s="240"/>
      <c r="HH295" s="240"/>
      <c r="HI295" s="240"/>
      <c r="HJ295" s="240"/>
      <c r="HK295" s="240"/>
      <c r="HL295" s="240"/>
      <c r="HM295" s="240"/>
      <c r="HN295" s="240"/>
      <c r="HO295" s="240"/>
      <c r="HP295" s="240"/>
      <c r="HQ295" s="240"/>
      <c r="HR295" s="240"/>
      <c r="HS295" s="240"/>
      <c r="HT295" s="240"/>
      <c r="HU295" s="240"/>
      <c r="HV295" s="245"/>
      <c r="HW295" s="245" t="b">
        <v>1</v>
      </c>
      <c r="HX295" s="245" t="str">
        <f t="shared" si="888"/>
        <v/>
      </c>
      <c r="HY295" s="245" t="e">
        <f t="shared" si="889"/>
        <v>#DIV/0!</v>
      </c>
      <c r="HZ295" s="245" t="e">
        <f t="shared" si="890"/>
        <v>#DIV/0!</v>
      </c>
      <c r="IA295" s="245">
        <f t="shared" si="891"/>
        <v>0</v>
      </c>
      <c r="IB295" s="245"/>
      <c r="IC295" t="b">
        <f t="shared" si="892"/>
        <v>1</v>
      </c>
      <c r="ID295" s="245" t="b">
        <f t="shared" si="893"/>
        <v>1</v>
      </c>
      <c r="IE295" s="245" t="b">
        <f t="shared" si="894"/>
        <v>1</v>
      </c>
      <c r="IF295" s="245" t="b">
        <f t="shared" si="895"/>
        <v>0</v>
      </c>
      <c r="IG295" s="245" t="b">
        <f t="shared" si="896"/>
        <v>1</v>
      </c>
      <c r="IH295" s="245" t="b">
        <f t="shared" si="897"/>
        <v>1</v>
      </c>
      <c r="II295" s="245">
        <f t="shared" si="1004"/>
        <v>0</v>
      </c>
      <c r="IJ295" s="245" t="e">
        <f t="shared" si="898"/>
        <v>#VALUE!</v>
      </c>
      <c r="IK295" s="245" t="e">
        <f t="shared" si="899"/>
        <v>#VALUE!</v>
      </c>
      <c r="IL295" s="245"/>
      <c r="IM295" s="245" t="e">
        <f t="shared" si="1005"/>
        <v>#N/A</v>
      </c>
      <c r="IN295" s="245" t="e">
        <f t="shared" si="1006"/>
        <v>#N/A</v>
      </c>
      <c r="IO295" s="245"/>
      <c r="IP295" s="245"/>
      <c r="IQ295" s="245" t="str">
        <f t="shared" si="900"/>
        <v/>
      </c>
      <c r="IR295" s="245" t="str">
        <f>IF(J295="","",VLOOKUP(J295,Worksheet!$R$4:$T$14,2))</f>
        <v/>
      </c>
      <c r="IS295" s="245"/>
      <c r="IT295" s="245">
        <f t="shared" si="901"/>
        <v>0</v>
      </c>
      <c r="IU295" s="245">
        <f t="shared" si="902"/>
        <v>0</v>
      </c>
      <c r="IV295" s="245">
        <f t="shared" si="903"/>
        <v>0</v>
      </c>
      <c r="IW295" s="245">
        <f t="shared" si="904"/>
        <v>0</v>
      </c>
      <c r="IX295" s="245">
        <f t="shared" si="1007"/>
        <v>0</v>
      </c>
      <c r="IY295" s="245">
        <f t="shared" si="905"/>
        <v>0</v>
      </c>
      <c r="IZ295" s="245">
        <f t="shared" si="906"/>
        <v>0</v>
      </c>
      <c r="JA295">
        <f t="shared" si="907"/>
        <v>0</v>
      </c>
      <c r="JB295">
        <f t="shared" si="1008"/>
        <v>0</v>
      </c>
      <c r="JC295">
        <f t="shared" si="908"/>
        <v>0</v>
      </c>
      <c r="JD295">
        <f t="shared" si="909"/>
        <v>0</v>
      </c>
      <c r="JE295">
        <f t="shared" si="910"/>
        <v>0</v>
      </c>
      <c r="JF295">
        <f t="shared" si="911"/>
        <v>0</v>
      </c>
      <c r="JG295">
        <f t="shared" si="912"/>
        <v>0</v>
      </c>
      <c r="JH295">
        <f t="shared" si="913"/>
        <v>0</v>
      </c>
      <c r="JI295">
        <f t="shared" si="914"/>
        <v>0</v>
      </c>
      <c r="JJ295" s="447">
        <f t="shared" si="915"/>
        <v>0</v>
      </c>
      <c r="JK295" s="447">
        <f t="shared" si="916"/>
        <v>0</v>
      </c>
      <c r="JL295">
        <f t="shared" si="917"/>
        <v>0</v>
      </c>
      <c r="JM295" s="245" t="str">
        <f>IFERROR(VLOOKUP(MATCH(BN295,#REF!,0),#REF!,7),"")</f>
        <v/>
      </c>
      <c r="JN295" t="e">
        <f>HLOOKUP(LEFT(BO295,7),Discharge_Area,MATCH(JO295,LookUps!$B$130:$B$149,1)+2)</f>
        <v>#N/A</v>
      </c>
      <c r="JO295" t="str">
        <f t="shared" si="918"/>
        <v>- S</v>
      </c>
      <c r="JP295" t="e">
        <f>HLOOKUP(LEFT(BO295,7),Discharge_Area,MATCH(JO295,LookUps!$B$130:$B$149,1)+2)</f>
        <v>#N/A</v>
      </c>
      <c r="JQ295" t="e">
        <f t="shared" si="919"/>
        <v>#N/A</v>
      </c>
      <c r="JR295" t="e">
        <f t="shared" si="920"/>
        <v>#N/A</v>
      </c>
      <c r="JS295" t="e">
        <f t="shared" si="921"/>
        <v>#N/A</v>
      </c>
      <c r="JT295" s="532" t="str">
        <f t="shared" si="922"/>
        <v xml:space="preserve"> </v>
      </c>
      <c r="JU295" s="532" t="str">
        <f t="shared" si="923"/>
        <v xml:space="preserve"> </v>
      </c>
      <c r="JV295" s="533" t="str">
        <f t="shared" si="924"/>
        <v xml:space="preserve"> </v>
      </c>
      <c r="JW295" s="534">
        <f t="shared" si="925"/>
        <v>0</v>
      </c>
      <c r="JX295" s="535" t="str">
        <f t="shared" si="1009"/>
        <v xml:space="preserve"> </v>
      </c>
      <c r="JY295" s="535" t="str">
        <f t="shared" si="1010"/>
        <v xml:space="preserve"> </v>
      </c>
      <c r="JZ295" s="535" t="str">
        <f t="shared" si="1011"/>
        <v xml:space="preserve"> </v>
      </c>
      <c r="KA295" s="536" t="str">
        <f t="shared" si="926"/>
        <v xml:space="preserve"> </v>
      </c>
      <c r="KB295" s="535" t="e">
        <f t="shared" si="1012"/>
        <v>#VALUE!</v>
      </c>
      <c r="KC295" s="535" t="str">
        <f t="shared" si="927"/>
        <v/>
      </c>
      <c r="KD295" s="537" t="str">
        <f t="shared" si="1013"/>
        <v xml:space="preserve"> </v>
      </c>
      <c r="KE295" s="537" t="str">
        <f t="shared" si="1014"/>
        <v xml:space="preserve"> </v>
      </c>
      <c r="KF295" s="534">
        <f t="shared" si="928"/>
        <v>0</v>
      </c>
      <c r="KG295" s="535" t="str">
        <f t="shared" si="929"/>
        <v xml:space="preserve"> </v>
      </c>
      <c r="KH295" s="535" t="str">
        <f t="shared" si="930"/>
        <v xml:space="preserve"> </v>
      </c>
      <c r="KI295" s="535" t="str">
        <f t="shared" si="931"/>
        <v xml:space="preserve"> </v>
      </c>
      <c r="KJ295" s="536" t="str">
        <f t="shared" si="932"/>
        <v xml:space="preserve"> </v>
      </c>
      <c r="KK295" s="535" t="str">
        <f t="shared" si="1015"/>
        <v xml:space="preserve"> </v>
      </c>
      <c r="KL295" s="535" t="str">
        <f t="shared" si="1016"/>
        <v xml:space="preserve"> </v>
      </c>
      <c r="KM295" s="537" t="str">
        <f t="shared" si="933"/>
        <v xml:space="preserve"> </v>
      </c>
      <c r="KN295" s="537" t="str">
        <f t="shared" si="1017"/>
        <v xml:space="preserve"> </v>
      </c>
      <c r="KP295">
        <f t="shared" si="934"/>
        <v>0</v>
      </c>
      <c r="LA295" t="e">
        <f t="shared" si="935"/>
        <v>#VALUE!</v>
      </c>
      <c r="LB295" t="e">
        <f t="shared" si="936"/>
        <v>#VALUE!</v>
      </c>
      <c r="LC295" t="e">
        <f t="shared" si="937"/>
        <v>#VALUE!</v>
      </c>
      <c r="LD295" t="e">
        <f t="shared" si="938"/>
        <v>#VALUE!</v>
      </c>
      <c r="LE295" t="e">
        <f t="shared" si="1018"/>
        <v>#VALUE!</v>
      </c>
      <c r="LF295">
        <f t="shared" si="939"/>
        <v>0</v>
      </c>
      <c r="LG295" t="e">
        <f t="shared" si="1019"/>
        <v>#VALUE!</v>
      </c>
      <c r="LH295" t="str">
        <f t="shared" si="940"/>
        <v xml:space="preserve"> </v>
      </c>
      <c r="LI295">
        <f t="shared" si="1020"/>
        <v>1</v>
      </c>
    </row>
    <row r="296" spans="2:321" ht="15" customHeight="1">
      <c r="B296" s="311"/>
      <c r="C296" s="311"/>
      <c r="D296" s="312"/>
      <c r="E296" s="311"/>
      <c r="F296" s="312"/>
      <c r="G296" s="311"/>
      <c r="H296" s="311"/>
      <c r="I296" s="232"/>
      <c r="J296" s="311"/>
      <c r="K296" s="305" t="str">
        <f t="shared" si="941"/>
        <v/>
      </c>
      <c r="L296" s="313"/>
      <c r="M296" s="312"/>
      <c r="N296" s="311"/>
      <c r="O296" s="312"/>
      <c r="P296" s="311"/>
      <c r="Q296" s="305" t="str">
        <f t="shared" si="942"/>
        <v/>
      </c>
      <c r="R296" s="314"/>
      <c r="S296" s="450" t="str">
        <f t="shared" si="825"/>
        <v/>
      </c>
      <c r="T296" s="315"/>
      <c r="U296" s="315"/>
      <c r="W296" s="149" t="str">
        <f t="shared" si="826"/>
        <v xml:space="preserve"> </v>
      </c>
      <c r="X296" s="243" t="str">
        <f t="shared" si="827"/>
        <v xml:space="preserve"> </v>
      </c>
      <c r="Y296" s="150" t="str">
        <f t="shared" si="828"/>
        <v/>
      </c>
      <c r="Z296" s="149" t="str">
        <f t="shared" si="829"/>
        <v xml:space="preserve"> </v>
      </c>
      <c r="AA296" s="98" t="str">
        <f t="shared" si="830"/>
        <v xml:space="preserve"> </v>
      </c>
      <c r="AB296" s="153" t="str">
        <f t="shared" si="831"/>
        <v xml:space="preserve"> </v>
      </c>
      <c r="AC296" s="153" t="str">
        <f t="shared" si="832"/>
        <v xml:space="preserve"> </v>
      </c>
      <c r="AD296" s="148" t="str">
        <f t="shared" si="833"/>
        <v/>
      </c>
      <c r="AE296" s="149" t="str">
        <f t="shared" si="834"/>
        <v/>
      </c>
      <c r="AF296" s="151" t="str">
        <f t="shared" si="835"/>
        <v xml:space="preserve"> </v>
      </c>
      <c r="AG296" s="153" t="str">
        <f t="shared" si="836"/>
        <v xml:space="preserve"> </v>
      </c>
      <c r="AH296" s="98" t="str">
        <f t="shared" si="837"/>
        <v xml:space="preserve"> </v>
      </c>
      <c r="AI296" s="149" t="str">
        <f t="shared" si="838"/>
        <v xml:space="preserve"> </v>
      </c>
      <c r="AK296" s="144" t="str">
        <f t="shared" si="839"/>
        <v xml:space="preserve"> </v>
      </c>
      <c r="AL296" s="144"/>
      <c r="AM296" s="243" t="str">
        <f t="shared" si="840"/>
        <v xml:space="preserve"> </v>
      </c>
      <c r="AN296" s="149" t="str">
        <f t="shared" si="943"/>
        <v xml:space="preserve"> </v>
      </c>
      <c r="AO296" s="144" t="str">
        <f>IF(JB296&gt;0,IF(GI296=10,-R296*1.085*(Calculation!$F$6-Calculation!$F$13)*$S$14," "),"")</f>
        <v/>
      </c>
      <c r="AP296" s="144" t="str">
        <f t="shared" si="841"/>
        <v/>
      </c>
      <c r="AQ296" s="56" t="str">
        <f t="shared" si="842"/>
        <v/>
      </c>
      <c r="AR296" s="144" t="str">
        <f t="shared" si="843"/>
        <v/>
      </c>
      <c r="AS296" s="176" t="str">
        <f t="shared" si="844"/>
        <v/>
      </c>
      <c r="AT296" s="176" t="str">
        <f t="shared" si="944"/>
        <v xml:space="preserve"> </v>
      </c>
      <c r="AU296" s="176" t="str">
        <f t="shared" si="845"/>
        <v/>
      </c>
      <c r="AV296" s="177" t="str">
        <f t="shared" si="846"/>
        <v xml:space="preserve"> </v>
      </c>
      <c r="AW296" s="144" t="str">
        <f t="shared" si="847"/>
        <v xml:space="preserve"> </v>
      </c>
      <c r="AX296" s="144" t="str">
        <f t="shared" si="848"/>
        <v xml:space="preserve"> </v>
      </c>
      <c r="AY296" s="152" t="str">
        <f t="shared" si="849"/>
        <v xml:space="preserve"> </v>
      </c>
      <c r="AZ296" s="246" t="str">
        <f t="shared" si="850"/>
        <v/>
      </c>
      <c r="BA296" s="176" t="str">
        <f t="shared" si="851"/>
        <v xml:space="preserve"> </v>
      </c>
      <c r="BB296" s="176" t="str">
        <f t="shared" si="852"/>
        <v xml:space="preserve"> </v>
      </c>
      <c r="BC296" s="195"/>
      <c r="BD296" s="316"/>
      <c r="BE296" s="317"/>
      <c r="BF296" s="318"/>
      <c r="BG296" s="318"/>
      <c r="BH296" s="144" t="str">
        <f t="shared" si="1021"/>
        <v xml:space="preserve"> </v>
      </c>
      <c r="BI296" s="176" t="str">
        <f t="shared" si="853"/>
        <v/>
      </c>
      <c r="BJ296" s="144" t="str">
        <f t="shared" si="1022"/>
        <v/>
      </c>
      <c r="BK296" s="246" t="str">
        <f t="shared" si="854"/>
        <v/>
      </c>
      <c r="BL296" s="144" t="str">
        <f t="shared" si="1023"/>
        <v/>
      </c>
      <c r="BM296" s="246" t="str">
        <f t="shared" si="855"/>
        <v/>
      </c>
      <c r="BN296" s="337" t="str">
        <f t="shared" si="945"/>
        <v/>
      </c>
      <c r="BO296" s="371" t="str">
        <f t="shared" si="946"/>
        <v/>
      </c>
      <c r="BP296" s="328" t="str">
        <f t="shared" si="1024"/>
        <v xml:space="preserve"> </v>
      </c>
      <c r="BQ296" s="347" t="str">
        <f t="shared" si="947"/>
        <v xml:space="preserve"> </v>
      </c>
      <c r="BR296" s="353" t="str">
        <f t="shared" si="948"/>
        <v xml:space="preserve"> </v>
      </c>
      <c r="BS296" s="626" t="str">
        <f>IF(L296&gt;0,IF(Calculation!P296="M13",BR296*3.1416*(0.134^2)/(4*144),IF(Calculation!P296="M17",BR296*3.1416*(0.165^2)/(4*144),IF(Calculation!P296="M20",BR296*3.1416*(0.198^2)/(4*144),IF(Calculation!P296="M23",BR296*3.1416*(0.228^2)/(4*144),IF(Calculation!P296="M27",BR296*3.1416*(0.269^2)/(4*144),BR296*3.1416*(0.307^2)/(4*144))))))," ")</f>
        <v xml:space="preserve"> </v>
      </c>
      <c r="BT296" s="353" t="str">
        <f>IF(L296&gt;0,IF(BS296&gt;0,R296/Calculation!BS296,0)," ")</f>
        <v xml:space="preserve"> </v>
      </c>
      <c r="BU296" s="438" t="e">
        <f t="shared" ca="1" si="856"/>
        <v>#VALUE!</v>
      </c>
      <c r="BV296" s="449" t="e">
        <f ca="1">INDEX(INDIRECT(VLOOKUP(LEFT(BO296,7),CLU!$Z$3:$AH$18,2)),GN296,GR296)</f>
        <v>#N/A</v>
      </c>
      <c r="BW296" s="433" t="e">
        <f ca="1">INDEX(INDIRECT(VLOOKUP(LEFT(BO296,7),CLU!$Z$3:$AH$18,3)),GN296,GR296)</f>
        <v>#N/A</v>
      </c>
      <c r="BX296" s="433" t="e">
        <f ca="1">INDEX(INDIRECT(VLOOKUP(LEFT(BO296,7),CLU!$Z$3:$AH$18,4)),GN296,GR296)</f>
        <v>#N/A</v>
      </c>
      <c r="BY296" s="433" t="e">
        <f ca="1">INDEX(INDIRECT(VLOOKUP(LEFT(BO296,7),CLU!$Z$3:$AH$18,9)),((M296-2)*(6-COUNTBLANK(GT296:GY296)))+GJ296)</f>
        <v>#N/A</v>
      </c>
      <c r="BZ296" s="426" t="e">
        <f t="shared" ca="1" si="949"/>
        <v>#N/A</v>
      </c>
      <c r="CA296" s="424" t="e">
        <f t="shared" ca="1" si="950"/>
        <v>#N/A</v>
      </c>
      <c r="CB296" s="429" t="e">
        <f ca="1">INDEX(INDIRECT(VLOOKUP(LEFT(BO296,7),CLU!$Z$3:$AH$18,2)),GN296,GS296)</f>
        <v>#N/A</v>
      </c>
      <c r="CC296" s="342" t="e">
        <f ca="1">INDEX(INDIRECT(VLOOKUP(LEFT(BO296,7),CLU!$Z$3:$AH$18,3)),GN296,GS296)</f>
        <v>#N/A</v>
      </c>
      <c r="CD296" s="342" t="e">
        <f ca="1">INDEX(INDIRECT(VLOOKUP(LEFT(BO296,7),CLU!$Z$3:$AH$18,4)),GN296,GS296)</f>
        <v>#N/A</v>
      </c>
      <c r="CE296" s="426" t="e">
        <f t="shared" ca="1" si="951"/>
        <v>#N/A</v>
      </c>
      <c r="CF296" s="440">
        <f t="shared" si="952"/>
        <v>0</v>
      </c>
      <c r="CG296" s="431" t="e">
        <f ca="1">INDEX(INDIRECT(VLOOKUP(LEFT(BO296,7),CLU!$Z$3:$AH$18,2)),GQ296,GR296)</f>
        <v>#N/A</v>
      </c>
      <c r="CH296" s="431" t="e">
        <f ca="1">INDEX(INDIRECT(VLOOKUP(LEFT(BO296,7),CLU!$Z$3:$AH$18,3)),GQ296,GR296)</f>
        <v>#N/A</v>
      </c>
      <c r="CI296" s="431" t="e">
        <f ca="1">INDEX(INDIRECT(VLOOKUP(LEFT(BO296,7),CLU!$Z$3:$AH$18,4)),GQ296,GR296)</f>
        <v>#N/A</v>
      </c>
      <c r="CJ296" s="448" t="e">
        <f t="shared" ca="1" si="953"/>
        <v>#N/A</v>
      </c>
      <c r="CK296" s="431" t="e">
        <f t="shared" ca="1" si="954"/>
        <v>#N/A</v>
      </c>
      <c r="CL296" s="440" t="e">
        <f t="shared" ca="1" si="955"/>
        <v>#N/A</v>
      </c>
      <c r="CM296" s="431" t="e">
        <f ca="1">INDEX(INDIRECT(VLOOKUP(LEFT(BO296,7),CLU!$Z$3:$AH$18,2)),GQ296,GS296)</f>
        <v>#N/A</v>
      </c>
      <c r="CN296" s="431" t="e">
        <f ca="1">INDEX(INDIRECT(VLOOKUP(LEFT(BO296,7),CLU!$Z$3:$AH$18,3)),GQ296,GS296)</f>
        <v>#N/A</v>
      </c>
      <c r="CO296" s="431" t="e">
        <f ca="1">INDEX(INDIRECT(VLOOKUP(LEFT(BO296,7),CLU!$Z$3:$AH$18,4)),GQ296,GS296)</f>
        <v>#N/A</v>
      </c>
      <c r="CP296" s="431" t="e">
        <f t="shared" ca="1" si="956"/>
        <v>#N/A</v>
      </c>
      <c r="CQ296" s="440">
        <f t="shared" si="957"/>
        <v>0</v>
      </c>
      <c r="CR296" s="51" t="e">
        <f t="shared" ca="1" si="958"/>
        <v>#N/A</v>
      </c>
      <c r="CS296" s="439" t="e">
        <f t="shared" ca="1" si="959"/>
        <v>#VALUE!</v>
      </c>
      <c r="CT296" s="51" t="e">
        <f t="shared" ca="1" si="960"/>
        <v>#VALUE!</v>
      </c>
      <c r="CU296" s="10"/>
      <c r="CV296" s="51" t="e">
        <f t="shared" ca="1" si="857"/>
        <v>#VALUE!</v>
      </c>
      <c r="CW296" s="51">
        <f t="shared" si="961"/>
        <v>0</v>
      </c>
      <c r="CX296" s="439" t="e">
        <f t="shared" ca="1" si="962"/>
        <v>#VALUE!</v>
      </c>
      <c r="CY296" s="51" t="e">
        <f t="shared" ca="1" si="963"/>
        <v>#VALUE!</v>
      </c>
      <c r="CZ296" s="10"/>
      <c r="DA296" s="51" t="e">
        <f t="shared" ca="1" si="964"/>
        <v>#VALUE!</v>
      </c>
      <c r="DB296" s="347" t="e">
        <f ca="1">INDEX(INDIRECT(VLOOKUP(LEFT(BO296,7),CLU!$Z$3:$AI$18,10)),((M296-2)*(6-COUNTBLANK(GT296:GY296)))+GJ296)*LI296</f>
        <v>#N/A</v>
      </c>
      <c r="DC296" s="347" t="str">
        <f>IF(L296&gt;0,((R296/Worksheet!$I$15)/DB296)^2," ")</f>
        <v xml:space="preserve"> </v>
      </c>
      <c r="DD296" s="602" t="str">
        <f t="shared" si="965"/>
        <v xml:space="preserve"> </v>
      </c>
      <c r="DE296" s="347" t="str">
        <f t="shared" si="858"/>
        <v xml:space="preserve"> </v>
      </c>
      <c r="DF296" s="356" t="e">
        <f ca="1">INDEX(INDIRECT(VLOOKUP(LEFT(BO296,7),CLU!$Z$3:$AH$18,8)),((M296-2)*(6-COUNTBLANK(GT296:GY296)))+GJ296)</f>
        <v>#N/A</v>
      </c>
      <c r="DG296" s="347" t="str">
        <f t="shared" si="859"/>
        <v xml:space="preserve"> </v>
      </c>
      <c r="DH296" s="357" t="str">
        <f t="shared" si="860"/>
        <v xml:space="preserve"> </v>
      </c>
      <c r="DI296" s="355" t="str">
        <f t="shared" si="861"/>
        <v xml:space="preserve"> </v>
      </c>
      <c r="DJ296" s="245" t="e">
        <f ca="1">INDEX(INDIRECT(VLOOKUP(LEFT(BO296,7),CLU!$Z$3:$AH$18,5)),GL296,GK296)</f>
        <v>#N/A</v>
      </c>
      <c r="DK296" s="245" t="e">
        <f ca="1">INDEX(INDIRECT(VLOOKUP(LEFT(BO296,7),CLU!$Z$3:$AH$18,6)),GL296,GK296)</f>
        <v>#N/A</v>
      </c>
      <c r="DL296" s="355">
        <f>(Calculation!R296*0.69143*(Calculation!$BQ$8-Calculation!$F$8))*$S$14</f>
        <v>0</v>
      </c>
      <c r="DM296" s="359" t="e">
        <f t="shared" si="966"/>
        <v>#VALUE!</v>
      </c>
      <c r="DN296" s="611">
        <f t="shared" si="967"/>
        <v>0</v>
      </c>
      <c r="DO296" s="359">
        <f t="shared" si="968"/>
        <v>100</v>
      </c>
      <c r="DP296" s="359">
        <f t="shared" si="969"/>
        <v>0</v>
      </c>
      <c r="DQ296" s="360"/>
      <c r="DR296" s="245" t="e">
        <f ca="1">INDEX(INDIRECT(VLOOKUP(LEFT(BO296,7),CLU!$Z$3:$AH$18,7)),M296-1,1)</f>
        <v>#N/A</v>
      </c>
      <c r="DS296" s="245" t="e">
        <f ca="1">INDEX(INDIRECT(VLOOKUP(LEFT(BO296,7),CLU!$Z$3:$AH$18,7)),M296-1,2)</f>
        <v>#N/A</v>
      </c>
      <c r="DT296" s="245" t="e">
        <f ca="1">INDEX(INDIRECT(VLOOKUP(LEFT(BO296,7),CLU!$Z$3:$AH$18,7)),M296-1,3)</f>
        <v>#N/A</v>
      </c>
      <c r="DU296" s="245" t="e">
        <f ca="1">INDEX(INDIRECT(VLOOKUP(LEFT(BO296,7),CLU!$Z$3:$AH$18,7)),M296-1,4)</f>
        <v>#N/A</v>
      </c>
      <c r="DV296" s="361" t="e">
        <f ca="1">INDEX(INDIRECT(VLOOKUP(LEFT(BO296,7),CLU!$Z$3:$AH$18,7)),M296-1,4+LEFT(DZ296,1)*0.5)</f>
        <v>#N/A</v>
      </c>
      <c r="DW296" s="245" t="e">
        <f ca="1">INDEX(INDIRECT(VLOOKUP(LEFT(BO296,7),CLU!$Z$3:$AH$18,7)),M296-1,8)</f>
        <v>#N/A</v>
      </c>
      <c r="DX296" s="361" t="str">
        <f t="shared" si="862"/>
        <v xml:space="preserve"> </v>
      </c>
      <c r="DY296" s="361" t="str">
        <f t="shared" si="863"/>
        <v xml:space="preserve"> </v>
      </c>
      <c r="DZ296" s="361" t="str">
        <f t="shared" si="864"/>
        <v xml:space="preserve"> </v>
      </c>
      <c r="EA296" s="362" t="str">
        <f t="shared" si="865"/>
        <v xml:space="preserve"> </v>
      </c>
      <c r="EB296" s="624" t="str">
        <f t="shared" si="970"/>
        <v xml:space="preserve"> </v>
      </c>
      <c r="EC296" s="361" t="e">
        <f ca="1">INDEX(INDIRECT(VLOOKUP(LEFT(BO296,7),CLU!$Z$3:$AH$18,7)),M296-1,4+LEFT(DZ296,1)*0.5)</f>
        <v>#N/A</v>
      </c>
      <c r="ED296" s="362" t="str">
        <f t="shared" si="866"/>
        <v xml:space="preserve"> </v>
      </c>
      <c r="EE296" s="361" t="str">
        <f t="shared" si="867"/>
        <v xml:space="preserve"> </v>
      </c>
      <c r="EF296" s="362" t="str">
        <f>IF(L296&gt;0,IF(BR296&gt;0,IF(EE296="2P",IF(Calculation!DZ296="2P",IF(Calculation!DS296=13.75,IF(Calculation!DR296=13,Worksheet!$BD$43,IF(Calculation!DR296=37,Worksheet!$BD$44,Worksheet!$BD$45)),IF(Calculation!DS296=10,IF(Calculation!DR296=18,Worksheet!$BD$29,IF(Calculation!DR296=30,Worksheet!$BD$30,IF(Calculation!DR296=42,Worksheet!$BD$31,IF(Calculation!DR296=54,Worksheet!$BD$32,IF(Calculation!DR296=66,Worksheet!$BD$33,IF(Calculation!DR296=78,Worksheet!$BD$34,IF(Calculation!DR296=90,Worksheet!$BD$35,IF(Calculation!DR296=102,Worksheet!$BD$36,Worksheet!$BD$37)))))))),IF(Calculation!DS296=12.5,IF(Calculation!DR296=18,Worksheet!$BD$38,IF(Calculation!DR296=Worksheet!$BD$39,IF(Calculation!DR296=42,Worksheet!$BD$40,IF(Calculation!DR296=54,Worksheet!$BD$41,Worksheet!$BD$42)))),IF(Calculation!DR296=18,Worksheet!$BD$11,IF(Calculation!DR296=30,Worksheet!$BD$12,IF(Calculation!DR296=42,Worksheet!$BD$13,IF(Calculation!DR296=54,Worksheet!$BD$14,IF(Calculation!DR296=66,Worksheet!$BD$15,IF(Calculation!DR296=78,Worksheet!$BD$16,IF(Calculation!DR296=90,Worksheet!$BD$17,IF(Calculation!DR296=102,Worksheet!$BD$18,Worksheet!$BD$19))))))))))),IF(Calculation!DS296=13.75,IF(Calculation!DR296=13,Worksheet!$BD$78,IF(Calculation!DR296=37,Worksheet!$BD$79,Worksheet!$BD$80)),IF(Calculation!DS296=10,IF(Calculation!DR296=18,Worksheet!$BD$64,IF(Calculation!DR296=30,Worksheet!$BD$65,IF(Calculation!DR296=42,Worksheet!$BD$66,IF(Calculation!DR296=54,Worksheet!$BD$68,IF(Calculation!DR296=66,Worksheet!$BD$68,IF(Calculation!DR296=78,Worksheet!$BD$69,IF(Calculation!DR296=90,Worksheet!$BD$70,IF(Calculation!DR296=102,Worksheet!$BD$71,Worksheet!$BD$72)))))))),IF(Calculation!DS296=12.5,IF(Calculation!DR296=18,Worksheet!$BD$73,IF(Calculation!DR296=Worksheet!$BD$74,IF(Calculation!DR296=42,Worksheet!$BD$75,IF(Calculation!DR296=54,Worksheet!$BD$76,Worksheet!$BD$77)))),IF(Calculation!DR296=18,Worksheet!$BD$55,IF(Calculation!DR296=30,Worksheet!$BD$56,IF(Calculation!DR296=42,Worksheet!$BD$57,IF(Calculation!DR296=54,Worksheet!$BD$58,IF(Calculation!DR296=66,Worksheet!$BD$59,IF(Calculation!DR296=78,Worksheet!$BD$60,IF(Calculation!DR296=90,Worksheet!$BD$61,IF(Calculation!DR296=102,Worksheet!$BD$62,Worksheet!$BD$63)))))))))))),5),0)," ")</f>
        <v xml:space="preserve"> </v>
      </c>
      <c r="EG296" s="361" t="str">
        <f t="shared" si="868"/>
        <v xml:space="preserve"> </v>
      </c>
      <c r="EH296" s="361" t="e">
        <f ca="1">INDEX(INDIRECT(VLOOKUP(LEFT(BO296,7),CLU!$Z$3:$AH$18,7)),M296-1,3+LEFT(DZ296,1))</f>
        <v>#N/A</v>
      </c>
      <c r="EI296" s="362" t="str">
        <f t="shared" si="869"/>
        <v xml:space="preserve"> </v>
      </c>
      <c r="EJ296" s="363" t="str">
        <f t="shared" si="870"/>
        <v xml:space="preserve"> </v>
      </c>
      <c r="EK296" s="363" t="str">
        <f t="shared" si="871"/>
        <v xml:space="preserve"> </v>
      </c>
      <c r="EL296" s="363" t="str">
        <f t="shared" si="872"/>
        <v xml:space="preserve"> </v>
      </c>
      <c r="EM296" s="362" t="str">
        <f>IF(L296&gt;0,IF(BR296&gt;0,(Calculation!T296/ED296)^2,0)," ")</f>
        <v xml:space="preserve"> </v>
      </c>
      <c r="EN296" s="362" t="str">
        <f>IF(L296&gt;0,IF(O296="2 Pipe (Cooling)","N/A",IF(BR296&gt;0,(Calculation!U296/EI296)^2,0))," ")</f>
        <v xml:space="preserve"> </v>
      </c>
      <c r="EO296" s="361" t="str">
        <f t="shared" si="873"/>
        <v/>
      </c>
      <c r="EP296" s="361" t="str">
        <f t="shared" si="874"/>
        <v/>
      </c>
      <c r="EQ296" s="361" t="str">
        <f t="shared" si="875"/>
        <v/>
      </c>
      <c r="ER296" s="361" t="str">
        <f t="shared" si="876"/>
        <v/>
      </c>
      <c r="ES296" s="361" t="str">
        <f t="shared" si="877"/>
        <v/>
      </c>
      <c r="ET296" s="361" t="str">
        <f t="shared" si="878"/>
        <v/>
      </c>
      <c r="EU296" s="361" t="str">
        <f t="shared" si="879"/>
        <v/>
      </c>
      <c r="EV296" s="361" t="str">
        <f t="shared" si="880"/>
        <v/>
      </c>
      <c r="EW296" s="361" t="str">
        <f t="shared" si="881"/>
        <v/>
      </c>
      <c r="EX296" s="361" t="str">
        <f t="shared" si="971"/>
        <v>1 slot, 1 way</v>
      </c>
      <c r="EY296" s="361" t="str">
        <f t="shared" si="972"/>
        <v xml:space="preserve"> </v>
      </c>
      <c r="EZ296" s="361" t="str">
        <f t="shared" si="973"/>
        <v xml:space="preserve"> </v>
      </c>
      <c r="FA296" s="361" t="str">
        <f t="shared" si="974"/>
        <v xml:space="preserve"> </v>
      </c>
      <c r="FB296" s="361" t="str">
        <f t="shared" si="975"/>
        <v xml:space="preserve"> </v>
      </c>
      <c r="FC296" s="361"/>
      <c r="FD296" s="361" t="str">
        <f>IF(J296&gt;0,IF(Calculation!R296&lt;=70,4,IF(Calculation!R296&lt;=110,5,IF(Calculation!R296&lt;=160,6,IF(Calculation!R296&lt;=300,8,"10 EO")))),"")</f>
        <v/>
      </c>
      <c r="FE296" s="361" t="str">
        <f t="shared" si="976"/>
        <v/>
      </c>
      <c r="FF296" s="361" t="str">
        <f t="shared" si="977"/>
        <v/>
      </c>
      <c r="FG296" s="361" t="e">
        <f t="shared" si="882"/>
        <v>#N/A</v>
      </c>
      <c r="FH296" s="361">
        <f t="shared" si="883"/>
        <v>0</v>
      </c>
      <c r="FI296" s="361" t="e">
        <f t="shared" si="884"/>
        <v>#DIV/0!</v>
      </c>
      <c r="FJ296" s="361"/>
      <c r="FK296" s="356" t="e">
        <f t="shared" si="885"/>
        <v>#VALUE!</v>
      </c>
      <c r="FL296" s="361"/>
      <c r="FM296" s="361"/>
      <c r="FN296" s="362" t="str">
        <f t="shared" si="978"/>
        <v xml:space="preserve"> </v>
      </c>
      <c r="FO296" s="362" t="str">
        <f t="shared" si="979"/>
        <v xml:space="preserve"> </v>
      </c>
      <c r="FP296" s="362">
        <f t="shared" si="980"/>
        <v>0</v>
      </c>
      <c r="FQ296" s="361">
        <f t="shared" si="886"/>
        <v>0</v>
      </c>
      <c r="FR296" s="362" t="str">
        <f>IF(L296&gt;0,IF(J296="CBAL2",Worksheet!$P$67,IF(J296="CBE2-24",Worksheet!$Q$67,IF(J296="CBAM",Worksheet!$R$67,IF(J296="CBLV",Worksheet!$S$67,IF(J296="CBAB",Worksheet!$U$67,IF(J296="CBAW",Worksheet!$X$67,IF(J296="CBE2-12",Worksheet!$Y$67,IF(J296="CBAL2",Worksheet!$Z$67,"N/A"))))))))," ")</f>
        <v xml:space="preserve"> </v>
      </c>
      <c r="FS296" s="362" t="str">
        <f>IF(L296&gt;0,IF(J296="CBAL2",Worksheet!$P$68,IF(J296="CBE2-24",Worksheet!$Q$68,IF(J296="CBAM",Worksheet!$R$68,IF(J296="CBLV",Worksheet!$S$68,IF(J296="CBAB",Worksheet!$U$68,IF(J296="CBAW",Worksheet!$X$68,IF(J296="CBE2-12",Worksheet!$Y$68,IF(J296="CBAL2",Worksheet!$Z$68,"N/A"))))))))," ")</f>
        <v xml:space="preserve"> </v>
      </c>
      <c r="FT296" s="362" t="str">
        <f>IF(L296&gt;0,IF(J296="CBAL2",Worksheet!$P$69,IF(J296="CBE2-24",Worksheet!$Q$69,IF(J296="CBAM",Worksheet!$R$69,IF(J296="CBLV",Worksheet!$S$69,IF(J296="CBAB",Worksheet!$U$69,IF(J296="CBAW",Worksheet!$X$69,IF(J296="CBE2-12",Worksheet!$Y$69,IF(J296="CBAL2",Worksheet!$Z$69,"N/A"))))))))," ")</f>
        <v xml:space="preserve"> </v>
      </c>
      <c r="FU296" s="361" t="str">
        <f t="shared" si="981"/>
        <v xml:space="preserve"> </v>
      </c>
      <c r="FV296" s="362" t="str">
        <f t="shared" si="982"/>
        <v xml:space="preserve"> </v>
      </c>
      <c r="FW296" s="362" t="str">
        <f t="shared" si="983"/>
        <v xml:space="preserve"> </v>
      </c>
      <c r="FX296" s="362" t="str">
        <f t="shared" si="984"/>
        <v xml:space="preserve"> </v>
      </c>
      <c r="FY296" s="355" t="str">
        <f t="shared" si="985"/>
        <v xml:space="preserve"> </v>
      </c>
      <c r="FZ296" s="361" t="str">
        <f t="shared" si="986"/>
        <v xml:space="preserve"> </v>
      </c>
      <c r="GA296" s="347" t="str">
        <f t="shared" si="987"/>
        <v xml:space="preserve"> </v>
      </c>
      <c r="GB296" s="355" t="str">
        <f t="shared" si="988"/>
        <v xml:space="preserve"> </v>
      </c>
      <c r="GC296" s="328" t="str">
        <f t="shared" si="989"/>
        <v xml:space="preserve"> </v>
      </c>
      <c r="GD296" s="361" t="str">
        <f t="shared" si="990"/>
        <v xml:space="preserve"> </v>
      </c>
      <c r="GE296" s="347" t="str">
        <f t="shared" si="991"/>
        <v xml:space="preserve"> </v>
      </c>
      <c r="GF296" s="361" t="str">
        <f t="shared" si="992"/>
        <v xml:space="preserve"> </v>
      </c>
      <c r="GG296" s="347" t="str">
        <f t="shared" si="993"/>
        <v xml:space="preserve"> </v>
      </c>
      <c r="GH296" s="364">
        <f t="shared" si="887"/>
        <v>0</v>
      </c>
      <c r="GI296" s="362">
        <f t="shared" si="994"/>
        <v>2</v>
      </c>
      <c r="GJ296" s="433" t="e">
        <f>IF(6-COUNTBLANK(GT296:GY296)=4,MATCH(MID(BO296,9,3),CLU!$H$16:$K$16),MATCH(MID(BO296,9,3),CLU!$H$13:$M$13))</f>
        <v>#N/A</v>
      </c>
      <c r="GK296" s="433" t="e">
        <f>HLOOKUP(VALUE(BP296),CLU!$H$9:$M$10,2)</f>
        <v>#VALUE!</v>
      </c>
      <c r="GL296" s="433" t="e">
        <f ca="1">MATCH(BU296,CLU!$H$2:$V$2,1)</f>
        <v>#VALUE!</v>
      </c>
      <c r="GM296" s="433" t="e">
        <f t="shared" ca="1" si="995"/>
        <v>#VALUE!</v>
      </c>
      <c r="GN296" s="433" t="e">
        <f t="shared" ca="1" si="996"/>
        <v>#VALUE!</v>
      </c>
      <c r="GO296" s="433" t="e">
        <f t="shared" ca="1" si="997"/>
        <v>#VALUE!</v>
      </c>
      <c r="GP296" s="433" t="e">
        <f t="shared" ca="1" si="998"/>
        <v>#VALUE!</v>
      </c>
      <c r="GQ296" s="433" t="e">
        <f t="shared" ca="1" si="999"/>
        <v>#VALUE!</v>
      </c>
      <c r="GR296" s="433" t="e">
        <f ca="1">MATCH(T296,INDIRECT(VLOOKUP(CONCATENATE(LEFT(BO296,7),"-",MID(BO296,13,1)),CLU!$P$3:$Q$16,2)),1)</f>
        <v>#N/A</v>
      </c>
      <c r="GS296" s="433" t="e">
        <f ca="1">MATCH(U296,INDIRECT(VLOOKUP(CONCATENATE(LEFT(BO296,7),"-",MID(BO296,13,1)),CLU!$P$3:$Q$16,2)),1)</f>
        <v>#N/A</v>
      </c>
      <c r="GT296" s="347" t="s">
        <v>512</v>
      </c>
      <c r="GU296" s="97" t="s">
        <v>513</v>
      </c>
      <c r="GV296" s="97" t="str">
        <f t="shared" si="1000"/>
        <v>M23</v>
      </c>
      <c r="GW296" s="97" t="str">
        <f t="shared" si="1001"/>
        <v>M31</v>
      </c>
      <c r="GX296" s="97" t="str">
        <f t="shared" si="1002"/>
        <v/>
      </c>
      <c r="GY296" s="97" t="str">
        <f t="shared" si="1003"/>
        <v/>
      </c>
      <c r="GZ296" s="481"/>
      <c r="HA296" s="240"/>
      <c r="HB296" s="240"/>
      <c r="HC296" s="240"/>
      <c r="HD296" s="240"/>
      <c r="HE296" s="240"/>
      <c r="HF296" s="240"/>
      <c r="HG296" s="240"/>
      <c r="HH296" s="240"/>
      <c r="HI296" s="240"/>
      <c r="HJ296" s="240"/>
      <c r="HK296" s="240"/>
      <c r="HL296" s="240"/>
      <c r="HM296" s="240"/>
      <c r="HN296" s="240"/>
      <c r="HO296" s="240"/>
      <c r="HP296" s="240"/>
      <c r="HQ296" s="240"/>
      <c r="HR296" s="240"/>
      <c r="HS296" s="240"/>
      <c r="HT296" s="240"/>
      <c r="HU296" s="240"/>
      <c r="HV296" s="245"/>
      <c r="HW296" s="245" t="b">
        <v>1</v>
      </c>
      <c r="HX296" s="245" t="str">
        <f t="shared" si="888"/>
        <v/>
      </c>
      <c r="HY296" s="245" t="e">
        <f t="shared" si="889"/>
        <v>#DIV/0!</v>
      </c>
      <c r="HZ296" s="245" t="e">
        <f t="shared" si="890"/>
        <v>#DIV/0!</v>
      </c>
      <c r="IA296" s="245">
        <f t="shared" si="891"/>
        <v>0</v>
      </c>
      <c r="IB296" s="245"/>
      <c r="IC296" t="b">
        <f t="shared" si="892"/>
        <v>1</v>
      </c>
      <c r="ID296" s="245" t="b">
        <f t="shared" si="893"/>
        <v>1</v>
      </c>
      <c r="IE296" s="245" t="b">
        <f t="shared" si="894"/>
        <v>1</v>
      </c>
      <c r="IF296" s="245" t="b">
        <f t="shared" si="895"/>
        <v>0</v>
      </c>
      <c r="IG296" s="245" t="b">
        <f t="shared" si="896"/>
        <v>1</v>
      </c>
      <c r="IH296" s="245" t="b">
        <f t="shared" si="897"/>
        <v>1</v>
      </c>
      <c r="II296" s="245">
        <f t="shared" si="1004"/>
        <v>0</v>
      </c>
      <c r="IJ296" s="245" t="e">
        <f t="shared" si="898"/>
        <v>#VALUE!</v>
      </c>
      <c r="IK296" s="245" t="e">
        <f t="shared" si="899"/>
        <v>#VALUE!</v>
      </c>
      <c r="IL296" s="245"/>
      <c r="IM296" s="245" t="e">
        <f t="shared" si="1005"/>
        <v>#N/A</v>
      </c>
      <c r="IN296" s="245" t="e">
        <f t="shared" si="1006"/>
        <v>#N/A</v>
      </c>
      <c r="IO296" s="245"/>
      <c r="IP296" s="245"/>
      <c r="IQ296" s="245" t="str">
        <f t="shared" si="900"/>
        <v/>
      </c>
      <c r="IR296" s="245" t="str">
        <f>IF(J296="","",VLOOKUP(J296,Worksheet!$R$4:$T$14,2))</f>
        <v/>
      </c>
      <c r="IS296" s="245"/>
      <c r="IT296" s="245">
        <f t="shared" si="901"/>
        <v>0</v>
      </c>
      <c r="IU296" s="245">
        <f t="shared" si="902"/>
        <v>0</v>
      </c>
      <c r="IV296" s="245">
        <f t="shared" si="903"/>
        <v>0</v>
      </c>
      <c r="IW296" s="245">
        <f t="shared" si="904"/>
        <v>0</v>
      </c>
      <c r="IX296" s="245">
        <f t="shared" si="1007"/>
        <v>0</v>
      </c>
      <c r="IY296" s="245">
        <f t="shared" si="905"/>
        <v>0</v>
      </c>
      <c r="IZ296" s="245">
        <f t="shared" si="906"/>
        <v>0</v>
      </c>
      <c r="JA296">
        <f t="shared" si="907"/>
        <v>0</v>
      </c>
      <c r="JB296">
        <f t="shared" si="1008"/>
        <v>0</v>
      </c>
      <c r="JC296">
        <f t="shared" si="908"/>
        <v>0</v>
      </c>
      <c r="JD296">
        <f t="shared" si="909"/>
        <v>0</v>
      </c>
      <c r="JE296">
        <f t="shared" si="910"/>
        <v>0</v>
      </c>
      <c r="JF296">
        <f t="shared" si="911"/>
        <v>0</v>
      </c>
      <c r="JG296">
        <f t="shared" si="912"/>
        <v>0</v>
      </c>
      <c r="JH296">
        <f t="shared" si="913"/>
        <v>0</v>
      </c>
      <c r="JI296">
        <f t="shared" si="914"/>
        <v>0</v>
      </c>
      <c r="JJ296" s="447">
        <f t="shared" si="915"/>
        <v>0</v>
      </c>
      <c r="JK296" s="447">
        <f t="shared" si="916"/>
        <v>0</v>
      </c>
      <c r="JL296">
        <f t="shared" si="917"/>
        <v>0</v>
      </c>
      <c r="JM296" s="245" t="str">
        <f>IFERROR(VLOOKUP(MATCH(BN296,#REF!,0),#REF!,7),"")</f>
        <v/>
      </c>
      <c r="JN296" t="e">
        <f>HLOOKUP(LEFT(BO296,7),Discharge_Area,MATCH(JO296,LookUps!$B$130:$B$149,1)+2)</f>
        <v>#N/A</v>
      </c>
      <c r="JO296" t="str">
        <f t="shared" si="918"/>
        <v>- S</v>
      </c>
      <c r="JP296" t="e">
        <f>HLOOKUP(LEFT(BO296,7),Discharge_Area,MATCH(JO296,LookUps!$B$130:$B$149,1)+2)</f>
        <v>#N/A</v>
      </c>
      <c r="JQ296" t="e">
        <f t="shared" si="919"/>
        <v>#N/A</v>
      </c>
      <c r="JR296" t="e">
        <f t="shared" si="920"/>
        <v>#N/A</v>
      </c>
      <c r="JS296" t="e">
        <f t="shared" si="921"/>
        <v>#N/A</v>
      </c>
      <c r="JT296" s="532" t="str">
        <f t="shared" si="922"/>
        <v xml:space="preserve"> </v>
      </c>
      <c r="JU296" s="532" t="str">
        <f t="shared" si="923"/>
        <v xml:space="preserve"> </v>
      </c>
      <c r="JV296" s="533" t="str">
        <f t="shared" si="924"/>
        <v xml:space="preserve"> </v>
      </c>
      <c r="JW296" s="534">
        <f t="shared" si="925"/>
        <v>0</v>
      </c>
      <c r="JX296" s="535" t="str">
        <f t="shared" si="1009"/>
        <v xml:space="preserve"> </v>
      </c>
      <c r="JY296" s="535" t="str">
        <f t="shared" si="1010"/>
        <v xml:space="preserve"> </v>
      </c>
      <c r="JZ296" s="535" t="str">
        <f t="shared" si="1011"/>
        <v xml:space="preserve"> </v>
      </c>
      <c r="KA296" s="536" t="str">
        <f t="shared" si="926"/>
        <v xml:space="preserve"> </v>
      </c>
      <c r="KB296" s="535" t="e">
        <f t="shared" si="1012"/>
        <v>#VALUE!</v>
      </c>
      <c r="KC296" s="535" t="str">
        <f t="shared" si="927"/>
        <v/>
      </c>
      <c r="KD296" s="537" t="str">
        <f t="shared" si="1013"/>
        <v xml:space="preserve"> </v>
      </c>
      <c r="KE296" s="537" t="str">
        <f t="shared" si="1014"/>
        <v xml:space="preserve"> </v>
      </c>
      <c r="KF296" s="534">
        <f t="shared" si="928"/>
        <v>0</v>
      </c>
      <c r="KG296" s="535" t="str">
        <f t="shared" si="929"/>
        <v xml:space="preserve"> </v>
      </c>
      <c r="KH296" s="535" t="str">
        <f t="shared" si="930"/>
        <v xml:space="preserve"> </v>
      </c>
      <c r="KI296" s="535" t="str">
        <f t="shared" si="931"/>
        <v xml:space="preserve"> </v>
      </c>
      <c r="KJ296" s="536" t="str">
        <f t="shared" si="932"/>
        <v xml:space="preserve"> </v>
      </c>
      <c r="KK296" s="535" t="str">
        <f t="shared" si="1015"/>
        <v xml:space="preserve"> </v>
      </c>
      <c r="KL296" s="535" t="str">
        <f t="shared" si="1016"/>
        <v xml:space="preserve"> </v>
      </c>
      <c r="KM296" s="537" t="str">
        <f t="shared" si="933"/>
        <v xml:space="preserve"> </v>
      </c>
      <c r="KN296" s="537" t="str">
        <f t="shared" si="1017"/>
        <v xml:space="preserve"> </v>
      </c>
      <c r="KP296">
        <f t="shared" si="934"/>
        <v>0</v>
      </c>
      <c r="LA296" t="e">
        <f t="shared" si="935"/>
        <v>#VALUE!</v>
      </c>
      <c r="LB296" t="e">
        <f t="shared" si="936"/>
        <v>#VALUE!</v>
      </c>
      <c r="LC296" t="e">
        <f t="shared" si="937"/>
        <v>#VALUE!</v>
      </c>
      <c r="LD296" t="e">
        <f t="shared" si="938"/>
        <v>#VALUE!</v>
      </c>
      <c r="LE296" t="e">
        <f t="shared" si="1018"/>
        <v>#VALUE!</v>
      </c>
      <c r="LF296">
        <f t="shared" si="939"/>
        <v>0</v>
      </c>
      <c r="LG296" t="e">
        <f t="shared" si="1019"/>
        <v>#VALUE!</v>
      </c>
      <c r="LH296" t="str">
        <f t="shared" si="940"/>
        <v xml:space="preserve"> </v>
      </c>
      <c r="LI296">
        <f t="shared" si="1020"/>
        <v>1</v>
      </c>
    </row>
    <row r="297" spans="2:321" ht="15" customHeight="1">
      <c r="B297" s="311"/>
      <c r="C297" s="311"/>
      <c r="D297" s="312"/>
      <c r="E297" s="311"/>
      <c r="F297" s="312"/>
      <c r="G297" s="311"/>
      <c r="H297" s="311"/>
      <c r="I297" s="232"/>
      <c r="J297" s="311"/>
      <c r="K297" s="305" t="str">
        <f t="shared" si="941"/>
        <v/>
      </c>
      <c r="L297" s="313"/>
      <c r="M297" s="312"/>
      <c r="N297" s="311"/>
      <c r="O297" s="312"/>
      <c r="P297" s="311"/>
      <c r="Q297" s="305" t="str">
        <f t="shared" si="942"/>
        <v/>
      </c>
      <c r="R297" s="314"/>
      <c r="S297" s="450" t="str">
        <f t="shared" si="825"/>
        <v/>
      </c>
      <c r="T297" s="315"/>
      <c r="U297" s="315"/>
      <c r="W297" s="149" t="str">
        <f t="shared" si="826"/>
        <v xml:space="preserve"> </v>
      </c>
      <c r="X297" s="243" t="str">
        <f t="shared" si="827"/>
        <v xml:space="preserve"> </v>
      </c>
      <c r="Y297" s="150" t="str">
        <f t="shared" si="828"/>
        <v/>
      </c>
      <c r="Z297" s="149" t="str">
        <f t="shared" si="829"/>
        <v xml:space="preserve"> </v>
      </c>
      <c r="AA297" s="98" t="str">
        <f t="shared" si="830"/>
        <v xml:space="preserve"> </v>
      </c>
      <c r="AB297" s="153" t="str">
        <f t="shared" si="831"/>
        <v xml:space="preserve"> </v>
      </c>
      <c r="AC297" s="153" t="str">
        <f t="shared" si="832"/>
        <v xml:space="preserve"> </v>
      </c>
      <c r="AD297" s="148" t="str">
        <f t="shared" si="833"/>
        <v/>
      </c>
      <c r="AE297" s="149" t="str">
        <f t="shared" si="834"/>
        <v/>
      </c>
      <c r="AF297" s="151" t="str">
        <f t="shared" si="835"/>
        <v xml:space="preserve"> </v>
      </c>
      <c r="AG297" s="153" t="str">
        <f t="shared" si="836"/>
        <v xml:space="preserve"> </v>
      </c>
      <c r="AH297" s="98" t="str">
        <f t="shared" si="837"/>
        <v xml:space="preserve"> </v>
      </c>
      <c r="AI297" s="149" t="str">
        <f t="shared" si="838"/>
        <v xml:space="preserve"> </v>
      </c>
      <c r="AK297" s="144" t="str">
        <f t="shared" si="839"/>
        <v xml:space="preserve"> </v>
      </c>
      <c r="AL297" s="144"/>
      <c r="AM297" s="243" t="str">
        <f t="shared" si="840"/>
        <v xml:space="preserve"> </v>
      </c>
      <c r="AN297" s="149" t="str">
        <f t="shared" si="943"/>
        <v xml:space="preserve"> </v>
      </c>
      <c r="AO297" s="144" t="str">
        <f>IF(JB297&gt;0,IF(GI297=10,-R297*1.085*(Calculation!$F$6-Calculation!$F$13)*$S$14," "),"")</f>
        <v/>
      </c>
      <c r="AP297" s="144" t="str">
        <f t="shared" si="841"/>
        <v/>
      </c>
      <c r="AQ297" s="56" t="str">
        <f t="shared" si="842"/>
        <v/>
      </c>
      <c r="AR297" s="144" t="str">
        <f t="shared" si="843"/>
        <v/>
      </c>
      <c r="AS297" s="176" t="str">
        <f t="shared" si="844"/>
        <v/>
      </c>
      <c r="AT297" s="176" t="str">
        <f t="shared" si="944"/>
        <v xml:space="preserve"> </v>
      </c>
      <c r="AU297" s="176" t="str">
        <f t="shared" si="845"/>
        <v/>
      </c>
      <c r="AV297" s="177" t="str">
        <f t="shared" si="846"/>
        <v xml:space="preserve"> </v>
      </c>
      <c r="AW297" s="144" t="str">
        <f t="shared" si="847"/>
        <v xml:space="preserve"> </v>
      </c>
      <c r="AX297" s="144" t="str">
        <f t="shared" si="848"/>
        <v xml:space="preserve"> </v>
      </c>
      <c r="AY297" s="152" t="str">
        <f t="shared" si="849"/>
        <v xml:space="preserve"> </v>
      </c>
      <c r="AZ297" s="246" t="str">
        <f t="shared" si="850"/>
        <v/>
      </c>
      <c r="BA297" s="176" t="str">
        <f t="shared" si="851"/>
        <v xml:space="preserve"> </v>
      </c>
      <c r="BB297" s="176" t="str">
        <f t="shared" si="852"/>
        <v xml:space="preserve"> </v>
      </c>
      <c r="BC297" s="195"/>
      <c r="BD297" s="316"/>
      <c r="BE297" s="317"/>
      <c r="BF297" s="318"/>
      <c r="BG297" s="318"/>
      <c r="BH297" s="144" t="str">
        <f t="shared" si="1021"/>
        <v xml:space="preserve"> </v>
      </c>
      <c r="BI297" s="176" t="str">
        <f t="shared" si="853"/>
        <v/>
      </c>
      <c r="BJ297" s="144" t="str">
        <f t="shared" si="1022"/>
        <v/>
      </c>
      <c r="BK297" s="246" t="str">
        <f t="shared" si="854"/>
        <v/>
      </c>
      <c r="BL297" s="144" t="str">
        <f t="shared" si="1023"/>
        <v/>
      </c>
      <c r="BM297" s="246" t="str">
        <f t="shared" si="855"/>
        <v/>
      </c>
      <c r="BN297" s="337" t="str">
        <f t="shared" si="945"/>
        <v/>
      </c>
      <c r="BO297" s="371" t="str">
        <f t="shared" si="946"/>
        <v/>
      </c>
      <c r="BP297" s="328" t="str">
        <f t="shared" si="1024"/>
        <v xml:space="preserve"> </v>
      </c>
      <c r="BQ297" s="347" t="str">
        <f t="shared" si="947"/>
        <v xml:space="preserve"> </v>
      </c>
      <c r="BR297" s="353" t="str">
        <f t="shared" si="948"/>
        <v xml:space="preserve"> </v>
      </c>
      <c r="BS297" s="626" t="str">
        <f>IF(L297&gt;0,IF(Calculation!P297="M13",BR297*3.1416*(0.134^2)/(4*144),IF(Calculation!P297="M17",BR297*3.1416*(0.165^2)/(4*144),IF(Calculation!P297="M20",BR297*3.1416*(0.198^2)/(4*144),IF(Calculation!P297="M23",BR297*3.1416*(0.228^2)/(4*144),IF(Calculation!P297="M27",BR297*3.1416*(0.269^2)/(4*144),BR297*3.1416*(0.307^2)/(4*144))))))," ")</f>
        <v xml:space="preserve"> </v>
      </c>
      <c r="BT297" s="353" t="str">
        <f>IF(L297&gt;0,IF(BS297&gt;0,R297/Calculation!BS297,0)," ")</f>
        <v xml:space="preserve"> </v>
      </c>
      <c r="BU297" s="438" t="e">
        <f t="shared" ca="1" si="856"/>
        <v>#VALUE!</v>
      </c>
      <c r="BV297" s="449" t="e">
        <f ca="1">INDEX(INDIRECT(VLOOKUP(LEFT(BO297,7),CLU!$Z$3:$AH$18,2)),GN297,GR297)</f>
        <v>#N/A</v>
      </c>
      <c r="BW297" s="433" t="e">
        <f ca="1">INDEX(INDIRECT(VLOOKUP(LEFT(BO297,7),CLU!$Z$3:$AH$18,3)),GN297,GR297)</f>
        <v>#N/A</v>
      </c>
      <c r="BX297" s="433" t="e">
        <f ca="1">INDEX(INDIRECT(VLOOKUP(LEFT(BO297,7),CLU!$Z$3:$AH$18,4)),GN297,GR297)</f>
        <v>#N/A</v>
      </c>
      <c r="BY297" s="433" t="e">
        <f ca="1">INDEX(INDIRECT(VLOOKUP(LEFT(BO297,7),CLU!$Z$3:$AH$18,9)),((M297-2)*(6-COUNTBLANK(GT297:GY297)))+GJ297)</f>
        <v>#N/A</v>
      </c>
      <c r="BZ297" s="426" t="e">
        <f t="shared" ca="1" si="949"/>
        <v>#N/A</v>
      </c>
      <c r="CA297" s="424" t="e">
        <f t="shared" ca="1" si="950"/>
        <v>#N/A</v>
      </c>
      <c r="CB297" s="429" t="e">
        <f ca="1">INDEX(INDIRECT(VLOOKUP(LEFT(BO297,7),CLU!$Z$3:$AH$18,2)),GN297,GS297)</f>
        <v>#N/A</v>
      </c>
      <c r="CC297" s="342" t="e">
        <f ca="1">INDEX(INDIRECT(VLOOKUP(LEFT(BO297,7),CLU!$Z$3:$AH$18,3)),GN297,GS297)</f>
        <v>#N/A</v>
      </c>
      <c r="CD297" s="342" t="e">
        <f ca="1">INDEX(INDIRECT(VLOOKUP(LEFT(BO297,7),CLU!$Z$3:$AH$18,4)),GN297,GS297)</f>
        <v>#N/A</v>
      </c>
      <c r="CE297" s="426" t="e">
        <f t="shared" ca="1" si="951"/>
        <v>#N/A</v>
      </c>
      <c r="CF297" s="440">
        <f t="shared" si="952"/>
        <v>0</v>
      </c>
      <c r="CG297" s="431" t="e">
        <f ca="1">INDEX(INDIRECT(VLOOKUP(LEFT(BO297,7),CLU!$Z$3:$AH$18,2)),GQ297,GR297)</f>
        <v>#N/A</v>
      </c>
      <c r="CH297" s="431" t="e">
        <f ca="1">INDEX(INDIRECT(VLOOKUP(LEFT(BO297,7),CLU!$Z$3:$AH$18,3)),GQ297,GR297)</f>
        <v>#N/A</v>
      </c>
      <c r="CI297" s="431" t="e">
        <f ca="1">INDEX(INDIRECT(VLOOKUP(LEFT(BO297,7),CLU!$Z$3:$AH$18,4)),GQ297,GR297)</f>
        <v>#N/A</v>
      </c>
      <c r="CJ297" s="448" t="e">
        <f t="shared" ca="1" si="953"/>
        <v>#N/A</v>
      </c>
      <c r="CK297" s="431" t="e">
        <f t="shared" ca="1" si="954"/>
        <v>#N/A</v>
      </c>
      <c r="CL297" s="440" t="e">
        <f t="shared" ca="1" si="955"/>
        <v>#N/A</v>
      </c>
      <c r="CM297" s="431" t="e">
        <f ca="1">INDEX(INDIRECT(VLOOKUP(LEFT(BO297,7),CLU!$Z$3:$AH$18,2)),GQ297,GS297)</f>
        <v>#N/A</v>
      </c>
      <c r="CN297" s="431" t="e">
        <f ca="1">INDEX(INDIRECT(VLOOKUP(LEFT(BO297,7),CLU!$Z$3:$AH$18,3)),GQ297,GS297)</f>
        <v>#N/A</v>
      </c>
      <c r="CO297" s="431" t="e">
        <f ca="1">INDEX(INDIRECT(VLOOKUP(LEFT(BO297,7),CLU!$Z$3:$AH$18,4)),GQ297,GS297)</f>
        <v>#N/A</v>
      </c>
      <c r="CP297" s="431" t="e">
        <f t="shared" ca="1" si="956"/>
        <v>#N/A</v>
      </c>
      <c r="CQ297" s="440">
        <f t="shared" si="957"/>
        <v>0</v>
      </c>
      <c r="CR297" s="51" t="e">
        <f t="shared" ca="1" si="958"/>
        <v>#N/A</v>
      </c>
      <c r="CS297" s="439" t="e">
        <f t="shared" ca="1" si="959"/>
        <v>#VALUE!</v>
      </c>
      <c r="CT297" s="51" t="e">
        <f t="shared" ca="1" si="960"/>
        <v>#VALUE!</v>
      </c>
      <c r="CU297" s="10"/>
      <c r="CV297" s="51" t="e">
        <f t="shared" ca="1" si="857"/>
        <v>#VALUE!</v>
      </c>
      <c r="CW297" s="51">
        <f t="shared" si="961"/>
        <v>0</v>
      </c>
      <c r="CX297" s="439" t="e">
        <f t="shared" ca="1" si="962"/>
        <v>#VALUE!</v>
      </c>
      <c r="CY297" s="51" t="e">
        <f t="shared" ca="1" si="963"/>
        <v>#VALUE!</v>
      </c>
      <c r="CZ297" s="10"/>
      <c r="DA297" s="51" t="e">
        <f t="shared" ca="1" si="964"/>
        <v>#VALUE!</v>
      </c>
      <c r="DB297" s="347" t="e">
        <f ca="1">INDEX(INDIRECT(VLOOKUP(LEFT(BO297,7),CLU!$Z$3:$AI$18,10)),((M297-2)*(6-COUNTBLANK(GT297:GY297)))+GJ297)*LI297</f>
        <v>#N/A</v>
      </c>
      <c r="DC297" s="347" t="str">
        <f>IF(L297&gt;0,((R297/Worksheet!$I$15)/DB297)^2," ")</f>
        <v xml:space="preserve"> </v>
      </c>
      <c r="DD297" s="602" t="str">
        <f t="shared" si="965"/>
        <v xml:space="preserve"> </v>
      </c>
      <c r="DE297" s="347" t="str">
        <f t="shared" si="858"/>
        <v xml:space="preserve"> </v>
      </c>
      <c r="DF297" s="356" t="e">
        <f ca="1">INDEX(INDIRECT(VLOOKUP(LEFT(BO297,7),CLU!$Z$3:$AH$18,8)),((M297-2)*(6-COUNTBLANK(GT297:GY297)))+GJ297)</f>
        <v>#N/A</v>
      </c>
      <c r="DG297" s="347" t="str">
        <f t="shared" si="859"/>
        <v xml:space="preserve"> </v>
      </c>
      <c r="DH297" s="357" t="str">
        <f t="shared" si="860"/>
        <v xml:space="preserve"> </v>
      </c>
      <c r="DI297" s="355" t="str">
        <f t="shared" si="861"/>
        <v xml:space="preserve"> </v>
      </c>
      <c r="DJ297" s="245" t="e">
        <f ca="1">INDEX(INDIRECT(VLOOKUP(LEFT(BO297,7),CLU!$Z$3:$AH$18,5)),GL297,GK297)</f>
        <v>#N/A</v>
      </c>
      <c r="DK297" s="245" t="e">
        <f ca="1">INDEX(INDIRECT(VLOOKUP(LEFT(BO297,7),CLU!$Z$3:$AH$18,6)),GL297,GK297)</f>
        <v>#N/A</v>
      </c>
      <c r="DL297" s="355">
        <f>(Calculation!R297*0.69143*(Calculation!$BQ$8-Calculation!$F$8))*$S$14</f>
        <v>0</v>
      </c>
      <c r="DM297" s="359" t="e">
        <f t="shared" si="966"/>
        <v>#VALUE!</v>
      </c>
      <c r="DN297" s="611">
        <f t="shared" si="967"/>
        <v>0</v>
      </c>
      <c r="DO297" s="359">
        <f t="shared" si="968"/>
        <v>100</v>
      </c>
      <c r="DP297" s="359">
        <f t="shared" si="969"/>
        <v>0</v>
      </c>
      <c r="DQ297" s="360"/>
      <c r="DR297" s="245" t="e">
        <f ca="1">INDEX(INDIRECT(VLOOKUP(LEFT(BO297,7),CLU!$Z$3:$AH$18,7)),M297-1,1)</f>
        <v>#N/A</v>
      </c>
      <c r="DS297" s="245" t="e">
        <f ca="1">INDEX(INDIRECT(VLOOKUP(LEFT(BO297,7),CLU!$Z$3:$AH$18,7)),M297-1,2)</f>
        <v>#N/A</v>
      </c>
      <c r="DT297" s="245" t="e">
        <f ca="1">INDEX(INDIRECT(VLOOKUP(LEFT(BO297,7),CLU!$Z$3:$AH$18,7)),M297-1,3)</f>
        <v>#N/A</v>
      </c>
      <c r="DU297" s="245" t="e">
        <f ca="1">INDEX(INDIRECT(VLOOKUP(LEFT(BO297,7),CLU!$Z$3:$AH$18,7)),M297-1,4)</f>
        <v>#N/A</v>
      </c>
      <c r="DV297" s="361" t="e">
        <f ca="1">INDEX(INDIRECT(VLOOKUP(LEFT(BO297,7),CLU!$Z$3:$AH$18,7)),M297-1,4+LEFT(DZ297,1)*0.5)</f>
        <v>#N/A</v>
      </c>
      <c r="DW297" s="245" t="e">
        <f ca="1">INDEX(INDIRECT(VLOOKUP(LEFT(BO297,7),CLU!$Z$3:$AH$18,7)),M297-1,8)</f>
        <v>#N/A</v>
      </c>
      <c r="DX297" s="361" t="str">
        <f t="shared" si="862"/>
        <v xml:space="preserve"> </v>
      </c>
      <c r="DY297" s="361" t="str">
        <f t="shared" si="863"/>
        <v xml:space="preserve"> </v>
      </c>
      <c r="DZ297" s="361" t="str">
        <f t="shared" si="864"/>
        <v xml:space="preserve"> </v>
      </c>
      <c r="EA297" s="362" t="str">
        <f t="shared" si="865"/>
        <v xml:space="preserve"> </v>
      </c>
      <c r="EB297" s="624" t="str">
        <f t="shared" si="970"/>
        <v xml:space="preserve"> </v>
      </c>
      <c r="EC297" s="361" t="e">
        <f ca="1">INDEX(INDIRECT(VLOOKUP(LEFT(BO297,7),CLU!$Z$3:$AH$18,7)),M297-1,4+LEFT(DZ297,1)*0.5)</f>
        <v>#N/A</v>
      </c>
      <c r="ED297" s="362" t="str">
        <f t="shared" si="866"/>
        <v xml:space="preserve"> </v>
      </c>
      <c r="EE297" s="361" t="str">
        <f t="shared" si="867"/>
        <v xml:space="preserve"> </v>
      </c>
      <c r="EF297" s="362" t="str">
        <f>IF(L297&gt;0,IF(BR297&gt;0,IF(EE297="2P",IF(Calculation!DZ297="2P",IF(Calculation!DS297=13.75,IF(Calculation!DR297=13,Worksheet!$BD$43,IF(Calculation!DR297=37,Worksheet!$BD$44,Worksheet!$BD$45)),IF(Calculation!DS297=10,IF(Calculation!DR297=18,Worksheet!$BD$29,IF(Calculation!DR297=30,Worksheet!$BD$30,IF(Calculation!DR297=42,Worksheet!$BD$31,IF(Calculation!DR297=54,Worksheet!$BD$32,IF(Calculation!DR297=66,Worksheet!$BD$33,IF(Calculation!DR297=78,Worksheet!$BD$34,IF(Calculation!DR297=90,Worksheet!$BD$35,IF(Calculation!DR297=102,Worksheet!$BD$36,Worksheet!$BD$37)))))))),IF(Calculation!DS297=12.5,IF(Calculation!DR297=18,Worksheet!$BD$38,IF(Calculation!DR297=Worksheet!$BD$39,IF(Calculation!DR297=42,Worksheet!$BD$40,IF(Calculation!DR297=54,Worksheet!$BD$41,Worksheet!$BD$42)))),IF(Calculation!DR297=18,Worksheet!$BD$11,IF(Calculation!DR297=30,Worksheet!$BD$12,IF(Calculation!DR297=42,Worksheet!$BD$13,IF(Calculation!DR297=54,Worksheet!$BD$14,IF(Calculation!DR297=66,Worksheet!$BD$15,IF(Calculation!DR297=78,Worksheet!$BD$16,IF(Calculation!DR297=90,Worksheet!$BD$17,IF(Calculation!DR297=102,Worksheet!$BD$18,Worksheet!$BD$19))))))))))),IF(Calculation!DS297=13.75,IF(Calculation!DR297=13,Worksheet!$BD$78,IF(Calculation!DR297=37,Worksheet!$BD$79,Worksheet!$BD$80)),IF(Calculation!DS297=10,IF(Calculation!DR297=18,Worksheet!$BD$64,IF(Calculation!DR297=30,Worksheet!$BD$65,IF(Calculation!DR297=42,Worksheet!$BD$66,IF(Calculation!DR297=54,Worksheet!$BD$68,IF(Calculation!DR297=66,Worksheet!$BD$68,IF(Calculation!DR297=78,Worksheet!$BD$69,IF(Calculation!DR297=90,Worksheet!$BD$70,IF(Calculation!DR297=102,Worksheet!$BD$71,Worksheet!$BD$72)))))))),IF(Calculation!DS297=12.5,IF(Calculation!DR297=18,Worksheet!$BD$73,IF(Calculation!DR297=Worksheet!$BD$74,IF(Calculation!DR297=42,Worksheet!$BD$75,IF(Calculation!DR297=54,Worksheet!$BD$76,Worksheet!$BD$77)))),IF(Calculation!DR297=18,Worksheet!$BD$55,IF(Calculation!DR297=30,Worksheet!$BD$56,IF(Calculation!DR297=42,Worksheet!$BD$57,IF(Calculation!DR297=54,Worksheet!$BD$58,IF(Calculation!DR297=66,Worksheet!$BD$59,IF(Calculation!DR297=78,Worksheet!$BD$60,IF(Calculation!DR297=90,Worksheet!$BD$61,IF(Calculation!DR297=102,Worksheet!$BD$62,Worksheet!$BD$63)))))))))))),5),0)," ")</f>
        <v xml:space="preserve"> </v>
      </c>
      <c r="EG297" s="361" t="str">
        <f t="shared" si="868"/>
        <v xml:space="preserve"> </v>
      </c>
      <c r="EH297" s="361" t="e">
        <f ca="1">INDEX(INDIRECT(VLOOKUP(LEFT(BO297,7),CLU!$Z$3:$AH$18,7)),M297-1,3+LEFT(DZ297,1))</f>
        <v>#N/A</v>
      </c>
      <c r="EI297" s="362" t="str">
        <f t="shared" si="869"/>
        <v xml:space="preserve"> </v>
      </c>
      <c r="EJ297" s="363" t="str">
        <f t="shared" si="870"/>
        <v xml:space="preserve"> </v>
      </c>
      <c r="EK297" s="363" t="str">
        <f t="shared" si="871"/>
        <v xml:space="preserve"> </v>
      </c>
      <c r="EL297" s="363" t="str">
        <f t="shared" si="872"/>
        <v xml:space="preserve"> </v>
      </c>
      <c r="EM297" s="362" t="str">
        <f>IF(L297&gt;0,IF(BR297&gt;0,(Calculation!T297/ED297)^2,0)," ")</f>
        <v xml:space="preserve"> </v>
      </c>
      <c r="EN297" s="362" t="str">
        <f>IF(L297&gt;0,IF(O297="2 Pipe (Cooling)","N/A",IF(BR297&gt;0,(Calculation!U297/EI297)^2,0))," ")</f>
        <v xml:space="preserve"> </v>
      </c>
      <c r="EO297" s="361" t="str">
        <f t="shared" si="873"/>
        <v/>
      </c>
      <c r="EP297" s="361" t="str">
        <f t="shared" si="874"/>
        <v/>
      </c>
      <c r="EQ297" s="361" t="str">
        <f t="shared" si="875"/>
        <v/>
      </c>
      <c r="ER297" s="361" t="str">
        <f t="shared" si="876"/>
        <v/>
      </c>
      <c r="ES297" s="361" t="str">
        <f t="shared" si="877"/>
        <v/>
      </c>
      <c r="ET297" s="361" t="str">
        <f t="shared" si="878"/>
        <v/>
      </c>
      <c r="EU297" s="361" t="str">
        <f t="shared" si="879"/>
        <v/>
      </c>
      <c r="EV297" s="361" t="str">
        <f t="shared" si="880"/>
        <v/>
      </c>
      <c r="EW297" s="361" t="str">
        <f t="shared" si="881"/>
        <v/>
      </c>
      <c r="EX297" s="361" t="str">
        <f t="shared" si="971"/>
        <v>1 slot, 1 way</v>
      </c>
      <c r="EY297" s="361" t="str">
        <f t="shared" si="972"/>
        <v xml:space="preserve"> </v>
      </c>
      <c r="EZ297" s="361" t="str">
        <f t="shared" si="973"/>
        <v xml:space="preserve"> </v>
      </c>
      <c r="FA297" s="361" t="str">
        <f t="shared" si="974"/>
        <v xml:space="preserve"> </v>
      </c>
      <c r="FB297" s="361" t="str">
        <f t="shared" si="975"/>
        <v xml:space="preserve"> </v>
      </c>
      <c r="FC297" s="361"/>
      <c r="FD297" s="361" t="str">
        <f>IF(J297&gt;0,IF(Calculation!R297&lt;=70,4,IF(Calculation!R297&lt;=110,5,IF(Calculation!R297&lt;=160,6,IF(Calculation!R297&lt;=300,8,"10 EO")))),"")</f>
        <v/>
      </c>
      <c r="FE297" s="361" t="str">
        <f t="shared" si="976"/>
        <v/>
      </c>
      <c r="FF297" s="361" t="str">
        <f t="shared" si="977"/>
        <v/>
      </c>
      <c r="FG297" s="361" t="e">
        <f t="shared" si="882"/>
        <v>#N/A</v>
      </c>
      <c r="FH297" s="361">
        <f t="shared" si="883"/>
        <v>0</v>
      </c>
      <c r="FI297" s="361" t="e">
        <f t="shared" si="884"/>
        <v>#DIV/0!</v>
      </c>
      <c r="FJ297" s="361"/>
      <c r="FK297" s="356" t="e">
        <f t="shared" si="885"/>
        <v>#VALUE!</v>
      </c>
      <c r="FL297" s="361"/>
      <c r="FM297" s="361"/>
      <c r="FN297" s="362" t="str">
        <f t="shared" si="978"/>
        <v xml:space="preserve"> </v>
      </c>
      <c r="FO297" s="362" t="str">
        <f t="shared" si="979"/>
        <v xml:space="preserve"> </v>
      </c>
      <c r="FP297" s="362">
        <f t="shared" si="980"/>
        <v>0</v>
      </c>
      <c r="FQ297" s="361">
        <f t="shared" si="886"/>
        <v>0</v>
      </c>
      <c r="FR297" s="362" t="str">
        <f>IF(L297&gt;0,IF(J297="CBAL2",Worksheet!$P$67,IF(J297="CBE2-24",Worksheet!$Q$67,IF(J297="CBAM",Worksheet!$R$67,IF(J297="CBLV",Worksheet!$S$67,IF(J297="CBAB",Worksheet!$U$67,IF(J297="CBAW",Worksheet!$X$67,IF(J297="CBE2-12",Worksheet!$Y$67,IF(J297="CBAL2",Worksheet!$Z$67,"N/A"))))))))," ")</f>
        <v xml:space="preserve"> </v>
      </c>
      <c r="FS297" s="362" t="str">
        <f>IF(L297&gt;0,IF(J297="CBAL2",Worksheet!$P$68,IF(J297="CBE2-24",Worksheet!$Q$68,IF(J297="CBAM",Worksheet!$R$68,IF(J297="CBLV",Worksheet!$S$68,IF(J297="CBAB",Worksheet!$U$68,IF(J297="CBAW",Worksheet!$X$68,IF(J297="CBE2-12",Worksheet!$Y$68,IF(J297="CBAL2",Worksheet!$Z$68,"N/A"))))))))," ")</f>
        <v xml:space="preserve"> </v>
      </c>
      <c r="FT297" s="362" t="str">
        <f>IF(L297&gt;0,IF(J297="CBAL2",Worksheet!$P$69,IF(J297="CBE2-24",Worksheet!$Q$69,IF(J297="CBAM",Worksheet!$R$69,IF(J297="CBLV",Worksheet!$S$69,IF(J297="CBAB",Worksheet!$U$69,IF(J297="CBAW",Worksheet!$X$69,IF(J297="CBE2-12",Worksheet!$Y$69,IF(J297="CBAL2",Worksheet!$Z$69,"N/A"))))))))," ")</f>
        <v xml:space="preserve"> </v>
      </c>
      <c r="FU297" s="361" t="str">
        <f t="shared" si="981"/>
        <v xml:space="preserve"> </v>
      </c>
      <c r="FV297" s="362" t="str">
        <f t="shared" si="982"/>
        <v xml:space="preserve"> </v>
      </c>
      <c r="FW297" s="362" t="str">
        <f t="shared" si="983"/>
        <v xml:space="preserve"> </v>
      </c>
      <c r="FX297" s="362" t="str">
        <f t="shared" si="984"/>
        <v xml:space="preserve"> </v>
      </c>
      <c r="FY297" s="355" t="str">
        <f t="shared" si="985"/>
        <v xml:space="preserve"> </v>
      </c>
      <c r="FZ297" s="361" t="str">
        <f t="shared" si="986"/>
        <v xml:space="preserve"> </v>
      </c>
      <c r="GA297" s="347" t="str">
        <f t="shared" si="987"/>
        <v xml:space="preserve"> </v>
      </c>
      <c r="GB297" s="355" t="str">
        <f t="shared" si="988"/>
        <v xml:space="preserve"> </v>
      </c>
      <c r="GC297" s="328" t="str">
        <f t="shared" si="989"/>
        <v xml:space="preserve"> </v>
      </c>
      <c r="GD297" s="361" t="str">
        <f t="shared" si="990"/>
        <v xml:space="preserve"> </v>
      </c>
      <c r="GE297" s="347" t="str">
        <f t="shared" si="991"/>
        <v xml:space="preserve"> </v>
      </c>
      <c r="GF297" s="361" t="str">
        <f t="shared" si="992"/>
        <v xml:space="preserve"> </v>
      </c>
      <c r="GG297" s="347" t="str">
        <f t="shared" si="993"/>
        <v xml:space="preserve"> </v>
      </c>
      <c r="GH297" s="364">
        <f t="shared" si="887"/>
        <v>0</v>
      </c>
      <c r="GI297" s="362">
        <f t="shared" si="994"/>
        <v>2</v>
      </c>
      <c r="GJ297" s="433" t="e">
        <f>IF(6-COUNTBLANK(GT297:GY297)=4,MATCH(MID(BO297,9,3),CLU!$H$16:$K$16),MATCH(MID(BO297,9,3),CLU!$H$13:$M$13))</f>
        <v>#N/A</v>
      </c>
      <c r="GK297" s="433" t="e">
        <f>HLOOKUP(VALUE(BP297),CLU!$H$9:$M$10,2)</f>
        <v>#VALUE!</v>
      </c>
      <c r="GL297" s="433" t="e">
        <f ca="1">MATCH(BU297,CLU!$H$2:$V$2,1)</f>
        <v>#VALUE!</v>
      </c>
      <c r="GM297" s="433" t="e">
        <f t="shared" ca="1" si="995"/>
        <v>#VALUE!</v>
      </c>
      <c r="GN297" s="433" t="e">
        <f t="shared" ca="1" si="996"/>
        <v>#VALUE!</v>
      </c>
      <c r="GO297" s="433" t="e">
        <f t="shared" ca="1" si="997"/>
        <v>#VALUE!</v>
      </c>
      <c r="GP297" s="433" t="e">
        <f t="shared" ca="1" si="998"/>
        <v>#VALUE!</v>
      </c>
      <c r="GQ297" s="433" t="e">
        <f t="shared" ca="1" si="999"/>
        <v>#VALUE!</v>
      </c>
      <c r="GR297" s="433" t="e">
        <f ca="1">MATCH(T297,INDIRECT(VLOOKUP(CONCATENATE(LEFT(BO297,7),"-",MID(BO297,13,1)),CLU!$P$3:$Q$16,2)),1)</f>
        <v>#N/A</v>
      </c>
      <c r="GS297" s="433" t="e">
        <f ca="1">MATCH(U297,INDIRECT(VLOOKUP(CONCATENATE(LEFT(BO297,7),"-",MID(BO297,13,1)),CLU!$P$3:$Q$16,2)),1)</f>
        <v>#N/A</v>
      </c>
      <c r="GT297" s="347" t="s">
        <v>512</v>
      </c>
      <c r="GU297" s="97" t="s">
        <v>513</v>
      </c>
      <c r="GV297" s="97" t="str">
        <f t="shared" si="1000"/>
        <v>M23</v>
      </c>
      <c r="GW297" s="97" t="str">
        <f t="shared" si="1001"/>
        <v>M31</v>
      </c>
      <c r="GX297" s="97" t="str">
        <f t="shared" si="1002"/>
        <v/>
      </c>
      <c r="GY297" s="97" t="str">
        <f t="shared" si="1003"/>
        <v/>
      </c>
      <c r="GZ297" s="481"/>
      <c r="HA297" s="240"/>
      <c r="HB297" s="240"/>
      <c r="HC297" s="240"/>
      <c r="HD297" s="240"/>
      <c r="HE297" s="240"/>
      <c r="HF297" s="240"/>
      <c r="HG297" s="240"/>
      <c r="HH297" s="240"/>
      <c r="HI297" s="240"/>
      <c r="HJ297" s="240"/>
      <c r="HK297" s="240"/>
      <c r="HL297" s="240"/>
      <c r="HM297" s="240"/>
      <c r="HN297" s="240"/>
      <c r="HO297" s="240"/>
      <c r="HP297" s="240"/>
      <c r="HQ297" s="240"/>
      <c r="HR297" s="240"/>
      <c r="HS297" s="240"/>
      <c r="HT297" s="240"/>
      <c r="HU297" s="240"/>
      <c r="HV297" s="245"/>
      <c r="HW297" s="245" t="b">
        <v>1</v>
      </c>
      <c r="HX297" s="245" t="str">
        <f t="shared" si="888"/>
        <v/>
      </c>
      <c r="HY297" s="245" t="e">
        <f t="shared" si="889"/>
        <v>#DIV/0!</v>
      </c>
      <c r="HZ297" s="245" t="e">
        <f t="shared" si="890"/>
        <v>#DIV/0!</v>
      </c>
      <c r="IA297" s="245">
        <f t="shared" si="891"/>
        <v>0</v>
      </c>
      <c r="IB297" s="245"/>
      <c r="IC297" t="b">
        <f t="shared" si="892"/>
        <v>1</v>
      </c>
      <c r="ID297" s="245" t="b">
        <f t="shared" si="893"/>
        <v>1</v>
      </c>
      <c r="IE297" s="245" t="b">
        <f t="shared" si="894"/>
        <v>1</v>
      </c>
      <c r="IF297" s="245" t="b">
        <f t="shared" si="895"/>
        <v>0</v>
      </c>
      <c r="IG297" s="245" t="b">
        <f t="shared" si="896"/>
        <v>1</v>
      </c>
      <c r="IH297" s="245" t="b">
        <f t="shared" si="897"/>
        <v>1</v>
      </c>
      <c r="II297" s="245">
        <f t="shared" si="1004"/>
        <v>0</v>
      </c>
      <c r="IJ297" s="245" t="e">
        <f t="shared" si="898"/>
        <v>#VALUE!</v>
      </c>
      <c r="IK297" s="245" t="e">
        <f t="shared" si="899"/>
        <v>#VALUE!</v>
      </c>
      <c r="IL297" s="245"/>
      <c r="IM297" s="245" t="e">
        <f t="shared" si="1005"/>
        <v>#N/A</v>
      </c>
      <c r="IN297" s="245" t="e">
        <f t="shared" si="1006"/>
        <v>#N/A</v>
      </c>
      <c r="IO297" s="245"/>
      <c r="IP297" s="245"/>
      <c r="IQ297" s="245" t="str">
        <f t="shared" si="900"/>
        <v/>
      </c>
      <c r="IR297" s="245" t="str">
        <f>IF(J297="","",VLOOKUP(J297,Worksheet!$R$4:$T$14,2))</f>
        <v/>
      </c>
      <c r="IS297" s="245"/>
      <c r="IT297" s="245">
        <f t="shared" si="901"/>
        <v>0</v>
      </c>
      <c r="IU297" s="245">
        <f t="shared" si="902"/>
        <v>0</v>
      </c>
      <c r="IV297" s="245">
        <f t="shared" si="903"/>
        <v>0</v>
      </c>
      <c r="IW297" s="245">
        <f t="shared" si="904"/>
        <v>0</v>
      </c>
      <c r="IX297" s="245">
        <f t="shared" si="1007"/>
        <v>0</v>
      </c>
      <c r="IY297" s="245">
        <f t="shared" si="905"/>
        <v>0</v>
      </c>
      <c r="IZ297" s="245">
        <f t="shared" si="906"/>
        <v>0</v>
      </c>
      <c r="JA297">
        <f t="shared" si="907"/>
        <v>0</v>
      </c>
      <c r="JB297">
        <f t="shared" si="1008"/>
        <v>0</v>
      </c>
      <c r="JC297">
        <f t="shared" si="908"/>
        <v>0</v>
      </c>
      <c r="JD297">
        <f t="shared" si="909"/>
        <v>0</v>
      </c>
      <c r="JE297">
        <f t="shared" si="910"/>
        <v>0</v>
      </c>
      <c r="JF297">
        <f t="shared" si="911"/>
        <v>0</v>
      </c>
      <c r="JG297">
        <f t="shared" si="912"/>
        <v>0</v>
      </c>
      <c r="JH297">
        <f t="shared" si="913"/>
        <v>0</v>
      </c>
      <c r="JI297">
        <f t="shared" si="914"/>
        <v>0</v>
      </c>
      <c r="JJ297" s="447">
        <f t="shared" si="915"/>
        <v>0</v>
      </c>
      <c r="JK297" s="447">
        <f t="shared" si="916"/>
        <v>0</v>
      </c>
      <c r="JL297">
        <f t="shared" si="917"/>
        <v>0</v>
      </c>
      <c r="JM297" s="245" t="str">
        <f>IFERROR(VLOOKUP(MATCH(BN297,#REF!,0),#REF!,7),"")</f>
        <v/>
      </c>
      <c r="JN297" t="e">
        <f>HLOOKUP(LEFT(BO297,7),Discharge_Area,MATCH(JO297,LookUps!$B$130:$B$149,1)+2)</f>
        <v>#N/A</v>
      </c>
      <c r="JO297" t="str">
        <f t="shared" si="918"/>
        <v>- S</v>
      </c>
      <c r="JP297" t="e">
        <f>HLOOKUP(LEFT(BO297,7),Discharge_Area,MATCH(JO297,LookUps!$B$130:$B$149,1)+2)</f>
        <v>#N/A</v>
      </c>
      <c r="JQ297" t="e">
        <f t="shared" si="919"/>
        <v>#N/A</v>
      </c>
      <c r="JR297" t="e">
        <f t="shared" si="920"/>
        <v>#N/A</v>
      </c>
      <c r="JS297" t="e">
        <f t="shared" si="921"/>
        <v>#N/A</v>
      </c>
      <c r="JT297" s="532" t="str">
        <f t="shared" si="922"/>
        <v xml:space="preserve"> </v>
      </c>
      <c r="JU297" s="532" t="str">
        <f t="shared" si="923"/>
        <v xml:space="preserve"> </v>
      </c>
      <c r="JV297" s="533" t="str">
        <f t="shared" si="924"/>
        <v xml:space="preserve"> </v>
      </c>
      <c r="JW297" s="534">
        <f t="shared" si="925"/>
        <v>0</v>
      </c>
      <c r="JX297" s="535" t="str">
        <f t="shared" si="1009"/>
        <v xml:space="preserve"> </v>
      </c>
      <c r="JY297" s="535" t="str">
        <f t="shared" si="1010"/>
        <v xml:space="preserve"> </v>
      </c>
      <c r="JZ297" s="535" t="str">
        <f t="shared" si="1011"/>
        <v xml:space="preserve"> </v>
      </c>
      <c r="KA297" s="536" t="str">
        <f t="shared" si="926"/>
        <v xml:space="preserve"> </v>
      </c>
      <c r="KB297" s="535" t="e">
        <f t="shared" si="1012"/>
        <v>#VALUE!</v>
      </c>
      <c r="KC297" s="535" t="str">
        <f t="shared" si="927"/>
        <v/>
      </c>
      <c r="KD297" s="537" t="str">
        <f t="shared" si="1013"/>
        <v xml:space="preserve"> </v>
      </c>
      <c r="KE297" s="537" t="str">
        <f t="shared" si="1014"/>
        <v xml:space="preserve"> </v>
      </c>
      <c r="KF297" s="534">
        <f t="shared" si="928"/>
        <v>0</v>
      </c>
      <c r="KG297" s="535" t="str">
        <f t="shared" si="929"/>
        <v xml:space="preserve"> </v>
      </c>
      <c r="KH297" s="535" t="str">
        <f t="shared" si="930"/>
        <v xml:space="preserve"> </v>
      </c>
      <c r="KI297" s="535" t="str">
        <f t="shared" si="931"/>
        <v xml:space="preserve"> </v>
      </c>
      <c r="KJ297" s="536" t="str">
        <f t="shared" si="932"/>
        <v xml:space="preserve"> </v>
      </c>
      <c r="KK297" s="535" t="str">
        <f t="shared" si="1015"/>
        <v xml:space="preserve"> </v>
      </c>
      <c r="KL297" s="535" t="str">
        <f t="shared" si="1016"/>
        <v xml:space="preserve"> </v>
      </c>
      <c r="KM297" s="537" t="str">
        <f t="shared" si="933"/>
        <v xml:space="preserve"> </v>
      </c>
      <c r="KN297" s="537" t="str">
        <f t="shared" si="1017"/>
        <v xml:space="preserve"> </v>
      </c>
      <c r="KP297">
        <f t="shared" si="934"/>
        <v>0</v>
      </c>
      <c r="LA297" t="e">
        <f t="shared" si="935"/>
        <v>#VALUE!</v>
      </c>
      <c r="LB297" t="e">
        <f t="shared" si="936"/>
        <v>#VALUE!</v>
      </c>
      <c r="LC297" t="e">
        <f t="shared" si="937"/>
        <v>#VALUE!</v>
      </c>
      <c r="LD297" t="e">
        <f t="shared" si="938"/>
        <v>#VALUE!</v>
      </c>
      <c r="LE297" t="e">
        <f t="shared" si="1018"/>
        <v>#VALUE!</v>
      </c>
      <c r="LF297">
        <f t="shared" si="939"/>
        <v>0</v>
      </c>
      <c r="LG297" t="e">
        <f t="shared" si="1019"/>
        <v>#VALUE!</v>
      </c>
      <c r="LH297" t="str">
        <f t="shared" si="940"/>
        <v xml:space="preserve"> </v>
      </c>
      <c r="LI297">
        <f t="shared" si="1020"/>
        <v>1</v>
      </c>
    </row>
    <row r="298" spans="2:321" ht="15" customHeight="1">
      <c r="B298" s="311"/>
      <c r="C298" s="311"/>
      <c r="D298" s="312"/>
      <c r="E298" s="311"/>
      <c r="F298" s="312"/>
      <c r="G298" s="311"/>
      <c r="H298" s="311"/>
      <c r="I298" s="232"/>
      <c r="J298" s="311"/>
      <c r="K298" s="305" t="str">
        <f t="shared" si="941"/>
        <v/>
      </c>
      <c r="L298" s="313"/>
      <c r="M298" s="312"/>
      <c r="N298" s="311"/>
      <c r="O298" s="312"/>
      <c r="P298" s="311"/>
      <c r="Q298" s="305" t="str">
        <f t="shared" si="942"/>
        <v/>
      </c>
      <c r="R298" s="314"/>
      <c r="S298" s="450" t="str">
        <f t="shared" si="825"/>
        <v/>
      </c>
      <c r="T298" s="315"/>
      <c r="U298" s="315"/>
      <c r="W298" s="149" t="str">
        <f t="shared" si="826"/>
        <v xml:space="preserve"> </v>
      </c>
      <c r="X298" s="243" t="str">
        <f t="shared" si="827"/>
        <v xml:space="preserve"> </v>
      </c>
      <c r="Y298" s="150" t="str">
        <f t="shared" si="828"/>
        <v/>
      </c>
      <c r="Z298" s="149" t="str">
        <f t="shared" si="829"/>
        <v xml:space="preserve"> </v>
      </c>
      <c r="AA298" s="98" t="str">
        <f t="shared" si="830"/>
        <v xml:space="preserve"> </v>
      </c>
      <c r="AB298" s="153" t="str">
        <f t="shared" si="831"/>
        <v xml:space="preserve"> </v>
      </c>
      <c r="AC298" s="153" t="str">
        <f t="shared" si="832"/>
        <v xml:space="preserve"> </v>
      </c>
      <c r="AD298" s="148" t="str">
        <f t="shared" si="833"/>
        <v/>
      </c>
      <c r="AE298" s="149" t="str">
        <f t="shared" si="834"/>
        <v/>
      </c>
      <c r="AF298" s="151" t="str">
        <f t="shared" si="835"/>
        <v xml:space="preserve"> </v>
      </c>
      <c r="AG298" s="153" t="str">
        <f t="shared" si="836"/>
        <v xml:space="preserve"> </v>
      </c>
      <c r="AH298" s="98" t="str">
        <f t="shared" si="837"/>
        <v xml:space="preserve"> </v>
      </c>
      <c r="AI298" s="149" t="str">
        <f t="shared" si="838"/>
        <v xml:space="preserve"> </v>
      </c>
      <c r="AK298" s="144" t="str">
        <f t="shared" si="839"/>
        <v xml:space="preserve"> </v>
      </c>
      <c r="AL298" s="144"/>
      <c r="AM298" s="243" t="str">
        <f t="shared" si="840"/>
        <v xml:space="preserve"> </v>
      </c>
      <c r="AN298" s="149" t="str">
        <f t="shared" si="943"/>
        <v xml:space="preserve"> </v>
      </c>
      <c r="AO298" s="144" t="str">
        <f>IF(JB298&gt;0,IF(GI298=10,-R298*1.085*(Calculation!$F$6-Calculation!$F$13)*$S$14," "),"")</f>
        <v/>
      </c>
      <c r="AP298" s="144" t="str">
        <f t="shared" si="841"/>
        <v/>
      </c>
      <c r="AQ298" s="56" t="str">
        <f t="shared" si="842"/>
        <v/>
      </c>
      <c r="AR298" s="144" t="str">
        <f t="shared" si="843"/>
        <v/>
      </c>
      <c r="AS298" s="176" t="str">
        <f t="shared" si="844"/>
        <v/>
      </c>
      <c r="AT298" s="176" t="str">
        <f t="shared" si="944"/>
        <v xml:space="preserve"> </v>
      </c>
      <c r="AU298" s="176" t="str">
        <f t="shared" si="845"/>
        <v/>
      </c>
      <c r="AV298" s="177" t="str">
        <f t="shared" si="846"/>
        <v xml:space="preserve"> </v>
      </c>
      <c r="AW298" s="144" t="str">
        <f t="shared" si="847"/>
        <v xml:space="preserve"> </v>
      </c>
      <c r="AX298" s="144" t="str">
        <f t="shared" si="848"/>
        <v xml:space="preserve"> </v>
      </c>
      <c r="AY298" s="152" t="str">
        <f t="shared" si="849"/>
        <v xml:space="preserve"> </v>
      </c>
      <c r="AZ298" s="246" t="str">
        <f t="shared" si="850"/>
        <v/>
      </c>
      <c r="BA298" s="176" t="str">
        <f t="shared" si="851"/>
        <v xml:space="preserve"> </v>
      </c>
      <c r="BB298" s="176" t="str">
        <f t="shared" si="852"/>
        <v xml:space="preserve"> </v>
      </c>
      <c r="BC298" s="195"/>
      <c r="BD298" s="316"/>
      <c r="BE298" s="317"/>
      <c r="BF298" s="318"/>
      <c r="BG298" s="318"/>
      <c r="BH298" s="144" t="str">
        <f t="shared" si="1021"/>
        <v xml:space="preserve"> </v>
      </c>
      <c r="BI298" s="176" t="str">
        <f t="shared" si="853"/>
        <v/>
      </c>
      <c r="BJ298" s="144" t="str">
        <f t="shared" si="1022"/>
        <v/>
      </c>
      <c r="BK298" s="246" t="str">
        <f t="shared" si="854"/>
        <v/>
      </c>
      <c r="BL298" s="144" t="str">
        <f t="shared" si="1023"/>
        <v/>
      </c>
      <c r="BM298" s="246" t="str">
        <f t="shared" si="855"/>
        <v/>
      </c>
      <c r="BN298" s="337" t="str">
        <f t="shared" si="945"/>
        <v/>
      </c>
      <c r="BO298" s="371" t="str">
        <f t="shared" si="946"/>
        <v/>
      </c>
      <c r="BP298" s="328" t="str">
        <f t="shared" si="1024"/>
        <v xml:space="preserve"> </v>
      </c>
      <c r="BQ298" s="347" t="str">
        <f t="shared" si="947"/>
        <v xml:space="preserve"> </v>
      </c>
      <c r="BR298" s="353" t="str">
        <f t="shared" si="948"/>
        <v xml:space="preserve"> </v>
      </c>
      <c r="BS298" s="626" t="str">
        <f>IF(L298&gt;0,IF(Calculation!P298="M13",BR298*3.1416*(0.134^2)/(4*144),IF(Calculation!P298="M17",BR298*3.1416*(0.165^2)/(4*144),IF(Calculation!P298="M20",BR298*3.1416*(0.198^2)/(4*144),IF(Calculation!P298="M23",BR298*3.1416*(0.228^2)/(4*144),IF(Calculation!P298="M27",BR298*3.1416*(0.269^2)/(4*144),BR298*3.1416*(0.307^2)/(4*144))))))," ")</f>
        <v xml:space="preserve"> </v>
      </c>
      <c r="BT298" s="353" t="str">
        <f>IF(L298&gt;0,IF(BS298&gt;0,R298/Calculation!BS298,0)," ")</f>
        <v xml:space="preserve"> </v>
      </c>
      <c r="BU298" s="438" t="e">
        <f t="shared" ca="1" si="856"/>
        <v>#VALUE!</v>
      </c>
      <c r="BV298" s="449" t="e">
        <f ca="1">INDEX(INDIRECT(VLOOKUP(LEFT(BO298,7),CLU!$Z$3:$AH$18,2)),GN298,GR298)</f>
        <v>#N/A</v>
      </c>
      <c r="BW298" s="433" t="e">
        <f ca="1">INDEX(INDIRECT(VLOOKUP(LEFT(BO298,7),CLU!$Z$3:$AH$18,3)),GN298,GR298)</f>
        <v>#N/A</v>
      </c>
      <c r="BX298" s="433" t="e">
        <f ca="1">INDEX(INDIRECT(VLOOKUP(LEFT(BO298,7),CLU!$Z$3:$AH$18,4)),GN298,GR298)</f>
        <v>#N/A</v>
      </c>
      <c r="BY298" s="433" t="e">
        <f ca="1">INDEX(INDIRECT(VLOOKUP(LEFT(BO298,7),CLU!$Z$3:$AH$18,9)),((M298-2)*(6-COUNTBLANK(GT298:GY298)))+GJ298)</f>
        <v>#N/A</v>
      </c>
      <c r="BZ298" s="426" t="e">
        <f t="shared" ca="1" si="949"/>
        <v>#N/A</v>
      </c>
      <c r="CA298" s="424" t="e">
        <f t="shared" ca="1" si="950"/>
        <v>#N/A</v>
      </c>
      <c r="CB298" s="429" t="e">
        <f ca="1">INDEX(INDIRECT(VLOOKUP(LEFT(BO298,7),CLU!$Z$3:$AH$18,2)),GN298,GS298)</f>
        <v>#N/A</v>
      </c>
      <c r="CC298" s="342" t="e">
        <f ca="1">INDEX(INDIRECT(VLOOKUP(LEFT(BO298,7),CLU!$Z$3:$AH$18,3)),GN298,GS298)</f>
        <v>#N/A</v>
      </c>
      <c r="CD298" s="342" t="e">
        <f ca="1">INDEX(INDIRECT(VLOOKUP(LEFT(BO298,7),CLU!$Z$3:$AH$18,4)),GN298,GS298)</f>
        <v>#N/A</v>
      </c>
      <c r="CE298" s="426" t="e">
        <f t="shared" ca="1" si="951"/>
        <v>#N/A</v>
      </c>
      <c r="CF298" s="440">
        <f t="shared" si="952"/>
        <v>0</v>
      </c>
      <c r="CG298" s="431" t="e">
        <f ca="1">INDEX(INDIRECT(VLOOKUP(LEFT(BO298,7),CLU!$Z$3:$AH$18,2)),GQ298,GR298)</f>
        <v>#N/A</v>
      </c>
      <c r="CH298" s="431" t="e">
        <f ca="1">INDEX(INDIRECT(VLOOKUP(LEFT(BO298,7),CLU!$Z$3:$AH$18,3)),GQ298,GR298)</f>
        <v>#N/A</v>
      </c>
      <c r="CI298" s="431" t="e">
        <f ca="1">INDEX(INDIRECT(VLOOKUP(LEFT(BO298,7),CLU!$Z$3:$AH$18,4)),GQ298,GR298)</f>
        <v>#N/A</v>
      </c>
      <c r="CJ298" s="448" t="e">
        <f t="shared" ca="1" si="953"/>
        <v>#N/A</v>
      </c>
      <c r="CK298" s="431" t="e">
        <f t="shared" ca="1" si="954"/>
        <v>#N/A</v>
      </c>
      <c r="CL298" s="440" t="e">
        <f t="shared" ca="1" si="955"/>
        <v>#N/A</v>
      </c>
      <c r="CM298" s="431" t="e">
        <f ca="1">INDEX(INDIRECT(VLOOKUP(LEFT(BO298,7),CLU!$Z$3:$AH$18,2)),GQ298,GS298)</f>
        <v>#N/A</v>
      </c>
      <c r="CN298" s="431" t="e">
        <f ca="1">INDEX(INDIRECT(VLOOKUP(LEFT(BO298,7),CLU!$Z$3:$AH$18,3)),GQ298,GS298)</f>
        <v>#N/A</v>
      </c>
      <c r="CO298" s="431" t="e">
        <f ca="1">INDEX(INDIRECT(VLOOKUP(LEFT(BO298,7),CLU!$Z$3:$AH$18,4)),GQ298,GS298)</f>
        <v>#N/A</v>
      </c>
      <c r="CP298" s="431" t="e">
        <f t="shared" ca="1" si="956"/>
        <v>#N/A</v>
      </c>
      <c r="CQ298" s="440">
        <f t="shared" si="957"/>
        <v>0</v>
      </c>
      <c r="CR298" s="51" t="e">
        <f t="shared" ca="1" si="958"/>
        <v>#N/A</v>
      </c>
      <c r="CS298" s="439" t="e">
        <f t="shared" ca="1" si="959"/>
        <v>#VALUE!</v>
      </c>
      <c r="CT298" s="51" t="e">
        <f t="shared" ca="1" si="960"/>
        <v>#VALUE!</v>
      </c>
      <c r="CU298" s="10"/>
      <c r="CV298" s="51" t="e">
        <f t="shared" ca="1" si="857"/>
        <v>#VALUE!</v>
      </c>
      <c r="CW298" s="51">
        <f t="shared" si="961"/>
        <v>0</v>
      </c>
      <c r="CX298" s="439" t="e">
        <f t="shared" ca="1" si="962"/>
        <v>#VALUE!</v>
      </c>
      <c r="CY298" s="51" t="e">
        <f t="shared" ca="1" si="963"/>
        <v>#VALUE!</v>
      </c>
      <c r="CZ298" s="10"/>
      <c r="DA298" s="51" t="e">
        <f t="shared" ca="1" si="964"/>
        <v>#VALUE!</v>
      </c>
      <c r="DB298" s="347" t="e">
        <f ca="1">INDEX(INDIRECT(VLOOKUP(LEFT(BO298,7),CLU!$Z$3:$AI$18,10)),((M298-2)*(6-COUNTBLANK(GT298:GY298)))+GJ298)*LI298</f>
        <v>#N/A</v>
      </c>
      <c r="DC298" s="347" t="str">
        <f>IF(L298&gt;0,((R298/Worksheet!$I$15)/DB298)^2," ")</f>
        <v xml:space="preserve"> </v>
      </c>
      <c r="DD298" s="602" t="str">
        <f t="shared" si="965"/>
        <v xml:space="preserve"> </v>
      </c>
      <c r="DE298" s="347" t="str">
        <f t="shared" si="858"/>
        <v xml:space="preserve"> </v>
      </c>
      <c r="DF298" s="356" t="e">
        <f ca="1">INDEX(INDIRECT(VLOOKUP(LEFT(BO298,7),CLU!$Z$3:$AH$18,8)),((M298-2)*(6-COUNTBLANK(GT298:GY298)))+GJ298)</f>
        <v>#N/A</v>
      </c>
      <c r="DG298" s="347" t="str">
        <f t="shared" si="859"/>
        <v xml:space="preserve"> </v>
      </c>
      <c r="DH298" s="357" t="str">
        <f t="shared" si="860"/>
        <v xml:space="preserve"> </v>
      </c>
      <c r="DI298" s="355" t="str">
        <f t="shared" si="861"/>
        <v xml:space="preserve"> </v>
      </c>
      <c r="DJ298" s="245" t="e">
        <f ca="1">INDEX(INDIRECT(VLOOKUP(LEFT(BO298,7),CLU!$Z$3:$AH$18,5)),GL298,GK298)</f>
        <v>#N/A</v>
      </c>
      <c r="DK298" s="245" t="e">
        <f ca="1">INDEX(INDIRECT(VLOOKUP(LEFT(BO298,7),CLU!$Z$3:$AH$18,6)),GL298,GK298)</f>
        <v>#N/A</v>
      </c>
      <c r="DL298" s="355">
        <f>(Calculation!R298*0.69143*(Calculation!$BQ$8-Calculation!$F$8))*$S$14</f>
        <v>0</v>
      </c>
      <c r="DM298" s="359" t="e">
        <f t="shared" si="966"/>
        <v>#VALUE!</v>
      </c>
      <c r="DN298" s="611">
        <f t="shared" si="967"/>
        <v>0</v>
      </c>
      <c r="DO298" s="359">
        <f t="shared" si="968"/>
        <v>100</v>
      </c>
      <c r="DP298" s="359">
        <f t="shared" si="969"/>
        <v>0</v>
      </c>
      <c r="DQ298" s="360"/>
      <c r="DR298" s="245" t="e">
        <f ca="1">INDEX(INDIRECT(VLOOKUP(LEFT(BO298,7),CLU!$Z$3:$AH$18,7)),M298-1,1)</f>
        <v>#N/A</v>
      </c>
      <c r="DS298" s="245" t="e">
        <f ca="1">INDEX(INDIRECT(VLOOKUP(LEFT(BO298,7),CLU!$Z$3:$AH$18,7)),M298-1,2)</f>
        <v>#N/A</v>
      </c>
      <c r="DT298" s="245" t="e">
        <f ca="1">INDEX(INDIRECT(VLOOKUP(LEFT(BO298,7),CLU!$Z$3:$AH$18,7)),M298-1,3)</f>
        <v>#N/A</v>
      </c>
      <c r="DU298" s="245" t="e">
        <f ca="1">INDEX(INDIRECT(VLOOKUP(LEFT(BO298,7),CLU!$Z$3:$AH$18,7)),M298-1,4)</f>
        <v>#N/A</v>
      </c>
      <c r="DV298" s="361" t="e">
        <f ca="1">INDEX(INDIRECT(VLOOKUP(LEFT(BO298,7),CLU!$Z$3:$AH$18,7)),M298-1,4+LEFT(DZ298,1)*0.5)</f>
        <v>#N/A</v>
      </c>
      <c r="DW298" s="245" t="e">
        <f ca="1">INDEX(INDIRECT(VLOOKUP(LEFT(BO298,7),CLU!$Z$3:$AH$18,7)),M298-1,8)</f>
        <v>#N/A</v>
      </c>
      <c r="DX298" s="361" t="str">
        <f t="shared" si="862"/>
        <v xml:space="preserve"> </v>
      </c>
      <c r="DY298" s="361" t="str">
        <f t="shared" si="863"/>
        <v xml:space="preserve"> </v>
      </c>
      <c r="DZ298" s="361" t="str">
        <f t="shared" si="864"/>
        <v xml:space="preserve"> </v>
      </c>
      <c r="EA298" s="362" t="str">
        <f t="shared" si="865"/>
        <v xml:space="preserve"> </v>
      </c>
      <c r="EB298" s="624" t="str">
        <f t="shared" si="970"/>
        <v xml:space="preserve"> </v>
      </c>
      <c r="EC298" s="361" t="e">
        <f ca="1">INDEX(INDIRECT(VLOOKUP(LEFT(BO298,7),CLU!$Z$3:$AH$18,7)),M298-1,4+LEFT(DZ298,1)*0.5)</f>
        <v>#N/A</v>
      </c>
      <c r="ED298" s="362" t="str">
        <f t="shared" si="866"/>
        <v xml:space="preserve"> </v>
      </c>
      <c r="EE298" s="361" t="str">
        <f t="shared" si="867"/>
        <v xml:space="preserve"> </v>
      </c>
      <c r="EF298" s="362" t="str">
        <f>IF(L298&gt;0,IF(BR298&gt;0,IF(EE298="2P",IF(Calculation!DZ298="2P",IF(Calculation!DS298=13.75,IF(Calculation!DR298=13,Worksheet!$BD$43,IF(Calculation!DR298=37,Worksheet!$BD$44,Worksheet!$BD$45)),IF(Calculation!DS298=10,IF(Calculation!DR298=18,Worksheet!$BD$29,IF(Calculation!DR298=30,Worksheet!$BD$30,IF(Calculation!DR298=42,Worksheet!$BD$31,IF(Calculation!DR298=54,Worksheet!$BD$32,IF(Calculation!DR298=66,Worksheet!$BD$33,IF(Calculation!DR298=78,Worksheet!$BD$34,IF(Calculation!DR298=90,Worksheet!$BD$35,IF(Calculation!DR298=102,Worksheet!$BD$36,Worksheet!$BD$37)))))))),IF(Calculation!DS298=12.5,IF(Calculation!DR298=18,Worksheet!$BD$38,IF(Calculation!DR298=Worksheet!$BD$39,IF(Calculation!DR298=42,Worksheet!$BD$40,IF(Calculation!DR298=54,Worksheet!$BD$41,Worksheet!$BD$42)))),IF(Calculation!DR298=18,Worksheet!$BD$11,IF(Calculation!DR298=30,Worksheet!$BD$12,IF(Calculation!DR298=42,Worksheet!$BD$13,IF(Calculation!DR298=54,Worksheet!$BD$14,IF(Calculation!DR298=66,Worksheet!$BD$15,IF(Calculation!DR298=78,Worksheet!$BD$16,IF(Calculation!DR298=90,Worksheet!$BD$17,IF(Calculation!DR298=102,Worksheet!$BD$18,Worksheet!$BD$19))))))))))),IF(Calculation!DS298=13.75,IF(Calculation!DR298=13,Worksheet!$BD$78,IF(Calculation!DR298=37,Worksheet!$BD$79,Worksheet!$BD$80)),IF(Calculation!DS298=10,IF(Calculation!DR298=18,Worksheet!$BD$64,IF(Calculation!DR298=30,Worksheet!$BD$65,IF(Calculation!DR298=42,Worksheet!$BD$66,IF(Calculation!DR298=54,Worksheet!$BD$68,IF(Calculation!DR298=66,Worksheet!$BD$68,IF(Calculation!DR298=78,Worksheet!$BD$69,IF(Calculation!DR298=90,Worksheet!$BD$70,IF(Calculation!DR298=102,Worksheet!$BD$71,Worksheet!$BD$72)))))))),IF(Calculation!DS298=12.5,IF(Calculation!DR298=18,Worksheet!$BD$73,IF(Calculation!DR298=Worksheet!$BD$74,IF(Calculation!DR298=42,Worksheet!$BD$75,IF(Calculation!DR298=54,Worksheet!$BD$76,Worksheet!$BD$77)))),IF(Calculation!DR298=18,Worksheet!$BD$55,IF(Calculation!DR298=30,Worksheet!$BD$56,IF(Calculation!DR298=42,Worksheet!$BD$57,IF(Calculation!DR298=54,Worksheet!$BD$58,IF(Calculation!DR298=66,Worksheet!$BD$59,IF(Calculation!DR298=78,Worksheet!$BD$60,IF(Calculation!DR298=90,Worksheet!$BD$61,IF(Calculation!DR298=102,Worksheet!$BD$62,Worksheet!$BD$63)))))))))))),5),0)," ")</f>
        <v xml:space="preserve"> </v>
      </c>
      <c r="EG298" s="361" t="str">
        <f t="shared" si="868"/>
        <v xml:space="preserve"> </v>
      </c>
      <c r="EH298" s="361" t="e">
        <f ca="1">INDEX(INDIRECT(VLOOKUP(LEFT(BO298,7),CLU!$Z$3:$AH$18,7)),M298-1,3+LEFT(DZ298,1))</f>
        <v>#N/A</v>
      </c>
      <c r="EI298" s="362" t="str">
        <f t="shared" si="869"/>
        <v xml:space="preserve"> </v>
      </c>
      <c r="EJ298" s="363" t="str">
        <f t="shared" si="870"/>
        <v xml:space="preserve"> </v>
      </c>
      <c r="EK298" s="363" t="str">
        <f t="shared" si="871"/>
        <v xml:space="preserve"> </v>
      </c>
      <c r="EL298" s="363" t="str">
        <f t="shared" si="872"/>
        <v xml:space="preserve"> </v>
      </c>
      <c r="EM298" s="362" t="str">
        <f>IF(L298&gt;0,IF(BR298&gt;0,(Calculation!T298/ED298)^2,0)," ")</f>
        <v xml:space="preserve"> </v>
      </c>
      <c r="EN298" s="362" t="str">
        <f>IF(L298&gt;0,IF(O298="2 Pipe (Cooling)","N/A",IF(BR298&gt;0,(Calculation!U298/EI298)^2,0))," ")</f>
        <v xml:space="preserve"> </v>
      </c>
      <c r="EO298" s="361" t="str">
        <f t="shared" si="873"/>
        <v/>
      </c>
      <c r="EP298" s="361" t="str">
        <f t="shared" si="874"/>
        <v/>
      </c>
      <c r="EQ298" s="361" t="str">
        <f t="shared" si="875"/>
        <v/>
      </c>
      <c r="ER298" s="361" t="str">
        <f t="shared" si="876"/>
        <v/>
      </c>
      <c r="ES298" s="361" t="str">
        <f t="shared" si="877"/>
        <v/>
      </c>
      <c r="ET298" s="361" t="str">
        <f t="shared" si="878"/>
        <v/>
      </c>
      <c r="EU298" s="361" t="str">
        <f t="shared" si="879"/>
        <v/>
      </c>
      <c r="EV298" s="361" t="str">
        <f t="shared" si="880"/>
        <v/>
      </c>
      <c r="EW298" s="361" t="str">
        <f t="shared" si="881"/>
        <v/>
      </c>
      <c r="EX298" s="361" t="str">
        <f t="shared" si="971"/>
        <v>1 slot, 1 way</v>
      </c>
      <c r="EY298" s="361" t="str">
        <f t="shared" si="972"/>
        <v xml:space="preserve"> </v>
      </c>
      <c r="EZ298" s="361" t="str">
        <f t="shared" si="973"/>
        <v xml:space="preserve"> </v>
      </c>
      <c r="FA298" s="361" t="str">
        <f t="shared" si="974"/>
        <v xml:space="preserve"> </v>
      </c>
      <c r="FB298" s="361" t="str">
        <f t="shared" si="975"/>
        <v xml:space="preserve"> </v>
      </c>
      <c r="FC298" s="361"/>
      <c r="FD298" s="361" t="str">
        <f>IF(J298&gt;0,IF(Calculation!R298&lt;=70,4,IF(Calculation!R298&lt;=110,5,IF(Calculation!R298&lt;=160,6,IF(Calculation!R298&lt;=300,8,"10 EO")))),"")</f>
        <v/>
      </c>
      <c r="FE298" s="361" t="str">
        <f t="shared" si="976"/>
        <v/>
      </c>
      <c r="FF298" s="361" t="str">
        <f t="shared" si="977"/>
        <v/>
      </c>
      <c r="FG298" s="361" t="e">
        <f t="shared" si="882"/>
        <v>#N/A</v>
      </c>
      <c r="FH298" s="361">
        <f t="shared" si="883"/>
        <v>0</v>
      </c>
      <c r="FI298" s="361" t="e">
        <f t="shared" si="884"/>
        <v>#DIV/0!</v>
      </c>
      <c r="FJ298" s="361"/>
      <c r="FK298" s="356" t="e">
        <f t="shared" si="885"/>
        <v>#VALUE!</v>
      </c>
      <c r="FL298" s="361"/>
      <c r="FM298" s="361"/>
      <c r="FN298" s="362" t="str">
        <f t="shared" si="978"/>
        <v xml:space="preserve"> </v>
      </c>
      <c r="FO298" s="362" t="str">
        <f t="shared" si="979"/>
        <v xml:space="preserve"> </v>
      </c>
      <c r="FP298" s="362">
        <f t="shared" si="980"/>
        <v>0</v>
      </c>
      <c r="FQ298" s="361">
        <f t="shared" si="886"/>
        <v>0</v>
      </c>
      <c r="FR298" s="362" t="str">
        <f>IF(L298&gt;0,IF(J298="CBAL2",Worksheet!$P$67,IF(J298="CBE2-24",Worksheet!$Q$67,IF(J298="CBAM",Worksheet!$R$67,IF(J298="CBLV",Worksheet!$S$67,IF(J298="CBAB",Worksheet!$U$67,IF(J298="CBAW",Worksheet!$X$67,IF(J298="CBE2-12",Worksheet!$Y$67,IF(J298="CBAL2",Worksheet!$Z$67,"N/A"))))))))," ")</f>
        <v xml:space="preserve"> </v>
      </c>
      <c r="FS298" s="362" t="str">
        <f>IF(L298&gt;0,IF(J298="CBAL2",Worksheet!$P$68,IF(J298="CBE2-24",Worksheet!$Q$68,IF(J298="CBAM",Worksheet!$R$68,IF(J298="CBLV",Worksheet!$S$68,IF(J298="CBAB",Worksheet!$U$68,IF(J298="CBAW",Worksheet!$X$68,IF(J298="CBE2-12",Worksheet!$Y$68,IF(J298="CBAL2",Worksheet!$Z$68,"N/A"))))))))," ")</f>
        <v xml:space="preserve"> </v>
      </c>
      <c r="FT298" s="362" t="str">
        <f>IF(L298&gt;0,IF(J298="CBAL2",Worksheet!$P$69,IF(J298="CBE2-24",Worksheet!$Q$69,IF(J298="CBAM",Worksheet!$R$69,IF(J298="CBLV",Worksheet!$S$69,IF(J298="CBAB",Worksheet!$U$69,IF(J298="CBAW",Worksheet!$X$69,IF(J298="CBE2-12",Worksheet!$Y$69,IF(J298="CBAL2",Worksheet!$Z$69,"N/A"))))))))," ")</f>
        <v xml:space="preserve"> </v>
      </c>
      <c r="FU298" s="361" t="str">
        <f t="shared" si="981"/>
        <v xml:space="preserve"> </v>
      </c>
      <c r="FV298" s="362" t="str">
        <f t="shared" si="982"/>
        <v xml:space="preserve"> </v>
      </c>
      <c r="FW298" s="362" t="str">
        <f t="shared" si="983"/>
        <v xml:space="preserve"> </v>
      </c>
      <c r="FX298" s="362" t="str">
        <f t="shared" si="984"/>
        <v xml:space="preserve"> </v>
      </c>
      <c r="FY298" s="355" t="str">
        <f t="shared" si="985"/>
        <v xml:space="preserve"> </v>
      </c>
      <c r="FZ298" s="361" t="str">
        <f t="shared" si="986"/>
        <v xml:space="preserve"> </v>
      </c>
      <c r="GA298" s="347" t="str">
        <f t="shared" si="987"/>
        <v xml:space="preserve"> </v>
      </c>
      <c r="GB298" s="355" t="str">
        <f t="shared" si="988"/>
        <v xml:space="preserve"> </v>
      </c>
      <c r="GC298" s="328" t="str">
        <f t="shared" si="989"/>
        <v xml:space="preserve"> </v>
      </c>
      <c r="GD298" s="361" t="str">
        <f t="shared" si="990"/>
        <v xml:space="preserve"> </v>
      </c>
      <c r="GE298" s="347" t="str">
        <f t="shared" si="991"/>
        <v xml:space="preserve"> </v>
      </c>
      <c r="GF298" s="361" t="str">
        <f t="shared" si="992"/>
        <v xml:space="preserve"> </v>
      </c>
      <c r="GG298" s="347" t="str">
        <f t="shared" si="993"/>
        <v xml:space="preserve"> </v>
      </c>
      <c r="GH298" s="364">
        <f t="shared" si="887"/>
        <v>0</v>
      </c>
      <c r="GI298" s="362">
        <f t="shared" si="994"/>
        <v>2</v>
      </c>
      <c r="GJ298" s="433" t="e">
        <f>IF(6-COUNTBLANK(GT298:GY298)=4,MATCH(MID(BO298,9,3),CLU!$H$16:$K$16),MATCH(MID(BO298,9,3),CLU!$H$13:$M$13))</f>
        <v>#N/A</v>
      </c>
      <c r="GK298" s="433" t="e">
        <f>HLOOKUP(VALUE(BP298),CLU!$H$9:$M$10,2)</f>
        <v>#VALUE!</v>
      </c>
      <c r="GL298" s="433" t="e">
        <f ca="1">MATCH(BU298,CLU!$H$2:$V$2,1)</f>
        <v>#VALUE!</v>
      </c>
      <c r="GM298" s="433" t="e">
        <f t="shared" ca="1" si="995"/>
        <v>#VALUE!</v>
      </c>
      <c r="GN298" s="433" t="e">
        <f t="shared" ca="1" si="996"/>
        <v>#VALUE!</v>
      </c>
      <c r="GO298" s="433" t="e">
        <f t="shared" ca="1" si="997"/>
        <v>#VALUE!</v>
      </c>
      <c r="GP298" s="433" t="e">
        <f t="shared" ca="1" si="998"/>
        <v>#VALUE!</v>
      </c>
      <c r="GQ298" s="433" t="e">
        <f t="shared" ca="1" si="999"/>
        <v>#VALUE!</v>
      </c>
      <c r="GR298" s="433" t="e">
        <f ca="1">MATCH(T298,INDIRECT(VLOOKUP(CONCATENATE(LEFT(BO298,7),"-",MID(BO298,13,1)),CLU!$P$3:$Q$16,2)),1)</f>
        <v>#N/A</v>
      </c>
      <c r="GS298" s="433" t="e">
        <f ca="1">MATCH(U298,INDIRECT(VLOOKUP(CONCATENATE(LEFT(BO298,7),"-",MID(BO298,13,1)),CLU!$P$3:$Q$16,2)),1)</f>
        <v>#N/A</v>
      </c>
      <c r="GT298" s="347" t="s">
        <v>512</v>
      </c>
      <c r="GU298" s="97" t="s">
        <v>513</v>
      </c>
      <c r="GV298" s="97" t="str">
        <f t="shared" si="1000"/>
        <v>M23</v>
      </c>
      <c r="GW298" s="97" t="str">
        <f t="shared" si="1001"/>
        <v>M31</v>
      </c>
      <c r="GX298" s="97" t="str">
        <f t="shared" si="1002"/>
        <v/>
      </c>
      <c r="GY298" s="97" t="str">
        <f t="shared" si="1003"/>
        <v/>
      </c>
      <c r="GZ298" s="481"/>
      <c r="HA298" s="240"/>
      <c r="HB298" s="240"/>
      <c r="HC298" s="240"/>
      <c r="HD298" s="240"/>
      <c r="HE298" s="240"/>
      <c r="HF298" s="240"/>
      <c r="HG298" s="240"/>
      <c r="HH298" s="240"/>
      <c r="HI298" s="240"/>
      <c r="HJ298" s="240"/>
      <c r="HK298" s="240"/>
      <c r="HL298" s="240"/>
      <c r="HM298" s="240"/>
      <c r="HN298" s="240"/>
      <c r="HO298" s="240"/>
      <c r="HP298" s="240"/>
      <c r="HQ298" s="240"/>
      <c r="HR298" s="240"/>
      <c r="HS298" s="240"/>
      <c r="HT298" s="240"/>
      <c r="HU298" s="240"/>
      <c r="HV298" s="245"/>
      <c r="HW298" s="245" t="b">
        <v>1</v>
      </c>
      <c r="HX298" s="245" t="str">
        <f t="shared" si="888"/>
        <v/>
      </c>
      <c r="HY298" s="245" t="e">
        <f t="shared" si="889"/>
        <v>#DIV/0!</v>
      </c>
      <c r="HZ298" s="245" t="e">
        <f t="shared" si="890"/>
        <v>#DIV/0!</v>
      </c>
      <c r="IA298" s="245">
        <f t="shared" si="891"/>
        <v>0</v>
      </c>
      <c r="IB298" s="245"/>
      <c r="IC298" t="b">
        <f t="shared" si="892"/>
        <v>1</v>
      </c>
      <c r="ID298" s="245" t="b">
        <f t="shared" si="893"/>
        <v>1</v>
      </c>
      <c r="IE298" s="245" t="b">
        <f t="shared" si="894"/>
        <v>1</v>
      </c>
      <c r="IF298" s="245" t="b">
        <f t="shared" si="895"/>
        <v>0</v>
      </c>
      <c r="IG298" s="245" t="b">
        <f t="shared" si="896"/>
        <v>1</v>
      </c>
      <c r="IH298" s="245" t="b">
        <f t="shared" si="897"/>
        <v>1</v>
      </c>
      <c r="II298" s="245">
        <f t="shared" si="1004"/>
        <v>0</v>
      </c>
      <c r="IJ298" s="245" t="e">
        <f t="shared" si="898"/>
        <v>#VALUE!</v>
      </c>
      <c r="IK298" s="245" t="e">
        <f t="shared" si="899"/>
        <v>#VALUE!</v>
      </c>
      <c r="IL298" s="245"/>
      <c r="IM298" s="245" t="e">
        <f t="shared" si="1005"/>
        <v>#N/A</v>
      </c>
      <c r="IN298" s="245" t="e">
        <f t="shared" si="1006"/>
        <v>#N/A</v>
      </c>
      <c r="IO298" s="245"/>
      <c r="IP298" s="245"/>
      <c r="IQ298" s="245" t="str">
        <f t="shared" si="900"/>
        <v/>
      </c>
      <c r="IR298" s="245" t="str">
        <f>IF(J298="","",VLOOKUP(J298,Worksheet!$R$4:$T$14,2))</f>
        <v/>
      </c>
      <c r="IS298" s="245"/>
      <c r="IT298" s="245">
        <f t="shared" si="901"/>
        <v>0</v>
      </c>
      <c r="IU298" s="245">
        <f t="shared" si="902"/>
        <v>0</v>
      </c>
      <c r="IV298" s="245">
        <f t="shared" si="903"/>
        <v>0</v>
      </c>
      <c r="IW298" s="245">
        <f t="shared" si="904"/>
        <v>0</v>
      </c>
      <c r="IX298" s="245">
        <f t="shared" si="1007"/>
        <v>0</v>
      </c>
      <c r="IY298" s="245">
        <f t="shared" si="905"/>
        <v>0</v>
      </c>
      <c r="IZ298" s="245">
        <f t="shared" si="906"/>
        <v>0</v>
      </c>
      <c r="JA298">
        <f t="shared" si="907"/>
        <v>0</v>
      </c>
      <c r="JB298">
        <f t="shared" si="1008"/>
        <v>0</v>
      </c>
      <c r="JC298">
        <f t="shared" si="908"/>
        <v>0</v>
      </c>
      <c r="JD298">
        <f t="shared" si="909"/>
        <v>0</v>
      </c>
      <c r="JE298">
        <f t="shared" si="910"/>
        <v>0</v>
      </c>
      <c r="JF298">
        <f t="shared" si="911"/>
        <v>0</v>
      </c>
      <c r="JG298">
        <f t="shared" si="912"/>
        <v>0</v>
      </c>
      <c r="JH298">
        <f t="shared" si="913"/>
        <v>0</v>
      </c>
      <c r="JI298">
        <f t="shared" si="914"/>
        <v>0</v>
      </c>
      <c r="JJ298" s="447">
        <f t="shared" si="915"/>
        <v>0</v>
      </c>
      <c r="JK298" s="447">
        <f t="shared" si="916"/>
        <v>0</v>
      </c>
      <c r="JL298">
        <f t="shared" si="917"/>
        <v>0</v>
      </c>
      <c r="JM298" s="245" t="str">
        <f>IFERROR(VLOOKUP(MATCH(BN298,#REF!,0),#REF!,7),"")</f>
        <v/>
      </c>
      <c r="JN298" t="e">
        <f>HLOOKUP(LEFT(BO298,7),Discharge_Area,MATCH(JO298,LookUps!$B$130:$B$149,1)+2)</f>
        <v>#N/A</v>
      </c>
      <c r="JO298" t="str">
        <f t="shared" si="918"/>
        <v>- S</v>
      </c>
      <c r="JP298" t="e">
        <f>HLOOKUP(LEFT(BO298,7),Discharge_Area,MATCH(JO298,LookUps!$B$130:$B$149,1)+2)</f>
        <v>#N/A</v>
      </c>
      <c r="JQ298" t="e">
        <f t="shared" si="919"/>
        <v>#N/A</v>
      </c>
      <c r="JR298" t="e">
        <f t="shared" si="920"/>
        <v>#N/A</v>
      </c>
      <c r="JS298" t="e">
        <f t="shared" si="921"/>
        <v>#N/A</v>
      </c>
      <c r="JT298" s="532" t="str">
        <f t="shared" si="922"/>
        <v xml:space="preserve"> </v>
      </c>
      <c r="JU298" s="532" t="str">
        <f t="shared" si="923"/>
        <v xml:space="preserve"> </v>
      </c>
      <c r="JV298" s="533" t="str">
        <f t="shared" si="924"/>
        <v xml:space="preserve"> </v>
      </c>
      <c r="JW298" s="534">
        <f t="shared" si="925"/>
        <v>0</v>
      </c>
      <c r="JX298" s="535" t="str">
        <f t="shared" si="1009"/>
        <v xml:space="preserve"> </v>
      </c>
      <c r="JY298" s="535" t="str">
        <f t="shared" si="1010"/>
        <v xml:space="preserve"> </v>
      </c>
      <c r="JZ298" s="535" t="str">
        <f t="shared" si="1011"/>
        <v xml:space="preserve"> </v>
      </c>
      <c r="KA298" s="536" t="str">
        <f t="shared" si="926"/>
        <v xml:space="preserve"> </v>
      </c>
      <c r="KB298" s="535" t="e">
        <f t="shared" si="1012"/>
        <v>#VALUE!</v>
      </c>
      <c r="KC298" s="535" t="str">
        <f t="shared" si="927"/>
        <v/>
      </c>
      <c r="KD298" s="537" t="str">
        <f t="shared" si="1013"/>
        <v xml:space="preserve"> </v>
      </c>
      <c r="KE298" s="537" t="str">
        <f t="shared" si="1014"/>
        <v xml:space="preserve"> </v>
      </c>
      <c r="KF298" s="534">
        <f t="shared" si="928"/>
        <v>0</v>
      </c>
      <c r="KG298" s="535" t="str">
        <f t="shared" si="929"/>
        <v xml:space="preserve"> </v>
      </c>
      <c r="KH298" s="535" t="str">
        <f t="shared" si="930"/>
        <v xml:space="preserve"> </v>
      </c>
      <c r="KI298" s="535" t="str">
        <f t="shared" si="931"/>
        <v xml:space="preserve"> </v>
      </c>
      <c r="KJ298" s="536" t="str">
        <f t="shared" si="932"/>
        <v xml:space="preserve"> </v>
      </c>
      <c r="KK298" s="535" t="str">
        <f t="shared" si="1015"/>
        <v xml:space="preserve"> </v>
      </c>
      <c r="KL298" s="535" t="str">
        <f t="shared" si="1016"/>
        <v xml:space="preserve"> </v>
      </c>
      <c r="KM298" s="537" t="str">
        <f t="shared" si="933"/>
        <v xml:space="preserve"> </v>
      </c>
      <c r="KN298" s="537" t="str">
        <f t="shared" si="1017"/>
        <v xml:space="preserve"> </v>
      </c>
      <c r="KP298">
        <f t="shared" si="934"/>
        <v>0</v>
      </c>
      <c r="LA298" t="e">
        <f t="shared" si="935"/>
        <v>#VALUE!</v>
      </c>
      <c r="LB298" t="e">
        <f t="shared" si="936"/>
        <v>#VALUE!</v>
      </c>
      <c r="LC298" t="e">
        <f t="shared" si="937"/>
        <v>#VALUE!</v>
      </c>
      <c r="LD298" t="e">
        <f t="shared" si="938"/>
        <v>#VALUE!</v>
      </c>
      <c r="LE298" t="e">
        <f t="shared" si="1018"/>
        <v>#VALUE!</v>
      </c>
      <c r="LF298">
        <f t="shared" si="939"/>
        <v>0</v>
      </c>
      <c r="LG298" t="e">
        <f t="shared" si="1019"/>
        <v>#VALUE!</v>
      </c>
      <c r="LH298" t="str">
        <f t="shared" si="940"/>
        <v xml:space="preserve"> </v>
      </c>
      <c r="LI298">
        <f t="shared" si="1020"/>
        <v>1</v>
      </c>
    </row>
    <row r="299" spans="2:321" ht="15" customHeight="1">
      <c r="B299" s="311"/>
      <c r="C299" s="311"/>
      <c r="D299" s="312"/>
      <c r="E299" s="311"/>
      <c r="F299" s="312"/>
      <c r="G299" s="311"/>
      <c r="H299" s="311"/>
      <c r="I299" s="232"/>
      <c r="J299" s="311"/>
      <c r="K299" s="305" t="str">
        <f t="shared" si="941"/>
        <v/>
      </c>
      <c r="L299" s="313"/>
      <c r="M299" s="312"/>
      <c r="N299" s="311"/>
      <c r="O299" s="312"/>
      <c r="P299" s="311"/>
      <c r="Q299" s="305" t="str">
        <f t="shared" si="942"/>
        <v/>
      </c>
      <c r="R299" s="314"/>
      <c r="S299" s="450" t="str">
        <f t="shared" si="825"/>
        <v/>
      </c>
      <c r="T299" s="315"/>
      <c r="U299" s="315"/>
      <c r="W299" s="149" t="str">
        <f t="shared" si="826"/>
        <v xml:space="preserve"> </v>
      </c>
      <c r="X299" s="243" t="str">
        <f t="shared" si="827"/>
        <v xml:space="preserve"> </v>
      </c>
      <c r="Y299" s="150" t="str">
        <f t="shared" si="828"/>
        <v/>
      </c>
      <c r="Z299" s="149" t="str">
        <f t="shared" si="829"/>
        <v xml:space="preserve"> </v>
      </c>
      <c r="AA299" s="98" t="str">
        <f t="shared" si="830"/>
        <v xml:space="preserve"> </v>
      </c>
      <c r="AB299" s="153" t="str">
        <f t="shared" si="831"/>
        <v xml:space="preserve"> </v>
      </c>
      <c r="AC299" s="153" t="str">
        <f t="shared" si="832"/>
        <v xml:space="preserve"> </v>
      </c>
      <c r="AD299" s="148" t="str">
        <f t="shared" si="833"/>
        <v/>
      </c>
      <c r="AE299" s="149" t="str">
        <f t="shared" si="834"/>
        <v/>
      </c>
      <c r="AF299" s="151" t="str">
        <f t="shared" si="835"/>
        <v xml:space="preserve"> </v>
      </c>
      <c r="AG299" s="153" t="str">
        <f t="shared" si="836"/>
        <v xml:space="preserve"> </v>
      </c>
      <c r="AH299" s="98" t="str">
        <f t="shared" si="837"/>
        <v xml:space="preserve"> </v>
      </c>
      <c r="AI299" s="149" t="str">
        <f t="shared" si="838"/>
        <v xml:space="preserve"> </v>
      </c>
      <c r="AK299" s="144" t="str">
        <f t="shared" si="839"/>
        <v xml:space="preserve"> </v>
      </c>
      <c r="AL299" s="144"/>
      <c r="AM299" s="243" t="str">
        <f t="shared" si="840"/>
        <v xml:space="preserve"> </v>
      </c>
      <c r="AN299" s="149" t="str">
        <f t="shared" si="943"/>
        <v xml:space="preserve"> </v>
      </c>
      <c r="AO299" s="144" t="str">
        <f>IF(JB299&gt;0,IF(GI299=10,-R299*1.085*(Calculation!$F$6-Calculation!$F$13)*$S$14," "),"")</f>
        <v/>
      </c>
      <c r="AP299" s="144" t="str">
        <f t="shared" si="841"/>
        <v/>
      </c>
      <c r="AQ299" s="56" t="str">
        <f t="shared" si="842"/>
        <v/>
      </c>
      <c r="AR299" s="144" t="str">
        <f t="shared" si="843"/>
        <v/>
      </c>
      <c r="AS299" s="176" t="str">
        <f t="shared" si="844"/>
        <v/>
      </c>
      <c r="AT299" s="176" t="str">
        <f t="shared" si="944"/>
        <v xml:space="preserve"> </v>
      </c>
      <c r="AU299" s="176" t="str">
        <f t="shared" si="845"/>
        <v/>
      </c>
      <c r="AV299" s="177" t="str">
        <f t="shared" si="846"/>
        <v xml:space="preserve"> </v>
      </c>
      <c r="AW299" s="144" t="str">
        <f t="shared" si="847"/>
        <v xml:space="preserve"> </v>
      </c>
      <c r="AX299" s="144" t="str">
        <f t="shared" si="848"/>
        <v xml:space="preserve"> </v>
      </c>
      <c r="AY299" s="152" t="str">
        <f t="shared" si="849"/>
        <v xml:space="preserve"> </v>
      </c>
      <c r="AZ299" s="246" t="str">
        <f t="shared" si="850"/>
        <v/>
      </c>
      <c r="BA299" s="176" t="str">
        <f t="shared" si="851"/>
        <v xml:space="preserve"> </v>
      </c>
      <c r="BB299" s="176" t="str">
        <f t="shared" si="852"/>
        <v xml:space="preserve"> </v>
      </c>
      <c r="BC299" s="195"/>
      <c r="BD299" s="316"/>
      <c r="BE299" s="317"/>
      <c r="BF299" s="318"/>
      <c r="BG299" s="318"/>
      <c r="BH299" s="144" t="str">
        <f t="shared" si="1021"/>
        <v xml:space="preserve"> </v>
      </c>
      <c r="BI299" s="176" t="str">
        <f t="shared" si="853"/>
        <v/>
      </c>
      <c r="BJ299" s="144" t="str">
        <f t="shared" si="1022"/>
        <v/>
      </c>
      <c r="BK299" s="246" t="str">
        <f t="shared" si="854"/>
        <v/>
      </c>
      <c r="BL299" s="144" t="str">
        <f t="shared" si="1023"/>
        <v/>
      </c>
      <c r="BM299" s="246" t="str">
        <f t="shared" si="855"/>
        <v/>
      </c>
      <c r="BN299" s="337" t="str">
        <f t="shared" si="945"/>
        <v/>
      </c>
      <c r="BO299" s="371" t="str">
        <f t="shared" si="946"/>
        <v/>
      </c>
      <c r="BP299" s="328" t="str">
        <f t="shared" si="1024"/>
        <v xml:space="preserve"> </v>
      </c>
      <c r="BQ299" s="347" t="str">
        <f t="shared" si="947"/>
        <v xml:space="preserve"> </v>
      </c>
      <c r="BR299" s="353" t="str">
        <f t="shared" si="948"/>
        <v xml:space="preserve"> </v>
      </c>
      <c r="BS299" s="626" t="str">
        <f>IF(L299&gt;0,IF(Calculation!P299="M13",BR299*3.1416*(0.134^2)/(4*144),IF(Calculation!P299="M17",BR299*3.1416*(0.165^2)/(4*144),IF(Calculation!P299="M20",BR299*3.1416*(0.198^2)/(4*144),IF(Calculation!P299="M23",BR299*3.1416*(0.228^2)/(4*144),IF(Calculation!P299="M27",BR299*3.1416*(0.269^2)/(4*144),BR299*3.1416*(0.307^2)/(4*144))))))," ")</f>
        <v xml:space="preserve"> </v>
      </c>
      <c r="BT299" s="353" t="str">
        <f>IF(L299&gt;0,IF(BS299&gt;0,R299/Calculation!BS299,0)," ")</f>
        <v xml:space="preserve"> </v>
      </c>
      <c r="BU299" s="438" t="e">
        <f t="shared" ca="1" si="856"/>
        <v>#VALUE!</v>
      </c>
      <c r="BV299" s="449" t="e">
        <f ca="1">INDEX(INDIRECT(VLOOKUP(LEFT(BO299,7),CLU!$Z$3:$AH$18,2)),GN299,GR299)</f>
        <v>#N/A</v>
      </c>
      <c r="BW299" s="433" t="e">
        <f ca="1">INDEX(INDIRECT(VLOOKUP(LEFT(BO299,7),CLU!$Z$3:$AH$18,3)),GN299,GR299)</f>
        <v>#N/A</v>
      </c>
      <c r="BX299" s="433" t="e">
        <f ca="1">INDEX(INDIRECT(VLOOKUP(LEFT(BO299,7),CLU!$Z$3:$AH$18,4)),GN299,GR299)</f>
        <v>#N/A</v>
      </c>
      <c r="BY299" s="433" t="e">
        <f ca="1">INDEX(INDIRECT(VLOOKUP(LEFT(BO299,7),CLU!$Z$3:$AH$18,9)),((M299-2)*(6-COUNTBLANK(GT299:GY299)))+GJ299)</f>
        <v>#N/A</v>
      </c>
      <c r="BZ299" s="426" t="e">
        <f t="shared" ca="1" si="949"/>
        <v>#N/A</v>
      </c>
      <c r="CA299" s="424" t="e">
        <f t="shared" ca="1" si="950"/>
        <v>#N/A</v>
      </c>
      <c r="CB299" s="429" t="e">
        <f ca="1">INDEX(INDIRECT(VLOOKUP(LEFT(BO299,7),CLU!$Z$3:$AH$18,2)),GN299,GS299)</f>
        <v>#N/A</v>
      </c>
      <c r="CC299" s="342" t="e">
        <f ca="1">INDEX(INDIRECT(VLOOKUP(LEFT(BO299,7),CLU!$Z$3:$AH$18,3)),GN299,GS299)</f>
        <v>#N/A</v>
      </c>
      <c r="CD299" s="342" t="e">
        <f ca="1">INDEX(INDIRECT(VLOOKUP(LEFT(BO299,7),CLU!$Z$3:$AH$18,4)),GN299,GS299)</f>
        <v>#N/A</v>
      </c>
      <c r="CE299" s="426" t="e">
        <f t="shared" ca="1" si="951"/>
        <v>#N/A</v>
      </c>
      <c r="CF299" s="440">
        <f t="shared" si="952"/>
        <v>0</v>
      </c>
      <c r="CG299" s="431" t="e">
        <f ca="1">INDEX(INDIRECT(VLOOKUP(LEFT(BO299,7),CLU!$Z$3:$AH$18,2)),GQ299,GR299)</f>
        <v>#N/A</v>
      </c>
      <c r="CH299" s="431" t="e">
        <f ca="1">INDEX(INDIRECT(VLOOKUP(LEFT(BO299,7),CLU!$Z$3:$AH$18,3)),GQ299,GR299)</f>
        <v>#N/A</v>
      </c>
      <c r="CI299" s="431" t="e">
        <f ca="1">INDEX(INDIRECT(VLOOKUP(LEFT(BO299,7),CLU!$Z$3:$AH$18,4)),GQ299,GR299)</f>
        <v>#N/A</v>
      </c>
      <c r="CJ299" s="448" t="e">
        <f t="shared" ca="1" si="953"/>
        <v>#N/A</v>
      </c>
      <c r="CK299" s="431" t="e">
        <f t="shared" ca="1" si="954"/>
        <v>#N/A</v>
      </c>
      <c r="CL299" s="440" t="e">
        <f t="shared" ca="1" si="955"/>
        <v>#N/A</v>
      </c>
      <c r="CM299" s="431" t="e">
        <f ca="1">INDEX(INDIRECT(VLOOKUP(LEFT(BO299,7),CLU!$Z$3:$AH$18,2)),GQ299,GS299)</f>
        <v>#N/A</v>
      </c>
      <c r="CN299" s="431" t="e">
        <f ca="1">INDEX(INDIRECT(VLOOKUP(LEFT(BO299,7),CLU!$Z$3:$AH$18,3)),GQ299,GS299)</f>
        <v>#N/A</v>
      </c>
      <c r="CO299" s="431" t="e">
        <f ca="1">INDEX(INDIRECT(VLOOKUP(LEFT(BO299,7),CLU!$Z$3:$AH$18,4)),GQ299,GS299)</f>
        <v>#N/A</v>
      </c>
      <c r="CP299" s="431" t="e">
        <f t="shared" ca="1" si="956"/>
        <v>#N/A</v>
      </c>
      <c r="CQ299" s="440">
        <f t="shared" si="957"/>
        <v>0</v>
      </c>
      <c r="CR299" s="51" t="e">
        <f t="shared" ca="1" si="958"/>
        <v>#N/A</v>
      </c>
      <c r="CS299" s="439" t="e">
        <f t="shared" ca="1" si="959"/>
        <v>#VALUE!</v>
      </c>
      <c r="CT299" s="51" t="e">
        <f t="shared" ca="1" si="960"/>
        <v>#VALUE!</v>
      </c>
      <c r="CU299" s="10"/>
      <c r="CV299" s="51" t="e">
        <f t="shared" ca="1" si="857"/>
        <v>#VALUE!</v>
      </c>
      <c r="CW299" s="51">
        <f t="shared" si="961"/>
        <v>0</v>
      </c>
      <c r="CX299" s="439" t="e">
        <f t="shared" ca="1" si="962"/>
        <v>#VALUE!</v>
      </c>
      <c r="CY299" s="51" t="e">
        <f t="shared" ca="1" si="963"/>
        <v>#VALUE!</v>
      </c>
      <c r="CZ299" s="10"/>
      <c r="DA299" s="51" t="e">
        <f t="shared" ca="1" si="964"/>
        <v>#VALUE!</v>
      </c>
      <c r="DB299" s="347" t="e">
        <f ca="1">INDEX(INDIRECT(VLOOKUP(LEFT(BO299,7),CLU!$Z$3:$AI$18,10)),((M299-2)*(6-COUNTBLANK(GT299:GY299)))+GJ299)*LI299</f>
        <v>#N/A</v>
      </c>
      <c r="DC299" s="347" t="str">
        <f>IF(L299&gt;0,((R299/Worksheet!$I$15)/DB299)^2," ")</f>
        <v xml:space="preserve"> </v>
      </c>
      <c r="DD299" s="602" t="str">
        <f t="shared" si="965"/>
        <v xml:space="preserve"> </v>
      </c>
      <c r="DE299" s="347" t="str">
        <f t="shared" si="858"/>
        <v xml:space="preserve"> </v>
      </c>
      <c r="DF299" s="356" t="e">
        <f ca="1">INDEX(INDIRECT(VLOOKUP(LEFT(BO299,7),CLU!$Z$3:$AH$18,8)),((M299-2)*(6-COUNTBLANK(GT299:GY299)))+GJ299)</f>
        <v>#N/A</v>
      </c>
      <c r="DG299" s="347" t="str">
        <f t="shared" si="859"/>
        <v xml:space="preserve"> </v>
      </c>
      <c r="DH299" s="357" t="str">
        <f t="shared" si="860"/>
        <v xml:space="preserve"> </v>
      </c>
      <c r="DI299" s="355" t="str">
        <f t="shared" si="861"/>
        <v xml:space="preserve"> </v>
      </c>
      <c r="DJ299" s="245" t="e">
        <f ca="1">INDEX(INDIRECT(VLOOKUP(LEFT(BO299,7),CLU!$Z$3:$AH$18,5)),GL299,GK299)</f>
        <v>#N/A</v>
      </c>
      <c r="DK299" s="245" t="e">
        <f ca="1">INDEX(INDIRECT(VLOOKUP(LEFT(BO299,7),CLU!$Z$3:$AH$18,6)),GL299,GK299)</f>
        <v>#N/A</v>
      </c>
      <c r="DL299" s="355">
        <f>(Calculation!R299*0.69143*(Calculation!$BQ$8-Calculation!$F$8))*$S$14</f>
        <v>0</v>
      </c>
      <c r="DM299" s="359" t="e">
        <f t="shared" si="966"/>
        <v>#VALUE!</v>
      </c>
      <c r="DN299" s="611">
        <f t="shared" si="967"/>
        <v>0</v>
      </c>
      <c r="DO299" s="359">
        <f t="shared" si="968"/>
        <v>100</v>
      </c>
      <c r="DP299" s="359">
        <f t="shared" si="969"/>
        <v>0</v>
      </c>
      <c r="DQ299" s="360"/>
      <c r="DR299" s="245" t="e">
        <f ca="1">INDEX(INDIRECT(VLOOKUP(LEFT(BO299,7),CLU!$Z$3:$AH$18,7)),M299-1,1)</f>
        <v>#N/A</v>
      </c>
      <c r="DS299" s="245" t="e">
        <f ca="1">INDEX(INDIRECT(VLOOKUP(LEFT(BO299,7),CLU!$Z$3:$AH$18,7)),M299-1,2)</f>
        <v>#N/A</v>
      </c>
      <c r="DT299" s="245" t="e">
        <f ca="1">INDEX(INDIRECT(VLOOKUP(LEFT(BO299,7),CLU!$Z$3:$AH$18,7)),M299-1,3)</f>
        <v>#N/A</v>
      </c>
      <c r="DU299" s="245" t="e">
        <f ca="1">INDEX(INDIRECT(VLOOKUP(LEFT(BO299,7),CLU!$Z$3:$AH$18,7)),M299-1,4)</f>
        <v>#N/A</v>
      </c>
      <c r="DV299" s="361" t="e">
        <f ca="1">INDEX(INDIRECT(VLOOKUP(LEFT(BO299,7),CLU!$Z$3:$AH$18,7)),M299-1,4+LEFT(DZ299,1)*0.5)</f>
        <v>#N/A</v>
      </c>
      <c r="DW299" s="245" t="e">
        <f ca="1">INDEX(INDIRECT(VLOOKUP(LEFT(BO299,7),CLU!$Z$3:$AH$18,7)),M299-1,8)</f>
        <v>#N/A</v>
      </c>
      <c r="DX299" s="361" t="str">
        <f t="shared" si="862"/>
        <v xml:space="preserve"> </v>
      </c>
      <c r="DY299" s="361" t="str">
        <f t="shared" si="863"/>
        <v xml:space="preserve"> </v>
      </c>
      <c r="DZ299" s="361" t="str">
        <f t="shared" si="864"/>
        <v xml:space="preserve"> </v>
      </c>
      <c r="EA299" s="362" t="str">
        <f t="shared" si="865"/>
        <v xml:space="preserve"> </v>
      </c>
      <c r="EB299" s="624" t="str">
        <f t="shared" si="970"/>
        <v xml:space="preserve"> </v>
      </c>
      <c r="EC299" s="361" t="e">
        <f ca="1">INDEX(INDIRECT(VLOOKUP(LEFT(BO299,7),CLU!$Z$3:$AH$18,7)),M299-1,4+LEFT(DZ299,1)*0.5)</f>
        <v>#N/A</v>
      </c>
      <c r="ED299" s="362" t="str">
        <f t="shared" si="866"/>
        <v xml:space="preserve"> </v>
      </c>
      <c r="EE299" s="361" t="str">
        <f t="shared" si="867"/>
        <v xml:space="preserve"> </v>
      </c>
      <c r="EF299" s="362" t="str">
        <f>IF(L299&gt;0,IF(BR299&gt;0,IF(EE299="2P",IF(Calculation!DZ299="2P",IF(Calculation!DS299=13.75,IF(Calculation!DR299=13,Worksheet!$BD$43,IF(Calculation!DR299=37,Worksheet!$BD$44,Worksheet!$BD$45)),IF(Calculation!DS299=10,IF(Calculation!DR299=18,Worksheet!$BD$29,IF(Calculation!DR299=30,Worksheet!$BD$30,IF(Calculation!DR299=42,Worksheet!$BD$31,IF(Calculation!DR299=54,Worksheet!$BD$32,IF(Calculation!DR299=66,Worksheet!$BD$33,IF(Calculation!DR299=78,Worksheet!$BD$34,IF(Calculation!DR299=90,Worksheet!$BD$35,IF(Calculation!DR299=102,Worksheet!$BD$36,Worksheet!$BD$37)))))))),IF(Calculation!DS299=12.5,IF(Calculation!DR299=18,Worksheet!$BD$38,IF(Calculation!DR299=Worksheet!$BD$39,IF(Calculation!DR299=42,Worksheet!$BD$40,IF(Calculation!DR299=54,Worksheet!$BD$41,Worksheet!$BD$42)))),IF(Calculation!DR299=18,Worksheet!$BD$11,IF(Calculation!DR299=30,Worksheet!$BD$12,IF(Calculation!DR299=42,Worksheet!$BD$13,IF(Calculation!DR299=54,Worksheet!$BD$14,IF(Calculation!DR299=66,Worksheet!$BD$15,IF(Calculation!DR299=78,Worksheet!$BD$16,IF(Calculation!DR299=90,Worksheet!$BD$17,IF(Calculation!DR299=102,Worksheet!$BD$18,Worksheet!$BD$19))))))))))),IF(Calculation!DS299=13.75,IF(Calculation!DR299=13,Worksheet!$BD$78,IF(Calculation!DR299=37,Worksheet!$BD$79,Worksheet!$BD$80)),IF(Calculation!DS299=10,IF(Calculation!DR299=18,Worksheet!$BD$64,IF(Calculation!DR299=30,Worksheet!$BD$65,IF(Calculation!DR299=42,Worksheet!$BD$66,IF(Calculation!DR299=54,Worksheet!$BD$68,IF(Calculation!DR299=66,Worksheet!$BD$68,IF(Calculation!DR299=78,Worksheet!$BD$69,IF(Calculation!DR299=90,Worksheet!$BD$70,IF(Calculation!DR299=102,Worksheet!$BD$71,Worksheet!$BD$72)))))))),IF(Calculation!DS299=12.5,IF(Calculation!DR299=18,Worksheet!$BD$73,IF(Calculation!DR299=Worksheet!$BD$74,IF(Calculation!DR299=42,Worksheet!$BD$75,IF(Calculation!DR299=54,Worksheet!$BD$76,Worksheet!$BD$77)))),IF(Calculation!DR299=18,Worksheet!$BD$55,IF(Calculation!DR299=30,Worksheet!$BD$56,IF(Calculation!DR299=42,Worksheet!$BD$57,IF(Calculation!DR299=54,Worksheet!$BD$58,IF(Calculation!DR299=66,Worksheet!$BD$59,IF(Calculation!DR299=78,Worksheet!$BD$60,IF(Calculation!DR299=90,Worksheet!$BD$61,IF(Calculation!DR299=102,Worksheet!$BD$62,Worksheet!$BD$63)))))))))))),5),0)," ")</f>
        <v xml:space="preserve"> </v>
      </c>
      <c r="EG299" s="361" t="str">
        <f t="shared" si="868"/>
        <v xml:space="preserve"> </v>
      </c>
      <c r="EH299" s="361" t="e">
        <f ca="1">INDEX(INDIRECT(VLOOKUP(LEFT(BO299,7),CLU!$Z$3:$AH$18,7)),M299-1,3+LEFT(DZ299,1))</f>
        <v>#N/A</v>
      </c>
      <c r="EI299" s="362" t="str">
        <f t="shared" si="869"/>
        <v xml:space="preserve"> </v>
      </c>
      <c r="EJ299" s="363" t="str">
        <f t="shared" si="870"/>
        <v xml:space="preserve"> </v>
      </c>
      <c r="EK299" s="363" t="str">
        <f t="shared" si="871"/>
        <v xml:space="preserve"> </v>
      </c>
      <c r="EL299" s="363" t="str">
        <f t="shared" si="872"/>
        <v xml:space="preserve"> </v>
      </c>
      <c r="EM299" s="362" t="str">
        <f>IF(L299&gt;0,IF(BR299&gt;0,(Calculation!T299/ED299)^2,0)," ")</f>
        <v xml:space="preserve"> </v>
      </c>
      <c r="EN299" s="362" t="str">
        <f>IF(L299&gt;0,IF(O299="2 Pipe (Cooling)","N/A",IF(BR299&gt;0,(Calculation!U299/EI299)^2,0))," ")</f>
        <v xml:space="preserve"> </v>
      </c>
      <c r="EO299" s="361" t="str">
        <f t="shared" si="873"/>
        <v/>
      </c>
      <c r="EP299" s="361" t="str">
        <f t="shared" si="874"/>
        <v/>
      </c>
      <c r="EQ299" s="361" t="str">
        <f t="shared" si="875"/>
        <v/>
      </c>
      <c r="ER299" s="361" t="str">
        <f t="shared" si="876"/>
        <v/>
      </c>
      <c r="ES299" s="361" t="str">
        <f t="shared" si="877"/>
        <v/>
      </c>
      <c r="ET299" s="361" t="str">
        <f t="shared" si="878"/>
        <v/>
      </c>
      <c r="EU299" s="361" t="str">
        <f t="shared" si="879"/>
        <v/>
      </c>
      <c r="EV299" s="361" t="str">
        <f t="shared" si="880"/>
        <v/>
      </c>
      <c r="EW299" s="361" t="str">
        <f t="shared" si="881"/>
        <v/>
      </c>
      <c r="EX299" s="361" t="str">
        <f t="shared" si="971"/>
        <v>1 slot, 1 way</v>
      </c>
      <c r="EY299" s="361" t="str">
        <f t="shared" si="972"/>
        <v xml:space="preserve"> </v>
      </c>
      <c r="EZ299" s="361" t="str">
        <f t="shared" si="973"/>
        <v xml:space="preserve"> </v>
      </c>
      <c r="FA299" s="361" t="str">
        <f t="shared" si="974"/>
        <v xml:space="preserve"> </v>
      </c>
      <c r="FB299" s="361" t="str">
        <f t="shared" si="975"/>
        <v xml:space="preserve"> </v>
      </c>
      <c r="FC299" s="361"/>
      <c r="FD299" s="361" t="str">
        <f>IF(J299&gt;0,IF(Calculation!R299&lt;=70,4,IF(Calculation!R299&lt;=110,5,IF(Calculation!R299&lt;=160,6,IF(Calculation!R299&lt;=300,8,"10 EO")))),"")</f>
        <v/>
      </c>
      <c r="FE299" s="361" t="str">
        <f t="shared" si="976"/>
        <v/>
      </c>
      <c r="FF299" s="361" t="str">
        <f t="shared" si="977"/>
        <v/>
      </c>
      <c r="FG299" s="361" t="e">
        <f t="shared" si="882"/>
        <v>#N/A</v>
      </c>
      <c r="FH299" s="361">
        <f t="shared" si="883"/>
        <v>0</v>
      </c>
      <c r="FI299" s="361" t="e">
        <f t="shared" si="884"/>
        <v>#DIV/0!</v>
      </c>
      <c r="FJ299" s="361"/>
      <c r="FK299" s="356" t="e">
        <f t="shared" si="885"/>
        <v>#VALUE!</v>
      </c>
      <c r="FL299" s="361"/>
      <c r="FM299" s="361"/>
      <c r="FN299" s="362" t="str">
        <f t="shared" si="978"/>
        <v xml:space="preserve"> </v>
      </c>
      <c r="FO299" s="362" t="str">
        <f t="shared" si="979"/>
        <v xml:space="preserve"> </v>
      </c>
      <c r="FP299" s="362">
        <f t="shared" si="980"/>
        <v>0</v>
      </c>
      <c r="FQ299" s="361">
        <f t="shared" si="886"/>
        <v>0</v>
      </c>
      <c r="FR299" s="362" t="str">
        <f>IF(L299&gt;0,IF(J299="CBAL2",Worksheet!$P$67,IF(J299="CBE2-24",Worksheet!$Q$67,IF(J299="CBAM",Worksheet!$R$67,IF(J299="CBLV",Worksheet!$S$67,IF(J299="CBAB",Worksheet!$U$67,IF(J299="CBAW",Worksheet!$X$67,IF(J299="CBE2-12",Worksheet!$Y$67,IF(J299="CBAL2",Worksheet!$Z$67,"N/A"))))))))," ")</f>
        <v xml:space="preserve"> </v>
      </c>
      <c r="FS299" s="362" t="str">
        <f>IF(L299&gt;0,IF(J299="CBAL2",Worksheet!$P$68,IF(J299="CBE2-24",Worksheet!$Q$68,IF(J299="CBAM",Worksheet!$R$68,IF(J299="CBLV",Worksheet!$S$68,IF(J299="CBAB",Worksheet!$U$68,IF(J299="CBAW",Worksheet!$X$68,IF(J299="CBE2-12",Worksheet!$Y$68,IF(J299="CBAL2",Worksheet!$Z$68,"N/A"))))))))," ")</f>
        <v xml:space="preserve"> </v>
      </c>
      <c r="FT299" s="362" t="str">
        <f>IF(L299&gt;0,IF(J299="CBAL2",Worksheet!$P$69,IF(J299="CBE2-24",Worksheet!$Q$69,IF(J299="CBAM",Worksheet!$R$69,IF(J299="CBLV",Worksheet!$S$69,IF(J299="CBAB",Worksheet!$U$69,IF(J299="CBAW",Worksheet!$X$69,IF(J299="CBE2-12",Worksheet!$Y$69,IF(J299="CBAL2",Worksheet!$Z$69,"N/A"))))))))," ")</f>
        <v xml:space="preserve"> </v>
      </c>
      <c r="FU299" s="361" t="str">
        <f t="shared" si="981"/>
        <v xml:space="preserve"> </v>
      </c>
      <c r="FV299" s="362" t="str">
        <f t="shared" si="982"/>
        <v xml:space="preserve"> </v>
      </c>
      <c r="FW299" s="362" t="str">
        <f t="shared" si="983"/>
        <v xml:space="preserve"> </v>
      </c>
      <c r="FX299" s="362" t="str">
        <f t="shared" si="984"/>
        <v xml:space="preserve"> </v>
      </c>
      <c r="FY299" s="355" t="str">
        <f t="shared" si="985"/>
        <v xml:space="preserve"> </v>
      </c>
      <c r="FZ299" s="361" t="str">
        <f t="shared" si="986"/>
        <v xml:space="preserve"> </v>
      </c>
      <c r="GA299" s="347" t="str">
        <f t="shared" si="987"/>
        <v xml:space="preserve"> </v>
      </c>
      <c r="GB299" s="355" t="str">
        <f t="shared" si="988"/>
        <v xml:space="preserve"> </v>
      </c>
      <c r="GC299" s="328" t="str">
        <f t="shared" si="989"/>
        <v xml:space="preserve"> </v>
      </c>
      <c r="GD299" s="361" t="str">
        <f t="shared" si="990"/>
        <v xml:space="preserve"> </v>
      </c>
      <c r="GE299" s="347" t="str">
        <f t="shared" si="991"/>
        <v xml:space="preserve"> </v>
      </c>
      <c r="GF299" s="361" t="str">
        <f t="shared" si="992"/>
        <v xml:space="preserve"> </v>
      </c>
      <c r="GG299" s="347" t="str">
        <f t="shared" si="993"/>
        <v xml:space="preserve"> </v>
      </c>
      <c r="GH299" s="364">
        <f t="shared" si="887"/>
        <v>0</v>
      </c>
      <c r="GI299" s="362">
        <f t="shared" si="994"/>
        <v>2</v>
      </c>
      <c r="GJ299" s="433" t="e">
        <f>IF(6-COUNTBLANK(GT299:GY299)=4,MATCH(MID(BO299,9,3),CLU!$H$16:$K$16),MATCH(MID(BO299,9,3),CLU!$H$13:$M$13))</f>
        <v>#N/A</v>
      </c>
      <c r="GK299" s="433" t="e">
        <f>HLOOKUP(VALUE(BP299),CLU!$H$9:$M$10,2)</f>
        <v>#VALUE!</v>
      </c>
      <c r="GL299" s="433" t="e">
        <f ca="1">MATCH(BU299,CLU!$H$2:$V$2,1)</f>
        <v>#VALUE!</v>
      </c>
      <c r="GM299" s="433" t="e">
        <f t="shared" ca="1" si="995"/>
        <v>#VALUE!</v>
      </c>
      <c r="GN299" s="433" t="e">
        <f t="shared" ca="1" si="996"/>
        <v>#VALUE!</v>
      </c>
      <c r="GO299" s="433" t="e">
        <f t="shared" ca="1" si="997"/>
        <v>#VALUE!</v>
      </c>
      <c r="GP299" s="433" t="e">
        <f t="shared" ca="1" si="998"/>
        <v>#VALUE!</v>
      </c>
      <c r="GQ299" s="433" t="e">
        <f t="shared" ca="1" si="999"/>
        <v>#VALUE!</v>
      </c>
      <c r="GR299" s="433" t="e">
        <f ca="1">MATCH(T299,INDIRECT(VLOOKUP(CONCATENATE(LEFT(BO299,7),"-",MID(BO299,13,1)),CLU!$P$3:$Q$16,2)),1)</f>
        <v>#N/A</v>
      </c>
      <c r="GS299" s="433" t="e">
        <f ca="1">MATCH(U299,INDIRECT(VLOOKUP(CONCATENATE(LEFT(BO299,7),"-",MID(BO299,13,1)),CLU!$P$3:$Q$16,2)),1)</f>
        <v>#N/A</v>
      </c>
      <c r="GT299" s="347" t="s">
        <v>512</v>
      </c>
      <c r="GU299" s="97" t="s">
        <v>513</v>
      </c>
      <c r="GV299" s="97" t="str">
        <f t="shared" si="1000"/>
        <v>M23</v>
      </c>
      <c r="GW299" s="97" t="str">
        <f t="shared" si="1001"/>
        <v>M31</v>
      </c>
      <c r="GX299" s="97" t="str">
        <f t="shared" si="1002"/>
        <v/>
      </c>
      <c r="GY299" s="97" t="str">
        <f t="shared" si="1003"/>
        <v/>
      </c>
      <c r="GZ299" s="481"/>
      <c r="HA299" s="240"/>
      <c r="HB299" s="240"/>
      <c r="HC299" s="240"/>
      <c r="HD299" s="240"/>
      <c r="HE299" s="240"/>
      <c r="HF299" s="240"/>
      <c r="HG299" s="240"/>
      <c r="HH299" s="240"/>
      <c r="HI299" s="240"/>
      <c r="HJ299" s="240"/>
      <c r="HK299" s="240"/>
      <c r="HL299" s="240"/>
      <c r="HM299" s="240"/>
      <c r="HN299" s="240"/>
      <c r="HO299" s="240"/>
      <c r="HP299" s="240"/>
      <c r="HQ299" s="240"/>
      <c r="HR299" s="240"/>
      <c r="HS299" s="240"/>
      <c r="HT299" s="240"/>
      <c r="HU299" s="240"/>
      <c r="HV299" s="245"/>
      <c r="HW299" s="245" t="b">
        <v>1</v>
      </c>
      <c r="HX299" s="245" t="str">
        <f t="shared" si="888"/>
        <v/>
      </c>
      <c r="HY299" s="245" t="e">
        <f t="shared" si="889"/>
        <v>#DIV/0!</v>
      </c>
      <c r="HZ299" s="245" t="e">
        <f t="shared" si="890"/>
        <v>#DIV/0!</v>
      </c>
      <c r="IA299" s="245">
        <f t="shared" si="891"/>
        <v>0</v>
      </c>
      <c r="IB299" s="245"/>
      <c r="IC299" t="b">
        <f t="shared" si="892"/>
        <v>1</v>
      </c>
      <c r="ID299" s="245" t="b">
        <f t="shared" si="893"/>
        <v>1</v>
      </c>
      <c r="IE299" s="245" t="b">
        <f t="shared" si="894"/>
        <v>1</v>
      </c>
      <c r="IF299" s="245" t="b">
        <f t="shared" si="895"/>
        <v>0</v>
      </c>
      <c r="IG299" s="245" t="b">
        <f t="shared" si="896"/>
        <v>1</v>
      </c>
      <c r="IH299" s="245" t="b">
        <f t="shared" si="897"/>
        <v>1</v>
      </c>
      <c r="II299" s="245">
        <f t="shared" si="1004"/>
        <v>0</v>
      </c>
      <c r="IJ299" s="245" t="e">
        <f t="shared" si="898"/>
        <v>#VALUE!</v>
      </c>
      <c r="IK299" s="245" t="e">
        <f t="shared" si="899"/>
        <v>#VALUE!</v>
      </c>
      <c r="IL299" s="245"/>
      <c r="IM299" s="245" t="e">
        <f t="shared" si="1005"/>
        <v>#N/A</v>
      </c>
      <c r="IN299" s="245" t="e">
        <f t="shared" si="1006"/>
        <v>#N/A</v>
      </c>
      <c r="IO299" s="245"/>
      <c r="IP299" s="245"/>
      <c r="IQ299" s="245" t="str">
        <f t="shared" si="900"/>
        <v/>
      </c>
      <c r="IR299" s="245" t="str">
        <f>IF(J299="","",VLOOKUP(J299,Worksheet!$R$4:$T$14,2))</f>
        <v/>
      </c>
      <c r="IS299" s="245"/>
      <c r="IT299" s="245">
        <f t="shared" si="901"/>
        <v>0</v>
      </c>
      <c r="IU299" s="245">
        <f t="shared" si="902"/>
        <v>0</v>
      </c>
      <c r="IV299" s="245">
        <f t="shared" si="903"/>
        <v>0</v>
      </c>
      <c r="IW299" s="245">
        <f t="shared" si="904"/>
        <v>0</v>
      </c>
      <c r="IX299" s="245">
        <f t="shared" si="1007"/>
        <v>0</v>
      </c>
      <c r="IY299" s="245">
        <f t="shared" si="905"/>
        <v>0</v>
      </c>
      <c r="IZ299" s="245">
        <f t="shared" si="906"/>
        <v>0</v>
      </c>
      <c r="JA299">
        <f t="shared" si="907"/>
        <v>0</v>
      </c>
      <c r="JB299">
        <f t="shared" si="1008"/>
        <v>0</v>
      </c>
      <c r="JC299">
        <f t="shared" si="908"/>
        <v>0</v>
      </c>
      <c r="JD299">
        <f t="shared" si="909"/>
        <v>0</v>
      </c>
      <c r="JE299">
        <f t="shared" si="910"/>
        <v>0</v>
      </c>
      <c r="JF299">
        <f t="shared" si="911"/>
        <v>0</v>
      </c>
      <c r="JG299">
        <f t="shared" si="912"/>
        <v>0</v>
      </c>
      <c r="JH299">
        <f t="shared" si="913"/>
        <v>0</v>
      </c>
      <c r="JI299">
        <f t="shared" si="914"/>
        <v>0</v>
      </c>
      <c r="JJ299" s="447">
        <f t="shared" si="915"/>
        <v>0</v>
      </c>
      <c r="JK299" s="447">
        <f t="shared" si="916"/>
        <v>0</v>
      </c>
      <c r="JL299">
        <f t="shared" si="917"/>
        <v>0</v>
      </c>
      <c r="JM299" s="245" t="str">
        <f>IFERROR(VLOOKUP(MATCH(BN299,#REF!,0),#REF!,7),"")</f>
        <v/>
      </c>
      <c r="JN299" t="e">
        <f>HLOOKUP(LEFT(BO299,7),Discharge_Area,MATCH(JO299,LookUps!$B$130:$B$149,1)+2)</f>
        <v>#N/A</v>
      </c>
      <c r="JO299" t="str">
        <f t="shared" si="918"/>
        <v>- S</v>
      </c>
      <c r="JP299" t="e">
        <f>HLOOKUP(LEFT(BO299,7),Discharge_Area,MATCH(JO299,LookUps!$B$130:$B$149,1)+2)</f>
        <v>#N/A</v>
      </c>
      <c r="JQ299" t="e">
        <f t="shared" si="919"/>
        <v>#N/A</v>
      </c>
      <c r="JR299" t="e">
        <f t="shared" si="920"/>
        <v>#N/A</v>
      </c>
      <c r="JS299" t="e">
        <f t="shared" si="921"/>
        <v>#N/A</v>
      </c>
      <c r="JT299" s="532" t="str">
        <f t="shared" si="922"/>
        <v xml:space="preserve"> </v>
      </c>
      <c r="JU299" s="532" t="str">
        <f t="shared" si="923"/>
        <v xml:space="preserve"> </v>
      </c>
      <c r="JV299" s="533" t="str">
        <f t="shared" si="924"/>
        <v xml:space="preserve"> </v>
      </c>
      <c r="JW299" s="534">
        <f t="shared" si="925"/>
        <v>0</v>
      </c>
      <c r="JX299" s="535" t="str">
        <f t="shared" si="1009"/>
        <v xml:space="preserve"> </v>
      </c>
      <c r="JY299" s="535" t="str">
        <f t="shared" si="1010"/>
        <v xml:space="preserve"> </v>
      </c>
      <c r="JZ299" s="535" t="str">
        <f t="shared" si="1011"/>
        <v xml:space="preserve"> </v>
      </c>
      <c r="KA299" s="536" t="str">
        <f t="shared" si="926"/>
        <v xml:space="preserve"> </v>
      </c>
      <c r="KB299" s="535" t="e">
        <f t="shared" si="1012"/>
        <v>#VALUE!</v>
      </c>
      <c r="KC299" s="535" t="str">
        <f t="shared" si="927"/>
        <v/>
      </c>
      <c r="KD299" s="537" t="str">
        <f t="shared" si="1013"/>
        <v xml:space="preserve"> </v>
      </c>
      <c r="KE299" s="537" t="str">
        <f t="shared" si="1014"/>
        <v xml:space="preserve"> </v>
      </c>
      <c r="KF299" s="534">
        <f t="shared" si="928"/>
        <v>0</v>
      </c>
      <c r="KG299" s="535" t="str">
        <f t="shared" si="929"/>
        <v xml:space="preserve"> </v>
      </c>
      <c r="KH299" s="535" t="str">
        <f t="shared" si="930"/>
        <v xml:space="preserve"> </v>
      </c>
      <c r="KI299" s="535" t="str">
        <f t="shared" si="931"/>
        <v xml:space="preserve"> </v>
      </c>
      <c r="KJ299" s="536" t="str">
        <f t="shared" si="932"/>
        <v xml:space="preserve"> </v>
      </c>
      <c r="KK299" s="535" t="str">
        <f t="shared" si="1015"/>
        <v xml:space="preserve"> </v>
      </c>
      <c r="KL299" s="535" t="str">
        <f t="shared" si="1016"/>
        <v xml:space="preserve"> </v>
      </c>
      <c r="KM299" s="537" t="str">
        <f t="shared" si="933"/>
        <v xml:space="preserve"> </v>
      </c>
      <c r="KN299" s="537" t="str">
        <f t="shared" si="1017"/>
        <v xml:space="preserve"> </v>
      </c>
      <c r="KP299">
        <f t="shared" si="934"/>
        <v>0</v>
      </c>
      <c r="LA299" t="e">
        <f t="shared" si="935"/>
        <v>#VALUE!</v>
      </c>
      <c r="LB299" t="e">
        <f t="shared" si="936"/>
        <v>#VALUE!</v>
      </c>
      <c r="LC299" t="e">
        <f t="shared" si="937"/>
        <v>#VALUE!</v>
      </c>
      <c r="LD299" t="e">
        <f t="shared" si="938"/>
        <v>#VALUE!</v>
      </c>
      <c r="LE299" t="e">
        <f t="shared" si="1018"/>
        <v>#VALUE!</v>
      </c>
      <c r="LF299">
        <f t="shared" si="939"/>
        <v>0</v>
      </c>
      <c r="LG299" t="e">
        <f t="shared" si="1019"/>
        <v>#VALUE!</v>
      </c>
      <c r="LH299" t="str">
        <f t="shared" si="940"/>
        <v xml:space="preserve"> </v>
      </c>
      <c r="LI299">
        <f t="shared" si="1020"/>
        <v>1</v>
      </c>
    </row>
    <row r="300" spans="2:321" ht="15" customHeight="1">
      <c r="B300" s="311"/>
      <c r="C300" s="311"/>
      <c r="D300" s="312"/>
      <c r="E300" s="311"/>
      <c r="F300" s="312"/>
      <c r="G300" s="311"/>
      <c r="H300" s="311"/>
      <c r="I300" s="232"/>
      <c r="J300" s="311"/>
      <c r="K300" s="305" t="str">
        <f t="shared" si="941"/>
        <v/>
      </c>
      <c r="L300" s="313"/>
      <c r="M300" s="312"/>
      <c r="N300" s="311"/>
      <c r="O300" s="312"/>
      <c r="P300" s="311"/>
      <c r="Q300" s="305" t="str">
        <f t="shared" si="942"/>
        <v/>
      </c>
      <c r="R300" s="314"/>
      <c r="S300" s="450" t="str">
        <f t="shared" si="825"/>
        <v/>
      </c>
      <c r="T300" s="315"/>
      <c r="U300" s="315"/>
      <c r="W300" s="149" t="str">
        <f t="shared" si="826"/>
        <v xml:space="preserve"> </v>
      </c>
      <c r="X300" s="243" t="str">
        <f t="shared" si="827"/>
        <v xml:space="preserve"> </v>
      </c>
      <c r="Y300" s="150" t="str">
        <f t="shared" si="828"/>
        <v/>
      </c>
      <c r="Z300" s="149" t="str">
        <f t="shared" si="829"/>
        <v xml:space="preserve"> </v>
      </c>
      <c r="AA300" s="98" t="str">
        <f t="shared" si="830"/>
        <v xml:space="preserve"> </v>
      </c>
      <c r="AB300" s="153" t="str">
        <f t="shared" si="831"/>
        <v xml:space="preserve"> </v>
      </c>
      <c r="AC300" s="153" t="str">
        <f t="shared" si="832"/>
        <v xml:space="preserve"> </v>
      </c>
      <c r="AD300" s="148" t="str">
        <f t="shared" si="833"/>
        <v/>
      </c>
      <c r="AE300" s="149" t="str">
        <f t="shared" si="834"/>
        <v/>
      </c>
      <c r="AF300" s="151" t="str">
        <f t="shared" si="835"/>
        <v xml:space="preserve"> </v>
      </c>
      <c r="AG300" s="153" t="str">
        <f t="shared" si="836"/>
        <v xml:space="preserve"> </v>
      </c>
      <c r="AH300" s="98" t="str">
        <f t="shared" si="837"/>
        <v xml:space="preserve"> </v>
      </c>
      <c r="AI300" s="149" t="str">
        <f t="shared" si="838"/>
        <v xml:space="preserve"> </v>
      </c>
      <c r="AK300" s="144" t="str">
        <f t="shared" si="839"/>
        <v xml:space="preserve"> </v>
      </c>
      <c r="AL300" s="144"/>
      <c r="AM300" s="243" t="str">
        <f t="shared" si="840"/>
        <v xml:space="preserve"> </v>
      </c>
      <c r="AN300" s="149" t="str">
        <f t="shared" si="943"/>
        <v xml:space="preserve"> </v>
      </c>
      <c r="AO300" s="144" t="str">
        <f>IF(JB300&gt;0,IF(GI300=10,-R300*1.085*(Calculation!$F$6-Calculation!$F$13)*$S$14," "),"")</f>
        <v/>
      </c>
      <c r="AP300" s="144" t="str">
        <f t="shared" si="841"/>
        <v/>
      </c>
      <c r="AQ300" s="56" t="str">
        <f t="shared" si="842"/>
        <v/>
      </c>
      <c r="AR300" s="144" t="str">
        <f t="shared" si="843"/>
        <v/>
      </c>
      <c r="AS300" s="176" t="str">
        <f t="shared" si="844"/>
        <v/>
      </c>
      <c r="AT300" s="176" t="str">
        <f t="shared" si="944"/>
        <v xml:space="preserve"> </v>
      </c>
      <c r="AU300" s="176" t="str">
        <f t="shared" si="845"/>
        <v/>
      </c>
      <c r="AV300" s="177" t="str">
        <f t="shared" si="846"/>
        <v xml:space="preserve"> </v>
      </c>
      <c r="AW300" s="144" t="str">
        <f t="shared" si="847"/>
        <v xml:space="preserve"> </v>
      </c>
      <c r="AX300" s="144" t="str">
        <f t="shared" si="848"/>
        <v xml:space="preserve"> </v>
      </c>
      <c r="AY300" s="152" t="str">
        <f t="shared" si="849"/>
        <v xml:space="preserve"> </v>
      </c>
      <c r="AZ300" s="246" t="str">
        <f t="shared" si="850"/>
        <v/>
      </c>
      <c r="BA300" s="176" t="str">
        <f t="shared" si="851"/>
        <v xml:space="preserve"> </v>
      </c>
      <c r="BB300" s="176" t="str">
        <f t="shared" si="852"/>
        <v xml:space="preserve"> </v>
      </c>
      <c r="BC300" s="195"/>
      <c r="BD300" s="316"/>
      <c r="BE300" s="317"/>
      <c r="BF300" s="318"/>
      <c r="BG300" s="318"/>
      <c r="BH300" s="144" t="str">
        <f t="shared" si="1021"/>
        <v xml:space="preserve"> </v>
      </c>
      <c r="BI300" s="176" t="str">
        <f t="shared" si="853"/>
        <v/>
      </c>
      <c r="BJ300" s="144" t="str">
        <f t="shared" si="1022"/>
        <v/>
      </c>
      <c r="BK300" s="246" t="str">
        <f t="shared" si="854"/>
        <v/>
      </c>
      <c r="BL300" s="144" t="str">
        <f t="shared" si="1023"/>
        <v/>
      </c>
      <c r="BM300" s="246" t="str">
        <f t="shared" si="855"/>
        <v/>
      </c>
      <c r="BN300" s="337" t="str">
        <f t="shared" si="945"/>
        <v/>
      </c>
      <c r="BO300" s="371" t="str">
        <f t="shared" si="946"/>
        <v/>
      </c>
      <c r="BP300" s="328" t="str">
        <f t="shared" si="1024"/>
        <v xml:space="preserve"> </v>
      </c>
      <c r="BQ300" s="347" t="str">
        <f t="shared" si="947"/>
        <v xml:space="preserve"> </v>
      </c>
      <c r="BR300" s="353" t="str">
        <f t="shared" si="948"/>
        <v xml:space="preserve"> </v>
      </c>
      <c r="BS300" s="626" t="str">
        <f>IF(L300&gt;0,IF(Calculation!P300="M13",BR300*3.1416*(0.134^2)/(4*144),IF(Calculation!P300="M17",BR300*3.1416*(0.165^2)/(4*144),IF(Calculation!P300="M20",BR300*3.1416*(0.198^2)/(4*144),IF(Calculation!P300="M23",BR300*3.1416*(0.228^2)/(4*144),IF(Calculation!P300="M27",BR300*3.1416*(0.269^2)/(4*144),BR300*3.1416*(0.307^2)/(4*144))))))," ")</f>
        <v xml:space="preserve"> </v>
      </c>
      <c r="BT300" s="353" t="str">
        <f>IF(L300&gt;0,IF(BS300&gt;0,R300/Calculation!BS300,0)," ")</f>
        <v xml:space="preserve"> </v>
      </c>
      <c r="BU300" s="438" t="e">
        <f t="shared" ca="1" si="856"/>
        <v>#VALUE!</v>
      </c>
      <c r="BV300" s="449" t="e">
        <f ca="1">INDEX(INDIRECT(VLOOKUP(LEFT(BO300,7),CLU!$Z$3:$AH$18,2)),GN300,GR300)</f>
        <v>#N/A</v>
      </c>
      <c r="BW300" s="433" t="e">
        <f ca="1">INDEX(INDIRECT(VLOOKUP(LEFT(BO300,7),CLU!$Z$3:$AH$18,3)),GN300,GR300)</f>
        <v>#N/A</v>
      </c>
      <c r="BX300" s="433" t="e">
        <f ca="1">INDEX(INDIRECT(VLOOKUP(LEFT(BO300,7),CLU!$Z$3:$AH$18,4)),GN300,GR300)</f>
        <v>#N/A</v>
      </c>
      <c r="BY300" s="433" t="e">
        <f ca="1">INDEX(INDIRECT(VLOOKUP(LEFT(BO300,7),CLU!$Z$3:$AH$18,9)),((M300-2)*(6-COUNTBLANK(GT300:GY300)))+GJ300)</f>
        <v>#N/A</v>
      </c>
      <c r="BZ300" s="426" t="e">
        <f t="shared" ca="1" si="949"/>
        <v>#N/A</v>
      </c>
      <c r="CA300" s="424" t="e">
        <f t="shared" ca="1" si="950"/>
        <v>#N/A</v>
      </c>
      <c r="CB300" s="429" t="e">
        <f ca="1">INDEX(INDIRECT(VLOOKUP(LEFT(BO300,7),CLU!$Z$3:$AH$18,2)),GN300,GS300)</f>
        <v>#N/A</v>
      </c>
      <c r="CC300" s="342" t="e">
        <f ca="1">INDEX(INDIRECT(VLOOKUP(LEFT(BO300,7),CLU!$Z$3:$AH$18,3)),GN300,GS300)</f>
        <v>#N/A</v>
      </c>
      <c r="CD300" s="342" t="e">
        <f ca="1">INDEX(INDIRECT(VLOOKUP(LEFT(BO300,7),CLU!$Z$3:$AH$18,4)),GN300,GS300)</f>
        <v>#N/A</v>
      </c>
      <c r="CE300" s="426" t="e">
        <f t="shared" ca="1" si="951"/>
        <v>#N/A</v>
      </c>
      <c r="CF300" s="440">
        <f t="shared" si="952"/>
        <v>0</v>
      </c>
      <c r="CG300" s="431" t="e">
        <f ca="1">INDEX(INDIRECT(VLOOKUP(LEFT(BO300,7),CLU!$Z$3:$AH$18,2)),GQ300,GR300)</f>
        <v>#N/A</v>
      </c>
      <c r="CH300" s="431" t="e">
        <f ca="1">INDEX(INDIRECT(VLOOKUP(LEFT(BO300,7),CLU!$Z$3:$AH$18,3)),GQ300,GR300)</f>
        <v>#N/A</v>
      </c>
      <c r="CI300" s="431" t="e">
        <f ca="1">INDEX(INDIRECT(VLOOKUP(LEFT(BO300,7),CLU!$Z$3:$AH$18,4)),GQ300,GR300)</f>
        <v>#N/A</v>
      </c>
      <c r="CJ300" s="448" t="e">
        <f t="shared" ca="1" si="953"/>
        <v>#N/A</v>
      </c>
      <c r="CK300" s="431" t="e">
        <f t="shared" ca="1" si="954"/>
        <v>#N/A</v>
      </c>
      <c r="CL300" s="440" t="e">
        <f t="shared" ca="1" si="955"/>
        <v>#N/A</v>
      </c>
      <c r="CM300" s="431" t="e">
        <f ca="1">INDEX(INDIRECT(VLOOKUP(LEFT(BO300,7),CLU!$Z$3:$AH$18,2)),GQ300,GS300)</f>
        <v>#N/A</v>
      </c>
      <c r="CN300" s="431" t="e">
        <f ca="1">INDEX(INDIRECT(VLOOKUP(LEFT(BO300,7),CLU!$Z$3:$AH$18,3)),GQ300,GS300)</f>
        <v>#N/A</v>
      </c>
      <c r="CO300" s="431" t="e">
        <f ca="1">INDEX(INDIRECT(VLOOKUP(LEFT(BO300,7),CLU!$Z$3:$AH$18,4)),GQ300,GS300)</f>
        <v>#N/A</v>
      </c>
      <c r="CP300" s="431" t="e">
        <f t="shared" ca="1" si="956"/>
        <v>#N/A</v>
      </c>
      <c r="CQ300" s="440">
        <f t="shared" si="957"/>
        <v>0</v>
      </c>
      <c r="CR300" s="51" t="e">
        <f t="shared" ca="1" si="958"/>
        <v>#N/A</v>
      </c>
      <c r="CS300" s="439" t="e">
        <f t="shared" ca="1" si="959"/>
        <v>#VALUE!</v>
      </c>
      <c r="CT300" s="51" t="e">
        <f t="shared" ca="1" si="960"/>
        <v>#VALUE!</v>
      </c>
      <c r="CU300" s="10"/>
      <c r="CV300" s="51" t="e">
        <f t="shared" ca="1" si="857"/>
        <v>#VALUE!</v>
      </c>
      <c r="CW300" s="51">
        <f t="shared" si="961"/>
        <v>0</v>
      </c>
      <c r="CX300" s="439" t="e">
        <f t="shared" ca="1" si="962"/>
        <v>#VALUE!</v>
      </c>
      <c r="CY300" s="51" t="e">
        <f t="shared" ca="1" si="963"/>
        <v>#VALUE!</v>
      </c>
      <c r="CZ300" s="10"/>
      <c r="DA300" s="51" t="e">
        <f t="shared" ca="1" si="964"/>
        <v>#VALUE!</v>
      </c>
      <c r="DB300" s="347" t="e">
        <f ca="1">INDEX(INDIRECT(VLOOKUP(LEFT(BO300,7),CLU!$Z$3:$AI$18,10)),((M300-2)*(6-COUNTBLANK(GT300:GY300)))+GJ300)*LI300</f>
        <v>#N/A</v>
      </c>
      <c r="DC300" s="347" t="str">
        <f>IF(L300&gt;0,((R300/Worksheet!$I$15)/DB300)^2," ")</f>
        <v xml:space="preserve"> </v>
      </c>
      <c r="DD300" s="602" t="str">
        <f t="shared" si="965"/>
        <v xml:space="preserve"> </v>
      </c>
      <c r="DE300" s="347" t="str">
        <f t="shared" si="858"/>
        <v xml:space="preserve"> </v>
      </c>
      <c r="DF300" s="356" t="e">
        <f ca="1">INDEX(INDIRECT(VLOOKUP(LEFT(BO300,7),CLU!$Z$3:$AH$18,8)),((M300-2)*(6-COUNTBLANK(GT300:GY300)))+GJ300)</f>
        <v>#N/A</v>
      </c>
      <c r="DG300" s="347" t="str">
        <f t="shared" si="859"/>
        <v xml:space="preserve"> </v>
      </c>
      <c r="DH300" s="357" t="str">
        <f t="shared" si="860"/>
        <v xml:space="preserve"> </v>
      </c>
      <c r="DI300" s="355" t="str">
        <f t="shared" si="861"/>
        <v xml:space="preserve"> </v>
      </c>
      <c r="DJ300" s="245" t="e">
        <f ca="1">INDEX(INDIRECT(VLOOKUP(LEFT(BO300,7),CLU!$Z$3:$AH$18,5)),GL300,GK300)</f>
        <v>#N/A</v>
      </c>
      <c r="DK300" s="245" t="e">
        <f ca="1">INDEX(INDIRECT(VLOOKUP(LEFT(BO300,7),CLU!$Z$3:$AH$18,6)),GL300,GK300)</f>
        <v>#N/A</v>
      </c>
      <c r="DL300" s="355">
        <f>(Calculation!R300*0.69143*(Calculation!$BQ$8-Calculation!$F$8))*$S$14</f>
        <v>0</v>
      </c>
      <c r="DM300" s="359" t="e">
        <f t="shared" si="966"/>
        <v>#VALUE!</v>
      </c>
      <c r="DN300" s="611">
        <f t="shared" si="967"/>
        <v>0</v>
      </c>
      <c r="DO300" s="359">
        <f t="shared" si="968"/>
        <v>100</v>
      </c>
      <c r="DP300" s="359">
        <f t="shared" si="969"/>
        <v>0</v>
      </c>
      <c r="DQ300" s="360"/>
      <c r="DR300" s="245" t="e">
        <f ca="1">INDEX(INDIRECT(VLOOKUP(LEFT(BO300,7),CLU!$Z$3:$AH$18,7)),M300-1,1)</f>
        <v>#N/A</v>
      </c>
      <c r="DS300" s="245" t="e">
        <f ca="1">INDEX(INDIRECT(VLOOKUP(LEFT(BO300,7),CLU!$Z$3:$AH$18,7)),M300-1,2)</f>
        <v>#N/A</v>
      </c>
      <c r="DT300" s="245" t="e">
        <f ca="1">INDEX(INDIRECT(VLOOKUP(LEFT(BO300,7),CLU!$Z$3:$AH$18,7)),M300-1,3)</f>
        <v>#N/A</v>
      </c>
      <c r="DU300" s="245" t="e">
        <f ca="1">INDEX(INDIRECT(VLOOKUP(LEFT(BO300,7),CLU!$Z$3:$AH$18,7)),M300-1,4)</f>
        <v>#N/A</v>
      </c>
      <c r="DV300" s="361" t="e">
        <f ca="1">INDEX(INDIRECT(VLOOKUP(LEFT(BO300,7),CLU!$Z$3:$AH$18,7)),M300-1,4+LEFT(DZ300,1)*0.5)</f>
        <v>#N/A</v>
      </c>
      <c r="DW300" s="245" t="e">
        <f ca="1">INDEX(INDIRECT(VLOOKUP(LEFT(BO300,7),CLU!$Z$3:$AH$18,7)),M300-1,8)</f>
        <v>#N/A</v>
      </c>
      <c r="DX300" s="361" t="str">
        <f t="shared" si="862"/>
        <v xml:space="preserve"> </v>
      </c>
      <c r="DY300" s="361" t="str">
        <f t="shared" si="863"/>
        <v xml:space="preserve"> </v>
      </c>
      <c r="DZ300" s="361" t="str">
        <f t="shared" si="864"/>
        <v xml:space="preserve"> </v>
      </c>
      <c r="EA300" s="362" t="str">
        <f t="shared" si="865"/>
        <v xml:space="preserve"> </v>
      </c>
      <c r="EB300" s="624" t="str">
        <f t="shared" si="970"/>
        <v xml:space="preserve"> </v>
      </c>
      <c r="EC300" s="361" t="e">
        <f ca="1">INDEX(INDIRECT(VLOOKUP(LEFT(BO300,7),CLU!$Z$3:$AH$18,7)),M300-1,4+LEFT(DZ300,1)*0.5)</f>
        <v>#N/A</v>
      </c>
      <c r="ED300" s="362" t="str">
        <f t="shared" si="866"/>
        <v xml:space="preserve"> </v>
      </c>
      <c r="EE300" s="361" t="str">
        <f t="shared" si="867"/>
        <v xml:space="preserve"> </v>
      </c>
      <c r="EF300" s="362" t="str">
        <f>IF(L300&gt;0,IF(BR300&gt;0,IF(EE300="2P",IF(Calculation!DZ300="2P",IF(Calculation!DS300=13.75,IF(Calculation!DR300=13,Worksheet!$BD$43,IF(Calculation!DR300=37,Worksheet!$BD$44,Worksheet!$BD$45)),IF(Calculation!DS300=10,IF(Calculation!DR300=18,Worksheet!$BD$29,IF(Calculation!DR300=30,Worksheet!$BD$30,IF(Calculation!DR300=42,Worksheet!$BD$31,IF(Calculation!DR300=54,Worksheet!$BD$32,IF(Calculation!DR300=66,Worksheet!$BD$33,IF(Calculation!DR300=78,Worksheet!$BD$34,IF(Calculation!DR300=90,Worksheet!$BD$35,IF(Calculation!DR300=102,Worksheet!$BD$36,Worksheet!$BD$37)))))))),IF(Calculation!DS300=12.5,IF(Calculation!DR300=18,Worksheet!$BD$38,IF(Calculation!DR300=Worksheet!$BD$39,IF(Calculation!DR300=42,Worksheet!$BD$40,IF(Calculation!DR300=54,Worksheet!$BD$41,Worksheet!$BD$42)))),IF(Calculation!DR300=18,Worksheet!$BD$11,IF(Calculation!DR300=30,Worksheet!$BD$12,IF(Calculation!DR300=42,Worksheet!$BD$13,IF(Calculation!DR300=54,Worksheet!$BD$14,IF(Calculation!DR300=66,Worksheet!$BD$15,IF(Calculation!DR300=78,Worksheet!$BD$16,IF(Calculation!DR300=90,Worksheet!$BD$17,IF(Calculation!DR300=102,Worksheet!$BD$18,Worksheet!$BD$19))))))))))),IF(Calculation!DS300=13.75,IF(Calculation!DR300=13,Worksheet!$BD$78,IF(Calculation!DR300=37,Worksheet!$BD$79,Worksheet!$BD$80)),IF(Calculation!DS300=10,IF(Calculation!DR300=18,Worksheet!$BD$64,IF(Calculation!DR300=30,Worksheet!$BD$65,IF(Calculation!DR300=42,Worksheet!$BD$66,IF(Calculation!DR300=54,Worksheet!$BD$68,IF(Calculation!DR300=66,Worksheet!$BD$68,IF(Calculation!DR300=78,Worksheet!$BD$69,IF(Calculation!DR300=90,Worksheet!$BD$70,IF(Calculation!DR300=102,Worksheet!$BD$71,Worksheet!$BD$72)))))))),IF(Calculation!DS300=12.5,IF(Calculation!DR300=18,Worksheet!$BD$73,IF(Calculation!DR300=Worksheet!$BD$74,IF(Calculation!DR300=42,Worksheet!$BD$75,IF(Calculation!DR300=54,Worksheet!$BD$76,Worksheet!$BD$77)))),IF(Calculation!DR300=18,Worksheet!$BD$55,IF(Calculation!DR300=30,Worksheet!$BD$56,IF(Calculation!DR300=42,Worksheet!$BD$57,IF(Calculation!DR300=54,Worksheet!$BD$58,IF(Calculation!DR300=66,Worksheet!$BD$59,IF(Calculation!DR300=78,Worksheet!$BD$60,IF(Calculation!DR300=90,Worksheet!$BD$61,IF(Calculation!DR300=102,Worksheet!$BD$62,Worksheet!$BD$63)))))))))))),5),0)," ")</f>
        <v xml:space="preserve"> </v>
      </c>
      <c r="EG300" s="361" t="str">
        <f t="shared" si="868"/>
        <v xml:space="preserve"> </v>
      </c>
      <c r="EH300" s="361" t="e">
        <f ca="1">INDEX(INDIRECT(VLOOKUP(LEFT(BO300,7),CLU!$Z$3:$AH$18,7)),M300-1,3+LEFT(DZ300,1))</f>
        <v>#N/A</v>
      </c>
      <c r="EI300" s="362" t="str">
        <f t="shared" si="869"/>
        <v xml:space="preserve"> </v>
      </c>
      <c r="EJ300" s="363" t="str">
        <f t="shared" si="870"/>
        <v xml:space="preserve"> </v>
      </c>
      <c r="EK300" s="363" t="str">
        <f t="shared" si="871"/>
        <v xml:space="preserve"> </v>
      </c>
      <c r="EL300" s="363" t="str">
        <f t="shared" si="872"/>
        <v xml:space="preserve"> </v>
      </c>
      <c r="EM300" s="362" t="str">
        <f>IF(L300&gt;0,IF(BR300&gt;0,(Calculation!T300/ED300)^2,0)," ")</f>
        <v xml:space="preserve"> </v>
      </c>
      <c r="EN300" s="362" t="str">
        <f>IF(L300&gt;0,IF(O300="2 Pipe (Cooling)","N/A",IF(BR300&gt;0,(Calculation!U300/EI300)^2,0))," ")</f>
        <v xml:space="preserve"> </v>
      </c>
      <c r="EO300" s="361" t="str">
        <f t="shared" si="873"/>
        <v/>
      </c>
      <c r="EP300" s="361" t="str">
        <f t="shared" si="874"/>
        <v/>
      </c>
      <c r="EQ300" s="361" t="str">
        <f t="shared" si="875"/>
        <v/>
      </c>
      <c r="ER300" s="361" t="str">
        <f t="shared" si="876"/>
        <v/>
      </c>
      <c r="ES300" s="361" t="str">
        <f t="shared" si="877"/>
        <v/>
      </c>
      <c r="ET300" s="361" t="str">
        <f t="shared" si="878"/>
        <v/>
      </c>
      <c r="EU300" s="361" t="str">
        <f t="shared" si="879"/>
        <v/>
      </c>
      <c r="EV300" s="361" t="str">
        <f t="shared" si="880"/>
        <v/>
      </c>
      <c r="EW300" s="361" t="str">
        <f t="shared" si="881"/>
        <v/>
      </c>
      <c r="EX300" s="361" t="str">
        <f t="shared" si="971"/>
        <v>1 slot, 1 way</v>
      </c>
      <c r="EY300" s="361" t="str">
        <f t="shared" si="972"/>
        <v xml:space="preserve"> </v>
      </c>
      <c r="EZ300" s="361" t="str">
        <f t="shared" si="973"/>
        <v xml:space="preserve"> </v>
      </c>
      <c r="FA300" s="361" t="str">
        <f t="shared" si="974"/>
        <v xml:space="preserve"> </v>
      </c>
      <c r="FB300" s="361" t="str">
        <f t="shared" si="975"/>
        <v xml:space="preserve"> </v>
      </c>
      <c r="FC300" s="361"/>
      <c r="FD300" s="361" t="str">
        <f>IF(J300&gt;0,IF(Calculation!R300&lt;=70,4,IF(Calculation!R300&lt;=110,5,IF(Calculation!R300&lt;=160,6,IF(Calculation!R300&lt;=300,8,"10 EO")))),"")</f>
        <v/>
      </c>
      <c r="FE300" s="361" t="str">
        <f t="shared" si="976"/>
        <v/>
      </c>
      <c r="FF300" s="361" t="str">
        <f t="shared" si="977"/>
        <v/>
      </c>
      <c r="FG300" s="361" t="e">
        <f t="shared" si="882"/>
        <v>#N/A</v>
      </c>
      <c r="FH300" s="361">
        <f t="shared" si="883"/>
        <v>0</v>
      </c>
      <c r="FI300" s="361" t="e">
        <f t="shared" si="884"/>
        <v>#DIV/0!</v>
      </c>
      <c r="FJ300" s="361"/>
      <c r="FK300" s="356" t="e">
        <f t="shared" si="885"/>
        <v>#VALUE!</v>
      </c>
      <c r="FL300" s="361"/>
      <c r="FM300" s="361"/>
      <c r="FN300" s="362" t="str">
        <f t="shared" si="978"/>
        <v xml:space="preserve"> </v>
      </c>
      <c r="FO300" s="362" t="str">
        <f t="shared" si="979"/>
        <v xml:space="preserve"> </v>
      </c>
      <c r="FP300" s="362">
        <f t="shared" si="980"/>
        <v>0</v>
      </c>
      <c r="FQ300" s="361">
        <f t="shared" si="886"/>
        <v>0</v>
      </c>
      <c r="FR300" s="362" t="str">
        <f>IF(L300&gt;0,IF(J300="CBAL2",Worksheet!$P$67,IF(J300="CBE2-24",Worksheet!$Q$67,IF(J300="CBAM",Worksheet!$R$67,IF(J300="CBLV",Worksheet!$S$67,IF(J300="CBAB",Worksheet!$U$67,IF(J300="CBAW",Worksheet!$X$67,IF(J300="CBE2-12",Worksheet!$Y$67,IF(J300="CBAL2",Worksheet!$Z$67,"N/A"))))))))," ")</f>
        <v xml:space="preserve"> </v>
      </c>
      <c r="FS300" s="362" t="str">
        <f>IF(L300&gt;0,IF(J300="CBAL2",Worksheet!$P$68,IF(J300="CBE2-24",Worksheet!$Q$68,IF(J300="CBAM",Worksheet!$R$68,IF(J300="CBLV",Worksheet!$S$68,IF(J300="CBAB",Worksheet!$U$68,IF(J300="CBAW",Worksheet!$X$68,IF(J300="CBE2-12",Worksheet!$Y$68,IF(J300="CBAL2",Worksheet!$Z$68,"N/A"))))))))," ")</f>
        <v xml:space="preserve"> </v>
      </c>
      <c r="FT300" s="362" t="str">
        <f>IF(L300&gt;0,IF(J300="CBAL2",Worksheet!$P$69,IF(J300="CBE2-24",Worksheet!$Q$69,IF(J300="CBAM",Worksheet!$R$69,IF(J300="CBLV",Worksheet!$S$69,IF(J300="CBAB",Worksheet!$U$69,IF(J300="CBAW",Worksheet!$X$69,IF(J300="CBE2-12",Worksheet!$Y$69,IF(J300="CBAL2",Worksheet!$Z$69,"N/A"))))))))," ")</f>
        <v xml:space="preserve"> </v>
      </c>
      <c r="FU300" s="361" t="str">
        <f t="shared" si="981"/>
        <v xml:space="preserve"> </v>
      </c>
      <c r="FV300" s="362" t="str">
        <f t="shared" si="982"/>
        <v xml:space="preserve"> </v>
      </c>
      <c r="FW300" s="362" t="str">
        <f t="shared" si="983"/>
        <v xml:space="preserve"> </v>
      </c>
      <c r="FX300" s="362" t="str">
        <f t="shared" si="984"/>
        <v xml:space="preserve"> </v>
      </c>
      <c r="FY300" s="355" t="str">
        <f t="shared" si="985"/>
        <v xml:space="preserve"> </v>
      </c>
      <c r="FZ300" s="361" t="str">
        <f t="shared" si="986"/>
        <v xml:space="preserve"> </v>
      </c>
      <c r="GA300" s="347" t="str">
        <f t="shared" si="987"/>
        <v xml:space="preserve"> </v>
      </c>
      <c r="GB300" s="355" t="str">
        <f t="shared" si="988"/>
        <v xml:space="preserve"> </v>
      </c>
      <c r="GC300" s="328" t="str">
        <f t="shared" si="989"/>
        <v xml:space="preserve"> </v>
      </c>
      <c r="GD300" s="361" t="str">
        <f t="shared" si="990"/>
        <v xml:space="preserve"> </v>
      </c>
      <c r="GE300" s="347" t="str">
        <f t="shared" si="991"/>
        <v xml:space="preserve"> </v>
      </c>
      <c r="GF300" s="361" t="str">
        <f t="shared" si="992"/>
        <v xml:space="preserve"> </v>
      </c>
      <c r="GG300" s="347" t="str">
        <f t="shared" si="993"/>
        <v xml:space="preserve"> </v>
      </c>
      <c r="GH300" s="364">
        <f t="shared" si="887"/>
        <v>0</v>
      </c>
      <c r="GI300" s="362">
        <f t="shared" si="994"/>
        <v>2</v>
      </c>
      <c r="GJ300" s="433" t="e">
        <f>IF(6-COUNTBLANK(GT300:GY300)=4,MATCH(MID(BO300,9,3),CLU!$H$16:$K$16),MATCH(MID(BO300,9,3),CLU!$H$13:$M$13))</f>
        <v>#N/A</v>
      </c>
      <c r="GK300" s="433" t="e">
        <f>HLOOKUP(VALUE(BP300),CLU!$H$9:$M$10,2)</f>
        <v>#VALUE!</v>
      </c>
      <c r="GL300" s="433" t="e">
        <f ca="1">MATCH(BU300,CLU!$H$2:$V$2,1)</f>
        <v>#VALUE!</v>
      </c>
      <c r="GM300" s="433" t="e">
        <f t="shared" ca="1" si="995"/>
        <v>#VALUE!</v>
      </c>
      <c r="GN300" s="433" t="e">
        <f t="shared" ca="1" si="996"/>
        <v>#VALUE!</v>
      </c>
      <c r="GO300" s="433" t="e">
        <f t="shared" ca="1" si="997"/>
        <v>#VALUE!</v>
      </c>
      <c r="GP300" s="433" t="e">
        <f t="shared" ca="1" si="998"/>
        <v>#VALUE!</v>
      </c>
      <c r="GQ300" s="433" t="e">
        <f t="shared" ca="1" si="999"/>
        <v>#VALUE!</v>
      </c>
      <c r="GR300" s="433" t="e">
        <f ca="1">MATCH(T300,INDIRECT(VLOOKUP(CONCATENATE(LEFT(BO300,7),"-",MID(BO300,13,1)),CLU!$P$3:$Q$16,2)),1)</f>
        <v>#N/A</v>
      </c>
      <c r="GS300" s="433" t="e">
        <f ca="1">MATCH(U300,INDIRECT(VLOOKUP(CONCATENATE(LEFT(BO300,7),"-",MID(BO300,13,1)),CLU!$P$3:$Q$16,2)),1)</f>
        <v>#N/A</v>
      </c>
      <c r="GT300" s="347" t="s">
        <v>512</v>
      </c>
      <c r="GU300" s="97" t="s">
        <v>513</v>
      </c>
      <c r="GV300" s="97" t="str">
        <f t="shared" si="1000"/>
        <v>M23</v>
      </c>
      <c r="GW300" s="97" t="str">
        <f t="shared" si="1001"/>
        <v>M31</v>
      </c>
      <c r="GX300" s="97" t="str">
        <f t="shared" si="1002"/>
        <v/>
      </c>
      <c r="GY300" s="97" t="str">
        <f t="shared" si="1003"/>
        <v/>
      </c>
      <c r="GZ300" s="481"/>
      <c r="HA300" s="240"/>
      <c r="HB300" s="240"/>
      <c r="HC300" s="240"/>
      <c r="HD300" s="240"/>
      <c r="HE300" s="240"/>
      <c r="HF300" s="240"/>
      <c r="HG300" s="240"/>
      <c r="HH300" s="240"/>
      <c r="HI300" s="240"/>
      <c r="HJ300" s="240"/>
      <c r="HK300" s="240"/>
      <c r="HL300" s="240"/>
      <c r="HM300" s="240"/>
      <c r="HN300" s="240"/>
      <c r="HO300" s="240"/>
      <c r="HP300" s="240"/>
      <c r="HQ300" s="240"/>
      <c r="HR300" s="240"/>
      <c r="HS300" s="240"/>
      <c r="HT300" s="240"/>
      <c r="HU300" s="240"/>
      <c r="HV300" s="245"/>
      <c r="HW300" s="245" t="b">
        <v>1</v>
      </c>
      <c r="HX300" s="245" t="str">
        <f t="shared" si="888"/>
        <v/>
      </c>
      <c r="HY300" s="245" t="e">
        <f t="shared" si="889"/>
        <v>#DIV/0!</v>
      </c>
      <c r="HZ300" s="245" t="e">
        <f t="shared" si="890"/>
        <v>#DIV/0!</v>
      </c>
      <c r="IA300" s="245">
        <f t="shared" si="891"/>
        <v>0</v>
      </c>
      <c r="IB300" s="245"/>
      <c r="IC300" t="b">
        <f t="shared" si="892"/>
        <v>1</v>
      </c>
      <c r="ID300" s="245" t="b">
        <f t="shared" si="893"/>
        <v>1</v>
      </c>
      <c r="IE300" s="245" t="b">
        <f t="shared" si="894"/>
        <v>1</v>
      </c>
      <c r="IF300" s="245" t="b">
        <f t="shared" si="895"/>
        <v>0</v>
      </c>
      <c r="IG300" s="245" t="b">
        <f t="shared" si="896"/>
        <v>1</v>
      </c>
      <c r="IH300" s="245" t="b">
        <f t="shared" si="897"/>
        <v>1</v>
      </c>
      <c r="II300" s="245">
        <f t="shared" si="1004"/>
        <v>0</v>
      </c>
      <c r="IJ300" s="245" t="e">
        <f t="shared" si="898"/>
        <v>#VALUE!</v>
      </c>
      <c r="IK300" s="245" t="e">
        <f t="shared" si="899"/>
        <v>#VALUE!</v>
      </c>
      <c r="IL300" s="245"/>
      <c r="IM300" s="245" t="e">
        <f t="shared" si="1005"/>
        <v>#N/A</v>
      </c>
      <c r="IN300" s="245" t="e">
        <f t="shared" si="1006"/>
        <v>#N/A</v>
      </c>
      <c r="IO300" s="245"/>
      <c r="IP300" s="245"/>
      <c r="IQ300" s="245" t="str">
        <f t="shared" si="900"/>
        <v/>
      </c>
      <c r="IR300" s="245" t="str">
        <f>IF(J300="","",VLOOKUP(J300,Worksheet!$R$4:$T$14,2))</f>
        <v/>
      </c>
      <c r="IS300" s="245"/>
      <c r="IT300" s="245">
        <f t="shared" si="901"/>
        <v>0</v>
      </c>
      <c r="IU300" s="245">
        <f t="shared" si="902"/>
        <v>0</v>
      </c>
      <c r="IV300" s="245">
        <f t="shared" si="903"/>
        <v>0</v>
      </c>
      <c r="IW300" s="245">
        <f t="shared" si="904"/>
        <v>0</v>
      </c>
      <c r="IX300" s="245">
        <f t="shared" si="1007"/>
        <v>0</v>
      </c>
      <c r="IY300" s="245">
        <f t="shared" si="905"/>
        <v>0</v>
      </c>
      <c r="IZ300" s="245">
        <f t="shared" si="906"/>
        <v>0</v>
      </c>
      <c r="JA300">
        <f t="shared" si="907"/>
        <v>0</v>
      </c>
      <c r="JB300">
        <f t="shared" si="1008"/>
        <v>0</v>
      </c>
      <c r="JC300">
        <f t="shared" si="908"/>
        <v>0</v>
      </c>
      <c r="JD300">
        <f t="shared" si="909"/>
        <v>0</v>
      </c>
      <c r="JE300">
        <f t="shared" si="910"/>
        <v>0</v>
      </c>
      <c r="JF300">
        <f t="shared" si="911"/>
        <v>0</v>
      </c>
      <c r="JG300">
        <f t="shared" si="912"/>
        <v>0</v>
      </c>
      <c r="JH300">
        <f t="shared" si="913"/>
        <v>0</v>
      </c>
      <c r="JI300">
        <f t="shared" si="914"/>
        <v>0</v>
      </c>
      <c r="JJ300" s="447">
        <f t="shared" si="915"/>
        <v>0</v>
      </c>
      <c r="JK300" s="447">
        <f t="shared" si="916"/>
        <v>0</v>
      </c>
      <c r="JL300">
        <f t="shared" si="917"/>
        <v>0</v>
      </c>
      <c r="JM300" s="245" t="str">
        <f>IFERROR(VLOOKUP(MATCH(BN300,#REF!,0),#REF!,7),"")</f>
        <v/>
      </c>
      <c r="JN300" t="e">
        <f>HLOOKUP(LEFT(BO300,7),Discharge_Area,MATCH(JO300,LookUps!$B$130:$B$149,1)+2)</f>
        <v>#N/A</v>
      </c>
      <c r="JO300" t="str">
        <f t="shared" si="918"/>
        <v>- S</v>
      </c>
      <c r="JP300" t="e">
        <f>HLOOKUP(LEFT(BO300,7),Discharge_Area,MATCH(JO300,LookUps!$B$130:$B$149,1)+2)</f>
        <v>#N/A</v>
      </c>
      <c r="JQ300" t="e">
        <f t="shared" si="919"/>
        <v>#N/A</v>
      </c>
      <c r="JR300" t="e">
        <f t="shared" si="920"/>
        <v>#N/A</v>
      </c>
      <c r="JS300" t="e">
        <f t="shared" si="921"/>
        <v>#N/A</v>
      </c>
      <c r="JT300" s="532" t="str">
        <f t="shared" si="922"/>
        <v xml:space="preserve"> </v>
      </c>
      <c r="JU300" s="532" t="str">
        <f t="shared" si="923"/>
        <v xml:space="preserve"> </v>
      </c>
      <c r="JV300" s="533" t="str">
        <f t="shared" si="924"/>
        <v xml:space="preserve"> </v>
      </c>
      <c r="JW300" s="534">
        <f t="shared" si="925"/>
        <v>0</v>
      </c>
      <c r="JX300" s="535" t="str">
        <f t="shared" si="1009"/>
        <v xml:space="preserve"> </v>
      </c>
      <c r="JY300" s="535" t="str">
        <f t="shared" si="1010"/>
        <v xml:space="preserve"> </v>
      </c>
      <c r="JZ300" s="535" t="str">
        <f t="shared" si="1011"/>
        <v xml:space="preserve"> </v>
      </c>
      <c r="KA300" s="536" t="str">
        <f t="shared" si="926"/>
        <v xml:space="preserve"> </v>
      </c>
      <c r="KB300" s="535" t="e">
        <f t="shared" si="1012"/>
        <v>#VALUE!</v>
      </c>
      <c r="KC300" s="535" t="str">
        <f t="shared" si="927"/>
        <v/>
      </c>
      <c r="KD300" s="537" t="str">
        <f t="shared" si="1013"/>
        <v xml:space="preserve"> </v>
      </c>
      <c r="KE300" s="537" t="str">
        <f t="shared" si="1014"/>
        <v xml:space="preserve"> </v>
      </c>
      <c r="KF300" s="534">
        <f t="shared" si="928"/>
        <v>0</v>
      </c>
      <c r="KG300" s="535" t="str">
        <f t="shared" si="929"/>
        <v xml:space="preserve"> </v>
      </c>
      <c r="KH300" s="535" t="str">
        <f t="shared" si="930"/>
        <v xml:space="preserve"> </v>
      </c>
      <c r="KI300" s="535" t="str">
        <f t="shared" si="931"/>
        <v xml:space="preserve"> </v>
      </c>
      <c r="KJ300" s="536" t="str">
        <f t="shared" si="932"/>
        <v xml:space="preserve"> </v>
      </c>
      <c r="KK300" s="535" t="str">
        <f t="shared" si="1015"/>
        <v xml:space="preserve"> </v>
      </c>
      <c r="KL300" s="535" t="str">
        <f t="shared" si="1016"/>
        <v xml:space="preserve"> </v>
      </c>
      <c r="KM300" s="537" t="str">
        <f t="shared" si="933"/>
        <v xml:space="preserve"> </v>
      </c>
      <c r="KN300" s="537" t="str">
        <f t="shared" si="1017"/>
        <v xml:space="preserve"> </v>
      </c>
      <c r="KP300">
        <f t="shared" si="934"/>
        <v>0</v>
      </c>
      <c r="LA300" t="e">
        <f t="shared" si="935"/>
        <v>#VALUE!</v>
      </c>
      <c r="LB300" t="e">
        <f t="shared" si="936"/>
        <v>#VALUE!</v>
      </c>
      <c r="LC300" t="e">
        <f t="shared" si="937"/>
        <v>#VALUE!</v>
      </c>
      <c r="LD300" t="e">
        <f t="shared" si="938"/>
        <v>#VALUE!</v>
      </c>
      <c r="LE300" t="e">
        <f t="shared" si="1018"/>
        <v>#VALUE!</v>
      </c>
      <c r="LF300">
        <f t="shared" si="939"/>
        <v>0</v>
      </c>
      <c r="LG300" t="e">
        <f t="shared" si="1019"/>
        <v>#VALUE!</v>
      </c>
      <c r="LH300" t="str">
        <f t="shared" si="940"/>
        <v xml:space="preserve"> </v>
      </c>
      <c r="LI300">
        <f t="shared" si="1020"/>
        <v>1</v>
      </c>
    </row>
    <row r="301" spans="2:321" ht="15" customHeight="1">
      <c r="B301" s="311"/>
      <c r="C301" s="311"/>
      <c r="D301" s="312"/>
      <c r="E301" s="311"/>
      <c r="F301" s="312"/>
      <c r="G301" s="311"/>
      <c r="H301" s="311"/>
      <c r="I301" s="232"/>
      <c r="J301" s="311"/>
      <c r="K301" s="305" t="str">
        <f t="shared" si="941"/>
        <v/>
      </c>
      <c r="L301" s="313"/>
      <c r="M301" s="312"/>
      <c r="N301" s="311"/>
      <c r="O301" s="312"/>
      <c r="P301" s="311"/>
      <c r="Q301" s="305" t="str">
        <f t="shared" si="942"/>
        <v/>
      </c>
      <c r="R301" s="314"/>
      <c r="S301" s="450" t="str">
        <f t="shared" si="825"/>
        <v/>
      </c>
      <c r="T301" s="315"/>
      <c r="U301" s="315"/>
      <c r="W301" s="149" t="str">
        <f t="shared" si="826"/>
        <v xml:space="preserve"> </v>
      </c>
      <c r="X301" s="243" t="str">
        <f t="shared" si="827"/>
        <v xml:space="preserve"> </v>
      </c>
      <c r="Y301" s="150" t="str">
        <f t="shared" si="828"/>
        <v/>
      </c>
      <c r="Z301" s="149" t="str">
        <f t="shared" si="829"/>
        <v xml:space="preserve"> </v>
      </c>
      <c r="AA301" s="98" t="str">
        <f t="shared" si="830"/>
        <v xml:space="preserve"> </v>
      </c>
      <c r="AB301" s="153" t="str">
        <f t="shared" si="831"/>
        <v xml:space="preserve"> </v>
      </c>
      <c r="AC301" s="153" t="str">
        <f t="shared" si="832"/>
        <v xml:space="preserve"> </v>
      </c>
      <c r="AD301" s="148" t="str">
        <f t="shared" si="833"/>
        <v/>
      </c>
      <c r="AE301" s="149" t="str">
        <f t="shared" si="834"/>
        <v/>
      </c>
      <c r="AF301" s="151" t="str">
        <f t="shared" si="835"/>
        <v xml:space="preserve"> </v>
      </c>
      <c r="AG301" s="153" t="str">
        <f t="shared" si="836"/>
        <v xml:space="preserve"> </v>
      </c>
      <c r="AH301" s="98" t="str">
        <f t="shared" si="837"/>
        <v xml:space="preserve"> </v>
      </c>
      <c r="AI301" s="149" t="str">
        <f t="shared" si="838"/>
        <v xml:space="preserve"> </v>
      </c>
      <c r="AK301" s="144" t="str">
        <f t="shared" si="839"/>
        <v xml:space="preserve"> </v>
      </c>
      <c r="AL301" s="144"/>
      <c r="AM301" s="243" t="str">
        <f t="shared" si="840"/>
        <v xml:space="preserve"> </v>
      </c>
      <c r="AN301" s="149" t="str">
        <f t="shared" si="943"/>
        <v xml:space="preserve"> </v>
      </c>
      <c r="AO301" s="144" t="str">
        <f>IF(JB301&gt;0,IF(GI301=10,-R301*1.085*(Calculation!$F$6-Calculation!$F$13)*$S$14," "),"")</f>
        <v/>
      </c>
      <c r="AP301" s="144" t="str">
        <f t="shared" si="841"/>
        <v/>
      </c>
      <c r="AQ301" s="56" t="str">
        <f t="shared" si="842"/>
        <v/>
      </c>
      <c r="AR301" s="144" t="str">
        <f t="shared" si="843"/>
        <v/>
      </c>
      <c r="AS301" s="176" t="str">
        <f t="shared" si="844"/>
        <v/>
      </c>
      <c r="AT301" s="176" t="str">
        <f t="shared" si="944"/>
        <v xml:space="preserve"> </v>
      </c>
      <c r="AU301" s="176" t="str">
        <f t="shared" si="845"/>
        <v/>
      </c>
      <c r="AV301" s="177" t="str">
        <f t="shared" si="846"/>
        <v xml:space="preserve"> </v>
      </c>
      <c r="AW301" s="144" t="str">
        <f t="shared" si="847"/>
        <v xml:space="preserve"> </v>
      </c>
      <c r="AX301" s="144" t="str">
        <f t="shared" si="848"/>
        <v xml:space="preserve"> </v>
      </c>
      <c r="AY301" s="152" t="str">
        <f t="shared" si="849"/>
        <v xml:space="preserve"> </v>
      </c>
      <c r="AZ301" s="246" t="str">
        <f t="shared" si="850"/>
        <v/>
      </c>
      <c r="BA301" s="176" t="str">
        <f t="shared" si="851"/>
        <v xml:space="preserve"> </v>
      </c>
      <c r="BB301" s="176" t="str">
        <f t="shared" si="852"/>
        <v xml:space="preserve"> </v>
      </c>
      <c r="BC301" s="195"/>
      <c r="BD301" s="316"/>
      <c r="BE301" s="317"/>
      <c r="BF301" s="318"/>
      <c r="BG301" s="318"/>
      <c r="BH301" s="144" t="str">
        <f t="shared" si="1021"/>
        <v xml:space="preserve"> </v>
      </c>
      <c r="BI301" s="176" t="str">
        <f t="shared" si="853"/>
        <v/>
      </c>
      <c r="BJ301" s="144" t="str">
        <f t="shared" si="1022"/>
        <v/>
      </c>
      <c r="BK301" s="246" t="str">
        <f t="shared" si="854"/>
        <v/>
      </c>
      <c r="BL301" s="144" t="str">
        <f t="shared" si="1023"/>
        <v/>
      </c>
      <c r="BM301" s="246" t="str">
        <f t="shared" si="855"/>
        <v/>
      </c>
      <c r="BN301" s="337" t="str">
        <f t="shared" si="945"/>
        <v/>
      </c>
      <c r="BO301" s="371" t="str">
        <f t="shared" si="946"/>
        <v/>
      </c>
      <c r="BP301" s="328" t="str">
        <f t="shared" si="1024"/>
        <v xml:space="preserve"> </v>
      </c>
      <c r="BQ301" s="347" t="str">
        <f t="shared" si="947"/>
        <v xml:space="preserve"> </v>
      </c>
      <c r="BR301" s="353" t="str">
        <f t="shared" si="948"/>
        <v xml:space="preserve"> </v>
      </c>
      <c r="BS301" s="626" t="str">
        <f>IF(L301&gt;0,IF(Calculation!P301="M13",BR301*3.1416*(0.134^2)/(4*144),IF(Calculation!P301="M17",BR301*3.1416*(0.165^2)/(4*144),IF(Calculation!P301="M20",BR301*3.1416*(0.198^2)/(4*144),IF(Calculation!P301="M23",BR301*3.1416*(0.228^2)/(4*144),IF(Calculation!P301="M27",BR301*3.1416*(0.269^2)/(4*144),BR301*3.1416*(0.307^2)/(4*144))))))," ")</f>
        <v xml:space="preserve"> </v>
      </c>
      <c r="BT301" s="353" t="str">
        <f>IF(L301&gt;0,IF(BS301&gt;0,R301/Calculation!BS301,0)," ")</f>
        <v xml:space="preserve"> </v>
      </c>
      <c r="BU301" s="438" t="e">
        <f t="shared" ca="1" si="856"/>
        <v>#VALUE!</v>
      </c>
      <c r="BV301" s="449" t="e">
        <f ca="1">INDEX(INDIRECT(VLOOKUP(LEFT(BO301,7),CLU!$Z$3:$AH$18,2)),GN301,GR301)</f>
        <v>#N/A</v>
      </c>
      <c r="BW301" s="433" t="e">
        <f ca="1">INDEX(INDIRECT(VLOOKUP(LEFT(BO301,7),CLU!$Z$3:$AH$18,3)),GN301,GR301)</f>
        <v>#N/A</v>
      </c>
      <c r="BX301" s="433" t="e">
        <f ca="1">INDEX(INDIRECT(VLOOKUP(LEFT(BO301,7),CLU!$Z$3:$AH$18,4)),GN301,GR301)</f>
        <v>#N/A</v>
      </c>
      <c r="BY301" s="433" t="e">
        <f ca="1">INDEX(INDIRECT(VLOOKUP(LEFT(BO301,7),CLU!$Z$3:$AH$18,9)),((M301-2)*(6-COUNTBLANK(GT301:GY301)))+GJ301)</f>
        <v>#N/A</v>
      </c>
      <c r="BZ301" s="426" t="e">
        <f t="shared" ca="1" si="949"/>
        <v>#N/A</v>
      </c>
      <c r="CA301" s="424" t="e">
        <f t="shared" ca="1" si="950"/>
        <v>#N/A</v>
      </c>
      <c r="CB301" s="429" t="e">
        <f ca="1">INDEX(INDIRECT(VLOOKUP(LEFT(BO301,7),CLU!$Z$3:$AH$18,2)),GN301,GS301)</f>
        <v>#N/A</v>
      </c>
      <c r="CC301" s="342" t="e">
        <f ca="1">INDEX(INDIRECT(VLOOKUP(LEFT(BO301,7),CLU!$Z$3:$AH$18,3)),GN301,GS301)</f>
        <v>#N/A</v>
      </c>
      <c r="CD301" s="342" t="e">
        <f ca="1">INDEX(INDIRECT(VLOOKUP(LEFT(BO301,7),CLU!$Z$3:$AH$18,4)),GN301,GS301)</f>
        <v>#N/A</v>
      </c>
      <c r="CE301" s="426" t="e">
        <f t="shared" ca="1" si="951"/>
        <v>#N/A</v>
      </c>
      <c r="CF301" s="440">
        <f t="shared" si="952"/>
        <v>0</v>
      </c>
      <c r="CG301" s="431" t="e">
        <f ca="1">INDEX(INDIRECT(VLOOKUP(LEFT(BO301,7),CLU!$Z$3:$AH$18,2)),GQ301,GR301)</f>
        <v>#N/A</v>
      </c>
      <c r="CH301" s="431" t="e">
        <f ca="1">INDEX(INDIRECT(VLOOKUP(LEFT(BO301,7),CLU!$Z$3:$AH$18,3)),GQ301,GR301)</f>
        <v>#N/A</v>
      </c>
      <c r="CI301" s="431" t="e">
        <f ca="1">INDEX(INDIRECT(VLOOKUP(LEFT(BO301,7),CLU!$Z$3:$AH$18,4)),GQ301,GR301)</f>
        <v>#N/A</v>
      </c>
      <c r="CJ301" s="448" t="e">
        <f t="shared" ca="1" si="953"/>
        <v>#N/A</v>
      </c>
      <c r="CK301" s="431" t="e">
        <f t="shared" ca="1" si="954"/>
        <v>#N/A</v>
      </c>
      <c r="CL301" s="440" t="e">
        <f t="shared" ca="1" si="955"/>
        <v>#N/A</v>
      </c>
      <c r="CM301" s="431" t="e">
        <f ca="1">INDEX(INDIRECT(VLOOKUP(LEFT(BO301,7),CLU!$Z$3:$AH$18,2)),GQ301,GS301)</f>
        <v>#N/A</v>
      </c>
      <c r="CN301" s="431" t="e">
        <f ca="1">INDEX(INDIRECT(VLOOKUP(LEFT(BO301,7),CLU!$Z$3:$AH$18,3)),GQ301,GS301)</f>
        <v>#N/A</v>
      </c>
      <c r="CO301" s="431" t="e">
        <f ca="1">INDEX(INDIRECT(VLOOKUP(LEFT(BO301,7),CLU!$Z$3:$AH$18,4)),GQ301,GS301)</f>
        <v>#N/A</v>
      </c>
      <c r="CP301" s="431" t="e">
        <f t="shared" ca="1" si="956"/>
        <v>#N/A</v>
      </c>
      <c r="CQ301" s="440">
        <f t="shared" si="957"/>
        <v>0</v>
      </c>
      <c r="CR301" s="51" t="e">
        <f t="shared" ca="1" si="958"/>
        <v>#N/A</v>
      </c>
      <c r="CS301" s="439" t="e">
        <f t="shared" ca="1" si="959"/>
        <v>#VALUE!</v>
      </c>
      <c r="CT301" s="51" t="e">
        <f t="shared" ca="1" si="960"/>
        <v>#VALUE!</v>
      </c>
      <c r="CU301" s="10"/>
      <c r="CV301" s="51" t="e">
        <f t="shared" ca="1" si="857"/>
        <v>#VALUE!</v>
      </c>
      <c r="CW301" s="51">
        <f t="shared" si="961"/>
        <v>0</v>
      </c>
      <c r="CX301" s="439" t="e">
        <f t="shared" ca="1" si="962"/>
        <v>#VALUE!</v>
      </c>
      <c r="CY301" s="51" t="e">
        <f t="shared" ca="1" si="963"/>
        <v>#VALUE!</v>
      </c>
      <c r="CZ301" s="10"/>
      <c r="DA301" s="51" t="e">
        <f t="shared" ca="1" si="964"/>
        <v>#VALUE!</v>
      </c>
      <c r="DB301" s="347" t="e">
        <f ca="1">INDEX(INDIRECT(VLOOKUP(LEFT(BO301,7),CLU!$Z$3:$AI$18,10)),((M301-2)*(6-COUNTBLANK(GT301:GY301)))+GJ301)*LI301</f>
        <v>#N/A</v>
      </c>
      <c r="DC301" s="347" t="str">
        <f>IF(L301&gt;0,((R301/Worksheet!$I$15)/DB301)^2," ")</f>
        <v xml:space="preserve"> </v>
      </c>
      <c r="DD301" s="602" t="str">
        <f t="shared" si="965"/>
        <v xml:space="preserve"> </v>
      </c>
      <c r="DE301" s="347" t="str">
        <f t="shared" si="858"/>
        <v xml:space="preserve"> </v>
      </c>
      <c r="DF301" s="356" t="e">
        <f ca="1">INDEX(INDIRECT(VLOOKUP(LEFT(BO301,7),CLU!$Z$3:$AH$18,8)),((M301-2)*(6-COUNTBLANK(GT301:GY301)))+GJ301)</f>
        <v>#N/A</v>
      </c>
      <c r="DG301" s="347" t="str">
        <f t="shared" si="859"/>
        <v xml:space="preserve"> </v>
      </c>
      <c r="DH301" s="357" t="str">
        <f t="shared" si="860"/>
        <v xml:space="preserve"> </v>
      </c>
      <c r="DI301" s="355" t="str">
        <f t="shared" si="861"/>
        <v xml:space="preserve"> </v>
      </c>
      <c r="DJ301" s="245" t="e">
        <f ca="1">INDEX(INDIRECT(VLOOKUP(LEFT(BO301,7),CLU!$Z$3:$AH$18,5)),GL301,GK301)</f>
        <v>#N/A</v>
      </c>
      <c r="DK301" s="245" t="e">
        <f ca="1">INDEX(INDIRECT(VLOOKUP(LEFT(BO301,7),CLU!$Z$3:$AH$18,6)),GL301,GK301)</f>
        <v>#N/A</v>
      </c>
      <c r="DL301" s="355">
        <f>(Calculation!R301*0.69143*(Calculation!$BQ$8-Calculation!$F$8))*$S$14</f>
        <v>0</v>
      </c>
      <c r="DM301" s="359" t="e">
        <f t="shared" si="966"/>
        <v>#VALUE!</v>
      </c>
      <c r="DN301" s="611">
        <f t="shared" si="967"/>
        <v>0</v>
      </c>
      <c r="DO301" s="359">
        <f t="shared" si="968"/>
        <v>100</v>
      </c>
      <c r="DP301" s="359">
        <f t="shared" si="969"/>
        <v>0</v>
      </c>
      <c r="DQ301" s="360"/>
      <c r="DR301" s="245" t="e">
        <f ca="1">INDEX(INDIRECT(VLOOKUP(LEFT(BO301,7),CLU!$Z$3:$AH$18,7)),M301-1,1)</f>
        <v>#N/A</v>
      </c>
      <c r="DS301" s="245" t="e">
        <f ca="1">INDEX(INDIRECT(VLOOKUP(LEFT(BO301,7),CLU!$Z$3:$AH$18,7)),M301-1,2)</f>
        <v>#N/A</v>
      </c>
      <c r="DT301" s="245" t="e">
        <f ca="1">INDEX(INDIRECT(VLOOKUP(LEFT(BO301,7),CLU!$Z$3:$AH$18,7)),M301-1,3)</f>
        <v>#N/A</v>
      </c>
      <c r="DU301" s="245" t="e">
        <f ca="1">INDEX(INDIRECT(VLOOKUP(LEFT(BO301,7),CLU!$Z$3:$AH$18,7)),M301-1,4)</f>
        <v>#N/A</v>
      </c>
      <c r="DV301" s="361" t="e">
        <f ca="1">INDEX(INDIRECT(VLOOKUP(LEFT(BO301,7),CLU!$Z$3:$AH$18,7)),M301-1,4+LEFT(DZ301,1)*0.5)</f>
        <v>#N/A</v>
      </c>
      <c r="DW301" s="245" t="e">
        <f ca="1">INDEX(INDIRECT(VLOOKUP(LEFT(BO301,7),CLU!$Z$3:$AH$18,7)),M301-1,8)</f>
        <v>#N/A</v>
      </c>
      <c r="DX301" s="361" t="str">
        <f t="shared" si="862"/>
        <v xml:space="preserve"> </v>
      </c>
      <c r="DY301" s="361" t="str">
        <f t="shared" si="863"/>
        <v xml:space="preserve"> </v>
      </c>
      <c r="DZ301" s="361" t="str">
        <f t="shared" si="864"/>
        <v xml:space="preserve"> </v>
      </c>
      <c r="EA301" s="362" t="str">
        <f t="shared" si="865"/>
        <v xml:space="preserve"> </v>
      </c>
      <c r="EB301" s="624" t="str">
        <f t="shared" si="970"/>
        <v xml:space="preserve"> </v>
      </c>
      <c r="EC301" s="361" t="e">
        <f ca="1">INDEX(INDIRECT(VLOOKUP(LEFT(BO301,7),CLU!$Z$3:$AH$18,7)),M301-1,4+LEFT(DZ301,1)*0.5)</f>
        <v>#N/A</v>
      </c>
      <c r="ED301" s="362" t="str">
        <f t="shared" si="866"/>
        <v xml:space="preserve"> </v>
      </c>
      <c r="EE301" s="361" t="str">
        <f t="shared" si="867"/>
        <v xml:space="preserve"> </v>
      </c>
      <c r="EF301" s="362" t="str">
        <f>IF(L301&gt;0,IF(BR301&gt;0,IF(EE301="2P",IF(Calculation!DZ301="2P",IF(Calculation!DS301=13.75,IF(Calculation!DR301=13,Worksheet!$BD$43,IF(Calculation!DR301=37,Worksheet!$BD$44,Worksheet!$BD$45)),IF(Calculation!DS301=10,IF(Calculation!DR301=18,Worksheet!$BD$29,IF(Calculation!DR301=30,Worksheet!$BD$30,IF(Calculation!DR301=42,Worksheet!$BD$31,IF(Calculation!DR301=54,Worksheet!$BD$32,IF(Calculation!DR301=66,Worksheet!$BD$33,IF(Calculation!DR301=78,Worksheet!$BD$34,IF(Calculation!DR301=90,Worksheet!$BD$35,IF(Calculation!DR301=102,Worksheet!$BD$36,Worksheet!$BD$37)))))))),IF(Calculation!DS301=12.5,IF(Calculation!DR301=18,Worksheet!$BD$38,IF(Calculation!DR301=Worksheet!$BD$39,IF(Calculation!DR301=42,Worksheet!$BD$40,IF(Calculation!DR301=54,Worksheet!$BD$41,Worksheet!$BD$42)))),IF(Calculation!DR301=18,Worksheet!$BD$11,IF(Calculation!DR301=30,Worksheet!$BD$12,IF(Calculation!DR301=42,Worksheet!$BD$13,IF(Calculation!DR301=54,Worksheet!$BD$14,IF(Calculation!DR301=66,Worksheet!$BD$15,IF(Calculation!DR301=78,Worksheet!$BD$16,IF(Calculation!DR301=90,Worksheet!$BD$17,IF(Calculation!DR301=102,Worksheet!$BD$18,Worksheet!$BD$19))))))))))),IF(Calculation!DS301=13.75,IF(Calculation!DR301=13,Worksheet!$BD$78,IF(Calculation!DR301=37,Worksheet!$BD$79,Worksheet!$BD$80)),IF(Calculation!DS301=10,IF(Calculation!DR301=18,Worksheet!$BD$64,IF(Calculation!DR301=30,Worksheet!$BD$65,IF(Calculation!DR301=42,Worksheet!$BD$66,IF(Calculation!DR301=54,Worksheet!$BD$68,IF(Calculation!DR301=66,Worksheet!$BD$68,IF(Calculation!DR301=78,Worksheet!$BD$69,IF(Calculation!DR301=90,Worksheet!$BD$70,IF(Calculation!DR301=102,Worksheet!$BD$71,Worksheet!$BD$72)))))))),IF(Calculation!DS301=12.5,IF(Calculation!DR301=18,Worksheet!$BD$73,IF(Calculation!DR301=Worksheet!$BD$74,IF(Calculation!DR301=42,Worksheet!$BD$75,IF(Calculation!DR301=54,Worksheet!$BD$76,Worksheet!$BD$77)))),IF(Calculation!DR301=18,Worksheet!$BD$55,IF(Calculation!DR301=30,Worksheet!$BD$56,IF(Calculation!DR301=42,Worksheet!$BD$57,IF(Calculation!DR301=54,Worksheet!$BD$58,IF(Calculation!DR301=66,Worksheet!$BD$59,IF(Calculation!DR301=78,Worksheet!$BD$60,IF(Calculation!DR301=90,Worksheet!$BD$61,IF(Calculation!DR301=102,Worksheet!$BD$62,Worksheet!$BD$63)))))))))))),5),0)," ")</f>
        <v xml:space="preserve"> </v>
      </c>
      <c r="EG301" s="361" t="str">
        <f t="shared" si="868"/>
        <v xml:space="preserve"> </v>
      </c>
      <c r="EH301" s="361" t="e">
        <f ca="1">INDEX(INDIRECT(VLOOKUP(LEFT(BO301,7),CLU!$Z$3:$AH$18,7)),M301-1,3+LEFT(DZ301,1))</f>
        <v>#N/A</v>
      </c>
      <c r="EI301" s="362" t="str">
        <f t="shared" si="869"/>
        <v xml:space="preserve"> </v>
      </c>
      <c r="EJ301" s="363" t="str">
        <f t="shared" si="870"/>
        <v xml:space="preserve"> </v>
      </c>
      <c r="EK301" s="363" t="str">
        <f t="shared" si="871"/>
        <v xml:space="preserve"> </v>
      </c>
      <c r="EL301" s="363" t="str">
        <f t="shared" si="872"/>
        <v xml:space="preserve"> </v>
      </c>
      <c r="EM301" s="362" t="str">
        <f>IF(L301&gt;0,IF(BR301&gt;0,(Calculation!T301/ED301)^2,0)," ")</f>
        <v xml:space="preserve"> </v>
      </c>
      <c r="EN301" s="362" t="str">
        <f>IF(L301&gt;0,IF(O301="2 Pipe (Cooling)","N/A",IF(BR301&gt;0,(Calculation!U301/EI301)^2,0))," ")</f>
        <v xml:space="preserve"> </v>
      </c>
      <c r="EO301" s="361" t="str">
        <f t="shared" si="873"/>
        <v/>
      </c>
      <c r="EP301" s="361" t="str">
        <f t="shared" si="874"/>
        <v/>
      </c>
      <c r="EQ301" s="361" t="str">
        <f t="shared" si="875"/>
        <v/>
      </c>
      <c r="ER301" s="361" t="str">
        <f t="shared" si="876"/>
        <v/>
      </c>
      <c r="ES301" s="361" t="str">
        <f t="shared" si="877"/>
        <v/>
      </c>
      <c r="ET301" s="361" t="str">
        <f t="shared" si="878"/>
        <v/>
      </c>
      <c r="EU301" s="361" t="str">
        <f t="shared" si="879"/>
        <v/>
      </c>
      <c r="EV301" s="361" t="str">
        <f t="shared" si="880"/>
        <v/>
      </c>
      <c r="EW301" s="361" t="str">
        <f t="shared" si="881"/>
        <v/>
      </c>
      <c r="EX301" s="361" t="str">
        <f t="shared" si="971"/>
        <v>1 slot, 1 way</v>
      </c>
      <c r="EY301" s="361" t="str">
        <f t="shared" si="972"/>
        <v xml:space="preserve"> </v>
      </c>
      <c r="EZ301" s="361" t="str">
        <f t="shared" si="973"/>
        <v xml:space="preserve"> </v>
      </c>
      <c r="FA301" s="361" t="str">
        <f t="shared" si="974"/>
        <v xml:space="preserve"> </v>
      </c>
      <c r="FB301" s="361" t="str">
        <f t="shared" si="975"/>
        <v xml:space="preserve"> </v>
      </c>
      <c r="FC301" s="361"/>
      <c r="FD301" s="361" t="str">
        <f>IF(J301&gt;0,IF(Calculation!R301&lt;=70,4,IF(Calculation!R301&lt;=110,5,IF(Calculation!R301&lt;=160,6,IF(Calculation!R301&lt;=300,8,"10 EO")))),"")</f>
        <v/>
      </c>
      <c r="FE301" s="361" t="str">
        <f t="shared" si="976"/>
        <v/>
      </c>
      <c r="FF301" s="361" t="str">
        <f t="shared" si="977"/>
        <v/>
      </c>
      <c r="FG301" s="361" t="e">
        <f t="shared" si="882"/>
        <v>#N/A</v>
      </c>
      <c r="FH301" s="361">
        <f t="shared" si="883"/>
        <v>0</v>
      </c>
      <c r="FI301" s="361" t="e">
        <f t="shared" si="884"/>
        <v>#DIV/0!</v>
      </c>
      <c r="FJ301" s="361"/>
      <c r="FK301" s="356" t="e">
        <f t="shared" si="885"/>
        <v>#VALUE!</v>
      </c>
      <c r="FL301" s="361"/>
      <c r="FM301" s="361"/>
      <c r="FN301" s="362" t="str">
        <f t="shared" si="978"/>
        <v xml:space="preserve"> </v>
      </c>
      <c r="FO301" s="362" t="str">
        <f t="shared" si="979"/>
        <v xml:space="preserve"> </v>
      </c>
      <c r="FP301" s="362">
        <f t="shared" si="980"/>
        <v>0</v>
      </c>
      <c r="FQ301" s="361">
        <f t="shared" si="886"/>
        <v>0</v>
      </c>
      <c r="FR301" s="362" t="str">
        <f>IF(L301&gt;0,IF(J301="CBAL2",Worksheet!$P$67,IF(J301="CBE2-24",Worksheet!$Q$67,IF(J301="CBAM",Worksheet!$R$67,IF(J301="CBLV",Worksheet!$S$67,IF(J301="CBAB",Worksheet!$U$67,IF(J301="CBAW",Worksheet!$X$67,IF(J301="CBE2-12",Worksheet!$Y$67,IF(J301="CBAL2",Worksheet!$Z$67,"N/A"))))))))," ")</f>
        <v xml:space="preserve"> </v>
      </c>
      <c r="FS301" s="362" t="str">
        <f>IF(L301&gt;0,IF(J301="CBAL2",Worksheet!$P$68,IF(J301="CBE2-24",Worksheet!$Q$68,IF(J301="CBAM",Worksheet!$R$68,IF(J301="CBLV",Worksheet!$S$68,IF(J301="CBAB",Worksheet!$U$68,IF(J301="CBAW",Worksheet!$X$68,IF(J301="CBE2-12",Worksheet!$Y$68,IF(J301="CBAL2",Worksheet!$Z$68,"N/A"))))))))," ")</f>
        <v xml:space="preserve"> </v>
      </c>
      <c r="FT301" s="362" t="str">
        <f>IF(L301&gt;0,IF(J301="CBAL2",Worksheet!$P$69,IF(J301="CBE2-24",Worksheet!$Q$69,IF(J301="CBAM",Worksheet!$R$69,IF(J301="CBLV",Worksheet!$S$69,IF(J301="CBAB",Worksheet!$U$69,IF(J301="CBAW",Worksheet!$X$69,IF(J301="CBE2-12",Worksheet!$Y$69,IF(J301="CBAL2",Worksheet!$Z$69,"N/A"))))))))," ")</f>
        <v xml:space="preserve"> </v>
      </c>
      <c r="FU301" s="361" t="str">
        <f t="shared" si="981"/>
        <v xml:space="preserve"> </v>
      </c>
      <c r="FV301" s="362" t="str">
        <f t="shared" si="982"/>
        <v xml:space="preserve"> </v>
      </c>
      <c r="FW301" s="362" t="str">
        <f t="shared" si="983"/>
        <v xml:space="preserve"> </v>
      </c>
      <c r="FX301" s="362" t="str">
        <f t="shared" si="984"/>
        <v xml:space="preserve"> </v>
      </c>
      <c r="FY301" s="355" t="str">
        <f t="shared" si="985"/>
        <v xml:space="preserve"> </v>
      </c>
      <c r="FZ301" s="361" t="str">
        <f t="shared" si="986"/>
        <v xml:space="preserve"> </v>
      </c>
      <c r="GA301" s="347" t="str">
        <f t="shared" si="987"/>
        <v xml:space="preserve"> </v>
      </c>
      <c r="GB301" s="355" t="str">
        <f t="shared" si="988"/>
        <v xml:space="preserve"> </v>
      </c>
      <c r="GC301" s="328" t="str">
        <f t="shared" si="989"/>
        <v xml:space="preserve"> </v>
      </c>
      <c r="GD301" s="361" t="str">
        <f t="shared" si="990"/>
        <v xml:space="preserve"> </v>
      </c>
      <c r="GE301" s="347" t="str">
        <f t="shared" si="991"/>
        <v xml:space="preserve"> </v>
      </c>
      <c r="GF301" s="361" t="str">
        <f t="shared" si="992"/>
        <v xml:space="preserve"> </v>
      </c>
      <c r="GG301" s="347" t="str">
        <f t="shared" si="993"/>
        <v xml:space="preserve"> </v>
      </c>
      <c r="GH301" s="364">
        <f t="shared" si="887"/>
        <v>0</v>
      </c>
      <c r="GI301" s="362">
        <f t="shared" si="994"/>
        <v>2</v>
      </c>
      <c r="GJ301" s="433" t="e">
        <f>IF(6-COUNTBLANK(GT301:GY301)=4,MATCH(MID(BO301,9,3),CLU!$H$16:$K$16),MATCH(MID(BO301,9,3),CLU!$H$13:$M$13))</f>
        <v>#N/A</v>
      </c>
      <c r="GK301" s="433" t="e">
        <f>HLOOKUP(VALUE(BP301),CLU!$H$9:$M$10,2)</f>
        <v>#VALUE!</v>
      </c>
      <c r="GL301" s="433" t="e">
        <f ca="1">MATCH(BU301,CLU!$H$2:$V$2,1)</f>
        <v>#VALUE!</v>
      </c>
      <c r="GM301" s="433" t="e">
        <f t="shared" ca="1" si="995"/>
        <v>#VALUE!</v>
      </c>
      <c r="GN301" s="433" t="e">
        <f t="shared" ca="1" si="996"/>
        <v>#VALUE!</v>
      </c>
      <c r="GO301" s="433" t="e">
        <f t="shared" ca="1" si="997"/>
        <v>#VALUE!</v>
      </c>
      <c r="GP301" s="433" t="e">
        <f t="shared" ca="1" si="998"/>
        <v>#VALUE!</v>
      </c>
      <c r="GQ301" s="433" t="e">
        <f t="shared" ca="1" si="999"/>
        <v>#VALUE!</v>
      </c>
      <c r="GR301" s="433" t="e">
        <f ca="1">MATCH(T301,INDIRECT(VLOOKUP(CONCATENATE(LEFT(BO301,7),"-",MID(BO301,13,1)),CLU!$P$3:$Q$16,2)),1)</f>
        <v>#N/A</v>
      </c>
      <c r="GS301" s="433" t="e">
        <f ca="1">MATCH(U301,INDIRECT(VLOOKUP(CONCATENATE(LEFT(BO301,7),"-",MID(BO301,13,1)),CLU!$P$3:$Q$16,2)),1)</f>
        <v>#N/A</v>
      </c>
      <c r="GT301" s="347" t="s">
        <v>512</v>
      </c>
      <c r="GU301" s="97" t="s">
        <v>513</v>
      </c>
      <c r="GV301" s="97" t="str">
        <f t="shared" si="1000"/>
        <v>M23</v>
      </c>
      <c r="GW301" s="97" t="str">
        <f t="shared" si="1001"/>
        <v>M31</v>
      </c>
      <c r="GX301" s="97" t="str">
        <f t="shared" si="1002"/>
        <v/>
      </c>
      <c r="GY301" s="97" t="str">
        <f t="shared" si="1003"/>
        <v/>
      </c>
      <c r="GZ301" s="481"/>
      <c r="HA301" s="240"/>
      <c r="HB301" s="240"/>
      <c r="HC301" s="240"/>
      <c r="HD301" s="240"/>
      <c r="HE301" s="240"/>
      <c r="HF301" s="240"/>
      <c r="HG301" s="240"/>
      <c r="HH301" s="240"/>
      <c r="HI301" s="240"/>
      <c r="HJ301" s="240"/>
      <c r="HK301" s="240"/>
      <c r="HL301" s="240"/>
      <c r="HM301" s="240"/>
      <c r="HN301" s="240"/>
      <c r="HO301" s="240"/>
      <c r="HP301" s="240"/>
      <c r="HQ301" s="240"/>
      <c r="HR301" s="240"/>
      <c r="HS301" s="240"/>
      <c r="HT301" s="240"/>
      <c r="HU301" s="240"/>
      <c r="HV301" s="245"/>
      <c r="HW301" s="245" t="b">
        <v>1</v>
      </c>
      <c r="HX301" s="245" t="str">
        <f t="shared" si="888"/>
        <v/>
      </c>
      <c r="HY301" s="245" t="e">
        <f t="shared" si="889"/>
        <v>#DIV/0!</v>
      </c>
      <c r="HZ301" s="245" t="e">
        <f t="shared" si="890"/>
        <v>#DIV/0!</v>
      </c>
      <c r="IA301" s="245">
        <f t="shared" si="891"/>
        <v>0</v>
      </c>
      <c r="IB301" s="245"/>
      <c r="IC301" t="b">
        <f t="shared" si="892"/>
        <v>1</v>
      </c>
      <c r="ID301" s="245" t="b">
        <f t="shared" si="893"/>
        <v>1</v>
      </c>
      <c r="IE301" s="245" t="b">
        <f t="shared" si="894"/>
        <v>1</v>
      </c>
      <c r="IF301" s="245" t="b">
        <f t="shared" si="895"/>
        <v>0</v>
      </c>
      <c r="IG301" s="245" t="b">
        <f t="shared" si="896"/>
        <v>1</v>
      </c>
      <c r="IH301" s="245" t="b">
        <f t="shared" si="897"/>
        <v>1</v>
      </c>
      <c r="II301" s="245">
        <f t="shared" si="1004"/>
        <v>0</v>
      </c>
      <c r="IJ301" s="245" t="e">
        <f t="shared" si="898"/>
        <v>#VALUE!</v>
      </c>
      <c r="IK301" s="245" t="e">
        <f t="shared" si="899"/>
        <v>#VALUE!</v>
      </c>
      <c r="IL301" s="245"/>
      <c r="IM301" s="245" t="e">
        <f t="shared" si="1005"/>
        <v>#N/A</v>
      </c>
      <c r="IN301" s="245" t="e">
        <f t="shared" si="1006"/>
        <v>#N/A</v>
      </c>
      <c r="IO301" s="245"/>
      <c r="IP301" s="245"/>
      <c r="IQ301" s="245" t="str">
        <f t="shared" si="900"/>
        <v/>
      </c>
      <c r="IR301" s="245" t="str">
        <f>IF(J301="","",VLOOKUP(J301,Worksheet!$R$4:$T$14,2))</f>
        <v/>
      </c>
      <c r="IS301" s="245"/>
      <c r="IT301" s="245">
        <f t="shared" si="901"/>
        <v>0</v>
      </c>
      <c r="IU301" s="245">
        <f t="shared" si="902"/>
        <v>0</v>
      </c>
      <c r="IV301" s="245">
        <f t="shared" si="903"/>
        <v>0</v>
      </c>
      <c r="IW301" s="245">
        <f t="shared" si="904"/>
        <v>0</v>
      </c>
      <c r="IX301" s="245">
        <f t="shared" si="1007"/>
        <v>0</v>
      </c>
      <c r="IY301" s="245">
        <f t="shared" si="905"/>
        <v>0</v>
      </c>
      <c r="IZ301" s="245">
        <f t="shared" si="906"/>
        <v>0</v>
      </c>
      <c r="JA301">
        <f t="shared" si="907"/>
        <v>0</v>
      </c>
      <c r="JB301">
        <f t="shared" si="1008"/>
        <v>0</v>
      </c>
      <c r="JC301">
        <f t="shared" si="908"/>
        <v>0</v>
      </c>
      <c r="JD301">
        <f t="shared" si="909"/>
        <v>0</v>
      </c>
      <c r="JE301">
        <f t="shared" si="910"/>
        <v>0</v>
      </c>
      <c r="JF301">
        <f t="shared" si="911"/>
        <v>0</v>
      </c>
      <c r="JG301">
        <f t="shared" si="912"/>
        <v>0</v>
      </c>
      <c r="JH301">
        <f t="shared" si="913"/>
        <v>0</v>
      </c>
      <c r="JI301">
        <f t="shared" si="914"/>
        <v>0</v>
      </c>
      <c r="JJ301" s="447">
        <f t="shared" si="915"/>
        <v>0</v>
      </c>
      <c r="JK301" s="447">
        <f t="shared" si="916"/>
        <v>0</v>
      </c>
      <c r="JL301">
        <f t="shared" si="917"/>
        <v>0</v>
      </c>
      <c r="JM301" s="245" t="str">
        <f>IFERROR(VLOOKUP(MATCH(BN301,#REF!,0),#REF!,7),"")</f>
        <v/>
      </c>
      <c r="JN301" t="e">
        <f>HLOOKUP(LEFT(BO301,7),Discharge_Area,MATCH(JO301,LookUps!$B$130:$B$149,1)+2)</f>
        <v>#N/A</v>
      </c>
      <c r="JO301" t="str">
        <f t="shared" si="918"/>
        <v>- S</v>
      </c>
      <c r="JP301" t="e">
        <f>HLOOKUP(LEFT(BO301,7),Discharge_Area,MATCH(JO301,LookUps!$B$130:$B$149,1)+2)</f>
        <v>#N/A</v>
      </c>
      <c r="JQ301" t="e">
        <f t="shared" si="919"/>
        <v>#N/A</v>
      </c>
      <c r="JR301" t="e">
        <f t="shared" si="920"/>
        <v>#N/A</v>
      </c>
      <c r="JS301" t="e">
        <f t="shared" si="921"/>
        <v>#N/A</v>
      </c>
      <c r="JT301" s="532" t="str">
        <f t="shared" si="922"/>
        <v xml:space="preserve"> </v>
      </c>
      <c r="JU301" s="532" t="str">
        <f t="shared" si="923"/>
        <v xml:space="preserve"> </v>
      </c>
      <c r="JV301" s="533" t="str">
        <f t="shared" si="924"/>
        <v xml:space="preserve"> </v>
      </c>
      <c r="JW301" s="534">
        <f t="shared" si="925"/>
        <v>0</v>
      </c>
      <c r="JX301" s="535" t="str">
        <f t="shared" si="1009"/>
        <v xml:space="preserve"> </v>
      </c>
      <c r="JY301" s="535" t="str">
        <f t="shared" si="1010"/>
        <v xml:space="preserve"> </v>
      </c>
      <c r="JZ301" s="535" t="str">
        <f t="shared" si="1011"/>
        <v xml:space="preserve"> </v>
      </c>
      <c r="KA301" s="536" t="str">
        <f t="shared" si="926"/>
        <v xml:space="preserve"> </v>
      </c>
      <c r="KB301" s="535" t="e">
        <f t="shared" si="1012"/>
        <v>#VALUE!</v>
      </c>
      <c r="KC301" s="535" t="str">
        <f t="shared" si="927"/>
        <v/>
      </c>
      <c r="KD301" s="537" t="str">
        <f t="shared" si="1013"/>
        <v xml:space="preserve"> </v>
      </c>
      <c r="KE301" s="537" t="str">
        <f t="shared" si="1014"/>
        <v xml:space="preserve"> </v>
      </c>
      <c r="KF301" s="534">
        <f t="shared" si="928"/>
        <v>0</v>
      </c>
      <c r="KG301" s="535" t="str">
        <f t="shared" si="929"/>
        <v xml:space="preserve"> </v>
      </c>
      <c r="KH301" s="535" t="str">
        <f t="shared" si="930"/>
        <v xml:space="preserve"> </v>
      </c>
      <c r="KI301" s="535" t="str">
        <f t="shared" si="931"/>
        <v xml:space="preserve"> </v>
      </c>
      <c r="KJ301" s="536" t="str">
        <f t="shared" si="932"/>
        <v xml:space="preserve"> </v>
      </c>
      <c r="KK301" s="535" t="str">
        <f t="shared" si="1015"/>
        <v xml:space="preserve"> </v>
      </c>
      <c r="KL301" s="535" t="str">
        <f t="shared" si="1016"/>
        <v xml:space="preserve"> </v>
      </c>
      <c r="KM301" s="537" t="str">
        <f t="shared" si="933"/>
        <v xml:space="preserve"> </v>
      </c>
      <c r="KN301" s="537" t="str">
        <f t="shared" si="1017"/>
        <v xml:space="preserve"> </v>
      </c>
      <c r="KP301">
        <f t="shared" si="934"/>
        <v>0</v>
      </c>
      <c r="LA301" t="e">
        <f t="shared" si="935"/>
        <v>#VALUE!</v>
      </c>
      <c r="LB301" t="e">
        <f t="shared" si="936"/>
        <v>#VALUE!</v>
      </c>
      <c r="LC301" t="e">
        <f t="shared" si="937"/>
        <v>#VALUE!</v>
      </c>
      <c r="LD301" t="e">
        <f t="shared" si="938"/>
        <v>#VALUE!</v>
      </c>
      <c r="LE301" t="e">
        <f t="shared" si="1018"/>
        <v>#VALUE!</v>
      </c>
      <c r="LF301">
        <f t="shared" si="939"/>
        <v>0</v>
      </c>
      <c r="LG301" t="e">
        <f t="shared" si="1019"/>
        <v>#VALUE!</v>
      </c>
      <c r="LH301" t="str">
        <f t="shared" si="940"/>
        <v xml:space="preserve"> </v>
      </c>
      <c r="LI301">
        <f t="shared" si="1020"/>
        <v>1</v>
      </c>
    </row>
    <row r="302" spans="2:321" ht="15" customHeight="1">
      <c r="B302" s="311"/>
      <c r="C302" s="311"/>
      <c r="D302" s="312"/>
      <c r="E302" s="311"/>
      <c r="F302" s="312"/>
      <c r="G302" s="311"/>
      <c r="H302" s="311"/>
      <c r="I302" s="232"/>
      <c r="J302" s="311"/>
      <c r="K302" s="305" t="str">
        <f t="shared" si="941"/>
        <v/>
      </c>
      <c r="L302" s="313"/>
      <c r="M302" s="312"/>
      <c r="N302" s="311"/>
      <c r="O302" s="312"/>
      <c r="P302" s="311"/>
      <c r="Q302" s="305" t="str">
        <f t="shared" si="942"/>
        <v/>
      </c>
      <c r="R302" s="314"/>
      <c r="S302" s="450" t="str">
        <f t="shared" si="825"/>
        <v/>
      </c>
      <c r="T302" s="315"/>
      <c r="U302" s="315"/>
      <c r="W302" s="149" t="str">
        <f t="shared" si="826"/>
        <v xml:space="preserve"> </v>
      </c>
      <c r="X302" s="243" t="str">
        <f t="shared" si="827"/>
        <v xml:space="preserve"> </v>
      </c>
      <c r="Y302" s="150" t="str">
        <f t="shared" si="828"/>
        <v/>
      </c>
      <c r="Z302" s="149" t="str">
        <f t="shared" si="829"/>
        <v xml:space="preserve"> </v>
      </c>
      <c r="AA302" s="98" t="str">
        <f t="shared" si="830"/>
        <v xml:space="preserve"> </v>
      </c>
      <c r="AB302" s="153" t="str">
        <f t="shared" si="831"/>
        <v xml:space="preserve"> </v>
      </c>
      <c r="AC302" s="153" t="str">
        <f t="shared" si="832"/>
        <v xml:space="preserve"> </v>
      </c>
      <c r="AD302" s="148" t="str">
        <f t="shared" si="833"/>
        <v/>
      </c>
      <c r="AE302" s="149" t="str">
        <f t="shared" si="834"/>
        <v/>
      </c>
      <c r="AF302" s="151" t="str">
        <f t="shared" si="835"/>
        <v xml:space="preserve"> </v>
      </c>
      <c r="AG302" s="153" t="str">
        <f t="shared" si="836"/>
        <v xml:space="preserve"> </v>
      </c>
      <c r="AH302" s="98" t="str">
        <f t="shared" si="837"/>
        <v xml:space="preserve"> </v>
      </c>
      <c r="AI302" s="149" t="str">
        <f t="shared" si="838"/>
        <v xml:space="preserve"> </v>
      </c>
      <c r="AK302" s="144" t="str">
        <f t="shared" si="839"/>
        <v xml:space="preserve"> </v>
      </c>
      <c r="AL302" s="144"/>
      <c r="AM302" s="243" t="str">
        <f t="shared" si="840"/>
        <v xml:space="preserve"> </v>
      </c>
      <c r="AN302" s="149" t="str">
        <f t="shared" si="943"/>
        <v xml:space="preserve"> </v>
      </c>
      <c r="AO302" s="144" t="str">
        <f>IF(JB302&gt;0,IF(GI302=10,-R302*1.085*(Calculation!$F$6-Calculation!$F$13)*$S$14," "),"")</f>
        <v/>
      </c>
      <c r="AP302" s="144" t="str">
        <f t="shared" si="841"/>
        <v/>
      </c>
      <c r="AQ302" s="56" t="str">
        <f t="shared" si="842"/>
        <v/>
      </c>
      <c r="AR302" s="144" t="str">
        <f t="shared" si="843"/>
        <v/>
      </c>
      <c r="AS302" s="176" t="str">
        <f t="shared" si="844"/>
        <v/>
      </c>
      <c r="AT302" s="176" t="str">
        <f t="shared" si="944"/>
        <v xml:space="preserve"> </v>
      </c>
      <c r="AU302" s="176" t="str">
        <f t="shared" si="845"/>
        <v/>
      </c>
      <c r="AV302" s="177" t="str">
        <f t="shared" si="846"/>
        <v xml:space="preserve"> </v>
      </c>
      <c r="AW302" s="144" t="str">
        <f t="shared" si="847"/>
        <v xml:space="preserve"> </v>
      </c>
      <c r="AX302" s="144" t="str">
        <f t="shared" si="848"/>
        <v xml:space="preserve"> </v>
      </c>
      <c r="AY302" s="152" t="str">
        <f t="shared" si="849"/>
        <v xml:space="preserve"> </v>
      </c>
      <c r="AZ302" s="246" t="str">
        <f t="shared" si="850"/>
        <v/>
      </c>
      <c r="BA302" s="176" t="str">
        <f t="shared" si="851"/>
        <v xml:space="preserve"> </v>
      </c>
      <c r="BB302" s="176" t="str">
        <f t="shared" si="852"/>
        <v xml:space="preserve"> </v>
      </c>
      <c r="BC302" s="195"/>
      <c r="BD302" s="316"/>
      <c r="BE302" s="317"/>
      <c r="BF302" s="318"/>
      <c r="BG302" s="318"/>
      <c r="BH302" s="144" t="str">
        <f t="shared" si="1021"/>
        <v xml:space="preserve"> </v>
      </c>
      <c r="BI302" s="176" t="str">
        <f t="shared" si="853"/>
        <v/>
      </c>
      <c r="BJ302" s="144" t="str">
        <f t="shared" si="1022"/>
        <v/>
      </c>
      <c r="BK302" s="246" t="str">
        <f t="shared" si="854"/>
        <v/>
      </c>
      <c r="BL302" s="144" t="str">
        <f t="shared" si="1023"/>
        <v/>
      </c>
      <c r="BM302" s="246" t="str">
        <f t="shared" si="855"/>
        <v/>
      </c>
      <c r="BN302" s="337" t="str">
        <f t="shared" si="945"/>
        <v/>
      </c>
      <c r="BO302" s="371" t="str">
        <f t="shared" si="946"/>
        <v/>
      </c>
      <c r="BP302" s="328" t="str">
        <f t="shared" si="1024"/>
        <v xml:space="preserve"> </v>
      </c>
      <c r="BQ302" s="347" t="str">
        <f t="shared" si="947"/>
        <v xml:space="preserve"> </v>
      </c>
      <c r="BR302" s="353" t="str">
        <f t="shared" si="948"/>
        <v xml:space="preserve"> </v>
      </c>
      <c r="BS302" s="626" t="str">
        <f>IF(L302&gt;0,IF(Calculation!P302="M13",BR302*3.1416*(0.134^2)/(4*144),IF(Calculation!P302="M17",BR302*3.1416*(0.165^2)/(4*144),IF(Calculation!P302="M20",BR302*3.1416*(0.198^2)/(4*144),IF(Calculation!P302="M23",BR302*3.1416*(0.228^2)/(4*144),IF(Calculation!P302="M27",BR302*3.1416*(0.269^2)/(4*144),BR302*3.1416*(0.307^2)/(4*144))))))," ")</f>
        <v xml:space="preserve"> </v>
      </c>
      <c r="BT302" s="353" t="str">
        <f>IF(L302&gt;0,IF(BS302&gt;0,R302/Calculation!BS302,0)," ")</f>
        <v xml:space="preserve"> </v>
      </c>
      <c r="BU302" s="438" t="e">
        <f t="shared" ca="1" si="856"/>
        <v>#VALUE!</v>
      </c>
      <c r="BV302" s="449" t="e">
        <f ca="1">INDEX(INDIRECT(VLOOKUP(LEFT(BO302,7),CLU!$Z$3:$AH$18,2)),GN302,GR302)</f>
        <v>#N/A</v>
      </c>
      <c r="BW302" s="433" t="e">
        <f ca="1">INDEX(INDIRECT(VLOOKUP(LEFT(BO302,7),CLU!$Z$3:$AH$18,3)),GN302,GR302)</f>
        <v>#N/A</v>
      </c>
      <c r="BX302" s="433" t="e">
        <f ca="1">INDEX(INDIRECT(VLOOKUP(LEFT(BO302,7),CLU!$Z$3:$AH$18,4)),GN302,GR302)</f>
        <v>#N/A</v>
      </c>
      <c r="BY302" s="433" t="e">
        <f ca="1">INDEX(INDIRECT(VLOOKUP(LEFT(BO302,7),CLU!$Z$3:$AH$18,9)),((M302-2)*(6-COUNTBLANK(GT302:GY302)))+GJ302)</f>
        <v>#N/A</v>
      </c>
      <c r="BZ302" s="426" t="e">
        <f t="shared" ca="1" si="949"/>
        <v>#N/A</v>
      </c>
      <c r="CA302" s="424" t="e">
        <f t="shared" ca="1" si="950"/>
        <v>#N/A</v>
      </c>
      <c r="CB302" s="429" t="e">
        <f ca="1">INDEX(INDIRECT(VLOOKUP(LEFT(BO302,7),CLU!$Z$3:$AH$18,2)),GN302,GS302)</f>
        <v>#N/A</v>
      </c>
      <c r="CC302" s="342" t="e">
        <f ca="1">INDEX(INDIRECT(VLOOKUP(LEFT(BO302,7),CLU!$Z$3:$AH$18,3)),GN302,GS302)</f>
        <v>#N/A</v>
      </c>
      <c r="CD302" s="342" t="e">
        <f ca="1">INDEX(INDIRECT(VLOOKUP(LEFT(BO302,7),CLU!$Z$3:$AH$18,4)),GN302,GS302)</f>
        <v>#N/A</v>
      </c>
      <c r="CE302" s="426" t="e">
        <f t="shared" ca="1" si="951"/>
        <v>#N/A</v>
      </c>
      <c r="CF302" s="440">
        <f t="shared" si="952"/>
        <v>0</v>
      </c>
      <c r="CG302" s="431" t="e">
        <f ca="1">INDEX(INDIRECT(VLOOKUP(LEFT(BO302,7),CLU!$Z$3:$AH$18,2)),GQ302,GR302)</f>
        <v>#N/A</v>
      </c>
      <c r="CH302" s="431" t="e">
        <f ca="1">INDEX(INDIRECT(VLOOKUP(LEFT(BO302,7),CLU!$Z$3:$AH$18,3)),GQ302,GR302)</f>
        <v>#N/A</v>
      </c>
      <c r="CI302" s="431" t="e">
        <f ca="1">INDEX(INDIRECT(VLOOKUP(LEFT(BO302,7),CLU!$Z$3:$AH$18,4)),GQ302,GR302)</f>
        <v>#N/A</v>
      </c>
      <c r="CJ302" s="448" t="e">
        <f t="shared" ca="1" si="953"/>
        <v>#N/A</v>
      </c>
      <c r="CK302" s="431" t="e">
        <f t="shared" ca="1" si="954"/>
        <v>#N/A</v>
      </c>
      <c r="CL302" s="440" t="e">
        <f t="shared" ca="1" si="955"/>
        <v>#N/A</v>
      </c>
      <c r="CM302" s="431" t="e">
        <f ca="1">INDEX(INDIRECT(VLOOKUP(LEFT(BO302,7),CLU!$Z$3:$AH$18,2)),GQ302,GS302)</f>
        <v>#N/A</v>
      </c>
      <c r="CN302" s="431" t="e">
        <f ca="1">INDEX(INDIRECT(VLOOKUP(LEFT(BO302,7),CLU!$Z$3:$AH$18,3)),GQ302,GS302)</f>
        <v>#N/A</v>
      </c>
      <c r="CO302" s="431" t="e">
        <f ca="1">INDEX(INDIRECT(VLOOKUP(LEFT(BO302,7),CLU!$Z$3:$AH$18,4)),GQ302,GS302)</f>
        <v>#N/A</v>
      </c>
      <c r="CP302" s="431" t="e">
        <f t="shared" ca="1" si="956"/>
        <v>#N/A</v>
      </c>
      <c r="CQ302" s="440">
        <f t="shared" si="957"/>
        <v>0</v>
      </c>
      <c r="CR302" s="51" t="e">
        <f t="shared" ca="1" si="958"/>
        <v>#N/A</v>
      </c>
      <c r="CS302" s="439" t="e">
        <f t="shared" ca="1" si="959"/>
        <v>#VALUE!</v>
      </c>
      <c r="CT302" s="51" t="e">
        <f t="shared" ca="1" si="960"/>
        <v>#VALUE!</v>
      </c>
      <c r="CU302" s="10"/>
      <c r="CV302" s="51" t="e">
        <f t="shared" ca="1" si="857"/>
        <v>#VALUE!</v>
      </c>
      <c r="CW302" s="51">
        <f t="shared" si="961"/>
        <v>0</v>
      </c>
      <c r="CX302" s="439" t="e">
        <f t="shared" ca="1" si="962"/>
        <v>#VALUE!</v>
      </c>
      <c r="CY302" s="51" t="e">
        <f t="shared" ca="1" si="963"/>
        <v>#VALUE!</v>
      </c>
      <c r="CZ302" s="10"/>
      <c r="DA302" s="51" t="e">
        <f t="shared" ca="1" si="964"/>
        <v>#VALUE!</v>
      </c>
      <c r="DB302" s="347" t="e">
        <f ca="1">INDEX(INDIRECT(VLOOKUP(LEFT(BO302,7),CLU!$Z$3:$AI$18,10)),((M302-2)*(6-COUNTBLANK(GT302:GY302)))+GJ302)*LI302</f>
        <v>#N/A</v>
      </c>
      <c r="DC302" s="347" t="str">
        <f>IF(L302&gt;0,((R302/Worksheet!$I$15)/DB302)^2," ")</f>
        <v xml:space="preserve"> </v>
      </c>
      <c r="DD302" s="602" t="str">
        <f t="shared" si="965"/>
        <v xml:space="preserve"> </v>
      </c>
      <c r="DE302" s="347" t="str">
        <f t="shared" si="858"/>
        <v xml:space="preserve"> </v>
      </c>
      <c r="DF302" s="356" t="e">
        <f ca="1">INDEX(INDIRECT(VLOOKUP(LEFT(BO302,7),CLU!$Z$3:$AH$18,8)),((M302-2)*(6-COUNTBLANK(GT302:GY302)))+GJ302)</f>
        <v>#N/A</v>
      </c>
      <c r="DG302" s="347" t="str">
        <f t="shared" si="859"/>
        <v xml:space="preserve"> </v>
      </c>
      <c r="DH302" s="357" t="str">
        <f t="shared" si="860"/>
        <v xml:space="preserve"> </v>
      </c>
      <c r="DI302" s="355" t="str">
        <f t="shared" si="861"/>
        <v xml:space="preserve"> </v>
      </c>
      <c r="DJ302" s="245" t="e">
        <f ca="1">INDEX(INDIRECT(VLOOKUP(LEFT(BO302,7),CLU!$Z$3:$AH$18,5)),GL302,GK302)</f>
        <v>#N/A</v>
      </c>
      <c r="DK302" s="245" t="e">
        <f ca="1">INDEX(INDIRECT(VLOOKUP(LEFT(BO302,7),CLU!$Z$3:$AH$18,6)),GL302,GK302)</f>
        <v>#N/A</v>
      </c>
      <c r="DL302" s="355">
        <f>(Calculation!R302*0.69143*(Calculation!$BQ$8-Calculation!$F$8))*$S$14</f>
        <v>0</v>
      </c>
      <c r="DM302" s="359" t="e">
        <f t="shared" si="966"/>
        <v>#VALUE!</v>
      </c>
      <c r="DN302" s="611">
        <f t="shared" si="967"/>
        <v>0</v>
      </c>
      <c r="DO302" s="359">
        <f t="shared" si="968"/>
        <v>100</v>
      </c>
      <c r="DP302" s="359">
        <f t="shared" si="969"/>
        <v>0</v>
      </c>
      <c r="DQ302" s="360"/>
      <c r="DR302" s="245" t="e">
        <f ca="1">INDEX(INDIRECT(VLOOKUP(LEFT(BO302,7),CLU!$Z$3:$AH$18,7)),M302-1,1)</f>
        <v>#N/A</v>
      </c>
      <c r="DS302" s="245" t="e">
        <f ca="1">INDEX(INDIRECT(VLOOKUP(LEFT(BO302,7),CLU!$Z$3:$AH$18,7)),M302-1,2)</f>
        <v>#N/A</v>
      </c>
      <c r="DT302" s="245" t="e">
        <f ca="1">INDEX(INDIRECT(VLOOKUP(LEFT(BO302,7),CLU!$Z$3:$AH$18,7)),M302-1,3)</f>
        <v>#N/A</v>
      </c>
      <c r="DU302" s="245" t="e">
        <f ca="1">INDEX(INDIRECT(VLOOKUP(LEFT(BO302,7),CLU!$Z$3:$AH$18,7)),M302-1,4)</f>
        <v>#N/A</v>
      </c>
      <c r="DV302" s="361" t="e">
        <f ca="1">INDEX(INDIRECT(VLOOKUP(LEFT(BO302,7),CLU!$Z$3:$AH$18,7)),M302-1,4+LEFT(DZ302,1)*0.5)</f>
        <v>#N/A</v>
      </c>
      <c r="DW302" s="245" t="e">
        <f ca="1">INDEX(INDIRECT(VLOOKUP(LEFT(BO302,7),CLU!$Z$3:$AH$18,7)),M302-1,8)</f>
        <v>#N/A</v>
      </c>
      <c r="DX302" s="361" t="str">
        <f t="shared" si="862"/>
        <v xml:space="preserve"> </v>
      </c>
      <c r="DY302" s="361" t="str">
        <f t="shared" si="863"/>
        <v xml:space="preserve"> </v>
      </c>
      <c r="DZ302" s="361" t="str">
        <f t="shared" si="864"/>
        <v xml:space="preserve"> </v>
      </c>
      <c r="EA302" s="362" t="str">
        <f t="shared" si="865"/>
        <v xml:space="preserve"> </v>
      </c>
      <c r="EB302" s="624" t="str">
        <f t="shared" si="970"/>
        <v xml:space="preserve"> </v>
      </c>
      <c r="EC302" s="361" t="e">
        <f ca="1">INDEX(INDIRECT(VLOOKUP(LEFT(BO302,7),CLU!$Z$3:$AH$18,7)),M302-1,4+LEFT(DZ302,1)*0.5)</f>
        <v>#N/A</v>
      </c>
      <c r="ED302" s="362" t="str">
        <f t="shared" si="866"/>
        <v xml:space="preserve"> </v>
      </c>
      <c r="EE302" s="361" t="str">
        <f t="shared" si="867"/>
        <v xml:space="preserve"> </v>
      </c>
      <c r="EF302" s="362" t="str">
        <f>IF(L302&gt;0,IF(BR302&gt;0,IF(EE302="2P",IF(Calculation!DZ302="2P",IF(Calculation!DS302=13.75,IF(Calculation!DR302=13,Worksheet!$BD$43,IF(Calculation!DR302=37,Worksheet!$BD$44,Worksheet!$BD$45)),IF(Calculation!DS302=10,IF(Calculation!DR302=18,Worksheet!$BD$29,IF(Calculation!DR302=30,Worksheet!$BD$30,IF(Calculation!DR302=42,Worksheet!$BD$31,IF(Calculation!DR302=54,Worksheet!$BD$32,IF(Calculation!DR302=66,Worksheet!$BD$33,IF(Calculation!DR302=78,Worksheet!$BD$34,IF(Calculation!DR302=90,Worksheet!$BD$35,IF(Calculation!DR302=102,Worksheet!$BD$36,Worksheet!$BD$37)))))))),IF(Calculation!DS302=12.5,IF(Calculation!DR302=18,Worksheet!$BD$38,IF(Calculation!DR302=Worksheet!$BD$39,IF(Calculation!DR302=42,Worksheet!$BD$40,IF(Calculation!DR302=54,Worksheet!$BD$41,Worksheet!$BD$42)))),IF(Calculation!DR302=18,Worksheet!$BD$11,IF(Calculation!DR302=30,Worksheet!$BD$12,IF(Calculation!DR302=42,Worksheet!$BD$13,IF(Calculation!DR302=54,Worksheet!$BD$14,IF(Calculation!DR302=66,Worksheet!$BD$15,IF(Calculation!DR302=78,Worksheet!$BD$16,IF(Calculation!DR302=90,Worksheet!$BD$17,IF(Calculation!DR302=102,Worksheet!$BD$18,Worksheet!$BD$19))))))))))),IF(Calculation!DS302=13.75,IF(Calculation!DR302=13,Worksheet!$BD$78,IF(Calculation!DR302=37,Worksheet!$BD$79,Worksheet!$BD$80)),IF(Calculation!DS302=10,IF(Calculation!DR302=18,Worksheet!$BD$64,IF(Calculation!DR302=30,Worksheet!$BD$65,IF(Calculation!DR302=42,Worksheet!$BD$66,IF(Calculation!DR302=54,Worksheet!$BD$68,IF(Calculation!DR302=66,Worksheet!$BD$68,IF(Calculation!DR302=78,Worksheet!$BD$69,IF(Calculation!DR302=90,Worksheet!$BD$70,IF(Calculation!DR302=102,Worksheet!$BD$71,Worksheet!$BD$72)))))))),IF(Calculation!DS302=12.5,IF(Calculation!DR302=18,Worksheet!$BD$73,IF(Calculation!DR302=Worksheet!$BD$74,IF(Calculation!DR302=42,Worksheet!$BD$75,IF(Calculation!DR302=54,Worksheet!$BD$76,Worksheet!$BD$77)))),IF(Calculation!DR302=18,Worksheet!$BD$55,IF(Calculation!DR302=30,Worksheet!$BD$56,IF(Calculation!DR302=42,Worksheet!$BD$57,IF(Calculation!DR302=54,Worksheet!$BD$58,IF(Calculation!DR302=66,Worksheet!$BD$59,IF(Calculation!DR302=78,Worksheet!$BD$60,IF(Calculation!DR302=90,Worksheet!$BD$61,IF(Calculation!DR302=102,Worksheet!$BD$62,Worksheet!$BD$63)))))))))))),5),0)," ")</f>
        <v xml:space="preserve"> </v>
      </c>
      <c r="EG302" s="361" t="str">
        <f t="shared" si="868"/>
        <v xml:space="preserve"> </v>
      </c>
      <c r="EH302" s="361" t="e">
        <f ca="1">INDEX(INDIRECT(VLOOKUP(LEFT(BO302,7),CLU!$Z$3:$AH$18,7)),M302-1,3+LEFT(DZ302,1))</f>
        <v>#N/A</v>
      </c>
      <c r="EI302" s="362" t="str">
        <f t="shared" si="869"/>
        <v xml:space="preserve"> </v>
      </c>
      <c r="EJ302" s="363" t="str">
        <f t="shared" si="870"/>
        <v xml:space="preserve"> </v>
      </c>
      <c r="EK302" s="363" t="str">
        <f t="shared" si="871"/>
        <v xml:space="preserve"> </v>
      </c>
      <c r="EL302" s="363" t="str">
        <f t="shared" si="872"/>
        <v xml:space="preserve"> </v>
      </c>
      <c r="EM302" s="362" t="str">
        <f>IF(L302&gt;0,IF(BR302&gt;0,(Calculation!T302/ED302)^2,0)," ")</f>
        <v xml:space="preserve"> </v>
      </c>
      <c r="EN302" s="362" t="str">
        <f>IF(L302&gt;0,IF(O302="2 Pipe (Cooling)","N/A",IF(BR302&gt;0,(Calculation!U302/EI302)^2,0))," ")</f>
        <v xml:space="preserve"> </v>
      </c>
      <c r="EO302" s="361" t="str">
        <f t="shared" si="873"/>
        <v/>
      </c>
      <c r="EP302" s="361" t="str">
        <f t="shared" si="874"/>
        <v/>
      </c>
      <c r="EQ302" s="361" t="str">
        <f t="shared" si="875"/>
        <v/>
      </c>
      <c r="ER302" s="361" t="str">
        <f t="shared" si="876"/>
        <v/>
      </c>
      <c r="ES302" s="361" t="str">
        <f t="shared" si="877"/>
        <v/>
      </c>
      <c r="ET302" s="361" t="str">
        <f t="shared" si="878"/>
        <v/>
      </c>
      <c r="EU302" s="361" t="str">
        <f t="shared" si="879"/>
        <v/>
      </c>
      <c r="EV302" s="361" t="str">
        <f t="shared" si="880"/>
        <v/>
      </c>
      <c r="EW302" s="361" t="str">
        <f t="shared" si="881"/>
        <v/>
      </c>
      <c r="EX302" s="361" t="str">
        <f t="shared" si="971"/>
        <v>1 slot, 1 way</v>
      </c>
      <c r="EY302" s="361" t="str">
        <f t="shared" si="972"/>
        <v xml:space="preserve"> </v>
      </c>
      <c r="EZ302" s="361" t="str">
        <f t="shared" si="973"/>
        <v xml:space="preserve"> </v>
      </c>
      <c r="FA302" s="361" t="str">
        <f t="shared" si="974"/>
        <v xml:space="preserve"> </v>
      </c>
      <c r="FB302" s="361" t="str">
        <f t="shared" si="975"/>
        <v xml:space="preserve"> </v>
      </c>
      <c r="FC302" s="361"/>
      <c r="FD302" s="361" t="str">
        <f>IF(J302&gt;0,IF(Calculation!R302&lt;=70,4,IF(Calculation!R302&lt;=110,5,IF(Calculation!R302&lt;=160,6,IF(Calculation!R302&lt;=300,8,"10 EO")))),"")</f>
        <v/>
      </c>
      <c r="FE302" s="361" t="str">
        <f t="shared" si="976"/>
        <v/>
      </c>
      <c r="FF302" s="361" t="str">
        <f t="shared" si="977"/>
        <v/>
      </c>
      <c r="FG302" s="361" t="e">
        <f t="shared" si="882"/>
        <v>#N/A</v>
      </c>
      <c r="FH302" s="361">
        <f t="shared" si="883"/>
        <v>0</v>
      </c>
      <c r="FI302" s="361" t="e">
        <f t="shared" si="884"/>
        <v>#DIV/0!</v>
      </c>
      <c r="FJ302" s="361"/>
      <c r="FK302" s="356" t="e">
        <f t="shared" si="885"/>
        <v>#VALUE!</v>
      </c>
      <c r="FL302" s="361"/>
      <c r="FM302" s="361"/>
      <c r="FN302" s="362" t="str">
        <f t="shared" si="978"/>
        <v xml:space="preserve"> </v>
      </c>
      <c r="FO302" s="362" t="str">
        <f t="shared" si="979"/>
        <v xml:space="preserve"> </v>
      </c>
      <c r="FP302" s="362">
        <f t="shared" si="980"/>
        <v>0</v>
      </c>
      <c r="FQ302" s="361">
        <f t="shared" si="886"/>
        <v>0</v>
      </c>
      <c r="FR302" s="362" t="str">
        <f>IF(L302&gt;0,IF(J302="CBAL2",Worksheet!$P$67,IF(J302="CBE2-24",Worksheet!$Q$67,IF(J302="CBAM",Worksheet!$R$67,IF(J302="CBLV",Worksheet!$S$67,IF(J302="CBAB",Worksheet!$U$67,IF(J302="CBAW",Worksheet!$X$67,IF(J302="CBE2-12",Worksheet!$Y$67,IF(J302="CBAL2",Worksheet!$Z$67,"N/A"))))))))," ")</f>
        <v xml:space="preserve"> </v>
      </c>
      <c r="FS302" s="362" t="str">
        <f>IF(L302&gt;0,IF(J302="CBAL2",Worksheet!$P$68,IF(J302="CBE2-24",Worksheet!$Q$68,IF(J302="CBAM",Worksheet!$R$68,IF(J302="CBLV",Worksheet!$S$68,IF(J302="CBAB",Worksheet!$U$68,IF(J302="CBAW",Worksheet!$X$68,IF(J302="CBE2-12",Worksheet!$Y$68,IF(J302="CBAL2",Worksheet!$Z$68,"N/A"))))))))," ")</f>
        <v xml:space="preserve"> </v>
      </c>
      <c r="FT302" s="362" t="str">
        <f>IF(L302&gt;0,IF(J302="CBAL2",Worksheet!$P$69,IF(J302="CBE2-24",Worksheet!$Q$69,IF(J302="CBAM",Worksheet!$R$69,IF(J302="CBLV",Worksheet!$S$69,IF(J302="CBAB",Worksheet!$U$69,IF(J302="CBAW",Worksheet!$X$69,IF(J302="CBE2-12",Worksheet!$Y$69,IF(J302="CBAL2",Worksheet!$Z$69,"N/A"))))))))," ")</f>
        <v xml:space="preserve"> </v>
      </c>
      <c r="FU302" s="361" t="str">
        <f t="shared" si="981"/>
        <v xml:space="preserve"> </v>
      </c>
      <c r="FV302" s="362" t="str">
        <f t="shared" si="982"/>
        <v xml:space="preserve"> </v>
      </c>
      <c r="FW302" s="362" t="str">
        <f t="shared" si="983"/>
        <v xml:space="preserve"> </v>
      </c>
      <c r="FX302" s="362" t="str">
        <f t="shared" si="984"/>
        <v xml:space="preserve"> </v>
      </c>
      <c r="FY302" s="355" t="str">
        <f t="shared" si="985"/>
        <v xml:space="preserve"> </v>
      </c>
      <c r="FZ302" s="361" t="str">
        <f t="shared" si="986"/>
        <v xml:space="preserve"> </v>
      </c>
      <c r="GA302" s="347" t="str">
        <f t="shared" si="987"/>
        <v xml:space="preserve"> </v>
      </c>
      <c r="GB302" s="355" t="str">
        <f t="shared" si="988"/>
        <v xml:space="preserve"> </v>
      </c>
      <c r="GC302" s="328" t="str">
        <f t="shared" si="989"/>
        <v xml:space="preserve"> </v>
      </c>
      <c r="GD302" s="361" t="str">
        <f t="shared" si="990"/>
        <v xml:space="preserve"> </v>
      </c>
      <c r="GE302" s="347" t="str">
        <f t="shared" si="991"/>
        <v xml:space="preserve"> </v>
      </c>
      <c r="GF302" s="361" t="str">
        <f t="shared" si="992"/>
        <v xml:space="preserve"> </v>
      </c>
      <c r="GG302" s="347" t="str">
        <f t="shared" si="993"/>
        <v xml:space="preserve"> </v>
      </c>
      <c r="GH302" s="364">
        <f t="shared" si="887"/>
        <v>0</v>
      </c>
      <c r="GI302" s="362">
        <f t="shared" si="994"/>
        <v>2</v>
      </c>
      <c r="GJ302" s="433" t="e">
        <f>IF(6-COUNTBLANK(GT302:GY302)=4,MATCH(MID(BO302,9,3),CLU!$H$16:$K$16),MATCH(MID(BO302,9,3),CLU!$H$13:$M$13))</f>
        <v>#N/A</v>
      </c>
      <c r="GK302" s="433" t="e">
        <f>HLOOKUP(VALUE(BP302),CLU!$H$9:$M$10,2)</f>
        <v>#VALUE!</v>
      </c>
      <c r="GL302" s="433" t="e">
        <f ca="1">MATCH(BU302,CLU!$H$2:$V$2,1)</f>
        <v>#VALUE!</v>
      </c>
      <c r="GM302" s="433" t="e">
        <f t="shared" ca="1" si="995"/>
        <v>#VALUE!</v>
      </c>
      <c r="GN302" s="433" t="e">
        <f t="shared" ca="1" si="996"/>
        <v>#VALUE!</v>
      </c>
      <c r="GO302" s="433" t="e">
        <f t="shared" ca="1" si="997"/>
        <v>#VALUE!</v>
      </c>
      <c r="GP302" s="433" t="e">
        <f t="shared" ca="1" si="998"/>
        <v>#VALUE!</v>
      </c>
      <c r="GQ302" s="433" t="e">
        <f t="shared" ca="1" si="999"/>
        <v>#VALUE!</v>
      </c>
      <c r="GR302" s="433" t="e">
        <f ca="1">MATCH(T302,INDIRECT(VLOOKUP(CONCATENATE(LEFT(BO302,7),"-",MID(BO302,13,1)),CLU!$P$3:$Q$16,2)),1)</f>
        <v>#N/A</v>
      </c>
      <c r="GS302" s="433" t="e">
        <f ca="1">MATCH(U302,INDIRECT(VLOOKUP(CONCATENATE(LEFT(BO302,7),"-",MID(BO302,13,1)),CLU!$P$3:$Q$16,2)),1)</f>
        <v>#N/A</v>
      </c>
      <c r="GT302" s="347" t="s">
        <v>512</v>
      </c>
      <c r="GU302" s="97" t="s">
        <v>513</v>
      </c>
      <c r="GV302" s="97" t="str">
        <f t="shared" si="1000"/>
        <v>M23</v>
      </c>
      <c r="GW302" s="97" t="str">
        <f t="shared" si="1001"/>
        <v>M31</v>
      </c>
      <c r="GX302" s="97" t="str">
        <f t="shared" si="1002"/>
        <v/>
      </c>
      <c r="GY302" s="97" t="str">
        <f t="shared" si="1003"/>
        <v/>
      </c>
      <c r="GZ302" s="481"/>
      <c r="HA302" s="240"/>
      <c r="HB302" s="240"/>
      <c r="HC302" s="240"/>
      <c r="HD302" s="240"/>
      <c r="HE302" s="240"/>
      <c r="HF302" s="240"/>
      <c r="HG302" s="240"/>
      <c r="HH302" s="240"/>
      <c r="HI302" s="240"/>
      <c r="HJ302" s="240"/>
      <c r="HK302" s="240"/>
      <c r="HL302" s="240"/>
      <c r="HM302" s="240"/>
      <c r="HN302" s="240"/>
      <c r="HO302" s="240"/>
      <c r="HP302" s="240"/>
      <c r="HQ302" s="240"/>
      <c r="HR302" s="240"/>
      <c r="HS302" s="240"/>
      <c r="HT302" s="240"/>
      <c r="HU302" s="240"/>
      <c r="HV302" s="245"/>
      <c r="HW302" s="245" t="b">
        <v>1</v>
      </c>
      <c r="HX302" s="245" t="str">
        <f t="shared" si="888"/>
        <v/>
      </c>
      <c r="HY302" s="245" t="e">
        <f t="shared" si="889"/>
        <v>#DIV/0!</v>
      </c>
      <c r="HZ302" s="245" t="e">
        <f t="shared" si="890"/>
        <v>#DIV/0!</v>
      </c>
      <c r="IA302" s="245">
        <f t="shared" si="891"/>
        <v>0</v>
      </c>
      <c r="IB302" s="245"/>
      <c r="IC302" t="b">
        <f t="shared" si="892"/>
        <v>1</v>
      </c>
      <c r="ID302" s="245" t="b">
        <f t="shared" si="893"/>
        <v>1</v>
      </c>
      <c r="IE302" s="245" t="b">
        <f t="shared" si="894"/>
        <v>1</v>
      </c>
      <c r="IF302" s="245" t="b">
        <f t="shared" si="895"/>
        <v>0</v>
      </c>
      <c r="IG302" s="245" t="b">
        <f t="shared" si="896"/>
        <v>1</v>
      </c>
      <c r="IH302" s="245" t="b">
        <f t="shared" si="897"/>
        <v>1</v>
      </c>
      <c r="II302" s="245">
        <f t="shared" si="1004"/>
        <v>0</v>
      </c>
      <c r="IJ302" s="245" t="e">
        <f t="shared" si="898"/>
        <v>#VALUE!</v>
      </c>
      <c r="IK302" s="245" t="e">
        <f t="shared" si="899"/>
        <v>#VALUE!</v>
      </c>
      <c r="IL302" s="245"/>
      <c r="IM302" s="245" t="e">
        <f t="shared" si="1005"/>
        <v>#N/A</v>
      </c>
      <c r="IN302" s="245" t="e">
        <f t="shared" si="1006"/>
        <v>#N/A</v>
      </c>
      <c r="IO302" s="245"/>
      <c r="IP302" s="245"/>
      <c r="IQ302" s="245" t="str">
        <f t="shared" si="900"/>
        <v/>
      </c>
      <c r="IR302" s="245" t="str">
        <f>IF(J302="","",VLOOKUP(J302,Worksheet!$R$4:$T$14,2))</f>
        <v/>
      </c>
      <c r="IS302" s="245"/>
      <c r="IT302" s="245">
        <f t="shared" si="901"/>
        <v>0</v>
      </c>
      <c r="IU302" s="245">
        <f t="shared" si="902"/>
        <v>0</v>
      </c>
      <c r="IV302" s="245">
        <f t="shared" si="903"/>
        <v>0</v>
      </c>
      <c r="IW302" s="245">
        <f t="shared" si="904"/>
        <v>0</v>
      </c>
      <c r="IX302" s="245">
        <f t="shared" si="1007"/>
        <v>0</v>
      </c>
      <c r="IY302" s="245">
        <f t="shared" si="905"/>
        <v>0</v>
      </c>
      <c r="IZ302" s="245">
        <f t="shared" si="906"/>
        <v>0</v>
      </c>
      <c r="JA302">
        <f t="shared" si="907"/>
        <v>0</v>
      </c>
      <c r="JB302">
        <f t="shared" si="1008"/>
        <v>0</v>
      </c>
      <c r="JC302">
        <f t="shared" si="908"/>
        <v>0</v>
      </c>
      <c r="JD302">
        <f t="shared" si="909"/>
        <v>0</v>
      </c>
      <c r="JE302">
        <f t="shared" si="910"/>
        <v>0</v>
      </c>
      <c r="JF302">
        <f t="shared" si="911"/>
        <v>0</v>
      </c>
      <c r="JG302">
        <f t="shared" si="912"/>
        <v>0</v>
      </c>
      <c r="JH302">
        <f t="shared" si="913"/>
        <v>0</v>
      </c>
      <c r="JI302">
        <f t="shared" si="914"/>
        <v>0</v>
      </c>
      <c r="JJ302" s="447">
        <f t="shared" si="915"/>
        <v>0</v>
      </c>
      <c r="JK302" s="447">
        <f t="shared" si="916"/>
        <v>0</v>
      </c>
      <c r="JL302">
        <f t="shared" si="917"/>
        <v>0</v>
      </c>
      <c r="JM302" s="245" t="str">
        <f>IFERROR(VLOOKUP(MATCH(BN302,#REF!,0),#REF!,7),"")</f>
        <v/>
      </c>
      <c r="JN302" t="e">
        <f>HLOOKUP(LEFT(BO302,7),Discharge_Area,MATCH(JO302,LookUps!$B$130:$B$149,1)+2)</f>
        <v>#N/A</v>
      </c>
      <c r="JO302" t="str">
        <f t="shared" si="918"/>
        <v>- S</v>
      </c>
      <c r="JP302" t="e">
        <f>HLOOKUP(LEFT(BO302,7),Discharge_Area,MATCH(JO302,LookUps!$B$130:$B$149,1)+2)</f>
        <v>#N/A</v>
      </c>
      <c r="JQ302" t="e">
        <f t="shared" si="919"/>
        <v>#N/A</v>
      </c>
      <c r="JR302" t="e">
        <f t="shared" si="920"/>
        <v>#N/A</v>
      </c>
      <c r="JS302" t="e">
        <f t="shared" si="921"/>
        <v>#N/A</v>
      </c>
      <c r="JT302" s="532" t="str">
        <f t="shared" si="922"/>
        <v xml:space="preserve"> </v>
      </c>
      <c r="JU302" s="532" t="str">
        <f t="shared" si="923"/>
        <v xml:space="preserve"> </v>
      </c>
      <c r="JV302" s="533" t="str">
        <f t="shared" si="924"/>
        <v xml:space="preserve"> </v>
      </c>
      <c r="JW302" s="534">
        <f t="shared" si="925"/>
        <v>0</v>
      </c>
      <c r="JX302" s="535" t="str">
        <f t="shared" si="1009"/>
        <v xml:space="preserve"> </v>
      </c>
      <c r="JY302" s="535" t="str">
        <f t="shared" si="1010"/>
        <v xml:space="preserve"> </v>
      </c>
      <c r="JZ302" s="535" t="str">
        <f t="shared" si="1011"/>
        <v xml:space="preserve"> </v>
      </c>
      <c r="KA302" s="536" t="str">
        <f t="shared" si="926"/>
        <v xml:space="preserve"> </v>
      </c>
      <c r="KB302" s="535" t="e">
        <f t="shared" si="1012"/>
        <v>#VALUE!</v>
      </c>
      <c r="KC302" s="535" t="str">
        <f t="shared" si="927"/>
        <v/>
      </c>
      <c r="KD302" s="537" t="str">
        <f t="shared" si="1013"/>
        <v xml:space="preserve"> </v>
      </c>
      <c r="KE302" s="537" t="str">
        <f t="shared" si="1014"/>
        <v xml:space="preserve"> </v>
      </c>
      <c r="KF302" s="534">
        <f t="shared" si="928"/>
        <v>0</v>
      </c>
      <c r="KG302" s="535" t="str">
        <f t="shared" si="929"/>
        <v xml:space="preserve"> </v>
      </c>
      <c r="KH302" s="535" t="str">
        <f t="shared" si="930"/>
        <v xml:space="preserve"> </v>
      </c>
      <c r="KI302" s="535" t="str">
        <f t="shared" si="931"/>
        <v xml:space="preserve"> </v>
      </c>
      <c r="KJ302" s="536" t="str">
        <f t="shared" si="932"/>
        <v xml:space="preserve"> </v>
      </c>
      <c r="KK302" s="535" t="str">
        <f t="shared" si="1015"/>
        <v xml:space="preserve"> </v>
      </c>
      <c r="KL302" s="535" t="str">
        <f t="shared" si="1016"/>
        <v xml:space="preserve"> </v>
      </c>
      <c r="KM302" s="537" t="str">
        <f t="shared" si="933"/>
        <v xml:space="preserve"> </v>
      </c>
      <c r="KN302" s="537" t="str">
        <f t="shared" si="1017"/>
        <v xml:space="preserve"> </v>
      </c>
      <c r="KP302">
        <f t="shared" si="934"/>
        <v>0</v>
      </c>
      <c r="LA302" t="e">
        <f t="shared" si="935"/>
        <v>#VALUE!</v>
      </c>
      <c r="LB302" t="e">
        <f t="shared" si="936"/>
        <v>#VALUE!</v>
      </c>
      <c r="LC302" t="e">
        <f t="shared" si="937"/>
        <v>#VALUE!</v>
      </c>
      <c r="LD302" t="e">
        <f t="shared" si="938"/>
        <v>#VALUE!</v>
      </c>
      <c r="LE302" t="e">
        <f t="shared" si="1018"/>
        <v>#VALUE!</v>
      </c>
      <c r="LF302">
        <f t="shared" si="939"/>
        <v>0</v>
      </c>
      <c r="LG302" t="e">
        <f t="shared" si="1019"/>
        <v>#VALUE!</v>
      </c>
      <c r="LH302" t="str">
        <f t="shared" si="940"/>
        <v xml:space="preserve"> </v>
      </c>
      <c r="LI302">
        <f t="shared" si="1020"/>
        <v>1</v>
      </c>
    </row>
    <row r="303" spans="2:321" ht="15" customHeight="1">
      <c r="B303" s="311"/>
      <c r="C303" s="311"/>
      <c r="D303" s="312"/>
      <c r="E303" s="311"/>
      <c r="F303" s="312"/>
      <c r="G303" s="311"/>
      <c r="H303" s="311"/>
      <c r="I303" s="232"/>
      <c r="J303" s="311"/>
      <c r="K303" s="305" t="str">
        <f t="shared" si="941"/>
        <v/>
      </c>
      <c r="L303" s="313"/>
      <c r="M303" s="312"/>
      <c r="N303" s="311"/>
      <c r="O303" s="312"/>
      <c r="P303" s="311"/>
      <c r="Q303" s="305" t="str">
        <f t="shared" si="942"/>
        <v/>
      </c>
      <c r="R303" s="314"/>
      <c r="S303" s="450" t="str">
        <f t="shared" si="825"/>
        <v/>
      </c>
      <c r="T303" s="315"/>
      <c r="U303" s="315"/>
      <c r="W303" s="149" t="str">
        <f t="shared" si="826"/>
        <v xml:space="preserve"> </v>
      </c>
      <c r="X303" s="243" t="str">
        <f t="shared" si="827"/>
        <v xml:space="preserve"> </v>
      </c>
      <c r="Y303" s="150" t="str">
        <f t="shared" si="828"/>
        <v/>
      </c>
      <c r="Z303" s="149" t="str">
        <f t="shared" si="829"/>
        <v xml:space="preserve"> </v>
      </c>
      <c r="AA303" s="98" t="str">
        <f t="shared" si="830"/>
        <v xml:space="preserve"> </v>
      </c>
      <c r="AB303" s="153" t="str">
        <f t="shared" si="831"/>
        <v xml:space="preserve"> </v>
      </c>
      <c r="AC303" s="153" t="str">
        <f t="shared" si="832"/>
        <v xml:space="preserve"> </v>
      </c>
      <c r="AD303" s="148" t="str">
        <f t="shared" si="833"/>
        <v/>
      </c>
      <c r="AE303" s="149" t="str">
        <f t="shared" si="834"/>
        <v/>
      </c>
      <c r="AF303" s="151" t="str">
        <f t="shared" si="835"/>
        <v xml:space="preserve"> </v>
      </c>
      <c r="AG303" s="153" t="str">
        <f t="shared" si="836"/>
        <v xml:space="preserve"> </v>
      </c>
      <c r="AH303" s="98" t="str">
        <f t="shared" si="837"/>
        <v xml:space="preserve"> </v>
      </c>
      <c r="AI303" s="149" t="str">
        <f t="shared" si="838"/>
        <v xml:space="preserve"> </v>
      </c>
      <c r="AK303" s="144" t="str">
        <f t="shared" si="839"/>
        <v xml:space="preserve"> </v>
      </c>
      <c r="AL303" s="144"/>
      <c r="AM303" s="243" t="str">
        <f t="shared" si="840"/>
        <v xml:space="preserve"> </v>
      </c>
      <c r="AN303" s="149" t="str">
        <f t="shared" si="943"/>
        <v xml:space="preserve"> </v>
      </c>
      <c r="AO303" s="144" t="str">
        <f>IF(JB303&gt;0,IF(GI303=10,-R303*1.085*(Calculation!$F$6-Calculation!$F$13)*$S$14," "),"")</f>
        <v/>
      </c>
      <c r="AP303" s="144" t="str">
        <f t="shared" si="841"/>
        <v/>
      </c>
      <c r="AQ303" s="56" t="str">
        <f t="shared" si="842"/>
        <v/>
      </c>
      <c r="AR303" s="144" t="str">
        <f t="shared" si="843"/>
        <v/>
      </c>
      <c r="AS303" s="176" t="str">
        <f t="shared" si="844"/>
        <v/>
      </c>
      <c r="AT303" s="176" t="str">
        <f t="shared" si="944"/>
        <v xml:space="preserve"> </v>
      </c>
      <c r="AU303" s="176" t="str">
        <f t="shared" si="845"/>
        <v/>
      </c>
      <c r="AV303" s="177" t="str">
        <f t="shared" si="846"/>
        <v xml:space="preserve"> </v>
      </c>
      <c r="AW303" s="144" t="str">
        <f t="shared" si="847"/>
        <v xml:space="preserve"> </v>
      </c>
      <c r="AX303" s="144" t="str">
        <f t="shared" si="848"/>
        <v xml:space="preserve"> </v>
      </c>
      <c r="AY303" s="152" t="str">
        <f t="shared" si="849"/>
        <v xml:space="preserve"> </v>
      </c>
      <c r="AZ303" s="246" t="str">
        <f t="shared" si="850"/>
        <v/>
      </c>
      <c r="BA303" s="176" t="str">
        <f t="shared" si="851"/>
        <v xml:space="preserve"> </v>
      </c>
      <c r="BB303" s="176" t="str">
        <f t="shared" si="852"/>
        <v xml:space="preserve"> </v>
      </c>
      <c r="BC303" s="195"/>
      <c r="BD303" s="316"/>
      <c r="BE303" s="317"/>
      <c r="BF303" s="318"/>
      <c r="BG303" s="318"/>
      <c r="BH303" s="144" t="str">
        <f t="shared" si="1021"/>
        <v xml:space="preserve"> </v>
      </c>
      <c r="BI303" s="176" t="str">
        <f t="shared" si="853"/>
        <v/>
      </c>
      <c r="BJ303" s="144" t="str">
        <f t="shared" si="1022"/>
        <v/>
      </c>
      <c r="BK303" s="246" t="str">
        <f t="shared" si="854"/>
        <v/>
      </c>
      <c r="BL303" s="144" t="str">
        <f t="shared" si="1023"/>
        <v/>
      </c>
      <c r="BM303" s="246" t="str">
        <f t="shared" si="855"/>
        <v/>
      </c>
      <c r="BN303" s="337" t="str">
        <f t="shared" si="945"/>
        <v/>
      </c>
      <c r="BO303" s="371" t="str">
        <f t="shared" si="946"/>
        <v/>
      </c>
      <c r="BP303" s="328" t="str">
        <f t="shared" si="1024"/>
        <v xml:space="preserve"> </v>
      </c>
      <c r="BQ303" s="347" t="str">
        <f t="shared" si="947"/>
        <v xml:space="preserve"> </v>
      </c>
      <c r="BR303" s="353" t="str">
        <f t="shared" si="948"/>
        <v xml:space="preserve"> </v>
      </c>
      <c r="BS303" s="626" t="str">
        <f>IF(L303&gt;0,IF(Calculation!P303="M13",BR303*3.1416*(0.134^2)/(4*144),IF(Calculation!P303="M17",BR303*3.1416*(0.165^2)/(4*144),IF(Calculation!P303="M20",BR303*3.1416*(0.198^2)/(4*144),IF(Calculation!P303="M23",BR303*3.1416*(0.228^2)/(4*144),IF(Calculation!P303="M27",BR303*3.1416*(0.269^2)/(4*144),BR303*3.1416*(0.307^2)/(4*144))))))," ")</f>
        <v xml:space="preserve"> </v>
      </c>
      <c r="BT303" s="353" t="str">
        <f>IF(L303&gt;0,IF(BS303&gt;0,R303/Calculation!BS303,0)," ")</f>
        <v xml:space="preserve"> </v>
      </c>
      <c r="BU303" s="438" t="e">
        <f t="shared" ca="1" si="856"/>
        <v>#VALUE!</v>
      </c>
      <c r="BV303" s="449" t="e">
        <f ca="1">INDEX(INDIRECT(VLOOKUP(LEFT(BO303,7),CLU!$Z$3:$AH$18,2)),GN303,GR303)</f>
        <v>#N/A</v>
      </c>
      <c r="BW303" s="433" t="e">
        <f ca="1">INDEX(INDIRECT(VLOOKUP(LEFT(BO303,7),CLU!$Z$3:$AH$18,3)),GN303,GR303)</f>
        <v>#N/A</v>
      </c>
      <c r="BX303" s="433" t="e">
        <f ca="1">INDEX(INDIRECT(VLOOKUP(LEFT(BO303,7),CLU!$Z$3:$AH$18,4)),GN303,GR303)</f>
        <v>#N/A</v>
      </c>
      <c r="BY303" s="433" t="e">
        <f ca="1">INDEX(INDIRECT(VLOOKUP(LEFT(BO303,7),CLU!$Z$3:$AH$18,9)),((M303-2)*(6-COUNTBLANK(GT303:GY303)))+GJ303)</f>
        <v>#N/A</v>
      </c>
      <c r="BZ303" s="426" t="e">
        <f t="shared" ca="1" si="949"/>
        <v>#N/A</v>
      </c>
      <c r="CA303" s="424" t="e">
        <f t="shared" ca="1" si="950"/>
        <v>#N/A</v>
      </c>
      <c r="CB303" s="429" t="e">
        <f ca="1">INDEX(INDIRECT(VLOOKUP(LEFT(BO303,7),CLU!$Z$3:$AH$18,2)),GN303,GS303)</f>
        <v>#N/A</v>
      </c>
      <c r="CC303" s="342" t="e">
        <f ca="1">INDEX(INDIRECT(VLOOKUP(LEFT(BO303,7),CLU!$Z$3:$AH$18,3)),GN303,GS303)</f>
        <v>#N/A</v>
      </c>
      <c r="CD303" s="342" t="e">
        <f ca="1">INDEX(INDIRECT(VLOOKUP(LEFT(BO303,7),CLU!$Z$3:$AH$18,4)),GN303,GS303)</f>
        <v>#N/A</v>
      </c>
      <c r="CE303" s="426" t="e">
        <f t="shared" ca="1" si="951"/>
        <v>#N/A</v>
      </c>
      <c r="CF303" s="440">
        <f t="shared" si="952"/>
        <v>0</v>
      </c>
      <c r="CG303" s="431" t="e">
        <f ca="1">INDEX(INDIRECT(VLOOKUP(LEFT(BO303,7),CLU!$Z$3:$AH$18,2)),GQ303,GR303)</f>
        <v>#N/A</v>
      </c>
      <c r="CH303" s="431" t="e">
        <f ca="1">INDEX(INDIRECT(VLOOKUP(LEFT(BO303,7),CLU!$Z$3:$AH$18,3)),GQ303,GR303)</f>
        <v>#N/A</v>
      </c>
      <c r="CI303" s="431" t="e">
        <f ca="1">INDEX(INDIRECT(VLOOKUP(LEFT(BO303,7),CLU!$Z$3:$AH$18,4)),GQ303,GR303)</f>
        <v>#N/A</v>
      </c>
      <c r="CJ303" s="448" t="e">
        <f t="shared" ca="1" si="953"/>
        <v>#N/A</v>
      </c>
      <c r="CK303" s="431" t="e">
        <f t="shared" ca="1" si="954"/>
        <v>#N/A</v>
      </c>
      <c r="CL303" s="440" t="e">
        <f t="shared" ca="1" si="955"/>
        <v>#N/A</v>
      </c>
      <c r="CM303" s="431" t="e">
        <f ca="1">INDEX(INDIRECT(VLOOKUP(LEFT(BO303,7),CLU!$Z$3:$AH$18,2)),GQ303,GS303)</f>
        <v>#N/A</v>
      </c>
      <c r="CN303" s="431" t="e">
        <f ca="1">INDEX(INDIRECT(VLOOKUP(LEFT(BO303,7),CLU!$Z$3:$AH$18,3)),GQ303,GS303)</f>
        <v>#N/A</v>
      </c>
      <c r="CO303" s="431" t="e">
        <f ca="1">INDEX(INDIRECT(VLOOKUP(LEFT(BO303,7),CLU!$Z$3:$AH$18,4)),GQ303,GS303)</f>
        <v>#N/A</v>
      </c>
      <c r="CP303" s="431" t="e">
        <f t="shared" ca="1" si="956"/>
        <v>#N/A</v>
      </c>
      <c r="CQ303" s="440">
        <f t="shared" si="957"/>
        <v>0</v>
      </c>
      <c r="CR303" s="51" t="e">
        <f t="shared" ca="1" si="958"/>
        <v>#N/A</v>
      </c>
      <c r="CS303" s="439" t="e">
        <f t="shared" ca="1" si="959"/>
        <v>#VALUE!</v>
      </c>
      <c r="CT303" s="51" t="e">
        <f t="shared" ca="1" si="960"/>
        <v>#VALUE!</v>
      </c>
      <c r="CU303" s="10"/>
      <c r="CV303" s="51" t="e">
        <f t="shared" ca="1" si="857"/>
        <v>#VALUE!</v>
      </c>
      <c r="CW303" s="51">
        <f t="shared" si="961"/>
        <v>0</v>
      </c>
      <c r="CX303" s="439" t="e">
        <f t="shared" ca="1" si="962"/>
        <v>#VALUE!</v>
      </c>
      <c r="CY303" s="51" t="e">
        <f t="shared" ca="1" si="963"/>
        <v>#VALUE!</v>
      </c>
      <c r="CZ303" s="10"/>
      <c r="DA303" s="51" t="e">
        <f t="shared" ca="1" si="964"/>
        <v>#VALUE!</v>
      </c>
      <c r="DB303" s="347" t="e">
        <f ca="1">INDEX(INDIRECT(VLOOKUP(LEFT(BO303,7),CLU!$Z$3:$AI$18,10)),((M303-2)*(6-COUNTBLANK(GT303:GY303)))+GJ303)*LI303</f>
        <v>#N/A</v>
      </c>
      <c r="DC303" s="347" t="str">
        <f>IF(L303&gt;0,((R303/Worksheet!$I$15)/DB303)^2," ")</f>
        <v xml:space="preserve"> </v>
      </c>
      <c r="DD303" s="602" t="str">
        <f t="shared" si="965"/>
        <v xml:space="preserve"> </v>
      </c>
      <c r="DE303" s="347" t="str">
        <f t="shared" si="858"/>
        <v xml:space="preserve"> </v>
      </c>
      <c r="DF303" s="356" t="e">
        <f ca="1">INDEX(INDIRECT(VLOOKUP(LEFT(BO303,7),CLU!$Z$3:$AH$18,8)),((M303-2)*(6-COUNTBLANK(GT303:GY303)))+GJ303)</f>
        <v>#N/A</v>
      </c>
      <c r="DG303" s="347" t="str">
        <f t="shared" si="859"/>
        <v xml:space="preserve"> </v>
      </c>
      <c r="DH303" s="357" t="str">
        <f t="shared" si="860"/>
        <v xml:space="preserve"> </v>
      </c>
      <c r="DI303" s="355" t="str">
        <f t="shared" si="861"/>
        <v xml:space="preserve"> </v>
      </c>
      <c r="DJ303" s="245" t="e">
        <f ca="1">INDEX(INDIRECT(VLOOKUP(LEFT(BO303,7),CLU!$Z$3:$AH$18,5)),GL303,GK303)</f>
        <v>#N/A</v>
      </c>
      <c r="DK303" s="245" t="e">
        <f ca="1">INDEX(INDIRECT(VLOOKUP(LEFT(BO303,7),CLU!$Z$3:$AH$18,6)),GL303,GK303)</f>
        <v>#N/A</v>
      </c>
      <c r="DL303" s="355">
        <f>(Calculation!R303*0.69143*(Calculation!$BQ$8-Calculation!$F$8))*$S$14</f>
        <v>0</v>
      </c>
      <c r="DM303" s="359" t="e">
        <f t="shared" si="966"/>
        <v>#VALUE!</v>
      </c>
      <c r="DN303" s="611">
        <f t="shared" si="967"/>
        <v>0</v>
      </c>
      <c r="DO303" s="359">
        <f t="shared" si="968"/>
        <v>100</v>
      </c>
      <c r="DP303" s="359">
        <f t="shared" si="969"/>
        <v>0</v>
      </c>
      <c r="DQ303" s="360"/>
      <c r="DR303" s="245" t="e">
        <f ca="1">INDEX(INDIRECT(VLOOKUP(LEFT(BO303,7),CLU!$Z$3:$AH$18,7)),M303-1,1)</f>
        <v>#N/A</v>
      </c>
      <c r="DS303" s="245" t="e">
        <f ca="1">INDEX(INDIRECT(VLOOKUP(LEFT(BO303,7),CLU!$Z$3:$AH$18,7)),M303-1,2)</f>
        <v>#N/A</v>
      </c>
      <c r="DT303" s="245" t="e">
        <f ca="1">INDEX(INDIRECT(VLOOKUP(LEFT(BO303,7),CLU!$Z$3:$AH$18,7)),M303-1,3)</f>
        <v>#N/A</v>
      </c>
      <c r="DU303" s="245" t="e">
        <f ca="1">INDEX(INDIRECT(VLOOKUP(LEFT(BO303,7),CLU!$Z$3:$AH$18,7)),M303-1,4)</f>
        <v>#N/A</v>
      </c>
      <c r="DV303" s="361" t="e">
        <f ca="1">INDEX(INDIRECT(VLOOKUP(LEFT(BO303,7),CLU!$Z$3:$AH$18,7)),M303-1,4+LEFT(DZ303,1)*0.5)</f>
        <v>#N/A</v>
      </c>
      <c r="DW303" s="245" t="e">
        <f ca="1">INDEX(INDIRECT(VLOOKUP(LEFT(BO303,7),CLU!$Z$3:$AH$18,7)),M303-1,8)</f>
        <v>#N/A</v>
      </c>
      <c r="DX303" s="361" t="str">
        <f t="shared" si="862"/>
        <v xml:space="preserve"> </v>
      </c>
      <c r="DY303" s="361" t="str">
        <f t="shared" si="863"/>
        <v xml:space="preserve"> </v>
      </c>
      <c r="DZ303" s="361" t="str">
        <f t="shared" si="864"/>
        <v xml:space="preserve"> </v>
      </c>
      <c r="EA303" s="362" t="str">
        <f t="shared" si="865"/>
        <v xml:space="preserve"> </v>
      </c>
      <c r="EB303" s="624" t="str">
        <f t="shared" si="970"/>
        <v xml:space="preserve"> </v>
      </c>
      <c r="EC303" s="361" t="e">
        <f ca="1">INDEX(INDIRECT(VLOOKUP(LEFT(BO303,7),CLU!$Z$3:$AH$18,7)),M303-1,4+LEFT(DZ303,1)*0.5)</f>
        <v>#N/A</v>
      </c>
      <c r="ED303" s="362" t="str">
        <f t="shared" si="866"/>
        <v xml:space="preserve"> </v>
      </c>
      <c r="EE303" s="361" t="str">
        <f t="shared" si="867"/>
        <v xml:space="preserve"> </v>
      </c>
      <c r="EF303" s="362" t="str">
        <f>IF(L303&gt;0,IF(BR303&gt;0,IF(EE303="2P",IF(Calculation!DZ303="2P",IF(Calculation!DS303=13.75,IF(Calculation!DR303=13,Worksheet!$BD$43,IF(Calculation!DR303=37,Worksheet!$BD$44,Worksheet!$BD$45)),IF(Calculation!DS303=10,IF(Calculation!DR303=18,Worksheet!$BD$29,IF(Calculation!DR303=30,Worksheet!$BD$30,IF(Calculation!DR303=42,Worksheet!$BD$31,IF(Calculation!DR303=54,Worksheet!$BD$32,IF(Calculation!DR303=66,Worksheet!$BD$33,IF(Calculation!DR303=78,Worksheet!$BD$34,IF(Calculation!DR303=90,Worksheet!$BD$35,IF(Calculation!DR303=102,Worksheet!$BD$36,Worksheet!$BD$37)))))))),IF(Calculation!DS303=12.5,IF(Calculation!DR303=18,Worksheet!$BD$38,IF(Calculation!DR303=Worksheet!$BD$39,IF(Calculation!DR303=42,Worksheet!$BD$40,IF(Calculation!DR303=54,Worksheet!$BD$41,Worksheet!$BD$42)))),IF(Calculation!DR303=18,Worksheet!$BD$11,IF(Calculation!DR303=30,Worksheet!$BD$12,IF(Calculation!DR303=42,Worksheet!$BD$13,IF(Calculation!DR303=54,Worksheet!$BD$14,IF(Calculation!DR303=66,Worksheet!$BD$15,IF(Calculation!DR303=78,Worksheet!$BD$16,IF(Calculation!DR303=90,Worksheet!$BD$17,IF(Calculation!DR303=102,Worksheet!$BD$18,Worksheet!$BD$19))))))))))),IF(Calculation!DS303=13.75,IF(Calculation!DR303=13,Worksheet!$BD$78,IF(Calculation!DR303=37,Worksheet!$BD$79,Worksheet!$BD$80)),IF(Calculation!DS303=10,IF(Calculation!DR303=18,Worksheet!$BD$64,IF(Calculation!DR303=30,Worksheet!$BD$65,IF(Calculation!DR303=42,Worksheet!$BD$66,IF(Calculation!DR303=54,Worksheet!$BD$68,IF(Calculation!DR303=66,Worksheet!$BD$68,IF(Calculation!DR303=78,Worksheet!$BD$69,IF(Calculation!DR303=90,Worksheet!$BD$70,IF(Calculation!DR303=102,Worksheet!$BD$71,Worksheet!$BD$72)))))))),IF(Calculation!DS303=12.5,IF(Calculation!DR303=18,Worksheet!$BD$73,IF(Calculation!DR303=Worksheet!$BD$74,IF(Calculation!DR303=42,Worksheet!$BD$75,IF(Calculation!DR303=54,Worksheet!$BD$76,Worksheet!$BD$77)))),IF(Calculation!DR303=18,Worksheet!$BD$55,IF(Calculation!DR303=30,Worksheet!$BD$56,IF(Calculation!DR303=42,Worksheet!$BD$57,IF(Calculation!DR303=54,Worksheet!$BD$58,IF(Calculation!DR303=66,Worksheet!$BD$59,IF(Calculation!DR303=78,Worksheet!$BD$60,IF(Calculation!DR303=90,Worksheet!$BD$61,IF(Calculation!DR303=102,Worksheet!$BD$62,Worksheet!$BD$63)))))))))))),5),0)," ")</f>
        <v xml:space="preserve"> </v>
      </c>
      <c r="EG303" s="361" t="str">
        <f t="shared" si="868"/>
        <v xml:space="preserve"> </v>
      </c>
      <c r="EH303" s="361" t="e">
        <f ca="1">INDEX(INDIRECT(VLOOKUP(LEFT(BO303,7),CLU!$Z$3:$AH$18,7)),M303-1,3+LEFT(DZ303,1))</f>
        <v>#N/A</v>
      </c>
      <c r="EI303" s="362" t="str">
        <f t="shared" si="869"/>
        <v xml:space="preserve"> </v>
      </c>
      <c r="EJ303" s="363" t="str">
        <f t="shared" si="870"/>
        <v xml:space="preserve"> </v>
      </c>
      <c r="EK303" s="363" t="str">
        <f t="shared" si="871"/>
        <v xml:space="preserve"> </v>
      </c>
      <c r="EL303" s="363" t="str">
        <f t="shared" si="872"/>
        <v xml:space="preserve"> </v>
      </c>
      <c r="EM303" s="362" t="str">
        <f>IF(L303&gt;0,IF(BR303&gt;0,(Calculation!T303/ED303)^2,0)," ")</f>
        <v xml:space="preserve"> </v>
      </c>
      <c r="EN303" s="362" t="str">
        <f>IF(L303&gt;0,IF(O303="2 Pipe (Cooling)","N/A",IF(BR303&gt;0,(Calculation!U303/EI303)^2,0))," ")</f>
        <v xml:space="preserve"> </v>
      </c>
      <c r="EO303" s="361" t="str">
        <f t="shared" si="873"/>
        <v/>
      </c>
      <c r="EP303" s="361" t="str">
        <f t="shared" si="874"/>
        <v/>
      </c>
      <c r="EQ303" s="361" t="str">
        <f t="shared" si="875"/>
        <v/>
      </c>
      <c r="ER303" s="361" t="str">
        <f t="shared" si="876"/>
        <v/>
      </c>
      <c r="ES303" s="361" t="str">
        <f t="shared" si="877"/>
        <v/>
      </c>
      <c r="ET303" s="361" t="str">
        <f t="shared" si="878"/>
        <v/>
      </c>
      <c r="EU303" s="361" t="str">
        <f t="shared" si="879"/>
        <v/>
      </c>
      <c r="EV303" s="361" t="str">
        <f t="shared" si="880"/>
        <v/>
      </c>
      <c r="EW303" s="361" t="str">
        <f t="shared" si="881"/>
        <v/>
      </c>
      <c r="EX303" s="361" t="str">
        <f t="shared" si="971"/>
        <v>1 slot, 1 way</v>
      </c>
      <c r="EY303" s="361" t="str">
        <f t="shared" si="972"/>
        <v xml:space="preserve"> </v>
      </c>
      <c r="EZ303" s="361" t="str">
        <f t="shared" si="973"/>
        <v xml:space="preserve"> </v>
      </c>
      <c r="FA303" s="361" t="str">
        <f t="shared" si="974"/>
        <v xml:space="preserve"> </v>
      </c>
      <c r="FB303" s="361" t="str">
        <f t="shared" si="975"/>
        <v xml:space="preserve"> </v>
      </c>
      <c r="FC303" s="361"/>
      <c r="FD303" s="361" t="str">
        <f>IF(J303&gt;0,IF(Calculation!R303&lt;=70,4,IF(Calculation!R303&lt;=110,5,IF(Calculation!R303&lt;=160,6,IF(Calculation!R303&lt;=300,8,"10 EO")))),"")</f>
        <v/>
      </c>
      <c r="FE303" s="361" t="str">
        <f t="shared" si="976"/>
        <v/>
      </c>
      <c r="FF303" s="361" t="str">
        <f t="shared" si="977"/>
        <v/>
      </c>
      <c r="FG303" s="361" t="e">
        <f t="shared" si="882"/>
        <v>#N/A</v>
      </c>
      <c r="FH303" s="361">
        <f t="shared" si="883"/>
        <v>0</v>
      </c>
      <c r="FI303" s="361" t="e">
        <f t="shared" si="884"/>
        <v>#DIV/0!</v>
      </c>
      <c r="FJ303" s="361"/>
      <c r="FK303" s="356" t="e">
        <f t="shared" si="885"/>
        <v>#VALUE!</v>
      </c>
      <c r="FL303" s="361"/>
      <c r="FM303" s="361"/>
      <c r="FN303" s="362" t="str">
        <f t="shared" si="978"/>
        <v xml:space="preserve"> </v>
      </c>
      <c r="FO303" s="362" t="str">
        <f t="shared" si="979"/>
        <v xml:space="preserve"> </v>
      </c>
      <c r="FP303" s="362">
        <f t="shared" si="980"/>
        <v>0</v>
      </c>
      <c r="FQ303" s="361">
        <f t="shared" si="886"/>
        <v>0</v>
      </c>
      <c r="FR303" s="362" t="str">
        <f>IF(L303&gt;0,IF(J303="CBAL2",Worksheet!$P$67,IF(J303="CBE2-24",Worksheet!$Q$67,IF(J303="CBAM",Worksheet!$R$67,IF(J303="CBLV",Worksheet!$S$67,IF(J303="CBAB",Worksheet!$U$67,IF(J303="CBAW",Worksheet!$X$67,IF(J303="CBE2-12",Worksheet!$Y$67,IF(J303="CBAL2",Worksheet!$Z$67,"N/A"))))))))," ")</f>
        <v xml:space="preserve"> </v>
      </c>
      <c r="FS303" s="362" t="str">
        <f>IF(L303&gt;0,IF(J303="CBAL2",Worksheet!$P$68,IF(J303="CBE2-24",Worksheet!$Q$68,IF(J303="CBAM",Worksheet!$R$68,IF(J303="CBLV",Worksheet!$S$68,IF(J303="CBAB",Worksheet!$U$68,IF(J303="CBAW",Worksheet!$X$68,IF(J303="CBE2-12",Worksheet!$Y$68,IF(J303="CBAL2",Worksheet!$Z$68,"N/A"))))))))," ")</f>
        <v xml:space="preserve"> </v>
      </c>
      <c r="FT303" s="362" t="str">
        <f>IF(L303&gt;0,IF(J303="CBAL2",Worksheet!$P$69,IF(J303="CBE2-24",Worksheet!$Q$69,IF(J303="CBAM",Worksheet!$R$69,IF(J303="CBLV",Worksheet!$S$69,IF(J303="CBAB",Worksheet!$U$69,IF(J303="CBAW",Worksheet!$X$69,IF(J303="CBE2-12",Worksheet!$Y$69,IF(J303="CBAL2",Worksheet!$Z$69,"N/A"))))))))," ")</f>
        <v xml:space="preserve"> </v>
      </c>
      <c r="FU303" s="361" t="str">
        <f t="shared" si="981"/>
        <v xml:space="preserve"> </v>
      </c>
      <c r="FV303" s="362" t="str">
        <f t="shared" si="982"/>
        <v xml:space="preserve"> </v>
      </c>
      <c r="FW303" s="362" t="str">
        <f t="shared" si="983"/>
        <v xml:space="preserve"> </v>
      </c>
      <c r="FX303" s="362" t="str">
        <f t="shared" si="984"/>
        <v xml:space="preserve"> </v>
      </c>
      <c r="FY303" s="355" t="str">
        <f t="shared" si="985"/>
        <v xml:space="preserve"> </v>
      </c>
      <c r="FZ303" s="361" t="str">
        <f t="shared" si="986"/>
        <v xml:space="preserve"> </v>
      </c>
      <c r="GA303" s="347" t="str">
        <f t="shared" si="987"/>
        <v xml:space="preserve"> </v>
      </c>
      <c r="GB303" s="355" t="str">
        <f t="shared" si="988"/>
        <v xml:space="preserve"> </v>
      </c>
      <c r="GC303" s="328" t="str">
        <f t="shared" si="989"/>
        <v xml:space="preserve"> </v>
      </c>
      <c r="GD303" s="361" t="str">
        <f t="shared" si="990"/>
        <v xml:space="preserve"> </v>
      </c>
      <c r="GE303" s="347" t="str">
        <f t="shared" si="991"/>
        <v xml:space="preserve"> </v>
      </c>
      <c r="GF303" s="361" t="str">
        <f t="shared" si="992"/>
        <v xml:space="preserve"> </v>
      </c>
      <c r="GG303" s="347" t="str">
        <f t="shared" si="993"/>
        <v xml:space="preserve"> </v>
      </c>
      <c r="GH303" s="364">
        <f t="shared" si="887"/>
        <v>0</v>
      </c>
      <c r="GI303" s="362">
        <f t="shared" si="994"/>
        <v>2</v>
      </c>
      <c r="GJ303" s="433" t="e">
        <f>IF(6-COUNTBLANK(GT303:GY303)=4,MATCH(MID(BO303,9,3),CLU!$H$16:$K$16),MATCH(MID(BO303,9,3),CLU!$H$13:$M$13))</f>
        <v>#N/A</v>
      </c>
      <c r="GK303" s="433" t="e">
        <f>HLOOKUP(VALUE(BP303),CLU!$H$9:$M$10,2)</f>
        <v>#VALUE!</v>
      </c>
      <c r="GL303" s="433" t="e">
        <f ca="1">MATCH(BU303,CLU!$H$2:$V$2,1)</f>
        <v>#VALUE!</v>
      </c>
      <c r="GM303" s="433" t="e">
        <f t="shared" ca="1" si="995"/>
        <v>#VALUE!</v>
      </c>
      <c r="GN303" s="433" t="e">
        <f t="shared" ca="1" si="996"/>
        <v>#VALUE!</v>
      </c>
      <c r="GO303" s="433" t="e">
        <f t="shared" ca="1" si="997"/>
        <v>#VALUE!</v>
      </c>
      <c r="GP303" s="433" t="e">
        <f t="shared" ca="1" si="998"/>
        <v>#VALUE!</v>
      </c>
      <c r="GQ303" s="433" t="e">
        <f t="shared" ca="1" si="999"/>
        <v>#VALUE!</v>
      </c>
      <c r="GR303" s="433" t="e">
        <f ca="1">MATCH(T303,INDIRECT(VLOOKUP(CONCATENATE(LEFT(BO303,7),"-",MID(BO303,13,1)),CLU!$P$3:$Q$16,2)),1)</f>
        <v>#N/A</v>
      </c>
      <c r="GS303" s="433" t="e">
        <f ca="1">MATCH(U303,INDIRECT(VLOOKUP(CONCATENATE(LEFT(BO303,7),"-",MID(BO303,13,1)),CLU!$P$3:$Q$16,2)),1)</f>
        <v>#N/A</v>
      </c>
      <c r="GT303" s="347" t="s">
        <v>512</v>
      </c>
      <c r="GU303" s="97" t="s">
        <v>513</v>
      </c>
      <c r="GV303" s="97" t="str">
        <f t="shared" si="1000"/>
        <v>M23</v>
      </c>
      <c r="GW303" s="97" t="str">
        <f t="shared" si="1001"/>
        <v>M31</v>
      </c>
      <c r="GX303" s="97" t="str">
        <f t="shared" si="1002"/>
        <v/>
      </c>
      <c r="GY303" s="97" t="str">
        <f t="shared" si="1003"/>
        <v/>
      </c>
      <c r="GZ303" s="481"/>
      <c r="HA303" s="240"/>
      <c r="HB303" s="240"/>
      <c r="HC303" s="240"/>
      <c r="HD303" s="240"/>
      <c r="HE303" s="240"/>
      <c r="HF303" s="240"/>
      <c r="HG303" s="240"/>
      <c r="HH303" s="240"/>
      <c r="HI303" s="240"/>
      <c r="HJ303" s="240"/>
      <c r="HK303" s="240"/>
      <c r="HL303" s="240"/>
      <c r="HM303" s="240"/>
      <c r="HN303" s="240"/>
      <c r="HO303" s="240"/>
      <c r="HP303" s="240"/>
      <c r="HQ303" s="240"/>
      <c r="HR303" s="240"/>
      <c r="HS303" s="240"/>
      <c r="HT303" s="240"/>
      <c r="HU303" s="240"/>
      <c r="HV303" s="245"/>
      <c r="HW303" s="245" t="b">
        <v>1</v>
      </c>
      <c r="HX303" s="245" t="str">
        <f t="shared" si="888"/>
        <v/>
      </c>
      <c r="HY303" s="245" t="e">
        <f t="shared" si="889"/>
        <v>#DIV/0!</v>
      </c>
      <c r="HZ303" s="245" t="e">
        <f t="shared" si="890"/>
        <v>#DIV/0!</v>
      </c>
      <c r="IA303" s="245">
        <f t="shared" si="891"/>
        <v>0</v>
      </c>
      <c r="IB303" s="245"/>
      <c r="IC303" t="b">
        <f t="shared" si="892"/>
        <v>1</v>
      </c>
      <c r="ID303" s="245" t="b">
        <f t="shared" si="893"/>
        <v>1</v>
      </c>
      <c r="IE303" s="245" t="b">
        <f t="shared" si="894"/>
        <v>1</v>
      </c>
      <c r="IF303" s="245" t="b">
        <f t="shared" si="895"/>
        <v>0</v>
      </c>
      <c r="IG303" s="245" t="b">
        <f t="shared" si="896"/>
        <v>1</v>
      </c>
      <c r="IH303" s="245" t="b">
        <f t="shared" si="897"/>
        <v>1</v>
      </c>
      <c r="II303" s="245">
        <f t="shared" si="1004"/>
        <v>0</v>
      </c>
      <c r="IJ303" s="245" t="e">
        <f t="shared" si="898"/>
        <v>#VALUE!</v>
      </c>
      <c r="IK303" s="245" t="e">
        <f t="shared" si="899"/>
        <v>#VALUE!</v>
      </c>
      <c r="IL303" s="245"/>
      <c r="IM303" s="245" t="e">
        <f t="shared" si="1005"/>
        <v>#N/A</v>
      </c>
      <c r="IN303" s="245" t="e">
        <f t="shared" si="1006"/>
        <v>#N/A</v>
      </c>
      <c r="IO303" s="245"/>
      <c r="IP303" s="245"/>
      <c r="IQ303" s="245" t="str">
        <f t="shared" si="900"/>
        <v/>
      </c>
      <c r="IR303" s="245" t="str">
        <f>IF(J303="","",VLOOKUP(J303,Worksheet!$R$4:$T$14,2))</f>
        <v/>
      </c>
      <c r="IS303" s="245"/>
      <c r="IT303" s="245">
        <f t="shared" si="901"/>
        <v>0</v>
      </c>
      <c r="IU303" s="245">
        <f t="shared" si="902"/>
        <v>0</v>
      </c>
      <c r="IV303" s="245">
        <f t="shared" si="903"/>
        <v>0</v>
      </c>
      <c r="IW303" s="245">
        <f t="shared" si="904"/>
        <v>0</v>
      </c>
      <c r="IX303" s="245">
        <f t="shared" si="1007"/>
        <v>0</v>
      </c>
      <c r="IY303" s="245">
        <f t="shared" si="905"/>
        <v>0</v>
      </c>
      <c r="IZ303" s="245">
        <f t="shared" si="906"/>
        <v>0</v>
      </c>
      <c r="JA303">
        <f t="shared" si="907"/>
        <v>0</v>
      </c>
      <c r="JB303">
        <f t="shared" si="1008"/>
        <v>0</v>
      </c>
      <c r="JC303">
        <f t="shared" si="908"/>
        <v>0</v>
      </c>
      <c r="JD303">
        <f t="shared" si="909"/>
        <v>0</v>
      </c>
      <c r="JE303">
        <f t="shared" si="910"/>
        <v>0</v>
      </c>
      <c r="JF303">
        <f t="shared" si="911"/>
        <v>0</v>
      </c>
      <c r="JG303">
        <f t="shared" si="912"/>
        <v>0</v>
      </c>
      <c r="JH303">
        <f t="shared" si="913"/>
        <v>0</v>
      </c>
      <c r="JI303">
        <f t="shared" si="914"/>
        <v>0</v>
      </c>
      <c r="JJ303" s="447">
        <f t="shared" si="915"/>
        <v>0</v>
      </c>
      <c r="JK303" s="447">
        <f t="shared" si="916"/>
        <v>0</v>
      </c>
      <c r="JL303">
        <f t="shared" si="917"/>
        <v>0</v>
      </c>
      <c r="JM303" s="245" t="str">
        <f>IFERROR(VLOOKUP(MATCH(BN303,#REF!,0),#REF!,7),"")</f>
        <v/>
      </c>
      <c r="JN303" t="e">
        <f>HLOOKUP(LEFT(BO303,7),Discharge_Area,MATCH(JO303,LookUps!$B$130:$B$149,1)+2)</f>
        <v>#N/A</v>
      </c>
      <c r="JO303" t="str">
        <f t="shared" si="918"/>
        <v>- S</v>
      </c>
      <c r="JP303" t="e">
        <f>HLOOKUP(LEFT(BO303,7),Discharge_Area,MATCH(JO303,LookUps!$B$130:$B$149,1)+2)</f>
        <v>#N/A</v>
      </c>
      <c r="JQ303" t="e">
        <f t="shared" si="919"/>
        <v>#N/A</v>
      </c>
      <c r="JR303" t="e">
        <f t="shared" si="920"/>
        <v>#N/A</v>
      </c>
      <c r="JS303" t="e">
        <f t="shared" si="921"/>
        <v>#N/A</v>
      </c>
      <c r="JT303" s="532" t="str">
        <f t="shared" si="922"/>
        <v xml:space="preserve"> </v>
      </c>
      <c r="JU303" s="532" t="str">
        <f t="shared" si="923"/>
        <v xml:space="preserve"> </v>
      </c>
      <c r="JV303" s="533" t="str">
        <f t="shared" si="924"/>
        <v xml:space="preserve"> </v>
      </c>
      <c r="JW303" s="534">
        <f t="shared" si="925"/>
        <v>0</v>
      </c>
      <c r="JX303" s="535" t="str">
        <f t="shared" si="1009"/>
        <v xml:space="preserve"> </v>
      </c>
      <c r="JY303" s="535" t="str">
        <f t="shared" si="1010"/>
        <v xml:space="preserve"> </v>
      </c>
      <c r="JZ303" s="535" t="str">
        <f t="shared" si="1011"/>
        <v xml:space="preserve"> </v>
      </c>
      <c r="KA303" s="536" t="str">
        <f t="shared" si="926"/>
        <v xml:space="preserve"> </v>
      </c>
      <c r="KB303" s="535" t="e">
        <f t="shared" si="1012"/>
        <v>#VALUE!</v>
      </c>
      <c r="KC303" s="535" t="str">
        <f t="shared" si="927"/>
        <v/>
      </c>
      <c r="KD303" s="537" t="str">
        <f t="shared" si="1013"/>
        <v xml:space="preserve"> </v>
      </c>
      <c r="KE303" s="537" t="str">
        <f t="shared" si="1014"/>
        <v xml:space="preserve"> </v>
      </c>
      <c r="KF303" s="534">
        <f t="shared" si="928"/>
        <v>0</v>
      </c>
      <c r="KG303" s="535" t="str">
        <f t="shared" si="929"/>
        <v xml:space="preserve"> </v>
      </c>
      <c r="KH303" s="535" t="str">
        <f t="shared" si="930"/>
        <v xml:space="preserve"> </v>
      </c>
      <c r="KI303" s="535" t="str">
        <f t="shared" si="931"/>
        <v xml:space="preserve"> </v>
      </c>
      <c r="KJ303" s="536" t="str">
        <f t="shared" si="932"/>
        <v xml:space="preserve"> </v>
      </c>
      <c r="KK303" s="535" t="str">
        <f t="shared" si="1015"/>
        <v xml:space="preserve"> </v>
      </c>
      <c r="KL303" s="535" t="str">
        <f t="shared" si="1016"/>
        <v xml:space="preserve"> </v>
      </c>
      <c r="KM303" s="537" t="str">
        <f t="shared" si="933"/>
        <v xml:space="preserve"> </v>
      </c>
      <c r="KN303" s="537" t="str">
        <f t="shared" si="1017"/>
        <v xml:space="preserve"> </v>
      </c>
      <c r="KP303">
        <f t="shared" si="934"/>
        <v>0</v>
      </c>
      <c r="LA303" t="e">
        <f t="shared" si="935"/>
        <v>#VALUE!</v>
      </c>
      <c r="LB303" t="e">
        <f t="shared" si="936"/>
        <v>#VALUE!</v>
      </c>
      <c r="LC303" t="e">
        <f t="shared" si="937"/>
        <v>#VALUE!</v>
      </c>
      <c r="LD303" t="e">
        <f t="shared" si="938"/>
        <v>#VALUE!</v>
      </c>
      <c r="LE303" t="e">
        <f t="shared" si="1018"/>
        <v>#VALUE!</v>
      </c>
      <c r="LF303">
        <f t="shared" si="939"/>
        <v>0</v>
      </c>
      <c r="LG303" t="e">
        <f t="shared" si="1019"/>
        <v>#VALUE!</v>
      </c>
      <c r="LH303" t="str">
        <f t="shared" si="940"/>
        <v xml:space="preserve"> </v>
      </c>
      <c r="LI303">
        <f t="shared" si="1020"/>
        <v>1</v>
      </c>
    </row>
    <row r="304" spans="2:321" ht="15" customHeight="1">
      <c r="B304" s="311"/>
      <c r="C304" s="311"/>
      <c r="D304" s="312"/>
      <c r="E304" s="311"/>
      <c r="F304" s="312"/>
      <c r="G304" s="311"/>
      <c r="H304" s="311"/>
      <c r="I304" s="232"/>
      <c r="J304" s="311"/>
      <c r="K304" s="305" t="str">
        <f t="shared" si="941"/>
        <v/>
      </c>
      <c r="L304" s="313"/>
      <c r="M304" s="312"/>
      <c r="N304" s="311"/>
      <c r="O304" s="312"/>
      <c r="P304" s="311"/>
      <c r="Q304" s="305" t="str">
        <f t="shared" si="942"/>
        <v/>
      </c>
      <c r="R304" s="314"/>
      <c r="S304" s="450" t="str">
        <f t="shared" si="825"/>
        <v/>
      </c>
      <c r="T304" s="315"/>
      <c r="U304" s="315"/>
      <c r="W304" s="149" t="str">
        <f t="shared" si="826"/>
        <v xml:space="preserve"> </v>
      </c>
      <c r="X304" s="243" t="str">
        <f t="shared" si="827"/>
        <v xml:space="preserve"> </v>
      </c>
      <c r="Y304" s="150" t="str">
        <f t="shared" si="828"/>
        <v/>
      </c>
      <c r="Z304" s="149" t="str">
        <f t="shared" si="829"/>
        <v xml:space="preserve"> </v>
      </c>
      <c r="AA304" s="98" t="str">
        <f t="shared" si="830"/>
        <v xml:space="preserve"> </v>
      </c>
      <c r="AB304" s="153" t="str">
        <f t="shared" si="831"/>
        <v xml:space="preserve"> </v>
      </c>
      <c r="AC304" s="153" t="str">
        <f t="shared" si="832"/>
        <v xml:space="preserve"> </v>
      </c>
      <c r="AD304" s="148" t="str">
        <f t="shared" si="833"/>
        <v/>
      </c>
      <c r="AE304" s="149" t="str">
        <f t="shared" si="834"/>
        <v/>
      </c>
      <c r="AF304" s="151" t="str">
        <f t="shared" si="835"/>
        <v xml:space="preserve"> </v>
      </c>
      <c r="AG304" s="153" t="str">
        <f t="shared" si="836"/>
        <v xml:space="preserve"> </v>
      </c>
      <c r="AH304" s="98" t="str">
        <f t="shared" si="837"/>
        <v xml:space="preserve"> </v>
      </c>
      <c r="AI304" s="149" t="str">
        <f t="shared" si="838"/>
        <v xml:space="preserve"> </v>
      </c>
      <c r="AK304" s="144" t="str">
        <f t="shared" si="839"/>
        <v xml:space="preserve"> </v>
      </c>
      <c r="AL304" s="144"/>
      <c r="AM304" s="243" t="str">
        <f t="shared" si="840"/>
        <v xml:space="preserve"> </v>
      </c>
      <c r="AN304" s="149" t="str">
        <f t="shared" si="943"/>
        <v xml:space="preserve"> </v>
      </c>
      <c r="AO304" s="144" t="str">
        <f>IF(JB304&gt;0,IF(GI304=10,-R304*1.085*(Calculation!$F$6-Calculation!$F$13)*$S$14," "),"")</f>
        <v/>
      </c>
      <c r="AP304" s="144" t="str">
        <f t="shared" si="841"/>
        <v/>
      </c>
      <c r="AQ304" s="56" t="str">
        <f t="shared" si="842"/>
        <v/>
      </c>
      <c r="AR304" s="144" t="str">
        <f t="shared" si="843"/>
        <v/>
      </c>
      <c r="AS304" s="176" t="str">
        <f t="shared" si="844"/>
        <v/>
      </c>
      <c r="AT304" s="176" t="str">
        <f t="shared" si="944"/>
        <v xml:space="preserve"> </v>
      </c>
      <c r="AU304" s="176" t="str">
        <f t="shared" si="845"/>
        <v/>
      </c>
      <c r="AV304" s="177" t="str">
        <f t="shared" si="846"/>
        <v xml:space="preserve"> </v>
      </c>
      <c r="AW304" s="144" t="str">
        <f t="shared" si="847"/>
        <v xml:space="preserve"> </v>
      </c>
      <c r="AX304" s="144" t="str">
        <f t="shared" si="848"/>
        <v xml:space="preserve"> </v>
      </c>
      <c r="AY304" s="152" t="str">
        <f t="shared" si="849"/>
        <v xml:space="preserve"> </v>
      </c>
      <c r="AZ304" s="246" t="str">
        <f t="shared" si="850"/>
        <v/>
      </c>
      <c r="BA304" s="176" t="str">
        <f t="shared" si="851"/>
        <v xml:space="preserve"> </v>
      </c>
      <c r="BB304" s="176" t="str">
        <f t="shared" si="852"/>
        <v xml:space="preserve"> </v>
      </c>
      <c r="BC304" s="195"/>
      <c r="BD304" s="316"/>
      <c r="BE304" s="317"/>
      <c r="BF304" s="318"/>
      <c r="BG304" s="318"/>
      <c r="BH304" s="144" t="str">
        <f t="shared" si="1021"/>
        <v xml:space="preserve"> </v>
      </c>
      <c r="BI304" s="176" t="str">
        <f t="shared" si="853"/>
        <v/>
      </c>
      <c r="BJ304" s="144" t="str">
        <f t="shared" si="1022"/>
        <v/>
      </c>
      <c r="BK304" s="246" t="str">
        <f t="shared" si="854"/>
        <v/>
      </c>
      <c r="BL304" s="144" t="str">
        <f t="shared" si="1023"/>
        <v/>
      </c>
      <c r="BM304" s="246" t="str">
        <f t="shared" si="855"/>
        <v/>
      </c>
      <c r="BN304" s="337" t="str">
        <f t="shared" si="945"/>
        <v/>
      </c>
      <c r="BO304" s="371" t="str">
        <f t="shared" si="946"/>
        <v/>
      </c>
      <c r="BP304" s="328" t="str">
        <f t="shared" si="1024"/>
        <v xml:space="preserve"> </v>
      </c>
      <c r="BQ304" s="347" t="str">
        <f t="shared" si="947"/>
        <v xml:space="preserve"> </v>
      </c>
      <c r="BR304" s="353" t="str">
        <f t="shared" si="948"/>
        <v xml:space="preserve"> </v>
      </c>
      <c r="BS304" s="626" t="str">
        <f>IF(L304&gt;0,IF(Calculation!P304="M13",BR304*3.1416*(0.134^2)/(4*144),IF(Calculation!P304="M17",BR304*3.1416*(0.165^2)/(4*144),IF(Calculation!P304="M20",BR304*3.1416*(0.198^2)/(4*144),IF(Calculation!P304="M23",BR304*3.1416*(0.228^2)/(4*144),IF(Calculation!P304="M27",BR304*3.1416*(0.269^2)/(4*144),BR304*3.1416*(0.307^2)/(4*144))))))," ")</f>
        <v xml:space="preserve"> </v>
      </c>
      <c r="BT304" s="353" t="str">
        <f>IF(L304&gt;0,IF(BS304&gt;0,R304/Calculation!BS304,0)," ")</f>
        <v xml:space="preserve"> </v>
      </c>
      <c r="BU304" s="438" t="e">
        <f t="shared" ca="1" si="856"/>
        <v>#VALUE!</v>
      </c>
      <c r="BV304" s="449" t="e">
        <f ca="1">INDEX(INDIRECT(VLOOKUP(LEFT(BO304,7),CLU!$Z$3:$AH$18,2)),GN304,GR304)</f>
        <v>#N/A</v>
      </c>
      <c r="BW304" s="433" t="e">
        <f ca="1">INDEX(INDIRECT(VLOOKUP(LEFT(BO304,7),CLU!$Z$3:$AH$18,3)),GN304,GR304)</f>
        <v>#N/A</v>
      </c>
      <c r="BX304" s="433" t="e">
        <f ca="1">INDEX(INDIRECT(VLOOKUP(LEFT(BO304,7),CLU!$Z$3:$AH$18,4)),GN304,GR304)</f>
        <v>#N/A</v>
      </c>
      <c r="BY304" s="433" t="e">
        <f ca="1">INDEX(INDIRECT(VLOOKUP(LEFT(BO304,7),CLU!$Z$3:$AH$18,9)),((M304-2)*(6-COUNTBLANK(GT304:GY304)))+GJ304)</f>
        <v>#N/A</v>
      </c>
      <c r="BZ304" s="426" t="e">
        <f t="shared" ca="1" si="949"/>
        <v>#N/A</v>
      </c>
      <c r="CA304" s="424" t="e">
        <f t="shared" ca="1" si="950"/>
        <v>#N/A</v>
      </c>
      <c r="CB304" s="429" t="e">
        <f ca="1">INDEX(INDIRECT(VLOOKUP(LEFT(BO304,7),CLU!$Z$3:$AH$18,2)),GN304,GS304)</f>
        <v>#N/A</v>
      </c>
      <c r="CC304" s="342" t="e">
        <f ca="1">INDEX(INDIRECT(VLOOKUP(LEFT(BO304,7),CLU!$Z$3:$AH$18,3)),GN304,GS304)</f>
        <v>#N/A</v>
      </c>
      <c r="CD304" s="342" t="e">
        <f ca="1">INDEX(INDIRECT(VLOOKUP(LEFT(BO304,7),CLU!$Z$3:$AH$18,4)),GN304,GS304)</f>
        <v>#N/A</v>
      </c>
      <c r="CE304" s="426" t="e">
        <f t="shared" ca="1" si="951"/>
        <v>#N/A</v>
      </c>
      <c r="CF304" s="440">
        <f t="shared" si="952"/>
        <v>0</v>
      </c>
      <c r="CG304" s="431" t="e">
        <f ca="1">INDEX(INDIRECT(VLOOKUP(LEFT(BO304,7),CLU!$Z$3:$AH$18,2)),GQ304,GR304)</f>
        <v>#N/A</v>
      </c>
      <c r="CH304" s="431" t="e">
        <f ca="1">INDEX(INDIRECT(VLOOKUP(LEFT(BO304,7),CLU!$Z$3:$AH$18,3)),GQ304,GR304)</f>
        <v>#N/A</v>
      </c>
      <c r="CI304" s="431" t="e">
        <f ca="1">INDEX(INDIRECT(VLOOKUP(LEFT(BO304,7),CLU!$Z$3:$AH$18,4)),GQ304,GR304)</f>
        <v>#N/A</v>
      </c>
      <c r="CJ304" s="448" t="e">
        <f t="shared" ca="1" si="953"/>
        <v>#N/A</v>
      </c>
      <c r="CK304" s="431" t="e">
        <f t="shared" ca="1" si="954"/>
        <v>#N/A</v>
      </c>
      <c r="CL304" s="440" t="e">
        <f t="shared" ca="1" si="955"/>
        <v>#N/A</v>
      </c>
      <c r="CM304" s="431" t="e">
        <f ca="1">INDEX(INDIRECT(VLOOKUP(LEFT(BO304,7),CLU!$Z$3:$AH$18,2)),GQ304,GS304)</f>
        <v>#N/A</v>
      </c>
      <c r="CN304" s="431" t="e">
        <f ca="1">INDEX(INDIRECT(VLOOKUP(LEFT(BO304,7),CLU!$Z$3:$AH$18,3)),GQ304,GS304)</f>
        <v>#N/A</v>
      </c>
      <c r="CO304" s="431" t="e">
        <f ca="1">INDEX(INDIRECT(VLOOKUP(LEFT(BO304,7),CLU!$Z$3:$AH$18,4)),GQ304,GS304)</f>
        <v>#N/A</v>
      </c>
      <c r="CP304" s="431" t="e">
        <f t="shared" ca="1" si="956"/>
        <v>#N/A</v>
      </c>
      <c r="CQ304" s="440">
        <f t="shared" si="957"/>
        <v>0</v>
      </c>
      <c r="CR304" s="51" t="e">
        <f t="shared" ca="1" si="958"/>
        <v>#N/A</v>
      </c>
      <c r="CS304" s="439" t="e">
        <f t="shared" ca="1" si="959"/>
        <v>#VALUE!</v>
      </c>
      <c r="CT304" s="51" t="e">
        <f t="shared" ca="1" si="960"/>
        <v>#VALUE!</v>
      </c>
      <c r="CU304" s="10"/>
      <c r="CV304" s="51" t="e">
        <f t="shared" ca="1" si="857"/>
        <v>#VALUE!</v>
      </c>
      <c r="CW304" s="51">
        <f t="shared" si="961"/>
        <v>0</v>
      </c>
      <c r="CX304" s="439" t="e">
        <f t="shared" ca="1" si="962"/>
        <v>#VALUE!</v>
      </c>
      <c r="CY304" s="51" t="e">
        <f t="shared" ca="1" si="963"/>
        <v>#VALUE!</v>
      </c>
      <c r="CZ304" s="10"/>
      <c r="DA304" s="51" t="e">
        <f t="shared" ca="1" si="964"/>
        <v>#VALUE!</v>
      </c>
      <c r="DB304" s="347" t="e">
        <f ca="1">INDEX(INDIRECT(VLOOKUP(LEFT(BO304,7),CLU!$Z$3:$AI$18,10)),((M304-2)*(6-COUNTBLANK(GT304:GY304)))+GJ304)*LI304</f>
        <v>#N/A</v>
      </c>
      <c r="DC304" s="347" t="str">
        <f>IF(L304&gt;0,((R304/Worksheet!$I$15)/DB304)^2," ")</f>
        <v xml:space="preserve"> </v>
      </c>
      <c r="DD304" s="602" t="str">
        <f t="shared" si="965"/>
        <v xml:space="preserve"> </v>
      </c>
      <c r="DE304" s="347" t="str">
        <f t="shared" si="858"/>
        <v xml:space="preserve"> </v>
      </c>
      <c r="DF304" s="356" t="e">
        <f ca="1">INDEX(INDIRECT(VLOOKUP(LEFT(BO304,7),CLU!$Z$3:$AH$18,8)),((M304-2)*(6-COUNTBLANK(GT304:GY304)))+GJ304)</f>
        <v>#N/A</v>
      </c>
      <c r="DG304" s="347" t="str">
        <f t="shared" si="859"/>
        <v xml:space="preserve"> </v>
      </c>
      <c r="DH304" s="357" t="str">
        <f t="shared" si="860"/>
        <v xml:space="preserve"> </v>
      </c>
      <c r="DI304" s="355" t="str">
        <f t="shared" si="861"/>
        <v xml:space="preserve"> </v>
      </c>
      <c r="DJ304" s="245" t="e">
        <f ca="1">INDEX(INDIRECT(VLOOKUP(LEFT(BO304,7),CLU!$Z$3:$AH$18,5)),GL304,GK304)</f>
        <v>#N/A</v>
      </c>
      <c r="DK304" s="245" t="e">
        <f ca="1">INDEX(INDIRECT(VLOOKUP(LEFT(BO304,7),CLU!$Z$3:$AH$18,6)),GL304,GK304)</f>
        <v>#N/A</v>
      </c>
      <c r="DL304" s="355">
        <f>(Calculation!R304*0.69143*(Calculation!$BQ$8-Calculation!$F$8))*$S$14</f>
        <v>0</v>
      </c>
      <c r="DM304" s="359" t="e">
        <f t="shared" si="966"/>
        <v>#VALUE!</v>
      </c>
      <c r="DN304" s="611">
        <f t="shared" si="967"/>
        <v>0</v>
      </c>
      <c r="DO304" s="359">
        <f t="shared" si="968"/>
        <v>100</v>
      </c>
      <c r="DP304" s="359">
        <f t="shared" si="969"/>
        <v>0</v>
      </c>
      <c r="DQ304" s="360"/>
      <c r="DR304" s="245" t="e">
        <f ca="1">INDEX(INDIRECT(VLOOKUP(LEFT(BO304,7),CLU!$Z$3:$AH$18,7)),M304-1,1)</f>
        <v>#N/A</v>
      </c>
      <c r="DS304" s="245" t="e">
        <f ca="1">INDEX(INDIRECT(VLOOKUP(LEFT(BO304,7),CLU!$Z$3:$AH$18,7)),M304-1,2)</f>
        <v>#N/A</v>
      </c>
      <c r="DT304" s="245" t="e">
        <f ca="1">INDEX(INDIRECT(VLOOKUP(LEFT(BO304,7),CLU!$Z$3:$AH$18,7)),M304-1,3)</f>
        <v>#N/A</v>
      </c>
      <c r="DU304" s="245" t="e">
        <f ca="1">INDEX(INDIRECT(VLOOKUP(LEFT(BO304,7),CLU!$Z$3:$AH$18,7)),M304-1,4)</f>
        <v>#N/A</v>
      </c>
      <c r="DV304" s="361" t="e">
        <f ca="1">INDEX(INDIRECT(VLOOKUP(LEFT(BO304,7),CLU!$Z$3:$AH$18,7)),M304-1,4+LEFT(DZ304,1)*0.5)</f>
        <v>#N/A</v>
      </c>
      <c r="DW304" s="245" t="e">
        <f ca="1">INDEX(INDIRECT(VLOOKUP(LEFT(BO304,7),CLU!$Z$3:$AH$18,7)),M304-1,8)</f>
        <v>#N/A</v>
      </c>
      <c r="DX304" s="361" t="str">
        <f t="shared" si="862"/>
        <v xml:space="preserve"> </v>
      </c>
      <c r="DY304" s="361" t="str">
        <f t="shared" si="863"/>
        <v xml:space="preserve"> </v>
      </c>
      <c r="DZ304" s="361" t="str">
        <f t="shared" si="864"/>
        <v xml:space="preserve"> </v>
      </c>
      <c r="EA304" s="362" t="str">
        <f t="shared" si="865"/>
        <v xml:space="preserve"> </v>
      </c>
      <c r="EB304" s="624" t="str">
        <f t="shared" si="970"/>
        <v xml:space="preserve"> </v>
      </c>
      <c r="EC304" s="361" t="e">
        <f ca="1">INDEX(INDIRECT(VLOOKUP(LEFT(BO304,7),CLU!$Z$3:$AH$18,7)),M304-1,4+LEFT(DZ304,1)*0.5)</f>
        <v>#N/A</v>
      </c>
      <c r="ED304" s="362" t="str">
        <f t="shared" si="866"/>
        <v xml:space="preserve"> </v>
      </c>
      <c r="EE304" s="361" t="str">
        <f t="shared" si="867"/>
        <v xml:space="preserve"> </v>
      </c>
      <c r="EF304" s="362" t="str">
        <f>IF(L304&gt;0,IF(BR304&gt;0,IF(EE304="2P",IF(Calculation!DZ304="2P",IF(Calculation!DS304=13.75,IF(Calculation!DR304=13,Worksheet!$BD$43,IF(Calculation!DR304=37,Worksheet!$BD$44,Worksheet!$BD$45)),IF(Calculation!DS304=10,IF(Calculation!DR304=18,Worksheet!$BD$29,IF(Calculation!DR304=30,Worksheet!$BD$30,IF(Calculation!DR304=42,Worksheet!$BD$31,IF(Calculation!DR304=54,Worksheet!$BD$32,IF(Calculation!DR304=66,Worksheet!$BD$33,IF(Calculation!DR304=78,Worksheet!$BD$34,IF(Calculation!DR304=90,Worksheet!$BD$35,IF(Calculation!DR304=102,Worksheet!$BD$36,Worksheet!$BD$37)))))))),IF(Calculation!DS304=12.5,IF(Calculation!DR304=18,Worksheet!$BD$38,IF(Calculation!DR304=Worksheet!$BD$39,IF(Calculation!DR304=42,Worksheet!$BD$40,IF(Calculation!DR304=54,Worksheet!$BD$41,Worksheet!$BD$42)))),IF(Calculation!DR304=18,Worksheet!$BD$11,IF(Calculation!DR304=30,Worksheet!$BD$12,IF(Calculation!DR304=42,Worksheet!$BD$13,IF(Calculation!DR304=54,Worksheet!$BD$14,IF(Calculation!DR304=66,Worksheet!$BD$15,IF(Calculation!DR304=78,Worksheet!$BD$16,IF(Calculation!DR304=90,Worksheet!$BD$17,IF(Calculation!DR304=102,Worksheet!$BD$18,Worksheet!$BD$19))))))))))),IF(Calculation!DS304=13.75,IF(Calculation!DR304=13,Worksheet!$BD$78,IF(Calculation!DR304=37,Worksheet!$BD$79,Worksheet!$BD$80)),IF(Calculation!DS304=10,IF(Calculation!DR304=18,Worksheet!$BD$64,IF(Calculation!DR304=30,Worksheet!$BD$65,IF(Calculation!DR304=42,Worksheet!$BD$66,IF(Calculation!DR304=54,Worksheet!$BD$68,IF(Calculation!DR304=66,Worksheet!$BD$68,IF(Calculation!DR304=78,Worksheet!$BD$69,IF(Calculation!DR304=90,Worksheet!$BD$70,IF(Calculation!DR304=102,Worksheet!$BD$71,Worksheet!$BD$72)))))))),IF(Calculation!DS304=12.5,IF(Calculation!DR304=18,Worksheet!$BD$73,IF(Calculation!DR304=Worksheet!$BD$74,IF(Calculation!DR304=42,Worksheet!$BD$75,IF(Calculation!DR304=54,Worksheet!$BD$76,Worksheet!$BD$77)))),IF(Calculation!DR304=18,Worksheet!$BD$55,IF(Calculation!DR304=30,Worksheet!$BD$56,IF(Calculation!DR304=42,Worksheet!$BD$57,IF(Calculation!DR304=54,Worksheet!$BD$58,IF(Calculation!DR304=66,Worksheet!$BD$59,IF(Calculation!DR304=78,Worksheet!$BD$60,IF(Calculation!DR304=90,Worksheet!$BD$61,IF(Calculation!DR304=102,Worksheet!$BD$62,Worksheet!$BD$63)))))))))))),5),0)," ")</f>
        <v xml:space="preserve"> </v>
      </c>
      <c r="EG304" s="361" t="str">
        <f t="shared" si="868"/>
        <v xml:space="preserve"> </v>
      </c>
      <c r="EH304" s="361" t="e">
        <f ca="1">INDEX(INDIRECT(VLOOKUP(LEFT(BO304,7),CLU!$Z$3:$AH$18,7)),M304-1,3+LEFT(DZ304,1))</f>
        <v>#N/A</v>
      </c>
      <c r="EI304" s="362" t="str">
        <f t="shared" si="869"/>
        <v xml:space="preserve"> </v>
      </c>
      <c r="EJ304" s="363" t="str">
        <f t="shared" si="870"/>
        <v xml:space="preserve"> </v>
      </c>
      <c r="EK304" s="363" t="str">
        <f t="shared" si="871"/>
        <v xml:space="preserve"> </v>
      </c>
      <c r="EL304" s="363" t="str">
        <f t="shared" si="872"/>
        <v xml:space="preserve"> </v>
      </c>
      <c r="EM304" s="362" t="str">
        <f>IF(L304&gt;0,IF(BR304&gt;0,(Calculation!T304/ED304)^2,0)," ")</f>
        <v xml:space="preserve"> </v>
      </c>
      <c r="EN304" s="362" t="str">
        <f>IF(L304&gt;0,IF(O304="2 Pipe (Cooling)","N/A",IF(BR304&gt;0,(Calculation!U304/EI304)^2,0))," ")</f>
        <v xml:space="preserve"> </v>
      </c>
      <c r="EO304" s="361" t="str">
        <f t="shared" si="873"/>
        <v/>
      </c>
      <c r="EP304" s="361" t="str">
        <f t="shared" si="874"/>
        <v/>
      </c>
      <c r="EQ304" s="361" t="str">
        <f t="shared" si="875"/>
        <v/>
      </c>
      <c r="ER304" s="361" t="str">
        <f t="shared" si="876"/>
        <v/>
      </c>
      <c r="ES304" s="361" t="str">
        <f t="shared" si="877"/>
        <v/>
      </c>
      <c r="ET304" s="361" t="str">
        <f t="shared" si="878"/>
        <v/>
      </c>
      <c r="EU304" s="361" t="str">
        <f t="shared" si="879"/>
        <v/>
      </c>
      <c r="EV304" s="361" t="str">
        <f t="shared" si="880"/>
        <v/>
      </c>
      <c r="EW304" s="361" t="str">
        <f t="shared" si="881"/>
        <v/>
      </c>
      <c r="EX304" s="361" t="str">
        <f t="shared" si="971"/>
        <v>1 slot, 1 way</v>
      </c>
      <c r="EY304" s="361" t="str">
        <f t="shared" si="972"/>
        <v xml:space="preserve"> </v>
      </c>
      <c r="EZ304" s="361" t="str">
        <f t="shared" si="973"/>
        <v xml:space="preserve"> </v>
      </c>
      <c r="FA304" s="361" t="str">
        <f t="shared" si="974"/>
        <v xml:space="preserve"> </v>
      </c>
      <c r="FB304" s="361" t="str">
        <f t="shared" si="975"/>
        <v xml:space="preserve"> </v>
      </c>
      <c r="FC304" s="361"/>
      <c r="FD304" s="361" t="str">
        <f>IF(J304&gt;0,IF(Calculation!R304&lt;=70,4,IF(Calculation!R304&lt;=110,5,IF(Calculation!R304&lt;=160,6,IF(Calculation!R304&lt;=300,8,"10 EO")))),"")</f>
        <v/>
      </c>
      <c r="FE304" s="361" t="str">
        <f t="shared" si="976"/>
        <v/>
      </c>
      <c r="FF304" s="361" t="str">
        <f t="shared" si="977"/>
        <v/>
      </c>
      <c r="FG304" s="361" t="e">
        <f t="shared" si="882"/>
        <v>#N/A</v>
      </c>
      <c r="FH304" s="361">
        <f t="shared" si="883"/>
        <v>0</v>
      </c>
      <c r="FI304" s="361" t="e">
        <f t="shared" si="884"/>
        <v>#DIV/0!</v>
      </c>
      <c r="FJ304" s="361"/>
      <c r="FK304" s="356" t="e">
        <f t="shared" si="885"/>
        <v>#VALUE!</v>
      </c>
      <c r="FL304" s="361"/>
      <c r="FM304" s="361"/>
      <c r="FN304" s="362" t="str">
        <f t="shared" si="978"/>
        <v xml:space="preserve"> </v>
      </c>
      <c r="FO304" s="362" t="str">
        <f t="shared" si="979"/>
        <v xml:space="preserve"> </v>
      </c>
      <c r="FP304" s="362">
        <f t="shared" si="980"/>
        <v>0</v>
      </c>
      <c r="FQ304" s="361">
        <f t="shared" si="886"/>
        <v>0</v>
      </c>
      <c r="FR304" s="362" t="str">
        <f>IF(L304&gt;0,IF(J304="CBAL2",Worksheet!$P$67,IF(J304="CBE2-24",Worksheet!$Q$67,IF(J304="CBAM",Worksheet!$R$67,IF(J304="CBLV",Worksheet!$S$67,IF(J304="CBAB",Worksheet!$U$67,IF(J304="CBAW",Worksheet!$X$67,IF(J304="CBE2-12",Worksheet!$Y$67,IF(J304="CBAL2",Worksheet!$Z$67,"N/A"))))))))," ")</f>
        <v xml:space="preserve"> </v>
      </c>
      <c r="FS304" s="362" t="str">
        <f>IF(L304&gt;0,IF(J304="CBAL2",Worksheet!$P$68,IF(J304="CBE2-24",Worksheet!$Q$68,IF(J304="CBAM",Worksheet!$R$68,IF(J304="CBLV",Worksheet!$S$68,IF(J304="CBAB",Worksheet!$U$68,IF(J304="CBAW",Worksheet!$X$68,IF(J304="CBE2-12",Worksheet!$Y$68,IF(J304="CBAL2",Worksheet!$Z$68,"N/A"))))))))," ")</f>
        <v xml:space="preserve"> </v>
      </c>
      <c r="FT304" s="362" t="str">
        <f>IF(L304&gt;0,IF(J304="CBAL2",Worksheet!$P$69,IF(J304="CBE2-24",Worksheet!$Q$69,IF(J304="CBAM",Worksheet!$R$69,IF(J304="CBLV",Worksheet!$S$69,IF(J304="CBAB",Worksheet!$U$69,IF(J304="CBAW",Worksheet!$X$69,IF(J304="CBE2-12",Worksheet!$Y$69,IF(J304="CBAL2",Worksheet!$Z$69,"N/A"))))))))," ")</f>
        <v xml:space="preserve"> </v>
      </c>
      <c r="FU304" s="361" t="str">
        <f t="shared" si="981"/>
        <v xml:space="preserve"> </v>
      </c>
      <c r="FV304" s="362" t="str">
        <f t="shared" si="982"/>
        <v xml:space="preserve"> </v>
      </c>
      <c r="FW304" s="362" t="str">
        <f t="shared" si="983"/>
        <v xml:space="preserve"> </v>
      </c>
      <c r="FX304" s="362" t="str">
        <f t="shared" si="984"/>
        <v xml:space="preserve"> </v>
      </c>
      <c r="FY304" s="355" t="str">
        <f t="shared" si="985"/>
        <v xml:space="preserve"> </v>
      </c>
      <c r="FZ304" s="361" t="str">
        <f t="shared" si="986"/>
        <v xml:space="preserve"> </v>
      </c>
      <c r="GA304" s="347" t="str">
        <f t="shared" si="987"/>
        <v xml:space="preserve"> </v>
      </c>
      <c r="GB304" s="355" t="str">
        <f t="shared" si="988"/>
        <v xml:space="preserve"> </v>
      </c>
      <c r="GC304" s="328" t="str">
        <f t="shared" si="989"/>
        <v xml:space="preserve"> </v>
      </c>
      <c r="GD304" s="361" t="str">
        <f t="shared" si="990"/>
        <v xml:space="preserve"> </v>
      </c>
      <c r="GE304" s="347" t="str">
        <f t="shared" si="991"/>
        <v xml:space="preserve"> </v>
      </c>
      <c r="GF304" s="361" t="str">
        <f t="shared" si="992"/>
        <v xml:space="preserve"> </v>
      </c>
      <c r="GG304" s="347" t="str">
        <f t="shared" si="993"/>
        <v xml:space="preserve"> </v>
      </c>
      <c r="GH304" s="364">
        <f t="shared" si="887"/>
        <v>0</v>
      </c>
      <c r="GI304" s="362">
        <f t="shared" si="994"/>
        <v>2</v>
      </c>
      <c r="GJ304" s="433" t="e">
        <f>IF(6-COUNTBLANK(GT304:GY304)=4,MATCH(MID(BO304,9,3),CLU!$H$16:$K$16),MATCH(MID(BO304,9,3),CLU!$H$13:$M$13))</f>
        <v>#N/A</v>
      </c>
      <c r="GK304" s="433" t="e">
        <f>HLOOKUP(VALUE(BP304),CLU!$H$9:$M$10,2)</f>
        <v>#VALUE!</v>
      </c>
      <c r="GL304" s="433" t="e">
        <f ca="1">MATCH(BU304,CLU!$H$2:$V$2,1)</f>
        <v>#VALUE!</v>
      </c>
      <c r="GM304" s="433" t="e">
        <f t="shared" ca="1" si="995"/>
        <v>#VALUE!</v>
      </c>
      <c r="GN304" s="433" t="e">
        <f t="shared" ca="1" si="996"/>
        <v>#VALUE!</v>
      </c>
      <c r="GO304" s="433" t="e">
        <f t="shared" ca="1" si="997"/>
        <v>#VALUE!</v>
      </c>
      <c r="GP304" s="433" t="e">
        <f t="shared" ca="1" si="998"/>
        <v>#VALUE!</v>
      </c>
      <c r="GQ304" s="433" t="e">
        <f t="shared" ca="1" si="999"/>
        <v>#VALUE!</v>
      </c>
      <c r="GR304" s="433" t="e">
        <f ca="1">MATCH(T304,INDIRECT(VLOOKUP(CONCATENATE(LEFT(BO304,7),"-",MID(BO304,13,1)),CLU!$P$3:$Q$16,2)),1)</f>
        <v>#N/A</v>
      </c>
      <c r="GS304" s="433" t="e">
        <f ca="1">MATCH(U304,INDIRECT(VLOOKUP(CONCATENATE(LEFT(BO304,7),"-",MID(BO304,13,1)),CLU!$P$3:$Q$16,2)),1)</f>
        <v>#N/A</v>
      </c>
      <c r="GT304" s="347" t="s">
        <v>512</v>
      </c>
      <c r="GU304" s="97" t="s">
        <v>513</v>
      </c>
      <c r="GV304" s="97" t="str">
        <f t="shared" si="1000"/>
        <v>M23</v>
      </c>
      <c r="GW304" s="97" t="str">
        <f t="shared" si="1001"/>
        <v>M31</v>
      </c>
      <c r="GX304" s="97" t="str">
        <f t="shared" si="1002"/>
        <v/>
      </c>
      <c r="GY304" s="97" t="str">
        <f t="shared" si="1003"/>
        <v/>
      </c>
      <c r="GZ304" s="481"/>
      <c r="HA304" s="240"/>
      <c r="HB304" s="240"/>
      <c r="HC304" s="240"/>
      <c r="HD304" s="240"/>
      <c r="HE304" s="240"/>
      <c r="HF304" s="240"/>
      <c r="HG304" s="240"/>
      <c r="HH304" s="240"/>
      <c r="HI304" s="240"/>
      <c r="HJ304" s="240"/>
      <c r="HK304" s="240"/>
      <c r="HL304" s="240"/>
      <c r="HM304" s="240"/>
      <c r="HN304" s="240"/>
      <c r="HO304" s="240"/>
      <c r="HP304" s="240"/>
      <c r="HQ304" s="240"/>
      <c r="HR304" s="240"/>
      <c r="HS304" s="240"/>
      <c r="HT304" s="240"/>
      <c r="HU304" s="240"/>
      <c r="HV304" s="245"/>
      <c r="HW304" s="245" t="b">
        <v>1</v>
      </c>
      <c r="HX304" s="245" t="str">
        <f t="shared" si="888"/>
        <v/>
      </c>
      <c r="HY304" s="245" t="e">
        <f t="shared" si="889"/>
        <v>#DIV/0!</v>
      </c>
      <c r="HZ304" s="245" t="e">
        <f t="shared" si="890"/>
        <v>#DIV/0!</v>
      </c>
      <c r="IA304" s="245">
        <f t="shared" si="891"/>
        <v>0</v>
      </c>
      <c r="IB304" s="245"/>
      <c r="IC304" t="b">
        <f t="shared" si="892"/>
        <v>1</v>
      </c>
      <c r="ID304" s="245" t="b">
        <f t="shared" si="893"/>
        <v>1</v>
      </c>
      <c r="IE304" s="245" t="b">
        <f t="shared" si="894"/>
        <v>1</v>
      </c>
      <c r="IF304" s="245" t="b">
        <f t="shared" si="895"/>
        <v>0</v>
      </c>
      <c r="IG304" s="245" t="b">
        <f t="shared" si="896"/>
        <v>1</v>
      </c>
      <c r="IH304" s="245" t="b">
        <f t="shared" si="897"/>
        <v>1</v>
      </c>
      <c r="II304" s="245">
        <f t="shared" si="1004"/>
        <v>0</v>
      </c>
      <c r="IJ304" s="245" t="e">
        <f t="shared" si="898"/>
        <v>#VALUE!</v>
      </c>
      <c r="IK304" s="245" t="e">
        <f t="shared" si="899"/>
        <v>#VALUE!</v>
      </c>
      <c r="IL304" s="245"/>
      <c r="IM304" s="245" t="e">
        <f t="shared" si="1005"/>
        <v>#N/A</v>
      </c>
      <c r="IN304" s="245" t="e">
        <f t="shared" si="1006"/>
        <v>#N/A</v>
      </c>
      <c r="IO304" s="245"/>
      <c r="IP304" s="245"/>
      <c r="IQ304" s="245" t="str">
        <f t="shared" si="900"/>
        <v/>
      </c>
      <c r="IR304" s="245" t="str">
        <f>IF(J304="","",VLOOKUP(J304,Worksheet!$R$4:$T$14,2))</f>
        <v/>
      </c>
      <c r="IS304" s="245"/>
      <c r="IT304" s="245">
        <f t="shared" si="901"/>
        <v>0</v>
      </c>
      <c r="IU304" s="245">
        <f t="shared" si="902"/>
        <v>0</v>
      </c>
      <c r="IV304" s="245">
        <f t="shared" si="903"/>
        <v>0</v>
      </c>
      <c r="IW304" s="245">
        <f t="shared" si="904"/>
        <v>0</v>
      </c>
      <c r="IX304" s="245">
        <f t="shared" si="1007"/>
        <v>0</v>
      </c>
      <c r="IY304" s="245">
        <f t="shared" si="905"/>
        <v>0</v>
      </c>
      <c r="IZ304" s="245">
        <f t="shared" si="906"/>
        <v>0</v>
      </c>
      <c r="JA304">
        <f t="shared" si="907"/>
        <v>0</v>
      </c>
      <c r="JB304">
        <f t="shared" si="1008"/>
        <v>0</v>
      </c>
      <c r="JC304">
        <f t="shared" si="908"/>
        <v>0</v>
      </c>
      <c r="JD304">
        <f t="shared" si="909"/>
        <v>0</v>
      </c>
      <c r="JE304">
        <f t="shared" si="910"/>
        <v>0</v>
      </c>
      <c r="JF304">
        <f t="shared" si="911"/>
        <v>0</v>
      </c>
      <c r="JG304">
        <f t="shared" si="912"/>
        <v>0</v>
      </c>
      <c r="JH304">
        <f t="shared" si="913"/>
        <v>0</v>
      </c>
      <c r="JI304">
        <f t="shared" si="914"/>
        <v>0</v>
      </c>
      <c r="JJ304" s="447">
        <f t="shared" si="915"/>
        <v>0</v>
      </c>
      <c r="JK304" s="447">
        <f t="shared" si="916"/>
        <v>0</v>
      </c>
      <c r="JL304">
        <f t="shared" si="917"/>
        <v>0</v>
      </c>
      <c r="JM304" s="245" t="str">
        <f>IFERROR(VLOOKUP(MATCH(BN304,#REF!,0),#REF!,7),"")</f>
        <v/>
      </c>
      <c r="JN304" t="e">
        <f>HLOOKUP(LEFT(BO304,7),Discharge_Area,MATCH(JO304,LookUps!$B$130:$B$149,1)+2)</f>
        <v>#N/A</v>
      </c>
      <c r="JO304" t="str">
        <f t="shared" si="918"/>
        <v>- S</v>
      </c>
      <c r="JP304" t="e">
        <f>HLOOKUP(LEFT(BO304,7),Discharge_Area,MATCH(JO304,LookUps!$B$130:$B$149,1)+2)</f>
        <v>#N/A</v>
      </c>
      <c r="JQ304" t="e">
        <f t="shared" si="919"/>
        <v>#N/A</v>
      </c>
      <c r="JR304" t="e">
        <f t="shared" si="920"/>
        <v>#N/A</v>
      </c>
      <c r="JS304" t="e">
        <f t="shared" si="921"/>
        <v>#N/A</v>
      </c>
      <c r="JT304" s="532" t="str">
        <f t="shared" si="922"/>
        <v xml:space="preserve"> </v>
      </c>
      <c r="JU304" s="532" t="str">
        <f t="shared" si="923"/>
        <v xml:space="preserve"> </v>
      </c>
      <c r="JV304" s="533" t="str">
        <f t="shared" si="924"/>
        <v xml:space="preserve"> </v>
      </c>
      <c r="JW304" s="534">
        <f t="shared" si="925"/>
        <v>0</v>
      </c>
      <c r="JX304" s="535" t="str">
        <f t="shared" si="1009"/>
        <v xml:space="preserve"> </v>
      </c>
      <c r="JY304" s="535" t="str">
        <f t="shared" si="1010"/>
        <v xml:space="preserve"> </v>
      </c>
      <c r="JZ304" s="535" t="str">
        <f t="shared" si="1011"/>
        <v xml:space="preserve"> </v>
      </c>
      <c r="KA304" s="536" t="str">
        <f t="shared" si="926"/>
        <v xml:space="preserve"> </v>
      </c>
      <c r="KB304" s="535" t="e">
        <f t="shared" si="1012"/>
        <v>#VALUE!</v>
      </c>
      <c r="KC304" s="535" t="str">
        <f t="shared" si="927"/>
        <v/>
      </c>
      <c r="KD304" s="537" t="str">
        <f t="shared" si="1013"/>
        <v xml:space="preserve"> </v>
      </c>
      <c r="KE304" s="537" t="str">
        <f t="shared" si="1014"/>
        <v xml:space="preserve"> </v>
      </c>
      <c r="KF304" s="534">
        <f t="shared" si="928"/>
        <v>0</v>
      </c>
      <c r="KG304" s="535" t="str">
        <f t="shared" si="929"/>
        <v xml:space="preserve"> </v>
      </c>
      <c r="KH304" s="535" t="str">
        <f t="shared" si="930"/>
        <v xml:space="preserve"> </v>
      </c>
      <c r="KI304" s="535" t="str">
        <f t="shared" si="931"/>
        <v xml:space="preserve"> </v>
      </c>
      <c r="KJ304" s="536" t="str">
        <f t="shared" si="932"/>
        <v xml:space="preserve"> </v>
      </c>
      <c r="KK304" s="535" t="str">
        <f t="shared" si="1015"/>
        <v xml:space="preserve"> </v>
      </c>
      <c r="KL304" s="535" t="str">
        <f t="shared" si="1016"/>
        <v xml:space="preserve"> </v>
      </c>
      <c r="KM304" s="537" t="str">
        <f t="shared" si="933"/>
        <v xml:space="preserve"> </v>
      </c>
      <c r="KN304" s="537" t="str">
        <f t="shared" si="1017"/>
        <v xml:space="preserve"> </v>
      </c>
      <c r="KP304">
        <f t="shared" si="934"/>
        <v>0</v>
      </c>
      <c r="LA304" t="e">
        <f t="shared" si="935"/>
        <v>#VALUE!</v>
      </c>
      <c r="LB304" t="e">
        <f t="shared" si="936"/>
        <v>#VALUE!</v>
      </c>
      <c r="LC304" t="e">
        <f t="shared" si="937"/>
        <v>#VALUE!</v>
      </c>
      <c r="LD304" t="e">
        <f t="shared" si="938"/>
        <v>#VALUE!</v>
      </c>
      <c r="LE304" t="e">
        <f t="shared" si="1018"/>
        <v>#VALUE!</v>
      </c>
      <c r="LF304">
        <f t="shared" si="939"/>
        <v>0</v>
      </c>
      <c r="LG304" t="e">
        <f t="shared" si="1019"/>
        <v>#VALUE!</v>
      </c>
      <c r="LH304" t="str">
        <f t="shared" si="940"/>
        <v xml:space="preserve"> </v>
      </c>
      <c r="LI304">
        <f t="shared" si="1020"/>
        <v>1</v>
      </c>
    </row>
    <row r="305" spans="2:321" ht="15" customHeight="1">
      <c r="B305" s="311"/>
      <c r="C305" s="311"/>
      <c r="D305" s="312"/>
      <c r="E305" s="311"/>
      <c r="F305" s="312"/>
      <c r="G305" s="311"/>
      <c r="H305" s="311"/>
      <c r="I305" s="232"/>
      <c r="J305" s="311"/>
      <c r="K305" s="305" t="str">
        <f t="shared" si="941"/>
        <v/>
      </c>
      <c r="L305" s="313"/>
      <c r="M305" s="312"/>
      <c r="N305" s="311"/>
      <c r="O305" s="312"/>
      <c r="P305" s="311"/>
      <c r="Q305" s="305" t="str">
        <f t="shared" si="942"/>
        <v/>
      </c>
      <c r="R305" s="314"/>
      <c r="S305" s="450" t="str">
        <f t="shared" si="825"/>
        <v/>
      </c>
      <c r="T305" s="315"/>
      <c r="U305" s="315"/>
      <c r="W305" s="149" t="str">
        <f t="shared" si="826"/>
        <v xml:space="preserve"> </v>
      </c>
      <c r="X305" s="243" t="str">
        <f t="shared" si="827"/>
        <v xml:space="preserve"> </v>
      </c>
      <c r="Y305" s="150" t="str">
        <f t="shared" si="828"/>
        <v/>
      </c>
      <c r="Z305" s="149" t="str">
        <f t="shared" si="829"/>
        <v xml:space="preserve"> </v>
      </c>
      <c r="AA305" s="98" t="str">
        <f t="shared" si="830"/>
        <v xml:space="preserve"> </v>
      </c>
      <c r="AB305" s="153" t="str">
        <f t="shared" si="831"/>
        <v xml:space="preserve"> </v>
      </c>
      <c r="AC305" s="153" t="str">
        <f t="shared" si="832"/>
        <v xml:space="preserve"> </v>
      </c>
      <c r="AD305" s="148" t="str">
        <f t="shared" si="833"/>
        <v/>
      </c>
      <c r="AE305" s="149" t="str">
        <f t="shared" si="834"/>
        <v/>
      </c>
      <c r="AF305" s="151" t="str">
        <f t="shared" si="835"/>
        <v xml:space="preserve"> </v>
      </c>
      <c r="AG305" s="153" t="str">
        <f t="shared" si="836"/>
        <v xml:space="preserve"> </v>
      </c>
      <c r="AH305" s="98" t="str">
        <f t="shared" si="837"/>
        <v xml:space="preserve"> </v>
      </c>
      <c r="AI305" s="149" t="str">
        <f t="shared" si="838"/>
        <v xml:space="preserve"> </v>
      </c>
      <c r="AK305" s="144" t="str">
        <f t="shared" si="839"/>
        <v xml:space="preserve"> </v>
      </c>
      <c r="AL305" s="144"/>
      <c r="AM305" s="243" t="str">
        <f t="shared" si="840"/>
        <v xml:space="preserve"> </v>
      </c>
      <c r="AN305" s="149" t="str">
        <f t="shared" si="943"/>
        <v xml:space="preserve"> </v>
      </c>
      <c r="AO305" s="144" t="str">
        <f>IF(JB305&gt;0,IF(GI305=10,-R305*1.085*(Calculation!$F$6-Calculation!$F$13)*$S$14," "),"")</f>
        <v/>
      </c>
      <c r="AP305" s="144" t="str">
        <f t="shared" si="841"/>
        <v/>
      </c>
      <c r="AQ305" s="56" t="str">
        <f t="shared" si="842"/>
        <v/>
      </c>
      <c r="AR305" s="144" t="str">
        <f t="shared" si="843"/>
        <v/>
      </c>
      <c r="AS305" s="176" t="str">
        <f t="shared" si="844"/>
        <v/>
      </c>
      <c r="AT305" s="176" t="str">
        <f t="shared" si="944"/>
        <v xml:space="preserve"> </v>
      </c>
      <c r="AU305" s="176" t="str">
        <f t="shared" si="845"/>
        <v/>
      </c>
      <c r="AV305" s="177" t="str">
        <f t="shared" si="846"/>
        <v xml:space="preserve"> </v>
      </c>
      <c r="AW305" s="144" t="str">
        <f t="shared" si="847"/>
        <v xml:space="preserve"> </v>
      </c>
      <c r="AX305" s="144" t="str">
        <f t="shared" si="848"/>
        <v xml:space="preserve"> </v>
      </c>
      <c r="AY305" s="152" t="str">
        <f t="shared" si="849"/>
        <v xml:space="preserve"> </v>
      </c>
      <c r="AZ305" s="246" t="str">
        <f t="shared" si="850"/>
        <v/>
      </c>
      <c r="BA305" s="176" t="str">
        <f t="shared" si="851"/>
        <v xml:space="preserve"> </v>
      </c>
      <c r="BB305" s="176" t="str">
        <f t="shared" si="852"/>
        <v xml:space="preserve"> </v>
      </c>
      <c r="BC305" s="195"/>
      <c r="BD305" s="316"/>
      <c r="BE305" s="317"/>
      <c r="BF305" s="318"/>
      <c r="BG305" s="318"/>
      <c r="BH305" s="144" t="str">
        <f t="shared" si="1021"/>
        <v xml:space="preserve"> </v>
      </c>
      <c r="BI305" s="176" t="str">
        <f t="shared" si="853"/>
        <v/>
      </c>
      <c r="BJ305" s="144" t="str">
        <f t="shared" si="1022"/>
        <v/>
      </c>
      <c r="BK305" s="246" t="str">
        <f t="shared" si="854"/>
        <v/>
      </c>
      <c r="BL305" s="144" t="str">
        <f t="shared" si="1023"/>
        <v/>
      </c>
      <c r="BM305" s="246" t="str">
        <f t="shared" si="855"/>
        <v/>
      </c>
      <c r="BN305" s="337" t="str">
        <f t="shared" si="945"/>
        <v/>
      </c>
      <c r="BO305" s="371" t="str">
        <f t="shared" si="946"/>
        <v/>
      </c>
      <c r="BP305" s="328" t="str">
        <f t="shared" si="1024"/>
        <v xml:space="preserve"> </v>
      </c>
      <c r="BQ305" s="347" t="str">
        <f t="shared" si="947"/>
        <v xml:space="preserve"> </v>
      </c>
      <c r="BR305" s="353" t="str">
        <f t="shared" si="948"/>
        <v xml:space="preserve"> </v>
      </c>
      <c r="BS305" s="626" t="str">
        <f>IF(L305&gt;0,IF(Calculation!P305="M13",BR305*3.1416*(0.134^2)/(4*144),IF(Calculation!P305="M17",BR305*3.1416*(0.165^2)/(4*144),IF(Calculation!P305="M20",BR305*3.1416*(0.198^2)/(4*144),IF(Calculation!P305="M23",BR305*3.1416*(0.228^2)/(4*144),IF(Calculation!P305="M27",BR305*3.1416*(0.269^2)/(4*144),BR305*3.1416*(0.307^2)/(4*144))))))," ")</f>
        <v xml:space="preserve"> </v>
      </c>
      <c r="BT305" s="353" t="str">
        <f>IF(L305&gt;0,IF(BS305&gt;0,R305/Calculation!BS305,0)," ")</f>
        <v xml:space="preserve"> </v>
      </c>
      <c r="BU305" s="438" t="e">
        <f t="shared" ca="1" si="856"/>
        <v>#VALUE!</v>
      </c>
      <c r="BV305" s="449" t="e">
        <f ca="1">INDEX(INDIRECT(VLOOKUP(LEFT(BO305,7),CLU!$Z$3:$AH$18,2)),GN305,GR305)</f>
        <v>#N/A</v>
      </c>
      <c r="BW305" s="433" t="e">
        <f ca="1">INDEX(INDIRECT(VLOOKUP(LEFT(BO305,7),CLU!$Z$3:$AH$18,3)),GN305,GR305)</f>
        <v>#N/A</v>
      </c>
      <c r="BX305" s="433" t="e">
        <f ca="1">INDEX(INDIRECT(VLOOKUP(LEFT(BO305,7),CLU!$Z$3:$AH$18,4)),GN305,GR305)</f>
        <v>#N/A</v>
      </c>
      <c r="BY305" s="433" t="e">
        <f ca="1">INDEX(INDIRECT(VLOOKUP(LEFT(BO305,7),CLU!$Z$3:$AH$18,9)),((M305-2)*(6-COUNTBLANK(GT305:GY305)))+GJ305)</f>
        <v>#N/A</v>
      </c>
      <c r="BZ305" s="426" t="e">
        <f t="shared" ca="1" si="949"/>
        <v>#N/A</v>
      </c>
      <c r="CA305" s="424" t="e">
        <f t="shared" ca="1" si="950"/>
        <v>#N/A</v>
      </c>
      <c r="CB305" s="429" t="e">
        <f ca="1">INDEX(INDIRECT(VLOOKUP(LEFT(BO305,7),CLU!$Z$3:$AH$18,2)),GN305,GS305)</f>
        <v>#N/A</v>
      </c>
      <c r="CC305" s="342" t="e">
        <f ca="1">INDEX(INDIRECT(VLOOKUP(LEFT(BO305,7),CLU!$Z$3:$AH$18,3)),GN305,GS305)</f>
        <v>#N/A</v>
      </c>
      <c r="CD305" s="342" t="e">
        <f ca="1">INDEX(INDIRECT(VLOOKUP(LEFT(BO305,7),CLU!$Z$3:$AH$18,4)),GN305,GS305)</f>
        <v>#N/A</v>
      </c>
      <c r="CE305" s="426" t="e">
        <f t="shared" ca="1" si="951"/>
        <v>#N/A</v>
      </c>
      <c r="CF305" s="440">
        <f t="shared" si="952"/>
        <v>0</v>
      </c>
      <c r="CG305" s="431" t="e">
        <f ca="1">INDEX(INDIRECT(VLOOKUP(LEFT(BO305,7),CLU!$Z$3:$AH$18,2)),GQ305,GR305)</f>
        <v>#N/A</v>
      </c>
      <c r="CH305" s="431" t="e">
        <f ca="1">INDEX(INDIRECT(VLOOKUP(LEFT(BO305,7),CLU!$Z$3:$AH$18,3)),GQ305,GR305)</f>
        <v>#N/A</v>
      </c>
      <c r="CI305" s="431" t="e">
        <f ca="1">INDEX(INDIRECT(VLOOKUP(LEFT(BO305,7),CLU!$Z$3:$AH$18,4)),GQ305,GR305)</f>
        <v>#N/A</v>
      </c>
      <c r="CJ305" s="448" t="e">
        <f t="shared" ca="1" si="953"/>
        <v>#N/A</v>
      </c>
      <c r="CK305" s="431" t="e">
        <f t="shared" ca="1" si="954"/>
        <v>#N/A</v>
      </c>
      <c r="CL305" s="440" t="e">
        <f t="shared" ca="1" si="955"/>
        <v>#N/A</v>
      </c>
      <c r="CM305" s="431" t="e">
        <f ca="1">INDEX(INDIRECT(VLOOKUP(LEFT(BO305,7),CLU!$Z$3:$AH$18,2)),GQ305,GS305)</f>
        <v>#N/A</v>
      </c>
      <c r="CN305" s="431" t="e">
        <f ca="1">INDEX(INDIRECT(VLOOKUP(LEFT(BO305,7),CLU!$Z$3:$AH$18,3)),GQ305,GS305)</f>
        <v>#N/A</v>
      </c>
      <c r="CO305" s="431" t="e">
        <f ca="1">INDEX(INDIRECT(VLOOKUP(LEFT(BO305,7),CLU!$Z$3:$AH$18,4)),GQ305,GS305)</f>
        <v>#N/A</v>
      </c>
      <c r="CP305" s="431" t="e">
        <f t="shared" ca="1" si="956"/>
        <v>#N/A</v>
      </c>
      <c r="CQ305" s="440">
        <f t="shared" si="957"/>
        <v>0</v>
      </c>
      <c r="CR305" s="51" t="e">
        <f t="shared" ca="1" si="958"/>
        <v>#N/A</v>
      </c>
      <c r="CS305" s="439" t="e">
        <f t="shared" ca="1" si="959"/>
        <v>#VALUE!</v>
      </c>
      <c r="CT305" s="51" t="e">
        <f t="shared" ca="1" si="960"/>
        <v>#VALUE!</v>
      </c>
      <c r="CU305" s="10"/>
      <c r="CV305" s="51" t="e">
        <f t="shared" ca="1" si="857"/>
        <v>#VALUE!</v>
      </c>
      <c r="CW305" s="51">
        <f t="shared" si="961"/>
        <v>0</v>
      </c>
      <c r="CX305" s="439" t="e">
        <f t="shared" ca="1" si="962"/>
        <v>#VALUE!</v>
      </c>
      <c r="CY305" s="51" t="e">
        <f t="shared" ca="1" si="963"/>
        <v>#VALUE!</v>
      </c>
      <c r="CZ305" s="10"/>
      <c r="DA305" s="51" t="e">
        <f t="shared" ca="1" si="964"/>
        <v>#VALUE!</v>
      </c>
      <c r="DB305" s="347" t="e">
        <f ca="1">INDEX(INDIRECT(VLOOKUP(LEFT(BO305,7),CLU!$Z$3:$AI$18,10)),((M305-2)*(6-COUNTBLANK(GT305:GY305)))+GJ305)*LI305</f>
        <v>#N/A</v>
      </c>
      <c r="DC305" s="347" t="str">
        <f>IF(L305&gt;0,((R305/Worksheet!$I$15)/DB305)^2," ")</f>
        <v xml:space="preserve"> </v>
      </c>
      <c r="DD305" s="602" t="str">
        <f t="shared" si="965"/>
        <v xml:space="preserve"> </v>
      </c>
      <c r="DE305" s="347" t="str">
        <f t="shared" si="858"/>
        <v xml:space="preserve"> </v>
      </c>
      <c r="DF305" s="356" t="e">
        <f ca="1">INDEX(INDIRECT(VLOOKUP(LEFT(BO305,7),CLU!$Z$3:$AH$18,8)),((M305-2)*(6-COUNTBLANK(GT305:GY305)))+GJ305)</f>
        <v>#N/A</v>
      </c>
      <c r="DG305" s="347" t="str">
        <f t="shared" si="859"/>
        <v xml:space="preserve"> </v>
      </c>
      <c r="DH305" s="357" t="str">
        <f t="shared" si="860"/>
        <v xml:space="preserve"> </v>
      </c>
      <c r="DI305" s="355" t="str">
        <f t="shared" si="861"/>
        <v xml:space="preserve"> </v>
      </c>
      <c r="DJ305" s="245" t="e">
        <f ca="1">INDEX(INDIRECT(VLOOKUP(LEFT(BO305,7),CLU!$Z$3:$AH$18,5)),GL305,GK305)</f>
        <v>#N/A</v>
      </c>
      <c r="DK305" s="245" t="e">
        <f ca="1">INDEX(INDIRECT(VLOOKUP(LEFT(BO305,7),CLU!$Z$3:$AH$18,6)),GL305,GK305)</f>
        <v>#N/A</v>
      </c>
      <c r="DL305" s="355">
        <f>(Calculation!R305*0.69143*(Calculation!$BQ$8-Calculation!$F$8))*$S$14</f>
        <v>0</v>
      </c>
      <c r="DM305" s="359" t="e">
        <f t="shared" si="966"/>
        <v>#VALUE!</v>
      </c>
      <c r="DN305" s="611">
        <f t="shared" si="967"/>
        <v>0</v>
      </c>
      <c r="DO305" s="359">
        <f t="shared" si="968"/>
        <v>100</v>
      </c>
      <c r="DP305" s="359">
        <f t="shared" si="969"/>
        <v>0</v>
      </c>
      <c r="DQ305" s="360"/>
      <c r="DR305" s="245" t="e">
        <f ca="1">INDEX(INDIRECT(VLOOKUP(LEFT(BO305,7),CLU!$Z$3:$AH$18,7)),M305-1,1)</f>
        <v>#N/A</v>
      </c>
      <c r="DS305" s="245" t="e">
        <f ca="1">INDEX(INDIRECT(VLOOKUP(LEFT(BO305,7),CLU!$Z$3:$AH$18,7)),M305-1,2)</f>
        <v>#N/A</v>
      </c>
      <c r="DT305" s="245" t="e">
        <f ca="1">INDEX(INDIRECT(VLOOKUP(LEFT(BO305,7),CLU!$Z$3:$AH$18,7)),M305-1,3)</f>
        <v>#N/A</v>
      </c>
      <c r="DU305" s="245" t="e">
        <f ca="1">INDEX(INDIRECT(VLOOKUP(LEFT(BO305,7),CLU!$Z$3:$AH$18,7)),M305-1,4)</f>
        <v>#N/A</v>
      </c>
      <c r="DV305" s="361" t="e">
        <f ca="1">INDEX(INDIRECT(VLOOKUP(LEFT(BO305,7),CLU!$Z$3:$AH$18,7)),M305-1,4+LEFT(DZ305,1)*0.5)</f>
        <v>#N/A</v>
      </c>
      <c r="DW305" s="245" t="e">
        <f ca="1">INDEX(INDIRECT(VLOOKUP(LEFT(BO305,7),CLU!$Z$3:$AH$18,7)),M305-1,8)</f>
        <v>#N/A</v>
      </c>
      <c r="DX305" s="361" t="str">
        <f t="shared" si="862"/>
        <v xml:space="preserve"> </v>
      </c>
      <c r="DY305" s="361" t="str">
        <f t="shared" si="863"/>
        <v xml:space="preserve"> </v>
      </c>
      <c r="DZ305" s="361" t="str">
        <f t="shared" si="864"/>
        <v xml:space="preserve"> </v>
      </c>
      <c r="EA305" s="362" t="str">
        <f t="shared" si="865"/>
        <v xml:space="preserve"> </v>
      </c>
      <c r="EB305" s="624" t="str">
        <f t="shared" si="970"/>
        <v xml:space="preserve"> </v>
      </c>
      <c r="EC305" s="361" t="e">
        <f ca="1">INDEX(INDIRECT(VLOOKUP(LEFT(BO305,7),CLU!$Z$3:$AH$18,7)),M305-1,4+LEFT(DZ305,1)*0.5)</f>
        <v>#N/A</v>
      </c>
      <c r="ED305" s="362" t="str">
        <f t="shared" si="866"/>
        <v xml:space="preserve"> </v>
      </c>
      <c r="EE305" s="361" t="str">
        <f t="shared" si="867"/>
        <v xml:space="preserve"> </v>
      </c>
      <c r="EF305" s="362" t="str">
        <f>IF(L305&gt;0,IF(BR305&gt;0,IF(EE305="2P",IF(Calculation!DZ305="2P",IF(Calculation!DS305=13.75,IF(Calculation!DR305=13,Worksheet!$BD$43,IF(Calculation!DR305=37,Worksheet!$BD$44,Worksheet!$BD$45)),IF(Calculation!DS305=10,IF(Calculation!DR305=18,Worksheet!$BD$29,IF(Calculation!DR305=30,Worksheet!$BD$30,IF(Calculation!DR305=42,Worksheet!$BD$31,IF(Calculation!DR305=54,Worksheet!$BD$32,IF(Calculation!DR305=66,Worksheet!$BD$33,IF(Calculation!DR305=78,Worksheet!$BD$34,IF(Calculation!DR305=90,Worksheet!$BD$35,IF(Calculation!DR305=102,Worksheet!$BD$36,Worksheet!$BD$37)))))))),IF(Calculation!DS305=12.5,IF(Calculation!DR305=18,Worksheet!$BD$38,IF(Calculation!DR305=Worksheet!$BD$39,IF(Calculation!DR305=42,Worksheet!$BD$40,IF(Calculation!DR305=54,Worksheet!$BD$41,Worksheet!$BD$42)))),IF(Calculation!DR305=18,Worksheet!$BD$11,IF(Calculation!DR305=30,Worksheet!$BD$12,IF(Calculation!DR305=42,Worksheet!$BD$13,IF(Calculation!DR305=54,Worksheet!$BD$14,IF(Calculation!DR305=66,Worksheet!$BD$15,IF(Calculation!DR305=78,Worksheet!$BD$16,IF(Calculation!DR305=90,Worksheet!$BD$17,IF(Calculation!DR305=102,Worksheet!$BD$18,Worksheet!$BD$19))))))))))),IF(Calculation!DS305=13.75,IF(Calculation!DR305=13,Worksheet!$BD$78,IF(Calculation!DR305=37,Worksheet!$BD$79,Worksheet!$BD$80)),IF(Calculation!DS305=10,IF(Calculation!DR305=18,Worksheet!$BD$64,IF(Calculation!DR305=30,Worksheet!$BD$65,IF(Calculation!DR305=42,Worksheet!$BD$66,IF(Calculation!DR305=54,Worksheet!$BD$68,IF(Calculation!DR305=66,Worksheet!$BD$68,IF(Calculation!DR305=78,Worksheet!$BD$69,IF(Calculation!DR305=90,Worksheet!$BD$70,IF(Calculation!DR305=102,Worksheet!$BD$71,Worksheet!$BD$72)))))))),IF(Calculation!DS305=12.5,IF(Calculation!DR305=18,Worksheet!$BD$73,IF(Calculation!DR305=Worksheet!$BD$74,IF(Calculation!DR305=42,Worksheet!$BD$75,IF(Calculation!DR305=54,Worksheet!$BD$76,Worksheet!$BD$77)))),IF(Calculation!DR305=18,Worksheet!$BD$55,IF(Calculation!DR305=30,Worksheet!$BD$56,IF(Calculation!DR305=42,Worksheet!$BD$57,IF(Calculation!DR305=54,Worksheet!$BD$58,IF(Calculation!DR305=66,Worksheet!$BD$59,IF(Calculation!DR305=78,Worksheet!$BD$60,IF(Calculation!DR305=90,Worksheet!$BD$61,IF(Calculation!DR305=102,Worksheet!$BD$62,Worksheet!$BD$63)))))))))))),5),0)," ")</f>
        <v xml:space="preserve"> </v>
      </c>
      <c r="EG305" s="361" t="str">
        <f t="shared" si="868"/>
        <v xml:space="preserve"> </v>
      </c>
      <c r="EH305" s="361" t="e">
        <f ca="1">INDEX(INDIRECT(VLOOKUP(LEFT(BO305,7),CLU!$Z$3:$AH$18,7)),M305-1,3+LEFT(DZ305,1))</f>
        <v>#N/A</v>
      </c>
      <c r="EI305" s="362" t="str">
        <f t="shared" si="869"/>
        <v xml:space="preserve"> </v>
      </c>
      <c r="EJ305" s="363" t="str">
        <f t="shared" si="870"/>
        <v xml:space="preserve"> </v>
      </c>
      <c r="EK305" s="363" t="str">
        <f t="shared" si="871"/>
        <v xml:space="preserve"> </v>
      </c>
      <c r="EL305" s="363" t="str">
        <f t="shared" si="872"/>
        <v xml:space="preserve"> </v>
      </c>
      <c r="EM305" s="362" t="str">
        <f>IF(L305&gt;0,IF(BR305&gt;0,(Calculation!T305/ED305)^2,0)," ")</f>
        <v xml:space="preserve"> </v>
      </c>
      <c r="EN305" s="362" t="str">
        <f>IF(L305&gt;0,IF(O305="2 Pipe (Cooling)","N/A",IF(BR305&gt;0,(Calculation!U305/EI305)^2,0))," ")</f>
        <v xml:space="preserve"> </v>
      </c>
      <c r="EO305" s="361" t="str">
        <f t="shared" si="873"/>
        <v/>
      </c>
      <c r="EP305" s="361" t="str">
        <f t="shared" si="874"/>
        <v/>
      </c>
      <c r="EQ305" s="361" t="str">
        <f t="shared" si="875"/>
        <v/>
      </c>
      <c r="ER305" s="361" t="str">
        <f t="shared" si="876"/>
        <v/>
      </c>
      <c r="ES305" s="361" t="str">
        <f t="shared" si="877"/>
        <v/>
      </c>
      <c r="ET305" s="361" t="str">
        <f t="shared" si="878"/>
        <v/>
      </c>
      <c r="EU305" s="361" t="str">
        <f t="shared" si="879"/>
        <v/>
      </c>
      <c r="EV305" s="361" t="str">
        <f t="shared" si="880"/>
        <v/>
      </c>
      <c r="EW305" s="361" t="str">
        <f t="shared" si="881"/>
        <v/>
      </c>
      <c r="EX305" s="361" t="str">
        <f t="shared" si="971"/>
        <v>1 slot, 1 way</v>
      </c>
      <c r="EY305" s="361" t="str">
        <f t="shared" si="972"/>
        <v xml:space="preserve"> </v>
      </c>
      <c r="EZ305" s="361" t="str">
        <f t="shared" si="973"/>
        <v xml:space="preserve"> </v>
      </c>
      <c r="FA305" s="361" t="str">
        <f t="shared" si="974"/>
        <v xml:space="preserve"> </v>
      </c>
      <c r="FB305" s="361" t="str">
        <f t="shared" si="975"/>
        <v xml:space="preserve"> </v>
      </c>
      <c r="FC305" s="361"/>
      <c r="FD305" s="361" t="str">
        <f>IF(J305&gt;0,IF(Calculation!R305&lt;=70,4,IF(Calculation!R305&lt;=110,5,IF(Calculation!R305&lt;=160,6,IF(Calculation!R305&lt;=300,8,"10 EO")))),"")</f>
        <v/>
      </c>
      <c r="FE305" s="361" t="str">
        <f t="shared" si="976"/>
        <v/>
      </c>
      <c r="FF305" s="361" t="str">
        <f t="shared" si="977"/>
        <v/>
      </c>
      <c r="FG305" s="361" t="e">
        <f t="shared" si="882"/>
        <v>#N/A</v>
      </c>
      <c r="FH305" s="361">
        <f t="shared" si="883"/>
        <v>0</v>
      </c>
      <c r="FI305" s="361" t="e">
        <f t="shared" si="884"/>
        <v>#DIV/0!</v>
      </c>
      <c r="FJ305" s="361"/>
      <c r="FK305" s="356" t="e">
        <f t="shared" si="885"/>
        <v>#VALUE!</v>
      </c>
      <c r="FL305" s="361"/>
      <c r="FM305" s="361"/>
      <c r="FN305" s="362" t="str">
        <f t="shared" si="978"/>
        <v xml:space="preserve"> </v>
      </c>
      <c r="FO305" s="362" t="str">
        <f t="shared" si="979"/>
        <v xml:space="preserve"> </v>
      </c>
      <c r="FP305" s="362">
        <f t="shared" si="980"/>
        <v>0</v>
      </c>
      <c r="FQ305" s="361">
        <f t="shared" si="886"/>
        <v>0</v>
      </c>
      <c r="FR305" s="362" t="str">
        <f>IF(L305&gt;0,IF(J305="CBAL2",Worksheet!$P$67,IF(J305="CBE2-24",Worksheet!$Q$67,IF(J305="CBAM",Worksheet!$R$67,IF(J305="CBLV",Worksheet!$S$67,IF(J305="CBAB",Worksheet!$U$67,IF(J305="CBAW",Worksheet!$X$67,IF(J305="CBE2-12",Worksheet!$Y$67,IF(J305="CBAL2",Worksheet!$Z$67,"N/A"))))))))," ")</f>
        <v xml:space="preserve"> </v>
      </c>
      <c r="FS305" s="362" t="str">
        <f>IF(L305&gt;0,IF(J305="CBAL2",Worksheet!$P$68,IF(J305="CBE2-24",Worksheet!$Q$68,IF(J305="CBAM",Worksheet!$R$68,IF(J305="CBLV",Worksheet!$S$68,IF(J305="CBAB",Worksheet!$U$68,IF(J305="CBAW",Worksheet!$X$68,IF(J305="CBE2-12",Worksheet!$Y$68,IF(J305="CBAL2",Worksheet!$Z$68,"N/A"))))))))," ")</f>
        <v xml:space="preserve"> </v>
      </c>
      <c r="FT305" s="362" t="str">
        <f>IF(L305&gt;0,IF(J305="CBAL2",Worksheet!$P$69,IF(J305="CBE2-24",Worksheet!$Q$69,IF(J305="CBAM",Worksheet!$R$69,IF(J305="CBLV",Worksheet!$S$69,IF(J305="CBAB",Worksheet!$U$69,IF(J305="CBAW",Worksheet!$X$69,IF(J305="CBE2-12",Worksheet!$Y$69,IF(J305="CBAL2",Worksheet!$Z$69,"N/A"))))))))," ")</f>
        <v xml:space="preserve"> </v>
      </c>
      <c r="FU305" s="361" t="str">
        <f t="shared" si="981"/>
        <v xml:space="preserve"> </v>
      </c>
      <c r="FV305" s="362" t="str">
        <f t="shared" si="982"/>
        <v xml:space="preserve"> </v>
      </c>
      <c r="FW305" s="362" t="str">
        <f t="shared" si="983"/>
        <v xml:space="preserve"> </v>
      </c>
      <c r="FX305" s="362" t="str">
        <f t="shared" si="984"/>
        <v xml:space="preserve"> </v>
      </c>
      <c r="FY305" s="355" t="str">
        <f t="shared" si="985"/>
        <v xml:space="preserve"> </v>
      </c>
      <c r="FZ305" s="361" t="str">
        <f t="shared" si="986"/>
        <v xml:space="preserve"> </v>
      </c>
      <c r="GA305" s="347" t="str">
        <f t="shared" si="987"/>
        <v xml:space="preserve"> </v>
      </c>
      <c r="GB305" s="355" t="str">
        <f t="shared" si="988"/>
        <v xml:space="preserve"> </v>
      </c>
      <c r="GC305" s="328" t="str">
        <f t="shared" si="989"/>
        <v xml:space="preserve"> </v>
      </c>
      <c r="GD305" s="361" t="str">
        <f t="shared" si="990"/>
        <v xml:space="preserve"> </v>
      </c>
      <c r="GE305" s="347" t="str">
        <f t="shared" si="991"/>
        <v xml:space="preserve"> </v>
      </c>
      <c r="GF305" s="361" t="str">
        <f t="shared" si="992"/>
        <v xml:space="preserve"> </v>
      </c>
      <c r="GG305" s="347" t="str">
        <f t="shared" si="993"/>
        <v xml:space="preserve"> </v>
      </c>
      <c r="GH305" s="364">
        <f t="shared" si="887"/>
        <v>0</v>
      </c>
      <c r="GI305" s="362">
        <f t="shared" si="994"/>
        <v>2</v>
      </c>
      <c r="GJ305" s="433" t="e">
        <f>IF(6-COUNTBLANK(GT305:GY305)=4,MATCH(MID(BO305,9,3),CLU!$H$16:$K$16),MATCH(MID(BO305,9,3),CLU!$H$13:$M$13))</f>
        <v>#N/A</v>
      </c>
      <c r="GK305" s="433" t="e">
        <f>HLOOKUP(VALUE(BP305),CLU!$H$9:$M$10,2)</f>
        <v>#VALUE!</v>
      </c>
      <c r="GL305" s="433" t="e">
        <f ca="1">MATCH(BU305,CLU!$H$2:$V$2,1)</f>
        <v>#VALUE!</v>
      </c>
      <c r="GM305" s="433" t="e">
        <f t="shared" ca="1" si="995"/>
        <v>#VALUE!</v>
      </c>
      <c r="GN305" s="433" t="e">
        <f t="shared" ca="1" si="996"/>
        <v>#VALUE!</v>
      </c>
      <c r="GO305" s="433" t="e">
        <f t="shared" ca="1" si="997"/>
        <v>#VALUE!</v>
      </c>
      <c r="GP305" s="433" t="e">
        <f t="shared" ca="1" si="998"/>
        <v>#VALUE!</v>
      </c>
      <c r="GQ305" s="433" t="e">
        <f t="shared" ca="1" si="999"/>
        <v>#VALUE!</v>
      </c>
      <c r="GR305" s="433" t="e">
        <f ca="1">MATCH(T305,INDIRECT(VLOOKUP(CONCATENATE(LEFT(BO305,7),"-",MID(BO305,13,1)),CLU!$P$3:$Q$16,2)),1)</f>
        <v>#N/A</v>
      </c>
      <c r="GS305" s="433" t="e">
        <f ca="1">MATCH(U305,INDIRECT(VLOOKUP(CONCATENATE(LEFT(BO305,7),"-",MID(BO305,13,1)),CLU!$P$3:$Q$16,2)),1)</f>
        <v>#N/A</v>
      </c>
      <c r="GT305" s="347" t="s">
        <v>512</v>
      </c>
      <c r="GU305" s="97" t="s">
        <v>513</v>
      </c>
      <c r="GV305" s="97" t="str">
        <f t="shared" si="1000"/>
        <v>M23</v>
      </c>
      <c r="GW305" s="97" t="str">
        <f t="shared" si="1001"/>
        <v>M31</v>
      </c>
      <c r="GX305" s="97" t="str">
        <f t="shared" si="1002"/>
        <v/>
      </c>
      <c r="GY305" s="97" t="str">
        <f t="shared" si="1003"/>
        <v/>
      </c>
      <c r="GZ305" s="481"/>
      <c r="HA305" s="240"/>
      <c r="HB305" s="240"/>
      <c r="HC305" s="240"/>
      <c r="HD305" s="240"/>
      <c r="HE305" s="240"/>
      <c r="HF305" s="240"/>
      <c r="HG305" s="240"/>
      <c r="HH305" s="240"/>
      <c r="HI305" s="240"/>
      <c r="HJ305" s="240"/>
      <c r="HK305" s="240"/>
      <c r="HL305" s="240"/>
      <c r="HM305" s="240"/>
      <c r="HN305" s="240"/>
      <c r="HO305" s="240"/>
      <c r="HP305" s="240"/>
      <c r="HQ305" s="240"/>
      <c r="HR305" s="240"/>
      <c r="HS305" s="240"/>
      <c r="HT305" s="240"/>
      <c r="HU305" s="240"/>
      <c r="HV305" s="245"/>
      <c r="HW305" s="245" t="b">
        <v>1</v>
      </c>
      <c r="HX305" s="245" t="str">
        <f t="shared" si="888"/>
        <v/>
      </c>
      <c r="HY305" s="245" t="e">
        <f t="shared" si="889"/>
        <v>#DIV/0!</v>
      </c>
      <c r="HZ305" s="245" t="e">
        <f t="shared" si="890"/>
        <v>#DIV/0!</v>
      </c>
      <c r="IA305" s="245">
        <f t="shared" si="891"/>
        <v>0</v>
      </c>
      <c r="IB305" s="245"/>
      <c r="IC305" t="b">
        <f t="shared" si="892"/>
        <v>1</v>
      </c>
      <c r="ID305" s="245" t="b">
        <f t="shared" si="893"/>
        <v>1</v>
      </c>
      <c r="IE305" s="245" t="b">
        <f t="shared" si="894"/>
        <v>1</v>
      </c>
      <c r="IF305" s="245" t="b">
        <f t="shared" si="895"/>
        <v>0</v>
      </c>
      <c r="IG305" s="245" t="b">
        <f t="shared" si="896"/>
        <v>1</v>
      </c>
      <c r="IH305" s="245" t="b">
        <f t="shared" si="897"/>
        <v>1</v>
      </c>
      <c r="II305" s="245">
        <f t="shared" si="1004"/>
        <v>0</v>
      </c>
      <c r="IJ305" s="245" t="e">
        <f t="shared" si="898"/>
        <v>#VALUE!</v>
      </c>
      <c r="IK305" s="245" t="e">
        <f t="shared" si="899"/>
        <v>#VALUE!</v>
      </c>
      <c r="IL305" s="245"/>
      <c r="IM305" s="245" t="e">
        <f t="shared" si="1005"/>
        <v>#N/A</v>
      </c>
      <c r="IN305" s="245" t="e">
        <f t="shared" si="1006"/>
        <v>#N/A</v>
      </c>
      <c r="IO305" s="245"/>
      <c r="IP305" s="245"/>
      <c r="IQ305" s="245" t="str">
        <f t="shared" si="900"/>
        <v/>
      </c>
      <c r="IR305" s="245" t="str">
        <f>IF(J305="","",VLOOKUP(J305,Worksheet!$R$4:$T$14,2))</f>
        <v/>
      </c>
      <c r="IS305" s="245"/>
      <c r="IT305" s="245">
        <f t="shared" si="901"/>
        <v>0</v>
      </c>
      <c r="IU305" s="245">
        <f t="shared" si="902"/>
        <v>0</v>
      </c>
      <c r="IV305" s="245">
        <f t="shared" si="903"/>
        <v>0</v>
      </c>
      <c r="IW305" s="245">
        <f t="shared" si="904"/>
        <v>0</v>
      </c>
      <c r="IX305" s="245">
        <f t="shared" si="1007"/>
        <v>0</v>
      </c>
      <c r="IY305" s="245">
        <f t="shared" si="905"/>
        <v>0</v>
      </c>
      <c r="IZ305" s="245">
        <f t="shared" si="906"/>
        <v>0</v>
      </c>
      <c r="JA305">
        <f t="shared" si="907"/>
        <v>0</v>
      </c>
      <c r="JB305">
        <f t="shared" si="1008"/>
        <v>0</v>
      </c>
      <c r="JC305">
        <f t="shared" si="908"/>
        <v>0</v>
      </c>
      <c r="JD305">
        <f t="shared" si="909"/>
        <v>0</v>
      </c>
      <c r="JE305">
        <f t="shared" si="910"/>
        <v>0</v>
      </c>
      <c r="JF305">
        <f t="shared" si="911"/>
        <v>0</v>
      </c>
      <c r="JG305">
        <f t="shared" si="912"/>
        <v>0</v>
      </c>
      <c r="JH305">
        <f t="shared" si="913"/>
        <v>0</v>
      </c>
      <c r="JI305">
        <f t="shared" si="914"/>
        <v>0</v>
      </c>
      <c r="JJ305" s="447">
        <f t="shared" si="915"/>
        <v>0</v>
      </c>
      <c r="JK305" s="447">
        <f t="shared" si="916"/>
        <v>0</v>
      </c>
      <c r="JL305">
        <f t="shared" si="917"/>
        <v>0</v>
      </c>
      <c r="JM305" s="245" t="str">
        <f>IFERROR(VLOOKUP(MATCH(BN305,#REF!,0),#REF!,7),"")</f>
        <v/>
      </c>
      <c r="JN305" t="e">
        <f>HLOOKUP(LEFT(BO305,7),Discharge_Area,MATCH(JO305,LookUps!$B$130:$B$149,1)+2)</f>
        <v>#N/A</v>
      </c>
      <c r="JO305" t="str">
        <f t="shared" si="918"/>
        <v>- S</v>
      </c>
      <c r="JP305" t="e">
        <f>HLOOKUP(LEFT(BO305,7),Discharge_Area,MATCH(JO305,LookUps!$B$130:$B$149,1)+2)</f>
        <v>#N/A</v>
      </c>
      <c r="JQ305" t="e">
        <f t="shared" si="919"/>
        <v>#N/A</v>
      </c>
      <c r="JR305" t="e">
        <f t="shared" si="920"/>
        <v>#N/A</v>
      </c>
      <c r="JS305" t="e">
        <f t="shared" si="921"/>
        <v>#N/A</v>
      </c>
      <c r="JT305" s="532" t="str">
        <f t="shared" si="922"/>
        <v xml:space="preserve"> </v>
      </c>
      <c r="JU305" s="532" t="str">
        <f t="shared" si="923"/>
        <v xml:space="preserve"> </v>
      </c>
      <c r="JV305" s="533" t="str">
        <f t="shared" si="924"/>
        <v xml:space="preserve"> </v>
      </c>
      <c r="JW305" s="534">
        <f t="shared" si="925"/>
        <v>0</v>
      </c>
      <c r="JX305" s="535" t="str">
        <f t="shared" si="1009"/>
        <v xml:space="preserve"> </v>
      </c>
      <c r="JY305" s="535" t="str">
        <f t="shared" si="1010"/>
        <v xml:space="preserve"> </v>
      </c>
      <c r="JZ305" s="535" t="str">
        <f t="shared" si="1011"/>
        <v xml:space="preserve"> </v>
      </c>
      <c r="KA305" s="536" t="str">
        <f t="shared" si="926"/>
        <v xml:space="preserve"> </v>
      </c>
      <c r="KB305" s="535" t="e">
        <f t="shared" si="1012"/>
        <v>#VALUE!</v>
      </c>
      <c r="KC305" s="535" t="str">
        <f t="shared" si="927"/>
        <v/>
      </c>
      <c r="KD305" s="537" t="str">
        <f t="shared" si="1013"/>
        <v xml:space="preserve"> </v>
      </c>
      <c r="KE305" s="537" t="str">
        <f t="shared" si="1014"/>
        <v xml:space="preserve"> </v>
      </c>
      <c r="KF305" s="534">
        <f t="shared" si="928"/>
        <v>0</v>
      </c>
      <c r="KG305" s="535" t="str">
        <f t="shared" si="929"/>
        <v xml:space="preserve"> </v>
      </c>
      <c r="KH305" s="535" t="str">
        <f t="shared" si="930"/>
        <v xml:space="preserve"> </v>
      </c>
      <c r="KI305" s="535" t="str">
        <f t="shared" si="931"/>
        <v xml:space="preserve"> </v>
      </c>
      <c r="KJ305" s="536" t="str">
        <f t="shared" si="932"/>
        <v xml:space="preserve"> </v>
      </c>
      <c r="KK305" s="535" t="str">
        <f t="shared" si="1015"/>
        <v xml:space="preserve"> </v>
      </c>
      <c r="KL305" s="535" t="str">
        <f t="shared" si="1016"/>
        <v xml:space="preserve"> </v>
      </c>
      <c r="KM305" s="537" t="str">
        <f t="shared" si="933"/>
        <v xml:space="preserve"> </v>
      </c>
      <c r="KN305" s="537" t="str">
        <f t="shared" si="1017"/>
        <v xml:space="preserve"> </v>
      </c>
      <c r="KP305">
        <f t="shared" si="934"/>
        <v>0</v>
      </c>
      <c r="LA305" t="e">
        <f t="shared" si="935"/>
        <v>#VALUE!</v>
      </c>
      <c r="LB305" t="e">
        <f t="shared" si="936"/>
        <v>#VALUE!</v>
      </c>
      <c r="LC305" t="e">
        <f t="shared" si="937"/>
        <v>#VALUE!</v>
      </c>
      <c r="LD305" t="e">
        <f t="shared" si="938"/>
        <v>#VALUE!</v>
      </c>
      <c r="LE305" t="e">
        <f t="shared" si="1018"/>
        <v>#VALUE!</v>
      </c>
      <c r="LF305">
        <f t="shared" si="939"/>
        <v>0</v>
      </c>
      <c r="LG305" t="e">
        <f t="shared" si="1019"/>
        <v>#VALUE!</v>
      </c>
      <c r="LH305" t="str">
        <f t="shared" si="940"/>
        <v xml:space="preserve"> </v>
      </c>
      <c r="LI305">
        <f t="shared" si="1020"/>
        <v>1</v>
      </c>
    </row>
    <row r="306" spans="2:321" ht="15" customHeight="1">
      <c r="B306" s="311"/>
      <c r="C306" s="311"/>
      <c r="D306" s="312"/>
      <c r="E306" s="311"/>
      <c r="F306" s="312"/>
      <c r="G306" s="311"/>
      <c r="H306" s="311"/>
      <c r="I306" s="232"/>
      <c r="J306" s="311"/>
      <c r="K306" s="305" t="str">
        <f t="shared" si="941"/>
        <v/>
      </c>
      <c r="L306" s="313"/>
      <c r="M306" s="312"/>
      <c r="N306" s="311"/>
      <c r="O306" s="312"/>
      <c r="P306" s="311"/>
      <c r="Q306" s="305" t="str">
        <f t="shared" si="942"/>
        <v/>
      </c>
      <c r="R306" s="314"/>
      <c r="S306" s="450" t="str">
        <f t="shared" si="825"/>
        <v/>
      </c>
      <c r="T306" s="315"/>
      <c r="U306" s="315"/>
      <c r="W306" s="149" t="str">
        <f t="shared" si="826"/>
        <v xml:space="preserve"> </v>
      </c>
      <c r="X306" s="243" t="str">
        <f t="shared" si="827"/>
        <v xml:space="preserve"> </v>
      </c>
      <c r="Y306" s="150" t="str">
        <f t="shared" si="828"/>
        <v/>
      </c>
      <c r="Z306" s="149" t="str">
        <f t="shared" si="829"/>
        <v xml:space="preserve"> </v>
      </c>
      <c r="AA306" s="98" t="str">
        <f t="shared" si="830"/>
        <v xml:space="preserve"> </v>
      </c>
      <c r="AB306" s="153" t="str">
        <f t="shared" si="831"/>
        <v xml:space="preserve"> </v>
      </c>
      <c r="AC306" s="153" t="str">
        <f t="shared" si="832"/>
        <v xml:space="preserve"> </v>
      </c>
      <c r="AD306" s="148" t="str">
        <f t="shared" si="833"/>
        <v/>
      </c>
      <c r="AE306" s="149" t="str">
        <f t="shared" si="834"/>
        <v/>
      </c>
      <c r="AF306" s="151" t="str">
        <f t="shared" si="835"/>
        <v xml:space="preserve"> </v>
      </c>
      <c r="AG306" s="153" t="str">
        <f t="shared" si="836"/>
        <v xml:space="preserve"> </v>
      </c>
      <c r="AH306" s="98" t="str">
        <f t="shared" si="837"/>
        <v xml:space="preserve"> </v>
      </c>
      <c r="AI306" s="149" t="str">
        <f t="shared" si="838"/>
        <v xml:space="preserve"> </v>
      </c>
      <c r="AK306" s="144" t="str">
        <f t="shared" si="839"/>
        <v xml:space="preserve"> </v>
      </c>
      <c r="AL306" s="144"/>
      <c r="AM306" s="243" t="str">
        <f t="shared" si="840"/>
        <v xml:space="preserve"> </v>
      </c>
      <c r="AN306" s="149" t="str">
        <f t="shared" si="943"/>
        <v xml:space="preserve"> </v>
      </c>
      <c r="AO306" s="144" t="str">
        <f>IF(JB306&gt;0,IF(GI306=10,-R306*1.085*(Calculation!$F$6-Calculation!$F$13)*$S$14," "),"")</f>
        <v/>
      </c>
      <c r="AP306" s="144" t="str">
        <f t="shared" si="841"/>
        <v/>
      </c>
      <c r="AQ306" s="56" t="str">
        <f t="shared" si="842"/>
        <v/>
      </c>
      <c r="AR306" s="144" t="str">
        <f t="shared" si="843"/>
        <v/>
      </c>
      <c r="AS306" s="176" t="str">
        <f t="shared" si="844"/>
        <v/>
      </c>
      <c r="AT306" s="176" t="str">
        <f t="shared" si="944"/>
        <v xml:space="preserve"> </v>
      </c>
      <c r="AU306" s="176" t="str">
        <f t="shared" si="845"/>
        <v/>
      </c>
      <c r="AV306" s="177" t="str">
        <f t="shared" si="846"/>
        <v xml:space="preserve"> </v>
      </c>
      <c r="AW306" s="144" t="str">
        <f t="shared" si="847"/>
        <v xml:space="preserve"> </v>
      </c>
      <c r="AX306" s="144" t="str">
        <f t="shared" si="848"/>
        <v xml:space="preserve"> </v>
      </c>
      <c r="AY306" s="152" t="str">
        <f t="shared" si="849"/>
        <v xml:space="preserve"> </v>
      </c>
      <c r="AZ306" s="246" t="str">
        <f t="shared" si="850"/>
        <v/>
      </c>
      <c r="BA306" s="176" t="str">
        <f t="shared" si="851"/>
        <v xml:space="preserve"> </v>
      </c>
      <c r="BB306" s="176" t="str">
        <f t="shared" si="852"/>
        <v xml:space="preserve"> </v>
      </c>
      <c r="BC306" s="195"/>
      <c r="BD306" s="316"/>
      <c r="BE306" s="317"/>
      <c r="BF306" s="318"/>
      <c r="BG306" s="318"/>
      <c r="BH306" s="144" t="str">
        <f t="shared" si="1021"/>
        <v xml:space="preserve"> </v>
      </c>
      <c r="BI306" s="176" t="str">
        <f t="shared" si="853"/>
        <v/>
      </c>
      <c r="BJ306" s="144" t="str">
        <f t="shared" si="1022"/>
        <v/>
      </c>
      <c r="BK306" s="246" t="str">
        <f t="shared" si="854"/>
        <v/>
      </c>
      <c r="BL306" s="144" t="str">
        <f t="shared" si="1023"/>
        <v/>
      </c>
      <c r="BM306" s="246" t="str">
        <f t="shared" si="855"/>
        <v/>
      </c>
      <c r="BN306" s="337" t="str">
        <f t="shared" si="945"/>
        <v/>
      </c>
      <c r="BO306" s="371" t="str">
        <f t="shared" si="946"/>
        <v/>
      </c>
      <c r="BP306" s="328" t="str">
        <f t="shared" si="1024"/>
        <v xml:space="preserve"> </v>
      </c>
      <c r="BQ306" s="347" t="str">
        <f t="shared" si="947"/>
        <v xml:space="preserve"> </v>
      </c>
      <c r="BR306" s="353" t="str">
        <f t="shared" si="948"/>
        <v xml:space="preserve"> </v>
      </c>
      <c r="BS306" s="626" t="str">
        <f>IF(L306&gt;0,IF(Calculation!P306="M13",BR306*3.1416*(0.134^2)/(4*144),IF(Calculation!P306="M17",BR306*3.1416*(0.165^2)/(4*144),IF(Calculation!P306="M20",BR306*3.1416*(0.198^2)/(4*144),IF(Calculation!P306="M23",BR306*3.1416*(0.228^2)/(4*144),IF(Calculation!P306="M27",BR306*3.1416*(0.269^2)/(4*144),BR306*3.1416*(0.307^2)/(4*144))))))," ")</f>
        <v xml:space="preserve"> </v>
      </c>
      <c r="BT306" s="353" t="str">
        <f>IF(L306&gt;0,IF(BS306&gt;0,R306/Calculation!BS306,0)," ")</f>
        <v xml:space="preserve"> </v>
      </c>
      <c r="BU306" s="438" t="e">
        <f t="shared" ca="1" si="856"/>
        <v>#VALUE!</v>
      </c>
      <c r="BV306" s="449" t="e">
        <f ca="1">INDEX(INDIRECT(VLOOKUP(LEFT(BO306,7),CLU!$Z$3:$AH$18,2)),GN306,GR306)</f>
        <v>#N/A</v>
      </c>
      <c r="BW306" s="433" t="e">
        <f ca="1">INDEX(INDIRECT(VLOOKUP(LEFT(BO306,7),CLU!$Z$3:$AH$18,3)),GN306,GR306)</f>
        <v>#N/A</v>
      </c>
      <c r="BX306" s="433" t="e">
        <f ca="1">INDEX(INDIRECT(VLOOKUP(LEFT(BO306,7),CLU!$Z$3:$AH$18,4)),GN306,GR306)</f>
        <v>#N/A</v>
      </c>
      <c r="BY306" s="433" t="e">
        <f ca="1">INDEX(INDIRECT(VLOOKUP(LEFT(BO306,7),CLU!$Z$3:$AH$18,9)),((M306-2)*(6-COUNTBLANK(GT306:GY306)))+GJ306)</f>
        <v>#N/A</v>
      </c>
      <c r="BZ306" s="426" t="e">
        <f t="shared" ca="1" si="949"/>
        <v>#N/A</v>
      </c>
      <c r="CA306" s="424" t="e">
        <f t="shared" ca="1" si="950"/>
        <v>#N/A</v>
      </c>
      <c r="CB306" s="429" t="e">
        <f ca="1">INDEX(INDIRECT(VLOOKUP(LEFT(BO306,7),CLU!$Z$3:$AH$18,2)),GN306,GS306)</f>
        <v>#N/A</v>
      </c>
      <c r="CC306" s="342" t="e">
        <f ca="1">INDEX(INDIRECT(VLOOKUP(LEFT(BO306,7),CLU!$Z$3:$AH$18,3)),GN306,GS306)</f>
        <v>#N/A</v>
      </c>
      <c r="CD306" s="342" t="e">
        <f ca="1">INDEX(INDIRECT(VLOOKUP(LEFT(BO306,7),CLU!$Z$3:$AH$18,4)),GN306,GS306)</f>
        <v>#N/A</v>
      </c>
      <c r="CE306" s="426" t="e">
        <f t="shared" ca="1" si="951"/>
        <v>#N/A</v>
      </c>
      <c r="CF306" s="440">
        <f t="shared" si="952"/>
        <v>0</v>
      </c>
      <c r="CG306" s="431" t="e">
        <f ca="1">INDEX(INDIRECT(VLOOKUP(LEFT(BO306,7),CLU!$Z$3:$AH$18,2)),GQ306,GR306)</f>
        <v>#N/A</v>
      </c>
      <c r="CH306" s="431" t="e">
        <f ca="1">INDEX(INDIRECT(VLOOKUP(LEFT(BO306,7),CLU!$Z$3:$AH$18,3)),GQ306,GR306)</f>
        <v>#N/A</v>
      </c>
      <c r="CI306" s="431" t="e">
        <f ca="1">INDEX(INDIRECT(VLOOKUP(LEFT(BO306,7),CLU!$Z$3:$AH$18,4)),GQ306,GR306)</f>
        <v>#N/A</v>
      </c>
      <c r="CJ306" s="448" t="e">
        <f t="shared" ca="1" si="953"/>
        <v>#N/A</v>
      </c>
      <c r="CK306" s="431" t="e">
        <f t="shared" ca="1" si="954"/>
        <v>#N/A</v>
      </c>
      <c r="CL306" s="440" t="e">
        <f t="shared" ca="1" si="955"/>
        <v>#N/A</v>
      </c>
      <c r="CM306" s="431" t="e">
        <f ca="1">INDEX(INDIRECT(VLOOKUP(LEFT(BO306,7),CLU!$Z$3:$AH$18,2)),GQ306,GS306)</f>
        <v>#N/A</v>
      </c>
      <c r="CN306" s="431" t="e">
        <f ca="1">INDEX(INDIRECT(VLOOKUP(LEFT(BO306,7),CLU!$Z$3:$AH$18,3)),GQ306,GS306)</f>
        <v>#N/A</v>
      </c>
      <c r="CO306" s="431" t="e">
        <f ca="1">INDEX(INDIRECT(VLOOKUP(LEFT(BO306,7),CLU!$Z$3:$AH$18,4)),GQ306,GS306)</f>
        <v>#N/A</v>
      </c>
      <c r="CP306" s="431" t="e">
        <f t="shared" ca="1" si="956"/>
        <v>#N/A</v>
      </c>
      <c r="CQ306" s="440">
        <f t="shared" si="957"/>
        <v>0</v>
      </c>
      <c r="CR306" s="51" t="e">
        <f t="shared" ca="1" si="958"/>
        <v>#N/A</v>
      </c>
      <c r="CS306" s="439" t="e">
        <f t="shared" ca="1" si="959"/>
        <v>#VALUE!</v>
      </c>
      <c r="CT306" s="51" t="e">
        <f t="shared" ca="1" si="960"/>
        <v>#VALUE!</v>
      </c>
      <c r="CU306" s="10"/>
      <c r="CV306" s="51" t="e">
        <f t="shared" ca="1" si="857"/>
        <v>#VALUE!</v>
      </c>
      <c r="CW306" s="51">
        <f t="shared" si="961"/>
        <v>0</v>
      </c>
      <c r="CX306" s="439" t="e">
        <f t="shared" ca="1" si="962"/>
        <v>#VALUE!</v>
      </c>
      <c r="CY306" s="51" t="e">
        <f t="shared" ca="1" si="963"/>
        <v>#VALUE!</v>
      </c>
      <c r="CZ306" s="10"/>
      <c r="DA306" s="51" t="e">
        <f t="shared" ca="1" si="964"/>
        <v>#VALUE!</v>
      </c>
      <c r="DB306" s="347" t="e">
        <f ca="1">INDEX(INDIRECT(VLOOKUP(LEFT(BO306,7),CLU!$Z$3:$AI$18,10)),((M306-2)*(6-COUNTBLANK(GT306:GY306)))+GJ306)*LI306</f>
        <v>#N/A</v>
      </c>
      <c r="DC306" s="347" t="str">
        <f>IF(L306&gt;0,((R306/Worksheet!$I$15)/DB306)^2," ")</f>
        <v xml:space="preserve"> </v>
      </c>
      <c r="DD306" s="602" t="str">
        <f t="shared" si="965"/>
        <v xml:space="preserve"> </v>
      </c>
      <c r="DE306" s="347" t="str">
        <f t="shared" si="858"/>
        <v xml:space="preserve"> </v>
      </c>
      <c r="DF306" s="356" t="e">
        <f ca="1">INDEX(INDIRECT(VLOOKUP(LEFT(BO306,7),CLU!$Z$3:$AH$18,8)),((M306-2)*(6-COUNTBLANK(GT306:GY306)))+GJ306)</f>
        <v>#N/A</v>
      </c>
      <c r="DG306" s="347" t="str">
        <f t="shared" si="859"/>
        <v xml:space="preserve"> </v>
      </c>
      <c r="DH306" s="357" t="str">
        <f t="shared" si="860"/>
        <v xml:space="preserve"> </v>
      </c>
      <c r="DI306" s="355" t="str">
        <f t="shared" si="861"/>
        <v xml:space="preserve"> </v>
      </c>
      <c r="DJ306" s="245" t="e">
        <f ca="1">INDEX(INDIRECT(VLOOKUP(LEFT(BO306,7),CLU!$Z$3:$AH$18,5)),GL306,GK306)</f>
        <v>#N/A</v>
      </c>
      <c r="DK306" s="245" t="e">
        <f ca="1">INDEX(INDIRECT(VLOOKUP(LEFT(BO306,7),CLU!$Z$3:$AH$18,6)),GL306,GK306)</f>
        <v>#N/A</v>
      </c>
      <c r="DL306" s="355">
        <f>(Calculation!R306*0.69143*(Calculation!$BQ$8-Calculation!$F$8))*$S$14</f>
        <v>0</v>
      </c>
      <c r="DM306" s="359" t="e">
        <f t="shared" si="966"/>
        <v>#VALUE!</v>
      </c>
      <c r="DN306" s="611">
        <f t="shared" si="967"/>
        <v>0</v>
      </c>
      <c r="DO306" s="359">
        <f t="shared" si="968"/>
        <v>100</v>
      </c>
      <c r="DP306" s="359">
        <f t="shared" si="969"/>
        <v>0</v>
      </c>
      <c r="DQ306" s="360"/>
      <c r="DR306" s="245" t="e">
        <f ca="1">INDEX(INDIRECT(VLOOKUP(LEFT(BO306,7),CLU!$Z$3:$AH$18,7)),M306-1,1)</f>
        <v>#N/A</v>
      </c>
      <c r="DS306" s="245" t="e">
        <f ca="1">INDEX(INDIRECT(VLOOKUP(LEFT(BO306,7),CLU!$Z$3:$AH$18,7)),M306-1,2)</f>
        <v>#N/A</v>
      </c>
      <c r="DT306" s="245" t="e">
        <f ca="1">INDEX(INDIRECT(VLOOKUP(LEFT(BO306,7),CLU!$Z$3:$AH$18,7)),M306-1,3)</f>
        <v>#N/A</v>
      </c>
      <c r="DU306" s="245" t="e">
        <f ca="1">INDEX(INDIRECT(VLOOKUP(LEFT(BO306,7),CLU!$Z$3:$AH$18,7)),M306-1,4)</f>
        <v>#N/A</v>
      </c>
      <c r="DV306" s="361" t="e">
        <f ca="1">INDEX(INDIRECT(VLOOKUP(LEFT(BO306,7),CLU!$Z$3:$AH$18,7)),M306-1,4+LEFT(DZ306,1)*0.5)</f>
        <v>#N/A</v>
      </c>
      <c r="DW306" s="245" t="e">
        <f ca="1">INDEX(INDIRECT(VLOOKUP(LEFT(BO306,7),CLU!$Z$3:$AH$18,7)),M306-1,8)</f>
        <v>#N/A</v>
      </c>
      <c r="DX306" s="361" t="str">
        <f t="shared" si="862"/>
        <v xml:space="preserve"> </v>
      </c>
      <c r="DY306" s="361" t="str">
        <f t="shared" si="863"/>
        <v xml:space="preserve"> </v>
      </c>
      <c r="DZ306" s="361" t="str">
        <f t="shared" si="864"/>
        <v xml:space="preserve"> </v>
      </c>
      <c r="EA306" s="362" t="str">
        <f t="shared" si="865"/>
        <v xml:space="preserve"> </v>
      </c>
      <c r="EB306" s="624" t="str">
        <f t="shared" si="970"/>
        <v xml:space="preserve"> </v>
      </c>
      <c r="EC306" s="361" t="e">
        <f ca="1">INDEX(INDIRECT(VLOOKUP(LEFT(BO306,7),CLU!$Z$3:$AH$18,7)),M306-1,4+LEFT(DZ306,1)*0.5)</f>
        <v>#N/A</v>
      </c>
      <c r="ED306" s="362" t="str">
        <f t="shared" si="866"/>
        <v xml:space="preserve"> </v>
      </c>
      <c r="EE306" s="361" t="str">
        <f t="shared" si="867"/>
        <v xml:space="preserve"> </v>
      </c>
      <c r="EF306" s="362" t="str">
        <f>IF(L306&gt;0,IF(BR306&gt;0,IF(EE306="2P",IF(Calculation!DZ306="2P",IF(Calculation!DS306=13.75,IF(Calculation!DR306=13,Worksheet!$BD$43,IF(Calculation!DR306=37,Worksheet!$BD$44,Worksheet!$BD$45)),IF(Calculation!DS306=10,IF(Calculation!DR306=18,Worksheet!$BD$29,IF(Calculation!DR306=30,Worksheet!$BD$30,IF(Calculation!DR306=42,Worksheet!$BD$31,IF(Calculation!DR306=54,Worksheet!$BD$32,IF(Calculation!DR306=66,Worksheet!$BD$33,IF(Calculation!DR306=78,Worksheet!$BD$34,IF(Calculation!DR306=90,Worksheet!$BD$35,IF(Calculation!DR306=102,Worksheet!$BD$36,Worksheet!$BD$37)))))))),IF(Calculation!DS306=12.5,IF(Calculation!DR306=18,Worksheet!$BD$38,IF(Calculation!DR306=Worksheet!$BD$39,IF(Calculation!DR306=42,Worksheet!$BD$40,IF(Calculation!DR306=54,Worksheet!$BD$41,Worksheet!$BD$42)))),IF(Calculation!DR306=18,Worksheet!$BD$11,IF(Calculation!DR306=30,Worksheet!$BD$12,IF(Calculation!DR306=42,Worksheet!$BD$13,IF(Calculation!DR306=54,Worksheet!$BD$14,IF(Calculation!DR306=66,Worksheet!$BD$15,IF(Calculation!DR306=78,Worksheet!$BD$16,IF(Calculation!DR306=90,Worksheet!$BD$17,IF(Calculation!DR306=102,Worksheet!$BD$18,Worksheet!$BD$19))))))))))),IF(Calculation!DS306=13.75,IF(Calculation!DR306=13,Worksheet!$BD$78,IF(Calculation!DR306=37,Worksheet!$BD$79,Worksheet!$BD$80)),IF(Calculation!DS306=10,IF(Calculation!DR306=18,Worksheet!$BD$64,IF(Calculation!DR306=30,Worksheet!$BD$65,IF(Calculation!DR306=42,Worksheet!$BD$66,IF(Calculation!DR306=54,Worksheet!$BD$68,IF(Calculation!DR306=66,Worksheet!$BD$68,IF(Calculation!DR306=78,Worksheet!$BD$69,IF(Calculation!DR306=90,Worksheet!$BD$70,IF(Calculation!DR306=102,Worksheet!$BD$71,Worksheet!$BD$72)))))))),IF(Calculation!DS306=12.5,IF(Calculation!DR306=18,Worksheet!$BD$73,IF(Calculation!DR306=Worksheet!$BD$74,IF(Calculation!DR306=42,Worksheet!$BD$75,IF(Calculation!DR306=54,Worksheet!$BD$76,Worksheet!$BD$77)))),IF(Calculation!DR306=18,Worksheet!$BD$55,IF(Calculation!DR306=30,Worksheet!$BD$56,IF(Calculation!DR306=42,Worksheet!$BD$57,IF(Calculation!DR306=54,Worksheet!$BD$58,IF(Calculation!DR306=66,Worksheet!$BD$59,IF(Calculation!DR306=78,Worksheet!$BD$60,IF(Calculation!DR306=90,Worksheet!$BD$61,IF(Calculation!DR306=102,Worksheet!$BD$62,Worksheet!$BD$63)))))))))))),5),0)," ")</f>
        <v xml:space="preserve"> </v>
      </c>
      <c r="EG306" s="361" t="str">
        <f t="shared" si="868"/>
        <v xml:space="preserve"> </v>
      </c>
      <c r="EH306" s="361" t="e">
        <f ca="1">INDEX(INDIRECT(VLOOKUP(LEFT(BO306,7),CLU!$Z$3:$AH$18,7)),M306-1,3+LEFT(DZ306,1))</f>
        <v>#N/A</v>
      </c>
      <c r="EI306" s="362" t="str">
        <f t="shared" si="869"/>
        <v xml:space="preserve"> </v>
      </c>
      <c r="EJ306" s="363" t="str">
        <f t="shared" si="870"/>
        <v xml:space="preserve"> </v>
      </c>
      <c r="EK306" s="363" t="str">
        <f t="shared" si="871"/>
        <v xml:space="preserve"> </v>
      </c>
      <c r="EL306" s="363" t="str">
        <f t="shared" si="872"/>
        <v xml:space="preserve"> </v>
      </c>
      <c r="EM306" s="362" t="str">
        <f>IF(L306&gt;0,IF(BR306&gt;0,(Calculation!T306/ED306)^2,0)," ")</f>
        <v xml:space="preserve"> </v>
      </c>
      <c r="EN306" s="362" t="str">
        <f>IF(L306&gt;0,IF(O306="2 Pipe (Cooling)","N/A",IF(BR306&gt;0,(Calculation!U306/EI306)^2,0))," ")</f>
        <v xml:space="preserve"> </v>
      </c>
      <c r="EO306" s="361" t="str">
        <f t="shared" si="873"/>
        <v/>
      </c>
      <c r="EP306" s="361" t="str">
        <f t="shared" si="874"/>
        <v/>
      </c>
      <c r="EQ306" s="361" t="str">
        <f t="shared" si="875"/>
        <v/>
      </c>
      <c r="ER306" s="361" t="str">
        <f t="shared" si="876"/>
        <v/>
      </c>
      <c r="ES306" s="361" t="str">
        <f t="shared" si="877"/>
        <v/>
      </c>
      <c r="ET306" s="361" t="str">
        <f t="shared" si="878"/>
        <v/>
      </c>
      <c r="EU306" s="361" t="str">
        <f t="shared" si="879"/>
        <v/>
      </c>
      <c r="EV306" s="361" t="str">
        <f t="shared" si="880"/>
        <v/>
      </c>
      <c r="EW306" s="361" t="str">
        <f t="shared" si="881"/>
        <v/>
      </c>
      <c r="EX306" s="361" t="str">
        <f t="shared" si="971"/>
        <v>1 slot, 1 way</v>
      </c>
      <c r="EY306" s="361" t="str">
        <f t="shared" si="972"/>
        <v xml:space="preserve"> </v>
      </c>
      <c r="EZ306" s="361" t="str">
        <f t="shared" si="973"/>
        <v xml:space="preserve"> </v>
      </c>
      <c r="FA306" s="361" t="str">
        <f t="shared" si="974"/>
        <v xml:space="preserve"> </v>
      </c>
      <c r="FB306" s="361" t="str">
        <f t="shared" si="975"/>
        <v xml:space="preserve"> </v>
      </c>
      <c r="FC306" s="361"/>
      <c r="FD306" s="361" t="str">
        <f>IF(J306&gt;0,IF(Calculation!R306&lt;=70,4,IF(Calculation!R306&lt;=110,5,IF(Calculation!R306&lt;=160,6,IF(Calculation!R306&lt;=300,8,"10 EO")))),"")</f>
        <v/>
      </c>
      <c r="FE306" s="361" t="str">
        <f t="shared" si="976"/>
        <v/>
      </c>
      <c r="FF306" s="361" t="str">
        <f t="shared" si="977"/>
        <v/>
      </c>
      <c r="FG306" s="361" t="e">
        <f t="shared" si="882"/>
        <v>#N/A</v>
      </c>
      <c r="FH306" s="361">
        <f t="shared" si="883"/>
        <v>0</v>
      </c>
      <c r="FI306" s="361" t="e">
        <f t="shared" si="884"/>
        <v>#DIV/0!</v>
      </c>
      <c r="FJ306" s="361"/>
      <c r="FK306" s="356" t="e">
        <f t="shared" si="885"/>
        <v>#VALUE!</v>
      </c>
      <c r="FL306" s="361"/>
      <c r="FM306" s="361"/>
      <c r="FN306" s="362" t="str">
        <f t="shared" si="978"/>
        <v xml:space="preserve"> </v>
      </c>
      <c r="FO306" s="362" t="str">
        <f t="shared" si="979"/>
        <v xml:space="preserve"> </v>
      </c>
      <c r="FP306" s="362">
        <f t="shared" si="980"/>
        <v>0</v>
      </c>
      <c r="FQ306" s="361">
        <f t="shared" si="886"/>
        <v>0</v>
      </c>
      <c r="FR306" s="362" t="str">
        <f>IF(L306&gt;0,IF(J306="CBAL2",Worksheet!$P$67,IF(J306="CBE2-24",Worksheet!$Q$67,IF(J306="CBAM",Worksheet!$R$67,IF(J306="CBLV",Worksheet!$S$67,IF(J306="CBAB",Worksheet!$U$67,IF(J306="CBAW",Worksheet!$X$67,IF(J306="CBE2-12",Worksheet!$Y$67,IF(J306="CBAL2",Worksheet!$Z$67,"N/A"))))))))," ")</f>
        <v xml:space="preserve"> </v>
      </c>
      <c r="FS306" s="362" t="str">
        <f>IF(L306&gt;0,IF(J306="CBAL2",Worksheet!$P$68,IF(J306="CBE2-24",Worksheet!$Q$68,IF(J306="CBAM",Worksheet!$R$68,IF(J306="CBLV",Worksheet!$S$68,IF(J306="CBAB",Worksheet!$U$68,IF(J306="CBAW",Worksheet!$X$68,IF(J306="CBE2-12",Worksheet!$Y$68,IF(J306="CBAL2",Worksheet!$Z$68,"N/A"))))))))," ")</f>
        <v xml:space="preserve"> </v>
      </c>
      <c r="FT306" s="362" t="str">
        <f>IF(L306&gt;0,IF(J306="CBAL2",Worksheet!$P$69,IF(J306="CBE2-24",Worksheet!$Q$69,IF(J306="CBAM",Worksheet!$R$69,IF(J306="CBLV",Worksheet!$S$69,IF(J306="CBAB",Worksheet!$U$69,IF(J306="CBAW",Worksheet!$X$69,IF(J306="CBE2-12",Worksheet!$Y$69,IF(J306="CBAL2",Worksheet!$Z$69,"N/A"))))))))," ")</f>
        <v xml:space="preserve"> </v>
      </c>
      <c r="FU306" s="361" t="str">
        <f t="shared" si="981"/>
        <v xml:space="preserve"> </v>
      </c>
      <c r="FV306" s="362" t="str">
        <f t="shared" si="982"/>
        <v xml:space="preserve"> </v>
      </c>
      <c r="FW306" s="362" t="str">
        <f t="shared" si="983"/>
        <v xml:space="preserve"> </v>
      </c>
      <c r="FX306" s="362" t="str">
        <f t="shared" si="984"/>
        <v xml:space="preserve"> </v>
      </c>
      <c r="FY306" s="355" t="str">
        <f t="shared" si="985"/>
        <v xml:space="preserve"> </v>
      </c>
      <c r="FZ306" s="361" t="str">
        <f t="shared" si="986"/>
        <v xml:space="preserve"> </v>
      </c>
      <c r="GA306" s="347" t="str">
        <f t="shared" si="987"/>
        <v xml:space="preserve"> </v>
      </c>
      <c r="GB306" s="355" t="str">
        <f t="shared" si="988"/>
        <v xml:space="preserve"> </v>
      </c>
      <c r="GC306" s="328" t="str">
        <f t="shared" si="989"/>
        <v xml:space="preserve"> </v>
      </c>
      <c r="GD306" s="361" t="str">
        <f t="shared" si="990"/>
        <v xml:space="preserve"> </v>
      </c>
      <c r="GE306" s="347" t="str">
        <f t="shared" si="991"/>
        <v xml:space="preserve"> </v>
      </c>
      <c r="GF306" s="361" t="str">
        <f t="shared" si="992"/>
        <v xml:space="preserve"> </v>
      </c>
      <c r="GG306" s="347" t="str">
        <f t="shared" si="993"/>
        <v xml:space="preserve"> </v>
      </c>
      <c r="GH306" s="364">
        <f t="shared" si="887"/>
        <v>0</v>
      </c>
      <c r="GI306" s="362">
        <f t="shared" si="994"/>
        <v>2</v>
      </c>
      <c r="GJ306" s="433" t="e">
        <f>IF(6-COUNTBLANK(GT306:GY306)=4,MATCH(MID(BO306,9,3),CLU!$H$16:$K$16),MATCH(MID(BO306,9,3),CLU!$H$13:$M$13))</f>
        <v>#N/A</v>
      </c>
      <c r="GK306" s="433" t="e">
        <f>HLOOKUP(VALUE(BP306),CLU!$H$9:$M$10,2)</f>
        <v>#VALUE!</v>
      </c>
      <c r="GL306" s="433" t="e">
        <f ca="1">MATCH(BU306,CLU!$H$2:$V$2,1)</f>
        <v>#VALUE!</v>
      </c>
      <c r="GM306" s="433" t="e">
        <f t="shared" ca="1" si="995"/>
        <v>#VALUE!</v>
      </c>
      <c r="GN306" s="433" t="e">
        <f t="shared" ca="1" si="996"/>
        <v>#VALUE!</v>
      </c>
      <c r="GO306" s="433" t="e">
        <f t="shared" ca="1" si="997"/>
        <v>#VALUE!</v>
      </c>
      <c r="GP306" s="433" t="e">
        <f t="shared" ca="1" si="998"/>
        <v>#VALUE!</v>
      </c>
      <c r="GQ306" s="433" t="e">
        <f t="shared" ca="1" si="999"/>
        <v>#VALUE!</v>
      </c>
      <c r="GR306" s="433" t="e">
        <f ca="1">MATCH(T306,INDIRECT(VLOOKUP(CONCATENATE(LEFT(BO306,7),"-",MID(BO306,13,1)),CLU!$P$3:$Q$16,2)),1)</f>
        <v>#N/A</v>
      </c>
      <c r="GS306" s="433" t="e">
        <f ca="1">MATCH(U306,INDIRECT(VLOOKUP(CONCATENATE(LEFT(BO306,7),"-",MID(BO306,13,1)),CLU!$P$3:$Q$16,2)),1)</f>
        <v>#N/A</v>
      </c>
      <c r="GT306" s="347" t="s">
        <v>512</v>
      </c>
      <c r="GU306" s="97" t="s">
        <v>513</v>
      </c>
      <c r="GV306" s="97" t="str">
        <f t="shared" si="1000"/>
        <v>M23</v>
      </c>
      <c r="GW306" s="97" t="str">
        <f t="shared" si="1001"/>
        <v>M31</v>
      </c>
      <c r="GX306" s="97" t="str">
        <f t="shared" si="1002"/>
        <v/>
      </c>
      <c r="GY306" s="97" t="str">
        <f t="shared" si="1003"/>
        <v/>
      </c>
      <c r="GZ306" s="481"/>
      <c r="HA306" s="240"/>
      <c r="HB306" s="240"/>
      <c r="HC306" s="240"/>
      <c r="HD306" s="240"/>
      <c r="HE306" s="240"/>
      <c r="HF306" s="240"/>
      <c r="HG306" s="240"/>
      <c r="HH306" s="240"/>
      <c r="HI306" s="240"/>
      <c r="HJ306" s="240"/>
      <c r="HK306" s="240"/>
      <c r="HL306" s="240"/>
      <c r="HM306" s="240"/>
      <c r="HN306" s="240"/>
      <c r="HO306" s="240"/>
      <c r="HP306" s="240"/>
      <c r="HQ306" s="240"/>
      <c r="HR306" s="240"/>
      <c r="HS306" s="240"/>
      <c r="HT306" s="240"/>
      <c r="HU306" s="240"/>
      <c r="HV306" s="245"/>
      <c r="HW306" s="245" t="b">
        <v>1</v>
      </c>
      <c r="HX306" s="245" t="str">
        <f t="shared" si="888"/>
        <v/>
      </c>
      <c r="HY306" s="245" t="e">
        <f t="shared" si="889"/>
        <v>#DIV/0!</v>
      </c>
      <c r="HZ306" s="245" t="e">
        <f t="shared" si="890"/>
        <v>#DIV/0!</v>
      </c>
      <c r="IA306" s="245">
        <f t="shared" si="891"/>
        <v>0</v>
      </c>
      <c r="IB306" s="245"/>
      <c r="IC306" t="b">
        <f t="shared" si="892"/>
        <v>1</v>
      </c>
      <c r="ID306" s="245" t="b">
        <f t="shared" si="893"/>
        <v>1</v>
      </c>
      <c r="IE306" s="245" t="b">
        <f t="shared" si="894"/>
        <v>1</v>
      </c>
      <c r="IF306" s="245" t="b">
        <f t="shared" si="895"/>
        <v>0</v>
      </c>
      <c r="IG306" s="245" t="b">
        <f t="shared" si="896"/>
        <v>1</v>
      </c>
      <c r="IH306" s="245" t="b">
        <f t="shared" si="897"/>
        <v>1</v>
      </c>
      <c r="II306" s="245">
        <f t="shared" si="1004"/>
        <v>0</v>
      </c>
      <c r="IJ306" s="245" t="e">
        <f t="shared" si="898"/>
        <v>#VALUE!</v>
      </c>
      <c r="IK306" s="245" t="e">
        <f t="shared" si="899"/>
        <v>#VALUE!</v>
      </c>
      <c r="IL306" s="245"/>
      <c r="IM306" s="245" t="e">
        <f t="shared" si="1005"/>
        <v>#N/A</v>
      </c>
      <c r="IN306" s="245" t="e">
        <f t="shared" si="1006"/>
        <v>#N/A</v>
      </c>
      <c r="IO306" s="245"/>
      <c r="IP306" s="245"/>
      <c r="IQ306" s="245" t="str">
        <f t="shared" si="900"/>
        <v/>
      </c>
      <c r="IR306" s="245" t="str">
        <f>IF(J306="","",VLOOKUP(J306,Worksheet!$R$4:$T$14,2))</f>
        <v/>
      </c>
      <c r="IS306" s="245"/>
      <c r="IT306" s="245">
        <f t="shared" si="901"/>
        <v>0</v>
      </c>
      <c r="IU306" s="245">
        <f t="shared" si="902"/>
        <v>0</v>
      </c>
      <c r="IV306" s="245">
        <f t="shared" si="903"/>
        <v>0</v>
      </c>
      <c r="IW306" s="245">
        <f t="shared" si="904"/>
        <v>0</v>
      </c>
      <c r="IX306" s="245">
        <f t="shared" si="1007"/>
        <v>0</v>
      </c>
      <c r="IY306" s="245">
        <f t="shared" si="905"/>
        <v>0</v>
      </c>
      <c r="IZ306" s="245">
        <f t="shared" si="906"/>
        <v>0</v>
      </c>
      <c r="JA306">
        <f t="shared" si="907"/>
        <v>0</v>
      </c>
      <c r="JB306">
        <f t="shared" si="1008"/>
        <v>0</v>
      </c>
      <c r="JC306">
        <f t="shared" si="908"/>
        <v>0</v>
      </c>
      <c r="JD306">
        <f t="shared" si="909"/>
        <v>0</v>
      </c>
      <c r="JE306">
        <f t="shared" si="910"/>
        <v>0</v>
      </c>
      <c r="JF306">
        <f t="shared" si="911"/>
        <v>0</v>
      </c>
      <c r="JG306">
        <f t="shared" si="912"/>
        <v>0</v>
      </c>
      <c r="JH306">
        <f t="shared" si="913"/>
        <v>0</v>
      </c>
      <c r="JI306">
        <f t="shared" si="914"/>
        <v>0</v>
      </c>
      <c r="JJ306" s="447">
        <f t="shared" si="915"/>
        <v>0</v>
      </c>
      <c r="JK306" s="447">
        <f t="shared" si="916"/>
        <v>0</v>
      </c>
      <c r="JL306">
        <f t="shared" si="917"/>
        <v>0</v>
      </c>
      <c r="JM306" s="245" t="str">
        <f>IFERROR(VLOOKUP(MATCH(BN306,#REF!,0),#REF!,7),"")</f>
        <v/>
      </c>
      <c r="JN306" t="e">
        <f>HLOOKUP(LEFT(BO306,7),Discharge_Area,MATCH(JO306,LookUps!$B$130:$B$149,1)+2)</f>
        <v>#N/A</v>
      </c>
      <c r="JO306" t="str">
        <f t="shared" si="918"/>
        <v>- S</v>
      </c>
      <c r="JP306" t="e">
        <f>HLOOKUP(LEFT(BO306,7),Discharge_Area,MATCH(JO306,LookUps!$B$130:$B$149,1)+2)</f>
        <v>#N/A</v>
      </c>
      <c r="JQ306" t="e">
        <f t="shared" si="919"/>
        <v>#N/A</v>
      </c>
      <c r="JR306" t="e">
        <f t="shared" si="920"/>
        <v>#N/A</v>
      </c>
      <c r="JS306" t="e">
        <f t="shared" si="921"/>
        <v>#N/A</v>
      </c>
      <c r="JT306" s="532" t="str">
        <f t="shared" si="922"/>
        <v xml:space="preserve"> </v>
      </c>
      <c r="JU306" s="532" t="str">
        <f t="shared" si="923"/>
        <v xml:space="preserve"> </v>
      </c>
      <c r="JV306" s="533" t="str">
        <f t="shared" si="924"/>
        <v xml:space="preserve"> </v>
      </c>
      <c r="JW306" s="534">
        <f t="shared" si="925"/>
        <v>0</v>
      </c>
      <c r="JX306" s="535" t="str">
        <f t="shared" si="1009"/>
        <v xml:space="preserve"> </v>
      </c>
      <c r="JY306" s="535" t="str">
        <f t="shared" si="1010"/>
        <v xml:space="preserve"> </v>
      </c>
      <c r="JZ306" s="535" t="str">
        <f t="shared" si="1011"/>
        <v xml:space="preserve"> </v>
      </c>
      <c r="KA306" s="536" t="str">
        <f t="shared" si="926"/>
        <v xml:space="preserve"> </v>
      </c>
      <c r="KB306" s="535" t="e">
        <f t="shared" si="1012"/>
        <v>#VALUE!</v>
      </c>
      <c r="KC306" s="535" t="str">
        <f t="shared" si="927"/>
        <v/>
      </c>
      <c r="KD306" s="537" t="str">
        <f t="shared" si="1013"/>
        <v xml:space="preserve"> </v>
      </c>
      <c r="KE306" s="537" t="str">
        <f t="shared" si="1014"/>
        <v xml:space="preserve"> </v>
      </c>
      <c r="KF306" s="534">
        <f t="shared" si="928"/>
        <v>0</v>
      </c>
      <c r="KG306" s="535" t="str">
        <f t="shared" si="929"/>
        <v xml:space="preserve"> </v>
      </c>
      <c r="KH306" s="535" t="str">
        <f t="shared" si="930"/>
        <v xml:space="preserve"> </v>
      </c>
      <c r="KI306" s="535" t="str">
        <f t="shared" si="931"/>
        <v xml:space="preserve"> </v>
      </c>
      <c r="KJ306" s="536" t="str">
        <f t="shared" si="932"/>
        <v xml:space="preserve"> </v>
      </c>
      <c r="KK306" s="535" t="str">
        <f t="shared" si="1015"/>
        <v xml:space="preserve"> </v>
      </c>
      <c r="KL306" s="535" t="str">
        <f t="shared" si="1016"/>
        <v xml:space="preserve"> </v>
      </c>
      <c r="KM306" s="537" t="str">
        <f t="shared" si="933"/>
        <v xml:space="preserve"> </v>
      </c>
      <c r="KN306" s="537" t="str">
        <f t="shared" si="1017"/>
        <v xml:space="preserve"> </v>
      </c>
      <c r="KP306">
        <f t="shared" si="934"/>
        <v>0</v>
      </c>
      <c r="LA306" t="e">
        <f t="shared" si="935"/>
        <v>#VALUE!</v>
      </c>
      <c r="LB306" t="e">
        <f t="shared" si="936"/>
        <v>#VALUE!</v>
      </c>
      <c r="LC306" t="e">
        <f t="shared" si="937"/>
        <v>#VALUE!</v>
      </c>
      <c r="LD306" t="e">
        <f t="shared" si="938"/>
        <v>#VALUE!</v>
      </c>
      <c r="LE306" t="e">
        <f t="shared" si="1018"/>
        <v>#VALUE!</v>
      </c>
      <c r="LF306">
        <f t="shared" si="939"/>
        <v>0</v>
      </c>
      <c r="LG306" t="e">
        <f t="shared" si="1019"/>
        <v>#VALUE!</v>
      </c>
      <c r="LH306" t="str">
        <f t="shared" si="940"/>
        <v xml:space="preserve"> </v>
      </c>
      <c r="LI306">
        <f t="shared" si="1020"/>
        <v>1</v>
      </c>
    </row>
    <row r="307" spans="2:321" ht="15" customHeight="1">
      <c r="B307" s="311"/>
      <c r="C307" s="311"/>
      <c r="D307" s="312"/>
      <c r="E307" s="311"/>
      <c r="F307" s="312"/>
      <c r="G307" s="311"/>
      <c r="H307" s="311"/>
      <c r="I307" s="232"/>
      <c r="J307" s="311"/>
      <c r="K307" s="305" t="str">
        <f t="shared" si="941"/>
        <v/>
      </c>
      <c r="L307" s="313"/>
      <c r="M307" s="312"/>
      <c r="N307" s="311"/>
      <c r="O307" s="312"/>
      <c r="P307" s="311"/>
      <c r="Q307" s="305" t="str">
        <f t="shared" si="942"/>
        <v/>
      </c>
      <c r="R307" s="314"/>
      <c r="S307" s="450" t="str">
        <f t="shared" si="825"/>
        <v/>
      </c>
      <c r="T307" s="315"/>
      <c r="U307" s="315"/>
      <c r="W307" s="149" t="str">
        <f t="shared" si="826"/>
        <v xml:space="preserve"> </v>
      </c>
      <c r="X307" s="243" t="str">
        <f t="shared" si="827"/>
        <v xml:space="preserve"> </v>
      </c>
      <c r="Y307" s="150" t="str">
        <f t="shared" si="828"/>
        <v/>
      </c>
      <c r="Z307" s="149" t="str">
        <f t="shared" si="829"/>
        <v xml:space="preserve"> </v>
      </c>
      <c r="AA307" s="98" t="str">
        <f t="shared" si="830"/>
        <v xml:space="preserve"> </v>
      </c>
      <c r="AB307" s="153" t="str">
        <f t="shared" si="831"/>
        <v xml:space="preserve"> </v>
      </c>
      <c r="AC307" s="153" t="str">
        <f t="shared" si="832"/>
        <v xml:space="preserve"> </v>
      </c>
      <c r="AD307" s="148" t="str">
        <f t="shared" si="833"/>
        <v/>
      </c>
      <c r="AE307" s="149" t="str">
        <f t="shared" si="834"/>
        <v/>
      </c>
      <c r="AF307" s="151" t="str">
        <f t="shared" si="835"/>
        <v xml:space="preserve"> </v>
      </c>
      <c r="AG307" s="153" t="str">
        <f t="shared" si="836"/>
        <v xml:space="preserve"> </v>
      </c>
      <c r="AH307" s="98" t="str">
        <f t="shared" si="837"/>
        <v xml:space="preserve"> </v>
      </c>
      <c r="AI307" s="149" t="str">
        <f t="shared" si="838"/>
        <v xml:space="preserve"> </v>
      </c>
      <c r="AK307" s="144" t="str">
        <f t="shared" si="839"/>
        <v xml:space="preserve"> </v>
      </c>
      <c r="AL307" s="144"/>
      <c r="AM307" s="243" t="str">
        <f t="shared" si="840"/>
        <v xml:space="preserve"> </v>
      </c>
      <c r="AN307" s="149" t="str">
        <f t="shared" si="943"/>
        <v xml:space="preserve"> </v>
      </c>
      <c r="AO307" s="144" t="str">
        <f>IF(JB307&gt;0,IF(GI307=10,-R307*1.085*(Calculation!$F$6-Calculation!$F$13)*$S$14," "),"")</f>
        <v/>
      </c>
      <c r="AP307" s="144" t="str">
        <f t="shared" si="841"/>
        <v/>
      </c>
      <c r="AQ307" s="56" t="str">
        <f t="shared" si="842"/>
        <v/>
      </c>
      <c r="AR307" s="144" t="str">
        <f t="shared" si="843"/>
        <v/>
      </c>
      <c r="AS307" s="176" t="str">
        <f t="shared" si="844"/>
        <v/>
      </c>
      <c r="AT307" s="176" t="str">
        <f t="shared" si="944"/>
        <v xml:space="preserve"> </v>
      </c>
      <c r="AU307" s="176" t="str">
        <f t="shared" si="845"/>
        <v/>
      </c>
      <c r="AV307" s="177" t="str">
        <f t="shared" si="846"/>
        <v xml:space="preserve"> </v>
      </c>
      <c r="AW307" s="144" t="str">
        <f t="shared" si="847"/>
        <v xml:space="preserve"> </v>
      </c>
      <c r="AX307" s="144" t="str">
        <f t="shared" si="848"/>
        <v xml:space="preserve"> </v>
      </c>
      <c r="AY307" s="152" t="str">
        <f t="shared" si="849"/>
        <v xml:space="preserve"> </v>
      </c>
      <c r="AZ307" s="246" t="str">
        <f t="shared" si="850"/>
        <v/>
      </c>
      <c r="BA307" s="176" t="str">
        <f t="shared" si="851"/>
        <v xml:space="preserve"> </v>
      </c>
      <c r="BB307" s="176" t="str">
        <f t="shared" si="852"/>
        <v xml:space="preserve"> </v>
      </c>
      <c r="BC307" s="195"/>
      <c r="BD307" s="316"/>
      <c r="BE307" s="317"/>
      <c r="BF307" s="318"/>
      <c r="BG307" s="318"/>
      <c r="BH307" s="144" t="str">
        <f t="shared" si="1021"/>
        <v xml:space="preserve"> </v>
      </c>
      <c r="BI307" s="176" t="str">
        <f t="shared" si="853"/>
        <v/>
      </c>
      <c r="BJ307" s="144" t="str">
        <f t="shared" si="1022"/>
        <v/>
      </c>
      <c r="BK307" s="246" t="str">
        <f t="shared" si="854"/>
        <v/>
      </c>
      <c r="BL307" s="144" t="str">
        <f t="shared" si="1023"/>
        <v/>
      </c>
      <c r="BM307" s="246" t="str">
        <f t="shared" si="855"/>
        <v/>
      </c>
      <c r="BN307" s="337" t="str">
        <f t="shared" si="945"/>
        <v/>
      </c>
      <c r="BO307" s="371" t="str">
        <f t="shared" si="946"/>
        <v/>
      </c>
      <c r="BP307" s="328" t="str">
        <f t="shared" si="1024"/>
        <v xml:space="preserve"> </v>
      </c>
      <c r="BQ307" s="347" t="str">
        <f t="shared" si="947"/>
        <v xml:space="preserve"> </v>
      </c>
      <c r="BR307" s="353" t="str">
        <f t="shared" si="948"/>
        <v xml:space="preserve"> </v>
      </c>
      <c r="BS307" s="626" t="str">
        <f>IF(L307&gt;0,IF(Calculation!P307="M13",BR307*3.1416*(0.134^2)/(4*144),IF(Calculation!P307="M17",BR307*3.1416*(0.165^2)/(4*144),IF(Calculation!P307="M20",BR307*3.1416*(0.198^2)/(4*144),IF(Calculation!P307="M23",BR307*3.1416*(0.228^2)/(4*144),IF(Calculation!P307="M27",BR307*3.1416*(0.269^2)/(4*144),BR307*3.1416*(0.307^2)/(4*144))))))," ")</f>
        <v xml:space="preserve"> </v>
      </c>
      <c r="BT307" s="353" t="str">
        <f>IF(L307&gt;0,IF(BS307&gt;0,R307/Calculation!BS307,0)," ")</f>
        <v xml:space="preserve"> </v>
      </c>
      <c r="BU307" s="438" t="e">
        <f t="shared" ca="1" si="856"/>
        <v>#VALUE!</v>
      </c>
      <c r="BV307" s="449" t="e">
        <f ca="1">INDEX(INDIRECT(VLOOKUP(LEFT(BO307,7),CLU!$Z$3:$AH$18,2)),GN307,GR307)</f>
        <v>#N/A</v>
      </c>
      <c r="BW307" s="433" t="e">
        <f ca="1">INDEX(INDIRECT(VLOOKUP(LEFT(BO307,7),CLU!$Z$3:$AH$18,3)),GN307,GR307)</f>
        <v>#N/A</v>
      </c>
      <c r="BX307" s="433" t="e">
        <f ca="1">INDEX(INDIRECT(VLOOKUP(LEFT(BO307,7),CLU!$Z$3:$AH$18,4)),GN307,GR307)</f>
        <v>#N/A</v>
      </c>
      <c r="BY307" s="433" t="e">
        <f ca="1">INDEX(INDIRECT(VLOOKUP(LEFT(BO307,7),CLU!$Z$3:$AH$18,9)),((M307-2)*(6-COUNTBLANK(GT307:GY307)))+GJ307)</f>
        <v>#N/A</v>
      </c>
      <c r="BZ307" s="426" t="e">
        <f t="shared" ca="1" si="949"/>
        <v>#N/A</v>
      </c>
      <c r="CA307" s="424" t="e">
        <f t="shared" ca="1" si="950"/>
        <v>#N/A</v>
      </c>
      <c r="CB307" s="429" t="e">
        <f ca="1">INDEX(INDIRECT(VLOOKUP(LEFT(BO307,7),CLU!$Z$3:$AH$18,2)),GN307,GS307)</f>
        <v>#N/A</v>
      </c>
      <c r="CC307" s="342" t="e">
        <f ca="1">INDEX(INDIRECT(VLOOKUP(LEFT(BO307,7),CLU!$Z$3:$AH$18,3)),GN307,GS307)</f>
        <v>#N/A</v>
      </c>
      <c r="CD307" s="342" t="e">
        <f ca="1">INDEX(INDIRECT(VLOOKUP(LEFT(BO307,7),CLU!$Z$3:$AH$18,4)),GN307,GS307)</f>
        <v>#N/A</v>
      </c>
      <c r="CE307" s="426" t="e">
        <f t="shared" ca="1" si="951"/>
        <v>#N/A</v>
      </c>
      <c r="CF307" s="440">
        <f t="shared" si="952"/>
        <v>0</v>
      </c>
      <c r="CG307" s="431" t="e">
        <f ca="1">INDEX(INDIRECT(VLOOKUP(LEFT(BO307,7),CLU!$Z$3:$AH$18,2)),GQ307,GR307)</f>
        <v>#N/A</v>
      </c>
      <c r="CH307" s="431" t="e">
        <f ca="1">INDEX(INDIRECT(VLOOKUP(LEFT(BO307,7),CLU!$Z$3:$AH$18,3)),GQ307,GR307)</f>
        <v>#N/A</v>
      </c>
      <c r="CI307" s="431" t="e">
        <f ca="1">INDEX(INDIRECT(VLOOKUP(LEFT(BO307,7),CLU!$Z$3:$AH$18,4)),GQ307,GR307)</f>
        <v>#N/A</v>
      </c>
      <c r="CJ307" s="448" t="e">
        <f t="shared" ca="1" si="953"/>
        <v>#N/A</v>
      </c>
      <c r="CK307" s="431" t="e">
        <f t="shared" ca="1" si="954"/>
        <v>#N/A</v>
      </c>
      <c r="CL307" s="440" t="e">
        <f t="shared" ca="1" si="955"/>
        <v>#N/A</v>
      </c>
      <c r="CM307" s="431" t="e">
        <f ca="1">INDEX(INDIRECT(VLOOKUP(LEFT(BO307,7),CLU!$Z$3:$AH$18,2)),GQ307,GS307)</f>
        <v>#N/A</v>
      </c>
      <c r="CN307" s="431" t="e">
        <f ca="1">INDEX(INDIRECT(VLOOKUP(LEFT(BO307,7),CLU!$Z$3:$AH$18,3)),GQ307,GS307)</f>
        <v>#N/A</v>
      </c>
      <c r="CO307" s="431" t="e">
        <f ca="1">INDEX(INDIRECT(VLOOKUP(LEFT(BO307,7),CLU!$Z$3:$AH$18,4)),GQ307,GS307)</f>
        <v>#N/A</v>
      </c>
      <c r="CP307" s="431" t="e">
        <f t="shared" ca="1" si="956"/>
        <v>#N/A</v>
      </c>
      <c r="CQ307" s="440">
        <f t="shared" si="957"/>
        <v>0</v>
      </c>
      <c r="CR307" s="51" t="e">
        <f t="shared" ca="1" si="958"/>
        <v>#N/A</v>
      </c>
      <c r="CS307" s="439" t="e">
        <f t="shared" ca="1" si="959"/>
        <v>#VALUE!</v>
      </c>
      <c r="CT307" s="51" t="e">
        <f t="shared" ca="1" si="960"/>
        <v>#VALUE!</v>
      </c>
      <c r="CU307" s="10"/>
      <c r="CV307" s="51" t="e">
        <f t="shared" ca="1" si="857"/>
        <v>#VALUE!</v>
      </c>
      <c r="CW307" s="51">
        <f t="shared" si="961"/>
        <v>0</v>
      </c>
      <c r="CX307" s="439" t="e">
        <f t="shared" ca="1" si="962"/>
        <v>#VALUE!</v>
      </c>
      <c r="CY307" s="51" t="e">
        <f t="shared" ca="1" si="963"/>
        <v>#VALUE!</v>
      </c>
      <c r="CZ307" s="10"/>
      <c r="DA307" s="51" t="e">
        <f t="shared" ca="1" si="964"/>
        <v>#VALUE!</v>
      </c>
      <c r="DB307" s="347" t="e">
        <f ca="1">INDEX(INDIRECT(VLOOKUP(LEFT(BO307,7),CLU!$Z$3:$AI$18,10)),((M307-2)*(6-COUNTBLANK(GT307:GY307)))+GJ307)*LI307</f>
        <v>#N/A</v>
      </c>
      <c r="DC307" s="347" t="str">
        <f>IF(L307&gt;0,((R307/Worksheet!$I$15)/DB307)^2," ")</f>
        <v xml:space="preserve"> </v>
      </c>
      <c r="DD307" s="602" t="str">
        <f t="shared" si="965"/>
        <v xml:space="preserve"> </v>
      </c>
      <c r="DE307" s="347" t="str">
        <f t="shared" si="858"/>
        <v xml:space="preserve"> </v>
      </c>
      <c r="DF307" s="356" t="e">
        <f ca="1">INDEX(INDIRECT(VLOOKUP(LEFT(BO307,7),CLU!$Z$3:$AH$18,8)),((M307-2)*(6-COUNTBLANK(GT307:GY307)))+GJ307)</f>
        <v>#N/A</v>
      </c>
      <c r="DG307" s="347" t="str">
        <f t="shared" si="859"/>
        <v xml:space="preserve"> </v>
      </c>
      <c r="DH307" s="357" t="str">
        <f t="shared" si="860"/>
        <v xml:space="preserve"> </v>
      </c>
      <c r="DI307" s="355" t="str">
        <f t="shared" si="861"/>
        <v xml:space="preserve"> </v>
      </c>
      <c r="DJ307" s="245" t="e">
        <f ca="1">INDEX(INDIRECT(VLOOKUP(LEFT(BO307,7),CLU!$Z$3:$AH$18,5)),GL307,GK307)</f>
        <v>#N/A</v>
      </c>
      <c r="DK307" s="245" t="e">
        <f ca="1">INDEX(INDIRECT(VLOOKUP(LEFT(BO307,7),CLU!$Z$3:$AH$18,6)),GL307,GK307)</f>
        <v>#N/A</v>
      </c>
      <c r="DL307" s="355">
        <f>(Calculation!R307*0.69143*(Calculation!$BQ$8-Calculation!$F$8))*$S$14</f>
        <v>0</v>
      </c>
      <c r="DM307" s="359" t="e">
        <f t="shared" si="966"/>
        <v>#VALUE!</v>
      </c>
      <c r="DN307" s="611">
        <f t="shared" si="967"/>
        <v>0</v>
      </c>
      <c r="DO307" s="359">
        <f t="shared" si="968"/>
        <v>100</v>
      </c>
      <c r="DP307" s="359">
        <f t="shared" si="969"/>
        <v>0</v>
      </c>
      <c r="DQ307" s="360"/>
      <c r="DR307" s="245" t="e">
        <f ca="1">INDEX(INDIRECT(VLOOKUP(LEFT(BO307,7),CLU!$Z$3:$AH$18,7)),M307-1,1)</f>
        <v>#N/A</v>
      </c>
      <c r="DS307" s="245" t="e">
        <f ca="1">INDEX(INDIRECT(VLOOKUP(LEFT(BO307,7),CLU!$Z$3:$AH$18,7)),M307-1,2)</f>
        <v>#N/A</v>
      </c>
      <c r="DT307" s="245" t="e">
        <f ca="1">INDEX(INDIRECT(VLOOKUP(LEFT(BO307,7),CLU!$Z$3:$AH$18,7)),M307-1,3)</f>
        <v>#N/A</v>
      </c>
      <c r="DU307" s="245" t="e">
        <f ca="1">INDEX(INDIRECT(VLOOKUP(LEFT(BO307,7),CLU!$Z$3:$AH$18,7)),M307-1,4)</f>
        <v>#N/A</v>
      </c>
      <c r="DV307" s="361" t="e">
        <f ca="1">INDEX(INDIRECT(VLOOKUP(LEFT(BO307,7),CLU!$Z$3:$AH$18,7)),M307-1,4+LEFT(DZ307,1)*0.5)</f>
        <v>#N/A</v>
      </c>
      <c r="DW307" s="245" t="e">
        <f ca="1">INDEX(INDIRECT(VLOOKUP(LEFT(BO307,7),CLU!$Z$3:$AH$18,7)),M307-1,8)</f>
        <v>#N/A</v>
      </c>
      <c r="DX307" s="361" t="str">
        <f t="shared" si="862"/>
        <v xml:space="preserve"> </v>
      </c>
      <c r="DY307" s="361" t="str">
        <f t="shared" si="863"/>
        <v xml:space="preserve"> </v>
      </c>
      <c r="DZ307" s="361" t="str">
        <f t="shared" si="864"/>
        <v xml:space="preserve"> </v>
      </c>
      <c r="EA307" s="362" t="str">
        <f t="shared" si="865"/>
        <v xml:space="preserve"> </v>
      </c>
      <c r="EB307" s="624" t="str">
        <f t="shared" si="970"/>
        <v xml:space="preserve"> </v>
      </c>
      <c r="EC307" s="361" t="e">
        <f ca="1">INDEX(INDIRECT(VLOOKUP(LEFT(BO307,7),CLU!$Z$3:$AH$18,7)),M307-1,4+LEFT(DZ307,1)*0.5)</f>
        <v>#N/A</v>
      </c>
      <c r="ED307" s="362" t="str">
        <f t="shared" si="866"/>
        <v xml:space="preserve"> </v>
      </c>
      <c r="EE307" s="361" t="str">
        <f t="shared" si="867"/>
        <v xml:space="preserve"> </v>
      </c>
      <c r="EF307" s="362" t="str">
        <f>IF(L307&gt;0,IF(BR307&gt;0,IF(EE307="2P",IF(Calculation!DZ307="2P",IF(Calculation!DS307=13.75,IF(Calculation!DR307=13,Worksheet!$BD$43,IF(Calculation!DR307=37,Worksheet!$BD$44,Worksheet!$BD$45)),IF(Calculation!DS307=10,IF(Calculation!DR307=18,Worksheet!$BD$29,IF(Calculation!DR307=30,Worksheet!$BD$30,IF(Calculation!DR307=42,Worksheet!$BD$31,IF(Calculation!DR307=54,Worksheet!$BD$32,IF(Calculation!DR307=66,Worksheet!$BD$33,IF(Calculation!DR307=78,Worksheet!$BD$34,IF(Calculation!DR307=90,Worksheet!$BD$35,IF(Calculation!DR307=102,Worksheet!$BD$36,Worksheet!$BD$37)))))))),IF(Calculation!DS307=12.5,IF(Calculation!DR307=18,Worksheet!$BD$38,IF(Calculation!DR307=Worksheet!$BD$39,IF(Calculation!DR307=42,Worksheet!$BD$40,IF(Calculation!DR307=54,Worksheet!$BD$41,Worksheet!$BD$42)))),IF(Calculation!DR307=18,Worksheet!$BD$11,IF(Calculation!DR307=30,Worksheet!$BD$12,IF(Calculation!DR307=42,Worksheet!$BD$13,IF(Calculation!DR307=54,Worksheet!$BD$14,IF(Calculation!DR307=66,Worksheet!$BD$15,IF(Calculation!DR307=78,Worksheet!$BD$16,IF(Calculation!DR307=90,Worksheet!$BD$17,IF(Calculation!DR307=102,Worksheet!$BD$18,Worksheet!$BD$19))))))))))),IF(Calculation!DS307=13.75,IF(Calculation!DR307=13,Worksheet!$BD$78,IF(Calculation!DR307=37,Worksheet!$BD$79,Worksheet!$BD$80)),IF(Calculation!DS307=10,IF(Calculation!DR307=18,Worksheet!$BD$64,IF(Calculation!DR307=30,Worksheet!$BD$65,IF(Calculation!DR307=42,Worksheet!$BD$66,IF(Calculation!DR307=54,Worksheet!$BD$68,IF(Calculation!DR307=66,Worksheet!$BD$68,IF(Calculation!DR307=78,Worksheet!$BD$69,IF(Calculation!DR307=90,Worksheet!$BD$70,IF(Calculation!DR307=102,Worksheet!$BD$71,Worksheet!$BD$72)))))))),IF(Calculation!DS307=12.5,IF(Calculation!DR307=18,Worksheet!$BD$73,IF(Calculation!DR307=Worksheet!$BD$74,IF(Calculation!DR307=42,Worksheet!$BD$75,IF(Calculation!DR307=54,Worksheet!$BD$76,Worksheet!$BD$77)))),IF(Calculation!DR307=18,Worksheet!$BD$55,IF(Calculation!DR307=30,Worksheet!$BD$56,IF(Calculation!DR307=42,Worksheet!$BD$57,IF(Calculation!DR307=54,Worksheet!$BD$58,IF(Calculation!DR307=66,Worksheet!$BD$59,IF(Calculation!DR307=78,Worksheet!$BD$60,IF(Calculation!DR307=90,Worksheet!$BD$61,IF(Calculation!DR307=102,Worksheet!$BD$62,Worksheet!$BD$63)))))))))))),5),0)," ")</f>
        <v xml:space="preserve"> </v>
      </c>
      <c r="EG307" s="361" t="str">
        <f t="shared" si="868"/>
        <v xml:space="preserve"> </v>
      </c>
      <c r="EH307" s="361" t="e">
        <f ca="1">INDEX(INDIRECT(VLOOKUP(LEFT(BO307,7),CLU!$Z$3:$AH$18,7)),M307-1,3+LEFT(DZ307,1))</f>
        <v>#N/A</v>
      </c>
      <c r="EI307" s="362" t="str">
        <f t="shared" si="869"/>
        <v xml:space="preserve"> </v>
      </c>
      <c r="EJ307" s="363" t="str">
        <f t="shared" si="870"/>
        <v xml:space="preserve"> </v>
      </c>
      <c r="EK307" s="363" t="str">
        <f t="shared" si="871"/>
        <v xml:space="preserve"> </v>
      </c>
      <c r="EL307" s="363" t="str">
        <f t="shared" si="872"/>
        <v xml:space="preserve"> </v>
      </c>
      <c r="EM307" s="362" t="str">
        <f>IF(L307&gt;0,IF(BR307&gt;0,(Calculation!T307/ED307)^2,0)," ")</f>
        <v xml:space="preserve"> </v>
      </c>
      <c r="EN307" s="362" t="str">
        <f>IF(L307&gt;0,IF(O307="2 Pipe (Cooling)","N/A",IF(BR307&gt;0,(Calculation!U307/EI307)^2,0))," ")</f>
        <v xml:space="preserve"> </v>
      </c>
      <c r="EO307" s="361" t="str">
        <f t="shared" si="873"/>
        <v/>
      </c>
      <c r="EP307" s="361" t="str">
        <f t="shared" si="874"/>
        <v/>
      </c>
      <c r="EQ307" s="361" t="str">
        <f t="shared" si="875"/>
        <v/>
      </c>
      <c r="ER307" s="361" t="str">
        <f t="shared" si="876"/>
        <v/>
      </c>
      <c r="ES307" s="361" t="str">
        <f t="shared" si="877"/>
        <v/>
      </c>
      <c r="ET307" s="361" t="str">
        <f t="shared" si="878"/>
        <v/>
      </c>
      <c r="EU307" s="361" t="str">
        <f t="shared" si="879"/>
        <v/>
      </c>
      <c r="EV307" s="361" t="str">
        <f t="shared" si="880"/>
        <v/>
      </c>
      <c r="EW307" s="361" t="str">
        <f t="shared" si="881"/>
        <v/>
      </c>
      <c r="EX307" s="361" t="str">
        <f t="shared" si="971"/>
        <v>1 slot, 1 way</v>
      </c>
      <c r="EY307" s="361" t="str">
        <f t="shared" si="972"/>
        <v xml:space="preserve"> </v>
      </c>
      <c r="EZ307" s="361" t="str">
        <f t="shared" si="973"/>
        <v xml:space="preserve"> </v>
      </c>
      <c r="FA307" s="361" t="str">
        <f t="shared" si="974"/>
        <v xml:space="preserve"> </v>
      </c>
      <c r="FB307" s="361" t="str">
        <f t="shared" si="975"/>
        <v xml:space="preserve"> </v>
      </c>
      <c r="FC307" s="361"/>
      <c r="FD307" s="361" t="str">
        <f>IF(J307&gt;0,IF(Calculation!R307&lt;=70,4,IF(Calculation!R307&lt;=110,5,IF(Calculation!R307&lt;=160,6,IF(Calculation!R307&lt;=300,8,"10 EO")))),"")</f>
        <v/>
      </c>
      <c r="FE307" s="361" t="str">
        <f t="shared" si="976"/>
        <v/>
      </c>
      <c r="FF307" s="361" t="str">
        <f t="shared" si="977"/>
        <v/>
      </c>
      <c r="FG307" s="361" t="e">
        <f t="shared" si="882"/>
        <v>#N/A</v>
      </c>
      <c r="FH307" s="361">
        <f t="shared" si="883"/>
        <v>0</v>
      </c>
      <c r="FI307" s="361" t="e">
        <f t="shared" si="884"/>
        <v>#DIV/0!</v>
      </c>
      <c r="FJ307" s="361"/>
      <c r="FK307" s="356" t="e">
        <f t="shared" si="885"/>
        <v>#VALUE!</v>
      </c>
      <c r="FL307" s="361"/>
      <c r="FM307" s="361"/>
      <c r="FN307" s="362" t="str">
        <f t="shared" si="978"/>
        <v xml:space="preserve"> </v>
      </c>
      <c r="FO307" s="362" t="str">
        <f t="shared" si="979"/>
        <v xml:space="preserve"> </v>
      </c>
      <c r="FP307" s="362">
        <f t="shared" si="980"/>
        <v>0</v>
      </c>
      <c r="FQ307" s="361">
        <f t="shared" si="886"/>
        <v>0</v>
      </c>
      <c r="FR307" s="362" t="str">
        <f>IF(L307&gt;0,IF(J307="CBAL2",Worksheet!$P$67,IF(J307="CBE2-24",Worksheet!$Q$67,IF(J307="CBAM",Worksheet!$R$67,IF(J307="CBLV",Worksheet!$S$67,IF(J307="CBAB",Worksheet!$U$67,IF(J307="CBAW",Worksheet!$X$67,IF(J307="CBE2-12",Worksheet!$Y$67,IF(J307="CBAL2",Worksheet!$Z$67,"N/A"))))))))," ")</f>
        <v xml:space="preserve"> </v>
      </c>
      <c r="FS307" s="362" t="str">
        <f>IF(L307&gt;0,IF(J307="CBAL2",Worksheet!$P$68,IF(J307="CBE2-24",Worksheet!$Q$68,IF(J307="CBAM",Worksheet!$R$68,IF(J307="CBLV",Worksheet!$S$68,IF(J307="CBAB",Worksheet!$U$68,IF(J307="CBAW",Worksheet!$X$68,IF(J307="CBE2-12",Worksheet!$Y$68,IF(J307="CBAL2",Worksheet!$Z$68,"N/A"))))))))," ")</f>
        <v xml:space="preserve"> </v>
      </c>
      <c r="FT307" s="362" t="str">
        <f>IF(L307&gt;0,IF(J307="CBAL2",Worksheet!$P$69,IF(J307="CBE2-24",Worksheet!$Q$69,IF(J307="CBAM",Worksheet!$R$69,IF(J307="CBLV",Worksheet!$S$69,IF(J307="CBAB",Worksheet!$U$69,IF(J307="CBAW",Worksheet!$X$69,IF(J307="CBE2-12",Worksheet!$Y$69,IF(J307="CBAL2",Worksheet!$Z$69,"N/A"))))))))," ")</f>
        <v xml:space="preserve"> </v>
      </c>
      <c r="FU307" s="361" t="str">
        <f t="shared" si="981"/>
        <v xml:space="preserve"> </v>
      </c>
      <c r="FV307" s="362" t="str">
        <f t="shared" si="982"/>
        <v xml:space="preserve"> </v>
      </c>
      <c r="FW307" s="362" t="str">
        <f t="shared" si="983"/>
        <v xml:space="preserve"> </v>
      </c>
      <c r="FX307" s="362" t="str">
        <f t="shared" si="984"/>
        <v xml:space="preserve"> </v>
      </c>
      <c r="FY307" s="355" t="str">
        <f t="shared" si="985"/>
        <v xml:space="preserve"> </v>
      </c>
      <c r="FZ307" s="361" t="str">
        <f t="shared" si="986"/>
        <v xml:space="preserve"> </v>
      </c>
      <c r="GA307" s="347" t="str">
        <f t="shared" si="987"/>
        <v xml:space="preserve"> </v>
      </c>
      <c r="GB307" s="355" t="str">
        <f t="shared" si="988"/>
        <v xml:space="preserve"> </v>
      </c>
      <c r="GC307" s="328" t="str">
        <f t="shared" si="989"/>
        <v xml:space="preserve"> </v>
      </c>
      <c r="GD307" s="361" t="str">
        <f t="shared" si="990"/>
        <v xml:space="preserve"> </v>
      </c>
      <c r="GE307" s="347" t="str">
        <f t="shared" si="991"/>
        <v xml:space="preserve"> </v>
      </c>
      <c r="GF307" s="361" t="str">
        <f t="shared" si="992"/>
        <v xml:space="preserve"> </v>
      </c>
      <c r="GG307" s="347" t="str">
        <f t="shared" si="993"/>
        <v xml:space="preserve"> </v>
      </c>
      <c r="GH307" s="364">
        <f t="shared" si="887"/>
        <v>0</v>
      </c>
      <c r="GI307" s="362">
        <f t="shared" si="994"/>
        <v>2</v>
      </c>
      <c r="GJ307" s="433" t="e">
        <f>IF(6-COUNTBLANK(GT307:GY307)=4,MATCH(MID(BO307,9,3),CLU!$H$16:$K$16),MATCH(MID(BO307,9,3),CLU!$H$13:$M$13))</f>
        <v>#N/A</v>
      </c>
      <c r="GK307" s="433" t="e">
        <f>HLOOKUP(VALUE(BP307),CLU!$H$9:$M$10,2)</f>
        <v>#VALUE!</v>
      </c>
      <c r="GL307" s="433" t="e">
        <f ca="1">MATCH(BU307,CLU!$H$2:$V$2,1)</f>
        <v>#VALUE!</v>
      </c>
      <c r="GM307" s="433" t="e">
        <f t="shared" ca="1" si="995"/>
        <v>#VALUE!</v>
      </c>
      <c r="GN307" s="433" t="e">
        <f t="shared" ca="1" si="996"/>
        <v>#VALUE!</v>
      </c>
      <c r="GO307" s="433" t="e">
        <f t="shared" ca="1" si="997"/>
        <v>#VALUE!</v>
      </c>
      <c r="GP307" s="433" t="e">
        <f t="shared" ca="1" si="998"/>
        <v>#VALUE!</v>
      </c>
      <c r="GQ307" s="433" t="e">
        <f t="shared" ca="1" si="999"/>
        <v>#VALUE!</v>
      </c>
      <c r="GR307" s="433" t="e">
        <f ca="1">MATCH(T307,INDIRECT(VLOOKUP(CONCATENATE(LEFT(BO307,7),"-",MID(BO307,13,1)),CLU!$P$3:$Q$16,2)),1)</f>
        <v>#N/A</v>
      </c>
      <c r="GS307" s="433" t="e">
        <f ca="1">MATCH(U307,INDIRECT(VLOOKUP(CONCATENATE(LEFT(BO307,7),"-",MID(BO307,13,1)),CLU!$P$3:$Q$16,2)),1)</f>
        <v>#N/A</v>
      </c>
      <c r="GT307" s="347" t="s">
        <v>512</v>
      </c>
      <c r="GU307" s="97" t="s">
        <v>513</v>
      </c>
      <c r="GV307" s="97" t="str">
        <f t="shared" si="1000"/>
        <v>M23</v>
      </c>
      <c r="GW307" s="97" t="str">
        <f t="shared" si="1001"/>
        <v>M31</v>
      </c>
      <c r="GX307" s="97" t="str">
        <f t="shared" si="1002"/>
        <v/>
      </c>
      <c r="GY307" s="97" t="str">
        <f t="shared" si="1003"/>
        <v/>
      </c>
      <c r="GZ307" s="481"/>
      <c r="HA307" s="240"/>
      <c r="HB307" s="240"/>
      <c r="HC307" s="240"/>
      <c r="HD307" s="240"/>
      <c r="HE307" s="240"/>
      <c r="HF307" s="240"/>
      <c r="HG307" s="240"/>
      <c r="HH307" s="240"/>
      <c r="HI307" s="240"/>
      <c r="HJ307" s="240"/>
      <c r="HK307" s="240"/>
      <c r="HL307" s="240"/>
      <c r="HM307" s="240"/>
      <c r="HN307" s="240"/>
      <c r="HO307" s="240"/>
      <c r="HP307" s="240"/>
      <c r="HQ307" s="240"/>
      <c r="HR307" s="240"/>
      <c r="HS307" s="240"/>
      <c r="HT307" s="240"/>
      <c r="HU307" s="240"/>
      <c r="HV307" s="245"/>
      <c r="HW307" s="245" t="b">
        <v>1</v>
      </c>
      <c r="HX307" s="245" t="str">
        <f t="shared" si="888"/>
        <v/>
      </c>
      <c r="HY307" s="245" t="e">
        <f t="shared" si="889"/>
        <v>#DIV/0!</v>
      </c>
      <c r="HZ307" s="245" t="e">
        <f t="shared" si="890"/>
        <v>#DIV/0!</v>
      </c>
      <c r="IA307" s="245">
        <f t="shared" si="891"/>
        <v>0</v>
      </c>
      <c r="IB307" s="245"/>
      <c r="IC307" t="b">
        <f t="shared" si="892"/>
        <v>1</v>
      </c>
      <c r="ID307" s="245" t="b">
        <f t="shared" si="893"/>
        <v>1</v>
      </c>
      <c r="IE307" s="245" t="b">
        <f t="shared" si="894"/>
        <v>1</v>
      </c>
      <c r="IF307" s="245" t="b">
        <f t="shared" si="895"/>
        <v>0</v>
      </c>
      <c r="IG307" s="245" t="b">
        <f t="shared" si="896"/>
        <v>1</v>
      </c>
      <c r="IH307" s="245" t="b">
        <f t="shared" si="897"/>
        <v>1</v>
      </c>
      <c r="II307" s="245">
        <f t="shared" si="1004"/>
        <v>0</v>
      </c>
      <c r="IJ307" s="245" t="e">
        <f t="shared" si="898"/>
        <v>#VALUE!</v>
      </c>
      <c r="IK307" s="245" t="e">
        <f t="shared" si="899"/>
        <v>#VALUE!</v>
      </c>
      <c r="IL307" s="245"/>
      <c r="IM307" s="245" t="e">
        <f t="shared" si="1005"/>
        <v>#N/A</v>
      </c>
      <c r="IN307" s="245" t="e">
        <f t="shared" si="1006"/>
        <v>#N/A</v>
      </c>
      <c r="IO307" s="245"/>
      <c r="IP307" s="245"/>
      <c r="IQ307" s="245" t="str">
        <f t="shared" si="900"/>
        <v/>
      </c>
      <c r="IR307" s="245" t="str">
        <f>IF(J307="","",VLOOKUP(J307,Worksheet!$R$4:$T$14,2))</f>
        <v/>
      </c>
      <c r="IS307" s="245"/>
      <c r="IT307" s="245">
        <f t="shared" si="901"/>
        <v>0</v>
      </c>
      <c r="IU307" s="245">
        <f t="shared" si="902"/>
        <v>0</v>
      </c>
      <c r="IV307" s="245">
        <f t="shared" si="903"/>
        <v>0</v>
      </c>
      <c r="IW307" s="245">
        <f t="shared" si="904"/>
        <v>0</v>
      </c>
      <c r="IX307" s="245">
        <f t="shared" si="1007"/>
        <v>0</v>
      </c>
      <c r="IY307" s="245">
        <f t="shared" si="905"/>
        <v>0</v>
      </c>
      <c r="IZ307" s="245">
        <f t="shared" si="906"/>
        <v>0</v>
      </c>
      <c r="JA307">
        <f t="shared" si="907"/>
        <v>0</v>
      </c>
      <c r="JB307">
        <f t="shared" si="1008"/>
        <v>0</v>
      </c>
      <c r="JC307">
        <f t="shared" si="908"/>
        <v>0</v>
      </c>
      <c r="JD307">
        <f t="shared" si="909"/>
        <v>0</v>
      </c>
      <c r="JE307">
        <f t="shared" si="910"/>
        <v>0</v>
      </c>
      <c r="JF307">
        <f t="shared" si="911"/>
        <v>0</v>
      </c>
      <c r="JG307">
        <f t="shared" si="912"/>
        <v>0</v>
      </c>
      <c r="JH307">
        <f t="shared" si="913"/>
        <v>0</v>
      </c>
      <c r="JI307">
        <f t="shared" si="914"/>
        <v>0</v>
      </c>
      <c r="JJ307" s="447">
        <f t="shared" si="915"/>
        <v>0</v>
      </c>
      <c r="JK307" s="447">
        <f t="shared" si="916"/>
        <v>0</v>
      </c>
      <c r="JL307">
        <f t="shared" si="917"/>
        <v>0</v>
      </c>
      <c r="JM307" s="245" t="str">
        <f>IFERROR(VLOOKUP(MATCH(BN307,#REF!,0),#REF!,7),"")</f>
        <v/>
      </c>
      <c r="JN307" t="e">
        <f>HLOOKUP(LEFT(BO307,7),Discharge_Area,MATCH(JO307,LookUps!$B$130:$B$149,1)+2)</f>
        <v>#N/A</v>
      </c>
      <c r="JO307" t="str">
        <f t="shared" si="918"/>
        <v>- S</v>
      </c>
      <c r="JP307" t="e">
        <f>HLOOKUP(LEFT(BO307,7),Discharge_Area,MATCH(JO307,LookUps!$B$130:$B$149,1)+2)</f>
        <v>#N/A</v>
      </c>
      <c r="JQ307" t="e">
        <f t="shared" si="919"/>
        <v>#N/A</v>
      </c>
      <c r="JR307" t="e">
        <f t="shared" si="920"/>
        <v>#N/A</v>
      </c>
      <c r="JS307" t="e">
        <f t="shared" si="921"/>
        <v>#N/A</v>
      </c>
      <c r="JT307" s="532" t="str">
        <f t="shared" si="922"/>
        <v xml:space="preserve"> </v>
      </c>
      <c r="JU307" s="532" t="str">
        <f t="shared" si="923"/>
        <v xml:space="preserve"> </v>
      </c>
      <c r="JV307" s="533" t="str">
        <f t="shared" si="924"/>
        <v xml:space="preserve"> </v>
      </c>
      <c r="JW307" s="534">
        <f t="shared" si="925"/>
        <v>0</v>
      </c>
      <c r="JX307" s="535" t="str">
        <f t="shared" si="1009"/>
        <v xml:space="preserve"> </v>
      </c>
      <c r="JY307" s="535" t="str">
        <f t="shared" si="1010"/>
        <v xml:space="preserve"> </v>
      </c>
      <c r="JZ307" s="535" t="str">
        <f t="shared" si="1011"/>
        <v xml:space="preserve"> </v>
      </c>
      <c r="KA307" s="536" t="str">
        <f t="shared" si="926"/>
        <v xml:space="preserve"> </v>
      </c>
      <c r="KB307" s="535" t="e">
        <f t="shared" si="1012"/>
        <v>#VALUE!</v>
      </c>
      <c r="KC307" s="535" t="str">
        <f t="shared" si="927"/>
        <v/>
      </c>
      <c r="KD307" s="537" t="str">
        <f t="shared" si="1013"/>
        <v xml:space="preserve"> </v>
      </c>
      <c r="KE307" s="537" t="str">
        <f t="shared" si="1014"/>
        <v xml:space="preserve"> </v>
      </c>
      <c r="KF307" s="534">
        <f t="shared" si="928"/>
        <v>0</v>
      </c>
      <c r="KG307" s="535" t="str">
        <f t="shared" si="929"/>
        <v xml:space="preserve"> </v>
      </c>
      <c r="KH307" s="535" t="str">
        <f t="shared" si="930"/>
        <v xml:space="preserve"> </v>
      </c>
      <c r="KI307" s="535" t="str">
        <f t="shared" si="931"/>
        <v xml:space="preserve"> </v>
      </c>
      <c r="KJ307" s="536" t="str">
        <f t="shared" si="932"/>
        <v xml:space="preserve"> </v>
      </c>
      <c r="KK307" s="535" t="str">
        <f t="shared" si="1015"/>
        <v xml:space="preserve"> </v>
      </c>
      <c r="KL307" s="535" t="str">
        <f t="shared" si="1016"/>
        <v xml:space="preserve"> </v>
      </c>
      <c r="KM307" s="537" t="str">
        <f t="shared" si="933"/>
        <v xml:space="preserve"> </v>
      </c>
      <c r="KN307" s="537" t="str">
        <f t="shared" si="1017"/>
        <v xml:space="preserve"> </v>
      </c>
      <c r="KP307">
        <f t="shared" si="934"/>
        <v>0</v>
      </c>
      <c r="LA307" t="e">
        <f t="shared" si="935"/>
        <v>#VALUE!</v>
      </c>
      <c r="LB307" t="e">
        <f t="shared" si="936"/>
        <v>#VALUE!</v>
      </c>
      <c r="LC307" t="e">
        <f t="shared" si="937"/>
        <v>#VALUE!</v>
      </c>
      <c r="LD307" t="e">
        <f t="shared" si="938"/>
        <v>#VALUE!</v>
      </c>
      <c r="LE307" t="e">
        <f t="shared" si="1018"/>
        <v>#VALUE!</v>
      </c>
      <c r="LF307">
        <f t="shared" si="939"/>
        <v>0</v>
      </c>
      <c r="LG307" t="e">
        <f t="shared" si="1019"/>
        <v>#VALUE!</v>
      </c>
      <c r="LH307" t="str">
        <f t="shared" si="940"/>
        <v xml:space="preserve"> </v>
      </c>
      <c r="LI307">
        <f t="shared" si="1020"/>
        <v>1</v>
      </c>
    </row>
    <row r="308" spans="2:321" ht="15" customHeight="1">
      <c r="B308" s="311"/>
      <c r="C308" s="311"/>
      <c r="D308" s="312"/>
      <c r="E308" s="311"/>
      <c r="F308" s="312"/>
      <c r="G308" s="311"/>
      <c r="H308" s="311"/>
      <c r="I308" s="232"/>
      <c r="J308" s="311"/>
      <c r="K308" s="305" t="str">
        <f t="shared" si="941"/>
        <v/>
      </c>
      <c r="L308" s="313"/>
      <c r="M308" s="312"/>
      <c r="N308" s="311"/>
      <c r="O308" s="312"/>
      <c r="P308" s="311"/>
      <c r="Q308" s="305" t="str">
        <f t="shared" si="942"/>
        <v/>
      </c>
      <c r="R308" s="314"/>
      <c r="S308" s="450" t="str">
        <f t="shared" si="825"/>
        <v/>
      </c>
      <c r="T308" s="315"/>
      <c r="U308" s="315"/>
      <c r="W308" s="149" t="str">
        <f t="shared" si="826"/>
        <v xml:space="preserve"> </v>
      </c>
      <c r="X308" s="243" t="str">
        <f t="shared" si="827"/>
        <v xml:space="preserve"> </v>
      </c>
      <c r="Y308" s="150" t="str">
        <f t="shared" si="828"/>
        <v/>
      </c>
      <c r="Z308" s="149" t="str">
        <f t="shared" si="829"/>
        <v xml:space="preserve"> </v>
      </c>
      <c r="AA308" s="98" t="str">
        <f t="shared" si="830"/>
        <v xml:space="preserve"> </v>
      </c>
      <c r="AB308" s="153" t="str">
        <f t="shared" si="831"/>
        <v xml:space="preserve"> </v>
      </c>
      <c r="AC308" s="153" t="str">
        <f t="shared" si="832"/>
        <v xml:space="preserve"> </v>
      </c>
      <c r="AD308" s="148" t="str">
        <f t="shared" si="833"/>
        <v/>
      </c>
      <c r="AE308" s="149" t="str">
        <f t="shared" si="834"/>
        <v/>
      </c>
      <c r="AF308" s="151" t="str">
        <f t="shared" si="835"/>
        <v xml:space="preserve"> </v>
      </c>
      <c r="AG308" s="153" t="str">
        <f t="shared" si="836"/>
        <v xml:space="preserve"> </v>
      </c>
      <c r="AH308" s="98" t="str">
        <f t="shared" si="837"/>
        <v xml:space="preserve"> </v>
      </c>
      <c r="AI308" s="149" t="str">
        <f t="shared" si="838"/>
        <v xml:space="preserve"> </v>
      </c>
      <c r="AK308" s="144" t="str">
        <f t="shared" si="839"/>
        <v xml:space="preserve"> </v>
      </c>
      <c r="AL308" s="144"/>
      <c r="AM308" s="243" t="str">
        <f t="shared" si="840"/>
        <v xml:space="preserve"> </v>
      </c>
      <c r="AN308" s="149" t="str">
        <f t="shared" si="943"/>
        <v xml:space="preserve"> </v>
      </c>
      <c r="AO308" s="144" t="str">
        <f>IF(JB308&gt;0,IF(GI308=10,-R308*1.085*(Calculation!$F$6-Calculation!$F$13)*$S$14," "),"")</f>
        <v/>
      </c>
      <c r="AP308" s="144" t="str">
        <f t="shared" si="841"/>
        <v/>
      </c>
      <c r="AQ308" s="56" t="str">
        <f t="shared" si="842"/>
        <v/>
      </c>
      <c r="AR308" s="144" t="str">
        <f t="shared" si="843"/>
        <v/>
      </c>
      <c r="AS308" s="176" t="str">
        <f t="shared" si="844"/>
        <v/>
      </c>
      <c r="AT308" s="176" t="str">
        <f t="shared" si="944"/>
        <v xml:space="preserve"> </v>
      </c>
      <c r="AU308" s="176" t="str">
        <f t="shared" si="845"/>
        <v/>
      </c>
      <c r="AV308" s="177" t="str">
        <f t="shared" si="846"/>
        <v xml:space="preserve"> </v>
      </c>
      <c r="AW308" s="144" t="str">
        <f t="shared" si="847"/>
        <v xml:space="preserve"> </v>
      </c>
      <c r="AX308" s="144" t="str">
        <f t="shared" si="848"/>
        <v xml:space="preserve"> </v>
      </c>
      <c r="AY308" s="152" t="str">
        <f t="shared" si="849"/>
        <v xml:space="preserve"> </v>
      </c>
      <c r="AZ308" s="246" t="str">
        <f t="shared" si="850"/>
        <v/>
      </c>
      <c r="BA308" s="176" t="str">
        <f t="shared" si="851"/>
        <v xml:space="preserve"> </v>
      </c>
      <c r="BB308" s="176" t="str">
        <f t="shared" si="852"/>
        <v xml:space="preserve"> </v>
      </c>
      <c r="BC308" s="195"/>
      <c r="BD308" s="316"/>
      <c r="BE308" s="317"/>
      <c r="BF308" s="318"/>
      <c r="BG308" s="318"/>
      <c r="BH308" s="144" t="str">
        <f t="shared" si="1021"/>
        <v xml:space="preserve"> </v>
      </c>
      <c r="BI308" s="176" t="str">
        <f t="shared" si="853"/>
        <v/>
      </c>
      <c r="BJ308" s="144" t="str">
        <f t="shared" si="1022"/>
        <v/>
      </c>
      <c r="BK308" s="246" t="str">
        <f t="shared" si="854"/>
        <v/>
      </c>
      <c r="BL308" s="144" t="str">
        <f t="shared" si="1023"/>
        <v/>
      </c>
      <c r="BM308" s="246" t="str">
        <f t="shared" si="855"/>
        <v/>
      </c>
      <c r="BN308" s="337" t="str">
        <f t="shared" si="945"/>
        <v/>
      </c>
      <c r="BO308" s="371" t="str">
        <f t="shared" si="946"/>
        <v/>
      </c>
      <c r="BP308" s="328" t="str">
        <f t="shared" si="1024"/>
        <v xml:space="preserve"> </v>
      </c>
      <c r="BQ308" s="347" t="str">
        <f t="shared" si="947"/>
        <v xml:space="preserve"> </v>
      </c>
      <c r="BR308" s="353" t="str">
        <f t="shared" si="948"/>
        <v xml:space="preserve"> </v>
      </c>
      <c r="BS308" s="626" t="str">
        <f>IF(L308&gt;0,IF(Calculation!P308="M13",BR308*3.1416*(0.134^2)/(4*144),IF(Calculation!P308="M17",BR308*3.1416*(0.165^2)/(4*144),IF(Calculation!P308="M20",BR308*3.1416*(0.198^2)/(4*144),IF(Calculation!P308="M23",BR308*3.1416*(0.228^2)/(4*144),IF(Calculation!P308="M27",BR308*3.1416*(0.269^2)/(4*144),BR308*3.1416*(0.307^2)/(4*144))))))," ")</f>
        <v xml:space="preserve"> </v>
      </c>
      <c r="BT308" s="353" t="str">
        <f>IF(L308&gt;0,IF(BS308&gt;0,R308/Calculation!BS308,0)," ")</f>
        <v xml:space="preserve"> </v>
      </c>
      <c r="BU308" s="438" t="e">
        <f t="shared" ca="1" si="856"/>
        <v>#VALUE!</v>
      </c>
      <c r="BV308" s="449" t="e">
        <f ca="1">INDEX(INDIRECT(VLOOKUP(LEFT(BO308,7),CLU!$Z$3:$AH$18,2)),GN308,GR308)</f>
        <v>#N/A</v>
      </c>
      <c r="BW308" s="433" t="e">
        <f ca="1">INDEX(INDIRECT(VLOOKUP(LEFT(BO308,7),CLU!$Z$3:$AH$18,3)),GN308,GR308)</f>
        <v>#N/A</v>
      </c>
      <c r="BX308" s="433" t="e">
        <f ca="1">INDEX(INDIRECT(VLOOKUP(LEFT(BO308,7),CLU!$Z$3:$AH$18,4)),GN308,GR308)</f>
        <v>#N/A</v>
      </c>
      <c r="BY308" s="433" t="e">
        <f ca="1">INDEX(INDIRECT(VLOOKUP(LEFT(BO308,7),CLU!$Z$3:$AH$18,9)),((M308-2)*(6-COUNTBLANK(GT308:GY308)))+GJ308)</f>
        <v>#N/A</v>
      </c>
      <c r="BZ308" s="426" t="e">
        <f t="shared" ca="1" si="949"/>
        <v>#N/A</v>
      </c>
      <c r="CA308" s="424" t="e">
        <f t="shared" ca="1" si="950"/>
        <v>#N/A</v>
      </c>
      <c r="CB308" s="429" t="e">
        <f ca="1">INDEX(INDIRECT(VLOOKUP(LEFT(BO308,7),CLU!$Z$3:$AH$18,2)),GN308,GS308)</f>
        <v>#N/A</v>
      </c>
      <c r="CC308" s="342" t="e">
        <f ca="1">INDEX(INDIRECT(VLOOKUP(LEFT(BO308,7),CLU!$Z$3:$AH$18,3)),GN308,GS308)</f>
        <v>#N/A</v>
      </c>
      <c r="CD308" s="342" t="e">
        <f ca="1">INDEX(INDIRECT(VLOOKUP(LEFT(BO308,7),CLU!$Z$3:$AH$18,4)),GN308,GS308)</f>
        <v>#N/A</v>
      </c>
      <c r="CE308" s="426" t="e">
        <f t="shared" ca="1" si="951"/>
        <v>#N/A</v>
      </c>
      <c r="CF308" s="440">
        <f t="shared" si="952"/>
        <v>0</v>
      </c>
      <c r="CG308" s="431" t="e">
        <f ca="1">INDEX(INDIRECT(VLOOKUP(LEFT(BO308,7),CLU!$Z$3:$AH$18,2)),GQ308,GR308)</f>
        <v>#N/A</v>
      </c>
      <c r="CH308" s="431" t="e">
        <f ca="1">INDEX(INDIRECT(VLOOKUP(LEFT(BO308,7),CLU!$Z$3:$AH$18,3)),GQ308,GR308)</f>
        <v>#N/A</v>
      </c>
      <c r="CI308" s="431" t="e">
        <f ca="1">INDEX(INDIRECT(VLOOKUP(LEFT(BO308,7),CLU!$Z$3:$AH$18,4)),GQ308,GR308)</f>
        <v>#N/A</v>
      </c>
      <c r="CJ308" s="448" t="e">
        <f t="shared" ca="1" si="953"/>
        <v>#N/A</v>
      </c>
      <c r="CK308" s="431" t="e">
        <f t="shared" ca="1" si="954"/>
        <v>#N/A</v>
      </c>
      <c r="CL308" s="440" t="e">
        <f t="shared" ca="1" si="955"/>
        <v>#N/A</v>
      </c>
      <c r="CM308" s="431" t="e">
        <f ca="1">INDEX(INDIRECT(VLOOKUP(LEFT(BO308,7),CLU!$Z$3:$AH$18,2)),GQ308,GS308)</f>
        <v>#N/A</v>
      </c>
      <c r="CN308" s="431" t="e">
        <f ca="1">INDEX(INDIRECT(VLOOKUP(LEFT(BO308,7),CLU!$Z$3:$AH$18,3)),GQ308,GS308)</f>
        <v>#N/A</v>
      </c>
      <c r="CO308" s="431" t="e">
        <f ca="1">INDEX(INDIRECT(VLOOKUP(LEFT(BO308,7),CLU!$Z$3:$AH$18,4)),GQ308,GS308)</f>
        <v>#N/A</v>
      </c>
      <c r="CP308" s="431" t="e">
        <f t="shared" ca="1" si="956"/>
        <v>#N/A</v>
      </c>
      <c r="CQ308" s="440">
        <f t="shared" si="957"/>
        <v>0</v>
      </c>
      <c r="CR308" s="51" t="e">
        <f t="shared" ca="1" si="958"/>
        <v>#N/A</v>
      </c>
      <c r="CS308" s="439" t="e">
        <f t="shared" ca="1" si="959"/>
        <v>#VALUE!</v>
      </c>
      <c r="CT308" s="51" t="e">
        <f t="shared" ca="1" si="960"/>
        <v>#VALUE!</v>
      </c>
      <c r="CU308" s="10"/>
      <c r="CV308" s="51" t="e">
        <f t="shared" ca="1" si="857"/>
        <v>#VALUE!</v>
      </c>
      <c r="CW308" s="51">
        <f t="shared" si="961"/>
        <v>0</v>
      </c>
      <c r="CX308" s="439" t="e">
        <f t="shared" ca="1" si="962"/>
        <v>#VALUE!</v>
      </c>
      <c r="CY308" s="51" t="e">
        <f t="shared" ca="1" si="963"/>
        <v>#VALUE!</v>
      </c>
      <c r="CZ308" s="10"/>
      <c r="DA308" s="51" t="e">
        <f t="shared" ca="1" si="964"/>
        <v>#VALUE!</v>
      </c>
      <c r="DB308" s="347" t="e">
        <f ca="1">INDEX(INDIRECT(VLOOKUP(LEFT(BO308,7),CLU!$Z$3:$AI$18,10)),((M308-2)*(6-COUNTBLANK(GT308:GY308)))+GJ308)*LI308</f>
        <v>#N/A</v>
      </c>
      <c r="DC308" s="347" t="str">
        <f>IF(L308&gt;0,((R308/Worksheet!$I$15)/DB308)^2," ")</f>
        <v xml:space="preserve"> </v>
      </c>
      <c r="DD308" s="602" t="str">
        <f t="shared" si="965"/>
        <v xml:space="preserve"> </v>
      </c>
      <c r="DE308" s="347" t="str">
        <f t="shared" si="858"/>
        <v xml:space="preserve"> </v>
      </c>
      <c r="DF308" s="356" t="e">
        <f ca="1">INDEX(INDIRECT(VLOOKUP(LEFT(BO308,7),CLU!$Z$3:$AH$18,8)),((M308-2)*(6-COUNTBLANK(GT308:GY308)))+GJ308)</f>
        <v>#N/A</v>
      </c>
      <c r="DG308" s="347" t="str">
        <f t="shared" si="859"/>
        <v xml:space="preserve"> </v>
      </c>
      <c r="DH308" s="357" t="str">
        <f t="shared" si="860"/>
        <v xml:space="preserve"> </v>
      </c>
      <c r="DI308" s="355" t="str">
        <f t="shared" si="861"/>
        <v xml:space="preserve"> </v>
      </c>
      <c r="DJ308" s="245" t="e">
        <f ca="1">INDEX(INDIRECT(VLOOKUP(LEFT(BO308,7),CLU!$Z$3:$AH$18,5)),GL308,GK308)</f>
        <v>#N/A</v>
      </c>
      <c r="DK308" s="245" t="e">
        <f ca="1">INDEX(INDIRECT(VLOOKUP(LEFT(BO308,7),CLU!$Z$3:$AH$18,6)),GL308,GK308)</f>
        <v>#N/A</v>
      </c>
      <c r="DL308" s="355">
        <f>(Calculation!R308*0.69143*(Calculation!$BQ$8-Calculation!$F$8))*$S$14</f>
        <v>0</v>
      </c>
      <c r="DM308" s="359" t="e">
        <f t="shared" si="966"/>
        <v>#VALUE!</v>
      </c>
      <c r="DN308" s="611">
        <f t="shared" si="967"/>
        <v>0</v>
      </c>
      <c r="DO308" s="359">
        <f t="shared" si="968"/>
        <v>100</v>
      </c>
      <c r="DP308" s="359">
        <f t="shared" si="969"/>
        <v>0</v>
      </c>
      <c r="DQ308" s="360"/>
      <c r="DR308" s="245" t="e">
        <f ca="1">INDEX(INDIRECT(VLOOKUP(LEFT(BO308,7),CLU!$Z$3:$AH$18,7)),M308-1,1)</f>
        <v>#N/A</v>
      </c>
      <c r="DS308" s="245" t="e">
        <f ca="1">INDEX(INDIRECT(VLOOKUP(LEFT(BO308,7),CLU!$Z$3:$AH$18,7)),M308-1,2)</f>
        <v>#N/A</v>
      </c>
      <c r="DT308" s="245" t="e">
        <f ca="1">INDEX(INDIRECT(VLOOKUP(LEFT(BO308,7),CLU!$Z$3:$AH$18,7)),M308-1,3)</f>
        <v>#N/A</v>
      </c>
      <c r="DU308" s="245" t="e">
        <f ca="1">INDEX(INDIRECT(VLOOKUP(LEFT(BO308,7),CLU!$Z$3:$AH$18,7)),M308-1,4)</f>
        <v>#N/A</v>
      </c>
      <c r="DV308" s="361" t="e">
        <f ca="1">INDEX(INDIRECT(VLOOKUP(LEFT(BO308,7),CLU!$Z$3:$AH$18,7)),M308-1,4+LEFT(DZ308,1)*0.5)</f>
        <v>#N/A</v>
      </c>
      <c r="DW308" s="245" t="e">
        <f ca="1">INDEX(INDIRECT(VLOOKUP(LEFT(BO308,7),CLU!$Z$3:$AH$18,7)),M308-1,8)</f>
        <v>#N/A</v>
      </c>
      <c r="DX308" s="361" t="str">
        <f t="shared" si="862"/>
        <v xml:space="preserve"> </v>
      </c>
      <c r="DY308" s="361" t="str">
        <f t="shared" si="863"/>
        <v xml:space="preserve"> </v>
      </c>
      <c r="DZ308" s="361" t="str">
        <f t="shared" si="864"/>
        <v xml:space="preserve"> </v>
      </c>
      <c r="EA308" s="362" t="str">
        <f t="shared" si="865"/>
        <v xml:space="preserve"> </v>
      </c>
      <c r="EB308" s="624" t="str">
        <f t="shared" si="970"/>
        <v xml:space="preserve"> </v>
      </c>
      <c r="EC308" s="361" t="e">
        <f ca="1">INDEX(INDIRECT(VLOOKUP(LEFT(BO308,7),CLU!$Z$3:$AH$18,7)),M308-1,4+LEFT(DZ308,1)*0.5)</f>
        <v>#N/A</v>
      </c>
      <c r="ED308" s="362" t="str">
        <f t="shared" si="866"/>
        <v xml:space="preserve"> </v>
      </c>
      <c r="EE308" s="361" t="str">
        <f t="shared" si="867"/>
        <v xml:space="preserve"> </v>
      </c>
      <c r="EF308" s="362" t="str">
        <f>IF(L308&gt;0,IF(BR308&gt;0,IF(EE308="2P",IF(Calculation!DZ308="2P",IF(Calculation!DS308=13.75,IF(Calculation!DR308=13,Worksheet!$BD$43,IF(Calculation!DR308=37,Worksheet!$BD$44,Worksheet!$BD$45)),IF(Calculation!DS308=10,IF(Calculation!DR308=18,Worksheet!$BD$29,IF(Calculation!DR308=30,Worksheet!$BD$30,IF(Calculation!DR308=42,Worksheet!$BD$31,IF(Calculation!DR308=54,Worksheet!$BD$32,IF(Calculation!DR308=66,Worksheet!$BD$33,IF(Calculation!DR308=78,Worksheet!$BD$34,IF(Calculation!DR308=90,Worksheet!$BD$35,IF(Calculation!DR308=102,Worksheet!$BD$36,Worksheet!$BD$37)))))))),IF(Calculation!DS308=12.5,IF(Calculation!DR308=18,Worksheet!$BD$38,IF(Calculation!DR308=Worksheet!$BD$39,IF(Calculation!DR308=42,Worksheet!$BD$40,IF(Calculation!DR308=54,Worksheet!$BD$41,Worksheet!$BD$42)))),IF(Calculation!DR308=18,Worksheet!$BD$11,IF(Calculation!DR308=30,Worksheet!$BD$12,IF(Calculation!DR308=42,Worksheet!$BD$13,IF(Calculation!DR308=54,Worksheet!$BD$14,IF(Calculation!DR308=66,Worksheet!$BD$15,IF(Calculation!DR308=78,Worksheet!$BD$16,IF(Calculation!DR308=90,Worksheet!$BD$17,IF(Calculation!DR308=102,Worksheet!$BD$18,Worksheet!$BD$19))))))))))),IF(Calculation!DS308=13.75,IF(Calculation!DR308=13,Worksheet!$BD$78,IF(Calculation!DR308=37,Worksheet!$BD$79,Worksheet!$BD$80)),IF(Calculation!DS308=10,IF(Calculation!DR308=18,Worksheet!$BD$64,IF(Calculation!DR308=30,Worksheet!$BD$65,IF(Calculation!DR308=42,Worksheet!$BD$66,IF(Calculation!DR308=54,Worksheet!$BD$68,IF(Calculation!DR308=66,Worksheet!$BD$68,IF(Calculation!DR308=78,Worksheet!$BD$69,IF(Calculation!DR308=90,Worksheet!$BD$70,IF(Calculation!DR308=102,Worksheet!$BD$71,Worksheet!$BD$72)))))))),IF(Calculation!DS308=12.5,IF(Calculation!DR308=18,Worksheet!$BD$73,IF(Calculation!DR308=Worksheet!$BD$74,IF(Calculation!DR308=42,Worksheet!$BD$75,IF(Calculation!DR308=54,Worksheet!$BD$76,Worksheet!$BD$77)))),IF(Calculation!DR308=18,Worksheet!$BD$55,IF(Calculation!DR308=30,Worksheet!$BD$56,IF(Calculation!DR308=42,Worksheet!$BD$57,IF(Calculation!DR308=54,Worksheet!$BD$58,IF(Calculation!DR308=66,Worksheet!$BD$59,IF(Calculation!DR308=78,Worksheet!$BD$60,IF(Calculation!DR308=90,Worksheet!$BD$61,IF(Calculation!DR308=102,Worksheet!$BD$62,Worksheet!$BD$63)))))))))))),5),0)," ")</f>
        <v xml:space="preserve"> </v>
      </c>
      <c r="EG308" s="361" t="str">
        <f t="shared" si="868"/>
        <v xml:space="preserve"> </v>
      </c>
      <c r="EH308" s="361" t="e">
        <f ca="1">INDEX(INDIRECT(VLOOKUP(LEFT(BO308,7),CLU!$Z$3:$AH$18,7)),M308-1,3+LEFT(DZ308,1))</f>
        <v>#N/A</v>
      </c>
      <c r="EI308" s="362" t="str">
        <f t="shared" si="869"/>
        <v xml:space="preserve"> </v>
      </c>
      <c r="EJ308" s="363" t="str">
        <f t="shared" si="870"/>
        <v xml:space="preserve"> </v>
      </c>
      <c r="EK308" s="363" t="str">
        <f t="shared" si="871"/>
        <v xml:space="preserve"> </v>
      </c>
      <c r="EL308" s="363" t="str">
        <f t="shared" si="872"/>
        <v xml:space="preserve"> </v>
      </c>
      <c r="EM308" s="362" t="str">
        <f>IF(L308&gt;0,IF(BR308&gt;0,(Calculation!T308/ED308)^2,0)," ")</f>
        <v xml:space="preserve"> </v>
      </c>
      <c r="EN308" s="362" t="str">
        <f>IF(L308&gt;0,IF(O308="2 Pipe (Cooling)","N/A",IF(BR308&gt;0,(Calculation!U308/EI308)^2,0))," ")</f>
        <v xml:space="preserve"> </v>
      </c>
      <c r="EO308" s="361" t="str">
        <f t="shared" si="873"/>
        <v/>
      </c>
      <c r="EP308" s="361" t="str">
        <f t="shared" si="874"/>
        <v/>
      </c>
      <c r="EQ308" s="361" t="str">
        <f t="shared" si="875"/>
        <v/>
      </c>
      <c r="ER308" s="361" t="str">
        <f t="shared" si="876"/>
        <v/>
      </c>
      <c r="ES308" s="361" t="str">
        <f t="shared" si="877"/>
        <v/>
      </c>
      <c r="ET308" s="361" t="str">
        <f t="shared" si="878"/>
        <v/>
      </c>
      <c r="EU308" s="361" t="str">
        <f t="shared" si="879"/>
        <v/>
      </c>
      <c r="EV308" s="361" t="str">
        <f t="shared" si="880"/>
        <v/>
      </c>
      <c r="EW308" s="361" t="str">
        <f t="shared" si="881"/>
        <v/>
      </c>
      <c r="EX308" s="361" t="str">
        <f t="shared" si="971"/>
        <v>1 slot, 1 way</v>
      </c>
      <c r="EY308" s="361" t="str">
        <f t="shared" si="972"/>
        <v xml:space="preserve"> </v>
      </c>
      <c r="EZ308" s="361" t="str">
        <f t="shared" si="973"/>
        <v xml:space="preserve"> </v>
      </c>
      <c r="FA308" s="361" t="str">
        <f t="shared" si="974"/>
        <v xml:space="preserve"> </v>
      </c>
      <c r="FB308" s="361" t="str">
        <f t="shared" si="975"/>
        <v xml:space="preserve"> </v>
      </c>
      <c r="FC308" s="361"/>
      <c r="FD308" s="361" t="str">
        <f>IF(J308&gt;0,IF(Calculation!R308&lt;=70,4,IF(Calculation!R308&lt;=110,5,IF(Calculation!R308&lt;=160,6,IF(Calculation!R308&lt;=300,8,"10 EO")))),"")</f>
        <v/>
      </c>
      <c r="FE308" s="361" t="str">
        <f t="shared" si="976"/>
        <v/>
      </c>
      <c r="FF308" s="361" t="str">
        <f t="shared" si="977"/>
        <v/>
      </c>
      <c r="FG308" s="361" t="e">
        <f t="shared" si="882"/>
        <v>#N/A</v>
      </c>
      <c r="FH308" s="361">
        <f t="shared" si="883"/>
        <v>0</v>
      </c>
      <c r="FI308" s="361" t="e">
        <f t="shared" si="884"/>
        <v>#DIV/0!</v>
      </c>
      <c r="FJ308" s="361"/>
      <c r="FK308" s="356" t="e">
        <f t="shared" si="885"/>
        <v>#VALUE!</v>
      </c>
      <c r="FL308" s="361"/>
      <c r="FM308" s="361"/>
      <c r="FN308" s="362" t="str">
        <f t="shared" si="978"/>
        <v xml:space="preserve"> </v>
      </c>
      <c r="FO308" s="362" t="str">
        <f t="shared" si="979"/>
        <v xml:space="preserve"> </v>
      </c>
      <c r="FP308" s="362">
        <f t="shared" si="980"/>
        <v>0</v>
      </c>
      <c r="FQ308" s="361">
        <f t="shared" si="886"/>
        <v>0</v>
      </c>
      <c r="FR308" s="362" t="str">
        <f>IF(L308&gt;0,IF(J308="CBAL2",Worksheet!$P$67,IF(J308="CBE2-24",Worksheet!$Q$67,IF(J308="CBAM",Worksheet!$R$67,IF(J308="CBLV",Worksheet!$S$67,IF(J308="CBAB",Worksheet!$U$67,IF(J308="CBAW",Worksheet!$X$67,IF(J308="CBE2-12",Worksheet!$Y$67,IF(J308="CBAL2",Worksheet!$Z$67,"N/A"))))))))," ")</f>
        <v xml:space="preserve"> </v>
      </c>
      <c r="FS308" s="362" t="str">
        <f>IF(L308&gt;0,IF(J308="CBAL2",Worksheet!$P$68,IF(J308="CBE2-24",Worksheet!$Q$68,IF(J308="CBAM",Worksheet!$R$68,IF(J308="CBLV",Worksheet!$S$68,IF(J308="CBAB",Worksheet!$U$68,IF(J308="CBAW",Worksheet!$X$68,IF(J308="CBE2-12",Worksheet!$Y$68,IF(J308="CBAL2",Worksheet!$Z$68,"N/A"))))))))," ")</f>
        <v xml:space="preserve"> </v>
      </c>
      <c r="FT308" s="362" t="str">
        <f>IF(L308&gt;0,IF(J308="CBAL2",Worksheet!$P$69,IF(J308="CBE2-24",Worksheet!$Q$69,IF(J308="CBAM",Worksheet!$R$69,IF(J308="CBLV",Worksheet!$S$69,IF(J308="CBAB",Worksheet!$U$69,IF(J308="CBAW",Worksheet!$X$69,IF(J308="CBE2-12",Worksheet!$Y$69,IF(J308="CBAL2",Worksheet!$Z$69,"N/A"))))))))," ")</f>
        <v xml:space="preserve"> </v>
      </c>
      <c r="FU308" s="361" t="str">
        <f t="shared" si="981"/>
        <v xml:space="preserve"> </v>
      </c>
      <c r="FV308" s="362" t="str">
        <f t="shared" si="982"/>
        <v xml:space="preserve"> </v>
      </c>
      <c r="FW308" s="362" t="str">
        <f t="shared" si="983"/>
        <v xml:space="preserve"> </v>
      </c>
      <c r="FX308" s="362" t="str">
        <f t="shared" si="984"/>
        <v xml:space="preserve"> </v>
      </c>
      <c r="FY308" s="355" t="str">
        <f t="shared" si="985"/>
        <v xml:space="preserve"> </v>
      </c>
      <c r="FZ308" s="361" t="str">
        <f t="shared" si="986"/>
        <v xml:space="preserve"> </v>
      </c>
      <c r="GA308" s="347" t="str">
        <f t="shared" si="987"/>
        <v xml:space="preserve"> </v>
      </c>
      <c r="GB308" s="355" t="str">
        <f t="shared" si="988"/>
        <v xml:space="preserve"> </v>
      </c>
      <c r="GC308" s="328" t="str">
        <f t="shared" si="989"/>
        <v xml:space="preserve"> </v>
      </c>
      <c r="GD308" s="361" t="str">
        <f t="shared" si="990"/>
        <v xml:space="preserve"> </v>
      </c>
      <c r="GE308" s="347" t="str">
        <f t="shared" si="991"/>
        <v xml:space="preserve"> </v>
      </c>
      <c r="GF308" s="361" t="str">
        <f t="shared" si="992"/>
        <v xml:space="preserve"> </v>
      </c>
      <c r="GG308" s="347" t="str">
        <f t="shared" si="993"/>
        <v xml:space="preserve"> </v>
      </c>
      <c r="GH308" s="364">
        <f t="shared" si="887"/>
        <v>0</v>
      </c>
      <c r="GI308" s="362">
        <f t="shared" si="994"/>
        <v>2</v>
      </c>
      <c r="GJ308" s="433" t="e">
        <f>IF(6-COUNTBLANK(GT308:GY308)=4,MATCH(MID(BO308,9,3),CLU!$H$16:$K$16),MATCH(MID(BO308,9,3),CLU!$H$13:$M$13))</f>
        <v>#N/A</v>
      </c>
      <c r="GK308" s="433" t="e">
        <f>HLOOKUP(VALUE(BP308),CLU!$H$9:$M$10,2)</f>
        <v>#VALUE!</v>
      </c>
      <c r="GL308" s="433" t="e">
        <f ca="1">MATCH(BU308,CLU!$H$2:$V$2,1)</f>
        <v>#VALUE!</v>
      </c>
      <c r="GM308" s="433" t="e">
        <f t="shared" ca="1" si="995"/>
        <v>#VALUE!</v>
      </c>
      <c r="GN308" s="433" t="e">
        <f t="shared" ca="1" si="996"/>
        <v>#VALUE!</v>
      </c>
      <c r="GO308" s="433" t="e">
        <f t="shared" ca="1" si="997"/>
        <v>#VALUE!</v>
      </c>
      <c r="GP308" s="433" t="e">
        <f t="shared" ca="1" si="998"/>
        <v>#VALUE!</v>
      </c>
      <c r="GQ308" s="433" t="e">
        <f t="shared" ca="1" si="999"/>
        <v>#VALUE!</v>
      </c>
      <c r="GR308" s="433" t="e">
        <f ca="1">MATCH(T308,INDIRECT(VLOOKUP(CONCATENATE(LEFT(BO308,7),"-",MID(BO308,13,1)),CLU!$P$3:$Q$16,2)),1)</f>
        <v>#N/A</v>
      </c>
      <c r="GS308" s="433" t="e">
        <f ca="1">MATCH(U308,INDIRECT(VLOOKUP(CONCATENATE(LEFT(BO308,7),"-",MID(BO308,13,1)),CLU!$P$3:$Q$16,2)),1)</f>
        <v>#N/A</v>
      </c>
      <c r="GT308" s="347" t="s">
        <v>512</v>
      </c>
      <c r="GU308" s="97" t="s">
        <v>513</v>
      </c>
      <c r="GV308" s="97" t="str">
        <f t="shared" si="1000"/>
        <v>M23</v>
      </c>
      <c r="GW308" s="97" t="str">
        <f t="shared" si="1001"/>
        <v>M31</v>
      </c>
      <c r="GX308" s="97" t="str">
        <f t="shared" si="1002"/>
        <v/>
      </c>
      <c r="GY308" s="97" t="str">
        <f t="shared" si="1003"/>
        <v/>
      </c>
      <c r="GZ308" s="481"/>
      <c r="HA308" s="240"/>
      <c r="HB308" s="240"/>
      <c r="HC308" s="240"/>
      <c r="HD308" s="240"/>
      <c r="HE308" s="240"/>
      <c r="HF308" s="240"/>
      <c r="HG308" s="240"/>
      <c r="HH308" s="240"/>
      <c r="HI308" s="240"/>
      <c r="HJ308" s="240"/>
      <c r="HK308" s="240"/>
      <c r="HL308" s="240"/>
      <c r="HM308" s="240"/>
      <c r="HN308" s="240"/>
      <c r="HO308" s="240"/>
      <c r="HP308" s="240"/>
      <c r="HQ308" s="240"/>
      <c r="HR308" s="240"/>
      <c r="HS308" s="240"/>
      <c r="HT308" s="240"/>
      <c r="HU308" s="240"/>
      <c r="HV308" s="245"/>
      <c r="HW308" s="245" t="b">
        <v>1</v>
      </c>
      <c r="HX308" s="245" t="str">
        <f t="shared" si="888"/>
        <v/>
      </c>
      <c r="HY308" s="245" t="e">
        <f t="shared" si="889"/>
        <v>#DIV/0!</v>
      </c>
      <c r="HZ308" s="245" t="e">
        <f t="shared" si="890"/>
        <v>#DIV/0!</v>
      </c>
      <c r="IA308" s="245">
        <f t="shared" si="891"/>
        <v>0</v>
      </c>
      <c r="IB308" s="245"/>
      <c r="IC308" t="b">
        <f t="shared" si="892"/>
        <v>1</v>
      </c>
      <c r="ID308" s="245" t="b">
        <f t="shared" si="893"/>
        <v>1</v>
      </c>
      <c r="IE308" s="245" t="b">
        <f t="shared" si="894"/>
        <v>1</v>
      </c>
      <c r="IF308" s="245" t="b">
        <f t="shared" si="895"/>
        <v>0</v>
      </c>
      <c r="IG308" s="245" t="b">
        <f t="shared" si="896"/>
        <v>1</v>
      </c>
      <c r="IH308" s="245" t="b">
        <f t="shared" si="897"/>
        <v>1</v>
      </c>
      <c r="II308" s="245">
        <f t="shared" si="1004"/>
        <v>0</v>
      </c>
      <c r="IJ308" s="245" t="e">
        <f t="shared" si="898"/>
        <v>#VALUE!</v>
      </c>
      <c r="IK308" s="245" t="e">
        <f t="shared" si="899"/>
        <v>#VALUE!</v>
      </c>
      <c r="IL308" s="245"/>
      <c r="IM308" s="245" t="e">
        <f t="shared" si="1005"/>
        <v>#N/A</v>
      </c>
      <c r="IN308" s="245" t="e">
        <f t="shared" si="1006"/>
        <v>#N/A</v>
      </c>
      <c r="IO308" s="245"/>
      <c r="IP308" s="245"/>
      <c r="IQ308" s="245" t="str">
        <f t="shared" si="900"/>
        <v/>
      </c>
      <c r="IR308" s="245" t="str">
        <f>IF(J308="","",VLOOKUP(J308,Worksheet!$R$4:$T$14,2))</f>
        <v/>
      </c>
      <c r="IS308" s="245"/>
      <c r="IT308" s="245">
        <f t="shared" si="901"/>
        <v>0</v>
      </c>
      <c r="IU308" s="245">
        <f t="shared" si="902"/>
        <v>0</v>
      </c>
      <c r="IV308" s="245">
        <f t="shared" si="903"/>
        <v>0</v>
      </c>
      <c r="IW308" s="245">
        <f t="shared" si="904"/>
        <v>0</v>
      </c>
      <c r="IX308" s="245">
        <f t="shared" si="1007"/>
        <v>0</v>
      </c>
      <c r="IY308" s="245">
        <f t="shared" si="905"/>
        <v>0</v>
      </c>
      <c r="IZ308" s="245">
        <f t="shared" si="906"/>
        <v>0</v>
      </c>
      <c r="JA308">
        <f t="shared" si="907"/>
        <v>0</v>
      </c>
      <c r="JB308">
        <f t="shared" si="1008"/>
        <v>0</v>
      </c>
      <c r="JC308">
        <f t="shared" si="908"/>
        <v>0</v>
      </c>
      <c r="JD308">
        <f t="shared" si="909"/>
        <v>0</v>
      </c>
      <c r="JE308">
        <f t="shared" si="910"/>
        <v>0</v>
      </c>
      <c r="JF308">
        <f t="shared" si="911"/>
        <v>0</v>
      </c>
      <c r="JG308">
        <f t="shared" si="912"/>
        <v>0</v>
      </c>
      <c r="JH308">
        <f t="shared" si="913"/>
        <v>0</v>
      </c>
      <c r="JI308">
        <f t="shared" si="914"/>
        <v>0</v>
      </c>
      <c r="JJ308" s="447">
        <f t="shared" si="915"/>
        <v>0</v>
      </c>
      <c r="JK308" s="447">
        <f t="shared" si="916"/>
        <v>0</v>
      </c>
      <c r="JL308">
        <f t="shared" si="917"/>
        <v>0</v>
      </c>
      <c r="JM308" s="245" t="str">
        <f>IFERROR(VLOOKUP(MATCH(BN308,#REF!,0),#REF!,7),"")</f>
        <v/>
      </c>
      <c r="JN308" t="e">
        <f>HLOOKUP(LEFT(BO308,7),Discharge_Area,MATCH(JO308,LookUps!$B$130:$B$149,1)+2)</f>
        <v>#N/A</v>
      </c>
      <c r="JO308" t="str">
        <f t="shared" si="918"/>
        <v>- S</v>
      </c>
      <c r="JP308" t="e">
        <f>HLOOKUP(LEFT(BO308,7),Discharge_Area,MATCH(JO308,LookUps!$B$130:$B$149,1)+2)</f>
        <v>#N/A</v>
      </c>
      <c r="JQ308" t="e">
        <f t="shared" si="919"/>
        <v>#N/A</v>
      </c>
      <c r="JR308" t="e">
        <f t="shared" si="920"/>
        <v>#N/A</v>
      </c>
      <c r="JS308" t="e">
        <f t="shared" si="921"/>
        <v>#N/A</v>
      </c>
      <c r="JT308" s="532" t="str">
        <f t="shared" si="922"/>
        <v xml:space="preserve"> </v>
      </c>
      <c r="JU308" s="532" t="str">
        <f t="shared" si="923"/>
        <v xml:space="preserve"> </v>
      </c>
      <c r="JV308" s="533" t="str">
        <f t="shared" si="924"/>
        <v xml:space="preserve"> </v>
      </c>
      <c r="JW308" s="534">
        <f t="shared" si="925"/>
        <v>0</v>
      </c>
      <c r="JX308" s="535" t="str">
        <f t="shared" si="1009"/>
        <v xml:space="preserve"> </v>
      </c>
      <c r="JY308" s="535" t="str">
        <f t="shared" si="1010"/>
        <v xml:space="preserve"> </v>
      </c>
      <c r="JZ308" s="535" t="str">
        <f t="shared" si="1011"/>
        <v xml:space="preserve"> </v>
      </c>
      <c r="KA308" s="536" t="str">
        <f t="shared" si="926"/>
        <v xml:space="preserve"> </v>
      </c>
      <c r="KB308" s="535" t="e">
        <f t="shared" si="1012"/>
        <v>#VALUE!</v>
      </c>
      <c r="KC308" s="535" t="str">
        <f t="shared" si="927"/>
        <v/>
      </c>
      <c r="KD308" s="537" t="str">
        <f t="shared" si="1013"/>
        <v xml:space="preserve"> </v>
      </c>
      <c r="KE308" s="537" t="str">
        <f t="shared" si="1014"/>
        <v xml:space="preserve"> </v>
      </c>
      <c r="KF308" s="534">
        <f t="shared" si="928"/>
        <v>0</v>
      </c>
      <c r="KG308" s="535" t="str">
        <f t="shared" si="929"/>
        <v xml:space="preserve"> </v>
      </c>
      <c r="KH308" s="535" t="str">
        <f t="shared" si="930"/>
        <v xml:space="preserve"> </v>
      </c>
      <c r="KI308" s="535" t="str">
        <f t="shared" si="931"/>
        <v xml:space="preserve"> </v>
      </c>
      <c r="KJ308" s="536" t="str">
        <f t="shared" si="932"/>
        <v xml:space="preserve"> </v>
      </c>
      <c r="KK308" s="535" t="str">
        <f t="shared" si="1015"/>
        <v xml:space="preserve"> </v>
      </c>
      <c r="KL308" s="535" t="str">
        <f t="shared" si="1016"/>
        <v xml:space="preserve"> </v>
      </c>
      <c r="KM308" s="537" t="str">
        <f t="shared" si="933"/>
        <v xml:space="preserve"> </v>
      </c>
      <c r="KN308" s="537" t="str">
        <f t="shared" si="1017"/>
        <v xml:space="preserve"> </v>
      </c>
      <c r="KP308">
        <f t="shared" si="934"/>
        <v>0</v>
      </c>
      <c r="LA308" t="e">
        <f t="shared" si="935"/>
        <v>#VALUE!</v>
      </c>
      <c r="LB308" t="e">
        <f t="shared" si="936"/>
        <v>#VALUE!</v>
      </c>
      <c r="LC308" t="e">
        <f t="shared" si="937"/>
        <v>#VALUE!</v>
      </c>
      <c r="LD308" t="e">
        <f t="shared" si="938"/>
        <v>#VALUE!</v>
      </c>
      <c r="LE308" t="e">
        <f t="shared" si="1018"/>
        <v>#VALUE!</v>
      </c>
      <c r="LF308">
        <f t="shared" si="939"/>
        <v>0</v>
      </c>
      <c r="LG308" t="e">
        <f t="shared" si="1019"/>
        <v>#VALUE!</v>
      </c>
      <c r="LH308" t="str">
        <f t="shared" si="940"/>
        <v xml:space="preserve"> </v>
      </c>
      <c r="LI308">
        <f t="shared" si="1020"/>
        <v>1</v>
      </c>
    </row>
    <row r="309" spans="2:321" ht="15" customHeight="1">
      <c r="B309" s="311"/>
      <c r="C309" s="311"/>
      <c r="D309" s="312"/>
      <c r="E309" s="311"/>
      <c r="F309" s="312"/>
      <c r="G309" s="311"/>
      <c r="H309" s="311"/>
      <c r="I309" s="232"/>
      <c r="J309" s="311"/>
      <c r="K309" s="305" t="str">
        <f t="shared" si="941"/>
        <v/>
      </c>
      <c r="L309" s="313"/>
      <c r="M309" s="312"/>
      <c r="N309" s="311"/>
      <c r="O309" s="312"/>
      <c r="P309" s="311"/>
      <c r="Q309" s="305" t="str">
        <f t="shared" si="942"/>
        <v/>
      </c>
      <c r="R309" s="314"/>
      <c r="S309" s="450" t="str">
        <f t="shared" si="825"/>
        <v/>
      </c>
      <c r="T309" s="315"/>
      <c r="U309" s="315"/>
      <c r="W309" s="149" t="str">
        <f t="shared" si="826"/>
        <v xml:space="preserve"> </v>
      </c>
      <c r="X309" s="243" t="str">
        <f t="shared" si="827"/>
        <v xml:space="preserve"> </v>
      </c>
      <c r="Y309" s="150" t="str">
        <f t="shared" si="828"/>
        <v/>
      </c>
      <c r="Z309" s="149" t="str">
        <f t="shared" si="829"/>
        <v xml:space="preserve"> </v>
      </c>
      <c r="AA309" s="98" t="str">
        <f t="shared" si="830"/>
        <v xml:space="preserve"> </v>
      </c>
      <c r="AB309" s="153" t="str">
        <f t="shared" si="831"/>
        <v xml:space="preserve"> </v>
      </c>
      <c r="AC309" s="153" t="str">
        <f t="shared" si="832"/>
        <v xml:space="preserve"> </v>
      </c>
      <c r="AD309" s="148" t="str">
        <f t="shared" si="833"/>
        <v/>
      </c>
      <c r="AE309" s="149" t="str">
        <f t="shared" si="834"/>
        <v/>
      </c>
      <c r="AF309" s="151" t="str">
        <f t="shared" si="835"/>
        <v xml:space="preserve"> </v>
      </c>
      <c r="AG309" s="153" t="str">
        <f t="shared" si="836"/>
        <v xml:space="preserve"> </v>
      </c>
      <c r="AH309" s="98" t="str">
        <f t="shared" si="837"/>
        <v xml:space="preserve"> </v>
      </c>
      <c r="AI309" s="149" t="str">
        <f t="shared" si="838"/>
        <v xml:space="preserve"> </v>
      </c>
      <c r="AK309" s="144" t="str">
        <f t="shared" si="839"/>
        <v xml:space="preserve"> </v>
      </c>
      <c r="AL309" s="144"/>
      <c r="AM309" s="243" t="str">
        <f t="shared" si="840"/>
        <v xml:space="preserve"> </v>
      </c>
      <c r="AN309" s="149" t="str">
        <f t="shared" si="943"/>
        <v xml:space="preserve"> </v>
      </c>
      <c r="AO309" s="144" t="str">
        <f>IF(JB309&gt;0,IF(GI309=10,-R309*1.085*(Calculation!$F$6-Calculation!$F$13)*$S$14," "),"")</f>
        <v/>
      </c>
      <c r="AP309" s="144" t="str">
        <f t="shared" si="841"/>
        <v/>
      </c>
      <c r="AQ309" s="56" t="str">
        <f t="shared" si="842"/>
        <v/>
      </c>
      <c r="AR309" s="144" t="str">
        <f t="shared" si="843"/>
        <v/>
      </c>
      <c r="AS309" s="176" t="str">
        <f t="shared" si="844"/>
        <v/>
      </c>
      <c r="AT309" s="176" t="str">
        <f t="shared" si="944"/>
        <v xml:space="preserve"> </v>
      </c>
      <c r="AU309" s="176" t="str">
        <f t="shared" si="845"/>
        <v/>
      </c>
      <c r="AV309" s="177" t="str">
        <f t="shared" si="846"/>
        <v xml:space="preserve"> </v>
      </c>
      <c r="AW309" s="144" t="str">
        <f t="shared" si="847"/>
        <v xml:space="preserve"> </v>
      </c>
      <c r="AX309" s="144" t="str">
        <f t="shared" si="848"/>
        <v xml:space="preserve"> </v>
      </c>
      <c r="AY309" s="152" t="str">
        <f t="shared" si="849"/>
        <v xml:space="preserve"> </v>
      </c>
      <c r="AZ309" s="246" t="str">
        <f t="shared" si="850"/>
        <v/>
      </c>
      <c r="BA309" s="176" t="str">
        <f t="shared" si="851"/>
        <v xml:space="preserve"> </v>
      </c>
      <c r="BB309" s="176" t="str">
        <f t="shared" si="852"/>
        <v xml:space="preserve"> </v>
      </c>
      <c r="BC309" s="195"/>
      <c r="BD309" s="316"/>
      <c r="BE309" s="317"/>
      <c r="BF309" s="318"/>
      <c r="BG309" s="318"/>
      <c r="BH309" s="144" t="str">
        <f t="shared" si="1021"/>
        <v xml:space="preserve"> </v>
      </c>
      <c r="BI309" s="176" t="str">
        <f t="shared" si="853"/>
        <v/>
      </c>
      <c r="BJ309" s="144" t="str">
        <f t="shared" si="1022"/>
        <v/>
      </c>
      <c r="BK309" s="246" t="str">
        <f t="shared" si="854"/>
        <v/>
      </c>
      <c r="BL309" s="144" t="str">
        <f t="shared" si="1023"/>
        <v/>
      </c>
      <c r="BM309" s="246" t="str">
        <f t="shared" si="855"/>
        <v/>
      </c>
      <c r="BN309" s="337" t="str">
        <f t="shared" si="945"/>
        <v/>
      </c>
      <c r="BO309" s="371" t="str">
        <f t="shared" si="946"/>
        <v/>
      </c>
      <c r="BP309" s="328" t="str">
        <f t="shared" si="1024"/>
        <v xml:space="preserve"> </v>
      </c>
      <c r="BQ309" s="347" t="str">
        <f t="shared" si="947"/>
        <v xml:space="preserve"> </v>
      </c>
      <c r="BR309" s="353" t="str">
        <f t="shared" si="948"/>
        <v xml:space="preserve"> </v>
      </c>
      <c r="BS309" s="626" t="str">
        <f>IF(L309&gt;0,IF(Calculation!P309="M13",BR309*3.1416*(0.134^2)/(4*144),IF(Calculation!P309="M17",BR309*3.1416*(0.165^2)/(4*144),IF(Calculation!P309="M20",BR309*3.1416*(0.198^2)/(4*144),IF(Calculation!P309="M23",BR309*3.1416*(0.228^2)/(4*144),IF(Calculation!P309="M27",BR309*3.1416*(0.269^2)/(4*144),BR309*3.1416*(0.307^2)/(4*144))))))," ")</f>
        <v xml:space="preserve"> </v>
      </c>
      <c r="BT309" s="353" t="str">
        <f>IF(L309&gt;0,IF(BS309&gt;0,R309/Calculation!BS309,0)," ")</f>
        <v xml:space="preserve"> </v>
      </c>
      <c r="BU309" s="438" t="e">
        <f t="shared" ca="1" si="856"/>
        <v>#VALUE!</v>
      </c>
      <c r="BV309" s="449" t="e">
        <f ca="1">INDEX(INDIRECT(VLOOKUP(LEFT(BO309,7),CLU!$Z$3:$AH$18,2)),GN309,GR309)</f>
        <v>#N/A</v>
      </c>
      <c r="BW309" s="433" t="e">
        <f ca="1">INDEX(INDIRECT(VLOOKUP(LEFT(BO309,7),CLU!$Z$3:$AH$18,3)),GN309,GR309)</f>
        <v>#N/A</v>
      </c>
      <c r="BX309" s="433" t="e">
        <f ca="1">INDEX(INDIRECT(VLOOKUP(LEFT(BO309,7),CLU!$Z$3:$AH$18,4)),GN309,GR309)</f>
        <v>#N/A</v>
      </c>
      <c r="BY309" s="433" t="e">
        <f ca="1">INDEX(INDIRECT(VLOOKUP(LEFT(BO309,7),CLU!$Z$3:$AH$18,9)),((M309-2)*(6-COUNTBLANK(GT309:GY309)))+GJ309)</f>
        <v>#N/A</v>
      </c>
      <c r="BZ309" s="426" t="e">
        <f t="shared" ca="1" si="949"/>
        <v>#N/A</v>
      </c>
      <c r="CA309" s="424" t="e">
        <f t="shared" ca="1" si="950"/>
        <v>#N/A</v>
      </c>
      <c r="CB309" s="429" t="e">
        <f ca="1">INDEX(INDIRECT(VLOOKUP(LEFT(BO309,7),CLU!$Z$3:$AH$18,2)),GN309,GS309)</f>
        <v>#N/A</v>
      </c>
      <c r="CC309" s="342" t="e">
        <f ca="1">INDEX(INDIRECT(VLOOKUP(LEFT(BO309,7),CLU!$Z$3:$AH$18,3)),GN309,GS309)</f>
        <v>#N/A</v>
      </c>
      <c r="CD309" s="342" t="e">
        <f ca="1">INDEX(INDIRECT(VLOOKUP(LEFT(BO309,7),CLU!$Z$3:$AH$18,4)),GN309,GS309)</f>
        <v>#N/A</v>
      </c>
      <c r="CE309" s="426" t="e">
        <f t="shared" ca="1" si="951"/>
        <v>#N/A</v>
      </c>
      <c r="CF309" s="440">
        <f t="shared" si="952"/>
        <v>0</v>
      </c>
      <c r="CG309" s="431" t="e">
        <f ca="1">INDEX(INDIRECT(VLOOKUP(LEFT(BO309,7),CLU!$Z$3:$AH$18,2)),GQ309,GR309)</f>
        <v>#N/A</v>
      </c>
      <c r="CH309" s="431" t="e">
        <f ca="1">INDEX(INDIRECT(VLOOKUP(LEFT(BO309,7),CLU!$Z$3:$AH$18,3)),GQ309,GR309)</f>
        <v>#N/A</v>
      </c>
      <c r="CI309" s="431" t="e">
        <f ca="1">INDEX(INDIRECT(VLOOKUP(LEFT(BO309,7),CLU!$Z$3:$AH$18,4)),GQ309,GR309)</f>
        <v>#N/A</v>
      </c>
      <c r="CJ309" s="448" t="e">
        <f t="shared" ca="1" si="953"/>
        <v>#N/A</v>
      </c>
      <c r="CK309" s="431" t="e">
        <f t="shared" ca="1" si="954"/>
        <v>#N/A</v>
      </c>
      <c r="CL309" s="440" t="e">
        <f t="shared" ca="1" si="955"/>
        <v>#N/A</v>
      </c>
      <c r="CM309" s="431" t="e">
        <f ca="1">INDEX(INDIRECT(VLOOKUP(LEFT(BO309,7),CLU!$Z$3:$AH$18,2)),GQ309,GS309)</f>
        <v>#N/A</v>
      </c>
      <c r="CN309" s="431" t="e">
        <f ca="1">INDEX(INDIRECT(VLOOKUP(LEFT(BO309,7),CLU!$Z$3:$AH$18,3)),GQ309,GS309)</f>
        <v>#N/A</v>
      </c>
      <c r="CO309" s="431" t="e">
        <f ca="1">INDEX(INDIRECT(VLOOKUP(LEFT(BO309,7),CLU!$Z$3:$AH$18,4)),GQ309,GS309)</f>
        <v>#N/A</v>
      </c>
      <c r="CP309" s="431" t="e">
        <f t="shared" ca="1" si="956"/>
        <v>#N/A</v>
      </c>
      <c r="CQ309" s="440">
        <f t="shared" si="957"/>
        <v>0</v>
      </c>
      <c r="CR309" s="51" t="e">
        <f t="shared" ca="1" si="958"/>
        <v>#N/A</v>
      </c>
      <c r="CS309" s="439" t="e">
        <f t="shared" ca="1" si="959"/>
        <v>#VALUE!</v>
      </c>
      <c r="CT309" s="51" t="e">
        <f t="shared" ca="1" si="960"/>
        <v>#VALUE!</v>
      </c>
      <c r="CU309" s="10"/>
      <c r="CV309" s="51" t="e">
        <f t="shared" ca="1" si="857"/>
        <v>#VALUE!</v>
      </c>
      <c r="CW309" s="51">
        <f t="shared" si="961"/>
        <v>0</v>
      </c>
      <c r="CX309" s="439" t="e">
        <f t="shared" ca="1" si="962"/>
        <v>#VALUE!</v>
      </c>
      <c r="CY309" s="51" t="e">
        <f t="shared" ca="1" si="963"/>
        <v>#VALUE!</v>
      </c>
      <c r="CZ309" s="10"/>
      <c r="DA309" s="51" t="e">
        <f t="shared" ca="1" si="964"/>
        <v>#VALUE!</v>
      </c>
      <c r="DB309" s="347" t="e">
        <f ca="1">INDEX(INDIRECT(VLOOKUP(LEFT(BO309,7),CLU!$Z$3:$AI$18,10)),((M309-2)*(6-COUNTBLANK(GT309:GY309)))+GJ309)*LI309</f>
        <v>#N/A</v>
      </c>
      <c r="DC309" s="347" t="str">
        <f>IF(L309&gt;0,((R309/Worksheet!$I$15)/DB309)^2," ")</f>
        <v xml:space="preserve"> </v>
      </c>
      <c r="DD309" s="602" t="str">
        <f t="shared" si="965"/>
        <v xml:space="preserve"> </v>
      </c>
      <c r="DE309" s="347" t="str">
        <f t="shared" si="858"/>
        <v xml:space="preserve"> </v>
      </c>
      <c r="DF309" s="356" t="e">
        <f ca="1">INDEX(INDIRECT(VLOOKUP(LEFT(BO309,7),CLU!$Z$3:$AH$18,8)),((M309-2)*(6-COUNTBLANK(GT309:GY309)))+GJ309)</f>
        <v>#N/A</v>
      </c>
      <c r="DG309" s="347" t="str">
        <f t="shared" si="859"/>
        <v xml:space="preserve"> </v>
      </c>
      <c r="DH309" s="357" t="str">
        <f t="shared" si="860"/>
        <v xml:space="preserve"> </v>
      </c>
      <c r="DI309" s="355" t="str">
        <f t="shared" si="861"/>
        <v xml:space="preserve"> </v>
      </c>
      <c r="DJ309" s="245" t="e">
        <f ca="1">INDEX(INDIRECT(VLOOKUP(LEFT(BO309,7),CLU!$Z$3:$AH$18,5)),GL309,GK309)</f>
        <v>#N/A</v>
      </c>
      <c r="DK309" s="245" t="e">
        <f ca="1">INDEX(INDIRECT(VLOOKUP(LEFT(BO309,7),CLU!$Z$3:$AH$18,6)),GL309,GK309)</f>
        <v>#N/A</v>
      </c>
      <c r="DL309" s="355">
        <f>(Calculation!R309*0.69143*(Calculation!$BQ$8-Calculation!$F$8))*$S$14</f>
        <v>0</v>
      </c>
      <c r="DM309" s="359" t="e">
        <f t="shared" si="966"/>
        <v>#VALUE!</v>
      </c>
      <c r="DN309" s="611">
        <f t="shared" si="967"/>
        <v>0</v>
      </c>
      <c r="DO309" s="359">
        <f t="shared" si="968"/>
        <v>100</v>
      </c>
      <c r="DP309" s="359">
        <f t="shared" si="969"/>
        <v>0</v>
      </c>
      <c r="DQ309" s="360"/>
      <c r="DR309" s="245" t="e">
        <f ca="1">INDEX(INDIRECT(VLOOKUP(LEFT(BO309,7),CLU!$Z$3:$AH$18,7)),M309-1,1)</f>
        <v>#N/A</v>
      </c>
      <c r="DS309" s="245" t="e">
        <f ca="1">INDEX(INDIRECT(VLOOKUP(LEFT(BO309,7),CLU!$Z$3:$AH$18,7)),M309-1,2)</f>
        <v>#N/A</v>
      </c>
      <c r="DT309" s="245" t="e">
        <f ca="1">INDEX(INDIRECT(VLOOKUP(LEFT(BO309,7),CLU!$Z$3:$AH$18,7)),M309-1,3)</f>
        <v>#N/A</v>
      </c>
      <c r="DU309" s="245" t="e">
        <f ca="1">INDEX(INDIRECT(VLOOKUP(LEFT(BO309,7),CLU!$Z$3:$AH$18,7)),M309-1,4)</f>
        <v>#N/A</v>
      </c>
      <c r="DV309" s="361" t="e">
        <f ca="1">INDEX(INDIRECT(VLOOKUP(LEFT(BO309,7),CLU!$Z$3:$AH$18,7)),M309-1,4+LEFT(DZ309,1)*0.5)</f>
        <v>#N/A</v>
      </c>
      <c r="DW309" s="245" t="e">
        <f ca="1">INDEX(INDIRECT(VLOOKUP(LEFT(BO309,7),CLU!$Z$3:$AH$18,7)),M309-1,8)</f>
        <v>#N/A</v>
      </c>
      <c r="DX309" s="361" t="str">
        <f t="shared" si="862"/>
        <v xml:space="preserve"> </v>
      </c>
      <c r="DY309" s="361" t="str">
        <f t="shared" si="863"/>
        <v xml:space="preserve"> </v>
      </c>
      <c r="DZ309" s="361" t="str">
        <f t="shared" si="864"/>
        <v xml:space="preserve"> </v>
      </c>
      <c r="EA309" s="362" t="str">
        <f t="shared" si="865"/>
        <v xml:space="preserve"> </v>
      </c>
      <c r="EB309" s="624" t="str">
        <f t="shared" si="970"/>
        <v xml:space="preserve"> </v>
      </c>
      <c r="EC309" s="361" t="e">
        <f ca="1">INDEX(INDIRECT(VLOOKUP(LEFT(BO309,7),CLU!$Z$3:$AH$18,7)),M309-1,4+LEFT(DZ309,1)*0.5)</f>
        <v>#N/A</v>
      </c>
      <c r="ED309" s="362" t="str">
        <f t="shared" si="866"/>
        <v xml:space="preserve"> </v>
      </c>
      <c r="EE309" s="361" t="str">
        <f t="shared" si="867"/>
        <v xml:space="preserve"> </v>
      </c>
      <c r="EF309" s="362" t="str">
        <f>IF(L309&gt;0,IF(BR309&gt;0,IF(EE309="2P",IF(Calculation!DZ309="2P",IF(Calculation!DS309=13.75,IF(Calculation!DR309=13,Worksheet!$BD$43,IF(Calculation!DR309=37,Worksheet!$BD$44,Worksheet!$BD$45)),IF(Calculation!DS309=10,IF(Calculation!DR309=18,Worksheet!$BD$29,IF(Calculation!DR309=30,Worksheet!$BD$30,IF(Calculation!DR309=42,Worksheet!$BD$31,IF(Calculation!DR309=54,Worksheet!$BD$32,IF(Calculation!DR309=66,Worksheet!$BD$33,IF(Calculation!DR309=78,Worksheet!$BD$34,IF(Calculation!DR309=90,Worksheet!$BD$35,IF(Calculation!DR309=102,Worksheet!$BD$36,Worksheet!$BD$37)))))))),IF(Calculation!DS309=12.5,IF(Calculation!DR309=18,Worksheet!$BD$38,IF(Calculation!DR309=Worksheet!$BD$39,IF(Calculation!DR309=42,Worksheet!$BD$40,IF(Calculation!DR309=54,Worksheet!$BD$41,Worksheet!$BD$42)))),IF(Calculation!DR309=18,Worksheet!$BD$11,IF(Calculation!DR309=30,Worksheet!$BD$12,IF(Calculation!DR309=42,Worksheet!$BD$13,IF(Calculation!DR309=54,Worksheet!$BD$14,IF(Calculation!DR309=66,Worksheet!$BD$15,IF(Calculation!DR309=78,Worksheet!$BD$16,IF(Calculation!DR309=90,Worksheet!$BD$17,IF(Calculation!DR309=102,Worksheet!$BD$18,Worksheet!$BD$19))))))))))),IF(Calculation!DS309=13.75,IF(Calculation!DR309=13,Worksheet!$BD$78,IF(Calculation!DR309=37,Worksheet!$BD$79,Worksheet!$BD$80)),IF(Calculation!DS309=10,IF(Calculation!DR309=18,Worksheet!$BD$64,IF(Calculation!DR309=30,Worksheet!$BD$65,IF(Calculation!DR309=42,Worksheet!$BD$66,IF(Calculation!DR309=54,Worksheet!$BD$68,IF(Calculation!DR309=66,Worksheet!$BD$68,IF(Calculation!DR309=78,Worksheet!$BD$69,IF(Calculation!DR309=90,Worksheet!$BD$70,IF(Calculation!DR309=102,Worksheet!$BD$71,Worksheet!$BD$72)))))))),IF(Calculation!DS309=12.5,IF(Calculation!DR309=18,Worksheet!$BD$73,IF(Calculation!DR309=Worksheet!$BD$74,IF(Calculation!DR309=42,Worksheet!$BD$75,IF(Calculation!DR309=54,Worksheet!$BD$76,Worksheet!$BD$77)))),IF(Calculation!DR309=18,Worksheet!$BD$55,IF(Calculation!DR309=30,Worksheet!$BD$56,IF(Calculation!DR309=42,Worksheet!$BD$57,IF(Calculation!DR309=54,Worksheet!$BD$58,IF(Calculation!DR309=66,Worksheet!$BD$59,IF(Calculation!DR309=78,Worksheet!$BD$60,IF(Calculation!DR309=90,Worksheet!$BD$61,IF(Calculation!DR309=102,Worksheet!$BD$62,Worksheet!$BD$63)))))))))))),5),0)," ")</f>
        <v xml:space="preserve"> </v>
      </c>
      <c r="EG309" s="361" t="str">
        <f t="shared" si="868"/>
        <v xml:space="preserve"> </v>
      </c>
      <c r="EH309" s="361" t="e">
        <f ca="1">INDEX(INDIRECT(VLOOKUP(LEFT(BO309,7),CLU!$Z$3:$AH$18,7)),M309-1,3+LEFT(DZ309,1))</f>
        <v>#N/A</v>
      </c>
      <c r="EI309" s="362" t="str">
        <f t="shared" si="869"/>
        <v xml:space="preserve"> </v>
      </c>
      <c r="EJ309" s="363" t="str">
        <f t="shared" si="870"/>
        <v xml:space="preserve"> </v>
      </c>
      <c r="EK309" s="363" t="str">
        <f t="shared" si="871"/>
        <v xml:space="preserve"> </v>
      </c>
      <c r="EL309" s="363" t="str">
        <f t="shared" si="872"/>
        <v xml:space="preserve"> </v>
      </c>
      <c r="EM309" s="362" t="str">
        <f>IF(L309&gt;0,IF(BR309&gt;0,(Calculation!T309/ED309)^2,0)," ")</f>
        <v xml:space="preserve"> </v>
      </c>
      <c r="EN309" s="362" t="str">
        <f>IF(L309&gt;0,IF(O309="2 Pipe (Cooling)","N/A",IF(BR309&gt;0,(Calculation!U309/EI309)^2,0))," ")</f>
        <v xml:space="preserve"> </v>
      </c>
      <c r="EO309" s="361" t="str">
        <f t="shared" si="873"/>
        <v/>
      </c>
      <c r="EP309" s="361" t="str">
        <f t="shared" si="874"/>
        <v/>
      </c>
      <c r="EQ309" s="361" t="str">
        <f t="shared" si="875"/>
        <v/>
      </c>
      <c r="ER309" s="361" t="str">
        <f t="shared" si="876"/>
        <v/>
      </c>
      <c r="ES309" s="361" t="str">
        <f t="shared" si="877"/>
        <v/>
      </c>
      <c r="ET309" s="361" t="str">
        <f t="shared" si="878"/>
        <v/>
      </c>
      <c r="EU309" s="361" t="str">
        <f t="shared" si="879"/>
        <v/>
      </c>
      <c r="EV309" s="361" t="str">
        <f t="shared" si="880"/>
        <v/>
      </c>
      <c r="EW309" s="361" t="str">
        <f t="shared" si="881"/>
        <v/>
      </c>
      <c r="EX309" s="361" t="str">
        <f t="shared" si="971"/>
        <v>1 slot, 1 way</v>
      </c>
      <c r="EY309" s="361" t="str">
        <f t="shared" si="972"/>
        <v xml:space="preserve"> </v>
      </c>
      <c r="EZ309" s="361" t="str">
        <f t="shared" si="973"/>
        <v xml:space="preserve"> </v>
      </c>
      <c r="FA309" s="361" t="str">
        <f t="shared" si="974"/>
        <v xml:space="preserve"> </v>
      </c>
      <c r="FB309" s="361" t="str">
        <f t="shared" si="975"/>
        <v xml:space="preserve"> </v>
      </c>
      <c r="FC309" s="361"/>
      <c r="FD309" s="361" t="str">
        <f>IF(J309&gt;0,IF(Calculation!R309&lt;=70,4,IF(Calculation!R309&lt;=110,5,IF(Calculation!R309&lt;=160,6,IF(Calculation!R309&lt;=300,8,"10 EO")))),"")</f>
        <v/>
      </c>
      <c r="FE309" s="361" t="str">
        <f t="shared" si="976"/>
        <v/>
      </c>
      <c r="FF309" s="361" t="str">
        <f t="shared" si="977"/>
        <v/>
      </c>
      <c r="FG309" s="361" t="e">
        <f t="shared" si="882"/>
        <v>#N/A</v>
      </c>
      <c r="FH309" s="361">
        <f t="shared" si="883"/>
        <v>0</v>
      </c>
      <c r="FI309" s="361" t="e">
        <f t="shared" si="884"/>
        <v>#DIV/0!</v>
      </c>
      <c r="FJ309" s="361"/>
      <c r="FK309" s="356" t="e">
        <f t="shared" si="885"/>
        <v>#VALUE!</v>
      </c>
      <c r="FL309" s="361"/>
      <c r="FM309" s="361"/>
      <c r="FN309" s="362" t="str">
        <f t="shared" si="978"/>
        <v xml:space="preserve"> </v>
      </c>
      <c r="FO309" s="362" t="str">
        <f t="shared" si="979"/>
        <v xml:space="preserve"> </v>
      </c>
      <c r="FP309" s="362">
        <f t="shared" si="980"/>
        <v>0</v>
      </c>
      <c r="FQ309" s="361">
        <f t="shared" si="886"/>
        <v>0</v>
      </c>
      <c r="FR309" s="362" t="str">
        <f>IF(L309&gt;0,IF(J309="CBAL2",Worksheet!$P$67,IF(J309="CBE2-24",Worksheet!$Q$67,IF(J309="CBAM",Worksheet!$R$67,IF(J309="CBLV",Worksheet!$S$67,IF(J309="CBAB",Worksheet!$U$67,IF(J309="CBAW",Worksheet!$X$67,IF(J309="CBE2-12",Worksheet!$Y$67,IF(J309="CBAL2",Worksheet!$Z$67,"N/A"))))))))," ")</f>
        <v xml:space="preserve"> </v>
      </c>
      <c r="FS309" s="362" t="str">
        <f>IF(L309&gt;0,IF(J309="CBAL2",Worksheet!$P$68,IF(J309="CBE2-24",Worksheet!$Q$68,IF(J309="CBAM",Worksheet!$R$68,IF(J309="CBLV",Worksheet!$S$68,IF(J309="CBAB",Worksheet!$U$68,IF(J309="CBAW",Worksheet!$X$68,IF(J309="CBE2-12",Worksheet!$Y$68,IF(J309="CBAL2",Worksheet!$Z$68,"N/A"))))))))," ")</f>
        <v xml:space="preserve"> </v>
      </c>
      <c r="FT309" s="362" t="str">
        <f>IF(L309&gt;0,IF(J309="CBAL2",Worksheet!$P$69,IF(J309="CBE2-24",Worksheet!$Q$69,IF(J309="CBAM",Worksheet!$R$69,IF(J309="CBLV",Worksheet!$S$69,IF(J309="CBAB",Worksheet!$U$69,IF(J309="CBAW",Worksheet!$X$69,IF(J309="CBE2-12",Worksheet!$Y$69,IF(J309="CBAL2",Worksheet!$Z$69,"N/A"))))))))," ")</f>
        <v xml:space="preserve"> </v>
      </c>
      <c r="FU309" s="361" t="str">
        <f t="shared" si="981"/>
        <v xml:space="preserve"> </v>
      </c>
      <c r="FV309" s="362" t="str">
        <f t="shared" si="982"/>
        <v xml:space="preserve"> </v>
      </c>
      <c r="FW309" s="362" t="str">
        <f t="shared" si="983"/>
        <v xml:space="preserve"> </v>
      </c>
      <c r="FX309" s="362" t="str">
        <f t="shared" si="984"/>
        <v xml:space="preserve"> </v>
      </c>
      <c r="FY309" s="355" t="str">
        <f t="shared" si="985"/>
        <v xml:space="preserve"> </v>
      </c>
      <c r="FZ309" s="361" t="str">
        <f t="shared" si="986"/>
        <v xml:space="preserve"> </v>
      </c>
      <c r="GA309" s="347" t="str">
        <f t="shared" si="987"/>
        <v xml:space="preserve"> </v>
      </c>
      <c r="GB309" s="355" t="str">
        <f t="shared" si="988"/>
        <v xml:space="preserve"> </v>
      </c>
      <c r="GC309" s="328" t="str">
        <f t="shared" si="989"/>
        <v xml:space="preserve"> </v>
      </c>
      <c r="GD309" s="361" t="str">
        <f t="shared" si="990"/>
        <v xml:space="preserve"> </v>
      </c>
      <c r="GE309" s="347" t="str">
        <f t="shared" si="991"/>
        <v xml:space="preserve"> </v>
      </c>
      <c r="GF309" s="361" t="str">
        <f t="shared" si="992"/>
        <v xml:space="preserve"> </v>
      </c>
      <c r="GG309" s="347" t="str">
        <f t="shared" si="993"/>
        <v xml:space="preserve"> </v>
      </c>
      <c r="GH309" s="364">
        <f t="shared" si="887"/>
        <v>0</v>
      </c>
      <c r="GI309" s="362">
        <f t="shared" si="994"/>
        <v>2</v>
      </c>
      <c r="GJ309" s="433" t="e">
        <f>IF(6-COUNTBLANK(GT309:GY309)=4,MATCH(MID(BO309,9,3),CLU!$H$16:$K$16),MATCH(MID(BO309,9,3),CLU!$H$13:$M$13))</f>
        <v>#N/A</v>
      </c>
      <c r="GK309" s="433" t="e">
        <f>HLOOKUP(VALUE(BP309),CLU!$H$9:$M$10,2)</f>
        <v>#VALUE!</v>
      </c>
      <c r="GL309" s="433" t="e">
        <f ca="1">MATCH(BU309,CLU!$H$2:$V$2,1)</f>
        <v>#VALUE!</v>
      </c>
      <c r="GM309" s="433" t="e">
        <f t="shared" ca="1" si="995"/>
        <v>#VALUE!</v>
      </c>
      <c r="GN309" s="433" t="e">
        <f t="shared" ca="1" si="996"/>
        <v>#VALUE!</v>
      </c>
      <c r="GO309" s="433" t="e">
        <f t="shared" ca="1" si="997"/>
        <v>#VALUE!</v>
      </c>
      <c r="GP309" s="433" t="e">
        <f t="shared" ca="1" si="998"/>
        <v>#VALUE!</v>
      </c>
      <c r="GQ309" s="433" t="e">
        <f t="shared" ca="1" si="999"/>
        <v>#VALUE!</v>
      </c>
      <c r="GR309" s="433" t="e">
        <f ca="1">MATCH(T309,INDIRECT(VLOOKUP(CONCATENATE(LEFT(BO309,7),"-",MID(BO309,13,1)),CLU!$P$3:$Q$16,2)),1)</f>
        <v>#N/A</v>
      </c>
      <c r="GS309" s="433" t="e">
        <f ca="1">MATCH(U309,INDIRECT(VLOOKUP(CONCATENATE(LEFT(BO309,7),"-",MID(BO309,13,1)),CLU!$P$3:$Q$16,2)),1)</f>
        <v>#N/A</v>
      </c>
      <c r="GT309" s="347" t="s">
        <v>512</v>
      </c>
      <c r="GU309" s="97" t="s">
        <v>513</v>
      </c>
      <c r="GV309" s="97" t="str">
        <f t="shared" si="1000"/>
        <v>M23</v>
      </c>
      <c r="GW309" s="97" t="str">
        <f t="shared" si="1001"/>
        <v>M31</v>
      </c>
      <c r="GX309" s="97" t="str">
        <f t="shared" si="1002"/>
        <v/>
      </c>
      <c r="GY309" s="97" t="str">
        <f t="shared" si="1003"/>
        <v/>
      </c>
      <c r="GZ309" s="481"/>
      <c r="HA309" s="240"/>
      <c r="HB309" s="240"/>
      <c r="HC309" s="240"/>
      <c r="HD309" s="240"/>
      <c r="HE309" s="240"/>
      <c r="HF309" s="240"/>
      <c r="HG309" s="240"/>
      <c r="HH309" s="240"/>
      <c r="HI309" s="240"/>
      <c r="HJ309" s="240"/>
      <c r="HK309" s="240"/>
      <c r="HL309" s="240"/>
      <c r="HM309" s="240"/>
      <c r="HN309" s="240"/>
      <c r="HO309" s="240"/>
      <c r="HP309" s="240"/>
      <c r="HQ309" s="240"/>
      <c r="HR309" s="240"/>
      <c r="HS309" s="240"/>
      <c r="HT309" s="240"/>
      <c r="HU309" s="240"/>
      <c r="HV309" s="245"/>
      <c r="HW309" s="245" t="b">
        <v>1</v>
      </c>
      <c r="HX309" s="245" t="str">
        <f t="shared" si="888"/>
        <v/>
      </c>
      <c r="HY309" s="245" t="e">
        <f t="shared" si="889"/>
        <v>#DIV/0!</v>
      </c>
      <c r="HZ309" s="245" t="e">
        <f t="shared" si="890"/>
        <v>#DIV/0!</v>
      </c>
      <c r="IA309" s="245">
        <f t="shared" si="891"/>
        <v>0</v>
      </c>
      <c r="IB309" s="245"/>
      <c r="IC309" t="b">
        <f t="shared" si="892"/>
        <v>1</v>
      </c>
      <c r="ID309" s="245" t="b">
        <f t="shared" si="893"/>
        <v>1</v>
      </c>
      <c r="IE309" s="245" t="b">
        <f t="shared" si="894"/>
        <v>1</v>
      </c>
      <c r="IF309" s="245" t="b">
        <f t="shared" si="895"/>
        <v>0</v>
      </c>
      <c r="IG309" s="245" t="b">
        <f t="shared" si="896"/>
        <v>1</v>
      </c>
      <c r="IH309" s="245" t="b">
        <f t="shared" si="897"/>
        <v>1</v>
      </c>
      <c r="II309" s="245">
        <f t="shared" si="1004"/>
        <v>0</v>
      </c>
      <c r="IJ309" s="245" t="e">
        <f t="shared" si="898"/>
        <v>#VALUE!</v>
      </c>
      <c r="IK309" s="245" t="e">
        <f t="shared" si="899"/>
        <v>#VALUE!</v>
      </c>
      <c r="IL309" s="245"/>
      <c r="IM309" s="245" t="e">
        <f t="shared" si="1005"/>
        <v>#N/A</v>
      </c>
      <c r="IN309" s="245" t="e">
        <f t="shared" si="1006"/>
        <v>#N/A</v>
      </c>
      <c r="IO309" s="245"/>
      <c r="IP309" s="245"/>
      <c r="IQ309" s="245" t="str">
        <f t="shared" si="900"/>
        <v/>
      </c>
      <c r="IR309" s="245" t="str">
        <f>IF(J309="","",VLOOKUP(J309,Worksheet!$R$4:$T$14,2))</f>
        <v/>
      </c>
      <c r="IS309" s="245"/>
      <c r="IT309" s="245">
        <f t="shared" si="901"/>
        <v>0</v>
      </c>
      <c r="IU309" s="245">
        <f t="shared" si="902"/>
        <v>0</v>
      </c>
      <c r="IV309" s="245">
        <f t="shared" si="903"/>
        <v>0</v>
      </c>
      <c r="IW309" s="245">
        <f t="shared" si="904"/>
        <v>0</v>
      </c>
      <c r="IX309" s="245">
        <f t="shared" si="1007"/>
        <v>0</v>
      </c>
      <c r="IY309" s="245">
        <f t="shared" si="905"/>
        <v>0</v>
      </c>
      <c r="IZ309" s="245">
        <f t="shared" si="906"/>
        <v>0</v>
      </c>
      <c r="JA309">
        <f t="shared" si="907"/>
        <v>0</v>
      </c>
      <c r="JB309">
        <f t="shared" si="1008"/>
        <v>0</v>
      </c>
      <c r="JC309">
        <f t="shared" si="908"/>
        <v>0</v>
      </c>
      <c r="JD309">
        <f t="shared" si="909"/>
        <v>0</v>
      </c>
      <c r="JE309">
        <f t="shared" si="910"/>
        <v>0</v>
      </c>
      <c r="JF309">
        <f t="shared" si="911"/>
        <v>0</v>
      </c>
      <c r="JG309">
        <f t="shared" si="912"/>
        <v>0</v>
      </c>
      <c r="JH309">
        <f t="shared" si="913"/>
        <v>0</v>
      </c>
      <c r="JI309">
        <f t="shared" si="914"/>
        <v>0</v>
      </c>
      <c r="JJ309" s="447">
        <f t="shared" si="915"/>
        <v>0</v>
      </c>
      <c r="JK309" s="447">
        <f t="shared" si="916"/>
        <v>0</v>
      </c>
      <c r="JL309">
        <f t="shared" si="917"/>
        <v>0</v>
      </c>
      <c r="JM309" s="245" t="str">
        <f>IFERROR(VLOOKUP(MATCH(BN309,#REF!,0),#REF!,7),"")</f>
        <v/>
      </c>
      <c r="JN309" t="e">
        <f>HLOOKUP(LEFT(BO309,7),Discharge_Area,MATCH(JO309,LookUps!$B$130:$B$149,1)+2)</f>
        <v>#N/A</v>
      </c>
      <c r="JO309" t="str">
        <f t="shared" si="918"/>
        <v>- S</v>
      </c>
      <c r="JP309" t="e">
        <f>HLOOKUP(LEFT(BO309,7),Discharge_Area,MATCH(JO309,LookUps!$B$130:$B$149,1)+2)</f>
        <v>#N/A</v>
      </c>
      <c r="JQ309" t="e">
        <f t="shared" si="919"/>
        <v>#N/A</v>
      </c>
      <c r="JR309" t="e">
        <f t="shared" si="920"/>
        <v>#N/A</v>
      </c>
      <c r="JS309" t="e">
        <f t="shared" si="921"/>
        <v>#N/A</v>
      </c>
      <c r="JT309" s="532" t="str">
        <f t="shared" si="922"/>
        <v xml:space="preserve"> </v>
      </c>
      <c r="JU309" s="532" t="str">
        <f t="shared" si="923"/>
        <v xml:space="preserve"> </v>
      </c>
      <c r="JV309" s="533" t="str">
        <f t="shared" si="924"/>
        <v xml:space="preserve"> </v>
      </c>
      <c r="JW309" s="534">
        <f t="shared" si="925"/>
        <v>0</v>
      </c>
      <c r="JX309" s="535" t="str">
        <f t="shared" si="1009"/>
        <v xml:space="preserve"> </v>
      </c>
      <c r="JY309" s="535" t="str">
        <f t="shared" si="1010"/>
        <v xml:space="preserve"> </v>
      </c>
      <c r="JZ309" s="535" t="str">
        <f t="shared" si="1011"/>
        <v xml:space="preserve"> </v>
      </c>
      <c r="KA309" s="536" t="str">
        <f t="shared" si="926"/>
        <v xml:space="preserve"> </v>
      </c>
      <c r="KB309" s="535" t="e">
        <f t="shared" si="1012"/>
        <v>#VALUE!</v>
      </c>
      <c r="KC309" s="535" t="str">
        <f t="shared" si="927"/>
        <v/>
      </c>
      <c r="KD309" s="537" t="str">
        <f t="shared" si="1013"/>
        <v xml:space="preserve"> </v>
      </c>
      <c r="KE309" s="537" t="str">
        <f t="shared" si="1014"/>
        <v xml:space="preserve"> </v>
      </c>
      <c r="KF309" s="534">
        <f t="shared" si="928"/>
        <v>0</v>
      </c>
      <c r="KG309" s="535" t="str">
        <f t="shared" si="929"/>
        <v xml:space="preserve"> </v>
      </c>
      <c r="KH309" s="535" t="str">
        <f t="shared" si="930"/>
        <v xml:space="preserve"> </v>
      </c>
      <c r="KI309" s="535" t="str">
        <f t="shared" si="931"/>
        <v xml:space="preserve"> </v>
      </c>
      <c r="KJ309" s="536" t="str">
        <f t="shared" si="932"/>
        <v xml:space="preserve"> </v>
      </c>
      <c r="KK309" s="535" t="str">
        <f t="shared" si="1015"/>
        <v xml:space="preserve"> </v>
      </c>
      <c r="KL309" s="535" t="str">
        <f t="shared" si="1016"/>
        <v xml:space="preserve"> </v>
      </c>
      <c r="KM309" s="537" t="str">
        <f t="shared" si="933"/>
        <v xml:space="preserve"> </v>
      </c>
      <c r="KN309" s="537" t="str">
        <f t="shared" si="1017"/>
        <v xml:space="preserve"> </v>
      </c>
      <c r="KP309">
        <f t="shared" si="934"/>
        <v>0</v>
      </c>
      <c r="LA309" t="e">
        <f t="shared" si="935"/>
        <v>#VALUE!</v>
      </c>
      <c r="LB309" t="e">
        <f t="shared" si="936"/>
        <v>#VALUE!</v>
      </c>
      <c r="LC309" t="e">
        <f t="shared" si="937"/>
        <v>#VALUE!</v>
      </c>
      <c r="LD309" t="e">
        <f t="shared" si="938"/>
        <v>#VALUE!</v>
      </c>
      <c r="LE309" t="e">
        <f t="shared" si="1018"/>
        <v>#VALUE!</v>
      </c>
      <c r="LF309">
        <f t="shared" si="939"/>
        <v>0</v>
      </c>
      <c r="LG309" t="e">
        <f t="shared" si="1019"/>
        <v>#VALUE!</v>
      </c>
      <c r="LH309" t="str">
        <f t="shared" si="940"/>
        <v xml:space="preserve"> </v>
      </c>
      <c r="LI309">
        <f t="shared" si="1020"/>
        <v>1</v>
      </c>
    </row>
    <row r="310" spans="2:321" ht="15" customHeight="1">
      <c r="B310" s="311"/>
      <c r="C310" s="311"/>
      <c r="D310" s="312"/>
      <c r="E310" s="311"/>
      <c r="F310" s="312"/>
      <c r="G310" s="311"/>
      <c r="H310" s="311"/>
      <c r="I310" s="232"/>
      <c r="J310" s="311"/>
      <c r="K310" s="305" t="str">
        <f t="shared" si="941"/>
        <v/>
      </c>
      <c r="L310" s="313"/>
      <c r="M310" s="312"/>
      <c r="N310" s="311"/>
      <c r="O310" s="312"/>
      <c r="P310" s="311"/>
      <c r="Q310" s="305" t="str">
        <f t="shared" si="942"/>
        <v/>
      </c>
      <c r="R310" s="314"/>
      <c r="S310" s="450" t="str">
        <f t="shared" si="825"/>
        <v/>
      </c>
      <c r="T310" s="315"/>
      <c r="U310" s="315"/>
      <c r="W310" s="149" t="str">
        <f t="shared" si="826"/>
        <v xml:space="preserve"> </v>
      </c>
      <c r="X310" s="243" t="str">
        <f t="shared" si="827"/>
        <v xml:space="preserve"> </v>
      </c>
      <c r="Y310" s="150" t="str">
        <f t="shared" si="828"/>
        <v/>
      </c>
      <c r="Z310" s="149" t="str">
        <f t="shared" si="829"/>
        <v xml:space="preserve"> </v>
      </c>
      <c r="AA310" s="98" t="str">
        <f t="shared" si="830"/>
        <v xml:space="preserve"> </v>
      </c>
      <c r="AB310" s="153" t="str">
        <f t="shared" si="831"/>
        <v xml:space="preserve"> </v>
      </c>
      <c r="AC310" s="153" t="str">
        <f t="shared" si="832"/>
        <v xml:space="preserve"> </v>
      </c>
      <c r="AD310" s="148" t="str">
        <f t="shared" si="833"/>
        <v/>
      </c>
      <c r="AE310" s="149" t="str">
        <f t="shared" si="834"/>
        <v/>
      </c>
      <c r="AF310" s="151" t="str">
        <f t="shared" si="835"/>
        <v xml:space="preserve"> </v>
      </c>
      <c r="AG310" s="153" t="str">
        <f t="shared" si="836"/>
        <v xml:space="preserve"> </v>
      </c>
      <c r="AH310" s="98" t="str">
        <f t="shared" si="837"/>
        <v xml:space="preserve"> </v>
      </c>
      <c r="AI310" s="149" t="str">
        <f t="shared" si="838"/>
        <v xml:space="preserve"> </v>
      </c>
      <c r="AK310" s="144" t="str">
        <f t="shared" si="839"/>
        <v xml:space="preserve"> </v>
      </c>
      <c r="AL310" s="144"/>
      <c r="AM310" s="243" t="str">
        <f t="shared" si="840"/>
        <v xml:space="preserve"> </v>
      </c>
      <c r="AN310" s="149" t="str">
        <f t="shared" si="943"/>
        <v xml:space="preserve"> </v>
      </c>
      <c r="AO310" s="144" t="str">
        <f>IF(JB310&gt;0,IF(GI310=10,-R310*1.085*(Calculation!$F$6-Calculation!$F$13)*$S$14," "),"")</f>
        <v/>
      </c>
      <c r="AP310" s="144" t="str">
        <f t="shared" si="841"/>
        <v/>
      </c>
      <c r="AQ310" s="56" t="str">
        <f t="shared" si="842"/>
        <v/>
      </c>
      <c r="AR310" s="144" t="str">
        <f t="shared" si="843"/>
        <v/>
      </c>
      <c r="AS310" s="176" t="str">
        <f t="shared" si="844"/>
        <v/>
      </c>
      <c r="AT310" s="176" t="str">
        <f t="shared" si="944"/>
        <v xml:space="preserve"> </v>
      </c>
      <c r="AU310" s="176" t="str">
        <f t="shared" si="845"/>
        <v/>
      </c>
      <c r="AV310" s="177" t="str">
        <f t="shared" si="846"/>
        <v xml:space="preserve"> </v>
      </c>
      <c r="AW310" s="144" t="str">
        <f t="shared" si="847"/>
        <v xml:space="preserve"> </v>
      </c>
      <c r="AX310" s="144" t="str">
        <f t="shared" si="848"/>
        <v xml:space="preserve"> </v>
      </c>
      <c r="AY310" s="152" t="str">
        <f t="shared" si="849"/>
        <v xml:space="preserve"> </v>
      </c>
      <c r="AZ310" s="246" t="str">
        <f t="shared" si="850"/>
        <v/>
      </c>
      <c r="BA310" s="176" t="str">
        <f t="shared" si="851"/>
        <v xml:space="preserve"> </v>
      </c>
      <c r="BB310" s="176" t="str">
        <f t="shared" si="852"/>
        <v xml:space="preserve"> </v>
      </c>
      <c r="BC310" s="195"/>
      <c r="BD310" s="316"/>
      <c r="BE310" s="317"/>
      <c r="BF310" s="318"/>
      <c r="BG310" s="318"/>
      <c r="BH310" s="144" t="str">
        <f t="shared" si="1021"/>
        <v xml:space="preserve"> </v>
      </c>
      <c r="BI310" s="176" t="str">
        <f t="shared" si="853"/>
        <v/>
      </c>
      <c r="BJ310" s="144" t="str">
        <f t="shared" si="1022"/>
        <v/>
      </c>
      <c r="BK310" s="246" t="str">
        <f t="shared" si="854"/>
        <v/>
      </c>
      <c r="BL310" s="144" t="str">
        <f t="shared" si="1023"/>
        <v/>
      </c>
      <c r="BM310" s="246" t="str">
        <f t="shared" si="855"/>
        <v/>
      </c>
      <c r="BN310" s="337" t="str">
        <f t="shared" si="945"/>
        <v/>
      </c>
      <c r="BO310" s="371" t="str">
        <f t="shared" si="946"/>
        <v/>
      </c>
      <c r="BP310" s="328" t="str">
        <f t="shared" si="1024"/>
        <v xml:space="preserve"> </v>
      </c>
      <c r="BQ310" s="347" t="str">
        <f t="shared" si="947"/>
        <v xml:space="preserve"> </v>
      </c>
      <c r="BR310" s="353" t="str">
        <f t="shared" si="948"/>
        <v xml:space="preserve"> </v>
      </c>
      <c r="BS310" s="626" t="str">
        <f>IF(L310&gt;0,IF(Calculation!P310="M13",BR310*3.1416*(0.134^2)/(4*144),IF(Calculation!P310="M17",BR310*3.1416*(0.165^2)/(4*144),IF(Calculation!P310="M20",BR310*3.1416*(0.198^2)/(4*144),IF(Calculation!P310="M23",BR310*3.1416*(0.228^2)/(4*144),IF(Calculation!P310="M27",BR310*3.1416*(0.269^2)/(4*144),BR310*3.1416*(0.307^2)/(4*144))))))," ")</f>
        <v xml:space="preserve"> </v>
      </c>
      <c r="BT310" s="353" t="str">
        <f>IF(L310&gt;0,IF(BS310&gt;0,R310/Calculation!BS310,0)," ")</f>
        <v xml:space="preserve"> </v>
      </c>
      <c r="BU310" s="438" t="e">
        <f t="shared" ca="1" si="856"/>
        <v>#VALUE!</v>
      </c>
      <c r="BV310" s="449" t="e">
        <f ca="1">INDEX(INDIRECT(VLOOKUP(LEFT(BO310,7),CLU!$Z$3:$AH$18,2)),GN310,GR310)</f>
        <v>#N/A</v>
      </c>
      <c r="BW310" s="433" t="e">
        <f ca="1">INDEX(INDIRECT(VLOOKUP(LEFT(BO310,7),CLU!$Z$3:$AH$18,3)),GN310,GR310)</f>
        <v>#N/A</v>
      </c>
      <c r="BX310" s="433" t="e">
        <f ca="1">INDEX(INDIRECT(VLOOKUP(LEFT(BO310,7),CLU!$Z$3:$AH$18,4)),GN310,GR310)</f>
        <v>#N/A</v>
      </c>
      <c r="BY310" s="433" t="e">
        <f ca="1">INDEX(INDIRECT(VLOOKUP(LEFT(BO310,7),CLU!$Z$3:$AH$18,9)),((M310-2)*(6-COUNTBLANK(GT310:GY310)))+GJ310)</f>
        <v>#N/A</v>
      </c>
      <c r="BZ310" s="426" t="e">
        <f t="shared" ca="1" si="949"/>
        <v>#N/A</v>
      </c>
      <c r="CA310" s="424" t="e">
        <f t="shared" ca="1" si="950"/>
        <v>#N/A</v>
      </c>
      <c r="CB310" s="429" t="e">
        <f ca="1">INDEX(INDIRECT(VLOOKUP(LEFT(BO310,7),CLU!$Z$3:$AH$18,2)),GN310,GS310)</f>
        <v>#N/A</v>
      </c>
      <c r="CC310" s="342" t="e">
        <f ca="1">INDEX(INDIRECT(VLOOKUP(LEFT(BO310,7),CLU!$Z$3:$AH$18,3)),GN310,GS310)</f>
        <v>#N/A</v>
      </c>
      <c r="CD310" s="342" t="e">
        <f ca="1">INDEX(INDIRECT(VLOOKUP(LEFT(BO310,7),CLU!$Z$3:$AH$18,4)),GN310,GS310)</f>
        <v>#N/A</v>
      </c>
      <c r="CE310" s="426" t="e">
        <f t="shared" ca="1" si="951"/>
        <v>#N/A</v>
      </c>
      <c r="CF310" s="440">
        <f t="shared" si="952"/>
        <v>0</v>
      </c>
      <c r="CG310" s="431" t="e">
        <f ca="1">INDEX(INDIRECT(VLOOKUP(LEFT(BO310,7),CLU!$Z$3:$AH$18,2)),GQ310,GR310)</f>
        <v>#N/A</v>
      </c>
      <c r="CH310" s="431" t="e">
        <f ca="1">INDEX(INDIRECT(VLOOKUP(LEFT(BO310,7),CLU!$Z$3:$AH$18,3)),GQ310,GR310)</f>
        <v>#N/A</v>
      </c>
      <c r="CI310" s="431" t="e">
        <f ca="1">INDEX(INDIRECT(VLOOKUP(LEFT(BO310,7),CLU!$Z$3:$AH$18,4)),GQ310,GR310)</f>
        <v>#N/A</v>
      </c>
      <c r="CJ310" s="448" t="e">
        <f t="shared" ca="1" si="953"/>
        <v>#N/A</v>
      </c>
      <c r="CK310" s="431" t="e">
        <f t="shared" ca="1" si="954"/>
        <v>#N/A</v>
      </c>
      <c r="CL310" s="440" t="e">
        <f t="shared" ca="1" si="955"/>
        <v>#N/A</v>
      </c>
      <c r="CM310" s="431" t="e">
        <f ca="1">INDEX(INDIRECT(VLOOKUP(LEFT(BO310,7),CLU!$Z$3:$AH$18,2)),GQ310,GS310)</f>
        <v>#N/A</v>
      </c>
      <c r="CN310" s="431" t="e">
        <f ca="1">INDEX(INDIRECT(VLOOKUP(LEFT(BO310,7),CLU!$Z$3:$AH$18,3)),GQ310,GS310)</f>
        <v>#N/A</v>
      </c>
      <c r="CO310" s="431" t="e">
        <f ca="1">INDEX(INDIRECT(VLOOKUP(LEFT(BO310,7),CLU!$Z$3:$AH$18,4)),GQ310,GS310)</f>
        <v>#N/A</v>
      </c>
      <c r="CP310" s="431" t="e">
        <f t="shared" ca="1" si="956"/>
        <v>#N/A</v>
      </c>
      <c r="CQ310" s="440">
        <f t="shared" si="957"/>
        <v>0</v>
      </c>
      <c r="CR310" s="51" t="e">
        <f t="shared" ca="1" si="958"/>
        <v>#N/A</v>
      </c>
      <c r="CS310" s="439" t="e">
        <f t="shared" ca="1" si="959"/>
        <v>#VALUE!</v>
      </c>
      <c r="CT310" s="51" t="e">
        <f t="shared" ca="1" si="960"/>
        <v>#VALUE!</v>
      </c>
      <c r="CU310" s="10"/>
      <c r="CV310" s="51" t="e">
        <f t="shared" ca="1" si="857"/>
        <v>#VALUE!</v>
      </c>
      <c r="CW310" s="51">
        <f t="shared" si="961"/>
        <v>0</v>
      </c>
      <c r="CX310" s="439" t="e">
        <f t="shared" ca="1" si="962"/>
        <v>#VALUE!</v>
      </c>
      <c r="CY310" s="51" t="e">
        <f t="shared" ca="1" si="963"/>
        <v>#VALUE!</v>
      </c>
      <c r="CZ310" s="10"/>
      <c r="DA310" s="51" t="e">
        <f t="shared" ca="1" si="964"/>
        <v>#VALUE!</v>
      </c>
      <c r="DB310" s="347" t="e">
        <f ca="1">INDEX(INDIRECT(VLOOKUP(LEFT(BO310,7),CLU!$Z$3:$AI$18,10)),((M310-2)*(6-COUNTBLANK(GT310:GY310)))+GJ310)*LI310</f>
        <v>#N/A</v>
      </c>
      <c r="DC310" s="347" t="str">
        <f>IF(L310&gt;0,((R310/Worksheet!$I$15)/DB310)^2," ")</f>
        <v xml:space="preserve"> </v>
      </c>
      <c r="DD310" s="602" t="str">
        <f t="shared" si="965"/>
        <v xml:space="preserve"> </v>
      </c>
      <c r="DE310" s="347" t="str">
        <f t="shared" si="858"/>
        <v xml:space="preserve"> </v>
      </c>
      <c r="DF310" s="356" t="e">
        <f ca="1">INDEX(INDIRECT(VLOOKUP(LEFT(BO310,7),CLU!$Z$3:$AH$18,8)),((M310-2)*(6-COUNTBLANK(GT310:GY310)))+GJ310)</f>
        <v>#N/A</v>
      </c>
      <c r="DG310" s="347" t="str">
        <f t="shared" si="859"/>
        <v xml:space="preserve"> </v>
      </c>
      <c r="DH310" s="357" t="str">
        <f t="shared" si="860"/>
        <v xml:space="preserve"> </v>
      </c>
      <c r="DI310" s="355" t="str">
        <f t="shared" si="861"/>
        <v xml:space="preserve"> </v>
      </c>
      <c r="DJ310" s="245" t="e">
        <f ca="1">INDEX(INDIRECT(VLOOKUP(LEFT(BO310,7),CLU!$Z$3:$AH$18,5)),GL310,GK310)</f>
        <v>#N/A</v>
      </c>
      <c r="DK310" s="245" t="e">
        <f ca="1">INDEX(INDIRECT(VLOOKUP(LEFT(BO310,7),CLU!$Z$3:$AH$18,6)),GL310,GK310)</f>
        <v>#N/A</v>
      </c>
      <c r="DL310" s="355">
        <f>(Calculation!R310*0.69143*(Calculation!$BQ$8-Calculation!$F$8))*$S$14</f>
        <v>0</v>
      </c>
      <c r="DM310" s="359" t="e">
        <f t="shared" si="966"/>
        <v>#VALUE!</v>
      </c>
      <c r="DN310" s="611">
        <f t="shared" si="967"/>
        <v>0</v>
      </c>
      <c r="DO310" s="359">
        <f t="shared" si="968"/>
        <v>100</v>
      </c>
      <c r="DP310" s="359">
        <f t="shared" si="969"/>
        <v>0</v>
      </c>
      <c r="DQ310" s="360"/>
      <c r="DR310" s="245" t="e">
        <f ca="1">INDEX(INDIRECT(VLOOKUP(LEFT(BO310,7),CLU!$Z$3:$AH$18,7)),M310-1,1)</f>
        <v>#N/A</v>
      </c>
      <c r="DS310" s="245" t="e">
        <f ca="1">INDEX(INDIRECT(VLOOKUP(LEFT(BO310,7),CLU!$Z$3:$AH$18,7)),M310-1,2)</f>
        <v>#N/A</v>
      </c>
      <c r="DT310" s="245" t="e">
        <f ca="1">INDEX(INDIRECT(VLOOKUP(LEFT(BO310,7),CLU!$Z$3:$AH$18,7)),M310-1,3)</f>
        <v>#N/A</v>
      </c>
      <c r="DU310" s="245" t="e">
        <f ca="1">INDEX(INDIRECT(VLOOKUP(LEFT(BO310,7),CLU!$Z$3:$AH$18,7)),M310-1,4)</f>
        <v>#N/A</v>
      </c>
      <c r="DV310" s="361" t="e">
        <f ca="1">INDEX(INDIRECT(VLOOKUP(LEFT(BO310,7),CLU!$Z$3:$AH$18,7)),M310-1,4+LEFT(DZ310,1)*0.5)</f>
        <v>#N/A</v>
      </c>
      <c r="DW310" s="245" t="e">
        <f ca="1">INDEX(INDIRECT(VLOOKUP(LEFT(BO310,7),CLU!$Z$3:$AH$18,7)),M310-1,8)</f>
        <v>#N/A</v>
      </c>
      <c r="DX310" s="361" t="str">
        <f t="shared" si="862"/>
        <v xml:space="preserve"> </v>
      </c>
      <c r="DY310" s="361" t="str">
        <f t="shared" si="863"/>
        <v xml:space="preserve"> </v>
      </c>
      <c r="DZ310" s="361" t="str">
        <f t="shared" si="864"/>
        <v xml:space="preserve"> </v>
      </c>
      <c r="EA310" s="362" t="str">
        <f t="shared" si="865"/>
        <v xml:space="preserve"> </v>
      </c>
      <c r="EB310" s="624" t="str">
        <f t="shared" si="970"/>
        <v xml:space="preserve"> </v>
      </c>
      <c r="EC310" s="361" t="e">
        <f ca="1">INDEX(INDIRECT(VLOOKUP(LEFT(BO310,7),CLU!$Z$3:$AH$18,7)),M310-1,4+LEFT(DZ310,1)*0.5)</f>
        <v>#N/A</v>
      </c>
      <c r="ED310" s="362" t="str">
        <f t="shared" si="866"/>
        <v xml:space="preserve"> </v>
      </c>
      <c r="EE310" s="361" t="str">
        <f t="shared" si="867"/>
        <v xml:space="preserve"> </v>
      </c>
      <c r="EF310" s="362" t="str">
        <f>IF(L310&gt;0,IF(BR310&gt;0,IF(EE310="2P",IF(Calculation!DZ310="2P",IF(Calculation!DS310=13.75,IF(Calculation!DR310=13,Worksheet!$BD$43,IF(Calculation!DR310=37,Worksheet!$BD$44,Worksheet!$BD$45)),IF(Calculation!DS310=10,IF(Calculation!DR310=18,Worksheet!$BD$29,IF(Calculation!DR310=30,Worksheet!$BD$30,IF(Calculation!DR310=42,Worksheet!$BD$31,IF(Calculation!DR310=54,Worksheet!$BD$32,IF(Calculation!DR310=66,Worksheet!$BD$33,IF(Calculation!DR310=78,Worksheet!$BD$34,IF(Calculation!DR310=90,Worksheet!$BD$35,IF(Calculation!DR310=102,Worksheet!$BD$36,Worksheet!$BD$37)))))))),IF(Calculation!DS310=12.5,IF(Calculation!DR310=18,Worksheet!$BD$38,IF(Calculation!DR310=Worksheet!$BD$39,IF(Calculation!DR310=42,Worksheet!$BD$40,IF(Calculation!DR310=54,Worksheet!$BD$41,Worksheet!$BD$42)))),IF(Calculation!DR310=18,Worksheet!$BD$11,IF(Calculation!DR310=30,Worksheet!$BD$12,IF(Calculation!DR310=42,Worksheet!$BD$13,IF(Calculation!DR310=54,Worksheet!$BD$14,IF(Calculation!DR310=66,Worksheet!$BD$15,IF(Calculation!DR310=78,Worksheet!$BD$16,IF(Calculation!DR310=90,Worksheet!$BD$17,IF(Calculation!DR310=102,Worksheet!$BD$18,Worksheet!$BD$19))))))))))),IF(Calculation!DS310=13.75,IF(Calculation!DR310=13,Worksheet!$BD$78,IF(Calculation!DR310=37,Worksheet!$BD$79,Worksheet!$BD$80)),IF(Calculation!DS310=10,IF(Calculation!DR310=18,Worksheet!$BD$64,IF(Calculation!DR310=30,Worksheet!$BD$65,IF(Calculation!DR310=42,Worksheet!$BD$66,IF(Calculation!DR310=54,Worksheet!$BD$68,IF(Calculation!DR310=66,Worksheet!$BD$68,IF(Calculation!DR310=78,Worksheet!$BD$69,IF(Calculation!DR310=90,Worksheet!$BD$70,IF(Calculation!DR310=102,Worksheet!$BD$71,Worksheet!$BD$72)))))))),IF(Calculation!DS310=12.5,IF(Calculation!DR310=18,Worksheet!$BD$73,IF(Calculation!DR310=Worksheet!$BD$74,IF(Calculation!DR310=42,Worksheet!$BD$75,IF(Calculation!DR310=54,Worksheet!$BD$76,Worksheet!$BD$77)))),IF(Calculation!DR310=18,Worksheet!$BD$55,IF(Calculation!DR310=30,Worksheet!$BD$56,IF(Calculation!DR310=42,Worksheet!$BD$57,IF(Calculation!DR310=54,Worksheet!$BD$58,IF(Calculation!DR310=66,Worksheet!$BD$59,IF(Calculation!DR310=78,Worksheet!$BD$60,IF(Calculation!DR310=90,Worksheet!$BD$61,IF(Calculation!DR310=102,Worksheet!$BD$62,Worksheet!$BD$63)))))))))))),5),0)," ")</f>
        <v xml:space="preserve"> </v>
      </c>
      <c r="EG310" s="361" t="str">
        <f t="shared" si="868"/>
        <v xml:space="preserve"> </v>
      </c>
      <c r="EH310" s="361" t="e">
        <f ca="1">INDEX(INDIRECT(VLOOKUP(LEFT(BO310,7),CLU!$Z$3:$AH$18,7)),M310-1,3+LEFT(DZ310,1))</f>
        <v>#N/A</v>
      </c>
      <c r="EI310" s="362" t="str">
        <f t="shared" si="869"/>
        <v xml:space="preserve"> </v>
      </c>
      <c r="EJ310" s="363" t="str">
        <f t="shared" si="870"/>
        <v xml:space="preserve"> </v>
      </c>
      <c r="EK310" s="363" t="str">
        <f t="shared" si="871"/>
        <v xml:space="preserve"> </v>
      </c>
      <c r="EL310" s="363" t="str">
        <f t="shared" si="872"/>
        <v xml:space="preserve"> </v>
      </c>
      <c r="EM310" s="362" t="str">
        <f>IF(L310&gt;0,IF(BR310&gt;0,(Calculation!T310/ED310)^2,0)," ")</f>
        <v xml:space="preserve"> </v>
      </c>
      <c r="EN310" s="362" t="str">
        <f>IF(L310&gt;0,IF(O310="2 Pipe (Cooling)","N/A",IF(BR310&gt;0,(Calculation!U310/EI310)^2,0))," ")</f>
        <v xml:space="preserve"> </v>
      </c>
      <c r="EO310" s="361" t="str">
        <f t="shared" si="873"/>
        <v/>
      </c>
      <c r="EP310" s="361" t="str">
        <f t="shared" si="874"/>
        <v/>
      </c>
      <c r="EQ310" s="361" t="str">
        <f t="shared" si="875"/>
        <v/>
      </c>
      <c r="ER310" s="361" t="str">
        <f t="shared" si="876"/>
        <v/>
      </c>
      <c r="ES310" s="361" t="str">
        <f t="shared" si="877"/>
        <v/>
      </c>
      <c r="ET310" s="361" t="str">
        <f t="shared" si="878"/>
        <v/>
      </c>
      <c r="EU310" s="361" t="str">
        <f t="shared" si="879"/>
        <v/>
      </c>
      <c r="EV310" s="361" t="str">
        <f t="shared" si="880"/>
        <v/>
      </c>
      <c r="EW310" s="361" t="str">
        <f t="shared" si="881"/>
        <v/>
      </c>
      <c r="EX310" s="361" t="str">
        <f t="shared" si="971"/>
        <v>1 slot, 1 way</v>
      </c>
      <c r="EY310" s="361" t="str">
        <f t="shared" si="972"/>
        <v xml:space="preserve"> </v>
      </c>
      <c r="EZ310" s="361" t="str">
        <f t="shared" si="973"/>
        <v xml:space="preserve"> </v>
      </c>
      <c r="FA310" s="361" t="str">
        <f t="shared" si="974"/>
        <v xml:space="preserve"> </v>
      </c>
      <c r="FB310" s="361" t="str">
        <f t="shared" si="975"/>
        <v xml:space="preserve"> </v>
      </c>
      <c r="FC310" s="361"/>
      <c r="FD310" s="361" t="str">
        <f>IF(J310&gt;0,IF(Calculation!R310&lt;=70,4,IF(Calculation!R310&lt;=110,5,IF(Calculation!R310&lt;=160,6,IF(Calculation!R310&lt;=300,8,"10 EO")))),"")</f>
        <v/>
      </c>
      <c r="FE310" s="361" t="str">
        <f t="shared" si="976"/>
        <v/>
      </c>
      <c r="FF310" s="361" t="str">
        <f t="shared" si="977"/>
        <v/>
      </c>
      <c r="FG310" s="361" t="e">
        <f t="shared" si="882"/>
        <v>#N/A</v>
      </c>
      <c r="FH310" s="361">
        <f t="shared" si="883"/>
        <v>0</v>
      </c>
      <c r="FI310" s="361" t="e">
        <f t="shared" si="884"/>
        <v>#DIV/0!</v>
      </c>
      <c r="FJ310" s="361"/>
      <c r="FK310" s="356" t="e">
        <f t="shared" si="885"/>
        <v>#VALUE!</v>
      </c>
      <c r="FL310" s="361"/>
      <c r="FM310" s="361"/>
      <c r="FN310" s="362" t="str">
        <f t="shared" si="978"/>
        <v xml:space="preserve"> </v>
      </c>
      <c r="FO310" s="362" t="str">
        <f t="shared" si="979"/>
        <v xml:space="preserve"> </v>
      </c>
      <c r="FP310" s="362">
        <f t="shared" si="980"/>
        <v>0</v>
      </c>
      <c r="FQ310" s="361">
        <f t="shared" si="886"/>
        <v>0</v>
      </c>
      <c r="FR310" s="362" t="str">
        <f>IF(L310&gt;0,IF(J310="CBAL2",Worksheet!$P$67,IF(J310="CBE2-24",Worksheet!$Q$67,IF(J310="CBAM",Worksheet!$R$67,IF(J310="CBLV",Worksheet!$S$67,IF(J310="CBAB",Worksheet!$U$67,IF(J310="CBAW",Worksheet!$X$67,IF(J310="CBE2-12",Worksheet!$Y$67,IF(J310="CBAL2",Worksheet!$Z$67,"N/A"))))))))," ")</f>
        <v xml:space="preserve"> </v>
      </c>
      <c r="FS310" s="362" t="str">
        <f>IF(L310&gt;0,IF(J310="CBAL2",Worksheet!$P$68,IF(J310="CBE2-24",Worksheet!$Q$68,IF(J310="CBAM",Worksheet!$R$68,IF(J310="CBLV",Worksheet!$S$68,IF(J310="CBAB",Worksheet!$U$68,IF(J310="CBAW",Worksheet!$X$68,IF(J310="CBE2-12",Worksheet!$Y$68,IF(J310="CBAL2",Worksheet!$Z$68,"N/A"))))))))," ")</f>
        <v xml:space="preserve"> </v>
      </c>
      <c r="FT310" s="362" t="str">
        <f>IF(L310&gt;0,IF(J310="CBAL2",Worksheet!$P$69,IF(J310="CBE2-24",Worksheet!$Q$69,IF(J310="CBAM",Worksheet!$R$69,IF(J310="CBLV",Worksheet!$S$69,IF(J310="CBAB",Worksheet!$U$69,IF(J310="CBAW",Worksheet!$X$69,IF(J310="CBE2-12",Worksheet!$Y$69,IF(J310="CBAL2",Worksheet!$Z$69,"N/A"))))))))," ")</f>
        <v xml:space="preserve"> </v>
      </c>
      <c r="FU310" s="361" t="str">
        <f t="shared" si="981"/>
        <v xml:space="preserve"> </v>
      </c>
      <c r="FV310" s="362" t="str">
        <f t="shared" si="982"/>
        <v xml:space="preserve"> </v>
      </c>
      <c r="FW310" s="362" t="str">
        <f t="shared" si="983"/>
        <v xml:space="preserve"> </v>
      </c>
      <c r="FX310" s="362" t="str">
        <f t="shared" si="984"/>
        <v xml:space="preserve"> </v>
      </c>
      <c r="FY310" s="355" t="str">
        <f t="shared" si="985"/>
        <v xml:space="preserve"> </v>
      </c>
      <c r="FZ310" s="361" t="str">
        <f t="shared" si="986"/>
        <v xml:space="preserve"> </v>
      </c>
      <c r="GA310" s="347" t="str">
        <f t="shared" si="987"/>
        <v xml:space="preserve"> </v>
      </c>
      <c r="GB310" s="355" t="str">
        <f t="shared" si="988"/>
        <v xml:space="preserve"> </v>
      </c>
      <c r="GC310" s="328" t="str">
        <f t="shared" si="989"/>
        <v xml:space="preserve"> </v>
      </c>
      <c r="GD310" s="361" t="str">
        <f t="shared" si="990"/>
        <v xml:space="preserve"> </v>
      </c>
      <c r="GE310" s="347" t="str">
        <f t="shared" si="991"/>
        <v xml:space="preserve"> </v>
      </c>
      <c r="GF310" s="361" t="str">
        <f t="shared" si="992"/>
        <v xml:space="preserve"> </v>
      </c>
      <c r="GG310" s="347" t="str">
        <f t="shared" si="993"/>
        <v xml:space="preserve"> </v>
      </c>
      <c r="GH310" s="364">
        <f t="shared" si="887"/>
        <v>0</v>
      </c>
      <c r="GI310" s="362">
        <f t="shared" si="994"/>
        <v>2</v>
      </c>
      <c r="GJ310" s="433" t="e">
        <f>IF(6-COUNTBLANK(GT310:GY310)=4,MATCH(MID(BO310,9,3),CLU!$H$16:$K$16),MATCH(MID(BO310,9,3),CLU!$H$13:$M$13))</f>
        <v>#N/A</v>
      </c>
      <c r="GK310" s="433" t="e">
        <f>HLOOKUP(VALUE(BP310),CLU!$H$9:$M$10,2)</f>
        <v>#VALUE!</v>
      </c>
      <c r="GL310" s="433" t="e">
        <f ca="1">MATCH(BU310,CLU!$H$2:$V$2,1)</f>
        <v>#VALUE!</v>
      </c>
      <c r="GM310" s="433" t="e">
        <f t="shared" ca="1" si="995"/>
        <v>#VALUE!</v>
      </c>
      <c r="GN310" s="433" t="e">
        <f t="shared" ca="1" si="996"/>
        <v>#VALUE!</v>
      </c>
      <c r="GO310" s="433" t="e">
        <f t="shared" ca="1" si="997"/>
        <v>#VALUE!</v>
      </c>
      <c r="GP310" s="433" t="e">
        <f t="shared" ca="1" si="998"/>
        <v>#VALUE!</v>
      </c>
      <c r="GQ310" s="433" t="e">
        <f t="shared" ca="1" si="999"/>
        <v>#VALUE!</v>
      </c>
      <c r="GR310" s="433" t="e">
        <f ca="1">MATCH(T310,INDIRECT(VLOOKUP(CONCATENATE(LEFT(BO310,7),"-",MID(BO310,13,1)),CLU!$P$3:$Q$16,2)),1)</f>
        <v>#N/A</v>
      </c>
      <c r="GS310" s="433" t="e">
        <f ca="1">MATCH(U310,INDIRECT(VLOOKUP(CONCATENATE(LEFT(BO310,7),"-",MID(BO310,13,1)),CLU!$P$3:$Q$16,2)),1)</f>
        <v>#N/A</v>
      </c>
      <c r="GT310" s="347" t="s">
        <v>512</v>
      </c>
      <c r="GU310" s="97" t="s">
        <v>513</v>
      </c>
      <c r="GV310" s="97" t="str">
        <f t="shared" si="1000"/>
        <v>M23</v>
      </c>
      <c r="GW310" s="97" t="str">
        <f t="shared" si="1001"/>
        <v>M31</v>
      </c>
      <c r="GX310" s="97" t="str">
        <f t="shared" si="1002"/>
        <v/>
      </c>
      <c r="GY310" s="97" t="str">
        <f t="shared" si="1003"/>
        <v/>
      </c>
      <c r="GZ310" s="481"/>
      <c r="HA310" s="240"/>
      <c r="HB310" s="240"/>
      <c r="HC310" s="240"/>
      <c r="HD310" s="240"/>
      <c r="HE310" s="240"/>
      <c r="HF310" s="240"/>
      <c r="HG310" s="240"/>
      <c r="HH310" s="240"/>
      <c r="HI310" s="240"/>
      <c r="HJ310" s="240"/>
      <c r="HK310" s="240"/>
      <c r="HL310" s="240"/>
      <c r="HM310" s="240"/>
      <c r="HN310" s="240"/>
      <c r="HO310" s="240"/>
      <c r="HP310" s="240"/>
      <c r="HQ310" s="240"/>
      <c r="HR310" s="240"/>
      <c r="HS310" s="240"/>
      <c r="HT310" s="240"/>
      <c r="HU310" s="240"/>
      <c r="HV310" s="245"/>
      <c r="HW310" s="245" t="b">
        <v>1</v>
      </c>
      <c r="HX310" s="245" t="str">
        <f t="shared" si="888"/>
        <v/>
      </c>
      <c r="HY310" s="245" t="e">
        <f t="shared" si="889"/>
        <v>#DIV/0!</v>
      </c>
      <c r="HZ310" s="245" t="e">
        <f t="shared" si="890"/>
        <v>#DIV/0!</v>
      </c>
      <c r="IA310" s="245">
        <f t="shared" si="891"/>
        <v>0</v>
      </c>
      <c r="IB310" s="245"/>
      <c r="IC310" t="b">
        <f t="shared" si="892"/>
        <v>1</v>
      </c>
      <c r="ID310" s="245" t="b">
        <f t="shared" si="893"/>
        <v>1</v>
      </c>
      <c r="IE310" s="245" t="b">
        <f t="shared" si="894"/>
        <v>1</v>
      </c>
      <c r="IF310" s="245" t="b">
        <f t="shared" si="895"/>
        <v>0</v>
      </c>
      <c r="IG310" s="245" t="b">
        <f t="shared" si="896"/>
        <v>1</v>
      </c>
      <c r="IH310" s="245" t="b">
        <f t="shared" si="897"/>
        <v>1</v>
      </c>
      <c r="II310" s="245">
        <f t="shared" si="1004"/>
        <v>0</v>
      </c>
      <c r="IJ310" s="245" t="e">
        <f t="shared" si="898"/>
        <v>#VALUE!</v>
      </c>
      <c r="IK310" s="245" t="e">
        <f t="shared" si="899"/>
        <v>#VALUE!</v>
      </c>
      <c r="IL310" s="245"/>
      <c r="IM310" s="245" t="e">
        <f t="shared" si="1005"/>
        <v>#N/A</v>
      </c>
      <c r="IN310" s="245" t="e">
        <f t="shared" si="1006"/>
        <v>#N/A</v>
      </c>
      <c r="IO310" s="245"/>
      <c r="IP310" s="245"/>
      <c r="IQ310" s="245" t="str">
        <f t="shared" si="900"/>
        <v/>
      </c>
      <c r="IR310" s="245" t="str">
        <f>IF(J310="","",VLOOKUP(J310,Worksheet!$R$4:$T$14,2))</f>
        <v/>
      </c>
      <c r="IS310" s="245"/>
      <c r="IT310" s="245">
        <f t="shared" si="901"/>
        <v>0</v>
      </c>
      <c r="IU310" s="245">
        <f t="shared" si="902"/>
        <v>0</v>
      </c>
      <c r="IV310" s="245">
        <f t="shared" si="903"/>
        <v>0</v>
      </c>
      <c r="IW310" s="245">
        <f t="shared" si="904"/>
        <v>0</v>
      </c>
      <c r="IX310" s="245">
        <f t="shared" si="1007"/>
        <v>0</v>
      </c>
      <c r="IY310" s="245">
        <f t="shared" si="905"/>
        <v>0</v>
      </c>
      <c r="IZ310" s="245">
        <f t="shared" si="906"/>
        <v>0</v>
      </c>
      <c r="JA310">
        <f t="shared" si="907"/>
        <v>0</v>
      </c>
      <c r="JB310">
        <f t="shared" si="1008"/>
        <v>0</v>
      </c>
      <c r="JC310">
        <f t="shared" si="908"/>
        <v>0</v>
      </c>
      <c r="JD310">
        <f t="shared" si="909"/>
        <v>0</v>
      </c>
      <c r="JE310">
        <f t="shared" si="910"/>
        <v>0</v>
      </c>
      <c r="JF310">
        <f t="shared" si="911"/>
        <v>0</v>
      </c>
      <c r="JG310">
        <f t="shared" si="912"/>
        <v>0</v>
      </c>
      <c r="JH310">
        <f t="shared" si="913"/>
        <v>0</v>
      </c>
      <c r="JI310">
        <f t="shared" si="914"/>
        <v>0</v>
      </c>
      <c r="JJ310" s="447">
        <f t="shared" si="915"/>
        <v>0</v>
      </c>
      <c r="JK310" s="447">
        <f t="shared" si="916"/>
        <v>0</v>
      </c>
      <c r="JL310">
        <f t="shared" si="917"/>
        <v>0</v>
      </c>
      <c r="JM310" s="245" t="str">
        <f>IFERROR(VLOOKUP(MATCH(BN310,#REF!,0),#REF!,7),"")</f>
        <v/>
      </c>
      <c r="JN310" t="e">
        <f>HLOOKUP(LEFT(BO310,7),Discharge_Area,MATCH(JO310,LookUps!$B$130:$B$149,1)+2)</f>
        <v>#N/A</v>
      </c>
      <c r="JO310" t="str">
        <f t="shared" si="918"/>
        <v>- S</v>
      </c>
      <c r="JP310" t="e">
        <f>HLOOKUP(LEFT(BO310,7),Discharge_Area,MATCH(JO310,LookUps!$B$130:$B$149,1)+2)</f>
        <v>#N/A</v>
      </c>
      <c r="JQ310" t="e">
        <f t="shared" si="919"/>
        <v>#N/A</v>
      </c>
      <c r="JR310" t="e">
        <f t="shared" si="920"/>
        <v>#N/A</v>
      </c>
      <c r="JS310" t="e">
        <f t="shared" si="921"/>
        <v>#N/A</v>
      </c>
      <c r="JT310" s="532" t="str">
        <f t="shared" si="922"/>
        <v xml:space="preserve"> </v>
      </c>
      <c r="JU310" s="532" t="str">
        <f t="shared" si="923"/>
        <v xml:space="preserve"> </v>
      </c>
      <c r="JV310" s="533" t="str">
        <f t="shared" si="924"/>
        <v xml:space="preserve"> </v>
      </c>
      <c r="JW310" s="534">
        <f t="shared" si="925"/>
        <v>0</v>
      </c>
      <c r="JX310" s="535" t="str">
        <f t="shared" si="1009"/>
        <v xml:space="preserve"> </v>
      </c>
      <c r="JY310" s="535" t="str">
        <f t="shared" si="1010"/>
        <v xml:space="preserve"> </v>
      </c>
      <c r="JZ310" s="535" t="str">
        <f t="shared" si="1011"/>
        <v xml:space="preserve"> </v>
      </c>
      <c r="KA310" s="536" t="str">
        <f t="shared" si="926"/>
        <v xml:space="preserve"> </v>
      </c>
      <c r="KB310" s="535" t="e">
        <f t="shared" si="1012"/>
        <v>#VALUE!</v>
      </c>
      <c r="KC310" s="535" t="str">
        <f t="shared" si="927"/>
        <v/>
      </c>
      <c r="KD310" s="537" t="str">
        <f t="shared" si="1013"/>
        <v xml:space="preserve"> </v>
      </c>
      <c r="KE310" s="537" t="str">
        <f t="shared" si="1014"/>
        <v xml:space="preserve"> </v>
      </c>
      <c r="KF310" s="534">
        <f t="shared" si="928"/>
        <v>0</v>
      </c>
      <c r="KG310" s="535" t="str">
        <f t="shared" si="929"/>
        <v xml:space="preserve"> </v>
      </c>
      <c r="KH310" s="535" t="str">
        <f t="shared" si="930"/>
        <v xml:space="preserve"> </v>
      </c>
      <c r="KI310" s="535" t="str">
        <f t="shared" si="931"/>
        <v xml:space="preserve"> </v>
      </c>
      <c r="KJ310" s="536" t="str">
        <f t="shared" si="932"/>
        <v xml:space="preserve"> </v>
      </c>
      <c r="KK310" s="535" t="str">
        <f t="shared" si="1015"/>
        <v xml:space="preserve"> </v>
      </c>
      <c r="KL310" s="535" t="str">
        <f t="shared" si="1016"/>
        <v xml:space="preserve"> </v>
      </c>
      <c r="KM310" s="537" t="str">
        <f t="shared" si="933"/>
        <v xml:space="preserve"> </v>
      </c>
      <c r="KN310" s="537" t="str">
        <f t="shared" si="1017"/>
        <v xml:space="preserve"> </v>
      </c>
      <c r="KP310">
        <f t="shared" si="934"/>
        <v>0</v>
      </c>
      <c r="LA310" t="e">
        <f t="shared" si="935"/>
        <v>#VALUE!</v>
      </c>
      <c r="LB310" t="e">
        <f t="shared" si="936"/>
        <v>#VALUE!</v>
      </c>
      <c r="LC310" t="e">
        <f t="shared" si="937"/>
        <v>#VALUE!</v>
      </c>
      <c r="LD310" t="e">
        <f t="shared" si="938"/>
        <v>#VALUE!</v>
      </c>
      <c r="LE310" t="e">
        <f t="shared" si="1018"/>
        <v>#VALUE!</v>
      </c>
      <c r="LF310">
        <f t="shared" si="939"/>
        <v>0</v>
      </c>
      <c r="LG310" t="e">
        <f t="shared" si="1019"/>
        <v>#VALUE!</v>
      </c>
      <c r="LH310" t="str">
        <f t="shared" si="940"/>
        <v xml:space="preserve"> </v>
      </c>
      <c r="LI310">
        <f t="shared" si="1020"/>
        <v>1</v>
      </c>
    </row>
    <row r="311" spans="2:321" ht="15" customHeight="1">
      <c r="B311" s="311"/>
      <c r="C311" s="311"/>
      <c r="D311" s="312"/>
      <c r="E311" s="311"/>
      <c r="F311" s="312"/>
      <c r="G311" s="311"/>
      <c r="H311" s="311"/>
      <c r="I311" s="232"/>
      <c r="J311" s="311"/>
      <c r="K311" s="305" t="str">
        <f t="shared" si="941"/>
        <v/>
      </c>
      <c r="L311" s="313"/>
      <c r="M311" s="312"/>
      <c r="N311" s="311"/>
      <c r="O311" s="312"/>
      <c r="P311" s="311"/>
      <c r="Q311" s="305" t="str">
        <f t="shared" si="942"/>
        <v/>
      </c>
      <c r="R311" s="314"/>
      <c r="S311" s="450" t="str">
        <f t="shared" si="825"/>
        <v/>
      </c>
      <c r="T311" s="315"/>
      <c r="U311" s="315"/>
      <c r="W311" s="149" t="str">
        <f t="shared" si="826"/>
        <v xml:space="preserve"> </v>
      </c>
      <c r="X311" s="243" t="str">
        <f t="shared" si="827"/>
        <v xml:space="preserve"> </v>
      </c>
      <c r="Y311" s="150" t="str">
        <f t="shared" si="828"/>
        <v/>
      </c>
      <c r="Z311" s="149" t="str">
        <f t="shared" si="829"/>
        <v xml:space="preserve"> </v>
      </c>
      <c r="AA311" s="98" t="str">
        <f t="shared" si="830"/>
        <v xml:space="preserve"> </v>
      </c>
      <c r="AB311" s="153" t="str">
        <f t="shared" si="831"/>
        <v xml:space="preserve"> </v>
      </c>
      <c r="AC311" s="153" t="str">
        <f t="shared" si="832"/>
        <v xml:space="preserve"> </v>
      </c>
      <c r="AD311" s="148" t="str">
        <f t="shared" si="833"/>
        <v/>
      </c>
      <c r="AE311" s="149" t="str">
        <f t="shared" si="834"/>
        <v/>
      </c>
      <c r="AF311" s="151" t="str">
        <f t="shared" si="835"/>
        <v xml:space="preserve"> </v>
      </c>
      <c r="AG311" s="153" t="str">
        <f t="shared" si="836"/>
        <v xml:space="preserve"> </v>
      </c>
      <c r="AH311" s="98" t="str">
        <f t="shared" si="837"/>
        <v xml:space="preserve"> </v>
      </c>
      <c r="AI311" s="149" t="str">
        <f t="shared" si="838"/>
        <v xml:space="preserve"> </v>
      </c>
      <c r="AK311" s="144" t="str">
        <f t="shared" si="839"/>
        <v xml:space="preserve"> </v>
      </c>
      <c r="AL311" s="144"/>
      <c r="AM311" s="243" t="str">
        <f t="shared" si="840"/>
        <v xml:space="preserve"> </v>
      </c>
      <c r="AN311" s="149" t="str">
        <f t="shared" si="943"/>
        <v xml:space="preserve"> </v>
      </c>
      <c r="AO311" s="144" t="str">
        <f>IF(JB311&gt;0,IF(GI311=10,-R311*1.085*(Calculation!$F$6-Calculation!$F$13)*$S$14," "),"")</f>
        <v/>
      </c>
      <c r="AP311" s="144" t="str">
        <f t="shared" si="841"/>
        <v/>
      </c>
      <c r="AQ311" s="56" t="str">
        <f t="shared" si="842"/>
        <v/>
      </c>
      <c r="AR311" s="144" t="str">
        <f t="shared" si="843"/>
        <v/>
      </c>
      <c r="AS311" s="176" t="str">
        <f t="shared" si="844"/>
        <v/>
      </c>
      <c r="AT311" s="176" t="str">
        <f t="shared" si="944"/>
        <v xml:space="preserve"> </v>
      </c>
      <c r="AU311" s="176" t="str">
        <f t="shared" si="845"/>
        <v/>
      </c>
      <c r="AV311" s="177" t="str">
        <f t="shared" si="846"/>
        <v xml:space="preserve"> </v>
      </c>
      <c r="AW311" s="144" t="str">
        <f t="shared" si="847"/>
        <v xml:space="preserve"> </v>
      </c>
      <c r="AX311" s="144" t="str">
        <f t="shared" si="848"/>
        <v xml:space="preserve"> </v>
      </c>
      <c r="AY311" s="152" t="str">
        <f t="shared" si="849"/>
        <v xml:space="preserve"> </v>
      </c>
      <c r="AZ311" s="246" t="str">
        <f t="shared" si="850"/>
        <v/>
      </c>
      <c r="BA311" s="176" t="str">
        <f t="shared" si="851"/>
        <v xml:space="preserve"> </v>
      </c>
      <c r="BB311" s="176" t="str">
        <f t="shared" si="852"/>
        <v xml:space="preserve"> </v>
      </c>
      <c r="BC311" s="195"/>
      <c r="BD311" s="316"/>
      <c r="BE311" s="317"/>
      <c r="BF311" s="318"/>
      <c r="BG311" s="318"/>
      <c r="BH311" s="144" t="str">
        <f t="shared" si="1021"/>
        <v xml:space="preserve"> </v>
      </c>
      <c r="BI311" s="176" t="str">
        <f t="shared" si="853"/>
        <v/>
      </c>
      <c r="BJ311" s="144" t="str">
        <f t="shared" si="1022"/>
        <v/>
      </c>
      <c r="BK311" s="246" t="str">
        <f t="shared" si="854"/>
        <v/>
      </c>
      <c r="BL311" s="144" t="str">
        <f t="shared" si="1023"/>
        <v/>
      </c>
      <c r="BM311" s="246" t="str">
        <f t="shared" si="855"/>
        <v/>
      </c>
      <c r="BN311" s="337" t="str">
        <f t="shared" si="945"/>
        <v/>
      </c>
      <c r="BO311" s="371" t="str">
        <f t="shared" si="946"/>
        <v/>
      </c>
      <c r="BP311" s="328" t="str">
        <f t="shared" si="1024"/>
        <v xml:space="preserve"> </v>
      </c>
      <c r="BQ311" s="347" t="str">
        <f t="shared" si="947"/>
        <v xml:space="preserve"> </v>
      </c>
      <c r="BR311" s="353" t="str">
        <f t="shared" si="948"/>
        <v xml:space="preserve"> </v>
      </c>
      <c r="BS311" s="626" t="str">
        <f>IF(L311&gt;0,IF(Calculation!P311="M13",BR311*3.1416*(0.134^2)/(4*144),IF(Calculation!P311="M17",BR311*3.1416*(0.165^2)/(4*144),IF(Calculation!P311="M20",BR311*3.1416*(0.198^2)/(4*144),IF(Calculation!P311="M23",BR311*3.1416*(0.228^2)/(4*144),IF(Calculation!P311="M27",BR311*3.1416*(0.269^2)/(4*144),BR311*3.1416*(0.307^2)/(4*144))))))," ")</f>
        <v xml:space="preserve"> </v>
      </c>
      <c r="BT311" s="353" t="str">
        <f>IF(L311&gt;0,IF(BS311&gt;0,R311/Calculation!BS311,0)," ")</f>
        <v xml:space="preserve"> </v>
      </c>
      <c r="BU311" s="438" t="e">
        <f t="shared" ca="1" si="856"/>
        <v>#VALUE!</v>
      </c>
      <c r="BV311" s="449" t="e">
        <f ca="1">INDEX(INDIRECT(VLOOKUP(LEFT(BO311,7),CLU!$Z$3:$AH$18,2)),GN311,GR311)</f>
        <v>#N/A</v>
      </c>
      <c r="BW311" s="433" t="e">
        <f ca="1">INDEX(INDIRECT(VLOOKUP(LEFT(BO311,7),CLU!$Z$3:$AH$18,3)),GN311,GR311)</f>
        <v>#N/A</v>
      </c>
      <c r="BX311" s="433" t="e">
        <f ca="1">INDEX(INDIRECT(VLOOKUP(LEFT(BO311,7),CLU!$Z$3:$AH$18,4)),GN311,GR311)</f>
        <v>#N/A</v>
      </c>
      <c r="BY311" s="433" t="e">
        <f ca="1">INDEX(INDIRECT(VLOOKUP(LEFT(BO311,7),CLU!$Z$3:$AH$18,9)),((M311-2)*(6-COUNTBLANK(GT311:GY311)))+GJ311)</f>
        <v>#N/A</v>
      </c>
      <c r="BZ311" s="426" t="e">
        <f t="shared" ca="1" si="949"/>
        <v>#N/A</v>
      </c>
      <c r="CA311" s="424" t="e">
        <f t="shared" ca="1" si="950"/>
        <v>#N/A</v>
      </c>
      <c r="CB311" s="429" t="e">
        <f ca="1">INDEX(INDIRECT(VLOOKUP(LEFT(BO311,7),CLU!$Z$3:$AH$18,2)),GN311,GS311)</f>
        <v>#N/A</v>
      </c>
      <c r="CC311" s="342" t="e">
        <f ca="1">INDEX(INDIRECT(VLOOKUP(LEFT(BO311,7),CLU!$Z$3:$AH$18,3)),GN311,GS311)</f>
        <v>#N/A</v>
      </c>
      <c r="CD311" s="342" t="e">
        <f ca="1">INDEX(INDIRECT(VLOOKUP(LEFT(BO311,7),CLU!$Z$3:$AH$18,4)),GN311,GS311)</f>
        <v>#N/A</v>
      </c>
      <c r="CE311" s="426" t="e">
        <f t="shared" ca="1" si="951"/>
        <v>#N/A</v>
      </c>
      <c r="CF311" s="440">
        <f t="shared" si="952"/>
        <v>0</v>
      </c>
      <c r="CG311" s="431" t="e">
        <f ca="1">INDEX(INDIRECT(VLOOKUP(LEFT(BO311,7),CLU!$Z$3:$AH$18,2)),GQ311,GR311)</f>
        <v>#N/A</v>
      </c>
      <c r="CH311" s="431" t="e">
        <f ca="1">INDEX(INDIRECT(VLOOKUP(LEFT(BO311,7),CLU!$Z$3:$AH$18,3)),GQ311,GR311)</f>
        <v>#N/A</v>
      </c>
      <c r="CI311" s="431" t="e">
        <f ca="1">INDEX(INDIRECT(VLOOKUP(LEFT(BO311,7),CLU!$Z$3:$AH$18,4)),GQ311,GR311)</f>
        <v>#N/A</v>
      </c>
      <c r="CJ311" s="448" t="e">
        <f t="shared" ca="1" si="953"/>
        <v>#N/A</v>
      </c>
      <c r="CK311" s="431" t="e">
        <f t="shared" ca="1" si="954"/>
        <v>#N/A</v>
      </c>
      <c r="CL311" s="440" t="e">
        <f t="shared" ca="1" si="955"/>
        <v>#N/A</v>
      </c>
      <c r="CM311" s="431" t="e">
        <f ca="1">INDEX(INDIRECT(VLOOKUP(LEFT(BO311,7),CLU!$Z$3:$AH$18,2)),GQ311,GS311)</f>
        <v>#N/A</v>
      </c>
      <c r="CN311" s="431" t="e">
        <f ca="1">INDEX(INDIRECT(VLOOKUP(LEFT(BO311,7),CLU!$Z$3:$AH$18,3)),GQ311,GS311)</f>
        <v>#N/A</v>
      </c>
      <c r="CO311" s="431" t="e">
        <f ca="1">INDEX(INDIRECT(VLOOKUP(LEFT(BO311,7),CLU!$Z$3:$AH$18,4)),GQ311,GS311)</f>
        <v>#N/A</v>
      </c>
      <c r="CP311" s="431" t="e">
        <f t="shared" ca="1" si="956"/>
        <v>#N/A</v>
      </c>
      <c r="CQ311" s="440">
        <f t="shared" si="957"/>
        <v>0</v>
      </c>
      <c r="CR311" s="51" t="e">
        <f t="shared" ca="1" si="958"/>
        <v>#N/A</v>
      </c>
      <c r="CS311" s="439" t="e">
        <f t="shared" ca="1" si="959"/>
        <v>#VALUE!</v>
      </c>
      <c r="CT311" s="51" t="e">
        <f t="shared" ca="1" si="960"/>
        <v>#VALUE!</v>
      </c>
      <c r="CU311" s="10"/>
      <c r="CV311" s="51" t="e">
        <f t="shared" ca="1" si="857"/>
        <v>#VALUE!</v>
      </c>
      <c r="CW311" s="51">
        <f t="shared" si="961"/>
        <v>0</v>
      </c>
      <c r="CX311" s="439" t="e">
        <f t="shared" ca="1" si="962"/>
        <v>#VALUE!</v>
      </c>
      <c r="CY311" s="51" t="e">
        <f t="shared" ca="1" si="963"/>
        <v>#VALUE!</v>
      </c>
      <c r="CZ311" s="10"/>
      <c r="DA311" s="51" t="e">
        <f t="shared" ca="1" si="964"/>
        <v>#VALUE!</v>
      </c>
      <c r="DB311" s="347" t="e">
        <f ca="1">INDEX(INDIRECT(VLOOKUP(LEFT(BO311,7),CLU!$Z$3:$AI$18,10)),((M311-2)*(6-COUNTBLANK(GT311:GY311)))+GJ311)*LI311</f>
        <v>#N/A</v>
      </c>
      <c r="DC311" s="347" t="str">
        <f>IF(L311&gt;0,((R311/Worksheet!$I$15)/DB311)^2," ")</f>
        <v xml:space="preserve"> </v>
      </c>
      <c r="DD311" s="602" t="str">
        <f t="shared" si="965"/>
        <v xml:space="preserve"> </v>
      </c>
      <c r="DE311" s="347" t="str">
        <f t="shared" si="858"/>
        <v xml:space="preserve"> </v>
      </c>
      <c r="DF311" s="356" t="e">
        <f ca="1">INDEX(INDIRECT(VLOOKUP(LEFT(BO311,7),CLU!$Z$3:$AH$18,8)),((M311-2)*(6-COUNTBLANK(GT311:GY311)))+GJ311)</f>
        <v>#N/A</v>
      </c>
      <c r="DG311" s="347" t="str">
        <f t="shared" si="859"/>
        <v xml:space="preserve"> </v>
      </c>
      <c r="DH311" s="357" t="str">
        <f t="shared" si="860"/>
        <v xml:space="preserve"> </v>
      </c>
      <c r="DI311" s="355" t="str">
        <f t="shared" si="861"/>
        <v xml:space="preserve"> </v>
      </c>
      <c r="DJ311" s="245" t="e">
        <f ca="1">INDEX(INDIRECT(VLOOKUP(LEFT(BO311,7),CLU!$Z$3:$AH$18,5)),GL311,GK311)</f>
        <v>#N/A</v>
      </c>
      <c r="DK311" s="245" t="e">
        <f ca="1">INDEX(INDIRECT(VLOOKUP(LEFT(BO311,7),CLU!$Z$3:$AH$18,6)),GL311,GK311)</f>
        <v>#N/A</v>
      </c>
      <c r="DL311" s="355">
        <f>(Calculation!R311*0.69143*(Calculation!$BQ$8-Calculation!$F$8))*$S$14</f>
        <v>0</v>
      </c>
      <c r="DM311" s="359" t="e">
        <f t="shared" si="966"/>
        <v>#VALUE!</v>
      </c>
      <c r="DN311" s="611">
        <f t="shared" si="967"/>
        <v>0</v>
      </c>
      <c r="DO311" s="359">
        <f t="shared" si="968"/>
        <v>100</v>
      </c>
      <c r="DP311" s="359">
        <f t="shared" si="969"/>
        <v>0</v>
      </c>
      <c r="DQ311" s="360"/>
      <c r="DR311" s="245" t="e">
        <f ca="1">INDEX(INDIRECT(VLOOKUP(LEFT(BO311,7),CLU!$Z$3:$AH$18,7)),M311-1,1)</f>
        <v>#N/A</v>
      </c>
      <c r="DS311" s="245" t="e">
        <f ca="1">INDEX(INDIRECT(VLOOKUP(LEFT(BO311,7),CLU!$Z$3:$AH$18,7)),M311-1,2)</f>
        <v>#N/A</v>
      </c>
      <c r="DT311" s="245" t="e">
        <f ca="1">INDEX(INDIRECT(VLOOKUP(LEFT(BO311,7),CLU!$Z$3:$AH$18,7)),M311-1,3)</f>
        <v>#N/A</v>
      </c>
      <c r="DU311" s="245" t="e">
        <f ca="1">INDEX(INDIRECT(VLOOKUP(LEFT(BO311,7),CLU!$Z$3:$AH$18,7)),M311-1,4)</f>
        <v>#N/A</v>
      </c>
      <c r="DV311" s="361" t="e">
        <f ca="1">INDEX(INDIRECT(VLOOKUP(LEFT(BO311,7),CLU!$Z$3:$AH$18,7)),M311-1,4+LEFT(DZ311,1)*0.5)</f>
        <v>#N/A</v>
      </c>
      <c r="DW311" s="245" t="e">
        <f ca="1">INDEX(INDIRECT(VLOOKUP(LEFT(BO311,7),CLU!$Z$3:$AH$18,7)),M311-1,8)</f>
        <v>#N/A</v>
      </c>
      <c r="DX311" s="361" t="str">
        <f t="shared" si="862"/>
        <v xml:space="preserve"> </v>
      </c>
      <c r="DY311" s="361" t="str">
        <f t="shared" si="863"/>
        <v xml:space="preserve"> </v>
      </c>
      <c r="DZ311" s="361" t="str">
        <f t="shared" si="864"/>
        <v xml:space="preserve"> </v>
      </c>
      <c r="EA311" s="362" t="str">
        <f t="shared" si="865"/>
        <v xml:space="preserve"> </v>
      </c>
      <c r="EB311" s="624" t="str">
        <f t="shared" si="970"/>
        <v xml:space="preserve"> </v>
      </c>
      <c r="EC311" s="361" t="e">
        <f ca="1">INDEX(INDIRECT(VLOOKUP(LEFT(BO311,7),CLU!$Z$3:$AH$18,7)),M311-1,4+LEFT(DZ311,1)*0.5)</f>
        <v>#N/A</v>
      </c>
      <c r="ED311" s="362" t="str">
        <f t="shared" si="866"/>
        <v xml:space="preserve"> </v>
      </c>
      <c r="EE311" s="361" t="str">
        <f t="shared" si="867"/>
        <v xml:space="preserve"> </v>
      </c>
      <c r="EF311" s="362" t="str">
        <f>IF(L311&gt;0,IF(BR311&gt;0,IF(EE311="2P",IF(Calculation!DZ311="2P",IF(Calculation!DS311=13.75,IF(Calculation!DR311=13,Worksheet!$BD$43,IF(Calculation!DR311=37,Worksheet!$BD$44,Worksheet!$BD$45)),IF(Calculation!DS311=10,IF(Calculation!DR311=18,Worksheet!$BD$29,IF(Calculation!DR311=30,Worksheet!$BD$30,IF(Calculation!DR311=42,Worksheet!$BD$31,IF(Calculation!DR311=54,Worksheet!$BD$32,IF(Calculation!DR311=66,Worksheet!$BD$33,IF(Calculation!DR311=78,Worksheet!$BD$34,IF(Calculation!DR311=90,Worksheet!$BD$35,IF(Calculation!DR311=102,Worksheet!$BD$36,Worksheet!$BD$37)))))))),IF(Calculation!DS311=12.5,IF(Calculation!DR311=18,Worksheet!$BD$38,IF(Calculation!DR311=Worksheet!$BD$39,IF(Calculation!DR311=42,Worksheet!$BD$40,IF(Calculation!DR311=54,Worksheet!$BD$41,Worksheet!$BD$42)))),IF(Calculation!DR311=18,Worksheet!$BD$11,IF(Calculation!DR311=30,Worksheet!$BD$12,IF(Calculation!DR311=42,Worksheet!$BD$13,IF(Calculation!DR311=54,Worksheet!$BD$14,IF(Calculation!DR311=66,Worksheet!$BD$15,IF(Calculation!DR311=78,Worksheet!$BD$16,IF(Calculation!DR311=90,Worksheet!$BD$17,IF(Calculation!DR311=102,Worksheet!$BD$18,Worksheet!$BD$19))))))))))),IF(Calculation!DS311=13.75,IF(Calculation!DR311=13,Worksheet!$BD$78,IF(Calculation!DR311=37,Worksheet!$BD$79,Worksheet!$BD$80)),IF(Calculation!DS311=10,IF(Calculation!DR311=18,Worksheet!$BD$64,IF(Calculation!DR311=30,Worksheet!$BD$65,IF(Calculation!DR311=42,Worksheet!$BD$66,IF(Calculation!DR311=54,Worksheet!$BD$68,IF(Calculation!DR311=66,Worksheet!$BD$68,IF(Calculation!DR311=78,Worksheet!$BD$69,IF(Calculation!DR311=90,Worksheet!$BD$70,IF(Calculation!DR311=102,Worksheet!$BD$71,Worksheet!$BD$72)))))))),IF(Calculation!DS311=12.5,IF(Calculation!DR311=18,Worksheet!$BD$73,IF(Calculation!DR311=Worksheet!$BD$74,IF(Calculation!DR311=42,Worksheet!$BD$75,IF(Calculation!DR311=54,Worksheet!$BD$76,Worksheet!$BD$77)))),IF(Calculation!DR311=18,Worksheet!$BD$55,IF(Calculation!DR311=30,Worksheet!$BD$56,IF(Calculation!DR311=42,Worksheet!$BD$57,IF(Calculation!DR311=54,Worksheet!$BD$58,IF(Calculation!DR311=66,Worksheet!$BD$59,IF(Calculation!DR311=78,Worksheet!$BD$60,IF(Calculation!DR311=90,Worksheet!$BD$61,IF(Calculation!DR311=102,Worksheet!$BD$62,Worksheet!$BD$63)))))))))))),5),0)," ")</f>
        <v xml:space="preserve"> </v>
      </c>
      <c r="EG311" s="361" t="str">
        <f t="shared" si="868"/>
        <v xml:space="preserve"> </v>
      </c>
      <c r="EH311" s="361" t="e">
        <f ca="1">INDEX(INDIRECT(VLOOKUP(LEFT(BO311,7),CLU!$Z$3:$AH$18,7)),M311-1,3+LEFT(DZ311,1))</f>
        <v>#N/A</v>
      </c>
      <c r="EI311" s="362" t="str">
        <f t="shared" si="869"/>
        <v xml:space="preserve"> </v>
      </c>
      <c r="EJ311" s="363" t="str">
        <f t="shared" si="870"/>
        <v xml:space="preserve"> </v>
      </c>
      <c r="EK311" s="363" t="str">
        <f t="shared" si="871"/>
        <v xml:space="preserve"> </v>
      </c>
      <c r="EL311" s="363" t="str">
        <f t="shared" si="872"/>
        <v xml:space="preserve"> </v>
      </c>
      <c r="EM311" s="362" t="str">
        <f>IF(L311&gt;0,IF(BR311&gt;0,(Calculation!T311/ED311)^2,0)," ")</f>
        <v xml:space="preserve"> </v>
      </c>
      <c r="EN311" s="362" t="str">
        <f>IF(L311&gt;0,IF(O311="2 Pipe (Cooling)","N/A",IF(BR311&gt;0,(Calculation!U311/EI311)^2,0))," ")</f>
        <v xml:space="preserve"> </v>
      </c>
      <c r="EO311" s="361" t="str">
        <f t="shared" si="873"/>
        <v/>
      </c>
      <c r="EP311" s="361" t="str">
        <f t="shared" si="874"/>
        <v/>
      </c>
      <c r="EQ311" s="361" t="str">
        <f t="shared" si="875"/>
        <v/>
      </c>
      <c r="ER311" s="361" t="str">
        <f t="shared" si="876"/>
        <v/>
      </c>
      <c r="ES311" s="361" t="str">
        <f t="shared" si="877"/>
        <v/>
      </c>
      <c r="ET311" s="361" t="str">
        <f t="shared" si="878"/>
        <v/>
      </c>
      <c r="EU311" s="361" t="str">
        <f t="shared" si="879"/>
        <v/>
      </c>
      <c r="EV311" s="361" t="str">
        <f t="shared" si="880"/>
        <v/>
      </c>
      <c r="EW311" s="361" t="str">
        <f t="shared" si="881"/>
        <v/>
      </c>
      <c r="EX311" s="361" t="str">
        <f t="shared" si="971"/>
        <v>1 slot, 1 way</v>
      </c>
      <c r="EY311" s="361" t="str">
        <f t="shared" si="972"/>
        <v xml:space="preserve"> </v>
      </c>
      <c r="EZ311" s="361" t="str">
        <f t="shared" si="973"/>
        <v xml:space="preserve"> </v>
      </c>
      <c r="FA311" s="361" t="str">
        <f t="shared" si="974"/>
        <v xml:space="preserve"> </v>
      </c>
      <c r="FB311" s="361" t="str">
        <f t="shared" si="975"/>
        <v xml:space="preserve"> </v>
      </c>
      <c r="FC311" s="361"/>
      <c r="FD311" s="361" t="str">
        <f>IF(J311&gt;0,IF(Calculation!R311&lt;=70,4,IF(Calculation!R311&lt;=110,5,IF(Calculation!R311&lt;=160,6,IF(Calculation!R311&lt;=300,8,"10 EO")))),"")</f>
        <v/>
      </c>
      <c r="FE311" s="361" t="str">
        <f t="shared" si="976"/>
        <v/>
      </c>
      <c r="FF311" s="361" t="str">
        <f t="shared" si="977"/>
        <v/>
      </c>
      <c r="FG311" s="361" t="e">
        <f t="shared" si="882"/>
        <v>#N/A</v>
      </c>
      <c r="FH311" s="361">
        <f t="shared" si="883"/>
        <v>0</v>
      </c>
      <c r="FI311" s="361" t="e">
        <f t="shared" si="884"/>
        <v>#DIV/0!</v>
      </c>
      <c r="FJ311" s="361"/>
      <c r="FK311" s="356" t="e">
        <f t="shared" si="885"/>
        <v>#VALUE!</v>
      </c>
      <c r="FL311" s="361"/>
      <c r="FM311" s="361"/>
      <c r="FN311" s="362" t="str">
        <f t="shared" si="978"/>
        <v xml:space="preserve"> </v>
      </c>
      <c r="FO311" s="362" t="str">
        <f t="shared" si="979"/>
        <v xml:space="preserve"> </v>
      </c>
      <c r="FP311" s="362">
        <f t="shared" si="980"/>
        <v>0</v>
      </c>
      <c r="FQ311" s="361">
        <f t="shared" si="886"/>
        <v>0</v>
      </c>
      <c r="FR311" s="362" t="str">
        <f>IF(L311&gt;0,IF(J311="CBAL2",Worksheet!$P$67,IF(J311="CBE2-24",Worksheet!$Q$67,IF(J311="CBAM",Worksheet!$R$67,IF(J311="CBLV",Worksheet!$S$67,IF(J311="CBAB",Worksheet!$U$67,IF(J311="CBAW",Worksheet!$X$67,IF(J311="CBE2-12",Worksheet!$Y$67,IF(J311="CBAL2",Worksheet!$Z$67,"N/A"))))))))," ")</f>
        <v xml:space="preserve"> </v>
      </c>
      <c r="FS311" s="362" t="str">
        <f>IF(L311&gt;0,IF(J311="CBAL2",Worksheet!$P$68,IF(J311="CBE2-24",Worksheet!$Q$68,IF(J311="CBAM",Worksheet!$R$68,IF(J311="CBLV",Worksheet!$S$68,IF(J311="CBAB",Worksheet!$U$68,IF(J311="CBAW",Worksheet!$X$68,IF(J311="CBE2-12",Worksheet!$Y$68,IF(J311="CBAL2",Worksheet!$Z$68,"N/A"))))))))," ")</f>
        <v xml:space="preserve"> </v>
      </c>
      <c r="FT311" s="362" t="str">
        <f>IF(L311&gt;0,IF(J311="CBAL2",Worksheet!$P$69,IF(J311="CBE2-24",Worksheet!$Q$69,IF(J311="CBAM",Worksheet!$R$69,IF(J311="CBLV",Worksheet!$S$69,IF(J311="CBAB",Worksheet!$U$69,IF(J311="CBAW",Worksheet!$X$69,IF(J311="CBE2-12",Worksheet!$Y$69,IF(J311="CBAL2",Worksheet!$Z$69,"N/A"))))))))," ")</f>
        <v xml:space="preserve"> </v>
      </c>
      <c r="FU311" s="361" t="str">
        <f t="shared" si="981"/>
        <v xml:space="preserve"> </v>
      </c>
      <c r="FV311" s="362" t="str">
        <f t="shared" si="982"/>
        <v xml:space="preserve"> </v>
      </c>
      <c r="FW311" s="362" t="str">
        <f t="shared" si="983"/>
        <v xml:space="preserve"> </v>
      </c>
      <c r="FX311" s="362" t="str">
        <f t="shared" si="984"/>
        <v xml:space="preserve"> </v>
      </c>
      <c r="FY311" s="355" t="str">
        <f t="shared" si="985"/>
        <v xml:space="preserve"> </v>
      </c>
      <c r="FZ311" s="361" t="str">
        <f t="shared" si="986"/>
        <v xml:space="preserve"> </v>
      </c>
      <c r="GA311" s="347" t="str">
        <f t="shared" si="987"/>
        <v xml:space="preserve"> </v>
      </c>
      <c r="GB311" s="355" t="str">
        <f t="shared" si="988"/>
        <v xml:space="preserve"> </v>
      </c>
      <c r="GC311" s="328" t="str">
        <f t="shared" si="989"/>
        <v xml:space="preserve"> </v>
      </c>
      <c r="GD311" s="361" t="str">
        <f t="shared" si="990"/>
        <v xml:space="preserve"> </v>
      </c>
      <c r="GE311" s="347" t="str">
        <f t="shared" si="991"/>
        <v xml:space="preserve"> </v>
      </c>
      <c r="GF311" s="361" t="str">
        <f t="shared" si="992"/>
        <v xml:space="preserve"> </v>
      </c>
      <c r="GG311" s="347" t="str">
        <f t="shared" si="993"/>
        <v xml:space="preserve"> </v>
      </c>
      <c r="GH311" s="364">
        <f t="shared" si="887"/>
        <v>0</v>
      </c>
      <c r="GI311" s="362">
        <f t="shared" si="994"/>
        <v>2</v>
      </c>
      <c r="GJ311" s="433" t="e">
        <f>IF(6-COUNTBLANK(GT311:GY311)=4,MATCH(MID(BO311,9,3),CLU!$H$16:$K$16),MATCH(MID(BO311,9,3),CLU!$H$13:$M$13))</f>
        <v>#N/A</v>
      </c>
      <c r="GK311" s="433" t="e">
        <f>HLOOKUP(VALUE(BP311),CLU!$H$9:$M$10,2)</f>
        <v>#VALUE!</v>
      </c>
      <c r="GL311" s="433" t="e">
        <f ca="1">MATCH(BU311,CLU!$H$2:$V$2,1)</f>
        <v>#VALUE!</v>
      </c>
      <c r="GM311" s="433" t="e">
        <f t="shared" ca="1" si="995"/>
        <v>#VALUE!</v>
      </c>
      <c r="GN311" s="433" t="e">
        <f t="shared" ca="1" si="996"/>
        <v>#VALUE!</v>
      </c>
      <c r="GO311" s="433" t="e">
        <f t="shared" ca="1" si="997"/>
        <v>#VALUE!</v>
      </c>
      <c r="GP311" s="433" t="e">
        <f t="shared" ca="1" si="998"/>
        <v>#VALUE!</v>
      </c>
      <c r="GQ311" s="433" t="e">
        <f t="shared" ca="1" si="999"/>
        <v>#VALUE!</v>
      </c>
      <c r="GR311" s="433" t="e">
        <f ca="1">MATCH(T311,INDIRECT(VLOOKUP(CONCATENATE(LEFT(BO311,7),"-",MID(BO311,13,1)),CLU!$P$3:$Q$16,2)),1)</f>
        <v>#N/A</v>
      </c>
      <c r="GS311" s="433" t="e">
        <f ca="1">MATCH(U311,INDIRECT(VLOOKUP(CONCATENATE(LEFT(BO311,7),"-",MID(BO311,13,1)),CLU!$P$3:$Q$16,2)),1)</f>
        <v>#N/A</v>
      </c>
      <c r="GT311" s="347" t="s">
        <v>512</v>
      </c>
      <c r="GU311" s="97" t="s">
        <v>513</v>
      </c>
      <c r="GV311" s="97" t="str">
        <f t="shared" si="1000"/>
        <v>M23</v>
      </c>
      <c r="GW311" s="97" t="str">
        <f t="shared" si="1001"/>
        <v>M31</v>
      </c>
      <c r="GX311" s="97" t="str">
        <f t="shared" si="1002"/>
        <v/>
      </c>
      <c r="GY311" s="97" t="str">
        <f t="shared" si="1003"/>
        <v/>
      </c>
      <c r="GZ311" s="481"/>
      <c r="HA311" s="240"/>
      <c r="HB311" s="240"/>
      <c r="HC311" s="240"/>
      <c r="HD311" s="240"/>
      <c r="HE311" s="240"/>
      <c r="HF311" s="240"/>
      <c r="HG311" s="240"/>
      <c r="HH311" s="240"/>
      <c r="HI311" s="240"/>
      <c r="HJ311" s="240"/>
      <c r="HK311" s="240"/>
      <c r="HL311" s="240"/>
      <c r="HM311" s="240"/>
      <c r="HN311" s="240"/>
      <c r="HO311" s="240"/>
      <c r="HP311" s="240"/>
      <c r="HQ311" s="240"/>
      <c r="HR311" s="240"/>
      <c r="HS311" s="240"/>
      <c r="HT311" s="240"/>
      <c r="HU311" s="240"/>
      <c r="HV311" s="245"/>
      <c r="HW311" s="245" t="b">
        <v>1</v>
      </c>
      <c r="HX311" s="245" t="str">
        <f t="shared" si="888"/>
        <v/>
      </c>
      <c r="HY311" s="245" t="e">
        <f t="shared" si="889"/>
        <v>#DIV/0!</v>
      </c>
      <c r="HZ311" s="245" t="e">
        <f t="shared" si="890"/>
        <v>#DIV/0!</v>
      </c>
      <c r="IA311" s="245">
        <f t="shared" si="891"/>
        <v>0</v>
      </c>
      <c r="IB311" s="245"/>
      <c r="IC311" t="b">
        <f t="shared" si="892"/>
        <v>1</v>
      </c>
      <c r="ID311" s="245" t="b">
        <f t="shared" si="893"/>
        <v>1</v>
      </c>
      <c r="IE311" s="245" t="b">
        <f t="shared" si="894"/>
        <v>1</v>
      </c>
      <c r="IF311" s="245" t="b">
        <f t="shared" si="895"/>
        <v>0</v>
      </c>
      <c r="IG311" s="245" t="b">
        <f t="shared" si="896"/>
        <v>1</v>
      </c>
      <c r="IH311" s="245" t="b">
        <f t="shared" si="897"/>
        <v>1</v>
      </c>
      <c r="II311" s="245">
        <f t="shared" si="1004"/>
        <v>0</v>
      </c>
      <c r="IJ311" s="245" t="e">
        <f t="shared" si="898"/>
        <v>#VALUE!</v>
      </c>
      <c r="IK311" s="245" t="e">
        <f t="shared" si="899"/>
        <v>#VALUE!</v>
      </c>
      <c r="IL311" s="245"/>
      <c r="IM311" s="245" t="e">
        <f t="shared" si="1005"/>
        <v>#N/A</v>
      </c>
      <c r="IN311" s="245" t="e">
        <f t="shared" si="1006"/>
        <v>#N/A</v>
      </c>
      <c r="IO311" s="245"/>
      <c r="IP311" s="245"/>
      <c r="IQ311" s="245" t="str">
        <f t="shared" si="900"/>
        <v/>
      </c>
      <c r="IR311" s="245" t="str">
        <f>IF(J311="","",VLOOKUP(J311,Worksheet!$R$4:$T$14,2))</f>
        <v/>
      </c>
      <c r="IS311" s="245"/>
      <c r="IT311" s="245">
        <f t="shared" si="901"/>
        <v>0</v>
      </c>
      <c r="IU311" s="245">
        <f t="shared" si="902"/>
        <v>0</v>
      </c>
      <c r="IV311" s="245">
        <f t="shared" si="903"/>
        <v>0</v>
      </c>
      <c r="IW311" s="245">
        <f t="shared" si="904"/>
        <v>0</v>
      </c>
      <c r="IX311" s="245">
        <f t="shared" si="1007"/>
        <v>0</v>
      </c>
      <c r="IY311" s="245">
        <f t="shared" si="905"/>
        <v>0</v>
      </c>
      <c r="IZ311" s="245">
        <f t="shared" si="906"/>
        <v>0</v>
      </c>
      <c r="JA311">
        <f t="shared" si="907"/>
        <v>0</v>
      </c>
      <c r="JB311">
        <f t="shared" si="1008"/>
        <v>0</v>
      </c>
      <c r="JC311">
        <f t="shared" si="908"/>
        <v>0</v>
      </c>
      <c r="JD311">
        <f t="shared" si="909"/>
        <v>0</v>
      </c>
      <c r="JE311">
        <f t="shared" si="910"/>
        <v>0</v>
      </c>
      <c r="JF311">
        <f t="shared" si="911"/>
        <v>0</v>
      </c>
      <c r="JG311">
        <f t="shared" si="912"/>
        <v>0</v>
      </c>
      <c r="JH311">
        <f t="shared" si="913"/>
        <v>0</v>
      </c>
      <c r="JI311">
        <f t="shared" si="914"/>
        <v>0</v>
      </c>
      <c r="JJ311" s="447">
        <f t="shared" si="915"/>
        <v>0</v>
      </c>
      <c r="JK311" s="447">
        <f t="shared" si="916"/>
        <v>0</v>
      </c>
      <c r="JL311">
        <f t="shared" si="917"/>
        <v>0</v>
      </c>
      <c r="JM311" s="245" t="str">
        <f>IFERROR(VLOOKUP(MATCH(BN311,#REF!,0),#REF!,7),"")</f>
        <v/>
      </c>
      <c r="JN311" t="e">
        <f>HLOOKUP(LEFT(BO311,7),Discharge_Area,MATCH(JO311,LookUps!$B$130:$B$149,1)+2)</f>
        <v>#N/A</v>
      </c>
      <c r="JO311" t="str">
        <f t="shared" si="918"/>
        <v>- S</v>
      </c>
      <c r="JP311" t="e">
        <f>HLOOKUP(LEFT(BO311,7),Discharge_Area,MATCH(JO311,LookUps!$B$130:$B$149,1)+2)</f>
        <v>#N/A</v>
      </c>
      <c r="JQ311" t="e">
        <f t="shared" si="919"/>
        <v>#N/A</v>
      </c>
      <c r="JR311" t="e">
        <f t="shared" si="920"/>
        <v>#N/A</v>
      </c>
      <c r="JS311" t="e">
        <f t="shared" si="921"/>
        <v>#N/A</v>
      </c>
      <c r="JT311" s="532" t="str">
        <f t="shared" si="922"/>
        <v xml:space="preserve"> </v>
      </c>
      <c r="JU311" s="532" t="str">
        <f t="shared" si="923"/>
        <v xml:space="preserve"> </v>
      </c>
      <c r="JV311" s="533" t="str">
        <f t="shared" si="924"/>
        <v xml:space="preserve"> </v>
      </c>
      <c r="JW311" s="534">
        <f t="shared" si="925"/>
        <v>0</v>
      </c>
      <c r="JX311" s="535" t="str">
        <f t="shared" si="1009"/>
        <v xml:space="preserve"> </v>
      </c>
      <c r="JY311" s="535" t="str">
        <f t="shared" si="1010"/>
        <v xml:space="preserve"> </v>
      </c>
      <c r="JZ311" s="535" t="str">
        <f t="shared" si="1011"/>
        <v xml:space="preserve"> </v>
      </c>
      <c r="KA311" s="536" t="str">
        <f t="shared" si="926"/>
        <v xml:space="preserve"> </v>
      </c>
      <c r="KB311" s="535" t="e">
        <f t="shared" si="1012"/>
        <v>#VALUE!</v>
      </c>
      <c r="KC311" s="535" t="str">
        <f t="shared" si="927"/>
        <v/>
      </c>
      <c r="KD311" s="537" t="str">
        <f t="shared" si="1013"/>
        <v xml:space="preserve"> </v>
      </c>
      <c r="KE311" s="537" t="str">
        <f t="shared" si="1014"/>
        <v xml:space="preserve"> </v>
      </c>
      <c r="KF311" s="534">
        <f t="shared" si="928"/>
        <v>0</v>
      </c>
      <c r="KG311" s="535" t="str">
        <f t="shared" si="929"/>
        <v xml:space="preserve"> </v>
      </c>
      <c r="KH311" s="535" t="str">
        <f t="shared" si="930"/>
        <v xml:space="preserve"> </v>
      </c>
      <c r="KI311" s="535" t="str">
        <f t="shared" si="931"/>
        <v xml:space="preserve"> </v>
      </c>
      <c r="KJ311" s="536" t="str">
        <f t="shared" si="932"/>
        <v xml:space="preserve"> </v>
      </c>
      <c r="KK311" s="535" t="str">
        <f t="shared" si="1015"/>
        <v xml:space="preserve"> </v>
      </c>
      <c r="KL311" s="535" t="str">
        <f t="shared" si="1016"/>
        <v xml:space="preserve"> </v>
      </c>
      <c r="KM311" s="537" t="str">
        <f t="shared" si="933"/>
        <v xml:space="preserve"> </v>
      </c>
      <c r="KN311" s="537" t="str">
        <f t="shared" si="1017"/>
        <v xml:space="preserve"> </v>
      </c>
      <c r="KP311">
        <f t="shared" si="934"/>
        <v>0</v>
      </c>
      <c r="LA311" t="e">
        <f t="shared" si="935"/>
        <v>#VALUE!</v>
      </c>
      <c r="LB311" t="e">
        <f t="shared" si="936"/>
        <v>#VALUE!</v>
      </c>
      <c r="LC311" t="e">
        <f t="shared" si="937"/>
        <v>#VALUE!</v>
      </c>
      <c r="LD311" t="e">
        <f t="shared" si="938"/>
        <v>#VALUE!</v>
      </c>
      <c r="LE311" t="e">
        <f t="shared" si="1018"/>
        <v>#VALUE!</v>
      </c>
      <c r="LF311">
        <f t="shared" si="939"/>
        <v>0</v>
      </c>
      <c r="LG311" t="e">
        <f t="shared" si="1019"/>
        <v>#VALUE!</v>
      </c>
      <c r="LH311" t="str">
        <f t="shared" si="940"/>
        <v xml:space="preserve"> </v>
      </c>
      <c r="LI311">
        <f t="shared" si="1020"/>
        <v>1</v>
      </c>
    </row>
    <row r="312" spans="2:321" ht="15" customHeight="1">
      <c r="B312" s="311"/>
      <c r="C312" s="311"/>
      <c r="D312" s="312"/>
      <c r="E312" s="311"/>
      <c r="F312" s="312"/>
      <c r="G312" s="311"/>
      <c r="H312" s="311"/>
      <c r="I312" s="232"/>
      <c r="J312" s="311"/>
      <c r="K312" s="305" t="str">
        <f t="shared" si="941"/>
        <v/>
      </c>
      <c r="L312" s="313"/>
      <c r="M312" s="312"/>
      <c r="N312" s="311"/>
      <c r="O312" s="312"/>
      <c r="P312" s="311"/>
      <c r="Q312" s="305" t="str">
        <f t="shared" si="942"/>
        <v/>
      </c>
      <c r="R312" s="314"/>
      <c r="S312" s="450" t="str">
        <f t="shared" si="825"/>
        <v/>
      </c>
      <c r="T312" s="315"/>
      <c r="U312" s="315"/>
      <c r="W312" s="149" t="str">
        <f t="shared" si="826"/>
        <v xml:space="preserve"> </v>
      </c>
      <c r="X312" s="243" t="str">
        <f t="shared" si="827"/>
        <v xml:space="preserve"> </v>
      </c>
      <c r="Y312" s="150" t="str">
        <f t="shared" si="828"/>
        <v/>
      </c>
      <c r="Z312" s="149" t="str">
        <f t="shared" si="829"/>
        <v xml:space="preserve"> </v>
      </c>
      <c r="AA312" s="98" t="str">
        <f t="shared" si="830"/>
        <v xml:space="preserve"> </v>
      </c>
      <c r="AB312" s="153" t="str">
        <f t="shared" si="831"/>
        <v xml:space="preserve"> </v>
      </c>
      <c r="AC312" s="153" t="str">
        <f t="shared" si="832"/>
        <v xml:space="preserve"> </v>
      </c>
      <c r="AD312" s="148" t="str">
        <f t="shared" si="833"/>
        <v/>
      </c>
      <c r="AE312" s="149" t="str">
        <f t="shared" si="834"/>
        <v/>
      </c>
      <c r="AF312" s="151" t="str">
        <f t="shared" si="835"/>
        <v xml:space="preserve"> </v>
      </c>
      <c r="AG312" s="153" t="str">
        <f t="shared" si="836"/>
        <v xml:space="preserve"> </v>
      </c>
      <c r="AH312" s="98" t="str">
        <f t="shared" si="837"/>
        <v xml:space="preserve"> </v>
      </c>
      <c r="AI312" s="149" t="str">
        <f t="shared" si="838"/>
        <v xml:space="preserve"> </v>
      </c>
      <c r="AK312" s="144" t="str">
        <f t="shared" si="839"/>
        <v xml:space="preserve"> </v>
      </c>
      <c r="AL312" s="144"/>
      <c r="AM312" s="243" t="str">
        <f t="shared" si="840"/>
        <v xml:space="preserve"> </v>
      </c>
      <c r="AN312" s="149" t="str">
        <f t="shared" si="943"/>
        <v xml:space="preserve"> </v>
      </c>
      <c r="AO312" s="144" t="str">
        <f>IF(JB312&gt;0,IF(GI312=10,-R312*1.085*(Calculation!$F$6-Calculation!$F$13)*$S$14," "),"")</f>
        <v/>
      </c>
      <c r="AP312" s="144" t="str">
        <f t="shared" si="841"/>
        <v/>
      </c>
      <c r="AQ312" s="56" t="str">
        <f t="shared" si="842"/>
        <v/>
      </c>
      <c r="AR312" s="144" t="str">
        <f t="shared" si="843"/>
        <v/>
      </c>
      <c r="AS312" s="176" t="str">
        <f t="shared" si="844"/>
        <v/>
      </c>
      <c r="AT312" s="176" t="str">
        <f t="shared" si="944"/>
        <v xml:space="preserve"> </v>
      </c>
      <c r="AU312" s="176" t="str">
        <f t="shared" si="845"/>
        <v/>
      </c>
      <c r="AV312" s="177" t="str">
        <f t="shared" si="846"/>
        <v xml:space="preserve"> </v>
      </c>
      <c r="AW312" s="144" t="str">
        <f t="shared" si="847"/>
        <v xml:space="preserve"> </v>
      </c>
      <c r="AX312" s="144" t="str">
        <f t="shared" si="848"/>
        <v xml:space="preserve"> </v>
      </c>
      <c r="AY312" s="152" t="str">
        <f t="shared" si="849"/>
        <v xml:space="preserve"> </v>
      </c>
      <c r="AZ312" s="246" t="str">
        <f t="shared" si="850"/>
        <v/>
      </c>
      <c r="BA312" s="176" t="str">
        <f t="shared" si="851"/>
        <v xml:space="preserve"> </v>
      </c>
      <c r="BB312" s="176" t="str">
        <f t="shared" si="852"/>
        <v xml:space="preserve"> </v>
      </c>
      <c r="BC312" s="195"/>
      <c r="BD312" s="316"/>
      <c r="BE312" s="317"/>
      <c r="BF312" s="318"/>
      <c r="BG312" s="318"/>
      <c r="BH312" s="144" t="str">
        <f t="shared" si="1021"/>
        <v xml:space="preserve"> </v>
      </c>
      <c r="BI312" s="176" t="str">
        <f t="shared" si="853"/>
        <v/>
      </c>
      <c r="BJ312" s="144" t="str">
        <f t="shared" si="1022"/>
        <v/>
      </c>
      <c r="BK312" s="246" t="str">
        <f t="shared" si="854"/>
        <v/>
      </c>
      <c r="BL312" s="144" t="str">
        <f t="shared" si="1023"/>
        <v/>
      </c>
      <c r="BM312" s="246" t="str">
        <f t="shared" si="855"/>
        <v/>
      </c>
      <c r="BN312" s="337" t="str">
        <f t="shared" si="945"/>
        <v/>
      </c>
      <c r="BO312" s="371" t="str">
        <f t="shared" si="946"/>
        <v/>
      </c>
      <c r="BP312" s="328" t="str">
        <f t="shared" si="1024"/>
        <v xml:space="preserve"> </v>
      </c>
      <c r="BQ312" s="347" t="str">
        <f t="shared" si="947"/>
        <v xml:space="preserve"> </v>
      </c>
      <c r="BR312" s="353" t="str">
        <f t="shared" si="948"/>
        <v xml:space="preserve"> </v>
      </c>
      <c r="BS312" s="626" t="str">
        <f>IF(L312&gt;0,IF(Calculation!P312="M13",BR312*3.1416*(0.134^2)/(4*144),IF(Calculation!P312="M17",BR312*3.1416*(0.165^2)/(4*144),IF(Calculation!P312="M20",BR312*3.1416*(0.198^2)/(4*144),IF(Calculation!P312="M23",BR312*3.1416*(0.228^2)/(4*144),IF(Calculation!P312="M27",BR312*3.1416*(0.269^2)/(4*144),BR312*3.1416*(0.307^2)/(4*144))))))," ")</f>
        <v xml:space="preserve"> </v>
      </c>
      <c r="BT312" s="353" t="str">
        <f>IF(L312&gt;0,IF(BS312&gt;0,R312/Calculation!BS312,0)," ")</f>
        <v xml:space="preserve"> </v>
      </c>
      <c r="BU312" s="438" t="e">
        <f t="shared" ca="1" si="856"/>
        <v>#VALUE!</v>
      </c>
      <c r="BV312" s="449" t="e">
        <f ca="1">INDEX(INDIRECT(VLOOKUP(LEFT(BO312,7),CLU!$Z$3:$AH$18,2)),GN312,GR312)</f>
        <v>#N/A</v>
      </c>
      <c r="BW312" s="433" t="e">
        <f ca="1">INDEX(INDIRECT(VLOOKUP(LEFT(BO312,7),CLU!$Z$3:$AH$18,3)),GN312,GR312)</f>
        <v>#N/A</v>
      </c>
      <c r="BX312" s="433" t="e">
        <f ca="1">INDEX(INDIRECT(VLOOKUP(LEFT(BO312,7),CLU!$Z$3:$AH$18,4)),GN312,GR312)</f>
        <v>#N/A</v>
      </c>
      <c r="BY312" s="433" t="e">
        <f ca="1">INDEX(INDIRECT(VLOOKUP(LEFT(BO312,7),CLU!$Z$3:$AH$18,9)),((M312-2)*(6-COUNTBLANK(GT312:GY312)))+GJ312)</f>
        <v>#N/A</v>
      </c>
      <c r="BZ312" s="426" t="e">
        <f t="shared" ca="1" si="949"/>
        <v>#N/A</v>
      </c>
      <c r="CA312" s="424" t="e">
        <f t="shared" ca="1" si="950"/>
        <v>#N/A</v>
      </c>
      <c r="CB312" s="429" t="e">
        <f ca="1">INDEX(INDIRECT(VLOOKUP(LEFT(BO312,7),CLU!$Z$3:$AH$18,2)),GN312,GS312)</f>
        <v>#N/A</v>
      </c>
      <c r="CC312" s="342" t="e">
        <f ca="1">INDEX(INDIRECT(VLOOKUP(LEFT(BO312,7),CLU!$Z$3:$AH$18,3)),GN312,GS312)</f>
        <v>#N/A</v>
      </c>
      <c r="CD312" s="342" t="e">
        <f ca="1">INDEX(INDIRECT(VLOOKUP(LEFT(BO312,7),CLU!$Z$3:$AH$18,4)),GN312,GS312)</f>
        <v>#N/A</v>
      </c>
      <c r="CE312" s="426" t="e">
        <f t="shared" ca="1" si="951"/>
        <v>#N/A</v>
      </c>
      <c r="CF312" s="440">
        <f t="shared" si="952"/>
        <v>0</v>
      </c>
      <c r="CG312" s="431" t="e">
        <f ca="1">INDEX(INDIRECT(VLOOKUP(LEFT(BO312,7),CLU!$Z$3:$AH$18,2)),GQ312,GR312)</f>
        <v>#N/A</v>
      </c>
      <c r="CH312" s="431" t="e">
        <f ca="1">INDEX(INDIRECT(VLOOKUP(LEFT(BO312,7),CLU!$Z$3:$AH$18,3)),GQ312,GR312)</f>
        <v>#N/A</v>
      </c>
      <c r="CI312" s="431" t="e">
        <f ca="1">INDEX(INDIRECT(VLOOKUP(LEFT(BO312,7),CLU!$Z$3:$AH$18,4)),GQ312,GR312)</f>
        <v>#N/A</v>
      </c>
      <c r="CJ312" s="448" t="e">
        <f t="shared" ca="1" si="953"/>
        <v>#N/A</v>
      </c>
      <c r="CK312" s="431" t="e">
        <f t="shared" ca="1" si="954"/>
        <v>#N/A</v>
      </c>
      <c r="CL312" s="440" t="e">
        <f t="shared" ca="1" si="955"/>
        <v>#N/A</v>
      </c>
      <c r="CM312" s="431" t="e">
        <f ca="1">INDEX(INDIRECT(VLOOKUP(LEFT(BO312,7),CLU!$Z$3:$AH$18,2)),GQ312,GS312)</f>
        <v>#N/A</v>
      </c>
      <c r="CN312" s="431" t="e">
        <f ca="1">INDEX(INDIRECT(VLOOKUP(LEFT(BO312,7),CLU!$Z$3:$AH$18,3)),GQ312,GS312)</f>
        <v>#N/A</v>
      </c>
      <c r="CO312" s="431" t="e">
        <f ca="1">INDEX(INDIRECT(VLOOKUP(LEFT(BO312,7),CLU!$Z$3:$AH$18,4)),GQ312,GS312)</f>
        <v>#N/A</v>
      </c>
      <c r="CP312" s="431" t="e">
        <f t="shared" ca="1" si="956"/>
        <v>#N/A</v>
      </c>
      <c r="CQ312" s="440">
        <f t="shared" si="957"/>
        <v>0</v>
      </c>
      <c r="CR312" s="51" t="e">
        <f t="shared" ca="1" si="958"/>
        <v>#N/A</v>
      </c>
      <c r="CS312" s="439" t="e">
        <f t="shared" ca="1" si="959"/>
        <v>#VALUE!</v>
      </c>
      <c r="CT312" s="51" t="e">
        <f t="shared" ca="1" si="960"/>
        <v>#VALUE!</v>
      </c>
      <c r="CU312" s="10"/>
      <c r="CV312" s="51" t="e">
        <f t="shared" ca="1" si="857"/>
        <v>#VALUE!</v>
      </c>
      <c r="CW312" s="51">
        <f t="shared" si="961"/>
        <v>0</v>
      </c>
      <c r="CX312" s="439" t="e">
        <f t="shared" ca="1" si="962"/>
        <v>#VALUE!</v>
      </c>
      <c r="CY312" s="51" t="e">
        <f t="shared" ca="1" si="963"/>
        <v>#VALUE!</v>
      </c>
      <c r="CZ312" s="10"/>
      <c r="DA312" s="51" t="e">
        <f t="shared" ca="1" si="964"/>
        <v>#VALUE!</v>
      </c>
      <c r="DB312" s="347" t="e">
        <f ca="1">INDEX(INDIRECT(VLOOKUP(LEFT(BO312,7),CLU!$Z$3:$AI$18,10)),((M312-2)*(6-COUNTBLANK(GT312:GY312)))+GJ312)*LI312</f>
        <v>#N/A</v>
      </c>
      <c r="DC312" s="347" t="str">
        <f>IF(L312&gt;0,((R312/Worksheet!$I$15)/DB312)^2," ")</f>
        <v xml:space="preserve"> </v>
      </c>
      <c r="DD312" s="602" t="str">
        <f t="shared" si="965"/>
        <v xml:space="preserve"> </v>
      </c>
      <c r="DE312" s="347" t="str">
        <f t="shared" si="858"/>
        <v xml:space="preserve"> </v>
      </c>
      <c r="DF312" s="356" t="e">
        <f ca="1">INDEX(INDIRECT(VLOOKUP(LEFT(BO312,7),CLU!$Z$3:$AH$18,8)),((M312-2)*(6-COUNTBLANK(GT312:GY312)))+GJ312)</f>
        <v>#N/A</v>
      </c>
      <c r="DG312" s="347" t="str">
        <f t="shared" si="859"/>
        <v xml:space="preserve"> </v>
      </c>
      <c r="DH312" s="357" t="str">
        <f t="shared" si="860"/>
        <v xml:space="preserve"> </v>
      </c>
      <c r="DI312" s="355" t="str">
        <f t="shared" si="861"/>
        <v xml:space="preserve"> </v>
      </c>
      <c r="DJ312" s="245" t="e">
        <f ca="1">INDEX(INDIRECT(VLOOKUP(LEFT(BO312,7),CLU!$Z$3:$AH$18,5)),GL312,GK312)</f>
        <v>#N/A</v>
      </c>
      <c r="DK312" s="245" t="e">
        <f ca="1">INDEX(INDIRECT(VLOOKUP(LEFT(BO312,7),CLU!$Z$3:$AH$18,6)),GL312,GK312)</f>
        <v>#N/A</v>
      </c>
      <c r="DL312" s="355">
        <f>(Calculation!R312*0.69143*(Calculation!$BQ$8-Calculation!$F$8))*$S$14</f>
        <v>0</v>
      </c>
      <c r="DM312" s="359" t="e">
        <f t="shared" si="966"/>
        <v>#VALUE!</v>
      </c>
      <c r="DN312" s="611">
        <f t="shared" si="967"/>
        <v>0</v>
      </c>
      <c r="DO312" s="359">
        <f t="shared" si="968"/>
        <v>100</v>
      </c>
      <c r="DP312" s="359">
        <f t="shared" si="969"/>
        <v>0</v>
      </c>
      <c r="DQ312" s="360"/>
      <c r="DR312" s="245" t="e">
        <f ca="1">INDEX(INDIRECT(VLOOKUP(LEFT(BO312,7),CLU!$Z$3:$AH$18,7)),M312-1,1)</f>
        <v>#N/A</v>
      </c>
      <c r="DS312" s="245" t="e">
        <f ca="1">INDEX(INDIRECT(VLOOKUP(LEFT(BO312,7),CLU!$Z$3:$AH$18,7)),M312-1,2)</f>
        <v>#N/A</v>
      </c>
      <c r="DT312" s="245" t="e">
        <f ca="1">INDEX(INDIRECT(VLOOKUP(LEFT(BO312,7),CLU!$Z$3:$AH$18,7)),M312-1,3)</f>
        <v>#N/A</v>
      </c>
      <c r="DU312" s="245" t="e">
        <f ca="1">INDEX(INDIRECT(VLOOKUP(LEFT(BO312,7),CLU!$Z$3:$AH$18,7)),M312-1,4)</f>
        <v>#N/A</v>
      </c>
      <c r="DV312" s="361" t="e">
        <f ca="1">INDEX(INDIRECT(VLOOKUP(LEFT(BO312,7),CLU!$Z$3:$AH$18,7)),M312-1,4+LEFT(DZ312,1)*0.5)</f>
        <v>#N/A</v>
      </c>
      <c r="DW312" s="245" t="e">
        <f ca="1">INDEX(INDIRECT(VLOOKUP(LEFT(BO312,7),CLU!$Z$3:$AH$18,7)),M312-1,8)</f>
        <v>#N/A</v>
      </c>
      <c r="DX312" s="361" t="str">
        <f t="shared" si="862"/>
        <v xml:space="preserve"> </v>
      </c>
      <c r="DY312" s="361" t="str">
        <f t="shared" si="863"/>
        <v xml:space="preserve"> </v>
      </c>
      <c r="DZ312" s="361" t="str">
        <f t="shared" si="864"/>
        <v xml:space="preserve"> </v>
      </c>
      <c r="EA312" s="362" t="str">
        <f t="shared" si="865"/>
        <v xml:space="preserve"> </v>
      </c>
      <c r="EB312" s="624" t="str">
        <f t="shared" si="970"/>
        <v xml:space="preserve"> </v>
      </c>
      <c r="EC312" s="361" t="e">
        <f ca="1">INDEX(INDIRECT(VLOOKUP(LEFT(BO312,7),CLU!$Z$3:$AH$18,7)),M312-1,4+LEFT(DZ312,1)*0.5)</f>
        <v>#N/A</v>
      </c>
      <c r="ED312" s="362" t="str">
        <f t="shared" si="866"/>
        <v xml:space="preserve"> </v>
      </c>
      <c r="EE312" s="361" t="str">
        <f t="shared" si="867"/>
        <v xml:space="preserve"> </v>
      </c>
      <c r="EF312" s="362" t="str">
        <f>IF(L312&gt;0,IF(BR312&gt;0,IF(EE312="2P",IF(Calculation!DZ312="2P",IF(Calculation!DS312=13.75,IF(Calculation!DR312=13,Worksheet!$BD$43,IF(Calculation!DR312=37,Worksheet!$BD$44,Worksheet!$BD$45)),IF(Calculation!DS312=10,IF(Calculation!DR312=18,Worksheet!$BD$29,IF(Calculation!DR312=30,Worksheet!$BD$30,IF(Calculation!DR312=42,Worksheet!$BD$31,IF(Calculation!DR312=54,Worksheet!$BD$32,IF(Calculation!DR312=66,Worksheet!$BD$33,IF(Calculation!DR312=78,Worksheet!$BD$34,IF(Calculation!DR312=90,Worksheet!$BD$35,IF(Calculation!DR312=102,Worksheet!$BD$36,Worksheet!$BD$37)))))))),IF(Calculation!DS312=12.5,IF(Calculation!DR312=18,Worksheet!$BD$38,IF(Calculation!DR312=Worksheet!$BD$39,IF(Calculation!DR312=42,Worksheet!$BD$40,IF(Calculation!DR312=54,Worksheet!$BD$41,Worksheet!$BD$42)))),IF(Calculation!DR312=18,Worksheet!$BD$11,IF(Calculation!DR312=30,Worksheet!$BD$12,IF(Calculation!DR312=42,Worksheet!$BD$13,IF(Calculation!DR312=54,Worksheet!$BD$14,IF(Calculation!DR312=66,Worksheet!$BD$15,IF(Calculation!DR312=78,Worksheet!$BD$16,IF(Calculation!DR312=90,Worksheet!$BD$17,IF(Calculation!DR312=102,Worksheet!$BD$18,Worksheet!$BD$19))))))))))),IF(Calculation!DS312=13.75,IF(Calculation!DR312=13,Worksheet!$BD$78,IF(Calculation!DR312=37,Worksheet!$BD$79,Worksheet!$BD$80)),IF(Calculation!DS312=10,IF(Calculation!DR312=18,Worksheet!$BD$64,IF(Calculation!DR312=30,Worksheet!$BD$65,IF(Calculation!DR312=42,Worksheet!$BD$66,IF(Calculation!DR312=54,Worksheet!$BD$68,IF(Calculation!DR312=66,Worksheet!$BD$68,IF(Calculation!DR312=78,Worksheet!$BD$69,IF(Calculation!DR312=90,Worksheet!$BD$70,IF(Calculation!DR312=102,Worksheet!$BD$71,Worksheet!$BD$72)))))))),IF(Calculation!DS312=12.5,IF(Calculation!DR312=18,Worksheet!$BD$73,IF(Calculation!DR312=Worksheet!$BD$74,IF(Calculation!DR312=42,Worksheet!$BD$75,IF(Calculation!DR312=54,Worksheet!$BD$76,Worksheet!$BD$77)))),IF(Calculation!DR312=18,Worksheet!$BD$55,IF(Calculation!DR312=30,Worksheet!$BD$56,IF(Calculation!DR312=42,Worksheet!$BD$57,IF(Calculation!DR312=54,Worksheet!$BD$58,IF(Calculation!DR312=66,Worksheet!$BD$59,IF(Calculation!DR312=78,Worksheet!$BD$60,IF(Calculation!DR312=90,Worksheet!$BD$61,IF(Calculation!DR312=102,Worksheet!$BD$62,Worksheet!$BD$63)))))))))))),5),0)," ")</f>
        <v xml:space="preserve"> </v>
      </c>
      <c r="EG312" s="361" t="str">
        <f t="shared" si="868"/>
        <v xml:space="preserve"> </v>
      </c>
      <c r="EH312" s="361" t="e">
        <f ca="1">INDEX(INDIRECT(VLOOKUP(LEFT(BO312,7),CLU!$Z$3:$AH$18,7)),M312-1,3+LEFT(DZ312,1))</f>
        <v>#N/A</v>
      </c>
      <c r="EI312" s="362" t="str">
        <f t="shared" si="869"/>
        <v xml:space="preserve"> </v>
      </c>
      <c r="EJ312" s="363" t="str">
        <f t="shared" si="870"/>
        <v xml:space="preserve"> </v>
      </c>
      <c r="EK312" s="363" t="str">
        <f t="shared" si="871"/>
        <v xml:space="preserve"> </v>
      </c>
      <c r="EL312" s="363" t="str">
        <f t="shared" si="872"/>
        <v xml:space="preserve"> </v>
      </c>
      <c r="EM312" s="362" t="str">
        <f>IF(L312&gt;0,IF(BR312&gt;0,(Calculation!T312/ED312)^2,0)," ")</f>
        <v xml:space="preserve"> </v>
      </c>
      <c r="EN312" s="362" t="str">
        <f>IF(L312&gt;0,IF(O312="2 Pipe (Cooling)","N/A",IF(BR312&gt;0,(Calculation!U312/EI312)^2,0))," ")</f>
        <v xml:space="preserve"> </v>
      </c>
      <c r="EO312" s="361" t="str">
        <f t="shared" si="873"/>
        <v/>
      </c>
      <c r="EP312" s="361" t="str">
        <f t="shared" si="874"/>
        <v/>
      </c>
      <c r="EQ312" s="361" t="str">
        <f t="shared" si="875"/>
        <v/>
      </c>
      <c r="ER312" s="361" t="str">
        <f t="shared" si="876"/>
        <v/>
      </c>
      <c r="ES312" s="361" t="str">
        <f t="shared" si="877"/>
        <v/>
      </c>
      <c r="ET312" s="361" t="str">
        <f t="shared" si="878"/>
        <v/>
      </c>
      <c r="EU312" s="361" t="str">
        <f t="shared" si="879"/>
        <v/>
      </c>
      <c r="EV312" s="361" t="str">
        <f t="shared" si="880"/>
        <v/>
      </c>
      <c r="EW312" s="361" t="str">
        <f t="shared" si="881"/>
        <v/>
      </c>
      <c r="EX312" s="361" t="str">
        <f t="shared" si="971"/>
        <v>1 slot, 1 way</v>
      </c>
      <c r="EY312" s="361" t="str">
        <f t="shared" si="972"/>
        <v xml:space="preserve"> </v>
      </c>
      <c r="EZ312" s="361" t="str">
        <f t="shared" si="973"/>
        <v xml:space="preserve"> </v>
      </c>
      <c r="FA312" s="361" t="str">
        <f t="shared" si="974"/>
        <v xml:space="preserve"> </v>
      </c>
      <c r="FB312" s="361" t="str">
        <f t="shared" si="975"/>
        <v xml:space="preserve"> </v>
      </c>
      <c r="FC312" s="361"/>
      <c r="FD312" s="361" t="str">
        <f>IF(J312&gt;0,IF(Calculation!R312&lt;=70,4,IF(Calculation!R312&lt;=110,5,IF(Calculation!R312&lt;=160,6,IF(Calculation!R312&lt;=300,8,"10 EO")))),"")</f>
        <v/>
      </c>
      <c r="FE312" s="361" t="str">
        <f t="shared" si="976"/>
        <v/>
      </c>
      <c r="FF312" s="361" t="str">
        <f t="shared" si="977"/>
        <v/>
      </c>
      <c r="FG312" s="361" t="e">
        <f t="shared" si="882"/>
        <v>#N/A</v>
      </c>
      <c r="FH312" s="361">
        <f t="shared" si="883"/>
        <v>0</v>
      </c>
      <c r="FI312" s="361" t="e">
        <f t="shared" si="884"/>
        <v>#DIV/0!</v>
      </c>
      <c r="FJ312" s="361"/>
      <c r="FK312" s="356" t="e">
        <f t="shared" si="885"/>
        <v>#VALUE!</v>
      </c>
      <c r="FL312" s="361"/>
      <c r="FM312" s="361"/>
      <c r="FN312" s="362" t="str">
        <f t="shared" si="978"/>
        <v xml:space="preserve"> </v>
      </c>
      <c r="FO312" s="362" t="str">
        <f t="shared" si="979"/>
        <v xml:space="preserve"> </v>
      </c>
      <c r="FP312" s="362">
        <f t="shared" si="980"/>
        <v>0</v>
      </c>
      <c r="FQ312" s="361">
        <f t="shared" si="886"/>
        <v>0</v>
      </c>
      <c r="FR312" s="362" t="str">
        <f>IF(L312&gt;0,IF(J312="CBAL2",Worksheet!$P$67,IF(J312="CBE2-24",Worksheet!$Q$67,IF(J312="CBAM",Worksheet!$R$67,IF(J312="CBLV",Worksheet!$S$67,IF(J312="CBAB",Worksheet!$U$67,IF(J312="CBAW",Worksheet!$X$67,IF(J312="CBE2-12",Worksheet!$Y$67,IF(J312="CBAL2",Worksheet!$Z$67,"N/A"))))))))," ")</f>
        <v xml:space="preserve"> </v>
      </c>
      <c r="FS312" s="362" t="str">
        <f>IF(L312&gt;0,IF(J312="CBAL2",Worksheet!$P$68,IF(J312="CBE2-24",Worksheet!$Q$68,IF(J312="CBAM",Worksheet!$R$68,IF(J312="CBLV",Worksheet!$S$68,IF(J312="CBAB",Worksheet!$U$68,IF(J312="CBAW",Worksheet!$X$68,IF(J312="CBE2-12",Worksheet!$Y$68,IF(J312="CBAL2",Worksheet!$Z$68,"N/A"))))))))," ")</f>
        <v xml:space="preserve"> </v>
      </c>
      <c r="FT312" s="362" t="str">
        <f>IF(L312&gt;0,IF(J312="CBAL2",Worksheet!$P$69,IF(J312="CBE2-24",Worksheet!$Q$69,IF(J312="CBAM",Worksheet!$R$69,IF(J312="CBLV",Worksheet!$S$69,IF(J312="CBAB",Worksheet!$U$69,IF(J312="CBAW",Worksheet!$X$69,IF(J312="CBE2-12",Worksheet!$Y$69,IF(J312="CBAL2",Worksheet!$Z$69,"N/A"))))))))," ")</f>
        <v xml:space="preserve"> </v>
      </c>
      <c r="FU312" s="361" t="str">
        <f t="shared" si="981"/>
        <v xml:space="preserve"> </v>
      </c>
      <c r="FV312" s="362" t="str">
        <f t="shared" si="982"/>
        <v xml:space="preserve"> </v>
      </c>
      <c r="FW312" s="362" t="str">
        <f t="shared" si="983"/>
        <v xml:space="preserve"> </v>
      </c>
      <c r="FX312" s="362" t="str">
        <f t="shared" si="984"/>
        <v xml:space="preserve"> </v>
      </c>
      <c r="FY312" s="355" t="str">
        <f t="shared" si="985"/>
        <v xml:space="preserve"> </v>
      </c>
      <c r="FZ312" s="361" t="str">
        <f t="shared" si="986"/>
        <v xml:space="preserve"> </v>
      </c>
      <c r="GA312" s="347" t="str">
        <f t="shared" si="987"/>
        <v xml:space="preserve"> </v>
      </c>
      <c r="GB312" s="355" t="str">
        <f t="shared" si="988"/>
        <v xml:space="preserve"> </v>
      </c>
      <c r="GC312" s="328" t="str">
        <f t="shared" si="989"/>
        <v xml:space="preserve"> </v>
      </c>
      <c r="GD312" s="361" t="str">
        <f t="shared" si="990"/>
        <v xml:space="preserve"> </v>
      </c>
      <c r="GE312" s="347" t="str">
        <f t="shared" si="991"/>
        <v xml:space="preserve"> </v>
      </c>
      <c r="GF312" s="361" t="str">
        <f t="shared" si="992"/>
        <v xml:space="preserve"> </v>
      </c>
      <c r="GG312" s="347" t="str">
        <f t="shared" si="993"/>
        <v xml:space="preserve"> </v>
      </c>
      <c r="GH312" s="364">
        <f t="shared" si="887"/>
        <v>0</v>
      </c>
      <c r="GI312" s="362">
        <f t="shared" si="994"/>
        <v>2</v>
      </c>
      <c r="GJ312" s="433" t="e">
        <f>IF(6-COUNTBLANK(GT312:GY312)=4,MATCH(MID(BO312,9,3),CLU!$H$16:$K$16),MATCH(MID(BO312,9,3),CLU!$H$13:$M$13))</f>
        <v>#N/A</v>
      </c>
      <c r="GK312" s="433" t="e">
        <f>HLOOKUP(VALUE(BP312),CLU!$H$9:$M$10,2)</f>
        <v>#VALUE!</v>
      </c>
      <c r="GL312" s="433" t="e">
        <f ca="1">MATCH(BU312,CLU!$H$2:$V$2,1)</f>
        <v>#VALUE!</v>
      </c>
      <c r="GM312" s="433" t="e">
        <f t="shared" ca="1" si="995"/>
        <v>#VALUE!</v>
      </c>
      <c r="GN312" s="433" t="e">
        <f t="shared" ca="1" si="996"/>
        <v>#VALUE!</v>
      </c>
      <c r="GO312" s="433" t="e">
        <f t="shared" ca="1" si="997"/>
        <v>#VALUE!</v>
      </c>
      <c r="GP312" s="433" t="e">
        <f t="shared" ca="1" si="998"/>
        <v>#VALUE!</v>
      </c>
      <c r="GQ312" s="433" t="e">
        <f t="shared" ca="1" si="999"/>
        <v>#VALUE!</v>
      </c>
      <c r="GR312" s="433" t="e">
        <f ca="1">MATCH(T312,INDIRECT(VLOOKUP(CONCATENATE(LEFT(BO312,7),"-",MID(BO312,13,1)),CLU!$P$3:$Q$16,2)),1)</f>
        <v>#N/A</v>
      </c>
      <c r="GS312" s="433" t="e">
        <f ca="1">MATCH(U312,INDIRECT(VLOOKUP(CONCATENATE(LEFT(BO312,7),"-",MID(BO312,13,1)),CLU!$P$3:$Q$16,2)),1)</f>
        <v>#N/A</v>
      </c>
      <c r="GT312" s="347" t="s">
        <v>512</v>
      </c>
      <c r="GU312" s="97" t="s">
        <v>513</v>
      </c>
      <c r="GV312" s="97" t="str">
        <f t="shared" si="1000"/>
        <v>M23</v>
      </c>
      <c r="GW312" s="97" t="str">
        <f t="shared" si="1001"/>
        <v>M31</v>
      </c>
      <c r="GX312" s="97" t="str">
        <f t="shared" si="1002"/>
        <v/>
      </c>
      <c r="GY312" s="97" t="str">
        <f t="shared" si="1003"/>
        <v/>
      </c>
      <c r="GZ312" s="481"/>
      <c r="HA312" s="240"/>
      <c r="HB312" s="240"/>
      <c r="HC312" s="240"/>
      <c r="HD312" s="240"/>
      <c r="HE312" s="240"/>
      <c r="HF312" s="240"/>
      <c r="HG312" s="240"/>
      <c r="HH312" s="240"/>
      <c r="HI312" s="240"/>
      <c r="HJ312" s="240"/>
      <c r="HK312" s="240"/>
      <c r="HL312" s="240"/>
      <c r="HM312" s="240"/>
      <c r="HN312" s="240"/>
      <c r="HO312" s="240"/>
      <c r="HP312" s="240"/>
      <c r="HQ312" s="240"/>
      <c r="HR312" s="240"/>
      <c r="HS312" s="240"/>
      <c r="HT312" s="240"/>
      <c r="HU312" s="240"/>
      <c r="HV312" s="245"/>
      <c r="HW312" s="245" t="b">
        <v>1</v>
      </c>
      <c r="HX312" s="245" t="str">
        <f t="shared" si="888"/>
        <v/>
      </c>
      <c r="HY312" s="245" t="e">
        <f t="shared" si="889"/>
        <v>#DIV/0!</v>
      </c>
      <c r="HZ312" s="245" t="e">
        <f t="shared" si="890"/>
        <v>#DIV/0!</v>
      </c>
      <c r="IA312" s="245">
        <f t="shared" si="891"/>
        <v>0</v>
      </c>
      <c r="IB312" s="245"/>
      <c r="IC312" t="b">
        <f t="shared" si="892"/>
        <v>1</v>
      </c>
      <c r="ID312" s="245" t="b">
        <f t="shared" si="893"/>
        <v>1</v>
      </c>
      <c r="IE312" s="245" t="b">
        <f t="shared" si="894"/>
        <v>1</v>
      </c>
      <c r="IF312" s="245" t="b">
        <f t="shared" si="895"/>
        <v>0</v>
      </c>
      <c r="IG312" s="245" t="b">
        <f t="shared" si="896"/>
        <v>1</v>
      </c>
      <c r="IH312" s="245" t="b">
        <f t="shared" si="897"/>
        <v>1</v>
      </c>
      <c r="II312" s="245">
        <f t="shared" si="1004"/>
        <v>0</v>
      </c>
      <c r="IJ312" s="245" t="e">
        <f t="shared" si="898"/>
        <v>#VALUE!</v>
      </c>
      <c r="IK312" s="245" t="e">
        <f t="shared" si="899"/>
        <v>#VALUE!</v>
      </c>
      <c r="IL312" s="245"/>
      <c r="IM312" s="245" t="e">
        <f t="shared" si="1005"/>
        <v>#N/A</v>
      </c>
      <c r="IN312" s="245" t="e">
        <f t="shared" si="1006"/>
        <v>#N/A</v>
      </c>
      <c r="IO312" s="245"/>
      <c r="IP312" s="245"/>
      <c r="IQ312" s="245" t="str">
        <f t="shared" si="900"/>
        <v/>
      </c>
      <c r="IR312" s="245" t="str">
        <f>IF(J312="","",VLOOKUP(J312,Worksheet!$R$4:$T$14,2))</f>
        <v/>
      </c>
      <c r="IS312" s="245"/>
      <c r="IT312" s="245">
        <f t="shared" si="901"/>
        <v>0</v>
      </c>
      <c r="IU312" s="245">
        <f t="shared" si="902"/>
        <v>0</v>
      </c>
      <c r="IV312" s="245">
        <f t="shared" si="903"/>
        <v>0</v>
      </c>
      <c r="IW312" s="245">
        <f t="shared" si="904"/>
        <v>0</v>
      </c>
      <c r="IX312" s="245">
        <f t="shared" si="1007"/>
        <v>0</v>
      </c>
      <c r="IY312" s="245">
        <f t="shared" si="905"/>
        <v>0</v>
      </c>
      <c r="IZ312" s="245">
        <f t="shared" si="906"/>
        <v>0</v>
      </c>
      <c r="JA312">
        <f t="shared" si="907"/>
        <v>0</v>
      </c>
      <c r="JB312">
        <f t="shared" si="1008"/>
        <v>0</v>
      </c>
      <c r="JC312">
        <f t="shared" si="908"/>
        <v>0</v>
      </c>
      <c r="JD312">
        <f t="shared" si="909"/>
        <v>0</v>
      </c>
      <c r="JE312">
        <f t="shared" si="910"/>
        <v>0</v>
      </c>
      <c r="JF312">
        <f t="shared" si="911"/>
        <v>0</v>
      </c>
      <c r="JG312">
        <f t="shared" si="912"/>
        <v>0</v>
      </c>
      <c r="JH312">
        <f t="shared" si="913"/>
        <v>0</v>
      </c>
      <c r="JI312">
        <f t="shared" si="914"/>
        <v>0</v>
      </c>
      <c r="JJ312" s="447">
        <f t="shared" si="915"/>
        <v>0</v>
      </c>
      <c r="JK312" s="447">
        <f t="shared" si="916"/>
        <v>0</v>
      </c>
      <c r="JL312">
        <f t="shared" si="917"/>
        <v>0</v>
      </c>
      <c r="JM312" s="245" t="str">
        <f>IFERROR(VLOOKUP(MATCH(BN312,#REF!,0),#REF!,7),"")</f>
        <v/>
      </c>
      <c r="JN312" t="e">
        <f>HLOOKUP(LEFT(BO312,7),Discharge_Area,MATCH(JO312,LookUps!$B$130:$B$149,1)+2)</f>
        <v>#N/A</v>
      </c>
      <c r="JO312" t="str">
        <f t="shared" si="918"/>
        <v>- S</v>
      </c>
      <c r="JP312" t="e">
        <f>HLOOKUP(LEFT(BO312,7),Discharge_Area,MATCH(JO312,LookUps!$B$130:$B$149,1)+2)</f>
        <v>#N/A</v>
      </c>
      <c r="JQ312" t="e">
        <f t="shared" si="919"/>
        <v>#N/A</v>
      </c>
      <c r="JR312" t="e">
        <f t="shared" si="920"/>
        <v>#N/A</v>
      </c>
      <c r="JS312" t="e">
        <f t="shared" si="921"/>
        <v>#N/A</v>
      </c>
      <c r="JT312" s="532" t="str">
        <f t="shared" si="922"/>
        <v xml:space="preserve"> </v>
      </c>
      <c r="JU312" s="532" t="str">
        <f t="shared" si="923"/>
        <v xml:space="preserve"> </v>
      </c>
      <c r="JV312" s="533" t="str">
        <f t="shared" si="924"/>
        <v xml:space="preserve"> </v>
      </c>
      <c r="JW312" s="534">
        <f t="shared" si="925"/>
        <v>0</v>
      </c>
      <c r="JX312" s="535" t="str">
        <f t="shared" si="1009"/>
        <v xml:space="preserve"> </v>
      </c>
      <c r="JY312" s="535" t="str">
        <f t="shared" si="1010"/>
        <v xml:space="preserve"> </v>
      </c>
      <c r="JZ312" s="535" t="str">
        <f t="shared" si="1011"/>
        <v xml:space="preserve"> </v>
      </c>
      <c r="KA312" s="536" t="str">
        <f t="shared" si="926"/>
        <v xml:space="preserve"> </v>
      </c>
      <c r="KB312" s="535" t="e">
        <f t="shared" si="1012"/>
        <v>#VALUE!</v>
      </c>
      <c r="KC312" s="535" t="str">
        <f t="shared" si="927"/>
        <v/>
      </c>
      <c r="KD312" s="537" t="str">
        <f t="shared" si="1013"/>
        <v xml:space="preserve"> </v>
      </c>
      <c r="KE312" s="537" t="str">
        <f t="shared" si="1014"/>
        <v xml:space="preserve"> </v>
      </c>
      <c r="KF312" s="534">
        <f t="shared" si="928"/>
        <v>0</v>
      </c>
      <c r="KG312" s="535" t="str">
        <f t="shared" si="929"/>
        <v xml:space="preserve"> </v>
      </c>
      <c r="KH312" s="535" t="str">
        <f t="shared" si="930"/>
        <v xml:space="preserve"> </v>
      </c>
      <c r="KI312" s="535" t="str">
        <f t="shared" si="931"/>
        <v xml:space="preserve"> </v>
      </c>
      <c r="KJ312" s="536" t="str">
        <f t="shared" si="932"/>
        <v xml:space="preserve"> </v>
      </c>
      <c r="KK312" s="535" t="str">
        <f t="shared" si="1015"/>
        <v xml:space="preserve"> </v>
      </c>
      <c r="KL312" s="535" t="str">
        <f t="shared" si="1016"/>
        <v xml:space="preserve"> </v>
      </c>
      <c r="KM312" s="537" t="str">
        <f t="shared" si="933"/>
        <v xml:space="preserve"> </v>
      </c>
      <c r="KN312" s="537" t="str">
        <f t="shared" si="1017"/>
        <v xml:space="preserve"> </v>
      </c>
      <c r="KP312">
        <f t="shared" si="934"/>
        <v>0</v>
      </c>
      <c r="LA312" t="e">
        <f t="shared" si="935"/>
        <v>#VALUE!</v>
      </c>
      <c r="LB312" t="e">
        <f t="shared" si="936"/>
        <v>#VALUE!</v>
      </c>
      <c r="LC312" t="e">
        <f t="shared" si="937"/>
        <v>#VALUE!</v>
      </c>
      <c r="LD312" t="e">
        <f t="shared" si="938"/>
        <v>#VALUE!</v>
      </c>
      <c r="LE312" t="e">
        <f t="shared" si="1018"/>
        <v>#VALUE!</v>
      </c>
      <c r="LF312">
        <f t="shared" si="939"/>
        <v>0</v>
      </c>
      <c r="LG312" t="e">
        <f t="shared" si="1019"/>
        <v>#VALUE!</v>
      </c>
      <c r="LH312" t="str">
        <f t="shared" si="940"/>
        <v xml:space="preserve"> </v>
      </c>
      <c r="LI312">
        <f t="shared" si="1020"/>
        <v>1</v>
      </c>
    </row>
    <row r="313" spans="2:321" ht="15" customHeight="1">
      <c r="B313" s="311"/>
      <c r="C313" s="311"/>
      <c r="D313" s="312"/>
      <c r="E313" s="311"/>
      <c r="F313" s="312"/>
      <c r="G313" s="311"/>
      <c r="H313" s="311"/>
      <c r="I313" s="232"/>
      <c r="J313" s="311"/>
      <c r="K313" s="305" t="str">
        <f t="shared" si="941"/>
        <v/>
      </c>
      <c r="L313" s="313"/>
      <c r="M313" s="312"/>
      <c r="N313" s="311"/>
      <c r="O313" s="312"/>
      <c r="P313" s="311"/>
      <c r="Q313" s="305" t="str">
        <f t="shared" si="942"/>
        <v/>
      </c>
      <c r="R313" s="314"/>
      <c r="S313" s="450" t="str">
        <f t="shared" si="825"/>
        <v/>
      </c>
      <c r="T313" s="315"/>
      <c r="U313" s="315"/>
      <c r="W313" s="149" t="str">
        <f t="shared" si="826"/>
        <v xml:space="preserve"> </v>
      </c>
      <c r="X313" s="243" t="str">
        <f t="shared" si="827"/>
        <v xml:space="preserve"> </v>
      </c>
      <c r="Y313" s="150" t="str">
        <f t="shared" si="828"/>
        <v/>
      </c>
      <c r="Z313" s="149" t="str">
        <f t="shared" si="829"/>
        <v xml:space="preserve"> </v>
      </c>
      <c r="AA313" s="98" t="str">
        <f t="shared" si="830"/>
        <v xml:space="preserve"> </v>
      </c>
      <c r="AB313" s="153" t="str">
        <f t="shared" si="831"/>
        <v xml:space="preserve"> </v>
      </c>
      <c r="AC313" s="153" t="str">
        <f t="shared" si="832"/>
        <v xml:space="preserve"> </v>
      </c>
      <c r="AD313" s="148" t="str">
        <f t="shared" si="833"/>
        <v/>
      </c>
      <c r="AE313" s="149" t="str">
        <f t="shared" si="834"/>
        <v/>
      </c>
      <c r="AF313" s="151" t="str">
        <f t="shared" si="835"/>
        <v xml:space="preserve"> </v>
      </c>
      <c r="AG313" s="153" t="str">
        <f t="shared" si="836"/>
        <v xml:space="preserve"> </v>
      </c>
      <c r="AH313" s="98" t="str">
        <f t="shared" si="837"/>
        <v xml:space="preserve"> </v>
      </c>
      <c r="AI313" s="149" t="str">
        <f t="shared" si="838"/>
        <v xml:space="preserve"> </v>
      </c>
      <c r="AK313" s="144" t="str">
        <f t="shared" si="839"/>
        <v xml:space="preserve"> </v>
      </c>
      <c r="AL313" s="144"/>
      <c r="AM313" s="243" t="str">
        <f t="shared" si="840"/>
        <v xml:space="preserve"> </v>
      </c>
      <c r="AN313" s="149" t="str">
        <f t="shared" si="943"/>
        <v xml:space="preserve"> </v>
      </c>
      <c r="AO313" s="144" t="str">
        <f>IF(JB313&gt;0,IF(GI313=10,-R313*1.085*(Calculation!$F$6-Calculation!$F$13)*$S$14," "),"")</f>
        <v/>
      </c>
      <c r="AP313" s="144" t="str">
        <f t="shared" si="841"/>
        <v/>
      </c>
      <c r="AQ313" s="56" t="str">
        <f t="shared" si="842"/>
        <v/>
      </c>
      <c r="AR313" s="144" t="str">
        <f t="shared" si="843"/>
        <v/>
      </c>
      <c r="AS313" s="176" t="str">
        <f t="shared" si="844"/>
        <v/>
      </c>
      <c r="AT313" s="176" t="str">
        <f t="shared" si="944"/>
        <v xml:space="preserve"> </v>
      </c>
      <c r="AU313" s="176" t="str">
        <f t="shared" si="845"/>
        <v/>
      </c>
      <c r="AV313" s="177" t="str">
        <f t="shared" si="846"/>
        <v xml:space="preserve"> </v>
      </c>
      <c r="AW313" s="144" t="str">
        <f t="shared" si="847"/>
        <v xml:space="preserve"> </v>
      </c>
      <c r="AX313" s="144" t="str">
        <f t="shared" si="848"/>
        <v xml:space="preserve"> </v>
      </c>
      <c r="AY313" s="152" t="str">
        <f t="shared" si="849"/>
        <v xml:space="preserve"> </v>
      </c>
      <c r="AZ313" s="246" t="str">
        <f t="shared" si="850"/>
        <v/>
      </c>
      <c r="BA313" s="176" t="str">
        <f t="shared" si="851"/>
        <v xml:space="preserve"> </v>
      </c>
      <c r="BB313" s="176" t="str">
        <f t="shared" si="852"/>
        <v xml:space="preserve"> </v>
      </c>
      <c r="BC313" s="195"/>
      <c r="BD313" s="316"/>
      <c r="BE313" s="317"/>
      <c r="BF313" s="318"/>
      <c r="BG313" s="318"/>
      <c r="BH313" s="144" t="str">
        <f t="shared" si="1021"/>
        <v xml:space="preserve"> </v>
      </c>
      <c r="BI313" s="176" t="str">
        <f t="shared" si="853"/>
        <v/>
      </c>
      <c r="BJ313" s="144" t="str">
        <f t="shared" si="1022"/>
        <v/>
      </c>
      <c r="BK313" s="246" t="str">
        <f t="shared" si="854"/>
        <v/>
      </c>
      <c r="BL313" s="144" t="str">
        <f t="shared" si="1023"/>
        <v/>
      </c>
      <c r="BM313" s="246" t="str">
        <f t="shared" si="855"/>
        <v/>
      </c>
      <c r="BN313" s="337" t="str">
        <f t="shared" si="945"/>
        <v/>
      </c>
      <c r="BO313" s="371" t="str">
        <f t="shared" si="946"/>
        <v/>
      </c>
      <c r="BP313" s="328" t="str">
        <f t="shared" si="1024"/>
        <v xml:space="preserve"> </v>
      </c>
      <c r="BQ313" s="347" t="str">
        <f t="shared" si="947"/>
        <v xml:space="preserve"> </v>
      </c>
      <c r="BR313" s="353" t="str">
        <f t="shared" si="948"/>
        <v xml:space="preserve"> </v>
      </c>
      <c r="BS313" s="626" t="str">
        <f>IF(L313&gt;0,IF(Calculation!P313="M13",BR313*3.1416*(0.134^2)/(4*144),IF(Calculation!P313="M17",BR313*3.1416*(0.165^2)/(4*144),IF(Calculation!P313="M20",BR313*3.1416*(0.198^2)/(4*144),IF(Calculation!P313="M23",BR313*3.1416*(0.228^2)/(4*144),IF(Calculation!P313="M27",BR313*3.1416*(0.269^2)/(4*144),BR313*3.1416*(0.307^2)/(4*144))))))," ")</f>
        <v xml:space="preserve"> </v>
      </c>
      <c r="BT313" s="353" t="str">
        <f>IF(L313&gt;0,IF(BS313&gt;0,R313/Calculation!BS313,0)," ")</f>
        <v xml:space="preserve"> </v>
      </c>
      <c r="BU313" s="438" t="e">
        <f t="shared" ca="1" si="856"/>
        <v>#VALUE!</v>
      </c>
      <c r="BV313" s="449" t="e">
        <f ca="1">INDEX(INDIRECT(VLOOKUP(LEFT(BO313,7),CLU!$Z$3:$AH$18,2)),GN313,GR313)</f>
        <v>#N/A</v>
      </c>
      <c r="BW313" s="433" t="e">
        <f ca="1">INDEX(INDIRECT(VLOOKUP(LEFT(BO313,7),CLU!$Z$3:$AH$18,3)),GN313,GR313)</f>
        <v>#N/A</v>
      </c>
      <c r="BX313" s="433" t="e">
        <f ca="1">INDEX(INDIRECT(VLOOKUP(LEFT(BO313,7),CLU!$Z$3:$AH$18,4)),GN313,GR313)</f>
        <v>#N/A</v>
      </c>
      <c r="BY313" s="433" t="e">
        <f ca="1">INDEX(INDIRECT(VLOOKUP(LEFT(BO313,7),CLU!$Z$3:$AH$18,9)),((M313-2)*(6-COUNTBLANK(GT313:GY313)))+GJ313)</f>
        <v>#N/A</v>
      </c>
      <c r="BZ313" s="426" t="e">
        <f t="shared" ca="1" si="949"/>
        <v>#N/A</v>
      </c>
      <c r="CA313" s="424" t="e">
        <f t="shared" ca="1" si="950"/>
        <v>#N/A</v>
      </c>
      <c r="CB313" s="429" t="e">
        <f ca="1">INDEX(INDIRECT(VLOOKUP(LEFT(BO313,7),CLU!$Z$3:$AH$18,2)),GN313,GS313)</f>
        <v>#N/A</v>
      </c>
      <c r="CC313" s="342" t="e">
        <f ca="1">INDEX(INDIRECT(VLOOKUP(LEFT(BO313,7),CLU!$Z$3:$AH$18,3)),GN313,GS313)</f>
        <v>#N/A</v>
      </c>
      <c r="CD313" s="342" t="e">
        <f ca="1">INDEX(INDIRECT(VLOOKUP(LEFT(BO313,7),CLU!$Z$3:$AH$18,4)),GN313,GS313)</f>
        <v>#N/A</v>
      </c>
      <c r="CE313" s="426" t="e">
        <f t="shared" ca="1" si="951"/>
        <v>#N/A</v>
      </c>
      <c r="CF313" s="440">
        <f t="shared" si="952"/>
        <v>0</v>
      </c>
      <c r="CG313" s="431" t="e">
        <f ca="1">INDEX(INDIRECT(VLOOKUP(LEFT(BO313,7),CLU!$Z$3:$AH$18,2)),GQ313,GR313)</f>
        <v>#N/A</v>
      </c>
      <c r="CH313" s="431" t="e">
        <f ca="1">INDEX(INDIRECT(VLOOKUP(LEFT(BO313,7),CLU!$Z$3:$AH$18,3)),GQ313,GR313)</f>
        <v>#N/A</v>
      </c>
      <c r="CI313" s="431" t="e">
        <f ca="1">INDEX(INDIRECT(VLOOKUP(LEFT(BO313,7),CLU!$Z$3:$AH$18,4)),GQ313,GR313)</f>
        <v>#N/A</v>
      </c>
      <c r="CJ313" s="448" t="e">
        <f t="shared" ca="1" si="953"/>
        <v>#N/A</v>
      </c>
      <c r="CK313" s="431" t="e">
        <f t="shared" ca="1" si="954"/>
        <v>#N/A</v>
      </c>
      <c r="CL313" s="440" t="e">
        <f t="shared" ca="1" si="955"/>
        <v>#N/A</v>
      </c>
      <c r="CM313" s="431" t="e">
        <f ca="1">INDEX(INDIRECT(VLOOKUP(LEFT(BO313,7),CLU!$Z$3:$AH$18,2)),GQ313,GS313)</f>
        <v>#N/A</v>
      </c>
      <c r="CN313" s="431" t="e">
        <f ca="1">INDEX(INDIRECT(VLOOKUP(LEFT(BO313,7),CLU!$Z$3:$AH$18,3)),GQ313,GS313)</f>
        <v>#N/A</v>
      </c>
      <c r="CO313" s="431" t="e">
        <f ca="1">INDEX(INDIRECT(VLOOKUP(LEFT(BO313,7),CLU!$Z$3:$AH$18,4)),GQ313,GS313)</f>
        <v>#N/A</v>
      </c>
      <c r="CP313" s="431" t="e">
        <f t="shared" ca="1" si="956"/>
        <v>#N/A</v>
      </c>
      <c r="CQ313" s="440">
        <f t="shared" si="957"/>
        <v>0</v>
      </c>
      <c r="CR313" s="51" t="e">
        <f t="shared" ca="1" si="958"/>
        <v>#N/A</v>
      </c>
      <c r="CS313" s="439" t="e">
        <f t="shared" ca="1" si="959"/>
        <v>#VALUE!</v>
      </c>
      <c r="CT313" s="51" t="e">
        <f t="shared" ca="1" si="960"/>
        <v>#VALUE!</v>
      </c>
      <c r="CU313" s="10"/>
      <c r="CV313" s="51" t="e">
        <f t="shared" ca="1" si="857"/>
        <v>#VALUE!</v>
      </c>
      <c r="CW313" s="51">
        <f t="shared" si="961"/>
        <v>0</v>
      </c>
      <c r="CX313" s="439" t="e">
        <f t="shared" ca="1" si="962"/>
        <v>#VALUE!</v>
      </c>
      <c r="CY313" s="51" t="e">
        <f t="shared" ca="1" si="963"/>
        <v>#VALUE!</v>
      </c>
      <c r="CZ313" s="10"/>
      <c r="DA313" s="51" t="e">
        <f t="shared" ca="1" si="964"/>
        <v>#VALUE!</v>
      </c>
      <c r="DB313" s="347" t="e">
        <f ca="1">INDEX(INDIRECT(VLOOKUP(LEFT(BO313,7),CLU!$Z$3:$AI$18,10)),((M313-2)*(6-COUNTBLANK(GT313:GY313)))+GJ313)*LI313</f>
        <v>#N/A</v>
      </c>
      <c r="DC313" s="347" t="str">
        <f>IF(L313&gt;0,((R313/Worksheet!$I$15)/DB313)^2," ")</f>
        <v xml:space="preserve"> </v>
      </c>
      <c r="DD313" s="602" t="str">
        <f t="shared" si="965"/>
        <v xml:space="preserve"> </v>
      </c>
      <c r="DE313" s="347" t="str">
        <f t="shared" si="858"/>
        <v xml:space="preserve"> </v>
      </c>
      <c r="DF313" s="356" t="e">
        <f ca="1">INDEX(INDIRECT(VLOOKUP(LEFT(BO313,7),CLU!$Z$3:$AH$18,8)),((M313-2)*(6-COUNTBLANK(GT313:GY313)))+GJ313)</f>
        <v>#N/A</v>
      </c>
      <c r="DG313" s="347" t="str">
        <f t="shared" si="859"/>
        <v xml:space="preserve"> </v>
      </c>
      <c r="DH313" s="357" t="str">
        <f t="shared" si="860"/>
        <v xml:space="preserve"> </v>
      </c>
      <c r="DI313" s="355" t="str">
        <f t="shared" si="861"/>
        <v xml:space="preserve"> </v>
      </c>
      <c r="DJ313" s="245" t="e">
        <f ca="1">INDEX(INDIRECT(VLOOKUP(LEFT(BO313,7),CLU!$Z$3:$AH$18,5)),GL313,GK313)</f>
        <v>#N/A</v>
      </c>
      <c r="DK313" s="245" t="e">
        <f ca="1">INDEX(INDIRECT(VLOOKUP(LEFT(BO313,7),CLU!$Z$3:$AH$18,6)),GL313,GK313)</f>
        <v>#N/A</v>
      </c>
      <c r="DL313" s="355">
        <f>(Calculation!R313*0.69143*(Calculation!$BQ$8-Calculation!$F$8))*$S$14</f>
        <v>0</v>
      </c>
      <c r="DM313" s="359" t="e">
        <f t="shared" si="966"/>
        <v>#VALUE!</v>
      </c>
      <c r="DN313" s="611">
        <f t="shared" si="967"/>
        <v>0</v>
      </c>
      <c r="DO313" s="359">
        <f t="shared" si="968"/>
        <v>100</v>
      </c>
      <c r="DP313" s="359">
        <f t="shared" si="969"/>
        <v>0</v>
      </c>
      <c r="DQ313" s="360"/>
      <c r="DR313" s="245" t="e">
        <f ca="1">INDEX(INDIRECT(VLOOKUP(LEFT(BO313,7),CLU!$Z$3:$AH$18,7)),M313-1,1)</f>
        <v>#N/A</v>
      </c>
      <c r="DS313" s="245" t="e">
        <f ca="1">INDEX(INDIRECT(VLOOKUP(LEFT(BO313,7),CLU!$Z$3:$AH$18,7)),M313-1,2)</f>
        <v>#N/A</v>
      </c>
      <c r="DT313" s="245" t="e">
        <f ca="1">INDEX(INDIRECT(VLOOKUP(LEFT(BO313,7),CLU!$Z$3:$AH$18,7)),M313-1,3)</f>
        <v>#N/A</v>
      </c>
      <c r="DU313" s="245" t="e">
        <f ca="1">INDEX(INDIRECT(VLOOKUP(LEFT(BO313,7),CLU!$Z$3:$AH$18,7)),M313-1,4)</f>
        <v>#N/A</v>
      </c>
      <c r="DV313" s="361" t="e">
        <f ca="1">INDEX(INDIRECT(VLOOKUP(LEFT(BO313,7),CLU!$Z$3:$AH$18,7)),M313-1,4+LEFT(DZ313,1)*0.5)</f>
        <v>#N/A</v>
      </c>
      <c r="DW313" s="245" t="e">
        <f ca="1">INDEX(INDIRECT(VLOOKUP(LEFT(BO313,7),CLU!$Z$3:$AH$18,7)),M313-1,8)</f>
        <v>#N/A</v>
      </c>
      <c r="DX313" s="361" t="str">
        <f t="shared" si="862"/>
        <v xml:space="preserve"> </v>
      </c>
      <c r="DY313" s="361" t="str">
        <f t="shared" si="863"/>
        <v xml:space="preserve"> </v>
      </c>
      <c r="DZ313" s="361" t="str">
        <f t="shared" si="864"/>
        <v xml:space="preserve"> </v>
      </c>
      <c r="EA313" s="362" t="str">
        <f t="shared" si="865"/>
        <v xml:space="preserve"> </v>
      </c>
      <c r="EB313" s="624" t="str">
        <f t="shared" si="970"/>
        <v xml:space="preserve"> </v>
      </c>
      <c r="EC313" s="361" t="e">
        <f ca="1">INDEX(INDIRECT(VLOOKUP(LEFT(BO313,7),CLU!$Z$3:$AH$18,7)),M313-1,4+LEFT(DZ313,1)*0.5)</f>
        <v>#N/A</v>
      </c>
      <c r="ED313" s="362" t="str">
        <f t="shared" si="866"/>
        <v xml:space="preserve"> </v>
      </c>
      <c r="EE313" s="361" t="str">
        <f t="shared" si="867"/>
        <v xml:space="preserve"> </v>
      </c>
      <c r="EF313" s="362" t="str">
        <f>IF(L313&gt;0,IF(BR313&gt;0,IF(EE313="2P",IF(Calculation!DZ313="2P",IF(Calculation!DS313=13.75,IF(Calculation!DR313=13,Worksheet!$BD$43,IF(Calculation!DR313=37,Worksheet!$BD$44,Worksheet!$BD$45)),IF(Calculation!DS313=10,IF(Calculation!DR313=18,Worksheet!$BD$29,IF(Calculation!DR313=30,Worksheet!$BD$30,IF(Calculation!DR313=42,Worksheet!$BD$31,IF(Calculation!DR313=54,Worksheet!$BD$32,IF(Calculation!DR313=66,Worksheet!$BD$33,IF(Calculation!DR313=78,Worksheet!$BD$34,IF(Calculation!DR313=90,Worksheet!$BD$35,IF(Calculation!DR313=102,Worksheet!$BD$36,Worksheet!$BD$37)))))))),IF(Calculation!DS313=12.5,IF(Calculation!DR313=18,Worksheet!$BD$38,IF(Calculation!DR313=Worksheet!$BD$39,IF(Calculation!DR313=42,Worksheet!$BD$40,IF(Calculation!DR313=54,Worksheet!$BD$41,Worksheet!$BD$42)))),IF(Calculation!DR313=18,Worksheet!$BD$11,IF(Calculation!DR313=30,Worksheet!$BD$12,IF(Calculation!DR313=42,Worksheet!$BD$13,IF(Calculation!DR313=54,Worksheet!$BD$14,IF(Calculation!DR313=66,Worksheet!$BD$15,IF(Calculation!DR313=78,Worksheet!$BD$16,IF(Calculation!DR313=90,Worksheet!$BD$17,IF(Calculation!DR313=102,Worksheet!$BD$18,Worksheet!$BD$19))))))))))),IF(Calculation!DS313=13.75,IF(Calculation!DR313=13,Worksheet!$BD$78,IF(Calculation!DR313=37,Worksheet!$BD$79,Worksheet!$BD$80)),IF(Calculation!DS313=10,IF(Calculation!DR313=18,Worksheet!$BD$64,IF(Calculation!DR313=30,Worksheet!$BD$65,IF(Calculation!DR313=42,Worksheet!$BD$66,IF(Calculation!DR313=54,Worksheet!$BD$68,IF(Calculation!DR313=66,Worksheet!$BD$68,IF(Calculation!DR313=78,Worksheet!$BD$69,IF(Calculation!DR313=90,Worksheet!$BD$70,IF(Calculation!DR313=102,Worksheet!$BD$71,Worksheet!$BD$72)))))))),IF(Calculation!DS313=12.5,IF(Calculation!DR313=18,Worksheet!$BD$73,IF(Calculation!DR313=Worksheet!$BD$74,IF(Calculation!DR313=42,Worksheet!$BD$75,IF(Calculation!DR313=54,Worksheet!$BD$76,Worksheet!$BD$77)))),IF(Calculation!DR313=18,Worksheet!$BD$55,IF(Calculation!DR313=30,Worksheet!$BD$56,IF(Calculation!DR313=42,Worksheet!$BD$57,IF(Calculation!DR313=54,Worksheet!$BD$58,IF(Calculation!DR313=66,Worksheet!$BD$59,IF(Calculation!DR313=78,Worksheet!$BD$60,IF(Calculation!DR313=90,Worksheet!$BD$61,IF(Calculation!DR313=102,Worksheet!$BD$62,Worksheet!$BD$63)))))))))))),5),0)," ")</f>
        <v xml:space="preserve"> </v>
      </c>
      <c r="EG313" s="361" t="str">
        <f t="shared" si="868"/>
        <v xml:space="preserve"> </v>
      </c>
      <c r="EH313" s="361" t="e">
        <f ca="1">INDEX(INDIRECT(VLOOKUP(LEFT(BO313,7),CLU!$Z$3:$AH$18,7)),M313-1,3+LEFT(DZ313,1))</f>
        <v>#N/A</v>
      </c>
      <c r="EI313" s="362" t="str">
        <f t="shared" si="869"/>
        <v xml:space="preserve"> </v>
      </c>
      <c r="EJ313" s="363" t="str">
        <f t="shared" si="870"/>
        <v xml:space="preserve"> </v>
      </c>
      <c r="EK313" s="363" t="str">
        <f t="shared" si="871"/>
        <v xml:space="preserve"> </v>
      </c>
      <c r="EL313" s="363" t="str">
        <f t="shared" si="872"/>
        <v xml:space="preserve"> </v>
      </c>
      <c r="EM313" s="362" t="str">
        <f>IF(L313&gt;0,IF(BR313&gt;0,(Calculation!T313/ED313)^2,0)," ")</f>
        <v xml:space="preserve"> </v>
      </c>
      <c r="EN313" s="362" t="str">
        <f>IF(L313&gt;0,IF(O313="2 Pipe (Cooling)","N/A",IF(BR313&gt;0,(Calculation!U313/EI313)^2,0))," ")</f>
        <v xml:space="preserve"> </v>
      </c>
      <c r="EO313" s="361" t="str">
        <f t="shared" si="873"/>
        <v/>
      </c>
      <c r="EP313" s="361" t="str">
        <f t="shared" si="874"/>
        <v/>
      </c>
      <c r="EQ313" s="361" t="str">
        <f t="shared" si="875"/>
        <v/>
      </c>
      <c r="ER313" s="361" t="str">
        <f t="shared" si="876"/>
        <v/>
      </c>
      <c r="ES313" s="361" t="str">
        <f t="shared" si="877"/>
        <v/>
      </c>
      <c r="ET313" s="361" t="str">
        <f t="shared" si="878"/>
        <v/>
      </c>
      <c r="EU313" s="361" t="str">
        <f t="shared" si="879"/>
        <v/>
      </c>
      <c r="EV313" s="361" t="str">
        <f t="shared" si="880"/>
        <v/>
      </c>
      <c r="EW313" s="361" t="str">
        <f t="shared" si="881"/>
        <v/>
      </c>
      <c r="EX313" s="361" t="str">
        <f t="shared" si="971"/>
        <v>1 slot, 1 way</v>
      </c>
      <c r="EY313" s="361" t="str">
        <f t="shared" si="972"/>
        <v xml:space="preserve"> </v>
      </c>
      <c r="EZ313" s="361" t="str">
        <f t="shared" si="973"/>
        <v xml:space="preserve"> </v>
      </c>
      <c r="FA313" s="361" t="str">
        <f t="shared" si="974"/>
        <v xml:space="preserve"> </v>
      </c>
      <c r="FB313" s="361" t="str">
        <f t="shared" si="975"/>
        <v xml:space="preserve"> </v>
      </c>
      <c r="FC313" s="361"/>
      <c r="FD313" s="361" t="str">
        <f>IF(J313&gt;0,IF(Calculation!R313&lt;=70,4,IF(Calculation!R313&lt;=110,5,IF(Calculation!R313&lt;=160,6,IF(Calculation!R313&lt;=300,8,"10 EO")))),"")</f>
        <v/>
      </c>
      <c r="FE313" s="361" t="str">
        <f t="shared" si="976"/>
        <v/>
      </c>
      <c r="FF313" s="361" t="str">
        <f t="shared" si="977"/>
        <v/>
      </c>
      <c r="FG313" s="361" t="e">
        <f t="shared" si="882"/>
        <v>#N/A</v>
      </c>
      <c r="FH313" s="361">
        <f t="shared" si="883"/>
        <v>0</v>
      </c>
      <c r="FI313" s="361" t="e">
        <f t="shared" si="884"/>
        <v>#DIV/0!</v>
      </c>
      <c r="FJ313" s="361"/>
      <c r="FK313" s="356" t="e">
        <f t="shared" si="885"/>
        <v>#VALUE!</v>
      </c>
      <c r="FL313" s="361"/>
      <c r="FM313" s="361"/>
      <c r="FN313" s="362" t="str">
        <f t="shared" si="978"/>
        <v xml:space="preserve"> </v>
      </c>
      <c r="FO313" s="362" t="str">
        <f t="shared" si="979"/>
        <v xml:space="preserve"> </v>
      </c>
      <c r="FP313" s="362">
        <f t="shared" si="980"/>
        <v>0</v>
      </c>
      <c r="FQ313" s="361">
        <f t="shared" si="886"/>
        <v>0</v>
      </c>
      <c r="FR313" s="362" t="str">
        <f>IF(L313&gt;0,IF(J313="CBAL2",Worksheet!$P$67,IF(J313="CBE2-24",Worksheet!$Q$67,IF(J313="CBAM",Worksheet!$R$67,IF(J313="CBLV",Worksheet!$S$67,IF(J313="CBAB",Worksheet!$U$67,IF(J313="CBAW",Worksheet!$X$67,IF(J313="CBE2-12",Worksheet!$Y$67,IF(J313="CBAL2",Worksheet!$Z$67,"N/A"))))))))," ")</f>
        <v xml:space="preserve"> </v>
      </c>
      <c r="FS313" s="362" t="str">
        <f>IF(L313&gt;0,IF(J313="CBAL2",Worksheet!$P$68,IF(J313="CBE2-24",Worksheet!$Q$68,IF(J313="CBAM",Worksheet!$R$68,IF(J313="CBLV",Worksheet!$S$68,IF(J313="CBAB",Worksheet!$U$68,IF(J313="CBAW",Worksheet!$X$68,IF(J313="CBE2-12",Worksheet!$Y$68,IF(J313="CBAL2",Worksheet!$Z$68,"N/A"))))))))," ")</f>
        <v xml:space="preserve"> </v>
      </c>
      <c r="FT313" s="362" t="str">
        <f>IF(L313&gt;0,IF(J313="CBAL2",Worksheet!$P$69,IF(J313="CBE2-24",Worksheet!$Q$69,IF(J313="CBAM",Worksheet!$R$69,IF(J313="CBLV",Worksheet!$S$69,IF(J313="CBAB",Worksheet!$U$69,IF(J313="CBAW",Worksheet!$X$69,IF(J313="CBE2-12",Worksheet!$Y$69,IF(J313="CBAL2",Worksheet!$Z$69,"N/A"))))))))," ")</f>
        <v xml:space="preserve"> </v>
      </c>
      <c r="FU313" s="361" t="str">
        <f t="shared" si="981"/>
        <v xml:space="preserve"> </v>
      </c>
      <c r="FV313" s="362" t="str">
        <f t="shared" si="982"/>
        <v xml:space="preserve"> </v>
      </c>
      <c r="FW313" s="362" t="str">
        <f t="shared" si="983"/>
        <v xml:space="preserve"> </v>
      </c>
      <c r="FX313" s="362" t="str">
        <f t="shared" si="984"/>
        <v xml:space="preserve"> </v>
      </c>
      <c r="FY313" s="355" t="str">
        <f t="shared" si="985"/>
        <v xml:space="preserve"> </v>
      </c>
      <c r="FZ313" s="361" t="str">
        <f t="shared" si="986"/>
        <v xml:space="preserve"> </v>
      </c>
      <c r="GA313" s="347" t="str">
        <f t="shared" si="987"/>
        <v xml:space="preserve"> </v>
      </c>
      <c r="GB313" s="355" t="str">
        <f t="shared" si="988"/>
        <v xml:space="preserve"> </v>
      </c>
      <c r="GC313" s="328" t="str">
        <f t="shared" si="989"/>
        <v xml:space="preserve"> </v>
      </c>
      <c r="GD313" s="361" t="str">
        <f t="shared" si="990"/>
        <v xml:space="preserve"> </v>
      </c>
      <c r="GE313" s="347" t="str">
        <f t="shared" si="991"/>
        <v xml:space="preserve"> </v>
      </c>
      <c r="GF313" s="361" t="str">
        <f t="shared" si="992"/>
        <v xml:space="preserve"> </v>
      </c>
      <c r="GG313" s="347" t="str">
        <f t="shared" si="993"/>
        <v xml:space="preserve"> </v>
      </c>
      <c r="GH313" s="364">
        <f t="shared" si="887"/>
        <v>0</v>
      </c>
      <c r="GI313" s="362">
        <f t="shared" si="994"/>
        <v>2</v>
      </c>
      <c r="GJ313" s="433" t="e">
        <f>IF(6-COUNTBLANK(GT313:GY313)=4,MATCH(MID(BO313,9,3),CLU!$H$16:$K$16),MATCH(MID(BO313,9,3),CLU!$H$13:$M$13))</f>
        <v>#N/A</v>
      </c>
      <c r="GK313" s="433" t="e">
        <f>HLOOKUP(VALUE(BP313),CLU!$H$9:$M$10,2)</f>
        <v>#VALUE!</v>
      </c>
      <c r="GL313" s="433" t="e">
        <f ca="1">MATCH(BU313,CLU!$H$2:$V$2,1)</f>
        <v>#VALUE!</v>
      </c>
      <c r="GM313" s="433" t="e">
        <f t="shared" ca="1" si="995"/>
        <v>#VALUE!</v>
      </c>
      <c r="GN313" s="433" t="e">
        <f t="shared" ca="1" si="996"/>
        <v>#VALUE!</v>
      </c>
      <c r="GO313" s="433" t="e">
        <f t="shared" ca="1" si="997"/>
        <v>#VALUE!</v>
      </c>
      <c r="GP313" s="433" t="e">
        <f t="shared" ca="1" si="998"/>
        <v>#VALUE!</v>
      </c>
      <c r="GQ313" s="433" t="e">
        <f t="shared" ca="1" si="999"/>
        <v>#VALUE!</v>
      </c>
      <c r="GR313" s="433" t="e">
        <f ca="1">MATCH(T313,INDIRECT(VLOOKUP(CONCATENATE(LEFT(BO313,7),"-",MID(BO313,13,1)),CLU!$P$3:$Q$16,2)),1)</f>
        <v>#N/A</v>
      </c>
      <c r="GS313" s="433" t="e">
        <f ca="1">MATCH(U313,INDIRECT(VLOOKUP(CONCATENATE(LEFT(BO313,7),"-",MID(BO313,13,1)),CLU!$P$3:$Q$16,2)),1)</f>
        <v>#N/A</v>
      </c>
      <c r="GT313" s="347" t="s">
        <v>512</v>
      </c>
      <c r="GU313" s="97" t="s">
        <v>513</v>
      </c>
      <c r="GV313" s="97" t="str">
        <f t="shared" si="1000"/>
        <v>M23</v>
      </c>
      <c r="GW313" s="97" t="str">
        <f t="shared" si="1001"/>
        <v>M31</v>
      </c>
      <c r="GX313" s="97" t="str">
        <f t="shared" si="1002"/>
        <v/>
      </c>
      <c r="GY313" s="97" t="str">
        <f t="shared" si="1003"/>
        <v/>
      </c>
      <c r="GZ313" s="481"/>
      <c r="HA313" s="240"/>
      <c r="HB313" s="240"/>
      <c r="HC313" s="240"/>
      <c r="HD313" s="240"/>
      <c r="HE313" s="240"/>
      <c r="HF313" s="240"/>
      <c r="HG313" s="240"/>
      <c r="HH313" s="240"/>
      <c r="HI313" s="240"/>
      <c r="HJ313" s="240"/>
      <c r="HK313" s="240"/>
      <c r="HL313" s="240"/>
      <c r="HM313" s="240"/>
      <c r="HN313" s="240"/>
      <c r="HO313" s="240"/>
      <c r="HP313" s="240"/>
      <c r="HQ313" s="240"/>
      <c r="HR313" s="240"/>
      <c r="HS313" s="240"/>
      <c r="HT313" s="240"/>
      <c r="HU313" s="240"/>
      <c r="HV313" s="245"/>
      <c r="HW313" s="245" t="b">
        <v>1</v>
      </c>
      <c r="HX313" s="245" t="str">
        <f t="shared" si="888"/>
        <v/>
      </c>
      <c r="HY313" s="245" t="e">
        <f t="shared" si="889"/>
        <v>#DIV/0!</v>
      </c>
      <c r="HZ313" s="245" t="e">
        <f t="shared" si="890"/>
        <v>#DIV/0!</v>
      </c>
      <c r="IA313" s="245">
        <f t="shared" si="891"/>
        <v>0</v>
      </c>
      <c r="IB313" s="245"/>
      <c r="IC313" t="b">
        <f t="shared" si="892"/>
        <v>1</v>
      </c>
      <c r="ID313" s="245" t="b">
        <f t="shared" si="893"/>
        <v>1</v>
      </c>
      <c r="IE313" s="245" t="b">
        <f t="shared" si="894"/>
        <v>1</v>
      </c>
      <c r="IF313" s="245" t="b">
        <f t="shared" si="895"/>
        <v>0</v>
      </c>
      <c r="IG313" s="245" t="b">
        <f t="shared" si="896"/>
        <v>1</v>
      </c>
      <c r="IH313" s="245" t="b">
        <f t="shared" si="897"/>
        <v>1</v>
      </c>
      <c r="II313" s="245">
        <f t="shared" si="1004"/>
        <v>0</v>
      </c>
      <c r="IJ313" s="245" t="e">
        <f t="shared" si="898"/>
        <v>#VALUE!</v>
      </c>
      <c r="IK313" s="245" t="e">
        <f t="shared" si="899"/>
        <v>#VALUE!</v>
      </c>
      <c r="IL313" s="245"/>
      <c r="IM313" s="245" t="e">
        <f t="shared" si="1005"/>
        <v>#N/A</v>
      </c>
      <c r="IN313" s="245" t="e">
        <f t="shared" si="1006"/>
        <v>#N/A</v>
      </c>
      <c r="IO313" s="245"/>
      <c r="IP313" s="245"/>
      <c r="IQ313" s="245" t="str">
        <f t="shared" si="900"/>
        <v/>
      </c>
      <c r="IR313" s="245" t="str">
        <f>IF(J313="","",VLOOKUP(J313,Worksheet!$R$4:$T$14,2))</f>
        <v/>
      </c>
      <c r="IS313" s="245"/>
      <c r="IT313" s="245">
        <f t="shared" si="901"/>
        <v>0</v>
      </c>
      <c r="IU313" s="245">
        <f t="shared" si="902"/>
        <v>0</v>
      </c>
      <c r="IV313" s="245">
        <f t="shared" si="903"/>
        <v>0</v>
      </c>
      <c r="IW313" s="245">
        <f t="shared" si="904"/>
        <v>0</v>
      </c>
      <c r="IX313" s="245">
        <f t="shared" si="1007"/>
        <v>0</v>
      </c>
      <c r="IY313" s="245">
        <f t="shared" si="905"/>
        <v>0</v>
      </c>
      <c r="IZ313" s="245">
        <f t="shared" si="906"/>
        <v>0</v>
      </c>
      <c r="JA313">
        <f t="shared" si="907"/>
        <v>0</v>
      </c>
      <c r="JB313">
        <f t="shared" si="1008"/>
        <v>0</v>
      </c>
      <c r="JC313">
        <f t="shared" si="908"/>
        <v>0</v>
      </c>
      <c r="JD313">
        <f t="shared" si="909"/>
        <v>0</v>
      </c>
      <c r="JE313">
        <f t="shared" si="910"/>
        <v>0</v>
      </c>
      <c r="JF313">
        <f t="shared" si="911"/>
        <v>0</v>
      </c>
      <c r="JG313">
        <f t="shared" si="912"/>
        <v>0</v>
      </c>
      <c r="JH313">
        <f t="shared" si="913"/>
        <v>0</v>
      </c>
      <c r="JI313">
        <f t="shared" si="914"/>
        <v>0</v>
      </c>
      <c r="JJ313" s="447">
        <f t="shared" si="915"/>
        <v>0</v>
      </c>
      <c r="JK313" s="447">
        <f t="shared" si="916"/>
        <v>0</v>
      </c>
      <c r="JL313">
        <f t="shared" si="917"/>
        <v>0</v>
      </c>
      <c r="JM313" s="245" t="str">
        <f>IFERROR(VLOOKUP(MATCH(BN313,#REF!,0),#REF!,7),"")</f>
        <v/>
      </c>
      <c r="JN313" t="e">
        <f>HLOOKUP(LEFT(BO313,7),Discharge_Area,MATCH(JO313,LookUps!$B$130:$B$149,1)+2)</f>
        <v>#N/A</v>
      </c>
      <c r="JO313" t="str">
        <f t="shared" si="918"/>
        <v>- S</v>
      </c>
      <c r="JP313" t="e">
        <f>HLOOKUP(LEFT(BO313,7),Discharge_Area,MATCH(JO313,LookUps!$B$130:$B$149,1)+2)</f>
        <v>#N/A</v>
      </c>
      <c r="JQ313" t="e">
        <f t="shared" si="919"/>
        <v>#N/A</v>
      </c>
      <c r="JR313" t="e">
        <f t="shared" si="920"/>
        <v>#N/A</v>
      </c>
      <c r="JS313" t="e">
        <f t="shared" si="921"/>
        <v>#N/A</v>
      </c>
      <c r="JT313" s="532" t="str">
        <f t="shared" si="922"/>
        <v xml:space="preserve"> </v>
      </c>
      <c r="JU313" s="532" t="str">
        <f t="shared" si="923"/>
        <v xml:space="preserve"> </v>
      </c>
      <c r="JV313" s="533" t="str">
        <f t="shared" si="924"/>
        <v xml:space="preserve"> </v>
      </c>
      <c r="JW313" s="534">
        <f t="shared" si="925"/>
        <v>0</v>
      </c>
      <c r="JX313" s="535" t="str">
        <f t="shared" si="1009"/>
        <v xml:space="preserve"> </v>
      </c>
      <c r="JY313" s="535" t="str">
        <f t="shared" si="1010"/>
        <v xml:space="preserve"> </v>
      </c>
      <c r="JZ313" s="535" t="str">
        <f t="shared" si="1011"/>
        <v xml:space="preserve"> </v>
      </c>
      <c r="KA313" s="536" t="str">
        <f t="shared" si="926"/>
        <v xml:space="preserve"> </v>
      </c>
      <c r="KB313" s="535" t="e">
        <f t="shared" si="1012"/>
        <v>#VALUE!</v>
      </c>
      <c r="KC313" s="535" t="str">
        <f t="shared" si="927"/>
        <v/>
      </c>
      <c r="KD313" s="537" t="str">
        <f t="shared" si="1013"/>
        <v xml:space="preserve"> </v>
      </c>
      <c r="KE313" s="537" t="str">
        <f t="shared" si="1014"/>
        <v xml:space="preserve"> </v>
      </c>
      <c r="KF313" s="534">
        <f t="shared" si="928"/>
        <v>0</v>
      </c>
      <c r="KG313" s="535" t="str">
        <f t="shared" si="929"/>
        <v xml:space="preserve"> </v>
      </c>
      <c r="KH313" s="535" t="str">
        <f t="shared" si="930"/>
        <v xml:space="preserve"> </v>
      </c>
      <c r="KI313" s="535" t="str">
        <f t="shared" si="931"/>
        <v xml:space="preserve"> </v>
      </c>
      <c r="KJ313" s="536" t="str">
        <f t="shared" si="932"/>
        <v xml:space="preserve"> </v>
      </c>
      <c r="KK313" s="535" t="str">
        <f t="shared" si="1015"/>
        <v xml:space="preserve"> </v>
      </c>
      <c r="KL313" s="535" t="str">
        <f t="shared" si="1016"/>
        <v xml:space="preserve"> </v>
      </c>
      <c r="KM313" s="537" t="str">
        <f t="shared" si="933"/>
        <v xml:space="preserve"> </v>
      </c>
      <c r="KN313" s="537" t="str">
        <f t="shared" si="1017"/>
        <v xml:space="preserve"> </v>
      </c>
      <c r="KP313">
        <f t="shared" si="934"/>
        <v>0</v>
      </c>
      <c r="LA313" t="e">
        <f t="shared" si="935"/>
        <v>#VALUE!</v>
      </c>
      <c r="LB313" t="e">
        <f t="shared" si="936"/>
        <v>#VALUE!</v>
      </c>
      <c r="LC313" t="e">
        <f t="shared" si="937"/>
        <v>#VALUE!</v>
      </c>
      <c r="LD313" t="e">
        <f t="shared" si="938"/>
        <v>#VALUE!</v>
      </c>
      <c r="LE313" t="e">
        <f t="shared" si="1018"/>
        <v>#VALUE!</v>
      </c>
      <c r="LF313">
        <f t="shared" si="939"/>
        <v>0</v>
      </c>
      <c r="LG313" t="e">
        <f t="shared" si="1019"/>
        <v>#VALUE!</v>
      </c>
      <c r="LH313" t="str">
        <f t="shared" si="940"/>
        <v xml:space="preserve"> </v>
      </c>
      <c r="LI313">
        <f t="shared" si="1020"/>
        <v>1</v>
      </c>
    </row>
    <row r="314" spans="2:321" ht="15" customHeight="1">
      <c r="B314" s="311"/>
      <c r="C314" s="311"/>
      <c r="D314" s="312"/>
      <c r="E314" s="311"/>
      <c r="F314" s="312"/>
      <c r="G314" s="311"/>
      <c r="H314" s="311"/>
      <c r="I314" s="232"/>
      <c r="J314" s="311"/>
      <c r="K314" s="305" t="str">
        <f t="shared" si="941"/>
        <v/>
      </c>
      <c r="L314" s="313"/>
      <c r="M314" s="312"/>
      <c r="N314" s="311"/>
      <c r="O314" s="312"/>
      <c r="P314" s="311"/>
      <c r="Q314" s="305" t="str">
        <f t="shared" si="942"/>
        <v/>
      </c>
      <c r="R314" s="314"/>
      <c r="S314" s="450" t="str">
        <f t="shared" si="825"/>
        <v/>
      </c>
      <c r="T314" s="315"/>
      <c r="U314" s="315"/>
      <c r="W314" s="149" t="str">
        <f t="shared" si="826"/>
        <v xml:space="preserve"> </v>
      </c>
      <c r="X314" s="243" t="str">
        <f t="shared" si="827"/>
        <v xml:space="preserve"> </v>
      </c>
      <c r="Y314" s="150" t="str">
        <f t="shared" si="828"/>
        <v/>
      </c>
      <c r="Z314" s="149" t="str">
        <f t="shared" si="829"/>
        <v xml:space="preserve"> </v>
      </c>
      <c r="AA314" s="98" t="str">
        <f t="shared" si="830"/>
        <v xml:space="preserve"> </v>
      </c>
      <c r="AB314" s="153" t="str">
        <f t="shared" si="831"/>
        <v xml:space="preserve"> </v>
      </c>
      <c r="AC314" s="153" t="str">
        <f t="shared" si="832"/>
        <v xml:space="preserve"> </v>
      </c>
      <c r="AD314" s="148" t="str">
        <f t="shared" si="833"/>
        <v/>
      </c>
      <c r="AE314" s="149" t="str">
        <f t="shared" si="834"/>
        <v/>
      </c>
      <c r="AF314" s="151" t="str">
        <f t="shared" si="835"/>
        <v xml:space="preserve"> </v>
      </c>
      <c r="AG314" s="153" t="str">
        <f t="shared" si="836"/>
        <v xml:space="preserve"> </v>
      </c>
      <c r="AH314" s="98" t="str">
        <f t="shared" si="837"/>
        <v xml:space="preserve"> </v>
      </c>
      <c r="AI314" s="149" t="str">
        <f t="shared" si="838"/>
        <v xml:space="preserve"> </v>
      </c>
      <c r="AK314" s="144" t="str">
        <f t="shared" si="839"/>
        <v xml:space="preserve"> </v>
      </c>
      <c r="AL314" s="144"/>
      <c r="AM314" s="243" t="str">
        <f t="shared" si="840"/>
        <v xml:space="preserve"> </v>
      </c>
      <c r="AN314" s="149" t="str">
        <f t="shared" si="943"/>
        <v xml:space="preserve"> </v>
      </c>
      <c r="AO314" s="144" t="str">
        <f>IF(JB314&gt;0,IF(GI314=10,-R314*1.085*(Calculation!$F$6-Calculation!$F$13)*$S$14," "),"")</f>
        <v/>
      </c>
      <c r="AP314" s="144" t="str">
        <f t="shared" si="841"/>
        <v/>
      </c>
      <c r="AQ314" s="56" t="str">
        <f t="shared" si="842"/>
        <v/>
      </c>
      <c r="AR314" s="144" t="str">
        <f t="shared" si="843"/>
        <v/>
      </c>
      <c r="AS314" s="176" t="str">
        <f t="shared" si="844"/>
        <v/>
      </c>
      <c r="AT314" s="176" t="str">
        <f t="shared" si="944"/>
        <v xml:space="preserve"> </v>
      </c>
      <c r="AU314" s="176" t="str">
        <f t="shared" si="845"/>
        <v/>
      </c>
      <c r="AV314" s="177" t="str">
        <f t="shared" si="846"/>
        <v xml:space="preserve"> </v>
      </c>
      <c r="AW314" s="144" t="str">
        <f t="shared" si="847"/>
        <v xml:space="preserve"> </v>
      </c>
      <c r="AX314" s="144" t="str">
        <f t="shared" si="848"/>
        <v xml:space="preserve"> </v>
      </c>
      <c r="AY314" s="152" t="str">
        <f t="shared" si="849"/>
        <v xml:space="preserve"> </v>
      </c>
      <c r="AZ314" s="246" t="str">
        <f t="shared" si="850"/>
        <v/>
      </c>
      <c r="BA314" s="176" t="str">
        <f t="shared" si="851"/>
        <v xml:space="preserve"> </v>
      </c>
      <c r="BB314" s="176" t="str">
        <f t="shared" si="852"/>
        <v xml:space="preserve"> </v>
      </c>
      <c r="BC314" s="195"/>
      <c r="BD314" s="316"/>
      <c r="BE314" s="317"/>
      <c r="BF314" s="318"/>
      <c r="BG314" s="318"/>
      <c r="BH314" s="144" t="str">
        <f t="shared" si="1021"/>
        <v xml:space="preserve"> </v>
      </c>
      <c r="BI314" s="176" t="str">
        <f t="shared" si="853"/>
        <v/>
      </c>
      <c r="BJ314" s="144" t="str">
        <f t="shared" si="1022"/>
        <v/>
      </c>
      <c r="BK314" s="246" t="str">
        <f t="shared" si="854"/>
        <v/>
      </c>
      <c r="BL314" s="144" t="str">
        <f t="shared" si="1023"/>
        <v/>
      </c>
      <c r="BM314" s="246" t="str">
        <f t="shared" si="855"/>
        <v/>
      </c>
      <c r="BN314" s="337" t="str">
        <f t="shared" si="945"/>
        <v/>
      </c>
      <c r="BO314" s="371" t="str">
        <f t="shared" si="946"/>
        <v/>
      </c>
      <c r="BP314" s="328" t="str">
        <f t="shared" si="1024"/>
        <v xml:space="preserve"> </v>
      </c>
      <c r="BQ314" s="347" t="str">
        <f t="shared" si="947"/>
        <v xml:space="preserve"> </v>
      </c>
      <c r="BR314" s="353" t="str">
        <f t="shared" si="948"/>
        <v xml:space="preserve"> </v>
      </c>
      <c r="BS314" s="626" t="str">
        <f>IF(L314&gt;0,IF(Calculation!P314="M13",BR314*3.1416*(0.134^2)/(4*144),IF(Calculation!P314="M17",BR314*3.1416*(0.165^2)/(4*144),IF(Calculation!P314="M20",BR314*3.1416*(0.198^2)/(4*144),IF(Calculation!P314="M23",BR314*3.1416*(0.228^2)/(4*144),IF(Calculation!P314="M27",BR314*3.1416*(0.269^2)/(4*144),BR314*3.1416*(0.307^2)/(4*144))))))," ")</f>
        <v xml:space="preserve"> </v>
      </c>
      <c r="BT314" s="353" t="str">
        <f>IF(L314&gt;0,IF(BS314&gt;0,R314/Calculation!BS314,0)," ")</f>
        <v xml:space="preserve"> </v>
      </c>
      <c r="BU314" s="438" t="e">
        <f t="shared" ca="1" si="856"/>
        <v>#VALUE!</v>
      </c>
      <c r="BV314" s="449" t="e">
        <f ca="1">INDEX(INDIRECT(VLOOKUP(LEFT(BO314,7),CLU!$Z$3:$AH$18,2)),GN314,GR314)</f>
        <v>#N/A</v>
      </c>
      <c r="BW314" s="433" t="e">
        <f ca="1">INDEX(INDIRECT(VLOOKUP(LEFT(BO314,7),CLU!$Z$3:$AH$18,3)),GN314,GR314)</f>
        <v>#N/A</v>
      </c>
      <c r="BX314" s="433" t="e">
        <f ca="1">INDEX(INDIRECT(VLOOKUP(LEFT(BO314,7),CLU!$Z$3:$AH$18,4)),GN314,GR314)</f>
        <v>#N/A</v>
      </c>
      <c r="BY314" s="433" t="e">
        <f ca="1">INDEX(INDIRECT(VLOOKUP(LEFT(BO314,7),CLU!$Z$3:$AH$18,9)),((M314-2)*(6-COUNTBLANK(GT314:GY314)))+GJ314)</f>
        <v>#N/A</v>
      </c>
      <c r="BZ314" s="426" t="e">
        <f t="shared" ca="1" si="949"/>
        <v>#N/A</v>
      </c>
      <c r="CA314" s="424" t="e">
        <f t="shared" ca="1" si="950"/>
        <v>#N/A</v>
      </c>
      <c r="CB314" s="429" t="e">
        <f ca="1">INDEX(INDIRECT(VLOOKUP(LEFT(BO314,7),CLU!$Z$3:$AH$18,2)),GN314,GS314)</f>
        <v>#N/A</v>
      </c>
      <c r="CC314" s="342" t="e">
        <f ca="1">INDEX(INDIRECT(VLOOKUP(LEFT(BO314,7),CLU!$Z$3:$AH$18,3)),GN314,GS314)</f>
        <v>#N/A</v>
      </c>
      <c r="CD314" s="342" t="e">
        <f ca="1">INDEX(INDIRECT(VLOOKUP(LEFT(BO314,7),CLU!$Z$3:$AH$18,4)),GN314,GS314)</f>
        <v>#N/A</v>
      </c>
      <c r="CE314" s="426" t="e">
        <f t="shared" ca="1" si="951"/>
        <v>#N/A</v>
      </c>
      <c r="CF314" s="440">
        <f t="shared" si="952"/>
        <v>0</v>
      </c>
      <c r="CG314" s="431" t="e">
        <f ca="1">INDEX(INDIRECT(VLOOKUP(LEFT(BO314,7),CLU!$Z$3:$AH$18,2)),GQ314,GR314)</f>
        <v>#N/A</v>
      </c>
      <c r="CH314" s="431" t="e">
        <f ca="1">INDEX(INDIRECT(VLOOKUP(LEFT(BO314,7),CLU!$Z$3:$AH$18,3)),GQ314,GR314)</f>
        <v>#N/A</v>
      </c>
      <c r="CI314" s="431" t="e">
        <f ca="1">INDEX(INDIRECT(VLOOKUP(LEFT(BO314,7),CLU!$Z$3:$AH$18,4)),GQ314,GR314)</f>
        <v>#N/A</v>
      </c>
      <c r="CJ314" s="448" t="e">
        <f t="shared" ca="1" si="953"/>
        <v>#N/A</v>
      </c>
      <c r="CK314" s="431" t="e">
        <f t="shared" ca="1" si="954"/>
        <v>#N/A</v>
      </c>
      <c r="CL314" s="440" t="e">
        <f t="shared" ca="1" si="955"/>
        <v>#N/A</v>
      </c>
      <c r="CM314" s="431" t="e">
        <f ca="1">INDEX(INDIRECT(VLOOKUP(LEFT(BO314,7),CLU!$Z$3:$AH$18,2)),GQ314,GS314)</f>
        <v>#N/A</v>
      </c>
      <c r="CN314" s="431" t="e">
        <f ca="1">INDEX(INDIRECT(VLOOKUP(LEFT(BO314,7),CLU!$Z$3:$AH$18,3)),GQ314,GS314)</f>
        <v>#N/A</v>
      </c>
      <c r="CO314" s="431" t="e">
        <f ca="1">INDEX(INDIRECT(VLOOKUP(LEFT(BO314,7),CLU!$Z$3:$AH$18,4)),GQ314,GS314)</f>
        <v>#N/A</v>
      </c>
      <c r="CP314" s="431" t="e">
        <f t="shared" ca="1" si="956"/>
        <v>#N/A</v>
      </c>
      <c r="CQ314" s="440">
        <f t="shared" si="957"/>
        <v>0</v>
      </c>
      <c r="CR314" s="51" t="e">
        <f t="shared" ca="1" si="958"/>
        <v>#N/A</v>
      </c>
      <c r="CS314" s="439" t="e">
        <f t="shared" ca="1" si="959"/>
        <v>#VALUE!</v>
      </c>
      <c r="CT314" s="51" t="e">
        <f t="shared" ca="1" si="960"/>
        <v>#VALUE!</v>
      </c>
      <c r="CU314" s="10"/>
      <c r="CV314" s="51" t="e">
        <f t="shared" ca="1" si="857"/>
        <v>#VALUE!</v>
      </c>
      <c r="CW314" s="51">
        <f t="shared" si="961"/>
        <v>0</v>
      </c>
      <c r="CX314" s="439" t="e">
        <f t="shared" ca="1" si="962"/>
        <v>#VALUE!</v>
      </c>
      <c r="CY314" s="51" t="e">
        <f t="shared" ca="1" si="963"/>
        <v>#VALUE!</v>
      </c>
      <c r="CZ314" s="10"/>
      <c r="DA314" s="51" t="e">
        <f t="shared" ca="1" si="964"/>
        <v>#VALUE!</v>
      </c>
      <c r="DB314" s="347" t="e">
        <f ca="1">INDEX(INDIRECT(VLOOKUP(LEFT(BO314,7),CLU!$Z$3:$AI$18,10)),((M314-2)*(6-COUNTBLANK(GT314:GY314)))+GJ314)*LI314</f>
        <v>#N/A</v>
      </c>
      <c r="DC314" s="347" t="str">
        <f>IF(L314&gt;0,((R314/Worksheet!$I$15)/DB314)^2," ")</f>
        <v xml:space="preserve"> </v>
      </c>
      <c r="DD314" s="602" t="str">
        <f t="shared" si="965"/>
        <v xml:space="preserve"> </v>
      </c>
      <c r="DE314" s="347" t="str">
        <f t="shared" si="858"/>
        <v xml:space="preserve"> </v>
      </c>
      <c r="DF314" s="356" t="e">
        <f ca="1">INDEX(INDIRECT(VLOOKUP(LEFT(BO314,7),CLU!$Z$3:$AH$18,8)),((M314-2)*(6-COUNTBLANK(GT314:GY314)))+GJ314)</f>
        <v>#N/A</v>
      </c>
      <c r="DG314" s="347" t="str">
        <f t="shared" si="859"/>
        <v xml:space="preserve"> </v>
      </c>
      <c r="DH314" s="357" t="str">
        <f t="shared" si="860"/>
        <v xml:space="preserve"> </v>
      </c>
      <c r="DI314" s="355" t="str">
        <f t="shared" si="861"/>
        <v xml:space="preserve"> </v>
      </c>
      <c r="DJ314" s="245" t="e">
        <f ca="1">INDEX(INDIRECT(VLOOKUP(LEFT(BO314,7),CLU!$Z$3:$AH$18,5)),GL314,GK314)</f>
        <v>#N/A</v>
      </c>
      <c r="DK314" s="245" t="e">
        <f ca="1">INDEX(INDIRECT(VLOOKUP(LEFT(BO314,7),CLU!$Z$3:$AH$18,6)),GL314,GK314)</f>
        <v>#N/A</v>
      </c>
      <c r="DL314" s="355">
        <f>(Calculation!R314*0.69143*(Calculation!$BQ$8-Calculation!$F$8))*$S$14</f>
        <v>0</v>
      </c>
      <c r="DM314" s="359" t="e">
        <f t="shared" si="966"/>
        <v>#VALUE!</v>
      </c>
      <c r="DN314" s="611">
        <f t="shared" si="967"/>
        <v>0</v>
      </c>
      <c r="DO314" s="359">
        <f t="shared" si="968"/>
        <v>100</v>
      </c>
      <c r="DP314" s="359">
        <f t="shared" si="969"/>
        <v>0</v>
      </c>
      <c r="DQ314" s="360"/>
      <c r="DR314" s="245" t="e">
        <f ca="1">INDEX(INDIRECT(VLOOKUP(LEFT(BO314,7),CLU!$Z$3:$AH$18,7)),M314-1,1)</f>
        <v>#N/A</v>
      </c>
      <c r="DS314" s="245" t="e">
        <f ca="1">INDEX(INDIRECT(VLOOKUP(LEFT(BO314,7),CLU!$Z$3:$AH$18,7)),M314-1,2)</f>
        <v>#N/A</v>
      </c>
      <c r="DT314" s="245" t="e">
        <f ca="1">INDEX(INDIRECT(VLOOKUP(LEFT(BO314,7),CLU!$Z$3:$AH$18,7)),M314-1,3)</f>
        <v>#N/A</v>
      </c>
      <c r="DU314" s="245" t="e">
        <f ca="1">INDEX(INDIRECT(VLOOKUP(LEFT(BO314,7),CLU!$Z$3:$AH$18,7)),M314-1,4)</f>
        <v>#N/A</v>
      </c>
      <c r="DV314" s="361" t="e">
        <f ca="1">INDEX(INDIRECT(VLOOKUP(LEFT(BO314,7),CLU!$Z$3:$AH$18,7)),M314-1,4+LEFT(DZ314,1)*0.5)</f>
        <v>#N/A</v>
      </c>
      <c r="DW314" s="245" t="e">
        <f ca="1">INDEX(INDIRECT(VLOOKUP(LEFT(BO314,7),CLU!$Z$3:$AH$18,7)),M314-1,8)</f>
        <v>#N/A</v>
      </c>
      <c r="DX314" s="361" t="str">
        <f t="shared" si="862"/>
        <v xml:space="preserve"> </v>
      </c>
      <c r="DY314" s="361" t="str">
        <f t="shared" si="863"/>
        <v xml:space="preserve"> </v>
      </c>
      <c r="DZ314" s="361" t="str">
        <f t="shared" si="864"/>
        <v xml:space="preserve"> </v>
      </c>
      <c r="EA314" s="362" t="str">
        <f t="shared" si="865"/>
        <v xml:space="preserve"> </v>
      </c>
      <c r="EB314" s="624" t="str">
        <f t="shared" si="970"/>
        <v xml:space="preserve"> </v>
      </c>
      <c r="EC314" s="361" t="e">
        <f ca="1">INDEX(INDIRECT(VLOOKUP(LEFT(BO314,7),CLU!$Z$3:$AH$18,7)),M314-1,4+LEFT(DZ314,1)*0.5)</f>
        <v>#N/A</v>
      </c>
      <c r="ED314" s="362" t="str">
        <f t="shared" si="866"/>
        <v xml:space="preserve"> </v>
      </c>
      <c r="EE314" s="361" t="str">
        <f t="shared" si="867"/>
        <v xml:space="preserve"> </v>
      </c>
      <c r="EF314" s="362" t="str">
        <f>IF(L314&gt;0,IF(BR314&gt;0,IF(EE314="2P",IF(Calculation!DZ314="2P",IF(Calculation!DS314=13.75,IF(Calculation!DR314=13,Worksheet!$BD$43,IF(Calculation!DR314=37,Worksheet!$BD$44,Worksheet!$BD$45)),IF(Calculation!DS314=10,IF(Calculation!DR314=18,Worksheet!$BD$29,IF(Calculation!DR314=30,Worksheet!$BD$30,IF(Calculation!DR314=42,Worksheet!$BD$31,IF(Calculation!DR314=54,Worksheet!$BD$32,IF(Calculation!DR314=66,Worksheet!$BD$33,IF(Calculation!DR314=78,Worksheet!$BD$34,IF(Calculation!DR314=90,Worksheet!$BD$35,IF(Calculation!DR314=102,Worksheet!$BD$36,Worksheet!$BD$37)))))))),IF(Calculation!DS314=12.5,IF(Calculation!DR314=18,Worksheet!$BD$38,IF(Calculation!DR314=Worksheet!$BD$39,IF(Calculation!DR314=42,Worksheet!$BD$40,IF(Calculation!DR314=54,Worksheet!$BD$41,Worksheet!$BD$42)))),IF(Calculation!DR314=18,Worksheet!$BD$11,IF(Calculation!DR314=30,Worksheet!$BD$12,IF(Calculation!DR314=42,Worksheet!$BD$13,IF(Calculation!DR314=54,Worksheet!$BD$14,IF(Calculation!DR314=66,Worksheet!$BD$15,IF(Calculation!DR314=78,Worksheet!$BD$16,IF(Calculation!DR314=90,Worksheet!$BD$17,IF(Calculation!DR314=102,Worksheet!$BD$18,Worksheet!$BD$19))))))))))),IF(Calculation!DS314=13.75,IF(Calculation!DR314=13,Worksheet!$BD$78,IF(Calculation!DR314=37,Worksheet!$BD$79,Worksheet!$BD$80)),IF(Calculation!DS314=10,IF(Calculation!DR314=18,Worksheet!$BD$64,IF(Calculation!DR314=30,Worksheet!$BD$65,IF(Calculation!DR314=42,Worksheet!$BD$66,IF(Calculation!DR314=54,Worksheet!$BD$68,IF(Calculation!DR314=66,Worksheet!$BD$68,IF(Calculation!DR314=78,Worksheet!$BD$69,IF(Calculation!DR314=90,Worksheet!$BD$70,IF(Calculation!DR314=102,Worksheet!$BD$71,Worksheet!$BD$72)))))))),IF(Calculation!DS314=12.5,IF(Calculation!DR314=18,Worksheet!$BD$73,IF(Calculation!DR314=Worksheet!$BD$74,IF(Calculation!DR314=42,Worksheet!$BD$75,IF(Calculation!DR314=54,Worksheet!$BD$76,Worksheet!$BD$77)))),IF(Calculation!DR314=18,Worksheet!$BD$55,IF(Calculation!DR314=30,Worksheet!$BD$56,IF(Calculation!DR314=42,Worksheet!$BD$57,IF(Calculation!DR314=54,Worksheet!$BD$58,IF(Calculation!DR314=66,Worksheet!$BD$59,IF(Calculation!DR314=78,Worksheet!$BD$60,IF(Calculation!DR314=90,Worksheet!$BD$61,IF(Calculation!DR314=102,Worksheet!$BD$62,Worksheet!$BD$63)))))))))))),5),0)," ")</f>
        <v xml:space="preserve"> </v>
      </c>
      <c r="EG314" s="361" t="str">
        <f t="shared" si="868"/>
        <v xml:space="preserve"> </v>
      </c>
      <c r="EH314" s="361" t="e">
        <f ca="1">INDEX(INDIRECT(VLOOKUP(LEFT(BO314,7),CLU!$Z$3:$AH$18,7)),M314-1,3+LEFT(DZ314,1))</f>
        <v>#N/A</v>
      </c>
      <c r="EI314" s="362" t="str">
        <f t="shared" si="869"/>
        <v xml:space="preserve"> </v>
      </c>
      <c r="EJ314" s="363" t="str">
        <f t="shared" si="870"/>
        <v xml:space="preserve"> </v>
      </c>
      <c r="EK314" s="363" t="str">
        <f t="shared" si="871"/>
        <v xml:space="preserve"> </v>
      </c>
      <c r="EL314" s="363" t="str">
        <f t="shared" si="872"/>
        <v xml:space="preserve"> </v>
      </c>
      <c r="EM314" s="362" t="str">
        <f>IF(L314&gt;0,IF(BR314&gt;0,(Calculation!T314/ED314)^2,0)," ")</f>
        <v xml:space="preserve"> </v>
      </c>
      <c r="EN314" s="362" t="str">
        <f>IF(L314&gt;0,IF(O314="2 Pipe (Cooling)","N/A",IF(BR314&gt;0,(Calculation!U314/EI314)^2,0))," ")</f>
        <v xml:space="preserve"> </v>
      </c>
      <c r="EO314" s="361" t="str">
        <f t="shared" si="873"/>
        <v/>
      </c>
      <c r="EP314" s="361" t="str">
        <f t="shared" si="874"/>
        <v/>
      </c>
      <c r="EQ314" s="361" t="str">
        <f t="shared" si="875"/>
        <v/>
      </c>
      <c r="ER314" s="361" t="str">
        <f t="shared" si="876"/>
        <v/>
      </c>
      <c r="ES314" s="361" t="str">
        <f t="shared" si="877"/>
        <v/>
      </c>
      <c r="ET314" s="361" t="str">
        <f t="shared" si="878"/>
        <v/>
      </c>
      <c r="EU314" s="361" t="str">
        <f t="shared" si="879"/>
        <v/>
      </c>
      <c r="EV314" s="361" t="str">
        <f t="shared" si="880"/>
        <v/>
      </c>
      <c r="EW314" s="361" t="str">
        <f t="shared" si="881"/>
        <v/>
      </c>
      <c r="EX314" s="361" t="str">
        <f t="shared" si="971"/>
        <v>1 slot, 1 way</v>
      </c>
      <c r="EY314" s="361" t="str">
        <f t="shared" si="972"/>
        <v xml:space="preserve"> </v>
      </c>
      <c r="EZ314" s="361" t="str">
        <f t="shared" si="973"/>
        <v xml:space="preserve"> </v>
      </c>
      <c r="FA314" s="361" t="str">
        <f t="shared" si="974"/>
        <v xml:space="preserve"> </v>
      </c>
      <c r="FB314" s="361" t="str">
        <f t="shared" si="975"/>
        <v xml:space="preserve"> </v>
      </c>
      <c r="FC314" s="361"/>
      <c r="FD314" s="361" t="str">
        <f>IF(J314&gt;0,IF(Calculation!R314&lt;=70,4,IF(Calculation!R314&lt;=110,5,IF(Calculation!R314&lt;=160,6,IF(Calculation!R314&lt;=300,8,"10 EO")))),"")</f>
        <v/>
      </c>
      <c r="FE314" s="361" t="str">
        <f t="shared" si="976"/>
        <v/>
      </c>
      <c r="FF314" s="361" t="str">
        <f t="shared" si="977"/>
        <v/>
      </c>
      <c r="FG314" s="361" t="e">
        <f t="shared" si="882"/>
        <v>#N/A</v>
      </c>
      <c r="FH314" s="361">
        <f t="shared" si="883"/>
        <v>0</v>
      </c>
      <c r="FI314" s="361" t="e">
        <f t="shared" si="884"/>
        <v>#DIV/0!</v>
      </c>
      <c r="FJ314" s="361"/>
      <c r="FK314" s="356" t="e">
        <f t="shared" si="885"/>
        <v>#VALUE!</v>
      </c>
      <c r="FL314" s="361"/>
      <c r="FM314" s="361"/>
      <c r="FN314" s="362" t="str">
        <f t="shared" si="978"/>
        <v xml:space="preserve"> </v>
      </c>
      <c r="FO314" s="362" t="str">
        <f t="shared" si="979"/>
        <v xml:space="preserve"> </v>
      </c>
      <c r="FP314" s="362">
        <f t="shared" si="980"/>
        <v>0</v>
      </c>
      <c r="FQ314" s="361">
        <f t="shared" si="886"/>
        <v>0</v>
      </c>
      <c r="FR314" s="362" t="str">
        <f>IF(L314&gt;0,IF(J314="CBAL2",Worksheet!$P$67,IF(J314="CBE2-24",Worksheet!$Q$67,IF(J314="CBAM",Worksheet!$R$67,IF(J314="CBLV",Worksheet!$S$67,IF(J314="CBAB",Worksheet!$U$67,IF(J314="CBAW",Worksheet!$X$67,IF(J314="CBE2-12",Worksheet!$Y$67,IF(J314="CBAL2",Worksheet!$Z$67,"N/A"))))))))," ")</f>
        <v xml:space="preserve"> </v>
      </c>
      <c r="FS314" s="362" t="str">
        <f>IF(L314&gt;0,IF(J314="CBAL2",Worksheet!$P$68,IF(J314="CBE2-24",Worksheet!$Q$68,IF(J314="CBAM",Worksheet!$R$68,IF(J314="CBLV",Worksheet!$S$68,IF(J314="CBAB",Worksheet!$U$68,IF(J314="CBAW",Worksheet!$X$68,IF(J314="CBE2-12",Worksheet!$Y$68,IF(J314="CBAL2",Worksheet!$Z$68,"N/A"))))))))," ")</f>
        <v xml:space="preserve"> </v>
      </c>
      <c r="FT314" s="362" t="str">
        <f>IF(L314&gt;0,IF(J314="CBAL2",Worksheet!$P$69,IF(J314="CBE2-24",Worksheet!$Q$69,IF(J314="CBAM",Worksheet!$R$69,IF(J314="CBLV",Worksheet!$S$69,IF(J314="CBAB",Worksheet!$U$69,IF(J314="CBAW",Worksheet!$X$69,IF(J314="CBE2-12",Worksheet!$Y$69,IF(J314="CBAL2",Worksheet!$Z$69,"N/A"))))))))," ")</f>
        <v xml:space="preserve"> </v>
      </c>
      <c r="FU314" s="361" t="str">
        <f t="shared" si="981"/>
        <v xml:space="preserve"> </v>
      </c>
      <c r="FV314" s="362" t="str">
        <f t="shared" si="982"/>
        <v xml:space="preserve"> </v>
      </c>
      <c r="FW314" s="362" t="str">
        <f t="shared" si="983"/>
        <v xml:space="preserve"> </v>
      </c>
      <c r="FX314" s="362" t="str">
        <f t="shared" si="984"/>
        <v xml:space="preserve"> </v>
      </c>
      <c r="FY314" s="355" t="str">
        <f t="shared" si="985"/>
        <v xml:space="preserve"> </v>
      </c>
      <c r="FZ314" s="361" t="str">
        <f t="shared" si="986"/>
        <v xml:space="preserve"> </v>
      </c>
      <c r="GA314" s="347" t="str">
        <f t="shared" si="987"/>
        <v xml:space="preserve"> </v>
      </c>
      <c r="GB314" s="355" t="str">
        <f t="shared" si="988"/>
        <v xml:space="preserve"> </v>
      </c>
      <c r="GC314" s="328" t="str">
        <f t="shared" si="989"/>
        <v xml:space="preserve"> </v>
      </c>
      <c r="GD314" s="361" t="str">
        <f t="shared" si="990"/>
        <v xml:space="preserve"> </v>
      </c>
      <c r="GE314" s="347" t="str">
        <f t="shared" si="991"/>
        <v xml:space="preserve"> </v>
      </c>
      <c r="GF314" s="361" t="str">
        <f t="shared" si="992"/>
        <v xml:space="preserve"> </v>
      </c>
      <c r="GG314" s="347" t="str">
        <f t="shared" si="993"/>
        <v xml:space="preserve"> </v>
      </c>
      <c r="GH314" s="364">
        <f t="shared" si="887"/>
        <v>0</v>
      </c>
      <c r="GI314" s="362">
        <f t="shared" si="994"/>
        <v>2</v>
      </c>
      <c r="GJ314" s="433" t="e">
        <f>IF(6-COUNTBLANK(GT314:GY314)=4,MATCH(MID(BO314,9,3),CLU!$H$16:$K$16),MATCH(MID(BO314,9,3),CLU!$H$13:$M$13))</f>
        <v>#N/A</v>
      </c>
      <c r="GK314" s="433" t="e">
        <f>HLOOKUP(VALUE(BP314),CLU!$H$9:$M$10,2)</f>
        <v>#VALUE!</v>
      </c>
      <c r="GL314" s="433" t="e">
        <f ca="1">MATCH(BU314,CLU!$H$2:$V$2,1)</f>
        <v>#VALUE!</v>
      </c>
      <c r="GM314" s="433" t="e">
        <f t="shared" ca="1" si="995"/>
        <v>#VALUE!</v>
      </c>
      <c r="GN314" s="433" t="e">
        <f t="shared" ca="1" si="996"/>
        <v>#VALUE!</v>
      </c>
      <c r="GO314" s="433" t="e">
        <f t="shared" ca="1" si="997"/>
        <v>#VALUE!</v>
      </c>
      <c r="GP314" s="433" t="e">
        <f t="shared" ca="1" si="998"/>
        <v>#VALUE!</v>
      </c>
      <c r="GQ314" s="433" t="e">
        <f t="shared" ca="1" si="999"/>
        <v>#VALUE!</v>
      </c>
      <c r="GR314" s="433" t="e">
        <f ca="1">MATCH(T314,INDIRECT(VLOOKUP(CONCATENATE(LEFT(BO314,7),"-",MID(BO314,13,1)),CLU!$P$3:$Q$16,2)),1)</f>
        <v>#N/A</v>
      </c>
      <c r="GS314" s="433" t="e">
        <f ca="1">MATCH(U314,INDIRECT(VLOOKUP(CONCATENATE(LEFT(BO314,7),"-",MID(BO314,13,1)),CLU!$P$3:$Q$16,2)),1)</f>
        <v>#N/A</v>
      </c>
      <c r="GT314" s="347" t="s">
        <v>512</v>
      </c>
      <c r="GU314" s="97" t="s">
        <v>513</v>
      </c>
      <c r="GV314" s="97" t="str">
        <f t="shared" si="1000"/>
        <v>M23</v>
      </c>
      <c r="GW314" s="97" t="str">
        <f t="shared" si="1001"/>
        <v>M31</v>
      </c>
      <c r="GX314" s="97" t="str">
        <f t="shared" si="1002"/>
        <v/>
      </c>
      <c r="GY314" s="97" t="str">
        <f t="shared" si="1003"/>
        <v/>
      </c>
      <c r="GZ314" s="481"/>
      <c r="HA314" s="240"/>
      <c r="HB314" s="240"/>
      <c r="HC314" s="240"/>
      <c r="HD314" s="240"/>
      <c r="HE314" s="240"/>
      <c r="HF314" s="240"/>
      <c r="HG314" s="240"/>
      <c r="HH314" s="240"/>
      <c r="HI314" s="240"/>
      <c r="HJ314" s="240"/>
      <c r="HK314" s="240"/>
      <c r="HL314" s="240"/>
      <c r="HM314" s="240"/>
      <c r="HN314" s="240"/>
      <c r="HO314" s="240"/>
      <c r="HP314" s="240"/>
      <c r="HQ314" s="240"/>
      <c r="HR314" s="240"/>
      <c r="HS314" s="240"/>
      <c r="HT314" s="240"/>
      <c r="HU314" s="240"/>
      <c r="HV314" s="245"/>
      <c r="HW314" s="245" t="b">
        <v>1</v>
      </c>
      <c r="HX314" s="245" t="str">
        <f t="shared" si="888"/>
        <v/>
      </c>
      <c r="HY314" s="245" t="e">
        <f t="shared" si="889"/>
        <v>#DIV/0!</v>
      </c>
      <c r="HZ314" s="245" t="e">
        <f t="shared" si="890"/>
        <v>#DIV/0!</v>
      </c>
      <c r="IA314" s="245">
        <f t="shared" si="891"/>
        <v>0</v>
      </c>
      <c r="IB314" s="245"/>
      <c r="IC314" t="b">
        <f t="shared" si="892"/>
        <v>1</v>
      </c>
      <c r="ID314" s="245" t="b">
        <f t="shared" si="893"/>
        <v>1</v>
      </c>
      <c r="IE314" s="245" t="b">
        <f t="shared" si="894"/>
        <v>1</v>
      </c>
      <c r="IF314" s="245" t="b">
        <f t="shared" si="895"/>
        <v>0</v>
      </c>
      <c r="IG314" s="245" t="b">
        <f t="shared" si="896"/>
        <v>1</v>
      </c>
      <c r="IH314" s="245" t="b">
        <f t="shared" si="897"/>
        <v>1</v>
      </c>
      <c r="II314" s="245">
        <f t="shared" si="1004"/>
        <v>0</v>
      </c>
      <c r="IJ314" s="245" t="e">
        <f t="shared" si="898"/>
        <v>#VALUE!</v>
      </c>
      <c r="IK314" s="245" t="e">
        <f t="shared" si="899"/>
        <v>#VALUE!</v>
      </c>
      <c r="IL314" s="245"/>
      <c r="IM314" s="245" t="e">
        <f t="shared" si="1005"/>
        <v>#N/A</v>
      </c>
      <c r="IN314" s="245" t="e">
        <f t="shared" si="1006"/>
        <v>#N/A</v>
      </c>
      <c r="IO314" s="245"/>
      <c r="IP314" s="245"/>
      <c r="IQ314" s="245" t="str">
        <f t="shared" si="900"/>
        <v/>
      </c>
      <c r="IR314" s="245" t="str">
        <f>IF(J314="","",VLOOKUP(J314,Worksheet!$R$4:$T$14,2))</f>
        <v/>
      </c>
      <c r="IS314" s="245"/>
      <c r="IT314" s="245">
        <f t="shared" si="901"/>
        <v>0</v>
      </c>
      <c r="IU314" s="245">
        <f t="shared" si="902"/>
        <v>0</v>
      </c>
      <c r="IV314" s="245">
        <f t="shared" si="903"/>
        <v>0</v>
      </c>
      <c r="IW314" s="245">
        <f t="shared" si="904"/>
        <v>0</v>
      </c>
      <c r="IX314" s="245">
        <f t="shared" si="1007"/>
        <v>0</v>
      </c>
      <c r="IY314" s="245">
        <f t="shared" si="905"/>
        <v>0</v>
      </c>
      <c r="IZ314" s="245">
        <f t="shared" si="906"/>
        <v>0</v>
      </c>
      <c r="JA314">
        <f t="shared" si="907"/>
        <v>0</v>
      </c>
      <c r="JB314">
        <f t="shared" si="1008"/>
        <v>0</v>
      </c>
      <c r="JC314">
        <f t="shared" si="908"/>
        <v>0</v>
      </c>
      <c r="JD314">
        <f t="shared" si="909"/>
        <v>0</v>
      </c>
      <c r="JE314">
        <f t="shared" si="910"/>
        <v>0</v>
      </c>
      <c r="JF314">
        <f t="shared" si="911"/>
        <v>0</v>
      </c>
      <c r="JG314">
        <f t="shared" si="912"/>
        <v>0</v>
      </c>
      <c r="JH314">
        <f t="shared" si="913"/>
        <v>0</v>
      </c>
      <c r="JI314">
        <f t="shared" si="914"/>
        <v>0</v>
      </c>
      <c r="JJ314" s="447">
        <f t="shared" si="915"/>
        <v>0</v>
      </c>
      <c r="JK314" s="447">
        <f t="shared" si="916"/>
        <v>0</v>
      </c>
      <c r="JL314">
        <f t="shared" si="917"/>
        <v>0</v>
      </c>
      <c r="JM314" s="245" t="str">
        <f>IFERROR(VLOOKUP(MATCH(BN314,#REF!,0),#REF!,7),"")</f>
        <v/>
      </c>
      <c r="JN314" t="e">
        <f>HLOOKUP(LEFT(BO314,7),Discharge_Area,MATCH(JO314,LookUps!$B$130:$B$149,1)+2)</f>
        <v>#N/A</v>
      </c>
      <c r="JO314" t="str">
        <f t="shared" si="918"/>
        <v>- S</v>
      </c>
      <c r="JP314" t="e">
        <f>HLOOKUP(LEFT(BO314,7),Discharge_Area,MATCH(JO314,LookUps!$B$130:$B$149,1)+2)</f>
        <v>#N/A</v>
      </c>
      <c r="JQ314" t="e">
        <f t="shared" si="919"/>
        <v>#N/A</v>
      </c>
      <c r="JR314" t="e">
        <f t="shared" si="920"/>
        <v>#N/A</v>
      </c>
      <c r="JS314" t="e">
        <f t="shared" si="921"/>
        <v>#N/A</v>
      </c>
      <c r="JT314" s="532" t="str">
        <f t="shared" si="922"/>
        <v xml:space="preserve"> </v>
      </c>
      <c r="JU314" s="532" t="str">
        <f t="shared" si="923"/>
        <v xml:space="preserve"> </v>
      </c>
      <c r="JV314" s="533" t="str">
        <f t="shared" si="924"/>
        <v xml:space="preserve"> </v>
      </c>
      <c r="JW314" s="534">
        <f t="shared" si="925"/>
        <v>0</v>
      </c>
      <c r="JX314" s="535" t="str">
        <f t="shared" si="1009"/>
        <v xml:space="preserve"> </v>
      </c>
      <c r="JY314" s="535" t="str">
        <f t="shared" si="1010"/>
        <v xml:space="preserve"> </v>
      </c>
      <c r="JZ314" s="535" t="str">
        <f t="shared" si="1011"/>
        <v xml:space="preserve"> </v>
      </c>
      <c r="KA314" s="536" t="str">
        <f t="shared" si="926"/>
        <v xml:space="preserve"> </v>
      </c>
      <c r="KB314" s="535" t="e">
        <f t="shared" si="1012"/>
        <v>#VALUE!</v>
      </c>
      <c r="KC314" s="535" t="str">
        <f t="shared" si="927"/>
        <v/>
      </c>
      <c r="KD314" s="537" t="str">
        <f t="shared" si="1013"/>
        <v xml:space="preserve"> </v>
      </c>
      <c r="KE314" s="537" t="str">
        <f t="shared" si="1014"/>
        <v xml:space="preserve"> </v>
      </c>
      <c r="KF314" s="534">
        <f t="shared" si="928"/>
        <v>0</v>
      </c>
      <c r="KG314" s="535" t="str">
        <f t="shared" si="929"/>
        <v xml:space="preserve"> </v>
      </c>
      <c r="KH314" s="535" t="str">
        <f t="shared" si="930"/>
        <v xml:space="preserve"> </v>
      </c>
      <c r="KI314" s="535" t="str">
        <f t="shared" si="931"/>
        <v xml:space="preserve"> </v>
      </c>
      <c r="KJ314" s="536" t="str">
        <f t="shared" si="932"/>
        <v xml:space="preserve"> </v>
      </c>
      <c r="KK314" s="535" t="str">
        <f t="shared" si="1015"/>
        <v xml:space="preserve"> </v>
      </c>
      <c r="KL314" s="535" t="str">
        <f t="shared" si="1016"/>
        <v xml:space="preserve"> </v>
      </c>
      <c r="KM314" s="537" t="str">
        <f t="shared" si="933"/>
        <v xml:space="preserve"> </v>
      </c>
      <c r="KN314" s="537" t="str">
        <f t="shared" si="1017"/>
        <v xml:space="preserve"> </v>
      </c>
      <c r="KP314">
        <f t="shared" si="934"/>
        <v>0</v>
      </c>
      <c r="LA314" t="e">
        <f t="shared" si="935"/>
        <v>#VALUE!</v>
      </c>
      <c r="LB314" t="e">
        <f t="shared" si="936"/>
        <v>#VALUE!</v>
      </c>
      <c r="LC314" t="e">
        <f t="shared" si="937"/>
        <v>#VALUE!</v>
      </c>
      <c r="LD314" t="e">
        <f t="shared" si="938"/>
        <v>#VALUE!</v>
      </c>
      <c r="LE314" t="e">
        <f t="shared" si="1018"/>
        <v>#VALUE!</v>
      </c>
      <c r="LF314">
        <f t="shared" si="939"/>
        <v>0</v>
      </c>
      <c r="LG314" t="e">
        <f t="shared" si="1019"/>
        <v>#VALUE!</v>
      </c>
      <c r="LH314" t="str">
        <f t="shared" si="940"/>
        <v xml:space="preserve"> </v>
      </c>
      <c r="LI314">
        <f t="shared" si="1020"/>
        <v>1</v>
      </c>
    </row>
    <row r="315" spans="2:321" ht="15" customHeight="1">
      <c r="B315" s="311"/>
      <c r="C315" s="311"/>
      <c r="D315" s="312"/>
      <c r="E315" s="311"/>
      <c r="F315" s="312"/>
      <c r="G315" s="311"/>
      <c r="H315" s="311"/>
      <c r="I315" s="232"/>
      <c r="J315" s="311"/>
      <c r="K315" s="305" t="str">
        <f t="shared" si="941"/>
        <v/>
      </c>
      <c r="L315" s="313"/>
      <c r="M315" s="312"/>
      <c r="N315" s="311"/>
      <c r="O315" s="312"/>
      <c r="P315" s="311"/>
      <c r="Q315" s="305" t="str">
        <f t="shared" si="942"/>
        <v/>
      </c>
      <c r="R315" s="314"/>
      <c r="S315" s="450" t="str">
        <f t="shared" si="825"/>
        <v/>
      </c>
      <c r="T315" s="315"/>
      <c r="U315" s="315"/>
      <c r="W315" s="149" t="str">
        <f t="shared" si="826"/>
        <v xml:space="preserve"> </v>
      </c>
      <c r="X315" s="243" t="str">
        <f t="shared" si="827"/>
        <v xml:space="preserve"> </v>
      </c>
      <c r="Y315" s="150" t="str">
        <f t="shared" si="828"/>
        <v/>
      </c>
      <c r="Z315" s="149" t="str">
        <f t="shared" si="829"/>
        <v xml:space="preserve"> </v>
      </c>
      <c r="AA315" s="98" t="str">
        <f t="shared" si="830"/>
        <v xml:space="preserve"> </v>
      </c>
      <c r="AB315" s="153" t="str">
        <f t="shared" si="831"/>
        <v xml:space="preserve"> </v>
      </c>
      <c r="AC315" s="153" t="str">
        <f t="shared" si="832"/>
        <v xml:space="preserve"> </v>
      </c>
      <c r="AD315" s="148" t="str">
        <f t="shared" si="833"/>
        <v/>
      </c>
      <c r="AE315" s="149" t="str">
        <f t="shared" si="834"/>
        <v/>
      </c>
      <c r="AF315" s="151" t="str">
        <f t="shared" si="835"/>
        <v xml:space="preserve"> </v>
      </c>
      <c r="AG315" s="153" t="str">
        <f t="shared" si="836"/>
        <v xml:space="preserve"> </v>
      </c>
      <c r="AH315" s="98" t="str">
        <f t="shared" si="837"/>
        <v xml:space="preserve"> </v>
      </c>
      <c r="AI315" s="149" t="str">
        <f t="shared" si="838"/>
        <v xml:space="preserve"> </v>
      </c>
      <c r="AK315" s="144" t="str">
        <f t="shared" si="839"/>
        <v xml:space="preserve"> </v>
      </c>
      <c r="AL315" s="144"/>
      <c r="AM315" s="243" t="str">
        <f t="shared" si="840"/>
        <v xml:space="preserve"> </v>
      </c>
      <c r="AN315" s="149" t="str">
        <f t="shared" si="943"/>
        <v xml:space="preserve"> </v>
      </c>
      <c r="AO315" s="144" t="str">
        <f>IF(JB315&gt;0,IF(GI315=10,-R315*1.085*(Calculation!$F$6-Calculation!$F$13)*$S$14," "),"")</f>
        <v/>
      </c>
      <c r="AP315" s="144" t="str">
        <f t="shared" si="841"/>
        <v/>
      </c>
      <c r="AQ315" s="56" t="str">
        <f t="shared" si="842"/>
        <v/>
      </c>
      <c r="AR315" s="144" t="str">
        <f t="shared" si="843"/>
        <v/>
      </c>
      <c r="AS315" s="176" t="str">
        <f t="shared" si="844"/>
        <v/>
      </c>
      <c r="AT315" s="176" t="str">
        <f t="shared" si="944"/>
        <v xml:space="preserve"> </v>
      </c>
      <c r="AU315" s="176" t="str">
        <f t="shared" si="845"/>
        <v/>
      </c>
      <c r="AV315" s="177" t="str">
        <f t="shared" si="846"/>
        <v xml:space="preserve"> </v>
      </c>
      <c r="AW315" s="144" t="str">
        <f t="shared" si="847"/>
        <v xml:space="preserve"> </v>
      </c>
      <c r="AX315" s="144" t="str">
        <f t="shared" si="848"/>
        <v xml:space="preserve"> </v>
      </c>
      <c r="AY315" s="152" t="str">
        <f t="shared" si="849"/>
        <v xml:space="preserve"> </v>
      </c>
      <c r="AZ315" s="246" t="str">
        <f t="shared" si="850"/>
        <v/>
      </c>
      <c r="BA315" s="176" t="str">
        <f t="shared" si="851"/>
        <v xml:space="preserve"> </v>
      </c>
      <c r="BB315" s="176" t="str">
        <f t="shared" si="852"/>
        <v xml:space="preserve"> </v>
      </c>
      <c r="BC315" s="195"/>
      <c r="BD315" s="316"/>
      <c r="BE315" s="317"/>
      <c r="BF315" s="318"/>
      <c r="BG315" s="318"/>
      <c r="BH315" s="144" t="str">
        <f t="shared" si="1021"/>
        <v xml:space="preserve"> </v>
      </c>
      <c r="BI315" s="176" t="str">
        <f t="shared" si="853"/>
        <v/>
      </c>
      <c r="BJ315" s="144" t="str">
        <f t="shared" si="1022"/>
        <v/>
      </c>
      <c r="BK315" s="246" t="str">
        <f t="shared" si="854"/>
        <v/>
      </c>
      <c r="BL315" s="144" t="str">
        <f t="shared" si="1023"/>
        <v/>
      </c>
      <c r="BM315" s="246" t="str">
        <f t="shared" si="855"/>
        <v/>
      </c>
      <c r="BN315" s="337" t="str">
        <f t="shared" si="945"/>
        <v/>
      </c>
      <c r="BO315" s="371" t="str">
        <f t="shared" si="946"/>
        <v/>
      </c>
      <c r="BP315" s="328" t="str">
        <f t="shared" si="1024"/>
        <v xml:space="preserve"> </v>
      </c>
      <c r="BQ315" s="347" t="str">
        <f t="shared" si="947"/>
        <v xml:space="preserve"> </v>
      </c>
      <c r="BR315" s="353" t="str">
        <f t="shared" si="948"/>
        <v xml:space="preserve"> </v>
      </c>
      <c r="BS315" s="626" t="str">
        <f>IF(L315&gt;0,IF(Calculation!P315="M13",BR315*3.1416*(0.134^2)/(4*144),IF(Calculation!P315="M17",BR315*3.1416*(0.165^2)/(4*144),IF(Calculation!P315="M20",BR315*3.1416*(0.198^2)/(4*144),IF(Calculation!P315="M23",BR315*3.1416*(0.228^2)/(4*144),IF(Calculation!P315="M27",BR315*3.1416*(0.269^2)/(4*144),BR315*3.1416*(0.307^2)/(4*144))))))," ")</f>
        <v xml:space="preserve"> </v>
      </c>
      <c r="BT315" s="353" t="str">
        <f>IF(L315&gt;0,IF(BS315&gt;0,R315/Calculation!BS315,0)," ")</f>
        <v xml:space="preserve"> </v>
      </c>
      <c r="BU315" s="438" t="e">
        <f t="shared" ca="1" si="856"/>
        <v>#VALUE!</v>
      </c>
      <c r="BV315" s="449" t="e">
        <f ca="1">INDEX(INDIRECT(VLOOKUP(LEFT(BO315,7),CLU!$Z$3:$AH$18,2)),GN315,GR315)</f>
        <v>#N/A</v>
      </c>
      <c r="BW315" s="433" t="e">
        <f ca="1">INDEX(INDIRECT(VLOOKUP(LEFT(BO315,7),CLU!$Z$3:$AH$18,3)),GN315,GR315)</f>
        <v>#N/A</v>
      </c>
      <c r="BX315" s="433" t="e">
        <f ca="1">INDEX(INDIRECT(VLOOKUP(LEFT(BO315,7),CLU!$Z$3:$AH$18,4)),GN315,GR315)</f>
        <v>#N/A</v>
      </c>
      <c r="BY315" s="433" t="e">
        <f ca="1">INDEX(INDIRECT(VLOOKUP(LEFT(BO315,7),CLU!$Z$3:$AH$18,9)),((M315-2)*(6-COUNTBLANK(GT315:GY315)))+GJ315)</f>
        <v>#N/A</v>
      </c>
      <c r="BZ315" s="426" t="e">
        <f t="shared" ca="1" si="949"/>
        <v>#N/A</v>
      </c>
      <c r="CA315" s="424" t="e">
        <f t="shared" ca="1" si="950"/>
        <v>#N/A</v>
      </c>
      <c r="CB315" s="429" t="e">
        <f ca="1">INDEX(INDIRECT(VLOOKUP(LEFT(BO315,7),CLU!$Z$3:$AH$18,2)),GN315,GS315)</f>
        <v>#N/A</v>
      </c>
      <c r="CC315" s="342" t="e">
        <f ca="1">INDEX(INDIRECT(VLOOKUP(LEFT(BO315,7),CLU!$Z$3:$AH$18,3)),GN315,GS315)</f>
        <v>#N/A</v>
      </c>
      <c r="CD315" s="342" t="e">
        <f ca="1">INDEX(INDIRECT(VLOOKUP(LEFT(BO315,7),CLU!$Z$3:$AH$18,4)),GN315,GS315)</f>
        <v>#N/A</v>
      </c>
      <c r="CE315" s="426" t="e">
        <f t="shared" ca="1" si="951"/>
        <v>#N/A</v>
      </c>
      <c r="CF315" s="440">
        <f t="shared" si="952"/>
        <v>0</v>
      </c>
      <c r="CG315" s="431" t="e">
        <f ca="1">INDEX(INDIRECT(VLOOKUP(LEFT(BO315,7),CLU!$Z$3:$AH$18,2)),GQ315,GR315)</f>
        <v>#N/A</v>
      </c>
      <c r="CH315" s="431" t="e">
        <f ca="1">INDEX(INDIRECT(VLOOKUP(LEFT(BO315,7),CLU!$Z$3:$AH$18,3)),GQ315,GR315)</f>
        <v>#N/A</v>
      </c>
      <c r="CI315" s="431" t="e">
        <f ca="1">INDEX(INDIRECT(VLOOKUP(LEFT(BO315,7),CLU!$Z$3:$AH$18,4)),GQ315,GR315)</f>
        <v>#N/A</v>
      </c>
      <c r="CJ315" s="448" t="e">
        <f t="shared" ca="1" si="953"/>
        <v>#N/A</v>
      </c>
      <c r="CK315" s="431" t="e">
        <f t="shared" ca="1" si="954"/>
        <v>#N/A</v>
      </c>
      <c r="CL315" s="440" t="e">
        <f t="shared" ca="1" si="955"/>
        <v>#N/A</v>
      </c>
      <c r="CM315" s="431" t="e">
        <f ca="1">INDEX(INDIRECT(VLOOKUP(LEFT(BO315,7),CLU!$Z$3:$AH$18,2)),GQ315,GS315)</f>
        <v>#N/A</v>
      </c>
      <c r="CN315" s="431" t="e">
        <f ca="1">INDEX(INDIRECT(VLOOKUP(LEFT(BO315,7),CLU!$Z$3:$AH$18,3)),GQ315,GS315)</f>
        <v>#N/A</v>
      </c>
      <c r="CO315" s="431" t="e">
        <f ca="1">INDEX(INDIRECT(VLOOKUP(LEFT(BO315,7),CLU!$Z$3:$AH$18,4)),GQ315,GS315)</f>
        <v>#N/A</v>
      </c>
      <c r="CP315" s="431" t="e">
        <f t="shared" ca="1" si="956"/>
        <v>#N/A</v>
      </c>
      <c r="CQ315" s="440">
        <f t="shared" si="957"/>
        <v>0</v>
      </c>
      <c r="CR315" s="51" t="e">
        <f t="shared" ca="1" si="958"/>
        <v>#N/A</v>
      </c>
      <c r="CS315" s="439" t="e">
        <f t="shared" ca="1" si="959"/>
        <v>#VALUE!</v>
      </c>
      <c r="CT315" s="51" t="e">
        <f t="shared" ca="1" si="960"/>
        <v>#VALUE!</v>
      </c>
      <c r="CU315" s="10"/>
      <c r="CV315" s="51" t="e">
        <f t="shared" ca="1" si="857"/>
        <v>#VALUE!</v>
      </c>
      <c r="CW315" s="51">
        <f t="shared" si="961"/>
        <v>0</v>
      </c>
      <c r="CX315" s="439" t="e">
        <f t="shared" ca="1" si="962"/>
        <v>#VALUE!</v>
      </c>
      <c r="CY315" s="51" t="e">
        <f t="shared" ca="1" si="963"/>
        <v>#VALUE!</v>
      </c>
      <c r="CZ315" s="10"/>
      <c r="DA315" s="51" t="e">
        <f t="shared" ca="1" si="964"/>
        <v>#VALUE!</v>
      </c>
      <c r="DB315" s="347" t="e">
        <f ca="1">INDEX(INDIRECT(VLOOKUP(LEFT(BO315,7),CLU!$Z$3:$AI$18,10)),((M315-2)*(6-COUNTBLANK(GT315:GY315)))+GJ315)*LI315</f>
        <v>#N/A</v>
      </c>
      <c r="DC315" s="347" t="str">
        <f>IF(L315&gt;0,((R315/Worksheet!$I$15)/DB315)^2," ")</f>
        <v xml:space="preserve"> </v>
      </c>
      <c r="DD315" s="602" t="str">
        <f t="shared" si="965"/>
        <v xml:space="preserve"> </v>
      </c>
      <c r="DE315" s="347" t="str">
        <f t="shared" si="858"/>
        <v xml:space="preserve"> </v>
      </c>
      <c r="DF315" s="356" t="e">
        <f ca="1">INDEX(INDIRECT(VLOOKUP(LEFT(BO315,7),CLU!$Z$3:$AH$18,8)),((M315-2)*(6-COUNTBLANK(GT315:GY315)))+GJ315)</f>
        <v>#N/A</v>
      </c>
      <c r="DG315" s="347" t="str">
        <f t="shared" si="859"/>
        <v xml:space="preserve"> </v>
      </c>
      <c r="DH315" s="357" t="str">
        <f t="shared" si="860"/>
        <v xml:space="preserve"> </v>
      </c>
      <c r="DI315" s="355" t="str">
        <f t="shared" si="861"/>
        <v xml:space="preserve"> </v>
      </c>
      <c r="DJ315" s="245" t="e">
        <f ca="1">INDEX(INDIRECT(VLOOKUP(LEFT(BO315,7),CLU!$Z$3:$AH$18,5)),GL315,GK315)</f>
        <v>#N/A</v>
      </c>
      <c r="DK315" s="245" t="e">
        <f ca="1">INDEX(INDIRECT(VLOOKUP(LEFT(BO315,7),CLU!$Z$3:$AH$18,6)),GL315,GK315)</f>
        <v>#N/A</v>
      </c>
      <c r="DL315" s="355">
        <f>(Calculation!R315*0.69143*(Calculation!$BQ$8-Calculation!$F$8))*$S$14</f>
        <v>0</v>
      </c>
      <c r="DM315" s="359" t="e">
        <f t="shared" si="966"/>
        <v>#VALUE!</v>
      </c>
      <c r="DN315" s="611">
        <f t="shared" si="967"/>
        <v>0</v>
      </c>
      <c r="DO315" s="359">
        <f t="shared" si="968"/>
        <v>100</v>
      </c>
      <c r="DP315" s="359">
        <f t="shared" si="969"/>
        <v>0</v>
      </c>
      <c r="DQ315" s="360"/>
      <c r="DR315" s="245" t="e">
        <f ca="1">INDEX(INDIRECT(VLOOKUP(LEFT(BO315,7),CLU!$Z$3:$AH$18,7)),M315-1,1)</f>
        <v>#N/A</v>
      </c>
      <c r="DS315" s="245" t="e">
        <f ca="1">INDEX(INDIRECT(VLOOKUP(LEFT(BO315,7),CLU!$Z$3:$AH$18,7)),M315-1,2)</f>
        <v>#N/A</v>
      </c>
      <c r="DT315" s="245" t="e">
        <f ca="1">INDEX(INDIRECT(VLOOKUP(LEFT(BO315,7),CLU!$Z$3:$AH$18,7)),M315-1,3)</f>
        <v>#N/A</v>
      </c>
      <c r="DU315" s="245" t="e">
        <f ca="1">INDEX(INDIRECT(VLOOKUP(LEFT(BO315,7),CLU!$Z$3:$AH$18,7)),M315-1,4)</f>
        <v>#N/A</v>
      </c>
      <c r="DV315" s="361" t="e">
        <f ca="1">INDEX(INDIRECT(VLOOKUP(LEFT(BO315,7),CLU!$Z$3:$AH$18,7)),M315-1,4+LEFT(DZ315,1)*0.5)</f>
        <v>#N/A</v>
      </c>
      <c r="DW315" s="245" t="e">
        <f ca="1">INDEX(INDIRECT(VLOOKUP(LEFT(BO315,7),CLU!$Z$3:$AH$18,7)),M315-1,8)</f>
        <v>#N/A</v>
      </c>
      <c r="DX315" s="361" t="str">
        <f t="shared" si="862"/>
        <v xml:space="preserve"> </v>
      </c>
      <c r="DY315" s="361" t="str">
        <f t="shared" si="863"/>
        <v xml:space="preserve"> </v>
      </c>
      <c r="DZ315" s="361" t="str">
        <f t="shared" si="864"/>
        <v xml:space="preserve"> </v>
      </c>
      <c r="EA315" s="362" t="str">
        <f t="shared" si="865"/>
        <v xml:space="preserve"> </v>
      </c>
      <c r="EB315" s="624" t="str">
        <f t="shared" si="970"/>
        <v xml:space="preserve"> </v>
      </c>
      <c r="EC315" s="361" t="e">
        <f ca="1">INDEX(INDIRECT(VLOOKUP(LEFT(BO315,7),CLU!$Z$3:$AH$18,7)),M315-1,4+LEFT(DZ315,1)*0.5)</f>
        <v>#N/A</v>
      </c>
      <c r="ED315" s="362" t="str">
        <f t="shared" si="866"/>
        <v xml:space="preserve"> </v>
      </c>
      <c r="EE315" s="361" t="str">
        <f t="shared" si="867"/>
        <v xml:space="preserve"> </v>
      </c>
      <c r="EF315" s="362" t="str">
        <f>IF(L315&gt;0,IF(BR315&gt;0,IF(EE315="2P",IF(Calculation!DZ315="2P",IF(Calculation!DS315=13.75,IF(Calculation!DR315=13,Worksheet!$BD$43,IF(Calculation!DR315=37,Worksheet!$BD$44,Worksheet!$BD$45)),IF(Calculation!DS315=10,IF(Calculation!DR315=18,Worksheet!$BD$29,IF(Calculation!DR315=30,Worksheet!$BD$30,IF(Calculation!DR315=42,Worksheet!$BD$31,IF(Calculation!DR315=54,Worksheet!$BD$32,IF(Calculation!DR315=66,Worksheet!$BD$33,IF(Calculation!DR315=78,Worksheet!$BD$34,IF(Calculation!DR315=90,Worksheet!$BD$35,IF(Calculation!DR315=102,Worksheet!$BD$36,Worksheet!$BD$37)))))))),IF(Calculation!DS315=12.5,IF(Calculation!DR315=18,Worksheet!$BD$38,IF(Calculation!DR315=Worksheet!$BD$39,IF(Calculation!DR315=42,Worksheet!$BD$40,IF(Calculation!DR315=54,Worksheet!$BD$41,Worksheet!$BD$42)))),IF(Calculation!DR315=18,Worksheet!$BD$11,IF(Calculation!DR315=30,Worksheet!$BD$12,IF(Calculation!DR315=42,Worksheet!$BD$13,IF(Calculation!DR315=54,Worksheet!$BD$14,IF(Calculation!DR315=66,Worksheet!$BD$15,IF(Calculation!DR315=78,Worksheet!$BD$16,IF(Calculation!DR315=90,Worksheet!$BD$17,IF(Calculation!DR315=102,Worksheet!$BD$18,Worksheet!$BD$19))))))))))),IF(Calculation!DS315=13.75,IF(Calculation!DR315=13,Worksheet!$BD$78,IF(Calculation!DR315=37,Worksheet!$BD$79,Worksheet!$BD$80)),IF(Calculation!DS315=10,IF(Calculation!DR315=18,Worksheet!$BD$64,IF(Calculation!DR315=30,Worksheet!$BD$65,IF(Calculation!DR315=42,Worksheet!$BD$66,IF(Calculation!DR315=54,Worksheet!$BD$68,IF(Calculation!DR315=66,Worksheet!$BD$68,IF(Calculation!DR315=78,Worksheet!$BD$69,IF(Calculation!DR315=90,Worksheet!$BD$70,IF(Calculation!DR315=102,Worksheet!$BD$71,Worksheet!$BD$72)))))))),IF(Calculation!DS315=12.5,IF(Calculation!DR315=18,Worksheet!$BD$73,IF(Calculation!DR315=Worksheet!$BD$74,IF(Calculation!DR315=42,Worksheet!$BD$75,IF(Calculation!DR315=54,Worksheet!$BD$76,Worksheet!$BD$77)))),IF(Calculation!DR315=18,Worksheet!$BD$55,IF(Calculation!DR315=30,Worksheet!$BD$56,IF(Calculation!DR315=42,Worksheet!$BD$57,IF(Calculation!DR315=54,Worksheet!$BD$58,IF(Calculation!DR315=66,Worksheet!$BD$59,IF(Calculation!DR315=78,Worksheet!$BD$60,IF(Calculation!DR315=90,Worksheet!$BD$61,IF(Calculation!DR315=102,Worksheet!$BD$62,Worksheet!$BD$63)))))))))))),5),0)," ")</f>
        <v xml:space="preserve"> </v>
      </c>
      <c r="EG315" s="361" t="str">
        <f t="shared" si="868"/>
        <v xml:space="preserve"> </v>
      </c>
      <c r="EH315" s="361" t="e">
        <f ca="1">INDEX(INDIRECT(VLOOKUP(LEFT(BO315,7),CLU!$Z$3:$AH$18,7)),M315-1,3+LEFT(DZ315,1))</f>
        <v>#N/A</v>
      </c>
      <c r="EI315" s="362" t="str">
        <f t="shared" si="869"/>
        <v xml:space="preserve"> </v>
      </c>
      <c r="EJ315" s="363" t="str">
        <f t="shared" si="870"/>
        <v xml:space="preserve"> </v>
      </c>
      <c r="EK315" s="363" t="str">
        <f t="shared" si="871"/>
        <v xml:space="preserve"> </v>
      </c>
      <c r="EL315" s="363" t="str">
        <f t="shared" si="872"/>
        <v xml:space="preserve"> </v>
      </c>
      <c r="EM315" s="362" t="str">
        <f>IF(L315&gt;0,IF(BR315&gt;0,(Calculation!T315/ED315)^2,0)," ")</f>
        <v xml:space="preserve"> </v>
      </c>
      <c r="EN315" s="362" t="str">
        <f>IF(L315&gt;0,IF(O315="2 Pipe (Cooling)","N/A",IF(BR315&gt;0,(Calculation!U315/EI315)^2,0))," ")</f>
        <v xml:space="preserve"> </v>
      </c>
      <c r="EO315" s="361" t="str">
        <f t="shared" si="873"/>
        <v/>
      </c>
      <c r="EP315" s="361" t="str">
        <f t="shared" si="874"/>
        <v/>
      </c>
      <c r="EQ315" s="361" t="str">
        <f t="shared" si="875"/>
        <v/>
      </c>
      <c r="ER315" s="361" t="str">
        <f t="shared" si="876"/>
        <v/>
      </c>
      <c r="ES315" s="361" t="str">
        <f t="shared" si="877"/>
        <v/>
      </c>
      <c r="ET315" s="361" t="str">
        <f t="shared" si="878"/>
        <v/>
      </c>
      <c r="EU315" s="361" t="str">
        <f t="shared" si="879"/>
        <v/>
      </c>
      <c r="EV315" s="361" t="str">
        <f t="shared" si="880"/>
        <v/>
      </c>
      <c r="EW315" s="361" t="str">
        <f t="shared" si="881"/>
        <v/>
      </c>
      <c r="EX315" s="361" t="str">
        <f t="shared" si="971"/>
        <v>1 slot, 1 way</v>
      </c>
      <c r="EY315" s="361" t="str">
        <f t="shared" si="972"/>
        <v xml:space="preserve"> </v>
      </c>
      <c r="EZ315" s="361" t="str">
        <f t="shared" si="973"/>
        <v xml:space="preserve"> </v>
      </c>
      <c r="FA315" s="361" t="str">
        <f t="shared" si="974"/>
        <v xml:space="preserve"> </v>
      </c>
      <c r="FB315" s="361" t="str">
        <f t="shared" si="975"/>
        <v xml:space="preserve"> </v>
      </c>
      <c r="FC315" s="361"/>
      <c r="FD315" s="361" t="str">
        <f>IF(J315&gt;0,IF(Calculation!R315&lt;=70,4,IF(Calculation!R315&lt;=110,5,IF(Calculation!R315&lt;=160,6,IF(Calculation!R315&lt;=300,8,"10 EO")))),"")</f>
        <v/>
      </c>
      <c r="FE315" s="361" t="str">
        <f t="shared" si="976"/>
        <v/>
      </c>
      <c r="FF315" s="361" t="str">
        <f t="shared" si="977"/>
        <v/>
      </c>
      <c r="FG315" s="361" t="e">
        <f t="shared" si="882"/>
        <v>#N/A</v>
      </c>
      <c r="FH315" s="361">
        <f t="shared" si="883"/>
        <v>0</v>
      </c>
      <c r="FI315" s="361" t="e">
        <f t="shared" si="884"/>
        <v>#DIV/0!</v>
      </c>
      <c r="FJ315" s="361"/>
      <c r="FK315" s="356" t="e">
        <f t="shared" si="885"/>
        <v>#VALUE!</v>
      </c>
      <c r="FL315" s="361"/>
      <c r="FM315" s="361"/>
      <c r="FN315" s="362" t="str">
        <f t="shared" si="978"/>
        <v xml:space="preserve"> </v>
      </c>
      <c r="FO315" s="362" t="str">
        <f t="shared" si="979"/>
        <v xml:space="preserve"> </v>
      </c>
      <c r="FP315" s="362">
        <f t="shared" si="980"/>
        <v>0</v>
      </c>
      <c r="FQ315" s="361">
        <f t="shared" si="886"/>
        <v>0</v>
      </c>
      <c r="FR315" s="362" t="str">
        <f>IF(L315&gt;0,IF(J315="CBAL2",Worksheet!$P$67,IF(J315="CBE2-24",Worksheet!$Q$67,IF(J315="CBAM",Worksheet!$R$67,IF(J315="CBLV",Worksheet!$S$67,IF(J315="CBAB",Worksheet!$U$67,IF(J315="CBAW",Worksheet!$X$67,IF(J315="CBE2-12",Worksheet!$Y$67,IF(J315="CBAL2",Worksheet!$Z$67,"N/A"))))))))," ")</f>
        <v xml:space="preserve"> </v>
      </c>
      <c r="FS315" s="362" t="str">
        <f>IF(L315&gt;0,IF(J315="CBAL2",Worksheet!$P$68,IF(J315="CBE2-24",Worksheet!$Q$68,IF(J315="CBAM",Worksheet!$R$68,IF(J315="CBLV",Worksheet!$S$68,IF(J315="CBAB",Worksheet!$U$68,IF(J315="CBAW",Worksheet!$X$68,IF(J315="CBE2-12",Worksheet!$Y$68,IF(J315="CBAL2",Worksheet!$Z$68,"N/A"))))))))," ")</f>
        <v xml:space="preserve"> </v>
      </c>
      <c r="FT315" s="362" t="str">
        <f>IF(L315&gt;0,IF(J315="CBAL2",Worksheet!$P$69,IF(J315="CBE2-24",Worksheet!$Q$69,IF(J315="CBAM",Worksheet!$R$69,IF(J315="CBLV",Worksheet!$S$69,IF(J315="CBAB",Worksheet!$U$69,IF(J315="CBAW",Worksheet!$X$69,IF(J315="CBE2-12",Worksheet!$Y$69,IF(J315="CBAL2",Worksheet!$Z$69,"N/A"))))))))," ")</f>
        <v xml:space="preserve"> </v>
      </c>
      <c r="FU315" s="361" t="str">
        <f t="shared" si="981"/>
        <v xml:space="preserve"> </v>
      </c>
      <c r="FV315" s="362" t="str">
        <f t="shared" si="982"/>
        <v xml:space="preserve"> </v>
      </c>
      <c r="FW315" s="362" t="str">
        <f t="shared" si="983"/>
        <v xml:space="preserve"> </v>
      </c>
      <c r="FX315" s="362" t="str">
        <f t="shared" si="984"/>
        <v xml:space="preserve"> </v>
      </c>
      <c r="FY315" s="355" t="str">
        <f t="shared" si="985"/>
        <v xml:space="preserve"> </v>
      </c>
      <c r="FZ315" s="361" t="str">
        <f t="shared" si="986"/>
        <v xml:space="preserve"> </v>
      </c>
      <c r="GA315" s="347" t="str">
        <f t="shared" si="987"/>
        <v xml:space="preserve"> </v>
      </c>
      <c r="GB315" s="355" t="str">
        <f t="shared" si="988"/>
        <v xml:space="preserve"> </v>
      </c>
      <c r="GC315" s="328" t="str">
        <f t="shared" si="989"/>
        <v xml:space="preserve"> </v>
      </c>
      <c r="GD315" s="361" t="str">
        <f t="shared" si="990"/>
        <v xml:space="preserve"> </v>
      </c>
      <c r="GE315" s="347" t="str">
        <f t="shared" si="991"/>
        <v xml:space="preserve"> </v>
      </c>
      <c r="GF315" s="361" t="str">
        <f t="shared" si="992"/>
        <v xml:space="preserve"> </v>
      </c>
      <c r="GG315" s="347" t="str">
        <f t="shared" si="993"/>
        <v xml:space="preserve"> </v>
      </c>
      <c r="GH315" s="364">
        <f t="shared" si="887"/>
        <v>0</v>
      </c>
      <c r="GI315" s="362">
        <f t="shared" si="994"/>
        <v>2</v>
      </c>
      <c r="GJ315" s="433" t="e">
        <f>IF(6-COUNTBLANK(GT315:GY315)=4,MATCH(MID(BO315,9,3),CLU!$H$16:$K$16),MATCH(MID(BO315,9,3),CLU!$H$13:$M$13))</f>
        <v>#N/A</v>
      </c>
      <c r="GK315" s="433" t="e">
        <f>HLOOKUP(VALUE(BP315),CLU!$H$9:$M$10,2)</f>
        <v>#VALUE!</v>
      </c>
      <c r="GL315" s="433" t="e">
        <f ca="1">MATCH(BU315,CLU!$H$2:$V$2,1)</f>
        <v>#VALUE!</v>
      </c>
      <c r="GM315" s="433" t="e">
        <f t="shared" ca="1" si="995"/>
        <v>#VALUE!</v>
      </c>
      <c r="GN315" s="433" t="e">
        <f t="shared" ca="1" si="996"/>
        <v>#VALUE!</v>
      </c>
      <c r="GO315" s="433" t="e">
        <f t="shared" ca="1" si="997"/>
        <v>#VALUE!</v>
      </c>
      <c r="GP315" s="433" t="e">
        <f t="shared" ca="1" si="998"/>
        <v>#VALUE!</v>
      </c>
      <c r="GQ315" s="433" t="e">
        <f t="shared" ca="1" si="999"/>
        <v>#VALUE!</v>
      </c>
      <c r="GR315" s="433" t="e">
        <f ca="1">MATCH(T315,INDIRECT(VLOOKUP(CONCATENATE(LEFT(BO315,7),"-",MID(BO315,13,1)),CLU!$P$3:$Q$16,2)),1)</f>
        <v>#N/A</v>
      </c>
      <c r="GS315" s="433" t="e">
        <f ca="1">MATCH(U315,INDIRECT(VLOOKUP(CONCATENATE(LEFT(BO315,7),"-",MID(BO315,13,1)),CLU!$P$3:$Q$16,2)),1)</f>
        <v>#N/A</v>
      </c>
      <c r="GT315" s="347" t="s">
        <v>512</v>
      </c>
      <c r="GU315" s="97" t="s">
        <v>513</v>
      </c>
      <c r="GV315" s="97" t="str">
        <f t="shared" si="1000"/>
        <v>M23</v>
      </c>
      <c r="GW315" s="97" t="str">
        <f t="shared" si="1001"/>
        <v>M31</v>
      </c>
      <c r="GX315" s="97" t="str">
        <f t="shared" si="1002"/>
        <v/>
      </c>
      <c r="GY315" s="97" t="str">
        <f t="shared" si="1003"/>
        <v/>
      </c>
      <c r="GZ315" s="481"/>
      <c r="HA315" s="240"/>
      <c r="HB315" s="240"/>
      <c r="HC315" s="240"/>
      <c r="HD315" s="240"/>
      <c r="HE315" s="240"/>
      <c r="HF315" s="240"/>
      <c r="HG315" s="240"/>
      <c r="HH315" s="240"/>
      <c r="HI315" s="240"/>
      <c r="HJ315" s="240"/>
      <c r="HK315" s="240"/>
      <c r="HL315" s="240"/>
      <c r="HM315" s="240"/>
      <c r="HN315" s="240"/>
      <c r="HO315" s="240"/>
      <c r="HP315" s="240"/>
      <c r="HQ315" s="240"/>
      <c r="HR315" s="240"/>
      <c r="HS315" s="240"/>
      <c r="HT315" s="240"/>
      <c r="HU315" s="240"/>
      <c r="HV315" s="245"/>
      <c r="HW315" s="245" t="b">
        <v>1</v>
      </c>
      <c r="HX315" s="245" t="str">
        <f t="shared" si="888"/>
        <v/>
      </c>
      <c r="HY315" s="245" t="e">
        <f t="shared" si="889"/>
        <v>#DIV/0!</v>
      </c>
      <c r="HZ315" s="245" t="e">
        <f t="shared" si="890"/>
        <v>#DIV/0!</v>
      </c>
      <c r="IA315" s="245">
        <f t="shared" si="891"/>
        <v>0</v>
      </c>
      <c r="IB315" s="245"/>
      <c r="IC315" t="b">
        <f t="shared" si="892"/>
        <v>1</v>
      </c>
      <c r="ID315" s="245" t="b">
        <f t="shared" si="893"/>
        <v>1</v>
      </c>
      <c r="IE315" s="245" t="b">
        <f t="shared" si="894"/>
        <v>1</v>
      </c>
      <c r="IF315" s="245" t="b">
        <f t="shared" si="895"/>
        <v>0</v>
      </c>
      <c r="IG315" s="245" t="b">
        <f t="shared" si="896"/>
        <v>1</v>
      </c>
      <c r="IH315" s="245" t="b">
        <f t="shared" si="897"/>
        <v>1</v>
      </c>
      <c r="II315" s="245">
        <f t="shared" si="1004"/>
        <v>0</v>
      </c>
      <c r="IJ315" s="245" t="e">
        <f t="shared" si="898"/>
        <v>#VALUE!</v>
      </c>
      <c r="IK315" s="245" t="e">
        <f t="shared" si="899"/>
        <v>#VALUE!</v>
      </c>
      <c r="IL315" s="245"/>
      <c r="IM315" s="245" t="e">
        <f t="shared" si="1005"/>
        <v>#N/A</v>
      </c>
      <c r="IN315" s="245" t="e">
        <f t="shared" si="1006"/>
        <v>#N/A</v>
      </c>
      <c r="IO315" s="245"/>
      <c r="IP315" s="245"/>
      <c r="IQ315" s="245" t="str">
        <f t="shared" si="900"/>
        <v/>
      </c>
      <c r="IR315" s="245" t="str">
        <f>IF(J315="","",VLOOKUP(J315,Worksheet!$R$4:$T$14,2))</f>
        <v/>
      </c>
      <c r="IS315" s="245"/>
      <c r="IT315" s="245">
        <f t="shared" si="901"/>
        <v>0</v>
      </c>
      <c r="IU315" s="245">
        <f t="shared" si="902"/>
        <v>0</v>
      </c>
      <c r="IV315" s="245">
        <f t="shared" si="903"/>
        <v>0</v>
      </c>
      <c r="IW315" s="245">
        <f t="shared" si="904"/>
        <v>0</v>
      </c>
      <c r="IX315" s="245">
        <f t="shared" si="1007"/>
        <v>0</v>
      </c>
      <c r="IY315" s="245">
        <f t="shared" si="905"/>
        <v>0</v>
      </c>
      <c r="IZ315" s="245">
        <f t="shared" si="906"/>
        <v>0</v>
      </c>
      <c r="JA315">
        <f t="shared" si="907"/>
        <v>0</v>
      </c>
      <c r="JB315">
        <f t="shared" si="1008"/>
        <v>0</v>
      </c>
      <c r="JC315">
        <f t="shared" si="908"/>
        <v>0</v>
      </c>
      <c r="JD315">
        <f t="shared" si="909"/>
        <v>0</v>
      </c>
      <c r="JE315">
        <f t="shared" si="910"/>
        <v>0</v>
      </c>
      <c r="JF315">
        <f t="shared" si="911"/>
        <v>0</v>
      </c>
      <c r="JG315">
        <f t="shared" si="912"/>
        <v>0</v>
      </c>
      <c r="JH315">
        <f t="shared" si="913"/>
        <v>0</v>
      </c>
      <c r="JI315">
        <f t="shared" si="914"/>
        <v>0</v>
      </c>
      <c r="JJ315" s="447">
        <f t="shared" si="915"/>
        <v>0</v>
      </c>
      <c r="JK315" s="447">
        <f t="shared" si="916"/>
        <v>0</v>
      </c>
      <c r="JL315">
        <f t="shared" si="917"/>
        <v>0</v>
      </c>
      <c r="JM315" s="245" t="str">
        <f>IFERROR(VLOOKUP(MATCH(BN315,#REF!,0),#REF!,7),"")</f>
        <v/>
      </c>
      <c r="JN315" t="e">
        <f>HLOOKUP(LEFT(BO315,7),Discharge_Area,MATCH(JO315,LookUps!$B$130:$B$149,1)+2)</f>
        <v>#N/A</v>
      </c>
      <c r="JO315" t="str">
        <f t="shared" si="918"/>
        <v>- S</v>
      </c>
      <c r="JP315" t="e">
        <f>HLOOKUP(LEFT(BO315,7),Discharge_Area,MATCH(JO315,LookUps!$B$130:$B$149,1)+2)</f>
        <v>#N/A</v>
      </c>
      <c r="JQ315" t="e">
        <f t="shared" si="919"/>
        <v>#N/A</v>
      </c>
      <c r="JR315" t="e">
        <f t="shared" si="920"/>
        <v>#N/A</v>
      </c>
      <c r="JS315" t="e">
        <f t="shared" si="921"/>
        <v>#N/A</v>
      </c>
      <c r="JT315" s="532" t="str">
        <f t="shared" si="922"/>
        <v xml:space="preserve"> </v>
      </c>
      <c r="JU315" s="532" t="str">
        <f t="shared" si="923"/>
        <v xml:space="preserve"> </v>
      </c>
      <c r="JV315" s="533" t="str">
        <f t="shared" si="924"/>
        <v xml:space="preserve"> </v>
      </c>
      <c r="JW315" s="534">
        <f t="shared" si="925"/>
        <v>0</v>
      </c>
      <c r="JX315" s="535" t="str">
        <f t="shared" si="1009"/>
        <v xml:space="preserve"> </v>
      </c>
      <c r="JY315" s="535" t="str">
        <f t="shared" si="1010"/>
        <v xml:space="preserve"> </v>
      </c>
      <c r="JZ315" s="535" t="str">
        <f t="shared" si="1011"/>
        <v xml:space="preserve"> </v>
      </c>
      <c r="KA315" s="536" t="str">
        <f t="shared" si="926"/>
        <v xml:space="preserve"> </v>
      </c>
      <c r="KB315" s="535" t="e">
        <f t="shared" si="1012"/>
        <v>#VALUE!</v>
      </c>
      <c r="KC315" s="535" t="str">
        <f t="shared" si="927"/>
        <v/>
      </c>
      <c r="KD315" s="537" t="str">
        <f t="shared" si="1013"/>
        <v xml:space="preserve"> </v>
      </c>
      <c r="KE315" s="537" t="str">
        <f t="shared" si="1014"/>
        <v xml:space="preserve"> </v>
      </c>
      <c r="KF315" s="534">
        <f t="shared" si="928"/>
        <v>0</v>
      </c>
      <c r="KG315" s="535" t="str">
        <f t="shared" si="929"/>
        <v xml:space="preserve"> </v>
      </c>
      <c r="KH315" s="535" t="str">
        <f t="shared" si="930"/>
        <v xml:space="preserve"> </v>
      </c>
      <c r="KI315" s="535" t="str">
        <f t="shared" si="931"/>
        <v xml:space="preserve"> </v>
      </c>
      <c r="KJ315" s="536" t="str">
        <f t="shared" si="932"/>
        <v xml:space="preserve"> </v>
      </c>
      <c r="KK315" s="535" t="str">
        <f t="shared" si="1015"/>
        <v xml:space="preserve"> </v>
      </c>
      <c r="KL315" s="535" t="str">
        <f t="shared" si="1016"/>
        <v xml:space="preserve"> </v>
      </c>
      <c r="KM315" s="537" t="str">
        <f t="shared" si="933"/>
        <v xml:space="preserve"> </v>
      </c>
      <c r="KN315" s="537" t="str">
        <f t="shared" si="1017"/>
        <v xml:space="preserve"> </v>
      </c>
      <c r="KP315">
        <f t="shared" si="934"/>
        <v>0</v>
      </c>
      <c r="LA315" t="e">
        <f t="shared" si="935"/>
        <v>#VALUE!</v>
      </c>
      <c r="LB315" t="e">
        <f t="shared" si="936"/>
        <v>#VALUE!</v>
      </c>
      <c r="LC315" t="e">
        <f t="shared" si="937"/>
        <v>#VALUE!</v>
      </c>
      <c r="LD315" t="e">
        <f t="shared" si="938"/>
        <v>#VALUE!</v>
      </c>
      <c r="LE315" t="e">
        <f t="shared" si="1018"/>
        <v>#VALUE!</v>
      </c>
      <c r="LF315">
        <f t="shared" si="939"/>
        <v>0</v>
      </c>
      <c r="LG315" t="e">
        <f t="shared" si="1019"/>
        <v>#VALUE!</v>
      </c>
      <c r="LH315" t="str">
        <f t="shared" si="940"/>
        <v xml:space="preserve"> </v>
      </c>
      <c r="LI315">
        <f t="shared" si="1020"/>
        <v>1</v>
      </c>
    </row>
    <row r="316" spans="2:321" ht="15" customHeight="1">
      <c r="B316" s="311"/>
      <c r="C316" s="311"/>
      <c r="D316" s="312"/>
      <c r="E316" s="311"/>
      <c r="F316" s="312"/>
      <c r="G316" s="311"/>
      <c r="H316" s="311"/>
      <c r="I316" s="232"/>
      <c r="J316" s="311"/>
      <c r="K316" s="305" t="str">
        <f t="shared" si="941"/>
        <v/>
      </c>
      <c r="L316" s="313"/>
      <c r="M316" s="312"/>
      <c r="N316" s="311"/>
      <c r="O316" s="312"/>
      <c r="P316" s="311"/>
      <c r="Q316" s="305" t="str">
        <f t="shared" si="942"/>
        <v/>
      </c>
      <c r="R316" s="314"/>
      <c r="S316" s="450" t="str">
        <f t="shared" si="825"/>
        <v/>
      </c>
      <c r="T316" s="315"/>
      <c r="U316" s="315"/>
      <c r="W316" s="149" t="str">
        <f t="shared" si="826"/>
        <v xml:space="preserve"> </v>
      </c>
      <c r="X316" s="243" t="str">
        <f t="shared" si="827"/>
        <v xml:space="preserve"> </v>
      </c>
      <c r="Y316" s="150" t="str">
        <f t="shared" si="828"/>
        <v/>
      </c>
      <c r="Z316" s="149" t="str">
        <f t="shared" si="829"/>
        <v xml:space="preserve"> </v>
      </c>
      <c r="AA316" s="98" t="str">
        <f t="shared" si="830"/>
        <v xml:space="preserve"> </v>
      </c>
      <c r="AB316" s="153" t="str">
        <f t="shared" si="831"/>
        <v xml:space="preserve"> </v>
      </c>
      <c r="AC316" s="153" t="str">
        <f t="shared" si="832"/>
        <v xml:space="preserve"> </v>
      </c>
      <c r="AD316" s="148" t="str">
        <f t="shared" si="833"/>
        <v/>
      </c>
      <c r="AE316" s="149" t="str">
        <f t="shared" si="834"/>
        <v/>
      </c>
      <c r="AF316" s="151" t="str">
        <f t="shared" si="835"/>
        <v xml:space="preserve"> </v>
      </c>
      <c r="AG316" s="153" t="str">
        <f t="shared" si="836"/>
        <v xml:space="preserve"> </v>
      </c>
      <c r="AH316" s="98" t="str">
        <f t="shared" si="837"/>
        <v xml:space="preserve"> </v>
      </c>
      <c r="AI316" s="149" t="str">
        <f t="shared" si="838"/>
        <v xml:space="preserve"> </v>
      </c>
      <c r="AK316" s="144" t="str">
        <f t="shared" si="839"/>
        <v xml:space="preserve"> </v>
      </c>
      <c r="AL316" s="144"/>
      <c r="AM316" s="243" t="str">
        <f t="shared" si="840"/>
        <v xml:space="preserve"> </v>
      </c>
      <c r="AN316" s="149" t="str">
        <f t="shared" si="943"/>
        <v xml:space="preserve"> </v>
      </c>
      <c r="AO316" s="144" t="str">
        <f>IF(JB316&gt;0,IF(GI316=10,-R316*1.085*(Calculation!$F$6-Calculation!$F$13)*$S$14," "),"")</f>
        <v/>
      </c>
      <c r="AP316" s="144" t="str">
        <f t="shared" si="841"/>
        <v/>
      </c>
      <c r="AQ316" s="56" t="str">
        <f t="shared" si="842"/>
        <v/>
      </c>
      <c r="AR316" s="144" t="str">
        <f t="shared" si="843"/>
        <v/>
      </c>
      <c r="AS316" s="176" t="str">
        <f t="shared" si="844"/>
        <v/>
      </c>
      <c r="AT316" s="176" t="str">
        <f t="shared" si="944"/>
        <v xml:space="preserve"> </v>
      </c>
      <c r="AU316" s="176" t="str">
        <f t="shared" si="845"/>
        <v/>
      </c>
      <c r="AV316" s="177" t="str">
        <f t="shared" si="846"/>
        <v xml:space="preserve"> </v>
      </c>
      <c r="AW316" s="144" t="str">
        <f t="shared" si="847"/>
        <v xml:space="preserve"> </v>
      </c>
      <c r="AX316" s="144" t="str">
        <f t="shared" si="848"/>
        <v xml:space="preserve"> </v>
      </c>
      <c r="AY316" s="152" t="str">
        <f t="shared" si="849"/>
        <v xml:space="preserve"> </v>
      </c>
      <c r="AZ316" s="246" t="str">
        <f t="shared" si="850"/>
        <v/>
      </c>
      <c r="BA316" s="176" t="str">
        <f t="shared" si="851"/>
        <v xml:space="preserve"> </v>
      </c>
      <c r="BB316" s="176" t="str">
        <f t="shared" si="852"/>
        <v xml:space="preserve"> </v>
      </c>
      <c r="BC316" s="195"/>
      <c r="BD316" s="316"/>
      <c r="BE316" s="317"/>
      <c r="BF316" s="318"/>
      <c r="BG316" s="318"/>
      <c r="BH316" s="144" t="str">
        <f t="shared" si="1021"/>
        <v xml:space="preserve"> </v>
      </c>
      <c r="BI316" s="176" t="str">
        <f t="shared" si="853"/>
        <v/>
      </c>
      <c r="BJ316" s="144" t="str">
        <f t="shared" si="1022"/>
        <v/>
      </c>
      <c r="BK316" s="246" t="str">
        <f t="shared" si="854"/>
        <v/>
      </c>
      <c r="BL316" s="144" t="str">
        <f t="shared" si="1023"/>
        <v/>
      </c>
      <c r="BM316" s="246" t="str">
        <f t="shared" si="855"/>
        <v/>
      </c>
      <c r="BN316" s="337" t="str">
        <f t="shared" si="945"/>
        <v/>
      </c>
      <c r="BO316" s="371" t="str">
        <f t="shared" si="946"/>
        <v/>
      </c>
      <c r="BP316" s="328" t="str">
        <f t="shared" si="1024"/>
        <v xml:space="preserve"> </v>
      </c>
      <c r="BQ316" s="347" t="str">
        <f t="shared" si="947"/>
        <v xml:space="preserve"> </v>
      </c>
      <c r="BR316" s="353" t="str">
        <f t="shared" si="948"/>
        <v xml:space="preserve"> </v>
      </c>
      <c r="BS316" s="626" t="str">
        <f>IF(L316&gt;0,IF(Calculation!P316="M13",BR316*3.1416*(0.134^2)/(4*144),IF(Calculation!P316="M17",BR316*3.1416*(0.165^2)/(4*144),IF(Calculation!P316="M20",BR316*3.1416*(0.198^2)/(4*144),IF(Calculation!P316="M23",BR316*3.1416*(0.228^2)/(4*144),IF(Calculation!P316="M27",BR316*3.1416*(0.269^2)/(4*144),BR316*3.1416*(0.307^2)/(4*144))))))," ")</f>
        <v xml:space="preserve"> </v>
      </c>
      <c r="BT316" s="353" t="str">
        <f>IF(L316&gt;0,IF(BS316&gt;0,R316/Calculation!BS316,0)," ")</f>
        <v xml:space="preserve"> </v>
      </c>
      <c r="BU316" s="438" t="e">
        <f t="shared" ca="1" si="856"/>
        <v>#VALUE!</v>
      </c>
      <c r="BV316" s="449" t="e">
        <f ca="1">INDEX(INDIRECT(VLOOKUP(LEFT(BO316,7),CLU!$Z$3:$AH$18,2)),GN316,GR316)</f>
        <v>#N/A</v>
      </c>
      <c r="BW316" s="433" t="e">
        <f ca="1">INDEX(INDIRECT(VLOOKUP(LEFT(BO316,7),CLU!$Z$3:$AH$18,3)),GN316,GR316)</f>
        <v>#N/A</v>
      </c>
      <c r="BX316" s="433" t="e">
        <f ca="1">INDEX(INDIRECT(VLOOKUP(LEFT(BO316,7),CLU!$Z$3:$AH$18,4)),GN316,GR316)</f>
        <v>#N/A</v>
      </c>
      <c r="BY316" s="433" t="e">
        <f ca="1">INDEX(INDIRECT(VLOOKUP(LEFT(BO316,7),CLU!$Z$3:$AH$18,9)),((M316-2)*(6-COUNTBLANK(GT316:GY316)))+GJ316)</f>
        <v>#N/A</v>
      </c>
      <c r="BZ316" s="426" t="e">
        <f t="shared" ca="1" si="949"/>
        <v>#N/A</v>
      </c>
      <c r="CA316" s="424" t="e">
        <f t="shared" ca="1" si="950"/>
        <v>#N/A</v>
      </c>
      <c r="CB316" s="429" t="e">
        <f ca="1">INDEX(INDIRECT(VLOOKUP(LEFT(BO316,7),CLU!$Z$3:$AH$18,2)),GN316,GS316)</f>
        <v>#N/A</v>
      </c>
      <c r="CC316" s="342" t="e">
        <f ca="1">INDEX(INDIRECT(VLOOKUP(LEFT(BO316,7),CLU!$Z$3:$AH$18,3)),GN316,GS316)</f>
        <v>#N/A</v>
      </c>
      <c r="CD316" s="342" t="e">
        <f ca="1">INDEX(INDIRECT(VLOOKUP(LEFT(BO316,7),CLU!$Z$3:$AH$18,4)),GN316,GS316)</f>
        <v>#N/A</v>
      </c>
      <c r="CE316" s="426" t="e">
        <f t="shared" ca="1" si="951"/>
        <v>#N/A</v>
      </c>
      <c r="CF316" s="440">
        <f t="shared" si="952"/>
        <v>0</v>
      </c>
      <c r="CG316" s="431" t="e">
        <f ca="1">INDEX(INDIRECT(VLOOKUP(LEFT(BO316,7),CLU!$Z$3:$AH$18,2)),GQ316,GR316)</f>
        <v>#N/A</v>
      </c>
      <c r="CH316" s="431" t="e">
        <f ca="1">INDEX(INDIRECT(VLOOKUP(LEFT(BO316,7),CLU!$Z$3:$AH$18,3)),GQ316,GR316)</f>
        <v>#N/A</v>
      </c>
      <c r="CI316" s="431" t="e">
        <f ca="1">INDEX(INDIRECT(VLOOKUP(LEFT(BO316,7),CLU!$Z$3:$AH$18,4)),GQ316,GR316)</f>
        <v>#N/A</v>
      </c>
      <c r="CJ316" s="448" t="e">
        <f t="shared" ca="1" si="953"/>
        <v>#N/A</v>
      </c>
      <c r="CK316" s="431" t="e">
        <f t="shared" ca="1" si="954"/>
        <v>#N/A</v>
      </c>
      <c r="CL316" s="440" t="e">
        <f t="shared" ca="1" si="955"/>
        <v>#N/A</v>
      </c>
      <c r="CM316" s="431" t="e">
        <f ca="1">INDEX(INDIRECT(VLOOKUP(LEFT(BO316,7),CLU!$Z$3:$AH$18,2)),GQ316,GS316)</f>
        <v>#N/A</v>
      </c>
      <c r="CN316" s="431" t="e">
        <f ca="1">INDEX(INDIRECT(VLOOKUP(LEFT(BO316,7),CLU!$Z$3:$AH$18,3)),GQ316,GS316)</f>
        <v>#N/A</v>
      </c>
      <c r="CO316" s="431" t="e">
        <f ca="1">INDEX(INDIRECT(VLOOKUP(LEFT(BO316,7),CLU!$Z$3:$AH$18,4)),GQ316,GS316)</f>
        <v>#N/A</v>
      </c>
      <c r="CP316" s="431" t="e">
        <f t="shared" ca="1" si="956"/>
        <v>#N/A</v>
      </c>
      <c r="CQ316" s="440">
        <f t="shared" si="957"/>
        <v>0</v>
      </c>
      <c r="CR316" s="51" t="e">
        <f t="shared" ca="1" si="958"/>
        <v>#N/A</v>
      </c>
      <c r="CS316" s="439" t="e">
        <f t="shared" ca="1" si="959"/>
        <v>#VALUE!</v>
      </c>
      <c r="CT316" s="51" t="e">
        <f t="shared" ca="1" si="960"/>
        <v>#VALUE!</v>
      </c>
      <c r="CU316" s="10"/>
      <c r="CV316" s="51" t="e">
        <f t="shared" ca="1" si="857"/>
        <v>#VALUE!</v>
      </c>
      <c r="CW316" s="51">
        <f t="shared" si="961"/>
        <v>0</v>
      </c>
      <c r="CX316" s="439" t="e">
        <f t="shared" ca="1" si="962"/>
        <v>#VALUE!</v>
      </c>
      <c r="CY316" s="51" t="e">
        <f t="shared" ca="1" si="963"/>
        <v>#VALUE!</v>
      </c>
      <c r="CZ316" s="10"/>
      <c r="DA316" s="51" t="e">
        <f t="shared" ca="1" si="964"/>
        <v>#VALUE!</v>
      </c>
      <c r="DB316" s="347" t="e">
        <f ca="1">INDEX(INDIRECT(VLOOKUP(LEFT(BO316,7),CLU!$Z$3:$AI$18,10)),((M316-2)*(6-COUNTBLANK(GT316:GY316)))+GJ316)*LI316</f>
        <v>#N/A</v>
      </c>
      <c r="DC316" s="347" t="str">
        <f>IF(L316&gt;0,((R316/Worksheet!$I$15)/DB316)^2," ")</f>
        <v xml:space="preserve"> </v>
      </c>
      <c r="DD316" s="602" t="str">
        <f t="shared" si="965"/>
        <v xml:space="preserve"> </v>
      </c>
      <c r="DE316" s="347" t="str">
        <f t="shared" si="858"/>
        <v xml:space="preserve"> </v>
      </c>
      <c r="DF316" s="356" t="e">
        <f ca="1">INDEX(INDIRECT(VLOOKUP(LEFT(BO316,7),CLU!$Z$3:$AH$18,8)),((M316-2)*(6-COUNTBLANK(GT316:GY316)))+GJ316)</f>
        <v>#N/A</v>
      </c>
      <c r="DG316" s="347" t="str">
        <f t="shared" si="859"/>
        <v xml:space="preserve"> </v>
      </c>
      <c r="DH316" s="357" t="str">
        <f t="shared" si="860"/>
        <v xml:space="preserve"> </v>
      </c>
      <c r="DI316" s="355" t="str">
        <f t="shared" si="861"/>
        <v xml:space="preserve"> </v>
      </c>
      <c r="DJ316" s="245" t="e">
        <f ca="1">INDEX(INDIRECT(VLOOKUP(LEFT(BO316,7),CLU!$Z$3:$AH$18,5)),GL316,GK316)</f>
        <v>#N/A</v>
      </c>
      <c r="DK316" s="245" t="e">
        <f ca="1">INDEX(INDIRECT(VLOOKUP(LEFT(BO316,7),CLU!$Z$3:$AH$18,6)),GL316,GK316)</f>
        <v>#N/A</v>
      </c>
      <c r="DL316" s="355">
        <f>(Calculation!R316*0.69143*(Calculation!$BQ$8-Calculation!$F$8))*$S$14</f>
        <v>0</v>
      </c>
      <c r="DM316" s="359" t="e">
        <f t="shared" si="966"/>
        <v>#VALUE!</v>
      </c>
      <c r="DN316" s="611">
        <f t="shared" si="967"/>
        <v>0</v>
      </c>
      <c r="DO316" s="359">
        <f t="shared" si="968"/>
        <v>100</v>
      </c>
      <c r="DP316" s="359">
        <f t="shared" si="969"/>
        <v>0</v>
      </c>
      <c r="DQ316" s="360"/>
      <c r="DR316" s="245" t="e">
        <f ca="1">INDEX(INDIRECT(VLOOKUP(LEFT(BO316,7),CLU!$Z$3:$AH$18,7)),M316-1,1)</f>
        <v>#N/A</v>
      </c>
      <c r="DS316" s="245" t="e">
        <f ca="1">INDEX(INDIRECT(VLOOKUP(LEFT(BO316,7),CLU!$Z$3:$AH$18,7)),M316-1,2)</f>
        <v>#N/A</v>
      </c>
      <c r="DT316" s="245" t="e">
        <f ca="1">INDEX(INDIRECT(VLOOKUP(LEFT(BO316,7),CLU!$Z$3:$AH$18,7)),M316-1,3)</f>
        <v>#N/A</v>
      </c>
      <c r="DU316" s="245" t="e">
        <f ca="1">INDEX(INDIRECT(VLOOKUP(LEFT(BO316,7),CLU!$Z$3:$AH$18,7)),M316-1,4)</f>
        <v>#N/A</v>
      </c>
      <c r="DV316" s="361" t="e">
        <f ca="1">INDEX(INDIRECT(VLOOKUP(LEFT(BO316,7),CLU!$Z$3:$AH$18,7)),M316-1,4+LEFT(DZ316,1)*0.5)</f>
        <v>#N/A</v>
      </c>
      <c r="DW316" s="245" t="e">
        <f ca="1">INDEX(INDIRECT(VLOOKUP(LEFT(BO316,7),CLU!$Z$3:$AH$18,7)),M316-1,8)</f>
        <v>#N/A</v>
      </c>
      <c r="DX316" s="361" t="str">
        <f t="shared" si="862"/>
        <v xml:space="preserve"> </v>
      </c>
      <c r="DY316" s="361" t="str">
        <f t="shared" si="863"/>
        <v xml:space="preserve"> </v>
      </c>
      <c r="DZ316" s="361" t="str">
        <f t="shared" si="864"/>
        <v xml:space="preserve"> </v>
      </c>
      <c r="EA316" s="362" t="str">
        <f t="shared" si="865"/>
        <v xml:space="preserve"> </v>
      </c>
      <c r="EB316" s="624" t="str">
        <f t="shared" si="970"/>
        <v xml:space="preserve"> </v>
      </c>
      <c r="EC316" s="361" t="e">
        <f ca="1">INDEX(INDIRECT(VLOOKUP(LEFT(BO316,7),CLU!$Z$3:$AH$18,7)),M316-1,4+LEFT(DZ316,1)*0.5)</f>
        <v>#N/A</v>
      </c>
      <c r="ED316" s="362" t="str">
        <f t="shared" si="866"/>
        <v xml:space="preserve"> </v>
      </c>
      <c r="EE316" s="361" t="str">
        <f t="shared" si="867"/>
        <v xml:space="preserve"> </v>
      </c>
      <c r="EF316" s="362" t="str">
        <f>IF(L316&gt;0,IF(BR316&gt;0,IF(EE316="2P",IF(Calculation!DZ316="2P",IF(Calculation!DS316=13.75,IF(Calculation!DR316=13,Worksheet!$BD$43,IF(Calculation!DR316=37,Worksheet!$BD$44,Worksheet!$BD$45)),IF(Calculation!DS316=10,IF(Calculation!DR316=18,Worksheet!$BD$29,IF(Calculation!DR316=30,Worksheet!$BD$30,IF(Calculation!DR316=42,Worksheet!$BD$31,IF(Calculation!DR316=54,Worksheet!$BD$32,IF(Calculation!DR316=66,Worksheet!$BD$33,IF(Calculation!DR316=78,Worksheet!$BD$34,IF(Calculation!DR316=90,Worksheet!$BD$35,IF(Calculation!DR316=102,Worksheet!$BD$36,Worksheet!$BD$37)))))))),IF(Calculation!DS316=12.5,IF(Calculation!DR316=18,Worksheet!$BD$38,IF(Calculation!DR316=Worksheet!$BD$39,IF(Calculation!DR316=42,Worksheet!$BD$40,IF(Calculation!DR316=54,Worksheet!$BD$41,Worksheet!$BD$42)))),IF(Calculation!DR316=18,Worksheet!$BD$11,IF(Calculation!DR316=30,Worksheet!$BD$12,IF(Calculation!DR316=42,Worksheet!$BD$13,IF(Calculation!DR316=54,Worksheet!$BD$14,IF(Calculation!DR316=66,Worksheet!$BD$15,IF(Calculation!DR316=78,Worksheet!$BD$16,IF(Calculation!DR316=90,Worksheet!$BD$17,IF(Calculation!DR316=102,Worksheet!$BD$18,Worksheet!$BD$19))))))))))),IF(Calculation!DS316=13.75,IF(Calculation!DR316=13,Worksheet!$BD$78,IF(Calculation!DR316=37,Worksheet!$BD$79,Worksheet!$BD$80)),IF(Calculation!DS316=10,IF(Calculation!DR316=18,Worksheet!$BD$64,IF(Calculation!DR316=30,Worksheet!$BD$65,IF(Calculation!DR316=42,Worksheet!$BD$66,IF(Calculation!DR316=54,Worksheet!$BD$68,IF(Calculation!DR316=66,Worksheet!$BD$68,IF(Calculation!DR316=78,Worksheet!$BD$69,IF(Calculation!DR316=90,Worksheet!$BD$70,IF(Calculation!DR316=102,Worksheet!$BD$71,Worksheet!$BD$72)))))))),IF(Calculation!DS316=12.5,IF(Calculation!DR316=18,Worksheet!$BD$73,IF(Calculation!DR316=Worksheet!$BD$74,IF(Calculation!DR316=42,Worksheet!$BD$75,IF(Calculation!DR316=54,Worksheet!$BD$76,Worksheet!$BD$77)))),IF(Calculation!DR316=18,Worksheet!$BD$55,IF(Calculation!DR316=30,Worksheet!$BD$56,IF(Calculation!DR316=42,Worksheet!$BD$57,IF(Calculation!DR316=54,Worksheet!$BD$58,IF(Calculation!DR316=66,Worksheet!$BD$59,IF(Calculation!DR316=78,Worksheet!$BD$60,IF(Calculation!DR316=90,Worksheet!$BD$61,IF(Calculation!DR316=102,Worksheet!$BD$62,Worksheet!$BD$63)))))))))))),5),0)," ")</f>
        <v xml:space="preserve"> </v>
      </c>
      <c r="EG316" s="361" t="str">
        <f t="shared" si="868"/>
        <v xml:space="preserve"> </v>
      </c>
      <c r="EH316" s="361" t="e">
        <f ca="1">INDEX(INDIRECT(VLOOKUP(LEFT(BO316,7),CLU!$Z$3:$AH$18,7)),M316-1,3+LEFT(DZ316,1))</f>
        <v>#N/A</v>
      </c>
      <c r="EI316" s="362" t="str">
        <f t="shared" si="869"/>
        <v xml:space="preserve"> </v>
      </c>
      <c r="EJ316" s="363" t="str">
        <f t="shared" si="870"/>
        <v xml:space="preserve"> </v>
      </c>
      <c r="EK316" s="363" t="str">
        <f t="shared" si="871"/>
        <v xml:space="preserve"> </v>
      </c>
      <c r="EL316" s="363" t="str">
        <f t="shared" si="872"/>
        <v xml:space="preserve"> </v>
      </c>
      <c r="EM316" s="362" t="str">
        <f>IF(L316&gt;0,IF(BR316&gt;0,(Calculation!T316/ED316)^2,0)," ")</f>
        <v xml:space="preserve"> </v>
      </c>
      <c r="EN316" s="362" t="str">
        <f>IF(L316&gt;0,IF(O316="2 Pipe (Cooling)","N/A",IF(BR316&gt;0,(Calculation!U316/EI316)^2,0))," ")</f>
        <v xml:space="preserve"> </v>
      </c>
      <c r="EO316" s="361" t="str">
        <f t="shared" si="873"/>
        <v/>
      </c>
      <c r="EP316" s="361" t="str">
        <f t="shared" si="874"/>
        <v/>
      </c>
      <c r="EQ316" s="361" t="str">
        <f t="shared" si="875"/>
        <v/>
      </c>
      <c r="ER316" s="361" t="str">
        <f t="shared" si="876"/>
        <v/>
      </c>
      <c r="ES316" s="361" t="str">
        <f t="shared" si="877"/>
        <v/>
      </c>
      <c r="ET316" s="361" t="str">
        <f t="shared" si="878"/>
        <v/>
      </c>
      <c r="EU316" s="361" t="str">
        <f t="shared" si="879"/>
        <v/>
      </c>
      <c r="EV316" s="361" t="str">
        <f t="shared" si="880"/>
        <v/>
      </c>
      <c r="EW316" s="361" t="str">
        <f t="shared" si="881"/>
        <v/>
      </c>
      <c r="EX316" s="361" t="str">
        <f t="shared" si="971"/>
        <v>1 slot, 1 way</v>
      </c>
      <c r="EY316" s="361" t="str">
        <f t="shared" si="972"/>
        <v xml:space="preserve"> </v>
      </c>
      <c r="EZ316" s="361" t="str">
        <f t="shared" si="973"/>
        <v xml:space="preserve"> </v>
      </c>
      <c r="FA316" s="361" t="str">
        <f t="shared" si="974"/>
        <v xml:space="preserve"> </v>
      </c>
      <c r="FB316" s="361" t="str">
        <f t="shared" si="975"/>
        <v xml:space="preserve"> </v>
      </c>
      <c r="FC316" s="361"/>
      <c r="FD316" s="361" t="str">
        <f>IF(J316&gt;0,IF(Calculation!R316&lt;=70,4,IF(Calculation!R316&lt;=110,5,IF(Calculation!R316&lt;=160,6,IF(Calculation!R316&lt;=300,8,"10 EO")))),"")</f>
        <v/>
      </c>
      <c r="FE316" s="361" t="str">
        <f t="shared" si="976"/>
        <v/>
      </c>
      <c r="FF316" s="361" t="str">
        <f t="shared" si="977"/>
        <v/>
      </c>
      <c r="FG316" s="361" t="e">
        <f t="shared" si="882"/>
        <v>#N/A</v>
      </c>
      <c r="FH316" s="361">
        <f t="shared" si="883"/>
        <v>0</v>
      </c>
      <c r="FI316" s="361" t="e">
        <f t="shared" si="884"/>
        <v>#DIV/0!</v>
      </c>
      <c r="FJ316" s="361"/>
      <c r="FK316" s="356" t="e">
        <f t="shared" si="885"/>
        <v>#VALUE!</v>
      </c>
      <c r="FL316" s="361"/>
      <c r="FM316" s="361"/>
      <c r="FN316" s="362" t="str">
        <f t="shared" si="978"/>
        <v xml:space="preserve"> </v>
      </c>
      <c r="FO316" s="362" t="str">
        <f t="shared" si="979"/>
        <v xml:space="preserve"> </v>
      </c>
      <c r="FP316" s="362">
        <f t="shared" si="980"/>
        <v>0</v>
      </c>
      <c r="FQ316" s="361">
        <f t="shared" si="886"/>
        <v>0</v>
      </c>
      <c r="FR316" s="362" t="str">
        <f>IF(L316&gt;0,IF(J316="CBAL2",Worksheet!$P$67,IF(J316="CBE2-24",Worksheet!$Q$67,IF(J316="CBAM",Worksheet!$R$67,IF(J316="CBLV",Worksheet!$S$67,IF(J316="CBAB",Worksheet!$U$67,IF(J316="CBAW",Worksheet!$X$67,IF(J316="CBE2-12",Worksheet!$Y$67,IF(J316="CBAL2",Worksheet!$Z$67,"N/A"))))))))," ")</f>
        <v xml:space="preserve"> </v>
      </c>
      <c r="FS316" s="362" t="str">
        <f>IF(L316&gt;0,IF(J316="CBAL2",Worksheet!$P$68,IF(J316="CBE2-24",Worksheet!$Q$68,IF(J316="CBAM",Worksheet!$R$68,IF(J316="CBLV",Worksheet!$S$68,IF(J316="CBAB",Worksheet!$U$68,IF(J316="CBAW",Worksheet!$X$68,IF(J316="CBE2-12",Worksheet!$Y$68,IF(J316="CBAL2",Worksheet!$Z$68,"N/A"))))))))," ")</f>
        <v xml:space="preserve"> </v>
      </c>
      <c r="FT316" s="362" t="str">
        <f>IF(L316&gt;0,IF(J316="CBAL2",Worksheet!$P$69,IF(J316="CBE2-24",Worksheet!$Q$69,IF(J316="CBAM",Worksheet!$R$69,IF(J316="CBLV",Worksheet!$S$69,IF(J316="CBAB",Worksheet!$U$69,IF(J316="CBAW",Worksheet!$X$69,IF(J316="CBE2-12",Worksheet!$Y$69,IF(J316="CBAL2",Worksheet!$Z$69,"N/A"))))))))," ")</f>
        <v xml:space="preserve"> </v>
      </c>
      <c r="FU316" s="361" t="str">
        <f t="shared" si="981"/>
        <v xml:space="preserve"> </v>
      </c>
      <c r="FV316" s="362" t="str">
        <f t="shared" si="982"/>
        <v xml:space="preserve"> </v>
      </c>
      <c r="FW316" s="362" t="str">
        <f t="shared" si="983"/>
        <v xml:space="preserve"> </v>
      </c>
      <c r="FX316" s="362" t="str">
        <f t="shared" si="984"/>
        <v xml:space="preserve"> </v>
      </c>
      <c r="FY316" s="355" t="str">
        <f t="shared" si="985"/>
        <v xml:space="preserve"> </v>
      </c>
      <c r="FZ316" s="361" t="str">
        <f t="shared" si="986"/>
        <v xml:space="preserve"> </v>
      </c>
      <c r="GA316" s="347" t="str">
        <f t="shared" si="987"/>
        <v xml:space="preserve"> </v>
      </c>
      <c r="GB316" s="355" t="str">
        <f t="shared" si="988"/>
        <v xml:space="preserve"> </v>
      </c>
      <c r="GC316" s="328" t="str">
        <f t="shared" si="989"/>
        <v xml:space="preserve"> </v>
      </c>
      <c r="GD316" s="361" t="str">
        <f t="shared" si="990"/>
        <v xml:space="preserve"> </v>
      </c>
      <c r="GE316" s="347" t="str">
        <f t="shared" si="991"/>
        <v xml:space="preserve"> </v>
      </c>
      <c r="GF316" s="361" t="str">
        <f t="shared" si="992"/>
        <v xml:space="preserve"> </v>
      </c>
      <c r="GG316" s="347" t="str">
        <f t="shared" si="993"/>
        <v xml:space="preserve"> </v>
      </c>
      <c r="GH316" s="364">
        <f t="shared" si="887"/>
        <v>0</v>
      </c>
      <c r="GI316" s="362">
        <f t="shared" si="994"/>
        <v>2</v>
      </c>
      <c r="GJ316" s="433" t="e">
        <f>IF(6-COUNTBLANK(GT316:GY316)=4,MATCH(MID(BO316,9,3),CLU!$H$16:$K$16),MATCH(MID(BO316,9,3),CLU!$H$13:$M$13))</f>
        <v>#N/A</v>
      </c>
      <c r="GK316" s="433" t="e">
        <f>HLOOKUP(VALUE(BP316),CLU!$H$9:$M$10,2)</f>
        <v>#VALUE!</v>
      </c>
      <c r="GL316" s="433" t="e">
        <f ca="1">MATCH(BU316,CLU!$H$2:$V$2,1)</f>
        <v>#VALUE!</v>
      </c>
      <c r="GM316" s="433" t="e">
        <f t="shared" ca="1" si="995"/>
        <v>#VALUE!</v>
      </c>
      <c r="GN316" s="433" t="e">
        <f t="shared" ca="1" si="996"/>
        <v>#VALUE!</v>
      </c>
      <c r="GO316" s="433" t="e">
        <f t="shared" ca="1" si="997"/>
        <v>#VALUE!</v>
      </c>
      <c r="GP316" s="433" t="e">
        <f t="shared" ca="1" si="998"/>
        <v>#VALUE!</v>
      </c>
      <c r="GQ316" s="433" t="e">
        <f t="shared" ca="1" si="999"/>
        <v>#VALUE!</v>
      </c>
      <c r="GR316" s="433" t="e">
        <f ca="1">MATCH(T316,INDIRECT(VLOOKUP(CONCATENATE(LEFT(BO316,7),"-",MID(BO316,13,1)),CLU!$P$3:$Q$16,2)),1)</f>
        <v>#N/A</v>
      </c>
      <c r="GS316" s="433" t="e">
        <f ca="1">MATCH(U316,INDIRECT(VLOOKUP(CONCATENATE(LEFT(BO316,7),"-",MID(BO316,13,1)),CLU!$P$3:$Q$16,2)),1)</f>
        <v>#N/A</v>
      </c>
      <c r="GT316" s="347" t="s">
        <v>512</v>
      </c>
      <c r="GU316" s="97" t="s">
        <v>513</v>
      </c>
      <c r="GV316" s="97" t="str">
        <f t="shared" si="1000"/>
        <v>M23</v>
      </c>
      <c r="GW316" s="97" t="str">
        <f t="shared" si="1001"/>
        <v>M31</v>
      </c>
      <c r="GX316" s="97" t="str">
        <f t="shared" si="1002"/>
        <v/>
      </c>
      <c r="GY316" s="97" t="str">
        <f t="shared" si="1003"/>
        <v/>
      </c>
      <c r="GZ316" s="481"/>
      <c r="HA316" s="240"/>
      <c r="HB316" s="240"/>
      <c r="HC316" s="240"/>
      <c r="HD316" s="240"/>
      <c r="HE316" s="240"/>
      <c r="HF316" s="240"/>
      <c r="HG316" s="240"/>
      <c r="HH316" s="240"/>
      <c r="HI316" s="240"/>
      <c r="HJ316" s="240"/>
      <c r="HK316" s="240"/>
      <c r="HL316" s="240"/>
      <c r="HM316" s="240"/>
      <c r="HN316" s="240"/>
      <c r="HO316" s="240"/>
      <c r="HP316" s="240"/>
      <c r="HQ316" s="240"/>
      <c r="HR316" s="240"/>
      <c r="HS316" s="240"/>
      <c r="HT316" s="240"/>
      <c r="HU316" s="240"/>
      <c r="HV316" s="245"/>
      <c r="HW316" s="245" t="b">
        <v>1</v>
      </c>
      <c r="HX316" s="245" t="str">
        <f t="shared" si="888"/>
        <v/>
      </c>
      <c r="HY316" s="245" t="e">
        <f t="shared" si="889"/>
        <v>#DIV/0!</v>
      </c>
      <c r="HZ316" s="245" t="e">
        <f t="shared" si="890"/>
        <v>#DIV/0!</v>
      </c>
      <c r="IA316" s="245">
        <f t="shared" si="891"/>
        <v>0</v>
      </c>
      <c r="IB316" s="245"/>
      <c r="IC316" t="b">
        <f t="shared" si="892"/>
        <v>1</v>
      </c>
      <c r="ID316" s="245" t="b">
        <f t="shared" si="893"/>
        <v>1</v>
      </c>
      <c r="IE316" s="245" t="b">
        <f t="shared" si="894"/>
        <v>1</v>
      </c>
      <c r="IF316" s="245" t="b">
        <f t="shared" si="895"/>
        <v>0</v>
      </c>
      <c r="IG316" s="245" t="b">
        <f t="shared" si="896"/>
        <v>1</v>
      </c>
      <c r="IH316" s="245" t="b">
        <f t="shared" si="897"/>
        <v>1</v>
      </c>
      <c r="II316" s="245">
        <f t="shared" si="1004"/>
        <v>0</v>
      </c>
      <c r="IJ316" s="245" t="e">
        <f t="shared" si="898"/>
        <v>#VALUE!</v>
      </c>
      <c r="IK316" s="245" t="e">
        <f t="shared" si="899"/>
        <v>#VALUE!</v>
      </c>
      <c r="IL316" s="245"/>
      <c r="IM316" s="245" t="e">
        <f t="shared" si="1005"/>
        <v>#N/A</v>
      </c>
      <c r="IN316" s="245" t="e">
        <f t="shared" si="1006"/>
        <v>#N/A</v>
      </c>
      <c r="IO316" s="245"/>
      <c r="IP316" s="245"/>
      <c r="IQ316" s="245" t="str">
        <f t="shared" si="900"/>
        <v/>
      </c>
      <c r="IR316" s="245" t="str">
        <f>IF(J316="","",VLOOKUP(J316,Worksheet!$R$4:$T$14,2))</f>
        <v/>
      </c>
      <c r="IS316" s="245"/>
      <c r="IT316" s="245">
        <f t="shared" si="901"/>
        <v>0</v>
      </c>
      <c r="IU316" s="245">
        <f t="shared" si="902"/>
        <v>0</v>
      </c>
      <c r="IV316" s="245">
        <f t="shared" si="903"/>
        <v>0</v>
      </c>
      <c r="IW316" s="245">
        <f t="shared" si="904"/>
        <v>0</v>
      </c>
      <c r="IX316" s="245">
        <f t="shared" si="1007"/>
        <v>0</v>
      </c>
      <c r="IY316" s="245">
        <f t="shared" si="905"/>
        <v>0</v>
      </c>
      <c r="IZ316" s="245">
        <f t="shared" si="906"/>
        <v>0</v>
      </c>
      <c r="JA316">
        <f t="shared" si="907"/>
        <v>0</v>
      </c>
      <c r="JB316">
        <f t="shared" si="1008"/>
        <v>0</v>
      </c>
      <c r="JC316">
        <f t="shared" si="908"/>
        <v>0</v>
      </c>
      <c r="JD316">
        <f t="shared" si="909"/>
        <v>0</v>
      </c>
      <c r="JE316">
        <f t="shared" si="910"/>
        <v>0</v>
      </c>
      <c r="JF316">
        <f t="shared" si="911"/>
        <v>0</v>
      </c>
      <c r="JG316">
        <f t="shared" si="912"/>
        <v>0</v>
      </c>
      <c r="JH316">
        <f t="shared" si="913"/>
        <v>0</v>
      </c>
      <c r="JI316">
        <f t="shared" si="914"/>
        <v>0</v>
      </c>
      <c r="JJ316" s="447">
        <f t="shared" si="915"/>
        <v>0</v>
      </c>
      <c r="JK316" s="447">
        <f t="shared" si="916"/>
        <v>0</v>
      </c>
      <c r="JL316">
        <f t="shared" si="917"/>
        <v>0</v>
      </c>
      <c r="JM316" s="245" t="str">
        <f>IFERROR(VLOOKUP(MATCH(BN316,#REF!,0),#REF!,7),"")</f>
        <v/>
      </c>
      <c r="JN316" t="e">
        <f>HLOOKUP(LEFT(BO316,7),Discharge_Area,MATCH(JO316,LookUps!$B$130:$B$149,1)+2)</f>
        <v>#N/A</v>
      </c>
      <c r="JO316" t="str">
        <f t="shared" si="918"/>
        <v>- S</v>
      </c>
      <c r="JP316" t="e">
        <f>HLOOKUP(LEFT(BO316,7),Discharge_Area,MATCH(JO316,LookUps!$B$130:$B$149,1)+2)</f>
        <v>#N/A</v>
      </c>
      <c r="JQ316" t="e">
        <f t="shared" si="919"/>
        <v>#N/A</v>
      </c>
      <c r="JR316" t="e">
        <f t="shared" si="920"/>
        <v>#N/A</v>
      </c>
      <c r="JS316" t="e">
        <f t="shared" si="921"/>
        <v>#N/A</v>
      </c>
      <c r="JT316" s="532" t="str">
        <f t="shared" si="922"/>
        <v xml:space="preserve"> </v>
      </c>
      <c r="JU316" s="532" t="str">
        <f t="shared" si="923"/>
        <v xml:space="preserve"> </v>
      </c>
      <c r="JV316" s="533" t="str">
        <f t="shared" si="924"/>
        <v xml:space="preserve"> </v>
      </c>
      <c r="JW316" s="534">
        <f t="shared" si="925"/>
        <v>0</v>
      </c>
      <c r="JX316" s="535" t="str">
        <f t="shared" si="1009"/>
        <v xml:space="preserve"> </v>
      </c>
      <c r="JY316" s="535" t="str">
        <f t="shared" si="1010"/>
        <v xml:space="preserve"> </v>
      </c>
      <c r="JZ316" s="535" t="str">
        <f t="shared" si="1011"/>
        <v xml:space="preserve"> </v>
      </c>
      <c r="KA316" s="536" t="str">
        <f t="shared" si="926"/>
        <v xml:space="preserve"> </v>
      </c>
      <c r="KB316" s="535" t="e">
        <f t="shared" si="1012"/>
        <v>#VALUE!</v>
      </c>
      <c r="KC316" s="535" t="str">
        <f t="shared" si="927"/>
        <v/>
      </c>
      <c r="KD316" s="537" t="str">
        <f t="shared" si="1013"/>
        <v xml:space="preserve"> </v>
      </c>
      <c r="KE316" s="537" t="str">
        <f t="shared" si="1014"/>
        <v xml:space="preserve"> </v>
      </c>
      <c r="KF316" s="534">
        <f t="shared" si="928"/>
        <v>0</v>
      </c>
      <c r="KG316" s="535" t="str">
        <f t="shared" si="929"/>
        <v xml:space="preserve"> </v>
      </c>
      <c r="KH316" s="535" t="str">
        <f t="shared" si="930"/>
        <v xml:space="preserve"> </v>
      </c>
      <c r="KI316" s="535" t="str">
        <f t="shared" si="931"/>
        <v xml:space="preserve"> </v>
      </c>
      <c r="KJ316" s="536" t="str">
        <f t="shared" si="932"/>
        <v xml:space="preserve"> </v>
      </c>
      <c r="KK316" s="535" t="str">
        <f t="shared" si="1015"/>
        <v xml:space="preserve"> </v>
      </c>
      <c r="KL316" s="535" t="str">
        <f t="shared" si="1016"/>
        <v xml:space="preserve"> </v>
      </c>
      <c r="KM316" s="537" t="str">
        <f t="shared" si="933"/>
        <v xml:space="preserve"> </v>
      </c>
      <c r="KN316" s="537" t="str">
        <f t="shared" si="1017"/>
        <v xml:space="preserve"> </v>
      </c>
      <c r="KP316">
        <f t="shared" si="934"/>
        <v>0</v>
      </c>
      <c r="LA316" t="e">
        <f t="shared" si="935"/>
        <v>#VALUE!</v>
      </c>
      <c r="LB316" t="e">
        <f t="shared" si="936"/>
        <v>#VALUE!</v>
      </c>
      <c r="LC316" t="e">
        <f t="shared" si="937"/>
        <v>#VALUE!</v>
      </c>
      <c r="LD316" t="e">
        <f t="shared" si="938"/>
        <v>#VALUE!</v>
      </c>
      <c r="LE316" t="e">
        <f t="shared" si="1018"/>
        <v>#VALUE!</v>
      </c>
      <c r="LF316">
        <f t="shared" si="939"/>
        <v>0</v>
      </c>
      <c r="LG316" t="e">
        <f t="shared" si="1019"/>
        <v>#VALUE!</v>
      </c>
      <c r="LH316" t="str">
        <f t="shared" si="940"/>
        <v xml:space="preserve"> </v>
      </c>
      <c r="LI316">
        <f t="shared" si="1020"/>
        <v>1</v>
      </c>
    </row>
    <row r="317" spans="2:321" ht="15" customHeight="1">
      <c r="B317" s="311"/>
      <c r="C317" s="311"/>
      <c r="D317" s="312"/>
      <c r="E317" s="311"/>
      <c r="F317" s="312"/>
      <c r="G317" s="311"/>
      <c r="H317" s="311"/>
      <c r="I317" s="232"/>
      <c r="J317" s="311"/>
      <c r="K317" s="305" t="str">
        <f t="shared" si="941"/>
        <v/>
      </c>
      <c r="L317" s="313"/>
      <c r="M317" s="312"/>
      <c r="N317" s="311"/>
      <c r="O317" s="312"/>
      <c r="P317" s="311"/>
      <c r="Q317" s="305" t="str">
        <f t="shared" si="942"/>
        <v/>
      </c>
      <c r="R317" s="314"/>
      <c r="S317" s="450" t="str">
        <f t="shared" si="825"/>
        <v/>
      </c>
      <c r="T317" s="315"/>
      <c r="U317" s="315"/>
      <c r="W317" s="149" t="str">
        <f t="shared" si="826"/>
        <v xml:space="preserve"> </v>
      </c>
      <c r="X317" s="243" t="str">
        <f t="shared" si="827"/>
        <v xml:space="preserve"> </v>
      </c>
      <c r="Y317" s="150" t="str">
        <f t="shared" si="828"/>
        <v/>
      </c>
      <c r="Z317" s="149" t="str">
        <f t="shared" si="829"/>
        <v xml:space="preserve"> </v>
      </c>
      <c r="AA317" s="98" t="str">
        <f t="shared" si="830"/>
        <v xml:space="preserve"> </v>
      </c>
      <c r="AB317" s="153" t="str">
        <f t="shared" si="831"/>
        <v xml:space="preserve"> </v>
      </c>
      <c r="AC317" s="153" t="str">
        <f t="shared" si="832"/>
        <v xml:space="preserve"> </v>
      </c>
      <c r="AD317" s="148" t="str">
        <f t="shared" si="833"/>
        <v/>
      </c>
      <c r="AE317" s="149" t="str">
        <f t="shared" si="834"/>
        <v/>
      </c>
      <c r="AF317" s="151" t="str">
        <f t="shared" si="835"/>
        <v xml:space="preserve"> </v>
      </c>
      <c r="AG317" s="153" t="str">
        <f t="shared" si="836"/>
        <v xml:space="preserve"> </v>
      </c>
      <c r="AH317" s="98" t="str">
        <f t="shared" si="837"/>
        <v xml:space="preserve"> </v>
      </c>
      <c r="AI317" s="149" t="str">
        <f t="shared" si="838"/>
        <v xml:space="preserve"> </v>
      </c>
      <c r="AK317" s="144" t="str">
        <f t="shared" si="839"/>
        <v xml:space="preserve"> </v>
      </c>
      <c r="AL317" s="144"/>
      <c r="AM317" s="243" t="str">
        <f t="shared" si="840"/>
        <v xml:space="preserve"> </v>
      </c>
      <c r="AN317" s="149" t="str">
        <f t="shared" si="943"/>
        <v xml:space="preserve"> </v>
      </c>
      <c r="AO317" s="144" t="str">
        <f>IF(JB317&gt;0,IF(GI317=10,-R317*1.085*(Calculation!$F$6-Calculation!$F$13)*$S$14," "),"")</f>
        <v/>
      </c>
      <c r="AP317" s="144" t="str">
        <f t="shared" si="841"/>
        <v/>
      </c>
      <c r="AQ317" s="56" t="str">
        <f t="shared" si="842"/>
        <v/>
      </c>
      <c r="AR317" s="144" t="str">
        <f t="shared" si="843"/>
        <v/>
      </c>
      <c r="AS317" s="176" t="str">
        <f t="shared" si="844"/>
        <v/>
      </c>
      <c r="AT317" s="176" t="str">
        <f t="shared" si="944"/>
        <v xml:space="preserve"> </v>
      </c>
      <c r="AU317" s="176" t="str">
        <f t="shared" si="845"/>
        <v/>
      </c>
      <c r="AV317" s="177" t="str">
        <f t="shared" si="846"/>
        <v xml:space="preserve"> </v>
      </c>
      <c r="AW317" s="144" t="str">
        <f t="shared" si="847"/>
        <v xml:space="preserve"> </v>
      </c>
      <c r="AX317" s="144" t="str">
        <f t="shared" si="848"/>
        <v xml:space="preserve"> </v>
      </c>
      <c r="AY317" s="152" t="str">
        <f t="shared" si="849"/>
        <v xml:space="preserve"> </v>
      </c>
      <c r="AZ317" s="246" t="str">
        <f t="shared" si="850"/>
        <v/>
      </c>
      <c r="BA317" s="176" t="str">
        <f t="shared" si="851"/>
        <v xml:space="preserve"> </v>
      </c>
      <c r="BB317" s="176" t="str">
        <f t="shared" si="852"/>
        <v xml:space="preserve"> </v>
      </c>
      <c r="BC317" s="195"/>
      <c r="BD317" s="316"/>
      <c r="BE317" s="317"/>
      <c r="BF317" s="318"/>
      <c r="BG317" s="318"/>
      <c r="BH317" s="144" t="str">
        <f t="shared" si="1021"/>
        <v xml:space="preserve"> </v>
      </c>
      <c r="BI317" s="176" t="str">
        <f t="shared" si="853"/>
        <v/>
      </c>
      <c r="BJ317" s="144" t="str">
        <f t="shared" si="1022"/>
        <v/>
      </c>
      <c r="BK317" s="246" t="str">
        <f t="shared" si="854"/>
        <v/>
      </c>
      <c r="BL317" s="144" t="str">
        <f t="shared" si="1023"/>
        <v/>
      </c>
      <c r="BM317" s="246" t="str">
        <f t="shared" si="855"/>
        <v/>
      </c>
      <c r="BN317" s="337" t="str">
        <f t="shared" si="945"/>
        <v/>
      </c>
      <c r="BO317" s="371" t="str">
        <f t="shared" si="946"/>
        <v/>
      </c>
      <c r="BP317" s="328" t="str">
        <f t="shared" si="1024"/>
        <v xml:space="preserve"> </v>
      </c>
      <c r="BQ317" s="347" t="str">
        <f t="shared" si="947"/>
        <v xml:space="preserve"> </v>
      </c>
      <c r="BR317" s="353" t="str">
        <f t="shared" si="948"/>
        <v xml:space="preserve"> </v>
      </c>
      <c r="BS317" s="626" t="str">
        <f>IF(L317&gt;0,IF(Calculation!P317="M13",BR317*3.1416*(0.134^2)/(4*144),IF(Calculation!P317="M17",BR317*3.1416*(0.165^2)/(4*144),IF(Calculation!P317="M20",BR317*3.1416*(0.198^2)/(4*144),IF(Calculation!P317="M23",BR317*3.1416*(0.228^2)/(4*144),IF(Calculation!P317="M27",BR317*3.1416*(0.269^2)/(4*144),BR317*3.1416*(0.307^2)/(4*144))))))," ")</f>
        <v xml:space="preserve"> </v>
      </c>
      <c r="BT317" s="353" t="str">
        <f>IF(L317&gt;0,IF(BS317&gt;0,R317/Calculation!BS317,0)," ")</f>
        <v xml:space="preserve"> </v>
      </c>
      <c r="BU317" s="438" t="e">
        <f t="shared" ca="1" si="856"/>
        <v>#VALUE!</v>
      </c>
      <c r="BV317" s="449" t="e">
        <f ca="1">INDEX(INDIRECT(VLOOKUP(LEFT(BO317,7),CLU!$Z$3:$AH$18,2)),GN317,GR317)</f>
        <v>#N/A</v>
      </c>
      <c r="BW317" s="433" t="e">
        <f ca="1">INDEX(INDIRECT(VLOOKUP(LEFT(BO317,7),CLU!$Z$3:$AH$18,3)),GN317,GR317)</f>
        <v>#N/A</v>
      </c>
      <c r="BX317" s="433" t="e">
        <f ca="1">INDEX(INDIRECT(VLOOKUP(LEFT(BO317,7),CLU!$Z$3:$AH$18,4)),GN317,GR317)</f>
        <v>#N/A</v>
      </c>
      <c r="BY317" s="433" t="e">
        <f ca="1">INDEX(INDIRECT(VLOOKUP(LEFT(BO317,7),CLU!$Z$3:$AH$18,9)),((M317-2)*(6-COUNTBLANK(GT317:GY317)))+GJ317)</f>
        <v>#N/A</v>
      </c>
      <c r="BZ317" s="426" t="e">
        <f t="shared" ca="1" si="949"/>
        <v>#N/A</v>
      </c>
      <c r="CA317" s="424" t="e">
        <f t="shared" ca="1" si="950"/>
        <v>#N/A</v>
      </c>
      <c r="CB317" s="429" t="e">
        <f ca="1">INDEX(INDIRECT(VLOOKUP(LEFT(BO317,7),CLU!$Z$3:$AH$18,2)),GN317,GS317)</f>
        <v>#N/A</v>
      </c>
      <c r="CC317" s="342" t="e">
        <f ca="1">INDEX(INDIRECT(VLOOKUP(LEFT(BO317,7),CLU!$Z$3:$AH$18,3)),GN317,GS317)</f>
        <v>#N/A</v>
      </c>
      <c r="CD317" s="342" t="e">
        <f ca="1">INDEX(INDIRECT(VLOOKUP(LEFT(BO317,7),CLU!$Z$3:$AH$18,4)),GN317,GS317)</f>
        <v>#N/A</v>
      </c>
      <c r="CE317" s="426" t="e">
        <f t="shared" ca="1" si="951"/>
        <v>#N/A</v>
      </c>
      <c r="CF317" s="440">
        <f t="shared" si="952"/>
        <v>0</v>
      </c>
      <c r="CG317" s="431" t="e">
        <f ca="1">INDEX(INDIRECT(VLOOKUP(LEFT(BO317,7),CLU!$Z$3:$AH$18,2)),GQ317,GR317)</f>
        <v>#N/A</v>
      </c>
      <c r="CH317" s="431" t="e">
        <f ca="1">INDEX(INDIRECT(VLOOKUP(LEFT(BO317,7),CLU!$Z$3:$AH$18,3)),GQ317,GR317)</f>
        <v>#N/A</v>
      </c>
      <c r="CI317" s="431" t="e">
        <f ca="1">INDEX(INDIRECT(VLOOKUP(LEFT(BO317,7),CLU!$Z$3:$AH$18,4)),GQ317,GR317)</f>
        <v>#N/A</v>
      </c>
      <c r="CJ317" s="448" t="e">
        <f t="shared" ca="1" si="953"/>
        <v>#N/A</v>
      </c>
      <c r="CK317" s="431" t="e">
        <f t="shared" ca="1" si="954"/>
        <v>#N/A</v>
      </c>
      <c r="CL317" s="440" t="e">
        <f t="shared" ca="1" si="955"/>
        <v>#N/A</v>
      </c>
      <c r="CM317" s="431" t="e">
        <f ca="1">INDEX(INDIRECT(VLOOKUP(LEFT(BO317,7),CLU!$Z$3:$AH$18,2)),GQ317,GS317)</f>
        <v>#N/A</v>
      </c>
      <c r="CN317" s="431" t="e">
        <f ca="1">INDEX(INDIRECT(VLOOKUP(LEFT(BO317,7),CLU!$Z$3:$AH$18,3)),GQ317,GS317)</f>
        <v>#N/A</v>
      </c>
      <c r="CO317" s="431" t="e">
        <f ca="1">INDEX(INDIRECT(VLOOKUP(LEFT(BO317,7),CLU!$Z$3:$AH$18,4)),GQ317,GS317)</f>
        <v>#N/A</v>
      </c>
      <c r="CP317" s="431" t="e">
        <f t="shared" ca="1" si="956"/>
        <v>#N/A</v>
      </c>
      <c r="CQ317" s="440">
        <f t="shared" si="957"/>
        <v>0</v>
      </c>
      <c r="CR317" s="51" t="e">
        <f t="shared" ca="1" si="958"/>
        <v>#N/A</v>
      </c>
      <c r="CS317" s="439" t="e">
        <f t="shared" ca="1" si="959"/>
        <v>#VALUE!</v>
      </c>
      <c r="CT317" s="51" t="e">
        <f t="shared" ca="1" si="960"/>
        <v>#VALUE!</v>
      </c>
      <c r="CU317" s="10"/>
      <c r="CV317" s="51" t="e">
        <f t="shared" ca="1" si="857"/>
        <v>#VALUE!</v>
      </c>
      <c r="CW317" s="51">
        <f t="shared" si="961"/>
        <v>0</v>
      </c>
      <c r="CX317" s="439" t="e">
        <f t="shared" ca="1" si="962"/>
        <v>#VALUE!</v>
      </c>
      <c r="CY317" s="51" t="e">
        <f t="shared" ca="1" si="963"/>
        <v>#VALUE!</v>
      </c>
      <c r="CZ317" s="10"/>
      <c r="DA317" s="51" t="e">
        <f t="shared" ca="1" si="964"/>
        <v>#VALUE!</v>
      </c>
      <c r="DB317" s="347" t="e">
        <f ca="1">INDEX(INDIRECT(VLOOKUP(LEFT(BO317,7),CLU!$Z$3:$AI$18,10)),((M317-2)*(6-COUNTBLANK(GT317:GY317)))+GJ317)*LI317</f>
        <v>#N/A</v>
      </c>
      <c r="DC317" s="347" t="str">
        <f>IF(L317&gt;0,((R317/Worksheet!$I$15)/DB317)^2," ")</f>
        <v xml:space="preserve"> </v>
      </c>
      <c r="DD317" s="602" t="str">
        <f t="shared" si="965"/>
        <v xml:space="preserve"> </v>
      </c>
      <c r="DE317" s="347" t="str">
        <f t="shared" si="858"/>
        <v xml:space="preserve"> </v>
      </c>
      <c r="DF317" s="356" t="e">
        <f ca="1">INDEX(INDIRECT(VLOOKUP(LEFT(BO317,7),CLU!$Z$3:$AH$18,8)),((M317-2)*(6-COUNTBLANK(GT317:GY317)))+GJ317)</f>
        <v>#N/A</v>
      </c>
      <c r="DG317" s="347" t="str">
        <f t="shared" si="859"/>
        <v xml:space="preserve"> </v>
      </c>
      <c r="DH317" s="357" t="str">
        <f t="shared" si="860"/>
        <v xml:space="preserve"> </v>
      </c>
      <c r="DI317" s="355" t="str">
        <f t="shared" si="861"/>
        <v xml:space="preserve"> </v>
      </c>
      <c r="DJ317" s="245" t="e">
        <f ca="1">INDEX(INDIRECT(VLOOKUP(LEFT(BO317,7),CLU!$Z$3:$AH$18,5)),GL317,GK317)</f>
        <v>#N/A</v>
      </c>
      <c r="DK317" s="245" t="e">
        <f ca="1">INDEX(INDIRECT(VLOOKUP(LEFT(BO317,7),CLU!$Z$3:$AH$18,6)),GL317,GK317)</f>
        <v>#N/A</v>
      </c>
      <c r="DL317" s="355">
        <f>(Calculation!R317*0.69143*(Calculation!$BQ$8-Calculation!$F$8))*$S$14</f>
        <v>0</v>
      </c>
      <c r="DM317" s="359" t="e">
        <f t="shared" si="966"/>
        <v>#VALUE!</v>
      </c>
      <c r="DN317" s="611">
        <f t="shared" si="967"/>
        <v>0</v>
      </c>
      <c r="DO317" s="359">
        <f t="shared" si="968"/>
        <v>100</v>
      </c>
      <c r="DP317" s="359">
        <f t="shared" si="969"/>
        <v>0</v>
      </c>
      <c r="DQ317" s="360"/>
      <c r="DR317" s="245" t="e">
        <f ca="1">INDEX(INDIRECT(VLOOKUP(LEFT(BO317,7),CLU!$Z$3:$AH$18,7)),M317-1,1)</f>
        <v>#N/A</v>
      </c>
      <c r="DS317" s="245" t="e">
        <f ca="1">INDEX(INDIRECT(VLOOKUP(LEFT(BO317,7),CLU!$Z$3:$AH$18,7)),M317-1,2)</f>
        <v>#N/A</v>
      </c>
      <c r="DT317" s="245" t="e">
        <f ca="1">INDEX(INDIRECT(VLOOKUP(LEFT(BO317,7),CLU!$Z$3:$AH$18,7)),M317-1,3)</f>
        <v>#N/A</v>
      </c>
      <c r="DU317" s="245" t="e">
        <f ca="1">INDEX(INDIRECT(VLOOKUP(LEFT(BO317,7),CLU!$Z$3:$AH$18,7)),M317-1,4)</f>
        <v>#N/A</v>
      </c>
      <c r="DV317" s="361" t="e">
        <f ca="1">INDEX(INDIRECT(VLOOKUP(LEFT(BO317,7),CLU!$Z$3:$AH$18,7)),M317-1,4+LEFT(DZ317,1)*0.5)</f>
        <v>#N/A</v>
      </c>
      <c r="DW317" s="245" t="e">
        <f ca="1">INDEX(INDIRECT(VLOOKUP(LEFT(BO317,7),CLU!$Z$3:$AH$18,7)),M317-1,8)</f>
        <v>#N/A</v>
      </c>
      <c r="DX317" s="361" t="str">
        <f t="shared" si="862"/>
        <v xml:space="preserve"> </v>
      </c>
      <c r="DY317" s="361" t="str">
        <f t="shared" si="863"/>
        <v xml:space="preserve"> </v>
      </c>
      <c r="DZ317" s="361" t="str">
        <f t="shared" si="864"/>
        <v xml:space="preserve"> </v>
      </c>
      <c r="EA317" s="362" t="str">
        <f t="shared" si="865"/>
        <v xml:space="preserve"> </v>
      </c>
      <c r="EB317" s="624" t="str">
        <f t="shared" si="970"/>
        <v xml:space="preserve"> </v>
      </c>
      <c r="EC317" s="361" t="e">
        <f ca="1">INDEX(INDIRECT(VLOOKUP(LEFT(BO317,7),CLU!$Z$3:$AH$18,7)),M317-1,4+LEFT(DZ317,1)*0.5)</f>
        <v>#N/A</v>
      </c>
      <c r="ED317" s="362" t="str">
        <f t="shared" si="866"/>
        <v xml:space="preserve"> </v>
      </c>
      <c r="EE317" s="361" t="str">
        <f t="shared" si="867"/>
        <v xml:space="preserve"> </v>
      </c>
      <c r="EF317" s="362" t="str">
        <f>IF(L317&gt;0,IF(BR317&gt;0,IF(EE317="2P",IF(Calculation!DZ317="2P",IF(Calculation!DS317=13.75,IF(Calculation!DR317=13,Worksheet!$BD$43,IF(Calculation!DR317=37,Worksheet!$BD$44,Worksheet!$BD$45)),IF(Calculation!DS317=10,IF(Calculation!DR317=18,Worksheet!$BD$29,IF(Calculation!DR317=30,Worksheet!$BD$30,IF(Calculation!DR317=42,Worksheet!$BD$31,IF(Calculation!DR317=54,Worksheet!$BD$32,IF(Calculation!DR317=66,Worksheet!$BD$33,IF(Calculation!DR317=78,Worksheet!$BD$34,IF(Calculation!DR317=90,Worksheet!$BD$35,IF(Calculation!DR317=102,Worksheet!$BD$36,Worksheet!$BD$37)))))))),IF(Calculation!DS317=12.5,IF(Calculation!DR317=18,Worksheet!$BD$38,IF(Calculation!DR317=Worksheet!$BD$39,IF(Calculation!DR317=42,Worksheet!$BD$40,IF(Calculation!DR317=54,Worksheet!$BD$41,Worksheet!$BD$42)))),IF(Calculation!DR317=18,Worksheet!$BD$11,IF(Calculation!DR317=30,Worksheet!$BD$12,IF(Calculation!DR317=42,Worksheet!$BD$13,IF(Calculation!DR317=54,Worksheet!$BD$14,IF(Calculation!DR317=66,Worksheet!$BD$15,IF(Calculation!DR317=78,Worksheet!$BD$16,IF(Calculation!DR317=90,Worksheet!$BD$17,IF(Calculation!DR317=102,Worksheet!$BD$18,Worksheet!$BD$19))))))))))),IF(Calculation!DS317=13.75,IF(Calculation!DR317=13,Worksheet!$BD$78,IF(Calculation!DR317=37,Worksheet!$BD$79,Worksheet!$BD$80)),IF(Calculation!DS317=10,IF(Calculation!DR317=18,Worksheet!$BD$64,IF(Calculation!DR317=30,Worksheet!$BD$65,IF(Calculation!DR317=42,Worksheet!$BD$66,IF(Calculation!DR317=54,Worksheet!$BD$68,IF(Calculation!DR317=66,Worksheet!$BD$68,IF(Calculation!DR317=78,Worksheet!$BD$69,IF(Calculation!DR317=90,Worksheet!$BD$70,IF(Calculation!DR317=102,Worksheet!$BD$71,Worksheet!$BD$72)))))))),IF(Calculation!DS317=12.5,IF(Calculation!DR317=18,Worksheet!$BD$73,IF(Calculation!DR317=Worksheet!$BD$74,IF(Calculation!DR317=42,Worksheet!$BD$75,IF(Calculation!DR317=54,Worksheet!$BD$76,Worksheet!$BD$77)))),IF(Calculation!DR317=18,Worksheet!$BD$55,IF(Calculation!DR317=30,Worksheet!$BD$56,IF(Calculation!DR317=42,Worksheet!$BD$57,IF(Calculation!DR317=54,Worksheet!$BD$58,IF(Calculation!DR317=66,Worksheet!$BD$59,IF(Calculation!DR317=78,Worksheet!$BD$60,IF(Calculation!DR317=90,Worksheet!$BD$61,IF(Calculation!DR317=102,Worksheet!$BD$62,Worksheet!$BD$63)))))))))))),5),0)," ")</f>
        <v xml:space="preserve"> </v>
      </c>
      <c r="EG317" s="361" t="str">
        <f t="shared" si="868"/>
        <v xml:space="preserve"> </v>
      </c>
      <c r="EH317" s="361" t="e">
        <f ca="1">INDEX(INDIRECT(VLOOKUP(LEFT(BO317,7),CLU!$Z$3:$AH$18,7)),M317-1,3+LEFT(DZ317,1))</f>
        <v>#N/A</v>
      </c>
      <c r="EI317" s="362" t="str">
        <f t="shared" si="869"/>
        <v xml:space="preserve"> </v>
      </c>
      <c r="EJ317" s="363" t="str">
        <f t="shared" si="870"/>
        <v xml:space="preserve"> </v>
      </c>
      <c r="EK317" s="363" t="str">
        <f t="shared" si="871"/>
        <v xml:space="preserve"> </v>
      </c>
      <c r="EL317" s="363" t="str">
        <f t="shared" si="872"/>
        <v xml:space="preserve"> </v>
      </c>
      <c r="EM317" s="362" t="str">
        <f>IF(L317&gt;0,IF(BR317&gt;0,(Calculation!T317/ED317)^2,0)," ")</f>
        <v xml:space="preserve"> </v>
      </c>
      <c r="EN317" s="362" t="str">
        <f>IF(L317&gt;0,IF(O317="2 Pipe (Cooling)","N/A",IF(BR317&gt;0,(Calculation!U317/EI317)^2,0))," ")</f>
        <v xml:space="preserve"> </v>
      </c>
      <c r="EO317" s="361" t="str">
        <f t="shared" si="873"/>
        <v/>
      </c>
      <c r="EP317" s="361" t="str">
        <f t="shared" si="874"/>
        <v/>
      </c>
      <c r="EQ317" s="361" t="str">
        <f t="shared" si="875"/>
        <v/>
      </c>
      <c r="ER317" s="361" t="str">
        <f t="shared" si="876"/>
        <v/>
      </c>
      <c r="ES317" s="361" t="str">
        <f t="shared" si="877"/>
        <v/>
      </c>
      <c r="ET317" s="361" t="str">
        <f t="shared" si="878"/>
        <v/>
      </c>
      <c r="EU317" s="361" t="str">
        <f t="shared" si="879"/>
        <v/>
      </c>
      <c r="EV317" s="361" t="str">
        <f t="shared" si="880"/>
        <v/>
      </c>
      <c r="EW317" s="361" t="str">
        <f t="shared" si="881"/>
        <v/>
      </c>
      <c r="EX317" s="361" t="str">
        <f t="shared" si="971"/>
        <v>1 slot, 1 way</v>
      </c>
      <c r="EY317" s="361" t="str">
        <f t="shared" si="972"/>
        <v xml:space="preserve"> </v>
      </c>
      <c r="EZ317" s="361" t="str">
        <f t="shared" si="973"/>
        <v xml:space="preserve"> </v>
      </c>
      <c r="FA317" s="361" t="str">
        <f t="shared" si="974"/>
        <v xml:space="preserve"> </v>
      </c>
      <c r="FB317" s="361" t="str">
        <f t="shared" si="975"/>
        <v xml:space="preserve"> </v>
      </c>
      <c r="FC317" s="361"/>
      <c r="FD317" s="361" t="str">
        <f>IF(J317&gt;0,IF(Calculation!R317&lt;=70,4,IF(Calculation!R317&lt;=110,5,IF(Calculation!R317&lt;=160,6,IF(Calculation!R317&lt;=300,8,"10 EO")))),"")</f>
        <v/>
      </c>
      <c r="FE317" s="361" t="str">
        <f t="shared" si="976"/>
        <v/>
      </c>
      <c r="FF317" s="361" t="str">
        <f t="shared" si="977"/>
        <v/>
      </c>
      <c r="FG317" s="361" t="e">
        <f t="shared" si="882"/>
        <v>#N/A</v>
      </c>
      <c r="FH317" s="361">
        <f t="shared" si="883"/>
        <v>0</v>
      </c>
      <c r="FI317" s="361" t="e">
        <f t="shared" si="884"/>
        <v>#DIV/0!</v>
      </c>
      <c r="FJ317" s="361"/>
      <c r="FK317" s="356" t="e">
        <f t="shared" si="885"/>
        <v>#VALUE!</v>
      </c>
      <c r="FL317" s="361"/>
      <c r="FM317" s="361"/>
      <c r="FN317" s="362" t="str">
        <f t="shared" si="978"/>
        <v xml:space="preserve"> </v>
      </c>
      <c r="FO317" s="362" t="str">
        <f t="shared" si="979"/>
        <v xml:space="preserve"> </v>
      </c>
      <c r="FP317" s="362">
        <f t="shared" si="980"/>
        <v>0</v>
      </c>
      <c r="FQ317" s="361">
        <f t="shared" si="886"/>
        <v>0</v>
      </c>
      <c r="FR317" s="362" t="str">
        <f>IF(L317&gt;0,IF(J317="CBAL2",Worksheet!$P$67,IF(J317="CBE2-24",Worksheet!$Q$67,IF(J317="CBAM",Worksheet!$R$67,IF(J317="CBLV",Worksheet!$S$67,IF(J317="CBAB",Worksheet!$U$67,IF(J317="CBAW",Worksheet!$X$67,IF(J317="CBE2-12",Worksheet!$Y$67,IF(J317="CBAL2",Worksheet!$Z$67,"N/A"))))))))," ")</f>
        <v xml:space="preserve"> </v>
      </c>
      <c r="FS317" s="362" t="str">
        <f>IF(L317&gt;0,IF(J317="CBAL2",Worksheet!$P$68,IF(J317="CBE2-24",Worksheet!$Q$68,IF(J317="CBAM",Worksheet!$R$68,IF(J317="CBLV",Worksheet!$S$68,IF(J317="CBAB",Worksheet!$U$68,IF(J317="CBAW",Worksheet!$X$68,IF(J317="CBE2-12",Worksheet!$Y$68,IF(J317="CBAL2",Worksheet!$Z$68,"N/A"))))))))," ")</f>
        <v xml:space="preserve"> </v>
      </c>
      <c r="FT317" s="362" t="str">
        <f>IF(L317&gt;0,IF(J317="CBAL2",Worksheet!$P$69,IF(J317="CBE2-24",Worksheet!$Q$69,IF(J317="CBAM",Worksheet!$R$69,IF(J317="CBLV",Worksheet!$S$69,IF(J317="CBAB",Worksheet!$U$69,IF(J317="CBAW",Worksheet!$X$69,IF(J317="CBE2-12",Worksheet!$Y$69,IF(J317="CBAL2",Worksheet!$Z$69,"N/A"))))))))," ")</f>
        <v xml:space="preserve"> </v>
      </c>
      <c r="FU317" s="361" t="str">
        <f t="shared" si="981"/>
        <v xml:space="preserve"> </v>
      </c>
      <c r="FV317" s="362" t="str">
        <f t="shared" si="982"/>
        <v xml:space="preserve"> </v>
      </c>
      <c r="FW317" s="362" t="str">
        <f t="shared" si="983"/>
        <v xml:space="preserve"> </v>
      </c>
      <c r="FX317" s="362" t="str">
        <f t="shared" si="984"/>
        <v xml:space="preserve"> </v>
      </c>
      <c r="FY317" s="355" t="str">
        <f t="shared" si="985"/>
        <v xml:space="preserve"> </v>
      </c>
      <c r="FZ317" s="361" t="str">
        <f t="shared" si="986"/>
        <v xml:space="preserve"> </v>
      </c>
      <c r="GA317" s="347" t="str">
        <f t="shared" si="987"/>
        <v xml:space="preserve"> </v>
      </c>
      <c r="GB317" s="355" t="str">
        <f t="shared" si="988"/>
        <v xml:space="preserve"> </v>
      </c>
      <c r="GC317" s="328" t="str">
        <f t="shared" si="989"/>
        <v xml:space="preserve"> </v>
      </c>
      <c r="GD317" s="361" t="str">
        <f t="shared" si="990"/>
        <v xml:space="preserve"> </v>
      </c>
      <c r="GE317" s="347" t="str">
        <f t="shared" si="991"/>
        <v xml:space="preserve"> </v>
      </c>
      <c r="GF317" s="361" t="str">
        <f t="shared" si="992"/>
        <v xml:space="preserve"> </v>
      </c>
      <c r="GG317" s="347" t="str">
        <f t="shared" si="993"/>
        <v xml:space="preserve"> </v>
      </c>
      <c r="GH317" s="364">
        <f t="shared" si="887"/>
        <v>0</v>
      </c>
      <c r="GI317" s="362">
        <f t="shared" si="994"/>
        <v>2</v>
      </c>
      <c r="GJ317" s="433" t="e">
        <f>IF(6-COUNTBLANK(GT317:GY317)=4,MATCH(MID(BO317,9,3),CLU!$H$16:$K$16),MATCH(MID(BO317,9,3),CLU!$H$13:$M$13))</f>
        <v>#N/A</v>
      </c>
      <c r="GK317" s="433" t="e">
        <f>HLOOKUP(VALUE(BP317),CLU!$H$9:$M$10,2)</f>
        <v>#VALUE!</v>
      </c>
      <c r="GL317" s="433" t="e">
        <f ca="1">MATCH(BU317,CLU!$H$2:$V$2,1)</f>
        <v>#VALUE!</v>
      </c>
      <c r="GM317" s="433" t="e">
        <f t="shared" ca="1" si="995"/>
        <v>#VALUE!</v>
      </c>
      <c r="GN317" s="433" t="e">
        <f t="shared" ca="1" si="996"/>
        <v>#VALUE!</v>
      </c>
      <c r="GO317" s="433" t="e">
        <f t="shared" ca="1" si="997"/>
        <v>#VALUE!</v>
      </c>
      <c r="GP317" s="433" t="e">
        <f t="shared" ca="1" si="998"/>
        <v>#VALUE!</v>
      </c>
      <c r="GQ317" s="433" t="e">
        <f t="shared" ca="1" si="999"/>
        <v>#VALUE!</v>
      </c>
      <c r="GR317" s="433" t="e">
        <f ca="1">MATCH(T317,INDIRECT(VLOOKUP(CONCATENATE(LEFT(BO317,7),"-",MID(BO317,13,1)),CLU!$P$3:$Q$16,2)),1)</f>
        <v>#N/A</v>
      </c>
      <c r="GS317" s="433" t="e">
        <f ca="1">MATCH(U317,INDIRECT(VLOOKUP(CONCATENATE(LEFT(BO317,7),"-",MID(BO317,13,1)),CLU!$P$3:$Q$16,2)),1)</f>
        <v>#N/A</v>
      </c>
      <c r="GT317" s="347" t="s">
        <v>512</v>
      </c>
      <c r="GU317" s="97" t="s">
        <v>513</v>
      </c>
      <c r="GV317" s="97" t="str">
        <f t="shared" si="1000"/>
        <v>M23</v>
      </c>
      <c r="GW317" s="97" t="str">
        <f t="shared" si="1001"/>
        <v>M31</v>
      </c>
      <c r="GX317" s="97" t="str">
        <f t="shared" si="1002"/>
        <v/>
      </c>
      <c r="GY317" s="97" t="str">
        <f t="shared" si="1003"/>
        <v/>
      </c>
      <c r="GZ317" s="481"/>
      <c r="HA317" s="240"/>
      <c r="HB317" s="240"/>
      <c r="HC317" s="240"/>
      <c r="HD317" s="240"/>
      <c r="HE317" s="240"/>
      <c r="HF317" s="240"/>
      <c r="HG317" s="240"/>
      <c r="HH317" s="240"/>
      <c r="HI317" s="240"/>
      <c r="HJ317" s="240"/>
      <c r="HK317" s="240"/>
      <c r="HL317" s="240"/>
      <c r="HM317" s="240"/>
      <c r="HN317" s="240"/>
      <c r="HO317" s="240"/>
      <c r="HP317" s="240"/>
      <c r="HQ317" s="240"/>
      <c r="HR317" s="240"/>
      <c r="HS317" s="240"/>
      <c r="HT317" s="240"/>
      <c r="HU317" s="240"/>
      <c r="HV317" s="245"/>
      <c r="HW317" s="245" t="b">
        <v>1</v>
      </c>
      <c r="HX317" s="245" t="str">
        <f t="shared" si="888"/>
        <v/>
      </c>
      <c r="HY317" s="245" t="e">
        <f t="shared" si="889"/>
        <v>#DIV/0!</v>
      </c>
      <c r="HZ317" s="245" t="e">
        <f t="shared" si="890"/>
        <v>#DIV/0!</v>
      </c>
      <c r="IA317" s="245">
        <f t="shared" si="891"/>
        <v>0</v>
      </c>
      <c r="IB317" s="245"/>
      <c r="IC317" t="b">
        <f t="shared" si="892"/>
        <v>1</v>
      </c>
      <c r="ID317" s="245" t="b">
        <f t="shared" si="893"/>
        <v>1</v>
      </c>
      <c r="IE317" s="245" t="b">
        <f t="shared" si="894"/>
        <v>1</v>
      </c>
      <c r="IF317" s="245" t="b">
        <f t="shared" si="895"/>
        <v>0</v>
      </c>
      <c r="IG317" s="245" t="b">
        <f t="shared" si="896"/>
        <v>1</v>
      </c>
      <c r="IH317" s="245" t="b">
        <f t="shared" si="897"/>
        <v>1</v>
      </c>
      <c r="II317" s="245">
        <f t="shared" si="1004"/>
        <v>0</v>
      </c>
      <c r="IJ317" s="245" t="e">
        <f t="shared" si="898"/>
        <v>#VALUE!</v>
      </c>
      <c r="IK317" s="245" t="e">
        <f t="shared" si="899"/>
        <v>#VALUE!</v>
      </c>
      <c r="IL317" s="245"/>
      <c r="IM317" s="245" t="e">
        <f t="shared" si="1005"/>
        <v>#N/A</v>
      </c>
      <c r="IN317" s="245" t="e">
        <f t="shared" si="1006"/>
        <v>#N/A</v>
      </c>
      <c r="IO317" s="245"/>
      <c r="IP317" s="245"/>
      <c r="IQ317" s="245" t="str">
        <f t="shared" si="900"/>
        <v/>
      </c>
      <c r="IR317" s="245" t="str">
        <f>IF(J317="","",VLOOKUP(J317,Worksheet!$R$4:$T$14,2))</f>
        <v/>
      </c>
      <c r="IS317" s="245"/>
      <c r="IT317" s="245">
        <f t="shared" si="901"/>
        <v>0</v>
      </c>
      <c r="IU317" s="245">
        <f t="shared" si="902"/>
        <v>0</v>
      </c>
      <c r="IV317" s="245">
        <f t="shared" si="903"/>
        <v>0</v>
      </c>
      <c r="IW317" s="245">
        <f t="shared" si="904"/>
        <v>0</v>
      </c>
      <c r="IX317" s="245">
        <f t="shared" si="1007"/>
        <v>0</v>
      </c>
      <c r="IY317" s="245">
        <f t="shared" si="905"/>
        <v>0</v>
      </c>
      <c r="IZ317" s="245">
        <f t="shared" si="906"/>
        <v>0</v>
      </c>
      <c r="JA317">
        <f t="shared" si="907"/>
        <v>0</v>
      </c>
      <c r="JB317">
        <f t="shared" si="1008"/>
        <v>0</v>
      </c>
      <c r="JC317">
        <f t="shared" si="908"/>
        <v>0</v>
      </c>
      <c r="JD317">
        <f t="shared" si="909"/>
        <v>0</v>
      </c>
      <c r="JE317">
        <f t="shared" si="910"/>
        <v>0</v>
      </c>
      <c r="JF317">
        <f t="shared" si="911"/>
        <v>0</v>
      </c>
      <c r="JG317">
        <f t="shared" si="912"/>
        <v>0</v>
      </c>
      <c r="JH317">
        <f t="shared" si="913"/>
        <v>0</v>
      </c>
      <c r="JI317">
        <f t="shared" si="914"/>
        <v>0</v>
      </c>
      <c r="JJ317" s="447">
        <f t="shared" si="915"/>
        <v>0</v>
      </c>
      <c r="JK317" s="447">
        <f t="shared" si="916"/>
        <v>0</v>
      </c>
      <c r="JL317">
        <f t="shared" si="917"/>
        <v>0</v>
      </c>
      <c r="JM317" s="245" t="str">
        <f>IFERROR(VLOOKUP(MATCH(BN317,#REF!,0),#REF!,7),"")</f>
        <v/>
      </c>
      <c r="JN317" t="e">
        <f>HLOOKUP(LEFT(BO317,7),Discharge_Area,MATCH(JO317,LookUps!$B$130:$B$149,1)+2)</f>
        <v>#N/A</v>
      </c>
      <c r="JO317" t="str">
        <f t="shared" si="918"/>
        <v>- S</v>
      </c>
      <c r="JP317" t="e">
        <f>HLOOKUP(LEFT(BO317,7),Discharge_Area,MATCH(JO317,LookUps!$B$130:$B$149,1)+2)</f>
        <v>#N/A</v>
      </c>
      <c r="JQ317" t="e">
        <f t="shared" si="919"/>
        <v>#N/A</v>
      </c>
      <c r="JR317" t="e">
        <f t="shared" si="920"/>
        <v>#N/A</v>
      </c>
      <c r="JS317" t="e">
        <f t="shared" si="921"/>
        <v>#N/A</v>
      </c>
      <c r="JT317" s="532" t="str">
        <f t="shared" si="922"/>
        <v xml:space="preserve"> </v>
      </c>
      <c r="JU317" s="532" t="str">
        <f t="shared" si="923"/>
        <v xml:space="preserve"> </v>
      </c>
      <c r="JV317" s="533" t="str">
        <f t="shared" si="924"/>
        <v xml:space="preserve"> </v>
      </c>
      <c r="JW317" s="534">
        <f t="shared" si="925"/>
        <v>0</v>
      </c>
      <c r="JX317" s="535" t="str">
        <f t="shared" si="1009"/>
        <v xml:space="preserve"> </v>
      </c>
      <c r="JY317" s="535" t="str">
        <f t="shared" si="1010"/>
        <v xml:space="preserve"> </v>
      </c>
      <c r="JZ317" s="535" t="str">
        <f t="shared" si="1011"/>
        <v xml:space="preserve"> </v>
      </c>
      <c r="KA317" s="536" t="str">
        <f t="shared" si="926"/>
        <v xml:space="preserve"> </v>
      </c>
      <c r="KB317" s="535" t="e">
        <f t="shared" si="1012"/>
        <v>#VALUE!</v>
      </c>
      <c r="KC317" s="535" t="str">
        <f t="shared" si="927"/>
        <v/>
      </c>
      <c r="KD317" s="537" t="str">
        <f t="shared" si="1013"/>
        <v xml:space="preserve"> </v>
      </c>
      <c r="KE317" s="537" t="str">
        <f t="shared" si="1014"/>
        <v xml:space="preserve"> </v>
      </c>
      <c r="KF317" s="534">
        <f t="shared" si="928"/>
        <v>0</v>
      </c>
      <c r="KG317" s="535" t="str">
        <f t="shared" si="929"/>
        <v xml:space="preserve"> </v>
      </c>
      <c r="KH317" s="535" t="str">
        <f t="shared" si="930"/>
        <v xml:space="preserve"> </v>
      </c>
      <c r="KI317" s="535" t="str">
        <f t="shared" si="931"/>
        <v xml:space="preserve"> </v>
      </c>
      <c r="KJ317" s="536" t="str">
        <f t="shared" si="932"/>
        <v xml:space="preserve"> </v>
      </c>
      <c r="KK317" s="535" t="str">
        <f t="shared" si="1015"/>
        <v xml:space="preserve"> </v>
      </c>
      <c r="KL317" s="535" t="str">
        <f t="shared" si="1016"/>
        <v xml:space="preserve"> </v>
      </c>
      <c r="KM317" s="537" t="str">
        <f t="shared" si="933"/>
        <v xml:space="preserve"> </v>
      </c>
      <c r="KN317" s="537" t="str">
        <f t="shared" si="1017"/>
        <v xml:space="preserve"> </v>
      </c>
      <c r="KP317">
        <f t="shared" si="934"/>
        <v>0</v>
      </c>
      <c r="LA317" t="e">
        <f t="shared" si="935"/>
        <v>#VALUE!</v>
      </c>
      <c r="LB317" t="e">
        <f t="shared" si="936"/>
        <v>#VALUE!</v>
      </c>
      <c r="LC317" t="e">
        <f t="shared" si="937"/>
        <v>#VALUE!</v>
      </c>
      <c r="LD317" t="e">
        <f t="shared" si="938"/>
        <v>#VALUE!</v>
      </c>
      <c r="LE317" t="e">
        <f t="shared" si="1018"/>
        <v>#VALUE!</v>
      </c>
      <c r="LF317">
        <f t="shared" si="939"/>
        <v>0</v>
      </c>
      <c r="LG317" t="e">
        <f t="shared" si="1019"/>
        <v>#VALUE!</v>
      </c>
      <c r="LH317" t="str">
        <f t="shared" si="940"/>
        <v xml:space="preserve"> </v>
      </c>
      <c r="LI317">
        <f t="shared" si="1020"/>
        <v>1</v>
      </c>
    </row>
    <row r="318" spans="2:321" ht="15" customHeight="1">
      <c r="B318" s="311"/>
      <c r="C318" s="311"/>
      <c r="D318" s="312"/>
      <c r="E318" s="311"/>
      <c r="F318" s="312"/>
      <c r="G318" s="311"/>
      <c r="H318" s="311"/>
      <c r="I318" s="232"/>
      <c r="J318" s="311"/>
      <c r="K318" s="305" t="str">
        <f t="shared" si="941"/>
        <v/>
      </c>
      <c r="L318" s="313"/>
      <c r="M318" s="312"/>
      <c r="N318" s="311"/>
      <c r="O318" s="312"/>
      <c r="P318" s="311"/>
      <c r="Q318" s="305" t="str">
        <f t="shared" si="942"/>
        <v/>
      </c>
      <c r="R318" s="314"/>
      <c r="S318" s="450" t="str">
        <f t="shared" si="825"/>
        <v/>
      </c>
      <c r="T318" s="315"/>
      <c r="U318" s="315"/>
      <c r="W318" s="149" t="str">
        <f t="shared" si="826"/>
        <v xml:space="preserve"> </v>
      </c>
      <c r="X318" s="243" t="str">
        <f t="shared" si="827"/>
        <v xml:space="preserve"> </v>
      </c>
      <c r="Y318" s="150" t="str">
        <f t="shared" si="828"/>
        <v/>
      </c>
      <c r="Z318" s="149" t="str">
        <f t="shared" si="829"/>
        <v xml:space="preserve"> </v>
      </c>
      <c r="AA318" s="98" t="str">
        <f t="shared" si="830"/>
        <v xml:space="preserve"> </v>
      </c>
      <c r="AB318" s="153" t="str">
        <f t="shared" si="831"/>
        <v xml:space="preserve"> </v>
      </c>
      <c r="AC318" s="153" t="str">
        <f t="shared" si="832"/>
        <v xml:space="preserve"> </v>
      </c>
      <c r="AD318" s="148" t="str">
        <f t="shared" si="833"/>
        <v/>
      </c>
      <c r="AE318" s="149" t="str">
        <f t="shared" si="834"/>
        <v/>
      </c>
      <c r="AF318" s="151" t="str">
        <f t="shared" si="835"/>
        <v xml:space="preserve"> </v>
      </c>
      <c r="AG318" s="153" t="str">
        <f t="shared" si="836"/>
        <v xml:space="preserve"> </v>
      </c>
      <c r="AH318" s="98" t="str">
        <f t="shared" si="837"/>
        <v xml:space="preserve"> </v>
      </c>
      <c r="AI318" s="149" t="str">
        <f t="shared" si="838"/>
        <v xml:space="preserve"> </v>
      </c>
      <c r="AK318" s="144" t="str">
        <f t="shared" si="839"/>
        <v xml:space="preserve"> </v>
      </c>
      <c r="AL318" s="144"/>
      <c r="AM318" s="243" t="str">
        <f t="shared" si="840"/>
        <v xml:space="preserve"> </v>
      </c>
      <c r="AN318" s="149" t="str">
        <f t="shared" si="943"/>
        <v xml:space="preserve"> </v>
      </c>
      <c r="AO318" s="144" t="str">
        <f>IF(JB318&gt;0,IF(GI318=10,-R318*1.085*(Calculation!$F$6-Calculation!$F$13)*$S$14," "),"")</f>
        <v/>
      </c>
      <c r="AP318" s="144" t="str">
        <f t="shared" si="841"/>
        <v/>
      </c>
      <c r="AQ318" s="56" t="str">
        <f t="shared" si="842"/>
        <v/>
      </c>
      <c r="AR318" s="144" t="str">
        <f t="shared" si="843"/>
        <v/>
      </c>
      <c r="AS318" s="176" t="str">
        <f t="shared" si="844"/>
        <v/>
      </c>
      <c r="AT318" s="176" t="str">
        <f t="shared" si="944"/>
        <v xml:space="preserve"> </v>
      </c>
      <c r="AU318" s="176" t="str">
        <f t="shared" si="845"/>
        <v/>
      </c>
      <c r="AV318" s="177" t="str">
        <f t="shared" si="846"/>
        <v xml:space="preserve"> </v>
      </c>
      <c r="AW318" s="144" t="str">
        <f t="shared" si="847"/>
        <v xml:space="preserve"> </v>
      </c>
      <c r="AX318" s="144" t="str">
        <f t="shared" si="848"/>
        <v xml:space="preserve"> </v>
      </c>
      <c r="AY318" s="152" t="str">
        <f t="shared" si="849"/>
        <v xml:space="preserve"> </v>
      </c>
      <c r="AZ318" s="246" t="str">
        <f t="shared" si="850"/>
        <v/>
      </c>
      <c r="BA318" s="176" t="str">
        <f t="shared" si="851"/>
        <v xml:space="preserve"> </v>
      </c>
      <c r="BB318" s="176" t="str">
        <f t="shared" si="852"/>
        <v xml:space="preserve"> </v>
      </c>
      <c r="BC318" s="195"/>
      <c r="BD318" s="316"/>
      <c r="BE318" s="317"/>
      <c r="BF318" s="318"/>
      <c r="BG318" s="318"/>
      <c r="BH318" s="144" t="str">
        <f t="shared" si="1021"/>
        <v xml:space="preserve"> </v>
      </c>
      <c r="BI318" s="176" t="str">
        <f t="shared" si="853"/>
        <v/>
      </c>
      <c r="BJ318" s="144" t="str">
        <f t="shared" si="1022"/>
        <v/>
      </c>
      <c r="BK318" s="246" t="str">
        <f t="shared" si="854"/>
        <v/>
      </c>
      <c r="BL318" s="144" t="str">
        <f t="shared" si="1023"/>
        <v/>
      </c>
      <c r="BM318" s="246" t="str">
        <f t="shared" si="855"/>
        <v/>
      </c>
      <c r="BN318" s="337" t="str">
        <f t="shared" si="945"/>
        <v/>
      </c>
      <c r="BO318" s="371" t="str">
        <f t="shared" si="946"/>
        <v/>
      </c>
      <c r="BP318" s="328" t="str">
        <f t="shared" si="1024"/>
        <v xml:space="preserve"> </v>
      </c>
      <c r="BQ318" s="347" t="str">
        <f t="shared" si="947"/>
        <v xml:space="preserve"> </v>
      </c>
      <c r="BR318" s="353" t="str">
        <f t="shared" si="948"/>
        <v xml:space="preserve"> </v>
      </c>
      <c r="BS318" s="626" t="str">
        <f>IF(L318&gt;0,IF(Calculation!P318="M13",BR318*3.1416*(0.134^2)/(4*144),IF(Calculation!P318="M17",BR318*3.1416*(0.165^2)/(4*144),IF(Calculation!P318="M20",BR318*3.1416*(0.198^2)/(4*144),IF(Calculation!P318="M23",BR318*3.1416*(0.228^2)/(4*144),IF(Calculation!P318="M27",BR318*3.1416*(0.269^2)/(4*144),BR318*3.1416*(0.307^2)/(4*144))))))," ")</f>
        <v xml:space="preserve"> </v>
      </c>
      <c r="BT318" s="353" t="str">
        <f>IF(L318&gt;0,IF(BS318&gt;0,R318/Calculation!BS318,0)," ")</f>
        <v xml:space="preserve"> </v>
      </c>
      <c r="BU318" s="438" t="e">
        <f t="shared" ca="1" si="856"/>
        <v>#VALUE!</v>
      </c>
      <c r="BV318" s="449" t="e">
        <f ca="1">INDEX(INDIRECT(VLOOKUP(LEFT(BO318,7),CLU!$Z$3:$AH$18,2)),GN318,GR318)</f>
        <v>#N/A</v>
      </c>
      <c r="BW318" s="433" t="e">
        <f ca="1">INDEX(INDIRECT(VLOOKUP(LEFT(BO318,7),CLU!$Z$3:$AH$18,3)),GN318,GR318)</f>
        <v>#N/A</v>
      </c>
      <c r="BX318" s="433" t="e">
        <f ca="1">INDEX(INDIRECT(VLOOKUP(LEFT(BO318,7),CLU!$Z$3:$AH$18,4)),GN318,GR318)</f>
        <v>#N/A</v>
      </c>
      <c r="BY318" s="433" t="e">
        <f ca="1">INDEX(INDIRECT(VLOOKUP(LEFT(BO318,7),CLU!$Z$3:$AH$18,9)),((M318-2)*(6-COUNTBLANK(GT318:GY318)))+GJ318)</f>
        <v>#N/A</v>
      </c>
      <c r="BZ318" s="426" t="e">
        <f t="shared" ca="1" si="949"/>
        <v>#N/A</v>
      </c>
      <c r="CA318" s="424" t="e">
        <f t="shared" ca="1" si="950"/>
        <v>#N/A</v>
      </c>
      <c r="CB318" s="429" t="e">
        <f ca="1">INDEX(INDIRECT(VLOOKUP(LEFT(BO318,7),CLU!$Z$3:$AH$18,2)),GN318,GS318)</f>
        <v>#N/A</v>
      </c>
      <c r="CC318" s="342" t="e">
        <f ca="1">INDEX(INDIRECT(VLOOKUP(LEFT(BO318,7),CLU!$Z$3:$AH$18,3)),GN318,GS318)</f>
        <v>#N/A</v>
      </c>
      <c r="CD318" s="342" t="e">
        <f ca="1">INDEX(INDIRECT(VLOOKUP(LEFT(BO318,7),CLU!$Z$3:$AH$18,4)),GN318,GS318)</f>
        <v>#N/A</v>
      </c>
      <c r="CE318" s="426" t="e">
        <f t="shared" ca="1" si="951"/>
        <v>#N/A</v>
      </c>
      <c r="CF318" s="440">
        <f t="shared" si="952"/>
        <v>0</v>
      </c>
      <c r="CG318" s="431" t="e">
        <f ca="1">INDEX(INDIRECT(VLOOKUP(LEFT(BO318,7),CLU!$Z$3:$AH$18,2)),GQ318,GR318)</f>
        <v>#N/A</v>
      </c>
      <c r="CH318" s="431" t="e">
        <f ca="1">INDEX(INDIRECT(VLOOKUP(LEFT(BO318,7),CLU!$Z$3:$AH$18,3)),GQ318,GR318)</f>
        <v>#N/A</v>
      </c>
      <c r="CI318" s="431" t="e">
        <f ca="1">INDEX(INDIRECT(VLOOKUP(LEFT(BO318,7),CLU!$Z$3:$AH$18,4)),GQ318,GR318)</f>
        <v>#N/A</v>
      </c>
      <c r="CJ318" s="448" t="e">
        <f t="shared" ca="1" si="953"/>
        <v>#N/A</v>
      </c>
      <c r="CK318" s="431" t="e">
        <f t="shared" ca="1" si="954"/>
        <v>#N/A</v>
      </c>
      <c r="CL318" s="440" t="e">
        <f t="shared" ca="1" si="955"/>
        <v>#N/A</v>
      </c>
      <c r="CM318" s="431" t="e">
        <f ca="1">INDEX(INDIRECT(VLOOKUP(LEFT(BO318,7),CLU!$Z$3:$AH$18,2)),GQ318,GS318)</f>
        <v>#N/A</v>
      </c>
      <c r="CN318" s="431" t="e">
        <f ca="1">INDEX(INDIRECT(VLOOKUP(LEFT(BO318,7),CLU!$Z$3:$AH$18,3)),GQ318,GS318)</f>
        <v>#N/A</v>
      </c>
      <c r="CO318" s="431" t="e">
        <f ca="1">INDEX(INDIRECT(VLOOKUP(LEFT(BO318,7),CLU!$Z$3:$AH$18,4)),GQ318,GS318)</f>
        <v>#N/A</v>
      </c>
      <c r="CP318" s="431" t="e">
        <f t="shared" ca="1" si="956"/>
        <v>#N/A</v>
      </c>
      <c r="CQ318" s="440">
        <f t="shared" si="957"/>
        <v>0</v>
      </c>
      <c r="CR318" s="51" t="e">
        <f t="shared" ca="1" si="958"/>
        <v>#N/A</v>
      </c>
      <c r="CS318" s="439" t="e">
        <f t="shared" ca="1" si="959"/>
        <v>#VALUE!</v>
      </c>
      <c r="CT318" s="51" t="e">
        <f t="shared" ca="1" si="960"/>
        <v>#VALUE!</v>
      </c>
      <c r="CU318" s="10"/>
      <c r="CV318" s="51" t="e">
        <f t="shared" ca="1" si="857"/>
        <v>#VALUE!</v>
      </c>
      <c r="CW318" s="51">
        <f t="shared" si="961"/>
        <v>0</v>
      </c>
      <c r="CX318" s="439" t="e">
        <f t="shared" ca="1" si="962"/>
        <v>#VALUE!</v>
      </c>
      <c r="CY318" s="51" t="e">
        <f t="shared" ca="1" si="963"/>
        <v>#VALUE!</v>
      </c>
      <c r="CZ318" s="10"/>
      <c r="DA318" s="51" t="e">
        <f t="shared" ca="1" si="964"/>
        <v>#VALUE!</v>
      </c>
      <c r="DB318" s="347" t="e">
        <f ca="1">INDEX(INDIRECT(VLOOKUP(LEFT(BO318,7),CLU!$Z$3:$AI$18,10)),((M318-2)*(6-COUNTBLANK(GT318:GY318)))+GJ318)*LI318</f>
        <v>#N/A</v>
      </c>
      <c r="DC318" s="347" t="str">
        <f>IF(L318&gt;0,((R318/Worksheet!$I$15)/DB318)^2," ")</f>
        <v xml:space="preserve"> </v>
      </c>
      <c r="DD318" s="602" t="str">
        <f t="shared" si="965"/>
        <v xml:space="preserve"> </v>
      </c>
      <c r="DE318" s="347" t="str">
        <f t="shared" si="858"/>
        <v xml:space="preserve"> </v>
      </c>
      <c r="DF318" s="356" t="e">
        <f ca="1">INDEX(INDIRECT(VLOOKUP(LEFT(BO318,7),CLU!$Z$3:$AH$18,8)),((M318-2)*(6-COUNTBLANK(GT318:GY318)))+GJ318)</f>
        <v>#N/A</v>
      </c>
      <c r="DG318" s="347" t="str">
        <f t="shared" si="859"/>
        <v xml:space="preserve"> </v>
      </c>
      <c r="DH318" s="357" t="str">
        <f t="shared" si="860"/>
        <v xml:space="preserve"> </v>
      </c>
      <c r="DI318" s="355" t="str">
        <f t="shared" si="861"/>
        <v xml:space="preserve"> </v>
      </c>
      <c r="DJ318" s="245" t="e">
        <f ca="1">INDEX(INDIRECT(VLOOKUP(LEFT(BO318,7),CLU!$Z$3:$AH$18,5)),GL318,GK318)</f>
        <v>#N/A</v>
      </c>
      <c r="DK318" s="245" t="e">
        <f ca="1">INDEX(INDIRECT(VLOOKUP(LEFT(BO318,7),CLU!$Z$3:$AH$18,6)),GL318,GK318)</f>
        <v>#N/A</v>
      </c>
      <c r="DL318" s="355">
        <f>(Calculation!R318*0.69143*(Calculation!$BQ$8-Calculation!$F$8))*$S$14</f>
        <v>0</v>
      </c>
      <c r="DM318" s="359" t="e">
        <f t="shared" si="966"/>
        <v>#VALUE!</v>
      </c>
      <c r="DN318" s="611">
        <f t="shared" si="967"/>
        <v>0</v>
      </c>
      <c r="DO318" s="359">
        <f t="shared" si="968"/>
        <v>100</v>
      </c>
      <c r="DP318" s="359">
        <f t="shared" si="969"/>
        <v>0</v>
      </c>
      <c r="DQ318" s="360"/>
      <c r="DR318" s="245" t="e">
        <f ca="1">INDEX(INDIRECT(VLOOKUP(LEFT(BO318,7),CLU!$Z$3:$AH$18,7)),M318-1,1)</f>
        <v>#N/A</v>
      </c>
      <c r="DS318" s="245" t="e">
        <f ca="1">INDEX(INDIRECT(VLOOKUP(LEFT(BO318,7),CLU!$Z$3:$AH$18,7)),M318-1,2)</f>
        <v>#N/A</v>
      </c>
      <c r="DT318" s="245" t="e">
        <f ca="1">INDEX(INDIRECT(VLOOKUP(LEFT(BO318,7),CLU!$Z$3:$AH$18,7)),M318-1,3)</f>
        <v>#N/A</v>
      </c>
      <c r="DU318" s="245" t="e">
        <f ca="1">INDEX(INDIRECT(VLOOKUP(LEFT(BO318,7),CLU!$Z$3:$AH$18,7)),M318-1,4)</f>
        <v>#N/A</v>
      </c>
      <c r="DV318" s="361" t="e">
        <f ca="1">INDEX(INDIRECT(VLOOKUP(LEFT(BO318,7),CLU!$Z$3:$AH$18,7)),M318-1,4+LEFT(DZ318,1)*0.5)</f>
        <v>#N/A</v>
      </c>
      <c r="DW318" s="245" t="e">
        <f ca="1">INDEX(INDIRECT(VLOOKUP(LEFT(BO318,7),CLU!$Z$3:$AH$18,7)),M318-1,8)</f>
        <v>#N/A</v>
      </c>
      <c r="DX318" s="361" t="str">
        <f t="shared" si="862"/>
        <v xml:space="preserve"> </v>
      </c>
      <c r="DY318" s="361" t="str">
        <f t="shared" si="863"/>
        <v xml:space="preserve"> </v>
      </c>
      <c r="DZ318" s="361" t="str">
        <f t="shared" si="864"/>
        <v xml:space="preserve"> </v>
      </c>
      <c r="EA318" s="362" t="str">
        <f t="shared" si="865"/>
        <v xml:space="preserve"> </v>
      </c>
      <c r="EB318" s="624" t="str">
        <f t="shared" si="970"/>
        <v xml:space="preserve"> </v>
      </c>
      <c r="EC318" s="361" t="e">
        <f ca="1">INDEX(INDIRECT(VLOOKUP(LEFT(BO318,7),CLU!$Z$3:$AH$18,7)),M318-1,4+LEFT(DZ318,1)*0.5)</f>
        <v>#N/A</v>
      </c>
      <c r="ED318" s="362" t="str">
        <f t="shared" si="866"/>
        <v xml:space="preserve"> </v>
      </c>
      <c r="EE318" s="361" t="str">
        <f t="shared" si="867"/>
        <v xml:space="preserve"> </v>
      </c>
      <c r="EF318" s="362" t="str">
        <f>IF(L318&gt;0,IF(BR318&gt;0,IF(EE318="2P",IF(Calculation!DZ318="2P",IF(Calculation!DS318=13.75,IF(Calculation!DR318=13,Worksheet!$BD$43,IF(Calculation!DR318=37,Worksheet!$BD$44,Worksheet!$BD$45)),IF(Calculation!DS318=10,IF(Calculation!DR318=18,Worksheet!$BD$29,IF(Calculation!DR318=30,Worksheet!$BD$30,IF(Calculation!DR318=42,Worksheet!$BD$31,IF(Calculation!DR318=54,Worksheet!$BD$32,IF(Calculation!DR318=66,Worksheet!$BD$33,IF(Calculation!DR318=78,Worksheet!$BD$34,IF(Calculation!DR318=90,Worksheet!$BD$35,IF(Calculation!DR318=102,Worksheet!$BD$36,Worksheet!$BD$37)))))))),IF(Calculation!DS318=12.5,IF(Calculation!DR318=18,Worksheet!$BD$38,IF(Calculation!DR318=Worksheet!$BD$39,IF(Calculation!DR318=42,Worksheet!$BD$40,IF(Calculation!DR318=54,Worksheet!$BD$41,Worksheet!$BD$42)))),IF(Calculation!DR318=18,Worksheet!$BD$11,IF(Calculation!DR318=30,Worksheet!$BD$12,IF(Calculation!DR318=42,Worksheet!$BD$13,IF(Calculation!DR318=54,Worksheet!$BD$14,IF(Calculation!DR318=66,Worksheet!$BD$15,IF(Calculation!DR318=78,Worksheet!$BD$16,IF(Calculation!DR318=90,Worksheet!$BD$17,IF(Calculation!DR318=102,Worksheet!$BD$18,Worksheet!$BD$19))))))))))),IF(Calculation!DS318=13.75,IF(Calculation!DR318=13,Worksheet!$BD$78,IF(Calculation!DR318=37,Worksheet!$BD$79,Worksheet!$BD$80)),IF(Calculation!DS318=10,IF(Calculation!DR318=18,Worksheet!$BD$64,IF(Calculation!DR318=30,Worksheet!$BD$65,IF(Calculation!DR318=42,Worksheet!$BD$66,IF(Calculation!DR318=54,Worksheet!$BD$68,IF(Calculation!DR318=66,Worksheet!$BD$68,IF(Calculation!DR318=78,Worksheet!$BD$69,IF(Calculation!DR318=90,Worksheet!$BD$70,IF(Calculation!DR318=102,Worksheet!$BD$71,Worksheet!$BD$72)))))))),IF(Calculation!DS318=12.5,IF(Calculation!DR318=18,Worksheet!$BD$73,IF(Calculation!DR318=Worksheet!$BD$74,IF(Calculation!DR318=42,Worksheet!$BD$75,IF(Calculation!DR318=54,Worksheet!$BD$76,Worksheet!$BD$77)))),IF(Calculation!DR318=18,Worksheet!$BD$55,IF(Calculation!DR318=30,Worksheet!$BD$56,IF(Calculation!DR318=42,Worksheet!$BD$57,IF(Calculation!DR318=54,Worksheet!$BD$58,IF(Calculation!DR318=66,Worksheet!$BD$59,IF(Calculation!DR318=78,Worksheet!$BD$60,IF(Calculation!DR318=90,Worksheet!$BD$61,IF(Calculation!DR318=102,Worksheet!$BD$62,Worksheet!$BD$63)))))))))))),5),0)," ")</f>
        <v xml:space="preserve"> </v>
      </c>
      <c r="EG318" s="361" t="str">
        <f t="shared" si="868"/>
        <v xml:space="preserve"> </v>
      </c>
      <c r="EH318" s="361" t="e">
        <f ca="1">INDEX(INDIRECT(VLOOKUP(LEFT(BO318,7),CLU!$Z$3:$AH$18,7)),M318-1,3+LEFT(DZ318,1))</f>
        <v>#N/A</v>
      </c>
      <c r="EI318" s="362" t="str">
        <f t="shared" si="869"/>
        <v xml:space="preserve"> </v>
      </c>
      <c r="EJ318" s="363" t="str">
        <f t="shared" si="870"/>
        <v xml:space="preserve"> </v>
      </c>
      <c r="EK318" s="363" t="str">
        <f t="shared" si="871"/>
        <v xml:space="preserve"> </v>
      </c>
      <c r="EL318" s="363" t="str">
        <f t="shared" si="872"/>
        <v xml:space="preserve"> </v>
      </c>
      <c r="EM318" s="362" t="str">
        <f>IF(L318&gt;0,IF(BR318&gt;0,(Calculation!T318/ED318)^2,0)," ")</f>
        <v xml:space="preserve"> </v>
      </c>
      <c r="EN318" s="362" t="str">
        <f>IF(L318&gt;0,IF(O318="2 Pipe (Cooling)","N/A",IF(BR318&gt;0,(Calculation!U318/EI318)^2,0))," ")</f>
        <v xml:space="preserve"> </v>
      </c>
      <c r="EO318" s="361" t="str">
        <f t="shared" si="873"/>
        <v/>
      </c>
      <c r="EP318" s="361" t="str">
        <f t="shared" si="874"/>
        <v/>
      </c>
      <c r="EQ318" s="361" t="str">
        <f t="shared" si="875"/>
        <v/>
      </c>
      <c r="ER318" s="361" t="str">
        <f t="shared" si="876"/>
        <v/>
      </c>
      <c r="ES318" s="361" t="str">
        <f t="shared" si="877"/>
        <v/>
      </c>
      <c r="ET318" s="361" t="str">
        <f t="shared" si="878"/>
        <v/>
      </c>
      <c r="EU318" s="361" t="str">
        <f t="shared" si="879"/>
        <v/>
      </c>
      <c r="EV318" s="361" t="str">
        <f t="shared" si="880"/>
        <v/>
      </c>
      <c r="EW318" s="361" t="str">
        <f t="shared" si="881"/>
        <v/>
      </c>
      <c r="EX318" s="361" t="str">
        <f t="shared" si="971"/>
        <v>1 slot, 1 way</v>
      </c>
      <c r="EY318" s="361" t="str">
        <f t="shared" si="972"/>
        <v xml:space="preserve"> </v>
      </c>
      <c r="EZ318" s="361" t="str">
        <f t="shared" si="973"/>
        <v xml:space="preserve"> </v>
      </c>
      <c r="FA318" s="361" t="str">
        <f t="shared" si="974"/>
        <v xml:space="preserve"> </v>
      </c>
      <c r="FB318" s="361" t="str">
        <f t="shared" si="975"/>
        <v xml:space="preserve"> </v>
      </c>
      <c r="FC318" s="361"/>
      <c r="FD318" s="361" t="str">
        <f>IF(J318&gt;0,IF(Calculation!R318&lt;=70,4,IF(Calculation!R318&lt;=110,5,IF(Calculation!R318&lt;=160,6,IF(Calculation!R318&lt;=300,8,"10 EO")))),"")</f>
        <v/>
      </c>
      <c r="FE318" s="361" t="str">
        <f t="shared" si="976"/>
        <v/>
      </c>
      <c r="FF318" s="361" t="str">
        <f t="shared" si="977"/>
        <v/>
      </c>
      <c r="FG318" s="361" t="e">
        <f t="shared" si="882"/>
        <v>#N/A</v>
      </c>
      <c r="FH318" s="361">
        <f t="shared" si="883"/>
        <v>0</v>
      </c>
      <c r="FI318" s="361" t="e">
        <f t="shared" si="884"/>
        <v>#DIV/0!</v>
      </c>
      <c r="FJ318" s="361"/>
      <c r="FK318" s="356" t="e">
        <f t="shared" si="885"/>
        <v>#VALUE!</v>
      </c>
      <c r="FL318" s="361"/>
      <c r="FM318" s="361"/>
      <c r="FN318" s="362" t="str">
        <f t="shared" si="978"/>
        <v xml:space="preserve"> </v>
      </c>
      <c r="FO318" s="362" t="str">
        <f t="shared" si="979"/>
        <v xml:space="preserve"> </v>
      </c>
      <c r="FP318" s="362">
        <f t="shared" si="980"/>
        <v>0</v>
      </c>
      <c r="FQ318" s="361">
        <f t="shared" si="886"/>
        <v>0</v>
      </c>
      <c r="FR318" s="362" t="str">
        <f>IF(L318&gt;0,IF(J318="CBAL2",Worksheet!$P$67,IF(J318="CBE2-24",Worksheet!$Q$67,IF(J318="CBAM",Worksheet!$R$67,IF(J318="CBLV",Worksheet!$S$67,IF(J318="CBAB",Worksheet!$U$67,IF(J318="CBAW",Worksheet!$X$67,IF(J318="CBE2-12",Worksheet!$Y$67,IF(J318="CBAL2",Worksheet!$Z$67,"N/A"))))))))," ")</f>
        <v xml:space="preserve"> </v>
      </c>
      <c r="FS318" s="362" t="str">
        <f>IF(L318&gt;0,IF(J318="CBAL2",Worksheet!$P$68,IF(J318="CBE2-24",Worksheet!$Q$68,IF(J318="CBAM",Worksheet!$R$68,IF(J318="CBLV",Worksheet!$S$68,IF(J318="CBAB",Worksheet!$U$68,IF(J318="CBAW",Worksheet!$X$68,IF(J318="CBE2-12",Worksheet!$Y$68,IF(J318="CBAL2",Worksheet!$Z$68,"N/A"))))))))," ")</f>
        <v xml:space="preserve"> </v>
      </c>
      <c r="FT318" s="362" t="str">
        <f>IF(L318&gt;0,IF(J318="CBAL2",Worksheet!$P$69,IF(J318="CBE2-24",Worksheet!$Q$69,IF(J318="CBAM",Worksheet!$R$69,IF(J318="CBLV",Worksheet!$S$69,IF(J318="CBAB",Worksheet!$U$69,IF(J318="CBAW",Worksheet!$X$69,IF(J318="CBE2-12",Worksheet!$Y$69,IF(J318="CBAL2",Worksheet!$Z$69,"N/A"))))))))," ")</f>
        <v xml:space="preserve"> </v>
      </c>
      <c r="FU318" s="361" t="str">
        <f t="shared" si="981"/>
        <v xml:space="preserve"> </v>
      </c>
      <c r="FV318" s="362" t="str">
        <f t="shared" si="982"/>
        <v xml:space="preserve"> </v>
      </c>
      <c r="FW318" s="362" t="str">
        <f t="shared" si="983"/>
        <v xml:space="preserve"> </v>
      </c>
      <c r="FX318" s="362" t="str">
        <f t="shared" si="984"/>
        <v xml:space="preserve"> </v>
      </c>
      <c r="FY318" s="355" t="str">
        <f t="shared" si="985"/>
        <v xml:space="preserve"> </v>
      </c>
      <c r="FZ318" s="361" t="str">
        <f t="shared" si="986"/>
        <v xml:space="preserve"> </v>
      </c>
      <c r="GA318" s="347" t="str">
        <f t="shared" si="987"/>
        <v xml:space="preserve"> </v>
      </c>
      <c r="GB318" s="355" t="str">
        <f t="shared" si="988"/>
        <v xml:space="preserve"> </v>
      </c>
      <c r="GC318" s="328" t="str">
        <f t="shared" si="989"/>
        <v xml:space="preserve"> </v>
      </c>
      <c r="GD318" s="361" t="str">
        <f t="shared" si="990"/>
        <v xml:space="preserve"> </v>
      </c>
      <c r="GE318" s="347" t="str">
        <f t="shared" si="991"/>
        <v xml:space="preserve"> </v>
      </c>
      <c r="GF318" s="361" t="str">
        <f t="shared" si="992"/>
        <v xml:space="preserve"> </v>
      </c>
      <c r="GG318" s="347" t="str">
        <f t="shared" si="993"/>
        <v xml:space="preserve"> </v>
      </c>
      <c r="GH318" s="364">
        <f t="shared" si="887"/>
        <v>0</v>
      </c>
      <c r="GI318" s="362">
        <f t="shared" si="994"/>
        <v>2</v>
      </c>
      <c r="GJ318" s="433" t="e">
        <f>IF(6-COUNTBLANK(GT318:GY318)=4,MATCH(MID(BO318,9,3),CLU!$H$16:$K$16),MATCH(MID(BO318,9,3),CLU!$H$13:$M$13))</f>
        <v>#N/A</v>
      </c>
      <c r="GK318" s="433" t="e">
        <f>HLOOKUP(VALUE(BP318),CLU!$H$9:$M$10,2)</f>
        <v>#VALUE!</v>
      </c>
      <c r="GL318" s="433" t="e">
        <f ca="1">MATCH(BU318,CLU!$H$2:$V$2,1)</f>
        <v>#VALUE!</v>
      </c>
      <c r="GM318" s="433" t="e">
        <f t="shared" ca="1" si="995"/>
        <v>#VALUE!</v>
      </c>
      <c r="GN318" s="433" t="e">
        <f t="shared" ca="1" si="996"/>
        <v>#VALUE!</v>
      </c>
      <c r="GO318" s="433" t="e">
        <f t="shared" ca="1" si="997"/>
        <v>#VALUE!</v>
      </c>
      <c r="GP318" s="433" t="e">
        <f t="shared" ca="1" si="998"/>
        <v>#VALUE!</v>
      </c>
      <c r="GQ318" s="433" t="e">
        <f t="shared" ca="1" si="999"/>
        <v>#VALUE!</v>
      </c>
      <c r="GR318" s="433" t="e">
        <f ca="1">MATCH(T318,INDIRECT(VLOOKUP(CONCATENATE(LEFT(BO318,7),"-",MID(BO318,13,1)),CLU!$P$3:$Q$16,2)),1)</f>
        <v>#N/A</v>
      </c>
      <c r="GS318" s="433" t="e">
        <f ca="1">MATCH(U318,INDIRECT(VLOOKUP(CONCATENATE(LEFT(BO318,7),"-",MID(BO318,13,1)),CLU!$P$3:$Q$16,2)),1)</f>
        <v>#N/A</v>
      </c>
      <c r="GT318" s="347" t="s">
        <v>512</v>
      </c>
      <c r="GU318" s="97" t="s">
        <v>513</v>
      </c>
      <c r="GV318" s="97" t="str">
        <f t="shared" si="1000"/>
        <v>M23</v>
      </c>
      <c r="GW318" s="97" t="str">
        <f t="shared" si="1001"/>
        <v>M31</v>
      </c>
      <c r="GX318" s="97" t="str">
        <f t="shared" si="1002"/>
        <v/>
      </c>
      <c r="GY318" s="97" t="str">
        <f t="shared" si="1003"/>
        <v/>
      </c>
      <c r="GZ318" s="481"/>
      <c r="HA318" s="240"/>
      <c r="HB318" s="240"/>
      <c r="HC318" s="240"/>
      <c r="HD318" s="240"/>
      <c r="HE318" s="240"/>
      <c r="HF318" s="240"/>
      <c r="HG318" s="240"/>
      <c r="HH318" s="240"/>
      <c r="HI318" s="240"/>
      <c r="HJ318" s="240"/>
      <c r="HK318" s="240"/>
      <c r="HL318" s="240"/>
      <c r="HM318" s="240"/>
      <c r="HN318" s="240"/>
      <c r="HO318" s="240"/>
      <c r="HP318" s="240"/>
      <c r="HQ318" s="240"/>
      <c r="HR318" s="240"/>
      <c r="HS318" s="240"/>
      <c r="HT318" s="240"/>
      <c r="HU318" s="240"/>
      <c r="HV318" s="245"/>
      <c r="HW318" s="245" t="b">
        <v>1</v>
      </c>
      <c r="HX318" s="245" t="str">
        <f t="shared" si="888"/>
        <v/>
      </c>
      <c r="HY318" s="245" t="e">
        <f t="shared" si="889"/>
        <v>#DIV/0!</v>
      </c>
      <c r="HZ318" s="245" t="e">
        <f t="shared" si="890"/>
        <v>#DIV/0!</v>
      </c>
      <c r="IA318" s="245">
        <f t="shared" si="891"/>
        <v>0</v>
      </c>
      <c r="IB318" s="245"/>
      <c r="IC318" t="b">
        <f t="shared" si="892"/>
        <v>1</v>
      </c>
      <c r="ID318" s="245" t="b">
        <f t="shared" si="893"/>
        <v>1</v>
      </c>
      <c r="IE318" s="245" t="b">
        <f t="shared" si="894"/>
        <v>1</v>
      </c>
      <c r="IF318" s="245" t="b">
        <f t="shared" si="895"/>
        <v>0</v>
      </c>
      <c r="IG318" s="245" t="b">
        <f t="shared" si="896"/>
        <v>1</v>
      </c>
      <c r="IH318" s="245" t="b">
        <f t="shared" si="897"/>
        <v>1</v>
      </c>
      <c r="II318" s="245">
        <f t="shared" si="1004"/>
        <v>0</v>
      </c>
      <c r="IJ318" s="245" t="e">
        <f t="shared" si="898"/>
        <v>#VALUE!</v>
      </c>
      <c r="IK318" s="245" t="e">
        <f t="shared" si="899"/>
        <v>#VALUE!</v>
      </c>
      <c r="IL318" s="245"/>
      <c r="IM318" s="245" t="e">
        <f t="shared" si="1005"/>
        <v>#N/A</v>
      </c>
      <c r="IN318" s="245" t="e">
        <f t="shared" si="1006"/>
        <v>#N/A</v>
      </c>
      <c r="IO318" s="245"/>
      <c r="IP318" s="245"/>
      <c r="IQ318" s="245" t="str">
        <f t="shared" si="900"/>
        <v/>
      </c>
      <c r="IR318" s="245" t="str">
        <f>IF(J318="","",VLOOKUP(J318,Worksheet!$R$4:$T$14,2))</f>
        <v/>
      </c>
      <c r="IS318" s="245"/>
      <c r="IT318" s="245">
        <f t="shared" si="901"/>
        <v>0</v>
      </c>
      <c r="IU318" s="245">
        <f t="shared" si="902"/>
        <v>0</v>
      </c>
      <c r="IV318" s="245">
        <f t="shared" si="903"/>
        <v>0</v>
      </c>
      <c r="IW318" s="245">
        <f t="shared" si="904"/>
        <v>0</v>
      </c>
      <c r="IX318" s="245">
        <f t="shared" si="1007"/>
        <v>0</v>
      </c>
      <c r="IY318" s="245">
        <f t="shared" si="905"/>
        <v>0</v>
      </c>
      <c r="IZ318" s="245">
        <f t="shared" si="906"/>
        <v>0</v>
      </c>
      <c r="JA318">
        <f t="shared" si="907"/>
        <v>0</v>
      </c>
      <c r="JB318">
        <f t="shared" si="1008"/>
        <v>0</v>
      </c>
      <c r="JC318">
        <f t="shared" si="908"/>
        <v>0</v>
      </c>
      <c r="JD318">
        <f t="shared" si="909"/>
        <v>0</v>
      </c>
      <c r="JE318">
        <f t="shared" si="910"/>
        <v>0</v>
      </c>
      <c r="JF318">
        <f t="shared" si="911"/>
        <v>0</v>
      </c>
      <c r="JG318">
        <f t="shared" si="912"/>
        <v>0</v>
      </c>
      <c r="JH318">
        <f t="shared" si="913"/>
        <v>0</v>
      </c>
      <c r="JI318">
        <f t="shared" si="914"/>
        <v>0</v>
      </c>
      <c r="JJ318" s="447">
        <f t="shared" si="915"/>
        <v>0</v>
      </c>
      <c r="JK318" s="447">
        <f t="shared" si="916"/>
        <v>0</v>
      </c>
      <c r="JL318">
        <f t="shared" si="917"/>
        <v>0</v>
      </c>
      <c r="JM318" s="245" t="str">
        <f>IFERROR(VLOOKUP(MATCH(BN318,#REF!,0),#REF!,7),"")</f>
        <v/>
      </c>
      <c r="JN318" t="e">
        <f>HLOOKUP(LEFT(BO318,7),Discharge_Area,MATCH(JO318,LookUps!$B$130:$B$149,1)+2)</f>
        <v>#N/A</v>
      </c>
      <c r="JO318" t="str">
        <f t="shared" si="918"/>
        <v>- S</v>
      </c>
      <c r="JP318" t="e">
        <f>HLOOKUP(LEFT(BO318,7),Discharge_Area,MATCH(JO318,LookUps!$B$130:$B$149,1)+2)</f>
        <v>#N/A</v>
      </c>
      <c r="JQ318" t="e">
        <f t="shared" si="919"/>
        <v>#N/A</v>
      </c>
      <c r="JR318" t="e">
        <f t="shared" si="920"/>
        <v>#N/A</v>
      </c>
      <c r="JS318" t="e">
        <f t="shared" si="921"/>
        <v>#N/A</v>
      </c>
      <c r="JT318" s="532" t="str">
        <f t="shared" si="922"/>
        <v xml:space="preserve"> </v>
      </c>
      <c r="JU318" s="532" t="str">
        <f t="shared" si="923"/>
        <v xml:space="preserve"> </v>
      </c>
      <c r="JV318" s="533" t="str">
        <f t="shared" si="924"/>
        <v xml:space="preserve"> </v>
      </c>
      <c r="JW318" s="534">
        <f t="shared" si="925"/>
        <v>0</v>
      </c>
      <c r="JX318" s="535" t="str">
        <f t="shared" si="1009"/>
        <v xml:space="preserve"> </v>
      </c>
      <c r="JY318" s="535" t="str">
        <f t="shared" si="1010"/>
        <v xml:space="preserve"> </v>
      </c>
      <c r="JZ318" s="535" t="str">
        <f t="shared" si="1011"/>
        <v xml:space="preserve"> </v>
      </c>
      <c r="KA318" s="536" t="str">
        <f t="shared" si="926"/>
        <v xml:space="preserve"> </v>
      </c>
      <c r="KB318" s="535" t="e">
        <f t="shared" si="1012"/>
        <v>#VALUE!</v>
      </c>
      <c r="KC318" s="535" t="str">
        <f t="shared" si="927"/>
        <v/>
      </c>
      <c r="KD318" s="537" t="str">
        <f t="shared" si="1013"/>
        <v xml:space="preserve"> </v>
      </c>
      <c r="KE318" s="537" t="str">
        <f t="shared" si="1014"/>
        <v xml:space="preserve"> </v>
      </c>
      <c r="KF318" s="534">
        <f t="shared" si="928"/>
        <v>0</v>
      </c>
      <c r="KG318" s="535" t="str">
        <f t="shared" si="929"/>
        <v xml:space="preserve"> </v>
      </c>
      <c r="KH318" s="535" t="str">
        <f t="shared" si="930"/>
        <v xml:space="preserve"> </v>
      </c>
      <c r="KI318" s="535" t="str">
        <f t="shared" si="931"/>
        <v xml:space="preserve"> </v>
      </c>
      <c r="KJ318" s="536" t="str">
        <f t="shared" si="932"/>
        <v xml:space="preserve"> </v>
      </c>
      <c r="KK318" s="535" t="str">
        <f t="shared" si="1015"/>
        <v xml:space="preserve"> </v>
      </c>
      <c r="KL318" s="535" t="str">
        <f t="shared" si="1016"/>
        <v xml:space="preserve"> </v>
      </c>
      <c r="KM318" s="537" t="str">
        <f t="shared" si="933"/>
        <v xml:space="preserve"> </v>
      </c>
      <c r="KN318" s="537" t="str">
        <f t="shared" si="1017"/>
        <v xml:space="preserve"> </v>
      </c>
      <c r="KP318">
        <f t="shared" si="934"/>
        <v>0</v>
      </c>
      <c r="LA318" t="e">
        <f t="shared" si="935"/>
        <v>#VALUE!</v>
      </c>
      <c r="LB318" t="e">
        <f t="shared" si="936"/>
        <v>#VALUE!</v>
      </c>
      <c r="LC318" t="e">
        <f t="shared" si="937"/>
        <v>#VALUE!</v>
      </c>
      <c r="LD318" t="e">
        <f t="shared" si="938"/>
        <v>#VALUE!</v>
      </c>
      <c r="LE318" t="e">
        <f t="shared" si="1018"/>
        <v>#VALUE!</v>
      </c>
      <c r="LF318">
        <f t="shared" si="939"/>
        <v>0</v>
      </c>
      <c r="LG318" t="e">
        <f t="shared" si="1019"/>
        <v>#VALUE!</v>
      </c>
      <c r="LH318" t="str">
        <f t="shared" si="940"/>
        <v xml:space="preserve"> </v>
      </c>
      <c r="LI318">
        <f t="shared" si="1020"/>
        <v>1</v>
      </c>
    </row>
    <row r="319" spans="2:321" ht="15" customHeight="1">
      <c r="B319" s="311"/>
      <c r="C319" s="311"/>
      <c r="D319" s="312"/>
      <c r="E319" s="311"/>
      <c r="F319" s="312"/>
      <c r="G319" s="311"/>
      <c r="H319" s="311"/>
      <c r="I319" s="232"/>
      <c r="J319" s="311"/>
      <c r="K319" s="305" t="str">
        <f t="shared" si="941"/>
        <v/>
      </c>
      <c r="L319" s="313"/>
      <c r="M319" s="312"/>
      <c r="N319" s="311"/>
      <c r="O319" s="312"/>
      <c r="P319" s="311"/>
      <c r="Q319" s="305" t="str">
        <f t="shared" si="942"/>
        <v/>
      </c>
      <c r="R319" s="314"/>
      <c r="S319" s="450" t="str">
        <f t="shared" si="825"/>
        <v/>
      </c>
      <c r="T319" s="315"/>
      <c r="U319" s="315"/>
      <c r="W319" s="149" t="str">
        <f t="shared" si="826"/>
        <v xml:space="preserve"> </v>
      </c>
      <c r="X319" s="243" t="str">
        <f t="shared" si="827"/>
        <v xml:space="preserve"> </v>
      </c>
      <c r="Y319" s="150" t="str">
        <f t="shared" si="828"/>
        <v/>
      </c>
      <c r="Z319" s="149" t="str">
        <f t="shared" si="829"/>
        <v xml:space="preserve"> </v>
      </c>
      <c r="AA319" s="98" t="str">
        <f t="shared" si="830"/>
        <v xml:space="preserve"> </v>
      </c>
      <c r="AB319" s="153" t="str">
        <f t="shared" si="831"/>
        <v xml:space="preserve"> </v>
      </c>
      <c r="AC319" s="153" t="str">
        <f t="shared" si="832"/>
        <v xml:space="preserve"> </v>
      </c>
      <c r="AD319" s="148" t="str">
        <f t="shared" si="833"/>
        <v/>
      </c>
      <c r="AE319" s="149" t="str">
        <f t="shared" si="834"/>
        <v/>
      </c>
      <c r="AF319" s="151" t="str">
        <f t="shared" si="835"/>
        <v xml:space="preserve"> </v>
      </c>
      <c r="AG319" s="153" t="str">
        <f t="shared" si="836"/>
        <v xml:space="preserve"> </v>
      </c>
      <c r="AH319" s="98" t="str">
        <f t="shared" si="837"/>
        <v xml:space="preserve"> </v>
      </c>
      <c r="AI319" s="149" t="str">
        <f t="shared" si="838"/>
        <v xml:space="preserve"> </v>
      </c>
      <c r="AK319" s="144" t="str">
        <f t="shared" si="839"/>
        <v xml:space="preserve"> </v>
      </c>
      <c r="AL319" s="144"/>
      <c r="AM319" s="243" t="str">
        <f t="shared" si="840"/>
        <v xml:space="preserve"> </v>
      </c>
      <c r="AN319" s="149" t="str">
        <f t="shared" si="943"/>
        <v xml:space="preserve"> </v>
      </c>
      <c r="AO319" s="144" t="str">
        <f>IF(JB319&gt;0,IF(GI319=10,-R319*1.085*(Calculation!$F$6-Calculation!$F$13)*$S$14," "),"")</f>
        <v/>
      </c>
      <c r="AP319" s="144" t="str">
        <f t="shared" si="841"/>
        <v/>
      </c>
      <c r="AQ319" s="56" t="str">
        <f t="shared" si="842"/>
        <v/>
      </c>
      <c r="AR319" s="144" t="str">
        <f t="shared" si="843"/>
        <v/>
      </c>
      <c r="AS319" s="176" t="str">
        <f t="shared" si="844"/>
        <v/>
      </c>
      <c r="AT319" s="176" t="str">
        <f t="shared" si="944"/>
        <v xml:space="preserve"> </v>
      </c>
      <c r="AU319" s="176" t="str">
        <f t="shared" si="845"/>
        <v/>
      </c>
      <c r="AV319" s="177" t="str">
        <f t="shared" si="846"/>
        <v xml:space="preserve"> </v>
      </c>
      <c r="AW319" s="144" t="str">
        <f t="shared" si="847"/>
        <v xml:space="preserve"> </v>
      </c>
      <c r="AX319" s="144" t="str">
        <f t="shared" si="848"/>
        <v xml:space="preserve"> </v>
      </c>
      <c r="AY319" s="152" t="str">
        <f t="shared" si="849"/>
        <v xml:space="preserve"> </v>
      </c>
      <c r="AZ319" s="246" t="str">
        <f t="shared" si="850"/>
        <v/>
      </c>
      <c r="BA319" s="176" t="str">
        <f t="shared" si="851"/>
        <v xml:space="preserve"> </v>
      </c>
      <c r="BB319" s="176" t="str">
        <f t="shared" si="852"/>
        <v xml:space="preserve"> </v>
      </c>
      <c r="BC319" s="195"/>
      <c r="BD319" s="316"/>
      <c r="BE319" s="317"/>
      <c r="BF319" s="318"/>
      <c r="BG319" s="318"/>
      <c r="BH319" s="144" t="str">
        <f t="shared" si="1021"/>
        <v xml:space="preserve"> </v>
      </c>
      <c r="BI319" s="176" t="str">
        <f t="shared" si="853"/>
        <v/>
      </c>
      <c r="BJ319" s="144" t="str">
        <f t="shared" si="1022"/>
        <v/>
      </c>
      <c r="BK319" s="246" t="str">
        <f t="shared" si="854"/>
        <v/>
      </c>
      <c r="BL319" s="144" t="str">
        <f t="shared" si="1023"/>
        <v/>
      </c>
      <c r="BM319" s="246" t="str">
        <f t="shared" si="855"/>
        <v/>
      </c>
      <c r="BN319" s="337" t="str">
        <f t="shared" si="945"/>
        <v/>
      </c>
      <c r="BO319" s="371" t="str">
        <f t="shared" si="946"/>
        <v/>
      </c>
      <c r="BP319" s="328" t="str">
        <f t="shared" si="1024"/>
        <v xml:space="preserve"> </v>
      </c>
      <c r="BQ319" s="347" t="str">
        <f t="shared" si="947"/>
        <v xml:space="preserve"> </v>
      </c>
      <c r="BR319" s="353" t="str">
        <f t="shared" si="948"/>
        <v xml:space="preserve"> </v>
      </c>
      <c r="BS319" s="626" t="str">
        <f>IF(L319&gt;0,IF(Calculation!P319="M13",BR319*3.1416*(0.134^2)/(4*144),IF(Calculation!P319="M17",BR319*3.1416*(0.165^2)/(4*144),IF(Calculation!P319="M20",BR319*3.1416*(0.198^2)/(4*144),IF(Calculation!P319="M23",BR319*3.1416*(0.228^2)/(4*144),IF(Calculation!P319="M27",BR319*3.1416*(0.269^2)/(4*144),BR319*3.1416*(0.307^2)/(4*144))))))," ")</f>
        <v xml:space="preserve"> </v>
      </c>
      <c r="BT319" s="353" t="str">
        <f>IF(L319&gt;0,IF(BS319&gt;0,R319/Calculation!BS319,0)," ")</f>
        <v xml:space="preserve"> </v>
      </c>
      <c r="BU319" s="438" t="e">
        <f t="shared" ca="1" si="856"/>
        <v>#VALUE!</v>
      </c>
      <c r="BV319" s="449" t="e">
        <f ca="1">INDEX(INDIRECT(VLOOKUP(LEFT(BO319,7),CLU!$Z$3:$AH$18,2)),GN319,GR319)</f>
        <v>#N/A</v>
      </c>
      <c r="BW319" s="433" t="e">
        <f ca="1">INDEX(INDIRECT(VLOOKUP(LEFT(BO319,7),CLU!$Z$3:$AH$18,3)),GN319,GR319)</f>
        <v>#N/A</v>
      </c>
      <c r="BX319" s="433" t="e">
        <f ca="1">INDEX(INDIRECT(VLOOKUP(LEFT(BO319,7),CLU!$Z$3:$AH$18,4)),GN319,GR319)</f>
        <v>#N/A</v>
      </c>
      <c r="BY319" s="433" t="e">
        <f ca="1">INDEX(INDIRECT(VLOOKUP(LEFT(BO319,7),CLU!$Z$3:$AH$18,9)),((M319-2)*(6-COUNTBLANK(GT319:GY319)))+GJ319)</f>
        <v>#N/A</v>
      </c>
      <c r="BZ319" s="426" t="e">
        <f t="shared" ca="1" si="949"/>
        <v>#N/A</v>
      </c>
      <c r="CA319" s="424" t="e">
        <f t="shared" ca="1" si="950"/>
        <v>#N/A</v>
      </c>
      <c r="CB319" s="429" t="e">
        <f ca="1">INDEX(INDIRECT(VLOOKUP(LEFT(BO319,7),CLU!$Z$3:$AH$18,2)),GN319,GS319)</f>
        <v>#N/A</v>
      </c>
      <c r="CC319" s="342" t="e">
        <f ca="1">INDEX(INDIRECT(VLOOKUP(LEFT(BO319,7),CLU!$Z$3:$AH$18,3)),GN319,GS319)</f>
        <v>#N/A</v>
      </c>
      <c r="CD319" s="342" t="e">
        <f ca="1">INDEX(INDIRECT(VLOOKUP(LEFT(BO319,7),CLU!$Z$3:$AH$18,4)),GN319,GS319)</f>
        <v>#N/A</v>
      </c>
      <c r="CE319" s="426" t="e">
        <f t="shared" ca="1" si="951"/>
        <v>#N/A</v>
      </c>
      <c r="CF319" s="440">
        <f t="shared" si="952"/>
        <v>0</v>
      </c>
      <c r="CG319" s="431" t="e">
        <f ca="1">INDEX(INDIRECT(VLOOKUP(LEFT(BO319,7),CLU!$Z$3:$AH$18,2)),GQ319,GR319)</f>
        <v>#N/A</v>
      </c>
      <c r="CH319" s="431" t="e">
        <f ca="1">INDEX(INDIRECT(VLOOKUP(LEFT(BO319,7),CLU!$Z$3:$AH$18,3)),GQ319,GR319)</f>
        <v>#N/A</v>
      </c>
      <c r="CI319" s="431" t="e">
        <f ca="1">INDEX(INDIRECT(VLOOKUP(LEFT(BO319,7),CLU!$Z$3:$AH$18,4)),GQ319,GR319)</f>
        <v>#N/A</v>
      </c>
      <c r="CJ319" s="448" t="e">
        <f t="shared" ca="1" si="953"/>
        <v>#N/A</v>
      </c>
      <c r="CK319" s="431" t="e">
        <f t="shared" ca="1" si="954"/>
        <v>#N/A</v>
      </c>
      <c r="CL319" s="440" t="e">
        <f t="shared" ca="1" si="955"/>
        <v>#N/A</v>
      </c>
      <c r="CM319" s="431" t="e">
        <f ca="1">INDEX(INDIRECT(VLOOKUP(LEFT(BO319,7),CLU!$Z$3:$AH$18,2)),GQ319,GS319)</f>
        <v>#N/A</v>
      </c>
      <c r="CN319" s="431" t="e">
        <f ca="1">INDEX(INDIRECT(VLOOKUP(LEFT(BO319,7),CLU!$Z$3:$AH$18,3)),GQ319,GS319)</f>
        <v>#N/A</v>
      </c>
      <c r="CO319" s="431" t="e">
        <f ca="1">INDEX(INDIRECT(VLOOKUP(LEFT(BO319,7),CLU!$Z$3:$AH$18,4)),GQ319,GS319)</f>
        <v>#N/A</v>
      </c>
      <c r="CP319" s="431" t="e">
        <f t="shared" ca="1" si="956"/>
        <v>#N/A</v>
      </c>
      <c r="CQ319" s="440">
        <f t="shared" si="957"/>
        <v>0</v>
      </c>
      <c r="CR319" s="51" t="e">
        <f t="shared" ca="1" si="958"/>
        <v>#N/A</v>
      </c>
      <c r="CS319" s="439" t="e">
        <f t="shared" ca="1" si="959"/>
        <v>#VALUE!</v>
      </c>
      <c r="CT319" s="51" t="e">
        <f t="shared" ca="1" si="960"/>
        <v>#VALUE!</v>
      </c>
      <c r="CU319" s="10"/>
      <c r="CV319" s="51" t="e">
        <f t="shared" ca="1" si="857"/>
        <v>#VALUE!</v>
      </c>
      <c r="CW319" s="51">
        <f t="shared" si="961"/>
        <v>0</v>
      </c>
      <c r="CX319" s="439" t="e">
        <f t="shared" ca="1" si="962"/>
        <v>#VALUE!</v>
      </c>
      <c r="CY319" s="51" t="e">
        <f t="shared" ca="1" si="963"/>
        <v>#VALUE!</v>
      </c>
      <c r="CZ319" s="10"/>
      <c r="DA319" s="51" t="e">
        <f t="shared" ca="1" si="964"/>
        <v>#VALUE!</v>
      </c>
      <c r="DB319" s="347" t="e">
        <f ca="1">INDEX(INDIRECT(VLOOKUP(LEFT(BO319,7),CLU!$Z$3:$AI$18,10)),((M319-2)*(6-COUNTBLANK(GT319:GY319)))+GJ319)*LI319</f>
        <v>#N/A</v>
      </c>
      <c r="DC319" s="347" t="str">
        <f>IF(L319&gt;0,((R319/Worksheet!$I$15)/DB319)^2," ")</f>
        <v xml:space="preserve"> </v>
      </c>
      <c r="DD319" s="602" t="str">
        <f t="shared" si="965"/>
        <v xml:space="preserve"> </v>
      </c>
      <c r="DE319" s="347" t="str">
        <f t="shared" si="858"/>
        <v xml:space="preserve"> </v>
      </c>
      <c r="DF319" s="356" t="e">
        <f ca="1">INDEX(INDIRECT(VLOOKUP(LEFT(BO319,7),CLU!$Z$3:$AH$18,8)),((M319-2)*(6-COUNTBLANK(GT319:GY319)))+GJ319)</f>
        <v>#N/A</v>
      </c>
      <c r="DG319" s="347" t="str">
        <f t="shared" si="859"/>
        <v xml:space="preserve"> </v>
      </c>
      <c r="DH319" s="357" t="str">
        <f t="shared" si="860"/>
        <v xml:space="preserve"> </v>
      </c>
      <c r="DI319" s="355" t="str">
        <f t="shared" si="861"/>
        <v xml:space="preserve"> </v>
      </c>
      <c r="DJ319" s="245" t="e">
        <f ca="1">INDEX(INDIRECT(VLOOKUP(LEFT(BO319,7),CLU!$Z$3:$AH$18,5)),GL319,GK319)</f>
        <v>#N/A</v>
      </c>
      <c r="DK319" s="245" t="e">
        <f ca="1">INDEX(INDIRECT(VLOOKUP(LEFT(BO319,7),CLU!$Z$3:$AH$18,6)),GL319,GK319)</f>
        <v>#N/A</v>
      </c>
      <c r="DL319" s="355">
        <f>(Calculation!R319*0.69143*(Calculation!$BQ$8-Calculation!$F$8))*$S$14</f>
        <v>0</v>
      </c>
      <c r="DM319" s="359" t="e">
        <f t="shared" si="966"/>
        <v>#VALUE!</v>
      </c>
      <c r="DN319" s="611">
        <f t="shared" si="967"/>
        <v>0</v>
      </c>
      <c r="DO319" s="359">
        <f t="shared" si="968"/>
        <v>100</v>
      </c>
      <c r="DP319" s="359">
        <f t="shared" si="969"/>
        <v>0</v>
      </c>
      <c r="DQ319" s="360"/>
      <c r="DR319" s="245" t="e">
        <f ca="1">INDEX(INDIRECT(VLOOKUP(LEFT(BO319,7),CLU!$Z$3:$AH$18,7)),M319-1,1)</f>
        <v>#N/A</v>
      </c>
      <c r="DS319" s="245" t="e">
        <f ca="1">INDEX(INDIRECT(VLOOKUP(LEFT(BO319,7),CLU!$Z$3:$AH$18,7)),M319-1,2)</f>
        <v>#N/A</v>
      </c>
      <c r="DT319" s="245" t="e">
        <f ca="1">INDEX(INDIRECT(VLOOKUP(LEFT(BO319,7),CLU!$Z$3:$AH$18,7)),M319-1,3)</f>
        <v>#N/A</v>
      </c>
      <c r="DU319" s="245" t="e">
        <f ca="1">INDEX(INDIRECT(VLOOKUP(LEFT(BO319,7),CLU!$Z$3:$AH$18,7)),M319-1,4)</f>
        <v>#N/A</v>
      </c>
      <c r="DV319" s="361" t="e">
        <f ca="1">INDEX(INDIRECT(VLOOKUP(LEFT(BO319,7),CLU!$Z$3:$AH$18,7)),M319-1,4+LEFT(DZ319,1)*0.5)</f>
        <v>#N/A</v>
      </c>
      <c r="DW319" s="245" t="e">
        <f ca="1">INDEX(INDIRECT(VLOOKUP(LEFT(BO319,7),CLU!$Z$3:$AH$18,7)),M319-1,8)</f>
        <v>#N/A</v>
      </c>
      <c r="DX319" s="361" t="str">
        <f t="shared" si="862"/>
        <v xml:space="preserve"> </v>
      </c>
      <c r="DY319" s="361" t="str">
        <f t="shared" si="863"/>
        <v xml:space="preserve"> </v>
      </c>
      <c r="DZ319" s="361" t="str">
        <f t="shared" si="864"/>
        <v xml:space="preserve"> </v>
      </c>
      <c r="EA319" s="362" t="str">
        <f t="shared" si="865"/>
        <v xml:space="preserve"> </v>
      </c>
      <c r="EB319" s="624" t="str">
        <f t="shared" si="970"/>
        <v xml:space="preserve"> </v>
      </c>
      <c r="EC319" s="361" t="e">
        <f ca="1">INDEX(INDIRECT(VLOOKUP(LEFT(BO319,7),CLU!$Z$3:$AH$18,7)),M319-1,4+LEFT(DZ319,1)*0.5)</f>
        <v>#N/A</v>
      </c>
      <c r="ED319" s="362" t="str">
        <f t="shared" si="866"/>
        <v xml:space="preserve"> </v>
      </c>
      <c r="EE319" s="361" t="str">
        <f t="shared" si="867"/>
        <v xml:space="preserve"> </v>
      </c>
      <c r="EF319" s="362" t="str">
        <f>IF(L319&gt;0,IF(BR319&gt;0,IF(EE319="2P",IF(Calculation!DZ319="2P",IF(Calculation!DS319=13.75,IF(Calculation!DR319=13,Worksheet!$BD$43,IF(Calculation!DR319=37,Worksheet!$BD$44,Worksheet!$BD$45)),IF(Calculation!DS319=10,IF(Calculation!DR319=18,Worksheet!$BD$29,IF(Calculation!DR319=30,Worksheet!$BD$30,IF(Calculation!DR319=42,Worksheet!$BD$31,IF(Calculation!DR319=54,Worksheet!$BD$32,IF(Calculation!DR319=66,Worksheet!$BD$33,IF(Calculation!DR319=78,Worksheet!$BD$34,IF(Calculation!DR319=90,Worksheet!$BD$35,IF(Calculation!DR319=102,Worksheet!$BD$36,Worksheet!$BD$37)))))))),IF(Calculation!DS319=12.5,IF(Calculation!DR319=18,Worksheet!$BD$38,IF(Calculation!DR319=Worksheet!$BD$39,IF(Calculation!DR319=42,Worksheet!$BD$40,IF(Calculation!DR319=54,Worksheet!$BD$41,Worksheet!$BD$42)))),IF(Calculation!DR319=18,Worksheet!$BD$11,IF(Calculation!DR319=30,Worksheet!$BD$12,IF(Calculation!DR319=42,Worksheet!$BD$13,IF(Calculation!DR319=54,Worksheet!$BD$14,IF(Calculation!DR319=66,Worksheet!$BD$15,IF(Calculation!DR319=78,Worksheet!$BD$16,IF(Calculation!DR319=90,Worksheet!$BD$17,IF(Calculation!DR319=102,Worksheet!$BD$18,Worksheet!$BD$19))))))))))),IF(Calculation!DS319=13.75,IF(Calculation!DR319=13,Worksheet!$BD$78,IF(Calculation!DR319=37,Worksheet!$BD$79,Worksheet!$BD$80)),IF(Calculation!DS319=10,IF(Calculation!DR319=18,Worksheet!$BD$64,IF(Calculation!DR319=30,Worksheet!$BD$65,IF(Calculation!DR319=42,Worksheet!$BD$66,IF(Calculation!DR319=54,Worksheet!$BD$68,IF(Calculation!DR319=66,Worksheet!$BD$68,IF(Calculation!DR319=78,Worksheet!$BD$69,IF(Calculation!DR319=90,Worksheet!$BD$70,IF(Calculation!DR319=102,Worksheet!$BD$71,Worksheet!$BD$72)))))))),IF(Calculation!DS319=12.5,IF(Calculation!DR319=18,Worksheet!$BD$73,IF(Calculation!DR319=Worksheet!$BD$74,IF(Calculation!DR319=42,Worksheet!$BD$75,IF(Calculation!DR319=54,Worksheet!$BD$76,Worksheet!$BD$77)))),IF(Calculation!DR319=18,Worksheet!$BD$55,IF(Calculation!DR319=30,Worksheet!$BD$56,IF(Calculation!DR319=42,Worksheet!$BD$57,IF(Calculation!DR319=54,Worksheet!$BD$58,IF(Calculation!DR319=66,Worksheet!$BD$59,IF(Calculation!DR319=78,Worksheet!$BD$60,IF(Calculation!DR319=90,Worksheet!$BD$61,IF(Calculation!DR319=102,Worksheet!$BD$62,Worksheet!$BD$63)))))))))))),5),0)," ")</f>
        <v xml:space="preserve"> </v>
      </c>
      <c r="EG319" s="361" t="str">
        <f t="shared" si="868"/>
        <v xml:space="preserve"> </v>
      </c>
      <c r="EH319" s="361" t="e">
        <f ca="1">INDEX(INDIRECT(VLOOKUP(LEFT(BO319,7),CLU!$Z$3:$AH$18,7)),M319-1,3+LEFT(DZ319,1))</f>
        <v>#N/A</v>
      </c>
      <c r="EI319" s="362" t="str">
        <f t="shared" si="869"/>
        <v xml:space="preserve"> </v>
      </c>
      <c r="EJ319" s="363" t="str">
        <f t="shared" si="870"/>
        <v xml:space="preserve"> </v>
      </c>
      <c r="EK319" s="363" t="str">
        <f t="shared" si="871"/>
        <v xml:space="preserve"> </v>
      </c>
      <c r="EL319" s="363" t="str">
        <f t="shared" si="872"/>
        <v xml:space="preserve"> </v>
      </c>
      <c r="EM319" s="362" t="str">
        <f>IF(L319&gt;0,IF(BR319&gt;0,(Calculation!T319/ED319)^2,0)," ")</f>
        <v xml:space="preserve"> </v>
      </c>
      <c r="EN319" s="362" t="str">
        <f>IF(L319&gt;0,IF(O319="2 Pipe (Cooling)","N/A",IF(BR319&gt;0,(Calculation!U319/EI319)^2,0))," ")</f>
        <v xml:space="preserve"> </v>
      </c>
      <c r="EO319" s="361" t="str">
        <f t="shared" si="873"/>
        <v/>
      </c>
      <c r="EP319" s="361" t="str">
        <f t="shared" si="874"/>
        <v/>
      </c>
      <c r="EQ319" s="361" t="str">
        <f t="shared" si="875"/>
        <v/>
      </c>
      <c r="ER319" s="361" t="str">
        <f t="shared" si="876"/>
        <v/>
      </c>
      <c r="ES319" s="361" t="str">
        <f t="shared" si="877"/>
        <v/>
      </c>
      <c r="ET319" s="361" t="str">
        <f t="shared" si="878"/>
        <v/>
      </c>
      <c r="EU319" s="361" t="str">
        <f t="shared" si="879"/>
        <v/>
      </c>
      <c r="EV319" s="361" t="str">
        <f t="shared" si="880"/>
        <v/>
      </c>
      <c r="EW319" s="361" t="str">
        <f t="shared" si="881"/>
        <v/>
      </c>
      <c r="EX319" s="361" t="str">
        <f t="shared" si="971"/>
        <v>1 slot, 1 way</v>
      </c>
      <c r="EY319" s="361" t="str">
        <f t="shared" si="972"/>
        <v xml:space="preserve"> </v>
      </c>
      <c r="EZ319" s="361" t="str">
        <f t="shared" si="973"/>
        <v xml:space="preserve"> </v>
      </c>
      <c r="FA319" s="361" t="str">
        <f t="shared" si="974"/>
        <v xml:space="preserve"> </v>
      </c>
      <c r="FB319" s="361" t="str">
        <f t="shared" si="975"/>
        <v xml:space="preserve"> </v>
      </c>
      <c r="FC319" s="361"/>
      <c r="FD319" s="361" t="str">
        <f>IF(J319&gt;0,IF(Calculation!R319&lt;=70,4,IF(Calculation!R319&lt;=110,5,IF(Calculation!R319&lt;=160,6,IF(Calculation!R319&lt;=300,8,"10 EO")))),"")</f>
        <v/>
      </c>
      <c r="FE319" s="361" t="str">
        <f t="shared" si="976"/>
        <v/>
      </c>
      <c r="FF319" s="361" t="str">
        <f t="shared" si="977"/>
        <v/>
      </c>
      <c r="FG319" s="361" t="e">
        <f t="shared" si="882"/>
        <v>#N/A</v>
      </c>
      <c r="FH319" s="361">
        <f t="shared" si="883"/>
        <v>0</v>
      </c>
      <c r="FI319" s="361" t="e">
        <f t="shared" si="884"/>
        <v>#DIV/0!</v>
      </c>
      <c r="FJ319" s="361"/>
      <c r="FK319" s="356" t="e">
        <f t="shared" si="885"/>
        <v>#VALUE!</v>
      </c>
      <c r="FL319" s="361"/>
      <c r="FM319" s="361"/>
      <c r="FN319" s="362" t="str">
        <f t="shared" si="978"/>
        <v xml:space="preserve"> </v>
      </c>
      <c r="FO319" s="362" t="str">
        <f t="shared" si="979"/>
        <v xml:space="preserve"> </v>
      </c>
      <c r="FP319" s="362">
        <f t="shared" si="980"/>
        <v>0</v>
      </c>
      <c r="FQ319" s="361">
        <f t="shared" si="886"/>
        <v>0</v>
      </c>
      <c r="FR319" s="362" t="str">
        <f>IF(L319&gt;0,IF(J319="CBAL2",Worksheet!$P$67,IF(J319="CBE2-24",Worksheet!$Q$67,IF(J319="CBAM",Worksheet!$R$67,IF(J319="CBLV",Worksheet!$S$67,IF(J319="CBAB",Worksheet!$U$67,IF(J319="CBAW",Worksheet!$X$67,IF(J319="CBE2-12",Worksheet!$Y$67,IF(J319="CBAL2",Worksheet!$Z$67,"N/A"))))))))," ")</f>
        <v xml:space="preserve"> </v>
      </c>
      <c r="FS319" s="362" t="str">
        <f>IF(L319&gt;0,IF(J319="CBAL2",Worksheet!$P$68,IF(J319="CBE2-24",Worksheet!$Q$68,IF(J319="CBAM",Worksheet!$R$68,IF(J319="CBLV",Worksheet!$S$68,IF(J319="CBAB",Worksheet!$U$68,IF(J319="CBAW",Worksheet!$X$68,IF(J319="CBE2-12",Worksheet!$Y$68,IF(J319="CBAL2",Worksheet!$Z$68,"N/A"))))))))," ")</f>
        <v xml:space="preserve"> </v>
      </c>
      <c r="FT319" s="362" t="str">
        <f>IF(L319&gt;0,IF(J319="CBAL2",Worksheet!$P$69,IF(J319="CBE2-24",Worksheet!$Q$69,IF(J319="CBAM",Worksheet!$R$69,IF(J319="CBLV",Worksheet!$S$69,IF(J319="CBAB",Worksheet!$U$69,IF(J319="CBAW",Worksheet!$X$69,IF(J319="CBE2-12",Worksheet!$Y$69,IF(J319="CBAL2",Worksheet!$Z$69,"N/A"))))))))," ")</f>
        <v xml:space="preserve"> </v>
      </c>
      <c r="FU319" s="361" t="str">
        <f t="shared" si="981"/>
        <v xml:space="preserve"> </v>
      </c>
      <c r="FV319" s="362" t="str">
        <f t="shared" si="982"/>
        <v xml:space="preserve"> </v>
      </c>
      <c r="FW319" s="362" t="str">
        <f t="shared" si="983"/>
        <v xml:space="preserve"> </v>
      </c>
      <c r="FX319" s="362" t="str">
        <f t="shared" si="984"/>
        <v xml:space="preserve"> </v>
      </c>
      <c r="FY319" s="355" t="str">
        <f t="shared" si="985"/>
        <v xml:space="preserve"> </v>
      </c>
      <c r="FZ319" s="361" t="str">
        <f t="shared" si="986"/>
        <v xml:space="preserve"> </v>
      </c>
      <c r="GA319" s="347" t="str">
        <f t="shared" si="987"/>
        <v xml:space="preserve"> </v>
      </c>
      <c r="GB319" s="355" t="str">
        <f t="shared" si="988"/>
        <v xml:space="preserve"> </v>
      </c>
      <c r="GC319" s="328" t="str">
        <f t="shared" si="989"/>
        <v xml:space="preserve"> </v>
      </c>
      <c r="GD319" s="361" t="str">
        <f t="shared" si="990"/>
        <v xml:space="preserve"> </v>
      </c>
      <c r="GE319" s="347" t="str">
        <f t="shared" si="991"/>
        <v xml:space="preserve"> </v>
      </c>
      <c r="GF319" s="361" t="str">
        <f t="shared" si="992"/>
        <v xml:space="preserve"> </v>
      </c>
      <c r="GG319" s="347" t="str">
        <f t="shared" si="993"/>
        <v xml:space="preserve"> </v>
      </c>
      <c r="GH319" s="364">
        <f t="shared" si="887"/>
        <v>0</v>
      </c>
      <c r="GI319" s="362">
        <f t="shared" si="994"/>
        <v>2</v>
      </c>
      <c r="GJ319" s="433" t="e">
        <f>IF(6-COUNTBLANK(GT319:GY319)=4,MATCH(MID(BO319,9,3),CLU!$H$16:$K$16),MATCH(MID(BO319,9,3),CLU!$H$13:$M$13))</f>
        <v>#N/A</v>
      </c>
      <c r="GK319" s="433" t="e">
        <f>HLOOKUP(VALUE(BP319),CLU!$H$9:$M$10,2)</f>
        <v>#VALUE!</v>
      </c>
      <c r="GL319" s="433" t="e">
        <f ca="1">MATCH(BU319,CLU!$H$2:$V$2,1)</f>
        <v>#VALUE!</v>
      </c>
      <c r="GM319" s="433" t="e">
        <f t="shared" ca="1" si="995"/>
        <v>#VALUE!</v>
      </c>
      <c r="GN319" s="433" t="e">
        <f t="shared" ca="1" si="996"/>
        <v>#VALUE!</v>
      </c>
      <c r="GO319" s="433" t="e">
        <f t="shared" ca="1" si="997"/>
        <v>#VALUE!</v>
      </c>
      <c r="GP319" s="433" t="e">
        <f t="shared" ca="1" si="998"/>
        <v>#VALUE!</v>
      </c>
      <c r="GQ319" s="433" t="e">
        <f t="shared" ca="1" si="999"/>
        <v>#VALUE!</v>
      </c>
      <c r="GR319" s="433" t="e">
        <f ca="1">MATCH(T319,INDIRECT(VLOOKUP(CONCATENATE(LEFT(BO319,7),"-",MID(BO319,13,1)),CLU!$P$3:$Q$16,2)),1)</f>
        <v>#N/A</v>
      </c>
      <c r="GS319" s="433" t="e">
        <f ca="1">MATCH(U319,INDIRECT(VLOOKUP(CONCATENATE(LEFT(BO319,7),"-",MID(BO319,13,1)),CLU!$P$3:$Q$16,2)),1)</f>
        <v>#N/A</v>
      </c>
      <c r="GT319" s="347" t="s">
        <v>512</v>
      </c>
      <c r="GU319" s="97" t="s">
        <v>513</v>
      </c>
      <c r="GV319" s="97" t="str">
        <f t="shared" si="1000"/>
        <v>M23</v>
      </c>
      <c r="GW319" s="97" t="str">
        <f t="shared" si="1001"/>
        <v>M31</v>
      </c>
      <c r="GX319" s="97" t="str">
        <f t="shared" si="1002"/>
        <v/>
      </c>
      <c r="GY319" s="97" t="str">
        <f t="shared" si="1003"/>
        <v/>
      </c>
      <c r="GZ319" s="481"/>
      <c r="HA319" s="240"/>
      <c r="HB319" s="240"/>
      <c r="HC319" s="240"/>
      <c r="HD319" s="240"/>
      <c r="HE319" s="240"/>
      <c r="HF319" s="240"/>
      <c r="HG319" s="240"/>
      <c r="HH319" s="240"/>
      <c r="HI319" s="240"/>
      <c r="HJ319" s="240"/>
      <c r="HK319" s="240"/>
      <c r="HL319" s="240"/>
      <c r="HM319" s="240"/>
      <c r="HN319" s="240"/>
      <c r="HO319" s="240"/>
      <c r="HP319" s="240"/>
      <c r="HQ319" s="240"/>
      <c r="HR319" s="240"/>
      <c r="HS319" s="240"/>
      <c r="HT319" s="240"/>
      <c r="HU319" s="240"/>
      <c r="HV319" s="245"/>
      <c r="HW319" s="245" t="b">
        <v>1</v>
      </c>
      <c r="HX319" s="245" t="str">
        <f t="shared" si="888"/>
        <v/>
      </c>
      <c r="HY319" s="245" t="e">
        <f t="shared" si="889"/>
        <v>#DIV/0!</v>
      </c>
      <c r="HZ319" s="245" t="e">
        <f t="shared" si="890"/>
        <v>#DIV/0!</v>
      </c>
      <c r="IA319" s="245">
        <f t="shared" si="891"/>
        <v>0</v>
      </c>
      <c r="IB319" s="245"/>
      <c r="IC319" t="b">
        <f t="shared" si="892"/>
        <v>1</v>
      </c>
      <c r="ID319" s="245" t="b">
        <f t="shared" si="893"/>
        <v>1</v>
      </c>
      <c r="IE319" s="245" t="b">
        <f t="shared" si="894"/>
        <v>1</v>
      </c>
      <c r="IF319" s="245" t="b">
        <f t="shared" si="895"/>
        <v>0</v>
      </c>
      <c r="IG319" s="245" t="b">
        <f t="shared" si="896"/>
        <v>1</v>
      </c>
      <c r="IH319" s="245" t="b">
        <f t="shared" si="897"/>
        <v>1</v>
      </c>
      <c r="II319" s="245">
        <f t="shared" si="1004"/>
        <v>0</v>
      </c>
      <c r="IJ319" s="245" t="e">
        <f t="shared" si="898"/>
        <v>#VALUE!</v>
      </c>
      <c r="IK319" s="245" t="e">
        <f t="shared" si="899"/>
        <v>#VALUE!</v>
      </c>
      <c r="IL319" s="245"/>
      <c r="IM319" s="245" t="e">
        <f t="shared" si="1005"/>
        <v>#N/A</v>
      </c>
      <c r="IN319" s="245" t="e">
        <f t="shared" si="1006"/>
        <v>#N/A</v>
      </c>
      <c r="IO319" s="245"/>
      <c r="IP319" s="245"/>
      <c r="IQ319" s="245" t="str">
        <f t="shared" si="900"/>
        <v/>
      </c>
      <c r="IR319" s="245" t="str">
        <f>IF(J319="","",VLOOKUP(J319,Worksheet!$R$4:$T$14,2))</f>
        <v/>
      </c>
      <c r="IS319" s="245"/>
      <c r="IT319" s="245">
        <f t="shared" si="901"/>
        <v>0</v>
      </c>
      <c r="IU319" s="245">
        <f t="shared" si="902"/>
        <v>0</v>
      </c>
      <c r="IV319" s="245">
        <f t="shared" si="903"/>
        <v>0</v>
      </c>
      <c r="IW319" s="245">
        <f t="shared" si="904"/>
        <v>0</v>
      </c>
      <c r="IX319" s="245">
        <f t="shared" si="1007"/>
        <v>0</v>
      </c>
      <c r="IY319" s="245">
        <f t="shared" si="905"/>
        <v>0</v>
      </c>
      <c r="IZ319" s="245">
        <f t="shared" si="906"/>
        <v>0</v>
      </c>
      <c r="JA319">
        <f t="shared" si="907"/>
        <v>0</v>
      </c>
      <c r="JB319">
        <f t="shared" si="1008"/>
        <v>0</v>
      </c>
      <c r="JC319">
        <f t="shared" si="908"/>
        <v>0</v>
      </c>
      <c r="JD319">
        <f t="shared" si="909"/>
        <v>0</v>
      </c>
      <c r="JE319">
        <f t="shared" si="910"/>
        <v>0</v>
      </c>
      <c r="JF319">
        <f t="shared" si="911"/>
        <v>0</v>
      </c>
      <c r="JG319">
        <f t="shared" si="912"/>
        <v>0</v>
      </c>
      <c r="JH319">
        <f t="shared" si="913"/>
        <v>0</v>
      </c>
      <c r="JI319">
        <f t="shared" si="914"/>
        <v>0</v>
      </c>
      <c r="JJ319" s="447">
        <f t="shared" si="915"/>
        <v>0</v>
      </c>
      <c r="JK319" s="447">
        <f t="shared" si="916"/>
        <v>0</v>
      </c>
      <c r="JL319">
        <f t="shared" si="917"/>
        <v>0</v>
      </c>
      <c r="JM319" s="245" t="str">
        <f>IFERROR(VLOOKUP(MATCH(BN319,#REF!,0),#REF!,7),"")</f>
        <v/>
      </c>
      <c r="JN319" t="e">
        <f>HLOOKUP(LEFT(BO319,7),Discharge_Area,MATCH(JO319,LookUps!$B$130:$B$149,1)+2)</f>
        <v>#N/A</v>
      </c>
      <c r="JO319" t="str">
        <f t="shared" si="918"/>
        <v>- S</v>
      </c>
      <c r="JP319" t="e">
        <f>HLOOKUP(LEFT(BO319,7),Discharge_Area,MATCH(JO319,LookUps!$B$130:$B$149,1)+2)</f>
        <v>#N/A</v>
      </c>
      <c r="JQ319" t="e">
        <f t="shared" si="919"/>
        <v>#N/A</v>
      </c>
      <c r="JR319" t="e">
        <f t="shared" si="920"/>
        <v>#N/A</v>
      </c>
      <c r="JS319" t="e">
        <f t="shared" si="921"/>
        <v>#N/A</v>
      </c>
      <c r="JT319" s="532" t="str">
        <f t="shared" si="922"/>
        <v xml:space="preserve"> </v>
      </c>
      <c r="JU319" s="532" t="str">
        <f t="shared" si="923"/>
        <v xml:space="preserve"> </v>
      </c>
      <c r="JV319" s="533" t="str">
        <f t="shared" si="924"/>
        <v xml:space="preserve"> </v>
      </c>
      <c r="JW319" s="534">
        <f t="shared" si="925"/>
        <v>0</v>
      </c>
      <c r="JX319" s="535" t="str">
        <f t="shared" si="1009"/>
        <v xml:space="preserve"> </v>
      </c>
      <c r="JY319" s="535" t="str">
        <f t="shared" si="1010"/>
        <v xml:space="preserve"> </v>
      </c>
      <c r="JZ319" s="535" t="str">
        <f t="shared" si="1011"/>
        <v xml:space="preserve"> </v>
      </c>
      <c r="KA319" s="536" t="str">
        <f t="shared" si="926"/>
        <v xml:space="preserve"> </v>
      </c>
      <c r="KB319" s="535" t="e">
        <f t="shared" si="1012"/>
        <v>#VALUE!</v>
      </c>
      <c r="KC319" s="535" t="str">
        <f t="shared" si="927"/>
        <v/>
      </c>
      <c r="KD319" s="537" t="str">
        <f t="shared" si="1013"/>
        <v xml:space="preserve"> </v>
      </c>
      <c r="KE319" s="537" t="str">
        <f t="shared" si="1014"/>
        <v xml:space="preserve"> </v>
      </c>
      <c r="KF319" s="534">
        <f t="shared" si="928"/>
        <v>0</v>
      </c>
      <c r="KG319" s="535" t="str">
        <f t="shared" si="929"/>
        <v xml:space="preserve"> </v>
      </c>
      <c r="KH319" s="535" t="str">
        <f t="shared" si="930"/>
        <v xml:space="preserve"> </v>
      </c>
      <c r="KI319" s="535" t="str">
        <f t="shared" si="931"/>
        <v xml:space="preserve"> </v>
      </c>
      <c r="KJ319" s="536" t="str">
        <f t="shared" si="932"/>
        <v xml:space="preserve"> </v>
      </c>
      <c r="KK319" s="535" t="str">
        <f t="shared" si="1015"/>
        <v xml:space="preserve"> </v>
      </c>
      <c r="KL319" s="535" t="str">
        <f t="shared" si="1016"/>
        <v xml:space="preserve"> </v>
      </c>
      <c r="KM319" s="537" t="str">
        <f t="shared" si="933"/>
        <v xml:space="preserve"> </v>
      </c>
      <c r="KN319" s="537" t="str">
        <f t="shared" si="1017"/>
        <v xml:space="preserve"> </v>
      </c>
      <c r="KP319">
        <f t="shared" si="934"/>
        <v>0</v>
      </c>
      <c r="LA319" t="e">
        <f t="shared" si="935"/>
        <v>#VALUE!</v>
      </c>
      <c r="LB319" t="e">
        <f t="shared" si="936"/>
        <v>#VALUE!</v>
      </c>
      <c r="LC319" t="e">
        <f t="shared" si="937"/>
        <v>#VALUE!</v>
      </c>
      <c r="LD319" t="e">
        <f t="shared" si="938"/>
        <v>#VALUE!</v>
      </c>
      <c r="LE319" t="e">
        <f t="shared" si="1018"/>
        <v>#VALUE!</v>
      </c>
      <c r="LF319">
        <f t="shared" si="939"/>
        <v>0</v>
      </c>
      <c r="LG319" t="e">
        <f t="shared" si="1019"/>
        <v>#VALUE!</v>
      </c>
      <c r="LH319" t="str">
        <f t="shared" si="940"/>
        <v xml:space="preserve"> </v>
      </c>
      <c r="LI319">
        <f t="shared" si="1020"/>
        <v>1</v>
      </c>
    </row>
    <row r="320" spans="2:321" ht="15" customHeight="1">
      <c r="B320" s="311"/>
      <c r="C320" s="311"/>
      <c r="D320" s="312"/>
      <c r="E320" s="311"/>
      <c r="F320" s="312"/>
      <c r="G320" s="311"/>
      <c r="H320" s="311"/>
      <c r="I320" s="232"/>
      <c r="J320" s="311"/>
      <c r="K320" s="305" t="str">
        <f t="shared" si="941"/>
        <v/>
      </c>
      <c r="L320" s="313"/>
      <c r="M320" s="312"/>
      <c r="N320" s="311"/>
      <c r="O320" s="312"/>
      <c r="P320" s="311"/>
      <c r="Q320" s="305" t="str">
        <f t="shared" si="942"/>
        <v/>
      </c>
      <c r="R320" s="314"/>
      <c r="S320" s="450" t="str">
        <f t="shared" si="825"/>
        <v/>
      </c>
      <c r="T320" s="315"/>
      <c r="U320" s="315"/>
      <c r="W320" s="149" t="str">
        <f t="shared" si="826"/>
        <v xml:space="preserve"> </v>
      </c>
      <c r="X320" s="243" t="str">
        <f t="shared" si="827"/>
        <v xml:space="preserve"> </v>
      </c>
      <c r="Y320" s="150" t="str">
        <f t="shared" si="828"/>
        <v/>
      </c>
      <c r="Z320" s="149" t="str">
        <f t="shared" si="829"/>
        <v xml:space="preserve"> </v>
      </c>
      <c r="AA320" s="98" t="str">
        <f t="shared" si="830"/>
        <v xml:space="preserve"> </v>
      </c>
      <c r="AB320" s="153" t="str">
        <f t="shared" si="831"/>
        <v xml:space="preserve"> </v>
      </c>
      <c r="AC320" s="153" t="str">
        <f t="shared" si="832"/>
        <v xml:space="preserve"> </v>
      </c>
      <c r="AD320" s="148" t="str">
        <f t="shared" si="833"/>
        <v/>
      </c>
      <c r="AE320" s="149" t="str">
        <f t="shared" si="834"/>
        <v/>
      </c>
      <c r="AF320" s="151" t="str">
        <f t="shared" si="835"/>
        <v xml:space="preserve"> </v>
      </c>
      <c r="AG320" s="153" t="str">
        <f t="shared" si="836"/>
        <v xml:space="preserve"> </v>
      </c>
      <c r="AH320" s="98" t="str">
        <f t="shared" si="837"/>
        <v xml:space="preserve"> </v>
      </c>
      <c r="AI320" s="149" t="str">
        <f t="shared" si="838"/>
        <v xml:space="preserve"> </v>
      </c>
      <c r="AK320" s="144" t="str">
        <f t="shared" si="839"/>
        <v xml:space="preserve"> </v>
      </c>
      <c r="AL320" s="144"/>
      <c r="AM320" s="243" t="str">
        <f t="shared" si="840"/>
        <v xml:space="preserve"> </v>
      </c>
      <c r="AN320" s="149" t="str">
        <f t="shared" si="943"/>
        <v xml:space="preserve"> </v>
      </c>
      <c r="AO320" s="144" t="str">
        <f>IF(JB320&gt;0,IF(GI320=10,-R320*1.085*(Calculation!$F$6-Calculation!$F$13)*$S$14," "),"")</f>
        <v/>
      </c>
      <c r="AP320" s="144" t="str">
        <f t="shared" si="841"/>
        <v/>
      </c>
      <c r="AQ320" s="56" t="str">
        <f t="shared" si="842"/>
        <v/>
      </c>
      <c r="AR320" s="144" t="str">
        <f t="shared" si="843"/>
        <v/>
      </c>
      <c r="AS320" s="176" t="str">
        <f t="shared" si="844"/>
        <v/>
      </c>
      <c r="AT320" s="176" t="str">
        <f t="shared" si="944"/>
        <v xml:space="preserve"> </v>
      </c>
      <c r="AU320" s="176" t="str">
        <f t="shared" si="845"/>
        <v/>
      </c>
      <c r="AV320" s="177" t="str">
        <f t="shared" si="846"/>
        <v xml:space="preserve"> </v>
      </c>
      <c r="AW320" s="144" t="str">
        <f t="shared" si="847"/>
        <v xml:space="preserve"> </v>
      </c>
      <c r="AX320" s="144" t="str">
        <f t="shared" si="848"/>
        <v xml:space="preserve"> </v>
      </c>
      <c r="AY320" s="152" t="str">
        <f t="shared" si="849"/>
        <v xml:space="preserve"> </v>
      </c>
      <c r="AZ320" s="246" t="str">
        <f t="shared" si="850"/>
        <v/>
      </c>
      <c r="BA320" s="176" t="str">
        <f t="shared" si="851"/>
        <v xml:space="preserve"> </v>
      </c>
      <c r="BB320" s="176" t="str">
        <f t="shared" si="852"/>
        <v xml:space="preserve"> </v>
      </c>
      <c r="BC320" s="195"/>
      <c r="BD320" s="316"/>
      <c r="BE320" s="317"/>
      <c r="BF320" s="318"/>
      <c r="BG320" s="318"/>
      <c r="BH320" s="144" t="str">
        <f t="shared" si="1021"/>
        <v xml:space="preserve"> </v>
      </c>
      <c r="BI320" s="176" t="str">
        <f t="shared" si="853"/>
        <v/>
      </c>
      <c r="BJ320" s="144" t="str">
        <f t="shared" si="1022"/>
        <v/>
      </c>
      <c r="BK320" s="246" t="str">
        <f t="shared" si="854"/>
        <v/>
      </c>
      <c r="BL320" s="144" t="str">
        <f t="shared" si="1023"/>
        <v/>
      </c>
      <c r="BM320" s="246" t="str">
        <f t="shared" si="855"/>
        <v/>
      </c>
      <c r="BN320" s="337" t="str">
        <f t="shared" si="945"/>
        <v/>
      </c>
      <c r="BO320" s="371" t="str">
        <f t="shared" si="946"/>
        <v/>
      </c>
      <c r="BP320" s="328" t="str">
        <f t="shared" si="1024"/>
        <v xml:space="preserve"> </v>
      </c>
      <c r="BQ320" s="347" t="str">
        <f t="shared" si="947"/>
        <v xml:space="preserve"> </v>
      </c>
      <c r="BR320" s="353" t="str">
        <f t="shared" si="948"/>
        <v xml:space="preserve"> </v>
      </c>
      <c r="BS320" s="626" t="str">
        <f>IF(L320&gt;0,IF(Calculation!P320="M13",BR320*3.1416*(0.134^2)/(4*144),IF(Calculation!P320="M17",BR320*3.1416*(0.165^2)/(4*144),IF(Calculation!P320="M20",BR320*3.1416*(0.198^2)/(4*144),IF(Calculation!P320="M23",BR320*3.1416*(0.228^2)/(4*144),IF(Calculation!P320="M27",BR320*3.1416*(0.269^2)/(4*144),BR320*3.1416*(0.307^2)/(4*144))))))," ")</f>
        <v xml:space="preserve"> </v>
      </c>
      <c r="BT320" s="353" t="str">
        <f>IF(L320&gt;0,IF(BS320&gt;0,R320/Calculation!BS320,0)," ")</f>
        <v xml:space="preserve"> </v>
      </c>
      <c r="BU320" s="438" t="e">
        <f t="shared" ca="1" si="856"/>
        <v>#VALUE!</v>
      </c>
      <c r="BV320" s="449" t="e">
        <f ca="1">INDEX(INDIRECT(VLOOKUP(LEFT(BO320,7),CLU!$Z$3:$AH$18,2)),GN320,GR320)</f>
        <v>#N/A</v>
      </c>
      <c r="BW320" s="433" t="e">
        <f ca="1">INDEX(INDIRECT(VLOOKUP(LEFT(BO320,7),CLU!$Z$3:$AH$18,3)),GN320,GR320)</f>
        <v>#N/A</v>
      </c>
      <c r="BX320" s="433" t="e">
        <f ca="1">INDEX(INDIRECT(VLOOKUP(LEFT(BO320,7),CLU!$Z$3:$AH$18,4)),GN320,GR320)</f>
        <v>#N/A</v>
      </c>
      <c r="BY320" s="433" t="e">
        <f ca="1">INDEX(INDIRECT(VLOOKUP(LEFT(BO320,7),CLU!$Z$3:$AH$18,9)),((M320-2)*(6-COUNTBLANK(GT320:GY320)))+GJ320)</f>
        <v>#N/A</v>
      </c>
      <c r="BZ320" s="426" t="e">
        <f t="shared" ca="1" si="949"/>
        <v>#N/A</v>
      </c>
      <c r="CA320" s="424" t="e">
        <f t="shared" ca="1" si="950"/>
        <v>#N/A</v>
      </c>
      <c r="CB320" s="429" t="e">
        <f ca="1">INDEX(INDIRECT(VLOOKUP(LEFT(BO320,7),CLU!$Z$3:$AH$18,2)),GN320,GS320)</f>
        <v>#N/A</v>
      </c>
      <c r="CC320" s="342" t="e">
        <f ca="1">INDEX(INDIRECT(VLOOKUP(LEFT(BO320,7),CLU!$Z$3:$AH$18,3)),GN320,GS320)</f>
        <v>#N/A</v>
      </c>
      <c r="CD320" s="342" t="e">
        <f ca="1">INDEX(INDIRECT(VLOOKUP(LEFT(BO320,7),CLU!$Z$3:$AH$18,4)),GN320,GS320)</f>
        <v>#N/A</v>
      </c>
      <c r="CE320" s="426" t="e">
        <f t="shared" ca="1" si="951"/>
        <v>#N/A</v>
      </c>
      <c r="CF320" s="440">
        <f t="shared" si="952"/>
        <v>0</v>
      </c>
      <c r="CG320" s="431" t="e">
        <f ca="1">INDEX(INDIRECT(VLOOKUP(LEFT(BO320,7),CLU!$Z$3:$AH$18,2)),GQ320,GR320)</f>
        <v>#N/A</v>
      </c>
      <c r="CH320" s="431" t="e">
        <f ca="1">INDEX(INDIRECT(VLOOKUP(LEFT(BO320,7),CLU!$Z$3:$AH$18,3)),GQ320,GR320)</f>
        <v>#N/A</v>
      </c>
      <c r="CI320" s="431" t="e">
        <f ca="1">INDEX(INDIRECT(VLOOKUP(LEFT(BO320,7),CLU!$Z$3:$AH$18,4)),GQ320,GR320)</f>
        <v>#N/A</v>
      </c>
      <c r="CJ320" s="448" t="e">
        <f t="shared" ca="1" si="953"/>
        <v>#N/A</v>
      </c>
      <c r="CK320" s="431" t="e">
        <f t="shared" ca="1" si="954"/>
        <v>#N/A</v>
      </c>
      <c r="CL320" s="440" t="e">
        <f t="shared" ca="1" si="955"/>
        <v>#N/A</v>
      </c>
      <c r="CM320" s="431" t="e">
        <f ca="1">INDEX(INDIRECT(VLOOKUP(LEFT(BO320,7),CLU!$Z$3:$AH$18,2)),GQ320,GS320)</f>
        <v>#N/A</v>
      </c>
      <c r="CN320" s="431" t="e">
        <f ca="1">INDEX(INDIRECT(VLOOKUP(LEFT(BO320,7),CLU!$Z$3:$AH$18,3)),GQ320,GS320)</f>
        <v>#N/A</v>
      </c>
      <c r="CO320" s="431" t="e">
        <f ca="1">INDEX(INDIRECT(VLOOKUP(LEFT(BO320,7),CLU!$Z$3:$AH$18,4)),GQ320,GS320)</f>
        <v>#N/A</v>
      </c>
      <c r="CP320" s="431" t="e">
        <f t="shared" ca="1" si="956"/>
        <v>#N/A</v>
      </c>
      <c r="CQ320" s="440">
        <f t="shared" si="957"/>
        <v>0</v>
      </c>
      <c r="CR320" s="51" t="e">
        <f t="shared" ca="1" si="958"/>
        <v>#N/A</v>
      </c>
      <c r="CS320" s="439" t="e">
        <f t="shared" ca="1" si="959"/>
        <v>#VALUE!</v>
      </c>
      <c r="CT320" s="51" t="e">
        <f t="shared" ca="1" si="960"/>
        <v>#VALUE!</v>
      </c>
      <c r="CU320" s="10"/>
      <c r="CV320" s="51" t="e">
        <f t="shared" ca="1" si="857"/>
        <v>#VALUE!</v>
      </c>
      <c r="CW320" s="51">
        <f t="shared" si="961"/>
        <v>0</v>
      </c>
      <c r="CX320" s="439" t="e">
        <f t="shared" ca="1" si="962"/>
        <v>#VALUE!</v>
      </c>
      <c r="CY320" s="51" t="e">
        <f t="shared" ca="1" si="963"/>
        <v>#VALUE!</v>
      </c>
      <c r="CZ320" s="10"/>
      <c r="DA320" s="51" t="e">
        <f t="shared" ca="1" si="964"/>
        <v>#VALUE!</v>
      </c>
      <c r="DB320" s="347" t="e">
        <f ca="1">INDEX(INDIRECT(VLOOKUP(LEFT(BO320,7),CLU!$Z$3:$AI$18,10)),((M320-2)*(6-COUNTBLANK(GT320:GY320)))+GJ320)*LI320</f>
        <v>#N/A</v>
      </c>
      <c r="DC320" s="347" t="str">
        <f>IF(L320&gt;0,((R320/Worksheet!$I$15)/DB320)^2," ")</f>
        <v xml:space="preserve"> </v>
      </c>
      <c r="DD320" s="602" t="str">
        <f t="shared" si="965"/>
        <v xml:space="preserve"> </v>
      </c>
      <c r="DE320" s="347" t="str">
        <f t="shared" si="858"/>
        <v xml:space="preserve"> </v>
      </c>
      <c r="DF320" s="356" t="e">
        <f ca="1">INDEX(INDIRECT(VLOOKUP(LEFT(BO320,7),CLU!$Z$3:$AH$18,8)),((M320-2)*(6-COUNTBLANK(GT320:GY320)))+GJ320)</f>
        <v>#N/A</v>
      </c>
      <c r="DG320" s="347" t="str">
        <f t="shared" si="859"/>
        <v xml:space="preserve"> </v>
      </c>
      <c r="DH320" s="357" t="str">
        <f t="shared" si="860"/>
        <v xml:space="preserve"> </v>
      </c>
      <c r="DI320" s="355" t="str">
        <f t="shared" si="861"/>
        <v xml:space="preserve"> </v>
      </c>
      <c r="DJ320" s="245" t="e">
        <f ca="1">INDEX(INDIRECT(VLOOKUP(LEFT(BO320,7),CLU!$Z$3:$AH$18,5)),GL320,GK320)</f>
        <v>#N/A</v>
      </c>
      <c r="DK320" s="245" t="e">
        <f ca="1">INDEX(INDIRECT(VLOOKUP(LEFT(BO320,7),CLU!$Z$3:$AH$18,6)),GL320,GK320)</f>
        <v>#N/A</v>
      </c>
      <c r="DL320" s="355">
        <f>(Calculation!R320*0.69143*(Calculation!$BQ$8-Calculation!$F$8))*$S$14</f>
        <v>0</v>
      </c>
      <c r="DM320" s="359" t="e">
        <f t="shared" si="966"/>
        <v>#VALUE!</v>
      </c>
      <c r="DN320" s="611">
        <f t="shared" si="967"/>
        <v>0</v>
      </c>
      <c r="DO320" s="359">
        <f t="shared" si="968"/>
        <v>100</v>
      </c>
      <c r="DP320" s="359">
        <f t="shared" si="969"/>
        <v>0</v>
      </c>
      <c r="DQ320" s="360"/>
      <c r="DR320" s="245" t="e">
        <f ca="1">INDEX(INDIRECT(VLOOKUP(LEFT(BO320,7),CLU!$Z$3:$AH$18,7)),M320-1,1)</f>
        <v>#N/A</v>
      </c>
      <c r="DS320" s="245" t="e">
        <f ca="1">INDEX(INDIRECT(VLOOKUP(LEFT(BO320,7),CLU!$Z$3:$AH$18,7)),M320-1,2)</f>
        <v>#N/A</v>
      </c>
      <c r="DT320" s="245" t="e">
        <f ca="1">INDEX(INDIRECT(VLOOKUP(LEFT(BO320,7),CLU!$Z$3:$AH$18,7)),M320-1,3)</f>
        <v>#N/A</v>
      </c>
      <c r="DU320" s="245" t="e">
        <f ca="1">INDEX(INDIRECT(VLOOKUP(LEFT(BO320,7),CLU!$Z$3:$AH$18,7)),M320-1,4)</f>
        <v>#N/A</v>
      </c>
      <c r="DV320" s="361" t="e">
        <f ca="1">INDEX(INDIRECT(VLOOKUP(LEFT(BO320,7),CLU!$Z$3:$AH$18,7)),M320-1,4+LEFT(DZ320,1)*0.5)</f>
        <v>#N/A</v>
      </c>
      <c r="DW320" s="245" t="e">
        <f ca="1">INDEX(INDIRECT(VLOOKUP(LEFT(BO320,7),CLU!$Z$3:$AH$18,7)),M320-1,8)</f>
        <v>#N/A</v>
      </c>
      <c r="DX320" s="361" t="str">
        <f t="shared" si="862"/>
        <v xml:space="preserve"> </v>
      </c>
      <c r="DY320" s="361" t="str">
        <f t="shared" si="863"/>
        <v xml:space="preserve"> </v>
      </c>
      <c r="DZ320" s="361" t="str">
        <f t="shared" si="864"/>
        <v xml:space="preserve"> </v>
      </c>
      <c r="EA320" s="362" t="str">
        <f t="shared" si="865"/>
        <v xml:space="preserve"> </v>
      </c>
      <c r="EB320" s="624" t="str">
        <f t="shared" si="970"/>
        <v xml:space="preserve"> </v>
      </c>
      <c r="EC320" s="361" t="e">
        <f ca="1">INDEX(INDIRECT(VLOOKUP(LEFT(BO320,7),CLU!$Z$3:$AH$18,7)),M320-1,4+LEFT(DZ320,1)*0.5)</f>
        <v>#N/A</v>
      </c>
      <c r="ED320" s="362" t="str">
        <f t="shared" si="866"/>
        <v xml:space="preserve"> </v>
      </c>
      <c r="EE320" s="361" t="str">
        <f t="shared" si="867"/>
        <v xml:space="preserve"> </v>
      </c>
      <c r="EF320" s="362" t="str">
        <f>IF(L320&gt;0,IF(BR320&gt;0,IF(EE320="2P",IF(Calculation!DZ320="2P",IF(Calculation!DS320=13.75,IF(Calculation!DR320=13,Worksheet!$BD$43,IF(Calculation!DR320=37,Worksheet!$BD$44,Worksheet!$BD$45)),IF(Calculation!DS320=10,IF(Calculation!DR320=18,Worksheet!$BD$29,IF(Calculation!DR320=30,Worksheet!$BD$30,IF(Calculation!DR320=42,Worksheet!$BD$31,IF(Calculation!DR320=54,Worksheet!$BD$32,IF(Calculation!DR320=66,Worksheet!$BD$33,IF(Calculation!DR320=78,Worksheet!$BD$34,IF(Calculation!DR320=90,Worksheet!$BD$35,IF(Calculation!DR320=102,Worksheet!$BD$36,Worksheet!$BD$37)))))))),IF(Calculation!DS320=12.5,IF(Calculation!DR320=18,Worksheet!$BD$38,IF(Calculation!DR320=Worksheet!$BD$39,IF(Calculation!DR320=42,Worksheet!$BD$40,IF(Calculation!DR320=54,Worksheet!$BD$41,Worksheet!$BD$42)))),IF(Calculation!DR320=18,Worksheet!$BD$11,IF(Calculation!DR320=30,Worksheet!$BD$12,IF(Calculation!DR320=42,Worksheet!$BD$13,IF(Calculation!DR320=54,Worksheet!$BD$14,IF(Calculation!DR320=66,Worksheet!$BD$15,IF(Calculation!DR320=78,Worksheet!$BD$16,IF(Calculation!DR320=90,Worksheet!$BD$17,IF(Calculation!DR320=102,Worksheet!$BD$18,Worksheet!$BD$19))))))))))),IF(Calculation!DS320=13.75,IF(Calculation!DR320=13,Worksheet!$BD$78,IF(Calculation!DR320=37,Worksheet!$BD$79,Worksheet!$BD$80)),IF(Calculation!DS320=10,IF(Calculation!DR320=18,Worksheet!$BD$64,IF(Calculation!DR320=30,Worksheet!$BD$65,IF(Calculation!DR320=42,Worksheet!$BD$66,IF(Calculation!DR320=54,Worksheet!$BD$68,IF(Calculation!DR320=66,Worksheet!$BD$68,IF(Calculation!DR320=78,Worksheet!$BD$69,IF(Calculation!DR320=90,Worksheet!$BD$70,IF(Calculation!DR320=102,Worksheet!$BD$71,Worksheet!$BD$72)))))))),IF(Calculation!DS320=12.5,IF(Calculation!DR320=18,Worksheet!$BD$73,IF(Calculation!DR320=Worksheet!$BD$74,IF(Calculation!DR320=42,Worksheet!$BD$75,IF(Calculation!DR320=54,Worksheet!$BD$76,Worksheet!$BD$77)))),IF(Calculation!DR320=18,Worksheet!$BD$55,IF(Calculation!DR320=30,Worksheet!$BD$56,IF(Calculation!DR320=42,Worksheet!$BD$57,IF(Calculation!DR320=54,Worksheet!$BD$58,IF(Calculation!DR320=66,Worksheet!$BD$59,IF(Calculation!DR320=78,Worksheet!$BD$60,IF(Calculation!DR320=90,Worksheet!$BD$61,IF(Calculation!DR320=102,Worksheet!$BD$62,Worksheet!$BD$63)))))))))))),5),0)," ")</f>
        <v xml:space="preserve"> </v>
      </c>
      <c r="EG320" s="361" t="str">
        <f t="shared" si="868"/>
        <v xml:space="preserve"> </v>
      </c>
      <c r="EH320" s="361" t="e">
        <f ca="1">INDEX(INDIRECT(VLOOKUP(LEFT(BO320,7),CLU!$Z$3:$AH$18,7)),M320-1,3+LEFT(DZ320,1))</f>
        <v>#N/A</v>
      </c>
      <c r="EI320" s="362" t="str">
        <f t="shared" si="869"/>
        <v xml:space="preserve"> </v>
      </c>
      <c r="EJ320" s="363" t="str">
        <f t="shared" si="870"/>
        <v xml:space="preserve"> </v>
      </c>
      <c r="EK320" s="363" t="str">
        <f t="shared" si="871"/>
        <v xml:space="preserve"> </v>
      </c>
      <c r="EL320" s="363" t="str">
        <f t="shared" si="872"/>
        <v xml:space="preserve"> </v>
      </c>
      <c r="EM320" s="362" t="str">
        <f>IF(L320&gt;0,IF(BR320&gt;0,(Calculation!T320/ED320)^2,0)," ")</f>
        <v xml:space="preserve"> </v>
      </c>
      <c r="EN320" s="362" t="str">
        <f>IF(L320&gt;0,IF(O320="2 Pipe (Cooling)","N/A",IF(BR320&gt;0,(Calculation!U320/EI320)^2,0))," ")</f>
        <v xml:space="preserve"> </v>
      </c>
      <c r="EO320" s="361" t="str">
        <f t="shared" si="873"/>
        <v/>
      </c>
      <c r="EP320" s="361" t="str">
        <f t="shared" si="874"/>
        <v/>
      </c>
      <c r="EQ320" s="361" t="str">
        <f t="shared" si="875"/>
        <v/>
      </c>
      <c r="ER320" s="361" t="str">
        <f t="shared" si="876"/>
        <v/>
      </c>
      <c r="ES320" s="361" t="str">
        <f t="shared" si="877"/>
        <v/>
      </c>
      <c r="ET320" s="361" t="str">
        <f t="shared" si="878"/>
        <v/>
      </c>
      <c r="EU320" s="361" t="str">
        <f t="shared" si="879"/>
        <v/>
      </c>
      <c r="EV320" s="361" t="str">
        <f t="shared" si="880"/>
        <v/>
      </c>
      <c r="EW320" s="361" t="str">
        <f t="shared" si="881"/>
        <v/>
      </c>
      <c r="EX320" s="361" t="str">
        <f t="shared" si="971"/>
        <v>1 slot, 1 way</v>
      </c>
      <c r="EY320" s="361" t="str">
        <f t="shared" si="972"/>
        <v xml:space="preserve"> </v>
      </c>
      <c r="EZ320" s="361" t="str">
        <f t="shared" si="973"/>
        <v xml:space="preserve"> </v>
      </c>
      <c r="FA320" s="361" t="str">
        <f t="shared" si="974"/>
        <v xml:space="preserve"> </v>
      </c>
      <c r="FB320" s="361" t="str">
        <f t="shared" si="975"/>
        <v xml:space="preserve"> </v>
      </c>
      <c r="FC320" s="361"/>
      <c r="FD320" s="361" t="str">
        <f>IF(J320&gt;0,IF(Calculation!R320&lt;=70,4,IF(Calculation!R320&lt;=110,5,IF(Calculation!R320&lt;=160,6,IF(Calculation!R320&lt;=300,8,"10 EO")))),"")</f>
        <v/>
      </c>
      <c r="FE320" s="361" t="str">
        <f t="shared" si="976"/>
        <v/>
      </c>
      <c r="FF320" s="361" t="str">
        <f t="shared" si="977"/>
        <v/>
      </c>
      <c r="FG320" s="361" t="e">
        <f t="shared" si="882"/>
        <v>#N/A</v>
      </c>
      <c r="FH320" s="361">
        <f t="shared" si="883"/>
        <v>0</v>
      </c>
      <c r="FI320" s="361" t="e">
        <f t="shared" si="884"/>
        <v>#DIV/0!</v>
      </c>
      <c r="FJ320" s="361"/>
      <c r="FK320" s="356" t="e">
        <f t="shared" si="885"/>
        <v>#VALUE!</v>
      </c>
      <c r="FL320" s="361"/>
      <c r="FM320" s="361"/>
      <c r="FN320" s="362" t="str">
        <f t="shared" si="978"/>
        <v xml:space="preserve"> </v>
      </c>
      <c r="FO320" s="362" t="str">
        <f t="shared" si="979"/>
        <v xml:space="preserve"> </v>
      </c>
      <c r="FP320" s="362">
        <f t="shared" si="980"/>
        <v>0</v>
      </c>
      <c r="FQ320" s="361">
        <f t="shared" si="886"/>
        <v>0</v>
      </c>
      <c r="FR320" s="362" t="str">
        <f>IF(L320&gt;0,IF(J320="CBAL2",Worksheet!$P$67,IF(J320="CBE2-24",Worksheet!$Q$67,IF(J320="CBAM",Worksheet!$R$67,IF(J320="CBLV",Worksheet!$S$67,IF(J320="CBAB",Worksheet!$U$67,IF(J320="CBAW",Worksheet!$X$67,IF(J320="CBE2-12",Worksheet!$Y$67,IF(J320="CBAL2",Worksheet!$Z$67,"N/A"))))))))," ")</f>
        <v xml:space="preserve"> </v>
      </c>
      <c r="FS320" s="362" t="str">
        <f>IF(L320&gt;0,IF(J320="CBAL2",Worksheet!$P$68,IF(J320="CBE2-24",Worksheet!$Q$68,IF(J320="CBAM",Worksheet!$R$68,IF(J320="CBLV",Worksheet!$S$68,IF(J320="CBAB",Worksheet!$U$68,IF(J320="CBAW",Worksheet!$X$68,IF(J320="CBE2-12",Worksheet!$Y$68,IF(J320="CBAL2",Worksheet!$Z$68,"N/A"))))))))," ")</f>
        <v xml:space="preserve"> </v>
      </c>
      <c r="FT320" s="362" t="str">
        <f>IF(L320&gt;0,IF(J320="CBAL2",Worksheet!$P$69,IF(J320="CBE2-24",Worksheet!$Q$69,IF(J320="CBAM",Worksheet!$R$69,IF(J320="CBLV",Worksheet!$S$69,IF(J320="CBAB",Worksheet!$U$69,IF(J320="CBAW",Worksheet!$X$69,IF(J320="CBE2-12",Worksheet!$Y$69,IF(J320="CBAL2",Worksheet!$Z$69,"N/A"))))))))," ")</f>
        <v xml:space="preserve"> </v>
      </c>
      <c r="FU320" s="361" t="str">
        <f t="shared" si="981"/>
        <v xml:space="preserve"> </v>
      </c>
      <c r="FV320" s="362" t="str">
        <f t="shared" si="982"/>
        <v xml:space="preserve"> </v>
      </c>
      <c r="FW320" s="362" t="str">
        <f t="shared" si="983"/>
        <v xml:space="preserve"> </v>
      </c>
      <c r="FX320" s="362" t="str">
        <f t="shared" si="984"/>
        <v xml:space="preserve"> </v>
      </c>
      <c r="FY320" s="355" t="str">
        <f t="shared" si="985"/>
        <v xml:space="preserve"> </v>
      </c>
      <c r="FZ320" s="361" t="str">
        <f t="shared" si="986"/>
        <v xml:space="preserve"> </v>
      </c>
      <c r="GA320" s="347" t="str">
        <f t="shared" si="987"/>
        <v xml:space="preserve"> </v>
      </c>
      <c r="GB320" s="355" t="str">
        <f t="shared" si="988"/>
        <v xml:space="preserve"> </v>
      </c>
      <c r="GC320" s="328" t="str">
        <f t="shared" si="989"/>
        <v xml:space="preserve"> </v>
      </c>
      <c r="GD320" s="361" t="str">
        <f t="shared" si="990"/>
        <v xml:space="preserve"> </v>
      </c>
      <c r="GE320" s="347" t="str">
        <f t="shared" si="991"/>
        <v xml:space="preserve"> </v>
      </c>
      <c r="GF320" s="361" t="str">
        <f t="shared" si="992"/>
        <v xml:space="preserve"> </v>
      </c>
      <c r="GG320" s="347" t="str">
        <f t="shared" si="993"/>
        <v xml:space="preserve"> </v>
      </c>
      <c r="GH320" s="364">
        <f t="shared" si="887"/>
        <v>0</v>
      </c>
      <c r="GI320" s="362">
        <f t="shared" si="994"/>
        <v>2</v>
      </c>
      <c r="GJ320" s="433" t="e">
        <f>IF(6-COUNTBLANK(GT320:GY320)=4,MATCH(MID(BO320,9,3),CLU!$H$16:$K$16),MATCH(MID(BO320,9,3),CLU!$H$13:$M$13))</f>
        <v>#N/A</v>
      </c>
      <c r="GK320" s="433" t="e">
        <f>HLOOKUP(VALUE(BP320),CLU!$H$9:$M$10,2)</f>
        <v>#VALUE!</v>
      </c>
      <c r="GL320" s="433" t="e">
        <f ca="1">MATCH(BU320,CLU!$H$2:$V$2,1)</f>
        <v>#VALUE!</v>
      </c>
      <c r="GM320" s="433" t="e">
        <f t="shared" ca="1" si="995"/>
        <v>#VALUE!</v>
      </c>
      <c r="GN320" s="433" t="e">
        <f t="shared" ca="1" si="996"/>
        <v>#VALUE!</v>
      </c>
      <c r="GO320" s="433" t="e">
        <f t="shared" ca="1" si="997"/>
        <v>#VALUE!</v>
      </c>
      <c r="GP320" s="433" t="e">
        <f t="shared" ca="1" si="998"/>
        <v>#VALUE!</v>
      </c>
      <c r="GQ320" s="433" t="e">
        <f t="shared" ca="1" si="999"/>
        <v>#VALUE!</v>
      </c>
      <c r="GR320" s="433" t="e">
        <f ca="1">MATCH(T320,INDIRECT(VLOOKUP(CONCATENATE(LEFT(BO320,7),"-",MID(BO320,13,1)),CLU!$P$3:$Q$16,2)),1)</f>
        <v>#N/A</v>
      </c>
      <c r="GS320" s="433" t="e">
        <f ca="1">MATCH(U320,INDIRECT(VLOOKUP(CONCATENATE(LEFT(BO320,7),"-",MID(BO320,13,1)),CLU!$P$3:$Q$16,2)),1)</f>
        <v>#N/A</v>
      </c>
      <c r="GT320" s="347" t="s">
        <v>512</v>
      </c>
      <c r="GU320" s="97" t="s">
        <v>513</v>
      </c>
      <c r="GV320" s="97" t="str">
        <f t="shared" si="1000"/>
        <v>M23</v>
      </c>
      <c r="GW320" s="97" t="str">
        <f t="shared" si="1001"/>
        <v>M31</v>
      </c>
      <c r="GX320" s="97" t="str">
        <f t="shared" si="1002"/>
        <v/>
      </c>
      <c r="GY320" s="97" t="str">
        <f t="shared" si="1003"/>
        <v/>
      </c>
      <c r="GZ320" s="481"/>
      <c r="HA320" s="240"/>
      <c r="HB320" s="240"/>
      <c r="HC320" s="240"/>
      <c r="HD320" s="240"/>
      <c r="HE320" s="240"/>
      <c r="HF320" s="240"/>
      <c r="HG320" s="240"/>
      <c r="HH320" s="240"/>
      <c r="HI320" s="240"/>
      <c r="HJ320" s="240"/>
      <c r="HK320" s="240"/>
      <c r="HL320" s="240"/>
      <c r="HM320" s="240"/>
      <c r="HN320" s="240"/>
      <c r="HO320" s="240"/>
      <c r="HP320" s="240"/>
      <c r="HQ320" s="240"/>
      <c r="HR320" s="240"/>
      <c r="HS320" s="240"/>
      <c r="HT320" s="240"/>
      <c r="HU320" s="240"/>
      <c r="HV320" s="245"/>
      <c r="HW320" s="245" t="b">
        <v>1</v>
      </c>
      <c r="HX320" s="245" t="str">
        <f t="shared" si="888"/>
        <v/>
      </c>
      <c r="HY320" s="245" t="e">
        <f t="shared" si="889"/>
        <v>#DIV/0!</v>
      </c>
      <c r="HZ320" s="245" t="e">
        <f t="shared" si="890"/>
        <v>#DIV/0!</v>
      </c>
      <c r="IA320" s="245">
        <f t="shared" si="891"/>
        <v>0</v>
      </c>
      <c r="IB320" s="245"/>
      <c r="IC320" t="b">
        <f t="shared" si="892"/>
        <v>1</v>
      </c>
      <c r="ID320" s="245" t="b">
        <f t="shared" si="893"/>
        <v>1</v>
      </c>
      <c r="IE320" s="245" t="b">
        <f t="shared" si="894"/>
        <v>1</v>
      </c>
      <c r="IF320" s="245" t="b">
        <f t="shared" si="895"/>
        <v>0</v>
      </c>
      <c r="IG320" s="245" t="b">
        <f t="shared" si="896"/>
        <v>1</v>
      </c>
      <c r="IH320" s="245" t="b">
        <f t="shared" si="897"/>
        <v>1</v>
      </c>
      <c r="II320" s="245">
        <f t="shared" si="1004"/>
        <v>0</v>
      </c>
      <c r="IJ320" s="245" t="e">
        <f t="shared" si="898"/>
        <v>#VALUE!</v>
      </c>
      <c r="IK320" s="245" t="e">
        <f t="shared" si="899"/>
        <v>#VALUE!</v>
      </c>
      <c r="IL320" s="245"/>
      <c r="IM320" s="245" t="e">
        <f t="shared" si="1005"/>
        <v>#N/A</v>
      </c>
      <c r="IN320" s="245" t="e">
        <f t="shared" si="1006"/>
        <v>#N/A</v>
      </c>
      <c r="IO320" s="245"/>
      <c r="IP320" s="245"/>
      <c r="IQ320" s="245" t="str">
        <f t="shared" si="900"/>
        <v/>
      </c>
      <c r="IR320" s="245" t="str">
        <f>IF(J320="","",VLOOKUP(J320,Worksheet!$R$4:$T$14,2))</f>
        <v/>
      </c>
      <c r="IS320" s="245"/>
      <c r="IT320" s="245">
        <f t="shared" si="901"/>
        <v>0</v>
      </c>
      <c r="IU320" s="245">
        <f t="shared" si="902"/>
        <v>0</v>
      </c>
      <c r="IV320" s="245">
        <f t="shared" si="903"/>
        <v>0</v>
      </c>
      <c r="IW320" s="245">
        <f t="shared" si="904"/>
        <v>0</v>
      </c>
      <c r="IX320" s="245">
        <f t="shared" si="1007"/>
        <v>0</v>
      </c>
      <c r="IY320" s="245">
        <f t="shared" si="905"/>
        <v>0</v>
      </c>
      <c r="IZ320" s="245">
        <f t="shared" si="906"/>
        <v>0</v>
      </c>
      <c r="JA320">
        <f t="shared" si="907"/>
        <v>0</v>
      </c>
      <c r="JB320">
        <f t="shared" si="1008"/>
        <v>0</v>
      </c>
      <c r="JC320">
        <f t="shared" si="908"/>
        <v>0</v>
      </c>
      <c r="JD320">
        <f t="shared" si="909"/>
        <v>0</v>
      </c>
      <c r="JE320">
        <f t="shared" si="910"/>
        <v>0</v>
      </c>
      <c r="JF320">
        <f t="shared" si="911"/>
        <v>0</v>
      </c>
      <c r="JG320">
        <f t="shared" si="912"/>
        <v>0</v>
      </c>
      <c r="JH320">
        <f t="shared" si="913"/>
        <v>0</v>
      </c>
      <c r="JI320">
        <f t="shared" si="914"/>
        <v>0</v>
      </c>
      <c r="JJ320" s="447">
        <f t="shared" si="915"/>
        <v>0</v>
      </c>
      <c r="JK320" s="447">
        <f t="shared" si="916"/>
        <v>0</v>
      </c>
      <c r="JL320">
        <f t="shared" si="917"/>
        <v>0</v>
      </c>
      <c r="JM320" s="245" t="str">
        <f>IFERROR(VLOOKUP(MATCH(BN320,#REF!,0),#REF!,7),"")</f>
        <v/>
      </c>
      <c r="JN320" t="e">
        <f>HLOOKUP(LEFT(BO320,7),Discharge_Area,MATCH(JO320,LookUps!$B$130:$B$149,1)+2)</f>
        <v>#N/A</v>
      </c>
      <c r="JO320" t="str">
        <f t="shared" si="918"/>
        <v>- S</v>
      </c>
      <c r="JP320" t="e">
        <f>HLOOKUP(LEFT(BO320,7),Discharge_Area,MATCH(JO320,LookUps!$B$130:$B$149,1)+2)</f>
        <v>#N/A</v>
      </c>
      <c r="JQ320" t="e">
        <f t="shared" si="919"/>
        <v>#N/A</v>
      </c>
      <c r="JR320" t="e">
        <f t="shared" si="920"/>
        <v>#N/A</v>
      </c>
      <c r="JS320" t="e">
        <f t="shared" si="921"/>
        <v>#N/A</v>
      </c>
      <c r="JT320" s="532" t="str">
        <f t="shared" si="922"/>
        <v xml:space="preserve"> </v>
      </c>
      <c r="JU320" s="532" t="str">
        <f t="shared" si="923"/>
        <v xml:space="preserve"> </v>
      </c>
      <c r="JV320" s="533" t="str">
        <f t="shared" si="924"/>
        <v xml:space="preserve"> </v>
      </c>
      <c r="JW320" s="534">
        <f t="shared" si="925"/>
        <v>0</v>
      </c>
      <c r="JX320" s="535" t="str">
        <f t="shared" si="1009"/>
        <v xml:space="preserve"> </v>
      </c>
      <c r="JY320" s="535" t="str">
        <f t="shared" si="1010"/>
        <v xml:space="preserve"> </v>
      </c>
      <c r="JZ320" s="535" t="str">
        <f t="shared" si="1011"/>
        <v xml:space="preserve"> </v>
      </c>
      <c r="KA320" s="536" t="str">
        <f t="shared" si="926"/>
        <v xml:space="preserve"> </v>
      </c>
      <c r="KB320" s="535" t="e">
        <f t="shared" si="1012"/>
        <v>#VALUE!</v>
      </c>
      <c r="KC320" s="535" t="str">
        <f t="shared" si="927"/>
        <v/>
      </c>
      <c r="KD320" s="537" t="str">
        <f t="shared" si="1013"/>
        <v xml:space="preserve"> </v>
      </c>
      <c r="KE320" s="537" t="str">
        <f t="shared" si="1014"/>
        <v xml:space="preserve"> </v>
      </c>
      <c r="KF320" s="534">
        <f t="shared" si="928"/>
        <v>0</v>
      </c>
      <c r="KG320" s="535" t="str">
        <f t="shared" si="929"/>
        <v xml:space="preserve"> </v>
      </c>
      <c r="KH320" s="535" t="str">
        <f t="shared" si="930"/>
        <v xml:space="preserve"> </v>
      </c>
      <c r="KI320" s="535" t="str">
        <f t="shared" si="931"/>
        <v xml:space="preserve"> </v>
      </c>
      <c r="KJ320" s="536" t="str">
        <f t="shared" si="932"/>
        <v xml:space="preserve"> </v>
      </c>
      <c r="KK320" s="535" t="str">
        <f t="shared" si="1015"/>
        <v xml:space="preserve"> </v>
      </c>
      <c r="KL320" s="535" t="str">
        <f t="shared" si="1016"/>
        <v xml:space="preserve"> </v>
      </c>
      <c r="KM320" s="537" t="str">
        <f t="shared" si="933"/>
        <v xml:space="preserve"> </v>
      </c>
      <c r="KN320" s="537" t="str">
        <f t="shared" si="1017"/>
        <v xml:space="preserve"> </v>
      </c>
      <c r="KP320">
        <f t="shared" si="934"/>
        <v>0</v>
      </c>
      <c r="LA320" t="e">
        <f t="shared" si="935"/>
        <v>#VALUE!</v>
      </c>
      <c r="LB320" t="e">
        <f t="shared" si="936"/>
        <v>#VALUE!</v>
      </c>
      <c r="LC320" t="e">
        <f t="shared" si="937"/>
        <v>#VALUE!</v>
      </c>
      <c r="LD320" t="e">
        <f t="shared" si="938"/>
        <v>#VALUE!</v>
      </c>
      <c r="LE320" t="e">
        <f t="shared" si="1018"/>
        <v>#VALUE!</v>
      </c>
      <c r="LF320">
        <f t="shared" si="939"/>
        <v>0</v>
      </c>
      <c r="LG320" t="e">
        <f t="shared" si="1019"/>
        <v>#VALUE!</v>
      </c>
      <c r="LH320" t="str">
        <f t="shared" si="940"/>
        <v xml:space="preserve"> </v>
      </c>
      <c r="LI320">
        <f t="shared" si="1020"/>
        <v>1</v>
      </c>
    </row>
    <row r="321" spans="2:321" ht="15" customHeight="1">
      <c r="B321" s="311"/>
      <c r="C321" s="311"/>
      <c r="D321" s="312"/>
      <c r="E321" s="311"/>
      <c r="F321" s="312"/>
      <c r="G321" s="311"/>
      <c r="H321" s="311"/>
      <c r="I321" s="232"/>
      <c r="J321" s="311"/>
      <c r="K321" s="305" t="str">
        <f t="shared" si="941"/>
        <v/>
      </c>
      <c r="L321" s="313"/>
      <c r="M321" s="312"/>
      <c r="N321" s="311"/>
      <c r="O321" s="312"/>
      <c r="P321" s="311"/>
      <c r="Q321" s="305" t="str">
        <f t="shared" si="942"/>
        <v/>
      </c>
      <c r="R321" s="314"/>
      <c r="S321" s="450" t="str">
        <f t="shared" si="825"/>
        <v/>
      </c>
      <c r="T321" s="315"/>
      <c r="U321" s="315"/>
      <c r="W321" s="149" t="str">
        <f t="shared" si="826"/>
        <v xml:space="preserve"> </v>
      </c>
      <c r="X321" s="243" t="str">
        <f t="shared" si="827"/>
        <v xml:space="preserve"> </v>
      </c>
      <c r="Y321" s="150" t="str">
        <f t="shared" si="828"/>
        <v/>
      </c>
      <c r="Z321" s="149" t="str">
        <f t="shared" si="829"/>
        <v xml:space="preserve"> </v>
      </c>
      <c r="AA321" s="98" t="str">
        <f t="shared" si="830"/>
        <v xml:space="preserve"> </v>
      </c>
      <c r="AB321" s="153" t="str">
        <f t="shared" si="831"/>
        <v xml:space="preserve"> </v>
      </c>
      <c r="AC321" s="153" t="str">
        <f t="shared" si="832"/>
        <v xml:space="preserve"> </v>
      </c>
      <c r="AD321" s="148" t="str">
        <f t="shared" si="833"/>
        <v/>
      </c>
      <c r="AE321" s="149" t="str">
        <f t="shared" si="834"/>
        <v/>
      </c>
      <c r="AF321" s="151" t="str">
        <f t="shared" si="835"/>
        <v xml:space="preserve"> </v>
      </c>
      <c r="AG321" s="153" t="str">
        <f t="shared" si="836"/>
        <v xml:space="preserve"> </v>
      </c>
      <c r="AH321" s="98" t="str">
        <f t="shared" si="837"/>
        <v xml:space="preserve"> </v>
      </c>
      <c r="AI321" s="149" t="str">
        <f t="shared" si="838"/>
        <v xml:space="preserve"> </v>
      </c>
      <c r="AK321" s="144" t="str">
        <f t="shared" si="839"/>
        <v xml:space="preserve"> </v>
      </c>
      <c r="AL321" s="144"/>
      <c r="AM321" s="243" t="str">
        <f t="shared" si="840"/>
        <v xml:space="preserve"> </v>
      </c>
      <c r="AN321" s="149" t="str">
        <f t="shared" si="943"/>
        <v xml:space="preserve"> </v>
      </c>
      <c r="AO321" s="144" t="str">
        <f>IF(JB321&gt;0,IF(GI321=10,-R321*1.085*(Calculation!$F$6-Calculation!$F$13)*$S$14," "),"")</f>
        <v/>
      </c>
      <c r="AP321" s="144" t="str">
        <f t="shared" si="841"/>
        <v/>
      </c>
      <c r="AQ321" s="56" t="str">
        <f t="shared" si="842"/>
        <v/>
      </c>
      <c r="AR321" s="144" t="str">
        <f t="shared" si="843"/>
        <v/>
      </c>
      <c r="AS321" s="176" t="str">
        <f t="shared" si="844"/>
        <v/>
      </c>
      <c r="AT321" s="176" t="str">
        <f t="shared" si="944"/>
        <v xml:space="preserve"> </v>
      </c>
      <c r="AU321" s="176" t="str">
        <f t="shared" si="845"/>
        <v/>
      </c>
      <c r="AV321" s="177" t="str">
        <f t="shared" si="846"/>
        <v xml:space="preserve"> </v>
      </c>
      <c r="AW321" s="144" t="str">
        <f t="shared" si="847"/>
        <v xml:space="preserve"> </v>
      </c>
      <c r="AX321" s="144" t="str">
        <f t="shared" si="848"/>
        <v xml:space="preserve"> </v>
      </c>
      <c r="AY321" s="152" t="str">
        <f t="shared" si="849"/>
        <v xml:space="preserve"> </v>
      </c>
      <c r="AZ321" s="246" t="str">
        <f t="shared" si="850"/>
        <v/>
      </c>
      <c r="BA321" s="176" t="str">
        <f t="shared" si="851"/>
        <v xml:space="preserve"> </v>
      </c>
      <c r="BB321" s="176" t="str">
        <f t="shared" si="852"/>
        <v xml:space="preserve"> </v>
      </c>
      <c r="BC321" s="195"/>
      <c r="BD321" s="316"/>
      <c r="BE321" s="317"/>
      <c r="BF321" s="318"/>
      <c r="BG321" s="318"/>
      <c r="BH321" s="144" t="str">
        <f t="shared" si="1021"/>
        <v xml:space="preserve"> </v>
      </c>
      <c r="BI321" s="176" t="str">
        <f t="shared" si="853"/>
        <v/>
      </c>
      <c r="BJ321" s="144" t="str">
        <f t="shared" si="1022"/>
        <v/>
      </c>
      <c r="BK321" s="246" t="str">
        <f t="shared" si="854"/>
        <v/>
      </c>
      <c r="BL321" s="144" t="str">
        <f t="shared" si="1023"/>
        <v/>
      </c>
      <c r="BM321" s="246" t="str">
        <f t="shared" si="855"/>
        <v/>
      </c>
      <c r="BN321" s="337" t="str">
        <f t="shared" si="945"/>
        <v/>
      </c>
      <c r="BO321" s="371" t="str">
        <f t="shared" si="946"/>
        <v/>
      </c>
      <c r="BP321" s="328" t="str">
        <f t="shared" si="1024"/>
        <v xml:space="preserve"> </v>
      </c>
      <c r="BQ321" s="347" t="str">
        <f t="shared" si="947"/>
        <v xml:space="preserve"> </v>
      </c>
      <c r="BR321" s="353" t="str">
        <f t="shared" si="948"/>
        <v xml:space="preserve"> </v>
      </c>
      <c r="BS321" s="626" t="str">
        <f>IF(L321&gt;0,IF(Calculation!P321="M13",BR321*3.1416*(0.134^2)/(4*144),IF(Calculation!P321="M17",BR321*3.1416*(0.165^2)/(4*144),IF(Calculation!P321="M20",BR321*3.1416*(0.198^2)/(4*144),IF(Calculation!P321="M23",BR321*3.1416*(0.228^2)/(4*144),IF(Calculation!P321="M27",BR321*3.1416*(0.269^2)/(4*144),BR321*3.1416*(0.307^2)/(4*144))))))," ")</f>
        <v xml:space="preserve"> </v>
      </c>
      <c r="BT321" s="353" t="str">
        <f>IF(L321&gt;0,IF(BS321&gt;0,R321/Calculation!BS321,0)," ")</f>
        <v xml:space="preserve"> </v>
      </c>
      <c r="BU321" s="438" t="e">
        <f t="shared" ca="1" si="856"/>
        <v>#VALUE!</v>
      </c>
      <c r="BV321" s="449" t="e">
        <f ca="1">INDEX(INDIRECT(VLOOKUP(LEFT(BO321,7),CLU!$Z$3:$AH$18,2)),GN321,GR321)</f>
        <v>#N/A</v>
      </c>
      <c r="BW321" s="433" t="e">
        <f ca="1">INDEX(INDIRECT(VLOOKUP(LEFT(BO321,7),CLU!$Z$3:$AH$18,3)),GN321,GR321)</f>
        <v>#N/A</v>
      </c>
      <c r="BX321" s="433" t="e">
        <f ca="1">INDEX(INDIRECT(VLOOKUP(LEFT(BO321,7),CLU!$Z$3:$AH$18,4)),GN321,GR321)</f>
        <v>#N/A</v>
      </c>
      <c r="BY321" s="433" t="e">
        <f ca="1">INDEX(INDIRECT(VLOOKUP(LEFT(BO321,7),CLU!$Z$3:$AH$18,9)),((M321-2)*(6-COUNTBLANK(GT321:GY321)))+GJ321)</f>
        <v>#N/A</v>
      </c>
      <c r="BZ321" s="426" t="e">
        <f t="shared" ca="1" si="949"/>
        <v>#N/A</v>
      </c>
      <c r="CA321" s="424" t="e">
        <f t="shared" ca="1" si="950"/>
        <v>#N/A</v>
      </c>
      <c r="CB321" s="429" t="e">
        <f ca="1">INDEX(INDIRECT(VLOOKUP(LEFT(BO321,7),CLU!$Z$3:$AH$18,2)),GN321,GS321)</f>
        <v>#N/A</v>
      </c>
      <c r="CC321" s="342" t="e">
        <f ca="1">INDEX(INDIRECT(VLOOKUP(LEFT(BO321,7),CLU!$Z$3:$AH$18,3)),GN321,GS321)</f>
        <v>#N/A</v>
      </c>
      <c r="CD321" s="342" t="e">
        <f ca="1">INDEX(INDIRECT(VLOOKUP(LEFT(BO321,7),CLU!$Z$3:$AH$18,4)),GN321,GS321)</f>
        <v>#N/A</v>
      </c>
      <c r="CE321" s="426" t="e">
        <f t="shared" ca="1" si="951"/>
        <v>#N/A</v>
      </c>
      <c r="CF321" s="440">
        <f t="shared" si="952"/>
        <v>0</v>
      </c>
      <c r="CG321" s="431" t="e">
        <f ca="1">INDEX(INDIRECT(VLOOKUP(LEFT(BO321,7),CLU!$Z$3:$AH$18,2)),GQ321,GR321)</f>
        <v>#N/A</v>
      </c>
      <c r="CH321" s="431" t="e">
        <f ca="1">INDEX(INDIRECT(VLOOKUP(LEFT(BO321,7),CLU!$Z$3:$AH$18,3)),GQ321,GR321)</f>
        <v>#N/A</v>
      </c>
      <c r="CI321" s="431" t="e">
        <f ca="1">INDEX(INDIRECT(VLOOKUP(LEFT(BO321,7),CLU!$Z$3:$AH$18,4)),GQ321,GR321)</f>
        <v>#N/A</v>
      </c>
      <c r="CJ321" s="448" t="e">
        <f t="shared" ca="1" si="953"/>
        <v>#N/A</v>
      </c>
      <c r="CK321" s="431" t="e">
        <f t="shared" ca="1" si="954"/>
        <v>#N/A</v>
      </c>
      <c r="CL321" s="440" t="e">
        <f t="shared" ca="1" si="955"/>
        <v>#N/A</v>
      </c>
      <c r="CM321" s="431" t="e">
        <f ca="1">INDEX(INDIRECT(VLOOKUP(LEFT(BO321,7),CLU!$Z$3:$AH$18,2)),GQ321,GS321)</f>
        <v>#N/A</v>
      </c>
      <c r="CN321" s="431" t="e">
        <f ca="1">INDEX(INDIRECT(VLOOKUP(LEFT(BO321,7),CLU!$Z$3:$AH$18,3)),GQ321,GS321)</f>
        <v>#N/A</v>
      </c>
      <c r="CO321" s="431" t="e">
        <f ca="1">INDEX(INDIRECT(VLOOKUP(LEFT(BO321,7),CLU!$Z$3:$AH$18,4)),GQ321,GS321)</f>
        <v>#N/A</v>
      </c>
      <c r="CP321" s="431" t="e">
        <f t="shared" ca="1" si="956"/>
        <v>#N/A</v>
      </c>
      <c r="CQ321" s="440">
        <f t="shared" si="957"/>
        <v>0</v>
      </c>
      <c r="CR321" s="51" t="e">
        <f t="shared" ca="1" si="958"/>
        <v>#N/A</v>
      </c>
      <c r="CS321" s="439" t="e">
        <f t="shared" ca="1" si="959"/>
        <v>#VALUE!</v>
      </c>
      <c r="CT321" s="51" t="e">
        <f t="shared" ca="1" si="960"/>
        <v>#VALUE!</v>
      </c>
      <c r="CU321" s="10"/>
      <c r="CV321" s="51" t="e">
        <f t="shared" ca="1" si="857"/>
        <v>#VALUE!</v>
      </c>
      <c r="CW321" s="51">
        <f t="shared" si="961"/>
        <v>0</v>
      </c>
      <c r="CX321" s="439" t="e">
        <f t="shared" ca="1" si="962"/>
        <v>#VALUE!</v>
      </c>
      <c r="CY321" s="51" t="e">
        <f t="shared" ca="1" si="963"/>
        <v>#VALUE!</v>
      </c>
      <c r="CZ321" s="10"/>
      <c r="DA321" s="51" t="e">
        <f t="shared" ca="1" si="964"/>
        <v>#VALUE!</v>
      </c>
      <c r="DB321" s="347" t="e">
        <f ca="1">INDEX(INDIRECT(VLOOKUP(LEFT(BO321,7),CLU!$Z$3:$AI$18,10)),((M321-2)*(6-COUNTBLANK(GT321:GY321)))+GJ321)*LI321</f>
        <v>#N/A</v>
      </c>
      <c r="DC321" s="347" t="str">
        <f>IF(L321&gt;0,((R321/Worksheet!$I$15)/DB321)^2," ")</f>
        <v xml:space="preserve"> </v>
      </c>
      <c r="DD321" s="602" t="str">
        <f t="shared" si="965"/>
        <v xml:space="preserve"> </v>
      </c>
      <c r="DE321" s="347" t="str">
        <f t="shared" si="858"/>
        <v xml:space="preserve"> </v>
      </c>
      <c r="DF321" s="356" t="e">
        <f ca="1">INDEX(INDIRECT(VLOOKUP(LEFT(BO321,7),CLU!$Z$3:$AH$18,8)),((M321-2)*(6-COUNTBLANK(GT321:GY321)))+GJ321)</f>
        <v>#N/A</v>
      </c>
      <c r="DG321" s="347" t="str">
        <f t="shared" si="859"/>
        <v xml:space="preserve"> </v>
      </c>
      <c r="DH321" s="357" t="str">
        <f t="shared" si="860"/>
        <v xml:space="preserve"> </v>
      </c>
      <c r="DI321" s="355" t="str">
        <f t="shared" si="861"/>
        <v xml:space="preserve"> </v>
      </c>
      <c r="DJ321" s="245" t="e">
        <f ca="1">INDEX(INDIRECT(VLOOKUP(LEFT(BO321,7),CLU!$Z$3:$AH$18,5)),GL321,GK321)</f>
        <v>#N/A</v>
      </c>
      <c r="DK321" s="245" t="e">
        <f ca="1">INDEX(INDIRECT(VLOOKUP(LEFT(BO321,7),CLU!$Z$3:$AH$18,6)),GL321,GK321)</f>
        <v>#N/A</v>
      </c>
      <c r="DL321" s="355">
        <f>(Calculation!R321*0.69143*(Calculation!$BQ$8-Calculation!$F$8))*$S$14</f>
        <v>0</v>
      </c>
      <c r="DM321" s="359" t="e">
        <f t="shared" si="966"/>
        <v>#VALUE!</v>
      </c>
      <c r="DN321" s="611">
        <f t="shared" si="967"/>
        <v>0</v>
      </c>
      <c r="DO321" s="359">
        <f t="shared" si="968"/>
        <v>100</v>
      </c>
      <c r="DP321" s="359">
        <f t="shared" si="969"/>
        <v>0</v>
      </c>
      <c r="DQ321" s="360"/>
      <c r="DR321" s="245" t="e">
        <f ca="1">INDEX(INDIRECT(VLOOKUP(LEFT(BO321,7),CLU!$Z$3:$AH$18,7)),M321-1,1)</f>
        <v>#N/A</v>
      </c>
      <c r="DS321" s="245" t="e">
        <f ca="1">INDEX(INDIRECT(VLOOKUP(LEFT(BO321,7),CLU!$Z$3:$AH$18,7)),M321-1,2)</f>
        <v>#N/A</v>
      </c>
      <c r="DT321" s="245" t="e">
        <f ca="1">INDEX(INDIRECT(VLOOKUP(LEFT(BO321,7),CLU!$Z$3:$AH$18,7)),M321-1,3)</f>
        <v>#N/A</v>
      </c>
      <c r="DU321" s="245" t="e">
        <f ca="1">INDEX(INDIRECT(VLOOKUP(LEFT(BO321,7),CLU!$Z$3:$AH$18,7)),M321-1,4)</f>
        <v>#N/A</v>
      </c>
      <c r="DV321" s="361" t="e">
        <f ca="1">INDEX(INDIRECT(VLOOKUP(LEFT(BO321,7),CLU!$Z$3:$AH$18,7)),M321-1,4+LEFT(DZ321,1)*0.5)</f>
        <v>#N/A</v>
      </c>
      <c r="DW321" s="245" t="e">
        <f ca="1">INDEX(INDIRECT(VLOOKUP(LEFT(BO321,7),CLU!$Z$3:$AH$18,7)),M321-1,8)</f>
        <v>#N/A</v>
      </c>
      <c r="DX321" s="361" t="str">
        <f t="shared" si="862"/>
        <v xml:space="preserve"> </v>
      </c>
      <c r="DY321" s="361" t="str">
        <f t="shared" si="863"/>
        <v xml:space="preserve"> </v>
      </c>
      <c r="DZ321" s="361" t="str">
        <f t="shared" si="864"/>
        <v xml:space="preserve"> </v>
      </c>
      <c r="EA321" s="362" t="str">
        <f t="shared" si="865"/>
        <v xml:space="preserve"> </v>
      </c>
      <c r="EB321" s="624" t="str">
        <f t="shared" si="970"/>
        <v xml:space="preserve"> </v>
      </c>
      <c r="EC321" s="361" t="e">
        <f ca="1">INDEX(INDIRECT(VLOOKUP(LEFT(BO321,7),CLU!$Z$3:$AH$18,7)),M321-1,4+LEFT(DZ321,1)*0.5)</f>
        <v>#N/A</v>
      </c>
      <c r="ED321" s="362" t="str">
        <f t="shared" si="866"/>
        <v xml:space="preserve"> </v>
      </c>
      <c r="EE321" s="361" t="str">
        <f t="shared" si="867"/>
        <v xml:space="preserve"> </v>
      </c>
      <c r="EF321" s="362" t="str">
        <f>IF(L321&gt;0,IF(BR321&gt;0,IF(EE321="2P",IF(Calculation!DZ321="2P",IF(Calculation!DS321=13.75,IF(Calculation!DR321=13,Worksheet!$BD$43,IF(Calculation!DR321=37,Worksheet!$BD$44,Worksheet!$BD$45)),IF(Calculation!DS321=10,IF(Calculation!DR321=18,Worksheet!$BD$29,IF(Calculation!DR321=30,Worksheet!$BD$30,IF(Calculation!DR321=42,Worksheet!$BD$31,IF(Calculation!DR321=54,Worksheet!$BD$32,IF(Calculation!DR321=66,Worksheet!$BD$33,IF(Calculation!DR321=78,Worksheet!$BD$34,IF(Calculation!DR321=90,Worksheet!$BD$35,IF(Calculation!DR321=102,Worksheet!$BD$36,Worksheet!$BD$37)))))))),IF(Calculation!DS321=12.5,IF(Calculation!DR321=18,Worksheet!$BD$38,IF(Calculation!DR321=Worksheet!$BD$39,IF(Calculation!DR321=42,Worksheet!$BD$40,IF(Calculation!DR321=54,Worksheet!$BD$41,Worksheet!$BD$42)))),IF(Calculation!DR321=18,Worksheet!$BD$11,IF(Calculation!DR321=30,Worksheet!$BD$12,IF(Calculation!DR321=42,Worksheet!$BD$13,IF(Calculation!DR321=54,Worksheet!$BD$14,IF(Calculation!DR321=66,Worksheet!$BD$15,IF(Calculation!DR321=78,Worksheet!$BD$16,IF(Calculation!DR321=90,Worksheet!$BD$17,IF(Calculation!DR321=102,Worksheet!$BD$18,Worksheet!$BD$19))))))))))),IF(Calculation!DS321=13.75,IF(Calculation!DR321=13,Worksheet!$BD$78,IF(Calculation!DR321=37,Worksheet!$BD$79,Worksheet!$BD$80)),IF(Calculation!DS321=10,IF(Calculation!DR321=18,Worksheet!$BD$64,IF(Calculation!DR321=30,Worksheet!$BD$65,IF(Calculation!DR321=42,Worksheet!$BD$66,IF(Calculation!DR321=54,Worksheet!$BD$68,IF(Calculation!DR321=66,Worksheet!$BD$68,IF(Calculation!DR321=78,Worksheet!$BD$69,IF(Calculation!DR321=90,Worksheet!$BD$70,IF(Calculation!DR321=102,Worksheet!$BD$71,Worksheet!$BD$72)))))))),IF(Calculation!DS321=12.5,IF(Calculation!DR321=18,Worksheet!$BD$73,IF(Calculation!DR321=Worksheet!$BD$74,IF(Calculation!DR321=42,Worksheet!$BD$75,IF(Calculation!DR321=54,Worksheet!$BD$76,Worksheet!$BD$77)))),IF(Calculation!DR321=18,Worksheet!$BD$55,IF(Calculation!DR321=30,Worksheet!$BD$56,IF(Calculation!DR321=42,Worksheet!$BD$57,IF(Calculation!DR321=54,Worksheet!$BD$58,IF(Calculation!DR321=66,Worksheet!$BD$59,IF(Calculation!DR321=78,Worksheet!$BD$60,IF(Calculation!DR321=90,Worksheet!$BD$61,IF(Calculation!DR321=102,Worksheet!$BD$62,Worksheet!$BD$63)))))))))))),5),0)," ")</f>
        <v xml:space="preserve"> </v>
      </c>
      <c r="EG321" s="361" t="str">
        <f t="shared" si="868"/>
        <v xml:space="preserve"> </v>
      </c>
      <c r="EH321" s="361" t="e">
        <f ca="1">INDEX(INDIRECT(VLOOKUP(LEFT(BO321,7),CLU!$Z$3:$AH$18,7)),M321-1,3+LEFT(DZ321,1))</f>
        <v>#N/A</v>
      </c>
      <c r="EI321" s="362" t="str">
        <f t="shared" si="869"/>
        <v xml:space="preserve"> </v>
      </c>
      <c r="EJ321" s="363" t="str">
        <f t="shared" si="870"/>
        <v xml:space="preserve"> </v>
      </c>
      <c r="EK321" s="363" t="str">
        <f t="shared" si="871"/>
        <v xml:space="preserve"> </v>
      </c>
      <c r="EL321" s="363" t="str">
        <f t="shared" si="872"/>
        <v xml:space="preserve"> </v>
      </c>
      <c r="EM321" s="362" t="str">
        <f>IF(L321&gt;0,IF(BR321&gt;0,(Calculation!T321/ED321)^2,0)," ")</f>
        <v xml:space="preserve"> </v>
      </c>
      <c r="EN321" s="362" t="str">
        <f>IF(L321&gt;0,IF(O321="2 Pipe (Cooling)","N/A",IF(BR321&gt;0,(Calculation!U321/EI321)^2,0))," ")</f>
        <v xml:space="preserve"> </v>
      </c>
      <c r="EO321" s="361" t="str">
        <f t="shared" si="873"/>
        <v/>
      </c>
      <c r="EP321" s="361" t="str">
        <f t="shared" si="874"/>
        <v/>
      </c>
      <c r="EQ321" s="361" t="str">
        <f t="shared" si="875"/>
        <v/>
      </c>
      <c r="ER321" s="361" t="str">
        <f t="shared" si="876"/>
        <v/>
      </c>
      <c r="ES321" s="361" t="str">
        <f t="shared" si="877"/>
        <v/>
      </c>
      <c r="ET321" s="361" t="str">
        <f t="shared" si="878"/>
        <v/>
      </c>
      <c r="EU321" s="361" t="str">
        <f t="shared" si="879"/>
        <v/>
      </c>
      <c r="EV321" s="361" t="str">
        <f t="shared" si="880"/>
        <v/>
      </c>
      <c r="EW321" s="361" t="str">
        <f t="shared" si="881"/>
        <v/>
      </c>
      <c r="EX321" s="361" t="str">
        <f t="shared" si="971"/>
        <v>1 slot, 1 way</v>
      </c>
      <c r="EY321" s="361" t="str">
        <f t="shared" si="972"/>
        <v xml:space="preserve"> </v>
      </c>
      <c r="EZ321" s="361" t="str">
        <f t="shared" si="973"/>
        <v xml:space="preserve"> </v>
      </c>
      <c r="FA321" s="361" t="str">
        <f t="shared" si="974"/>
        <v xml:space="preserve"> </v>
      </c>
      <c r="FB321" s="361" t="str">
        <f t="shared" si="975"/>
        <v xml:space="preserve"> </v>
      </c>
      <c r="FC321" s="361"/>
      <c r="FD321" s="361" t="str">
        <f>IF(J321&gt;0,IF(Calculation!R321&lt;=70,4,IF(Calculation!R321&lt;=110,5,IF(Calculation!R321&lt;=160,6,IF(Calculation!R321&lt;=300,8,"10 EO")))),"")</f>
        <v/>
      </c>
      <c r="FE321" s="361" t="str">
        <f t="shared" si="976"/>
        <v/>
      </c>
      <c r="FF321" s="361" t="str">
        <f t="shared" si="977"/>
        <v/>
      </c>
      <c r="FG321" s="361" t="e">
        <f t="shared" si="882"/>
        <v>#N/A</v>
      </c>
      <c r="FH321" s="361">
        <f t="shared" si="883"/>
        <v>0</v>
      </c>
      <c r="FI321" s="361" t="e">
        <f t="shared" si="884"/>
        <v>#DIV/0!</v>
      </c>
      <c r="FJ321" s="361"/>
      <c r="FK321" s="356" t="e">
        <f t="shared" si="885"/>
        <v>#VALUE!</v>
      </c>
      <c r="FL321" s="361"/>
      <c r="FM321" s="361"/>
      <c r="FN321" s="362" t="str">
        <f t="shared" si="978"/>
        <v xml:space="preserve"> </v>
      </c>
      <c r="FO321" s="362" t="str">
        <f t="shared" si="979"/>
        <v xml:space="preserve"> </v>
      </c>
      <c r="FP321" s="362">
        <f t="shared" si="980"/>
        <v>0</v>
      </c>
      <c r="FQ321" s="361">
        <f t="shared" si="886"/>
        <v>0</v>
      </c>
      <c r="FR321" s="362" t="str">
        <f>IF(L321&gt;0,IF(J321="CBAL2",Worksheet!$P$67,IF(J321="CBE2-24",Worksheet!$Q$67,IF(J321="CBAM",Worksheet!$R$67,IF(J321="CBLV",Worksheet!$S$67,IF(J321="CBAB",Worksheet!$U$67,IF(J321="CBAW",Worksheet!$X$67,IF(J321="CBE2-12",Worksheet!$Y$67,IF(J321="CBAL2",Worksheet!$Z$67,"N/A"))))))))," ")</f>
        <v xml:space="preserve"> </v>
      </c>
      <c r="FS321" s="362" t="str">
        <f>IF(L321&gt;0,IF(J321="CBAL2",Worksheet!$P$68,IF(J321="CBE2-24",Worksheet!$Q$68,IF(J321="CBAM",Worksheet!$R$68,IF(J321="CBLV",Worksheet!$S$68,IF(J321="CBAB",Worksheet!$U$68,IF(J321="CBAW",Worksheet!$X$68,IF(J321="CBE2-12",Worksheet!$Y$68,IF(J321="CBAL2",Worksheet!$Z$68,"N/A"))))))))," ")</f>
        <v xml:space="preserve"> </v>
      </c>
      <c r="FT321" s="362" t="str">
        <f>IF(L321&gt;0,IF(J321="CBAL2",Worksheet!$P$69,IF(J321="CBE2-24",Worksheet!$Q$69,IF(J321="CBAM",Worksheet!$R$69,IF(J321="CBLV",Worksheet!$S$69,IF(J321="CBAB",Worksheet!$U$69,IF(J321="CBAW",Worksheet!$X$69,IF(J321="CBE2-12",Worksheet!$Y$69,IF(J321="CBAL2",Worksheet!$Z$69,"N/A"))))))))," ")</f>
        <v xml:space="preserve"> </v>
      </c>
      <c r="FU321" s="361" t="str">
        <f t="shared" si="981"/>
        <v xml:space="preserve"> </v>
      </c>
      <c r="FV321" s="362" t="str">
        <f t="shared" si="982"/>
        <v xml:space="preserve"> </v>
      </c>
      <c r="FW321" s="362" t="str">
        <f t="shared" si="983"/>
        <v xml:space="preserve"> </v>
      </c>
      <c r="FX321" s="362" t="str">
        <f t="shared" si="984"/>
        <v xml:space="preserve"> </v>
      </c>
      <c r="FY321" s="355" t="str">
        <f t="shared" si="985"/>
        <v xml:space="preserve"> </v>
      </c>
      <c r="FZ321" s="361" t="str">
        <f t="shared" si="986"/>
        <v xml:space="preserve"> </v>
      </c>
      <c r="GA321" s="347" t="str">
        <f t="shared" si="987"/>
        <v xml:space="preserve"> </v>
      </c>
      <c r="GB321" s="355" t="str">
        <f t="shared" si="988"/>
        <v xml:space="preserve"> </v>
      </c>
      <c r="GC321" s="328" t="str">
        <f t="shared" si="989"/>
        <v xml:space="preserve"> </v>
      </c>
      <c r="GD321" s="361" t="str">
        <f t="shared" si="990"/>
        <v xml:space="preserve"> </v>
      </c>
      <c r="GE321" s="347" t="str">
        <f t="shared" si="991"/>
        <v xml:space="preserve"> </v>
      </c>
      <c r="GF321" s="361" t="str">
        <f t="shared" si="992"/>
        <v xml:space="preserve"> </v>
      </c>
      <c r="GG321" s="347" t="str">
        <f t="shared" si="993"/>
        <v xml:space="preserve"> </v>
      </c>
      <c r="GH321" s="364">
        <f t="shared" si="887"/>
        <v>0</v>
      </c>
      <c r="GI321" s="362">
        <f t="shared" si="994"/>
        <v>2</v>
      </c>
      <c r="GJ321" s="433" t="e">
        <f>IF(6-COUNTBLANK(GT321:GY321)=4,MATCH(MID(BO321,9,3),CLU!$H$16:$K$16),MATCH(MID(BO321,9,3),CLU!$H$13:$M$13))</f>
        <v>#N/A</v>
      </c>
      <c r="GK321" s="433" t="e">
        <f>HLOOKUP(VALUE(BP321),CLU!$H$9:$M$10,2)</f>
        <v>#VALUE!</v>
      </c>
      <c r="GL321" s="433" t="e">
        <f ca="1">MATCH(BU321,CLU!$H$2:$V$2,1)</f>
        <v>#VALUE!</v>
      </c>
      <c r="GM321" s="433" t="e">
        <f t="shared" ca="1" si="995"/>
        <v>#VALUE!</v>
      </c>
      <c r="GN321" s="433" t="e">
        <f t="shared" ca="1" si="996"/>
        <v>#VALUE!</v>
      </c>
      <c r="GO321" s="433" t="e">
        <f t="shared" ca="1" si="997"/>
        <v>#VALUE!</v>
      </c>
      <c r="GP321" s="433" t="e">
        <f t="shared" ca="1" si="998"/>
        <v>#VALUE!</v>
      </c>
      <c r="GQ321" s="433" t="e">
        <f t="shared" ca="1" si="999"/>
        <v>#VALUE!</v>
      </c>
      <c r="GR321" s="433" t="e">
        <f ca="1">MATCH(T321,INDIRECT(VLOOKUP(CONCATENATE(LEFT(BO321,7),"-",MID(BO321,13,1)),CLU!$P$3:$Q$16,2)),1)</f>
        <v>#N/A</v>
      </c>
      <c r="GS321" s="433" t="e">
        <f ca="1">MATCH(U321,INDIRECT(VLOOKUP(CONCATENATE(LEFT(BO321,7),"-",MID(BO321,13,1)),CLU!$P$3:$Q$16,2)),1)</f>
        <v>#N/A</v>
      </c>
      <c r="GT321" s="347" t="s">
        <v>512</v>
      </c>
      <c r="GU321" s="97" t="s">
        <v>513</v>
      </c>
      <c r="GV321" s="97" t="str">
        <f t="shared" si="1000"/>
        <v>M23</v>
      </c>
      <c r="GW321" s="97" t="str">
        <f t="shared" si="1001"/>
        <v>M31</v>
      </c>
      <c r="GX321" s="97" t="str">
        <f t="shared" si="1002"/>
        <v/>
      </c>
      <c r="GY321" s="97" t="str">
        <f t="shared" si="1003"/>
        <v/>
      </c>
      <c r="GZ321" s="481"/>
      <c r="HA321" s="240"/>
      <c r="HB321" s="240"/>
      <c r="HC321" s="240"/>
      <c r="HD321" s="240"/>
      <c r="HE321" s="240"/>
      <c r="HF321" s="240"/>
      <c r="HG321" s="240"/>
      <c r="HH321" s="240"/>
      <c r="HI321" s="240"/>
      <c r="HJ321" s="240"/>
      <c r="HK321" s="240"/>
      <c r="HL321" s="240"/>
      <c r="HM321" s="240"/>
      <c r="HN321" s="240"/>
      <c r="HO321" s="240"/>
      <c r="HP321" s="240"/>
      <c r="HQ321" s="240"/>
      <c r="HR321" s="240"/>
      <c r="HS321" s="240"/>
      <c r="HT321" s="240"/>
      <c r="HU321" s="240"/>
      <c r="HV321" s="245"/>
      <c r="HW321" s="245" t="b">
        <v>1</v>
      </c>
      <c r="HX321" s="245" t="str">
        <f t="shared" si="888"/>
        <v/>
      </c>
      <c r="HY321" s="245" t="e">
        <f t="shared" si="889"/>
        <v>#DIV/0!</v>
      </c>
      <c r="HZ321" s="245" t="e">
        <f t="shared" si="890"/>
        <v>#DIV/0!</v>
      </c>
      <c r="IA321" s="245">
        <f t="shared" si="891"/>
        <v>0</v>
      </c>
      <c r="IB321" s="245"/>
      <c r="IC321" t="b">
        <f t="shared" si="892"/>
        <v>1</v>
      </c>
      <c r="ID321" s="245" t="b">
        <f t="shared" si="893"/>
        <v>1</v>
      </c>
      <c r="IE321" s="245" t="b">
        <f t="shared" si="894"/>
        <v>1</v>
      </c>
      <c r="IF321" s="245" t="b">
        <f t="shared" si="895"/>
        <v>0</v>
      </c>
      <c r="IG321" s="245" t="b">
        <f t="shared" si="896"/>
        <v>1</v>
      </c>
      <c r="IH321" s="245" t="b">
        <f t="shared" si="897"/>
        <v>1</v>
      </c>
      <c r="II321" s="245">
        <f t="shared" si="1004"/>
        <v>0</v>
      </c>
      <c r="IJ321" s="245" t="e">
        <f t="shared" si="898"/>
        <v>#VALUE!</v>
      </c>
      <c r="IK321" s="245" t="e">
        <f t="shared" si="899"/>
        <v>#VALUE!</v>
      </c>
      <c r="IL321" s="245"/>
      <c r="IM321" s="245" t="e">
        <f t="shared" si="1005"/>
        <v>#N/A</v>
      </c>
      <c r="IN321" s="245" t="e">
        <f t="shared" si="1006"/>
        <v>#N/A</v>
      </c>
      <c r="IO321" s="245"/>
      <c r="IP321" s="245"/>
      <c r="IQ321" s="245" t="str">
        <f t="shared" si="900"/>
        <v/>
      </c>
      <c r="IR321" s="245" t="str">
        <f>IF(J321="","",VLOOKUP(J321,Worksheet!$R$4:$T$14,2))</f>
        <v/>
      </c>
      <c r="IS321" s="245"/>
      <c r="IT321" s="245">
        <f t="shared" si="901"/>
        <v>0</v>
      </c>
      <c r="IU321" s="245">
        <f t="shared" si="902"/>
        <v>0</v>
      </c>
      <c r="IV321" s="245">
        <f t="shared" si="903"/>
        <v>0</v>
      </c>
      <c r="IW321" s="245">
        <f t="shared" si="904"/>
        <v>0</v>
      </c>
      <c r="IX321" s="245">
        <f t="shared" si="1007"/>
        <v>0</v>
      </c>
      <c r="IY321" s="245">
        <f t="shared" si="905"/>
        <v>0</v>
      </c>
      <c r="IZ321" s="245">
        <f t="shared" si="906"/>
        <v>0</v>
      </c>
      <c r="JA321">
        <f t="shared" si="907"/>
        <v>0</v>
      </c>
      <c r="JB321">
        <f t="shared" si="1008"/>
        <v>0</v>
      </c>
      <c r="JC321">
        <f t="shared" si="908"/>
        <v>0</v>
      </c>
      <c r="JD321">
        <f t="shared" si="909"/>
        <v>0</v>
      </c>
      <c r="JE321">
        <f t="shared" si="910"/>
        <v>0</v>
      </c>
      <c r="JF321">
        <f t="shared" si="911"/>
        <v>0</v>
      </c>
      <c r="JG321">
        <f t="shared" si="912"/>
        <v>0</v>
      </c>
      <c r="JH321">
        <f t="shared" si="913"/>
        <v>0</v>
      </c>
      <c r="JI321">
        <f t="shared" si="914"/>
        <v>0</v>
      </c>
      <c r="JJ321" s="447">
        <f t="shared" si="915"/>
        <v>0</v>
      </c>
      <c r="JK321" s="447">
        <f t="shared" si="916"/>
        <v>0</v>
      </c>
      <c r="JL321">
        <f t="shared" si="917"/>
        <v>0</v>
      </c>
      <c r="JM321" s="245" t="str">
        <f>IFERROR(VLOOKUP(MATCH(BN321,#REF!,0),#REF!,7),"")</f>
        <v/>
      </c>
      <c r="JN321" t="e">
        <f>HLOOKUP(LEFT(BO321,7),Discharge_Area,MATCH(JO321,LookUps!$B$130:$B$149,1)+2)</f>
        <v>#N/A</v>
      </c>
      <c r="JO321" t="str">
        <f t="shared" si="918"/>
        <v>- S</v>
      </c>
      <c r="JP321" t="e">
        <f>HLOOKUP(LEFT(BO321,7),Discharge_Area,MATCH(JO321,LookUps!$B$130:$B$149,1)+2)</f>
        <v>#N/A</v>
      </c>
      <c r="JQ321" t="e">
        <f t="shared" si="919"/>
        <v>#N/A</v>
      </c>
      <c r="JR321" t="e">
        <f t="shared" si="920"/>
        <v>#N/A</v>
      </c>
      <c r="JS321" t="e">
        <f t="shared" si="921"/>
        <v>#N/A</v>
      </c>
      <c r="JT321" s="532" t="str">
        <f t="shared" si="922"/>
        <v xml:space="preserve"> </v>
      </c>
      <c r="JU321" s="532" t="str">
        <f t="shared" si="923"/>
        <v xml:space="preserve"> </v>
      </c>
      <c r="JV321" s="533" t="str">
        <f t="shared" si="924"/>
        <v xml:space="preserve"> </v>
      </c>
      <c r="JW321" s="534">
        <f t="shared" si="925"/>
        <v>0</v>
      </c>
      <c r="JX321" s="535" t="str">
        <f t="shared" si="1009"/>
        <v xml:space="preserve"> </v>
      </c>
      <c r="JY321" s="535" t="str">
        <f t="shared" si="1010"/>
        <v xml:space="preserve"> </v>
      </c>
      <c r="JZ321" s="535" t="str">
        <f t="shared" si="1011"/>
        <v xml:space="preserve"> </v>
      </c>
      <c r="KA321" s="536" t="str">
        <f t="shared" si="926"/>
        <v xml:space="preserve"> </v>
      </c>
      <c r="KB321" s="535" t="e">
        <f t="shared" si="1012"/>
        <v>#VALUE!</v>
      </c>
      <c r="KC321" s="535" t="str">
        <f t="shared" si="927"/>
        <v/>
      </c>
      <c r="KD321" s="537" t="str">
        <f t="shared" si="1013"/>
        <v xml:space="preserve"> </v>
      </c>
      <c r="KE321" s="537" t="str">
        <f t="shared" si="1014"/>
        <v xml:space="preserve"> </v>
      </c>
      <c r="KF321" s="534">
        <f t="shared" si="928"/>
        <v>0</v>
      </c>
      <c r="KG321" s="535" t="str">
        <f t="shared" si="929"/>
        <v xml:space="preserve"> </v>
      </c>
      <c r="KH321" s="535" t="str">
        <f t="shared" si="930"/>
        <v xml:space="preserve"> </v>
      </c>
      <c r="KI321" s="535" t="str">
        <f t="shared" si="931"/>
        <v xml:space="preserve"> </v>
      </c>
      <c r="KJ321" s="536" t="str">
        <f t="shared" si="932"/>
        <v xml:space="preserve"> </v>
      </c>
      <c r="KK321" s="535" t="str">
        <f t="shared" si="1015"/>
        <v xml:space="preserve"> </v>
      </c>
      <c r="KL321" s="535" t="str">
        <f t="shared" si="1016"/>
        <v xml:space="preserve"> </v>
      </c>
      <c r="KM321" s="537" t="str">
        <f t="shared" si="933"/>
        <v xml:space="preserve"> </v>
      </c>
      <c r="KN321" s="537" t="str">
        <f t="shared" si="1017"/>
        <v xml:space="preserve"> </v>
      </c>
      <c r="KP321">
        <f t="shared" si="934"/>
        <v>0</v>
      </c>
      <c r="LA321" t="e">
        <f t="shared" si="935"/>
        <v>#VALUE!</v>
      </c>
      <c r="LB321" t="e">
        <f t="shared" si="936"/>
        <v>#VALUE!</v>
      </c>
      <c r="LC321" t="e">
        <f t="shared" si="937"/>
        <v>#VALUE!</v>
      </c>
      <c r="LD321" t="e">
        <f t="shared" si="938"/>
        <v>#VALUE!</v>
      </c>
      <c r="LE321" t="e">
        <f t="shared" si="1018"/>
        <v>#VALUE!</v>
      </c>
      <c r="LF321">
        <f t="shared" si="939"/>
        <v>0</v>
      </c>
      <c r="LG321" t="e">
        <f t="shared" si="1019"/>
        <v>#VALUE!</v>
      </c>
      <c r="LH321" t="str">
        <f t="shared" si="940"/>
        <v xml:space="preserve"> </v>
      </c>
      <c r="LI321">
        <f t="shared" si="1020"/>
        <v>1</v>
      </c>
    </row>
    <row r="322" spans="2:321" ht="15" customHeight="1">
      <c r="B322" s="311"/>
      <c r="C322" s="311"/>
      <c r="D322" s="312"/>
      <c r="E322" s="311"/>
      <c r="F322" s="312"/>
      <c r="G322" s="311"/>
      <c r="H322" s="311"/>
      <c r="I322" s="232"/>
      <c r="J322" s="311"/>
      <c r="K322" s="305" t="str">
        <f t="shared" si="941"/>
        <v/>
      </c>
      <c r="L322" s="313"/>
      <c r="M322" s="312"/>
      <c r="N322" s="311"/>
      <c r="O322" s="312"/>
      <c r="P322" s="311"/>
      <c r="Q322" s="305" t="str">
        <f t="shared" si="942"/>
        <v/>
      </c>
      <c r="R322" s="314"/>
      <c r="S322" s="450" t="str">
        <f t="shared" si="825"/>
        <v/>
      </c>
      <c r="T322" s="315"/>
      <c r="U322" s="315"/>
      <c r="W322" s="149" t="str">
        <f t="shared" si="826"/>
        <v xml:space="preserve"> </v>
      </c>
      <c r="X322" s="243" t="str">
        <f t="shared" si="827"/>
        <v xml:space="preserve"> </v>
      </c>
      <c r="Y322" s="150" t="str">
        <f t="shared" si="828"/>
        <v/>
      </c>
      <c r="Z322" s="149" t="str">
        <f t="shared" si="829"/>
        <v xml:space="preserve"> </v>
      </c>
      <c r="AA322" s="98" t="str">
        <f t="shared" si="830"/>
        <v xml:space="preserve"> </v>
      </c>
      <c r="AB322" s="153" t="str">
        <f t="shared" si="831"/>
        <v xml:space="preserve"> </v>
      </c>
      <c r="AC322" s="153" t="str">
        <f t="shared" si="832"/>
        <v xml:space="preserve"> </v>
      </c>
      <c r="AD322" s="148" t="str">
        <f t="shared" si="833"/>
        <v/>
      </c>
      <c r="AE322" s="149" t="str">
        <f t="shared" si="834"/>
        <v/>
      </c>
      <c r="AF322" s="151" t="str">
        <f t="shared" si="835"/>
        <v xml:space="preserve"> </v>
      </c>
      <c r="AG322" s="153" t="str">
        <f t="shared" si="836"/>
        <v xml:space="preserve"> </v>
      </c>
      <c r="AH322" s="98" t="str">
        <f t="shared" si="837"/>
        <v xml:space="preserve"> </v>
      </c>
      <c r="AI322" s="149" t="str">
        <f t="shared" si="838"/>
        <v xml:space="preserve"> </v>
      </c>
      <c r="AK322" s="144" t="str">
        <f t="shared" si="839"/>
        <v xml:space="preserve"> </v>
      </c>
      <c r="AL322" s="144"/>
      <c r="AM322" s="243" t="str">
        <f t="shared" si="840"/>
        <v xml:space="preserve"> </v>
      </c>
      <c r="AN322" s="149" t="str">
        <f t="shared" si="943"/>
        <v xml:space="preserve"> </v>
      </c>
      <c r="AO322" s="144" t="str">
        <f>IF(JB322&gt;0,IF(GI322=10,-R322*1.085*(Calculation!$F$6-Calculation!$F$13)*$S$14," "),"")</f>
        <v/>
      </c>
      <c r="AP322" s="144" t="str">
        <f t="shared" si="841"/>
        <v/>
      </c>
      <c r="AQ322" s="56" t="str">
        <f t="shared" si="842"/>
        <v/>
      </c>
      <c r="AR322" s="144" t="str">
        <f t="shared" si="843"/>
        <v/>
      </c>
      <c r="AS322" s="176" t="str">
        <f t="shared" si="844"/>
        <v/>
      </c>
      <c r="AT322" s="176" t="str">
        <f t="shared" si="944"/>
        <v xml:space="preserve"> </v>
      </c>
      <c r="AU322" s="176" t="str">
        <f t="shared" si="845"/>
        <v/>
      </c>
      <c r="AV322" s="177" t="str">
        <f t="shared" si="846"/>
        <v xml:space="preserve"> </v>
      </c>
      <c r="AW322" s="144" t="str">
        <f t="shared" si="847"/>
        <v xml:space="preserve"> </v>
      </c>
      <c r="AX322" s="144" t="str">
        <f t="shared" si="848"/>
        <v xml:space="preserve"> </v>
      </c>
      <c r="AY322" s="152" t="str">
        <f t="shared" si="849"/>
        <v xml:space="preserve"> </v>
      </c>
      <c r="AZ322" s="246" t="str">
        <f t="shared" si="850"/>
        <v/>
      </c>
      <c r="BA322" s="176" t="str">
        <f t="shared" si="851"/>
        <v xml:space="preserve"> </v>
      </c>
      <c r="BB322" s="176" t="str">
        <f t="shared" si="852"/>
        <v xml:space="preserve"> </v>
      </c>
      <c r="BC322" s="195"/>
      <c r="BD322" s="316"/>
      <c r="BE322" s="317"/>
      <c r="BF322" s="318"/>
      <c r="BG322" s="318"/>
      <c r="BH322" s="144" t="str">
        <f t="shared" si="1021"/>
        <v xml:space="preserve"> </v>
      </c>
      <c r="BI322" s="176" t="str">
        <f t="shared" si="853"/>
        <v/>
      </c>
      <c r="BJ322" s="144" t="str">
        <f t="shared" si="1022"/>
        <v/>
      </c>
      <c r="BK322" s="246" t="str">
        <f t="shared" si="854"/>
        <v/>
      </c>
      <c r="BL322" s="144" t="str">
        <f t="shared" si="1023"/>
        <v/>
      </c>
      <c r="BM322" s="246" t="str">
        <f t="shared" si="855"/>
        <v/>
      </c>
      <c r="BN322" s="337" t="str">
        <f t="shared" si="945"/>
        <v/>
      </c>
      <c r="BO322" s="371" t="str">
        <f t="shared" si="946"/>
        <v/>
      </c>
      <c r="BP322" s="328" t="str">
        <f t="shared" si="1024"/>
        <v xml:space="preserve"> </v>
      </c>
      <c r="BQ322" s="347" t="str">
        <f t="shared" si="947"/>
        <v xml:space="preserve"> </v>
      </c>
      <c r="BR322" s="353" t="str">
        <f t="shared" si="948"/>
        <v xml:space="preserve"> </v>
      </c>
      <c r="BS322" s="626" t="str">
        <f>IF(L322&gt;0,IF(Calculation!P322="M13",BR322*3.1416*(0.134^2)/(4*144),IF(Calculation!P322="M17",BR322*3.1416*(0.165^2)/(4*144),IF(Calculation!P322="M20",BR322*3.1416*(0.198^2)/(4*144),IF(Calculation!P322="M23",BR322*3.1416*(0.228^2)/(4*144),IF(Calculation!P322="M27",BR322*3.1416*(0.269^2)/(4*144),BR322*3.1416*(0.307^2)/(4*144))))))," ")</f>
        <v xml:space="preserve"> </v>
      </c>
      <c r="BT322" s="353" t="str">
        <f>IF(L322&gt;0,IF(BS322&gt;0,R322/Calculation!BS322,0)," ")</f>
        <v xml:space="preserve"> </v>
      </c>
      <c r="BU322" s="438" t="e">
        <f t="shared" ca="1" si="856"/>
        <v>#VALUE!</v>
      </c>
      <c r="BV322" s="449" t="e">
        <f ca="1">INDEX(INDIRECT(VLOOKUP(LEFT(BO322,7),CLU!$Z$3:$AH$18,2)),GN322,GR322)</f>
        <v>#N/A</v>
      </c>
      <c r="BW322" s="433" t="e">
        <f ca="1">INDEX(INDIRECT(VLOOKUP(LEFT(BO322,7),CLU!$Z$3:$AH$18,3)),GN322,GR322)</f>
        <v>#N/A</v>
      </c>
      <c r="BX322" s="433" t="e">
        <f ca="1">INDEX(INDIRECT(VLOOKUP(LEFT(BO322,7),CLU!$Z$3:$AH$18,4)),GN322,GR322)</f>
        <v>#N/A</v>
      </c>
      <c r="BY322" s="433" t="e">
        <f ca="1">INDEX(INDIRECT(VLOOKUP(LEFT(BO322,7),CLU!$Z$3:$AH$18,9)),((M322-2)*(6-COUNTBLANK(GT322:GY322)))+GJ322)</f>
        <v>#N/A</v>
      </c>
      <c r="BZ322" s="426" t="e">
        <f t="shared" ca="1" si="949"/>
        <v>#N/A</v>
      </c>
      <c r="CA322" s="424" t="e">
        <f t="shared" ca="1" si="950"/>
        <v>#N/A</v>
      </c>
      <c r="CB322" s="429" t="e">
        <f ca="1">INDEX(INDIRECT(VLOOKUP(LEFT(BO322,7),CLU!$Z$3:$AH$18,2)),GN322,GS322)</f>
        <v>#N/A</v>
      </c>
      <c r="CC322" s="342" t="e">
        <f ca="1">INDEX(INDIRECT(VLOOKUP(LEFT(BO322,7),CLU!$Z$3:$AH$18,3)),GN322,GS322)</f>
        <v>#N/A</v>
      </c>
      <c r="CD322" s="342" t="e">
        <f ca="1">INDEX(INDIRECT(VLOOKUP(LEFT(BO322,7),CLU!$Z$3:$AH$18,4)),GN322,GS322)</f>
        <v>#N/A</v>
      </c>
      <c r="CE322" s="426" t="e">
        <f t="shared" ca="1" si="951"/>
        <v>#N/A</v>
      </c>
      <c r="CF322" s="440">
        <f t="shared" si="952"/>
        <v>0</v>
      </c>
      <c r="CG322" s="431" t="e">
        <f ca="1">INDEX(INDIRECT(VLOOKUP(LEFT(BO322,7),CLU!$Z$3:$AH$18,2)),GQ322,GR322)</f>
        <v>#N/A</v>
      </c>
      <c r="CH322" s="431" t="e">
        <f ca="1">INDEX(INDIRECT(VLOOKUP(LEFT(BO322,7),CLU!$Z$3:$AH$18,3)),GQ322,GR322)</f>
        <v>#N/A</v>
      </c>
      <c r="CI322" s="431" t="e">
        <f ca="1">INDEX(INDIRECT(VLOOKUP(LEFT(BO322,7),CLU!$Z$3:$AH$18,4)),GQ322,GR322)</f>
        <v>#N/A</v>
      </c>
      <c r="CJ322" s="448" t="e">
        <f t="shared" ca="1" si="953"/>
        <v>#N/A</v>
      </c>
      <c r="CK322" s="431" t="e">
        <f t="shared" ca="1" si="954"/>
        <v>#N/A</v>
      </c>
      <c r="CL322" s="440" t="e">
        <f t="shared" ca="1" si="955"/>
        <v>#N/A</v>
      </c>
      <c r="CM322" s="431" t="e">
        <f ca="1">INDEX(INDIRECT(VLOOKUP(LEFT(BO322,7),CLU!$Z$3:$AH$18,2)),GQ322,GS322)</f>
        <v>#N/A</v>
      </c>
      <c r="CN322" s="431" t="e">
        <f ca="1">INDEX(INDIRECT(VLOOKUP(LEFT(BO322,7),CLU!$Z$3:$AH$18,3)),GQ322,GS322)</f>
        <v>#N/A</v>
      </c>
      <c r="CO322" s="431" t="e">
        <f ca="1">INDEX(INDIRECT(VLOOKUP(LEFT(BO322,7),CLU!$Z$3:$AH$18,4)),GQ322,GS322)</f>
        <v>#N/A</v>
      </c>
      <c r="CP322" s="431" t="e">
        <f t="shared" ca="1" si="956"/>
        <v>#N/A</v>
      </c>
      <c r="CQ322" s="440">
        <f t="shared" si="957"/>
        <v>0</v>
      </c>
      <c r="CR322" s="51" t="e">
        <f t="shared" ca="1" si="958"/>
        <v>#N/A</v>
      </c>
      <c r="CS322" s="439" t="e">
        <f t="shared" ca="1" si="959"/>
        <v>#VALUE!</v>
      </c>
      <c r="CT322" s="51" t="e">
        <f t="shared" ca="1" si="960"/>
        <v>#VALUE!</v>
      </c>
      <c r="CU322" s="10"/>
      <c r="CV322" s="51" t="e">
        <f t="shared" ca="1" si="857"/>
        <v>#VALUE!</v>
      </c>
      <c r="CW322" s="51">
        <f t="shared" si="961"/>
        <v>0</v>
      </c>
      <c r="CX322" s="439" t="e">
        <f t="shared" ca="1" si="962"/>
        <v>#VALUE!</v>
      </c>
      <c r="CY322" s="51" t="e">
        <f t="shared" ca="1" si="963"/>
        <v>#VALUE!</v>
      </c>
      <c r="CZ322" s="10"/>
      <c r="DA322" s="51" t="e">
        <f t="shared" ca="1" si="964"/>
        <v>#VALUE!</v>
      </c>
      <c r="DB322" s="347" t="e">
        <f ca="1">INDEX(INDIRECT(VLOOKUP(LEFT(BO322,7),CLU!$Z$3:$AI$18,10)),((M322-2)*(6-COUNTBLANK(GT322:GY322)))+GJ322)*LI322</f>
        <v>#N/A</v>
      </c>
      <c r="DC322" s="347" t="str">
        <f>IF(L322&gt;0,((R322/Worksheet!$I$15)/DB322)^2," ")</f>
        <v xml:space="preserve"> </v>
      </c>
      <c r="DD322" s="602" t="str">
        <f t="shared" si="965"/>
        <v xml:space="preserve"> </v>
      </c>
      <c r="DE322" s="347" t="str">
        <f t="shared" si="858"/>
        <v xml:space="preserve"> </v>
      </c>
      <c r="DF322" s="356" t="e">
        <f ca="1">INDEX(INDIRECT(VLOOKUP(LEFT(BO322,7),CLU!$Z$3:$AH$18,8)),((M322-2)*(6-COUNTBLANK(GT322:GY322)))+GJ322)</f>
        <v>#N/A</v>
      </c>
      <c r="DG322" s="347" t="str">
        <f t="shared" si="859"/>
        <v xml:space="preserve"> </v>
      </c>
      <c r="DH322" s="357" t="str">
        <f t="shared" si="860"/>
        <v xml:space="preserve"> </v>
      </c>
      <c r="DI322" s="355" t="str">
        <f t="shared" si="861"/>
        <v xml:space="preserve"> </v>
      </c>
      <c r="DJ322" s="245" t="e">
        <f ca="1">INDEX(INDIRECT(VLOOKUP(LEFT(BO322,7),CLU!$Z$3:$AH$18,5)),GL322,GK322)</f>
        <v>#N/A</v>
      </c>
      <c r="DK322" s="245" t="e">
        <f ca="1">INDEX(INDIRECT(VLOOKUP(LEFT(BO322,7),CLU!$Z$3:$AH$18,6)),GL322,GK322)</f>
        <v>#N/A</v>
      </c>
      <c r="DL322" s="355">
        <f>(Calculation!R322*0.69143*(Calculation!$BQ$8-Calculation!$F$8))*$S$14</f>
        <v>0</v>
      </c>
      <c r="DM322" s="359" t="e">
        <f t="shared" si="966"/>
        <v>#VALUE!</v>
      </c>
      <c r="DN322" s="611">
        <f t="shared" si="967"/>
        <v>0</v>
      </c>
      <c r="DO322" s="359">
        <f t="shared" si="968"/>
        <v>100</v>
      </c>
      <c r="DP322" s="359">
        <f t="shared" si="969"/>
        <v>0</v>
      </c>
      <c r="DQ322" s="360"/>
      <c r="DR322" s="245" t="e">
        <f ca="1">INDEX(INDIRECT(VLOOKUP(LEFT(BO322,7),CLU!$Z$3:$AH$18,7)),M322-1,1)</f>
        <v>#N/A</v>
      </c>
      <c r="DS322" s="245" t="e">
        <f ca="1">INDEX(INDIRECT(VLOOKUP(LEFT(BO322,7),CLU!$Z$3:$AH$18,7)),M322-1,2)</f>
        <v>#N/A</v>
      </c>
      <c r="DT322" s="245" t="e">
        <f ca="1">INDEX(INDIRECT(VLOOKUP(LEFT(BO322,7),CLU!$Z$3:$AH$18,7)),M322-1,3)</f>
        <v>#N/A</v>
      </c>
      <c r="DU322" s="245" t="e">
        <f ca="1">INDEX(INDIRECT(VLOOKUP(LEFT(BO322,7),CLU!$Z$3:$AH$18,7)),M322-1,4)</f>
        <v>#N/A</v>
      </c>
      <c r="DV322" s="361" t="e">
        <f ca="1">INDEX(INDIRECT(VLOOKUP(LEFT(BO322,7),CLU!$Z$3:$AH$18,7)),M322-1,4+LEFT(DZ322,1)*0.5)</f>
        <v>#N/A</v>
      </c>
      <c r="DW322" s="245" t="e">
        <f ca="1">INDEX(INDIRECT(VLOOKUP(LEFT(BO322,7),CLU!$Z$3:$AH$18,7)),M322-1,8)</f>
        <v>#N/A</v>
      </c>
      <c r="DX322" s="361" t="str">
        <f t="shared" si="862"/>
        <v xml:space="preserve"> </v>
      </c>
      <c r="DY322" s="361" t="str">
        <f t="shared" si="863"/>
        <v xml:space="preserve"> </v>
      </c>
      <c r="DZ322" s="361" t="str">
        <f t="shared" si="864"/>
        <v xml:space="preserve"> </v>
      </c>
      <c r="EA322" s="362" t="str">
        <f t="shared" si="865"/>
        <v xml:space="preserve"> </v>
      </c>
      <c r="EB322" s="624" t="str">
        <f t="shared" si="970"/>
        <v xml:space="preserve"> </v>
      </c>
      <c r="EC322" s="361" t="e">
        <f ca="1">INDEX(INDIRECT(VLOOKUP(LEFT(BO322,7),CLU!$Z$3:$AH$18,7)),M322-1,4+LEFT(DZ322,1)*0.5)</f>
        <v>#N/A</v>
      </c>
      <c r="ED322" s="362" t="str">
        <f t="shared" si="866"/>
        <v xml:space="preserve"> </v>
      </c>
      <c r="EE322" s="361" t="str">
        <f t="shared" si="867"/>
        <v xml:space="preserve"> </v>
      </c>
      <c r="EF322" s="362" t="str">
        <f>IF(L322&gt;0,IF(BR322&gt;0,IF(EE322="2P",IF(Calculation!DZ322="2P",IF(Calculation!DS322=13.75,IF(Calculation!DR322=13,Worksheet!$BD$43,IF(Calculation!DR322=37,Worksheet!$BD$44,Worksheet!$BD$45)),IF(Calculation!DS322=10,IF(Calculation!DR322=18,Worksheet!$BD$29,IF(Calculation!DR322=30,Worksheet!$BD$30,IF(Calculation!DR322=42,Worksheet!$BD$31,IF(Calculation!DR322=54,Worksheet!$BD$32,IF(Calculation!DR322=66,Worksheet!$BD$33,IF(Calculation!DR322=78,Worksheet!$BD$34,IF(Calculation!DR322=90,Worksheet!$BD$35,IF(Calculation!DR322=102,Worksheet!$BD$36,Worksheet!$BD$37)))))))),IF(Calculation!DS322=12.5,IF(Calculation!DR322=18,Worksheet!$BD$38,IF(Calculation!DR322=Worksheet!$BD$39,IF(Calculation!DR322=42,Worksheet!$BD$40,IF(Calculation!DR322=54,Worksheet!$BD$41,Worksheet!$BD$42)))),IF(Calculation!DR322=18,Worksheet!$BD$11,IF(Calculation!DR322=30,Worksheet!$BD$12,IF(Calculation!DR322=42,Worksheet!$BD$13,IF(Calculation!DR322=54,Worksheet!$BD$14,IF(Calculation!DR322=66,Worksheet!$BD$15,IF(Calculation!DR322=78,Worksheet!$BD$16,IF(Calculation!DR322=90,Worksheet!$BD$17,IF(Calculation!DR322=102,Worksheet!$BD$18,Worksheet!$BD$19))))))))))),IF(Calculation!DS322=13.75,IF(Calculation!DR322=13,Worksheet!$BD$78,IF(Calculation!DR322=37,Worksheet!$BD$79,Worksheet!$BD$80)),IF(Calculation!DS322=10,IF(Calculation!DR322=18,Worksheet!$BD$64,IF(Calculation!DR322=30,Worksheet!$BD$65,IF(Calculation!DR322=42,Worksheet!$BD$66,IF(Calculation!DR322=54,Worksheet!$BD$68,IF(Calculation!DR322=66,Worksheet!$BD$68,IF(Calculation!DR322=78,Worksheet!$BD$69,IF(Calculation!DR322=90,Worksheet!$BD$70,IF(Calculation!DR322=102,Worksheet!$BD$71,Worksheet!$BD$72)))))))),IF(Calculation!DS322=12.5,IF(Calculation!DR322=18,Worksheet!$BD$73,IF(Calculation!DR322=Worksheet!$BD$74,IF(Calculation!DR322=42,Worksheet!$BD$75,IF(Calculation!DR322=54,Worksheet!$BD$76,Worksheet!$BD$77)))),IF(Calculation!DR322=18,Worksheet!$BD$55,IF(Calculation!DR322=30,Worksheet!$BD$56,IF(Calculation!DR322=42,Worksheet!$BD$57,IF(Calculation!DR322=54,Worksheet!$BD$58,IF(Calculation!DR322=66,Worksheet!$BD$59,IF(Calculation!DR322=78,Worksheet!$BD$60,IF(Calculation!DR322=90,Worksheet!$BD$61,IF(Calculation!DR322=102,Worksheet!$BD$62,Worksheet!$BD$63)))))))))))),5),0)," ")</f>
        <v xml:space="preserve"> </v>
      </c>
      <c r="EG322" s="361" t="str">
        <f t="shared" si="868"/>
        <v xml:space="preserve"> </v>
      </c>
      <c r="EH322" s="361" t="e">
        <f ca="1">INDEX(INDIRECT(VLOOKUP(LEFT(BO322,7),CLU!$Z$3:$AH$18,7)),M322-1,3+LEFT(DZ322,1))</f>
        <v>#N/A</v>
      </c>
      <c r="EI322" s="362" t="str">
        <f t="shared" si="869"/>
        <v xml:space="preserve"> </v>
      </c>
      <c r="EJ322" s="363" t="str">
        <f t="shared" si="870"/>
        <v xml:space="preserve"> </v>
      </c>
      <c r="EK322" s="363" t="str">
        <f t="shared" si="871"/>
        <v xml:space="preserve"> </v>
      </c>
      <c r="EL322" s="363" t="str">
        <f t="shared" si="872"/>
        <v xml:space="preserve"> </v>
      </c>
      <c r="EM322" s="362" t="str">
        <f>IF(L322&gt;0,IF(BR322&gt;0,(Calculation!T322/ED322)^2,0)," ")</f>
        <v xml:space="preserve"> </v>
      </c>
      <c r="EN322" s="362" t="str">
        <f>IF(L322&gt;0,IF(O322="2 Pipe (Cooling)","N/A",IF(BR322&gt;0,(Calculation!U322/EI322)^2,0))," ")</f>
        <v xml:space="preserve"> </v>
      </c>
      <c r="EO322" s="361" t="str">
        <f t="shared" si="873"/>
        <v/>
      </c>
      <c r="EP322" s="361" t="str">
        <f t="shared" si="874"/>
        <v/>
      </c>
      <c r="EQ322" s="361" t="str">
        <f t="shared" si="875"/>
        <v/>
      </c>
      <c r="ER322" s="361" t="str">
        <f t="shared" si="876"/>
        <v/>
      </c>
      <c r="ES322" s="361" t="str">
        <f t="shared" si="877"/>
        <v/>
      </c>
      <c r="ET322" s="361" t="str">
        <f t="shared" si="878"/>
        <v/>
      </c>
      <c r="EU322" s="361" t="str">
        <f t="shared" si="879"/>
        <v/>
      </c>
      <c r="EV322" s="361" t="str">
        <f t="shared" si="880"/>
        <v/>
      </c>
      <c r="EW322" s="361" t="str">
        <f t="shared" si="881"/>
        <v/>
      </c>
      <c r="EX322" s="361" t="str">
        <f t="shared" si="971"/>
        <v>1 slot, 1 way</v>
      </c>
      <c r="EY322" s="361" t="str">
        <f t="shared" si="972"/>
        <v xml:space="preserve"> </v>
      </c>
      <c r="EZ322" s="361" t="str">
        <f t="shared" si="973"/>
        <v xml:space="preserve"> </v>
      </c>
      <c r="FA322" s="361" t="str">
        <f t="shared" si="974"/>
        <v xml:space="preserve"> </v>
      </c>
      <c r="FB322" s="361" t="str">
        <f t="shared" si="975"/>
        <v xml:space="preserve"> </v>
      </c>
      <c r="FC322" s="361"/>
      <c r="FD322" s="361" t="str">
        <f>IF(J322&gt;0,IF(Calculation!R322&lt;=70,4,IF(Calculation!R322&lt;=110,5,IF(Calculation!R322&lt;=160,6,IF(Calculation!R322&lt;=300,8,"10 EO")))),"")</f>
        <v/>
      </c>
      <c r="FE322" s="361" t="str">
        <f t="shared" si="976"/>
        <v/>
      </c>
      <c r="FF322" s="361" t="str">
        <f t="shared" si="977"/>
        <v/>
      </c>
      <c r="FG322" s="361" t="e">
        <f t="shared" si="882"/>
        <v>#N/A</v>
      </c>
      <c r="FH322" s="361">
        <f t="shared" si="883"/>
        <v>0</v>
      </c>
      <c r="FI322" s="361" t="e">
        <f t="shared" si="884"/>
        <v>#DIV/0!</v>
      </c>
      <c r="FJ322" s="361"/>
      <c r="FK322" s="356" t="e">
        <f t="shared" si="885"/>
        <v>#VALUE!</v>
      </c>
      <c r="FL322" s="361"/>
      <c r="FM322" s="361"/>
      <c r="FN322" s="362" t="str">
        <f t="shared" si="978"/>
        <v xml:space="preserve"> </v>
      </c>
      <c r="FO322" s="362" t="str">
        <f t="shared" si="979"/>
        <v xml:space="preserve"> </v>
      </c>
      <c r="FP322" s="362">
        <f t="shared" si="980"/>
        <v>0</v>
      </c>
      <c r="FQ322" s="361">
        <f t="shared" si="886"/>
        <v>0</v>
      </c>
      <c r="FR322" s="362" t="str">
        <f>IF(L322&gt;0,IF(J322="CBAL2",Worksheet!$P$67,IF(J322="CBE2-24",Worksheet!$Q$67,IF(J322="CBAM",Worksheet!$R$67,IF(J322="CBLV",Worksheet!$S$67,IF(J322="CBAB",Worksheet!$U$67,IF(J322="CBAW",Worksheet!$X$67,IF(J322="CBE2-12",Worksheet!$Y$67,IF(J322="CBAL2",Worksheet!$Z$67,"N/A"))))))))," ")</f>
        <v xml:space="preserve"> </v>
      </c>
      <c r="FS322" s="362" t="str">
        <f>IF(L322&gt;0,IF(J322="CBAL2",Worksheet!$P$68,IF(J322="CBE2-24",Worksheet!$Q$68,IF(J322="CBAM",Worksheet!$R$68,IF(J322="CBLV",Worksheet!$S$68,IF(J322="CBAB",Worksheet!$U$68,IF(J322="CBAW",Worksheet!$X$68,IF(J322="CBE2-12",Worksheet!$Y$68,IF(J322="CBAL2",Worksheet!$Z$68,"N/A"))))))))," ")</f>
        <v xml:space="preserve"> </v>
      </c>
      <c r="FT322" s="362" t="str">
        <f>IF(L322&gt;0,IF(J322="CBAL2",Worksheet!$P$69,IF(J322="CBE2-24",Worksheet!$Q$69,IF(J322="CBAM",Worksheet!$R$69,IF(J322="CBLV",Worksheet!$S$69,IF(J322="CBAB",Worksheet!$U$69,IF(J322="CBAW",Worksheet!$X$69,IF(J322="CBE2-12",Worksheet!$Y$69,IF(J322="CBAL2",Worksheet!$Z$69,"N/A"))))))))," ")</f>
        <v xml:space="preserve"> </v>
      </c>
      <c r="FU322" s="361" t="str">
        <f t="shared" si="981"/>
        <v xml:space="preserve"> </v>
      </c>
      <c r="FV322" s="362" t="str">
        <f t="shared" si="982"/>
        <v xml:space="preserve"> </v>
      </c>
      <c r="FW322" s="362" t="str">
        <f t="shared" si="983"/>
        <v xml:space="preserve"> </v>
      </c>
      <c r="FX322" s="362" t="str">
        <f t="shared" si="984"/>
        <v xml:space="preserve"> </v>
      </c>
      <c r="FY322" s="355" t="str">
        <f t="shared" si="985"/>
        <v xml:space="preserve"> </v>
      </c>
      <c r="FZ322" s="361" t="str">
        <f t="shared" si="986"/>
        <v xml:space="preserve"> </v>
      </c>
      <c r="GA322" s="347" t="str">
        <f t="shared" si="987"/>
        <v xml:space="preserve"> </v>
      </c>
      <c r="GB322" s="355" t="str">
        <f t="shared" si="988"/>
        <v xml:space="preserve"> </v>
      </c>
      <c r="GC322" s="328" t="str">
        <f t="shared" si="989"/>
        <v xml:space="preserve"> </v>
      </c>
      <c r="GD322" s="361" t="str">
        <f t="shared" si="990"/>
        <v xml:space="preserve"> </v>
      </c>
      <c r="GE322" s="347" t="str">
        <f t="shared" si="991"/>
        <v xml:space="preserve"> </v>
      </c>
      <c r="GF322" s="361" t="str">
        <f t="shared" si="992"/>
        <v xml:space="preserve"> </v>
      </c>
      <c r="GG322" s="347" t="str">
        <f t="shared" si="993"/>
        <v xml:space="preserve"> </v>
      </c>
      <c r="GH322" s="364">
        <f t="shared" si="887"/>
        <v>0</v>
      </c>
      <c r="GI322" s="362">
        <f t="shared" si="994"/>
        <v>2</v>
      </c>
      <c r="GJ322" s="433" t="e">
        <f>IF(6-COUNTBLANK(GT322:GY322)=4,MATCH(MID(BO322,9,3),CLU!$H$16:$K$16),MATCH(MID(BO322,9,3),CLU!$H$13:$M$13))</f>
        <v>#N/A</v>
      </c>
      <c r="GK322" s="433" t="e">
        <f>HLOOKUP(VALUE(BP322),CLU!$H$9:$M$10,2)</f>
        <v>#VALUE!</v>
      </c>
      <c r="GL322" s="433" t="e">
        <f ca="1">MATCH(BU322,CLU!$H$2:$V$2,1)</f>
        <v>#VALUE!</v>
      </c>
      <c r="GM322" s="433" t="e">
        <f t="shared" ca="1" si="995"/>
        <v>#VALUE!</v>
      </c>
      <c r="GN322" s="433" t="e">
        <f t="shared" ca="1" si="996"/>
        <v>#VALUE!</v>
      </c>
      <c r="GO322" s="433" t="e">
        <f t="shared" ca="1" si="997"/>
        <v>#VALUE!</v>
      </c>
      <c r="GP322" s="433" t="e">
        <f t="shared" ca="1" si="998"/>
        <v>#VALUE!</v>
      </c>
      <c r="GQ322" s="433" t="e">
        <f t="shared" ca="1" si="999"/>
        <v>#VALUE!</v>
      </c>
      <c r="GR322" s="433" t="e">
        <f ca="1">MATCH(T322,INDIRECT(VLOOKUP(CONCATENATE(LEFT(BO322,7),"-",MID(BO322,13,1)),CLU!$P$3:$Q$16,2)),1)</f>
        <v>#N/A</v>
      </c>
      <c r="GS322" s="433" t="e">
        <f ca="1">MATCH(U322,INDIRECT(VLOOKUP(CONCATENATE(LEFT(BO322,7),"-",MID(BO322,13,1)),CLU!$P$3:$Q$16,2)),1)</f>
        <v>#N/A</v>
      </c>
      <c r="GT322" s="347" t="s">
        <v>512</v>
      </c>
      <c r="GU322" s="97" t="s">
        <v>513</v>
      </c>
      <c r="GV322" s="97" t="str">
        <f t="shared" si="1000"/>
        <v>M23</v>
      </c>
      <c r="GW322" s="97" t="str">
        <f t="shared" si="1001"/>
        <v>M31</v>
      </c>
      <c r="GX322" s="97" t="str">
        <f t="shared" si="1002"/>
        <v/>
      </c>
      <c r="GY322" s="97" t="str">
        <f t="shared" si="1003"/>
        <v/>
      </c>
      <c r="GZ322" s="481"/>
      <c r="HA322" s="240"/>
      <c r="HB322" s="240"/>
      <c r="HC322" s="240"/>
      <c r="HD322" s="240"/>
      <c r="HE322" s="240"/>
      <c r="HF322" s="240"/>
      <c r="HG322" s="240"/>
      <c r="HH322" s="240"/>
      <c r="HI322" s="240"/>
      <c r="HJ322" s="240"/>
      <c r="HK322" s="240"/>
      <c r="HL322" s="240"/>
      <c r="HM322" s="240"/>
      <c r="HN322" s="240"/>
      <c r="HO322" s="240"/>
      <c r="HP322" s="240"/>
      <c r="HQ322" s="240"/>
      <c r="HR322" s="240"/>
      <c r="HS322" s="240"/>
      <c r="HT322" s="240"/>
      <c r="HU322" s="240"/>
      <c r="HV322" s="245"/>
      <c r="HW322" s="245" t="b">
        <v>1</v>
      </c>
      <c r="HX322" s="245" t="str">
        <f t="shared" si="888"/>
        <v/>
      </c>
      <c r="HY322" s="245" t="e">
        <f t="shared" si="889"/>
        <v>#DIV/0!</v>
      </c>
      <c r="HZ322" s="245" t="e">
        <f t="shared" si="890"/>
        <v>#DIV/0!</v>
      </c>
      <c r="IA322" s="245">
        <f t="shared" si="891"/>
        <v>0</v>
      </c>
      <c r="IB322" s="245"/>
      <c r="IC322" t="b">
        <f t="shared" si="892"/>
        <v>1</v>
      </c>
      <c r="ID322" s="245" t="b">
        <f t="shared" si="893"/>
        <v>1</v>
      </c>
      <c r="IE322" s="245" t="b">
        <f t="shared" si="894"/>
        <v>1</v>
      </c>
      <c r="IF322" s="245" t="b">
        <f t="shared" si="895"/>
        <v>0</v>
      </c>
      <c r="IG322" s="245" t="b">
        <f t="shared" si="896"/>
        <v>1</v>
      </c>
      <c r="IH322" s="245" t="b">
        <f t="shared" si="897"/>
        <v>1</v>
      </c>
      <c r="II322" s="245">
        <f t="shared" si="1004"/>
        <v>0</v>
      </c>
      <c r="IJ322" s="245" t="e">
        <f t="shared" si="898"/>
        <v>#VALUE!</v>
      </c>
      <c r="IK322" s="245" t="e">
        <f t="shared" si="899"/>
        <v>#VALUE!</v>
      </c>
      <c r="IL322" s="245"/>
      <c r="IM322" s="245" t="e">
        <f t="shared" si="1005"/>
        <v>#N/A</v>
      </c>
      <c r="IN322" s="245" t="e">
        <f t="shared" si="1006"/>
        <v>#N/A</v>
      </c>
      <c r="IO322" s="245"/>
      <c r="IP322" s="245"/>
      <c r="IQ322" s="245" t="str">
        <f t="shared" si="900"/>
        <v/>
      </c>
      <c r="IR322" s="245" t="str">
        <f>IF(J322="","",VLOOKUP(J322,Worksheet!$R$4:$T$14,2))</f>
        <v/>
      </c>
      <c r="IS322" s="245"/>
      <c r="IT322" s="245">
        <f t="shared" si="901"/>
        <v>0</v>
      </c>
      <c r="IU322" s="245">
        <f t="shared" si="902"/>
        <v>0</v>
      </c>
      <c r="IV322" s="245">
        <f t="shared" si="903"/>
        <v>0</v>
      </c>
      <c r="IW322" s="245">
        <f t="shared" si="904"/>
        <v>0</v>
      </c>
      <c r="IX322" s="245">
        <f t="shared" si="1007"/>
        <v>0</v>
      </c>
      <c r="IY322" s="245">
        <f t="shared" si="905"/>
        <v>0</v>
      </c>
      <c r="IZ322" s="245">
        <f t="shared" si="906"/>
        <v>0</v>
      </c>
      <c r="JA322">
        <f t="shared" si="907"/>
        <v>0</v>
      </c>
      <c r="JB322">
        <f t="shared" si="1008"/>
        <v>0</v>
      </c>
      <c r="JC322">
        <f t="shared" si="908"/>
        <v>0</v>
      </c>
      <c r="JD322">
        <f t="shared" si="909"/>
        <v>0</v>
      </c>
      <c r="JE322">
        <f t="shared" si="910"/>
        <v>0</v>
      </c>
      <c r="JF322">
        <f t="shared" si="911"/>
        <v>0</v>
      </c>
      <c r="JG322">
        <f t="shared" si="912"/>
        <v>0</v>
      </c>
      <c r="JH322">
        <f t="shared" si="913"/>
        <v>0</v>
      </c>
      <c r="JI322">
        <f t="shared" si="914"/>
        <v>0</v>
      </c>
      <c r="JJ322" s="447">
        <f t="shared" si="915"/>
        <v>0</v>
      </c>
      <c r="JK322" s="447">
        <f t="shared" si="916"/>
        <v>0</v>
      </c>
      <c r="JL322">
        <f t="shared" si="917"/>
        <v>0</v>
      </c>
      <c r="JM322" s="245" t="str">
        <f>IFERROR(VLOOKUP(MATCH(BN322,#REF!,0),#REF!,7),"")</f>
        <v/>
      </c>
      <c r="JN322" t="e">
        <f>HLOOKUP(LEFT(BO322,7),Discharge_Area,MATCH(JO322,LookUps!$B$130:$B$149,1)+2)</f>
        <v>#N/A</v>
      </c>
      <c r="JO322" t="str">
        <f t="shared" si="918"/>
        <v>- S</v>
      </c>
      <c r="JP322" t="e">
        <f>HLOOKUP(LEFT(BO322,7),Discharge_Area,MATCH(JO322,LookUps!$B$130:$B$149,1)+2)</f>
        <v>#N/A</v>
      </c>
      <c r="JQ322" t="e">
        <f t="shared" si="919"/>
        <v>#N/A</v>
      </c>
      <c r="JR322" t="e">
        <f t="shared" si="920"/>
        <v>#N/A</v>
      </c>
      <c r="JS322" t="e">
        <f t="shared" si="921"/>
        <v>#N/A</v>
      </c>
      <c r="JT322" s="532" t="str">
        <f t="shared" si="922"/>
        <v xml:space="preserve"> </v>
      </c>
      <c r="JU322" s="532" t="str">
        <f t="shared" si="923"/>
        <v xml:space="preserve"> </v>
      </c>
      <c r="JV322" s="533" t="str">
        <f t="shared" si="924"/>
        <v xml:space="preserve"> </v>
      </c>
      <c r="JW322" s="534">
        <f t="shared" si="925"/>
        <v>0</v>
      </c>
      <c r="JX322" s="535" t="str">
        <f t="shared" si="1009"/>
        <v xml:space="preserve"> </v>
      </c>
      <c r="JY322" s="535" t="str">
        <f t="shared" si="1010"/>
        <v xml:space="preserve"> </v>
      </c>
      <c r="JZ322" s="535" t="str">
        <f t="shared" si="1011"/>
        <v xml:space="preserve"> </v>
      </c>
      <c r="KA322" s="536" t="str">
        <f t="shared" si="926"/>
        <v xml:space="preserve"> </v>
      </c>
      <c r="KB322" s="535" t="e">
        <f t="shared" si="1012"/>
        <v>#VALUE!</v>
      </c>
      <c r="KC322" s="535" t="str">
        <f t="shared" si="927"/>
        <v/>
      </c>
      <c r="KD322" s="537" t="str">
        <f t="shared" si="1013"/>
        <v xml:space="preserve"> </v>
      </c>
      <c r="KE322" s="537" t="str">
        <f t="shared" si="1014"/>
        <v xml:space="preserve"> </v>
      </c>
      <c r="KF322" s="534">
        <f t="shared" si="928"/>
        <v>0</v>
      </c>
      <c r="KG322" s="535" t="str">
        <f t="shared" si="929"/>
        <v xml:space="preserve"> </v>
      </c>
      <c r="KH322" s="535" t="str">
        <f t="shared" si="930"/>
        <v xml:space="preserve"> </v>
      </c>
      <c r="KI322" s="535" t="str">
        <f t="shared" si="931"/>
        <v xml:space="preserve"> </v>
      </c>
      <c r="KJ322" s="536" t="str">
        <f t="shared" si="932"/>
        <v xml:space="preserve"> </v>
      </c>
      <c r="KK322" s="535" t="str">
        <f t="shared" si="1015"/>
        <v xml:space="preserve"> </v>
      </c>
      <c r="KL322" s="535" t="str">
        <f t="shared" si="1016"/>
        <v xml:space="preserve"> </v>
      </c>
      <c r="KM322" s="537" t="str">
        <f t="shared" si="933"/>
        <v xml:space="preserve"> </v>
      </c>
      <c r="KN322" s="537" t="str">
        <f t="shared" si="1017"/>
        <v xml:space="preserve"> </v>
      </c>
      <c r="KP322">
        <f t="shared" si="934"/>
        <v>0</v>
      </c>
      <c r="LA322" t="e">
        <f t="shared" si="935"/>
        <v>#VALUE!</v>
      </c>
      <c r="LB322" t="e">
        <f t="shared" si="936"/>
        <v>#VALUE!</v>
      </c>
      <c r="LC322" t="e">
        <f t="shared" si="937"/>
        <v>#VALUE!</v>
      </c>
      <c r="LD322" t="e">
        <f t="shared" si="938"/>
        <v>#VALUE!</v>
      </c>
      <c r="LE322" t="e">
        <f t="shared" si="1018"/>
        <v>#VALUE!</v>
      </c>
      <c r="LF322">
        <f t="shared" si="939"/>
        <v>0</v>
      </c>
      <c r="LG322" t="e">
        <f t="shared" si="1019"/>
        <v>#VALUE!</v>
      </c>
      <c r="LH322" t="str">
        <f t="shared" si="940"/>
        <v xml:space="preserve"> </v>
      </c>
      <c r="LI322">
        <f t="shared" si="1020"/>
        <v>1</v>
      </c>
    </row>
    <row r="323" spans="2:321" ht="15" customHeight="1">
      <c r="B323" s="311"/>
      <c r="C323" s="311"/>
      <c r="D323" s="312"/>
      <c r="E323" s="311"/>
      <c r="F323" s="312"/>
      <c r="G323" s="311"/>
      <c r="H323" s="311"/>
      <c r="I323" s="232"/>
      <c r="J323" s="311"/>
      <c r="K323" s="305" t="str">
        <f t="shared" si="941"/>
        <v/>
      </c>
      <c r="L323" s="313"/>
      <c r="M323" s="312"/>
      <c r="N323" s="311"/>
      <c r="O323" s="312"/>
      <c r="P323" s="311"/>
      <c r="Q323" s="305" t="str">
        <f t="shared" si="942"/>
        <v/>
      </c>
      <c r="R323" s="314"/>
      <c r="S323" s="450" t="str">
        <f t="shared" si="825"/>
        <v/>
      </c>
      <c r="T323" s="315"/>
      <c r="U323" s="315"/>
      <c r="W323" s="149" t="str">
        <f t="shared" si="826"/>
        <v xml:space="preserve"> </v>
      </c>
      <c r="X323" s="243" t="str">
        <f t="shared" si="827"/>
        <v xml:space="preserve"> </v>
      </c>
      <c r="Y323" s="150" t="str">
        <f t="shared" si="828"/>
        <v/>
      </c>
      <c r="Z323" s="149" t="str">
        <f t="shared" si="829"/>
        <v xml:space="preserve"> </v>
      </c>
      <c r="AA323" s="98" t="str">
        <f t="shared" si="830"/>
        <v xml:space="preserve"> </v>
      </c>
      <c r="AB323" s="153" t="str">
        <f t="shared" si="831"/>
        <v xml:space="preserve"> </v>
      </c>
      <c r="AC323" s="153" t="str">
        <f t="shared" si="832"/>
        <v xml:space="preserve"> </v>
      </c>
      <c r="AD323" s="148" t="str">
        <f t="shared" si="833"/>
        <v/>
      </c>
      <c r="AE323" s="149" t="str">
        <f t="shared" si="834"/>
        <v/>
      </c>
      <c r="AF323" s="151" t="str">
        <f t="shared" si="835"/>
        <v xml:space="preserve"> </v>
      </c>
      <c r="AG323" s="153" t="str">
        <f t="shared" si="836"/>
        <v xml:space="preserve"> </v>
      </c>
      <c r="AH323" s="98" t="str">
        <f t="shared" si="837"/>
        <v xml:space="preserve"> </v>
      </c>
      <c r="AI323" s="149" t="str">
        <f t="shared" si="838"/>
        <v xml:space="preserve"> </v>
      </c>
      <c r="AK323" s="144" t="str">
        <f t="shared" si="839"/>
        <v xml:space="preserve"> </v>
      </c>
      <c r="AL323" s="144"/>
      <c r="AM323" s="243" t="str">
        <f t="shared" si="840"/>
        <v xml:space="preserve"> </v>
      </c>
      <c r="AN323" s="149" t="str">
        <f t="shared" si="943"/>
        <v xml:space="preserve"> </v>
      </c>
      <c r="AO323" s="144" t="str">
        <f>IF(JB323&gt;0,IF(GI323=10,-R323*1.085*(Calculation!$F$6-Calculation!$F$13)*$S$14," "),"")</f>
        <v/>
      </c>
      <c r="AP323" s="144" t="str">
        <f t="shared" si="841"/>
        <v/>
      </c>
      <c r="AQ323" s="56" t="str">
        <f t="shared" si="842"/>
        <v/>
      </c>
      <c r="AR323" s="144" t="str">
        <f t="shared" si="843"/>
        <v/>
      </c>
      <c r="AS323" s="176" t="str">
        <f t="shared" si="844"/>
        <v/>
      </c>
      <c r="AT323" s="176" t="str">
        <f t="shared" si="944"/>
        <v xml:space="preserve"> </v>
      </c>
      <c r="AU323" s="176" t="str">
        <f t="shared" si="845"/>
        <v/>
      </c>
      <c r="AV323" s="177" t="str">
        <f t="shared" si="846"/>
        <v xml:space="preserve"> </v>
      </c>
      <c r="AW323" s="144" t="str">
        <f t="shared" si="847"/>
        <v xml:space="preserve"> </v>
      </c>
      <c r="AX323" s="144" t="str">
        <f t="shared" si="848"/>
        <v xml:space="preserve"> </v>
      </c>
      <c r="AY323" s="152" t="str">
        <f t="shared" si="849"/>
        <v xml:space="preserve"> </v>
      </c>
      <c r="AZ323" s="246" t="str">
        <f t="shared" si="850"/>
        <v/>
      </c>
      <c r="BA323" s="176" t="str">
        <f t="shared" si="851"/>
        <v xml:space="preserve"> </v>
      </c>
      <c r="BB323" s="176" t="str">
        <f t="shared" si="852"/>
        <v xml:space="preserve"> </v>
      </c>
      <c r="BC323" s="195"/>
      <c r="BD323" s="316"/>
      <c r="BE323" s="317"/>
      <c r="BF323" s="318"/>
      <c r="BG323" s="318"/>
      <c r="BH323" s="144" t="str">
        <f t="shared" si="1021"/>
        <v xml:space="preserve"> </v>
      </c>
      <c r="BI323" s="176" t="str">
        <f t="shared" si="853"/>
        <v/>
      </c>
      <c r="BJ323" s="144" t="str">
        <f t="shared" si="1022"/>
        <v/>
      </c>
      <c r="BK323" s="246" t="str">
        <f t="shared" si="854"/>
        <v/>
      </c>
      <c r="BL323" s="144" t="str">
        <f t="shared" si="1023"/>
        <v/>
      </c>
      <c r="BM323" s="246" t="str">
        <f t="shared" si="855"/>
        <v/>
      </c>
      <c r="BN323" s="337" t="str">
        <f t="shared" si="945"/>
        <v/>
      </c>
      <c r="BO323" s="371" t="str">
        <f t="shared" si="946"/>
        <v/>
      </c>
      <c r="BP323" s="328" t="str">
        <f t="shared" si="1024"/>
        <v xml:space="preserve"> </v>
      </c>
      <c r="BQ323" s="347" t="str">
        <f t="shared" si="947"/>
        <v xml:space="preserve"> </v>
      </c>
      <c r="BR323" s="353" t="str">
        <f t="shared" si="948"/>
        <v xml:space="preserve"> </v>
      </c>
      <c r="BS323" s="626" t="str">
        <f>IF(L323&gt;0,IF(Calculation!P323="M13",BR323*3.1416*(0.134^2)/(4*144),IF(Calculation!P323="M17",BR323*3.1416*(0.165^2)/(4*144),IF(Calculation!P323="M20",BR323*3.1416*(0.198^2)/(4*144),IF(Calculation!P323="M23",BR323*3.1416*(0.228^2)/(4*144),IF(Calculation!P323="M27",BR323*3.1416*(0.269^2)/(4*144),BR323*3.1416*(0.307^2)/(4*144))))))," ")</f>
        <v xml:space="preserve"> </v>
      </c>
      <c r="BT323" s="353" t="str">
        <f>IF(L323&gt;0,IF(BS323&gt;0,R323/Calculation!BS323,0)," ")</f>
        <v xml:space="preserve"> </v>
      </c>
      <c r="BU323" s="438" t="e">
        <f t="shared" ca="1" si="856"/>
        <v>#VALUE!</v>
      </c>
      <c r="BV323" s="449" t="e">
        <f ca="1">INDEX(INDIRECT(VLOOKUP(LEFT(BO323,7),CLU!$Z$3:$AH$18,2)),GN323,GR323)</f>
        <v>#N/A</v>
      </c>
      <c r="BW323" s="433" t="e">
        <f ca="1">INDEX(INDIRECT(VLOOKUP(LEFT(BO323,7),CLU!$Z$3:$AH$18,3)),GN323,GR323)</f>
        <v>#N/A</v>
      </c>
      <c r="BX323" s="433" t="e">
        <f ca="1">INDEX(INDIRECT(VLOOKUP(LEFT(BO323,7),CLU!$Z$3:$AH$18,4)),GN323,GR323)</f>
        <v>#N/A</v>
      </c>
      <c r="BY323" s="433" t="e">
        <f ca="1">INDEX(INDIRECT(VLOOKUP(LEFT(BO323,7),CLU!$Z$3:$AH$18,9)),((M323-2)*(6-COUNTBLANK(GT323:GY323)))+GJ323)</f>
        <v>#N/A</v>
      </c>
      <c r="BZ323" s="426" t="e">
        <f t="shared" ca="1" si="949"/>
        <v>#N/A</v>
      </c>
      <c r="CA323" s="424" t="e">
        <f t="shared" ca="1" si="950"/>
        <v>#N/A</v>
      </c>
      <c r="CB323" s="429" t="e">
        <f ca="1">INDEX(INDIRECT(VLOOKUP(LEFT(BO323,7),CLU!$Z$3:$AH$18,2)),GN323,GS323)</f>
        <v>#N/A</v>
      </c>
      <c r="CC323" s="342" t="e">
        <f ca="1">INDEX(INDIRECT(VLOOKUP(LEFT(BO323,7),CLU!$Z$3:$AH$18,3)),GN323,GS323)</f>
        <v>#N/A</v>
      </c>
      <c r="CD323" s="342" t="e">
        <f ca="1">INDEX(INDIRECT(VLOOKUP(LEFT(BO323,7),CLU!$Z$3:$AH$18,4)),GN323,GS323)</f>
        <v>#N/A</v>
      </c>
      <c r="CE323" s="426" t="e">
        <f t="shared" ca="1" si="951"/>
        <v>#N/A</v>
      </c>
      <c r="CF323" s="440">
        <f t="shared" si="952"/>
        <v>0</v>
      </c>
      <c r="CG323" s="431" t="e">
        <f ca="1">INDEX(INDIRECT(VLOOKUP(LEFT(BO323,7),CLU!$Z$3:$AH$18,2)),GQ323,GR323)</f>
        <v>#N/A</v>
      </c>
      <c r="CH323" s="431" t="e">
        <f ca="1">INDEX(INDIRECT(VLOOKUP(LEFT(BO323,7),CLU!$Z$3:$AH$18,3)),GQ323,GR323)</f>
        <v>#N/A</v>
      </c>
      <c r="CI323" s="431" t="e">
        <f ca="1">INDEX(INDIRECT(VLOOKUP(LEFT(BO323,7),CLU!$Z$3:$AH$18,4)),GQ323,GR323)</f>
        <v>#N/A</v>
      </c>
      <c r="CJ323" s="448" t="e">
        <f t="shared" ca="1" si="953"/>
        <v>#N/A</v>
      </c>
      <c r="CK323" s="431" t="e">
        <f t="shared" ca="1" si="954"/>
        <v>#N/A</v>
      </c>
      <c r="CL323" s="440" t="e">
        <f t="shared" ca="1" si="955"/>
        <v>#N/A</v>
      </c>
      <c r="CM323" s="431" t="e">
        <f ca="1">INDEX(INDIRECT(VLOOKUP(LEFT(BO323,7),CLU!$Z$3:$AH$18,2)),GQ323,GS323)</f>
        <v>#N/A</v>
      </c>
      <c r="CN323" s="431" t="e">
        <f ca="1">INDEX(INDIRECT(VLOOKUP(LEFT(BO323,7),CLU!$Z$3:$AH$18,3)),GQ323,GS323)</f>
        <v>#N/A</v>
      </c>
      <c r="CO323" s="431" t="e">
        <f ca="1">INDEX(INDIRECT(VLOOKUP(LEFT(BO323,7),CLU!$Z$3:$AH$18,4)),GQ323,GS323)</f>
        <v>#N/A</v>
      </c>
      <c r="CP323" s="431" t="e">
        <f t="shared" ca="1" si="956"/>
        <v>#N/A</v>
      </c>
      <c r="CQ323" s="440">
        <f t="shared" si="957"/>
        <v>0</v>
      </c>
      <c r="CR323" s="51" t="e">
        <f t="shared" ca="1" si="958"/>
        <v>#N/A</v>
      </c>
      <c r="CS323" s="439" t="e">
        <f t="shared" ca="1" si="959"/>
        <v>#VALUE!</v>
      </c>
      <c r="CT323" s="51" t="e">
        <f t="shared" ca="1" si="960"/>
        <v>#VALUE!</v>
      </c>
      <c r="CU323" s="10"/>
      <c r="CV323" s="51" t="e">
        <f t="shared" ca="1" si="857"/>
        <v>#VALUE!</v>
      </c>
      <c r="CW323" s="51">
        <f t="shared" si="961"/>
        <v>0</v>
      </c>
      <c r="CX323" s="439" t="e">
        <f t="shared" ca="1" si="962"/>
        <v>#VALUE!</v>
      </c>
      <c r="CY323" s="51" t="e">
        <f t="shared" ca="1" si="963"/>
        <v>#VALUE!</v>
      </c>
      <c r="CZ323" s="10"/>
      <c r="DA323" s="51" t="e">
        <f t="shared" ca="1" si="964"/>
        <v>#VALUE!</v>
      </c>
      <c r="DB323" s="347" t="e">
        <f ca="1">INDEX(INDIRECT(VLOOKUP(LEFT(BO323,7),CLU!$Z$3:$AI$18,10)),((M323-2)*(6-COUNTBLANK(GT323:GY323)))+GJ323)*LI323</f>
        <v>#N/A</v>
      </c>
      <c r="DC323" s="347" t="str">
        <f>IF(L323&gt;0,((R323/Worksheet!$I$15)/DB323)^2," ")</f>
        <v xml:space="preserve"> </v>
      </c>
      <c r="DD323" s="602" t="str">
        <f t="shared" si="965"/>
        <v xml:space="preserve"> </v>
      </c>
      <c r="DE323" s="347" t="str">
        <f t="shared" si="858"/>
        <v xml:space="preserve"> </v>
      </c>
      <c r="DF323" s="356" t="e">
        <f ca="1">INDEX(INDIRECT(VLOOKUP(LEFT(BO323,7),CLU!$Z$3:$AH$18,8)),((M323-2)*(6-COUNTBLANK(GT323:GY323)))+GJ323)</f>
        <v>#N/A</v>
      </c>
      <c r="DG323" s="347" t="str">
        <f t="shared" si="859"/>
        <v xml:space="preserve"> </v>
      </c>
      <c r="DH323" s="357" t="str">
        <f t="shared" si="860"/>
        <v xml:space="preserve"> </v>
      </c>
      <c r="DI323" s="355" t="str">
        <f t="shared" si="861"/>
        <v xml:space="preserve"> </v>
      </c>
      <c r="DJ323" s="245" t="e">
        <f ca="1">INDEX(INDIRECT(VLOOKUP(LEFT(BO323,7),CLU!$Z$3:$AH$18,5)),GL323,GK323)</f>
        <v>#N/A</v>
      </c>
      <c r="DK323" s="245" t="e">
        <f ca="1">INDEX(INDIRECT(VLOOKUP(LEFT(BO323,7),CLU!$Z$3:$AH$18,6)),GL323,GK323)</f>
        <v>#N/A</v>
      </c>
      <c r="DL323" s="355">
        <f>(Calculation!R323*0.69143*(Calculation!$BQ$8-Calculation!$F$8))*$S$14</f>
        <v>0</v>
      </c>
      <c r="DM323" s="359" t="e">
        <f t="shared" si="966"/>
        <v>#VALUE!</v>
      </c>
      <c r="DN323" s="611">
        <f t="shared" si="967"/>
        <v>0</v>
      </c>
      <c r="DO323" s="359">
        <f t="shared" si="968"/>
        <v>100</v>
      </c>
      <c r="DP323" s="359">
        <f t="shared" si="969"/>
        <v>0</v>
      </c>
      <c r="DQ323" s="360"/>
      <c r="DR323" s="245" t="e">
        <f ca="1">INDEX(INDIRECT(VLOOKUP(LEFT(BO323,7),CLU!$Z$3:$AH$18,7)),M323-1,1)</f>
        <v>#N/A</v>
      </c>
      <c r="DS323" s="245" t="e">
        <f ca="1">INDEX(INDIRECT(VLOOKUP(LEFT(BO323,7),CLU!$Z$3:$AH$18,7)),M323-1,2)</f>
        <v>#N/A</v>
      </c>
      <c r="DT323" s="245" t="e">
        <f ca="1">INDEX(INDIRECT(VLOOKUP(LEFT(BO323,7),CLU!$Z$3:$AH$18,7)),M323-1,3)</f>
        <v>#N/A</v>
      </c>
      <c r="DU323" s="245" t="e">
        <f ca="1">INDEX(INDIRECT(VLOOKUP(LEFT(BO323,7),CLU!$Z$3:$AH$18,7)),M323-1,4)</f>
        <v>#N/A</v>
      </c>
      <c r="DV323" s="361" t="e">
        <f ca="1">INDEX(INDIRECT(VLOOKUP(LEFT(BO323,7),CLU!$Z$3:$AH$18,7)),M323-1,4+LEFT(DZ323,1)*0.5)</f>
        <v>#N/A</v>
      </c>
      <c r="DW323" s="245" t="e">
        <f ca="1">INDEX(INDIRECT(VLOOKUP(LEFT(BO323,7),CLU!$Z$3:$AH$18,7)),M323-1,8)</f>
        <v>#N/A</v>
      </c>
      <c r="DX323" s="361" t="str">
        <f t="shared" si="862"/>
        <v xml:space="preserve"> </v>
      </c>
      <c r="DY323" s="361" t="str">
        <f t="shared" si="863"/>
        <v xml:space="preserve"> </v>
      </c>
      <c r="DZ323" s="361" t="str">
        <f t="shared" si="864"/>
        <v xml:space="preserve"> </v>
      </c>
      <c r="EA323" s="362" t="str">
        <f t="shared" si="865"/>
        <v xml:space="preserve"> </v>
      </c>
      <c r="EB323" s="624" t="str">
        <f t="shared" si="970"/>
        <v xml:space="preserve"> </v>
      </c>
      <c r="EC323" s="361" t="e">
        <f ca="1">INDEX(INDIRECT(VLOOKUP(LEFT(BO323,7),CLU!$Z$3:$AH$18,7)),M323-1,4+LEFT(DZ323,1)*0.5)</f>
        <v>#N/A</v>
      </c>
      <c r="ED323" s="362" t="str">
        <f t="shared" si="866"/>
        <v xml:space="preserve"> </v>
      </c>
      <c r="EE323" s="361" t="str">
        <f t="shared" si="867"/>
        <v xml:space="preserve"> </v>
      </c>
      <c r="EF323" s="362" t="str">
        <f>IF(L323&gt;0,IF(BR323&gt;0,IF(EE323="2P",IF(Calculation!DZ323="2P",IF(Calculation!DS323=13.75,IF(Calculation!DR323=13,Worksheet!$BD$43,IF(Calculation!DR323=37,Worksheet!$BD$44,Worksheet!$BD$45)),IF(Calculation!DS323=10,IF(Calculation!DR323=18,Worksheet!$BD$29,IF(Calculation!DR323=30,Worksheet!$BD$30,IF(Calculation!DR323=42,Worksheet!$BD$31,IF(Calculation!DR323=54,Worksheet!$BD$32,IF(Calculation!DR323=66,Worksheet!$BD$33,IF(Calculation!DR323=78,Worksheet!$BD$34,IF(Calculation!DR323=90,Worksheet!$BD$35,IF(Calculation!DR323=102,Worksheet!$BD$36,Worksheet!$BD$37)))))))),IF(Calculation!DS323=12.5,IF(Calculation!DR323=18,Worksheet!$BD$38,IF(Calculation!DR323=Worksheet!$BD$39,IF(Calculation!DR323=42,Worksheet!$BD$40,IF(Calculation!DR323=54,Worksheet!$BD$41,Worksheet!$BD$42)))),IF(Calculation!DR323=18,Worksheet!$BD$11,IF(Calculation!DR323=30,Worksheet!$BD$12,IF(Calculation!DR323=42,Worksheet!$BD$13,IF(Calculation!DR323=54,Worksheet!$BD$14,IF(Calculation!DR323=66,Worksheet!$BD$15,IF(Calculation!DR323=78,Worksheet!$BD$16,IF(Calculation!DR323=90,Worksheet!$BD$17,IF(Calculation!DR323=102,Worksheet!$BD$18,Worksheet!$BD$19))))))))))),IF(Calculation!DS323=13.75,IF(Calculation!DR323=13,Worksheet!$BD$78,IF(Calculation!DR323=37,Worksheet!$BD$79,Worksheet!$BD$80)),IF(Calculation!DS323=10,IF(Calculation!DR323=18,Worksheet!$BD$64,IF(Calculation!DR323=30,Worksheet!$BD$65,IF(Calculation!DR323=42,Worksheet!$BD$66,IF(Calculation!DR323=54,Worksheet!$BD$68,IF(Calculation!DR323=66,Worksheet!$BD$68,IF(Calculation!DR323=78,Worksheet!$BD$69,IF(Calculation!DR323=90,Worksheet!$BD$70,IF(Calculation!DR323=102,Worksheet!$BD$71,Worksheet!$BD$72)))))))),IF(Calculation!DS323=12.5,IF(Calculation!DR323=18,Worksheet!$BD$73,IF(Calculation!DR323=Worksheet!$BD$74,IF(Calculation!DR323=42,Worksheet!$BD$75,IF(Calculation!DR323=54,Worksheet!$BD$76,Worksheet!$BD$77)))),IF(Calculation!DR323=18,Worksheet!$BD$55,IF(Calculation!DR323=30,Worksheet!$BD$56,IF(Calculation!DR323=42,Worksheet!$BD$57,IF(Calculation!DR323=54,Worksheet!$BD$58,IF(Calculation!DR323=66,Worksheet!$BD$59,IF(Calculation!DR323=78,Worksheet!$BD$60,IF(Calculation!DR323=90,Worksheet!$BD$61,IF(Calculation!DR323=102,Worksheet!$BD$62,Worksheet!$BD$63)))))))))))),5),0)," ")</f>
        <v xml:space="preserve"> </v>
      </c>
      <c r="EG323" s="361" t="str">
        <f t="shared" si="868"/>
        <v xml:space="preserve"> </v>
      </c>
      <c r="EH323" s="361" t="e">
        <f ca="1">INDEX(INDIRECT(VLOOKUP(LEFT(BO323,7),CLU!$Z$3:$AH$18,7)),M323-1,3+LEFT(DZ323,1))</f>
        <v>#N/A</v>
      </c>
      <c r="EI323" s="362" t="str">
        <f t="shared" si="869"/>
        <v xml:space="preserve"> </v>
      </c>
      <c r="EJ323" s="363" t="str">
        <f t="shared" si="870"/>
        <v xml:space="preserve"> </v>
      </c>
      <c r="EK323" s="363" t="str">
        <f t="shared" si="871"/>
        <v xml:space="preserve"> </v>
      </c>
      <c r="EL323" s="363" t="str">
        <f t="shared" si="872"/>
        <v xml:space="preserve"> </v>
      </c>
      <c r="EM323" s="362" t="str">
        <f>IF(L323&gt;0,IF(BR323&gt;0,(Calculation!T323/ED323)^2,0)," ")</f>
        <v xml:space="preserve"> </v>
      </c>
      <c r="EN323" s="362" t="str">
        <f>IF(L323&gt;0,IF(O323="2 Pipe (Cooling)","N/A",IF(BR323&gt;0,(Calculation!U323/EI323)^2,0))," ")</f>
        <v xml:space="preserve"> </v>
      </c>
      <c r="EO323" s="361" t="str">
        <f t="shared" si="873"/>
        <v/>
      </c>
      <c r="EP323" s="361" t="str">
        <f t="shared" si="874"/>
        <v/>
      </c>
      <c r="EQ323" s="361" t="str">
        <f t="shared" si="875"/>
        <v/>
      </c>
      <c r="ER323" s="361" t="str">
        <f t="shared" si="876"/>
        <v/>
      </c>
      <c r="ES323" s="361" t="str">
        <f t="shared" si="877"/>
        <v/>
      </c>
      <c r="ET323" s="361" t="str">
        <f t="shared" si="878"/>
        <v/>
      </c>
      <c r="EU323" s="361" t="str">
        <f t="shared" si="879"/>
        <v/>
      </c>
      <c r="EV323" s="361" t="str">
        <f t="shared" si="880"/>
        <v/>
      </c>
      <c r="EW323" s="361" t="str">
        <f t="shared" si="881"/>
        <v/>
      </c>
      <c r="EX323" s="361" t="str">
        <f t="shared" si="971"/>
        <v>1 slot, 1 way</v>
      </c>
      <c r="EY323" s="361" t="str">
        <f t="shared" si="972"/>
        <v xml:space="preserve"> </v>
      </c>
      <c r="EZ323" s="361" t="str">
        <f t="shared" si="973"/>
        <v xml:space="preserve"> </v>
      </c>
      <c r="FA323" s="361" t="str">
        <f t="shared" si="974"/>
        <v xml:space="preserve"> </v>
      </c>
      <c r="FB323" s="361" t="str">
        <f t="shared" si="975"/>
        <v xml:space="preserve"> </v>
      </c>
      <c r="FC323" s="361"/>
      <c r="FD323" s="361" t="str">
        <f>IF(J323&gt;0,IF(Calculation!R323&lt;=70,4,IF(Calculation!R323&lt;=110,5,IF(Calculation!R323&lt;=160,6,IF(Calculation!R323&lt;=300,8,"10 EO")))),"")</f>
        <v/>
      </c>
      <c r="FE323" s="361" t="str">
        <f t="shared" si="976"/>
        <v/>
      </c>
      <c r="FF323" s="361" t="str">
        <f t="shared" si="977"/>
        <v/>
      </c>
      <c r="FG323" s="361" t="e">
        <f t="shared" si="882"/>
        <v>#N/A</v>
      </c>
      <c r="FH323" s="361">
        <f t="shared" si="883"/>
        <v>0</v>
      </c>
      <c r="FI323" s="361" t="e">
        <f t="shared" si="884"/>
        <v>#DIV/0!</v>
      </c>
      <c r="FJ323" s="361"/>
      <c r="FK323" s="356" t="e">
        <f t="shared" si="885"/>
        <v>#VALUE!</v>
      </c>
      <c r="FL323" s="361"/>
      <c r="FM323" s="361"/>
      <c r="FN323" s="362" t="str">
        <f t="shared" si="978"/>
        <v xml:space="preserve"> </v>
      </c>
      <c r="FO323" s="362" t="str">
        <f t="shared" si="979"/>
        <v xml:space="preserve"> </v>
      </c>
      <c r="FP323" s="362">
        <f t="shared" si="980"/>
        <v>0</v>
      </c>
      <c r="FQ323" s="361">
        <f t="shared" si="886"/>
        <v>0</v>
      </c>
      <c r="FR323" s="362" t="str">
        <f>IF(L323&gt;0,IF(J323="CBAL2",Worksheet!$P$67,IF(J323="CBE2-24",Worksheet!$Q$67,IF(J323="CBAM",Worksheet!$R$67,IF(J323="CBLV",Worksheet!$S$67,IF(J323="CBAB",Worksheet!$U$67,IF(J323="CBAW",Worksheet!$X$67,IF(J323="CBE2-12",Worksheet!$Y$67,IF(J323="CBAL2",Worksheet!$Z$67,"N/A"))))))))," ")</f>
        <v xml:space="preserve"> </v>
      </c>
      <c r="FS323" s="362" t="str">
        <f>IF(L323&gt;0,IF(J323="CBAL2",Worksheet!$P$68,IF(J323="CBE2-24",Worksheet!$Q$68,IF(J323="CBAM",Worksheet!$R$68,IF(J323="CBLV",Worksheet!$S$68,IF(J323="CBAB",Worksheet!$U$68,IF(J323="CBAW",Worksheet!$X$68,IF(J323="CBE2-12",Worksheet!$Y$68,IF(J323="CBAL2",Worksheet!$Z$68,"N/A"))))))))," ")</f>
        <v xml:space="preserve"> </v>
      </c>
      <c r="FT323" s="362" t="str">
        <f>IF(L323&gt;0,IF(J323="CBAL2",Worksheet!$P$69,IF(J323="CBE2-24",Worksheet!$Q$69,IF(J323="CBAM",Worksheet!$R$69,IF(J323="CBLV",Worksheet!$S$69,IF(J323="CBAB",Worksheet!$U$69,IF(J323="CBAW",Worksheet!$X$69,IF(J323="CBE2-12",Worksheet!$Y$69,IF(J323="CBAL2",Worksheet!$Z$69,"N/A"))))))))," ")</f>
        <v xml:space="preserve"> </v>
      </c>
      <c r="FU323" s="361" t="str">
        <f t="shared" si="981"/>
        <v xml:space="preserve"> </v>
      </c>
      <c r="FV323" s="362" t="str">
        <f t="shared" si="982"/>
        <v xml:space="preserve"> </v>
      </c>
      <c r="FW323" s="362" t="str">
        <f t="shared" si="983"/>
        <v xml:space="preserve"> </v>
      </c>
      <c r="FX323" s="362" t="str">
        <f t="shared" si="984"/>
        <v xml:space="preserve"> </v>
      </c>
      <c r="FY323" s="355" t="str">
        <f t="shared" si="985"/>
        <v xml:space="preserve"> </v>
      </c>
      <c r="FZ323" s="361" t="str">
        <f t="shared" si="986"/>
        <v xml:space="preserve"> </v>
      </c>
      <c r="GA323" s="347" t="str">
        <f t="shared" si="987"/>
        <v xml:space="preserve"> </v>
      </c>
      <c r="GB323" s="355" t="str">
        <f t="shared" si="988"/>
        <v xml:space="preserve"> </v>
      </c>
      <c r="GC323" s="328" t="str">
        <f t="shared" si="989"/>
        <v xml:space="preserve"> </v>
      </c>
      <c r="GD323" s="361" t="str">
        <f t="shared" si="990"/>
        <v xml:space="preserve"> </v>
      </c>
      <c r="GE323" s="347" t="str">
        <f t="shared" si="991"/>
        <v xml:space="preserve"> </v>
      </c>
      <c r="GF323" s="361" t="str">
        <f t="shared" si="992"/>
        <v xml:space="preserve"> </v>
      </c>
      <c r="GG323" s="347" t="str">
        <f t="shared" si="993"/>
        <v xml:space="preserve"> </v>
      </c>
      <c r="GH323" s="364">
        <f t="shared" si="887"/>
        <v>0</v>
      </c>
      <c r="GI323" s="362">
        <f t="shared" si="994"/>
        <v>2</v>
      </c>
      <c r="GJ323" s="433" t="e">
        <f>IF(6-COUNTBLANK(GT323:GY323)=4,MATCH(MID(BO323,9,3),CLU!$H$16:$K$16),MATCH(MID(BO323,9,3),CLU!$H$13:$M$13))</f>
        <v>#N/A</v>
      </c>
      <c r="GK323" s="433" t="e">
        <f>HLOOKUP(VALUE(BP323),CLU!$H$9:$M$10,2)</f>
        <v>#VALUE!</v>
      </c>
      <c r="GL323" s="433" t="e">
        <f ca="1">MATCH(BU323,CLU!$H$2:$V$2,1)</f>
        <v>#VALUE!</v>
      </c>
      <c r="GM323" s="433" t="e">
        <f t="shared" ca="1" si="995"/>
        <v>#VALUE!</v>
      </c>
      <c r="GN323" s="433" t="e">
        <f t="shared" ca="1" si="996"/>
        <v>#VALUE!</v>
      </c>
      <c r="GO323" s="433" t="e">
        <f t="shared" ca="1" si="997"/>
        <v>#VALUE!</v>
      </c>
      <c r="GP323" s="433" t="e">
        <f t="shared" ca="1" si="998"/>
        <v>#VALUE!</v>
      </c>
      <c r="GQ323" s="433" t="e">
        <f t="shared" ca="1" si="999"/>
        <v>#VALUE!</v>
      </c>
      <c r="GR323" s="433" t="e">
        <f ca="1">MATCH(T323,INDIRECT(VLOOKUP(CONCATENATE(LEFT(BO323,7),"-",MID(BO323,13,1)),CLU!$P$3:$Q$16,2)),1)</f>
        <v>#N/A</v>
      </c>
      <c r="GS323" s="433" t="e">
        <f ca="1">MATCH(U323,INDIRECT(VLOOKUP(CONCATENATE(LEFT(BO323,7),"-",MID(BO323,13,1)),CLU!$P$3:$Q$16,2)),1)</f>
        <v>#N/A</v>
      </c>
      <c r="GT323" s="347" t="s">
        <v>512</v>
      </c>
      <c r="GU323" s="97" t="s">
        <v>513</v>
      </c>
      <c r="GV323" s="97" t="str">
        <f t="shared" si="1000"/>
        <v>M23</v>
      </c>
      <c r="GW323" s="97" t="str">
        <f t="shared" si="1001"/>
        <v>M31</v>
      </c>
      <c r="GX323" s="97" t="str">
        <f t="shared" si="1002"/>
        <v/>
      </c>
      <c r="GY323" s="97" t="str">
        <f t="shared" si="1003"/>
        <v/>
      </c>
      <c r="GZ323" s="481"/>
      <c r="HA323" s="240"/>
      <c r="HB323" s="240"/>
      <c r="HC323" s="240"/>
      <c r="HD323" s="240"/>
      <c r="HE323" s="240"/>
      <c r="HF323" s="240"/>
      <c r="HG323" s="240"/>
      <c r="HH323" s="240"/>
      <c r="HI323" s="240"/>
      <c r="HJ323" s="240"/>
      <c r="HK323" s="240"/>
      <c r="HL323" s="240"/>
      <c r="HM323" s="240"/>
      <c r="HN323" s="240"/>
      <c r="HO323" s="240"/>
      <c r="HP323" s="240"/>
      <c r="HQ323" s="240"/>
      <c r="HR323" s="240"/>
      <c r="HS323" s="240"/>
      <c r="HT323" s="240"/>
      <c r="HU323" s="240"/>
      <c r="HV323" s="245"/>
      <c r="HW323" s="245" t="b">
        <v>1</v>
      </c>
      <c r="HX323" s="245" t="str">
        <f t="shared" si="888"/>
        <v/>
      </c>
      <c r="HY323" s="245" t="e">
        <f t="shared" si="889"/>
        <v>#DIV/0!</v>
      </c>
      <c r="HZ323" s="245" t="e">
        <f t="shared" si="890"/>
        <v>#DIV/0!</v>
      </c>
      <c r="IA323" s="245">
        <f t="shared" si="891"/>
        <v>0</v>
      </c>
      <c r="IB323" s="245"/>
      <c r="IC323" t="b">
        <f t="shared" si="892"/>
        <v>1</v>
      </c>
      <c r="ID323" s="245" t="b">
        <f t="shared" si="893"/>
        <v>1</v>
      </c>
      <c r="IE323" s="245" t="b">
        <f t="shared" si="894"/>
        <v>1</v>
      </c>
      <c r="IF323" s="245" t="b">
        <f t="shared" si="895"/>
        <v>0</v>
      </c>
      <c r="IG323" s="245" t="b">
        <f t="shared" si="896"/>
        <v>1</v>
      </c>
      <c r="IH323" s="245" t="b">
        <f t="shared" si="897"/>
        <v>1</v>
      </c>
      <c r="II323" s="245">
        <f t="shared" si="1004"/>
        <v>0</v>
      </c>
      <c r="IJ323" s="245" t="e">
        <f t="shared" si="898"/>
        <v>#VALUE!</v>
      </c>
      <c r="IK323" s="245" t="e">
        <f t="shared" si="899"/>
        <v>#VALUE!</v>
      </c>
      <c r="IL323" s="245"/>
      <c r="IM323" s="245" t="e">
        <f t="shared" si="1005"/>
        <v>#N/A</v>
      </c>
      <c r="IN323" s="245" t="e">
        <f t="shared" si="1006"/>
        <v>#N/A</v>
      </c>
      <c r="IO323" s="245"/>
      <c r="IP323" s="245"/>
      <c r="IQ323" s="245" t="str">
        <f t="shared" si="900"/>
        <v/>
      </c>
      <c r="IR323" s="245" t="str">
        <f>IF(J323="","",VLOOKUP(J323,Worksheet!$R$4:$T$14,2))</f>
        <v/>
      </c>
      <c r="IS323" s="245"/>
      <c r="IT323" s="245">
        <f t="shared" si="901"/>
        <v>0</v>
      </c>
      <c r="IU323" s="245">
        <f t="shared" si="902"/>
        <v>0</v>
      </c>
      <c r="IV323" s="245">
        <f t="shared" si="903"/>
        <v>0</v>
      </c>
      <c r="IW323" s="245">
        <f t="shared" si="904"/>
        <v>0</v>
      </c>
      <c r="IX323" s="245">
        <f t="shared" si="1007"/>
        <v>0</v>
      </c>
      <c r="IY323" s="245">
        <f t="shared" si="905"/>
        <v>0</v>
      </c>
      <c r="IZ323" s="245">
        <f t="shared" si="906"/>
        <v>0</v>
      </c>
      <c r="JA323">
        <f t="shared" si="907"/>
        <v>0</v>
      </c>
      <c r="JB323">
        <f t="shared" si="1008"/>
        <v>0</v>
      </c>
      <c r="JC323">
        <f t="shared" si="908"/>
        <v>0</v>
      </c>
      <c r="JD323">
        <f t="shared" si="909"/>
        <v>0</v>
      </c>
      <c r="JE323">
        <f t="shared" si="910"/>
        <v>0</v>
      </c>
      <c r="JF323">
        <f t="shared" si="911"/>
        <v>0</v>
      </c>
      <c r="JG323">
        <f t="shared" si="912"/>
        <v>0</v>
      </c>
      <c r="JH323">
        <f t="shared" si="913"/>
        <v>0</v>
      </c>
      <c r="JI323">
        <f t="shared" si="914"/>
        <v>0</v>
      </c>
      <c r="JJ323" s="447">
        <f t="shared" si="915"/>
        <v>0</v>
      </c>
      <c r="JK323" s="447">
        <f t="shared" si="916"/>
        <v>0</v>
      </c>
      <c r="JL323">
        <f t="shared" si="917"/>
        <v>0</v>
      </c>
      <c r="JM323" s="245" t="str">
        <f>IFERROR(VLOOKUP(MATCH(BN323,#REF!,0),#REF!,7),"")</f>
        <v/>
      </c>
      <c r="JN323" t="e">
        <f>HLOOKUP(LEFT(BO323,7),Discharge_Area,MATCH(JO323,LookUps!$B$130:$B$149,1)+2)</f>
        <v>#N/A</v>
      </c>
      <c r="JO323" t="str">
        <f t="shared" si="918"/>
        <v>- S</v>
      </c>
      <c r="JP323" t="e">
        <f>HLOOKUP(LEFT(BO323,7),Discharge_Area,MATCH(JO323,LookUps!$B$130:$B$149,1)+2)</f>
        <v>#N/A</v>
      </c>
      <c r="JQ323" t="e">
        <f t="shared" si="919"/>
        <v>#N/A</v>
      </c>
      <c r="JR323" t="e">
        <f t="shared" si="920"/>
        <v>#N/A</v>
      </c>
      <c r="JS323" t="e">
        <f t="shared" si="921"/>
        <v>#N/A</v>
      </c>
      <c r="JT323" s="532" t="str">
        <f t="shared" si="922"/>
        <v xml:space="preserve"> </v>
      </c>
      <c r="JU323" s="532" t="str">
        <f t="shared" si="923"/>
        <v xml:space="preserve"> </v>
      </c>
      <c r="JV323" s="533" t="str">
        <f t="shared" si="924"/>
        <v xml:space="preserve"> </v>
      </c>
      <c r="JW323" s="534">
        <f t="shared" si="925"/>
        <v>0</v>
      </c>
      <c r="JX323" s="535" t="str">
        <f t="shared" si="1009"/>
        <v xml:space="preserve"> </v>
      </c>
      <c r="JY323" s="535" t="str">
        <f t="shared" si="1010"/>
        <v xml:space="preserve"> </v>
      </c>
      <c r="JZ323" s="535" t="str">
        <f t="shared" si="1011"/>
        <v xml:space="preserve"> </v>
      </c>
      <c r="KA323" s="536" t="str">
        <f t="shared" si="926"/>
        <v xml:space="preserve"> </v>
      </c>
      <c r="KB323" s="535" t="e">
        <f t="shared" si="1012"/>
        <v>#VALUE!</v>
      </c>
      <c r="KC323" s="535" t="str">
        <f t="shared" si="927"/>
        <v/>
      </c>
      <c r="KD323" s="537" t="str">
        <f t="shared" si="1013"/>
        <v xml:space="preserve"> </v>
      </c>
      <c r="KE323" s="537" t="str">
        <f t="shared" si="1014"/>
        <v xml:space="preserve"> </v>
      </c>
      <c r="KF323" s="534">
        <f t="shared" si="928"/>
        <v>0</v>
      </c>
      <c r="KG323" s="535" t="str">
        <f t="shared" si="929"/>
        <v xml:space="preserve"> </v>
      </c>
      <c r="KH323" s="535" t="str">
        <f t="shared" si="930"/>
        <v xml:space="preserve"> </v>
      </c>
      <c r="KI323" s="535" t="str">
        <f t="shared" si="931"/>
        <v xml:space="preserve"> </v>
      </c>
      <c r="KJ323" s="536" t="str">
        <f t="shared" si="932"/>
        <v xml:space="preserve"> </v>
      </c>
      <c r="KK323" s="535" t="str">
        <f t="shared" si="1015"/>
        <v xml:space="preserve"> </v>
      </c>
      <c r="KL323" s="535" t="str">
        <f t="shared" si="1016"/>
        <v xml:space="preserve"> </v>
      </c>
      <c r="KM323" s="537" t="str">
        <f t="shared" si="933"/>
        <v xml:space="preserve"> </v>
      </c>
      <c r="KN323" s="537" t="str">
        <f t="shared" si="1017"/>
        <v xml:space="preserve"> </v>
      </c>
      <c r="KP323">
        <f t="shared" si="934"/>
        <v>0</v>
      </c>
      <c r="LA323" t="e">
        <f t="shared" si="935"/>
        <v>#VALUE!</v>
      </c>
      <c r="LB323" t="e">
        <f t="shared" si="936"/>
        <v>#VALUE!</v>
      </c>
      <c r="LC323" t="e">
        <f t="shared" si="937"/>
        <v>#VALUE!</v>
      </c>
      <c r="LD323" t="e">
        <f t="shared" si="938"/>
        <v>#VALUE!</v>
      </c>
      <c r="LE323" t="e">
        <f t="shared" si="1018"/>
        <v>#VALUE!</v>
      </c>
      <c r="LF323">
        <f t="shared" si="939"/>
        <v>0</v>
      </c>
      <c r="LG323" t="e">
        <f t="shared" si="1019"/>
        <v>#VALUE!</v>
      </c>
      <c r="LH323" t="str">
        <f t="shared" si="940"/>
        <v xml:space="preserve"> </v>
      </c>
      <c r="LI323">
        <f t="shared" si="1020"/>
        <v>1</v>
      </c>
    </row>
    <row r="324" spans="2:321" ht="15" customHeight="1">
      <c r="B324" s="311"/>
      <c r="C324" s="311"/>
      <c r="D324" s="312"/>
      <c r="E324" s="311"/>
      <c r="F324" s="312"/>
      <c r="G324" s="311"/>
      <c r="H324" s="311"/>
      <c r="I324" s="232"/>
      <c r="J324" s="311"/>
      <c r="K324" s="305" t="str">
        <f t="shared" si="941"/>
        <v/>
      </c>
      <c r="L324" s="313"/>
      <c r="M324" s="312"/>
      <c r="N324" s="311"/>
      <c r="O324" s="312"/>
      <c r="P324" s="311"/>
      <c r="Q324" s="305" t="str">
        <f t="shared" si="942"/>
        <v/>
      </c>
      <c r="R324" s="314"/>
      <c r="S324" s="450" t="str">
        <f t="shared" si="825"/>
        <v/>
      </c>
      <c r="T324" s="315"/>
      <c r="U324" s="315"/>
      <c r="W324" s="149" t="str">
        <f t="shared" si="826"/>
        <v xml:space="preserve"> </v>
      </c>
      <c r="X324" s="243" t="str">
        <f t="shared" si="827"/>
        <v xml:space="preserve"> </v>
      </c>
      <c r="Y324" s="150" t="str">
        <f t="shared" si="828"/>
        <v/>
      </c>
      <c r="Z324" s="149" t="str">
        <f t="shared" si="829"/>
        <v xml:space="preserve"> </v>
      </c>
      <c r="AA324" s="98" t="str">
        <f t="shared" si="830"/>
        <v xml:space="preserve"> </v>
      </c>
      <c r="AB324" s="153" t="str">
        <f t="shared" si="831"/>
        <v xml:space="preserve"> </v>
      </c>
      <c r="AC324" s="153" t="str">
        <f t="shared" si="832"/>
        <v xml:space="preserve"> </v>
      </c>
      <c r="AD324" s="148" t="str">
        <f t="shared" si="833"/>
        <v/>
      </c>
      <c r="AE324" s="149" t="str">
        <f t="shared" si="834"/>
        <v/>
      </c>
      <c r="AF324" s="151" t="str">
        <f t="shared" si="835"/>
        <v xml:space="preserve"> </v>
      </c>
      <c r="AG324" s="153" t="str">
        <f t="shared" si="836"/>
        <v xml:space="preserve"> </v>
      </c>
      <c r="AH324" s="98" t="str">
        <f t="shared" si="837"/>
        <v xml:space="preserve"> </v>
      </c>
      <c r="AI324" s="149" t="str">
        <f t="shared" si="838"/>
        <v xml:space="preserve"> </v>
      </c>
      <c r="AK324" s="144" t="str">
        <f t="shared" si="839"/>
        <v xml:space="preserve"> </v>
      </c>
      <c r="AL324" s="144"/>
      <c r="AM324" s="243" t="str">
        <f t="shared" si="840"/>
        <v xml:space="preserve"> </v>
      </c>
      <c r="AN324" s="149" t="str">
        <f t="shared" si="943"/>
        <v xml:space="preserve"> </v>
      </c>
      <c r="AO324" s="144" t="str">
        <f>IF(JB324&gt;0,IF(GI324=10,-R324*1.085*(Calculation!$F$6-Calculation!$F$13)*$S$14," "),"")</f>
        <v/>
      </c>
      <c r="AP324" s="144" t="str">
        <f t="shared" si="841"/>
        <v/>
      </c>
      <c r="AQ324" s="56" t="str">
        <f t="shared" si="842"/>
        <v/>
      </c>
      <c r="AR324" s="144" t="str">
        <f t="shared" si="843"/>
        <v/>
      </c>
      <c r="AS324" s="176" t="str">
        <f t="shared" si="844"/>
        <v/>
      </c>
      <c r="AT324" s="176" t="str">
        <f t="shared" si="944"/>
        <v xml:space="preserve"> </v>
      </c>
      <c r="AU324" s="176" t="str">
        <f t="shared" si="845"/>
        <v/>
      </c>
      <c r="AV324" s="177" t="str">
        <f t="shared" si="846"/>
        <v xml:space="preserve"> </v>
      </c>
      <c r="AW324" s="144" t="str">
        <f t="shared" si="847"/>
        <v xml:space="preserve"> </v>
      </c>
      <c r="AX324" s="144" t="str">
        <f t="shared" si="848"/>
        <v xml:space="preserve"> </v>
      </c>
      <c r="AY324" s="152" t="str">
        <f t="shared" si="849"/>
        <v xml:space="preserve"> </v>
      </c>
      <c r="AZ324" s="246" t="str">
        <f t="shared" si="850"/>
        <v/>
      </c>
      <c r="BA324" s="176" t="str">
        <f t="shared" si="851"/>
        <v xml:space="preserve"> </v>
      </c>
      <c r="BB324" s="176" t="str">
        <f t="shared" si="852"/>
        <v xml:space="preserve"> </v>
      </c>
      <c r="BC324" s="195"/>
      <c r="BD324" s="316"/>
      <c r="BE324" s="317"/>
      <c r="BF324" s="318"/>
      <c r="BG324" s="318"/>
      <c r="BH324" s="144" t="str">
        <f t="shared" si="1021"/>
        <v xml:space="preserve"> </v>
      </c>
      <c r="BI324" s="176" t="str">
        <f t="shared" si="853"/>
        <v/>
      </c>
      <c r="BJ324" s="144" t="str">
        <f t="shared" si="1022"/>
        <v/>
      </c>
      <c r="BK324" s="246" t="str">
        <f t="shared" si="854"/>
        <v/>
      </c>
      <c r="BL324" s="144" t="str">
        <f t="shared" si="1023"/>
        <v/>
      </c>
      <c r="BM324" s="246" t="str">
        <f t="shared" si="855"/>
        <v/>
      </c>
      <c r="BN324" s="337" t="str">
        <f t="shared" si="945"/>
        <v/>
      </c>
      <c r="BO324" s="371" t="str">
        <f t="shared" si="946"/>
        <v/>
      </c>
      <c r="BP324" s="328" t="str">
        <f t="shared" si="1024"/>
        <v xml:space="preserve"> </v>
      </c>
      <c r="BQ324" s="347" t="str">
        <f t="shared" si="947"/>
        <v xml:space="preserve"> </v>
      </c>
      <c r="BR324" s="353" t="str">
        <f t="shared" si="948"/>
        <v xml:space="preserve"> </v>
      </c>
      <c r="BS324" s="626" t="str">
        <f>IF(L324&gt;0,IF(Calculation!P324="M13",BR324*3.1416*(0.134^2)/(4*144),IF(Calculation!P324="M17",BR324*3.1416*(0.165^2)/(4*144),IF(Calculation!P324="M20",BR324*3.1416*(0.198^2)/(4*144),IF(Calculation!P324="M23",BR324*3.1416*(0.228^2)/(4*144),IF(Calculation!P324="M27",BR324*3.1416*(0.269^2)/(4*144),BR324*3.1416*(0.307^2)/(4*144))))))," ")</f>
        <v xml:space="preserve"> </v>
      </c>
      <c r="BT324" s="353" t="str">
        <f>IF(L324&gt;0,IF(BS324&gt;0,R324/Calculation!BS324,0)," ")</f>
        <v xml:space="preserve"> </v>
      </c>
      <c r="BU324" s="438" t="e">
        <f t="shared" ca="1" si="856"/>
        <v>#VALUE!</v>
      </c>
      <c r="BV324" s="449" t="e">
        <f ca="1">INDEX(INDIRECT(VLOOKUP(LEFT(BO324,7),CLU!$Z$3:$AH$18,2)),GN324,GR324)</f>
        <v>#N/A</v>
      </c>
      <c r="BW324" s="433" t="e">
        <f ca="1">INDEX(INDIRECT(VLOOKUP(LEFT(BO324,7),CLU!$Z$3:$AH$18,3)),GN324,GR324)</f>
        <v>#N/A</v>
      </c>
      <c r="BX324" s="433" t="e">
        <f ca="1">INDEX(INDIRECT(VLOOKUP(LEFT(BO324,7),CLU!$Z$3:$AH$18,4)),GN324,GR324)</f>
        <v>#N/A</v>
      </c>
      <c r="BY324" s="433" t="e">
        <f ca="1">INDEX(INDIRECT(VLOOKUP(LEFT(BO324,7),CLU!$Z$3:$AH$18,9)),((M324-2)*(6-COUNTBLANK(GT324:GY324)))+GJ324)</f>
        <v>#N/A</v>
      </c>
      <c r="BZ324" s="426" t="e">
        <f t="shared" ca="1" si="949"/>
        <v>#N/A</v>
      </c>
      <c r="CA324" s="424" t="e">
        <f t="shared" ca="1" si="950"/>
        <v>#N/A</v>
      </c>
      <c r="CB324" s="429" t="e">
        <f ca="1">INDEX(INDIRECT(VLOOKUP(LEFT(BO324,7),CLU!$Z$3:$AH$18,2)),GN324,GS324)</f>
        <v>#N/A</v>
      </c>
      <c r="CC324" s="342" t="e">
        <f ca="1">INDEX(INDIRECT(VLOOKUP(LEFT(BO324,7),CLU!$Z$3:$AH$18,3)),GN324,GS324)</f>
        <v>#N/A</v>
      </c>
      <c r="CD324" s="342" t="e">
        <f ca="1">INDEX(INDIRECT(VLOOKUP(LEFT(BO324,7),CLU!$Z$3:$AH$18,4)),GN324,GS324)</f>
        <v>#N/A</v>
      </c>
      <c r="CE324" s="426" t="e">
        <f t="shared" ca="1" si="951"/>
        <v>#N/A</v>
      </c>
      <c r="CF324" s="440">
        <f t="shared" si="952"/>
        <v>0</v>
      </c>
      <c r="CG324" s="431" t="e">
        <f ca="1">INDEX(INDIRECT(VLOOKUP(LEFT(BO324,7),CLU!$Z$3:$AH$18,2)),GQ324,GR324)</f>
        <v>#N/A</v>
      </c>
      <c r="CH324" s="431" t="e">
        <f ca="1">INDEX(INDIRECT(VLOOKUP(LEFT(BO324,7),CLU!$Z$3:$AH$18,3)),GQ324,GR324)</f>
        <v>#N/A</v>
      </c>
      <c r="CI324" s="431" t="e">
        <f ca="1">INDEX(INDIRECT(VLOOKUP(LEFT(BO324,7),CLU!$Z$3:$AH$18,4)),GQ324,GR324)</f>
        <v>#N/A</v>
      </c>
      <c r="CJ324" s="448" t="e">
        <f t="shared" ca="1" si="953"/>
        <v>#N/A</v>
      </c>
      <c r="CK324" s="431" t="e">
        <f t="shared" ca="1" si="954"/>
        <v>#N/A</v>
      </c>
      <c r="CL324" s="440" t="e">
        <f t="shared" ca="1" si="955"/>
        <v>#N/A</v>
      </c>
      <c r="CM324" s="431" t="e">
        <f ca="1">INDEX(INDIRECT(VLOOKUP(LEFT(BO324,7),CLU!$Z$3:$AH$18,2)),GQ324,GS324)</f>
        <v>#N/A</v>
      </c>
      <c r="CN324" s="431" t="e">
        <f ca="1">INDEX(INDIRECT(VLOOKUP(LEFT(BO324,7),CLU!$Z$3:$AH$18,3)),GQ324,GS324)</f>
        <v>#N/A</v>
      </c>
      <c r="CO324" s="431" t="e">
        <f ca="1">INDEX(INDIRECT(VLOOKUP(LEFT(BO324,7),CLU!$Z$3:$AH$18,4)),GQ324,GS324)</f>
        <v>#N/A</v>
      </c>
      <c r="CP324" s="431" t="e">
        <f t="shared" ca="1" si="956"/>
        <v>#N/A</v>
      </c>
      <c r="CQ324" s="440">
        <f t="shared" si="957"/>
        <v>0</v>
      </c>
      <c r="CR324" s="51" t="e">
        <f t="shared" ca="1" si="958"/>
        <v>#N/A</v>
      </c>
      <c r="CS324" s="439" t="e">
        <f t="shared" ca="1" si="959"/>
        <v>#VALUE!</v>
      </c>
      <c r="CT324" s="51" t="e">
        <f t="shared" ca="1" si="960"/>
        <v>#VALUE!</v>
      </c>
      <c r="CU324" s="10"/>
      <c r="CV324" s="51" t="e">
        <f t="shared" ca="1" si="857"/>
        <v>#VALUE!</v>
      </c>
      <c r="CW324" s="51">
        <f t="shared" si="961"/>
        <v>0</v>
      </c>
      <c r="CX324" s="439" t="e">
        <f t="shared" ca="1" si="962"/>
        <v>#VALUE!</v>
      </c>
      <c r="CY324" s="51" t="e">
        <f t="shared" ca="1" si="963"/>
        <v>#VALUE!</v>
      </c>
      <c r="CZ324" s="10"/>
      <c r="DA324" s="51" t="e">
        <f t="shared" ca="1" si="964"/>
        <v>#VALUE!</v>
      </c>
      <c r="DB324" s="347" t="e">
        <f ca="1">INDEX(INDIRECT(VLOOKUP(LEFT(BO324,7),CLU!$Z$3:$AI$18,10)),((M324-2)*(6-COUNTBLANK(GT324:GY324)))+GJ324)*LI324</f>
        <v>#N/A</v>
      </c>
      <c r="DC324" s="347" t="str">
        <f>IF(L324&gt;0,((R324/Worksheet!$I$15)/DB324)^2," ")</f>
        <v xml:space="preserve"> </v>
      </c>
      <c r="DD324" s="602" t="str">
        <f t="shared" si="965"/>
        <v xml:space="preserve"> </v>
      </c>
      <c r="DE324" s="347" t="str">
        <f t="shared" si="858"/>
        <v xml:space="preserve"> </v>
      </c>
      <c r="DF324" s="356" t="e">
        <f ca="1">INDEX(INDIRECT(VLOOKUP(LEFT(BO324,7),CLU!$Z$3:$AH$18,8)),((M324-2)*(6-COUNTBLANK(GT324:GY324)))+GJ324)</f>
        <v>#N/A</v>
      </c>
      <c r="DG324" s="347" t="str">
        <f t="shared" si="859"/>
        <v xml:space="preserve"> </v>
      </c>
      <c r="DH324" s="357" t="str">
        <f t="shared" si="860"/>
        <v xml:space="preserve"> </v>
      </c>
      <c r="DI324" s="355" t="str">
        <f t="shared" si="861"/>
        <v xml:space="preserve"> </v>
      </c>
      <c r="DJ324" s="245" t="e">
        <f ca="1">INDEX(INDIRECT(VLOOKUP(LEFT(BO324,7),CLU!$Z$3:$AH$18,5)),GL324,GK324)</f>
        <v>#N/A</v>
      </c>
      <c r="DK324" s="245" t="e">
        <f ca="1">INDEX(INDIRECT(VLOOKUP(LEFT(BO324,7),CLU!$Z$3:$AH$18,6)),GL324,GK324)</f>
        <v>#N/A</v>
      </c>
      <c r="DL324" s="355">
        <f>(Calculation!R324*0.69143*(Calculation!$BQ$8-Calculation!$F$8))*$S$14</f>
        <v>0</v>
      </c>
      <c r="DM324" s="359" t="e">
        <f t="shared" si="966"/>
        <v>#VALUE!</v>
      </c>
      <c r="DN324" s="611">
        <f t="shared" si="967"/>
        <v>0</v>
      </c>
      <c r="DO324" s="359">
        <f t="shared" si="968"/>
        <v>100</v>
      </c>
      <c r="DP324" s="359">
        <f t="shared" si="969"/>
        <v>0</v>
      </c>
      <c r="DQ324" s="360"/>
      <c r="DR324" s="245" t="e">
        <f ca="1">INDEX(INDIRECT(VLOOKUP(LEFT(BO324,7),CLU!$Z$3:$AH$18,7)),M324-1,1)</f>
        <v>#N/A</v>
      </c>
      <c r="DS324" s="245" t="e">
        <f ca="1">INDEX(INDIRECT(VLOOKUP(LEFT(BO324,7),CLU!$Z$3:$AH$18,7)),M324-1,2)</f>
        <v>#N/A</v>
      </c>
      <c r="DT324" s="245" t="e">
        <f ca="1">INDEX(INDIRECT(VLOOKUP(LEFT(BO324,7),CLU!$Z$3:$AH$18,7)),M324-1,3)</f>
        <v>#N/A</v>
      </c>
      <c r="DU324" s="245" t="e">
        <f ca="1">INDEX(INDIRECT(VLOOKUP(LEFT(BO324,7),CLU!$Z$3:$AH$18,7)),M324-1,4)</f>
        <v>#N/A</v>
      </c>
      <c r="DV324" s="361" t="e">
        <f ca="1">INDEX(INDIRECT(VLOOKUP(LEFT(BO324,7),CLU!$Z$3:$AH$18,7)),M324-1,4+LEFT(DZ324,1)*0.5)</f>
        <v>#N/A</v>
      </c>
      <c r="DW324" s="245" t="e">
        <f ca="1">INDEX(INDIRECT(VLOOKUP(LEFT(BO324,7),CLU!$Z$3:$AH$18,7)),M324-1,8)</f>
        <v>#N/A</v>
      </c>
      <c r="DX324" s="361" t="str">
        <f t="shared" si="862"/>
        <v xml:space="preserve"> </v>
      </c>
      <c r="DY324" s="361" t="str">
        <f t="shared" si="863"/>
        <v xml:space="preserve"> </v>
      </c>
      <c r="DZ324" s="361" t="str">
        <f t="shared" si="864"/>
        <v xml:space="preserve"> </v>
      </c>
      <c r="EA324" s="362" t="str">
        <f t="shared" si="865"/>
        <v xml:space="preserve"> </v>
      </c>
      <c r="EB324" s="624" t="str">
        <f t="shared" si="970"/>
        <v xml:space="preserve"> </v>
      </c>
      <c r="EC324" s="361" t="e">
        <f ca="1">INDEX(INDIRECT(VLOOKUP(LEFT(BO324,7),CLU!$Z$3:$AH$18,7)),M324-1,4+LEFT(DZ324,1)*0.5)</f>
        <v>#N/A</v>
      </c>
      <c r="ED324" s="362" t="str">
        <f t="shared" si="866"/>
        <v xml:space="preserve"> </v>
      </c>
      <c r="EE324" s="361" t="str">
        <f t="shared" si="867"/>
        <v xml:space="preserve"> </v>
      </c>
      <c r="EF324" s="362" t="str">
        <f>IF(L324&gt;0,IF(BR324&gt;0,IF(EE324="2P",IF(Calculation!DZ324="2P",IF(Calculation!DS324=13.75,IF(Calculation!DR324=13,Worksheet!$BD$43,IF(Calculation!DR324=37,Worksheet!$BD$44,Worksheet!$BD$45)),IF(Calculation!DS324=10,IF(Calculation!DR324=18,Worksheet!$BD$29,IF(Calculation!DR324=30,Worksheet!$BD$30,IF(Calculation!DR324=42,Worksheet!$BD$31,IF(Calculation!DR324=54,Worksheet!$BD$32,IF(Calculation!DR324=66,Worksheet!$BD$33,IF(Calculation!DR324=78,Worksheet!$BD$34,IF(Calculation!DR324=90,Worksheet!$BD$35,IF(Calculation!DR324=102,Worksheet!$BD$36,Worksheet!$BD$37)))))))),IF(Calculation!DS324=12.5,IF(Calculation!DR324=18,Worksheet!$BD$38,IF(Calculation!DR324=Worksheet!$BD$39,IF(Calculation!DR324=42,Worksheet!$BD$40,IF(Calculation!DR324=54,Worksheet!$BD$41,Worksheet!$BD$42)))),IF(Calculation!DR324=18,Worksheet!$BD$11,IF(Calculation!DR324=30,Worksheet!$BD$12,IF(Calculation!DR324=42,Worksheet!$BD$13,IF(Calculation!DR324=54,Worksheet!$BD$14,IF(Calculation!DR324=66,Worksheet!$BD$15,IF(Calculation!DR324=78,Worksheet!$BD$16,IF(Calculation!DR324=90,Worksheet!$BD$17,IF(Calculation!DR324=102,Worksheet!$BD$18,Worksheet!$BD$19))))))))))),IF(Calculation!DS324=13.75,IF(Calculation!DR324=13,Worksheet!$BD$78,IF(Calculation!DR324=37,Worksheet!$BD$79,Worksheet!$BD$80)),IF(Calculation!DS324=10,IF(Calculation!DR324=18,Worksheet!$BD$64,IF(Calculation!DR324=30,Worksheet!$BD$65,IF(Calculation!DR324=42,Worksheet!$BD$66,IF(Calculation!DR324=54,Worksheet!$BD$68,IF(Calculation!DR324=66,Worksheet!$BD$68,IF(Calculation!DR324=78,Worksheet!$BD$69,IF(Calculation!DR324=90,Worksheet!$BD$70,IF(Calculation!DR324=102,Worksheet!$BD$71,Worksheet!$BD$72)))))))),IF(Calculation!DS324=12.5,IF(Calculation!DR324=18,Worksheet!$BD$73,IF(Calculation!DR324=Worksheet!$BD$74,IF(Calculation!DR324=42,Worksheet!$BD$75,IF(Calculation!DR324=54,Worksheet!$BD$76,Worksheet!$BD$77)))),IF(Calculation!DR324=18,Worksheet!$BD$55,IF(Calculation!DR324=30,Worksheet!$BD$56,IF(Calculation!DR324=42,Worksheet!$BD$57,IF(Calculation!DR324=54,Worksheet!$BD$58,IF(Calculation!DR324=66,Worksheet!$BD$59,IF(Calculation!DR324=78,Worksheet!$BD$60,IF(Calculation!DR324=90,Worksheet!$BD$61,IF(Calculation!DR324=102,Worksheet!$BD$62,Worksheet!$BD$63)))))))))))),5),0)," ")</f>
        <v xml:space="preserve"> </v>
      </c>
      <c r="EG324" s="361" t="str">
        <f t="shared" si="868"/>
        <v xml:space="preserve"> </v>
      </c>
      <c r="EH324" s="361" t="e">
        <f ca="1">INDEX(INDIRECT(VLOOKUP(LEFT(BO324,7),CLU!$Z$3:$AH$18,7)),M324-1,3+LEFT(DZ324,1))</f>
        <v>#N/A</v>
      </c>
      <c r="EI324" s="362" t="str">
        <f t="shared" si="869"/>
        <v xml:space="preserve"> </v>
      </c>
      <c r="EJ324" s="363" t="str">
        <f t="shared" si="870"/>
        <v xml:space="preserve"> </v>
      </c>
      <c r="EK324" s="363" t="str">
        <f t="shared" si="871"/>
        <v xml:space="preserve"> </v>
      </c>
      <c r="EL324" s="363" t="str">
        <f t="shared" si="872"/>
        <v xml:space="preserve"> </v>
      </c>
      <c r="EM324" s="362" t="str">
        <f>IF(L324&gt;0,IF(BR324&gt;0,(Calculation!T324/ED324)^2,0)," ")</f>
        <v xml:space="preserve"> </v>
      </c>
      <c r="EN324" s="362" t="str">
        <f>IF(L324&gt;0,IF(O324="2 Pipe (Cooling)","N/A",IF(BR324&gt;0,(Calculation!U324/EI324)^2,0))," ")</f>
        <v xml:space="preserve"> </v>
      </c>
      <c r="EO324" s="361" t="str">
        <f t="shared" si="873"/>
        <v/>
      </c>
      <c r="EP324" s="361" t="str">
        <f t="shared" si="874"/>
        <v/>
      </c>
      <c r="EQ324" s="361" t="str">
        <f t="shared" si="875"/>
        <v/>
      </c>
      <c r="ER324" s="361" t="str">
        <f t="shared" si="876"/>
        <v/>
      </c>
      <c r="ES324" s="361" t="str">
        <f t="shared" si="877"/>
        <v/>
      </c>
      <c r="ET324" s="361" t="str">
        <f t="shared" si="878"/>
        <v/>
      </c>
      <c r="EU324" s="361" t="str">
        <f t="shared" si="879"/>
        <v/>
      </c>
      <c r="EV324" s="361" t="str">
        <f t="shared" si="880"/>
        <v/>
      </c>
      <c r="EW324" s="361" t="str">
        <f t="shared" si="881"/>
        <v/>
      </c>
      <c r="EX324" s="361" t="str">
        <f t="shared" si="971"/>
        <v>1 slot, 1 way</v>
      </c>
      <c r="EY324" s="361" t="str">
        <f t="shared" si="972"/>
        <v xml:space="preserve"> </v>
      </c>
      <c r="EZ324" s="361" t="str">
        <f t="shared" si="973"/>
        <v xml:space="preserve"> </v>
      </c>
      <c r="FA324" s="361" t="str">
        <f t="shared" si="974"/>
        <v xml:space="preserve"> </v>
      </c>
      <c r="FB324" s="361" t="str">
        <f t="shared" si="975"/>
        <v xml:space="preserve"> </v>
      </c>
      <c r="FC324" s="361"/>
      <c r="FD324" s="361" t="str">
        <f>IF(J324&gt;0,IF(Calculation!R324&lt;=70,4,IF(Calculation!R324&lt;=110,5,IF(Calculation!R324&lt;=160,6,IF(Calculation!R324&lt;=300,8,"10 EO")))),"")</f>
        <v/>
      </c>
      <c r="FE324" s="361" t="str">
        <f t="shared" si="976"/>
        <v/>
      </c>
      <c r="FF324" s="361" t="str">
        <f t="shared" si="977"/>
        <v/>
      </c>
      <c r="FG324" s="361" t="e">
        <f t="shared" si="882"/>
        <v>#N/A</v>
      </c>
      <c r="FH324" s="361">
        <f t="shared" si="883"/>
        <v>0</v>
      </c>
      <c r="FI324" s="361" t="e">
        <f t="shared" si="884"/>
        <v>#DIV/0!</v>
      </c>
      <c r="FJ324" s="361"/>
      <c r="FK324" s="356" t="e">
        <f t="shared" si="885"/>
        <v>#VALUE!</v>
      </c>
      <c r="FL324" s="361"/>
      <c r="FM324" s="361"/>
      <c r="FN324" s="362" t="str">
        <f t="shared" si="978"/>
        <v xml:space="preserve"> </v>
      </c>
      <c r="FO324" s="362" t="str">
        <f t="shared" si="979"/>
        <v xml:space="preserve"> </v>
      </c>
      <c r="FP324" s="362">
        <f t="shared" si="980"/>
        <v>0</v>
      </c>
      <c r="FQ324" s="361">
        <f t="shared" si="886"/>
        <v>0</v>
      </c>
      <c r="FR324" s="362" t="str">
        <f>IF(L324&gt;0,IF(J324="CBAL2",Worksheet!$P$67,IF(J324="CBE2-24",Worksheet!$Q$67,IF(J324="CBAM",Worksheet!$R$67,IF(J324="CBLV",Worksheet!$S$67,IF(J324="CBAB",Worksheet!$U$67,IF(J324="CBAW",Worksheet!$X$67,IF(J324="CBE2-12",Worksheet!$Y$67,IF(J324="CBAL2",Worksheet!$Z$67,"N/A"))))))))," ")</f>
        <v xml:space="preserve"> </v>
      </c>
      <c r="FS324" s="362" t="str">
        <f>IF(L324&gt;0,IF(J324="CBAL2",Worksheet!$P$68,IF(J324="CBE2-24",Worksheet!$Q$68,IF(J324="CBAM",Worksheet!$R$68,IF(J324="CBLV",Worksheet!$S$68,IF(J324="CBAB",Worksheet!$U$68,IF(J324="CBAW",Worksheet!$X$68,IF(J324="CBE2-12",Worksheet!$Y$68,IF(J324="CBAL2",Worksheet!$Z$68,"N/A"))))))))," ")</f>
        <v xml:space="preserve"> </v>
      </c>
      <c r="FT324" s="362" t="str">
        <f>IF(L324&gt;0,IF(J324="CBAL2",Worksheet!$P$69,IF(J324="CBE2-24",Worksheet!$Q$69,IF(J324="CBAM",Worksheet!$R$69,IF(J324="CBLV",Worksheet!$S$69,IF(J324="CBAB",Worksheet!$U$69,IF(J324="CBAW",Worksheet!$X$69,IF(J324="CBE2-12",Worksheet!$Y$69,IF(J324="CBAL2",Worksheet!$Z$69,"N/A"))))))))," ")</f>
        <v xml:space="preserve"> </v>
      </c>
      <c r="FU324" s="361" t="str">
        <f t="shared" si="981"/>
        <v xml:space="preserve"> </v>
      </c>
      <c r="FV324" s="362" t="str">
        <f t="shared" si="982"/>
        <v xml:space="preserve"> </v>
      </c>
      <c r="FW324" s="362" t="str">
        <f t="shared" si="983"/>
        <v xml:space="preserve"> </v>
      </c>
      <c r="FX324" s="362" t="str">
        <f t="shared" si="984"/>
        <v xml:space="preserve"> </v>
      </c>
      <c r="FY324" s="355" t="str">
        <f t="shared" si="985"/>
        <v xml:space="preserve"> </v>
      </c>
      <c r="FZ324" s="361" t="str">
        <f t="shared" si="986"/>
        <v xml:space="preserve"> </v>
      </c>
      <c r="GA324" s="347" t="str">
        <f t="shared" si="987"/>
        <v xml:space="preserve"> </v>
      </c>
      <c r="GB324" s="355" t="str">
        <f t="shared" si="988"/>
        <v xml:space="preserve"> </v>
      </c>
      <c r="GC324" s="328" t="str">
        <f t="shared" si="989"/>
        <v xml:space="preserve"> </v>
      </c>
      <c r="GD324" s="361" t="str">
        <f t="shared" si="990"/>
        <v xml:space="preserve"> </v>
      </c>
      <c r="GE324" s="347" t="str">
        <f t="shared" si="991"/>
        <v xml:space="preserve"> </v>
      </c>
      <c r="GF324" s="361" t="str">
        <f t="shared" si="992"/>
        <v xml:space="preserve"> </v>
      </c>
      <c r="GG324" s="347" t="str">
        <f t="shared" si="993"/>
        <v xml:space="preserve"> </v>
      </c>
      <c r="GH324" s="364">
        <f t="shared" si="887"/>
        <v>0</v>
      </c>
      <c r="GI324" s="362">
        <f t="shared" si="994"/>
        <v>2</v>
      </c>
      <c r="GJ324" s="433" t="e">
        <f>IF(6-COUNTBLANK(GT324:GY324)=4,MATCH(MID(BO324,9,3),CLU!$H$16:$K$16),MATCH(MID(BO324,9,3),CLU!$H$13:$M$13))</f>
        <v>#N/A</v>
      </c>
      <c r="GK324" s="433" t="e">
        <f>HLOOKUP(VALUE(BP324),CLU!$H$9:$M$10,2)</f>
        <v>#VALUE!</v>
      </c>
      <c r="GL324" s="433" t="e">
        <f ca="1">MATCH(BU324,CLU!$H$2:$V$2,1)</f>
        <v>#VALUE!</v>
      </c>
      <c r="GM324" s="433" t="e">
        <f t="shared" ca="1" si="995"/>
        <v>#VALUE!</v>
      </c>
      <c r="GN324" s="433" t="e">
        <f t="shared" ca="1" si="996"/>
        <v>#VALUE!</v>
      </c>
      <c r="GO324" s="433" t="e">
        <f t="shared" ca="1" si="997"/>
        <v>#VALUE!</v>
      </c>
      <c r="GP324" s="433" t="e">
        <f t="shared" ca="1" si="998"/>
        <v>#VALUE!</v>
      </c>
      <c r="GQ324" s="433" t="e">
        <f t="shared" ca="1" si="999"/>
        <v>#VALUE!</v>
      </c>
      <c r="GR324" s="433" t="e">
        <f ca="1">MATCH(T324,INDIRECT(VLOOKUP(CONCATENATE(LEFT(BO324,7),"-",MID(BO324,13,1)),CLU!$P$3:$Q$16,2)),1)</f>
        <v>#N/A</v>
      </c>
      <c r="GS324" s="433" t="e">
        <f ca="1">MATCH(U324,INDIRECT(VLOOKUP(CONCATENATE(LEFT(BO324,7),"-",MID(BO324,13,1)),CLU!$P$3:$Q$16,2)),1)</f>
        <v>#N/A</v>
      </c>
      <c r="GT324" s="347" t="s">
        <v>512</v>
      </c>
      <c r="GU324" s="97" t="s">
        <v>513</v>
      </c>
      <c r="GV324" s="97" t="str">
        <f t="shared" si="1000"/>
        <v>M23</v>
      </c>
      <c r="GW324" s="97" t="str">
        <f t="shared" si="1001"/>
        <v>M31</v>
      </c>
      <c r="GX324" s="97" t="str">
        <f t="shared" si="1002"/>
        <v/>
      </c>
      <c r="GY324" s="97" t="str">
        <f t="shared" si="1003"/>
        <v/>
      </c>
      <c r="GZ324" s="481"/>
      <c r="HA324" s="240"/>
      <c r="HB324" s="240"/>
      <c r="HC324" s="240"/>
      <c r="HD324" s="240"/>
      <c r="HE324" s="240"/>
      <c r="HF324" s="240"/>
      <c r="HG324" s="240"/>
      <c r="HH324" s="240"/>
      <c r="HI324" s="240"/>
      <c r="HJ324" s="240"/>
      <c r="HK324" s="240"/>
      <c r="HL324" s="240"/>
      <c r="HM324" s="240"/>
      <c r="HN324" s="240"/>
      <c r="HO324" s="240"/>
      <c r="HP324" s="240"/>
      <c r="HQ324" s="240"/>
      <c r="HR324" s="240"/>
      <c r="HS324" s="240"/>
      <c r="HT324" s="240"/>
      <c r="HU324" s="240"/>
      <c r="HV324" s="245"/>
      <c r="HW324" s="245" t="b">
        <v>1</v>
      </c>
      <c r="HX324" s="245" t="str">
        <f t="shared" si="888"/>
        <v/>
      </c>
      <c r="HY324" s="245" t="e">
        <f t="shared" si="889"/>
        <v>#DIV/0!</v>
      </c>
      <c r="HZ324" s="245" t="e">
        <f t="shared" si="890"/>
        <v>#DIV/0!</v>
      </c>
      <c r="IA324" s="245">
        <f t="shared" si="891"/>
        <v>0</v>
      </c>
      <c r="IB324" s="245"/>
      <c r="IC324" t="b">
        <f t="shared" si="892"/>
        <v>1</v>
      </c>
      <c r="ID324" s="245" t="b">
        <f t="shared" si="893"/>
        <v>1</v>
      </c>
      <c r="IE324" s="245" t="b">
        <f t="shared" si="894"/>
        <v>1</v>
      </c>
      <c r="IF324" s="245" t="b">
        <f t="shared" si="895"/>
        <v>0</v>
      </c>
      <c r="IG324" s="245" t="b">
        <f t="shared" si="896"/>
        <v>1</v>
      </c>
      <c r="IH324" s="245" t="b">
        <f t="shared" si="897"/>
        <v>1</v>
      </c>
      <c r="II324" s="245">
        <f t="shared" si="1004"/>
        <v>0</v>
      </c>
      <c r="IJ324" s="245" t="e">
        <f t="shared" si="898"/>
        <v>#VALUE!</v>
      </c>
      <c r="IK324" s="245" t="e">
        <f t="shared" si="899"/>
        <v>#VALUE!</v>
      </c>
      <c r="IL324" s="245"/>
      <c r="IM324" s="245" t="e">
        <f t="shared" si="1005"/>
        <v>#N/A</v>
      </c>
      <c r="IN324" s="245" t="e">
        <f t="shared" si="1006"/>
        <v>#N/A</v>
      </c>
      <c r="IO324" s="245"/>
      <c r="IP324" s="245"/>
      <c r="IQ324" s="245" t="str">
        <f t="shared" si="900"/>
        <v/>
      </c>
      <c r="IR324" s="245" t="str">
        <f>IF(J324="","",VLOOKUP(J324,Worksheet!$R$4:$T$14,2))</f>
        <v/>
      </c>
      <c r="IS324" s="245"/>
      <c r="IT324" s="245">
        <f t="shared" si="901"/>
        <v>0</v>
      </c>
      <c r="IU324" s="245">
        <f t="shared" si="902"/>
        <v>0</v>
      </c>
      <c r="IV324" s="245">
        <f t="shared" si="903"/>
        <v>0</v>
      </c>
      <c r="IW324" s="245">
        <f t="shared" si="904"/>
        <v>0</v>
      </c>
      <c r="IX324" s="245">
        <f t="shared" si="1007"/>
        <v>0</v>
      </c>
      <c r="IY324" s="245">
        <f t="shared" si="905"/>
        <v>0</v>
      </c>
      <c r="IZ324" s="245">
        <f t="shared" si="906"/>
        <v>0</v>
      </c>
      <c r="JA324">
        <f t="shared" si="907"/>
        <v>0</v>
      </c>
      <c r="JB324">
        <f t="shared" si="1008"/>
        <v>0</v>
      </c>
      <c r="JC324">
        <f t="shared" si="908"/>
        <v>0</v>
      </c>
      <c r="JD324">
        <f t="shared" si="909"/>
        <v>0</v>
      </c>
      <c r="JE324">
        <f t="shared" si="910"/>
        <v>0</v>
      </c>
      <c r="JF324">
        <f t="shared" si="911"/>
        <v>0</v>
      </c>
      <c r="JG324">
        <f t="shared" si="912"/>
        <v>0</v>
      </c>
      <c r="JH324">
        <f t="shared" si="913"/>
        <v>0</v>
      </c>
      <c r="JI324">
        <f t="shared" si="914"/>
        <v>0</v>
      </c>
      <c r="JJ324" s="447">
        <f t="shared" si="915"/>
        <v>0</v>
      </c>
      <c r="JK324" s="447">
        <f t="shared" si="916"/>
        <v>0</v>
      </c>
      <c r="JL324">
        <f t="shared" si="917"/>
        <v>0</v>
      </c>
      <c r="JM324" s="245" t="str">
        <f>IFERROR(VLOOKUP(MATCH(BN324,#REF!,0),#REF!,7),"")</f>
        <v/>
      </c>
      <c r="JN324" t="e">
        <f>HLOOKUP(LEFT(BO324,7),Discharge_Area,MATCH(JO324,LookUps!$B$130:$B$149,1)+2)</f>
        <v>#N/A</v>
      </c>
      <c r="JO324" t="str">
        <f t="shared" si="918"/>
        <v>- S</v>
      </c>
      <c r="JP324" t="e">
        <f>HLOOKUP(LEFT(BO324,7),Discharge_Area,MATCH(JO324,LookUps!$B$130:$B$149,1)+2)</f>
        <v>#N/A</v>
      </c>
      <c r="JQ324" t="e">
        <f t="shared" si="919"/>
        <v>#N/A</v>
      </c>
      <c r="JR324" t="e">
        <f t="shared" si="920"/>
        <v>#N/A</v>
      </c>
      <c r="JS324" t="e">
        <f t="shared" si="921"/>
        <v>#N/A</v>
      </c>
      <c r="JT324" s="532" t="str">
        <f t="shared" si="922"/>
        <v xml:space="preserve"> </v>
      </c>
      <c r="JU324" s="532" t="str">
        <f t="shared" si="923"/>
        <v xml:space="preserve"> </v>
      </c>
      <c r="JV324" s="533" t="str">
        <f t="shared" si="924"/>
        <v xml:space="preserve"> </v>
      </c>
      <c r="JW324" s="534">
        <f t="shared" si="925"/>
        <v>0</v>
      </c>
      <c r="JX324" s="535" t="str">
        <f t="shared" si="1009"/>
        <v xml:space="preserve"> </v>
      </c>
      <c r="JY324" s="535" t="str">
        <f t="shared" si="1010"/>
        <v xml:space="preserve"> </v>
      </c>
      <c r="JZ324" s="535" t="str">
        <f t="shared" si="1011"/>
        <v xml:space="preserve"> </v>
      </c>
      <c r="KA324" s="536" t="str">
        <f t="shared" si="926"/>
        <v xml:space="preserve"> </v>
      </c>
      <c r="KB324" s="535" t="e">
        <f t="shared" si="1012"/>
        <v>#VALUE!</v>
      </c>
      <c r="KC324" s="535" t="str">
        <f t="shared" si="927"/>
        <v/>
      </c>
      <c r="KD324" s="537" t="str">
        <f t="shared" si="1013"/>
        <v xml:space="preserve"> </v>
      </c>
      <c r="KE324" s="537" t="str">
        <f t="shared" si="1014"/>
        <v xml:space="preserve"> </v>
      </c>
      <c r="KF324" s="534">
        <f t="shared" si="928"/>
        <v>0</v>
      </c>
      <c r="KG324" s="535" t="str">
        <f t="shared" si="929"/>
        <v xml:space="preserve"> </v>
      </c>
      <c r="KH324" s="535" t="str">
        <f t="shared" si="930"/>
        <v xml:space="preserve"> </v>
      </c>
      <c r="KI324" s="535" t="str">
        <f t="shared" si="931"/>
        <v xml:space="preserve"> </v>
      </c>
      <c r="KJ324" s="536" t="str">
        <f t="shared" si="932"/>
        <v xml:space="preserve"> </v>
      </c>
      <c r="KK324" s="535" t="str">
        <f t="shared" si="1015"/>
        <v xml:space="preserve"> </v>
      </c>
      <c r="KL324" s="535" t="str">
        <f t="shared" si="1016"/>
        <v xml:space="preserve"> </v>
      </c>
      <c r="KM324" s="537" t="str">
        <f t="shared" si="933"/>
        <v xml:space="preserve"> </v>
      </c>
      <c r="KN324" s="537" t="str">
        <f t="shared" si="1017"/>
        <v xml:space="preserve"> </v>
      </c>
      <c r="KP324">
        <f t="shared" si="934"/>
        <v>0</v>
      </c>
      <c r="LA324" t="e">
        <f t="shared" si="935"/>
        <v>#VALUE!</v>
      </c>
      <c r="LB324" t="e">
        <f t="shared" si="936"/>
        <v>#VALUE!</v>
      </c>
      <c r="LC324" t="e">
        <f t="shared" si="937"/>
        <v>#VALUE!</v>
      </c>
      <c r="LD324" t="e">
        <f t="shared" si="938"/>
        <v>#VALUE!</v>
      </c>
      <c r="LE324" t="e">
        <f t="shared" si="1018"/>
        <v>#VALUE!</v>
      </c>
      <c r="LF324">
        <f t="shared" si="939"/>
        <v>0</v>
      </c>
      <c r="LG324" t="e">
        <f t="shared" si="1019"/>
        <v>#VALUE!</v>
      </c>
      <c r="LH324" t="str">
        <f t="shared" si="940"/>
        <v xml:space="preserve"> </v>
      </c>
      <c r="LI324">
        <f t="shared" si="1020"/>
        <v>1</v>
      </c>
    </row>
    <row r="325" spans="2:321" ht="15" customHeight="1">
      <c r="B325" s="311"/>
      <c r="C325" s="311"/>
      <c r="D325" s="312"/>
      <c r="E325" s="311"/>
      <c r="F325" s="312"/>
      <c r="G325" s="311"/>
      <c r="H325" s="311"/>
      <c r="I325" s="232"/>
      <c r="J325" s="311"/>
      <c r="K325" s="305" t="str">
        <f t="shared" si="941"/>
        <v/>
      </c>
      <c r="L325" s="313"/>
      <c r="M325" s="312"/>
      <c r="N325" s="311"/>
      <c r="O325" s="312"/>
      <c r="P325" s="311"/>
      <c r="Q325" s="305" t="str">
        <f t="shared" si="942"/>
        <v/>
      </c>
      <c r="R325" s="314"/>
      <c r="S325" s="450" t="str">
        <f t="shared" si="825"/>
        <v/>
      </c>
      <c r="T325" s="315"/>
      <c r="U325" s="315"/>
      <c r="W325" s="149" t="str">
        <f t="shared" si="826"/>
        <v xml:space="preserve"> </v>
      </c>
      <c r="X325" s="243" t="str">
        <f t="shared" si="827"/>
        <v xml:space="preserve"> </v>
      </c>
      <c r="Y325" s="150" t="str">
        <f t="shared" si="828"/>
        <v/>
      </c>
      <c r="Z325" s="149" t="str">
        <f t="shared" si="829"/>
        <v xml:space="preserve"> </v>
      </c>
      <c r="AA325" s="98" t="str">
        <f t="shared" si="830"/>
        <v xml:space="preserve"> </v>
      </c>
      <c r="AB325" s="153" t="str">
        <f t="shared" si="831"/>
        <v xml:space="preserve"> </v>
      </c>
      <c r="AC325" s="153" t="str">
        <f t="shared" si="832"/>
        <v xml:space="preserve"> </v>
      </c>
      <c r="AD325" s="148" t="str">
        <f t="shared" si="833"/>
        <v/>
      </c>
      <c r="AE325" s="149" t="str">
        <f t="shared" si="834"/>
        <v/>
      </c>
      <c r="AF325" s="151" t="str">
        <f t="shared" si="835"/>
        <v xml:space="preserve"> </v>
      </c>
      <c r="AG325" s="153" t="str">
        <f t="shared" si="836"/>
        <v xml:space="preserve"> </v>
      </c>
      <c r="AH325" s="98" t="str">
        <f t="shared" si="837"/>
        <v xml:space="preserve"> </v>
      </c>
      <c r="AI325" s="149" t="str">
        <f t="shared" si="838"/>
        <v xml:space="preserve"> </v>
      </c>
      <c r="AK325" s="144" t="str">
        <f t="shared" si="839"/>
        <v xml:space="preserve"> </v>
      </c>
      <c r="AL325" s="144"/>
      <c r="AM325" s="243" t="str">
        <f t="shared" si="840"/>
        <v xml:space="preserve"> </v>
      </c>
      <c r="AN325" s="149" t="str">
        <f t="shared" si="943"/>
        <v xml:space="preserve"> </v>
      </c>
      <c r="AO325" s="144" t="str">
        <f>IF(JB325&gt;0,IF(GI325=10,-R325*1.085*(Calculation!$F$6-Calculation!$F$13)*$S$14," "),"")</f>
        <v/>
      </c>
      <c r="AP325" s="144" t="str">
        <f t="shared" si="841"/>
        <v/>
      </c>
      <c r="AQ325" s="56" t="str">
        <f t="shared" si="842"/>
        <v/>
      </c>
      <c r="AR325" s="144" t="str">
        <f t="shared" si="843"/>
        <v/>
      </c>
      <c r="AS325" s="176" t="str">
        <f t="shared" si="844"/>
        <v/>
      </c>
      <c r="AT325" s="176" t="str">
        <f t="shared" si="944"/>
        <v xml:space="preserve"> </v>
      </c>
      <c r="AU325" s="176" t="str">
        <f t="shared" si="845"/>
        <v/>
      </c>
      <c r="AV325" s="177" t="str">
        <f t="shared" si="846"/>
        <v xml:space="preserve"> </v>
      </c>
      <c r="AW325" s="144" t="str">
        <f t="shared" si="847"/>
        <v xml:space="preserve"> </v>
      </c>
      <c r="AX325" s="144" t="str">
        <f t="shared" si="848"/>
        <v xml:space="preserve"> </v>
      </c>
      <c r="AY325" s="152" t="str">
        <f t="shared" si="849"/>
        <v xml:space="preserve"> </v>
      </c>
      <c r="AZ325" s="246" t="str">
        <f t="shared" si="850"/>
        <v/>
      </c>
      <c r="BA325" s="176" t="str">
        <f t="shared" si="851"/>
        <v xml:space="preserve"> </v>
      </c>
      <c r="BB325" s="176" t="str">
        <f t="shared" si="852"/>
        <v xml:space="preserve"> </v>
      </c>
      <c r="BC325" s="195"/>
      <c r="BD325" s="316"/>
      <c r="BE325" s="317"/>
      <c r="BF325" s="318"/>
      <c r="BG325" s="318"/>
      <c r="BH325" s="144" t="str">
        <f t="shared" si="1021"/>
        <v xml:space="preserve"> </v>
      </c>
      <c r="BI325" s="176" t="str">
        <f t="shared" si="853"/>
        <v/>
      </c>
      <c r="BJ325" s="144" t="str">
        <f t="shared" si="1022"/>
        <v/>
      </c>
      <c r="BK325" s="246" t="str">
        <f t="shared" si="854"/>
        <v/>
      </c>
      <c r="BL325" s="144" t="str">
        <f t="shared" si="1023"/>
        <v/>
      </c>
      <c r="BM325" s="246" t="str">
        <f t="shared" si="855"/>
        <v/>
      </c>
      <c r="BN325" s="337" t="str">
        <f t="shared" si="945"/>
        <v/>
      </c>
      <c r="BO325" s="371" t="str">
        <f t="shared" si="946"/>
        <v/>
      </c>
      <c r="BP325" s="328" t="str">
        <f t="shared" si="1024"/>
        <v xml:space="preserve"> </v>
      </c>
      <c r="BQ325" s="347" t="str">
        <f t="shared" si="947"/>
        <v xml:space="preserve"> </v>
      </c>
      <c r="BR325" s="353" t="str">
        <f t="shared" si="948"/>
        <v xml:space="preserve"> </v>
      </c>
      <c r="BS325" s="626" t="str">
        <f>IF(L325&gt;0,IF(Calculation!P325="M13",BR325*3.1416*(0.134^2)/(4*144),IF(Calculation!P325="M17",BR325*3.1416*(0.165^2)/(4*144),IF(Calculation!P325="M20",BR325*3.1416*(0.198^2)/(4*144),IF(Calculation!P325="M23",BR325*3.1416*(0.228^2)/(4*144),IF(Calculation!P325="M27",BR325*3.1416*(0.269^2)/(4*144),BR325*3.1416*(0.307^2)/(4*144))))))," ")</f>
        <v xml:space="preserve"> </v>
      </c>
      <c r="BT325" s="353" t="str">
        <f>IF(L325&gt;0,IF(BS325&gt;0,R325/Calculation!BS325,0)," ")</f>
        <v xml:space="preserve"> </v>
      </c>
      <c r="BU325" s="438" t="e">
        <f t="shared" ca="1" si="856"/>
        <v>#VALUE!</v>
      </c>
      <c r="BV325" s="449" t="e">
        <f ca="1">INDEX(INDIRECT(VLOOKUP(LEFT(BO325,7),CLU!$Z$3:$AH$18,2)),GN325,GR325)</f>
        <v>#N/A</v>
      </c>
      <c r="BW325" s="433" t="e">
        <f ca="1">INDEX(INDIRECT(VLOOKUP(LEFT(BO325,7),CLU!$Z$3:$AH$18,3)),GN325,GR325)</f>
        <v>#N/A</v>
      </c>
      <c r="BX325" s="433" t="e">
        <f ca="1">INDEX(INDIRECT(VLOOKUP(LEFT(BO325,7),CLU!$Z$3:$AH$18,4)),GN325,GR325)</f>
        <v>#N/A</v>
      </c>
      <c r="BY325" s="433" t="e">
        <f ca="1">INDEX(INDIRECT(VLOOKUP(LEFT(BO325,7),CLU!$Z$3:$AH$18,9)),((M325-2)*(6-COUNTBLANK(GT325:GY325)))+GJ325)</f>
        <v>#N/A</v>
      </c>
      <c r="BZ325" s="426" t="e">
        <f t="shared" ca="1" si="949"/>
        <v>#N/A</v>
      </c>
      <c r="CA325" s="424" t="e">
        <f t="shared" ca="1" si="950"/>
        <v>#N/A</v>
      </c>
      <c r="CB325" s="429" t="e">
        <f ca="1">INDEX(INDIRECT(VLOOKUP(LEFT(BO325,7),CLU!$Z$3:$AH$18,2)),GN325,GS325)</f>
        <v>#N/A</v>
      </c>
      <c r="CC325" s="342" t="e">
        <f ca="1">INDEX(INDIRECT(VLOOKUP(LEFT(BO325,7),CLU!$Z$3:$AH$18,3)),GN325,GS325)</f>
        <v>#N/A</v>
      </c>
      <c r="CD325" s="342" t="e">
        <f ca="1">INDEX(INDIRECT(VLOOKUP(LEFT(BO325,7),CLU!$Z$3:$AH$18,4)),GN325,GS325)</f>
        <v>#N/A</v>
      </c>
      <c r="CE325" s="426" t="e">
        <f t="shared" ca="1" si="951"/>
        <v>#N/A</v>
      </c>
      <c r="CF325" s="440">
        <f t="shared" si="952"/>
        <v>0</v>
      </c>
      <c r="CG325" s="431" t="e">
        <f ca="1">INDEX(INDIRECT(VLOOKUP(LEFT(BO325,7),CLU!$Z$3:$AH$18,2)),GQ325,GR325)</f>
        <v>#N/A</v>
      </c>
      <c r="CH325" s="431" t="e">
        <f ca="1">INDEX(INDIRECT(VLOOKUP(LEFT(BO325,7),CLU!$Z$3:$AH$18,3)),GQ325,GR325)</f>
        <v>#N/A</v>
      </c>
      <c r="CI325" s="431" t="e">
        <f ca="1">INDEX(INDIRECT(VLOOKUP(LEFT(BO325,7),CLU!$Z$3:$AH$18,4)),GQ325,GR325)</f>
        <v>#N/A</v>
      </c>
      <c r="CJ325" s="448" t="e">
        <f t="shared" ca="1" si="953"/>
        <v>#N/A</v>
      </c>
      <c r="CK325" s="431" t="e">
        <f t="shared" ca="1" si="954"/>
        <v>#N/A</v>
      </c>
      <c r="CL325" s="440" t="e">
        <f t="shared" ca="1" si="955"/>
        <v>#N/A</v>
      </c>
      <c r="CM325" s="431" t="e">
        <f ca="1">INDEX(INDIRECT(VLOOKUP(LEFT(BO325,7),CLU!$Z$3:$AH$18,2)),GQ325,GS325)</f>
        <v>#N/A</v>
      </c>
      <c r="CN325" s="431" t="e">
        <f ca="1">INDEX(INDIRECT(VLOOKUP(LEFT(BO325,7),CLU!$Z$3:$AH$18,3)),GQ325,GS325)</f>
        <v>#N/A</v>
      </c>
      <c r="CO325" s="431" t="e">
        <f ca="1">INDEX(INDIRECT(VLOOKUP(LEFT(BO325,7),CLU!$Z$3:$AH$18,4)),GQ325,GS325)</f>
        <v>#N/A</v>
      </c>
      <c r="CP325" s="431" t="e">
        <f t="shared" ca="1" si="956"/>
        <v>#N/A</v>
      </c>
      <c r="CQ325" s="440">
        <f t="shared" si="957"/>
        <v>0</v>
      </c>
      <c r="CR325" s="51" t="e">
        <f t="shared" ca="1" si="958"/>
        <v>#N/A</v>
      </c>
      <c r="CS325" s="439" t="e">
        <f t="shared" ca="1" si="959"/>
        <v>#VALUE!</v>
      </c>
      <c r="CT325" s="51" t="e">
        <f t="shared" ca="1" si="960"/>
        <v>#VALUE!</v>
      </c>
      <c r="CU325" s="10"/>
      <c r="CV325" s="51" t="e">
        <f t="shared" ca="1" si="857"/>
        <v>#VALUE!</v>
      </c>
      <c r="CW325" s="51">
        <f t="shared" si="961"/>
        <v>0</v>
      </c>
      <c r="CX325" s="439" t="e">
        <f t="shared" ca="1" si="962"/>
        <v>#VALUE!</v>
      </c>
      <c r="CY325" s="51" t="e">
        <f t="shared" ca="1" si="963"/>
        <v>#VALUE!</v>
      </c>
      <c r="CZ325" s="10"/>
      <c r="DA325" s="51" t="e">
        <f t="shared" ca="1" si="964"/>
        <v>#VALUE!</v>
      </c>
      <c r="DB325" s="347" t="e">
        <f ca="1">INDEX(INDIRECT(VLOOKUP(LEFT(BO325,7),CLU!$Z$3:$AI$18,10)),((M325-2)*(6-COUNTBLANK(GT325:GY325)))+GJ325)*LI325</f>
        <v>#N/A</v>
      </c>
      <c r="DC325" s="347" t="str">
        <f>IF(L325&gt;0,((R325/Worksheet!$I$15)/DB325)^2," ")</f>
        <v xml:space="preserve"> </v>
      </c>
      <c r="DD325" s="602" t="str">
        <f t="shared" si="965"/>
        <v xml:space="preserve"> </v>
      </c>
      <c r="DE325" s="347" t="str">
        <f t="shared" si="858"/>
        <v xml:space="preserve"> </v>
      </c>
      <c r="DF325" s="356" t="e">
        <f ca="1">INDEX(INDIRECT(VLOOKUP(LEFT(BO325,7),CLU!$Z$3:$AH$18,8)),((M325-2)*(6-COUNTBLANK(GT325:GY325)))+GJ325)</f>
        <v>#N/A</v>
      </c>
      <c r="DG325" s="347" t="str">
        <f t="shared" si="859"/>
        <v xml:space="preserve"> </v>
      </c>
      <c r="DH325" s="357" t="str">
        <f t="shared" si="860"/>
        <v xml:space="preserve"> </v>
      </c>
      <c r="DI325" s="355" t="str">
        <f t="shared" si="861"/>
        <v xml:space="preserve"> </v>
      </c>
      <c r="DJ325" s="245" t="e">
        <f ca="1">INDEX(INDIRECT(VLOOKUP(LEFT(BO325,7),CLU!$Z$3:$AH$18,5)),GL325,GK325)</f>
        <v>#N/A</v>
      </c>
      <c r="DK325" s="245" t="e">
        <f ca="1">INDEX(INDIRECT(VLOOKUP(LEFT(BO325,7),CLU!$Z$3:$AH$18,6)),GL325,GK325)</f>
        <v>#N/A</v>
      </c>
      <c r="DL325" s="355">
        <f>(Calculation!R325*0.69143*(Calculation!$BQ$8-Calculation!$F$8))*$S$14</f>
        <v>0</v>
      </c>
      <c r="DM325" s="359" t="e">
        <f t="shared" si="966"/>
        <v>#VALUE!</v>
      </c>
      <c r="DN325" s="611">
        <f t="shared" si="967"/>
        <v>0</v>
      </c>
      <c r="DO325" s="359">
        <f t="shared" si="968"/>
        <v>100</v>
      </c>
      <c r="DP325" s="359">
        <f t="shared" si="969"/>
        <v>0</v>
      </c>
      <c r="DQ325" s="360"/>
      <c r="DR325" s="245" t="e">
        <f ca="1">INDEX(INDIRECT(VLOOKUP(LEFT(BO325,7),CLU!$Z$3:$AH$18,7)),M325-1,1)</f>
        <v>#N/A</v>
      </c>
      <c r="DS325" s="245" t="e">
        <f ca="1">INDEX(INDIRECT(VLOOKUP(LEFT(BO325,7),CLU!$Z$3:$AH$18,7)),M325-1,2)</f>
        <v>#N/A</v>
      </c>
      <c r="DT325" s="245" t="e">
        <f ca="1">INDEX(INDIRECT(VLOOKUP(LEFT(BO325,7),CLU!$Z$3:$AH$18,7)),M325-1,3)</f>
        <v>#N/A</v>
      </c>
      <c r="DU325" s="245" t="e">
        <f ca="1">INDEX(INDIRECT(VLOOKUP(LEFT(BO325,7),CLU!$Z$3:$AH$18,7)),M325-1,4)</f>
        <v>#N/A</v>
      </c>
      <c r="DV325" s="361" t="e">
        <f ca="1">INDEX(INDIRECT(VLOOKUP(LEFT(BO325,7),CLU!$Z$3:$AH$18,7)),M325-1,4+LEFT(DZ325,1)*0.5)</f>
        <v>#N/A</v>
      </c>
      <c r="DW325" s="245" t="e">
        <f ca="1">INDEX(INDIRECT(VLOOKUP(LEFT(BO325,7),CLU!$Z$3:$AH$18,7)),M325-1,8)</f>
        <v>#N/A</v>
      </c>
      <c r="DX325" s="361" t="str">
        <f t="shared" si="862"/>
        <v xml:space="preserve"> </v>
      </c>
      <c r="DY325" s="361" t="str">
        <f t="shared" si="863"/>
        <v xml:space="preserve"> </v>
      </c>
      <c r="DZ325" s="361" t="str">
        <f t="shared" si="864"/>
        <v xml:space="preserve"> </v>
      </c>
      <c r="EA325" s="362" t="str">
        <f t="shared" si="865"/>
        <v xml:space="preserve"> </v>
      </c>
      <c r="EB325" s="624" t="str">
        <f t="shared" si="970"/>
        <v xml:space="preserve"> </v>
      </c>
      <c r="EC325" s="361" t="e">
        <f ca="1">INDEX(INDIRECT(VLOOKUP(LEFT(BO325,7),CLU!$Z$3:$AH$18,7)),M325-1,4+LEFT(DZ325,1)*0.5)</f>
        <v>#N/A</v>
      </c>
      <c r="ED325" s="362" t="str">
        <f t="shared" si="866"/>
        <v xml:space="preserve"> </v>
      </c>
      <c r="EE325" s="361" t="str">
        <f t="shared" si="867"/>
        <v xml:space="preserve"> </v>
      </c>
      <c r="EF325" s="362" t="str">
        <f>IF(L325&gt;0,IF(BR325&gt;0,IF(EE325="2P",IF(Calculation!DZ325="2P",IF(Calculation!DS325=13.75,IF(Calculation!DR325=13,Worksheet!$BD$43,IF(Calculation!DR325=37,Worksheet!$BD$44,Worksheet!$BD$45)),IF(Calculation!DS325=10,IF(Calculation!DR325=18,Worksheet!$BD$29,IF(Calculation!DR325=30,Worksheet!$BD$30,IF(Calculation!DR325=42,Worksheet!$BD$31,IF(Calculation!DR325=54,Worksheet!$BD$32,IF(Calculation!DR325=66,Worksheet!$BD$33,IF(Calculation!DR325=78,Worksheet!$BD$34,IF(Calculation!DR325=90,Worksheet!$BD$35,IF(Calculation!DR325=102,Worksheet!$BD$36,Worksheet!$BD$37)))))))),IF(Calculation!DS325=12.5,IF(Calculation!DR325=18,Worksheet!$BD$38,IF(Calculation!DR325=Worksheet!$BD$39,IF(Calculation!DR325=42,Worksheet!$BD$40,IF(Calculation!DR325=54,Worksheet!$BD$41,Worksheet!$BD$42)))),IF(Calculation!DR325=18,Worksheet!$BD$11,IF(Calculation!DR325=30,Worksheet!$BD$12,IF(Calculation!DR325=42,Worksheet!$BD$13,IF(Calculation!DR325=54,Worksheet!$BD$14,IF(Calculation!DR325=66,Worksheet!$BD$15,IF(Calculation!DR325=78,Worksheet!$BD$16,IF(Calculation!DR325=90,Worksheet!$BD$17,IF(Calculation!DR325=102,Worksheet!$BD$18,Worksheet!$BD$19))))))))))),IF(Calculation!DS325=13.75,IF(Calculation!DR325=13,Worksheet!$BD$78,IF(Calculation!DR325=37,Worksheet!$BD$79,Worksheet!$BD$80)),IF(Calculation!DS325=10,IF(Calculation!DR325=18,Worksheet!$BD$64,IF(Calculation!DR325=30,Worksheet!$BD$65,IF(Calculation!DR325=42,Worksheet!$BD$66,IF(Calculation!DR325=54,Worksheet!$BD$68,IF(Calculation!DR325=66,Worksheet!$BD$68,IF(Calculation!DR325=78,Worksheet!$BD$69,IF(Calculation!DR325=90,Worksheet!$BD$70,IF(Calculation!DR325=102,Worksheet!$BD$71,Worksheet!$BD$72)))))))),IF(Calculation!DS325=12.5,IF(Calculation!DR325=18,Worksheet!$BD$73,IF(Calculation!DR325=Worksheet!$BD$74,IF(Calculation!DR325=42,Worksheet!$BD$75,IF(Calculation!DR325=54,Worksheet!$BD$76,Worksheet!$BD$77)))),IF(Calculation!DR325=18,Worksheet!$BD$55,IF(Calculation!DR325=30,Worksheet!$BD$56,IF(Calculation!DR325=42,Worksheet!$BD$57,IF(Calculation!DR325=54,Worksheet!$BD$58,IF(Calculation!DR325=66,Worksheet!$BD$59,IF(Calculation!DR325=78,Worksheet!$BD$60,IF(Calculation!DR325=90,Worksheet!$BD$61,IF(Calculation!DR325=102,Worksheet!$BD$62,Worksheet!$BD$63)))))))))))),5),0)," ")</f>
        <v xml:space="preserve"> </v>
      </c>
      <c r="EG325" s="361" t="str">
        <f t="shared" si="868"/>
        <v xml:space="preserve"> </v>
      </c>
      <c r="EH325" s="361" t="e">
        <f ca="1">INDEX(INDIRECT(VLOOKUP(LEFT(BO325,7),CLU!$Z$3:$AH$18,7)),M325-1,3+LEFT(DZ325,1))</f>
        <v>#N/A</v>
      </c>
      <c r="EI325" s="362" t="str">
        <f t="shared" si="869"/>
        <v xml:space="preserve"> </v>
      </c>
      <c r="EJ325" s="363" t="str">
        <f t="shared" si="870"/>
        <v xml:space="preserve"> </v>
      </c>
      <c r="EK325" s="363" t="str">
        <f t="shared" si="871"/>
        <v xml:space="preserve"> </v>
      </c>
      <c r="EL325" s="363" t="str">
        <f t="shared" si="872"/>
        <v xml:space="preserve"> </v>
      </c>
      <c r="EM325" s="362" t="str">
        <f>IF(L325&gt;0,IF(BR325&gt;0,(Calculation!T325/ED325)^2,0)," ")</f>
        <v xml:space="preserve"> </v>
      </c>
      <c r="EN325" s="362" t="str">
        <f>IF(L325&gt;0,IF(O325="2 Pipe (Cooling)","N/A",IF(BR325&gt;0,(Calculation!U325/EI325)^2,0))," ")</f>
        <v xml:space="preserve"> </v>
      </c>
      <c r="EO325" s="361" t="str">
        <f t="shared" si="873"/>
        <v/>
      </c>
      <c r="EP325" s="361" t="str">
        <f t="shared" si="874"/>
        <v/>
      </c>
      <c r="EQ325" s="361" t="str">
        <f t="shared" si="875"/>
        <v/>
      </c>
      <c r="ER325" s="361" t="str">
        <f t="shared" si="876"/>
        <v/>
      </c>
      <c r="ES325" s="361" t="str">
        <f t="shared" si="877"/>
        <v/>
      </c>
      <c r="ET325" s="361" t="str">
        <f t="shared" si="878"/>
        <v/>
      </c>
      <c r="EU325" s="361" t="str">
        <f t="shared" si="879"/>
        <v/>
      </c>
      <c r="EV325" s="361" t="str">
        <f t="shared" si="880"/>
        <v/>
      </c>
      <c r="EW325" s="361" t="str">
        <f t="shared" si="881"/>
        <v/>
      </c>
      <c r="EX325" s="361" t="str">
        <f t="shared" si="971"/>
        <v>1 slot, 1 way</v>
      </c>
      <c r="EY325" s="361" t="str">
        <f t="shared" si="972"/>
        <v xml:space="preserve"> </v>
      </c>
      <c r="EZ325" s="361" t="str">
        <f t="shared" si="973"/>
        <v xml:space="preserve"> </v>
      </c>
      <c r="FA325" s="361" t="str">
        <f t="shared" si="974"/>
        <v xml:space="preserve"> </v>
      </c>
      <c r="FB325" s="361" t="str">
        <f t="shared" si="975"/>
        <v xml:space="preserve"> </v>
      </c>
      <c r="FC325" s="361"/>
      <c r="FD325" s="361" t="str">
        <f>IF(J325&gt;0,IF(Calculation!R325&lt;=70,4,IF(Calculation!R325&lt;=110,5,IF(Calculation!R325&lt;=160,6,IF(Calculation!R325&lt;=300,8,"10 EO")))),"")</f>
        <v/>
      </c>
      <c r="FE325" s="361" t="str">
        <f t="shared" si="976"/>
        <v/>
      </c>
      <c r="FF325" s="361" t="str">
        <f t="shared" si="977"/>
        <v/>
      </c>
      <c r="FG325" s="361" t="e">
        <f t="shared" si="882"/>
        <v>#N/A</v>
      </c>
      <c r="FH325" s="361">
        <f t="shared" si="883"/>
        <v>0</v>
      </c>
      <c r="FI325" s="361" t="e">
        <f t="shared" si="884"/>
        <v>#DIV/0!</v>
      </c>
      <c r="FJ325" s="361"/>
      <c r="FK325" s="356" t="e">
        <f t="shared" si="885"/>
        <v>#VALUE!</v>
      </c>
      <c r="FL325" s="361"/>
      <c r="FM325" s="361"/>
      <c r="FN325" s="362" t="str">
        <f t="shared" si="978"/>
        <v xml:space="preserve"> </v>
      </c>
      <c r="FO325" s="362" t="str">
        <f t="shared" si="979"/>
        <v xml:space="preserve"> </v>
      </c>
      <c r="FP325" s="362">
        <f t="shared" si="980"/>
        <v>0</v>
      </c>
      <c r="FQ325" s="361">
        <f t="shared" si="886"/>
        <v>0</v>
      </c>
      <c r="FR325" s="362" t="str">
        <f>IF(L325&gt;0,IF(J325="CBAL2",Worksheet!$P$67,IF(J325="CBE2-24",Worksheet!$Q$67,IF(J325="CBAM",Worksheet!$R$67,IF(J325="CBLV",Worksheet!$S$67,IF(J325="CBAB",Worksheet!$U$67,IF(J325="CBAW",Worksheet!$X$67,IF(J325="CBE2-12",Worksheet!$Y$67,IF(J325="CBAL2",Worksheet!$Z$67,"N/A"))))))))," ")</f>
        <v xml:space="preserve"> </v>
      </c>
      <c r="FS325" s="362" t="str">
        <f>IF(L325&gt;0,IF(J325="CBAL2",Worksheet!$P$68,IF(J325="CBE2-24",Worksheet!$Q$68,IF(J325="CBAM",Worksheet!$R$68,IF(J325="CBLV",Worksheet!$S$68,IF(J325="CBAB",Worksheet!$U$68,IF(J325="CBAW",Worksheet!$X$68,IF(J325="CBE2-12",Worksheet!$Y$68,IF(J325="CBAL2",Worksheet!$Z$68,"N/A"))))))))," ")</f>
        <v xml:space="preserve"> </v>
      </c>
      <c r="FT325" s="362" t="str">
        <f>IF(L325&gt;0,IF(J325="CBAL2",Worksheet!$P$69,IF(J325="CBE2-24",Worksheet!$Q$69,IF(J325="CBAM",Worksheet!$R$69,IF(J325="CBLV",Worksheet!$S$69,IF(J325="CBAB",Worksheet!$U$69,IF(J325="CBAW",Worksheet!$X$69,IF(J325="CBE2-12",Worksheet!$Y$69,IF(J325="CBAL2",Worksheet!$Z$69,"N/A"))))))))," ")</f>
        <v xml:space="preserve"> </v>
      </c>
      <c r="FU325" s="361" t="str">
        <f t="shared" si="981"/>
        <v xml:space="preserve"> </v>
      </c>
      <c r="FV325" s="362" t="str">
        <f t="shared" si="982"/>
        <v xml:space="preserve"> </v>
      </c>
      <c r="FW325" s="362" t="str">
        <f t="shared" si="983"/>
        <v xml:space="preserve"> </v>
      </c>
      <c r="FX325" s="362" t="str">
        <f t="shared" si="984"/>
        <v xml:space="preserve"> </v>
      </c>
      <c r="FY325" s="355" t="str">
        <f t="shared" si="985"/>
        <v xml:space="preserve"> </v>
      </c>
      <c r="FZ325" s="361" t="str">
        <f t="shared" si="986"/>
        <v xml:space="preserve"> </v>
      </c>
      <c r="GA325" s="347" t="str">
        <f t="shared" si="987"/>
        <v xml:space="preserve"> </v>
      </c>
      <c r="GB325" s="355" t="str">
        <f t="shared" si="988"/>
        <v xml:space="preserve"> </v>
      </c>
      <c r="GC325" s="328" t="str">
        <f t="shared" si="989"/>
        <v xml:space="preserve"> </v>
      </c>
      <c r="GD325" s="361" t="str">
        <f t="shared" si="990"/>
        <v xml:space="preserve"> </v>
      </c>
      <c r="GE325" s="347" t="str">
        <f t="shared" si="991"/>
        <v xml:space="preserve"> </v>
      </c>
      <c r="GF325" s="361" t="str">
        <f t="shared" si="992"/>
        <v xml:space="preserve"> </v>
      </c>
      <c r="GG325" s="347" t="str">
        <f t="shared" si="993"/>
        <v xml:space="preserve"> </v>
      </c>
      <c r="GH325" s="364">
        <f t="shared" si="887"/>
        <v>0</v>
      </c>
      <c r="GI325" s="362">
        <f t="shared" si="994"/>
        <v>2</v>
      </c>
      <c r="GJ325" s="433" t="e">
        <f>IF(6-COUNTBLANK(GT325:GY325)=4,MATCH(MID(BO325,9,3),CLU!$H$16:$K$16),MATCH(MID(BO325,9,3),CLU!$H$13:$M$13))</f>
        <v>#N/A</v>
      </c>
      <c r="GK325" s="433" t="e">
        <f>HLOOKUP(VALUE(BP325),CLU!$H$9:$M$10,2)</f>
        <v>#VALUE!</v>
      </c>
      <c r="GL325" s="433" t="e">
        <f ca="1">MATCH(BU325,CLU!$H$2:$V$2,1)</f>
        <v>#VALUE!</v>
      </c>
      <c r="GM325" s="433" t="e">
        <f t="shared" ca="1" si="995"/>
        <v>#VALUE!</v>
      </c>
      <c r="GN325" s="433" t="e">
        <f t="shared" ca="1" si="996"/>
        <v>#VALUE!</v>
      </c>
      <c r="GO325" s="433" t="e">
        <f t="shared" ca="1" si="997"/>
        <v>#VALUE!</v>
      </c>
      <c r="GP325" s="433" t="e">
        <f t="shared" ca="1" si="998"/>
        <v>#VALUE!</v>
      </c>
      <c r="GQ325" s="433" t="e">
        <f t="shared" ca="1" si="999"/>
        <v>#VALUE!</v>
      </c>
      <c r="GR325" s="433" t="e">
        <f ca="1">MATCH(T325,INDIRECT(VLOOKUP(CONCATENATE(LEFT(BO325,7),"-",MID(BO325,13,1)),CLU!$P$3:$Q$16,2)),1)</f>
        <v>#N/A</v>
      </c>
      <c r="GS325" s="433" t="e">
        <f ca="1">MATCH(U325,INDIRECT(VLOOKUP(CONCATENATE(LEFT(BO325,7),"-",MID(BO325,13,1)),CLU!$P$3:$Q$16,2)),1)</f>
        <v>#N/A</v>
      </c>
      <c r="GT325" s="347" t="s">
        <v>512</v>
      </c>
      <c r="GU325" s="97" t="s">
        <v>513</v>
      </c>
      <c r="GV325" s="97" t="str">
        <f t="shared" si="1000"/>
        <v>M23</v>
      </c>
      <c r="GW325" s="97" t="str">
        <f t="shared" si="1001"/>
        <v>M31</v>
      </c>
      <c r="GX325" s="97" t="str">
        <f t="shared" si="1002"/>
        <v/>
      </c>
      <c r="GY325" s="97" t="str">
        <f t="shared" si="1003"/>
        <v/>
      </c>
      <c r="GZ325" s="481"/>
      <c r="HA325" s="240"/>
      <c r="HB325" s="240"/>
      <c r="HC325" s="240"/>
      <c r="HD325" s="240"/>
      <c r="HE325" s="240"/>
      <c r="HF325" s="240"/>
      <c r="HG325" s="240"/>
      <c r="HH325" s="240"/>
      <c r="HI325" s="240"/>
      <c r="HJ325" s="240"/>
      <c r="HK325" s="240"/>
      <c r="HL325" s="240"/>
      <c r="HM325" s="240"/>
      <c r="HN325" s="240"/>
      <c r="HO325" s="240"/>
      <c r="HP325" s="240"/>
      <c r="HQ325" s="240"/>
      <c r="HR325" s="240"/>
      <c r="HS325" s="240"/>
      <c r="HT325" s="240"/>
      <c r="HU325" s="240"/>
      <c r="HV325" s="245"/>
      <c r="HW325" s="245" t="b">
        <v>1</v>
      </c>
      <c r="HX325" s="245" t="str">
        <f t="shared" si="888"/>
        <v/>
      </c>
      <c r="HY325" s="245" t="e">
        <f t="shared" si="889"/>
        <v>#DIV/0!</v>
      </c>
      <c r="HZ325" s="245" t="e">
        <f t="shared" si="890"/>
        <v>#DIV/0!</v>
      </c>
      <c r="IA325" s="245">
        <f t="shared" si="891"/>
        <v>0</v>
      </c>
      <c r="IB325" s="245"/>
      <c r="IC325" t="b">
        <f t="shared" si="892"/>
        <v>1</v>
      </c>
      <c r="ID325" s="245" t="b">
        <f t="shared" si="893"/>
        <v>1</v>
      </c>
      <c r="IE325" s="245" t="b">
        <f t="shared" si="894"/>
        <v>1</v>
      </c>
      <c r="IF325" s="245" t="b">
        <f t="shared" si="895"/>
        <v>0</v>
      </c>
      <c r="IG325" s="245" t="b">
        <f t="shared" si="896"/>
        <v>1</v>
      </c>
      <c r="IH325" s="245" t="b">
        <f t="shared" si="897"/>
        <v>1</v>
      </c>
      <c r="II325" s="245">
        <f t="shared" si="1004"/>
        <v>0</v>
      </c>
      <c r="IJ325" s="245" t="e">
        <f t="shared" si="898"/>
        <v>#VALUE!</v>
      </c>
      <c r="IK325" s="245" t="e">
        <f t="shared" si="899"/>
        <v>#VALUE!</v>
      </c>
      <c r="IL325" s="245"/>
      <c r="IM325" s="245" t="e">
        <f t="shared" si="1005"/>
        <v>#N/A</v>
      </c>
      <c r="IN325" s="245" t="e">
        <f t="shared" si="1006"/>
        <v>#N/A</v>
      </c>
      <c r="IO325" s="245"/>
      <c r="IP325" s="245"/>
      <c r="IQ325" s="245" t="str">
        <f t="shared" si="900"/>
        <v/>
      </c>
      <c r="IR325" s="245" t="str">
        <f>IF(J325="","",VLOOKUP(J325,Worksheet!$R$4:$T$14,2))</f>
        <v/>
      </c>
      <c r="IS325" s="245"/>
      <c r="IT325" s="245">
        <f t="shared" si="901"/>
        <v>0</v>
      </c>
      <c r="IU325" s="245">
        <f t="shared" si="902"/>
        <v>0</v>
      </c>
      <c r="IV325" s="245">
        <f t="shared" si="903"/>
        <v>0</v>
      </c>
      <c r="IW325" s="245">
        <f t="shared" si="904"/>
        <v>0</v>
      </c>
      <c r="IX325" s="245">
        <f t="shared" si="1007"/>
        <v>0</v>
      </c>
      <c r="IY325" s="245">
        <f t="shared" si="905"/>
        <v>0</v>
      </c>
      <c r="IZ325" s="245">
        <f t="shared" si="906"/>
        <v>0</v>
      </c>
      <c r="JA325">
        <f t="shared" si="907"/>
        <v>0</v>
      </c>
      <c r="JB325">
        <f t="shared" si="1008"/>
        <v>0</v>
      </c>
      <c r="JC325">
        <f t="shared" si="908"/>
        <v>0</v>
      </c>
      <c r="JD325">
        <f t="shared" si="909"/>
        <v>0</v>
      </c>
      <c r="JE325">
        <f t="shared" si="910"/>
        <v>0</v>
      </c>
      <c r="JF325">
        <f t="shared" si="911"/>
        <v>0</v>
      </c>
      <c r="JG325">
        <f t="shared" si="912"/>
        <v>0</v>
      </c>
      <c r="JH325">
        <f t="shared" si="913"/>
        <v>0</v>
      </c>
      <c r="JI325">
        <f t="shared" si="914"/>
        <v>0</v>
      </c>
      <c r="JJ325" s="447">
        <f t="shared" si="915"/>
        <v>0</v>
      </c>
      <c r="JK325" s="447">
        <f t="shared" si="916"/>
        <v>0</v>
      </c>
      <c r="JL325">
        <f t="shared" si="917"/>
        <v>0</v>
      </c>
      <c r="JM325" s="245" t="str">
        <f>IFERROR(VLOOKUP(MATCH(BN325,#REF!,0),#REF!,7),"")</f>
        <v/>
      </c>
      <c r="JN325" t="e">
        <f>HLOOKUP(LEFT(BO325,7),Discharge_Area,MATCH(JO325,LookUps!$B$130:$B$149,1)+2)</f>
        <v>#N/A</v>
      </c>
      <c r="JO325" t="str">
        <f t="shared" si="918"/>
        <v>- S</v>
      </c>
      <c r="JP325" t="e">
        <f>HLOOKUP(LEFT(BO325,7),Discharge_Area,MATCH(JO325,LookUps!$B$130:$B$149,1)+2)</f>
        <v>#N/A</v>
      </c>
      <c r="JQ325" t="e">
        <f t="shared" si="919"/>
        <v>#N/A</v>
      </c>
      <c r="JR325" t="e">
        <f t="shared" si="920"/>
        <v>#N/A</v>
      </c>
      <c r="JS325" t="e">
        <f t="shared" si="921"/>
        <v>#N/A</v>
      </c>
      <c r="JT325" s="532" t="str">
        <f t="shared" si="922"/>
        <v xml:space="preserve"> </v>
      </c>
      <c r="JU325" s="532" t="str">
        <f t="shared" si="923"/>
        <v xml:space="preserve"> </v>
      </c>
      <c r="JV325" s="533" t="str">
        <f t="shared" si="924"/>
        <v xml:space="preserve"> </v>
      </c>
      <c r="JW325" s="534">
        <f t="shared" si="925"/>
        <v>0</v>
      </c>
      <c r="JX325" s="535" t="str">
        <f t="shared" si="1009"/>
        <v xml:space="preserve"> </v>
      </c>
      <c r="JY325" s="535" t="str">
        <f t="shared" si="1010"/>
        <v xml:space="preserve"> </v>
      </c>
      <c r="JZ325" s="535" t="str">
        <f t="shared" si="1011"/>
        <v xml:space="preserve"> </v>
      </c>
      <c r="KA325" s="536" t="str">
        <f t="shared" si="926"/>
        <v xml:space="preserve"> </v>
      </c>
      <c r="KB325" s="535" t="e">
        <f t="shared" si="1012"/>
        <v>#VALUE!</v>
      </c>
      <c r="KC325" s="535" t="str">
        <f t="shared" si="927"/>
        <v/>
      </c>
      <c r="KD325" s="537" t="str">
        <f t="shared" si="1013"/>
        <v xml:space="preserve"> </v>
      </c>
      <c r="KE325" s="537" t="str">
        <f t="shared" si="1014"/>
        <v xml:space="preserve"> </v>
      </c>
      <c r="KF325" s="534">
        <f t="shared" si="928"/>
        <v>0</v>
      </c>
      <c r="KG325" s="535" t="str">
        <f t="shared" si="929"/>
        <v xml:space="preserve"> </v>
      </c>
      <c r="KH325" s="535" t="str">
        <f t="shared" si="930"/>
        <v xml:space="preserve"> </v>
      </c>
      <c r="KI325" s="535" t="str">
        <f t="shared" si="931"/>
        <v xml:space="preserve"> </v>
      </c>
      <c r="KJ325" s="536" t="str">
        <f t="shared" si="932"/>
        <v xml:space="preserve"> </v>
      </c>
      <c r="KK325" s="535" t="str">
        <f t="shared" si="1015"/>
        <v xml:space="preserve"> </v>
      </c>
      <c r="KL325" s="535" t="str">
        <f t="shared" si="1016"/>
        <v xml:space="preserve"> </v>
      </c>
      <c r="KM325" s="537" t="str">
        <f t="shared" si="933"/>
        <v xml:space="preserve"> </v>
      </c>
      <c r="KN325" s="537" t="str">
        <f t="shared" si="1017"/>
        <v xml:space="preserve"> </v>
      </c>
      <c r="KP325">
        <f t="shared" si="934"/>
        <v>0</v>
      </c>
      <c r="LA325" t="e">
        <f t="shared" si="935"/>
        <v>#VALUE!</v>
      </c>
      <c r="LB325" t="e">
        <f t="shared" si="936"/>
        <v>#VALUE!</v>
      </c>
      <c r="LC325" t="e">
        <f t="shared" si="937"/>
        <v>#VALUE!</v>
      </c>
      <c r="LD325" t="e">
        <f t="shared" si="938"/>
        <v>#VALUE!</v>
      </c>
      <c r="LE325" t="e">
        <f t="shared" si="1018"/>
        <v>#VALUE!</v>
      </c>
      <c r="LF325">
        <f t="shared" si="939"/>
        <v>0</v>
      </c>
      <c r="LG325" t="e">
        <f t="shared" si="1019"/>
        <v>#VALUE!</v>
      </c>
      <c r="LH325" t="str">
        <f t="shared" si="940"/>
        <v xml:space="preserve"> </v>
      </c>
      <c r="LI325">
        <f t="shared" si="1020"/>
        <v>1</v>
      </c>
    </row>
    <row r="326" spans="2:321" ht="15" customHeight="1">
      <c r="B326" s="311"/>
      <c r="C326" s="311"/>
      <c r="D326" s="312"/>
      <c r="E326" s="311"/>
      <c r="F326" s="312"/>
      <c r="G326" s="311"/>
      <c r="H326" s="311"/>
      <c r="I326" s="232"/>
      <c r="J326" s="311"/>
      <c r="K326" s="305" t="str">
        <f t="shared" si="941"/>
        <v/>
      </c>
      <c r="L326" s="313"/>
      <c r="M326" s="312"/>
      <c r="N326" s="311"/>
      <c r="O326" s="312"/>
      <c r="P326" s="311"/>
      <c r="Q326" s="305" t="str">
        <f t="shared" si="942"/>
        <v/>
      </c>
      <c r="R326" s="314"/>
      <c r="S326" s="450" t="str">
        <f t="shared" si="825"/>
        <v/>
      </c>
      <c r="T326" s="315"/>
      <c r="U326" s="315"/>
      <c r="W326" s="149" t="str">
        <f t="shared" si="826"/>
        <v xml:space="preserve"> </v>
      </c>
      <c r="X326" s="243" t="str">
        <f t="shared" si="827"/>
        <v xml:space="preserve"> </v>
      </c>
      <c r="Y326" s="150" t="str">
        <f t="shared" si="828"/>
        <v/>
      </c>
      <c r="Z326" s="149" t="str">
        <f t="shared" si="829"/>
        <v xml:space="preserve"> </v>
      </c>
      <c r="AA326" s="98" t="str">
        <f t="shared" si="830"/>
        <v xml:space="preserve"> </v>
      </c>
      <c r="AB326" s="153" t="str">
        <f t="shared" si="831"/>
        <v xml:space="preserve"> </v>
      </c>
      <c r="AC326" s="153" t="str">
        <f t="shared" si="832"/>
        <v xml:space="preserve"> </v>
      </c>
      <c r="AD326" s="148" t="str">
        <f t="shared" si="833"/>
        <v/>
      </c>
      <c r="AE326" s="149" t="str">
        <f t="shared" si="834"/>
        <v/>
      </c>
      <c r="AF326" s="151" t="str">
        <f t="shared" si="835"/>
        <v xml:space="preserve"> </v>
      </c>
      <c r="AG326" s="153" t="str">
        <f t="shared" si="836"/>
        <v xml:space="preserve"> </v>
      </c>
      <c r="AH326" s="98" t="str">
        <f t="shared" si="837"/>
        <v xml:space="preserve"> </v>
      </c>
      <c r="AI326" s="149" t="str">
        <f t="shared" si="838"/>
        <v xml:space="preserve"> </v>
      </c>
      <c r="AK326" s="144" t="str">
        <f t="shared" si="839"/>
        <v xml:space="preserve"> </v>
      </c>
      <c r="AL326" s="144"/>
      <c r="AM326" s="243" t="str">
        <f t="shared" si="840"/>
        <v xml:space="preserve"> </v>
      </c>
      <c r="AN326" s="149" t="str">
        <f t="shared" si="943"/>
        <v xml:space="preserve"> </v>
      </c>
      <c r="AO326" s="144" t="str">
        <f>IF(JB326&gt;0,IF(GI326=10,-R326*1.085*(Calculation!$F$6-Calculation!$F$13)*$S$14," "),"")</f>
        <v/>
      </c>
      <c r="AP326" s="144" t="str">
        <f t="shared" si="841"/>
        <v/>
      </c>
      <c r="AQ326" s="56" t="str">
        <f t="shared" si="842"/>
        <v/>
      </c>
      <c r="AR326" s="144" t="str">
        <f t="shared" si="843"/>
        <v/>
      </c>
      <c r="AS326" s="176" t="str">
        <f t="shared" si="844"/>
        <v/>
      </c>
      <c r="AT326" s="176" t="str">
        <f t="shared" si="944"/>
        <v xml:space="preserve"> </v>
      </c>
      <c r="AU326" s="176" t="str">
        <f t="shared" si="845"/>
        <v/>
      </c>
      <c r="AV326" s="177" t="str">
        <f t="shared" si="846"/>
        <v xml:space="preserve"> </v>
      </c>
      <c r="AW326" s="144" t="str">
        <f t="shared" si="847"/>
        <v xml:space="preserve"> </v>
      </c>
      <c r="AX326" s="144" t="str">
        <f t="shared" si="848"/>
        <v xml:space="preserve"> </v>
      </c>
      <c r="AY326" s="152" t="str">
        <f t="shared" si="849"/>
        <v xml:space="preserve"> </v>
      </c>
      <c r="AZ326" s="246" t="str">
        <f t="shared" si="850"/>
        <v/>
      </c>
      <c r="BA326" s="176" t="str">
        <f t="shared" si="851"/>
        <v xml:space="preserve"> </v>
      </c>
      <c r="BB326" s="176" t="str">
        <f t="shared" si="852"/>
        <v xml:space="preserve"> </v>
      </c>
      <c r="BC326" s="195"/>
      <c r="BD326" s="316"/>
      <c r="BE326" s="317"/>
      <c r="BF326" s="318"/>
      <c r="BG326" s="318"/>
      <c r="BH326" s="144" t="str">
        <f t="shared" si="1021"/>
        <v xml:space="preserve"> </v>
      </c>
      <c r="BI326" s="176" t="str">
        <f t="shared" si="853"/>
        <v/>
      </c>
      <c r="BJ326" s="144" t="str">
        <f t="shared" si="1022"/>
        <v/>
      </c>
      <c r="BK326" s="246" t="str">
        <f t="shared" si="854"/>
        <v/>
      </c>
      <c r="BL326" s="144" t="str">
        <f t="shared" si="1023"/>
        <v/>
      </c>
      <c r="BM326" s="246" t="str">
        <f t="shared" si="855"/>
        <v/>
      </c>
      <c r="BN326" s="337" t="str">
        <f t="shared" si="945"/>
        <v/>
      </c>
      <c r="BO326" s="371" t="str">
        <f t="shared" si="946"/>
        <v/>
      </c>
      <c r="BP326" s="328" t="str">
        <f t="shared" si="1024"/>
        <v xml:space="preserve"> </v>
      </c>
      <c r="BQ326" s="347" t="str">
        <f t="shared" si="947"/>
        <v xml:space="preserve"> </v>
      </c>
      <c r="BR326" s="353" t="str">
        <f t="shared" si="948"/>
        <v xml:space="preserve"> </v>
      </c>
      <c r="BS326" s="626" t="str">
        <f>IF(L326&gt;0,IF(Calculation!P326="M13",BR326*3.1416*(0.134^2)/(4*144),IF(Calculation!P326="M17",BR326*3.1416*(0.165^2)/(4*144),IF(Calculation!P326="M20",BR326*3.1416*(0.198^2)/(4*144),IF(Calculation!P326="M23",BR326*3.1416*(0.228^2)/(4*144),IF(Calculation!P326="M27",BR326*3.1416*(0.269^2)/(4*144),BR326*3.1416*(0.307^2)/(4*144))))))," ")</f>
        <v xml:space="preserve"> </v>
      </c>
      <c r="BT326" s="353" t="str">
        <f>IF(L326&gt;0,IF(BS326&gt;0,R326/Calculation!BS326,0)," ")</f>
        <v xml:space="preserve"> </v>
      </c>
      <c r="BU326" s="438" t="e">
        <f t="shared" ca="1" si="856"/>
        <v>#VALUE!</v>
      </c>
      <c r="BV326" s="449" t="e">
        <f ca="1">INDEX(INDIRECT(VLOOKUP(LEFT(BO326,7),CLU!$Z$3:$AH$18,2)),GN326,GR326)</f>
        <v>#N/A</v>
      </c>
      <c r="BW326" s="433" t="e">
        <f ca="1">INDEX(INDIRECT(VLOOKUP(LEFT(BO326,7),CLU!$Z$3:$AH$18,3)),GN326,GR326)</f>
        <v>#N/A</v>
      </c>
      <c r="BX326" s="433" t="e">
        <f ca="1">INDEX(INDIRECT(VLOOKUP(LEFT(BO326,7),CLU!$Z$3:$AH$18,4)),GN326,GR326)</f>
        <v>#N/A</v>
      </c>
      <c r="BY326" s="433" t="e">
        <f ca="1">INDEX(INDIRECT(VLOOKUP(LEFT(BO326,7),CLU!$Z$3:$AH$18,9)),((M326-2)*(6-COUNTBLANK(GT326:GY326)))+GJ326)</f>
        <v>#N/A</v>
      </c>
      <c r="BZ326" s="426" t="e">
        <f t="shared" ca="1" si="949"/>
        <v>#N/A</v>
      </c>
      <c r="CA326" s="424" t="e">
        <f t="shared" ca="1" si="950"/>
        <v>#N/A</v>
      </c>
      <c r="CB326" s="429" t="e">
        <f ca="1">INDEX(INDIRECT(VLOOKUP(LEFT(BO326,7),CLU!$Z$3:$AH$18,2)),GN326,GS326)</f>
        <v>#N/A</v>
      </c>
      <c r="CC326" s="342" t="e">
        <f ca="1">INDEX(INDIRECT(VLOOKUP(LEFT(BO326,7),CLU!$Z$3:$AH$18,3)),GN326,GS326)</f>
        <v>#N/A</v>
      </c>
      <c r="CD326" s="342" t="e">
        <f ca="1">INDEX(INDIRECT(VLOOKUP(LEFT(BO326,7),CLU!$Z$3:$AH$18,4)),GN326,GS326)</f>
        <v>#N/A</v>
      </c>
      <c r="CE326" s="426" t="e">
        <f t="shared" ca="1" si="951"/>
        <v>#N/A</v>
      </c>
      <c r="CF326" s="440">
        <f t="shared" si="952"/>
        <v>0</v>
      </c>
      <c r="CG326" s="431" t="e">
        <f ca="1">INDEX(INDIRECT(VLOOKUP(LEFT(BO326,7),CLU!$Z$3:$AH$18,2)),GQ326,GR326)</f>
        <v>#N/A</v>
      </c>
      <c r="CH326" s="431" t="e">
        <f ca="1">INDEX(INDIRECT(VLOOKUP(LEFT(BO326,7),CLU!$Z$3:$AH$18,3)),GQ326,GR326)</f>
        <v>#N/A</v>
      </c>
      <c r="CI326" s="431" t="e">
        <f ca="1">INDEX(INDIRECT(VLOOKUP(LEFT(BO326,7),CLU!$Z$3:$AH$18,4)),GQ326,GR326)</f>
        <v>#N/A</v>
      </c>
      <c r="CJ326" s="448" t="e">
        <f t="shared" ca="1" si="953"/>
        <v>#N/A</v>
      </c>
      <c r="CK326" s="431" t="e">
        <f t="shared" ca="1" si="954"/>
        <v>#N/A</v>
      </c>
      <c r="CL326" s="440" t="e">
        <f t="shared" ca="1" si="955"/>
        <v>#N/A</v>
      </c>
      <c r="CM326" s="431" t="e">
        <f ca="1">INDEX(INDIRECT(VLOOKUP(LEFT(BO326,7),CLU!$Z$3:$AH$18,2)),GQ326,GS326)</f>
        <v>#N/A</v>
      </c>
      <c r="CN326" s="431" t="e">
        <f ca="1">INDEX(INDIRECT(VLOOKUP(LEFT(BO326,7),CLU!$Z$3:$AH$18,3)),GQ326,GS326)</f>
        <v>#N/A</v>
      </c>
      <c r="CO326" s="431" t="e">
        <f ca="1">INDEX(INDIRECT(VLOOKUP(LEFT(BO326,7),CLU!$Z$3:$AH$18,4)),GQ326,GS326)</f>
        <v>#N/A</v>
      </c>
      <c r="CP326" s="431" t="e">
        <f t="shared" ca="1" si="956"/>
        <v>#N/A</v>
      </c>
      <c r="CQ326" s="440">
        <f t="shared" si="957"/>
        <v>0</v>
      </c>
      <c r="CR326" s="51" t="e">
        <f t="shared" ca="1" si="958"/>
        <v>#N/A</v>
      </c>
      <c r="CS326" s="439" t="e">
        <f t="shared" ca="1" si="959"/>
        <v>#VALUE!</v>
      </c>
      <c r="CT326" s="51" t="e">
        <f t="shared" ca="1" si="960"/>
        <v>#VALUE!</v>
      </c>
      <c r="CU326" s="10"/>
      <c r="CV326" s="51" t="e">
        <f t="shared" ca="1" si="857"/>
        <v>#VALUE!</v>
      </c>
      <c r="CW326" s="51">
        <f t="shared" si="961"/>
        <v>0</v>
      </c>
      <c r="CX326" s="439" t="e">
        <f t="shared" ca="1" si="962"/>
        <v>#VALUE!</v>
      </c>
      <c r="CY326" s="51" t="e">
        <f t="shared" ca="1" si="963"/>
        <v>#VALUE!</v>
      </c>
      <c r="CZ326" s="10"/>
      <c r="DA326" s="51" t="e">
        <f t="shared" ca="1" si="964"/>
        <v>#VALUE!</v>
      </c>
      <c r="DB326" s="347" t="e">
        <f ca="1">INDEX(INDIRECT(VLOOKUP(LEFT(BO326,7),CLU!$Z$3:$AI$18,10)),((M326-2)*(6-COUNTBLANK(GT326:GY326)))+GJ326)*LI326</f>
        <v>#N/A</v>
      </c>
      <c r="DC326" s="347" t="str">
        <f>IF(L326&gt;0,((R326/Worksheet!$I$15)/DB326)^2," ")</f>
        <v xml:space="preserve"> </v>
      </c>
      <c r="DD326" s="602" t="str">
        <f t="shared" si="965"/>
        <v xml:space="preserve"> </v>
      </c>
      <c r="DE326" s="347" t="str">
        <f t="shared" si="858"/>
        <v xml:space="preserve"> </v>
      </c>
      <c r="DF326" s="356" t="e">
        <f ca="1">INDEX(INDIRECT(VLOOKUP(LEFT(BO326,7),CLU!$Z$3:$AH$18,8)),((M326-2)*(6-COUNTBLANK(GT326:GY326)))+GJ326)</f>
        <v>#N/A</v>
      </c>
      <c r="DG326" s="347" t="str">
        <f t="shared" si="859"/>
        <v xml:space="preserve"> </v>
      </c>
      <c r="DH326" s="357" t="str">
        <f t="shared" si="860"/>
        <v xml:space="preserve"> </v>
      </c>
      <c r="DI326" s="355" t="str">
        <f t="shared" si="861"/>
        <v xml:space="preserve"> </v>
      </c>
      <c r="DJ326" s="245" t="e">
        <f ca="1">INDEX(INDIRECT(VLOOKUP(LEFT(BO326,7),CLU!$Z$3:$AH$18,5)),GL326,GK326)</f>
        <v>#N/A</v>
      </c>
      <c r="DK326" s="245" t="e">
        <f ca="1">INDEX(INDIRECT(VLOOKUP(LEFT(BO326,7),CLU!$Z$3:$AH$18,6)),GL326,GK326)</f>
        <v>#N/A</v>
      </c>
      <c r="DL326" s="355">
        <f>(Calculation!R326*0.69143*(Calculation!$BQ$8-Calculation!$F$8))*$S$14</f>
        <v>0</v>
      </c>
      <c r="DM326" s="359" t="e">
        <f t="shared" si="966"/>
        <v>#VALUE!</v>
      </c>
      <c r="DN326" s="611">
        <f t="shared" si="967"/>
        <v>0</v>
      </c>
      <c r="DO326" s="359">
        <f t="shared" si="968"/>
        <v>100</v>
      </c>
      <c r="DP326" s="359">
        <f t="shared" si="969"/>
        <v>0</v>
      </c>
      <c r="DQ326" s="360"/>
      <c r="DR326" s="245" t="e">
        <f ca="1">INDEX(INDIRECT(VLOOKUP(LEFT(BO326,7),CLU!$Z$3:$AH$18,7)),M326-1,1)</f>
        <v>#N/A</v>
      </c>
      <c r="DS326" s="245" t="e">
        <f ca="1">INDEX(INDIRECT(VLOOKUP(LEFT(BO326,7),CLU!$Z$3:$AH$18,7)),M326-1,2)</f>
        <v>#N/A</v>
      </c>
      <c r="DT326" s="245" t="e">
        <f ca="1">INDEX(INDIRECT(VLOOKUP(LEFT(BO326,7),CLU!$Z$3:$AH$18,7)),M326-1,3)</f>
        <v>#N/A</v>
      </c>
      <c r="DU326" s="245" t="e">
        <f ca="1">INDEX(INDIRECT(VLOOKUP(LEFT(BO326,7),CLU!$Z$3:$AH$18,7)),M326-1,4)</f>
        <v>#N/A</v>
      </c>
      <c r="DV326" s="361" t="e">
        <f ca="1">INDEX(INDIRECT(VLOOKUP(LEFT(BO326,7),CLU!$Z$3:$AH$18,7)),M326-1,4+LEFT(DZ326,1)*0.5)</f>
        <v>#N/A</v>
      </c>
      <c r="DW326" s="245" t="e">
        <f ca="1">INDEX(INDIRECT(VLOOKUP(LEFT(BO326,7),CLU!$Z$3:$AH$18,7)),M326-1,8)</f>
        <v>#N/A</v>
      </c>
      <c r="DX326" s="361" t="str">
        <f t="shared" si="862"/>
        <v xml:space="preserve"> </v>
      </c>
      <c r="DY326" s="361" t="str">
        <f t="shared" si="863"/>
        <v xml:space="preserve"> </v>
      </c>
      <c r="DZ326" s="361" t="str">
        <f t="shared" si="864"/>
        <v xml:space="preserve"> </v>
      </c>
      <c r="EA326" s="362" t="str">
        <f t="shared" si="865"/>
        <v xml:space="preserve"> </v>
      </c>
      <c r="EB326" s="624" t="str">
        <f t="shared" si="970"/>
        <v xml:space="preserve"> </v>
      </c>
      <c r="EC326" s="361" t="e">
        <f ca="1">INDEX(INDIRECT(VLOOKUP(LEFT(BO326,7),CLU!$Z$3:$AH$18,7)),M326-1,4+LEFT(DZ326,1)*0.5)</f>
        <v>#N/A</v>
      </c>
      <c r="ED326" s="362" t="str">
        <f t="shared" si="866"/>
        <v xml:space="preserve"> </v>
      </c>
      <c r="EE326" s="361" t="str">
        <f t="shared" si="867"/>
        <v xml:space="preserve"> </v>
      </c>
      <c r="EF326" s="362" t="str">
        <f>IF(L326&gt;0,IF(BR326&gt;0,IF(EE326="2P",IF(Calculation!DZ326="2P",IF(Calculation!DS326=13.75,IF(Calculation!DR326=13,Worksheet!$BD$43,IF(Calculation!DR326=37,Worksheet!$BD$44,Worksheet!$BD$45)),IF(Calculation!DS326=10,IF(Calculation!DR326=18,Worksheet!$BD$29,IF(Calculation!DR326=30,Worksheet!$BD$30,IF(Calculation!DR326=42,Worksheet!$BD$31,IF(Calculation!DR326=54,Worksheet!$BD$32,IF(Calculation!DR326=66,Worksheet!$BD$33,IF(Calculation!DR326=78,Worksheet!$BD$34,IF(Calculation!DR326=90,Worksheet!$BD$35,IF(Calculation!DR326=102,Worksheet!$BD$36,Worksheet!$BD$37)))))))),IF(Calculation!DS326=12.5,IF(Calculation!DR326=18,Worksheet!$BD$38,IF(Calculation!DR326=Worksheet!$BD$39,IF(Calculation!DR326=42,Worksheet!$BD$40,IF(Calculation!DR326=54,Worksheet!$BD$41,Worksheet!$BD$42)))),IF(Calculation!DR326=18,Worksheet!$BD$11,IF(Calculation!DR326=30,Worksheet!$BD$12,IF(Calculation!DR326=42,Worksheet!$BD$13,IF(Calculation!DR326=54,Worksheet!$BD$14,IF(Calculation!DR326=66,Worksheet!$BD$15,IF(Calculation!DR326=78,Worksheet!$BD$16,IF(Calculation!DR326=90,Worksheet!$BD$17,IF(Calculation!DR326=102,Worksheet!$BD$18,Worksheet!$BD$19))))))))))),IF(Calculation!DS326=13.75,IF(Calculation!DR326=13,Worksheet!$BD$78,IF(Calculation!DR326=37,Worksheet!$BD$79,Worksheet!$BD$80)),IF(Calculation!DS326=10,IF(Calculation!DR326=18,Worksheet!$BD$64,IF(Calculation!DR326=30,Worksheet!$BD$65,IF(Calculation!DR326=42,Worksheet!$BD$66,IF(Calculation!DR326=54,Worksheet!$BD$68,IF(Calculation!DR326=66,Worksheet!$BD$68,IF(Calculation!DR326=78,Worksheet!$BD$69,IF(Calculation!DR326=90,Worksheet!$BD$70,IF(Calculation!DR326=102,Worksheet!$BD$71,Worksheet!$BD$72)))))))),IF(Calculation!DS326=12.5,IF(Calculation!DR326=18,Worksheet!$BD$73,IF(Calculation!DR326=Worksheet!$BD$74,IF(Calculation!DR326=42,Worksheet!$BD$75,IF(Calculation!DR326=54,Worksheet!$BD$76,Worksheet!$BD$77)))),IF(Calculation!DR326=18,Worksheet!$BD$55,IF(Calculation!DR326=30,Worksheet!$BD$56,IF(Calculation!DR326=42,Worksheet!$BD$57,IF(Calculation!DR326=54,Worksheet!$BD$58,IF(Calculation!DR326=66,Worksheet!$BD$59,IF(Calculation!DR326=78,Worksheet!$BD$60,IF(Calculation!DR326=90,Worksheet!$BD$61,IF(Calculation!DR326=102,Worksheet!$BD$62,Worksheet!$BD$63)))))))))))),5),0)," ")</f>
        <v xml:space="preserve"> </v>
      </c>
      <c r="EG326" s="361" t="str">
        <f t="shared" si="868"/>
        <v xml:space="preserve"> </v>
      </c>
      <c r="EH326" s="361" t="e">
        <f ca="1">INDEX(INDIRECT(VLOOKUP(LEFT(BO326,7),CLU!$Z$3:$AH$18,7)),M326-1,3+LEFT(DZ326,1))</f>
        <v>#N/A</v>
      </c>
      <c r="EI326" s="362" t="str">
        <f t="shared" si="869"/>
        <v xml:space="preserve"> </v>
      </c>
      <c r="EJ326" s="363" t="str">
        <f t="shared" si="870"/>
        <v xml:space="preserve"> </v>
      </c>
      <c r="EK326" s="363" t="str">
        <f t="shared" si="871"/>
        <v xml:space="preserve"> </v>
      </c>
      <c r="EL326" s="363" t="str">
        <f t="shared" si="872"/>
        <v xml:space="preserve"> </v>
      </c>
      <c r="EM326" s="362" t="str">
        <f>IF(L326&gt;0,IF(BR326&gt;0,(Calculation!T326/ED326)^2,0)," ")</f>
        <v xml:space="preserve"> </v>
      </c>
      <c r="EN326" s="362" t="str">
        <f>IF(L326&gt;0,IF(O326="2 Pipe (Cooling)","N/A",IF(BR326&gt;0,(Calculation!U326/EI326)^2,0))," ")</f>
        <v xml:space="preserve"> </v>
      </c>
      <c r="EO326" s="361" t="str">
        <f t="shared" si="873"/>
        <v/>
      </c>
      <c r="EP326" s="361" t="str">
        <f t="shared" si="874"/>
        <v/>
      </c>
      <c r="EQ326" s="361" t="str">
        <f t="shared" si="875"/>
        <v/>
      </c>
      <c r="ER326" s="361" t="str">
        <f t="shared" si="876"/>
        <v/>
      </c>
      <c r="ES326" s="361" t="str">
        <f t="shared" si="877"/>
        <v/>
      </c>
      <c r="ET326" s="361" t="str">
        <f t="shared" si="878"/>
        <v/>
      </c>
      <c r="EU326" s="361" t="str">
        <f t="shared" si="879"/>
        <v/>
      </c>
      <c r="EV326" s="361" t="str">
        <f t="shared" si="880"/>
        <v/>
      </c>
      <c r="EW326" s="361" t="str">
        <f t="shared" si="881"/>
        <v/>
      </c>
      <c r="EX326" s="361" t="str">
        <f t="shared" si="971"/>
        <v>1 slot, 1 way</v>
      </c>
      <c r="EY326" s="361" t="str">
        <f t="shared" si="972"/>
        <v xml:space="preserve"> </v>
      </c>
      <c r="EZ326" s="361" t="str">
        <f t="shared" si="973"/>
        <v xml:space="preserve"> </v>
      </c>
      <c r="FA326" s="361" t="str">
        <f t="shared" si="974"/>
        <v xml:space="preserve"> </v>
      </c>
      <c r="FB326" s="361" t="str">
        <f t="shared" si="975"/>
        <v xml:space="preserve"> </v>
      </c>
      <c r="FC326" s="361"/>
      <c r="FD326" s="361" t="str">
        <f>IF(J326&gt;0,IF(Calculation!R326&lt;=70,4,IF(Calculation!R326&lt;=110,5,IF(Calculation!R326&lt;=160,6,IF(Calculation!R326&lt;=300,8,"10 EO")))),"")</f>
        <v/>
      </c>
      <c r="FE326" s="361" t="str">
        <f t="shared" si="976"/>
        <v/>
      </c>
      <c r="FF326" s="361" t="str">
        <f t="shared" si="977"/>
        <v/>
      </c>
      <c r="FG326" s="361" t="e">
        <f t="shared" si="882"/>
        <v>#N/A</v>
      </c>
      <c r="FH326" s="361">
        <f t="shared" si="883"/>
        <v>0</v>
      </c>
      <c r="FI326" s="361" t="e">
        <f t="shared" si="884"/>
        <v>#DIV/0!</v>
      </c>
      <c r="FJ326" s="361"/>
      <c r="FK326" s="356" t="e">
        <f t="shared" si="885"/>
        <v>#VALUE!</v>
      </c>
      <c r="FL326" s="361"/>
      <c r="FM326" s="361"/>
      <c r="FN326" s="362" t="str">
        <f t="shared" si="978"/>
        <v xml:space="preserve"> </v>
      </c>
      <c r="FO326" s="362" t="str">
        <f t="shared" si="979"/>
        <v xml:space="preserve"> </v>
      </c>
      <c r="FP326" s="362">
        <f t="shared" si="980"/>
        <v>0</v>
      </c>
      <c r="FQ326" s="361">
        <f t="shared" si="886"/>
        <v>0</v>
      </c>
      <c r="FR326" s="362" t="str">
        <f>IF(L326&gt;0,IF(J326="CBAL2",Worksheet!$P$67,IF(J326="CBE2-24",Worksheet!$Q$67,IF(J326="CBAM",Worksheet!$R$67,IF(J326="CBLV",Worksheet!$S$67,IF(J326="CBAB",Worksheet!$U$67,IF(J326="CBAW",Worksheet!$X$67,IF(J326="CBE2-12",Worksheet!$Y$67,IF(J326="CBAL2",Worksheet!$Z$67,"N/A"))))))))," ")</f>
        <v xml:space="preserve"> </v>
      </c>
      <c r="FS326" s="362" t="str">
        <f>IF(L326&gt;0,IF(J326="CBAL2",Worksheet!$P$68,IF(J326="CBE2-24",Worksheet!$Q$68,IF(J326="CBAM",Worksheet!$R$68,IF(J326="CBLV",Worksheet!$S$68,IF(J326="CBAB",Worksheet!$U$68,IF(J326="CBAW",Worksheet!$X$68,IF(J326="CBE2-12",Worksheet!$Y$68,IF(J326="CBAL2",Worksheet!$Z$68,"N/A"))))))))," ")</f>
        <v xml:space="preserve"> </v>
      </c>
      <c r="FT326" s="362" t="str">
        <f>IF(L326&gt;0,IF(J326="CBAL2",Worksheet!$P$69,IF(J326="CBE2-24",Worksheet!$Q$69,IF(J326="CBAM",Worksheet!$R$69,IF(J326="CBLV",Worksheet!$S$69,IF(J326="CBAB",Worksheet!$U$69,IF(J326="CBAW",Worksheet!$X$69,IF(J326="CBE2-12",Worksheet!$Y$69,IF(J326="CBAL2",Worksheet!$Z$69,"N/A"))))))))," ")</f>
        <v xml:space="preserve"> </v>
      </c>
      <c r="FU326" s="361" t="str">
        <f t="shared" si="981"/>
        <v xml:space="preserve"> </v>
      </c>
      <c r="FV326" s="362" t="str">
        <f t="shared" si="982"/>
        <v xml:space="preserve"> </v>
      </c>
      <c r="FW326" s="362" t="str">
        <f t="shared" si="983"/>
        <v xml:space="preserve"> </v>
      </c>
      <c r="FX326" s="362" t="str">
        <f t="shared" si="984"/>
        <v xml:space="preserve"> </v>
      </c>
      <c r="FY326" s="355" t="str">
        <f t="shared" si="985"/>
        <v xml:space="preserve"> </v>
      </c>
      <c r="FZ326" s="361" t="str">
        <f t="shared" si="986"/>
        <v xml:space="preserve"> </v>
      </c>
      <c r="GA326" s="347" t="str">
        <f t="shared" si="987"/>
        <v xml:space="preserve"> </v>
      </c>
      <c r="GB326" s="355" t="str">
        <f t="shared" si="988"/>
        <v xml:space="preserve"> </v>
      </c>
      <c r="GC326" s="328" t="str">
        <f t="shared" si="989"/>
        <v xml:space="preserve"> </v>
      </c>
      <c r="GD326" s="361" t="str">
        <f t="shared" si="990"/>
        <v xml:space="preserve"> </v>
      </c>
      <c r="GE326" s="347" t="str">
        <f t="shared" si="991"/>
        <v xml:space="preserve"> </v>
      </c>
      <c r="GF326" s="361" t="str">
        <f t="shared" si="992"/>
        <v xml:space="preserve"> </v>
      </c>
      <c r="GG326" s="347" t="str">
        <f t="shared" si="993"/>
        <v xml:space="preserve"> </v>
      </c>
      <c r="GH326" s="364">
        <f t="shared" si="887"/>
        <v>0</v>
      </c>
      <c r="GI326" s="362">
        <f t="shared" si="994"/>
        <v>2</v>
      </c>
      <c r="GJ326" s="433" t="e">
        <f>IF(6-COUNTBLANK(GT326:GY326)=4,MATCH(MID(BO326,9,3),CLU!$H$16:$K$16),MATCH(MID(BO326,9,3),CLU!$H$13:$M$13))</f>
        <v>#N/A</v>
      </c>
      <c r="GK326" s="433" t="e">
        <f>HLOOKUP(VALUE(BP326),CLU!$H$9:$M$10,2)</f>
        <v>#VALUE!</v>
      </c>
      <c r="GL326" s="433" t="e">
        <f ca="1">MATCH(BU326,CLU!$H$2:$V$2,1)</f>
        <v>#VALUE!</v>
      </c>
      <c r="GM326" s="433" t="e">
        <f t="shared" ca="1" si="995"/>
        <v>#VALUE!</v>
      </c>
      <c r="GN326" s="433" t="e">
        <f t="shared" ca="1" si="996"/>
        <v>#VALUE!</v>
      </c>
      <c r="GO326" s="433" t="e">
        <f t="shared" ca="1" si="997"/>
        <v>#VALUE!</v>
      </c>
      <c r="GP326" s="433" t="e">
        <f t="shared" ca="1" si="998"/>
        <v>#VALUE!</v>
      </c>
      <c r="GQ326" s="433" t="e">
        <f t="shared" ca="1" si="999"/>
        <v>#VALUE!</v>
      </c>
      <c r="GR326" s="433" t="e">
        <f ca="1">MATCH(T326,INDIRECT(VLOOKUP(CONCATENATE(LEFT(BO326,7),"-",MID(BO326,13,1)),CLU!$P$3:$Q$16,2)),1)</f>
        <v>#N/A</v>
      </c>
      <c r="GS326" s="433" t="e">
        <f ca="1">MATCH(U326,INDIRECT(VLOOKUP(CONCATENATE(LEFT(BO326,7),"-",MID(BO326,13,1)),CLU!$P$3:$Q$16,2)),1)</f>
        <v>#N/A</v>
      </c>
      <c r="GT326" s="347" t="s">
        <v>512</v>
      </c>
      <c r="GU326" s="97" t="s">
        <v>513</v>
      </c>
      <c r="GV326" s="97" t="str">
        <f t="shared" si="1000"/>
        <v>M23</v>
      </c>
      <c r="GW326" s="97" t="str">
        <f t="shared" si="1001"/>
        <v>M31</v>
      </c>
      <c r="GX326" s="97" t="str">
        <f t="shared" si="1002"/>
        <v/>
      </c>
      <c r="GY326" s="97" t="str">
        <f t="shared" si="1003"/>
        <v/>
      </c>
      <c r="GZ326" s="481"/>
      <c r="HA326" s="240"/>
      <c r="HB326" s="240"/>
      <c r="HC326" s="240"/>
      <c r="HD326" s="240"/>
      <c r="HE326" s="240"/>
      <c r="HF326" s="240"/>
      <c r="HG326" s="240"/>
      <c r="HH326" s="240"/>
      <c r="HI326" s="240"/>
      <c r="HJ326" s="240"/>
      <c r="HK326" s="240"/>
      <c r="HL326" s="240"/>
      <c r="HM326" s="240"/>
      <c r="HN326" s="240"/>
      <c r="HO326" s="240"/>
      <c r="HP326" s="240"/>
      <c r="HQ326" s="240"/>
      <c r="HR326" s="240"/>
      <c r="HS326" s="240"/>
      <c r="HT326" s="240"/>
      <c r="HU326" s="240"/>
      <c r="HV326" s="245"/>
      <c r="HW326" s="245" t="b">
        <v>1</v>
      </c>
      <c r="HX326" s="245" t="str">
        <f t="shared" si="888"/>
        <v/>
      </c>
      <c r="HY326" s="245" t="e">
        <f t="shared" si="889"/>
        <v>#DIV/0!</v>
      </c>
      <c r="HZ326" s="245" t="e">
        <f t="shared" si="890"/>
        <v>#DIV/0!</v>
      </c>
      <c r="IA326" s="245">
        <f t="shared" si="891"/>
        <v>0</v>
      </c>
      <c r="IB326" s="245"/>
      <c r="IC326" t="b">
        <f t="shared" si="892"/>
        <v>1</v>
      </c>
      <c r="ID326" s="245" t="b">
        <f t="shared" si="893"/>
        <v>1</v>
      </c>
      <c r="IE326" s="245" t="b">
        <f t="shared" si="894"/>
        <v>1</v>
      </c>
      <c r="IF326" s="245" t="b">
        <f t="shared" si="895"/>
        <v>0</v>
      </c>
      <c r="IG326" s="245" t="b">
        <f t="shared" si="896"/>
        <v>1</v>
      </c>
      <c r="IH326" s="245" t="b">
        <f t="shared" si="897"/>
        <v>1</v>
      </c>
      <c r="II326" s="245">
        <f t="shared" si="1004"/>
        <v>0</v>
      </c>
      <c r="IJ326" s="245" t="e">
        <f t="shared" si="898"/>
        <v>#VALUE!</v>
      </c>
      <c r="IK326" s="245" t="e">
        <f t="shared" si="899"/>
        <v>#VALUE!</v>
      </c>
      <c r="IL326" s="245"/>
      <c r="IM326" s="245" t="e">
        <f t="shared" si="1005"/>
        <v>#N/A</v>
      </c>
      <c r="IN326" s="245" t="e">
        <f t="shared" si="1006"/>
        <v>#N/A</v>
      </c>
      <c r="IO326" s="245"/>
      <c r="IP326" s="245"/>
      <c r="IQ326" s="245" t="str">
        <f t="shared" si="900"/>
        <v/>
      </c>
      <c r="IR326" s="245" t="str">
        <f>IF(J326="","",VLOOKUP(J326,Worksheet!$R$4:$T$14,2))</f>
        <v/>
      </c>
      <c r="IS326" s="245"/>
      <c r="IT326" s="245">
        <f t="shared" si="901"/>
        <v>0</v>
      </c>
      <c r="IU326" s="245">
        <f t="shared" si="902"/>
        <v>0</v>
      </c>
      <c r="IV326" s="245">
        <f t="shared" si="903"/>
        <v>0</v>
      </c>
      <c r="IW326" s="245">
        <f t="shared" si="904"/>
        <v>0</v>
      </c>
      <c r="IX326" s="245">
        <f t="shared" si="1007"/>
        <v>0</v>
      </c>
      <c r="IY326" s="245">
        <f t="shared" si="905"/>
        <v>0</v>
      </c>
      <c r="IZ326" s="245">
        <f t="shared" si="906"/>
        <v>0</v>
      </c>
      <c r="JA326">
        <f t="shared" si="907"/>
        <v>0</v>
      </c>
      <c r="JB326">
        <f t="shared" si="1008"/>
        <v>0</v>
      </c>
      <c r="JC326">
        <f t="shared" si="908"/>
        <v>0</v>
      </c>
      <c r="JD326">
        <f t="shared" si="909"/>
        <v>0</v>
      </c>
      <c r="JE326">
        <f t="shared" si="910"/>
        <v>0</v>
      </c>
      <c r="JF326">
        <f t="shared" si="911"/>
        <v>0</v>
      </c>
      <c r="JG326">
        <f t="shared" si="912"/>
        <v>0</v>
      </c>
      <c r="JH326">
        <f t="shared" si="913"/>
        <v>0</v>
      </c>
      <c r="JI326">
        <f t="shared" si="914"/>
        <v>0</v>
      </c>
      <c r="JJ326" s="447">
        <f t="shared" si="915"/>
        <v>0</v>
      </c>
      <c r="JK326" s="447">
        <f t="shared" si="916"/>
        <v>0</v>
      </c>
      <c r="JL326">
        <f t="shared" si="917"/>
        <v>0</v>
      </c>
      <c r="JM326" s="245" t="str">
        <f>IFERROR(VLOOKUP(MATCH(BN326,#REF!,0),#REF!,7),"")</f>
        <v/>
      </c>
      <c r="JN326" t="e">
        <f>HLOOKUP(LEFT(BO326,7),Discharge_Area,MATCH(JO326,LookUps!$B$130:$B$149,1)+2)</f>
        <v>#N/A</v>
      </c>
      <c r="JO326" t="str">
        <f t="shared" si="918"/>
        <v>- S</v>
      </c>
      <c r="JP326" t="e">
        <f>HLOOKUP(LEFT(BO326,7),Discharge_Area,MATCH(JO326,LookUps!$B$130:$B$149,1)+2)</f>
        <v>#N/A</v>
      </c>
      <c r="JQ326" t="e">
        <f t="shared" si="919"/>
        <v>#N/A</v>
      </c>
      <c r="JR326" t="e">
        <f t="shared" si="920"/>
        <v>#N/A</v>
      </c>
      <c r="JS326" t="e">
        <f t="shared" si="921"/>
        <v>#N/A</v>
      </c>
      <c r="JT326" s="532" t="str">
        <f t="shared" si="922"/>
        <v xml:space="preserve"> </v>
      </c>
      <c r="JU326" s="532" t="str">
        <f t="shared" si="923"/>
        <v xml:space="preserve"> </v>
      </c>
      <c r="JV326" s="533" t="str">
        <f t="shared" si="924"/>
        <v xml:space="preserve"> </v>
      </c>
      <c r="JW326" s="534">
        <f t="shared" si="925"/>
        <v>0</v>
      </c>
      <c r="JX326" s="535" t="str">
        <f t="shared" si="1009"/>
        <v xml:space="preserve"> </v>
      </c>
      <c r="JY326" s="535" t="str">
        <f t="shared" si="1010"/>
        <v xml:space="preserve"> </v>
      </c>
      <c r="JZ326" s="535" t="str">
        <f t="shared" si="1011"/>
        <v xml:space="preserve"> </v>
      </c>
      <c r="KA326" s="536" t="str">
        <f t="shared" si="926"/>
        <v xml:space="preserve"> </v>
      </c>
      <c r="KB326" s="535" t="e">
        <f t="shared" si="1012"/>
        <v>#VALUE!</v>
      </c>
      <c r="KC326" s="535" t="str">
        <f t="shared" si="927"/>
        <v/>
      </c>
      <c r="KD326" s="537" t="str">
        <f t="shared" si="1013"/>
        <v xml:space="preserve"> </v>
      </c>
      <c r="KE326" s="537" t="str">
        <f t="shared" si="1014"/>
        <v xml:space="preserve"> </v>
      </c>
      <c r="KF326" s="534">
        <f t="shared" si="928"/>
        <v>0</v>
      </c>
      <c r="KG326" s="535" t="str">
        <f t="shared" si="929"/>
        <v xml:space="preserve"> </v>
      </c>
      <c r="KH326" s="535" t="str">
        <f t="shared" si="930"/>
        <v xml:space="preserve"> </v>
      </c>
      <c r="KI326" s="535" t="str">
        <f t="shared" si="931"/>
        <v xml:space="preserve"> </v>
      </c>
      <c r="KJ326" s="536" t="str">
        <f t="shared" si="932"/>
        <v xml:space="preserve"> </v>
      </c>
      <c r="KK326" s="535" t="str">
        <f t="shared" si="1015"/>
        <v xml:space="preserve"> </v>
      </c>
      <c r="KL326" s="535" t="str">
        <f t="shared" si="1016"/>
        <v xml:space="preserve"> </v>
      </c>
      <c r="KM326" s="537" t="str">
        <f t="shared" si="933"/>
        <v xml:space="preserve"> </v>
      </c>
      <c r="KN326" s="537" t="str">
        <f t="shared" si="1017"/>
        <v xml:space="preserve"> </v>
      </c>
      <c r="KP326">
        <f t="shared" si="934"/>
        <v>0</v>
      </c>
      <c r="LA326" t="e">
        <f t="shared" si="935"/>
        <v>#VALUE!</v>
      </c>
      <c r="LB326" t="e">
        <f t="shared" si="936"/>
        <v>#VALUE!</v>
      </c>
      <c r="LC326" t="e">
        <f t="shared" si="937"/>
        <v>#VALUE!</v>
      </c>
      <c r="LD326" t="e">
        <f t="shared" si="938"/>
        <v>#VALUE!</v>
      </c>
      <c r="LE326" t="e">
        <f t="shared" si="1018"/>
        <v>#VALUE!</v>
      </c>
      <c r="LF326">
        <f t="shared" si="939"/>
        <v>0</v>
      </c>
      <c r="LG326" t="e">
        <f t="shared" si="1019"/>
        <v>#VALUE!</v>
      </c>
      <c r="LH326" t="str">
        <f t="shared" si="940"/>
        <v xml:space="preserve"> </v>
      </c>
      <c r="LI326">
        <f t="shared" si="1020"/>
        <v>1</v>
      </c>
    </row>
    <row r="327" spans="2:321" ht="15" customHeight="1">
      <c r="B327" s="311"/>
      <c r="C327" s="311"/>
      <c r="D327" s="312"/>
      <c r="E327" s="311"/>
      <c r="F327" s="312"/>
      <c r="G327" s="311"/>
      <c r="H327" s="311"/>
      <c r="I327" s="232"/>
      <c r="J327" s="311"/>
      <c r="K327" s="305" t="str">
        <f t="shared" si="941"/>
        <v/>
      </c>
      <c r="L327" s="313"/>
      <c r="M327" s="312"/>
      <c r="N327" s="311"/>
      <c r="O327" s="312"/>
      <c r="P327" s="311"/>
      <c r="Q327" s="305" t="str">
        <f t="shared" si="942"/>
        <v/>
      </c>
      <c r="R327" s="314"/>
      <c r="S327" s="450" t="str">
        <f t="shared" si="825"/>
        <v/>
      </c>
      <c r="T327" s="315"/>
      <c r="U327" s="315"/>
      <c r="W327" s="149" t="str">
        <f t="shared" si="826"/>
        <v xml:space="preserve"> </v>
      </c>
      <c r="X327" s="243" t="str">
        <f t="shared" si="827"/>
        <v xml:space="preserve"> </v>
      </c>
      <c r="Y327" s="150" t="str">
        <f t="shared" si="828"/>
        <v/>
      </c>
      <c r="Z327" s="149" t="str">
        <f t="shared" si="829"/>
        <v xml:space="preserve"> </v>
      </c>
      <c r="AA327" s="98" t="str">
        <f t="shared" si="830"/>
        <v xml:space="preserve"> </v>
      </c>
      <c r="AB327" s="153" t="str">
        <f t="shared" si="831"/>
        <v xml:space="preserve"> </v>
      </c>
      <c r="AC327" s="153" t="str">
        <f t="shared" si="832"/>
        <v xml:space="preserve"> </v>
      </c>
      <c r="AD327" s="148" t="str">
        <f t="shared" si="833"/>
        <v/>
      </c>
      <c r="AE327" s="149" t="str">
        <f t="shared" si="834"/>
        <v/>
      </c>
      <c r="AF327" s="151" t="str">
        <f t="shared" si="835"/>
        <v xml:space="preserve"> </v>
      </c>
      <c r="AG327" s="153" t="str">
        <f t="shared" si="836"/>
        <v xml:space="preserve"> </v>
      </c>
      <c r="AH327" s="98" t="str">
        <f t="shared" si="837"/>
        <v xml:space="preserve"> </v>
      </c>
      <c r="AI327" s="149" t="str">
        <f t="shared" si="838"/>
        <v xml:space="preserve"> </v>
      </c>
      <c r="AK327" s="144" t="str">
        <f t="shared" si="839"/>
        <v xml:space="preserve"> </v>
      </c>
      <c r="AL327" s="144"/>
      <c r="AM327" s="243" t="str">
        <f t="shared" si="840"/>
        <v xml:space="preserve"> </v>
      </c>
      <c r="AN327" s="149" t="str">
        <f t="shared" si="943"/>
        <v xml:space="preserve"> </v>
      </c>
      <c r="AO327" s="144" t="str">
        <f>IF(JB327&gt;0,IF(GI327=10,-R327*1.085*(Calculation!$F$6-Calculation!$F$13)*$S$14," "),"")</f>
        <v/>
      </c>
      <c r="AP327" s="144" t="str">
        <f t="shared" si="841"/>
        <v/>
      </c>
      <c r="AQ327" s="56" t="str">
        <f t="shared" si="842"/>
        <v/>
      </c>
      <c r="AR327" s="144" t="str">
        <f t="shared" si="843"/>
        <v/>
      </c>
      <c r="AS327" s="176" t="str">
        <f t="shared" si="844"/>
        <v/>
      </c>
      <c r="AT327" s="176" t="str">
        <f t="shared" si="944"/>
        <v xml:space="preserve"> </v>
      </c>
      <c r="AU327" s="176" t="str">
        <f t="shared" si="845"/>
        <v/>
      </c>
      <c r="AV327" s="177" t="str">
        <f t="shared" si="846"/>
        <v xml:space="preserve"> </v>
      </c>
      <c r="AW327" s="144" t="str">
        <f t="shared" si="847"/>
        <v xml:space="preserve"> </v>
      </c>
      <c r="AX327" s="144" t="str">
        <f t="shared" si="848"/>
        <v xml:space="preserve"> </v>
      </c>
      <c r="AY327" s="152" t="str">
        <f t="shared" si="849"/>
        <v xml:space="preserve"> </v>
      </c>
      <c r="AZ327" s="246" t="str">
        <f t="shared" si="850"/>
        <v/>
      </c>
      <c r="BA327" s="176" t="str">
        <f t="shared" si="851"/>
        <v xml:space="preserve"> </v>
      </c>
      <c r="BB327" s="176" t="str">
        <f t="shared" si="852"/>
        <v xml:space="preserve"> </v>
      </c>
      <c r="BC327" s="195"/>
      <c r="BD327" s="316"/>
      <c r="BE327" s="317"/>
      <c r="BF327" s="318"/>
      <c r="BG327" s="318"/>
      <c r="BH327" s="144" t="str">
        <f t="shared" si="1021"/>
        <v xml:space="preserve"> </v>
      </c>
      <c r="BI327" s="176" t="str">
        <f t="shared" si="853"/>
        <v/>
      </c>
      <c r="BJ327" s="144" t="str">
        <f t="shared" si="1022"/>
        <v/>
      </c>
      <c r="BK327" s="246" t="str">
        <f t="shared" si="854"/>
        <v/>
      </c>
      <c r="BL327" s="144" t="str">
        <f t="shared" si="1023"/>
        <v/>
      </c>
      <c r="BM327" s="246" t="str">
        <f t="shared" si="855"/>
        <v/>
      </c>
      <c r="BN327" s="337" t="str">
        <f t="shared" si="945"/>
        <v/>
      </c>
      <c r="BO327" s="371" t="str">
        <f t="shared" si="946"/>
        <v/>
      </c>
      <c r="BP327" s="328" t="str">
        <f t="shared" si="1024"/>
        <v xml:space="preserve"> </v>
      </c>
      <c r="BQ327" s="347" t="str">
        <f t="shared" si="947"/>
        <v xml:space="preserve"> </v>
      </c>
      <c r="BR327" s="353" t="str">
        <f t="shared" si="948"/>
        <v xml:space="preserve"> </v>
      </c>
      <c r="BS327" s="626" t="str">
        <f>IF(L327&gt;0,IF(Calculation!P327="M13",BR327*3.1416*(0.134^2)/(4*144),IF(Calculation!P327="M17",BR327*3.1416*(0.165^2)/(4*144),IF(Calculation!P327="M20",BR327*3.1416*(0.198^2)/(4*144),IF(Calculation!P327="M23",BR327*3.1416*(0.228^2)/(4*144),IF(Calculation!P327="M27",BR327*3.1416*(0.269^2)/(4*144),BR327*3.1416*(0.307^2)/(4*144))))))," ")</f>
        <v xml:space="preserve"> </v>
      </c>
      <c r="BT327" s="353" t="str">
        <f>IF(L327&gt;0,IF(BS327&gt;0,R327/Calculation!BS327,0)," ")</f>
        <v xml:space="preserve"> </v>
      </c>
      <c r="BU327" s="438" t="e">
        <f t="shared" ca="1" si="856"/>
        <v>#VALUE!</v>
      </c>
      <c r="BV327" s="449" t="e">
        <f ca="1">INDEX(INDIRECT(VLOOKUP(LEFT(BO327,7),CLU!$Z$3:$AH$18,2)),GN327,GR327)</f>
        <v>#N/A</v>
      </c>
      <c r="BW327" s="433" t="e">
        <f ca="1">INDEX(INDIRECT(VLOOKUP(LEFT(BO327,7),CLU!$Z$3:$AH$18,3)),GN327,GR327)</f>
        <v>#N/A</v>
      </c>
      <c r="BX327" s="433" t="e">
        <f ca="1">INDEX(INDIRECT(VLOOKUP(LEFT(BO327,7),CLU!$Z$3:$AH$18,4)),GN327,GR327)</f>
        <v>#N/A</v>
      </c>
      <c r="BY327" s="433" t="e">
        <f ca="1">INDEX(INDIRECT(VLOOKUP(LEFT(BO327,7),CLU!$Z$3:$AH$18,9)),((M327-2)*(6-COUNTBLANK(GT327:GY327)))+GJ327)</f>
        <v>#N/A</v>
      </c>
      <c r="BZ327" s="426" t="e">
        <f t="shared" ca="1" si="949"/>
        <v>#N/A</v>
      </c>
      <c r="CA327" s="424" t="e">
        <f t="shared" ca="1" si="950"/>
        <v>#N/A</v>
      </c>
      <c r="CB327" s="429" t="e">
        <f ca="1">INDEX(INDIRECT(VLOOKUP(LEFT(BO327,7),CLU!$Z$3:$AH$18,2)),GN327,GS327)</f>
        <v>#N/A</v>
      </c>
      <c r="CC327" s="342" t="e">
        <f ca="1">INDEX(INDIRECT(VLOOKUP(LEFT(BO327,7),CLU!$Z$3:$AH$18,3)),GN327,GS327)</f>
        <v>#N/A</v>
      </c>
      <c r="CD327" s="342" t="e">
        <f ca="1">INDEX(INDIRECT(VLOOKUP(LEFT(BO327,7),CLU!$Z$3:$AH$18,4)),GN327,GS327)</f>
        <v>#N/A</v>
      </c>
      <c r="CE327" s="426" t="e">
        <f t="shared" ca="1" si="951"/>
        <v>#N/A</v>
      </c>
      <c r="CF327" s="440">
        <f t="shared" si="952"/>
        <v>0</v>
      </c>
      <c r="CG327" s="431" t="e">
        <f ca="1">INDEX(INDIRECT(VLOOKUP(LEFT(BO327,7),CLU!$Z$3:$AH$18,2)),GQ327,GR327)</f>
        <v>#N/A</v>
      </c>
      <c r="CH327" s="431" t="e">
        <f ca="1">INDEX(INDIRECT(VLOOKUP(LEFT(BO327,7),CLU!$Z$3:$AH$18,3)),GQ327,GR327)</f>
        <v>#N/A</v>
      </c>
      <c r="CI327" s="431" t="e">
        <f ca="1">INDEX(INDIRECT(VLOOKUP(LEFT(BO327,7),CLU!$Z$3:$AH$18,4)),GQ327,GR327)</f>
        <v>#N/A</v>
      </c>
      <c r="CJ327" s="448" t="e">
        <f t="shared" ca="1" si="953"/>
        <v>#N/A</v>
      </c>
      <c r="CK327" s="431" t="e">
        <f t="shared" ca="1" si="954"/>
        <v>#N/A</v>
      </c>
      <c r="CL327" s="440" t="e">
        <f t="shared" ca="1" si="955"/>
        <v>#N/A</v>
      </c>
      <c r="CM327" s="431" t="e">
        <f ca="1">INDEX(INDIRECT(VLOOKUP(LEFT(BO327,7),CLU!$Z$3:$AH$18,2)),GQ327,GS327)</f>
        <v>#N/A</v>
      </c>
      <c r="CN327" s="431" t="e">
        <f ca="1">INDEX(INDIRECT(VLOOKUP(LEFT(BO327,7),CLU!$Z$3:$AH$18,3)),GQ327,GS327)</f>
        <v>#N/A</v>
      </c>
      <c r="CO327" s="431" t="e">
        <f ca="1">INDEX(INDIRECT(VLOOKUP(LEFT(BO327,7),CLU!$Z$3:$AH$18,4)),GQ327,GS327)</f>
        <v>#N/A</v>
      </c>
      <c r="CP327" s="431" t="e">
        <f t="shared" ca="1" si="956"/>
        <v>#N/A</v>
      </c>
      <c r="CQ327" s="440">
        <f t="shared" si="957"/>
        <v>0</v>
      </c>
      <c r="CR327" s="51" t="e">
        <f t="shared" ca="1" si="958"/>
        <v>#N/A</v>
      </c>
      <c r="CS327" s="439" t="e">
        <f t="shared" ca="1" si="959"/>
        <v>#VALUE!</v>
      </c>
      <c r="CT327" s="51" t="e">
        <f t="shared" ca="1" si="960"/>
        <v>#VALUE!</v>
      </c>
      <c r="CU327" s="10"/>
      <c r="CV327" s="51" t="e">
        <f t="shared" ca="1" si="857"/>
        <v>#VALUE!</v>
      </c>
      <c r="CW327" s="51">
        <f t="shared" si="961"/>
        <v>0</v>
      </c>
      <c r="CX327" s="439" t="e">
        <f t="shared" ca="1" si="962"/>
        <v>#VALUE!</v>
      </c>
      <c r="CY327" s="51" t="e">
        <f t="shared" ca="1" si="963"/>
        <v>#VALUE!</v>
      </c>
      <c r="CZ327" s="10"/>
      <c r="DA327" s="51" t="e">
        <f t="shared" ca="1" si="964"/>
        <v>#VALUE!</v>
      </c>
      <c r="DB327" s="347" t="e">
        <f ca="1">INDEX(INDIRECT(VLOOKUP(LEFT(BO327,7),CLU!$Z$3:$AI$18,10)),((M327-2)*(6-COUNTBLANK(GT327:GY327)))+GJ327)*LI327</f>
        <v>#N/A</v>
      </c>
      <c r="DC327" s="347" t="str">
        <f>IF(L327&gt;0,((R327/Worksheet!$I$15)/DB327)^2," ")</f>
        <v xml:space="preserve"> </v>
      </c>
      <c r="DD327" s="602" t="str">
        <f t="shared" si="965"/>
        <v xml:space="preserve"> </v>
      </c>
      <c r="DE327" s="347" t="str">
        <f t="shared" si="858"/>
        <v xml:space="preserve"> </v>
      </c>
      <c r="DF327" s="356" t="e">
        <f ca="1">INDEX(INDIRECT(VLOOKUP(LEFT(BO327,7),CLU!$Z$3:$AH$18,8)),((M327-2)*(6-COUNTBLANK(GT327:GY327)))+GJ327)</f>
        <v>#N/A</v>
      </c>
      <c r="DG327" s="347" t="str">
        <f t="shared" si="859"/>
        <v xml:space="preserve"> </v>
      </c>
      <c r="DH327" s="357" t="str">
        <f t="shared" si="860"/>
        <v xml:space="preserve"> </v>
      </c>
      <c r="DI327" s="355" t="str">
        <f t="shared" si="861"/>
        <v xml:space="preserve"> </v>
      </c>
      <c r="DJ327" s="245" t="e">
        <f ca="1">INDEX(INDIRECT(VLOOKUP(LEFT(BO327,7),CLU!$Z$3:$AH$18,5)),GL327,GK327)</f>
        <v>#N/A</v>
      </c>
      <c r="DK327" s="245" t="e">
        <f ca="1">INDEX(INDIRECT(VLOOKUP(LEFT(BO327,7),CLU!$Z$3:$AH$18,6)),GL327,GK327)</f>
        <v>#N/A</v>
      </c>
      <c r="DL327" s="355">
        <f>(Calculation!R327*0.69143*(Calculation!$BQ$8-Calculation!$F$8))*$S$14</f>
        <v>0</v>
      </c>
      <c r="DM327" s="359" t="e">
        <f t="shared" si="966"/>
        <v>#VALUE!</v>
      </c>
      <c r="DN327" s="611">
        <f t="shared" si="967"/>
        <v>0</v>
      </c>
      <c r="DO327" s="359">
        <f t="shared" si="968"/>
        <v>100</v>
      </c>
      <c r="DP327" s="359">
        <f t="shared" si="969"/>
        <v>0</v>
      </c>
      <c r="DQ327" s="360"/>
      <c r="DR327" s="245" t="e">
        <f ca="1">INDEX(INDIRECT(VLOOKUP(LEFT(BO327,7),CLU!$Z$3:$AH$18,7)),M327-1,1)</f>
        <v>#N/A</v>
      </c>
      <c r="DS327" s="245" t="e">
        <f ca="1">INDEX(INDIRECT(VLOOKUP(LEFT(BO327,7),CLU!$Z$3:$AH$18,7)),M327-1,2)</f>
        <v>#N/A</v>
      </c>
      <c r="DT327" s="245" t="e">
        <f ca="1">INDEX(INDIRECT(VLOOKUP(LEFT(BO327,7),CLU!$Z$3:$AH$18,7)),M327-1,3)</f>
        <v>#N/A</v>
      </c>
      <c r="DU327" s="245" t="e">
        <f ca="1">INDEX(INDIRECT(VLOOKUP(LEFT(BO327,7),CLU!$Z$3:$AH$18,7)),M327-1,4)</f>
        <v>#N/A</v>
      </c>
      <c r="DV327" s="361" t="e">
        <f ca="1">INDEX(INDIRECT(VLOOKUP(LEFT(BO327,7),CLU!$Z$3:$AH$18,7)),M327-1,4+LEFT(DZ327,1)*0.5)</f>
        <v>#N/A</v>
      </c>
      <c r="DW327" s="245" t="e">
        <f ca="1">INDEX(INDIRECT(VLOOKUP(LEFT(BO327,7),CLU!$Z$3:$AH$18,7)),M327-1,8)</f>
        <v>#N/A</v>
      </c>
      <c r="DX327" s="361" t="str">
        <f t="shared" si="862"/>
        <v xml:space="preserve"> </v>
      </c>
      <c r="DY327" s="361" t="str">
        <f t="shared" si="863"/>
        <v xml:space="preserve"> </v>
      </c>
      <c r="DZ327" s="361" t="str">
        <f t="shared" si="864"/>
        <v xml:space="preserve"> </v>
      </c>
      <c r="EA327" s="362" t="str">
        <f t="shared" si="865"/>
        <v xml:space="preserve"> </v>
      </c>
      <c r="EB327" s="624" t="str">
        <f t="shared" si="970"/>
        <v xml:space="preserve"> </v>
      </c>
      <c r="EC327" s="361" t="e">
        <f ca="1">INDEX(INDIRECT(VLOOKUP(LEFT(BO327,7),CLU!$Z$3:$AH$18,7)),M327-1,4+LEFT(DZ327,1)*0.5)</f>
        <v>#N/A</v>
      </c>
      <c r="ED327" s="362" t="str">
        <f t="shared" si="866"/>
        <v xml:space="preserve"> </v>
      </c>
      <c r="EE327" s="361" t="str">
        <f t="shared" si="867"/>
        <v xml:space="preserve"> </v>
      </c>
      <c r="EF327" s="362" t="str">
        <f>IF(L327&gt;0,IF(BR327&gt;0,IF(EE327="2P",IF(Calculation!DZ327="2P",IF(Calculation!DS327=13.75,IF(Calculation!DR327=13,Worksheet!$BD$43,IF(Calculation!DR327=37,Worksheet!$BD$44,Worksheet!$BD$45)),IF(Calculation!DS327=10,IF(Calculation!DR327=18,Worksheet!$BD$29,IF(Calculation!DR327=30,Worksheet!$BD$30,IF(Calculation!DR327=42,Worksheet!$BD$31,IF(Calculation!DR327=54,Worksheet!$BD$32,IF(Calculation!DR327=66,Worksheet!$BD$33,IF(Calculation!DR327=78,Worksheet!$BD$34,IF(Calculation!DR327=90,Worksheet!$BD$35,IF(Calculation!DR327=102,Worksheet!$BD$36,Worksheet!$BD$37)))))))),IF(Calculation!DS327=12.5,IF(Calculation!DR327=18,Worksheet!$BD$38,IF(Calculation!DR327=Worksheet!$BD$39,IF(Calculation!DR327=42,Worksheet!$BD$40,IF(Calculation!DR327=54,Worksheet!$BD$41,Worksheet!$BD$42)))),IF(Calculation!DR327=18,Worksheet!$BD$11,IF(Calculation!DR327=30,Worksheet!$BD$12,IF(Calculation!DR327=42,Worksheet!$BD$13,IF(Calculation!DR327=54,Worksheet!$BD$14,IF(Calculation!DR327=66,Worksheet!$BD$15,IF(Calculation!DR327=78,Worksheet!$BD$16,IF(Calculation!DR327=90,Worksheet!$BD$17,IF(Calculation!DR327=102,Worksheet!$BD$18,Worksheet!$BD$19))))))))))),IF(Calculation!DS327=13.75,IF(Calculation!DR327=13,Worksheet!$BD$78,IF(Calculation!DR327=37,Worksheet!$BD$79,Worksheet!$BD$80)),IF(Calculation!DS327=10,IF(Calculation!DR327=18,Worksheet!$BD$64,IF(Calculation!DR327=30,Worksheet!$BD$65,IF(Calculation!DR327=42,Worksheet!$BD$66,IF(Calculation!DR327=54,Worksheet!$BD$68,IF(Calculation!DR327=66,Worksheet!$BD$68,IF(Calculation!DR327=78,Worksheet!$BD$69,IF(Calculation!DR327=90,Worksheet!$BD$70,IF(Calculation!DR327=102,Worksheet!$BD$71,Worksheet!$BD$72)))))))),IF(Calculation!DS327=12.5,IF(Calculation!DR327=18,Worksheet!$BD$73,IF(Calculation!DR327=Worksheet!$BD$74,IF(Calculation!DR327=42,Worksheet!$BD$75,IF(Calculation!DR327=54,Worksheet!$BD$76,Worksheet!$BD$77)))),IF(Calculation!DR327=18,Worksheet!$BD$55,IF(Calculation!DR327=30,Worksheet!$BD$56,IF(Calculation!DR327=42,Worksheet!$BD$57,IF(Calculation!DR327=54,Worksheet!$BD$58,IF(Calculation!DR327=66,Worksheet!$BD$59,IF(Calculation!DR327=78,Worksheet!$BD$60,IF(Calculation!DR327=90,Worksheet!$BD$61,IF(Calculation!DR327=102,Worksheet!$BD$62,Worksheet!$BD$63)))))))))))),5),0)," ")</f>
        <v xml:space="preserve"> </v>
      </c>
      <c r="EG327" s="361" t="str">
        <f t="shared" si="868"/>
        <v xml:space="preserve"> </v>
      </c>
      <c r="EH327" s="361" t="e">
        <f ca="1">INDEX(INDIRECT(VLOOKUP(LEFT(BO327,7),CLU!$Z$3:$AH$18,7)),M327-1,3+LEFT(DZ327,1))</f>
        <v>#N/A</v>
      </c>
      <c r="EI327" s="362" t="str">
        <f t="shared" si="869"/>
        <v xml:space="preserve"> </v>
      </c>
      <c r="EJ327" s="363" t="str">
        <f t="shared" si="870"/>
        <v xml:space="preserve"> </v>
      </c>
      <c r="EK327" s="363" t="str">
        <f t="shared" si="871"/>
        <v xml:space="preserve"> </v>
      </c>
      <c r="EL327" s="363" t="str">
        <f t="shared" si="872"/>
        <v xml:space="preserve"> </v>
      </c>
      <c r="EM327" s="362" t="str">
        <f>IF(L327&gt;0,IF(BR327&gt;0,(Calculation!T327/ED327)^2,0)," ")</f>
        <v xml:space="preserve"> </v>
      </c>
      <c r="EN327" s="362" t="str">
        <f>IF(L327&gt;0,IF(O327="2 Pipe (Cooling)","N/A",IF(BR327&gt;0,(Calculation!U327/EI327)^2,0))," ")</f>
        <v xml:space="preserve"> </v>
      </c>
      <c r="EO327" s="361" t="str">
        <f t="shared" si="873"/>
        <v/>
      </c>
      <c r="EP327" s="361" t="str">
        <f t="shared" si="874"/>
        <v/>
      </c>
      <c r="EQ327" s="361" t="str">
        <f t="shared" si="875"/>
        <v/>
      </c>
      <c r="ER327" s="361" t="str">
        <f t="shared" si="876"/>
        <v/>
      </c>
      <c r="ES327" s="361" t="str">
        <f t="shared" si="877"/>
        <v/>
      </c>
      <c r="ET327" s="361" t="str">
        <f t="shared" si="878"/>
        <v/>
      </c>
      <c r="EU327" s="361" t="str">
        <f t="shared" si="879"/>
        <v/>
      </c>
      <c r="EV327" s="361" t="str">
        <f t="shared" si="880"/>
        <v/>
      </c>
      <c r="EW327" s="361" t="str">
        <f t="shared" si="881"/>
        <v/>
      </c>
      <c r="EX327" s="361" t="str">
        <f t="shared" si="971"/>
        <v>1 slot, 1 way</v>
      </c>
      <c r="EY327" s="361" t="str">
        <f t="shared" si="972"/>
        <v xml:space="preserve"> </v>
      </c>
      <c r="EZ327" s="361" t="str">
        <f t="shared" si="973"/>
        <v xml:space="preserve"> </v>
      </c>
      <c r="FA327" s="361" t="str">
        <f t="shared" si="974"/>
        <v xml:space="preserve"> </v>
      </c>
      <c r="FB327" s="361" t="str">
        <f t="shared" si="975"/>
        <v xml:space="preserve"> </v>
      </c>
      <c r="FC327" s="361"/>
      <c r="FD327" s="361" t="str">
        <f>IF(J327&gt;0,IF(Calculation!R327&lt;=70,4,IF(Calculation!R327&lt;=110,5,IF(Calculation!R327&lt;=160,6,IF(Calculation!R327&lt;=300,8,"10 EO")))),"")</f>
        <v/>
      </c>
      <c r="FE327" s="361" t="str">
        <f t="shared" si="976"/>
        <v/>
      </c>
      <c r="FF327" s="361" t="str">
        <f t="shared" si="977"/>
        <v/>
      </c>
      <c r="FG327" s="361" t="e">
        <f t="shared" si="882"/>
        <v>#N/A</v>
      </c>
      <c r="FH327" s="361">
        <f t="shared" si="883"/>
        <v>0</v>
      </c>
      <c r="FI327" s="361" t="e">
        <f t="shared" si="884"/>
        <v>#DIV/0!</v>
      </c>
      <c r="FJ327" s="361"/>
      <c r="FK327" s="356" t="e">
        <f t="shared" si="885"/>
        <v>#VALUE!</v>
      </c>
      <c r="FL327" s="361"/>
      <c r="FM327" s="361"/>
      <c r="FN327" s="362" t="str">
        <f t="shared" si="978"/>
        <v xml:space="preserve"> </v>
      </c>
      <c r="FO327" s="362" t="str">
        <f t="shared" si="979"/>
        <v xml:space="preserve"> </v>
      </c>
      <c r="FP327" s="362">
        <f t="shared" si="980"/>
        <v>0</v>
      </c>
      <c r="FQ327" s="361">
        <f t="shared" si="886"/>
        <v>0</v>
      </c>
      <c r="FR327" s="362" t="str">
        <f>IF(L327&gt;0,IF(J327="CBAL2",Worksheet!$P$67,IF(J327="CBE2-24",Worksheet!$Q$67,IF(J327="CBAM",Worksheet!$R$67,IF(J327="CBLV",Worksheet!$S$67,IF(J327="CBAB",Worksheet!$U$67,IF(J327="CBAW",Worksheet!$X$67,IF(J327="CBE2-12",Worksheet!$Y$67,IF(J327="CBAL2",Worksheet!$Z$67,"N/A"))))))))," ")</f>
        <v xml:space="preserve"> </v>
      </c>
      <c r="FS327" s="362" t="str">
        <f>IF(L327&gt;0,IF(J327="CBAL2",Worksheet!$P$68,IF(J327="CBE2-24",Worksheet!$Q$68,IF(J327="CBAM",Worksheet!$R$68,IF(J327="CBLV",Worksheet!$S$68,IF(J327="CBAB",Worksheet!$U$68,IF(J327="CBAW",Worksheet!$X$68,IF(J327="CBE2-12",Worksheet!$Y$68,IF(J327="CBAL2",Worksheet!$Z$68,"N/A"))))))))," ")</f>
        <v xml:space="preserve"> </v>
      </c>
      <c r="FT327" s="362" t="str">
        <f>IF(L327&gt;0,IF(J327="CBAL2",Worksheet!$P$69,IF(J327="CBE2-24",Worksheet!$Q$69,IF(J327="CBAM",Worksheet!$R$69,IF(J327="CBLV",Worksheet!$S$69,IF(J327="CBAB",Worksheet!$U$69,IF(J327="CBAW",Worksheet!$X$69,IF(J327="CBE2-12",Worksheet!$Y$69,IF(J327="CBAL2",Worksheet!$Z$69,"N/A"))))))))," ")</f>
        <v xml:space="preserve"> </v>
      </c>
      <c r="FU327" s="361" t="str">
        <f t="shared" si="981"/>
        <v xml:space="preserve"> </v>
      </c>
      <c r="FV327" s="362" t="str">
        <f t="shared" si="982"/>
        <v xml:space="preserve"> </v>
      </c>
      <c r="FW327" s="362" t="str">
        <f t="shared" si="983"/>
        <v xml:space="preserve"> </v>
      </c>
      <c r="FX327" s="362" t="str">
        <f t="shared" si="984"/>
        <v xml:space="preserve"> </v>
      </c>
      <c r="FY327" s="355" t="str">
        <f t="shared" si="985"/>
        <v xml:space="preserve"> </v>
      </c>
      <c r="FZ327" s="361" t="str">
        <f t="shared" si="986"/>
        <v xml:space="preserve"> </v>
      </c>
      <c r="GA327" s="347" t="str">
        <f t="shared" si="987"/>
        <v xml:space="preserve"> </v>
      </c>
      <c r="GB327" s="355" t="str">
        <f t="shared" si="988"/>
        <v xml:space="preserve"> </v>
      </c>
      <c r="GC327" s="328" t="str">
        <f t="shared" si="989"/>
        <v xml:space="preserve"> </v>
      </c>
      <c r="GD327" s="361" t="str">
        <f t="shared" si="990"/>
        <v xml:space="preserve"> </v>
      </c>
      <c r="GE327" s="347" t="str">
        <f t="shared" si="991"/>
        <v xml:space="preserve"> </v>
      </c>
      <c r="GF327" s="361" t="str">
        <f t="shared" si="992"/>
        <v xml:space="preserve"> </v>
      </c>
      <c r="GG327" s="347" t="str">
        <f t="shared" si="993"/>
        <v xml:space="preserve"> </v>
      </c>
      <c r="GH327" s="364">
        <f t="shared" si="887"/>
        <v>0</v>
      </c>
      <c r="GI327" s="362">
        <f t="shared" si="994"/>
        <v>2</v>
      </c>
      <c r="GJ327" s="433" t="e">
        <f>IF(6-COUNTBLANK(GT327:GY327)=4,MATCH(MID(BO327,9,3),CLU!$H$16:$K$16),MATCH(MID(BO327,9,3),CLU!$H$13:$M$13))</f>
        <v>#N/A</v>
      </c>
      <c r="GK327" s="433" t="e">
        <f>HLOOKUP(VALUE(BP327),CLU!$H$9:$M$10,2)</f>
        <v>#VALUE!</v>
      </c>
      <c r="GL327" s="433" t="e">
        <f ca="1">MATCH(BU327,CLU!$H$2:$V$2,1)</f>
        <v>#VALUE!</v>
      </c>
      <c r="GM327" s="433" t="e">
        <f t="shared" ca="1" si="995"/>
        <v>#VALUE!</v>
      </c>
      <c r="GN327" s="433" t="e">
        <f t="shared" ca="1" si="996"/>
        <v>#VALUE!</v>
      </c>
      <c r="GO327" s="433" t="e">
        <f t="shared" ca="1" si="997"/>
        <v>#VALUE!</v>
      </c>
      <c r="GP327" s="433" t="e">
        <f t="shared" ca="1" si="998"/>
        <v>#VALUE!</v>
      </c>
      <c r="GQ327" s="433" t="e">
        <f t="shared" ca="1" si="999"/>
        <v>#VALUE!</v>
      </c>
      <c r="GR327" s="433" t="e">
        <f ca="1">MATCH(T327,INDIRECT(VLOOKUP(CONCATENATE(LEFT(BO327,7),"-",MID(BO327,13,1)),CLU!$P$3:$Q$16,2)),1)</f>
        <v>#N/A</v>
      </c>
      <c r="GS327" s="433" t="e">
        <f ca="1">MATCH(U327,INDIRECT(VLOOKUP(CONCATENATE(LEFT(BO327,7),"-",MID(BO327,13,1)),CLU!$P$3:$Q$16,2)),1)</f>
        <v>#N/A</v>
      </c>
      <c r="GT327" s="347" t="s">
        <v>512</v>
      </c>
      <c r="GU327" s="97" t="s">
        <v>513</v>
      </c>
      <c r="GV327" s="97" t="str">
        <f t="shared" si="1000"/>
        <v>M23</v>
      </c>
      <c r="GW327" s="97" t="str">
        <f t="shared" si="1001"/>
        <v>M31</v>
      </c>
      <c r="GX327" s="97" t="str">
        <f t="shared" si="1002"/>
        <v/>
      </c>
      <c r="GY327" s="97" t="str">
        <f t="shared" si="1003"/>
        <v/>
      </c>
      <c r="GZ327" s="481"/>
      <c r="HA327" s="240"/>
      <c r="HB327" s="240"/>
      <c r="HC327" s="240"/>
      <c r="HD327" s="240"/>
      <c r="HE327" s="240"/>
      <c r="HF327" s="240"/>
      <c r="HG327" s="240"/>
      <c r="HH327" s="240"/>
      <c r="HI327" s="240"/>
      <c r="HJ327" s="240"/>
      <c r="HK327" s="240"/>
      <c r="HL327" s="240"/>
      <c r="HM327" s="240"/>
      <c r="HN327" s="240"/>
      <c r="HO327" s="240"/>
      <c r="HP327" s="240"/>
      <c r="HQ327" s="240"/>
      <c r="HR327" s="240"/>
      <c r="HS327" s="240"/>
      <c r="HT327" s="240"/>
      <c r="HU327" s="240"/>
      <c r="HV327" s="245"/>
      <c r="HW327" s="245" t="b">
        <v>1</v>
      </c>
      <c r="HX327" s="245" t="str">
        <f t="shared" si="888"/>
        <v/>
      </c>
      <c r="HY327" s="245" t="e">
        <f t="shared" si="889"/>
        <v>#DIV/0!</v>
      </c>
      <c r="HZ327" s="245" t="e">
        <f t="shared" si="890"/>
        <v>#DIV/0!</v>
      </c>
      <c r="IA327" s="245">
        <f t="shared" si="891"/>
        <v>0</v>
      </c>
      <c r="IB327" s="245"/>
      <c r="IC327" t="b">
        <f t="shared" si="892"/>
        <v>1</v>
      </c>
      <c r="ID327" s="245" t="b">
        <f t="shared" si="893"/>
        <v>1</v>
      </c>
      <c r="IE327" s="245" t="b">
        <f t="shared" si="894"/>
        <v>1</v>
      </c>
      <c r="IF327" s="245" t="b">
        <f t="shared" si="895"/>
        <v>0</v>
      </c>
      <c r="IG327" s="245" t="b">
        <f t="shared" si="896"/>
        <v>1</v>
      </c>
      <c r="IH327" s="245" t="b">
        <f t="shared" si="897"/>
        <v>1</v>
      </c>
      <c r="II327" s="245">
        <f t="shared" si="1004"/>
        <v>0</v>
      </c>
      <c r="IJ327" s="245" t="e">
        <f t="shared" si="898"/>
        <v>#VALUE!</v>
      </c>
      <c r="IK327" s="245" t="e">
        <f t="shared" si="899"/>
        <v>#VALUE!</v>
      </c>
      <c r="IL327" s="245"/>
      <c r="IM327" s="245" t="e">
        <f t="shared" si="1005"/>
        <v>#N/A</v>
      </c>
      <c r="IN327" s="245" t="e">
        <f t="shared" si="1006"/>
        <v>#N/A</v>
      </c>
      <c r="IO327" s="245"/>
      <c r="IP327" s="245"/>
      <c r="IQ327" s="245" t="str">
        <f t="shared" si="900"/>
        <v/>
      </c>
      <c r="IR327" s="245" t="str">
        <f>IF(J327="","",VLOOKUP(J327,Worksheet!$R$4:$T$14,2))</f>
        <v/>
      </c>
      <c r="IS327" s="245"/>
      <c r="IT327" s="245">
        <f t="shared" si="901"/>
        <v>0</v>
      </c>
      <c r="IU327" s="245">
        <f t="shared" si="902"/>
        <v>0</v>
      </c>
      <c r="IV327" s="245">
        <f t="shared" si="903"/>
        <v>0</v>
      </c>
      <c r="IW327" s="245">
        <f t="shared" si="904"/>
        <v>0</v>
      </c>
      <c r="IX327" s="245">
        <f t="shared" si="1007"/>
        <v>0</v>
      </c>
      <c r="IY327" s="245">
        <f t="shared" si="905"/>
        <v>0</v>
      </c>
      <c r="IZ327" s="245">
        <f t="shared" si="906"/>
        <v>0</v>
      </c>
      <c r="JA327">
        <f t="shared" si="907"/>
        <v>0</v>
      </c>
      <c r="JB327">
        <f t="shared" si="1008"/>
        <v>0</v>
      </c>
      <c r="JC327">
        <f t="shared" si="908"/>
        <v>0</v>
      </c>
      <c r="JD327">
        <f t="shared" si="909"/>
        <v>0</v>
      </c>
      <c r="JE327">
        <f t="shared" si="910"/>
        <v>0</v>
      </c>
      <c r="JF327">
        <f t="shared" si="911"/>
        <v>0</v>
      </c>
      <c r="JG327">
        <f t="shared" si="912"/>
        <v>0</v>
      </c>
      <c r="JH327">
        <f t="shared" si="913"/>
        <v>0</v>
      </c>
      <c r="JI327">
        <f t="shared" si="914"/>
        <v>0</v>
      </c>
      <c r="JJ327" s="447">
        <f t="shared" si="915"/>
        <v>0</v>
      </c>
      <c r="JK327" s="447">
        <f t="shared" si="916"/>
        <v>0</v>
      </c>
      <c r="JL327">
        <f t="shared" si="917"/>
        <v>0</v>
      </c>
      <c r="JM327" s="245" t="str">
        <f>IFERROR(VLOOKUP(MATCH(BN327,#REF!,0),#REF!,7),"")</f>
        <v/>
      </c>
      <c r="JN327" t="e">
        <f>HLOOKUP(LEFT(BO327,7),Discharge_Area,MATCH(JO327,LookUps!$B$130:$B$149,1)+2)</f>
        <v>#N/A</v>
      </c>
      <c r="JO327" t="str">
        <f t="shared" si="918"/>
        <v>- S</v>
      </c>
      <c r="JP327" t="e">
        <f>HLOOKUP(LEFT(BO327,7),Discharge_Area,MATCH(JO327,LookUps!$B$130:$B$149,1)+2)</f>
        <v>#N/A</v>
      </c>
      <c r="JQ327" t="e">
        <f t="shared" si="919"/>
        <v>#N/A</v>
      </c>
      <c r="JR327" t="e">
        <f t="shared" si="920"/>
        <v>#N/A</v>
      </c>
      <c r="JS327" t="e">
        <f t="shared" si="921"/>
        <v>#N/A</v>
      </c>
      <c r="JT327" s="532" t="str">
        <f t="shared" si="922"/>
        <v xml:space="preserve"> </v>
      </c>
      <c r="JU327" s="532" t="str">
        <f t="shared" si="923"/>
        <v xml:space="preserve"> </v>
      </c>
      <c r="JV327" s="533" t="str">
        <f t="shared" si="924"/>
        <v xml:space="preserve"> </v>
      </c>
      <c r="JW327" s="534">
        <f t="shared" si="925"/>
        <v>0</v>
      </c>
      <c r="JX327" s="535" t="str">
        <f t="shared" si="1009"/>
        <v xml:space="preserve"> </v>
      </c>
      <c r="JY327" s="535" t="str">
        <f t="shared" si="1010"/>
        <v xml:space="preserve"> </v>
      </c>
      <c r="JZ327" s="535" t="str">
        <f t="shared" si="1011"/>
        <v xml:space="preserve"> </v>
      </c>
      <c r="KA327" s="536" t="str">
        <f t="shared" si="926"/>
        <v xml:space="preserve"> </v>
      </c>
      <c r="KB327" s="535" t="e">
        <f t="shared" si="1012"/>
        <v>#VALUE!</v>
      </c>
      <c r="KC327" s="535" t="str">
        <f t="shared" si="927"/>
        <v/>
      </c>
      <c r="KD327" s="537" t="str">
        <f t="shared" si="1013"/>
        <v xml:space="preserve"> </v>
      </c>
      <c r="KE327" s="537" t="str">
        <f t="shared" si="1014"/>
        <v xml:space="preserve"> </v>
      </c>
      <c r="KF327" s="534">
        <f t="shared" si="928"/>
        <v>0</v>
      </c>
      <c r="KG327" s="535" t="str">
        <f t="shared" si="929"/>
        <v xml:space="preserve"> </v>
      </c>
      <c r="KH327" s="535" t="str">
        <f t="shared" si="930"/>
        <v xml:space="preserve"> </v>
      </c>
      <c r="KI327" s="535" t="str">
        <f t="shared" si="931"/>
        <v xml:space="preserve"> </v>
      </c>
      <c r="KJ327" s="536" t="str">
        <f t="shared" si="932"/>
        <v xml:space="preserve"> </v>
      </c>
      <c r="KK327" s="535" t="str">
        <f t="shared" si="1015"/>
        <v xml:space="preserve"> </v>
      </c>
      <c r="KL327" s="535" t="str">
        <f t="shared" si="1016"/>
        <v xml:space="preserve"> </v>
      </c>
      <c r="KM327" s="537" t="str">
        <f t="shared" si="933"/>
        <v xml:space="preserve"> </v>
      </c>
      <c r="KN327" s="537" t="str">
        <f t="shared" si="1017"/>
        <v xml:space="preserve"> </v>
      </c>
      <c r="KP327">
        <f t="shared" si="934"/>
        <v>0</v>
      </c>
      <c r="LA327" t="e">
        <f t="shared" si="935"/>
        <v>#VALUE!</v>
      </c>
      <c r="LB327" t="e">
        <f t="shared" si="936"/>
        <v>#VALUE!</v>
      </c>
      <c r="LC327" t="e">
        <f t="shared" si="937"/>
        <v>#VALUE!</v>
      </c>
      <c r="LD327" t="e">
        <f t="shared" si="938"/>
        <v>#VALUE!</v>
      </c>
      <c r="LE327" t="e">
        <f t="shared" si="1018"/>
        <v>#VALUE!</v>
      </c>
      <c r="LF327">
        <f t="shared" si="939"/>
        <v>0</v>
      </c>
      <c r="LG327" t="e">
        <f t="shared" si="1019"/>
        <v>#VALUE!</v>
      </c>
      <c r="LH327" t="str">
        <f t="shared" si="940"/>
        <v xml:space="preserve"> </v>
      </c>
      <c r="LI327">
        <f t="shared" si="1020"/>
        <v>1</v>
      </c>
    </row>
    <row r="328" spans="2:321" ht="15" customHeight="1">
      <c r="B328" s="311"/>
      <c r="C328" s="311"/>
      <c r="D328" s="312"/>
      <c r="E328" s="311"/>
      <c r="F328" s="312"/>
      <c r="G328" s="311"/>
      <c r="H328" s="311"/>
      <c r="I328" s="232"/>
      <c r="J328" s="311"/>
      <c r="K328" s="305" t="str">
        <f t="shared" si="941"/>
        <v/>
      </c>
      <c r="L328" s="313"/>
      <c r="M328" s="312"/>
      <c r="N328" s="311"/>
      <c r="O328" s="312"/>
      <c r="P328" s="311"/>
      <c r="Q328" s="305" t="str">
        <f t="shared" si="942"/>
        <v/>
      </c>
      <c r="R328" s="314"/>
      <c r="S328" s="450" t="str">
        <f t="shared" si="825"/>
        <v/>
      </c>
      <c r="T328" s="315"/>
      <c r="U328" s="315"/>
      <c r="W328" s="149" t="str">
        <f t="shared" si="826"/>
        <v xml:space="preserve"> </v>
      </c>
      <c r="X328" s="243" t="str">
        <f t="shared" si="827"/>
        <v xml:space="preserve"> </v>
      </c>
      <c r="Y328" s="150" t="str">
        <f t="shared" si="828"/>
        <v/>
      </c>
      <c r="Z328" s="149" t="str">
        <f t="shared" si="829"/>
        <v xml:space="preserve"> </v>
      </c>
      <c r="AA328" s="98" t="str">
        <f t="shared" si="830"/>
        <v xml:space="preserve"> </v>
      </c>
      <c r="AB328" s="153" t="str">
        <f t="shared" si="831"/>
        <v xml:space="preserve"> </v>
      </c>
      <c r="AC328" s="153" t="str">
        <f t="shared" si="832"/>
        <v xml:space="preserve"> </v>
      </c>
      <c r="AD328" s="148" t="str">
        <f t="shared" si="833"/>
        <v/>
      </c>
      <c r="AE328" s="149" t="str">
        <f t="shared" si="834"/>
        <v/>
      </c>
      <c r="AF328" s="151" t="str">
        <f t="shared" si="835"/>
        <v xml:space="preserve"> </v>
      </c>
      <c r="AG328" s="153" t="str">
        <f t="shared" si="836"/>
        <v xml:space="preserve"> </v>
      </c>
      <c r="AH328" s="98" t="str">
        <f t="shared" si="837"/>
        <v xml:space="preserve"> </v>
      </c>
      <c r="AI328" s="149" t="str">
        <f t="shared" si="838"/>
        <v xml:space="preserve"> </v>
      </c>
      <c r="AK328" s="144" t="str">
        <f t="shared" si="839"/>
        <v xml:space="preserve"> </v>
      </c>
      <c r="AL328" s="144"/>
      <c r="AM328" s="243" t="str">
        <f t="shared" si="840"/>
        <v xml:space="preserve"> </v>
      </c>
      <c r="AN328" s="149" t="str">
        <f t="shared" si="943"/>
        <v xml:space="preserve"> </v>
      </c>
      <c r="AO328" s="144" t="str">
        <f>IF(JB328&gt;0,IF(GI328=10,-R328*1.085*(Calculation!$F$6-Calculation!$F$13)*$S$14," "),"")</f>
        <v/>
      </c>
      <c r="AP328" s="144" t="str">
        <f t="shared" si="841"/>
        <v/>
      </c>
      <c r="AQ328" s="56" t="str">
        <f t="shared" si="842"/>
        <v/>
      </c>
      <c r="AR328" s="144" t="str">
        <f t="shared" si="843"/>
        <v/>
      </c>
      <c r="AS328" s="176" t="str">
        <f t="shared" si="844"/>
        <v/>
      </c>
      <c r="AT328" s="176" t="str">
        <f t="shared" si="944"/>
        <v xml:space="preserve"> </v>
      </c>
      <c r="AU328" s="176" t="str">
        <f t="shared" si="845"/>
        <v/>
      </c>
      <c r="AV328" s="177" t="str">
        <f t="shared" si="846"/>
        <v xml:space="preserve"> </v>
      </c>
      <c r="AW328" s="144" t="str">
        <f t="shared" si="847"/>
        <v xml:space="preserve"> </v>
      </c>
      <c r="AX328" s="144" t="str">
        <f t="shared" si="848"/>
        <v xml:space="preserve"> </v>
      </c>
      <c r="AY328" s="152" t="str">
        <f t="shared" si="849"/>
        <v xml:space="preserve"> </v>
      </c>
      <c r="AZ328" s="246" t="str">
        <f t="shared" si="850"/>
        <v/>
      </c>
      <c r="BA328" s="176" t="str">
        <f t="shared" si="851"/>
        <v xml:space="preserve"> </v>
      </c>
      <c r="BB328" s="176" t="str">
        <f t="shared" si="852"/>
        <v xml:space="preserve"> </v>
      </c>
      <c r="BC328" s="195"/>
      <c r="BD328" s="316"/>
      <c r="BE328" s="317"/>
      <c r="BF328" s="318"/>
      <c r="BG328" s="318"/>
      <c r="BH328" s="144" t="str">
        <f t="shared" si="1021"/>
        <v xml:space="preserve"> </v>
      </c>
      <c r="BI328" s="176" t="str">
        <f t="shared" si="853"/>
        <v/>
      </c>
      <c r="BJ328" s="144" t="str">
        <f t="shared" si="1022"/>
        <v/>
      </c>
      <c r="BK328" s="246" t="str">
        <f t="shared" si="854"/>
        <v/>
      </c>
      <c r="BL328" s="144" t="str">
        <f t="shared" si="1023"/>
        <v/>
      </c>
      <c r="BM328" s="246" t="str">
        <f t="shared" si="855"/>
        <v/>
      </c>
      <c r="BN328" s="337" t="str">
        <f t="shared" si="945"/>
        <v/>
      </c>
      <c r="BO328" s="371" t="str">
        <f t="shared" si="946"/>
        <v/>
      </c>
      <c r="BP328" s="328" t="str">
        <f t="shared" si="1024"/>
        <v xml:space="preserve"> </v>
      </c>
      <c r="BQ328" s="347" t="str">
        <f t="shared" si="947"/>
        <v xml:space="preserve"> </v>
      </c>
      <c r="BR328" s="353" t="str">
        <f t="shared" si="948"/>
        <v xml:space="preserve"> </v>
      </c>
      <c r="BS328" s="626" t="str">
        <f>IF(L328&gt;0,IF(Calculation!P328="M13",BR328*3.1416*(0.134^2)/(4*144),IF(Calculation!P328="M17",BR328*3.1416*(0.165^2)/(4*144),IF(Calculation!P328="M20",BR328*3.1416*(0.198^2)/(4*144),IF(Calculation!P328="M23",BR328*3.1416*(0.228^2)/(4*144),IF(Calculation!P328="M27",BR328*3.1416*(0.269^2)/(4*144),BR328*3.1416*(0.307^2)/(4*144))))))," ")</f>
        <v xml:space="preserve"> </v>
      </c>
      <c r="BT328" s="353" t="str">
        <f>IF(L328&gt;0,IF(BS328&gt;0,R328/Calculation!BS328,0)," ")</f>
        <v xml:space="preserve"> </v>
      </c>
      <c r="BU328" s="438" t="e">
        <f t="shared" ca="1" si="856"/>
        <v>#VALUE!</v>
      </c>
      <c r="BV328" s="449" t="e">
        <f ca="1">INDEX(INDIRECT(VLOOKUP(LEFT(BO328,7),CLU!$Z$3:$AH$18,2)),GN328,GR328)</f>
        <v>#N/A</v>
      </c>
      <c r="BW328" s="433" t="e">
        <f ca="1">INDEX(INDIRECT(VLOOKUP(LEFT(BO328,7),CLU!$Z$3:$AH$18,3)),GN328,GR328)</f>
        <v>#N/A</v>
      </c>
      <c r="BX328" s="433" t="e">
        <f ca="1">INDEX(INDIRECT(VLOOKUP(LEFT(BO328,7),CLU!$Z$3:$AH$18,4)),GN328,GR328)</f>
        <v>#N/A</v>
      </c>
      <c r="BY328" s="433" t="e">
        <f ca="1">INDEX(INDIRECT(VLOOKUP(LEFT(BO328,7),CLU!$Z$3:$AH$18,9)),((M328-2)*(6-COUNTBLANK(GT328:GY328)))+GJ328)</f>
        <v>#N/A</v>
      </c>
      <c r="BZ328" s="426" t="e">
        <f t="shared" ca="1" si="949"/>
        <v>#N/A</v>
      </c>
      <c r="CA328" s="424" t="e">
        <f t="shared" ca="1" si="950"/>
        <v>#N/A</v>
      </c>
      <c r="CB328" s="429" t="e">
        <f ca="1">INDEX(INDIRECT(VLOOKUP(LEFT(BO328,7),CLU!$Z$3:$AH$18,2)),GN328,GS328)</f>
        <v>#N/A</v>
      </c>
      <c r="CC328" s="342" t="e">
        <f ca="1">INDEX(INDIRECT(VLOOKUP(LEFT(BO328,7),CLU!$Z$3:$AH$18,3)),GN328,GS328)</f>
        <v>#N/A</v>
      </c>
      <c r="CD328" s="342" t="e">
        <f ca="1">INDEX(INDIRECT(VLOOKUP(LEFT(BO328,7),CLU!$Z$3:$AH$18,4)),GN328,GS328)</f>
        <v>#N/A</v>
      </c>
      <c r="CE328" s="426" t="e">
        <f t="shared" ca="1" si="951"/>
        <v>#N/A</v>
      </c>
      <c r="CF328" s="440">
        <f t="shared" si="952"/>
        <v>0</v>
      </c>
      <c r="CG328" s="431" t="e">
        <f ca="1">INDEX(INDIRECT(VLOOKUP(LEFT(BO328,7),CLU!$Z$3:$AH$18,2)),GQ328,GR328)</f>
        <v>#N/A</v>
      </c>
      <c r="CH328" s="431" t="e">
        <f ca="1">INDEX(INDIRECT(VLOOKUP(LEFT(BO328,7),CLU!$Z$3:$AH$18,3)),GQ328,GR328)</f>
        <v>#N/A</v>
      </c>
      <c r="CI328" s="431" t="e">
        <f ca="1">INDEX(INDIRECT(VLOOKUP(LEFT(BO328,7),CLU!$Z$3:$AH$18,4)),GQ328,GR328)</f>
        <v>#N/A</v>
      </c>
      <c r="CJ328" s="448" t="e">
        <f t="shared" ca="1" si="953"/>
        <v>#N/A</v>
      </c>
      <c r="CK328" s="431" t="e">
        <f t="shared" ca="1" si="954"/>
        <v>#N/A</v>
      </c>
      <c r="CL328" s="440" t="e">
        <f t="shared" ca="1" si="955"/>
        <v>#N/A</v>
      </c>
      <c r="CM328" s="431" t="e">
        <f ca="1">INDEX(INDIRECT(VLOOKUP(LEFT(BO328,7),CLU!$Z$3:$AH$18,2)),GQ328,GS328)</f>
        <v>#N/A</v>
      </c>
      <c r="CN328" s="431" t="e">
        <f ca="1">INDEX(INDIRECT(VLOOKUP(LEFT(BO328,7),CLU!$Z$3:$AH$18,3)),GQ328,GS328)</f>
        <v>#N/A</v>
      </c>
      <c r="CO328" s="431" t="e">
        <f ca="1">INDEX(INDIRECT(VLOOKUP(LEFT(BO328,7),CLU!$Z$3:$AH$18,4)),GQ328,GS328)</f>
        <v>#N/A</v>
      </c>
      <c r="CP328" s="431" t="e">
        <f t="shared" ca="1" si="956"/>
        <v>#N/A</v>
      </c>
      <c r="CQ328" s="440">
        <f t="shared" si="957"/>
        <v>0</v>
      </c>
      <c r="CR328" s="51" t="e">
        <f t="shared" ca="1" si="958"/>
        <v>#N/A</v>
      </c>
      <c r="CS328" s="439" t="e">
        <f t="shared" ca="1" si="959"/>
        <v>#VALUE!</v>
      </c>
      <c r="CT328" s="51" t="e">
        <f t="shared" ca="1" si="960"/>
        <v>#VALUE!</v>
      </c>
      <c r="CU328" s="10"/>
      <c r="CV328" s="51" t="e">
        <f t="shared" ca="1" si="857"/>
        <v>#VALUE!</v>
      </c>
      <c r="CW328" s="51">
        <f t="shared" si="961"/>
        <v>0</v>
      </c>
      <c r="CX328" s="439" t="e">
        <f t="shared" ca="1" si="962"/>
        <v>#VALUE!</v>
      </c>
      <c r="CY328" s="51" t="e">
        <f t="shared" ca="1" si="963"/>
        <v>#VALUE!</v>
      </c>
      <c r="CZ328" s="10"/>
      <c r="DA328" s="51" t="e">
        <f t="shared" ca="1" si="964"/>
        <v>#VALUE!</v>
      </c>
      <c r="DB328" s="347" t="e">
        <f ca="1">INDEX(INDIRECT(VLOOKUP(LEFT(BO328,7),CLU!$Z$3:$AI$18,10)),((M328-2)*(6-COUNTBLANK(GT328:GY328)))+GJ328)*LI328</f>
        <v>#N/A</v>
      </c>
      <c r="DC328" s="347" t="str">
        <f>IF(L328&gt;0,((R328/Worksheet!$I$15)/DB328)^2," ")</f>
        <v xml:space="preserve"> </v>
      </c>
      <c r="DD328" s="602" t="str">
        <f t="shared" si="965"/>
        <v xml:space="preserve"> </v>
      </c>
      <c r="DE328" s="347" t="str">
        <f t="shared" si="858"/>
        <v xml:space="preserve"> </v>
      </c>
      <c r="DF328" s="356" t="e">
        <f ca="1">INDEX(INDIRECT(VLOOKUP(LEFT(BO328,7),CLU!$Z$3:$AH$18,8)),((M328-2)*(6-COUNTBLANK(GT328:GY328)))+GJ328)</f>
        <v>#N/A</v>
      </c>
      <c r="DG328" s="347" t="str">
        <f t="shared" si="859"/>
        <v xml:space="preserve"> </v>
      </c>
      <c r="DH328" s="357" t="str">
        <f t="shared" si="860"/>
        <v xml:space="preserve"> </v>
      </c>
      <c r="DI328" s="355" t="str">
        <f t="shared" si="861"/>
        <v xml:space="preserve"> </v>
      </c>
      <c r="DJ328" s="245" t="e">
        <f ca="1">INDEX(INDIRECT(VLOOKUP(LEFT(BO328,7),CLU!$Z$3:$AH$18,5)),GL328,GK328)</f>
        <v>#N/A</v>
      </c>
      <c r="DK328" s="245" t="e">
        <f ca="1">INDEX(INDIRECT(VLOOKUP(LEFT(BO328,7),CLU!$Z$3:$AH$18,6)),GL328,GK328)</f>
        <v>#N/A</v>
      </c>
      <c r="DL328" s="355">
        <f>(Calculation!R328*0.69143*(Calculation!$BQ$8-Calculation!$F$8))*$S$14</f>
        <v>0</v>
      </c>
      <c r="DM328" s="359" t="e">
        <f t="shared" si="966"/>
        <v>#VALUE!</v>
      </c>
      <c r="DN328" s="611">
        <f t="shared" si="967"/>
        <v>0</v>
      </c>
      <c r="DO328" s="359">
        <f t="shared" si="968"/>
        <v>100</v>
      </c>
      <c r="DP328" s="359">
        <f t="shared" si="969"/>
        <v>0</v>
      </c>
      <c r="DQ328" s="360"/>
      <c r="DR328" s="245" t="e">
        <f ca="1">INDEX(INDIRECT(VLOOKUP(LEFT(BO328,7),CLU!$Z$3:$AH$18,7)),M328-1,1)</f>
        <v>#N/A</v>
      </c>
      <c r="DS328" s="245" t="e">
        <f ca="1">INDEX(INDIRECT(VLOOKUP(LEFT(BO328,7),CLU!$Z$3:$AH$18,7)),M328-1,2)</f>
        <v>#N/A</v>
      </c>
      <c r="DT328" s="245" t="e">
        <f ca="1">INDEX(INDIRECT(VLOOKUP(LEFT(BO328,7),CLU!$Z$3:$AH$18,7)),M328-1,3)</f>
        <v>#N/A</v>
      </c>
      <c r="DU328" s="245" t="e">
        <f ca="1">INDEX(INDIRECT(VLOOKUP(LEFT(BO328,7),CLU!$Z$3:$AH$18,7)),M328-1,4)</f>
        <v>#N/A</v>
      </c>
      <c r="DV328" s="361" t="e">
        <f ca="1">INDEX(INDIRECT(VLOOKUP(LEFT(BO328,7),CLU!$Z$3:$AH$18,7)),M328-1,4+LEFT(DZ328,1)*0.5)</f>
        <v>#N/A</v>
      </c>
      <c r="DW328" s="245" t="e">
        <f ca="1">INDEX(INDIRECT(VLOOKUP(LEFT(BO328,7),CLU!$Z$3:$AH$18,7)),M328-1,8)</f>
        <v>#N/A</v>
      </c>
      <c r="DX328" s="361" t="str">
        <f t="shared" si="862"/>
        <v xml:space="preserve"> </v>
      </c>
      <c r="DY328" s="361" t="str">
        <f t="shared" si="863"/>
        <v xml:space="preserve"> </v>
      </c>
      <c r="DZ328" s="361" t="str">
        <f t="shared" si="864"/>
        <v xml:space="preserve"> </v>
      </c>
      <c r="EA328" s="362" t="str">
        <f t="shared" si="865"/>
        <v xml:space="preserve"> </v>
      </c>
      <c r="EB328" s="624" t="str">
        <f t="shared" si="970"/>
        <v xml:space="preserve"> </v>
      </c>
      <c r="EC328" s="361" t="e">
        <f ca="1">INDEX(INDIRECT(VLOOKUP(LEFT(BO328,7),CLU!$Z$3:$AH$18,7)),M328-1,4+LEFT(DZ328,1)*0.5)</f>
        <v>#N/A</v>
      </c>
      <c r="ED328" s="362" t="str">
        <f t="shared" si="866"/>
        <v xml:space="preserve"> </v>
      </c>
      <c r="EE328" s="361" t="str">
        <f t="shared" si="867"/>
        <v xml:space="preserve"> </v>
      </c>
      <c r="EF328" s="362" t="str">
        <f>IF(L328&gt;0,IF(BR328&gt;0,IF(EE328="2P",IF(Calculation!DZ328="2P",IF(Calculation!DS328=13.75,IF(Calculation!DR328=13,Worksheet!$BD$43,IF(Calculation!DR328=37,Worksheet!$BD$44,Worksheet!$BD$45)),IF(Calculation!DS328=10,IF(Calculation!DR328=18,Worksheet!$BD$29,IF(Calculation!DR328=30,Worksheet!$BD$30,IF(Calculation!DR328=42,Worksheet!$BD$31,IF(Calculation!DR328=54,Worksheet!$BD$32,IF(Calculation!DR328=66,Worksheet!$BD$33,IF(Calculation!DR328=78,Worksheet!$BD$34,IF(Calculation!DR328=90,Worksheet!$BD$35,IF(Calculation!DR328=102,Worksheet!$BD$36,Worksheet!$BD$37)))))))),IF(Calculation!DS328=12.5,IF(Calculation!DR328=18,Worksheet!$BD$38,IF(Calculation!DR328=Worksheet!$BD$39,IF(Calculation!DR328=42,Worksheet!$BD$40,IF(Calculation!DR328=54,Worksheet!$BD$41,Worksheet!$BD$42)))),IF(Calculation!DR328=18,Worksheet!$BD$11,IF(Calculation!DR328=30,Worksheet!$BD$12,IF(Calculation!DR328=42,Worksheet!$BD$13,IF(Calculation!DR328=54,Worksheet!$BD$14,IF(Calculation!DR328=66,Worksheet!$BD$15,IF(Calculation!DR328=78,Worksheet!$BD$16,IF(Calculation!DR328=90,Worksheet!$BD$17,IF(Calculation!DR328=102,Worksheet!$BD$18,Worksheet!$BD$19))))))))))),IF(Calculation!DS328=13.75,IF(Calculation!DR328=13,Worksheet!$BD$78,IF(Calculation!DR328=37,Worksheet!$BD$79,Worksheet!$BD$80)),IF(Calculation!DS328=10,IF(Calculation!DR328=18,Worksheet!$BD$64,IF(Calculation!DR328=30,Worksheet!$BD$65,IF(Calculation!DR328=42,Worksheet!$BD$66,IF(Calculation!DR328=54,Worksheet!$BD$68,IF(Calculation!DR328=66,Worksheet!$BD$68,IF(Calculation!DR328=78,Worksheet!$BD$69,IF(Calculation!DR328=90,Worksheet!$BD$70,IF(Calculation!DR328=102,Worksheet!$BD$71,Worksheet!$BD$72)))))))),IF(Calculation!DS328=12.5,IF(Calculation!DR328=18,Worksheet!$BD$73,IF(Calculation!DR328=Worksheet!$BD$74,IF(Calculation!DR328=42,Worksheet!$BD$75,IF(Calculation!DR328=54,Worksheet!$BD$76,Worksheet!$BD$77)))),IF(Calculation!DR328=18,Worksheet!$BD$55,IF(Calculation!DR328=30,Worksheet!$BD$56,IF(Calculation!DR328=42,Worksheet!$BD$57,IF(Calculation!DR328=54,Worksheet!$BD$58,IF(Calculation!DR328=66,Worksheet!$BD$59,IF(Calculation!DR328=78,Worksheet!$BD$60,IF(Calculation!DR328=90,Worksheet!$BD$61,IF(Calculation!DR328=102,Worksheet!$BD$62,Worksheet!$BD$63)))))))))))),5),0)," ")</f>
        <v xml:space="preserve"> </v>
      </c>
      <c r="EG328" s="361" t="str">
        <f t="shared" si="868"/>
        <v xml:space="preserve"> </v>
      </c>
      <c r="EH328" s="361" t="e">
        <f ca="1">INDEX(INDIRECT(VLOOKUP(LEFT(BO328,7),CLU!$Z$3:$AH$18,7)),M328-1,3+LEFT(DZ328,1))</f>
        <v>#N/A</v>
      </c>
      <c r="EI328" s="362" t="str">
        <f t="shared" si="869"/>
        <v xml:space="preserve"> </v>
      </c>
      <c r="EJ328" s="363" t="str">
        <f t="shared" si="870"/>
        <v xml:space="preserve"> </v>
      </c>
      <c r="EK328" s="363" t="str">
        <f t="shared" si="871"/>
        <v xml:space="preserve"> </v>
      </c>
      <c r="EL328" s="363" t="str">
        <f t="shared" si="872"/>
        <v xml:space="preserve"> </v>
      </c>
      <c r="EM328" s="362" t="str">
        <f>IF(L328&gt;0,IF(BR328&gt;0,(Calculation!T328/ED328)^2,0)," ")</f>
        <v xml:space="preserve"> </v>
      </c>
      <c r="EN328" s="362" t="str">
        <f>IF(L328&gt;0,IF(O328="2 Pipe (Cooling)","N/A",IF(BR328&gt;0,(Calculation!U328/EI328)^2,0))," ")</f>
        <v xml:space="preserve"> </v>
      </c>
      <c r="EO328" s="361" t="str">
        <f t="shared" si="873"/>
        <v/>
      </c>
      <c r="EP328" s="361" t="str">
        <f t="shared" si="874"/>
        <v/>
      </c>
      <c r="EQ328" s="361" t="str">
        <f t="shared" si="875"/>
        <v/>
      </c>
      <c r="ER328" s="361" t="str">
        <f t="shared" si="876"/>
        <v/>
      </c>
      <c r="ES328" s="361" t="str">
        <f t="shared" si="877"/>
        <v/>
      </c>
      <c r="ET328" s="361" t="str">
        <f t="shared" si="878"/>
        <v/>
      </c>
      <c r="EU328" s="361" t="str">
        <f t="shared" si="879"/>
        <v/>
      </c>
      <c r="EV328" s="361" t="str">
        <f t="shared" si="880"/>
        <v/>
      </c>
      <c r="EW328" s="361" t="str">
        <f t="shared" si="881"/>
        <v/>
      </c>
      <c r="EX328" s="361" t="str">
        <f t="shared" si="971"/>
        <v>1 slot, 1 way</v>
      </c>
      <c r="EY328" s="361" t="str">
        <f t="shared" si="972"/>
        <v xml:space="preserve"> </v>
      </c>
      <c r="EZ328" s="361" t="str">
        <f t="shared" si="973"/>
        <v xml:space="preserve"> </v>
      </c>
      <c r="FA328" s="361" t="str">
        <f t="shared" si="974"/>
        <v xml:space="preserve"> </v>
      </c>
      <c r="FB328" s="361" t="str">
        <f t="shared" si="975"/>
        <v xml:space="preserve"> </v>
      </c>
      <c r="FC328" s="361"/>
      <c r="FD328" s="361" t="str">
        <f>IF(J328&gt;0,IF(Calculation!R328&lt;=70,4,IF(Calculation!R328&lt;=110,5,IF(Calculation!R328&lt;=160,6,IF(Calculation!R328&lt;=300,8,"10 EO")))),"")</f>
        <v/>
      </c>
      <c r="FE328" s="361" t="str">
        <f t="shared" si="976"/>
        <v/>
      </c>
      <c r="FF328" s="361" t="str">
        <f t="shared" si="977"/>
        <v/>
      </c>
      <c r="FG328" s="361" t="e">
        <f t="shared" si="882"/>
        <v>#N/A</v>
      </c>
      <c r="FH328" s="361">
        <f t="shared" si="883"/>
        <v>0</v>
      </c>
      <c r="FI328" s="361" t="e">
        <f t="shared" si="884"/>
        <v>#DIV/0!</v>
      </c>
      <c r="FJ328" s="361"/>
      <c r="FK328" s="356" t="e">
        <f t="shared" si="885"/>
        <v>#VALUE!</v>
      </c>
      <c r="FL328" s="361"/>
      <c r="FM328" s="361"/>
      <c r="FN328" s="362" t="str">
        <f t="shared" si="978"/>
        <v xml:space="preserve"> </v>
      </c>
      <c r="FO328" s="362" t="str">
        <f t="shared" si="979"/>
        <v xml:space="preserve"> </v>
      </c>
      <c r="FP328" s="362">
        <f t="shared" si="980"/>
        <v>0</v>
      </c>
      <c r="FQ328" s="361">
        <f t="shared" si="886"/>
        <v>0</v>
      </c>
      <c r="FR328" s="362" t="str">
        <f>IF(L328&gt;0,IF(J328="CBAL2",Worksheet!$P$67,IF(J328="CBE2-24",Worksheet!$Q$67,IF(J328="CBAM",Worksheet!$R$67,IF(J328="CBLV",Worksheet!$S$67,IF(J328="CBAB",Worksheet!$U$67,IF(J328="CBAW",Worksheet!$X$67,IF(J328="CBE2-12",Worksheet!$Y$67,IF(J328="CBAL2",Worksheet!$Z$67,"N/A"))))))))," ")</f>
        <v xml:space="preserve"> </v>
      </c>
      <c r="FS328" s="362" t="str">
        <f>IF(L328&gt;0,IF(J328="CBAL2",Worksheet!$P$68,IF(J328="CBE2-24",Worksheet!$Q$68,IF(J328="CBAM",Worksheet!$R$68,IF(J328="CBLV",Worksheet!$S$68,IF(J328="CBAB",Worksheet!$U$68,IF(J328="CBAW",Worksheet!$X$68,IF(J328="CBE2-12",Worksheet!$Y$68,IF(J328="CBAL2",Worksheet!$Z$68,"N/A"))))))))," ")</f>
        <v xml:space="preserve"> </v>
      </c>
      <c r="FT328" s="362" t="str">
        <f>IF(L328&gt;0,IF(J328="CBAL2",Worksheet!$P$69,IF(J328="CBE2-24",Worksheet!$Q$69,IF(J328="CBAM",Worksheet!$R$69,IF(J328="CBLV",Worksheet!$S$69,IF(J328="CBAB",Worksheet!$U$69,IF(J328="CBAW",Worksheet!$X$69,IF(J328="CBE2-12",Worksheet!$Y$69,IF(J328="CBAL2",Worksheet!$Z$69,"N/A"))))))))," ")</f>
        <v xml:space="preserve"> </v>
      </c>
      <c r="FU328" s="361" t="str">
        <f t="shared" si="981"/>
        <v xml:space="preserve"> </v>
      </c>
      <c r="FV328" s="362" t="str">
        <f t="shared" si="982"/>
        <v xml:space="preserve"> </v>
      </c>
      <c r="FW328" s="362" t="str">
        <f t="shared" si="983"/>
        <v xml:space="preserve"> </v>
      </c>
      <c r="FX328" s="362" t="str">
        <f t="shared" si="984"/>
        <v xml:space="preserve"> </v>
      </c>
      <c r="FY328" s="355" t="str">
        <f t="shared" si="985"/>
        <v xml:space="preserve"> </v>
      </c>
      <c r="FZ328" s="361" t="str">
        <f t="shared" si="986"/>
        <v xml:space="preserve"> </v>
      </c>
      <c r="GA328" s="347" t="str">
        <f t="shared" si="987"/>
        <v xml:space="preserve"> </v>
      </c>
      <c r="GB328" s="355" t="str">
        <f t="shared" si="988"/>
        <v xml:space="preserve"> </v>
      </c>
      <c r="GC328" s="328" t="str">
        <f t="shared" si="989"/>
        <v xml:space="preserve"> </v>
      </c>
      <c r="GD328" s="361" t="str">
        <f t="shared" si="990"/>
        <v xml:space="preserve"> </v>
      </c>
      <c r="GE328" s="347" t="str">
        <f t="shared" si="991"/>
        <v xml:space="preserve"> </v>
      </c>
      <c r="GF328" s="361" t="str">
        <f t="shared" si="992"/>
        <v xml:space="preserve"> </v>
      </c>
      <c r="GG328" s="347" t="str">
        <f t="shared" si="993"/>
        <v xml:space="preserve"> </v>
      </c>
      <c r="GH328" s="364">
        <f t="shared" si="887"/>
        <v>0</v>
      </c>
      <c r="GI328" s="362">
        <f t="shared" si="994"/>
        <v>2</v>
      </c>
      <c r="GJ328" s="433" t="e">
        <f>IF(6-COUNTBLANK(GT328:GY328)=4,MATCH(MID(BO328,9,3),CLU!$H$16:$K$16),MATCH(MID(BO328,9,3),CLU!$H$13:$M$13))</f>
        <v>#N/A</v>
      </c>
      <c r="GK328" s="433" t="e">
        <f>HLOOKUP(VALUE(BP328),CLU!$H$9:$M$10,2)</f>
        <v>#VALUE!</v>
      </c>
      <c r="GL328" s="433" t="e">
        <f ca="1">MATCH(BU328,CLU!$H$2:$V$2,1)</f>
        <v>#VALUE!</v>
      </c>
      <c r="GM328" s="433" t="e">
        <f t="shared" ca="1" si="995"/>
        <v>#VALUE!</v>
      </c>
      <c r="GN328" s="433" t="e">
        <f t="shared" ca="1" si="996"/>
        <v>#VALUE!</v>
      </c>
      <c r="GO328" s="433" t="e">
        <f t="shared" ca="1" si="997"/>
        <v>#VALUE!</v>
      </c>
      <c r="GP328" s="433" t="e">
        <f t="shared" ca="1" si="998"/>
        <v>#VALUE!</v>
      </c>
      <c r="GQ328" s="433" t="e">
        <f t="shared" ca="1" si="999"/>
        <v>#VALUE!</v>
      </c>
      <c r="GR328" s="433" t="e">
        <f ca="1">MATCH(T328,INDIRECT(VLOOKUP(CONCATENATE(LEFT(BO328,7),"-",MID(BO328,13,1)),CLU!$P$3:$Q$16,2)),1)</f>
        <v>#N/A</v>
      </c>
      <c r="GS328" s="433" t="e">
        <f ca="1">MATCH(U328,INDIRECT(VLOOKUP(CONCATENATE(LEFT(BO328,7),"-",MID(BO328,13,1)),CLU!$P$3:$Q$16,2)),1)</f>
        <v>#N/A</v>
      </c>
      <c r="GT328" s="347" t="s">
        <v>512</v>
      </c>
      <c r="GU328" s="97" t="s">
        <v>513</v>
      </c>
      <c r="GV328" s="97" t="str">
        <f t="shared" si="1000"/>
        <v>M23</v>
      </c>
      <c r="GW328" s="97" t="str">
        <f t="shared" si="1001"/>
        <v>M31</v>
      </c>
      <c r="GX328" s="97" t="str">
        <f t="shared" si="1002"/>
        <v/>
      </c>
      <c r="GY328" s="97" t="str">
        <f t="shared" si="1003"/>
        <v/>
      </c>
      <c r="GZ328" s="481"/>
      <c r="HA328" s="240"/>
      <c r="HB328" s="240"/>
      <c r="HC328" s="240"/>
      <c r="HD328" s="240"/>
      <c r="HE328" s="240"/>
      <c r="HF328" s="240"/>
      <c r="HG328" s="240"/>
      <c r="HH328" s="240"/>
      <c r="HI328" s="240"/>
      <c r="HJ328" s="240"/>
      <c r="HK328" s="240"/>
      <c r="HL328" s="240"/>
      <c r="HM328" s="240"/>
      <c r="HN328" s="240"/>
      <c r="HO328" s="240"/>
      <c r="HP328" s="240"/>
      <c r="HQ328" s="240"/>
      <c r="HR328" s="240"/>
      <c r="HS328" s="240"/>
      <c r="HT328" s="240"/>
      <c r="HU328" s="240"/>
      <c r="HV328" s="245"/>
      <c r="HW328" s="245" t="b">
        <v>1</v>
      </c>
      <c r="HX328" s="245" t="str">
        <f t="shared" si="888"/>
        <v/>
      </c>
      <c r="HY328" s="245" t="e">
        <f t="shared" si="889"/>
        <v>#DIV/0!</v>
      </c>
      <c r="HZ328" s="245" t="e">
        <f t="shared" si="890"/>
        <v>#DIV/0!</v>
      </c>
      <c r="IA328" s="245">
        <f t="shared" si="891"/>
        <v>0</v>
      </c>
      <c r="IB328" s="245"/>
      <c r="IC328" t="b">
        <f t="shared" si="892"/>
        <v>1</v>
      </c>
      <c r="ID328" s="245" t="b">
        <f t="shared" si="893"/>
        <v>1</v>
      </c>
      <c r="IE328" s="245" t="b">
        <f t="shared" si="894"/>
        <v>1</v>
      </c>
      <c r="IF328" s="245" t="b">
        <f t="shared" si="895"/>
        <v>0</v>
      </c>
      <c r="IG328" s="245" t="b">
        <f t="shared" si="896"/>
        <v>1</v>
      </c>
      <c r="IH328" s="245" t="b">
        <f t="shared" si="897"/>
        <v>1</v>
      </c>
      <c r="II328" s="245">
        <f t="shared" si="1004"/>
        <v>0</v>
      </c>
      <c r="IJ328" s="245" t="e">
        <f t="shared" si="898"/>
        <v>#VALUE!</v>
      </c>
      <c r="IK328" s="245" t="e">
        <f t="shared" si="899"/>
        <v>#VALUE!</v>
      </c>
      <c r="IL328" s="245"/>
      <c r="IM328" s="245" t="e">
        <f t="shared" si="1005"/>
        <v>#N/A</v>
      </c>
      <c r="IN328" s="245" t="e">
        <f t="shared" si="1006"/>
        <v>#N/A</v>
      </c>
      <c r="IO328" s="245"/>
      <c r="IP328" s="245"/>
      <c r="IQ328" s="245" t="str">
        <f t="shared" si="900"/>
        <v/>
      </c>
      <c r="IR328" s="245" t="str">
        <f>IF(J328="","",VLOOKUP(J328,Worksheet!$R$4:$T$14,2))</f>
        <v/>
      </c>
      <c r="IS328" s="245"/>
      <c r="IT328" s="245">
        <f t="shared" si="901"/>
        <v>0</v>
      </c>
      <c r="IU328" s="245">
        <f t="shared" si="902"/>
        <v>0</v>
      </c>
      <c r="IV328" s="245">
        <f t="shared" si="903"/>
        <v>0</v>
      </c>
      <c r="IW328" s="245">
        <f t="shared" si="904"/>
        <v>0</v>
      </c>
      <c r="IX328" s="245">
        <f t="shared" si="1007"/>
        <v>0</v>
      </c>
      <c r="IY328" s="245">
        <f t="shared" si="905"/>
        <v>0</v>
      </c>
      <c r="IZ328" s="245">
        <f t="shared" si="906"/>
        <v>0</v>
      </c>
      <c r="JA328">
        <f t="shared" si="907"/>
        <v>0</v>
      </c>
      <c r="JB328">
        <f t="shared" si="1008"/>
        <v>0</v>
      </c>
      <c r="JC328">
        <f t="shared" si="908"/>
        <v>0</v>
      </c>
      <c r="JD328">
        <f t="shared" si="909"/>
        <v>0</v>
      </c>
      <c r="JE328">
        <f t="shared" si="910"/>
        <v>0</v>
      </c>
      <c r="JF328">
        <f t="shared" si="911"/>
        <v>0</v>
      </c>
      <c r="JG328">
        <f t="shared" si="912"/>
        <v>0</v>
      </c>
      <c r="JH328">
        <f t="shared" si="913"/>
        <v>0</v>
      </c>
      <c r="JI328">
        <f t="shared" si="914"/>
        <v>0</v>
      </c>
      <c r="JJ328" s="447">
        <f t="shared" si="915"/>
        <v>0</v>
      </c>
      <c r="JK328" s="447">
        <f t="shared" si="916"/>
        <v>0</v>
      </c>
      <c r="JL328">
        <f t="shared" si="917"/>
        <v>0</v>
      </c>
      <c r="JM328" s="245" t="str">
        <f>IFERROR(VLOOKUP(MATCH(BN328,#REF!,0),#REF!,7),"")</f>
        <v/>
      </c>
      <c r="JN328" t="e">
        <f>HLOOKUP(LEFT(BO328,7),Discharge_Area,MATCH(JO328,LookUps!$B$130:$B$149,1)+2)</f>
        <v>#N/A</v>
      </c>
      <c r="JO328" t="str">
        <f t="shared" si="918"/>
        <v>- S</v>
      </c>
      <c r="JP328" t="e">
        <f>HLOOKUP(LEFT(BO328,7),Discharge_Area,MATCH(JO328,LookUps!$B$130:$B$149,1)+2)</f>
        <v>#N/A</v>
      </c>
      <c r="JQ328" t="e">
        <f t="shared" si="919"/>
        <v>#N/A</v>
      </c>
      <c r="JR328" t="e">
        <f t="shared" si="920"/>
        <v>#N/A</v>
      </c>
      <c r="JS328" t="e">
        <f t="shared" si="921"/>
        <v>#N/A</v>
      </c>
      <c r="JT328" s="532" t="str">
        <f t="shared" si="922"/>
        <v xml:space="preserve"> </v>
      </c>
      <c r="JU328" s="532" t="str">
        <f t="shared" si="923"/>
        <v xml:space="preserve"> </v>
      </c>
      <c r="JV328" s="533" t="str">
        <f t="shared" si="924"/>
        <v xml:space="preserve"> </v>
      </c>
      <c r="JW328" s="534">
        <f t="shared" si="925"/>
        <v>0</v>
      </c>
      <c r="JX328" s="535" t="str">
        <f t="shared" si="1009"/>
        <v xml:space="preserve"> </v>
      </c>
      <c r="JY328" s="535" t="str">
        <f t="shared" si="1010"/>
        <v xml:space="preserve"> </v>
      </c>
      <c r="JZ328" s="535" t="str">
        <f t="shared" si="1011"/>
        <v xml:space="preserve"> </v>
      </c>
      <c r="KA328" s="536" t="str">
        <f t="shared" si="926"/>
        <v xml:space="preserve"> </v>
      </c>
      <c r="KB328" s="535" t="e">
        <f t="shared" si="1012"/>
        <v>#VALUE!</v>
      </c>
      <c r="KC328" s="535" t="str">
        <f t="shared" si="927"/>
        <v/>
      </c>
      <c r="KD328" s="537" t="str">
        <f t="shared" si="1013"/>
        <v xml:space="preserve"> </v>
      </c>
      <c r="KE328" s="537" t="str">
        <f t="shared" si="1014"/>
        <v xml:space="preserve"> </v>
      </c>
      <c r="KF328" s="534">
        <f t="shared" si="928"/>
        <v>0</v>
      </c>
      <c r="KG328" s="535" t="str">
        <f t="shared" si="929"/>
        <v xml:space="preserve"> </v>
      </c>
      <c r="KH328" s="535" t="str">
        <f t="shared" si="930"/>
        <v xml:space="preserve"> </v>
      </c>
      <c r="KI328" s="535" t="str">
        <f t="shared" si="931"/>
        <v xml:space="preserve"> </v>
      </c>
      <c r="KJ328" s="536" t="str">
        <f t="shared" si="932"/>
        <v xml:space="preserve"> </v>
      </c>
      <c r="KK328" s="535" t="str">
        <f t="shared" si="1015"/>
        <v xml:space="preserve"> </v>
      </c>
      <c r="KL328" s="535" t="str">
        <f t="shared" si="1016"/>
        <v xml:space="preserve"> </v>
      </c>
      <c r="KM328" s="537" t="str">
        <f t="shared" si="933"/>
        <v xml:space="preserve"> </v>
      </c>
      <c r="KN328" s="537" t="str">
        <f t="shared" si="1017"/>
        <v xml:space="preserve"> </v>
      </c>
      <c r="KP328">
        <f t="shared" si="934"/>
        <v>0</v>
      </c>
      <c r="LA328" t="e">
        <f t="shared" si="935"/>
        <v>#VALUE!</v>
      </c>
      <c r="LB328" t="e">
        <f t="shared" si="936"/>
        <v>#VALUE!</v>
      </c>
      <c r="LC328" t="e">
        <f t="shared" si="937"/>
        <v>#VALUE!</v>
      </c>
      <c r="LD328" t="e">
        <f t="shared" si="938"/>
        <v>#VALUE!</v>
      </c>
      <c r="LE328" t="e">
        <f t="shared" si="1018"/>
        <v>#VALUE!</v>
      </c>
      <c r="LF328">
        <f t="shared" si="939"/>
        <v>0</v>
      </c>
      <c r="LG328" t="e">
        <f t="shared" si="1019"/>
        <v>#VALUE!</v>
      </c>
      <c r="LH328" t="str">
        <f t="shared" si="940"/>
        <v xml:space="preserve"> </v>
      </c>
      <c r="LI328">
        <f t="shared" si="1020"/>
        <v>1</v>
      </c>
    </row>
    <row r="329" spans="2:321" ht="15" customHeight="1">
      <c r="B329" s="311"/>
      <c r="C329" s="311"/>
      <c r="D329" s="312"/>
      <c r="E329" s="311"/>
      <c r="F329" s="312"/>
      <c r="G329" s="311"/>
      <c r="H329" s="311"/>
      <c r="I329" s="232"/>
      <c r="J329" s="311"/>
      <c r="K329" s="305" t="str">
        <f t="shared" si="941"/>
        <v/>
      </c>
      <c r="L329" s="313"/>
      <c r="M329" s="312"/>
      <c r="N329" s="311"/>
      <c r="O329" s="312"/>
      <c r="P329" s="311"/>
      <c r="Q329" s="305" t="str">
        <f t="shared" si="942"/>
        <v/>
      </c>
      <c r="R329" s="314"/>
      <c r="S329" s="450" t="str">
        <f t="shared" si="825"/>
        <v/>
      </c>
      <c r="T329" s="315"/>
      <c r="U329" s="315"/>
      <c r="W329" s="149" t="str">
        <f t="shared" si="826"/>
        <v xml:space="preserve"> </v>
      </c>
      <c r="X329" s="243" t="str">
        <f t="shared" si="827"/>
        <v xml:space="preserve"> </v>
      </c>
      <c r="Y329" s="150" t="str">
        <f t="shared" si="828"/>
        <v/>
      </c>
      <c r="Z329" s="149" t="str">
        <f t="shared" si="829"/>
        <v xml:space="preserve"> </v>
      </c>
      <c r="AA329" s="98" t="str">
        <f t="shared" si="830"/>
        <v xml:space="preserve"> </v>
      </c>
      <c r="AB329" s="153" t="str">
        <f t="shared" si="831"/>
        <v xml:space="preserve"> </v>
      </c>
      <c r="AC329" s="153" t="str">
        <f t="shared" si="832"/>
        <v xml:space="preserve"> </v>
      </c>
      <c r="AD329" s="148" t="str">
        <f t="shared" si="833"/>
        <v/>
      </c>
      <c r="AE329" s="149" t="str">
        <f t="shared" si="834"/>
        <v/>
      </c>
      <c r="AF329" s="151" t="str">
        <f t="shared" si="835"/>
        <v xml:space="preserve"> </v>
      </c>
      <c r="AG329" s="153" t="str">
        <f t="shared" si="836"/>
        <v xml:space="preserve"> </v>
      </c>
      <c r="AH329" s="98" t="str">
        <f t="shared" si="837"/>
        <v xml:space="preserve"> </v>
      </c>
      <c r="AI329" s="149" t="str">
        <f t="shared" si="838"/>
        <v xml:space="preserve"> </v>
      </c>
      <c r="AK329" s="144" t="str">
        <f t="shared" si="839"/>
        <v xml:space="preserve"> </v>
      </c>
      <c r="AL329" s="144"/>
      <c r="AM329" s="243" t="str">
        <f t="shared" si="840"/>
        <v xml:space="preserve"> </v>
      </c>
      <c r="AN329" s="149" t="str">
        <f t="shared" si="943"/>
        <v xml:space="preserve"> </v>
      </c>
      <c r="AO329" s="144" t="str">
        <f>IF(JB329&gt;0,IF(GI329=10,-R329*1.085*(Calculation!$F$6-Calculation!$F$13)*$S$14," "),"")</f>
        <v/>
      </c>
      <c r="AP329" s="144" t="str">
        <f t="shared" si="841"/>
        <v/>
      </c>
      <c r="AQ329" s="56" t="str">
        <f t="shared" si="842"/>
        <v/>
      </c>
      <c r="AR329" s="144" t="str">
        <f t="shared" si="843"/>
        <v/>
      </c>
      <c r="AS329" s="176" t="str">
        <f t="shared" si="844"/>
        <v/>
      </c>
      <c r="AT329" s="176" t="str">
        <f t="shared" si="944"/>
        <v xml:space="preserve"> </v>
      </c>
      <c r="AU329" s="176" t="str">
        <f t="shared" si="845"/>
        <v/>
      </c>
      <c r="AV329" s="177" t="str">
        <f t="shared" si="846"/>
        <v xml:space="preserve"> </v>
      </c>
      <c r="AW329" s="144" t="str">
        <f t="shared" si="847"/>
        <v xml:space="preserve"> </v>
      </c>
      <c r="AX329" s="144" t="str">
        <f t="shared" si="848"/>
        <v xml:space="preserve"> </v>
      </c>
      <c r="AY329" s="152" t="str">
        <f t="shared" si="849"/>
        <v xml:space="preserve"> </v>
      </c>
      <c r="AZ329" s="246" t="str">
        <f t="shared" si="850"/>
        <v/>
      </c>
      <c r="BA329" s="176" t="str">
        <f t="shared" si="851"/>
        <v xml:space="preserve"> </v>
      </c>
      <c r="BB329" s="176" t="str">
        <f t="shared" si="852"/>
        <v xml:space="preserve"> </v>
      </c>
      <c r="BC329" s="195"/>
      <c r="BD329" s="316"/>
      <c r="BE329" s="317"/>
      <c r="BF329" s="318"/>
      <c r="BG329" s="318"/>
      <c r="BH329" s="144" t="str">
        <f t="shared" si="1021"/>
        <v xml:space="preserve"> </v>
      </c>
      <c r="BI329" s="176" t="str">
        <f t="shared" si="853"/>
        <v/>
      </c>
      <c r="BJ329" s="144" t="str">
        <f t="shared" si="1022"/>
        <v/>
      </c>
      <c r="BK329" s="246" t="str">
        <f t="shared" si="854"/>
        <v/>
      </c>
      <c r="BL329" s="144" t="str">
        <f t="shared" si="1023"/>
        <v/>
      </c>
      <c r="BM329" s="246" t="str">
        <f t="shared" si="855"/>
        <v/>
      </c>
      <c r="BN329" s="337" t="str">
        <f t="shared" si="945"/>
        <v/>
      </c>
      <c r="BO329" s="371" t="str">
        <f t="shared" si="946"/>
        <v/>
      </c>
      <c r="BP329" s="328" t="str">
        <f t="shared" si="1024"/>
        <v xml:space="preserve"> </v>
      </c>
      <c r="BQ329" s="347" t="str">
        <f t="shared" si="947"/>
        <v xml:space="preserve"> </v>
      </c>
      <c r="BR329" s="353" t="str">
        <f t="shared" si="948"/>
        <v xml:space="preserve"> </v>
      </c>
      <c r="BS329" s="626" t="str">
        <f>IF(L329&gt;0,IF(Calculation!P329="M13",BR329*3.1416*(0.134^2)/(4*144),IF(Calculation!P329="M17",BR329*3.1416*(0.165^2)/(4*144),IF(Calculation!P329="M20",BR329*3.1416*(0.198^2)/(4*144),IF(Calculation!P329="M23",BR329*3.1416*(0.228^2)/(4*144),IF(Calculation!P329="M27",BR329*3.1416*(0.269^2)/(4*144),BR329*3.1416*(0.307^2)/(4*144))))))," ")</f>
        <v xml:space="preserve"> </v>
      </c>
      <c r="BT329" s="353" t="str">
        <f>IF(L329&gt;0,IF(BS329&gt;0,R329/Calculation!BS329,0)," ")</f>
        <v xml:space="preserve"> </v>
      </c>
      <c r="BU329" s="438" t="e">
        <f t="shared" ca="1" si="856"/>
        <v>#VALUE!</v>
      </c>
      <c r="BV329" s="449" t="e">
        <f ca="1">INDEX(INDIRECT(VLOOKUP(LEFT(BO329,7),CLU!$Z$3:$AH$18,2)),GN329,GR329)</f>
        <v>#N/A</v>
      </c>
      <c r="BW329" s="433" t="e">
        <f ca="1">INDEX(INDIRECT(VLOOKUP(LEFT(BO329,7),CLU!$Z$3:$AH$18,3)),GN329,GR329)</f>
        <v>#N/A</v>
      </c>
      <c r="BX329" s="433" t="e">
        <f ca="1">INDEX(INDIRECT(VLOOKUP(LEFT(BO329,7),CLU!$Z$3:$AH$18,4)),GN329,GR329)</f>
        <v>#N/A</v>
      </c>
      <c r="BY329" s="433" t="e">
        <f ca="1">INDEX(INDIRECT(VLOOKUP(LEFT(BO329,7),CLU!$Z$3:$AH$18,9)),((M329-2)*(6-COUNTBLANK(GT329:GY329)))+GJ329)</f>
        <v>#N/A</v>
      </c>
      <c r="BZ329" s="426" t="e">
        <f t="shared" ca="1" si="949"/>
        <v>#N/A</v>
      </c>
      <c r="CA329" s="424" t="e">
        <f t="shared" ca="1" si="950"/>
        <v>#N/A</v>
      </c>
      <c r="CB329" s="429" t="e">
        <f ca="1">INDEX(INDIRECT(VLOOKUP(LEFT(BO329,7),CLU!$Z$3:$AH$18,2)),GN329,GS329)</f>
        <v>#N/A</v>
      </c>
      <c r="CC329" s="342" t="e">
        <f ca="1">INDEX(INDIRECT(VLOOKUP(LEFT(BO329,7),CLU!$Z$3:$AH$18,3)),GN329,GS329)</f>
        <v>#N/A</v>
      </c>
      <c r="CD329" s="342" t="e">
        <f ca="1">INDEX(INDIRECT(VLOOKUP(LEFT(BO329,7),CLU!$Z$3:$AH$18,4)),GN329,GS329)</f>
        <v>#N/A</v>
      </c>
      <c r="CE329" s="426" t="e">
        <f t="shared" ca="1" si="951"/>
        <v>#N/A</v>
      </c>
      <c r="CF329" s="440">
        <f t="shared" si="952"/>
        <v>0</v>
      </c>
      <c r="CG329" s="431" t="e">
        <f ca="1">INDEX(INDIRECT(VLOOKUP(LEFT(BO329,7),CLU!$Z$3:$AH$18,2)),GQ329,GR329)</f>
        <v>#N/A</v>
      </c>
      <c r="CH329" s="431" t="e">
        <f ca="1">INDEX(INDIRECT(VLOOKUP(LEFT(BO329,7),CLU!$Z$3:$AH$18,3)),GQ329,GR329)</f>
        <v>#N/A</v>
      </c>
      <c r="CI329" s="431" t="e">
        <f ca="1">INDEX(INDIRECT(VLOOKUP(LEFT(BO329,7),CLU!$Z$3:$AH$18,4)),GQ329,GR329)</f>
        <v>#N/A</v>
      </c>
      <c r="CJ329" s="448" t="e">
        <f t="shared" ca="1" si="953"/>
        <v>#N/A</v>
      </c>
      <c r="CK329" s="431" t="e">
        <f t="shared" ca="1" si="954"/>
        <v>#N/A</v>
      </c>
      <c r="CL329" s="440" t="e">
        <f t="shared" ca="1" si="955"/>
        <v>#N/A</v>
      </c>
      <c r="CM329" s="431" t="e">
        <f ca="1">INDEX(INDIRECT(VLOOKUP(LEFT(BO329,7),CLU!$Z$3:$AH$18,2)),GQ329,GS329)</f>
        <v>#N/A</v>
      </c>
      <c r="CN329" s="431" t="e">
        <f ca="1">INDEX(INDIRECT(VLOOKUP(LEFT(BO329,7),CLU!$Z$3:$AH$18,3)),GQ329,GS329)</f>
        <v>#N/A</v>
      </c>
      <c r="CO329" s="431" t="e">
        <f ca="1">INDEX(INDIRECT(VLOOKUP(LEFT(BO329,7),CLU!$Z$3:$AH$18,4)),GQ329,GS329)</f>
        <v>#N/A</v>
      </c>
      <c r="CP329" s="431" t="e">
        <f t="shared" ca="1" si="956"/>
        <v>#N/A</v>
      </c>
      <c r="CQ329" s="440">
        <f t="shared" si="957"/>
        <v>0</v>
      </c>
      <c r="CR329" s="51" t="e">
        <f t="shared" ca="1" si="958"/>
        <v>#N/A</v>
      </c>
      <c r="CS329" s="439" t="e">
        <f t="shared" ca="1" si="959"/>
        <v>#VALUE!</v>
      </c>
      <c r="CT329" s="51" t="e">
        <f t="shared" ca="1" si="960"/>
        <v>#VALUE!</v>
      </c>
      <c r="CU329" s="10"/>
      <c r="CV329" s="51" t="e">
        <f t="shared" ca="1" si="857"/>
        <v>#VALUE!</v>
      </c>
      <c r="CW329" s="51">
        <f t="shared" si="961"/>
        <v>0</v>
      </c>
      <c r="CX329" s="439" t="e">
        <f t="shared" ca="1" si="962"/>
        <v>#VALUE!</v>
      </c>
      <c r="CY329" s="51" t="e">
        <f t="shared" ca="1" si="963"/>
        <v>#VALUE!</v>
      </c>
      <c r="CZ329" s="10"/>
      <c r="DA329" s="51" t="e">
        <f t="shared" ca="1" si="964"/>
        <v>#VALUE!</v>
      </c>
      <c r="DB329" s="347" t="e">
        <f ca="1">INDEX(INDIRECT(VLOOKUP(LEFT(BO329,7),CLU!$Z$3:$AI$18,10)),((M329-2)*(6-COUNTBLANK(GT329:GY329)))+GJ329)*LI329</f>
        <v>#N/A</v>
      </c>
      <c r="DC329" s="347" t="str">
        <f>IF(L329&gt;0,((R329/Worksheet!$I$15)/DB329)^2," ")</f>
        <v xml:space="preserve"> </v>
      </c>
      <c r="DD329" s="602" t="str">
        <f t="shared" si="965"/>
        <v xml:space="preserve"> </v>
      </c>
      <c r="DE329" s="347" t="str">
        <f t="shared" si="858"/>
        <v xml:space="preserve"> </v>
      </c>
      <c r="DF329" s="356" t="e">
        <f ca="1">INDEX(INDIRECT(VLOOKUP(LEFT(BO329,7),CLU!$Z$3:$AH$18,8)),((M329-2)*(6-COUNTBLANK(GT329:GY329)))+GJ329)</f>
        <v>#N/A</v>
      </c>
      <c r="DG329" s="347" t="str">
        <f t="shared" si="859"/>
        <v xml:space="preserve"> </v>
      </c>
      <c r="DH329" s="357" t="str">
        <f t="shared" si="860"/>
        <v xml:space="preserve"> </v>
      </c>
      <c r="DI329" s="355" t="str">
        <f t="shared" si="861"/>
        <v xml:space="preserve"> </v>
      </c>
      <c r="DJ329" s="245" t="e">
        <f ca="1">INDEX(INDIRECT(VLOOKUP(LEFT(BO329,7),CLU!$Z$3:$AH$18,5)),GL329,GK329)</f>
        <v>#N/A</v>
      </c>
      <c r="DK329" s="245" t="e">
        <f ca="1">INDEX(INDIRECT(VLOOKUP(LEFT(BO329,7),CLU!$Z$3:$AH$18,6)),GL329,GK329)</f>
        <v>#N/A</v>
      </c>
      <c r="DL329" s="355">
        <f>(Calculation!R329*0.69143*(Calculation!$BQ$8-Calculation!$F$8))*$S$14</f>
        <v>0</v>
      </c>
      <c r="DM329" s="359" t="e">
        <f t="shared" si="966"/>
        <v>#VALUE!</v>
      </c>
      <c r="DN329" s="611">
        <f t="shared" si="967"/>
        <v>0</v>
      </c>
      <c r="DO329" s="359">
        <f t="shared" si="968"/>
        <v>100</v>
      </c>
      <c r="DP329" s="359">
        <f t="shared" si="969"/>
        <v>0</v>
      </c>
      <c r="DQ329" s="360"/>
      <c r="DR329" s="245" t="e">
        <f ca="1">INDEX(INDIRECT(VLOOKUP(LEFT(BO329,7),CLU!$Z$3:$AH$18,7)),M329-1,1)</f>
        <v>#N/A</v>
      </c>
      <c r="DS329" s="245" t="e">
        <f ca="1">INDEX(INDIRECT(VLOOKUP(LEFT(BO329,7),CLU!$Z$3:$AH$18,7)),M329-1,2)</f>
        <v>#N/A</v>
      </c>
      <c r="DT329" s="245" t="e">
        <f ca="1">INDEX(INDIRECT(VLOOKUP(LEFT(BO329,7),CLU!$Z$3:$AH$18,7)),M329-1,3)</f>
        <v>#N/A</v>
      </c>
      <c r="DU329" s="245" t="e">
        <f ca="1">INDEX(INDIRECT(VLOOKUP(LEFT(BO329,7),CLU!$Z$3:$AH$18,7)),M329-1,4)</f>
        <v>#N/A</v>
      </c>
      <c r="DV329" s="361" t="e">
        <f ca="1">INDEX(INDIRECT(VLOOKUP(LEFT(BO329,7),CLU!$Z$3:$AH$18,7)),M329-1,4+LEFT(DZ329,1)*0.5)</f>
        <v>#N/A</v>
      </c>
      <c r="DW329" s="245" t="e">
        <f ca="1">INDEX(INDIRECT(VLOOKUP(LEFT(BO329,7),CLU!$Z$3:$AH$18,7)),M329-1,8)</f>
        <v>#N/A</v>
      </c>
      <c r="DX329" s="361" t="str">
        <f t="shared" si="862"/>
        <v xml:space="preserve"> </v>
      </c>
      <c r="DY329" s="361" t="str">
        <f t="shared" si="863"/>
        <v xml:space="preserve"> </v>
      </c>
      <c r="DZ329" s="361" t="str">
        <f t="shared" si="864"/>
        <v xml:space="preserve"> </v>
      </c>
      <c r="EA329" s="362" t="str">
        <f t="shared" si="865"/>
        <v xml:space="preserve"> </v>
      </c>
      <c r="EB329" s="624" t="str">
        <f t="shared" si="970"/>
        <v xml:space="preserve"> </v>
      </c>
      <c r="EC329" s="361" t="e">
        <f ca="1">INDEX(INDIRECT(VLOOKUP(LEFT(BO329,7),CLU!$Z$3:$AH$18,7)),M329-1,4+LEFT(DZ329,1)*0.5)</f>
        <v>#N/A</v>
      </c>
      <c r="ED329" s="362" t="str">
        <f t="shared" si="866"/>
        <v xml:space="preserve"> </v>
      </c>
      <c r="EE329" s="361" t="str">
        <f t="shared" si="867"/>
        <v xml:space="preserve"> </v>
      </c>
      <c r="EF329" s="362" t="str">
        <f>IF(L329&gt;0,IF(BR329&gt;0,IF(EE329="2P",IF(Calculation!DZ329="2P",IF(Calculation!DS329=13.75,IF(Calculation!DR329=13,Worksheet!$BD$43,IF(Calculation!DR329=37,Worksheet!$BD$44,Worksheet!$BD$45)),IF(Calculation!DS329=10,IF(Calculation!DR329=18,Worksheet!$BD$29,IF(Calculation!DR329=30,Worksheet!$BD$30,IF(Calculation!DR329=42,Worksheet!$BD$31,IF(Calculation!DR329=54,Worksheet!$BD$32,IF(Calculation!DR329=66,Worksheet!$BD$33,IF(Calculation!DR329=78,Worksheet!$BD$34,IF(Calculation!DR329=90,Worksheet!$BD$35,IF(Calculation!DR329=102,Worksheet!$BD$36,Worksheet!$BD$37)))))))),IF(Calculation!DS329=12.5,IF(Calculation!DR329=18,Worksheet!$BD$38,IF(Calculation!DR329=Worksheet!$BD$39,IF(Calculation!DR329=42,Worksheet!$BD$40,IF(Calculation!DR329=54,Worksheet!$BD$41,Worksheet!$BD$42)))),IF(Calculation!DR329=18,Worksheet!$BD$11,IF(Calculation!DR329=30,Worksheet!$BD$12,IF(Calculation!DR329=42,Worksheet!$BD$13,IF(Calculation!DR329=54,Worksheet!$BD$14,IF(Calculation!DR329=66,Worksheet!$BD$15,IF(Calculation!DR329=78,Worksheet!$BD$16,IF(Calculation!DR329=90,Worksheet!$BD$17,IF(Calculation!DR329=102,Worksheet!$BD$18,Worksheet!$BD$19))))))))))),IF(Calculation!DS329=13.75,IF(Calculation!DR329=13,Worksheet!$BD$78,IF(Calculation!DR329=37,Worksheet!$BD$79,Worksheet!$BD$80)),IF(Calculation!DS329=10,IF(Calculation!DR329=18,Worksheet!$BD$64,IF(Calculation!DR329=30,Worksheet!$BD$65,IF(Calculation!DR329=42,Worksheet!$BD$66,IF(Calculation!DR329=54,Worksheet!$BD$68,IF(Calculation!DR329=66,Worksheet!$BD$68,IF(Calculation!DR329=78,Worksheet!$BD$69,IF(Calculation!DR329=90,Worksheet!$BD$70,IF(Calculation!DR329=102,Worksheet!$BD$71,Worksheet!$BD$72)))))))),IF(Calculation!DS329=12.5,IF(Calculation!DR329=18,Worksheet!$BD$73,IF(Calculation!DR329=Worksheet!$BD$74,IF(Calculation!DR329=42,Worksheet!$BD$75,IF(Calculation!DR329=54,Worksheet!$BD$76,Worksheet!$BD$77)))),IF(Calculation!DR329=18,Worksheet!$BD$55,IF(Calculation!DR329=30,Worksheet!$BD$56,IF(Calculation!DR329=42,Worksheet!$BD$57,IF(Calculation!DR329=54,Worksheet!$BD$58,IF(Calculation!DR329=66,Worksheet!$BD$59,IF(Calculation!DR329=78,Worksheet!$BD$60,IF(Calculation!DR329=90,Worksheet!$BD$61,IF(Calculation!DR329=102,Worksheet!$BD$62,Worksheet!$BD$63)))))))))))),5),0)," ")</f>
        <v xml:space="preserve"> </v>
      </c>
      <c r="EG329" s="361" t="str">
        <f t="shared" si="868"/>
        <v xml:space="preserve"> </v>
      </c>
      <c r="EH329" s="361" t="e">
        <f ca="1">INDEX(INDIRECT(VLOOKUP(LEFT(BO329,7),CLU!$Z$3:$AH$18,7)),M329-1,3+LEFT(DZ329,1))</f>
        <v>#N/A</v>
      </c>
      <c r="EI329" s="362" t="str">
        <f t="shared" si="869"/>
        <v xml:space="preserve"> </v>
      </c>
      <c r="EJ329" s="363" t="str">
        <f t="shared" si="870"/>
        <v xml:space="preserve"> </v>
      </c>
      <c r="EK329" s="363" t="str">
        <f t="shared" si="871"/>
        <v xml:space="preserve"> </v>
      </c>
      <c r="EL329" s="363" t="str">
        <f t="shared" si="872"/>
        <v xml:space="preserve"> </v>
      </c>
      <c r="EM329" s="362" t="str">
        <f>IF(L329&gt;0,IF(BR329&gt;0,(Calculation!T329/ED329)^2,0)," ")</f>
        <v xml:space="preserve"> </v>
      </c>
      <c r="EN329" s="362" t="str">
        <f>IF(L329&gt;0,IF(O329="2 Pipe (Cooling)","N/A",IF(BR329&gt;0,(Calculation!U329/EI329)^2,0))," ")</f>
        <v xml:space="preserve"> </v>
      </c>
      <c r="EO329" s="361" t="str">
        <f t="shared" si="873"/>
        <v/>
      </c>
      <c r="EP329" s="361" t="str">
        <f t="shared" si="874"/>
        <v/>
      </c>
      <c r="EQ329" s="361" t="str">
        <f t="shared" si="875"/>
        <v/>
      </c>
      <c r="ER329" s="361" t="str">
        <f t="shared" si="876"/>
        <v/>
      </c>
      <c r="ES329" s="361" t="str">
        <f t="shared" si="877"/>
        <v/>
      </c>
      <c r="ET329" s="361" t="str">
        <f t="shared" si="878"/>
        <v/>
      </c>
      <c r="EU329" s="361" t="str">
        <f t="shared" si="879"/>
        <v/>
      </c>
      <c r="EV329" s="361" t="str">
        <f t="shared" si="880"/>
        <v/>
      </c>
      <c r="EW329" s="361" t="str">
        <f t="shared" si="881"/>
        <v/>
      </c>
      <c r="EX329" s="361" t="str">
        <f t="shared" si="971"/>
        <v>1 slot, 1 way</v>
      </c>
      <c r="EY329" s="361" t="str">
        <f t="shared" si="972"/>
        <v xml:space="preserve"> </v>
      </c>
      <c r="EZ329" s="361" t="str">
        <f t="shared" si="973"/>
        <v xml:space="preserve"> </v>
      </c>
      <c r="FA329" s="361" t="str">
        <f t="shared" si="974"/>
        <v xml:space="preserve"> </v>
      </c>
      <c r="FB329" s="361" t="str">
        <f t="shared" si="975"/>
        <v xml:space="preserve"> </v>
      </c>
      <c r="FC329" s="361"/>
      <c r="FD329" s="361" t="str">
        <f>IF(J329&gt;0,IF(Calculation!R329&lt;=70,4,IF(Calculation!R329&lt;=110,5,IF(Calculation!R329&lt;=160,6,IF(Calculation!R329&lt;=300,8,"10 EO")))),"")</f>
        <v/>
      </c>
      <c r="FE329" s="361" t="str">
        <f t="shared" si="976"/>
        <v/>
      </c>
      <c r="FF329" s="361" t="str">
        <f t="shared" si="977"/>
        <v/>
      </c>
      <c r="FG329" s="361" t="e">
        <f t="shared" si="882"/>
        <v>#N/A</v>
      </c>
      <c r="FH329" s="361">
        <f t="shared" si="883"/>
        <v>0</v>
      </c>
      <c r="FI329" s="361" t="e">
        <f t="shared" si="884"/>
        <v>#DIV/0!</v>
      </c>
      <c r="FJ329" s="361"/>
      <c r="FK329" s="356" t="e">
        <f t="shared" si="885"/>
        <v>#VALUE!</v>
      </c>
      <c r="FL329" s="361"/>
      <c r="FM329" s="361"/>
      <c r="FN329" s="362" t="str">
        <f t="shared" si="978"/>
        <v xml:space="preserve"> </v>
      </c>
      <c r="FO329" s="362" t="str">
        <f t="shared" si="979"/>
        <v xml:space="preserve"> </v>
      </c>
      <c r="FP329" s="362">
        <f t="shared" si="980"/>
        <v>0</v>
      </c>
      <c r="FQ329" s="361">
        <f t="shared" si="886"/>
        <v>0</v>
      </c>
      <c r="FR329" s="362" t="str">
        <f>IF(L329&gt;0,IF(J329="CBAL2",Worksheet!$P$67,IF(J329="CBE2-24",Worksheet!$Q$67,IF(J329="CBAM",Worksheet!$R$67,IF(J329="CBLV",Worksheet!$S$67,IF(J329="CBAB",Worksheet!$U$67,IF(J329="CBAW",Worksheet!$X$67,IF(J329="CBE2-12",Worksheet!$Y$67,IF(J329="CBAL2",Worksheet!$Z$67,"N/A"))))))))," ")</f>
        <v xml:space="preserve"> </v>
      </c>
      <c r="FS329" s="362" t="str">
        <f>IF(L329&gt;0,IF(J329="CBAL2",Worksheet!$P$68,IF(J329="CBE2-24",Worksheet!$Q$68,IF(J329="CBAM",Worksheet!$R$68,IF(J329="CBLV",Worksheet!$S$68,IF(J329="CBAB",Worksheet!$U$68,IF(J329="CBAW",Worksheet!$X$68,IF(J329="CBE2-12",Worksheet!$Y$68,IF(J329="CBAL2",Worksheet!$Z$68,"N/A"))))))))," ")</f>
        <v xml:space="preserve"> </v>
      </c>
      <c r="FT329" s="362" t="str">
        <f>IF(L329&gt;0,IF(J329="CBAL2",Worksheet!$P$69,IF(J329="CBE2-24",Worksheet!$Q$69,IF(J329="CBAM",Worksheet!$R$69,IF(J329="CBLV",Worksheet!$S$69,IF(J329="CBAB",Worksheet!$U$69,IF(J329="CBAW",Worksheet!$X$69,IF(J329="CBE2-12",Worksheet!$Y$69,IF(J329="CBAL2",Worksheet!$Z$69,"N/A"))))))))," ")</f>
        <v xml:space="preserve"> </v>
      </c>
      <c r="FU329" s="361" t="str">
        <f t="shared" si="981"/>
        <v xml:space="preserve"> </v>
      </c>
      <c r="FV329" s="362" t="str">
        <f t="shared" si="982"/>
        <v xml:space="preserve"> </v>
      </c>
      <c r="FW329" s="362" t="str">
        <f t="shared" si="983"/>
        <v xml:space="preserve"> </v>
      </c>
      <c r="FX329" s="362" t="str">
        <f t="shared" si="984"/>
        <v xml:space="preserve"> </v>
      </c>
      <c r="FY329" s="355" t="str">
        <f t="shared" si="985"/>
        <v xml:space="preserve"> </v>
      </c>
      <c r="FZ329" s="361" t="str">
        <f t="shared" si="986"/>
        <v xml:space="preserve"> </v>
      </c>
      <c r="GA329" s="347" t="str">
        <f t="shared" si="987"/>
        <v xml:space="preserve"> </v>
      </c>
      <c r="GB329" s="355" t="str">
        <f t="shared" si="988"/>
        <v xml:space="preserve"> </v>
      </c>
      <c r="GC329" s="328" t="str">
        <f t="shared" si="989"/>
        <v xml:space="preserve"> </v>
      </c>
      <c r="GD329" s="361" t="str">
        <f t="shared" si="990"/>
        <v xml:space="preserve"> </v>
      </c>
      <c r="GE329" s="347" t="str">
        <f t="shared" si="991"/>
        <v xml:space="preserve"> </v>
      </c>
      <c r="GF329" s="361" t="str">
        <f t="shared" si="992"/>
        <v xml:space="preserve"> </v>
      </c>
      <c r="GG329" s="347" t="str">
        <f t="shared" si="993"/>
        <v xml:space="preserve"> </v>
      </c>
      <c r="GH329" s="364">
        <f t="shared" si="887"/>
        <v>0</v>
      </c>
      <c r="GI329" s="362">
        <f t="shared" si="994"/>
        <v>2</v>
      </c>
      <c r="GJ329" s="433" t="e">
        <f>IF(6-COUNTBLANK(GT329:GY329)=4,MATCH(MID(BO329,9,3),CLU!$H$16:$K$16),MATCH(MID(BO329,9,3),CLU!$H$13:$M$13))</f>
        <v>#N/A</v>
      </c>
      <c r="GK329" s="433" t="e">
        <f>HLOOKUP(VALUE(BP329),CLU!$H$9:$M$10,2)</f>
        <v>#VALUE!</v>
      </c>
      <c r="GL329" s="433" t="e">
        <f ca="1">MATCH(BU329,CLU!$H$2:$V$2,1)</f>
        <v>#VALUE!</v>
      </c>
      <c r="GM329" s="433" t="e">
        <f t="shared" ca="1" si="995"/>
        <v>#VALUE!</v>
      </c>
      <c r="GN329" s="433" t="e">
        <f t="shared" ca="1" si="996"/>
        <v>#VALUE!</v>
      </c>
      <c r="GO329" s="433" t="e">
        <f t="shared" ca="1" si="997"/>
        <v>#VALUE!</v>
      </c>
      <c r="GP329" s="433" t="e">
        <f t="shared" ca="1" si="998"/>
        <v>#VALUE!</v>
      </c>
      <c r="GQ329" s="433" t="e">
        <f t="shared" ca="1" si="999"/>
        <v>#VALUE!</v>
      </c>
      <c r="GR329" s="433" t="e">
        <f ca="1">MATCH(T329,INDIRECT(VLOOKUP(CONCATENATE(LEFT(BO329,7),"-",MID(BO329,13,1)),CLU!$P$3:$Q$16,2)),1)</f>
        <v>#N/A</v>
      </c>
      <c r="GS329" s="433" t="e">
        <f ca="1">MATCH(U329,INDIRECT(VLOOKUP(CONCATENATE(LEFT(BO329,7),"-",MID(BO329,13,1)),CLU!$P$3:$Q$16,2)),1)</f>
        <v>#N/A</v>
      </c>
      <c r="GT329" s="347" t="s">
        <v>512</v>
      </c>
      <c r="GU329" s="97" t="s">
        <v>513</v>
      </c>
      <c r="GV329" s="97" t="str">
        <f t="shared" si="1000"/>
        <v>M23</v>
      </c>
      <c r="GW329" s="97" t="str">
        <f t="shared" si="1001"/>
        <v>M31</v>
      </c>
      <c r="GX329" s="97" t="str">
        <f t="shared" si="1002"/>
        <v/>
      </c>
      <c r="GY329" s="97" t="str">
        <f t="shared" si="1003"/>
        <v/>
      </c>
      <c r="GZ329" s="481"/>
      <c r="HA329" s="240"/>
      <c r="HB329" s="240"/>
      <c r="HC329" s="240"/>
      <c r="HD329" s="240"/>
      <c r="HE329" s="240"/>
      <c r="HF329" s="240"/>
      <c r="HG329" s="240"/>
      <c r="HH329" s="240"/>
      <c r="HI329" s="240"/>
      <c r="HJ329" s="240"/>
      <c r="HK329" s="240"/>
      <c r="HL329" s="240"/>
      <c r="HM329" s="240"/>
      <c r="HN329" s="240"/>
      <c r="HO329" s="240"/>
      <c r="HP329" s="240"/>
      <c r="HQ329" s="240"/>
      <c r="HR329" s="240"/>
      <c r="HS329" s="240"/>
      <c r="HT329" s="240"/>
      <c r="HU329" s="240"/>
      <c r="HV329" s="245"/>
      <c r="HW329" s="245" t="b">
        <v>1</v>
      </c>
      <c r="HX329" s="245" t="str">
        <f t="shared" si="888"/>
        <v/>
      </c>
      <c r="HY329" s="245" t="e">
        <f t="shared" si="889"/>
        <v>#DIV/0!</v>
      </c>
      <c r="HZ329" s="245" t="e">
        <f t="shared" si="890"/>
        <v>#DIV/0!</v>
      </c>
      <c r="IA329" s="245">
        <f t="shared" si="891"/>
        <v>0</v>
      </c>
      <c r="IB329" s="245"/>
      <c r="IC329" t="b">
        <f t="shared" si="892"/>
        <v>1</v>
      </c>
      <c r="ID329" s="245" t="b">
        <f t="shared" si="893"/>
        <v>1</v>
      </c>
      <c r="IE329" s="245" t="b">
        <f t="shared" si="894"/>
        <v>1</v>
      </c>
      <c r="IF329" s="245" t="b">
        <f t="shared" si="895"/>
        <v>0</v>
      </c>
      <c r="IG329" s="245" t="b">
        <f t="shared" si="896"/>
        <v>1</v>
      </c>
      <c r="IH329" s="245" t="b">
        <f t="shared" si="897"/>
        <v>1</v>
      </c>
      <c r="II329" s="245">
        <f t="shared" si="1004"/>
        <v>0</v>
      </c>
      <c r="IJ329" s="245" t="e">
        <f t="shared" si="898"/>
        <v>#VALUE!</v>
      </c>
      <c r="IK329" s="245" t="e">
        <f t="shared" si="899"/>
        <v>#VALUE!</v>
      </c>
      <c r="IL329" s="245"/>
      <c r="IM329" s="245" t="e">
        <f t="shared" si="1005"/>
        <v>#N/A</v>
      </c>
      <c r="IN329" s="245" t="e">
        <f t="shared" si="1006"/>
        <v>#N/A</v>
      </c>
      <c r="IO329" s="245"/>
      <c r="IP329" s="245"/>
      <c r="IQ329" s="245" t="str">
        <f t="shared" si="900"/>
        <v/>
      </c>
      <c r="IR329" s="245" t="str">
        <f>IF(J329="","",VLOOKUP(J329,Worksheet!$R$4:$T$14,2))</f>
        <v/>
      </c>
      <c r="IS329" s="245"/>
      <c r="IT329" s="245">
        <f t="shared" si="901"/>
        <v>0</v>
      </c>
      <c r="IU329" s="245">
        <f t="shared" si="902"/>
        <v>0</v>
      </c>
      <c r="IV329" s="245">
        <f t="shared" si="903"/>
        <v>0</v>
      </c>
      <c r="IW329" s="245">
        <f t="shared" si="904"/>
        <v>0</v>
      </c>
      <c r="IX329" s="245">
        <f t="shared" si="1007"/>
        <v>0</v>
      </c>
      <c r="IY329" s="245">
        <f t="shared" si="905"/>
        <v>0</v>
      </c>
      <c r="IZ329" s="245">
        <f t="shared" si="906"/>
        <v>0</v>
      </c>
      <c r="JA329">
        <f t="shared" si="907"/>
        <v>0</v>
      </c>
      <c r="JB329">
        <f t="shared" si="1008"/>
        <v>0</v>
      </c>
      <c r="JC329">
        <f t="shared" si="908"/>
        <v>0</v>
      </c>
      <c r="JD329">
        <f t="shared" si="909"/>
        <v>0</v>
      </c>
      <c r="JE329">
        <f t="shared" si="910"/>
        <v>0</v>
      </c>
      <c r="JF329">
        <f t="shared" si="911"/>
        <v>0</v>
      </c>
      <c r="JG329">
        <f t="shared" si="912"/>
        <v>0</v>
      </c>
      <c r="JH329">
        <f t="shared" si="913"/>
        <v>0</v>
      </c>
      <c r="JI329">
        <f t="shared" si="914"/>
        <v>0</v>
      </c>
      <c r="JJ329" s="447">
        <f t="shared" si="915"/>
        <v>0</v>
      </c>
      <c r="JK329" s="447">
        <f t="shared" si="916"/>
        <v>0</v>
      </c>
      <c r="JL329">
        <f t="shared" si="917"/>
        <v>0</v>
      </c>
      <c r="JM329" s="245" t="str">
        <f>IFERROR(VLOOKUP(MATCH(BN329,#REF!,0),#REF!,7),"")</f>
        <v/>
      </c>
      <c r="JN329" t="e">
        <f>HLOOKUP(LEFT(BO329,7),Discharge_Area,MATCH(JO329,LookUps!$B$130:$B$149,1)+2)</f>
        <v>#N/A</v>
      </c>
      <c r="JO329" t="str">
        <f t="shared" si="918"/>
        <v>- S</v>
      </c>
      <c r="JP329" t="e">
        <f>HLOOKUP(LEFT(BO329,7),Discharge_Area,MATCH(JO329,LookUps!$B$130:$B$149,1)+2)</f>
        <v>#N/A</v>
      </c>
      <c r="JQ329" t="e">
        <f t="shared" si="919"/>
        <v>#N/A</v>
      </c>
      <c r="JR329" t="e">
        <f t="shared" si="920"/>
        <v>#N/A</v>
      </c>
      <c r="JS329" t="e">
        <f t="shared" si="921"/>
        <v>#N/A</v>
      </c>
      <c r="JT329" s="532" t="str">
        <f t="shared" si="922"/>
        <v xml:space="preserve"> </v>
      </c>
      <c r="JU329" s="532" t="str">
        <f t="shared" si="923"/>
        <v xml:space="preserve"> </v>
      </c>
      <c r="JV329" s="533" t="str">
        <f t="shared" si="924"/>
        <v xml:space="preserve"> </v>
      </c>
      <c r="JW329" s="534">
        <f t="shared" si="925"/>
        <v>0</v>
      </c>
      <c r="JX329" s="535" t="str">
        <f t="shared" si="1009"/>
        <v xml:space="preserve"> </v>
      </c>
      <c r="JY329" s="535" t="str">
        <f t="shared" si="1010"/>
        <v xml:space="preserve"> </v>
      </c>
      <c r="JZ329" s="535" t="str">
        <f t="shared" si="1011"/>
        <v xml:space="preserve"> </v>
      </c>
      <c r="KA329" s="536" t="str">
        <f t="shared" si="926"/>
        <v xml:space="preserve"> </v>
      </c>
      <c r="KB329" s="535" t="e">
        <f t="shared" si="1012"/>
        <v>#VALUE!</v>
      </c>
      <c r="KC329" s="535" t="str">
        <f t="shared" si="927"/>
        <v/>
      </c>
      <c r="KD329" s="537" t="str">
        <f t="shared" si="1013"/>
        <v xml:space="preserve"> </v>
      </c>
      <c r="KE329" s="537" t="str">
        <f t="shared" si="1014"/>
        <v xml:space="preserve"> </v>
      </c>
      <c r="KF329" s="534">
        <f t="shared" si="928"/>
        <v>0</v>
      </c>
      <c r="KG329" s="535" t="str">
        <f t="shared" si="929"/>
        <v xml:space="preserve"> </v>
      </c>
      <c r="KH329" s="535" t="str">
        <f t="shared" si="930"/>
        <v xml:space="preserve"> </v>
      </c>
      <c r="KI329" s="535" t="str">
        <f t="shared" si="931"/>
        <v xml:space="preserve"> </v>
      </c>
      <c r="KJ329" s="536" t="str">
        <f t="shared" si="932"/>
        <v xml:space="preserve"> </v>
      </c>
      <c r="KK329" s="535" t="str">
        <f t="shared" si="1015"/>
        <v xml:space="preserve"> </v>
      </c>
      <c r="KL329" s="535" t="str">
        <f t="shared" si="1016"/>
        <v xml:space="preserve"> </v>
      </c>
      <c r="KM329" s="537" t="str">
        <f t="shared" si="933"/>
        <v xml:space="preserve"> </v>
      </c>
      <c r="KN329" s="537" t="str">
        <f t="shared" si="1017"/>
        <v xml:space="preserve"> </v>
      </c>
      <c r="KP329">
        <f t="shared" si="934"/>
        <v>0</v>
      </c>
      <c r="LA329" t="e">
        <f t="shared" si="935"/>
        <v>#VALUE!</v>
      </c>
      <c r="LB329" t="e">
        <f t="shared" si="936"/>
        <v>#VALUE!</v>
      </c>
      <c r="LC329" t="e">
        <f t="shared" si="937"/>
        <v>#VALUE!</v>
      </c>
      <c r="LD329" t="e">
        <f t="shared" si="938"/>
        <v>#VALUE!</v>
      </c>
      <c r="LE329" t="e">
        <f t="shared" si="1018"/>
        <v>#VALUE!</v>
      </c>
      <c r="LF329">
        <f t="shared" si="939"/>
        <v>0</v>
      </c>
      <c r="LG329" t="e">
        <f t="shared" si="1019"/>
        <v>#VALUE!</v>
      </c>
      <c r="LH329" t="str">
        <f t="shared" si="940"/>
        <v xml:space="preserve"> </v>
      </c>
      <c r="LI329">
        <f t="shared" si="1020"/>
        <v>1</v>
      </c>
    </row>
    <row r="330" spans="2:321" ht="15" customHeight="1">
      <c r="B330" s="311"/>
      <c r="C330" s="311"/>
      <c r="D330" s="312"/>
      <c r="E330" s="311"/>
      <c r="F330" s="312"/>
      <c r="G330" s="311"/>
      <c r="H330" s="311"/>
      <c r="I330" s="232"/>
      <c r="J330" s="311"/>
      <c r="K330" s="305" t="str">
        <f t="shared" si="941"/>
        <v/>
      </c>
      <c r="L330" s="313"/>
      <c r="M330" s="312"/>
      <c r="N330" s="311"/>
      <c r="O330" s="312"/>
      <c r="P330" s="311"/>
      <c r="Q330" s="305" t="str">
        <f t="shared" si="942"/>
        <v/>
      </c>
      <c r="R330" s="314"/>
      <c r="S330" s="450" t="str">
        <f t="shared" si="825"/>
        <v/>
      </c>
      <c r="T330" s="315"/>
      <c r="U330" s="315"/>
      <c r="W330" s="149" t="str">
        <f t="shared" si="826"/>
        <v xml:space="preserve"> </v>
      </c>
      <c r="X330" s="243" t="str">
        <f t="shared" si="827"/>
        <v xml:space="preserve"> </v>
      </c>
      <c r="Y330" s="150" t="str">
        <f t="shared" si="828"/>
        <v/>
      </c>
      <c r="Z330" s="149" t="str">
        <f t="shared" si="829"/>
        <v xml:space="preserve"> </v>
      </c>
      <c r="AA330" s="98" t="str">
        <f t="shared" si="830"/>
        <v xml:space="preserve"> </v>
      </c>
      <c r="AB330" s="153" t="str">
        <f t="shared" si="831"/>
        <v xml:space="preserve"> </v>
      </c>
      <c r="AC330" s="153" t="str">
        <f t="shared" si="832"/>
        <v xml:space="preserve"> </v>
      </c>
      <c r="AD330" s="148" t="str">
        <f t="shared" si="833"/>
        <v/>
      </c>
      <c r="AE330" s="149" t="str">
        <f t="shared" si="834"/>
        <v/>
      </c>
      <c r="AF330" s="151" t="str">
        <f t="shared" si="835"/>
        <v xml:space="preserve"> </v>
      </c>
      <c r="AG330" s="153" t="str">
        <f t="shared" si="836"/>
        <v xml:space="preserve"> </v>
      </c>
      <c r="AH330" s="98" t="str">
        <f t="shared" si="837"/>
        <v xml:space="preserve"> </v>
      </c>
      <c r="AI330" s="149" t="str">
        <f t="shared" si="838"/>
        <v xml:space="preserve"> </v>
      </c>
      <c r="AK330" s="144" t="str">
        <f t="shared" si="839"/>
        <v xml:space="preserve"> </v>
      </c>
      <c r="AL330" s="144"/>
      <c r="AM330" s="243" t="str">
        <f t="shared" si="840"/>
        <v xml:space="preserve"> </v>
      </c>
      <c r="AN330" s="149" t="str">
        <f t="shared" si="943"/>
        <v xml:space="preserve"> </v>
      </c>
      <c r="AO330" s="144" t="str">
        <f>IF(JB330&gt;0,IF(GI330=10,-R330*1.085*(Calculation!$F$6-Calculation!$F$13)*$S$14," "),"")</f>
        <v/>
      </c>
      <c r="AP330" s="144" t="str">
        <f t="shared" si="841"/>
        <v/>
      </c>
      <c r="AQ330" s="56" t="str">
        <f t="shared" si="842"/>
        <v/>
      </c>
      <c r="AR330" s="144" t="str">
        <f t="shared" si="843"/>
        <v/>
      </c>
      <c r="AS330" s="176" t="str">
        <f t="shared" si="844"/>
        <v/>
      </c>
      <c r="AT330" s="176" t="str">
        <f t="shared" si="944"/>
        <v xml:space="preserve"> </v>
      </c>
      <c r="AU330" s="176" t="str">
        <f t="shared" si="845"/>
        <v/>
      </c>
      <c r="AV330" s="177" t="str">
        <f t="shared" si="846"/>
        <v xml:space="preserve"> </v>
      </c>
      <c r="AW330" s="144" t="str">
        <f t="shared" si="847"/>
        <v xml:space="preserve"> </v>
      </c>
      <c r="AX330" s="144" t="str">
        <f t="shared" si="848"/>
        <v xml:space="preserve"> </v>
      </c>
      <c r="AY330" s="152" t="str">
        <f t="shared" si="849"/>
        <v xml:space="preserve"> </v>
      </c>
      <c r="AZ330" s="246" t="str">
        <f t="shared" si="850"/>
        <v/>
      </c>
      <c r="BA330" s="176" t="str">
        <f t="shared" si="851"/>
        <v xml:space="preserve"> </v>
      </c>
      <c r="BB330" s="176" t="str">
        <f t="shared" si="852"/>
        <v xml:space="preserve"> </v>
      </c>
      <c r="BC330" s="195"/>
      <c r="BD330" s="316"/>
      <c r="BE330" s="317"/>
      <c r="BF330" s="318"/>
      <c r="BG330" s="318"/>
      <c r="BH330" s="144" t="str">
        <f t="shared" si="1021"/>
        <v xml:space="preserve"> </v>
      </c>
      <c r="BI330" s="176" t="str">
        <f t="shared" si="853"/>
        <v/>
      </c>
      <c r="BJ330" s="144" t="str">
        <f t="shared" si="1022"/>
        <v/>
      </c>
      <c r="BK330" s="246" t="str">
        <f t="shared" si="854"/>
        <v/>
      </c>
      <c r="BL330" s="144" t="str">
        <f t="shared" si="1023"/>
        <v/>
      </c>
      <c r="BM330" s="246" t="str">
        <f t="shared" si="855"/>
        <v/>
      </c>
      <c r="BN330" s="337" t="str">
        <f t="shared" si="945"/>
        <v/>
      </c>
      <c r="BO330" s="371" t="str">
        <f t="shared" si="946"/>
        <v/>
      </c>
      <c r="BP330" s="328" t="str">
        <f t="shared" si="1024"/>
        <v xml:space="preserve"> </v>
      </c>
      <c r="BQ330" s="347" t="str">
        <f t="shared" si="947"/>
        <v xml:space="preserve"> </v>
      </c>
      <c r="BR330" s="353" t="str">
        <f t="shared" si="948"/>
        <v xml:space="preserve"> </v>
      </c>
      <c r="BS330" s="626" t="str">
        <f>IF(L330&gt;0,IF(Calculation!P330="M13",BR330*3.1416*(0.134^2)/(4*144),IF(Calculation!P330="M17",BR330*3.1416*(0.165^2)/(4*144),IF(Calculation!P330="M20",BR330*3.1416*(0.198^2)/(4*144),IF(Calculation!P330="M23",BR330*3.1416*(0.228^2)/(4*144),IF(Calculation!P330="M27",BR330*3.1416*(0.269^2)/(4*144),BR330*3.1416*(0.307^2)/(4*144))))))," ")</f>
        <v xml:space="preserve"> </v>
      </c>
      <c r="BT330" s="353" t="str">
        <f>IF(L330&gt;0,IF(BS330&gt;0,R330/Calculation!BS330,0)," ")</f>
        <v xml:space="preserve"> </v>
      </c>
      <c r="BU330" s="438" t="e">
        <f t="shared" ca="1" si="856"/>
        <v>#VALUE!</v>
      </c>
      <c r="BV330" s="449" t="e">
        <f ca="1">INDEX(INDIRECT(VLOOKUP(LEFT(BO330,7),CLU!$Z$3:$AH$18,2)),GN330,GR330)</f>
        <v>#N/A</v>
      </c>
      <c r="BW330" s="433" t="e">
        <f ca="1">INDEX(INDIRECT(VLOOKUP(LEFT(BO330,7),CLU!$Z$3:$AH$18,3)),GN330,GR330)</f>
        <v>#N/A</v>
      </c>
      <c r="BX330" s="433" t="e">
        <f ca="1">INDEX(INDIRECT(VLOOKUP(LEFT(BO330,7),CLU!$Z$3:$AH$18,4)),GN330,GR330)</f>
        <v>#N/A</v>
      </c>
      <c r="BY330" s="433" t="e">
        <f ca="1">INDEX(INDIRECT(VLOOKUP(LEFT(BO330,7),CLU!$Z$3:$AH$18,9)),((M330-2)*(6-COUNTBLANK(GT330:GY330)))+GJ330)</f>
        <v>#N/A</v>
      </c>
      <c r="BZ330" s="426" t="e">
        <f t="shared" ca="1" si="949"/>
        <v>#N/A</v>
      </c>
      <c r="CA330" s="424" t="e">
        <f t="shared" ca="1" si="950"/>
        <v>#N/A</v>
      </c>
      <c r="CB330" s="429" t="e">
        <f ca="1">INDEX(INDIRECT(VLOOKUP(LEFT(BO330,7),CLU!$Z$3:$AH$18,2)),GN330,GS330)</f>
        <v>#N/A</v>
      </c>
      <c r="CC330" s="342" t="e">
        <f ca="1">INDEX(INDIRECT(VLOOKUP(LEFT(BO330,7),CLU!$Z$3:$AH$18,3)),GN330,GS330)</f>
        <v>#N/A</v>
      </c>
      <c r="CD330" s="342" t="e">
        <f ca="1">INDEX(INDIRECT(VLOOKUP(LEFT(BO330,7),CLU!$Z$3:$AH$18,4)),GN330,GS330)</f>
        <v>#N/A</v>
      </c>
      <c r="CE330" s="426" t="e">
        <f t="shared" ca="1" si="951"/>
        <v>#N/A</v>
      </c>
      <c r="CF330" s="440">
        <f t="shared" si="952"/>
        <v>0</v>
      </c>
      <c r="CG330" s="431" t="e">
        <f ca="1">INDEX(INDIRECT(VLOOKUP(LEFT(BO330,7),CLU!$Z$3:$AH$18,2)),GQ330,GR330)</f>
        <v>#N/A</v>
      </c>
      <c r="CH330" s="431" t="e">
        <f ca="1">INDEX(INDIRECT(VLOOKUP(LEFT(BO330,7),CLU!$Z$3:$AH$18,3)),GQ330,GR330)</f>
        <v>#N/A</v>
      </c>
      <c r="CI330" s="431" t="e">
        <f ca="1">INDEX(INDIRECT(VLOOKUP(LEFT(BO330,7),CLU!$Z$3:$AH$18,4)),GQ330,GR330)</f>
        <v>#N/A</v>
      </c>
      <c r="CJ330" s="448" t="e">
        <f t="shared" ca="1" si="953"/>
        <v>#N/A</v>
      </c>
      <c r="CK330" s="431" t="e">
        <f t="shared" ca="1" si="954"/>
        <v>#N/A</v>
      </c>
      <c r="CL330" s="440" t="e">
        <f t="shared" ca="1" si="955"/>
        <v>#N/A</v>
      </c>
      <c r="CM330" s="431" t="e">
        <f ca="1">INDEX(INDIRECT(VLOOKUP(LEFT(BO330,7),CLU!$Z$3:$AH$18,2)),GQ330,GS330)</f>
        <v>#N/A</v>
      </c>
      <c r="CN330" s="431" t="e">
        <f ca="1">INDEX(INDIRECT(VLOOKUP(LEFT(BO330,7),CLU!$Z$3:$AH$18,3)),GQ330,GS330)</f>
        <v>#N/A</v>
      </c>
      <c r="CO330" s="431" t="e">
        <f ca="1">INDEX(INDIRECT(VLOOKUP(LEFT(BO330,7),CLU!$Z$3:$AH$18,4)),GQ330,GS330)</f>
        <v>#N/A</v>
      </c>
      <c r="CP330" s="431" t="e">
        <f t="shared" ca="1" si="956"/>
        <v>#N/A</v>
      </c>
      <c r="CQ330" s="440">
        <f t="shared" si="957"/>
        <v>0</v>
      </c>
      <c r="CR330" s="51" t="e">
        <f t="shared" ca="1" si="958"/>
        <v>#N/A</v>
      </c>
      <c r="CS330" s="439" t="e">
        <f t="shared" ca="1" si="959"/>
        <v>#VALUE!</v>
      </c>
      <c r="CT330" s="51" t="e">
        <f t="shared" ca="1" si="960"/>
        <v>#VALUE!</v>
      </c>
      <c r="CU330" s="10"/>
      <c r="CV330" s="51" t="e">
        <f t="shared" ca="1" si="857"/>
        <v>#VALUE!</v>
      </c>
      <c r="CW330" s="51">
        <f t="shared" si="961"/>
        <v>0</v>
      </c>
      <c r="CX330" s="439" t="e">
        <f t="shared" ca="1" si="962"/>
        <v>#VALUE!</v>
      </c>
      <c r="CY330" s="51" t="e">
        <f t="shared" ca="1" si="963"/>
        <v>#VALUE!</v>
      </c>
      <c r="CZ330" s="10"/>
      <c r="DA330" s="51" t="e">
        <f t="shared" ca="1" si="964"/>
        <v>#VALUE!</v>
      </c>
      <c r="DB330" s="347" t="e">
        <f ca="1">INDEX(INDIRECT(VLOOKUP(LEFT(BO330,7),CLU!$Z$3:$AI$18,10)),((M330-2)*(6-COUNTBLANK(GT330:GY330)))+GJ330)*LI330</f>
        <v>#N/A</v>
      </c>
      <c r="DC330" s="347" t="str">
        <f>IF(L330&gt;0,((R330/Worksheet!$I$15)/DB330)^2," ")</f>
        <v xml:space="preserve"> </v>
      </c>
      <c r="DD330" s="602" t="str">
        <f t="shared" si="965"/>
        <v xml:space="preserve"> </v>
      </c>
      <c r="DE330" s="347" t="str">
        <f t="shared" si="858"/>
        <v xml:space="preserve"> </v>
      </c>
      <c r="DF330" s="356" t="e">
        <f ca="1">INDEX(INDIRECT(VLOOKUP(LEFT(BO330,7),CLU!$Z$3:$AH$18,8)),((M330-2)*(6-COUNTBLANK(GT330:GY330)))+GJ330)</f>
        <v>#N/A</v>
      </c>
      <c r="DG330" s="347" t="str">
        <f t="shared" si="859"/>
        <v xml:space="preserve"> </v>
      </c>
      <c r="DH330" s="357" t="str">
        <f t="shared" si="860"/>
        <v xml:space="preserve"> </v>
      </c>
      <c r="DI330" s="355" t="str">
        <f t="shared" si="861"/>
        <v xml:space="preserve"> </v>
      </c>
      <c r="DJ330" s="245" t="e">
        <f ca="1">INDEX(INDIRECT(VLOOKUP(LEFT(BO330,7),CLU!$Z$3:$AH$18,5)),GL330,GK330)</f>
        <v>#N/A</v>
      </c>
      <c r="DK330" s="245" t="e">
        <f ca="1">INDEX(INDIRECT(VLOOKUP(LEFT(BO330,7),CLU!$Z$3:$AH$18,6)),GL330,GK330)</f>
        <v>#N/A</v>
      </c>
      <c r="DL330" s="355">
        <f>(Calculation!R330*0.69143*(Calculation!$BQ$8-Calculation!$F$8))*$S$14</f>
        <v>0</v>
      </c>
      <c r="DM330" s="359" t="e">
        <f t="shared" si="966"/>
        <v>#VALUE!</v>
      </c>
      <c r="DN330" s="611">
        <f t="shared" si="967"/>
        <v>0</v>
      </c>
      <c r="DO330" s="359">
        <f t="shared" si="968"/>
        <v>100</v>
      </c>
      <c r="DP330" s="359">
        <f t="shared" si="969"/>
        <v>0</v>
      </c>
      <c r="DQ330" s="360"/>
      <c r="DR330" s="245" t="e">
        <f ca="1">INDEX(INDIRECT(VLOOKUP(LEFT(BO330,7),CLU!$Z$3:$AH$18,7)),M330-1,1)</f>
        <v>#N/A</v>
      </c>
      <c r="DS330" s="245" t="e">
        <f ca="1">INDEX(INDIRECT(VLOOKUP(LEFT(BO330,7),CLU!$Z$3:$AH$18,7)),M330-1,2)</f>
        <v>#N/A</v>
      </c>
      <c r="DT330" s="245" t="e">
        <f ca="1">INDEX(INDIRECT(VLOOKUP(LEFT(BO330,7),CLU!$Z$3:$AH$18,7)),M330-1,3)</f>
        <v>#N/A</v>
      </c>
      <c r="DU330" s="245" t="e">
        <f ca="1">INDEX(INDIRECT(VLOOKUP(LEFT(BO330,7),CLU!$Z$3:$AH$18,7)),M330-1,4)</f>
        <v>#N/A</v>
      </c>
      <c r="DV330" s="361" t="e">
        <f ca="1">INDEX(INDIRECT(VLOOKUP(LEFT(BO330,7),CLU!$Z$3:$AH$18,7)),M330-1,4+LEFT(DZ330,1)*0.5)</f>
        <v>#N/A</v>
      </c>
      <c r="DW330" s="245" t="e">
        <f ca="1">INDEX(INDIRECT(VLOOKUP(LEFT(BO330,7),CLU!$Z$3:$AH$18,7)),M330-1,8)</f>
        <v>#N/A</v>
      </c>
      <c r="DX330" s="361" t="str">
        <f t="shared" si="862"/>
        <v xml:space="preserve"> </v>
      </c>
      <c r="DY330" s="361" t="str">
        <f t="shared" si="863"/>
        <v xml:space="preserve"> </v>
      </c>
      <c r="DZ330" s="361" t="str">
        <f t="shared" si="864"/>
        <v xml:space="preserve"> </v>
      </c>
      <c r="EA330" s="362" t="str">
        <f t="shared" si="865"/>
        <v xml:space="preserve"> </v>
      </c>
      <c r="EB330" s="624" t="str">
        <f t="shared" si="970"/>
        <v xml:space="preserve"> </v>
      </c>
      <c r="EC330" s="361" t="e">
        <f ca="1">INDEX(INDIRECT(VLOOKUP(LEFT(BO330,7),CLU!$Z$3:$AH$18,7)),M330-1,4+LEFT(DZ330,1)*0.5)</f>
        <v>#N/A</v>
      </c>
      <c r="ED330" s="362" t="str">
        <f t="shared" si="866"/>
        <v xml:space="preserve"> </v>
      </c>
      <c r="EE330" s="361" t="str">
        <f t="shared" si="867"/>
        <v xml:space="preserve"> </v>
      </c>
      <c r="EF330" s="362" t="str">
        <f>IF(L330&gt;0,IF(BR330&gt;0,IF(EE330="2P",IF(Calculation!DZ330="2P",IF(Calculation!DS330=13.75,IF(Calculation!DR330=13,Worksheet!$BD$43,IF(Calculation!DR330=37,Worksheet!$BD$44,Worksheet!$BD$45)),IF(Calculation!DS330=10,IF(Calculation!DR330=18,Worksheet!$BD$29,IF(Calculation!DR330=30,Worksheet!$BD$30,IF(Calculation!DR330=42,Worksheet!$BD$31,IF(Calculation!DR330=54,Worksheet!$BD$32,IF(Calculation!DR330=66,Worksheet!$BD$33,IF(Calculation!DR330=78,Worksheet!$BD$34,IF(Calculation!DR330=90,Worksheet!$BD$35,IF(Calculation!DR330=102,Worksheet!$BD$36,Worksheet!$BD$37)))))))),IF(Calculation!DS330=12.5,IF(Calculation!DR330=18,Worksheet!$BD$38,IF(Calculation!DR330=Worksheet!$BD$39,IF(Calculation!DR330=42,Worksheet!$BD$40,IF(Calculation!DR330=54,Worksheet!$BD$41,Worksheet!$BD$42)))),IF(Calculation!DR330=18,Worksheet!$BD$11,IF(Calculation!DR330=30,Worksheet!$BD$12,IF(Calculation!DR330=42,Worksheet!$BD$13,IF(Calculation!DR330=54,Worksheet!$BD$14,IF(Calculation!DR330=66,Worksheet!$BD$15,IF(Calculation!DR330=78,Worksheet!$BD$16,IF(Calculation!DR330=90,Worksheet!$BD$17,IF(Calculation!DR330=102,Worksheet!$BD$18,Worksheet!$BD$19))))))))))),IF(Calculation!DS330=13.75,IF(Calculation!DR330=13,Worksheet!$BD$78,IF(Calculation!DR330=37,Worksheet!$BD$79,Worksheet!$BD$80)),IF(Calculation!DS330=10,IF(Calculation!DR330=18,Worksheet!$BD$64,IF(Calculation!DR330=30,Worksheet!$BD$65,IF(Calculation!DR330=42,Worksheet!$BD$66,IF(Calculation!DR330=54,Worksheet!$BD$68,IF(Calculation!DR330=66,Worksheet!$BD$68,IF(Calculation!DR330=78,Worksheet!$BD$69,IF(Calculation!DR330=90,Worksheet!$BD$70,IF(Calculation!DR330=102,Worksheet!$BD$71,Worksheet!$BD$72)))))))),IF(Calculation!DS330=12.5,IF(Calculation!DR330=18,Worksheet!$BD$73,IF(Calculation!DR330=Worksheet!$BD$74,IF(Calculation!DR330=42,Worksheet!$BD$75,IF(Calculation!DR330=54,Worksheet!$BD$76,Worksheet!$BD$77)))),IF(Calculation!DR330=18,Worksheet!$BD$55,IF(Calculation!DR330=30,Worksheet!$BD$56,IF(Calculation!DR330=42,Worksheet!$BD$57,IF(Calculation!DR330=54,Worksheet!$BD$58,IF(Calculation!DR330=66,Worksheet!$BD$59,IF(Calculation!DR330=78,Worksheet!$BD$60,IF(Calculation!DR330=90,Worksheet!$BD$61,IF(Calculation!DR330=102,Worksheet!$BD$62,Worksheet!$BD$63)))))))))))),5),0)," ")</f>
        <v xml:space="preserve"> </v>
      </c>
      <c r="EG330" s="361" t="str">
        <f t="shared" si="868"/>
        <v xml:space="preserve"> </v>
      </c>
      <c r="EH330" s="361" t="e">
        <f ca="1">INDEX(INDIRECT(VLOOKUP(LEFT(BO330,7),CLU!$Z$3:$AH$18,7)),M330-1,3+LEFT(DZ330,1))</f>
        <v>#N/A</v>
      </c>
      <c r="EI330" s="362" t="str">
        <f t="shared" si="869"/>
        <v xml:space="preserve"> </v>
      </c>
      <c r="EJ330" s="363" t="str">
        <f t="shared" si="870"/>
        <v xml:space="preserve"> </v>
      </c>
      <c r="EK330" s="363" t="str">
        <f t="shared" si="871"/>
        <v xml:space="preserve"> </v>
      </c>
      <c r="EL330" s="363" t="str">
        <f t="shared" si="872"/>
        <v xml:space="preserve"> </v>
      </c>
      <c r="EM330" s="362" t="str">
        <f>IF(L330&gt;0,IF(BR330&gt;0,(Calculation!T330/ED330)^2,0)," ")</f>
        <v xml:space="preserve"> </v>
      </c>
      <c r="EN330" s="362" t="str">
        <f>IF(L330&gt;0,IF(O330="2 Pipe (Cooling)","N/A",IF(BR330&gt;0,(Calculation!U330/EI330)^2,0))," ")</f>
        <v xml:space="preserve"> </v>
      </c>
      <c r="EO330" s="361" t="str">
        <f t="shared" si="873"/>
        <v/>
      </c>
      <c r="EP330" s="361" t="str">
        <f t="shared" si="874"/>
        <v/>
      </c>
      <c r="EQ330" s="361" t="str">
        <f t="shared" si="875"/>
        <v/>
      </c>
      <c r="ER330" s="361" t="str">
        <f t="shared" si="876"/>
        <v/>
      </c>
      <c r="ES330" s="361" t="str">
        <f t="shared" si="877"/>
        <v/>
      </c>
      <c r="ET330" s="361" t="str">
        <f t="shared" si="878"/>
        <v/>
      </c>
      <c r="EU330" s="361" t="str">
        <f t="shared" si="879"/>
        <v/>
      </c>
      <c r="EV330" s="361" t="str">
        <f t="shared" si="880"/>
        <v/>
      </c>
      <c r="EW330" s="361" t="str">
        <f t="shared" si="881"/>
        <v/>
      </c>
      <c r="EX330" s="361" t="str">
        <f t="shared" si="971"/>
        <v>1 slot, 1 way</v>
      </c>
      <c r="EY330" s="361" t="str">
        <f t="shared" si="972"/>
        <v xml:space="preserve"> </v>
      </c>
      <c r="EZ330" s="361" t="str">
        <f t="shared" si="973"/>
        <v xml:space="preserve"> </v>
      </c>
      <c r="FA330" s="361" t="str">
        <f t="shared" si="974"/>
        <v xml:space="preserve"> </v>
      </c>
      <c r="FB330" s="361" t="str">
        <f t="shared" si="975"/>
        <v xml:space="preserve"> </v>
      </c>
      <c r="FC330" s="361"/>
      <c r="FD330" s="361" t="str">
        <f>IF(J330&gt;0,IF(Calculation!R330&lt;=70,4,IF(Calculation!R330&lt;=110,5,IF(Calculation!R330&lt;=160,6,IF(Calculation!R330&lt;=300,8,"10 EO")))),"")</f>
        <v/>
      </c>
      <c r="FE330" s="361" t="str">
        <f t="shared" si="976"/>
        <v/>
      </c>
      <c r="FF330" s="361" t="str">
        <f t="shared" si="977"/>
        <v/>
      </c>
      <c r="FG330" s="361" t="e">
        <f t="shared" si="882"/>
        <v>#N/A</v>
      </c>
      <c r="FH330" s="361">
        <f t="shared" si="883"/>
        <v>0</v>
      </c>
      <c r="FI330" s="361" t="e">
        <f t="shared" si="884"/>
        <v>#DIV/0!</v>
      </c>
      <c r="FJ330" s="361"/>
      <c r="FK330" s="356" t="e">
        <f t="shared" si="885"/>
        <v>#VALUE!</v>
      </c>
      <c r="FL330" s="361"/>
      <c r="FM330" s="361"/>
      <c r="FN330" s="362" t="str">
        <f t="shared" si="978"/>
        <v xml:space="preserve"> </v>
      </c>
      <c r="FO330" s="362" t="str">
        <f t="shared" si="979"/>
        <v xml:space="preserve"> </v>
      </c>
      <c r="FP330" s="362">
        <f t="shared" si="980"/>
        <v>0</v>
      </c>
      <c r="FQ330" s="361">
        <f t="shared" si="886"/>
        <v>0</v>
      </c>
      <c r="FR330" s="362" t="str">
        <f>IF(L330&gt;0,IF(J330="CBAL2",Worksheet!$P$67,IF(J330="CBE2-24",Worksheet!$Q$67,IF(J330="CBAM",Worksheet!$R$67,IF(J330="CBLV",Worksheet!$S$67,IF(J330="CBAB",Worksheet!$U$67,IF(J330="CBAW",Worksheet!$X$67,IF(J330="CBE2-12",Worksheet!$Y$67,IF(J330="CBAL2",Worksheet!$Z$67,"N/A"))))))))," ")</f>
        <v xml:space="preserve"> </v>
      </c>
      <c r="FS330" s="362" t="str">
        <f>IF(L330&gt;0,IF(J330="CBAL2",Worksheet!$P$68,IF(J330="CBE2-24",Worksheet!$Q$68,IF(J330="CBAM",Worksheet!$R$68,IF(J330="CBLV",Worksheet!$S$68,IF(J330="CBAB",Worksheet!$U$68,IF(J330="CBAW",Worksheet!$X$68,IF(J330="CBE2-12",Worksheet!$Y$68,IF(J330="CBAL2",Worksheet!$Z$68,"N/A"))))))))," ")</f>
        <v xml:space="preserve"> </v>
      </c>
      <c r="FT330" s="362" t="str">
        <f>IF(L330&gt;0,IF(J330="CBAL2",Worksheet!$P$69,IF(J330="CBE2-24",Worksheet!$Q$69,IF(J330="CBAM",Worksheet!$R$69,IF(J330="CBLV",Worksheet!$S$69,IF(J330="CBAB",Worksheet!$U$69,IF(J330="CBAW",Worksheet!$X$69,IF(J330="CBE2-12",Worksheet!$Y$69,IF(J330="CBAL2",Worksheet!$Z$69,"N/A"))))))))," ")</f>
        <v xml:space="preserve"> </v>
      </c>
      <c r="FU330" s="361" t="str">
        <f t="shared" si="981"/>
        <v xml:space="preserve"> </v>
      </c>
      <c r="FV330" s="362" t="str">
        <f t="shared" si="982"/>
        <v xml:space="preserve"> </v>
      </c>
      <c r="FW330" s="362" t="str">
        <f t="shared" si="983"/>
        <v xml:space="preserve"> </v>
      </c>
      <c r="FX330" s="362" t="str">
        <f t="shared" si="984"/>
        <v xml:space="preserve"> </v>
      </c>
      <c r="FY330" s="355" t="str">
        <f t="shared" si="985"/>
        <v xml:space="preserve"> </v>
      </c>
      <c r="FZ330" s="361" t="str">
        <f t="shared" si="986"/>
        <v xml:space="preserve"> </v>
      </c>
      <c r="GA330" s="347" t="str">
        <f t="shared" si="987"/>
        <v xml:space="preserve"> </v>
      </c>
      <c r="GB330" s="355" t="str">
        <f t="shared" si="988"/>
        <v xml:space="preserve"> </v>
      </c>
      <c r="GC330" s="328" t="str">
        <f t="shared" si="989"/>
        <v xml:space="preserve"> </v>
      </c>
      <c r="GD330" s="361" t="str">
        <f t="shared" si="990"/>
        <v xml:space="preserve"> </v>
      </c>
      <c r="GE330" s="347" t="str">
        <f t="shared" si="991"/>
        <v xml:space="preserve"> </v>
      </c>
      <c r="GF330" s="361" t="str">
        <f t="shared" si="992"/>
        <v xml:space="preserve"> </v>
      </c>
      <c r="GG330" s="347" t="str">
        <f t="shared" si="993"/>
        <v xml:space="preserve"> </v>
      </c>
      <c r="GH330" s="364">
        <f t="shared" si="887"/>
        <v>0</v>
      </c>
      <c r="GI330" s="362">
        <f t="shared" si="994"/>
        <v>2</v>
      </c>
      <c r="GJ330" s="433" t="e">
        <f>IF(6-COUNTBLANK(GT330:GY330)=4,MATCH(MID(BO330,9,3),CLU!$H$16:$K$16),MATCH(MID(BO330,9,3),CLU!$H$13:$M$13))</f>
        <v>#N/A</v>
      </c>
      <c r="GK330" s="433" t="e">
        <f>HLOOKUP(VALUE(BP330),CLU!$H$9:$M$10,2)</f>
        <v>#VALUE!</v>
      </c>
      <c r="GL330" s="433" t="e">
        <f ca="1">MATCH(BU330,CLU!$H$2:$V$2,1)</f>
        <v>#VALUE!</v>
      </c>
      <c r="GM330" s="433" t="e">
        <f t="shared" ca="1" si="995"/>
        <v>#VALUE!</v>
      </c>
      <c r="GN330" s="433" t="e">
        <f t="shared" ca="1" si="996"/>
        <v>#VALUE!</v>
      </c>
      <c r="GO330" s="433" t="e">
        <f t="shared" ca="1" si="997"/>
        <v>#VALUE!</v>
      </c>
      <c r="GP330" s="433" t="e">
        <f t="shared" ca="1" si="998"/>
        <v>#VALUE!</v>
      </c>
      <c r="GQ330" s="433" t="e">
        <f t="shared" ca="1" si="999"/>
        <v>#VALUE!</v>
      </c>
      <c r="GR330" s="433" t="e">
        <f ca="1">MATCH(T330,INDIRECT(VLOOKUP(CONCATENATE(LEFT(BO330,7),"-",MID(BO330,13,1)),CLU!$P$3:$Q$16,2)),1)</f>
        <v>#N/A</v>
      </c>
      <c r="GS330" s="433" t="e">
        <f ca="1">MATCH(U330,INDIRECT(VLOOKUP(CONCATENATE(LEFT(BO330,7),"-",MID(BO330,13,1)),CLU!$P$3:$Q$16,2)),1)</f>
        <v>#N/A</v>
      </c>
      <c r="GT330" s="347" t="s">
        <v>512</v>
      </c>
      <c r="GU330" s="97" t="s">
        <v>513</v>
      </c>
      <c r="GV330" s="97" t="str">
        <f t="shared" si="1000"/>
        <v>M23</v>
      </c>
      <c r="GW330" s="97" t="str">
        <f t="shared" si="1001"/>
        <v>M31</v>
      </c>
      <c r="GX330" s="97" t="str">
        <f t="shared" si="1002"/>
        <v/>
      </c>
      <c r="GY330" s="97" t="str">
        <f t="shared" si="1003"/>
        <v/>
      </c>
      <c r="GZ330" s="481"/>
      <c r="HA330" s="240"/>
      <c r="HB330" s="240"/>
      <c r="HC330" s="240"/>
      <c r="HD330" s="240"/>
      <c r="HE330" s="240"/>
      <c r="HF330" s="240"/>
      <c r="HG330" s="240"/>
      <c r="HH330" s="240"/>
      <c r="HI330" s="240"/>
      <c r="HJ330" s="240"/>
      <c r="HK330" s="240"/>
      <c r="HL330" s="240"/>
      <c r="HM330" s="240"/>
      <c r="HN330" s="240"/>
      <c r="HO330" s="240"/>
      <c r="HP330" s="240"/>
      <c r="HQ330" s="240"/>
      <c r="HR330" s="240"/>
      <c r="HS330" s="240"/>
      <c r="HT330" s="240"/>
      <c r="HU330" s="240"/>
      <c r="HV330" s="245"/>
      <c r="HW330" s="245" t="b">
        <v>1</v>
      </c>
      <c r="HX330" s="245" t="str">
        <f t="shared" si="888"/>
        <v/>
      </c>
      <c r="HY330" s="245" t="e">
        <f t="shared" si="889"/>
        <v>#DIV/0!</v>
      </c>
      <c r="HZ330" s="245" t="e">
        <f t="shared" si="890"/>
        <v>#DIV/0!</v>
      </c>
      <c r="IA330" s="245">
        <f t="shared" si="891"/>
        <v>0</v>
      </c>
      <c r="IB330" s="245"/>
      <c r="IC330" t="b">
        <f t="shared" si="892"/>
        <v>1</v>
      </c>
      <c r="ID330" s="245" t="b">
        <f t="shared" si="893"/>
        <v>1</v>
      </c>
      <c r="IE330" s="245" t="b">
        <f t="shared" si="894"/>
        <v>1</v>
      </c>
      <c r="IF330" s="245" t="b">
        <f t="shared" si="895"/>
        <v>0</v>
      </c>
      <c r="IG330" s="245" t="b">
        <f t="shared" si="896"/>
        <v>1</v>
      </c>
      <c r="IH330" s="245" t="b">
        <f t="shared" si="897"/>
        <v>1</v>
      </c>
      <c r="II330" s="245">
        <f t="shared" si="1004"/>
        <v>0</v>
      </c>
      <c r="IJ330" s="245" t="e">
        <f t="shared" si="898"/>
        <v>#VALUE!</v>
      </c>
      <c r="IK330" s="245" t="e">
        <f t="shared" si="899"/>
        <v>#VALUE!</v>
      </c>
      <c r="IL330" s="245"/>
      <c r="IM330" s="245" t="e">
        <f t="shared" si="1005"/>
        <v>#N/A</v>
      </c>
      <c r="IN330" s="245" t="e">
        <f t="shared" si="1006"/>
        <v>#N/A</v>
      </c>
      <c r="IO330" s="245"/>
      <c r="IP330" s="245"/>
      <c r="IQ330" s="245" t="str">
        <f t="shared" si="900"/>
        <v/>
      </c>
      <c r="IR330" s="245" t="str">
        <f>IF(J330="","",VLOOKUP(J330,Worksheet!$R$4:$T$14,2))</f>
        <v/>
      </c>
      <c r="IS330" s="245"/>
      <c r="IT330" s="245">
        <f t="shared" si="901"/>
        <v>0</v>
      </c>
      <c r="IU330" s="245">
        <f t="shared" si="902"/>
        <v>0</v>
      </c>
      <c r="IV330" s="245">
        <f t="shared" si="903"/>
        <v>0</v>
      </c>
      <c r="IW330" s="245">
        <f t="shared" si="904"/>
        <v>0</v>
      </c>
      <c r="IX330" s="245">
        <f t="shared" si="1007"/>
        <v>0</v>
      </c>
      <c r="IY330" s="245">
        <f t="shared" si="905"/>
        <v>0</v>
      </c>
      <c r="IZ330" s="245">
        <f t="shared" si="906"/>
        <v>0</v>
      </c>
      <c r="JA330">
        <f t="shared" si="907"/>
        <v>0</v>
      </c>
      <c r="JB330">
        <f t="shared" si="1008"/>
        <v>0</v>
      </c>
      <c r="JC330">
        <f t="shared" si="908"/>
        <v>0</v>
      </c>
      <c r="JD330">
        <f t="shared" si="909"/>
        <v>0</v>
      </c>
      <c r="JE330">
        <f t="shared" si="910"/>
        <v>0</v>
      </c>
      <c r="JF330">
        <f t="shared" si="911"/>
        <v>0</v>
      </c>
      <c r="JG330">
        <f t="shared" si="912"/>
        <v>0</v>
      </c>
      <c r="JH330">
        <f t="shared" si="913"/>
        <v>0</v>
      </c>
      <c r="JI330">
        <f t="shared" si="914"/>
        <v>0</v>
      </c>
      <c r="JJ330" s="447">
        <f t="shared" si="915"/>
        <v>0</v>
      </c>
      <c r="JK330" s="447">
        <f t="shared" si="916"/>
        <v>0</v>
      </c>
      <c r="JL330">
        <f t="shared" si="917"/>
        <v>0</v>
      </c>
      <c r="JM330" s="245" t="str">
        <f>IFERROR(VLOOKUP(MATCH(BN330,#REF!,0),#REF!,7),"")</f>
        <v/>
      </c>
      <c r="JN330" t="e">
        <f>HLOOKUP(LEFT(BO330,7),Discharge_Area,MATCH(JO330,LookUps!$B$130:$B$149,1)+2)</f>
        <v>#N/A</v>
      </c>
      <c r="JO330" t="str">
        <f t="shared" si="918"/>
        <v>- S</v>
      </c>
      <c r="JP330" t="e">
        <f>HLOOKUP(LEFT(BO330,7),Discharge_Area,MATCH(JO330,LookUps!$B$130:$B$149,1)+2)</f>
        <v>#N/A</v>
      </c>
      <c r="JQ330" t="e">
        <f t="shared" si="919"/>
        <v>#N/A</v>
      </c>
      <c r="JR330" t="e">
        <f t="shared" si="920"/>
        <v>#N/A</v>
      </c>
      <c r="JS330" t="e">
        <f t="shared" si="921"/>
        <v>#N/A</v>
      </c>
      <c r="JT330" s="532" t="str">
        <f t="shared" si="922"/>
        <v xml:space="preserve"> </v>
      </c>
      <c r="JU330" s="532" t="str">
        <f t="shared" si="923"/>
        <v xml:space="preserve"> </v>
      </c>
      <c r="JV330" s="533" t="str">
        <f t="shared" si="924"/>
        <v xml:space="preserve"> </v>
      </c>
      <c r="JW330" s="534">
        <f t="shared" si="925"/>
        <v>0</v>
      </c>
      <c r="JX330" s="535" t="str">
        <f t="shared" si="1009"/>
        <v xml:space="preserve"> </v>
      </c>
      <c r="JY330" s="535" t="str">
        <f t="shared" si="1010"/>
        <v xml:space="preserve"> </v>
      </c>
      <c r="JZ330" s="535" t="str">
        <f t="shared" si="1011"/>
        <v xml:space="preserve"> </v>
      </c>
      <c r="KA330" s="536" t="str">
        <f t="shared" si="926"/>
        <v xml:space="preserve"> </v>
      </c>
      <c r="KB330" s="535" t="e">
        <f t="shared" si="1012"/>
        <v>#VALUE!</v>
      </c>
      <c r="KC330" s="535" t="str">
        <f t="shared" si="927"/>
        <v/>
      </c>
      <c r="KD330" s="537" t="str">
        <f t="shared" si="1013"/>
        <v xml:space="preserve"> </v>
      </c>
      <c r="KE330" s="537" t="str">
        <f t="shared" si="1014"/>
        <v xml:space="preserve"> </v>
      </c>
      <c r="KF330" s="534">
        <f t="shared" si="928"/>
        <v>0</v>
      </c>
      <c r="KG330" s="535" t="str">
        <f t="shared" si="929"/>
        <v xml:space="preserve"> </v>
      </c>
      <c r="KH330" s="535" t="str">
        <f t="shared" si="930"/>
        <v xml:space="preserve"> </v>
      </c>
      <c r="KI330" s="535" t="str">
        <f t="shared" si="931"/>
        <v xml:space="preserve"> </v>
      </c>
      <c r="KJ330" s="536" t="str">
        <f t="shared" si="932"/>
        <v xml:space="preserve"> </v>
      </c>
      <c r="KK330" s="535" t="str">
        <f t="shared" si="1015"/>
        <v xml:space="preserve"> </v>
      </c>
      <c r="KL330" s="535" t="str">
        <f t="shared" si="1016"/>
        <v xml:space="preserve"> </v>
      </c>
      <c r="KM330" s="537" t="str">
        <f t="shared" si="933"/>
        <v xml:space="preserve"> </v>
      </c>
      <c r="KN330" s="537" t="str">
        <f t="shared" si="1017"/>
        <v xml:space="preserve"> </v>
      </c>
      <c r="KP330">
        <f t="shared" si="934"/>
        <v>0</v>
      </c>
      <c r="LA330" t="e">
        <f t="shared" si="935"/>
        <v>#VALUE!</v>
      </c>
      <c r="LB330" t="e">
        <f t="shared" si="936"/>
        <v>#VALUE!</v>
      </c>
      <c r="LC330" t="e">
        <f t="shared" si="937"/>
        <v>#VALUE!</v>
      </c>
      <c r="LD330" t="e">
        <f t="shared" si="938"/>
        <v>#VALUE!</v>
      </c>
      <c r="LE330" t="e">
        <f t="shared" si="1018"/>
        <v>#VALUE!</v>
      </c>
      <c r="LF330">
        <f t="shared" si="939"/>
        <v>0</v>
      </c>
      <c r="LG330" t="e">
        <f t="shared" si="1019"/>
        <v>#VALUE!</v>
      </c>
      <c r="LH330" t="str">
        <f t="shared" si="940"/>
        <v xml:space="preserve"> </v>
      </c>
      <c r="LI330">
        <f t="shared" si="1020"/>
        <v>1</v>
      </c>
    </row>
    <row r="331" spans="2:321" ht="15" customHeight="1">
      <c r="B331" s="311"/>
      <c r="C331" s="311"/>
      <c r="D331" s="312"/>
      <c r="E331" s="311"/>
      <c r="F331" s="312"/>
      <c r="G331" s="311"/>
      <c r="H331" s="311"/>
      <c r="I331" s="232"/>
      <c r="J331" s="311"/>
      <c r="K331" s="305" t="str">
        <f t="shared" si="941"/>
        <v/>
      </c>
      <c r="L331" s="313"/>
      <c r="M331" s="312"/>
      <c r="N331" s="311"/>
      <c r="O331" s="312"/>
      <c r="P331" s="311"/>
      <c r="Q331" s="305" t="str">
        <f t="shared" si="942"/>
        <v/>
      </c>
      <c r="R331" s="314"/>
      <c r="S331" s="450" t="str">
        <f t="shared" si="825"/>
        <v/>
      </c>
      <c r="T331" s="315"/>
      <c r="U331" s="315"/>
      <c r="W331" s="149" t="str">
        <f t="shared" si="826"/>
        <v xml:space="preserve"> </v>
      </c>
      <c r="X331" s="243" t="str">
        <f t="shared" si="827"/>
        <v xml:space="preserve"> </v>
      </c>
      <c r="Y331" s="150" t="str">
        <f t="shared" si="828"/>
        <v/>
      </c>
      <c r="Z331" s="149" t="str">
        <f t="shared" si="829"/>
        <v xml:space="preserve"> </v>
      </c>
      <c r="AA331" s="98" t="str">
        <f t="shared" si="830"/>
        <v xml:space="preserve"> </v>
      </c>
      <c r="AB331" s="153" t="str">
        <f t="shared" si="831"/>
        <v xml:space="preserve"> </v>
      </c>
      <c r="AC331" s="153" t="str">
        <f t="shared" si="832"/>
        <v xml:space="preserve"> </v>
      </c>
      <c r="AD331" s="148" t="str">
        <f t="shared" si="833"/>
        <v/>
      </c>
      <c r="AE331" s="149" t="str">
        <f t="shared" si="834"/>
        <v/>
      </c>
      <c r="AF331" s="151" t="str">
        <f t="shared" si="835"/>
        <v xml:space="preserve"> </v>
      </c>
      <c r="AG331" s="153" t="str">
        <f t="shared" si="836"/>
        <v xml:space="preserve"> </v>
      </c>
      <c r="AH331" s="98" t="str">
        <f t="shared" si="837"/>
        <v xml:space="preserve"> </v>
      </c>
      <c r="AI331" s="149" t="str">
        <f t="shared" si="838"/>
        <v xml:space="preserve"> </v>
      </c>
      <c r="AK331" s="144" t="str">
        <f t="shared" si="839"/>
        <v xml:space="preserve"> </v>
      </c>
      <c r="AL331" s="144"/>
      <c r="AM331" s="243" t="str">
        <f t="shared" si="840"/>
        <v xml:space="preserve"> </v>
      </c>
      <c r="AN331" s="149" t="str">
        <f t="shared" si="943"/>
        <v xml:space="preserve"> </v>
      </c>
      <c r="AO331" s="144" t="str">
        <f>IF(JB331&gt;0,IF(GI331=10,-R331*1.085*(Calculation!$F$6-Calculation!$F$13)*$S$14," "),"")</f>
        <v/>
      </c>
      <c r="AP331" s="144" t="str">
        <f t="shared" si="841"/>
        <v/>
      </c>
      <c r="AQ331" s="56" t="str">
        <f t="shared" si="842"/>
        <v/>
      </c>
      <c r="AR331" s="144" t="str">
        <f t="shared" si="843"/>
        <v/>
      </c>
      <c r="AS331" s="176" t="str">
        <f t="shared" si="844"/>
        <v/>
      </c>
      <c r="AT331" s="176" t="str">
        <f t="shared" si="944"/>
        <v xml:space="preserve"> </v>
      </c>
      <c r="AU331" s="176" t="str">
        <f t="shared" si="845"/>
        <v/>
      </c>
      <c r="AV331" s="177" t="str">
        <f t="shared" si="846"/>
        <v xml:space="preserve"> </v>
      </c>
      <c r="AW331" s="144" t="str">
        <f t="shared" si="847"/>
        <v xml:space="preserve"> </v>
      </c>
      <c r="AX331" s="144" t="str">
        <f t="shared" si="848"/>
        <v xml:space="preserve"> </v>
      </c>
      <c r="AY331" s="152" t="str">
        <f t="shared" si="849"/>
        <v xml:space="preserve"> </v>
      </c>
      <c r="AZ331" s="246" t="str">
        <f t="shared" si="850"/>
        <v/>
      </c>
      <c r="BA331" s="176" t="str">
        <f t="shared" si="851"/>
        <v xml:space="preserve"> </v>
      </c>
      <c r="BB331" s="176" t="str">
        <f t="shared" si="852"/>
        <v xml:space="preserve"> </v>
      </c>
      <c r="BC331" s="195"/>
      <c r="BD331" s="316"/>
      <c r="BE331" s="317"/>
      <c r="BF331" s="318"/>
      <c r="BG331" s="318"/>
      <c r="BH331" s="144" t="str">
        <f t="shared" si="1021"/>
        <v xml:space="preserve"> </v>
      </c>
      <c r="BI331" s="176" t="str">
        <f t="shared" si="853"/>
        <v/>
      </c>
      <c r="BJ331" s="144" t="str">
        <f t="shared" si="1022"/>
        <v/>
      </c>
      <c r="BK331" s="246" t="str">
        <f t="shared" si="854"/>
        <v/>
      </c>
      <c r="BL331" s="144" t="str">
        <f t="shared" si="1023"/>
        <v/>
      </c>
      <c r="BM331" s="246" t="str">
        <f t="shared" si="855"/>
        <v/>
      </c>
      <c r="BN331" s="337" t="str">
        <f t="shared" si="945"/>
        <v/>
      </c>
      <c r="BO331" s="371" t="str">
        <f t="shared" si="946"/>
        <v/>
      </c>
      <c r="BP331" s="328" t="str">
        <f t="shared" si="1024"/>
        <v xml:space="preserve"> </v>
      </c>
      <c r="BQ331" s="347" t="str">
        <f t="shared" si="947"/>
        <v xml:space="preserve"> </v>
      </c>
      <c r="BR331" s="353" t="str">
        <f t="shared" si="948"/>
        <v xml:space="preserve"> </v>
      </c>
      <c r="BS331" s="626" t="str">
        <f>IF(L331&gt;0,IF(Calculation!P331="M13",BR331*3.1416*(0.134^2)/(4*144),IF(Calculation!P331="M17",BR331*3.1416*(0.165^2)/(4*144),IF(Calculation!P331="M20",BR331*3.1416*(0.198^2)/(4*144),IF(Calculation!P331="M23",BR331*3.1416*(0.228^2)/(4*144),IF(Calculation!P331="M27",BR331*3.1416*(0.269^2)/(4*144),BR331*3.1416*(0.307^2)/(4*144))))))," ")</f>
        <v xml:space="preserve"> </v>
      </c>
      <c r="BT331" s="353" t="str">
        <f>IF(L331&gt;0,IF(BS331&gt;0,R331/Calculation!BS331,0)," ")</f>
        <v xml:space="preserve"> </v>
      </c>
      <c r="BU331" s="438" t="e">
        <f t="shared" ca="1" si="856"/>
        <v>#VALUE!</v>
      </c>
      <c r="BV331" s="449" t="e">
        <f ca="1">INDEX(INDIRECT(VLOOKUP(LEFT(BO331,7),CLU!$Z$3:$AH$18,2)),GN331,GR331)</f>
        <v>#N/A</v>
      </c>
      <c r="BW331" s="433" t="e">
        <f ca="1">INDEX(INDIRECT(VLOOKUP(LEFT(BO331,7),CLU!$Z$3:$AH$18,3)),GN331,GR331)</f>
        <v>#N/A</v>
      </c>
      <c r="BX331" s="433" t="e">
        <f ca="1">INDEX(INDIRECT(VLOOKUP(LEFT(BO331,7),CLU!$Z$3:$AH$18,4)),GN331,GR331)</f>
        <v>#N/A</v>
      </c>
      <c r="BY331" s="433" t="e">
        <f ca="1">INDEX(INDIRECT(VLOOKUP(LEFT(BO331,7),CLU!$Z$3:$AH$18,9)),((M331-2)*(6-COUNTBLANK(GT331:GY331)))+GJ331)</f>
        <v>#N/A</v>
      </c>
      <c r="BZ331" s="426" t="e">
        <f t="shared" ca="1" si="949"/>
        <v>#N/A</v>
      </c>
      <c r="CA331" s="424" t="e">
        <f t="shared" ca="1" si="950"/>
        <v>#N/A</v>
      </c>
      <c r="CB331" s="429" t="e">
        <f ca="1">INDEX(INDIRECT(VLOOKUP(LEFT(BO331,7),CLU!$Z$3:$AH$18,2)),GN331,GS331)</f>
        <v>#N/A</v>
      </c>
      <c r="CC331" s="342" t="e">
        <f ca="1">INDEX(INDIRECT(VLOOKUP(LEFT(BO331,7),CLU!$Z$3:$AH$18,3)),GN331,GS331)</f>
        <v>#N/A</v>
      </c>
      <c r="CD331" s="342" t="e">
        <f ca="1">INDEX(INDIRECT(VLOOKUP(LEFT(BO331,7),CLU!$Z$3:$AH$18,4)),GN331,GS331)</f>
        <v>#N/A</v>
      </c>
      <c r="CE331" s="426" t="e">
        <f t="shared" ca="1" si="951"/>
        <v>#N/A</v>
      </c>
      <c r="CF331" s="440">
        <f t="shared" si="952"/>
        <v>0</v>
      </c>
      <c r="CG331" s="431" t="e">
        <f ca="1">INDEX(INDIRECT(VLOOKUP(LEFT(BO331,7),CLU!$Z$3:$AH$18,2)),GQ331,GR331)</f>
        <v>#N/A</v>
      </c>
      <c r="CH331" s="431" t="e">
        <f ca="1">INDEX(INDIRECT(VLOOKUP(LEFT(BO331,7),CLU!$Z$3:$AH$18,3)),GQ331,GR331)</f>
        <v>#N/A</v>
      </c>
      <c r="CI331" s="431" t="e">
        <f ca="1">INDEX(INDIRECT(VLOOKUP(LEFT(BO331,7),CLU!$Z$3:$AH$18,4)),GQ331,GR331)</f>
        <v>#N/A</v>
      </c>
      <c r="CJ331" s="448" t="e">
        <f t="shared" ca="1" si="953"/>
        <v>#N/A</v>
      </c>
      <c r="CK331" s="431" t="e">
        <f t="shared" ca="1" si="954"/>
        <v>#N/A</v>
      </c>
      <c r="CL331" s="440" t="e">
        <f t="shared" ca="1" si="955"/>
        <v>#N/A</v>
      </c>
      <c r="CM331" s="431" t="e">
        <f ca="1">INDEX(INDIRECT(VLOOKUP(LEFT(BO331,7),CLU!$Z$3:$AH$18,2)),GQ331,GS331)</f>
        <v>#N/A</v>
      </c>
      <c r="CN331" s="431" t="e">
        <f ca="1">INDEX(INDIRECT(VLOOKUP(LEFT(BO331,7),CLU!$Z$3:$AH$18,3)),GQ331,GS331)</f>
        <v>#N/A</v>
      </c>
      <c r="CO331" s="431" t="e">
        <f ca="1">INDEX(INDIRECT(VLOOKUP(LEFT(BO331,7),CLU!$Z$3:$AH$18,4)),GQ331,GS331)</f>
        <v>#N/A</v>
      </c>
      <c r="CP331" s="431" t="e">
        <f t="shared" ca="1" si="956"/>
        <v>#N/A</v>
      </c>
      <c r="CQ331" s="440">
        <f t="shared" si="957"/>
        <v>0</v>
      </c>
      <c r="CR331" s="51" t="e">
        <f t="shared" ca="1" si="958"/>
        <v>#N/A</v>
      </c>
      <c r="CS331" s="439" t="e">
        <f t="shared" ca="1" si="959"/>
        <v>#VALUE!</v>
      </c>
      <c r="CT331" s="51" t="e">
        <f t="shared" ca="1" si="960"/>
        <v>#VALUE!</v>
      </c>
      <c r="CU331" s="10"/>
      <c r="CV331" s="51" t="e">
        <f t="shared" ca="1" si="857"/>
        <v>#VALUE!</v>
      </c>
      <c r="CW331" s="51">
        <f t="shared" si="961"/>
        <v>0</v>
      </c>
      <c r="CX331" s="439" t="e">
        <f t="shared" ca="1" si="962"/>
        <v>#VALUE!</v>
      </c>
      <c r="CY331" s="51" t="e">
        <f t="shared" ca="1" si="963"/>
        <v>#VALUE!</v>
      </c>
      <c r="CZ331" s="10"/>
      <c r="DA331" s="51" t="e">
        <f t="shared" ca="1" si="964"/>
        <v>#VALUE!</v>
      </c>
      <c r="DB331" s="347" t="e">
        <f ca="1">INDEX(INDIRECT(VLOOKUP(LEFT(BO331,7),CLU!$Z$3:$AI$18,10)),((M331-2)*(6-COUNTBLANK(GT331:GY331)))+GJ331)*LI331</f>
        <v>#N/A</v>
      </c>
      <c r="DC331" s="347" t="str">
        <f>IF(L331&gt;0,((R331/Worksheet!$I$15)/DB331)^2," ")</f>
        <v xml:space="preserve"> </v>
      </c>
      <c r="DD331" s="602" t="str">
        <f t="shared" si="965"/>
        <v xml:space="preserve"> </v>
      </c>
      <c r="DE331" s="347" t="str">
        <f t="shared" si="858"/>
        <v xml:space="preserve"> </v>
      </c>
      <c r="DF331" s="356" t="e">
        <f ca="1">INDEX(INDIRECT(VLOOKUP(LEFT(BO331,7),CLU!$Z$3:$AH$18,8)),((M331-2)*(6-COUNTBLANK(GT331:GY331)))+GJ331)</f>
        <v>#N/A</v>
      </c>
      <c r="DG331" s="347" t="str">
        <f t="shared" si="859"/>
        <v xml:space="preserve"> </v>
      </c>
      <c r="DH331" s="357" t="str">
        <f t="shared" si="860"/>
        <v xml:space="preserve"> </v>
      </c>
      <c r="DI331" s="355" t="str">
        <f t="shared" si="861"/>
        <v xml:space="preserve"> </v>
      </c>
      <c r="DJ331" s="245" t="e">
        <f ca="1">INDEX(INDIRECT(VLOOKUP(LEFT(BO331,7),CLU!$Z$3:$AH$18,5)),GL331,GK331)</f>
        <v>#N/A</v>
      </c>
      <c r="DK331" s="245" t="e">
        <f ca="1">INDEX(INDIRECT(VLOOKUP(LEFT(BO331,7),CLU!$Z$3:$AH$18,6)),GL331,GK331)</f>
        <v>#N/A</v>
      </c>
      <c r="DL331" s="355">
        <f>(Calculation!R331*0.69143*(Calculation!$BQ$8-Calculation!$F$8))*$S$14</f>
        <v>0</v>
      </c>
      <c r="DM331" s="359" t="e">
        <f t="shared" si="966"/>
        <v>#VALUE!</v>
      </c>
      <c r="DN331" s="611">
        <f t="shared" si="967"/>
        <v>0</v>
      </c>
      <c r="DO331" s="359">
        <f t="shared" si="968"/>
        <v>100</v>
      </c>
      <c r="DP331" s="359">
        <f t="shared" si="969"/>
        <v>0</v>
      </c>
      <c r="DQ331" s="360"/>
      <c r="DR331" s="245" t="e">
        <f ca="1">INDEX(INDIRECT(VLOOKUP(LEFT(BO331,7),CLU!$Z$3:$AH$18,7)),M331-1,1)</f>
        <v>#N/A</v>
      </c>
      <c r="DS331" s="245" t="e">
        <f ca="1">INDEX(INDIRECT(VLOOKUP(LEFT(BO331,7),CLU!$Z$3:$AH$18,7)),M331-1,2)</f>
        <v>#N/A</v>
      </c>
      <c r="DT331" s="245" t="e">
        <f ca="1">INDEX(INDIRECT(VLOOKUP(LEFT(BO331,7),CLU!$Z$3:$AH$18,7)),M331-1,3)</f>
        <v>#N/A</v>
      </c>
      <c r="DU331" s="245" t="e">
        <f ca="1">INDEX(INDIRECT(VLOOKUP(LEFT(BO331,7),CLU!$Z$3:$AH$18,7)),M331-1,4)</f>
        <v>#N/A</v>
      </c>
      <c r="DV331" s="361" t="e">
        <f ca="1">INDEX(INDIRECT(VLOOKUP(LEFT(BO331,7),CLU!$Z$3:$AH$18,7)),M331-1,4+LEFT(DZ331,1)*0.5)</f>
        <v>#N/A</v>
      </c>
      <c r="DW331" s="245" t="e">
        <f ca="1">INDEX(INDIRECT(VLOOKUP(LEFT(BO331,7),CLU!$Z$3:$AH$18,7)),M331-1,8)</f>
        <v>#N/A</v>
      </c>
      <c r="DX331" s="361" t="str">
        <f t="shared" si="862"/>
        <v xml:space="preserve"> </v>
      </c>
      <c r="DY331" s="361" t="str">
        <f t="shared" si="863"/>
        <v xml:space="preserve"> </v>
      </c>
      <c r="DZ331" s="361" t="str">
        <f t="shared" si="864"/>
        <v xml:space="preserve"> </v>
      </c>
      <c r="EA331" s="362" t="str">
        <f t="shared" si="865"/>
        <v xml:space="preserve"> </v>
      </c>
      <c r="EB331" s="624" t="str">
        <f t="shared" si="970"/>
        <v xml:space="preserve"> </v>
      </c>
      <c r="EC331" s="361" t="e">
        <f ca="1">INDEX(INDIRECT(VLOOKUP(LEFT(BO331,7),CLU!$Z$3:$AH$18,7)),M331-1,4+LEFT(DZ331,1)*0.5)</f>
        <v>#N/A</v>
      </c>
      <c r="ED331" s="362" t="str">
        <f t="shared" si="866"/>
        <v xml:space="preserve"> </v>
      </c>
      <c r="EE331" s="361" t="str">
        <f t="shared" si="867"/>
        <v xml:space="preserve"> </v>
      </c>
      <c r="EF331" s="362" t="str">
        <f>IF(L331&gt;0,IF(BR331&gt;0,IF(EE331="2P",IF(Calculation!DZ331="2P",IF(Calculation!DS331=13.75,IF(Calculation!DR331=13,Worksheet!$BD$43,IF(Calculation!DR331=37,Worksheet!$BD$44,Worksheet!$BD$45)),IF(Calculation!DS331=10,IF(Calculation!DR331=18,Worksheet!$BD$29,IF(Calculation!DR331=30,Worksheet!$BD$30,IF(Calculation!DR331=42,Worksheet!$BD$31,IF(Calculation!DR331=54,Worksheet!$BD$32,IF(Calculation!DR331=66,Worksheet!$BD$33,IF(Calculation!DR331=78,Worksheet!$BD$34,IF(Calculation!DR331=90,Worksheet!$BD$35,IF(Calculation!DR331=102,Worksheet!$BD$36,Worksheet!$BD$37)))))))),IF(Calculation!DS331=12.5,IF(Calculation!DR331=18,Worksheet!$BD$38,IF(Calculation!DR331=Worksheet!$BD$39,IF(Calculation!DR331=42,Worksheet!$BD$40,IF(Calculation!DR331=54,Worksheet!$BD$41,Worksheet!$BD$42)))),IF(Calculation!DR331=18,Worksheet!$BD$11,IF(Calculation!DR331=30,Worksheet!$BD$12,IF(Calculation!DR331=42,Worksheet!$BD$13,IF(Calculation!DR331=54,Worksheet!$BD$14,IF(Calculation!DR331=66,Worksheet!$BD$15,IF(Calculation!DR331=78,Worksheet!$BD$16,IF(Calculation!DR331=90,Worksheet!$BD$17,IF(Calculation!DR331=102,Worksheet!$BD$18,Worksheet!$BD$19))))))))))),IF(Calculation!DS331=13.75,IF(Calculation!DR331=13,Worksheet!$BD$78,IF(Calculation!DR331=37,Worksheet!$BD$79,Worksheet!$BD$80)),IF(Calculation!DS331=10,IF(Calculation!DR331=18,Worksheet!$BD$64,IF(Calculation!DR331=30,Worksheet!$BD$65,IF(Calculation!DR331=42,Worksheet!$BD$66,IF(Calculation!DR331=54,Worksheet!$BD$68,IF(Calculation!DR331=66,Worksheet!$BD$68,IF(Calculation!DR331=78,Worksheet!$BD$69,IF(Calculation!DR331=90,Worksheet!$BD$70,IF(Calculation!DR331=102,Worksheet!$BD$71,Worksheet!$BD$72)))))))),IF(Calculation!DS331=12.5,IF(Calculation!DR331=18,Worksheet!$BD$73,IF(Calculation!DR331=Worksheet!$BD$74,IF(Calculation!DR331=42,Worksheet!$BD$75,IF(Calculation!DR331=54,Worksheet!$BD$76,Worksheet!$BD$77)))),IF(Calculation!DR331=18,Worksheet!$BD$55,IF(Calculation!DR331=30,Worksheet!$BD$56,IF(Calculation!DR331=42,Worksheet!$BD$57,IF(Calculation!DR331=54,Worksheet!$BD$58,IF(Calculation!DR331=66,Worksheet!$BD$59,IF(Calculation!DR331=78,Worksheet!$BD$60,IF(Calculation!DR331=90,Worksheet!$BD$61,IF(Calculation!DR331=102,Worksheet!$BD$62,Worksheet!$BD$63)))))))))))),5),0)," ")</f>
        <v xml:space="preserve"> </v>
      </c>
      <c r="EG331" s="361" t="str">
        <f t="shared" si="868"/>
        <v xml:space="preserve"> </v>
      </c>
      <c r="EH331" s="361" t="e">
        <f ca="1">INDEX(INDIRECT(VLOOKUP(LEFT(BO331,7),CLU!$Z$3:$AH$18,7)),M331-1,3+LEFT(DZ331,1))</f>
        <v>#N/A</v>
      </c>
      <c r="EI331" s="362" t="str">
        <f t="shared" si="869"/>
        <v xml:space="preserve"> </v>
      </c>
      <c r="EJ331" s="363" t="str">
        <f t="shared" si="870"/>
        <v xml:space="preserve"> </v>
      </c>
      <c r="EK331" s="363" t="str">
        <f t="shared" si="871"/>
        <v xml:space="preserve"> </v>
      </c>
      <c r="EL331" s="363" t="str">
        <f t="shared" si="872"/>
        <v xml:space="preserve"> </v>
      </c>
      <c r="EM331" s="362" t="str">
        <f>IF(L331&gt;0,IF(BR331&gt;0,(Calculation!T331/ED331)^2,0)," ")</f>
        <v xml:space="preserve"> </v>
      </c>
      <c r="EN331" s="362" t="str">
        <f>IF(L331&gt;0,IF(O331="2 Pipe (Cooling)","N/A",IF(BR331&gt;0,(Calculation!U331/EI331)^2,0))," ")</f>
        <v xml:space="preserve"> </v>
      </c>
      <c r="EO331" s="361" t="str">
        <f t="shared" si="873"/>
        <v/>
      </c>
      <c r="EP331" s="361" t="str">
        <f t="shared" si="874"/>
        <v/>
      </c>
      <c r="EQ331" s="361" t="str">
        <f t="shared" si="875"/>
        <v/>
      </c>
      <c r="ER331" s="361" t="str">
        <f t="shared" si="876"/>
        <v/>
      </c>
      <c r="ES331" s="361" t="str">
        <f t="shared" si="877"/>
        <v/>
      </c>
      <c r="ET331" s="361" t="str">
        <f t="shared" si="878"/>
        <v/>
      </c>
      <c r="EU331" s="361" t="str">
        <f t="shared" si="879"/>
        <v/>
      </c>
      <c r="EV331" s="361" t="str">
        <f t="shared" si="880"/>
        <v/>
      </c>
      <c r="EW331" s="361" t="str">
        <f t="shared" si="881"/>
        <v/>
      </c>
      <c r="EX331" s="361" t="str">
        <f t="shared" si="971"/>
        <v>1 slot, 1 way</v>
      </c>
      <c r="EY331" s="361" t="str">
        <f t="shared" si="972"/>
        <v xml:space="preserve"> </v>
      </c>
      <c r="EZ331" s="361" t="str">
        <f t="shared" si="973"/>
        <v xml:space="preserve"> </v>
      </c>
      <c r="FA331" s="361" t="str">
        <f t="shared" si="974"/>
        <v xml:space="preserve"> </v>
      </c>
      <c r="FB331" s="361" t="str">
        <f t="shared" si="975"/>
        <v xml:space="preserve"> </v>
      </c>
      <c r="FC331" s="361"/>
      <c r="FD331" s="361" t="str">
        <f>IF(J331&gt;0,IF(Calculation!R331&lt;=70,4,IF(Calculation!R331&lt;=110,5,IF(Calculation!R331&lt;=160,6,IF(Calculation!R331&lt;=300,8,"10 EO")))),"")</f>
        <v/>
      </c>
      <c r="FE331" s="361" t="str">
        <f t="shared" si="976"/>
        <v/>
      </c>
      <c r="FF331" s="361" t="str">
        <f t="shared" si="977"/>
        <v/>
      </c>
      <c r="FG331" s="361" t="e">
        <f t="shared" si="882"/>
        <v>#N/A</v>
      </c>
      <c r="FH331" s="361">
        <f t="shared" si="883"/>
        <v>0</v>
      </c>
      <c r="FI331" s="361" t="e">
        <f t="shared" si="884"/>
        <v>#DIV/0!</v>
      </c>
      <c r="FJ331" s="361"/>
      <c r="FK331" s="356" t="e">
        <f t="shared" si="885"/>
        <v>#VALUE!</v>
      </c>
      <c r="FL331" s="361"/>
      <c r="FM331" s="361"/>
      <c r="FN331" s="362" t="str">
        <f t="shared" si="978"/>
        <v xml:space="preserve"> </v>
      </c>
      <c r="FO331" s="362" t="str">
        <f t="shared" si="979"/>
        <v xml:space="preserve"> </v>
      </c>
      <c r="FP331" s="362">
        <f t="shared" si="980"/>
        <v>0</v>
      </c>
      <c r="FQ331" s="361">
        <f t="shared" si="886"/>
        <v>0</v>
      </c>
      <c r="FR331" s="362" t="str">
        <f>IF(L331&gt;0,IF(J331="CBAL2",Worksheet!$P$67,IF(J331="CBE2-24",Worksheet!$Q$67,IF(J331="CBAM",Worksheet!$R$67,IF(J331="CBLV",Worksheet!$S$67,IF(J331="CBAB",Worksheet!$U$67,IF(J331="CBAW",Worksheet!$X$67,IF(J331="CBE2-12",Worksheet!$Y$67,IF(J331="CBAL2",Worksheet!$Z$67,"N/A"))))))))," ")</f>
        <v xml:space="preserve"> </v>
      </c>
      <c r="FS331" s="362" t="str">
        <f>IF(L331&gt;0,IF(J331="CBAL2",Worksheet!$P$68,IF(J331="CBE2-24",Worksheet!$Q$68,IF(J331="CBAM",Worksheet!$R$68,IF(J331="CBLV",Worksheet!$S$68,IF(J331="CBAB",Worksheet!$U$68,IF(J331="CBAW",Worksheet!$X$68,IF(J331="CBE2-12",Worksheet!$Y$68,IF(J331="CBAL2",Worksheet!$Z$68,"N/A"))))))))," ")</f>
        <v xml:space="preserve"> </v>
      </c>
      <c r="FT331" s="362" t="str">
        <f>IF(L331&gt;0,IF(J331="CBAL2",Worksheet!$P$69,IF(J331="CBE2-24",Worksheet!$Q$69,IF(J331="CBAM",Worksheet!$R$69,IF(J331="CBLV",Worksheet!$S$69,IF(J331="CBAB",Worksheet!$U$69,IF(J331="CBAW",Worksheet!$X$69,IF(J331="CBE2-12",Worksheet!$Y$69,IF(J331="CBAL2",Worksheet!$Z$69,"N/A"))))))))," ")</f>
        <v xml:space="preserve"> </v>
      </c>
      <c r="FU331" s="361" t="str">
        <f t="shared" si="981"/>
        <v xml:space="preserve"> </v>
      </c>
      <c r="FV331" s="362" t="str">
        <f t="shared" si="982"/>
        <v xml:space="preserve"> </v>
      </c>
      <c r="FW331" s="362" t="str">
        <f t="shared" si="983"/>
        <v xml:space="preserve"> </v>
      </c>
      <c r="FX331" s="362" t="str">
        <f t="shared" si="984"/>
        <v xml:space="preserve"> </v>
      </c>
      <c r="FY331" s="355" t="str">
        <f t="shared" si="985"/>
        <v xml:space="preserve"> </v>
      </c>
      <c r="FZ331" s="361" t="str">
        <f t="shared" si="986"/>
        <v xml:space="preserve"> </v>
      </c>
      <c r="GA331" s="347" t="str">
        <f t="shared" si="987"/>
        <v xml:space="preserve"> </v>
      </c>
      <c r="GB331" s="355" t="str">
        <f t="shared" si="988"/>
        <v xml:space="preserve"> </v>
      </c>
      <c r="GC331" s="328" t="str">
        <f t="shared" si="989"/>
        <v xml:space="preserve"> </v>
      </c>
      <c r="GD331" s="361" t="str">
        <f t="shared" si="990"/>
        <v xml:space="preserve"> </v>
      </c>
      <c r="GE331" s="347" t="str">
        <f t="shared" si="991"/>
        <v xml:space="preserve"> </v>
      </c>
      <c r="GF331" s="361" t="str">
        <f t="shared" si="992"/>
        <v xml:space="preserve"> </v>
      </c>
      <c r="GG331" s="347" t="str">
        <f t="shared" si="993"/>
        <v xml:space="preserve"> </v>
      </c>
      <c r="GH331" s="364">
        <f t="shared" si="887"/>
        <v>0</v>
      </c>
      <c r="GI331" s="362">
        <f t="shared" si="994"/>
        <v>2</v>
      </c>
      <c r="GJ331" s="433" t="e">
        <f>IF(6-COUNTBLANK(GT331:GY331)=4,MATCH(MID(BO331,9,3),CLU!$H$16:$K$16),MATCH(MID(BO331,9,3),CLU!$H$13:$M$13))</f>
        <v>#N/A</v>
      </c>
      <c r="GK331" s="433" t="e">
        <f>HLOOKUP(VALUE(BP331),CLU!$H$9:$M$10,2)</f>
        <v>#VALUE!</v>
      </c>
      <c r="GL331" s="433" t="e">
        <f ca="1">MATCH(BU331,CLU!$H$2:$V$2,1)</f>
        <v>#VALUE!</v>
      </c>
      <c r="GM331" s="433" t="e">
        <f t="shared" ca="1" si="995"/>
        <v>#VALUE!</v>
      </c>
      <c r="GN331" s="433" t="e">
        <f t="shared" ca="1" si="996"/>
        <v>#VALUE!</v>
      </c>
      <c r="GO331" s="433" t="e">
        <f t="shared" ca="1" si="997"/>
        <v>#VALUE!</v>
      </c>
      <c r="GP331" s="433" t="e">
        <f t="shared" ca="1" si="998"/>
        <v>#VALUE!</v>
      </c>
      <c r="GQ331" s="433" t="e">
        <f t="shared" ca="1" si="999"/>
        <v>#VALUE!</v>
      </c>
      <c r="GR331" s="433" t="e">
        <f ca="1">MATCH(T331,INDIRECT(VLOOKUP(CONCATENATE(LEFT(BO331,7),"-",MID(BO331,13,1)),CLU!$P$3:$Q$16,2)),1)</f>
        <v>#N/A</v>
      </c>
      <c r="GS331" s="433" t="e">
        <f ca="1">MATCH(U331,INDIRECT(VLOOKUP(CONCATENATE(LEFT(BO331,7),"-",MID(BO331,13,1)),CLU!$P$3:$Q$16,2)),1)</f>
        <v>#N/A</v>
      </c>
      <c r="GT331" s="347" t="s">
        <v>512</v>
      </c>
      <c r="GU331" s="97" t="s">
        <v>513</v>
      </c>
      <c r="GV331" s="97" t="str">
        <f t="shared" si="1000"/>
        <v>M23</v>
      </c>
      <c r="GW331" s="97" t="str">
        <f t="shared" si="1001"/>
        <v>M31</v>
      </c>
      <c r="GX331" s="97" t="str">
        <f t="shared" si="1002"/>
        <v/>
      </c>
      <c r="GY331" s="97" t="str">
        <f t="shared" si="1003"/>
        <v/>
      </c>
      <c r="GZ331" s="481"/>
      <c r="HA331" s="240"/>
      <c r="HB331" s="240"/>
      <c r="HC331" s="240"/>
      <c r="HD331" s="240"/>
      <c r="HE331" s="240"/>
      <c r="HF331" s="240"/>
      <c r="HG331" s="240"/>
      <c r="HH331" s="240"/>
      <c r="HI331" s="240"/>
      <c r="HJ331" s="240"/>
      <c r="HK331" s="240"/>
      <c r="HL331" s="240"/>
      <c r="HM331" s="240"/>
      <c r="HN331" s="240"/>
      <c r="HO331" s="240"/>
      <c r="HP331" s="240"/>
      <c r="HQ331" s="240"/>
      <c r="HR331" s="240"/>
      <c r="HS331" s="240"/>
      <c r="HT331" s="240"/>
      <c r="HU331" s="240"/>
      <c r="HV331" s="245"/>
      <c r="HW331" s="245" t="b">
        <v>1</v>
      </c>
      <c r="HX331" s="245" t="str">
        <f t="shared" si="888"/>
        <v/>
      </c>
      <c r="HY331" s="245" t="e">
        <f t="shared" si="889"/>
        <v>#DIV/0!</v>
      </c>
      <c r="HZ331" s="245" t="e">
        <f t="shared" si="890"/>
        <v>#DIV/0!</v>
      </c>
      <c r="IA331" s="245">
        <f t="shared" si="891"/>
        <v>0</v>
      </c>
      <c r="IB331" s="245"/>
      <c r="IC331" t="b">
        <f t="shared" si="892"/>
        <v>1</v>
      </c>
      <c r="ID331" s="245" t="b">
        <f t="shared" si="893"/>
        <v>1</v>
      </c>
      <c r="IE331" s="245" t="b">
        <f t="shared" si="894"/>
        <v>1</v>
      </c>
      <c r="IF331" s="245" t="b">
        <f t="shared" si="895"/>
        <v>0</v>
      </c>
      <c r="IG331" s="245" t="b">
        <f t="shared" si="896"/>
        <v>1</v>
      </c>
      <c r="IH331" s="245" t="b">
        <f t="shared" si="897"/>
        <v>1</v>
      </c>
      <c r="II331" s="245">
        <f t="shared" si="1004"/>
        <v>0</v>
      </c>
      <c r="IJ331" s="245" t="e">
        <f t="shared" si="898"/>
        <v>#VALUE!</v>
      </c>
      <c r="IK331" s="245" t="e">
        <f t="shared" si="899"/>
        <v>#VALUE!</v>
      </c>
      <c r="IL331" s="245"/>
      <c r="IM331" s="245" t="e">
        <f t="shared" si="1005"/>
        <v>#N/A</v>
      </c>
      <c r="IN331" s="245" t="e">
        <f t="shared" si="1006"/>
        <v>#N/A</v>
      </c>
      <c r="IO331" s="245"/>
      <c r="IP331" s="245"/>
      <c r="IQ331" s="245" t="str">
        <f t="shared" si="900"/>
        <v/>
      </c>
      <c r="IR331" s="245" t="str">
        <f>IF(J331="","",VLOOKUP(J331,Worksheet!$R$4:$T$14,2))</f>
        <v/>
      </c>
      <c r="IS331" s="245"/>
      <c r="IT331" s="245">
        <f t="shared" si="901"/>
        <v>0</v>
      </c>
      <c r="IU331" s="245">
        <f t="shared" si="902"/>
        <v>0</v>
      </c>
      <c r="IV331" s="245">
        <f t="shared" si="903"/>
        <v>0</v>
      </c>
      <c r="IW331" s="245">
        <f t="shared" si="904"/>
        <v>0</v>
      </c>
      <c r="IX331" s="245">
        <f t="shared" si="1007"/>
        <v>0</v>
      </c>
      <c r="IY331" s="245">
        <f t="shared" si="905"/>
        <v>0</v>
      </c>
      <c r="IZ331" s="245">
        <f t="shared" si="906"/>
        <v>0</v>
      </c>
      <c r="JA331">
        <f t="shared" si="907"/>
        <v>0</v>
      </c>
      <c r="JB331">
        <f t="shared" si="1008"/>
        <v>0</v>
      </c>
      <c r="JC331">
        <f t="shared" si="908"/>
        <v>0</v>
      </c>
      <c r="JD331">
        <f t="shared" si="909"/>
        <v>0</v>
      </c>
      <c r="JE331">
        <f t="shared" si="910"/>
        <v>0</v>
      </c>
      <c r="JF331">
        <f t="shared" si="911"/>
        <v>0</v>
      </c>
      <c r="JG331">
        <f t="shared" si="912"/>
        <v>0</v>
      </c>
      <c r="JH331">
        <f t="shared" si="913"/>
        <v>0</v>
      </c>
      <c r="JI331">
        <f t="shared" si="914"/>
        <v>0</v>
      </c>
      <c r="JJ331" s="447">
        <f t="shared" si="915"/>
        <v>0</v>
      </c>
      <c r="JK331" s="447">
        <f t="shared" si="916"/>
        <v>0</v>
      </c>
      <c r="JL331">
        <f t="shared" si="917"/>
        <v>0</v>
      </c>
      <c r="JM331" s="245" t="str">
        <f>IFERROR(VLOOKUP(MATCH(BN331,#REF!,0),#REF!,7),"")</f>
        <v/>
      </c>
      <c r="JN331" t="e">
        <f>HLOOKUP(LEFT(BO331,7),Discharge_Area,MATCH(JO331,LookUps!$B$130:$B$149,1)+2)</f>
        <v>#N/A</v>
      </c>
      <c r="JO331" t="str">
        <f t="shared" si="918"/>
        <v>- S</v>
      </c>
      <c r="JP331" t="e">
        <f>HLOOKUP(LEFT(BO331,7),Discharge_Area,MATCH(JO331,LookUps!$B$130:$B$149,1)+2)</f>
        <v>#N/A</v>
      </c>
      <c r="JQ331" t="e">
        <f t="shared" si="919"/>
        <v>#N/A</v>
      </c>
      <c r="JR331" t="e">
        <f t="shared" si="920"/>
        <v>#N/A</v>
      </c>
      <c r="JS331" t="e">
        <f t="shared" si="921"/>
        <v>#N/A</v>
      </c>
      <c r="JT331" s="532" t="str">
        <f t="shared" si="922"/>
        <v xml:space="preserve"> </v>
      </c>
      <c r="JU331" s="532" t="str">
        <f t="shared" si="923"/>
        <v xml:space="preserve"> </v>
      </c>
      <c r="JV331" s="533" t="str">
        <f t="shared" si="924"/>
        <v xml:space="preserve"> </v>
      </c>
      <c r="JW331" s="534">
        <f t="shared" si="925"/>
        <v>0</v>
      </c>
      <c r="JX331" s="535" t="str">
        <f t="shared" si="1009"/>
        <v xml:space="preserve"> </v>
      </c>
      <c r="JY331" s="535" t="str">
        <f t="shared" si="1010"/>
        <v xml:space="preserve"> </v>
      </c>
      <c r="JZ331" s="535" t="str">
        <f t="shared" si="1011"/>
        <v xml:space="preserve"> </v>
      </c>
      <c r="KA331" s="536" t="str">
        <f t="shared" si="926"/>
        <v xml:space="preserve"> </v>
      </c>
      <c r="KB331" s="535" t="e">
        <f t="shared" si="1012"/>
        <v>#VALUE!</v>
      </c>
      <c r="KC331" s="535" t="str">
        <f t="shared" si="927"/>
        <v/>
      </c>
      <c r="KD331" s="537" t="str">
        <f t="shared" si="1013"/>
        <v xml:space="preserve"> </v>
      </c>
      <c r="KE331" s="537" t="str">
        <f t="shared" si="1014"/>
        <v xml:space="preserve"> </v>
      </c>
      <c r="KF331" s="534">
        <f t="shared" si="928"/>
        <v>0</v>
      </c>
      <c r="KG331" s="535" t="str">
        <f t="shared" si="929"/>
        <v xml:space="preserve"> </v>
      </c>
      <c r="KH331" s="535" t="str">
        <f t="shared" si="930"/>
        <v xml:space="preserve"> </v>
      </c>
      <c r="KI331" s="535" t="str">
        <f t="shared" si="931"/>
        <v xml:space="preserve"> </v>
      </c>
      <c r="KJ331" s="536" t="str">
        <f t="shared" si="932"/>
        <v xml:space="preserve"> </v>
      </c>
      <c r="KK331" s="535" t="str">
        <f t="shared" si="1015"/>
        <v xml:space="preserve"> </v>
      </c>
      <c r="KL331" s="535" t="str">
        <f t="shared" si="1016"/>
        <v xml:space="preserve"> </v>
      </c>
      <c r="KM331" s="537" t="str">
        <f t="shared" si="933"/>
        <v xml:space="preserve"> </v>
      </c>
      <c r="KN331" s="537" t="str">
        <f t="shared" si="1017"/>
        <v xml:space="preserve"> </v>
      </c>
      <c r="KP331">
        <f t="shared" si="934"/>
        <v>0</v>
      </c>
      <c r="LA331" t="e">
        <f t="shared" si="935"/>
        <v>#VALUE!</v>
      </c>
      <c r="LB331" t="e">
        <f t="shared" si="936"/>
        <v>#VALUE!</v>
      </c>
      <c r="LC331" t="e">
        <f t="shared" si="937"/>
        <v>#VALUE!</v>
      </c>
      <c r="LD331" t="e">
        <f t="shared" si="938"/>
        <v>#VALUE!</v>
      </c>
      <c r="LE331" t="e">
        <f t="shared" si="1018"/>
        <v>#VALUE!</v>
      </c>
      <c r="LF331">
        <f t="shared" si="939"/>
        <v>0</v>
      </c>
      <c r="LG331" t="e">
        <f t="shared" si="1019"/>
        <v>#VALUE!</v>
      </c>
      <c r="LH331" t="str">
        <f t="shared" si="940"/>
        <v xml:space="preserve"> </v>
      </c>
      <c r="LI331">
        <f t="shared" si="1020"/>
        <v>1</v>
      </c>
    </row>
    <row r="332" spans="2:321" ht="15" customHeight="1">
      <c r="B332" s="311"/>
      <c r="C332" s="311"/>
      <c r="D332" s="312"/>
      <c r="E332" s="311"/>
      <c r="F332" s="312"/>
      <c r="G332" s="311"/>
      <c r="H332" s="311"/>
      <c r="I332" s="232"/>
      <c r="J332" s="311"/>
      <c r="K332" s="305" t="str">
        <f t="shared" si="941"/>
        <v/>
      </c>
      <c r="L332" s="313"/>
      <c r="M332" s="312"/>
      <c r="N332" s="311"/>
      <c r="O332" s="312"/>
      <c r="P332" s="311"/>
      <c r="Q332" s="305" t="str">
        <f t="shared" si="942"/>
        <v/>
      </c>
      <c r="R332" s="314"/>
      <c r="S332" s="450" t="str">
        <f t="shared" si="825"/>
        <v/>
      </c>
      <c r="T332" s="315"/>
      <c r="U332" s="315"/>
      <c r="W332" s="149" t="str">
        <f t="shared" si="826"/>
        <v xml:space="preserve"> </v>
      </c>
      <c r="X332" s="243" t="str">
        <f t="shared" si="827"/>
        <v xml:space="preserve"> </v>
      </c>
      <c r="Y332" s="150" t="str">
        <f t="shared" si="828"/>
        <v/>
      </c>
      <c r="Z332" s="149" t="str">
        <f t="shared" si="829"/>
        <v xml:space="preserve"> </v>
      </c>
      <c r="AA332" s="98" t="str">
        <f t="shared" si="830"/>
        <v xml:space="preserve"> </v>
      </c>
      <c r="AB332" s="153" t="str">
        <f t="shared" si="831"/>
        <v xml:space="preserve"> </v>
      </c>
      <c r="AC332" s="153" t="str">
        <f t="shared" si="832"/>
        <v xml:space="preserve"> </v>
      </c>
      <c r="AD332" s="148" t="str">
        <f t="shared" si="833"/>
        <v/>
      </c>
      <c r="AE332" s="149" t="str">
        <f t="shared" si="834"/>
        <v/>
      </c>
      <c r="AF332" s="151" t="str">
        <f t="shared" si="835"/>
        <v xml:space="preserve"> </v>
      </c>
      <c r="AG332" s="153" t="str">
        <f t="shared" si="836"/>
        <v xml:space="preserve"> </v>
      </c>
      <c r="AH332" s="98" t="str">
        <f t="shared" si="837"/>
        <v xml:space="preserve"> </v>
      </c>
      <c r="AI332" s="149" t="str">
        <f t="shared" si="838"/>
        <v xml:space="preserve"> </v>
      </c>
      <c r="AK332" s="144" t="str">
        <f t="shared" si="839"/>
        <v xml:space="preserve"> </v>
      </c>
      <c r="AL332" s="144"/>
      <c r="AM332" s="243" t="str">
        <f t="shared" si="840"/>
        <v xml:space="preserve"> </v>
      </c>
      <c r="AN332" s="149" t="str">
        <f t="shared" si="943"/>
        <v xml:space="preserve"> </v>
      </c>
      <c r="AO332" s="144" t="str">
        <f>IF(JB332&gt;0,IF(GI332=10,-R332*1.085*(Calculation!$F$6-Calculation!$F$13)*$S$14," "),"")</f>
        <v/>
      </c>
      <c r="AP332" s="144" t="str">
        <f t="shared" si="841"/>
        <v/>
      </c>
      <c r="AQ332" s="56" t="str">
        <f t="shared" si="842"/>
        <v/>
      </c>
      <c r="AR332" s="144" t="str">
        <f t="shared" si="843"/>
        <v/>
      </c>
      <c r="AS332" s="176" t="str">
        <f t="shared" si="844"/>
        <v/>
      </c>
      <c r="AT332" s="176" t="str">
        <f t="shared" si="944"/>
        <v xml:space="preserve"> </v>
      </c>
      <c r="AU332" s="176" t="str">
        <f t="shared" si="845"/>
        <v/>
      </c>
      <c r="AV332" s="177" t="str">
        <f t="shared" si="846"/>
        <v xml:space="preserve"> </v>
      </c>
      <c r="AW332" s="144" t="str">
        <f t="shared" si="847"/>
        <v xml:space="preserve"> </v>
      </c>
      <c r="AX332" s="144" t="str">
        <f t="shared" si="848"/>
        <v xml:space="preserve"> </v>
      </c>
      <c r="AY332" s="152" t="str">
        <f t="shared" si="849"/>
        <v xml:space="preserve"> </v>
      </c>
      <c r="AZ332" s="246" t="str">
        <f t="shared" si="850"/>
        <v/>
      </c>
      <c r="BA332" s="176" t="str">
        <f t="shared" si="851"/>
        <v xml:space="preserve"> </v>
      </c>
      <c r="BB332" s="176" t="str">
        <f t="shared" si="852"/>
        <v xml:space="preserve"> </v>
      </c>
      <c r="BC332" s="195"/>
      <c r="BD332" s="316"/>
      <c r="BE332" s="317"/>
      <c r="BF332" s="318"/>
      <c r="BG332" s="318"/>
      <c r="BH332" s="144" t="str">
        <f t="shared" si="1021"/>
        <v xml:space="preserve"> </v>
      </c>
      <c r="BI332" s="176" t="str">
        <f t="shared" si="853"/>
        <v/>
      </c>
      <c r="BJ332" s="144" t="str">
        <f t="shared" si="1022"/>
        <v/>
      </c>
      <c r="BK332" s="246" t="str">
        <f t="shared" si="854"/>
        <v/>
      </c>
      <c r="BL332" s="144" t="str">
        <f t="shared" si="1023"/>
        <v/>
      </c>
      <c r="BM332" s="246" t="str">
        <f t="shared" si="855"/>
        <v/>
      </c>
      <c r="BN332" s="337" t="str">
        <f t="shared" si="945"/>
        <v/>
      </c>
      <c r="BO332" s="371" t="str">
        <f t="shared" si="946"/>
        <v/>
      </c>
      <c r="BP332" s="328" t="str">
        <f t="shared" si="1024"/>
        <v xml:space="preserve"> </v>
      </c>
      <c r="BQ332" s="347" t="str">
        <f t="shared" si="947"/>
        <v xml:space="preserve"> </v>
      </c>
      <c r="BR332" s="353" t="str">
        <f t="shared" si="948"/>
        <v xml:space="preserve"> </v>
      </c>
      <c r="BS332" s="626" t="str">
        <f>IF(L332&gt;0,IF(Calculation!P332="M13",BR332*3.1416*(0.134^2)/(4*144),IF(Calculation!P332="M17",BR332*3.1416*(0.165^2)/(4*144),IF(Calculation!P332="M20",BR332*3.1416*(0.198^2)/(4*144),IF(Calculation!P332="M23",BR332*3.1416*(0.228^2)/(4*144),IF(Calculation!P332="M27",BR332*3.1416*(0.269^2)/(4*144),BR332*3.1416*(0.307^2)/(4*144))))))," ")</f>
        <v xml:space="preserve"> </v>
      </c>
      <c r="BT332" s="353" t="str">
        <f>IF(L332&gt;0,IF(BS332&gt;0,R332/Calculation!BS332,0)," ")</f>
        <v xml:space="preserve"> </v>
      </c>
      <c r="BU332" s="438" t="e">
        <f t="shared" ca="1" si="856"/>
        <v>#VALUE!</v>
      </c>
      <c r="BV332" s="449" t="e">
        <f ca="1">INDEX(INDIRECT(VLOOKUP(LEFT(BO332,7),CLU!$Z$3:$AH$18,2)),GN332,GR332)</f>
        <v>#N/A</v>
      </c>
      <c r="BW332" s="433" t="e">
        <f ca="1">INDEX(INDIRECT(VLOOKUP(LEFT(BO332,7),CLU!$Z$3:$AH$18,3)),GN332,GR332)</f>
        <v>#N/A</v>
      </c>
      <c r="BX332" s="433" t="e">
        <f ca="1">INDEX(INDIRECT(VLOOKUP(LEFT(BO332,7),CLU!$Z$3:$AH$18,4)),GN332,GR332)</f>
        <v>#N/A</v>
      </c>
      <c r="BY332" s="433" t="e">
        <f ca="1">INDEX(INDIRECT(VLOOKUP(LEFT(BO332,7),CLU!$Z$3:$AH$18,9)),((M332-2)*(6-COUNTBLANK(GT332:GY332)))+GJ332)</f>
        <v>#N/A</v>
      </c>
      <c r="BZ332" s="426" t="e">
        <f t="shared" ca="1" si="949"/>
        <v>#N/A</v>
      </c>
      <c r="CA332" s="424" t="e">
        <f t="shared" ca="1" si="950"/>
        <v>#N/A</v>
      </c>
      <c r="CB332" s="429" t="e">
        <f ca="1">INDEX(INDIRECT(VLOOKUP(LEFT(BO332,7),CLU!$Z$3:$AH$18,2)),GN332,GS332)</f>
        <v>#N/A</v>
      </c>
      <c r="CC332" s="342" t="e">
        <f ca="1">INDEX(INDIRECT(VLOOKUP(LEFT(BO332,7),CLU!$Z$3:$AH$18,3)),GN332,GS332)</f>
        <v>#N/A</v>
      </c>
      <c r="CD332" s="342" t="e">
        <f ca="1">INDEX(INDIRECT(VLOOKUP(LEFT(BO332,7),CLU!$Z$3:$AH$18,4)),GN332,GS332)</f>
        <v>#N/A</v>
      </c>
      <c r="CE332" s="426" t="e">
        <f t="shared" ca="1" si="951"/>
        <v>#N/A</v>
      </c>
      <c r="CF332" s="440">
        <f t="shared" si="952"/>
        <v>0</v>
      </c>
      <c r="CG332" s="431" t="e">
        <f ca="1">INDEX(INDIRECT(VLOOKUP(LEFT(BO332,7),CLU!$Z$3:$AH$18,2)),GQ332,GR332)</f>
        <v>#N/A</v>
      </c>
      <c r="CH332" s="431" t="e">
        <f ca="1">INDEX(INDIRECT(VLOOKUP(LEFT(BO332,7),CLU!$Z$3:$AH$18,3)),GQ332,GR332)</f>
        <v>#N/A</v>
      </c>
      <c r="CI332" s="431" t="e">
        <f ca="1">INDEX(INDIRECT(VLOOKUP(LEFT(BO332,7),CLU!$Z$3:$AH$18,4)),GQ332,GR332)</f>
        <v>#N/A</v>
      </c>
      <c r="CJ332" s="448" t="e">
        <f t="shared" ca="1" si="953"/>
        <v>#N/A</v>
      </c>
      <c r="CK332" s="431" t="e">
        <f t="shared" ca="1" si="954"/>
        <v>#N/A</v>
      </c>
      <c r="CL332" s="440" t="e">
        <f t="shared" ca="1" si="955"/>
        <v>#N/A</v>
      </c>
      <c r="CM332" s="431" t="e">
        <f ca="1">INDEX(INDIRECT(VLOOKUP(LEFT(BO332,7),CLU!$Z$3:$AH$18,2)),GQ332,GS332)</f>
        <v>#N/A</v>
      </c>
      <c r="CN332" s="431" t="e">
        <f ca="1">INDEX(INDIRECT(VLOOKUP(LEFT(BO332,7),CLU!$Z$3:$AH$18,3)),GQ332,GS332)</f>
        <v>#N/A</v>
      </c>
      <c r="CO332" s="431" t="e">
        <f ca="1">INDEX(INDIRECT(VLOOKUP(LEFT(BO332,7),CLU!$Z$3:$AH$18,4)),GQ332,GS332)</f>
        <v>#N/A</v>
      </c>
      <c r="CP332" s="431" t="e">
        <f t="shared" ca="1" si="956"/>
        <v>#N/A</v>
      </c>
      <c r="CQ332" s="440">
        <f t="shared" si="957"/>
        <v>0</v>
      </c>
      <c r="CR332" s="51" t="e">
        <f t="shared" ca="1" si="958"/>
        <v>#N/A</v>
      </c>
      <c r="CS332" s="439" t="e">
        <f t="shared" ca="1" si="959"/>
        <v>#VALUE!</v>
      </c>
      <c r="CT332" s="51" t="e">
        <f t="shared" ca="1" si="960"/>
        <v>#VALUE!</v>
      </c>
      <c r="CU332" s="10"/>
      <c r="CV332" s="51" t="e">
        <f t="shared" ca="1" si="857"/>
        <v>#VALUE!</v>
      </c>
      <c r="CW332" s="51">
        <f t="shared" si="961"/>
        <v>0</v>
      </c>
      <c r="CX332" s="439" t="e">
        <f t="shared" ca="1" si="962"/>
        <v>#VALUE!</v>
      </c>
      <c r="CY332" s="51" t="e">
        <f t="shared" ca="1" si="963"/>
        <v>#VALUE!</v>
      </c>
      <c r="CZ332" s="10"/>
      <c r="DA332" s="51" t="e">
        <f t="shared" ca="1" si="964"/>
        <v>#VALUE!</v>
      </c>
      <c r="DB332" s="347" t="e">
        <f ca="1">INDEX(INDIRECT(VLOOKUP(LEFT(BO332,7),CLU!$Z$3:$AI$18,10)),((M332-2)*(6-COUNTBLANK(GT332:GY332)))+GJ332)*LI332</f>
        <v>#N/A</v>
      </c>
      <c r="DC332" s="347" t="str">
        <f>IF(L332&gt;0,((R332/Worksheet!$I$15)/DB332)^2," ")</f>
        <v xml:space="preserve"> </v>
      </c>
      <c r="DD332" s="602" t="str">
        <f t="shared" si="965"/>
        <v xml:space="preserve"> </v>
      </c>
      <c r="DE332" s="347" t="str">
        <f t="shared" si="858"/>
        <v xml:space="preserve"> </v>
      </c>
      <c r="DF332" s="356" t="e">
        <f ca="1">INDEX(INDIRECT(VLOOKUP(LEFT(BO332,7),CLU!$Z$3:$AH$18,8)),((M332-2)*(6-COUNTBLANK(GT332:GY332)))+GJ332)</f>
        <v>#N/A</v>
      </c>
      <c r="DG332" s="347" t="str">
        <f t="shared" si="859"/>
        <v xml:space="preserve"> </v>
      </c>
      <c r="DH332" s="357" t="str">
        <f t="shared" si="860"/>
        <v xml:space="preserve"> </v>
      </c>
      <c r="DI332" s="355" t="str">
        <f t="shared" si="861"/>
        <v xml:space="preserve"> </v>
      </c>
      <c r="DJ332" s="245" t="e">
        <f ca="1">INDEX(INDIRECT(VLOOKUP(LEFT(BO332,7),CLU!$Z$3:$AH$18,5)),GL332,GK332)</f>
        <v>#N/A</v>
      </c>
      <c r="DK332" s="245" t="e">
        <f ca="1">INDEX(INDIRECT(VLOOKUP(LEFT(BO332,7),CLU!$Z$3:$AH$18,6)),GL332,GK332)</f>
        <v>#N/A</v>
      </c>
      <c r="DL332" s="355">
        <f>(Calculation!R332*0.69143*(Calculation!$BQ$8-Calculation!$F$8))*$S$14</f>
        <v>0</v>
      </c>
      <c r="DM332" s="359" t="e">
        <f t="shared" si="966"/>
        <v>#VALUE!</v>
      </c>
      <c r="DN332" s="611">
        <f t="shared" si="967"/>
        <v>0</v>
      </c>
      <c r="DO332" s="359">
        <f t="shared" si="968"/>
        <v>100</v>
      </c>
      <c r="DP332" s="359">
        <f t="shared" si="969"/>
        <v>0</v>
      </c>
      <c r="DQ332" s="360"/>
      <c r="DR332" s="245" t="e">
        <f ca="1">INDEX(INDIRECT(VLOOKUP(LEFT(BO332,7),CLU!$Z$3:$AH$18,7)),M332-1,1)</f>
        <v>#N/A</v>
      </c>
      <c r="DS332" s="245" t="e">
        <f ca="1">INDEX(INDIRECT(VLOOKUP(LEFT(BO332,7),CLU!$Z$3:$AH$18,7)),M332-1,2)</f>
        <v>#N/A</v>
      </c>
      <c r="DT332" s="245" t="e">
        <f ca="1">INDEX(INDIRECT(VLOOKUP(LEFT(BO332,7),CLU!$Z$3:$AH$18,7)),M332-1,3)</f>
        <v>#N/A</v>
      </c>
      <c r="DU332" s="245" t="e">
        <f ca="1">INDEX(INDIRECT(VLOOKUP(LEFT(BO332,7),CLU!$Z$3:$AH$18,7)),M332-1,4)</f>
        <v>#N/A</v>
      </c>
      <c r="DV332" s="361" t="e">
        <f ca="1">INDEX(INDIRECT(VLOOKUP(LEFT(BO332,7),CLU!$Z$3:$AH$18,7)),M332-1,4+LEFT(DZ332,1)*0.5)</f>
        <v>#N/A</v>
      </c>
      <c r="DW332" s="245" t="e">
        <f ca="1">INDEX(INDIRECT(VLOOKUP(LEFT(BO332,7),CLU!$Z$3:$AH$18,7)),M332-1,8)</f>
        <v>#N/A</v>
      </c>
      <c r="DX332" s="361" t="str">
        <f t="shared" si="862"/>
        <v xml:space="preserve"> </v>
      </c>
      <c r="DY332" s="361" t="str">
        <f t="shared" si="863"/>
        <v xml:space="preserve"> </v>
      </c>
      <c r="DZ332" s="361" t="str">
        <f t="shared" si="864"/>
        <v xml:space="preserve"> </v>
      </c>
      <c r="EA332" s="362" t="str">
        <f t="shared" si="865"/>
        <v xml:space="preserve"> </v>
      </c>
      <c r="EB332" s="624" t="str">
        <f t="shared" si="970"/>
        <v xml:space="preserve"> </v>
      </c>
      <c r="EC332" s="361" t="e">
        <f ca="1">INDEX(INDIRECT(VLOOKUP(LEFT(BO332,7),CLU!$Z$3:$AH$18,7)),M332-1,4+LEFT(DZ332,1)*0.5)</f>
        <v>#N/A</v>
      </c>
      <c r="ED332" s="362" t="str">
        <f t="shared" si="866"/>
        <v xml:space="preserve"> </v>
      </c>
      <c r="EE332" s="361" t="str">
        <f t="shared" si="867"/>
        <v xml:space="preserve"> </v>
      </c>
      <c r="EF332" s="362" t="str">
        <f>IF(L332&gt;0,IF(BR332&gt;0,IF(EE332="2P",IF(Calculation!DZ332="2P",IF(Calculation!DS332=13.75,IF(Calculation!DR332=13,Worksheet!$BD$43,IF(Calculation!DR332=37,Worksheet!$BD$44,Worksheet!$BD$45)),IF(Calculation!DS332=10,IF(Calculation!DR332=18,Worksheet!$BD$29,IF(Calculation!DR332=30,Worksheet!$BD$30,IF(Calculation!DR332=42,Worksheet!$BD$31,IF(Calculation!DR332=54,Worksheet!$BD$32,IF(Calculation!DR332=66,Worksheet!$BD$33,IF(Calculation!DR332=78,Worksheet!$BD$34,IF(Calculation!DR332=90,Worksheet!$BD$35,IF(Calculation!DR332=102,Worksheet!$BD$36,Worksheet!$BD$37)))))))),IF(Calculation!DS332=12.5,IF(Calculation!DR332=18,Worksheet!$BD$38,IF(Calculation!DR332=Worksheet!$BD$39,IF(Calculation!DR332=42,Worksheet!$BD$40,IF(Calculation!DR332=54,Worksheet!$BD$41,Worksheet!$BD$42)))),IF(Calculation!DR332=18,Worksheet!$BD$11,IF(Calculation!DR332=30,Worksheet!$BD$12,IF(Calculation!DR332=42,Worksheet!$BD$13,IF(Calculation!DR332=54,Worksheet!$BD$14,IF(Calculation!DR332=66,Worksheet!$BD$15,IF(Calculation!DR332=78,Worksheet!$BD$16,IF(Calculation!DR332=90,Worksheet!$BD$17,IF(Calculation!DR332=102,Worksheet!$BD$18,Worksheet!$BD$19))))))))))),IF(Calculation!DS332=13.75,IF(Calculation!DR332=13,Worksheet!$BD$78,IF(Calculation!DR332=37,Worksheet!$BD$79,Worksheet!$BD$80)),IF(Calculation!DS332=10,IF(Calculation!DR332=18,Worksheet!$BD$64,IF(Calculation!DR332=30,Worksheet!$BD$65,IF(Calculation!DR332=42,Worksheet!$BD$66,IF(Calculation!DR332=54,Worksheet!$BD$68,IF(Calculation!DR332=66,Worksheet!$BD$68,IF(Calculation!DR332=78,Worksheet!$BD$69,IF(Calculation!DR332=90,Worksheet!$BD$70,IF(Calculation!DR332=102,Worksheet!$BD$71,Worksheet!$BD$72)))))))),IF(Calculation!DS332=12.5,IF(Calculation!DR332=18,Worksheet!$BD$73,IF(Calculation!DR332=Worksheet!$BD$74,IF(Calculation!DR332=42,Worksheet!$BD$75,IF(Calculation!DR332=54,Worksheet!$BD$76,Worksheet!$BD$77)))),IF(Calculation!DR332=18,Worksheet!$BD$55,IF(Calculation!DR332=30,Worksheet!$BD$56,IF(Calculation!DR332=42,Worksheet!$BD$57,IF(Calculation!DR332=54,Worksheet!$BD$58,IF(Calculation!DR332=66,Worksheet!$BD$59,IF(Calculation!DR332=78,Worksheet!$BD$60,IF(Calculation!DR332=90,Worksheet!$BD$61,IF(Calculation!DR332=102,Worksheet!$BD$62,Worksheet!$BD$63)))))))))))),5),0)," ")</f>
        <v xml:space="preserve"> </v>
      </c>
      <c r="EG332" s="361" t="str">
        <f t="shared" si="868"/>
        <v xml:space="preserve"> </v>
      </c>
      <c r="EH332" s="361" t="e">
        <f ca="1">INDEX(INDIRECT(VLOOKUP(LEFT(BO332,7),CLU!$Z$3:$AH$18,7)),M332-1,3+LEFT(DZ332,1))</f>
        <v>#N/A</v>
      </c>
      <c r="EI332" s="362" t="str">
        <f t="shared" si="869"/>
        <v xml:space="preserve"> </v>
      </c>
      <c r="EJ332" s="363" t="str">
        <f t="shared" si="870"/>
        <v xml:space="preserve"> </v>
      </c>
      <c r="EK332" s="363" t="str">
        <f t="shared" si="871"/>
        <v xml:space="preserve"> </v>
      </c>
      <c r="EL332" s="363" t="str">
        <f t="shared" si="872"/>
        <v xml:space="preserve"> </v>
      </c>
      <c r="EM332" s="362" t="str">
        <f>IF(L332&gt;0,IF(BR332&gt;0,(Calculation!T332/ED332)^2,0)," ")</f>
        <v xml:space="preserve"> </v>
      </c>
      <c r="EN332" s="362" t="str">
        <f>IF(L332&gt;0,IF(O332="2 Pipe (Cooling)","N/A",IF(BR332&gt;0,(Calculation!U332/EI332)^2,0))," ")</f>
        <v xml:space="preserve"> </v>
      </c>
      <c r="EO332" s="361" t="str">
        <f t="shared" si="873"/>
        <v/>
      </c>
      <c r="EP332" s="361" t="str">
        <f t="shared" si="874"/>
        <v/>
      </c>
      <c r="EQ332" s="361" t="str">
        <f t="shared" si="875"/>
        <v/>
      </c>
      <c r="ER332" s="361" t="str">
        <f t="shared" si="876"/>
        <v/>
      </c>
      <c r="ES332" s="361" t="str">
        <f t="shared" si="877"/>
        <v/>
      </c>
      <c r="ET332" s="361" t="str">
        <f t="shared" si="878"/>
        <v/>
      </c>
      <c r="EU332" s="361" t="str">
        <f t="shared" si="879"/>
        <v/>
      </c>
      <c r="EV332" s="361" t="str">
        <f t="shared" si="880"/>
        <v/>
      </c>
      <c r="EW332" s="361" t="str">
        <f t="shared" si="881"/>
        <v/>
      </c>
      <c r="EX332" s="361" t="str">
        <f t="shared" si="971"/>
        <v>1 slot, 1 way</v>
      </c>
      <c r="EY332" s="361" t="str">
        <f t="shared" si="972"/>
        <v xml:space="preserve"> </v>
      </c>
      <c r="EZ332" s="361" t="str">
        <f t="shared" si="973"/>
        <v xml:space="preserve"> </v>
      </c>
      <c r="FA332" s="361" t="str">
        <f t="shared" si="974"/>
        <v xml:space="preserve"> </v>
      </c>
      <c r="FB332" s="361" t="str">
        <f t="shared" si="975"/>
        <v xml:space="preserve"> </v>
      </c>
      <c r="FC332" s="361"/>
      <c r="FD332" s="361" t="str">
        <f>IF(J332&gt;0,IF(Calculation!R332&lt;=70,4,IF(Calculation!R332&lt;=110,5,IF(Calculation!R332&lt;=160,6,IF(Calculation!R332&lt;=300,8,"10 EO")))),"")</f>
        <v/>
      </c>
      <c r="FE332" s="361" t="str">
        <f t="shared" si="976"/>
        <v/>
      </c>
      <c r="FF332" s="361" t="str">
        <f t="shared" si="977"/>
        <v/>
      </c>
      <c r="FG332" s="361" t="e">
        <f t="shared" si="882"/>
        <v>#N/A</v>
      </c>
      <c r="FH332" s="361">
        <f t="shared" si="883"/>
        <v>0</v>
      </c>
      <c r="FI332" s="361" t="e">
        <f t="shared" si="884"/>
        <v>#DIV/0!</v>
      </c>
      <c r="FJ332" s="361"/>
      <c r="FK332" s="356" t="e">
        <f t="shared" si="885"/>
        <v>#VALUE!</v>
      </c>
      <c r="FL332" s="361"/>
      <c r="FM332" s="361"/>
      <c r="FN332" s="362" t="str">
        <f t="shared" si="978"/>
        <v xml:space="preserve"> </v>
      </c>
      <c r="FO332" s="362" t="str">
        <f t="shared" si="979"/>
        <v xml:space="preserve"> </v>
      </c>
      <c r="FP332" s="362">
        <f t="shared" si="980"/>
        <v>0</v>
      </c>
      <c r="FQ332" s="361">
        <f t="shared" si="886"/>
        <v>0</v>
      </c>
      <c r="FR332" s="362" t="str">
        <f>IF(L332&gt;0,IF(J332="CBAL2",Worksheet!$P$67,IF(J332="CBE2-24",Worksheet!$Q$67,IF(J332="CBAM",Worksheet!$R$67,IF(J332="CBLV",Worksheet!$S$67,IF(J332="CBAB",Worksheet!$U$67,IF(J332="CBAW",Worksheet!$X$67,IF(J332="CBE2-12",Worksheet!$Y$67,IF(J332="CBAL2",Worksheet!$Z$67,"N/A"))))))))," ")</f>
        <v xml:space="preserve"> </v>
      </c>
      <c r="FS332" s="362" t="str">
        <f>IF(L332&gt;0,IF(J332="CBAL2",Worksheet!$P$68,IF(J332="CBE2-24",Worksheet!$Q$68,IF(J332="CBAM",Worksheet!$R$68,IF(J332="CBLV",Worksheet!$S$68,IF(J332="CBAB",Worksheet!$U$68,IF(J332="CBAW",Worksheet!$X$68,IF(J332="CBE2-12",Worksheet!$Y$68,IF(J332="CBAL2",Worksheet!$Z$68,"N/A"))))))))," ")</f>
        <v xml:space="preserve"> </v>
      </c>
      <c r="FT332" s="362" t="str">
        <f>IF(L332&gt;0,IF(J332="CBAL2",Worksheet!$P$69,IF(J332="CBE2-24",Worksheet!$Q$69,IF(J332="CBAM",Worksheet!$R$69,IF(J332="CBLV",Worksheet!$S$69,IF(J332="CBAB",Worksheet!$U$69,IF(J332="CBAW",Worksheet!$X$69,IF(J332="CBE2-12",Worksheet!$Y$69,IF(J332="CBAL2",Worksheet!$Z$69,"N/A"))))))))," ")</f>
        <v xml:space="preserve"> </v>
      </c>
      <c r="FU332" s="361" t="str">
        <f t="shared" si="981"/>
        <v xml:space="preserve"> </v>
      </c>
      <c r="FV332" s="362" t="str">
        <f t="shared" si="982"/>
        <v xml:space="preserve"> </v>
      </c>
      <c r="FW332" s="362" t="str">
        <f t="shared" si="983"/>
        <v xml:space="preserve"> </v>
      </c>
      <c r="FX332" s="362" t="str">
        <f t="shared" si="984"/>
        <v xml:space="preserve"> </v>
      </c>
      <c r="FY332" s="355" t="str">
        <f t="shared" si="985"/>
        <v xml:space="preserve"> </v>
      </c>
      <c r="FZ332" s="361" t="str">
        <f t="shared" si="986"/>
        <v xml:space="preserve"> </v>
      </c>
      <c r="GA332" s="347" t="str">
        <f t="shared" si="987"/>
        <v xml:space="preserve"> </v>
      </c>
      <c r="GB332" s="355" t="str">
        <f t="shared" si="988"/>
        <v xml:space="preserve"> </v>
      </c>
      <c r="GC332" s="328" t="str">
        <f t="shared" si="989"/>
        <v xml:space="preserve"> </v>
      </c>
      <c r="GD332" s="361" t="str">
        <f t="shared" si="990"/>
        <v xml:space="preserve"> </v>
      </c>
      <c r="GE332" s="347" t="str">
        <f t="shared" si="991"/>
        <v xml:space="preserve"> </v>
      </c>
      <c r="GF332" s="361" t="str">
        <f t="shared" si="992"/>
        <v xml:space="preserve"> </v>
      </c>
      <c r="GG332" s="347" t="str">
        <f t="shared" si="993"/>
        <v xml:space="preserve"> </v>
      </c>
      <c r="GH332" s="364">
        <f t="shared" si="887"/>
        <v>0</v>
      </c>
      <c r="GI332" s="362">
        <f t="shared" si="994"/>
        <v>2</v>
      </c>
      <c r="GJ332" s="433" t="e">
        <f>IF(6-COUNTBLANK(GT332:GY332)=4,MATCH(MID(BO332,9,3),CLU!$H$16:$K$16),MATCH(MID(BO332,9,3),CLU!$H$13:$M$13))</f>
        <v>#N/A</v>
      </c>
      <c r="GK332" s="433" t="e">
        <f>HLOOKUP(VALUE(BP332),CLU!$H$9:$M$10,2)</f>
        <v>#VALUE!</v>
      </c>
      <c r="GL332" s="433" t="e">
        <f ca="1">MATCH(BU332,CLU!$H$2:$V$2,1)</f>
        <v>#VALUE!</v>
      </c>
      <c r="GM332" s="433" t="e">
        <f t="shared" ca="1" si="995"/>
        <v>#VALUE!</v>
      </c>
      <c r="GN332" s="433" t="e">
        <f t="shared" ca="1" si="996"/>
        <v>#VALUE!</v>
      </c>
      <c r="GO332" s="433" t="e">
        <f t="shared" ca="1" si="997"/>
        <v>#VALUE!</v>
      </c>
      <c r="GP332" s="433" t="e">
        <f t="shared" ca="1" si="998"/>
        <v>#VALUE!</v>
      </c>
      <c r="GQ332" s="433" t="e">
        <f t="shared" ca="1" si="999"/>
        <v>#VALUE!</v>
      </c>
      <c r="GR332" s="433" t="e">
        <f ca="1">MATCH(T332,INDIRECT(VLOOKUP(CONCATENATE(LEFT(BO332,7),"-",MID(BO332,13,1)),CLU!$P$3:$Q$16,2)),1)</f>
        <v>#N/A</v>
      </c>
      <c r="GS332" s="433" t="e">
        <f ca="1">MATCH(U332,INDIRECT(VLOOKUP(CONCATENATE(LEFT(BO332,7),"-",MID(BO332,13,1)),CLU!$P$3:$Q$16,2)),1)</f>
        <v>#N/A</v>
      </c>
      <c r="GT332" s="347" t="s">
        <v>512</v>
      </c>
      <c r="GU332" s="97" t="s">
        <v>513</v>
      </c>
      <c r="GV332" s="97" t="str">
        <f t="shared" si="1000"/>
        <v>M23</v>
      </c>
      <c r="GW332" s="97" t="str">
        <f t="shared" si="1001"/>
        <v>M31</v>
      </c>
      <c r="GX332" s="97" t="str">
        <f t="shared" si="1002"/>
        <v/>
      </c>
      <c r="GY332" s="97" t="str">
        <f t="shared" si="1003"/>
        <v/>
      </c>
      <c r="GZ332" s="481"/>
      <c r="HA332" s="240"/>
      <c r="HB332" s="240"/>
      <c r="HC332" s="240"/>
      <c r="HD332" s="240"/>
      <c r="HE332" s="240"/>
      <c r="HF332" s="240"/>
      <c r="HG332" s="240"/>
      <c r="HH332" s="240"/>
      <c r="HI332" s="240"/>
      <c r="HJ332" s="240"/>
      <c r="HK332" s="240"/>
      <c r="HL332" s="240"/>
      <c r="HM332" s="240"/>
      <c r="HN332" s="240"/>
      <c r="HO332" s="240"/>
      <c r="HP332" s="240"/>
      <c r="HQ332" s="240"/>
      <c r="HR332" s="240"/>
      <c r="HS332" s="240"/>
      <c r="HT332" s="240"/>
      <c r="HU332" s="240"/>
      <c r="HV332" s="245"/>
      <c r="HW332" s="245" t="b">
        <v>1</v>
      </c>
      <c r="HX332" s="245" t="str">
        <f t="shared" si="888"/>
        <v/>
      </c>
      <c r="HY332" s="245" t="e">
        <f t="shared" si="889"/>
        <v>#DIV/0!</v>
      </c>
      <c r="HZ332" s="245" t="e">
        <f t="shared" si="890"/>
        <v>#DIV/0!</v>
      </c>
      <c r="IA332" s="245">
        <f t="shared" si="891"/>
        <v>0</v>
      </c>
      <c r="IB332" s="245"/>
      <c r="IC332" t="b">
        <f t="shared" si="892"/>
        <v>1</v>
      </c>
      <c r="ID332" s="245" t="b">
        <f t="shared" si="893"/>
        <v>1</v>
      </c>
      <c r="IE332" s="245" t="b">
        <f t="shared" si="894"/>
        <v>1</v>
      </c>
      <c r="IF332" s="245" t="b">
        <f t="shared" si="895"/>
        <v>0</v>
      </c>
      <c r="IG332" s="245" t="b">
        <f t="shared" si="896"/>
        <v>1</v>
      </c>
      <c r="IH332" s="245" t="b">
        <f t="shared" si="897"/>
        <v>1</v>
      </c>
      <c r="II332" s="245">
        <f t="shared" si="1004"/>
        <v>0</v>
      </c>
      <c r="IJ332" s="245" t="e">
        <f t="shared" si="898"/>
        <v>#VALUE!</v>
      </c>
      <c r="IK332" s="245" t="e">
        <f t="shared" si="899"/>
        <v>#VALUE!</v>
      </c>
      <c r="IL332" s="245"/>
      <c r="IM332" s="245" t="e">
        <f t="shared" si="1005"/>
        <v>#N/A</v>
      </c>
      <c r="IN332" s="245" t="e">
        <f t="shared" si="1006"/>
        <v>#N/A</v>
      </c>
      <c r="IO332" s="245"/>
      <c r="IP332" s="245"/>
      <c r="IQ332" s="245" t="str">
        <f t="shared" si="900"/>
        <v/>
      </c>
      <c r="IR332" s="245" t="str">
        <f>IF(J332="","",VLOOKUP(J332,Worksheet!$R$4:$T$14,2))</f>
        <v/>
      </c>
      <c r="IS332" s="245"/>
      <c r="IT332" s="245">
        <f t="shared" si="901"/>
        <v>0</v>
      </c>
      <c r="IU332" s="245">
        <f t="shared" si="902"/>
        <v>0</v>
      </c>
      <c r="IV332" s="245">
        <f t="shared" si="903"/>
        <v>0</v>
      </c>
      <c r="IW332" s="245">
        <f t="shared" si="904"/>
        <v>0</v>
      </c>
      <c r="IX332" s="245">
        <f t="shared" si="1007"/>
        <v>0</v>
      </c>
      <c r="IY332" s="245">
        <f t="shared" si="905"/>
        <v>0</v>
      </c>
      <c r="IZ332" s="245">
        <f t="shared" si="906"/>
        <v>0</v>
      </c>
      <c r="JA332">
        <f t="shared" si="907"/>
        <v>0</v>
      </c>
      <c r="JB332">
        <f t="shared" si="1008"/>
        <v>0</v>
      </c>
      <c r="JC332">
        <f t="shared" si="908"/>
        <v>0</v>
      </c>
      <c r="JD332">
        <f t="shared" si="909"/>
        <v>0</v>
      </c>
      <c r="JE332">
        <f t="shared" si="910"/>
        <v>0</v>
      </c>
      <c r="JF332">
        <f t="shared" si="911"/>
        <v>0</v>
      </c>
      <c r="JG332">
        <f t="shared" si="912"/>
        <v>0</v>
      </c>
      <c r="JH332">
        <f t="shared" si="913"/>
        <v>0</v>
      </c>
      <c r="JI332">
        <f t="shared" si="914"/>
        <v>0</v>
      </c>
      <c r="JJ332" s="447">
        <f t="shared" si="915"/>
        <v>0</v>
      </c>
      <c r="JK332" s="447">
        <f t="shared" si="916"/>
        <v>0</v>
      </c>
      <c r="JL332">
        <f t="shared" si="917"/>
        <v>0</v>
      </c>
      <c r="JM332" s="245" t="str">
        <f>IFERROR(VLOOKUP(MATCH(BN332,#REF!,0),#REF!,7),"")</f>
        <v/>
      </c>
      <c r="JN332" t="e">
        <f>HLOOKUP(LEFT(BO332,7),Discharge_Area,MATCH(JO332,LookUps!$B$130:$B$149,1)+2)</f>
        <v>#N/A</v>
      </c>
      <c r="JO332" t="str">
        <f t="shared" si="918"/>
        <v>- S</v>
      </c>
      <c r="JP332" t="e">
        <f>HLOOKUP(LEFT(BO332,7),Discharge_Area,MATCH(JO332,LookUps!$B$130:$B$149,1)+2)</f>
        <v>#N/A</v>
      </c>
      <c r="JQ332" t="e">
        <f t="shared" si="919"/>
        <v>#N/A</v>
      </c>
      <c r="JR332" t="e">
        <f t="shared" si="920"/>
        <v>#N/A</v>
      </c>
      <c r="JS332" t="e">
        <f t="shared" si="921"/>
        <v>#N/A</v>
      </c>
      <c r="JT332" s="532" t="str">
        <f t="shared" si="922"/>
        <v xml:space="preserve"> </v>
      </c>
      <c r="JU332" s="532" t="str">
        <f t="shared" si="923"/>
        <v xml:space="preserve"> </v>
      </c>
      <c r="JV332" s="533" t="str">
        <f t="shared" si="924"/>
        <v xml:space="preserve"> </v>
      </c>
      <c r="JW332" s="534">
        <f t="shared" si="925"/>
        <v>0</v>
      </c>
      <c r="JX332" s="535" t="str">
        <f t="shared" si="1009"/>
        <v xml:space="preserve"> </v>
      </c>
      <c r="JY332" s="535" t="str">
        <f t="shared" si="1010"/>
        <v xml:space="preserve"> </v>
      </c>
      <c r="JZ332" s="535" t="str">
        <f t="shared" si="1011"/>
        <v xml:space="preserve"> </v>
      </c>
      <c r="KA332" s="536" t="str">
        <f t="shared" si="926"/>
        <v xml:space="preserve"> </v>
      </c>
      <c r="KB332" s="535" t="e">
        <f t="shared" si="1012"/>
        <v>#VALUE!</v>
      </c>
      <c r="KC332" s="535" t="str">
        <f t="shared" si="927"/>
        <v/>
      </c>
      <c r="KD332" s="537" t="str">
        <f t="shared" si="1013"/>
        <v xml:space="preserve"> </v>
      </c>
      <c r="KE332" s="537" t="str">
        <f t="shared" si="1014"/>
        <v xml:space="preserve"> </v>
      </c>
      <c r="KF332" s="534">
        <f t="shared" si="928"/>
        <v>0</v>
      </c>
      <c r="KG332" s="535" t="str">
        <f t="shared" si="929"/>
        <v xml:space="preserve"> </v>
      </c>
      <c r="KH332" s="535" t="str">
        <f t="shared" si="930"/>
        <v xml:space="preserve"> </v>
      </c>
      <c r="KI332" s="535" t="str">
        <f t="shared" si="931"/>
        <v xml:space="preserve"> </v>
      </c>
      <c r="KJ332" s="536" t="str">
        <f t="shared" si="932"/>
        <v xml:space="preserve"> </v>
      </c>
      <c r="KK332" s="535" t="str">
        <f t="shared" si="1015"/>
        <v xml:space="preserve"> </v>
      </c>
      <c r="KL332" s="535" t="str">
        <f t="shared" si="1016"/>
        <v xml:space="preserve"> </v>
      </c>
      <c r="KM332" s="537" t="str">
        <f t="shared" si="933"/>
        <v xml:space="preserve"> </v>
      </c>
      <c r="KN332" s="537" t="str">
        <f t="shared" si="1017"/>
        <v xml:space="preserve"> </v>
      </c>
      <c r="KP332">
        <f t="shared" si="934"/>
        <v>0</v>
      </c>
      <c r="LA332" t="e">
        <f t="shared" si="935"/>
        <v>#VALUE!</v>
      </c>
      <c r="LB332" t="e">
        <f t="shared" si="936"/>
        <v>#VALUE!</v>
      </c>
      <c r="LC332" t="e">
        <f t="shared" si="937"/>
        <v>#VALUE!</v>
      </c>
      <c r="LD332" t="e">
        <f t="shared" si="938"/>
        <v>#VALUE!</v>
      </c>
      <c r="LE332" t="e">
        <f t="shared" si="1018"/>
        <v>#VALUE!</v>
      </c>
      <c r="LF332">
        <f t="shared" si="939"/>
        <v>0</v>
      </c>
      <c r="LG332" t="e">
        <f t="shared" si="1019"/>
        <v>#VALUE!</v>
      </c>
      <c r="LH332" t="str">
        <f t="shared" si="940"/>
        <v xml:space="preserve"> </v>
      </c>
      <c r="LI332">
        <f t="shared" si="1020"/>
        <v>1</v>
      </c>
    </row>
    <row r="333" spans="2:321" ht="15" customHeight="1">
      <c r="B333" s="311"/>
      <c r="C333" s="311"/>
      <c r="D333" s="312"/>
      <c r="E333" s="311"/>
      <c r="F333" s="312"/>
      <c r="G333" s="311"/>
      <c r="H333" s="311"/>
      <c r="I333" s="232"/>
      <c r="J333" s="311"/>
      <c r="K333" s="305" t="str">
        <f t="shared" si="941"/>
        <v/>
      </c>
      <c r="L333" s="313"/>
      <c r="M333" s="312"/>
      <c r="N333" s="311"/>
      <c r="O333" s="312"/>
      <c r="P333" s="311"/>
      <c r="Q333" s="305" t="str">
        <f t="shared" si="942"/>
        <v/>
      </c>
      <c r="R333" s="314"/>
      <c r="S333" s="450" t="str">
        <f t="shared" si="825"/>
        <v/>
      </c>
      <c r="T333" s="315"/>
      <c r="U333" s="315"/>
      <c r="W333" s="149" t="str">
        <f t="shared" si="826"/>
        <v xml:space="preserve"> </v>
      </c>
      <c r="X333" s="243" t="str">
        <f t="shared" si="827"/>
        <v xml:space="preserve"> </v>
      </c>
      <c r="Y333" s="150" t="str">
        <f t="shared" si="828"/>
        <v/>
      </c>
      <c r="Z333" s="149" t="str">
        <f t="shared" si="829"/>
        <v xml:space="preserve"> </v>
      </c>
      <c r="AA333" s="98" t="str">
        <f t="shared" si="830"/>
        <v xml:space="preserve"> </v>
      </c>
      <c r="AB333" s="153" t="str">
        <f t="shared" si="831"/>
        <v xml:space="preserve"> </v>
      </c>
      <c r="AC333" s="153" t="str">
        <f t="shared" si="832"/>
        <v xml:space="preserve"> </v>
      </c>
      <c r="AD333" s="148" t="str">
        <f t="shared" si="833"/>
        <v/>
      </c>
      <c r="AE333" s="149" t="str">
        <f t="shared" si="834"/>
        <v/>
      </c>
      <c r="AF333" s="151" t="str">
        <f t="shared" si="835"/>
        <v xml:space="preserve"> </v>
      </c>
      <c r="AG333" s="153" t="str">
        <f t="shared" si="836"/>
        <v xml:space="preserve"> </v>
      </c>
      <c r="AH333" s="98" t="str">
        <f t="shared" si="837"/>
        <v xml:space="preserve"> </v>
      </c>
      <c r="AI333" s="149" t="str">
        <f t="shared" si="838"/>
        <v xml:space="preserve"> </v>
      </c>
      <c r="AK333" s="144" t="str">
        <f t="shared" si="839"/>
        <v xml:space="preserve"> </v>
      </c>
      <c r="AL333" s="144"/>
      <c r="AM333" s="243" t="str">
        <f t="shared" si="840"/>
        <v xml:space="preserve"> </v>
      </c>
      <c r="AN333" s="149" t="str">
        <f t="shared" si="943"/>
        <v xml:space="preserve"> </v>
      </c>
      <c r="AO333" s="144" t="str">
        <f>IF(JB333&gt;0,IF(GI333=10,-R333*1.085*(Calculation!$F$6-Calculation!$F$13)*$S$14," "),"")</f>
        <v/>
      </c>
      <c r="AP333" s="144" t="str">
        <f t="shared" si="841"/>
        <v/>
      </c>
      <c r="AQ333" s="56" t="str">
        <f t="shared" si="842"/>
        <v/>
      </c>
      <c r="AR333" s="144" t="str">
        <f t="shared" si="843"/>
        <v/>
      </c>
      <c r="AS333" s="176" t="str">
        <f t="shared" si="844"/>
        <v/>
      </c>
      <c r="AT333" s="176" t="str">
        <f t="shared" si="944"/>
        <v xml:space="preserve"> </v>
      </c>
      <c r="AU333" s="176" t="str">
        <f t="shared" si="845"/>
        <v/>
      </c>
      <c r="AV333" s="177" t="str">
        <f t="shared" si="846"/>
        <v xml:space="preserve"> </v>
      </c>
      <c r="AW333" s="144" t="str">
        <f t="shared" si="847"/>
        <v xml:space="preserve"> </v>
      </c>
      <c r="AX333" s="144" t="str">
        <f t="shared" si="848"/>
        <v xml:space="preserve"> </v>
      </c>
      <c r="AY333" s="152" t="str">
        <f t="shared" si="849"/>
        <v xml:space="preserve"> </v>
      </c>
      <c r="AZ333" s="246" t="str">
        <f t="shared" si="850"/>
        <v/>
      </c>
      <c r="BA333" s="176" t="str">
        <f t="shared" si="851"/>
        <v xml:space="preserve"> </v>
      </c>
      <c r="BB333" s="176" t="str">
        <f t="shared" si="852"/>
        <v xml:space="preserve"> </v>
      </c>
      <c r="BC333" s="195"/>
      <c r="BD333" s="316"/>
      <c r="BE333" s="317"/>
      <c r="BF333" s="318"/>
      <c r="BG333" s="318"/>
      <c r="BH333" s="144" t="str">
        <f t="shared" si="1021"/>
        <v xml:space="preserve"> </v>
      </c>
      <c r="BI333" s="176" t="str">
        <f t="shared" si="853"/>
        <v/>
      </c>
      <c r="BJ333" s="144" t="str">
        <f t="shared" si="1022"/>
        <v/>
      </c>
      <c r="BK333" s="246" t="str">
        <f t="shared" si="854"/>
        <v/>
      </c>
      <c r="BL333" s="144" t="str">
        <f t="shared" si="1023"/>
        <v/>
      </c>
      <c r="BM333" s="246" t="str">
        <f t="shared" si="855"/>
        <v/>
      </c>
      <c r="BN333" s="337" t="str">
        <f t="shared" si="945"/>
        <v/>
      </c>
      <c r="BO333" s="371" t="str">
        <f t="shared" si="946"/>
        <v/>
      </c>
      <c r="BP333" s="328" t="str">
        <f t="shared" si="1024"/>
        <v xml:space="preserve"> </v>
      </c>
      <c r="BQ333" s="347" t="str">
        <f t="shared" si="947"/>
        <v xml:space="preserve"> </v>
      </c>
      <c r="BR333" s="353" t="str">
        <f t="shared" si="948"/>
        <v xml:space="preserve"> </v>
      </c>
      <c r="BS333" s="626" t="str">
        <f>IF(L333&gt;0,IF(Calculation!P333="M13",BR333*3.1416*(0.134^2)/(4*144),IF(Calculation!P333="M17",BR333*3.1416*(0.165^2)/(4*144),IF(Calculation!P333="M20",BR333*3.1416*(0.198^2)/(4*144),IF(Calculation!P333="M23",BR333*3.1416*(0.228^2)/(4*144),IF(Calculation!P333="M27",BR333*3.1416*(0.269^2)/(4*144),BR333*3.1416*(0.307^2)/(4*144))))))," ")</f>
        <v xml:space="preserve"> </v>
      </c>
      <c r="BT333" s="353" t="str">
        <f>IF(L333&gt;0,IF(BS333&gt;0,R333/Calculation!BS333,0)," ")</f>
        <v xml:space="preserve"> </v>
      </c>
      <c r="BU333" s="438" t="e">
        <f t="shared" ca="1" si="856"/>
        <v>#VALUE!</v>
      </c>
      <c r="BV333" s="449" t="e">
        <f ca="1">INDEX(INDIRECT(VLOOKUP(LEFT(BO333,7),CLU!$Z$3:$AH$18,2)),GN333,GR333)</f>
        <v>#N/A</v>
      </c>
      <c r="BW333" s="433" t="e">
        <f ca="1">INDEX(INDIRECT(VLOOKUP(LEFT(BO333,7),CLU!$Z$3:$AH$18,3)),GN333,GR333)</f>
        <v>#N/A</v>
      </c>
      <c r="BX333" s="433" t="e">
        <f ca="1">INDEX(INDIRECT(VLOOKUP(LEFT(BO333,7),CLU!$Z$3:$AH$18,4)),GN333,GR333)</f>
        <v>#N/A</v>
      </c>
      <c r="BY333" s="433" t="e">
        <f ca="1">INDEX(INDIRECT(VLOOKUP(LEFT(BO333,7),CLU!$Z$3:$AH$18,9)),((M333-2)*(6-COUNTBLANK(GT333:GY333)))+GJ333)</f>
        <v>#N/A</v>
      </c>
      <c r="BZ333" s="426" t="e">
        <f t="shared" ca="1" si="949"/>
        <v>#N/A</v>
      </c>
      <c r="CA333" s="424" t="e">
        <f t="shared" ca="1" si="950"/>
        <v>#N/A</v>
      </c>
      <c r="CB333" s="429" t="e">
        <f ca="1">INDEX(INDIRECT(VLOOKUP(LEFT(BO333,7),CLU!$Z$3:$AH$18,2)),GN333,GS333)</f>
        <v>#N/A</v>
      </c>
      <c r="CC333" s="342" t="e">
        <f ca="1">INDEX(INDIRECT(VLOOKUP(LEFT(BO333,7),CLU!$Z$3:$AH$18,3)),GN333,GS333)</f>
        <v>#N/A</v>
      </c>
      <c r="CD333" s="342" t="e">
        <f ca="1">INDEX(INDIRECT(VLOOKUP(LEFT(BO333,7),CLU!$Z$3:$AH$18,4)),GN333,GS333)</f>
        <v>#N/A</v>
      </c>
      <c r="CE333" s="426" t="e">
        <f t="shared" ca="1" si="951"/>
        <v>#N/A</v>
      </c>
      <c r="CF333" s="440">
        <f t="shared" si="952"/>
        <v>0</v>
      </c>
      <c r="CG333" s="431" t="e">
        <f ca="1">INDEX(INDIRECT(VLOOKUP(LEFT(BO333,7),CLU!$Z$3:$AH$18,2)),GQ333,GR333)</f>
        <v>#N/A</v>
      </c>
      <c r="CH333" s="431" t="e">
        <f ca="1">INDEX(INDIRECT(VLOOKUP(LEFT(BO333,7),CLU!$Z$3:$AH$18,3)),GQ333,GR333)</f>
        <v>#N/A</v>
      </c>
      <c r="CI333" s="431" t="e">
        <f ca="1">INDEX(INDIRECT(VLOOKUP(LEFT(BO333,7),CLU!$Z$3:$AH$18,4)),GQ333,GR333)</f>
        <v>#N/A</v>
      </c>
      <c r="CJ333" s="448" t="e">
        <f t="shared" ca="1" si="953"/>
        <v>#N/A</v>
      </c>
      <c r="CK333" s="431" t="e">
        <f t="shared" ca="1" si="954"/>
        <v>#N/A</v>
      </c>
      <c r="CL333" s="440" t="e">
        <f t="shared" ca="1" si="955"/>
        <v>#N/A</v>
      </c>
      <c r="CM333" s="431" t="e">
        <f ca="1">INDEX(INDIRECT(VLOOKUP(LEFT(BO333,7),CLU!$Z$3:$AH$18,2)),GQ333,GS333)</f>
        <v>#N/A</v>
      </c>
      <c r="CN333" s="431" t="e">
        <f ca="1">INDEX(INDIRECT(VLOOKUP(LEFT(BO333,7),CLU!$Z$3:$AH$18,3)),GQ333,GS333)</f>
        <v>#N/A</v>
      </c>
      <c r="CO333" s="431" t="e">
        <f ca="1">INDEX(INDIRECT(VLOOKUP(LEFT(BO333,7),CLU!$Z$3:$AH$18,4)),GQ333,GS333)</f>
        <v>#N/A</v>
      </c>
      <c r="CP333" s="431" t="e">
        <f t="shared" ca="1" si="956"/>
        <v>#N/A</v>
      </c>
      <c r="CQ333" s="440">
        <f t="shared" si="957"/>
        <v>0</v>
      </c>
      <c r="CR333" s="51" t="e">
        <f t="shared" ca="1" si="958"/>
        <v>#N/A</v>
      </c>
      <c r="CS333" s="439" t="e">
        <f t="shared" ca="1" si="959"/>
        <v>#VALUE!</v>
      </c>
      <c r="CT333" s="51" t="e">
        <f t="shared" ca="1" si="960"/>
        <v>#VALUE!</v>
      </c>
      <c r="CU333" s="10"/>
      <c r="CV333" s="51" t="e">
        <f t="shared" ca="1" si="857"/>
        <v>#VALUE!</v>
      </c>
      <c r="CW333" s="51">
        <f t="shared" si="961"/>
        <v>0</v>
      </c>
      <c r="CX333" s="439" t="e">
        <f t="shared" ca="1" si="962"/>
        <v>#VALUE!</v>
      </c>
      <c r="CY333" s="51" t="e">
        <f t="shared" ca="1" si="963"/>
        <v>#VALUE!</v>
      </c>
      <c r="CZ333" s="10"/>
      <c r="DA333" s="51" t="e">
        <f t="shared" ca="1" si="964"/>
        <v>#VALUE!</v>
      </c>
      <c r="DB333" s="347" t="e">
        <f ca="1">INDEX(INDIRECT(VLOOKUP(LEFT(BO333,7),CLU!$Z$3:$AI$18,10)),((M333-2)*(6-COUNTBLANK(GT333:GY333)))+GJ333)*LI333</f>
        <v>#N/A</v>
      </c>
      <c r="DC333" s="347" t="str">
        <f>IF(L333&gt;0,((R333/Worksheet!$I$15)/DB333)^2," ")</f>
        <v xml:space="preserve"> </v>
      </c>
      <c r="DD333" s="602" t="str">
        <f t="shared" si="965"/>
        <v xml:space="preserve"> </v>
      </c>
      <c r="DE333" s="347" t="str">
        <f t="shared" si="858"/>
        <v xml:space="preserve"> </v>
      </c>
      <c r="DF333" s="356" t="e">
        <f ca="1">INDEX(INDIRECT(VLOOKUP(LEFT(BO333,7),CLU!$Z$3:$AH$18,8)),((M333-2)*(6-COUNTBLANK(GT333:GY333)))+GJ333)</f>
        <v>#N/A</v>
      </c>
      <c r="DG333" s="347" t="str">
        <f t="shared" si="859"/>
        <v xml:space="preserve"> </v>
      </c>
      <c r="DH333" s="357" t="str">
        <f t="shared" si="860"/>
        <v xml:space="preserve"> </v>
      </c>
      <c r="DI333" s="355" t="str">
        <f t="shared" si="861"/>
        <v xml:space="preserve"> </v>
      </c>
      <c r="DJ333" s="245" t="e">
        <f ca="1">INDEX(INDIRECT(VLOOKUP(LEFT(BO333,7),CLU!$Z$3:$AH$18,5)),GL333,GK333)</f>
        <v>#N/A</v>
      </c>
      <c r="DK333" s="245" t="e">
        <f ca="1">INDEX(INDIRECT(VLOOKUP(LEFT(BO333,7),CLU!$Z$3:$AH$18,6)),GL333,GK333)</f>
        <v>#N/A</v>
      </c>
      <c r="DL333" s="355">
        <f>(Calculation!R333*0.69143*(Calculation!$BQ$8-Calculation!$F$8))*$S$14</f>
        <v>0</v>
      </c>
      <c r="DM333" s="359" t="e">
        <f t="shared" si="966"/>
        <v>#VALUE!</v>
      </c>
      <c r="DN333" s="611">
        <f t="shared" si="967"/>
        <v>0</v>
      </c>
      <c r="DO333" s="359">
        <f t="shared" si="968"/>
        <v>100</v>
      </c>
      <c r="DP333" s="359">
        <f t="shared" si="969"/>
        <v>0</v>
      </c>
      <c r="DQ333" s="360"/>
      <c r="DR333" s="245" t="e">
        <f ca="1">INDEX(INDIRECT(VLOOKUP(LEFT(BO333,7),CLU!$Z$3:$AH$18,7)),M333-1,1)</f>
        <v>#N/A</v>
      </c>
      <c r="DS333" s="245" t="e">
        <f ca="1">INDEX(INDIRECT(VLOOKUP(LEFT(BO333,7),CLU!$Z$3:$AH$18,7)),M333-1,2)</f>
        <v>#N/A</v>
      </c>
      <c r="DT333" s="245" t="e">
        <f ca="1">INDEX(INDIRECT(VLOOKUP(LEFT(BO333,7),CLU!$Z$3:$AH$18,7)),M333-1,3)</f>
        <v>#N/A</v>
      </c>
      <c r="DU333" s="245" t="e">
        <f ca="1">INDEX(INDIRECT(VLOOKUP(LEFT(BO333,7),CLU!$Z$3:$AH$18,7)),M333-1,4)</f>
        <v>#N/A</v>
      </c>
      <c r="DV333" s="361" t="e">
        <f ca="1">INDEX(INDIRECT(VLOOKUP(LEFT(BO333,7),CLU!$Z$3:$AH$18,7)),M333-1,4+LEFT(DZ333,1)*0.5)</f>
        <v>#N/A</v>
      </c>
      <c r="DW333" s="245" t="e">
        <f ca="1">INDEX(INDIRECT(VLOOKUP(LEFT(BO333,7),CLU!$Z$3:$AH$18,7)),M333-1,8)</f>
        <v>#N/A</v>
      </c>
      <c r="DX333" s="361" t="str">
        <f t="shared" si="862"/>
        <v xml:space="preserve"> </v>
      </c>
      <c r="DY333" s="361" t="str">
        <f t="shared" si="863"/>
        <v xml:space="preserve"> </v>
      </c>
      <c r="DZ333" s="361" t="str">
        <f t="shared" si="864"/>
        <v xml:space="preserve"> </v>
      </c>
      <c r="EA333" s="362" t="str">
        <f t="shared" si="865"/>
        <v xml:space="preserve"> </v>
      </c>
      <c r="EB333" s="624" t="str">
        <f t="shared" si="970"/>
        <v xml:space="preserve"> </v>
      </c>
      <c r="EC333" s="361" t="e">
        <f ca="1">INDEX(INDIRECT(VLOOKUP(LEFT(BO333,7),CLU!$Z$3:$AH$18,7)),M333-1,4+LEFT(DZ333,1)*0.5)</f>
        <v>#N/A</v>
      </c>
      <c r="ED333" s="362" t="str">
        <f t="shared" si="866"/>
        <v xml:space="preserve"> </v>
      </c>
      <c r="EE333" s="361" t="str">
        <f t="shared" si="867"/>
        <v xml:space="preserve"> </v>
      </c>
      <c r="EF333" s="362" t="str">
        <f>IF(L333&gt;0,IF(BR333&gt;0,IF(EE333="2P",IF(Calculation!DZ333="2P",IF(Calculation!DS333=13.75,IF(Calculation!DR333=13,Worksheet!$BD$43,IF(Calculation!DR333=37,Worksheet!$BD$44,Worksheet!$BD$45)),IF(Calculation!DS333=10,IF(Calculation!DR333=18,Worksheet!$BD$29,IF(Calculation!DR333=30,Worksheet!$BD$30,IF(Calculation!DR333=42,Worksheet!$BD$31,IF(Calculation!DR333=54,Worksheet!$BD$32,IF(Calculation!DR333=66,Worksheet!$BD$33,IF(Calculation!DR333=78,Worksheet!$BD$34,IF(Calculation!DR333=90,Worksheet!$BD$35,IF(Calculation!DR333=102,Worksheet!$BD$36,Worksheet!$BD$37)))))))),IF(Calculation!DS333=12.5,IF(Calculation!DR333=18,Worksheet!$BD$38,IF(Calculation!DR333=Worksheet!$BD$39,IF(Calculation!DR333=42,Worksheet!$BD$40,IF(Calculation!DR333=54,Worksheet!$BD$41,Worksheet!$BD$42)))),IF(Calculation!DR333=18,Worksheet!$BD$11,IF(Calculation!DR333=30,Worksheet!$BD$12,IF(Calculation!DR333=42,Worksheet!$BD$13,IF(Calculation!DR333=54,Worksheet!$BD$14,IF(Calculation!DR333=66,Worksheet!$BD$15,IF(Calculation!DR333=78,Worksheet!$BD$16,IF(Calculation!DR333=90,Worksheet!$BD$17,IF(Calculation!DR333=102,Worksheet!$BD$18,Worksheet!$BD$19))))))))))),IF(Calculation!DS333=13.75,IF(Calculation!DR333=13,Worksheet!$BD$78,IF(Calculation!DR333=37,Worksheet!$BD$79,Worksheet!$BD$80)),IF(Calculation!DS333=10,IF(Calculation!DR333=18,Worksheet!$BD$64,IF(Calculation!DR333=30,Worksheet!$BD$65,IF(Calculation!DR333=42,Worksheet!$BD$66,IF(Calculation!DR333=54,Worksheet!$BD$68,IF(Calculation!DR333=66,Worksheet!$BD$68,IF(Calculation!DR333=78,Worksheet!$BD$69,IF(Calculation!DR333=90,Worksheet!$BD$70,IF(Calculation!DR333=102,Worksheet!$BD$71,Worksheet!$BD$72)))))))),IF(Calculation!DS333=12.5,IF(Calculation!DR333=18,Worksheet!$BD$73,IF(Calculation!DR333=Worksheet!$BD$74,IF(Calculation!DR333=42,Worksheet!$BD$75,IF(Calculation!DR333=54,Worksheet!$BD$76,Worksheet!$BD$77)))),IF(Calculation!DR333=18,Worksheet!$BD$55,IF(Calculation!DR333=30,Worksheet!$BD$56,IF(Calculation!DR333=42,Worksheet!$BD$57,IF(Calculation!DR333=54,Worksheet!$BD$58,IF(Calculation!DR333=66,Worksheet!$BD$59,IF(Calculation!DR333=78,Worksheet!$BD$60,IF(Calculation!DR333=90,Worksheet!$BD$61,IF(Calculation!DR333=102,Worksheet!$BD$62,Worksheet!$BD$63)))))))))))),5),0)," ")</f>
        <v xml:space="preserve"> </v>
      </c>
      <c r="EG333" s="361" t="str">
        <f t="shared" si="868"/>
        <v xml:space="preserve"> </v>
      </c>
      <c r="EH333" s="361" t="e">
        <f ca="1">INDEX(INDIRECT(VLOOKUP(LEFT(BO333,7),CLU!$Z$3:$AH$18,7)),M333-1,3+LEFT(DZ333,1))</f>
        <v>#N/A</v>
      </c>
      <c r="EI333" s="362" t="str">
        <f t="shared" si="869"/>
        <v xml:space="preserve"> </v>
      </c>
      <c r="EJ333" s="363" t="str">
        <f t="shared" si="870"/>
        <v xml:space="preserve"> </v>
      </c>
      <c r="EK333" s="363" t="str">
        <f t="shared" si="871"/>
        <v xml:space="preserve"> </v>
      </c>
      <c r="EL333" s="363" t="str">
        <f t="shared" si="872"/>
        <v xml:space="preserve"> </v>
      </c>
      <c r="EM333" s="362" t="str">
        <f>IF(L333&gt;0,IF(BR333&gt;0,(Calculation!T333/ED333)^2,0)," ")</f>
        <v xml:space="preserve"> </v>
      </c>
      <c r="EN333" s="362" t="str">
        <f>IF(L333&gt;0,IF(O333="2 Pipe (Cooling)","N/A",IF(BR333&gt;0,(Calculation!U333/EI333)^2,0))," ")</f>
        <v xml:space="preserve"> </v>
      </c>
      <c r="EO333" s="361" t="str">
        <f t="shared" si="873"/>
        <v/>
      </c>
      <c r="EP333" s="361" t="str">
        <f t="shared" si="874"/>
        <v/>
      </c>
      <c r="EQ333" s="361" t="str">
        <f t="shared" si="875"/>
        <v/>
      </c>
      <c r="ER333" s="361" t="str">
        <f t="shared" si="876"/>
        <v/>
      </c>
      <c r="ES333" s="361" t="str">
        <f t="shared" si="877"/>
        <v/>
      </c>
      <c r="ET333" s="361" t="str">
        <f t="shared" si="878"/>
        <v/>
      </c>
      <c r="EU333" s="361" t="str">
        <f t="shared" si="879"/>
        <v/>
      </c>
      <c r="EV333" s="361" t="str">
        <f t="shared" si="880"/>
        <v/>
      </c>
      <c r="EW333" s="361" t="str">
        <f t="shared" si="881"/>
        <v/>
      </c>
      <c r="EX333" s="361" t="str">
        <f t="shared" si="971"/>
        <v>1 slot, 1 way</v>
      </c>
      <c r="EY333" s="361" t="str">
        <f t="shared" si="972"/>
        <v xml:space="preserve"> </v>
      </c>
      <c r="EZ333" s="361" t="str">
        <f t="shared" si="973"/>
        <v xml:space="preserve"> </v>
      </c>
      <c r="FA333" s="361" t="str">
        <f t="shared" si="974"/>
        <v xml:space="preserve"> </v>
      </c>
      <c r="FB333" s="361" t="str">
        <f t="shared" si="975"/>
        <v xml:space="preserve"> </v>
      </c>
      <c r="FC333" s="361"/>
      <c r="FD333" s="361" t="str">
        <f>IF(J333&gt;0,IF(Calculation!R333&lt;=70,4,IF(Calculation!R333&lt;=110,5,IF(Calculation!R333&lt;=160,6,IF(Calculation!R333&lt;=300,8,"10 EO")))),"")</f>
        <v/>
      </c>
      <c r="FE333" s="361" t="str">
        <f t="shared" si="976"/>
        <v/>
      </c>
      <c r="FF333" s="361" t="str">
        <f t="shared" si="977"/>
        <v/>
      </c>
      <c r="FG333" s="361" t="e">
        <f t="shared" si="882"/>
        <v>#N/A</v>
      </c>
      <c r="FH333" s="361">
        <f t="shared" si="883"/>
        <v>0</v>
      </c>
      <c r="FI333" s="361" t="e">
        <f t="shared" si="884"/>
        <v>#DIV/0!</v>
      </c>
      <c r="FJ333" s="361"/>
      <c r="FK333" s="356" t="e">
        <f t="shared" si="885"/>
        <v>#VALUE!</v>
      </c>
      <c r="FL333" s="361"/>
      <c r="FM333" s="361"/>
      <c r="FN333" s="362" t="str">
        <f t="shared" si="978"/>
        <v xml:space="preserve"> </v>
      </c>
      <c r="FO333" s="362" t="str">
        <f t="shared" si="979"/>
        <v xml:space="preserve"> </v>
      </c>
      <c r="FP333" s="362">
        <f t="shared" si="980"/>
        <v>0</v>
      </c>
      <c r="FQ333" s="361">
        <f t="shared" si="886"/>
        <v>0</v>
      </c>
      <c r="FR333" s="362" t="str">
        <f>IF(L333&gt;0,IF(J333="CBAL2",Worksheet!$P$67,IF(J333="CBE2-24",Worksheet!$Q$67,IF(J333="CBAM",Worksheet!$R$67,IF(J333="CBLV",Worksheet!$S$67,IF(J333="CBAB",Worksheet!$U$67,IF(J333="CBAW",Worksheet!$X$67,IF(J333="CBE2-12",Worksheet!$Y$67,IF(J333="CBAL2",Worksheet!$Z$67,"N/A"))))))))," ")</f>
        <v xml:space="preserve"> </v>
      </c>
      <c r="FS333" s="362" t="str">
        <f>IF(L333&gt;0,IF(J333="CBAL2",Worksheet!$P$68,IF(J333="CBE2-24",Worksheet!$Q$68,IF(J333="CBAM",Worksheet!$R$68,IF(J333="CBLV",Worksheet!$S$68,IF(J333="CBAB",Worksheet!$U$68,IF(J333="CBAW",Worksheet!$X$68,IF(J333="CBE2-12",Worksheet!$Y$68,IF(J333="CBAL2",Worksheet!$Z$68,"N/A"))))))))," ")</f>
        <v xml:space="preserve"> </v>
      </c>
      <c r="FT333" s="362" t="str">
        <f>IF(L333&gt;0,IF(J333="CBAL2",Worksheet!$P$69,IF(J333="CBE2-24",Worksheet!$Q$69,IF(J333="CBAM",Worksheet!$R$69,IF(J333="CBLV",Worksheet!$S$69,IF(J333="CBAB",Worksheet!$U$69,IF(J333="CBAW",Worksheet!$X$69,IF(J333="CBE2-12",Worksheet!$Y$69,IF(J333="CBAL2",Worksheet!$Z$69,"N/A"))))))))," ")</f>
        <v xml:space="preserve"> </v>
      </c>
      <c r="FU333" s="361" t="str">
        <f t="shared" si="981"/>
        <v xml:space="preserve"> </v>
      </c>
      <c r="FV333" s="362" t="str">
        <f t="shared" si="982"/>
        <v xml:space="preserve"> </v>
      </c>
      <c r="FW333" s="362" t="str">
        <f t="shared" si="983"/>
        <v xml:space="preserve"> </v>
      </c>
      <c r="FX333" s="362" t="str">
        <f t="shared" si="984"/>
        <v xml:space="preserve"> </v>
      </c>
      <c r="FY333" s="355" t="str">
        <f t="shared" si="985"/>
        <v xml:space="preserve"> </v>
      </c>
      <c r="FZ333" s="361" t="str">
        <f t="shared" si="986"/>
        <v xml:space="preserve"> </v>
      </c>
      <c r="GA333" s="347" t="str">
        <f t="shared" si="987"/>
        <v xml:space="preserve"> </v>
      </c>
      <c r="GB333" s="355" t="str">
        <f t="shared" si="988"/>
        <v xml:space="preserve"> </v>
      </c>
      <c r="GC333" s="328" t="str">
        <f t="shared" si="989"/>
        <v xml:space="preserve"> </v>
      </c>
      <c r="GD333" s="361" t="str">
        <f t="shared" si="990"/>
        <v xml:space="preserve"> </v>
      </c>
      <c r="GE333" s="347" t="str">
        <f t="shared" si="991"/>
        <v xml:space="preserve"> </v>
      </c>
      <c r="GF333" s="361" t="str">
        <f t="shared" si="992"/>
        <v xml:space="preserve"> </v>
      </c>
      <c r="GG333" s="347" t="str">
        <f t="shared" si="993"/>
        <v xml:space="preserve"> </v>
      </c>
      <c r="GH333" s="364">
        <f t="shared" si="887"/>
        <v>0</v>
      </c>
      <c r="GI333" s="362">
        <f t="shared" si="994"/>
        <v>2</v>
      </c>
      <c r="GJ333" s="433" t="e">
        <f>IF(6-COUNTBLANK(GT333:GY333)=4,MATCH(MID(BO333,9,3),CLU!$H$16:$K$16),MATCH(MID(BO333,9,3),CLU!$H$13:$M$13))</f>
        <v>#N/A</v>
      </c>
      <c r="GK333" s="433" t="e">
        <f>HLOOKUP(VALUE(BP333),CLU!$H$9:$M$10,2)</f>
        <v>#VALUE!</v>
      </c>
      <c r="GL333" s="433" t="e">
        <f ca="1">MATCH(BU333,CLU!$H$2:$V$2,1)</f>
        <v>#VALUE!</v>
      </c>
      <c r="GM333" s="433" t="e">
        <f t="shared" ca="1" si="995"/>
        <v>#VALUE!</v>
      </c>
      <c r="GN333" s="433" t="e">
        <f t="shared" ca="1" si="996"/>
        <v>#VALUE!</v>
      </c>
      <c r="GO333" s="433" t="e">
        <f t="shared" ca="1" si="997"/>
        <v>#VALUE!</v>
      </c>
      <c r="GP333" s="433" t="e">
        <f t="shared" ca="1" si="998"/>
        <v>#VALUE!</v>
      </c>
      <c r="GQ333" s="433" t="e">
        <f t="shared" ca="1" si="999"/>
        <v>#VALUE!</v>
      </c>
      <c r="GR333" s="433" t="e">
        <f ca="1">MATCH(T333,INDIRECT(VLOOKUP(CONCATENATE(LEFT(BO333,7),"-",MID(BO333,13,1)),CLU!$P$3:$Q$16,2)),1)</f>
        <v>#N/A</v>
      </c>
      <c r="GS333" s="433" t="e">
        <f ca="1">MATCH(U333,INDIRECT(VLOOKUP(CONCATENATE(LEFT(BO333,7),"-",MID(BO333,13,1)),CLU!$P$3:$Q$16,2)),1)</f>
        <v>#N/A</v>
      </c>
      <c r="GT333" s="347" t="s">
        <v>512</v>
      </c>
      <c r="GU333" s="97" t="s">
        <v>513</v>
      </c>
      <c r="GV333" s="97" t="str">
        <f t="shared" si="1000"/>
        <v>M23</v>
      </c>
      <c r="GW333" s="97" t="str">
        <f t="shared" si="1001"/>
        <v>M31</v>
      </c>
      <c r="GX333" s="97" t="str">
        <f t="shared" si="1002"/>
        <v/>
      </c>
      <c r="GY333" s="97" t="str">
        <f t="shared" si="1003"/>
        <v/>
      </c>
      <c r="GZ333" s="481"/>
      <c r="HA333" s="240"/>
      <c r="HB333" s="240"/>
      <c r="HC333" s="240"/>
      <c r="HD333" s="240"/>
      <c r="HE333" s="240"/>
      <c r="HF333" s="240"/>
      <c r="HG333" s="240"/>
      <c r="HH333" s="240"/>
      <c r="HI333" s="240"/>
      <c r="HJ333" s="240"/>
      <c r="HK333" s="240"/>
      <c r="HL333" s="240"/>
      <c r="HM333" s="240"/>
      <c r="HN333" s="240"/>
      <c r="HO333" s="240"/>
      <c r="HP333" s="240"/>
      <c r="HQ333" s="240"/>
      <c r="HR333" s="240"/>
      <c r="HS333" s="240"/>
      <c r="HT333" s="240"/>
      <c r="HU333" s="240"/>
      <c r="HV333" s="245"/>
      <c r="HW333" s="245" t="b">
        <v>1</v>
      </c>
      <c r="HX333" s="245" t="str">
        <f t="shared" si="888"/>
        <v/>
      </c>
      <c r="HY333" s="245" t="e">
        <f t="shared" si="889"/>
        <v>#DIV/0!</v>
      </c>
      <c r="HZ333" s="245" t="e">
        <f t="shared" si="890"/>
        <v>#DIV/0!</v>
      </c>
      <c r="IA333" s="245">
        <f t="shared" si="891"/>
        <v>0</v>
      </c>
      <c r="IB333" s="245"/>
      <c r="IC333" t="b">
        <f t="shared" si="892"/>
        <v>1</v>
      </c>
      <c r="ID333" s="245" t="b">
        <f t="shared" si="893"/>
        <v>1</v>
      </c>
      <c r="IE333" s="245" t="b">
        <f t="shared" si="894"/>
        <v>1</v>
      </c>
      <c r="IF333" s="245" t="b">
        <f t="shared" si="895"/>
        <v>0</v>
      </c>
      <c r="IG333" s="245" t="b">
        <f t="shared" si="896"/>
        <v>1</v>
      </c>
      <c r="IH333" s="245" t="b">
        <f t="shared" si="897"/>
        <v>1</v>
      </c>
      <c r="II333" s="245">
        <f t="shared" si="1004"/>
        <v>0</v>
      </c>
      <c r="IJ333" s="245" t="e">
        <f t="shared" si="898"/>
        <v>#VALUE!</v>
      </c>
      <c r="IK333" s="245" t="e">
        <f t="shared" si="899"/>
        <v>#VALUE!</v>
      </c>
      <c r="IL333" s="245"/>
      <c r="IM333" s="245" t="e">
        <f t="shared" si="1005"/>
        <v>#N/A</v>
      </c>
      <c r="IN333" s="245" t="e">
        <f t="shared" si="1006"/>
        <v>#N/A</v>
      </c>
      <c r="IO333" s="245"/>
      <c r="IP333" s="245"/>
      <c r="IQ333" s="245" t="str">
        <f t="shared" si="900"/>
        <v/>
      </c>
      <c r="IR333" s="245" t="str">
        <f>IF(J333="","",VLOOKUP(J333,Worksheet!$R$4:$T$14,2))</f>
        <v/>
      </c>
      <c r="IS333" s="245"/>
      <c r="IT333" s="245">
        <f t="shared" si="901"/>
        <v>0</v>
      </c>
      <c r="IU333" s="245">
        <f t="shared" si="902"/>
        <v>0</v>
      </c>
      <c r="IV333" s="245">
        <f t="shared" si="903"/>
        <v>0</v>
      </c>
      <c r="IW333" s="245">
        <f t="shared" si="904"/>
        <v>0</v>
      </c>
      <c r="IX333" s="245">
        <f t="shared" si="1007"/>
        <v>0</v>
      </c>
      <c r="IY333" s="245">
        <f t="shared" si="905"/>
        <v>0</v>
      </c>
      <c r="IZ333" s="245">
        <f t="shared" si="906"/>
        <v>0</v>
      </c>
      <c r="JA333">
        <f t="shared" si="907"/>
        <v>0</v>
      </c>
      <c r="JB333">
        <f t="shared" si="1008"/>
        <v>0</v>
      </c>
      <c r="JC333">
        <f t="shared" si="908"/>
        <v>0</v>
      </c>
      <c r="JD333">
        <f t="shared" si="909"/>
        <v>0</v>
      </c>
      <c r="JE333">
        <f t="shared" si="910"/>
        <v>0</v>
      </c>
      <c r="JF333">
        <f t="shared" si="911"/>
        <v>0</v>
      </c>
      <c r="JG333">
        <f t="shared" si="912"/>
        <v>0</v>
      </c>
      <c r="JH333">
        <f t="shared" si="913"/>
        <v>0</v>
      </c>
      <c r="JI333">
        <f t="shared" si="914"/>
        <v>0</v>
      </c>
      <c r="JJ333" s="447">
        <f t="shared" si="915"/>
        <v>0</v>
      </c>
      <c r="JK333" s="447">
        <f t="shared" si="916"/>
        <v>0</v>
      </c>
      <c r="JL333">
        <f t="shared" si="917"/>
        <v>0</v>
      </c>
      <c r="JM333" s="245" t="str">
        <f>IFERROR(VLOOKUP(MATCH(BN333,#REF!,0),#REF!,7),"")</f>
        <v/>
      </c>
      <c r="JN333" t="e">
        <f>HLOOKUP(LEFT(BO333,7),Discharge_Area,MATCH(JO333,LookUps!$B$130:$B$149,1)+2)</f>
        <v>#N/A</v>
      </c>
      <c r="JO333" t="str">
        <f t="shared" si="918"/>
        <v>- S</v>
      </c>
      <c r="JP333" t="e">
        <f>HLOOKUP(LEFT(BO333,7),Discharge_Area,MATCH(JO333,LookUps!$B$130:$B$149,1)+2)</f>
        <v>#N/A</v>
      </c>
      <c r="JQ333" t="e">
        <f t="shared" si="919"/>
        <v>#N/A</v>
      </c>
      <c r="JR333" t="e">
        <f t="shared" si="920"/>
        <v>#N/A</v>
      </c>
      <c r="JS333" t="e">
        <f t="shared" si="921"/>
        <v>#N/A</v>
      </c>
      <c r="JT333" s="532" t="str">
        <f t="shared" si="922"/>
        <v xml:space="preserve"> </v>
      </c>
      <c r="JU333" s="532" t="str">
        <f t="shared" si="923"/>
        <v xml:space="preserve"> </v>
      </c>
      <c r="JV333" s="533" t="str">
        <f t="shared" si="924"/>
        <v xml:space="preserve"> </v>
      </c>
      <c r="JW333" s="534">
        <f t="shared" si="925"/>
        <v>0</v>
      </c>
      <c r="JX333" s="535" t="str">
        <f t="shared" si="1009"/>
        <v xml:space="preserve"> </v>
      </c>
      <c r="JY333" s="535" t="str">
        <f t="shared" si="1010"/>
        <v xml:space="preserve"> </v>
      </c>
      <c r="JZ333" s="535" t="str">
        <f t="shared" si="1011"/>
        <v xml:space="preserve"> </v>
      </c>
      <c r="KA333" s="536" t="str">
        <f t="shared" si="926"/>
        <v xml:space="preserve"> </v>
      </c>
      <c r="KB333" s="535" t="e">
        <f t="shared" si="1012"/>
        <v>#VALUE!</v>
      </c>
      <c r="KC333" s="535" t="str">
        <f t="shared" si="927"/>
        <v/>
      </c>
      <c r="KD333" s="537" t="str">
        <f t="shared" si="1013"/>
        <v xml:space="preserve"> </v>
      </c>
      <c r="KE333" s="537" t="str">
        <f t="shared" si="1014"/>
        <v xml:space="preserve"> </v>
      </c>
      <c r="KF333" s="534">
        <f t="shared" si="928"/>
        <v>0</v>
      </c>
      <c r="KG333" s="535" t="str">
        <f t="shared" si="929"/>
        <v xml:space="preserve"> </v>
      </c>
      <c r="KH333" s="535" t="str">
        <f t="shared" si="930"/>
        <v xml:space="preserve"> </v>
      </c>
      <c r="KI333" s="535" t="str">
        <f t="shared" si="931"/>
        <v xml:space="preserve"> </v>
      </c>
      <c r="KJ333" s="536" t="str">
        <f t="shared" si="932"/>
        <v xml:space="preserve"> </v>
      </c>
      <c r="KK333" s="535" t="str">
        <f t="shared" si="1015"/>
        <v xml:space="preserve"> </v>
      </c>
      <c r="KL333" s="535" t="str">
        <f t="shared" si="1016"/>
        <v xml:space="preserve"> </v>
      </c>
      <c r="KM333" s="537" t="str">
        <f t="shared" si="933"/>
        <v xml:space="preserve"> </v>
      </c>
      <c r="KN333" s="537" t="str">
        <f t="shared" si="1017"/>
        <v xml:space="preserve"> </v>
      </c>
      <c r="KP333">
        <f t="shared" si="934"/>
        <v>0</v>
      </c>
      <c r="LA333" t="e">
        <f t="shared" si="935"/>
        <v>#VALUE!</v>
      </c>
      <c r="LB333" t="e">
        <f t="shared" si="936"/>
        <v>#VALUE!</v>
      </c>
      <c r="LC333" t="e">
        <f t="shared" si="937"/>
        <v>#VALUE!</v>
      </c>
      <c r="LD333" t="e">
        <f t="shared" si="938"/>
        <v>#VALUE!</v>
      </c>
      <c r="LE333" t="e">
        <f t="shared" si="1018"/>
        <v>#VALUE!</v>
      </c>
      <c r="LF333">
        <f t="shared" si="939"/>
        <v>0</v>
      </c>
      <c r="LG333" t="e">
        <f t="shared" si="1019"/>
        <v>#VALUE!</v>
      </c>
      <c r="LH333" t="str">
        <f t="shared" si="940"/>
        <v xml:space="preserve"> </v>
      </c>
      <c r="LI333">
        <f t="shared" si="1020"/>
        <v>1</v>
      </c>
    </row>
    <row r="334" spans="2:321" ht="15" customHeight="1">
      <c r="B334" s="311"/>
      <c r="C334" s="311"/>
      <c r="D334" s="312"/>
      <c r="E334" s="311"/>
      <c r="F334" s="312"/>
      <c r="G334" s="311"/>
      <c r="H334" s="311"/>
      <c r="I334" s="232"/>
      <c r="J334" s="311"/>
      <c r="K334" s="305" t="str">
        <f t="shared" si="941"/>
        <v/>
      </c>
      <c r="L334" s="313"/>
      <c r="M334" s="312"/>
      <c r="N334" s="311"/>
      <c r="O334" s="312"/>
      <c r="P334" s="311"/>
      <c r="Q334" s="305" t="str">
        <f t="shared" si="942"/>
        <v/>
      </c>
      <c r="R334" s="314"/>
      <c r="S334" s="450" t="str">
        <f t="shared" si="825"/>
        <v/>
      </c>
      <c r="T334" s="315"/>
      <c r="U334" s="315"/>
      <c r="W334" s="149" t="str">
        <f t="shared" si="826"/>
        <v xml:space="preserve"> </v>
      </c>
      <c r="X334" s="243" t="str">
        <f t="shared" si="827"/>
        <v xml:space="preserve"> </v>
      </c>
      <c r="Y334" s="150" t="str">
        <f t="shared" si="828"/>
        <v/>
      </c>
      <c r="Z334" s="149" t="str">
        <f t="shared" si="829"/>
        <v xml:space="preserve"> </v>
      </c>
      <c r="AA334" s="98" t="str">
        <f t="shared" si="830"/>
        <v xml:space="preserve"> </v>
      </c>
      <c r="AB334" s="153" t="str">
        <f t="shared" si="831"/>
        <v xml:space="preserve"> </v>
      </c>
      <c r="AC334" s="153" t="str">
        <f t="shared" si="832"/>
        <v xml:space="preserve"> </v>
      </c>
      <c r="AD334" s="148" t="str">
        <f t="shared" si="833"/>
        <v/>
      </c>
      <c r="AE334" s="149" t="str">
        <f t="shared" si="834"/>
        <v/>
      </c>
      <c r="AF334" s="151" t="str">
        <f t="shared" si="835"/>
        <v xml:space="preserve"> </v>
      </c>
      <c r="AG334" s="153" t="str">
        <f t="shared" si="836"/>
        <v xml:space="preserve"> </v>
      </c>
      <c r="AH334" s="98" t="str">
        <f t="shared" si="837"/>
        <v xml:space="preserve"> </v>
      </c>
      <c r="AI334" s="149" t="str">
        <f t="shared" si="838"/>
        <v xml:space="preserve"> </v>
      </c>
      <c r="AK334" s="144" t="str">
        <f t="shared" si="839"/>
        <v xml:space="preserve"> </v>
      </c>
      <c r="AL334" s="144"/>
      <c r="AM334" s="243" t="str">
        <f t="shared" si="840"/>
        <v xml:space="preserve"> </v>
      </c>
      <c r="AN334" s="149" t="str">
        <f t="shared" si="943"/>
        <v xml:space="preserve"> </v>
      </c>
      <c r="AO334" s="144" t="str">
        <f>IF(JB334&gt;0,IF(GI334=10,-R334*1.085*(Calculation!$F$6-Calculation!$F$13)*$S$14," "),"")</f>
        <v/>
      </c>
      <c r="AP334" s="144" t="str">
        <f t="shared" si="841"/>
        <v/>
      </c>
      <c r="AQ334" s="56" t="str">
        <f t="shared" si="842"/>
        <v/>
      </c>
      <c r="AR334" s="144" t="str">
        <f t="shared" si="843"/>
        <v/>
      </c>
      <c r="AS334" s="176" t="str">
        <f t="shared" si="844"/>
        <v/>
      </c>
      <c r="AT334" s="176" t="str">
        <f t="shared" si="944"/>
        <v xml:space="preserve"> </v>
      </c>
      <c r="AU334" s="176" t="str">
        <f t="shared" si="845"/>
        <v/>
      </c>
      <c r="AV334" s="177" t="str">
        <f t="shared" si="846"/>
        <v xml:space="preserve"> </v>
      </c>
      <c r="AW334" s="144" t="str">
        <f t="shared" si="847"/>
        <v xml:space="preserve"> </v>
      </c>
      <c r="AX334" s="144" t="str">
        <f t="shared" si="848"/>
        <v xml:space="preserve"> </v>
      </c>
      <c r="AY334" s="152" t="str">
        <f t="shared" si="849"/>
        <v xml:space="preserve"> </v>
      </c>
      <c r="AZ334" s="246" t="str">
        <f t="shared" si="850"/>
        <v/>
      </c>
      <c r="BA334" s="176" t="str">
        <f t="shared" si="851"/>
        <v xml:space="preserve"> </v>
      </c>
      <c r="BB334" s="176" t="str">
        <f t="shared" si="852"/>
        <v xml:space="preserve"> </v>
      </c>
      <c r="BC334" s="195"/>
      <c r="BD334" s="316"/>
      <c r="BE334" s="317"/>
      <c r="BF334" s="318"/>
      <c r="BG334" s="318"/>
      <c r="BH334" s="144" t="str">
        <f t="shared" si="1021"/>
        <v xml:space="preserve"> </v>
      </c>
      <c r="BI334" s="176" t="str">
        <f t="shared" si="853"/>
        <v/>
      </c>
      <c r="BJ334" s="144" t="str">
        <f t="shared" si="1022"/>
        <v/>
      </c>
      <c r="BK334" s="246" t="str">
        <f t="shared" si="854"/>
        <v/>
      </c>
      <c r="BL334" s="144" t="str">
        <f t="shared" si="1023"/>
        <v/>
      </c>
      <c r="BM334" s="246" t="str">
        <f t="shared" si="855"/>
        <v/>
      </c>
      <c r="BN334" s="337" t="str">
        <f t="shared" si="945"/>
        <v/>
      </c>
      <c r="BO334" s="371" t="str">
        <f t="shared" si="946"/>
        <v/>
      </c>
      <c r="BP334" s="328" t="str">
        <f t="shared" si="1024"/>
        <v xml:space="preserve"> </v>
      </c>
      <c r="BQ334" s="347" t="str">
        <f t="shared" si="947"/>
        <v xml:space="preserve"> </v>
      </c>
      <c r="BR334" s="353" t="str">
        <f t="shared" si="948"/>
        <v xml:space="preserve"> </v>
      </c>
      <c r="BS334" s="626" t="str">
        <f>IF(L334&gt;0,IF(Calculation!P334="M13",BR334*3.1416*(0.134^2)/(4*144),IF(Calculation!P334="M17",BR334*3.1416*(0.165^2)/(4*144),IF(Calculation!P334="M20",BR334*3.1416*(0.198^2)/(4*144),IF(Calculation!P334="M23",BR334*3.1416*(0.228^2)/(4*144),IF(Calculation!P334="M27",BR334*3.1416*(0.269^2)/(4*144),BR334*3.1416*(0.307^2)/(4*144))))))," ")</f>
        <v xml:space="preserve"> </v>
      </c>
      <c r="BT334" s="353" t="str">
        <f>IF(L334&gt;0,IF(BS334&gt;0,R334/Calculation!BS334,0)," ")</f>
        <v xml:space="preserve"> </v>
      </c>
      <c r="BU334" s="438" t="e">
        <f t="shared" ca="1" si="856"/>
        <v>#VALUE!</v>
      </c>
      <c r="BV334" s="449" t="e">
        <f ca="1">INDEX(INDIRECT(VLOOKUP(LEFT(BO334,7),CLU!$Z$3:$AH$18,2)),GN334,GR334)</f>
        <v>#N/A</v>
      </c>
      <c r="BW334" s="433" t="e">
        <f ca="1">INDEX(INDIRECT(VLOOKUP(LEFT(BO334,7),CLU!$Z$3:$AH$18,3)),GN334,GR334)</f>
        <v>#N/A</v>
      </c>
      <c r="BX334" s="433" t="e">
        <f ca="1">INDEX(INDIRECT(VLOOKUP(LEFT(BO334,7),CLU!$Z$3:$AH$18,4)),GN334,GR334)</f>
        <v>#N/A</v>
      </c>
      <c r="BY334" s="433" t="e">
        <f ca="1">INDEX(INDIRECT(VLOOKUP(LEFT(BO334,7),CLU!$Z$3:$AH$18,9)),((M334-2)*(6-COUNTBLANK(GT334:GY334)))+GJ334)</f>
        <v>#N/A</v>
      </c>
      <c r="BZ334" s="426" t="e">
        <f t="shared" ca="1" si="949"/>
        <v>#N/A</v>
      </c>
      <c r="CA334" s="424" t="e">
        <f t="shared" ca="1" si="950"/>
        <v>#N/A</v>
      </c>
      <c r="CB334" s="429" t="e">
        <f ca="1">INDEX(INDIRECT(VLOOKUP(LEFT(BO334,7),CLU!$Z$3:$AH$18,2)),GN334,GS334)</f>
        <v>#N/A</v>
      </c>
      <c r="CC334" s="342" t="e">
        <f ca="1">INDEX(INDIRECT(VLOOKUP(LEFT(BO334,7),CLU!$Z$3:$AH$18,3)),GN334,GS334)</f>
        <v>#N/A</v>
      </c>
      <c r="CD334" s="342" t="e">
        <f ca="1">INDEX(INDIRECT(VLOOKUP(LEFT(BO334,7),CLU!$Z$3:$AH$18,4)),GN334,GS334)</f>
        <v>#N/A</v>
      </c>
      <c r="CE334" s="426" t="e">
        <f t="shared" ca="1" si="951"/>
        <v>#N/A</v>
      </c>
      <c r="CF334" s="440">
        <f t="shared" si="952"/>
        <v>0</v>
      </c>
      <c r="CG334" s="431" t="e">
        <f ca="1">INDEX(INDIRECT(VLOOKUP(LEFT(BO334,7),CLU!$Z$3:$AH$18,2)),GQ334,GR334)</f>
        <v>#N/A</v>
      </c>
      <c r="CH334" s="431" t="e">
        <f ca="1">INDEX(INDIRECT(VLOOKUP(LEFT(BO334,7),CLU!$Z$3:$AH$18,3)),GQ334,GR334)</f>
        <v>#N/A</v>
      </c>
      <c r="CI334" s="431" t="e">
        <f ca="1">INDEX(INDIRECT(VLOOKUP(LEFT(BO334,7),CLU!$Z$3:$AH$18,4)),GQ334,GR334)</f>
        <v>#N/A</v>
      </c>
      <c r="CJ334" s="448" t="e">
        <f t="shared" ca="1" si="953"/>
        <v>#N/A</v>
      </c>
      <c r="CK334" s="431" t="e">
        <f t="shared" ca="1" si="954"/>
        <v>#N/A</v>
      </c>
      <c r="CL334" s="440" t="e">
        <f t="shared" ca="1" si="955"/>
        <v>#N/A</v>
      </c>
      <c r="CM334" s="431" t="e">
        <f ca="1">INDEX(INDIRECT(VLOOKUP(LEFT(BO334,7),CLU!$Z$3:$AH$18,2)),GQ334,GS334)</f>
        <v>#N/A</v>
      </c>
      <c r="CN334" s="431" t="e">
        <f ca="1">INDEX(INDIRECT(VLOOKUP(LEFT(BO334,7),CLU!$Z$3:$AH$18,3)),GQ334,GS334)</f>
        <v>#N/A</v>
      </c>
      <c r="CO334" s="431" t="e">
        <f ca="1">INDEX(INDIRECT(VLOOKUP(LEFT(BO334,7),CLU!$Z$3:$AH$18,4)),GQ334,GS334)</f>
        <v>#N/A</v>
      </c>
      <c r="CP334" s="431" t="e">
        <f t="shared" ca="1" si="956"/>
        <v>#N/A</v>
      </c>
      <c r="CQ334" s="440">
        <f t="shared" si="957"/>
        <v>0</v>
      </c>
      <c r="CR334" s="51" t="e">
        <f t="shared" ca="1" si="958"/>
        <v>#N/A</v>
      </c>
      <c r="CS334" s="439" t="e">
        <f t="shared" ca="1" si="959"/>
        <v>#VALUE!</v>
      </c>
      <c r="CT334" s="51" t="e">
        <f t="shared" ca="1" si="960"/>
        <v>#VALUE!</v>
      </c>
      <c r="CU334" s="10"/>
      <c r="CV334" s="51" t="e">
        <f t="shared" ca="1" si="857"/>
        <v>#VALUE!</v>
      </c>
      <c r="CW334" s="51">
        <f t="shared" si="961"/>
        <v>0</v>
      </c>
      <c r="CX334" s="439" t="e">
        <f t="shared" ca="1" si="962"/>
        <v>#VALUE!</v>
      </c>
      <c r="CY334" s="51" t="e">
        <f t="shared" ca="1" si="963"/>
        <v>#VALUE!</v>
      </c>
      <c r="CZ334" s="10"/>
      <c r="DA334" s="51" t="e">
        <f t="shared" ca="1" si="964"/>
        <v>#VALUE!</v>
      </c>
      <c r="DB334" s="347" t="e">
        <f ca="1">INDEX(INDIRECT(VLOOKUP(LEFT(BO334,7),CLU!$Z$3:$AI$18,10)),((M334-2)*(6-COUNTBLANK(GT334:GY334)))+GJ334)*LI334</f>
        <v>#N/A</v>
      </c>
      <c r="DC334" s="347" t="str">
        <f>IF(L334&gt;0,((R334/Worksheet!$I$15)/DB334)^2," ")</f>
        <v xml:space="preserve"> </v>
      </c>
      <c r="DD334" s="602" t="str">
        <f t="shared" si="965"/>
        <v xml:space="preserve"> </v>
      </c>
      <c r="DE334" s="347" t="str">
        <f t="shared" si="858"/>
        <v xml:space="preserve"> </v>
      </c>
      <c r="DF334" s="356" t="e">
        <f ca="1">INDEX(INDIRECT(VLOOKUP(LEFT(BO334,7),CLU!$Z$3:$AH$18,8)),((M334-2)*(6-COUNTBLANK(GT334:GY334)))+GJ334)</f>
        <v>#N/A</v>
      </c>
      <c r="DG334" s="347" t="str">
        <f t="shared" si="859"/>
        <v xml:space="preserve"> </v>
      </c>
      <c r="DH334" s="357" t="str">
        <f t="shared" si="860"/>
        <v xml:space="preserve"> </v>
      </c>
      <c r="DI334" s="355" t="str">
        <f t="shared" si="861"/>
        <v xml:space="preserve"> </v>
      </c>
      <c r="DJ334" s="245" t="e">
        <f ca="1">INDEX(INDIRECT(VLOOKUP(LEFT(BO334,7),CLU!$Z$3:$AH$18,5)),GL334,GK334)</f>
        <v>#N/A</v>
      </c>
      <c r="DK334" s="245" t="e">
        <f ca="1">INDEX(INDIRECT(VLOOKUP(LEFT(BO334,7),CLU!$Z$3:$AH$18,6)),GL334,GK334)</f>
        <v>#N/A</v>
      </c>
      <c r="DL334" s="355">
        <f>(Calculation!R334*0.69143*(Calculation!$BQ$8-Calculation!$F$8))*$S$14</f>
        <v>0</v>
      </c>
      <c r="DM334" s="359" t="e">
        <f t="shared" si="966"/>
        <v>#VALUE!</v>
      </c>
      <c r="DN334" s="611">
        <f t="shared" si="967"/>
        <v>0</v>
      </c>
      <c r="DO334" s="359">
        <f t="shared" si="968"/>
        <v>100</v>
      </c>
      <c r="DP334" s="359">
        <f t="shared" si="969"/>
        <v>0</v>
      </c>
      <c r="DQ334" s="360"/>
      <c r="DR334" s="245" t="e">
        <f ca="1">INDEX(INDIRECT(VLOOKUP(LEFT(BO334,7),CLU!$Z$3:$AH$18,7)),M334-1,1)</f>
        <v>#N/A</v>
      </c>
      <c r="DS334" s="245" t="e">
        <f ca="1">INDEX(INDIRECT(VLOOKUP(LEFT(BO334,7),CLU!$Z$3:$AH$18,7)),M334-1,2)</f>
        <v>#N/A</v>
      </c>
      <c r="DT334" s="245" t="e">
        <f ca="1">INDEX(INDIRECT(VLOOKUP(LEFT(BO334,7),CLU!$Z$3:$AH$18,7)),M334-1,3)</f>
        <v>#N/A</v>
      </c>
      <c r="DU334" s="245" t="e">
        <f ca="1">INDEX(INDIRECT(VLOOKUP(LEFT(BO334,7),CLU!$Z$3:$AH$18,7)),M334-1,4)</f>
        <v>#N/A</v>
      </c>
      <c r="DV334" s="361" t="e">
        <f ca="1">INDEX(INDIRECT(VLOOKUP(LEFT(BO334,7),CLU!$Z$3:$AH$18,7)),M334-1,4+LEFT(DZ334,1)*0.5)</f>
        <v>#N/A</v>
      </c>
      <c r="DW334" s="245" t="e">
        <f ca="1">INDEX(INDIRECT(VLOOKUP(LEFT(BO334,7),CLU!$Z$3:$AH$18,7)),M334-1,8)</f>
        <v>#N/A</v>
      </c>
      <c r="DX334" s="361" t="str">
        <f t="shared" si="862"/>
        <v xml:space="preserve"> </v>
      </c>
      <c r="DY334" s="361" t="str">
        <f t="shared" si="863"/>
        <v xml:space="preserve"> </v>
      </c>
      <c r="DZ334" s="361" t="str">
        <f t="shared" si="864"/>
        <v xml:space="preserve"> </v>
      </c>
      <c r="EA334" s="362" t="str">
        <f t="shared" si="865"/>
        <v xml:space="preserve"> </v>
      </c>
      <c r="EB334" s="624" t="str">
        <f t="shared" si="970"/>
        <v xml:space="preserve"> </v>
      </c>
      <c r="EC334" s="361" t="e">
        <f ca="1">INDEX(INDIRECT(VLOOKUP(LEFT(BO334,7),CLU!$Z$3:$AH$18,7)),M334-1,4+LEFT(DZ334,1)*0.5)</f>
        <v>#N/A</v>
      </c>
      <c r="ED334" s="362" t="str">
        <f t="shared" si="866"/>
        <v xml:space="preserve"> </v>
      </c>
      <c r="EE334" s="361" t="str">
        <f t="shared" si="867"/>
        <v xml:space="preserve"> </v>
      </c>
      <c r="EF334" s="362" t="str">
        <f>IF(L334&gt;0,IF(BR334&gt;0,IF(EE334="2P",IF(Calculation!DZ334="2P",IF(Calculation!DS334=13.75,IF(Calculation!DR334=13,Worksheet!$BD$43,IF(Calculation!DR334=37,Worksheet!$BD$44,Worksheet!$BD$45)),IF(Calculation!DS334=10,IF(Calculation!DR334=18,Worksheet!$BD$29,IF(Calculation!DR334=30,Worksheet!$BD$30,IF(Calculation!DR334=42,Worksheet!$BD$31,IF(Calculation!DR334=54,Worksheet!$BD$32,IF(Calculation!DR334=66,Worksheet!$BD$33,IF(Calculation!DR334=78,Worksheet!$BD$34,IF(Calculation!DR334=90,Worksheet!$BD$35,IF(Calculation!DR334=102,Worksheet!$BD$36,Worksheet!$BD$37)))))))),IF(Calculation!DS334=12.5,IF(Calculation!DR334=18,Worksheet!$BD$38,IF(Calculation!DR334=Worksheet!$BD$39,IF(Calculation!DR334=42,Worksheet!$BD$40,IF(Calculation!DR334=54,Worksheet!$BD$41,Worksheet!$BD$42)))),IF(Calculation!DR334=18,Worksheet!$BD$11,IF(Calculation!DR334=30,Worksheet!$BD$12,IF(Calculation!DR334=42,Worksheet!$BD$13,IF(Calculation!DR334=54,Worksheet!$BD$14,IF(Calculation!DR334=66,Worksheet!$BD$15,IF(Calculation!DR334=78,Worksheet!$BD$16,IF(Calculation!DR334=90,Worksheet!$BD$17,IF(Calculation!DR334=102,Worksheet!$BD$18,Worksheet!$BD$19))))))))))),IF(Calculation!DS334=13.75,IF(Calculation!DR334=13,Worksheet!$BD$78,IF(Calculation!DR334=37,Worksheet!$BD$79,Worksheet!$BD$80)),IF(Calculation!DS334=10,IF(Calculation!DR334=18,Worksheet!$BD$64,IF(Calculation!DR334=30,Worksheet!$BD$65,IF(Calculation!DR334=42,Worksheet!$BD$66,IF(Calculation!DR334=54,Worksheet!$BD$68,IF(Calculation!DR334=66,Worksheet!$BD$68,IF(Calculation!DR334=78,Worksheet!$BD$69,IF(Calculation!DR334=90,Worksheet!$BD$70,IF(Calculation!DR334=102,Worksheet!$BD$71,Worksheet!$BD$72)))))))),IF(Calculation!DS334=12.5,IF(Calculation!DR334=18,Worksheet!$BD$73,IF(Calculation!DR334=Worksheet!$BD$74,IF(Calculation!DR334=42,Worksheet!$BD$75,IF(Calculation!DR334=54,Worksheet!$BD$76,Worksheet!$BD$77)))),IF(Calculation!DR334=18,Worksheet!$BD$55,IF(Calculation!DR334=30,Worksheet!$BD$56,IF(Calculation!DR334=42,Worksheet!$BD$57,IF(Calculation!DR334=54,Worksheet!$BD$58,IF(Calculation!DR334=66,Worksheet!$BD$59,IF(Calculation!DR334=78,Worksheet!$BD$60,IF(Calculation!DR334=90,Worksheet!$BD$61,IF(Calculation!DR334=102,Worksheet!$BD$62,Worksheet!$BD$63)))))))))))),5),0)," ")</f>
        <v xml:space="preserve"> </v>
      </c>
      <c r="EG334" s="361" t="str">
        <f t="shared" si="868"/>
        <v xml:space="preserve"> </v>
      </c>
      <c r="EH334" s="361" t="e">
        <f ca="1">INDEX(INDIRECT(VLOOKUP(LEFT(BO334,7),CLU!$Z$3:$AH$18,7)),M334-1,3+LEFT(DZ334,1))</f>
        <v>#N/A</v>
      </c>
      <c r="EI334" s="362" t="str">
        <f t="shared" si="869"/>
        <v xml:space="preserve"> </v>
      </c>
      <c r="EJ334" s="363" t="str">
        <f t="shared" si="870"/>
        <v xml:space="preserve"> </v>
      </c>
      <c r="EK334" s="363" t="str">
        <f t="shared" si="871"/>
        <v xml:space="preserve"> </v>
      </c>
      <c r="EL334" s="363" t="str">
        <f t="shared" si="872"/>
        <v xml:space="preserve"> </v>
      </c>
      <c r="EM334" s="362" t="str">
        <f>IF(L334&gt;0,IF(BR334&gt;0,(Calculation!T334/ED334)^2,0)," ")</f>
        <v xml:space="preserve"> </v>
      </c>
      <c r="EN334" s="362" t="str">
        <f>IF(L334&gt;0,IF(O334="2 Pipe (Cooling)","N/A",IF(BR334&gt;0,(Calculation!U334/EI334)^2,0))," ")</f>
        <v xml:space="preserve"> </v>
      </c>
      <c r="EO334" s="361" t="str">
        <f t="shared" si="873"/>
        <v/>
      </c>
      <c r="EP334" s="361" t="str">
        <f t="shared" si="874"/>
        <v/>
      </c>
      <c r="EQ334" s="361" t="str">
        <f t="shared" si="875"/>
        <v/>
      </c>
      <c r="ER334" s="361" t="str">
        <f t="shared" si="876"/>
        <v/>
      </c>
      <c r="ES334" s="361" t="str">
        <f t="shared" si="877"/>
        <v/>
      </c>
      <c r="ET334" s="361" t="str">
        <f t="shared" si="878"/>
        <v/>
      </c>
      <c r="EU334" s="361" t="str">
        <f t="shared" si="879"/>
        <v/>
      </c>
      <c r="EV334" s="361" t="str">
        <f t="shared" si="880"/>
        <v/>
      </c>
      <c r="EW334" s="361" t="str">
        <f t="shared" si="881"/>
        <v/>
      </c>
      <c r="EX334" s="361" t="str">
        <f t="shared" si="971"/>
        <v>1 slot, 1 way</v>
      </c>
      <c r="EY334" s="361" t="str">
        <f t="shared" si="972"/>
        <v xml:space="preserve"> </v>
      </c>
      <c r="EZ334" s="361" t="str">
        <f t="shared" si="973"/>
        <v xml:space="preserve"> </v>
      </c>
      <c r="FA334" s="361" t="str">
        <f t="shared" si="974"/>
        <v xml:space="preserve"> </v>
      </c>
      <c r="FB334" s="361" t="str">
        <f t="shared" si="975"/>
        <v xml:space="preserve"> </v>
      </c>
      <c r="FC334" s="361"/>
      <c r="FD334" s="361" t="str">
        <f>IF(J334&gt;0,IF(Calculation!R334&lt;=70,4,IF(Calculation!R334&lt;=110,5,IF(Calculation!R334&lt;=160,6,IF(Calculation!R334&lt;=300,8,"10 EO")))),"")</f>
        <v/>
      </c>
      <c r="FE334" s="361" t="str">
        <f t="shared" si="976"/>
        <v/>
      </c>
      <c r="FF334" s="361" t="str">
        <f t="shared" si="977"/>
        <v/>
      </c>
      <c r="FG334" s="361" t="e">
        <f t="shared" si="882"/>
        <v>#N/A</v>
      </c>
      <c r="FH334" s="361">
        <f t="shared" si="883"/>
        <v>0</v>
      </c>
      <c r="FI334" s="361" t="e">
        <f t="shared" si="884"/>
        <v>#DIV/0!</v>
      </c>
      <c r="FJ334" s="361"/>
      <c r="FK334" s="356" t="e">
        <f t="shared" si="885"/>
        <v>#VALUE!</v>
      </c>
      <c r="FL334" s="361"/>
      <c r="FM334" s="361"/>
      <c r="FN334" s="362" t="str">
        <f t="shared" si="978"/>
        <v xml:space="preserve"> </v>
      </c>
      <c r="FO334" s="362" t="str">
        <f t="shared" si="979"/>
        <v xml:space="preserve"> </v>
      </c>
      <c r="FP334" s="362">
        <f t="shared" si="980"/>
        <v>0</v>
      </c>
      <c r="FQ334" s="361">
        <f t="shared" si="886"/>
        <v>0</v>
      </c>
      <c r="FR334" s="362" t="str">
        <f>IF(L334&gt;0,IF(J334="CBAL2",Worksheet!$P$67,IF(J334="CBE2-24",Worksheet!$Q$67,IF(J334="CBAM",Worksheet!$R$67,IF(J334="CBLV",Worksheet!$S$67,IF(J334="CBAB",Worksheet!$U$67,IF(J334="CBAW",Worksheet!$X$67,IF(J334="CBE2-12",Worksheet!$Y$67,IF(J334="CBAL2",Worksheet!$Z$67,"N/A"))))))))," ")</f>
        <v xml:space="preserve"> </v>
      </c>
      <c r="FS334" s="362" t="str">
        <f>IF(L334&gt;0,IF(J334="CBAL2",Worksheet!$P$68,IF(J334="CBE2-24",Worksheet!$Q$68,IF(J334="CBAM",Worksheet!$R$68,IF(J334="CBLV",Worksheet!$S$68,IF(J334="CBAB",Worksheet!$U$68,IF(J334="CBAW",Worksheet!$X$68,IF(J334="CBE2-12",Worksheet!$Y$68,IF(J334="CBAL2",Worksheet!$Z$68,"N/A"))))))))," ")</f>
        <v xml:space="preserve"> </v>
      </c>
      <c r="FT334" s="362" t="str">
        <f>IF(L334&gt;0,IF(J334="CBAL2",Worksheet!$P$69,IF(J334="CBE2-24",Worksheet!$Q$69,IF(J334="CBAM",Worksheet!$R$69,IF(J334="CBLV",Worksheet!$S$69,IF(J334="CBAB",Worksheet!$U$69,IF(J334="CBAW",Worksheet!$X$69,IF(J334="CBE2-12",Worksheet!$Y$69,IF(J334="CBAL2",Worksheet!$Z$69,"N/A"))))))))," ")</f>
        <v xml:space="preserve"> </v>
      </c>
      <c r="FU334" s="361" t="str">
        <f t="shared" si="981"/>
        <v xml:space="preserve"> </v>
      </c>
      <c r="FV334" s="362" t="str">
        <f t="shared" si="982"/>
        <v xml:space="preserve"> </v>
      </c>
      <c r="FW334" s="362" t="str">
        <f t="shared" si="983"/>
        <v xml:space="preserve"> </v>
      </c>
      <c r="FX334" s="362" t="str">
        <f t="shared" si="984"/>
        <v xml:space="preserve"> </v>
      </c>
      <c r="FY334" s="355" t="str">
        <f t="shared" si="985"/>
        <v xml:space="preserve"> </v>
      </c>
      <c r="FZ334" s="361" t="str">
        <f t="shared" si="986"/>
        <v xml:space="preserve"> </v>
      </c>
      <c r="GA334" s="347" t="str">
        <f t="shared" si="987"/>
        <v xml:space="preserve"> </v>
      </c>
      <c r="GB334" s="355" t="str">
        <f t="shared" si="988"/>
        <v xml:space="preserve"> </v>
      </c>
      <c r="GC334" s="328" t="str">
        <f t="shared" si="989"/>
        <v xml:space="preserve"> </v>
      </c>
      <c r="GD334" s="361" t="str">
        <f t="shared" si="990"/>
        <v xml:space="preserve"> </v>
      </c>
      <c r="GE334" s="347" t="str">
        <f t="shared" si="991"/>
        <v xml:space="preserve"> </v>
      </c>
      <c r="GF334" s="361" t="str">
        <f t="shared" si="992"/>
        <v xml:space="preserve"> </v>
      </c>
      <c r="GG334" s="347" t="str">
        <f t="shared" si="993"/>
        <v xml:space="preserve"> </v>
      </c>
      <c r="GH334" s="364">
        <f t="shared" si="887"/>
        <v>0</v>
      </c>
      <c r="GI334" s="362">
        <f t="shared" si="994"/>
        <v>2</v>
      </c>
      <c r="GJ334" s="433" t="e">
        <f>IF(6-COUNTBLANK(GT334:GY334)=4,MATCH(MID(BO334,9,3),CLU!$H$16:$K$16),MATCH(MID(BO334,9,3),CLU!$H$13:$M$13))</f>
        <v>#N/A</v>
      </c>
      <c r="GK334" s="433" t="e">
        <f>HLOOKUP(VALUE(BP334),CLU!$H$9:$M$10,2)</f>
        <v>#VALUE!</v>
      </c>
      <c r="GL334" s="433" t="e">
        <f ca="1">MATCH(BU334,CLU!$H$2:$V$2,1)</f>
        <v>#VALUE!</v>
      </c>
      <c r="GM334" s="433" t="e">
        <f t="shared" ca="1" si="995"/>
        <v>#VALUE!</v>
      </c>
      <c r="GN334" s="433" t="e">
        <f t="shared" ca="1" si="996"/>
        <v>#VALUE!</v>
      </c>
      <c r="GO334" s="433" t="e">
        <f t="shared" ca="1" si="997"/>
        <v>#VALUE!</v>
      </c>
      <c r="GP334" s="433" t="e">
        <f t="shared" ca="1" si="998"/>
        <v>#VALUE!</v>
      </c>
      <c r="GQ334" s="433" t="e">
        <f t="shared" ca="1" si="999"/>
        <v>#VALUE!</v>
      </c>
      <c r="GR334" s="433" t="e">
        <f ca="1">MATCH(T334,INDIRECT(VLOOKUP(CONCATENATE(LEFT(BO334,7),"-",MID(BO334,13,1)),CLU!$P$3:$Q$16,2)),1)</f>
        <v>#N/A</v>
      </c>
      <c r="GS334" s="433" t="e">
        <f ca="1">MATCH(U334,INDIRECT(VLOOKUP(CONCATENATE(LEFT(BO334,7),"-",MID(BO334,13,1)),CLU!$P$3:$Q$16,2)),1)</f>
        <v>#N/A</v>
      </c>
      <c r="GT334" s="347" t="s">
        <v>512</v>
      </c>
      <c r="GU334" s="97" t="s">
        <v>513</v>
      </c>
      <c r="GV334" s="97" t="str">
        <f t="shared" si="1000"/>
        <v>M23</v>
      </c>
      <c r="GW334" s="97" t="str">
        <f t="shared" si="1001"/>
        <v>M31</v>
      </c>
      <c r="GX334" s="97" t="str">
        <f t="shared" si="1002"/>
        <v/>
      </c>
      <c r="GY334" s="97" t="str">
        <f t="shared" si="1003"/>
        <v/>
      </c>
      <c r="GZ334" s="481"/>
      <c r="HA334" s="240"/>
      <c r="HB334" s="240"/>
      <c r="HC334" s="240"/>
      <c r="HD334" s="240"/>
      <c r="HE334" s="240"/>
      <c r="HF334" s="240"/>
      <c r="HG334" s="240"/>
      <c r="HH334" s="240"/>
      <c r="HI334" s="240"/>
      <c r="HJ334" s="240"/>
      <c r="HK334" s="240"/>
      <c r="HL334" s="240"/>
      <c r="HM334" s="240"/>
      <c r="HN334" s="240"/>
      <c r="HO334" s="240"/>
      <c r="HP334" s="240"/>
      <c r="HQ334" s="240"/>
      <c r="HR334" s="240"/>
      <c r="HS334" s="240"/>
      <c r="HT334" s="240"/>
      <c r="HU334" s="240"/>
      <c r="HV334" s="245"/>
      <c r="HW334" s="245" t="b">
        <v>1</v>
      </c>
      <c r="HX334" s="245" t="str">
        <f t="shared" si="888"/>
        <v/>
      </c>
      <c r="HY334" s="245" t="e">
        <f t="shared" si="889"/>
        <v>#DIV/0!</v>
      </c>
      <c r="HZ334" s="245" t="e">
        <f t="shared" si="890"/>
        <v>#DIV/0!</v>
      </c>
      <c r="IA334" s="245">
        <f t="shared" si="891"/>
        <v>0</v>
      </c>
      <c r="IB334" s="245"/>
      <c r="IC334" t="b">
        <f t="shared" si="892"/>
        <v>1</v>
      </c>
      <c r="ID334" s="245" t="b">
        <f t="shared" si="893"/>
        <v>1</v>
      </c>
      <c r="IE334" s="245" t="b">
        <f t="shared" si="894"/>
        <v>1</v>
      </c>
      <c r="IF334" s="245" t="b">
        <f t="shared" si="895"/>
        <v>0</v>
      </c>
      <c r="IG334" s="245" t="b">
        <f t="shared" si="896"/>
        <v>1</v>
      </c>
      <c r="IH334" s="245" t="b">
        <f t="shared" si="897"/>
        <v>1</v>
      </c>
      <c r="II334" s="245">
        <f t="shared" si="1004"/>
        <v>0</v>
      </c>
      <c r="IJ334" s="245" t="e">
        <f t="shared" si="898"/>
        <v>#VALUE!</v>
      </c>
      <c r="IK334" s="245" t="e">
        <f t="shared" si="899"/>
        <v>#VALUE!</v>
      </c>
      <c r="IL334" s="245"/>
      <c r="IM334" s="245" t="e">
        <f t="shared" si="1005"/>
        <v>#N/A</v>
      </c>
      <c r="IN334" s="245" t="e">
        <f t="shared" si="1006"/>
        <v>#N/A</v>
      </c>
      <c r="IO334" s="245"/>
      <c r="IP334" s="245"/>
      <c r="IQ334" s="245" t="str">
        <f t="shared" si="900"/>
        <v/>
      </c>
      <c r="IR334" s="245" t="str">
        <f>IF(J334="","",VLOOKUP(J334,Worksheet!$R$4:$T$14,2))</f>
        <v/>
      </c>
      <c r="IS334" s="245"/>
      <c r="IT334" s="245">
        <f t="shared" si="901"/>
        <v>0</v>
      </c>
      <c r="IU334" s="245">
        <f t="shared" si="902"/>
        <v>0</v>
      </c>
      <c r="IV334" s="245">
        <f t="shared" si="903"/>
        <v>0</v>
      </c>
      <c r="IW334" s="245">
        <f t="shared" si="904"/>
        <v>0</v>
      </c>
      <c r="IX334" s="245">
        <f t="shared" si="1007"/>
        <v>0</v>
      </c>
      <c r="IY334" s="245">
        <f t="shared" si="905"/>
        <v>0</v>
      </c>
      <c r="IZ334" s="245">
        <f t="shared" si="906"/>
        <v>0</v>
      </c>
      <c r="JA334">
        <f t="shared" si="907"/>
        <v>0</v>
      </c>
      <c r="JB334">
        <f t="shared" si="1008"/>
        <v>0</v>
      </c>
      <c r="JC334">
        <f t="shared" si="908"/>
        <v>0</v>
      </c>
      <c r="JD334">
        <f t="shared" si="909"/>
        <v>0</v>
      </c>
      <c r="JE334">
        <f t="shared" si="910"/>
        <v>0</v>
      </c>
      <c r="JF334">
        <f t="shared" si="911"/>
        <v>0</v>
      </c>
      <c r="JG334">
        <f t="shared" si="912"/>
        <v>0</v>
      </c>
      <c r="JH334">
        <f t="shared" si="913"/>
        <v>0</v>
      </c>
      <c r="JI334">
        <f t="shared" si="914"/>
        <v>0</v>
      </c>
      <c r="JJ334" s="447">
        <f t="shared" si="915"/>
        <v>0</v>
      </c>
      <c r="JK334" s="447">
        <f t="shared" si="916"/>
        <v>0</v>
      </c>
      <c r="JL334">
        <f t="shared" si="917"/>
        <v>0</v>
      </c>
      <c r="JM334" s="245" t="str">
        <f>IFERROR(VLOOKUP(MATCH(BN334,#REF!,0),#REF!,7),"")</f>
        <v/>
      </c>
      <c r="JN334" t="e">
        <f>HLOOKUP(LEFT(BO334,7),Discharge_Area,MATCH(JO334,LookUps!$B$130:$B$149,1)+2)</f>
        <v>#N/A</v>
      </c>
      <c r="JO334" t="str">
        <f t="shared" si="918"/>
        <v>- S</v>
      </c>
      <c r="JP334" t="e">
        <f>HLOOKUP(LEFT(BO334,7),Discharge_Area,MATCH(JO334,LookUps!$B$130:$B$149,1)+2)</f>
        <v>#N/A</v>
      </c>
      <c r="JQ334" t="e">
        <f t="shared" si="919"/>
        <v>#N/A</v>
      </c>
      <c r="JR334" t="e">
        <f t="shared" si="920"/>
        <v>#N/A</v>
      </c>
      <c r="JS334" t="e">
        <f t="shared" si="921"/>
        <v>#N/A</v>
      </c>
      <c r="JT334" s="532" t="str">
        <f t="shared" si="922"/>
        <v xml:space="preserve"> </v>
      </c>
      <c r="JU334" s="532" t="str">
        <f t="shared" si="923"/>
        <v xml:space="preserve"> </v>
      </c>
      <c r="JV334" s="533" t="str">
        <f t="shared" si="924"/>
        <v xml:space="preserve"> </v>
      </c>
      <c r="JW334" s="534">
        <f t="shared" si="925"/>
        <v>0</v>
      </c>
      <c r="JX334" s="535" t="str">
        <f t="shared" si="1009"/>
        <v xml:space="preserve"> </v>
      </c>
      <c r="JY334" s="535" t="str">
        <f t="shared" si="1010"/>
        <v xml:space="preserve"> </v>
      </c>
      <c r="JZ334" s="535" t="str">
        <f t="shared" si="1011"/>
        <v xml:space="preserve"> </v>
      </c>
      <c r="KA334" s="536" t="str">
        <f t="shared" si="926"/>
        <v xml:space="preserve"> </v>
      </c>
      <c r="KB334" s="535" t="e">
        <f t="shared" si="1012"/>
        <v>#VALUE!</v>
      </c>
      <c r="KC334" s="535" t="str">
        <f t="shared" si="927"/>
        <v/>
      </c>
      <c r="KD334" s="537" t="str">
        <f t="shared" si="1013"/>
        <v xml:space="preserve"> </v>
      </c>
      <c r="KE334" s="537" t="str">
        <f t="shared" si="1014"/>
        <v xml:space="preserve"> </v>
      </c>
      <c r="KF334" s="534">
        <f t="shared" si="928"/>
        <v>0</v>
      </c>
      <c r="KG334" s="535" t="str">
        <f t="shared" si="929"/>
        <v xml:space="preserve"> </v>
      </c>
      <c r="KH334" s="535" t="str">
        <f t="shared" si="930"/>
        <v xml:space="preserve"> </v>
      </c>
      <c r="KI334" s="535" t="str">
        <f t="shared" si="931"/>
        <v xml:space="preserve"> </v>
      </c>
      <c r="KJ334" s="536" t="str">
        <f t="shared" si="932"/>
        <v xml:space="preserve"> </v>
      </c>
      <c r="KK334" s="535" t="str">
        <f t="shared" si="1015"/>
        <v xml:space="preserve"> </v>
      </c>
      <c r="KL334" s="535" t="str">
        <f t="shared" si="1016"/>
        <v xml:space="preserve"> </v>
      </c>
      <c r="KM334" s="537" t="str">
        <f t="shared" si="933"/>
        <v xml:space="preserve"> </v>
      </c>
      <c r="KN334" s="537" t="str">
        <f t="shared" si="1017"/>
        <v xml:space="preserve"> </v>
      </c>
      <c r="KP334">
        <f t="shared" si="934"/>
        <v>0</v>
      </c>
      <c r="LA334" t="e">
        <f t="shared" si="935"/>
        <v>#VALUE!</v>
      </c>
      <c r="LB334" t="e">
        <f t="shared" si="936"/>
        <v>#VALUE!</v>
      </c>
      <c r="LC334" t="e">
        <f t="shared" si="937"/>
        <v>#VALUE!</v>
      </c>
      <c r="LD334" t="e">
        <f t="shared" si="938"/>
        <v>#VALUE!</v>
      </c>
      <c r="LE334" t="e">
        <f t="shared" si="1018"/>
        <v>#VALUE!</v>
      </c>
      <c r="LF334">
        <f t="shared" si="939"/>
        <v>0</v>
      </c>
      <c r="LG334" t="e">
        <f t="shared" si="1019"/>
        <v>#VALUE!</v>
      </c>
      <c r="LH334" t="str">
        <f t="shared" si="940"/>
        <v xml:space="preserve"> </v>
      </c>
      <c r="LI334">
        <f t="shared" si="1020"/>
        <v>1</v>
      </c>
    </row>
    <row r="335" spans="2:321" ht="15" customHeight="1">
      <c r="B335" s="311"/>
      <c r="C335" s="311"/>
      <c r="D335" s="312"/>
      <c r="E335" s="311"/>
      <c r="F335" s="312"/>
      <c r="G335" s="311"/>
      <c r="H335" s="311"/>
      <c r="I335" s="232"/>
      <c r="J335" s="311"/>
      <c r="K335" s="305" t="str">
        <f t="shared" si="941"/>
        <v/>
      </c>
      <c r="L335" s="313"/>
      <c r="M335" s="312"/>
      <c r="N335" s="311"/>
      <c r="O335" s="312"/>
      <c r="P335" s="311"/>
      <c r="Q335" s="305" t="str">
        <f t="shared" si="942"/>
        <v/>
      </c>
      <c r="R335" s="314"/>
      <c r="S335" s="450" t="str">
        <f t="shared" si="825"/>
        <v/>
      </c>
      <c r="T335" s="315"/>
      <c r="U335" s="315"/>
      <c r="W335" s="149" t="str">
        <f t="shared" si="826"/>
        <v xml:space="preserve"> </v>
      </c>
      <c r="X335" s="243" t="str">
        <f t="shared" si="827"/>
        <v xml:space="preserve"> </v>
      </c>
      <c r="Y335" s="150" t="str">
        <f t="shared" si="828"/>
        <v/>
      </c>
      <c r="Z335" s="149" t="str">
        <f t="shared" si="829"/>
        <v xml:space="preserve"> </v>
      </c>
      <c r="AA335" s="98" t="str">
        <f t="shared" si="830"/>
        <v xml:space="preserve"> </v>
      </c>
      <c r="AB335" s="153" t="str">
        <f t="shared" si="831"/>
        <v xml:space="preserve"> </v>
      </c>
      <c r="AC335" s="153" t="str">
        <f t="shared" si="832"/>
        <v xml:space="preserve"> </v>
      </c>
      <c r="AD335" s="148" t="str">
        <f t="shared" si="833"/>
        <v/>
      </c>
      <c r="AE335" s="149" t="str">
        <f t="shared" si="834"/>
        <v/>
      </c>
      <c r="AF335" s="151" t="str">
        <f t="shared" si="835"/>
        <v xml:space="preserve"> </v>
      </c>
      <c r="AG335" s="153" t="str">
        <f t="shared" si="836"/>
        <v xml:space="preserve"> </v>
      </c>
      <c r="AH335" s="98" t="str">
        <f t="shared" si="837"/>
        <v xml:space="preserve"> </v>
      </c>
      <c r="AI335" s="149" t="str">
        <f t="shared" si="838"/>
        <v xml:space="preserve"> </v>
      </c>
      <c r="AK335" s="144" t="str">
        <f t="shared" si="839"/>
        <v xml:space="preserve"> </v>
      </c>
      <c r="AL335" s="144"/>
      <c r="AM335" s="243" t="str">
        <f t="shared" si="840"/>
        <v xml:space="preserve"> </v>
      </c>
      <c r="AN335" s="149" t="str">
        <f t="shared" si="943"/>
        <v xml:space="preserve"> </v>
      </c>
      <c r="AO335" s="144" t="str">
        <f>IF(JB335&gt;0,IF(GI335=10,-R335*1.085*(Calculation!$F$6-Calculation!$F$13)*$S$14," "),"")</f>
        <v/>
      </c>
      <c r="AP335" s="144" t="str">
        <f t="shared" si="841"/>
        <v/>
      </c>
      <c r="AQ335" s="56" t="str">
        <f t="shared" si="842"/>
        <v/>
      </c>
      <c r="AR335" s="144" t="str">
        <f t="shared" si="843"/>
        <v/>
      </c>
      <c r="AS335" s="176" t="str">
        <f t="shared" si="844"/>
        <v/>
      </c>
      <c r="AT335" s="176" t="str">
        <f t="shared" si="944"/>
        <v xml:space="preserve"> </v>
      </c>
      <c r="AU335" s="176" t="str">
        <f t="shared" si="845"/>
        <v/>
      </c>
      <c r="AV335" s="177" t="str">
        <f t="shared" si="846"/>
        <v xml:space="preserve"> </v>
      </c>
      <c r="AW335" s="144" t="str">
        <f t="shared" si="847"/>
        <v xml:space="preserve"> </v>
      </c>
      <c r="AX335" s="144" t="str">
        <f t="shared" si="848"/>
        <v xml:space="preserve"> </v>
      </c>
      <c r="AY335" s="152" t="str">
        <f t="shared" si="849"/>
        <v xml:space="preserve"> </v>
      </c>
      <c r="AZ335" s="246" t="str">
        <f t="shared" si="850"/>
        <v/>
      </c>
      <c r="BA335" s="176" t="str">
        <f t="shared" si="851"/>
        <v xml:space="preserve"> </v>
      </c>
      <c r="BB335" s="176" t="str">
        <f t="shared" si="852"/>
        <v xml:space="preserve"> </v>
      </c>
      <c r="BC335" s="195"/>
      <c r="BD335" s="316"/>
      <c r="BE335" s="317"/>
      <c r="BF335" s="318"/>
      <c r="BG335" s="318"/>
      <c r="BH335" s="144" t="str">
        <f t="shared" si="1021"/>
        <v xml:space="preserve"> </v>
      </c>
      <c r="BI335" s="176" t="str">
        <f t="shared" si="853"/>
        <v/>
      </c>
      <c r="BJ335" s="144" t="str">
        <f t="shared" si="1022"/>
        <v/>
      </c>
      <c r="BK335" s="246" t="str">
        <f t="shared" si="854"/>
        <v/>
      </c>
      <c r="BL335" s="144" t="str">
        <f t="shared" si="1023"/>
        <v/>
      </c>
      <c r="BM335" s="246" t="str">
        <f t="shared" si="855"/>
        <v/>
      </c>
      <c r="BN335" s="337" t="str">
        <f t="shared" si="945"/>
        <v/>
      </c>
      <c r="BO335" s="371" t="str">
        <f t="shared" si="946"/>
        <v/>
      </c>
      <c r="BP335" s="328" t="str">
        <f t="shared" si="1024"/>
        <v xml:space="preserve"> </v>
      </c>
      <c r="BQ335" s="347" t="str">
        <f t="shared" si="947"/>
        <v xml:space="preserve"> </v>
      </c>
      <c r="BR335" s="353" t="str">
        <f t="shared" si="948"/>
        <v xml:space="preserve"> </v>
      </c>
      <c r="BS335" s="626" t="str">
        <f>IF(L335&gt;0,IF(Calculation!P335="M13",BR335*3.1416*(0.134^2)/(4*144),IF(Calculation!P335="M17",BR335*3.1416*(0.165^2)/(4*144),IF(Calculation!P335="M20",BR335*3.1416*(0.198^2)/(4*144),IF(Calculation!P335="M23",BR335*3.1416*(0.228^2)/(4*144),IF(Calculation!P335="M27",BR335*3.1416*(0.269^2)/(4*144),BR335*3.1416*(0.307^2)/(4*144))))))," ")</f>
        <v xml:space="preserve"> </v>
      </c>
      <c r="BT335" s="353" t="str">
        <f>IF(L335&gt;0,IF(BS335&gt;0,R335/Calculation!BS335,0)," ")</f>
        <v xml:space="preserve"> </v>
      </c>
      <c r="BU335" s="438" t="e">
        <f t="shared" ca="1" si="856"/>
        <v>#VALUE!</v>
      </c>
      <c r="BV335" s="449" t="e">
        <f ca="1">INDEX(INDIRECT(VLOOKUP(LEFT(BO335,7),CLU!$Z$3:$AH$18,2)),GN335,GR335)</f>
        <v>#N/A</v>
      </c>
      <c r="BW335" s="433" t="e">
        <f ca="1">INDEX(INDIRECT(VLOOKUP(LEFT(BO335,7),CLU!$Z$3:$AH$18,3)),GN335,GR335)</f>
        <v>#N/A</v>
      </c>
      <c r="BX335" s="433" t="e">
        <f ca="1">INDEX(INDIRECT(VLOOKUP(LEFT(BO335,7),CLU!$Z$3:$AH$18,4)),GN335,GR335)</f>
        <v>#N/A</v>
      </c>
      <c r="BY335" s="433" t="e">
        <f ca="1">INDEX(INDIRECT(VLOOKUP(LEFT(BO335,7),CLU!$Z$3:$AH$18,9)),((M335-2)*(6-COUNTBLANK(GT335:GY335)))+GJ335)</f>
        <v>#N/A</v>
      </c>
      <c r="BZ335" s="426" t="e">
        <f t="shared" ca="1" si="949"/>
        <v>#N/A</v>
      </c>
      <c r="CA335" s="424" t="e">
        <f t="shared" ca="1" si="950"/>
        <v>#N/A</v>
      </c>
      <c r="CB335" s="429" t="e">
        <f ca="1">INDEX(INDIRECT(VLOOKUP(LEFT(BO335,7),CLU!$Z$3:$AH$18,2)),GN335,GS335)</f>
        <v>#N/A</v>
      </c>
      <c r="CC335" s="342" t="e">
        <f ca="1">INDEX(INDIRECT(VLOOKUP(LEFT(BO335,7),CLU!$Z$3:$AH$18,3)),GN335,GS335)</f>
        <v>#N/A</v>
      </c>
      <c r="CD335" s="342" t="e">
        <f ca="1">INDEX(INDIRECT(VLOOKUP(LEFT(BO335,7),CLU!$Z$3:$AH$18,4)),GN335,GS335)</f>
        <v>#N/A</v>
      </c>
      <c r="CE335" s="426" t="e">
        <f t="shared" ca="1" si="951"/>
        <v>#N/A</v>
      </c>
      <c r="CF335" s="440">
        <f t="shared" si="952"/>
        <v>0</v>
      </c>
      <c r="CG335" s="431" t="e">
        <f ca="1">INDEX(INDIRECT(VLOOKUP(LEFT(BO335,7),CLU!$Z$3:$AH$18,2)),GQ335,GR335)</f>
        <v>#N/A</v>
      </c>
      <c r="CH335" s="431" t="e">
        <f ca="1">INDEX(INDIRECT(VLOOKUP(LEFT(BO335,7),CLU!$Z$3:$AH$18,3)),GQ335,GR335)</f>
        <v>#N/A</v>
      </c>
      <c r="CI335" s="431" t="e">
        <f ca="1">INDEX(INDIRECT(VLOOKUP(LEFT(BO335,7),CLU!$Z$3:$AH$18,4)),GQ335,GR335)</f>
        <v>#N/A</v>
      </c>
      <c r="CJ335" s="448" t="e">
        <f t="shared" ca="1" si="953"/>
        <v>#N/A</v>
      </c>
      <c r="CK335" s="431" t="e">
        <f t="shared" ca="1" si="954"/>
        <v>#N/A</v>
      </c>
      <c r="CL335" s="440" t="e">
        <f t="shared" ca="1" si="955"/>
        <v>#N/A</v>
      </c>
      <c r="CM335" s="431" t="e">
        <f ca="1">INDEX(INDIRECT(VLOOKUP(LEFT(BO335,7),CLU!$Z$3:$AH$18,2)),GQ335,GS335)</f>
        <v>#N/A</v>
      </c>
      <c r="CN335" s="431" t="e">
        <f ca="1">INDEX(INDIRECT(VLOOKUP(LEFT(BO335,7),CLU!$Z$3:$AH$18,3)),GQ335,GS335)</f>
        <v>#N/A</v>
      </c>
      <c r="CO335" s="431" t="e">
        <f ca="1">INDEX(INDIRECT(VLOOKUP(LEFT(BO335,7),CLU!$Z$3:$AH$18,4)),GQ335,GS335)</f>
        <v>#N/A</v>
      </c>
      <c r="CP335" s="431" t="e">
        <f t="shared" ca="1" si="956"/>
        <v>#N/A</v>
      </c>
      <c r="CQ335" s="440">
        <f t="shared" si="957"/>
        <v>0</v>
      </c>
      <c r="CR335" s="51" t="e">
        <f t="shared" ca="1" si="958"/>
        <v>#N/A</v>
      </c>
      <c r="CS335" s="439" t="e">
        <f t="shared" ca="1" si="959"/>
        <v>#VALUE!</v>
      </c>
      <c r="CT335" s="51" t="e">
        <f t="shared" ca="1" si="960"/>
        <v>#VALUE!</v>
      </c>
      <c r="CU335" s="10"/>
      <c r="CV335" s="51" t="e">
        <f t="shared" ca="1" si="857"/>
        <v>#VALUE!</v>
      </c>
      <c r="CW335" s="51">
        <f t="shared" si="961"/>
        <v>0</v>
      </c>
      <c r="CX335" s="439" t="e">
        <f t="shared" ca="1" si="962"/>
        <v>#VALUE!</v>
      </c>
      <c r="CY335" s="51" t="e">
        <f t="shared" ca="1" si="963"/>
        <v>#VALUE!</v>
      </c>
      <c r="CZ335" s="10"/>
      <c r="DA335" s="51" t="e">
        <f t="shared" ca="1" si="964"/>
        <v>#VALUE!</v>
      </c>
      <c r="DB335" s="347" t="e">
        <f ca="1">INDEX(INDIRECT(VLOOKUP(LEFT(BO335,7),CLU!$Z$3:$AI$18,10)),((M335-2)*(6-COUNTBLANK(GT335:GY335)))+GJ335)*LI335</f>
        <v>#N/A</v>
      </c>
      <c r="DC335" s="347" t="str">
        <f>IF(L335&gt;0,((R335/Worksheet!$I$15)/DB335)^2," ")</f>
        <v xml:space="preserve"> </v>
      </c>
      <c r="DD335" s="602" t="str">
        <f t="shared" si="965"/>
        <v xml:space="preserve"> </v>
      </c>
      <c r="DE335" s="347" t="str">
        <f t="shared" si="858"/>
        <v xml:space="preserve"> </v>
      </c>
      <c r="DF335" s="356" t="e">
        <f ca="1">INDEX(INDIRECT(VLOOKUP(LEFT(BO335,7),CLU!$Z$3:$AH$18,8)),((M335-2)*(6-COUNTBLANK(GT335:GY335)))+GJ335)</f>
        <v>#N/A</v>
      </c>
      <c r="DG335" s="347" t="str">
        <f t="shared" si="859"/>
        <v xml:space="preserve"> </v>
      </c>
      <c r="DH335" s="357" t="str">
        <f t="shared" si="860"/>
        <v xml:space="preserve"> </v>
      </c>
      <c r="DI335" s="355" t="str">
        <f t="shared" si="861"/>
        <v xml:space="preserve"> </v>
      </c>
      <c r="DJ335" s="245" t="e">
        <f ca="1">INDEX(INDIRECT(VLOOKUP(LEFT(BO335,7),CLU!$Z$3:$AH$18,5)),GL335,GK335)</f>
        <v>#N/A</v>
      </c>
      <c r="DK335" s="245" t="e">
        <f ca="1">INDEX(INDIRECT(VLOOKUP(LEFT(BO335,7),CLU!$Z$3:$AH$18,6)),GL335,GK335)</f>
        <v>#N/A</v>
      </c>
      <c r="DL335" s="355">
        <f>(Calculation!R335*0.69143*(Calculation!$BQ$8-Calculation!$F$8))*$S$14</f>
        <v>0</v>
      </c>
      <c r="DM335" s="359" t="e">
        <f t="shared" si="966"/>
        <v>#VALUE!</v>
      </c>
      <c r="DN335" s="611">
        <f t="shared" si="967"/>
        <v>0</v>
      </c>
      <c r="DO335" s="359">
        <f t="shared" si="968"/>
        <v>100</v>
      </c>
      <c r="DP335" s="359">
        <f t="shared" si="969"/>
        <v>0</v>
      </c>
      <c r="DQ335" s="360"/>
      <c r="DR335" s="245" t="e">
        <f ca="1">INDEX(INDIRECT(VLOOKUP(LEFT(BO335,7),CLU!$Z$3:$AH$18,7)),M335-1,1)</f>
        <v>#N/A</v>
      </c>
      <c r="DS335" s="245" t="e">
        <f ca="1">INDEX(INDIRECT(VLOOKUP(LEFT(BO335,7),CLU!$Z$3:$AH$18,7)),M335-1,2)</f>
        <v>#N/A</v>
      </c>
      <c r="DT335" s="245" t="e">
        <f ca="1">INDEX(INDIRECT(VLOOKUP(LEFT(BO335,7),CLU!$Z$3:$AH$18,7)),M335-1,3)</f>
        <v>#N/A</v>
      </c>
      <c r="DU335" s="245" t="e">
        <f ca="1">INDEX(INDIRECT(VLOOKUP(LEFT(BO335,7),CLU!$Z$3:$AH$18,7)),M335-1,4)</f>
        <v>#N/A</v>
      </c>
      <c r="DV335" s="361" t="e">
        <f ca="1">INDEX(INDIRECT(VLOOKUP(LEFT(BO335,7),CLU!$Z$3:$AH$18,7)),M335-1,4+LEFT(DZ335,1)*0.5)</f>
        <v>#N/A</v>
      </c>
      <c r="DW335" s="245" t="e">
        <f ca="1">INDEX(INDIRECT(VLOOKUP(LEFT(BO335,7),CLU!$Z$3:$AH$18,7)),M335-1,8)</f>
        <v>#N/A</v>
      </c>
      <c r="DX335" s="361" t="str">
        <f t="shared" si="862"/>
        <v xml:space="preserve"> </v>
      </c>
      <c r="DY335" s="361" t="str">
        <f t="shared" si="863"/>
        <v xml:space="preserve"> </v>
      </c>
      <c r="DZ335" s="361" t="str">
        <f t="shared" si="864"/>
        <v xml:space="preserve"> </v>
      </c>
      <c r="EA335" s="362" t="str">
        <f t="shared" si="865"/>
        <v xml:space="preserve"> </v>
      </c>
      <c r="EB335" s="624" t="str">
        <f t="shared" si="970"/>
        <v xml:space="preserve"> </v>
      </c>
      <c r="EC335" s="361" t="e">
        <f ca="1">INDEX(INDIRECT(VLOOKUP(LEFT(BO335,7),CLU!$Z$3:$AH$18,7)),M335-1,4+LEFT(DZ335,1)*0.5)</f>
        <v>#N/A</v>
      </c>
      <c r="ED335" s="362" t="str">
        <f t="shared" si="866"/>
        <v xml:space="preserve"> </v>
      </c>
      <c r="EE335" s="361" t="str">
        <f t="shared" si="867"/>
        <v xml:space="preserve"> </v>
      </c>
      <c r="EF335" s="362" t="str">
        <f>IF(L335&gt;0,IF(BR335&gt;0,IF(EE335="2P",IF(Calculation!DZ335="2P",IF(Calculation!DS335=13.75,IF(Calculation!DR335=13,Worksheet!$BD$43,IF(Calculation!DR335=37,Worksheet!$BD$44,Worksheet!$BD$45)),IF(Calculation!DS335=10,IF(Calculation!DR335=18,Worksheet!$BD$29,IF(Calculation!DR335=30,Worksheet!$BD$30,IF(Calculation!DR335=42,Worksheet!$BD$31,IF(Calculation!DR335=54,Worksheet!$BD$32,IF(Calculation!DR335=66,Worksheet!$BD$33,IF(Calculation!DR335=78,Worksheet!$BD$34,IF(Calculation!DR335=90,Worksheet!$BD$35,IF(Calculation!DR335=102,Worksheet!$BD$36,Worksheet!$BD$37)))))))),IF(Calculation!DS335=12.5,IF(Calculation!DR335=18,Worksheet!$BD$38,IF(Calculation!DR335=Worksheet!$BD$39,IF(Calculation!DR335=42,Worksheet!$BD$40,IF(Calculation!DR335=54,Worksheet!$BD$41,Worksheet!$BD$42)))),IF(Calculation!DR335=18,Worksheet!$BD$11,IF(Calculation!DR335=30,Worksheet!$BD$12,IF(Calculation!DR335=42,Worksheet!$BD$13,IF(Calculation!DR335=54,Worksheet!$BD$14,IF(Calculation!DR335=66,Worksheet!$BD$15,IF(Calculation!DR335=78,Worksheet!$BD$16,IF(Calculation!DR335=90,Worksheet!$BD$17,IF(Calculation!DR335=102,Worksheet!$BD$18,Worksheet!$BD$19))))))))))),IF(Calculation!DS335=13.75,IF(Calculation!DR335=13,Worksheet!$BD$78,IF(Calculation!DR335=37,Worksheet!$BD$79,Worksheet!$BD$80)),IF(Calculation!DS335=10,IF(Calculation!DR335=18,Worksheet!$BD$64,IF(Calculation!DR335=30,Worksheet!$BD$65,IF(Calculation!DR335=42,Worksheet!$BD$66,IF(Calculation!DR335=54,Worksheet!$BD$68,IF(Calculation!DR335=66,Worksheet!$BD$68,IF(Calculation!DR335=78,Worksheet!$BD$69,IF(Calculation!DR335=90,Worksheet!$BD$70,IF(Calculation!DR335=102,Worksheet!$BD$71,Worksheet!$BD$72)))))))),IF(Calculation!DS335=12.5,IF(Calculation!DR335=18,Worksheet!$BD$73,IF(Calculation!DR335=Worksheet!$BD$74,IF(Calculation!DR335=42,Worksheet!$BD$75,IF(Calculation!DR335=54,Worksheet!$BD$76,Worksheet!$BD$77)))),IF(Calculation!DR335=18,Worksheet!$BD$55,IF(Calculation!DR335=30,Worksheet!$BD$56,IF(Calculation!DR335=42,Worksheet!$BD$57,IF(Calculation!DR335=54,Worksheet!$BD$58,IF(Calculation!DR335=66,Worksheet!$BD$59,IF(Calculation!DR335=78,Worksheet!$BD$60,IF(Calculation!DR335=90,Worksheet!$BD$61,IF(Calculation!DR335=102,Worksheet!$BD$62,Worksheet!$BD$63)))))))))))),5),0)," ")</f>
        <v xml:space="preserve"> </v>
      </c>
      <c r="EG335" s="361" t="str">
        <f t="shared" si="868"/>
        <v xml:space="preserve"> </v>
      </c>
      <c r="EH335" s="361" t="e">
        <f ca="1">INDEX(INDIRECT(VLOOKUP(LEFT(BO335,7),CLU!$Z$3:$AH$18,7)),M335-1,3+LEFT(DZ335,1))</f>
        <v>#N/A</v>
      </c>
      <c r="EI335" s="362" t="str">
        <f t="shared" si="869"/>
        <v xml:space="preserve"> </v>
      </c>
      <c r="EJ335" s="363" t="str">
        <f t="shared" si="870"/>
        <v xml:space="preserve"> </v>
      </c>
      <c r="EK335" s="363" t="str">
        <f t="shared" si="871"/>
        <v xml:space="preserve"> </v>
      </c>
      <c r="EL335" s="363" t="str">
        <f t="shared" si="872"/>
        <v xml:space="preserve"> </v>
      </c>
      <c r="EM335" s="362" t="str">
        <f>IF(L335&gt;0,IF(BR335&gt;0,(Calculation!T335/ED335)^2,0)," ")</f>
        <v xml:space="preserve"> </v>
      </c>
      <c r="EN335" s="362" t="str">
        <f>IF(L335&gt;0,IF(O335="2 Pipe (Cooling)","N/A",IF(BR335&gt;0,(Calculation!U335/EI335)^2,0))," ")</f>
        <v xml:space="preserve"> </v>
      </c>
      <c r="EO335" s="361" t="str">
        <f t="shared" si="873"/>
        <v/>
      </c>
      <c r="EP335" s="361" t="str">
        <f t="shared" si="874"/>
        <v/>
      </c>
      <c r="EQ335" s="361" t="str">
        <f t="shared" si="875"/>
        <v/>
      </c>
      <c r="ER335" s="361" t="str">
        <f t="shared" si="876"/>
        <v/>
      </c>
      <c r="ES335" s="361" t="str">
        <f t="shared" si="877"/>
        <v/>
      </c>
      <c r="ET335" s="361" t="str">
        <f t="shared" si="878"/>
        <v/>
      </c>
      <c r="EU335" s="361" t="str">
        <f t="shared" si="879"/>
        <v/>
      </c>
      <c r="EV335" s="361" t="str">
        <f t="shared" si="880"/>
        <v/>
      </c>
      <c r="EW335" s="361" t="str">
        <f t="shared" si="881"/>
        <v/>
      </c>
      <c r="EX335" s="361" t="str">
        <f t="shared" si="971"/>
        <v>1 slot, 1 way</v>
      </c>
      <c r="EY335" s="361" t="str">
        <f t="shared" si="972"/>
        <v xml:space="preserve"> </v>
      </c>
      <c r="EZ335" s="361" t="str">
        <f t="shared" si="973"/>
        <v xml:space="preserve"> </v>
      </c>
      <c r="FA335" s="361" t="str">
        <f t="shared" si="974"/>
        <v xml:space="preserve"> </v>
      </c>
      <c r="FB335" s="361" t="str">
        <f t="shared" si="975"/>
        <v xml:space="preserve"> </v>
      </c>
      <c r="FC335" s="361"/>
      <c r="FD335" s="361" t="str">
        <f>IF(J335&gt;0,IF(Calculation!R335&lt;=70,4,IF(Calculation!R335&lt;=110,5,IF(Calculation!R335&lt;=160,6,IF(Calculation!R335&lt;=300,8,"10 EO")))),"")</f>
        <v/>
      </c>
      <c r="FE335" s="361" t="str">
        <f t="shared" si="976"/>
        <v/>
      </c>
      <c r="FF335" s="361" t="str">
        <f t="shared" si="977"/>
        <v/>
      </c>
      <c r="FG335" s="361" t="e">
        <f t="shared" si="882"/>
        <v>#N/A</v>
      </c>
      <c r="FH335" s="361">
        <f t="shared" si="883"/>
        <v>0</v>
      </c>
      <c r="FI335" s="361" t="e">
        <f t="shared" si="884"/>
        <v>#DIV/0!</v>
      </c>
      <c r="FJ335" s="361"/>
      <c r="FK335" s="356" t="e">
        <f t="shared" si="885"/>
        <v>#VALUE!</v>
      </c>
      <c r="FL335" s="361"/>
      <c r="FM335" s="361"/>
      <c r="FN335" s="362" t="str">
        <f t="shared" si="978"/>
        <v xml:space="preserve"> </v>
      </c>
      <c r="FO335" s="362" t="str">
        <f t="shared" si="979"/>
        <v xml:space="preserve"> </v>
      </c>
      <c r="FP335" s="362">
        <f t="shared" si="980"/>
        <v>0</v>
      </c>
      <c r="FQ335" s="361">
        <f t="shared" si="886"/>
        <v>0</v>
      </c>
      <c r="FR335" s="362" t="str">
        <f>IF(L335&gt;0,IF(J335="CBAL2",Worksheet!$P$67,IF(J335="CBE2-24",Worksheet!$Q$67,IF(J335="CBAM",Worksheet!$R$67,IF(J335="CBLV",Worksheet!$S$67,IF(J335="CBAB",Worksheet!$U$67,IF(J335="CBAW",Worksheet!$X$67,IF(J335="CBE2-12",Worksheet!$Y$67,IF(J335="CBAL2",Worksheet!$Z$67,"N/A"))))))))," ")</f>
        <v xml:space="preserve"> </v>
      </c>
      <c r="FS335" s="362" t="str">
        <f>IF(L335&gt;0,IF(J335="CBAL2",Worksheet!$P$68,IF(J335="CBE2-24",Worksheet!$Q$68,IF(J335="CBAM",Worksheet!$R$68,IF(J335="CBLV",Worksheet!$S$68,IF(J335="CBAB",Worksheet!$U$68,IF(J335="CBAW",Worksheet!$X$68,IF(J335="CBE2-12",Worksheet!$Y$68,IF(J335="CBAL2",Worksheet!$Z$68,"N/A"))))))))," ")</f>
        <v xml:space="preserve"> </v>
      </c>
      <c r="FT335" s="362" t="str">
        <f>IF(L335&gt;0,IF(J335="CBAL2",Worksheet!$P$69,IF(J335="CBE2-24",Worksheet!$Q$69,IF(J335="CBAM",Worksheet!$R$69,IF(J335="CBLV",Worksheet!$S$69,IF(J335="CBAB",Worksheet!$U$69,IF(J335="CBAW",Worksheet!$X$69,IF(J335="CBE2-12",Worksheet!$Y$69,IF(J335="CBAL2",Worksheet!$Z$69,"N/A"))))))))," ")</f>
        <v xml:space="preserve"> </v>
      </c>
      <c r="FU335" s="361" t="str">
        <f t="shared" si="981"/>
        <v xml:space="preserve"> </v>
      </c>
      <c r="FV335" s="362" t="str">
        <f t="shared" si="982"/>
        <v xml:space="preserve"> </v>
      </c>
      <c r="FW335" s="362" t="str">
        <f t="shared" si="983"/>
        <v xml:space="preserve"> </v>
      </c>
      <c r="FX335" s="362" t="str">
        <f t="shared" si="984"/>
        <v xml:space="preserve"> </v>
      </c>
      <c r="FY335" s="355" t="str">
        <f t="shared" si="985"/>
        <v xml:space="preserve"> </v>
      </c>
      <c r="FZ335" s="361" t="str">
        <f t="shared" si="986"/>
        <v xml:space="preserve"> </v>
      </c>
      <c r="GA335" s="347" t="str">
        <f t="shared" si="987"/>
        <v xml:space="preserve"> </v>
      </c>
      <c r="GB335" s="355" t="str">
        <f t="shared" si="988"/>
        <v xml:space="preserve"> </v>
      </c>
      <c r="GC335" s="328" t="str">
        <f t="shared" si="989"/>
        <v xml:space="preserve"> </v>
      </c>
      <c r="GD335" s="361" t="str">
        <f t="shared" si="990"/>
        <v xml:space="preserve"> </v>
      </c>
      <c r="GE335" s="347" t="str">
        <f t="shared" si="991"/>
        <v xml:space="preserve"> </v>
      </c>
      <c r="GF335" s="361" t="str">
        <f t="shared" si="992"/>
        <v xml:space="preserve"> </v>
      </c>
      <c r="GG335" s="347" t="str">
        <f t="shared" si="993"/>
        <v xml:space="preserve"> </v>
      </c>
      <c r="GH335" s="364">
        <f t="shared" si="887"/>
        <v>0</v>
      </c>
      <c r="GI335" s="362">
        <f t="shared" si="994"/>
        <v>2</v>
      </c>
      <c r="GJ335" s="433" t="e">
        <f>IF(6-COUNTBLANK(GT335:GY335)=4,MATCH(MID(BO335,9,3),CLU!$H$16:$K$16),MATCH(MID(BO335,9,3),CLU!$H$13:$M$13))</f>
        <v>#N/A</v>
      </c>
      <c r="GK335" s="433" t="e">
        <f>HLOOKUP(VALUE(BP335),CLU!$H$9:$M$10,2)</f>
        <v>#VALUE!</v>
      </c>
      <c r="GL335" s="433" t="e">
        <f ca="1">MATCH(BU335,CLU!$H$2:$V$2,1)</f>
        <v>#VALUE!</v>
      </c>
      <c r="GM335" s="433" t="e">
        <f t="shared" ca="1" si="995"/>
        <v>#VALUE!</v>
      </c>
      <c r="GN335" s="433" t="e">
        <f t="shared" ca="1" si="996"/>
        <v>#VALUE!</v>
      </c>
      <c r="GO335" s="433" t="e">
        <f t="shared" ca="1" si="997"/>
        <v>#VALUE!</v>
      </c>
      <c r="GP335" s="433" t="e">
        <f t="shared" ca="1" si="998"/>
        <v>#VALUE!</v>
      </c>
      <c r="GQ335" s="433" t="e">
        <f t="shared" ca="1" si="999"/>
        <v>#VALUE!</v>
      </c>
      <c r="GR335" s="433" t="e">
        <f ca="1">MATCH(T335,INDIRECT(VLOOKUP(CONCATENATE(LEFT(BO335,7),"-",MID(BO335,13,1)),CLU!$P$3:$Q$16,2)),1)</f>
        <v>#N/A</v>
      </c>
      <c r="GS335" s="433" t="e">
        <f ca="1">MATCH(U335,INDIRECT(VLOOKUP(CONCATENATE(LEFT(BO335,7),"-",MID(BO335,13,1)),CLU!$P$3:$Q$16,2)),1)</f>
        <v>#N/A</v>
      </c>
      <c r="GT335" s="347" t="s">
        <v>512</v>
      </c>
      <c r="GU335" s="97" t="s">
        <v>513</v>
      </c>
      <c r="GV335" s="97" t="str">
        <f t="shared" si="1000"/>
        <v>M23</v>
      </c>
      <c r="GW335" s="97" t="str">
        <f t="shared" si="1001"/>
        <v>M31</v>
      </c>
      <c r="GX335" s="97" t="str">
        <f t="shared" si="1002"/>
        <v/>
      </c>
      <c r="GY335" s="97" t="str">
        <f t="shared" si="1003"/>
        <v/>
      </c>
      <c r="GZ335" s="481"/>
      <c r="HA335" s="240"/>
      <c r="HB335" s="240"/>
      <c r="HC335" s="240"/>
      <c r="HD335" s="240"/>
      <c r="HE335" s="240"/>
      <c r="HF335" s="240"/>
      <c r="HG335" s="240"/>
      <c r="HH335" s="240"/>
      <c r="HI335" s="240"/>
      <c r="HJ335" s="240"/>
      <c r="HK335" s="240"/>
      <c r="HL335" s="240"/>
      <c r="HM335" s="240"/>
      <c r="HN335" s="240"/>
      <c r="HO335" s="240"/>
      <c r="HP335" s="240"/>
      <c r="HQ335" s="240"/>
      <c r="HR335" s="240"/>
      <c r="HS335" s="240"/>
      <c r="HT335" s="240"/>
      <c r="HU335" s="240"/>
      <c r="HV335" s="245"/>
      <c r="HW335" s="245" t="b">
        <v>1</v>
      </c>
      <c r="HX335" s="245" t="str">
        <f t="shared" si="888"/>
        <v/>
      </c>
      <c r="HY335" s="245" t="e">
        <f t="shared" si="889"/>
        <v>#DIV/0!</v>
      </c>
      <c r="HZ335" s="245" t="e">
        <f t="shared" si="890"/>
        <v>#DIV/0!</v>
      </c>
      <c r="IA335" s="245">
        <f t="shared" si="891"/>
        <v>0</v>
      </c>
      <c r="IB335" s="245"/>
      <c r="IC335" t="b">
        <f t="shared" si="892"/>
        <v>1</v>
      </c>
      <c r="ID335" s="245" t="b">
        <f t="shared" si="893"/>
        <v>1</v>
      </c>
      <c r="IE335" s="245" t="b">
        <f t="shared" si="894"/>
        <v>1</v>
      </c>
      <c r="IF335" s="245" t="b">
        <f t="shared" si="895"/>
        <v>0</v>
      </c>
      <c r="IG335" s="245" t="b">
        <f t="shared" si="896"/>
        <v>1</v>
      </c>
      <c r="IH335" s="245" t="b">
        <f t="shared" si="897"/>
        <v>1</v>
      </c>
      <c r="II335" s="245">
        <f t="shared" si="1004"/>
        <v>0</v>
      </c>
      <c r="IJ335" s="245" t="e">
        <f t="shared" si="898"/>
        <v>#VALUE!</v>
      </c>
      <c r="IK335" s="245" t="e">
        <f t="shared" si="899"/>
        <v>#VALUE!</v>
      </c>
      <c r="IL335" s="245"/>
      <c r="IM335" s="245" t="e">
        <f t="shared" si="1005"/>
        <v>#N/A</v>
      </c>
      <c r="IN335" s="245" t="e">
        <f t="shared" si="1006"/>
        <v>#N/A</v>
      </c>
      <c r="IO335" s="245"/>
      <c r="IP335" s="245"/>
      <c r="IQ335" s="245" t="str">
        <f t="shared" si="900"/>
        <v/>
      </c>
      <c r="IR335" s="245" t="str">
        <f>IF(J335="","",VLOOKUP(J335,Worksheet!$R$4:$T$14,2))</f>
        <v/>
      </c>
      <c r="IS335" s="245"/>
      <c r="IT335" s="245">
        <f t="shared" si="901"/>
        <v>0</v>
      </c>
      <c r="IU335" s="245">
        <f t="shared" si="902"/>
        <v>0</v>
      </c>
      <c r="IV335" s="245">
        <f t="shared" si="903"/>
        <v>0</v>
      </c>
      <c r="IW335" s="245">
        <f t="shared" si="904"/>
        <v>0</v>
      </c>
      <c r="IX335" s="245">
        <f t="shared" si="1007"/>
        <v>0</v>
      </c>
      <c r="IY335" s="245">
        <f t="shared" si="905"/>
        <v>0</v>
      </c>
      <c r="IZ335" s="245">
        <f t="shared" si="906"/>
        <v>0</v>
      </c>
      <c r="JA335">
        <f t="shared" si="907"/>
        <v>0</v>
      </c>
      <c r="JB335">
        <f t="shared" si="1008"/>
        <v>0</v>
      </c>
      <c r="JC335">
        <f t="shared" si="908"/>
        <v>0</v>
      </c>
      <c r="JD335">
        <f t="shared" si="909"/>
        <v>0</v>
      </c>
      <c r="JE335">
        <f t="shared" si="910"/>
        <v>0</v>
      </c>
      <c r="JF335">
        <f t="shared" si="911"/>
        <v>0</v>
      </c>
      <c r="JG335">
        <f t="shared" si="912"/>
        <v>0</v>
      </c>
      <c r="JH335">
        <f t="shared" si="913"/>
        <v>0</v>
      </c>
      <c r="JI335">
        <f t="shared" si="914"/>
        <v>0</v>
      </c>
      <c r="JJ335" s="447">
        <f t="shared" si="915"/>
        <v>0</v>
      </c>
      <c r="JK335" s="447">
        <f t="shared" si="916"/>
        <v>0</v>
      </c>
      <c r="JL335">
        <f t="shared" si="917"/>
        <v>0</v>
      </c>
      <c r="JM335" s="245" t="str">
        <f>IFERROR(VLOOKUP(MATCH(BN335,#REF!,0),#REF!,7),"")</f>
        <v/>
      </c>
      <c r="JN335" t="e">
        <f>HLOOKUP(LEFT(BO335,7),Discharge_Area,MATCH(JO335,LookUps!$B$130:$B$149,1)+2)</f>
        <v>#N/A</v>
      </c>
      <c r="JO335" t="str">
        <f t="shared" si="918"/>
        <v>- S</v>
      </c>
      <c r="JP335" t="e">
        <f>HLOOKUP(LEFT(BO335,7),Discharge_Area,MATCH(JO335,LookUps!$B$130:$B$149,1)+2)</f>
        <v>#N/A</v>
      </c>
      <c r="JQ335" t="e">
        <f t="shared" si="919"/>
        <v>#N/A</v>
      </c>
      <c r="JR335" t="e">
        <f t="shared" si="920"/>
        <v>#N/A</v>
      </c>
      <c r="JS335" t="e">
        <f t="shared" si="921"/>
        <v>#N/A</v>
      </c>
      <c r="JT335" s="532" t="str">
        <f t="shared" si="922"/>
        <v xml:space="preserve"> </v>
      </c>
      <c r="JU335" s="532" t="str">
        <f t="shared" si="923"/>
        <v xml:space="preserve"> </v>
      </c>
      <c r="JV335" s="533" t="str">
        <f t="shared" si="924"/>
        <v xml:space="preserve"> </v>
      </c>
      <c r="JW335" s="534">
        <f t="shared" si="925"/>
        <v>0</v>
      </c>
      <c r="JX335" s="535" t="str">
        <f t="shared" si="1009"/>
        <v xml:space="preserve"> </v>
      </c>
      <c r="JY335" s="535" t="str">
        <f t="shared" si="1010"/>
        <v xml:space="preserve"> </v>
      </c>
      <c r="JZ335" s="535" t="str">
        <f t="shared" si="1011"/>
        <v xml:space="preserve"> </v>
      </c>
      <c r="KA335" s="536" t="str">
        <f t="shared" si="926"/>
        <v xml:space="preserve"> </v>
      </c>
      <c r="KB335" s="535" t="e">
        <f t="shared" si="1012"/>
        <v>#VALUE!</v>
      </c>
      <c r="KC335" s="535" t="str">
        <f t="shared" si="927"/>
        <v/>
      </c>
      <c r="KD335" s="537" t="str">
        <f t="shared" si="1013"/>
        <v xml:space="preserve"> </v>
      </c>
      <c r="KE335" s="537" t="str">
        <f t="shared" si="1014"/>
        <v xml:space="preserve"> </v>
      </c>
      <c r="KF335" s="534">
        <f t="shared" si="928"/>
        <v>0</v>
      </c>
      <c r="KG335" s="535" t="str">
        <f t="shared" si="929"/>
        <v xml:space="preserve"> </v>
      </c>
      <c r="KH335" s="535" t="str">
        <f t="shared" si="930"/>
        <v xml:space="preserve"> </v>
      </c>
      <c r="KI335" s="535" t="str">
        <f t="shared" si="931"/>
        <v xml:space="preserve"> </v>
      </c>
      <c r="KJ335" s="536" t="str">
        <f t="shared" si="932"/>
        <v xml:space="preserve"> </v>
      </c>
      <c r="KK335" s="535" t="str">
        <f t="shared" si="1015"/>
        <v xml:space="preserve"> </v>
      </c>
      <c r="KL335" s="535" t="str">
        <f t="shared" si="1016"/>
        <v xml:space="preserve"> </v>
      </c>
      <c r="KM335" s="537" t="str">
        <f t="shared" si="933"/>
        <v xml:space="preserve"> </v>
      </c>
      <c r="KN335" s="537" t="str">
        <f t="shared" si="1017"/>
        <v xml:space="preserve"> </v>
      </c>
      <c r="KP335">
        <f t="shared" si="934"/>
        <v>0</v>
      </c>
      <c r="LA335" t="e">
        <f t="shared" si="935"/>
        <v>#VALUE!</v>
      </c>
      <c r="LB335" t="e">
        <f t="shared" si="936"/>
        <v>#VALUE!</v>
      </c>
      <c r="LC335" t="e">
        <f t="shared" si="937"/>
        <v>#VALUE!</v>
      </c>
      <c r="LD335" t="e">
        <f t="shared" si="938"/>
        <v>#VALUE!</v>
      </c>
      <c r="LE335" t="e">
        <f t="shared" si="1018"/>
        <v>#VALUE!</v>
      </c>
      <c r="LF335">
        <f t="shared" si="939"/>
        <v>0</v>
      </c>
      <c r="LG335" t="e">
        <f t="shared" si="1019"/>
        <v>#VALUE!</v>
      </c>
      <c r="LH335" t="str">
        <f t="shared" si="940"/>
        <v xml:space="preserve"> </v>
      </c>
      <c r="LI335">
        <f t="shared" si="1020"/>
        <v>1</v>
      </c>
    </row>
    <row r="336" spans="2:321" ht="15" customHeight="1">
      <c r="B336" s="311"/>
      <c r="C336" s="311"/>
      <c r="D336" s="312"/>
      <c r="E336" s="311"/>
      <c r="F336" s="312"/>
      <c r="G336" s="311"/>
      <c r="H336" s="311"/>
      <c r="I336" s="232"/>
      <c r="J336" s="311"/>
      <c r="K336" s="305" t="str">
        <f t="shared" si="941"/>
        <v/>
      </c>
      <c r="L336" s="313"/>
      <c r="M336" s="312"/>
      <c r="N336" s="311"/>
      <c r="O336" s="312"/>
      <c r="P336" s="311"/>
      <c r="Q336" s="305" t="str">
        <f t="shared" si="942"/>
        <v/>
      </c>
      <c r="R336" s="314"/>
      <c r="S336" s="450" t="str">
        <f t="shared" si="825"/>
        <v/>
      </c>
      <c r="T336" s="315"/>
      <c r="U336" s="315"/>
      <c r="W336" s="149" t="str">
        <f t="shared" si="826"/>
        <v xml:space="preserve"> </v>
      </c>
      <c r="X336" s="243" t="str">
        <f t="shared" si="827"/>
        <v xml:space="preserve"> </v>
      </c>
      <c r="Y336" s="150" t="str">
        <f t="shared" si="828"/>
        <v/>
      </c>
      <c r="Z336" s="149" t="str">
        <f t="shared" si="829"/>
        <v xml:space="preserve"> </v>
      </c>
      <c r="AA336" s="98" t="str">
        <f t="shared" si="830"/>
        <v xml:space="preserve"> </v>
      </c>
      <c r="AB336" s="153" t="str">
        <f t="shared" si="831"/>
        <v xml:space="preserve"> </v>
      </c>
      <c r="AC336" s="153" t="str">
        <f t="shared" si="832"/>
        <v xml:space="preserve"> </v>
      </c>
      <c r="AD336" s="148" t="str">
        <f t="shared" si="833"/>
        <v/>
      </c>
      <c r="AE336" s="149" t="str">
        <f t="shared" si="834"/>
        <v/>
      </c>
      <c r="AF336" s="151" t="str">
        <f t="shared" si="835"/>
        <v xml:space="preserve"> </v>
      </c>
      <c r="AG336" s="153" t="str">
        <f t="shared" si="836"/>
        <v xml:space="preserve"> </v>
      </c>
      <c r="AH336" s="98" t="str">
        <f t="shared" si="837"/>
        <v xml:space="preserve"> </v>
      </c>
      <c r="AI336" s="149" t="str">
        <f t="shared" si="838"/>
        <v xml:space="preserve"> </v>
      </c>
      <c r="AK336" s="144" t="str">
        <f t="shared" si="839"/>
        <v xml:space="preserve"> </v>
      </c>
      <c r="AL336" s="144"/>
      <c r="AM336" s="243" t="str">
        <f t="shared" si="840"/>
        <v xml:space="preserve"> </v>
      </c>
      <c r="AN336" s="149" t="str">
        <f t="shared" si="943"/>
        <v xml:space="preserve"> </v>
      </c>
      <c r="AO336" s="144" t="str">
        <f>IF(JB336&gt;0,IF(GI336=10,-R336*1.085*(Calculation!$F$6-Calculation!$F$13)*$S$14," "),"")</f>
        <v/>
      </c>
      <c r="AP336" s="144" t="str">
        <f t="shared" si="841"/>
        <v/>
      </c>
      <c r="AQ336" s="56" t="str">
        <f t="shared" si="842"/>
        <v/>
      </c>
      <c r="AR336" s="144" t="str">
        <f t="shared" si="843"/>
        <v/>
      </c>
      <c r="AS336" s="176" t="str">
        <f t="shared" si="844"/>
        <v/>
      </c>
      <c r="AT336" s="176" t="str">
        <f t="shared" si="944"/>
        <v xml:space="preserve"> </v>
      </c>
      <c r="AU336" s="176" t="str">
        <f t="shared" si="845"/>
        <v/>
      </c>
      <c r="AV336" s="177" t="str">
        <f t="shared" si="846"/>
        <v xml:space="preserve"> </v>
      </c>
      <c r="AW336" s="144" t="str">
        <f t="shared" si="847"/>
        <v xml:space="preserve"> </v>
      </c>
      <c r="AX336" s="144" t="str">
        <f t="shared" si="848"/>
        <v xml:space="preserve"> </v>
      </c>
      <c r="AY336" s="152" t="str">
        <f t="shared" si="849"/>
        <v xml:space="preserve"> </v>
      </c>
      <c r="AZ336" s="246" t="str">
        <f t="shared" si="850"/>
        <v/>
      </c>
      <c r="BA336" s="176" t="str">
        <f t="shared" si="851"/>
        <v xml:space="preserve"> </v>
      </c>
      <c r="BB336" s="176" t="str">
        <f t="shared" si="852"/>
        <v xml:space="preserve"> </v>
      </c>
      <c r="BC336" s="195"/>
      <c r="BD336" s="316"/>
      <c r="BE336" s="317"/>
      <c r="BF336" s="318"/>
      <c r="BG336" s="318"/>
      <c r="BH336" s="144" t="str">
        <f t="shared" si="1021"/>
        <v xml:space="preserve"> </v>
      </c>
      <c r="BI336" s="176" t="str">
        <f t="shared" si="853"/>
        <v/>
      </c>
      <c r="BJ336" s="144" t="str">
        <f t="shared" si="1022"/>
        <v/>
      </c>
      <c r="BK336" s="246" t="str">
        <f t="shared" si="854"/>
        <v/>
      </c>
      <c r="BL336" s="144" t="str">
        <f t="shared" si="1023"/>
        <v/>
      </c>
      <c r="BM336" s="246" t="str">
        <f t="shared" si="855"/>
        <v/>
      </c>
      <c r="BN336" s="337" t="str">
        <f t="shared" si="945"/>
        <v/>
      </c>
      <c r="BO336" s="371" t="str">
        <f t="shared" si="946"/>
        <v/>
      </c>
      <c r="BP336" s="328" t="str">
        <f t="shared" si="1024"/>
        <v xml:space="preserve"> </v>
      </c>
      <c r="BQ336" s="347" t="str">
        <f t="shared" si="947"/>
        <v xml:space="preserve"> </v>
      </c>
      <c r="BR336" s="353" t="str">
        <f t="shared" si="948"/>
        <v xml:space="preserve"> </v>
      </c>
      <c r="BS336" s="626" t="str">
        <f>IF(L336&gt;0,IF(Calculation!P336="M13",BR336*3.1416*(0.134^2)/(4*144),IF(Calculation!P336="M17",BR336*3.1416*(0.165^2)/(4*144),IF(Calculation!P336="M20",BR336*3.1416*(0.198^2)/(4*144),IF(Calculation!P336="M23",BR336*3.1416*(0.228^2)/(4*144),IF(Calculation!P336="M27",BR336*3.1416*(0.269^2)/(4*144),BR336*3.1416*(0.307^2)/(4*144))))))," ")</f>
        <v xml:space="preserve"> </v>
      </c>
      <c r="BT336" s="353" t="str">
        <f>IF(L336&gt;0,IF(BS336&gt;0,R336/Calculation!BS336,0)," ")</f>
        <v xml:space="preserve"> </v>
      </c>
      <c r="BU336" s="438" t="e">
        <f t="shared" ca="1" si="856"/>
        <v>#VALUE!</v>
      </c>
      <c r="BV336" s="449" t="e">
        <f ca="1">INDEX(INDIRECT(VLOOKUP(LEFT(BO336,7),CLU!$Z$3:$AH$18,2)),GN336,GR336)</f>
        <v>#N/A</v>
      </c>
      <c r="BW336" s="433" t="e">
        <f ca="1">INDEX(INDIRECT(VLOOKUP(LEFT(BO336,7),CLU!$Z$3:$AH$18,3)),GN336,GR336)</f>
        <v>#N/A</v>
      </c>
      <c r="BX336" s="433" t="e">
        <f ca="1">INDEX(INDIRECT(VLOOKUP(LEFT(BO336,7),CLU!$Z$3:$AH$18,4)),GN336,GR336)</f>
        <v>#N/A</v>
      </c>
      <c r="BY336" s="433" t="e">
        <f ca="1">INDEX(INDIRECT(VLOOKUP(LEFT(BO336,7),CLU!$Z$3:$AH$18,9)),((M336-2)*(6-COUNTBLANK(GT336:GY336)))+GJ336)</f>
        <v>#N/A</v>
      </c>
      <c r="BZ336" s="426" t="e">
        <f t="shared" ca="1" si="949"/>
        <v>#N/A</v>
      </c>
      <c r="CA336" s="424" t="e">
        <f t="shared" ca="1" si="950"/>
        <v>#N/A</v>
      </c>
      <c r="CB336" s="429" t="e">
        <f ca="1">INDEX(INDIRECT(VLOOKUP(LEFT(BO336,7),CLU!$Z$3:$AH$18,2)),GN336,GS336)</f>
        <v>#N/A</v>
      </c>
      <c r="CC336" s="342" t="e">
        <f ca="1">INDEX(INDIRECT(VLOOKUP(LEFT(BO336,7),CLU!$Z$3:$AH$18,3)),GN336,GS336)</f>
        <v>#N/A</v>
      </c>
      <c r="CD336" s="342" t="e">
        <f ca="1">INDEX(INDIRECT(VLOOKUP(LEFT(BO336,7),CLU!$Z$3:$AH$18,4)),GN336,GS336)</f>
        <v>#N/A</v>
      </c>
      <c r="CE336" s="426" t="e">
        <f t="shared" ca="1" si="951"/>
        <v>#N/A</v>
      </c>
      <c r="CF336" s="440">
        <f t="shared" si="952"/>
        <v>0</v>
      </c>
      <c r="CG336" s="431" t="e">
        <f ca="1">INDEX(INDIRECT(VLOOKUP(LEFT(BO336,7),CLU!$Z$3:$AH$18,2)),GQ336,GR336)</f>
        <v>#N/A</v>
      </c>
      <c r="CH336" s="431" t="e">
        <f ca="1">INDEX(INDIRECT(VLOOKUP(LEFT(BO336,7),CLU!$Z$3:$AH$18,3)),GQ336,GR336)</f>
        <v>#N/A</v>
      </c>
      <c r="CI336" s="431" t="e">
        <f ca="1">INDEX(INDIRECT(VLOOKUP(LEFT(BO336,7),CLU!$Z$3:$AH$18,4)),GQ336,GR336)</f>
        <v>#N/A</v>
      </c>
      <c r="CJ336" s="448" t="e">
        <f t="shared" ca="1" si="953"/>
        <v>#N/A</v>
      </c>
      <c r="CK336" s="431" t="e">
        <f t="shared" ca="1" si="954"/>
        <v>#N/A</v>
      </c>
      <c r="CL336" s="440" t="e">
        <f t="shared" ca="1" si="955"/>
        <v>#N/A</v>
      </c>
      <c r="CM336" s="431" t="e">
        <f ca="1">INDEX(INDIRECT(VLOOKUP(LEFT(BO336,7),CLU!$Z$3:$AH$18,2)),GQ336,GS336)</f>
        <v>#N/A</v>
      </c>
      <c r="CN336" s="431" t="e">
        <f ca="1">INDEX(INDIRECT(VLOOKUP(LEFT(BO336,7),CLU!$Z$3:$AH$18,3)),GQ336,GS336)</f>
        <v>#N/A</v>
      </c>
      <c r="CO336" s="431" t="e">
        <f ca="1">INDEX(INDIRECT(VLOOKUP(LEFT(BO336,7),CLU!$Z$3:$AH$18,4)),GQ336,GS336)</f>
        <v>#N/A</v>
      </c>
      <c r="CP336" s="431" t="e">
        <f t="shared" ca="1" si="956"/>
        <v>#N/A</v>
      </c>
      <c r="CQ336" s="440">
        <f t="shared" si="957"/>
        <v>0</v>
      </c>
      <c r="CR336" s="51" t="e">
        <f t="shared" ca="1" si="958"/>
        <v>#N/A</v>
      </c>
      <c r="CS336" s="439" t="e">
        <f t="shared" ca="1" si="959"/>
        <v>#VALUE!</v>
      </c>
      <c r="CT336" s="51" t="e">
        <f t="shared" ca="1" si="960"/>
        <v>#VALUE!</v>
      </c>
      <c r="CU336" s="10"/>
      <c r="CV336" s="51" t="e">
        <f t="shared" ca="1" si="857"/>
        <v>#VALUE!</v>
      </c>
      <c r="CW336" s="51">
        <f t="shared" si="961"/>
        <v>0</v>
      </c>
      <c r="CX336" s="439" t="e">
        <f t="shared" ca="1" si="962"/>
        <v>#VALUE!</v>
      </c>
      <c r="CY336" s="51" t="e">
        <f t="shared" ca="1" si="963"/>
        <v>#VALUE!</v>
      </c>
      <c r="CZ336" s="10"/>
      <c r="DA336" s="51" t="e">
        <f t="shared" ca="1" si="964"/>
        <v>#VALUE!</v>
      </c>
      <c r="DB336" s="347" t="e">
        <f ca="1">INDEX(INDIRECT(VLOOKUP(LEFT(BO336,7),CLU!$Z$3:$AI$18,10)),((M336-2)*(6-COUNTBLANK(GT336:GY336)))+GJ336)*LI336</f>
        <v>#N/A</v>
      </c>
      <c r="DC336" s="347" t="str">
        <f>IF(L336&gt;0,((R336/Worksheet!$I$15)/DB336)^2," ")</f>
        <v xml:space="preserve"> </v>
      </c>
      <c r="DD336" s="602" t="str">
        <f t="shared" si="965"/>
        <v xml:space="preserve"> </v>
      </c>
      <c r="DE336" s="347" t="str">
        <f t="shared" si="858"/>
        <v xml:space="preserve"> </v>
      </c>
      <c r="DF336" s="356" t="e">
        <f ca="1">INDEX(INDIRECT(VLOOKUP(LEFT(BO336,7),CLU!$Z$3:$AH$18,8)),((M336-2)*(6-COUNTBLANK(GT336:GY336)))+GJ336)</f>
        <v>#N/A</v>
      </c>
      <c r="DG336" s="347" t="str">
        <f t="shared" si="859"/>
        <v xml:space="preserve"> </v>
      </c>
      <c r="DH336" s="357" t="str">
        <f t="shared" si="860"/>
        <v xml:space="preserve"> </v>
      </c>
      <c r="DI336" s="355" t="str">
        <f t="shared" si="861"/>
        <v xml:space="preserve"> </v>
      </c>
      <c r="DJ336" s="245" t="e">
        <f ca="1">INDEX(INDIRECT(VLOOKUP(LEFT(BO336,7),CLU!$Z$3:$AH$18,5)),GL336,GK336)</f>
        <v>#N/A</v>
      </c>
      <c r="DK336" s="245" t="e">
        <f ca="1">INDEX(INDIRECT(VLOOKUP(LEFT(BO336,7),CLU!$Z$3:$AH$18,6)),GL336,GK336)</f>
        <v>#N/A</v>
      </c>
      <c r="DL336" s="355">
        <f>(Calculation!R336*0.69143*(Calculation!$BQ$8-Calculation!$F$8))*$S$14</f>
        <v>0</v>
      </c>
      <c r="DM336" s="359" t="e">
        <f t="shared" si="966"/>
        <v>#VALUE!</v>
      </c>
      <c r="DN336" s="611">
        <f t="shared" si="967"/>
        <v>0</v>
      </c>
      <c r="DO336" s="359">
        <f t="shared" si="968"/>
        <v>100</v>
      </c>
      <c r="DP336" s="359">
        <f t="shared" si="969"/>
        <v>0</v>
      </c>
      <c r="DQ336" s="360"/>
      <c r="DR336" s="245" t="e">
        <f ca="1">INDEX(INDIRECT(VLOOKUP(LEFT(BO336,7),CLU!$Z$3:$AH$18,7)),M336-1,1)</f>
        <v>#N/A</v>
      </c>
      <c r="DS336" s="245" t="e">
        <f ca="1">INDEX(INDIRECT(VLOOKUP(LEFT(BO336,7),CLU!$Z$3:$AH$18,7)),M336-1,2)</f>
        <v>#N/A</v>
      </c>
      <c r="DT336" s="245" t="e">
        <f ca="1">INDEX(INDIRECT(VLOOKUP(LEFT(BO336,7),CLU!$Z$3:$AH$18,7)),M336-1,3)</f>
        <v>#N/A</v>
      </c>
      <c r="DU336" s="245" t="e">
        <f ca="1">INDEX(INDIRECT(VLOOKUP(LEFT(BO336,7),CLU!$Z$3:$AH$18,7)),M336-1,4)</f>
        <v>#N/A</v>
      </c>
      <c r="DV336" s="361" t="e">
        <f ca="1">INDEX(INDIRECT(VLOOKUP(LEFT(BO336,7),CLU!$Z$3:$AH$18,7)),M336-1,4+LEFT(DZ336,1)*0.5)</f>
        <v>#N/A</v>
      </c>
      <c r="DW336" s="245" t="e">
        <f ca="1">INDEX(INDIRECT(VLOOKUP(LEFT(BO336,7),CLU!$Z$3:$AH$18,7)),M336-1,8)</f>
        <v>#N/A</v>
      </c>
      <c r="DX336" s="361" t="str">
        <f t="shared" si="862"/>
        <v xml:space="preserve"> </v>
      </c>
      <c r="DY336" s="361" t="str">
        <f t="shared" si="863"/>
        <v xml:space="preserve"> </v>
      </c>
      <c r="DZ336" s="361" t="str">
        <f t="shared" si="864"/>
        <v xml:space="preserve"> </v>
      </c>
      <c r="EA336" s="362" t="str">
        <f t="shared" si="865"/>
        <v xml:space="preserve"> </v>
      </c>
      <c r="EB336" s="624" t="str">
        <f t="shared" si="970"/>
        <v xml:space="preserve"> </v>
      </c>
      <c r="EC336" s="361" t="e">
        <f ca="1">INDEX(INDIRECT(VLOOKUP(LEFT(BO336,7),CLU!$Z$3:$AH$18,7)),M336-1,4+LEFT(DZ336,1)*0.5)</f>
        <v>#N/A</v>
      </c>
      <c r="ED336" s="362" t="str">
        <f t="shared" si="866"/>
        <v xml:space="preserve"> </v>
      </c>
      <c r="EE336" s="361" t="str">
        <f t="shared" si="867"/>
        <v xml:space="preserve"> </v>
      </c>
      <c r="EF336" s="362" t="str">
        <f>IF(L336&gt;0,IF(BR336&gt;0,IF(EE336="2P",IF(Calculation!DZ336="2P",IF(Calculation!DS336=13.75,IF(Calculation!DR336=13,Worksheet!$BD$43,IF(Calculation!DR336=37,Worksheet!$BD$44,Worksheet!$BD$45)),IF(Calculation!DS336=10,IF(Calculation!DR336=18,Worksheet!$BD$29,IF(Calculation!DR336=30,Worksheet!$BD$30,IF(Calculation!DR336=42,Worksheet!$BD$31,IF(Calculation!DR336=54,Worksheet!$BD$32,IF(Calculation!DR336=66,Worksheet!$BD$33,IF(Calculation!DR336=78,Worksheet!$BD$34,IF(Calculation!DR336=90,Worksheet!$BD$35,IF(Calculation!DR336=102,Worksheet!$BD$36,Worksheet!$BD$37)))))))),IF(Calculation!DS336=12.5,IF(Calculation!DR336=18,Worksheet!$BD$38,IF(Calculation!DR336=Worksheet!$BD$39,IF(Calculation!DR336=42,Worksheet!$BD$40,IF(Calculation!DR336=54,Worksheet!$BD$41,Worksheet!$BD$42)))),IF(Calculation!DR336=18,Worksheet!$BD$11,IF(Calculation!DR336=30,Worksheet!$BD$12,IF(Calculation!DR336=42,Worksheet!$BD$13,IF(Calculation!DR336=54,Worksheet!$BD$14,IF(Calculation!DR336=66,Worksheet!$BD$15,IF(Calculation!DR336=78,Worksheet!$BD$16,IF(Calculation!DR336=90,Worksheet!$BD$17,IF(Calculation!DR336=102,Worksheet!$BD$18,Worksheet!$BD$19))))))))))),IF(Calculation!DS336=13.75,IF(Calculation!DR336=13,Worksheet!$BD$78,IF(Calculation!DR336=37,Worksheet!$BD$79,Worksheet!$BD$80)),IF(Calculation!DS336=10,IF(Calculation!DR336=18,Worksheet!$BD$64,IF(Calculation!DR336=30,Worksheet!$BD$65,IF(Calculation!DR336=42,Worksheet!$BD$66,IF(Calculation!DR336=54,Worksheet!$BD$68,IF(Calculation!DR336=66,Worksheet!$BD$68,IF(Calculation!DR336=78,Worksheet!$BD$69,IF(Calculation!DR336=90,Worksheet!$BD$70,IF(Calculation!DR336=102,Worksheet!$BD$71,Worksheet!$BD$72)))))))),IF(Calculation!DS336=12.5,IF(Calculation!DR336=18,Worksheet!$BD$73,IF(Calculation!DR336=Worksheet!$BD$74,IF(Calculation!DR336=42,Worksheet!$BD$75,IF(Calculation!DR336=54,Worksheet!$BD$76,Worksheet!$BD$77)))),IF(Calculation!DR336=18,Worksheet!$BD$55,IF(Calculation!DR336=30,Worksheet!$BD$56,IF(Calculation!DR336=42,Worksheet!$BD$57,IF(Calculation!DR336=54,Worksheet!$BD$58,IF(Calculation!DR336=66,Worksheet!$BD$59,IF(Calculation!DR336=78,Worksheet!$BD$60,IF(Calculation!DR336=90,Worksheet!$BD$61,IF(Calculation!DR336=102,Worksheet!$BD$62,Worksheet!$BD$63)))))))))))),5),0)," ")</f>
        <v xml:space="preserve"> </v>
      </c>
      <c r="EG336" s="361" t="str">
        <f t="shared" si="868"/>
        <v xml:space="preserve"> </v>
      </c>
      <c r="EH336" s="361" t="e">
        <f ca="1">INDEX(INDIRECT(VLOOKUP(LEFT(BO336,7),CLU!$Z$3:$AH$18,7)),M336-1,3+LEFT(DZ336,1))</f>
        <v>#N/A</v>
      </c>
      <c r="EI336" s="362" t="str">
        <f t="shared" si="869"/>
        <v xml:space="preserve"> </v>
      </c>
      <c r="EJ336" s="363" t="str">
        <f t="shared" si="870"/>
        <v xml:space="preserve"> </v>
      </c>
      <c r="EK336" s="363" t="str">
        <f t="shared" si="871"/>
        <v xml:space="preserve"> </v>
      </c>
      <c r="EL336" s="363" t="str">
        <f t="shared" si="872"/>
        <v xml:space="preserve"> </v>
      </c>
      <c r="EM336" s="362" t="str">
        <f>IF(L336&gt;0,IF(BR336&gt;0,(Calculation!T336/ED336)^2,0)," ")</f>
        <v xml:space="preserve"> </v>
      </c>
      <c r="EN336" s="362" t="str">
        <f>IF(L336&gt;0,IF(O336="2 Pipe (Cooling)","N/A",IF(BR336&gt;0,(Calculation!U336/EI336)^2,0))," ")</f>
        <v xml:space="preserve"> </v>
      </c>
      <c r="EO336" s="361" t="str">
        <f t="shared" si="873"/>
        <v/>
      </c>
      <c r="EP336" s="361" t="str">
        <f t="shared" si="874"/>
        <v/>
      </c>
      <c r="EQ336" s="361" t="str">
        <f t="shared" si="875"/>
        <v/>
      </c>
      <c r="ER336" s="361" t="str">
        <f t="shared" si="876"/>
        <v/>
      </c>
      <c r="ES336" s="361" t="str">
        <f t="shared" si="877"/>
        <v/>
      </c>
      <c r="ET336" s="361" t="str">
        <f t="shared" si="878"/>
        <v/>
      </c>
      <c r="EU336" s="361" t="str">
        <f t="shared" si="879"/>
        <v/>
      </c>
      <c r="EV336" s="361" t="str">
        <f t="shared" si="880"/>
        <v/>
      </c>
      <c r="EW336" s="361" t="str">
        <f t="shared" si="881"/>
        <v/>
      </c>
      <c r="EX336" s="361" t="str">
        <f t="shared" si="971"/>
        <v>1 slot, 1 way</v>
      </c>
      <c r="EY336" s="361" t="str">
        <f t="shared" si="972"/>
        <v xml:space="preserve"> </v>
      </c>
      <c r="EZ336" s="361" t="str">
        <f t="shared" si="973"/>
        <v xml:space="preserve"> </v>
      </c>
      <c r="FA336" s="361" t="str">
        <f t="shared" si="974"/>
        <v xml:space="preserve"> </v>
      </c>
      <c r="FB336" s="361" t="str">
        <f t="shared" si="975"/>
        <v xml:space="preserve"> </v>
      </c>
      <c r="FC336" s="361"/>
      <c r="FD336" s="361" t="str">
        <f>IF(J336&gt;0,IF(Calculation!R336&lt;=70,4,IF(Calculation!R336&lt;=110,5,IF(Calculation!R336&lt;=160,6,IF(Calculation!R336&lt;=300,8,"10 EO")))),"")</f>
        <v/>
      </c>
      <c r="FE336" s="361" t="str">
        <f t="shared" si="976"/>
        <v/>
      </c>
      <c r="FF336" s="361" t="str">
        <f t="shared" si="977"/>
        <v/>
      </c>
      <c r="FG336" s="361" t="e">
        <f t="shared" si="882"/>
        <v>#N/A</v>
      </c>
      <c r="FH336" s="361">
        <f t="shared" si="883"/>
        <v>0</v>
      </c>
      <c r="FI336" s="361" t="e">
        <f t="shared" si="884"/>
        <v>#DIV/0!</v>
      </c>
      <c r="FJ336" s="361"/>
      <c r="FK336" s="356" t="e">
        <f t="shared" si="885"/>
        <v>#VALUE!</v>
      </c>
      <c r="FL336" s="361"/>
      <c r="FM336" s="361"/>
      <c r="FN336" s="362" t="str">
        <f t="shared" si="978"/>
        <v xml:space="preserve"> </v>
      </c>
      <c r="FO336" s="362" t="str">
        <f t="shared" si="979"/>
        <v xml:space="preserve"> </v>
      </c>
      <c r="FP336" s="362">
        <f t="shared" si="980"/>
        <v>0</v>
      </c>
      <c r="FQ336" s="361">
        <f t="shared" si="886"/>
        <v>0</v>
      </c>
      <c r="FR336" s="362" t="str">
        <f>IF(L336&gt;0,IF(J336="CBAL2",Worksheet!$P$67,IF(J336="CBE2-24",Worksheet!$Q$67,IF(J336="CBAM",Worksheet!$R$67,IF(J336="CBLV",Worksheet!$S$67,IF(J336="CBAB",Worksheet!$U$67,IF(J336="CBAW",Worksheet!$X$67,IF(J336="CBE2-12",Worksheet!$Y$67,IF(J336="CBAL2",Worksheet!$Z$67,"N/A"))))))))," ")</f>
        <v xml:space="preserve"> </v>
      </c>
      <c r="FS336" s="362" t="str">
        <f>IF(L336&gt;0,IF(J336="CBAL2",Worksheet!$P$68,IF(J336="CBE2-24",Worksheet!$Q$68,IF(J336="CBAM",Worksheet!$R$68,IF(J336="CBLV",Worksheet!$S$68,IF(J336="CBAB",Worksheet!$U$68,IF(J336="CBAW",Worksheet!$X$68,IF(J336="CBE2-12",Worksheet!$Y$68,IF(J336="CBAL2",Worksheet!$Z$68,"N/A"))))))))," ")</f>
        <v xml:space="preserve"> </v>
      </c>
      <c r="FT336" s="362" t="str">
        <f>IF(L336&gt;0,IF(J336="CBAL2",Worksheet!$P$69,IF(J336="CBE2-24",Worksheet!$Q$69,IF(J336="CBAM",Worksheet!$R$69,IF(J336="CBLV",Worksheet!$S$69,IF(J336="CBAB",Worksheet!$U$69,IF(J336="CBAW",Worksheet!$X$69,IF(J336="CBE2-12",Worksheet!$Y$69,IF(J336="CBAL2",Worksheet!$Z$69,"N/A"))))))))," ")</f>
        <v xml:space="preserve"> </v>
      </c>
      <c r="FU336" s="361" t="str">
        <f t="shared" si="981"/>
        <v xml:space="preserve"> </v>
      </c>
      <c r="FV336" s="362" t="str">
        <f t="shared" si="982"/>
        <v xml:space="preserve"> </v>
      </c>
      <c r="FW336" s="362" t="str">
        <f t="shared" si="983"/>
        <v xml:space="preserve"> </v>
      </c>
      <c r="FX336" s="362" t="str">
        <f t="shared" si="984"/>
        <v xml:space="preserve"> </v>
      </c>
      <c r="FY336" s="355" t="str">
        <f t="shared" si="985"/>
        <v xml:space="preserve"> </v>
      </c>
      <c r="FZ336" s="361" t="str">
        <f t="shared" si="986"/>
        <v xml:space="preserve"> </v>
      </c>
      <c r="GA336" s="347" t="str">
        <f t="shared" si="987"/>
        <v xml:space="preserve"> </v>
      </c>
      <c r="GB336" s="355" t="str">
        <f t="shared" si="988"/>
        <v xml:space="preserve"> </v>
      </c>
      <c r="GC336" s="328" t="str">
        <f t="shared" si="989"/>
        <v xml:space="preserve"> </v>
      </c>
      <c r="GD336" s="361" t="str">
        <f t="shared" si="990"/>
        <v xml:space="preserve"> </v>
      </c>
      <c r="GE336" s="347" t="str">
        <f t="shared" si="991"/>
        <v xml:space="preserve"> </v>
      </c>
      <c r="GF336" s="361" t="str">
        <f t="shared" si="992"/>
        <v xml:space="preserve"> </v>
      </c>
      <c r="GG336" s="347" t="str">
        <f t="shared" si="993"/>
        <v xml:space="preserve"> </v>
      </c>
      <c r="GH336" s="364">
        <f t="shared" si="887"/>
        <v>0</v>
      </c>
      <c r="GI336" s="362">
        <f t="shared" si="994"/>
        <v>2</v>
      </c>
      <c r="GJ336" s="433" t="e">
        <f>IF(6-COUNTBLANK(GT336:GY336)=4,MATCH(MID(BO336,9,3),CLU!$H$16:$K$16),MATCH(MID(BO336,9,3),CLU!$H$13:$M$13))</f>
        <v>#N/A</v>
      </c>
      <c r="GK336" s="433" t="e">
        <f>HLOOKUP(VALUE(BP336),CLU!$H$9:$M$10,2)</f>
        <v>#VALUE!</v>
      </c>
      <c r="GL336" s="433" t="e">
        <f ca="1">MATCH(BU336,CLU!$H$2:$V$2,1)</f>
        <v>#VALUE!</v>
      </c>
      <c r="GM336" s="433" t="e">
        <f t="shared" ca="1" si="995"/>
        <v>#VALUE!</v>
      </c>
      <c r="GN336" s="433" t="e">
        <f t="shared" ca="1" si="996"/>
        <v>#VALUE!</v>
      </c>
      <c r="GO336" s="433" t="e">
        <f t="shared" ca="1" si="997"/>
        <v>#VALUE!</v>
      </c>
      <c r="GP336" s="433" t="e">
        <f t="shared" ca="1" si="998"/>
        <v>#VALUE!</v>
      </c>
      <c r="GQ336" s="433" t="e">
        <f t="shared" ca="1" si="999"/>
        <v>#VALUE!</v>
      </c>
      <c r="GR336" s="433" t="e">
        <f ca="1">MATCH(T336,INDIRECT(VLOOKUP(CONCATENATE(LEFT(BO336,7),"-",MID(BO336,13,1)),CLU!$P$3:$Q$16,2)),1)</f>
        <v>#N/A</v>
      </c>
      <c r="GS336" s="433" t="e">
        <f ca="1">MATCH(U336,INDIRECT(VLOOKUP(CONCATENATE(LEFT(BO336,7),"-",MID(BO336,13,1)),CLU!$P$3:$Q$16,2)),1)</f>
        <v>#N/A</v>
      </c>
      <c r="GT336" s="347" t="s">
        <v>512</v>
      </c>
      <c r="GU336" s="97" t="s">
        <v>513</v>
      </c>
      <c r="GV336" s="97" t="str">
        <f t="shared" si="1000"/>
        <v>M23</v>
      </c>
      <c r="GW336" s="97" t="str">
        <f t="shared" si="1001"/>
        <v>M31</v>
      </c>
      <c r="GX336" s="97" t="str">
        <f t="shared" si="1002"/>
        <v/>
      </c>
      <c r="GY336" s="97" t="str">
        <f t="shared" si="1003"/>
        <v/>
      </c>
      <c r="GZ336" s="481"/>
      <c r="HA336" s="240"/>
      <c r="HB336" s="240"/>
      <c r="HC336" s="240"/>
      <c r="HD336" s="240"/>
      <c r="HE336" s="240"/>
      <c r="HF336" s="240"/>
      <c r="HG336" s="240"/>
      <c r="HH336" s="240"/>
      <c r="HI336" s="240"/>
      <c r="HJ336" s="240"/>
      <c r="HK336" s="240"/>
      <c r="HL336" s="240"/>
      <c r="HM336" s="240"/>
      <c r="HN336" s="240"/>
      <c r="HO336" s="240"/>
      <c r="HP336" s="240"/>
      <c r="HQ336" s="240"/>
      <c r="HR336" s="240"/>
      <c r="HS336" s="240"/>
      <c r="HT336" s="240"/>
      <c r="HU336" s="240"/>
      <c r="HV336" s="245"/>
      <c r="HW336" s="245" t="b">
        <v>1</v>
      </c>
      <c r="HX336" s="245" t="str">
        <f t="shared" si="888"/>
        <v/>
      </c>
      <c r="HY336" s="245" t="e">
        <f t="shared" si="889"/>
        <v>#DIV/0!</v>
      </c>
      <c r="HZ336" s="245" t="e">
        <f t="shared" si="890"/>
        <v>#DIV/0!</v>
      </c>
      <c r="IA336" s="245">
        <f t="shared" si="891"/>
        <v>0</v>
      </c>
      <c r="IB336" s="245"/>
      <c r="IC336" t="b">
        <f t="shared" si="892"/>
        <v>1</v>
      </c>
      <c r="ID336" s="245" t="b">
        <f t="shared" si="893"/>
        <v>1</v>
      </c>
      <c r="IE336" s="245" t="b">
        <f t="shared" si="894"/>
        <v>1</v>
      </c>
      <c r="IF336" s="245" t="b">
        <f t="shared" si="895"/>
        <v>0</v>
      </c>
      <c r="IG336" s="245" t="b">
        <f t="shared" si="896"/>
        <v>1</v>
      </c>
      <c r="IH336" s="245" t="b">
        <f t="shared" si="897"/>
        <v>1</v>
      </c>
      <c r="II336" s="245">
        <f t="shared" si="1004"/>
        <v>0</v>
      </c>
      <c r="IJ336" s="245" t="e">
        <f t="shared" si="898"/>
        <v>#VALUE!</v>
      </c>
      <c r="IK336" s="245" t="e">
        <f t="shared" si="899"/>
        <v>#VALUE!</v>
      </c>
      <c r="IL336" s="245"/>
      <c r="IM336" s="245" t="e">
        <f t="shared" si="1005"/>
        <v>#N/A</v>
      </c>
      <c r="IN336" s="245" t="e">
        <f t="shared" si="1006"/>
        <v>#N/A</v>
      </c>
      <c r="IO336" s="245"/>
      <c r="IP336" s="245"/>
      <c r="IQ336" s="245" t="str">
        <f t="shared" si="900"/>
        <v/>
      </c>
      <c r="IR336" s="245" t="str">
        <f>IF(J336="","",VLOOKUP(J336,Worksheet!$R$4:$T$14,2))</f>
        <v/>
      </c>
      <c r="IS336" s="245"/>
      <c r="IT336" s="245">
        <f t="shared" si="901"/>
        <v>0</v>
      </c>
      <c r="IU336" s="245">
        <f t="shared" si="902"/>
        <v>0</v>
      </c>
      <c r="IV336" s="245">
        <f t="shared" si="903"/>
        <v>0</v>
      </c>
      <c r="IW336" s="245">
        <f t="shared" si="904"/>
        <v>0</v>
      </c>
      <c r="IX336" s="245">
        <f t="shared" si="1007"/>
        <v>0</v>
      </c>
      <c r="IY336" s="245">
        <f t="shared" si="905"/>
        <v>0</v>
      </c>
      <c r="IZ336" s="245">
        <f t="shared" si="906"/>
        <v>0</v>
      </c>
      <c r="JA336">
        <f t="shared" si="907"/>
        <v>0</v>
      </c>
      <c r="JB336">
        <f t="shared" si="1008"/>
        <v>0</v>
      </c>
      <c r="JC336">
        <f t="shared" si="908"/>
        <v>0</v>
      </c>
      <c r="JD336">
        <f t="shared" si="909"/>
        <v>0</v>
      </c>
      <c r="JE336">
        <f t="shared" si="910"/>
        <v>0</v>
      </c>
      <c r="JF336">
        <f t="shared" si="911"/>
        <v>0</v>
      </c>
      <c r="JG336">
        <f t="shared" si="912"/>
        <v>0</v>
      </c>
      <c r="JH336">
        <f t="shared" si="913"/>
        <v>0</v>
      </c>
      <c r="JI336">
        <f t="shared" si="914"/>
        <v>0</v>
      </c>
      <c r="JJ336" s="447">
        <f t="shared" si="915"/>
        <v>0</v>
      </c>
      <c r="JK336" s="447">
        <f t="shared" si="916"/>
        <v>0</v>
      </c>
      <c r="JL336">
        <f t="shared" si="917"/>
        <v>0</v>
      </c>
      <c r="JM336" s="245" t="str">
        <f>IFERROR(VLOOKUP(MATCH(BN336,#REF!,0),#REF!,7),"")</f>
        <v/>
      </c>
      <c r="JN336" t="e">
        <f>HLOOKUP(LEFT(BO336,7),Discharge_Area,MATCH(JO336,LookUps!$B$130:$B$149,1)+2)</f>
        <v>#N/A</v>
      </c>
      <c r="JO336" t="str">
        <f t="shared" si="918"/>
        <v>- S</v>
      </c>
      <c r="JP336" t="e">
        <f>HLOOKUP(LEFT(BO336,7),Discharge_Area,MATCH(JO336,LookUps!$B$130:$B$149,1)+2)</f>
        <v>#N/A</v>
      </c>
      <c r="JQ336" t="e">
        <f t="shared" si="919"/>
        <v>#N/A</v>
      </c>
      <c r="JR336" t="e">
        <f t="shared" si="920"/>
        <v>#N/A</v>
      </c>
      <c r="JS336" t="e">
        <f t="shared" si="921"/>
        <v>#N/A</v>
      </c>
      <c r="JT336" s="532" t="str">
        <f t="shared" si="922"/>
        <v xml:space="preserve"> </v>
      </c>
      <c r="JU336" s="532" t="str">
        <f t="shared" si="923"/>
        <v xml:space="preserve"> </v>
      </c>
      <c r="JV336" s="533" t="str">
        <f t="shared" si="924"/>
        <v xml:space="preserve"> </v>
      </c>
      <c r="JW336" s="534">
        <f t="shared" si="925"/>
        <v>0</v>
      </c>
      <c r="JX336" s="535" t="str">
        <f t="shared" si="1009"/>
        <v xml:space="preserve"> </v>
      </c>
      <c r="JY336" s="535" t="str">
        <f t="shared" si="1010"/>
        <v xml:space="preserve"> </v>
      </c>
      <c r="JZ336" s="535" t="str">
        <f t="shared" si="1011"/>
        <v xml:space="preserve"> </v>
      </c>
      <c r="KA336" s="536" t="str">
        <f t="shared" si="926"/>
        <v xml:space="preserve"> </v>
      </c>
      <c r="KB336" s="535" t="e">
        <f t="shared" si="1012"/>
        <v>#VALUE!</v>
      </c>
      <c r="KC336" s="535" t="str">
        <f t="shared" si="927"/>
        <v/>
      </c>
      <c r="KD336" s="537" t="str">
        <f t="shared" si="1013"/>
        <v xml:space="preserve"> </v>
      </c>
      <c r="KE336" s="537" t="str">
        <f t="shared" si="1014"/>
        <v xml:space="preserve"> </v>
      </c>
      <c r="KF336" s="534">
        <f t="shared" si="928"/>
        <v>0</v>
      </c>
      <c r="KG336" s="535" t="str">
        <f t="shared" si="929"/>
        <v xml:space="preserve"> </v>
      </c>
      <c r="KH336" s="535" t="str">
        <f t="shared" si="930"/>
        <v xml:space="preserve"> </v>
      </c>
      <c r="KI336" s="535" t="str">
        <f t="shared" si="931"/>
        <v xml:space="preserve"> </v>
      </c>
      <c r="KJ336" s="536" t="str">
        <f t="shared" si="932"/>
        <v xml:space="preserve"> </v>
      </c>
      <c r="KK336" s="535" t="str">
        <f t="shared" si="1015"/>
        <v xml:space="preserve"> </v>
      </c>
      <c r="KL336" s="535" t="str">
        <f t="shared" si="1016"/>
        <v xml:space="preserve"> </v>
      </c>
      <c r="KM336" s="537" t="str">
        <f t="shared" si="933"/>
        <v xml:space="preserve"> </v>
      </c>
      <c r="KN336" s="537" t="str">
        <f t="shared" si="1017"/>
        <v xml:space="preserve"> </v>
      </c>
      <c r="KP336">
        <f t="shared" si="934"/>
        <v>0</v>
      </c>
      <c r="LA336" t="e">
        <f t="shared" si="935"/>
        <v>#VALUE!</v>
      </c>
      <c r="LB336" t="e">
        <f t="shared" si="936"/>
        <v>#VALUE!</v>
      </c>
      <c r="LC336" t="e">
        <f t="shared" si="937"/>
        <v>#VALUE!</v>
      </c>
      <c r="LD336" t="e">
        <f t="shared" si="938"/>
        <v>#VALUE!</v>
      </c>
      <c r="LE336" t="e">
        <f t="shared" si="1018"/>
        <v>#VALUE!</v>
      </c>
      <c r="LF336">
        <f t="shared" si="939"/>
        <v>0</v>
      </c>
      <c r="LG336" t="e">
        <f t="shared" si="1019"/>
        <v>#VALUE!</v>
      </c>
      <c r="LH336" t="str">
        <f t="shared" si="940"/>
        <v xml:space="preserve"> </v>
      </c>
      <c r="LI336">
        <f t="shared" si="1020"/>
        <v>1</v>
      </c>
    </row>
    <row r="337" spans="2:321" ht="15" customHeight="1">
      <c r="B337" s="311"/>
      <c r="C337" s="311"/>
      <c r="D337" s="312"/>
      <c r="E337" s="311"/>
      <c r="F337" s="312"/>
      <c r="G337" s="311"/>
      <c r="H337" s="311"/>
      <c r="I337" s="232"/>
      <c r="J337" s="311"/>
      <c r="K337" s="305" t="str">
        <f t="shared" si="941"/>
        <v/>
      </c>
      <c r="L337" s="313"/>
      <c r="M337" s="312"/>
      <c r="N337" s="311"/>
      <c r="O337" s="312"/>
      <c r="P337" s="311"/>
      <c r="Q337" s="305" t="str">
        <f t="shared" si="942"/>
        <v/>
      </c>
      <c r="R337" s="314"/>
      <c r="S337" s="450" t="str">
        <f t="shared" si="825"/>
        <v/>
      </c>
      <c r="T337" s="315"/>
      <c r="U337" s="315"/>
      <c r="W337" s="149" t="str">
        <f t="shared" si="826"/>
        <v xml:space="preserve"> </v>
      </c>
      <c r="X337" s="243" t="str">
        <f t="shared" si="827"/>
        <v xml:space="preserve"> </v>
      </c>
      <c r="Y337" s="150" t="str">
        <f t="shared" si="828"/>
        <v/>
      </c>
      <c r="Z337" s="149" t="str">
        <f t="shared" si="829"/>
        <v xml:space="preserve"> </v>
      </c>
      <c r="AA337" s="98" t="str">
        <f t="shared" si="830"/>
        <v xml:space="preserve"> </v>
      </c>
      <c r="AB337" s="153" t="str">
        <f t="shared" si="831"/>
        <v xml:space="preserve"> </v>
      </c>
      <c r="AC337" s="153" t="str">
        <f t="shared" si="832"/>
        <v xml:space="preserve"> </v>
      </c>
      <c r="AD337" s="148" t="str">
        <f t="shared" si="833"/>
        <v/>
      </c>
      <c r="AE337" s="149" t="str">
        <f t="shared" si="834"/>
        <v/>
      </c>
      <c r="AF337" s="151" t="str">
        <f t="shared" si="835"/>
        <v xml:space="preserve"> </v>
      </c>
      <c r="AG337" s="153" t="str">
        <f t="shared" si="836"/>
        <v xml:space="preserve"> </v>
      </c>
      <c r="AH337" s="98" t="str">
        <f t="shared" si="837"/>
        <v xml:space="preserve"> </v>
      </c>
      <c r="AI337" s="149" t="str">
        <f t="shared" si="838"/>
        <v xml:space="preserve"> </v>
      </c>
      <c r="AK337" s="144" t="str">
        <f t="shared" si="839"/>
        <v xml:space="preserve"> </v>
      </c>
      <c r="AL337" s="144"/>
      <c r="AM337" s="243" t="str">
        <f t="shared" si="840"/>
        <v xml:space="preserve"> </v>
      </c>
      <c r="AN337" s="149" t="str">
        <f t="shared" si="943"/>
        <v xml:space="preserve"> </v>
      </c>
      <c r="AO337" s="144" t="str">
        <f>IF(JB337&gt;0,IF(GI337=10,-R337*1.085*(Calculation!$F$6-Calculation!$F$13)*$S$14," "),"")</f>
        <v/>
      </c>
      <c r="AP337" s="144" t="str">
        <f t="shared" si="841"/>
        <v/>
      </c>
      <c r="AQ337" s="56" t="str">
        <f t="shared" si="842"/>
        <v/>
      </c>
      <c r="AR337" s="144" t="str">
        <f t="shared" si="843"/>
        <v/>
      </c>
      <c r="AS337" s="176" t="str">
        <f t="shared" si="844"/>
        <v/>
      </c>
      <c r="AT337" s="176" t="str">
        <f t="shared" si="944"/>
        <v xml:space="preserve"> </v>
      </c>
      <c r="AU337" s="176" t="str">
        <f t="shared" si="845"/>
        <v/>
      </c>
      <c r="AV337" s="177" t="str">
        <f t="shared" si="846"/>
        <v xml:space="preserve"> </v>
      </c>
      <c r="AW337" s="144" t="str">
        <f t="shared" si="847"/>
        <v xml:space="preserve"> </v>
      </c>
      <c r="AX337" s="144" t="str">
        <f t="shared" si="848"/>
        <v xml:space="preserve"> </v>
      </c>
      <c r="AY337" s="152" t="str">
        <f t="shared" si="849"/>
        <v xml:space="preserve"> </v>
      </c>
      <c r="AZ337" s="246" t="str">
        <f t="shared" si="850"/>
        <v/>
      </c>
      <c r="BA337" s="176" t="str">
        <f t="shared" si="851"/>
        <v xml:space="preserve"> </v>
      </c>
      <c r="BB337" s="176" t="str">
        <f t="shared" si="852"/>
        <v xml:space="preserve"> </v>
      </c>
      <c r="BC337" s="195"/>
      <c r="BD337" s="316"/>
      <c r="BE337" s="317"/>
      <c r="BF337" s="318"/>
      <c r="BG337" s="318"/>
      <c r="BH337" s="144" t="str">
        <f t="shared" si="1021"/>
        <v xml:space="preserve"> </v>
      </c>
      <c r="BI337" s="176" t="str">
        <f t="shared" si="853"/>
        <v/>
      </c>
      <c r="BJ337" s="144" t="str">
        <f t="shared" si="1022"/>
        <v/>
      </c>
      <c r="BK337" s="246" t="str">
        <f t="shared" si="854"/>
        <v/>
      </c>
      <c r="BL337" s="144" t="str">
        <f t="shared" si="1023"/>
        <v/>
      </c>
      <c r="BM337" s="246" t="str">
        <f t="shared" si="855"/>
        <v/>
      </c>
      <c r="BN337" s="337" t="str">
        <f t="shared" si="945"/>
        <v/>
      </c>
      <c r="BO337" s="371" t="str">
        <f t="shared" si="946"/>
        <v/>
      </c>
      <c r="BP337" s="328" t="str">
        <f t="shared" si="1024"/>
        <v xml:space="preserve"> </v>
      </c>
      <c r="BQ337" s="347" t="str">
        <f t="shared" si="947"/>
        <v xml:space="preserve"> </v>
      </c>
      <c r="BR337" s="353" t="str">
        <f t="shared" si="948"/>
        <v xml:space="preserve"> </v>
      </c>
      <c r="BS337" s="626" t="str">
        <f>IF(L337&gt;0,IF(Calculation!P337="M13",BR337*3.1416*(0.134^2)/(4*144),IF(Calculation!P337="M17",BR337*3.1416*(0.165^2)/(4*144),IF(Calculation!P337="M20",BR337*3.1416*(0.198^2)/(4*144),IF(Calculation!P337="M23",BR337*3.1416*(0.228^2)/(4*144),IF(Calculation!P337="M27",BR337*3.1416*(0.269^2)/(4*144),BR337*3.1416*(0.307^2)/(4*144))))))," ")</f>
        <v xml:space="preserve"> </v>
      </c>
      <c r="BT337" s="353" t="str">
        <f>IF(L337&gt;0,IF(BS337&gt;0,R337/Calculation!BS337,0)," ")</f>
        <v xml:space="preserve"> </v>
      </c>
      <c r="BU337" s="438" t="e">
        <f t="shared" ca="1" si="856"/>
        <v>#VALUE!</v>
      </c>
      <c r="BV337" s="449" t="e">
        <f ca="1">INDEX(INDIRECT(VLOOKUP(LEFT(BO337,7),CLU!$Z$3:$AH$18,2)),GN337,GR337)</f>
        <v>#N/A</v>
      </c>
      <c r="BW337" s="433" t="e">
        <f ca="1">INDEX(INDIRECT(VLOOKUP(LEFT(BO337,7),CLU!$Z$3:$AH$18,3)),GN337,GR337)</f>
        <v>#N/A</v>
      </c>
      <c r="BX337" s="433" t="e">
        <f ca="1">INDEX(INDIRECT(VLOOKUP(LEFT(BO337,7),CLU!$Z$3:$AH$18,4)),GN337,GR337)</f>
        <v>#N/A</v>
      </c>
      <c r="BY337" s="433" t="e">
        <f ca="1">INDEX(INDIRECT(VLOOKUP(LEFT(BO337,7),CLU!$Z$3:$AH$18,9)),((M337-2)*(6-COUNTBLANK(GT337:GY337)))+GJ337)</f>
        <v>#N/A</v>
      </c>
      <c r="BZ337" s="426" t="e">
        <f t="shared" ca="1" si="949"/>
        <v>#N/A</v>
      </c>
      <c r="CA337" s="424" t="e">
        <f t="shared" ca="1" si="950"/>
        <v>#N/A</v>
      </c>
      <c r="CB337" s="429" t="e">
        <f ca="1">INDEX(INDIRECT(VLOOKUP(LEFT(BO337,7),CLU!$Z$3:$AH$18,2)),GN337,GS337)</f>
        <v>#N/A</v>
      </c>
      <c r="CC337" s="342" t="e">
        <f ca="1">INDEX(INDIRECT(VLOOKUP(LEFT(BO337,7),CLU!$Z$3:$AH$18,3)),GN337,GS337)</f>
        <v>#N/A</v>
      </c>
      <c r="CD337" s="342" t="e">
        <f ca="1">INDEX(INDIRECT(VLOOKUP(LEFT(BO337,7),CLU!$Z$3:$AH$18,4)),GN337,GS337)</f>
        <v>#N/A</v>
      </c>
      <c r="CE337" s="426" t="e">
        <f t="shared" ca="1" si="951"/>
        <v>#N/A</v>
      </c>
      <c r="CF337" s="440">
        <f t="shared" si="952"/>
        <v>0</v>
      </c>
      <c r="CG337" s="431" t="e">
        <f ca="1">INDEX(INDIRECT(VLOOKUP(LEFT(BO337,7),CLU!$Z$3:$AH$18,2)),GQ337,GR337)</f>
        <v>#N/A</v>
      </c>
      <c r="CH337" s="431" t="e">
        <f ca="1">INDEX(INDIRECT(VLOOKUP(LEFT(BO337,7),CLU!$Z$3:$AH$18,3)),GQ337,GR337)</f>
        <v>#N/A</v>
      </c>
      <c r="CI337" s="431" t="e">
        <f ca="1">INDEX(INDIRECT(VLOOKUP(LEFT(BO337,7),CLU!$Z$3:$AH$18,4)),GQ337,GR337)</f>
        <v>#N/A</v>
      </c>
      <c r="CJ337" s="448" t="e">
        <f t="shared" ca="1" si="953"/>
        <v>#N/A</v>
      </c>
      <c r="CK337" s="431" t="e">
        <f t="shared" ca="1" si="954"/>
        <v>#N/A</v>
      </c>
      <c r="CL337" s="440" t="e">
        <f t="shared" ca="1" si="955"/>
        <v>#N/A</v>
      </c>
      <c r="CM337" s="431" t="e">
        <f ca="1">INDEX(INDIRECT(VLOOKUP(LEFT(BO337,7),CLU!$Z$3:$AH$18,2)),GQ337,GS337)</f>
        <v>#N/A</v>
      </c>
      <c r="CN337" s="431" t="e">
        <f ca="1">INDEX(INDIRECT(VLOOKUP(LEFT(BO337,7),CLU!$Z$3:$AH$18,3)),GQ337,GS337)</f>
        <v>#N/A</v>
      </c>
      <c r="CO337" s="431" t="e">
        <f ca="1">INDEX(INDIRECT(VLOOKUP(LEFT(BO337,7),CLU!$Z$3:$AH$18,4)),GQ337,GS337)</f>
        <v>#N/A</v>
      </c>
      <c r="CP337" s="431" t="e">
        <f t="shared" ca="1" si="956"/>
        <v>#N/A</v>
      </c>
      <c r="CQ337" s="440">
        <f t="shared" si="957"/>
        <v>0</v>
      </c>
      <c r="CR337" s="51" t="e">
        <f t="shared" ca="1" si="958"/>
        <v>#N/A</v>
      </c>
      <c r="CS337" s="439" t="e">
        <f t="shared" ca="1" si="959"/>
        <v>#VALUE!</v>
      </c>
      <c r="CT337" s="51" t="e">
        <f t="shared" ca="1" si="960"/>
        <v>#VALUE!</v>
      </c>
      <c r="CU337" s="10"/>
      <c r="CV337" s="51" t="e">
        <f t="shared" ca="1" si="857"/>
        <v>#VALUE!</v>
      </c>
      <c r="CW337" s="51">
        <f t="shared" si="961"/>
        <v>0</v>
      </c>
      <c r="CX337" s="439" t="e">
        <f t="shared" ca="1" si="962"/>
        <v>#VALUE!</v>
      </c>
      <c r="CY337" s="51" t="e">
        <f t="shared" ca="1" si="963"/>
        <v>#VALUE!</v>
      </c>
      <c r="CZ337" s="10"/>
      <c r="DA337" s="51" t="e">
        <f t="shared" ca="1" si="964"/>
        <v>#VALUE!</v>
      </c>
      <c r="DB337" s="347" t="e">
        <f ca="1">INDEX(INDIRECT(VLOOKUP(LEFT(BO337,7),CLU!$Z$3:$AI$18,10)),((M337-2)*(6-COUNTBLANK(GT337:GY337)))+GJ337)*LI337</f>
        <v>#N/A</v>
      </c>
      <c r="DC337" s="347" t="str">
        <f>IF(L337&gt;0,((R337/Worksheet!$I$15)/DB337)^2," ")</f>
        <v xml:space="preserve"> </v>
      </c>
      <c r="DD337" s="602" t="str">
        <f t="shared" si="965"/>
        <v xml:space="preserve"> </v>
      </c>
      <c r="DE337" s="347" t="str">
        <f t="shared" si="858"/>
        <v xml:space="preserve"> </v>
      </c>
      <c r="DF337" s="356" t="e">
        <f ca="1">INDEX(INDIRECT(VLOOKUP(LEFT(BO337,7),CLU!$Z$3:$AH$18,8)),((M337-2)*(6-COUNTBLANK(GT337:GY337)))+GJ337)</f>
        <v>#N/A</v>
      </c>
      <c r="DG337" s="347" t="str">
        <f t="shared" si="859"/>
        <v xml:space="preserve"> </v>
      </c>
      <c r="DH337" s="357" t="str">
        <f t="shared" si="860"/>
        <v xml:space="preserve"> </v>
      </c>
      <c r="DI337" s="355" t="str">
        <f t="shared" si="861"/>
        <v xml:space="preserve"> </v>
      </c>
      <c r="DJ337" s="245" t="e">
        <f ca="1">INDEX(INDIRECT(VLOOKUP(LEFT(BO337,7),CLU!$Z$3:$AH$18,5)),GL337,GK337)</f>
        <v>#N/A</v>
      </c>
      <c r="DK337" s="245" t="e">
        <f ca="1">INDEX(INDIRECT(VLOOKUP(LEFT(BO337,7),CLU!$Z$3:$AH$18,6)),GL337,GK337)</f>
        <v>#N/A</v>
      </c>
      <c r="DL337" s="355">
        <f>(Calculation!R337*0.69143*(Calculation!$BQ$8-Calculation!$F$8))*$S$14</f>
        <v>0</v>
      </c>
      <c r="DM337" s="359" t="e">
        <f t="shared" si="966"/>
        <v>#VALUE!</v>
      </c>
      <c r="DN337" s="611">
        <f t="shared" si="967"/>
        <v>0</v>
      </c>
      <c r="DO337" s="359">
        <f t="shared" si="968"/>
        <v>100</v>
      </c>
      <c r="DP337" s="359">
        <f t="shared" si="969"/>
        <v>0</v>
      </c>
      <c r="DQ337" s="360"/>
      <c r="DR337" s="245" t="e">
        <f ca="1">INDEX(INDIRECT(VLOOKUP(LEFT(BO337,7),CLU!$Z$3:$AH$18,7)),M337-1,1)</f>
        <v>#N/A</v>
      </c>
      <c r="DS337" s="245" t="e">
        <f ca="1">INDEX(INDIRECT(VLOOKUP(LEFT(BO337,7),CLU!$Z$3:$AH$18,7)),M337-1,2)</f>
        <v>#N/A</v>
      </c>
      <c r="DT337" s="245" t="e">
        <f ca="1">INDEX(INDIRECT(VLOOKUP(LEFT(BO337,7),CLU!$Z$3:$AH$18,7)),M337-1,3)</f>
        <v>#N/A</v>
      </c>
      <c r="DU337" s="245" t="e">
        <f ca="1">INDEX(INDIRECT(VLOOKUP(LEFT(BO337,7),CLU!$Z$3:$AH$18,7)),M337-1,4)</f>
        <v>#N/A</v>
      </c>
      <c r="DV337" s="361" t="e">
        <f ca="1">INDEX(INDIRECT(VLOOKUP(LEFT(BO337,7),CLU!$Z$3:$AH$18,7)),M337-1,4+LEFT(DZ337,1)*0.5)</f>
        <v>#N/A</v>
      </c>
      <c r="DW337" s="245" t="e">
        <f ca="1">INDEX(INDIRECT(VLOOKUP(LEFT(BO337,7),CLU!$Z$3:$AH$18,7)),M337-1,8)</f>
        <v>#N/A</v>
      </c>
      <c r="DX337" s="361" t="str">
        <f t="shared" si="862"/>
        <v xml:space="preserve"> </v>
      </c>
      <c r="DY337" s="361" t="str">
        <f t="shared" si="863"/>
        <v xml:space="preserve"> </v>
      </c>
      <c r="DZ337" s="361" t="str">
        <f t="shared" si="864"/>
        <v xml:space="preserve"> </v>
      </c>
      <c r="EA337" s="362" t="str">
        <f t="shared" si="865"/>
        <v xml:space="preserve"> </v>
      </c>
      <c r="EB337" s="624" t="str">
        <f t="shared" si="970"/>
        <v xml:space="preserve"> </v>
      </c>
      <c r="EC337" s="361" t="e">
        <f ca="1">INDEX(INDIRECT(VLOOKUP(LEFT(BO337,7),CLU!$Z$3:$AH$18,7)),M337-1,4+LEFT(DZ337,1)*0.5)</f>
        <v>#N/A</v>
      </c>
      <c r="ED337" s="362" t="str">
        <f t="shared" si="866"/>
        <v xml:space="preserve"> </v>
      </c>
      <c r="EE337" s="361" t="str">
        <f t="shared" si="867"/>
        <v xml:space="preserve"> </v>
      </c>
      <c r="EF337" s="362" t="str">
        <f>IF(L337&gt;0,IF(BR337&gt;0,IF(EE337="2P",IF(Calculation!DZ337="2P",IF(Calculation!DS337=13.75,IF(Calculation!DR337=13,Worksheet!$BD$43,IF(Calculation!DR337=37,Worksheet!$BD$44,Worksheet!$BD$45)),IF(Calculation!DS337=10,IF(Calculation!DR337=18,Worksheet!$BD$29,IF(Calculation!DR337=30,Worksheet!$BD$30,IF(Calculation!DR337=42,Worksheet!$BD$31,IF(Calculation!DR337=54,Worksheet!$BD$32,IF(Calculation!DR337=66,Worksheet!$BD$33,IF(Calculation!DR337=78,Worksheet!$BD$34,IF(Calculation!DR337=90,Worksheet!$BD$35,IF(Calculation!DR337=102,Worksheet!$BD$36,Worksheet!$BD$37)))))))),IF(Calculation!DS337=12.5,IF(Calculation!DR337=18,Worksheet!$BD$38,IF(Calculation!DR337=Worksheet!$BD$39,IF(Calculation!DR337=42,Worksheet!$BD$40,IF(Calculation!DR337=54,Worksheet!$BD$41,Worksheet!$BD$42)))),IF(Calculation!DR337=18,Worksheet!$BD$11,IF(Calculation!DR337=30,Worksheet!$BD$12,IF(Calculation!DR337=42,Worksheet!$BD$13,IF(Calculation!DR337=54,Worksheet!$BD$14,IF(Calculation!DR337=66,Worksheet!$BD$15,IF(Calculation!DR337=78,Worksheet!$BD$16,IF(Calculation!DR337=90,Worksheet!$BD$17,IF(Calculation!DR337=102,Worksheet!$BD$18,Worksheet!$BD$19))))))))))),IF(Calculation!DS337=13.75,IF(Calculation!DR337=13,Worksheet!$BD$78,IF(Calculation!DR337=37,Worksheet!$BD$79,Worksheet!$BD$80)),IF(Calculation!DS337=10,IF(Calculation!DR337=18,Worksheet!$BD$64,IF(Calculation!DR337=30,Worksheet!$BD$65,IF(Calculation!DR337=42,Worksheet!$BD$66,IF(Calculation!DR337=54,Worksheet!$BD$68,IF(Calculation!DR337=66,Worksheet!$BD$68,IF(Calculation!DR337=78,Worksheet!$BD$69,IF(Calculation!DR337=90,Worksheet!$BD$70,IF(Calculation!DR337=102,Worksheet!$BD$71,Worksheet!$BD$72)))))))),IF(Calculation!DS337=12.5,IF(Calculation!DR337=18,Worksheet!$BD$73,IF(Calculation!DR337=Worksheet!$BD$74,IF(Calculation!DR337=42,Worksheet!$BD$75,IF(Calculation!DR337=54,Worksheet!$BD$76,Worksheet!$BD$77)))),IF(Calculation!DR337=18,Worksheet!$BD$55,IF(Calculation!DR337=30,Worksheet!$BD$56,IF(Calculation!DR337=42,Worksheet!$BD$57,IF(Calculation!DR337=54,Worksheet!$BD$58,IF(Calculation!DR337=66,Worksheet!$BD$59,IF(Calculation!DR337=78,Worksheet!$BD$60,IF(Calculation!DR337=90,Worksheet!$BD$61,IF(Calculation!DR337=102,Worksheet!$BD$62,Worksheet!$BD$63)))))))))))),5),0)," ")</f>
        <v xml:space="preserve"> </v>
      </c>
      <c r="EG337" s="361" t="str">
        <f t="shared" si="868"/>
        <v xml:space="preserve"> </v>
      </c>
      <c r="EH337" s="361" t="e">
        <f ca="1">INDEX(INDIRECT(VLOOKUP(LEFT(BO337,7),CLU!$Z$3:$AH$18,7)),M337-1,3+LEFT(DZ337,1))</f>
        <v>#N/A</v>
      </c>
      <c r="EI337" s="362" t="str">
        <f t="shared" si="869"/>
        <v xml:space="preserve"> </v>
      </c>
      <c r="EJ337" s="363" t="str">
        <f t="shared" si="870"/>
        <v xml:space="preserve"> </v>
      </c>
      <c r="EK337" s="363" t="str">
        <f t="shared" si="871"/>
        <v xml:space="preserve"> </v>
      </c>
      <c r="EL337" s="363" t="str">
        <f t="shared" si="872"/>
        <v xml:space="preserve"> </v>
      </c>
      <c r="EM337" s="362" t="str">
        <f>IF(L337&gt;0,IF(BR337&gt;0,(Calculation!T337/ED337)^2,0)," ")</f>
        <v xml:space="preserve"> </v>
      </c>
      <c r="EN337" s="362" t="str">
        <f>IF(L337&gt;0,IF(O337="2 Pipe (Cooling)","N/A",IF(BR337&gt;0,(Calculation!U337/EI337)^2,0))," ")</f>
        <v xml:space="preserve"> </v>
      </c>
      <c r="EO337" s="361" t="str">
        <f t="shared" si="873"/>
        <v/>
      </c>
      <c r="EP337" s="361" t="str">
        <f t="shared" si="874"/>
        <v/>
      </c>
      <c r="EQ337" s="361" t="str">
        <f t="shared" si="875"/>
        <v/>
      </c>
      <c r="ER337" s="361" t="str">
        <f t="shared" si="876"/>
        <v/>
      </c>
      <c r="ES337" s="361" t="str">
        <f t="shared" si="877"/>
        <v/>
      </c>
      <c r="ET337" s="361" t="str">
        <f t="shared" si="878"/>
        <v/>
      </c>
      <c r="EU337" s="361" t="str">
        <f t="shared" si="879"/>
        <v/>
      </c>
      <c r="EV337" s="361" t="str">
        <f t="shared" si="880"/>
        <v/>
      </c>
      <c r="EW337" s="361" t="str">
        <f t="shared" si="881"/>
        <v/>
      </c>
      <c r="EX337" s="361" t="str">
        <f t="shared" si="971"/>
        <v>1 slot, 1 way</v>
      </c>
      <c r="EY337" s="361" t="str">
        <f t="shared" si="972"/>
        <v xml:space="preserve"> </v>
      </c>
      <c r="EZ337" s="361" t="str">
        <f t="shared" si="973"/>
        <v xml:space="preserve"> </v>
      </c>
      <c r="FA337" s="361" t="str">
        <f t="shared" si="974"/>
        <v xml:space="preserve"> </v>
      </c>
      <c r="FB337" s="361" t="str">
        <f t="shared" si="975"/>
        <v xml:space="preserve"> </v>
      </c>
      <c r="FC337" s="361"/>
      <c r="FD337" s="361" t="str">
        <f>IF(J337&gt;0,IF(Calculation!R337&lt;=70,4,IF(Calculation!R337&lt;=110,5,IF(Calculation!R337&lt;=160,6,IF(Calculation!R337&lt;=300,8,"10 EO")))),"")</f>
        <v/>
      </c>
      <c r="FE337" s="361" t="str">
        <f t="shared" si="976"/>
        <v/>
      </c>
      <c r="FF337" s="361" t="str">
        <f t="shared" si="977"/>
        <v/>
      </c>
      <c r="FG337" s="361" t="e">
        <f t="shared" si="882"/>
        <v>#N/A</v>
      </c>
      <c r="FH337" s="361">
        <f t="shared" si="883"/>
        <v>0</v>
      </c>
      <c r="FI337" s="361" t="e">
        <f t="shared" si="884"/>
        <v>#DIV/0!</v>
      </c>
      <c r="FJ337" s="361"/>
      <c r="FK337" s="356" t="e">
        <f t="shared" si="885"/>
        <v>#VALUE!</v>
      </c>
      <c r="FL337" s="361"/>
      <c r="FM337" s="361"/>
      <c r="FN337" s="362" t="str">
        <f t="shared" si="978"/>
        <v xml:space="preserve"> </v>
      </c>
      <c r="FO337" s="362" t="str">
        <f t="shared" si="979"/>
        <v xml:space="preserve"> </v>
      </c>
      <c r="FP337" s="362">
        <f t="shared" si="980"/>
        <v>0</v>
      </c>
      <c r="FQ337" s="361">
        <f t="shared" si="886"/>
        <v>0</v>
      </c>
      <c r="FR337" s="362" t="str">
        <f>IF(L337&gt;0,IF(J337="CBAL2",Worksheet!$P$67,IF(J337="CBE2-24",Worksheet!$Q$67,IF(J337="CBAM",Worksheet!$R$67,IF(J337="CBLV",Worksheet!$S$67,IF(J337="CBAB",Worksheet!$U$67,IF(J337="CBAW",Worksheet!$X$67,IF(J337="CBE2-12",Worksheet!$Y$67,IF(J337="CBAL2",Worksheet!$Z$67,"N/A"))))))))," ")</f>
        <v xml:space="preserve"> </v>
      </c>
      <c r="FS337" s="362" t="str">
        <f>IF(L337&gt;0,IF(J337="CBAL2",Worksheet!$P$68,IF(J337="CBE2-24",Worksheet!$Q$68,IF(J337="CBAM",Worksheet!$R$68,IF(J337="CBLV",Worksheet!$S$68,IF(J337="CBAB",Worksheet!$U$68,IF(J337="CBAW",Worksheet!$X$68,IF(J337="CBE2-12",Worksheet!$Y$68,IF(J337="CBAL2",Worksheet!$Z$68,"N/A"))))))))," ")</f>
        <v xml:space="preserve"> </v>
      </c>
      <c r="FT337" s="362" t="str">
        <f>IF(L337&gt;0,IF(J337="CBAL2",Worksheet!$P$69,IF(J337="CBE2-24",Worksheet!$Q$69,IF(J337="CBAM",Worksheet!$R$69,IF(J337="CBLV",Worksheet!$S$69,IF(J337="CBAB",Worksheet!$U$69,IF(J337="CBAW",Worksheet!$X$69,IF(J337="CBE2-12",Worksheet!$Y$69,IF(J337="CBAL2",Worksheet!$Z$69,"N/A"))))))))," ")</f>
        <v xml:space="preserve"> </v>
      </c>
      <c r="FU337" s="361" t="str">
        <f t="shared" si="981"/>
        <v xml:space="preserve"> </v>
      </c>
      <c r="FV337" s="362" t="str">
        <f t="shared" si="982"/>
        <v xml:space="preserve"> </v>
      </c>
      <c r="FW337" s="362" t="str">
        <f t="shared" si="983"/>
        <v xml:space="preserve"> </v>
      </c>
      <c r="FX337" s="362" t="str">
        <f t="shared" si="984"/>
        <v xml:space="preserve"> </v>
      </c>
      <c r="FY337" s="355" t="str">
        <f t="shared" si="985"/>
        <v xml:space="preserve"> </v>
      </c>
      <c r="FZ337" s="361" t="str">
        <f t="shared" si="986"/>
        <v xml:space="preserve"> </v>
      </c>
      <c r="GA337" s="347" t="str">
        <f t="shared" si="987"/>
        <v xml:space="preserve"> </v>
      </c>
      <c r="GB337" s="355" t="str">
        <f t="shared" si="988"/>
        <v xml:space="preserve"> </v>
      </c>
      <c r="GC337" s="328" t="str">
        <f t="shared" si="989"/>
        <v xml:space="preserve"> </v>
      </c>
      <c r="GD337" s="361" t="str">
        <f t="shared" si="990"/>
        <v xml:space="preserve"> </v>
      </c>
      <c r="GE337" s="347" t="str">
        <f t="shared" si="991"/>
        <v xml:space="preserve"> </v>
      </c>
      <c r="GF337" s="361" t="str">
        <f t="shared" si="992"/>
        <v xml:space="preserve"> </v>
      </c>
      <c r="GG337" s="347" t="str">
        <f t="shared" si="993"/>
        <v xml:space="preserve"> </v>
      </c>
      <c r="GH337" s="364">
        <f t="shared" si="887"/>
        <v>0</v>
      </c>
      <c r="GI337" s="362">
        <f t="shared" si="994"/>
        <v>2</v>
      </c>
      <c r="GJ337" s="433" t="e">
        <f>IF(6-COUNTBLANK(GT337:GY337)=4,MATCH(MID(BO337,9,3),CLU!$H$16:$K$16),MATCH(MID(BO337,9,3),CLU!$H$13:$M$13))</f>
        <v>#N/A</v>
      </c>
      <c r="GK337" s="433" t="e">
        <f>HLOOKUP(VALUE(BP337),CLU!$H$9:$M$10,2)</f>
        <v>#VALUE!</v>
      </c>
      <c r="GL337" s="433" t="e">
        <f ca="1">MATCH(BU337,CLU!$H$2:$V$2,1)</f>
        <v>#VALUE!</v>
      </c>
      <c r="GM337" s="433" t="e">
        <f t="shared" ca="1" si="995"/>
        <v>#VALUE!</v>
      </c>
      <c r="GN337" s="433" t="e">
        <f t="shared" ca="1" si="996"/>
        <v>#VALUE!</v>
      </c>
      <c r="GO337" s="433" t="e">
        <f t="shared" ca="1" si="997"/>
        <v>#VALUE!</v>
      </c>
      <c r="GP337" s="433" t="e">
        <f t="shared" ca="1" si="998"/>
        <v>#VALUE!</v>
      </c>
      <c r="GQ337" s="433" t="e">
        <f t="shared" ca="1" si="999"/>
        <v>#VALUE!</v>
      </c>
      <c r="GR337" s="433" t="e">
        <f ca="1">MATCH(T337,INDIRECT(VLOOKUP(CONCATENATE(LEFT(BO337,7),"-",MID(BO337,13,1)),CLU!$P$3:$Q$16,2)),1)</f>
        <v>#N/A</v>
      </c>
      <c r="GS337" s="433" t="e">
        <f ca="1">MATCH(U337,INDIRECT(VLOOKUP(CONCATENATE(LEFT(BO337,7),"-",MID(BO337,13,1)),CLU!$P$3:$Q$16,2)),1)</f>
        <v>#N/A</v>
      </c>
      <c r="GT337" s="347" t="s">
        <v>512</v>
      </c>
      <c r="GU337" s="97" t="s">
        <v>513</v>
      </c>
      <c r="GV337" s="97" t="str">
        <f t="shared" si="1000"/>
        <v>M23</v>
      </c>
      <c r="GW337" s="97" t="str">
        <f t="shared" si="1001"/>
        <v>M31</v>
      </c>
      <c r="GX337" s="97" t="str">
        <f t="shared" si="1002"/>
        <v/>
      </c>
      <c r="GY337" s="97" t="str">
        <f t="shared" si="1003"/>
        <v/>
      </c>
      <c r="GZ337" s="481"/>
      <c r="HA337" s="240"/>
      <c r="HB337" s="240"/>
      <c r="HC337" s="240"/>
      <c r="HD337" s="240"/>
      <c r="HE337" s="240"/>
      <c r="HF337" s="240"/>
      <c r="HG337" s="240"/>
      <c r="HH337" s="240"/>
      <c r="HI337" s="240"/>
      <c r="HJ337" s="240"/>
      <c r="HK337" s="240"/>
      <c r="HL337" s="240"/>
      <c r="HM337" s="240"/>
      <c r="HN337" s="240"/>
      <c r="HO337" s="240"/>
      <c r="HP337" s="240"/>
      <c r="HQ337" s="240"/>
      <c r="HR337" s="240"/>
      <c r="HS337" s="240"/>
      <c r="HT337" s="240"/>
      <c r="HU337" s="240"/>
      <c r="HV337" s="245"/>
      <c r="HW337" s="245" t="b">
        <v>1</v>
      </c>
      <c r="HX337" s="245" t="str">
        <f t="shared" si="888"/>
        <v/>
      </c>
      <c r="HY337" s="245" t="e">
        <f t="shared" si="889"/>
        <v>#DIV/0!</v>
      </c>
      <c r="HZ337" s="245" t="e">
        <f t="shared" si="890"/>
        <v>#DIV/0!</v>
      </c>
      <c r="IA337" s="245">
        <f t="shared" si="891"/>
        <v>0</v>
      </c>
      <c r="IB337" s="245"/>
      <c r="IC337" t="b">
        <f t="shared" si="892"/>
        <v>1</v>
      </c>
      <c r="ID337" s="245" t="b">
        <f t="shared" si="893"/>
        <v>1</v>
      </c>
      <c r="IE337" s="245" t="b">
        <f t="shared" si="894"/>
        <v>1</v>
      </c>
      <c r="IF337" s="245" t="b">
        <f t="shared" si="895"/>
        <v>0</v>
      </c>
      <c r="IG337" s="245" t="b">
        <f t="shared" si="896"/>
        <v>1</v>
      </c>
      <c r="IH337" s="245" t="b">
        <f t="shared" si="897"/>
        <v>1</v>
      </c>
      <c r="II337" s="245">
        <f t="shared" si="1004"/>
        <v>0</v>
      </c>
      <c r="IJ337" s="245" t="e">
        <f t="shared" si="898"/>
        <v>#VALUE!</v>
      </c>
      <c r="IK337" s="245" t="e">
        <f t="shared" si="899"/>
        <v>#VALUE!</v>
      </c>
      <c r="IL337" s="245"/>
      <c r="IM337" s="245" t="e">
        <f t="shared" si="1005"/>
        <v>#N/A</v>
      </c>
      <c r="IN337" s="245" t="e">
        <f t="shared" si="1006"/>
        <v>#N/A</v>
      </c>
      <c r="IO337" s="245"/>
      <c r="IP337" s="245"/>
      <c r="IQ337" s="245" t="str">
        <f t="shared" si="900"/>
        <v/>
      </c>
      <c r="IR337" s="245" t="str">
        <f>IF(J337="","",VLOOKUP(J337,Worksheet!$R$4:$T$14,2))</f>
        <v/>
      </c>
      <c r="IS337" s="245"/>
      <c r="IT337" s="245">
        <f t="shared" si="901"/>
        <v>0</v>
      </c>
      <c r="IU337" s="245">
        <f t="shared" si="902"/>
        <v>0</v>
      </c>
      <c r="IV337" s="245">
        <f t="shared" si="903"/>
        <v>0</v>
      </c>
      <c r="IW337" s="245">
        <f t="shared" si="904"/>
        <v>0</v>
      </c>
      <c r="IX337" s="245">
        <f t="shared" si="1007"/>
        <v>0</v>
      </c>
      <c r="IY337" s="245">
        <f t="shared" si="905"/>
        <v>0</v>
      </c>
      <c r="IZ337" s="245">
        <f t="shared" si="906"/>
        <v>0</v>
      </c>
      <c r="JA337">
        <f t="shared" si="907"/>
        <v>0</v>
      </c>
      <c r="JB337">
        <f t="shared" si="1008"/>
        <v>0</v>
      </c>
      <c r="JC337">
        <f t="shared" si="908"/>
        <v>0</v>
      </c>
      <c r="JD337">
        <f t="shared" si="909"/>
        <v>0</v>
      </c>
      <c r="JE337">
        <f t="shared" si="910"/>
        <v>0</v>
      </c>
      <c r="JF337">
        <f t="shared" si="911"/>
        <v>0</v>
      </c>
      <c r="JG337">
        <f t="shared" si="912"/>
        <v>0</v>
      </c>
      <c r="JH337">
        <f t="shared" si="913"/>
        <v>0</v>
      </c>
      <c r="JI337">
        <f t="shared" si="914"/>
        <v>0</v>
      </c>
      <c r="JJ337" s="447">
        <f t="shared" si="915"/>
        <v>0</v>
      </c>
      <c r="JK337" s="447">
        <f t="shared" si="916"/>
        <v>0</v>
      </c>
      <c r="JL337">
        <f t="shared" si="917"/>
        <v>0</v>
      </c>
      <c r="JM337" s="245" t="str">
        <f>IFERROR(VLOOKUP(MATCH(BN337,#REF!,0),#REF!,7),"")</f>
        <v/>
      </c>
      <c r="JN337" t="e">
        <f>HLOOKUP(LEFT(BO337,7),Discharge_Area,MATCH(JO337,LookUps!$B$130:$B$149,1)+2)</f>
        <v>#N/A</v>
      </c>
      <c r="JO337" t="str">
        <f t="shared" si="918"/>
        <v>- S</v>
      </c>
      <c r="JP337" t="e">
        <f>HLOOKUP(LEFT(BO337,7),Discharge_Area,MATCH(JO337,LookUps!$B$130:$B$149,1)+2)</f>
        <v>#N/A</v>
      </c>
      <c r="JQ337" t="e">
        <f t="shared" si="919"/>
        <v>#N/A</v>
      </c>
      <c r="JR337" t="e">
        <f t="shared" si="920"/>
        <v>#N/A</v>
      </c>
      <c r="JS337" t="e">
        <f t="shared" si="921"/>
        <v>#N/A</v>
      </c>
      <c r="JT337" s="532" t="str">
        <f t="shared" si="922"/>
        <v xml:space="preserve"> </v>
      </c>
      <c r="JU337" s="532" t="str">
        <f t="shared" si="923"/>
        <v xml:space="preserve"> </v>
      </c>
      <c r="JV337" s="533" t="str">
        <f t="shared" si="924"/>
        <v xml:space="preserve"> </v>
      </c>
      <c r="JW337" s="534">
        <f t="shared" si="925"/>
        <v>0</v>
      </c>
      <c r="JX337" s="535" t="str">
        <f t="shared" si="1009"/>
        <v xml:space="preserve"> </v>
      </c>
      <c r="JY337" s="535" t="str">
        <f t="shared" si="1010"/>
        <v xml:space="preserve"> </v>
      </c>
      <c r="JZ337" s="535" t="str">
        <f t="shared" si="1011"/>
        <v xml:space="preserve"> </v>
      </c>
      <c r="KA337" s="536" t="str">
        <f t="shared" si="926"/>
        <v xml:space="preserve"> </v>
      </c>
      <c r="KB337" s="535" t="e">
        <f t="shared" si="1012"/>
        <v>#VALUE!</v>
      </c>
      <c r="KC337" s="535" t="str">
        <f t="shared" si="927"/>
        <v/>
      </c>
      <c r="KD337" s="537" t="str">
        <f t="shared" si="1013"/>
        <v xml:space="preserve"> </v>
      </c>
      <c r="KE337" s="537" t="str">
        <f t="shared" si="1014"/>
        <v xml:space="preserve"> </v>
      </c>
      <c r="KF337" s="534">
        <f t="shared" si="928"/>
        <v>0</v>
      </c>
      <c r="KG337" s="535" t="str">
        <f t="shared" si="929"/>
        <v xml:space="preserve"> </v>
      </c>
      <c r="KH337" s="535" t="str">
        <f t="shared" si="930"/>
        <v xml:space="preserve"> </v>
      </c>
      <c r="KI337" s="535" t="str">
        <f t="shared" si="931"/>
        <v xml:space="preserve"> </v>
      </c>
      <c r="KJ337" s="536" t="str">
        <f t="shared" si="932"/>
        <v xml:space="preserve"> </v>
      </c>
      <c r="KK337" s="535" t="str">
        <f t="shared" si="1015"/>
        <v xml:space="preserve"> </v>
      </c>
      <c r="KL337" s="535" t="str">
        <f t="shared" si="1016"/>
        <v xml:space="preserve"> </v>
      </c>
      <c r="KM337" s="537" t="str">
        <f t="shared" si="933"/>
        <v xml:space="preserve"> </v>
      </c>
      <c r="KN337" s="537" t="str">
        <f t="shared" si="1017"/>
        <v xml:space="preserve"> </v>
      </c>
      <c r="KP337">
        <f t="shared" si="934"/>
        <v>0</v>
      </c>
      <c r="LA337" t="e">
        <f t="shared" si="935"/>
        <v>#VALUE!</v>
      </c>
      <c r="LB337" t="e">
        <f t="shared" si="936"/>
        <v>#VALUE!</v>
      </c>
      <c r="LC337" t="e">
        <f t="shared" si="937"/>
        <v>#VALUE!</v>
      </c>
      <c r="LD337" t="e">
        <f t="shared" si="938"/>
        <v>#VALUE!</v>
      </c>
      <c r="LE337" t="e">
        <f t="shared" si="1018"/>
        <v>#VALUE!</v>
      </c>
      <c r="LF337">
        <f t="shared" si="939"/>
        <v>0</v>
      </c>
      <c r="LG337" t="e">
        <f t="shared" si="1019"/>
        <v>#VALUE!</v>
      </c>
      <c r="LH337" t="str">
        <f t="shared" si="940"/>
        <v xml:space="preserve"> </v>
      </c>
      <c r="LI337">
        <f t="shared" si="1020"/>
        <v>1</v>
      </c>
    </row>
    <row r="338" spans="2:321" ht="15" customHeight="1">
      <c r="B338" s="311"/>
      <c r="C338" s="311"/>
      <c r="D338" s="312"/>
      <c r="E338" s="311"/>
      <c r="F338" s="312"/>
      <c r="G338" s="311"/>
      <c r="H338" s="311"/>
      <c r="I338" s="232"/>
      <c r="J338" s="311"/>
      <c r="K338" s="305" t="str">
        <f t="shared" si="941"/>
        <v/>
      </c>
      <c r="L338" s="313"/>
      <c r="M338" s="312"/>
      <c r="N338" s="311"/>
      <c r="O338" s="312"/>
      <c r="P338" s="311"/>
      <c r="Q338" s="305" t="str">
        <f t="shared" si="942"/>
        <v/>
      </c>
      <c r="R338" s="314"/>
      <c r="S338" s="450" t="str">
        <f t="shared" si="825"/>
        <v/>
      </c>
      <c r="T338" s="315"/>
      <c r="U338" s="315"/>
      <c r="W338" s="149" t="str">
        <f t="shared" si="826"/>
        <v xml:space="preserve"> </v>
      </c>
      <c r="X338" s="243" t="str">
        <f t="shared" si="827"/>
        <v xml:space="preserve"> </v>
      </c>
      <c r="Y338" s="150" t="str">
        <f t="shared" si="828"/>
        <v/>
      </c>
      <c r="Z338" s="149" t="str">
        <f t="shared" si="829"/>
        <v xml:space="preserve"> </v>
      </c>
      <c r="AA338" s="98" t="str">
        <f t="shared" si="830"/>
        <v xml:space="preserve"> </v>
      </c>
      <c r="AB338" s="153" t="str">
        <f t="shared" si="831"/>
        <v xml:space="preserve"> </v>
      </c>
      <c r="AC338" s="153" t="str">
        <f t="shared" si="832"/>
        <v xml:space="preserve"> </v>
      </c>
      <c r="AD338" s="148" t="str">
        <f t="shared" si="833"/>
        <v/>
      </c>
      <c r="AE338" s="149" t="str">
        <f t="shared" si="834"/>
        <v/>
      </c>
      <c r="AF338" s="151" t="str">
        <f t="shared" si="835"/>
        <v xml:space="preserve"> </v>
      </c>
      <c r="AG338" s="153" t="str">
        <f t="shared" si="836"/>
        <v xml:space="preserve"> </v>
      </c>
      <c r="AH338" s="98" t="str">
        <f t="shared" si="837"/>
        <v xml:space="preserve"> </v>
      </c>
      <c r="AI338" s="149" t="str">
        <f t="shared" si="838"/>
        <v xml:space="preserve"> </v>
      </c>
      <c r="AK338" s="144" t="str">
        <f t="shared" si="839"/>
        <v xml:space="preserve"> </v>
      </c>
      <c r="AL338" s="144"/>
      <c r="AM338" s="243" t="str">
        <f t="shared" si="840"/>
        <v xml:space="preserve"> </v>
      </c>
      <c r="AN338" s="149" t="str">
        <f t="shared" si="943"/>
        <v xml:space="preserve"> </v>
      </c>
      <c r="AO338" s="144" t="str">
        <f>IF(JB338&gt;0,IF(GI338=10,-R338*1.085*(Calculation!$F$6-Calculation!$F$13)*$S$14," "),"")</f>
        <v/>
      </c>
      <c r="AP338" s="144" t="str">
        <f t="shared" si="841"/>
        <v/>
      </c>
      <c r="AQ338" s="56" t="str">
        <f t="shared" si="842"/>
        <v/>
      </c>
      <c r="AR338" s="144" t="str">
        <f t="shared" si="843"/>
        <v/>
      </c>
      <c r="AS338" s="176" t="str">
        <f t="shared" si="844"/>
        <v/>
      </c>
      <c r="AT338" s="176" t="str">
        <f t="shared" si="944"/>
        <v xml:space="preserve"> </v>
      </c>
      <c r="AU338" s="176" t="str">
        <f t="shared" si="845"/>
        <v/>
      </c>
      <c r="AV338" s="177" t="str">
        <f t="shared" si="846"/>
        <v xml:space="preserve"> </v>
      </c>
      <c r="AW338" s="144" t="str">
        <f t="shared" si="847"/>
        <v xml:space="preserve"> </v>
      </c>
      <c r="AX338" s="144" t="str">
        <f t="shared" si="848"/>
        <v xml:space="preserve"> </v>
      </c>
      <c r="AY338" s="152" t="str">
        <f t="shared" si="849"/>
        <v xml:space="preserve"> </v>
      </c>
      <c r="AZ338" s="246" t="str">
        <f t="shared" si="850"/>
        <v/>
      </c>
      <c r="BA338" s="176" t="str">
        <f t="shared" si="851"/>
        <v xml:space="preserve"> </v>
      </c>
      <c r="BB338" s="176" t="str">
        <f t="shared" si="852"/>
        <v xml:space="preserve"> </v>
      </c>
      <c r="BC338" s="195"/>
      <c r="BD338" s="316"/>
      <c r="BE338" s="317"/>
      <c r="BF338" s="318"/>
      <c r="BG338" s="318"/>
      <c r="BH338" s="144" t="str">
        <f t="shared" si="1021"/>
        <v xml:space="preserve"> </v>
      </c>
      <c r="BI338" s="176" t="str">
        <f t="shared" si="853"/>
        <v/>
      </c>
      <c r="BJ338" s="144" t="str">
        <f t="shared" si="1022"/>
        <v/>
      </c>
      <c r="BK338" s="246" t="str">
        <f t="shared" si="854"/>
        <v/>
      </c>
      <c r="BL338" s="144" t="str">
        <f t="shared" si="1023"/>
        <v/>
      </c>
      <c r="BM338" s="246" t="str">
        <f t="shared" si="855"/>
        <v/>
      </c>
      <c r="BN338" s="337" t="str">
        <f t="shared" si="945"/>
        <v/>
      </c>
      <c r="BO338" s="371" t="str">
        <f t="shared" si="946"/>
        <v/>
      </c>
      <c r="BP338" s="328" t="str">
        <f t="shared" si="1024"/>
        <v xml:space="preserve"> </v>
      </c>
      <c r="BQ338" s="347" t="str">
        <f t="shared" si="947"/>
        <v xml:space="preserve"> </v>
      </c>
      <c r="BR338" s="353" t="str">
        <f t="shared" si="948"/>
        <v xml:space="preserve"> </v>
      </c>
      <c r="BS338" s="626" t="str">
        <f>IF(L338&gt;0,IF(Calculation!P338="M13",BR338*3.1416*(0.134^2)/(4*144),IF(Calculation!P338="M17",BR338*3.1416*(0.165^2)/(4*144),IF(Calculation!P338="M20",BR338*3.1416*(0.198^2)/(4*144),IF(Calculation!P338="M23",BR338*3.1416*(0.228^2)/(4*144),IF(Calculation!P338="M27",BR338*3.1416*(0.269^2)/(4*144),BR338*3.1416*(0.307^2)/(4*144))))))," ")</f>
        <v xml:space="preserve"> </v>
      </c>
      <c r="BT338" s="353" t="str">
        <f>IF(L338&gt;0,IF(BS338&gt;0,R338/Calculation!BS338,0)," ")</f>
        <v xml:space="preserve"> </v>
      </c>
      <c r="BU338" s="438" t="e">
        <f t="shared" ca="1" si="856"/>
        <v>#VALUE!</v>
      </c>
      <c r="BV338" s="449" t="e">
        <f ca="1">INDEX(INDIRECT(VLOOKUP(LEFT(BO338,7),CLU!$Z$3:$AH$18,2)),GN338,GR338)</f>
        <v>#N/A</v>
      </c>
      <c r="BW338" s="433" t="e">
        <f ca="1">INDEX(INDIRECT(VLOOKUP(LEFT(BO338,7),CLU!$Z$3:$AH$18,3)),GN338,GR338)</f>
        <v>#N/A</v>
      </c>
      <c r="BX338" s="433" t="e">
        <f ca="1">INDEX(INDIRECT(VLOOKUP(LEFT(BO338,7),CLU!$Z$3:$AH$18,4)),GN338,GR338)</f>
        <v>#N/A</v>
      </c>
      <c r="BY338" s="433" t="e">
        <f ca="1">INDEX(INDIRECT(VLOOKUP(LEFT(BO338,7),CLU!$Z$3:$AH$18,9)),((M338-2)*(6-COUNTBLANK(GT338:GY338)))+GJ338)</f>
        <v>#N/A</v>
      </c>
      <c r="BZ338" s="426" t="e">
        <f t="shared" ca="1" si="949"/>
        <v>#N/A</v>
      </c>
      <c r="CA338" s="424" t="e">
        <f t="shared" ca="1" si="950"/>
        <v>#N/A</v>
      </c>
      <c r="CB338" s="429" t="e">
        <f ca="1">INDEX(INDIRECT(VLOOKUP(LEFT(BO338,7),CLU!$Z$3:$AH$18,2)),GN338,GS338)</f>
        <v>#N/A</v>
      </c>
      <c r="CC338" s="342" t="e">
        <f ca="1">INDEX(INDIRECT(VLOOKUP(LEFT(BO338,7),CLU!$Z$3:$AH$18,3)),GN338,GS338)</f>
        <v>#N/A</v>
      </c>
      <c r="CD338" s="342" t="e">
        <f ca="1">INDEX(INDIRECT(VLOOKUP(LEFT(BO338,7),CLU!$Z$3:$AH$18,4)),GN338,GS338)</f>
        <v>#N/A</v>
      </c>
      <c r="CE338" s="426" t="e">
        <f t="shared" ca="1" si="951"/>
        <v>#N/A</v>
      </c>
      <c r="CF338" s="440">
        <f t="shared" si="952"/>
        <v>0</v>
      </c>
      <c r="CG338" s="431" t="e">
        <f ca="1">INDEX(INDIRECT(VLOOKUP(LEFT(BO338,7),CLU!$Z$3:$AH$18,2)),GQ338,GR338)</f>
        <v>#N/A</v>
      </c>
      <c r="CH338" s="431" t="e">
        <f ca="1">INDEX(INDIRECT(VLOOKUP(LEFT(BO338,7),CLU!$Z$3:$AH$18,3)),GQ338,GR338)</f>
        <v>#N/A</v>
      </c>
      <c r="CI338" s="431" t="e">
        <f ca="1">INDEX(INDIRECT(VLOOKUP(LEFT(BO338,7),CLU!$Z$3:$AH$18,4)),GQ338,GR338)</f>
        <v>#N/A</v>
      </c>
      <c r="CJ338" s="448" t="e">
        <f t="shared" ca="1" si="953"/>
        <v>#N/A</v>
      </c>
      <c r="CK338" s="431" t="e">
        <f t="shared" ca="1" si="954"/>
        <v>#N/A</v>
      </c>
      <c r="CL338" s="440" t="e">
        <f t="shared" ca="1" si="955"/>
        <v>#N/A</v>
      </c>
      <c r="CM338" s="431" t="e">
        <f ca="1">INDEX(INDIRECT(VLOOKUP(LEFT(BO338,7),CLU!$Z$3:$AH$18,2)),GQ338,GS338)</f>
        <v>#N/A</v>
      </c>
      <c r="CN338" s="431" t="e">
        <f ca="1">INDEX(INDIRECT(VLOOKUP(LEFT(BO338,7),CLU!$Z$3:$AH$18,3)),GQ338,GS338)</f>
        <v>#N/A</v>
      </c>
      <c r="CO338" s="431" t="e">
        <f ca="1">INDEX(INDIRECT(VLOOKUP(LEFT(BO338,7),CLU!$Z$3:$AH$18,4)),GQ338,GS338)</f>
        <v>#N/A</v>
      </c>
      <c r="CP338" s="431" t="e">
        <f t="shared" ca="1" si="956"/>
        <v>#N/A</v>
      </c>
      <c r="CQ338" s="440">
        <f t="shared" si="957"/>
        <v>0</v>
      </c>
      <c r="CR338" s="51" t="e">
        <f t="shared" ca="1" si="958"/>
        <v>#N/A</v>
      </c>
      <c r="CS338" s="439" t="e">
        <f t="shared" ca="1" si="959"/>
        <v>#VALUE!</v>
      </c>
      <c r="CT338" s="51" t="e">
        <f t="shared" ca="1" si="960"/>
        <v>#VALUE!</v>
      </c>
      <c r="CU338" s="10"/>
      <c r="CV338" s="51" t="e">
        <f t="shared" ca="1" si="857"/>
        <v>#VALUE!</v>
      </c>
      <c r="CW338" s="51">
        <f t="shared" si="961"/>
        <v>0</v>
      </c>
      <c r="CX338" s="439" t="e">
        <f t="shared" ca="1" si="962"/>
        <v>#VALUE!</v>
      </c>
      <c r="CY338" s="51" t="e">
        <f t="shared" ca="1" si="963"/>
        <v>#VALUE!</v>
      </c>
      <c r="CZ338" s="10"/>
      <c r="DA338" s="51" t="e">
        <f t="shared" ca="1" si="964"/>
        <v>#VALUE!</v>
      </c>
      <c r="DB338" s="347" t="e">
        <f ca="1">INDEX(INDIRECT(VLOOKUP(LEFT(BO338,7),CLU!$Z$3:$AI$18,10)),((M338-2)*(6-COUNTBLANK(GT338:GY338)))+GJ338)*LI338</f>
        <v>#N/A</v>
      </c>
      <c r="DC338" s="347" t="str">
        <f>IF(L338&gt;0,((R338/Worksheet!$I$15)/DB338)^2," ")</f>
        <v xml:space="preserve"> </v>
      </c>
      <c r="DD338" s="602" t="str">
        <f t="shared" si="965"/>
        <v xml:space="preserve"> </v>
      </c>
      <c r="DE338" s="347" t="str">
        <f t="shared" si="858"/>
        <v xml:space="preserve"> </v>
      </c>
      <c r="DF338" s="356" t="e">
        <f ca="1">INDEX(INDIRECT(VLOOKUP(LEFT(BO338,7),CLU!$Z$3:$AH$18,8)),((M338-2)*(6-COUNTBLANK(GT338:GY338)))+GJ338)</f>
        <v>#N/A</v>
      </c>
      <c r="DG338" s="347" t="str">
        <f t="shared" si="859"/>
        <v xml:space="preserve"> </v>
      </c>
      <c r="DH338" s="357" t="str">
        <f t="shared" si="860"/>
        <v xml:space="preserve"> </v>
      </c>
      <c r="DI338" s="355" t="str">
        <f t="shared" si="861"/>
        <v xml:space="preserve"> </v>
      </c>
      <c r="DJ338" s="245" t="e">
        <f ca="1">INDEX(INDIRECT(VLOOKUP(LEFT(BO338,7),CLU!$Z$3:$AH$18,5)),GL338,GK338)</f>
        <v>#N/A</v>
      </c>
      <c r="DK338" s="245" t="e">
        <f ca="1">INDEX(INDIRECT(VLOOKUP(LEFT(BO338,7),CLU!$Z$3:$AH$18,6)),GL338,GK338)</f>
        <v>#N/A</v>
      </c>
      <c r="DL338" s="355">
        <f>(Calculation!R338*0.69143*(Calculation!$BQ$8-Calculation!$F$8))*$S$14</f>
        <v>0</v>
      </c>
      <c r="DM338" s="359" t="e">
        <f t="shared" si="966"/>
        <v>#VALUE!</v>
      </c>
      <c r="DN338" s="611">
        <f t="shared" si="967"/>
        <v>0</v>
      </c>
      <c r="DO338" s="359">
        <f t="shared" si="968"/>
        <v>100</v>
      </c>
      <c r="DP338" s="359">
        <f t="shared" si="969"/>
        <v>0</v>
      </c>
      <c r="DQ338" s="360"/>
      <c r="DR338" s="245" t="e">
        <f ca="1">INDEX(INDIRECT(VLOOKUP(LEFT(BO338,7),CLU!$Z$3:$AH$18,7)),M338-1,1)</f>
        <v>#N/A</v>
      </c>
      <c r="DS338" s="245" t="e">
        <f ca="1">INDEX(INDIRECT(VLOOKUP(LEFT(BO338,7),CLU!$Z$3:$AH$18,7)),M338-1,2)</f>
        <v>#N/A</v>
      </c>
      <c r="DT338" s="245" t="e">
        <f ca="1">INDEX(INDIRECT(VLOOKUP(LEFT(BO338,7),CLU!$Z$3:$AH$18,7)),M338-1,3)</f>
        <v>#N/A</v>
      </c>
      <c r="DU338" s="245" t="e">
        <f ca="1">INDEX(INDIRECT(VLOOKUP(LEFT(BO338,7),CLU!$Z$3:$AH$18,7)),M338-1,4)</f>
        <v>#N/A</v>
      </c>
      <c r="DV338" s="361" t="e">
        <f ca="1">INDEX(INDIRECT(VLOOKUP(LEFT(BO338,7),CLU!$Z$3:$AH$18,7)),M338-1,4+LEFT(DZ338,1)*0.5)</f>
        <v>#N/A</v>
      </c>
      <c r="DW338" s="245" t="e">
        <f ca="1">INDEX(INDIRECT(VLOOKUP(LEFT(BO338,7),CLU!$Z$3:$AH$18,7)),M338-1,8)</f>
        <v>#N/A</v>
      </c>
      <c r="DX338" s="361" t="str">
        <f t="shared" si="862"/>
        <v xml:space="preserve"> </v>
      </c>
      <c r="DY338" s="361" t="str">
        <f t="shared" si="863"/>
        <v xml:space="preserve"> </v>
      </c>
      <c r="DZ338" s="361" t="str">
        <f t="shared" si="864"/>
        <v xml:space="preserve"> </v>
      </c>
      <c r="EA338" s="362" t="str">
        <f t="shared" si="865"/>
        <v xml:space="preserve"> </v>
      </c>
      <c r="EB338" s="624" t="str">
        <f t="shared" si="970"/>
        <v xml:space="preserve"> </v>
      </c>
      <c r="EC338" s="361" t="e">
        <f ca="1">INDEX(INDIRECT(VLOOKUP(LEFT(BO338,7),CLU!$Z$3:$AH$18,7)),M338-1,4+LEFT(DZ338,1)*0.5)</f>
        <v>#N/A</v>
      </c>
      <c r="ED338" s="362" t="str">
        <f t="shared" si="866"/>
        <v xml:space="preserve"> </v>
      </c>
      <c r="EE338" s="361" t="str">
        <f t="shared" si="867"/>
        <v xml:space="preserve"> </v>
      </c>
      <c r="EF338" s="362" t="str">
        <f>IF(L338&gt;0,IF(BR338&gt;0,IF(EE338="2P",IF(Calculation!DZ338="2P",IF(Calculation!DS338=13.75,IF(Calculation!DR338=13,Worksheet!$BD$43,IF(Calculation!DR338=37,Worksheet!$BD$44,Worksheet!$BD$45)),IF(Calculation!DS338=10,IF(Calculation!DR338=18,Worksheet!$BD$29,IF(Calculation!DR338=30,Worksheet!$BD$30,IF(Calculation!DR338=42,Worksheet!$BD$31,IF(Calculation!DR338=54,Worksheet!$BD$32,IF(Calculation!DR338=66,Worksheet!$BD$33,IF(Calculation!DR338=78,Worksheet!$BD$34,IF(Calculation!DR338=90,Worksheet!$BD$35,IF(Calculation!DR338=102,Worksheet!$BD$36,Worksheet!$BD$37)))))))),IF(Calculation!DS338=12.5,IF(Calculation!DR338=18,Worksheet!$BD$38,IF(Calculation!DR338=Worksheet!$BD$39,IF(Calculation!DR338=42,Worksheet!$BD$40,IF(Calculation!DR338=54,Worksheet!$BD$41,Worksheet!$BD$42)))),IF(Calculation!DR338=18,Worksheet!$BD$11,IF(Calculation!DR338=30,Worksheet!$BD$12,IF(Calculation!DR338=42,Worksheet!$BD$13,IF(Calculation!DR338=54,Worksheet!$BD$14,IF(Calculation!DR338=66,Worksheet!$BD$15,IF(Calculation!DR338=78,Worksheet!$BD$16,IF(Calculation!DR338=90,Worksheet!$BD$17,IF(Calculation!DR338=102,Worksheet!$BD$18,Worksheet!$BD$19))))))))))),IF(Calculation!DS338=13.75,IF(Calculation!DR338=13,Worksheet!$BD$78,IF(Calculation!DR338=37,Worksheet!$BD$79,Worksheet!$BD$80)),IF(Calculation!DS338=10,IF(Calculation!DR338=18,Worksheet!$BD$64,IF(Calculation!DR338=30,Worksheet!$BD$65,IF(Calculation!DR338=42,Worksheet!$BD$66,IF(Calculation!DR338=54,Worksheet!$BD$68,IF(Calculation!DR338=66,Worksheet!$BD$68,IF(Calculation!DR338=78,Worksheet!$BD$69,IF(Calculation!DR338=90,Worksheet!$BD$70,IF(Calculation!DR338=102,Worksheet!$BD$71,Worksheet!$BD$72)))))))),IF(Calculation!DS338=12.5,IF(Calculation!DR338=18,Worksheet!$BD$73,IF(Calculation!DR338=Worksheet!$BD$74,IF(Calculation!DR338=42,Worksheet!$BD$75,IF(Calculation!DR338=54,Worksheet!$BD$76,Worksheet!$BD$77)))),IF(Calculation!DR338=18,Worksheet!$BD$55,IF(Calculation!DR338=30,Worksheet!$BD$56,IF(Calculation!DR338=42,Worksheet!$BD$57,IF(Calculation!DR338=54,Worksheet!$BD$58,IF(Calculation!DR338=66,Worksheet!$BD$59,IF(Calculation!DR338=78,Worksheet!$BD$60,IF(Calculation!DR338=90,Worksheet!$BD$61,IF(Calculation!DR338=102,Worksheet!$BD$62,Worksheet!$BD$63)))))))))))),5),0)," ")</f>
        <v xml:space="preserve"> </v>
      </c>
      <c r="EG338" s="361" t="str">
        <f t="shared" si="868"/>
        <v xml:space="preserve"> </v>
      </c>
      <c r="EH338" s="361" t="e">
        <f ca="1">INDEX(INDIRECT(VLOOKUP(LEFT(BO338,7),CLU!$Z$3:$AH$18,7)),M338-1,3+LEFT(DZ338,1))</f>
        <v>#N/A</v>
      </c>
      <c r="EI338" s="362" t="str">
        <f t="shared" si="869"/>
        <v xml:space="preserve"> </v>
      </c>
      <c r="EJ338" s="363" t="str">
        <f t="shared" si="870"/>
        <v xml:space="preserve"> </v>
      </c>
      <c r="EK338" s="363" t="str">
        <f t="shared" si="871"/>
        <v xml:space="preserve"> </v>
      </c>
      <c r="EL338" s="363" t="str">
        <f t="shared" si="872"/>
        <v xml:space="preserve"> </v>
      </c>
      <c r="EM338" s="362" t="str">
        <f>IF(L338&gt;0,IF(BR338&gt;0,(Calculation!T338/ED338)^2,0)," ")</f>
        <v xml:space="preserve"> </v>
      </c>
      <c r="EN338" s="362" t="str">
        <f>IF(L338&gt;0,IF(O338="2 Pipe (Cooling)","N/A",IF(BR338&gt;0,(Calculation!U338/EI338)^2,0))," ")</f>
        <v xml:space="preserve"> </v>
      </c>
      <c r="EO338" s="361" t="str">
        <f t="shared" si="873"/>
        <v/>
      </c>
      <c r="EP338" s="361" t="str">
        <f t="shared" si="874"/>
        <v/>
      </c>
      <c r="EQ338" s="361" t="str">
        <f t="shared" si="875"/>
        <v/>
      </c>
      <c r="ER338" s="361" t="str">
        <f t="shared" si="876"/>
        <v/>
      </c>
      <c r="ES338" s="361" t="str">
        <f t="shared" si="877"/>
        <v/>
      </c>
      <c r="ET338" s="361" t="str">
        <f t="shared" si="878"/>
        <v/>
      </c>
      <c r="EU338" s="361" t="str">
        <f t="shared" si="879"/>
        <v/>
      </c>
      <c r="EV338" s="361" t="str">
        <f t="shared" si="880"/>
        <v/>
      </c>
      <c r="EW338" s="361" t="str">
        <f t="shared" si="881"/>
        <v/>
      </c>
      <c r="EX338" s="361" t="str">
        <f t="shared" si="971"/>
        <v>1 slot, 1 way</v>
      </c>
      <c r="EY338" s="361" t="str">
        <f t="shared" si="972"/>
        <v xml:space="preserve"> </v>
      </c>
      <c r="EZ338" s="361" t="str">
        <f t="shared" si="973"/>
        <v xml:space="preserve"> </v>
      </c>
      <c r="FA338" s="361" t="str">
        <f t="shared" si="974"/>
        <v xml:space="preserve"> </v>
      </c>
      <c r="FB338" s="361" t="str">
        <f t="shared" si="975"/>
        <v xml:space="preserve"> </v>
      </c>
      <c r="FC338" s="361"/>
      <c r="FD338" s="361" t="str">
        <f>IF(J338&gt;0,IF(Calculation!R338&lt;=70,4,IF(Calculation!R338&lt;=110,5,IF(Calculation!R338&lt;=160,6,IF(Calculation!R338&lt;=300,8,"10 EO")))),"")</f>
        <v/>
      </c>
      <c r="FE338" s="361" t="str">
        <f t="shared" si="976"/>
        <v/>
      </c>
      <c r="FF338" s="361" t="str">
        <f t="shared" si="977"/>
        <v/>
      </c>
      <c r="FG338" s="361" t="e">
        <f t="shared" si="882"/>
        <v>#N/A</v>
      </c>
      <c r="FH338" s="361">
        <f t="shared" si="883"/>
        <v>0</v>
      </c>
      <c r="FI338" s="361" t="e">
        <f t="shared" si="884"/>
        <v>#DIV/0!</v>
      </c>
      <c r="FJ338" s="361"/>
      <c r="FK338" s="356" t="e">
        <f t="shared" si="885"/>
        <v>#VALUE!</v>
      </c>
      <c r="FL338" s="361"/>
      <c r="FM338" s="361"/>
      <c r="FN338" s="362" t="str">
        <f t="shared" si="978"/>
        <v xml:space="preserve"> </v>
      </c>
      <c r="FO338" s="362" t="str">
        <f t="shared" si="979"/>
        <v xml:space="preserve"> </v>
      </c>
      <c r="FP338" s="362">
        <f t="shared" si="980"/>
        <v>0</v>
      </c>
      <c r="FQ338" s="361">
        <f t="shared" si="886"/>
        <v>0</v>
      </c>
      <c r="FR338" s="362" t="str">
        <f>IF(L338&gt;0,IF(J338="CBAL2",Worksheet!$P$67,IF(J338="CBE2-24",Worksheet!$Q$67,IF(J338="CBAM",Worksheet!$R$67,IF(J338="CBLV",Worksheet!$S$67,IF(J338="CBAB",Worksheet!$U$67,IF(J338="CBAW",Worksheet!$X$67,IF(J338="CBE2-12",Worksheet!$Y$67,IF(J338="CBAL2",Worksheet!$Z$67,"N/A"))))))))," ")</f>
        <v xml:space="preserve"> </v>
      </c>
      <c r="FS338" s="362" t="str">
        <f>IF(L338&gt;0,IF(J338="CBAL2",Worksheet!$P$68,IF(J338="CBE2-24",Worksheet!$Q$68,IF(J338="CBAM",Worksheet!$R$68,IF(J338="CBLV",Worksheet!$S$68,IF(J338="CBAB",Worksheet!$U$68,IF(J338="CBAW",Worksheet!$X$68,IF(J338="CBE2-12",Worksheet!$Y$68,IF(J338="CBAL2",Worksheet!$Z$68,"N/A"))))))))," ")</f>
        <v xml:space="preserve"> </v>
      </c>
      <c r="FT338" s="362" t="str">
        <f>IF(L338&gt;0,IF(J338="CBAL2",Worksheet!$P$69,IF(J338="CBE2-24",Worksheet!$Q$69,IF(J338="CBAM",Worksheet!$R$69,IF(J338="CBLV",Worksheet!$S$69,IF(J338="CBAB",Worksheet!$U$69,IF(J338="CBAW",Worksheet!$X$69,IF(J338="CBE2-12",Worksheet!$Y$69,IF(J338="CBAL2",Worksheet!$Z$69,"N/A"))))))))," ")</f>
        <v xml:space="preserve"> </v>
      </c>
      <c r="FU338" s="361" t="str">
        <f t="shared" si="981"/>
        <v xml:space="preserve"> </v>
      </c>
      <c r="FV338" s="362" t="str">
        <f t="shared" si="982"/>
        <v xml:space="preserve"> </v>
      </c>
      <c r="FW338" s="362" t="str">
        <f t="shared" si="983"/>
        <v xml:space="preserve"> </v>
      </c>
      <c r="FX338" s="362" t="str">
        <f t="shared" si="984"/>
        <v xml:space="preserve"> </v>
      </c>
      <c r="FY338" s="355" t="str">
        <f t="shared" si="985"/>
        <v xml:space="preserve"> </v>
      </c>
      <c r="FZ338" s="361" t="str">
        <f t="shared" si="986"/>
        <v xml:space="preserve"> </v>
      </c>
      <c r="GA338" s="347" t="str">
        <f t="shared" si="987"/>
        <v xml:space="preserve"> </v>
      </c>
      <c r="GB338" s="355" t="str">
        <f t="shared" si="988"/>
        <v xml:space="preserve"> </v>
      </c>
      <c r="GC338" s="328" t="str">
        <f t="shared" si="989"/>
        <v xml:space="preserve"> </v>
      </c>
      <c r="GD338" s="361" t="str">
        <f t="shared" si="990"/>
        <v xml:space="preserve"> </v>
      </c>
      <c r="GE338" s="347" t="str">
        <f t="shared" si="991"/>
        <v xml:space="preserve"> </v>
      </c>
      <c r="GF338" s="361" t="str">
        <f t="shared" si="992"/>
        <v xml:space="preserve"> </v>
      </c>
      <c r="GG338" s="347" t="str">
        <f t="shared" si="993"/>
        <v xml:space="preserve"> </v>
      </c>
      <c r="GH338" s="364">
        <f t="shared" si="887"/>
        <v>0</v>
      </c>
      <c r="GI338" s="362">
        <f t="shared" si="994"/>
        <v>2</v>
      </c>
      <c r="GJ338" s="433" t="e">
        <f>IF(6-COUNTBLANK(GT338:GY338)=4,MATCH(MID(BO338,9,3),CLU!$H$16:$K$16),MATCH(MID(BO338,9,3),CLU!$H$13:$M$13))</f>
        <v>#N/A</v>
      </c>
      <c r="GK338" s="433" t="e">
        <f>HLOOKUP(VALUE(BP338),CLU!$H$9:$M$10,2)</f>
        <v>#VALUE!</v>
      </c>
      <c r="GL338" s="433" t="e">
        <f ca="1">MATCH(BU338,CLU!$H$2:$V$2,1)</f>
        <v>#VALUE!</v>
      </c>
      <c r="GM338" s="433" t="e">
        <f t="shared" ca="1" si="995"/>
        <v>#VALUE!</v>
      </c>
      <c r="GN338" s="433" t="e">
        <f t="shared" ca="1" si="996"/>
        <v>#VALUE!</v>
      </c>
      <c r="GO338" s="433" t="e">
        <f t="shared" ca="1" si="997"/>
        <v>#VALUE!</v>
      </c>
      <c r="GP338" s="433" t="e">
        <f t="shared" ca="1" si="998"/>
        <v>#VALUE!</v>
      </c>
      <c r="GQ338" s="433" t="e">
        <f t="shared" ca="1" si="999"/>
        <v>#VALUE!</v>
      </c>
      <c r="GR338" s="433" t="e">
        <f ca="1">MATCH(T338,INDIRECT(VLOOKUP(CONCATENATE(LEFT(BO338,7),"-",MID(BO338,13,1)),CLU!$P$3:$Q$16,2)),1)</f>
        <v>#N/A</v>
      </c>
      <c r="GS338" s="433" t="e">
        <f ca="1">MATCH(U338,INDIRECT(VLOOKUP(CONCATENATE(LEFT(BO338,7),"-",MID(BO338,13,1)),CLU!$P$3:$Q$16,2)),1)</f>
        <v>#N/A</v>
      </c>
      <c r="GT338" s="347" t="s">
        <v>512</v>
      </c>
      <c r="GU338" s="97" t="s">
        <v>513</v>
      </c>
      <c r="GV338" s="97" t="str">
        <f t="shared" si="1000"/>
        <v>M23</v>
      </c>
      <c r="GW338" s="97" t="str">
        <f t="shared" si="1001"/>
        <v>M31</v>
      </c>
      <c r="GX338" s="97" t="str">
        <f t="shared" si="1002"/>
        <v/>
      </c>
      <c r="GY338" s="97" t="str">
        <f t="shared" si="1003"/>
        <v/>
      </c>
      <c r="GZ338" s="481"/>
      <c r="HA338" s="240"/>
      <c r="HB338" s="240"/>
      <c r="HC338" s="240"/>
      <c r="HD338" s="240"/>
      <c r="HE338" s="240"/>
      <c r="HF338" s="240"/>
      <c r="HG338" s="240"/>
      <c r="HH338" s="240"/>
      <c r="HI338" s="240"/>
      <c r="HJ338" s="240"/>
      <c r="HK338" s="240"/>
      <c r="HL338" s="240"/>
      <c r="HM338" s="240"/>
      <c r="HN338" s="240"/>
      <c r="HO338" s="240"/>
      <c r="HP338" s="240"/>
      <c r="HQ338" s="240"/>
      <c r="HR338" s="240"/>
      <c r="HS338" s="240"/>
      <c r="HT338" s="240"/>
      <c r="HU338" s="240"/>
      <c r="HV338" s="245"/>
      <c r="HW338" s="245" t="b">
        <v>1</v>
      </c>
      <c r="HX338" s="245" t="str">
        <f t="shared" si="888"/>
        <v/>
      </c>
      <c r="HY338" s="245" t="e">
        <f t="shared" si="889"/>
        <v>#DIV/0!</v>
      </c>
      <c r="HZ338" s="245" t="e">
        <f t="shared" si="890"/>
        <v>#DIV/0!</v>
      </c>
      <c r="IA338" s="245">
        <f t="shared" si="891"/>
        <v>0</v>
      </c>
      <c r="IB338" s="245"/>
      <c r="IC338" t="b">
        <f t="shared" si="892"/>
        <v>1</v>
      </c>
      <c r="ID338" s="245" t="b">
        <f t="shared" si="893"/>
        <v>1</v>
      </c>
      <c r="IE338" s="245" t="b">
        <f t="shared" si="894"/>
        <v>1</v>
      </c>
      <c r="IF338" s="245" t="b">
        <f t="shared" si="895"/>
        <v>0</v>
      </c>
      <c r="IG338" s="245" t="b">
        <f t="shared" si="896"/>
        <v>1</v>
      </c>
      <c r="IH338" s="245" t="b">
        <f t="shared" si="897"/>
        <v>1</v>
      </c>
      <c r="II338" s="245">
        <f t="shared" si="1004"/>
        <v>0</v>
      </c>
      <c r="IJ338" s="245" t="e">
        <f t="shared" si="898"/>
        <v>#VALUE!</v>
      </c>
      <c r="IK338" s="245" t="e">
        <f t="shared" si="899"/>
        <v>#VALUE!</v>
      </c>
      <c r="IL338" s="245"/>
      <c r="IM338" s="245" t="e">
        <f t="shared" si="1005"/>
        <v>#N/A</v>
      </c>
      <c r="IN338" s="245" t="e">
        <f t="shared" si="1006"/>
        <v>#N/A</v>
      </c>
      <c r="IO338" s="245"/>
      <c r="IP338" s="245"/>
      <c r="IQ338" s="245" t="str">
        <f t="shared" si="900"/>
        <v/>
      </c>
      <c r="IR338" s="245" t="str">
        <f>IF(J338="","",VLOOKUP(J338,Worksheet!$R$4:$T$14,2))</f>
        <v/>
      </c>
      <c r="IS338" s="245"/>
      <c r="IT338" s="245">
        <f t="shared" si="901"/>
        <v>0</v>
      </c>
      <c r="IU338" s="245">
        <f t="shared" si="902"/>
        <v>0</v>
      </c>
      <c r="IV338" s="245">
        <f t="shared" si="903"/>
        <v>0</v>
      </c>
      <c r="IW338" s="245">
        <f t="shared" si="904"/>
        <v>0</v>
      </c>
      <c r="IX338" s="245">
        <f t="shared" si="1007"/>
        <v>0</v>
      </c>
      <c r="IY338" s="245">
        <f t="shared" si="905"/>
        <v>0</v>
      </c>
      <c r="IZ338" s="245">
        <f t="shared" si="906"/>
        <v>0</v>
      </c>
      <c r="JA338">
        <f t="shared" si="907"/>
        <v>0</v>
      </c>
      <c r="JB338">
        <f t="shared" si="1008"/>
        <v>0</v>
      </c>
      <c r="JC338">
        <f t="shared" si="908"/>
        <v>0</v>
      </c>
      <c r="JD338">
        <f t="shared" si="909"/>
        <v>0</v>
      </c>
      <c r="JE338">
        <f t="shared" si="910"/>
        <v>0</v>
      </c>
      <c r="JF338">
        <f t="shared" si="911"/>
        <v>0</v>
      </c>
      <c r="JG338">
        <f t="shared" si="912"/>
        <v>0</v>
      </c>
      <c r="JH338">
        <f t="shared" si="913"/>
        <v>0</v>
      </c>
      <c r="JI338">
        <f t="shared" si="914"/>
        <v>0</v>
      </c>
      <c r="JJ338" s="447">
        <f t="shared" si="915"/>
        <v>0</v>
      </c>
      <c r="JK338" s="447">
        <f t="shared" si="916"/>
        <v>0</v>
      </c>
      <c r="JL338">
        <f t="shared" si="917"/>
        <v>0</v>
      </c>
      <c r="JM338" s="245" t="str">
        <f>IFERROR(VLOOKUP(MATCH(BN338,#REF!,0),#REF!,7),"")</f>
        <v/>
      </c>
      <c r="JN338" t="e">
        <f>HLOOKUP(LEFT(BO338,7),Discharge_Area,MATCH(JO338,LookUps!$B$130:$B$149,1)+2)</f>
        <v>#N/A</v>
      </c>
      <c r="JO338" t="str">
        <f t="shared" si="918"/>
        <v>- S</v>
      </c>
      <c r="JP338" t="e">
        <f>HLOOKUP(LEFT(BO338,7),Discharge_Area,MATCH(JO338,LookUps!$B$130:$B$149,1)+2)</f>
        <v>#N/A</v>
      </c>
      <c r="JQ338" t="e">
        <f t="shared" si="919"/>
        <v>#N/A</v>
      </c>
      <c r="JR338" t="e">
        <f t="shared" si="920"/>
        <v>#N/A</v>
      </c>
      <c r="JS338" t="e">
        <f t="shared" si="921"/>
        <v>#N/A</v>
      </c>
      <c r="JT338" s="532" t="str">
        <f t="shared" si="922"/>
        <v xml:space="preserve"> </v>
      </c>
      <c r="JU338" s="532" t="str">
        <f t="shared" si="923"/>
        <v xml:space="preserve"> </v>
      </c>
      <c r="JV338" s="533" t="str">
        <f t="shared" si="924"/>
        <v xml:space="preserve"> </v>
      </c>
      <c r="JW338" s="534">
        <f t="shared" si="925"/>
        <v>0</v>
      </c>
      <c r="JX338" s="535" t="str">
        <f t="shared" si="1009"/>
        <v xml:space="preserve"> </v>
      </c>
      <c r="JY338" s="535" t="str">
        <f t="shared" si="1010"/>
        <v xml:space="preserve"> </v>
      </c>
      <c r="JZ338" s="535" t="str">
        <f t="shared" si="1011"/>
        <v xml:space="preserve"> </v>
      </c>
      <c r="KA338" s="536" t="str">
        <f t="shared" si="926"/>
        <v xml:space="preserve"> </v>
      </c>
      <c r="KB338" s="535" t="e">
        <f t="shared" si="1012"/>
        <v>#VALUE!</v>
      </c>
      <c r="KC338" s="535" t="str">
        <f t="shared" si="927"/>
        <v/>
      </c>
      <c r="KD338" s="537" t="str">
        <f t="shared" si="1013"/>
        <v xml:space="preserve"> </v>
      </c>
      <c r="KE338" s="537" t="str">
        <f t="shared" si="1014"/>
        <v xml:space="preserve"> </v>
      </c>
      <c r="KF338" s="534">
        <f t="shared" si="928"/>
        <v>0</v>
      </c>
      <c r="KG338" s="535" t="str">
        <f t="shared" si="929"/>
        <v xml:space="preserve"> </v>
      </c>
      <c r="KH338" s="535" t="str">
        <f t="shared" si="930"/>
        <v xml:space="preserve"> </v>
      </c>
      <c r="KI338" s="535" t="str">
        <f t="shared" si="931"/>
        <v xml:space="preserve"> </v>
      </c>
      <c r="KJ338" s="536" t="str">
        <f t="shared" si="932"/>
        <v xml:space="preserve"> </v>
      </c>
      <c r="KK338" s="535" t="str">
        <f t="shared" si="1015"/>
        <v xml:space="preserve"> </v>
      </c>
      <c r="KL338" s="535" t="str">
        <f t="shared" si="1016"/>
        <v xml:space="preserve"> </v>
      </c>
      <c r="KM338" s="537" t="str">
        <f t="shared" si="933"/>
        <v xml:space="preserve"> </v>
      </c>
      <c r="KN338" s="537" t="str">
        <f t="shared" si="1017"/>
        <v xml:space="preserve"> </v>
      </c>
      <c r="KP338">
        <f t="shared" si="934"/>
        <v>0</v>
      </c>
      <c r="LA338" t="e">
        <f t="shared" si="935"/>
        <v>#VALUE!</v>
      </c>
      <c r="LB338" t="e">
        <f t="shared" si="936"/>
        <v>#VALUE!</v>
      </c>
      <c r="LC338" t="e">
        <f t="shared" si="937"/>
        <v>#VALUE!</v>
      </c>
      <c r="LD338" t="e">
        <f t="shared" si="938"/>
        <v>#VALUE!</v>
      </c>
      <c r="LE338" t="e">
        <f t="shared" si="1018"/>
        <v>#VALUE!</v>
      </c>
      <c r="LF338">
        <f t="shared" si="939"/>
        <v>0</v>
      </c>
      <c r="LG338" t="e">
        <f t="shared" si="1019"/>
        <v>#VALUE!</v>
      </c>
      <c r="LH338" t="str">
        <f t="shared" si="940"/>
        <v xml:space="preserve"> </v>
      </c>
      <c r="LI338">
        <f t="shared" si="1020"/>
        <v>1</v>
      </c>
    </row>
    <row r="339" spans="2:321" ht="15" customHeight="1">
      <c r="B339" s="311"/>
      <c r="C339" s="311"/>
      <c r="D339" s="312"/>
      <c r="E339" s="311"/>
      <c r="F339" s="312"/>
      <c r="G339" s="311"/>
      <c r="H339" s="311"/>
      <c r="I339" s="232"/>
      <c r="J339" s="311"/>
      <c r="K339" s="305" t="str">
        <f t="shared" si="941"/>
        <v/>
      </c>
      <c r="L339" s="313"/>
      <c r="M339" s="312"/>
      <c r="N339" s="311"/>
      <c r="O339" s="312"/>
      <c r="P339" s="311"/>
      <c r="Q339" s="305" t="str">
        <f t="shared" si="942"/>
        <v/>
      </c>
      <c r="R339" s="314"/>
      <c r="S339" s="450" t="str">
        <f t="shared" si="825"/>
        <v/>
      </c>
      <c r="T339" s="315"/>
      <c r="U339" s="315"/>
      <c r="W339" s="149" t="str">
        <f t="shared" si="826"/>
        <v xml:space="preserve"> </v>
      </c>
      <c r="X339" s="243" t="str">
        <f t="shared" si="827"/>
        <v xml:space="preserve"> </v>
      </c>
      <c r="Y339" s="150" t="str">
        <f t="shared" si="828"/>
        <v/>
      </c>
      <c r="Z339" s="149" t="str">
        <f t="shared" si="829"/>
        <v xml:space="preserve"> </v>
      </c>
      <c r="AA339" s="98" t="str">
        <f t="shared" si="830"/>
        <v xml:space="preserve"> </v>
      </c>
      <c r="AB339" s="153" t="str">
        <f t="shared" si="831"/>
        <v xml:space="preserve"> </v>
      </c>
      <c r="AC339" s="153" t="str">
        <f t="shared" si="832"/>
        <v xml:space="preserve"> </v>
      </c>
      <c r="AD339" s="148" t="str">
        <f t="shared" si="833"/>
        <v/>
      </c>
      <c r="AE339" s="149" t="str">
        <f t="shared" si="834"/>
        <v/>
      </c>
      <c r="AF339" s="151" t="str">
        <f t="shared" si="835"/>
        <v xml:space="preserve"> </v>
      </c>
      <c r="AG339" s="153" t="str">
        <f t="shared" si="836"/>
        <v xml:space="preserve"> </v>
      </c>
      <c r="AH339" s="98" t="str">
        <f t="shared" si="837"/>
        <v xml:space="preserve"> </v>
      </c>
      <c r="AI339" s="149" t="str">
        <f t="shared" si="838"/>
        <v xml:space="preserve"> </v>
      </c>
      <c r="AK339" s="144" t="str">
        <f t="shared" si="839"/>
        <v xml:space="preserve"> </v>
      </c>
      <c r="AL339" s="144"/>
      <c r="AM339" s="243" t="str">
        <f t="shared" si="840"/>
        <v xml:space="preserve"> </v>
      </c>
      <c r="AN339" s="149" t="str">
        <f t="shared" si="943"/>
        <v xml:space="preserve"> </v>
      </c>
      <c r="AO339" s="144" t="str">
        <f>IF(JB339&gt;0,IF(GI339=10,-R339*1.085*(Calculation!$F$6-Calculation!$F$13)*$S$14," "),"")</f>
        <v/>
      </c>
      <c r="AP339" s="144" t="str">
        <f t="shared" si="841"/>
        <v/>
      </c>
      <c r="AQ339" s="56" t="str">
        <f t="shared" si="842"/>
        <v/>
      </c>
      <c r="AR339" s="144" t="str">
        <f t="shared" si="843"/>
        <v/>
      </c>
      <c r="AS339" s="176" t="str">
        <f t="shared" si="844"/>
        <v/>
      </c>
      <c r="AT339" s="176" t="str">
        <f t="shared" si="944"/>
        <v xml:space="preserve"> </v>
      </c>
      <c r="AU339" s="176" t="str">
        <f t="shared" si="845"/>
        <v/>
      </c>
      <c r="AV339" s="177" t="str">
        <f t="shared" si="846"/>
        <v xml:space="preserve"> </v>
      </c>
      <c r="AW339" s="144" t="str">
        <f t="shared" si="847"/>
        <v xml:space="preserve"> </v>
      </c>
      <c r="AX339" s="144" t="str">
        <f t="shared" si="848"/>
        <v xml:space="preserve"> </v>
      </c>
      <c r="AY339" s="152" t="str">
        <f t="shared" si="849"/>
        <v xml:space="preserve"> </v>
      </c>
      <c r="AZ339" s="246" t="str">
        <f t="shared" si="850"/>
        <v/>
      </c>
      <c r="BA339" s="176" t="str">
        <f t="shared" si="851"/>
        <v xml:space="preserve"> </v>
      </c>
      <c r="BB339" s="176" t="str">
        <f t="shared" si="852"/>
        <v xml:space="preserve"> </v>
      </c>
      <c r="BC339" s="195"/>
      <c r="BD339" s="316"/>
      <c r="BE339" s="317"/>
      <c r="BF339" s="318"/>
      <c r="BG339" s="318"/>
      <c r="BH339" s="144" t="str">
        <f t="shared" si="1021"/>
        <v xml:space="preserve"> </v>
      </c>
      <c r="BI339" s="176" t="str">
        <f t="shared" si="853"/>
        <v/>
      </c>
      <c r="BJ339" s="144" t="str">
        <f t="shared" si="1022"/>
        <v/>
      </c>
      <c r="BK339" s="246" t="str">
        <f t="shared" si="854"/>
        <v/>
      </c>
      <c r="BL339" s="144" t="str">
        <f t="shared" si="1023"/>
        <v/>
      </c>
      <c r="BM339" s="246" t="str">
        <f t="shared" si="855"/>
        <v/>
      </c>
      <c r="BN339" s="337" t="str">
        <f t="shared" si="945"/>
        <v/>
      </c>
      <c r="BO339" s="371" t="str">
        <f t="shared" si="946"/>
        <v/>
      </c>
      <c r="BP339" s="328" t="str">
        <f t="shared" si="1024"/>
        <v xml:space="preserve"> </v>
      </c>
      <c r="BQ339" s="347" t="str">
        <f t="shared" si="947"/>
        <v xml:space="preserve"> </v>
      </c>
      <c r="BR339" s="353" t="str">
        <f t="shared" si="948"/>
        <v xml:space="preserve"> </v>
      </c>
      <c r="BS339" s="626" t="str">
        <f>IF(L339&gt;0,IF(Calculation!P339="M13",BR339*3.1416*(0.134^2)/(4*144),IF(Calculation!P339="M17",BR339*3.1416*(0.165^2)/(4*144),IF(Calculation!P339="M20",BR339*3.1416*(0.198^2)/(4*144),IF(Calculation!P339="M23",BR339*3.1416*(0.228^2)/(4*144),IF(Calculation!P339="M27",BR339*3.1416*(0.269^2)/(4*144),BR339*3.1416*(0.307^2)/(4*144))))))," ")</f>
        <v xml:space="preserve"> </v>
      </c>
      <c r="BT339" s="353" t="str">
        <f>IF(L339&gt;0,IF(BS339&gt;0,R339/Calculation!BS339,0)," ")</f>
        <v xml:space="preserve"> </v>
      </c>
      <c r="BU339" s="438" t="e">
        <f t="shared" ca="1" si="856"/>
        <v>#VALUE!</v>
      </c>
      <c r="BV339" s="449" t="e">
        <f ca="1">INDEX(INDIRECT(VLOOKUP(LEFT(BO339,7),CLU!$Z$3:$AH$18,2)),GN339,GR339)</f>
        <v>#N/A</v>
      </c>
      <c r="BW339" s="433" t="e">
        <f ca="1">INDEX(INDIRECT(VLOOKUP(LEFT(BO339,7),CLU!$Z$3:$AH$18,3)),GN339,GR339)</f>
        <v>#N/A</v>
      </c>
      <c r="BX339" s="433" t="e">
        <f ca="1">INDEX(INDIRECT(VLOOKUP(LEFT(BO339,7),CLU!$Z$3:$AH$18,4)),GN339,GR339)</f>
        <v>#N/A</v>
      </c>
      <c r="BY339" s="433" t="e">
        <f ca="1">INDEX(INDIRECT(VLOOKUP(LEFT(BO339,7),CLU!$Z$3:$AH$18,9)),((M339-2)*(6-COUNTBLANK(GT339:GY339)))+GJ339)</f>
        <v>#N/A</v>
      </c>
      <c r="BZ339" s="426" t="e">
        <f t="shared" ca="1" si="949"/>
        <v>#N/A</v>
      </c>
      <c r="CA339" s="424" t="e">
        <f t="shared" ca="1" si="950"/>
        <v>#N/A</v>
      </c>
      <c r="CB339" s="429" t="e">
        <f ca="1">INDEX(INDIRECT(VLOOKUP(LEFT(BO339,7),CLU!$Z$3:$AH$18,2)),GN339,GS339)</f>
        <v>#N/A</v>
      </c>
      <c r="CC339" s="342" t="e">
        <f ca="1">INDEX(INDIRECT(VLOOKUP(LEFT(BO339,7),CLU!$Z$3:$AH$18,3)),GN339,GS339)</f>
        <v>#N/A</v>
      </c>
      <c r="CD339" s="342" t="e">
        <f ca="1">INDEX(INDIRECT(VLOOKUP(LEFT(BO339,7),CLU!$Z$3:$AH$18,4)),GN339,GS339)</f>
        <v>#N/A</v>
      </c>
      <c r="CE339" s="426" t="e">
        <f t="shared" ca="1" si="951"/>
        <v>#N/A</v>
      </c>
      <c r="CF339" s="440">
        <f t="shared" si="952"/>
        <v>0</v>
      </c>
      <c r="CG339" s="431" t="e">
        <f ca="1">INDEX(INDIRECT(VLOOKUP(LEFT(BO339,7),CLU!$Z$3:$AH$18,2)),GQ339,GR339)</f>
        <v>#N/A</v>
      </c>
      <c r="CH339" s="431" t="e">
        <f ca="1">INDEX(INDIRECT(VLOOKUP(LEFT(BO339,7),CLU!$Z$3:$AH$18,3)),GQ339,GR339)</f>
        <v>#N/A</v>
      </c>
      <c r="CI339" s="431" t="e">
        <f ca="1">INDEX(INDIRECT(VLOOKUP(LEFT(BO339,7),CLU!$Z$3:$AH$18,4)),GQ339,GR339)</f>
        <v>#N/A</v>
      </c>
      <c r="CJ339" s="448" t="e">
        <f t="shared" ca="1" si="953"/>
        <v>#N/A</v>
      </c>
      <c r="CK339" s="431" t="e">
        <f t="shared" ca="1" si="954"/>
        <v>#N/A</v>
      </c>
      <c r="CL339" s="440" t="e">
        <f t="shared" ca="1" si="955"/>
        <v>#N/A</v>
      </c>
      <c r="CM339" s="431" t="e">
        <f ca="1">INDEX(INDIRECT(VLOOKUP(LEFT(BO339,7),CLU!$Z$3:$AH$18,2)),GQ339,GS339)</f>
        <v>#N/A</v>
      </c>
      <c r="CN339" s="431" t="e">
        <f ca="1">INDEX(INDIRECT(VLOOKUP(LEFT(BO339,7),CLU!$Z$3:$AH$18,3)),GQ339,GS339)</f>
        <v>#N/A</v>
      </c>
      <c r="CO339" s="431" t="e">
        <f ca="1">INDEX(INDIRECT(VLOOKUP(LEFT(BO339,7),CLU!$Z$3:$AH$18,4)),GQ339,GS339)</f>
        <v>#N/A</v>
      </c>
      <c r="CP339" s="431" t="e">
        <f t="shared" ca="1" si="956"/>
        <v>#N/A</v>
      </c>
      <c r="CQ339" s="440">
        <f t="shared" si="957"/>
        <v>0</v>
      </c>
      <c r="CR339" s="51" t="e">
        <f t="shared" ca="1" si="958"/>
        <v>#N/A</v>
      </c>
      <c r="CS339" s="439" t="e">
        <f t="shared" ca="1" si="959"/>
        <v>#VALUE!</v>
      </c>
      <c r="CT339" s="51" t="e">
        <f t="shared" ca="1" si="960"/>
        <v>#VALUE!</v>
      </c>
      <c r="CU339" s="10"/>
      <c r="CV339" s="51" t="e">
        <f t="shared" ca="1" si="857"/>
        <v>#VALUE!</v>
      </c>
      <c r="CW339" s="51">
        <f t="shared" si="961"/>
        <v>0</v>
      </c>
      <c r="CX339" s="439" t="e">
        <f t="shared" ca="1" si="962"/>
        <v>#VALUE!</v>
      </c>
      <c r="CY339" s="51" t="e">
        <f t="shared" ca="1" si="963"/>
        <v>#VALUE!</v>
      </c>
      <c r="CZ339" s="10"/>
      <c r="DA339" s="51" t="e">
        <f t="shared" ca="1" si="964"/>
        <v>#VALUE!</v>
      </c>
      <c r="DB339" s="347" t="e">
        <f ca="1">INDEX(INDIRECT(VLOOKUP(LEFT(BO339,7),CLU!$Z$3:$AI$18,10)),((M339-2)*(6-COUNTBLANK(GT339:GY339)))+GJ339)*LI339</f>
        <v>#N/A</v>
      </c>
      <c r="DC339" s="347" t="str">
        <f>IF(L339&gt;0,((R339/Worksheet!$I$15)/DB339)^2," ")</f>
        <v xml:space="preserve"> </v>
      </c>
      <c r="DD339" s="602" t="str">
        <f t="shared" si="965"/>
        <v xml:space="preserve"> </v>
      </c>
      <c r="DE339" s="347" t="str">
        <f t="shared" si="858"/>
        <v xml:space="preserve"> </v>
      </c>
      <c r="DF339" s="356" t="e">
        <f ca="1">INDEX(INDIRECT(VLOOKUP(LEFT(BO339,7),CLU!$Z$3:$AH$18,8)),((M339-2)*(6-COUNTBLANK(GT339:GY339)))+GJ339)</f>
        <v>#N/A</v>
      </c>
      <c r="DG339" s="347" t="str">
        <f t="shared" si="859"/>
        <v xml:space="preserve"> </v>
      </c>
      <c r="DH339" s="357" t="str">
        <f t="shared" si="860"/>
        <v xml:space="preserve"> </v>
      </c>
      <c r="DI339" s="355" t="str">
        <f t="shared" si="861"/>
        <v xml:space="preserve"> </v>
      </c>
      <c r="DJ339" s="245" t="e">
        <f ca="1">INDEX(INDIRECT(VLOOKUP(LEFT(BO339,7),CLU!$Z$3:$AH$18,5)),GL339,GK339)</f>
        <v>#N/A</v>
      </c>
      <c r="DK339" s="245" t="e">
        <f ca="1">INDEX(INDIRECT(VLOOKUP(LEFT(BO339,7),CLU!$Z$3:$AH$18,6)),GL339,GK339)</f>
        <v>#N/A</v>
      </c>
      <c r="DL339" s="355">
        <f>(Calculation!R339*0.69143*(Calculation!$BQ$8-Calculation!$F$8))*$S$14</f>
        <v>0</v>
      </c>
      <c r="DM339" s="359" t="e">
        <f t="shared" si="966"/>
        <v>#VALUE!</v>
      </c>
      <c r="DN339" s="611">
        <f t="shared" si="967"/>
        <v>0</v>
      </c>
      <c r="DO339" s="359">
        <f t="shared" si="968"/>
        <v>100</v>
      </c>
      <c r="DP339" s="359">
        <f t="shared" si="969"/>
        <v>0</v>
      </c>
      <c r="DQ339" s="360"/>
      <c r="DR339" s="245" t="e">
        <f ca="1">INDEX(INDIRECT(VLOOKUP(LEFT(BO339,7),CLU!$Z$3:$AH$18,7)),M339-1,1)</f>
        <v>#N/A</v>
      </c>
      <c r="DS339" s="245" t="e">
        <f ca="1">INDEX(INDIRECT(VLOOKUP(LEFT(BO339,7),CLU!$Z$3:$AH$18,7)),M339-1,2)</f>
        <v>#N/A</v>
      </c>
      <c r="DT339" s="245" t="e">
        <f ca="1">INDEX(INDIRECT(VLOOKUP(LEFT(BO339,7),CLU!$Z$3:$AH$18,7)),M339-1,3)</f>
        <v>#N/A</v>
      </c>
      <c r="DU339" s="245" t="e">
        <f ca="1">INDEX(INDIRECT(VLOOKUP(LEFT(BO339,7),CLU!$Z$3:$AH$18,7)),M339-1,4)</f>
        <v>#N/A</v>
      </c>
      <c r="DV339" s="361" t="e">
        <f ca="1">INDEX(INDIRECT(VLOOKUP(LEFT(BO339,7),CLU!$Z$3:$AH$18,7)),M339-1,4+LEFT(DZ339,1)*0.5)</f>
        <v>#N/A</v>
      </c>
      <c r="DW339" s="245" t="e">
        <f ca="1">INDEX(INDIRECT(VLOOKUP(LEFT(BO339,7),CLU!$Z$3:$AH$18,7)),M339-1,8)</f>
        <v>#N/A</v>
      </c>
      <c r="DX339" s="361" t="str">
        <f t="shared" si="862"/>
        <v xml:space="preserve"> </v>
      </c>
      <c r="DY339" s="361" t="str">
        <f t="shared" si="863"/>
        <v xml:space="preserve"> </v>
      </c>
      <c r="DZ339" s="361" t="str">
        <f t="shared" si="864"/>
        <v xml:space="preserve"> </v>
      </c>
      <c r="EA339" s="362" t="str">
        <f t="shared" si="865"/>
        <v xml:space="preserve"> </v>
      </c>
      <c r="EB339" s="624" t="str">
        <f t="shared" si="970"/>
        <v xml:space="preserve"> </v>
      </c>
      <c r="EC339" s="361" t="e">
        <f ca="1">INDEX(INDIRECT(VLOOKUP(LEFT(BO339,7),CLU!$Z$3:$AH$18,7)),M339-1,4+LEFT(DZ339,1)*0.5)</f>
        <v>#N/A</v>
      </c>
      <c r="ED339" s="362" t="str">
        <f t="shared" si="866"/>
        <v xml:space="preserve"> </v>
      </c>
      <c r="EE339" s="361" t="str">
        <f t="shared" si="867"/>
        <v xml:space="preserve"> </v>
      </c>
      <c r="EF339" s="362" t="str">
        <f>IF(L339&gt;0,IF(BR339&gt;0,IF(EE339="2P",IF(Calculation!DZ339="2P",IF(Calculation!DS339=13.75,IF(Calculation!DR339=13,Worksheet!$BD$43,IF(Calculation!DR339=37,Worksheet!$BD$44,Worksheet!$BD$45)),IF(Calculation!DS339=10,IF(Calculation!DR339=18,Worksheet!$BD$29,IF(Calculation!DR339=30,Worksheet!$BD$30,IF(Calculation!DR339=42,Worksheet!$BD$31,IF(Calculation!DR339=54,Worksheet!$BD$32,IF(Calculation!DR339=66,Worksheet!$BD$33,IF(Calculation!DR339=78,Worksheet!$BD$34,IF(Calculation!DR339=90,Worksheet!$BD$35,IF(Calculation!DR339=102,Worksheet!$BD$36,Worksheet!$BD$37)))))))),IF(Calculation!DS339=12.5,IF(Calculation!DR339=18,Worksheet!$BD$38,IF(Calculation!DR339=Worksheet!$BD$39,IF(Calculation!DR339=42,Worksheet!$BD$40,IF(Calculation!DR339=54,Worksheet!$BD$41,Worksheet!$BD$42)))),IF(Calculation!DR339=18,Worksheet!$BD$11,IF(Calculation!DR339=30,Worksheet!$BD$12,IF(Calculation!DR339=42,Worksheet!$BD$13,IF(Calculation!DR339=54,Worksheet!$BD$14,IF(Calculation!DR339=66,Worksheet!$BD$15,IF(Calculation!DR339=78,Worksheet!$BD$16,IF(Calculation!DR339=90,Worksheet!$BD$17,IF(Calculation!DR339=102,Worksheet!$BD$18,Worksheet!$BD$19))))))))))),IF(Calculation!DS339=13.75,IF(Calculation!DR339=13,Worksheet!$BD$78,IF(Calculation!DR339=37,Worksheet!$BD$79,Worksheet!$BD$80)),IF(Calculation!DS339=10,IF(Calculation!DR339=18,Worksheet!$BD$64,IF(Calculation!DR339=30,Worksheet!$BD$65,IF(Calculation!DR339=42,Worksheet!$BD$66,IF(Calculation!DR339=54,Worksheet!$BD$68,IF(Calculation!DR339=66,Worksheet!$BD$68,IF(Calculation!DR339=78,Worksheet!$BD$69,IF(Calculation!DR339=90,Worksheet!$BD$70,IF(Calculation!DR339=102,Worksheet!$BD$71,Worksheet!$BD$72)))))))),IF(Calculation!DS339=12.5,IF(Calculation!DR339=18,Worksheet!$BD$73,IF(Calculation!DR339=Worksheet!$BD$74,IF(Calculation!DR339=42,Worksheet!$BD$75,IF(Calculation!DR339=54,Worksheet!$BD$76,Worksheet!$BD$77)))),IF(Calculation!DR339=18,Worksheet!$BD$55,IF(Calculation!DR339=30,Worksheet!$BD$56,IF(Calculation!DR339=42,Worksheet!$BD$57,IF(Calculation!DR339=54,Worksheet!$BD$58,IF(Calculation!DR339=66,Worksheet!$BD$59,IF(Calculation!DR339=78,Worksheet!$BD$60,IF(Calculation!DR339=90,Worksheet!$BD$61,IF(Calculation!DR339=102,Worksheet!$BD$62,Worksheet!$BD$63)))))))))))),5),0)," ")</f>
        <v xml:space="preserve"> </v>
      </c>
      <c r="EG339" s="361" t="str">
        <f t="shared" si="868"/>
        <v xml:space="preserve"> </v>
      </c>
      <c r="EH339" s="361" t="e">
        <f ca="1">INDEX(INDIRECT(VLOOKUP(LEFT(BO339,7),CLU!$Z$3:$AH$18,7)),M339-1,3+LEFT(DZ339,1))</f>
        <v>#N/A</v>
      </c>
      <c r="EI339" s="362" t="str">
        <f t="shared" si="869"/>
        <v xml:space="preserve"> </v>
      </c>
      <c r="EJ339" s="363" t="str">
        <f t="shared" si="870"/>
        <v xml:space="preserve"> </v>
      </c>
      <c r="EK339" s="363" t="str">
        <f t="shared" si="871"/>
        <v xml:space="preserve"> </v>
      </c>
      <c r="EL339" s="363" t="str">
        <f t="shared" si="872"/>
        <v xml:space="preserve"> </v>
      </c>
      <c r="EM339" s="362" t="str">
        <f>IF(L339&gt;0,IF(BR339&gt;0,(Calculation!T339/ED339)^2,0)," ")</f>
        <v xml:space="preserve"> </v>
      </c>
      <c r="EN339" s="362" t="str">
        <f>IF(L339&gt;0,IF(O339="2 Pipe (Cooling)","N/A",IF(BR339&gt;0,(Calculation!U339/EI339)^2,0))," ")</f>
        <v xml:space="preserve"> </v>
      </c>
      <c r="EO339" s="361" t="str">
        <f t="shared" si="873"/>
        <v/>
      </c>
      <c r="EP339" s="361" t="str">
        <f t="shared" si="874"/>
        <v/>
      </c>
      <c r="EQ339" s="361" t="str">
        <f t="shared" si="875"/>
        <v/>
      </c>
      <c r="ER339" s="361" t="str">
        <f t="shared" si="876"/>
        <v/>
      </c>
      <c r="ES339" s="361" t="str">
        <f t="shared" si="877"/>
        <v/>
      </c>
      <c r="ET339" s="361" t="str">
        <f t="shared" si="878"/>
        <v/>
      </c>
      <c r="EU339" s="361" t="str">
        <f t="shared" si="879"/>
        <v/>
      </c>
      <c r="EV339" s="361" t="str">
        <f t="shared" si="880"/>
        <v/>
      </c>
      <c r="EW339" s="361" t="str">
        <f t="shared" si="881"/>
        <v/>
      </c>
      <c r="EX339" s="361" t="str">
        <f t="shared" si="971"/>
        <v>1 slot, 1 way</v>
      </c>
      <c r="EY339" s="361" t="str">
        <f t="shared" si="972"/>
        <v xml:space="preserve"> </v>
      </c>
      <c r="EZ339" s="361" t="str">
        <f t="shared" si="973"/>
        <v xml:space="preserve"> </v>
      </c>
      <c r="FA339" s="361" t="str">
        <f t="shared" si="974"/>
        <v xml:space="preserve"> </v>
      </c>
      <c r="FB339" s="361" t="str">
        <f t="shared" si="975"/>
        <v xml:space="preserve"> </v>
      </c>
      <c r="FC339" s="361"/>
      <c r="FD339" s="361" t="str">
        <f>IF(J339&gt;0,IF(Calculation!R339&lt;=70,4,IF(Calculation!R339&lt;=110,5,IF(Calculation!R339&lt;=160,6,IF(Calculation!R339&lt;=300,8,"10 EO")))),"")</f>
        <v/>
      </c>
      <c r="FE339" s="361" t="str">
        <f t="shared" si="976"/>
        <v/>
      </c>
      <c r="FF339" s="361" t="str">
        <f t="shared" si="977"/>
        <v/>
      </c>
      <c r="FG339" s="361" t="e">
        <f t="shared" si="882"/>
        <v>#N/A</v>
      </c>
      <c r="FH339" s="361">
        <f t="shared" si="883"/>
        <v>0</v>
      </c>
      <c r="FI339" s="361" t="e">
        <f t="shared" si="884"/>
        <v>#DIV/0!</v>
      </c>
      <c r="FJ339" s="361"/>
      <c r="FK339" s="356" t="e">
        <f t="shared" si="885"/>
        <v>#VALUE!</v>
      </c>
      <c r="FL339" s="361"/>
      <c r="FM339" s="361"/>
      <c r="FN339" s="362" t="str">
        <f t="shared" si="978"/>
        <v xml:space="preserve"> </v>
      </c>
      <c r="FO339" s="362" t="str">
        <f t="shared" si="979"/>
        <v xml:space="preserve"> </v>
      </c>
      <c r="FP339" s="362">
        <f t="shared" si="980"/>
        <v>0</v>
      </c>
      <c r="FQ339" s="361">
        <f t="shared" si="886"/>
        <v>0</v>
      </c>
      <c r="FR339" s="362" t="str">
        <f>IF(L339&gt;0,IF(J339="CBAL2",Worksheet!$P$67,IF(J339="CBE2-24",Worksheet!$Q$67,IF(J339="CBAM",Worksheet!$R$67,IF(J339="CBLV",Worksheet!$S$67,IF(J339="CBAB",Worksheet!$U$67,IF(J339="CBAW",Worksheet!$X$67,IF(J339="CBE2-12",Worksheet!$Y$67,IF(J339="CBAL2",Worksheet!$Z$67,"N/A"))))))))," ")</f>
        <v xml:space="preserve"> </v>
      </c>
      <c r="FS339" s="362" t="str">
        <f>IF(L339&gt;0,IF(J339="CBAL2",Worksheet!$P$68,IF(J339="CBE2-24",Worksheet!$Q$68,IF(J339="CBAM",Worksheet!$R$68,IF(J339="CBLV",Worksheet!$S$68,IF(J339="CBAB",Worksheet!$U$68,IF(J339="CBAW",Worksheet!$X$68,IF(J339="CBE2-12",Worksheet!$Y$68,IF(J339="CBAL2",Worksheet!$Z$68,"N/A"))))))))," ")</f>
        <v xml:space="preserve"> </v>
      </c>
      <c r="FT339" s="362" t="str">
        <f>IF(L339&gt;0,IF(J339="CBAL2",Worksheet!$P$69,IF(J339="CBE2-24",Worksheet!$Q$69,IF(J339="CBAM",Worksheet!$R$69,IF(J339="CBLV",Worksheet!$S$69,IF(J339="CBAB",Worksheet!$U$69,IF(J339="CBAW",Worksheet!$X$69,IF(J339="CBE2-12",Worksheet!$Y$69,IF(J339="CBAL2",Worksheet!$Z$69,"N/A"))))))))," ")</f>
        <v xml:space="preserve"> </v>
      </c>
      <c r="FU339" s="361" t="str">
        <f t="shared" si="981"/>
        <v xml:space="preserve"> </v>
      </c>
      <c r="FV339" s="362" t="str">
        <f t="shared" si="982"/>
        <v xml:space="preserve"> </v>
      </c>
      <c r="FW339" s="362" t="str">
        <f t="shared" si="983"/>
        <v xml:space="preserve"> </v>
      </c>
      <c r="FX339" s="362" t="str">
        <f t="shared" si="984"/>
        <v xml:space="preserve"> </v>
      </c>
      <c r="FY339" s="355" t="str">
        <f t="shared" si="985"/>
        <v xml:space="preserve"> </v>
      </c>
      <c r="FZ339" s="361" t="str">
        <f t="shared" si="986"/>
        <v xml:space="preserve"> </v>
      </c>
      <c r="GA339" s="347" t="str">
        <f t="shared" si="987"/>
        <v xml:space="preserve"> </v>
      </c>
      <c r="GB339" s="355" t="str">
        <f t="shared" si="988"/>
        <v xml:space="preserve"> </v>
      </c>
      <c r="GC339" s="328" t="str">
        <f t="shared" si="989"/>
        <v xml:space="preserve"> </v>
      </c>
      <c r="GD339" s="361" t="str">
        <f t="shared" si="990"/>
        <v xml:space="preserve"> </v>
      </c>
      <c r="GE339" s="347" t="str">
        <f t="shared" si="991"/>
        <v xml:space="preserve"> </v>
      </c>
      <c r="GF339" s="361" t="str">
        <f t="shared" si="992"/>
        <v xml:space="preserve"> </v>
      </c>
      <c r="GG339" s="347" t="str">
        <f t="shared" si="993"/>
        <v xml:space="preserve"> </v>
      </c>
      <c r="GH339" s="364">
        <f t="shared" si="887"/>
        <v>0</v>
      </c>
      <c r="GI339" s="362">
        <f t="shared" si="994"/>
        <v>2</v>
      </c>
      <c r="GJ339" s="433" t="e">
        <f>IF(6-COUNTBLANK(GT339:GY339)=4,MATCH(MID(BO339,9,3),CLU!$H$16:$K$16),MATCH(MID(BO339,9,3),CLU!$H$13:$M$13))</f>
        <v>#N/A</v>
      </c>
      <c r="GK339" s="433" t="e">
        <f>HLOOKUP(VALUE(BP339),CLU!$H$9:$M$10,2)</f>
        <v>#VALUE!</v>
      </c>
      <c r="GL339" s="433" t="e">
        <f ca="1">MATCH(BU339,CLU!$H$2:$V$2,1)</f>
        <v>#VALUE!</v>
      </c>
      <c r="GM339" s="433" t="e">
        <f t="shared" ca="1" si="995"/>
        <v>#VALUE!</v>
      </c>
      <c r="GN339" s="433" t="e">
        <f t="shared" ca="1" si="996"/>
        <v>#VALUE!</v>
      </c>
      <c r="GO339" s="433" t="e">
        <f t="shared" ca="1" si="997"/>
        <v>#VALUE!</v>
      </c>
      <c r="GP339" s="433" t="e">
        <f t="shared" ca="1" si="998"/>
        <v>#VALUE!</v>
      </c>
      <c r="GQ339" s="433" t="e">
        <f t="shared" ca="1" si="999"/>
        <v>#VALUE!</v>
      </c>
      <c r="GR339" s="433" t="e">
        <f ca="1">MATCH(T339,INDIRECT(VLOOKUP(CONCATENATE(LEFT(BO339,7),"-",MID(BO339,13,1)),CLU!$P$3:$Q$16,2)),1)</f>
        <v>#N/A</v>
      </c>
      <c r="GS339" s="433" t="e">
        <f ca="1">MATCH(U339,INDIRECT(VLOOKUP(CONCATENATE(LEFT(BO339,7),"-",MID(BO339,13,1)),CLU!$P$3:$Q$16,2)),1)</f>
        <v>#N/A</v>
      </c>
      <c r="GT339" s="347" t="s">
        <v>512</v>
      </c>
      <c r="GU339" s="97" t="s">
        <v>513</v>
      </c>
      <c r="GV339" s="97" t="str">
        <f t="shared" si="1000"/>
        <v>M23</v>
      </c>
      <c r="GW339" s="97" t="str">
        <f t="shared" si="1001"/>
        <v>M31</v>
      </c>
      <c r="GX339" s="97" t="str">
        <f t="shared" si="1002"/>
        <v/>
      </c>
      <c r="GY339" s="97" t="str">
        <f t="shared" si="1003"/>
        <v/>
      </c>
      <c r="GZ339" s="481"/>
      <c r="HA339" s="240"/>
      <c r="HB339" s="240"/>
      <c r="HC339" s="240"/>
      <c r="HD339" s="240"/>
      <c r="HE339" s="240"/>
      <c r="HF339" s="240"/>
      <c r="HG339" s="240"/>
      <c r="HH339" s="240"/>
      <c r="HI339" s="240"/>
      <c r="HJ339" s="240"/>
      <c r="HK339" s="240"/>
      <c r="HL339" s="240"/>
      <c r="HM339" s="240"/>
      <c r="HN339" s="240"/>
      <c r="HO339" s="240"/>
      <c r="HP339" s="240"/>
      <c r="HQ339" s="240"/>
      <c r="HR339" s="240"/>
      <c r="HS339" s="240"/>
      <c r="HT339" s="240"/>
      <c r="HU339" s="240"/>
      <c r="HV339" s="245"/>
      <c r="HW339" s="245" t="b">
        <v>1</v>
      </c>
      <c r="HX339" s="245" t="str">
        <f t="shared" si="888"/>
        <v/>
      </c>
      <c r="HY339" s="245" t="e">
        <f t="shared" si="889"/>
        <v>#DIV/0!</v>
      </c>
      <c r="HZ339" s="245" t="e">
        <f t="shared" si="890"/>
        <v>#DIV/0!</v>
      </c>
      <c r="IA339" s="245">
        <f t="shared" si="891"/>
        <v>0</v>
      </c>
      <c r="IB339" s="245"/>
      <c r="IC339" t="b">
        <f t="shared" si="892"/>
        <v>1</v>
      </c>
      <c r="ID339" s="245" t="b">
        <f t="shared" si="893"/>
        <v>1</v>
      </c>
      <c r="IE339" s="245" t="b">
        <f t="shared" si="894"/>
        <v>1</v>
      </c>
      <c r="IF339" s="245" t="b">
        <f t="shared" si="895"/>
        <v>0</v>
      </c>
      <c r="IG339" s="245" t="b">
        <f t="shared" si="896"/>
        <v>1</v>
      </c>
      <c r="IH339" s="245" t="b">
        <f t="shared" si="897"/>
        <v>1</v>
      </c>
      <c r="II339" s="245">
        <f t="shared" si="1004"/>
        <v>0</v>
      </c>
      <c r="IJ339" s="245" t="e">
        <f t="shared" si="898"/>
        <v>#VALUE!</v>
      </c>
      <c r="IK339" s="245" t="e">
        <f t="shared" si="899"/>
        <v>#VALUE!</v>
      </c>
      <c r="IL339" s="245"/>
      <c r="IM339" s="245" t="e">
        <f t="shared" si="1005"/>
        <v>#N/A</v>
      </c>
      <c r="IN339" s="245" t="e">
        <f t="shared" si="1006"/>
        <v>#N/A</v>
      </c>
      <c r="IO339" s="245"/>
      <c r="IP339" s="245"/>
      <c r="IQ339" s="245" t="str">
        <f t="shared" si="900"/>
        <v/>
      </c>
      <c r="IR339" s="245" t="str">
        <f>IF(J339="","",VLOOKUP(J339,Worksheet!$R$4:$T$14,2))</f>
        <v/>
      </c>
      <c r="IS339" s="245"/>
      <c r="IT339" s="245">
        <f t="shared" si="901"/>
        <v>0</v>
      </c>
      <c r="IU339" s="245">
        <f t="shared" si="902"/>
        <v>0</v>
      </c>
      <c r="IV339" s="245">
        <f t="shared" si="903"/>
        <v>0</v>
      </c>
      <c r="IW339" s="245">
        <f t="shared" si="904"/>
        <v>0</v>
      </c>
      <c r="IX339" s="245">
        <f t="shared" si="1007"/>
        <v>0</v>
      </c>
      <c r="IY339" s="245">
        <f t="shared" si="905"/>
        <v>0</v>
      </c>
      <c r="IZ339" s="245">
        <f t="shared" si="906"/>
        <v>0</v>
      </c>
      <c r="JA339">
        <f t="shared" si="907"/>
        <v>0</v>
      </c>
      <c r="JB339">
        <f t="shared" si="1008"/>
        <v>0</v>
      </c>
      <c r="JC339">
        <f t="shared" si="908"/>
        <v>0</v>
      </c>
      <c r="JD339">
        <f t="shared" si="909"/>
        <v>0</v>
      </c>
      <c r="JE339">
        <f t="shared" si="910"/>
        <v>0</v>
      </c>
      <c r="JF339">
        <f t="shared" si="911"/>
        <v>0</v>
      </c>
      <c r="JG339">
        <f t="shared" si="912"/>
        <v>0</v>
      </c>
      <c r="JH339">
        <f t="shared" si="913"/>
        <v>0</v>
      </c>
      <c r="JI339">
        <f t="shared" si="914"/>
        <v>0</v>
      </c>
      <c r="JJ339" s="447">
        <f t="shared" si="915"/>
        <v>0</v>
      </c>
      <c r="JK339" s="447">
        <f t="shared" si="916"/>
        <v>0</v>
      </c>
      <c r="JL339">
        <f t="shared" si="917"/>
        <v>0</v>
      </c>
      <c r="JM339" s="245" t="str">
        <f>IFERROR(VLOOKUP(MATCH(BN339,#REF!,0),#REF!,7),"")</f>
        <v/>
      </c>
      <c r="JN339" t="e">
        <f>HLOOKUP(LEFT(BO339,7),Discharge_Area,MATCH(JO339,LookUps!$B$130:$B$149,1)+2)</f>
        <v>#N/A</v>
      </c>
      <c r="JO339" t="str">
        <f t="shared" si="918"/>
        <v>- S</v>
      </c>
      <c r="JP339" t="e">
        <f>HLOOKUP(LEFT(BO339,7),Discharge_Area,MATCH(JO339,LookUps!$B$130:$B$149,1)+2)</f>
        <v>#N/A</v>
      </c>
      <c r="JQ339" t="e">
        <f t="shared" si="919"/>
        <v>#N/A</v>
      </c>
      <c r="JR339" t="e">
        <f t="shared" si="920"/>
        <v>#N/A</v>
      </c>
      <c r="JS339" t="e">
        <f t="shared" si="921"/>
        <v>#N/A</v>
      </c>
      <c r="JT339" s="532" t="str">
        <f t="shared" si="922"/>
        <v xml:space="preserve"> </v>
      </c>
      <c r="JU339" s="532" t="str">
        <f t="shared" si="923"/>
        <v xml:space="preserve"> </v>
      </c>
      <c r="JV339" s="533" t="str">
        <f t="shared" si="924"/>
        <v xml:space="preserve"> </v>
      </c>
      <c r="JW339" s="534">
        <f t="shared" si="925"/>
        <v>0</v>
      </c>
      <c r="JX339" s="535" t="str">
        <f t="shared" si="1009"/>
        <v xml:space="preserve"> </v>
      </c>
      <c r="JY339" s="535" t="str">
        <f t="shared" si="1010"/>
        <v xml:space="preserve"> </v>
      </c>
      <c r="JZ339" s="535" t="str">
        <f t="shared" si="1011"/>
        <v xml:space="preserve"> </v>
      </c>
      <c r="KA339" s="536" t="str">
        <f t="shared" si="926"/>
        <v xml:space="preserve"> </v>
      </c>
      <c r="KB339" s="535" t="e">
        <f t="shared" si="1012"/>
        <v>#VALUE!</v>
      </c>
      <c r="KC339" s="535" t="str">
        <f t="shared" si="927"/>
        <v/>
      </c>
      <c r="KD339" s="537" t="str">
        <f t="shared" si="1013"/>
        <v xml:space="preserve"> </v>
      </c>
      <c r="KE339" s="537" t="str">
        <f t="shared" si="1014"/>
        <v xml:space="preserve"> </v>
      </c>
      <c r="KF339" s="534">
        <f t="shared" si="928"/>
        <v>0</v>
      </c>
      <c r="KG339" s="535" t="str">
        <f t="shared" si="929"/>
        <v xml:space="preserve"> </v>
      </c>
      <c r="KH339" s="535" t="str">
        <f t="shared" si="930"/>
        <v xml:space="preserve"> </v>
      </c>
      <c r="KI339" s="535" t="str">
        <f t="shared" si="931"/>
        <v xml:space="preserve"> </v>
      </c>
      <c r="KJ339" s="536" t="str">
        <f t="shared" si="932"/>
        <v xml:space="preserve"> </v>
      </c>
      <c r="KK339" s="535" t="str">
        <f t="shared" si="1015"/>
        <v xml:space="preserve"> </v>
      </c>
      <c r="KL339" s="535" t="str">
        <f t="shared" si="1016"/>
        <v xml:space="preserve"> </v>
      </c>
      <c r="KM339" s="537" t="str">
        <f t="shared" si="933"/>
        <v xml:space="preserve"> </v>
      </c>
      <c r="KN339" s="537" t="str">
        <f t="shared" si="1017"/>
        <v xml:space="preserve"> </v>
      </c>
      <c r="KP339">
        <f t="shared" si="934"/>
        <v>0</v>
      </c>
      <c r="LA339" t="e">
        <f t="shared" si="935"/>
        <v>#VALUE!</v>
      </c>
      <c r="LB339" t="e">
        <f t="shared" si="936"/>
        <v>#VALUE!</v>
      </c>
      <c r="LC339" t="e">
        <f t="shared" si="937"/>
        <v>#VALUE!</v>
      </c>
      <c r="LD339" t="e">
        <f t="shared" si="938"/>
        <v>#VALUE!</v>
      </c>
      <c r="LE339" t="e">
        <f t="shared" si="1018"/>
        <v>#VALUE!</v>
      </c>
      <c r="LF339">
        <f t="shared" si="939"/>
        <v>0</v>
      </c>
      <c r="LG339" t="e">
        <f t="shared" si="1019"/>
        <v>#VALUE!</v>
      </c>
      <c r="LH339" t="str">
        <f t="shared" si="940"/>
        <v xml:space="preserve"> </v>
      </c>
      <c r="LI339">
        <f t="shared" si="1020"/>
        <v>1</v>
      </c>
    </row>
    <row r="340" spans="2:321" ht="15" customHeight="1">
      <c r="B340" s="311"/>
      <c r="C340" s="311"/>
      <c r="D340" s="312"/>
      <c r="E340" s="311"/>
      <c r="F340" s="312"/>
      <c r="G340" s="311"/>
      <c r="H340" s="311"/>
      <c r="I340" s="232"/>
      <c r="J340" s="311"/>
      <c r="K340" s="305" t="str">
        <f t="shared" si="941"/>
        <v/>
      </c>
      <c r="L340" s="313"/>
      <c r="M340" s="312"/>
      <c r="N340" s="311"/>
      <c r="O340" s="312"/>
      <c r="P340" s="311"/>
      <c r="Q340" s="305" t="str">
        <f t="shared" si="942"/>
        <v/>
      </c>
      <c r="R340" s="314"/>
      <c r="S340" s="450" t="str">
        <f t="shared" si="825"/>
        <v/>
      </c>
      <c r="T340" s="315"/>
      <c r="U340" s="315"/>
      <c r="W340" s="149" t="str">
        <f t="shared" si="826"/>
        <v xml:space="preserve"> </v>
      </c>
      <c r="X340" s="243" t="str">
        <f t="shared" si="827"/>
        <v xml:space="preserve"> </v>
      </c>
      <c r="Y340" s="150" t="str">
        <f t="shared" si="828"/>
        <v/>
      </c>
      <c r="Z340" s="149" t="str">
        <f t="shared" si="829"/>
        <v xml:space="preserve"> </v>
      </c>
      <c r="AA340" s="98" t="str">
        <f t="shared" si="830"/>
        <v xml:space="preserve"> </v>
      </c>
      <c r="AB340" s="153" t="str">
        <f t="shared" si="831"/>
        <v xml:space="preserve"> </v>
      </c>
      <c r="AC340" s="153" t="str">
        <f t="shared" si="832"/>
        <v xml:space="preserve"> </v>
      </c>
      <c r="AD340" s="148" t="str">
        <f t="shared" si="833"/>
        <v/>
      </c>
      <c r="AE340" s="149" t="str">
        <f t="shared" si="834"/>
        <v/>
      </c>
      <c r="AF340" s="151" t="str">
        <f t="shared" si="835"/>
        <v xml:space="preserve"> </v>
      </c>
      <c r="AG340" s="153" t="str">
        <f t="shared" si="836"/>
        <v xml:space="preserve"> </v>
      </c>
      <c r="AH340" s="98" t="str">
        <f t="shared" si="837"/>
        <v xml:space="preserve"> </v>
      </c>
      <c r="AI340" s="149" t="str">
        <f t="shared" si="838"/>
        <v xml:space="preserve"> </v>
      </c>
      <c r="AK340" s="144" t="str">
        <f t="shared" si="839"/>
        <v xml:space="preserve"> </v>
      </c>
      <c r="AL340" s="144"/>
      <c r="AM340" s="243" t="str">
        <f t="shared" si="840"/>
        <v xml:space="preserve"> </v>
      </c>
      <c r="AN340" s="149" t="str">
        <f t="shared" si="943"/>
        <v xml:space="preserve"> </v>
      </c>
      <c r="AO340" s="144" t="str">
        <f>IF(JB340&gt;0,IF(GI340=10,-R340*1.085*(Calculation!$F$6-Calculation!$F$13)*$S$14," "),"")</f>
        <v/>
      </c>
      <c r="AP340" s="144" t="str">
        <f t="shared" si="841"/>
        <v/>
      </c>
      <c r="AQ340" s="56" t="str">
        <f t="shared" si="842"/>
        <v/>
      </c>
      <c r="AR340" s="144" t="str">
        <f t="shared" si="843"/>
        <v/>
      </c>
      <c r="AS340" s="176" t="str">
        <f t="shared" si="844"/>
        <v/>
      </c>
      <c r="AT340" s="176" t="str">
        <f t="shared" si="944"/>
        <v xml:space="preserve"> </v>
      </c>
      <c r="AU340" s="176" t="str">
        <f t="shared" si="845"/>
        <v/>
      </c>
      <c r="AV340" s="177" t="str">
        <f t="shared" si="846"/>
        <v xml:space="preserve"> </v>
      </c>
      <c r="AW340" s="144" t="str">
        <f t="shared" si="847"/>
        <v xml:space="preserve"> </v>
      </c>
      <c r="AX340" s="144" t="str">
        <f t="shared" si="848"/>
        <v xml:space="preserve"> </v>
      </c>
      <c r="AY340" s="152" t="str">
        <f t="shared" si="849"/>
        <v xml:space="preserve"> </v>
      </c>
      <c r="AZ340" s="246" t="str">
        <f t="shared" si="850"/>
        <v/>
      </c>
      <c r="BA340" s="176" t="str">
        <f t="shared" si="851"/>
        <v xml:space="preserve"> </v>
      </c>
      <c r="BB340" s="176" t="str">
        <f t="shared" si="852"/>
        <v xml:space="preserve"> </v>
      </c>
      <c r="BC340" s="195"/>
      <c r="BD340" s="316"/>
      <c r="BE340" s="317"/>
      <c r="BF340" s="318"/>
      <c r="BG340" s="318"/>
      <c r="BH340" s="144" t="str">
        <f t="shared" si="1021"/>
        <v xml:space="preserve"> </v>
      </c>
      <c r="BI340" s="176" t="str">
        <f t="shared" si="853"/>
        <v/>
      </c>
      <c r="BJ340" s="144" t="str">
        <f t="shared" si="1022"/>
        <v/>
      </c>
      <c r="BK340" s="246" t="str">
        <f t="shared" si="854"/>
        <v/>
      </c>
      <c r="BL340" s="144" t="str">
        <f t="shared" si="1023"/>
        <v/>
      </c>
      <c r="BM340" s="246" t="str">
        <f t="shared" si="855"/>
        <v/>
      </c>
      <c r="BN340" s="337" t="str">
        <f t="shared" si="945"/>
        <v/>
      </c>
      <c r="BO340" s="371" t="str">
        <f t="shared" si="946"/>
        <v/>
      </c>
      <c r="BP340" s="328" t="str">
        <f t="shared" si="1024"/>
        <v xml:space="preserve"> </v>
      </c>
      <c r="BQ340" s="347" t="str">
        <f t="shared" si="947"/>
        <v xml:space="preserve"> </v>
      </c>
      <c r="BR340" s="353" t="str">
        <f t="shared" si="948"/>
        <v xml:space="preserve"> </v>
      </c>
      <c r="BS340" s="626" t="str">
        <f>IF(L340&gt;0,IF(Calculation!P340="M13",BR340*3.1416*(0.134^2)/(4*144),IF(Calculation!P340="M17",BR340*3.1416*(0.165^2)/(4*144),IF(Calculation!P340="M20",BR340*3.1416*(0.198^2)/(4*144),IF(Calculation!P340="M23",BR340*3.1416*(0.228^2)/(4*144),IF(Calculation!P340="M27",BR340*3.1416*(0.269^2)/(4*144),BR340*3.1416*(0.307^2)/(4*144))))))," ")</f>
        <v xml:space="preserve"> </v>
      </c>
      <c r="BT340" s="353" t="str">
        <f>IF(L340&gt;0,IF(BS340&gt;0,R340/Calculation!BS340,0)," ")</f>
        <v xml:space="preserve"> </v>
      </c>
      <c r="BU340" s="438" t="e">
        <f t="shared" ca="1" si="856"/>
        <v>#VALUE!</v>
      </c>
      <c r="BV340" s="449" t="e">
        <f ca="1">INDEX(INDIRECT(VLOOKUP(LEFT(BO340,7),CLU!$Z$3:$AH$18,2)),GN340,GR340)</f>
        <v>#N/A</v>
      </c>
      <c r="BW340" s="433" t="e">
        <f ca="1">INDEX(INDIRECT(VLOOKUP(LEFT(BO340,7),CLU!$Z$3:$AH$18,3)),GN340,GR340)</f>
        <v>#N/A</v>
      </c>
      <c r="BX340" s="433" t="e">
        <f ca="1">INDEX(INDIRECT(VLOOKUP(LEFT(BO340,7),CLU!$Z$3:$AH$18,4)),GN340,GR340)</f>
        <v>#N/A</v>
      </c>
      <c r="BY340" s="433" t="e">
        <f ca="1">INDEX(INDIRECT(VLOOKUP(LEFT(BO340,7),CLU!$Z$3:$AH$18,9)),((M340-2)*(6-COUNTBLANK(GT340:GY340)))+GJ340)</f>
        <v>#N/A</v>
      </c>
      <c r="BZ340" s="426" t="e">
        <f t="shared" ca="1" si="949"/>
        <v>#N/A</v>
      </c>
      <c r="CA340" s="424" t="e">
        <f t="shared" ca="1" si="950"/>
        <v>#N/A</v>
      </c>
      <c r="CB340" s="429" t="e">
        <f ca="1">INDEX(INDIRECT(VLOOKUP(LEFT(BO340,7),CLU!$Z$3:$AH$18,2)),GN340,GS340)</f>
        <v>#N/A</v>
      </c>
      <c r="CC340" s="342" t="e">
        <f ca="1">INDEX(INDIRECT(VLOOKUP(LEFT(BO340,7),CLU!$Z$3:$AH$18,3)),GN340,GS340)</f>
        <v>#N/A</v>
      </c>
      <c r="CD340" s="342" t="e">
        <f ca="1">INDEX(INDIRECT(VLOOKUP(LEFT(BO340,7),CLU!$Z$3:$AH$18,4)),GN340,GS340)</f>
        <v>#N/A</v>
      </c>
      <c r="CE340" s="426" t="e">
        <f t="shared" ca="1" si="951"/>
        <v>#N/A</v>
      </c>
      <c r="CF340" s="440">
        <f t="shared" si="952"/>
        <v>0</v>
      </c>
      <c r="CG340" s="431" t="e">
        <f ca="1">INDEX(INDIRECT(VLOOKUP(LEFT(BO340,7),CLU!$Z$3:$AH$18,2)),GQ340,GR340)</f>
        <v>#N/A</v>
      </c>
      <c r="CH340" s="431" t="e">
        <f ca="1">INDEX(INDIRECT(VLOOKUP(LEFT(BO340,7),CLU!$Z$3:$AH$18,3)),GQ340,GR340)</f>
        <v>#N/A</v>
      </c>
      <c r="CI340" s="431" t="e">
        <f ca="1">INDEX(INDIRECT(VLOOKUP(LEFT(BO340,7),CLU!$Z$3:$AH$18,4)),GQ340,GR340)</f>
        <v>#N/A</v>
      </c>
      <c r="CJ340" s="448" t="e">
        <f t="shared" ca="1" si="953"/>
        <v>#N/A</v>
      </c>
      <c r="CK340" s="431" t="e">
        <f t="shared" ca="1" si="954"/>
        <v>#N/A</v>
      </c>
      <c r="CL340" s="440" t="e">
        <f t="shared" ca="1" si="955"/>
        <v>#N/A</v>
      </c>
      <c r="CM340" s="431" t="e">
        <f ca="1">INDEX(INDIRECT(VLOOKUP(LEFT(BO340,7),CLU!$Z$3:$AH$18,2)),GQ340,GS340)</f>
        <v>#N/A</v>
      </c>
      <c r="CN340" s="431" t="e">
        <f ca="1">INDEX(INDIRECT(VLOOKUP(LEFT(BO340,7),CLU!$Z$3:$AH$18,3)),GQ340,GS340)</f>
        <v>#N/A</v>
      </c>
      <c r="CO340" s="431" t="e">
        <f ca="1">INDEX(INDIRECT(VLOOKUP(LEFT(BO340,7),CLU!$Z$3:$AH$18,4)),GQ340,GS340)</f>
        <v>#N/A</v>
      </c>
      <c r="CP340" s="431" t="e">
        <f t="shared" ca="1" si="956"/>
        <v>#N/A</v>
      </c>
      <c r="CQ340" s="440">
        <f t="shared" si="957"/>
        <v>0</v>
      </c>
      <c r="CR340" s="51" t="e">
        <f t="shared" ca="1" si="958"/>
        <v>#N/A</v>
      </c>
      <c r="CS340" s="439" t="e">
        <f t="shared" ca="1" si="959"/>
        <v>#VALUE!</v>
      </c>
      <c r="CT340" s="51" t="e">
        <f t="shared" ca="1" si="960"/>
        <v>#VALUE!</v>
      </c>
      <c r="CU340" s="10"/>
      <c r="CV340" s="51" t="e">
        <f t="shared" ca="1" si="857"/>
        <v>#VALUE!</v>
      </c>
      <c r="CW340" s="51">
        <f t="shared" si="961"/>
        <v>0</v>
      </c>
      <c r="CX340" s="439" t="e">
        <f t="shared" ca="1" si="962"/>
        <v>#VALUE!</v>
      </c>
      <c r="CY340" s="51" t="e">
        <f t="shared" ca="1" si="963"/>
        <v>#VALUE!</v>
      </c>
      <c r="CZ340" s="10"/>
      <c r="DA340" s="51" t="e">
        <f t="shared" ca="1" si="964"/>
        <v>#VALUE!</v>
      </c>
      <c r="DB340" s="347" t="e">
        <f ca="1">INDEX(INDIRECT(VLOOKUP(LEFT(BO340,7),CLU!$Z$3:$AI$18,10)),((M340-2)*(6-COUNTBLANK(GT340:GY340)))+GJ340)*LI340</f>
        <v>#N/A</v>
      </c>
      <c r="DC340" s="347" t="str">
        <f>IF(L340&gt;0,((R340/Worksheet!$I$15)/DB340)^2," ")</f>
        <v xml:space="preserve"> </v>
      </c>
      <c r="DD340" s="602" t="str">
        <f t="shared" si="965"/>
        <v xml:space="preserve"> </v>
      </c>
      <c r="DE340" s="347" t="str">
        <f t="shared" si="858"/>
        <v xml:space="preserve"> </v>
      </c>
      <c r="DF340" s="356" t="e">
        <f ca="1">INDEX(INDIRECT(VLOOKUP(LEFT(BO340,7),CLU!$Z$3:$AH$18,8)),((M340-2)*(6-COUNTBLANK(GT340:GY340)))+GJ340)</f>
        <v>#N/A</v>
      </c>
      <c r="DG340" s="347" t="str">
        <f t="shared" si="859"/>
        <v xml:space="preserve"> </v>
      </c>
      <c r="DH340" s="357" t="str">
        <f t="shared" si="860"/>
        <v xml:space="preserve"> </v>
      </c>
      <c r="DI340" s="355" t="str">
        <f t="shared" si="861"/>
        <v xml:space="preserve"> </v>
      </c>
      <c r="DJ340" s="245" t="e">
        <f ca="1">INDEX(INDIRECT(VLOOKUP(LEFT(BO340,7),CLU!$Z$3:$AH$18,5)),GL340,GK340)</f>
        <v>#N/A</v>
      </c>
      <c r="DK340" s="245" t="e">
        <f ca="1">INDEX(INDIRECT(VLOOKUP(LEFT(BO340,7),CLU!$Z$3:$AH$18,6)),GL340,GK340)</f>
        <v>#N/A</v>
      </c>
      <c r="DL340" s="355">
        <f>(Calculation!R340*0.69143*(Calculation!$BQ$8-Calculation!$F$8))*$S$14</f>
        <v>0</v>
      </c>
      <c r="DM340" s="359" t="e">
        <f t="shared" si="966"/>
        <v>#VALUE!</v>
      </c>
      <c r="DN340" s="611">
        <f t="shared" si="967"/>
        <v>0</v>
      </c>
      <c r="DO340" s="359">
        <f t="shared" si="968"/>
        <v>100</v>
      </c>
      <c r="DP340" s="359">
        <f t="shared" si="969"/>
        <v>0</v>
      </c>
      <c r="DQ340" s="360"/>
      <c r="DR340" s="245" t="e">
        <f ca="1">INDEX(INDIRECT(VLOOKUP(LEFT(BO340,7),CLU!$Z$3:$AH$18,7)),M340-1,1)</f>
        <v>#N/A</v>
      </c>
      <c r="DS340" s="245" t="e">
        <f ca="1">INDEX(INDIRECT(VLOOKUP(LEFT(BO340,7),CLU!$Z$3:$AH$18,7)),M340-1,2)</f>
        <v>#N/A</v>
      </c>
      <c r="DT340" s="245" t="e">
        <f ca="1">INDEX(INDIRECT(VLOOKUP(LEFT(BO340,7),CLU!$Z$3:$AH$18,7)),M340-1,3)</f>
        <v>#N/A</v>
      </c>
      <c r="DU340" s="245" t="e">
        <f ca="1">INDEX(INDIRECT(VLOOKUP(LEFT(BO340,7),CLU!$Z$3:$AH$18,7)),M340-1,4)</f>
        <v>#N/A</v>
      </c>
      <c r="DV340" s="361" t="e">
        <f ca="1">INDEX(INDIRECT(VLOOKUP(LEFT(BO340,7),CLU!$Z$3:$AH$18,7)),M340-1,4+LEFT(DZ340,1)*0.5)</f>
        <v>#N/A</v>
      </c>
      <c r="DW340" s="245" t="e">
        <f ca="1">INDEX(INDIRECT(VLOOKUP(LEFT(BO340,7),CLU!$Z$3:$AH$18,7)),M340-1,8)</f>
        <v>#N/A</v>
      </c>
      <c r="DX340" s="361" t="str">
        <f t="shared" si="862"/>
        <v xml:space="preserve"> </v>
      </c>
      <c r="DY340" s="361" t="str">
        <f t="shared" si="863"/>
        <v xml:space="preserve"> </v>
      </c>
      <c r="DZ340" s="361" t="str">
        <f t="shared" si="864"/>
        <v xml:space="preserve"> </v>
      </c>
      <c r="EA340" s="362" t="str">
        <f t="shared" si="865"/>
        <v xml:space="preserve"> </v>
      </c>
      <c r="EB340" s="624" t="str">
        <f t="shared" si="970"/>
        <v xml:space="preserve"> </v>
      </c>
      <c r="EC340" s="361" t="e">
        <f ca="1">INDEX(INDIRECT(VLOOKUP(LEFT(BO340,7),CLU!$Z$3:$AH$18,7)),M340-1,4+LEFT(DZ340,1)*0.5)</f>
        <v>#N/A</v>
      </c>
      <c r="ED340" s="362" t="str">
        <f t="shared" si="866"/>
        <v xml:space="preserve"> </v>
      </c>
      <c r="EE340" s="361" t="str">
        <f t="shared" si="867"/>
        <v xml:space="preserve"> </v>
      </c>
      <c r="EF340" s="362" t="str">
        <f>IF(L340&gt;0,IF(BR340&gt;0,IF(EE340="2P",IF(Calculation!DZ340="2P",IF(Calculation!DS340=13.75,IF(Calculation!DR340=13,Worksheet!$BD$43,IF(Calculation!DR340=37,Worksheet!$BD$44,Worksheet!$BD$45)),IF(Calculation!DS340=10,IF(Calculation!DR340=18,Worksheet!$BD$29,IF(Calculation!DR340=30,Worksheet!$BD$30,IF(Calculation!DR340=42,Worksheet!$BD$31,IF(Calculation!DR340=54,Worksheet!$BD$32,IF(Calculation!DR340=66,Worksheet!$BD$33,IF(Calculation!DR340=78,Worksheet!$BD$34,IF(Calculation!DR340=90,Worksheet!$BD$35,IF(Calculation!DR340=102,Worksheet!$BD$36,Worksheet!$BD$37)))))))),IF(Calculation!DS340=12.5,IF(Calculation!DR340=18,Worksheet!$BD$38,IF(Calculation!DR340=Worksheet!$BD$39,IF(Calculation!DR340=42,Worksheet!$BD$40,IF(Calculation!DR340=54,Worksheet!$BD$41,Worksheet!$BD$42)))),IF(Calculation!DR340=18,Worksheet!$BD$11,IF(Calculation!DR340=30,Worksheet!$BD$12,IF(Calculation!DR340=42,Worksheet!$BD$13,IF(Calculation!DR340=54,Worksheet!$BD$14,IF(Calculation!DR340=66,Worksheet!$BD$15,IF(Calculation!DR340=78,Worksheet!$BD$16,IF(Calculation!DR340=90,Worksheet!$BD$17,IF(Calculation!DR340=102,Worksheet!$BD$18,Worksheet!$BD$19))))))))))),IF(Calculation!DS340=13.75,IF(Calculation!DR340=13,Worksheet!$BD$78,IF(Calculation!DR340=37,Worksheet!$BD$79,Worksheet!$BD$80)),IF(Calculation!DS340=10,IF(Calculation!DR340=18,Worksheet!$BD$64,IF(Calculation!DR340=30,Worksheet!$BD$65,IF(Calculation!DR340=42,Worksheet!$BD$66,IF(Calculation!DR340=54,Worksheet!$BD$68,IF(Calculation!DR340=66,Worksheet!$BD$68,IF(Calculation!DR340=78,Worksheet!$BD$69,IF(Calculation!DR340=90,Worksheet!$BD$70,IF(Calculation!DR340=102,Worksheet!$BD$71,Worksheet!$BD$72)))))))),IF(Calculation!DS340=12.5,IF(Calculation!DR340=18,Worksheet!$BD$73,IF(Calculation!DR340=Worksheet!$BD$74,IF(Calculation!DR340=42,Worksheet!$BD$75,IF(Calculation!DR340=54,Worksheet!$BD$76,Worksheet!$BD$77)))),IF(Calculation!DR340=18,Worksheet!$BD$55,IF(Calculation!DR340=30,Worksheet!$BD$56,IF(Calculation!DR340=42,Worksheet!$BD$57,IF(Calculation!DR340=54,Worksheet!$BD$58,IF(Calculation!DR340=66,Worksheet!$BD$59,IF(Calculation!DR340=78,Worksheet!$BD$60,IF(Calculation!DR340=90,Worksheet!$BD$61,IF(Calculation!DR340=102,Worksheet!$BD$62,Worksheet!$BD$63)))))))))))),5),0)," ")</f>
        <v xml:space="preserve"> </v>
      </c>
      <c r="EG340" s="361" t="str">
        <f t="shared" si="868"/>
        <v xml:space="preserve"> </v>
      </c>
      <c r="EH340" s="361" t="e">
        <f ca="1">INDEX(INDIRECT(VLOOKUP(LEFT(BO340,7),CLU!$Z$3:$AH$18,7)),M340-1,3+LEFT(DZ340,1))</f>
        <v>#N/A</v>
      </c>
      <c r="EI340" s="362" t="str">
        <f t="shared" si="869"/>
        <v xml:space="preserve"> </v>
      </c>
      <c r="EJ340" s="363" t="str">
        <f t="shared" si="870"/>
        <v xml:space="preserve"> </v>
      </c>
      <c r="EK340" s="363" t="str">
        <f t="shared" si="871"/>
        <v xml:space="preserve"> </v>
      </c>
      <c r="EL340" s="363" t="str">
        <f t="shared" si="872"/>
        <v xml:space="preserve"> </v>
      </c>
      <c r="EM340" s="362" t="str">
        <f>IF(L340&gt;0,IF(BR340&gt;0,(Calculation!T340/ED340)^2,0)," ")</f>
        <v xml:space="preserve"> </v>
      </c>
      <c r="EN340" s="362" t="str">
        <f>IF(L340&gt;0,IF(O340="2 Pipe (Cooling)","N/A",IF(BR340&gt;0,(Calculation!U340/EI340)^2,0))," ")</f>
        <v xml:space="preserve"> </v>
      </c>
      <c r="EO340" s="361" t="str">
        <f t="shared" si="873"/>
        <v/>
      </c>
      <c r="EP340" s="361" t="str">
        <f t="shared" si="874"/>
        <v/>
      </c>
      <c r="EQ340" s="361" t="str">
        <f t="shared" si="875"/>
        <v/>
      </c>
      <c r="ER340" s="361" t="str">
        <f t="shared" si="876"/>
        <v/>
      </c>
      <c r="ES340" s="361" t="str">
        <f t="shared" si="877"/>
        <v/>
      </c>
      <c r="ET340" s="361" t="str">
        <f t="shared" si="878"/>
        <v/>
      </c>
      <c r="EU340" s="361" t="str">
        <f t="shared" si="879"/>
        <v/>
      </c>
      <c r="EV340" s="361" t="str">
        <f t="shared" si="880"/>
        <v/>
      </c>
      <c r="EW340" s="361" t="str">
        <f t="shared" si="881"/>
        <v/>
      </c>
      <c r="EX340" s="361" t="str">
        <f t="shared" si="971"/>
        <v>1 slot, 1 way</v>
      </c>
      <c r="EY340" s="361" t="str">
        <f t="shared" si="972"/>
        <v xml:space="preserve"> </v>
      </c>
      <c r="EZ340" s="361" t="str">
        <f t="shared" si="973"/>
        <v xml:space="preserve"> </v>
      </c>
      <c r="FA340" s="361" t="str">
        <f t="shared" si="974"/>
        <v xml:space="preserve"> </v>
      </c>
      <c r="FB340" s="361" t="str">
        <f t="shared" si="975"/>
        <v xml:space="preserve"> </v>
      </c>
      <c r="FC340" s="361"/>
      <c r="FD340" s="361" t="str">
        <f>IF(J340&gt;0,IF(Calculation!R340&lt;=70,4,IF(Calculation!R340&lt;=110,5,IF(Calculation!R340&lt;=160,6,IF(Calculation!R340&lt;=300,8,"10 EO")))),"")</f>
        <v/>
      </c>
      <c r="FE340" s="361" t="str">
        <f t="shared" si="976"/>
        <v/>
      </c>
      <c r="FF340" s="361" t="str">
        <f t="shared" si="977"/>
        <v/>
      </c>
      <c r="FG340" s="361" t="e">
        <f t="shared" si="882"/>
        <v>#N/A</v>
      </c>
      <c r="FH340" s="361">
        <f t="shared" si="883"/>
        <v>0</v>
      </c>
      <c r="FI340" s="361" t="e">
        <f t="shared" si="884"/>
        <v>#DIV/0!</v>
      </c>
      <c r="FJ340" s="361"/>
      <c r="FK340" s="356" t="e">
        <f t="shared" si="885"/>
        <v>#VALUE!</v>
      </c>
      <c r="FL340" s="361"/>
      <c r="FM340" s="361"/>
      <c r="FN340" s="362" t="str">
        <f t="shared" si="978"/>
        <v xml:space="preserve"> </v>
      </c>
      <c r="FO340" s="362" t="str">
        <f t="shared" si="979"/>
        <v xml:space="preserve"> </v>
      </c>
      <c r="FP340" s="362">
        <f t="shared" si="980"/>
        <v>0</v>
      </c>
      <c r="FQ340" s="361">
        <f t="shared" si="886"/>
        <v>0</v>
      </c>
      <c r="FR340" s="362" t="str">
        <f>IF(L340&gt;0,IF(J340="CBAL2",Worksheet!$P$67,IF(J340="CBE2-24",Worksheet!$Q$67,IF(J340="CBAM",Worksheet!$R$67,IF(J340="CBLV",Worksheet!$S$67,IF(J340="CBAB",Worksheet!$U$67,IF(J340="CBAW",Worksheet!$X$67,IF(J340="CBE2-12",Worksheet!$Y$67,IF(J340="CBAL2",Worksheet!$Z$67,"N/A"))))))))," ")</f>
        <v xml:space="preserve"> </v>
      </c>
      <c r="FS340" s="362" t="str">
        <f>IF(L340&gt;0,IF(J340="CBAL2",Worksheet!$P$68,IF(J340="CBE2-24",Worksheet!$Q$68,IF(J340="CBAM",Worksheet!$R$68,IF(J340="CBLV",Worksheet!$S$68,IF(J340="CBAB",Worksheet!$U$68,IF(J340="CBAW",Worksheet!$X$68,IF(J340="CBE2-12",Worksheet!$Y$68,IF(J340="CBAL2",Worksheet!$Z$68,"N/A"))))))))," ")</f>
        <v xml:space="preserve"> </v>
      </c>
      <c r="FT340" s="362" t="str">
        <f>IF(L340&gt;0,IF(J340="CBAL2",Worksheet!$P$69,IF(J340="CBE2-24",Worksheet!$Q$69,IF(J340="CBAM",Worksheet!$R$69,IF(J340="CBLV",Worksheet!$S$69,IF(J340="CBAB",Worksheet!$U$69,IF(J340="CBAW",Worksheet!$X$69,IF(J340="CBE2-12",Worksheet!$Y$69,IF(J340="CBAL2",Worksheet!$Z$69,"N/A"))))))))," ")</f>
        <v xml:space="preserve"> </v>
      </c>
      <c r="FU340" s="361" t="str">
        <f t="shared" si="981"/>
        <v xml:space="preserve"> </v>
      </c>
      <c r="FV340" s="362" t="str">
        <f t="shared" si="982"/>
        <v xml:space="preserve"> </v>
      </c>
      <c r="FW340" s="362" t="str">
        <f t="shared" si="983"/>
        <v xml:space="preserve"> </v>
      </c>
      <c r="FX340" s="362" t="str">
        <f t="shared" si="984"/>
        <v xml:space="preserve"> </v>
      </c>
      <c r="FY340" s="355" t="str">
        <f t="shared" si="985"/>
        <v xml:space="preserve"> </v>
      </c>
      <c r="FZ340" s="361" t="str">
        <f t="shared" si="986"/>
        <v xml:space="preserve"> </v>
      </c>
      <c r="GA340" s="347" t="str">
        <f t="shared" si="987"/>
        <v xml:space="preserve"> </v>
      </c>
      <c r="GB340" s="355" t="str">
        <f t="shared" si="988"/>
        <v xml:space="preserve"> </v>
      </c>
      <c r="GC340" s="328" t="str">
        <f t="shared" si="989"/>
        <v xml:space="preserve"> </v>
      </c>
      <c r="GD340" s="361" t="str">
        <f t="shared" si="990"/>
        <v xml:space="preserve"> </v>
      </c>
      <c r="GE340" s="347" t="str">
        <f t="shared" si="991"/>
        <v xml:space="preserve"> </v>
      </c>
      <c r="GF340" s="361" t="str">
        <f t="shared" si="992"/>
        <v xml:space="preserve"> </v>
      </c>
      <c r="GG340" s="347" t="str">
        <f t="shared" si="993"/>
        <v xml:space="preserve"> </v>
      </c>
      <c r="GH340" s="364">
        <f t="shared" si="887"/>
        <v>0</v>
      </c>
      <c r="GI340" s="362">
        <f t="shared" si="994"/>
        <v>2</v>
      </c>
      <c r="GJ340" s="433" t="e">
        <f>IF(6-COUNTBLANK(GT340:GY340)=4,MATCH(MID(BO340,9,3),CLU!$H$16:$K$16),MATCH(MID(BO340,9,3),CLU!$H$13:$M$13))</f>
        <v>#N/A</v>
      </c>
      <c r="GK340" s="433" t="e">
        <f>HLOOKUP(VALUE(BP340),CLU!$H$9:$M$10,2)</f>
        <v>#VALUE!</v>
      </c>
      <c r="GL340" s="433" t="e">
        <f ca="1">MATCH(BU340,CLU!$H$2:$V$2,1)</f>
        <v>#VALUE!</v>
      </c>
      <c r="GM340" s="433" t="e">
        <f t="shared" ca="1" si="995"/>
        <v>#VALUE!</v>
      </c>
      <c r="GN340" s="433" t="e">
        <f t="shared" ca="1" si="996"/>
        <v>#VALUE!</v>
      </c>
      <c r="GO340" s="433" t="e">
        <f t="shared" ca="1" si="997"/>
        <v>#VALUE!</v>
      </c>
      <c r="GP340" s="433" t="e">
        <f t="shared" ca="1" si="998"/>
        <v>#VALUE!</v>
      </c>
      <c r="GQ340" s="433" t="e">
        <f t="shared" ca="1" si="999"/>
        <v>#VALUE!</v>
      </c>
      <c r="GR340" s="433" t="e">
        <f ca="1">MATCH(T340,INDIRECT(VLOOKUP(CONCATENATE(LEFT(BO340,7),"-",MID(BO340,13,1)),CLU!$P$3:$Q$16,2)),1)</f>
        <v>#N/A</v>
      </c>
      <c r="GS340" s="433" t="e">
        <f ca="1">MATCH(U340,INDIRECT(VLOOKUP(CONCATENATE(LEFT(BO340,7),"-",MID(BO340,13,1)),CLU!$P$3:$Q$16,2)),1)</f>
        <v>#N/A</v>
      </c>
      <c r="GT340" s="347" t="s">
        <v>512</v>
      </c>
      <c r="GU340" s="97" t="s">
        <v>513</v>
      </c>
      <c r="GV340" s="97" t="str">
        <f t="shared" si="1000"/>
        <v>M23</v>
      </c>
      <c r="GW340" s="97" t="str">
        <f t="shared" si="1001"/>
        <v>M31</v>
      </c>
      <c r="GX340" s="97" t="str">
        <f t="shared" si="1002"/>
        <v/>
      </c>
      <c r="GY340" s="97" t="str">
        <f t="shared" si="1003"/>
        <v/>
      </c>
      <c r="GZ340" s="481"/>
      <c r="HA340" s="240"/>
      <c r="HB340" s="240"/>
      <c r="HC340" s="240"/>
      <c r="HD340" s="240"/>
      <c r="HE340" s="240"/>
      <c r="HF340" s="240"/>
      <c r="HG340" s="240"/>
      <c r="HH340" s="240"/>
      <c r="HI340" s="240"/>
      <c r="HJ340" s="240"/>
      <c r="HK340" s="240"/>
      <c r="HL340" s="240"/>
      <c r="HM340" s="240"/>
      <c r="HN340" s="240"/>
      <c r="HO340" s="240"/>
      <c r="HP340" s="240"/>
      <c r="HQ340" s="240"/>
      <c r="HR340" s="240"/>
      <c r="HS340" s="240"/>
      <c r="HT340" s="240"/>
      <c r="HU340" s="240"/>
      <c r="HV340" s="245"/>
      <c r="HW340" s="245" t="b">
        <v>1</v>
      </c>
      <c r="HX340" s="245" t="str">
        <f t="shared" si="888"/>
        <v/>
      </c>
      <c r="HY340" s="245" t="e">
        <f t="shared" si="889"/>
        <v>#DIV/0!</v>
      </c>
      <c r="HZ340" s="245" t="e">
        <f t="shared" si="890"/>
        <v>#DIV/0!</v>
      </c>
      <c r="IA340" s="245">
        <f t="shared" si="891"/>
        <v>0</v>
      </c>
      <c r="IB340" s="245"/>
      <c r="IC340" t="b">
        <f t="shared" si="892"/>
        <v>1</v>
      </c>
      <c r="ID340" s="245" t="b">
        <f t="shared" si="893"/>
        <v>1</v>
      </c>
      <c r="IE340" s="245" t="b">
        <f t="shared" si="894"/>
        <v>1</v>
      </c>
      <c r="IF340" s="245" t="b">
        <f t="shared" si="895"/>
        <v>0</v>
      </c>
      <c r="IG340" s="245" t="b">
        <f t="shared" si="896"/>
        <v>1</v>
      </c>
      <c r="IH340" s="245" t="b">
        <f t="shared" si="897"/>
        <v>1</v>
      </c>
      <c r="II340" s="245">
        <f t="shared" si="1004"/>
        <v>0</v>
      </c>
      <c r="IJ340" s="245" t="e">
        <f t="shared" si="898"/>
        <v>#VALUE!</v>
      </c>
      <c r="IK340" s="245" t="e">
        <f t="shared" si="899"/>
        <v>#VALUE!</v>
      </c>
      <c r="IL340" s="245"/>
      <c r="IM340" s="245" t="e">
        <f t="shared" si="1005"/>
        <v>#N/A</v>
      </c>
      <c r="IN340" s="245" t="e">
        <f t="shared" si="1006"/>
        <v>#N/A</v>
      </c>
      <c r="IO340" s="245"/>
      <c r="IP340" s="245"/>
      <c r="IQ340" s="245" t="str">
        <f t="shared" si="900"/>
        <v/>
      </c>
      <c r="IR340" s="245" t="str">
        <f>IF(J340="","",VLOOKUP(J340,Worksheet!$R$4:$T$14,2))</f>
        <v/>
      </c>
      <c r="IS340" s="245"/>
      <c r="IT340" s="245">
        <f t="shared" si="901"/>
        <v>0</v>
      </c>
      <c r="IU340" s="245">
        <f t="shared" si="902"/>
        <v>0</v>
      </c>
      <c r="IV340" s="245">
        <f t="shared" si="903"/>
        <v>0</v>
      </c>
      <c r="IW340" s="245">
        <f t="shared" si="904"/>
        <v>0</v>
      </c>
      <c r="IX340" s="245">
        <f t="shared" si="1007"/>
        <v>0</v>
      </c>
      <c r="IY340" s="245">
        <f t="shared" si="905"/>
        <v>0</v>
      </c>
      <c r="IZ340" s="245">
        <f t="shared" si="906"/>
        <v>0</v>
      </c>
      <c r="JA340">
        <f t="shared" si="907"/>
        <v>0</v>
      </c>
      <c r="JB340">
        <f t="shared" si="1008"/>
        <v>0</v>
      </c>
      <c r="JC340">
        <f t="shared" si="908"/>
        <v>0</v>
      </c>
      <c r="JD340">
        <f t="shared" si="909"/>
        <v>0</v>
      </c>
      <c r="JE340">
        <f t="shared" si="910"/>
        <v>0</v>
      </c>
      <c r="JF340">
        <f t="shared" si="911"/>
        <v>0</v>
      </c>
      <c r="JG340">
        <f t="shared" si="912"/>
        <v>0</v>
      </c>
      <c r="JH340">
        <f t="shared" si="913"/>
        <v>0</v>
      </c>
      <c r="JI340">
        <f t="shared" si="914"/>
        <v>0</v>
      </c>
      <c r="JJ340" s="447">
        <f t="shared" si="915"/>
        <v>0</v>
      </c>
      <c r="JK340" s="447">
        <f t="shared" si="916"/>
        <v>0</v>
      </c>
      <c r="JL340">
        <f t="shared" si="917"/>
        <v>0</v>
      </c>
      <c r="JM340" s="245" t="str">
        <f>IFERROR(VLOOKUP(MATCH(BN340,#REF!,0),#REF!,7),"")</f>
        <v/>
      </c>
      <c r="JN340" t="e">
        <f>HLOOKUP(LEFT(BO340,7),Discharge_Area,MATCH(JO340,LookUps!$B$130:$B$149,1)+2)</f>
        <v>#N/A</v>
      </c>
      <c r="JO340" t="str">
        <f t="shared" si="918"/>
        <v>- S</v>
      </c>
      <c r="JP340" t="e">
        <f>HLOOKUP(LEFT(BO340,7),Discharge_Area,MATCH(JO340,LookUps!$B$130:$B$149,1)+2)</f>
        <v>#N/A</v>
      </c>
      <c r="JQ340" t="e">
        <f t="shared" si="919"/>
        <v>#N/A</v>
      </c>
      <c r="JR340" t="e">
        <f t="shared" si="920"/>
        <v>#N/A</v>
      </c>
      <c r="JS340" t="e">
        <f t="shared" si="921"/>
        <v>#N/A</v>
      </c>
      <c r="JT340" s="532" t="str">
        <f t="shared" si="922"/>
        <v xml:space="preserve"> </v>
      </c>
      <c r="JU340" s="532" t="str">
        <f t="shared" si="923"/>
        <v xml:space="preserve"> </v>
      </c>
      <c r="JV340" s="533" t="str">
        <f t="shared" si="924"/>
        <v xml:space="preserve"> </v>
      </c>
      <c r="JW340" s="534">
        <f t="shared" si="925"/>
        <v>0</v>
      </c>
      <c r="JX340" s="535" t="str">
        <f t="shared" si="1009"/>
        <v xml:space="preserve"> </v>
      </c>
      <c r="JY340" s="535" t="str">
        <f t="shared" si="1010"/>
        <v xml:space="preserve"> </v>
      </c>
      <c r="JZ340" s="535" t="str">
        <f t="shared" si="1011"/>
        <v xml:space="preserve"> </v>
      </c>
      <c r="KA340" s="536" t="str">
        <f t="shared" si="926"/>
        <v xml:space="preserve"> </v>
      </c>
      <c r="KB340" s="535" t="e">
        <f t="shared" si="1012"/>
        <v>#VALUE!</v>
      </c>
      <c r="KC340" s="535" t="str">
        <f t="shared" si="927"/>
        <v/>
      </c>
      <c r="KD340" s="537" t="str">
        <f t="shared" si="1013"/>
        <v xml:space="preserve"> </v>
      </c>
      <c r="KE340" s="537" t="str">
        <f t="shared" si="1014"/>
        <v xml:space="preserve"> </v>
      </c>
      <c r="KF340" s="534">
        <f t="shared" si="928"/>
        <v>0</v>
      </c>
      <c r="KG340" s="535" t="str">
        <f t="shared" si="929"/>
        <v xml:space="preserve"> </v>
      </c>
      <c r="KH340" s="535" t="str">
        <f t="shared" si="930"/>
        <v xml:space="preserve"> </v>
      </c>
      <c r="KI340" s="535" t="str">
        <f t="shared" si="931"/>
        <v xml:space="preserve"> </v>
      </c>
      <c r="KJ340" s="536" t="str">
        <f t="shared" si="932"/>
        <v xml:space="preserve"> </v>
      </c>
      <c r="KK340" s="535" t="str">
        <f t="shared" si="1015"/>
        <v xml:space="preserve"> </v>
      </c>
      <c r="KL340" s="535" t="str">
        <f t="shared" si="1016"/>
        <v xml:space="preserve"> </v>
      </c>
      <c r="KM340" s="537" t="str">
        <f t="shared" si="933"/>
        <v xml:space="preserve"> </v>
      </c>
      <c r="KN340" s="537" t="str">
        <f t="shared" si="1017"/>
        <v xml:space="preserve"> </v>
      </c>
      <c r="KP340">
        <f t="shared" si="934"/>
        <v>0</v>
      </c>
      <c r="LA340" t="e">
        <f t="shared" si="935"/>
        <v>#VALUE!</v>
      </c>
      <c r="LB340" t="e">
        <f t="shared" si="936"/>
        <v>#VALUE!</v>
      </c>
      <c r="LC340" t="e">
        <f t="shared" si="937"/>
        <v>#VALUE!</v>
      </c>
      <c r="LD340" t="e">
        <f t="shared" si="938"/>
        <v>#VALUE!</v>
      </c>
      <c r="LE340" t="e">
        <f t="shared" si="1018"/>
        <v>#VALUE!</v>
      </c>
      <c r="LF340">
        <f t="shared" si="939"/>
        <v>0</v>
      </c>
      <c r="LG340" t="e">
        <f t="shared" si="1019"/>
        <v>#VALUE!</v>
      </c>
      <c r="LH340" t="str">
        <f t="shared" si="940"/>
        <v xml:space="preserve"> </v>
      </c>
      <c r="LI340">
        <f t="shared" si="1020"/>
        <v>1</v>
      </c>
    </row>
    <row r="341" spans="2:321" ht="15" customHeight="1">
      <c r="B341" s="311"/>
      <c r="C341" s="311"/>
      <c r="D341" s="312"/>
      <c r="E341" s="311"/>
      <c r="F341" s="312"/>
      <c r="G341" s="311"/>
      <c r="H341" s="311"/>
      <c r="I341" s="232"/>
      <c r="J341" s="311"/>
      <c r="K341" s="305" t="str">
        <f t="shared" si="941"/>
        <v/>
      </c>
      <c r="L341" s="313"/>
      <c r="M341" s="312"/>
      <c r="N341" s="311"/>
      <c r="O341" s="312"/>
      <c r="P341" s="311"/>
      <c r="Q341" s="305" t="str">
        <f t="shared" si="942"/>
        <v/>
      </c>
      <c r="R341" s="314"/>
      <c r="S341" s="450" t="str">
        <f t="shared" si="825"/>
        <v/>
      </c>
      <c r="T341" s="315"/>
      <c r="U341" s="315"/>
      <c r="W341" s="149" t="str">
        <f t="shared" si="826"/>
        <v xml:space="preserve"> </v>
      </c>
      <c r="X341" s="243" t="str">
        <f t="shared" si="827"/>
        <v xml:space="preserve"> </v>
      </c>
      <c r="Y341" s="150" t="str">
        <f t="shared" si="828"/>
        <v/>
      </c>
      <c r="Z341" s="149" t="str">
        <f t="shared" si="829"/>
        <v xml:space="preserve"> </v>
      </c>
      <c r="AA341" s="98" t="str">
        <f t="shared" si="830"/>
        <v xml:space="preserve"> </v>
      </c>
      <c r="AB341" s="153" t="str">
        <f t="shared" si="831"/>
        <v xml:space="preserve"> </v>
      </c>
      <c r="AC341" s="153" t="str">
        <f t="shared" si="832"/>
        <v xml:space="preserve"> </v>
      </c>
      <c r="AD341" s="148" t="str">
        <f t="shared" si="833"/>
        <v/>
      </c>
      <c r="AE341" s="149" t="str">
        <f t="shared" si="834"/>
        <v/>
      </c>
      <c r="AF341" s="151" t="str">
        <f t="shared" si="835"/>
        <v xml:space="preserve"> </v>
      </c>
      <c r="AG341" s="153" t="str">
        <f t="shared" si="836"/>
        <v xml:space="preserve"> </v>
      </c>
      <c r="AH341" s="98" t="str">
        <f t="shared" si="837"/>
        <v xml:space="preserve"> </v>
      </c>
      <c r="AI341" s="149" t="str">
        <f t="shared" si="838"/>
        <v xml:space="preserve"> </v>
      </c>
      <c r="AK341" s="144" t="str">
        <f t="shared" si="839"/>
        <v xml:space="preserve"> </v>
      </c>
      <c r="AL341" s="144"/>
      <c r="AM341" s="243" t="str">
        <f t="shared" si="840"/>
        <v xml:space="preserve"> </v>
      </c>
      <c r="AN341" s="149" t="str">
        <f t="shared" si="943"/>
        <v xml:space="preserve"> </v>
      </c>
      <c r="AO341" s="144" t="str">
        <f>IF(JB341&gt;0,IF(GI341=10,-R341*1.085*(Calculation!$F$6-Calculation!$F$13)*$S$14," "),"")</f>
        <v/>
      </c>
      <c r="AP341" s="144" t="str">
        <f t="shared" si="841"/>
        <v/>
      </c>
      <c r="AQ341" s="56" t="str">
        <f t="shared" si="842"/>
        <v/>
      </c>
      <c r="AR341" s="144" t="str">
        <f t="shared" si="843"/>
        <v/>
      </c>
      <c r="AS341" s="176" t="str">
        <f t="shared" si="844"/>
        <v/>
      </c>
      <c r="AT341" s="176" t="str">
        <f t="shared" si="944"/>
        <v xml:space="preserve"> </v>
      </c>
      <c r="AU341" s="176" t="str">
        <f t="shared" si="845"/>
        <v/>
      </c>
      <c r="AV341" s="177" t="str">
        <f t="shared" si="846"/>
        <v xml:space="preserve"> </v>
      </c>
      <c r="AW341" s="144" t="str">
        <f t="shared" si="847"/>
        <v xml:space="preserve"> </v>
      </c>
      <c r="AX341" s="144" t="str">
        <f t="shared" si="848"/>
        <v xml:space="preserve"> </v>
      </c>
      <c r="AY341" s="152" t="str">
        <f t="shared" si="849"/>
        <v xml:space="preserve"> </v>
      </c>
      <c r="AZ341" s="246" t="str">
        <f t="shared" si="850"/>
        <v/>
      </c>
      <c r="BA341" s="176" t="str">
        <f t="shared" si="851"/>
        <v xml:space="preserve"> </v>
      </c>
      <c r="BB341" s="176" t="str">
        <f t="shared" si="852"/>
        <v xml:space="preserve"> </v>
      </c>
      <c r="BC341" s="195"/>
      <c r="BD341" s="316"/>
      <c r="BE341" s="317"/>
      <c r="BF341" s="318"/>
      <c r="BG341" s="318"/>
      <c r="BH341" s="144" t="str">
        <f t="shared" si="1021"/>
        <v xml:space="preserve"> </v>
      </c>
      <c r="BI341" s="176" t="str">
        <f t="shared" si="853"/>
        <v/>
      </c>
      <c r="BJ341" s="144" t="str">
        <f t="shared" si="1022"/>
        <v/>
      </c>
      <c r="BK341" s="246" t="str">
        <f t="shared" si="854"/>
        <v/>
      </c>
      <c r="BL341" s="144" t="str">
        <f t="shared" si="1023"/>
        <v/>
      </c>
      <c r="BM341" s="246" t="str">
        <f t="shared" si="855"/>
        <v/>
      </c>
      <c r="BN341" s="337" t="str">
        <f t="shared" si="945"/>
        <v/>
      </c>
      <c r="BO341" s="371" t="str">
        <f t="shared" si="946"/>
        <v/>
      </c>
      <c r="BP341" s="328" t="str">
        <f t="shared" si="1024"/>
        <v xml:space="preserve"> </v>
      </c>
      <c r="BQ341" s="347" t="str">
        <f t="shared" si="947"/>
        <v xml:space="preserve"> </v>
      </c>
      <c r="BR341" s="353" t="str">
        <f t="shared" si="948"/>
        <v xml:space="preserve"> </v>
      </c>
      <c r="BS341" s="626" t="str">
        <f>IF(L341&gt;0,IF(Calculation!P341="M13",BR341*3.1416*(0.134^2)/(4*144),IF(Calculation!P341="M17",BR341*3.1416*(0.165^2)/(4*144),IF(Calculation!P341="M20",BR341*3.1416*(0.198^2)/(4*144),IF(Calculation!P341="M23",BR341*3.1416*(0.228^2)/(4*144),IF(Calculation!P341="M27",BR341*3.1416*(0.269^2)/(4*144),BR341*3.1416*(0.307^2)/(4*144))))))," ")</f>
        <v xml:space="preserve"> </v>
      </c>
      <c r="BT341" s="353" t="str">
        <f>IF(L341&gt;0,IF(BS341&gt;0,R341/Calculation!BS341,0)," ")</f>
        <v xml:space="preserve"> </v>
      </c>
      <c r="BU341" s="438" t="e">
        <f t="shared" ca="1" si="856"/>
        <v>#VALUE!</v>
      </c>
      <c r="BV341" s="449" t="e">
        <f ca="1">INDEX(INDIRECT(VLOOKUP(LEFT(BO341,7),CLU!$Z$3:$AH$18,2)),GN341,GR341)</f>
        <v>#N/A</v>
      </c>
      <c r="BW341" s="433" t="e">
        <f ca="1">INDEX(INDIRECT(VLOOKUP(LEFT(BO341,7),CLU!$Z$3:$AH$18,3)),GN341,GR341)</f>
        <v>#N/A</v>
      </c>
      <c r="BX341" s="433" t="e">
        <f ca="1">INDEX(INDIRECT(VLOOKUP(LEFT(BO341,7),CLU!$Z$3:$AH$18,4)),GN341,GR341)</f>
        <v>#N/A</v>
      </c>
      <c r="BY341" s="433" t="e">
        <f ca="1">INDEX(INDIRECT(VLOOKUP(LEFT(BO341,7),CLU!$Z$3:$AH$18,9)),((M341-2)*(6-COUNTBLANK(GT341:GY341)))+GJ341)</f>
        <v>#N/A</v>
      </c>
      <c r="BZ341" s="426" t="e">
        <f t="shared" ca="1" si="949"/>
        <v>#N/A</v>
      </c>
      <c r="CA341" s="424" t="e">
        <f t="shared" ca="1" si="950"/>
        <v>#N/A</v>
      </c>
      <c r="CB341" s="429" t="e">
        <f ca="1">INDEX(INDIRECT(VLOOKUP(LEFT(BO341,7),CLU!$Z$3:$AH$18,2)),GN341,GS341)</f>
        <v>#N/A</v>
      </c>
      <c r="CC341" s="342" t="e">
        <f ca="1">INDEX(INDIRECT(VLOOKUP(LEFT(BO341,7),CLU!$Z$3:$AH$18,3)),GN341,GS341)</f>
        <v>#N/A</v>
      </c>
      <c r="CD341" s="342" t="e">
        <f ca="1">INDEX(INDIRECT(VLOOKUP(LEFT(BO341,7),CLU!$Z$3:$AH$18,4)),GN341,GS341)</f>
        <v>#N/A</v>
      </c>
      <c r="CE341" s="426" t="e">
        <f t="shared" ca="1" si="951"/>
        <v>#N/A</v>
      </c>
      <c r="CF341" s="440">
        <f t="shared" si="952"/>
        <v>0</v>
      </c>
      <c r="CG341" s="431" t="e">
        <f ca="1">INDEX(INDIRECT(VLOOKUP(LEFT(BO341,7),CLU!$Z$3:$AH$18,2)),GQ341,GR341)</f>
        <v>#N/A</v>
      </c>
      <c r="CH341" s="431" t="e">
        <f ca="1">INDEX(INDIRECT(VLOOKUP(LEFT(BO341,7),CLU!$Z$3:$AH$18,3)),GQ341,GR341)</f>
        <v>#N/A</v>
      </c>
      <c r="CI341" s="431" t="e">
        <f ca="1">INDEX(INDIRECT(VLOOKUP(LEFT(BO341,7),CLU!$Z$3:$AH$18,4)),GQ341,GR341)</f>
        <v>#N/A</v>
      </c>
      <c r="CJ341" s="448" t="e">
        <f t="shared" ca="1" si="953"/>
        <v>#N/A</v>
      </c>
      <c r="CK341" s="431" t="e">
        <f t="shared" ca="1" si="954"/>
        <v>#N/A</v>
      </c>
      <c r="CL341" s="440" t="e">
        <f t="shared" ca="1" si="955"/>
        <v>#N/A</v>
      </c>
      <c r="CM341" s="431" t="e">
        <f ca="1">INDEX(INDIRECT(VLOOKUP(LEFT(BO341,7),CLU!$Z$3:$AH$18,2)),GQ341,GS341)</f>
        <v>#N/A</v>
      </c>
      <c r="CN341" s="431" t="e">
        <f ca="1">INDEX(INDIRECT(VLOOKUP(LEFT(BO341,7),CLU!$Z$3:$AH$18,3)),GQ341,GS341)</f>
        <v>#N/A</v>
      </c>
      <c r="CO341" s="431" t="e">
        <f ca="1">INDEX(INDIRECT(VLOOKUP(LEFT(BO341,7),CLU!$Z$3:$AH$18,4)),GQ341,GS341)</f>
        <v>#N/A</v>
      </c>
      <c r="CP341" s="431" t="e">
        <f t="shared" ca="1" si="956"/>
        <v>#N/A</v>
      </c>
      <c r="CQ341" s="440">
        <f t="shared" si="957"/>
        <v>0</v>
      </c>
      <c r="CR341" s="51" t="e">
        <f t="shared" ca="1" si="958"/>
        <v>#N/A</v>
      </c>
      <c r="CS341" s="439" t="e">
        <f t="shared" ca="1" si="959"/>
        <v>#VALUE!</v>
      </c>
      <c r="CT341" s="51" t="e">
        <f t="shared" ca="1" si="960"/>
        <v>#VALUE!</v>
      </c>
      <c r="CU341" s="10"/>
      <c r="CV341" s="51" t="e">
        <f t="shared" ca="1" si="857"/>
        <v>#VALUE!</v>
      </c>
      <c r="CW341" s="51">
        <f t="shared" si="961"/>
        <v>0</v>
      </c>
      <c r="CX341" s="439" t="e">
        <f t="shared" ca="1" si="962"/>
        <v>#VALUE!</v>
      </c>
      <c r="CY341" s="51" t="e">
        <f t="shared" ca="1" si="963"/>
        <v>#VALUE!</v>
      </c>
      <c r="CZ341" s="10"/>
      <c r="DA341" s="51" t="e">
        <f t="shared" ca="1" si="964"/>
        <v>#VALUE!</v>
      </c>
      <c r="DB341" s="347" t="e">
        <f ca="1">INDEX(INDIRECT(VLOOKUP(LEFT(BO341,7),CLU!$Z$3:$AI$18,10)),((M341-2)*(6-COUNTBLANK(GT341:GY341)))+GJ341)*LI341</f>
        <v>#N/A</v>
      </c>
      <c r="DC341" s="347" t="str">
        <f>IF(L341&gt;0,((R341/Worksheet!$I$15)/DB341)^2," ")</f>
        <v xml:space="preserve"> </v>
      </c>
      <c r="DD341" s="602" t="str">
        <f t="shared" si="965"/>
        <v xml:space="preserve"> </v>
      </c>
      <c r="DE341" s="347" t="str">
        <f t="shared" si="858"/>
        <v xml:space="preserve"> </v>
      </c>
      <c r="DF341" s="356" t="e">
        <f ca="1">INDEX(INDIRECT(VLOOKUP(LEFT(BO341,7),CLU!$Z$3:$AH$18,8)),((M341-2)*(6-COUNTBLANK(GT341:GY341)))+GJ341)</f>
        <v>#N/A</v>
      </c>
      <c r="DG341" s="347" t="str">
        <f t="shared" si="859"/>
        <v xml:space="preserve"> </v>
      </c>
      <c r="DH341" s="357" t="str">
        <f t="shared" si="860"/>
        <v xml:space="preserve"> </v>
      </c>
      <c r="DI341" s="355" t="str">
        <f t="shared" si="861"/>
        <v xml:space="preserve"> </v>
      </c>
      <c r="DJ341" s="245" t="e">
        <f ca="1">INDEX(INDIRECT(VLOOKUP(LEFT(BO341,7),CLU!$Z$3:$AH$18,5)),GL341,GK341)</f>
        <v>#N/A</v>
      </c>
      <c r="DK341" s="245" t="e">
        <f ca="1">INDEX(INDIRECT(VLOOKUP(LEFT(BO341,7),CLU!$Z$3:$AH$18,6)),GL341,GK341)</f>
        <v>#N/A</v>
      </c>
      <c r="DL341" s="355">
        <f>(Calculation!R341*0.69143*(Calculation!$BQ$8-Calculation!$F$8))*$S$14</f>
        <v>0</v>
      </c>
      <c r="DM341" s="359" t="e">
        <f t="shared" si="966"/>
        <v>#VALUE!</v>
      </c>
      <c r="DN341" s="611">
        <f t="shared" si="967"/>
        <v>0</v>
      </c>
      <c r="DO341" s="359">
        <f t="shared" si="968"/>
        <v>100</v>
      </c>
      <c r="DP341" s="359">
        <f t="shared" si="969"/>
        <v>0</v>
      </c>
      <c r="DQ341" s="360"/>
      <c r="DR341" s="245" t="e">
        <f ca="1">INDEX(INDIRECT(VLOOKUP(LEFT(BO341,7),CLU!$Z$3:$AH$18,7)),M341-1,1)</f>
        <v>#N/A</v>
      </c>
      <c r="DS341" s="245" t="e">
        <f ca="1">INDEX(INDIRECT(VLOOKUP(LEFT(BO341,7),CLU!$Z$3:$AH$18,7)),M341-1,2)</f>
        <v>#N/A</v>
      </c>
      <c r="DT341" s="245" t="e">
        <f ca="1">INDEX(INDIRECT(VLOOKUP(LEFT(BO341,7),CLU!$Z$3:$AH$18,7)),M341-1,3)</f>
        <v>#N/A</v>
      </c>
      <c r="DU341" s="245" t="e">
        <f ca="1">INDEX(INDIRECT(VLOOKUP(LEFT(BO341,7),CLU!$Z$3:$AH$18,7)),M341-1,4)</f>
        <v>#N/A</v>
      </c>
      <c r="DV341" s="361" t="e">
        <f ca="1">INDEX(INDIRECT(VLOOKUP(LEFT(BO341,7),CLU!$Z$3:$AH$18,7)),M341-1,4+LEFT(DZ341,1)*0.5)</f>
        <v>#N/A</v>
      </c>
      <c r="DW341" s="245" t="e">
        <f ca="1">INDEX(INDIRECT(VLOOKUP(LEFT(BO341,7),CLU!$Z$3:$AH$18,7)),M341-1,8)</f>
        <v>#N/A</v>
      </c>
      <c r="DX341" s="361" t="str">
        <f t="shared" si="862"/>
        <v xml:space="preserve"> </v>
      </c>
      <c r="DY341" s="361" t="str">
        <f t="shared" si="863"/>
        <v xml:space="preserve"> </v>
      </c>
      <c r="DZ341" s="361" t="str">
        <f t="shared" si="864"/>
        <v xml:space="preserve"> </v>
      </c>
      <c r="EA341" s="362" t="str">
        <f t="shared" si="865"/>
        <v xml:space="preserve"> </v>
      </c>
      <c r="EB341" s="624" t="str">
        <f t="shared" si="970"/>
        <v xml:space="preserve"> </v>
      </c>
      <c r="EC341" s="361" t="e">
        <f ca="1">INDEX(INDIRECT(VLOOKUP(LEFT(BO341,7),CLU!$Z$3:$AH$18,7)),M341-1,4+LEFT(DZ341,1)*0.5)</f>
        <v>#N/A</v>
      </c>
      <c r="ED341" s="362" t="str">
        <f t="shared" si="866"/>
        <v xml:space="preserve"> </v>
      </c>
      <c r="EE341" s="361" t="str">
        <f t="shared" si="867"/>
        <v xml:space="preserve"> </v>
      </c>
      <c r="EF341" s="362" t="str">
        <f>IF(L341&gt;0,IF(BR341&gt;0,IF(EE341="2P",IF(Calculation!DZ341="2P",IF(Calculation!DS341=13.75,IF(Calculation!DR341=13,Worksheet!$BD$43,IF(Calculation!DR341=37,Worksheet!$BD$44,Worksheet!$BD$45)),IF(Calculation!DS341=10,IF(Calculation!DR341=18,Worksheet!$BD$29,IF(Calculation!DR341=30,Worksheet!$BD$30,IF(Calculation!DR341=42,Worksheet!$BD$31,IF(Calculation!DR341=54,Worksheet!$BD$32,IF(Calculation!DR341=66,Worksheet!$BD$33,IF(Calculation!DR341=78,Worksheet!$BD$34,IF(Calculation!DR341=90,Worksheet!$BD$35,IF(Calculation!DR341=102,Worksheet!$BD$36,Worksheet!$BD$37)))))))),IF(Calculation!DS341=12.5,IF(Calculation!DR341=18,Worksheet!$BD$38,IF(Calculation!DR341=Worksheet!$BD$39,IF(Calculation!DR341=42,Worksheet!$BD$40,IF(Calculation!DR341=54,Worksheet!$BD$41,Worksheet!$BD$42)))),IF(Calculation!DR341=18,Worksheet!$BD$11,IF(Calculation!DR341=30,Worksheet!$BD$12,IF(Calculation!DR341=42,Worksheet!$BD$13,IF(Calculation!DR341=54,Worksheet!$BD$14,IF(Calculation!DR341=66,Worksheet!$BD$15,IF(Calculation!DR341=78,Worksheet!$BD$16,IF(Calculation!DR341=90,Worksheet!$BD$17,IF(Calculation!DR341=102,Worksheet!$BD$18,Worksheet!$BD$19))))))))))),IF(Calculation!DS341=13.75,IF(Calculation!DR341=13,Worksheet!$BD$78,IF(Calculation!DR341=37,Worksheet!$BD$79,Worksheet!$BD$80)),IF(Calculation!DS341=10,IF(Calculation!DR341=18,Worksheet!$BD$64,IF(Calculation!DR341=30,Worksheet!$BD$65,IF(Calculation!DR341=42,Worksheet!$BD$66,IF(Calculation!DR341=54,Worksheet!$BD$68,IF(Calculation!DR341=66,Worksheet!$BD$68,IF(Calculation!DR341=78,Worksheet!$BD$69,IF(Calculation!DR341=90,Worksheet!$BD$70,IF(Calculation!DR341=102,Worksheet!$BD$71,Worksheet!$BD$72)))))))),IF(Calculation!DS341=12.5,IF(Calculation!DR341=18,Worksheet!$BD$73,IF(Calculation!DR341=Worksheet!$BD$74,IF(Calculation!DR341=42,Worksheet!$BD$75,IF(Calculation!DR341=54,Worksheet!$BD$76,Worksheet!$BD$77)))),IF(Calculation!DR341=18,Worksheet!$BD$55,IF(Calculation!DR341=30,Worksheet!$BD$56,IF(Calculation!DR341=42,Worksheet!$BD$57,IF(Calculation!DR341=54,Worksheet!$BD$58,IF(Calculation!DR341=66,Worksheet!$BD$59,IF(Calculation!DR341=78,Worksheet!$BD$60,IF(Calculation!DR341=90,Worksheet!$BD$61,IF(Calculation!DR341=102,Worksheet!$BD$62,Worksheet!$BD$63)))))))))))),5),0)," ")</f>
        <v xml:space="preserve"> </v>
      </c>
      <c r="EG341" s="361" t="str">
        <f t="shared" si="868"/>
        <v xml:space="preserve"> </v>
      </c>
      <c r="EH341" s="361" t="e">
        <f ca="1">INDEX(INDIRECT(VLOOKUP(LEFT(BO341,7),CLU!$Z$3:$AH$18,7)),M341-1,3+LEFT(DZ341,1))</f>
        <v>#N/A</v>
      </c>
      <c r="EI341" s="362" t="str">
        <f t="shared" si="869"/>
        <v xml:space="preserve"> </v>
      </c>
      <c r="EJ341" s="363" t="str">
        <f t="shared" si="870"/>
        <v xml:space="preserve"> </v>
      </c>
      <c r="EK341" s="363" t="str">
        <f t="shared" si="871"/>
        <v xml:space="preserve"> </v>
      </c>
      <c r="EL341" s="363" t="str">
        <f t="shared" si="872"/>
        <v xml:space="preserve"> </v>
      </c>
      <c r="EM341" s="362" t="str">
        <f>IF(L341&gt;0,IF(BR341&gt;0,(Calculation!T341/ED341)^2,0)," ")</f>
        <v xml:space="preserve"> </v>
      </c>
      <c r="EN341" s="362" t="str">
        <f>IF(L341&gt;0,IF(O341="2 Pipe (Cooling)","N/A",IF(BR341&gt;0,(Calculation!U341/EI341)^2,0))," ")</f>
        <v xml:space="preserve"> </v>
      </c>
      <c r="EO341" s="361" t="str">
        <f t="shared" si="873"/>
        <v/>
      </c>
      <c r="EP341" s="361" t="str">
        <f t="shared" si="874"/>
        <v/>
      </c>
      <c r="EQ341" s="361" t="str">
        <f t="shared" si="875"/>
        <v/>
      </c>
      <c r="ER341" s="361" t="str">
        <f t="shared" si="876"/>
        <v/>
      </c>
      <c r="ES341" s="361" t="str">
        <f t="shared" si="877"/>
        <v/>
      </c>
      <c r="ET341" s="361" t="str">
        <f t="shared" si="878"/>
        <v/>
      </c>
      <c r="EU341" s="361" t="str">
        <f t="shared" si="879"/>
        <v/>
      </c>
      <c r="EV341" s="361" t="str">
        <f t="shared" si="880"/>
        <v/>
      </c>
      <c r="EW341" s="361" t="str">
        <f t="shared" si="881"/>
        <v/>
      </c>
      <c r="EX341" s="361" t="str">
        <f t="shared" si="971"/>
        <v>1 slot, 1 way</v>
      </c>
      <c r="EY341" s="361" t="str">
        <f t="shared" si="972"/>
        <v xml:space="preserve"> </v>
      </c>
      <c r="EZ341" s="361" t="str">
        <f t="shared" si="973"/>
        <v xml:space="preserve"> </v>
      </c>
      <c r="FA341" s="361" t="str">
        <f t="shared" si="974"/>
        <v xml:space="preserve"> </v>
      </c>
      <c r="FB341" s="361" t="str">
        <f t="shared" si="975"/>
        <v xml:space="preserve"> </v>
      </c>
      <c r="FC341" s="361"/>
      <c r="FD341" s="361" t="str">
        <f>IF(J341&gt;0,IF(Calculation!R341&lt;=70,4,IF(Calculation!R341&lt;=110,5,IF(Calculation!R341&lt;=160,6,IF(Calculation!R341&lt;=300,8,"10 EO")))),"")</f>
        <v/>
      </c>
      <c r="FE341" s="361" t="str">
        <f t="shared" si="976"/>
        <v/>
      </c>
      <c r="FF341" s="361" t="str">
        <f t="shared" si="977"/>
        <v/>
      </c>
      <c r="FG341" s="361" t="e">
        <f t="shared" si="882"/>
        <v>#N/A</v>
      </c>
      <c r="FH341" s="361">
        <f t="shared" si="883"/>
        <v>0</v>
      </c>
      <c r="FI341" s="361" t="e">
        <f t="shared" si="884"/>
        <v>#DIV/0!</v>
      </c>
      <c r="FJ341" s="361"/>
      <c r="FK341" s="356" t="e">
        <f t="shared" si="885"/>
        <v>#VALUE!</v>
      </c>
      <c r="FL341" s="361"/>
      <c r="FM341" s="361"/>
      <c r="FN341" s="362" t="str">
        <f t="shared" si="978"/>
        <v xml:space="preserve"> </v>
      </c>
      <c r="FO341" s="362" t="str">
        <f t="shared" si="979"/>
        <v xml:space="preserve"> </v>
      </c>
      <c r="FP341" s="362">
        <f t="shared" si="980"/>
        <v>0</v>
      </c>
      <c r="FQ341" s="361">
        <f t="shared" si="886"/>
        <v>0</v>
      </c>
      <c r="FR341" s="362" t="str">
        <f>IF(L341&gt;0,IF(J341="CBAL2",Worksheet!$P$67,IF(J341="CBE2-24",Worksheet!$Q$67,IF(J341="CBAM",Worksheet!$R$67,IF(J341="CBLV",Worksheet!$S$67,IF(J341="CBAB",Worksheet!$U$67,IF(J341="CBAW",Worksheet!$X$67,IF(J341="CBE2-12",Worksheet!$Y$67,IF(J341="CBAL2",Worksheet!$Z$67,"N/A"))))))))," ")</f>
        <v xml:space="preserve"> </v>
      </c>
      <c r="FS341" s="362" t="str">
        <f>IF(L341&gt;0,IF(J341="CBAL2",Worksheet!$P$68,IF(J341="CBE2-24",Worksheet!$Q$68,IF(J341="CBAM",Worksheet!$R$68,IF(J341="CBLV",Worksheet!$S$68,IF(J341="CBAB",Worksheet!$U$68,IF(J341="CBAW",Worksheet!$X$68,IF(J341="CBE2-12",Worksheet!$Y$68,IF(J341="CBAL2",Worksheet!$Z$68,"N/A"))))))))," ")</f>
        <v xml:space="preserve"> </v>
      </c>
      <c r="FT341" s="362" t="str">
        <f>IF(L341&gt;0,IF(J341="CBAL2",Worksheet!$P$69,IF(J341="CBE2-24",Worksheet!$Q$69,IF(J341="CBAM",Worksheet!$R$69,IF(J341="CBLV",Worksheet!$S$69,IF(J341="CBAB",Worksheet!$U$69,IF(J341="CBAW",Worksheet!$X$69,IF(J341="CBE2-12",Worksheet!$Y$69,IF(J341="CBAL2",Worksheet!$Z$69,"N/A"))))))))," ")</f>
        <v xml:space="preserve"> </v>
      </c>
      <c r="FU341" s="361" t="str">
        <f t="shared" si="981"/>
        <v xml:space="preserve"> </v>
      </c>
      <c r="FV341" s="362" t="str">
        <f t="shared" si="982"/>
        <v xml:space="preserve"> </v>
      </c>
      <c r="FW341" s="362" t="str">
        <f t="shared" si="983"/>
        <v xml:space="preserve"> </v>
      </c>
      <c r="FX341" s="362" t="str">
        <f t="shared" si="984"/>
        <v xml:space="preserve"> </v>
      </c>
      <c r="FY341" s="355" t="str">
        <f t="shared" si="985"/>
        <v xml:space="preserve"> </v>
      </c>
      <c r="FZ341" s="361" t="str">
        <f t="shared" si="986"/>
        <v xml:space="preserve"> </v>
      </c>
      <c r="GA341" s="347" t="str">
        <f t="shared" si="987"/>
        <v xml:space="preserve"> </v>
      </c>
      <c r="GB341" s="355" t="str">
        <f t="shared" si="988"/>
        <v xml:space="preserve"> </v>
      </c>
      <c r="GC341" s="328" t="str">
        <f t="shared" si="989"/>
        <v xml:space="preserve"> </v>
      </c>
      <c r="GD341" s="361" t="str">
        <f t="shared" si="990"/>
        <v xml:space="preserve"> </v>
      </c>
      <c r="GE341" s="347" t="str">
        <f t="shared" si="991"/>
        <v xml:space="preserve"> </v>
      </c>
      <c r="GF341" s="361" t="str">
        <f t="shared" si="992"/>
        <v xml:space="preserve"> </v>
      </c>
      <c r="GG341" s="347" t="str">
        <f t="shared" si="993"/>
        <v xml:space="preserve"> </v>
      </c>
      <c r="GH341" s="364">
        <f t="shared" si="887"/>
        <v>0</v>
      </c>
      <c r="GI341" s="362">
        <f t="shared" si="994"/>
        <v>2</v>
      </c>
      <c r="GJ341" s="433" t="e">
        <f>IF(6-COUNTBLANK(GT341:GY341)=4,MATCH(MID(BO341,9,3),CLU!$H$16:$K$16),MATCH(MID(BO341,9,3),CLU!$H$13:$M$13))</f>
        <v>#N/A</v>
      </c>
      <c r="GK341" s="433" t="e">
        <f>HLOOKUP(VALUE(BP341),CLU!$H$9:$M$10,2)</f>
        <v>#VALUE!</v>
      </c>
      <c r="GL341" s="433" t="e">
        <f ca="1">MATCH(BU341,CLU!$H$2:$V$2,1)</f>
        <v>#VALUE!</v>
      </c>
      <c r="GM341" s="433" t="e">
        <f t="shared" ca="1" si="995"/>
        <v>#VALUE!</v>
      </c>
      <c r="GN341" s="433" t="e">
        <f t="shared" ca="1" si="996"/>
        <v>#VALUE!</v>
      </c>
      <c r="GO341" s="433" t="e">
        <f t="shared" ca="1" si="997"/>
        <v>#VALUE!</v>
      </c>
      <c r="GP341" s="433" t="e">
        <f t="shared" ca="1" si="998"/>
        <v>#VALUE!</v>
      </c>
      <c r="GQ341" s="433" t="e">
        <f t="shared" ca="1" si="999"/>
        <v>#VALUE!</v>
      </c>
      <c r="GR341" s="433" t="e">
        <f ca="1">MATCH(T341,INDIRECT(VLOOKUP(CONCATENATE(LEFT(BO341,7),"-",MID(BO341,13,1)),CLU!$P$3:$Q$16,2)),1)</f>
        <v>#N/A</v>
      </c>
      <c r="GS341" s="433" t="e">
        <f ca="1">MATCH(U341,INDIRECT(VLOOKUP(CONCATENATE(LEFT(BO341,7),"-",MID(BO341,13,1)),CLU!$P$3:$Q$16,2)),1)</f>
        <v>#N/A</v>
      </c>
      <c r="GT341" s="347" t="s">
        <v>512</v>
      </c>
      <c r="GU341" s="97" t="s">
        <v>513</v>
      </c>
      <c r="GV341" s="97" t="str">
        <f t="shared" si="1000"/>
        <v>M23</v>
      </c>
      <c r="GW341" s="97" t="str">
        <f t="shared" si="1001"/>
        <v>M31</v>
      </c>
      <c r="GX341" s="97" t="str">
        <f t="shared" si="1002"/>
        <v/>
      </c>
      <c r="GY341" s="97" t="str">
        <f t="shared" si="1003"/>
        <v/>
      </c>
      <c r="GZ341" s="481"/>
      <c r="HA341" s="240"/>
      <c r="HB341" s="240"/>
      <c r="HC341" s="240"/>
      <c r="HD341" s="240"/>
      <c r="HE341" s="240"/>
      <c r="HF341" s="240"/>
      <c r="HG341" s="240"/>
      <c r="HH341" s="240"/>
      <c r="HI341" s="240"/>
      <c r="HJ341" s="240"/>
      <c r="HK341" s="240"/>
      <c r="HL341" s="240"/>
      <c r="HM341" s="240"/>
      <c r="HN341" s="240"/>
      <c r="HO341" s="240"/>
      <c r="HP341" s="240"/>
      <c r="HQ341" s="240"/>
      <c r="HR341" s="240"/>
      <c r="HS341" s="240"/>
      <c r="HT341" s="240"/>
      <c r="HU341" s="240"/>
      <c r="HV341" s="245"/>
      <c r="HW341" s="245" t="b">
        <v>1</v>
      </c>
      <c r="HX341" s="245" t="str">
        <f t="shared" si="888"/>
        <v/>
      </c>
      <c r="HY341" s="245" t="e">
        <f t="shared" si="889"/>
        <v>#DIV/0!</v>
      </c>
      <c r="HZ341" s="245" t="e">
        <f t="shared" si="890"/>
        <v>#DIV/0!</v>
      </c>
      <c r="IA341" s="245">
        <f t="shared" si="891"/>
        <v>0</v>
      </c>
      <c r="IB341" s="245"/>
      <c r="IC341" t="b">
        <f t="shared" si="892"/>
        <v>1</v>
      </c>
      <c r="ID341" s="245" t="b">
        <f t="shared" si="893"/>
        <v>1</v>
      </c>
      <c r="IE341" s="245" t="b">
        <f t="shared" si="894"/>
        <v>1</v>
      </c>
      <c r="IF341" s="245" t="b">
        <f t="shared" si="895"/>
        <v>0</v>
      </c>
      <c r="IG341" s="245" t="b">
        <f t="shared" si="896"/>
        <v>1</v>
      </c>
      <c r="IH341" s="245" t="b">
        <f t="shared" si="897"/>
        <v>1</v>
      </c>
      <c r="II341" s="245">
        <f t="shared" si="1004"/>
        <v>0</v>
      </c>
      <c r="IJ341" s="245" t="e">
        <f t="shared" si="898"/>
        <v>#VALUE!</v>
      </c>
      <c r="IK341" s="245" t="e">
        <f t="shared" si="899"/>
        <v>#VALUE!</v>
      </c>
      <c r="IL341" s="245"/>
      <c r="IM341" s="245" t="e">
        <f t="shared" si="1005"/>
        <v>#N/A</v>
      </c>
      <c r="IN341" s="245" t="e">
        <f t="shared" si="1006"/>
        <v>#N/A</v>
      </c>
      <c r="IO341" s="245"/>
      <c r="IP341" s="245"/>
      <c r="IQ341" s="245" t="str">
        <f t="shared" si="900"/>
        <v/>
      </c>
      <c r="IR341" s="245" t="str">
        <f>IF(J341="","",VLOOKUP(J341,Worksheet!$R$4:$T$14,2))</f>
        <v/>
      </c>
      <c r="IS341" s="245"/>
      <c r="IT341" s="245">
        <f t="shared" si="901"/>
        <v>0</v>
      </c>
      <c r="IU341" s="245">
        <f t="shared" si="902"/>
        <v>0</v>
      </c>
      <c r="IV341" s="245">
        <f t="shared" si="903"/>
        <v>0</v>
      </c>
      <c r="IW341" s="245">
        <f t="shared" si="904"/>
        <v>0</v>
      </c>
      <c r="IX341" s="245">
        <f t="shared" si="1007"/>
        <v>0</v>
      </c>
      <c r="IY341" s="245">
        <f t="shared" si="905"/>
        <v>0</v>
      </c>
      <c r="IZ341" s="245">
        <f t="shared" si="906"/>
        <v>0</v>
      </c>
      <c r="JA341">
        <f t="shared" si="907"/>
        <v>0</v>
      </c>
      <c r="JB341">
        <f t="shared" si="1008"/>
        <v>0</v>
      </c>
      <c r="JC341">
        <f t="shared" si="908"/>
        <v>0</v>
      </c>
      <c r="JD341">
        <f t="shared" si="909"/>
        <v>0</v>
      </c>
      <c r="JE341">
        <f t="shared" si="910"/>
        <v>0</v>
      </c>
      <c r="JF341">
        <f t="shared" si="911"/>
        <v>0</v>
      </c>
      <c r="JG341">
        <f t="shared" si="912"/>
        <v>0</v>
      </c>
      <c r="JH341">
        <f t="shared" si="913"/>
        <v>0</v>
      </c>
      <c r="JI341">
        <f t="shared" si="914"/>
        <v>0</v>
      </c>
      <c r="JJ341" s="447">
        <f t="shared" si="915"/>
        <v>0</v>
      </c>
      <c r="JK341" s="447">
        <f t="shared" si="916"/>
        <v>0</v>
      </c>
      <c r="JL341">
        <f t="shared" si="917"/>
        <v>0</v>
      </c>
      <c r="JM341" s="245" t="str">
        <f>IFERROR(VLOOKUP(MATCH(BN341,#REF!,0),#REF!,7),"")</f>
        <v/>
      </c>
      <c r="JN341" t="e">
        <f>HLOOKUP(LEFT(BO341,7),Discharge_Area,MATCH(JO341,LookUps!$B$130:$B$149,1)+2)</f>
        <v>#N/A</v>
      </c>
      <c r="JO341" t="str">
        <f t="shared" si="918"/>
        <v>- S</v>
      </c>
      <c r="JP341" t="e">
        <f>HLOOKUP(LEFT(BO341,7),Discharge_Area,MATCH(JO341,LookUps!$B$130:$B$149,1)+2)</f>
        <v>#N/A</v>
      </c>
      <c r="JQ341" t="e">
        <f t="shared" si="919"/>
        <v>#N/A</v>
      </c>
      <c r="JR341" t="e">
        <f t="shared" si="920"/>
        <v>#N/A</v>
      </c>
      <c r="JS341" t="e">
        <f t="shared" si="921"/>
        <v>#N/A</v>
      </c>
      <c r="JT341" s="532" t="str">
        <f t="shared" si="922"/>
        <v xml:space="preserve"> </v>
      </c>
      <c r="JU341" s="532" t="str">
        <f t="shared" si="923"/>
        <v xml:space="preserve"> </v>
      </c>
      <c r="JV341" s="533" t="str">
        <f t="shared" si="924"/>
        <v xml:space="preserve"> </v>
      </c>
      <c r="JW341" s="534">
        <f t="shared" si="925"/>
        <v>0</v>
      </c>
      <c r="JX341" s="535" t="str">
        <f t="shared" si="1009"/>
        <v xml:space="preserve"> </v>
      </c>
      <c r="JY341" s="535" t="str">
        <f t="shared" si="1010"/>
        <v xml:space="preserve"> </v>
      </c>
      <c r="JZ341" s="535" t="str">
        <f t="shared" si="1011"/>
        <v xml:space="preserve"> </v>
      </c>
      <c r="KA341" s="536" t="str">
        <f t="shared" si="926"/>
        <v xml:space="preserve"> </v>
      </c>
      <c r="KB341" s="535" t="e">
        <f t="shared" si="1012"/>
        <v>#VALUE!</v>
      </c>
      <c r="KC341" s="535" t="str">
        <f t="shared" si="927"/>
        <v/>
      </c>
      <c r="KD341" s="537" t="str">
        <f t="shared" si="1013"/>
        <v xml:space="preserve"> </v>
      </c>
      <c r="KE341" s="537" t="str">
        <f t="shared" si="1014"/>
        <v xml:space="preserve"> </v>
      </c>
      <c r="KF341" s="534">
        <f t="shared" si="928"/>
        <v>0</v>
      </c>
      <c r="KG341" s="535" t="str">
        <f t="shared" si="929"/>
        <v xml:space="preserve"> </v>
      </c>
      <c r="KH341" s="535" t="str">
        <f t="shared" si="930"/>
        <v xml:space="preserve"> </v>
      </c>
      <c r="KI341" s="535" t="str">
        <f t="shared" si="931"/>
        <v xml:space="preserve"> </v>
      </c>
      <c r="KJ341" s="536" t="str">
        <f t="shared" si="932"/>
        <v xml:space="preserve"> </v>
      </c>
      <c r="KK341" s="535" t="str">
        <f t="shared" si="1015"/>
        <v xml:space="preserve"> </v>
      </c>
      <c r="KL341" s="535" t="str">
        <f t="shared" si="1016"/>
        <v xml:space="preserve"> </v>
      </c>
      <c r="KM341" s="537" t="str">
        <f t="shared" si="933"/>
        <v xml:space="preserve"> </v>
      </c>
      <c r="KN341" s="537" t="str">
        <f t="shared" si="1017"/>
        <v xml:space="preserve"> </v>
      </c>
      <c r="KP341">
        <f t="shared" si="934"/>
        <v>0</v>
      </c>
      <c r="LA341" t="e">
        <f t="shared" si="935"/>
        <v>#VALUE!</v>
      </c>
      <c r="LB341" t="e">
        <f t="shared" si="936"/>
        <v>#VALUE!</v>
      </c>
      <c r="LC341" t="e">
        <f t="shared" si="937"/>
        <v>#VALUE!</v>
      </c>
      <c r="LD341" t="e">
        <f t="shared" si="938"/>
        <v>#VALUE!</v>
      </c>
      <c r="LE341" t="e">
        <f t="shared" si="1018"/>
        <v>#VALUE!</v>
      </c>
      <c r="LF341">
        <f t="shared" si="939"/>
        <v>0</v>
      </c>
      <c r="LG341" t="e">
        <f t="shared" si="1019"/>
        <v>#VALUE!</v>
      </c>
      <c r="LH341" t="str">
        <f t="shared" si="940"/>
        <v xml:space="preserve"> </v>
      </c>
      <c r="LI341">
        <f t="shared" si="1020"/>
        <v>1</v>
      </c>
    </row>
    <row r="342" spans="2:321" ht="15" customHeight="1">
      <c r="B342" s="311"/>
      <c r="C342" s="311"/>
      <c r="D342" s="312"/>
      <c r="E342" s="311"/>
      <c r="F342" s="312"/>
      <c r="G342" s="311"/>
      <c r="H342" s="311"/>
      <c r="I342" s="232"/>
      <c r="J342" s="311"/>
      <c r="K342" s="305" t="str">
        <f t="shared" si="941"/>
        <v/>
      </c>
      <c r="L342" s="313"/>
      <c r="M342" s="312"/>
      <c r="N342" s="311"/>
      <c r="O342" s="312"/>
      <c r="P342" s="311"/>
      <c r="Q342" s="305" t="str">
        <f t="shared" si="942"/>
        <v/>
      </c>
      <c r="R342" s="314"/>
      <c r="S342" s="450" t="str">
        <f t="shared" ref="S342:S392" si="1025">IF(COUNTBLANK(FD342:FF342)=0,FE342,FD342)</f>
        <v/>
      </c>
      <c r="T342" s="315"/>
      <c r="U342" s="315"/>
      <c r="W342" s="149" t="str">
        <f t="shared" ref="W342:W392" si="1026">IF((JB342&gt;0),R342*L342," ")</f>
        <v xml:space="preserve"> </v>
      </c>
      <c r="X342" s="243" t="str">
        <f t="shared" ref="X342:X392" si="1027">IF((JB342&gt;0),DC342+DE342," ")</f>
        <v xml:space="preserve"> </v>
      </c>
      <c r="Y342" s="150" t="str">
        <f t="shared" ref="Y342:Y392" si="1028">IF((JB342&gt;0),IF(L342&gt;1,IF(AN342="&lt;15","&lt;15",AN342+3),AN342),"")</f>
        <v/>
      </c>
      <c r="Z342" s="149" t="str">
        <f t="shared" ref="Z342:Z392" si="1029">IF(JB342&gt;0,CONCATENATE(DN342,"/",DO342)," ")</f>
        <v xml:space="preserve"> </v>
      </c>
      <c r="AA342" s="98" t="str">
        <f t="shared" ref="AA342:AA392" si="1030">IF(JB342&gt;0,T342*L342," ")</f>
        <v xml:space="preserve"> </v>
      </c>
      <c r="AB342" s="153" t="str">
        <f t="shared" ref="AB342:AB392" si="1031">IF(JB342&gt;0,AT342," ")</f>
        <v xml:space="preserve"> </v>
      </c>
      <c r="AC342" s="153" t="str">
        <f t="shared" ref="AC342:AC392" si="1032">IF(JB342&gt;0,IF(T342&gt;0,AU342-$P$6," ")," ")</f>
        <v xml:space="preserve"> </v>
      </c>
      <c r="AD342" s="148" t="str">
        <f t="shared" ref="AD342:AD392" si="1033">IF(JB342&gt;0,IF(GI342=10,IF(AQ342*L342&lt;0,AQ342*L342," ")," "),"")</f>
        <v/>
      </c>
      <c r="AE342" s="149" t="str">
        <f t="shared" ref="AE342:AE392" si="1034">IF(JB342&gt;0,IF(GI342=10,L342*AR342," "),"")</f>
        <v/>
      </c>
      <c r="AF342" s="151" t="str">
        <f t="shared" ref="AF342:AF392" si="1035">IF(JB342&gt;0,L342*U342," ")</f>
        <v xml:space="preserve"> </v>
      </c>
      <c r="AG342" s="153" t="str">
        <f t="shared" ref="AG342:AG392" si="1036">IF(AF342&gt;0,IF(JB342&gt;0,EN342," "),"N/A")</f>
        <v xml:space="preserve"> </v>
      </c>
      <c r="AH342" s="98" t="str">
        <f t="shared" ref="AH342:AH392" si="1037">IF(AF342&gt;0,IF((JB342&gt;0),IF(AX342&gt;0,-(AX342*L342)/(500*AF342),0)," "),"N/A")</f>
        <v xml:space="preserve"> </v>
      </c>
      <c r="AI342" s="149" t="str">
        <f t="shared" ref="AI342:AI392" si="1038">IF((JB342&gt;0),IF(AY342*L342&lt;0,"",AY342*L342)," ")</f>
        <v xml:space="preserve"> </v>
      </c>
      <c r="AK342" s="144" t="str">
        <f t="shared" ref="AK342:AK392" si="1039">IF((JB342&gt;0),R342," ")</f>
        <v xml:space="preserve"> </v>
      </c>
      <c r="AL342" s="144"/>
      <c r="AM342" s="243" t="str">
        <f t="shared" ref="AM342:AM392" si="1040">IF((JB342&gt;0),X342," ")</f>
        <v xml:space="preserve"> </v>
      </c>
      <c r="AN342" s="149" t="str">
        <f t="shared" si="943"/>
        <v xml:space="preserve"> </v>
      </c>
      <c r="AO342" s="144" t="str">
        <f>IF(JB342&gt;0,IF(GI342=10,-R342*1.085*(Calculation!$F$6-Calculation!$F$13)*$S$14," "),"")</f>
        <v/>
      </c>
      <c r="AP342" s="144" t="str">
        <f t="shared" ref="AP342:AP392" si="1041">IF(JB342&gt;0,IF(GI342=10,-CV342," "),"")</f>
        <v/>
      </c>
      <c r="AQ342" s="56" t="str">
        <f t="shared" ref="AQ342:AQ392" si="1042">IF(JB342&gt;0,IF(GI342=10,AO342+AP342," "),"")</f>
        <v/>
      </c>
      <c r="AR342" s="144" t="str">
        <f t="shared" ref="AR342:AR392" si="1043">IF(JB342&gt;0,IF(GI342=10,DL342," "),"")</f>
        <v/>
      </c>
      <c r="AS342" s="176" t="str">
        <f t="shared" ref="AS342:AS392" si="1044">IF(JB342&gt;0,IF(GI342=10,$F$6-(-AQ342/(1.085*LH342)),""),"")</f>
        <v/>
      </c>
      <c r="AT342" s="176" t="str">
        <f t="shared" si="944"/>
        <v xml:space="preserve"> </v>
      </c>
      <c r="AU342" s="176" t="str">
        <f t="shared" ref="AU342:AU392" si="1045">IF(JB342&gt;0,IF(GI342=10,$P$6-AP342/(500*T342)," "),"")</f>
        <v/>
      </c>
      <c r="AV342" s="177" t="str">
        <f t="shared" ref="AV342:AV392" si="1046">IF(JB342&gt;0,DX342," ")</f>
        <v xml:space="preserve"> </v>
      </c>
      <c r="AW342" s="144" t="str">
        <f t="shared" ref="AW342:AW392" si="1047">IF(JB342&gt;0,1.085*R342*$S$14*(EJ342-$H$6)," ")</f>
        <v xml:space="preserve"> </v>
      </c>
      <c r="AX342" s="144" t="str">
        <f t="shared" ref="AX342:AX392" si="1048">IF(JB342&gt;0,IF(O342="2 pipe (cooling)",0,(IF(L342&gt;0,DA342," ")))," ")</f>
        <v xml:space="preserve"> </v>
      </c>
      <c r="AY342" s="152" t="str">
        <f t="shared" ref="AY342:AY392" si="1049">IF(JB342&gt;0,IF(AW342+AX342&lt;0,0,AW342+AX342)," ")</f>
        <v xml:space="preserve"> </v>
      </c>
      <c r="AZ342" s="246" t="str">
        <f t="shared" ref="AZ342:AZ392" si="1050">IF(AY342&gt;0,IF((JB342&gt;0),EL342,""),0)</f>
        <v/>
      </c>
      <c r="BA342" s="176" t="str">
        <f t="shared" ref="BA342:BA392" si="1051">IF(AX342&gt;0,IF((JB342&gt;0),IF(O342="2 pipe (cooling)",0,IF(L342&gt;0,EN342," "))," "),"N/A")</f>
        <v xml:space="preserve"> </v>
      </c>
      <c r="BB342" s="176" t="str">
        <f t="shared" ref="BB342:BB392" si="1052">IF(AX342&gt;0,IF((JB342&gt;0),$S$6-AX342/(500*U342)," "),"N/A")</f>
        <v xml:space="preserve"> </v>
      </c>
      <c r="BC342" s="195"/>
      <c r="BD342" s="316"/>
      <c r="BE342" s="317"/>
      <c r="BF342" s="318"/>
      <c r="BG342" s="318"/>
      <c r="BH342" s="144" t="str">
        <f t="shared" si="1021"/>
        <v xml:space="preserve"> </v>
      </c>
      <c r="BI342" s="176" t="str">
        <f t="shared" ref="BI342:BI392" si="1053">IFERROR(($F$6+KM342),"")</f>
        <v/>
      </c>
      <c r="BJ342" s="144" t="str">
        <f t="shared" si="1022"/>
        <v/>
      </c>
      <c r="BK342" s="246" t="str">
        <f t="shared" ref="BK342:BK392" si="1054">IFERROR(($F$6+KD342),"")</f>
        <v/>
      </c>
      <c r="BL342" s="144" t="str">
        <f t="shared" si="1023"/>
        <v/>
      </c>
      <c r="BM342" s="246" t="str">
        <f t="shared" ref="BM342:BM392" si="1055">IFERROR(($H$6+KE342),"")</f>
        <v/>
      </c>
      <c r="BN342" s="337" t="str">
        <f t="shared" si="945"/>
        <v/>
      </c>
      <c r="BO342" s="371" t="str">
        <f t="shared" si="946"/>
        <v/>
      </c>
      <c r="BP342" s="328" t="str">
        <f t="shared" si="1024"/>
        <v xml:space="preserve"> </v>
      </c>
      <c r="BQ342" s="347" t="str">
        <f t="shared" si="947"/>
        <v xml:space="preserve"> </v>
      </c>
      <c r="BR342" s="353" t="str">
        <f t="shared" si="948"/>
        <v xml:space="preserve"> </v>
      </c>
      <c r="BS342" s="626" t="str">
        <f>IF(L342&gt;0,IF(Calculation!P342="M13",BR342*3.1416*(0.134^2)/(4*144),IF(Calculation!P342="M17",BR342*3.1416*(0.165^2)/(4*144),IF(Calculation!P342="M20",BR342*3.1416*(0.198^2)/(4*144),IF(Calculation!P342="M23",BR342*3.1416*(0.228^2)/(4*144),IF(Calculation!P342="M27",BR342*3.1416*(0.269^2)/(4*144),BR342*3.1416*(0.307^2)/(4*144))))))," ")</f>
        <v xml:space="preserve"> </v>
      </c>
      <c r="BT342" s="353" t="str">
        <f>IF(L342&gt;0,IF(BS342&gt;0,R342/Calculation!BS342,0)," ")</f>
        <v xml:space="preserve"> </v>
      </c>
      <c r="BU342" s="438" t="e">
        <f t="shared" ref="BU342:BU392" ca="1" si="1056">(LH342-R342)/DW342</f>
        <v>#VALUE!</v>
      </c>
      <c r="BV342" s="449" t="e">
        <f ca="1">INDEX(INDIRECT(VLOOKUP(LEFT(BO342,7),CLU!$Z$3:$AH$18,2)),GN342,GR342)</f>
        <v>#N/A</v>
      </c>
      <c r="BW342" s="433" t="e">
        <f ca="1">INDEX(INDIRECT(VLOOKUP(LEFT(BO342,7),CLU!$Z$3:$AH$18,3)),GN342,GR342)</f>
        <v>#N/A</v>
      </c>
      <c r="BX342" s="433" t="e">
        <f ca="1">INDEX(INDIRECT(VLOOKUP(LEFT(BO342,7),CLU!$Z$3:$AH$18,4)),GN342,GR342)</f>
        <v>#N/A</v>
      </c>
      <c r="BY342" s="433" t="e">
        <f ca="1">INDEX(INDIRECT(VLOOKUP(LEFT(BO342,7),CLU!$Z$3:$AH$18,9)),((M342-2)*(6-COUNTBLANK(GT342:GY342)))+GJ342)</f>
        <v>#N/A</v>
      </c>
      <c r="BZ342" s="426" t="e">
        <f t="shared" ca="1" si="949"/>
        <v>#N/A</v>
      </c>
      <c r="CA342" s="424" t="e">
        <f t="shared" ca="1" si="950"/>
        <v>#N/A</v>
      </c>
      <c r="CB342" s="429" t="e">
        <f ca="1">INDEX(INDIRECT(VLOOKUP(LEFT(BO342,7),CLU!$Z$3:$AH$18,2)),GN342,GS342)</f>
        <v>#N/A</v>
      </c>
      <c r="CC342" s="342" t="e">
        <f ca="1">INDEX(INDIRECT(VLOOKUP(LEFT(BO342,7),CLU!$Z$3:$AH$18,3)),GN342,GS342)</f>
        <v>#N/A</v>
      </c>
      <c r="CD342" s="342" t="e">
        <f ca="1">INDEX(INDIRECT(VLOOKUP(LEFT(BO342,7),CLU!$Z$3:$AH$18,4)),GN342,GS342)</f>
        <v>#N/A</v>
      </c>
      <c r="CE342" s="426" t="e">
        <f t="shared" ca="1" si="951"/>
        <v>#N/A</v>
      </c>
      <c r="CF342" s="440">
        <f t="shared" si="952"/>
        <v>0</v>
      </c>
      <c r="CG342" s="431" t="e">
        <f ca="1">INDEX(INDIRECT(VLOOKUP(LEFT(BO342,7),CLU!$Z$3:$AH$18,2)),GQ342,GR342)</f>
        <v>#N/A</v>
      </c>
      <c r="CH342" s="431" t="e">
        <f ca="1">INDEX(INDIRECT(VLOOKUP(LEFT(BO342,7),CLU!$Z$3:$AH$18,3)),GQ342,GR342)</f>
        <v>#N/A</v>
      </c>
      <c r="CI342" s="431" t="e">
        <f ca="1">INDEX(INDIRECT(VLOOKUP(LEFT(BO342,7),CLU!$Z$3:$AH$18,4)),GQ342,GR342)</f>
        <v>#N/A</v>
      </c>
      <c r="CJ342" s="448" t="e">
        <f t="shared" ca="1" si="953"/>
        <v>#N/A</v>
      </c>
      <c r="CK342" s="431" t="e">
        <f t="shared" ca="1" si="954"/>
        <v>#N/A</v>
      </c>
      <c r="CL342" s="440" t="e">
        <f t="shared" ca="1" si="955"/>
        <v>#N/A</v>
      </c>
      <c r="CM342" s="431" t="e">
        <f ca="1">INDEX(INDIRECT(VLOOKUP(LEFT(BO342,7),CLU!$Z$3:$AH$18,2)),GQ342,GS342)</f>
        <v>#N/A</v>
      </c>
      <c r="CN342" s="431" t="e">
        <f ca="1">INDEX(INDIRECT(VLOOKUP(LEFT(BO342,7),CLU!$Z$3:$AH$18,3)),GQ342,GS342)</f>
        <v>#N/A</v>
      </c>
      <c r="CO342" s="431" t="e">
        <f ca="1">INDEX(INDIRECT(VLOOKUP(LEFT(BO342,7),CLU!$Z$3:$AH$18,4)),GQ342,GS342)</f>
        <v>#N/A</v>
      </c>
      <c r="CP342" s="431" t="e">
        <f t="shared" ca="1" si="956"/>
        <v>#N/A</v>
      </c>
      <c r="CQ342" s="440">
        <f t="shared" si="957"/>
        <v>0</v>
      </c>
      <c r="CR342" s="51" t="e">
        <f t="shared" ca="1" si="958"/>
        <v>#N/A</v>
      </c>
      <c r="CS342" s="439" t="e">
        <f t="shared" ca="1" si="959"/>
        <v>#VALUE!</v>
      </c>
      <c r="CT342" s="51" t="e">
        <f t="shared" ca="1" si="960"/>
        <v>#VALUE!</v>
      </c>
      <c r="CU342" s="10"/>
      <c r="CV342" s="51" t="e">
        <f t="shared" ref="CV342:CV392" ca="1" si="1057">MIN((CT342+CA342)*$CU$21,KP342)</f>
        <v>#VALUE!</v>
      </c>
      <c r="CW342" s="51">
        <f t="shared" si="961"/>
        <v>0</v>
      </c>
      <c r="CX342" s="439" t="e">
        <f t="shared" ca="1" si="962"/>
        <v>#VALUE!</v>
      </c>
      <c r="CY342" s="51" t="e">
        <f t="shared" ca="1" si="963"/>
        <v>#VALUE!</v>
      </c>
      <c r="CZ342" s="10"/>
      <c r="DA342" s="51" t="e">
        <f t="shared" ca="1" si="964"/>
        <v>#VALUE!</v>
      </c>
      <c r="DB342" s="347" t="e">
        <f ca="1">INDEX(INDIRECT(VLOOKUP(LEFT(BO342,7),CLU!$Z$3:$AI$18,10)),((M342-2)*(6-COUNTBLANK(GT342:GY342)))+GJ342)*LI342</f>
        <v>#N/A</v>
      </c>
      <c r="DC342" s="347" t="str">
        <f>IF(L342&gt;0,((R342/Worksheet!$I$15)/DB342)^2," ")</f>
        <v xml:space="preserve"> </v>
      </c>
      <c r="DD342" s="602" t="str">
        <f t="shared" si="965"/>
        <v xml:space="preserve"> </v>
      </c>
      <c r="DE342" s="347" t="str">
        <f t="shared" ref="DE342:DE390" si="1058">IF(L342&gt;0,(DD342/4005)^2," ")</f>
        <v xml:space="preserve"> </v>
      </c>
      <c r="DF342" s="356" t="e">
        <f ca="1">INDEX(INDIRECT(VLOOKUP(LEFT(BO342,7),CLU!$Z$3:$AH$18,8)),((M342-2)*(6-COUNTBLANK(GT342:GY342)))+GJ342)</f>
        <v>#N/A</v>
      </c>
      <c r="DG342" s="347" t="str">
        <f t="shared" ref="DG342:DG390" si="1059">IF(L342&gt;0,IF(J342="CBAM",(DF342+1)*R342*IF(J342=2,0.25,0.35),R342*(DF342+1)/BQ342)," ")</f>
        <v xml:space="preserve"> </v>
      </c>
      <c r="DH342" s="357" t="str">
        <f t="shared" ref="DH342:DH390" si="1060">IF(L342&gt;0,IF(J342="CBAM",IF(M342=2,0.168,0.333),(M342*12-1)/144)," ")</f>
        <v xml:space="preserve"> </v>
      </c>
      <c r="DI342" s="355" t="str">
        <f t="shared" ref="DI342:DI390" si="1061">IF(L342&gt;0,DG342/DH342," ")</f>
        <v xml:space="preserve"> </v>
      </c>
      <c r="DJ342" s="245" t="e">
        <f ca="1">INDEX(INDIRECT(VLOOKUP(LEFT(BO342,7),CLU!$Z$3:$AH$18,5)),GL342,GK342)</f>
        <v>#N/A</v>
      </c>
      <c r="DK342" s="245" t="e">
        <f ca="1">INDEX(INDIRECT(VLOOKUP(LEFT(BO342,7),CLU!$Z$3:$AH$18,6)),GL342,GK342)</f>
        <v>#N/A</v>
      </c>
      <c r="DL342" s="355">
        <f>(Calculation!R342*0.69143*(Calculation!$BQ$8-Calculation!$F$8))*$S$14</f>
        <v>0</v>
      </c>
      <c r="DM342" s="359" t="e">
        <f t="shared" si="966"/>
        <v>#VALUE!</v>
      </c>
      <c r="DN342" s="611">
        <f t="shared" si="967"/>
        <v>0</v>
      </c>
      <c r="DO342" s="359">
        <f t="shared" si="968"/>
        <v>100</v>
      </c>
      <c r="DP342" s="359">
        <f t="shared" si="969"/>
        <v>0</v>
      </c>
      <c r="DQ342" s="360"/>
      <c r="DR342" s="245" t="e">
        <f ca="1">INDEX(INDIRECT(VLOOKUP(LEFT(BO342,7),CLU!$Z$3:$AH$18,7)),M342-1,1)</f>
        <v>#N/A</v>
      </c>
      <c r="DS342" s="245" t="e">
        <f ca="1">INDEX(INDIRECT(VLOOKUP(LEFT(BO342,7),CLU!$Z$3:$AH$18,7)),M342-1,2)</f>
        <v>#N/A</v>
      </c>
      <c r="DT342" s="245" t="e">
        <f ca="1">INDEX(INDIRECT(VLOOKUP(LEFT(BO342,7),CLU!$Z$3:$AH$18,7)),M342-1,3)</f>
        <v>#N/A</v>
      </c>
      <c r="DU342" s="245" t="e">
        <f ca="1">INDEX(INDIRECT(VLOOKUP(LEFT(BO342,7),CLU!$Z$3:$AH$18,7)),M342-1,4)</f>
        <v>#N/A</v>
      </c>
      <c r="DV342" s="361" t="e">
        <f ca="1">INDEX(INDIRECT(VLOOKUP(LEFT(BO342,7),CLU!$Z$3:$AH$18,7)),M342-1,4+LEFT(DZ342,1)*0.5)</f>
        <v>#N/A</v>
      </c>
      <c r="DW342" s="245" t="e">
        <f ca="1">INDEX(INDIRECT(VLOOKUP(LEFT(BO342,7),CLU!$Z$3:$AH$18,7)),M342-1,8)</f>
        <v>#N/A</v>
      </c>
      <c r="DX342" s="361" t="str">
        <f t="shared" ref="DX342:DX390" si="1062">IF(L342&gt;0,IF(BR342&gt;0,IF(DZ342="2P",IF(EB342=1,"2P1C","2P2C"),IF(EB342=1,"4P1C","4P2C")),0)," ")</f>
        <v xml:space="preserve"> </v>
      </c>
      <c r="DY342" s="361" t="str">
        <f t="shared" ref="DY342:DY390" si="1063">IF(L342&gt;0,CONCATENATE(IF(LEN(M342)=1,"0",""),M342,"-",DX342)," ")</f>
        <v xml:space="preserve"> </v>
      </c>
      <c r="DZ342" s="361" t="str">
        <f t="shared" ref="DZ342:DZ390" si="1064">IF(L342&gt;0,IF(BR342&gt;0,IF(O342="2 Pipe (Cooling)","2P",IF(O342="2 Pipe (Heating)","NA",IF(O342="2 Pipe (H/C)","2P","4P"))),0)," ")</f>
        <v xml:space="preserve"> </v>
      </c>
      <c r="EA342" s="362" t="str">
        <f t="shared" ref="EA342:EA390" si="1065">IF(L342&gt;0,HLOOKUP(LEFT(BO342,7),SCMG,(MATCH(CONCATENATE(IF(LEN(M342)=1,"0",""),M342,"-",DZ342),SCMG_LU))+2)," ")</f>
        <v xml:space="preserve"> </v>
      </c>
      <c r="EB342" s="624" t="str">
        <f t="shared" si="970"/>
        <v xml:space="preserve"> </v>
      </c>
      <c r="EC342" s="361" t="e">
        <f ca="1">INDEX(INDIRECT(VLOOKUP(LEFT(BO342,7),CLU!$Z$3:$AH$18,7)),M342-1,4+LEFT(DZ342,1)*0.5)</f>
        <v>#N/A</v>
      </c>
      <c r="ED342" s="362" t="str">
        <f t="shared" ref="ED342:ED390" si="1066">IF(L342&gt;0,HLOOKUP(LEFT(BO342,7),Coil_K,(MATCH(DY342,LengthCoilLU))+2)," ")</f>
        <v xml:space="preserve"> </v>
      </c>
      <c r="EE342" s="361" t="str">
        <f t="shared" ref="EE342:EE390" si="1067">IF(L342&gt;0,IF(BR342&gt;0,IF(O342="2 Pipe (Cooling)","N/A",IF(O342="2 Pipe (Heating)","2P",IF(O342="2 Pipe (H/C)","2P","4P"))),0)," ")</f>
        <v xml:space="preserve"> </v>
      </c>
      <c r="EF342" s="362" t="str">
        <f>IF(L342&gt;0,IF(BR342&gt;0,IF(EE342="2P",IF(Calculation!DZ342="2P",IF(Calculation!DS342=13.75,IF(Calculation!DR342=13,Worksheet!$BD$43,IF(Calculation!DR342=37,Worksheet!$BD$44,Worksheet!$BD$45)),IF(Calculation!DS342=10,IF(Calculation!DR342=18,Worksheet!$BD$29,IF(Calculation!DR342=30,Worksheet!$BD$30,IF(Calculation!DR342=42,Worksheet!$BD$31,IF(Calculation!DR342=54,Worksheet!$BD$32,IF(Calculation!DR342=66,Worksheet!$BD$33,IF(Calculation!DR342=78,Worksheet!$BD$34,IF(Calculation!DR342=90,Worksheet!$BD$35,IF(Calculation!DR342=102,Worksheet!$BD$36,Worksheet!$BD$37)))))))),IF(Calculation!DS342=12.5,IF(Calculation!DR342=18,Worksheet!$BD$38,IF(Calculation!DR342=Worksheet!$BD$39,IF(Calculation!DR342=42,Worksheet!$BD$40,IF(Calculation!DR342=54,Worksheet!$BD$41,Worksheet!$BD$42)))),IF(Calculation!DR342=18,Worksheet!$BD$11,IF(Calculation!DR342=30,Worksheet!$BD$12,IF(Calculation!DR342=42,Worksheet!$BD$13,IF(Calculation!DR342=54,Worksheet!$BD$14,IF(Calculation!DR342=66,Worksheet!$BD$15,IF(Calculation!DR342=78,Worksheet!$BD$16,IF(Calculation!DR342=90,Worksheet!$BD$17,IF(Calculation!DR342=102,Worksheet!$BD$18,Worksheet!$BD$19))))))))))),IF(Calculation!DS342=13.75,IF(Calculation!DR342=13,Worksheet!$BD$78,IF(Calculation!DR342=37,Worksheet!$BD$79,Worksheet!$BD$80)),IF(Calculation!DS342=10,IF(Calculation!DR342=18,Worksheet!$BD$64,IF(Calculation!DR342=30,Worksheet!$BD$65,IF(Calculation!DR342=42,Worksheet!$BD$66,IF(Calculation!DR342=54,Worksheet!$BD$68,IF(Calculation!DR342=66,Worksheet!$BD$68,IF(Calculation!DR342=78,Worksheet!$BD$69,IF(Calculation!DR342=90,Worksheet!$BD$70,IF(Calculation!DR342=102,Worksheet!$BD$71,Worksheet!$BD$72)))))))),IF(Calculation!DS342=12.5,IF(Calculation!DR342=18,Worksheet!$BD$73,IF(Calculation!DR342=Worksheet!$BD$74,IF(Calculation!DR342=42,Worksheet!$BD$75,IF(Calculation!DR342=54,Worksheet!$BD$76,Worksheet!$BD$77)))),IF(Calculation!DR342=18,Worksheet!$BD$55,IF(Calculation!DR342=30,Worksheet!$BD$56,IF(Calculation!DR342=42,Worksheet!$BD$57,IF(Calculation!DR342=54,Worksheet!$BD$58,IF(Calculation!DR342=66,Worksheet!$BD$59,IF(Calculation!DR342=78,Worksheet!$BD$60,IF(Calculation!DR342=90,Worksheet!$BD$61,IF(Calculation!DR342=102,Worksheet!$BD$62,Worksheet!$BD$63)))))))))))),5),0)," ")</f>
        <v xml:space="preserve"> </v>
      </c>
      <c r="EG342" s="361" t="str">
        <f t="shared" ref="EG342:EG390" si="1068">IF(L342&gt;0,IF(BR342&gt;0,IF(U342&gt;EF342,2,1),0)," ")</f>
        <v xml:space="preserve"> </v>
      </c>
      <c r="EH342" s="361" t="e">
        <f ca="1">INDEX(INDIRECT(VLOOKUP(LEFT(BO342,7),CLU!$Z$3:$AH$18,7)),M342-1,3+LEFT(DZ342,1))</f>
        <v>#N/A</v>
      </c>
      <c r="EI342" s="362" t="str">
        <f t="shared" ref="EI342:EI390" si="1069">IF(L342&gt;0,IF(O342="2 Pipe (Cooling)","N/A",IF(EE342="2P",ED342,HLOOKUP(LEFT(BO342,7),Sec_Coil_K,MATCH(LEFT(DY342,5),FourP_Coil_LU)+2)))," ")</f>
        <v xml:space="preserve"> </v>
      </c>
      <c r="EJ342" s="363" t="str">
        <f t="shared" ref="EJ342:EJ390" si="1070">IF(L342&gt;0,IF(O342="2 pipe (cooling)",IF(G342&gt;0,$H$6+(G342/(1.085*W342*$S$14)),$H$13),$H$13)," ")</f>
        <v xml:space="preserve"> </v>
      </c>
      <c r="EK342" s="363" t="str">
        <f t="shared" ref="EK342:EK390" si="1071">IF(L342&gt;0,IF(AX342=0,$H$6,$H$6+AX342/(1.085*$S$14*(R342*DF342)))," ")</f>
        <v xml:space="preserve"> </v>
      </c>
      <c r="EL342" s="363" t="str">
        <f t="shared" ref="EL342:EL390" si="1072">IF(L342&gt;0,((R342*EJ342)+(DF342*R342*EK342))/(R342*(DF342+1))," ")</f>
        <v xml:space="preserve"> </v>
      </c>
      <c r="EM342" s="362" t="str">
        <f>IF(L342&gt;0,IF(BR342&gt;0,(Calculation!T342/ED342)^2,0)," ")</f>
        <v xml:space="preserve"> </v>
      </c>
      <c r="EN342" s="362" t="str">
        <f>IF(L342&gt;0,IF(O342="2 Pipe (Cooling)","N/A",IF(BR342&gt;0,(Calculation!U342/EI342)^2,0))," ")</f>
        <v xml:space="preserve"> </v>
      </c>
      <c r="EO342" s="361" t="str">
        <f t="shared" ref="EO342:EO392" si="1073">IF($J342&gt;0,HLOOKUP($BO342,Avail_Lengths,3),"")</f>
        <v/>
      </c>
      <c r="EP342" s="361" t="str">
        <f t="shared" ref="EP342:EP392" si="1074">IF($J342&gt;0,HLOOKUP($BO342,Avail_Lengths,4),"")</f>
        <v/>
      </c>
      <c r="EQ342" s="361" t="str">
        <f t="shared" ref="EQ342:EQ392" si="1075">IF($J342&gt;0,HLOOKUP($BO342,Avail_Lengths,5),"")</f>
        <v/>
      </c>
      <c r="ER342" s="361" t="str">
        <f t="shared" ref="ER342:ER392" si="1076">IF($J342&gt;0,HLOOKUP($BO342,Avail_Lengths,6),"")</f>
        <v/>
      </c>
      <c r="ES342" s="361" t="str">
        <f t="shared" ref="ES342:ES392" si="1077">IF($J342&gt;0,HLOOKUP($BO342,Avail_Lengths,7),"")</f>
        <v/>
      </c>
      <c r="ET342" s="361" t="str">
        <f t="shared" ref="ET342:ET392" si="1078">IF($J342&gt;0,HLOOKUP($BO342,Avail_Lengths,8),"")</f>
        <v/>
      </c>
      <c r="EU342" s="361" t="str">
        <f t="shared" ref="EU342:EU392" si="1079">IF($J342&gt;0,HLOOKUP($BO342,Avail_Lengths,9),"")</f>
        <v/>
      </c>
      <c r="EV342" s="361" t="str">
        <f t="shared" ref="EV342:EV392" si="1080">IF($J342&gt;0,HLOOKUP($BO342,Avail_Lengths,10),"")</f>
        <v/>
      </c>
      <c r="EW342" s="361" t="str">
        <f t="shared" ref="EW342:EW392" si="1081">IF($J342&gt;0,HLOOKUP($BO342,Avail_Lengths,11),"")</f>
        <v/>
      </c>
      <c r="EX342" s="361" t="str">
        <f t="shared" si="971"/>
        <v>1 slot, 1 way</v>
      </c>
      <c r="EY342" s="361" t="str">
        <f t="shared" si="972"/>
        <v xml:space="preserve"> </v>
      </c>
      <c r="EZ342" s="361" t="str">
        <f t="shared" si="973"/>
        <v xml:space="preserve"> </v>
      </c>
      <c r="FA342" s="361" t="str">
        <f t="shared" si="974"/>
        <v xml:space="preserve"> </v>
      </c>
      <c r="FB342" s="361" t="str">
        <f t="shared" si="975"/>
        <v xml:space="preserve"> </v>
      </c>
      <c r="FC342" s="361"/>
      <c r="FD342" s="361" t="str">
        <f>IF(J342&gt;0,IF(Calculation!R342&lt;=70,4,IF(Calculation!R342&lt;=110,5,IF(Calculation!R342&lt;=160,6,IF(Calculation!R342&lt;=300,8,"10 EO")))),"")</f>
        <v/>
      </c>
      <c r="FE342" s="361" t="str">
        <f t="shared" si="976"/>
        <v/>
      </c>
      <c r="FF342" s="361" t="str">
        <f t="shared" si="977"/>
        <v/>
      </c>
      <c r="FG342" s="361" t="e">
        <f t="shared" ref="FG342:FG392" si="1082">HLOOKUP(LEFT(BO342,7),Approx_Cool,3)*IFERROR((BQ342/VALUE(LEFT(EY342))),1)</f>
        <v>#N/A</v>
      </c>
      <c r="FH342" s="361">
        <f t="shared" ref="FH342:FH390" si="1083">F342/$CB$8</f>
        <v>0</v>
      </c>
      <c r="FI342" s="361" t="e">
        <f t="shared" ref="FI342:FI390" si="1084">(F342/$CB$8)/L342</f>
        <v>#DIV/0!</v>
      </c>
      <c r="FJ342" s="361"/>
      <c r="FK342" s="356" t="e">
        <f t="shared" ref="FK342:FK390" si="1085">0+X342</f>
        <v>#VALUE!</v>
      </c>
      <c r="FL342" s="361"/>
      <c r="FM342" s="361"/>
      <c r="FN342" s="362" t="str">
        <f t="shared" si="978"/>
        <v xml:space="preserve"> </v>
      </c>
      <c r="FO342" s="362" t="str">
        <f t="shared" si="979"/>
        <v xml:space="preserve"> </v>
      </c>
      <c r="FP342" s="362">
        <f t="shared" si="980"/>
        <v>0</v>
      </c>
      <c r="FQ342" s="361">
        <f t="shared" ref="FQ342:FQ390" si="1086">IF(T342=0,0,IF(T342&lt;FP342,1,0))</f>
        <v>0</v>
      </c>
      <c r="FR342" s="362" t="str">
        <f>IF(L342&gt;0,IF(J342="CBAL2",Worksheet!$P$67,IF(J342="CBE2-24",Worksheet!$Q$67,IF(J342="CBAM",Worksheet!$R$67,IF(J342="CBLV",Worksheet!$S$67,IF(J342="CBAB",Worksheet!$U$67,IF(J342="CBAW",Worksheet!$X$67,IF(J342="CBE2-12",Worksheet!$Y$67,IF(J342="CBAL2",Worksheet!$Z$67,"N/A"))))))))," ")</f>
        <v xml:space="preserve"> </v>
      </c>
      <c r="FS342" s="362" t="str">
        <f>IF(L342&gt;0,IF(J342="CBAL2",Worksheet!$P$68,IF(J342="CBE2-24",Worksheet!$Q$68,IF(J342="CBAM",Worksheet!$R$68,IF(J342="CBLV",Worksheet!$S$68,IF(J342="CBAB",Worksheet!$U$68,IF(J342="CBAW",Worksheet!$X$68,IF(J342="CBE2-12",Worksheet!$Y$68,IF(J342="CBAL2",Worksheet!$Z$68,"N/A"))))))))," ")</f>
        <v xml:space="preserve"> </v>
      </c>
      <c r="FT342" s="362" t="str">
        <f>IF(L342&gt;0,IF(J342="CBAL2",Worksheet!$P$69,IF(J342="CBE2-24",Worksheet!$Q$69,IF(J342="CBAM",Worksheet!$R$69,IF(J342="CBLV",Worksheet!$S$69,IF(J342="CBAB",Worksheet!$U$69,IF(J342="CBAW",Worksheet!$X$69,IF(J342="CBE2-12",Worksheet!$Y$69,IF(J342="CBAL2",Worksheet!$Z$69,"N/A"))))))))," ")</f>
        <v xml:space="preserve"> </v>
      </c>
      <c r="FU342" s="361" t="str">
        <f t="shared" si="981"/>
        <v xml:space="preserve"> </v>
      </c>
      <c r="FV342" s="362" t="str">
        <f t="shared" si="982"/>
        <v xml:space="preserve"> </v>
      </c>
      <c r="FW342" s="362" t="str">
        <f t="shared" si="983"/>
        <v xml:space="preserve"> </v>
      </c>
      <c r="FX342" s="362" t="str">
        <f t="shared" si="984"/>
        <v xml:space="preserve"> </v>
      </c>
      <c r="FY342" s="355" t="str">
        <f t="shared" si="985"/>
        <v xml:space="preserve"> </v>
      </c>
      <c r="FZ342" s="361" t="str">
        <f t="shared" si="986"/>
        <v xml:space="preserve"> </v>
      </c>
      <c r="GA342" s="347" t="str">
        <f t="shared" si="987"/>
        <v xml:space="preserve"> </v>
      </c>
      <c r="GB342" s="355" t="str">
        <f t="shared" si="988"/>
        <v xml:space="preserve"> </v>
      </c>
      <c r="GC342" s="328" t="str">
        <f t="shared" si="989"/>
        <v xml:space="preserve"> </v>
      </c>
      <c r="GD342" s="361" t="str">
        <f t="shared" si="990"/>
        <v xml:space="preserve"> </v>
      </c>
      <c r="GE342" s="347" t="str">
        <f t="shared" si="991"/>
        <v xml:space="preserve"> </v>
      </c>
      <c r="GF342" s="361" t="str">
        <f t="shared" si="992"/>
        <v xml:space="preserve"> </v>
      </c>
      <c r="GG342" s="347" t="str">
        <f t="shared" si="993"/>
        <v xml:space="preserve"> </v>
      </c>
      <c r="GH342" s="364">
        <f t="shared" ref="GH342:GH390" si="1087">IFERROR(IF(AZ342="",0,AZ342-$H$6),0)</f>
        <v>0</v>
      </c>
      <c r="GI342" s="362">
        <f t="shared" si="994"/>
        <v>2</v>
      </c>
      <c r="GJ342" s="433" t="e">
        <f>IF(6-COUNTBLANK(GT342:GY342)=4,MATCH(MID(BO342,9,3),CLU!$H$16:$K$16),MATCH(MID(BO342,9,3),CLU!$H$13:$M$13))</f>
        <v>#N/A</v>
      </c>
      <c r="GK342" s="433" t="e">
        <f>HLOOKUP(VALUE(BP342),CLU!$H$9:$M$10,2)</f>
        <v>#VALUE!</v>
      </c>
      <c r="GL342" s="433" t="e">
        <f ca="1">MATCH(BU342,CLU!$H$2:$V$2,1)</f>
        <v>#VALUE!</v>
      </c>
      <c r="GM342" s="433" t="e">
        <f t="shared" ca="1" si="995"/>
        <v>#VALUE!</v>
      </c>
      <c r="GN342" s="433" t="e">
        <f t="shared" ca="1" si="996"/>
        <v>#VALUE!</v>
      </c>
      <c r="GO342" s="433" t="e">
        <f t="shared" ca="1" si="997"/>
        <v>#VALUE!</v>
      </c>
      <c r="GP342" s="433" t="e">
        <f t="shared" ca="1" si="998"/>
        <v>#VALUE!</v>
      </c>
      <c r="GQ342" s="433" t="e">
        <f t="shared" ca="1" si="999"/>
        <v>#VALUE!</v>
      </c>
      <c r="GR342" s="433" t="e">
        <f ca="1">MATCH(T342,INDIRECT(VLOOKUP(CONCATENATE(LEFT(BO342,7),"-",MID(BO342,13,1)),CLU!$P$3:$Q$16,2)),1)</f>
        <v>#N/A</v>
      </c>
      <c r="GS342" s="433" t="e">
        <f ca="1">MATCH(U342,INDIRECT(VLOOKUP(CONCATENATE(LEFT(BO342,7),"-",MID(BO342,13,1)),CLU!$P$3:$Q$16,2)),1)</f>
        <v>#N/A</v>
      </c>
      <c r="GT342" s="347" t="s">
        <v>512</v>
      </c>
      <c r="GU342" s="97" t="s">
        <v>513</v>
      </c>
      <c r="GV342" s="97" t="str">
        <f t="shared" si="1000"/>
        <v>M23</v>
      </c>
      <c r="GW342" s="97" t="str">
        <f t="shared" si="1001"/>
        <v>M31</v>
      </c>
      <c r="GX342" s="97" t="str">
        <f t="shared" si="1002"/>
        <v/>
      </c>
      <c r="GY342" s="97" t="str">
        <f t="shared" si="1003"/>
        <v/>
      </c>
      <c r="GZ342" s="481"/>
      <c r="HA342" s="240"/>
      <c r="HB342" s="240"/>
      <c r="HC342" s="240"/>
      <c r="HD342" s="240"/>
      <c r="HE342" s="240"/>
      <c r="HF342" s="240"/>
      <c r="HG342" s="240"/>
      <c r="HH342" s="240"/>
      <c r="HI342" s="240"/>
      <c r="HJ342" s="240"/>
      <c r="HK342" s="240"/>
      <c r="HL342" s="240"/>
      <c r="HM342" s="240"/>
      <c r="HN342" s="240"/>
      <c r="HO342" s="240"/>
      <c r="HP342" s="240"/>
      <c r="HQ342" s="240"/>
      <c r="HR342" s="240"/>
      <c r="HS342" s="240"/>
      <c r="HT342" s="240"/>
      <c r="HU342" s="240"/>
      <c r="HV342" s="245"/>
      <c r="HW342" s="245" t="b">
        <v>1</v>
      </c>
      <c r="HX342" s="245" t="str">
        <f t="shared" ref="HX342:HX392" si="1088">IF(J342="","",CONCATENATE(LEFT(BO342,7),"-",BQ342,"-",LEFT(O342,1)))</f>
        <v/>
      </c>
      <c r="HY342" s="245" t="e">
        <f t="shared" ref="HY342:HY392" si="1089">ROUNDUP(MAX(H342/L342,FI342),0)</f>
        <v>#DIV/0!</v>
      </c>
      <c r="HZ342" s="245" t="e">
        <f t="shared" ref="HZ342:HZ392" si="1090">ROUNDUP((E342/L342)*$X$5,0)</f>
        <v>#DIV/0!</v>
      </c>
      <c r="IA342" s="245">
        <f t="shared" ref="IA342:IA392" si="1091">IF(G342=0,0,G342/L342)</f>
        <v>0</v>
      </c>
      <c r="IB342" s="245"/>
      <c r="IC342" t="b">
        <f t="shared" ref="IC342:IC392" si="1092">ISBLANK(E342)</f>
        <v>1</v>
      </c>
      <c r="ID342" s="245" t="b">
        <f t="shared" ref="ID342:ID392" si="1093">ISBLANK(J342)</f>
        <v>1</v>
      </c>
      <c r="IE342" s="245" t="b">
        <f t="shared" ref="IE342:IE392" si="1094">ISBLANK(J342)</f>
        <v>1</v>
      </c>
      <c r="IF342" s="245" t="b">
        <f t="shared" ref="IF342:IF392" si="1095">ISNUMBER(L342)</f>
        <v>0</v>
      </c>
      <c r="IG342" s="245" t="b">
        <f t="shared" ref="IG342:IG392" si="1096">ISBLANK(N342)</f>
        <v>1</v>
      </c>
      <c r="IH342" s="245" t="b">
        <f t="shared" ref="IH342:IH392" si="1097">ISBLANK(O342)</f>
        <v>1</v>
      </c>
      <c r="II342" s="245">
        <f t="shared" si="1004"/>
        <v>0</v>
      </c>
      <c r="IJ342" s="245" t="e">
        <f t="shared" ref="IJ342:IJ392" si="1098">INT(ABS(AQ342))</f>
        <v>#VALUE!</v>
      </c>
      <c r="IK342" s="245" t="e">
        <f t="shared" ref="IK342:IK392" si="1099">INT(ABS(AY342))</f>
        <v>#VALUE!</v>
      </c>
      <c r="IL342" s="245"/>
      <c r="IM342" s="245" t="e">
        <f t="shared" si="1005"/>
        <v>#N/A</v>
      </c>
      <c r="IN342" s="245" t="e">
        <f t="shared" si="1006"/>
        <v>#N/A</v>
      </c>
      <c r="IO342" s="245"/>
      <c r="IP342" s="245"/>
      <c r="IQ342" s="245" t="str">
        <f t="shared" ref="IQ342:IQ392" si="1100">IF(J342="","",$X$8)</f>
        <v/>
      </c>
      <c r="IR342" s="245" t="str">
        <f>IF(J342="","",VLOOKUP(J342,Worksheet!$R$4:$T$14,2))</f>
        <v/>
      </c>
      <c r="IS342" s="245"/>
      <c r="IT342" s="245">
        <f t="shared" ref="IT342:IT392" si="1101">IF((L342&gt;0),1,0)</f>
        <v>0</v>
      </c>
      <c r="IU342" s="245">
        <f t="shared" ref="IU342:IU392" si="1102">IFERROR(MATCH(M342,EO342:EW342,0),0)</f>
        <v>0</v>
      </c>
      <c r="IV342" s="245">
        <f t="shared" ref="IV342:IV392" si="1103">IFERROR(MATCH(N342,EX342:EY342,0),0)</f>
        <v>0</v>
      </c>
      <c r="IW342" s="245">
        <f t="shared" ref="IW342:IW392" si="1104">IFERROR(MATCH(O342,EZ342:FC342,0),0)</f>
        <v>0</v>
      </c>
      <c r="IX342" s="245">
        <f t="shared" si="1007"/>
        <v>0</v>
      </c>
      <c r="IY342" s="245">
        <f t="shared" ref="IY342:IY392" si="1105">IF(LEN(S342)=0,0,1)</f>
        <v>0</v>
      </c>
      <c r="IZ342" s="245">
        <f t="shared" ref="IZ342:IZ392" si="1106">IFERROR(IF((R342&gt;BS342*1250),1,0),0)</f>
        <v>0</v>
      </c>
      <c r="JA342">
        <f t="shared" ref="JA342:JA392" si="1107">IFERROR(IF(AND(T342&gt;0.24,T342&lt;(IN342+0.01)),1,0),0)</f>
        <v>0</v>
      </c>
      <c r="JB342">
        <f t="shared" si="1008"/>
        <v>0</v>
      </c>
      <c r="JC342">
        <f t="shared" ref="JC342:JC392" si="1108">IF($JB342=1,W342,0)</f>
        <v>0</v>
      </c>
      <c r="JD342">
        <f t="shared" ref="JD342:JD392" si="1109">IF($JB342=1,Z342,0)</f>
        <v>0</v>
      </c>
      <c r="JE342">
        <f t="shared" ref="JE342:JE392" si="1110">IF($JB342=1,AA342,0)</f>
        <v>0</v>
      </c>
      <c r="JF342">
        <f t="shared" ref="JF342:JF392" si="1111">IF($JB342=1,AF342,0)</f>
        <v>0</v>
      </c>
      <c r="JG342">
        <f t="shared" ref="JG342:JG392" si="1112">IF($JB342=1,L342,0)</f>
        <v>0</v>
      </c>
      <c r="JH342">
        <f t="shared" ref="JH342:JH392" si="1113">IF($JB342=1,L342*M342,0)</f>
        <v>0</v>
      </c>
      <c r="JI342">
        <f t="shared" ref="JI342:JI392" si="1114">IF($JB342=1,AO342*L342,0)</f>
        <v>0</v>
      </c>
      <c r="JJ342" s="447">
        <f t="shared" ref="JJ342:JJ392" si="1115">ABS(IF($JB342=1,AP342*L342,0))</f>
        <v>0</v>
      </c>
      <c r="JK342" s="447">
        <f t="shared" ref="JK342:JK392" si="1116">ABS(IF($JB342=1,AE342,0))</f>
        <v>0</v>
      </c>
      <c r="JL342">
        <f t="shared" ref="JL342:JL392" si="1117">IF($JB342=1,AI342,0)</f>
        <v>0</v>
      </c>
      <c r="JM342" s="245" t="str">
        <f>IFERROR(VLOOKUP(MATCH(BN342,#REF!,0),#REF!,7),"")</f>
        <v/>
      </c>
      <c r="JN342" t="e">
        <f>HLOOKUP(LEFT(BO342,7),Discharge_Area,MATCH(JO342,LookUps!$B$130:$B$149,1)+2)</f>
        <v>#N/A</v>
      </c>
      <c r="JO342" t="str">
        <f t="shared" ref="JO342:JO392" si="1118">CONCATENATE(M342,"-",BQ342,"S")</f>
        <v>- S</v>
      </c>
      <c r="JP342" t="e">
        <f>HLOOKUP(LEFT(BO342,7),Discharge_Area,MATCH(JO342,LookUps!$B$130:$B$149,1)+2)</f>
        <v>#N/A</v>
      </c>
      <c r="JQ342" t="e">
        <f t="shared" ref="JQ342:JQ392" si="1119">HLOOKUP(LEFT(BO342,7),Throw_Coeff,3)</f>
        <v>#N/A</v>
      </c>
      <c r="JR342" t="e">
        <f t="shared" ref="JR342:JR392" si="1120">HLOOKUP(LEFT(BO342,7),Throw_Coeff,4)</f>
        <v>#N/A</v>
      </c>
      <c r="JS342" t="e">
        <f t="shared" ref="JS342:JS392" si="1121">HLOOKUP(LEFT(BO342,7),Throw_Coeff,5)</f>
        <v>#N/A</v>
      </c>
      <c r="JT342" s="532" t="str">
        <f t="shared" ref="JT342:JT392" si="1122">IF(L342&gt;0,AS342-$F$6," ")</f>
        <v xml:space="preserve"> </v>
      </c>
      <c r="JU342" s="532" t="str">
        <f t="shared" ref="JU342:JU392" si="1123">IF(L342&gt;0,AZ342-$H$6," ")</f>
        <v xml:space="preserve"> </v>
      </c>
      <c r="JV342" s="533" t="str">
        <f t="shared" ref="JV342:JV392" si="1124">IF(L342&gt;0,LH342/JP342," ")</f>
        <v xml:space="preserve"> </v>
      </c>
      <c r="JW342" s="534">
        <f t="shared" ref="JW342:JW392" si="1125">IF(L342&gt;0,IF(BD342&gt;0,IF(BE342&gt;0,IF(BF342&gt;0,BF342+(BD342-BE342),0),0),0),0)</f>
        <v>0</v>
      </c>
      <c r="JX342" s="535" t="str">
        <f t="shared" si="1009"/>
        <v xml:space="preserve"> </v>
      </c>
      <c r="JY342" s="535" t="str">
        <f t="shared" si="1010"/>
        <v xml:space="preserve"> </v>
      </c>
      <c r="JZ342" s="535" t="str">
        <f t="shared" si="1011"/>
        <v xml:space="preserve"> </v>
      </c>
      <c r="KA342" s="536" t="str">
        <f t="shared" ref="KA342:KA392" si="1126">IF(JW342&gt;0,0.8*(JV342/200)^0.2*(M342/4)^0.05," ")</f>
        <v xml:space="preserve"> </v>
      </c>
      <c r="KB342" s="535" t="e">
        <f t="shared" si="1012"/>
        <v>#VALUE!</v>
      </c>
      <c r="KC342" s="535" t="str">
        <f t="shared" ref="KC342:KC392" si="1127">IF(U342=0,"",IF(JW342&gt;0,KA342*0.8*MIN(JX342:JZ342)/(JU342/10)^0.3," "))</f>
        <v/>
      </c>
      <c r="KD342" s="537" t="str">
        <f t="shared" si="1013"/>
        <v xml:space="preserve"> </v>
      </c>
      <c r="KE342" s="537" t="str">
        <f t="shared" si="1014"/>
        <v xml:space="preserve"> </v>
      </c>
      <c r="KF342" s="534">
        <f t="shared" ref="KF342:KF392" si="1128">IF(L342&gt;0,IF(BG342&gt;0,IF(BD342&gt;0,IF(BE342&gt;0,BG342/2,0),0),0),0)</f>
        <v>0</v>
      </c>
      <c r="KG342" s="535" t="str">
        <f t="shared" ref="KG342:KG392" si="1129">IF(KF342&gt;0,JV342/(BG342*0.5/JQ342/SQRT(JP342/2))^0.5," ")</f>
        <v xml:space="preserve"> </v>
      </c>
      <c r="KH342" s="535" t="str">
        <f t="shared" ref="KH342:KH392" si="1130">IF(KF342&gt;0,JV342/(BG342*0.5/JR342/SQRT(JP342/2))," ")</f>
        <v xml:space="preserve"> </v>
      </c>
      <c r="KI342" s="535" t="str">
        <f t="shared" ref="KI342:KI392" si="1131">IF(KF342&gt;0,JV342/(BG342*0.5/JS342/SQRT(JP342/2))^2," ")</f>
        <v xml:space="preserve"> </v>
      </c>
      <c r="KJ342" s="536" t="str">
        <f t="shared" ref="KJ342:KJ392" si="1132">IF(KF342&gt;0,3.3/(BD342-BE342)*0.53*0.8*(JV342/200)^0.2*(M342/4)^0.05," ")</f>
        <v xml:space="preserve"> </v>
      </c>
      <c r="KK342" s="535" t="str">
        <f t="shared" si="1015"/>
        <v xml:space="preserve"> </v>
      </c>
      <c r="KL342" s="535" t="str">
        <f t="shared" si="1016"/>
        <v xml:space="preserve"> </v>
      </c>
      <c r="KM342" s="537" t="str">
        <f t="shared" ref="KM342:KM392" si="1133">IF(KF342&gt;0,0.35*KD342*(BG342*0.5+(BD342-BE342))/JW342," ")</f>
        <v xml:space="preserve"> </v>
      </c>
      <c r="KN342" s="537" t="str">
        <f t="shared" si="1017"/>
        <v xml:space="preserve"> </v>
      </c>
      <c r="KP342">
        <f t="shared" ref="KP342:KP392" si="1134">12*500*T342</f>
        <v>0</v>
      </c>
      <c r="LA342" t="e">
        <f t="shared" ref="LA342:LA392" si="1135">(2.241*(LN(BS342))-5.325)</f>
        <v>#VALUE!</v>
      </c>
      <c r="LB342" t="e">
        <f t="shared" ref="LB342:LB392" si="1136">(24.173*(LN(DC342+DE342))+133.37)</f>
        <v>#VALUE!</v>
      </c>
      <c r="LC342" t="e">
        <f t="shared" ref="LC342:LC392" si="1137">IF(DD342&lt;590,15.827*(LN(590))-83.608,(15.827*(LN(DD342))-83.608))</f>
        <v>#VALUE!</v>
      </c>
      <c r="LD342" t="e">
        <f t="shared" ref="LD342:LD392" si="1138">(35.444*(LN(BT342))-187.23)</f>
        <v>#VALUE!</v>
      </c>
      <c r="LE342" t="e">
        <f t="shared" si="1018"/>
        <v>#VALUE!</v>
      </c>
      <c r="LF342">
        <f t="shared" ref="LF342:LF392" si="1139">IF(AND(R342&gt;210,P342="M31")=TRUE,((R342-210)/26),0)</f>
        <v>0</v>
      </c>
      <c r="LG342" t="e">
        <f t="shared" si="1019"/>
        <v>#VALUE!</v>
      </c>
      <c r="LH342" t="str">
        <f t="shared" ref="LH342:LH392" si="1140">IF((JB342&gt;0),(DF342+1)*R342," ")</f>
        <v xml:space="preserve"> </v>
      </c>
      <c r="LI342">
        <f t="shared" si="1020"/>
        <v>1</v>
      </c>
    </row>
    <row r="343" spans="2:321" ht="15" customHeight="1">
      <c r="B343" s="311"/>
      <c r="C343" s="311"/>
      <c r="D343" s="312"/>
      <c r="E343" s="311"/>
      <c r="F343" s="312"/>
      <c r="G343" s="311"/>
      <c r="H343" s="311"/>
      <c r="I343" s="232"/>
      <c r="J343" s="311"/>
      <c r="K343" s="305" t="str">
        <f t="shared" ref="K343:K392" si="1141">IF(AND(E343&gt;0,J343&gt;0),ROUNDUP(MAX(D343/$X$9,E343/FG343,H343/220,FH343/220),0),"")</f>
        <v/>
      </c>
      <c r="L343" s="313"/>
      <c r="M343" s="312"/>
      <c r="N343" s="311"/>
      <c r="O343" s="312"/>
      <c r="P343" s="311"/>
      <c r="Q343" s="305" t="str">
        <f t="shared" ref="Q343:Q392" si="1142">IF(AND(J343&gt;0,L343&gt;0,M343&gt;0,N343&gt;0,O343&gt;0,P343&gt;0),ROUNDUP(MAX(H343/L343,BS343*1250,FI343),0),"")</f>
        <v/>
      </c>
      <c r="R343" s="314"/>
      <c r="S343" s="450" t="str">
        <f t="shared" si="1025"/>
        <v/>
      </c>
      <c r="T343" s="315"/>
      <c r="U343" s="315"/>
      <c r="W343" s="149" t="str">
        <f t="shared" si="1026"/>
        <v xml:space="preserve"> </v>
      </c>
      <c r="X343" s="243" t="str">
        <f t="shared" si="1027"/>
        <v xml:space="preserve"> </v>
      </c>
      <c r="Y343" s="150" t="str">
        <f t="shared" si="1028"/>
        <v/>
      </c>
      <c r="Z343" s="149" t="str">
        <f t="shared" si="1029"/>
        <v xml:space="preserve"> </v>
      </c>
      <c r="AA343" s="98" t="str">
        <f t="shared" si="1030"/>
        <v xml:space="preserve"> </v>
      </c>
      <c r="AB343" s="153" t="str">
        <f t="shared" si="1031"/>
        <v xml:space="preserve"> </v>
      </c>
      <c r="AC343" s="153" t="str">
        <f t="shared" si="1032"/>
        <v xml:space="preserve"> </v>
      </c>
      <c r="AD343" s="148" t="str">
        <f t="shared" si="1033"/>
        <v/>
      </c>
      <c r="AE343" s="149" t="str">
        <f t="shared" si="1034"/>
        <v/>
      </c>
      <c r="AF343" s="151" t="str">
        <f t="shared" si="1035"/>
        <v xml:space="preserve"> </v>
      </c>
      <c r="AG343" s="153" t="str">
        <f t="shared" si="1036"/>
        <v xml:space="preserve"> </v>
      </c>
      <c r="AH343" s="98" t="str">
        <f t="shared" si="1037"/>
        <v xml:space="preserve"> </v>
      </c>
      <c r="AI343" s="149" t="str">
        <f t="shared" si="1038"/>
        <v xml:space="preserve"> </v>
      </c>
      <c r="AK343" s="144" t="str">
        <f t="shared" si="1039"/>
        <v xml:space="preserve"> </v>
      </c>
      <c r="AL343" s="144"/>
      <c r="AM343" s="243" t="str">
        <f t="shared" si="1040"/>
        <v xml:space="preserve"> </v>
      </c>
      <c r="AN343" s="149" t="str">
        <f t="shared" ref="AN343:AN392" si="1143">IF((JB343&gt;0),LG343," ")</f>
        <v xml:space="preserve"> </v>
      </c>
      <c r="AO343" s="144" t="str">
        <f>IF(JB343&gt;0,IF(GI343=10,-R343*1.085*(Calculation!$F$6-Calculation!$F$13)*$S$14," "),"")</f>
        <v/>
      </c>
      <c r="AP343" s="144" t="str">
        <f t="shared" si="1041"/>
        <v/>
      </c>
      <c r="AQ343" s="56" t="str">
        <f t="shared" si="1042"/>
        <v/>
      </c>
      <c r="AR343" s="144" t="str">
        <f t="shared" si="1043"/>
        <v/>
      </c>
      <c r="AS343" s="176" t="str">
        <f t="shared" si="1044"/>
        <v/>
      </c>
      <c r="AT343" s="176" t="str">
        <f t="shared" ref="AT343:AT392" si="1144">IF(GI343=10,EM343," ")</f>
        <v xml:space="preserve"> </v>
      </c>
      <c r="AU343" s="176" t="str">
        <f t="shared" si="1045"/>
        <v/>
      </c>
      <c r="AV343" s="177" t="str">
        <f t="shared" si="1046"/>
        <v xml:space="preserve"> </v>
      </c>
      <c r="AW343" s="144" t="str">
        <f t="shared" si="1047"/>
        <v xml:space="preserve"> </v>
      </c>
      <c r="AX343" s="144" t="str">
        <f t="shared" si="1048"/>
        <v xml:space="preserve"> </v>
      </c>
      <c r="AY343" s="152" t="str">
        <f t="shared" si="1049"/>
        <v xml:space="preserve"> </v>
      </c>
      <c r="AZ343" s="246" t="str">
        <f t="shared" si="1050"/>
        <v/>
      </c>
      <c r="BA343" s="176" t="str">
        <f t="shared" si="1051"/>
        <v xml:space="preserve"> </v>
      </c>
      <c r="BB343" s="176" t="str">
        <f t="shared" si="1052"/>
        <v xml:space="preserve"> </v>
      </c>
      <c r="BC343" s="195"/>
      <c r="BD343" s="316"/>
      <c r="BE343" s="317"/>
      <c r="BF343" s="318"/>
      <c r="BG343" s="318"/>
      <c r="BH343" s="144" t="str">
        <f t="shared" si="1021"/>
        <v xml:space="preserve"> </v>
      </c>
      <c r="BI343" s="176" t="str">
        <f t="shared" si="1053"/>
        <v/>
      </c>
      <c r="BJ343" s="144" t="str">
        <f t="shared" si="1022"/>
        <v/>
      </c>
      <c r="BK343" s="246" t="str">
        <f t="shared" si="1054"/>
        <v/>
      </c>
      <c r="BL343" s="144" t="str">
        <f t="shared" si="1023"/>
        <v/>
      </c>
      <c r="BM343" s="246" t="str">
        <f t="shared" si="1055"/>
        <v/>
      </c>
      <c r="BN343" s="337" t="str">
        <f t="shared" ref="BN343:BN392" si="1145">IF(COUNTBLANK(L343:T343)+COUNTBLANK(J343)=0,CONCATENATE(BO343,"-",R343,"-",S343,"-",T343,"-",U343),"")</f>
        <v/>
      </c>
      <c r="BO343" s="371" t="str">
        <f t="shared" ref="BO343:BO393" si="1146">IF(AND(J343="",N343="",O343=""),"",CONCATENATE(J343,(IF(LEN(J343)=4,("-00"),IF(LEN(J343)=5,("-0"),""))),"-",P343,"-",(LEFT(N343,1)),"-",M343,"-",(LEFT(O343,1))))</f>
        <v/>
      </c>
      <c r="BP343" s="328" t="str">
        <f t="shared" si="1024"/>
        <v xml:space="preserve"> </v>
      </c>
      <c r="BQ343" s="347" t="str">
        <f t="shared" ref="BQ343:BQ392" si="1147">LEFT(BP343,1)</f>
        <v xml:space="preserve"> </v>
      </c>
      <c r="BR343" s="353" t="str">
        <f t="shared" ref="BR343:BR393" si="1148">IF(L343&gt;0,HLOOKUP(LEFT(BO343,7),Noz_Qty,(MATCH(CONCATENATE(IF(LEN(M343)=1,("0"),""),M343,"-",LEFT(BP343,1),"S"),Len_SlotLU,0)+2))," ")</f>
        <v xml:space="preserve"> </v>
      </c>
      <c r="BS343" s="626" t="str">
        <f>IF(L343&gt;0,IF(Calculation!P343="M13",BR343*3.1416*(0.134^2)/(4*144),IF(Calculation!P343="M17",BR343*3.1416*(0.165^2)/(4*144),IF(Calculation!P343="M20",BR343*3.1416*(0.198^2)/(4*144),IF(Calculation!P343="M23",BR343*3.1416*(0.228^2)/(4*144),IF(Calculation!P343="M27",BR343*3.1416*(0.269^2)/(4*144),BR343*3.1416*(0.307^2)/(4*144))))))," ")</f>
        <v xml:space="preserve"> </v>
      </c>
      <c r="BT343" s="353" t="str">
        <f>IF(L343&gt;0,IF(BS343&gt;0,R343/Calculation!BS343,0)," ")</f>
        <v xml:space="preserve"> </v>
      </c>
      <c r="BU343" s="438" t="e">
        <f t="shared" ca="1" si="1056"/>
        <v>#VALUE!</v>
      </c>
      <c r="BV343" s="449" t="e">
        <f ca="1">INDEX(INDIRECT(VLOOKUP(LEFT(BO343,7),CLU!$Z$3:$AH$18,2)),GN343,GR343)</f>
        <v>#N/A</v>
      </c>
      <c r="BW343" s="433" t="e">
        <f ca="1">INDEX(INDIRECT(VLOOKUP(LEFT(BO343,7),CLU!$Z$3:$AH$18,3)),GN343,GR343)</f>
        <v>#N/A</v>
      </c>
      <c r="BX343" s="433" t="e">
        <f ca="1">INDEX(INDIRECT(VLOOKUP(LEFT(BO343,7),CLU!$Z$3:$AH$18,4)),GN343,GR343)</f>
        <v>#N/A</v>
      </c>
      <c r="BY343" s="433" t="e">
        <f ca="1">INDEX(INDIRECT(VLOOKUP(LEFT(BO343,7),CLU!$Z$3:$AH$18,9)),((M343-2)*(6-COUNTBLANK(GT343:GY343)))+GJ343)</f>
        <v>#N/A</v>
      </c>
      <c r="BZ343" s="426" t="e">
        <f t="shared" ref="BZ343:BZ390" ca="1" si="1149">((BV343*T343)+BW343)*BX343*BY343</f>
        <v>#N/A</v>
      </c>
      <c r="CA343" s="424" t="e">
        <f t="shared" ref="CA343:CA390" ca="1" si="1150">BZ343*DJ343*$BT$8</f>
        <v>#N/A</v>
      </c>
      <c r="CB343" s="429" t="e">
        <f ca="1">INDEX(INDIRECT(VLOOKUP(LEFT(BO343,7),CLU!$Z$3:$AH$18,2)),GN343,GS343)</f>
        <v>#N/A</v>
      </c>
      <c r="CC343" s="342" t="e">
        <f ca="1">INDEX(INDIRECT(VLOOKUP(LEFT(BO343,7),CLU!$Z$3:$AH$18,3)),GN343,GS343)</f>
        <v>#N/A</v>
      </c>
      <c r="CD343" s="342" t="e">
        <f ca="1">INDEX(INDIRECT(VLOOKUP(LEFT(BO343,7),CLU!$Z$3:$AH$18,4)),GN343,GS343)</f>
        <v>#N/A</v>
      </c>
      <c r="CE343" s="426" t="e">
        <f t="shared" ref="CE343:CE392" ca="1" si="1151">((CB343*U343)+CC343)*CD343*BY343</f>
        <v>#N/A</v>
      </c>
      <c r="CF343" s="440">
        <f t="shared" ref="CF343:CF392" si="1152">IF(U343=0,0,IF(O343="2 pipe (cooling)",0,CE343*DK343))*$BV$8</f>
        <v>0</v>
      </c>
      <c r="CG343" s="431" t="e">
        <f ca="1">INDEX(INDIRECT(VLOOKUP(LEFT(BO343,7),CLU!$Z$3:$AH$18,2)),GQ343,GR343)</f>
        <v>#N/A</v>
      </c>
      <c r="CH343" s="431" t="e">
        <f ca="1">INDEX(INDIRECT(VLOOKUP(LEFT(BO343,7),CLU!$Z$3:$AH$18,3)),GQ343,GR343)</f>
        <v>#N/A</v>
      </c>
      <c r="CI343" s="431" t="e">
        <f ca="1">INDEX(INDIRECT(VLOOKUP(LEFT(BO343,7),CLU!$Z$3:$AH$18,4)),GQ343,GR343)</f>
        <v>#N/A</v>
      </c>
      <c r="CJ343" s="448" t="e">
        <f t="shared" ref="CJ343:CJ390" ca="1" si="1153">BY343</f>
        <v>#N/A</v>
      </c>
      <c r="CK343" s="431" t="e">
        <f t="shared" ref="CK343:CK390" ca="1" si="1154">((CG343*T343)+CH343)*CI343*CJ343</f>
        <v>#N/A</v>
      </c>
      <c r="CL343" s="440" t="e">
        <f t="shared" ref="CL343:CL390" ca="1" si="1155">CK343*DJ343*$BT$8</f>
        <v>#N/A</v>
      </c>
      <c r="CM343" s="431" t="e">
        <f ca="1">INDEX(INDIRECT(VLOOKUP(LEFT(BO343,7),CLU!$Z$3:$AH$18,2)),GQ343,GS343)</f>
        <v>#N/A</v>
      </c>
      <c r="CN343" s="431" t="e">
        <f ca="1">INDEX(INDIRECT(VLOOKUP(LEFT(BO343,7),CLU!$Z$3:$AH$18,3)),GQ343,GS343)</f>
        <v>#N/A</v>
      </c>
      <c r="CO343" s="431" t="e">
        <f ca="1">INDEX(INDIRECT(VLOOKUP(LEFT(BO343,7),CLU!$Z$3:$AH$18,4)),GQ343,GS343)</f>
        <v>#N/A</v>
      </c>
      <c r="CP343" s="431" t="e">
        <f t="shared" ref="CP343:CP392" ca="1" si="1156">((CM343*U343)+CN343)*CO343*CJ343</f>
        <v>#N/A</v>
      </c>
      <c r="CQ343" s="440">
        <f t="shared" ref="CQ343:CQ392" si="1157">IF(U343=0,0,IF(O343="2 pipe (cooling)",0,CP343*DK343))*$BV$8</f>
        <v>0</v>
      </c>
      <c r="CR343" s="51" t="e">
        <f t="shared" ref="CR343:CR390" ca="1" si="1158">CL343-CA343</f>
        <v>#N/A</v>
      </c>
      <c r="CS343" s="439" t="e">
        <f t="shared" ref="CS343:CS390" ca="1" si="1159">(BU343-GM343)/10</f>
        <v>#VALUE!</v>
      </c>
      <c r="CT343" s="51" t="e">
        <f t="shared" ref="CT343:CT390" ca="1" si="1160">CS343*CR343</f>
        <v>#VALUE!</v>
      </c>
      <c r="CU343" s="10"/>
      <c r="CV343" s="51" t="e">
        <f t="shared" ca="1" si="1057"/>
        <v>#VALUE!</v>
      </c>
      <c r="CW343" s="51">
        <f t="shared" ref="CW343:CW390" si="1161">CQ343-CF343</f>
        <v>0</v>
      </c>
      <c r="CX343" s="439" t="e">
        <f t="shared" ref="CX343:CX390" ca="1" si="1162">(BU343-GM343)/10</f>
        <v>#VALUE!</v>
      </c>
      <c r="CY343" s="51" t="e">
        <f t="shared" ref="CY343:CY390" ca="1" si="1163">CX343*CW343</f>
        <v>#VALUE!</v>
      </c>
      <c r="CZ343" s="10"/>
      <c r="DA343" s="51" t="e">
        <f t="shared" ref="DA343:DA390" ca="1" si="1164">(CF343+CY343)*$CZ$21</f>
        <v>#VALUE!</v>
      </c>
      <c r="DB343" s="347" t="e">
        <f ca="1">INDEX(INDIRECT(VLOOKUP(LEFT(BO343,7),CLU!$Z$3:$AI$18,10)),((M343-2)*(6-COUNTBLANK(GT343:GY343)))+GJ343)*LI343</f>
        <v>#N/A</v>
      </c>
      <c r="DC343" s="347" t="str">
        <f>IF(L343&gt;0,((R343/Worksheet!$I$15)/DB343)^2," ")</f>
        <v xml:space="preserve"> </v>
      </c>
      <c r="DD343" s="602" t="str">
        <f t="shared" ref="DD343:DD392" si="1165">IF(L343&gt;0,IF(S343=4,R343/0.087,IF(S343=5,R343/0.136,IF(S343=6,R343/0.197,IF(S343=8,R343/0.35,R343/0.415))))," ")</f>
        <v xml:space="preserve"> </v>
      </c>
      <c r="DE343" s="347" t="str">
        <f t="shared" si="1058"/>
        <v xml:space="preserve"> </v>
      </c>
      <c r="DF343" s="356" t="e">
        <f ca="1">INDEX(INDIRECT(VLOOKUP(LEFT(BO343,7),CLU!$Z$3:$AH$18,8)),((M343-2)*(6-COUNTBLANK(GT343:GY343)))+GJ343)</f>
        <v>#N/A</v>
      </c>
      <c r="DG343" s="347" t="str">
        <f t="shared" si="1059"/>
        <v xml:space="preserve"> </v>
      </c>
      <c r="DH343" s="357" t="str">
        <f t="shared" si="1060"/>
        <v xml:space="preserve"> </v>
      </c>
      <c r="DI343" s="355" t="str">
        <f t="shared" si="1061"/>
        <v xml:space="preserve"> </v>
      </c>
      <c r="DJ343" s="245" t="e">
        <f ca="1">INDEX(INDIRECT(VLOOKUP(LEFT(BO343,7),CLU!$Z$3:$AH$18,5)),GL343,GK343)</f>
        <v>#N/A</v>
      </c>
      <c r="DK343" s="245" t="e">
        <f ca="1">INDEX(INDIRECT(VLOOKUP(LEFT(BO343,7),CLU!$Z$3:$AH$18,6)),GL343,GK343)</f>
        <v>#N/A</v>
      </c>
      <c r="DL343" s="355">
        <f>(Calculation!R343*0.69143*(Calculation!$BQ$8-Calculation!$F$8))*$S$14</f>
        <v>0</v>
      </c>
      <c r="DM343" s="359" t="e">
        <f t="shared" ref="DM343:DM392" si="1166">ABS(AO343*L343)</f>
        <v>#VALUE!</v>
      </c>
      <c r="DN343" s="611">
        <f t="shared" ref="DN343:DN392" si="1167">IF(E343=0,DP343,ROUND((DM343/E343)*100,0))</f>
        <v>0</v>
      </c>
      <c r="DO343" s="359">
        <f t="shared" ref="DO343:DO392" si="1168">100-DN343</f>
        <v>100</v>
      </c>
      <c r="DP343" s="359">
        <f t="shared" ref="DP343:DP392" si="1169">IF(AO343="",0,ROUND(ABS(AO343)/ABS(AQ343)*100,0))</f>
        <v>0</v>
      </c>
      <c r="DQ343" s="360"/>
      <c r="DR343" s="245" t="e">
        <f ca="1">INDEX(INDIRECT(VLOOKUP(LEFT(BO343,7),CLU!$Z$3:$AH$18,7)),M343-1,1)</f>
        <v>#N/A</v>
      </c>
      <c r="DS343" s="245" t="e">
        <f ca="1">INDEX(INDIRECT(VLOOKUP(LEFT(BO343,7),CLU!$Z$3:$AH$18,7)),M343-1,2)</f>
        <v>#N/A</v>
      </c>
      <c r="DT343" s="245" t="e">
        <f ca="1">INDEX(INDIRECT(VLOOKUP(LEFT(BO343,7),CLU!$Z$3:$AH$18,7)),M343-1,3)</f>
        <v>#N/A</v>
      </c>
      <c r="DU343" s="245" t="e">
        <f ca="1">INDEX(INDIRECT(VLOOKUP(LEFT(BO343,7),CLU!$Z$3:$AH$18,7)),M343-1,4)</f>
        <v>#N/A</v>
      </c>
      <c r="DV343" s="361" t="e">
        <f ca="1">INDEX(INDIRECT(VLOOKUP(LEFT(BO343,7),CLU!$Z$3:$AH$18,7)),M343-1,4+LEFT(DZ343,1)*0.5)</f>
        <v>#N/A</v>
      </c>
      <c r="DW343" s="245" t="e">
        <f ca="1">INDEX(INDIRECT(VLOOKUP(LEFT(BO343,7),CLU!$Z$3:$AH$18,7)),M343-1,8)</f>
        <v>#N/A</v>
      </c>
      <c r="DX343" s="361" t="str">
        <f t="shared" si="1062"/>
        <v xml:space="preserve"> </v>
      </c>
      <c r="DY343" s="361" t="str">
        <f t="shared" si="1063"/>
        <v xml:space="preserve"> </v>
      </c>
      <c r="DZ343" s="361" t="str">
        <f t="shared" si="1064"/>
        <v xml:space="preserve"> </v>
      </c>
      <c r="EA343" s="362" t="str">
        <f t="shared" si="1065"/>
        <v xml:space="preserve"> </v>
      </c>
      <c r="EB343" s="624" t="str">
        <f t="shared" ref="EB343:EB392" si="1170">IF(AND(MID(J343,6,2)="12",O343="4 pipe (H/C)"),1,IF(L343&gt;0,IF(BR343&gt;0,IF(MAX(T343,U343)&gt;EA343,2,1),0)," "))</f>
        <v xml:space="preserve"> </v>
      </c>
      <c r="EC343" s="361" t="e">
        <f ca="1">INDEX(INDIRECT(VLOOKUP(LEFT(BO343,7),CLU!$Z$3:$AH$18,7)),M343-1,4+LEFT(DZ343,1)*0.5)</f>
        <v>#N/A</v>
      </c>
      <c r="ED343" s="362" t="str">
        <f t="shared" si="1066"/>
        <v xml:space="preserve"> </v>
      </c>
      <c r="EE343" s="361" t="str">
        <f t="shared" si="1067"/>
        <v xml:space="preserve"> </v>
      </c>
      <c r="EF343" s="362" t="str">
        <f>IF(L343&gt;0,IF(BR343&gt;0,IF(EE343="2P",IF(Calculation!DZ343="2P",IF(Calculation!DS343=13.75,IF(Calculation!DR343=13,Worksheet!$BD$43,IF(Calculation!DR343=37,Worksheet!$BD$44,Worksheet!$BD$45)),IF(Calculation!DS343=10,IF(Calculation!DR343=18,Worksheet!$BD$29,IF(Calculation!DR343=30,Worksheet!$BD$30,IF(Calculation!DR343=42,Worksheet!$BD$31,IF(Calculation!DR343=54,Worksheet!$BD$32,IF(Calculation!DR343=66,Worksheet!$BD$33,IF(Calculation!DR343=78,Worksheet!$BD$34,IF(Calculation!DR343=90,Worksheet!$BD$35,IF(Calculation!DR343=102,Worksheet!$BD$36,Worksheet!$BD$37)))))))),IF(Calculation!DS343=12.5,IF(Calculation!DR343=18,Worksheet!$BD$38,IF(Calculation!DR343=Worksheet!$BD$39,IF(Calculation!DR343=42,Worksheet!$BD$40,IF(Calculation!DR343=54,Worksheet!$BD$41,Worksheet!$BD$42)))),IF(Calculation!DR343=18,Worksheet!$BD$11,IF(Calculation!DR343=30,Worksheet!$BD$12,IF(Calculation!DR343=42,Worksheet!$BD$13,IF(Calculation!DR343=54,Worksheet!$BD$14,IF(Calculation!DR343=66,Worksheet!$BD$15,IF(Calculation!DR343=78,Worksheet!$BD$16,IF(Calculation!DR343=90,Worksheet!$BD$17,IF(Calculation!DR343=102,Worksheet!$BD$18,Worksheet!$BD$19))))))))))),IF(Calculation!DS343=13.75,IF(Calculation!DR343=13,Worksheet!$BD$78,IF(Calculation!DR343=37,Worksheet!$BD$79,Worksheet!$BD$80)),IF(Calculation!DS343=10,IF(Calculation!DR343=18,Worksheet!$BD$64,IF(Calculation!DR343=30,Worksheet!$BD$65,IF(Calculation!DR343=42,Worksheet!$BD$66,IF(Calculation!DR343=54,Worksheet!$BD$68,IF(Calculation!DR343=66,Worksheet!$BD$68,IF(Calculation!DR343=78,Worksheet!$BD$69,IF(Calculation!DR343=90,Worksheet!$BD$70,IF(Calculation!DR343=102,Worksheet!$BD$71,Worksheet!$BD$72)))))))),IF(Calculation!DS343=12.5,IF(Calculation!DR343=18,Worksheet!$BD$73,IF(Calculation!DR343=Worksheet!$BD$74,IF(Calculation!DR343=42,Worksheet!$BD$75,IF(Calculation!DR343=54,Worksheet!$BD$76,Worksheet!$BD$77)))),IF(Calculation!DR343=18,Worksheet!$BD$55,IF(Calculation!DR343=30,Worksheet!$BD$56,IF(Calculation!DR343=42,Worksheet!$BD$57,IF(Calculation!DR343=54,Worksheet!$BD$58,IF(Calculation!DR343=66,Worksheet!$BD$59,IF(Calculation!DR343=78,Worksheet!$BD$60,IF(Calculation!DR343=90,Worksheet!$BD$61,IF(Calculation!DR343=102,Worksheet!$BD$62,Worksheet!$BD$63)))))))))))),5),0)," ")</f>
        <v xml:space="preserve"> </v>
      </c>
      <c r="EG343" s="361" t="str">
        <f t="shared" si="1068"/>
        <v xml:space="preserve"> </v>
      </c>
      <c r="EH343" s="361" t="e">
        <f ca="1">INDEX(INDIRECT(VLOOKUP(LEFT(BO343,7),CLU!$Z$3:$AH$18,7)),M343-1,3+LEFT(DZ343,1))</f>
        <v>#N/A</v>
      </c>
      <c r="EI343" s="362" t="str">
        <f t="shared" si="1069"/>
        <v xml:space="preserve"> </v>
      </c>
      <c r="EJ343" s="363" t="str">
        <f t="shared" si="1070"/>
        <v xml:space="preserve"> </v>
      </c>
      <c r="EK343" s="363" t="str">
        <f t="shared" si="1071"/>
        <v xml:space="preserve"> </v>
      </c>
      <c r="EL343" s="363" t="str">
        <f t="shared" si="1072"/>
        <v xml:space="preserve"> </v>
      </c>
      <c r="EM343" s="362" t="str">
        <f>IF(L343&gt;0,IF(BR343&gt;0,(Calculation!T343/ED343)^2,0)," ")</f>
        <v xml:space="preserve"> </v>
      </c>
      <c r="EN343" s="362" t="str">
        <f>IF(L343&gt;0,IF(O343="2 Pipe (Cooling)","N/A",IF(BR343&gt;0,(Calculation!U343/EI343)^2,0))," ")</f>
        <v xml:space="preserve"> </v>
      </c>
      <c r="EO343" s="361" t="str">
        <f t="shared" si="1073"/>
        <v/>
      </c>
      <c r="EP343" s="361" t="str">
        <f t="shared" si="1074"/>
        <v/>
      </c>
      <c r="EQ343" s="361" t="str">
        <f t="shared" si="1075"/>
        <v/>
      </c>
      <c r="ER343" s="361" t="str">
        <f t="shared" si="1076"/>
        <v/>
      </c>
      <c r="ES343" s="361" t="str">
        <f t="shared" si="1077"/>
        <v/>
      </c>
      <c r="ET343" s="361" t="str">
        <f t="shared" si="1078"/>
        <v/>
      </c>
      <c r="EU343" s="361" t="str">
        <f t="shared" si="1079"/>
        <v/>
      </c>
      <c r="EV343" s="361" t="str">
        <f t="shared" si="1080"/>
        <v/>
      </c>
      <c r="EW343" s="361" t="str">
        <f t="shared" si="1081"/>
        <v/>
      </c>
      <c r="EX343" s="361" t="str">
        <f t="shared" ref="EX343:EX392" si="1171">IF(J343="CBAM","4 way",IF(J343="CBLV","2 slots, 2 way",IF(J343="CBAV","As specified *","1 slot, 1 way")))</f>
        <v>1 slot, 1 way</v>
      </c>
      <c r="EY343" s="361" t="str">
        <f t="shared" ref="EY343:EY392" si="1172">IF(J343="CBAL2","2 slots, 2 way",IF(J343="CBE2-24","2 slots, 2 way",IF(J343="CBLV-12","2 slots, 2 way",IF(J343="CBE2-12","2 slots, 2 way"," "))))</f>
        <v xml:space="preserve"> </v>
      </c>
      <c r="EZ343" s="361" t="str">
        <f t="shared" ref="EZ343:EZ392" si="1173">IF(J343&gt;0,"2 pipe (cooling)"," ")</f>
        <v xml:space="preserve"> </v>
      </c>
      <c r="FA343" s="361" t="str">
        <f t="shared" ref="FA343:FA392" si="1174">IF(J343&gt;0,"2 pipe (H/C)"," ")</f>
        <v xml:space="preserve"> </v>
      </c>
      <c r="FB343" s="361" t="str">
        <f t="shared" ref="FB343:FB392" si="1175">IF(J343&gt;0,"4 pipe (H/C)"," ")</f>
        <v xml:space="preserve"> </v>
      </c>
      <c r="FC343" s="361"/>
      <c r="FD343" s="361" t="str">
        <f>IF(J343&gt;0,IF(Calculation!R343&lt;=70,4,IF(Calculation!R343&lt;=110,5,IF(Calculation!R343&lt;=160,6,IF(Calculation!R343&lt;=300,8,"10 EO")))),"")</f>
        <v/>
      </c>
      <c r="FE343" s="361" t="str">
        <f t="shared" ref="FE343:FE392" si="1176">IF(J343&gt;0,IF(FD343=4,5,IF(FD343=5,6,IF(FD343=6,8,IF(FD343=8,"10 EO","")))),"")</f>
        <v/>
      </c>
      <c r="FF343" s="361" t="str">
        <f t="shared" ref="FF343:FF392" si="1177">IF(J343&gt;0,IF(FE343=4,5,IF(FE343=5,6,IF(FE343=6,8,IF(FE343=8,"10 EO","")))),"")</f>
        <v/>
      </c>
      <c r="FG343" s="361" t="e">
        <f t="shared" si="1082"/>
        <v>#N/A</v>
      </c>
      <c r="FH343" s="361">
        <f t="shared" si="1083"/>
        <v>0</v>
      </c>
      <c r="FI343" s="361" t="e">
        <f t="shared" si="1084"/>
        <v>#DIV/0!</v>
      </c>
      <c r="FJ343" s="361"/>
      <c r="FK343" s="356" t="e">
        <f t="shared" si="1085"/>
        <v>#VALUE!</v>
      </c>
      <c r="FL343" s="361"/>
      <c r="FM343" s="361"/>
      <c r="FN343" s="362" t="str">
        <f t="shared" ref="FN343:FN392" si="1178">IF(L343&gt;0,IF(J343="CBLV-12",0.5,IF(J343="CBE2-12",0.5,IF(J343="CBLV",0.5,0.25)))," ")</f>
        <v xml:space="preserve"> </v>
      </c>
      <c r="FO343" s="362" t="str">
        <f t="shared" ref="FO343:FO392" si="1179">IF(L343&gt;0,IF(J343="CBAW",1.9,IF(J343="CBAM",1.7,IF(J343="CBAL-12",4,IF(J343="CBE2-12",4,IF(J343="CBLV",4,2.5)))))," ")</f>
        <v xml:space="preserve"> </v>
      </c>
      <c r="FP343" s="362">
        <f t="shared" ref="FP343:FP392" si="1180">IF(T343=0,0,IF(OR(LEFT(BO343,7)="CBLV-00",LEFT(BO343,7)="CBLV-12"),1,0.5))</f>
        <v>0</v>
      </c>
      <c r="FQ343" s="361">
        <f t="shared" si="1086"/>
        <v>0</v>
      </c>
      <c r="FR343" s="362" t="str">
        <f>IF(L343&gt;0,IF(J343="CBAL2",Worksheet!$P$67,IF(J343="CBE2-24",Worksheet!$Q$67,IF(J343="CBAM",Worksheet!$R$67,IF(J343="CBLV",Worksheet!$S$67,IF(J343="CBAB",Worksheet!$U$67,IF(J343="CBAW",Worksheet!$X$67,IF(J343="CBE2-12",Worksheet!$Y$67,IF(J343="CBAL2",Worksheet!$Z$67,"N/A"))))))))," ")</f>
        <v xml:space="preserve"> </v>
      </c>
      <c r="FS343" s="362" t="str">
        <f>IF(L343&gt;0,IF(J343="CBAL2",Worksheet!$P$68,IF(J343="CBE2-24",Worksheet!$Q$68,IF(J343="CBAM",Worksheet!$R$68,IF(J343="CBLV",Worksheet!$S$68,IF(J343="CBAB",Worksheet!$U$68,IF(J343="CBAW",Worksheet!$X$68,IF(J343="CBE2-12",Worksheet!$Y$68,IF(J343="CBAL2",Worksheet!$Z$68,"N/A"))))))))," ")</f>
        <v xml:space="preserve"> </v>
      </c>
      <c r="FT343" s="362" t="str">
        <f>IF(L343&gt;0,IF(J343="CBAL2",Worksheet!$P$69,IF(J343="CBE2-24",Worksheet!$Q$69,IF(J343="CBAM",Worksheet!$R$69,IF(J343="CBLV",Worksheet!$S$69,IF(J343="CBAB",Worksheet!$U$69,IF(J343="CBAW",Worksheet!$X$69,IF(J343="CBE2-12",Worksheet!$Y$69,IF(J343="CBAL2",Worksheet!$Z$69,"N/A"))))))))," ")</f>
        <v xml:space="preserve"> </v>
      </c>
      <c r="FU343" s="361" t="str">
        <f t="shared" ref="FU343:FU392" si="1181">IF(FR343="N/A","N/A",IF(BD343&gt;0,MIN(FR343*(DI343/(0.5*BG343))^2/(DH343^2),FS343*(DI343/(0.5*BG343))/DH343,FT343*(DI343/(0.5*BG343))^0.5/(DH343^0.5))," "))</f>
        <v xml:space="preserve"> </v>
      </c>
      <c r="FV343" s="362" t="str">
        <f t="shared" ref="FV343:FV392" si="1182">IF(FU343="N/A","N/A",IF(BD343&gt;0,0.5*(3.5/(BD343-BE343))^0.8," "))</f>
        <v xml:space="preserve"> </v>
      </c>
      <c r="FW343" s="362" t="str">
        <f t="shared" ref="FW343:FW392" si="1183">IF(FU343="N/A","N/A",IF(BD343&gt;0,($F$6-AS343)*0.01," "))</f>
        <v xml:space="preserve"> </v>
      </c>
      <c r="FX343" s="362" t="str">
        <f t="shared" ref="FX343:FX392" si="1184">IF(FU343="N/A","N/A",IF(BD343&gt;0,(AZ343-$H$6)*0.01," "))</f>
        <v xml:space="preserve"> </v>
      </c>
      <c r="FY343" s="355" t="str">
        <f t="shared" ref="FY343:FY392" si="1185">IF(FR343="N/A","N/A",IF(BD343&gt;0,MIN(FR343*(DI343/(BD343+BF343-BE343))^2/(DH343^2),FS343*(DI343/(BD343-BE343+BF343))/DH343,FT343*(DI343/(BD343-BE343+BF343))^0.5/(DH343^0.5))," "))</f>
        <v xml:space="preserve"> </v>
      </c>
      <c r="FZ343" s="361" t="str">
        <f t="shared" ref="FZ343:FZ392" si="1186">IF(BD343&gt;0,IF(FU343="N/A","N/A",FU343*FV343*(1-FW343))," ")</f>
        <v xml:space="preserve"> </v>
      </c>
      <c r="GA343" s="347" t="str">
        <f t="shared" ref="GA343:GA392" si="1187">IF(BD343&gt;0,IF(FU343="N/A","N/A",$F$6-(FZ343/DI343)*($F$6-AS343))," ")</f>
        <v xml:space="preserve"> </v>
      </c>
      <c r="GB343" s="355" t="str">
        <f t="shared" ref="GB343:GB392" si="1188">IF(BD343&gt;0,IF(FU343="N/A","N/A",FY343*(1+FW343))," ")</f>
        <v xml:space="preserve"> </v>
      </c>
      <c r="GC343" s="328" t="str">
        <f t="shared" ref="GC343:GC392" si="1189">IF(BD343&gt;0,IF(FU343="N/A","N/A",$F$6-(FY343/DI343)*($F$6-AS343))," ")</f>
        <v xml:space="preserve"> </v>
      </c>
      <c r="GD343" s="361" t="str">
        <f t="shared" ref="GD343:GD392" si="1190">IF(BD343&gt;0,IF(FU343="N/A","N/A",FU343*FV343*(1-FX343))," ")</f>
        <v xml:space="preserve"> </v>
      </c>
      <c r="GE343" s="347" t="str">
        <f t="shared" ref="GE343:GE392" si="1191">IF(BD343&gt;0,IF(FU343="N/A","N/A",$H$6-(GD343/DI343)*($H$6-AZ343))," ")</f>
        <v xml:space="preserve"> </v>
      </c>
      <c r="GF343" s="361" t="str">
        <f t="shared" ref="GF343:GF392" si="1192">IF(BD343&gt;0,IF(FU343="N/A","N/A",FY343*(1-FX343))," ")</f>
        <v xml:space="preserve"> </v>
      </c>
      <c r="GG343" s="347" t="str">
        <f t="shared" ref="GG343:GG392" si="1193">IF(BD343&gt;0,IF(FU343="N/A","N/A",$H$6-(GF343/DI343)*($H$6-AZ343))," ")</f>
        <v xml:space="preserve"> </v>
      </c>
      <c r="GH343" s="364">
        <f t="shared" si="1087"/>
        <v>0</v>
      </c>
      <c r="GI343" s="362">
        <f t="shared" ref="GI343:GI392" si="1194">COUNTA(J343:R343)+COUNTA(T343)</f>
        <v>2</v>
      </c>
      <c r="GJ343" s="433" t="e">
        <f>IF(6-COUNTBLANK(GT343:GY343)=4,MATCH(MID(BO343,9,3),CLU!$H$16:$K$16),MATCH(MID(BO343,9,3),CLU!$H$13:$M$13))</f>
        <v>#N/A</v>
      </c>
      <c r="GK343" s="433" t="e">
        <f>HLOOKUP(VALUE(BP343),CLU!$H$9:$M$10,2)</f>
        <v>#VALUE!</v>
      </c>
      <c r="GL343" s="433" t="e">
        <f ca="1">MATCH(BU343,CLU!$H$2:$V$2,1)</f>
        <v>#VALUE!</v>
      </c>
      <c r="GM343" s="433" t="e">
        <f t="shared" ref="GM343:GM390" ca="1" si="1195">((GL343-1)*10)+15</f>
        <v>#VALUE!</v>
      </c>
      <c r="GN343" s="433" t="e">
        <f t="shared" ref="GN343:GN390" ca="1" si="1196">((M343-2)*15)+GL343</f>
        <v>#VALUE!</v>
      </c>
      <c r="GO343" s="433" t="e">
        <f t="shared" ref="GO343:GO390" ca="1" si="1197">IF(GL343=15,15,GL343+1)</f>
        <v>#VALUE!</v>
      </c>
      <c r="GP343" s="433" t="e">
        <f t="shared" ref="GP343:GP390" ca="1" si="1198">((GO343-1)*10)+15</f>
        <v>#VALUE!</v>
      </c>
      <c r="GQ343" s="433" t="e">
        <f t="shared" ref="GQ343:GQ390" ca="1" si="1199">((M343-2)*15)+GO343</f>
        <v>#VALUE!</v>
      </c>
      <c r="GR343" s="433" t="e">
        <f ca="1">MATCH(T343,INDIRECT(VLOOKUP(CONCATENATE(LEFT(BO343,7),"-",MID(BO343,13,1)),CLU!$P$3:$Q$16,2)),1)</f>
        <v>#N/A</v>
      </c>
      <c r="GS343" s="433" t="e">
        <f ca="1">MATCH(U343,INDIRECT(VLOOKUP(CONCATENATE(LEFT(BO343,7),"-",MID(BO343,13,1)),CLU!$P$3:$Q$16,2)),1)</f>
        <v>#N/A</v>
      </c>
      <c r="GT343" s="347" t="s">
        <v>512</v>
      </c>
      <c r="GU343" s="97" t="s">
        <v>513</v>
      </c>
      <c r="GV343" s="97" t="str">
        <f t="shared" ref="GV343:GV392" si="1200">IF(J343="CBAL2","M20",IF(J343="CBE2-24","M20","M23"))</f>
        <v>M23</v>
      </c>
      <c r="GW343" s="97" t="str">
        <f t="shared" ref="GW343:GW392" si="1201">IF(J343="CBAL2","M23",IF(J343="CBE2-24","M23","M31"))</f>
        <v>M31</v>
      </c>
      <c r="GX343" s="97" t="str">
        <f t="shared" ref="GX343:GX392" si="1202">IF(J343="CBAL2","M27",IF(J343="CBE2-24","M27",""))</f>
        <v/>
      </c>
      <c r="GY343" s="97" t="str">
        <f t="shared" ref="GY343:GY392" si="1203">IF(J343="CBAL2","M31",IF(J343="CBE2-24","M31",""))</f>
        <v/>
      </c>
      <c r="GZ343" s="481"/>
      <c r="HA343" s="240"/>
      <c r="HB343" s="240"/>
      <c r="HC343" s="240"/>
      <c r="HD343" s="240"/>
      <c r="HE343" s="240"/>
      <c r="HF343" s="240"/>
      <c r="HG343" s="240"/>
      <c r="HH343" s="240"/>
      <c r="HI343" s="240"/>
      <c r="HJ343" s="240"/>
      <c r="HK343" s="240"/>
      <c r="HL343" s="240"/>
      <c r="HM343" s="240"/>
      <c r="HN343" s="240"/>
      <c r="HO343" s="240"/>
      <c r="HP343" s="240"/>
      <c r="HQ343" s="240"/>
      <c r="HR343" s="240"/>
      <c r="HS343" s="240"/>
      <c r="HT343" s="240"/>
      <c r="HU343" s="240"/>
      <c r="HV343" s="245"/>
      <c r="HW343" s="245" t="b">
        <v>1</v>
      </c>
      <c r="HX343" s="245" t="str">
        <f t="shared" si="1088"/>
        <v/>
      </c>
      <c r="HY343" s="245" t="e">
        <f t="shared" si="1089"/>
        <v>#DIV/0!</v>
      </c>
      <c r="HZ343" s="245" t="e">
        <f t="shared" si="1090"/>
        <v>#DIV/0!</v>
      </c>
      <c r="IA343" s="245">
        <f t="shared" si="1091"/>
        <v>0</v>
      </c>
      <c r="IB343" s="245"/>
      <c r="IC343" t="b">
        <f t="shared" si="1092"/>
        <v>1</v>
      </c>
      <c r="ID343" s="245" t="b">
        <f t="shared" si="1093"/>
        <v>1</v>
      </c>
      <c r="IE343" s="245" t="b">
        <f t="shared" si="1094"/>
        <v>1</v>
      </c>
      <c r="IF343" s="245" t="b">
        <f t="shared" si="1095"/>
        <v>0</v>
      </c>
      <c r="IG343" s="245" t="b">
        <f t="shared" si="1096"/>
        <v>1</v>
      </c>
      <c r="IH343" s="245" t="b">
        <f t="shared" si="1097"/>
        <v>1</v>
      </c>
      <c r="II343" s="245">
        <f t="shared" ref="II343:II392" si="1204">IFERROR(IF(AND(IV343&gt;0,HW343=TRUE,IW343&gt;0,HX343&gt;0,IC343=FALSE,ID343=FALSE,IE343=FALSE,IF343=TRUE,IG343=FALSE,IH343=FALSE),1,0),0)</f>
        <v>0</v>
      </c>
      <c r="IJ343" s="245" t="e">
        <f t="shared" si="1098"/>
        <v>#VALUE!</v>
      </c>
      <c r="IK343" s="245" t="e">
        <f t="shared" si="1099"/>
        <v>#VALUE!</v>
      </c>
      <c r="IL343" s="245"/>
      <c r="IM343" s="245" t="e">
        <f t="shared" ref="IM343:IM390" si="1205">VLOOKUP(MATCH(LEFT(HX343,7),$IM$7:$IM$17,0),$IL$7:$IO$17,3)</f>
        <v>#N/A</v>
      </c>
      <c r="IN343" s="245" t="e">
        <f t="shared" ref="IN343:IN392" si="1206">VLOOKUP(MATCH(LEFT(HX343,7),$IM$7:$IM$17,0),$IL$7:$IO$17,4)</f>
        <v>#N/A</v>
      </c>
      <c r="IO343" s="245"/>
      <c r="IP343" s="245"/>
      <c r="IQ343" s="245" t="str">
        <f t="shared" si="1100"/>
        <v/>
      </c>
      <c r="IR343" s="245" t="str">
        <f>IF(J343="","",VLOOKUP(J343,Worksheet!$R$4:$T$14,2))</f>
        <v/>
      </c>
      <c r="IS343" s="245"/>
      <c r="IT343" s="245">
        <f t="shared" si="1101"/>
        <v>0</v>
      </c>
      <c r="IU343" s="245">
        <f t="shared" si="1102"/>
        <v>0</v>
      </c>
      <c r="IV343" s="245">
        <f t="shared" si="1103"/>
        <v>0</v>
      </c>
      <c r="IW343" s="245">
        <f t="shared" si="1104"/>
        <v>0</v>
      </c>
      <c r="IX343" s="245">
        <f t="shared" ref="IX343:IX392" si="1207">IFERROR(MATCH(P343,GT343:GY343,0),0)</f>
        <v>0</v>
      </c>
      <c r="IY343" s="245">
        <f t="shared" si="1105"/>
        <v>0</v>
      </c>
      <c r="IZ343" s="245">
        <f t="shared" si="1106"/>
        <v>0</v>
      </c>
      <c r="JA343">
        <f t="shared" si="1107"/>
        <v>0</v>
      </c>
      <c r="JB343">
        <f t="shared" ref="JB343:JB392" si="1208">IF(ISERROR(IF(MIN(IT343,IU343,IV343,IW343,IX343,IZ343,JA343)=0,0,1))=TRUE,0,MIN(IT343,IU343,IV343,IW343,IX343,IZ343,JA343))</f>
        <v>0</v>
      </c>
      <c r="JC343">
        <f t="shared" si="1108"/>
        <v>0</v>
      </c>
      <c r="JD343">
        <f t="shared" si="1109"/>
        <v>0</v>
      </c>
      <c r="JE343">
        <f t="shared" si="1110"/>
        <v>0</v>
      </c>
      <c r="JF343">
        <f t="shared" si="1111"/>
        <v>0</v>
      </c>
      <c r="JG343">
        <f t="shared" si="1112"/>
        <v>0</v>
      </c>
      <c r="JH343">
        <f t="shared" si="1113"/>
        <v>0</v>
      </c>
      <c r="JI343">
        <f t="shared" si="1114"/>
        <v>0</v>
      </c>
      <c r="JJ343" s="447">
        <f t="shared" si="1115"/>
        <v>0</v>
      </c>
      <c r="JK343" s="447">
        <f t="shared" si="1116"/>
        <v>0</v>
      </c>
      <c r="JL343">
        <f t="shared" si="1117"/>
        <v>0</v>
      </c>
      <c r="JM343" s="245" t="str">
        <f>IFERROR(VLOOKUP(MATCH(BN343,#REF!,0),#REF!,7),"")</f>
        <v/>
      </c>
      <c r="JN343" t="e">
        <f>HLOOKUP(LEFT(BO343,7),Discharge_Area,MATCH(JO343,LookUps!$B$130:$B$149,1)+2)</f>
        <v>#N/A</v>
      </c>
      <c r="JO343" t="str">
        <f t="shared" si="1118"/>
        <v>- S</v>
      </c>
      <c r="JP343" t="e">
        <f>HLOOKUP(LEFT(BO343,7),Discharge_Area,MATCH(JO343,LookUps!$B$130:$B$149,1)+2)</f>
        <v>#N/A</v>
      </c>
      <c r="JQ343" t="e">
        <f t="shared" si="1119"/>
        <v>#N/A</v>
      </c>
      <c r="JR343" t="e">
        <f t="shared" si="1120"/>
        <v>#N/A</v>
      </c>
      <c r="JS343" t="e">
        <f t="shared" si="1121"/>
        <v>#N/A</v>
      </c>
      <c r="JT343" s="532" t="str">
        <f t="shared" si="1122"/>
        <v xml:space="preserve"> </v>
      </c>
      <c r="JU343" s="532" t="str">
        <f t="shared" si="1123"/>
        <v xml:space="preserve"> </v>
      </c>
      <c r="JV343" s="533" t="str">
        <f t="shared" si="1124"/>
        <v xml:space="preserve"> </v>
      </c>
      <c r="JW343" s="534">
        <f t="shared" si="1125"/>
        <v>0</v>
      </c>
      <c r="JX343" s="535" t="str">
        <f t="shared" ref="JX343:JX392" si="1209">IF(JW343&gt;0,JV343/(JW343/JQ343/SQRT(JP343/2))^0.5," ")</f>
        <v xml:space="preserve"> </v>
      </c>
      <c r="JY343" s="535" t="str">
        <f t="shared" ref="JY343:JY392" si="1210">IF(JW343&gt;0,JV343/(JW343/JR343/SQRT(JP343/2))," ")</f>
        <v xml:space="preserve"> </v>
      </c>
      <c r="JZ343" s="535" t="str">
        <f t="shared" ref="JZ343:JZ392" si="1211">IF(JW343&gt;0,JV343/(JW343/JS343/SQRT(JP343/2))^2," ")</f>
        <v xml:space="preserve"> </v>
      </c>
      <c r="KA343" s="536" t="str">
        <f t="shared" si="1126"/>
        <v xml:space="preserve"> </v>
      </c>
      <c r="KB343" s="535" t="e">
        <f t="shared" ref="KB343:KB392" si="1212">IF(JW343&gt;0,MIN(JX343:JZ343)*KA343," ")*0.6</f>
        <v>#VALUE!</v>
      </c>
      <c r="KC343" s="535" t="str">
        <f t="shared" si="1127"/>
        <v/>
      </c>
      <c r="KD343" s="537" t="str">
        <f t="shared" ref="KD343:KD392" si="1213">IF(JW343&gt;0,(0.72*(KB343/JV343)*(JV343/200)^0.2)*JT343," ")</f>
        <v xml:space="preserve"> </v>
      </c>
      <c r="KE343" s="537" t="str">
        <f t="shared" ref="KE343:KE392" si="1214">IF(JW343&gt;0,(0.72*(KC343/JV343)*(JV343/200)^0.2)*JU343," ")</f>
        <v xml:space="preserve"> </v>
      </c>
      <c r="KF343" s="534">
        <f t="shared" si="1128"/>
        <v>0</v>
      </c>
      <c r="KG343" s="535" t="str">
        <f t="shared" si="1129"/>
        <v xml:space="preserve"> </v>
      </c>
      <c r="KH343" s="535" t="str">
        <f t="shared" si="1130"/>
        <v xml:space="preserve"> </v>
      </c>
      <c r="KI343" s="535" t="str">
        <f t="shared" si="1131"/>
        <v xml:space="preserve"> </v>
      </c>
      <c r="KJ343" s="536" t="str">
        <f t="shared" si="1132"/>
        <v xml:space="preserve"> </v>
      </c>
      <c r="KK343" s="535" t="str">
        <f t="shared" ref="KK343:KK392" si="1215">IF(KF343&gt;0,MIN(KG343:KI343)*KJ343," ")</f>
        <v xml:space="preserve"> </v>
      </c>
      <c r="KL343" s="535" t="str">
        <f t="shared" ref="KL343:KL392" si="1216">IF(KF343&gt;0,KJ343*MIN(KG343:KI343)/(KB343/10)^0.3," ")</f>
        <v xml:space="preserve"> </v>
      </c>
      <c r="KM343" s="537" t="str">
        <f t="shared" si="1133"/>
        <v xml:space="preserve"> </v>
      </c>
      <c r="KN343" s="537" t="str">
        <f t="shared" ref="KN343:KN392" si="1217">IF(KF343&gt;0,KM343*JU343/JT343," ")</f>
        <v xml:space="preserve"> </v>
      </c>
      <c r="KP343">
        <f t="shared" si="1134"/>
        <v>0</v>
      </c>
      <c r="LA343" t="e">
        <f t="shared" si="1135"/>
        <v>#VALUE!</v>
      </c>
      <c r="LB343" t="e">
        <f t="shared" si="1136"/>
        <v>#VALUE!</v>
      </c>
      <c r="LC343" t="e">
        <f t="shared" si="1137"/>
        <v>#VALUE!</v>
      </c>
      <c r="LD343" t="e">
        <f t="shared" si="1138"/>
        <v>#VALUE!</v>
      </c>
      <c r="LE343" t="e">
        <f t="shared" ref="LE343:LE392" si="1218">SUM(LA343+LB343+LC343-LD343)+11.198</f>
        <v>#VALUE!</v>
      </c>
      <c r="LF343">
        <f t="shared" si="1139"/>
        <v>0</v>
      </c>
      <c r="LG343" t="e">
        <f t="shared" ref="LG343:LG392" si="1219">ROUND(IF((LE343-17)&lt;15,15,LE343-17)+LF343,0)</f>
        <v>#VALUE!</v>
      </c>
      <c r="LH343" t="str">
        <f t="shared" si="1140"/>
        <v xml:space="preserve"> </v>
      </c>
      <c r="LI343">
        <f t="shared" ref="LI343:LI392" si="1220">IF(OR(LEFT(HX343,9)="CBAL2-0-1",LEFT(HX343,9)="CBLV-12-1",LEFT(HX343,9)="CBE2-24-1",LEFT(HX343,9)="CBE2-12-1")=TRUE,0.525,1)</f>
        <v>1</v>
      </c>
    </row>
    <row r="344" spans="2:321" ht="15" customHeight="1">
      <c r="B344" s="311"/>
      <c r="C344" s="311"/>
      <c r="D344" s="312"/>
      <c r="E344" s="311"/>
      <c r="F344" s="312"/>
      <c r="G344" s="311"/>
      <c r="H344" s="311"/>
      <c r="I344" s="232"/>
      <c r="J344" s="311"/>
      <c r="K344" s="305" t="str">
        <f t="shared" si="1141"/>
        <v/>
      </c>
      <c r="L344" s="313"/>
      <c r="M344" s="312"/>
      <c r="N344" s="311"/>
      <c r="O344" s="312"/>
      <c r="P344" s="311"/>
      <c r="Q344" s="305" t="str">
        <f t="shared" si="1142"/>
        <v/>
      </c>
      <c r="R344" s="314"/>
      <c r="S344" s="450" t="str">
        <f t="shared" si="1025"/>
        <v/>
      </c>
      <c r="T344" s="315"/>
      <c r="U344" s="315"/>
      <c r="W344" s="149" t="str">
        <f t="shared" si="1026"/>
        <v xml:space="preserve"> </v>
      </c>
      <c r="X344" s="243" t="str">
        <f t="shared" si="1027"/>
        <v xml:space="preserve"> </v>
      </c>
      <c r="Y344" s="150" t="str">
        <f t="shared" si="1028"/>
        <v/>
      </c>
      <c r="Z344" s="149" t="str">
        <f t="shared" si="1029"/>
        <v xml:space="preserve"> </v>
      </c>
      <c r="AA344" s="98" t="str">
        <f t="shared" si="1030"/>
        <v xml:space="preserve"> </v>
      </c>
      <c r="AB344" s="153" t="str">
        <f t="shared" si="1031"/>
        <v xml:space="preserve"> </v>
      </c>
      <c r="AC344" s="153" t="str">
        <f t="shared" si="1032"/>
        <v xml:space="preserve"> </v>
      </c>
      <c r="AD344" s="148" t="str">
        <f t="shared" si="1033"/>
        <v/>
      </c>
      <c r="AE344" s="149" t="str">
        <f t="shared" si="1034"/>
        <v/>
      </c>
      <c r="AF344" s="151" t="str">
        <f t="shared" si="1035"/>
        <v xml:space="preserve"> </v>
      </c>
      <c r="AG344" s="153" t="str">
        <f t="shared" si="1036"/>
        <v xml:space="preserve"> </v>
      </c>
      <c r="AH344" s="98" t="str">
        <f t="shared" si="1037"/>
        <v xml:space="preserve"> </v>
      </c>
      <c r="AI344" s="149" t="str">
        <f t="shared" si="1038"/>
        <v xml:space="preserve"> </v>
      </c>
      <c r="AK344" s="144" t="str">
        <f t="shared" si="1039"/>
        <v xml:space="preserve"> </v>
      </c>
      <c r="AL344" s="144"/>
      <c r="AM344" s="243" t="str">
        <f t="shared" si="1040"/>
        <v xml:space="preserve"> </v>
      </c>
      <c r="AN344" s="149" t="str">
        <f t="shared" si="1143"/>
        <v xml:space="preserve"> </v>
      </c>
      <c r="AO344" s="144" t="str">
        <f>IF(JB344&gt;0,IF(GI344=10,-R344*1.085*(Calculation!$F$6-Calculation!$F$13)*$S$14," "),"")</f>
        <v/>
      </c>
      <c r="AP344" s="144" t="str">
        <f t="shared" si="1041"/>
        <v/>
      </c>
      <c r="AQ344" s="56" t="str">
        <f t="shared" si="1042"/>
        <v/>
      </c>
      <c r="AR344" s="144" t="str">
        <f t="shared" si="1043"/>
        <v/>
      </c>
      <c r="AS344" s="176" t="str">
        <f t="shared" si="1044"/>
        <v/>
      </c>
      <c r="AT344" s="176" t="str">
        <f t="shared" si="1144"/>
        <v xml:space="preserve"> </v>
      </c>
      <c r="AU344" s="176" t="str">
        <f t="shared" si="1045"/>
        <v/>
      </c>
      <c r="AV344" s="177" t="str">
        <f t="shared" si="1046"/>
        <v xml:space="preserve"> </v>
      </c>
      <c r="AW344" s="144" t="str">
        <f t="shared" si="1047"/>
        <v xml:space="preserve"> </v>
      </c>
      <c r="AX344" s="144" t="str">
        <f t="shared" si="1048"/>
        <v xml:space="preserve"> </v>
      </c>
      <c r="AY344" s="152" t="str">
        <f t="shared" si="1049"/>
        <v xml:space="preserve"> </v>
      </c>
      <c r="AZ344" s="246" t="str">
        <f t="shared" si="1050"/>
        <v/>
      </c>
      <c r="BA344" s="176" t="str">
        <f t="shared" si="1051"/>
        <v xml:space="preserve"> </v>
      </c>
      <c r="BB344" s="176" t="str">
        <f t="shared" si="1052"/>
        <v xml:space="preserve"> </v>
      </c>
      <c r="BC344" s="195"/>
      <c r="BD344" s="316"/>
      <c r="BE344" s="317"/>
      <c r="BF344" s="318"/>
      <c r="BG344" s="318"/>
      <c r="BH344" s="144" t="str">
        <f t="shared" ref="BH344:BH392" si="1221">IFERROR(KK344,"")</f>
        <v xml:space="preserve"> </v>
      </c>
      <c r="BI344" s="176" t="str">
        <f t="shared" si="1053"/>
        <v/>
      </c>
      <c r="BJ344" s="144" t="str">
        <f t="shared" ref="BJ344:BJ392" si="1222">IFERROR(KB344,"")</f>
        <v/>
      </c>
      <c r="BK344" s="246" t="str">
        <f t="shared" si="1054"/>
        <v/>
      </c>
      <c r="BL344" s="144" t="str">
        <f t="shared" ref="BL344:BL392" si="1223">IFERROR(KC344,"")</f>
        <v/>
      </c>
      <c r="BM344" s="246" t="str">
        <f t="shared" si="1055"/>
        <v/>
      </c>
      <c r="BN344" s="337" t="str">
        <f t="shared" si="1145"/>
        <v/>
      </c>
      <c r="BO344" s="371" t="str">
        <f t="shared" si="1146"/>
        <v/>
      </c>
      <c r="BP344" s="328" t="str">
        <f t="shared" ref="BP344:BP393" si="1224">IF(AND(N344&gt;0,O344&gt;0),IF(LEFT(BO344,4)="CBAV",VALUE(CONCATENATE(1,LEFT(O344,1))),VALUE(CONCATENATE(LEFT(N344,1),(LEFT(O344,1)))))," ")</f>
        <v xml:space="preserve"> </v>
      </c>
      <c r="BQ344" s="347" t="str">
        <f t="shared" si="1147"/>
        <v xml:space="preserve"> </v>
      </c>
      <c r="BR344" s="353" t="str">
        <f t="shared" si="1148"/>
        <v xml:space="preserve"> </v>
      </c>
      <c r="BS344" s="626" t="str">
        <f>IF(L344&gt;0,IF(Calculation!P344="M13",BR344*3.1416*(0.134^2)/(4*144),IF(Calculation!P344="M17",BR344*3.1416*(0.165^2)/(4*144),IF(Calculation!P344="M20",BR344*3.1416*(0.198^2)/(4*144),IF(Calculation!P344="M23",BR344*3.1416*(0.228^2)/(4*144),IF(Calculation!P344="M27",BR344*3.1416*(0.269^2)/(4*144),BR344*3.1416*(0.307^2)/(4*144))))))," ")</f>
        <v xml:space="preserve"> </v>
      </c>
      <c r="BT344" s="353" t="str">
        <f>IF(L344&gt;0,IF(BS344&gt;0,R344/Calculation!BS344,0)," ")</f>
        <v xml:space="preserve"> </v>
      </c>
      <c r="BU344" s="438" t="e">
        <f t="shared" ca="1" si="1056"/>
        <v>#VALUE!</v>
      </c>
      <c r="BV344" s="449" t="e">
        <f ca="1">INDEX(INDIRECT(VLOOKUP(LEFT(BO344,7),CLU!$Z$3:$AH$18,2)),GN344,GR344)</f>
        <v>#N/A</v>
      </c>
      <c r="BW344" s="433" t="e">
        <f ca="1">INDEX(INDIRECT(VLOOKUP(LEFT(BO344,7),CLU!$Z$3:$AH$18,3)),GN344,GR344)</f>
        <v>#N/A</v>
      </c>
      <c r="BX344" s="433" t="e">
        <f ca="1">INDEX(INDIRECT(VLOOKUP(LEFT(BO344,7),CLU!$Z$3:$AH$18,4)),GN344,GR344)</f>
        <v>#N/A</v>
      </c>
      <c r="BY344" s="433" t="e">
        <f ca="1">INDEX(INDIRECT(VLOOKUP(LEFT(BO344,7),CLU!$Z$3:$AH$18,9)),((M344-2)*(6-COUNTBLANK(GT344:GY344)))+GJ344)</f>
        <v>#N/A</v>
      </c>
      <c r="BZ344" s="426" t="e">
        <f t="shared" ca="1" si="1149"/>
        <v>#N/A</v>
      </c>
      <c r="CA344" s="424" t="e">
        <f t="shared" ca="1" si="1150"/>
        <v>#N/A</v>
      </c>
      <c r="CB344" s="429" t="e">
        <f ca="1">INDEX(INDIRECT(VLOOKUP(LEFT(BO344,7),CLU!$Z$3:$AH$18,2)),GN344,GS344)</f>
        <v>#N/A</v>
      </c>
      <c r="CC344" s="342" t="e">
        <f ca="1">INDEX(INDIRECT(VLOOKUP(LEFT(BO344,7),CLU!$Z$3:$AH$18,3)),GN344,GS344)</f>
        <v>#N/A</v>
      </c>
      <c r="CD344" s="342" t="e">
        <f ca="1">INDEX(INDIRECT(VLOOKUP(LEFT(BO344,7),CLU!$Z$3:$AH$18,4)),GN344,GS344)</f>
        <v>#N/A</v>
      </c>
      <c r="CE344" s="426" t="e">
        <f t="shared" ca="1" si="1151"/>
        <v>#N/A</v>
      </c>
      <c r="CF344" s="440">
        <f t="shared" si="1152"/>
        <v>0</v>
      </c>
      <c r="CG344" s="431" t="e">
        <f ca="1">INDEX(INDIRECT(VLOOKUP(LEFT(BO344,7),CLU!$Z$3:$AH$18,2)),GQ344,GR344)</f>
        <v>#N/A</v>
      </c>
      <c r="CH344" s="431" t="e">
        <f ca="1">INDEX(INDIRECT(VLOOKUP(LEFT(BO344,7),CLU!$Z$3:$AH$18,3)),GQ344,GR344)</f>
        <v>#N/A</v>
      </c>
      <c r="CI344" s="431" t="e">
        <f ca="1">INDEX(INDIRECT(VLOOKUP(LEFT(BO344,7),CLU!$Z$3:$AH$18,4)),GQ344,GR344)</f>
        <v>#N/A</v>
      </c>
      <c r="CJ344" s="448" t="e">
        <f t="shared" ca="1" si="1153"/>
        <v>#N/A</v>
      </c>
      <c r="CK344" s="431" t="e">
        <f t="shared" ca="1" si="1154"/>
        <v>#N/A</v>
      </c>
      <c r="CL344" s="440" t="e">
        <f t="shared" ca="1" si="1155"/>
        <v>#N/A</v>
      </c>
      <c r="CM344" s="431" t="e">
        <f ca="1">INDEX(INDIRECT(VLOOKUP(LEFT(BO344,7),CLU!$Z$3:$AH$18,2)),GQ344,GS344)</f>
        <v>#N/A</v>
      </c>
      <c r="CN344" s="431" t="e">
        <f ca="1">INDEX(INDIRECT(VLOOKUP(LEFT(BO344,7),CLU!$Z$3:$AH$18,3)),GQ344,GS344)</f>
        <v>#N/A</v>
      </c>
      <c r="CO344" s="431" t="e">
        <f ca="1">INDEX(INDIRECT(VLOOKUP(LEFT(BO344,7),CLU!$Z$3:$AH$18,4)),GQ344,GS344)</f>
        <v>#N/A</v>
      </c>
      <c r="CP344" s="431" t="e">
        <f t="shared" ca="1" si="1156"/>
        <v>#N/A</v>
      </c>
      <c r="CQ344" s="440">
        <f t="shared" si="1157"/>
        <v>0</v>
      </c>
      <c r="CR344" s="51" t="e">
        <f t="shared" ca="1" si="1158"/>
        <v>#N/A</v>
      </c>
      <c r="CS344" s="439" t="e">
        <f t="shared" ca="1" si="1159"/>
        <v>#VALUE!</v>
      </c>
      <c r="CT344" s="51" t="e">
        <f t="shared" ca="1" si="1160"/>
        <v>#VALUE!</v>
      </c>
      <c r="CU344" s="10"/>
      <c r="CV344" s="51" t="e">
        <f t="shared" ca="1" si="1057"/>
        <v>#VALUE!</v>
      </c>
      <c r="CW344" s="51">
        <f t="shared" si="1161"/>
        <v>0</v>
      </c>
      <c r="CX344" s="439" t="e">
        <f t="shared" ca="1" si="1162"/>
        <v>#VALUE!</v>
      </c>
      <c r="CY344" s="51" t="e">
        <f t="shared" ca="1" si="1163"/>
        <v>#VALUE!</v>
      </c>
      <c r="CZ344" s="10"/>
      <c r="DA344" s="51" t="e">
        <f t="shared" ca="1" si="1164"/>
        <v>#VALUE!</v>
      </c>
      <c r="DB344" s="347" t="e">
        <f ca="1">INDEX(INDIRECT(VLOOKUP(LEFT(BO344,7),CLU!$Z$3:$AI$18,10)),((M344-2)*(6-COUNTBLANK(GT344:GY344)))+GJ344)*LI344</f>
        <v>#N/A</v>
      </c>
      <c r="DC344" s="347" t="str">
        <f>IF(L344&gt;0,((R344/Worksheet!$I$15)/DB344)^2," ")</f>
        <v xml:space="preserve"> </v>
      </c>
      <c r="DD344" s="602" t="str">
        <f t="shared" si="1165"/>
        <v xml:space="preserve"> </v>
      </c>
      <c r="DE344" s="347" t="str">
        <f t="shared" si="1058"/>
        <v xml:space="preserve"> </v>
      </c>
      <c r="DF344" s="356" t="e">
        <f ca="1">INDEX(INDIRECT(VLOOKUP(LEFT(BO344,7),CLU!$Z$3:$AH$18,8)),((M344-2)*(6-COUNTBLANK(GT344:GY344)))+GJ344)</f>
        <v>#N/A</v>
      </c>
      <c r="DG344" s="347" t="str">
        <f t="shared" si="1059"/>
        <v xml:space="preserve"> </v>
      </c>
      <c r="DH344" s="357" t="str">
        <f t="shared" si="1060"/>
        <v xml:space="preserve"> </v>
      </c>
      <c r="DI344" s="355" t="str">
        <f t="shared" si="1061"/>
        <v xml:space="preserve"> </v>
      </c>
      <c r="DJ344" s="245" t="e">
        <f ca="1">INDEX(INDIRECT(VLOOKUP(LEFT(BO344,7),CLU!$Z$3:$AH$18,5)),GL344,GK344)</f>
        <v>#N/A</v>
      </c>
      <c r="DK344" s="245" t="e">
        <f ca="1">INDEX(INDIRECT(VLOOKUP(LEFT(BO344,7),CLU!$Z$3:$AH$18,6)),GL344,GK344)</f>
        <v>#N/A</v>
      </c>
      <c r="DL344" s="355">
        <f>(Calculation!R344*0.69143*(Calculation!$BQ$8-Calculation!$F$8))*$S$14</f>
        <v>0</v>
      </c>
      <c r="DM344" s="359" t="e">
        <f t="shared" si="1166"/>
        <v>#VALUE!</v>
      </c>
      <c r="DN344" s="611">
        <f t="shared" si="1167"/>
        <v>0</v>
      </c>
      <c r="DO344" s="359">
        <f t="shared" si="1168"/>
        <v>100</v>
      </c>
      <c r="DP344" s="359">
        <f t="shared" si="1169"/>
        <v>0</v>
      </c>
      <c r="DQ344" s="360"/>
      <c r="DR344" s="245" t="e">
        <f ca="1">INDEX(INDIRECT(VLOOKUP(LEFT(BO344,7),CLU!$Z$3:$AH$18,7)),M344-1,1)</f>
        <v>#N/A</v>
      </c>
      <c r="DS344" s="245" t="e">
        <f ca="1">INDEX(INDIRECT(VLOOKUP(LEFT(BO344,7),CLU!$Z$3:$AH$18,7)),M344-1,2)</f>
        <v>#N/A</v>
      </c>
      <c r="DT344" s="245" t="e">
        <f ca="1">INDEX(INDIRECT(VLOOKUP(LEFT(BO344,7),CLU!$Z$3:$AH$18,7)),M344-1,3)</f>
        <v>#N/A</v>
      </c>
      <c r="DU344" s="245" t="e">
        <f ca="1">INDEX(INDIRECT(VLOOKUP(LEFT(BO344,7),CLU!$Z$3:$AH$18,7)),M344-1,4)</f>
        <v>#N/A</v>
      </c>
      <c r="DV344" s="361" t="e">
        <f ca="1">INDEX(INDIRECT(VLOOKUP(LEFT(BO344,7),CLU!$Z$3:$AH$18,7)),M344-1,4+LEFT(DZ344,1)*0.5)</f>
        <v>#N/A</v>
      </c>
      <c r="DW344" s="245" t="e">
        <f ca="1">INDEX(INDIRECT(VLOOKUP(LEFT(BO344,7),CLU!$Z$3:$AH$18,7)),M344-1,8)</f>
        <v>#N/A</v>
      </c>
      <c r="DX344" s="361" t="str">
        <f t="shared" si="1062"/>
        <v xml:space="preserve"> </v>
      </c>
      <c r="DY344" s="361" t="str">
        <f t="shared" si="1063"/>
        <v xml:space="preserve"> </v>
      </c>
      <c r="DZ344" s="361" t="str">
        <f t="shared" si="1064"/>
        <v xml:space="preserve"> </v>
      </c>
      <c r="EA344" s="362" t="str">
        <f t="shared" si="1065"/>
        <v xml:space="preserve"> </v>
      </c>
      <c r="EB344" s="624" t="str">
        <f t="shared" si="1170"/>
        <v xml:space="preserve"> </v>
      </c>
      <c r="EC344" s="361" t="e">
        <f ca="1">INDEX(INDIRECT(VLOOKUP(LEFT(BO344,7),CLU!$Z$3:$AH$18,7)),M344-1,4+LEFT(DZ344,1)*0.5)</f>
        <v>#N/A</v>
      </c>
      <c r="ED344" s="362" t="str">
        <f t="shared" si="1066"/>
        <v xml:space="preserve"> </v>
      </c>
      <c r="EE344" s="361" t="str">
        <f t="shared" si="1067"/>
        <v xml:space="preserve"> </v>
      </c>
      <c r="EF344" s="362" t="str">
        <f>IF(L344&gt;0,IF(BR344&gt;0,IF(EE344="2P",IF(Calculation!DZ344="2P",IF(Calculation!DS344=13.75,IF(Calculation!DR344=13,Worksheet!$BD$43,IF(Calculation!DR344=37,Worksheet!$BD$44,Worksheet!$BD$45)),IF(Calculation!DS344=10,IF(Calculation!DR344=18,Worksheet!$BD$29,IF(Calculation!DR344=30,Worksheet!$BD$30,IF(Calculation!DR344=42,Worksheet!$BD$31,IF(Calculation!DR344=54,Worksheet!$BD$32,IF(Calculation!DR344=66,Worksheet!$BD$33,IF(Calculation!DR344=78,Worksheet!$BD$34,IF(Calculation!DR344=90,Worksheet!$BD$35,IF(Calculation!DR344=102,Worksheet!$BD$36,Worksheet!$BD$37)))))))),IF(Calculation!DS344=12.5,IF(Calculation!DR344=18,Worksheet!$BD$38,IF(Calculation!DR344=Worksheet!$BD$39,IF(Calculation!DR344=42,Worksheet!$BD$40,IF(Calculation!DR344=54,Worksheet!$BD$41,Worksheet!$BD$42)))),IF(Calculation!DR344=18,Worksheet!$BD$11,IF(Calculation!DR344=30,Worksheet!$BD$12,IF(Calculation!DR344=42,Worksheet!$BD$13,IF(Calculation!DR344=54,Worksheet!$BD$14,IF(Calculation!DR344=66,Worksheet!$BD$15,IF(Calculation!DR344=78,Worksheet!$BD$16,IF(Calculation!DR344=90,Worksheet!$BD$17,IF(Calculation!DR344=102,Worksheet!$BD$18,Worksheet!$BD$19))))))))))),IF(Calculation!DS344=13.75,IF(Calculation!DR344=13,Worksheet!$BD$78,IF(Calculation!DR344=37,Worksheet!$BD$79,Worksheet!$BD$80)),IF(Calculation!DS344=10,IF(Calculation!DR344=18,Worksheet!$BD$64,IF(Calculation!DR344=30,Worksheet!$BD$65,IF(Calculation!DR344=42,Worksheet!$BD$66,IF(Calculation!DR344=54,Worksheet!$BD$68,IF(Calculation!DR344=66,Worksheet!$BD$68,IF(Calculation!DR344=78,Worksheet!$BD$69,IF(Calculation!DR344=90,Worksheet!$BD$70,IF(Calculation!DR344=102,Worksheet!$BD$71,Worksheet!$BD$72)))))))),IF(Calculation!DS344=12.5,IF(Calculation!DR344=18,Worksheet!$BD$73,IF(Calculation!DR344=Worksheet!$BD$74,IF(Calculation!DR344=42,Worksheet!$BD$75,IF(Calculation!DR344=54,Worksheet!$BD$76,Worksheet!$BD$77)))),IF(Calculation!DR344=18,Worksheet!$BD$55,IF(Calculation!DR344=30,Worksheet!$BD$56,IF(Calculation!DR344=42,Worksheet!$BD$57,IF(Calculation!DR344=54,Worksheet!$BD$58,IF(Calculation!DR344=66,Worksheet!$BD$59,IF(Calculation!DR344=78,Worksheet!$BD$60,IF(Calculation!DR344=90,Worksheet!$BD$61,IF(Calculation!DR344=102,Worksheet!$BD$62,Worksheet!$BD$63)))))))))))),5),0)," ")</f>
        <v xml:space="preserve"> </v>
      </c>
      <c r="EG344" s="361" t="str">
        <f t="shared" si="1068"/>
        <v xml:space="preserve"> </v>
      </c>
      <c r="EH344" s="361" t="e">
        <f ca="1">INDEX(INDIRECT(VLOOKUP(LEFT(BO344,7),CLU!$Z$3:$AH$18,7)),M344-1,3+LEFT(DZ344,1))</f>
        <v>#N/A</v>
      </c>
      <c r="EI344" s="362" t="str">
        <f t="shared" si="1069"/>
        <v xml:space="preserve"> </v>
      </c>
      <c r="EJ344" s="363" t="str">
        <f t="shared" si="1070"/>
        <v xml:space="preserve"> </v>
      </c>
      <c r="EK344" s="363" t="str">
        <f t="shared" si="1071"/>
        <v xml:space="preserve"> </v>
      </c>
      <c r="EL344" s="363" t="str">
        <f t="shared" si="1072"/>
        <v xml:space="preserve"> </v>
      </c>
      <c r="EM344" s="362" t="str">
        <f>IF(L344&gt;0,IF(BR344&gt;0,(Calculation!T344/ED344)^2,0)," ")</f>
        <v xml:space="preserve"> </v>
      </c>
      <c r="EN344" s="362" t="str">
        <f>IF(L344&gt;0,IF(O344="2 Pipe (Cooling)","N/A",IF(BR344&gt;0,(Calculation!U344/EI344)^2,0))," ")</f>
        <v xml:space="preserve"> </v>
      </c>
      <c r="EO344" s="361" t="str">
        <f t="shared" si="1073"/>
        <v/>
      </c>
      <c r="EP344" s="361" t="str">
        <f t="shared" si="1074"/>
        <v/>
      </c>
      <c r="EQ344" s="361" t="str">
        <f t="shared" si="1075"/>
        <v/>
      </c>
      <c r="ER344" s="361" t="str">
        <f t="shared" si="1076"/>
        <v/>
      </c>
      <c r="ES344" s="361" t="str">
        <f t="shared" si="1077"/>
        <v/>
      </c>
      <c r="ET344" s="361" t="str">
        <f t="shared" si="1078"/>
        <v/>
      </c>
      <c r="EU344" s="361" t="str">
        <f t="shared" si="1079"/>
        <v/>
      </c>
      <c r="EV344" s="361" t="str">
        <f t="shared" si="1080"/>
        <v/>
      </c>
      <c r="EW344" s="361" t="str">
        <f t="shared" si="1081"/>
        <v/>
      </c>
      <c r="EX344" s="361" t="str">
        <f t="shared" si="1171"/>
        <v>1 slot, 1 way</v>
      </c>
      <c r="EY344" s="361" t="str">
        <f t="shared" si="1172"/>
        <v xml:space="preserve"> </v>
      </c>
      <c r="EZ344" s="361" t="str">
        <f t="shared" si="1173"/>
        <v xml:space="preserve"> </v>
      </c>
      <c r="FA344" s="361" t="str">
        <f t="shared" si="1174"/>
        <v xml:space="preserve"> </v>
      </c>
      <c r="FB344" s="361" t="str">
        <f t="shared" si="1175"/>
        <v xml:space="preserve"> </v>
      </c>
      <c r="FC344" s="361"/>
      <c r="FD344" s="361" t="str">
        <f>IF(J344&gt;0,IF(Calculation!R344&lt;=70,4,IF(Calculation!R344&lt;=110,5,IF(Calculation!R344&lt;=160,6,IF(Calculation!R344&lt;=300,8,"10 EO")))),"")</f>
        <v/>
      </c>
      <c r="FE344" s="361" t="str">
        <f t="shared" si="1176"/>
        <v/>
      </c>
      <c r="FF344" s="361" t="str">
        <f t="shared" si="1177"/>
        <v/>
      </c>
      <c r="FG344" s="361" t="e">
        <f t="shared" si="1082"/>
        <v>#N/A</v>
      </c>
      <c r="FH344" s="361">
        <f t="shared" si="1083"/>
        <v>0</v>
      </c>
      <c r="FI344" s="361" t="e">
        <f t="shared" si="1084"/>
        <v>#DIV/0!</v>
      </c>
      <c r="FJ344" s="361"/>
      <c r="FK344" s="356" t="e">
        <f t="shared" si="1085"/>
        <v>#VALUE!</v>
      </c>
      <c r="FL344" s="361"/>
      <c r="FM344" s="361"/>
      <c r="FN344" s="362" t="str">
        <f t="shared" si="1178"/>
        <v xml:space="preserve"> </v>
      </c>
      <c r="FO344" s="362" t="str">
        <f t="shared" si="1179"/>
        <v xml:space="preserve"> </v>
      </c>
      <c r="FP344" s="362">
        <f t="shared" si="1180"/>
        <v>0</v>
      </c>
      <c r="FQ344" s="361">
        <f t="shared" si="1086"/>
        <v>0</v>
      </c>
      <c r="FR344" s="362" t="str">
        <f>IF(L344&gt;0,IF(J344="CBAL2",Worksheet!$P$67,IF(J344="CBE2-24",Worksheet!$Q$67,IF(J344="CBAM",Worksheet!$R$67,IF(J344="CBLV",Worksheet!$S$67,IF(J344="CBAB",Worksheet!$U$67,IF(J344="CBAW",Worksheet!$X$67,IF(J344="CBE2-12",Worksheet!$Y$67,IF(J344="CBAL2",Worksheet!$Z$67,"N/A"))))))))," ")</f>
        <v xml:space="preserve"> </v>
      </c>
      <c r="FS344" s="362" t="str">
        <f>IF(L344&gt;0,IF(J344="CBAL2",Worksheet!$P$68,IF(J344="CBE2-24",Worksheet!$Q$68,IF(J344="CBAM",Worksheet!$R$68,IF(J344="CBLV",Worksheet!$S$68,IF(J344="CBAB",Worksheet!$U$68,IF(J344="CBAW",Worksheet!$X$68,IF(J344="CBE2-12",Worksheet!$Y$68,IF(J344="CBAL2",Worksheet!$Z$68,"N/A"))))))))," ")</f>
        <v xml:space="preserve"> </v>
      </c>
      <c r="FT344" s="362" t="str">
        <f>IF(L344&gt;0,IF(J344="CBAL2",Worksheet!$P$69,IF(J344="CBE2-24",Worksheet!$Q$69,IF(J344="CBAM",Worksheet!$R$69,IF(J344="CBLV",Worksheet!$S$69,IF(J344="CBAB",Worksheet!$U$69,IF(J344="CBAW",Worksheet!$X$69,IF(J344="CBE2-12",Worksheet!$Y$69,IF(J344="CBAL2",Worksheet!$Z$69,"N/A"))))))))," ")</f>
        <v xml:space="preserve"> </v>
      </c>
      <c r="FU344" s="361" t="str">
        <f t="shared" si="1181"/>
        <v xml:space="preserve"> </v>
      </c>
      <c r="FV344" s="362" t="str">
        <f t="shared" si="1182"/>
        <v xml:space="preserve"> </v>
      </c>
      <c r="FW344" s="362" t="str">
        <f t="shared" si="1183"/>
        <v xml:space="preserve"> </v>
      </c>
      <c r="FX344" s="362" t="str">
        <f t="shared" si="1184"/>
        <v xml:space="preserve"> </v>
      </c>
      <c r="FY344" s="355" t="str">
        <f t="shared" si="1185"/>
        <v xml:space="preserve"> </v>
      </c>
      <c r="FZ344" s="361" t="str">
        <f t="shared" si="1186"/>
        <v xml:space="preserve"> </v>
      </c>
      <c r="GA344" s="347" t="str">
        <f t="shared" si="1187"/>
        <v xml:space="preserve"> </v>
      </c>
      <c r="GB344" s="355" t="str">
        <f t="shared" si="1188"/>
        <v xml:space="preserve"> </v>
      </c>
      <c r="GC344" s="328" t="str">
        <f t="shared" si="1189"/>
        <v xml:space="preserve"> </v>
      </c>
      <c r="GD344" s="361" t="str">
        <f t="shared" si="1190"/>
        <v xml:space="preserve"> </v>
      </c>
      <c r="GE344" s="347" t="str">
        <f t="shared" si="1191"/>
        <v xml:space="preserve"> </v>
      </c>
      <c r="GF344" s="361" t="str">
        <f t="shared" si="1192"/>
        <v xml:space="preserve"> </v>
      </c>
      <c r="GG344" s="347" t="str">
        <f t="shared" si="1193"/>
        <v xml:space="preserve"> </v>
      </c>
      <c r="GH344" s="364">
        <f t="shared" si="1087"/>
        <v>0</v>
      </c>
      <c r="GI344" s="362">
        <f t="shared" si="1194"/>
        <v>2</v>
      </c>
      <c r="GJ344" s="433" t="e">
        <f>IF(6-COUNTBLANK(GT344:GY344)=4,MATCH(MID(BO344,9,3),CLU!$H$16:$K$16),MATCH(MID(BO344,9,3),CLU!$H$13:$M$13))</f>
        <v>#N/A</v>
      </c>
      <c r="GK344" s="433" t="e">
        <f>HLOOKUP(VALUE(BP344),CLU!$H$9:$M$10,2)</f>
        <v>#VALUE!</v>
      </c>
      <c r="GL344" s="433" t="e">
        <f ca="1">MATCH(BU344,CLU!$H$2:$V$2,1)</f>
        <v>#VALUE!</v>
      </c>
      <c r="GM344" s="433" t="e">
        <f t="shared" ca="1" si="1195"/>
        <v>#VALUE!</v>
      </c>
      <c r="GN344" s="433" t="e">
        <f t="shared" ca="1" si="1196"/>
        <v>#VALUE!</v>
      </c>
      <c r="GO344" s="433" t="e">
        <f t="shared" ca="1" si="1197"/>
        <v>#VALUE!</v>
      </c>
      <c r="GP344" s="433" t="e">
        <f t="shared" ca="1" si="1198"/>
        <v>#VALUE!</v>
      </c>
      <c r="GQ344" s="433" t="e">
        <f t="shared" ca="1" si="1199"/>
        <v>#VALUE!</v>
      </c>
      <c r="GR344" s="433" t="e">
        <f ca="1">MATCH(T344,INDIRECT(VLOOKUP(CONCATENATE(LEFT(BO344,7),"-",MID(BO344,13,1)),CLU!$P$3:$Q$16,2)),1)</f>
        <v>#N/A</v>
      </c>
      <c r="GS344" s="433" t="e">
        <f ca="1">MATCH(U344,INDIRECT(VLOOKUP(CONCATENATE(LEFT(BO344,7),"-",MID(BO344,13,1)),CLU!$P$3:$Q$16,2)),1)</f>
        <v>#N/A</v>
      </c>
      <c r="GT344" s="347" t="s">
        <v>512</v>
      </c>
      <c r="GU344" s="97" t="s">
        <v>513</v>
      </c>
      <c r="GV344" s="97" t="str">
        <f t="shared" si="1200"/>
        <v>M23</v>
      </c>
      <c r="GW344" s="97" t="str">
        <f t="shared" si="1201"/>
        <v>M31</v>
      </c>
      <c r="GX344" s="97" t="str">
        <f t="shared" si="1202"/>
        <v/>
      </c>
      <c r="GY344" s="97" t="str">
        <f t="shared" si="1203"/>
        <v/>
      </c>
      <c r="GZ344" s="481"/>
      <c r="HA344" s="240"/>
      <c r="HB344" s="240"/>
      <c r="HC344" s="240"/>
      <c r="HD344" s="240"/>
      <c r="HE344" s="240"/>
      <c r="HF344" s="240"/>
      <c r="HG344" s="240"/>
      <c r="HH344" s="240"/>
      <c r="HI344" s="240"/>
      <c r="HJ344" s="240"/>
      <c r="HK344" s="240"/>
      <c r="HL344" s="240"/>
      <c r="HM344" s="240"/>
      <c r="HN344" s="240"/>
      <c r="HO344" s="240"/>
      <c r="HP344" s="240"/>
      <c r="HQ344" s="240"/>
      <c r="HR344" s="240"/>
      <c r="HS344" s="240"/>
      <c r="HT344" s="240"/>
      <c r="HU344" s="240"/>
      <c r="HV344" s="245"/>
      <c r="HW344" s="245" t="b">
        <v>1</v>
      </c>
      <c r="HX344" s="245" t="str">
        <f t="shared" si="1088"/>
        <v/>
      </c>
      <c r="HY344" s="245" t="e">
        <f t="shared" si="1089"/>
        <v>#DIV/0!</v>
      </c>
      <c r="HZ344" s="245" t="e">
        <f t="shared" si="1090"/>
        <v>#DIV/0!</v>
      </c>
      <c r="IA344" s="245">
        <f t="shared" si="1091"/>
        <v>0</v>
      </c>
      <c r="IB344" s="245"/>
      <c r="IC344" t="b">
        <f t="shared" si="1092"/>
        <v>1</v>
      </c>
      <c r="ID344" s="245" t="b">
        <f t="shared" si="1093"/>
        <v>1</v>
      </c>
      <c r="IE344" s="245" t="b">
        <f t="shared" si="1094"/>
        <v>1</v>
      </c>
      <c r="IF344" s="245" t="b">
        <f t="shared" si="1095"/>
        <v>0</v>
      </c>
      <c r="IG344" s="245" t="b">
        <f t="shared" si="1096"/>
        <v>1</v>
      </c>
      <c r="IH344" s="245" t="b">
        <f t="shared" si="1097"/>
        <v>1</v>
      </c>
      <c r="II344" s="245">
        <f t="shared" si="1204"/>
        <v>0</v>
      </c>
      <c r="IJ344" s="245" t="e">
        <f t="shared" si="1098"/>
        <v>#VALUE!</v>
      </c>
      <c r="IK344" s="245" t="e">
        <f t="shared" si="1099"/>
        <v>#VALUE!</v>
      </c>
      <c r="IL344" s="245"/>
      <c r="IM344" s="245" t="e">
        <f t="shared" si="1205"/>
        <v>#N/A</v>
      </c>
      <c r="IN344" s="245" t="e">
        <f t="shared" si="1206"/>
        <v>#N/A</v>
      </c>
      <c r="IO344" s="245"/>
      <c r="IP344" s="245"/>
      <c r="IQ344" s="245" t="str">
        <f t="shared" si="1100"/>
        <v/>
      </c>
      <c r="IR344" s="245" t="str">
        <f>IF(J344="","",VLOOKUP(J344,Worksheet!$R$4:$T$14,2))</f>
        <v/>
      </c>
      <c r="IS344" s="245"/>
      <c r="IT344" s="245">
        <f t="shared" si="1101"/>
        <v>0</v>
      </c>
      <c r="IU344" s="245">
        <f t="shared" si="1102"/>
        <v>0</v>
      </c>
      <c r="IV344" s="245">
        <f t="shared" si="1103"/>
        <v>0</v>
      </c>
      <c r="IW344" s="245">
        <f t="shared" si="1104"/>
        <v>0</v>
      </c>
      <c r="IX344" s="245">
        <f t="shared" si="1207"/>
        <v>0</v>
      </c>
      <c r="IY344" s="245">
        <f t="shared" si="1105"/>
        <v>0</v>
      </c>
      <c r="IZ344" s="245">
        <f t="shared" si="1106"/>
        <v>0</v>
      </c>
      <c r="JA344">
        <f t="shared" si="1107"/>
        <v>0</v>
      </c>
      <c r="JB344">
        <f t="shared" si="1208"/>
        <v>0</v>
      </c>
      <c r="JC344">
        <f t="shared" si="1108"/>
        <v>0</v>
      </c>
      <c r="JD344">
        <f t="shared" si="1109"/>
        <v>0</v>
      </c>
      <c r="JE344">
        <f t="shared" si="1110"/>
        <v>0</v>
      </c>
      <c r="JF344">
        <f t="shared" si="1111"/>
        <v>0</v>
      </c>
      <c r="JG344">
        <f t="shared" si="1112"/>
        <v>0</v>
      </c>
      <c r="JH344">
        <f t="shared" si="1113"/>
        <v>0</v>
      </c>
      <c r="JI344">
        <f t="shared" si="1114"/>
        <v>0</v>
      </c>
      <c r="JJ344" s="447">
        <f t="shared" si="1115"/>
        <v>0</v>
      </c>
      <c r="JK344" s="447">
        <f t="shared" si="1116"/>
        <v>0</v>
      </c>
      <c r="JL344">
        <f t="shared" si="1117"/>
        <v>0</v>
      </c>
      <c r="JM344" s="245" t="str">
        <f>IFERROR(VLOOKUP(MATCH(BN344,#REF!,0),#REF!,7),"")</f>
        <v/>
      </c>
      <c r="JN344" t="e">
        <f>HLOOKUP(LEFT(BO344,7),Discharge_Area,MATCH(JO344,LookUps!$B$130:$B$149,1)+2)</f>
        <v>#N/A</v>
      </c>
      <c r="JO344" t="str">
        <f t="shared" si="1118"/>
        <v>- S</v>
      </c>
      <c r="JP344" t="e">
        <f>HLOOKUP(LEFT(BO344,7),Discharge_Area,MATCH(JO344,LookUps!$B$130:$B$149,1)+2)</f>
        <v>#N/A</v>
      </c>
      <c r="JQ344" t="e">
        <f t="shared" si="1119"/>
        <v>#N/A</v>
      </c>
      <c r="JR344" t="e">
        <f t="shared" si="1120"/>
        <v>#N/A</v>
      </c>
      <c r="JS344" t="e">
        <f t="shared" si="1121"/>
        <v>#N/A</v>
      </c>
      <c r="JT344" s="532" t="str">
        <f t="shared" si="1122"/>
        <v xml:space="preserve"> </v>
      </c>
      <c r="JU344" s="532" t="str">
        <f t="shared" si="1123"/>
        <v xml:space="preserve"> </v>
      </c>
      <c r="JV344" s="533" t="str">
        <f t="shared" si="1124"/>
        <v xml:space="preserve"> </v>
      </c>
      <c r="JW344" s="534">
        <f t="shared" si="1125"/>
        <v>0</v>
      </c>
      <c r="JX344" s="535" t="str">
        <f t="shared" si="1209"/>
        <v xml:space="preserve"> </v>
      </c>
      <c r="JY344" s="535" t="str">
        <f t="shared" si="1210"/>
        <v xml:space="preserve"> </v>
      </c>
      <c r="JZ344" s="535" t="str">
        <f t="shared" si="1211"/>
        <v xml:space="preserve"> </v>
      </c>
      <c r="KA344" s="536" t="str">
        <f t="shared" si="1126"/>
        <v xml:space="preserve"> </v>
      </c>
      <c r="KB344" s="535" t="e">
        <f t="shared" si="1212"/>
        <v>#VALUE!</v>
      </c>
      <c r="KC344" s="535" t="str">
        <f t="shared" si="1127"/>
        <v/>
      </c>
      <c r="KD344" s="537" t="str">
        <f t="shared" si="1213"/>
        <v xml:space="preserve"> </v>
      </c>
      <c r="KE344" s="537" t="str">
        <f t="shared" si="1214"/>
        <v xml:space="preserve"> </v>
      </c>
      <c r="KF344" s="534">
        <f t="shared" si="1128"/>
        <v>0</v>
      </c>
      <c r="KG344" s="535" t="str">
        <f t="shared" si="1129"/>
        <v xml:space="preserve"> </v>
      </c>
      <c r="KH344" s="535" t="str">
        <f t="shared" si="1130"/>
        <v xml:space="preserve"> </v>
      </c>
      <c r="KI344" s="535" t="str">
        <f t="shared" si="1131"/>
        <v xml:space="preserve"> </v>
      </c>
      <c r="KJ344" s="536" t="str">
        <f t="shared" si="1132"/>
        <v xml:space="preserve"> </v>
      </c>
      <c r="KK344" s="535" t="str">
        <f t="shared" si="1215"/>
        <v xml:space="preserve"> </v>
      </c>
      <c r="KL344" s="535" t="str">
        <f t="shared" si="1216"/>
        <v xml:space="preserve"> </v>
      </c>
      <c r="KM344" s="537" t="str">
        <f t="shared" si="1133"/>
        <v xml:space="preserve"> </v>
      </c>
      <c r="KN344" s="537" t="str">
        <f t="shared" si="1217"/>
        <v xml:space="preserve"> </v>
      </c>
      <c r="KP344">
        <f t="shared" si="1134"/>
        <v>0</v>
      </c>
      <c r="LA344" t="e">
        <f t="shared" si="1135"/>
        <v>#VALUE!</v>
      </c>
      <c r="LB344" t="e">
        <f t="shared" si="1136"/>
        <v>#VALUE!</v>
      </c>
      <c r="LC344" t="e">
        <f t="shared" si="1137"/>
        <v>#VALUE!</v>
      </c>
      <c r="LD344" t="e">
        <f t="shared" si="1138"/>
        <v>#VALUE!</v>
      </c>
      <c r="LE344" t="e">
        <f t="shared" si="1218"/>
        <v>#VALUE!</v>
      </c>
      <c r="LF344">
        <f t="shared" si="1139"/>
        <v>0</v>
      </c>
      <c r="LG344" t="e">
        <f t="shared" si="1219"/>
        <v>#VALUE!</v>
      </c>
      <c r="LH344" t="str">
        <f t="shared" si="1140"/>
        <v xml:space="preserve"> </v>
      </c>
      <c r="LI344">
        <f t="shared" si="1220"/>
        <v>1</v>
      </c>
    </row>
    <row r="345" spans="2:321" ht="15" customHeight="1">
      <c r="B345" s="311"/>
      <c r="C345" s="311"/>
      <c r="D345" s="312"/>
      <c r="E345" s="311"/>
      <c r="F345" s="312"/>
      <c r="G345" s="311"/>
      <c r="H345" s="311"/>
      <c r="I345" s="232"/>
      <c r="J345" s="311"/>
      <c r="K345" s="305" t="str">
        <f t="shared" si="1141"/>
        <v/>
      </c>
      <c r="L345" s="313"/>
      <c r="M345" s="312"/>
      <c r="N345" s="311"/>
      <c r="O345" s="312"/>
      <c r="P345" s="311"/>
      <c r="Q345" s="305" t="str">
        <f t="shared" si="1142"/>
        <v/>
      </c>
      <c r="R345" s="314"/>
      <c r="S345" s="450" t="str">
        <f t="shared" si="1025"/>
        <v/>
      </c>
      <c r="T345" s="315"/>
      <c r="U345" s="315"/>
      <c r="W345" s="149" t="str">
        <f t="shared" si="1026"/>
        <v xml:space="preserve"> </v>
      </c>
      <c r="X345" s="243" t="str">
        <f t="shared" si="1027"/>
        <v xml:space="preserve"> </v>
      </c>
      <c r="Y345" s="150" t="str">
        <f t="shared" si="1028"/>
        <v/>
      </c>
      <c r="Z345" s="149" t="str">
        <f t="shared" si="1029"/>
        <v xml:space="preserve"> </v>
      </c>
      <c r="AA345" s="98" t="str">
        <f t="shared" si="1030"/>
        <v xml:space="preserve"> </v>
      </c>
      <c r="AB345" s="153" t="str">
        <f t="shared" si="1031"/>
        <v xml:space="preserve"> </v>
      </c>
      <c r="AC345" s="153" t="str">
        <f t="shared" si="1032"/>
        <v xml:space="preserve"> </v>
      </c>
      <c r="AD345" s="148" t="str">
        <f t="shared" si="1033"/>
        <v/>
      </c>
      <c r="AE345" s="149" t="str">
        <f t="shared" si="1034"/>
        <v/>
      </c>
      <c r="AF345" s="151" t="str">
        <f t="shared" si="1035"/>
        <v xml:space="preserve"> </v>
      </c>
      <c r="AG345" s="153" t="str">
        <f t="shared" si="1036"/>
        <v xml:space="preserve"> </v>
      </c>
      <c r="AH345" s="98" t="str">
        <f t="shared" si="1037"/>
        <v xml:space="preserve"> </v>
      </c>
      <c r="AI345" s="149" t="str">
        <f t="shared" si="1038"/>
        <v xml:space="preserve"> </v>
      </c>
      <c r="AK345" s="144" t="str">
        <f t="shared" si="1039"/>
        <v xml:space="preserve"> </v>
      </c>
      <c r="AL345" s="144"/>
      <c r="AM345" s="243" t="str">
        <f t="shared" si="1040"/>
        <v xml:space="preserve"> </v>
      </c>
      <c r="AN345" s="149" t="str">
        <f t="shared" si="1143"/>
        <v xml:space="preserve"> </v>
      </c>
      <c r="AO345" s="144" t="str">
        <f>IF(JB345&gt;0,IF(GI345=10,-R345*1.085*(Calculation!$F$6-Calculation!$F$13)*$S$14," "),"")</f>
        <v/>
      </c>
      <c r="AP345" s="144" t="str">
        <f t="shared" si="1041"/>
        <v/>
      </c>
      <c r="AQ345" s="56" t="str">
        <f t="shared" si="1042"/>
        <v/>
      </c>
      <c r="AR345" s="144" t="str">
        <f t="shared" si="1043"/>
        <v/>
      </c>
      <c r="AS345" s="176" t="str">
        <f t="shared" si="1044"/>
        <v/>
      </c>
      <c r="AT345" s="176" t="str">
        <f t="shared" si="1144"/>
        <v xml:space="preserve"> </v>
      </c>
      <c r="AU345" s="176" t="str">
        <f t="shared" si="1045"/>
        <v/>
      </c>
      <c r="AV345" s="177" t="str">
        <f t="shared" si="1046"/>
        <v xml:space="preserve"> </v>
      </c>
      <c r="AW345" s="144" t="str">
        <f t="shared" si="1047"/>
        <v xml:space="preserve"> </v>
      </c>
      <c r="AX345" s="144" t="str">
        <f t="shared" si="1048"/>
        <v xml:space="preserve"> </v>
      </c>
      <c r="AY345" s="152" t="str">
        <f t="shared" si="1049"/>
        <v xml:space="preserve"> </v>
      </c>
      <c r="AZ345" s="246" t="str">
        <f t="shared" si="1050"/>
        <v/>
      </c>
      <c r="BA345" s="176" t="str">
        <f t="shared" si="1051"/>
        <v xml:space="preserve"> </v>
      </c>
      <c r="BB345" s="176" t="str">
        <f t="shared" si="1052"/>
        <v xml:space="preserve"> </v>
      </c>
      <c r="BC345" s="195"/>
      <c r="BD345" s="316"/>
      <c r="BE345" s="317"/>
      <c r="BF345" s="318"/>
      <c r="BG345" s="318"/>
      <c r="BH345" s="144" t="str">
        <f t="shared" si="1221"/>
        <v xml:space="preserve"> </v>
      </c>
      <c r="BI345" s="176" t="str">
        <f t="shared" si="1053"/>
        <v/>
      </c>
      <c r="BJ345" s="144" t="str">
        <f t="shared" si="1222"/>
        <v/>
      </c>
      <c r="BK345" s="246" t="str">
        <f t="shared" si="1054"/>
        <v/>
      </c>
      <c r="BL345" s="144" t="str">
        <f t="shared" si="1223"/>
        <v/>
      </c>
      <c r="BM345" s="246" t="str">
        <f t="shared" si="1055"/>
        <v/>
      </c>
      <c r="BN345" s="337" t="str">
        <f t="shared" si="1145"/>
        <v/>
      </c>
      <c r="BO345" s="371" t="str">
        <f t="shared" si="1146"/>
        <v/>
      </c>
      <c r="BP345" s="328" t="str">
        <f t="shared" si="1224"/>
        <v xml:space="preserve"> </v>
      </c>
      <c r="BQ345" s="347" t="str">
        <f t="shared" si="1147"/>
        <v xml:space="preserve"> </v>
      </c>
      <c r="BR345" s="353" t="str">
        <f t="shared" si="1148"/>
        <v xml:space="preserve"> </v>
      </c>
      <c r="BS345" s="626" t="str">
        <f>IF(L345&gt;0,IF(Calculation!P345="M13",BR345*3.1416*(0.134^2)/(4*144),IF(Calculation!P345="M17",BR345*3.1416*(0.165^2)/(4*144),IF(Calculation!P345="M20",BR345*3.1416*(0.198^2)/(4*144),IF(Calculation!P345="M23",BR345*3.1416*(0.228^2)/(4*144),IF(Calculation!P345="M27",BR345*3.1416*(0.269^2)/(4*144),BR345*3.1416*(0.307^2)/(4*144))))))," ")</f>
        <v xml:space="preserve"> </v>
      </c>
      <c r="BT345" s="353" t="str">
        <f>IF(L345&gt;0,IF(BS345&gt;0,R345/Calculation!BS345,0)," ")</f>
        <v xml:space="preserve"> </v>
      </c>
      <c r="BU345" s="438" t="e">
        <f t="shared" ca="1" si="1056"/>
        <v>#VALUE!</v>
      </c>
      <c r="BV345" s="449" t="e">
        <f ca="1">INDEX(INDIRECT(VLOOKUP(LEFT(BO345,7),CLU!$Z$3:$AH$18,2)),GN345,GR345)</f>
        <v>#N/A</v>
      </c>
      <c r="BW345" s="433" t="e">
        <f ca="1">INDEX(INDIRECT(VLOOKUP(LEFT(BO345,7),CLU!$Z$3:$AH$18,3)),GN345,GR345)</f>
        <v>#N/A</v>
      </c>
      <c r="BX345" s="433" t="e">
        <f ca="1">INDEX(INDIRECT(VLOOKUP(LEFT(BO345,7),CLU!$Z$3:$AH$18,4)),GN345,GR345)</f>
        <v>#N/A</v>
      </c>
      <c r="BY345" s="433" t="e">
        <f ca="1">INDEX(INDIRECT(VLOOKUP(LEFT(BO345,7),CLU!$Z$3:$AH$18,9)),((M345-2)*(6-COUNTBLANK(GT345:GY345)))+GJ345)</f>
        <v>#N/A</v>
      </c>
      <c r="BZ345" s="426" t="e">
        <f t="shared" ca="1" si="1149"/>
        <v>#N/A</v>
      </c>
      <c r="CA345" s="424" t="e">
        <f t="shared" ca="1" si="1150"/>
        <v>#N/A</v>
      </c>
      <c r="CB345" s="429" t="e">
        <f ca="1">INDEX(INDIRECT(VLOOKUP(LEFT(BO345,7),CLU!$Z$3:$AH$18,2)),GN345,GS345)</f>
        <v>#N/A</v>
      </c>
      <c r="CC345" s="342" t="e">
        <f ca="1">INDEX(INDIRECT(VLOOKUP(LEFT(BO345,7),CLU!$Z$3:$AH$18,3)),GN345,GS345)</f>
        <v>#N/A</v>
      </c>
      <c r="CD345" s="342" t="e">
        <f ca="1">INDEX(INDIRECT(VLOOKUP(LEFT(BO345,7),CLU!$Z$3:$AH$18,4)),GN345,GS345)</f>
        <v>#N/A</v>
      </c>
      <c r="CE345" s="426" t="e">
        <f t="shared" ca="1" si="1151"/>
        <v>#N/A</v>
      </c>
      <c r="CF345" s="440">
        <f t="shared" si="1152"/>
        <v>0</v>
      </c>
      <c r="CG345" s="431" t="e">
        <f ca="1">INDEX(INDIRECT(VLOOKUP(LEFT(BO345,7),CLU!$Z$3:$AH$18,2)),GQ345,GR345)</f>
        <v>#N/A</v>
      </c>
      <c r="CH345" s="431" t="e">
        <f ca="1">INDEX(INDIRECT(VLOOKUP(LEFT(BO345,7),CLU!$Z$3:$AH$18,3)),GQ345,GR345)</f>
        <v>#N/A</v>
      </c>
      <c r="CI345" s="431" t="e">
        <f ca="1">INDEX(INDIRECT(VLOOKUP(LEFT(BO345,7),CLU!$Z$3:$AH$18,4)),GQ345,GR345)</f>
        <v>#N/A</v>
      </c>
      <c r="CJ345" s="448" t="e">
        <f t="shared" ca="1" si="1153"/>
        <v>#N/A</v>
      </c>
      <c r="CK345" s="431" t="e">
        <f t="shared" ca="1" si="1154"/>
        <v>#N/A</v>
      </c>
      <c r="CL345" s="440" t="e">
        <f t="shared" ca="1" si="1155"/>
        <v>#N/A</v>
      </c>
      <c r="CM345" s="431" t="e">
        <f ca="1">INDEX(INDIRECT(VLOOKUP(LEFT(BO345,7),CLU!$Z$3:$AH$18,2)),GQ345,GS345)</f>
        <v>#N/A</v>
      </c>
      <c r="CN345" s="431" t="e">
        <f ca="1">INDEX(INDIRECT(VLOOKUP(LEFT(BO345,7),CLU!$Z$3:$AH$18,3)),GQ345,GS345)</f>
        <v>#N/A</v>
      </c>
      <c r="CO345" s="431" t="e">
        <f ca="1">INDEX(INDIRECT(VLOOKUP(LEFT(BO345,7),CLU!$Z$3:$AH$18,4)),GQ345,GS345)</f>
        <v>#N/A</v>
      </c>
      <c r="CP345" s="431" t="e">
        <f t="shared" ca="1" si="1156"/>
        <v>#N/A</v>
      </c>
      <c r="CQ345" s="440">
        <f t="shared" si="1157"/>
        <v>0</v>
      </c>
      <c r="CR345" s="51" t="e">
        <f t="shared" ca="1" si="1158"/>
        <v>#N/A</v>
      </c>
      <c r="CS345" s="439" t="e">
        <f t="shared" ca="1" si="1159"/>
        <v>#VALUE!</v>
      </c>
      <c r="CT345" s="51" t="e">
        <f t="shared" ca="1" si="1160"/>
        <v>#VALUE!</v>
      </c>
      <c r="CU345" s="10"/>
      <c r="CV345" s="51" t="e">
        <f t="shared" ca="1" si="1057"/>
        <v>#VALUE!</v>
      </c>
      <c r="CW345" s="51">
        <f t="shared" si="1161"/>
        <v>0</v>
      </c>
      <c r="CX345" s="439" t="e">
        <f t="shared" ca="1" si="1162"/>
        <v>#VALUE!</v>
      </c>
      <c r="CY345" s="51" t="e">
        <f t="shared" ca="1" si="1163"/>
        <v>#VALUE!</v>
      </c>
      <c r="CZ345" s="10"/>
      <c r="DA345" s="51" t="e">
        <f t="shared" ca="1" si="1164"/>
        <v>#VALUE!</v>
      </c>
      <c r="DB345" s="347" t="e">
        <f ca="1">INDEX(INDIRECT(VLOOKUP(LEFT(BO345,7),CLU!$Z$3:$AI$18,10)),((M345-2)*(6-COUNTBLANK(GT345:GY345)))+GJ345)*LI345</f>
        <v>#N/A</v>
      </c>
      <c r="DC345" s="347" t="str">
        <f>IF(L345&gt;0,((R345/Worksheet!$I$15)/DB345)^2," ")</f>
        <v xml:space="preserve"> </v>
      </c>
      <c r="DD345" s="602" t="str">
        <f t="shared" si="1165"/>
        <v xml:space="preserve"> </v>
      </c>
      <c r="DE345" s="347" t="str">
        <f t="shared" si="1058"/>
        <v xml:space="preserve"> </v>
      </c>
      <c r="DF345" s="356" t="e">
        <f ca="1">INDEX(INDIRECT(VLOOKUP(LEFT(BO345,7),CLU!$Z$3:$AH$18,8)),((M345-2)*(6-COUNTBLANK(GT345:GY345)))+GJ345)</f>
        <v>#N/A</v>
      </c>
      <c r="DG345" s="347" t="str">
        <f t="shared" si="1059"/>
        <v xml:space="preserve"> </v>
      </c>
      <c r="DH345" s="357" t="str">
        <f t="shared" si="1060"/>
        <v xml:space="preserve"> </v>
      </c>
      <c r="DI345" s="355" t="str">
        <f t="shared" si="1061"/>
        <v xml:space="preserve"> </v>
      </c>
      <c r="DJ345" s="245" t="e">
        <f ca="1">INDEX(INDIRECT(VLOOKUP(LEFT(BO345,7),CLU!$Z$3:$AH$18,5)),GL345,GK345)</f>
        <v>#N/A</v>
      </c>
      <c r="DK345" s="245" t="e">
        <f ca="1">INDEX(INDIRECT(VLOOKUP(LEFT(BO345,7),CLU!$Z$3:$AH$18,6)),GL345,GK345)</f>
        <v>#N/A</v>
      </c>
      <c r="DL345" s="355">
        <f>(Calculation!R345*0.69143*(Calculation!$BQ$8-Calculation!$F$8))*$S$14</f>
        <v>0</v>
      </c>
      <c r="DM345" s="359" t="e">
        <f t="shared" si="1166"/>
        <v>#VALUE!</v>
      </c>
      <c r="DN345" s="611">
        <f t="shared" si="1167"/>
        <v>0</v>
      </c>
      <c r="DO345" s="359">
        <f t="shared" si="1168"/>
        <v>100</v>
      </c>
      <c r="DP345" s="359">
        <f t="shared" si="1169"/>
        <v>0</v>
      </c>
      <c r="DQ345" s="360"/>
      <c r="DR345" s="245" t="e">
        <f ca="1">INDEX(INDIRECT(VLOOKUP(LEFT(BO345,7),CLU!$Z$3:$AH$18,7)),M345-1,1)</f>
        <v>#N/A</v>
      </c>
      <c r="DS345" s="245" t="e">
        <f ca="1">INDEX(INDIRECT(VLOOKUP(LEFT(BO345,7),CLU!$Z$3:$AH$18,7)),M345-1,2)</f>
        <v>#N/A</v>
      </c>
      <c r="DT345" s="245" t="e">
        <f ca="1">INDEX(INDIRECT(VLOOKUP(LEFT(BO345,7),CLU!$Z$3:$AH$18,7)),M345-1,3)</f>
        <v>#N/A</v>
      </c>
      <c r="DU345" s="245" t="e">
        <f ca="1">INDEX(INDIRECT(VLOOKUP(LEFT(BO345,7),CLU!$Z$3:$AH$18,7)),M345-1,4)</f>
        <v>#N/A</v>
      </c>
      <c r="DV345" s="361" t="e">
        <f ca="1">INDEX(INDIRECT(VLOOKUP(LEFT(BO345,7),CLU!$Z$3:$AH$18,7)),M345-1,4+LEFT(DZ345,1)*0.5)</f>
        <v>#N/A</v>
      </c>
      <c r="DW345" s="245" t="e">
        <f ca="1">INDEX(INDIRECT(VLOOKUP(LEFT(BO345,7),CLU!$Z$3:$AH$18,7)),M345-1,8)</f>
        <v>#N/A</v>
      </c>
      <c r="DX345" s="361" t="str">
        <f t="shared" si="1062"/>
        <v xml:space="preserve"> </v>
      </c>
      <c r="DY345" s="361" t="str">
        <f t="shared" si="1063"/>
        <v xml:space="preserve"> </v>
      </c>
      <c r="DZ345" s="361" t="str">
        <f t="shared" si="1064"/>
        <v xml:space="preserve"> </v>
      </c>
      <c r="EA345" s="362" t="str">
        <f t="shared" si="1065"/>
        <v xml:space="preserve"> </v>
      </c>
      <c r="EB345" s="624" t="str">
        <f t="shared" si="1170"/>
        <v xml:space="preserve"> </v>
      </c>
      <c r="EC345" s="361" t="e">
        <f ca="1">INDEX(INDIRECT(VLOOKUP(LEFT(BO345,7),CLU!$Z$3:$AH$18,7)),M345-1,4+LEFT(DZ345,1)*0.5)</f>
        <v>#N/A</v>
      </c>
      <c r="ED345" s="362" t="str">
        <f t="shared" si="1066"/>
        <v xml:space="preserve"> </v>
      </c>
      <c r="EE345" s="361" t="str">
        <f t="shared" si="1067"/>
        <v xml:space="preserve"> </v>
      </c>
      <c r="EF345" s="362" t="str">
        <f>IF(L345&gt;0,IF(BR345&gt;0,IF(EE345="2P",IF(Calculation!DZ345="2P",IF(Calculation!DS345=13.75,IF(Calculation!DR345=13,Worksheet!$BD$43,IF(Calculation!DR345=37,Worksheet!$BD$44,Worksheet!$BD$45)),IF(Calculation!DS345=10,IF(Calculation!DR345=18,Worksheet!$BD$29,IF(Calculation!DR345=30,Worksheet!$BD$30,IF(Calculation!DR345=42,Worksheet!$BD$31,IF(Calculation!DR345=54,Worksheet!$BD$32,IF(Calculation!DR345=66,Worksheet!$BD$33,IF(Calculation!DR345=78,Worksheet!$BD$34,IF(Calculation!DR345=90,Worksheet!$BD$35,IF(Calculation!DR345=102,Worksheet!$BD$36,Worksheet!$BD$37)))))))),IF(Calculation!DS345=12.5,IF(Calculation!DR345=18,Worksheet!$BD$38,IF(Calculation!DR345=Worksheet!$BD$39,IF(Calculation!DR345=42,Worksheet!$BD$40,IF(Calculation!DR345=54,Worksheet!$BD$41,Worksheet!$BD$42)))),IF(Calculation!DR345=18,Worksheet!$BD$11,IF(Calculation!DR345=30,Worksheet!$BD$12,IF(Calculation!DR345=42,Worksheet!$BD$13,IF(Calculation!DR345=54,Worksheet!$BD$14,IF(Calculation!DR345=66,Worksheet!$BD$15,IF(Calculation!DR345=78,Worksheet!$BD$16,IF(Calculation!DR345=90,Worksheet!$BD$17,IF(Calculation!DR345=102,Worksheet!$BD$18,Worksheet!$BD$19))))))))))),IF(Calculation!DS345=13.75,IF(Calculation!DR345=13,Worksheet!$BD$78,IF(Calculation!DR345=37,Worksheet!$BD$79,Worksheet!$BD$80)),IF(Calculation!DS345=10,IF(Calculation!DR345=18,Worksheet!$BD$64,IF(Calculation!DR345=30,Worksheet!$BD$65,IF(Calculation!DR345=42,Worksheet!$BD$66,IF(Calculation!DR345=54,Worksheet!$BD$68,IF(Calculation!DR345=66,Worksheet!$BD$68,IF(Calculation!DR345=78,Worksheet!$BD$69,IF(Calculation!DR345=90,Worksheet!$BD$70,IF(Calculation!DR345=102,Worksheet!$BD$71,Worksheet!$BD$72)))))))),IF(Calculation!DS345=12.5,IF(Calculation!DR345=18,Worksheet!$BD$73,IF(Calculation!DR345=Worksheet!$BD$74,IF(Calculation!DR345=42,Worksheet!$BD$75,IF(Calculation!DR345=54,Worksheet!$BD$76,Worksheet!$BD$77)))),IF(Calculation!DR345=18,Worksheet!$BD$55,IF(Calculation!DR345=30,Worksheet!$BD$56,IF(Calculation!DR345=42,Worksheet!$BD$57,IF(Calculation!DR345=54,Worksheet!$BD$58,IF(Calculation!DR345=66,Worksheet!$BD$59,IF(Calculation!DR345=78,Worksheet!$BD$60,IF(Calculation!DR345=90,Worksheet!$BD$61,IF(Calculation!DR345=102,Worksheet!$BD$62,Worksheet!$BD$63)))))))))))),5),0)," ")</f>
        <v xml:space="preserve"> </v>
      </c>
      <c r="EG345" s="361" t="str">
        <f t="shared" si="1068"/>
        <v xml:space="preserve"> </v>
      </c>
      <c r="EH345" s="361" t="e">
        <f ca="1">INDEX(INDIRECT(VLOOKUP(LEFT(BO345,7),CLU!$Z$3:$AH$18,7)),M345-1,3+LEFT(DZ345,1))</f>
        <v>#N/A</v>
      </c>
      <c r="EI345" s="362" t="str">
        <f t="shared" si="1069"/>
        <v xml:space="preserve"> </v>
      </c>
      <c r="EJ345" s="363" t="str">
        <f t="shared" si="1070"/>
        <v xml:space="preserve"> </v>
      </c>
      <c r="EK345" s="363" t="str">
        <f t="shared" si="1071"/>
        <v xml:space="preserve"> </v>
      </c>
      <c r="EL345" s="363" t="str">
        <f t="shared" si="1072"/>
        <v xml:space="preserve"> </v>
      </c>
      <c r="EM345" s="362" t="str">
        <f>IF(L345&gt;0,IF(BR345&gt;0,(Calculation!T345/ED345)^2,0)," ")</f>
        <v xml:space="preserve"> </v>
      </c>
      <c r="EN345" s="362" t="str">
        <f>IF(L345&gt;0,IF(O345="2 Pipe (Cooling)","N/A",IF(BR345&gt;0,(Calculation!U345/EI345)^2,0))," ")</f>
        <v xml:space="preserve"> </v>
      </c>
      <c r="EO345" s="361" t="str">
        <f t="shared" si="1073"/>
        <v/>
      </c>
      <c r="EP345" s="361" t="str">
        <f t="shared" si="1074"/>
        <v/>
      </c>
      <c r="EQ345" s="361" t="str">
        <f t="shared" si="1075"/>
        <v/>
      </c>
      <c r="ER345" s="361" t="str">
        <f t="shared" si="1076"/>
        <v/>
      </c>
      <c r="ES345" s="361" t="str">
        <f t="shared" si="1077"/>
        <v/>
      </c>
      <c r="ET345" s="361" t="str">
        <f t="shared" si="1078"/>
        <v/>
      </c>
      <c r="EU345" s="361" t="str">
        <f t="shared" si="1079"/>
        <v/>
      </c>
      <c r="EV345" s="361" t="str">
        <f t="shared" si="1080"/>
        <v/>
      </c>
      <c r="EW345" s="361" t="str">
        <f t="shared" si="1081"/>
        <v/>
      </c>
      <c r="EX345" s="361" t="str">
        <f t="shared" si="1171"/>
        <v>1 slot, 1 way</v>
      </c>
      <c r="EY345" s="361" t="str">
        <f t="shared" si="1172"/>
        <v xml:space="preserve"> </v>
      </c>
      <c r="EZ345" s="361" t="str">
        <f t="shared" si="1173"/>
        <v xml:space="preserve"> </v>
      </c>
      <c r="FA345" s="361" t="str">
        <f t="shared" si="1174"/>
        <v xml:space="preserve"> </v>
      </c>
      <c r="FB345" s="361" t="str">
        <f t="shared" si="1175"/>
        <v xml:space="preserve"> </v>
      </c>
      <c r="FC345" s="361"/>
      <c r="FD345" s="361" t="str">
        <f>IF(J345&gt;0,IF(Calculation!R345&lt;=70,4,IF(Calculation!R345&lt;=110,5,IF(Calculation!R345&lt;=160,6,IF(Calculation!R345&lt;=300,8,"10 EO")))),"")</f>
        <v/>
      </c>
      <c r="FE345" s="361" t="str">
        <f t="shared" si="1176"/>
        <v/>
      </c>
      <c r="FF345" s="361" t="str">
        <f t="shared" si="1177"/>
        <v/>
      </c>
      <c r="FG345" s="361" t="e">
        <f t="shared" si="1082"/>
        <v>#N/A</v>
      </c>
      <c r="FH345" s="361">
        <f t="shared" si="1083"/>
        <v>0</v>
      </c>
      <c r="FI345" s="361" t="e">
        <f t="shared" si="1084"/>
        <v>#DIV/0!</v>
      </c>
      <c r="FJ345" s="361"/>
      <c r="FK345" s="356" t="e">
        <f t="shared" si="1085"/>
        <v>#VALUE!</v>
      </c>
      <c r="FL345" s="361"/>
      <c r="FM345" s="361"/>
      <c r="FN345" s="362" t="str">
        <f t="shared" si="1178"/>
        <v xml:space="preserve"> </v>
      </c>
      <c r="FO345" s="362" t="str">
        <f t="shared" si="1179"/>
        <v xml:space="preserve"> </v>
      </c>
      <c r="FP345" s="362">
        <f t="shared" si="1180"/>
        <v>0</v>
      </c>
      <c r="FQ345" s="361">
        <f t="shared" si="1086"/>
        <v>0</v>
      </c>
      <c r="FR345" s="362" t="str">
        <f>IF(L345&gt;0,IF(J345="CBAL2",Worksheet!$P$67,IF(J345="CBE2-24",Worksheet!$Q$67,IF(J345="CBAM",Worksheet!$R$67,IF(J345="CBLV",Worksheet!$S$67,IF(J345="CBAB",Worksheet!$U$67,IF(J345="CBAW",Worksheet!$X$67,IF(J345="CBE2-12",Worksheet!$Y$67,IF(J345="CBAL2",Worksheet!$Z$67,"N/A"))))))))," ")</f>
        <v xml:space="preserve"> </v>
      </c>
      <c r="FS345" s="362" t="str">
        <f>IF(L345&gt;0,IF(J345="CBAL2",Worksheet!$P$68,IF(J345="CBE2-24",Worksheet!$Q$68,IF(J345="CBAM",Worksheet!$R$68,IF(J345="CBLV",Worksheet!$S$68,IF(J345="CBAB",Worksheet!$U$68,IF(J345="CBAW",Worksheet!$X$68,IF(J345="CBE2-12",Worksheet!$Y$68,IF(J345="CBAL2",Worksheet!$Z$68,"N/A"))))))))," ")</f>
        <v xml:space="preserve"> </v>
      </c>
      <c r="FT345" s="362" t="str">
        <f>IF(L345&gt;0,IF(J345="CBAL2",Worksheet!$P$69,IF(J345="CBE2-24",Worksheet!$Q$69,IF(J345="CBAM",Worksheet!$R$69,IF(J345="CBLV",Worksheet!$S$69,IF(J345="CBAB",Worksheet!$U$69,IF(J345="CBAW",Worksheet!$X$69,IF(J345="CBE2-12",Worksheet!$Y$69,IF(J345="CBAL2",Worksheet!$Z$69,"N/A"))))))))," ")</f>
        <v xml:space="preserve"> </v>
      </c>
      <c r="FU345" s="361" t="str">
        <f t="shared" si="1181"/>
        <v xml:space="preserve"> </v>
      </c>
      <c r="FV345" s="362" t="str">
        <f t="shared" si="1182"/>
        <v xml:space="preserve"> </v>
      </c>
      <c r="FW345" s="362" t="str">
        <f t="shared" si="1183"/>
        <v xml:space="preserve"> </v>
      </c>
      <c r="FX345" s="362" t="str">
        <f t="shared" si="1184"/>
        <v xml:space="preserve"> </v>
      </c>
      <c r="FY345" s="355" t="str">
        <f t="shared" si="1185"/>
        <v xml:space="preserve"> </v>
      </c>
      <c r="FZ345" s="361" t="str">
        <f t="shared" si="1186"/>
        <v xml:space="preserve"> </v>
      </c>
      <c r="GA345" s="347" t="str">
        <f t="shared" si="1187"/>
        <v xml:space="preserve"> </v>
      </c>
      <c r="GB345" s="355" t="str">
        <f t="shared" si="1188"/>
        <v xml:space="preserve"> </v>
      </c>
      <c r="GC345" s="328" t="str">
        <f t="shared" si="1189"/>
        <v xml:space="preserve"> </v>
      </c>
      <c r="GD345" s="361" t="str">
        <f t="shared" si="1190"/>
        <v xml:space="preserve"> </v>
      </c>
      <c r="GE345" s="347" t="str">
        <f t="shared" si="1191"/>
        <v xml:space="preserve"> </v>
      </c>
      <c r="GF345" s="361" t="str">
        <f t="shared" si="1192"/>
        <v xml:space="preserve"> </v>
      </c>
      <c r="GG345" s="347" t="str">
        <f t="shared" si="1193"/>
        <v xml:space="preserve"> </v>
      </c>
      <c r="GH345" s="364">
        <f t="shared" si="1087"/>
        <v>0</v>
      </c>
      <c r="GI345" s="362">
        <f t="shared" si="1194"/>
        <v>2</v>
      </c>
      <c r="GJ345" s="433" t="e">
        <f>IF(6-COUNTBLANK(GT345:GY345)=4,MATCH(MID(BO345,9,3),CLU!$H$16:$K$16),MATCH(MID(BO345,9,3),CLU!$H$13:$M$13))</f>
        <v>#N/A</v>
      </c>
      <c r="GK345" s="433" t="e">
        <f>HLOOKUP(VALUE(BP345),CLU!$H$9:$M$10,2)</f>
        <v>#VALUE!</v>
      </c>
      <c r="GL345" s="433" t="e">
        <f ca="1">MATCH(BU345,CLU!$H$2:$V$2,1)</f>
        <v>#VALUE!</v>
      </c>
      <c r="GM345" s="433" t="e">
        <f t="shared" ca="1" si="1195"/>
        <v>#VALUE!</v>
      </c>
      <c r="GN345" s="433" t="e">
        <f t="shared" ca="1" si="1196"/>
        <v>#VALUE!</v>
      </c>
      <c r="GO345" s="433" t="e">
        <f t="shared" ca="1" si="1197"/>
        <v>#VALUE!</v>
      </c>
      <c r="GP345" s="433" t="e">
        <f t="shared" ca="1" si="1198"/>
        <v>#VALUE!</v>
      </c>
      <c r="GQ345" s="433" t="e">
        <f t="shared" ca="1" si="1199"/>
        <v>#VALUE!</v>
      </c>
      <c r="GR345" s="433" t="e">
        <f ca="1">MATCH(T345,INDIRECT(VLOOKUP(CONCATENATE(LEFT(BO345,7),"-",MID(BO345,13,1)),CLU!$P$3:$Q$16,2)),1)</f>
        <v>#N/A</v>
      </c>
      <c r="GS345" s="433" t="e">
        <f ca="1">MATCH(U345,INDIRECT(VLOOKUP(CONCATENATE(LEFT(BO345,7),"-",MID(BO345,13,1)),CLU!$P$3:$Q$16,2)),1)</f>
        <v>#N/A</v>
      </c>
      <c r="GT345" s="347" t="s">
        <v>512</v>
      </c>
      <c r="GU345" s="97" t="s">
        <v>513</v>
      </c>
      <c r="GV345" s="97" t="str">
        <f t="shared" si="1200"/>
        <v>M23</v>
      </c>
      <c r="GW345" s="97" t="str">
        <f t="shared" si="1201"/>
        <v>M31</v>
      </c>
      <c r="GX345" s="97" t="str">
        <f t="shared" si="1202"/>
        <v/>
      </c>
      <c r="GY345" s="97" t="str">
        <f t="shared" si="1203"/>
        <v/>
      </c>
      <c r="GZ345" s="481"/>
      <c r="HA345" s="240"/>
      <c r="HB345" s="240"/>
      <c r="HC345" s="240"/>
      <c r="HD345" s="240"/>
      <c r="HE345" s="240"/>
      <c r="HF345" s="240"/>
      <c r="HG345" s="240"/>
      <c r="HH345" s="240"/>
      <c r="HI345" s="240"/>
      <c r="HJ345" s="240"/>
      <c r="HK345" s="240"/>
      <c r="HL345" s="240"/>
      <c r="HM345" s="240"/>
      <c r="HN345" s="240"/>
      <c r="HO345" s="240"/>
      <c r="HP345" s="240"/>
      <c r="HQ345" s="240"/>
      <c r="HR345" s="240"/>
      <c r="HS345" s="240"/>
      <c r="HT345" s="240"/>
      <c r="HU345" s="240"/>
      <c r="HV345" s="245"/>
      <c r="HW345" s="245" t="b">
        <v>1</v>
      </c>
      <c r="HX345" s="245" t="str">
        <f t="shared" si="1088"/>
        <v/>
      </c>
      <c r="HY345" s="245" t="e">
        <f t="shared" si="1089"/>
        <v>#DIV/0!</v>
      </c>
      <c r="HZ345" s="245" t="e">
        <f t="shared" si="1090"/>
        <v>#DIV/0!</v>
      </c>
      <c r="IA345" s="245">
        <f t="shared" si="1091"/>
        <v>0</v>
      </c>
      <c r="IB345" s="245"/>
      <c r="IC345" t="b">
        <f t="shared" si="1092"/>
        <v>1</v>
      </c>
      <c r="ID345" s="245" t="b">
        <f t="shared" si="1093"/>
        <v>1</v>
      </c>
      <c r="IE345" s="245" t="b">
        <f t="shared" si="1094"/>
        <v>1</v>
      </c>
      <c r="IF345" s="245" t="b">
        <f t="shared" si="1095"/>
        <v>0</v>
      </c>
      <c r="IG345" s="245" t="b">
        <f t="shared" si="1096"/>
        <v>1</v>
      </c>
      <c r="IH345" s="245" t="b">
        <f t="shared" si="1097"/>
        <v>1</v>
      </c>
      <c r="II345" s="245">
        <f t="shared" si="1204"/>
        <v>0</v>
      </c>
      <c r="IJ345" s="245" t="e">
        <f t="shared" si="1098"/>
        <v>#VALUE!</v>
      </c>
      <c r="IK345" s="245" t="e">
        <f t="shared" si="1099"/>
        <v>#VALUE!</v>
      </c>
      <c r="IL345" s="245"/>
      <c r="IM345" s="245" t="e">
        <f t="shared" si="1205"/>
        <v>#N/A</v>
      </c>
      <c r="IN345" s="245" t="e">
        <f t="shared" si="1206"/>
        <v>#N/A</v>
      </c>
      <c r="IO345" s="245"/>
      <c r="IP345" s="245"/>
      <c r="IQ345" s="245" t="str">
        <f t="shared" si="1100"/>
        <v/>
      </c>
      <c r="IR345" s="245" t="str">
        <f>IF(J345="","",VLOOKUP(J345,Worksheet!$R$4:$T$14,2))</f>
        <v/>
      </c>
      <c r="IS345" s="245"/>
      <c r="IT345" s="245">
        <f t="shared" si="1101"/>
        <v>0</v>
      </c>
      <c r="IU345" s="245">
        <f t="shared" si="1102"/>
        <v>0</v>
      </c>
      <c r="IV345" s="245">
        <f t="shared" si="1103"/>
        <v>0</v>
      </c>
      <c r="IW345" s="245">
        <f t="shared" si="1104"/>
        <v>0</v>
      </c>
      <c r="IX345" s="245">
        <f t="shared" si="1207"/>
        <v>0</v>
      </c>
      <c r="IY345" s="245">
        <f t="shared" si="1105"/>
        <v>0</v>
      </c>
      <c r="IZ345" s="245">
        <f t="shared" si="1106"/>
        <v>0</v>
      </c>
      <c r="JA345">
        <f t="shared" si="1107"/>
        <v>0</v>
      </c>
      <c r="JB345">
        <f t="shared" si="1208"/>
        <v>0</v>
      </c>
      <c r="JC345">
        <f t="shared" si="1108"/>
        <v>0</v>
      </c>
      <c r="JD345">
        <f t="shared" si="1109"/>
        <v>0</v>
      </c>
      <c r="JE345">
        <f t="shared" si="1110"/>
        <v>0</v>
      </c>
      <c r="JF345">
        <f t="shared" si="1111"/>
        <v>0</v>
      </c>
      <c r="JG345">
        <f t="shared" si="1112"/>
        <v>0</v>
      </c>
      <c r="JH345">
        <f t="shared" si="1113"/>
        <v>0</v>
      </c>
      <c r="JI345">
        <f t="shared" si="1114"/>
        <v>0</v>
      </c>
      <c r="JJ345" s="447">
        <f t="shared" si="1115"/>
        <v>0</v>
      </c>
      <c r="JK345" s="447">
        <f t="shared" si="1116"/>
        <v>0</v>
      </c>
      <c r="JL345">
        <f t="shared" si="1117"/>
        <v>0</v>
      </c>
      <c r="JM345" s="245" t="str">
        <f>IFERROR(VLOOKUP(MATCH(BN345,#REF!,0),#REF!,7),"")</f>
        <v/>
      </c>
      <c r="JN345" t="e">
        <f>HLOOKUP(LEFT(BO345,7),Discharge_Area,MATCH(JO345,LookUps!$B$130:$B$149,1)+2)</f>
        <v>#N/A</v>
      </c>
      <c r="JO345" t="str">
        <f t="shared" si="1118"/>
        <v>- S</v>
      </c>
      <c r="JP345" t="e">
        <f>HLOOKUP(LEFT(BO345,7),Discharge_Area,MATCH(JO345,LookUps!$B$130:$B$149,1)+2)</f>
        <v>#N/A</v>
      </c>
      <c r="JQ345" t="e">
        <f t="shared" si="1119"/>
        <v>#N/A</v>
      </c>
      <c r="JR345" t="e">
        <f t="shared" si="1120"/>
        <v>#N/A</v>
      </c>
      <c r="JS345" t="e">
        <f t="shared" si="1121"/>
        <v>#N/A</v>
      </c>
      <c r="JT345" s="532" t="str">
        <f t="shared" si="1122"/>
        <v xml:space="preserve"> </v>
      </c>
      <c r="JU345" s="532" t="str">
        <f t="shared" si="1123"/>
        <v xml:space="preserve"> </v>
      </c>
      <c r="JV345" s="533" t="str">
        <f t="shared" si="1124"/>
        <v xml:space="preserve"> </v>
      </c>
      <c r="JW345" s="534">
        <f t="shared" si="1125"/>
        <v>0</v>
      </c>
      <c r="JX345" s="535" t="str">
        <f t="shared" si="1209"/>
        <v xml:space="preserve"> </v>
      </c>
      <c r="JY345" s="535" t="str">
        <f t="shared" si="1210"/>
        <v xml:space="preserve"> </v>
      </c>
      <c r="JZ345" s="535" t="str">
        <f t="shared" si="1211"/>
        <v xml:space="preserve"> </v>
      </c>
      <c r="KA345" s="536" t="str">
        <f t="shared" si="1126"/>
        <v xml:space="preserve"> </v>
      </c>
      <c r="KB345" s="535" t="e">
        <f t="shared" si="1212"/>
        <v>#VALUE!</v>
      </c>
      <c r="KC345" s="535" t="str">
        <f t="shared" si="1127"/>
        <v/>
      </c>
      <c r="KD345" s="537" t="str">
        <f t="shared" si="1213"/>
        <v xml:space="preserve"> </v>
      </c>
      <c r="KE345" s="537" t="str">
        <f t="shared" si="1214"/>
        <v xml:space="preserve"> </v>
      </c>
      <c r="KF345" s="534">
        <f t="shared" si="1128"/>
        <v>0</v>
      </c>
      <c r="KG345" s="535" t="str">
        <f t="shared" si="1129"/>
        <v xml:space="preserve"> </v>
      </c>
      <c r="KH345" s="535" t="str">
        <f t="shared" si="1130"/>
        <v xml:space="preserve"> </v>
      </c>
      <c r="KI345" s="535" t="str">
        <f t="shared" si="1131"/>
        <v xml:space="preserve"> </v>
      </c>
      <c r="KJ345" s="536" t="str">
        <f t="shared" si="1132"/>
        <v xml:space="preserve"> </v>
      </c>
      <c r="KK345" s="535" t="str">
        <f t="shared" si="1215"/>
        <v xml:space="preserve"> </v>
      </c>
      <c r="KL345" s="535" t="str">
        <f t="shared" si="1216"/>
        <v xml:space="preserve"> </v>
      </c>
      <c r="KM345" s="537" t="str">
        <f t="shared" si="1133"/>
        <v xml:space="preserve"> </v>
      </c>
      <c r="KN345" s="537" t="str">
        <f t="shared" si="1217"/>
        <v xml:space="preserve"> </v>
      </c>
      <c r="KP345">
        <f t="shared" si="1134"/>
        <v>0</v>
      </c>
      <c r="LA345" t="e">
        <f t="shared" si="1135"/>
        <v>#VALUE!</v>
      </c>
      <c r="LB345" t="e">
        <f t="shared" si="1136"/>
        <v>#VALUE!</v>
      </c>
      <c r="LC345" t="e">
        <f t="shared" si="1137"/>
        <v>#VALUE!</v>
      </c>
      <c r="LD345" t="e">
        <f t="shared" si="1138"/>
        <v>#VALUE!</v>
      </c>
      <c r="LE345" t="e">
        <f t="shared" si="1218"/>
        <v>#VALUE!</v>
      </c>
      <c r="LF345">
        <f t="shared" si="1139"/>
        <v>0</v>
      </c>
      <c r="LG345" t="e">
        <f t="shared" si="1219"/>
        <v>#VALUE!</v>
      </c>
      <c r="LH345" t="str">
        <f t="shared" si="1140"/>
        <v xml:space="preserve"> </v>
      </c>
      <c r="LI345">
        <f t="shared" si="1220"/>
        <v>1</v>
      </c>
    </row>
    <row r="346" spans="2:321" ht="15" customHeight="1">
      <c r="B346" s="311"/>
      <c r="C346" s="311"/>
      <c r="D346" s="312"/>
      <c r="E346" s="311"/>
      <c r="F346" s="312"/>
      <c r="G346" s="311"/>
      <c r="H346" s="311"/>
      <c r="I346" s="232"/>
      <c r="J346" s="311"/>
      <c r="K346" s="305" t="str">
        <f t="shared" si="1141"/>
        <v/>
      </c>
      <c r="L346" s="313"/>
      <c r="M346" s="312"/>
      <c r="N346" s="311"/>
      <c r="O346" s="312"/>
      <c r="P346" s="311"/>
      <c r="Q346" s="305" t="str">
        <f t="shared" si="1142"/>
        <v/>
      </c>
      <c r="R346" s="314"/>
      <c r="S346" s="450" t="str">
        <f t="shared" si="1025"/>
        <v/>
      </c>
      <c r="T346" s="315"/>
      <c r="U346" s="315"/>
      <c r="W346" s="149" t="str">
        <f t="shared" si="1026"/>
        <v xml:space="preserve"> </v>
      </c>
      <c r="X346" s="243" t="str">
        <f t="shared" si="1027"/>
        <v xml:space="preserve"> </v>
      </c>
      <c r="Y346" s="150" t="str">
        <f t="shared" si="1028"/>
        <v/>
      </c>
      <c r="Z346" s="149" t="str">
        <f t="shared" si="1029"/>
        <v xml:space="preserve"> </v>
      </c>
      <c r="AA346" s="98" t="str">
        <f t="shared" si="1030"/>
        <v xml:space="preserve"> </v>
      </c>
      <c r="AB346" s="153" t="str">
        <f t="shared" si="1031"/>
        <v xml:space="preserve"> </v>
      </c>
      <c r="AC346" s="153" t="str">
        <f t="shared" si="1032"/>
        <v xml:space="preserve"> </v>
      </c>
      <c r="AD346" s="148" t="str">
        <f t="shared" si="1033"/>
        <v/>
      </c>
      <c r="AE346" s="149" t="str">
        <f t="shared" si="1034"/>
        <v/>
      </c>
      <c r="AF346" s="151" t="str">
        <f t="shared" si="1035"/>
        <v xml:space="preserve"> </v>
      </c>
      <c r="AG346" s="153" t="str">
        <f t="shared" si="1036"/>
        <v xml:space="preserve"> </v>
      </c>
      <c r="AH346" s="98" t="str">
        <f t="shared" si="1037"/>
        <v xml:space="preserve"> </v>
      </c>
      <c r="AI346" s="149" t="str">
        <f t="shared" si="1038"/>
        <v xml:space="preserve"> </v>
      </c>
      <c r="AK346" s="144" t="str">
        <f t="shared" si="1039"/>
        <v xml:space="preserve"> </v>
      </c>
      <c r="AL346" s="144"/>
      <c r="AM346" s="243" t="str">
        <f t="shared" si="1040"/>
        <v xml:space="preserve"> </v>
      </c>
      <c r="AN346" s="149" t="str">
        <f t="shared" si="1143"/>
        <v xml:space="preserve"> </v>
      </c>
      <c r="AO346" s="144" t="str">
        <f>IF(JB346&gt;0,IF(GI346=10,-R346*1.085*(Calculation!$F$6-Calculation!$F$13)*$S$14," "),"")</f>
        <v/>
      </c>
      <c r="AP346" s="144" t="str">
        <f t="shared" si="1041"/>
        <v/>
      </c>
      <c r="AQ346" s="56" t="str">
        <f t="shared" si="1042"/>
        <v/>
      </c>
      <c r="AR346" s="144" t="str">
        <f t="shared" si="1043"/>
        <v/>
      </c>
      <c r="AS346" s="176" t="str">
        <f t="shared" si="1044"/>
        <v/>
      </c>
      <c r="AT346" s="176" t="str">
        <f t="shared" si="1144"/>
        <v xml:space="preserve"> </v>
      </c>
      <c r="AU346" s="176" t="str">
        <f t="shared" si="1045"/>
        <v/>
      </c>
      <c r="AV346" s="177" t="str">
        <f t="shared" si="1046"/>
        <v xml:space="preserve"> </v>
      </c>
      <c r="AW346" s="144" t="str">
        <f t="shared" si="1047"/>
        <v xml:space="preserve"> </v>
      </c>
      <c r="AX346" s="144" t="str">
        <f t="shared" si="1048"/>
        <v xml:space="preserve"> </v>
      </c>
      <c r="AY346" s="152" t="str">
        <f t="shared" si="1049"/>
        <v xml:space="preserve"> </v>
      </c>
      <c r="AZ346" s="246" t="str">
        <f t="shared" si="1050"/>
        <v/>
      </c>
      <c r="BA346" s="176" t="str">
        <f t="shared" si="1051"/>
        <v xml:space="preserve"> </v>
      </c>
      <c r="BB346" s="176" t="str">
        <f t="shared" si="1052"/>
        <v xml:space="preserve"> </v>
      </c>
      <c r="BC346" s="195"/>
      <c r="BD346" s="316"/>
      <c r="BE346" s="317"/>
      <c r="BF346" s="318"/>
      <c r="BG346" s="318"/>
      <c r="BH346" s="144" t="str">
        <f t="shared" si="1221"/>
        <v xml:space="preserve"> </v>
      </c>
      <c r="BI346" s="176" t="str">
        <f t="shared" si="1053"/>
        <v/>
      </c>
      <c r="BJ346" s="144" t="str">
        <f t="shared" si="1222"/>
        <v/>
      </c>
      <c r="BK346" s="246" t="str">
        <f t="shared" si="1054"/>
        <v/>
      </c>
      <c r="BL346" s="144" t="str">
        <f t="shared" si="1223"/>
        <v/>
      </c>
      <c r="BM346" s="246" t="str">
        <f t="shared" si="1055"/>
        <v/>
      </c>
      <c r="BN346" s="337" t="str">
        <f t="shared" si="1145"/>
        <v/>
      </c>
      <c r="BO346" s="371" t="str">
        <f t="shared" si="1146"/>
        <v/>
      </c>
      <c r="BP346" s="328" t="str">
        <f t="shared" si="1224"/>
        <v xml:space="preserve"> </v>
      </c>
      <c r="BQ346" s="347" t="str">
        <f t="shared" si="1147"/>
        <v xml:space="preserve"> </v>
      </c>
      <c r="BR346" s="353" t="str">
        <f t="shared" si="1148"/>
        <v xml:space="preserve"> </v>
      </c>
      <c r="BS346" s="626" t="str">
        <f>IF(L346&gt;0,IF(Calculation!P346="M13",BR346*3.1416*(0.134^2)/(4*144),IF(Calculation!P346="M17",BR346*3.1416*(0.165^2)/(4*144),IF(Calculation!P346="M20",BR346*3.1416*(0.198^2)/(4*144),IF(Calculation!P346="M23",BR346*3.1416*(0.228^2)/(4*144),IF(Calculation!P346="M27",BR346*3.1416*(0.269^2)/(4*144),BR346*3.1416*(0.307^2)/(4*144))))))," ")</f>
        <v xml:space="preserve"> </v>
      </c>
      <c r="BT346" s="353" t="str">
        <f>IF(L346&gt;0,IF(BS346&gt;0,R346/Calculation!BS346,0)," ")</f>
        <v xml:space="preserve"> </v>
      </c>
      <c r="BU346" s="438" t="e">
        <f t="shared" ca="1" si="1056"/>
        <v>#VALUE!</v>
      </c>
      <c r="BV346" s="449" t="e">
        <f ca="1">INDEX(INDIRECT(VLOOKUP(LEFT(BO346,7),CLU!$Z$3:$AH$18,2)),GN346,GR346)</f>
        <v>#N/A</v>
      </c>
      <c r="BW346" s="433" t="e">
        <f ca="1">INDEX(INDIRECT(VLOOKUP(LEFT(BO346,7),CLU!$Z$3:$AH$18,3)),GN346,GR346)</f>
        <v>#N/A</v>
      </c>
      <c r="BX346" s="433" t="e">
        <f ca="1">INDEX(INDIRECT(VLOOKUP(LEFT(BO346,7),CLU!$Z$3:$AH$18,4)),GN346,GR346)</f>
        <v>#N/A</v>
      </c>
      <c r="BY346" s="433" t="e">
        <f ca="1">INDEX(INDIRECT(VLOOKUP(LEFT(BO346,7),CLU!$Z$3:$AH$18,9)),((M346-2)*(6-COUNTBLANK(GT346:GY346)))+GJ346)</f>
        <v>#N/A</v>
      </c>
      <c r="BZ346" s="426" t="e">
        <f t="shared" ca="1" si="1149"/>
        <v>#N/A</v>
      </c>
      <c r="CA346" s="424" t="e">
        <f t="shared" ca="1" si="1150"/>
        <v>#N/A</v>
      </c>
      <c r="CB346" s="429" t="e">
        <f ca="1">INDEX(INDIRECT(VLOOKUP(LEFT(BO346,7),CLU!$Z$3:$AH$18,2)),GN346,GS346)</f>
        <v>#N/A</v>
      </c>
      <c r="CC346" s="342" t="e">
        <f ca="1">INDEX(INDIRECT(VLOOKUP(LEFT(BO346,7),CLU!$Z$3:$AH$18,3)),GN346,GS346)</f>
        <v>#N/A</v>
      </c>
      <c r="CD346" s="342" t="e">
        <f ca="1">INDEX(INDIRECT(VLOOKUP(LEFT(BO346,7),CLU!$Z$3:$AH$18,4)),GN346,GS346)</f>
        <v>#N/A</v>
      </c>
      <c r="CE346" s="426" t="e">
        <f t="shared" ca="1" si="1151"/>
        <v>#N/A</v>
      </c>
      <c r="CF346" s="440">
        <f t="shared" si="1152"/>
        <v>0</v>
      </c>
      <c r="CG346" s="431" t="e">
        <f ca="1">INDEX(INDIRECT(VLOOKUP(LEFT(BO346,7),CLU!$Z$3:$AH$18,2)),GQ346,GR346)</f>
        <v>#N/A</v>
      </c>
      <c r="CH346" s="431" t="e">
        <f ca="1">INDEX(INDIRECT(VLOOKUP(LEFT(BO346,7),CLU!$Z$3:$AH$18,3)),GQ346,GR346)</f>
        <v>#N/A</v>
      </c>
      <c r="CI346" s="431" t="e">
        <f ca="1">INDEX(INDIRECT(VLOOKUP(LEFT(BO346,7),CLU!$Z$3:$AH$18,4)),GQ346,GR346)</f>
        <v>#N/A</v>
      </c>
      <c r="CJ346" s="448" t="e">
        <f t="shared" ca="1" si="1153"/>
        <v>#N/A</v>
      </c>
      <c r="CK346" s="431" t="e">
        <f t="shared" ca="1" si="1154"/>
        <v>#N/A</v>
      </c>
      <c r="CL346" s="440" t="e">
        <f t="shared" ca="1" si="1155"/>
        <v>#N/A</v>
      </c>
      <c r="CM346" s="431" t="e">
        <f ca="1">INDEX(INDIRECT(VLOOKUP(LEFT(BO346,7),CLU!$Z$3:$AH$18,2)),GQ346,GS346)</f>
        <v>#N/A</v>
      </c>
      <c r="CN346" s="431" t="e">
        <f ca="1">INDEX(INDIRECT(VLOOKUP(LEFT(BO346,7),CLU!$Z$3:$AH$18,3)),GQ346,GS346)</f>
        <v>#N/A</v>
      </c>
      <c r="CO346" s="431" t="e">
        <f ca="1">INDEX(INDIRECT(VLOOKUP(LEFT(BO346,7),CLU!$Z$3:$AH$18,4)),GQ346,GS346)</f>
        <v>#N/A</v>
      </c>
      <c r="CP346" s="431" t="e">
        <f t="shared" ca="1" si="1156"/>
        <v>#N/A</v>
      </c>
      <c r="CQ346" s="440">
        <f t="shared" si="1157"/>
        <v>0</v>
      </c>
      <c r="CR346" s="51" t="e">
        <f t="shared" ca="1" si="1158"/>
        <v>#N/A</v>
      </c>
      <c r="CS346" s="439" t="e">
        <f t="shared" ca="1" si="1159"/>
        <v>#VALUE!</v>
      </c>
      <c r="CT346" s="51" t="e">
        <f t="shared" ca="1" si="1160"/>
        <v>#VALUE!</v>
      </c>
      <c r="CU346" s="10"/>
      <c r="CV346" s="51" t="e">
        <f t="shared" ca="1" si="1057"/>
        <v>#VALUE!</v>
      </c>
      <c r="CW346" s="51">
        <f t="shared" si="1161"/>
        <v>0</v>
      </c>
      <c r="CX346" s="439" t="e">
        <f t="shared" ca="1" si="1162"/>
        <v>#VALUE!</v>
      </c>
      <c r="CY346" s="51" t="e">
        <f t="shared" ca="1" si="1163"/>
        <v>#VALUE!</v>
      </c>
      <c r="CZ346" s="10"/>
      <c r="DA346" s="51" t="e">
        <f t="shared" ca="1" si="1164"/>
        <v>#VALUE!</v>
      </c>
      <c r="DB346" s="347" t="e">
        <f ca="1">INDEX(INDIRECT(VLOOKUP(LEFT(BO346,7),CLU!$Z$3:$AI$18,10)),((M346-2)*(6-COUNTBLANK(GT346:GY346)))+GJ346)*LI346</f>
        <v>#N/A</v>
      </c>
      <c r="DC346" s="347" t="str">
        <f>IF(L346&gt;0,((R346/Worksheet!$I$15)/DB346)^2," ")</f>
        <v xml:space="preserve"> </v>
      </c>
      <c r="DD346" s="602" t="str">
        <f t="shared" si="1165"/>
        <v xml:space="preserve"> </v>
      </c>
      <c r="DE346" s="347" t="str">
        <f t="shared" si="1058"/>
        <v xml:space="preserve"> </v>
      </c>
      <c r="DF346" s="356" t="e">
        <f ca="1">INDEX(INDIRECT(VLOOKUP(LEFT(BO346,7),CLU!$Z$3:$AH$18,8)),((M346-2)*(6-COUNTBLANK(GT346:GY346)))+GJ346)</f>
        <v>#N/A</v>
      </c>
      <c r="DG346" s="347" t="str">
        <f t="shared" si="1059"/>
        <v xml:space="preserve"> </v>
      </c>
      <c r="DH346" s="357" t="str">
        <f t="shared" si="1060"/>
        <v xml:space="preserve"> </v>
      </c>
      <c r="DI346" s="355" t="str">
        <f t="shared" si="1061"/>
        <v xml:space="preserve"> </v>
      </c>
      <c r="DJ346" s="245" t="e">
        <f ca="1">INDEX(INDIRECT(VLOOKUP(LEFT(BO346,7),CLU!$Z$3:$AH$18,5)),GL346,GK346)</f>
        <v>#N/A</v>
      </c>
      <c r="DK346" s="245" t="e">
        <f ca="1">INDEX(INDIRECT(VLOOKUP(LEFT(BO346,7),CLU!$Z$3:$AH$18,6)),GL346,GK346)</f>
        <v>#N/A</v>
      </c>
      <c r="DL346" s="355">
        <f>(Calculation!R346*0.69143*(Calculation!$BQ$8-Calculation!$F$8))*$S$14</f>
        <v>0</v>
      </c>
      <c r="DM346" s="359" t="e">
        <f t="shared" si="1166"/>
        <v>#VALUE!</v>
      </c>
      <c r="DN346" s="611">
        <f t="shared" si="1167"/>
        <v>0</v>
      </c>
      <c r="DO346" s="359">
        <f t="shared" si="1168"/>
        <v>100</v>
      </c>
      <c r="DP346" s="359">
        <f t="shared" si="1169"/>
        <v>0</v>
      </c>
      <c r="DQ346" s="360"/>
      <c r="DR346" s="245" t="e">
        <f ca="1">INDEX(INDIRECT(VLOOKUP(LEFT(BO346,7),CLU!$Z$3:$AH$18,7)),M346-1,1)</f>
        <v>#N/A</v>
      </c>
      <c r="DS346" s="245" t="e">
        <f ca="1">INDEX(INDIRECT(VLOOKUP(LEFT(BO346,7),CLU!$Z$3:$AH$18,7)),M346-1,2)</f>
        <v>#N/A</v>
      </c>
      <c r="DT346" s="245" t="e">
        <f ca="1">INDEX(INDIRECT(VLOOKUP(LEFT(BO346,7),CLU!$Z$3:$AH$18,7)),M346-1,3)</f>
        <v>#N/A</v>
      </c>
      <c r="DU346" s="245" t="e">
        <f ca="1">INDEX(INDIRECT(VLOOKUP(LEFT(BO346,7),CLU!$Z$3:$AH$18,7)),M346-1,4)</f>
        <v>#N/A</v>
      </c>
      <c r="DV346" s="361" t="e">
        <f ca="1">INDEX(INDIRECT(VLOOKUP(LEFT(BO346,7),CLU!$Z$3:$AH$18,7)),M346-1,4+LEFT(DZ346,1)*0.5)</f>
        <v>#N/A</v>
      </c>
      <c r="DW346" s="245" t="e">
        <f ca="1">INDEX(INDIRECT(VLOOKUP(LEFT(BO346,7),CLU!$Z$3:$AH$18,7)),M346-1,8)</f>
        <v>#N/A</v>
      </c>
      <c r="DX346" s="361" t="str">
        <f t="shared" si="1062"/>
        <v xml:space="preserve"> </v>
      </c>
      <c r="DY346" s="361" t="str">
        <f t="shared" si="1063"/>
        <v xml:space="preserve"> </v>
      </c>
      <c r="DZ346" s="361" t="str">
        <f t="shared" si="1064"/>
        <v xml:space="preserve"> </v>
      </c>
      <c r="EA346" s="362" t="str">
        <f t="shared" si="1065"/>
        <v xml:space="preserve"> </v>
      </c>
      <c r="EB346" s="624" t="str">
        <f t="shared" si="1170"/>
        <v xml:space="preserve"> </v>
      </c>
      <c r="EC346" s="361" t="e">
        <f ca="1">INDEX(INDIRECT(VLOOKUP(LEFT(BO346,7),CLU!$Z$3:$AH$18,7)),M346-1,4+LEFT(DZ346,1)*0.5)</f>
        <v>#N/A</v>
      </c>
      <c r="ED346" s="362" t="str">
        <f t="shared" si="1066"/>
        <v xml:space="preserve"> </v>
      </c>
      <c r="EE346" s="361" t="str">
        <f t="shared" si="1067"/>
        <v xml:space="preserve"> </v>
      </c>
      <c r="EF346" s="362" t="str">
        <f>IF(L346&gt;0,IF(BR346&gt;0,IF(EE346="2P",IF(Calculation!DZ346="2P",IF(Calculation!DS346=13.75,IF(Calculation!DR346=13,Worksheet!$BD$43,IF(Calculation!DR346=37,Worksheet!$BD$44,Worksheet!$BD$45)),IF(Calculation!DS346=10,IF(Calculation!DR346=18,Worksheet!$BD$29,IF(Calculation!DR346=30,Worksheet!$BD$30,IF(Calculation!DR346=42,Worksheet!$BD$31,IF(Calculation!DR346=54,Worksheet!$BD$32,IF(Calculation!DR346=66,Worksheet!$BD$33,IF(Calculation!DR346=78,Worksheet!$BD$34,IF(Calculation!DR346=90,Worksheet!$BD$35,IF(Calculation!DR346=102,Worksheet!$BD$36,Worksheet!$BD$37)))))))),IF(Calculation!DS346=12.5,IF(Calculation!DR346=18,Worksheet!$BD$38,IF(Calculation!DR346=Worksheet!$BD$39,IF(Calculation!DR346=42,Worksheet!$BD$40,IF(Calculation!DR346=54,Worksheet!$BD$41,Worksheet!$BD$42)))),IF(Calculation!DR346=18,Worksheet!$BD$11,IF(Calculation!DR346=30,Worksheet!$BD$12,IF(Calculation!DR346=42,Worksheet!$BD$13,IF(Calculation!DR346=54,Worksheet!$BD$14,IF(Calculation!DR346=66,Worksheet!$BD$15,IF(Calculation!DR346=78,Worksheet!$BD$16,IF(Calculation!DR346=90,Worksheet!$BD$17,IF(Calculation!DR346=102,Worksheet!$BD$18,Worksheet!$BD$19))))))))))),IF(Calculation!DS346=13.75,IF(Calculation!DR346=13,Worksheet!$BD$78,IF(Calculation!DR346=37,Worksheet!$BD$79,Worksheet!$BD$80)),IF(Calculation!DS346=10,IF(Calculation!DR346=18,Worksheet!$BD$64,IF(Calculation!DR346=30,Worksheet!$BD$65,IF(Calculation!DR346=42,Worksheet!$BD$66,IF(Calculation!DR346=54,Worksheet!$BD$68,IF(Calculation!DR346=66,Worksheet!$BD$68,IF(Calculation!DR346=78,Worksheet!$BD$69,IF(Calculation!DR346=90,Worksheet!$BD$70,IF(Calculation!DR346=102,Worksheet!$BD$71,Worksheet!$BD$72)))))))),IF(Calculation!DS346=12.5,IF(Calculation!DR346=18,Worksheet!$BD$73,IF(Calculation!DR346=Worksheet!$BD$74,IF(Calculation!DR346=42,Worksheet!$BD$75,IF(Calculation!DR346=54,Worksheet!$BD$76,Worksheet!$BD$77)))),IF(Calculation!DR346=18,Worksheet!$BD$55,IF(Calculation!DR346=30,Worksheet!$BD$56,IF(Calculation!DR346=42,Worksheet!$BD$57,IF(Calculation!DR346=54,Worksheet!$BD$58,IF(Calculation!DR346=66,Worksheet!$BD$59,IF(Calculation!DR346=78,Worksheet!$BD$60,IF(Calculation!DR346=90,Worksheet!$BD$61,IF(Calculation!DR346=102,Worksheet!$BD$62,Worksheet!$BD$63)))))))))))),5),0)," ")</f>
        <v xml:space="preserve"> </v>
      </c>
      <c r="EG346" s="361" t="str">
        <f t="shared" si="1068"/>
        <v xml:space="preserve"> </v>
      </c>
      <c r="EH346" s="361" t="e">
        <f ca="1">INDEX(INDIRECT(VLOOKUP(LEFT(BO346,7),CLU!$Z$3:$AH$18,7)),M346-1,3+LEFT(DZ346,1))</f>
        <v>#N/A</v>
      </c>
      <c r="EI346" s="362" t="str">
        <f t="shared" si="1069"/>
        <v xml:space="preserve"> </v>
      </c>
      <c r="EJ346" s="363" t="str">
        <f t="shared" si="1070"/>
        <v xml:space="preserve"> </v>
      </c>
      <c r="EK346" s="363" t="str">
        <f t="shared" si="1071"/>
        <v xml:space="preserve"> </v>
      </c>
      <c r="EL346" s="363" t="str">
        <f t="shared" si="1072"/>
        <v xml:space="preserve"> </v>
      </c>
      <c r="EM346" s="362" t="str">
        <f>IF(L346&gt;0,IF(BR346&gt;0,(Calculation!T346/ED346)^2,0)," ")</f>
        <v xml:space="preserve"> </v>
      </c>
      <c r="EN346" s="362" t="str">
        <f>IF(L346&gt;0,IF(O346="2 Pipe (Cooling)","N/A",IF(BR346&gt;0,(Calculation!U346/EI346)^2,0))," ")</f>
        <v xml:space="preserve"> </v>
      </c>
      <c r="EO346" s="361" t="str">
        <f t="shared" si="1073"/>
        <v/>
      </c>
      <c r="EP346" s="361" t="str">
        <f t="shared" si="1074"/>
        <v/>
      </c>
      <c r="EQ346" s="361" t="str">
        <f t="shared" si="1075"/>
        <v/>
      </c>
      <c r="ER346" s="361" t="str">
        <f t="shared" si="1076"/>
        <v/>
      </c>
      <c r="ES346" s="361" t="str">
        <f t="shared" si="1077"/>
        <v/>
      </c>
      <c r="ET346" s="361" t="str">
        <f t="shared" si="1078"/>
        <v/>
      </c>
      <c r="EU346" s="361" t="str">
        <f t="shared" si="1079"/>
        <v/>
      </c>
      <c r="EV346" s="361" t="str">
        <f t="shared" si="1080"/>
        <v/>
      </c>
      <c r="EW346" s="361" t="str">
        <f t="shared" si="1081"/>
        <v/>
      </c>
      <c r="EX346" s="361" t="str">
        <f t="shared" si="1171"/>
        <v>1 slot, 1 way</v>
      </c>
      <c r="EY346" s="361" t="str">
        <f t="shared" si="1172"/>
        <v xml:space="preserve"> </v>
      </c>
      <c r="EZ346" s="361" t="str">
        <f t="shared" si="1173"/>
        <v xml:space="preserve"> </v>
      </c>
      <c r="FA346" s="361" t="str">
        <f t="shared" si="1174"/>
        <v xml:space="preserve"> </v>
      </c>
      <c r="FB346" s="361" t="str">
        <f t="shared" si="1175"/>
        <v xml:space="preserve"> </v>
      </c>
      <c r="FC346" s="361"/>
      <c r="FD346" s="361" t="str">
        <f>IF(J346&gt;0,IF(Calculation!R346&lt;=70,4,IF(Calculation!R346&lt;=110,5,IF(Calculation!R346&lt;=160,6,IF(Calculation!R346&lt;=300,8,"10 EO")))),"")</f>
        <v/>
      </c>
      <c r="FE346" s="361" t="str">
        <f t="shared" si="1176"/>
        <v/>
      </c>
      <c r="FF346" s="361" t="str">
        <f t="shared" si="1177"/>
        <v/>
      </c>
      <c r="FG346" s="361" t="e">
        <f t="shared" si="1082"/>
        <v>#N/A</v>
      </c>
      <c r="FH346" s="361">
        <f t="shared" si="1083"/>
        <v>0</v>
      </c>
      <c r="FI346" s="361" t="e">
        <f t="shared" si="1084"/>
        <v>#DIV/0!</v>
      </c>
      <c r="FJ346" s="361"/>
      <c r="FK346" s="356" t="e">
        <f t="shared" si="1085"/>
        <v>#VALUE!</v>
      </c>
      <c r="FL346" s="361"/>
      <c r="FM346" s="361"/>
      <c r="FN346" s="362" t="str">
        <f t="shared" si="1178"/>
        <v xml:space="preserve"> </v>
      </c>
      <c r="FO346" s="362" t="str">
        <f t="shared" si="1179"/>
        <v xml:space="preserve"> </v>
      </c>
      <c r="FP346" s="362">
        <f t="shared" si="1180"/>
        <v>0</v>
      </c>
      <c r="FQ346" s="361">
        <f t="shared" si="1086"/>
        <v>0</v>
      </c>
      <c r="FR346" s="362" t="str">
        <f>IF(L346&gt;0,IF(J346="CBAL2",Worksheet!$P$67,IF(J346="CBE2-24",Worksheet!$Q$67,IF(J346="CBAM",Worksheet!$R$67,IF(J346="CBLV",Worksheet!$S$67,IF(J346="CBAB",Worksheet!$U$67,IF(J346="CBAW",Worksheet!$X$67,IF(J346="CBE2-12",Worksheet!$Y$67,IF(J346="CBAL2",Worksheet!$Z$67,"N/A"))))))))," ")</f>
        <v xml:space="preserve"> </v>
      </c>
      <c r="FS346" s="362" t="str">
        <f>IF(L346&gt;0,IF(J346="CBAL2",Worksheet!$P$68,IF(J346="CBE2-24",Worksheet!$Q$68,IF(J346="CBAM",Worksheet!$R$68,IF(J346="CBLV",Worksheet!$S$68,IF(J346="CBAB",Worksheet!$U$68,IF(J346="CBAW",Worksheet!$X$68,IF(J346="CBE2-12",Worksheet!$Y$68,IF(J346="CBAL2",Worksheet!$Z$68,"N/A"))))))))," ")</f>
        <v xml:space="preserve"> </v>
      </c>
      <c r="FT346" s="362" t="str">
        <f>IF(L346&gt;0,IF(J346="CBAL2",Worksheet!$P$69,IF(J346="CBE2-24",Worksheet!$Q$69,IF(J346="CBAM",Worksheet!$R$69,IF(J346="CBLV",Worksheet!$S$69,IF(J346="CBAB",Worksheet!$U$69,IF(J346="CBAW",Worksheet!$X$69,IF(J346="CBE2-12",Worksheet!$Y$69,IF(J346="CBAL2",Worksheet!$Z$69,"N/A"))))))))," ")</f>
        <v xml:space="preserve"> </v>
      </c>
      <c r="FU346" s="361" t="str">
        <f t="shared" si="1181"/>
        <v xml:space="preserve"> </v>
      </c>
      <c r="FV346" s="362" t="str">
        <f t="shared" si="1182"/>
        <v xml:space="preserve"> </v>
      </c>
      <c r="FW346" s="362" t="str">
        <f t="shared" si="1183"/>
        <v xml:space="preserve"> </v>
      </c>
      <c r="FX346" s="362" t="str">
        <f t="shared" si="1184"/>
        <v xml:space="preserve"> </v>
      </c>
      <c r="FY346" s="355" t="str">
        <f t="shared" si="1185"/>
        <v xml:space="preserve"> </v>
      </c>
      <c r="FZ346" s="361" t="str">
        <f t="shared" si="1186"/>
        <v xml:space="preserve"> </v>
      </c>
      <c r="GA346" s="347" t="str">
        <f t="shared" si="1187"/>
        <v xml:space="preserve"> </v>
      </c>
      <c r="GB346" s="355" t="str">
        <f t="shared" si="1188"/>
        <v xml:space="preserve"> </v>
      </c>
      <c r="GC346" s="328" t="str">
        <f t="shared" si="1189"/>
        <v xml:space="preserve"> </v>
      </c>
      <c r="GD346" s="361" t="str">
        <f t="shared" si="1190"/>
        <v xml:space="preserve"> </v>
      </c>
      <c r="GE346" s="347" t="str">
        <f t="shared" si="1191"/>
        <v xml:space="preserve"> </v>
      </c>
      <c r="GF346" s="361" t="str">
        <f t="shared" si="1192"/>
        <v xml:space="preserve"> </v>
      </c>
      <c r="GG346" s="347" t="str">
        <f t="shared" si="1193"/>
        <v xml:space="preserve"> </v>
      </c>
      <c r="GH346" s="364">
        <f t="shared" si="1087"/>
        <v>0</v>
      </c>
      <c r="GI346" s="362">
        <f t="shared" si="1194"/>
        <v>2</v>
      </c>
      <c r="GJ346" s="433" t="e">
        <f>IF(6-COUNTBLANK(GT346:GY346)=4,MATCH(MID(BO346,9,3),CLU!$H$16:$K$16),MATCH(MID(BO346,9,3),CLU!$H$13:$M$13))</f>
        <v>#N/A</v>
      </c>
      <c r="GK346" s="433" t="e">
        <f>HLOOKUP(VALUE(BP346),CLU!$H$9:$M$10,2)</f>
        <v>#VALUE!</v>
      </c>
      <c r="GL346" s="433" t="e">
        <f ca="1">MATCH(BU346,CLU!$H$2:$V$2,1)</f>
        <v>#VALUE!</v>
      </c>
      <c r="GM346" s="433" t="e">
        <f t="shared" ca="1" si="1195"/>
        <v>#VALUE!</v>
      </c>
      <c r="GN346" s="433" t="e">
        <f t="shared" ca="1" si="1196"/>
        <v>#VALUE!</v>
      </c>
      <c r="GO346" s="433" t="e">
        <f t="shared" ca="1" si="1197"/>
        <v>#VALUE!</v>
      </c>
      <c r="GP346" s="433" t="e">
        <f t="shared" ca="1" si="1198"/>
        <v>#VALUE!</v>
      </c>
      <c r="GQ346" s="433" t="e">
        <f t="shared" ca="1" si="1199"/>
        <v>#VALUE!</v>
      </c>
      <c r="GR346" s="433" t="e">
        <f ca="1">MATCH(T346,INDIRECT(VLOOKUP(CONCATENATE(LEFT(BO346,7),"-",MID(BO346,13,1)),CLU!$P$3:$Q$16,2)),1)</f>
        <v>#N/A</v>
      </c>
      <c r="GS346" s="433" t="e">
        <f ca="1">MATCH(U346,INDIRECT(VLOOKUP(CONCATENATE(LEFT(BO346,7),"-",MID(BO346,13,1)),CLU!$P$3:$Q$16,2)),1)</f>
        <v>#N/A</v>
      </c>
      <c r="GT346" s="347" t="s">
        <v>512</v>
      </c>
      <c r="GU346" s="97" t="s">
        <v>513</v>
      </c>
      <c r="GV346" s="97" t="str">
        <f t="shared" si="1200"/>
        <v>M23</v>
      </c>
      <c r="GW346" s="97" t="str">
        <f t="shared" si="1201"/>
        <v>M31</v>
      </c>
      <c r="GX346" s="97" t="str">
        <f t="shared" si="1202"/>
        <v/>
      </c>
      <c r="GY346" s="97" t="str">
        <f t="shared" si="1203"/>
        <v/>
      </c>
      <c r="GZ346" s="481"/>
      <c r="HA346" s="240"/>
      <c r="HB346" s="240"/>
      <c r="HC346" s="240"/>
      <c r="HD346" s="240"/>
      <c r="HE346" s="240"/>
      <c r="HF346" s="240"/>
      <c r="HG346" s="240"/>
      <c r="HH346" s="240"/>
      <c r="HI346" s="240"/>
      <c r="HJ346" s="240"/>
      <c r="HK346" s="240"/>
      <c r="HL346" s="240"/>
      <c r="HM346" s="240"/>
      <c r="HN346" s="240"/>
      <c r="HO346" s="240"/>
      <c r="HP346" s="240"/>
      <c r="HQ346" s="240"/>
      <c r="HR346" s="240"/>
      <c r="HS346" s="240"/>
      <c r="HT346" s="240"/>
      <c r="HU346" s="240"/>
      <c r="HV346" s="245"/>
      <c r="HW346" s="245" t="b">
        <v>1</v>
      </c>
      <c r="HX346" s="245" t="str">
        <f t="shared" si="1088"/>
        <v/>
      </c>
      <c r="HY346" s="245" t="e">
        <f t="shared" si="1089"/>
        <v>#DIV/0!</v>
      </c>
      <c r="HZ346" s="245" t="e">
        <f t="shared" si="1090"/>
        <v>#DIV/0!</v>
      </c>
      <c r="IA346" s="245">
        <f t="shared" si="1091"/>
        <v>0</v>
      </c>
      <c r="IB346" s="245"/>
      <c r="IC346" t="b">
        <f t="shared" si="1092"/>
        <v>1</v>
      </c>
      <c r="ID346" s="245" t="b">
        <f t="shared" si="1093"/>
        <v>1</v>
      </c>
      <c r="IE346" s="245" t="b">
        <f t="shared" si="1094"/>
        <v>1</v>
      </c>
      <c r="IF346" s="245" t="b">
        <f t="shared" si="1095"/>
        <v>0</v>
      </c>
      <c r="IG346" s="245" t="b">
        <f t="shared" si="1096"/>
        <v>1</v>
      </c>
      <c r="IH346" s="245" t="b">
        <f t="shared" si="1097"/>
        <v>1</v>
      </c>
      <c r="II346" s="245">
        <f t="shared" si="1204"/>
        <v>0</v>
      </c>
      <c r="IJ346" s="245" t="e">
        <f t="shared" si="1098"/>
        <v>#VALUE!</v>
      </c>
      <c r="IK346" s="245" t="e">
        <f t="shared" si="1099"/>
        <v>#VALUE!</v>
      </c>
      <c r="IL346" s="245"/>
      <c r="IM346" s="245" t="e">
        <f t="shared" si="1205"/>
        <v>#N/A</v>
      </c>
      <c r="IN346" s="245" t="e">
        <f t="shared" si="1206"/>
        <v>#N/A</v>
      </c>
      <c r="IO346" s="245"/>
      <c r="IP346" s="245"/>
      <c r="IQ346" s="245" t="str">
        <f t="shared" si="1100"/>
        <v/>
      </c>
      <c r="IR346" s="245" t="str">
        <f>IF(J346="","",VLOOKUP(J346,Worksheet!$R$4:$T$14,2))</f>
        <v/>
      </c>
      <c r="IS346" s="245"/>
      <c r="IT346" s="245">
        <f t="shared" si="1101"/>
        <v>0</v>
      </c>
      <c r="IU346" s="245">
        <f t="shared" si="1102"/>
        <v>0</v>
      </c>
      <c r="IV346" s="245">
        <f t="shared" si="1103"/>
        <v>0</v>
      </c>
      <c r="IW346" s="245">
        <f t="shared" si="1104"/>
        <v>0</v>
      </c>
      <c r="IX346" s="245">
        <f t="shared" si="1207"/>
        <v>0</v>
      </c>
      <c r="IY346" s="245">
        <f t="shared" si="1105"/>
        <v>0</v>
      </c>
      <c r="IZ346" s="245">
        <f t="shared" si="1106"/>
        <v>0</v>
      </c>
      <c r="JA346">
        <f t="shared" si="1107"/>
        <v>0</v>
      </c>
      <c r="JB346">
        <f t="shared" si="1208"/>
        <v>0</v>
      </c>
      <c r="JC346">
        <f t="shared" si="1108"/>
        <v>0</v>
      </c>
      <c r="JD346">
        <f t="shared" si="1109"/>
        <v>0</v>
      </c>
      <c r="JE346">
        <f t="shared" si="1110"/>
        <v>0</v>
      </c>
      <c r="JF346">
        <f t="shared" si="1111"/>
        <v>0</v>
      </c>
      <c r="JG346">
        <f t="shared" si="1112"/>
        <v>0</v>
      </c>
      <c r="JH346">
        <f t="shared" si="1113"/>
        <v>0</v>
      </c>
      <c r="JI346">
        <f t="shared" si="1114"/>
        <v>0</v>
      </c>
      <c r="JJ346" s="447">
        <f t="shared" si="1115"/>
        <v>0</v>
      </c>
      <c r="JK346" s="447">
        <f t="shared" si="1116"/>
        <v>0</v>
      </c>
      <c r="JL346">
        <f t="shared" si="1117"/>
        <v>0</v>
      </c>
      <c r="JM346" s="245" t="str">
        <f>IFERROR(VLOOKUP(MATCH(BN346,#REF!,0),#REF!,7),"")</f>
        <v/>
      </c>
      <c r="JN346" t="e">
        <f>HLOOKUP(LEFT(BO346,7),Discharge_Area,MATCH(JO346,LookUps!$B$130:$B$149,1)+2)</f>
        <v>#N/A</v>
      </c>
      <c r="JO346" t="str">
        <f t="shared" si="1118"/>
        <v>- S</v>
      </c>
      <c r="JP346" t="e">
        <f>HLOOKUP(LEFT(BO346,7),Discharge_Area,MATCH(JO346,LookUps!$B$130:$B$149,1)+2)</f>
        <v>#N/A</v>
      </c>
      <c r="JQ346" t="e">
        <f t="shared" si="1119"/>
        <v>#N/A</v>
      </c>
      <c r="JR346" t="e">
        <f t="shared" si="1120"/>
        <v>#N/A</v>
      </c>
      <c r="JS346" t="e">
        <f t="shared" si="1121"/>
        <v>#N/A</v>
      </c>
      <c r="JT346" s="532" t="str">
        <f t="shared" si="1122"/>
        <v xml:space="preserve"> </v>
      </c>
      <c r="JU346" s="532" t="str">
        <f t="shared" si="1123"/>
        <v xml:space="preserve"> </v>
      </c>
      <c r="JV346" s="533" t="str">
        <f t="shared" si="1124"/>
        <v xml:space="preserve"> </v>
      </c>
      <c r="JW346" s="534">
        <f t="shared" si="1125"/>
        <v>0</v>
      </c>
      <c r="JX346" s="535" t="str">
        <f t="shared" si="1209"/>
        <v xml:space="preserve"> </v>
      </c>
      <c r="JY346" s="535" t="str">
        <f t="shared" si="1210"/>
        <v xml:space="preserve"> </v>
      </c>
      <c r="JZ346" s="535" t="str">
        <f t="shared" si="1211"/>
        <v xml:space="preserve"> </v>
      </c>
      <c r="KA346" s="536" t="str">
        <f t="shared" si="1126"/>
        <v xml:space="preserve"> </v>
      </c>
      <c r="KB346" s="535" t="e">
        <f t="shared" si="1212"/>
        <v>#VALUE!</v>
      </c>
      <c r="KC346" s="535" t="str">
        <f t="shared" si="1127"/>
        <v/>
      </c>
      <c r="KD346" s="537" t="str">
        <f t="shared" si="1213"/>
        <v xml:space="preserve"> </v>
      </c>
      <c r="KE346" s="537" t="str">
        <f t="shared" si="1214"/>
        <v xml:space="preserve"> </v>
      </c>
      <c r="KF346" s="534">
        <f t="shared" si="1128"/>
        <v>0</v>
      </c>
      <c r="KG346" s="535" t="str">
        <f t="shared" si="1129"/>
        <v xml:space="preserve"> </v>
      </c>
      <c r="KH346" s="535" t="str">
        <f t="shared" si="1130"/>
        <v xml:space="preserve"> </v>
      </c>
      <c r="KI346" s="535" t="str">
        <f t="shared" si="1131"/>
        <v xml:space="preserve"> </v>
      </c>
      <c r="KJ346" s="536" t="str">
        <f t="shared" si="1132"/>
        <v xml:space="preserve"> </v>
      </c>
      <c r="KK346" s="535" t="str">
        <f t="shared" si="1215"/>
        <v xml:space="preserve"> </v>
      </c>
      <c r="KL346" s="535" t="str">
        <f t="shared" si="1216"/>
        <v xml:space="preserve"> </v>
      </c>
      <c r="KM346" s="537" t="str">
        <f t="shared" si="1133"/>
        <v xml:space="preserve"> </v>
      </c>
      <c r="KN346" s="537" t="str">
        <f t="shared" si="1217"/>
        <v xml:space="preserve"> </v>
      </c>
      <c r="KP346">
        <f t="shared" si="1134"/>
        <v>0</v>
      </c>
      <c r="LA346" t="e">
        <f t="shared" si="1135"/>
        <v>#VALUE!</v>
      </c>
      <c r="LB346" t="e">
        <f t="shared" si="1136"/>
        <v>#VALUE!</v>
      </c>
      <c r="LC346" t="e">
        <f t="shared" si="1137"/>
        <v>#VALUE!</v>
      </c>
      <c r="LD346" t="e">
        <f t="shared" si="1138"/>
        <v>#VALUE!</v>
      </c>
      <c r="LE346" t="e">
        <f t="shared" si="1218"/>
        <v>#VALUE!</v>
      </c>
      <c r="LF346">
        <f t="shared" si="1139"/>
        <v>0</v>
      </c>
      <c r="LG346" t="e">
        <f t="shared" si="1219"/>
        <v>#VALUE!</v>
      </c>
      <c r="LH346" t="str">
        <f t="shared" si="1140"/>
        <v xml:space="preserve"> </v>
      </c>
      <c r="LI346">
        <f t="shared" si="1220"/>
        <v>1</v>
      </c>
    </row>
    <row r="347" spans="2:321" ht="15" customHeight="1">
      <c r="B347" s="311"/>
      <c r="C347" s="311"/>
      <c r="D347" s="312"/>
      <c r="E347" s="311"/>
      <c r="F347" s="312"/>
      <c r="G347" s="311"/>
      <c r="H347" s="311"/>
      <c r="I347" s="232"/>
      <c r="J347" s="311"/>
      <c r="K347" s="305" t="str">
        <f t="shared" si="1141"/>
        <v/>
      </c>
      <c r="L347" s="313"/>
      <c r="M347" s="312"/>
      <c r="N347" s="311"/>
      <c r="O347" s="312"/>
      <c r="P347" s="311"/>
      <c r="Q347" s="305" t="str">
        <f t="shared" si="1142"/>
        <v/>
      </c>
      <c r="R347" s="314"/>
      <c r="S347" s="450" t="str">
        <f t="shared" si="1025"/>
        <v/>
      </c>
      <c r="T347" s="315"/>
      <c r="U347" s="315"/>
      <c r="W347" s="149" t="str">
        <f t="shared" si="1026"/>
        <v xml:space="preserve"> </v>
      </c>
      <c r="X347" s="243" t="str">
        <f t="shared" si="1027"/>
        <v xml:space="preserve"> </v>
      </c>
      <c r="Y347" s="150" t="str">
        <f t="shared" si="1028"/>
        <v/>
      </c>
      <c r="Z347" s="149" t="str">
        <f t="shared" si="1029"/>
        <v xml:space="preserve"> </v>
      </c>
      <c r="AA347" s="98" t="str">
        <f t="shared" si="1030"/>
        <v xml:space="preserve"> </v>
      </c>
      <c r="AB347" s="153" t="str">
        <f t="shared" si="1031"/>
        <v xml:space="preserve"> </v>
      </c>
      <c r="AC347" s="153" t="str">
        <f t="shared" si="1032"/>
        <v xml:space="preserve"> </v>
      </c>
      <c r="AD347" s="148" t="str">
        <f t="shared" si="1033"/>
        <v/>
      </c>
      <c r="AE347" s="149" t="str">
        <f t="shared" si="1034"/>
        <v/>
      </c>
      <c r="AF347" s="151" t="str">
        <f t="shared" si="1035"/>
        <v xml:space="preserve"> </v>
      </c>
      <c r="AG347" s="153" t="str">
        <f t="shared" si="1036"/>
        <v xml:space="preserve"> </v>
      </c>
      <c r="AH347" s="98" t="str">
        <f t="shared" si="1037"/>
        <v xml:space="preserve"> </v>
      </c>
      <c r="AI347" s="149" t="str">
        <f t="shared" si="1038"/>
        <v xml:space="preserve"> </v>
      </c>
      <c r="AK347" s="144" t="str">
        <f t="shared" si="1039"/>
        <v xml:space="preserve"> </v>
      </c>
      <c r="AL347" s="144"/>
      <c r="AM347" s="243" t="str">
        <f t="shared" si="1040"/>
        <v xml:space="preserve"> </v>
      </c>
      <c r="AN347" s="149" t="str">
        <f t="shared" si="1143"/>
        <v xml:space="preserve"> </v>
      </c>
      <c r="AO347" s="144" t="str">
        <f>IF(JB347&gt;0,IF(GI347=10,-R347*1.085*(Calculation!$F$6-Calculation!$F$13)*$S$14," "),"")</f>
        <v/>
      </c>
      <c r="AP347" s="144" t="str">
        <f t="shared" si="1041"/>
        <v/>
      </c>
      <c r="AQ347" s="56" t="str">
        <f t="shared" si="1042"/>
        <v/>
      </c>
      <c r="AR347" s="144" t="str">
        <f t="shared" si="1043"/>
        <v/>
      </c>
      <c r="AS347" s="176" t="str">
        <f t="shared" si="1044"/>
        <v/>
      </c>
      <c r="AT347" s="176" t="str">
        <f t="shared" si="1144"/>
        <v xml:space="preserve"> </v>
      </c>
      <c r="AU347" s="176" t="str">
        <f t="shared" si="1045"/>
        <v/>
      </c>
      <c r="AV347" s="177" t="str">
        <f t="shared" si="1046"/>
        <v xml:space="preserve"> </v>
      </c>
      <c r="AW347" s="144" t="str">
        <f t="shared" si="1047"/>
        <v xml:space="preserve"> </v>
      </c>
      <c r="AX347" s="144" t="str">
        <f t="shared" si="1048"/>
        <v xml:space="preserve"> </v>
      </c>
      <c r="AY347" s="152" t="str">
        <f t="shared" si="1049"/>
        <v xml:space="preserve"> </v>
      </c>
      <c r="AZ347" s="246" t="str">
        <f t="shared" si="1050"/>
        <v/>
      </c>
      <c r="BA347" s="176" t="str">
        <f t="shared" si="1051"/>
        <v xml:space="preserve"> </v>
      </c>
      <c r="BB347" s="176" t="str">
        <f t="shared" si="1052"/>
        <v xml:space="preserve"> </v>
      </c>
      <c r="BC347" s="195"/>
      <c r="BD347" s="316"/>
      <c r="BE347" s="317"/>
      <c r="BF347" s="318"/>
      <c r="BG347" s="318"/>
      <c r="BH347" s="144" t="str">
        <f t="shared" si="1221"/>
        <v xml:space="preserve"> </v>
      </c>
      <c r="BI347" s="176" t="str">
        <f t="shared" si="1053"/>
        <v/>
      </c>
      <c r="BJ347" s="144" t="str">
        <f t="shared" si="1222"/>
        <v/>
      </c>
      <c r="BK347" s="246" t="str">
        <f t="shared" si="1054"/>
        <v/>
      </c>
      <c r="BL347" s="144" t="str">
        <f t="shared" si="1223"/>
        <v/>
      </c>
      <c r="BM347" s="246" t="str">
        <f t="shared" si="1055"/>
        <v/>
      </c>
      <c r="BN347" s="337" t="str">
        <f t="shared" si="1145"/>
        <v/>
      </c>
      <c r="BO347" s="371" t="str">
        <f t="shared" si="1146"/>
        <v/>
      </c>
      <c r="BP347" s="328" t="str">
        <f t="shared" si="1224"/>
        <v xml:space="preserve"> </v>
      </c>
      <c r="BQ347" s="347" t="str">
        <f t="shared" si="1147"/>
        <v xml:space="preserve"> </v>
      </c>
      <c r="BR347" s="353" t="str">
        <f t="shared" si="1148"/>
        <v xml:space="preserve"> </v>
      </c>
      <c r="BS347" s="626" t="str">
        <f>IF(L347&gt;0,IF(Calculation!P347="M13",BR347*3.1416*(0.134^2)/(4*144),IF(Calculation!P347="M17",BR347*3.1416*(0.165^2)/(4*144),IF(Calculation!P347="M20",BR347*3.1416*(0.198^2)/(4*144),IF(Calculation!P347="M23",BR347*3.1416*(0.228^2)/(4*144),IF(Calculation!P347="M27",BR347*3.1416*(0.269^2)/(4*144),BR347*3.1416*(0.307^2)/(4*144))))))," ")</f>
        <v xml:space="preserve"> </v>
      </c>
      <c r="BT347" s="353" t="str">
        <f>IF(L347&gt;0,IF(BS347&gt;0,R347/Calculation!BS347,0)," ")</f>
        <v xml:space="preserve"> </v>
      </c>
      <c r="BU347" s="438" t="e">
        <f t="shared" ca="1" si="1056"/>
        <v>#VALUE!</v>
      </c>
      <c r="BV347" s="449" t="e">
        <f ca="1">INDEX(INDIRECT(VLOOKUP(LEFT(BO347,7),CLU!$Z$3:$AH$18,2)),GN347,GR347)</f>
        <v>#N/A</v>
      </c>
      <c r="BW347" s="433" t="e">
        <f ca="1">INDEX(INDIRECT(VLOOKUP(LEFT(BO347,7),CLU!$Z$3:$AH$18,3)),GN347,GR347)</f>
        <v>#N/A</v>
      </c>
      <c r="BX347" s="433" t="e">
        <f ca="1">INDEX(INDIRECT(VLOOKUP(LEFT(BO347,7),CLU!$Z$3:$AH$18,4)),GN347,GR347)</f>
        <v>#N/A</v>
      </c>
      <c r="BY347" s="433" t="e">
        <f ca="1">INDEX(INDIRECT(VLOOKUP(LEFT(BO347,7),CLU!$Z$3:$AH$18,9)),((M347-2)*(6-COUNTBLANK(GT347:GY347)))+GJ347)</f>
        <v>#N/A</v>
      </c>
      <c r="BZ347" s="426" t="e">
        <f t="shared" ca="1" si="1149"/>
        <v>#N/A</v>
      </c>
      <c r="CA347" s="424" t="e">
        <f t="shared" ca="1" si="1150"/>
        <v>#N/A</v>
      </c>
      <c r="CB347" s="429" t="e">
        <f ca="1">INDEX(INDIRECT(VLOOKUP(LEFT(BO347,7),CLU!$Z$3:$AH$18,2)),GN347,GS347)</f>
        <v>#N/A</v>
      </c>
      <c r="CC347" s="342" t="e">
        <f ca="1">INDEX(INDIRECT(VLOOKUP(LEFT(BO347,7),CLU!$Z$3:$AH$18,3)),GN347,GS347)</f>
        <v>#N/A</v>
      </c>
      <c r="CD347" s="342" t="e">
        <f ca="1">INDEX(INDIRECT(VLOOKUP(LEFT(BO347,7),CLU!$Z$3:$AH$18,4)),GN347,GS347)</f>
        <v>#N/A</v>
      </c>
      <c r="CE347" s="426" t="e">
        <f t="shared" ca="1" si="1151"/>
        <v>#N/A</v>
      </c>
      <c r="CF347" s="440">
        <f t="shared" si="1152"/>
        <v>0</v>
      </c>
      <c r="CG347" s="431" t="e">
        <f ca="1">INDEX(INDIRECT(VLOOKUP(LEFT(BO347,7),CLU!$Z$3:$AH$18,2)),GQ347,GR347)</f>
        <v>#N/A</v>
      </c>
      <c r="CH347" s="431" t="e">
        <f ca="1">INDEX(INDIRECT(VLOOKUP(LEFT(BO347,7),CLU!$Z$3:$AH$18,3)),GQ347,GR347)</f>
        <v>#N/A</v>
      </c>
      <c r="CI347" s="431" t="e">
        <f ca="1">INDEX(INDIRECT(VLOOKUP(LEFT(BO347,7),CLU!$Z$3:$AH$18,4)),GQ347,GR347)</f>
        <v>#N/A</v>
      </c>
      <c r="CJ347" s="448" t="e">
        <f t="shared" ca="1" si="1153"/>
        <v>#N/A</v>
      </c>
      <c r="CK347" s="431" t="e">
        <f t="shared" ca="1" si="1154"/>
        <v>#N/A</v>
      </c>
      <c r="CL347" s="440" t="e">
        <f t="shared" ca="1" si="1155"/>
        <v>#N/A</v>
      </c>
      <c r="CM347" s="431" t="e">
        <f ca="1">INDEX(INDIRECT(VLOOKUP(LEFT(BO347,7),CLU!$Z$3:$AH$18,2)),GQ347,GS347)</f>
        <v>#N/A</v>
      </c>
      <c r="CN347" s="431" t="e">
        <f ca="1">INDEX(INDIRECT(VLOOKUP(LEFT(BO347,7),CLU!$Z$3:$AH$18,3)),GQ347,GS347)</f>
        <v>#N/A</v>
      </c>
      <c r="CO347" s="431" t="e">
        <f ca="1">INDEX(INDIRECT(VLOOKUP(LEFT(BO347,7),CLU!$Z$3:$AH$18,4)),GQ347,GS347)</f>
        <v>#N/A</v>
      </c>
      <c r="CP347" s="431" t="e">
        <f t="shared" ca="1" si="1156"/>
        <v>#N/A</v>
      </c>
      <c r="CQ347" s="440">
        <f t="shared" si="1157"/>
        <v>0</v>
      </c>
      <c r="CR347" s="51" t="e">
        <f t="shared" ca="1" si="1158"/>
        <v>#N/A</v>
      </c>
      <c r="CS347" s="439" t="e">
        <f t="shared" ca="1" si="1159"/>
        <v>#VALUE!</v>
      </c>
      <c r="CT347" s="51" t="e">
        <f t="shared" ca="1" si="1160"/>
        <v>#VALUE!</v>
      </c>
      <c r="CU347" s="10"/>
      <c r="CV347" s="51" t="e">
        <f t="shared" ca="1" si="1057"/>
        <v>#VALUE!</v>
      </c>
      <c r="CW347" s="51">
        <f t="shared" si="1161"/>
        <v>0</v>
      </c>
      <c r="CX347" s="439" t="e">
        <f t="shared" ca="1" si="1162"/>
        <v>#VALUE!</v>
      </c>
      <c r="CY347" s="51" t="e">
        <f t="shared" ca="1" si="1163"/>
        <v>#VALUE!</v>
      </c>
      <c r="CZ347" s="10"/>
      <c r="DA347" s="51" t="e">
        <f t="shared" ca="1" si="1164"/>
        <v>#VALUE!</v>
      </c>
      <c r="DB347" s="347" t="e">
        <f ca="1">INDEX(INDIRECT(VLOOKUP(LEFT(BO347,7),CLU!$Z$3:$AI$18,10)),((M347-2)*(6-COUNTBLANK(GT347:GY347)))+GJ347)*LI347</f>
        <v>#N/A</v>
      </c>
      <c r="DC347" s="347" t="str">
        <f>IF(L347&gt;0,((R347/Worksheet!$I$15)/DB347)^2," ")</f>
        <v xml:space="preserve"> </v>
      </c>
      <c r="DD347" s="602" t="str">
        <f t="shared" si="1165"/>
        <v xml:space="preserve"> </v>
      </c>
      <c r="DE347" s="347" t="str">
        <f t="shared" si="1058"/>
        <v xml:space="preserve"> </v>
      </c>
      <c r="DF347" s="356" t="e">
        <f ca="1">INDEX(INDIRECT(VLOOKUP(LEFT(BO347,7),CLU!$Z$3:$AH$18,8)),((M347-2)*(6-COUNTBLANK(GT347:GY347)))+GJ347)</f>
        <v>#N/A</v>
      </c>
      <c r="DG347" s="347" t="str">
        <f t="shared" si="1059"/>
        <v xml:space="preserve"> </v>
      </c>
      <c r="DH347" s="357" t="str">
        <f t="shared" si="1060"/>
        <v xml:space="preserve"> </v>
      </c>
      <c r="DI347" s="355" t="str">
        <f t="shared" si="1061"/>
        <v xml:space="preserve"> </v>
      </c>
      <c r="DJ347" s="245" t="e">
        <f ca="1">INDEX(INDIRECT(VLOOKUP(LEFT(BO347,7),CLU!$Z$3:$AH$18,5)),GL347,GK347)</f>
        <v>#N/A</v>
      </c>
      <c r="DK347" s="245" t="e">
        <f ca="1">INDEX(INDIRECT(VLOOKUP(LEFT(BO347,7),CLU!$Z$3:$AH$18,6)),GL347,GK347)</f>
        <v>#N/A</v>
      </c>
      <c r="DL347" s="355">
        <f>(Calculation!R347*0.69143*(Calculation!$BQ$8-Calculation!$F$8))*$S$14</f>
        <v>0</v>
      </c>
      <c r="DM347" s="359" t="e">
        <f t="shared" si="1166"/>
        <v>#VALUE!</v>
      </c>
      <c r="DN347" s="611">
        <f t="shared" si="1167"/>
        <v>0</v>
      </c>
      <c r="DO347" s="359">
        <f t="shared" si="1168"/>
        <v>100</v>
      </c>
      <c r="DP347" s="359">
        <f t="shared" si="1169"/>
        <v>0</v>
      </c>
      <c r="DQ347" s="360"/>
      <c r="DR347" s="245" t="e">
        <f ca="1">INDEX(INDIRECT(VLOOKUP(LEFT(BO347,7),CLU!$Z$3:$AH$18,7)),M347-1,1)</f>
        <v>#N/A</v>
      </c>
      <c r="DS347" s="245" t="e">
        <f ca="1">INDEX(INDIRECT(VLOOKUP(LEFT(BO347,7),CLU!$Z$3:$AH$18,7)),M347-1,2)</f>
        <v>#N/A</v>
      </c>
      <c r="DT347" s="245" t="e">
        <f ca="1">INDEX(INDIRECT(VLOOKUP(LEFT(BO347,7),CLU!$Z$3:$AH$18,7)),M347-1,3)</f>
        <v>#N/A</v>
      </c>
      <c r="DU347" s="245" t="e">
        <f ca="1">INDEX(INDIRECT(VLOOKUP(LEFT(BO347,7),CLU!$Z$3:$AH$18,7)),M347-1,4)</f>
        <v>#N/A</v>
      </c>
      <c r="DV347" s="361" t="e">
        <f ca="1">INDEX(INDIRECT(VLOOKUP(LEFT(BO347,7),CLU!$Z$3:$AH$18,7)),M347-1,4+LEFT(DZ347,1)*0.5)</f>
        <v>#N/A</v>
      </c>
      <c r="DW347" s="245" t="e">
        <f ca="1">INDEX(INDIRECT(VLOOKUP(LEFT(BO347,7),CLU!$Z$3:$AH$18,7)),M347-1,8)</f>
        <v>#N/A</v>
      </c>
      <c r="DX347" s="361" t="str">
        <f t="shared" si="1062"/>
        <v xml:space="preserve"> </v>
      </c>
      <c r="DY347" s="361" t="str">
        <f t="shared" si="1063"/>
        <v xml:space="preserve"> </v>
      </c>
      <c r="DZ347" s="361" t="str">
        <f t="shared" si="1064"/>
        <v xml:space="preserve"> </v>
      </c>
      <c r="EA347" s="362" t="str">
        <f t="shared" si="1065"/>
        <v xml:space="preserve"> </v>
      </c>
      <c r="EB347" s="624" t="str">
        <f t="shared" si="1170"/>
        <v xml:space="preserve"> </v>
      </c>
      <c r="EC347" s="361" t="e">
        <f ca="1">INDEX(INDIRECT(VLOOKUP(LEFT(BO347,7),CLU!$Z$3:$AH$18,7)),M347-1,4+LEFT(DZ347,1)*0.5)</f>
        <v>#N/A</v>
      </c>
      <c r="ED347" s="362" t="str">
        <f t="shared" si="1066"/>
        <v xml:space="preserve"> </v>
      </c>
      <c r="EE347" s="361" t="str">
        <f t="shared" si="1067"/>
        <v xml:space="preserve"> </v>
      </c>
      <c r="EF347" s="362" t="str">
        <f>IF(L347&gt;0,IF(BR347&gt;0,IF(EE347="2P",IF(Calculation!DZ347="2P",IF(Calculation!DS347=13.75,IF(Calculation!DR347=13,Worksheet!$BD$43,IF(Calculation!DR347=37,Worksheet!$BD$44,Worksheet!$BD$45)),IF(Calculation!DS347=10,IF(Calculation!DR347=18,Worksheet!$BD$29,IF(Calculation!DR347=30,Worksheet!$BD$30,IF(Calculation!DR347=42,Worksheet!$BD$31,IF(Calculation!DR347=54,Worksheet!$BD$32,IF(Calculation!DR347=66,Worksheet!$BD$33,IF(Calculation!DR347=78,Worksheet!$BD$34,IF(Calculation!DR347=90,Worksheet!$BD$35,IF(Calculation!DR347=102,Worksheet!$BD$36,Worksheet!$BD$37)))))))),IF(Calculation!DS347=12.5,IF(Calculation!DR347=18,Worksheet!$BD$38,IF(Calculation!DR347=Worksheet!$BD$39,IF(Calculation!DR347=42,Worksheet!$BD$40,IF(Calculation!DR347=54,Worksheet!$BD$41,Worksheet!$BD$42)))),IF(Calculation!DR347=18,Worksheet!$BD$11,IF(Calculation!DR347=30,Worksheet!$BD$12,IF(Calculation!DR347=42,Worksheet!$BD$13,IF(Calculation!DR347=54,Worksheet!$BD$14,IF(Calculation!DR347=66,Worksheet!$BD$15,IF(Calculation!DR347=78,Worksheet!$BD$16,IF(Calculation!DR347=90,Worksheet!$BD$17,IF(Calculation!DR347=102,Worksheet!$BD$18,Worksheet!$BD$19))))))))))),IF(Calculation!DS347=13.75,IF(Calculation!DR347=13,Worksheet!$BD$78,IF(Calculation!DR347=37,Worksheet!$BD$79,Worksheet!$BD$80)),IF(Calculation!DS347=10,IF(Calculation!DR347=18,Worksheet!$BD$64,IF(Calculation!DR347=30,Worksheet!$BD$65,IF(Calculation!DR347=42,Worksheet!$BD$66,IF(Calculation!DR347=54,Worksheet!$BD$68,IF(Calculation!DR347=66,Worksheet!$BD$68,IF(Calculation!DR347=78,Worksheet!$BD$69,IF(Calculation!DR347=90,Worksheet!$BD$70,IF(Calculation!DR347=102,Worksheet!$BD$71,Worksheet!$BD$72)))))))),IF(Calculation!DS347=12.5,IF(Calculation!DR347=18,Worksheet!$BD$73,IF(Calculation!DR347=Worksheet!$BD$74,IF(Calculation!DR347=42,Worksheet!$BD$75,IF(Calculation!DR347=54,Worksheet!$BD$76,Worksheet!$BD$77)))),IF(Calculation!DR347=18,Worksheet!$BD$55,IF(Calculation!DR347=30,Worksheet!$BD$56,IF(Calculation!DR347=42,Worksheet!$BD$57,IF(Calculation!DR347=54,Worksheet!$BD$58,IF(Calculation!DR347=66,Worksheet!$BD$59,IF(Calculation!DR347=78,Worksheet!$BD$60,IF(Calculation!DR347=90,Worksheet!$BD$61,IF(Calculation!DR347=102,Worksheet!$BD$62,Worksheet!$BD$63)))))))))))),5),0)," ")</f>
        <v xml:space="preserve"> </v>
      </c>
      <c r="EG347" s="361" t="str">
        <f t="shared" si="1068"/>
        <v xml:space="preserve"> </v>
      </c>
      <c r="EH347" s="361" t="e">
        <f ca="1">INDEX(INDIRECT(VLOOKUP(LEFT(BO347,7),CLU!$Z$3:$AH$18,7)),M347-1,3+LEFT(DZ347,1))</f>
        <v>#N/A</v>
      </c>
      <c r="EI347" s="362" t="str">
        <f t="shared" si="1069"/>
        <v xml:space="preserve"> </v>
      </c>
      <c r="EJ347" s="363" t="str">
        <f t="shared" si="1070"/>
        <v xml:space="preserve"> </v>
      </c>
      <c r="EK347" s="363" t="str">
        <f t="shared" si="1071"/>
        <v xml:space="preserve"> </v>
      </c>
      <c r="EL347" s="363" t="str">
        <f t="shared" si="1072"/>
        <v xml:space="preserve"> </v>
      </c>
      <c r="EM347" s="362" t="str">
        <f>IF(L347&gt;0,IF(BR347&gt;0,(Calculation!T347/ED347)^2,0)," ")</f>
        <v xml:space="preserve"> </v>
      </c>
      <c r="EN347" s="362" t="str">
        <f>IF(L347&gt;0,IF(O347="2 Pipe (Cooling)","N/A",IF(BR347&gt;0,(Calculation!U347/EI347)^2,0))," ")</f>
        <v xml:space="preserve"> </v>
      </c>
      <c r="EO347" s="361" t="str">
        <f t="shared" si="1073"/>
        <v/>
      </c>
      <c r="EP347" s="361" t="str">
        <f t="shared" si="1074"/>
        <v/>
      </c>
      <c r="EQ347" s="361" t="str">
        <f t="shared" si="1075"/>
        <v/>
      </c>
      <c r="ER347" s="361" t="str">
        <f t="shared" si="1076"/>
        <v/>
      </c>
      <c r="ES347" s="361" t="str">
        <f t="shared" si="1077"/>
        <v/>
      </c>
      <c r="ET347" s="361" t="str">
        <f t="shared" si="1078"/>
        <v/>
      </c>
      <c r="EU347" s="361" t="str">
        <f t="shared" si="1079"/>
        <v/>
      </c>
      <c r="EV347" s="361" t="str">
        <f t="shared" si="1080"/>
        <v/>
      </c>
      <c r="EW347" s="361" t="str">
        <f t="shared" si="1081"/>
        <v/>
      </c>
      <c r="EX347" s="361" t="str">
        <f t="shared" si="1171"/>
        <v>1 slot, 1 way</v>
      </c>
      <c r="EY347" s="361" t="str">
        <f t="shared" si="1172"/>
        <v xml:space="preserve"> </v>
      </c>
      <c r="EZ347" s="361" t="str">
        <f t="shared" si="1173"/>
        <v xml:space="preserve"> </v>
      </c>
      <c r="FA347" s="361" t="str">
        <f t="shared" si="1174"/>
        <v xml:space="preserve"> </v>
      </c>
      <c r="FB347" s="361" t="str">
        <f t="shared" si="1175"/>
        <v xml:space="preserve"> </v>
      </c>
      <c r="FC347" s="361"/>
      <c r="FD347" s="361" t="str">
        <f>IF(J347&gt;0,IF(Calculation!R347&lt;=70,4,IF(Calculation!R347&lt;=110,5,IF(Calculation!R347&lt;=160,6,IF(Calculation!R347&lt;=300,8,"10 EO")))),"")</f>
        <v/>
      </c>
      <c r="FE347" s="361" t="str">
        <f t="shared" si="1176"/>
        <v/>
      </c>
      <c r="FF347" s="361" t="str">
        <f t="shared" si="1177"/>
        <v/>
      </c>
      <c r="FG347" s="361" t="e">
        <f t="shared" si="1082"/>
        <v>#N/A</v>
      </c>
      <c r="FH347" s="361">
        <f t="shared" si="1083"/>
        <v>0</v>
      </c>
      <c r="FI347" s="361" t="e">
        <f t="shared" si="1084"/>
        <v>#DIV/0!</v>
      </c>
      <c r="FJ347" s="361"/>
      <c r="FK347" s="356" t="e">
        <f t="shared" si="1085"/>
        <v>#VALUE!</v>
      </c>
      <c r="FL347" s="361"/>
      <c r="FM347" s="361"/>
      <c r="FN347" s="362" t="str">
        <f t="shared" si="1178"/>
        <v xml:space="preserve"> </v>
      </c>
      <c r="FO347" s="362" t="str">
        <f t="shared" si="1179"/>
        <v xml:space="preserve"> </v>
      </c>
      <c r="FP347" s="362">
        <f t="shared" si="1180"/>
        <v>0</v>
      </c>
      <c r="FQ347" s="361">
        <f t="shared" si="1086"/>
        <v>0</v>
      </c>
      <c r="FR347" s="362" t="str">
        <f>IF(L347&gt;0,IF(J347="CBAL2",Worksheet!$P$67,IF(J347="CBE2-24",Worksheet!$Q$67,IF(J347="CBAM",Worksheet!$R$67,IF(J347="CBLV",Worksheet!$S$67,IF(J347="CBAB",Worksheet!$U$67,IF(J347="CBAW",Worksheet!$X$67,IF(J347="CBE2-12",Worksheet!$Y$67,IF(J347="CBAL2",Worksheet!$Z$67,"N/A"))))))))," ")</f>
        <v xml:space="preserve"> </v>
      </c>
      <c r="FS347" s="362" t="str">
        <f>IF(L347&gt;0,IF(J347="CBAL2",Worksheet!$P$68,IF(J347="CBE2-24",Worksheet!$Q$68,IF(J347="CBAM",Worksheet!$R$68,IF(J347="CBLV",Worksheet!$S$68,IF(J347="CBAB",Worksheet!$U$68,IF(J347="CBAW",Worksheet!$X$68,IF(J347="CBE2-12",Worksheet!$Y$68,IF(J347="CBAL2",Worksheet!$Z$68,"N/A"))))))))," ")</f>
        <v xml:space="preserve"> </v>
      </c>
      <c r="FT347" s="362" t="str">
        <f>IF(L347&gt;0,IF(J347="CBAL2",Worksheet!$P$69,IF(J347="CBE2-24",Worksheet!$Q$69,IF(J347="CBAM",Worksheet!$R$69,IF(J347="CBLV",Worksheet!$S$69,IF(J347="CBAB",Worksheet!$U$69,IF(J347="CBAW",Worksheet!$X$69,IF(J347="CBE2-12",Worksheet!$Y$69,IF(J347="CBAL2",Worksheet!$Z$69,"N/A"))))))))," ")</f>
        <v xml:space="preserve"> </v>
      </c>
      <c r="FU347" s="361" t="str">
        <f t="shared" si="1181"/>
        <v xml:space="preserve"> </v>
      </c>
      <c r="FV347" s="362" t="str">
        <f t="shared" si="1182"/>
        <v xml:space="preserve"> </v>
      </c>
      <c r="FW347" s="362" t="str">
        <f t="shared" si="1183"/>
        <v xml:space="preserve"> </v>
      </c>
      <c r="FX347" s="362" t="str">
        <f t="shared" si="1184"/>
        <v xml:space="preserve"> </v>
      </c>
      <c r="FY347" s="355" t="str">
        <f t="shared" si="1185"/>
        <v xml:space="preserve"> </v>
      </c>
      <c r="FZ347" s="361" t="str">
        <f t="shared" si="1186"/>
        <v xml:space="preserve"> </v>
      </c>
      <c r="GA347" s="347" t="str">
        <f t="shared" si="1187"/>
        <v xml:space="preserve"> </v>
      </c>
      <c r="GB347" s="355" t="str">
        <f t="shared" si="1188"/>
        <v xml:space="preserve"> </v>
      </c>
      <c r="GC347" s="328" t="str">
        <f t="shared" si="1189"/>
        <v xml:space="preserve"> </v>
      </c>
      <c r="GD347" s="361" t="str">
        <f t="shared" si="1190"/>
        <v xml:space="preserve"> </v>
      </c>
      <c r="GE347" s="347" t="str">
        <f t="shared" si="1191"/>
        <v xml:space="preserve"> </v>
      </c>
      <c r="GF347" s="361" t="str">
        <f t="shared" si="1192"/>
        <v xml:space="preserve"> </v>
      </c>
      <c r="GG347" s="347" t="str">
        <f t="shared" si="1193"/>
        <v xml:space="preserve"> </v>
      </c>
      <c r="GH347" s="364">
        <f t="shared" si="1087"/>
        <v>0</v>
      </c>
      <c r="GI347" s="362">
        <f t="shared" si="1194"/>
        <v>2</v>
      </c>
      <c r="GJ347" s="433" t="e">
        <f>IF(6-COUNTBLANK(GT347:GY347)=4,MATCH(MID(BO347,9,3),CLU!$H$16:$K$16),MATCH(MID(BO347,9,3),CLU!$H$13:$M$13))</f>
        <v>#N/A</v>
      </c>
      <c r="GK347" s="433" t="e">
        <f>HLOOKUP(VALUE(BP347),CLU!$H$9:$M$10,2)</f>
        <v>#VALUE!</v>
      </c>
      <c r="GL347" s="433" t="e">
        <f ca="1">MATCH(BU347,CLU!$H$2:$V$2,1)</f>
        <v>#VALUE!</v>
      </c>
      <c r="GM347" s="433" t="e">
        <f t="shared" ca="1" si="1195"/>
        <v>#VALUE!</v>
      </c>
      <c r="GN347" s="433" t="e">
        <f t="shared" ca="1" si="1196"/>
        <v>#VALUE!</v>
      </c>
      <c r="GO347" s="433" t="e">
        <f t="shared" ca="1" si="1197"/>
        <v>#VALUE!</v>
      </c>
      <c r="GP347" s="433" t="e">
        <f t="shared" ca="1" si="1198"/>
        <v>#VALUE!</v>
      </c>
      <c r="GQ347" s="433" t="e">
        <f t="shared" ca="1" si="1199"/>
        <v>#VALUE!</v>
      </c>
      <c r="GR347" s="433" t="e">
        <f ca="1">MATCH(T347,INDIRECT(VLOOKUP(CONCATENATE(LEFT(BO347,7),"-",MID(BO347,13,1)),CLU!$P$3:$Q$16,2)),1)</f>
        <v>#N/A</v>
      </c>
      <c r="GS347" s="433" t="e">
        <f ca="1">MATCH(U347,INDIRECT(VLOOKUP(CONCATENATE(LEFT(BO347,7),"-",MID(BO347,13,1)),CLU!$P$3:$Q$16,2)),1)</f>
        <v>#N/A</v>
      </c>
      <c r="GT347" s="347" t="s">
        <v>512</v>
      </c>
      <c r="GU347" s="97" t="s">
        <v>513</v>
      </c>
      <c r="GV347" s="97" t="str">
        <f t="shared" si="1200"/>
        <v>M23</v>
      </c>
      <c r="GW347" s="97" t="str">
        <f t="shared" si="1201"/>
        <v>M31</v>
      </c>
      <c r="GX347" s="97" t="str">
        <f t="shared" si="1202"/>
        <v/>
      </c>
      <c r="GY347" s="97" t="str">
        <f t="shared" si="1203"/>
        <v/>
      </c>
      <c r="GZ347" s="481"/>
      <c r="HA347" s="240"/>
      <c r="HB347" s="240"/>
      <c r="HC347" s="240"/>
      <c r="HD347" s="240"/>
      <c r="HE347" s="240"/>
      <c r="HF347" s="240"/>
      <c r="HG347" s="240"/>
      <c r="HH347" s="240"/>
      <c r="HI347" s="240"/>
      <c r="HJ347" s="240"/>
      <c r="HK347" s="240"/>
      <c r="HL347" s="240"/>
      <c r="HM347" s="240"/>
      <c r="HN347" s="240"/>
      <c r="HO347" s="240"/>
      <c r="HP347" s="240"/>
      <c r="HQ347" s="240"/>
      <c r="HR347" s="240"/>
      <c r="HS347" s="240"/>
      <c r="HT347" s="240"/>
      <c r="HU347" s="240"/>
      <c r="HV347" s="245"/>
      <c r="HW347" s="245" t="b">
        <v>1</v>
      </c>
      <c r="HX347" s="245" t="str">
        <f t="shared" si="1088"/>
        <v/>
      </c>
      <c r="HY347" s="245" t="e">
        <f t="shared" si="1089"/>
        <v>#DIV/0!</v>
      </c>
      <c r="HZ347" s="245" t="e">
        <f t="shared" si="1090"/>
        <v>#DIV/0!</v>
      </c>
      <c r="IA347" s="245">
        <f t="shared" si="1091"/>
        <v>0</v>
      </c>
      <c r="IB347" s="245"/>
      <c r="IC347" t="b">
        <f t="shared" si="1092"/>
        <v>1</v>
      </c>
      <c r="ID347" s="245" t="b">
        <f t="shared" si="1093"/>
        <v>1</v>
      </c>
      <c r="IE347" s="245" t="b">
        <f t="shared" si="1094"/>
        <v>1</v>
      </c>
      <c r="IF347" s="245" t="b">
        <f t="shared" si="1095"/>
        <v>0</v>
      </c>
      <c r="IG347" s="245" t="b">
        <f t="shared" si="1096"/>
        <v>1</v>
      </c>
      <c r="IH347" s="245" t="b">
        <f t="shared" si="1097"/>
        <v>1</v>
      </c>
      <c r="II347" s="245">
        <f t="shared" si="1204"/>
        <v>0</v>
      </c>
      <c r="IJ347" s="245" t="e">
        <f t="shared" si="1098"/>
        <v>#VALUE!</v>
      </c>
      <c r="IK347" s="245" t="e">
        <f t="shared" si="1099"/>
        <v>#VALUE!</v>
      </c>
      <c r="IL347" s="245"/>
      <c r="IM347" s="245" t="e">
        <f t="shared" si="1205"/>
        <v>#N/A</v>
      </c>
      <c r="IN347" s="245" t="e">
        <f t="shared" si="1206"/>
        <v>#N/A</v>
      </c>
      <c r="IO347" s="245"/>
      <c r="IP347" s="245"/>
      <c r="IQ347" s="245" t="str">
        <f t="shared" si="1100"/>
        <v/>
      </c>
      <c r="IR347" s="245" t="str">
        <f>IF(J347="","",VLOOKUP(J347,Worksheet!$R$4:$T$14,2))</f>
        <v/>
      </c>
      <c r="IS347" s="245"/>
      <c r="IT347" s="245">
        <f t="shared" si="1101"/>
        <v>0</v>
      </c>
      <c r="IU347" s="245">
        <f t="shared" si="1102"/>
        <v>0</v>
      </c>
      <c r="IV347" s="245">
        <f t="shared" si="1103"/>
        <v>0</v>
      </c>
      <c r="IW347" s="245">
        <f t="shared" si="1104"/>
        <v>0</v>
      </c>
      <c r="IX347" s="245">
        <f t="shared" si="1207"/>
        <v>0</v>
      </c>
      <c r="IY347" s="245">
        <f t="shared" si="1105"/>
        <v>0</v>
      </c>
      <c r="IZ347" s="245">
        <f t="shared" si="1106"/>
        <v>0</v>
      </c>
      <c r="JA347">
        <f t="shared" si="1107"/>
        <v>0</v>
      </c>
      <c r="JB347">
        <f t="shared" si="1208"/>
        <v>0</v>
      </c>
      <c r="JC347">
        <f t="shared" si="1108"/>
        <v>0</v>
      </c>
      <c r="JD347">
        <f t="shared" si="1109"/>
        <v>0</v>
      </c>
      <c r="JE347">
        <f t="shared" si="1110"/>
        <v>0</v>
      </c>
      <c r="JF347">
        <f t="shared" si="1111"/>
        <v>0</v>
      </c>
      <c r="JG347">
        <f t="shared" si="1112"/>
        <v>0</v>
      </c>
      <c r="JH347">
        <f t="shared" si="1113"/>
        <v>0</v>
      </c>
      <c r="JI347">
        <f t="shared" si="1114"/>
        <v>0</v>
      </c>
      <c r="JJ347" s="447">
        <f t="shared" si="1115"/>
        <v>0</v>
      </c>
      <c r="JK347" s="447">
        <f t="shared" si="1116"/>
        <v>0</v>
      </c>
      <c r="JL347">
        <f t="shared" si="1117"/>
        <v>0</v>
      </c>
      <c r="JM347" s="245" t="str">
        <f>IFERROR(VLOOKUP(MATCH(BN347,#REF!,0),#REF!,7),"")</f>
        <v/>
      </c>
      <c r="JN347" t="e">
        <f>HLOOKUP(LEFT(BO347,7),Discharge_Area,MATCH(JO347,LookUps!$B$130:$B$149,1)+2)</f>
        <v>#N/A</v>
      </c>
      <c r="JO347" t="str">
        <f t="shared" si="1118"/>
        <v>- S</v>
      </c>
      <c r="JP347" t="e">
        <f>HLOOKUP(LEFT(BO347,7),Discharge_Area,MATCH(JO347,LookUps!$B$130:$B$149,1)+2)</f>
        <v>#N/A</v>
      </c>
      <c r="JQ347" t="e">
        <f t="shared" si="1119"/>
        <v>#N/A</v>
      </c>
      <c r="JR347" t="e">
        <f t="shared" si="1120"/>
        <v>#N/A</v>
      </c>
      <c r="JS347" t="e">
        <f t="shared" si="1121"/>
        <v>#N/A</v>
      </c>
      <c r="JT347" s="532" t="str">
        <f t="shared" si="1122"/>
        <v xml:space="preserve"> </v>
      </c>
      <c r="JU347" s="532" t="str">
        <f t="shared" si="1123"/>
        <v xml:space="preserve"> </v>
      </c>
      <c r="JV347" s="533" t="str">
        <f t="shared" si="1124"/>
        <v xml:space="preserve"> </v>
      </c>
      <c r="JW347" s="534">
        <f t="shared" si="1125"/>
        <v>0</v>
      </c>
      <c r="JX347" s="535" t="str">
        <f t="shared" si="1209"/>
        <v xml:space="preserve"> </v>
      </c>
      <c r="JY347" s="535" t="str">
        <f t="shared" si="1210"/>
        <v xml:space="preserve"> </v>
      </c>
      <c r="JZ347" s="535" t="str">
        <f t="shared" si="1211"/>
        <v xml:space="preserve"> </v>
      </c>
      <c r="KA347" s="536" t="str">
        <f t="shared" si="1126"/>
        <v xml:space="preserve"> </v>
      </c>
      <c r="KB347" s="535" t="e">
        <f t="shared" si="1212"/>
        <v>#VALUE!</v>
      </c>
      <c r="KC347" s="535" t="str">
        <f t="shared" si="1127"/>
        <v/>
      </c>
      <c r="KD347" s="537" t="str">
        <f t="shared" si="1213"/>
        <v xml:space="preserve"> </v>
      </c>
      <c r="KE347" s="537" t="str">
        <f t="shared" si="1214"/>
        <v xml:space="preserve"> </v>
      </c>
      <c r="KF347" s="534">
        <f t="shared" si="1128"/>
        <v>0</v>
      </c>
      <c r="KG347" s="535" t="str">
        <f t="shared" si="1129"/>
        <v xml:space="preserve"> </v>
      </c>
      <c r="KH347" s="535" t="str">
        <f t="shared" si="1130"/>
        <v xml:space="preserve"> </v>
      </c>
      <c r="KI347" s="535" t="str">
        <f t="shared" si="1131"/>
        <v xml:space="preserve"> </v>
      </c>
      <c r="KJ347" s="536" t="str">
        <f t="shared" si="1132"/>
        <v xml:space="preserve"> </v>
      </c>
      <c r="KK347" s="535" t="str">
        <f t="shared" si="1215"/>
        <v xml:space="preserve"> </v>
      </c>
      <c r="KL347" s="535" t="str">
        <f t="shared" si="1216"/>
        <v xml:space="preserve"> </v>
      </c>
      <c r="KM347" s="537" t="str">
        <f t="shared" si="1133"/>
        <v xml:space="preserve"> </v>
      </c>
      <c r="KN347" s="537" t="str">
        <f t="shared" si="1217"/>
        <v xml:space="preserve"> </v>
      </c>
      <c r="KP347">
        <f t="shared" si="1134"/>
        <v>0</v>
      </c>
      <c r="LA347" t="e">
        <f t="shared" si="1135"/>
        <v>#VALUE!</v>
      </c>
      <c r="LB347" t="e">
        <f t="shared" si="1136"/>
        <v>#VALUE!</v>
      </c>
      <c r="LC347" t="e">
        <f t="shared" si="1137"/>
        <v>#VALUE!</v>
      </c>
      <c r="LD347" t="e">
        <f t="shared" si="1138"/>
        <v>#VALUE!</v>
      </c>
      <c r="LE347" t="e">
        <f t="shared" si="1218"/>
        <v>#VALUE!</v>
      </c>
      <c r="LF347">
        <f t="shared" si="1139"/>
        <v>0</v>
      </c>
      <c r="LG347" t="e">
        <f t="shared" si="1219"/>
        <v>#VALUE!</v>
      </c>
      <c r="LH347" t="str">
        <f t="shared" si="1140"/>
        <v xml:space="preserve"> </v>
      </c>
      <c r="LI347">
        <f t="shared" si="1220"/>
        <v>1</v>
      </c>
    </row>
    <row r="348" spans="2:321" ht="15" customHeight="1">
      <c r="B348" s="311"/>
      <c r="C348" s="311"/>
      <c r="D348" s="312"/>
      <c r="E348" s="311"/>
      <c r="F348" s="312"/>
      <c r="G348" s="311"/>
      <c r="H348" s="311"/>
      <c r="I348" s="232"/>
      <c r="J348" s="311"/>
      <c r="K348" s="305" t="str">
        <f t="shared" si="1141"/>
        <v/>
      </c>
      <c r="L348" s="313"/>
      <c r="M348" s="312"/>
      <c r="N348" s="311"/>
      <c r="O348" s="312"/>
      <c r="P348" s="311"/>
      <c r="Q348" s="305" t="str">
        <f t="shared" si="1142"/>
        <v/>
      </c>
      <c r="R348" s="314"/>
      <c r="S348" s="450" t="str">
        <f t="shared" si="1025"/>
        <v/>
      </c>
      <c r="T348" s="315"/>
      <c r="U348" s="315"/>
      <c r="W348" s="149" t="str">
        <f t="shared" si="1026"/>
        <v xml:space="preserve"> </v>
      </c>
      <c r="X348" s="243" t="str">
        <f t="shared" si="1027"/>
        <v xml:space="preserve"> </v>
      </c>
      <c r="Y348" s="150" t="str">
        <f t="shared" si="1028"/>
        <v/>
      </c>
      <c r="Z348" s="149" t="str">
        <f t="shared" si="1029"/>
        <v xml:space="preserve"> </v>
      </c>
      <c r="AA348" s="98" t="str">
        <f t="shared" si="1030"/>
        <v xml:space="preserve"> </v>
      </c>
      <c r="AB348" s="153" t="str">
        <f t="shared" si="1031"/>
        <v xml:space="preserve"> </v>
      </c>
      <c r="AC348" s="153" t="str">
        <f t="shared" si="1032"/>
        <v xml:space="preserve"> </v>
      </c>
      <c r="AD348" s="148" t="str">
        <f t="shared" si="1033"/>
        <v/>
      </c>
      <c r="AE348" s="149" t="str">
        <f t="shared" si="1034"/>
        <v/>
      </c>
      <c r="AF348" s="151" t="str">
        <f t="shared" si="1035"/>
        <v xml:space="preserve"> </v>
      </c>
      <c r="AG348" s="153" t="str">
        <f t="shared" si="1036"/>
        <v xml:space="preserve"> </v>
      </c>
      <c r="AH348" s="98" t="str">
        <f t="shared" si="1037"/>
        <v xml:space="preserve"> </v>
      </c>
      <c r="AI348" s="149" t="str">
        <f t="shared" si="1038"/>
        <v xml:space="preserve"> </v>
      </c>
      <c r="AK348" s="144" t="str">
        <f t="shared" si="1039"/>
        <v xml:space="preserve"> </v>
      </c>
      <c r="AL348" s="144"/>
      <c r="AM348" s="243" t="str">
        <f t="shared" si="1040"/>
        <v xml:space="preserve"> </v>
      </c>
      <c r="AN348" s="149" t="str">
        <f t="shared" si="1143"/>
        <v xml:space="preserve"> </v>
      </c>
      <c r="AO348" s="144" t="str">
        <f>IF(JB348&gt;0,IF(GI348=10,-R348*1.085*(Calculation!$F$6-Calculation!$F$13)*$S$14," "),"")</f>
        <v/>
      </c>
      <c r="AP348" s="144" t="str">
        <f t="shared" si="1041"/>
        <v/>
      </c>
      <c r="AQ348" s="56" t="str">
        <f t="shared" si="1042"/>
        <v/>
      </c>
      <c r="AR348" s="144" t="str">
        <f t="shared" si="1043"/>
        <v/>
      </c>
      <c r="AS348" s="176" t="str">
        <f t="shared" si="1044"/>
        <v/>
      </c>
      <c r="AT348" s="176" t="str">
        <f t="shared" si="1144"/>
        <v xml:space="preserve"> </v>
      </c>
      <c r="AU348" s="176" t="str">
        <f t="shared" si="1045"/>
        <v/>
      </c>
      <c r="AV348" s="177" t="str">
        <f t="shared" si="1046"/>
        <v xml:space="preserve"> </v>
      </c>
      <c r="AW348" s="144" t="str">
        <f t="shared" si="1047"/>
        <v xml:space="preserve"> </v>
      </c>
      <c r="AX348" s="144" t="str">
        <f t="shared" si="1048"/>
        <v xml:space="preserve"> </v>
      </c>
      <c r="AY348" s="152" t="str">
        <f t="shared" si="1049"/>
        <v xml:space="preserve"> </v>
      </c>
      <c r="AZ348" s="246" t="str">
        <f t="shared" si="1050"/>
        <v/>
      </c>
      <c r="BA348" s="176" t="str">
        <f t="shared" si="1051"/>
        <v xml:space="preserve"> </v>
      </c>
      <c r="BB348" s="176" t="str">
        <f t="shared" si="1052"/>
        <v xml:space="preserve"> </v>
      </c>
      <c r="BC348" s="195"/>
      <c r="BD348" s="316"/>
      <c r="BE348" s="317"/>
      <c r="BF348" s="318"/>
      <c r="BG348" s="318"/>
      <c r="BH348" s="144" t="str">
        <f t="shared" si="1221"/>
        <v xml:space="preserve"> </v>
      </c>
      <c r="BI348" s="176" t="str">
        <f t="shared" si="1053"/>
        <v/>
      </c>
      <c r="BJ348" s="144" t="str">
        <f t="shared" si="1222"/>
        <v/>
      </c>
      <c r="BK348" s="246" t="str">
        <f t="shared" si="1054"/>
        <v/>
      </c>
      <c r="BL348" s="144" t="str">
        <f t="shared" si="1223"/>
        <v/>
      </c>
      <c r="BM348" s="246" t="str">
        <f t="shared" si="1055"/>
        <v/>
      </c>
      <c r="BN348" s="337" t="str">
        <f t="shared" si="1145"/>
        <v/>
      </c>
      <c r="BO348" s="371" t="str">
        <f t="shared" si="1146"/>
        <v/>
      </c>
      <c r="BP348" s="328" t="str">
        <f t="shared" si="1224"/>
        <v xml:space="preserve"> </v>
      </c>
      <c r="BQ348" s="347" t="str">
        <f t="shared" si="1147"/>
        <v xml:space="preserve"> </v>
      </c>
      <c r="BR348" s="353" t="str">
        <f t="shared" si="1148"/>
        <v xml:space="preserve"> </v>
      </c>
      <c r="BS348" s="626" t="str">
        <f>IF(L348&gt;0,IF(Calculation!P348="M13",BR348*3.1416*(0.134^2)/(4*144),IF(Calculation!P348="M17",BR348*3.1416*(0.165^2)/(4*144),IF(Calculation!P348="M20",BR348*3.1416*(0.198^2)/(4*144),IF(Calculation!P348="M23",BR348*3.1416*(0.228^2)/(4*144),IF(Calculation!P348="M27",BR348*3.1416*(0.269^2)/(4*144),BR348*3.1416*(0.307^2)/(4*144))))))," ")</f>
        <v xml:space="preserve"> </v>
      </c>
      <c r="BT348" s="353" t="str">
        <f>IF(L348&gt;0,IF(BS348&gt;0,R348/Calculation!BS348,0)," ")</f>
        <v xml:space="preserve"> </v>
      </c>
      <c r="BU348" s="438" t="e">
        <f t="shared" ca="1" si="1056"/>
        <v>#VALUE!</v>
      </c>
      <c r="BV348" s="449" t="e">
        <f ca="1">INDEX(INDIRECT(VLOOKUP(LEFT(BO348,7),CLU!$Z$3:$AH$18,2)),GN348,GR348)</f>
        <v>#N/A</v>
      </c>
      <c r="BW348" s="433" t="e">
        <f ca="1">INDEX(INDIRECT(VLOOKUP(LEFT(BO348,7),CLU!$Z$3:$AH$18,3)),GN348,GR348)</f>
        <v>#N/A</v>
      </c>
      <c r="BX348" s="433" t="e">
        <f ca="1">INDEX(INDIRECT(VLOOKUP(LEFT(BO348,7),CLU!$Z$3:$AH$18,4)),GN348,GR348)</f>
        <v>#N/A</v>
      </c>
      <c r="BY348" s="433" t="e">
        <f ca="1">INDEX(INDIRECT(VLOOKUP(LEFT(BO348,7),CLU!$Z$3:$AH$18,9)),((M348-2)*(6-COUNTBLANK(GT348:GY348)))+GJ348)</f>
        <v>#N/A</v>
      </c>
      <c r="BZ348" s="426" t="e">
        <f t="shared" ca="1" si="1149"/>
        <v>#N/A</v>
      </c>
      <c r="CA348" s="424" t="e">
        <f t="shared" ca="1" si="1150"/>
        <v>#N/A</v>
      </c>
      <c r="CB348" s="429" t="e">
        <f ca="1">INDEX(INDIRECT(VLOOKUP(LEFT(BO348,7),CLU!$Z$3:$AH$18,2)),GN348,GS348)</f>
        <v>#N/A</v>
      </c>
      <c r="CC348" s="342" t="e">
        <f ca="1">INDEX(INDIRECT(VLOOKUP(LEFT(BO348,7),CLU!$Z$3:$AH$18,3)),GN348,GS348)</f>
        <v>#N/A</v>
      </c>
      <c r="CD348" s="342" t="e">
        <f ca="1">INDEX(INDIRECT(VLOOKUP(LEFT(BO348,7),CLU!$Z$3:$AH$18,4)),GN348,GS348)</f>
        <v>#N/A</v>
      </c>
      <c r="CE348" s="426" t="e">
        <f t="shared" ca="1" si="1151"/>
        <v>#N/A</v>
      </c>
      <c r="CF348" s="440">
        <f t="shared" si="1152"/>
        <v>0</v>
      </c>
      <c r="CG348" s="431" t="e">
        <f ca="1">INDEX(INDIRECT(VLOOKUP(LEFT(BO348,7),CLU!$Z$3:$AH$18,2)),GQ348,GR348)</f>
        <v>#N/A</v>
      </c>
      <c r="CH348" s="431" t="e">
        <f ca="1">INDEX(INDIRECT(VLOOKUP(LEFT(BO348,7),CLU!$Z$3:$AH$18,3)),GQ348,GR348)</f>
        <v>#N/A</v>
      </c>
      <c r="CI348" s="431" t="e">
        <f ca="1">INDEX(INDIRECT(VLOOKUP(LEFT(BO348,7),CLU!$Z$3:$AH$18,4)),GQ348,GR348)</f>
        <v>#N/A</v>
      </c>
      <c r="CJ348" s="448" t="e">
        <f t="shared" ca="1" si="1153"/>
        <v>#N/A</v>
      </c>
      <c r="CK348" s="431" t="e">
        <f t="shared" ca="1" si="1154"/>
        <v>#N/A</v>
      </c>
      <c r="CL348" s="440" t="e">
        <f t="shared" ca="1" si="1155"/>
        <v>#N/A</v>
      </c>
      <c r="CM348" s="431" t="e">
        <f ca="1">INDEX(INDIRECT(VLOOKUP(LEFT(BO348,7),CLU!$Z$3:$AH$18,2)),GQ348,GS348)</f>
        <v>#N/A</v>
      </c>
      <c r="CN348" s="431" t="e">
        <f ca="1">INDEX(INDIRECT(VLOOKUP(LEFT(BO348,7),CLU!$Z$3:$AH$18,3)),GQ348,GS348)</f>
        <v>#N/A</v>
      </c>
      <c r="CO348" s="431" t="e">
        <f ca="1">INDEX(INDIRECT(VLOOKUP(LEFT(BO348,7),CLU!$Z$3:$AH$18,4)),GQ348,GS348)</f>
        <v>#N/A</v>
      </c>
      <c r="CP348" s="431" t="e">
        <f t="shared" ca="1" si="1156"/>
        <v>#N/A</v>
      </c>
      <c r="CQ348" s="440">
        <f t="shared" si="1157"/>
        <v>0</v>
      </c>
      <c r="CR348" s="51" t="e">
        <f t="shared" ca="1" si="1158"/>
        <v>#N/A</v>
      </c>
      <c r="CS348" s="439" t="e">
        <f t="shared" ca="1" si="1159"/>
        <v>#VALUE!</v>
      </c>
      <c r="CT348" s="51" t="e">
        <f t="shared" ca="1" si="1160"/>
        <v>#VALUE!</v>
      </c>
      <c r="CU348" s="10"/>
      <c r="CV348" s="51" t="e">
        <f t="shared" ca="1" si="1057"/>
        <v>#VALUE!</v>
      </c>
      <c r="CW348" s="51">
        <f t="shared" si="1161"/>
        <v>0</v>
      </c>
      <c r="CX348" s="439" t="e">
        <f t="shared" ca="1" si="1162"/>
        <v>#VALUE!</v>
      </c>
      <c r="CY348" s="51" t="e">
        <f t="shared" ca="1" si="1163"/>
        <v>#VALUE!</v>
      </c>
      <c r="CZ348" s="10"/>
      <c r="DA348" s="51" t="e">
        <f t="shared" ca="1" si="1164"/>
        <v>#VALUE!</v>
      </c>
      <c r="DB348" s="347" t="e">
        <f ca="1">INDEX(INDIRECT(VLOOKUP(LEFT(BO348,7),CLU!$Z$3:$AI$18,10)),((M348-2)*(6-COUNTBLANK(GT348:GY348)))+GJ348)*LI348</f>
        <v>#N/A</v>
      </c>
      <c r="DC348" s="347" t="str">
        <f>IF(L348&gt;0,((R348/Worksheet!$I$15)/DB348)^2," ")</f>
        <v xml:space="preserve"> </v>
      </c>
      <c r="DD348" s="602" t="str">
        <f t="shared" si="1165"/>
        <v xml:space="preserve"> </v>
      </c>
      <c r="DE348" s="347" t="str">
        <f t="shared" si="1058"/>
        <v xml:space="preserve"> </v>
      </c>
      <c r="DF348" s="356" t="e">
        <f ca="1">INDEX(INDIRECT(VLOOKUP(LEFT(BO348,7),CLU!$Z$3:$AH$18,8)),((M348-2)*(6-COUNTBLANK(GT348:GY348)))+GJ348)</f>
        <v>#N/A</v>
      </c>
      <c r="DG348" s="347" t="str">
        <f t="shared" si="1059"/>
        <v xml:space="preserve"> </v>
      </c>
      <c r="DH348" s="357" t="str">
        <f t="shared" si="1060"/>
        <v xml:space="preserve"> </v>
      </c>
      <c r="DI348" s="355" t="str">
        <f t="shared" si="1061"/>
        <v xml:space="preserve"> </v>
      </c>
      <c r="DJ348" s="245" t="e">
        <f ca="1">INDEX(INDIRECT(VLOOKUP(LEFT(BO348,7),CLU!$Z$3:$AH$18,5)),GL348,GK348)</f>
        <v>#N/A</v>
      </c>
      <c r="DK348" s="245" t="e">
        <f ca="1">INDEX(INDIRECT(VLOOKUP(LEFT(BO348,7),CLU!$Z$3:$AH$18,6)),GL348,GK348)</f>
        <v>#N/A</v>
      </c>
      <c r="DL348" s="355">
        <f>(Calculation!R348*0.69143*(Calculation!$BQ$8-Calculation!$F$8))*$S$14</f>
        <v>0</v>
      </c>
      <c r="DM348" s="359" t="e">
        <f t="shared" si="1166"/>
        <v>#VALUE!</v>
      </c>
      <c r="DN348" s="611">
        <f t="shared" si="1167"/>
        <v>0</v>
      </c>
      <c r="DO348" s="359">
        <f t="shared" si="1168"/>
        <v>100</v>
      </c>
      <c r="DP348" s="359">
        <f t="shared" si="1169"/>
        <v>0</v>
      </c>
      <c r="DQ348" s="360"/>
      <c r="DR348" s="245" t="e">
        <f ca="1">INDEX(INDIRECT(VLOOKUP(LEFT(BO348,7),CLU!$Z$3:$AH$18,7)),M348-1,1)</f>
        <v>#N/A</v>
      </c>
      <c r="DS348" s="245" t="e">
        <f ca="1">INDEX(INDIRECT(VLOOKUP(LEFT(BO348,7),CLU!$Z$3:$AH$18,7)),M348-1,2)</f>
        <v>#N/A</v>
      </c>
      <c r="DT348" s="245" t="e">
        <f ca="1">INDEX(INDIRECT(VLOOKUP(LEFT(BO348,7),CLU!$Z$3:$AH$18,7)),M348-1,3)</f>
        <v>#N/A</v>
      </c>
      <c r="DU348" s="245" t="e">
        <f ca="1">INDEX(INDIRECT(VLOOKUP(LEFT(BO348,7),CLU!$Z$3:$AH$18,7)),M348-1,4)</f>
        <v>#N/A</v>
      </c>
      <c r="DV348" s="361" t="e">
        <f ca="1">INDEX(INDIRECT(VLOOKUP(LEFT(BO348,7),CLU!$Z$3:$AH$18,7)),M348-1,4+LEFT(DZ348,1)*0.5)</f>
        <v>#N/A</v>
      </c>
      <c r="DW348" s="245" t="e">
        <f ca="1">INDEX(INDIRECT(VLOOKUP(LEFT(BO348,7),CLU!$Z$3:$AH$18,7)),M348-1,8)</f>
        <v>#N/A</v>
      </c>
      <c r="DX348" s="361" t="str">
        <f t="shared" si="1062"/>
        <v xml:space="preserve"> </v>
      </c>
      <c r="DY348" s="361" t="str">
        <f t="shared" si="1063"/>
        <v xml:space="preserve"> </v>
      </c>
      <c r="DZ348" s="361" t="str">
        <f t="shared" si="1064"/>
        <v xml:space="preserve"> </v>
      </c>
      <c r="EA348" s="362" t="str">
        <f t="shared" si="1065"/>
        <v xml:space="preserve"> </v>
      </c>
      <c r="EB348" s="624" t="str">
        <f t="shared" si="1170"/>
        <v xml:space="preserve"> </v>
      </c>
      <c r="EC348" s="361" t="e">
        <f ca="1">INDEX(INDIRECT(VLOOKUP(LEFT(BO348,7),CLU!$Z$3:$AH$18,7)),M348-1,4+LEFT(DZ348,1)*0.5)</f>
        <v>#N/A</v>
      </c>
      <c r="ED348" s="362" t="str">
        <f t="shared" si="1066"/>
        <v xml:space="preserve"> </v>
      </c>
      <c r="EE348" s="361" t="str">
        <f t="shared" si="1067"/>
        <v xml:space="preserve"> </v>
      </c>
      <c r="EF348" s="362" t="str">
        <f>IF(L348&gt;0,IF(BR348&gt;0,IF(EE348="2P",IF(Calculation!DZ348="2P",IF(Calculation!DS348=13.75,IF(Calculation!DR348=13,Worksheet!$BD$43,IF(Calculation!DR348=37,Worksheet!$BD$44,Worksheet!$BD$45)),IF(Calculation!DS348=10,IF(Calculation!DR348=18,Worksheet!$BD$29,IF(Calculation!DR348=30,Worksheet!$BD$30,IF(Calculation!DR348=42,Worksheet!$BD$31,IF(Calculation!DR348=54,Worksheet!$BD$32,IF(Calculation!DR348=66,Worksheet!$BD$33,IF(Calculation!DR348=78,Worksheet!$BD$34,IF(Calculation!DR348=90,Worksheet!$BD$35,IF(Calculation!DR348=102,Worksheet!$BD$36,Worksheet!$BD$37)))))))),IF(Calculation!DS348=12.5,IF(Calculation!DR348=18,Worksheet!$BD$38,IF(Calculation!DR348=Worksheet!$BD$39,IF(Calculation!DR348=42,Worksheet!$BD$40,IF(Calculation!DR348=54,Worksheet!$BD$41,Worksheet!$BD$42)))),IF(Calculation!DR348=18,Worksheet!$BD$11,IF(Calculation!DR348=30,Worksheet!$BD$12,IF(Calculation!DR348=42,Worksheet!$BD$13,IF(Calculation!DR348=54,Worksheet!$BD$14,IF(Calculation!DR348=66,Worksheet!$BD$15,IF(Calculation!DR348=78,Worksheet!$BD$16,IF(Calculation!DR348=90,Worksheet!$BD$17,IF(Calculation!DR348=102,Worksheet!$BD$18,Worksheet!$BD$19))))))))))),IF(Calculation!DS348=13.75,IF(Calculation!DR348=13,Worksheet!$BD$78,IF(Calculation!DR348=37,Worksheet!$BD$79,Worksheet!$BD$80)),IF(Calculation!DS348=10,IF(Calculation!DR348=18,Worksheet!$BD$64,IF(Calculation!DR348=30,Worksheet!$BD$65,IF(Calculation!DR348=42,Worksheet!$BD$66,IF(Calculation!DR348=54,Worksheet!$BD$68,IF(Calculation!DR348=66,Worksheet!$BD$68,IF(Calculation!DR348=78,Worksheet!$BD$69,IF(Calculation!DR348=90,Worksheet!$BD$70,IF(Calculation!DR348=102,Worksheet!$BD$71,Worksheet!$BD$72)))))))),IF(Calculation!DS348=12.5,IF(Calculation!DR348=18,Worksheet!$BD$73,IF(Calculation!DR348=Worksheet!$BD$74,IF(Calculation!DR348=42,Worksheet!$BD$75,IF(Calculation!DR348=54,Worksheet!$BD$76,Worksheet!$BD$77)))),IF(Calculation!DR348=18,Worksheet!$BD$55,IF(Calculation!DR348=30,Worksheet!$BD$56,IF(Calculation!DR348=42,Worksheet!$BD$57,IF(Calculation!DR348=54,Worksheet!$BD$58,IF(Calculation!DR348=66,Worksheet!$BD$59,IF(Calculation!DR348=78,Worksheet!$BD$60,IF(Calculation!DR348=90,Worksheet!$BD$61,IF(Calculation!DR348=102,Worksheet!$BD$62,Worksheet!$BD$63)))))))))))),5),0)," ")</f>
        <v xml:space="preserve"> </v>
      </c>
      <c r="EG348" s="361" t="str">
        <f t="shared" si="1068"/>
        <v xml:space="preserve"> </v>
      </c>
      <c r="EH348" s="361" t="e">
        <f ca="1">INDEX(INDIRECT(VLOOKUP(LEFT(BO348,7),CLU!$Z$3:$AH$18,7)),M348-1,3+LEFT(DZ348,1))</f>
        <v>#N/A</v>
      </c>
      <c r="EI348" s="362" t="str">
        <f t="shared" si="1069"/>
        <v xml:space="preserve"> </v>
      </c>
      <c r="EJ348" s="363" t="str">
        <f t="shared" si="1070"/>
        <v xml:space="preserve"> </v>
      </c>
      <c r="EK348" s="363" t="str">
        <f t="shared" si="1071"/>
        <v xml:space="preserve"> </v>
      </c>
      <c r="EL348" s="363" t="str">
        <f t="shared" si="1072"/>
        <v xml:space="preserve"> </v>
      </c>
      <c r="EM348" s="362" t="str">
        <f>IF(L348&gt;0,IF(BR348&gt;0,(Calculation!T348/ED348)^2,0)," ")</f>
        <v xml:space="preserve"> </v>
      </c>
      <c r="EN348" s="362" t="str">
        <f>IF(L348&gt;0,IF(O348="2 Pipe (Cooling)","N/A",IF(BR348&gt;0,(Calculation!U348/EI348)^2,0))," ")</f>
        <v xml:space="preserve"> </v>
      </c>
      <c r="EO348" s="361" t="str">
        <f t="shared" si="1073"/>
        <v/>
      </c>
      <c r="EP348" s="361" t="str">
        <f t="shared" si="1074"/>
        <v/>
      </c>
      <c r="EQ348" s="361" t="str">
        <f t="shared" si="1075"/>
        <v/>
      </c>
      <c r="ER348" s="361" t="str">
        <f t="shared" si="1076"/>
        <v/>
      </c>
      <c r="ES348" s="361" t="str">
        <f t="shared" si="1077"/>
        <v/>
      </c>
      <c r="ET348" s="361" t="str">
        <f t="shared" si="1078"/>
        <v/>
      </c>
      <c r="EU348" s="361" t="str">
        <f t="shared" si="1079"/>
        <v/>
      </c>
      <c r="EV348" s="361" t="str">
        <f t="shared" si="1080"/>
        <v/>
      </c>
      <c r="EW348" s="361" t="str">
        <f t="shared" si="1081"/>
        <v/>
      </c>
      <c r="EX348" s="361" t="str">
        <f t="shared" si="1171"/>
        <v>1 slot, 1 way</v>
      </c>
      <c r="EY348" s="361" t="str">
        <f t="shared" si="1172"/>
        <v xml:space="preserve"> </v>
      </c>
      <c r="EZ348" s="361" t="str">
        <f t="shared" si="1173"/>
        <v xml:space="preserve"> </v>
      </c>
      <c r="FA348" s="361" t="str">
        <f t="shared" si="1174"/>
        <v xml:space="preserve"> </v>
      </c>
      <c r="FB348" s="361" t="str">
        <f t="shared" si="1175"/>
        <v xml:space="preserve"> </v>
      </c>
      <c r="FC348" s="361"/>
      <c r="FD348" s="361" t="str">
        <f>IF(J348&gt;0,IF(Calculation!R348&lt;=70,4,IF(Calculation!R348&lt;=110,5,IF(Calculation!R348&lt;=160,6,IF(Calculation!R348&lt;=300,8,"10 EO")))),"")</f>
        <v/>
      </c>
      <c r="FE348" s="361" t="str">
        <f t="shared" si="1176"/>
        <v/>
      </c>
      <c r="FF348" s="361" t="str">
        <f t="shared" si="1177"/>
        <v/>
      </c>
      <c r="FG348" s="361" t="e">
        <f t="shared" si="1082"/>
        <v>#N/A</v>
      </c>
      <c r="FH348" s="361">
        <f t="shared" si="1083"/>
        <v>0</v>
      </c>
      <c r="FI348" s="361" t="e">
        <f t="shared" si="1084"/>
        <v>#DIV/0!</v>
      </c>
      <c r="FJ348" s="361"/>
      <c r="FK348" s="356" t="e">
        <f t="shared" si="1085"/>
        <v>#VALUE!</v>
      </c>
      <c r="FL348" s="361"/>
      <c r="FM348" s="361"/>
      <c r="FN348" s="362" t="str">
        <f t="shared" si="1178"/>
        <v xml:space="preserve"> </v>
      </c>
      <c r="FO348" s="362" t="str">
        <f t="shared" si="1179"/>
        <v xml:space="preserve"> </v>
      </c>
      <c r="FP348" s="362">
        <f t="shared" si="1180"/>
        <v>0</v>
      </c>
      <c r="FQ348" s="361">
        <f t="shared" si="1086"/>
        <v>0</v>
      </c>
      <c r="FR348" s="362" t="str">
        <f>IF(L348&gt;0,IF(J348="CBAL2",Worksheet!$P$67,IF(J348="CBE2-24",Worksheet!$Q$67,IF(J348="CBAM",Worksheet!$R$67,IF(J348="CBLV",Worksheet!$S$67,IF(J348="CBAB",Worksheet!$U$67,IF(J348="CBAW",Worksheet!$X$67,IF(J348="CBE2-12",Worksheet!$Y$67,IF(J348="CBAL2",Worksheet!$Z$67,"N/A"))))))))," ")</f>
        <v xml:space="preserve"> </v>
      </c>
      <c r="FS348" s="362" t="str">
        <f>IF(L348&gt;0,IF(J348="CBAL2",Worksheet!$P$68,IF(J348="CBE2-24",Worksheet!$Q$68,IF(J348="CBAM",Worksheet!$R$68,IF(J348="CBLV",Worksheet!$S$68,IF(J348="CBAB",Worksheet!$U$68,IF(J348="CBAW",Worksheet!$X$68,IF(J348="CBE2-12",Worksheet!$Y$68,IF(J348="CBAL2",Worksheet!$Z$68,"N/A"))))))))," ")</f>
        <v xml:space="preserve"> </v>
      </c>
      <c r="FT348" s="362" t="str">
        <f>IF(L348&gt;0,IF(J348="CBAL2",Worksheet!$P$69,IF(J348="CBE2-24",Worksheet!$Q$69,IF(J348="CBAM",Worksheet!$R$69,IF(J348="CBLV",Worksheet!$S$69,IF(J348="CBAB",Worksheet!$U$69,IF(J348="CBAW",Worksheet!$X$69,IF(J348="CBE2-12",Worksheet!$Y$69,IF(J348="CBAL2",Worksheet!$Z$69,"N/A"))))))))," ")</f>
        <v xml:space="preserve"> </v>
      </c>
      <c r="FU348" s="361" t="str">
        <f t="shared" si="1181"/>
        <v xml:space="preserve"> </v>
      </c>
      <c r="FV348" s="362" t="str">
        <f t="shared" si="1182"/>
        <v xml:space="preserve"> </v>
      </c>
      <c r="FW348" s="362" t="str">
        <f t="shared" si="1183"/>
        <v xml:space="preserve"> </v>
      </c>
      <c r="FX348" s="362" t="str">
        <f t="shared" si="1184"/>
        <v xml:space="preserve"> </v>
      </c>
      <c r="FY348" s="355" t="str">
        <f t="shared" si="1185"/>
        <v xml:space="preserve"> </v>
      </c>
      <c r="FZ348" s="361" t="str">
        <f t="shared" si="1186"/>
        <v xml:space="preserve"> </v>
      </c>
      <c r="GA348" s="347" t="str">
        <f t="shared" si="1187"/>
        <v xml:space="preserve"> </v>
      </c>
      <c r="GB348" s="355" t="str">
        <f t="shared" si="1188"/>
        <v xml:space="preserve"> </v>
      </c>
      <c r="GC348" s="328" t="str">
        <f t="shared" si="1189"/>
        <v xml:space="preserve"> </v>
      </c>
      <c r="GD348" s="361" t="str">
        <f t="shared" si="1190"/>
        <v xml:space="preserve"> </v>
      </c>
      <c r="GE348" s="347" t="str">
        <f t="shared" si="1191"/>
        <v xml:space="preserve"> </v>
      </c>
      <c r="GF348" s="361" t="str">
        <f t="shared" si="1192"/>
        <v xml:space="preserve"> </v>
      </c>
      <c r="GG348" s="347" t="str">
        <f t="shared" si="1193"/>
        <v xml:space="preserve"> </v>
      </c>
      <c r="GH348" s="364">
        <f t="shared" si="1087"/>
        <v>0</v>
      </c>
      <c r="GI348" s="362">
        <f t="shared" si="1194"/>
        <v>2</v>
      </c>
      <c r="GJ348" s="433" t="e">
        <f>IF(6-COUNTBLANK(GT348:GY348)=4,MATCH(MID(BO348,9,3),CLU!$H$16:$K$16),MATCH(MID(BO348,9,3),CLU!$H$13:$M$13))</f>
        <v>#N/A</v>
      </c>
      <c r="GK348" s="433" t="e">
        <f>HLOOKUP(VALUE(BP348),CLU!$H$9:$M$10,2)</f>
        <v>#VALUE!</v>
      </c>
      <c r="GL348" s="433" t="e">
        <f ca="1">MATCH(BU348,CLU!$H$2:$V$2,1)</f>
        <v>#VALUE!</v>
      </c>
      <c r="GM348" s="433" t="e">
        <f t="shared" ca="1" si="1195"/>
        <v>#VALUE!</v>
      </c>
      <c r="GN348" s="433" t="e">
        <f t="shared" ca="1" si="1196"/>
        <v>#VALUE!</v>
      </c>
      <c r="GO348" s="433" t="e">
        <f t="shared" ca="1" si="1197"/>
        <v>#VALUE!</v>
      </c>
      <c r="GP348" s="433" t="e">
        <f t="shared" ca="1" si="1198"/>
        <v>#VALUE!</v>
      </c>
      <c r="GQ348" s="433" t="e">
        <f t="shared" ca="1" si="1199"/>
        <v>#VALUE!</v>
      </c>
      <c r="GR348" s="433" t="e">
        <f ca="1">MATCH(T348,INDIRECT(VLOOKUP(CONCATENATE(LEFT(BO348,7),"-",MID(BO348,13,1)),CLU!$P$3:$Q$16,2)),1)</f>
        <v>#N/A</v>
      </c>
      <c r="GS348" s="433" t="e">
        <f ca="1">MATCH(U348,INDIRECT(VLOOKUP(CONCATENATE(LEFT(BO348,7),"-",MID(BO348,13,1)),CLU!$P$3:$Q$16,2)),1)</f>
        <v>#N/A</v>
      </c>
      <c r="GT348" s="347" t="s">
        <v>512</v>
      </c>
      <c r="GU348" s="97" t="s">
        <v>513</v>
      </c>
      <c r="GV348" s="97" t="str">
        <f t="shared" si="1200"/>
        <v>M23</v>
      </c>
      <c r="GW348" s="97" t="str">
        <f t="shared" si="1201"/>
        <v>M31</v>
      </c>
      <c r="GX348" s="97" t="str">
        <f t="shared" si="1202"/>
        <v/>
      </c>
      <c r="GY348" s="97" t="str">
        <f t="shared" si="1203"/>
        <v/>
      </c>
      <c r="GZ348" s="481"/>
      <c r="HA348" s="240"/>
      <c r="HB348" s="240"/>
      <c r="HC348" s="240"/>
      <c r="HD348" s="240"/>
      <c r="HE348" s="240"/>
      <c r="HF348" s="240"/>
      <c r="HG348" s="240"/>
      <c r="HH348" s="240"/>
      <c r="HI348" s="240"/>
      <c r="HJ348" s="240"/>
      <c r="HK348" s="240"/>
      <c r="HL348" s="240"/>
      <c r="HM348" s="240"/>
      <c r="HN348" s="240"/>
      <c r="HO348" s="240"/>
      <c r="HP348" s="240"/>
      <c r="HQ348" s="240"/>
      <c r="HR348" s="240"/>
      <c r="HS348" s="240"/>
      <c r="HT348" s="240"/>
      <c r="HU348" s="240"/>
      <c r="HV348" s="245"/>
      <c r="HW348" s="245" t="b">
        <v>1</v>
      </c>
      <c r="HX348" s="245" t="str">
        <f t="shared" si="1088"/>
        <v/>
      </c>
      <c r="HY348" s="245" t="e">
        <f t="shared" si="1089"/>
        <v>#DIV/0!</v>
      </c>
      <c r="HZ348" s="245" t="e">
        <f t="shared" si="1090"/>
        <v>#DIV/0!</v>
      </c>
      <c r="IA348" s="245">
        <f t="shared" si="1091"/>
        <v>0</v>
      </c>
      <c r="IB348" s="245"/>
      <c r="IC348" t="b">
        <f t="shared" si="1092"/>
        <v>1</v>
      </c>
      <c r="ID348" s="245" t="b">
        <f t="shared" si="1093"/>
        <v>1</v>
      </c>
      <c r="IE348" s="245" t="b">
        <f t="shared" si="1094"/>
        <v>1</v>
      </c>
      <c r="IF348" s="245" t="b">
        <f t="shared" si="1095"/>
        <v>0</v>
      </c>
      <c r="IG348" s="245" t="b">
        <f t="shared" si="1096"/>
        <v>1</v>
      </c>
      <c r="IH348" s="245" t="b">
        <f t="shared" si="1097"/>
        <v>1</v>
      </c>
      <c r="II348" s="245">
        <f t="shared" si="1204"/>
        <v>0</v>
      </c>
      <c r="IJ348" s="245" t="e">
        <f t="shared" si="1098"/>
        <v>#VALUE!</v>
      </c>
      <c r="IK348" s="245" t="e">
        <f t="shared" si="1099"/>
        <v>#VALUE!</v>
      </c>
      <c r="IL348" s="245"/>
      <c r="IM348" s="245" t="e">
        <f t="shared" si="1205"/>
        <v>#N/A</v>
      </c>
      <c r="IN348" s="245" t="e">
        <f t="shared" si="1206"/>
        <v>#N/A</v>
      </c>
      <c r="IO348" s="245"/>
      <c r="IP348" s="245"/>
      <c r="IQ348" s="245" t="str">
        <f t="shared" si="1100"/>
        <v/>
      </c>
      <c r="IR348" s="245" t="str">
        <f>IF(J348="","",VLOOKUP(J348,Worksheet!$R$4:$T$14,2))</f>
        <v/>
      </c>
      <c r="IS348" s="245"/>
      <c r="IT348" s="245">
        <f t="shared" si="1101"/>
        <v>0</v>
      </c>
      <c r="IU348" s="245">
        <f t="shared" si="1102"/>
        <v>0</v>
      </c>
      <c r="IV348" s="245">
        <f t="shared" si="1103"/>
        <v>0</v>
      </c>
      <c r="IW348" s="245">
        <f t="shared" si="1104"/>
        <v>0</v>
      </c>
      <c r="IX348" s="245">
        <f t="shared" si="1207"/>
        <v>0</v>
      </c>
      <c r="IY348" s="245">
        <f t="shared" si="1105"/>
        <v>0</v>
      </c>
      <c r="IZ348" s="245">
        <f t="shared" si="1106"/>
        <v>0</v>
      </c>
      <c r="JA348">
        <f t="shared" si="1107"/>
        <v>0</v>
      </c>
      <c r="JB348">
        <f t="shared" si="1208"/>
        <v>0</v>
      </c>
      <c r="JC348">
        <f t="shared" si="1108"/>
        <v>0</v>
      </c>
      <c r="JD348">
        <f t="shared" si="1109"/>
        <v>0</v>
      </c>
      <c r="JE348">
        <f t="shared" si="1110"/>
        <v>0</v>
      </c>
      <c r="JF348">
        <f t="shared" si="1111"/>
        <v>0</v>
      </c>
      <c r="JG348">
        <f t="shared" si="1112"/>
        <v>0</v>
      </c>
      <c r="JH348">
        <f t="shared" si="1113"/>
        <v>0</v>
      </c>
      <c r="JI348">
        <f t="shared" si="1114"/>
        <v>0</v>
      </c>
      <c r="JJ348" s="447">
        <f t="shared" si="1115"/>
        <v>0</v>
      </c>
      <c r="JK348" s="447">
        <f t="shared" si="1116"/>
        <v>0</v>
      </c>
      <c r="JL348">
        <f t="shared" si="1117"/>
        <v>0</v>
      </c>
      <c r="JM348" s="245" t="str">
        <f>IFERROR(VLOOKUP(MATCH(BN348,#REF!,0),#REF!,7),"")</f>
        <v/>
      </c>
      <c r="JN348" t="e">
        <f>HLOOKUP(LEFT(BO348,7),Discharge_Area,MATCH(JO348,LookUps!$B$130:$B$149,1)+2)</f>
        <v>#N/A</v>
      </c>
      <c r="JO348" t="str">
        <f t="shared" si="1118"/>
        <v>- S</v>
      </c>
      <c r="JP348" t="e">
        <f>HLOOKUP(LEFT(BO348,7),Discharge_Area,MATCH(JO348,LookUps!$B$130:$B$149,1)+2)</f>
        <v>#N/A</v>
      </c>
      <c r="JQ348" t="e">
        <f t="shared" si="1119"/>
        <v>#N/A</v>
      </c>
      <c r="JR348" t="e">
        <f t="shared" si="1120"/>
        <v>#N/A</v>
      </c>
      <c r="JS348" t="e">
        <f t="shared" si="1121"/>
        <v>#N/A</v>
      </c>
      <c r="JT348" s="532" t="str">
        <f t="shared" si="1122"/>
        <v xml:space="preserve"> </v>
      </c>
      <c r="JU348" s="532" t="str">
        <f t="shared" si="1123"/>
        <v xml:space="preserve"> </v>
      </c>
      <c r="JV348" s="533" t="str">
        <f t="shared" si="1124"/>
        <v xml:space="preserve"> </v>
      </c>
      <c r="JW348" s="534">
        <f t="shared" si="1125"/>
        <v>0</v>
      </c>
      <c r="JX348" s="535" t="str">
        <f t="shared" si="1209"/>
        <v xml:space="preserve"> </v>
      </c>
      <c r="JY348" s="535" t="str">
        <f t="shared" si="1210"/>
        <v xml:space="preserve"> </v>
      </c>
      <c r="JZ348" s="535" t="str">
        <f t="shared" si="1211"/>
        <v xml:space="preserve"> </v>
      </c>
      <c r="KA348" s="536" t="str">
        <f t="shared" si="1126"/>
        <v xml:space="preserve"> </v>
      </c>
      <c r="KB348" s="535" t="e">
        <f t="shared" si="1212"/>
        <v>#VALUE!</v>
      </c>
      <c r="KC348" s="535" t="str">
        <f t="shared" si="1127"/>
        <v/>
      </c>
      <c r="KD348" s="537" t="str">
        <f t="shared" si="1213"/>
        <v xml:space="preserve"> </v>
      </c>
      <c r="KE348" s="537" t="str">
        <f t="shared" si="1214"/>
        <v xml:space="preserve"> </v>
      </c>
      <c r="KF348" s="534">
        <f t="shared" si="1128"/>
        <v>0</v>
      </c>
      <c r="KG348" s="535" t="str">
        <f t="shared" si="1129"/>
        <v xml:space="preserve"> </v>
      </c>
      <c r="KH348" s="535" t="str">
        <f t="shared" si="1130"/>
        <v xml:space="preserve"> </v>
      </c>
      <c r="KI348" s="535" t="str">
        <f t="shared" si="1131"/>
        <v xml:space="preserve"> </v>
      </c>
      <c r="KJ348" s="536" t="str">
        <f t="shared" si="1132"/>
        <v xml:space="preserve"> </v>
      </c>
      <c r="KK348" s="535" t="str">
        <f t="shared" si="1215"/>
        <v xml:space="preserve"> </v>
      </c>
      <c r="KL348" s="535" t="str">
        <f t="shared" si="1216"/>
        <v xml:space="preserve"> </v>
      </c>
      <c r="KM348" s="537" t="str">
        <f t="shared" si="1133"/>
        <v xml:space="preserve"> </v>
      </c>
      <c r="KN348" s="537" t="str">
        <f t="shared" si="1217"/>
        <v xml:space="preserve"> </v>
      </c>
      <c r="KP348">
        <f t="shared" si="1134"/>
        <v>0</v>
      </c>
      <c r="LA348" t="e">
        <f t="shared" si="1135"/>
        <v>#VALUE!</v>
      </c>
      <c r="LB348" t="e">
        <f t="shared" si="1136"/>
        <v>#VALUE!</v>
      </c>
      <c r="LC348" t="e">
        <f t="shared" si="1137"/>
        <v>#VALUE!</v>
      </c>
      <c r="LD348" t="e">
        <f t="shared" si="1138"/>
        <v>#VALUE!</v>
      </c>
      <c r="LE348" t="e">
        <f t="shared" si="1218"/>
        <v>#VALUE!</v>
      </c>
      <c r="LF348">
        <f t="shared" si="1139"/>
        <v>0</v>
      </c>
      <c r="LG348" t="e">
        <f t="shared" si="1219"/>
        <v>#VALUE!</v>
      </c>
      <c r="LH348" t="str">
        <f t="shared" si="1140"/>
        <v xml:space="preserve"> </v>
      </c>
      <c r="LI348">
        <f t="shared" si="1220"/>
        <v>1</v>
      </c>
    </row>
    <row r="349" spans="2:321" ht="15" customHeight="1">
      <c r="B349" s="311"/>
      <c r="C349" s="311"/>
      <c r="D349" s="312"/>
      <c r="E349" s="311"/>
      <c r="F349" s="312"/>
      <c r="G349" s="311"/>
      <c r="H349" s="311"/>
      <c r="I349" s="232"/>
      <c r="J349" s="311"/>
      <c r="K349" s="305" t="str">
        <f t="shared" si="1141"/>
        <v/>
      </c>
      <c r="L349" s="313"/>
      <c r="M349" s="312"/>
      <c r="N349" s="311"/>
      <c r="O349" s="312"/>
      <c r="P349" s="311"/>
      <c r="Q349" s="305" t="str">
        <f t="shared" si="1142"/>
        <v/>
      </c>
      <c r="R349" s="314"/>
      <c r="S349" s="450" t="str">
        <f t="shared" si="1025"/>
        <v/>
      </c>
      <c r="T349" s="315"/>
      <c r="U349" s="315"/>
      <c r="W349" s="149" t="str">
        <f t="shared" si="1026"/>
        <v xml:space="preserve"> </v>
      </c>
      <c r="X349" s="243" t="str">
        <f t="shared" si="1027"/>
        <v xml:space="preserve"> </v>
      </c>
      <c r="Y349" s="150" t="str">
        <f t="shared" si="1028"/>
        <v/>
      </c>
      <c r="Z349" s="149" t="str">
        <f t="shared" si="1029"/>
        <v xml:space="preserve"> </v>
      </c>
      <c r="AA349" s="98" t="str">
        <f t="shared" si="1030"/>
        <v xml:space="preserve"> </v>
      </c>
      <c r="AB349" s="153" t="str">
        <f t="shared" si="1031"/>
        <v xml:space="preserve"> </v>
      </c>
      <c r="AC349" s="153" t="str">
        <f t="shared" si="1032"/>
        <v xml:space="preserve"> </v>
      </c>
      <c r="AD349" s="148" t="str">
        <f t="shared" si="1033"/>
        <v/>
      </c>
      <c r="AE349" s="149" t="str">
        <f t="shared" si="1034"/>
        <v/>
      </c>
      <c r="AF349" s="151" t="str">
        <f t="shared" si="1035"/>
        <v xml:space="preserve"> </v>
      </c>
      <c r="AG349" s="153" t="str">
        <f t="shared" si="1036"/>
        <v xml:space="preserve"> </v>
      </c>
      <c r="AH349" s="98" t="str">
        <f t="shared" si="1037"/>
        <v xml:space="preserve"> </v>
      </c>
      <c r="AI349" s="149" t="str">
        <f t="shared" si="1038"/>
        <v xml:space="preserve"> </v>
      </c>
      <c r="AK349" s="144" t="str">
        <f t="shared" si="1039"/>
        <v xml:space="preserve"> </v>
      </c>
      <c r="AL349" s="144"/>
      <c r="AM349" s="243" t="str">
        <f t="shared" si="1040"/>
        <v xml:space="preserve"> </v>
      </c>
      <c r="AN349" s="149" t="str">
        <f t="shared" si="1143"/>
        <v xml:space="preserve"> </v>
      </c>
      <c r="AO349" s="144" t="str">
        <f>IF(JB349&gt;0,IF(GI349=10,-R349*1.085*(Calculation!$F$6-Calculation!$F$13)*$S$14," "),"")</f>
        <v/>
      </c>
      <c r="AP349" s="144" t="str">
        <f t="shared" si="1041"/>
        <v/>
      </c>
      <c r="AQ349" s="56" t="str">
        <f t="shared" si="1042"/>
        <v/>
      </c>
      <c r="AR349" s="144" t="str">
        <f t="shared" si="1043"/>
        <v/>
      </c>
      <c r="AS349" s="176" t="str">
        <f t="shared" si="1044"/>
        <v/>
      </c>
      <c r="AT349" s="176" t="str">
        <f t="shared" si="1144"/>
        <v xml:space="preserve"> </v>
      </c>
      <c r="AU349" s="176" t="str">
        <f t="shared" si="1045"/>
        <v/>
      </c>
      <c r="AV349" s="177" t="str">
        <f t="shared" si="1046"/>
        <v xml:space="preserve"> </v>
      </c>
      <c r="AW349" s="144" t="str">
        <f t="shared" si="1047"/>
        <v xml:space="preserve"> </v>
      </c>
      <c r="AX349" s="144" t="str">
        <f t="shared" si="1048"/>
        <v xml:space="preserve"> </v>
      </c>
      <c r="AY349" s="152" t="str">
        <f t="shared" si="1049"/>
        <v xml:space="preserve"> </v>
      </c>
      <c r="AZ349" s="246" t="str">
        <f t="shared" si="1050"/>
        <v/>
      </c>
      <c r="BA349" s="176" t="str">
        <f t="shared" si="1051"/>
        <v xml:space="preserve"> </v>
      </c>
      <c r="BB349" s="176" t="str">
        <f t="shared" si="1052"/>
        <v xml:space="preserve"> </v>
      </c>
      <c r="BC349" s="195"/>
      <c r="BD349" s="316"/>
      <c r="BE349" s="317"/>
      <c r="BF349" s="318"/>
      <c r="BG349" s="318"/>
      <c r="BH349" s="144" t="str">
        <f t="shared" si="1221"/>
        <v xml:space="preserve"> </v>
      </c>
      <c r="BI349" s="176" t="str">
        <f t="shared" si="1053"/>
        <v/>
      </c>
      <c r="BJ349" s="144" t="str">
        <f t="shared" si="1222"/>
        <v/>
      </c>
      <c r="BK349" s="246" t="str">
        <f t="shared" si="1054"/>
        <v/>
      </c>
      <c r="BL349" s="144" t="str">
        <f t="shared" si="1223"/>
        <v/>
      </c>
      <c r="BM349" s="246" t="str">
        <f t="shared" si="1055"/>
        <v/>
      </c>
      <c r="BN349" s="337" t="str">
        <f t="shared" si="1145"/>
        <v/>
      </c>
      <c r="BO349" s="371" t="str">
        <f t="shared" si="1146"/>
        <v/>
      </c>
      <c r="BP349" s="328" t="str">
        <f t="shared" si="1224"/>
        <v xml:space="preserve"> </v>
      </c>
      <c r="BQ349" s="347" t="str">
        <f t="shared" si="1147"/>
        <v xml:space="preserve"> </v>
      </c>
      <c r="BR349" s="353" t="str">
        <f t="shared" si="1148"/>
        <v xml:space="preserve"> </v>
      </c>
      <c r="BS349" s="626" t="str">
        <f>IF(L349&gt;0,IF(Calculation!P349="M13",BR349*3.1416*(0.134^2)/(4*144),IF(Calculation!P349="M17",BR349*3.1416*(0.165^2)/(4*144),IF(Calculation!P349="M20",BR349*3.1416*(0.198^2)/(4*144),IF(Calculation!P349="M23",BR349*3.1416*(0.228^2)/(4*144),IF(Calculation!P349="M27",BR349*3.1416*(0.269^2)/(4*144),BR349*3.1416*(0.307^2)/(4*144))))))," ")</f>
        <v xml:space="preserve"> </v>
      </c>
      <c r="BT349" s="353" t="str">
        <f>IF(L349&gt;0,IF(BS349&gt;0,R349/Calculation!BS349,0)," ")</f>
        <v xml:space="preserve"> </v>
      </c>
      <c r="BU349" s="438" t="e">
        <f t="shared" ca="1" si="1056"/>
        <v>#VALUE!</v>
      </c>
      <c r="BV349" s="449" t="e">
        <f ca="1">INDEX(INDIRECT(VLOOKUP(LEFT(BO349,7),CLU!$Z$3:$AH$18,2)),GN349,GR349)</f>
        <v>#N/A</v>
      </c>
      <c r="BW349" s="433" t="e">
        <f ca="1">INDEX(INDIRECT(VLOOKUP(LEFT(BO349,7),CLU!$Z$3:$AH$18,3)),GN349,GR349)</f>
        <v>#N/A</v>
      </c>
      <c r="BX349" s="433" t="e">
        <f ca="1">INDEX(INDIRECT(VLOOKUP(LEFT(BO349,7),CLU!$Z$3:$AH$18,4)),GN349,GR349)</f>
        <v>#N/A</v>
      </c>
      <c r="BY349" s="433" t="e">
        <f ca="1">INDEX(INDIRECT(VLOOKUP(LEFT(BO349,7),CLU!$Z$3:$AH$18,9)),((M349-2)*(6-COUNTBLANK(GT349:GY349)))+GJ349)</f>
        <v>#N/A</v>
      </c>
      <c r="BZ349" s="426" t="e">
        <f t="shared" ca="1" si="1149"/>
        <v>#N/A</v>
      </c>
      <c r="CA349" s="424" t="e">
        <f t="shared" ca="1" si="1150"/>
        <v>#N/A</v>
      </c>
      <c r="CB349" s="429" t="e">
        <f ca="1">INDEX(INDIRECT(VLOOKUP(LEFT(BO349,7),CLU!$Z$3:$AH$18,2)),GN349,GS349)</f>
        <v>#N/A</v>
      </c>
      <c r="CC349" s="342" t="e">
        <f ca="1">INDEX(INDIRECT(VLOOKUP(LEFT(BO349,7),CLU!$Z$3:$AH$18,3)),GN349,GS349)</f>
        <v>#N/A</v>
      </c>
      <c r="CD349" s="342" t="e">
        <f ca="1">INDEX(INDIRECT(VLOOKUP(LEFT(BO349,7),CLU!$Z$3:$AH$18,4)),GN349,GS349)</f>
        <v>#N/A</v>
      </c>
      <c r="CE349" s="426" t="e">
        <f t="shared" ca="1" si="1151"/>
        <v>#N/A</v>
      </c>
      <c r="CF349" s="440">
        <f t="shared" si="1152"/>
        <v>0</v>
      </c>
      <c r="CG349" s="431" t="e">
        <f ca="1">INDEX(INDIRECT(VLOOKUP(LEFT(BO349,7),CLU!$Z$3:$AH$18,2)),GQ349,GR349)</f>
        <v>#N/A</v>
      </c>
      <c r="CH349" s="431" t="e">
        <f ca="1">INDEX(INDIRECT(VLOOKUP(LEFT(BO349,7),CLU!$Z$3:$AH$18,3)),GQ349,GR349)</f>
        <v>#N/A</v>
      </c>
      <c r="CI349" s="431" t="e">
        <f ca="1">INDEX(INDIRECT(VLOOKUP(LEFT(BO349,7),CLU!$Z$3:$AH$18,4)),GQ349,GR349)</f>
        <v>#N/A</v>
      </c>
      <c r="CJ349" s="448" t="e">
        <f t="shared" ca="1" si="1153"/>
        <v>#N/A</v>
      </c>
      <c r="CK349" s="431" t="e">
        <f t="shared" ca="1" si="1154"/>
        <v>#N/A</v>
      </c>
      <c r="CL349" s="440" t="e">
        <f t="shared" ca="1" si="1155"/>
        <v>#N/A</v>
      </c>
      <c r="CM349" s="431" t="e">
        <f ca="1">INDEX(INDIRECT(VLOOKUP(LEFT(BO349,7),CLU!$Z$3:$AH$18,2)),GQ349,GS349)</f>
        <v>#N/A</v>
      </c>
      <c r="CN349" s="431" t="e">
        <f ca="1">INDEX(INDIRECT(VLOOKUP(LEFT(BO349,7),CLU!$Z$3:$AH$18,3)),GQ349,GS349)</f>
        <v>#N/A</v>
      </c>
      <c r="CO349" s="431" t="e">
        <f ca="1">INDEX(INDIRECT(VLOOKUP(LEFT(BO349,7),CLU!$Z$3:$AH$18,4)),GQ349,GS349)</f>
        <v>#N/A</v>
      </c>
      <c r="CP349" s="431" t="e">
        <f t="shared" ca="1" si="1156"/>
        <v>#N/A</v>
      </c>
      <c r="CQ349" s="440">
        <f t="shared" si="1157"/>
        <v>0</v>
      </c>
      <c r="CR349" s="51" t="e">
        <f t="shared" ca="1" si="1158"/>
        <v>#N/A</v>
      </c>
      <c r="CS349" s="439" t="e">
        <f t="shared" ca="1" si="1159"/>
        <v>#VALUE!</v>
      </c>
      <c r="CT349" s="51" t="e">
        <f t="shared" ca="1" si="1160"/>
        <v>#VALUE!</v>
      </c>
      <c r="CU349" s="10"/>
      <c r="CV349" s="51" t="e">
        <f t="shared" ca="1" si="1057"/>
        <v>#VALUE!</v>
      </c>
      <c r="CW349" s="51">
        <f t="shared" si="1161"/>
        <v>0</v>
      </c>
      <c r="CX349" s="439" t="e">
        <f t="shared" ca="1" si="1162"/>
        <v>#VALUE!</v>
      </c>
      <c r="CY349" s="51" t="e">
        <f t="shared" ca="1" si="1163"/>
        <v>#VALUE!</v>
      </c>
      <c r="CZ349" s="10"/>
      <c r="DA349" s="51" t="e">
        <f t="shared" ca="1" si="1164"/>
        <v>#VALUE!</v>
      </c>
      <c r="DB349" s="347" t="e">
        <f ca="1">INDEX(INDIRECT(VLOOKUP(LEFT(BO349,7),CLU!$Z$3:$AI$18,10)),((M349-2)*(6-COUNTBLANK(GT349:GY349)))+GJ349)*LI349</f>
        <v>#N/A</v>
      </c>
      <c r="DC349" s="347" t="str">
        <f>IF(L349&gt;0,((R349/Worksheet!$I$15)/DB349)^2," ")</f>
        <v xml:space="preserve"> </v>
      </c>
      <c r="DD349" s="602" t="str">
        <f t="shared" si="1165"/>
        <v xml:space="preserve"> </v>
      </c>
      <c r="DE349" s="347" t="str">
        <f t="shared" si="1058"/>
        <v xml:space="preserve"> </v>
      </c>
      <c r="DF349" s="356" t="e">
        <f ca="1">INDEX(INDIRECT(VLOOKUP(LEFT(BO349,7),CLU!$Z$3:$AH$18,8)),((M349-2)*(6-COUNTBLANK(GT349:GY349)))+GJ349)</f>
        <v>#N/A</v>
      </c>
      <c r="DG349" s="347" t="str">
        <f t="shared" si="1059"/>
        <v xml:space="preserve"> </v>
      </c>
      <c r="DH349" s="357" t="str">
        <f t="shared" si="1060"/>
        <v xml:space="preserve"> </v>
      </c>
      <c r="DI349" s="355" t="str">
        <f t="shared" si="1061"/>
        <v xml:space="preserve"> </v>
      </c>
      <c r="DJ349" s="245" t="e">
        <f ca="1">INDEX(INDIRECT(VLOOKUP(LEFT(BO349,7),CLU!$Z$3:$AH$18,5)),GL349,GK349)</f>
        <v>#N/A</v>
      </c>
      <c r="DK349" s="245" t="e">
        <f ca="1">INDEX(INDIRECT(VLOOKUP(LEFT(BO349,7),CLU!$Z$3:$AH$18,6)),GL349,GK349)</f>
        <v>#N/A</v>
      </c>
      <c r="DL349" s="355">
        <f>(Calculation!R349*0.69143*(Calculation!$BQ$8-Calculation!$F$8))*$S$14</f>
        <v>0</v>
      </c>
      <c r="DM349" s="359" t="e">
        <f t="shared" si="1166"/>
        <v>#VALUE!</v>
      </c>
      <c r="DN349" s="611">
        <f t="shared" si="1167"/>
        <v>0</v>
      </c>
      <c r="DO349" s="359">
        <f t="shared" si="1168"/>
        <v>100</v>
      </c>
      <c r="DP349" s="359">
        <f t="shared" si="1169"/>
        <v>0</v>
      </c>
      <c r="DQ349" s="360"/>
      <c r="DR349" s="245" t="e">
        <f ca="1">INDEX(INDIRECT(VLOOKUP(LEFT(BO349,7),CLU!$Z$3:$AH$18,7)),M349-1,1)</f>
        <v>#N/A</v>
      </c>
      <c r="DS349" s="245" t="e">
        <f ca="1">INDEX(INDIRECT(VLOOKUP(LEFT(BO349,7),CLU!$Z$3:$AH$18,7)),M349-1,2)</f>
        <v>#N/A</v>
      </c>
      <c r="DT349" s="245" t="e">
        <f ca="1">INDEX(INDIRECT(VLOOKUP(LEFT(BO349,7),CLU!$Z$3:$AH$18,7)),M349-1,3)</f>
        <v>#N/A</v>
      </c>
      <c r="DU349" s="245" t="e">
        <f ca="1">INDEX(INDIRECT(VLOOKUP(LEFT(BO349,7),CLU!$Z$3:$AH$18,7)),M349-1,4)</f>
        <v>#N/A</v>
      </c>
      <c r="DV349" s="361" t="e">
        <f ca="1">INDEX(INDIRECT(VLOOKUP(LEFT(BO349,7),CLU!$Z$3:$AH$18,7)),M349-1,4+LEFT(DZ349,1)*0.5)</f>
        <v>#N/A</v>
      </c>
      <c r="DW349" s="245" t="e">
        <f ca="1">INDEX(INDIRECT(VLOOKUP(LEFT(BO349,7),CLU!$Z$3:$AH$18,7)),M349-1,8)</f>
        <v>#N/A</v>
      </c>
      <c r="DX349" s="361" t="str">
        <f t="shared" si="1062"/>
        <v xml:space="preserve"> </v>
      </c>
      <c r="DY349" s="361" t="str">
        <f t="shared" si="1063"/>
        <v xml:space="preserve"> </v>
      </c>
      <c r="DZ349" s="361" t="str">
        <f t="shared" si="1064"/>
        <v xml:space="preserve"> </v>
      </c>
      <c r="EA349" s="362" t="str">
        <f t="shared" si="1065"/>
        <v xml:space="preserve"> </v>
      </c>
      <c r="EB349" s="624" t="str">
        <f t="shared" si="1170"/>
        <v xml:space="preserve"> </v>
      </c>
      <c r="EC349" s="361" t="e">
        <f ca="1">INDEX(INDIRECT(VLOOKUP(LEFT(BO349,7),CLU!$Z$3:$AH$18,7)),M349-1,4+LEFT(DZ349,1)*0.5)</f>
        <v>#N/A</v>
      </c>
      <c r="ED349" s="362" t="str">
        <f t="shared" si="1066"/>
        <v xml:space="preserve"> </v>
      </c>
      <c r="EE349" s="361" t="str">
        <f t="shared" si="1067"/>
        <v xml:space="preserve"> </v>
      </c>
      <c r="EF349" s="362" t="str">
        <f>IF(L349&gt;0,IF(BR349&gt;0,IF(EE349="2P",IF(Calculation!DZ349="2P",IF(Calculation!DS349=13.75,IF(Calculation!DR349=13,Worksheet!$BD$43,IF(Calculation!DR349=37,Worksheet!$BD$44,Worksheet!$BD$45)),IF(Calculation!DS349=10,IF(Calculation!DR349=18,Worksheet!$BD$29,IF(Calculation!DR349=30,Worksheet!$BD$30,IF(Calculation!DR349=42,Worksheet!$BD$31,IF(Calculation!DR349=54,Worksheet!$BD$32,IF(Calculation!DR349=66,Worksheet!$BD$33,IF(Calculation!DR349=78,Worksheet!$BD$34,IF(Calculation!DR349=90,Worksheet!$BD$35,IF(Calculation!DR349=102,Worksheet!$BD$36,Worksheet!$BD$37)))))))),IF(Calculation!DS349=12.5,IF(Calculation!DR349=18,Worksheet!$BD$38,IF(Calculation!DR349=Worksheet!$BD$39,IF(Calculation!DR349=42,Worksheet!$BD$40,IF(Calculation!DR349=54,Worksheet!$BD$41,Worksheet!$BD$42)))),IF(Calculation!DR349=18,Worksheet!$BD$11,IF(Calculation!DR349=30,Worksheet!$BD$12,IF(Calculation!DR349=42,Worksheet!$BD$13,IF(Calculation!DR349=54,Worksheet!$BD$14,IF(Calculation!DR349=66,Worksheet!$BD$15,IF(Calculation!DR349=78,Worksheet!$BD$16,IF(Calculation!DR349=90,Worksheet!$BD$17,IF(Calculation!DR349=102,Worksheet!$BD$18,Worksheet!$BD$19))))))))))),IF(Calculation!DS349=13.75,IF(Calculation!DR349=13,Worksheet!$BD$78,IF(Calculation!DR349=37,Worksheet!$BD$79,Worksheet!$BD$80)),IF(Calculation!DS349=10,IF(Calculation!DR349=18,Worksheet!$BD$64,IF(Calculation!DR349=30,Worksheet!$BD$65,IF(Calculation!DR349=42,Worksheet!$BD$66,IF(Calculation!DR349=54,Worksheet!$BD$68,IF(Calculation!DR349=66,Worksheet!$BD$68,IF(Calculation!DR349=78,Worksheet!$BD$69,IF(Calculation!DR349=90,Worksheet!$BD$70,IF(Calculation!DR349=102,Worksheet!$BD$71,Worksheet!$BD$72)))))))),IF(Calculation!DS349=12.5,IF(Calculation!DR349=18,Worksheet!$BD$73,IF(Calculation!DR349=Worksheet!$BD$74,IF(Calculation!DR349=42,Worksheet!$BD$75,IF(Calculation!DR349=54,Worksheet!$BD$76,Worksheet!$BD$77)))),IF(Calculation!DR349=18,Worksheet!$BD$55,IF(Calculation!DR349=30,Worksheet!$BD$56,IF(Calculation!DR349=42,Worksheet!$BD$57,IF(Calculation!DR349=54,Worksheet!$BD$58,IF(Calculation!DR349=66,Worksheet!$BD$59,IF(Calculation!DR349=78,Worksheet!$BD$60,IF(Calculation!DR349=90,Worksheet!$BD$61,IF(Calculation!DR349=102,Worksheet!$BD$62,Worksheet!$BD$63)))))))))))),5),0)," ")</f>
        <v xml:space="preserve"> </v>
      </c>
      <c r="EG349" s="361" t="str">
        <f t="shared" si="1068"/>
        <v xml:space="preserve"> </v>
      </c>
      <c r="EH349" s="361" t="e">
        <f ca="1">INDEX(INDIRECT(VLOOKUP(LEFT(BO349,7),CLU!$Z$3:$AH$18,7)),M349-1,3+LEFT(DZ349,1))</f>
        <v>#N/A</v>
      </c>
      <c r="EI349" s="362" t="str">
        <f t="shared" si="1069"/>
        <v xml:space="preserve"> </v>
      </c>
      <c r="EJ349" s="363" t="str">
        <f t="shared" si="1070"/>
        <v xml:space="preserve"> </v>
      </c>
      <c r="EK349" s="363" t="str">
        <f t="shared" si="1071"/>
        <v xml:space="preserve"> </v>
      </c>
      <c r="EL349" s="363" t="str">
        <f t="shared" si="1072"/>
        <v xml:space="preserve"> </v>
      </c>
      <c r="EM349" s="362" t="str">
        <f>IF(L349&gt;0,IF(BR349&gt;0,(Calculation!T349/ED349)^2,0)," ")</f>
        <v xml:space="preserve"> </v>
      </c>
      <c r="EN349" s="362" t="str">
        <f>IF(L349&gt;0,IF(O349="2 Pipe (Cooling)","N/A",IF(BR349&gt;0,(Calculation!U349/EI349)^2,0))," ")</f>
        <v xml:space="preserve"> </v>
      </c>
      <c r="EO349" s="361" t="str">
        <f t="shared" si="1073"/>
        <v/>
      </c>
      <c r="EP349" s="361" t="str">
        <f t="shared" si="1074"/>
        <v/>
      </c>
      <c r="EQ349" s="361" t="str">
        <f t="shared" si="1075"/>
        <v/>
      </c>
      <c r="ER349" s="361" t="str">
        <f t="shared" si="1076"/>
        <v/>
      </c>
      <c r="ES349" s="361" t="str">
        <f t="shared" si="1077"/>
        <v/>
      </c>
      <c r="ET349" s="361" t="str">
        <f t="shared" si="1078"/>
        <v/>
      </c>
      <c r="EU349" s="361" t="str">
        <f t="shared" si="1079"/>
        <v/>
      </c>
      <c r="EV349" s="361" t="str">
        <f t="shared" si="1080"/>
        <v/>
      </c>
      <c r="EW349" s="361" t="str">
        <f t="shared" si="1081"/>
        <v/>
      </c>
      <c r="EX349" s="361" t="str">
        <f t="shared" si="1171"/>
        <v>1 slot, 1 way</v>
      </c>
      <c r="EY349" s="361" t="str">
        <f t="shared" si="1172"/>
        <v xml:space="preserve"> </v>
      </c>
      <c r="EZ349" s="361" t="str">
        <f t="shared" si="1173"/>
        <v xml:space="preserve"> </v>
      </c>
      <c r="FA349" s="361" t="str">
        <f t="shared" si="1174"/>
        <v xml:space="preserve"> </v>
      </c>
      <c r="FB349" s="361" t="str">
        <f t="shared" si="1175"/>
        <v xml:space="preserve"> </v>
      </c>
      <c r="FC349" s="361"/>
      <c r="FD349" s="361" t="str">
        <f>IF(J349&gt;0,IF(Calculation!R349&lt;=70,4,IF(Calculation!R349&lt;=110,5,IF(Calculation!R349&lt;=160,6,IF(Calculation!R349&lt;=300,8,"10 EO")))),"")</f>
        <v/>
      </c>
      <c r="FE349" s="361" t="str">
        <f t="shared" si="1176"/>
        <v/>
      </c>
      <c r="FF349" s="361" t="str">
        <f t="shared" si="1177"/>
        <v/>
      </c>
      <c r="FG349" s="361" t="e">
        <f t="shared" si="1082"/>
        <v>#N/A</v>
      </c>
      <c r="FH349" s="361">
        <f t="shared" si="1083"/>
        <v>0</v>
      </c>
      <c r="FI349" s="361" t="e">
        <f t="shared" si="1084"/>
        <v>#DIV/0!</v>
      </c>
      <c r="FJ349" s="361"/>
      <c r="FK349" s="356" t="e">
        <f t="shared" si="1085"/>
        <v>#VALUE!</v>
      </c>
      <c r="FL349" s="361"/>
      <c r="FM349" s="361"/>
      <c r="FN349" s="362" t="str">
        <f t="shared" si="1178"/>
        <v xml:space="preserve"> </v>
      </c>
      <c r="FO349" s="362" t="str">
        <f t="shared" si="1179"/>
        <v xml:space="preserve"> </v>
      </c>
      <c r="FP349" s="362">
        <f t="shared" si="1180"/>
        <v>0</v>
      </c>
      <c r="FQ349" s="361">
        <f t="shared" si="1086"/>
        <v>0</v>
      </c>
      <c r="FR349" s="362" t="str">
        <f>IF(L349&gt;0,IF(J349="CBAL2",Worksheet!$P$67,IF(J349="CBE2-24",Worksheet!$Q$67,IF(J349="CBAM",Worksheet!$R$67,IF(J349="CBLV",Worksheet!$S$67,IF(J349="CBAB",Worksheet!$U$67,IF(J349="CBAW",Worksheet!$X$67,IF(J349="CBE2-12",Worksheet!$Y$67,IF(J349="CBAL2",Worksheet!$Z$67,"N/A"))))))))," ")</f>
        <v xml:space="preserve"> </v>
      </c>
      <c r="FS349" s="362" t="str">
        <f>IF(L349&gt;0,IF(J349="CBAL2",Worksheet!$P$68,IF(J349="CBE2-24",Worksheet!$Q$68,IF(J349="CBAM",Worksheet!$R$68,IF(J349="CBLV",Worksheet!$S$68,IF(J349="CBAB",Worksheet!$U$68,IF(J349="CBAW",Worksheet!$X$68,IF(J349="CBE2-12",Worksheet!$Y$68,IF(J349="CBAL2",Worksheet!$Z$68,"N/A"))))))))," ")</f>
        <v xml:space="preserve"> </v>
      </c>
      <c r="FT349" s="362" t="str">
        <f>IF(L349&gt;0,IF(J349="CBAL2",Worksheet!$P$69,IF(J349="CBE2-24",Worksheet!$Q$69,IF(J349="CBAM",Worksheet!$R$69,IF(J349="CBLV",Worksheet!$S$69,IF(J349="CBAB",Worksheet!$U$69,IF(J349="CBAW",Worksheet!$X$69,IF(J349="CBE2-12",Worksheet!$Y$69,IF(J349="CBAL2",Worksheet!$Z$69,"N/A"))))))))," ")</f>
        <v xml:space="preserve"> </v>
      </c>
      <c r="FU349" s="361" t="str">
        <f t="shared" si="1181"/>
        <v xml:space="preserve"> </v>
      </c>
      <c r="FV349" s="362" t="str">
        <f t="shared" si="1182"/>
        <v xml:space="preserve"> </v>
      </c>
      <c r="FW349" s="362" t="str">
        <f t="shared" si="1183"/>
        <v xml:space="preserve"> </v>
      </c>
      <c r="FX349" s="362" t="str">
        <f t="shared" si="1184"/>
        <v xml:space="preserve"> </v>
      </c>
      <c r="FY349" s="355" t="str">
        <f t="shared" si="1185"/>
        <v xml:space="preserve"> </v>
      </c>
      <c r="FZ349" s="361" t="str">
        <f t="shared" si="1186"/>
        <v xml:space="preserve"> </v>
      </c>
      <c r="GA349" s="347" t="str">
        <f t="shared" si="1187"/>
        <v xml:space="preserve"> </v>
      </c>
      <c r="GB349" s="355" t="str">
        <f t="shared" si="1188"/>
        <v xml:space="preserve"> </v>
      </c>
      <c r="GC349" s="328" t="str">
        <f t="shared" si="1189"/>
        <v xml:space="preserve"> </v>
      </c>
      <c r="GD349" s="361" t="str">
        <f t="shared" si="1190"/>
        <v xml:space="preserve"> </v>
      </c>
      <c r="GE349" s="347" t="str">
        <f t="shared" si="1191"/>
        <v xml:space="preserve"> </v>
      </c>
      <c r="GF349" s="361" t="str">
        <f t="shared" si="1192"/>
        <v xml:space="preserve"> </v>
      </c>
      <c r="GG349" s="347" t="str">
        <f t="shared" si="1193"/>
        <v xml:space="preserve"> </v>
      </c>
      <c r="GH349" s="364">
        <f t="shared" si="1087"/>
        <v>0</v>
      </c>
      <c r="GI349" s="362">
        <f t="shared" si="1194"/>
        <v>2</v>
      </c>
      <c r="GJ349" s="433" t="e">
        <f>IF(6-COUNTBLANK(GT349:GY349)=4,MATCH(MID(BO349,9,3),CLU!$H$16:$K$16),MATCH(MID(BO349,9,3),CLU!$H$13:$M$13))</f>
        <v>#N/A</v>
      </c>
      <c r="GK349" s="433" t="e">
        <f>HLOOKUP(VALUE(BP349),CLU!$H$9:$M$10,2)</f>
        <v>#VALUE!</v>
      </c>
      <c r="GL349" s="433" t="e">
        <f ca="1">MATCH(BU349,CLU!$H$2:$V$2,1)</f>
        <v>#VALUE!</v>
      </c>
      <c r="GM349" s="433" t="e">
        <f t="shared" ca="1" si="1195"/>
        <v>#VALUE!</v>
      </c>
      <c r="GN349" s="433" t="e">
        <f t="shared" ca="1" si="1196"/>
        <v>#VALUE!</v>
      </c>
      <c r="GO349" s="433" t="e">
        <f t="shared" ca="1" si="1197"/>
        <v>#VALUE!</v>
      </c>
      <c r="GP349" s="433" t="e">
        <f t="shared" ca="1" si="1198"/>
        <v>#VALUE!</v>
      </c>
      <c r="GQ349" s="433" t="e">
        <f t="shared" ca="1" si="1199"/>
        <v>#VALUE!</v>
      </c>
      <c r="GR349" s="433" t="e">
        <f ca="1">MATCH(T349,INDIRECT(VLOOKUP(CONCATENATE(LEFT(BO349,7),"-",MID(BO349,13,1)),CLU!$P$3:$Q$16,2)),1)</f>
        <v>#N/A</v>
      </c>
      <c r="GS349" s="433" t="e">
        <f ca="1">MATCH(U349,INDIRECT(VLOOKUP(CONCATENATE(LEFT(BO349,7),"-",MID(BO349,13,1)),CLU!$P$3:$Q$16,2)),1)</f>
        <v>#N/A</v>
      </c>
      <c r="GT349" s="347" t="s">
        <v>512</v>
      </c>
      <c r="GU349" s="97" t="s">
        <v>513</v>
      </c>
      <c r="GV349" s="97" t="str">
        <f t="shared" si="1200"/>
        <v>M23</v>
      </c>
      <c r="GW349" s="97" t="str">
        <f t="shared" si="1201"/>
        <v>M31</v>
      </c>
      <c r="GX349" s="97" t="str">
        <f t="shared" si="1202"/>
        <v/>
      </c>
      <c r="GY349" s="97" t="str">
        <f t="shared" si="1203"/>
        <v/>
      </c>
      <c r="GZ349" s="481"/>
      <c r="HA349" s="240"/>
      <c r="HB349" s="240"/>
      <c r="HC349" s="240"/>
      <c r="HD349" s="240"/>
      <c r="HE349" s="240"/>
      <c r="HF349" s="240"/>
      <c r="HG349" s="240"/>
      <c r="HH349" s="240"/>
      <c r="HI349" s="240"/>
      <c r="HJ349" s="240"/>
      <c r="HK349" s="240"/>
      <c r="HL349" s="240"/>
      <c r="HM349" s="240"/>
      <c r="HN349" s="240"/>
      <c r="HO349" s="240"/>
      <c r="HP349" s="240"/>
      <c r="HQ349" s="240"/>
      <c r="HR349" s="240"/>
      <c r="HS349" s="240"/>
      <c r="HT349" s="240"/>
      <c r="HU349" s="240"/>
      <c r="HV349" s="245"/>
      <c r="HW349" s="245" t="b">
        <v>1</v>
      </c>
      <c r="HX349" s="245" t="str">
        <f t="shared" si="1088"/>
        <v/>
      </c>
      <c r="HY349" s="245" t="e">
        <f t="shared" si="1089"/>
        <v>#DIV/0!</v>
      </c>
      <c r="HZ349" s="245" t="e">
        <f t="shared" si="1090"/>
        <v>#DIV/0!</v>
      </c>
      <c r="IA349" s="245">
        <f t="shared" si="1091"/>
        <v>0</v>
      </c>
      <c r="IB349" s="245"/>
      <c r="IC349" t="b">
        <f t="shared" si="1092"/>
        <v>1</v>
      </c>
      <c r="ID349" s="245" t="b">
        <f t="shared" si="1093"/>
        <v>1</v>
      </c>
      <c r="IE349" s="245" t="b">
        <f t="shared" si="1094"/>
        <v>1</v>
      </c>
      <c r="IF349" s="245" t="b">
        <f t="shared" si="1095"/>
        <v>0</v>
      </c>
      <c r="IG349" s="245" t="b">
        <f t="shared" si="1096"/>
        <v>1</v>
      </c>
      <c r="IH349" s="245" t="b">
        <f t="shared" si="1097"/>
        <v>1</v>
      </c>
      <c r="II349" s="245">
        <f t="shared" si="1204"/>
        <v>0</v>
      </c>
      <c r="IJ349" s="245" t="e">
        <f t="shared" si="1098"/>
        <v>#VALUE!</v>
      </c>
      <c r="IK349" s="245" t="e">
        <f t="shared" si="1099"/>
        <v>#VALUE!</v>
      </c>
      <c r="IL349" s="245"/>
      <c r="IM349" s="245" t="e">
        <f t="shared" si="1205"/>
        <v>#N/A</v>
      </c>
      <c r="IN349" s="245" t="e">
        <f t="shared" si="1206"/>
        <v>#N/A</v>
      </c>
      <c r="IO349" s="245"/>
      <c r="IP349" s="245"/>
      <c r="IQ349" s="245" t="str">
        <f t="shared" si="1100"/>
        <v/>
      </c>
      <c r="IR349" s="245" t="str">
        <f>IF(J349="","",VLOOKUP(J349,Worksheet!$R$4:$T$14,2))</f>
        <v/>
      </c>
      <c r="IS349" s="245"/>
      <c r="IT349" s="245">
        <f t="shared" si="1101"/>
        <v>0</v>
      </c>
      <c r="IU349" s="245">
        <f t="shared" si="1102"/>
        <v>0</v>
      </c>
      <c r="IV349" s="245">
        <f t="shared" si="1103"/>
        <v>0</v>
      </c>
      <c r="IW349" s="245">
        <f t="shared" si="1104"/>
        <v>0</v>
      </c>
      <c r="IX349" s="245">
        <f t="shared" si="1207"/>
        <v>0</v>
      </c>
      <c r="IY349" s="245">
        <f t="shared" si="1105"/>
        <v>0</v>
      </c>
      <c r="IZ349" s="245">
        <f t="shared" si="1106"/>
        <v>0</v>
      </c>
      <c r="JA349">
        <f t="shared" si="1107"/>
        <v>0</v>
      </c>
      <c r="JB349">
        <f t="shared" si="1208"/>
        <v>0</v>
      </c>
      <c r="JC349">
        <f t="shared" si="1108"/>
        <v>0</v>
      </c>
      <c r="JD349">
        <f t="shared" si="1109"/>
        <v>0</v>
      </c>
      <c r="JE349">
        <f t="shared" si="1110"/>
        <v>0</v>
      </c>
      <c r="JF349">
        <f t="shared" si="1111"/>
        <v>0</v>
      </c>
      <c r="JG349">
        <f t="shared" si="1112"/>
        <v>0</v>
      </c>
      <c r="JH349">
        <f t="shared" si="1113"/>
        <v>0</v>
      </c>
      <c r="JI349">
        <f t="shared" si="1114"/>
        <v>0</v>
      </c>
      <c r="JJ349" s="447">
        <f t="shared" si="1115"/>
        <v>0</v>
      </c>
      <c r="JK349" s="447">
        <f t="shared" si="1116"/>
        <v>0</v>
      </c>
      <c r="JL349">
        <f t="shared" si="1117"/>
        <v>0</v>
      </c>
      <c r="JM349" s="245" t="str">
        <f>IFERROR(VLOOKUP(MATCH(BN349,#REF!,0),#REF!,7),"")</f>
        <v/>
      </c>
      <c r="JN349" t="e">
        <f>HLOOKUP(LEFT(BO349,7),Discharge_Area,MATCH(JO349,LookUps!$B$130:$B$149,1)+2)</f>
        <v>#N/A</v>
      </c>
      <c r="JO349" t="str">
        <f t="shared" si="1118"/>
        <v>- S</v>
      </c>
      <c r="JP349" t="e">
        <f>HLOOKUP(LEFT(BO349,7),Discharge_Area,MATCH(JO349,LookUps!$B$130:$B$149,1)+2)</f>
        <v>#N/A</v>
      </c>
      <c r="JQ349" t="e">
        <f t="shared" si="1119"/>
        <v>#N/A</v>
      </c>
      <c r="JR349" t="e">
        <f t="shared" si="1120"/>
        <v>#N/A</v>
      </c>
      <c r="JS349" t="e">
        <f t="shared" si="1121"/>
        <v>#N/A</v>
      </c>
      <c r="JT349" s="532" t="str">
        <f t="shared" si="1122"/>
        <v xml:space="preserve"> </v>
      </c>
      <c r="JU349" s="532" t="str">
        <f t="shared" si="1123"/>
        <v xml:space="preserve"> </v>
      </c>
      <c r="JV349" s="533" t="str">
        <f t="shared" si="1124"/>
        <v xml:space="preserve"> </v>
      </c>
      <c r="JW349" s="534">
        <f t="shared" si="1125"/>
        <v>0</v>
      </c>
      <c r="JX349" s="535" t="str">
        <f t="shared" si="1209"/>
        <v xml:space="preserve"> </v>
      </c>
      <c r="JY349" s="535" t="str">
        <f t="shared" si="1210"/>
        <v xml:space="preserve"> </v>
      </c>
      <c r="JZ349" s="535" t="str">
        <f t="shared" si="1211"/>
        <v xml:space="preserve"> </v>
      </c>
      <c r="KA349" s="536" t="str">
        <f t="shared" si="1126"/>
        <v xml:space="preserve"> </v>
      </c>
      <c r="KB349" s="535" t="e">
        <f t="shared" si="1212"/>
        <v>#VALUE!</v>
      </c>
      <c r="KC349" s="535" t="str">
        <f t="shared" si="1127"/>
        <v/>
      </c>
      <c r="KD349" s="537" t="str">
        <f t="shared" si="1213"/>
        <v xml:space="preserve"> </v>
      </c>
      <c r="KE349" s="537" t="str">
        <f t="shared" si="1214"/>
        <v xml:space="preserve"> </v>
      </c>
      <c r="KF349" s="534">
        <f t="shared" si="1128"/>
        <v>0</v>
      </c>
      <c r="KG349" s="535" t="str">
        <f t="shared" si="1129"/>
        <v xml:space="preserve"> </v>
      </c>
      <c r="KH349" s="535" t="str">
        <f t="shared" si="1130"/>
        <v xml:space="preserve"> </v>
      </c>
      <c r="KI349" s="535" t="str">
        <f t="shared" si="1131"/>
        <v xml:space="preserve"> </v>
      </c>
      <c r="KJ349" s="536" t="str">
        <f t="shared" si="1132"/>
        <v xml:space="preserve"> </v>
      </c>
      <c r="KK349" s="535" t="str">
        <f t="shared" si="1215"/>
        <v xml:space="preserve"> </v>
      </c>
      <c r="KL349" s="535" t="str">
        <f t="shared" si="1216"/>
        <v xml:space="preserve"> </v>
      </c>
      <c r="KM349" s="537" t="str">
        <f t="shared" si="1133"/>
        <v xml:space="preserve"> </v>
      </c>
      <c r="KN349" s="537" t="str">
        <f t="shared" si="1217"/>
        <v xml:space="preserve"> </v>
      </c>
      <c r="KP349">
        <f t="shared" si="1134"/>
        <v>0</v>
      </c>
      <c r="LA349" t="e">
        <f t="shared" si="1135"/>
        <v>#VALUE!</v>
      </c>
      <c r="LB349" t="e">
        <f t="shared" si="1136"/>
        <v>#VALUE!</v>
      </c>
      <c r="LC349" t="e">
        <f t="shared" si="1137"/>
        <v>#VALUE!</v>
      </c>
      <c r="LD349" t="e">
        <f t="shared" si="1138"/>
        <v>#VALUE!</v>
      </c>
      <c r="LE349" t="e">
        <f t="shared" si="1218"/>
        <v>#VALUE!</v>
      </c>
      <c r="LF349">
        <f t="shared" si="1139"/>
        <v>0</v>
      </c>
      <c r="LG349" t="e">
        <f t="shared" si="1219"/>
        <v>#VALUE!</v>
      </c>
      <c r="LH349" t="str">
        <f t="shared" si="1140"/>
        <v xml:space="preserve"> </v>
      </c>
      <c r="LI349">
        <f t="shared" si="1220"/>
        <v>1</v>
      </c>
    </row>
    <row r="350" spans="2:321" ht="15" customHeight="1">
      <c r="B350" s="311"/>
      <c r="C350" s="311"/>
      <c r="D350" s="312"/>
      <c r="E350" s="311"/>
      <c r="F350" s="312"/>
      <c r="G350" s="311"/>
      <c r="H350" s="311"/>
      <c r="I350" s="232"/>
      <c r="J350" s="311"/>
      <c r="K350" s="305" t="str">
        <f t="shared" si="1141"/>
        <v/>
      </c>
      <c r="L350" s="313"/>
      <c r="M350" s="312"/>
      <c r="N350" s="311"/>
      <c r="O350" s="312"/>
      <c r="P350" s="311"/>
      <c r="Q350" s="305" t="str">
        <f t="shared" si="1142"/>
        <v/>
      </c>
      <c r="R350" s="314"/>
      <c r="S350" s="450" t="str">
        <f t="shared" si="1025"/>
        <v/>
      </c>
      <c r="T350" s="315"/>
      <c r="U350" s="315"/>
      <c r="W350" s="149" t="str">
        <f t="shared" si="1026"/>
        <v xml:space="preserve"> </v>
      </c>
      <c r="X350" s="243" t="str">
        <f t="shared" si="1027"/>
        <v xml:space="preserve"> </v>
      </c>
      <c r="Y350" s="150" t="str">
        <f t="shared" si="1028"/>
        <v/>
      </c>
      <c r="Z350" s="149" t="str">
        <f t="shared" si="1029"/>
        <v xml:space="preserve"> </v>
      </c>
      <c r="AA350" s="98" t="str">
        <f t="shared" si="1030"/>
        <v xml:space="preserve"> </v>
      </c>
      <c r="AB350" s="153" t="str">
        <f t="shared" si="1031"/>
        <v xml:space="preserve"> </v>
      </c>
      <c r="AC350" s="153" t="str">
        <f t="shared" si="1032"/>
        <v xml:space="preserve"> </v>
      </c>
      <c r="AD350" s="148" t="str">
        <f t="shared" si="1033"/>
        <v/>
      </c>
      <c r="AE350" s="149" t="str">
        <f t="shared" si="1034"/>
        <v/>
      </c>
      <c r="AF350" s="151" t="str">
        <f t="shared" si="1035"/>
        <v xml:space="preserve"> </v>
      </c>
      <c r="AG350" s="153" t="str">
        <f t="shared" si="1036"/>
        <v xml:space="preserve"> </v>
      </c>
      <c r="AH350" s="98" t="str">
        <f t="shared" si="1037"/>
        <v xml:space="preserve"> </v>
      </c>
      <c r="AI350" s="149" t="str">
        <f t="shared" si="1038"/>
        <v xml:space="preserve"> </v>
      </c>
      <c r="AK350" s="144" t="str">
        <f t="shared" si="1039"/>
        <v xml:space="preserve"> </v>
      </c>
      <c r="AL350" s="144"/>
      <c r="AM350" s="243" t="str">
        <f t="shared" si="1040"/>
        <v xml:space="preserve"> </v>
      </c>
      <c r="AN350" s="149" t="str">
        <f t="shared" si="1143"/>
        <v xml:space="preserve"> </v>
      </c>
      <c r="AO350" s="144" t="str">
        <f>IF(JB350&gt;0,IF(GI350=10,-R350*1.085*(Calculation!$F$6-Calculation!$F$13)*$S$14," "),"")</f>
        <v/>
      </c>
      <c r="AP350" s="144" t="str">
        <f t="shared" si="1041"/>
        <v/>
      </c>
      <c r="AQ350" s="56" t="str">
        <f t="shared" si="1042"/>
        <v/>
      </c>
      <c r="AR350" s="144" t="str">
        <f t="shared" si="1043"/>
        <v/>
      </c>
      <c r="AS350" s="176" t="str">
        <f t="shared" si="1044"/>
        <v/>
      </c>
      <c r="AT350" s="176" t="str">
        <f t="shared" si="1144"/>
        <v xml:space="preserve"> </v>
      </c>
      <c r="AU350" s="176" t="str">
        <f t="shared" si="1045"/>
        <v/>
      </c>
      <c r="AV350" s="177" t="str">
        <f t="shared" si="1046"/>
        <v xml:space="preserve"> </v>
      </c>
      <c r="AW350" s="144" t="str">
        <f t="shared" si="1047"/>
        <v xml:space="preserve"> </v>
      </c>
      <c r="AX350" s="144" t="str">
        <f t="shared" si="1048"/>
        <v xml:space="preserve"> </v>
      </c>
      <c r="AY350" s="152" t="str">
        <f t="shared" si="1049"/>
        <v xml:space="preserve"> </v>
      </c>
      <c r="AZ350" s="246" t="str">
        <f t="shared" si="1050"/>
        <v/>
      </c>
      <c r="BA350" s="176" t="str">
        <f t="shared" si="1051"/>
        <v xml:space="preserve"> </v>
      </c>
      <c r="BB350" s="176" t="str">
        <f t="shared" si="1052"/>
        <v xml:space="preserve"> </v>
      </c>
      <c r="BC350" s="195"/>
      <c r="BD350" s="316"/>
      <c r="BE350" s="317"/>
      <c r="BF350" s="318"/>
      <c r="BG350" s="318"/>
      <c r="BH350" s="144" t="str">
        <f t="shared" si="1221"/>
        <v xml:space="preserve"> </v>
      </c>
      <c r="BI350" s="176" t="str">
        <f t="shared" si="1053"/>
        <v/>
      </c>
      <c r="BJ350" s="144" t="str">
        <f t="shared" si="1222"/>
        <v/>
      </c>
      <c r="BK350" s="246" t="str">
        <f t="shared" si="1054"/>
        <v/>
      </c>
      <c r="BL350" s="144" t="str">
        <f t="shared" si="1223"/>
        <v/>
      </c>
      <c r="BM350" s="246" t="str">
        <f t="shared" si="1055"/>
        <v/>
      </c>
      <c r="BN350" s="337" t="str">
        <f t="shared" si="1145"/>
        <v/>
      </c>
      <c r="BO350" s="371" t="str">
        <f t="shared" si="1146"/>
        <v/>
      </c>
      <c r="BP350" s="328" t="str">
        <f t="shared" si="1224"/>
        <v xml:space="preserve"> </v>
      </c>
      <c r="BQ350" s="347" t="str">
        <f t="shared" si="1147"/>
        <v xml:space="preserve"> </v>
      </c>
      <c r="BR350" s="353" t="str">
        <f t="shared" si="1148"/>
        <v xml:space="preserve"> </v>
      </c>
      <c r="BS350" s="626" t="str">
        <f>IF(L350&gt;0,IF(Calculation!P350="M13",BR350*3.1416*(0.134^2)/(4*144),IF(Calculation!P350="M17",BR350*3.1416*(0.165^2)/(4*144),IF(Calculation!P350="M20",BR350*3.1416*(0.198^2)/(4*144),IF(Calculation!P350="M23",BR350*3.1416*(0.228^2)/(4*144),IF(Calculation!P350="M27",BR350*3.1416*(0.269^2)/(4*144),BR350*3.1416*(0.307^2)/(4*144))))))," ")</f>
        <v xml:space="preserve"> </v>
      </c>
      <c r="BT350" s="353" t="str">
        <f>IF(L350&gt;0,IF(BS350&gt;0,R350/Calculation!BS350,0)," ")</f>
        <v xml:space="preserve"> </v>
      </c>
      <c r="BU350" s="438" t="e">
        <f t="shared" ca="1" si="1056"/>
        <v>#VALUE!</v>
      </c>
      <c r="BV350" s="449" t="e">
        <f ca="1">INDEX(INDIRECT(VLOOKUP(LEFT(BO350,7),CLU!$Z$3:$AH$18,2)),GN350,GR350)</f>
        <v>#N/A</v>
      </c>
      <c r="BW350" s="433" t="e">
        <f ca="1">INDEX(INDIRECT(VLOOKUP(LEFT(BO350,7),CLU!$Z$3:$AH$18,3)),GN350,GR350)</f>
        <v>#N/A</v>
      </c>
      <c r="BX350" s="433" t="e">
        <f ca="1">INDEX(INDIRECT(VLOOKUP(LEFT(BO350,7),CLU!$Z$3:$AH$18,4)),GN350,GR350)</f>
        <v>#N/A</v>
      </c>
      <c r="BY350" s="433" t="e">
        <f ca="1">INDEX(INDIRECT(VLOOKUP(LEFT(BO350,7),CLU!$Z$3:$AH$18,9)),((M350-2)*(6-COUNTBLANK(GT350:GY350)))+GJ350)</f>
        <v>#N/A</v>
      </c>
      <c r="BZ350" s="426" t="e">
        <f t="shared" ca="1" si="1149"/>
        <v>#N/A</v>
      </c>
      <c r="CA350" s="424" t="e">
        <f t="shared" ca="1" si="1150"/>
        <v>#N/A</v>
      </c>
      <c r="CB350" s="429" t="e">
        <f ca="1">INDEX(INDIRECT(VLOOKUP(LEFT(BO350,7),CLU!$Z$3:$AH$18,2)),GN350,GS350)</f>
        <v>#N/A</v>
      </c>
      <c r="CC350" s="342" t="e">
        <f ca="1">INDEX(INDIRECT(VLOOKUP(LEFT(BO350,7),CLU!$Z$3:$AH$18,3)),GN350,GS350)</f>
        <v>#N/A</v>
      </c>
      <c r="CD350" s="342" t="e">
        <f ca="1">INDEX(INDIRECT(VLOOKUP(LEFT(BO350,7),CLU!$Z$3:$AH$18,4)),GN350,GS350)</f>
        <v>#N/A</v>
      </c>
      <c r="CE350" s="426" t="e">
        <f t="shared" ca="1" si="1151"/>
        <v>#N/A</v>
      </c>
      <c r="CF350" s="440">
        <f t="shared" si="1152"/>
        <v>0</v>
      </c>
      <c r="CG350" s="431" t="e">
        <f ca="1">INDEX(INDIRECT(VLOOKUP(LEFT(BO350,7),CLU!$Z$3:$AH$18,2)),GQ350,GR350)</f>
        <v>#N/A</v>
      </c>
      <c r="CH350" s="431" t="e">
        <f ca="1">INDEX(INDIRECT(VLOOKUP(LEFT(BO350,7),CLU!$Z$3:$AH$18,3)),GQ350,GR350)</f>
        <v>#N/A</v>
      </c>
      <c r="CI350" s="431" t="e">
        <f ca="1">INDEX(INDIRECT(VLOOKUP(LEFT(BO350,7),CLU!$Z$3:$AH$18,4)),GQ350,GR350)</f>
        <v>#N/A</v>
      </c>
      <c r="CJ350" s="448" t="e">
        <f t="shared" ca="1" si="1153"/>
        <v>#N/A</v>
      </c>
      <c r="CK350" s="431" t="e">
        <f t="shared" ca="1" si="1154"/>
        <v>#N/A</v>
      </c>
      <c r="CL350" s="440" t="e">
        <f t="shared" ca="1" si="1155"/>
        <v>#N/A</v>
      </c>
      <c r="CM350" s="431" t="e">
        <f ca="1">INDEX(INDIRECT(VLOOKUP(LEFT(BO350,7),CLU!$Z$3:$AH$18,2)),GQ350,GS350)</f>
        <v>#N/A</v>
      </c>
      <c r="CN350" s="431" t="e">
        <f ca="1">INDEX(INDIRECT(VLOOKUP(LEFT(BO350,7),CLU!$Z$3:$AH$18,3)),GQ350,GS350)</f>
        <v>#N/A</v>
      </c>
      <c r="CO350" s="431" t="e">
        <f ca="1">INDEX(INDIRECT(VLOOKUP(LEFT(BO350,7),CLU!$Z$3:$AH$18,4)),GQ350,GS350)</f>
        <v>#N/A</v>
      </c>
      <c r="CP350" s="431" t="e">
        <f t="shared" ca="1" si="1156"/>
        <v>#N/A</v>
      </c>
      <c r="CQ350" s="440">
        <f t="shared" si="1157"/>
        <v>0</v>
      </c>
      <c r="CR350" s="51" t="e">
        <f t="shared" ca="1" si="1158"/>
        <v>#N/A</v>
      </c>
      <c r="CS350" s="439" t="e">
        <f t="shared" ca="1" si="1159"/>
        <v>#VALUE!</v>
      </c>
      <c r="CT350" s="51" t="e">
        <f t="shared" ca="1" si="1160"/>
        <v>#VALUE!</v>
      </c>
      <c r="CU350" s="10"/>
      <c r="CV350" s="51" t="e">
        <f t="shared" ca="1" si="1057"/>
        <v>#VALUE!</v>
      </c>
      <c r="CW350" s="51">
        <f t="shared" si="1161"/>
        <v>0</v>
      </c>
      <c r="CX350" s="439" t="e">
        <f t="shared" ca="1" si="1162"/>
        <v>#VALUE!</v>
      </c>
      <c r="CY350" s="51" t="e">
        <f t="shared" ca="1" si="1163"/>
        <v>#VALUE!</v>
      </c>
      <c r="CZ350" s="10"/>
      <c r="DA350" s="51" t="e">
        <f t="shared" ca="1" si="1164"/>
        <v>#VALUE!</v>
      </c>
      <c r="DB350" s="347" t="e">
        <f ca="1">INDEX(INDIRECT(VLOOKUP(LEFT(BO350,7),CLU!$Z$3:$AI$18,10)),((M350-2)*(6-COUNTBLANK(GT350:GY350)))+GJ350)*LI350</f>
        <v>#N/A</v>
      </c>
      <c r="DC350" s="347" t="str">
        <f>IF(L350&gt;0,((R350/Worksheet!$I$15)/DB350)^2," ")</f>
        <v xml:space="preserve"> </v>
      </c>
      <c r="DD350" s="602" t="str">
        <f t="shared" si="1165"/>
        <v xml:space="preserve"> </v>
      </c>
      <c r="DE350" s="347" t="str">
        <f t="shared" si="1058"/>
        <v xml:space="preserve"> </v>
      </c>
      <c r="DF350" s="356" t="e">
        <f ca="1">INDEX(INDIRECT(VLOOKUP(LEFT(BO350,7),CLU!$Z$3:$AH$18,8)),((M350-2)*(6-COUNTBLANK(GT350:GY350)))+GJ350)</f>
        <v>#N/A</v>
      </c>
      <c r="DG350" s="347" t="str">
        <f t="shared" si="1059"/>
        <v xml:space="preserve"> </v>
      </c>
      <c r="DH350" s="357" t="str">
        <f t="shared" si="1060"/>
        <v xml:space="preserve"> </v>
      </c>
      <c r="DI350" s="355" t="str">
        <f t="shared" si="1061"/>
        <v xml:space="preserve"> </v>
      </c>
      <c r="DJ350" s="245" t="e">
        <f ca="1">INDEX(INDIRECT(VLOOKUP(LEFT(BO350,7),CLU!$Z$3:$AH$18,5)),GL350,GK350)</f>
        <v>#N/A</v>
      </c>
      <c r="DK350" s="245" t="e">
        <f ca="1">INDEX(INDIRECT(VLOOKUP(LEFT(BO350,7),CLU!$Z$3:$AH$18,6)),GL350,GK350)</f>
        <v>#N/A</v>
      </c>
      <c r="DL350" s="355">
        <f>(Calculation!R350*0.69143*(Calculation!$BQ$8-Calculation!$F$8))*$S$14</f>
        <v>0</v>
      </c>
      <c r="DM350" s="359" t="e">
        <f t="shared" si="1166"/>
        <v>#VALUE!</v>
      </c>
      <c r="DN350" s="611">
        <f t="shared" si="1167"/>
        <v>0</v>
      </c>
      <c r="DO350" s="359">
        <f t="shared" si="1168"/>
        <v>100</v>
      </c>
      <c r="DP350" s="359">
        <f t="shared" si="1169"/>
        <v>0</v>
      </c>
      <c r="DQ350" s="360"/>
      <c r="DR350" s="245" t="e">
        <f ca="1">INDEX(INDIRECT(VLOOKUP(LEFT(BO350,7),CLU!$Z$3:$AH$18,7)),M350-1,1)</f>
        <v>#N/A</v>
      </c>
      <c r="DS350" s="245" t="e">
        <f ca="1">INDEX(INDIRECT(VLOOKUP(LEFT(BO350,7),CLU!$Z$3:$AH$18,7)),M350-1,2)</f>
        <v>#N/A</v>
      </c>
      <c r="DT350" s="245" t="e">
        <f ca="1">INDEX(INDIRECT(VLOOKUP(LEFT(BO350,7),CLU!$Z$3:$AH$18,7)),M350-1,3)</f>
        <v>#N/A</v>
      </c>
      <c r="DU350" s="245" t="e">
        <f ca="1">INDEX(INDIRECT(VLOOKUP(LEFT(BO350,7),CLU!$Z$3:$AH$18,7)),M350-1,4)</f>
        <v>#N/A</v>
      </c>
      <c r="DV350" s="361" t="e">
        <f ca="1">INDEX(INDIRECT(VLOOKUP(LEFT(BO350,7),CLU!$Z$3:$AH$18,7)),M350-1,4+LEFT(DZ350,1)*0.5)</f>
        <v>#N/A</v>
      </c>
      <c r="DW350" s="245" t="e">
        <f ca="1">INDEX(INDIRECT(VLOOKUP(LEFT(BO350,7),CLU!$Z$3:$AH$18,7)),M350-1,8)</f>
        <v>#N/A</v>
      </c>
      <c r="DX350" s="361" t="str">
        <f t="shared" si="1062"/>
        <v xml:space="preserve"> </v>
      </c>
      <c r="DY350" s="361" t="str">
        <f t="shared" si="1063"/>
        <v xml:space="preserve"> </v>
      </c>
      <c r="DZ350" s="361" t="str">
        <f t="shared" si="1064"/>
        <v xml:space="preserve"> </v>
      </c>
      <c r="EA350" s="362" t="str">
        <f t="shared" si="1065"/>
        <v xml:space="preserve"> </v>
      </c>
      <c r="EB350" s="624" t="str">
        <f t="shared" si="1170"/>
        <v xml:space="preserve"> </v>
      </c>
      <c r="EC350" s="361" t="e">
        <f ca="1">INDEX(INDIRECT(VLOOKUP(LEFT(BO350,7),CLU!$Z$3:$AH$18,7)),M350-1,4+LEFT(DZ350,1)*0.5)</f>
        <v>#N/A</v>
      </c>
      <c r="ED350" s="362" t="str">
        <f t="shared" si="1066"/>
        <v xml:space="preserve"> </v>
      </c>
      <c r="EE350" s="361" t="str">
        <f t="shared" si="1067"/>
        <v xml:space="preserve"> </v>
      </c>
      <c r="EF350" s="362" t="str">
        <f>IF(L350&gt;0,IF(BR350&gt;0,IF(EE350="2P",IF(Calculation!DZ350="2P",IF(Calculation!DS350=13.75,IF(Calculation!DR350=13,Worksheet!$BD$43,IF(Calculation!DR350=37,Worksheet!$BD$44,Worksheet!$BD$45)),IF(Calculation!DS350=10,IF(Calculation!DR350=18,Worksheet!$BD$29,IF(Calculation!DR350=30,Worksheet!$BD$30,IF(Calculation!DR350=42,Worksheet!$BD$31,IF(Calculation!DR350=54,Worksheet!$BD$32,IF(Calculation!DR350=66,Worksheet!$BD$33,IF(Calculation!DR350=78,Worksheet!$BD$34,IF(Calculation!DR350=90,Worksheet!$BD$35,IF(Calculation!DR350=102,Worksheet!$BD$36,Worksheet!$BD$37)))))))),IF(Calculation!DS350=12.5,IF(Calculation!DR350=18,Worksheet!$BD$38,IF(Calculation!DR350=Worksheet!$BD$39,IF(Calculation!DR350=42,Worksheet!$BD$40,IF(Calculation!DR350=54,Worksheet!$BD$41,Worksheet!$BD$42)))),IF(Calculation!DR350=18,Worksheet!$BD$11,IF(Calculation!DR350=30,Worksheet!$BD$12,IF(Calculation!DR350=42,Worksheet!$BD$13,IF(Calculation!DR350=54,Worksheet!$BD$14,IF(Calculation!DR350=66,Worksheet!$BD$15,IF(Calculation!DR350=78,Worksheet!$BD$16,IF(Calculation!DR350=90,Worksheet!$BD$17,IF(Calculation!DR350=102,Worksheet!$BD$18,Worksheet!$BD$19))))))))))),IF(Calculation!DS350=13.75,IF(Calculation!DR350=13,Worksheet!$BD$78,IF(Calculation!DR350=37,Worksheet!$BD$79,Worksheet!$BD$80)),IF(Calculation!DS350=10,IF(Calculation!DR350=18,Worksheet!$BD$64,IF(Calculation!DR350=30,Worksheet!$BD$65,IF(Calculation!DR350=42,Worksheet!$BD$66,IF(Calculation!DR350=54,Worksheet!$BD$68,IF(Calculation!DR350=66,Worksheet!$BD$68,IF(Calculation!DR350=78,Worksheet!$BD$69,IF(Calculation!DR350=90,Worksheet!$BD$70,IF(Calculation!DR350=102,Worksheet!$BD$71,Worksheet!$BD$72)))))))),IF(Calculation!DS350=12.5,IF(Calculation!DR350=18,Worksheet!$BD$73,IF(Calculation!DR350=Worksheet!$BD$74,IF(Calculation!DR350=42,Worksheet!$BD$75,IF(Calculation!DR350=54,Worksheet!$BD$76,Worksheet!$BD$77)))),IF(Calculation!DR350=18,Worksheet!$BD$55,IF(Calculation!DR350=30,Worksheet!$BD$56,IF(Calculation!DR350=42,Worksheet!$BD$57,IF(Calculation!DR350=54,Worksheet!$BD$58,IF(Calculation!DR350=66,Worksheet!$BD$59,IF(Calculation!DR350=78,Worksheet!$BD$60,IF(Calculation!DR350=90,Worksheet!$BD$61,IF(Calculation!DR350=102,Worksheet!$BD$62,Worksheet!$BD$63)))))))))))),5),0)," ")</f>
        <v xml:space="preserve"> </v>
      </c>
      <c r="EG350" s="361" t="str">
        <f t="shared" si="1068"/>
        <v xml:space="preserve"> </v>
      </c>
      <c r="EH350" s="361" t="e">
        <f ca="1">INDEX(INDIRECT(VLOOKUP(LEFT(BO350,7),CLU!$Z$3:$AH$18,7)),M350-1,3+LEFT(DZ350,1))</f>
        <v>#N/A</v>
      </c>
      <c r="EI350" s="362" t="str">
        <f t="shared" si="1069"/>
        <v xml:space="preserve"> </v>
      </c>
      <c r="EJ350" s="363" t="str">
        <f t="shared" si="1070"/>
        <v xml:space="preserve"> </v>
      </c>
      <c r="EK350" s="363" t="str">
        <f t="shared" si="1071"/>
        <v xml:space="preserve"> </v>
      </c>
      <c r="EL350" s="363" t="str">
        <f t="shared" si="1072"/>
        <v xml:space="preserve"> </v>
      </c>
      <c r="EM350" s="362" t="str">
        <f>IF(L350&gt;0,IF(BR350&gt;0,(Calculation!T350/ED350)^2,0)," ")</f>
        <v xml:space="preserve"> </v>
      </c>
      <c r="EN350" s="362" t="str">
        <f>IF(L350&gt;0,IF(O350="2 Pipe (Cooling)","N/A",IF(BR350&gt;0,(Calculation!U350/EI350)^2,0))," ")</f>
        <v xml:space="preserve"> </v>
      </c>
      <c r="EO350" s="361" t="str">
        <f t="shared" si="1073"/>
        <v/>
      </c>
      <c r="EP350" s="361" t="str">
        <f t="shared" si="1074"/>
        <v/>
      </c>
      <c r="EQ350" s="361" t="str">
        <f t="shared" si="1075"/>
        <v/>
      </c>
      <c r="ER350" s="361" t="str">
        <f t="shared" si="1076"/>
        <v/>
      </c>
      <c r="ES350" s="361" t="str">
        <f t="shared" si="1077"/>
        <v/>
      </c>
      <c r="ET350" s="361" t="str">
        <f t="shared" si="1078"/>
        <v/>
      </c>
      <c r="EU350" s="361" t="str">
        <f t="shared" si="1079"/>
        <v/>
      </c>
      <c r="EV350" s="361" t="str">
        <f t="shared" si="1080"/>
        <v/>
      </c>
      <c r="EW350" s="361" t="str">
        <f t="shared" si="1081"/>
        <v/>
      </c>
      <c r="EX350" s="361" t="str">
        <f t="shared" si="1171"/>
        <v>1 slot, 1 way</v>
      </c>
      <c r="EY350" s="361" t="str">
        <f t="shared" si="1172"/>
        <v xml:space="preserve"> </v>
      </c>
      <c r="EZ350" s="361" t="str">
        <f t="shared" si="1173"/>
        <v xml:space="preserve"> </v>
      </c>
      <c r="FA350" s="361" t="str">
        <f t="shared" si="1174"/>
        <v xml:space="preserve"> </v>
      </c>
      <c r="FB350" s="361" t="str">
        <f t="shared" si="1175"/>
        <v xml:space="preserve"> </v>
      </c>
      <c r="FC350" s="361"/>
      <c r="FD350" s="361" t="str">
        <f>IF(J350&gt;0,IF(Calculation!R350&lt;=70,4,IF(Calculation!R350&lt;=110,5,IF(Calculation!R350&lt;=160,6,IF(Calculation!R350&lt;=300,8,"10 EO")))),"")</f>
        <v/>
      </c>
      <c r="FE350" s="361" t="str">
        <f t="shared" si="1176"/>
        <v/>
      </c>
      <c r="FF350" s="361" t="str">
        <f t="shared" si="1177"/>
        <v/>
      </c>
      <c r="FG350" s="361" t="e">
        <f t="shared" si="1082"/>
        <v>#N/A</v>
      </c>
      <c r="FH350" s="361">
        <f t="shared" si="1083"/>
        <v>0</v>
      </c>
      <c r="FI350" s="361" t="e">
        <f t="shared" si="1084"/>
        <v>#DIV/0!</v>
      </c>
      <c r="FJ350" s="361"/>
      <c r="FK350" s="356" t="e">
        <f t="shared" si="1085"/>
        <v>#VALUE!</v>
      </c>
      <c r="FL350" s="361"/>
      <c r="FM350" s="361"/>
      <c r="FN350" s="362" t="str">
        <f t="shared" si="1178"/>
        <v xml:space="preserve"> </v>
      </c>
      <c r="FO350" s="362" t="str">
        <f t="shared" si="1179"/>
        <v xml:space="preserve"> </v>
      </c>
      <c r="FP350" s="362">
        <f t="shared" si="1180"/>
        <v>0</v>
      </c>
      <c r="FQ350" s="361">
        <f t="shared" si="1086"/>
        <v>0</v>
      </c>
      <c r="FR350" s="362" t="str">
        <f>IF(L350&gt;0,IF(J350="CBAL2",Worksheet!$P$67,IF(J350="CBE2-24",Worksheet!$Q$67,IF(J350="CBAM",Worksheet!$R$67,IF(J350="CBLV",Worksheet!$S$67,IF(J350="CBAB",Worksheet!$U$67,IF(J350="CBAW",Worksheet!$X$67,IF(J350="CBE2-12",Worksheet!$Y$67,IF(J350="CBAL2",Worksheet!$Z$67,"N/A"))))))))," ")</f>
        <v xml:space="preserve"> </v>
      </c>
      <c r="FS350" s="362" t="str">
        <f>IF(L350&gt;0,IF(J350="CBAL2",Worksheet!$P$68,IF(J350="CBE2-24",Worksheet!$Q$68,IF(J350="CBAM",Worksheet!$R$68,IF(J350="CBLV",Worksheet!$S$68,IF(J350="CBAB",Worksheet!$U$68,IF(J350="CBAW",Worksheet!$X$68,IF(J350="CBE2-12",Worksheet!$Y$68,IF(J350="CBAL2",Worksheet!$Z$68,"N/A"))))))))," ")</f>
        <v xml:space="preserve"> </v>
      </c>
      <c r="FT350" s="362" t="str">
        <f>IF(L350&gt;0,IF(J350="CBAL2",Worksheet!$P$69,IF(J350="CBE2-24",Worksheet!$Q$69,IF(J350="CBAM",Worksheet!$R$69,IF(J350="CBLV",Worksheet!$S$69,IF(J350="CBAB",Worksheet!$U$69,IF(J350="CBAW",Worksheet!$X$69,IF(J350="CBE2-12",Worksheet!$Y$69,IF(J350="CBAL2",Worksheet!$Z$69,"N/A"))))))))," ")</f>
        <v xml:space="preserve"> </v>
      </c>
      <c r="FU350" s="361" t="str">
        <f t="shared" si="1181"/>
        <v xml:space="preserve"> </v>
      </c>
      <c r="FV350" s="362" t="str">
        <f t="shared" si="1182"/>
        <v xml:space="preserve"> </v>
      </c>
      <c r="FW350" s="362" t="str">
        <f t="shared" si="1183"/>
        <v xml:space="preserve"> </v>
      </c>
      <c r="FX350" s="362" t="str">
        <f t="shared" si="1184"/>
        <v xml:space="preserve"> </v>
      </c>
      <c r="FY350" s="355" t="str">
        <f t="shared" si="1185"/>
        <v xml:space="preserve"> </v>
      </c>
      <c r="FZ350" s="361" t="str">
        <f t="shared" si="1186"/>
        <v xml:space="preserve"> </v>
      </c>
      <c r="GA350" s="347" t="str">
        <f t="shared" si="1187"/>
        <v xml:space="preserve"> </v>
      </c>
      <c r="GB350" s="355" t="str">
        <f t="shared" si="1188"/>
        <v xml:space="preserve"> </v>
      </c>
      <c r="GC350" s="328" t="str">
        <f t="shared" si="1189"/>
        <v xml:space="preserve"> </v>
      </c>
      <c r="GD350" s="361" t="str">
        <f t="shared" si="1190"/>
        <v xml:space="preserve"> </v>
      </c>
      <c r="GE350" s="347" t="str">
        <f t="shared" si="1191"/>
        <v xml:space="preserve"> </v>
      </c>
      <c r="GF350" s="361" t="str">
        <f t="shared" si="1192"/>
        <v xml:space="preserve"> </v>
      </c>
      <c r="GG350" s="347" t="str">
        <f t="shared" si="1193"/>
        <v xml:space="preserve"> </v>
      </c>
      <c r="GH350" s="364">
        <f t="shared" si="1087"/>
        <v>0</v>
      </c>
      <c r="GI350" s="362">
        <f t="shared" si="1194"/>
        <v>2</v>
      </c>
      <c r="GJ350" s="433" t="e">
        <f>IF(6-COUNTBLANK(GT350:GY350)=4,MATCH(MID(BO350,9,3),CLU!$H$16:$K$16),MATCH(MID(BO350,9,3),CLU!$H$13:$M$13))</f>
        <v>#N/A</v>
      </c>
      <c r="GK350" s="433" t="e">
        <f>HLOOKUP(VALUE(BP350),CLU!$H$9:$M$10,2)</f>
        <v>#VALUE!</v>
      </c>
      <c r="GL350" s="433" t="e">
        <f ca="1">MATCH(BU350,CLU!$H$2:$V$2,1)</f>
        <v>#VALUE!</v>
      </c>
      <c r="GM350" s="433" t="e">
        <f t="shared" ca="1" si="1195"/>
        <v>#VALUE!</v>
      </c>
      <c r="GN350" s="433" t="e">
        <f t="shared" ca="1" si="1196"/>
        <v>#VALUE!</v>
      </c>
      <c r="GO350" s="433" t="e">
        <f t="shared" ca="1" si="1197"/>
        <v>#VALUE!</v>
      </c>
      <c r="GP350" s="433" t="e">
        <f t="shared" ca="1" si="1198"/>
        <v>#VALUE!</v>
      </c>
      <c r="GQ350" s="433" t="e">
        <f t="shared" ca="1" si="1199"/>
        <v>#VALUE!</v>
      </c>
      <c r="GR350" s="433" t="e">
        <f ca="1">MATCH(T350,INDIRECT(VLOOKUP(CONCATENATE(LEFT(BO350,7),"-",MID(BO350,13,1)),CLU!$P$3:$Q$16,2)),1)</f>
        <v>#N/A</v>
      </c>
      <c r="GS350" s="433" t="e">
        <f ca="1">MATCH(U350,INDIRECT(VLOOKUP(CONCATENATE(LEFT(BO350,7),"-",MID(BO350,13,1)),CLU!$P$3:$Q$16,2)),1)</f>
        <v>#N/A</v>
      </c>
      <c r="GT350" s="347" t="s">
        <v>512</v>
      </c>
      <c r="GU350" s="97" t="s">
        <v>513</v>
      </c>
      <c r="GV350" s="97" t="str">
        <f t="shared" si="1200"/>
        <v>M23</v>
      </c>
      <c r="GW350" s="97" t="str">
        <f t="shared" si="1201"/>
        <v>M31</v>
      </c>
      <c r="GX350" s="97" t="str">
        <f t="shared" si="1202"/>
        <v/>
      </c>
      <c r="GY350" s="97" t="str">
        <f t="shared" si="1203"/>
        <v/>
      </c>
      <c r="GZ350" s="481"/>
      <c r="HA350" s="240"/>
      <c r="HB350" s="240"/>
      <c r="HC350" s="240"/>
      <c r="HD350" s="240"/>
      <c r="HE350" s="240"/>
      <c r="HF350" s="240"/>
      <c r="HG350" s="240"/>
      <c r="HH350" s="240"/>
      <c r="HI350" s="240"/>
      <c r="HJ350" s="240"/>
      <c r="HK350" s="240"/>
      <c r="HL350" s="240"/>
      <c r="HM350" s="240"/>
      <c r="HN350" s="240"/>
      <c r="HO350" s="240"/>
      <c r="HP350" s="240"/>
      <c r="HQ350" s="240"/>
      <c r="HR350" s="240"/>
      <c r="HS350" s="240"/>
      <c r="HT350" s="240"/>
      <c r="HU350" s="240"/>
      <c r="HV350" s="245"/>
      <c r="HW350" s="245" t="b">
        <v>1</v>
      </c>
      <c r="HX350" s="245" t="str">
        <f t="shared" si="1088"/>
        <v/>
      </c>
      <c r="HY350" s="245" t="e">
        <f t="shared" si="1089"/>
        <v>#DIV/0!</v>
      </c>
      <c r="HZ350" s="245" t="e">
        <f t="shared" si="1090"/>
        <v>#DIV/0!</v>
      </c>
      <c r="IA350" s="245">
        <f t="shared" si="1091"/>
        <v>0</v>
      </c>
      <c r="IB350" s="245"/>
      <c r="IC350" t="b">
        <f t="shared" si="1092"/>
        <v>1</v>
      </c>
      <c r="ID350" s="245" t="b">
        <f t="shared" si="1093"/>
        <v>1</v>
      </c>
      <c r="IE350" s="245" t="b">
        <f t="shared" si="1094"/>
        <v>1</v>
      </c>
      <c r="IF350" s="245" t="b">
        <f t="shared" si="1095"/>
        <v>0</v>
      </c>
      <c r="IG350" s="245" t="b">
        <f t="shared" si="1096"/>
        <v>1</v>
      </c>
      <c r="IH350" s="245" t="b">
        <f t="shared" si="1097"/>
        <v>1</v>
      </c>
      <c r="II350" s="245">
        <f t="shared" si="1204"/>
        <v>0</v>
      </c>
      <c r="IJ350" s="245" t="e">
        <f t="shared" si="1098"/>
        <v>#VALUE!</v>
      </c>
      <c r="IK350" s="245" t="e">
        <f t="shared" si="1099"/>
        <v>#VALUE!</v>
      </c>
      <c r="IL350" s="245"/>
      <c r="IM350" s="245" t="e">
        <f t="shared" si="1205"/>
        <v>#N/A</v>
      </c>
      <c r="IN350" s="245" t="e">
        <f t="shared" si="1206"/>
        <v>#N/A</v>
      </c>
      <c r="IO350" s="245"/>
      <c r="IP350" s="245"/>
      <c r="IQ350" s="245" t="str">
        <f t="shared" si="1100"/>
        <v/>
      </c>
      <c r="IR350" s="245" t="str">
        <f>IF(J350="","",VLOOKUP(J350,Worksheet!$R$4:$T$14,2))</f>
        <v/>
      </c>
      <c r="IS350" s="245"/>
      <c r="IT350" s="245">
        <f t="shared" si="1101"/>
        <v>0</v>
      </c>
      <c r="IU350" s="245">
        <f t="shared" si="1102"/>
        <v>0</v>
      </c>
      <c r="IV350" s="245">
        <f t="shared" si="1103"/>
        <v>0</v>
      </c>
      <c r="IW350" s="245">
        <f t="shared" si="1104"/>
        <v>0</v>
      </c>
      <c r="IX350" s="245">
        <f t="shared" si="1207"/>
        <v>0</v>
      </c>
      <c r="IY350" s="245">
        <f t="shared" si="1105"/>
        <v>0</v>
      </c>
      <c r="IZ350" s="245">
        <f t="shared" si="1106"/>
        <v>0</v>
      </c>
      <c r="JA350">
        <f t="shared" si="1107"/>
        <v>0</v>
      </c>
      <c r="JB350">
        <f t="shared" si="1208"/>
        <v>0</v>
      </c>
      <c r="JC350">
        <f t="shared" si="1108"/>
        <v>0</v>
      </c>
      <c r="JD350">
        <f t="shared" si="1109"/>
        <v>0</v>
      </c>
      <c r="JE350">
        <f t="shared" si="1110"/>
        <v>0</v>
      </c>
      <c r="JF350">
        <f t="shared" si="1111"/>
        <v>0</v>
      </c>
      <c r="JG350">
        <f t="shared" si="1112"/>
        <v>0</v>
      </c>
      <c r="JH350">
        <f t="shared" si="1113"/>
        <v>0</v>
      </c>
      <c r="JI350">
        <f t="shared" si="1114"/>
        <v>0</v>
      </c>
      <c r="JJ350" s="447">
        <f t="shared" si="1115"/>
        <v>0</v>
      </c>
      <c r="JK350" s="447">
        <f t="shared" si="1116"/>
        <v>0</v>
      </c>
      <c r="JL350">
        <f t="shared" si="1117"/>
        <v>0</v>
      </c>
      <c r="JM350" s="245" t="str">
        <f>IFERROR(VLOOKUP(MATCH(BN350,#REF!,0),#REF!,7),"")</f>
        <v/>
      </c>
      <c r="JN350" t="e">
        <f>HLOOKUP(LEFT(BO350,7),Discharge_Area,MATCH(JO350,LookUps!$B$130:$B$149,1)+2)</f>
        <v>#N/A</v>
      </c>
      <c r="JO350" t="str">
        <f t="shared" si="1118"/>
        <v>- S</v>
      </c>
      <c r="JP350" t="e">
        <f>HLOOKUP(LEFT(BO350,7),Discharge_Area,MATCH(JO350,LookUps!$B$130:$B$149,1)+2)</f>
        <v>#N/A</v>
      </c>
      <c r="JQ350" t="e">
        <f t="shared" si="1119"/>
        <v>#N/A</v>
      </c>
      <c r="JR350" t="e">
        <f t="shared" si="1120"/>
        <v>#N/A</v>
      </c>
      <c r="JS350" t="e">
        <f t="shared" si="1121"/>
        <v>#N/A</v>
      </c>
      <c r="JT350" s="532" t="str">
        <f t="shared" si="1122"/>
        <v xml:space="preserve"> </v>
      </c>
      <c r="JU350" s="532" t="str">
        <f t="shared" si="1123"/>
        <v xml:space="preserve"> </v>
      </c>
      <c r="JV350" s="533" t="str">
        <f t="shared" si="1124"/>
        <v xml:space="preserve"> </v>
      </c>
      <c r="JW350" s="534">
        <f t="shared" si="1125"/>
        <v>0</v>
      </c>
      <c r="JX350" s="535" t="str">
        <f t="shared" si="1209"/>
        <v xml:space="preserve"> </v>
      </c>
      <c r="JY350" s="535" t="str">
        <f t="shared" si="1210"/>
        <v xml:space="preserve"> </v>
      </c>
      <c r="JZ350" s="535" t="str">
        <f t="shared" si="1211"/>
        <v xml:space="preserve"> </v>
      </c>
      <c r="KA350" s="536" t="str">
        <f t="shared" si="1126"/>
        <v xml:space="preserve"> </v>
      </c>
      <c r="KB350" s="535" t="e">
        <f t="shared" si="1212"/>
        <v>#VALUE!</v>
      </c>
      <c r="KC350" s="535" t="str">
        <f t="shared" si="1127"/>
        <v/>
      </c>
      <c r="KD350" s="537" t="str">
        <f t="shared" si="1213"/>
        <v xml:space="preserve"> </v>
      </c>
      <c r="KE350" s="537" t="str">
        <f t="shared" si="1214"/>
        <v xml:space="preserve"> </v>
      </c>
      <c r="KF350" s="534">
        <f t="shared" si="1128"/>
        <v>0</v>
      </c>
      <c r="KG350" s="535" t="str">
        <f t="shared" si="1129"/>
        <v xml:space="preserve"> </v>
      </c>
      <c r="KH350" s="535" t="str">
        <f t="shared" si="1130"/>
        <v xml:space="preserve"> </v>
      </c>
      <c r="KI350" s="535" t="str">
        <f t="shared" si="1131"/>
        <v xml:space="preserve"> </v>
      </c>
      <c r="KJ350" s="536" t="str">
        <f t="shared" si="1132"/>
        <v xml:space="preserve"> </v>
      </c>
      <c r="KK350" s="535" t="str">
        <f t="shared" si="1215"/>
        <v xml:space="preserve"> </v>
      </c>
      <c r="KL350" s="535" t="str">
        <f t="shared" si="1216"/>
        <v xml:space="preserve"> </v>
      </c>
      <c r="KM350" s="537" t="str">
        <f t="shared" si="1133"/>
        <v xml:space="preserve"> </v>
      </c>
      <c r="KN350" s="537" t="str">
        <f t="shared" si="1217"/>
        <v xml:space="preserve"> </v>
      </c>
      <c r="KP350">
        <f t="shared" si="1134"/>
        <v>0</v>
      </c>
      <c r="LA350" t="e">
        <f t="shared" si="1135"/>
        <v>#VALUE!</v>
      </c>
      <c r="LB350" t="e">
        <f t="shared" si="1136"/>
        <v>#VALUE!</v>
      </c>
      <c r="LC350" t="e">
        <f t="shared" si="1137"/>
        <v>#VALUE!</v>
      </c>
      <c r="LD350" t="e">
        <f t="shared" si="1138"/>
        <v>#VALUE!</v>
      </c>
      <c r="LE350" t="e">
        <f t="shared" si="1218"/>
        <v>#VALUE!</v>
      </c>
      <c r="LF350">
        <f t="shared" si="1139"/>
        <v>0</v>
      </c>
      <c r="LG350" t="e">
        <f t="shared" si="1219"/>
        <v>#VALUE!</v>
      </c>
      <c r="LH350" t="str">
        <f t="shared" si="1140"/>
        <v xml:space="preserve"> </v>
      </c>
      <c r="LI350">
        <f t="shared" si="1220"/>
        <v>1</v>
      </c>
    </row>
    <row r="351" spans="2:321" ht="15" customHeight="1">
      <c r="B351" s="311"/>
      <c r="C351" s="311"/>
      <c r="D351" s="312"/>
      <c r="E351" s="311"/>
      <c r="F351" s="312"/>
      <c r="G351" s="311"/>
      <c r="H351" s="311"/>
      <c r="I351" s="232"/>
      <c r="J351" s="311"/>
      <c r="K351" s="305" t="str">
        <f t="shared" si="1141"/>
        <v/>
      </c>
      <c r="L351" s="313"/>
      <c r="M351" s="312"/>
      <c r="N351" s="311"/>
      <c r="O351" s="312"/>
      <c r="P351" s="311"/>
      <c r="Q351" s="305" t="str">
        <f t="shared" si="1142"/>
        <v/>
      </c>
      <c r="R351" s="314"/>
      <c r="S351" s="450" t="str">
        <f t="shared" si="1025"/>
        <v/>
      </c>
      <c r="T351" s="315"/>
      <c r="U351" s="315"/>
      <c r="W351" s="149" t="str">
        <f t="shared" si="1026"/>
        <v xml:space="preserve"> </v>
      </c>
      <c r="X351" s="243" t="str">
        <f t="shared" si="1027"/>
        <v xml:space="preserve"> </v>
      </c>
      <c r="Y351" s="150" t="str">
        <f t="shared" si="1028"/>
        <v/>
      </c>
      <c r="Z351" s="149" t="str">
        <f t="shared" si="1029"/>
        <v xml:space="preserve"> </v>
      </c>
      <c r="AA351" s="98" t="str">
        <f t="shared" si="1030"/>
        <v xml:space="preserve"> </v>
      </c>
      <c r="AB351" s="153" t="str">
        <f t="shared" si="1031"/>
        <v xml:space="preserve"> </v>
      </c>
      <c r="AC351" s="153" t="str">
        <f t="shared" si="1032"/>
        <v xml:space="preserve"> </v>
      </c>
      <c r="AD351" s="148" t="str">
        <f t="shared" si="1033"/>
        <v/>
      </c>
      <c r="AE351" s="149" t="str">
        <f t="shared" si="1034"/>
        <v/>
      </c>
      <c r="AF351" s="151" t="str">
        <f t="shared" si="1035"/>
        <v xml:space="preserve"> </v>
      </c>
      <c r="AG351" s="153" t="str">
        <f t="shared" si="1036"/>
        <v xml:space="preserve"> </v>
      </c>
      <c r="AH351" s="98" t="str">
        <f t="shared" si="1037"/>
        <v xml:space="preserve"> </v>
      </c>
      <c r="AI351" s="149" t="str">
        <f t="shared" si="1038"/>
        <v xml:space="preserve"> </v>
      </c>
      <c r="AK351" s="144" t="str">
        <f t="shared" si="1039"/>
        <v xml:space="preserve"> </v>
      </c>
      <c r="AL351" s="144"/>
      <c r="AM351" s="243" t="str">
        <f t="shared" si="1040"/>
        <v xml:space="preserve"> </v>
      </c>
      <c r="AN351" s="149" t="str">
        <f t="shared" si="1143"/>
        <v xml:space="preserve"> </v>
      </c>
      <c r="AO351" s="144" t="str">
        <f>IF(JB351&gt;0,IF(GI351=10,-R351*1.085*(Calculation!$F$6-Calculation!$F$13)*$S$14," "),"")</f>
        <v/>
      </c>
      <c r="AP351" s="144" t="str">
        <f t="shared" si="1041"/>
        <v/>
      </c>
      <c r="AQ351" s="56" t="str">
        <f t="shared" si="1042"/>
        <v/>
      </c>
      <c r="AR351" s="144" t="str">
        <f t="shared" si="1043"/>
        <v/>
      </c>
      <c r="AS351" s="176" t="str">
        <f t="shared" si="1044"/>
        <v/>
      </c>
      <c r="AT351" s="176" t="str">
        <f t="shared" si="1144"/>
        <v xml:space="preserve"> </v>
      </c>
      <c r="AU351" s="176" t="str">
        <f t="shared" si="1045"/>
        <v/>
      </c>
      <c r="AV351" s="177" t="str">
        <f t="shared" si="1046"/>
        <v xml:space="preserve"> </v>
      </c>
      <c r="AW351" s="144" t="str">
        <f t="shared" si="1047"/>
        <v xml:space="preserve"> </v>
      </c>
      <c r="AX351" s="144" t="str">
        <f t="shared" si="1048"/>
        <v xml:space="preserve"> </v>
      </c>
      <c r="AY351" s="152" t="str">
        <f t="shared" si="1049"/>
        <v xml:space="preserve"> </v>
      </c>
      <c r="AZ351" s="246" t="str">
        <f t="shared" si="1050"/>
        <v/>
      </c>
      <c r="BA351" s="176" t="str">
        <f t="shared" si="1051"/>
        <v xml:space="preserve"> </v>
      </c>
      <c r="BB351" s="176" t="str">
        <f t="shared" si="1052"/>
        <v xml:space="preserve"> </v>
      </c>
      <c r="BC351" s="195"/>
      <c r="BD351" s="316"/>
      <c r="BE351" s="317"/>
      <c r="BF351" s="318"/>
      <c r="BG351" s="318"/>
      <c r="BH351" s="144" t="str">
        <f t="shared" si="1221"/>
        <v xml:space="preserve"> </v>
      </c>
      <c r="BI351" s="176" t="str">
        <f t="shared" si="1053"/>
        <v/>
      </c>
      <c r="BJ351" s="144" t="str">
        <f t="shared" si="1222"/>
        <v/>
      </c>
      <c r="BK351" s="246" t="str">
        <f t="shared" si="1054"/>
        <v/>
      </c>
      <c r="BL351" s="144" t="str">
        <f t="shared" si="1223"/>
        <v/>
      </c>
      <c r="BM351" s="246" t="str">
        <f t="shared" si="1055"/>
        <v/>
      </c>
      <c r="BN351" s="337" t="str">
        <f t="shared" si="1145"/>
        <v/>
      </c>
      <c r="BO351" s="371" t="str">
        <f t="shared" si="1146"/>
        <v/>
      </c>
      <c r="BP351" s="328" t="str">
        <f t="shared" si="1224"/>
        <v xml:space="preserve"> </v>
      </c>
      <c r="BQ351" s="347" t="str">
        <f t="shared" si="1147"/>
        <v xml:space="preserve"> </v>
      </c>
      <c r="BR351" s="353" t="str">
        <f t="shared" si="1148"/>
        <v xml:space="preserve"> </v>
      </c>
      <c r="BS351" s="626" t="str">
        <f>IF(L351&gt;0,IF(Calculation!P351="M13",BR351*3.1416*(0.134^2)/(4*144),IF(Calculation!P351="M17",BR351*3.1416*(0.165^2)/(4*144),IF(Calculation!P351="M20",BR351*3.1416*(0.198^2)/(4*144),IF(Calculation!P351="M23",BR351*3.1416*(0.228^2)/(4*144),IF(Calculation!P351="M27",BR351*3.1416*(0.269^2)/(4*144),BR351*3.1416*(0.307^2)/(4*144))))))," ")</f>
        <v xml:space="preserve"> </v>
      </c>
      <c r="BT351" s="353" t="str">
        <f>IF(L351&gt;0,IF(BS351&gt;0,R351/Calculation!BS351,0)," ")</f>
        <v xml:space="preserve"> </v>
      </c>
      <c r="BU351" s="438" t="e">
        <f t="shared" ca="1" si="1056"/>
        <v>#VALUE!</v>
      </c>
      <c r="BV351" s="449" t="e">
        <f ca="1">INDEX(INDIRECT(VLOOKUP(LEFT(BO351,7),CLU!$Z$3:$AH$18,2)),GN351,GR351)</f>
        <v>#N/A</v>
      </c>
      <c r="BW351" s="433" t="e">
        <f ca="1">INDEX(INDIRECT(VLOOKUP(LEFT(BO351,7),CLU!$Z$3:$AH$18,3)),GN351,GR351)</f>
        <v>#N/A</v>
      </c>
      <c r="BX351" s="433" t="e">
        <f ca="1">INDEX(INDIRECT(VLOOKUP(LEFT(BO351,7),CLU!$Z$3:$AH$18,4)),GN351,GR351)</f>
        <v>#N/A</v>
      </c>
      <c r="BY351" s="433" t="e">
        <f ca="1">INDEX(INDIRECT(VLOOKUP(LEFT(BO351,7),CLU!$Z$3:$AH$18,9)),((M351-2)*(6-COUNTBLANK(GT351:GY351)))+GJ351)</f>
        <v>#N/A</v>
      </c>
      <c r="BZ351" s="426" t="e">
        <f t="shared" ca="1" si="1149"/>
        <v>#N/A</v>
      </c>
      <c r="CA351" s="424" t="e">
        <f t="shared" ca="1" si="1150"/>
        <v>#N/A</v>
      </c>
      <c r="CB351" s="429" t="e">
        <f ca="1">INDEX(INDIRECT(VLOOKUP(LEFT(BO351,7),CLU!$Z$3:$AH$18,2)),GN351,GS351)</f>
        <v>#N/A</v>
      </c>
      <c r="CC351" s="342" t="e">
        <f ca="1">INDEX(INDIRECT(VLOOKUP(LEFT(BO351,7),CLU!$Z$3:$AH$18,3)),GN351,GS351)</f>
        <v>#N/A</v>
      </c>
      <c r="CD351" s="342" t="e">
        <f ca="1">INDEX(INDIRECT(VLOOKUP(LEFT(BO351,7),CLU!$Z$3:$AH$18,4)),GN351,GS351)</f>
        <v>#N/A</v>
      </c>
      <c r="CE351" s="426" t="e">
        <f t="shared" ca="1" si="1151"/>
        <v>#N/A</v>
      </c>
      <c r="CF351" s="440">
        <f t="shared" si="1152"/>
        <v>0</v>
      </c>
      <c r="CG351" s="431" t="e">
        <f ca="1">INDEX(INDIRECT(VLOOKUP(LEFT(BO351,7),CLU!$Z$3:$AH$18,2)),GQ351,GR351)</f>
        <v>#N/A</v>
      </c>
      <c r="CH351" s="431" t="e">
        <f ca="1">INDEX(INDIRECT(VLOOKUP(LEFT(BO351,7),CLU!$Z$3:$AH$18,3)),GQ351,GR351)</f>
        <v>#N/A</v>
      </c>
      <c r="CI351" s="431" t="e">
        <f ca="1">INDEX(INDIRECT(VLOOKUP(LEFT(BO351,7),CLU!$Z$3:$AH$18,4)),GQ351,GR351)</f>
        <v>#N/A</v>
      </c>
      <c r="CJ351" s="448" t="e">
        <f t="shared" ca="1" si="1153"/>
        <v>#N/A</v>
      </c>
      <c r="CK351" s="431" t="e">
        <f t="shared" ca="1" si="1154"/>
        <v>#N/A</v>
      </c>
      <c r="CL351" s="440" t="e">
        <f t="shared" ca="1" si="1155"/>
        <v>#N/A</v>
      </c>
      <c r="CM351" s="431" t="e">
        <f ca="1">INDEX(INDIRECT(VLOOKUP(LEFT(BO351,7),CLU!$Z$3:$AH$18,2)),GQ351,GS351)</f>
        <v>#N/A</v>
      </c>
      <c r="CN351" s="431" t="e">
        <f ca="1">INDEX(INDIRECT(VLOOKUP(LEFT(BO351,7),CLU!$Z$3:$AH$18,3)),GQ351,GS351)</f>
        <v>#N/A</v>
      </c>
      <c r="CO351" s="431" t="e">
        <f ca="1">INDEX(INDIRECT(VLOOKUP(LEFT(BO351,7),CLU!$Z$3:$AH$18,4)),GQ351,GS351)</f>
        <v>#N/A</v>
      </c>
      <c r="CP351" s="431" t="e">
        <f t="shared" ca="1" si="1156"/>
        <v>#N/A</v>
      </c>
      <c r="CQ351" s="440">
        <f t="shared" si="1157"/>
        <v>0</v>
      </c>
      <c r="CR351" s="51" t="e">
        <f t="shared" ca="1" si="1158"/>
        <v>#N/A</v>
      </c>
      <c r="CS351" s="439" t="e">
        <f t="shared" ca="1" si="1159"/>
        <v>#VALUE!</v>
      </c>
      <c r="CT351" s="51" t="e">
        <f t="shared" ca="1" si="1160"/>
        <v>#VALUE!</v>
      </c>
      <c r="CU351" s="10"/>
      <c r="CV351" s="51" t="e">
        <f t="shared" ca="1" si="1057"/>
        <v>#VALUE!</v>
      </c>
      <c r="CW351" s="51">
        <f t="shared" si="1161"/>
        <v>0</v>
      </c>
      <c r="CX351" s="439" t="e">
        <f t="shared" ca="1" si="1162"/>
        <v>#VALUE!</v>
      </c>
      <c r="CY351" s="51" t="e">
        <f t="shared" ca="1" si="1163"/>
        <v>#VALUE!</v>
      </c>
      <c r="CZ351" s="10"/>
      <c r="DA351" s="51" t="e">
        <f t="shared" ca="1" si="1164"/>
        <v>#VALUE!</v>
      </c>
      <c r="DB351" s="347" t="e">
        <f ca="1">INDEX(INDIRECT(VLOOKUP(LEFT(BO351,7),CLU!$Z$3:$AI$18,10)),((M351-2)*(6-COUNTBLANK(GT351:GY351)))+GJ351)*LI351</f>
        <v>#N/A</v>
      </c>
      <c r="DC351" s="347" t="str">
        <f>IF(L351&gt;0,((R351/Worksheet!$I$15)/DB351)^2," ")</f>
        <v xml:space="preserve"> </v>
      </c>
      <c r="DD351" s="602" t="str">
        <f t="shared" si="1165"/>
        <v xml:space="preserve"> </v>
      </c>
      <c r="DE351" s="347" t="str">
        <f t="shared" si="1058"/>
        <v xml:space="preserve"> </v>
      </c>
      <c r="DF351" s="356" t="e">
        <f ca="1">INDEX(INDIRECT(VLOOKUP(LEFT(BO351,7),CLU!$Z$3:$AH$18,8)),((M351-2)*(6-COUNTBLANK(GT351:GY351)))+GJ351)</f>
        <v>#N/A</v>
      </c>
      <c r="DG351" s="347" t="str">
        <f t="shared" si="1059"/>
        <v xml:space="preserve"> </v>
      </c>
      <c r="DH351" s="357" t="str">
        <f t="shared" si="1060"/>
        <v xml:space="preserve"> </v>
      </c>
      <c r="DI351" s="355" t="str">
        <f t="shared" si="1061"/>
        <v xml:space="preserve"> </v>
      </c>
      <c r="DJ351" s="245" t="e">
        <f ca="1">INDEX(INDIRECT(VLOOKUP(LEFT(BO351,7),CLU!$Z$3:$AH$18,5)),GL351,GK351)</f>
        <v>#N/A</v>
      </c>
      <c r="DK351" s="245" t="e">
        <f ca="1">INDEX(INDIRECT(VLOOKUP(LEFT(BO351,7),CLU!$Z$3:$AH$18,6)),GL351,GK351)</f>
        <v>#N/A</v>
      </c>
      <c r="DL351" s="355">
        <f>(Calculation!R351*0.69143*(Calculation!$BQ$8-Calculation!$F$8))*$S$14</f>
        <v>0</v>
      </c>
      <c r="DM351" s="359" t="e">
        <f t="shared" si="1166"/>
        <v>#VALUE!</v>
      </c>
      <c r="DN351" s="611">
        <f t="shared" si="1167"/>
        <v>0</v>
      </c>
      <c r="DO351" s="359">
        <f t="shared" si="1168"/>
        <v>100</v>
      </c>
      <c r="DP351" s="359">
        <f t="shared" si="1169"/>
        <v>0</v>
      </c>
      <c r="DQ351" s="360"/>
      <c r="DR351" s="245" t="e">
        <f ca="1">INDEX(INDIRECT(VLOOKUP(LEFT(BO351,7),CLU!$Z$3:$AH$18,7)),M351-1,1)</f>
        <v>#N/A</v>
      </c>
      <c r="DS351" s="245" t="e">
        <f ca="1">INDEX(INDIRECT(VLOOKUP(LEFT(BO351,7),CLU!$Z$3:$AH$18,7)),M351-1,2)</f>
        <v>#N/A</v>
      </c>
      <c r="DT351" s="245" t="e">
        <f ca="1">INDEX(INDIRECT(VLOOKUP(LEFT(BO351,7),CLU!$Z$3:$AH$18,7)),M351-1,3)</f>
        <v>#N/A</v>
      </c>
      <c r="DU351" s="245" t="e">
        <f ca="1">INDEX(INDIRECT(VLOOKUP(LEFT(BO351,7),CLU!$Z$3:$AH$18,7)),M351-1,4)</f>
        <v>#N/A</v>
      </c>
      <c r="DV351" s="361" t="e">
        <f ca="1">INDEX(INDIRECT(VLOOKUP(LEFT(BO351,7),CLU!$Z$3:$AH$18,7)),M351-1,4+LEFT(DZ351,1)*0.5)</f>
        <v>#N/A</v>
      </c>
      <c r="DW351" s="245" t="e">
        <f ca="1">INDEX(INDIRECT(VLOOKUP(LEFT(BO351,7),CLU!$Z$3:$AH$18,7)),M351-1,8)</f>
        <v>#N/A</v>
      </c>
      <c r="DX351" s="361" t="str">
        <f t="shared" si="1062"/>
        <v xml:space="preserve"> </v>
      </c>
      <c r="DY351" s="361" t="str">
        <f t="shared" si="1063"/>
        <v xml:space="preserve"> </v>
      </c>
      <c r="DZ351" s="361" t="str">
        <f t="shared" si="1064"/>
        <v xml:space="preserve"> </v>
      </c>
      <c r="EA351" s="362" t="str">
        <f t="shared" si="1065"/>
        <v xml:space="preserve"> </v>
      </c>
      <c r="EB351" s="624" t="str">
        <f t="shared" si="1170"/>
        <v xml:space="preserve"> </v>
      </c>
      <c r="EC351" s="361" t="e">
        <f ca="1">INDEX(INDIRECT(VLOOKUP(LEFT(BO351,7),CLU!$Z$3:$AH$18,7)),M351-1,4+LEFT(DZ351,1)*0.5)</f>
        <v>#N/A</v>
      </c>
      <c r="ED351" s="362" t="str">
        <f t="shared" si="1066"/>
        <v xml:space="preserve"> </v>
      </c>
      <c r="EE351" s="361" t="str">
        <f t="shared" si="1067"/>
        <v xml:space="preserve"> </v>
      </c>
      <c r="EF351" s="362" t="str">
        <f>IF(L351&gt;0,IF(BR351&gt;0,IF(EE351="2P",IF(Calculation!DZ351="2P",IF(Calculation!DS351=13.75,IF(Calculation!DR351=13,Worksheet!$BD$43,IF(Calculation!DR351=37,Worksheet!$BD$44,Worksheet!$BD$45)),IF(Calculation!DS351=10,IF(Calculation!DR351=18,Worksheet!$BD$29,IF(Calculation!DR351=30,Worksheet!$BD$30,IF(Calculation!DR351=42,Worksheet!$BD$31,IF(Calculation!DR351=54,Worksheet!$BD$32,IF(Calculation!DR351=66,Worksheet!$BD$33,IF(Calculation!DR351=78,Worksheet!$BD$34,IF(Calculation!DR351=90,Worksheet!$BD$35,IF(Calculation!DR351=102,Worksheet!$BD$36,Worksheet!$BD$37)))))))),IF(Calculation!DS351=12.5,IF(Calculation!DR351=18,Worksheet!$BD$38,IF(Calculation!DR351=Worksheet!$BD$39,IF(Calculation!DR351=42,Worksheet!$BD$40,IF(Calculation!DR351=54,Worksheet!$BD$41,Worksheet!$BD$42)))),IF(Calculation!DR351=18,Worksheet!$BD$11,IF(Calculation!DR351=30,Worksheet!$BD$12,IF(Calculation!DR351=42,Worksheet!$BD$13,IF(Calculation!DR351=54,Worksheet!$BD$14,IF(Calculation!DR351=66,Worksheet!$BD$15,IF(Calculation!DR351=78,Worksheet!$BD$16,IF(Calculation!DR351=90,Worksheet!$BD$17,IF(Calculation!DR351=102,Worksheet!$BD$18,Worksheet!$BD$19))))))))))),IF(Calculation!DS351=13.75,IF(Calculation!DR351=13,Worksheet!$BD$78,IF(Calculation!DR351=37,Worksheet!$BD$79,Worksheet!$BD$80)),IF(Calculation!DS351=10,IF(Calculation!DR351=18,Worksheet!$BD$64,IF(Calculation!DR351=30,Worksheet!$BD$65,IF(Calculation!DR351=42,Worksheet!$BD$66,IF(Calculation!DR351=54,Worksheet!$BD$68,IF(Calculation!DR351=66,Worksheet!$BD$68,IF(Calculation!DR351=78,Worksheet!$BD$69,IF(Calculation!DR351=90,Worksheet!$BD$70,IF(Calculation!DR351=102,Worksheet!$BD$71,Worksheet!$BD$72)))))))),IF(Calculation!DS351=12.5,IF(Calculation!DR351=18,Worksheet!$BD$73,IF(Calculation!DR351=Worksheet!$BD$74,IF(Calculation!DR351=42,Worksheet!$BD$75,IF(Calculation!DR351=54,Worksheet!$BD$76,Worksheet!$BD$77)))),IF(Calculation!DR351=18,Worksheet!$BD$55,IF(Calculation!DR351=30,Worksheet!$BD$56,IF(Calculation!DR351=42,Worksheet!$BD$57,IF(Calculation!DR351=54,Worksheet!$BD$58,IF(Calculation!DR351=66,Worksheet!$BD$59,IF(Calculation!DR351=78,Worksheet!$BD$60,IF(Calculation!DR351=90,Worksheet!$BD$61,IF(Calculation!DR351=102,Worksheet!$BD$62,Worksheet!$BD$63)))))))))))),5),0)," ")</f>
        <v xml:space="preserve"> </v>
      </c>
      <c r="EG351" s="361" t="str">
        <f t="shared" si="1068"/>
        <v xml:space="preserve"> </v>
      </c>
      <c r="EH351" s="361" t="e">
        <f ca="1">INDEX(INDIRECT(VLOOKUP(LEFT(BO351,7),CLU!$Z$3:$AH$18,7)),M351-1,3+LEFT(DZ351,1))</f>
        <v>#N/A</v>
      </c>
      <c r="EI351" s="362" t="str">
        <f t="shared" si="1069"/>
        <v xml:space="preserve"> </v>
      </c>
      <c r="EJ351" s="363" t="str">
        <f t="shared" si="1070"/>
        <v xml:space="preserve"> </v>
      </c>
      <c r="EK351" s="363" t="str">
        <f t="shared" si="1071"/>
        <v xml:space="preserve"> </v>
      </c>
      <c r="EL351" s="363" t="str">
        <f t="shared" si="1072"/>
        <v xml:space="preserve"> </v>
      </c>
      <c r="EM351" s="362" t="str">
        <f>IF(L351&gt;0,IF(BR351&gt;0,(Calculation!T351/ED351)^2,0)," ")</f>
        <v xml:space="preserve"> </v>
      </c>
      <c r="EN351" s="362" t="str">
        <f>IF(L351&gt;0,IF(O351="2 Pipe (Cooling)","N/A",IF(BR351&gt;0,(Calculation!U351/EI351)^2,0))," ")</f>
        <v xml:space="preserve"> </v>
      </c>
      <c r="EO351" s="361" t="str">
        <f t="shared" si="1073"/>
        <v/>
      </c>
      <c r="EP351" s="361" t="str">
        <f t="shared" si="1074"/>
        <v/>
      </c>
      <c r="EQ351" s="361" t="str">
        <f t="shared" si="1075"/>
        <v/>
      </c>
      <c r="ER351" s="361" t="str">
        <f t="shared" si="1076"/>
        <v/>
      </c>
      <c r="ES351" s="361" t="str">
        <f t="shared" si="1077"/>
        <v/>
      </c>
      <c r="ET351" s="361" t="str">
        <f t="shared" si="1078"/>
        <v/>
      </c>
      <c r="EU351" s="361" t="str">
        <f t="shared" si="1079"/>
        <v/>
      </c>
      <c r="EV351" s="361" t="str">
        <f t="shared" si="1080"/>
        <v/>
      </c>
      <c r="EW351" s="361" t="str">
        <f t="shared" si="1081"/>
        <v/>
      </c>
      <c r="EX351" s="361" t="str">
        <f t="shared" si="1171"/>
        <v>1 slot, 1 way</v>
      </c>
      <c r="EY351" s="361" t="str">
        <f t="shared" si="1172"/>
        <v xml:space="preserve"> </v>
      </c>
      <c r="EZ351" s="361" t="str">
        <f t="shared" si="1173"/>
        <v xml:space="preserve"> </v>
      </c>
      <c r="FA351" s="361" t="str">
        <f t="shared" si="1174"/>
        <v xml:space="preserve"> </v>
      </c>
      <c r="FB351" s="361" t="str">
        <f t="shared" si="1175"/>
        <v xml:space="preserve"> </v>
      </c>
      <c r="FC351" s="361"/>
      <c r="FD351" s="361" t="str">
        <f>IF(J351&gt;0,IF(Calculation!R351&lt;=70,4,IF(Calculation!R351&lt;=110,5,IF(Calculation!R351&lt;=160,6,IF(Calculation!R351&lt;=300,8,"10 EO")))),"")</f>
        <v/>
      </c>
      <c r="FE351" s="361" t="str">
        <f t="shared" si="1176"/>
        <v/>
      </c>
      <c r="FF351" s="361" t="str">
        <f t="shared" si="1177"/>
        <v/>
      </c>
      <c r="FG351" s="361" t="e">
        <f t="shared" si="1082"/>
        <v>#N/A</v>
      </c>
      <c r="FH351" s="361">
        <f t="shared" si="1083"/>
        <v>0</v>
      </c>
      <c r="FI351" s="361" t="e">
        <f t="shared" si="1084"/>
        <v>#DIV/0!</v>
      </c>
      <c r="FJ351" s="361"/>
      <c r="FK351" s="356" t="e">
        <f t="shared" si="1085"/>
        <v>#VALUE!</v>
      </c>
      <c r="FL351" s="361"/>
      <c r="FM351" s="361"/>
      <c r="FN351" s="362" t="str">
        <f t="shared" si="1178"/>
        <v xml:space="preserve"> </v>
      </c>
      <c r="FO351" s="362" t="str">
        <f t="shared" si="1179"/>
        <v xml:space="preserve"> </v>
      </c>
      <c r="FP351" s="362">
        <f t="shared" si="1180"/>
        <v>0</v>
      </c>
      <c r="FQ351" s="361">
        <f t="shared" si="1086"/>
        <v>0</v>
      </c>
      <c r="FR351" s="362" t="str">
        <f>IF(L351&gt;0,IF(J351="CBAL2",Worksheet!$P$67,IF(J351="CBE2-24",Worksheet!$Q$67,IF(J351="CBAM",Worksheet!$R$67,IF(J351="CBLV",Worksheet!$S$67,IF(J351="CBAB",Worksheet!$U$67,IF(J351="CBAW",Worksheet!$X$67,IF(J351="CBE2-12",Worksheet!$Y$67,IF(J351="CBAL2",Worksheet!$Z$67,"N/A"))))))))," ")</f>
        <v xml:space="preserve"> </v>
      </c>
      <c r="FS351" s="362" t="str">
        <f>IF(L351&gt;0,IF(J351="CBAL2",Worksheet!$P$68,IF(J351="CBE2-24",Worksheet!$Q$68,IF(J351="CBAM",Worksheet!$R$68,IF(J351="CBLV",Worksheet!$S$68,IF(J351="CBAB",Worksheet!$U$68,IF(J351="CBAW",Worksheet!$X$68,IF(J351="CBE2-12",Worksheet!$Y$68,IF(J351="CBAL2",Worksheet!$Z$68,"N/A"))))))))," ")</f>
        <v xml:space="preserve"> </v>
      </c>
      <c r="FT351" s="362" t="str">
        <f>IF(L351&gt;0,IF(J351="CBAL2",Worksheet!$P$69,IF(J351="CBE2-24",Worksheet!$Q$69,IF(J351="CBAM",Worksheet!$R$69,IF(J351="CBLV",Worksheet!$S$69,IF(J351="CBAB",Worksheet!$U$69,IF(J351="CBAW",Worksheet!$X$69,IF(J351="CBE2-12",Worksheet!$Y$69,IF(J351="CBAL2",Worksheet!$Z$69,"N/A"))))))))," ")</f>
        <v xml:space="preserve"> </v>
      </c>
      <c r="FU351" s="361" t="str">
        <f t="shared" si="1181"/>
        <v xml:space="preserve"> </v>
      </c>
      <c r="FV351" s="362" t="str">
        <f t="shared" si="1182"/>
        <v xml:space="preserve"> </v>
      </c>
      <c r="FW351" s="362" t="str">
        <f t="shared" si="1183"/>
        <v xml:space="preserve"> </v>
      </c>
      <c r="FX351" s="362" t="str">
        <f t="shared" si="1184"/>
        <v xml:space="preserve"> </v>
      </c>
      <c r="FY351" s="355" t="str">
        <f t="shared" si="1185"/>
        <v xml:space="preserve"> </v>
      </c>
      <c r="FZ351" s="361" t="str">
        <f t="shared" si="1186"/>
        <v xml:space="preserve"> </v>
      </c>
      <c r="GA351" s="347" t="str">
        <f t="shared" si="1187"/>
        <v xml:space="preserve"> </v>
      </c>
      <c r="GB351" s="355" t="str">
        <f t="shared" si="1188"/>
        <v xml:space="preserve"> </v>
      </c>
      <c r="GC351" s="328" t="str">
        <f t="shared" si="1189"/>
        <v xml:space="preserve"> </v>
      </c>
      <c r="GD351" s="361" t="str">
        <f t="shared" si="1190"/>
        <v xml:space="preserve"> </v>
      </c>
      <c r="GE351" s="347" t="str">
        <f t="shared" si="1191"/>
        <v xml:space="preserve"> </v>
      </c>
      <c r="GF351" s="361" t="str">
        <f t="shared" si="1192"/>
        <v xml:space="preserve"> </v>
      </c>
      <c r="GG351" s="347" t="str">
        <f t="shared" si="1193"/>
        <v xml:space="preserve"> </v>
      </c>
      <c r="GH351" s="364">
        <f t="shared" si="1087"/>
        <v>0</v>
      </c>
      <c r="GI351" s="362">
        <f t="shared" si="1194"/>
        <v>2</v>
      </c>
      <c r="GJ351" s="433" t="e">
        <f>IF(6-COUNTBLANK(GT351:GY351)=4,MATCH(MID(BO351,9,3),CLU!$H$16:$K$16),MATCH(MID(BO351,9,3),CLU!$H$13:$M$13))</f>
        <v>#N/A</v>
      </c>
      <c r="GK351" s="433" t="e">
        <f>HLOOKUP(VALUE(BP351),CLU!$H$9:$M$10,2)</f>
        <v>#VALUE!</v>
      </c>
      <c r="GL351" s="433" t="e">
        <f ca="1">MATCH(BU351,CLU!$H$2:$V$2,1)</f>
        <v>#VALUE!</v>
      </c>
      <c r="GM351" s="433" t="e">
        <f t="shared" ca="1" si="1195"/>
        <v>#VALUE!</v>
      </c>
      <c r="GN351" s="433" t="e">
        <f t="shared" ca="1" si="1196"/>
        <v>#VALUE!</v>
      </c>
      <c r="GO351" s="433" t="e">
        <f t="shared" ca="1" si="1197"/>
        <v>#VALUE!</v>
      </c>
      <c r="GP351" s="433" t="e">
        <f t="shared" ca="1" si="1198"/>
        <v>#VALUE!</v>
      </c>
      <c r="GQ351" s="433" t="e">
        <f t="shared" ca="1" si="1199"/>
        <v>#VALUE!</v>
      </c>
      <c r="GR351" s="433" t="e">
        <f ca="1">MATCH(T351,INDIRECT(VLOOKUP(CONCATENATE(LEFT(BO351,7),"-",MID(BO351,13,1)),CLU!$P$3:$Q$16,2)),1)</f>
        <v>#N/A</v>
      </c>
      <c r="GS351" s="433" t="e">
        <f ca="1">MATCH(U351,INDIRECT(VLOOKUP(CONCATENATE(LEFT(BO351,7),"-",MID(BO351,13,1)),CLU!$P$3:$Q$16,2)),1)</f>
        <v>#N/A</v>
      </c>
      <c r="GT351" s="347" t="s">
        <v>512</v>
      </c>
      <c r="GU351" s="97" t="s">
        <v>513</v>
      </c>
      <c r="GV351" s="97" t="str">
        <f t="shared" si="1200"/>
        <v>M23</v>
      </c>
      <c r="GW351" s="97" t="str">
        <f t="shared" si="1201"/>
        <v>M31</v>
      </c>
      <c r="GX351" s="97" t="str">
        <f t="shared" si="1202"/>
        <v/>
      </c>
      <c r="GY351" s="97" t="str">
        <f t="shared" si="1203"/>
        <v/>
      </c>
      <c r="GZ351" s="481"/>
      <c r="HA351" s="240"/>
      <c r="HB351" s="240"/>
      <c r="HC351" s="240"/>
      <c r="HD351" s="240"/>
      <c r="HE351" s="240"/>
      <c r="HF351" s="240"/>
      <c r="HG351" s="240"/>
      <c r="HH351" s="240"/>
      <c r="HI351" s="240"/>
      <c r="HJ351" s="240"/>
      <c r="HK351" s="240"/>
      <c r="HL351" s="240"/>
      <c r="HM351" s="240"/>
      <c r="HN351" s="240"/>
      <c r="HO351" s="240"/>
      <c r="HP351" s="240"/>
      <c r="HQ351" s="240"/>
      <c r="HR351" s="240"/>
      <c r="HS351" s="240"/>
      <c r="HT351" s="240"/>
      <c r="HU351" s="240"/>
      <c r="HV351" s="245"/>
      <c r="HW351" s="245" t="b">
        <v>1</v>
      </c>
      <c r="HX351" s="245" t="str">
        <f t="shared" si="1088"/>
        <v/>
      </c>
      <c r="HY351" s="245" t="e">
        <f t="shared" si="1089"/>
        <v>#DIV/0!</v>
      </c>
      <c r="HZ351" s="245" t="e">
        <f t="shared" si="1090"/>
        <v>#DIV/0!</v>
      </c>
      <c r="IA351" s="245">
        <f t="shared" si="1091"/>
        <v>0</v>
      </c>
      <c r="IB351" s="245"/>
      <c r="IC351" t="b">
        <f t="shared" si="1092"/>
        <v>1</v>
      </c>
      <c r="ID351" s="245" t="b">
        <f t="shared" si="1093"/>
        <v>1</v>
      </c>
      <c r="IE351" s="245" t="b">
        <f t="shared" si="1094"/>
        <v>1</v>
      </c>
      <c r="IF351" s="245" t="b">
        <f t="shared" si="1095"/>
        <v>0</v>
      </c>
      <c r="IG351" s="245" t="b">
        <f t="shared" si="1096"/>
        <v>1</v>
      </c>
      <c r="IH351" s="245" t="b">
        <f t="shared" si="1097"/>
        <v>1</v>
      </c>
      <c r="II351" s="245">
        <f t="shared" si="1204"/>
        <v>0</v>
      </c>
      <c r="IJ351" s="245" t="e">
        <f t="shared" si="1098"/>
        <v>#VALUE!</v>
      </c>
      <c r="IK351" s="245" t="e">
        <f t="shared" si="1099"/>
        <v>#VALUE!</v>
      </c>
      <c r="IL351" s="245"/>
      <c r="IM351" s="245" t="e">
        <f t="shared" si="1205"/>
        <v>#N/A</v>
      </c>
      <c r="IN351" s="245" t="e">
        <f t="shared" si="1206"/>
        <v>#N/A</v>
      </c>
      <c r="IO351" s="245"/>
      <c r="IP351" s="245"/>
      <c r="IQ351" s="245" t="str">
        <f t="shared" si="1100"/>
        <v/>
      </c>
      <c r="IR351" s="245" t="str">
        <f>IF(J351="","",VLOOKUP(J351,Worksheet!$R$4:$T$14,2))</f>
        <v/>
      </c>
      <c r="IS351" s="245"/>
      <c r="IT351" s="245">
        <f t="shared" si="1101"/>
        <v>0</v>
      </c>
      <c r="IU351" s="245">
        <f t="shared" si="1102"/>
        <v>0</v>
      </c>
      <c r="IV351" s="245">
        <f t="shared" si="1103"/>
        <v>0</v>
      </c>
      <c r="IW351" s="245">
        <f t="shared" si="1104"/>
        <v>0</v>
      </c>
      <c r="IX351" s="245">
        <f t="shared" si="1207"/>
        <v>0</v>
      </c>
      <c r="IY351" s="245">
        <f t="shared" si="1105"/>
        <v>0</v>
      </c>
      <c r="IZ351" s="245">
        <f t="shared" si="1106"/>
        <v>0</v>
      </c>
      <c r="JA351">
        <f t="shared" si="1107"/>
        <v>0</v>
      </c>
      <c r="JB351">
        <f t="shared" si="1208"/>
        <v>0</v>
      </c>
      <c r="JC351">
        <f t="shared" si="1108"/>
        <v>0</v>
      </c>
      <c r="JD351">
        <f t="shared" si="1109"/>
        <v>0</v>
      </c>
      <c r="JE351">
        <f t="shared" si="1110"/>
        <v>0</v>
      </c>
      <c r="JF351">
        <f t="shared" si="1111"/>
        <v>0</v>
      </c>
      <c r="JG351">
        <f t="shared" si="1112"/>
        <v>0</v>
      </c>
      <c r="JH351">
        <f t="shared" si="1113"/>
        <v>0</v>
      </c>
      <c r="JI351">
        <f t="shared" si="1114"/>
        <v>0</v>
      </c>
      <c r="JJ351" s="447">
        <f t="shared" si="1115"/>
        <v>0</v>
      </c>
      <c r="JK351" s="447">
        <f t="shared" si="1116"/>
        <v>0</v>
      </c>
      <c r="JL351">
        <f t="shared" si="1117"/>
        <v>0</v>
      </c>
      <c r="JM351" s="245" t="str">
        <f>IFERROR(VLOOKUP(MATCH(BN351,#REF!,0),#REF!,7),"")</f>
        <v/>
      </c>
      <c r="JN351" t="e">
        <f>HLOOKUP(LEFT(BO351,7),Discharge_Area,MATCH(JO351,LookUps!$B$130:$B$149,1)+2)</f>
        <v>#N/A</v>
      </c>
      <c r="JO351" t="str">
        <f t="shared" si="1118"/>
        <v>- S</v>
      </c>
      <c r="JP351" t="e">
        <f>HLOOKUP(LEFT(BO351,7),Discharge_Area,MATCH(JO351,LookUps!$B$130:$B$149,1)+2)</f>
        <v>#N/A</v>
      </c>
      <c r="JQ351" t="e">
        <f t="shared" si="1119"/>
        <v>#N/A</v>
      </c>
      <c r="JR351" t="e">
        <f t="shared" si="1120"/>
        <v>#N/A</v>
      </c>
      <c r="JS351" t="e">
        <f t="shared" si="1121"/>
        <v>#N/A</v>
      </c>
      <c r="JT351" s="532" t="str">
        <f t="shared" si="1122"/>
        <v xml:space="preserve"> </v>
      </c>
      <c r="JU351" s="532" t="str">
        <f t="shared" si="1123"/>
        <v xml:space="preserve"> </v>
      </c>
      <c r="JV351" s="533" t="str">
        <f t="shared" si="1124"/>
        <v xml:space="preserve"> </v>
      </c>
      <c r="JW351" s="534">
        <f t="shared" si="1125"/>
        <v>0</v>
      </c>
      <c r="JX351" s="535" t="str">
        <f t="shared" si="1209"/>
        <v xml:space="preserve"> </v>
      </c>
      <c r="JY351" s="535" t="str">
        <f t="shared" si="1210"/>
        <v xml:space="preserve"> </v>
      </c>
      <c r="JZ351" s="535" t="str">
        <f t="shared" si="1211"/>
        <v xml:space="preserve"> </v>
      </c>
      <c r="KA351" s="536" t="str">
        <f t="shared" si="1126"/>
        <v xml:space="preserve"> </v>
      </c>
      <c r="KB351" s="535" t="e">
        <f t="shared" si="1212"/>
        <v>#VALUE!</v>
      </c>
      <c r="KC351" s="535" t="str">
        <f t="shared" si="1127"/>
        <v/>
      </c>
      <c r="KD351" s="537" t="str">
        <f t="shared" si="1213"/>
        <v xml:space="preserve"> </v>
      </c>
      <c r="KE351" s="537" t="str">
        <f t="shared" si="1214"/>
        <v xml:space="preserve"> </v>
      </c>
      <c r="KF351" s="534">
        <f t="shared" si="1128"/>
        <v>0</v>
      </c>
      <c r="KG351" s="535" t="str">
        <f t="shared" si="1129"/>
        <v xml:space="preserve"> </v>
      </c>
      <c r="KH351" s="535" t="str">
        <f t="shared" si="1130"/>
        <v xml:space="preserve"> </v>
      </c>
      <c r="KI351" s="535" t="str">
        <f t="shared" si="1131"/>
        <v xml:space="preserve"> </v>
      </c>
      <c r="KJ351" s="536" t="str">
        <f t="shared" si="1132"/>
        <v xml:space="preserve"> </v>
      </c>
      <c r="KK351" s="535" t="str">
        <f t="shared" si="1215"/>
        <v xml:space="preserve"> </v>
      </c>
      <c r="KL351" s="535" t="str">
        <f t="shared" si="1216"/>
        <v xml:space="preserve"> </v>
      </c>
      <c r="KM351" s="537" t="str">
        <f t="shared" si="1133"/>
        <v xml:space="preserve"> </v>
      </c>
      <c r="KN351" s="537" t="str">
        <f t="shared" si="1217"/>
        <v xml:space="preserve"> </v>
      </c>
      <c r="KP351">
        <f t="shared" si="1134"/>
        <v>0</v>
      </c>
      <c r="LA351" t="e">
        <f t="shared" si="1135"/>
        <v>#VALUE!</v>
      </c>
      <c r="LB351" t="e">
        <f t="shared" si="1136"/>
        <v>#VALUE!</v>
      </c>
      <c r="LC351" t="e">
        <f t="shared" si="1137"/>
        <v>#VALUE!</v>
      </c>
      <c r="LD351" t="e">
        <f t="shared" si="1138"/>
        <v>#VALUE!</v>
      </c>
      <c r="LE351" t="e">
        <f t="shared" si="1218"/>
        <v>#VALUE!</v>
      </c>
      <c r="LF351">
        <f t="shared" si="1139"/>
        <v>0</v>
      </c>
      <c r="LG351" t="e">
        <f t="shared" si="1219"/>
        <v>#VALUE!</v>
      </c>
      <c r="LH351" t="str">
        <f t="shared" si="1140"/>
        <v xml:space="preserve"> </v>
      </c>
      <c r="LI351">
        <f t="shared" si="1220"/>
        <v>1</v>
      </c>
    </row>
    <row r="352" spans="2:321" ht="15" customHeight="1">
      <c r="B352" s="311"/>
      <c r="C352" s="311"/>
      <c r="D352" s="312"/>
      <c r="E352" s="311"/>
      <c r="F352" s="312"/>
      <c r="G352" s="311"/>
      <c r="H352" s="311"/>
      <c r="I352" s="232"/>
      <c r="J352" s="311"/>
      <c r="K352" s="305" t="str">
        <f t="shared" si="1141"/>
        <v/>
      </c>
      <c r="L352" s="313"/>
      <c r="M352" s="312"/>
      <c r="N352" s="311"/>
      <c r="O352" s="312"/>
      <c r="P352" s="311"/>
      <c r="Q352" s="305" t="str">
        <f t="shared" si="1142"/>
        <v/>
      </c>
      <c r="R352" s="314"/>
      <c r="S352" s="450" t="str">
        <f t="shared" si="1025"/>
        <v/>
      </c>
      <c r="T352" s="315"/>
      <c r="U352" s="315"/>
      <c r="W352" s="149" t="str">
        <f t="shared" si="1026"/>
        <v xml:space="preserve"> </v>
      </c>
      <c r="X352" s="243" t="str">
        <f t="shared" si="1027"/>
        <v xml:space="preserve"> </v>
      </c>
      <c r="Y352" s="150" t="str">
        <f t="shared" si="1028"/>
        <v/>
      </c>
      <c r="Z352" s="149" t="str">
        <f t="shared" si="1029"/>
        <v xml:space="preserve"> </v>
      </c>
      <c r="AA352" s="98" t="str">
        <f t="shared" si="1030"/>
        <v xml:space="preserve"> </v>
      </c>
      <c r="AB352" s="153" t="str">
        <f t="shared" si="1031"/>
        <v xml:space="preserve"> </v>
      </c>
      <c r="AC352" s="153" t="str">
        <f t="shared" si="1032"/>
        <v xml:space="preserve"> </v>
      </c>
      <c r="AD352" s="148" t="str">
        <f t="shared" si="1033"/>
        <v/>
      </c>
      <c r="AE352" s="149" t="str">
        <f t="shared" si="1034"/>
        <v/>
      </c>
      <c r="AF352" s="151" t="str">
        <f t="shared" si="1035"/>
        <v xml:space="preserve"> </v>
      </c>
      <c r="AG352" s="153" t="str">
        <f t="shared" si="1036"/>
        <v xml:space="preserve"> </v>
      </c>
      <c r="AH352" s="98" t="str">
        <f t="shared" si="1037"/>
        <v xml:space="preserve"> </v>
      </c>
      <c r="AI352" s="149" t="str">
        <f t="shared" si="1038"/>
        <v xml:space="preserve"> </v>
      </c>
      <c r="AK352" s="144" t="str">
        <f t="shared" si="1039"/>
        <v xml:space="preserve"> </v>
      </c>
      <c r="AL352" s="144"/>
      <c r="AM352" s="243" t="str">
        <f t="shared" si="1040"/>
        <v xml:space="preserve"> </v>
      </c>
      <c r="AN352" s="149" t="str">
        <f t="shared" si="1143"/>
        <v xml:space="preserve"> </v>
      </c>
      <c r="AO352" s="144" t="str">
        <f>IF(JB352&gt;0,IF(GI352=10,-R352*1.085*(Calculation!$F$6-Calculation!$F$13)*$S$14," "),"")</f>
        <v/>
      </c>
      <c r="AP352" s="144" t="str">
        <f t="shared" si="1041"/>
        <v/>
      </c>
      <c r="AQ352" s="56" t="str">
        <f t="shared" si="1042"/>
        <v/>
      </c>
      <c r="AR352" s="144" t="str">
        <f t="shared" si="1043"/>
        <v/>
      </c>
      <c r="AS352" s="176" t="str">
        <f t="shared" si="1044"/>
        <v/>
      </c>
      <c r="AT352" s="176" t="str">
        <f t="shared" si="1144"/>
        <v xml:space="preserve"> </v>
      </c>
      <c r="AU352" s="176" t="str">
        <f t="shared" si="1045"/>
        <v/>
      </c>
      <c r="AV352" s="177" t="str">
        <f t="shared" si="1046"/>
        <v xml:space="preserve"> </v>
      </c>
      <c r="AW352" s="144" t="str">
        <f t="shared" si="1047"/>
        <v xml:space="preserve"> </v>
      </c>
      <c r="AX352" s="144" t="str">
        <f t="shared" si="1048"/>
        <v xml:space="preserve"> </v>
      </c>
      <c r="AY352" s="152" t="str">
        <f t="shared" si="1049"/>
        <v xml:space="preserve"> </v>
      </c>
      <c r="AZ352" s="246" t="str">
        <f t="shared" si="1050"/>
        <v/>
      </c>
      <c r="BA352" s="176" t="str">
        <f t="shared" si="1051"/>
        <v xml:space="preserve"> </v>
      </c>
      <c r="BB352" s="176" t="str">
        <f t="shared" si="1052"/>
        <v xml:space="preserve"> </v>
      </c>
      <c r="BC352" s="195"/>
      <c r="BD352" s="316"/>
      <c r="BE352" s="317"/>
      <c r="BF352" s="318"/>
      <c r="BG352" s="318"/>
      <c r="BH352" s="144" t="str">
        <f t="shared" si="1221"/>
        <v xml:space="preserve"> </v>
      </c>
      <c r="BI352" s="176" t="str">
        <f t="shared" si="1053"/>
        <v/>
      </c>
      <c r="BJ352" s="144" t="str">
        <f t="shared" si="1222"/>
        <v/>
      </c>
      <c r="BK352" s="246" t="str">
        <f t="shared" si="1054"/>
        <v/>
      </c>
      <c r="BL352" s="144" t="str">
        <f t="shared" si="1223"/>
        <v/>
      </c>
      <c r="BM352" s="246" t="str">
        <f t="shared" si="1055"/>
        <v/>
      </c>
      <c r="BN352" s="337" t="str">
        <f t="shared" si="1145"/>
        <v/>
      </c>
      <c r="BO352" s="371" t="str">
        <f t="shared" si="1146"/>
        <v/>
      </c>
      <c r="BP352" s="328" t="str">
        <f t="shared" si="1224"/>
        <v xml:space="preserve"> </v>
      </c>
      <c r="BQ352" s="347" t="str">
        <f t="shared" si="1147"/>
        <v xml:space="preserve"> </v>
      </c>
      <c r="BR352" s="353" t="str">
        <f t="shared" si="1148"/>
        <v xml:space="preserve"> </v>
      </c>
      <c r="BS352" s="626" t="str">
        <f>IF(L352&gt;0,IF(Calculation!P352="M13",BR352*3.1416*(0.134^2)/(4*144),IF(Calculation!P352="M17",BR352*3.1416*(0.165^2)/(4*144),IF(Calculation!P352="M20",BR352*3.1416*(0.198^2)/(4*144),IF(Calculation!P352="M23",BR352*3.1416*(0.228^2)/(4*144),IF(Calculation!P352="M27",BR352*3.1416*(0.269^2)/(4*144),BR352*3.1416*(0.307^2)/(4*144))))))," ")</f>
        <v xml:space="preserve"> </v>
      </c>
      <c r="BT352" s="353" t="str">
        <f>IF(L352&gt;0,IF(BS352&gt;0,R352/Calculation!BS352,0)," ")</f>
        <v xml:space="preserve"> </v>
      </c>
      <c r="BU352" s="438" t="e">
        <f t="shared" ca="1" si="1056"/>
        <v>#VALUE!</v>
      </c>
      <c r="BV352" s="449" t="e">
        <f ca="1">INDEX(INDIRECT(VLOOKUP(LEFT(BO352,7),CLU!$Z$3:$AH$18,2)),GN352,GR352)</f>
        <v>#N/A</v>
      </c>
      <c r="BW352" s="433" t="e">
        <f ca="1">INDEX(INDIRECT(VLOOKUP(LEFT(BO352,7),CLU!$Z$3:$AH$18,3)),GN352,GR352)</f>
        <v>#N/A</v>
      </c>
      <c r="BX352" s="433" t="e">
        <f ca="1">INDEX(INDIRECT(VLOOKUP(LEFT(BO352,7),CLU!$Z$3:$AH$18,4)),GN352,GR352)</f>
        <v>#N/A</v>
      </c>
      <c r="BY352" s="433" t="e">
        <f ca="1">INDEX(INDIRECT(VLOOKUP(LEFT(BO352,7),CLU!$Z$3:$AH$18,9)),((M352-2)*(6-COUNTBLANK(GT352:GY352)))+GJ352)</f>
        <v>#N/A</v>
      </c>
      <c r="BZ352" s="426" t="e">
        <f t="shared" ca="1" si="1149"/>
        <v>#N/A</v>
      </c>
      <c r="CA352" s="424" t="e">
        <f t="shared" ca="1" si="1150"/>
        <v>#N/A</v>
      </c>
      <c r="CB352" s="429" t="e">
        <f ca="1">INDEX(INDIRECT(VLOOKUP(LEFT(BO352,7),CLU!$Z$3:$AH$18,2)),GN352,GS352)</f>
        <v>#N/A</v>
      </c>
      <c r="CC352" s="342" t="e">
        <f ca="1">INDEX(INDIRECT(VLOOKUP(LEFT(BO352,7),CLU!$Z$3:$AH$18,3)),GN352,GS352)</f>
        <v>#N/A</v>
      </c>
      <c r="CD352" s="342" t="e">
        <f ca="1">INDEX(INDIRECT(VLOOKUP(LEFT(BO352,7),CLU!$Z$3:$AH$18,4)),GN352,GS352)</f>
        <v>#N/A</v>
      </c>
      <c r="CE352" s="426" t="e">
        <f t="shared" ca="1" si="1151"/>
        <v>#N/A</v>
      </c>
      <c r="CF352" s="440">
        <f t="shared" si="1152"/>
        <v>0</v>
      </c>
      <c r="CG352" s="431" t="e">
        <f ca="1">INDEX(INDIRECT(VLOOKUP(LEFT(BO352,7),CLU!$Z$3:$AH$18,2)),GQ352,GR352)</f>
        <v>#N/A</v>
      </c>
      <c r="CH352" s="431" t="e">
        <f ca="1">INDEX(INDIRECT(VLOOKUP(LEFT(BO352,7),CLU!$Z$3:$AH$18,3)),GQ352,GR352)</f>
        <v>#N/A</v>
      </c>
      <c r="CI352" s="431" t="e">
        <f ca="1">INDEX(INDIRECT(VLOOKUP(LEFT(BO352,7),CLU!$Z$3:$AH$18,4)),GQ352,GR352)</f>
        <v>#N/A</v>
      </c>
      <c r="CJ352" s="448" t="e">
        <f t="shared" ca="1" si="1153"/>
        <v>#N/A</v>
      </c>
      <c r="CK352" s="431" t="e">
        <f t="shared" ca="1" si="1154"/>
        <v>#N/A</v>
      </c>
      <c r="CL352" s="440" t="e">
        <f t="shared" ca="1" si="1155"/>
        <v>#N/A</v>
      </c>
      <c r="CM352" s="431" t="e">
        <f ca="1">INDEX(INDIRECT(VLOOKUP(LEFT(BO352,7),CLU!$Z$3:$AH$18,2)),GQ352,GS352)</f>
        <v>#N/A</v>
      </c>
      <c r="CN352" s="431" t="e">
        <f ca="1">INDEX(INDIRECT(VLOOKUP(LEFT(BO352,7),CLU!$Z$3:$AH$18,3)),GQ352,GS352)</f>
        <v>#N/A</v>
      </c>
      <c r="CO352" s="431" t="e">
        <f ca="1">INDEX(INDIRECT(VLOOKUP(LEFT(BO352,7),CLU!$Z$3:$AH$18,4)),GQ352,GS352)</f>
        <v>#N/A</v>
      </c>
      <c r="CP352" s="431" t="e">
        <f t="shared" ca="1" si="1156"/>
        <v>#N/A</v>
      </c>
      <c r="CQ352" s="440">
        <f t="shared" si="1157"/>
        <v>0</v>
      </c>
      <c r="CR352" s="51" t="e">
        <f t="shared" ca="1" si="1158"/>
        <v>#N/A</v>
      </c>
      <c r="CS352" s="439" t="e">
        <f t="shared" ca="1" si="1159"/>
        <v>#VALUE!</v>
      </c>
      <c r="CT352" s="51" t="e">
        <f t="shared" ca="1" si="1160"/>
        <v>#VALUE!</v>
      </c>
      <c r="CU352" s="10"/>
      <c r="CV352" s="51" t="e">
        <f t="shared" ca="1" si="1057"/>
        <v>#VALUE!</v>
      </c>
      <c r="CW352" s="51">
        <f t="shared" si="1161"/>
        <v>0</v>
      </c>
      <c r="CX352" s="439" t="e">
        <f t="shared" ca="1" si="1162"/>
        <v>#VALUE!</v>
      </c>
      <c r="CY352" s="51" t="e">
        <f t="shared" ca="1" si="1163"/>
        <v>#VALUE!</v>
      </c>
      <c r="CZ352" s="10"/>
      <c r="DA352" s="51" t="e">
        <f t="shared" ca="1" si="1164"/>
        <v>#VALUE!</v>
      </c>
      <c r="DB352" s="347" t="e">
        <f ca="1">INDEX(INDIRECT(VLOOKUP(LEFT(BO352,7),CLU!$Z$3:$AI$18,10)),((M352-2)*(6-COUNTBLANK(GT352:GY352)))+GJ352)*LI352</f>
        <v>#N/A</v>
      </c>
      <c r="DC352" s="347" t="str">
        <f>IF(L352&gt;0,((R352/Worksheet!$I$15)/DB352)^2," ")</f>
        <v xml:space="preserve"> </v>
      </c>
      <c r="DD352" s="602" t="str">
        <f t="shared" si="1165"/>
        <v xml:space="preserve"> </v>
      </c>
      <c r="DE352" s="347" t="str">
        <f t="shared" si="1058"/>
        <v xml:space="preserve"> </v>
      </c>
      <c r="DF352" s="356" t="e">
        <f ca="1">INDEX(INDIRECT(VLOOKUP(LEFT(BO352,7),CLU!$Z$3:$AH$18,8)),((M352-2)*(6-COUNTBLANK(GT352:GY352)))+GJ352)</f>
        <v>#N/A</v>
      </c>
      <c r="DG352" s="347" t="str">
        <f t="shared" si="1059"/>
        <v xml:space="preserve"> </v>
      </c>
      <c r="DH352" s="357" t="str">
        <f t="shared" si="1060"/>
        <v xml:space="preserve"> </v>
      </c>
      <c r="DI352" s="355" t="str">
        <f t="shared" si="1061"/>
        <v xml:space="preserve"> </v>
      </c>
      <c r="DJ352" s="245" t="e">
        <f ca="1">INDEX(INDIRECT(VLOOKUP(LEFT(BO352,7),CLU!$Z$3:$AH$18,5)),GL352,GK352)</f>
        <v>#N/A</v>
      </c>
      <c r="DK352" s="245" t="e">
        <f ca="1">INDEX(INDIRECT(VLOOKUP(LEFT(BO352,7),CLU!$Z$3:$AH$18,6)),GL352,GK352)</f>
        <v>#N/A</v>
      </c>
      <c r="DL352" s="355">
        <f>(Calculation!R352*0.69143*(Calculation!$BQ$8-Calculation!$F$8))*$S$14</f>
        <v>0</v>
      </c>
      <c r="DM352" s="359" t="e">
        <f t="shared" si="1166"/>
        <v>#VALUE!</v>
      </c>
      <c r="DN352" s="611">
        <f t="shared" si="1167"/>
        <v>0</v>
      </c>
      <c r="DO352" s="359">
        <f t="shared" si="1168"/>
        <v>100</v>
      </c>
      <c r="DP352" s="359">
        <f t="shared" si="1169"/>
        <v>0</v>
      </c>
      <c r="DQ352" s="360"/>
      <c r="DR352" s="245" t="e">
        <f ca="1">INDEX(INDIRECT(VLOOKUP(LEFT(BO352,7),CLU!$Z$3:$AH$18,7)),M352-1,1)</f>
        <v>#N/A</v>
      </c>
      <c r="DS352" s="245" t="e">
        <f ca="1">INDEX(INDIRECT(VLOOKUP(LEFT(BO352,7),CLU!$Z$3:$AH$18,7)),M352-1,2)</f>
        <v>#N/A</v>
      </c>
      <c r="DT352" s="245" t="e">
        <f ca="1">INDEX(INDIRECT(VLOOKUP(LEFT(BO352,7),CLU!$Z$3:$AH$18,7)),M352-1,3)</f>
        <v>#N/A</v>
      </c>
      <c r="DU352" s="245" t="e">
        <f ca="1">INDEX(INDIRECT(VLOOKUP(LEFT(BO352,7),CLU!$Z$3:$AH$18,7)),M352-1,4)</f>
        <v>#N/A</v>
      </c>
      <c r="DV352" s="361" t="e">
        <f ca="1">INDEX(INDIRECT(VLOOKUP(LEFT(BO352,7),CLU!$Z$3:$AH$18,7)),M352-1,4+LEFT(DZ352,1)*0.5)</f>
        <v>#N/A</v>
      </c>
      <c r="DW352" s="245" t="e">
        <f ca="1">INDEX(INDIRECT(VLOOKUP(LEFT(BO352,7),CLU!$Z$3:$AH$18,7)),M352-1,8)</f>
        <v>#N/A</v>
      </c>
      <c r="DX352" s="361" t="str">
        <f t="shared" si="1062"/>
        <v xml:space="preserve"> </v>
      </c>
      <c r="DY352" s="361" t="str">
        <f t="shared" si="1063"/>
        <v xml:space="preserve"> </v>
      </c>
      <c r="DZ352" s="361" t="str">
        <f t="shared" si="1064"/>
        <v xml:space="preserve"> </v>
      </c>
      <c r="EA352" s="362" t="str">
        <f t="shared" si="1065"/>
        <v xml:space="preserve"> </v>
      </c>
      <c r="EB352" s="624" t="str">
        <f t="shared" si="1170"/>
        <v xml:space="preserve"> </v>
      </c>
      <c r="EC352" s="361" t="e">
        <f ca="1">INDEX(INDIRECT(VLOOKUP(LEFT(BO352,7),CLU!$Z$3:$AH$18,7)),M352-1,4+LEFT(DZ352,1)*0.5)</f>
        <v>#N/A</v>
      </c>
      <c r="ED352" s="362" t="str">
        <f t="shared" si="1066"/>
        <v xml:space="preserve"> </v>
      </c>
      <c r="EE352" s="361" t="str">
        <f t="shared" si="1067"/>
        <v xml:space="preserve"> </v>
      </c>
      <c r="EF352" s="362" t="str">
        <f>IF(L352&gt;0,IF(BR352&gt;0,IF(EE352="2P",IF(Calculation!DZ352="2P",IF(Calculation!DS352=13.75,IF(Calculation!DR352=13,Worksheet!$BD$43,IF(Calculation!DR352=37,Worksheet!$BD$44,Worksheet!$BD$45)),IF(Calculation!DS352=10,IF(Calculation!DR352=18,Worksheet!$BD$29,IF(Calculation!DR352=30,Worksheet!$BD$30,IF(Calculation!DR352=42,Worksheet!$BD$31,IF(Calculation!DR352=54,Worksheet!$BD$32,IF(Calculation!DR352=66,Worksheet!$BD$33,IF(Calculation!DR352=78,Worksheet!$BD$34,IF(Calculation!DR352=90,Worksheet!$BD$35,IF(Calculation!DR352=102,Worksheet!$BD$36,Worksheet!$BD$37)))))))),IF(Calculation!DS352=12.5,IF(Calculation!DR352=18,Worksheet!$BD$38,IF(Calculation!DR352=Worksheet!$BD$39,IF(Calculation!DR352=42,Worksheet!$BD$40,IF(Calculation!DR352=54,Worksheet!$BD$41,Worksheet!$BD$42)))),IF(Calculation!DR352=18,Worksheet!$BD$11,IF(Calculation!DR352=30,Worksheet!$BD$12,IF(Calculation!DR352=42,Worksheet!$BD$13,IF(Calculation!DR352=54,Worksheet!$BD$14,IF(Calculation!DR352=66,Worksheet!$BD$15,IF(Calculation!DR352=78,Worksheet!$BD$16,IF(Calculation!DR352=90,Worksheet!$BD$17,IF(Calculation!DR352=102,Worksheet!$BD$18,Worksheet!$BD$19))))))))))),IF(Calculation!DS352=13.75,IF(Calculation!DR352=13,Worksheet!$BD$78,IF(Calculation!DR352=37,Worksheet!$BD$79,Worksheet!$BD$80)),IF(Calculation!DS352=10,IF(Calculation!DR352=18,Worksheet!$BD$64,IF(Calculation!DR352=30,Worksheet!$BD$65,IF(Calculation!DR352=42,Worksheet!$BD$66,IF(Calculation!DR352=54,Worksheet!$BD$68,IF(Calculation!DR352=66,Worksheet!$BD$68,IF(Calculation!DR352=78,Worksheet!$BD$69,IF(Calculation!DR352=90,Worksheet!$BD$70,IF(Calculation!DR352=102,Worksheet!$BD$71,Worksheet!$BD$72)))))))),IF(Calculation!DS352=12.5,IF(Calculation!DR352=18,Worksheet!$BD$73,IF(Calculation!DR352=Worksheet!$BD$74,IF(Calculation!DR352=42,Worksheet!$BD$75,IF(Calculation!DR352=54,Worksheet!$BD$76,Worksheet!$BD$77)))),IF(Calculation!DR352=18,Worksheet!$BD$55,IF(Calculation!DR352=30,Worksheet!$BD$56,IF(Calculation!DR352=42,Worksheet!$BD$57,IF(Calculation!DR352=54,Worksheet!$BD$58,IF(Calculation!DR352=66,Worksheet!$BD$59,IF(Calculation!DR352=78,Worksheet!$BD$60,IF(Calculation!DR352=90,Worksheet!$BD$61,IF(Calculation!DR352=102,Worksheet!$BD$62,Worksheet!$BD$63)))))))))))),5),0)," ")</f>
        <v xml:space="preserve"> </v>
      </c>
      <c r="EG352" s="361" t="str">
        <f t="shared" si="1068"/>
        <v xml:space="preserve"> </v>
      </c>
      <c r="EH352" s="361" t="e">
        <f ca="1">INDEX(INDIRECT(VLOOKUP(LEFT(BO352,7),CLU!$Z$3:$AH$18,7)),M352-1,3+LEFT(DZ352,1))</f>
        <v>#N/A</v>
      </c>
      <c r="EI352" s="362" t="str">
        <f t="shared" si="1069"/>
        <v xml:space="preserve"> </v>
      </c>
      <c r="EJ352" s="363" t="str">
        <f t="shared" si="1070"/>
        <v xml:space="preserve"> </v>
      </c>
      <c r="EK352" s="363" t="str">
        <f t="shared" si="1071"/>
        <v xml:space="preserve"> </v>
      </c>
      <c r="EL352" s="363" t="str">
        <f t="shared" si="1072"/>
        <v xml:space="preserve"> </v>
      </c>
      <c r="EM352" s="362" t="str">
        <f>IF(L352&gt;0,IF(BR352&gt;0,(Calculation!T352/ED352)^2,0)," ")</f>
        <v xml:space="preserve"> </v>
      </c>
      <c r="EN352" s="362" t="str">
        <f>IF(L352&gt;0,IF(O352="2 Pipe (Cooling)","N/A",IF(BR352&gt;0,(Calculation!U352/EI352)^2,0))," ")</f>
        <v xml:space="preserve"> </v>
      </c>
      <c r="EO352" s="361" t="str">
        <f t="shared" si="1073"/>
        <v/>
      </c>
      <c r="EP352" s="361" t="str">
        <f t="shared" si="1074"/>
        <v/>
      </c>
      <c r="EQ352" s="361" t="str">
        <f t="shared" si="1075"/>
        <v/>
      </c>
      <c r="ER352" s="361" t="str">
        <f t="shared" si="1076"/>
        <v/>
      </c>
      <c r="ES352" s="361" t="str">
        <f t="shared" si="1077"/>
        <v/>
      </c>
      <c r="ET352" s="361" t="str">
        <f t="shared" si="1078"/>
        <v/>
      </c>
      <c r="EU352" s="361" t="str">
        <f t="shared" si="1079"/>
        <v/>
      </c>
      <c r="EV352" s="361" t="str">
        <f t="shared" si="1080"/>
        <v/>
      </c>
      <c r="EW352" s="361" t="str">
        <f t="shared" si="1081"/>
        <v/>
      </c>
      <c r="EX352" s="361" t="str">
        <f t="shared" si="1171"/>
        <v>1 slot, 1 way</v>
      </c>
      <c r="EY352" s="361" t="str">
        <f t="shared" si="1172"/>
        <v xml:space="preserve"> </v>
      </c>
      <c r="EZ352" s="361" t="str">
        <f t="shared" si="1173"/>
        <v xml:space="preserve"> </v>
      </c>
      <c r="FA352" s="361" t="str">
        <f t="shared" si="1174"/>
        <v xml:space="preserve"> </v>
      </c>
      <c r="FB352" s="361" t="str">
        <f t="shared" si="1175"/>
        <v xml:space="preserve"> </v>
      </c>
      <c r="FC352" s="361"/>
      <c r="FD352" s="361" t="str">
        <f>IF(J352&gt;0,IF(Calculation!R352&lt;=70,4,IF(Calculation!R352&lt;=110,5,IF(Calculation!R352&lt;=160,6,IF(Calculation!R352&lt;=300,8,"10 EO")))),"")</f>
        <v/>
      </c>
      <c r="FE352" s="361" t="str">
        <f t="shared" si="1176"/>
        <v/>
      </c>
      <c r="FF352" s="361" t="str">
        <f t="shared" si="1177"/>
        <v/>
      </c>
      <c r="FG352" s="361" t="e">
        <f t="shared" si="1082"/>
        <v>#N/A</v>
      </c>
      <c r="FH352" s="361">
        <f t="shared" si="1083"/>
        <v>0</v>
      </c>
      <c r="FI352" s="361" t="e">
        <f t="shared" si="1084"/>
        <v>#DIV/0!</v>
      </c>
      <c r="FJ352" s="361"/>
      <c r="FK352" s="356" t="e">
        <f t="shared" si="1085"/>
        <v>#VALUE!</v>
      </c>
      <c r="FL352" s="361"/>
      <c r="FM352" s="361"/>
      <c r="FN352" s="362" t="str">
        <f t="shared" si="1178"/>
        <v xml:space="preserve"> </v>
      </c>
      <c r="FO352" s="362" t="str">
        <f t="shared" si="1179"/>
        <v xml:space="preserve"> </v>
      </c>
      <c r="FP352" s="362">
        <f t="shared" si="1180"/>
        <v>0</v>
      </c>
      <c r="FQ352" s="361">
        <f t="shared" si="1086"/>
        <v>0</v>
      </c>
      <c r="FR352" s="362" t="str">
        <f>IF(L352&gt;0,IF(J352="CBAL2",Worksheet!$P$67,IF(J352="CBE2-24",Worksheet!$Q$67,IF(J352="CBAM",Worksheet!$R$67,IF(J352="CBLV",Worksheet!$S$67,IF(J352="CBAB",Worksheet!$U$67,IF(J352="CBAW",Worksheet!$X$67,IF(J352="CBE2-12",Worksheet!$Y$67,IF(J352="CBAL2",Worksheet!$Z$67,"N/A"))))))))," ")</f>
        <v xml:space="preserve"> </v>
      </c>
      <c r="FS352" s="362" t="str">
        <f>IF(L352&gt;0,IF(J352="CBAL2",Worksheet!$P$68,IF(J352="CBE2-24",Worksheet!$Q$68,IF(J352="CBAM",Worksheet!$R$68,IF(J352="CBLV",Worksheet!$S$68,IF(J352="CBAB",Worksheet!$U$68,IF(J352="CBAW",Worksheet!$X$68,IF(J352="CBE2-12",Worksheet!$Y$68,IF(J352="CBAL2",Worksheet!$Z$68,"N/A"))))))))," ")</f>
        <v xml:space="preserve"> </v>
      </c>
      <c r="FT352" s="362" t="str">
        <f>IF(L352&gt;0,IF(J352="CBAL2",Worksheet!$P$69,IF(J352="CBE2-24",Worksheet!$Q$69,IF(J352="CBAM",Worksheet!$R$69,IF(J352="CBLV",Worksheet!$S$69,IF(J352="CBAB",Worksheet!$U$69,IF(J352="CBAW",Worksheet!$X$69,IF(J352="CBE2-12",Worksheet!$Y$69,IF(J352="CBAL2",Worksheet!$Z$69,"N/A"))))))))," ")</f>
        <v xml:space="preserve"> </v>
      </c>
      <c r="FU352" s="361" t="str">
        <f t="shared" si="1181"/>
        <v xml:space="preserve"> </v>
      </c>
      <c r="FV352" s="362" t="str">
        <f t="shared" si="1182"/>
        <v xml:space="preserve"> </v>
      </c>
      <c r="FW352" s="362" t="str">
        <f t="shared" si="1183"/>
        <v xml:space="preserve"> </v>
      </c>
      <c r="FX352" s="362" t="str">
        <f t="shared" si="1184"/>
        <v xml:space="preserve"> </v>
      </c>
      <c r="FY352" s="355" t="str">
        <f t="shared" si="1185"/>
        <v xml:space="preserve"> </v>
      </c>
      <c r="FZ352" s="361" t="str">
        <f t="shared" si="1186"/>
        <v xml:space="preserve"> </v>
      </c>
      <c r="GA352" s="347" t="str">
        <f t="shared" si="1187"/>
        <v xml:space="preserve"> </v>
      </c>
      <c r="GB352" s="355" t="str">
        <f t="shared" si="1188"/>
        <v xml:space="preserve"> </v>
      </c>
      <c r="GC352" s="328" t="str">
        <f t="shared" si="1189"/>
        <v xml:space="preserve"> </v>
      </c>
      <c r="GD352" s="361" t="str">
        <f t="shared" si="1190"/>
        <v xml:space="preserve"> </v>
      </c>
      <c r="GE352" s="347" t="str">
        <f t="shared" si="1191"/>
        <v xml:space="preserve"> </v>
      </c>
      <c r="GF352" s="361" t="str">
        <f t="shared" si="1192"/>
        <v xml:space="preserve"> </v>
      </c>
      <c r="GG352" s="347" t="str">
        <f t="shared" si="1193"/>
        <v xml:space="preserve"> </v>
      </c>
      <c r="GH352" s="364">
        <f t="shared" si="1087"/>
        <v>0</v>
      </c>
      <c r="GI352" s="362">
        <f t="shared" si="1194"/>
        <v>2</v>
      </c>
      <c r="GJ352" s="433" t="e">
        <f>IF(6-COUNTBLANK(GT352:GY352)=4,MATCH(MID(BO352,9,3),CLU!$H$16:$K$16),MATCH(MID(BO352,9,3),CLU!$H$13:$M$13))</f>
        <v>#N/A</v>
      </c>
      <c r="GK352" s="433" t="e">
        <f>HLOOKUP(VALUE(BP352),CLU!$H$9:$M$10,2)</f>
        <v>#VALUE!</v>
      </c>
      <c r="GL352" s="433" t="e">
        <f ca="1">MATCH(BU352,CLU!$H$2:$V$2,1)</f>
        <v>#VALUE!</v>
      </c>
      <c r="GM352" s="433" t="e">
        <f t="shared" ca="1" si="1195"/>
        <v>#VALUE!</v>
      </c>
      <c r="GN352" s="433" t="e">
        <f t="shared" ca="1" si="1196"/>
        <v>#VALUE!</v>
      </c>
      <c r="GO352" s="433" t="e">
        <f t="shared" ca="1" si="1197"/>
        <v>#VALUE!</v>
      </c>
      <c r="GP352" s="433" t="e">
        <f t="shared" ca="1" si="1198"/>
        <v>#VALUE!</v>
      </c>
      <c r="GQ352" s="433" t="e">
        <f t="shared" ca="1" si="1199"/>
        <v>#VALUE!</v>
      </c>
      <c r="GR352" s="433" t="e">
        <f ca="1">MATCH(T352,INDIRECT(VLOOKUP(CONCATENATE(LEFT(BO352,7),"-",MID(BO352,13,1)),CLU!$P$3:$Q$16,2)),1)</f>
        <v>#N/A</v>
      </c>
      <c r="GS352" s="433" t="e">
        <f ca="1">MATCH(U352,INDIRECT(VLOOKUP(CONCATENATE(LEFT(BO352,7),"-",MID(BO352,13,1)),CLU!$P$3:$Q$16,2)),1)</f>
        <v>#N/A</v>
      </c>
      <c r="GT352" s="347" t="s">
        <v>512</v>
      </c>
      <c r="GU352" s="97" t="s">
        <v>513</v>
      </c>
      <c r="GV352" s="97" t="str">
        <f t="shared" si="1200"/>
        <v>M23</v>
      </c>
      <c r="GW352" s="97" t="str">
        <f t="shared" si="1201"/>
        <v>M31</v>
      </c>
      <c r="GX352" s="97" t="str">
        <f t="shared" si="1202"/>
        <v/>
      </c>
      <c r="GY352" s="97" t="str">
        <f t="shared" si="1203"/>
        <v/>
      </c>
      <c r="GZ352" s="481"/>
      <c r="HA352" s="240"/>
      <c r="HB352" s="240"/>
      <c r="HC352" s="240"/>
      <c r="HD352" s="240"/>
      <c r="HE352" s="240"/>
      <c r="HF352" s="240"/>
      <c r="HG352" s="240"/>
      <c r="HH352" s="240"/>
      <c r="HI352" s="240"/>
      <c r="HJ352" s="240"/>
      <c r="HK352" s="240"/>
      <c r="HL352" s="240"/>
      <c r="HM352" s="240"/>
      <c r="HN352" s="240"/>
      <c r="HO352" s="240"/>
      <c r="HP352" s="240"/>
      <c r="HQ352" s="240"/>
      <c r="HR352" s="240"/>
      <c r="HS352" s="240"/>
      <c r="HT352" s="240"/>
      <c r="HU352" s="240"/>
      <c r="HV352" s="245"/>
      <c r="HW352" s="245" t="b">
        <v>1</v>
      </c>
      <c r="HX352" s="245" t="str">
        <f t="shared" si="1088"/>
        <v/>
      </c>
      <c r="HY352" s="245" t="e">
        <f t="shared" si="1089"/>
        <v>#DIV/0!</v>
      </c>
      <c r="HZ352" s="245" t="e">
        <f t="shared" si="1090"/>
        <v>#DIV/0!</v>
      </c>
      <c r="IA352" s="245">
        <f t="shared" si="1091"/>
        <v>0</v>
      </c>
      <c r="IB352" s="245"/>
      <c r="IC352" t="b">
        <f t="shared" si="1092"/>
        <v>1</v>
      </c>
      <c r="ID352" s="245" t="b">
        <f t="shared" si="1093"/>
        <v>1</v>
      </c>
      <c r="IE352" s="245" t="b">
        <f t="shared" si="1094"/>
        <v>1</v>
      </c>
      <c r="IF352" s="245" t="b">
        <f t="shared" si="1095"/>
        <v>0</v>
      </c>
      <c r="IG352" s="245" t="b">
        <f t="shared" si="1096"/>
        <v>1</v>
      </c>
      <c r="IH352" s="245" t="b">
        <f t="shared" si="1097"/>
        <v>1</v>
      </c>
      <c r="II352" s="245">
        <f t="shared" si="1204"/>
        <v>0</v>
      </c>
      <c r="IJ352" s="245" t="e">
        <f t="shared" si="1098"/>
        <v>#VALUE!</v>
      </c>
      <c r="IK352" s="245" t="e">
        <f t="shared" si="1099"/>
        <v>#VALUE!</v>
      </c>
      <c r="IL352" s="245"/>
      <c r="IM352" s="245" t="e">
        <f t="shared" si="1205"/>
        <v>#N/A</v>
      </c>
      <c r="IN352" s="245" t="e">
        <f t="shared" si="1206"/>
        <v>#N/A</v>
      </c>
      <c r="IO352" s="245"/>
      <c r="IP352" s="245"/>
      <c r="IQ352" s="245" t="str">
        <f t="shared" si="1100"/>
        <v/>
      </c>
      <c r="IR352" s="245" t="str">
        <f>IF(J352="","",VLOOKUP(J352,Worksheet!$R$4:$T$14,2))</f>
        <v/>
      </c>
      <c r="IS352" s="245"/>
      <c r="IT352" s="245">
        <f t="shared" si="1101"/>
        <v>0</v>
      </c>
      <c r="IU352" s="245">
        <f t="shared" si="1102"/>
        <v>0</v>
      </c>
      <c r="IV352" s="245">
        <f t="shared" si="1103"/>
        <v>0</v>
      </c>
      <c r="IW352" s="245">
        <f t="shared" si="1104"/>
        <v>0</v>
      </c>
      <c r="IX352" s="245">
        <f t="shared" si="1207"/>
        <v>0</v>
      </c>
      <c r="IY352" s="245">
        <f t="shared" si="1105"/>
        <v>0</v>
      </c>
      <c r="IZ352" s="245">
        <f t="shared" si="1106"/>
        <v>0</v>
      </c>
      <c r="JA352">
        <f t="shared" si="1107"/>
        <v>0</v>
      </c>
      <c r="JB352">
        <f t="shared" si="1208"/>
        <v>0</v>
      </c>
      <c r="JC352">
        <f t="shared" si="1108"/>
        <v>0</v>
      </c>
      <c r="JD352">
        <f t="shared" si="1109"/>
        <v>0</v>
      </c>
      <c r="JE352">
        <f t="shared" si="1110"/>
        <v>0</v>
      </c>
      <c r="JF352">
        <f t="shared" si="1111"/>
        <v>0</v>
      </c>
      <c r="JG352">
        <f t="shared" si="1112"/>
        <v>0</v>
      </c>
      <c r="JH352">
        <f t="shared" si="1113"/>
        <v>0</v>
      </c>
      <c r="JI352">
        <f t="shared" si="1114"/>
        <v>0</v>
      </c>
      <c r="JJ352" s="447">
        <f t="shared" si="1115"/>
        <v>0</v>
      </c>
      <c r="JK352" s="447">
        <f t="shared" si="1116"/>
        <v>0</v>
      </c>
      <c r="JL352">
        <f t="shared" si="1117"/>
        <v>0</v>
      </c>
      <c r="JM352" s="245" t="str">
        <f>IFERROR(VLOOKUP(MATCH(BN352,#REF!,0),#REF!,7),"")</f>
        <v/>
      </c>
      <c r="JN352" t="e">
        <f>HLOOKUP(LEFT(BO352,7),Discharge_Area,MATCH(JO352,LookUps!$B$130:$B$149,1)+2)</f>
        <v>#N/A</v>
      </c>
      <c r="JO352" t="str">
        <f t="shared" si="1118"/>
        <v>- S</v>
      </c>
      <c r="JP352" t="e">
        <f>HLOOKUP(LEFT(BO352,7),Discharge_Area,MATCH(JO352,LookUps!$B$130:$B$149,1)+2)</f>
        <v>#N/A</v>
      </c>
      <c r="JQ352" t="e">
        <f t="shared" si="1119"/>
        <v>#N/A</v>
      </c>
      <c r="JR352" t="e">
        <f t="shared" si="1120"/>
        <v>#N/A</v>
      </c>
      <c r="JS352" t="e">
        <f t="shared" si="1121"/>
        <v>#N/A</v>
      </c>
      <c r="JT352" s="532" t="str">
        <f t="shared" si="1122"/>
        <v xml:space="preserve"> </v>
      </c>
      <c r="JU352" s="532" t="str">
        <f t="shared" si="1123"/>
        <v xml:space="preserve"> </v>
      </c>
      <c r="JV352" s="533" t="str">
        <f t="shared" si="1124"/>
        <v xml:space="preserve"> </v>
      </c>
      <c r="JW352" s="534">
        <f t="shared" si="1125"/>
        <v>0</v>
      </c>
      <c r="JX352" s="535" t="str">
        <f t="shared" si="1209"/>
        <v xml:space="preserve"> </v>
      </c>
      <c r="JY352" s="535" t="str">
        <f t="shared" si="1210"/>
        <v xml:space="preserve"> </v>
      </c>
      <c r="JZ352" s="535" t="str">
        <f t="shared" si="1211"/>
        <v xml:space="preserve"> </v>
      </c>
      <c r="KA352" s="536" t="str">
        <f t="shared" si="1126"/>
        <v xml:space="preserve"> </v>
      </c>
      <c r="KB352" s="535" t="e">
        <f t="shared" si="1212"/>
        <v>#VALUE!</v>
      </c>
      <c r="KC352" s="535" t="str">
        <f t="shared" si="1127"/>
        <v/>
      </c>
      <c r="KD352" s="537" t="str">
        <f t="shared" si="1213"/>
        <v xml:space="preserve"> </v>
      </c>
      <c r="KE352" s="537" t="str">
        <f t="shared" si="1214"/>
        <v xml:space="preserve"> </v>
      </c>
      <c r="KF352" s="534">
        <f t="shared" si="1128"/>
        <v>0</v>
      </c>
      <c r="KG352" s="535" t="str">
        <f t="shared" si="1129"/>
        <v xml:space="preserve"> </v>
      </c>
      <c r="KH352" s="535" t="str">
        <f t="shared" si="1130"/>
        <v xml:space="preserve"> </v>
      </c>
      <c r="KI352" s="535" t="str">
        <f t="shared" si="1131"/>
        <v xml:space="preserve"> </v>
      </c>
      <c r="KJ352" s="536" t="str">
        <f t="shared" si="1132"/>
        <v xml:space="preserve"> </v>
      </c>
      <c r="KK352" s="535" t="str">
        <f t="shared" si="1215"/>
        <v xml:space="preserve"> </v>
      </c>
      <c r="KL352" s="535" t="str">
        <f t="shared" si="1216"/>
        <v xml:space="preserve"> </v>
      </c>
      <c r="KM352" s="537" t="str">
        <f t="shared" si="1133"/>
        <v xml:space="preserve"> </v>
      </c>
      <c r="KN352" s="537" t="str">
        <f t="shared" si="1217"/>
        <v xml:space="preserve"> </v>
      </c>
      <c r="KP352">
        <f t="shared" si="1134"/>
        <v>0</v>
      </c>
      <c r="LA352" t="e">
        <f t="shared" si="1135"/>
        <v>#VALUE!</v>
      </c>
      <c r="LB352" t="e">
        <f t="shared" si="1136"/>
        <v>#VALUE!</v>
      </c>
      <c r="LC352" t="e">
        <f t="shared" si="1137"/>
        <v>#VALUE!</v>
      </c>
      <c r="LD352" t="e">
        <f t="shared" si="1138"/>
        <v>#VALUE!</v>
      </c>
      <c r="LE352" t="e">
        <f t="shared" si="1218"/>
        <v>#VALUE!</v>
      </c>
      <c r="LF352">
        <f t="shared" si="1139"/>
        <v>0</v>
      </c>
      <c r="LG352" t="e">
        <f t="shared" si="1219"/>
        <v>#VALUE!</v>
      </c>
      <c r="LH352" t="str">
        <f t="shared" si="1140"/>
        <v xml:space="preserve"> </v>
      </c>
      <c r="LI352">
        <f t="shared" si="1220"/>
        <v>1</v>
      </c>
    </row>
    <row r="353" spans="2:321" ht="15" customHeight="1">
      <c r="B353" s="311"/>
      <c r="C353" s="311"/>
      <c r="D353" s="312"/>
      <c r="E353" s="311"/>
      <c r="F353" s="312"/>
      <c r="G353" s="311"/>
      <c r="H353" s="311"/>
      <c r="I353" s="232"/>
      <c r="J353" s="311"/>
      <c r="K353" s="305" t="str">
        <f t="shared" si="1141"/>
        <v/>
      </c>
      <c r="L353" s="313"/>
      <c r="M353" s="312"/>
      <c r="N353" s="311"/>
      <c r="O353" s="312"/>
      <c r="P353" s="311"/>
      <c r="Q353" s="305" t="str">
        <f t="shared" si="1142"/>
        <v/>
      </c>
      <c r="R353" s="314"/>
      <c r="S353" s="450" t="str">
        <f t="shared" si="1025"/>
        <v/>
      </c>
      <c r="T353" s="315"/>
      <c r="U353" s="315"/>
      <c r="W353" s="149" t="str">
        <f t="shared" si="1026"/>
        <v xml:space="preserve"> </v>
      </c>
      <c r="X353" s="243" t="str">
        <f t="shared" si="1027"/>
        <v xml:space="preserve"> </v>
      </c>
      <c r="Y353" s="150" t="str">
        <f t="shared" si="1028"/>
        <v/>
      </c>
      <c r="Z353" s="149" t="str">
        <f t="shared" si="1029"/>
        <v xml:space="preserve"> </v>
      </c>
      <c r="AA353" s="98" t="str">
        <f t="shared" si="1030"/>
        <v xml:space="preserve"> </v>
      </c>
      <c r="AB353" s="153" t="str">
        <f t="shared" si="1031"/>
        <v xml:space="preserve"> </v>
      </c>
      <c r="AC353" s="153" t="str">
        <f t="shared" si="1032"/>
        <v xml:space="preserve"> </v>
      </c>
      <c r="AD353" s="148" t="str">
        <f t="shared" si="1033"/>
        <v/>
      </c>
      <c r="AE353" s="149" t="str">
        <f t="shared" si="1034"/>
        <v/>
      </c>
      <c r="AF353" s="151" t="str">
        <f t="shared" si="1035"/>
        <v xml:space="preserve"> </v>
      </c>
      <c r="AG353" s="153" t="str">
        <f t="shared" si="1036"/>
        <v xml:space="preserve"> </v>
      </c>
      <c r="AH353" s="98" t="str">
        <f t="shared" si="1037"/>
        <v xml:space="preserve"> </v>
      </c>
      <c r="AI353" s="149" t="str">
        <f t="shared" si="1038"/>
        <v xml:space="preserve"> </v>
      </c>
      <c r="AK353" s="144" t="str">
        <f t="shared" si="1039"/>
        <v xml:space="preserve"> </v>
      </c>
      <c r="AL353" s="144"/>
      <c r="AM353" s="243" t="str">
        <f t="shared" si="1040"/>
        <v xml:space="preserve"> </v>
      </c>
      <c r="AN353" s="149" t="str">
        <f t="shared" si="1143"/>
        <v xml:space="preserve"> </v>
      </c>
      <c r="AO353" s="144" t="str">
        <f>IF(JB353&gt;0,IF(GI353=10,-R353*1.085*(Calculation!$F$6-Calculation!$F$13)*$S$14," "),"")</f>
        <v/>
      </c>
      <c r="AP353" s="144" t="str">
        <f t="shared" si="1041"/>
        <v/>
      </c>
      <c r="AQ353" s="56" t="str">
        <f t="shared" si="1042"/>
        <v/>
      </c>
      <c r="AR353" s="144" t="str">
        <f t="shared" si="1043"/>
        <v/>
      </c>
      <c r="AS353" s="176" t="str">
        <f t="shared" si="1044"/>
        <v/>
      </c>
      <c r="AT353" s="176" t="str">
        <f t="shared" si="1144"/>
        <v xml:space="preserve"> </v>
      </c>
      <c r="AU353" s="176" t="str">
        <f t="shared" si="1045"/>
        <v/>
      </c>
      <c r="AV353" s="177" t="str">
        <f t="shared" si="1046"/>
        <v xml:space="preserve"> </v>
      </c>
      <c r="AW353" s="144" t="str">
        <f t="shared" si="1047"/>
        <v xml:space="preserve"> </v>
      </c>
      <c r="AX353" s="144" t="str">
        <f t="shared" si="1048"/>
        <v xml:space="preserve"> </v>
      </c>
      <c r="AY353" s="152" t="str">
        <f t="shared" si="1049"/>
        <v xml:space="preserve"> </v>
      </c>
      <c r="AZ353" s="246" t="str">
        <f t="shared" si="1050"/>
        <v/>
      </c>
      <c r="BA353" s="176" t="str">
        <f t="shared" si="1051"/>
        <v xml:space="preserve"> </v>
      </c>
      <c r="BB353" s="176" t="str">
        <f t="shared" si="1052"/>
        <v xml:space="preserve"> </v>
      </c>
      <c r="BC353" s="195"/>
      <c r="BD353" s="316"/>
      <c r="BE353" s="317"/>
      <c r="BF353" s="318"/>
      <c r="BG353" s="318"/>
      <c r="BH353" s="144" t="str">
        <f t="shared" si="1221"/>
        <v xml:space="preserve"> </v>
      </c>
      <c r="BI353" s="176" t="str">
        <f t="shared" si="1053"/>
        <v/>
      </c>
      <c r="BJ353" s="144" t="str">
        <f t="shared" si="1222"/>
        <v/>
      </c>
      <c r="BK353" s="246" t="str">
        <f t="shared" si="1054"/>
        <v/>
      </c>
      <c r="BL353" s="144" t="str">
        <f t="shared" si="1223"/>
        <v/>
      </c>
      <c r="BM353" s="246" t="str">
        <f t="shared" si="1055"/>
        <v/>
      </c>
      <c r="BN353" s="337" t="str">
        <f t="shared" si="1145"/>
        <v/>
      </c>
      <c r="BO353" s="371" t="str">
        <f t="shared" si="1146"/>
        <v/>
      </c>
      <c r="BP353" s="328" t="str">
        <f t="shared" si="1224"/>
        <v xml:space="preserve"> </v>
      </c>
      <c r="BQ353" s="347" t="str">
        <f t="shared" si="1147"/>
        <v xml:space="preserve"> </v>
      </c>
      <c r="BR353" s="353" t="str">
        <f t="shared" si="1148"/>
        <v xml:space="preserve"> </v>
      </c>
      <c r="BS353" s="626" t="str">
        <f>IF(L353&gt;0,IF(Calculation!P353="M13",BR353*3.1416*(0.134^2)/(4*144),IF(Calculation!P353="M17",BR353*3.1416*(0.165^2)/(4*144),IF(Calculation!P353="M20",BR353*3.1416*(0.198^2)/(4*144),IF(Calculation!P353="M23",BR353*3.1416*(0.228^2)/(4*144),IF(Calculation!P353="M27",BR353*3.1416*(0.269^2)/(4*144),BR353*3.1416*(0.307^2)/(4*144))))))," ")</f>
        <v xml:space="preserve"> </v>
      </c>
      <c r="BT353" s="353" t="str">
        <f>IF(L353&gt;0,IF(BS353&gt;0,R353/Calculation!BS353,0)," ")</f>
        <v xml:space="preserve"> </v>
      </c>
      <c r="BU353" s="438" t="e">
        <f t="shared" ca="1" si="1056"/>
        <v>#VALUE!</v>
      </c>
      <c r="BV353" s="449" t="e">
        <f ca="1">INDEX(INDIRECT(VLOOKUP(LEFT(BO353,7),CLU!$Z$3:$AH$18,2)),GN353,GR353)</f>
        <v>#N/A</v>
      </c>
      <c r="BW353" s="433" t="e">
        <f ca="1">INDEX(INDIRECT(VLOOKUP(LEFT(BO353,7),CLU!$Z$3:$AH$18,3)),GN353,GR353)</f>
        <v>#N/A</v>
      </c>
      <c r="BX353" s="433" t="e">
        <f ca="1">INDEX(INDIRECT(VLOOKUP(LEFT(BO353,7),CLU!$Z$3:$AH$18,4)),GN353,GR353)</f>
        <v>#N/A</v>
      </c>
      <c r="BY353" s="433" t="e">
        <f ca="1">INDEX(INDIRECT(VLOOKUP(LEFT(BO353,7),CLU!$Z$3:$AH$18,9)),((M353-2)*(6-COUNTBLANK(GT353:GY353)))+GJ353)</f>
        <v>#N/A</v>
      </c>
      <c r="BZ353" s="426" t="e">
        <f t="shared" ca="1" si="1149"/>
        <v>#N/A</v>
      </c>
      <c r="CA353" s="424" t="e">
        <f t="shared" ca="1" si="1150"/>
        <v>#N/A</v>
      </c>
      <c r="CB353" s="429" t="e">
        <f ca="1">INDEX(INDIRECT(VLOOKUP(LEFT(BO353,7),CLU!$Z$3:$AH$18,2)),GN353,GS353)</f>
        <v>#N/A</v>
      </c>
      <c r="CC353" s="342" t="e">
        <f ca="1">INDEX(INDIRECT(VLOOKUP(LEFT(BO353,7),CLU!$Z$3:$AH$18,3)),GN353,GS353)</f>
        <v>#N/A</v>
      </c>
      <c r="CD353" s="342" t="e">
        <f ca="1">INDEX(INDIRECT(VLOOKUP(LEFT(BO353,7),CLU!$Z$3:$AH$18,4)),GN353,GS353)</f>
        <v>#N/A</v>
      </c>
      <c r="CE353" s="426" t="e">
        <f t="shared" ca="1" si="1151"/>
        <v>#N/A</v>
      </c>
      <c r="CF353" s="440">
        <f t="shared" si="1152"/>
        <v>0</v>
      </c>
      <c r="CG353" s="431" t="e">
        <f ca="1">INDEX(INDIRECT(VLOOKUP(LEFT(BO353,7),CLU!$Z$3:$AH$18,2)),GQ353,GR353)</f>
        <v>#N/A</v>
      </c>
      <c r="CH353" s="431" t="e">
        <f ca="1">INDEX(INDIRECT(VLOOKUP(LEFT(BO353,7),CLU!$Z$3:$AH$18,3)),GQ353,GR353)</f>
        <v>#N/A</v>
      </c>
      <c r="CI353" s="431" t="e">
        <f ca="1">INDEX(INDIRECT(VLOOKUP(LEFT(BO353,7),CLU!$Z$3:$AH$18,4)),GQ353,GR353)</f>
        <v>#N/A</v>
      </c>
      <c r="CJ353" s="448" t="e">
        <f t="shared" ca="1" si="1153"/>
        <v>#N/A</v>
      </c>
      <c r="CK353" s="431" t="e">
        <f t="shared" ca="1" si="1154"/>
        <v>#N/A</v>
      </c>
      <c r="CL353" s="440" t="e">
        <f t="shared" ca="1" si="1155"/>
        <v>#N/A</v>
      </c>
      <c r="CM353" s="431" t="e">
        <f ca="1">INDEX(INDIRECT(VLOOKUP(LEFT(BO353,7),CLU!$Z$3:$AH$18,2)),GQ353,GS353)</f>
        <v>#N/A</v>
      </c>
      <c r="CN353" s="431" t="e">
        <f ca="1">INDEX(INDIRECT(VLOOKUP(LEFT(BO353,7),CLU!$Z$3:$AH$18,3)),GQ353,GS353)</f>
        <v>#N/A</v>
      </c>
      <c r="CO353" s="431" t="e">
        <f ca="1">INDEX(INDIRECT(VLOOKUP(LEFT(BO353,7),CLU!$Z$3:$AH$18,4)),GQ353,GS353)</f>
        <v>#N/A</v>
      </c>
      <c r="CP353" s="431" t="e">
        <f t="shared" ca="1" si="1156"/>
        <v>#N/A</v>
      </c>
      <c r="CQ353" s="440">
        <f t="shared" si="1157"/>
        <v>0</v>
      </c>
      <c r="CR353" s="51" t="e">
        <f t="shared" ca="1" si="1158"/>
        <v>#N/A</v>
      </c>
      <c r="CS353" s="439" t="e">
        <f t="shared" ca="1" si="1159"/>
        <v>#VALUE!</v>
      </c>
      <c r="CT353" s="51" t="e">
        <f t="shared" ca="1" si="1160"/>
        <v>#VALUE!</v>
      </c>
      <c r="CU353" s="10"/>
      <c r="CV353" s="51" t="e">
        <f t="shared" ca="1" si="1057"/>
        <v>#VALUE!</v>
      </c>
      <c r="CW353" s="51">
        <f t="shared" si="1161"/>
        <v>0</v>
      </c>
      <c r="CX353" s="439" t="e">
        <f t="shared" ca="1" si="1162"/>
        <v>#VALUE!</v>
      </c>
      <c r="CY353" s="51" t="e">
        <f t="shared" ca="1" si="1163"/>
        <v>#VALUE!</v>
      </c>
      <c r="CZ353" s="10"/>
      <c r="DA353" s="51" t="e">
        <f t="shared" ca="1" si="1164"/>
        <v>#VALUE!</v>
      </c>
      <c r="DB353" s="347" t="e">
        <f ca="1">INDEX(INDIRECT(VLOOKUP(LEFT(BO353,7),CLU!$Z$3:$AI$18,10)),((M353-2)*(6-COUNTBLANK(GT353:GY353)))+GJ353)*LI353</f>
        <v>#N/A</v>
      </c>
      <c r="DC353" s="347" t="str">
        <f>IF(L353&gt;0,((R353/Worksheet!$I$15)/DB353)^2," ")</f>
        <v xml:space="preserve"> </v>
      </c>
      <c r="DD353" s="602" t="str">
        <f t="shared" si="1165"/>
        <v xml:space="preserve"> </v>
      </c>
      <c r="DE353" s="347" t="str">
        <f t="shared" si="1058"/>
        <v xml:space="preserve"> </v>
      </c>
      <c r="DF353" s="356" t="e">
        <f ca="1">INDEX(INDIRECT(VLOOKUP(LEFT(BO353,7),CLU!$Z$3:$AH$18,8)),((M353-2)*(6-COUNTBLANK(GT353:GY353)))+GJ353)</f>
        <v>#N/A</v>
      </c>
      <c r="DG353" s="347" t="str">
        <f t="shared" si="1059"/>
        <v xml:space="preserve"> </v>
      </c>
      <c r="DH353" s="357" t="str">
        <f t="shared" si="1060"/>
        <v xml:space="preserve"> </v>
      </c>
      <c r="DI353" s="355" t="str">
        <f t="shared" si="1061"/>
        <v xml:space="preserve"> </v>
      </c>
      <c r="DJ353" s="245" t="e">
        <f ca="1">INDEX(INDIRECT(VLOOKUP(LEFT(BO353,7),CLU!$Z$3:$AH$18,5)),GL353,GK353)</f>
        <v>#N/A</v>
      </c>
      <c r="DK353" s="245" t="e">
        <f ca="1">INDEX(INDIRECT(VLOOKUP(LEFT(BO353,7),CLU!$Z$3:$AH$18,6)),GL353,GK353)</f>
        <v>#N/A</v>
      </c>
      <c r="DL353" s="355">
        <f>(Calculation!R353*0.69143*(Calculation!$BQ$8-Calculation!$F$8))*$S$14</f>
        <v>0</v>
      </c>
      <c r="DM353" s="359" t="e">
        <f t="shared" si="1166"/>
        <v>#VALUE!</v>
      </c>
      <c r="DN353" s="611">
        <f t="shared" si="1167"/>
        <v>0</v>
      </c>
      <c r="DO353" s="359">
        <f t="shared" si="1168"/>
        <v>100</v>
      </c>
      <c r="DP353" s="359">
        <f t="shared" si="1169"/>
        <v>0</v>
      </c>
      <c r="DQ353" s="360"/>
      <c r="DR353" s="245" t="e">
        <f ca="1">INDEX(INDIRECT(VLOOKUP(LEFT(BO353,7),CLU!$Z$3:$AH$18,7)),M353-1,1)</f>
        <v>#N/A</v>
      </c>
      <c r="DS353" s="245" t="e">
        <f ca="1">INDEX(INDIRECT(VLOOKUP(LEFT(BO353,7),CLU!$Z$3:$AH$18,7)),M353-1,2)</f>
        <v>#N/A</v>
      </c>
      <c r="DT353" s="245" t="e">
        <f ca="1">INDEX(INDIRECT(VLOOKUP(LEFT(BO353,7),CLU!$Z$3:$AH$18,7)),M353-1,3)</f>
        <v>#N/A</v>
      </c>
      <c r="DU353" s="245" t="e">
        <f ca="1">INDEX(INDIRECT(VLOOKUP(LEFT(BO353,7),CLU!$Z$3:$AH$18,7)),M353-1,4)</f>
        <v>#N/A</v>
      </c>
      <c r="DV353" s="361" t="e">
        <f ca="1">INDEX(INDIRECT(VLOOKUP(LEFT(BO353,7),CLU!$Z$3:$AH$18,7)),M353-1,4+LEFT(DZ353,1)*0.5)</f>
        <v>#N/A</v>
      </c>
      <c r="DW353" s="245" t="e">
        <f ca="1">INDEX(INDIRECT(VLOOKUP(LEFT(BO353,7),CLU!$Z$3:$AH$18,7)),M353-1,8)</f>
        <v>#N/A</v>
      </c>
      <c r="DX353" s="361" t="str">
        <f t="shared" si="1062"/>
        <v xml:space="preserve"> </v>
      </c>
      <c r="DY353" s="361" t="str">
        <f t="shared" si="1063"/>
        <v xml:space="preserve"> </v>
      </c>
      <c r="DZ353" s="361" t="str">
        <f t="shared" si="1064"/>
        <v xml:space="preserve"> </v>
      </c>
      <c r="EA353" s="362" t="str">
        <f t="shared" si="1065"/>
        <v xml:space="preserve"> </v>
      </c>
      <c r="EB353" s="624" t="str">
        <f t="shared" si="1170"/>
        <v xml:space="preserve"> </v>
      </c>
      <c r="EC353" s="361" t="e">
        <f ca="1">INDEX(INDIRECT(VLOOKUP(LEFT(BO353,7),CLU!$Z$3:$AH$18,7)),M353-1,4+LEFT(DZ353,1)*0.5)</f>
        <v>#N/A</v>
      </c>
      <c r="ED353" s="362" t="str">
        <f t="shared" si="1066"/>
        <v xml:space="preserve"> </v>
      </c>
      <c r="EE353" s="361" t="str">
        <f t="shared" si="1067"/>
        <v xml:space="preserve"> </v>
      </c>
      <c r="EF353" s="362" t="str">
        <f>IF(L353&gt;0,IF(BR353&gt;0,IF(EE353="2P",IF(Calculation!DZ353="2P",IF(Calculation!DS353=13.75,IF(Calculation!DR353=13,Worksheet!$BD$43,IF(Calculation!DR353=37,Worksheet!$BD$44,Worksheet!$BD$45)),IF(Calculation!DS353=10,IF(Calculation!DR353=18,Worksheet!$BD$29,IF(Calculation!DR353=30,Worksheet!$BD$30,IF(Calculation!DR353=42,Worksheet!$BD$31,IF(Calculation!DR353=54,Worksheet!$BD$32,IF(Calculation!DR353=66,Worksheet!$BD$33,IF(Calculation!DR353=78,Worksheet!$BD$34,IF(Calculation!DR353=90,Worksheet!$BD$35,IF(Calculation!DR353=102,Worksheet!$BD$36,Worksheet!$BD$37)))))))),IF(Calculation!DS353=12.5,IF(Calculation!DR353=18,Worksheet!$BD$38,IF(Calculation!DR353=Worksheet!$BD$39,IF(Calculation!DR353=42,Worksheet!$BD$40,IF(Calculation!DR353=54,Worksheet!$BD$41,Worksheet!$BD$42)))),IF(Calculation!DR353=18,Worksheet!$BD$11,IF(Calculation!DR353=30,Worksheet!$BD$12,IF(Calculation!DR353=42,Worksheet!$BD$13,IF(Calculation!DR353=54,Worksheet!$BD$14,IF(Calculation!DR353=66,Worksheet!$BD$15,IF(Calculation!DR353=78,Worksheet!$BD$16,IF(Calculation!DR353=90,Worksheet!$BD$17,IF(Calculation!DR353=102,Worksheet!$BD$18,Worksheet!$BD$19))))))))))),IF(Calculation!DS353=13.75,IF(Calculation!DR353=13,Worksheet!$BD$78,IF(Calculation!DR353=37,Worksheet!$BD$79,Worksheet!$BD$80)),IF(Calculation!DS353=10,IF(Calculation!DR353=18,Worksheet!$BD$64,IF(Calculation!DR353=30,Worksheet!$BD$65,IF(Calculation!DR353=42,Worksheet!$BD$66,IF(Calculation!DR353=54,Worksheet!$BD$68,IF(Calculation!DR353=66,Worksheet!$BD$68,IF(Calculation!DR353=78,Worksheet!$BD$69,IF(Calculation!DR353=90,Worksheet!$BD$70,IF(Calculation!DR353=102,Worksheet!$BD$71,Worksheet!$BD$72)))))))),IF(Calculation!DS353=12.5,IF(Calculation!DR353=18,Worksheet!$BD$73,IF(Calculation!DR353=Worksheet!$BD$74,IF(Calculation!DR353=42,Worksheet!$BD$75,IF(Calculation!DR353=54,Worksheet!$BD$76,Worksheet!$BD$77)))),IF(Calculation!DR353=18,Worksheet!$BD$55,IF(Calculation!DR353=30,Worksheet!$BD$56,IF(Calculation!DR353=42,Worksheet!$BD$57,IF(Calculation!DR353=54,Worksheet!$BD$58,IF(Calculation!DR353=66,Worksheet!$BD$59,IF(Calculation!DR353=78,Worksheet!$BD$60,IF(Calculation!DR353=90,Worksheet!$BD$61,IF(Calculation!DR353=102,Worksheet!$BD$62,Worksheet!$BD$63)))))))))))),5),0)," ")</f>
        <v xml:space="preserve"> </v>
      </c>
      <c r="EG353" s="361" t="str">
        <f t="shared" si="1068"/>
        <v xml:space="preserve"> </v>
      </c>
      <c r="EH353" s="361" t="e">
        <f ca="1">INDEX(INDIRECT(VLOOKUP(LEFT(BO353,7),CLU!$Z$3:$AH$18,7)),M353-1,3+LEFT(DZ353,1))</f>
        <v>#N/A</v>
      </c>
      <c r="EI353" s="362" t="str">
        <f t="shared" si="1069"/>
        <v xml:space="preserve"> </v>
      </c>
      <c r="EJ353" s="363" t="str">
        <f t="shared" si="1070"/>
        <v xml:space="preserve"> </v>
      </c>
      <c r="EK353" s="363" t="str">
        <f t="shared" si="1071"/>
        <v xml:space="preserve"> </v>
      </c>
      <c r="EL353" s="363" t="str">
        <f t="shared" si="1072"/>
        <v xml:space="preserve"> </v>
      </c>
      <c r="EM353" s="362" t="str">
        <f>IF(L353&gt;0,IF(BR353&gt;0,(Calculation!T353/ED353)^2,0)," ")</f>
        <v xml:space="preserve"> </v>
      </c>
      <c r="EN353" s="362" t="str">
        <f>IF(L353&gt;0,IF(O353="2 Pipe (Cooling)","N/A",IF(BR353&gt;0,(Calculation!U353/EI353)^2,0))," ")</f>
        <v xml:space="preserve"> </v>
      </c>
      <c r="EO353" s="361" t="str">
        <f t="shared" si="1073"/>
        <v/>
      </c>
      <c r="EP353" s="361" t="str">
        <f t="shared" si="1074"/>
        <v/>
      </c>
      <c r="EQ353" s="361" t="str">
        <f t="shared" si="1075"/>
        <v/>
      </c>
      <c r="ER353" s="361" t="str">
        <f t="shared" si="1076"/>
        <v/>
      </c>
      <c r="ES353" s="361" t="str">
        <f t="shared" si="1077"/>
        <v/>
      </c>
      <c r="ET353" s="361" t="str">
        <f t="shared" si="1078"/>
        <v/>
      </c>
      <c r="EU353" s="361" t="str">
        <f t="shared" si="1079"/>
        <v/>
      </c>
      <c r="EV353" s="361" t="str">
        <f t="shared" si="1080"/>
        <v/>
      </c>
      <c r="EW353" s="361" t="str">
        <f t="shared" si="1081"/>
        <v/>
      </c>
      <c r="EX353" s="361" t="str">
        <f t="shared" si="1171"/>
        <v>1 slot, 1 way</v>
      </c>
      <c r="EY353" s="361" t="str">
        <f t="shared" si="1172"/>
        <v xml:space="preserve"> </v>
      </c>
      <c r="EZ353" s="361" t="str">
        <f t="shared" si="1173"/>
        <v xml:space="preserve"> </v>
      </c>
      <c r="FA353" s="361" t="str">
        <f t="shared" si="1174"/>
        <v xml:space="preserve"> </v>
      </c>
      <c r="FB353" s="361" t="str">
        <f t="shared" si="1175"/>
        <v xml:space="preserve"> </v>
      </c>
      <c r="FC353" s="361"/>
      <c r="FD353" s="361" t="str">
        <f>IF(J353&gt;0,IF(Calculation!R353&lt;=70,4,IF(Calculation!R353&lt;=110,5,IF(Calculation!R353&lt;=160,6,IF(Calculation!R353&lt;=300,8,"10 EO")))),"")</f>
        <v/>
      </c>
      <c r="FE353" s="361" t="str">
        <f t="shared" si="1176"/>
        <v/>
      </c>
      <c r="FF353" s="361" t="str">
        <f t="shared" si="1177"/>
        <v/>
      </c>
      <c r="FG353" s="361" t="e">
        <f t="shared" si="1082"/>
        <v>#N/A</v>
      </c>
      <c r="FH353" s="361">
        <f t="shared" si="1083"/>
        <v>0</v>
      </c>
      <c r="FI353" s="361" t="e">
        <f t="shared" si="1084"/>
        <v>#DIV/0!</v>
      </c>
      <c r="FJ353" s="361"/>
      <c r="FK353" s="356" t="e">
        <f t="shared" si="1085"/>
        <v>#VALUE!</v>
      </c>
      <c r="FL353" s="361"/>
      <c r="FM353" s="361"/>
      <c r="FN353" s="362" t="str">
        <f t="shared" si="1178"/>
        <v xml:space="preserve"> </v>
      </c>
      <c r="FO353" s="362" t="str">
        <f t="shared" si="1179"/>
        <v xml:space="preserve"> </v>
      </c>
      <c r="FP353" s="362">
        <f t="shared" si="1180"/>
        <v>0</v>
      </c>
      <c r="FQ353" s="361">
        <f t="shared" si="1086"/>
        <v>0</v>
      </c>
      <c r="FR353" s="362" t="str">
        <f>IF(L353&gt;0,IF(J353="CBAL2",Worksheet!$P$67,IF(J353="CBE2-24",Worksheet!$Q$67,IF(J353="CBAM",Worksheet!$R$67,IF(J353="CBLV",Worksheet!$S$67,IF(J353="CBAB",Worksheet!$U$67,IF(J353="CBAW",Worksheet!$X$67,IF(J353="CBE2-12",Worksheet!$Y$67,IF(J353="CBAL2",Worksheet!$Z$67,"N/A"))))))))," ")</f>
        <v xml:space="preserve"> </v>
      </c>
      <c r="FS353" s="362" t="str">
        <f>IF(L353&gt;0,IF(J353="CBAL2",Worksheet!$P$68,IF(J353="CBE2-24",Worksheet!$Q$68,IF(J353="CBAM",Worksheet!$R$68,IF(J353="CBLV",Worksheet!$S$68,IF(J353="CBAB",Worksheet!$U$68,IF(J353="CBAW",Worksheet!$X$68,IF(J353="CBE2-12",Worksheet!$Y$68,IF(J353="CBAL2",Worksheet!$Z$68,"N/A"))))))))," ")</f>
        <v xml:space="preserve"> </v>
      </c>
      <c r="FT353" s="362" t="str">
        <f>IF(L353&gt;0,IF(J353="CBAL2",Worksheet!$P$69,IF(J353="CBE2-24",Worksheet!$Q$69,IF(J353="CBAM",Worksheet!$R$69,IF(J353="CBLV",Worksheet!$S$69,IF(J353="CBAB",Worksheet!$U$69,IF(J353="CBAW",Worksheet!$X$69,IF(J353="CBE2-12",Worksheet!$Y$69,IF(J353="CBAL2",Worksheet!$Z$69,"N/A"))))))))," ")</f>
        <v xml:space="preserve"> </v>
      </c>
      <c r="FU353" s="361" t="str">
        <f t="shared" si="1181"/>
        <v xml:space="preserve"> </v>
      </c>
      <c r="FV353" s="362" t="str">
        <f t="shared" si="1182"/>
        <v xml:space="preserve"> </v>
      </c>
      <c r="FW353" s="362" t="str">
        <f t="shared" si="1183"/>
        <v xml:space="preserve"> </v>
      </c>
      <c r="FX353" s="362" t="str">
        <f t="shared" si="1184"/>
        <v xml:space="preserve"> </v>
      </c>
      <c r="FY353" s="355" t="str">
        <f t="shared" si="1185"/>
        <v xml:space="preserve"> </v>
      </c>
      <c r="FZ353" s="361" t="str">
        <f t="shared" si="1186"/>
        <v xml:space="preserve"> </v>
      </c>
      <c r="GA353" s="347" t="str">
        <f t="shared" si="1187"/>
        <v xml:space="preserve"> </v>
      </c>
      <c r="GB353" s="355" t="str">
        <f t="shared" si="1188"/>
        <v xml:space="preserve"> </v>
      </c>
      <c r="GC353" s="328" t="str">
        <f t="shared" si="1189"/>
        <v xml:space="preserve"> </v>
      </c>
      <c r="GD353" s="361" t="str">
        <f t="shared" si="1190"/>
        <v xml:space="preserve"> </v>
      </c>
      <c r="GE353" s="347" t="str">
        <f t="shared" si="1191"/>
        <v xml:space="preserve"> </v>
      </c>
      <c r="GF353" s="361" t="str">
        <f t="shared" si="1192"/>
        <v xml:space="preserve"> </v>
      </c>
      <c r="GG353" s="347" t="str">
        <f t="shared" si="1193"/>
        <v xml:space="preserve"> </v>
      </c>
      <c r="GH353" s="364">
        <f t="shared" si="1087"/>
        <v>0</v>
      </c>
      <c r="GI353" s="362">
        <f t="shared" si="1194"/>
        <v>2</v>
      </c>
      <c r="GJ353" s="433" t="e">
        <f>IF(6-COUNTBLANK(GT353:GY353)=4,MATCH(MID(BO353,9,3),CLU!$H$16:$K$16),MATCH(MID(BO353,9,3),CLU!$H$13:$M$13))</f>
        <v>#N/A</v>
      </c>
      <c r="GK353" s="433" t="e">
        <f>HLOOKUP(VALUE(BP353),CLU!$H$9:$M$10,2)</f>
        <v>#VALUE!</v>
      </c>
      <c r="GL353" s="433" t="e">
        <f ca="1">MATCH(BU353,CLU!$H$2:$V$2,1)</f>
        <v>#VALUE!</v>
      </c>
      <c r="GM353" s="433" t="e">
        <f t="shared" ca="1" si="1195"/>
        <v>#VALUE!</v>
      </c>
      <c r="GN353" s="433" t="e">
        <f t="shared" ca="1" si="1196"/>
        <v>#VALUE!</v>
      </c>
      <c r="GO353" s="433" t="e">
        <f t="shared" ca="1" si="1197"/>
        <v>#VALUE!</v>
      </c>
      <c r="GP353" s="433" t="e">
        <f t="shared" ca="1" si="1198"/>
        <v>#VALUE!</v>
      </c>
      <c r="GQ353" s="433" t="e">
        <f t="shared" ca="1" si="1199"/>
        <v>#VALUE!</v>
      </c>
      <c r="GR353" s="433" t="e">
        <f ca="1">MATCH(T353,INDIRECT(VLOOKUP(CONCATENATE(LEFT(BO353,7),"-",MID(BO353,13,1)),CLU!$P$3:$Q$16,2)),1)</f>
        <v>#N/A</v>
      </c>
      <c r="GS353" s="433" t="e">
        <f ca="1">MATCH(U353,INDIRECT(VLOOKUP(CONCATENATE(LEFT(BO353,7),"-",MID(BO353,13,1)),CLU!$P$3:$Q$16,2)),1)</f>
        <v>#N/A</v>
      </c>
      <c r="GT353" s="347" t="s">
        <v>512</v>
      </c>
      <c r="GU353" s="97" t="s">
        <v>513</v>
      </c>
      <c r="GV353" s="97" t="str">
        <f t="shared" si="1200"/>
        <v>M23</v>
      </c>
      <c r="GW353" s="97" t="str">
        <f t="shared" si="1201"/>
        <v>M31</v>
      </c>
      <c r="GX353" s="97" t="str">
        <f t="shared" si="1202"/>
        <v/>
      </c>
      <c r="GY353" s="97" t="str">
        <f t="shared" si="1203"/>
        <v/>
      </c>
      <c r="GZ353" s="481"/>
      <c r="HA353" s="240"/>
      <c r="HB353" s="240"/>
      <c r="HC353" s="240"/>
      <c r="HD353" s="240"/>
      <c r="HE353" s="240"/>
      <c r="HF353" s="240"/>
      <c r="HG353" s="240"/>
      <c r="HH353" s="240"/>
      <c r="HI353" s="240"/>
      <c r="HJ353" s="240"/>
      <c r="HK353" s="240"/>
      <c r="HL353" s="240"/>
      <c r="HM353" s="240"/>
      <c r="HN353" s="240"/>
      <c r="HO353" s="240"/>
      <c r="HP353" s="240"/>
      <c r="HQ353" s="240"/>
      <c r="HR353" s="240"/>
      <c r="HS353" s="240"/>
      <c r="HT353" s="240"/>
      <c r="HU353" s="240"/>
      <c r="HV353" s="245"/>
      <c r="HW353" s="245" t="b">
        <v>1</v>
      </c>
      <c r="HX353" s="245" t="str">
        <f t="shared" si="1088"/>
        <v/>
      </c>
      <c r="HY353" s="245" t="e">
        <f t="shared" si="1089"/>
        <v>#DIV/0!</v>
      </c>
      <c r="HZ353" s="245" t="e">
        <f t="shared" si="1090"/>
        <v>#DIV/0!</v>
      </c>
      <c r="IA353" s="245">
        <f t="shared" si="1091"/>
        <v>0</v>
      </c>
      <c r="IB353" s="245"/>
      <c r="IC353" t="b">
        <f t="shared" si="1092"/>
        <v>1</v>
      </c>
      <c r="ID353" s="245" t="b">
        <f t="shared" si="1093"/>
        <v>1</v>
      </c>
      <c r="IE353" s="245" t="b">
        <f t="shared" si="1094"/>
        <v>1</v>
      </c>
      <c r="IF353" s="245" t="b">
        <f t="shared" si="1095"/>
        <v>0</v>
      </c>
      <c r="IG353" s="245" t="b">
        <f t="shared" si="1096"/>
        <v>1</v>
      </c>
      <c r="IH353" s="245" t="b">
        <f t="shared" si="1097"/>
        <v>1</v>
      </c>
      <c r="II353" s="245">
        <f t="shared" si="1204"/>
        <v>0</v>
      </c>
      <c r="IJ353" s="245" t="e">
        <f t="shared" si="1098"/>
        <v>#VALUE!</v>
      </c>
      <c r="IK353" s="245" t="e">
        <f t="shared" si="1099"/>
        <v>#VALUE!</v>
      </c>
      <c r="IL353" s="245"/>
      <c r="IM353" s="245" t="e">
        <f t="shared" si="1205"/>
        <v>#N/A</v>
      </c>
      <c r="IN353" s="245" t="e">
        <f t="shared" si="1206"/>
        <v>#N/A</v>
      </c>
      <c r="IO353" s="245"/>
      <c r="IP353" s="245"/>
      <c r="IQ353" s="245" t="str">
        <f t="shared" si="1100"/>
        <v/>
      </c>
      <c r="IR353" s="245" t="str">
        <f>IF(J353="","",VLOOKUP(J353,Worksheet!$R$4:$T$14,2))</f>
        <v/>
      </c>
      <c r="IS353" s="245"/>
      <c r="IT353" s="245">
        <f t="shared" si="1101"/>
        <v>0</v>
      </c>
      <c r="IU353" s="245">
        <f t="shared" si="1102"/>
        <v>0</v>
      </c>
      <c r="IV353" s="245">
        <f t="shared" si="1103"/>
        <v>0</v>
      </c>
      <c r="IW353" s="245">
        <f t="shared" si="1104"/>
        <v>0</v>
      </c>
      <c r="IX353" s="245">
        <f t="shared" si="1207"/>
        <v>0</v>
      </c>
      <c r="IY353" s="245">
        <f t="shared" si="1105"/>
        <v>0</v>
      </c>
      <c r="IZ353" s="245">
        <f t="shared" si="1106"/>
        <v>0</v>
      </c>
      <c r="JA353">
        <f t="shared" si="1107"/>
        <v>0</v>
      </c>
      <c r="JB353">
        <f t="shared" si="1208"/>
        <v>0</v>
      </c>
      <c r="JC353">
        <f t="shared" si="1108"/>
        <v>0</v>
      </c>
      <c r="JD353">
        <f t="shared" si="1109"/>
        <v>0</v>
      </c>
      <c r="JE353">
        <f t="shared" si="1110"/>
        <v>0</v>
      </c>
      <c r="JF353">
        <f t="shared" si="1111"/>
        <v>0</v>
      </c>
      <c r="JG353">
        <f t="shared" si="1112"/>
        <v>0</v>
      </c>
      <c r="JH353">
        <f t="shared" si="1113"/>
        <v>0</v>
      </c>
      <c r="JI353">
        <f t="shared" si="1114"/>
        <v>0</v>
      </c>
      <c r="JJ353" s="447">
        <f t="shared" si="1115"/>
        <v>0</v>
      </c>
      <c r="JK353" s="447">
        <f t="shared" si="1116"/>
        <v>0</v>
      </c>
      <c r="JL353">
        <f t="shared" si="1117"/>
        <v>0</v>
      </c>
      <c r="JM353" s="245" t="str">
        <f>IFERROR(VLOOKUP(MATCH(BN353,#REF!,0),#REF!,7),"")</f>
        <v/>
      </c>
      <c r="JN353" t="e">
        <f>HLOOKUP(LEFT(BO353,7),Discharge_Area,MATCH(JO353,LookUps!$B$130:$B$149,1)+2)</f>
        <v>#N/A</v>
      </c>
      <c r="JO353" t="str">
        <f t="shared" si="1118"/>
        <v>- S</v>
      </c>
      <c r="JP353" t="e">
        <f>HLOOKUP(LEFT(BO353,7),Discharge_Area,MATCH(JO353,LookUps!$B$130:$B$149,1)+2)</f>
        <v>#N/A</v>
      </c>
      <c r="JQ353" t="e">
        <f t="shared" si="1119"/>
        <v>#N/A</v>
      </c>
      <c r="JR353" t="e">
        <f t="shared" si="1120"/>
        <v>#N/A</v>
      </c>
      <c r="JS353" t="e">
        <f t="shared" si="1121"/>
        <v>#N/A</v>
      </c>
      <c r="JT353" s="532" t="str">
        <f t="shared" si="1122"/>
        <v xml:space="preserve"> </v>
      </c>
      <c r="JU353" s="532" t="str">
        <f t="shared" si="1123"/>
        <v xml:space="preserve"> </v>
      </c>
      <c r="JV353" s="533" t="str">
        <f t="shared" si="1124"/>
        <v xml:space="preserve"> </v>
      </c>
      <c r="JW353" s="534">
        <f t="shared" si="1125"/>
        <v>0</v>
      </c>
      <c r="JX353" s="535" t="str">
        <f t="shared" si="1209"/>
        <v xml:space="preserve"> </v>
      </c>
      <c r="JY353" s="535" t="str">
        <f t="shared" si="1210"/>
        <v xml:space="preserve"> </v>
      </c>
      <c r="JZ353" s="535" t="str">
        <f t="shared" si="1211"/>
        <v xml:space="preserve"> </v>
      </c>
      <c r="KA353" s="536" t="str">
        <f t="shared" si="1126"/>
        <v xml:space="preserve"> </v>
      </c>
      <c r="KB353" s="535" t="e">
        <f t="shared" si="1212"/>
        <v>#VALUE!</v>
      </c>
      <c r="KC353" s="535" t="str">
        <f t="shared" si="1127"/>
        <v/>
      </c>
      <c r="KD353" s="537" t="str">
        <f t="shared" si="1213"/>
        <v xml:space="preserve"> </v>
      </c>
      <c r="KE353" s="537" t="str">
        <f t="shared" si="1214"/>
        <v xml:space="preserve"> </v>
      </c>
      <c r="KF353" s="534">
        <f t="shared" si="1128"/>
        <v>0</v>
      </c>
      <c r="KG353" s="535" t="str">
        <f t="shared" si="1129"/>
        <v xml:space="preserve"> </v>
      </c>
      <c r="KH353" s="535" t="str">
        <f t="shared" si="1130"/>
        <v xml:space="preserve"> </v>
      </c>
      <c r="KI353" s="535" t="str">
        <f t="shared" si="1131"/>
        <v xml:space="preserve"> </v>
      </c>
      <c r="KJ353" s="536" t="str">
        <f t="shared" si="1132"/>
        <v xml:space="preserve"> </v>
      </c>
      <c r="KK353" s="535" t="str">
        <f t="shared" si="1215"/>
        <v xml:space="preserve"> </v>
      </c>
      <c r="KL353" s="535" t="str">
        <f t="shared" si="1216"/>
        <v xml:space="preserve"> </v>
      </c>
      <c r="KM353" s="537" t="str">
        <f t="shared" si="1133"/>
        <v xml:space="preserve"> </v>
      </c>
      <c r="KN353" s="537" t="str">
        <f t="shared" si="1217"/>
        <v xml:space="preserve"> </v>
      </c>
      <c r="KP353">
        <f t="shared" si="1134"/>
        <v>0</v>
      </c>
      <c r="LA353" t="e">
        <f t="shared" si="1135"/>
        <v>#VALUE!</v>
      </c>
      <c r="LB353" t="e">
        <f t="shared" si="1136"/>
        <v>#VALUE!</v>
      </c>
      <c r="LC353" t="e">
        <f t="shared" si="1137"/>
        <v>#VALUE!</v>
      </c>
      <c r="LD353" t="e">
        <f t="shared" si="1138"/>
        <v>#VALUE!</v>
      </c>
      <c r="LE353" t="e">
        <f t="shared" si="1218"/>
        <v>#VALUE!</v>
      </c>
      <c r="LF353">
        <f t="shared" si="1139"/>
        <v>0</v>
      </c>
      <c r="LG353" t="e">
        <f t="shared" si="1219"/>
        <v>#VALUE!</v>
      </c>
      <c r="LH353" t="str">
        <f t="shared" si="1140"/>
        <v xml:space="preserve"> </v>
      </c>
      <c r="LI353">
        <f t="shared" si="1220"/>
        <v>1</v>
      </c>
    </row>
    <row r="354" spans="2:321" ht="15" customHeight="1">
      <c r="B354" s="311"/>
      <c r="C354" s="311"/>
      <c r="D354" s="312"/>
      <c r="E354" s="311"/>
      <c r="F354" s="312"/>
      <c r="G354" s="311"/>
      <c r="H354" s="311"/>
      <c r="I354" s="232"/>
      <c r="J354" s="311"/>
      <c r="K354" s="305" t="str">
        <f t="shared" si="1141"/>
        <v/>
      </c>
      <c r="L354" s="313"/>
      <c r="M354" s="312"/>
      <c r="N354" s="311"/>
      <c r="O354" s="312"/>
      <c r="P354" s="311"/>
      <c r="Q354" s="305" t="str">
        <f t="shared" si="1142"/>
        <v/>
      </c>
      <c r="R354" s="314"/>
      <c r="S354" s="450" t="str">
        <f t="shared" si="1025"/>
        <v/>
      </c>
      <c r="T354" s="315"/>
      <c r="U354" s="315"/>
      <c r="W354" s="149" t="str">
        <f t="shared" si="1026"/>
        <v xml:space="preserve"> </v>
      </c>
      <c r="X354" s="243" t="str">
        <f t="shared" si="1027"/>
        <v xml:space="preserve"> </v>
      </c>
      <c r="Y354" s="150" t="str">
        <f t="shared" si="1028"/>
        <v/>
      </c>
      <c r="Z354" s="149" t="str">
        <f t="shared" si="1029"/>
        <v xml:space="preserve"> </v>
      </c>
      <c r="AA354" s="98" t="str">
        <f t="shared" si="1030"/>
        <v xml:space="preserve"> </v>
      </c>
      <c r="AB354" s="153" t="str">
        <f t="shared" si="1031"/>
        <v xml:space="preserve"> </v>
      </c>
      <c r="AC354" s="153" t="str">
        <f t="shared" si="1032"/>
        <v xml:space="preserve"> </v>
      </c>
      <c r="AD354" s="148" t="str">
        <f t="shared" si="1033"/>
        <v/>
      </c>
      <c r="AE354" s="149" t="str">
        <f t="shared" si="1034"/>
        <v/>
      </c>
      <c r="AF354" s="151" t="str">
        <f t="shared" si="1035"/>
        <v xml:space="preserve"> </v>
      </c>
      <c r="AG354" s="153" t="str">
        <f t="shared" si="1036"/>
        <v xml:space="preserve"> </v>
      </c>
      <c r="AH354" s="98" t="str">
        <f t="shared" si="1037"/>
        <v xml:space="preserve"> </v>
      </c>
      <c r="AI354" s="149" t="str">
        <f t="shared" si="1038"/>
        <v xml:space="preserve"> </v>
      </c>
      <c r="AK354" s="144" t="str">
        <f t="shared" si="1039"/>
        <v xml:space="preserve"> </v>
      </c>
      <c r="AL354" s="144"/>
      <c r="AM354" s="243" t="str">
        <f t="shared" si="1040"/>
        <v xml:space="preserve"> </v>
      </c>
      <c r="AN354" s="149" t="str">
        <f t="shared" si="1143"/>
        <v xml:space="preserve"> </v>
      </c>
      <c r="AO354" s="144" t="str">
        <f>IF(JB354&gt;0,IF(GI354=10,-R354*1.085*(Calculation!$F$6-Calculation!$F$13)*$S$14," "),"")</f>
        <v/>
      </c>
      <c r="AP354" s="144" t="str">
        <f t="shared" si="1041"/>
        <v/>
      </c>
      <c r="AQ354" s="56" t="str">
        <f t="shared" si="1042"/>
        <v/>
      </c>
      <c r="AR354" s="144" t="str">
        <f t="shared" si="1043"/>
        <v/>
      </c>
      <c r="AS354" s="176" t="str">
        <f t="shared" si="1044"/>
        <v/>
      </c>
      <c r="AT354" s="176" t="str">
        <f t="shared" si="1144"/>
        <v xml:space="preserve"> </v>
      </c>
      <c r="AU354" s="176" t="str">
        <f t="shared" si="1045"/>
        <v/>
      </c>
      <c r="AV354" s="177" t="str">
        <f t="shared" si="1046"/>
        <v xml:space="preserve"> </v>
      </c>
      <c r="AW354" s="144" t="str">
        <f t="shared" si="1047"/>
        <v xml:space="preserve"> </v>
      </c>
      <c r="AX354" s="144" t="str">
        <f t="shared" si="1048"/>
        <v xml:space="preserve"> </v>
      </c>
      <c r="AY354" s="152" t="str">
        <f t="shared" si="1049"/>
        <v xml:space="preserve"> </v>
      </c>
      <c r="AZ354" s="246" t="str">
        <f t="shared" si="1050"/>
        <v/>
      </c>
      <c r="BA354" s="176" t="str">
        <f t="shared" si="1051"/>
        <v xml:space="preserve"> </v>
      </c>
      <c r="BB354" s="176" t="str">
        <f t="shared" si="1052"/>
        <v xml:space="preserve"> </v>
      </c>
      <c r="BC354" s="195"/>
      <c r="BD354" s="316"/>
      <c r="BE354" s="317"/>
      <c r="BF354" s="318"/>
      <c r="BG354" s="318"/>
      <c r="BH354" s="144" t="str">
        <f t="shared" si="1221"/>
        <v xml:space="preserve"> </v>
      </c>
      <c r="BI354" s="176" t="str">
        <f t="shared" si="1053"/>
        <v/>
      </c>
      <c r="BJ354" s="144" t="str">
        <f t="shared" si="1222"/>
        <v/>
      </c>
      <c r="BK354" s="246" t="str">
        <f t="shared" si="1054"/>
        <v/>
      </c>
      <c r="BL354" s="144" t="str">
        <f t="shared" si="1223"/>
        <v/>
      </c>
      <c r="BM354" s="246" t="str">
        <f t="shared" si="1055"/>
        <v/>
      </c>
      <c r="BN354" s="337" t="str">
        <f t="shared" si="1145"/>
        <v/>
      </c>
      <c r="BO354" s="371" t="str">
        <f t="shared" si="1146"/>
        <v/>
      </c>
      <c r="BP354" s="328" t="str">
        <f t="shared" si="1224"/>
        <v xml:space="preserve"> </v>
      </c>
      <c r="BQ354" s="347" t="str">
        <f t="shared" si="1147"/>
        <v xml:space="preserve"> </v>
      </c>
      <c r="BR354" s="353" t="str">
        <f t="shared" si="1148"/>
        <v xml:space="preserve"> </v>
      </c>
      <c r="BS354" s="626" t="str">
        <f>IF(L354&gt;0,IF(Calculation!P354="M13",BR354*3.1416*(0.134^2)/(4*144),IF(Calculation!P354="M17",BR354*3.1416*(0.165^2)/(4*144),IF(Calculation!P354="M20",BR354*3.1416*(0.198^2)/(4*144),IF(Calculation!P354="M23",BR354*3.1416*(0.228^2)/(4*144),IF(Calculation!P354="M27",BR354*3.1416*(0.269^2)/(4*144),BR354*3.1416*(0.307^2)/(4*144))))))," ")</f>
        <v xml:space="preserve"> </v>
      </c>
      <c r="BT354" s="353" t="str">
        <f>IF(L354&gt;0,IF(BS354&gt;0,R354/Calculation!BS354,0)," ")</f>
        <v xml:space="preserve"> </v>
      </c>
      <c r="BU354" s="438" t="e">
        <f t="shared" ca="1" si="1056"/>
        <v>#VALUE!</v>
      </c>
      <c r="BV354" s="449" t="e">
        <f ca="1">INDEX(INDIRECT(VLOOKUP(LEFT(BO354,7),CLU!$Z$3:$AH$18,2)),GN354,GR354)</f>
        <v>#N/A</v>
      </c>
      <c r="BW354" s="433" t="e">
        <f ca="1">INDEX(INDIRECT(VLOOKUP(LEFT(BO354,7),CLU!$Z$3:$AH$18,3)),GN354,GR354)</f>
        <v>#N/A</v>
      </c>
      <c r="BX354" s="433" t="e">
        <f ca="1">INDEX(INDIRECT(VLOOKUP(LEFT(BO354,7),CLU!$Z$3:$AH$18,4)),GN354,GR354)</f>
        <v>#N/A</v>
      </c>
      <c r="BY354" s="433" t="e">
        <f ca="1">INDEX(INDIRECT(VLOOKUP(LEFT(BO354,7),CLU!$Z$3:$AH$18,9)),((M354-2)*(6-COUNTBLANK(GT354:GY354)))+GJ354)</f>
        <v>#N/A</v>
      </c>
      <c r="BZ354" s="426" t="e">
        <f t="shared" ca="1" si="1149"/>
        <v>#N/A</v>
      </c>
      <c r="CA354" s="424" t="e">
        <f t="shared" ca="1" si="1150"/>
        <v>#N/A</v>
      </c>
      <c r="CB354" s="429" t="e">
        <f ca="1">INDEX(INDIRECT(VLOOKUP(LEFT(BO354,7),CLU!$Z$3:$AH$18,2)),GN354,GS354)</f>
        <v>#N/A</v>
      </c>
      <c r="CC354" s="342" t="e">
        <f ca="1">INDEX(INDIRECT(VLOOKUP(LEFT(BO354,7),CLU!$Z$3:$AH$18,3)),GN354,GS354)</f>
        <v>#N/A</v>
      </c>
      <c r="CD354" s="342" t="e">
        <f ca="1">INDEX(INDIRECT(VLOOKUP(LEFT(BO354,7),CLU!$Z$3:$AH$18,4)),GN354,GS354)</f>
        <v>#N/A</v>
      </c>
      <c r="CE354" s="426" t="e">
        <f t="shared" ca="1" si="1151"/>
        <v>#N/A</v>
      </c>
      <c r="CF354" s="440">
        <f t="shared" si="1152"/>
        <v>0</v>
      </c>
      <c r="CG354" s="431" t="e">
        <f ca="1">INDEX(INDIRECT(VLOOKUP(LEFT(BO354,7),CLU!$Z$3:$AH$18,2)),GQ354,GR354)</f>
        <v>#N/A</v>
      </c>
      <c r="CH354" s="431" t="e">
        <f ca="1">INDEX(INDIRECT(VLOOKUP(LEFT(BO354,7),CLU!$Z$3:$AH$18,3)),GQ354,GR354)</f>
        <v>#N/A</v>
      </c>
      <c r="CI354" s="431" t="e">
        <f ca="1">INDEX(INDIRECT(VLOOKUP(LEFT(BO354,7),CLU!$Z$3:$AH$18,4)),GQ354,GR354)</f>
        <v>#N/A</v>
      </c>
      <c r="CJ354" s="448" t="e">
        <f t="shared" ca="1" si="1153"/>
        <v>#N/A</v>
      </c>
      <c r="CK354" s="431" t="e">
        <f t="shared" ca="1" si="1154"/>
        <v>#N/A</v>
      </c>
      <c r="CL354" s="440" t="e">
        <f t="shared" ca="1" si="1155"/>
        <v>#N/A</v>
      </c>
      <c r="CM354" s="431" t="e">
        <f ca="1">INDEX(INDIRECT(VLOOKUP(LEFT(BO354,7),CLU!$Z$3:$AH$18,2)),GQ354,GS354)</f>
        <v>#N/A</v>
      </c>
      <c r="CN354" s="431" t="e">
        <f ca="1">INDEX(INDIRECT(VLOOKUP(LEFT(BO354,7),CLU!$Z$3:$AH$18,3)),GQ354,GS354)</f>
        <v>#N/A</v>
      </c>
      <c r="CO354" s="431" t="e">
        <f ca="1">INDEX(INDIRECT(VLOOKUP(LEFT(BO354,7),CLU!$Z$3:$AH$18,4)),GQ354,GS354)</f>
        <v>#N/A</v>
      </c>
      <c r="CP354" s="431" t="e">
        <f t="shared" ca="1" si="1156"/>
        <v>#N/A</v>
      </c>
      <c r="CQ354" s="440">
        <f t="shared" si="1157"/>
        <v>0</v>
      </c>
      <c r="CR354" s="51" t="e">
        <f t="shared" ca="1" si="1158"/>
        <v>#N/A</v>
      </c>
      <c r="CS354" s="439" t="e">
        <f t="shared" ca="1" si="1159"/>
        <v>#VALUE!</v>
      </c>
      <c r="CT354" s="51" t="e">
        <f t="shared" ca="1" si="1160"/>
        <v>#VALUE!</v>
      </c>
      <c r="CU354" s="10"/>
      <c r="CV354" s="51" t="e">
        <f t="shared" ca="1" si="1057"/>
        <v>#VALUE!</v>
      </c>
      <c r="CW354" s="51">
        <f t="shared" si="1161"/>
        <v>0</v>
      </c>
      <c r="CX354" s="439" t="e">
        <f t="shared" ca="1" si="1162"/>
        <v>#VALUE!</v>
      </c>
      <c r="CY354" s="51" t="e">
        <f t="shared" ca="1" si="1163"/>
        <v>#VALUE!</v>
      </c>
      <c r="CZ354" s="10"/>
      <c r="DA354" s="51" t="e">
        <f t="shared" ca="1" si="1164"/>
        <v>#VALUE!</v>
      </c>
      <c r="DB354" s="347" t="e">
        <f ca="1">INDEX(INDIRECT(VLOOKUP(LEFT(BO354,7),CLU!$Z$3:$AI$18,10)),((M354-2)*(6-COUNTBLANK(GT354:GY354)))+GJ354)*LI354</f>
        <v>#N/A</v>
      </c>
      <c r="DC354" s="347" t="str">
        <f>IF(L354&gt;0,((R354/Worksheet!$I$15)/DB354)^2," ")</f>
        <v xml:space="preserve"> </v>
      </c>
      <c r="DD354" s="602" t="str">
        <f t="shared" si="1165"/>
        <v xml:space="preserve"> </v>
      </c>
      <c r="DE354" s="347" t="str">
        <f t="shared" si="1058"/>
        <v xml:space="preserve"> </v>
      </c>
      <c r="DF354" s="356" t="e">
        <f ca="1">INDEX(INDIRECT(VLOOKUP(LEFT(BO354,7),CLU!$Z$3:$AH$18,8)),((M354-2)*(6-COUNTBLANK(GT354:GY354)))+GJ354)</f>
        <v>#N/A</v>
      </c>
      <c r="DG354" s="347" t="str">
        <f t="shared" si="1059"/>
        <v xml:space="preserve"> </v>
      </c>
      <c r="DH354" s="357" t="str">
        <f t="shared" si="1060"/>
        <v xml:space="preserve"> </v>
      </c>
      <c r="DI354" s="355" t="str">
        <f t="shared" si="1061"/>
        <v xml:space="preserve"> </v>
      </c>
      <c r="DJ354" s="245" t="e">
        <f ca="1">INDEX(INDIRECT(VLOOKUP(LEFT(BO354,7),CLU!$Z$3:$AH$18,5)),GL354,GK354)</f>
        <v>#N/A</v>
      </c>
      <c r="DK354" s="245" t="e">
        <f ca="1">INDEX(INDIRECT(VLOOKUP(LEFT(BO354,7),CLU!$Z$3:$AH$18,6)),GL354,GK354)</f>
        <v>#N/A</v>
      </c>
      <c r="DL354" s="355">
        <f>(Calculation!R354*0.69143*(Calculation!$BQ$8-Calculation!$F$8))*$S$14</f>
        <v>0</v>
      </c>
      <c r="DM354" s="359" t="e">
        <f t="shared" si="1166"/>
        <v>#VALUE!</v>
      </c>
      <c r="DN354" s="611">
        <f t="shared" si="1167"/>
        <v>0</v>
      </c>
      <c r="DO354" s="359">
        <f t="shared" si="1168"/>
        <v>100</v>
      </c>
      <c r="DP354" s="359">
        <f t="shared" si="1169"/>
        <v>0</v>
      </c>
      <c r="DQ354" s="360"/>
      <c r="DR354" s="245" t="e">
        <f ca="1">INDEX(INDIRECT(VLOOKUP(LEFT(BO354,7),CLU!$Z$3:$AH$18,7)),M354-1,1)</f>
        <v>#N/A</v>
      </c>
      <c r="DS354" s="245" t="e">
        <f ca="1">INDEX(INDIRECT(VLOOKUP(LEFT(BO354,7),CLU!$Z$3:$AH$18,7)),M354-1,2)</f>
        <v>#N/A</v>
      </c>
      <c r="DT354" s="245" t="e">
        <f ca="1">INDEX(INDIRECT(VLOOKUP(LEFT(BO354,7),CLU!$Z$3:$AH$18,7)),M354-1,3)</f>
        <v>#N/A</v>
      </c>
      <c r="DU354" s="245" t="e">
        <f ca="1">INDEX(INDIRECT(VLOOKUP(LEFT(BO354,7),CLU!$Z$3:$AH$18,7)),M354-1,4)</f>
        <v>#N/A</v>
      </c>
      <c r="DV354" s="361" t="e">
        <f ca="1">INDEX(INDIRECT(VLOOKUP(LEFT(BO354,7),CLU!$Z$3:$AH$18,7)),M354-1,4+LEFT(DZ354,1)*0.5)</f>
        <v>#N/A</v>
      </c>
      <c r="DW354" s="245" t="e">
        <f ca="1">INDEX(INDIRECT(VLOOKUP(LEFT(BO354,7),CLU!$Z$3:$AH$18,7)),M354-1,8)</f>
        <v>#N/A</v>
      </c>
      <c r="DX354" s="361" t="str">
        <f t="shared" si="1062"/>
        <v xml:space="preserve"> </v>
      </c>
      <c r="DY354" s="361" t="str">
        <f t="shared" si="1063"/>
        <v xml:space="preserve"> </v>
      </c>
      <c r="DZ354" s="361" t="str">
        <f t="shared" si="1064"/>
        <v xml:space="preserve"> </v>
      </c>
      <c r="EA354" s="362" t="str">
        <f t="shared" si="1065"/>
        <v xml:space="preserve"> </v>
      </c>
      <c r="EB354" s="624" t="str">
        <f t="shared" si="1170"/>
        <v xml:space="preserve"> </v>
      </c>
      <c r="EC354" s="361" t="e">
        <f ca="1">INDEX(INDIRECT(VLOOKUP(LEFT(BO354,7),CLU!$Z$3:$AH$18,7)),M354-1,4+LEFT(DZ354,1)*0.5)</f>
        <v>#N/A</v>
      </c>
      <c r="ED354" s="362" t="str">
        <f t="shared" si="1066"/>
        <v xml:space="preserve"> </v>
      </c>
      <c r="EE354" s="361" t="str">
        <f t="shared" si="1067"/>
        <v xml:space="preserve"> </v>
      </c>
      <c r="EF354" s="362" t="str">
        <f>IF(L354&gt;0,IF(BR354&gt;0,IF(EE354="2P",IF(Calculation!DZ354="2P",IF(Calculation!DS354=13.75,IF(Calculation!DR354=13,Worksheet!$BD$43,IF(Calculation!DR354=37,Worksheet!$BD$44,Worksheet!$BD$45)),IF(Calculation!DS354=10,IF(Calculation!DR354=18,Worksheet!$BD$29,IF(Calculation!DR354=30,Worksheet!$BD$30,IF(Calculation!DR354=42,Worksheet!$BD$31,IF(Calculation!DR354=54,Worksheet!$BD$32,IF(Calculation!DR354=66,Worksheet!$BD$33,IF(Calculation!DR354=78,Worksheet!$BD$34,IF(Calculation!DR354=90,Worksheet!$BD$35,IF(Calculation!DR354=102,Worksheet!$BD$36,Worksheet!$BD$37)))))))),IF(Calculation!DS354=12.5,IF(Calculation!DR354=18,Worksheet!$BD$38,IF(Calculation!DR354=Worksheet!$BD$39,IF(Calculation!DR354=42,Worksheet!$BD$40,IF(Calculation!DR354=54,Worksheet!$BD$41,Worksheet!$BD$42)))),IF(Calculation!DR354=18,Worksheet!$BD$11,IF(Calculation!DR354=30,Worksheet!$BD$12,IF(Calculation!DR354=42,Worksheet!$BD$13,IF(Calculation!DR354=54,Worksheet!$BD$14,IF(Calculation!DR354=66,Worksheet!$BD$15,IF(Calculation!DR354=78,Worksheet!$BD$16,IF(Calculation!DR354=90,Worksheet!$BD$17,IF(Calculation!DR354=102,Worksheet!$BD$18,Worksheet!$BD$19))))))))))),IF(Calculation!DS354=13.75,IF(Calculation!DR354=13,Worksheet!$BD$78,IF(Calculation!DR354=37,Worksheet!$BD$79,Worksheet!$BD$80)),IF(Calculation!DS354=10,IF(Calculation!DR354=18,Worksheet!$BD$64,IF(Calculation!DR354=30,Worksheet!$BD$65,IF(Calculation!DR354=42,Worksheet!$BD$66,IF(Calculation!DR354=54,Worksheet!$BD$68,IF(Calculation!DR354=66,Worksheet!$BD$68,IF(Calculation!DR354=78,Worksheet!$BD$69,IF(Calculation!DR354=90,Worksheet!$BD$70,IF(Calculation!DR354=102,Worksheet!$BD$71,Worksheet!$BD$72)))))))),IF(Calculation!DS354=12.5,IF(Calculation!DR354=18,Worksheet!$BD$73,IF(Calculation!DR354=Worksheet!$BD$74,IF(Calculation!DR354=42,Worksheet!$BD$75,IF(Calculation!DR354=54,Worksheet!$BD$76,Worksheet!$BD$77)))),IF(Calculation!DR354=18,Worksheet!$BD$55,IF(Calculation!DR354=30,Worksheet!$BD$56,IF(Calculation!DR354=42,Worksheet!$BD$57,IF(Calculation!DR354=54,Worksheet!$BD$58,IF(Calculation!DR354=66,Worksheet!$BD$59,IF(Calculation!DR354=78,Worksheet!$BD$60,IF(Calculation!DR354=90,Worksheet!$BD$61,IF(Calculation!DR354=102,Worksheet!$BD$62,Worksheet!$BD$63)))))))))))),5),0)," ")</f>
        <v xml:space="preserve"> </v>
      </c>
      <c r="EG354" s="361" t="str">
        <f t="shared" si="1068"/>
        <v xml:space="preserve"> </v>
      </c>
      <c r="EH354" s="361" t="e">
        <f ca="1">INDEX(INDIRECT(VLOOKUP(LEFT(BO354,7),CLU!$Z$3:$AH$18,7)),M354-1,3+LEFT(DZ354,1))</f>
        <v>#N/A</v>
      </c>
      <c r="EI354" s="362" t="str">
        <f t="shared" si="1069"/>
        <v xml:space="preserve"> </v>
      </c>
      <c r="EJ354" s="363" t="str">
        <f t="shared" si="1070"/>
        <v xml:space="preserve"> </v>
      </c>
      <c r="EK354" s="363" t="str">
        <f t="shared" si="1071"/>
        <v xml:space="preserve"> </v>
      </c>
      <c r="EL354" s="363" t="str">
        <f t="shared" si="1072"/>
        <v xml:space="preserve"> </v>
      </c>
      <c r="EM354" s="362" t="str">
        <f>IF(L354&gt;0,IF(BR354&gt;0,(Calculation!T354/ED354)^2,0)," ")</f>
        <v xml:space="preserve"> </v>
      </c>
      <c r="EN354" s="362" t="str">
        <f>IF(L354&gt;0,IF(O354="2 Pipe (Cooling)","N/A",IF(BR354&gt;0,(Calculation!U354/EI354)^2,0))," ")</f>
        <v xml:space="preserve"> </v>
      </c>
      <c r="EO354" s="361" t="str">
        <f t="shared" si="1073"/>
        <v/>
      </c>
      <c r="EP354" s="361" t="str">
        <f t="shared" si="1074"/>
        <v/>
      </c>
      <c r="EQ354" s="361" t="str">
        <f t="shared" si="1075"/>
        <v/>
      </c>
      <c r="ER354" s="361" t="str">
        <f t="shared" si="1076"/>
        <v/>
      </c>
      <c r="ES354" s="361" t="str">
        <f t="shared" si="1077"/>
        <v/>
      </c>
      <c r="ET354" s="361" t="str">
        <f t="shared" si="1078"/>
        <v/>
      </c>
      <c r="EU354" s="361" t="str">
        <f t="shared" si="1079"/>
        <v/>
      </c>
      <c r="EV354" s="361" t="str">
        <f t="shared" si="1080"/>
        <v/>
      </c>
      <c r="EW354" s="361" t="str">
        <f t="shared" si="1081"/>
        <v/>
      </c>
      <c r="EX354" s="361" t="str">
        <f t="shared" si="1171"/>
        <v>1 slot, 1 way</v>
      </c>
      <c r="EY354" s="361" t="str">
        <f t="shared" si="1172"/>
        <v xml:space="preserve"> </v>
      </c>
      <c r="EZ354" s="361" t="str">
        <f t="shared" si="1173"/>
        <v xml:space="preserve"> </v>
      </c>
      <c r="FA354" s="361" t="str">
        <f t="shared" si="1174"/>
        <v xml:space="preserve"> </v>
      </c>
      <c r="FB354" s="361" t="str">
        <f t="shared" si="1175"/>
        <v xml:space="preserve"> </v>
      </c>
      <c r="FC354" s="361"/>
      <c r="FD354" s="361" t="str">
        <f>IF(J354&gt;0,IF(Calculation!R354&lt;=70,4,IF(Calculation!R354&lt;=110,5,IF(Calculation!R354&lt;=160,6,IF(Calculation!R354&lt;=300,8,"10 EO")))),"")</f>
        <v/>
      </c>
      <c r="FE354" s="361" t="str">
        <f t="shared" si="1176"/>
        <v/>
      </c>
      <c r="FF354" s="361" t="str">
        <f t="shared" si="1177"/>
        <v/>
      </c>
      <c r="FG354" s="361" t="e">
        <f t="shared" si="1082"/>
        <v>#N/A</v>
      </c>
      <c r="FH354" s="361">
        <f t="shared" si="1083"/>
        <v>0</v>
      </c>
      <c r="FI354" s="361" t="e">
        <f t="shared" si="1084"/>
        <v>#DIV/0!</v>
      </c>
      <c r="FJ354" s="361"/>
      <c r="FK354" s="356" t="e">
        <f t="shared" si="1085"/>
        <v>#VALUE!</v>
      </c>
      <c r="FL354" s="361"/>
      <c r="FM354" s="361"/>
      <c r="FN354" s="362" t="str">
        <f t="shared" si="1178"/>
        <v xml:space="preserve"> </v>
      </c>
      <c r="FO354" s="362" t="str">
        <f t="shared" si="1179"/>
        <v xml:space="preserve"> </v>
      </c>
      <c r="FP354" s="362">
        <f t="shared" si="1180"/>
        <v>0</v>
      </c>
      <c r="FQ354" s="361">
        <f t="shared" si="1086"/>
        <v>0</v>
      </c>
      <c r="FR354" s="362" t="str">
        <f>IF(L354&gt;0,IF(J354="CBAL2",Worksheet!$P$67,IF(J354="CBE2-24",Worksheet!$Q$67,IF(J354="CBAM",Worksheet!$R$67,IF(J354="CBLV",Worksheet!$S$67,IF(J354="CBAB",Worksheet!$U$67,IF(J354="CBAW",Worksheet!$X$67,IF(J354="CBE2-12",Worksheet!$Y$67,IF(J354="CBAL2",Worksheet!$Z$67,"N/A"))))))))," ")</f>
        <v xml:space="preserve"> </v>
      </c>
      <c r="FS354" s="362" t="str">
        <f>IF(L354&gt;0,IF(J354="CBAL2",Worksheet!$P$68,IF(J354="CBE2-24",Worksheet!$Q$68,IF(J354="CBAM",Worksheet!$R$68,IF(J354="CBLV",Worksheet!$S$68,IF(J354="CBAB",Worksheet!$U$68,IF(J354="CBAW",Worksheet!$X$68,IF(J354="CBE2-12",Worksheet!$Y$68,IF(J354="CBAL2",Worksheet!$Z$68,"N/A"))))))))," ")</f>
        <v xml:space="preserve"> </v>
      </c>
      <c r="FT354" s="362" t="str">
        <f>IF(L354&gt;0,IF(J354="CBAL2",Worksheet!$P$69,IF(J354="CBE2-24",Worksheet!$Q$69,IF(J354="CBAM",Worksheet!$R$69,IF(J354="CBLV",Worksheet!$S$69,IF(J354="CBAB",Worksheet!$U$69,IF(J354="CBAW",Worksheet!$X$69,IF(J354="CBE2-12",Worksheet!$Y$69,IF(J354="CBAL2",Worksheet!$Z$69,"N/A"))))))))," ")</f>
        <v xml:space="preserve"> </v>
      </c>
      <c r="FU354" s="361" t="str">
        <f t="shared" si="1181"/>
        <v xml:space="preserve"> </v>
      </c>
      <c r="FV354" s="362" t="str">
        <f t="shared" si="1182"/>
        <v xml:space="preserve"> </v>
      </c>
      <c r="FW354" s="362" t="str">
        <f t="shared" si="1183"/>
        <v xml:space="preserve"> </v>
      </c>
      <c r="FX354" s="362" t="str">
        <f t="shared" si="1184"/>
        <v xml:space="preserve"> </v>
      </c>
      <c r="FY354" s="355" t="str">
        <f t="shared" si="1185"/>
        <v xml:space="preserve"> </v>
      </c>
      <c r="FZ354" s="361" t="str">
        <f t="shared" si="1186"/>
        <v xml:space="preserve"> </v>
      </c>
      <c r="GA354" s="347" t="str">
        <f t="shared" si="1187"/>
        <v xml:space="preserve"> </v>
      </c>
      <c r="GB354" s="355" t="str">
        <f t="shared" si="1188"/>
        <v xml:space="preserve"> </v>
      </c>
      <c r="GC354" s="328" t="str">
        <f t="shared" si="1189"/>
        <v xml:space="preserve"> </v>
      </c>
      <c r="GD354" s="361" t="str">
        <f t="shared" si="1190"/>
        <v xml:space="preserve"> </v>
      </c>
      <c r="GE354" s="347" t="str">
        <f t="shared" si="1191"/>
        <v xml:space="preserve"> </v>
      </c>
      <c r="GF354" s="361" t="str">
        <f t="shared" si="1192"/>
        <v xml:space="preserve"> </v>
      </c>
      <c r="GG354" s="347" t="str">
        <f t="shared" si="1193"/>
        <v xml:space="preserve"> </v>
      </c>
      <c r="GH354" s="364">
        <f t="shared" si="1087"/>
        <v>0</v>
      </c>
      <c r="GI354" s="362">
        <f t="shared" si="1194"/>
        <v>2</v>
      </c>
      <c r="GJ354" s="433" t="e">
        <f>IF(6-COUNTBLANK(GT354:GY354)=4,MATCH(MID(BO354,9,3),CLU!$H$16:$K$16),MATCH(MID(BO354,9,3),CLU!$H$13:$M$13))</f>
        <v>#N/A</v>
      </c>
      <c r="GK354" s="433" t="e">
        <f>HLOOKUP(VALUE(BP354),CLU!$H$9:$M$10,2)</f>
        <v>#VALUE!</v>
      </c>
      <c r="GL354" s="433" t="e">
        <f ca="1">MATCH(BU354,CLU!$H$2:$V$2,1)</f>
        <v>#VALUE!</v>
      </c>
      <c r="GM354" s="433" t="e">
        <f t="shared" ca="1" si="1195"/>
        <v>#VALUE!</v>
      </c>
      <c r="GN354" s="433" t="e">
        <f t="shared" ca="1" si="1196"/>
        <v>#VALUE!</v>
      </c>
      <c r="GO354" s="433" t="e">
        <f t="shared" ca="1" si="1197"/>
        <v>#VALUE!</v>
      </c>
      <c r="GP354" s="433" t="e">
        <f t="shared" ca="1" si="1198"/>
        <v>#VALUE!</v>
      </c>
      <c r="GQ354" s="433" t="e">
        <f t="shared" ca="1" si="1199"/>
        <v>#VALUE!</v>
      </c>
      <c r="GR354" s="433" t="e">
        <f ca="1">MATCH(T354,INDIRECT(VLOOKUP(CONCATENATE(LEFT(BO354,7),"-",MID(BO354,13,1)),CLU!$P$3:$Q$16,2)),1)</f>
        <v>#N/A</v>
      </c>
      <c r="GS354" s="433" t="e">
        <f ca="1">MATCH(U354,INDIRECT(VLOOKUP(CONCATENATE(LEFT(BO354,7),"-",MID(BO354,13,1)),CLU!$P$3:$Q$16,2)),1)</f>
        <v>#N/A</v>
      </c>
      <c r="GT354" s="347" t="s">
        <v>512</v>
      </c>
      <c r="GU354" s="97" t="s">
        <v>513</v>
      </c>
      <c r="GV354" s="97" t="str">
        <f t="shared" si="1200"/>
        <v>M23</v>
      </c>
      <c r="GW354" s="97" t="str">
        <f t="shared" si="1201"/>
        <v>M31</v>
      </c>
      <c r="GX354" s="97" t="str">
        <f t="shared" si="1202"/>
        <v/>
      </c>
      <c r="GY354" s="97" t="str">
        <f t="shared" si="1203"/>
        <v/>
      </c>
      <c r="GZ354" s="481"/>
      <c r="HA354" s="240"/>
      <c r="HB354" s="240"/>
      <c r="HC354" s="240"/>
      <c r="HD354" s="240"/>
      <c r="HE354" s="240"/>
      <c r="HF354" s="240"/>
      <c r="HG354" s="240"/>
      <c r="HH354" s="240"/>
      <c r="HI354" s="240"/>
      <c r="HJ354" s="240"/>
      <c r="HK354" s="240"/>
      <c r="HL354" s="240"/>
      <c r="HM354" s="240"/>
      <c r="HN354" s="240"/>
      <c r="HO354" s="240"/>
      <c r="HP354" s="240"/>
      <c r="HQ354" s="240"/>
      <c r="HR354" s="240"/>
      <c r="HS354" s="240"/>
      <c r="HT354" s="240"/>
      <c r="HU354" s="240"/>
      <c r="HV354" s="245"/>
      <c r="HW354" s="245" t="b">
        <v>1</v>
      </c>
      <c r="HX354" s="245" t="str">
        <f t="shared" si="1088"/>
        <v/>
      </c>
      <c r="HY354" s="245" t="e">
        <f t="shared" si="1089"/>
        <v>#DIV/0!</v>
      </c>
      <c r="HZ354" s="245" t="e">
        <f t="shared" si="1090"/>
        <v>#DIV/0!</v>
      </c>
      <c r="IA354" s="245">
        <f t="shared" si="1091"/>
        <v>0</v>
      </c>
      <c r="IB354" s="245"/>
      <c r="IC354" t="b">
        <f t="shared" si="1092"/>
        <v>1</v>
      </c>
      <c r="ID354" s="245" t="b">
        <f t="shared" si="1093"/>
        <v>1</v>
      </c>
      <c r="IE354" s="245" t="b">
        <f t="shared" si="1094"/>
        <v>1</v>
      </c>
      <c r="IF354" s="245" t="b">
        <f t="shared" si="1095"/>
        <v>0</v>
      </c>
      <c r="IG354" s="245" t="b">
        <f t="shared" si="1096"/>
        <v>1</v>
      </c>
      <c r="IH354" s="245" t="b">
        <f t="shared" si="1097"/>
        <v>1</v>
      </c>
      <c r="II354" s="245">
        <f t="shared" si="1204"/>
        <v>0</v>
      </c>
      <c r="IJ354" s="245" t="e">
        <f t="shared" si="1098"/>
        <v>#VALUE!</v>
      </c>
      <c r="IK354" s="245" t="e">
        <f t="shared" si="1099"/>
        <v>#VALUE!</v>
      </c>
      <c r="IL354" s="245"/>
      <c r="IM354" s="245" t="e">
        <f t="shared" si="1205"/>
        <v>#N/A</v>
      </c>
      <c r="IN354" s="245" t="e">
        <f t="shared" si="1206"/>
        <v>#N/A</v>
      </c>
      <c r="IO354" s="245"/>
      <c r="IP354" s="245"/>
      <c r="IQ354" s="245" t="str">
        <f t="shared" si="1100"/>
        <v/>
      </c>
      <c r="IR354" s="245" t="str">
        <f>IF(J354="","",VLOOKUP(J354,Worksheet!$R$4:$T$14,2))</f>
        <v/>
      </c>
      <c r="IS354" s="245"/>
      <c r="IT354" s="245">
        <f t="shared" si="1101"/>
        <v>0</v>
      </c>
      <c r="IU354" s="245">
        <f t="shared" si="1102"/>
        <v>0</v>
      </c>
      <c r="IV354" s="245">
        <f t="shared" si="1103"/>
        <v>0</v>
      </c>
      <c r="IW354" s="245">
        <f t="shared" si="1104"/>
        <v>0</v>
      </c>
      <c r="IX354" s="245">
        <f t="shared" si="1207"/>
        <v>0</v>
      </c>
      <c r="IY354" s="245">
        <f t="shared" si="1105"/>
        <v>0</v>
      </c>
      <c r="IZ354" s="245">
        <f t="shared" si="1106"/>
        <v>0</v>
      </c>
      <c r="JA354">
        <f t="shared" si="1107"/>
        <v>0</v>
      </c>
      <c r="JB354">
        <f t="shared" si="1208"/>
        <v>0</v>
      </c>
      <c r="JC354">
        <f t="shared" si="1108"/>
        <v>0</v>
      </c>
      <c r="JD354">
        <f t="shared" si="1109"/>
        <v>0</v>
      </c>
      <c r="JE354">
        <f t="shared" si="1110"/>
        <v>0</v>
      </c>
      <c r="JF354">
        <f t="shared" si="1111"/>
        <v>0</v>
      </c>
      <c r="JG354">
        <f t="shared" si="1112"/>
        <v>0</v>
      </c>
      <c r="JH354">
        <f t="shared" si="1113"/>
        <v>0</v>
      </c>
      <c r="JI354">
        <f t="shared" si="1114"/>
        <v>0</v>
      </c>
      <c r="JJ354" s="447">
        <f t="shared" si="1115"/>
        <v>0</v>
      </c>
      <c r="JK354" s="447">
        <f t="shared" si="1116"/>
        <v>0</v>
      </c>
      <c r="JL354">
        <f t="shared" si="1117"/>
        <v>0</v>
      </c>
      <c r="JM354" s="245" t="str">
        <f>IFERROR(VLOOKUP(MATCH(BN354,#REF!,0),#REF!,7),"")</f>
        <v/>
      </c>
      <c r="JN354" t="e">
        <f>HLOOKUP(LEFT(BO354,7),Discharge_Area,MATCH(JO354,LookUps!$B$130:$B$149,1)+2)</f>
        <v>#N/A</v>
      </c>
      <c r="JO354" t="str">
        <f t="shared" si="1118"/>
        <v>- S</v>
      </c>
      <c r="JP354" t="e">
        <f>HLOOKUP(LEFT(BO354,7),Discharge_Area,MATCH(JO354,LookUps!$B$130:$B$149,1)+2)</f>
        <v>#N/A</v>
      </c>
      <c r="JQ354" t="e">
        <f t="shared" si="1119"/>
        <v>#N/A</v>
      </c>
      <c r="JR354" t="e">
        <f t="shared" si="1120"/>
        <v>#N/A</v>
      </c>
      <c r="JS354" t="e">
        <f t="shared" si="1121"/>
        <v>#N/A</v>
      </c>
      <c r="JT354" s="532" t="str">
        <f t="shared" si="1122"/>
        <v xml:space="preserve"> </v>
      </c>
      <c r="JU354" s="532" t="str">
        <f t="shared" si="1123"/>
        <v xml:space="preserve"> </v>
      </c>
      <c r="JV354" s="533" t="str">
        <f t="shared" si="1124"/>
        <v xml:space="preserve"> </v>
      </c>
      <c r="JW354" s="534">
        <f t="shared" si="1125"/>
        <v>0</v>
      </c>
      <c r="JX354" s="535" t="str">
        <f t="shared" si="1209"/>
        <v xml:space="preserve"> </v>
      </c>
      <c r="JY354" s="535" t="str">
        <f t="shared" si="1210"/>
        <v xml:space="preserve"> </v>
      </c>
      <c r="JZ354" s="535" t="str">
        <f t="shared" si="1211"/>
        <v xml:space="preserve"> </v>
      </c>
      <c r="KA354" s="536" t="str">
        <f t="shared" si="1126"/>
        <v xml:space="preserve"> </v>
      </c>
      <c r="KB354" s="535" t="e">
        <f t="shared" si="1212"/>
        <v>#VALUE!</v>
      </c>
      <c r="KC354" s="535" t="str">
        <f t="shared" si="1127"/>
        <v/>
      </c>
      <c r="KD354" s="537" t="str">
        <f t="shared" si="1213"/>
        <v xml:space="preserve"> </v>
      </c>
      <c r="KE354" s="537" t="str">
        <f t="shared" si="1214"/>
        <v xml:space="preserve"> </v>
      </c>
      <c r="KF354" s="534">
        <f t="shared" si="1128"/>
        <v>0</v>
      </c>
      <c r="KG354" s="535" t="str">
        <f t="shared" si="1129"/>
        <v xml:space="preserve"> </v>
      </c>
      <c r="KH354" s="535" t="str">
        <f t="shared" si="1130"/>
        <v xml:space="preserve"> </v>
      </c>
      <c r="KI354" s="535" t="str">
        <f t="shared" si="1131"/>
        <v xml:space="preserve"> </v>
      </c>
      <c r="KJ354" s="536" t="str">
        <f t="shared" si="1132"/>
        <v xml:space="preserve"> </v>
      </c>
      <c r="KK354" s="535" t="str">
        <f t="shared" si="1215"/>
        <v xml:space="preserve"> </v>
      </c>
      <c r="KL354" s="535" t="str">
        <f t="shared" si="1216"/>
        <v xml:space="preserve"> </v>
      </c>
      <c r="KM354" s="537" t="str">
        <f t="shared" si="1133"/>
        <v xml:space="preserve"> </v>
      </c>
      <c r="KN354" s="537" t="str">
        <f t="shared" si="1217"/>
        <v xml:space="preserve"> </v>
      </c>
      <c r="KP354">
        <f t="shared" si="1134"/>
        <v>0</v>
      </c>
      <c r="LA354" t="e">
        <f t="shared" si="1135"/>
        <v>#VALUE!</v>
      </c>
      <c r="LB354" t="e">
        <f t="shared" si="1136"/>
        <v>#VALUE!</v>
      </c>
      <c r="LC354" t="e">
        <f t="shared" si="1137"/>
        <v>#VALUE!</v>
      </c>
      <c r="LD354" t="e">
        <f t="shared" si="1138"/>
        <v>#VALUE!</v>
      </c>
      <c r="LE354" t="e">
        <f t="shared" si="1218"/>
        <v>#VALUE!</v>
      </c>
      <c r="LF354">
        <f t="shared" si="1139"/>
        <v>0</v>
      </c>
      <c r="LG354" t="e">
        <f t="shared" si="1219"/>
        <v>#VALUE!</v>
      </c>
      <c r="LH354" t="str">
        <f t="shared" si="1140"/>
        <v xml:space="preserve"> </v>
      </c>
      <c r="LI354">
        <f t="shared" si="1220"/>
        <v>1</v>
      </c>
    </row>
    <row r="355" spans="2:321" ht="15" customHeight="1">
      <c r="B355" s="311"/>
      <c r="C355" s="311"/>
      <c r="D355" s="312"/>
      <c r="E355" s="311"/>
      <c r="F355" s="312"/>
      <c r="G355" s="311"/>
      <c r="H355" s="311"/>
      <c r="I355" s="232"/>
      <c r="J355" s="311"/>
      <c r="K355" s="305" t="str">
        <f t="shared" si="1141"/>
        <v/>
      </c>
      <c r="L355" s="313"/>
      <c r="M355" s="312"/>
      <c r="N355" s="311"/>
      <c r="O355" s="312"/>
      <c r="P355" s="311"/>
      <c r="Q355" s="305" t="str">
        <f t="shared" si="1142"/>
        <v/>
      </c>
      <c r="R355" s="314"/>
      <c r="S355" s="450" t="str">
        <f t="shared" si="1025"/>
        <v/>
      </c>
      <c r="T355" s="315"/>
      <c r="U355" s="315"/>
      <c r="W355" s="149" t="str">
        <f t="shared" si="1026"/>
        <v xml:space="preserve"> </v>
      </c>
      <c r="X355" s="243" t="str">
        <f t="shared" si="1027"/>
        <v xml:space="preserve"> </v>
      </c>
      <c r="Y355" s="150" t="str">
        <f t="shared" si="1028"/>
        <v/>
      </c>
      <c r="Z355" s="149" t="str">
        <f t="shared" si="1029"/>
        <v xml:space="preserve"> </v>
      </c>
      <c r="AA355" s="98" t="str">
        <f t="shared" si="1030"/>
        <v xml:space="preserve"> </v>
      </c>
      <c r="AB355" s="153" t="str">
        <f t="shared" si="1031"/>
        <v xml:space="preserve"> </v>
      </c>
      <c r="AC355" s="153" t="str">
        <f t="shared" si="1032"/>
        <v xml:space="preserve"> </v>
      </c>
      <c r="AD355" s="148" t="str">
        <f t="shared" si="1033"/>
        <v/>
      </c>
      <c r="AE355" s="149" t="str">
        <f t="shared" si="1034"/>
        <v/>
      </c>
      <c r="AF355" s="151" t="str">
        <f t="shared" si="1035"/>
        <v xml:space="preserve"> </v>
      </c>
      <c r="AG355" s="153" t="str">
        <f t="shared" si="1036"/>
        <v xml:space="preserve"> </v>
      </c>
      <c r="AH355" s="98" t="str">
        <f t="shared" si="1037"/>
        <v xml:space="preserve"> </v>
      </c>
      <c r="AI355" s="149" t="str">
        <f t="shared" si="1038"/>
        <v xml:space="preserve"> </v>
      </c>
      <c r="AK355" s="144" t="str">
        <f t="shared" si="1039"/>
        <v xml:space="preserve"> </v>
      </c>
      <c r="AL355" s="144"/>
      <c r="AM355" s="243" t="str">
        <f t="shared" si="1040"/>
        <v xml:space="preserve"> </v>
      </c>
      <c r="AN355" s="149" t="str">
        <f t="shared" si="1143"/>
        <v xml:space="preserve"> </v>
      </c>
      <c r="AO355" s="144" t="str">
        <f>IF(JB355&gt;0,IF(GI355=10,-R355*1.085*(Calculation!$F$6-Calculation!$F$13)*$S$14," "),"")</f>
        <v/>
      </c>
      <c r="AP355" s="144" t="str">
        <f t="shared" si="1041"/>
        <v/>
      </c>
      <c r="AQ355" s="56" t="str">
        <f t="shared" si="1042"/>
        <v/>
      </c>
      <c r="AR355" s="144" t="str">
        <f t="shared" si="1043"/>
        <v/>
      </c>
      <c r="AS355" s="176" t="str">
        <f t="shared" si="1044"/>
        <v/>
      </c>
      <c r="AT355" s="176" t="str">
        <f t="shared" si="1144"/>
        <v xml:space="preserve"> </v>
      </c>
      <c r="AU355" s="176" t="str">
        <f t="shared" si="1045"/>
        <v/>
      </c>
      <c r="AV355" s="177" t="str">
        <f t="shared" si="1046"/>
        <v xml:space="preserve"> </v>
      </c>
      <c r="AW355" s="144" t="str">
        <f t="shared" si="1047"/>
        <v xml:space="preserve"> </v>
      </c>
      <c r="AX355" s="144" t="str">
        <f t="shared" si="1048"/>
        <v xml:space="preserve"> </v>
      </c>
      <c r="AY355" s="152" t="str">
        <f t="shared" si="1049"/>
        <v xml:space="preserve"> </v>
      </c>
      <c r="AZ355" s="246" t="str">
        <f t="shared" si="1050"/>
        <v/>
      </c>
      <c r="BA355" s="176" t="str">
        <f t="shared" si="1051"/>
        <v xml:space="preserve"> </v>
      </c>
      <c r="BB355" s="176" t="str">
        <f t="shared" si="1052"/>
        <v xml:space="preserve"> </v>
      </c>
      <c r="BC355" s="195"/>
      <c r="BD355" s="316"/>
      <c r="BE355" s="317"/>
      <c r="BF355" s="318"/>
      <c r="BG355" s="318"/>
      <c r="BH355" s="144" t="str">
        <f t="shared" si="1221"/>
        <v xml:space="preserve"> </v>
      </c>
      <c r="BI355" s="176" t="str">
        <f t="shared" si="1053"/>
        <v/>
      </c>
      <c r="BJ355" s="144" t="str">
        <f t="shared" si="1222"/>
        <v/>
      </c>
      <c r="BK355" s="246" t="str">
        <f t="shared" si="1054"/>
        <v/>
      </c>
      <c r="BL355" s="144" t="str">
        <f t="shared" si="1223"/>
        <v/>
      </c>
      <c r="BM355" s="246" t="str">
        <f t="shared" si="1055"/>
        <v/>
      </c>
      <c r="BN355" s="337" t="str">
        <f t="shared" si="1145"/>
        <v/>
      </c>
      <c r="BO355" s="371" t="str">
        <f t="shared" si="1146"/>
        <v/>
      </c>
      <c r="BP355" s="328" t="str">
        <f t="shared" si="1224"/>
        <v xml:space="preserve"> </v>
      </c>
      <c r="BQ355" s="347" t="str">
        <f t="shared" si="1147"/>
        <v xml:space="preserve"> </v>
      </c>
      <c r="BR355" s="353" t="str">
        <f t="shared" si="1148"/>
        <v xml:space="preserve"> </v>
      </c>
      <c r="BS355" s="626" t="str">
        <f>IF(L355&gt;0,IF(Calculation!P355="M13",BR355*3.1416*(0.134^2)/(4*144),IF(Calculation!P355="M17",BR355*3.1416*(0.165^2)/(4*144),IF(Calculation!P355="M20",BR355*3.1416*(0.198^2)/(4*144),IF(Calculation!P355="M23",BR355*3.1416*(0.228^2)/(4*144),IF(Calculation!P355="M27",BR355*3.1416*(0.269^2)/(4*144),BR355*3.1416*(0.307^2)/(4*144))))))," ")</f>
        <v xml:space="preserve"> </v>
      </c>
      <c r="BT355" s="353" t="str">
        <f>IF(L355&gt;0,IF(BS355&gt;0,R355/Calculation!BS355,0)," ")</f>
        <v xml:space="preserve"> </v>
      </c>
      <c r="BU355" s="438" t="e">
        <f t="shared" ca="1" si="1056"/>
        <v>#VALUE!</v>
      </c>
      <c r="BV355" s="449" t="e">
        <f ca="1">INDEX(INDIRECT(VLOOKUP(LEFT(BO355,7),CLU!$Z$3:$AH$18,2)),GN355,GR355)</f>
        <v>#N/A</v>
      </c>
      <c r="BW355" s="433" t="e">
        <f ca="1">INDEX(INDIRECT(VLOOKUP(LEFT(BO355,7),CLU!$Z$3:$AH$18,3)),GN355,GR355)</f>
        <v>#N/A</v>
      </c>
      <c r="BX355" s="433" t="e">
        <f ca="1">INDEX(INDIRECT(VLOOKUP(LEFT(BO355,7),CLU!$Z$3:$AH$18,4)),GN355,GR355)</f>
        <v>#N/A</v>
      </c>
      <c r="BY355" s="433" t="e">
        <f ca="1">INDEX(INDIRECT(VLOOKUP(LEFT(BO355,7),CLU!$Z$3:$AH$18,9)),((M355-2)*(6-COUNTBLANK(GT355:GY355)))+GJ355)</f>
        <v>#N/A</v>
      </c>
      <c r="BZ355" s="426" t="e">
        <f t="shared" ca="1" si="1149"/>
        <v>#N/A</v>
      </c>
      <c r="CA355" s="424" t="e">
        <f t="shared" ca="1" si="1150"/>
        <v>#N/A</v>
      </c>
      <c r="CB355" s="429" t="e">
        <f ca="1">INDEX(INDIRECT(VLOOKUP(LEFT(BO355,7),CLU!$Z$3:$AH$18,2)),GN355,GS355)</f>
        <v>#N/A</v>
      </c>
      <c r="CC355" s="342" t="e">
        <f ca="1">INDEX(INDIRECT(VLOOKUP(LEFT(BO355,7),CLU!$Z$3:$AH$18,3)),GN355,GS355)</f>
        <v>#N/A</v>
      </c>
      <c r="CD355" s="342" t="e">
        <f ca="1">INDEX(INDIRECT(VLOOKUP(LEFT(BO355,7),CLU!$Z$3:$AH$18,4)),GN355,GS355)</f>
        <v>#N/A</v>
      </c>
      <c r="CE355" s="426" t="e">
        <f t="shared" ca="1" si="1151"/>
        <v>#N/A</v>
      </c>
      <c r="CF355" s="440">
        <f t="shared" si="1152"/>
        <v>0</v>
      </c>
      <c r="CG355" s="431" t="e">
        <f ca="1">INDEX(INDIRECT(VLOOKUP(LEFT(BO355,7),CLU!$Z$3:$AH$18,2)),GQ355,GR355)</f>
        <v>#N/A</v>
      </c>
      <c r="CH355" s="431" t="e">
        <f ca="1">INDEX(INDIRECT(VLOOKUP(LEFT(BO355,7),CLU!$Z$3:$AH$18,3)),GQ355,GR355)</f>
        <v>#N/A</v>
      </c>
      <c r="CI355" s="431" t="e">
        <f ca="1">INDEX(INDIRECT(VLOOKUP(LEFT(BO355,7),CLU!$Z$3:$AH$18,4)),GQ355,GR355)</f>
        <v>#N/A</v>
      </c>
      <c r="CJ355" s="448" t="e">
        <f t="shared" ca="1" si="1153"/>
        <v>#N/A</v>
      </c>
      <c r="CK355" s="431" t="e">
        <f t="shared" ca="1" si="1154"/>
        <v>#N/A</v>
      </c>
      <c r="CL355" s="440" t="e">
        <f t="shared" ca="1" si="1155"/>
        <v>#N/A</v>
      </c>
      <c r="CM355" s="431" t="e">
        <f ca="1">INDEX(INDIRECT(VLOOKUP(LEFT(BO355,7),CLU!$Z$3:$AH$18,2)),GQ355,GS355)</f>
        <v>#N/A</v>
      </c>
      <c r="CN355" s="431" t="e">
        <f ca="1">INDEX(INDIRECT(VLOOKUP(LEFT(BO355,7),CLU!$Z$3:$AH$18,3)),GQ355,GS355)</f>
        <v>#N/A</v>
      </c>
      <c r="CO355" s="431" t="e">
        <f ca="1">INDEX(INDIRECT(VLOOKUP(LEFT(BO355,7),CLU!$Z$3:$AH$18,4)),GQ355,GS355)</f>
        <v>#N/A</v>
      </c>
      <c r="CP355" s="431" t="e">
        <f t="shared" ca="1" si="1156"/>
        <v>#N/A</v>
      </c>
      <c r="CQ355" s="440">
        <f t="shared" si="1157"/>
        <v>0</v>
      </c>
      <c r="CR355" s="51" t="e">
        <f t="shared" ca="1" si="1158"/>
        <v>#N/A</v>
      </c>
      <c r="CS355" s="439" t="e">
        <f t="shared" ca="1" si="1159"/>
        <v>#VALUE!</v>
      </c>
      <c r="CT355" s="51" t="e">
        <f t="shared" ca="1" si="1160"/>
        <v>#VALUE!</v>
      </c>
      <c r="CU355" s="10"/>
      <c r="CV355" s="51" t="e">
        <f t="shared" ca="1" si="1057"/>
        <v>#VALUE!</v>
      </c>
      <c r="CW355" s="51">
        <f t="shared" si="1161"/>
        <v>0</v>
      </c>
      <c r="CX355" s="439" t="e">
        <f t="shared" ca="1" si="1162"/>
        <v>#VALUE!</v>
      </c>
      <c r="CY355" s="51" t="e">
        <f t="shared" ca="1" si="1163"/>
        <v>#VALUE!</v>
      </c>
      <c r="CZ355" s="10"/>
      <c r="DA355" s="51" t="e">
        <f t="shared" ca="1" si="1164"/>
        <v>#VALUE!</v>
      </c>
      <c r="DB355" s="347" t="e">
        <f ca="1">INDEX(INDIRECT(VLOOKUP(LEFT(BO355,7),CLU!$Z$3:$AI$18,10)),((M355-2)*(6-COUNTBLANK(GT355:GY355)))+GJ355)*LI355</f>
        <v>#N/A</v>
      </c>
      <c r="DC355" s="347" t="str">
        <f>IF(L355&gt;0,((R355/Worksheet!$I$15)/DB355)^2," ")</f>
        <v xml:space="preserve"> </v>
      </c>
      <c r="DD355" s="602" t="str">
        <f t="shared" si="1165"/>
        <v xml:space="preserve"> </v>
      </c>
      <c r="DE355" s="347" t="str">
        <f t="shared" si="1058"/>
        <v xml:space="preserve"> </v>
      </c>
      <c r="DF355" s="356" t="e">
        <f ca="1">INDEX(INDIRECT(VLOOKUP(LEFT(BO355,7),CLU!$Z$3:$AH$18,8)),((M355-2)*(6-COUNTBLANK(GT355:GY355)))+GJ355)</f>
        <v>#N/A</v>
      </c>
      <c r="DG355" s="347" t="str">
        <f t="shared" si="1059"/>
        <v xml:space="preserve"> </v>
      </c>
      <c r="DH355" s="357" t="str">
        <f t="shared" si="1060"/>
        <v xml:space="preserve"> </v>
      </c>
      <c r="DI355" s="355" t="str">
        <f t="shared" si="1061"/>
        <v xml:space="preserve"> </v>
      </c>
      <c r="DJ355" s="245" t="e">
        <f ca="1">INDEX(INDIRECT(VLOOKUP(LEFT(BO355,7),CLU!$Z$3:$AH$18,5)),GL355,GK355)</f>
        <v>#N/A</v>
      </c>
      <c r="DK355" s="245" t="e">
        <f ca="1">INDEX(INDIRECT(VLOOKUP(LEFT(BO355,7),CLU!$Z$3:$AH$18,6)),GL355,GK355)</f>
        <v>#N/A</v>
      </c>
      <c r="DL355" s="355">
        <f>(Calculation!R355*0.69143*(Calculation!$BQ$8-Calculation!$F$8))*$S$14</f>
        <v>0</v>
      </c>
      <c r="DM355" s="359" t="e">
        <f t="shared" si="1166"/>
        <v>#VALUE!</v>
      </c>
      <c r="DN355" s="611">
        <f t="shared" si="1167"/>
        <v>0</v>
      </c>
      <c r="DO355" s="359">
        <f t="shared" si="1168"/>
        <v>100</v>
      </c>
      <c r="DP355" s="359">
        <f t="shared" si="1169"/>
        <v>0</v>
      </c>
      <c r="DQ355" s="360"/>
      <c r="DR355" s="245" t="e">
        <f ca="1">INDEX(INDIRECT(VLOOKUP(LEFT(BO355,7),CLU!$Z$3:$AH$18,7)),M355-1,1)</f>
        <v>#N/A</v>
      </c>
      <c r="DS355" s="245" t="e">
        <f ca="1">INDEX(INDIRECT(VLOOKUP(LEFT(BO355,7),CLU!$Z$3:$AH$18,7)),M355-1,2)</f>
        <v>#N/A</v>
      </c>
      <c r="DT355" s="245" t="e">
        <f ca="1">INDEX(INDIRECT(VLOOKUP(LEFT(BO355,7),CLU!$Z$3:$AH$18,7)),M355-1,3)</f>
        <v>#N/A</v>
      </c>
      <c r="DU355" s="245" t="e">
        <f ca="1">INDEX(INDIRECT(VLOOKUP(LEFT(BO355,7),CLU!$Z$3:$AH$18,7)),M355-1,4)</f>
        <v>#N/A</v>
      </c>
      <c r="DV355" s="361" t="e">
        <f ca="1">INDEX(INDIRECT(VLOOKUP(LEFT(BO355,7),CLU!$Z$3:$AH$18,7)),M355-1,4+LEFT(DZ355,1)*0.5)</f>
        <v>#N/A</v>
      </c>
      <c r="DW355" s="245" t="e">
        <f ca="1">INDEX(INDIRECT(VLOOKUP(LEFT(BO355,7),CLU!$Z$3:$AH$18,7)),M355-1,8)</f>
        <v>#N/A</v>
      </c>
      <c r="DX355" s="361" t="str">
        <f t="shared" si="1062"/>
        <v xml:space="preserve"> </v>
      </c>
      <c r="DY355" s="361" t="str">
        <f t="shared" si="1063"/>
        <v xml:space="preserve"> </v>
      </c>
      <c r="DZ355" s="361" t="str">
        <f t="shared" si="1064"/>
        <v xml:space="preserve"> </v>
      </c>
      <c r="EA355" s="362" t="str">
        <f t="shared" si="1065"/>
        <v xml:space="preserve"> </v>
      </c>
      <c r="EB355" s="624" t="str">
        <f t="shared" si="1170"/>
        <v xml:space="preserve"> </v>
      </c>
      <c r="EC355" s="361" t="e">
        <f ca="1">INDEX(INDIRECT(VLOOKUP(LEFT(BO355,7),CLU!$Z$3:$AH$18,7)),M355-1,4+LEFT(DZ355,1)*0.5)</f>
        <v>#N/A</v>
      </c>
      <c r="ED355" s="362" t="str">
        <f t="shared" si="1066"/>
        <v xml:space="preserve"> </v>
      </c>
      <c r="EE355" s="361" t="str">
        <f t="shared" si="1067"/>
        <v xml:space="preserve"> </v>
      </c>
      <c r="EF355" s="362" t="str">
        <f>IF(L355&gt;0,IF(BR355&gt;0,IF(EE355="2P",IF(Calculation!DZ355="2P",IF(Calculation!DS355=13.75,IF(Calculation!DR355=13,Worksheet!$BD$43,IF(Calculation!DR355=37,Worksheet!$BD$44,Worksheet!$BD$45)),IF(Calculation!DS355=10,IF(Calculation!DR355=18,Worksheet!$BD$29,IF(Calculation!DR355=30,Worksheet!$BD$30,IF(Calculation!DR355=42,Worksheet!$BD$31,IF(Calculation!DR355=54,Worksheet!$BD$32,IF(Calculation!DR355=66,Worksheet!$BD$33,IF(Calculation!DR355=78,Worksheet!$BD$34,IF(Calculation!DR355=90,Worksheet!$BD$35,IF(Calculation!DR355=102,Worksheet!$BD$36,Worksheet!$BD$37)))))))),IF(Calculation!DS355=12.5,IF(Calculation!DR355=18,Worksheet!$BD$38,IF(Calculation!DR355=Worksheet!$BD$39,IF(Calculation!DR355=42,Worksheet!$BD$40,IF(Calculation!DR355=54,Worksheet!$BD$41,Worksheet!$BD$42)))),IF(Calculation!DR355=18,Worksheet!$BD$11,IF(Calculation!DR355=30,Worksheet!$BD$12,IF(Calculation!DR355=42,Worksheet!$BD$13,IF(Calculation!DR355=54,Worksheet!$BD$14,IF(Calculation!DR355=66,Worksheet!$BD$15,IF(Calculation!DR355=78,Worksheet!$BD$16,IF(Calculation!DR355=90,Worksheet!$BD$17,IF(Calculation!DR355=102,Worksheet!$BD$18,Worksheet!$BD$19))))))))))),IF(Calculation!DS355=13.75,IF(Calculation!DR355=13,Worksheet!$BD$78,IF(Calculation!DR355=37,Worksheet!$BD$79,Worksheet!$BD$80)),IF(Calculation!DS355=10,IF(Calculation!DR355=18,Worksheet!$BD$64,IF(Calculation!DR355=30,Worksheet!$BD$65,IF(Calculation!DR355=42,Worksheet!$BD$66,IF(Calculation!DR355=54,Worksheet!$BD$68,IF(Calculation!DR355=66,Worksheet!$BD$68,IF(Calculation!DR355=78,Worksheet!$BD$69,IF(Calculation!DR355=90,Worksheet!$BD$70,IF(Calculation!DR355=102,Worksheet!$BD$71,Worksheet!$BD$72)))))))),IF(Calculation!DS355=12.5,IF(Calculation!DR355=18,Worksheet!$BD$73,IF(Calculation!DR355=Worksheet!$BD$74,IF(Calculation!DR355=42,Worksheet!$BD$75,IF(Calculation!DR355=54,Worksheet!$BD$76,Worksheet!$BD$77)))),IF(Calculation!DR355=18,Worksheet!$BD$55,IF(Calculation!DR355=30,Worksheet!$BD$56,IF(Calculation!DR355=42,Worksheet!$BD$57,IF(Calculation!DR355=54,Worksheet!$BD$58,IF(Calculation!DR355=66,Worksheet!$BD$59,IF(Calculation!DR355=78,Worksheet!$BD$60,IF(Calculation!DR355=90,Worksheet!$BD$61,IF(Calculation!DR355=102,Worksheet!$BD$62,Worksheet!$BD$63)))))))))))),5),0)," ")</f>
        <v xml:space="preserve"> </v>
      </c>
      <c r="EG355" s="361" t="str">
        <f t="shared" si="1068"/>
        <v xml:space="preserve"> </v>
      </c>
      <c r="EH355" s="361" t="e">
        <f ca="1">INDEX(INDIRECT(VLOOKUP(LEFT(BO355,7),CLU!$Z$3:$AH$18,7)),M355-1,3+LEFT(DZ355,1))</f>
        <v>#N/A</v>
      </c>
      <c r="EI355" s="362" t="str">
        <f t="shared" si="1069"/>
        <v xml:space="preserve"> </v>
      </c>
      <c r="EJ355" s="363" t="str">
        <f t="shared" si="1070"/>
        <v xml:space="preserve"> </v>
      </c>
      <c r="EK355" s="363" t="str">
        <f t="shared" si="1071"/>
        <v xml:space="preserve"> </v>
      </c>
      <c r="EL355" s="363" t="str">
        <f t="shared" si="1072"/>
        <v xml:space="preserve"> </v>
      </c>
      <c r="EM355" s="362" t="str">
        <f>IF(L355&gt;0,IF(BR355&gt;0,(Calculation!T355/ED355)^2,0)," ")</f>
        <v xml:space="preserve"> </v>
      </c>
      <c r="EN355" s="362" t="str">
        <f>IF(L355&gt;0,IF(O355="2 Pipe (Cooling)","N/A",IF(BR355&gt;0,(Calculation!U355/EI355)^2,0))," ")</f>
        <v xml:space="preserve"> </v>
      </c>
      <c r="EO355" s="361" t="str">
        <f t="shared" si="1073"/>
        <v/>
      </c>
      <c r="EP355" s="361" t="str">
        <f t="shared" si="1074"/>
        <v/>
      </c>
      <c r="EQ355" s="361" t="str">
        <f t="shared" si="1075"/>
        <v/>
      </c>
      <c r="ER355" s="361" t="str">
        <f t="shared" si="1076"/>
        <v/>
      </c>
      <c r="ES355" s="361" t="str">
        <f t="shared" si="1077"/>
        <v/>
      </c>
      <c r="ET355" s="361" t="str">
        <f t="shared" si="1078"/>
        <v/>
      </c>
      <c r="EU355" s="361" t="str">
        <f t="shared" si="1079"/>
        <v/>
      </c>
      <c r="EV355" s="361" t="str">
        <f t="shared" si="1080"/>
        <v/>
      </c>
      <c r="EW355" s="361" t="str">
        <f t="shared" si="1081"/>
        <v/>
      </c>
      <c r="EX355" s="361" t="str">
        <f t="shared" si="1171"/>
        <v>1 slot, 1 way</v>
      </c>
      <c r="EY355" s="361" t="str">
        <f t="shared" si="1172"/>
        <v xml:space="preserve"> </v>
      </c>
      <c r="EZ355" s="361" t="str">
        <f t="shared" si="1173"/>
        <v xml:space="preserve"> </v>
      </c>
      <c r="FA355" s="361" t="str">
        <f t="shared" si="1174"/>
        <v xml:space="preserve"> </v>
      </c>
      <c r="FB355" s="361" t="str">
        <f t="shared" si="1175"/>
        <v xml:space="preserve"> </v>
      </c>
      <c r="FC355" s="361"/>
      <c r="FD355" s="361" t="str">
        <f>IF(J355&gt;0,IF(Calculation!R355&lt;=70,4,IF(Calculation!R355&lt;=110,5,IF(Calculation!R355&lt;=160,6,IF(Calculation!R355&lt;=300,8,"10 EO")))),"")</f>
        <v/>
      </c>
      <c r="FE355" s="361" t="str">
        <f t="shared" si="1176"/>
        <v/>
      </c>
      <c r="FF355" s="361" t="str">
        <f t="shared" si="1177"/>
        <v/>
      </c>
      <c r="FG355" s="361" t="e">
        <f t="shared" si="1082"/>
        <v>#N/A</v>
      </c>
      <c r="FH355" s="361">
        <f t="shared" si="1083"/>
        <v>0</v>
      </c>
      <c r="FI355" s="361" t="e">
        <f t="shared" si="1084"/>
        <v>#DIV/0!</v>
      </c>
      <c r="FJ355" s="361"/>
      <c r="FK355" s="356" t="e">
        <f t="shared" si="1085"/>
        <v>#VALUE!</v>
      </c>
      <c r="FL355" s="361"/>
      <c r="FM355" s="361"/>
      <c r="FN355" s="362" t="str">
        <f t="shared" si="1178"/>
        <v xml:space="preserve"> </v>
      </c>
      <c r="FO355" s="362" t="str">
        <f t="shared" si="1179"/>
        <v xml:space="preserve"> </v>
      </c>
      <c r="FP355" s="362">
        <f t="shared" si="1180"/>
        <v>0</v>
      </c>
      <c r="FQ355" s="361">
        <f t="shared" si="1086"/>
        <v>0</v>
      </c>
      <c r="FR355" s="362" t="str">
        <f>IF(L355&gt;0,IF(J355="CBAL2",Worksheet!$P$67,IF(J355="CBE2-24",Worksheet!$Q$67,IF(J355="CBAM",Worksheet!$R$67,IF(J355="CBLV",Worksheet!$S$67,IF(J355="CBAB",Worksheet!$U$67,IF(J355="CBAW",Worksheet!$X$67,IF(J355="CBE2-12",Worksheet!$Y$67,IF(J355="CBAL2",Worksheet!$Z$67,"N/A"))))))))," ")</f>
        <v xml:space="preserve"> </v>
      </c>
      <c r="FS355" s="362" t="str">
        <f>IF(L355&gt;0,IF(J355="CBAL2",Worksheet!$P$68,IF(J355="CBE2-24",Worksheet!$Q$68,IF(J355="CBAM",Worksheet!$R$68,IF(J355="CBLV",Worksheet!$S$68,IF(J355="CBAB",Worksheet!$U$68,IF(J355="CBAW",Worksheet!$X$68,IF(J355="CBE2-12",Worksheet!$Y$68,IF(J355="CBAL2",Worksheet!$Z$68,"N/A"))))))))," ")</f>
        <v xml:space="preserve"> </v>
      </c>
      <c r="FT355" s="362" t="str">
        <f>IF(L355&gt;0,IF(J355="CBAL2",Worksheet!$P$69,IF(J355="CBE2-24",Worksheet!$Q$69,IF(J355="CBAM",Worksheet!$R$69,IF(J355="CBLV",Worksheet!$S$69,IF(J355="CBAB",Worksheet!$U$69,IF(J355="CBAW",Worksheet!$X$69,IF(J355="CBE2-12",Worksheet!$Y$69,IF(J355="CBAL2",Worksheet!$Z$69,"N/A"))))))))," ")</f>
        <v xml:space="preserve"> </v>
      </c>
      <c r="FU355" s="361" t="str">
        <f t="shared" si="1181"/>
        <v xml:space="preserve"> </v>
      </c>
      <c r="FV355" s="362" t="str">
        <f t="shared" si="1182"/>
        <v xml:space="preserve"> </v>
      </c>
      <c r="FW355" s="362" t="str">
        <f t="shared" si="1183"/>
        <v xml:space="preserve"> </v>
      </c>
      <c r="FX355" s="362" t="str">
        <f t="shared" si="1184"/>
        <v xml:space="preserve"> </v>
      </c>
      <c r="FY355" s="355" t="str">
        <f t="shared" si="1185"/>
        <v xml:space="preserve"> </v>
      </c>
      <c r="FZ355" s="361" t="str">
        <f t="shared" si="1186"/>
        <v xml:space="preserve"> </v>
      </c>
      <c r="GA355" s="347" t="str">
        <f t="shared" si="1187"/>
        <v xml:space="preserve"> </v>
      </c>
      <c r="GB355" s="355" t="str">
        <f t="shared" si="1188"/>
        <v xml:space="preserve"> </v>
      </c>
      <c r="GC355" s="328" t="str">
        <f t="shared" si="1189"/>
        <v xml:space="preserve"> </v>
      </c>
      <c r="GD355" s="361" t="str">
        <f t="shared" si="1190"/>
        <v xml:space="preserve"> </v>
      </c>
      <c r="GE355" s="347" t="str">
        <f t="shared" si="1191"/>
        <v xml:space="preserve"> </v>
      </c>
      <c r="GF355" s="361" t="str">
        <f t="shared" si="1192"/>
        <v xml:space="preserve"> </v>
      </c>
      <c r="GG355" s="347" t="str">
        <f t="shared" si="1193"/>
        <v xml:space="preserve"> </v>
      </c>
      <c r="GH355" s="364">
        <f t="shared" si="1087"/>
        <v>0</v>
      </c>
      <c r="GI355" s="362">
        <f t="shared" si="1194"/>
        <v>2</v>
      </c>
      <c r="GJ355" s="433" t="e">
        <f>IF(6-COUNTBLANK(GT355:GY355)=4,MATCH(MID(BO355,9,3),CLU!$H$16:$K$16),MATCH(MID(BO355,9,3),CLU!$H$13:$M$13))</f>
        <v>#N/A</v>
      </c>
      <c r="GK355" s="433" t="e">
        <f>HLOOKUP(VALUE(BP355),CLU!$H$9:$M$10,2)</f>
        <v>#VALUE!</v>
      </c>
      <c r="GL355" s="433" t="e">
        <f ca="1">MATCH(BU355,CLU!$H$2:$V$2,1)</f>
        <v>#VALUE!</v>
      </c>
      <c r="GM355" s="433" t="e">
        <f t="shared" ca="1" si="1195"/>
        <v>#VALUE!</v>
      </c>
      <c r="GN355" s="433" t="e">
        <f t="shared" ca="1" si="1196"/>
        <v>#VALUE!</v>
      </c>
      <c r="GO355" s="433" t="e">
        <f t="shared" ca="1" si="1197"/>
        <v>#VALUE!</v>
      </c>
      <c r="GP355" s="433" t="e">
        <f t="shared" ca="1" si="1198"/>
        <v>#VALUE!</v>
      </c>
      <c r="GQ355" s="433" t="e">
        <f t="shared" ca="1" si="1199"/>
        <v>#VALUE!</v>
      </c>
      <c r="GR355" s="433" t="e">
        <f ca="1">MATCH(T355,INDIRECT(VLOOKUP(CONCATENATE(LEFT(BO355,7),"-",MID(BO355,13,1)),CLU!$P$3:$Q$16,2)),1)</f>
        <v>#N/A</v>
      </c>
      <c r="GS355" s="433" t="e">
        <f ca="1">MATCH(U355,INDIRECT(VLOOKUP(CONCATENATE(LEFT(BO355,7),"-",MID(BO355,13,1)),CLU!$P$3:$Q$16,2)),1)</f>
        <v>#N/A</v>
      </c>
      <c r="GT355" s="347" t="s">
        <v>512</v>
      </c>
      <c r="GU355" s="97" t="s">
        <v>513</v>
      </c>
      <c r="GV355" s="97" t="str">
        <f t="shared" si="1200"/>
        <v>M23</v>
      </c>
      <c r="GW355" s="97" t="str">
        <f t="shared" si="1201"/>
        <v>M31</v>
      </c>
      <c r="GX355" s="97" t="str">
        <f t="shared" si="1202"/>
        <v/>
      </c>
      <c r="GY355" s="97" t="str">
        <f t="shared" si="1203"/>
        <v/>
      </c>
      <c r="GZ355" s="481"/>
      <c r="HA355" s="240"/>
      <c r="HB355" s="240"/>
      <c r="HC355" s="240"/>
      <c r="HD355" s="240"/>
      <c r="HE355" s="240"/>
      <c r="HF355" s="240"/>
      <c r="HG355" s="240"/>
      <c r="HH355" s="240"/>
      <c r="HI355" s="240"/>
      <c r="HJ355" s="240"/>
      <c r="HK355" s="240"/>
      <c r="HL355" s="240"/>
      <c r="HM355" s="240"/>
      <c r="HN355" s="240"/>
      <c r="HO355" s="240"/>
      <c r="HP355" s="240"/>
      <c r="HQ355" s="240"/>
      <c r="HR355" s="240"/>
      <c r="HS355" s="240"/>
      <c r="HT355" s="240"/>
      <c r="HU355" s="240"/>
      <c r="HV355" s="245"/>
      <c r="HW355" s="245" t="b">
        <v>1</v>
      </c>
      <c r="HX355" s="245" t="str">
        <f t="shared" si="1088"/>
        <v/>
      </c>
      <c r="HY355" s="245" t="e">
        <f t="shared" si="1089"/>
        <v>#DIV/0!</v>
      </c>
      <c r="HZ355" s="245" t="e">
        <f t="shared" si="1090"/>
        <v>#DIV/0!</v>
      </c>
      <c r="IA355" s="245">
        <f t="shared" si="1091"/>
        <v>0</v>
      </c>
      <c r="IB355" s="245"/>
      <c r="IC355" t="b">
        <f t="shared" si="1092"/>
        <v>1</v>
      </c>
      <c r="ID355" s="245" t="b">
        <f t="shared" si="1093"/>
        <v>1</v>
      </c>
      <c r="IE355" s="245" t="b">
        <f t="shared" si="1094"/>
        <v>1</v>
      </c>
      <c r="IF355" s="245" t="b">
        <f t="shared" si="1095"/>
        <v>0</v>
      </c>
      <c r="IG355" s="245" t="b">
        <f t="shared" si="1096"/>
        <v>1</v>
      </c>
      <c r="IH355" s="245" t="b">
        <f t="shared" si="1097"/>
        <v>1</v>
      </c>
      <c r="II355" s="245">
        <f t="shared" si="1204"/>
        <v>0</v>
      </c>
      <c r="IJ355" s="245" t="e">
        <f t="shared" si="1098"/>
        <v>#VALUE!</v>
      </c>
      <c r="IK355" s="245" t="e">
        <f t="shared" si="1099"/>
        <v>#VALUE!</v>
      </c>
      <c r="IL355" s="245"/>
      <c r="IM355" s="245" t="e">
        <f t="shared" si="1205"/>
        <v>#N/A</v>
      </c>
      <c r="IN355" s="245" t="e">
        <f t="shared" si="1206"/>
        <v>#N/A</v>
      </c>
      <c r="IO355" s="245"/>
      <c r="IP355" s="245"/>
      <c r="IQ355" s="245" t="str">
        <f t="shared" si="1100"/>
        <v/>
      </c>
      <c r="IR355" s="245" t="str">
        <f>IF(J355="","",VLOOKUP(J355,Worksheet!$R$4:$T$14,2))</f>
        <v/>
      </c>
      <c r="IS355" s="245"/>
      <c r="IT355" s="245">
        <f t="shared" si="1101"/>
        <v>0</v>
      </c>
      <c r="IU355" s="245">
        <f t="shared" si="1102"/>
        <v>0</v>
      </c>
      <c r="IV355" s="245">
        <f t="shared" si="1103"/>
        <v>0</v>
      </c>
      <c r="IW355" s="245">
        <f t="shared" si="1104"/>
        <v>0</v>
      </c>
      <c r="IX355" s="245">
        <f t="shared" si="1207"/>
        <v>0</v>
      </c>
      <c r="IY355" s="245">
        <f t="shared" si="1105"/>
        <v>0</v>
      </c>
      <c r="IZ355" s="245">
        <f t="shared" si="1106"/>
        <v>0</v>
      </c>
      <c r="JA355">
        <f t="shared" si="1107"/>
        <v>0</v>
      </c>
      <c r="JB355">
        <f t="shared" si="1208"/>
        <v>0</v>
      </c>
      <c r="JC355">
        <f t="shared" si="1108"/>
        <v>0</v>
      </c>
      <c r="JD355">
        <f t="shared" si="1109"/>
        <v>0</v>
      </c>
      <c r="JE355">
        <f t="shared" si="1110"/>
        <v>0</v>
      </c>
      <c r="JF355">
        <f t="shared" si="1111"/>
        <v>0</v>
      </c>
      <c r="JG355">
        <f t="shared" si="1112"/>
        <v>0</v>
      </c>
      <c r="JH355">
        <f t="shared" si="1113"/>
        <v>0</v>
      </c>
      <c r="JI355">
        <f t="shared" si="1114"/>
        <v>0</v>
      </c>
      <c r="JJ355" s="447">
        <f t="shared" si="1115"/>
        <v>0</v>
      </c>
      <c r="JK355" s="447">
        <f t="shared" si="1116"/>
        <v>0</v>
      </c>
      <c r="JL355">
        <f t="shared" si="1117"/>
        <v>0</v>
      </c>
      <c r="JM355" s="245" t="str">
        <f>IFERROR(VLOOKUP(MATCH(BN355,#REF!,0),#REF!,7),"")</f>
        <v/>
      </c>
      <c r="JN355" t="e">
        <f>HLOOKUP(LEFT(BO355,7),Discharge_Area,MATCH(JO355,LookUps!$B$130:$B$149,1)+2)</f>
        <v>#N/A</v>
      </c>
      <c r="JO355" t="str">
        <f t="shared" si="1118"/>
        <v>- S</v>
      </c>
      <c r="JP355" t="e">
        <f>HLOOKUP(LEFT(BO355,7),Discharge_Area,MATCH(JO355,LookUps!$B$130:$B$149,1)+2)</f>
        <v>#N/A</v>
      </c>
      <c r="JQ355" t="e">
        <f t="shared" si="1119"/>
        <v>#N/A</v>
      </c>
      <c r="JR355" t="e">
        <f t="shared" si="1120"/>
        <v>#N/A</v>
      </c>
      <c r="JS355" t="e">
        <f t="shared" si="1121"/>
        <v>#N/A</v>
      </c>
      <c r="JT355" s="532" t="str">
        <f t="shared" si="1122"/>
        <v xml:space="preserve"> </v>
      </c>
      <c r="JU355" s="532" t="str">
        <f t="shared" si="1123"/>
        <v xml:space="preserve"> </v>
      </c>
      <c r="JV355" s="533" t="str">
        <f t="shared" si="1124"/>
        <v xml:space="preserve"> </v>
      </c>
      <c r="JW355" s="534">
        <f t="shared" si="1125"/>
        <v>0</v>
      </c>
      <c r="JX355" s="535" t="str">
        <f t="shared" si="1209"/>
        <v xml:space="preserve"> </v>
      </c>
      <c r="JY355" s="535" t="str">
        <f t="shared" si="1210"/>
        <v xml:space="preserve"> </v>
      </c>
      <c r="JZ355" s="535" t="str">
        <f t="shared" si="1211"/>
        <v xml:space="preserve"> </v>
      </c>
      <c r="KA355" s="536" t="str">
        <f t="shared" si="1126"/>
        <v xml:space="preserve"> </v>
      </c>
      <c r="KB355" s="535" t="e">
        <f t="shared" si="1212"/>
        <v>#VALUE!</v>
      </c>
      <c r="KC355" s="535" t="str">
        <f t="shared" si="1127"/>
        <v/>
      </c>
      <c r="KD355" s="537" t="str">
        <f t="shared" si="1213"/>
        <v xml:space="preserve"> </v>
      </c>
      <c r="KE355" s="537" t="str">
        <f t="shared" si="1214"/>
        <v xml:space="preserve"> </v>
      </c>
      <c r="KF355" s="534">
        <f t="shared" si="1128"/>
        <v>0</v>
      </c>
      <c r="KG355" s="535" t="str">
        <f t="shared" si="1129"/>
        <v xml:space="preserve"> </v>
      </c>
      <c r="KH355" s="535" t="str">
        <f t="shared" si="1130"/>
        <v xml:space="preserve"> </v>
      </c>
      <c r="KI355" s="535" t="str">
        <f t="shared" si="1131"/>
        <v xml:space="preserve"> </v>
      </c>
      <c r="KJ355" s="536" t="str">
        <f t="shared" si="1132"/>
        <v xml:space="preserve"> </v>
      </c>
      <c r="KK355" s="535" t="str">
        <f t="shared" si="1215"/>
        <v xml:space="preserve"> </v>
      </c>
      <c r="KL355" s="535" t="str">
        <f t="shared" si="1216"/>
        <v xml:space="preserve"> </v>
      </c>
      <c r="KM355" s="537" t="str">
        <f t="shared" si="1133"/>
        <v xml:space="preserve"> </v>
      </c>
      <c r="KN355" s="537" t="str">
        <f t="shared" si="1217"/>
        <v xml:space="preserve"> </v>
      </c>
      <c r="KP355">
        <f t="shared" si="1134"/>
        <v>0</v>
      </c>
      <c r="LA355" t="e">
        <f t="shared" si="1135"/>
        <v>#VALUE!</v>
      </c>
      <c r="LB355" t="e">
        <f t="shared" si="1136"/>
        <v>#VALUE!</v>
      </c>
      <c r="LC355" t="e">
        <f t="shared" si="1137"/>
        <v>#VALUE!</v>
      </c>
      <c r="LD355" t="e">
        <f t="shared" si="1138"/>
        <v>#VALUE!</v>
      </c>
      <c r="LE355" t="e">
        <f t="shared" si="1218"/>
        <v>#VALUE!</v>
      </c>
      <c r="LF355">
        <f t="shared" si="1139"/>
        <v>0</v>
      </c>
      <c r="LG355" t="e">
        <f t="shared" si="1219"/>
        <v>#VALUE!</v>
      </c>
      <c r="LH355" t="str">
        <f t="shared" si="1140"/>
        <v xml:space="preserve"> </v>
      </c>
      <c r="LI355">
        <f t="shared" si="1220"/>
        <v>1</v>
      </c>
    </row>
    <row r="356" spans="2:321" ht="15" customHeight="1">
      <c r="B356" s="311"/>
      <c r="C356" s="311"/>
      <c r="D356" s="312"/>
      <c r="E356" s="311"/>
      <c r="F356" s="312"/>
      <c r="G356" s="311"/>
      <c r="H356" s="311"/>
      <c r="I356" s="232"/>
      <c r="J356" s="311"/>
      <c r="K356" s="305" t="str">
        <f t="shared" si="1141"/>
        <v/>
      </c>
      <c r="L356" s="313"/>
      <c r="M356" s="312"/>
      <c r="N356" s="311"/>
      <c r="O356" s="312"/>
      <c r="P356" s="311"/>
      <c r="Q356" s="305" t="str">
        <f t="shared" si="1142"/>
        <v/>
      </c>
      <c r="R356" s="314"/>
      <c r="S356" s="450" t="str">
        <f t="shared" si="1025"/>
        <v/>
      </c>
      <c r="T356" s="315"/>
      <c r="U356" s="315"/>
      <c r="W356" s="149" t="str">
        <f t="shared" si="1026"/>
        <v xml:space="preserve"> </v>
      </c>
      <c r="X356" s="243" t="str">
        <f t="shared" si="1027"/>
        <v xml:space="preserve"> </v>
      </c>
      <c r="Y356" s="150" t="str">
        <f t="shared" si="1028"/>
        <v/>
      </c>
      <c r="Z356" s="149" t="str">
        <f t="shared" si="1029"/>
        <v xml:space="preserve"> </v>
      </c>
      <c r="AA356" s="98" t="str">
        <f t="shared" si="1030"/>
        <v xml:space="preserve"> </v>
      </c>
      <c r="AB356" s="153" t="str">
        <f t="shared" si="1031"/>
        <v xml:space="preserve"> </v>
      </c>
      <c r="AC356" s="153" t="str">
        <f t="shared" si="1032"/>
        <v xml:space="preserve"> </v>
      </c>
      <c r="AD356" s="148" t="str">
        <f t="shared" si="1033"/>
        <v/>
      </c>
      <c r="AE356" s="149" t="str">
        <f t="shared" si="1034"/>
        <v/>
      </c>
      <c r="AF356" s="151" t="str">
        <f t="shared" si="1035"/>
        <v xml:space="preserve"> </v>
      </c>
      <c r="AG356" s="153" t="str">
        <f t="shared" si="1036"/>
        <v xml:space="preserve"> </v>
      </c>
      <c r="AH356" s="98" t="str">
        <f t="shared" si="1037"/>
        <v xml:space="preserve"> </v>
      </c>
      <c r="AI356" s="149" t="str">
        <f t="shared" si="1038"/>
        <v xml:space="preserve"> </v>
      </c>
      <c r="AK356" s="144" t="str">
        <f t="shared" si="1039"/>
        <v xml:space="preserve"> </v>
      </c>
      <c r="AL356" s="144"/>
      <c r="AM356" s="243" t="str">
        <f t="shared" si="1040"/>
        <v xml:space="preserve"> </v>
      </c>
      <c r="AN356" s="149" t="str">
        <f t="shared" si="1143"/>
        <v xml:space="preserve"> </v>
      </c>
      <c r="AO356" s="144" t="str">
        <f>IF(JB356&gt;0,IF(GI356=10,-R356*1.085*(Calculation!$F$6-Calculation!$F$13)*$S$14," "),"")</f>
        <v/>
      </c>
      <c r="AP356" s="144" t="str">
        <f t="shared" si="1041"/>
        <v/>
      </c>
      <c r="AQ356" s="56" t="str">
        <f t="shared" si="1042"/>
        <v/>
      </c>
      <c r="AR356" s="144" t="str">
        <f t="shared" si="1043"/>
        <v/>
      </c>
      <c r="AS356" s="176" t="str">
        <f t="shared" si="1044"/>
        <v/>
      </c>
      <c r="AT356" s="176" t="str">
        <f t="shared" si="1144"/>
        <v xml:space="preserve"> </v>
      </c>
      <c r="AU356" s="176" t="str">
        <f t="shared" si="1045"/>
        <v/>
      </c>
      <c r="AV356" s="177" t="str">
        <f t="shared" si="1046"/>
        <v xml:space="preserve"> </v>
      </c>
      <c r="AW356" s="144" t="str">
        <f t="shared" si="1047"/>
        <v xml:space="preserve"> </v>
      </c>
      <c r="AX356" s="144" t="str">
        <f t="shared" si="1048"/>
        <v xml:space="preserve"> </v>
      </c>
      <c r="AY356" s="152" t="str">
        <f t="shared" si="1049"/>
        <v xml:space="preserve"> </v>
      </c>
      <c r="AZ356" s="246" t="str">
        <f t="shared" si="1050"/>
        <v/>
      </c>
      <c r="BA356" s="176" t="str">
        <f t="shared" si="1051"/>
        <v xml:space="preserve"> </v>
      </c>
      <c r="BB356" s="176" t="str">
        <f t="shared" si="1052"/>
        <v xml:space="preserve"> </v>
      </c>
      <c r="BC356" s="195"/>
      <c r="BD356" s="316"/>
      <c r="BE356" s="317"/>
      <c r="BF356" s="318"/>
      <c r="BG356" s="318"/>
      <c r="BH356" s="144" t="str">
        <f t="shared" si="1221"/>
        <v xml:space="preserve"> </v>
      </c>
      <c r="BI356" s="176" t="str">
        <f t="shared" si="1053"/>
        <v/>
      </c>
      <c r="BJ356" s="144" t="str">
        <f t="shared" si="1222"/>
        <v/>
      </c>
      <c r="BK356" s="246" t="str">
        <f t="shared" si="1054"/>
        <v/>
      </c>
      <c r="BL356" s="144" t="str">
        <f t="shared" si="1223"/>
        <v/>
      </c>
      <c r="BM356" s="246" t="str">
        <f t="shared" si="1055"/>
        <v/>
      </c>
      <c r="BN356" s="337" t="str">
        <f t="shared" si="1145"/>
        <v/>
      </c>
      <c r="BO356" s="371" t="str">
        <f t="shared" si="1146"/>
        <v/>
      </c>
      <c r="BP356" s="328" t="str">
        <f t="shared" si="1224"/>
        <v xml:space="preserve"> </v>
      </c>
      <c r="BQ356" s="347" t="str">
        <f t="shared" si="1147"/>
        <v xml:space="preserve"> </v>
      </c>
      <c r="BR356" s="353" t="str">
        <f t="shared" si="1148"/>
        <v xml:space="preserve"> </v>
      </c>
      <c r="BS356" s="626" t="str">
        <f>IF(L356&gt;0,IF(Calculation!P356="M13",BR356*3.1416*(0.134^2)/(4*144),IF(Calculation!P356="M17",BR356*3.1416*(0.165^2)/(4*144),IF(Calculation!P356="M20",BR356*3.1416*(0.198^2)/(4*144),IF(Calculation!P356="M23",BR356*3.1416*(0.228^2)/(4*144),IF(Calculation!P356="M27",BR356*3.1416*(0.269^2)/(4*144),BR356*3.1416*(0.307^2)/(4*144))))))," ")</f>
        <v xml:space="preserve"> </v>
      </c>
      <c r="BT356" s="353" t="str">
        <f>IF(L356&gt;0,IF(BS356&gt;0,R356/Calculation!BS356,0)," ")</f>
        <v xml:space="preserve"> </v>
      </c>
      <c r="BU356" s="438" t="e">
        <f t="shared" ca="1" si="1056"/>
        <v>#VALUE!</v>
      </c>
      <c r="BV356" s="449" t="e">
        <f ca="1">INDEX(INDIRECT(VLOOKUP(LEFT(BO356,7),CLU!$Z$3:$AH$18,2)),GN356,GR356)</f>
        <v>#N/A</v>
      </c>
      <c r="BW356" s="433" t="e">
        <f ca="1">INDEX(INDIRECT(VLOOKUP(LEFT(BO356,7),CLU!$Z$3:$AH$18,3)),GN356,GR356)</f>
        <v>#N/A</v>
      </c>
      <c r="BX356" s="433" t="e">
        <f ca="1">INDEX(INDIRECT(VLOOKUP(LEFT(BO356,7),CLU!$Z$3:$AH$18,4)),GN356,GR356)</f>
        <v>#N/A</v>
      </c>
      <c r="BY356" s="433" t="e">
        <f ca="1">INDEX(INDIRECT(VLOOKUP(LEFT(BO356,7),CLU!$Z$3:$AH$18,9)),((M356-2)*(6-COUNTBLANK(GT356:GY356)))+GJ356)</f>
        <v>#N/A</v>
      </c>
      <c r="BZ356" s="426" t="e">
        <f t="shared" ca="1" si="1149"/>
        <v>#N/A</v>
      </c>
      <c r="CA356" s="424" t="e">
        <f t="shared" ca="1" si="1150"/>
        <v>#N/A</v>
      </c>
      <c r="CB356" s="429" t="e">
        <f ca="1">INDEX(INDIRECT(VLOOKUP(LEFT(BO356,7),CLU!$Z$3:$AH$18,2)),GN356,GS356)</f>
        <v>#N/A</v>
      </c>
      <c r="CC356" s="342" t="e">
        <f ca="1">INDEX(INDIRECT(VLOOKUP(LEFT(BO356,7),CLU!$Z$3:$AH$18,3)),GN356,GS356)</f>
        <v>#N/A</v>
      </c>
      <c r="CD356" s="342" t="e">
        <f ca="1">INDEX(INDIRECT(VLOOKUP(LEFT(BO356,7),CLU!$Z$3:$AH$18,4)),GN356,GS356)</f>
        <v>#N/A</v>
      </c>
      <c r="CE356" s="426" t="e">
        <f t="shared" ca="1" si="1151"/>
        <v>#N/A</v>
      </c>
      <c r="CF356" s="440">
        <f t="shared" si="1152"/>
        <v>0</v>
      </c>
      <c r="CG356" s="431" t="e">
        <f ca="1">INDEX(INDIRECT(VLOOKUP(LEFT(BO356,7),CLU!$Z$3:$AH$18,2)),GQ356,GR356)</f>
        <v>#N/A</v>
      </c>
      <c r="CH356" s="431" t="e">
        <f ca="1">INDEX(INDIRECT(VLOOKUP(LEFT(BO356,7),CLU!$Z$3:$AH$18,3)),GQ356,GR356)</f>
        <v>#N/A</v>
      </c>
      <c r="CI356" s="431" t="e">
        <f ca="1">INDEX(INDIRECT(VLOOKUP(LEFT(BO356,7),CLU!$Z$3:$AH$18,4)),GQ356,GR356)</f>
        <v>#N/A</v>
      </c>
      <c r="CJ356" s="448" t="e">
        <f t="shared" ca="1" si="1153"/>
        <v>#N/A</v>
      </c>
      <c r="CK356" s="431" t="e">
        <f t="shared" ca="1" si="1154"/>
        <v>#N/A</v>
      </c>
      <c r="CL356" s="440" t="e">
        <f t="shared" ca="1" si="1155"/>
        <v>#N/A</v>
      </c>
      <c r="CM356" s="431" t="e">
        <f ca="1">INDEX(INDIRECT(VLOOKUP(LEFT(BO356,7),CLU!$Z$3:$AH$18,2)),GQ356,GS356)</f>
        <v>#N/A</v>
      </c>
      <c r="CN356" s="431" t="e">
        <f ca="1">INDEX(INDIRECT(VLOOKUP(LEFT(BO356,7),CLU!$Z$3:$AH$18,3)),GQ356,GS356)</f>
        <v>#N/A</v>
      </c>
      <c r="CO356" s="431" t="e">
        <f ca="1">INDEX(INDIRECT(VLOOKUP(LEFT(BO356,7),CLU!$Z$3:$AH$18,4)),GQ356,GS356)</f>
        <v>#N/A</v>
      </c>
      <c r="CP356" s="431" t="e">
        <f t="shared" ca="1" si="1156"/>
        <v>#N/A</v>
      </c>
      <c r="CQ356" s="440">
        <f t="shared" si="1157"/>
        <v>0</v>
      </c>
      <c r="CR356" s="51" t="e">
        <f t="shared" ca="1" si="1158"/>
        <v>#N/A</v>
      </c>
      <c r="CS356" s="439" t="e">
        <f t="shared" ca="1" si="1159"/>
        <v>#VALUE!</v>
      </c>
      <c r="CT356" s="51" t="e">
        <f t="shared" ca="1" si="1160"/>
        <v>#VALUE!</v>
      </c>
      <c r="CU356" s="10"/>
      <c r="CV356" s="51" t="e">
        <f t="shared" ca="1" si="1057"/>
        <v>#VALUE!</v>
      </c>
      <c r="CW356" s="51">
        <f t="shared" si="1161"/>
        <v>0</v>
      </c>
      <c r="CX356" s="439" t="e">
        <f t="shared" ca="1" si="1162"/>
        <v>#VALUE!</v>
      </c>
      <c r="CY356" s="51" t="e">
        <f t="shared" ca="1" si="1163"/>
        <v>#VALUE!</v>
      </c>
      <c r="CZ356" s="10"/>
      <c r="DA356" s="51" t="e">
        <f t="shared" ca="1" si="1164"/>
        <v>#VALUE!</v>
      </c>
      <c r="DB356" s="347" t="e">
        <f ca="1">INDEX(INDIRECT(VLOOKUP(LEFT(BO356,7),CLU!$Z$3:$AI$18,10)),((M356-2)*(6-COUNTBLANK(GT356:GY356)))+GJ356)*LI356</f>
        <v>#N/A</v>
      </c>
      <c r="DC356" s="347" t="str">
        <f>IF(L356&gt;0,((R356/Worksheet!$I$15)/DB356)^2," ")</f>
        <v xml:space="preserve"> </v>
      </c>
      <c r="DD356" s="602" t="str">
        <f t="shared" si="1165"/>
        <v xml:space="preserve"> </v>
      </c>
      <c r="DE356" s="347" t="str">
        <f t="shared" si="1058"/>
        <v xml:space="preserve"> </v>
      </c>
      <c r="DF356" s="356" t="e">
        <f ca="1">INDEX(INDIRECT(VLOOKUP(LEFT(BO356,7),CLU!$Z$3:$AH$18,8)),((M356-2)*(6-COUNTBLANK(GT356:GY356)))+GJ356)</f>
        <v>#N/A</v>
      </c>
      <c r="DG356" s="347" t="str">
        <f t="shared" si="1059"/>
        <v xml:space="preserve"> </v>
      </c>
      <c r="DH356" s="357" t="str">
        <f t="shared" si="1060"/>
        <v xml:space="preserve"> </v>
      </c>
      <c r="DI356" s="355" t="str">
        <f t="shared" si="1061"/>
        <v xml:space="preserve"> </v>
      </c>
      <c r="DJ356" s="245" t="e">
        <f ca="1">INDEX(INDIRECT(VLOOKUP(LEFT(BO356,7),CLU!$Z$3:$AH$18,5)),GL356,GK356)</f>
        <v>#N/A</v>
      </c>
      <c r="DK356" s="245" t="e">
        <f ca="1">INDEX(INDIRECT(VLOOKUP(LEFT(BO356,7),CLU!$Z$3:$AH$18,6)),GL356,GK356)</f>
        <v>#N/A</v>
      </c>
      <c r="DL356" s="355">
        <f>(Calculation!R356*0.69143*(Calculation!$BQ$8-Calculation!$F$8))*$S$14</f>
        <v>0</v>
      </c>
      <c r="DM356" s="359" t="e">
        <f t="shared" si="1166"/>
        <v>#VALUE!</v>
      </c>
      <c r="DN356" s="611">
        <f t="shared" si="1167"/>
        <v>0</v>
      </c>
      <c r="DO356" s="359">
        <f t="shared" si="1168"/>
        <v>100</v>
      </c>
      <c r="DP356" s="359">
        <f t="shared" si="1169"/>
        <v>0</v>
      </c>
      <c r="DQ356" s="360"/>
      <c r="DR356" s="245" t="e">
        <f ca="1">INDEX(INDIRECT(VLOOKUP(LEFT(BO356,7),CLU!$Z$3:$AH$18,7)),M356-1,1)</f>
        <v>#N/A</v>
      </c>
      <c r="DS356" s="245" t="e">
        <f ca="1">INDEX(INDIRECT(VLOOKUP(LEFT(BO356,7),CLU!$Z$3:$AH$18,7)),M356-1,2)</f>
        <v>#N/A</v>
      </c>
      <c r="DT356" s="245" t="e">
        <f ca="1">INDEX(INDIRECT(VLOOKUP(LEFT(BO356,7),CLU!$Z$3:$AH$18,7)),M356-1,3)</f>
        <v>#N/A</v>
      </c>
      <c r="DU356" s="245" t="e">
        <f ca="1">INDEX(INDIRECT(VLOOKUP(LEFT(BO356,7),CLU!$Z$3:$AH$18,7)),M356-1,4)</f>
        <v>#N/A</v>
      </c>
      <c r="DV356" s="361" t="e">
        <f ca="1">INDEX(INDIRECT(VLOOKUP(LEFT(BO356,7),CLU!$Z$3:$AH$18,7)),M356-1,4+LEFT(DZ356,1)*0.5)</f>
        <v>#N/A</v>
      </c>
      <c r="DW356" s="245" t="e">
        <f ca="1">INDEX(INDIRECT(VLOOKUP(LEFT(BO356,7),CLU!$Z$3:$AH$18,7)),M356-1,8)</f>
        <v>#N/A</v>
      </c>
      <c r="DX356" s="361" t="str">
        <f t="shared" si="1062"/>
        <v xml:space="preserve"> </v>
      </c>
      <c r="DY356" s="361" t="str">
        <f t="shared" si="1063"/>
        <v xml:space="preserve"> </v>
      </c>
      <c r="DZ356" s="361" t="str">
        <f t="shared" si="1064"/>
        <v xml:space="preserve"> </v>
      </c>
      <c r="EA356" s="362" t="str">
        <f t="shared" si="1065"/>
        <v xml:space="preserve"> </v>
      </c>
      <c r="EB356" s="624" t="str">
        <f t="shared" si="1170"/>
        <v xml:space="preserve"> </v>
      </c>
      <c r="EC356" s="361" t="e">
        <f ca="1">INDEX(INDIRECT(VLOOKUP(LEFT(BO356,7),CLU!$Z$3:$AH$18,7)),M356-1,4+LEFT(DZ356,1)*0.5)</f>
        <v>#N/A</v>
      </c>
      <c r="ED356" s="362" t="str">
        <f t="shared" si="1066"/>
        <v xml:space="preserve"> </v>
      </c>
      <c r="EE356" s="361" t="str">
        <f t="shared" si="1067"/>
        <v xml:space="preserve"> </v>
      </c>
      <c r="EF356" s="362" t="str">
        <f>IF(L356&gt;0,IF(BR356&gt;0,IF(EE356="2P",IF(Calculation!DZ356="2P",IF(Calculation!DS356=13.75,IF(Calculation!DR356=13,Worksheet!$BD$43,IF(Calculation!DR356=37,Worksheet!$BD$44,Worksheet!$BD$45)),IF(Calculation!DS356=10,IF(Calculation!DR356=18,Worksheet!$BD$29,IF(Calculation!DR356=30,Worksheet!$BD$30,IF(Calculation!DR356=42,Worksheet!$BD$31,IF(Calculation!DR356=54,Worksheet!$BD$32,IF(Calculation!DR356=66,Worksheet!$BD$33,IF(Calculation!DR356=78,Worksheet!$BD$34,IF(Calculation!DR356=90,Worksheet!$BD$35,IF(Calculation!DR356=102,Worksheet!$BD$36,Worksheet!$BD$37)))))))),IF(Calculation!DS356=12.5,IF(Calculation!DR356=18,Worksheet!$BD$38,IF(Calculation!DR356=Worksheet!$BD$39,IF(Calculation!DR356=42,Worksheet!$BD$40,IF(Calculation!DR356=54,Worksheet!$BD$41,Worksheet!$BD$42)))),IF(Calculation!DR356=18,Worksheet!$BD$11,IF(Calculation!DR356=30,Worksheet!$BD$12,IF(Calculation!DR356=42,Worksheet!$BD$13,IF(Calculation!DR356=54,Worksheet!$BD$14,IF(Calculation!DR356=66,Worksheet!$BD$15,IF(Calculation!DR356=78,Worksheet!$BD$16,IF(Calculation!DR356=90,Worksheet!$BD$17,IF(Calculation!DR356=102,Worksheet!$BD$18,Worksheet!$BD$19))))))))))),IF(Calculation!DS356=13.75,IF(Calculation!DR356=13,Worksheet!$BD$78,IF(Calculation!DR356=37,Worksheet!$BD$79,Worksheet!$BD$80)),IF(Calculation!DS356=10,IF(Calculation!DR356=18,Worksheet!$BD$64,IF(Calculation!DR356=30,Worksheet!$BD$65,IF(Calculation!DR356=42,Worksheet!$BD$66,IF(Calculation!DR356=54,Worksheet!$BD$68,IF(Calculation!DR356=66,Worksheet!$BD$68,IF(Calculation!DR356=78,Worksheet!$BD$69,IF(Calculation!DR356=90,Worksheet!$BD$70,IF(Calculation!DR356=102,Worksheet!$BD$71,Worksheet!$BD$72)))))))),IF(Calculation!DS356=12.5,IF(Calculation!DR356=18,Worksheet!$BD$73,IF(Calculation!DR356=Worksheet!$BD$74,IF(Calculation!DR356=42,Worksheet!$BD$75,IF(Calculation!DR356=54,Worksheet!$BD$76,Worksheet!$BD$77)))),IF(Calculation!DR356=18,Worksheet!$BD$55,IF(Calculation!DR356=30,Worksheet!$BD$56,IF(Calculation!DR356=42,Worksheet!$BD$57,IF(Calculation!DR356=54,Worksheet!$BD$58,IF(Calculation!DR356=66,Worksheet!$BD$59,IF(Calculation!DR356=78,Worksheet!$BD$60,IF(Calculation!DR356=90,Worksheet!$BD$61,IF(Calculation!DR356=102,Worksheet!$BD$62,Worksheet!$BD$63)))))))))))),5),0)," ")</f>
        <v xml:space="preserve"> </v>
      </c>
      <c r="EG356" s="361" t="str">
        <f t="shared" si="1068"/>
        <v xml:space="preserve"> </v>
      </c>
      <c r="EH356" s="361" t="e">
        <f ca="1">INDEX(INDIRECT(VLOOKUP(LEFT(BO356,7),CLU!$Z$3:$AH$18,7)),M356-1,3+LEFT(DZ356,1))</f>
        <v>#N/A</v>
      </c>
      <c r="EI356" s="362" t="str">
        <f t="shared" si="1069"/>
        <v xml:space="preserve"> </v>
      </c>
      <c r="EJ356" s="363" t="str">
        <f t="shared" si="1070"/>
        <v xml:space="preserve"> </v>
      </c>
      <c r="EK356" s="363" t="str">
        <f t="shared" si="1071"/>
        <v xml:space="preserve"> </v>
      </c>
      <c r="EL356" s="363" t="str">
        <f t="shared" si="1072"/>
        <v xml:space="preserve"> </v>
      </c>
      <c r="EM356" s="362" t="str">
        <f>IF(L356&gt;0,IF(BR356&gt;0,(Calculation!T356/ED356)^2,0)," ")</f>
        <v xml:space="preserve"> </v>
      </c>
      <c r="EN356" s="362" t="str">
        <f>IF(L356&gt;0,IF(O356="2 Pipe (Cooling)","N/A",IF(BR356&gt;0,(Calculation!U356/EI356)^2,0))," ")</f>
        <v xml:space="preserve"> </v>
      </c>
      <c r="EO356" s="361" t="str">
        <f t="shared" si="1073"/>
        <v/>
      </c>
      <c r="EP356" s="361" t="str">
        <f t="shared" si="1074"/>
        <v/>
      </c>
      <c r="EQ356" s="361" t="str">
        <f t="shared" si="1075"/>
        <v/>
      </c>
      <c r="ER356" s="361" t="str">
        <f t="shared" si="1076"/>
        <v/>
      </c>
      <c r="ES356" s="361" t="str">
        <f t="shared" si="1077"/>
        <v/>
      </c>
      <c r="ET356" s="361" t="str">
        <f t="shared" si="1078"/>
        <v/>
      </c>
      <c r="EU356" s="361" t="str">
        <f t="shared" si="1079"/>
        <v/>
      </c>
      <c r="EV356" s="361" t="str">
        <f t="shared" si="1080"/>
        <v/>
      </c>
      <c r="EW356" s="361" t="str">
        <f t="shared" si="1081"/>
        <v/>
      </c>
      <c r="EX356" s="361" t="str">
        <f t="shared" si="1171"/>
        <v>1 slot, 1 way</v>
      </c>
      <c r="EY356" s="361" t="str">
        <f t="shared" si="1172"/>
        <v xml:space="preserve"> </v>
      </c>
      <c r="EZ356" s="361" t="str">
        <f t="shared" si="1173"/>
        <v xml:space="preserve"> </v>
      </c>
      <c r="FA356" s="361" t="str">
        <f t="shared" si="1174"/>
        <v xml:space="preserve"> </v>
      </c>
      <c r="FB356" s="361" t="str">
        <f t="shared" si="1175"/>
        <v xml:space="preserve"> </v>
      </c>
      <c r="FC356" s="361"/>
      <c r="FD356" s="361" t="str">
        <f>IF(J356&gt;0,IF(Calculation!R356&lt;=70,4,IF(Calculation!R356&lt;=110,5,IF(Calculation!R356&lt;=160,6,IF(Calculation!R356&lt;=300,8,"10 EO")))),"")</f>
        <v/>
      </c>
      <c r="FE356" s="361" t="str">
        <f t="shared" si="1176"/>
        <v/>
      </c>
      <c r="FF356" s="361" t="str">
        <f t="shared" si="1177"/>
        <v/>
      </c>
      <c r="FG356" s="361" t="e">
        <f t="shared" si="1082"/>
        <v>#N/A</v>
      </c>
      <c r="FH356" s="361">
        <f t="shared" si="1083"/>
        <v>0</v>
      </c>
      <c r="FI356" s="361" t="e">
        <f t="shared" si="1084"/>
        <v>#DIV/0!</v>
      </c>
      <c r="FJ356" s="361"/>
      <c r="FK356" s="356" t="e">
        <f t="shared" si="1085"/>
        <v>#VALUE!</v>
      </c>
      <c r="FL356" s="361"/>
      <c r="FM356" s="361"/>
      <c r="FN356" s="362" t="str">
        <f t="shared" si="1178"/>
        <v xml:space="preserve"> </v>
      </c>
      <c r="FO356" s="362" t="str">
        <f t="shared" si="1179"/>
        <v xml:space="preserve"> </v>
      </c>
      <c r="FP356" s="362">
        <f t="shared" si="1180"/>
        <v>0</v>
      </c>
      <c r="FQ356" s="361">
        <f t="shared" si="1086"/>
        <v>0</v>
      </c>
      <c r="FR356" s="362" t="str">
        <f>IF(L356&gt;0,IF(J356="CBAL2",Worksheet!$P$67,IF(J356="CBE2-24",Worksheet!$Q$67,IF(J356="CBAM",Worksheet!$R$67,IF(J356="CBLV",Worksheet!$S$67,IF(J356="CBAB",Worksheet!$U$67,IF(J356="CBAW",Worksheet!$X$67,IF(J356="CBE2-12",Worksheet!$Y$67,IF(J356="CBAL2",Worksheet!$Z$67,"N/A"))))))))," ")</f>
        <v xml:space="preserve"> </v>
      </c>
      <c r="FS356" s="362" t="str">
        <f>IF(L356&gt;0,IF(J356="CBAL2",Worksheet!$P$68,IF(J356="CBE2-24",Worksheet!$Q$68,IF(J356="CBAM",Worksheet!$R$68,IF(J356="CBLV",Worksheet!$S$68,IF(J356="CBAB",Worksheet!$U$68,IF(J356="CBAW",Worksheet!$X$68,IF(J356="CBE2-12",Worksheet!$Y$68,IF(J356="CBAL2",Worksheet!$Z$68,"N/A"))))))))," ")</f>
        <v xml:space="preserve"> </v>
      </c>
      <c r="FT356" s="362" t="str">
        <f>IF(L356&gt;0,IF(J356="CBAL2",Worksheet!$P$69,IF(J356="CBE2-24",Worksheet!$Q$69,IF(J356="CBAM",Worksheet!$R$69,IF(J356="CBLV",Worksheet!$S$69,IF(J356="CBAB",Worksheet!$U$69,IF(J356="CBAW",Worksheet!$X$69,IF(J356="CBE2-12",Worksheet!$Y$69,IF(J356="CBAL2",Worksheet!$Z$69,"N/A"))))))))," ")</f>
        <v xml:space="preserve"> </v>
      </c>
      <c r="FU356" s="361" t="str">
        <f t="shared" si="1181"/>
        <v xml:space="preserve"> </v>
      </c>
      <c r="FV356" s="362" t="str">
        <f t="shared" si="1182"/>
        <v xml:space="preserve"> </v>
      </c>
      <c r="FW356" s="362" t="str">
        <f t="shared" si="1183"/>
        <v xml:space="preserve"> </v>
      </c>
      <c r="FX356" s="362" t="str">
        <f t="shared" si="1184"/>
        <v xml:space="preserve"> </v>
      </c>
      <c r="FY356" s="355" t="str">
        <f t="shared" si="1185"/>
        <v xml:space="preserve"> </v>
      </c>
      <c r="FZ356" s="361" t="str">
        <f t="shared" si="1186"/>
        <v xml:space="preserve"> </v>
      </c>
      <c r="GA356" s="347" t="str">
        <f t="shared" si="1187"/>
        <v xml:space="preserve"> </v>
      </c>
      <c r="GB356" s="355" t="str">
        <f t="shared" si="1188"/>
        <v xml:space="preserve"> </v>
      </c>
      <c r="GC356" s="328" t="str">
        <f t="shared" si="1189"/>
        <v xml:space="preserve"> </v>
      </c>
      <c r="GD356" s="361" t="str">
        <f t="shared" si="1190"/>
        <v xml:space="preserve"> </v>
      </c>
      <c r="GE356" s="347" t="str">
        <f t="shared" si="1191"/>
        <v xml:space="preserve"> </v>
      </c>
      <c r="GF356" s="361" t="str">
        <f t="shared" si="1192"/>
        <v xml:space="preserve"> </v>
      </c>
      <c r="GG356" s="347" t="str">
        <f t="shared" si="1193"/>
        <v xml:space="preserve"> </v>
      </c>
      <c r="GH356" s="364">
        <f t="shared" si="1087"/>
        <v>0</v>
      </c>
      <c r="GI356" s="362">
        <f t="shared" si="1194"/>
        <v>2</v>
      </c>
      <c r="GJ356" s="433" t="e">
        <f>IF(6-COUNTBLANK(GT356:GY356)=4,MATCH(MID(BO356,9,3),CLU!$H$16:$K$16),MATCH(MID(BO356,9,3),CLU!$H$13:$M$13))</f>
        <v>#N/A</v>
      </c>
      <c r="GK356" s="433" t="e">
        <f>HLOOKUP(VALUE(BP356),CLU!$H$9:$M$10,2)</f>
        <v>#VALUE!</v>
      </c>
      <c r="GL356" s="433" t="e">
        <f ca="1">MATCH(BU356,CLU!$H$2:$V$2,1)</f>
        <v>#VALUE!</v>
      </c>
      <c r="GM356" s="433" t="e">
        <f t="shared" ca="1" si="1195"/>
        <v>#VALUE!</v>
      </c>
      <c r="GN356" s="433" t="e">
        <f t="shared" ca="1" si="1196"/>
        <v>#VALUE!</v>
      </c>
      <c r="GO356" s="433" t="e">
        <f t="shared" ca="1" si="1197"/>
        <v>#VALUE!</v>
      </c>
      <c r="GP356" s="433" t="e">
        <f t="shared" ca="1" si="1198"/>
        <v>#VALUE!</v>
      </c>
      <c r="GQ356" s="433" t="e">
        <f t="shared" ca="1" si="1199"/>
        <v>#VALUE!</v>
      </c>
      <c r="GR356" s="433" t="e">
        <f ca="1">MATCH(T356,INDIRECT(VLOOKUP(CONCATENATE(LEFT(BO356,7),"-",MID(BO356,13,1)),CLU!$P$3:$Q$16,2)),1)</f>
        <v>#N/A</v>
      </c>
      <c r="GS356" s="433" t="e">
        <f ca="1">MATCH(U356,INDIRECT(VLOOKUP(CONCATENATE(LEFT(BO356,7),"-",MID(BO356,13,1)),CLU!$P$3:$Q$16,2)),1)</f>
        <v>#N/A</v>
      </c>
      <c r="GT356" s="347" t="s">
        <v>512</v>
      </c>
      <c r="GU356" s="97" t="s">
        <v>513</v>
      </c>
      <c r="GV356" s="97" t="str">
        <f t="shared" si="1200"/>
        <v>M23</v>
      </c>
      <c r="GW356" s="97" t="str">
        <f t="shared" si="1201"/>
        <v>M31</v>
      </c>
      <c r="GX356" s="97" t="str">
        <f t="shared" si="1202"/>
        <v/>
      </c>
      <c r="GY356" s="97" t="str">
        <f t="shared" si="1203"/>
        <v/>
      </c>
      <c r="GZ356" s="481"/>
      <c r="HA356" s="240"/>
      <c r="HB356" s="240"/>
      <c r="HC356" s="240"/>
      <c r="HD356" s="240"/>
      <c r="HE356" s="240"/>
      <c r="HF356" s="240"/>
      <c r="HG356" s="240"/>
      <c r="HH356" s="240"/>
      <c r="HI356" s="240"/>
      <c r="HJ356" s="240"/>
      <c r="HK356" s="240"/>
      <c r="HL356" s="240"/>
      <c r="HM356" s="240"/>
      <c r="HN356" s="240"/>
      <c r="HO356" s="240"/>
      <c r="HP356" s="240"/>
      <c r="HQ356" s="240"/>
      <c r="HR356" s="240"/>
      <c r="HS356" s="240"/>
      <c r="HT356" s="240"/>
      <c r="HU356" s="240"/>
      <c r="HV356" s="245"/>
      <c r="HW356" s="245" t="b">
        <v>1</v>
      </c>
      <c r="HX356" s="245" t="str">
        <f t="shared" si="1088"/>
        <v/>
      </c>
      <c r="HY356" s="245" t="e">
        <f t="shared" si="1089"/>
        <v>#DIV/0!</v>
      </c>
      <c r="HZ356" s="245" t="e">
        <f t="shared" si="1090"/>
        <v>#DIV/0!</v>
      </c>
      <c r="IA356" s="245">
        <f t="shared" si="1091"/>
        <v>0</v>
      </c>
      <c r="IB356" s="245"/>
      <c r="IC356" t="b">
        <f t="shared" si="1092"/>
        <v>1</v>
      </c>
      <c r="ID356" s="245" t="b">
        <f t="shared" si="1093"/>
        <v>1</v>
      </c>
      <c r="IE356" s="245" t="b">
        <f t="shared" si="1094"/>
        <v>1</v>
      </c>
      <c r="IF356" s="245" t="b">
        <f t="shared" si="1095"/>
        <v>0</v>
      </c>
      <c r="IG356" s="245" t="b">
        <f t="shared" si="1096"/>
        <v>1</v>
      </c>
      <c r="IH356" s="245" t="b">
        <f t="shared" si="1097"/>
        <v>1</v>
      </c>
      <c r="II356" s="245">
        <f t="shared" si="1204"/>
        <v>0</v>
      </c>
      <c r="IJ356" s="245" t="e">
        <f t="shared" si="1098"/>
        <v>#VALUE!</v>
      </c>
      <c r="IK356" s="245" t="e">
        <f t="shared" si="1099"/>
        <v>#VALUE!</v>
      </c>
      <c r="IL356" s="245"/>
      <c r="IM356" s="245" t="e">
        <f t="shared" si="1205"/>
        <v>#N/A</v>
      </c>
      <c r="IN356" s="245" t="e">
        <f t="shared" si="1206"/>
        <v>#N/A</v>
      </c>
      <c r="IO356" s="245"/>
      <c r="IP356" s="245"/>
      <c r="IQ356" s="245" t="str">
        <f t="shared" si="1100"/>
        <v/>
      </c>
      <c r="IR356" s="245" t="str">
        <f>IF(J356="","",VLOOKUP(J356,Worksheet!$R$4:$T$14,2))</f>
        <v/>
      </c>
      <c r="IS356" s="245"/>
      <c r="IT356" s="245">
        <f t="shared" si="1101"/>
        <v>0</v>
      </c>
      <c r="IU356" s="245">
        <f t="shared" si="1102"/>
        <v>0</v>
      </c>
      <c r="IV356" s="245">
        <f t="shared" si="1103"/>
        <v>0</v>
      </c>
      <c r="IW356" s="245">
        <f t="shared" si="1104"/>
        <v>0</v>
      </c>
      <c r="IX356" s="245">
        <f t="shared" si="1207"/>
        <v>0</v>
      </c>
      <c r="IY356" s="245">
        <f t="shared" si="1105"/>
        <v>0</v>
      </c>
      <c r="IZ356" s="245">
        <f t="shared" si="1106"/>
        <v>0</v>
      </c>
      <c r="JA356">
        <f t="shared" si="1107"/>
        <v>0</v>
      </c>
      <c r="JB356">
        <f t="shared" si="1208"/>
        <v>0</v>
      </c>
      <c r="JC356">
        <f t="shared" si="1108"/>
        <v>0</v>
      </c>
      <c r="JD356">
        <f t="shared" si="1109"/>
        <v>0</v>
      </c>
      <c r="JE356">
        <f t="shared" si="1110"/>
        <v>0</v>
      </c>
      <c r="JF356">
        <f t="shared" si="1111"/>
        <v>0</v>
      </c>
      <c r="JG356">
        <f t="shared" si="1112"/>
        <v>0</v>
      </c>
      <c r="JH356">
        <f t="shared" si="1113"/>
        <v>0</v>
      </c>
      <c r="JI356">
        <f t="shared" si="1114"/>
        <v>0</v>
      </c>
      <c r="JJ356" s="447">
        <f t="shared" si="1115"/>
        <v>0</v>
      </c>
      <c r="JK356" s="447">
        <f t="shared" si="1116"/>
        <v>0</v>
      </c>
      <c r="JL356">
        <f t="shared" si="1117"/>
        <v>0</v>
      </c>
      <c r="JM356" s="245" t="str">
        <f>IFERROR(VLOOKUP(MATCH(BN356,#REF!,0),#REF!,7),"")</f>
        <v/>
      </c>
      <c r="JN356" t="e">
        <f>HLOOKUP(LEFT(BO356,7),Discharge_Area,MATCH(JO356,LookUps!$B$130:$B$149,1)+2)</f>
        <v>#N/A</v>
      </c>
      <c r="JO356" t="str">
        <f t="shared" si="1118"/>
        <v>- S</v>
      </c>
      <c r="JP356" t="e">
        <f>HLOOKUP(LEFT(BO356,7),Discharge_Area,MATCH(JO356,LookUps!$B$130:$B$149,1)+2)</f>
        <v>#N/A</v>
      </c>
      <c r="JQ356" t="e">
        <f t="shared" si="1119"/>
        <v>#N/A</v>
      </c>
      <c r="JR356" t="e">
        <f t="shared" si="1120"/>
        <v>#N/A</v>
      </c>
      <c r="JS356" t="e">
        <f t="shared" si="1121"/>
        <v>#N/A</v>
      </c>
      <c r="JT356" s="532" t="str">
        <f t="shared" si="1122"/>
        <v xml:space="preserve"> </v>
      </c>
      <c r="JU356" s="532" t="str">
        <f t="shared" si="1123"/>
        <v xml:space="preserve"> </v>
      </c>
      <c r="JV356" s="533" t="str">
        <f t="shared" si="1124"/>
        <v xml:space="preserve"> </v>
      </c>
      <c r="JW356" s="534">
        <f t="shared" si="1125"/>
        <v>0</v>
      </c>
      <c r="JX356" s="535" t="str">
        <f t="shared" si="1209"/>
        <v xml:space="preserve"> </v>
      </c>
      <c r="JY356" s="535" t="str">
        <f t="shared" si="1210"/>
        <v xml:space="preserve"> </v>
      </c>
      <c r="JZ356" s="535" t="str">
        <f t="shared" si="1211"/>
        <v xml:space="preserve"> </v>
      </c>
      <c r="KA356" s="536" t="str">
        <f t="shared" si="1126"/>
        <v xml:space="preserve"> </v>
      </c>
      <c r="KB356" s="535" t="e">
        <f t="shared" si="1212"/>
        <v>#VALUE!</v>
      </c>
      <c r="KC356" s="535" t="str">
        <f t="shared" si="1127"/>
        <v/>
      </c>
      <c r="KD356" s="537" t="str">
        <f t="shared" si="1213"/>
        <v xml:space="preserve"> </v>
      </c>
      <c r="KE356" s="537" t="str">
        <f t="shared" si="1214"/>
        <v xml:space="preserve"> </v>
      </c>
      <c r="KF356" s="534">
        <f t="shared" si="1128"/>
        <v>0</v>
      </c>
      <c r="KG356" s="535" t="str">
        <f t="shared" si="1129"/>
        <v xml:space="preserve"> </v>
      </c>
      <c r="KH356" s="535" t="str">
        <f t="shared" si="1130"/>
        <v xml:space="preserve"> </v>
      </c>
      <c r="KI356" s="535" t="str">
        <f t="shared" si="1131"/>
        <v xml:space="preserve"> </v>
      </c>
      <c r="KJ356" s="536" t="str">
        <f t="shared" si="1132"/>
        <v xml:space="preserve"> </v>
      </c>
      <c r="KK356" s="535" t="str">
        <f t="shared" si="1215"/>
        <v xml:space="preserve"> </v>
      </c>
      <c r="KL356" s="535" t="str">
        <f t="shared" si="1216"/>
        <v xml:space="preserve"> </v>
      </c>
      <c r="KM356" s="537" t="str">
        <f t="shared" si="1133"/>
        <v xml:space="preserve"> </v>
      </c>
      <c r="KN356" s="537" t="str">
        <f t="shared" si="1217"/>
        <v xml:space="preserve"> </v>
      </c>
      <c r="KP356">
        <f t="shared" si="1134"/>
        <v>0</v>
      </c>
      <c r="LA356" t="e">
        <f t="shared" si="1135"/>
        <v>#VALUE!</v>
      </c>
      <c r="LB356" t="e">
        <f t="shared" si="1136"/>
        <v>#VALUE!</v>
      </c>
      <c r="LC356" t="e">
        <f t="shared" si="1137"/>
        <v>#VALUE!</v>
      </c>
      <c r="LD356" t="e">
        <f t="shared" si="1138"/>
        <v>#VALUE!</v>
      </c>
      <c r="LE356" t="e">
        <f t="shared" si="1218"/>
        <v>#VALUE!</v>
      </c>
      <c r="LF356">
        <f t="shared" si="1139"/>
        <v>0</v>
      </c>
      <c r="LG356" t="e">
        <f t="shared" si="1219"/>
        <v>#VALUE!</v>
      </c>
      <c r="LH356" t="str">
        <f t="shared" si="1140"/>
        <v xml:space="preserve"> </v>
      </c>
      <c r="LI356">
        <f t="shared" si="1220"/>
        <v>1</v>
      </c>
    </row>
    <row r="357" spans="2:321" ht="15" customHeight="1">
      <c r="B357" s="311"/>
      <c r="C357" s="311"/>
      <c r="D357" s="312"/>
      <c r="E357" s="311"/>
      <c r="F357" s="312"/>
      <c r="G357" s="311"/>
      <c r="H357" s="311"/>
      <c r="I357" s="232"/>
      <c r="J357" s="311"/>
      <c r="K357" s="305" t="str">
        <f t="shared" si="1141"/>
        <v/>
      </c>
      <c r="L357" s="313"/>
      <c r="M357" s="312"/>
      <c r="N357" s="311"/>
      <c r="O357" s="312"/>
      <c r="P357" s="311"/>
      <c r="Q357" s="305" t="str">
        <f t="shared" si="1142"/>
        <v/>
      </c>
      <c r="R357" s="314"/>
      <c r="S357" s="450" t="str">
        <f t="shared" si="1025"/>
        <v/>
      </c>
      <c r="T357" s="315"/>
      <c r="U357" s="315"/>
      <c r="W357" s="149" t="str">
        <f t="shared" si="1026"/>
        <v xml:space="preserve"> </v>
      </c>
      <c r="X357" s="243" t="str">
        <f t="shared" si="1027"/>
        <v xml:space="preserve"> </v>
      </c>
      <c r="Y357" s="150" t="str">
        <f t="shared" si="1028"/>
        <v/>
      </c>
      <c r="Z357" s="149" t="str">
        <f t="shared" si="1029"/>
        <v xml:space="preserve"> </v>
      </c>
      <c r="AA357" s="98" t="str">
        <f t="shared" si="1030"/>
        <v xml:space="preserve"> </v>
      </c>
      <c r="AB357" s="153" t="str">
        <f t="shared" si="1031"/>
        <v xml:space="preserve"> </v>
      </c>
      <c r="AC357" s="153" t="str">
        <f t="shared" si="1032"/>
        <v xml:space="preserve"> </v>
      </c>
      <c r="AD357" s="148" t="str">
        <f t="shared" si="1033"/>
        <v/>
      </c>
      <c r="AE357" s="149" t="str">
        <f t="shared" si="1034"/>
        <v/>
      </c>
      <c r="AF357" s="151" t="str">
        <f t="shared" si="1035"/>
        <v xml:space="preserve"> </v>
      </c>
      <c r="AG357" s="153" t="str">
        <f t="shared" si="1036"/>
        <v xml:space="preserve"> </v>
      </c>
      <c r="AH357" s="98" t="str">
        <f t="shared" si="1037"/>
        <v xml:space="preserve"> </v>
      </c>
      <c r="AI357" s="149" t="str">
        <f t="shared" si="1038"/>
        <v xml:space="preserve"> </v>
      </c>
      <c r="AK357" s="144" t="str">
        <f t="shared" si="1039"/>
        <v xml:space="preserve"> </v>
      </c>
      <c r="AL357" s="144"/>
      <c r="AM357" s="243" t="str">
        <f t="shared" si="1040"/>
        <v xml:space="preserve"> </v>
      </c>
      <c r="AN357" s="149" t="str">
        <f t="shared" si="1143"/>
        <v xml:space="preserve"> </v>
      </c>
      <c r="AO357" s="144" t="str">
        <f>IF(JB357&gt;0,IF(GI357=10,-R357*1.085*(Calculation!$F$6-Calculation!$F$13)*$S$14," "),"")</f>
        <v/>
      </c>
      <c r="AP357" s="144" t="str">
        <f t="shared" si="1041"/>
        <v/>
      </c>
      <c r="AQ357" s="56" t="str">
        <f t="shared" si="1042"/>
        <v/>
      </c>
      <c r="AR357" s="144" t="str">
        <f t="shared" si="1043"/>
        <v/>
      </c>
      <c r="AS357" s="176" t="str">
        <f t="shared" si="1044"/>
        <v/>
      </c>
      <c r="AT357" s="176" t="str">
        <f t="shared" si="1144"/>
        <v xml:space="preserve"> </v>
      </c>
      <c r="AU357" s="176" t="str">
        <f t="shared" si="1045"/>
        <v/>
      </c>
      <c r="AV357" s="177" t="str">
        <f t="shared" si="1046"/>
        <v xml:space="preserve"> </v>
      </c>
      <c r="AW357" s="144" t="str">
        <f t="shared" si="1047"/>
        <v xml:space="preserve"> </v>
      </c>
      <c r="AX357" s="144" t="str">
        <f t="shared" si="1048"/>
        <v xml:space="preserve"> </v>
      </c>
      <c r="AY357" s="152" t="str">
        <f t="shared" si="1049"/>
        <v xml:space="preserve"> </v>
      </c>
      <c r="AZ357" s="246" t="str">
        <f t="shared" si="1050"/>
        <v/>
      </c>
      <c r="BA357" s="176" t="str">
        <f t="shared" si="1051"/>
        <v xml:space="preserve"> </v>
      </c>
      <c r="BB357" s="176" t="str">
        <f t="shared" si="1052"/>
        <v xml:space="preserve"> </v>
      </c>
      <c r="BC357" s="195"/>
      <c r="BD357" s="316"/>
      <c r="BE357" s="317"/>
      <c r="BF357" s="318"/>
      <c r="BG357" s="318"/>
      <c r="BH357" s="144" t="str">
        <f t="shared" si="1221"/>
        <v xml:space="preserve"> </v>
      </c>
      <c r="BI357" s="176" t="str">
        <f t="shared" si="1053"/>
        <v/>
      </c>
      <c r="BJ357" s="144" t="str">
        <f t="shared" si="1222"/>
        <v/>
      </c>
      <c r="BK357" s="246" t="str">
        <f t="shared" si="1054"/>
        <v/>
      </c>
      <c r="BL357" s="144" t="str">
        <f t="shared" si="1223"/>
        <v/>
      </c>
      <c r="BM357" s="246" t="str">
        <f t="shared" si="1055"/>
        <v/>
      </c>
      <c r="BN357" s="337" t="str">
        <f t="shared" si="1145"/>
        <v/>
      </c>
      <c r="BO357" s="371" t="str">
        <f t="shared" si="1146"/>
        <v/>
      </c>
      <c r="BP357" s="328" t="str">
        <f t="shared" si="1224"/>
        <v xml:space="preserve"> </v>
      </c>
      <c r="BQ357" s="347" t="str">
        <f t="shared" si="1147"/>
        <v xml:space="preserve"> </v>
      </c>
      <c r="BR357" s="353" t="str">
        <f t="shared" si="1148"/>
        <v xml:space="preserve"> </v>
      </c>
      <c r="BS357" s="626" t="str">
        <f>IF(L357&gt;0,IF(Calculation!P357="M13",BR357*3.1416*(0.134^2)/(4*144),IF(Calculation!P357="M17",BR357*3.1416*(0.165^2)/(4*144),IF(Calculation!P357="M20",BR357*3.1416*(0.198^2)/(4*144),IF(Calculation!P357="M23",BR357*3.1416*(0.228^2)/(4*144),IF(Calculation!P357="M27",BR357*3.1416*(0.269^2)/(4*144),BR357*3.1416*(0.307^2)/(4*144))))))," ")</f>
        <v xml:space="preserve"> </v>
      </c>
      <c r="BT357" s="353" t="str">
        <f>IF(L357&gt;0,IF(BS357&gt;0,R357/Calculation!BS357,0)," ")</f>
        <v xml:space="preserve"> </v>
      </c>
      <c r="BU357" s="438" t="e">
        <f t="shared" ca="1" si="1056"/>
        <v>#VALUE!</v>
      </c>
      <c r="BV357" s="449" t="e">
        <f ca="1">INDEX(INDIRECT(VLOOKUP(LEFT(BO357,7),CLU!$Z$3:$AH$18,2)),GN357,GR357)</f>
        <v>#N/A</v>
      </c>
      <c r="BW357" s="433" t="e">
        <f ca="1">INDEX(INDIRECT(VLOOKUP(LEFT(BO357,7),CLU!$Z$3:$AH$18,3)),GN357,GR357)</f>
        <v>#N/A</v>
      </c>
      <c r="BX357" s="433" t="e">
        <f ca="1">INDEX(INDIRECT(VLOOKUP(LEFT(BO357,7),CLU!$Z$3:$AH$18,4)),GN357,GR357)</f>
        <v>#N/A</v>
      </c>
      <c r="BY357" s="433" t="e">
        <f ca="1">INDEX(INDIRECT(VLOOKUP(LEFT(BO357,7),CLU!$Z$3:$AH$18,9)),((M357-2)*(6-COUNTBLANK(GT357:GY357)))+GJ357)</f>
        <v>#N/A</v>
      </c>
      <c r="BZ357" s="426" t="e">
        <f t="shared" ca="1" si="1149"/>
        <v>#N/A</v>
      </c>
      <c r="CA357" s="424" t="e">
        <f t="shared" ca="1" si="1150"/>
        <v>#N/A</v>
      </c>
      <c r="CB357" s="429" t="e">
        <f ca="1">INDEX(INDIRECT(VLOOKUP(LEFT(BO357,7),CLU!$Z$3:$AH$18,2)),GN357,GS357)</f>
        <v>#N/A</v>
      </c>
      <c r="CC357" s="342" t="e">
        <f ca="1">INDEX(INDIRECT(VLOOKUP(LEFT(BO357,7),CLU!$Z$3:$AH$18,3)),GN357,GS357)</f>
        <v>#N/A</v>
      </c>
      <c r="CD357" s="342" t="e">
        <f ca="1">INDEX(INDIRECT(VLOOKUP(LEFT(BO357,7),CLU!$Z$3:$AH$18,4)),GN357,GS357)</f>
        <v>#N/A</v>
      </c>
      <c r="CE357" s="426" t="e">
        <f t="shared" ca="1" si="1151"/>
        <v>#N/A</v>
      </c>
      <c r="CF357" s="440">
        <f t="shared" si="1152"/>
        <v>0</v>
      </c>
      <c r="CG357" s="431" t="e">
        <f ca="1">INDEX(INDIRECT(VLOOKUP(LEFT(BO357,7),CLU!$Z$3:$AH$18,2)),GQ357,GR357)</f>
        <v>#N/A</v>
      </c>
      <c r="CH357" s="431" t="e">
        <f ca="1">INDEX(INDIRECT(VLOOKUP(LEFT(BO357,7),CLU!$Z$3:$AH$18,3)),GQ357,GR357)</f>
        <v>#N/A</v>
      </c>
      <c r="CI357" s="431" t="e">
        <f ca="1">INDEX(INDIRECT(VLOOKUP(LEFT(BO357,7),CLU!$Z$3:$AH$18,4)),GQ357,GR357)</f>
        <v>#N/A</v>
      </c>
      <c r="CJ357" s="448" t="e">
        <f t="shared" ca="1" si="1153"/>
        <v>#N/A</v>
      </c>
      <c r="CK357" s="431" t="e">
        <f t="shared" ca="1" si="1154"/>
        <v>#N/A</v>
      </c>
      <c r="CL357" s="440" t="e">
        <f t="shared" ca="1" si="1155"/>
        <v>#N/A</v>
      </c>
      <c r="CM357" s="431" t="e">
        <f ca="1">INDEX(INDIRECT(VLOOKUP(LEFT(BO357,7),CLU!$Z$3:$AH$18,2)),GQ357,GS357)</f>
        <v>#N/A</v>
      </c>
      <c r="CN357" s="431" t="e">
        <f ca="1">INDEX(INDIRECT(VLOOKUP(LEFT(BO357,7),CLU!$Z$3:$AH$18,3)),GQ357,GS357)</f>
        <v>#N/A</v>
      </c>
      <c r="CO357" s="431" t="e">
        <f ca="1">INDEX(INDIRECT(VLOOKUP(LEFT(BO357,7),CLU!$Z$3:$AH$18,4)),GQ357,GS357)</f>
        <v>#N/A</v>
      </c>
      <c r="CP357" s="431" t="e">
        <f t="shared" ca="1" si="1156"/>
        <v>#N/A</v>
      </c>
      <c r="CQ357" s="440">
        <f t="shared" si="1157"/>
        <v>0</v>
      </c>
      <c r="CR357" s="51" t="e">
        <f t="shared" ca="1" si="1158"/>
        <v>#N/A</v>
      </c>
      <c r="CS357" s="439" t="e">
        <f t="shared" ca="1" si="1159"/>
        <v>#VALUE!</v>
      </c>
      <c r="CT357" s="51" t="e">
        <f t="shared" ca="1" si="1160"/>
        <v>#VALUE!</v>
      </c>
      <c r="CU357" s="10"/>
      <c r="CV357" s="51" t="e">
        <f t="shared" ca="1" si="1057"/>
        <v>#VALUE!</v>
      </c>
      <c r="CW357" s="51">
        <f t="shared" si="1161"/>
        <v>0</v>
      </c>
      <c r="CX357" s="439" t="e">
        <f t="shared" ca="1" si="1162"/>
        <v>#VALUE!</v>
      </c>
      <c r="CY357" s="51" t="e">
        <f t="shared" ca="1" si="1163"/>
        <v>#VALUE!</v>
      </c>
      <c r="CZ357" s="10"/>
      <c r="DA357" s="51" t="e">
        <f t="shared" ca="1" si="1164"/>
        <v>#VALUE!</v>
      </c>
      <c r="DB357" s="347" t="e">
        <f ca="1">INDEX(INDIRECT(VLOOKUP(LEFT(BO357,7),CLU!$Z$3:$AI$18,10)),((M357-2)*(6-COUNTBLANK(GT357:GY357)))+GJ357)*LI357</f>
        <v>#N/A</v>
      </c>
      <c r="DC357" s="347" t="str">
        <f>IF(L357&gt;0,((R357/Worksheet!$I$15)/DB357)^2," ")</f>
        <v xml:space="preserve"> </v>
      </c>
      <c r="DD357" s="602" t="str">
        <f t="shared" si="1165"/>
        <v xml:space="preserve"> </v>
      </c>
      <c r="DE357" s="347" t="str">
        <f t="shared" si="1058"/>
        <v xml:space="preserve"> </v>
      </c>
      <c r="DF357" s="356" t="e">
        <f ca="1">INDEX(INDIRECT(VLOOKUP(LEFT(BO357,7),CLU!$Z$3:$AH$18,8)),((M357-2)*(6-COUNTBLANK(GT357:GY357)))+GJ357)</f>
        <v>#N/A</v>
      </c>
      <c r="DG357" s="347" t="str">
        <f t="shared" si="1059"/>
        <v xml:space="preserve"> </v>
      </c>
      <c r="DH357" s="357" t="str">
        <f t="shared" si="1060"/>
        <v xml:space="preserve"> </v>
      </c>
      <c r="DI357" s="355" t="str">
        <f t="shared" si="1061"/>
        <v xml:space="preserve"> </v>
      </c>
      <c r="DJ357" s="245" t="e">
        <f ca="1">INDEX(INDIRECT(VLOOKUP(LEFT(BO357,7),CLU!$Z$3:$AH$18,5)),GL357,GK357)</f>
        <v>#N/A</v>
      </c>
      <c r="DK357" s="245" t="e">
        <f ca="1">INDEX(INDIRECT(VLOOKUP(LEFT(BO357,7),CLU!$Z$3:$AH$18,6)),GL357,GK357)</f>
        <v>#N/A</v>
      </c>
      <c r="DL357" s="355">
        <f>(Calculation!R357*0.69143*(Calculation!$BQ$8-Calculation!$F$8))*$S$14</f>
        <v>0</v>
      </c>
      <c r="DM357" s="359" t="e">
        <f t="shared" si="1166"/>
        <v>#VALUE!</v>
      </c>
      <c r="DN357" s="611">
        <f t="shared" si="1167"/>
        <v>0</v>
      </c>
      <c r="DO357" s="359">
        <f t="shared" si="1168"/>
        <v>100</v>
      </c>
      <c r="DP357" s="359">
        <f t="shared" si="1169"/>
        <v>0</v>
      </c>
      <c r="DQ357" s="360"/>
      <c r="DR357" s="245" t="e">
        <f ca="1">INDEX(INDIRECT(VLOOKUP(LEFT(BO357,7),CLU!$Z$3:$AH$18,7)),M357-1,1)</f>
        <v>#N/A</v>
      </c>
      <c r="DS357" s="245" t="e">
        <f ca="1">INDEX(INDIRECT(VLOOKUP(LEFT(BO357,7),CLU!$Z$3:$AH$18,7)),M357-1,2)</f>
        <v>#N/A</v>
      </c>
      <c r="DT357" s="245" t="e">
        <f ca="1">INDEX(INDIRECT(VLOOKUP(LEFT(BO357,7),CLU!$Z$3:$AH$18,7)),M357-1,3)</f>
        <v>#N/A</v>
      </c>
      <c r="DU357" s="245" t="e">
        <f ca="1">INDEX(INDIRECT(VLOOKUP(LEFT(BO357,7),CLU!$Z$3:$AH$18,7)),M357-1,4)</f>
        <v>#N/A</v>
      </c>
      <c r="DV357" s="361" t="e">
        <f ca="1">INDEX(INDIRECT(VLOOKUP(LEFT(BO357,7),CLU!$Z$3:$AH$18,7)),M357-1,4+LEFT(DZ357,1)*0.5)</f>
        <v>#N/A</v>
      </c>
      <c r="DW357" s="245" t="e">
        <f ca="1">INDEX(INDIRECT(VLOOKUP(LEFT(BO357,7),CLU!$Z$3:$AH$18,7)),M357-1,8)</f>
        <v>#N/A</v>
      </c>
      <c r="DX357" s="361" t="str">
        <f t="shared" si="1062"/>
        <v xml:space="preserve"> </v>
      </c>
      <c r="DY357" s="361" t="str">
        <f t="shared" si="1063"/>
        <v xml:space="preserve"> </v>
      </c>
      <c r="DZ357" s="361" t="str">
        <f t="shared" si="1064"/>
        <v xml:space="preserve"> </v>
      </c>
      <c r="EA357" s="362" t="str">
        <f t="shared" si="1065"/>
        <v xml:space="preserve"> </v>
      </c>
      <c r="EB357" s="624" t="str">
        <f t="shared" si="1170"/>
        <v xml:space="preserve"> </v>
      </c>
      <c r="EC357" s="361" t="e">
        <f ca="1">INDEX(INDIRECT(VLOOKUP(LEFT(BO357,7),CLU!$Z$3:$AH$18,7)),M357-1,4+LEFT(DZ357,1)*0.5)</f>
        <v>#N/A</v>
      </c>
      <c r="ED357" s="362" t="str">
        <f t="shared" si="1066"/>
        <v xml:space="preserve"> </v>
      </c>
      <c r="EE357" s="361" t="str">
        <f t="shared" si="1067"/>
        <v xml:space="preserve"> </v>
      </c>
      <c r="EF357" s="362" t="str">
        <f>IF(L357&gt;0,IF(BR357&gt;0,IF(EE357="2P",IF(Calculation!DZ357="2P",IF(Calculation!DS357=13.75,IF(Calculation!DR357=13,Worksheet!$BD$43,IF(Calculation!DR357=37,Worksheet!$BD$44,Worksheet!$BD$45)),IF(Calculation!DS357=10,IF(Calculation!DR357=18,Worksheet!$BD$29,IF(Calculation!DR357=30,Worksheet!$BD$30,IF(Calculation!DR357=42,Worksheet!$BD$31,IF(Calculation!DR357=54,Worksheet!$BD$32,IF(Calculation!DR357=66,Worksheet!$BD$33,IF(Calculation!DR357=78,Worksheet!$BD$34,IF(Calculation!DR357=90,Worksheet!$BD$35,IF(Calculation!DR357=102,Worksheet!$BD$36,Worksheet!$BD$37)))))))),IF(Calculation!DS357=12.5,IF(Calculation!DR357=18,Worksheet!$BD$38,IF(Calculation!DR357=Worksheet!$BD$39,IF(Calculation!DR357=42,Worksheet!$BD$40,IF(Calculation!DR357=54,Worksheet!$BD$41,Worksheet!$BD$42)))),IF(Calculation!DR357=18,Worksheet!$BD$11,IF(Calculation!DR357=30,Worksheet!$BD$12,IF(Calculation!DR357=42,Worksheet!$BD$13,IF(Calculation!DR357=54,Worksheet!$BD$14,IF(Calculation!DR357=66,Worksheet!$BD$15,IF(Calculation!DR357=78,Worksheet!$BD$16,IF(Calculation!DR357=90,Worksheet!$BD$17,IF(Calculation!DR357=102,Worksheet!$BD$18,Worksheet!$BD$19))))))))))),IF(Calculation!DS357=13.75,IF(Calculation!DR357=13,Worksheet!$BD$78,IF(Calculation!DR357=37,Worksheet!$BD$79,Worksheet!$BD$80)),IF(Calculation!DS357=10,IF(Calculation!DR357=18,Worksheet!$BD$64,IF(Calculation!DR357=30,Worksheet!$BD$65,IF(Calculation!DR357=42,Worksheet!$BD$66,IF(Calculation!DR357=54,Worksheet!$BD$68,IF(Calculation!DR357=66,Worksheet!$BD$68,IF(Calculation!DR357=78,Worksheet!$BD$69,IF(Calculation!DR357=90,Worksheet!$BD$70,IF(Calculation!DR357=102,Worksheet!$BD$71,Worksheet!$BD$72)))))))),IF(Calculation!DS357=12.5,IF(Calculation!DR357=18,Worksheet!$BD$73,IF(Calculation!DR357=Worksheet!$BD$74,IF(Calculation!DR357=42,Worksheet!$BD$75,IF(Calculation!DR357=54,Worksheet!$BD$76,Worksheet!$BD$77)))),IF(Calculation!DR357=18,Worksheet!$BD$55,IF(Calculation!DR357=30,Worksheet!$BD$56,IF(Calculation!DR357=42,Worksheet!$BD$57,IF(Calculation!DR357=54,Worksheet!$BD$58,IF(Calculation!DR357=66,Worksheet!$BD$59,IF(Calculation!DR357=78,Worksheet!$BD$60,IF(Calculation!DR357=90,Worksheet!$BD$61,IF(Calculation!DR357=102,Worksheet!$BD$62,Worksheet!$BD$63)))))))))))),5),0)," ")</f>
        <v xml:space="preserve"> </v>
      </c>
      <c r="EG357" s="361" t="str">
        <f t="shared" si="1068"/>
        <v xml:space="preserve"> </v>
      </c>
      <c r="EH357" s="361" t="e">
        <f ca="1">INDEX(INDIRECT(VLOOKUP(LEFT(BO357,7),CLU!$Z$3:$AH$18,7)),M357-1,3+LEFT(DZ357,1))</f>
        <v>#N/A</v>
      </c>
      <c r="EI357" s="362" t="str">
        <f t="shared" si="1069"/>
        <v xml:space="preserve"> </v>
      </c>
      <c r="EJ357" s="363" t="str">
        <f t="shared" si="1070"/>
        <v xml:space="preserve"> </v>
      </c>
      <c r="EK357" s="363" t="str">
        <f t="shared" si="1071"/>
        <v xml:space="preserve"> </v>
      </c>
      <c r="EL357" s="363" t="str">
        <f t="shared" si="1072"/>
        <v xml:space="preserve"> </v>
      </c>
      <c r="EM357" s="362" t="str">
        <f>IF(L357&gt;0,IF(BR357&gt;0,(Calculation!T357/ED357)^2,0)," ")</f>
        <v xml:space="preserve"> </v>
      </c>
      <c r="EN357" s="362" t="str">
        <f>IF(L357&gt;0,IF(O357="2 Pipe (Cooling)","N/A",IF(BR357&gt;0,(Calculation!U357/EI357)^2,0))," ")</f>
        <v xml:space="preserve"> </v>
      </c>
      <c r="EO357" s="361" t="str">
        <f t="shared" si="1073"/>
        <v/>
      </c>
      <c r="EP357" s="361" t="str">
        <f t="shared" si="1074"/>
        <v/>
      </c>
      <c r="EQ357" s="361" t="str">
        <f t="shared" si="1075"/>
        <v/>
      </c>
      <c r="ER357" s="361" t="str">
        <f t="shared" si="1076"/>
        <v/>
      </c>
      <c r="ES357" s="361" t="str">
        <f t="shared" si="1077"/>
        <v/>
      </c>
      <c r="ET357" s="361" t="str">
        <f t="shared" si="1078"/>
        <v/>
      </c>
      <c r="EU357" s="361" t="str">
        <f t="shared" si="1079"/>
        <v/>
      </c>
      <c r="EV357" s="361" t="str">
        <f t="shared" si="1080"/>
        <v/>
      </c>
      <c r="EW357" s="361" t="str">
        <f t="shared" si="1081"/>
        <v/>
      </c>
      <c r="EX357" s="361" t="str">
        <f t="shared" si="1171"/>
        <v>1 slot, 1 way</v>
      </c>
      <c r="EY357" s="361" t="str">
        <f t="shared" si="1172"/>
        <v xml:space="preserve"> </v>
      </c>
      <c r="EZ357" s="361" t="str">
        <f t="shared" si="1173"/>
        <v xml:space="preserve"> </v>
      </c>
      <c r="FA357" s="361" t="str">
        <f t="shared" si="1174"/>
        <v xml:space="preserve"> </v>
      </c>
      <c r="FB357" s="361" t="str">
        <f t="shared" si="1175"/>
        <v xml:space="preserve"> </v>
      </c>
      <c r="FC357" s="361"/>
      <c r="FD357" s="361" t="str">
        <f>IF(J357&gt;0,IF(Calculation!R357&lt;=70,4,IF(Calculation!R357&lt;=110,5,IF(Calculation!R357&lt;=160,6,IF(Calculation!R357&lt;=300,8,"10 EO")))),"")</f>
        <v/>
      </c>
      <c r="FE357" s="361" t="str">
        <f t="shared" si="1176"/>
        <v/>
      </c>
      <c r="FF357" s="361" t="str">
        <f t="shared" si="1177"/>
        <v/>
      </c>
      <c r="FG357" s="361" t="e">
        <f t="shared" si="1082"/>
        <v>#N/A</v>
      </c>
      <c r="FH357" s="361">
        <f t="shared" si="1083"/>
        <v>0</v>
      </c>
      <c r="FI357" s="361" t="e">
        <f t="shared" si="1084"/>
        <v>#DIV/0!</v>
      </c>
      <c r="FJ357" s="361"/>
      <c r="FK357" s="356" t="e">
        <f t="shared" si="1085"/>
        <v>#VALUE!</v>
      </c>
      <c r="FL357" s="361"/>
      <c r="FM357" s="361"/>
      <c r="FN357" s="362" t="str">
        <f t="shared" si="1178"/>
        <v xml:space="preserve"> </v>
      </c>
      <c r="FO357" s="362" t="str">
        <f t="shared" si="1179"/>
        <v xml:space="preserve"> </v>
      </c>
      <c r="FP357" s="362">
        <f t="shared" si="1180"/>
        <v>0</v>
      </c>
      <c r="FQ357" s="361">
        <f t="shared" si="1086"/>
        <v>0</v>
      </c>
      <c r="FR357" s="362" t="str">
        <f>IF(L357&gt;0,IF(J357="CBAL2",Worksheet!$P$67,IF(J357="CBE2-24",Worksheet!$Q$67,IF(J357="CBAM",Worksheet!$R$67,IF(J357="CBLV",Worksheet!$S$67,IF(J357="CBAB",Worksheet!$U$67,IF(J357="CBAW",Worksheet!$X$67,IF(J357="CBE2-12",Worksheet!$Y$67,IF(J357="CBAL2",Worksheet!$Z$67,"N/A"))))))))," ")</f>
        <v xml:space="preserve"> </v>
      </c>
      <c r="FS357" s="362" t="str">
        <f>IF(L357&gt;0,IF(J357="CBAL2",Worksheet!$P$68,IF(J357="CBE2-24",Worksheet!$Q$68,IF(J357="CBAM",Worksheet!$R$68,IF(J357="CBLV",Worksheet!$S$68,IF(J357="CBAB",Worksheet!$U$68,IF(J357="CBAW",Worksheet!$X$68,IF(J357="CBE2-12",Worksheet!$Y$68,IF(J357="CBAL2",Worksheet!$Z$68,"N/A"))))))))," ")</f>
        <v xml:space="preserve"> </v>
      </c>
      <c r="FT357" s="362" t="str">
        <f>IF(L357&gt;0,IF(J357="CBAL2",Worksheet!$P$69,IF(J357="CBE2-24",Worksheet!$Q$69,IF(J357="CBAM",Worksheet!$R$69,IF(J357="CBLV",Worksheet!$S$69,IF(J357="CBAB",Worksheet!$U$69,IF(J357="CBAW",Worksheet!$X$69,IF(J357="CBE2-12",Worksheet!$Y$69,IF(J357="CBAL2",Worksheet!$Z$69,"N/A"))))))))," ")</f>
        <v xml:space="preserve"> </v>
      </c>
      <c r="FU357" s="361" t="str">
        <f t="shared" si="1181"/>
        <v xml:space="preserve"> </v>
      </c>
      <c r="FV357" s="362" t="str">
        <f t="shared" si="1182"/>
        <v xml:space="preserve"> </v>
      </c>
      <c r="FW357" s="362" t="str">
        <f t="shared" si="1183"/>
        <v xml:space="preserve"> </v>
      </c>
      <c r="FX357" s="362" t="str">
        <f t="shared" si="1184"/>
        <v xml:space="preserve"> </v>
      </c>
      <c r="FY357" s="355" t="str">
        <f t="shared" si="1185"/>
        <v xml:space="preserve"> </v>
      </c>
      <c r="FZ357" s="361" t="str">
        <f t="shared" si="1186"/>
        <v xml:space="preserve"> </v>
      </c>
      <c r="GA357" s="347" t="str">
        <f t="shared" si="1187"/>
        <v xml:space="preserve"> </v>
      </c>
      <c r="GB357" s="355" t="str">
        <f t="shared" si="1188"/>
        <v xml:space="preserve"> </v>
      </c>
      <c r="GC357" s="328" t="str">
        <f t="shared" si="1189"/>
        <v xml:space="preserve"> </v>
      </c>
      <c r="GD357" s="361" t="str">
        <f t="shared" si="1190"/>
        <v xml:space="preserve"> </v>
      </c>
      <c r="GE357" s="347" t="str">
        <f t="shared" si="1191"/>
        <v xml:space="preserve"> </v>
      </c>
      <c r="GF357" s="361" t="str">
        <f t="shared" si="1192"/>
        <v xml:space="preserve"> </v>
      </c>
      <c r="GG357" s="347" t="str">
        <f t="shared" si="1193"/>
        <v xml:space="preserve"> </v>
      </c>
      <c r="GH357" s="364">
        <f t="shared" si="1087"/>
        <v>0</v>
      </c>
      <c r="GI357" s="362">
        <f t="shared" si="1194"/>
        <v>2</v>
      </c>
      <c r="GJ357" s="433" t="e">
        <f>IF(6-COUNTBLANK(GT357:GY357)=4,MATCH(MID(BO357,9,3),CLU!$H$16:$K$16),MATCH(MID(BO357,9,3),CLU!$H$13:$M$13))</f>
        <v>#N/A</v>
      </c>
      <c r="GK357" s="433" t="e">
        <f>HLOOKUP(VALUE(BP357),CLU!$H$9:$M$10,2)</f>
        <v>#VALUE!</v>
      </c>
      <c r="GL357" s="433" t="e">
        <f ca="1">MATCH(BU357,CLU!$H$2:$V$2,1)</f>
        <v>#VALUE!</v>
      </c>
      <c r="GM357" s="433" t="e">
        <f t="shared" ca="1" si="1195"/>
        <v>#VALUE!</v>
      </c>
      <c r="GN357" s="433" t="e">
        <f t="shared" ca="1" si="1196"/>
        <v>#VALUE!</v>
      </c>
      <c r="GO357" s="433" t="e">
        <f t="shared" ca="1" si="1197"/>
        <v>#VALUE!</v>
      </c>
      <c r="GP357" s="433" t="e">
        <f t="shared" ca="1" si="1198"/>
        <v>#VALUE!</v>
      </c>
      <c r="GQ357" s="433" t="e">
        <f t="shared" ca="1" si="1199"/>
        <v>#VALUE!</v>
      </c>
      <c r="GR357" s="433" t="e">
        <f ca="1">MATCH(T357,INDIRECT(VLOOKUP(CONCATENATE(LEFT(BO357,7),"-",MID(BO357,13,1)),CLU!$P$3:$Q$16,2)),1)</f>
        <v>#N/A</v>
      </c>
      <c r="GS357" s="433" t="e">
        <f ca="1">MATCH(U357,INDIRECT(VLOOKUP(CONCATENATE(LEFT(BO357,7),"-",MID(BO357,13,1)),CLU!$P$3:$Q$16,2)),1)</f>
        <v>#N/A</v>
      </c>
      <c r="GT357" s="347" t="s">
        <v>512</v>
      </c>
      <c r="GU357" s="97" t="s">
        <v>513</v>
      </c>
      <c r="GV357" s="97" t="str">
        <f t="shared" si="1200"/>
        <v>M23</v>
      </c>
      <c r="GW357" s="97" t="str">
        <f t="shared" si="1201"/>
        <v>M31</v>
      </c>
      <c r="GX357" s="97" t="str">
        <f t="shared" si="1202"/>
        <v/>
      </c>
      <c r="GY357" s="97" t="str">
        <f t="shared" si="1203"/>
        <v/>
      </c>
      <c r="GZ357" s="481"/>
      <c r="HA357" s="240"/>
      <c r="HB357" s="240"/>
      <c r="HC357" s="240"/>
      <c r="HD357" s="240"/>
      <c r="HE357" s="240"/>
      <c r="HF357" s="240"/>
      <c r="HG357" s="240"/>
      <c r="HH357" s="240"/>
      <c r="HI357" s="240"/>
      <c r="HJ357" s="240"/>
      <c r="HK357" s="240"/>
      <c r="HL357" s="240"/>
      <c r="HM357" s="240"/>
      <c r="HN357" s="240"/>
      <c r="HO357" s="240"/>
      <c r="HP357" s="240"/>
      <c r="HQ357" s="240"/>
      <c r="HR357" s="240"/>
      <c r="HS357" s="240"/>
      <c r="HT357" s="240"/>
      <c r="HU357" s="240"/>
      <c r="HV357" s="245"/>
      <c r="HW357" s="245" t="b">
        <v>1</v>
      </c>
      <c r="HX357" s="245" t="str">
        <f t="shared" si="1088"/>
        <v/>
      </c>
      <c r="HY357" s="245" t="e">
        <f t="shared" si="1089"/>
        <v>#DIV/0!</v>
      </c>
      <c r="HZ357" s="245" t="e">
        <f t="shared" si="1090"/>
        <v>#DIV/0!</v>
      </c>
      <c r="IA357" s="245">
        <f t="shared" si="1091"/>
        <v>0</v>
      </c>
      <c r="IB357" s="245"/>
      <c r="IC357" t="b">
        <f t="shared" si="1092"/>
        <v>1</v>
      </c>
      <c r="ID357" s="245" t="b">
        <f t="shared" si="1093"/>
        <v>1</v>
      </c>
      <c r="IE357" s="245" t="b">
        <f t="shared" si="1094"/>
        <v>1</v>
      </c>
      <c r="IF357" s="245" t="b">
        <f t="shared" si="1095"/>
        <v>0</v>
      </c>
      <c r="IG357" s="245" t="b">
        <f t="shared" si="1096"/>
        <v>1</v>
      </c>
      <c r="IH357" s="245" t="b">
        <f t="shared" si="1097"/>
        <v>1</v>
      </c>
      <c r="II357" s="245">
        <f t="shared" si="1204"/>
        <v>0</v>
      </c>
      <c r="IJ357" s="245" t="e">
        <f t="shared" si="1098"/>
        <v>#VALUE!</v>
      </c>
      <c r="IK357" s="245" t="e">
        <f t="shared" si="1099"/>
        <v>#VALUE!</v>
      </c>
      <c r="IL357" s="245"/>
      <c r="IM357" s="245" t="e">
        <f t="shared" si="1205"/>
        <v>#N/A</v>
      </c>
      <c r="IN357" s="245" t="e">
        <f t="shared" si="1206"/>
        <v>#N/A</v>
      </c>
      <c r="IO357" s="245"/>
      <c r="IP357" s="245"/>
      <c r="IQ357" s="245" t="str">
        <f t="shared" si="1100"/>
        <v/>
      </c>
      <c r="IR357" s="245" t="str">
        <f>IF(J357="","",VLOOKUP(J357,Worksheet!$R$4:$T$14,2))</f>
        <v/>
      </c>
      <c r="IS357" s="245"/>
      <c r="IT357" s="245">
        <f t="shared" si="1101"/>
        <v>0</v>
      </c>
      <c r="IU357" s="245">
        <f t="shared" si="1102"/>
        <v>0</v>
      </c>
      <c r="IV357" s="245">
        <f t="shared" si="1103"/>
        <v>0</v>
      </c>
      <c r="IW357" s="245">
        <f t="shared" si="1104"/>
        <v>0</v>
      </c>
      <c r="IX357" s="245">
        <f t="shared" si="1207"/>
        <v>0</v>
      </c>
      <c r="IY357" s="245">
        <f t="shared" si="1105"/>
        <v>0</v>
      </c>
      <c r="IZ357" s="245">
        <f t="shared" si="1106"/>
        <v>0</v>
      </c>
      <c r="JA357">
        <f t="shared" si="1107"/>
        <v>0</v>
      </c>
      <c r="JB357">
        <f t="shared" si="1208"/>
        <v>0</v>
      </c>
      <c r="JC357">
        <f t="shared" si="1108"/>
        <v>0</v>
      </c>
      <c r="JD357">
        <f t="shared" si="1109"/>
        <v>0</v>
      </c>
      <c r="JE357">
        <f t="shared" si="1110"/>
        <v>0</v>
      </c>
      <c r="JF357">
        <f t="shared" si="1111"/>
        <v>0</v>
      </c>
      <c r="JG357">
        <f t="shared" si="1112"/>
        <v>0</v>
      </c>
      <c r="JH357">
        <f t="shared" si="1113"/>
        <v>0</v>
      </c>
      <c r="JI357">
        <f t="shared" si="1114"/>
        <v>0</v>
      </c>
      <c r="JJ357" s="447">
        <f t="shared" si="1115"/>
        <v>0</v>
      </c>
      <c r="JK357" s="447">
        <f t="shared" si="1116"/>
        <v>0</v>
      </c>
      <c r="JL357">
        <f t="shared" si="1117"/>
        <v>0</v>
      </c>
      <c r="JM357" s="245" t="str">
        <f>IFERROR(VLOOKUP(MATCH(BN357,#REF!,0),#REF!,7),"")</f>
        <v/>
      </c>
      <c r="JN357" t="e">
        <f>HLOOKUP(LEFT(BO357,7),Discharge_Area,MATCH(JO357,LookUps!$B$130:$B$149,1)+2)</f>
        <v>#N/A</v>
      </c>
      <c r="JO357" t="str">
        <f t="shared" si="1118"/>
        <v>- S</v>
      </c>
      <c r="JP357" t="e">
        <f>HLOOKUP(LEFT(BO357,7),Discharge_Area,MATCH(JO357,LookUps!$B$130:$B$149,1)+2)</f>
        <v>#N/A</v>
      </c>
      <c r="JQ357" t="e">
        <f t="shared" si="1119"/>
        <v>#N/A</v>
      </c>
      <c r="JR357" t="e">
        <f t="shared" si="1120"/>
        <v>#N/A</v>
      </c>
      <c r="JS357" t="e">
        <f t="shared" si="1121"/>
        <v>#N/A</v>
      </c>
      <c r="JT357" s="532" t="str">
        <f t="shared" si="1122"/>
        <v xml:space="preserve"> </v>
      </c>
      <c r="JU357" s="532" t="str">
        <f t="shared" si="1123"/>
        <v xml:space="preserve"> </v>
      </c>
      <c r="JV357" s="533" t="str">
        <f t="shared" si="1124"/>
        <v xml:space="preserve"> </v>
      </c>
      <c r="JW357" s="534">
        <f t="shared" si="1125"/>
        <v>0</v>
      </c>
      <c r="JX357" s="535" t="str">
        <f t="shared" si="1209"/>
        <v xml:space="preserve"> </v>
      </c>
      <c r="JY357" s="535" t="str">
        <f t="shared" si="1210"/>
        <v xml:space="preserve"> </v>
      </c>
      <c r="JZ357" s="535" t="str">
        <f t="shared" si="1211"/>
        <v xml:space="preserve"> </v>
      </c>
      <c r="KA357" s="536" t="str">
        <f t="shared" si="1126"/>
        <v xml:space="preserve"> </v>
      </c>
      <c r="KB357" s="535" t="e">
        <f t="shared" si="1212"/>
        <v>#VALUE!</v>
      </c>
      <c r="KC357" s="535" t="str">
        <f t="shared" si="1127"/>
        <v/>
      </c>
      <c r="KD357" s="537" t="str">
        <f t="shared" si="1213"/>
        <v xml:space="preserve"> </v>
      </c>
      <c r="KE357" s="537" t="str">
        <f t="shared" si="1214"/>
        <v xml:space="preserve"> </v>
      </c>
      <c r="KF357" s="534">
        <f t="shared" si="1128"/>
        <v>0</v>
      </c>
      <c r="KG357" s="535" t="str">
        <f t="shared" si="1129"/>
        <v xml:space="preserve"> </v>
      </c>
      <c r="KH357" s="535" t="str">
        <f t="shared" si="1130"/>
        <v xml:space="preserve"> </v>
      </c>
      <c r="KI357" s="535" t="str">
        <f t="shared" si="1131"/>
        <v xml:space="preserve"> </v>
      </c>
      <c r="KJ357" s="536" t="str">
        <f t="shared" si="1132"/>
        <v xml:space="preserve"> </v>
      </c>
      <c r="KK357" s="535" t="str">
        <f t="shared" si="1215"/>
        <v xml:space="preserve"> </v>
      </c>
      <c r="KL357" s="535" t="str">
        <f t="shared" si="1216"/>
        <v xml:space="preserve"> </v>
      </c>
      <c r="KM357" s="537" t="str">
        <f t="shared" si="1133"/>
        <v xml:space="preserve"> </v>
      </c>
      <c r="KN357" s="537" t="str">
        <f t="shared" si="1217"/>
        <v xml:space="preserve"> </v>
      </c>
      <c r="KP357">
        <f t="shared" si="1134"/>
        <v>0</v>
      </c>
      <c r="LA357" t="e">
        <f t="shared" si="1135"/>
        <v>#VALUE!</v>
      </c>
      <c r="LB357" t="e">
        <f t="shared" si="1136"/>
        <v>#VALUE!</v>
      </c>
      <c r="LC357" t="e">
        <f t="shared" si="1137"/>
        <v>#VALUE!</v>
      </c>
      <c r="LD357" t="e">
        <f t="shared" si="1138"/>
        <v>#VALUE!</v>
      </c>
      <c r="LE357" t="e">
        <f t="shared" si="1218"/>
        <v>#VALUE!</v>
      </c>
      <c r="LF357">
        <f t="shared" si="1139"/>
        <v>0</v>
      </c>
      <c r="LG357" t="e">
        <f t="shared" si="1219"/>
        <v>#VALUE!</v>
      </c>
      <c r="LH357" t="str">
        <f t="shared" si="1140"/>
        <v xml:space="preserve"> </v>
      </c>
      <c r="LI357">
        <f t="shared" si="1220"/>
        <v>1</v>
      </c>
    </row>
    <row r="358" spans="2:321" ht="15" customHeight="1">
      <c r="B358" s="311"/>
      <c r="C358" s="311"/>
      <c r="D358" s="312"/>
      <c r="E358" s="311"/>
      <c r="F358" s="312"/>
      <c r="G358" s="311"/>
      <c r="H358" s="311"/>
      <c r="I358" s="232"/>
      <c r="J358" s="311"/>
      <c r="K358" s="305" t="str">
        <f t="shared" si="1141"/>
        <v/>
      </c>
      <c r="L358" s="313"/>
      <c r="M358" s="312"/>
      <c r="N358" s="311"/>
      <c r="O358" s="312"/>
      <c r="P358" s="311"/>
      <c r="Q358" s="305" t="str">
        <f t="shared" si="1142"/>
        <v/>
      </c>
      <c r="R358" s="314"/>
      <c r="S358" s="450" t="str">
        <f t="shared" si="1025"/>
        <v/>
      </c>
      <c r="T358" s="315"/>
      <c r="U358" s="315"/>
      <c r="W358" s="149" t="str">
        <f t="shared" si="1026"/>
        <v xml:space="preserve"> </v>
      </c>
      <c r="X358" s="243" t="str">
        <f t="shared" si="1027"/>
        <v xml:space="preserve"> </v>
      </c>
      <c r="Y358" s="150" t="str">
        <f t="shared" si="1028"/>
        <v/>
      </c>
      <c r="Z358" s="149" t="str">
        <f t="shared" si="1029"/>
        <v xml:space="preserve"> </v>
      </c>
      <c r="AA358" s="98" t="str">
        <f t="shared" si="1030"/>
        <v xml:space="preserve"> </v>
      </c>
      <c r="AB358" s="153" t="str">
        <f t="shared" si="1031"/>
        <v xml:space="preserve"> </v>
      </c>
      <c r="AC358" s="153" t="str">
        <f t="shared" si="1032"/>
        <v xml:space="preserve"> </v>
      </c>
      <c r="AD358" s="148" t="str">
        <f t="shared" si="1033"/>
        <v/>
      </c>
      <c r="AE358" s="149" t="str">
        <f t="shared" si="1034"/>
        <v/>
      </c>
      <c r="AF358" s="151" t="str">
        <f t="shared" si="1035"/>
        <v xml:space="preserve"> </v>
      </c>
      <c r="AG358" s="153" t="str">
        <f t="shared" si="1036"/>
        <v xml:space="preserve"> </v>
      </c>
      <c r="AH358" s="98" t="str">
        <f t="shared" si="1037"/>
        <v xml:space="preserve"> </v>
      </c>
      <c r="AI358" s="149" t="str">
        <f t="shared" si="1038"/>
        <v xml:space="preserve"> </v>
      </c>
      <c r="AK358" s="144" t="str">
        <f t="shared" si="1039"/>
        <v xml:space="preserve"> </v>
      </c>
      <c r="AL358" s="144"/>
      <c r="AM358" s="243" t="str">
        <f t="shared" si="1040"/>
        <v xml:space="preserve"> </v>
      </c>
      <c r="AN358" s="149" t="str">
        <f t="shared" si="1143"/>
        <v xml:space="preserve"> </v>
      </c>
      <c r="AO358" s="144" t="str">
        <f>IF(JB358&gt;0,IF(GI358=10,-R358*1.085*(Calculation!$F$6-Calculation!$F$13)*$S$14," "),"")</f>
        <v/>
      </c>
      <c r="AP358" s="144" t="str">
        <f t="shared" si="1041"/>
        <v/>
      </c>
      <c r="AQ358" s="56" t="str">
        <f t="shared" si="1042"/>
        <v/>
      </c>
      <c r="AR358" s="144" t="str">
        <f t="shared" si="1043"/>
        <v/>
      </c>
      <c r="AS358" s="176" t="str">
        <f t="shared" si="1044"/>
        <v/>
      </c>
      <c r="AT358" s="176" t="str">
        <f t="shared" si="1144"/>
        <v xml:space="preserve"> </v>
      </c>
      <c r="AU358" s="176" t="str">
        <f t="shared" si="1045"/>
        <v/>
      </c>
      <c r="AV358" s="177" t="str">
        <f t="shared" si="1046"/>
        <v xml:space="preserve"> </v>
      </c>
      <c r="AW358" s="144" t="str">
        <f t="shared" si="1047"/>
        <v xml:space="preserve"> </v>
      </c>
      <c r="AX358" s="144" t="str">
        <f t="shared" si="1048"/>
        <v xml:space="preserve"> </v>
      </c>
      <c r="AY358" s="152" t="str">
        <f t="shared" si="1049"/>
        <v xml:space="preserve"> </v>
      </c>
      <c r="AZ358" s="246" t="str">
        <f t="shared" si="1050"/>
        <v/>
      </c>
      <c r="BA358" s="176" t="str">
        <f t="shared" si="1051"/>
        <v xml:space="preserve"> </v>
      </c>
      <c r="BB358" s="176" t="str">
        <f t="shared" si="1052"/>
        <v xml:space="preserve"> </v>
      </c>
      <c r="BC358" s="195"/>
      <c r="BD358" s="316"/>
      <c r="BE358" s="317"/>
      <c r="BF358" s="318"/>
      <c r="BG358" s="318"/>
      <c r="BH358" s="144" t="str">
        <f t="shared" si="1221"/>
        <v xml:space="preserve"> </v>
      </c>
      <c r="BI358" s="176" t="str">
        <f t="shared" si="1053"/>
        <v/>
      </c>
      <c r="BJ358" s="144" t="str">
        <f t="shared" si="1222"/>
        <v/>
      </c>
      <c r="BK358" s="246" t="str">
        <f t="shared" si="1054"/>
        <v/>
      </c>
      <c r="BL358" s="144" t="str">
        <f t="shared" si="1223"/>
        <v/>
      </c>
      <c r="BM358" s="246" t="str">
        <f t="shared" si="1055"/>
        <v/>
      </c>
      <c r="BN358" s="337" t="str">
        <f t="shared" si="1145"/>
        <v/>
      </c>
      <c r="BO358" s="371" t="str">
        <f t="shared" si="1146"/>
        <v/>
      </c>
      <c r="BP358" s="328" t="str">
        <f t="shared" si="1224"/>
        <v xml:space="preserve"> </v>
      </c>
      <c r="BQ358" s="347" t="str">
        <f t="shared" si="1147"/>
        <v xml:space="preserve"> </v>
      </c>
      <c r="BR358" s="353" t="str">
        <f t="shared" si="1148"/>
        <v xml:space="preserve"> </v>
      </c>
      <c r="BS358" s="626" t="str">
        <f>IF(L358&gt;0,IF(Calculation!P358="M13",BR358*3.1416*(0.134^2)/(4*144),IF(Calculation!P358="M17",BR358*3.1416*(0.165^2)/(4*144),IF(Calculation!P358="M20",BR358*3.1416*(0.198^2)/(4*144),IF(Calculation!P358="M23",BR358*3.1416*(0.228^2)/(4*144),IF(Calculation!P358="M27",BR358*3.1416*(0.269^2)/(4*144),BR358*3.1416*(0.307^2)/(4*144))))))," ")</f>
        <v xml:space="preserve"> </v>
      </c>
      <c r="BT358" s="353" t="str">
        <f>IF(L358&gt;0,IF(BS358&gt;0,R358/Calculation!BS358,0)," ")</f>
        <v xml:space="preserve"> </v>
      </c>
      <c r="BU358" s="438" t="e">
        <f t="shared" ca="1" si="1056"/>
        <v>#VALUE!</v>
      </c>
      <c r="BV358" s="449" t="e">
        <f ca="1">INDEX(INDIRECT(VLOOKUP(LEFT(BO358,7),CLU!$Z$3:$AH$18,2)),GN358,GR358)</f>
        <v>#N/A</v>
      </c>
      <c r="BW358" s="433" t="e">
        <f ca="1">INDEX(INDIRECT(VLOOKUP(LEFT(BO358,7),CLU!$Z$3:$AH$18,3)),GN358,GR358)</f>
        <v>#N/A</v>
      </c>
      <c r="BX358" s="433" t="e">
        <f ca="1">INDEX(INDIRECT(VLOOKUP(LEFT(BO358,7),CLU!$Z$3:$AH$18,4)),GN358,GR358)</f>
        <v>#N/A</v>
      </c>
      <c r="BY358" s="433" t="e">
        <f ca="1">INDEX(INDIRECT(VLOOKUP(LEFT(BO358,7),CLU!$Z$3:$AH$18,9)),((M358-2)*(6-COUNTBLANK(GT358:GY358)))+GJ358)</f>
        <v>#N/A</v>
      </c>
      <c r="BZ358" s="426" t="e">
        <f t="shared" ca="1" si="1149"/>
        <v>#N/A</v>
      </c>
      <c r="CA358" s="424" t="e">
        <f t="shared" ca="1" si="1150"/>
        <v>#N/A</v>
      </c>
      <c r="CB358" s="429" t="e">
        <f ca="1">INDEX(INDIRECT(VLOOKUP(LEFT(BO358,7),CLU!$Z$3:$AH$18,2)),GN358,GS358)</f>
        <v>#N/A</v>
      </c>
      <c r="CC358" s="342" t="e">
        <f ca="1">INDEX(INDIRECT(VLOOKUP(LEFT(BO358,7),CLU!$Z$3:$AH$18,3)),GN358,GS358)</f>
        <v>#N/A</v>
      </c>
      <c r="CD358" s="342" t="e">
        <f ca="1">INDEX(INDIRECT(VLOOKUP(LEFT(BO358,7),CLU!$Z$3:$AH$18,4)),GN358,GS358)</f>
        <v>#N/A</v>
      </c>
      <c r="CE358" s="426" t="e">
        <f t="shared" ca="1" si="1151"/>
        <v>#N/A</v>
      </c>
      <c r="CF358" s="440">
        <f t="shared" si="1152"/>
        <v>0</v>
      </c>
      <c r="CG358" s="431" t="e">
        <f ca="1">INDEX(INDIRECT(VLOOKUP(LEFT(BO358,7),CLU!$Z$3:$AH$18,2)),GQ358,GR358)</f>
        <v>#N/A</v>
      </c>
      <c r="CH358" s="431" t="e">
        <f ca="1">INDEX(INDIRECT(VLOOKUP(LEFT(BO358,7),CLU!$Z$3:$AH$18,3)),GQ358,GR358)</f>
        <v>#N/A</v>
      </c>
      <c r="CI358" s="431" t="e">
        <f ca="1">INDEX(INDIRECT(VLOOKUP(LEFT(BO358,7),CLU!$Z$3:$AH$18,4)),GQ358,GR358)</f>
        <v>#N/A</v>
      </c>
      <c r="CJ358" s="448" t="e">
        <f t="shared" ca="1" si="1153"/>
        <v>#N/A</v>
      </c>
      <c r="CK358" s="431" t="e">
        <f t="shared" ca="1" si="1154"/>
        <v>#N/A</v>
      </c>
      <c r="CL358" s="440" t="e">
        <f t="shared" ca="1" si="1155"/>
        <v>#N/A</v>
      </c>
      <c r="CM358" s="431" t="e">
        <f ca="1">INDEX(INDIRECT(VLOOKUP(LEFT(BO358,7),CLU!$Z$3:$AH$18,2)),GQ358,GS358)</f>
        <v>#N/A</v>
      </c>
      <c r="CN358" s="431" t="e">
        <f ca="1">INDEX(INDIRECT(VLOOKUP(LEFT(BO358,7),CLU!$Z$3:$AH$18,3)),GQ358,GS358)</f>
        <v>#N/A</v>
      </c>
      <c r="CO358" s="431" t="e">
        <f ca="1">INDEX(INDIRECT(VLOOKUP(LEFT(BO358,7),CLU!$Z$3:$AH$18,4)),GQ358,GS358)</f>
        <v>#N/A</v>
      </c>
      <c r="CP358" s="431" t="e">
        <f t="shared" ca="1" si="1156"/>
        <v>#N/A</v>
      </c>
      <c r="CQ358" s="440">
        <f t="shared" si="1157"/>
        <v>0</v>
      </c>
      <c r="CR358" s="51" t="e">
        <f t="shared" ca="1" si="1158"/>
        <v>#N/A</v>
      </c>
      <c r="CS358" s="439" t="e">
        <f t="shared" ca="1" si="1159"/>
        <v>#VALUE!</v>
      </c>
      <c r="CT358" s="51" t="e">
        <f t="shared" ca="1" si="1160"/>
        <v>#VALUE!</v>
      </c>
      <c r="CU358" s="10"/>
      <c r="CV358" s="51" t="e">
        <f t="shared" ca="1" si="1057"/>
        <v>#VALUE!</v>
      </c>
      <c r="CW358" s="51">
        <f t="shared" si="1161"/>
        <v>0</v>
      </c>
      <c r="CX358" s="439" t="e">
        <f t="shared" ca="1" si="1162"/>
        <v>#VALUE!</v>
      </c>
      <c r="CY358" s="51" t="e">
        <f t="shared" ca="1" si="1163"/>
        <v>#VALUE!</v>
      </c>
      <c r="CZ358" s="10"/>
      <c r="DA358" s="51" t="e">
        <f t="shared" ca="1" si="1164"/>
        <v>#VALUE!</v>
      </c>
      <c r="DB358" s="347" t="e">
        <f ca="1">INDEX(INDIRECT(VLOOKUP(LEFT(BO358,7),CLU!$Z$3:$AI$18,10)),((M358-2)*(6-COUNTBLANK(GT358:GY358)))+GJ358)*LI358</f>
        <v>#N/A</v>
      </c>
      <c r="DC358" s="347" t="str">
        <f>IF(L358&gt;0,((R358/Worksheet!$I$15)/DB358)^2," ")</f>
        <v xml:space="preserve"> </v>
      </c>
      <c r="DD358" s="602" t="str">
        <f t="shared" si="1165"/>
        <v xml:space="preserve"> </v>
      </c>
      <c r="DE358" s="347" t="str">
        <f t="shared" si="1058"/>
        <v xml:space="preserve"> </v>
      </c>
      <c r="DF358" s="356" t="e">
        <f ca="1">INDEX(INDIRECT(VLOOKUP(LEFT(BO358,7),CLU!$Z$3:$AH$18,8)),((M358-2)*(6-COUNTBLANK(GT358:GY358)))+GJ358)</f>
        <v>#N/A</v>
      </c>
      <c r="DG358" s="347" t="str">
        <f t="shared" si="1059"/>
        <v xml:space="preserve"> </v>
      </c>
      <c r="DH358" s="357" t="str">
        <f t="shared" si="1060"/>
        <v xml:space="preserve"> </v>
      </c>
      <c r="DI358" s="355" t="str">
        <f t="shared" si="1061"/>
        <v xml:space="preserve"> </v>
      </c>
      <c r="DJ358" s="245" t="e">
        <f ca="1">INDEX(INDIRECT(VLOOKUP(LEFT(BO358,7),CLU!$Z$3:$AH$18,5)),GL358,GK358)</f>
        <v>#N/A</v>
      </c>
      <c r="DK358" s="245" t="e">
        <f ca="1">INDEX(INDIRECT(VLOOKUP(LEFT(BO358,7),CLU!$Z$3:$AH$18,6)),GL358,GK358)</f>
        <v>#N/A</v>
      </c>
      <c r="DL358" s="355">
        <f>(Calculation!R358*0.69143*(Calculation!$BQ$8-Calculation!$F$8))*$S$14</f>
        <v>0</v>
      </c>
      <c r="DM358" s="359" t="e">
        <f t="shared" si="1166"/>
        <v>#VALUE!</v>
      </c>
      <c r="DN358" s="611">
        <f t="shared" si="1167"/>
        <v>0</v>
      </c>
      <c r="DO358" s="359">
        <f t="shared" si="1168"/>
        <v>100</v>
      </c>
      <c r="DP358" s="359">
        <f t="shared" si="1169"/>
        <v>0</v>
      </c>
      <c r="DQ358" s="360"/>
      <c r="DR358" s="245" t="e">
        <f ca="1">INDEX(INDIRECT(VLOOKUP(LEFT(BO358,7),CLU!$Z$3:$AH$18,7)),M358-1,1)</f>
        <v>#N/A</v>
      </c>
      <c r="DS358" s="245" t="e">
        <f ca="1">INDEX(INDIRECT(VLOOKUP(LEFT(BO358,7),CLU!$Z$3:$AH$18,7)),M358-1,2)</f>
        <v>#N/A</v>
      </c>
      <c r="DT358" s="245" t="e">
        <f ca="1">INDEX(INDIRECT(VLOOKUP(LEFT(BO358,7),CLU!$Z$3:$AH$18,7)),M358-1,3)</f>
        <v>#N/A</v>
      </c>
      <c r="DU358" s="245" t="e">
        <f ca="1">INDEX(INDIRECT(VLOOKUP(LEFT(BO358,7),CLU!$Z$3:$AH$18,7)),M358-1,4)</f>
        <v>#N/A</v>
      </c>
      <c r="DV358" s="361" t="e">
        <f ca="1">INDEX(INDIRECT(VLOOKUP(LEFT(BO358,7),CLU!$Z$3:$AH$18,7)),M358-1,4+LEFT(DZ358,1)*0.5)</f>
        <v>#N/A</v>
      </c>
      <c r="DW358" s="245" t="e">
        <f ca="1">INDEX(INDIRECT(VLOOKUP(LEFT(BO358,7),CLU!$Z$3:$AH$18,7)),M358-1,8)</f>
        <v>#N/A</v>
      </c>
      <c r="DX358" s="361" t="str">
        <f t="shared" si="1062"/>
        <v xml:space="preserve"> </v>
      </c>
      <c r="DY358" s="361" t="str">
        <f t="shared" si="1063"/>
        <v xml:space="preserve"> </v>
      </c>
      <c r="DZ358" s="361" t="str">
        <f t="shared" si="1064"/>
        <v xml:space="preserve"> </v>
      </c>
      <c r="EA358" s="362" t="str">
        <f t="shared" si="1065"/>
        <v xml:space="preserve"> </v>
      </c>
      <c r="EB358" s="624" t="str">
        <f t="shared" si="1170"/>
        <v xml:space="preserve"> </v>
      </c>
      <c r="EC358" s="361" t="e">
        <f ca="1">INDEX(INDIRECT(VLOOKUP(LEFT(BO358,7),CLU!$Z$3:$AH$18,7)),M358-1,4+LEFT(DZ358,1)*0.5)</f>
        <v>#N/A</v>
      </c>
      <c r="ED358" s="362" t="str">
        <f t="shared" si="1066"/>
        <v xml:space="preserve"> </v>
      </c>
      <c r="EE358" s="361" t="str">
        <f t="shared" si="1067"/>
        <v xml:space="preserve"> </v>
      </c>
      <c r="EF358" s="362" t="str">
        <f>IF(L358&gt;0,IF(BR358&gt;0,IF(EE358="2P",IF(Calculation!DZ358="2P",IF(Calculation!DS358=13.75,IF(Calculation!DR358=13,Worksheet!$BD$43,IF(Calculation!DR358=37,Worksheet!$BD$44,Worksheet!$BD$45)),IF(Calculation!DS358=10,IF(Calculation!DR358=18,Worksheet!$BD$29,IF(Calculation!DR358=30,Worksheet!$BD$30,IF(Calculation!DR358=42,Worksheet!$BD$31,IF(Calculation!DR358=54,Worksheet!$BD$32,IF(Calculation!DR358=66,Worksheet!$BD$33,IF(Calculation!DR358=78,Worksheet!$BD$34,IF(Calculation!DR358=90,Worksheet!$BD$35,IF(Calculation!DR358=102,Worksheet!$BD$36,Worksheet!$BD$37)))))))),IF(Calculation!DS358=12.5,IF(Calculation!DR358=18,Worksheet!$BD$38,IF(Calculation!DR358=Worksheet!$BD$39,IF(Calculation!DR358=42,Worksheet!$BD$40,IF(Calculation!DR358=54,Worksheet!$BD$41,Worksheet!$BD$42)))),IF(Calculation!DR358=18,Worksheet!$BD$11,IF(Calculation!DR358=30,Worksheet!$BD$12,IF(Calculation!DR358=42,Worksheet!$BD$13,IF(Calculation!DR358=54,Worksheet!$BD$14,IF(Calculation!DR358=66,Worksheet!$BD$15,IF(Calculation!DR358=78,Worksheet!$BD$16,IF(Calculation!DR358=90,Worksheet!$BD$17,IF(Calculation!DR358=102,Worksheet!$BD$18,Worksheet!$BD$19))))))))))),IF(Calculation!DS358=13.75,IF(Calculation!DR358=13,Worksheet!$BD$78,IF(Calculation!DR358=37,Worksheet!$BD$79,Worksheet!$BD$80)),IF(Calculation!DS358=10,IF(Calculation!DR358=18,Worksheet!$BD$64,IF(Calculation!DR358=30,Worksheet!$BD$65,IF(Calculation!DR358=42,Worksheet!$BD$66,IF(Calculation!DR358=54,Worksheet!$BD$68,IF(Calculation!DR358=66,Worksheet!$BD$68,IF(Calculation!DR358=78,Worksheet!$BD$69,IF(Calculation!DR358=90,Worksheet!$BD$70,IF(Calculation!DR358=102,Worksheet!$BD$71,Worksheet!$BD$72)))))))),IF(Calculation!DS358=12.5,IF(Calculation!DR358=18,Worksheet!$BD$73,IF(Calculation!DR358=Worksheet!$BD$74,IF(Calculation!DR358=42,Worksheet!$BD$75,IF(Calculation!DR358=54,Worksheet!$BD$76,Worksheet!$BD$77)))),IF(Calculation!DR358=18,Worksheet!$BD$55,IF(Calculation!DR358=30,Worksheet!$BD$56,IF(Calculation!DR358=42,Worksheet!$BD$57,IF(Calculation!DR358=54,Worksheet!$BD$58,IF(Calculation!DR358=66,Worksheet!$BD$59,IF(Calculation!DR358=78,Worksheet!$BD$60,IF(Calculation!DR358=90,Worksheet!$BD$61,IF(Calculation!DR358=102,Worksheet!$BD$62,Worksheet!$BD$63)))))))))))),5),0)," ")</f>
        <v xml:space="preserve"> </v>
      </c>
      <c r="EG358" s="361" t="str">
        <f t="shared" si="1068"/>
        <v xml:space="preserve"> </v>
      </c>
      <c r="EH358" s="361" t="e">
        <f ca="1">INDEX(INDIRECT(VLOOKUP(LEFT(BO358,7),CLU!$Z$3:$AH$18,7)),M358-1,3+LEFT(DZ358,1))</f>
        <v>#N/A</v>
      </c>
      <c r="EI358" s="362" t="str">
        <f t="shared" si="1069"/>
        <v xml:space="preserve"> </v>
      </c>
      <c r="EJ358" s="363" t="str">
        <f t="shared" si="1070"/>
        <v xml:space="preserve"> </v>
      </c>
      <c r="EK358" s="363" t="str">
        <f t="shared" si="1071"/>
        <v xml:space="preserve"> </v>
      </c>
      <c r="EL358" s="363" t="str">
        <f t="shared" si="1072"/>
        <v xml:space="preserve"> </v>
      </c>
      <c r="EM358" s="362" t="str">
        <f>IF(L358&gt;0,IF(BR358&gt;0,(Calculation!T358/ED358)^2,0)," ")</f>
        <v xml:space="preserve"> </v>
      </c>
      <c r="EN358" s="362" t="str">
        <f>IF(L358&gt;0,IF(O358="2 Pipe (Cooling)","N/A",IF(BR358&gt;0,(Calculation!U358/EI358)^2,0))," ")</f>
        <v xml:space="preserve"> </v>
      </c>
      <c r="EO358" s="361" t="str">
        <f t="shared" si="1073"/>
        <v/>
      </c>
      <c r="EP358" s="361" t="str">
        <f t="shared" si="1074"/>
        <v/>
      </c>
      <c r="EQ358" s="361" t="str">
        <f t="shared" si="1075"/>
        <v/>
      </c>
      <c r="ER358" s="361" t="str">
        <f t="shared" si="1076"/>
        <v/>
      </c>
      <c r="ES358" s="361" t="str">
        <f t="shared" si="1077"/>
        <v/>
      </c>
      <c r="ET358" s="361" t="str">
        <f t="shared" si="1078"/>
        <v/>
      </c>
      <c r="EU358" s="361" t="str">
        <f t="shared" si="1079"/>
        <v/>
      </c>
      <c r="EV358" s="361" t="str">
        <f t="shared" si="1080"/>
        <v/>
      </c>
      <c r="EW358" s="361" t="str">
        <f t="shared" si="1081"/>
        <v/>
      </c>
      <c r="EX358" s="361" t="str">
        <f t="shared" si="1171"/>
        <v>1 slot, 1 way</v>
      </c>
      <c r="EY358" s="361" t="str">
        <f t="shared" si="1172"/>
        <v xml:space="preserve"> </v>
      </c>
      <c r="EZ358" s="361" t="str">
        <f t="shared" si="1173"/>
        <v xml:space="preserve"> </v>
      </c>
      <c r="FA358" s="361" t="str">
        <f t="shared" si="1174"/>
        <v xml:space="preserve"> </v>
      </c>
      <c r="FB358" s="361" t="str">
        <f t="shared" si="1175"/>
        <v xml:space="preserve"> </v>
      </c>
      <c r="FC358" s="361"/>
      <c r="FD358" s="361" t="str">
        <f>IF(J358&gt;0,IF(Calculation!R358&lt;=70,4,IF(Calculation!R358&lt;=110,5,IF(Calculation!R358&lt;=160,6,IF(Calculation!R358&lt;=300,8,"10 EO")))),"")</f>
        <v/>
      </c>
      <c r="FE358" s="361" t="str">
        <f t="shared" si="1176"/>
        <v/>
      </c>
      <c r="FF358" s="361" t="str">
        <f t="shared" si="1177"/>
        <v/>
      </c>
      <c r="FG358" s="361" t="e">
        <f t="shared" si="1082"/>
        <v>#N/A</v>
      </c>
      <c r="FH358" s="361">
        <f t="shared" si="1083"/>
        <v>0</v>
      </c>
      <c r="FI358" s="361" t="e">
        <f t="shared" si="1084"/>
        <v>#DIV/0!</v>
      </c>
      <c r="FJ358" s="361"/>
      <c r="FK358" s="356" t="e">
        <f t="shared" si="1085"/>
        <v>#VALUE!</v>
      </c>
      <c r="FL358" s="361"/>
      <c r="FM358" s="361"/>
      <c r="FN358" s="362" t="str">
        <f t="shared" si="1178"/>
        <v xml:space="preserve"> </v>
      </c>
      <c r="FO358" s="362" t="str">
        <f t="shared" si="1179"/>
        <v xml:space="preserve"> </v>
      </c>
      <c r="FP358" s="362">
        <f t="shared" si="1180"/>
        <v>0</v>
      </c>
      <c r="FQ358" s="361">
        <f t="shared" si="1086"/>
        <v>0</v>
      </c>
      <c r="FR358" s="362" t="str">
        <f>IF(L358&gt;0,IF(J358="CBAL2",Worksheet!$P$67,IF(J358="CBE2-24",Worksheet!$Q$67,IF(J358="CBAM",Worksheet!$R$67,IF(J358="CBLV",Worksheet!$S$67,IF(J358="CBAB",Worksheet!$U$67,IF(J358="CBAW",Worksheet!$X$67,IF(J358="CBE2-12",Worksheet!$Y$67,IF(J358="CBAL2",Worksheet!$Z$67,"N/A"))))))))," ")</f>
        <v xml:space="preserve"> </v>
      </c>
      <c r="FS358" s="362" t="str">
        <f>IF(L358&gt;0,IF(J358="CBAL2",Worksheet!$P$68,IF(J358="CBE2-24",Worksheet!$Q$68,IF(J358="CBAM",Worksheet!$R$68,IF(J358="CBLV",Worksheet!$S$68,IF(J358="CBAB",Worksheet!$U$68,IF(J358="CBAW",Worksheet!$X$68,IF(J358="CBE2-12",Worksheet!$Y$68,IF(J358="CBAL2",Worksheet!$Z$68,"N/A"))))))))," ")</f>
        <v xml:space="preserve"> </v>
      </c>
      <c r="FT358" s="362" t="str">
        <f>IF(L358&gt;0,IF(J358="CBAL2",Worksheet!$P$69,IF(J358="CBE2-24",Worksheet!$Q$69,IF(J358="CBAM",Worksheet!$R$69,IF(J358="CBLV",Worksheet!$S$69,IF(J358="CBAB",Worksheet!$U$69,IF(J358="CBAW",Worksheet!$X$69,IF(J358="CBE2-12",Worksheet!$Y$69,IF(J358="CBAL2",Worksheet!$Z$69,"N/A"))))))))," ")</f>
        <v xml:space="preserve"> </v>
      </c>
      <c r="FU358" s="361" t="str">
        <f t="shared" si="1181"/>
        <v xml:space="preserve"> </v>
      </c>
      <c r="FV358" s="362" t="str">
        <f t="shared" si="1182"/>
        <v xml:space="preserve"> </v>
      </c>
      <c r="FW358" s="362" t="str">
        <f t="shared" si="1183"/>
        <v xml:space="preserve"> </v>
      </c>
      <c r="FX358" s="362" t="str">
        <f t="shared" si="1184"/>
        <v xml:space="preserve"> </v>
      </c>
      <c r="FY358" s="355" t="str">
        <f t="shared" si="1185"/>
        <v xml:space="preserve"> </v>
      </c>
      <c r="FZ358" s="361" t="str">
        <f t="shared" si="1186"/>
        <v xml:space="preserve"> </v>
      </c>
      <c r="GA358" s="347" t="str">
        <f t="shared" si="1187"/>
        <v xml:space="preserve"> </v>
      </c>
      <c r="GB358" s="355" t="str">
        <f t="shared" si="1188"/>
        <v xml:space="preserve"> </v>
      </c>
      <c r="GC358" s="328" t="str">
        <f t="shared" si="1189"/>
        <v xml:space="preserve"> </v>
      </c>
      <c r="GD358" s="361" t="str">
        <f t="shared" si="1190"/>
        <v xml:space="preserve"> </v>
      </c>
      <c r="GE358" s="347" t="str">
        <f t="shared" si="1191"/>
        <v xml:space="preserve"> </v>
      </c>
      <c r="GF358" s="361" t="str">
        <f t="shared" si="1192"/>
        <v xml:space="preserve"> </v>
      </c>
      <c r="GG358" s="347" t="str">
        <f t="shared" si="1193"/>
        <v xml:space="preserve"> </v>
      </c>
      <c r="GH358" s="364">
        <f t="shared" si="1087"/>
        <v>0</v>
      </c>
      <c r="GI358" s="362">
        <f t="shared" si="1194"/>
        <v>2</v>
      </c>
      <c r="GJ358" s="433" t="e">
        <f>IF(6-COUNTBLANK(GT358:GY358)=4,MATCH(MID(BO358,9,3),CLU!$H$16:$K$16),MATCH(MID(BO358,9,3),CLU!$H$13:$M$13))</f>
        <v>#N/A</v>
      </c>
      <c r="GK358" s="433" t="e">
        <f>HLOOKUP(VALUE(BP358),CLU!$H$9:$M$10,2)</f>
        <v>#VALUE!</v>
      </c>
      <c r="GL358" s="433" t="e">
        <f ca="1">MATCH(BU358,CLU!$H$2:$V$2,1)</f>
        <v>#VALUE!</v>
      </c>
      <c r="GM358" s="433" t="e">
        <f t="shared" ca="1" si="1195"/>
        <v>#VALUE!</v>
      </c>
      <c r="GN358" s="433" t="e">
        <f t="shared" ca="1" si="1196"/>
        <v>#VALUE!</v>
      </c>
      <c r="GO358" s="433" t="e">
        <f t="shared" ca="1" si="1197"/>
        <v>#VALUE!</v>
      </c>
      <c r="GP358" s="433" t="e">
        <f t="shared" ca="1" si="1198"/>
        <v>#VALUE!</v>
      </c>
      <c r="GQ358" s="433" t="e">
        <f t="shared" ca="1" si="1199"/>
        <v>#VALUE!</v>
      </c>
      <c r="GR358" s="433" t="e">
        <f ca="1">MATCH(T358,INDIRECT(VLOOKUP(CONCATENATE(LEFT(BO358,7),"-",MID(BO358,13,1)),CLU!$P$3:$Q$16,2)),1)</f>
        <v>#N/A</v>
      </c>
      <c r="GS358" s="433" t="e">
        <f ca="1">MATCH(U358,INDIRECT(VLOOKUP(CONCATENATE(LEFT(BO358,7),"-",MID(BO358,13,1)),CLU!$P$3:$Q$16,2)),1)</f>
        <v>#N/A</v>
      </c>
      <c r="GT358" s="347" t="s">
        <v>512</v>
      </c>
      <c r="GU358" s="97" t="s">
        <v>513</v>
      </c>
      <c r="GV358" s="97" t="str">
        <f t="shared" si="1200"/>
        <v>M23</v>
      </c>
      <c r="GW358" s="97" t="str">
        <f t="shared" si="1201"/>
        <v>M31</v>
      </c>
      <c r="GX358" s="97" t="str">
        <f t="shared" si="1202"/>
        <v/>
      </c>
      <c r="GY358" s="97" t="str">
        <f t="shared" si="1203"/>
        <v/>
      </c>
      <c r="GZ358" s="481"/>
      <c r="HA358" s="240"/>
      <c r="HB358" s="240"/>
      <c r="HC358" s="240"/>
      <c r="HD358" s="240"/>
      <c r="HE358" s="240"/>
      <c r="HF358" s="240"/>
      <c r="HG358" s="240"/>
      <c r="HH358" s="240"/>
      <c r="HI358" s="240"/>
      <c r="HJ358" s="240"/>
      <c r="HK358" s="240"/>
      <c r="HL358" s="240"/>
      <c r="HM358" s="240"/>
      <c r="HN358" s="240"/>
      <c r="HO358" s="240"/>
      <c r="HP358" s="240"/>
      <c r="HQ358" s="240"/>
      <c r="HR358" s="240"/>
      <c r="HS358" s="240"/>
      <c r="HT358" s="240"/>
      <c r="HU358" s="240"/>
      <c r="HV358" s="245"/>
      <c r="HW358" s="245" t="b">
        <v>1</v>
      </c>
      <c r="HX358" s="245" t="str">
        <f t="shared" si="1088"/>
        <v/>
      </c>
      <c r="HY358" s="245" t="e">
        <f t="shared" si="1089"/>
        <v>#DIV/0!</v>
      </c>
      <c r="HZ358" s="245" t="e">
        <f t="shared" si="1090"/>
        <v>#DIV/0!</v>
      </c>
      <c r="IA358" s="245">
        <f t="shared" si="1091"/>
        <v>0</v>
      </c>
      <c r="IB358" s="245"/>
      <c r="IC358" t="b">
        <f t="shared" si="1092"/>
        <v>1</v>
      </c>
      <c r="ID358" s="245" t="b">
        <f t="shared" si="1093"/>
        <v>1</v>
      </c>
      <c r="IE358" s="245" t="b">
        <f t="shared" si="1094"/>
        <v>1</v>
      </c>
      <c r="IF358" s="245" t="b">
        <f t="shared" si="1095"/>
        <v>0</v>
      </c>
      <c r="IG358" s="245" t="b">
        <f t="shared" si="1096"/>
        <v>1</v>
      </c>
      <c r="IH358" s="245" t="b">
        <f t="shared" si="1097"/>
        <v>1</v>
      </c>
      <c r="II358" s="245">
        <f t="shared" si="1204"/>
        <v>0</v>
      </c>
      <c r="IJ358" s="245" t="e">
        <f t="shared" si="1098"/>
        <v>#VALUE!</v>
      </c>
      <c r="IK358" s="245" t="e">
        <f t="shared" si="1099"/>
        <v>#VALUE!</v>
      </c>
      <c r="IL358" s="245"/>
      <c r="IM358" s="245" t="e">
        <f t="shared" si="1205"/>
        <v>#N/A</v>
      </c>
      <c r="IN358" s="245" t="e">
        <f t="shared" si="1206"/>
        <v>#N/A</v>
      </c>
      <c r="IO358" s="245"/>
      <c r="IP358" s="245"/>
      <c r="IQ358" s="245" t="str">
        <f t="shared" si="1100"/>
        <v/>
      </c>
      <c r="IR358" s="245" t="str">
        <f>IF(J358="","",VLOOKUP(J358,Worksheet!$R$4:$T$14,2))</f>
        <v/>
      </c>
      <c r="IS358" s="245"/>
      <c r="IT358" s="245">
        <f t="shared" si="1101"/>
        <v>0</v>
      </c>
      <c r="IU358" s="245">
        <f t="shared" si="1102"/>
        <v>0</v>
      </c>
      <c r="IV358" s="245">
        <f t="shared" si="1103"/>
        <v>0</v>
      </c>
      <c r="IW358" s="245">
        <f t="shared" si="1104"/>
        <v>0</v>
      </c>
      <c r="IX358" s="245">
        <f t="shared" si="1207"/>
        <v>0</v>
      </c>
      <c r="IY358" s="245">
        <f t="shared" si="1105"/>
        <v>0</v>
      </c>
      <c r="IZ358" s="245">
        <f t="shared" si="1106"/>
        <v>0</v>
      </c>
      <c r="JA358">
        <f t="shared" si="1107"/>
        <v>0</v>
      </c>
      <c r="JB358">
        <f t="shared" si="1208"/>
        <v>0</v>
      </c>
      <c r="JC358">
        <f t="shared" si="1108"/>
        <v>0</v>
      </c>
      <c r="JD358">
        <f t="shared" si="1109"/>
        <v>0</v>
      </c>
      <c r="JE358">
        <f t="shared" si="1110"/>
        <v>0</v>
      </c>
      <c r="JF358">
        <f t="shared" si="1111"/>
        <v>0</v>
      </c>
      <c r="JG358">
        <f t="shared" si="1112"/>
        <v>0</v>
      </c>
      <c r="JH358">
        <f t="shared" si="1113"/>
        <v>0</v>
      </c>
      <c r="JI358">
        <f t="shared" si="1114"/>
        <v>0</v>
      </c>
      <c r="JJ358" s="447">
        <f t="shared" si="1115"/>
        <v>0</v>
      </c>
      <c r="JK358" s="447">
        <f t="shared" si="1116"/>
        <v>0</v>
      </c>
      <c r="JL358">
        <f t="shared" si="1117"/>
        <v>0</v>
      </c>
      <c r="JM358" s="245" t="str">
        <f>IFERROR(VLOOKUP(MATCH(BN358,#REF!,0),#REF!,7),"")</f>
        <v/>
      </c>
      <c r="JN358" t="e">
        <f>HLOOKUP(LEFT(BO358,7),Discharge_Area,MATCH(JO358,LookUps!$B$130:$B$149,1)+2)</f>
        <v>#N/A</v>
      </c>
      <c r="JO358" t="str">
        <f t="shared" si="1118"/>
        <v>- S</v>
      </c>
      <c r="JP358" t="e">
        <f>HLOOKUP(LEFT(BO358,7),Discharge_Area,MATCH(JO358,LookUps!$B$130:$B$149,1)+2)</f>
        <v>#N/A</v>
      </c>
      <c r="JQ358" t="e">
        <f t="shared" si="1119"/>
        <v>#N/A</v>
      </c>
      <c r="JR358" t="e">
        <f t="shared" si="1120"/>
        <v>#N/A</v>
      </c>
      <c r="JS358" t="e">
        <f t="shared" si="1121"/>
        <v>#N/A</v>
      </c>
      <c r="JT358" s="532" t="str">
        <f t="shared" si="1122"/>
        <v xml:space="preserve"> </v>
      </c>
      <c r="JU358" s="532" t="str">
        <f t="shared" si="1123"/>
        <v xml:space="preserve"> </v>
      </c>
      <c r="JV358" s="533" t="str">
        <f t="shared" si="1124"/>
        <v xml:space="preserve"> </v>
      </c>
      <c r="JW358" s="534">
        <f t="shared" si="1125"/>
        <v>0</v>
      </c>
      <c r="JX358" s="535" t="str">
        <f t="shared" si="1209"/>
        <v xml:space="preserve"> </v>
      </c>
      <c r="JY358" s="535" t="str">
        <f t="shared" si="1210"/>
        <v xml:space="preserve"> </v>
      </c>
      <c r="JZ358" s="535" t="str">
        <f t="shared" si="1211"/>
        <v xml:space="preserve"> </v>
      </c>
      <c r="KA358" s="536" t="str">
        <f t="shared" si="1126"/>
        <v xml:space="preserve"> </v>
      </c>
      <c r="KB358" s="535" t="e">
        <f t="shared" si="1212"/>
        <v>#VALUE!</v>
      </c>
      <c r="KC358" s="535" t="str">
        <f t="shared" si="1127"/>
        <v/>
      </c>
      <c r="KD358" s="537" t="str">
        <f t="shared" si="1213"/>
        <v xml:space="preserve"> </v>
      </c>
      <c r="KE358" s="537" t="str">
        <f t="shared" si="1214"/>
        <v xml:space="preserve"> </v>
      </c>
      <c r="KF358" s="534">
        <f t="shared" si="1128"/>
        <v>0</v>
      </c>
      <c r="KG358" s="535" t="str">
        <f t="shared" si="1129"/>
        <v xml:space="preserve"> </v>
      </c>
      <c r="KH358" s="535" t="str">
        <f t="shared" si="1130"/>
        <v xml:space="preserve"> </v>
      </c>
      <c r="KI358" s="535" t="str">
        <f t="shared" si="1131"/>
        <v xml:space="preserve"> </v>
      </c>
      <c r="KJ358" s="536" t="str">
        <f t="shared" si="1132"/>
        <v xml:space="preserve"> </v>
      </c>
      <c r="KK358" s="535" t="str">
        <f t="shared" si="1215"/>
        <v xml:space="preserve"> </v>
      </c>
      <c r="KL358" s="535" t="str">
        <f t="shared" si="1216"/>
        <v xml:space="preserve"> </v>
      </c>
      <c r="KM358" s="537" t="str">
        <f t="shared" si="1133"/>
        <v xml:space="preserve"> </v>
      </c>
      <c r="KN358" s="537" t="str">
        <f t="shared" si="1217"/>
        <v xml:space="preserve"> </v>
      </c>
      <c r="KP358">
        <f t="shared" si="1134"/>
        <v>0</v>
      </c>
      <c r="LA358" t="e">
        <f t="shared" si="1135"/>
        <v>#VALUE!</v>
      </c>
      <c r="LB358" t="e">
        <f t="shared" si="1136"/>
        <v>#VALUE!</v>
      </c>
      <c r="LC358" t="e">
        <f t="shared" si="1137"/>
        <v>#VALUE!</v>
      </c>
      <c r="LD358" t="e">
        <f t="shared" si="1138"/>
        <v>#VALUE!</v>
      </c>
      <c r="LE358" t="e">
        <f t="shared" si="1218"/>
        <v>#VALUE!</v>
      </c>
      <c r="LF358">
        <f t="shared" si="1139"/>
        <v>0</v>
      </c>
      <c r="LG358" t="e">
        <f t="shared" si="1219"/>
        <v>#VALUE!</v>
      </c>
      <c r="LH358" t="str">
        <f t="shared" si="1140"/>
        <v xml:space="preserve"> </v>
      </c>
      <c r="LI358">
        <f t="shared" si="1220"/>
        <v>1</v>
      </c>
    </row>
    <row r="359" spans="2:321" ht="15" customHeight="1">
      <c r="B359" s="311"/>
      <c r="C359" s="311"/>
      <c r="D359" s="312"/>
      <c r="E359" s="311"/>
      <c r="F359" s="312"/>
      <c r="G359" s="311"/>
      <c r="H359" s="311"/>
      <c r="I359" s="232"/>
      <c r="J359" s="311"/>
      <c r="K359" s="305" t="str">
        <f t="shared" si="1141"/>
        <v/>
      </c>
      <c r="L359" s="313"/>
      <c r="M359" s="312"/>
      <c r="N359" s="311"/>
      <c r="O359" s="312"/>
      <c r="P359" s="311"/>
      <c r="Q359" s="305" t="str">
        <f t="shared" si="1142"/>
        <v/>
      </c>
      <c r="R359" s="314"/>
      <c r="S359" s="450" t="str">
        <f t="shared" si="1025"/>
        <v/>
      </c>
      <c r="T359" s="315"/>
      <c r="U359" s="315"/>
      <c r="W359" s="149" t="str">
        <f t="shared" si="1026"/>
        <v xml:space="preserve"> </v>
      </c>
      <c r="X359" s="243" t="str">
        <f t="shared" si="1027"/>
        <v xml:space="preserve"> </v>
      </c>
      <c r="Y359" s="150" t="str">
        <f t="shared" si="1028"/>
        <v/>
      </c>
      <c r="Z359" s="149" t="str">
        <f t="shared" si="1029"/>
        <v xml:space="preserve"> </v>
      </c>
      <c r="AA359" s="98" t="str">
        <f t="shared" si="1030"/>
        <v xml:space="preserve"> </v>
      </c>
      <c r="AB359" s="153" t="str">
        <f t="shared" si="1031"/>
        <v xml:space="preserve"> </v>
      </c>
      <c r="AC359" s="153" t="str">
        <f t="shared" si="1032"/>
        <v xml:space="preserve"> </v>
      </c>
      <c r="AD359" s="148" t="str">
        <f t="shared" si="1033"/>
        <v/>
      </c>
      <c r="AE359" s="149" t="str">
        <f t="shared" si="1034"/>
        <v/>
      </c>
      <c r="AF359" s="151" t="str">
        <f t="shared" si="1035"/>
        <v xml:space="preserve"> </v>
      </c>
      <c r="AG359" s="153" t="str">
        <f t="shared" si="1036"/>
        <v xml:space="preserve"> </v>
      </c>
      <c r="AH359" s="98" t="str">
        <f t="shared" si="1037"/>
        <v xml:space="preserve"> </v>
      </c>
      <c r="AI359" s="149" t="str">
        <f t="shared" si="1038"/>
        <v xml:space="preserve"> </v>
      </c>
      <c r="AK359" s="144" t="str">
        <f t="shared" si="1039"/>
        <v xml:space="preserve"> </v>
      </c>
      <c r="AL359" s="144"/>
      <c r="AM359" s="243" t="str">
        <f t="shared" si="1040"/>
        <v xml:space="preserve"> </v>
      </c>
      <c r="AN359" s="149" t="str">
        <f t="shared" si="1143"/>
        <v xml:space="preserve"> </v>
      </c>
      <c r="AO359" s="144" t="str">
        <f>IF(JB359&gt;0,IF(GI359=10,-R359*1.085*(Calculation!$F$6-Calculation!$F$13)*$S$14," "),"")</f>
        <v/>
      </c>
      <c r="AP359" s="144" t="str">
        <f t="shared" si="1041"/>
        <v/>
      </c>
      <c r="AQ359" s="56" t="str">
        <f t="shared" si="1042"/>
        <v/>
      </c>
      <c r="AR359" s="144" t="str">
        <f t="shared" si="1043"/>
        <v/>
      </c>
      <c r="AS359" s="176" t="str">
        <f t="shared" si="1044"/>
        <v/>
      </c>
      <c r="AT359" s="176" t="str">
        <f t="shared" si="1144"/>
        <v xml:space="preserve"> </v>
      </c>
      <c r="AU359" s="176" t="str">
        <f t="shared" si="1045"/>
        <v/>
      </c>
      <c r="AV359" s="177" t="str">
        <f t="shared" si="1046"/>
        <v xml:space="preserve"> </v>
      </c>
      <c r="AW359" s="144" t="str">
        <f t="shared" si="1047"/>
        <v xml:space="preserve"> </v>
      </c>
      <c r="AX359" s="144" t="str">
        <f t="shared" si="1048"/>
        <v xml:space="preserve"> </v>
      </c>
      <c r="AY359" s="152" t="str">
        <f t="shared" si="1049"/>
        <v xml:space="preserve"> </v>
      </c>
      <c r="AZ359" s="246" t="str">
        <f t="shared" si="1050"/>
        <v/>
      </c>
      <c r="BA359" s="176" t="str">
        <f t="shared" si="1051"/>
        <v xml:space="preserve"> </v>
      </c>
      <c r="BB359" s="176" t="str">
        <f t="shared" si="1052"/>
        <v xml:space="preserve"> </v>
      </c>
      <c r="BC359" s="195"/>
      <c r="BD359" s="316"/>
      <c r="BE359" s="317"/>
      <c r="BF359" s="318"/>
      <c r="BG359" s="318"/>
      <c r="BH359" s="144" t="str">
        <f t="shared" si="1221"/>
        <v xml:space="preserve"> </v>
      </c>
      <c r="BI359" s="176" t="str">
        <f t="shared" si="1053"/>
        <v/>
      </c>
      <c r="BJ359" s="144" t="str">
        <f t="shared" si="1222"/>
        <v/>
      </c>
      <c r="BK359" s="246" t="str">
        <f t="shared" si="1054"/>
        <v/>
      </c>
      <c r="BL359" s="144" t="str">
        <f t="shared" si="1223"/>
        <v/>
      </c>
      <c r="BM359" s="246" t="str">
        <f t="shared" si="1055"/>
        <v/>
      </c>
      <c r="BN359" s="337" t="str">
        <f t="shared" si="1145"/>
        <v/>
      </c>
      <c r="BO359" s="371" t="str">
        <f t="shared" si="1146"/>
        <v/>
      </c>
      <c r="BP359" s="328" t="str">
        <f t="shared" si="1224"/>
        <v xml:space="preserve"> </v>
      </c>
      <c r="BQ359" s="347" t="str">
        <f t="shared" si="1147"/>
        <v xml:space="preserve"> </v>
      </c>
      <c r="BR359" s="353" t="str">
        <f t="shared" si="1148"/>
        <v xml:space="preserve"> </v>
      </c>
      <c r="BS359" s="626" t="str">
        <f>IF(L359&gt;0,IF(Calculation!P359="M13",BR359*3.1416*(0.134^2)/(4*144),IF(Calculation!P359="M17",BR359*3.1416*(0.165^2)/(4*144),IF(Calculation!P359="M20",BR359*3.1416*(0.198^2)/(4*144),IF(Calculation!P359="M23",BR359*3.1416*(0.228^2)/(4*144),IF(Calculation!P359="M27",BR359*3.1416*(0.269^2)/(4*144),BR359*3.1416*(0.307^2)/(4*144))))))," ")</f>
        <v xml:space="preserve"> </v>
      </c>
      <c r="BT359" s="353" t="str">
        <f>IF(L359&gt;0,IF(BS359&gt;0,R359/Calculation!BS359,0)," ")</f>
        <v xml:space="preserve"> </v>
      </c>
      <c r="BU359" s="438" t="e">
        <f t="shared" ca="1" si="1056"/>
        <v>#VALUE!</v>
      </c>
      <c r="BV359" s="449" t="e">
        <f ca="1">INDEX(INDIRECT(VLOOKUP(LEFT(BO359,7),CLU!$Z$3:$AH$18,2)),GN359,GR359)</f>
        <v>#N/A</v>
      </c>
      <c r="BW359" s="433" t="e">
        <f ca="1">INDEX(INDIRECT(VLOOKUP(LEFT(BO359,7),CLU!$Z$3:$AH$18,3)),GN359,GR359)</f>
        <v>#N/A</v>
      </c>
      <c r="BX359" s="433" t="e">
        <f ca="1">INDEX(INDIRECT(VLOOKUP(LEFT(BO359,7),CLU!$Z$3:$AH$18,4)),GN359,GR359)</f>
        <v>#N/A</v>
      </c>
      <c r="BY359" s="433" t="e">
        <f ca="1">INDEX(INDIRECT(VLOOKUP(LEFT(BO359,7),CLU!$Z$3:$AH$18,9)),((M359-2)*(6-COUNTBLANK(GT359:GY359)))+GJ359)</f>
        <v>#N/A</v>
      </c>
      <c r="BZ359" s="426" t="e">
        <f t="shared" ca="1" si="1149"/>
        <v>#N/A</v>
      </c>
      <c r="CA359" s="424" t="e">
        <f t="shared" ca="1" si="1150"/>
        <v>#N/A</v>
      </c>
      <c r="CB359" s="429" t="e">
        <f ca="1">INDEX(INDIRECT(VLOOKUP(LEFT(BO359,7),CLU!$Z$3:$AH$18,2)),GN359,GS359)</f>
        <v>#N/A</v>
      </c>
      <c r="CC359" s="342" t="e">
        <f ca="1">INDEX(INDIRECT(VLOOKUP(LEFT(BO359,7),CLU!$Z$3:$AH$18,3)),GN359,GS359)</f>
        <v>#N/A</v>
      </c>
      <c r="CD359" s="342" t="e">
        <f ca="1">INDEX(INDIRECT(VLOOKUP(LEFT(BO359,7),CLU!$Z$3:$AH$18,4)),GN359,GS359)</f>
        <v>#N/A</v>
      </c>
      <c r="CE359" s="426" t="e">
        <f t="shared" ca="1" si="1151"/>
        <v>#N/A</v>
      </c>
      <c r="CF359" s="440">
        <f t="shared" si="1152"/>
        <v>0</v>
      </c>
      <c r="CG359" s="431" t="e">
        <f ca="1">INDEX(INDIRECT(VLOOKUP(LEFT(BO359,7),CLU!$Z$3:$AH$18,2)),GQ359,GR359)</f>
        <v>#N/A</v>
      </c>
      <c r="CH359" s="431" t="e">
        <f ca="1">INDEX(INDIRECT(VLOOKUP(LEFT(BO359,7),CLU!$Z$3:$AH$18,3)),GQ359,GR359)</f>
        <v>#N/A</v>
      </c>
      <c r="CI359" s="431" t="e">
        <f ca="1">INDEX(INDIRECT(VLOOKUP(LEFT(BO359,7),CLU!$Z$3:$AH$18,4)),GQ359,GR359)</f>
        <v>#N/A</v>
      </c>
      <c r="CJ359" s="448" t="e">
        <f t="shared" ca="1" si="1153"/>
        <v>#N/A</v>
      </c>
      <c r="CK359" s="431" t="e">
        <f t="shared" ca="1" si="1154"/>
        <v>#N/A</v>
      </c>
      <c r="CL359" s="440" t="e">
        <f t="shared" ca="1" si="1155"/>
        <v>#N/A</v>
      </c>
      <c r="CM359" s="431" t="e">
        <f ca="1">INDEX(INDIRECT(VLOOKUP(LEFT(BO359,7),CLU!$Z$3:$AH$18,2)),GQ359,GS359)</f>
        <v>#N/A</v>
      </c>
      <c r="CN359" s="431" t="e">
        <f ca="1">INDEX(INDIRECT(VLOOKUP(LEFT(BO359,7),CLU!$Z$3:$AH$18,3)),GQ359,GS359)</f>
        <v>#N/A</v>
      </c>
      <c r="CO359" s="431" t="e">
        <f ca="1">INDEX(INDIRECT(VLOOKUP(LEFT(BO359,7),CLU!$Z$3:$AH$18,4)),GQ359,GS359)</f>
        <v>#N/A</v>
      </c>
      <c r="CP359" s="431" t="e">
        <f t="shared" ca="1" si="1156"/>
        <v>#N/A</v>
      </c>
      <c r="CQ359" s="440">
        <f t="shared" si="1157"/>
        <v>0</v>
      </c>
      <c r="CR359" s="51" t="e">
        <f t="shared" ca="1" si="1158"/>
        <v>#N/A</v>
      </c>
      <c r="CS359" s="439" t="e">
        <f t="shared" ca="1" si="1159"/>
        <v>#VALUE!</v>
      </c>
      <c r="CT359" s="51" t="e">
        <f t="shared" ca="1" si="1160"/>
        <v>#VALUE!</v>
      </c>
      <c r="CU359" s="10"/>
      <c r="CV359" s="51" t="e">
        <f t="shared" ca="1" si="1057"/>
        <v>#VALUE!</v>
      </c>
      <c r="CW359" s="51">
        <f t="shared" si="1161"/>
        <v>0</v>
      </c>
      <c r="CX359" s="439" t="e">
        <f t="shared" ca="1" si="1162"/>
        <v>#VALUE!</v>
      </c>
      <c r="CY359" s="51" t="e">
        <f t="shared" ca="1" si="1163"/>
        <v>#VALUE!</v>
      </c>
      <c r="CZ359" s="10"/>
      <c r="DA359" s="51" t="e">
        <f t="shared" ca="1" si="1164"/>
        <v>#VALUE!</v>
      </c>
      <c r="DB359" s="347" t="e">
        <f ca="1">INDEX(INDIRECT(VLOOKUP(LEFT(BO359,7),CLU!$Z$3:$AI$18,10)),((M359-2)*(6-COUNTBLANK(GT359:GY359)))+GJ359)*LI359</f>
        <v>#N/A</v>
      </c>
      <c r="DC359" s="347" t="str">
        <f>IF(L359&gt;0,((R359/Worksheet!$I$15)/DB359)^2," ")</f>
        <v xml:space="preserve"> </v>
      </c>
      <c r="DD359" s="602" t="str">
        <f t="shared" si="1165"/>
        <v xml:space="preserve"> </v>
      </c>
      <c r="DE359" s="347" t="str">
        <f t="shared" si="1058"/>
        <v xml:space="preserve"> </v>
      </c>
      <c r="DF359" s="356" t="e">
        <f ca="1">INDEX(INDIRECT(VLOOKUP(LEFT(BO359,7),CLU!$Z$3:$AH$18,8)),((M359-2)*(6-COUNTBLANK(GT359:GY359)))+GJ359)</f>
        <v>#N/A</v>
      </c>
      <c r="DG359" s="347" t="str">
        <f t="shared" si="1059"/>
        <v xml:space="preserve"> </v>
      </c>
      <c r="DH359" s="357" t="str">
        <f t="shared" si="1060"/>
        <v xml:space="preserve"> </v>
      </c>
      <c r="DI359" s="355" t="str">
        <f t="shared" si="1061"/>
        <v xml:space="preserve"> </v>
      </c>
      <c r="DJ359" s="245" t="e">
        <f ca="1">INDEX(INDIRECT(VLOOKUP(LEFT(BO359,7),CLU!$Z$3:$AH$18,5)),GL359,GK359)</f>
        <v>#N/A</v>
      </c>
      <c r="DK359" s="245" t="e">
        <f ca="1">INDEX(INDIRECT(VLOOKUP(LEFT(BO359,7),CLU!$Z$3:$AH$18,6)),GL359,GK359)</f>
        <v>#N/A</v>
      </c>
      <c r="DL359" s="355">
        <f>(Calculation!R359*0.69143*(Calculation!$BQ$8-Calculation!$F$8))*$S$14</f>
        <v>0</v>
      </c>
      <c r="DM359" s="359" t="e">
        <f t="shared" si="1166"/>
        <v>#VALUE!</v>
      </c>
      <c r="DN359" s="611">
        <f t="shared" si="1167"/>
        <v>0</v>
      </c>
      <c r="DO359" s="359">
        <f t="shared" si="1168"/>
        <v>100</v>
      </c>
      <c r="DP359" s="359">
        <f t="shared" si="1169"/>
        <v>0</v>
      </c>
      <c r="DQ359" s="360"/>
      <c r="DR359" s="245" t="e">
        <f ca="1">INDEX(INDIRECT(VLOOKUP(LEFT(BO359,7),CLU!$Z$3:$AH$18,7)),M359-1,1)</f>
        <v>#N/A</v>
      </c>
      <c r="DS359" s="245" t="e">
        <f ca="1">INDEX(INDIRECT(VLOOKUP(LEFT(BO359,7),CLU!$Z$3:$AH$18,7)),M359-1,2)</f>
        <v>#N/A</v>
      </c>
      <c r="DT359" s="245" t="e">
        <f ca="1">INDEX(INDIRECT(VLOOKUP(LEFT(BO359,7),CLU!$Z$3:$AH$18,7)),M359-1,3)</f>
        <v>#N/A</v>
      </c>
      <c r="DU359" s="245" t="e">
        <f ca="1">INDEX(INDIRECT(VLOOKUP(LEFT(BO359,7),CLU!$Z$3:$AH$18,7)),M359-1,4)</f>
        <v>#N/A</v>
      </c>
      <c r="DV359" s="361" t="e">
        <f ca="1">INDEX(INDIRECT(VLOOKUP(LEFT(BO359,7),CLU!$Z$3:$AH$18,7)),M359-1,4+LEFT(DZ359,1)*0.5)</f>
        <v>#N/A</v>
      </c>
      <c r="DW359" s="245" t="e">
        <f ca="1">INDEX(INDIRECT(VLOOKUP(LEFT(BO359,7),CLU!$Z$3:$AH$18,7)),M359-1,8)</f>
        <v>#N/A</v>
      </c>
      <c r="DX359" s="361" t="str">
        <f t="shared" si="1062"/>
        <v xml:space="preserve"> </v>
      </c>
      <c r="DY359" s="361" t="str">
        <f t="shared" si="1063"/>
        <v xml:space="preserve"> </v>
      </c>
      <c r="DZ359" s="361" t="str">
        <f t="shared" si="1064"/>
        <v xml:space="preserve"> </v>
      </c>
      <c r="EA359" s="362" t="str">
        <f t="shared" si="1065"/>
        <v xml:space="preserve"> </v>
      </c>
      <c r="EB359" s="624" t="str">
        <f t="shared" si="1170"/>
        <v xml:space="preserve"> </v>
      </c>
      <c r="EC359" s="361" t="e">
        <f ca="1">INDEX(INDIRECT(VLOOKUP(LEFT(BO359,7),CLU!$Z$3:$AH$18,7)),M359-1,4+LEFT(DZ359,1)*0.5)</f>
        <v>#N/A</v>
      </c>
      <c r="ED359" s="362" t="str">
        <f t="shared" si="1066"/>
        <v xml:space="preserve"> </v>
      </c>
      <c r="EE359" s="361" t="str">
        <f t="shared" si="1067"/>
        <v xml:space="preserve"> </v>
      </c>
      <c r="EF359" s="362" t="str">
        <f>IF(L359&gt;0,IF(BR359&gt;0,IF(EE359="2P",IF(Calculation!DZ359="2P",IF(Calculation!DS359=13.75,IF(Calculation!DR359=13,Worksheet!$BD$43,IF(Calculation!DR359=37,Worksheet!$BD$44,Worksheet!$BD$45)),IF(Calculation!DS359=10,IF(Calculation!DR359=18,Worksheet!$BD$29,IF(Calculation!DR359=30,Worksheet!$BD$30,IF(Calculation!DR359=42,Worksheet!$BD$31,IF(Calculation!DR359=54,Worksheet!$BD$32,IF(Calculation!DR359=66,Worksheet!$BD$33,IF(Calculation!DR359=78,Worksheet!$BD$34,IF(Calculation!DR359=90,Worksheet!$BD$35,IF(Calculation!DR359=102,Worksheet!$BD$36,Worksheet!$BD$37)))))))),IF(Calculation!DS359=12.5,IF(Calculation!DR359=18,Worksheet!$BD$38,IF(Calculation!DR359=Worksheet!$BD$39,IF(Calculation!DR359=42,Worksheet!$BD$40,IF(Calculation!DR359=54,Worksheet!$BD$41,Worksheet!$BD$42)))),IF(Calculation!DR359=18,Worksheet!$BD$11,IF(Calculation!DR359=30,Worksheet!$BD$12,IF(Calculation!DR359=42,Worksheet!$BD$13,IF(Calculation!DR359=54,Worksheet!$BD$14,IF(Calculation!DR359=66,Worksheet!$BD$15,IF(Calculation!DR359=78,Worksheet!$BD$16,IF(Calculation!DR359=90,Worksheet!$BD$17,IF(Calculation!DR359=102,Worksheet!$BD$18,Worksheet!$BD$19))))))))))),IF(Calculation!DS359=13.75,IF(Calculation!DR359=13,Worksheet!$BD$78,IF(Calculation!DR359=37,Worksheet!$BD$79,Worksheet!$BD$80)),IF(Calculation!DS359=10,IF(Calculation!DR359=18,Worksheet!$BD$64,IF(Calculation!DR359=30,Worksheet!$BD$65,IF(Calculation!DR359=42,Worksheet!$BD$66,IF(Calculation!DR359=54,Worksheet!$BD$68,IF(Calculation!DR359=66,Worksheet!$BD$68,IF(Calculation!DR359=78,Worksheet!$BD$69,IF(Calculation!DR359=90,Worksheet!$BD$70,IF(Calculation!DR359=102,Worksheet!$BD$71,Worksheet!$BD$72)))))))),IF(Calculation!DS359=12.5,IF(Calculation!DR359=18,Worksheet!$BD$73,IF(Calculation!DR359=Worksheet!$BD$74,IF(Calculation!DR359=42,Worksheet!$BD$75,IF(Calculation!DR359=54,Worksheet!$BD$76,Worksheet!$BD$77)))),IF(Calculation!DR359=18,Worksheet!$BD$55,IF(Calculation!DR359=30,Worksheet!$BD$56,IF(Calculation!DR359=42,Worksheet!$BD$57,IF(Calculation!DR359=54,Worksheet!$BD$58,IF(Calculation!DR359=66,Worksheet!$BD$59,IF(Calculation!DR359=78,Worksheet!$BD$60,IF(Calculation!DR359=90,Worksheet!$BD$61,IF(Calculation!DR359=102,Worksheet!$BD$62,Worksheet!$BD$63)))))))))))),5),0)," ")</f>
        <v xml:space="preserve"> </v>
      </c>
      <c r="EG359" s="361" t="str">
        <f t="shared" si="1068"/>
        <v xml:space="preserve"> </v>
      </c>
      <c r="EH359" s="361" t="e">
        <f ca="1">INDEX(INDIRECT(VLOOKUP(LEFT(BO359,7),CLU!$Z$3:$AH$18,7)),M359-1,3+LEFT(DZ359,1))</f>
        <v>#N/A</v>
      </c>
      <c r="EI359" s="362" t="str">
        <f t="shared" si="1069"/>
        <v xml:space="preserve"> </v>
      </c>
      <c r="EJ359" s="363" t="str">
        <f t="shared" si="1070"/>
        <v xml:space="preserve"> </v>
      </c>
      <c r="EK359" s="363" t="str">
        <f t="shared" si="1071"/>
        <v xml:space="preserve"> </v>
      </c>
      <c r="EL359" s="363" t="str">
        <f t="shared" si="1072"/>
        <v xml:space="preserve"> </v>
      </c>
      <c r="EM359" s="362" t="str">
        <f>IF(L359&gt;0,IF(BR359&gt;0,(Calculation!T359/ED359)^2,0)," ")</f>
        <v xml:space="preserve"> </v>
      </c>
      <c r="EN359" s="362" t="str">
        <f>IF(L359&gt;0,IF(O359="2 Pipe (Cooling)","N/A",IF(BR359&gt;0,(Calculation!U359/EI359)^2,0))," ")</f>
        <v xml:space="preserve"> </v>
      </c>
      <c r="EO359" s="361" t="str">
        <f t="shared" si="1073"/>
        <v/>
      </c>
      <c r="EP359" s="361" t="str">
        <f t="shared" si="1074"/>
        <v/>
      </c>
      <c r="EQ359" s="361" t="str">
        <f t="shared" si="1075"/>
        <v/>
      </c>
      <c r="ER359" s="361" t="str">
        <f t="shared" si="1076"/>
        <v/>
      </c>
      <c r="ES359" s="361" t="str">
        <f t="shared" si="1077"/>
        <v/>
      </c>
      <c r="ET359" s="361" t="str">
        <f t="shared" si="1078"/>
        <v/>
      </c>
      <c r="EU359" s="361" t="str">
        <f t="shared" si="1079"/>
        <v/>
      </c>
      <c r="EV359" s="361" t="str">
        <f t="shared" si="1080"/>
        <v/>
      </c>
      <c r="EW359" s="361" t="str">
        <f t="shared" si="1081"/>
        <v/>
      </c>
      <c r="EX359" s="361" t="str">
        <f t="shared" si="1171"/>
        <v>1 slot, 1 way</v>
      </c>
      <c r="EY359" s="361" t="str">
        <f t="shared" si="1172"/>
        <v xml:space="preserve"> </v>
      </c>
      <c r="EZ359" s="361" t="str">
        <f t="shared" si="1173"/>
        <v xml:space="preserve"> </v>
      </c>
      <c r="FA359" s="361" t="str">
        <f t="shared" si="1174"/>
        <v xml:space="preserve"> </v>
      </c>
      <c r="FB359" s="361" t="str">
        <f t="shared" si="1175"/>
        <v xml:space="preserve"> </v>
      </c>
      <c r="FC359" s="361"/>
      <c r="FD359" s="361" t="str">
        <f>IF(J359&gt;0,IF(Calculation!R359&lt;=70,4,IF(Calculation!R359&lt;=110,5,IF(Calculation!R359&lt;=160,6,IF(Calculation!R359&lt;=300,8,"10 EO")))),"")</f>
        <v/>
      </c>
      <c r="FE359" s="361" t="str">
        <f t="shared" si="1176"/>
        <v/>
      </c>
      <c r="FF359" s="361" t="str">
        <f t="shared" si="1177"/>
        <v/>
      </c>
      <c r="FG359" s="361" t="e">
        <f t="shared" si="1082"/>
        <v>#N/A</v>
      </c>
      <c r="FH359" s="361">
        <f t="shared" si="1083"/>
        <v>0</v>
      </c>
      <c r="FI359" s="361" t="e">
        <f t="shared" si="1084"/>
        <v>#DIV/0!</v>
      </c>
      <c r="FJ359" s="361"/>
      <c r="FK359" s="356" t="e">
        <f t="shared" si="1085"/>
        <v>#VALUE!</v>
      </c>
      <c r="FL359" s="361"/>
      <c r="FM359" s="361"/>
      <c r="FN359" s="362" t="str">
        <f t="shared" si="1178"/>
        <v xml:space="preserve"> </v>
      </c>
      <c r="FO359" s="362" t="str">
        <f t="shared" si="1179"/>
        <v xml:space="preserve"> </v>
      </c>
      <c r="FP359" s="362">
        <f t="shared" si="1180"/>
        <v>0</v>
      </c>
      <c r="FQ359" s="361">
        <f t="shared" si="1086"/>
        <v>0</v>
      </c>
      <c r="FR359" s="362" t="str">
        <f>IF(L359&gt;0,IF(J359="CBAL2",Worksheet!$P$67,IF(J359="CBE2-24",Worksheet!$Q$67,IF(J359="CBAM",Worksheet!$R$67,IF(J359="CBLV",Worksheet!$S$67,IF(J359="CBAB",Worksheet!$U$67,IF(J359="CBAW",Worksheet!$X$67,IF(J359="CBE2-12",Worksheet!$Y$67,IF(J359="CBAL2",Worksheet!$Z$67,"N/A"))))))))," ")</f>
        <v xml:space="preserve"> </v>
      </c>
      <c r="FS359" s="362" t="str">
        <f>IF(L359&gt;0,IF(J359="CBAL2",Worksheet!$P$68,IF(J359="CBE2-24",Worksheet!$Q$68,IF(J359="CBAM",Worksheet!$R$68,IF(J359="CBLV",Worksheet!$S$68,IF(J359="CBAB",Worksheet!$U$68,IF(J359="CBAW",Worksheet!$X$68,IF(J359="CBE2-12",Worksheet!$Y$68,IF(J359="CBAL2",Worksheet!$Z$68,"N/A"))))))))," ")</f>
        <v xml:space="preserve"> </v>
      </c>
      <c r="FT359" s="362" t="str">
        <f>IF(L359&gt;0,IF(J359="CBAL2",Worksheet!$P$69,IF(J359="CBE2-24",Worksheet!$Q$69,IF(J359="CBAM",Worksheet!$R$69,IF(J359="CBLV",Worksheet!$S$69,IF(J359="CBAB",Worksheet!$U$69,IF(J359="CBAW",Worksheet!$X$69,IF(J359="CBE2-12",Worksheet!$Y$69,IF(J359="CBAL2",Worksheet!$Z$69,"N/A"))))))))," ")</f>
        <v xml:space="preserve"> </v>
      </c>
      <c r="FU359" s="361" t="str">
        <f t="shared" si="1181"/>
        <v xml:space="preserve"> </v>
      </c>
      <c r="FV359" s="362" t="str">
        <f t="shared" si="1182"/>
        <v xml:space="preserve"> </v>
      </c>
      <c r="FW359" s="362" t="str">
        <f t="shared" si="1183"/>
        <v xml:space="preserve"> </v>
      </c>
      <c r="FX359" s="362" t="str">
        <f t="shared" si="1184"/>
        <v xml:space="preserve"> </v>
      </c>
      <c r="FY359" s="355" t="str">
        <f t="shared" si="1185"/>
        <v xml:space="preserve"> </v>
      </c>
      <c r="FZ359" s="361" t="str">
        <f t="shared" si="1186"/>
        <v xml:space="preserve"> </v>
      </c>
      <c r="GA359" s="347" t="str">
        <f t="shared" si="1187"/>
        <v xml:space="preserve"> </v>
      </c>
      <c r="GB359" s="355" t="str">
        <f t="shared" si="1188"/>
        <v xml:space="preserve"> </v>
      </c>
      <c r="GC359" s="328" t="str">
        <f t="shared" si="1189"/>
        <v xml:space="preserve"> </v>
      </c>
      <c r="GD359" s="361" t="str">
        <f t="shared" si="1190"/>
        <v xml:space="preserve"> </v>
      </c>
      <c r="GE359" s="347" t="str">
        <f t="shared" si="1191"/>
        <v xml:space="preserve"> </v>
      </c>
      <c r="GF359" s="361" t="str">
        <f t="shared" si="1192"/>
        <v xml:space="preserve"> </v>
      </c>
      <c r="GG359" s="347" t="str">
        <f t="shared" si="1193"/>
        <v xml:space="preserve"> </v>
      </c>
      <c r="GH359" s="364">
        <f t="shared" si="1087"/>
        <v>0</v>
      </c>
      <c r="GI359" s="362">
        <f t="shared" si="1194"/>
        <v>2</v>
      </c>
      <c r="GJ359" s="433" t="e">
        <f>IF(6-COUNTBLANK(GT359:GY359)=4,MATCH(MID(BO359,9,3),CLU!$H$16:$K$16),MATCH(MID(BO359,9,3),CLU!$H$13:$M$13))</f>
        <v>#N/A</v>
      </c>
      <c r="GK359" s="433" t="e">
        <f>HLOOKUP(VALUE(BP359),CLU!$H$9:$M$10,2)</f>
        <v>#VALUE!</v>
      </c>
      <c r="GL359" s="433" t="e">
        <f ca="1">MATCH(BU359,CLU!$H$2:$V$2,1)</f>
        <v>#VALUE!</v>
      </c>
      <c r="GM359" s="433" t="e">
        <f t="shared" ca="1" si="1195"/>
        <v>#VALUE!</v>
      </c>
      <c r="GN359" s="433" t="e">
        <f t="shared" ca="1" si="1196"/>
        <v>#VALUE!</v>
      </c>
      <c r="GO359" s="433" t="e">
        <f t="shared" ca="1" si="1197"/>
        <v>#VALUE!</v>
      </c>
      <c r="GP359" s="433" t="e">
        <f t="shared" ca="1" si="1198"/>
        <v>#VALUE!</v>
      </c>
      <c r="GQ359" s="433" t="e">
        <f t="shared" ca="1" si="1199"/>
        <v>#VALUE!</v>
      </c>
      <c r="GR359" s="433" t="e">
        <f ca="1">MATCH(T359,INDIRECT(VLOOKUP(CONCATENATE(LEFT(BO359,7),"-",MID(BO359,13,1)),CLU!$P$3:$Q$16,2)),1)</f>
        <v>#N/A</v>
      </c>
      <c r="GS359" s="433" t="e">
        <f ca="1">MATCH(U359,INDIRECT(VLOOKUP(CONCATENATE(LEFT(BO359,7),"-",MID(BO359,13,1)),CLU!$P$3:$Q$16,2)),1)</f>
        <v>#N/A</v>
      </c>
      <c r="GT359" s="347" t="s">
        <v>512</v>
      </c>
      <c r="GU359" s="97" t="s">
        <v>513</v>
      </c>
      <c r="GV359" s="97" t="str">
        <f t="shared" si="1200"/>
        <v>M23</v>
      </c>
      <c r="GW359" s="97" t="str">
        <f t="shared" si="1201"/>
        <v>M31</v>
      </c>
      <c r="GX359" s="97" t="str">
        <f t="shared" si="1202"/>
        <v/>
      </c>
      <c r="GY359" s="97" t="str">
        <f t="shared" si="1203"/>
        <v/>
      </c>
      <c r="GZ359" s="481"/>
      <c r="HA359" s="240"/>
      <c r="HB359" s="240"/>
      <c r="HC359" s="240"/>
      <c r="HD359" s="240"/>
      <c r="HE359" s="240"/>
      <c r="HF359" s="240"/>
      <c r="HG359" s="240"/>
      <c r="HH359" s="240"/>
      <c r="HI359" s="240"/>
      <c r="HJ359" s="240"/>
      <c r="HK359" s="240"/>
      <c r="HL359" s="240"/>
      <c r="HM359" s="240"/>
      <c r="HN359" s="240"/>
      <c r="HO359" s="240"/>
      <c r="HP359" s="240"/>
      <c r="HQ359" s="240"/>
      <c r="HR359" s="240"/>
      <c r="HS359" s="240"/>
      <c r="HT359" s="240"/>
      <c r="HU359" s="240"/>
      <c r="HV359" s="245"/>
      <c r="HW359" s="245" t="b">
        <v>1</v>
      </c>
      <c r="HX359" s="245" t="str">
        <f t="shared" si="1088"/>
        <v/>
      </c>
      <c r="HY359" s="245" t="e">
        <f t="shared" si="1089"/>
        <v>#DIV/0!</v>
      </c>
      <c r="HZ359" s="245" t="e">
        <f t="shared" si="1090"/>
        <v>#DIV/0!</v>
      </c>
      <c r="IA359" s="245">
        <f t="shared" si="1091"/>
        <v>0</v>
      </c>
      <c r="IB359" s="245"/>
      <c r="IC359" t="b">
        <f t="shared" si="1092"/>
        <v>1</v>
      </c>
      <c r="ID359" s="245" t="b">
        <f t="shared" si="1093"/>
        <v>1</v>
      </c>
      <c r="IE359" s="245" t="b">
        <f t="shared" si="1094"/>
        <v>1</v>
      </c>
      <c r="IF359" s="245" t="b">
        <f t="shared" si="1095"/>
        <v>0</v>
      </c>
      <c r="IG359" s="245" t="b">
        <f t="shared" si="1096"/>
        <v>1</v>
      </c>
      <c r="IH359" s="245" t="b">
        <f t="shared" si="1097"/>
        <v>1</v>
      </c>
      <c r="II359" s="245">
        <f t="shared" si="1204"/>
        <v>0</v>
      </c>
      <c r="IJ359" s="245" t="e">
        <f t="shared" si="1098"/>
        <v>#VALUE!</v>
      </c>
      <c r="IK359" s="245" t="e">
        <f t="shared" si="1099"/>
        <v>#VALUE!</v>
      </c>
      <c r="IL359" s="245"/>
      <c r="IM359" s="245" t="e">
        <f t="shared" si="1205"/>
        <v>#N/A</v>
      </c>
      <c r="IN359" s="245" t="e">
        <f t="shared" si="1206"/>
        <v>#N/A</v>
      </c>
      <c r="IO359" s="245"/>
      <c r="IP359" s="245"/>
      <c r="IQ359" s="245" t="str">
        <f t="shared" si="1100"/>
        <v/>
      </c>
      <c r="IR359" s="245" t="str">
        <f>IF(J359="","",VLOOKUP(J359,Worksheet!$R$4:$T$14,2))</f>
        <v/>
      </c>
      <c r="IS359" s="245"/>
      <c r="IT359" s="245">
        <f t="shared" si="1101"/>
        <v>0</v>
      </c>
      <c r="IU359" s="245">
        <f t="shared" si="1102"/>
        <v>0</v>
      </c>
      <c r="IV359" s="245">
        <f t="shared" si="1103"/>
        <v>0</v>
      </c>
      <c r="IW359" s="245">
        <f t="shared" si="1104"/>
        <v>0</v>
      </c>
      <c r="IX359" s="245">
        <f t="shared" si="1207"/>
        <v>0</v>
      </c>
      <c r="IY359" s="245">
        <f t="shared" si="1105"/>
        <v>0</v>
      </c>
      <c r="IZ359" s="245">
        <f t="shared" si="1106"/>
        <v>0</v>
      </c>
      <c r="JA359">
        <f t="shared" si="1107"/>
        <v>0</v>
      </c>
      <c r="JB359">
        <f t="shared" si="1208"/>
        <v>0</v>
      </c>
      <c r="JC359">
        <f t="shared" si="1108"/>
        <v>0</v>
      </c>
      <c r="JD359">
        <f t="shared" si="1109"/>
        <v>0</v>
      </c>
      <c r="JE359">
        <f t="shared" si="1110"/>
        <v>0</v>
      </c>
      <c r="JF359">
        <f t="shared" si="1111"/>
        <v>0</v>
      </c>
      <c r="JG359">
        <f t="shared" si="1112"/>
        <v>0</v>
      </c>
      <c r="JH359">
        <f t="shared" si="1113"/>
        <v>0</v>
      </c>
      <c r="JI359">
        <f t="shared" si="1114"/>
        <v>0</v>
      </c>
      <c r="JJ359" s="447">
        <f t="shared" si="1115"/>
        <v>0</v>
      </c>
      <c r="JK359" s="447">
        <f t="shared" si="1116"/>
        <v>0</v>
      </c>
      <c r="JL359">
        <f t="shared" si="1117"/>
        <v>0</v>
      </c>
      <c r="JM359" s="245" t="str">
        <f>IFERROR(VLOOKUP(MATCH(BN359,#REF!,0),#REF!,7),"")</f>
        <v/>
      </c>
      <c r="JN359" t="e">
        <f>HLOOKUP(LEFT(BO359,7),Discharge_Area,MATCH(JO359,LookUps!$B$130:$B$149,1)+2)</f>
        <v>#N/A</v>
      </c>
      <c r="JO359" t="str">
        <f t="shared" si="1118"/>
        <v>- S</v>
      </c>
      <c r="JP359" t="e">
        <f>HLOOKUP(LEFT(BO359,7),Discharge_Area,MATCH(JO359,LookUps!$B$130:$B$149,1)+2)</f>
        <v>#N/A</v>
      </c>
      <c r="JQ359" t="e">
        <f t="shared" si="1119"/>
        <v>#N/A</v>
      </c>
      <c r="JR359" t="e">
        <f t="shared" si="1120"/>
        <v>#N/A</v>
      </c>
      <c r="JS359" t="e">
        <f t="shared" si="1121"/>
        <v>#N/A</v>
      </c>
      <c r="JT359" s="532" t="str">
        <f t="shared" si="1122"/>
        <v xml:space="preserve"> </v>
      </c>
      <c r="JU359" s="532" t="str">
        <f t="shared" si="1123"/>
        <v xml:space="preserve"> </v>
      </c>
      <c r="JV359" s="533" t="str">
        <f t="shared" si="1124"/>
        <v xml:space="preserve"> </v>
      </c>
      <c r="JW359" s="534">
        <f t="shared" si="1125"/>
        <v>0</v>
      </c>
      <c r="JX359" s="535" t="str">
        <f t="shared" si="1209"/>
        <v xml:space="preserve"> </v>
      </c>
      <c r="JY359" s="535" t="str">
        <f t="shared" si="1210"/>
        <v xml:space="preserve"> </v>
      </c>
      <c r="JZ359" s="535" t="str">
        <f t="shared" si="1211"/>
        <v xml:space="preserve"> </v>
      </c>
      <c r="KA359" s="536" t="str">
        <f t="shared" si="1126"/>
        <v xml:space="preserve"> </v>
      </c>
      <c r="KB359" s="535" t="e">
        <f t="shared" si="1212"/>
        <v>#VALUE!</v>
      </c>
      <c r="KC359" s="535" t="str">
        <f t="shared" si="1127"/>
        <v/>
      </c>
      <c r="KD359" s="537" t="str">
        <f t="shared" si="1213"/>
        <v xml:space="preserve"> </v>
      </c>
      <c r="KE359" s="537" t="str">
        <f t="shared" si="1214"/>
        <v xml:space="preserve"> </v>
      </c>
      <c r="KF359" s="534">
        <f t="shared" si="1128"/>
        <v>0</v>
      </c>
      <c r="KG359" s="535" t="str">
        <f t="shared" si="1129"/>
        <v xml:space="preserve"> </v>
      </c>
      <c r="KH359" s="535" t="str">
        <f t="shared" si="1130"/>
        <v xml:space="preserve"> </v>
      </c>
      <c r="KI359" s="535" t="str">
        <f t="shared" si="1131"/>
        <v xml:space="preserve"> </v>
      </c>
      <c r="KJ359" s="536" t="str">
        <f t="shared" si="1132"/>
        <v xml:space="preserve"> </v>
      </c>
      <c r="KK359" s="535" t="str">
        <f t="shared" si="1215"/>
        <v xml:space="preserve"> </v>
      </c>
      <c r="KL359" s="535" t="str">
        <f t="shared" si="1216"/>
        <v xml:space="preserve"> </v>
      </c>
      <c r="KM359" s="537" t="str">
        <f t="shared" si="1133"/>
        <v xml:space="preserve"> </v>
      </c>
      <c r="KN359" s="537" t="str">
        <f t="shared" si="1217"/>
        <v xml:space="preserve"> </v>
      </c>
      <c r="KP359">
        <f t="shared" si="1134"/>
        <v>0</v>
      </c>
      <c r="LA359" t="e">
        <f t="shared" si="1135"/>
        <v>#VALUE!</v>
      </c>
      <c r="LB359" t="e">
        <f t="shared" si="1136"/>
        <v>#VALUE!</v>
      </c>
      <c r="LC359" t="e">
        <f t="shared" si="1137"/>
        <v>#VALUE!</v>
      </c>
      <c r="LD359" t="e">
        <f t="shared" si="1138"/>
        <v>#VALUE!</v>
      </c>
      <c r="LE359" t="e">
        <f t="shared" si="1218"/>
        <v>#VALUE!</v>
      </c>
      <c r="LF359">
        <f t="shared" si="1139"/>
        <v>0</v>
      </c>
      <c r="LG359" t="e">
        <f t="shared" si="1219"/>
        <v>#VALUE!</v>
      </c>
      <c r="LH359" t="str">
        <f t="shared" si="1140"/>
        <v xml:space="preserve"> </v>
      </c>
      <c r="LI359">
        <f t="shared" si="1220"/>
        <v>1</v>
      </c>
    </row>
    <row r="360" spans="2:321" ht="15" customHeight="1">
      <c r="B360" s="311"/>
      <c r="C360" s="311"/>
      <c r="D360" s="312"/>
      <c r="E360" s="311"/>
      <c r="F360" s="312"/>
      <c r="G360" s="311"/>
      <c r="H360" s="311"/>
      <c r="I360" s="232"/>
      <c r="J360" s="311"/>
      <c r="K360" s="305" t="str">
        <f t="shared" si="1141"/>
        <v/>
      </c>
      <c r="L360" s="313"/>
      <c r="M360" s="312"/>
      <c r="N360" s="311"/>
      <c r="O360" s="312"/>
      <c r="P360" s="311"/>
      <c r="Q360" s="305" t="str">
        <f t="shared" si="1142"/>
        <v/>
      </c>
      <c r="R360" s="314"/>
      <c r="S360" s="450" t="str">
        <f t="shared" si="1025"/>
        <v/>
      </c>
      <c r="T360" s="315"/>
      <c r="U360" s="315"/>
      <c r="W360" s="149" t="str">
        <f t="shared" si="1026"/>
        <v xml:space="preserve"> </v>
      </c>
      <c r="X360" s="243" t="str">
        <f t="shared" si="1027"/>
        <v xml:space="preserve"> </v>
      </c>
      <c r="Y360" s="150" t="str">
        <f t="shared" si="1028"/>
        <v/>
      </c>
      <c r="Z360" s="149" t="str">
        <f t="shared" si="1029"/>
        <v xml:space="preserve"> </v>
      </c>
      <c r="AA360" s="98" t="str">
        <f t="shared" si="1030"/>
        <v xml:space="preserve"> </v>
      </c>
      <c r="AB360" s="153" t="str">
        <f t="shared" si="1031"/>
        <v xml:space="preserve"> </v>
      </c>
      <c r="AC360" s="153" t="str">
        <f t="shared" si="1032"/>
        <v xml:space="preserve"> </v>
      </c>
      <c r="AD360" s="148" t="str">
        <f t="shared" si="1033"/>
        <v/>
      </c>
      <c r="AE360" s="149" t="str">
        <f t="shared" si="1034"/>
        <v/>
      </c>
      <c r="AF360" s="151" t="str">
        <f t="shared" si="1035"/>
        <v xml:space="preserve"> </v>
      </c>
      <c r="AG360" s="153" t="str">
        <f t="shared" si="1036"/>
        <v xml:space="preserve"> </v>
      </c>
      <c r="AH360" s="98" t="str">
        <f t="shared" si="1037"/>
        <v xml:space="preserve"> </v>
      </c>
      <c r="AI360" s="149" t="str">
        <f t="shared" si="1038"/>
        <v xml:space="preserve"> </v>
      </c>
      <c r="AK360" s="144" t="str">
        <f t="shared" si="1039"/>
        <v xml:space="preserve"> </v>
      </c>
      <c r="AL360" s="144"/>
      <c r="AM360" s="243" t="str">
        <f t="shared" si="1040"/>
        <v xml:space="preserve"> </v>
      </c>
      <c r="AN360" s="149" t="str">
        <f t="shared" si="1143"/>
        <v xml:space="preserve"> </v>
      </c>
      <c r="AO360" s="144" t="str">
        <f>IF(JB360&gt;0,IF(GI360=10,-R360*1.085*(Calculation!$F$6-Calculation!$F$13)*$S$14," "),"")</f>
        <v/>
      </c>
      <c r="AP360" s="144" t="str">
        <f t="shared" si="1041"/>
        <v/>
      </c>
      <c r="AQ360" s="56" t="str">
        <f t="shared" si="1042"/>
        <v/>
      </c>
      <c r="AR360" s="144" t="str">
        <f t="shared" si="1043"/>
        <v/>
      </c>
      <c r="AS360" s="176" t="str">
        <f t="shared" si="1044"/>
        <v/>
      </c>
      <c r="AT360" s="176" t="str">
        <f t="shared" si="1144"/>
        <v xml:space="preserve"> </v>
      </c>
      <c r="AU360" s="176" t="str">
        <f t="shared" si="1045"/>
        <v/>
      </c>
      <c r="AV360" s="177" t="str">
        <f t="shared" si="1046"/>
        <v xml:space="preserve"> </v>
      </c>
      <c r="AW360" s="144" t="str">
        <f t="shared" si="1047"/>
        <v xml:space="preserve"> </v>
      </c>
      <c r="AX360" s="144" t="str">
        <f t="shared" si="1048"/>
        <v xml:space="preserve"> </v>
      </c>
      <c r="AY360" s="152" t="str">
        <f t="shared" si="1049"/>
        <v xml:space="preserve"> </v>
      </c>
      <c r="AZ360" s="246" t="str">
        <f t="shared" si="1050"/>
        <v/>
      </c>
      <c r="BA360" s="176" t="str">
        <f t="shared" si="1051"/>
        <v xml:space="preserve"> </v>
      </c>
      <c r="BB360" s="176" t="str">
        <f t="shared" si="1052"/>
        <v xml:space="preserve"> </v>
      </c>
      <c r="BC360" s="195"/>
      <c r="BD360" s="316"/>
      <c r="BE360" s="317"/>
      <c r="BF360" s="318"/>
      <c r="BG360" s="318"/>
      <c r="BH360" s="144" t="str">
        <f t="shared" si="1221"/>
        <v xml:space="preserve"> </v>
      </c>
      <c r="BI360" s="176" t="str">
        <f t="shared" si="1053"/>
        <v/>
      </c>
      <c r="BJ360" s="144" t="str">
        <f t="shared" si="1222"/>
        <v/>
      </c>
      <c r="BK360" s="246" t="str">
        <f t="shared" si="1054"/>
        <v/>
      </c>
      <c r="BL360" s="144" t="str">
        <f t="shared" si="1223"/>
        <v/>
      </c>
      <c r="BM360" s="246" t="str">
        <f t="shared" si="1055"/>
        <v/>
      </c>
      <c r="BN360" s="337" t="str">
        <f t="shared" si="1145"/>
        <v/>
      </c>
      <c r="BO360" s="371" t="str">
        <f t="shared" si="1146"/>
        <v/>
      </c>
      <c r="BP360" s="328" t="str">
        <f t="shared" si="1224"/>
        <v xml:space="preserve"> </v>
      </c>
      <c r="BQ360" s="347" t="str">
        <f t="shared" si="1147"/>
        <v xml:space="preserve"> </v>
      </c>
      <c r="BR360" s="353" t="str">
        <f t="shared" si="1148"/>
        <v xml:space="preserve"> </v>
      </c>
      <c r="BS360" s="626" t="str">
        <f>IF(L360&gt;0,IF(Calculation!P360="M13",BR360*3.1416*(0.134^2)/(4*144),IF(Calculation!P360="M17",BR360*3.1416*(0.165^2)/(4*144),IF(Calculation!P360="M20",BR360*3.1416*(0.198^2)/(4*144),IF(Calculation!P360="M23",BR360*3.1416*(0.228^2)/(4*144),IF(Calculation!P360="M27",BR360*3.1416*(0.269^2)/(4*144),BR360*3.1416*(0.307^2)/(4*144))))))," ")</f>
        <v xml:space="preserve"> </v>
      </c>
      <c r="BT360" s="353" t="str">
        <f>IF(L360&gt;0,IF(BS360&gt;0,R360/Calculation!BS360,0)," ")</f>
        <v xml:space="preserve"> </v>
      </c>
      <c r="BU360" s="438" t="e">
        <f t="shared" ca="1" si="1056"/>
        <v>#VALUE!</v>
      </c>
      <c r="BV360" s="449" t="e">
        <f ca="1">INDEX(INDIRECT(VLOOKUP(LEFT(BO360,7),CLU!$Z$3:$AH$18,2)),GN360,GR360)</f>
        <v>#N/A</v>
      </c>
      <c r="BW360" s="433" t="e">
        <f ca="1">INDEX(INDIRECT(VLOOKUP(LEFT(BO360,7),CLU!$Z$3:$AH$18,3)),GN360,GR360)</f>
        <v>#N/A</v>
      </c>
      <c r="BX360" s="433" t="e">
        <f ca="1">INDEX(INDIRECT(VLOOKUP(LEFT(BO360,7),CLU!$Z$3:$AH$18,4)),GN360,GR360)</f>
        <v>#N/A</v>
      </c>
      <c r="BY360" s="433" t="e">
        <f ca="1">INDEX(INDIRECT(VLOOKUP(LEFT(BO360,7),CLU!$Z$3:$AH$18,9)),((M360-2)*(6-COUNTBLANK(GT360:GY360)))+GJ360)</f>
        <v>#N/A</v>
      </c>
      <c r="BZ360" s="426" t="e">
        <f t="shared" ca="1" si="1149"/>
        <v>#N/A</v>
      </c>
      <c r="CA360" s="424" t="e">
        <f t="shared" ca="1" si="1150"/>
        <v>#N/A</v>
      </c>
      <c r="CB360" s="429" t="e">
        <f ca="1">INDEX(INDIRECT(VLOOKUP(LEFT(BO360,7),CLU!$Z$3:$AH$18,2)),GN360,GS360)</f>
        <v>#N/A</v>
      </c>
      <c r="CC360" s="342" t="e">
        <f ca="1">INDEX(INDIRECT(VLOOKUP(LEFT(BO360,7),CLU!$Z$3:$AH$18,3)),GN360,GS360)</f>
        <v>#N/A</v>
      </c>
      <c r="CD360" s="342" t="e">
        <f ca="1">INDEX(INDIRECT(VLOOKUP(LEFT(BO360,7),CLU!$Z$3:$AH$18,4)),GN360,GS360)</f>
        <v>#N/A</v>
      </c>
      <c r="CE360" s="426" t="e">
        <f t="shared" ca="1" si="1151"/>
        <v>#N/A</v>
      </c>
      <c r="CF360" s="440">
        <f t="shared" si="1152"/>
        <v>0</v>
      </c>
      <c r="CG360" s="431" t="e">
        <f ca="1">INDEX(INDIRECT(VLOOKUP(LEFT(BO360,7),CLU!$Z$3:$AH$18,2)),GQ360,GR360)</f>
        <v>#N/A</v>
      </c>
      <c r="CH360" s="431" t="e">
        <f ca="1">INDEX(INDIRECT(VLOOKUP(LEFT(BO360,7),CLU!$Z$3:$AH$18,3)),GQ360,GR360)</f>
        <v>#N/A</v>
      </c>
      <c r="CI360" s="431" t="e">
        <f ca="1">INDEX(INDIRECT(VLOOKUP(LEFT(BO360,7),CLU!$Z$3:$AH$18,4)),GQ360,GR360)</f>
        <v>#N/A</v>
      </c>
      <c r="CJ360" s="448" t="e">
        <f t="shared" ca="1" si="1153"/>
        <v>#N/A</v>
      </c>
      <c r="CK360" s="431" t="e">
        <f t="shared" ca="1" si="1154"/>
        <v>#N/A</v>
      </c>
      <c r="CL360" s="440" t="e">
        <f t="shared" ca="1" si="1155"/>
        <v>#N/A</v>
      </c>
      <c r="CM360" s="431" t="e">
        <f ca="1">INDEX(INDIRECT(VLOOKUP(LEFT(BO360,7),CLU!$Z$3:$AH$18,2)),GQ360,GS360)</f>
        <v>#N/A</v>
      </c>
      <c r="CN360" s="431" t="e">
        <f ca="1">INDEX(INDIRECT(VLOOKUP(LEFT(BO360,7),CLU!$Z$3:$AH$18,3)),GQ360,GS360)</f>
        <v>#N/A</v>
      </c>
      <c r="CO360" s="431" t="e">
        <f ca="1">INDEX(INDIRECT(VLOOKUP(LEFT(BO360,7),CLU!$Z$3:$AH$18,4)),GQ360,GS360)</f>
        <v>#N/A</v>
      </c>
      <c r="CP360" s="431" t="e">
        <f t="shared" ca="1" si="1156"/>
        <v>#N/A</v>
      </c>
      <c r="CQ360" s="440">
        <f t="shared" si="1157"/>
        <v>0</v>
      </c>
      <c r="CR360" s="51" t="e">
        <f t="shared" ca="1" si="1158"/>
        <v>#N/A</v>
      </c>
      <c r="CS360" s="439" t="e">
        <f t="shared" ca="1" si="1159"/>
        <v>#VALUE!</v>
      </c>
      <c r="CT360" s="51" t="e">
        <f t="shared" ca="1" si="1160"/>
        <v>#VALUE!</v>
      </c>
      <c r="CU360" s="10"/>
      <c r="CV360" s="51" t="e">
        <f t="shared" ca="1" si="1057"/>
        <v>#VALUE!</v>
      </c>
      <c r="CW360" s="51">
        <f t="shared" si="1161"/>
        <v>0</v>
      </c>
      <c r="CX360" s="439" t="e">
        <f t="shared" ca="1" si="1162"/>
        <v>#VALUE!</v>
      </c>
      <c r="CY360" s="51" t="e">
        <f t="shared" ca="1" si="1163"/>
        <v>#VALUE!</v>
      </c>
      <c r="CZ360" s="10"/>
      <c r="DA360" s="51" t="e">
        <f t="shared" ca="1" si="1164"/>
        <v>#VALUE!</v>
      </c>
      <c r="DB360" s="347" t="e">
        <f ca="1">INDEX(INDIRECT(VLOOKUP(LEFT(BO360,7),CLU!$Z$3:$AI$18,10)),((M360-2)*(6-COUNTBLANK(GT360:GY360)))+GJ360)*LI360</f>
        <v>#N/A</v>
      </c>
      <c r="DC360" s="347" t="str">
        <f>IF(L360&gt;0,((R360/Worksheet!$I$15)/DB360)^2," ")</f>
        <v xml:space="preserve"> </v>
      </c>
      <c r="DD360" s="602" t="str">
        <f t="shared" si="1165"/>
        <v xml:space="preserve"> </v>
      </c>
      <c r="DE360" s="347" t="str">
        <f t="shared" si="1058"/>
        <v xml:space="preserve"> </v>
      </c>
      <c r="DF360" s="356" t="e">
        <f ca="1">INDEX(INDIRECT(VLOOKUP(LEFT(BO360,7),CLU!$Z$3:$AH$18,8)),((M360-2)*(6-COUNTBLANK(GT360:GY360)))+GJ360)</f>
        <v>#N/A</v>
      </c>
      <c r="DG360" s="347" t="str">
        <f t="shared" si="1059"/>
        <v xml:space="preserve"> </v>
      </c>
      <c r="DH360" s="357" t="str">
        <f t="shared" si="1060"/>
        <v xml:space="preserve"> </v>
      </c>
      <c r="DI360" s="355" t="str">
        <f t="shared" si="1061"/>
        <v xml:space="preserve"> </v>
      </c>
      <c r="DJ360" s="245" t="e">
        <f ca="1">INDEX(INDIRECT(VLOOKUP(LEFT(BO360,7),CLU!$Z$3:$AH$18,5)),GL360,GK360)</f>
        <v>#N/A</v>
      </c>
      <c r="DK360" s="245" t="e">
        <f ca="1">INDEX(INDIRECT(VLOOKUP(LEFT(BO360,7),CLU!$Z$3:$AH$18,6)),GL360,GK360)</f>
        <v>#N/A</v>
      </c>
      <c r="DL360" s="355">
        <f>(Calculation!R360*0.69143*(Calculation!$BQ$8-Calculation!$F$8))*$S$14</f>
        <v>0</v>
      </c>
      <c r="DM360" s="359" t="e">
        <f t="shared" si="1166"/>
        <v>#VALUE!</v>
      </c>
      <c r="DN360" s="611">
        <f t="shared" si="1167"/>
        <v>0</v>
      </c>
      <c r="DO360" s="359">
        <f t="shared" si="1168"/>
        <v>100</v>
      </c>
      <c r="DP360" s="359">
        <f t="shared" si="1169"/>
        <v>0</v>
      </c>
      <c r="DQ360" s="360"/>
      <c r="DR360" s="245" t="e">
        <f ca="1">INDEX(INDIRECT(VLOOKUP(LEFT(BO360,7),CLU!$Z$3:$AH$18,7)),M360-1,1)</f>
        <v>#N/A</v>
      </c>
      <c r="DS360" s="245" t="e">
        <f ca="1">INDEX(INDIRECT(VLOOKUP(LEFT(BO360,7),CLU!$Z$3:$AH$18,7)),M360-1,2)</f>
        <v>#N/A</v>
      </c>
      <c r="DT360" s="245" t="e">
        <f ca="1">INDEX(INDIRECT(VLOOKUP(LEFT(BO360,7),CLU!$Z$3:$AH$18,7)),M360-1,3)</f>
        <v>#N/A</v>
      </c>
      <c r="DU360" s="245" t="e">
        <f ca="1">INDEX(INDIRECT(VLOOKUP(LEFT(BO360,7),CLU!$Z$3:$AH$18,7)),M360-1,4)</f>
        <v>#N/A</v>
      </c>
      <c r="DV360" s="361" t="e">
        <f ca="1">INDEX(INDIRECT(VLOOKUP(LEFT(BO360,7),CLU!$Z$3:$AH$18,7)),M360-1,4+LEFT(DZ360,1)*0.5)</f>
        <v>#N/A</v>
      </c>
      <c r="DW360" s="245" t="e">
        <f ca="1">INDEX(INDIRECT(VLOOKUP(LEFT(BO360,7),CLU!$Z$3:$AH$18,7)),M360-1,8)</f>
        <v>#N/A</v>
      </c>
      <c r="DX360" s="361" t="str">
        <f t="shared" si="1062"/>
        <v xml:space="preserve"> </v>
      </c>
      <c r="DY360" s="361" t="str">
        <f t="shared" si="1063"/>
        <v xml:space="preserve"> </v>
      </c>
      <c r="DZ360" s="361" t="str">
        <f t="shared" si="1064"/>
        <v xml:space="preserve"> </v>
      </c>
      <c r="EA360" s="362" t="str">
        <f t="shared" si="1065"/>
        <v xml:space="preserve"> </v>
      </c>
      <c r="EB360" s="624" t="str">
        <f t="shared" si="1170"/>
        <v xml:space="preserve"> </v>
      </c>
      <c r="EC360" s="361" t="e">
        <f ca="1">INDEX(INDIRECT(VLOOKUP(LEFT(BO360,7),CLU!$Z$3:$AH$18,7)),M360-1,4+LEFT(DZ360,1)*0.5)</f>
        <v>#N/A</v>
      </c>
      <c r="ED360" s="362" t="str">
        <f t="shared" si="1066"/>
        <v xml:space="preserve"> </v>
      </c>
      <c r="EE360" s="361" t="str">
        <f t="shared" si="1067"/>
        <v xml:space="preserve"> </v>
      </c>
      <c r="EF360" s="362" t="str">
        <f>IF(L360&gt;0,IF(BR360&gt;0,IF(EE360="2P",IF(Calculation!DZ360="2P",IF(Calculation!DS360=13.75,IF(Calculation!DR360=13,Worksheet!$BD$43,IF(Calculation!DR360=37,Worksheet!$BD$44,Worksheet!$BD$45)),IF(Calculation!DS360=10,IF(Calculation!DR360=18,Worksheet!$BD$29,IF(Calculation!DR360=30,Worksheet!$BD$30,IF(Calculation!DR360=42,Worksheet!$BD$31,IF(Calculation!DR360=54,Worksheet!$BD$32,IF(Calculation!DR360=66,Worksheet!$BD$33,IF(Calculation!DR360=78,Worksheet!$BD$34,IF(Calculation!DR360=90,Worksheet!$BD$35,IF(Calculation!DR360=102,Worksheet!$BD$36,Worksheet!$BD$37)))))))),IF(Calculation!DS360=12.5,IF(Calculation!DR360=18,Worksheet!$BD$38,IF(Calculation!DR360=Worksheet!$BD$39,IF(Calculation!DR360=42,Worksheet!$BD$40,IF(Calculation!DR360=54,Worksheet!$BD$41,Worksheet!$BD$42)))),IF(Calculation!DR360=18,Worksheet!$BD$11,IF(Calculation!DR360=30,Worksheet!$BD$12,IF(Calculation!DR360=42,Worksheet!$BD$13,IF(Calculation!DR360=54,Worksheet!$BD$14,IF(Calculation!DR360=66,Worksheet!$BD$15,IF(Calculation!DR360=78,Worksheet!$BD$16,IF(Calculation!DR360=90,Worksheet!$BD$17,IF(Calculation!DR360=102,Worksheet!$BD$18,Worksheet!$BD$19))))))))))),IF(Calculation!DS360=13.75,IF(Calculation!DR360=13,Worksheet!$BD$78,IF(Calculation!DR360=37,Worksheet!$BD$79,Worksheet!$BD$80)),IF(Calculation!DS360=10,IF(Calculation!DR360=18,Worksheet!$BD$64,IF(Calculation!DR360=30,Worksheet!$BD$65,IF(Calculation!DR360=42,Worksheet!$BD$66,IF(Calculation!DR360=54,Worksheet!$BD$68,IF(Calculation!DR360=66,Worksheet!$BD$68,IF(Calculation!DR360=78,Worksheet!$BD$69,IF(Calculation!DR360=90,Worksheet!$BD$70,IF(Calculation!DR360=102,Worksheet!$BD$71,Worksheet!$BD$72)))))))),IF(Calculation!DS360=12.5,IF(Calculation!DR360=18,Worksheet!$BD$73,IF(Calculation!DR360=Worksheet!$BD$74,IF(Calculation!DR360=42,Worksheet!$BD$75,IF(Calculation!DR360=54,Worksheet!$BD$76,Worksheet!$BD$77)))),IF(Calculation!DR360=18,Worksheet!$BD$55,IF(Calculation!DR360=30,Worksheet!$BD$56,IF(Calculation!DR360=42,Worksheet!$BD$57,IF(Calculation!DR360=54,Worksheet!$BD$58,IF(Calculation!DR360=66,Worksheet!$BD$59,IF(Calculation!DR360=78,Worksheet!$BD$60,IF(Calculation!DR360=90,Worksheet!$BD$61,IF(Calculation!DR360=102,Worksheet!$BD$62,Worksheet!$BD$63)))))))))))),5),0)," ")</f>
        <v xml:space="preserve"> </v>
      </c>
      <c r="EG360" s="361" t="str">
        <f t="shared" si="1068"/>
        <v xml:space="preserve"> </v>
      </c>
      <c r="EH360" s="361" t="e">
        <f ca="1">INDEX(INDIRECT(VLOOKUP(LEFT(BO360,7),CLU!$Z$3:$AH$18,7)),M360-1,3+LEFT(DZ360,1))</f>
        <v>#N/A</v>
      </c>
      <c r="EI360" s="362" t="str">
        <f t="shared" si="1069"/>
        <v xml:space="preserve"> </v>
      </c>
      <c r="EJ360" s="363" t="str">
        <f t="shared" si="1070"/>
        <v xml:space="preserve"> </v>
      </c>
      <c r="EK360" s="363" t="str">
        <f t="shared" si="1071"/>
        <v xml:space="preserve"> </v>
      </c>
      <c r="EL360" s="363" t="str">
        <f t="shared" si="1072"/>
        <v xml:space="preserve"> </v>
      </c>
      <c r="EM360" s="362" t="str">
        <f>IF(L360&gt;0,IF(BR360&gt;0,(Calculation!T360/ED360)^2,0)," ")</f>
        <v xml:space="preserve"> </v>
      </c>
      <c r="EN360" s="362" t="str">
        <f>IF(L360&gt;0,IF(O360="2 Pipe (Cooling)","N/A",IF(BR360&gt;0,(Calculation!U360/EI360)^2,0))," ")</f>
        <v xml:space="preserve"> </v>
      </c>
      <c r="EO360" s="361" t="str">
        <f t="shared" si="1073"/>
        <v/>
      </c>
      <c r="EP360" s="361" t="str">
        <f t="shared" si="1074"/>
        <v/>
      </c>
      <c r="EQ360" s="361" t="str">
        <f t="shared" si="1075"/>
        <v/>
      </c>
      <c r="ER360" s="361" t="str">
        <f t="shared" si="1076"/>
        <v/>
      </c>
      <c r="ES360" s="361" t="str">
        <f t="shared" si="1077"/>
        <v/>
      </c>
      <c r="ET360" s="361" t="str">
        <f t="shared" si="1078"/>
        <v/>
      </c>
      <c r="EU360" s="361" t="str">
        <f t="shared" si="1079"/>
        <v/>
      </c>
      <c r="EV360" s="361" t="str">
        <f t="shared" si="1080"/>
        <v/>
      </c>
      <c r="EW360" s="361" t="str">
        <f t="shared" si="1081"/>
        <v/>
      </c>
      <c r="EX360" s="361" t="str">
        <f t="shared" si="1171"/>
        <v>1 slot, 1 way</v>
      </c>
      <c r="EY360" s="361" t="str">
        <f t="shared" si="1172"/>
        <v xml:space="preserve"> </v>
      </c>
      <c r="EZ360" s="361" t="str">
        <f t="shared" si="1173"/>
        <v xml:space="preserve"> </v>
      </c>
      <c r="FA360" s="361" t="str">
        <f t="shared" si="1174"/>
        <v xml:space="preserve"> </v>
      </c>
      <c r="FB360" s="361" t="str">
        <f t="shared" si="1175"/>
        <v xml:space="preserve"> </v>
      </c>
      <c r="FC360" s="361"/>
      <c r="FD360" s="361" t="str">
        <f>IF(J360&gt;0,IF(Calculation!R360&lt;=70,4,IF(Calculation!R360&lt;=110,5,IF(Calculation!R360&lt;=160,6,IF(Calculation!R360&lt;=300,8,"10 EO")))),"")</f>
        <v/>
      </c>
      <c r="FE360" s="361" t="str">
        <f t="shared" si="1176"/>
        <v/>
      </c>
      <c r="FF360" s="361" t="str">
        <f t="shared" si="1177"/>
        <v/>
      </c>
      <c r="FG360" s="361" t="e">
        <f t="shared" si="1082"/>
        <v>#N/A</v>
      </c>
      <c r="FH360" s="361">
        <f t="shared" si="1083"/>
        <v>0</v>
      </c>
      <c r="FI360" s="361" t="e">
        <f t="shared" si="1084"/>
        <v>#DIV/0!</v>
      </c>
      <c r="FJ360" s="361"/>
      <c r="FK360" s="356" t="e">
        <f t="shared" si="1085"/>
        <v>#VALUE!</v>
      </c>
      <c r="FL360" s="361"/>
      <c r="FM360" s="361"/>
      <c r="FN360" s="362" t="str">
        <f t="shared" si="1178"/>
        <v xml:space="preserve"> </v>
      </c>
      <c r="FO360" s="362" t="str">
        <f t="shared" si="1179"/>
        <v xml:space="preserve"> </v>
      </c>
      <c r="FP360" s="362">
        <f t="shared" si="1180"/>
        <v>0</v>
      </c>
      <c r="FQ360" s="361">
        <f t="shared" si="1086"/>
        <v>0</v>
      </c>
      <c r="FR360" s="362" t="str">
        <f>IF(L360&gt;0,IF(J360="CBAL2",Worksheet!$P$67,IF(J360="CBE2-24",Worksheet!$Q$67,IF(J360="CBAM",Worksheet!$R$67,IF(J360="CBLV",Worksheet!$S$67,IF(J360="CBAB",Worksheet!$U$67,IF(J360="CBAW",Worksheet!$X$67,IF(J360="CBE2-12",Worksheet!$Y$67,IF(J360="CBAL2",Worksheet!$Z$67,"N/A"))))))))," ")</f>
        <v xml:space="preserve"> </v>
      </c>
      <c r="FS360" s="362" t="str">
        <f>IF(L360&gt;0,IF(J360="CBAL2",Worksheet!$P$68,IF(J360="CBE2-24",Worksheet!$Q$68,IF(J360="CBAM",Worksheet!$R$68,IF(J360="CBLV",Worksheet!$S$68,IF(J360="CBAB",Worksheet!$U$68,IF(J360="CBAW",Worksheet!$X$68,IF(J360="CBE2-12",Worksheet!$Y$68,IF(J360="CBAL2",Worksheet!$Z$68,"N/A"))))))))," ")</f>
        <v xml:space="preserve"> </v>
      </c>
      <c r="FT360" s="362" t="str">
        <f>IF(L360&gt;0,IF(J360="CBAL2",Worksheet!$P$69,IF(J360="CBE2-24",Worksheet!$Q$69,IF(J360="CBAM",Worksheet!$R$69,IF(J360="CBLV",Worksheet!$S$69,IF(J360="CBAB",Worksheet!$U$69,IF(J360="CBAW",Worksheet!$X$69,IF(J360="CBE2-12",Worksheet!$Y$69,IF(J360="CBAL2",Worksheet!$Z$69,"N/A"))))))))," ")</f>
        <v xml:space="preserve"> </v>
      </c>
      <c r="FU360" s="361" t="str">
        <f t="shared" si="1181"/>
        <v xml:space="preserve"> </v>
      </c>
      <c r="FV360" s="362" t="str">
        <f t="shared" si="1182"/>
        <v xml:space="preserve"> </v>
      </c>
      <c r="FW360" s="362" t="str">
        <f t="shared" si="1183"/>
        <v xml:space="preserve"> </v>
      </c>
      <c r="FX360" s="362" t="str">
        <f t="shared" si="1184"/>
        <v xml:space="preserve"> </v>
      </c>
      <c r="FY360" s="355" t="str">
        <f t="shared" si="1185"/>
        <v xml:space="preserve"> </v>
      </c>
      <c r="FZ360" s="361" t="str">
        <f t="shared" si="1186"/>
        <v xml:space="preserve"> </v>
      </c>
      <c r="GA360" s="347" t="str">
        <f t="shared" si="1187"/>
        <v xml:space="preserve"> </v>
      </c>
      <c r="GB360" s="355" t="str">
        <f t="shared" si="1188"/>
        <v xml:space="preserve"> </v>
      </c>
      <c r="GC360" s="328" t="str">
        <f t="shared" si="1189"/>
        <v xml:space="preserve"> </v>
      </c>
      <c r="GD360" s="361" t="str">
        <f t="shared" si="1190"/>
        <v xml:space="preserve"> </v>
      </c>
      <c r="GE360" s="347" t="str">
        <f t="shared" si="1191"/>
        <v xml:space="preserve"> </v>
      </c>
      <c r="GF360" s="361" t="str">
        <f t="shared" si="1192"/>
        <v xml:space="preserve"> </v>
      </c>
      <c r="GG360" s="347" t="str">
        <f t="shared" si="1193"/>
        <v xml:space="preserve"> </v>
      </c>
      <c r="GH360" s="364">
        <f t="shared" si="1087"/>
        <v>0</v>
      </c>
      <c r="GI360" s="362">
        <f t="shared" si="1194"/>
        <v>2</v>
      </c>
      <c r="GJ360" s="433" t="e">
        <f>IF(6-COUNTBLANK(GT360:GY360)=4,MATCH(MID(BO360,9,3),CLU!$H$16:$K$16),MATCH(MID(BO360,9,3),CLU!$H$13:$M$13))</f>
        <v>#N/A</v>
      </c>
      <c r="GK360" s="433" t="e">
        <f>HLOOKUP(VALUE(BP360),CLU!$H$9:$M$10,2)</f>
        <v>#VALUE!</v>
      </c>
      <c r="GL360" s="433" t="e">
        <f ca="1">MATCH(BU360,CLU!$H$2:$V$2,1)</f>
        <v>#VALUE!</v>
      </c>
      <c r="GM360" s="433" t="e">
        <f t="shared" ca="1" si="1195"/>
        <v>#VALUE!</v>
      </c>
      <c r="GN360" s="433" t="e">
        <f t="shared" ca="1" si="1196"/>
        <v>#VALUE!</v>
      </c>
      <c r="GO360" s="433" t="e">
        <f t="shared" ca="1" si="1197"/>
        <v>#VALUE!</v>
      </c>
      <c r="GP360" s="433" t="e">
        <f t="shared" ca="1" si="1198"/>
        <v>#VALUE!</v>
      </c>
      <c r="GQ360" s="433" t="e">
        <f t="shared" ca="1" si="1199"/>
        <v>#VALUE!</v>
      </c>
      <c r="GR360" s="433" t="e">
        <f ca="1">MATCH(T360,INDIRECT(VLOOKUP(CONCATENATE(LEFT(BO360,7),"-",MID(BO360,13,1)),CLU!$P$3:$Q$16,2)),1)</f>
        <v>#N/A</v>
      </c>
      <c r="GS360" s="433" t="e">
        <f ca="1">MATCH(U360,INDIRECT(VLOOKUP(CONCATENATE(LEFT(BO360,7),"-",MID(BO360,13,1)),CLU!$P$3:$Q$16,2)),1)</f>
        <v>#N/A</v>
      </c>
      <c r="GT360" s="347" t="s">
        <v>512</v>
      </c>
      <c r="GU360" s="97" t="s">
        <v>513</v>
      </c>
      <c r="GV360" s="97" t="str">
        <f t="shared" si="1200"/>
        <v>M23</v>
      </c>
      <c r="GW360" s="97" t="str">
        <f t="shared" si="1201"/>
        <v>M31</v>
      </c>
      <c r="GX360" s="97" t="str">
        <f t="shared" si="1202"/>
        <v/>
      </c>
      <c r="GY360" s="97" t="str">
        <f t="shared" si="1203"/>
        <v/>
      </c>
      <c r="GZ360" s="481"/>
      <c r="HA360" s="240"/>
      <c r="HB360" s="240"/>
      <c r="HC360" s="240"/>
      <c r="HD360" s="240"/>
      <c r="HE360" s="240"/>
      <c r="HF360" s="240"/>
      <c r="HG360" s="240"/>
      <c r="HH360" s="240"/>
      <c r="HI360" s="240"/>
      <c r="HJ360" s="240"/>
      <c r="HK360" s="240"/>
      <c r="HL360" s="240"/>
      <c r="HM360" s="240"/>
      <c r="HN360" s="240"/>
      <c r="HO360" s="240"/>
      <c r="HP360" s="240"/>
      <c r="HQ360" s="240"/>
      <c r="HR360" s="240"/>
      <c r="HS360" s="240"/>
      <c r="HT360" s="240"/>
      <c r="HU360" s="240"/>
      <c r="HV360" s="245"/>
      <c r="HW360" s="245" t="b">
        <v>1</v>
      </c>
      <c r="HX360" s="245" t="str">
        <f t="shared" si="1088"/>
        <v/>
      </c>
      <c r="HY360" s="245" t="e">
        <f t="shared" si="1089"/>
        <v>#DIV/0!</v>
      </c>
      <c r="HZ360" s="245" t="e">
        <f t="shared" si="1090"/>
        <v>#DIV/0!</v>
      </c>
      <c r="IA360" s="245">
        <f t="shared" si="1091"/>
        <v>0</v>
      </c>
      <c r="IB360" s="245"/>
      <c r="IC360" t="b">
        <f t="shared" si="1092"/>
        <v>1</v>
      </c>
      <c r="ID360" s="245" t="b">
        <f t="shared" si="1093"/>
        <v>1</v>
      </c>
      <c r="IE360" s="245" t="b">
        <f t="shared" si="1094"/>
        <v>1</v>
      </c>
      <c r="IF360" s="245" t="b">
        <f t="shared" si="1095"/>
        <v>0</v>
      </c>
      <c r="IG360" s="245" t="b">
        <f t="shared" si="1096"/>
        <v>1</v>
      </c>
      <c r="IH360" s="245" t="b">
        <f t="shared" si="1097"/>
        <v>1</v>
      </c>
      <c r="II360" s="245">
        <f t="shared" si="1204"/>
        <v>0</v>
      </c>
      <c r="IJ360" s="245" t="e">
        <f t="shared" si="1098"/>
        <v>#VALUE!</v>
      </c>
      <c r="IK360" s="245" t="e">
        <f t="shared" si="1099"/>
        <v>#VALUE!</v>
      </c>
      <c r="IL360" s="245"/>
      <c r="IM360" s="245" t="e">
        <f t="shared" si="1205"/>
        <v>#N/A</v>
      </c>
      <c r="IN360" s="245" t="e">
        <f t="shared" si="1206"/>
        <v>#N/A</v>
      </c>
      <c r="IO360" s="245"/>
      <c r="IP360" s="245"/>
      <c r="IQ360" s="245" t="str">
        <f t="shared" si="1100"/>
        <v/>
      </c>
      <c r="IR360" s="245" t="str">
        <f>IF(J360="","",VLOOKUP(J360,Worksheet!$R$4:$T$14,2))</f>
        <v/>
      </c>
      <c r="IS360" s="245"/>
      <c r="IT360" s="245">
        <f t="shared" si="1101"/>
        <v>0</v>
      </c>
      <c r="IU360" s="245">
        <f t="shared" si="1102"/>
        <v>0</v>
      </c>
      <c r="IV360" s="245">
        <f t="shared" si="1103"/>
        <v>0</v>
      </c>
      <c r="IW360" s="245">
        <f t="shared" si="1104"/>
        <v>0</v>
      </c>
      <c r="IX360" s="245">
        <f t="shared" si="1207"/>
        <v>0</v>
      </c>
      <c r="IY360" s="245">
        <f t="shared" si="1105"/>
        <v>0</v>
      </c>
      <c r="IZ360" s="245">
        <f t="shared" si="1106"/>
        <v>0</v>
      </c>
      <c r="JA360">
        <f t="shared" si="1107"/>
        <v>0</v>
      </c>
      <c r="JB360">
        <f t="shared" si="1208"/>
        <v>0</v>
      </c>
      <c r="JC360">
        <f t="shared" si="1108"/>
        <v>0</v>
      </c>
      <c r="JD360">
        <f t="shared" si="1109"/>
        <v>0</v>
      </c>
      <c r="JE360">
        <f t="shared" si="1110"/>
        <v>0</v>
      </c>
      <c r="JF360">
        <f t="shared" si="1111"/>
        <v>0</v>
      </c>
      <c r="JG360">
        <f t="shared" si="1112"/>
        <v>0</v>
      </c>
      <c r="JH360">
        <f t="shared" si="1113"/>
        <v>0</v>
      </c>
      <c r="JI360">
        <f t="shared" si="1114"/>
        <v>0</v>
      </c>
      <c r="JJ360" s="447">
        <f t="shared" si="1115"/>
        <v>0</v>
      </c>
      <c r="JK360" s="447">
        <f t="shared" si="1116"/>
        <v>0</v>
      </c>
      <c r="JL360">
        <f t="shared" si="1117"/>
        <v>0</v>
      </c>
      <c r="JM360" s="245" t="str">
        <f>IFERROR(VLOOKUP(MATCH(BN360,#REF!,0),#REF!,7),"")</f>
        <v/>
      </c>
      <c r="JN360" t="e">
        <f>HLOOKUP(LEFT(BO360,7),Discharge_Area,MATCH(JO360,LookUps!$B$130:$B$149,1)+2)</f>
        <v>#N/A</v>
      </c>
      <c r="JO360" t="str">
        <f t="shared" si="1118"/>
        <v>- S</v>
      </c>
      <c r="JP360" t="e">
        <f>HLOOKUP(LEFT(BO360,7),Discharge_Area,MATCH(JO360,LookUps!$B$130:$B$149,1)+2)</f>
        <v>#N/A</v>
      </c>
      <c r="JQ360" t="e">
        <f t="shared" si="1119"/>
        <v>#N/A</v>
      </c>
      <c r="JR360" t="e">
        <f t="shared" si="1120"/>
        <v>#N/A</v>
      </c>
      <c r="JS360" t="e">
        <f t="shared" si="1121"/>
        <v>#N/A</v>
      </c>
      <c r="JT360" s="532" t="str">
        <f t="shared" si="1122"/>
        <v xml:space="preserve"> </v>
      </c>
      <c r="JU360" s="532" t="str">
        <f t="shared" si="1123"/>
        <v xml:space="preserve"> </v>
      </c>
      <c r="JV360" s="533" t="str">
        <f t="shared" si="1124"/>
        <v xml:space="preserve"> </v>
      </c>
      <c r="JW360" s="534">
        <f t="shared" si="1125"/>
        <v>0</v>
      </c>
      <c r="JX360" s="535" t="str">
        <f t="shared" si="1209"/>
        <v xml:space="preserve"> </v>
      </c>
      <c r="JY360" s="535" t="str">
        <f t="shared" si="1210"/>
        <v xml:space="preserve"> </v>
      </c>
      <c r="JZ360" s="535" t="str">
        <f t="shared" si="1211"/>
        <v xml:space="preserve"> </v>
      </c>
      <c r="KA360" s="536" t="str">
        <f t="shared" si="1126"/>
        <v xml:space="preserve"> </v>
      </c>
      <c r="KB360" s="535" t="e">
        <f t="shared" si="1212"/>
        <v>#VALUE!</v>
      </c>
      <c r="KC360" s="535" t="str">
        <f t="shared" si="1127"/>
        <v/>
      </c>
      <c r="KD360" s="537" t="str">
        <f t="shared" si="1213"/>
        <v xml:space="preserve"> </v>
      </c>
      <c r="KE360" s="537" t="str">
        <f t="shared" si="1214"/>
        <v xml:space="preserve"> </v>
      </c>
      <c r="KF360" s="534">
        <f t="shared" si="1128"/>
        <v>0</v>
      </c>
      <c r="KG360" s="535" t="str">
        <f t="shared" si="1129"/>
        <v xml:space="preserve"> </v>
      </c>
      <c r="KH360" s="535" t="str">
        <f t="shared" si="1130"/>
        <v xml:space="preserve"> </v>
      </c>
      <c r="KI360" s="535" t="str">
        <f t="shared" si="1131"/>
        <v xml:space="preserve"> </v>
      </c>
      <c r="KJ360" s="536" t="str">
        <f t="shared" si="1132"/>
        <v xml:space="preserve"> </v>
      </c>
      <c r="KK360" s="535" t="str">
        <f t="shared" si="1215"/>
        <v xml:space="preserve"> </v>
      </c>
      <c r="KL360" s="535" t="str">
        <f t="shared" si="1216"/>
        <v xml:space="preserve"> </v>
      </c>
      <c r="KM360" s="537" t="str">
        <f t="shared" si="1133"/>
        <v xml:space="preserve"> </v>
      </c>
      <c r="KN360" s="537" t="str">
        <f t="shared" si="1217"/>
        <v xml:space="preserve"> </v>
      </c>
      <c r="KP360">
        <f t="shared" si="1134"/>
        <v>0</v>
      </c>
      <c r="LA360" t="e">
        <f t="shared" si="1135"/>
        <v>#VALUE!</v>
      </c>
      <c r="LB360" t="e">
        <f t="shared" si="1136"/>
        <v>#VALUE!</v>
      </c>
      <c r="LC360" t="e">
        <f t="shared" si="1137"/>
        <v>#VALUE!</v>
      </c>
      <c r="LD360" t="e">
        <f t="shared" si="1138"/>
        <v>#VALUE!</v>
      </c>
      <c r="LE360" t="e">
        <f t="shared" si="1218"/>
        <v>#VALUE!</v>
      </c>
      <c r="LF360">
        <f t="shared" si="1139"/>
        <v>0</v>
      </c>
      <c r="LG360" t="e">
        <f t="shared" si="1219"/>
        <v>#VALUE!</v>
      </c>
      <c r="LH360" t="str">
        <f t="shared" si="1140"/>
        <v xml:space="preserve"> </v>
      </c>
      <c r="LI360">
        <f t="shared" si="1220"/>
        <v>1</v>
      </c>
    </row>
    <row r="361" spans="2:321" ht="15" customHeight="1">
      <c r="B361" s="311"/>
      <c r="C361" s="311"/>
      <c r="D361" s="312"/>
      <c r="E361" s="311"/>
      <c r="F361" s="312"/>
      <c r="G361" s="311"/>
      <c r="H361" s="311"/>
      <c r="I361" s="232"/>
      <c r="J361" s="311"/>
      <c r="K361" s="305" t="str">
        <f t="shared" si="1141"/>
        <v/>
      </c>
      <c r="L361" s="313"/>
      <c r="M361" s="312"/>
      <c r="N361" s="311"/>
      <c r="O361" s="312"/>
      <c r="P361" s="311"/>
      <c r="Q361" s="305" t="str">
        <f t="shared" si="1142"/>
        <v/>
      </c>
      <c r="R361" s="314"/>
      <c r="S361" s="450" t="str">
        <f t="shared" si="1025"/>
        <v/>
      </c>
      <c r="T361" s="315"/>
      <c r="U361" s="315"/>
      <c r="W361" s="149" t="str">
        <f t="shared" si="1026"/>
        <v xml:space="preserve"> </v>
      </c>
      <c r="X361" s="243" t="str">
        <f t="shared" si="1027"/>
        <v xml:space="preserve"> </v>
      </c>
      <c r="Y361" s="150" t="str">
        <f t="shared" si="1028"/>
        <v/>
      </c>
      <c r="Z361" s="149" t="str">
        <f t="shared" si="1029"/>
        <v xml:space="preserve"> </v>
      </c>
      <c r="AA361" s="98" t="str">
        <f t="shared" si="1030"/>
        <v xml:space="preserve"> </v>
      </c>
      <c r="AB361" s="153" t="str">
        <f t="shared" si="1031"/>
        <v xml:space="preserve"> </v>
      </c>
      <c r="AC361" s="153" t="str">
        <f t="shared" si="1032"/>
        <v xml:space="preserve"> </v>
      </c>
      <c r="AD361" s="148" t="str">
        <f t="shared" si="1033"/>
        <v/>
      </c>
      <c r="AE361" s="149" t="str">
        <f t="shared" si="1034"/>
        <v/>
      </c>
      <c r="AF361" s="151" t="str">
        <f t="shared" si="1035"/>
        <v xml:space="preserve"> </v>
      </c>
      <c r="AG361" s="153" t="str">
        <f t="shared" si="1036"/>
        <v xml:space="preserve"> </v>
      </c>
      <c r="AH361" s="98" t="str">
        <f t="shared" si="1037"/>
        <v xml:space="preserve"> </v>
      </c>
      <c r="AI361" s="149" t="str">
        <f t="shared" si="1038"/>
        <v xml:space="preserve"> </v>
      </c>
      <c r="AK361" s="144" t="str">
        <f t="shared" si="1039"/>
        <v xml:space="preserve"> </v>
      </c>
      <c r="AL361" s="144"/>
      <c r="AM361" s="243" t="str">
        <f t="shared" si="1040"/>
        <v xml:space="preserve"> </v>
      </c>
      <c r="AN361" s="149" t="str">
        <f t="shared" si="1143"/>
        <v xml:space="preserve"> </v>
      </c>
      <c r="AO361" s="144" t="str">
        <f>IF(JB361&gt;0,IF(GI361=10,-R361*1.085*(Calculation!$F$6-Calculation!$F$13)*$S$14," "),"")</f>
        <v/>
      </c>
      <c r="AP361" s="144" t="str">
        <f t="shared" si="1041"/>
        <v/>
      </c>
      <c r="AQ361" s="56" t="str">
        <f t="shared" si="1042"/>
        <v/>
      </c>
      <c r="AR361" s="144" t="str">
        <f t="shared" si="1043"/>
        <v/>
      </c>
      <c r="AS361" s="176" t="str">
        <f t="shared" si="1044"/>
        <v/>
      </c>
      <c r="AT361" s="176" t="str">
        <f t="shared" si="1144"/>
        <v xml:space="preserve"> </v>
      </c>
      <c r="AU361" s="176" t="str">
        <f t="shared" si="1045"/>
        <v/>
      </c>
      <c r="AV361" s="177" t="str">
        <f t="shared" si="1046"/>
        <v xml:space="preserve"> </v>
      </c>
      <c r="AW361" s="144" t="str">
        <f t="shared" si="1047"/>
        <v xml:space="preserve"> </v>
      </c>
      <c r="AX361" s="144" t="str">
        <f t="shared" si="1048"/>
        <v xml:space="preserve"> </v>
      </c>
      <c r="AY361" s="152" t="str">
        <f t="shared" si="1049"/>
        <v xml:space="preserve"> </v>
      </c>
      <c r="AZ361" s="246" t="str">
        <f t="shared" si="1050"/>
        <v/>
      </c>
      <c r="BA361" s="176" t="str">
        <f t="shared" si="1051"/>
        <v xml:space="preserve"> </v>
      </c>
      <c r="BB361" s="176" t="str">
        <f t="shared" si="1052"/>
        <v xml:space="preserve"> </v>
      </c>
      <c r="BC361" s="195"/>
      <c r="BD361" s="316"/>
      <c r="BE361" s="317"/>
      <c r="BF361" s="318"/>
      <c r="BG361" s="318"/>
      <c r="BH361" s="144" t="str">
        <f t="shared" si="1221"/>
        <v xml:space="preserve"> </v>
      </c>
      <c r="BI361" s="176" t="str">
        <f t="shared" si="1053"/>
        <v/>
      </c>
      <c r="BJ361" s="144" t="str">
        <f t="shared" si="1222"/>
        <v/>
      </c>
      <c r="BK361" s="246" t="str">
        <f t="shared" si="1054"/>
        <v/>
      </c>
      <c r="BL361" s="144" t="str">
        <f t="shared" si="1223"/>
        <v/>
      </c>
      <c r="BM361" s="246" t="str">
        <f t="shared" si="1055"/>
        <v/>
      </c>
      <c r="BN361" s="337" t="str">
        <f t="shared" si="1145"/>
        <v/>
      </c>
      <c r="BO361" s="371" t="str">
        <f t="shared" si="1146"/>
        <v/>
      </c>
      <c r="BP361" s="328" t="str">
        <f t="shared" si="1224"/>
        <v xml:space="preserve"> </v>
      </c>
      <c r="BQ361" s="347" t="str">
        <f t="shared" si="1147"/>
        <v xml:space="preserve"> </v>
      </c>
      <c r="BR361" s="353" t="str">
        <f t="shared" si="1148"/>
        <v xml:space="preserve"> </v>
      </c>
      <c r="BS361" s="626" t="str">
        <f>IF(L361&gt;0,IF(Calculation!P361="M13",BR361*3.1416*(0.134^2)/(4*144),IF(Calculation!P361="M17",BR361*3.1416*(0.165^2)/(4*144),IF(Calculation!P361="M20",BR361*3.1416*(0.198^2)/(4*144),IF(Calculation!P361="M23",BR361*3.1416*(0.228^2)/(4*144),IF(Calculation!P361="M27",BR361*3.1416*(0.269^2)/(4*144),BR361*3.1416*(0.307^2)/(4*144))))))," ")</f>
        <v xml:space="preserve"> </v>
      </c>
      <c r="BT361" s="353" t="str">
        <f>IF(L361&gt;0,IF(BS361&gt;0,R361/Calculation!BS361,0)," ")</f>
        <v xml:space="preserve"> </v>
      </c>
      <c r="BU361" s="438" t="e">
        <f t="shared" ca="1" si="1056"/>
        <v>#VALUE!</v>
      </c>
      <c r="BV361" s="449" t="e">
        <f ca="1">INDEX(INDIRECT(VLOOKUP(LEFT(BO361,7),CLU!$Z$3:$AH$18,2)),GN361,GR361)</f>
        <v>#N/A</v>
      </c>
      <c r="BW361" s="433" t="e">
        <f ca="1">INDEX(INDIRECT(VLOOKUP(LEFT(BO361,7),CLU!$Z$3:$AH$18,3)),GN361,GR361)</f>
        <v>#N/A</v>
      </c>
      <c r="BX361" s="433" t="e">
        <f ca="1">INDEX(INDIRECT(VLOOKUP(LEFT(BO361,7),CLU!$Z$3:$AH$18,4)),GN361,GR361)</f>
        <v>#N/A</v>
      </c>
      <c r="BY361" s="433" t="e">
        <f ca="1">INDEX(INDIRECT(VLOOKUP(LEFT(BO361,7),CLU!$Z$3:$AH$18,9)),((M361-2)*(6-COUNTBLANK(GT361:GY361)))+GJ361)</f>
        <v>#N/A</v>
      </c>
      <c r="BZ361" s="426" t="e">
        <f t="shared" ca="1" si="1149"/>
        <v>#N/A</v>
      </c>
      <c r="CA361" s="424" t="e">
        <f t="shared" ca="1" si="1150"/>
        <v>#N/A</v>
      </c>
      <c r="CB361" s="429" t="e">
        <f ca="1">INDEX(INDIRECT(VLOOKUP(LEFT(BO361,7),CLU!$Z$3:$AH$18,2)),GN361,GS361)</f>
        <v>#N/A</v>
      </c>
      <c r="CC361" s="342" t="e">
        <f ca="1">INDEX(INDIRECT(VLOOKUP(LEFT(BO361,7),CLU!$Z$3:$AH$18,3)),GN361,GS361)</f>
        <v>#N/A</v>
      </c>
      <c r="CD361" s="342" t="e">
        <f ca="1">INDEX(INDIRECT(VLOOKUP(LEFT(BO361,7),CLU!$Z$3:$AH$18,4)),GN361,GS361)</f>
        <v>#N/A</v>
      </c>
      <c r="CE361" s="426" t="e">
        <f t="shared" ca="1" si="1151"/>
        <v>#N/A</v>
      </c>
      <c r="CF361" s="440">
        <f t="shared" si="1152"/>
        <v>0</v>
      </c>
      <c r="CG361" s="431" t="e">
        <f ca="1">INDEX(INDIRECT(VLOOKUP(LEFT(BO361,7),CLU!$Z$3:$AH$18,2)),GQ361,GR361)</f>
        <v>#N/A</v>
      </c>
      <c r="CH361" s="431" t="e">
        <f ca="1">INDEX(INDIRECT(VLOOKUP(LEFT(BO361,7),CLU!$Z$3:$AH$18,3)),GQ361,GR361)</f>
        <v>#N/A</v>
      </c>
      <c r="CI361" s="431" t="e">
        <f ca="1">INDEX(INDIRECT(VLOOKUP(LEFT(BO361,7),CLU!$Z$3:$AH$18,4)),GQ361,GR361)</f>
        <v>#N/A</v>
      </c>
      <c r="CJ361" s="448" t="e">
        <f t="shared" ca="1" si="1153"/>
        <v>#N/A</v>
      </c>
      <c r="CK361" s="431" t="e">
        <f t="shared" ca="1" si="1154"/>
        <v>#N/A</v>
      </c>
      <c r="CL361" s="440" t="e">
        <f t="shared" ca="1" si="1155"/>
        <v>#N/A</v>
      </c>
      <c r="CM361" s="431" t="e">
        <f ca="1">INDEX(INDIRECT(VLOOKUP(LEFT(BO361,7),CLU!$Z$3:$AH$18,2)),GQ361,GS361)</f>
        <v>#N/A</v>
      </c>
      <c r="CN361" s="431" t="e">
        <f ca="1">INDEX(INDIRECT(VLOOKUP(LEFT(BO361,7),CLU!$Z$3:$AH$18,3)),GQ361,GS361)</f>
        <v>#N/A</v>
      </c>
      <c r="CO361" s="431" t="e">
        <f ca="1">INDEX(INDIRECT(VLOOKUP(LEFT(BO361,7),CLU!$Z$3:$AH$18,4)),GQ361,GS361)</f>
        <v>#N/A</v>
      </c>
      <c r="CP361" s="431" t="e">
        <f t="shared" ca="1" si="1156"/>
        <v>#N/A</v>
      </c>
      <c r="CQ361" s="440">
        <f t="shared" si="1157"/>
        <v>0</v>
      </c>
      <c r="CR361" s="51" t="e">
        <f t="shared" ca="1" si="1158"/>
        <v>#N/A</v>
      </c>
      <c r="CS361" s="439" t="e">
        <f t="shared" ca="1" si="1159"/>
        <v>#VALUE!</v>
      </c>
      <c r="CT361" s="51" t="e">
        <f t="shared" ca="1" si="1160"/>
        <v>#VALUE!</v>
      </c>
      <c r="CU361" s="10"/>
      <c r="CV361" s="51" t="e">
        <f t="shared" ca="1" si="1057"/>
        <v>#VALUE!</v>
      </c>
      <c r="CW361" s="51">
        <f t="shared" si="1161"/>
        <v>0</v>
      </c>
      <c r="CX361" s="439" t="e">
        <f t="shared" ca="1" si="1162"/>
        <v>#VALUE!</v>
      </c>
      <c r="CY361" s="51" t="e">
        <f t="shared" ca="1" si="1163"/>
        <v>#VALUE!</v>
      </c>
      <c r="CZ361" s="10"/>
      <c r="DA361" s="51" t="e">
        <f t="shared" ca="1" si="1164"/>
        <v>#VALUE!</v>
      </c>
      <c r="DB361" s="347" t="e">
        <f ca="1">INDEX(INDIRECT(VLOOKUP(LEFT(BO361,7),CLU!$Z$3:$AI$18,10)),((M361-2)*(6-COUNTBLANK(GT361:GY361)))+GJ361)*LI361</f>
        <v>#N/A</v>
      </c>
      <c r="DC361" s="347" t="str">
        <f>IF(L361&gt;0,((R361/Worksheet!$I$15)/DB361)^2," ")</f>
        <v xml:space="preserve"> </v>
      </c>
      <c r="DD361" s="602" t="str">
        <f t="shared" si="1165"/>
        <v xml:space="preserve"> </v>
      </c>
      <c r="DE361" s="347" t="str">
        <f t="shared" si="1058"/>
        <v xml:space="preserve"> </v>
      </c>
      <c r="DF361" s="356" t="e">
        <f ca="1">INDEX(INDIRECT(VLOOKUP(LEFT(BO361,7),CLU!$Z$3:$AH$18,8)),((M361-2)*(6-COUNTBLANK(GT361:GY361)))+GJ361)</f>
        <v>#N/A</v>
      </c>
      <c r="DG361" s="347" t="str">
        <f t="shared" si="1059"/>
        <v xml:space="preserve"> </v>
      </c>
      <c r="DH361" s="357" t="str">
        <f t="shared" si="1060"/>
        <v xml:space="preserve"> </v>
      </c>
      <c r="DI361" s="355" t="str">
        <f t="shared" si="1061"/>
        <v xml:space="preserve"> </v>
      </c>
      <c r="DJ361" s="245" t="e">
        <f ca="1">INDEX(INDIRECT(VLOOKUP(LEFT(BO361,7),CLU!$Z$3:$AH$18,5)),GL361,GK361)</f>
        <v>#N/A</v>
      </c>
      <c r="DK361" s="245" t="e">
        <f ca="1">INDEX(INDIRECT(VLOOKUP(LEFT(BO361,7),CLU!$Z$3:$AH$18,6)),GL361,GK361)</f>
        <v>#N/A</v>
      </c>
      <c r="DL361" s="355">
        <f>(Calculation!R361*0.69143*(Calculation!$BQ$8-Calculation!$F$8))*$S$14</f>
        <v>0</v>
      </c>
      <c r="DM361" s="359" t="e">
        <f t="shared" si="1166"/>
        <v>#VALUE!</v>
      </c>
      <c r="DN361" s="611">
        <f t="shared" si="1167"/>
        <v>0</v>
      </c>
      <c r="DO361" s="359">
        <f t="shared" si="1168"/>
        <v>100</v>
      </c>
      <c r="DP361" s="359">
        <f t="shared" si="1169"/>
        <v>0</v>
      </c>
      <c r="DQ361" s="360"/>
      <c r="DR361" s="245" t="e">
        <f ca="1">INDEX(INDIRECT(VLOOKUP(LEFT(BO361,7),CLU!$Z$3:$AH$18,7)),M361-1,1)</f>
        <v>#N/A</v>
      </c>
      <c r="DS361" s="245" t="e">
        <f ca="1">INDEX(INDIRECT(VLOOKUP(LEFT(BO361,7),CLU!$Z$3:$AH$18,7)),M361-1,2)</f>
        <v>#N/A</v>
      </c>
      <c r="DT361" s="245" t="e">
        <f ca="1">INDEX(INDIRECT(VLOOKUP(LEFT(BO361,7),CLU!$Z$3:$AH$18,7)),M361-1,3)</f>
        <v>#N/A</v>
      </c>
      <c r="DU361" s="245" t="e">
        <f ca="1">INDEX(INDIRECT(VLOOKUP(LEFT(BO361,7),CLU!$Z$3:$AH$18,7)),M361-1,4)</f>
        <v>#N/A</v>
      </c>
      <c r="DV361" s="361" t="e">
        <f ca="1">INDEX(INDIRECT(VLOOKUP(LEFT(BO361,7),CLU!$Z$3:$AH$18,7)),M361-1,4+LEFT(DZ361,1)*0.5)</f>
        <v>#N/A</v>
      </c>
      <c r="DW361" s="245" t="e">
        <f ca="1">INDEX(INDIRECT(VLOOKUP(LEFT(BO361,7),CLU!$Z$3:$AH$18,7)),M361-1,8)</f>
        <v>#N/A</v>
      </c>
      <c r="DX361" s="361" t="str">
        <f t="shared" si="1062"/>
        <v xml:space="preserve"> </v>
      </c>
      <c r="DY361" s="361" t="str">
        <f t="shared" si="1063"/>
        <v xml:space="preserve"> </v>
      </c>
      <c r="DZ361" s="361" t="str">
        <f t="shared" si="1064"/>
        <v xml:space="preserve"> </v>
      </c>
      <c r="EA361" s="362" t="str">
        <f t="shared" si="1065"/>
        <v xml:space="preserve"> </v>
      </c>
      <c r="EB361" s="624" t="str">
        <f t="shared" si="1170"/>
        <v xml:space="preserve"> </v>
      </c>
      <c r="EC361" s="361" t="e">
        <f ca="1">INDEX(INDIRECT(VLOOKUP(LEFT(BO361,7),CLU!$Z$3:$AH$18,7)),M361-1,4+LEFT(DZ361,1)*0.5)</f>
        <v>#N/A</v>
      </c>
      <c r="ED361" s="362" t="str">
        <f t="shared" si="1066"/>
        <v xml:space="preserve"> </v>
      </c>
      <c r="EE361" s="361" t="str">
        <f t="shared" si="1067"/>
        <v xml:space="preserve"> </v>
      </c>
      <c r="EF361" s="362" t="str">
        <f>IF(L361&gt;0,IF(BR361&gt;0,IF(EE361="2P",IF(Calculation!DZ361="2P",IF(Calculation!DS361=13.75,IF(Calculation!DR361=13,Worksheet!$BD$43,IF(Calculation!DR361=37,Worksheet!$BD$44,Worksheet!$BD$45)),IF(Calculation!DS361=10,IF(Calculation!DR361=18,Worksheet!$BD$29,IF(Calculation!DR361=30,Worksheet!$BD$30,IF(Calculation!DR361=42,Worksheet!$BD$31,IF(Calculation!DR361=54,Worksheet!$BD$32,IF(Calculation!DR361=66,Worksheet!$BD$33,IF(Calculation!DR361=78,Worksheet!$BD$34,IF(Calculation!DR361=90,Worksheet!$BD$35,IF(Calculation!DR361=102,Worksheet!$BD$36,Worksheet!$BD$37)))))))),IF(Calculation!DS361=12.5,IF(Calculation!DR361=18,Worksheet!$BD$38,IF(Calculation!DR361=Worksheet!$BD$39,IF(Calculation!DR361=42,Worksheet!$BD$40,IF(Calculation!DR361=54,Worksheet!$BD$41,Worksheet!$BD$42)))),IF(Calculation!DR361=18,Worksheet!$BD$11,IF(Calculation!DR361=30,Worksheet!$BD$12,IF(Calculation!DR361=42,Worksheet!$BD$13,IF(Calculation!DR361=54,Worksheet!$BD$14,IF(Calculation!DR361=66,Worksheet!$BD$15,IF(Calculation!DR361=78,Worksheet!$BD$16,IF(Calculation!DR361=90,Worksheet!$BD$17,IF(Calculation!DR361=102,Worksheet!$BD$18,Worksheet!$BD$19))))))))))),IF(Calculation!DS361=13.75,IF(Calculation!DR361=13,Worksheet!$BD$78,IF(Calculation!DR361=37,Worksheet!$BD$79,Worksheet!$BD$80)),IF(Calculation!DS361=10,IF(Calculation!DR361=18,Worksheet!$BD$64,IF(Calculation!DR361=30,Worksheet!$BD$65,IF(Calculation!DR361=42,Worksheet!$BD$66,IF(Calculation!DR361=54,Worksheet!$BD$68,IF(Calculation!DR361=66,Worksheet!$BD$68,IF(Calculation!DR361=78,Worksheet!$BD$69,IF(Calculation!DR361=90,Worksheet!$BD$70,IF(Calculation!DR361=102,Worksheet!$BD$71,Worksheet!$BD$72)))))))),IF(Calculation!DS361=12.5,IF(Calculation!DR361=18,Worksheet!$BD$73,IF(Calculation!DR361=Worksheet!$BD$74,IF(Calculation!DR361=42,Worksheet!$BD$75,IF(Calculation!DR361=54,Worksheet!$BD$76,Worksheet!$BD$77)))),IF(Calculation!DR361=18,Worksheet!$BD$55,IF(Calculation!DR361=30,Worksheet!$BD$56,IF(Calculation!DR361=42,Worksheet!$BD$57,IF(Calculation!DR361=54,Worksheet!$BD$58,IF(Calculation!DR361=66,Worksheet!$BD$59,IF(Calculation!DR361=78,Worksheet!$BD$60,IF(Calculation!DR361=90,Worksheet!$BD$61,IF(Calculation!DR361=102,Worksheet!$BD$62,Worksheet!$BD$63)))))))))))),5),0)," ")</f>
        <v xml:space="preserve"> </v>
      </c>
      <c r="EG361" s="361" t="str">
        <f t="shared" si="1068"/>
        <v xml:space="preserve"> </v>
      </c>
      <c r="EH361" s="361" t="e">
        <f ca="1">INDEX(INDIRECT(VLOOKUP(LEFT(BO361,7),CLU!$Z$3:$AH$18,7)),M361-1,3+LEFT(DZ361,1))</f>
        <v>#N/A</v>
      </c>
      <c r="EI361" s="362" t="str">
        <f t="shared" si="1069"/>
        <v xml:space="preserve"> </v>
      </c>
      <c r="EJ361" s="363" t="str">
        <f t="shared" si="1070"/>
        <v xml:space="preserve"> </v>
      </c>
      <c r="EK361" s="363" t="str">
        <f t="shared" si="1071"/>
        <v xml:space="preserve"> </v>
      </c>
      <c r="EL361" s="363" t="str">
        <f t="shared" si="1072"/>
        <v xml:space="preserve"> </v>
      </c>
      <c r="EM361" s="362" t="str">
        <f>IF(L361&gt;0,IF(BR361&gt;0,(Calculation!T361/ED361)^2,0)," ")</f>
        <v xml:space="preserve"> </v>
      </c>
      <c r="EN361" s="362" t="str">
        <f>IF(L361&gt;0,IF(O361="2 Pipe (Cooling)","N/A",IF(BR361&gt;0,(Calculation!U361/EI361)^2,0))," ")</f>
        <v xml:space="preserve"> </v>
      </c>
      <c r="EO361" s="361" t="str">
        <f t="shared" si="1073"/>
        <v/>
      </c>
      <c r="EP361" s="361" t="str">
        <f t="shared" si="1074"/>
        <v/>
      </c>
      <c r="EQ361" s="361" t="str">
        <f t="shared" si="1075"/>
        <v/>
      </c>
      <c r="ER361" s="361" t="str">
        <f t="shared" si="1076"/>
        <v/>
      </c>
      <c r="ES361" s="361" t="str">
        <f t="shared" si="1077"/>
        <v/>
      </c>
      <c r="ET361" s="361" t="str">
        <f t="shared" si="1078"/>
        <v/>
      </c>
      <c r="EU361" s="361" t="str">
        <f t="shared" si="1079"/>
        <v/>
      </c>
      <c r="EV361" s="361" t="str">
        <f t="shared" si="1080"/>
        <v/>
      </c>
      <c r="EW361" s="361" t="str">
        <f t="shared" si="1081"/>
        <v/>
      </c>
      <c r="EX361" s="361" t="str">
        <f t="shared" si="1171"/>
        <v>1 slot, 1 way</v>
      </c>
      <c r="EY361" s="361" t="str">
        <f t="shared" si="1172"/>
        <v xml:space="preserve"> </v>
      </c>
      <c r="EZ361" s="361" t="str">
        <f t="shared" si="1173"/>
        <v xml:space="preserve"> </v>
      </c>
      <c r="FA361" s="361" t="str">
        <f t="shared" si="1174"/>
        <v xml:space="preserve"> </v>
      </c>
      <c r="FB361" s="361" t="str">
        <f t="shared" si="1175"/>
        <v xml:space="preserve"> </v>
      </c>
      <c r="FC361" s="361"/>
      <c r="FD361" s="361" t="str">
        <f>IF(J361&gt;0,IF(Calculation!R361&lt;=70,4,IF(Calculation!R361&lt;=110,5,IF(Calculation!R361&lt;=160,6,IF(Calculation!R361&lt;=300,8,"10 EO")))),"")</f>
        <v/>
      </c>
      <c r="FE361" s="361" t="str">
        <f t="shared" si="1176"/>
        <v/>
      </c>
      <c r="FF361" s="361" t="str">
        <f t="shared" si="1177"/>
        <v/>
      </c>
      <c r="FG361" s="361" t="e">
        <f t="shared" si="1082"/>
        <v>#N/A</v>
      </c>
      <c r="FH361" s="361">
        <f t="shared" si="1083"/>
        <v>0</v>
      </c>
      <c r="FI361" s="361" t="e">
        <f t="shared" si="1084"/>
        <v>#DIV/0!</v>
      </c>
      <c r="FJ361" s="361"/>
      <c r="FK361" s="356" t="e">
        <f t="shared" si="1085"/>
        <v>#VALUE!</v>
      </c>
      <c r="FL361" s="361"/>
      <c r="FM361" s="361"/>
      <c r="FN361" s="362" t="str">
        <f t="shared" si="1178"/>
        <v xml:space="preserve"> </v>
      </c>
      <c r="FO361" s="362" t="str">
        <f t="shared" si="1179"/>
        <v xml:space="preserve"> </v>
      </c>
      <c r="FP361" s="362">
        <f t="shared" si="1180"/>
        <v>0</v>
      </c>
      <c r="FQ361" s="361">
        <f t="shared" si="1086"/>
        <v>0</v>
      </c>
      <c r="FR361" s="362" t="str">
        <f>IF(L361&gt;0,IF(J361="CBAL2",Worksheet!$P$67,IF(J361="CBE2-24",Worksheet!$Q$67,IF(J361="CBAM",Worksheet!$R$67,IF(J361="CBLV",Worksheet!$S$67,IF(J361="CBAB",Worksheet!$U$67,IF(J361="CBAW",Worksheet!$X$67,IF(J361="CBE2-12",Worksheet!$Y$67,IF(J361="CBAL2",Worksheet!$Z$67,"N/A"))))))))," ")</f>
        <v xml:space="preserve"> </v>
      </c>
      <c r="FS361" s="362" t="str">
        <f>IF(L361&gt;0,IF(J361="CBAL2",Worksheet!$P$68,IF(J361="CBE2-24",Worksheet!$Q$68,IF(J361="CBAM",Worksheet!$R$68,IF(J361="CBLV",Worksheet!$S$68,IF(J361="CBAB",Worksheet!$U$68,IF(J361="CBAW",Worksheet!$X$68,IF(J361="CBE2-12",Worksheet!$Y$68,IF(J361="CBAL2",Worksheet!$Z$68,"N/A"))))))))," ")</f>
        <v xml:space="preserve"> </v>
      </c>
      <c r="FT361" s="362" t="str">
        <f>IF(L361&gt;0,IF(J361="CBAL2",Worksheet!$P$69,IF(J361="CBE2-24",Worksheet!$Q$69,IF(J361="CBAM",Worksheet!$R$69,IF(J361="CBLV",Worksheet!$S$69,IF(J361="CBAB",Worksheet!$U$69,IF(J361="CBAW",Worksheet!$X$69,IF(J361="CBE2-12",Worksheet!$Y$69,IF(J361="CBAL2",Worksheet!$Z$69,"N/A"))))))))," ")</f>
        <v xml:space="preserve"> </v>
      </c>
      <c r="FU361" s="361" t="str">
        <f t="shared" si="1181"/>
        <v xml:space="preserve"> </v>
      </c>
      <c r="FV361" s="362" t="str">
        <f t="shared" si="1182"/>
        <v xml:space="preserve"> </v>
      </c>
      <c r="FW361" s="362" t="str">
        <f t="shared" si="1183"/>
        <v xml:space="preserve"> </v>
      </c>
      <c r="FX361" s="362" t="str">
        <f t="shared" si="1184"/>
        <v xml:space="preserve"> </v>
      </c>
      <c r="FY361" s="355" t="str">
        <f t="shared" si="1185"/>
        <v xml:space="preserve"> </v>
      </c>
      <c r="FZ361" s="361" t="str">
        <f t="shared" si="1186"/>
        <v xml:space="preserve"> </v>
      </c>
      <c r="GA361" s="347" t="str">
        <f t="shared" si="1187"/>
        <v xml:space="preserve"> </v>
      </c>
      <c r="GB361" s="355" t="str">
        <f t="shared" si="1188"/>
        <v xml:space="preserve"> </v>
      </c>
      <c r="GC361" s="328" t="str">
        <f t="shared" si="1189"/>
        <v xml:space="preserve"> </v>
      </c>
      <c r="GD361" s="361" t="str">
        <f t="shared" si="1190"/>
        <v xml:space="preserve"> </v>
      </c>
      <c r="GE361" s="347" t="str">
        <f t="shared" si="1191"/>
        <v xml:space="preserve"> </v>
      </c>
      <c r="GF361" s="361" t="str">
        <f t="shared" si="1192"/>
        <v xml:space="preserve"> </v>
      </c>
      <c r="GG361" s="347" t="str">
        <f t="shared" si="1193"/>
        <v xml:space="preserve"> </v>
      </c>
      <c r="GH361" s="364">
        <f t="shared" si="1087"/>
        <v>0</v>
      </c>
      <c r="GI361" s="362">
        <f t="shared" si="1194"/>
        <v>2</v>
      </c>
      <c r="GJ361" s="433" t="e">
        <f>IF(6-COUNTBLANK(GT361:GY361)=4,MATCH(MID(BO361,9,3),CLU!$H$16:$K$16),MATCH(MID(BO361,9,3),CLU!$H$13:$M$13))</f>
        <v>#N/A</v>
      </c>
      <c r="GK361" s="433" t="e">
        <f>HLOOKUP(VALUE(BP361),CLU!$H$9:$M$10,2)</f>
        <v>#VALUE!</v>
      </c>
      <c r="GL361" s="433" t="e">
        <f ca="1">MATCH(BU361,CLU!$H$2:$V$2,1)</f>
        <v>#VALUE!</v>
      </c>
      <c r="GM361" s="433" t="e">
        <f t="shared" ca="1" si="1195"/>
        <v>#VALUE!</v>
      </c>
      <c r="GN361" s="433" t="e">
        <f t="shared" ca="1" si="1196"/>
        <v>#VALUE!</v>
      </c>
      <c r="GO361" s="433" t="e">
        <f t="shared" ca="1" si="1197"/>
        <v>#VALUE!</v>
      </c>
      <c r="GP361" s="433" t="e">
        <f t="shared" ca="1" si="1198"/>
        <v>#VALUE!</v>
      </c>
      <c r="GQ361" s="433" t="e">
        <f t="shared" ca="1" si="1199"/>
        <v>#VALUE!</v>
      </c>
      <c r="GR361" s="433" t="e">
        <f ca="1">MATCH(T361,INDIRECT(VLOOKUP(CONCATENATE(LEFT(BO361,7),"-",MID(BO361,13,1)),CLU!$P$3:$Q$16,2)),1)</f>
        <v>#N/A</v>
      </c>
      <c r="GS361" s="433" t="e">
        <f ca="1">MATCH(U361,INDIRECT(VLOOKUP(CONCATENATE(LEFT(BO361,7),"-",MID(BO361,13,1)),CLU!$P$3:$Q$16,2)),1)</f>
        <v>#N/A</v>
      </c>
      <c r="GT361" s="347" t="s">
        <v>512</v>
      </c>
      <c r="GU361" s="97" t="s">
        <v>513</v>
      </c>
      <c r="GV361" s="97" t="str">
        <f t="shared" si="1200"/>
        <v>M23</v>
      </c>
      <c r="GW361" s="97" t="str">
        <f t="shared" si="1201"/>
        <v>M31</v>
      </c>
      <c r="GX361" s="97" t="str">
        <f t="shared" si="1202"/>
        <v/>
      </c>
      <c r="GY361" s="97" t="str">
        <f t="shared" si="1203"/>
        <v/>
      </c>
      <c r="GZ361" s="481"/>
      <c r="HA361" s="240"/>
      <c r="HB361" s="240"/>
      <c r="HC361" s="240"/>
      <c r="HD361" s="240"/>
      <c r="HE361" s="240"/>
      <c r="HF361" s="240"/>
      <c r="HG361" s="240"/>
      <c r="HH361" s="240"/>
      <c r="HI361" s="240"/>
      <c r="HJ361" s="240"/>
      <c r="HK361" s="240"/>
      <c r="HL361" s="240"/>
      <c r="HM361" s="240"/>
      <c r="HN361" s="240"/>
      <c r="HO361" s="240"/>
      <c r="HP361" s="240"/>
      <c r="HQ361" s="240"/>
      <c r="HR361" s="240"/>
      <c r="HS361" s="240"/>
      <c r="HT361" s="240"/>
      <c r="HU361" s="240"/>
      <c r="HV361" s="245"/>
      <c r="HW361" s="245" t="b">
        <v>1</v>
      </c>
      <c r="HX361" s="245" t="str">
        <f t="shared" si="1088"/>
        <v/>
      </c>
      <c r="HY361" s="245" t="e">
        <f t="shared" si="1089"/>
        <v>#DIV/0!</v>
      </c>
      <c r="HZ361" s="245" t="e">
        <f t="shared" si="1090"/>
        <v>#DIV/0!</v>
      </c>
      <c r="IA361" s="245">
        <f t="shared" si="1091"/>
        <v>0</v>
      </c>
      <c r="IB361" s="245"/>
      <c r="IC361" t="b">
        <f t="shared" si="1092"/>
        <v>1</v>
      </c>
      <c r="ID361" s="245" t="b">
        <f t="shared" si="1093"/>
        <v>1</v>
      </c>
      <c r="IE361" s="245" t="b">
        <f t="shared" si="1094"/>
        <v>1</v>
      </c>
      <c r="IF361" s="245" t="b">
        <f t="shared" si="1095"/>
        <v>0</v>
      </c>
      <c r="IG361" s="245" t="b">
        <f t="shared" si="1096"/>
        <v>1</v>
      </c>
      <c r="IH361" s="245" t="b">
        <f t="shared" si="1097"/>
        <v>1</v>
      </c>
      <c r="II361" s="245">
        <f t="shared" si="1204"/>
        <v>0</v>
      </c>
      <c r="IJ361" s="245" t="e">
        <f t="shared" si="1098"/>
        <v>#VALUE!</v>
      </c>
      <c r="IK361" s="245" t="e">
        <f t="shared" si="1099"/>
        <v>#VALUE!</v>
      </c>
      <c r="IL361" s="245"/>
      <c r="IM361" s="245" t="e">
        <f t="shared" si="1205"/>
        <v>#N/A</v>
      </c>
      <c r="IN361" s="245" t="e">
        <f t="shared" si="1206"/>
        <v>#N/A</v>
      </c>
      <c r="IO361" s="245"/>
      <c r="IP361" s="245"/>
      <c r="IQ361" s="245" t="str">
        <f t="shared" si="1100"/>
        <v/>
      </c>
      <c r="IR361" s="245" t="str">
        <f>IF(J361="","",VLOOKUP(J361,Worksheet!$R$4:$T$14,2))</f>
        <v/>
      </c>
      <c r="IS361" s="245"/>
      <c r="IT361" s="245">
        <f t="shared" si="1101"/>
        <v>0</v>
      </c>
      <c r="IU361" s="245">
        <f t="shared" si="1102"/>
        <v>0</v>
      </c>
      <c r="IV361" s="245">
        <f t="shared" si="1103"/>
        <v>0</v>
      </c>
      <c r="IW361" s="245">
        <f t="shared" si="1104"/>
        <v>0</v>
      </c>
      <c r="IX361" s="245">
        <f t="shared" si="1207"/>
        <v>0</v>
      </c>
      <c r="IY361" s="245">
        <f t="shared" si="1105"/>
        <v>0</v>
      </c>
      <c r="IZ361" s="245">
        <f t="shared" si="1106"/>
        <v>0</v>
      </c>
      <c r="JA361">
        <f t="shared" si="1107"/>
        <v>0</v>
      </c>
      <c r="JB361">
        <f t="shared" si="1208"/>
        <v>0</v>
      </c>
      <c r="JC361">
        <f t="shared" si="1108"/>
        <v>0</v>
      </c>
      <c r="JD361">
        <f t="shared" si="1109"/>
        <v>0</v>
      </c>
      <c r="JE361">
        <f t="shared" si="1110"/>
        <v>0</v>
      </c>
      <c r="JF361">
        <f t="shared" si="1111"/>
        <v>0</v>
      </c>
      <c r="JG361">
        <f t="shared" si="1112"/>
        <v>0</v>
      </c>
      <c r="JH361">
        <f t="shared" si="1113"/>
        <v>0</v>
      </c>
      <c r="JI361">
        <f t="shared" si="1114"/>
        <v>0</v>
      </c>
      <c r="JJ361" s="447">
        <f t="shared" si="1115"/>
        <v>0</v>
      </c>
      <c r="JK361" s="447">
        <f t="shared" si="1116"/>
        <v>0</v>
      </c>
      <c r="JL361">
        <f t="shared" si="1117"/>
        <v>0</v>
      </c>
      <c r="JM361" s="245" t="str">
        <f>IFERROR(VLOOKUP(MATCH(BN361,#REF!,0),#REF!,7),"")</f>
        <v/>
      </c>
      <c r="JN361" t="e">
        <f>HLOOKUP(LEFT(BO361,7),Discharge_Area,MATCH(JO361,LookUps!$B$130:$B$149,1)+2)</f>
        <v>#N/A</v>
      </c>
      <c r="JO361" t="str">
        <f t="shared" si="1118"/>
        <v>- S</v>
      </c>
      <c r="JP361" t="e">
        <f>HLOOKUP(LEFT(BO361,7),Discharge_Area,MATCH(JO361,LookUps!$B$130:$B$149,1)+2)</f>
        <v>#N/A</v>
      </c>
      <c r="JQ361" t="e">
        <f t="shared" si="1119"/>
        <v>#N/A</v>
      </c>
      <c r="JR361" t="e">
        <f t="shared" si="1120"/>
        <v>#N/A</v>
      </c>
      <c r="JS361" t="e">
        <f t="shared" si="1121"/>
        <v>#N/A</v>
      </c>
      <c r="JT361" s="532" t="str">
        <f t="shared" si="1122"/>
        <v xml:space="preserve"> </v>
      </c>
      <c r="JU361" s="532" t="str">
        <f t="shared" si="1123"/>
        <v xml:space="preserve"> </v>
      </c>
      <c r="JV361" s="533" t="str">
        <f t="shared" si="1124"/>
        <v xml:space="preserve"> </v>
      </c>
      <c r="JW361" s="534">
        <f t="shared" si="1125"/>
        <v>0</v>
      </c>
      <c r="JX361" s="535" t="str">
        <f t="shared" si="1209"/>
        <v xml:space="preserve"> </v>
      </c>
      <c r="JY361" s="535" t="str">
        <f t="shared" si="1210"/>
        <v xml:space="preserve"> </v>
      </c>
      <c r="JZ361" s="535" t="str">
        <f t="shared" si="1211"/>
        <v xml:space="preserve"> </v>
      </c>
      <c r="KA361" s="536" t="str">
        <f t="shared" si="1126"/>
        <v xml:space="preserve"> </v>
      </c>
      <c r="KB361" s="535" t="e">
        <f t="shared" si="1212"/>
        <v>#VALUE!</v>
      </c>
      <c r="KC361" s="535" t="str">
        <f t="shared" si="1127"/>
        <v/>
      </c>
      <c r="KD361" s="537" t="str">
        <f t="shared" si="1213"/>
        <v xml:space="preserve"> </v>
      </c>
      <c r="KE361" s="537" t="str">
        <f t="shared" si="1214"/>
        <v xml:space="preserve"> </v>
      </c>
      <c r="KF361" s="534">
        <f t="shared" si="1128"/>
        <v>0</v>
      </c>
      <c r="KG361" s="535" t="str">
        <f t="shared" si="1129"/>
        <v xml:space="preserve"> </v>
      </c>
      <c r="KH361" s="535" t="str">
        <f t="shared" si="1130"/>
        <v xml:space="preserve"> </v>
      </c>
      <c r="KI361" s="535" t="str">
        <f t="shared" si="1131"/>
        <v xml:space="preserve"> </v>
      </c>
      <c r="KJ361" s="536" t="str">
        <f t="shared" si="1132"/>
        <v xml:space="preserve"> </v>
      </c>
      <c r="KK361" s="535" t="str">
        <f t="shared" si="1215"/>
        <v xml:space="preserve"> </v>
      </c>
      <c r="KL361" s="535" t="str">
        <f t="shared" si="1216"/>
        <v xml:space="preserve"> </v>
      </c>
      <c r="KM361" s="537" t="str">
        <f t="shared" si="1133"/>
        <v xml:space="preserve"> </v>
      </c>
      <c r="KN361" s="537" t="str">
        <f t="shared" si="1217"/>
        <v xml:space="preserve"> </v>
      </c>
      <c r="KP361">
        <f t="shared" si="1134"/>
        <v>0</v>
      </c>
      <c r="LA361" t="e">
        <f t="shared" si="1135"/>
        <v>#VALUE!</v>
      </c>
      <c r="LB361" t="e">
        <f t="shared" si="1136"/>
        <v>#VALUE!</v>
      </c>
      <c r="LC361" t="e">
        <f t="shared" si="1137"/>
        <v>#VALUE!</v>
      </c>
      <c r="LD361" t="e">
        <f t="shared" si="1138"/>
        <v>#VALUE!</v>
      </c>
      <c r="LE361" t="e">
        <f t="shared" si="1218"/>
        <v>#VALUE!</v>
      </c>
      <c r="LF361">
        <f t="shared" si="1139"/>
        <v>0</v>
      </c>
      <c r="LG361" t="e">
        <f t="shared" si="1219"/>
        <v>#VALUE!</v>
      </c>
      <c r="LH361" t="str">
        <f t="shared" si="1140"/>
        <v xml:space="preserve"> </v>
      </c>
      <c r="LI361">
        <f t="shared" si="1220"/>
        <v>1</v>
      </c>
    </row>
    <row r="362" spans="2:321" ht="15" customHeight="1">
      <c r="B362" s="311"/>
      <c r="C362" s="311"/>
      <c r="D362" s="312"/>
      <c r="E362" s="311"/>
      <c r="F362" s="312"/>
      <c r="G362" s="311"/>
      <c r="H362" s="311"/>
      <c r="I362" s="232"/>
      <c r="J362" s="311"/>
      <c r="K362" s="305" t="str">
        <f t="shared" si="1141"/>
        <v/>
      </c>
      <c r="L362" s="313"/>
      <c r="M362" s="312"/>
      <c r="N362" s="311"/>
      <c r="O362" s="312"/>
      <c r="P362" s="311"/>
      <c r="Q362" s="305" t="str">
        <f t="shared" si="1142"/>
        <v/>
      </c>
      <c r="R362" s="314"/>
      <c r="S362" s="450" t="str">
        <f t="shared" si="1025"/>
        <v/>
      </c>
      <c r="T362" s="315"/>
      <c r="U362" s="315"/>
      <c r="W362" s="149" t="str">
        <f t="shared" si="1026"/>
        <v xml:space="preserve"> </v>
      </c>
      <c r="X362" s="243" t="str">
        <f t="shared" si="1027"/>
        <v xml:space="preserve"> </v>
      </c>
      <c r="Y362" s="150" t="str">
        <f t="shared" si="1028"/>
        <v/>
      </c>
      <c r="Z362" s="149" t="str">
        <f t="shared" si="1029"/>
        <v xml:space="preserve"> </v>
      </c>
      <c r="AA362" s="98" t="str">
        <f t="shared" si="1030"/>
        <v xml:space="preserve"> </v>
      </c>
      <c r="AB362" s="153" t="str">
        <f t="shared" si="1031"/>
        <v xml:space="preserve"> </v>
      </c>
      <c r="AC362" s="153" t="str">
        <f t="shared" si="1032"/>
        <v xml:space="preserve"> </v>
      </c>
      <c r="AD362" s="148" t="str">
        <f t="shared" si="1033"/>
        <v/>
      </c>
      <c r="AE362" s="149" t="str">
        <f t="shared" si="1034"/>
        <v/>
      </c>
      <c r="AF362" s="151" t="str">
        <f t="shared" si="1035"/>
        <v xml:space="preserve"> </v>
      </c>
      <c r="AG362" s="153" t="str">
        <f t="shared" si="1036"/>
        <v xml:space="preserve"> </v>
      </c>
      <c r="AH362" s="98" t="str">
        <f t="shared" si="1037"/>
        <v xml:space="preserve"> </v>
      </c>
      <c r="AI362" s="149" t="str">
        <f t="shared" si="1038"/>
        <v xml:space="preserve"> </v>
      </c>
      <c r="AK362" s="144" t="str">
        <f t="shared" si="1039"/>
        <v xml:space="preserve"> </v>
      </c>
      <c r="AL362" s="144"/>
      <c r="AM362" s="243" t="str">
        <f t="shared" si="1040"/>
        <v xml:space="preserve"> </v>
      </c>
      <c r="AN362" s="149" t="str">
        <f t="shared" si="1143"/>
        <v xml:space="preserve"> </v>
      </c>
      <c r="AO362" s="144" t="str">
        <f>IF(JB362&gt;0,IF(GI362=10,-R362*1.085*(Calculation!$F$6-Calculation!$F$13)*$S$14," "),"")</f>
        <v/>
      </c>
      <c r="AP362" s="144" t="str">
        <f t="shared" si="1041"/>
        <v/>
      </c>
      <c r="AQ362" s="56" t="str">
        <f t="shared" si="1042"/>
        <v/>
      </c>
      <c r="AR362" s="144" t="str">
        <f t="shared" si="1043"/>
        <v/>
      </c>
      <c r="AS362" s="176" t="str">
        <f t="shared" si="1044"/>
        <v/>
      </c>
      <c r="AT362" s="176" t="str">
        <f t="shared" si="1144"/>
        <v xml:space="preserve"> </v>
      </c>
      <c r="AU362" s="176" t="str">
        <f t="shared" si="1045"/>
        <v/>
      </c>
      <c r="AV362" s="177" t="str">
        <f t="shared" si="1046"/>
        <v xml:space="preserve"> </v>
      </c>
      <c r="AW362" s="144" t="str">
        <f t="shared" si="1047"/>
        <v xml:space="preserve"> </v>
      </c>
      <c r="AX362" s="144" t="str">
        <f t="shared" si="1048"/>
        <v xml:space="preserve"> </v>
      </c>
      <c r="AY362" s="152" t="str">
        <f t="shared" si="1049"/>
        <v xml:space="preserve"> </v>
      </c>
      <c r="AZ362" s="246" t="str">
        <f t="shared" si="1050"/>
        <v/>
      </c>
      <c r="BA362" s="176" t="str">
        <f t="shared" si="1051"/>
        <v xml:space="preserve"> </v>
      </c>
      <c r="BB362" s="176" t="str">
        <f t="shared" si="1052"/>
        <v xml:space="preserve"> </v>
      </c>
      <c r="BC362" s="195"/>
      <c r="BD362" s="316"/>
      <c r="BE362" s="317"/>
      <c r="BF362" s="318"/>
      <c r="BG362" s="318"/>
      <c r="BH362" s="144" t="str">
        <f t="shared" si="1221"/>
        <v xml:space="preserve"> </v>
      </c>
      <c r="BI362" s="176" t="str">
        <f t="shared" si="1053"/>
        <v/>
      </c>
      <c r="BJ362" s="144" t="str">
        <f t="shared" si="1222"/>
        <v/>
      </c>
      <c r="BK362" s="246" t="str">
        <f t="shared" si="1054"/>
        <v/>
      </c>
      <c r="BL362" s="144" t="str">
        <f t="shared" si="1223"/>
        <v/>
      </c>
      <c r="BM362" s="246" t="str">
        <f t="shared" si="1055"/>
        <v/>
      </c>
      <c r="BN362" s="337" t="str">
        <f t="shared" si="1145"/>
        <v/>
      </c>
      <c r="BO362" s="371" t="str">
        <f t="shared" si="1146"/>
        <v/>
      </c>
      <c r="BP362" s="328" t="str">
        <f t="shared" si="1224"/>
        <v xml:space="preserve"> </v>
      </c>
      <c r="BQ362" s="347" t="str">
        <f t="shared" si="1147"/>
        <v xml:space="preserve"> </v>
      </c>
      <c r="BR362" s="353" t="str">
        <f t="shared" si="1148"/>
        <v xml:space="preserve"> </v>
      </c>
      <c r="BS362" s="626" t="str">
        <f>IF(L362&gt;0,IF(Calculation!P362="M13",BR362*3.1416*(0.134^2)/(4*144),IF(Calculation!P362="M17",BR362*3.1416*(0.165^2)/(4*144),IF(Calculation!P362="M20",BR362*3.1416*(0.198^2)/(4*144),IF(Calculation!P362="M23",BR362*3.1416*(0.228^2)/(4*144),IF(Calculation!P362="M27",BR362*3.1416*(0.269^2)/(4*144),BR362*3.1416*(0.307^2)/(4*144))))))," ")</f>
        <v xml:space="preserve"> </v>
      </c>
      <c r="BT362" s="353" t="str">
        <f>IF(L362&gt;0,IF(BS362&gt;0,R362/Calculation!BS362,0)," ")</f>
        <v xml:space="preserve"> </v>
      </c>
      <c r="BU362" s="438" t="e">
        <f t="shared" ca="1" si="1056"/>
        <v>#VALUE!</v>
      </c>
      <c r="BV362" s="449" t="e">
        <f ca="1">INDEX(INDIRECT(VLOOKUP(LEFT(BO362,7),CLU!$Z$3:$AH$18,2)),GN362,GR362)</f>
        <v>#N/A</v>
      </c>
      <c r="BW362" s="433" t="e">
        <f ca="1">INDEX(INDIRECT(VLOOKUP(LEFT(BO362,7),CLU!$Z$3:$AH$18,3)),GN362,GR362)</f>
        <v>#N/A</v>
      </c>
      <c r="BX362" s="433" t="e">
        <f ca="1">INDEX(INDIRECT(VLOOKUP(LEFT(BO362,7),CLU!$Z$3:$AH$18,4)),GN362,GR362)</f>
        <v>#N/A</v>
      </c>
      <c r="BY362" s="433" t="e">
        <f ca="1">INDEX(INDIRECT(VLOOKUP(LEFT(BO362,7),CLU!$Z$3:$AH$18,9)),((M362-2)*(6-COUNTBLANK(GT362:GY362)))+GJ362)</f>
        <v>#N/A</v>
      </c>
      <c r="BZ362" s="426" t="e">
        <f t="shared" ca="1" si="1149"/>
        <v>#N/A</v>
      </c>
      <c r="CA362" s="424" t="e">
        <f t="shared" ca="1" si="1150"/>
        <v>#N/A</v>
      </c>
      <c r="CB362" s="429" t="e">
        <f ca="1">INDEX(INDIRECT(VLOOKUP(LEFT(BO362,7),CLU!$Z$3:$AH$18,2)),GN362,GS362)</f>
        <v>#N/A</v>
      </c>
      <c r="CC362" s="342" t="e">
        <f ca="1">INDEX(INDIRECT(VLOOKUP(LEFT(BO362,7),CLU!$Z$3:$AH$18,3)),GN362,GS362)</f>
        <v>#N/A</v>
      </c>
      <c r="CD362" s="342" t="e">
        <f ca="1">INDEX(INDIRECT(VLOOKUP(LEFT(BO362,7),CLU!$Z$3:$AH$18,4)),GN362,GS362)</f>
        <v>#N/A</v>
      </c>
      <c r="CE362" s="426" t="e">
        <f t="shared" ca="1" si="1151"/>
        <v>#N/A</v>
      </c>
      <c r="CF362" s="440">
        <f t="shared" si="1152"/>
        <v>0</v>
      </c>
      <c r="CG362" s="431" t="e">
        <f ca="1">INDEX(INDIRECT(VLOOKUP(LEFT(BO362,7),CLU!$Z$3:$AH$18,2)),GQ362,GR362)</f>
        <v>#N/A</v>
      </c>
      <c r="CH362" s="431" t="e">
        <f ca="1">INDEX(INDIRECT(VLOOKUP(LEFT(BO362,7),CLU!$Z$3:$AH$18,3)),GQ362,GR362)</f>
        <v>#N/A</v>
      </c>
      <c r="CI362" s="431" t="e">
        <f ca="1">INDEX(INDIRECT(VLOOKUP(LEFT(BO362,7),CLU!$Z$3:$AH$18,4)),GQ362,GR362)</f>
        <v>#N/A</v>
      </c>
      <c r="CJ362" s="448" t="e">
        <f t="shared" ca="1" si="1153"/>
        <v>#N/A</v>
      </c>
      <c r="CK362" s="431" t="e">
        <f t="shared" ca="1" si="1154"/>
        <v>#N/A</v>
      </c>
      <c r="CL362" s="440" t="e">
        <f t="shared" ca="1" si="1155"/>
        <v>#N/A</v>
      </c>
      <c r="CM362" s="431" t="e">
        <f ca="1">INDEX(INDIRECT(VLOOKUP(LEFT(BO362,7),CLU!$Z$3:$AH$18,2)),GQ362,GS362)</f>
        <v>#N/A</v>
      </c>
      <c r="CN362" s="431" t="e">
        <f ca="1">INDEX(INDIRECT(VLOOKUP(LEFT(BO362,7),CLU!$Z$3:$AH$18,3)),GQ362,GS362)</f>
        <v>#N/A</v>
      </c>
      <c r="CO362" s="431" t="e">
        <f ca="1">INDEX(INDIRECT(VLOOKUP(LEFT(BO362,7),CLU!$Z$3:$AH$18,4)),GQ362,GS362)</f>
        <v>#N/A</v>
      </c>
      <c r="CP362" s="431" t="e">
        <f t="shared" ca="1" si="1156"/>
        <v>#N/A</v>
      </c>
      <c r="CQ362" s="440">
        <f t="shared" si="1157"/>
        <v>0</v>
      </c>
      <c r="CR362" s="51" t="e">
        <f t="shared" ca="1" si="1158"/>
        <v>#N/A</v>
      </c>
      <c r="CS362" s="439" t="e">
        <f t="shared" ca="1" si="1159"/>
        <v>#VALUE!</v>
      </c>
      <c r="CT362" s="51" t="e">
        <f t="shared" ca="1" si="1160"/>
        <v>#VALUE!</v>
      </c>
      <c r="CU362" s="10"/>
      <c r="CV362" s="51" t="e">
        <f t="shared" ca="1" si="1057"/>
        <v>#VALUE!</v>
      </c>
      <c r="CW362" s="51">
        <f t="shared" si="1161"/>
        <v>0</v>
      </c>
      <c r="CX362" s="439" t="e">
        <f t="shared" ca="1" si="1162"/>
        <v>#VALUE!</v>
      </c>
      <c r="CY362" s="51" t="e">
        <f t="shared" ca="1" si="1163"/>
        <v>#VALUE!</v>
      </c>
      <c r="CZ362" s="10"/>
      <c r="DA362" s="51" t="e">
        <f t="shared" ca="1" si="1164"/>
        <v>#VALUE!</v>
      </c>
      <c r="DB362" s="347" t="e">
        <f ca="1">INDEX(INDIRECT(VLOOKUP(LEFT(BO362,7),CLU!$Z$3:$AI$18,10)),((M362-2)*(6-COUNTBLANK(GT362:GY362)))+GJ362)*LI362</f>
        <v>#N/A</v>
      </c>
      <c r="DC362" s="347" t="str">
        <f>IF(L362&gt;0,((R362/Worksheet!$I$15)/DB362)^2," ")</f>
        <v xml:space="preserve"> </v>
      </c>
      <c r="DD362" s="602" t="str">
        <f t="shared" si="1165"/>
        <v xml:space="preserve"> </v>
      </c>
      <c r="DE362" s="347" t="str">
        <f t="shared" si="1058"/>
        <v xml:space="preserve"> </v>
      </c>
      <c r="DF362" s="356" t="e">
        <f ca="1">INDEX(INDIRECT(VLOOKUP(LEFT(BO362,7),CLU!$Z$3:$AH$18,8)),((M362-2)*(6-COUNTBLANK(GT362:GY362)))+GJ362)</f>
        <v>#N/A</v>
      </c>
      <c r="DG362" s="347" t="str">
        <f t="shared" si="1059"/>
        <v xml:space="preserve"> </v>
      </c>
      <c r="DH362" s="357" t="str">
        <f t="shared" si="1060"/>
        <v xml:space="preserve"> </v>
      </c>
      <c r="DI362" s="355" t="str">
        <f t="shared" si="1061"/>
        <v xml:space="preserve"> </v>
      </c>
      <c r="DJ362" s="245" t="e">
        <f ca="1">INDEX(INDIRECT(VLOOKUP(LEFT(BO362,7),CLU!$Z$3:$AH$18,5)),GL362,GK362)</f>
        <v>#N/A</v>
      </c>
      <c r="DK362" s="245" t="e">
        <f ca="1">INDEX(INDIRECT(VLOOKUP(LEFT(BO362,7),CLU!$Z$3:$AH$18,6)),GL362,GK362)</f>
        <v>#N/A</v>
      </c>
      <c r="DL362" s="355">
        <f>(Calculation!R362*0.69143*(Calculation!$BQ$8-Calculation!$F$8))*$S$14</f>
        <v>0</v>
      </c>
      <c r="DM362" s="359" t="e">
        <f t="shared" si="1166"/>
        <v>#VALUE!</v>
      </c>
      <c r="DN362" s="611">
        <f t="shared" si="1167"/>
        <v>0</v>
      </c>
      <c r="DO362" s="359">
        <f t="shared" si="1168"/>
        <v>100</v>
      </c>
      <c r="DP362" s="359">
        <f t="shared" si="1169"/>
        <v>0</v>
      </c>
      <c r="DQ362" s="360"/>
      <c r="DR362" s="245" t="e">
        <f ca="1">INDEX(INDIRECT(VLOOKUP(LEFT(BO362,7),CLU!$Z$3:$AH$18,7)),M362-1,1)</f>
        <v>#N/A</v>
      </c>
      <c r="DS362" s="245" t="e">
        <f ca="1">INDEX(INDIRECT(VLOOKUP(LEFT(BO362,7),CLU!$Z$3:$AH$18,7)),M362-1,2)</f>
        <v>#N/A</v>
      </c>
      <c r="DT362" s="245" t="e">
        <f ca="1">INDEX(INDIRECT(VLOOKUP(LEFT(BO362,7),CLU!$Z$3:$AH$18,7)),M362-1,3)</f>
        <v>#N/A</v>
      </c>
      <c r="DU362" s="245" t="e">
        <f ca="1">INDEX(INDIRECT(VLOOKUP(LEFT(BO362,7),CLU!$Z$3:$AH$18,7)),M362-1,4)</f>
        <v>#N/A</v>
      </c>
      <c r="DV362" s="361" t="e">
        <f ca="1">INDEX(INDIRECT(VLOOKUP(LEFT(BO362,7),CLU!$Z$3:$AH$18,7)),M362-1,4+LEFT(DZ362,1)*0.5)</f>
        <v>#N/A</v>
      </c>
      <c r="DW362" s="245" t="e">
        <f ca="1">INDEX(INDIRECT(VLOOKUP(LEFT(BO362,7),CLU!$Z$3:$AH$18,7)),M362-1,8)</f>
        <v>#N/A</v>
      </c>
      <c r="DX362" s="361" t="str">
        <f t="shared" si="1062"/>
        <v xml:space="preserve"> </v>
      </c>
      <c r="DY362" s="361" t="str">
        <f t="shared" si="1063"/>
        <v xml:space="preserve"> </v>
      </c>
      <c r="DZ362" s="361" t="str">
        <f t="shared" si="1064"/>
        <v xml:space="preserve"> </v>
      </c>
      <c r="EA362" s="362" t="str">
        <f t="shared" si="1065"/>
        <v xml:space="preserve"> </v>
      </c>
      <c r="EB362" s="624" t="str">
        <f t="shared" si="1170"/>
        <v xml:space="preserve"> </v>
      </c>
      <c r="EC362" s="361" t="e">
        <f ca="1">INDEX(INDIRECT(VLOOKUP(LEFT(BO362,7),CLU!$Z$3:$AH$18,7)),M362-1,4+LEFT(DZ362,1)*0.5)</f>
        <v>#N/A</v>
      </c>
      <c r="ED362" s="362" t="str">
        <f t="shared" si="1066"/>
        <v xml:space="preserve"> </v>
      </c>
      <c r="EE362" s="361" t="str">
        <f t="shared" si="1067"/>
        <v xml:space="preserve"> </v>
      </c>
      <c r="EF362" s="362" t="str">
        <f>IF(L362&gt;0,IF(BR362&gt;0,IF(EE362="2P",IF(Calculation!DZ362="2P",IF(Calculation!DS362=13.75,IF(Calculation!DR362=13,Worksheet!$BD$43,IF(Calculation!DR362=37,Worksheet!$BD$44,Worksheet!$BD$45)),IF(Calculation!DS362=10,IF(Calculation!DR362=18,Worksheet!$BD$29,IF(Calculation!DR362=30,Worksheet!$BD$30,IF(Calculation!DR362=42,Worksheet!$BD$31,IF(Calculation!DR362=54,Worksheet!$BD$32,IF(Calculation!DR362=66,Worksheet!$BD$33,IF(Calculation!DR362=78,Worksheet!$BD$34,IF(Calculation!DR362=90,Worksheet!$BD$35,IF(Calculation!DR362=102,Worksheet!$BD$36,Worksheet!$BD$37)))))))),IF(Calculation!DS362=12.5,IF(Calculation!DR362=18,Worksheet!$BD$38,IF(Calculation!DR362=Worksheet!$BD$39,IF(Calculation!DR362=42,Worksheet!$BD$40,IF(Calculation!DR362=54,Worksheet!$BD$41,Worksheet!$BD$42)))),IF(Calculation!DR362=18,Worksheet!$BD$11,IF(Calculation!DR362=30,Worksheet!$BD$12,IF(Calculation!DR362=42,Worksheet!$BD$13,IF(Calculation!DR362=54,Worksheet!$BD$14,IF(Calculation!DR362=66,Worksheet!$BD$15,IF(Calculation!DR362=78,Worksheet!$BD$16,IF(Calculation!DR362=90,Worksheet!$BD$17,IF(Calculation!DR362=102,Worksheet!$BD$18,Worksheet!$BD$19))))))))))),IF(Calculation!DS362=13.75,IF(Calculation!DR362=13,Worksheet!$BD$78,IF(Calculation!DR362=37,Worksheet!$BD$79,Worksheet!$BD$80)),IF(Calculation!DS362=10,IF(Calculation!DR362=18,Worksheet!$BD$64,IF(Calculation!DR362=30,Worksheet!$BD$65,IF(Calculation!DR362=42,Worksheet!$BD$66,IF(Calculation!DR362=54,Worksheet!$BD$68,IF(Calculation!DR362=66,Worksheet!$BD$68,IF(Calculation!DR362=78,Worksheet!$BD$69,IF(Calculation!DR362=90,Worksheet!$BD$70,IF(Calculation!DR362=102,Worksheet!$BD$71,Worksheet!$BD$72)))))))),IF(Calculation!DS362=12.5,IF(Calculation!DR362=18,Worksheet!$BD$73,IF(Calculation!DR362=Worksheet!$BD$74,IF(Calculation!DR362=42,Worksheet!$BD$75,IF(Calculation!DR362=54,Worksheet!$BD$76,Worksheet!$BD$77)))),IF(Calculation!DR362=18,Worksheet!$BD$55,IF(Calculation!DR362=30,Worksheet!$BD$56,IF(Calculation!DR362=42,Worksheet!$BD$57,IF(Calculation!DR362=54,Worksheet!$BD$58,IF(Calculation!DR362=66,Worksheet!$BD$59,IF(Calculation!DR362=78,Worksheet!$BD$60,IF(Calculation!DR362=90,Worksheet!$BD$61,IF(Calculation!DR362=102,Worksheet!$BD$62,Worksheet!$BD$63)))))))))))),5),0)," ")</f>
        <v xml:space="preserve"> </v>
      </c>
      <c r="EG362" s="361" t="str">
        <f t="shared" si="1068"/>
        <v xml:space="preserve"> </v>
      </c>
      <c r="EH362" s="361" t="e">
        <f ca="1">INDEX(INDIRECT(VLOOKUP(LEFT(BO362,7),CLU!$Z$3:$AH$18,7)),M362-1,3+LEFT(DZ362,1))</f>
        <v>#N/A</v>
      </c>
      <c r="EI362" s="362" t="str">
        <f t="shared" si="1069"/>
        <v xml:space="preserve"> </v>
      </c>
      <c r="EJ362" s="363" t="str">
        <f t="shared" si="1070"/>
        <v xml:space="preserve"> </v>
      </c>
      <c r="EK362" s="363" t="str">
        <f t="shared" si="1071"/>
        <v xml:space="preserve"> </v>
      </c>
      <c r="EL362" s="363" t="str">
        <f t="shared" si="1072"/>
        <v xml:space="preserve"> </v>
      </c>
      <c r="EM362" s="362" t="str">
        <f>IF(L362&gt;0,IF(BR362&gt;0,(Calculation!T362/ED362)^2,0)," ")</f>
        <v xml:space="preserve"> </v>
      </c>
      <c r="EN362" s="362" t="str">
        <f>IF(L362&gt;0,IF(O362="2 Pipe (Cooling)","N/A",IF(BR362&gt;0,(Calculation!U362/EI362)^2,0))," ")</f>
        <v xml:space="preserve"> </v>
      </c>
      <c r="EO362" s="361" t="str">
        <f t="shared" si="1073"/>
        <v/>
      </c>
      <c r="EP362" s="361" t="str">
        <f t="shared" si="1074"/>
        <v/>
      </c>
      <c r="EQ362" s="361" t="str">
        <f t="shared" si="1075"/>
        <v/>
      </c>
      <c r="ER362" s="361" t="str">
        <f t="shared" si="1076"/>
        <v/>
      </c>
      <c r="ES362" s="361" t="str">
        <f t="shared" si="1077"/>
        <v/>
      </c>
      <c r="ET362" s="361" t="str">
        <f t="shared" si="1078"/>
        <v/>
      </c>
      <c r="EU362" s="361" t="str">
        <f t="shared" si="1079"/>
        <v/>
      </c>
      <c r="EV362" s="361" t="str">
        <f t="shared" si="1080"/>
        <v/>
      </c>
      <c r="EW362" s="361" t="str">
        <f t="shared" si="1081"/>
        <v/>
      </c>
      <c r="EX362" s="361" t="str">
        <f t="shared" si="1171"/>
        <v>1 slot, 1 way</v>
      </c>
      <c r="EY362" s="361" t="str">
        <f t="shared" si="1172"/>
        <v xml:space="preserve"> </v>
      </c>
      <c r="EZ362" s="361" t="str">
        <f t="shared" si="1173"/>
        <v xml:space="preserve"> </v>
      </c>
      <c r="FA362" s="361" t="str">
        <f t="shared" si="1174"/>
        <v xml:space="preserve"> </v>
      </c>
      <c r="FB362" s="361" t="str">
        <f t="shared" si="1175"/>
        <v xml:space="preserve"> </v>
      </c>
      <c r="FC362" s="361"/>
      <c r="FD362" s="361" t="str">
        <f>IF(J362&gt;0,IF(Calculation!R362&lt;=70,4,IF(Calculation!R362&lt;=110,5,IF(Calculation!R362&lt;=160,6,IF(Calculation!R362&lt;=300,8,"10 EO")))),"")</f>
        <v/>
      </c>
      <c r="FE362" s="361" t="str">
        <f t="shared" si="1176"/>
        <v/>
      </c>
      <c r="FF362" s="361" t="str">
        <f t="shared" si="1177"/>
        <v/>
      </c>
      <c r="FG362" s="361" t="e">
        <f t="shared" si="1082"/>
        <v>#N/A</v>
      </c>
      <c r="FH362" s="361">
        <f t="shared" si="1083"/>
        <v>0</v>
      </c>
      <c r="FI362" s="361" t="e">
        <f t="shared" si="1084"/>
        <v>#DIV/0!</v>
      </c>
      <c r="FJ362" s="361"/>
      <c r="FK362" s="356" t="e">
        <f t="shared" si="1085"/>
        <v>#VALUE!</v>
      </c>
      <c r="FL362" s="361"/>
      <c r="FM362" s="361"/>
      <c r="FN362" s="362" t="str">
        <f t="shared" si="1178"/>
        <v xml:space="preserve"> </v>
      </c>
      <c r="FO362" s="362" t="str">
        <f t="shared" si="1179"/>
        <v xml:space="preserve"> </v>
      </c>
      <c r="FP362" s="362">
        <f t="shared" si="1180"/>
        <v>0</v>
      </c>
      <c r="FQ362" s="361">
        <f t="shared" si="1086"/>
        <v>0</v>
      </c>
      <c r="FR362" s="362" t="str">
        <f>IF(L362&gt;0,IF(J362="CBAL2",Worksheet!$P$67,IF(J362="CBE2-24",Worksheet!$Q$67,IF(J362="CBAM",Worksheet!$R$67,IF(J362="CBLV",Worksheet!$S$67,IF(J362="CBAB",Worksheet!$U$67,IF(J362="CBAW",Worksheet!$X$67,IF(J362="CBE2-12",Worksheet!$Y$67,IF(J362="CBAL2",Worksheet!$Z$67,"N/A"))))))))," ")</f>
        <v xml:space="preserve"> </v>
      </c>
      <c r="FS362" s="362" t="str">
        <f>IF(L362&gt;0,IF(J362="CBAL2",Worksheet!$P$68,IF(J362="CBE2-24",Worksheet!$Q$68,IF(J362="CBAM",Worksheet!$R$68,IF(J362="CBLV",Worksheet!$S$68,IF(J362="CBAB",Worksheet!$U$68,IF(J362="CBAW",Worksheet!$X$68,IF(J362="CBE2-12",Worksheet!$Y$68,IF(J362="CBAL2",Worksheet!$Z$68,"N/A"))))))))," ")</f>
        <v xml:space="preserve"> </v>
      </c>
      <c r="FT362" s="362" t="str">
        <f>IF(L362&gt;0,IF(J362="CBAL2",Worksheet!$P$69,IF(J362="CBE2-24",Worksheet!$Q$69,IF(J362="CBAM",Worksheet!$R$69,IF(J362="CBLV",Worksheet!$S$69,IF(J362="CBAB",Worksheet!$U$69,IF(J362="CBAW",Worksheet!$X$69,IF(J362="CBE2-12",Worksheet!$Y$69,IF(J362="CBAL2",Worksheet!$Z$69,"N/A"))))))))," ")</f>
        <v xml:space="preserve"> </v>
      </c>
      <c r="FU362" s="361" t="str">
        <f t="shared" si="1181"/>
        <v xml:space="preserve"> </v>
      </c>
      <c r="FV362" s="362" t="str">
        <f t="shared" si="1182"/>
        <v xml:space="preserve"> </v>
      </c>
      <c r="FW362" s="362" t="str">
        <f t="shared" si="1183"/>
        <v xml:space="preserve"> </v>
      </c>
      <c r="FX362" s="362" t="str">
        <f t="shared" si="1184"/>
        <v xml:space="preserve"> </v>
      </c>
      <c r="FY362" s="355" t="str">
        <f t="shared" si="1185"/>
        <v xml:space="preserve"> </v>
      </c>
      <c r="FZ362" s="361" t="str">
        <f t="shared" si="1186"/>
        <v xml:space="preserve"> </v>
      </c>
      <c r="GA362" s="347" t="str">
        <f t="shared" si="1187"/>
        <v xml:space="preserve"> </v>
      </c>
      <c r="GB362" s="355" t="str">
        <f t="shared" si="1188"/>
        <v xml:space="preserve"> </v>
      </c>
      <c r="GC362" s="328" t="str">
        <f t="shared" si="1189"/>
        <v xml:space="preserve"> </v>
      </c>
      <c r="GD362" s="361" t="str">
        <f t="shared" si="1190"/>
        <v xml:space="preserve"> </v>
      </c>
      <c r="GE362" s="347" t="str">
        <f t="shared" si="1191"/>
        <v xml:space="preserve"> </v>
      </c>
      <c r="GF362" s="361" t="str">
        <f t="shared" si="1192"/>
        <v xml:space="preserve"> </v>
      </c>
      <c r="GG362" s="347" t="str">
        <f t="shared" si="1193"/>
        <v xml:space="preserve"> </v>
      </c>
      <c r="GH362" s="364">
        <f t="shared" si="1087"/>
        <v>0</v>
      </c>
      <c r="GI362" s="362">
        <f t="shared" si="1194"/>
        <v>2</v>
      </c>
      <c r="GJ362" s="433" t="e">
        <f>IF(6-COUNTBLANK(GT362:GY362)=4,MATCH(MID(BO362,9,3),CLU!$H$16:$K$16),MATCH(MID(BO362,9,3),CLU!$H$13:$M$13))</f>
        <v>#N/A</v>
      </c>
      <c r="GK362" s="433" t="e">
        <f>HLOOKUP(VALUE(BP362),CLU!$H$9:$M$10,2)</f>
        <v>#VALUE!</v>
      </c>
      <c r="GL362" s="433" t="e">
        <f ca="1">MATCH(BU362,CLU!$H$2:$V$2,1)</f>
        <v>#VALUE!</v>
      </c>
      <c r="GM362" s="433" t="e">
        <f t="shared" ca="1" si="1195"/>
        <v>#VALUE!</v>
      </c>
      <c r="GN362" s="433" t="e">
        <f t="shared" ca="1" si="1196"/>
        <v>#VALUE!</v>
      </c>
      <c r="GO362" s="433" t="e">
        <f t="shared" ca="1" si="1197"/>
        <v>#VALUE!</v>
      </c>
      <c r="GP362" s="433" t="e">
        <f t="shared" ca="1" si="1198"/>
        <v>#VALUE!</v>
      </c>
      <c r="GQ362" s="433" t="e">
        <f t="shared" ca="1" si="1199"/>
        <v>#VALUE!</v>
      </c>
      <c r="GR362" s="433" t="e">
        <f ca="1">MATCH(T362,INDIRECT(VLOOKUP(CONCATENATE(LEFT(BO362,7),"-",MID(BO362,13,1)),CLU!$P$3:$Q$16,2)),1)</f>
        <v>#N/A</v>
      </c>
      <c r="GS362" s="433" t="e">
        <f ca="1">MATCH(U362,INDIRECT(VLOOKUP(CONCATENATE(LEFT(BO362,7),"-",MID(BO362,13,1)),CLU!$P$3:$Q$16,2)),1)</f>
        <v>#N/A</v>
      </c>
      <c r="GT362" s="347" t="s">
        <v>512</v>
      </c>
      <c r="GU362" s="97" t="s">
        <v>513</v>
      </c>
      <c r="GV362" s="97" t="str">
        <f t="shared" si="1200"/>
        <v>M23</v>
      </c>
      <c r="GW362" s="97" t="str">
        <f t="shared" si="1201"/>
        <v>M31</v>
      </c>
      <c r="GX362" s="97" t="str">
        <f t="shared" si="1202"/>
        <v/>
      </c>
      <c r="GY362" s="97" t="str">
        <f t="shared" si="1203"/>
        <v/>
      </c>
      <c r="GZ362" s="481"/>
      <c r="HA362" s="240"/>
      <c r="HB362" s="240"/>
      <c r="HC362" s="240"/>
      <c r="HD362" s="240"/>
      <c r="HE362" s="240"/>
      <c r="HF362" s="240"/>
      <c r="HG362" s="240"/>
      <c r="HH362" s="240"/>
      <c r="HI362" s="240"/>
      <c r="HJ362" s="240"/>
      <c r="HK362" s="240"/>
      <c r="HL362" s="240"/>
      <c r="HM362" s="240"/>
      <c r="HN362" s="240"/>
      <c r="HO362" s="240"/>
      <c r="HP362" s="240"/>
      <c r="HQ362" s="240"/>
      <c r="HR362" s="240"/>
      <c r="HS362" s="240"/>
      <c r="HT362" s="240"/>
      <c r="HU362" s="240"/>
      <c r="HV362" s="245"/>
      <c r="HW362" s="245" t="b">
        <v>1</v>
      </c>
      <c r="HX362" s="245" t="str">
        <f t="shared" si="1088"/>
        <v/>
      </c>
      <c r="HY362" s="245" t="e">
        <f t="shared" si="1089"/>
        <v>#DIV/0!</v>
      </c>
      <c r="HZ362" s="245" t="e">
        <f t="shared" si="1090"/>
        <v>#DIV/0!</v>
      </c>
      <c r="IA362" s="245">
        <f t="shared" si="1091"/>
        <v>0</v>
      </c>
      <c r="IB362" s="245"/>
      <c r="IC362" t="b">
        <f t="shared" si="1092"/>
        <v>1</v>
      </c>
      <c r="ID362" s="245" t="b">
        <f t="shared" si="1093"/>
        <v>1</v>
      </c>
      <c r="IE362" s="245" t="b">
        <f t="shared" si="1094"/>
        <v>1</v>
      </c>
      <c r="IF362" s="245" t="b">
        <f t="shared" si="1095"/>
        <v>0</v>
      </c>
      <c r="IG362" s="245" t="b">
        <f t="shared" si="1096"/>
        <v>1</v>
      </c>
      <c r="IH362" s="245" t="b">
        <f t="shared" si="1097"/>
        <v>1</v>
      </c>
      <c r="II362" s="245">
        <f t="shared" si="1204"/>
        <v>0</v>
      </c>
      <c r="IJ362" s="245" t="e">
        <f t="shared" si="1098"/>
        <v>#VALUE!</v>
      </c>
      <c r="IK362" s="245" t="e">
        <f t="shared" si="1099"/>
        <v>#VALUE!</v>
      </c>
      <c r="IL362" s="245"/>
      <c r="IM362" s="245" t="e">
        <f t="shared" si="1205"/>
        <v>#N/A</v>
      </c>
      <c r="IN362" s="245" t="e">
        <f t="shared" si="1206"/>
        <v>#N/A</v>
      </c>
      <c r="IO362" s="245"/>
      <c r="IP362" s="245"/>
      <c r="IQ362" s="245" t="str">
        <f t="shared" si="1100"/>
        <v/>
      </c>
      <c r="IR362" s="245" t="str">
        <f>IF(J362="","",VLOOKUP(J362,Worksheet!$R$4:$T$14,2))</f>
        <v/>
      </c>
      <c r="IS362" s="245"/>
      <c r="IT362" s="245">
        <f t="shared" si="1101"/>
        <v>0</v>
      </c>
      <c r="IU362" s="245">
        <f t="shared" si="1102"/>
        <v>0</v>
      </c>
      <c r="IV362" s="245">
        <f t="shared" si="1103"/>
        <v>0</v>
      </c>
      <c r="IW362" s="245">
        <f t="shared" si="1104"/>
        <v>0</v>
      </c>
      <c r="IX362" s="245">
        <f t="shared" si="1207"/>
        <v>0</v>
      </c>
      <c r="IY362" s="245">
        <f t="shared" si="1105"/>
        <v>0</v>
      </c>
      <c r="IZ362" s="245">
        <f t="shared" si="1106"/>
        <v>0</v>
      </c>
      <c r="JA362">
        <f t="shared" si="1107"/>
        <v>0</v>
      </c>
      <c r="JB362">
        <f t="shared" si="1208"/>
        <v>0</v>
      </c>
      <c r="JC362">
        <f t="shared" si="1108"/>
        <v>0</v>
      </c>
      <c r="JD362">
        <f t="shared" si="1109"/>
        <v>0</v>
      </c>
      <c r="JE362">
        <f t="shared" si="1110"/>
        <v>0</v>
      </c>
      <c r="JF362">
        <f t="shared" si="1111"/>
        <v>0</v>
      </c>
      <c r="JG362">
        <f t="shared" si="1112"/>
        <v>0</v>
      </c>
      <c r="JH362">
        <f t="shared" si="1113"/>
        <v>0</v>
      </c>
      <c r="JI362">
        <f t="shared" si="1114"/>
        <v>0</v>
      </c>
      <c r="JJ362" s="447">
        <f t="shared" si="1115"/>
        <v>0</v>
      </c>
      <c r="JK362" s="447">
        <f t="shared" si="1116"/>
        <v>0</v>
      </c>
      <c r="JL362">
        <f t="shared" si="1117"/>
        <v>0</v>
      </c>
      <c r="JM362" s="245" t="str">
        <f>IFERROR(VLOOKUP(MATCH(BN362,#REF!,0),#REF!,7),"")</f>
        <v/>
      </c>
      <c r="JN362" t="e">
        <f>HLOOKUP(LEFT(BO362,7),Discharge_Area,MATCH(JO362,LookUps!$B$130:$B$149,1)+2)</f>
        <v>#N/A</v>
      </c>
      <c r="JO362" t="str">
        <f t="shared" si="1118"/>
        <v>- S</v>
      </c>
      <c r="JP362" t="e">
        <f>HLOOKUP(LEFT(BO362,7),Discharge_Area,MATCH(JO362,LookUps!$B$130:$B$149,1)+2)</f>
        <v>#N/A</v>
      </c>
      <c r="JQ362" t="e">
        <f t="shared" si="1119"/>
        <v>#N/A</v>
      </c>
      <c r="JR362" t="e">
        <f t="shared" si="1120"/>
        <v>#N/A</v>
      </c>
      <c r="JS362" t="e">
        <f t="shared" si="1121"/>
        <v>#N/A</v>
      </c>
      <c r="JT362" s="532" t="str">
        <f t="shared" si="1122"/>
        <v xml:space="preserve"> </v>
      </c>
      <c r="JU362" s="532" t="str">
        <f t="shared" si="1123"/>
        <v xml:space="preserve"> </v>
      </c>
      <c r="JV362" s="533" t="str">
        <f t="shared" si="1124"/>
        <v xml:space="preserve"> </v>
      </c>
      <c r="JW362" s="534">
        <f t="shared" si="1125"/>
        <v>0</v>
      </c>
      <c r="JX362" s="535" t="str">
        <f t="shared" si="1209"/>
        <v xml:space="preserve"> </v>
      </c>
      <c r="JY362" s="535" t="str">
        <f t="shared" si="1210"/>
        <v xml:space="preserve"> </v>
      </c>
      <c r="JZ362" s="535" t="str">
        <f t="shared" si="1211"/>
        <v xml:space="preserve"> </v>
      </c>
      <c r="KA362" s="536" t="str">
        <f t="shared" si="1126"/>
        <v xml:space="preserve"> </v>
      </c>
      <c r="KB362" s="535" t="e">
        <f t="shared" si="1212"/>
        <v>#VALUE!</v>
      </c>
      <c r="KC362" s="535" t="str">
        <f t="shared" si="1127"/>
        <v/>
      </c>
      <c r="KD362" s="537" t="str">
        <f t="shared" si="1213"/>
        <v xml:space="preserve"> </v>
      </c>
      <c r="KE362" s="537" t="str">
        <f t="shared" si="1214"/>
        <v xml:space="preserve"> </v>
      </c>
      <c r="KF362" s="534">
        <f t="shared" si="1128"/>
        <v>0</v>
      </c>
      <c r="KG362" s="535" t="str">
        <f t="shared" si="1129"/>
        <v xml:space="preserve"> </v>
      </c>
      <c r="KH362" s="535" t="str">
        <f t="shared" si="1130"/>
        <v xml:space="preserve"> </v>
      </c>
      <c r="KI362" s="535" t="str">
        <f t="shared" si="1131"/>
        <v xml:space="preserve"> </v>
      </c>
      <c r="KJ362" s="536" t="str">
        <f t="shared" si="1132"/>
        <v xml:space="preserve"> </v>
      </c>
      <c r="KK362" s="535" t="str">
        <f t="shared" si="1215"/>
        <v xml:space="preserve"> </v>
      </c>
      <c r="KL362" s="535" t="str">
        <f t="shared" si="1216"/>
        <v xml:space="preserve"> </v>
      </c>
      <c r="KM362" s="537" t="str">
        <f t="shared" si="1133"/>
        <v xml:space="preserve"> </v>
      </c>
      <c r="KN362" s="537" t="str">
        <f t="shared" si="1217"/>
        <v xml:space="preserve"> </v>
      </c>
      <c r="KP362">
        <f t="shared" si="1134"/>
        <v>0</v>
      </c>
      <c r="LA362" t="e">
        <f t="shared" si="1135"/>
        <v>#VALUE!</v>
      </c>
      <c r="LB362" t="e">
        <f t="shared" si="1136"/>
        <v>#VALUE!</v>
      </c>
      <c r="LC362" t="e">
        <f t="shared" si="1137"/>
        <v>#VALUE!</v>
      </c>
      <c r="LD362" t="e">
        <f t="shared" si="1138"/>
        <v>#VALUE!</v>
      </c>
      <c r="LE362" t="e">
        <f t="shared" si="1218"/>
        <v>#VALUE!</v>
      </c>
      <c r="LF362">
        <f t="shared" si="1139"/>
        <v>0</v>
      </c>
      <c r="LG362" t="e">
        <f t="shared" si="1219"/>
        <v>#VALUE!</v>
      </c>
      <c r="LH362" t="str">
        <f t="shared" si="1140"/>
        <v xml:space="preserve"> </v>
      </c>
      <c r="LI362">
        <f t="shared" si="1220"/>
        <v>1</v>
      </c>
    </row>
    <row r="363" spans="2:321" ht="15" customHeight="1">
      <c r="B363" s="311"/>
      <c r="C363" s="311"/>
      <c r="D363" s="312"/>
      <c r="E363" s="311"/>
      <c r="F363" s="312"/>
      <c r="G363" s="311"/>
      <c r="H363" s="311"/>
      <c r="I363" s="232"/>
      <c r="J363" s="311"/>
      <c r="K363" s="305" t="str">
        <f t="shared" si="1141"/>
        <v/>
      </c>
      <c r="L363" s="313"/>
      <c r="M363" s="312"/>
      <c r="N363" s="311"/>
      <c r="O363" s="312"/>
      <c r="P363" s="311"/>
      <c r="Q363" s="305" t="str">
        <f t="shared" si="1142"/>
        <v/>
      </c>
      <c r="R363" s="314"/>
      <c r="S363" s="450" t="str">
        <f t="shared" si="1025"/>
        <v/>
      </c>
      <c r="T363" s="315"/>
      <c r="U363" s="315"/>
      <c r="W363" s="149" t="str">
        <f t="shared" si="1026"/>
        <v xml:space="preserve"> </v>
      </c>
      <c r="X363" s="243" t="str">
        <f t="shared" si="1027"/>
        <v xml:space="preserve"> </v>
      </c>
      <c r="Y363" s="150" t="str">
        <f t="shared" si="1028"/>
        <v/>
      </c>
      <c r="Z363" s="149" t="str">
        <f t="shared" si="1029"/>
        <v xml:space="preserve"> </v>
      </c>
      <c r="AA363" s="98" t="str">
        <f t="shared" si="1030"/>
        <v xml:space="preserve"> </v>
      </c>
      <c r="AB363" s="153" t="str">
        <f t="shared" si="1031"/>
        <v xml:space="preserve"> </v>
      </c>
      <c r="AC363" s="153" t="str">
        <f t="shared" si="1032"/>
        <v xml:space="preserve"> </v>
      </c>
      <c r="AD363" s="148" t="str">
        <f t="shared" si="1033"/>
        <v/>
      </c>
      <c r="AE363" s="149" t="str">
        <f t="shared" si="1034"/>
        <v/>
      </c>
      <c r="AF363" s="151" t="str">
        <f t="shared" si="1035"/>
        <v xml:space="preserve"> </v>
      </c>
      <c r="AG363" s="153" t="str">
        <f t="shared" si="1036"/>
        <v xml:space="preserve"> </v>
      </c>
      <c r="AH363" s="98" t="str">
        <f t="shared" si="1037"/>
        <v xml:space="preserve"> </v>
      </c>
      <c r="AI363" s="149" t="str">
        <f t="shared" si="1038"/>
        <v xml:space="preserve"> </v>
      </c>
      <c r="AK363" s="144" t="str">
        <f t="shared" si="1039"/>
        <v xml:space="preserve"> </v>
      </c>
      <c r="AL363" s="144"/>
      <c r="AM363" s="243" t="str">
        <f t="shared" si="1040"/>
        <v xml:space="preserve"> </v>
      </c>
      <c r="AN363" s="149" t="str">
        <f t="shared" si="1143"/>
        <v xml:space="preserve"> </v>
      </c>
      <c r="AO363" s="144" t="str">
        <f>IF(JB363&gt;0,IF(GI363=10,-R363*1.085*(Calculation!$F$6-Calculation!$F$13)*$S$14," "),"")</f>
        <v/>
      </c>
      <c r="AP363" s="144" t="str">
        <f t="shared" si="1041"/>
        <v/>
      </c>
      <c r="AQ363" s="56" t="str">
        <f t="shared" si="1042"/>
        <v/>
      </c>
      <c r="AR363" s="144" t="str">
        <f t="shared" si="1043"/>
        <v/>
      </c>
      <c r="AS363" s="176" t="str">
        <f t="shared" si="1044"/>
        <v/>
      </c>
      <c r="AT363" s="176" t="str">
        <f t="shared" si="1144"/>
        <v xml:space="preserve"> </v>
      </c>
      <c r="AU363" s="176" t="str">
        <f t="shared" si="1045"/>
        <v/>
      </c>
      <c r="AV363" s="177" t="str">
        <f t="shared" si="1046"/>
        <v xml:space="preserve"> </v>
      </c>
      <c r="AW363" s="144" t="str">
        <f t="shared" si="1047"/>
        <v xml:space="preserve"> </v>
      </c>
      <c r="AX363" s="144" t="str">
        <f t="shared" si="1048"/>
        <v xml:space="preserve"> </v>
      </c>
      <c r="AY363" s="152" t="str">
        <f t="shared" si="1049"/>
        <v xml:space="preserve"> </v>
      </c>
      <c r="AZ363" s="246" t="str">
        <f t="shared" si="1050"/>
        <v/>
      </c>
      <c r="BA363" s="176" t="str">
        <f t="shared" si="1051"/>
        <v xml:space="preserve"> </v>
      </c>
      <c r="BB363" s="176" t="str">
        <f t="shared" si="1052"/>
        <v xml:space="preserve"> </v>
      </c>
      <c r="BC363" s="195"/>
      <c r="BD363" s="316"/>
      <c r="BE363" s="317"/>
      <c r="BF363" s="318"/>
      <c r="BG363" s="318"/>
      <c r="BH363" s="144" t="str">
        <f t="shared" si="1221"/>
        <v xml:space="preserve"> </v>
      </c>
      <c r="BI363" s="176" t="str">
        <f t="shared" si="1053"/>
        <v/>
      </c>
      <c r="BJ363" s="144" t="str">
        <f t="shared" si="1222"/>
        <v/>
      </c>
      <c r="BK363" s="246" t="str">
        <f t="shared" si="1054"/>
        <v/>
      </c>
      <c r="BL363" s="144" t="str">
        <f t="shared" si="1223"/>
        <v/>
      </c>
      <c r="BM363" s="246" t="str">
        <f t="shared" si="1055"/>
        <v/>
      </c>
      <c r="BN363" s="337" t="str">
        <f t="shared" si="1145"/>
        <v/>
      </c>
      <c r="BO363" s="371" t="str">
        <f t="shared" si="1146"/>
        <v/>
      </c>
      <c r="BP363" s="328" t="str">
        <f t="shared" si="1224"/>
        <v xml:space="preserve"> </v>
      </c>
      <c r="BQ363" s="347" t="str">
        <f t="shared" si="1147"/>
        <v xml:space="preserve"> </v>
      </c>
      <c r="BR363" s="353" t="str">
        <f t="shared" si="1148"/>
        <v xml:space="preserve"> </v>
      </c>
      <c r="BS363" s="626" t="str">
        <f>IF(L363&gt;0,IF(Calculation!P363="M13",BR363*3.1416*(0.134^2)/(4*144),IF(Calculation!P363="M17",BR363*3.1416*(0.165^2)/(4*144),IF(Calculation!P363="M20",BR363*3.1416*(0.198^2)/(4*144),IF(Calculation!P363="M23",BR363*3.1416*(0.228^2)/(4*144),IF(Calculation!P363="M27",BR363*3.1416*(0.269^2)/(4*144),BR363*3.1416*(0.307^2)/(4*144))))))," ")</f>
        <v xml:space="preserve"> </v>
      </c>
      <c r="BT363" s="353" t="str">
        <f>IF(L363&gt;0,IF(BS363&gt;0,R363/Calculation!BS363,0)," ")</f>
        <v xml:space="preserve"> </v>
      </c>
      <c r="BU363" s="438" t="e">
        <f t="shared" ca="1" si="1056"/>
        <v>#VALUE!</v>
      </c>
      <c r="BV363" s="449" t="e">
        <f ca="1">INDEX(INDIRECT(VLOOKUP(LEFT(BO363,7),CLU!$Z$3:$AH$18,2)),GN363,GR363)</f>
        <v>#N/A</v>
      </c>
      <c r="BW363" s="433" t="e">
        <f ca="1">INDEX(INDIRECT(VLOOKUP(LEFT(BO363,7),CLU!$Z$3:$AH$18,3)),GN363,GR363)</f>
        <v>#N/A</v>
      </c>
      <c r="BX363" s="433" t="e">
        <f ca="1">INDEX(INDIRECT(VLOOKUP(LEFT(BO363,7),CLU!$Z$3:$AH$18,4)),GN363,GR363)</f>
        <v>#N/A</v>
      </c>
      <c r="BY363" s="433" t="e">
        <f ca="1">INDEX(INDIRECT(VLOOKUP(LEFT(BO363,7),CLU!$Z$3:$AH$18,9)),((M363-2)*(6-COUNTBLANK(GT363:GY363)))+GJ363)</f>
        <v>#N/A</v>
      </c>
      <c r="BZ363" s="426" t="e">
        <f t="shared" ca="1" si="1149"/>
        <v>#N/A</v>
      </c>
      <c r="CA363" s="424" t="e">
        <f t="shared" ca="1" si="1150"/>
        <v>#N/A</v>
      </c>
      <c r="CB363" s="429" t="e">
        <f ca="1">INDEX(INDIRECT(VLOOKUP(LEFT(BO363,7),CLU!$Z$3:$AH$18,2)),GN363,GS363)</f>
        <v>#N/A</v>
      </c>
      <c r="CC363" s="342" t="e">
        <f ca="1">INDEX(INDIRECT(VLOOKUP(LEFT(BO363,7),CLU!$Z$3:$AH$18,3)),GN363,GS363)</f>
        <v>#N/A</v>
      </c>
      <c r="CD363" s="342" t="e">
        <f ca="1">INDEX(INDIRECT(VLOOKUP(LEFT(BO363,7),CLU!$Z$3:$AH$18,4)),GN363,GS363)</f>
        <v>#N/A</v>
      </c>
      <c r="CE363" s="426" t="e">
        <f t="shared" ca="1" si="1151"/>
        <v>#N/A</v>
      </c>
      <c r="CF363" s="440">
        <f t="shared" si="1152"/>
        <v>0</v>
      </c>
      <c r="CG363" s="431" t="e">
        <f ca="1">INDEX(INDIRECT(VLOOKUP(LEFT(BO363,7),CLU!$Z$3:$AH$18,2)),GQ363,GR363)</f>
        <v>#N/A</v>
      </c>
      <c r="CH363" s="431" t="e">
        <f ca="1">INDEX(INDIRECT(VLOOKUP(LEFT(BO363,7),CLU!$Z$3:$AH$18,3)),GQ363,GR363)</f>
        <v>#N/A</v>
      </c>
      <c r="CI363" s="431" t="e">
        <f ca="1">INDEX(INDIRECT(VLOOKUP(LEFT(BO363,7),CLU!$Z$3:$AH$18,4)),GQ363,GR363)</f>
        <v>#N/A</v>
      </c>
      <c r="CJ363" s="448" t="e">
        <f t="shared" ca="1" si="1153"/>
        <v>#N/A</v>
      </c>
      <c r="CK363" s="431" t="e">
        <f t="shared" ca="1" si="1154"/>
        <v>#N/A</v>
      </c>
      <c r="CL363" s="440" t="e">
        <f t="shared" ca="1" si="1155"/>
        <v>#N/A</v>
      </c>
      <c r="CM363" s="431" t="e">
        <f ca="1">INDEX(INDIRECT(VLOOKUP(LEFT(BO363,7),CLU!$Z$3:$AH$18,2)),GQ363,GS363)</f>
        <v>#N/A</v>
      </c>
      <c r="CN363" s="431" t="e">
        <f ca="1">INDEX(INDIRECT(VLOOKUP(LEFT(BO363,7),CLU!$Z$3:$AH$18,3)),GQ363,GS363)</f>
        <v>#N/A</v>
      </c>
      <c r="CO363" s="431" t="e">
        <f ca="1">INDEX(INDIRECT(VLOOKUP(LEFT(BO363,7),CLU!$Z$3:$AH$18,4)),GQ363,GS363)</f>
        <v>#N/A</v>
      </c>
      <c r="CP363" s="431" t="e">
        <f t="shared" ca="1" si="1156"/>
        <v>#N/A</v>
      </c>
      <c r="CQ363" s="440">
        <f t="shared" si="1157"/>
        <v>0</v>
      </c>
      <c r="CR363" s="51" t="e">
        <f t="shared" ca="1" si="1158"/>
        <v>#N/A</v>
      </c>
      <c r="CS363" s="439" t="e">
        <f t="shared" ca="1" si="1159"/>
        <v>#VALUE!</v>
      </c>
      <c r="CT363" s="51" t="e">
        <f t="shared" ca="1" si="1160"/>
        <v>#VALUE!</v>
      </c>
      <c r="CU363" s="10"/>
      <c r="CV363" s="51" t="e">
        <f t="shared" ca="1" si="1057"/>
        <v>#VALUE!</v>
      </c>
      <c r="CW363" s="51">
        <f t="shared" si="1161"/>
        <v>0</v>
      </c>
      <c r="CX363" s="439" t="e">
        <f t="shared" ca="1" si="1162"/>
        <v>#VALUE!</v>
      </c>
      <c r="CY363" s="51" t="e">
        <f t="shared" ca="1" si="1163"/>
        <v>#VALUE!</v>
      </c>
      <c r="CZ363" s="10"/>
      <c r="DA363" s="51" t="e">
        <f t="shared" ca="1" si="1164"/>
        <v>#VALUE!</v>
      </c>
      <c r="DB363" s="347" t="e">
        <f ca="1">INDEX(INDIRECT(VLOOKUP(LEFT(BO363,7),CLU!$Z$3:$AI$18,10)),((M363-2)*(6-COUNTBLANK(GT363:GY363)))+GJ363)*LI363</f>
        <v>#N/A</v>
      </c>
      <c r="DC363" s="347" t="str">
        <f>IF(L363&gt;0,((R363/Worksheet!$I$15)/DB363)^2," ")</f>
        <v xml:space="preserve"> </v>
      </c>
      <c r="DD363" s="602" t="str">
        <f t="shared" si="1165"/>
        <v xml:space="preserve"> </v>
      </c>
      <c r="DE363" s="347" t="str">
        <f t="shared" si="1058"/>
        <v xml:space="preserve"> </v>
      </c>
      <c r="DF363" s="356" t="e">
        <f ca="1">INDEX(INDIRECT(VLOOKUP(LEFT(BO363,7),CLU!$Z$3:$AH$18,8)),((M363-2)*(6-COUNTBLANK(GT363:GY363)))+GJ363)</f>
        <v>#N/A</v>
      </c>
      <c r="DG363" s="347" t="str">
        <f t="shared" si="1059"/>
        <v xml:space="preserve"> </v>
      </c>
      <c r="DH363" s="357" t="str">
        <f t="shared" si="1060"/>
        <v xml:space="preserve"> </v>
      </c>
      <c r="DI363" s="355" t="str">
        <f t="shared" si="1061"/>
        <v xml:space="preserve"> </v>
      </c>
      <c r="DJ363" s="245" t="e">
        <f ca="1">INDEX(INDIRECT(VLOOKUP(LEFT(BO363,7),CLU!$Z$3:$AH$18,5)),GL363,GK363)</f>
        <v>#N/A</v>
      </c>
      <c r="DK363" s="245" t="e">
        <f ca="1">INDEX(INDIRECT(VLOOKUP(LEFT(BO363,7),CLU!$Z$3:$AH$18,6)),GL363,GK363)</f>
        <v>#N/A</v>
      </c>
      <c r="DL363" s="355">
        <f>(Calculation!R363*0.69143*(Calculation!$BQ$8-Calculation!$F$8))*$S$14</f>
        <v>0</v>
      </c>
      <c r="DM363" s="359" t="e">
        <f t="shared" si="1166"/>
        <v>#VALUE!</v>
      </c>
      <c r="DN363" s="611">
        <f t="shared" si="1167"/>
        <v>0</v>
      </c>
      <c r="DO363" s="359">
        <f t="shared" si="1168"/>
        <v>100</v>
      </c>
      <c r="DP363" s="359">
        <f t="shared" si="1169"/>
        <v>0</v>
      </c>
      <c r="DQ363" s="360"/>
      <c r="DR363" s="245" t="e">
        <f ca="1">INDEX(INDIRECT(VLOOKUP(LEFT(BO363,7),CLU!$Z$3:$AH$18,7)),M363-1,1)</f>
        <v>#N/A</v>
      </c>
      <c r="DS363" s="245" t="e">
        <f ca="1">INDEX(INDIRECT(VLOOKUP(LEFT(BO363,7),CLU!$Z$3:$AH$18,7)),M363-1,2)</f>
        <v>#N/A</v>
      </c>
      <c r="DT363" s="245" t="e">
        <f ca="1">INDEX(INDIRECT(VLOOKUP(LEFT(BO363,7),CLU!$Z$3:$AH$18,7)),M363-1,3)</f>
        <v>#N/A</v>
      </c>
      <c r="DU363" s="245" t="e">
        <f ca="1">INDEX(INDIRECT(VLOOKUP(LEFT(BO363,7),CLU!$Z$3:$AH$18,7)),M363-1,4)</f>
        <v>#N/A</v>
      </c>
      <c r="DV363" s="361" t="e">
        <f ca="1">INDEX(INDIRECT(VLOOKUP(LEFT(BO363,7),CLU!$Z$3:$AH$18,7)),M363-1,4+LEFT(DZ363,1)*0.5)</f>
        <v>#N/A</v>
      </c>
      <c r="DW363" s="245" t="e">
        <f ca="1">INDEX(INDIRECT(VLOOKUP(LEFT(BO363,7),CLU!$Z$3:$AH$18,7)),M363-1,8)</f>
        <v>#N/A</v>
      </c>
      <c r="DX363" s="361" t="str">
        <f t="shared" si="1062"/>
        <v xml:space="preserve"> </v>
      </c>
      <c r="DY363" s="361" t="str">
        <f t="shared" si="1063"/>
        <v xml:space="preserve"> </v>
      </c>
      <c r="DZ363" s="361" t="str">
        <f t="shared" si="1064"/>
        <v xml:space="preserve"> </v>
      </c>
      <c r="EA363" s="362" t="str">
        <f t="shared" si="1065"/>
        <v xml:space="preserve"> </v>
      </c>
      <c r="EB363" s="624" t="str">
        <f t="shared" si="1170"/>
        <v xml:space="preserve"> </v>
      </c>
      <c r="EC363" s="361" t="e">
        <f ca="1">INDEX(INDIRECT(VLOOKUP(LEFT(BO363,7),CLU!$Z$3:$AH$18,7)),M363-1,4+LEFT(DZ363,1)*0.5)</f>
        <v>#N/A</v>
      </c>
      <c r="ED363" s="362" t="str">
        <f t="shared" si="1066"/>
        <v xml:space="preserve"> </v>
      </c>
      <c r="EE363" s="361" t="str">
        <f t="shared" si="1067"/>
        <v xml:space="preserve"> </v>
      </c>
      <c r="EF363" s="362" t="str">
        <f>IF(L363&gt;0,IF(BR363&gt;0,IF(EE363="2P",IF(Calculation!DZ363="2P",IF(Calculation!DS363=13.75,IF(Calculation!DR363=13,Worksheet!$BD$43,IF(Calculation!DR363=37,Worksheet!$BD$44,Worksheet!$BD$45)),IF(Calculation!DS363=10,IF(Calculation!DR363=18,Worksheet!$BD$29,IF(Calculation!DR363=30,Worksheet!$BD$30,IF(Calculation!DR363=42,Worksheet!$BD$31,IF(Calculation!DR363=54,Worksheet!$BD$32,IF(Calculation!DR363=66,Worksheet!$BD$33,IF(Calculation!DR363=78,Worksheet!$BD$34,IF(Calculation!DR363=90,Worksheet!$BD$35,IF(Calculation!DR363=102,Worksheet!$BD$36,Worksheet!$BD$37)))))))),IF(Calculation!DS363=12.5,IF(Calculation!DR363=18,Worksheet!$BD$38,IF(Calculation!DR363=Worksheet!$BD$39,IF(Calculation!DR363=42,Worksheet!$BD$40,IF(Calculation!DR363=54,Worksheet!$BD$41,Worksheet!$BD$42)))),IF(Calculation!DR363=18,Worksheet!$BD$11,IF(Calculation!DR363=30,Worksheet!$BD$12,IF(Calculation!DR363=42,Worksheet!$BD$13,IF(Calculation!DR363=54,Worksheet!$BD$14,IF(Calculation!DR363=66,Worksheet!$BD$15,IF(Calculation!DR363=78,Worksheet!$BD$16,IF(Calculation!DR363=90,Worksheet!$BD$17,IF(Calculation!DR363=102,Worksheet!$BD$18,Worksheet!$BD$19))))))))))),IF(Calculation!DS363=13.75,IF(Calculation!DR363=13,Worksheet!$BD$78,IF(Calculation!DR363=37,Worksheet!$BD$79,Worksheet!$BD$80)),IF(Calculation!DS363=10,IF(Calculation!DR363=18,Worksheet!$BD$64,IF(Calculation!DR363=30,Worksheet!$BD$65,IF(Calculation!DR363=42,Worksheet!$BD$66,IF(Calculation!DR363=54,Worksheet!$BD$68,IF(Calculation!DR363=66,Worksheet!$BD$68,IF(Calculation!DR363=78,Worksheet!$BD$69,IF(Calculation!DR363=90,Worksheet!$BD$70,IF(Calculation!DR363=102,Worksheet!$BD$71,Worksheet!$BD$72)))))))),IF(Calculation!DS363=12.5,IF(Calculation!DR363=18,Worksheet!$BD$73,IF(Calculation!DR363=Worksheet!$BD$74,IF(Calculation!DR363=42,Worksheet!$BD$75,IF(Calculation!DR363=54,Worksheet!$BD$76,Worksheet!$BD$77)))),IF(Calculation!DR363=18,Worksheet!$BD$55,IF(Calculation!DR363=30,Worksheet!$BD$56,IF(Calculation!DR363=42,Worksheet!$BD$57,IF(Calculation!DR363=54,Worksheet!$BD$58,IF(Calculation!DR363=66,Worksheet!$BD$59,IF(Calculation!DR363=78,Worksheet!$BD$60,IF(Calculation!DR363=90,Worksheet!$BD$61,IF(Calculation!DR363=102,Worksheet!$BD$62,Worksheet!$BD$63)))))))))))),5),0)," ")</f>
        <v xml:space="preserve"> </v>
      </c>
      <c r="EG363" s="361" t="str">
        <f t="shared" si="1068"/>
        <v xml:space="preserve"> </v>
      </c>
      <c r="EH363" s="361" t="e">
        <f ca="1">INDEX(INDIRECT(VLOOKUP(LEFT(BO363,7),CLU!$Z$3:$AH$18,7)),M363-1,3+LEFT(DZ363,1))</f>
        <v>#N/A</v>
      </c>
      <c r="EI363" s="362" t="str">
        <f t="shared" si="1069"/>
        <v xml:space="preserve"> </v>
      </c>
      <c r="EJ363" s="363" t="str">
        <f t="shared" si="1070"/>
        <v xml:space="preserve"> </v>
      </c>
      <c r="EK363" s="363" t="str">
        <f t="shared" si="1071"/>
        <v xml:space="preserve"> </v>
      </c>
      <c r="EL363" s="363" t="str">
        <f t="shared" si="1072"/>
        <v xml:space="preserve"> </v>
      </c>
      <c r="EM363" s="362" t="str">
        <f>IF(L363&gt;0,IF(BR363&gt;0,(Calculation!T363/ED363)^2,0)," ")</f>
        <v xml:space="preserve"> </v>
      </c>
      <c r="EN363" s="362" t="str">
        <f>IF(L363&gt;0,IF(O363="2 Pipe (Cooling)","N/A",IF(BR363&gt;0,(Calculation!U363/EI363)^2,0))," ")</f>
        <v xml:space="preserve"> </v>
      </c>
      <c r="EO363" s="361" t="str">
        <f t="shared" si="1073"/>
        <v/>
      </c>
      <c r="EP363" s="361" t="str">
        <f t="shared" si="1074"/>
        <v/>
      </c>
      <c r="EQ363" s="361" t="str">
        <f t="shared" si="1075"/>
        <v/>
      </c>
      <c r="ER363" s="361" t="str">
        <f t="shared" si="1076"/>
        <v/>
      </c>
      <c r="ES363" s="361" t="str">
        <f t="shared" si="1077"/>
        <v/>
      </c>
      <c r="ET363" s="361" t="str">
        <f t="shared" si="1078"/>
        <v/>
      </c>
      <c r="EU363" s="361" t="str">
        <f t="shared" si="1079"/>
        <v/>
      </c>
      <c r="EV363" s="361" t="str">
        <f t="shared" si="1080"/>
        <v/>
      </c>
      <c r="EW363" s="361" t="str">
        <f t="shared" si="1081"/>
        <v/>
      </c>
      <c r="EX363" s="361" t="str">
        <f t="shared" si="1171"/>
        <v>1 slot, 1 way</v>
      </c>
      <c r="EY363" s="361" t="str">
        <f t="shared" si="1172"/>
        <v xml:space="preserve"> </v>
      </c>
      <c r="EZ363" s="361" t="str">
        <f t="shared" si="1173"/>
        <v xml:space="preserve"> </v>
      </c>
      <c r="FA363" s="361" t="str">
        <f t="shared" si="1174"/>
        <v xml:space="preserve"> </v>
      </c>
      <c r="FB363" s="361" t="str">
        <f t="shared" si="1175"/>
        <v xml:space="preserve"> </v>
      </c>
      <c r="FC363" s="361"/>
      <c r="FD363" s="361" t="str">
        <f>IF(J363&gt;0,IF(Calculation!R363&lt;=70,4,IF(Calculation!R363&lt;=110,5,IF(Calculation!R363&lt;=160,6,IF(Calculation!R363&lt;=300,8,"10 EO")))),"")</f>
        <v/>
      </c>
      <c r="FE363" s="361" t="str">
        <f t="shared" si="1176"/>
        <v/>
      </c>
      <c r="FF363" s="361" t="str">
        <f t="shared" si="1177"/>
        <v/>
      </c>
      <c r="FG363" s="361" t="e">
        <f t="shared" si="1082"/>
        <v>#N/A</v>
      </c>
      <c r="FH363" s="361">
        <f t="shared" si="1083"/>
        <v>0</v>
      </c>
      <c r="FI363" s="361" t="e">
        <f t="shared" si="1084"/>
        <v>#DIV/0!</v>
      </c>
      <c r="FJ363" s="361"/>
      <c r="FK363" s="356" t="e">
        <f t="shared" si="1085"/>
        <v>#VALUE!</v>
      </c>
      <c r="FL363" s="361"/>
      <c r="FM363" s="361"/>
      <c r="FN363" s="362" t="str">
        <f t="shared" si="1178"/>
        <v xml:space="preserve"> </v>
      </c>
      <c r="FO363" s="362" t="str">
        <f t="shared" si="1179"/>
        <v xml:space="preserve"> </v>
      </c>
      <c r="FP363" s="362">
        <f t="shared" si="1180"/>
        <v>0</v>
      </c>
      <c r="FQ363" s="361">
        <f t="shared" si="1086"/>
        <v>0</v>
      </c>
      <c r="FR363" s="362" t="str">
        <f>IF(L363&gt;0,IF(J363="CBAL2",Worksheet!$P$67,IF(J363="CBE2-24",Worksheet!$Q$67,IF(J363="CBAM",Worksheet!$R$67,IF(J363="CBLV",Worksheet!$S$67,IF(J363="CBAB",Worksheet!$U$67,IF(J363="CBAW",Worksheet!$X$67,IF(J363="CBE2-12",Worksheet!$Y$67,IF(J363="CBAL2",Worksheet!$Z$67,"N/A"))))))))," ")</f>
        <v xml:space="preserve"> </v>
      </c>
      <c r="FS363" s="362" t="str">
        <f>IF(L363&gt;0,IF(J363="CBAL2",Worksheet!$P$68,IF(J363="CBE2-24",Worksheet!$Q$68,IF(J363="CBAM",Worksheet!$R$68,IF(J363="CBLV",Worksheet!$S$68,IF(J363="CBAB",Worksheet!$U$68,IF(J363="CBAW",Worksheet!$X$68,IF(J363="CBE2-12",Worksheet!$Y$68,IF(J363="CBAL2",Worksheet!$Z$68,"N/A"))))))))," ")</f>
        <v xml:space="preserve"> </v>
      </c>
      <c r="FT363" s="362" t="str">
        <f>IF(L363&gt;0,IF(J363="CBAL2",Worksheet!$P$69,IF(J363="CBE2-24",Worksheet!$Q$69,IF(J363="CBAM",Worksheet!$R$69,IF(J363="CBLV",Worksheet!$S$69,IF(J363="CBAB",Worksheet!$U$69,IF(J363="CBAW",Worksheet!$X$69,IF(J363="CBE2-12",Worksheet!$Y$69,IF(J363="CBAL2",Worksheet!$Z$69,"N/A"))))))))," ")</f>
        <v xml:space="preserve"> </v>
      </c>
      <c r="FU363" s="361" t="str">
        <f t="shared" si="1181"/>
        <v xml:space="preserve"> </v>
      </c>
      <c r="FV363" s="362" t="str">
        <f t="shared" si="1182"/>
        <v xml:space="preserve"> </v>
      </c>
      <c r="FW363" s="362" t="str">
        <f t="shared" si="1183"/>
        <v xml:space="preserve"> </v>
      </c>
      <c r="FX363" s="362" t="str">
        <f t="shared" si="1184"/>
        <v xml:space="preserve"> </v>
      </c>
      <c r="FY363" s="355" t="str">
        <f t="shared" si="1185"/>
        <v xml:space="preserve"> </v>
      </c>
      <c r="FZ363" s="361" t="str">
        <f t="shared" si="1186"/>
        <v xml:space="preserve"> </v>
      </c>
      <c r="GA363" s="347" t="str">
        <f t="shared" si="1187"/>
        <v xml:space="preserve"> </v>
      </c>
      <c r="GB363" s="355" t="str">
        <f t="shared" si="1188"/>
        <v xml:space="preserve"> </v>
      </c>
      <c r="GC363" s="328" t="str">
        <f t="shared" si="1189"/>
        <v xml:space="preserve"> </v>
      </c>
      <c r="GD363" s="361" t="str">
        <f t="shared" si="1190"/>
        <v xml:space="preserve"> </v>
      </c>
      <c r="GE363" s="347" t="str">
        <f t="shared" si="1191"/>
        <v xml:space="preserve"> </v>
      </c>
      <c r="GF363" s="361" t="str">
        <f t="shared" si="1192"/>
        <v xml:space="preserve"> </v>
      </c>
      <c r="GG363" s="347" t="str">
        <f t="shared" si="1193"/>
        <v xml:space="preserve"> </v>
      </c>
      <c r="GH363" s="364">
        <f t="shared" si="1087"/>
        <v>0</v>
      </c>
      <c r="GI363" s="362">
        <f t="shared" si="1194"/>
        <v>2</v>
      </c>
      <c r="GJ363" s="433" t="e">
        <f>IF(6-COUNTBLANK(GT363:GY363)=4,MATCH(MID(BO363,9,3),CLU!$H$16:$K$16),MATCH(MID(BO363,9,3),CLU!$H$13:$M$13))</f>
        <v>#N/A</v>
      </c>
      <c r="GK363" s="433" t="e">
        <f>HLOOKUP(VALUE(BP363),CLU!$H$9:$M$10,2)</f>
        <v>#VALUE!</v>
      </c>
      <c r="GL363" s="433" t="e">
        <f ca="1">MATCH(BU363,CLU!$H$2:$V$2,1)</f>
        <v>#VALUE!</v>
      </c>
      <c r="GM363" s="433" t="e">
        <f t="shared" ca="1" si="1195"/>
        <v>#VALUE!</v>
      </c>
      <c r="GN363" s="433" t="e">
        <f t="shared" ca="1" si="1196"/>
        <v>#VALUE!</v>
      </c>
      <c r="GO363" s="433" t="e">
        <f t="shared" ca="1" si="1197"/>
        <v>#VALUE!</v>
      </c>
      <c r="GP363" s="433" t="e">
        <f t="shared" ca="1" si="1198"/>
        <v>#VALUE!</v>
      </c>
      <c r="GQ363" s="433" t="e">
        <f t="shared" ca="1" si="1199"/>
        <v>#VALUE!</v>
      </c>
      <c r="GR363" s="433" t="e">
        <f ca="1">MATCH(T363,INDIRECT(VLOOKUP(CONCATENATE(LEFT(BO363,7),"-",MID(BO363,13,1)),CLU!$P$3:$Q$16,2)),1)</f>
        <v>#N/A</v>
      </c>
      <c r="GS363" s="433" t="e">
        <f ca="1">MATCH(U363,INDIRECT(VLOOKUP(CONCATENATE(LEFT(BO363,7),"-",MID(BO363,13,1)),CLU!$P$3:$Q$16,2)),1)</f>
        <v>#N/A</v>
      </c>
      <c r="GT363" s="347" t="s">
        <v>512</v>
      </c>
      <c r="GU363" s="97" t="s">
        <v>513</v>
      </c>
      <c r="GV363" s="97" t="str">
        <f t="shared" si="1200"/>
        <v>M23</v>
      </c>
      <c r="GW363" s="97" t="str">
        <f t="shared" si="1201"/>
        <v>M31</v>
      </c>
      <c r="GX363" s="97" t="str">
        <f t="shared" si="1202"/>
        <v/>
      </c>
      <c r="GY363" s="97" t="str">
        <f t="shared" si="1203"/>
        <v/>
      </c>
      <c r="GZ363" s="481"/>
      <c r="HA363" s="240"/>
      <c r="HB363" s="240"/>
      <c r="HC363" s="240"/>
      <c r="HD363" s="240"/>
      <c r="HE363" s="240"/>
      <c r="HF363" s="240"/>
      <c r="HG363" s="240"/>
      <c r="HH363" s="240"/>
      <c r="HI363" s="240"/>
      <c r="HJ363" s="240"/>
      <c r="HK363" s="240"/>
      <c r="HL363" s="240"/>
      <c r="HM363" s="240"/>
      <c r="HN363" s="240"/>
      <c r="HO363" s="240"/>
      <c r="HP363" s="240"/>
      <c r="HQ363" s="240"/>
      <c r="HR363" s="240"/>
      <c r="HS363" s="240"/>
      <c r="HT363" s="240"/>
      <c r="HU363" s="240"/>
      <c r="HV363" s="245"/>
      <c r="HW363" s="245" t="b">
        <v>1</v>
      </c>
      <c r="HX363" s="245" t="str">
        <f t="shared" si="1088"/>
        <v/>
      </c>
      <c r="HY363" s="245" t="e">
        <f t="shared" si="1089"/>
        <v>#DIV/0!</v>
      </c>
      <c r="HZ363" s="245" t="e">
        <f t="shared" si="1090"/>
        <v>#DIV/0!</v>
      </c>
      <c r="IA363" s="245">
        <f t="shared" si="1091"/>
        <v>0</v>
      </c>
      <c r="IB363" s="245"/>
      <c r="IC363" t="b">
        <f t="shared" si="1092"/>
        <v>1</v>
      </c>
      <c r="ID363" s="245" t="b">
        <f t="shared" si="1093"/>
        <v>1</v>
      </c>
      <c r="IE363" s="245" t="b">
        <f t="shared" si="1094"/>
        <v>1</v>
      </c>
      <c r="IF363" s="245" t="b">
        <f t="shared" si="1095"/>
        <v>0</v>
      </c>
      <c r="IG363" s="245" t="b">
        <f t="shared" si="1096"/>
        <v>1</v>
      </c>
      <c r="IH363" s="245" t="b">
        <f t="shared" si="1097"/>
        <v>1</v>
      </c>
      <c r="II363" s="245">
        <f t="shared" si="1204"/>
        <v>0</v>
      </c>
      <c r="IJ363" s="245" t="e">
        <f t="shared" si="1098"/>
        <v>#VALUE!</v>
      </c>
      <c r="IK363" s="245" t="e">
        <f t="shared" si="1099"/>
        <v>#VALUE!</v>
      </c>
      <c r="IL363" s="245"/>
      <c r="IM363" s="245" t="e">
        <f t="shared" si="1205"/>
        <v>#N/A</v>
      </c>
      <c r="IN363" s="245" t="e">
        <f t="shared" si="1206"/>
        <v>#N/A</v>
      </c>
      <c r="IO363" s="245"/>
      <c r="IP363" s="245"/>
      <c r="IQ363" s="245" t="str">
        <f t="shared" si="1100"/>
        <v/>
      </c>
      <c r="IR363" s="245" t="str">
        <f>IF(J363="","",VLOOKUP(J363,Worksheet!$R$4:$T$14,2))</f>
        <v/>
      </c>
      <c r="IS363" s="245"/>
      <c r="IT363" s="245">
        <f t="shared" si="1101"/>
        <v>0</v>
      </c>
      <c r="IU363" s="245">
        <f t="shared" si="1102"/>
        <v>0</v>
      </c>
      <c r="IV363" s="245">
        <f t="shared" si="1103"/>
        <v>0</v>
      </c>
      <c r="IW363" s="245">
        <f t="shared" si="1104"/>
        <v>0</v>
      </c>
      <c r="IX363" s="245">
        <f t="shared" si="1207"/>
        <v>0</v>
      </c>
      <c r="IY363" s="245">
        <f t="shared" si="1105"/>
        <v>0</v>
      </c>
      <c r="IZ363" s="245">
        <f t="shared" si="1106"/>
        <v>0</v>
      </c>
      <c r="JA363">
        <f t="shared" si="1107"/>
        <v>0</v>
      </c>
      <c r="JB363">
        <f t="shared" si="1208"/>
        <v>0</v>
      </c>
      <c r="JC363">
        <f t="shared" si="1108"/>
        <v>0</v>
      </c>
      <c r="JD363">
        <f t="shared" si="1109"/>
        <v>0</v>
      </c>
      <c r="JE363">
        <f t="shared" si="1110"/>
        <v>0</v>
      </c>
      <c r="JF363">
        <f t="shared" si="1111"/>
        <v>0</v>
      </c>
      <c r="JG363">
        <f t="shared" si="1112"/>
        <v>0</v>
      </c>
      <c r="JH363">
        <f t="shared" si="1113"/>
        <v>0</v>
      </c>
      <c r="JI363">
        <f t="shared" si="1114"/>
        <v>0</v>
      </c>
      <c r="JJ363" s="447">
        <f t="shared" si="1115"/>
        <v>0</v>
      </c>
      <c r="JK363" s="447">
        <f t="shared" si="1116"/>
        <v>0</v>
      </c>
      <c r="JL363">
        <f t="shared" si="1117"/>
        <v>0</v>
      </c>
      <c r="JM363" s="245" t="str">
        <f>IFERROR(VLOOKUP(MATCH(BN363,#REF!,0),#REF!,7),"")</f>
        <v/>
      </c>
      <c r="JN363" t="e">
        <f>HLOOKUP(LEFT(BO363,7),Discharge_Area,MATCH(JO363,LookUps!$B$130:$B$149,1)+2)</f>
        <v>#N/A</v>
      </c>
      <c r="JO363" t="str">
        <f t="shared" si="1118"/>
        <v>- S</v>
      </c>
      <c r="JP363" t="e">
        <f>HLOOKUP(LEFT(BO363,7),Discharge_Area,MATCH(JO363,LookUps!$B$130:$B$149,1)+2)</f>
        <v>#N/A</v>
      </c>
      <c r="JQ363" t="e">
        <f t="shared" si="1119"/>
        <v>#N/A</v>
      </c>
      <c r="JR363" t="e">
        <f t="shared" si="1120"/>
        <v>#N/A</v>
      </c>
      <c r="JS363" t="e">
        <f t="shared" si="1121"/>
        <v>#N/A</v>
      </c>
      <c r="JT363" s="532" t="str">
        <f t="shared" si="1122"/>
        <v xml:space="preserve"> </v>
      </c>
      <c r="JU363" s="532" t="str">
        <f t="shared" si="1123"/>
        <v xml:space="preserve"> </v>
      </c>
      <c r="JV363" s="533" t="str">
        <f t="shared" si="1124"/>
        <v xml:space="preserve"> </v>
      </c>
      <c r="JW363" s="534">
        <f t="shared" si="1125"/>
        <v>0</v>
      </c>
      <c r="JX363" s="535" t="str">
        <f t="shared" si="1209"/>
        <v xml:space="preserve"> </v>
      </c>
      <c r="JY363" s="535" t="str">
        <f t="shared" si="1210"/>
        <v xml:space="preserve"> </v>
      </c>
      <c r="JZ363" s="535" t="str">
        <f t="shared" si="1211"/>
        <v xml:space="preserve"> </v>
      </c>
      <c r="KA363" s="536" t="str">
        <f t="shared" si="1126"/>
        <v xml:space="preserve"> </v>
      </c>
      <c r="KB363" s="535" t="e">
        <f t="shared" si="1212"/>
        <v>#VALUE!</v>
      </c>
      <c r="KC363" s="535" t="str">
        <f t="shared" si="1127"/>
        <v/>
      </c>
      <c r="KD363" s="537" t="str">
        <f t="shared" si="1213"/>
        <v xml:space="preserve"> </v>
      </c>
      <c r="KE363" s="537" t="str">
        <f t="shared" si="1214"/>
        <v xml:space="preserve"> </v>
      </c>
      <c r="KF363" s="534">
        <f t="shared" si="1128"/>
        <v>0</v>
      </c>
      <c r="KG363" s="535" t="str">
        <f t="shared" si="1129"/>
        <v xml:space="preserve"> </v>
      </c>
      <c r="KH363" s="535" t="str">
        <f t="shared" si="1130"/>
        <v xml:space="preserve"> </v>
      </c>
      <c r="KI363" s="535" t="str">
        <f t="shared" si="1131"/>
        <v xml:space="preserve"> </v>
      </c>
      <c r="KJ363" s="536" t="str">
        <f t="shared" si="1132"/>
        <v xml:space="preserve"> </v>
      </c>
      <c r="KK363" s="535" t="str">
        <f t="shared" si="1215"/>
        <v xml:space="preserve"> </v>
      </c>
      <c r="KL363" s="535" t="str">
        <f t="shared" si="1216"/>
        <v xml:space="preserve"> </v>
      </c>
      <c r="KM363" s="537" t="str">
        <f t="shared" si="1133"/>
        <v xml:space="preserve"> </v>
      </c>
      <c r="KN363" s="537" t="str">
        <f t="shared" si="1217"/>
        <v xml:space="preserve"> </v>
      </c>
      <c r="KP363">
        <f t="shared" si="1134"/>
        <v>0</v>
      </c>
      <c r="LA363" t="e">
        <f t="shared" si="1135"/>
        <v>#VALUE!</v>
      </c>
      <c r="LB363" t="e">
        <f t="shared" si="1136"/>
        <v>#VALUE!</v>
      </c>
      <c r="LC363" t="e">
        <f t="shared" si="1137"/>
        <v>#VALUE!</v>
      </c>
      <c r="LD363" t="e">
        <f t="shared" si="1138"/>
        <v>#VALUE!</v>
      </c>
      <c r="LE363" t="e">
        <f t="shared" si="1218"/>
        <v>#VALUE!</v>
      </c>
      <c r="LF363">
        <f t="shared" si="1139"/>
        <v>0</v>
      </c>
      <c r="LG363" t="e">
        <f t="shared" si="1219"/>
        <v>#VALUE!</v>
      </c>
      <c r="LH363" t="str">
        <f t="shared" si="1140"/>
        <v xml:space="preserve"> </v>
      </c>
      <c r="LI363">
        <f t="shared" si="1220"/>
        <v>1</v>
      </c>
    </row>
    <row r="364" spans="2:321" ht="15" customHeight="1">
      <c r="B364" s="311"/>
      <c r="C364" s="311"/>
      <c r="D364" s="312"/>
      <c r="E364" s="311"/>
      <c r="F364" s="312"/>
      <c r="G364" s="311"/>
      <c r="H364" s="311"/>
      <c r="I364" s="232"/>
      <c r="J364" s="311"/>
      <c r="K364" s="305" t="str">
        <f t="shared" si="1141"/>
        <v/>
      </c>
      <c r="L364" s="313"/>
      <c r="M364" s="312"/>
      <c r="N364" s="311"/>
      <c r="O364" s="312"/>
      <c r="P364" s="311"/>
      <c r="Q364" s="305" t="str">
        <f t="shared" si="1142"/>
        <v/>
      </c>
      <c r="R364" s="314"/>
      <c r="S364" s="450" t="str">
        <f t="shared" si="1025"/>
        <v/>
      </c>
      <c r="T364" s="315"/>
      <c r="U364" s="315"/>
      <c r="W364" s="149" t="str">
        <f t="shared" si="1026"/>
        <v xml:space="preserve"> </v>
      </c>
      <c r="X364" s="243" t="str">
        <f t="shared" si="1027"/>
        <v xml:space="preserve"> </v>
      </c>
      <c r="Y364" s="150" t="str">
        <f t="shared" si="1028"/>
        <v/>
      </c>
      <c r="Z364" s="149" t="str">
        <f t="shared" si="1029"/>
        <v xml:space="preserve"> </v>
      </c>
      <c r="AA364" s="98" t="str">
        <f t="shared" si="1030"/>
        <v xml:space="preserve"> </v>
      </c>
      <c r="AB364" s="153" t="str">
        <f t="shared" si="1031"/>
        <v xml:space="preserve"> </v>
      </c>
      <c r="AC364" s="153" t="str">
        <f t="shared" si="1032"/>
        <v xml:space="preserve"> </v>
      </c>
      <c r="AD364" s="148" t="str">
        <f t="shared" si="1033"/>
        <v/>
      </c>
      <c r="AE364" s="149" t="str">
        <f t="shared" si="1034"/>
        <v/>
      </c>
      <c r="AF364" s="151" t="str">
        <f t="shared" si="1035"/>
        <v xml:space="preserve"> </v>
      </c>
      <c r="AG364" s="153" t="str">
        <f t="shared" si="1036"/>
        <v xml:space="preserve"> </v>
      </c>
      <c r="AH364" s="98" t="str">
        <f t="shared" si="1037"/>
        <v xml:space="preserve"> </v>
      </c>
      <c r="AI364" s="149" t="str">
        <f t="shared" si="1038"/>
        <v xml:space="preserve"> </v>
      </c>
      <c r="AK364" s="144" t="str">
        <f t="shared" si="1039"/>
        <v xml:space="preserve"> </v>
      </c>
      <c r="AL364" s="144"/>
      <c r="AM364" s="243" t="str">
        <f t="shared" si="1040"/>
        <v xml:space="preserve"> </v>
      </c>
      <c r="AN364" s="149" t="str">
        <f t="shared" si="1143"/>
        <v xml:space="preserve"> </v>
      </c>
      <c r="AO364" s="144" t="str">
        <f>IF(JB364&gt;0,IF(GI364=10,-R364*1.085*(Calculation!$F$6-Calculation!$F$13)*$S$14," "),"")</f>
        <v/>
      </c>
      <c r="AP364" s="144" t="str">
        <f t="shared" si="1041"/>
        <v/>
      </c>
      <c r="AQ364" s="56" t="str">
        <f t="shared" si="1042"/>
        <v/>
      </c>
      <c r="AR364" s="144" t="str">
        <f t="shared" si="1043"/>
        <v/>
      </c>
      <c r="AS364" s="176" t="str">
        <f t="shared" si="1044"/>
        <v/>
      </c>
      <c r="AT364" s="176" t="str">
        <f t="shared" si="1144"/>
        <v xml:space="preserve"> </v>
      </c>
      <c r="AU364" s="176" t="str">
        <f t="shared" si="1045"/>
        <v/>
      </c>
      <c r="AV364" s="177" t="str">
        <f t="shared" si="1046"/>
        <v xml:space="preserve"> </v>
      </c>
      <c r="AW364" s="144" t="str">
        <f t="shared" si="1047"/>
        <v xml:space="preserve"> </v>
      </c>
      <c r="AX364" s="144" t="str">
        <f t="shared" si="1048"/>
        <v xml:space="preserve"> </v>
      </c>
      <c r="AY364" s="152" t="str">
        <f t="shared" si="1049"/>
        <v xml:space="preserve"> </v>
      </c>
      <c r="AZ364" s="246" t="str">
        <f t="shared" si="1050"/>
        <v/>
      </c>
      <c r="BA364" s="176" t="str">
        <f t="shared" si="1051"/>
        <v xml:space="preserve"> </v>
      </c>
      <c r="BB364" s="176" t="str">
        <f t="shared" si="1052"/>
        <v xml:space="preserve"> </v>
      </c>
      <c r="BC364" s="195"/>
      <c r="BD364" s="316"/>
      <c r="BE364" s="317"/>
      <c r="BF364" s="318"/>
      <c r="BG364" s="318"/>
      <c r="BH364" s="144" t="str">
        <f t="shared" si="1221"/>
        <v xml:space="preserve"> </v>
      </c>
      <c r="BI364" s="176" t="str">
        <f t="shared" si="1053"/>
        <v/>
      </c>
      <c r="BJ364" s="144" t="str">
        <f t="shared" si="1222"/>
        <v/>
      </c>
      <c r="BK364" s="246" t="str">
        <f t="shared" si="1054"/>
        <v/>
      </c>
      <c r="BL364" s="144" t="str">
        <f t="shared" si="1223"/>
        <v/>
      </c>
      <c r="BM364" s="246" t="str">
        <f t="shared" si="1055"/>
        <v/>
      </c>
      <c r="BN364" s="337" t="str">
        <f t="shared" si="1145"/>
        <v/>
      </c>
      <c r="BO364" s="371" t="str">
        <f t="shared" si="1146"/>
        <v/>
      </c>
      <c r="BP364" s="328" t="str">
        <f t="shared" si="1224"/>
        <v xml:space="preserve"> </v>
      </c>
      <c r="BQ364" s="347" t="str">
        <f t="shared" si="1147"/>
        <v xml:space="preserve"> </v>
      </c>
      <c r="BR364" s="353" t="str">
        <f t="shared" si="1148"/>
        <v xml:space="preserve"> </v>
      </c>
      <c r="BS364" s="626" t="str">
        <f>IF(L364&gt;0,IF(Calculation!P364="M13",BR364*3.1416*(0.134^2)/(4*144),IF(Calculation!P364="M17",BR364*3.1416*(0.165^2)/(4*144),IF(Calculation!P364="M20",BR364*3.1416*(0.198^2)/(4*144),IF(Calculation!P364="M23",BR364*3.1416*(0.228^2)/(4*144),IF(Calculation!P364="M27",BR364*3.1416*(0.269^2)/(4*144),BR364*3.1416*(0.307^2)/(4*144))))))," ")</f>
        <v xml:space="preserve"> </v>
      </c>
      <c r="BT364" s="353" t="str">
        <f>IF(L364&gt;0,IF(BS364&gt;0,R364/Calculation!BS364,0)," ")</f>
        <v xml:space="preserve"> </v>
      </c>
      <c r="BU364" s="438" t="e">
        <f t="shared" ca="1" si="1056"/>
        <v>#VALUE!</v>
      </c>
      <c r="BV364" s="449" t="e">
        <f ca="1">INDEX(INDIRECT(VLOOKUP(LEFT(BO364,7),CLU!$Z$3:$AH$18,2)),GN364,GR364)</f>
        <v>#N/A</v>
      </c>
      <c r="BW364" s="433" t="e">
        <f ca="1">INDEX(INDIRECT(VLOOKUP(LEFT(BO364,7),CLU!$Z$3:$AH$18,3)),GN364,GR364)</f>
        <v>#N/A</v>
      </c>
      <c r="BX364" s="433" t="e">
        <f ca="1">INDEX(INDIRECT(VLOOKUP(LEFT(BO364,7),CLU!$Z$3:$AH$18,4)),GN364,GR364)</f>
        <v>#N/A</v>
      </c>
      <c r="BY364" s="433" t="e">
        <f ca="1">INDEX(INDIRECT(VLOOKUP(LEFT(BO364,7),CLU!$Z$3:$AH$18,9)),((M364-2)*(6-COUNTBLANK(GT364:GY364)))+GJ364)</f>
        <v>#N/A</v>
      </c>
      <c r="BZ364" s="426" t="e">
        <f t="shared" ca="1" si="1149"/>
        <v>#N/A</v>
      </c>
      <c r="CA364" s="424" t="e">
        <f t="shared" ca="1" si="1150"/>
        <v>#N/A</v>
      </c>
      <c r="CB364" s="429" t="e">
        <f ca="1">INDEX(INDIRECT(VLOOKUP(LEFT(BO364,7),CLU!$Z$3:$AH$18,2)),GN364,GS364)</f>
        <v>#N/A</v>
      </c>
      <c r="CC364" s="342" t="e">
        <f ca="1">INDEX(INDIRECT(VLOOKUP(LEFT(BO364,7),CLU!$Z$3:$AH$18,3)),GN364,GS364)</f>
        <v>#N/A</v>
      </c>
      <c r="CD364" s="342" t="e">
        <f ca="1">INDEX(INDIRECT(VLOOKUP(LEFT(BO364,7),CLU!$Z$3:$AH$18,4)),GN364,GS364)</f>
        <v>#N/A</v>
      </c>
      <c r="CE364" s="426" t="e">
        <f t="shared" ca="1" si="1151"/>
        <v>#N/A</v>
      </c>
      <c r="CF364" s="440">
        <f t="shared" si="1152"/>
        <v>0</v>
      </c>
      <c r="CG364" s="431" t="e">
        <f ca="1">INDEX(INDIRECT(VLOOKUP(LEFT(BO364,7),CLU!$Z$3:$AH$18,2)),GQ364,GR364)</f>
        <v>#N/A</v>
      </c>
      <c r="CH364" s="431" t="e">
        <f ca="1">INDEX(INDIRECT(VLOOKUP(LEFT(BO364,7),CLU!$Z$3:$AH$18,3)),GQ364,GR364)</f>
        <v>#N/A</v>
      </c>
      <c r="CI364" s="431" t="e">
        <f ca="1">INDEX(INDIRECT(VLOOKUP(LEFT(BO364,7),CLU!$Z$3:$AH$18,4)),GQ364,GR364)</f>
        <v>#N/A</v>
      </c>
      <c r="CJ364" s="448" t="e">
        <f t="shared" ca="1" si="1153"/>
        <v>#N/A</v>
      </c>
      <c r="CK364" s="431" t="e">
        <f t="shared" ca="1" si="1154"/>
        <v>#N/A</v>
      </c>
      <c r="CL364" s="440" t="e">
        <f t="shared" ca="1" si="1155"/>
        <v>#N/A</v>
      </c>
      <c r="CM364" s="431" t="e">
        <f ca="1">INDEX(INDIRECT(VLOOKUP(LEFT(BO364,7),CLU!$Z$3:$AH$18,2)),GQ364,GS364)</f>
        <v>#N/A</v>
      </c>
      <c r="CN364" s="431" t="e">
        <f ca="1">INDEX(INDIRECT(VLOOKUP(LEFT(BO364,7),CLU!$Z$3:$AH$18,3)),GQ364,GS364)</f>
        <v>#N/A</v>
      </c>
      <c r="CO364" s="431" t="e">
        <f ca="1">INDEX(INDIRECT(VLOOKUP(LEFT(BO364,7),CLU!$Z$3:$AH$18,4)),GQ364,GS364)</f>
        <v>#N/A</v>
      </c>
      <c r="CP364" s="431" t="e">
        <f t="shared" ca="1" si="1156"/>
        <v>#N/A</v>
      </c>
      <c r="CQ364" s="440">
        <f t="shared" si="1157"/>
        <v>0</v>
      </c>
      <c r="CR364" s="51" t="e">
        <f t="shared" ca="1" si="1158"/>
        <v>#N/A</v>
      </c>
      <c r="CS364" s="439" t="e">
        <f t="shared" ca="1" si="1159"/>
        <v>#VALUE!</v>
      </c>
      <c r="CT364" s="51" t="e">
        <f t="shared" ca="1" si="1160"/>
        <v>#VALUE!</v>
      </c>
      <c r="CU364" s="10"/>
      <c r="CV364" s="51" t="e">
        <f t="shared" ca="1" si="1057"/>
        <v>#VALUE!</v>
      </c>
      <c r="CW364" s="51">
        <f t="shared" si="1161"/>
        <v>0</v>
      </c>
      <c r="CX364" s="439" t="e">
        <f t="shared" ca="1" si="1162"/>
        <v>#VALUE!</v>
      </c>
      <c r="CY364" s="51" t="e">
        <f t="shared" ca="1" si="1163"/>
        <v>#VALUE!</v>
      </c>
      <c r="CZ364" s="10"/>
      <c r="DA364" s="51" t="e">
        <f t="shared" ca="1" si="1164"/>
        <v>#VALUE!</v>
      </c>
      <c r="DB364" s="347" t="e">
        <f ca="1">INDEX(INDIRECT(VLOOKUP(LEFT(BO364,7),CLU!$Z$3:$AI$18,10)),((M364-2)*(6-COUNTBLANK(GT364:GY364)))+GJ364)*LI364</f>
        <v>#N/A</v>
      </c>
      <c r="DC364" s="347" t="str">
        <f>IF(L364&gt;0,((R364/Worksheet!$I$15)/DB364)^2," ")</f>
        <v xml:space="preserve"> </v>
      </c>
      <c r="DD364" s="602" t="str">
        <f t="shared" si="1165"/>
        <v xml:space="preserve"> </v>
      </c>
      <c r="DE364" s="347" t="str">
        <f t="shared" si="1058"/>
        <v xml:space="preserve"> </v>
      </c>
      <c r="DF364" s="356" t="e">
        <f ca="1">INDEX(INDIRECT(VLOOKUP(LEFT(BO364,7),CLU!$Z$3:$AH$18,8)),((M364-2)*(6-COUNTBLANK(GT364:GY364)))+GJ364)</f>
        <v>#N/A</v>
      </c>
      <c r="DG364" s="347" t="str">
        <f t="shared" si="1059"/>
        <v xml:space="preserve"> </v>
      </c>
      <c r="DH364" s="357" t="str">
        <f t="shared" si="1060"/>
        <v xml:space="preserve"> </v>
      </c>
      <c r="DI364" s="355" t="str">
        <f t="shared" si="1061"/>
        <v xml:space="preserve"> </v>
      </c>
      <c r="DJ364" s="245" t="e">
        <f ca="1">INDEX(INDIRECT(VLOOKUP(LEFT(BO364,7),CLU!$Z$3:$AH$18,5)),GL364,GK364)</f>
        <v>#N/A</v>
      </c>
      <c r="DK364" s="245" t="e">
        <f ca="1">INDEX(INDIRECT(VLOOKUP(LEFT(BO364,7),CLU!$Z$3:$AH$18,6)),GL364,GK364)</f>
        <v>#N/A</v>
      </c>
      <c r="DL364" s="355">
        <f>(Calculation!R364*0.69143*(Calculation!$BQ$8-Calculation!$F$8))*$S$14</f>
        <v>0</v>
      </c>
      <c r="DM364" s="359" t="e">
        <f t="shared" si="1166"/>
        <v>#VALUE!</v>
      </c>
      <c r="DN364" s="611">
        <f t="shared" si="1167"/>
        <v>0</v>
      </c>
      <c r="DO364" s="359">
        <f t="shared" si="1168"/>
        <v>100</v>
      </c>
      <c r="DP364" s="359">
        <f t="shared" si="1169"/>
        <v>0</v>
      </c>
      <c r="DQ364" s="360"/>
      <c r="DR364" s="245" t="e">
        <f ca="1">INDEX(INDIRECT(VLOOKUP(LEFT(BO364,7),CLU!$Z$3:$AH$18,7)),M364-1,1)</f>
        <v>#N/A</v>
      </c>
      <c r="DS364" s="245" t="e">
        <f ca="1">INDEX(INDIRECT(VLOOKUP(LEFT(BO364,7),CLU!$Z$3:$AH$18,7)),M364-1,2)</f>
        <v>#N/A</v>
      </c>
      <c r="DT364" s="245" t="e">
        <f ca="1">INDEX(INDIRECT(VLOOKUP(LEFT(BO364,7),CLU!$Z$3:$AH$18,7)),M364-1,3)</f>
        <v>#N/A</v>
      </c>
      <c r="DU364" s="245" t="e">
        <f ca="1">INDEX(INDIRECT(VLOOKUP(LEFT(BO364,7),CLU!$Z$3:$AH$18,7)),M364-1,4)</f>
        <v>#N/A</v>
      </c>
      <c r="DV364" s="361" t="e">
        <f ca="1">INDEX(INDIRECT(VLOOKUP(LEFT(BO364,7),CLU!$Z$3:$AH$18,7)),M364-1,4+LEFT(DZ364,1)*0.5)</f>
        <v>#N/A</v>
      </c>
      <c r="DW364" s="245" t="e">
        <f ca="1">INDEX(INDIRECT(VLOOKUP(LEFT(BO364,7),CLU!$Z$3:$AH$18,7)),M364-1,8)</f>
        <v>#N/A</v>
      </c>
      <c r="DX364" s="361" t="str">
        <f t="shared" si="1062"/>
        <v xml:space="preserve"> </v>
      </c>
      <c r="DY364" s="361" t="str">
        <f t="shared" si="1063"/>
        <v xml:space="preserve"> </v>
      </c>
      <c r="DZ364" s="361" t="str">
        <f t="shared" si="1064"/>
        <v xml:space="preserve"> </v>
      </c>
      <c r="EA364" s="362" t="str">
        <f t="shared" si="1065"/>
        <v xml:space="preserve"> </v>
      </c>
      <c r="EB364" s="624" t="str">
        <f t="shared" si="1170"/>
        <v xml:space="preserve"> </v>
      </c>
      <c r="EC364" s="361" t="e">
        <f ca="1">INDEX(INDIRECT(VLOOKUP(LEFT(BO364,7),CLU!$Z$3:$AH$18,7)),M364-1,4+LEFT(DZ364,1)*0.5)</f>
        <v>#N/A</v>
      </c>
      <c r="ED364" s="362" t="str">
        <f t="shared" si="1066"/>
        <v xml:space="preserve"> </v>
      </c>
      <c r="EE364" s="361" t="str">
        <f t="shared" si="1067"/>
        <v xml:space="preserve"> </v>
      </c>
      <c r="EF364" s="362" t="str">
        <f>IF(L364&gt;0,IF(BR364&gt;0,IF(EE364="2P",IF(Calculation!DZ364="2P",IF(Calculation!DS364=13.75,IF(Calculation!DR364=13,Worksheet!$BD$43,IF(Calculation!DR364=37,Worksheet!$BD$44,Worksheet!$BD$45)),IF(Calculation!DS364=10,IF(Calculation!DR364=18,Worksheet!$BD$29,IF(Calculation!DR364=30,Worksheet!$BD$30,IF(Calculation!DR364=42,Worksheet!$BD$31,IF(Calculation!DR364=54,Worksheet!$BD$32,IF(Calculation!DR364=66,Worksheet!$BD$33,IF(Calculation!DR364=78,Worksheet!$BD$34,IF(Calculation!DR364=90,Worksheet!$BD$35,IF(Calculation!DR364=102,Worksheet!$BD$36,Worksheet!$BD$37)))))))),IF(Calculation!DS364=12.5,IF(Calculation!DR364=18,Worksheet!$BD$38,IF(Calculation!DR364=Worksheet!$BD$39,IF(Calculation!DR364=42,Worksheet!$BD$40,IF(Calculation!DR364=54,Worksheet!$BD$41,Worksheet!$BD$42)))),IF(Calculation!DR364=18,Worksheet!$BD$11,IF(Calculation!DR364=30,Worksheet!$BD$12,IF(Calculation!DR364=42,Worksheet!$BD$13,IF(Calculation!DR364=54,Worksheet!$BD$14,IF(Calculation!DR364=66,Worksheet!$BD$15,IF(Calculation!DR364=78,Worksheet!$BD$16,IF(Calculation!DR364=90,Worksheet!$BD$17,IF(Calculation!DR364=102,Worksheet!$BD$18,Worksheet!$BD$19))))))))))),IF(Calculation!DS364=13.75,IF(Calculation!DR364=13,Worksheet!$BD$78,IF(Calculation!DR364=37,Worksheet!$BD$79,Worksheet!$BD$80)),IF(Calculation!DS364=10,IF(Calculation!DR364=18,Worksheet!$BD$64,IF(Calculation!DR364=30,Worksheet!$BD$65,IF(Calculation!DR364=42,Worksheet!$BD$66,IF(Calculation!DR364=54,Worksheet!$BD$68,IF(Calculation!DR364=66,Worksheet!$BD$68,IF(Calculation!DR364=78,Worksheet!$BD$69,IF(Calculation!DR364=90,Worksheet!$BD$70,IF(Calculation!DR364=102,Worksheet!$BD$71,Worksheet!$BD$72)))))))),IF(Calculation!DS364=12.5,IF(Calculation!DR364=18,Worksheet!$BD$73,IF(Calculation!DR364=Worksheet!$BD$74,IF(Calculation!DR364=42,Worksheet!$BD$75,IF(Calculation!DR364=54,Worksheet!$BD$76,Worksheet!$BD$77)))),IF(Calculation!DR364=18,Worksheet!$BD$55,IF(Calculation!DR364=30,Worksheet!$BD$56,IF(Calculation!DR364=42,Worksheet!$BD$57,IF(Calculation!DR364=54,Worksheet!$BD$58,IF(Calculation!DR364=66,Worksheet!$BD$59,IF(Calculation!DR364=78,Worksheet!$BD$60,IF(Calculation!DR364=90,Worksheet!$BD$61,IF(Calculation!DR364=102,Worksheet!$BD$62,Worksheet!$BD$63)))))))))))),5),0)," ")</f>
        <v xml:space="preserve"> </v>
      </c>
      <c r="EG364" s="361" t="str">
        <f t="shared" si="1068"/>
        <v xml:space="preserve"> </v>
      </c>
      <c r="EH364" s="361" t="e">
        <f ca="1">INDEX(INDIRECT(VLOOKUP(LEFT(BO364,7),CLU!$Z$3:$AH$18,7)),M364-1,3+LEFT(DZ364,1))</f>
        <v>#N/A</v>
      </c>
      <c r="EI364" s="362" t="str">
        <f t="shared" si="1069"/>
        <v xml:space="preserve"> </v>
      </c>
      <c r="EJ364" s="363" t="str">
        <f t="shared" si="1070"/>
        <v xml:space="preserve"> </v>
      </c>
      <c r="EK364" s="363" t="str">
        <f t="shared" si="1071"/>
        <v xml:space="preserve"> </v>
      </c>
      <c r="EL364" s="363" t="str">
        <f t="shared" si="1072"/>
        <v xml:space="preserve"> </v>
      </c>
      <c r="EM364" s="362" t="str">
        <f>IF(L364&gt;0,IF(BR364&gt;0,(Calculation!T364/ED364)^2,0)," ")</f>
        <v xml:space="preserve"> </v>
      </c>
      <c r="EN364" s="362" t="str">
        <f>IF(L364&gt;0,IF(O364="2 Pipe (Cooling)","N/A",IF(BR364&gt;0,(Calculation!U364/EI364)^2,0))," ")</f>
        <v xml:space="preserve"> </v>
      </c>
      <c r="EO364" s="361" t="str">
        <f t="shared" si="1073"/>
        <v/>
      </c>
      <c r="EP364" s="361" t="str">
        <f t="shared" si="1074"/>
        <v/>
      </c>
      <c r="EQ364" s="361" t="str">
        <f t="shared" si="1075"/>
        <v/>
      </c>
      <c r="ER364" s="361" t="str">
        <f t="shared" si="1076"/>
        <v/>
      </c>
      <c r="ES364" s="361" t="str">
        <f t="shared" si="1077"/>
        <v/>
      </c>
      <c r="ET364" s="361" t="str">
        <f t="shared" si="1078"/>
        <v/>
      </c>
      <c r="EU364" s="361" t="str">
        <f t="shared" si="1079"/>
        <v/>
      </c>
      <c r="EV364" s="361" t="str">
        <f t="shared" si="1080"/>
        <v/>
      </c>
      <c r="EW364" s="361" t="str">
        <f t="shared" si="1081"/>
        <v/>
      </c>
      <c r="EX364" s="361" t="str">
        <f t="shared" si="1171"/>
        <v>1 slot, 1 way</v>
      </c>
      <c r="EY364" s="361" t="str">
        <f t="shared" si="1172"/>
        <v xml:space="preserve"> </v>
      </c>
      <c r="EZ364" s="361" t="str">
        <f t="shared" si="1173"/>
        <v xml:space="preserve"> </v>
      </c>
      <c r="FA364" s="361" t="str">
        <f t="shared" si="1174"/>
        <v xml:space="preserve"> </v>
      </c>
      <c r="FB364" s="361" t="str">
        <f t="shared" si="1175"/>
        <v xml:space="preserve"> </v>
      </c>
      <c r="FC364" s="361"/>
      <c r="FD364" s="361" t="str">
        <f>IF(J364&gt;0,IF(Calculation!R364&lt;=70,4,IF(Calculation!R364&lt;=110,5,IF(Calculation!R364&lt;=160,6,IF(Calculation!R364&lt;=300,8,"10 EO")))),"")</f>
        <v/>
      </c>
      <c r="FE364" s="361" t="str">
        <f t="shared" si="1176"/>
        <v/>
      </c>
      <c r="FF364" s="361" t="str">
        <f t="shared" si="1177"/>
        <v/>
      </c>
      <c r="FG364" s="361" t="e">
        <f t="shared" si="1082"/>
        <v>#N/A</v>
      </c>
      <c r="FH364" s="361">
        <f t="shared" si="1083"/>
        <v>0</v>
      </c>
      <c r="FI364" s="361" t="e">
        <f t="shared" si="1084"/>
        <v>#DIV/0!</v>
      </c>
      <c r="FJ364" s="361"/>
      <c r="FK364" s="356" t="e">
        <f t="shared" si="1085"/>
        <v>#VALUE!</v>
      </c>
      <c r="FL364" s="361"/>
      <c r="FM364" s="361"/>
      <c r="FN364" s="362" t="str">
        <f t="shared" si="1178"/>
        <v xml:space="preserve"> </v>
      </c>
      <c r="FO364" s="362" t="str">
        <f t="shared" si="1179"/>
        <v xml:space="preserve"> </v>
      </c>
      <c r="FP364" s="362">
        <f t="shared" si="1180"/>
        <v>0</v>
      </c>
      <c r="FQ364" s="361">
        <f t="shared" si="1086"/>
        <v>0</v>
      </c>
      <c r="FR364" s="362" t="str">
        <f>IF(L364&gt;0,IF(J364="CBAL2",Worksheet!$P$67,IF(J364="CBE2-24",Worksheet!$Q$67,IF(J364="CBAM",Worksheet!$R$67,IF(J364="CBLV",Worksheet!$S$67,IF(J364="CBAB",Worksheet!$U$67,IF(J364="CBAW",Worksheet!$X$67,IF(J364="CBE2-12",Worksheet!$Y$67,IF(J364="CBAL2",Worksheet!$Z$67,"N/A"))))))))," ")</f>
        <v xml:space="preserve"> </v>
      </c>
      <c r="FS364" s="362" t="str">
        <f>IF(L364&gt;0,IF(J364="CBAL2",Worksheet!$P$68,IF(J364="CBE2-24",Worksheet!$Q$68,IF(J364="CBAM",Worksheet!$R$68,IF(J364="CBLV",Worksheet!$S$68,IF(J364="CBAB",Worksheet!$U$68,IF(J364="CBAW",Worksheet!$X$68,IF(J364="CBE2-12",Worksheet!$Y$68,IF(J364="CBAL2",Worksheet!$Z$68,"N/A"))))))))," ")</f>
        <v xml:space="preserve"> </v>
      </c>
      <c r="FT364" s="362" t="str">
        <f>IF(L364&gt;0,IF(J364="CBAL2",Worksheet!$P$69,IF(J364="CBE2-24",Worksheet!$Q$69,IF(J364="CBAM",Worksheet!$R$69,IF(J364="CBLV",Worksheet!$S$69,IF(J364="CBAB",Worksheet!$U$69,IF(J364="CBAW",Worksheet!$X$69,IF(J364="CBE2-12",Worksheet!$Y$69,IF(J364="CBAL2",Worksheet!$Z$69,"N/A"))))))))," ")</f>
        <v xml:space="preserve"> </v>
      </c>
      <c r="FU364" s="361" t="str">
        <f t="shared" si="1181"/>
        <v xml:space="preserve"> </v>
      </c>
      <c r="FV364" s="362" t="str">
        <f t="shared" si="1182"/>
        <v xml:space="preserve"> </v>
      </c>
      <c r="FW364" s="362" t="str">
        <f t="shared" si="1183"/>
        <v xml:space="preserve"> </v>
      </c>
      <c r="FX364" s="362" t="str">
        <f t="shared" si="1184"/>
        <v xml:space="preserve"> </v>
      </c>
      <c r="FY364" s="355" t="str">
        <f t="shared" si="1185"/>
        <v xml:space="preserve"> </v>
      </c>
      <c r="FZ364" s="361" t="str">
        <f t="shared" si="1186"/>
        <v xml:space="preserve"> </v>
      </c>
      <c r="GA364" s="347" t="str">
        <f t="shared" si="1187"/>
        <v xml:space="preserve"> </v>
      </c>
      <c r="GB364" s="355" t="str">
        <f t="shared" si="1188"/>
        <v xml:space="preserve"> </v>
      </c>
      <c r="GC364" s="328" t="str">
        <f t="shared" si="1189"/>
        <v xml:space="preserve"> </v>
      </c>
      <c r="GD364" s="361" t="str">
        <f t="shared" si="1190"/>
        <v xml:space="preserve"> </v>
      </c>
      <c r="GE364" s="347" t="str">
        <f t="shared" si="1191"/>
        <v xml:space="preserve"> </v>
      </c>
      <c r="GF364" s="361" t="str">
        <f t="shared" si="1192"/>
        <v xml:space="preserve"> </v>
      </c>
      <c r="GG364" s="347" t="str">
        <f t="shared" si="1193"/>
        <v xml:space="preserve"> </v>
      </c>
      <c r="GH364" s="364">
        <f t="shared" si="1087"/>
        <v>0</v>
      </c>
      <c r="GI364" s="362">
        <f t="shared" si="1194"/>
        <v>2</v>
      </c>
      <c r="GJ364" s="433" t="e">
        <f>IF(6-COUNTBLANK(GT364:GY364)=4,MATCH(MID(BO364,9,3),CLU!$H$16:$K$16),MATCH(MID(BO364,9,3),CLU!$H$13:$M$13))</f>
        <v>#N/A</v>
      </c>
      <c r="GK364" s="433" t="e">
        <f>HLOOKUP(VALUE(BP364),CLU!$H$9:$M$10,2)</f>
        <v>#VALUE!</v>
      </c>
      <c r="GL364" s="433" t="e">
        <f ca="1">MATCH(BU364,CLU!$H$2:$V$2,1)</f>
        <v>#VALUE!</v>
      </c>
      <c r="GM364" s="433" t="e">
        <f t="shared" ca="1" si="1195"/>
        <v>#VALUE!</v>
      </c>
      <c r="GN364" s="433" t="e">
        <f t="shared" ca="1" si="1196"/>
        <v>#VALUE!</v>
      </c>
      <c r="GO364" s="433" t="e">
        <f t="shared" ca="1" si="1197"/>
        <v>#VALUE!</v>
      </c>
      <c r="GP364" s="433" t="e">
        <f t="shared" ca="1" si="1198"/>
        <v>#VALUE!</v>
      </c>
      <c r="GQ364" s="433" t="e">
        <f t="shared" ca="1" si="1199"/>
        <v>#VALUE!</v>
      </c>
      <c r="GR364" s="433" t="e">
        <f ca="1">MATCH(T364,INDIRECT(VLOOKUP(CONCATENATE(LEFT(BO364,7),"-",MID(BO364,13,1)),CLU!$P$3:$Q$16,2)),1)</f>
        <v>#N/A</v>
      </c>
      <c r="GS364" s="433" t="e">
        <f ca="1">MATCH(U364,INDIRECT(VLOOKUP(CONCATENATE(LEFT(BO364,7),"-",MID(BO364,13,1)),CLU!$P$3:$Q$16,2)),1)</f>
        <v>#N/A</v>
      </c>
      <c r="GT364" s="347" t="s">
        <v>512</v>
      </c>
      <c r="GU364" s="97" t="s">
        <v>513</v>
      </c>
      <c r="GV364" s="97" t="str">
        <f t="shared" si="1200"/>
        <v>M23</v>
      </c>
      <c r="GW364" s="97" t="str">
        <f t="shared" si="1201"/>
        <v>M31</v>
      </c>
      <c r="GX364" s="97" t="str">
        <f t="shared" si="1202"/>
        <v/>
      </c>
      <c r="GY364" s="97" t="str">
        <f t="shared" si="1203"/>
        <v/>
      </c>
      <c r="GZ364" s="481"/>
      <c r="HA364" s="240"/>
      <c r="HB364" s="240"/>
      <c r="HC364" s="240"/>
      <c r="HD364" s="240"/>
      <c r="HE364" s="240"/>
      <c r="HF364" s="240"/>
      <c r="HG364" s="240"/>
      <c r="HH364" s="240"/>
      <c r="HI364" s="240"/>
      <c r="HJ364" s="240"/>
      <c r="HK364" s="240"/>
      <c r="HL364" s="240"/>
      <c r="HM364" s="240"/>
      <c r="HN364" s="240"/>
      <c r="HO364" s="240"/>
      <c r="HP364" s="240"/>
      <c r="HQ364" s="240"/>
      <c r="HR364" s="240"/>
      <c r="HS364" s="240"/>
      <c r="HT364" s="240"/>
      <c r="HU364" s="240"/>
      <c r="HV364" s="245"/>
      <c r="HW364" s="245" t="b">
        <v>1</v>
      </c>
      <c r="HX364" s="245" t="str">
        <f t="shared" si="1088"/>
        <v/>
      </c>
      <c r="HY364" s="245" t="e">
        <f t="shared" si="1089"/>
        <v>#DIV/0!</v>
      </c>
      <c r="HZ364" s="245" t="e">
        <f t="shared" si="1090"/>
        <v>#DIV/0!</v>
      </c>
      <c r="IA364" s="245">
        <f t="shared" si="1091"/>
        <v>0</v>
      </c>
      <c r="IB364" s="245"/>
      <c r="IC364" t="b">
        <f t="shared" si="1092"/>
        <v>1</v>
      </c>
      <c r="ID364" s="245" t="b">
        <f t="shared" si="1093"/>
        <v>1</v>
      </c>
      <c r="IE364" s="245" t="b">
        <f t="shared" si="1094"/>
        <v>1</v>
      </c>
      <c r="IF364" s="245" t="b">
        <f t="shared" si="1095"/>
        <v>0</v>
      </c>
      <c r="IG364" s="245" t="b">
        <f t="shared" si="1096"/>
        <v>1</v>
      </c>
      <c r="IH364" s="245" t="b">
        <f t="shared" si="1097"/>
        <v>1</v>
      </c>
      <c r="II364" s="245">
        <f t="shared" si="1204"/>
        <v>0</v>
      </c>
      <c r="IJ364" s="245" t="e">
        <f t="shared" si="1098"/>
        <v>#VALUE!</v>
      </c>
      <c r="IK364" s="245" t="e">
        <f t="shared" si="1099"/>
        <v>#VALUE!</v>
      </c>
      <c r="IL364" s="245"/>
      <c r="IM364" s="245" t="e">
        <f t="shared" si="1205"/>
        <v>#N/A</v>
      </c>
      <c r="IN364" s="245" t="e">
        <f t="shared" si="1206"/>
        <v>#N/A</v>
      </c>
      <c r="IO364" s="245"/>
      <c r="IP364" s="245"/>
      <c r="IQ364" s="245" t="str">
        <f t="shared" si="1100"/>
        <v/>
      </c>
      <c r="IR364" s="245" t="str">
        <f>IF(J364="","",VLOOKUP(J364,Worksheet!$R$4:$T$14,2))</f>
        <v/>
      </c>
      <c r="IS364" s="245"/>
      <c r="IT364" s="245">
        <f t="shared" si="1101"/>
        <v>0</v>
      </c>
      <c r="IU364" s="245">
        <f t="shared" si="1102"/>
        <v>0</v>
      </c>
      <c r="IV364" s="245">
        <f t="shared" si="1103"/>
        <v>0</v>
      </c>
      <c r="IW364" s="245">
        <f t="shared" si="1104"/>
        <v>0</v>
      </c>
      <c r="IX364" s="245">
        <f t="shared" si="1207"/>
        <v>0</v>
      </c>
      <c r="IY364" s="245">
        <f t="shared" si="1105"/>
        <v>0</v>
      </c>
      <c r="IZ364" s="245">
        <f t="shared" si="1106"/>
        <v>0</v>
      </c>
      <c r="JA364">
        <f t="shared" si="1107"/>
        <v>0</v>
      </c>
      <c r="JB364">
        <f t="shared" si="1208"/>
        <v>0</v>
      </c>
      <c r="JC364">
        <f t="shared" si="1108"/>
        <v>0</v>
      </c>
      <c r="JD364">
        <f t="shared" si="1109"/>
        <v>0</v>
      </c>
      <c r="JE364">
        <f t="shared" si="1110"/>
        <v>0</v>
      </c>
      <c r="JF364">
        <f t="shared" si="1111"/>
        <v>0</v>
      </c>
      <c r="JG364">
        <f t="shared" si="1112"/>
        <v>0</v>
      </c>
      <c r="JH364">
        <f t="shared" si="1113"/>
        <v>0</v>
      </c>
      <c r="JI364">
        <f t="shared" si="1114"/>
        <v>0</v>
      </c>
      <c r="JJ364" s="447">
        <f t="shared" si="1115"/>
        <v>0</v>
      </c>
      <c r="JK364" s="447">
        <f t="shared" si="1116"/>
        <v>0</v>
      </c>
      <c r="JL364">
        <f t="shared" si="1117"/>
        <v>0</v>
      </c>
      <c r="JM364" s="245" t="str">
        <f>IFERROR(VLOOKUP(MATCH(BN364,#REF!,0),#REF!,7),"")</f>
        <v/>
      </c>
      <c r="JN364" t="e">
        <f>HLOOKUP(LEFT(BO364,7),Discharge_Area,MATCH(JO364,LookUps!$B$130:$B$149,1)+2)</f>
        <v>#N/A</v>
      </c>
      <c r="JO364" t="str">
        <f t="shared" si="1118"/>
        <v>- S</v>
      </c>
      <c r="JP364" t="e">
        <f>HLOOKUP(LEFT(BO364,7),Discharge_Area,MATCH(JO364,LookUps!$B$130:$B$149,1)+2)</f>
        <v>#N/A</v>
      </c>
      <c r="JQ364" t="e">
        <f t="shared" si="1119"/>
        <v>#N/A</v>
      </c>
      <c r="JR364" t="e">
        <f t="shared" si="1120"/>
        <v>#N/A</v>
      </c>
      <c r="JS364" t="e">
        <f t="shared" si="1121"/>
        <v>#N/A</v>
      </c>
      <c r="JT364" s="532" t="str">
        <f t="shared" si="1122"/>
        <v xml:space="preserve"> </v>
      </c>
      <c r="JU364" s="532" t="str">
        <f t="shared" si="1123"/>
        <v xml:space="preserve"> </v>
      </c>
      <c r="JV364" s="533" t="str">
        <f t="shared" si="1124"/>
        <v xml:space="preserve"> </v>
      </c>
      <c r="JW364" s="534">
        <f t="shared" si="1125"/>
        <v>0</v>
      </c>
      <c r="JX364" s="535" t="str">
        <f t="shared" si="1209"/>
        <v xml:space="preserve"> </v>
      </c>
      <c r="JY364" s="535" t="str">
        <f t="shared" si="1210"/>
        <v xml:space="preserve"> </v>
      </c>
      <c r="JZ364" s="535" t="str">
        <f t="shared" si="1211"/>
        <v xml:space="preserve"> </v>
      </c>
      <c r="KA364" s="536" t="str">
        <f t="shared" si="1126"/>
        <v xml:space="preserve"> </v>
      </c>
      <c r="KB364" s="535" t="e">
        <f t="shared" si="1212"/>
        <v>#VALUE!</v>
      </c>
      <c r="KC364" s="535" t="str">
        <f t="shared" si="1127"/>
        <v/>
      </c>
      <c r="KD364" s="537" t="str">
        <f t="shared" si="1213"/>
        <v xml:space="preserve"> </v>
      </c>
      <c r="KE364" s="537" t="str">
        <f t="shared" si="1214"/>
        <v xml:space="preserve"> </v>
      </c>
      <c r="KF364" s="534">
        <f t="shared" si="1128"/>
        <v>0</v>
      </c>
      <c r="KG364" s="535" t="str">
        <f t="shared" si="1129"/>
        <v xml:space="preserve"> </v>
      </c>
      <c r="KH364" s="535" t="str">
        <f t="shared" si="1130"/>
        <v xml:space="preserve"> </v>
      </c>
      <c r="KI364" s="535" t="str">
        <f t="shared" si="1131"/>
        <v xml:space="preserve"> </v>
      </c>
      <c r="KJ364" s="536" t="str">
        <f t="shared" si="1132"/>
        <v xml:space="preserve"> </v>
      </c>
      <c r="KK364" s="535" t="str">
        <f t="shared" si="1215"/>
        <v xml:space="preserve"> </v>
      </c>
      <c r="KL364" s="535" t="str">
        <f t="shared" si="1216"/>
        <v xml:space="preserve"> </v>
      </c>
      <c r="KM364" s="537" t="str">
        <f t="shared" si="1133"/>
        <v xml:space="preserve"> </v>
      </c>
      <c r="KN364" s="537" t="str">
        <f t="shared" si="1217"/>
        <v xml:space="preserve"> </v>
      </c>
      <c r="KP364">
        <f t="shared" si="1134"/>
        <v>0</v>
      </c>
      <c r="LA364" t="e">
        <f t="shared" si="1135"/>
        <v>#VALUE!</v>
      </c>
      <c r="LB364" t="e">
        <f t="shared" si="1136"/>
        <v>#VALUE!</v>
      </c>
      <c r="LC364" t="e">
        <f t="shared" si="1137"/>
        <v>#VALUE!</v>
      </c>
      <c r="LD364" t="e">
        <f t="shared" si="1138"/>
        <v>#VALUE!</v>
      </c>
      <c r="LE364" t="e">
        <f t="shared" si="1218"/>
        <v>#VALUE!</v>
      </c>
      <c r="LF364">
        <f t="shared" si="1139"/>
        <v>0</v>
      </c>
      <c r="LG364" t="e">
        <f t="shared" si="1219"/>
        <v>#VALUE!</v>
      </c>
      <c r="LH364" t="str">
        <f t="shared" si="1140"/>
        <v xml:space="preserve"> </v>
      </c>
      <c r="LI364">
        <f t="shared" si="1220"/>
        <v>1</v>
      </c>
    </row>
    <row r="365" spans="2:321" ht="15" customHeight="1">
      <c r="B365" s="311"/>
      <c r="C365" s="311"/>
      <c r="D365" s="312"/>
      <c r="E365" s="311"/>
      <c r="F365" s="312"/>
      <c r="G365" s="311"/>
      <c r="H365" s="311"/>
      <c r="I365" s="232"/>
      <c r="J365" s="311"/>
      <c r="K365" s="305" t="str">
        <f t="shared" si="1141"/>
        <v/>
      </c>
      <c r="L365" s="313"/>
      <c r="M365" s="312"/>
      <c r="N365" s="311"/>
      <c r="O365" s="312"/>
      <c r="P365" s="311"/>
      <c r="Q365" s="305" t="str">
        <f t="shared" si="1142"/>
        <v/>
      </c>
      <c r="R365" s="314"/>
      <c r="S365" s="450" t="str">
        <f t="shared" si="1025"/>
        <v/>
      </c>
      <c r="T365" s="315"/>
      <c r="U365" s="315"/>
      <c r="W365" s="149" t="str">
        <f t="shared" si="1026"/>
        <v xml:space="preserve"> </v>
      </c>
      <c r="X365" s="243" t="str">
        <f t="shared" si="1027"/>
        <v xml:space="preserve"> </v>
      </c>
      <c r="Y365" s="150" t="str">
        <f t="shared" si="1028"/>
        <v/>
      </c>
      <c r="Z365" s="149" t="str">
        <f t="shared" si="1029"/>
        <v xml:space="preserve"> </v>
      </c>
      <c r="AA365" s="98" t="str">
        <f t="shared" si="1030"/>
        <v xml:space="preserve"> </v>
      </c>
      <c r="AB365" s="153" t="str">
        <f t="shared" si="1031"/>
        <v xml:space="preserve"> </v>
      </c>
      <c r="AC365" s="153" t="str">
        <f t="shared" si="1032"/>
        <v xml:space="preserve"> </v>
      </c>
      <c r="AD365" s="148" t="str">
        <f t="shared" si="1033"/>
        <v/>
      </c>
      <c r="AE365" s="149" t="str">
        <f t="shared" si="1034"/>
        <v/>
      </c>
      <c r="AF365" s="151" t="str">
        <f t="shared" si="1035"/>
        <v xml:space="preserve"> </v>
      </c>
      <c r="AG365" s="153" t="str">
        <f t="shared" si="1036"/>
        <v xml:space="preserve"> </v>
      </c>
      <c r="AH365" s="98" t="str">
        <f t="shared" si="1037"/>
        <v xml:space="preserve"> </v>
      </c>
      <c r="AI365" s="149" t="str">
        <f t="shared" si="1038"/>
        <v xml:space="preserve"> </v>
      </c>
      <c r="AK365" s="144" t="str">
        <f t="shared" si="1039"/>
        <v xml:space="preserve"> </v>
      </c>
      <c r="AL365" s="144"/>
      <c r="AM365" s="243" t="str">
        <f t="shared" si="1040"/>
        <v xml:space="preserve"> </v>
      </c>
      <c r="AN365" s="149" t="str">
        <f t="shared" si="1143"/>
        <v xml:space="preserve"> </v>
      </c>
      <c r="AO365" s="144" t="str">
        <f>IF(JB365&gt;0,IF(GI365=10,-R365*1.085*(Calculation!$F$6-Calculation!$F$13)*$S$14," "),"")</f>
        <v/>
      </c>
      <c r="AP365" s="144" t="str">
        <f t="shared" si="1041"/>
        <v/>
      </c>
      <c r="AQ365" s="56" t="str">
        <f t="shared" si="1042"/>
        <v/>
      </c>
      <c r="AR365" s="144" t="str">
        <f t="shared" si="1043"/>
        <v/>
      </c>
      <c r="AS365" s="176" t="str">
        <f t="shared" si="1044"/>
        <v/>
      </c>
      <c r="AT365" s="176" t="str">
        <f t="shared" si="1144"/>
        <v xml:space="preserve"> </v>
      </c>
      <c r="AU365" s="176" t="str">
        <f t="shared" si="1045"/>
        <v/>
      </c>
      <c r="AV365" s="177" t="str">
        <f t="shared" si="1046"/>
        <v xml:space="preserve"> </v>
      </c>
      <c r="AW365" s="144" t="str">
        <f t="shared" si="1047"/>
        <v xml:space="preserve"> </v>
      </c>
      <c r="AX365" s="144" t="str">
        <f t="shared" si="1048"/>
        <v xml:space="preserve"> </v>
      </c>
      <c r="AY365" s="152" t="str">
        <f t="shared" si="1049"/>
        <v xml:space="preserve"> </v>
      </c>
      <c r="AZ365" s="246" t="str">
        <f t="shared" si="1050"/>
        <v/>
      </c>
      <c r="BA365" s="176" t="str">
        <f t="shared" si="1051"/>
        <v xml:space="preserve"> </v>
      </c>
      <c r="BB365" s="176" t="str">
        <f t="shared" si="1052"/>
        <v xml:space="preserve"> </v>
      </c>
      <c r="BC365" s="195"/>
      <c r="BD365" s="316"/>
      <c r="BE365" s="317"/>
      <c r="BF365" s="318"/>
      <c r="BG365" s="318"/>
      <c r="BH365" s="144" t="str">
        <f t="shared" si="1221"/>
        <v xml:space="preserve"> </v>
      </c>
      <c r="BI365" s="176" t="str">
        <f t="shared" si="1053"/>
        <v/>
      </c>
      <c r="BJ365" s="144" t="str">
        <f t="shared" si="1222"/>
        <v/>
      </c>
      <c r="BK365" s="246" t="str">
        <f t="shared" si="1054"/>
        <v/>
      </c>
      <c r="BL365" s="144" t="str">
        <f t="shared" si="1223"/>
        <v/>
      </c>
      <c r="BM365" s="246" t="str">
        <f t="shared" si="1055"/>
        <v/>
      </c>
      <c r="BN365" s="337" t="str">
        <f t="shared" si="1145"/>
        <v/>
      </c>
      <c r="BO365" s="371" t="str">
        <f t="shared" si="1146"/>
        <v/>
      </c>
      <c r="BP365" s="328" t="str">
        <f t="shared" si="1224"/>
        <v xml:space="preserve"> </v>
      </c>
      <c r="BQ365" s="347" t="str">
        <f t="shared" si="1147"/>
        <v xml:space="preserve"> </v>
      </c>
      <c r="BR365" s="353" t="str">
        <f t="shared" si="1148"/>
        <v xml:space="preserve"> </v>
      </c>
      <c r="BS365" s="626" t="str">
        <f>IF(L365&gt;0,IF(Calculation!P365="M13",BR365*3.1416*(0.134^2)/(4*144),IF(Calculation!P365="M17",BR365*3.1416*(0.165^2)/(4*144),IF(Calculation!P365="M20",BR365*3.1416*(0.198^2)/(4*144),IF(Calculation!P365="M23",BR365*3.1416*(0.228^2)/(4*144),IF(Calculation!P365="M27",BR365*3.1416*(0.269^2)/(4*144),BR365*3.1416*(0.307^2)/(4*144))))))," ")</f>
        <v xml:space="preserve"> </v>
      </c>
      <c r="BT365" s="353" t="str">
        <f>IF(L365&gt;0,IF(BS365&gt;0,R365/Calculation!BS365,0)," ")</f>
        <v xml:space="preserve"> </v>
      </c>
      <c r="BU365" s="438" t="e">
        <f t="shared" ca="1" si="1056"/>
        <v>#VALUE!</v>
      </c>
      <c r="BV365" s="449" t="e">
        <f ca="1">INDEX(INDIRECT(VLOOKUP(LEFT(BO365,7),CLU!$Z$3:$AH$18,2)),GN365,GR365)</f>
        <v>#N/A</v>
      </c>
      <c r="BW365" s="433" t="e">
        <f ca="1">INDEX(INDIRECT(VLOOKUP(LEFT(BO365,7),CLU!$Z$3:$AH$18,3)),GN365,GR365)</f>
        <v>#N/A</v>
      </c>
      <c r="BX365" s="433" t="e">
        <f ca="1">INDEX(INDIRECT(VLOOKUP(LEFT(BO365,7),CLU!$Z$3:$AH$18,4)),GN365,GR365)</f>
        <v>#N/A</v>
      </c>
      <c r="BY365" s="433" t="e">
        <f ca="1">INDEX(INDIRECT(VLOOKUP(LEFT(BO365,7),CLU!$Z$3:$AH$18,9)),((M365-2)*(6-COUNTBLANK(GT365:GY365)))+GJ365)</f>
        <v>#N/A</v>
      </c>
      <c r="BZ365" s="426" t="e">
        <f t="shared" ca="1" si="1149"/>
        <v>#N/A</v>
      </c>
      <c r="CA365" s="424" t="e">
        <f t="shared" ca="1" si="1150"/>
        <v>#N/A</v>
      </c>
      <c r="CB365" s="429" t="e">
        <f ca="1">INDEX(INDIRECT(VLOOKUP(LEFT(BO365,7),CLU!$Z$3:$AH$18,2)),GN365,GS365)</f>
        <v>#N/A</v>
      </c>
      <c r="CC365" s="342" t="e">
        <f ca="1">INDEX(INDIRECT(VLOOKUP(LEFT(BO365,7),CLU!$Z$3:$AH$18,3)),GN365,GS365)</f>
        <v>#N/A</v>
      </c>
      <c r="CD365" s="342" t="e">
        <f ca="1">INDEX(INDIRECT(VLOOKUP(LEFT(BO365,7),CLU!$Z$3:$AH$18,4)),GN365,GS365)</f>
        <v>#N/A</v>
      </c>
      <c r="CE365" s="426" t="e">
        <f t="shared" ca="1" si="1151"/>
        <v>#N/A</v>
      </c>
      <c r="CF365" s="440">
        <f t="shared" si="1152"/>
        <v>0</v>
      </c>
      <c r="CG365" s="431" t="e">
        <f ca="1">INDEX(INDIRECT(VLOOKUP(LEFT(BO365,7),CLU!$Z$3:$AH$18,2)),GQ365,GR365)</f>
        <v>#N/A</v>
      </c>
      <c r="CH365" s="431" t="e">
        <f ca="1">INDEX(INDIRECT(VLOOKUP(LEFT(BO365,7),CLU!$Z$3:$AH$18,3)),GQ365,GR365)</f>
        <v>#N/A</v>
      </c>
      <c r="CI365" s="431" t="e">
        <f ca="1">INDEX(INDIRECT(VLOOKUP(LEFT(BO365,7),CLU!$Z$3:$AH$18,4)),GQ365,GR365)</f>
        <v>#N/A</v>
      </c>
      <c r="CJ365" s="448" t="e">
        <f t="shared" ca="1" si="1153"/>
        <v>#N/A</v>
      </c>
      <c r="CK365" s="431" t="e">
        <f t="shared" ca="1" si="1154"/>
        <v>#N/A</v>
      </c>
      <c r="CL365" s="440" t="e">
        <f t="shared" ca="1" si="1155"/>
        <v>#N/A</v>
      </c>
      <c r="CM365" s="431" t="e">
        <f ca="1">INDEX(INDIRECT(VLOOKUP(LEFT(BO365,7),CLU!$Z$3:$AH$18,2)),GQ365,GS365)</f>
        <v>#N/A</v>
      </c>
      <c r="CN365" s="431" t="e">
        <f ca="1">INDEX(INDIRECT(VLOOKUP(LEFT(BO365,7),CLU!$Z$3:$AH$18,3)),GQ365,GS365)</f>
        <v>#N/A</v>
      </c>
      <c r="CO365" s="431" t="e">
        <f ca="1">INDEX(INDIRECT(VLOOKUP(LEFT(BO365,7),CLU!$Z$3:$AH$18,4)),GQ365,GS365)</f>
        <v>#N/A</v>
      </c>
      <c r="CP365" s="431" t="e">
        <f t="shared" ca="1" si="1156"/>
        <v>#N/A</v>
      </c>
      <c r="CQ365" s="440">
        <f t="shared" si="1157"/>
        <v>0</v>
      </c>
      <c r="CR365" s="51" t="e">
        <f t="shared" ca="1" si="1158"/>
        <v>#N/A</v>
      </c>
      <c r="CS365" s="439" t="e">
        <f t="shared" ca="1" si="1159"/>
        <v>#VALUE!</v>
      </c>
      <c r="CT365" s="51" t="e">
        <f t="shared" ca="1" si="1160"/>
        <v>#VALUE!</v>
      </c>
      <c r="CU365" s="10"/>
      <c r="CV365" s="51" t="e">
        <f t="shared" ca="1" si="1057"/>
        <v>#VALUE!</v>
      </c>
      <c r="CW365" s="51">
        <f t="shared" si="1161"/>
        <v>0</v>
      </c>
      <c r="CX365" s="439" t="e">
        <f t="shared" ca="1" si="1162"/>
        <v>#VALUE!</v>
      </c>
      <c r="CY365" s="51" t="e">
        <f t="shared" ca="1" si="1163"/>
        <v>#VALUE!</v>
      </c>
      <c r="CZ365" s="10"/>
      <c r="DA365" s="51" t="e">
        <f t="shared" ca="1" si="1164"/>
        <v>#VALUE!</v>
      </c>
      <c r="DB365" s="347" t="e">
        <f ca="1">INDEX(INDIRECT(VLOOKUP(LEFT(BO365,7),CLU!$Z$3:$AI$18,10)),((M365-2)*(6-COUNTBLANK(GT365:GY365)))+GJ365)*LI365</f>
        <v>#N/A</v>
      </c>
      <c r="DC365" s="347" t="str">
        <f>IF(L365&gt;0,((R365/Worksheet!$I$15)/DB365)^2," ")</f>
        <v xml:space="preserve"> </v>
      </c>
      <c r="DD365" s="602" t="str">
        <f t="shared" si="1165"/>
        <v xml:space="preserve"> </v>
      </c>
      <c r="DE365" s="347" t="str">
        <f t="shared" si="1058"/>
        <v xml:space="preserve"> </v>
      </c>
      <c r="DF365" s="356" t="e">
        <f ca="1">INDEX(INDIRECT(VLOOKUP(LEFT(BO365,7),CLU!$Z$3:$AH$18,8)),((M365-2)*(6-COUNTBLANK(GT365:GY365)))+GJ365)</f>
        <v>#N/A</v>
      </c>
      <c r="DG365" s="347" t="str">
        <f t="shared" si="1059"/>
        <v xml:space="preserve"> </v>
      </c>
      <c r="DH365" s="357" t="str">
        <f t="shared" si="1060"/>
        <v xml:space="preserve"> </v>
      </c>
      <c r="DI365" s="355" t="str">
        <f t="shared" si="1061"/>
        <v xml:space="preserve"> </v>
      </c>
      <c r="DJ365" s="245" t="e">
        <f ca="1">INDEX(INDIRECT(VLOOKUP(LEFT(BO365,7),CLU!$Z$3:$AH$18,5)),GL365,GK365)</f>
        <v>#N/A</v>
      </c>
      <c r="DK365" s="245" t="e">
        <f ca="1">INDEX(INDIRECT(VLOOKUP(LEFT(BO365,7),CLU!$Z$3:$AH$18,6)),GL365,GK365)</f>
        <v>#N/A</v>
      </c>
      <c r="DL365" s="355">
        <f>(Calculation!R365*0.69143*(Calculation!$BQ$8-Calculation!$F$8))*$S$14</f>
        <v>0</v>
      </c>
      <c r="DM365" s="359" t="e">
        <f t="shared" si="1166"/>
        <v>#VALUE!</v>
      </c>
      <c r="DN365" s="611">
        <f t="shared" si="1167"/>
        <v>0</v>
      </c>
      <c r="DO365" s="359">
        <f t="shared" si="1168"/>
        <v>100</v>
      </c>
      <c r="DP365" s="359">
        <f t="shared" si="1169"/>
        <v>0</v>
      </c>
      <c r="DQ365" s="360"/>
      <c r="DR365" s="245" t="e">
        <f ca="1">INDEX(INDIRECT(VLOOKUP(LEFT(BO365,7),CLU!$Z$3:$AH$18,7)),M365-1,1)</f>
        <v>#N/A</v>
      </c>
      <c r="DS365" s="245" t="e">
        <f ca="1">INDEX(INDIRECT(VLOOKUP(LEFT(BO365,7),CLU!$Z$3:$AH$18,7)),M365-1,2)</f>
        <v>#N/A</v>
      </c>
      <c r="DT365" s="245" t="e">
        <f ca="1">INDEX(INDIRECT(VLOOKUP(LEFT(BO365,7),CLU!$Z$3:$AH$18,7)),M365-1,3)</f>
        <v>#N/A</v>
      </c>
      <c r="DU365" s="245" t="e">
        <f ca="1">INDEX(INDIRECT(VLOOKUP(LEFT(BO365,7),CLU!$Z$3:$AH$18,7)),M365-1,4)</f>
        <v>#N/A</v>
      </c>
      <c r="DV365" s="361" t="e">
        <f ca="1">INDEX(INDIRECT(VLOOKUP(LEFT(BO365,7),CLU!$Z$3:$AH$18,7)),M365-1,4+LEFT(DZ365,1)*0.5)</f>
        <v>#N/A</v>
      </c>
      <c r="DW365" s="245" t="e">
        <f ca="1">INDEX(INDIRECT(VLOOKUP(LEFT(BO365,7),CLU!$Z$3:$AH$18,7)),M365-1,8)</f>
        <v>#N/A</v>
      </c>
      <c r="DX365" s="361" t="str">
        <f t="shared" si="1062"/>
        <v xml:space="preserve"> </v>
      </c>
      <c r="DY365" s="361" t="str">
        <f t="shared" si="1063"/>
        <v xml:space="preserve"> </v>
      </c>
      <c r="DZ365" s="361" t="str">
        <f t="shared" si="1064"/>
        <v xml:space="preserve"> </v>
      </c>
      <c r="EA365" s="362" t="str">
        <f t="shared" si="1065"/>
        <v xml:space="preserve"> </v>
      </c>
      <c r="EB365" s="624" t="str">
        <f t="shared" si="1170"/>
        <v xml:space="preserve"> </v>
      </c>
      <c r="EC365" s="361" t="e">
        <f ca="1">INDEX(INDIRECT(VLOOKUP(LEFT(BO365,7),CLU!$Z$3:$AH$18,7)),M365-1,4+LEFT(DZ365,1)*0.5)</f>
        <v>#N/A</v>
      </c>
      <c r="ED365" s="362" t="str">
        <f t="shared" si="1066"/>
        <v xml:space="preserve"> </v>
      </c>
      <c r="EE365" s="361" t="str">
        <f t="shared" si="1067"/>
        <v xml:space="preserve"> </v>
      </c>
      <c r="EF365" s="362" t="str">
        <f>IF(L365&gt;0,IF(BR365&gt;0,IF(EE365="2P",IF(Calculation!DZ365="2P",IF(Calculation!DS365=13.75,IF(Calculation!DR365=13,Worksheet!$BD$43,IF(Calculation!DR365=37,Worksheet!$BD$44,Worksheet!$BD$45)),IF(Calculation!DS365=10,IF(Calculation!DR365=18,Worksheet!$BD$29,IF(Calculation!DR365=30,Worksheet!$BD$30,IF(Calculation!DR365=42,Worksheet!$BD$31,IF(Calculation!DR365=54,Worksheet!$BD$32,IF(Calculation!DR365=66,Worksheet!$BD$33,IF(Calculation!DR365=78,Worksheet!$BD$34,IF(Calculation!DR365=90,Worksheet!$BD$35,IF(Calculation!DR365=102,Worksheet!$BD$36,Worksheet!$BD$37)))))))),IF(Calculation!DS365=12.5,IF(Calculation!DR365=18,Worksheet!$BD$38,IF(Calculation!DR365=Worksheet!$BD$39,IF(Calculation!DR365=42,Worksheet!$BD$40,IF(Calculation!DR365=54,Worksheet!$BD$41,Worksheet!$BD$42)))),IF(Calculation!DR365=18,Worksheet!$BD$11,IF(Calculation!DR365=30,Worksheet!$BD$12,IF(Calculation!DR365=42,Worksheet!$BD$13,IF(Calculation!DR365=54,Worksheet!$BD$14,IF(Calculation!DR365=66,Worksheet!$BD$15,IF(Calculation!DR365=78,Worksheet!$BD$16,IF(Calculation!DR365=90,Worksheet!$BD$17,IF(Calculation!DR365=102,Worksheet!$BD$18,Worksheet!$BD$19))))))))))),IF(Calculation!DS365=13.75,IF(Calculation!DR365=13,Worksheet!$BD$78,IF(Calculation!DR365=37,Worksheet!$BD$79,Worksheet!$BD$80)),IF(Calculation!DS365=10,IF(Calculation!DR365=18,Worksheet!$BD$64,IF(Calculation!DR365=30,Worksheet!$BD$65,IF(Calculation!DR365=42,Worksheet!$BD$66,IF(Calculation!DR365=54,Worksheet!$BD$68,IF(Calculation!DR365=66,Worksheet!$BD$68,IF(Calculation!DR365=78,Worksheet!$BD$69,IF(Calculation!DR365=90,Worksheet!$BD$70,IF(Calculation!DR365=102,Worksheet!$BD$71,Worksheet!$BD$72)))))))),IF(Calculation!DS365=12.5,IF(Calculation!DR365=18,Worksheet!$BD$73,IF(Calculation!DR365=Worksheet!$BD$74,IF(Calculation!DR365=42,Worksheet!$BD$75,IF(Calculation!DR365=54,Worksheet!$BD$76,Worksheet!$BD$77)))),IF(Calculation!DR365=18,Worksheet!$BD$55,IF(Calculation!DR365=30,Worksheet!$BD$56,IF(Calculation!DR365=42,Worksheet!$BD$57,IF(Calculation!DR365=54,Worksheet!$BD$58,IF(Calculation!DR365=66,Worksheet!$BD$59,IF(Calculation!DR365=78,Worksheet!$BD$60,IF(Calculation!DR365=90,Worksheet!$BD$61,IF(Calculation!DR365=102,Worksheet!$BD$62,Worksheet!$BD$63)))))))))))),5),0)," ")</f>
        <v xml:space="preserve"> </v>
      </c>
      <c r="EG365" s="361" t="str">
        <f t="shared" si="1068"/>
        <v xml:space="preserve"> </v>
      </c>
      <c r="EH365" s="361" t="e">
        <f ca="1">INDEX(INDIRECT(VLOOKUP(LEFT(BO365,7),CLU!$Z$3:$AH$18,7)),M365-1,3+LEFT(DZ365,1))</f>
        <v>#N/A</v>
      </c>
      <c r="EI365" s="362" t="str">
        <f t="shared" si="1069"/>
        <v xml:space="preserve"> </v>
      </c>
      <c r="EJ365" s="363" t="str">
        <f t="shared" si="1070"/>
        <v xml:space="preserve"> </v>
      </c>
      <c r="EK365" s="363" t="str">
        <f t="shared" si="1071"/>
        <v xml:space="preserve"> </v>
      </c>
      <c r="EL365" s="363" t="str">
        <f t="shared" si="1072"/>
        <v xml:space="preserve"> </v>
      </c>
      <c r="EM365" s="362" t="str">
        <f>IF(L365&gt;0,IF(BR365&gt;0,(Calculation!T365/ED365)^2,0)," ")</f>
        <v xml:space="preserve"> </v>
      </c>
      <c r="EN365" s="362" t="str">
        <f>IF(L365&gt;0,IF(O365="2 Pipe (Cooling)","N/A",IF(BR365&gt;0,(Calculation!U365/EI365)^2,0))," ")</f>
        <v xml:space="preserve"> </v>
      </c>
      <c r="EO365" s="361" t="str">
        <f t="shared" si="1073"/>
        <v/>
      </c>
      <c r="EP365" s="361" t="str">
        <f t="shared" si="1074"/>
        <v/>
      </c>
      <c r="EQ365" s="361" t="str">
        <f t="shared" si="1075"/>
        <v/>
      </c>
      <c r="ER365" s="361" t="str">
        <f t="shared" si="1076"/>
        <v/>
      </c>
      <c r="ES365" s="361" t="str">
        <f t="shared" si="1077"/>
        <v/>
      </c>
      <c r="ET365" s="361" t="str">
        <f t="shared" si="1078"/>
        <v/>
      </c>
      <c r="EU365" s="361" t="str">
        <f t="shared" si="1079"/>
        <v/>
      </c>
      <c r="EV365" s="361" t="str">
        <f t="shared" si="1080"/>
        <v/>
      </c>
      <c r="EW365" s="361" t="str">
        <f t="shared" si="1081"/>
        <v/>
      </c>
      <c r="EX365" s="361" t="str">
        <f t="shared" si="1171"/>
        <v>1 slot, 1 way</v>
      </c>
      <c r="EY365" s="361" t="str">
        <f t="shared" si="1172"/>
        <v xml:space="preserve"> </v>
      </c>
      <c r="EZ365" s="361" t="str">
        <f t="shared" si="1173"/>
        <v xml:space="preserve"> </v>
      </c>
      <c r="FA365" s="361" t="str">
        <f t="shared" si="1174"/>
        <v xml:space="preserve"> </v>
      </c>
      <c r="FB365" s="361" t="str">
        <f t="shared" si="1175"/>
        <v xml:space="preserve"> </v>
      </c>
      <c r="FC365" s="361"/>
      <c r="FD365" s="361" t="str">
        <f>IF(J365&gt;0,IF(Calculation!R365&lt;=70,4,IF(Calculation!R365&lt;=110,5,IF(Calculation!R365&lt;=160,6,IF(Calculation!R365&lt;=300,8,"10 EO")))),"")</f>
        <v/>
      </c>
      <c r="FE365" s="361" t="str">
        <f t="shared" si="1176"/>
        <v/>
      </c>
      <c r="FF365" s="361" t="str">
        <f t="shared" si="1177"/>
        <v/>
      </c>
      <c r="FG365" s="361" t="e">
        <f t="shared" si="1082"/>
        <v>#N/A</v>
      </c>
      <c r="FH365" s="361">
        <f t="shared" si="1083"/>
        <v>0</v>
      </c>
      <c r="FI365" s="361" t="e">
        <f t="shared" si="1084"/>
        <v>#DIV/0!</v>
      </c>
      <c r="FJ365" s="361"/>
      <c r="FK365" s="356" t="e">
        <f t="shared" si="1085"/>
        <v>#VALUE!</v>
      </c>
      <c r="FL365" s="361"/>
      <c r="FM365" s="361"/>
      <c r="FN365" s="362" t="str">
        <f t="shared" si="1178"/>
        <v xml:space="preserve"> </v>
      </c>
      <c r="FO365" s="362" t="str">
        <f t="shared" si="1179"/>
        <v xml:space="preserve"> </v>
      </c>
      <c r="FP365" s="362">
        <f t="shared" si="1180"/>
        <v>0</v>
      </c>
      <c r="FQ365" s="361">
        <f t="shared" si="1086"/>
        <v>0</v>
      </c>
      <c r="FR365" s="362" t="str">
        <f>IF(L365&gt;0,IF(J365="CBAL2",Worksheet!$P$67,IF(J365="CBE2-24",Worksheet!$Q$67,IF(J365="CBAM",Worksheet!$R$67,IF(J365="CBLV",Worksheet!$S$67,IF(J365="CBAB",Worksheet!$U$67,IF(J365="CBAW",Worksheet!$X$67,IF(J365="CBE2-12",Worksheet!$Y$67,IF(J365="CBAL2",Worksheet!$Z$67,"N/A"))))))))," ")</f>
        <v xml:space="preserve"> </v>
      </c>
      <c r="FS365" s="362" t="str">
        <f>IF(L365&gt;0,IF(J365="CBAL2",Worksheet!$P$68,IF(J365="CBE2-24",Worksheet!$Q$68,IF(J365="CBAM",Worksheet!$R$68,IF(J365="CBLV",Worksheet!$S$68,IF(J365="CBAB",Worksheet!$U$68,IF(J365="CBAW",Worksheet!$X$68,IF(J365="CBE2-12",Worksheet!$Y$68,IF(J365="CBAL2",Worksheet!$Z$68,"N/A"))))))))," ")</f>
        <v xml:space="preserve"> </v>
      </c>
      <c r="FT365" s="362" t="str">
        <f>IF(L365&gt;0,IF(J365="CBAL2",Worksheet!$P$69,IF(J365="CBE2-24",Worksheet!$Q$69,IF(J365="CBAM",Worksheet!$R$69,IF(J365="CBLV",Worksheet!$S$69,IF(J365="CBAB",Worksheet!$U$69,IF(J365="CBAW",Worksheet!$X$69,IF(J365="CBE2-12",Worksheet!$Y$69,IF(J365="CBAL2",Worksheet!$Z$69,"N/A"))))))))," ")</f>
        <v xml:space="preserve"> </v>
      </c>
      <c r="FU365" s="361" t="str">
        <f t="shared" si="1181"/>
        <v xml:space="preserve"> </v>
      </c>
      <c r="FV365" s="362" t="str">
        <f t="shared" si="1182"/>
        <v xml:space="preserve"> </v>
      </c>
      <c r="FW365" s="362" t="str">
        <f t="shared" si="1183"/>
        <v xml:space="preserve"> </v>
      </c>
      <c r="FX365" s="362" t="str">
        <f t="shared" si="1184"/>
        <v xml:space="preserve"> </v>
      </c>
      <c r="FY365" s="355" t="str">
        <f t="shared" si="1185"/>
        <v xml:space="preserve"> </v>
      </c>
      <c r="FZ365" s="361" t="str">
        <f t="shared" si="1186"/>
        <v xml:space="preserve"> </v>
      </c>
      <c r="GA365" s="347" t="str">
        <f t="shared" si="1187"/>
        <v xml:space="preserve"> </v>
      </c>
      <c r="GB365" s="355" t="str">
        <f t="shared" si="1188"/>
        <v xml:space="preserve"> </v>
      </c>
      <c r="GC365" s="328" t="str">
        <f t="shared" si="1189"/>
        <v xml:space="preserve"> </v>
      </c>
      <c r="GD365" s="361" t="str">
        <f t="shared" si="1190"/>
        <v xml:space="preserve"> </v>
      </c>
      <c r="GE365" s="347" t="str">
        <f t="shared" si="1191"/>
        <v xml:space="preserve"> </v>
      </c>
      <c r="GF365" s="361" t="str">
        <f t="shared" si="1192"/>
        <v xml:space="preserve"> </v>
      </c>
      <c r="GG365" s="347" t="str">
        <f t="shared" si="1193"/>
        <v xml:space="preserve"> </v>
      </c>
      <c r="GH365" s="364">
        <f t="shared" si="1087"/>
        <v>0</v>
      </c>
      <c r="GI365" s="362">
        <f t="shared" si="1194"/>
        <v>2</v>
      </c>
      <c r="GJ365" s="433" t="e">
        <f>IF(6-COUNTBLANK(GT365:GY365)=4,MATCH(MID(BO365,9,3),CLU!$H$16:$K$16),MATCH(MID(BO365,9,3),CLU!$H$13:$M$13))</f>
        <v>#N/A</v>
      </c>
      <c r="GK365" s="433" t="e">
        <f>HLOOKUP(VALUE(BP365),CLU!$H$9:$M$10,2)</f>
        <v>#VALUE!</v>
      </c>
      <c r="GL365" s="433" t="e">
        <f ca="1">MATCH(BU365,CLU!$H$2:$V$2,1)</f>
        <v>#VALUE!</v>
      </c>
      <c r="GM365" s="433" t="e">
        <f t="shared" ca="1" si="1195"/>
        <v>#VALUE!</v>
      </c>
      <c r="GN365" s="433" t="e">
        <f t="shared" ca="1" si="1196"/>
        <v>#VALUE!</v>
      </c>
      <c r="GO365" s="433" t="e">
        <f t="shared" ca="1" si="1197"/>
        <v>#VALUE!</v>
      </c>
      <c r="GP365" s="433" t="e">
        <f t="shared" ca="1" si="1198"/>
        <v>#VALUE!</v>
      </c>
      <c r="GQ365" s="433" t="e">
        <f t="shared" ca="1" si="1199"/>
        <v>#VALUE!</v>
      </c>
      <c r="GR365" s="433" t="e">
        <f ca="1">MATCH(T365,INDIRECT(VLOOKUP(CONCATENATE(LEFT(BO365,7),"-",MID(BO365,13,1)),CLU!$P$3:$Q$16,2)),1)</f>
        <v>#N/A</v>
      </c>
      <c r="GS365" s="433" t="e">
        <f ca="1">MATCH(U365,INDIRECT(VLOOKUP(CONCATENATE(LEFT(BO365,7),"-",MID(BO365,13,1)),CLU!$P$3:$Q$16,2)),1)</f>
        <v>#N/A</v>
      </c>
      <c r="GT365" s="347" t="s">
        <v>512</v>
      </c>
      <c r="GU365" s="97" t="s">
        <v>513</v>
      </c>
      <c r="GV365" s="97" t="str">
        <f t="shared" si="1200"/>
        <v>M23</v>
      </c>
      <c r="GW365" s="97" t="str">
        <f t="shared" si="1201"/>
        <v>M31</v>
      </c>
      <c r="GX365" s="97" t="str">
        <f t="shared" si="1202"/>
        <v/>
      </c>
      <c r="GY365" s="97" t="str">
        <f t="shared" si="1203"/>
        <v/>
      </c>
      <c r="GZ365" s="481"/>
      <c r="HA365" s="240"/>
      <c r="HB365" s="240"/>
      <c r="HC365" s="240"/>
      <c r="HD365" s="240"/>
      <c r="HE365" s="240"/>
      <c r="HF365" s="240"/>
      <c r="HG365" s="240"/>
      <c r="HH365" s="240"/>
      <c r="HI365" s="240"/>
      <c r="HJ365" s="240"/>
      <c r="HK365" s="240"/>
      <c r="HL365" s="240"/>
      <c r="HM365" s="240"/>
      <c r="HN365" s="240"/>
      <c r="HO365" s="240"/>
      <c r="HP365" s="240"/>
      <c r="HQ365" s="240"/>
      <c r="HR365" s="240"/>
      <c r="HS365" s="240"/>
      <c r="HT365" s="240"/>
      <c r="HU365" s="240"/>
      <c r="HV365" s="245"/>
      <c r="HW365" s="245" t="b">
        <v>1</v>
      </c>
      <c r="HX365" s="245" t="str">
        <f t="shared" si="1088"/>
        <v/>
      </c>
      <c r="HY365" s="245" t="e">
        <f t="shared" si="1089"/>
        <v>#DIV/0!</v>
      </c>
      <c r="HZ365" s="245" t="e">
        <f t="shared" si="1090"/>
        <v>#DIV/0!</v>
      </c>
      <c r="IA365" s="245">
        <f t="shared" si="1091"/>
        <v>0</v>
      </c>
      <c r="IB365" s="245"/>
      <c r="IC365" t="b">
        <f t="shared" si="1092"/>
        <v>1</v>
      </c>
      <c r="ID365" s="245" t="b">
        <f t="shared" si="1093"/>
        <v>1</v>
      </c>
      <c r="IE365" s="245" t="b">
        <f t="shared" si="1094"/>
        <v>1</v>
      </c>
      <c r="IF365" s="245" t="b">
        <f t="shared" si="1095"/>
        <v>0</v>
      </c>
      <c r="IG365" s="245" t="b">
        <f t="shared" si="1096"/>
        <v>1</v>
      </c>
      <c r="IH365" s="245" t="b">
        <f t="shared" si="1097"/>
        <v>1</v>
      </c>
      <c r="II365" s="245">
        <f t="shared" si="1204"/>
        <v>0</v>
      </c>
      <c r="IJ365" s="245" t="e">
        <f t="shared" si="1098"/>
        <v>#VALUE!</v>
      </c>
      <c r="IK365" s="245" t="e">
        <f t="shared" si="1099"/>
        <v>#VALUE!</v>
      </c>
      <c r="IL365" s="245"/>
      <c r="IM365" s="245" t="e">
        <f t="shared" si="1205"/>
        <v>#N/A</v>
      </c>
      <c r="IN365" s="245" t="e">
        <f t="shared" si="1206"/>
        <v>#N/A</v>
      </c>
      <c r="IO365" s="245"/>
      <c r="IP365" s="245"/>
      <c r="IQ365" s="245" t="str">
        <f t="shared" si="1100"/>
        <v/>
      </c>
      <c r="IR365" s="245" t="str">
        <f>IF(J365="","",VLOOKUP(J365,Worksheet!$R$4:$T$14,2))</f>
        <v/>
      </c>
      <c r="IS365" s="245"/>
      <c r="IT365" s="245">
        <f t="shared" si="1101"/>
        <v>0</v>
      </c>
      <c r="IU365" s="245">
        <f t="shared" si="1102"/>
        <v>0</v>
      </c>
      <c r="IV365" s="245">
        <f t="shared" si="1103"/>
        <v>0</v>
      </c>
      <c r="IW365" s="245">
        <f t="shared" si="1104"/>
        <v>0</v>
      </c>
      <c r="IX365" s="245">
        <f t="shared" si="1207"/>
        <v>0</v>
      </c>
      <c r="IY365" s="245">
        <f t="shared" si="1105"/>
        <v>0</v>
      </c>
      <c r="IZ365" s="245">
        <f t="shared" si="1106"/>
        <v>0</v>
      </c>
      <c r="JA365">
        <f t="shared" si="1107"/>
        <v>0</v>
      </c>
      <c r="JB365">
        <f t="shared" si="1208"/>
        <v>0</v>
      </c>
      <c r="JC365">
        <f t="shared" si="1108"/>
        <v>0</v>
      </c>
      <c r="JD365">
        <f t="shared" si="1109"/>
        <v>0</v>
      </c>
      <c r="JE365">
        <f t="shared" si="1110"/>
        <v>0</v>
      </c>
      <c r="JF365">
        <f t="shared" si="1111"/>
        <v>0</v>
      </c>
      <c r="JG365">
        <f t="shared" si="1112"/>
        <v>0</v>
      </c>
      <c r="JH365">
        <f t="shared" si="1113"/>
        <v>0</v>
      </c>
      <c r="JI365">
        <f t="shared" si="1114"/>
        <v>0</v>
      </c>
      <c r="JJ365" s="447">
        <f t="shared" si="1115"/>
        <v>0</v>
      </c>
      <c r="JK365" s="447">
        <f t="shared" si="1116"/>
        <v>0</v>
      </c>
      <c r="JL365">
        <f t="shared" si="1117"/>
        <v>0</v>
      </c>
      <c r="JM365" s="245" t="str">
        <f>IFERROR(VLOOKUP(MATCH(BN365,#REF!,0),#REF!,7),"")</f>
        <v/>
      </c>
      <c r="JN365" t="e">
        <f>HLOOKUP(LEFT(BO365,7),Discharge_Area,MATCH(JO365,LookUps!$B$130:$B$149,1)+2)</f>
        <v>#N/A</v>
      </c>
      <c r="JO365" t="str">
        <f t="shared" si="1118"/>
        <v>- S</v>
      </c>
      <c r="JP365" t="e">
        <f>HLOOKUP(LEFT(BO365,7),Discharge_Area,MATCH(JO365,LookUps!$B$130:$B$149,1)+2)</f>
        <v>#N/A</v>
      </c>
      <c r="JQ365" t="e">
        <f t="shared" si="1119"/>
        <v>#N/A</v>
      </c>
      <c r="JR365" t="e">
        <f t="shared" si="1120"/>
        <v>#N/A</v>
      </c>
      <c r="JS365" t="e">
        <f t="shared" si="1121"/>
        <v>#N/A</v>
      </c>
      <c r="JT365" s="532" t="str">
        <f t="shared" si="1122"/>
        <v xml:space="preserve"> </v>
      </c>
      <c r="JU365" s="532" t="str">
        <f t="shared" si="1123"/>
        <v xml:space="preserve"> </v>
      </c>
      <c r="JV365" s="533" t="str">
        <f t="shared" si="1124"/>
        <v xml:space="preserve"> </v>
      </c>
      <c r="JW365" s="534">
        <f t="shared" si="1125"/>
        <v>0</v>
      </c>
      <c r="JX365" s="535" t="str">
        <f t="shared" si="1209"/>
        <v xml:space="preserve"> </v>
      </c>
      <c r="JY365" s="535" t="str">
        <f t="shared" si="1210"/>
        <v xml:space="preserve"> </v>
      </c>
      <c r="JZ365" s="535" t="str">
        <f t="shared" si="1211"/>
        <v xml:space="preserve"> </v>
      </c>
      <c r="KA365" s="536" t="str">
        <f t="shared" si="1126"/>
        <v xml:space="preserve"> </v>
      </c>
      <c r="KB365" s="535" t="e">
        <f t="shared" si="1212"/>
        <v>#VALUE!</v>
      </c>
      <c r="KC365" s="535" t="str">
        <f t="shared" si="1127"/>
        <v/>
      </c>
      <c r="KD365" s="537" t="str">
        <f t="shared" si="1213"/>
        <v xml:space="preserve"> </v>
      </c>
      <c r="KE365" s="537" t="str">
        <f t="shared" si="1214"/>
        <v xml:space="preserve"> </v>
      </c>
      <c r="KF365" s="534">
        <f t="shared" si="1128"/>
        <v>0</v>
      </c>
      <c r="KG365" s="535" t="str">
        <f t="shared" si="1129"/>
        <v xml:space="preserve"> </v>
      </c>
      <c r="KH365" s="535" t="str">
        <f t="shared" si="1130"/>
        <v xml:space="preserve"> </v>
      </c>
      <c r="KI365" s="535" t="str">
        <f t="shared" si="1131"/>
        <v xml:space="preserve"> </v>
      </c>
      <c r="KJ365" s="536" t="str">
        <f t="shared" si="1132"/>
        <v xml:space="preserve"> </v>
      </c>
      <c r="KK365" s="535" t="str">
        <f t="shared" si="1215"/>
        <v xml:space="preserve"> </v>
      </c>
      <c r="KL365" s="535" t="str">
        <f t="shared" si="1216"/>
        <v xml:space="preserve"> </v>
      </c>
      <c r="KM365" s="537" t="str">
        <f t="shared" si="1133"/>
        <v xml:space="preserve"> </v>
      </c>
      <c r="KN365" s="537" t="str">
        <f t="shared" si="1217"/>
        <v xml:space="preserve"> </v>
      </c>
      <c r="KP365">
        <f t="shared" si="1134"/>
        <v>0</v>
      </c>
      <c r="LA365" t="e">
        <f t="shared" si="1135"/>
        <v>#VALUE!</v>
      </c>
      <c r="LB365" t="e">
        <f t="shared" si="1136"/>
        <v>#VALUE!</v>
      </c>
      <c r="LC365" t="e">
        <f t="shared" si="1137"/>
        <v>#VALUE!</v>
      </c>
      <c r="LD365" t="e">
        <f t="shared" si="1138"/>
        <v>#VALUE!</v>
      </c>
      <c r="LE365" t="e">
        <f t="shared" si="1218"/>
        <v>#VALUE!</v>
      </c>
      <c r="LF365">
        <f t="shared" si="1139"/>
        <v>0</v>
      </c>
      <c r="LG365" t="e">
        <f t="shared" si="1219"/>
        <v>#VALUE!</v>
      </c>
      <c r="LH365" t="str">
        <f t="shared" si="1140"/>
        <v xml:space="preserve"> </v>
      </c>
      <c r="LI365">
        <f t="shared" si="1220"/>
        <v>1</v>
      </c>
    </row>
    <row r="366" spans="2:321" ht="15" customHeight="1">
      <c r="B366" s="311"/>
      <c r="C366" s="311"/>
      <c r="D366" s="312"/>
      <c r="E366" s="311"/>
      <c r="F366" s="312"/>
      <c r="G366" s="311"/>
      <c r="H366" s="311"/>
      <c r="I366" s="232"/>
      <c r="J366" s="311"/>
      <c r="K366" s="305" t="str">
        <f t="shared" si="1141"/>
        <v/>
      </c>
      <c r="L366" s="313"/>
      <c r="M366" s="312"/>
      <c r="N366" s="311"/>
      <c r="O366" s="312"/>
      <c r="P366" s="311"/>
      <c r="Q366" s="305" t="str">
        <f t="shared" si="1142"/>
        <v/>
      </c>
      <c r="R366" s="314"/>
      <c r="S366" s="450" t="str">
        <f t="shared" si="1025"/>
        <v/>
      </c>
      <c r="T366" s="315"/>
      <c r="U366" s="315"/>
      <c r="W366" s="149" t="str">
        <f t="shared" si="1026"/>
        <v xml:space="preserve"> </v>
      </c>
      <c r="X366" s="243" t="str">
        <f t="shared" si="1027"/>
        <v xml:space="preserve"> </v>
      </c>
      <c r="Y366" s="150" t="str">
        <f t="shared" si="1028"/>
        <v/>
      </c>
      <c r="Z366" s="149" t="str">
        <f t="shared" si="1029"/>
        <v xml:space="preserve"> </v>
      </c>
      <c r="AA366" s="98" t="str">
        <f t="shared" si="1030"/>
        <v xml:space="preserve"> </v>
      </c>
      <c r="AB366" s="153" t="str">
        <f t="shared" si="1031"/>
        <v xml:space="preserve"> </v>
      </c>
      <c r="AC366" s="153" t="str">
        <f t="shared" si="1032"/>
        <v xml:space="preserve"> </v>
      </c>
      <c r="AD366" s="148" t="str">
        <f t="shared" si="1033"/>
        <v/>
      </c>
      <c r="AE366" s="149" t="str">
        <f t="shared" si="1034"/>
        <v/>
      </c>
      <c r="AF366" s="151" t="str">
        <f t="shared" si="1035"/>
        <v xml:space="preserve"> </v>
      </c>
      <c r="AG366" s="153" t="str">
        <f t="shared" si="1036"/>
        <v xml:space="preserve"> </v>
      </c>
      <c r="AH366" s="98" t="str">
        <f t="shared" si="1037"/>
        <v xml:space="preserve"> </v>
      </c>
      <c r="AI366" s="149" t="str">
        <f t="shared" si="1038"/>
        <v xml:space="preserve"> </v>
      </c>
      <c r="AK366" s="144" t="str">
        <f t="shared" si="1039"/>
        <v xml:space="preserve"> </v>
      </c>
      <c r="AL366" s="144"/>
      <c r="AM366" s="243" t="str">
        <f t="shared" si="1040"/>
        <v xml:space="preserve"> </v>
      </c>
      <c r="AN366" s="149" t="str">
        <f t="shared" si="1143"/>
        <v xml:space="preserve"> </v>
      </c>
      <c r="AO366" s="144" t="str">
        <f>IF(JB366&gt;0,IF(GI366=10,-R366*1.085*(Calculation!$F$6-Calculation!$F$13)*$S$14," "),"")</f>
        <v/>
      </c>
      <c r="AP366" s="144" t="str">
        <f t="shared" si="1041"/>
        <v/>
      </c>
      <c r="AQ366" s="56" t="str">
        <f t="shared" si="1042"/>
        <v/>
      </c>
      <c r="AR366" s="144" t="str">
        <f t="shared" si="1043"/>
        <v/>
      </c>
      <c r="AS366" s="176" t="str">
        <f t="shared" si="1044"/>
        <v/>
      </c>
      <c r="AT366" s="176" t="str">
        <f t="shared" si="1144"/>
        <v xml:space="preserve"> </v>
      </c>
      <c r="AU366" s="176" t="str">
        <f t="shared" si="1045"/>
        <v/>
      </c>
      <c r="AV366" s="177" t="str">
        <f t="shared" si="1046"/>
        <v xml:space="preserve"> </v>
      </c>
      <c r="AW366" s="144" t="str">
        <f t="shared" si="1047"/>
        <v xml:space="preserve"> </v>
      </c>
      <c r="AX366" s="144" t="str">
        <f t="shared" si="1048"/>
        <v xml:space="preserve"> </v>
      </c>
      <c r="AY366" s="152" t="str">
        <f t="shared" si="1049"/>
        <v xml:space="preserve"> </v>
      </c>
      <c r="AZ366" s="246" t="str">
        <f t="shared" si="1050"/>
        <v/>
      </c>
      <c r="BA366" s="176" t="str">
        <f t="shared" si="1051"/>
        <v xml:space="preserve"> </v>
      </c>
      <c r="BB366" s="176" t="str">
        <f t="shared" si="1052"/>
        <v xml:space="preserve"> </v>
      </c>
      <c r="BC366" s="195"/>
      <c r="BD366" s="316"/>
      <c r="BE366" s="317"/>
      <c r="BF366" s="318"/>
      <c r="BG366" s="318"/>
      <c r="BH366" s="144" t="str">
        <f t="shared" si="1221"/>
        <v xml:space="preserve"> </v>
      </c>
      <c r="BI366" s="176" t="str">
        <f t="shared" si="1053"/>
        <v/>
      </c>
      <c r="BJ366" s="144" t="str">
        <f t="shared" si="1222"/>
        <v/>
      </c>
      <c r="BK366" s="246" t="str">
        <f t="shared" si="1054"/>
        <v/>
      </c>
      <c r="BL366" s="144" t="str">
        <f t="shared" si="1223"/>
        <v/>
      </c>
      <c r="BM366" s="246" t="str">
        <f t="shared" si="1055"/>
        <v/>
      </c>
      <c r="BN366" s="337" t="str">
        <f t="shared" si="1145"/>
        <v/>
      </c>
      <c r="BO366" s="371" t="str">
        <f t="shared" si="1146"/>
        <v/>
      </c>
      <c r="BP366" s="328" t="str">
        <f t="shared" si="1224"/>
        <v xml:space="preserve"> </v>
      </c>
      <c r="BQ366" s="347" t="str">
        <f t="shared" si="1147"/>
        <v xml:space="preserve"> </v>
      </c>
      <c r="BR366" s="353" t="str">
        <f t="shared" si="1148"/>
        <v xml:space="preserve"> </v>
      </c>
      <c r="BS366" s="626" t="str">
        <f>IF(L366&gt;0,IF(Calculation!P366="M13",BR366*3.1416*(0.134^2)/(4*144),IF(Calculation!P366="M17",BR366*3.1416*(0.165^2)/(4*144),IF(Calculation!P366="M20",BR366*3.1416*(0.198^2)/(4*144),IF(Calculation!P366="M23",BR366*3.1416*(0.228^2)/(4*144),IF(Calculation!P366="M27",BR366*3.1416*(0.269^2)/(4*144),BR366*3.1416*(0.307^2)/(4*144))))))," ")</f>
        <v xml:space="preserve"> </v>
      </c>
      <c r="BT366" s="353" t="str">
        <f>IF(L366&gt;0,IF(BS366&gt;0,R366/Calculation!BS366,0)," ")</f>
        <v xml:space="preserve"> </v>
      </c>
      <c r="BU366" s="438" t="e">
        <f t="shared" ca="1" si="1056"/>
        <v>#VALUE!</v>
      </c>
      <c r="BV366" s="449" t="e">
        <f ca="1">INDEX(INDIRECT(VLOOKUP(LEFT(BO366,7),CLU!$Z$3:$AH$18,2)),GN366,GR366)</f>
        <v>#N/A</v>
      </c>
      <c r="BW366" s="433" t="e">
        <f ca="1">INDEX(INDIRECT(VLOOKUP(LEFT(BO366,7),CLU!$Z$3:$AH$18,3)),GN366,GR366)</f>
        <v>#N/A</v>
      </c>
      <c r="BX366" s="433" t="e">
        <f ca="1">INDEX(INDIRECT(VLOOKUP(LEFT(BO366,7),CLU!$Z$3:$AH$18,4)),GN366,GR366)</f>
        <v>#N/A</v>
      </c>
      <c r="BY366" s="433" t="e">
        <f ca="1">INDEX(INDIRECT(VLOOKUP(LEFT(BO366,7),CLU!$Z$3:$AH$18,9)),((M366-2)*(6-COUNTBLANK(GT366:GY366)))+GJ366)</f>
        <v>#N/A</v>
      </c>
      <c r="BZ366" s="426" t="e">
        <f t="shared" ca="1" si="1149"/>
        <v>#N/A</v>
      </c>
      <c r="CA366" s="424" t="e">
        <f t="shared" ca="1" si="1150"/>
        <v>#N/A</v>
      </c>
      <c r="CB366" s="429" t="e">
        <f ca="1">INDEX(INDIRECT(VLOOKUP(LEFT(BO366,7),CLU!$Z$3:$AH$18,2)),GN366,GS366)</f>
        <v>#N/A</v>
      </c>
      <c r="CC366" s="342" t="e">
        <f ca="1">INDEX(INDIRECT(VLOOKUP(LEFT(BO366,7),CLU!$Z$3:$AH$18,3)),GN366,GS366)</f>
        <v>#N/A</v>
      </c>
      <c r="CD366" s="342" t="e">
        <f ca="1">INDEX(INDIRECT(VLOOKUP(LEFT(BO366,7),CLU!$Z$3:$AH$18,4)),GN366,GS366)</f>
        <v>#N/A</v>
      </c>
      <c r="CE366" s="426" t="e">
        <f t="shared" ca="1" si="1151"/>
        <v>#N/A</v>
      </c>
      <c r="CF366" s="440">
        <f t="shared" si="1152"/>
        <v>0</v>
      </c>
      <c r="CG366" s="431" t="e">
        <f ca="1">INDEX(INDIRECT(VLOOKUP(LEFT(BO366,7),CLU!$Z$3:$AH$18,2)),GQ366,GR366)</f>
        <v>#N/A</v>
      </c>
      <c r="CH366" s="431" t="e">
        <f ca="1">INDEX(INDIRECT(VLOOKUP(LEFT(BO366,7),CLU!$Z$3:$AH$18,3)),GQ366,GR366)</f>
        <v>#N/A</v>
      </c>
      <c r="CI366" s="431" t="e">
        <f ca="1">INDEX(INDIRECT(VLOOKUP(LEFT(BO366,7),CLU!$Z$3:$AH$18,4)),GQ366,GR366)</f>
        <v>#N/A</v>
      </c>
      <c r="CJ366" s="448" t="e">
        <f t="shared" ca="1" si="1153"/>
        <v>#N/A</v>
      </c>
      <c r="CK366" s="431" t="e">
        <f t="shared" ca="1" si="1154"/>
        <v>#N/A</v>
      </c>
      <c r="CL366" s="440" t="e">
        <f t="shared" ca="1" si="1155"/>
        <v>#N/A</v>
      </c>
      <c r="CM366" s="431" t="e">
        <f ca="1">INDEX(INDIRECT(VLOOKUP(LEFT(BO366,7),CLU!$Z$3:$AH$18,2)),GQ366,GS366)</f>
        <v>#N/A</v>
      </c>
      <c r="CN366" s="431" t="e">
        <f ca="1">INDEX(INDIRECT(VLOOKUP(LEFT(BO366,7),CLU!$Z$3:$AH$18,3)),GQ366,GS366)</f>
        <v>#N/A</v>
      </c>
      <c r="CO366" s="431" t="e">
        <f ca="1">INDEX(INDIRECT(VLOOKUP(LEFT(BO366,7),CLU!$Z$3:$AH$18,4)),GQ366,GS366)</f>
        <v>#N/A</v>
      </c>
      <c r="CP366" s="431" t="e">
        <f t="shared" ca="1" si="1156"/>
        <v>#N/A</v>
      </c>
      <c r="CQ366" s="440">
        <f t="shared" si="1157"/>
        <v>0</v>
      </c>
      <c r="CR366" s="51" t="e">
        <f t="shared" ca="1" si="1158"/>
        <v>#N/A</v>
      </c>
      <c r="CS366" s="439" t="e">
        <f t="shared" ca="1" si="1159"/>
        <v>#VALUE!</v>
      </c>
      <c r="CT366" s="51" t="e">
        <f t="shared" ca="1" si="1160"/>
        <v>#VALUE!</v>
      </c>
      <c r="CU366" s="10"/>
      <c r="CV366" s="51" t="e">
        <f t="shared" ca="1" si="1057"/>
        <v>#VALUE!</v>
      </c>
      <c r="CW366" s="51">
        <f t="shared" si="1161"/>
        <v>0</v>
      </c>
      <c r="CX366" s="439" t="e">
        <f t="shared" ca="1" si="1162"/>
        <v>#VALUE!</v>
      </c>
      <c r="CY366" s="51" t="e">
        <f t="shared" ca="1" si="1163"/>
        <v>#VALUE!</v>
      </c>
      <c r="CZ366" s="10"/>
      <c r="DA366" s="51" t="e">
        <f t="shared" ca="1" si="1164"/>
        <v>#VALUE!</v>
      </c>
      <c r="DB366" s="347" t="e">
        <f ca="1">INDEX(INDIRECT(VLOOKUP(LEFT(BO366,7),CLU!$Z$3:$AI$18,10)),((M366-2)*(6-COUNTBLANK(GT366:GY366)))+GJ366)*LI366</f>
        <v>#N/A</v>
      </c>
      <c r="DC366" s="347" t="str">
        <f>IF(L366&gt;0,((R366/Worksheet!$I$15)/DB366)^2," ")</f>
        <v xml:space="preserve"> </v>
      </c>
      <c r="DD366" s="602" t="str">
        <f t="shared" si="1165"/>
        <v xml:space="preserve"> </v>
      </c>
      <c r="DE366" s="347" t="str">
        <f t="shared" si="1058"/>
        <v xml:space="preserve"> </v>
      </c>
      <c r="DF366" s="356" t="e">
        <f ca="1">INDEX(INDIRECT(VLOOKUP(LEFT(BO366,7),CLU!$Z$3:$AH$18,8)),((M366-2)*(6-COUNTBLANK(GT366:GY366)))+GJ366)</f>
        <v>#N/A</v>
      </c>
      <c r="DG366" s="347" t="str">
        <f t="shared" si="1059"/>
        <v xml:space="preserve"> </v>
      </c>
      <c r="DH366" s="357" t="str">
        <f t="shared" si="1060"/>
        <v xml:space="preserve"> </v>
      </c>
      <c r="DI366" s="355" t="str">
        <f t="shared" si="1061"/>
        <v xml:space="preserve"> </v>
      </c>
      <c r="DJ366" s="245" t="e">
        <f ca="1">INDEX(INDIRECT(VLOOKUP(LEFT(BO366,7),CLU!$Z$3:$AH$18,5)),GL366,GK366)</f>
        <v>#N/A</v>
      </c>
      <c r="DK366" s="245" t="e">
        <f ca="1">INDEX(INDIRECT(VLOOKUP(LEFT(BO366,7),CLU!$Z$3:$AH$18,6)),GL366,GK366)</f>
        <v>#N/A</v>
      </c>
      <c r="DL366" s="355">
        <f>(Calculation!R366*0.69143*(Calculation!$BQ$8-Calculation!$F$8))*$S$14</f>
        <v>0</v>
      </c>
      <c r="DM366" s="359" t="e">
        <f t="shared" si="1166"/>
        <v>#VALUE!</v>
      </c>
      <c r="DN366" s="611">
        <f t="shared" si="1167"/>
        <v>0</v>
      </c>
      <c r="DO366" s="359">
        <f t="shared" si="1168"/>
        <v>100</v>
      </c>
      <c r="DP366" s="359">
        <f t="shared" si="1169"/>
        <v>0</v>
      </c>
      <c r="DQ366" s="360"/>
      <c r="DR366" s="245" t="e">
        <f ca="1">INDEX(INDIRECT(VLOOKUP(LEFT(BO366,7),CLU!$Z$3:$AH$18,7)),M366-1,1)</f>
        <v>#N/A</v>
      </c>
      <c r="DS366" s="245" t="e">
        <f ca="1">INDEX(INDIRECT(VLOOKUP(LEFT(BO366,7),CLU!$Z$3:$AH$18,7)),M366-1,2)</f>
        <v>#N/A</v>
      </c>
      <c r="DT366" s="245" t="e">
        <f ca="1">INDEX(INDIRECT(VLOOKUP(LEFT(BO366,7),CLU!$Z$3:$AH$18,7)),M366-1,3)</f>
        <v>#N/A</v>
      </c>
      <c r="DU366" s="245" t="e">
        <f ca="1">INDEX(INDIRECT(VLOOKUP(LEFT(BO366,7),CLU!$Z$3:$AH$18,7)),M366-1,4)</f>
        <v>#N/A</v>
      </c>
      <c r="DV366" s="361" t="e">
        <f ca="1">INDEX(INDIRECT(VLOOKUP(LEFT(BO366,7),CLU!$Z$3:$AH$18,7)),M366-1,4+LEFT(DZ366,1)*0.5)</f>
        <v>#N/A</v>
      </c>
      <c r="DW366" s="245" t="e">
        <f ca="1">INDEX(INDIRECT(VLOOKUP(LEFT(BO366,7),CLU!$Z$3:$AH$18,7)),M366-1,8)</f>
        <v>#N/A</v>
      </c>
      <c r="DX366" s="361" t="str">
        <f t="shared" si="1062"/>
        <v xml:space="preserve"> </v>
      </c>
      <c r="DY366" s="361" t="str">
        <f t="shared" si="1063"/>
        <v xml:space="preserve"> </v>
      </c>
      <c r="DZ366" s="361" t="str">
        <f t="shared" si="1064"/>
        <v xml:space="preserve"> </v>
      </c>
      <c r="EA366" s="362" t="str">
        <f t="shared" si="1065"/>
        <v xml:space="preserve"> </v>
      </c>
      <c r="EB366" s="624" t="str">
        <f t="shared" si="1170"/>
        <v xml:space="preserve"> </v>
      </c>
      <c r="EC366" s="361" t="e">
        <f ca="1">INDEX(INDIRECT(VLOOKUP(LEFT(BO366,7),CLU!$Z$3:$AH$18,7)),M366-1,4+LEFT(DZ366,1)*0.5)</f>
        <v>#N/A</v>
      </c>
      <c r="ED366" s="362" t="str">
        <f t="shared" si="1066"/>
        <v xml:space="preserve"> </v>
      </c>
      <c r="EE366" s="361" t="str">
        <f t="shared" si="1067"/>
        <v xml:space="preserve"> </v>
      </c>
      <c r="EF366" s="362" t="str">
        <f>IF(L366&gt;0,IF(BR366&gt;0,IF(EE366="2P",IF(Calculation!DZ366="2P",IF(Calculation!DS366=13.75,IF(Calculation!DR366=13,Worksheet!$BD$43,IF(Calculation!DR366=37,Worksheet!$BD$44,Worksheet!$BD$45)),IF(Calculation!DS366=10,IF(Calculation!DR366=18,Worksheet!$BD$29,IF(Calculation!DR366=30,Worksheet!$BD$30,IF(Calculation!DR366=42,Worksheet!$BD$31,IF(Calculation!DR366=54,Worksheet!$BD$32,IF(Calculation!DR366=66,Worksheet!$BD$33,IF(Calculation!DR366=78,Worksheet!$BD$34,IF(Calculation!DR366=90,Worksheet!$BD$35,IF(Calculation!DR366=102,Worksheet!$BD$36,Worksheet!$BD$37)))))))),IF(Calculation!DS366=12.5,IF(Calculation!DR366=18,Worksheet!$BD$38,IF(Calculation!DR366=Worksheet!$BD$39,IF(Calculation!DR366=42,Worksheet!$BD$40,IF(Calculation!DR366=54,Worksheet!$BD$41,Worksheet!$BD$42)))),IF(Calculation!DR366=18,Worksheet!$BD$11,IF(Calculation!DR366=30,Worksheet!$BD$12,IF(Calculation!DR366=42,Worksheet!$BD$13,IF(Calculation!DR366=54,Worksheet!$BD$14,IF(Calculation!DR366=66,Worksheet!$BD$15,IF(Calculation!DR366=78,Worksheet!$BD$16,IF(Calculation!DR366=90,Worksheet!$BD$17,IF(Calculation!DR366=102,Worksheet!$BD$18,Worksheet!$BD$19))))))))))),IF(Calculation!DS366=13.75,IF(Calculation!DR366=13,Worksheet!$BD$78,IF(Calculation!DR366=37,Worksheet!$BD$79,Worksheet!$BD$80)),IF(Calculation!DS366=10,IF(Calculation!DR366=18,Worksheet!$BD$64,IF(Calculation!DR366=30,Worksheet!$BD$65,IF(Calculation!DR366=42,Worksheet!$BD$66,IF(Calculation!DR366=54,Worksheet!$BD$68,IF(Calculation!DR366=66,Worksheet!$BD$68,IF(Calculation!DR366=78,Worksheet!$BD$69,IF(Calculation!DR366=90,Worksheet!$BD$70,IF(Calculation!DR366=102,Worksheet!$BD$71,Worksheet!$BD$72)))))))),IF(Calculation!DS366=12.5,IF(Calculation!DR366=18,Worksheet!$BD$73,IF(Calculation!DR366=Worksheet!$BD$74,IF(Calculation!DR366=42,Worksheet!$BD$75,IF(Calculation!DR366=54,Worksheet!$BD$76,Worksheet!$BD$77)))),IF(Calculation!DR366=18,Worksheet!$BD$55,IF(Calculation!DR366=30,Worksheet!$BD$56,IF(Calculation!DR366=42,Worksheet!$BD$57,IF(Calculation!DR366=54,Worksheet!$BD$58,IF(Calculation!DR366=66,Worksheet!$BD$59,IF(Calculation!DR366=78,Worksheet!$BD$60,IF(Calculation!DR366=90,Worksheet!$BD$61,IF(Calculation!DR366=102,Worksheet!$BD$62,Worksheet!$BD$63)))))))))))),5),0)," ")</f>
        <v xml:space="preserve"> </v>
      </c>
      <c r="EG366" s="361" t="str">
        <f t="shared" si="1068"/>
        <v xml:space="preserve"> </v>
      </c>
      <c r="EH366" s="361" t="e">
        <f ca="1">INDEX(INDIRECT(VLOOKUP(LEFT(BO366,7),CLU!$Z$3:$AH$18,7)),M366-1,3+LEFT(DZ366,1))</f>
        <v>#N/A</v>
      </c>
      <c r="EI366" s="362" t="str">
        <f t="shared" si="1069"/>
        <v xml:space="preserve"> </v>
      </c>
      <c r="EJ366" s="363" t="str">
        <f t="shared" si="1070"/>
        <v xml:space="preserve"> </v>
      </c>
      <c r="EK366" s="363" t="str">
        <f t="shared" si="1071"/>
        <v xml:space="preserve"> </v>
      </c>
      <c r="EL366" s="363" t="str">
        <f t="shared" si="1072"/>
        <v xml:space="preserve"> </v>
      </c>
      <c r="EM366" s="362" t="str">
        <f>IF(L366&gt;0,IF(BR366&gt;0,(Calculation!T366/ED366)^2,0)," ")</f>
        <v xml:space="preserve"> </v>
      </c>
      <c r="EN366" s="362" t="str">
        <f>IF(L366&gt;0,IF(O366="2 Pipe (Cooling)","N/A",IF(BR366&gt;0,(Calculation!U366/EI366)^2,0))," ")</f>
        <v xml:space="preserve"> </v>
      </c>
      <c r="EO366" s="361" t="str">
        <f t="shared" si="1073"/>
        <v/>
      </c>
      <c r="EP366" s="361" t="str">
        <f t="shared" si="1074"/>
        <v/>
      </c>
      <c r="EQ366" s="361" t="str">
        <f t="shared" si="1075"/>
        <v/>
      </c>
      <c r="ER366" s="361" t="str">
        <f t="shared" si="1076"/>
        <v/>
      </c>
      <c r="ES366" s="361" t="str">
        <f t="shared" si="1077"/>
        <v/>
      </c>
      <c r="ET366" s="361" t="str">
        <f t="shared" si="1078"/>
        <v/>
      </c>
      <c r="EU366" s="361" t="str">
        <f t="shared" si="1079"/>
        <v/>
      </c>
      <c r="EV366" s="361" t="str">
        <f t="shared" si="1080"/>
        <v/>
      </c>
      <c r="EW366" s="361" t="str">
        <f t="shared" si="1081"/>
        <v/>
      </c>
      <c r="EX366" s="361" t="str">
        <f t="shared" si="1171"/>
        <v>1 slot, 1 way</v>
      </c>
      <c r="EY366" s="361" t="str">
        <f t="shared" si="1172"/>
        <v xml:space="preserve"> </v>
      </c>
      <c r="EZ366" s="361" t="str">
        <f t="shared" si="1173"/>
        <v xml:space="preserve"> </v>
      </c>
      <c r="FA366" s="361" t="str">
        <f t="shared" si="1174"/>
        <v xml:space="preserve"> </v>
      </c>
      <c r="FB366" s="361" t="str">
        <f t="shared" si="1175"/>
        <v xml:space="preserve"> </v>
      </c>
      <c r="FC366" s="361"/>
      <c r="FD366" s="361" t="str">
        <f>IF(J366&gt;0,IF(Calculation!R366&lt;=70,4,IF(Calculation!R366&lt;=110,5,IF(Calculation!R366&lt;=160,6,IF(Calculation!R366&lt;=300,8,"10 EO")))),"")</f>
        <v/>
      </c>
      <c r="FE366" s="361" t="str">
        <f t="shared" si="1176"/>
        <v/>
      </c>
      <c r="FF366" s="361" t="str">
        <f t="shared" si="1177"/>
        <v/>
      </c>
      <c r="FG366" s="361" t="e">
        <f t="shared" si="1082"/>
        <v>#N/A</v>
      </c>
      <c r="FH366" s="361">
        <f t="shared" si="1083"/>
        <v>0</v>
      </c>
      <c r="FI366" s="361" t="e">
        <f t="shared" si="1084"/>
        <v>#DIV/0!</v>
      </c>
      <c r="FJ366" s="361"/>
      <c r="FK366" s="356" t="e">
        <f t="shared" si="1085"/>
        <v>#VALUE!</v>
      </c>
      <c r="FL366" s="361"/>
      <c r="FM366" s="361"/>
      <c r="FN366" s="362" t="str">
        <f t="shared" si="1178"/>
        <v xml:space="preserve"> </v>
      </c>
      <c r="FO366" s="362" t="str">
        <f t="shared" si="1179"/>
        <v xml:space="preserve"> </v>
      </c>
      <c r="FP366" s="362">
        <f t="shared" si="1180"/>
        <v>0</v>
      </c>
      <c r="FQ366" s="361">
        <f t="shared" si="1086"/>
        <v>0</v>
      </c>
      <c r="FR366" s="362" t="str">
        <f>IF(L366&gt;0,IF(J366="CBAL2",Worksheet!$P$67,IF(J366="CBE2-24",Worksheet!$Q$67,IF(J366="CBAM",Worksheet!$R$67,IF(J366="CBLV",Worksheet!$S$67,IF(J366="CBAB",Worksheet!$U$67,IF(J366="CBAW",Worksheet!$X$67,IF(J366="CBE2-12",Worksheet!$Y$67,IF(J366="CBAL2",Worksheet!$Z$67,"N/A"))))))))," ")</f>
        <v xml:space="preserve"> </v>
      </c>
      <c r="FS366" s="362" t="str">
        <f>IF(L366&gt;0,IF(J366="CBAL2",Worksheet!$P$68,IF(J366="CBE2-24",Worksheet!$Q$68,IF(J366="CBAM",Worksheet!$R$68,IF(J366="CBLV",Worksheet!$S$68,IF(J366="CBAB",Worksheet!$U$68,IF(J366="CBAW",Worksheet!$X$68,IF(J366="CBE2-12",Worksheet!$Y$68,IF(J366="CBAL2",Worksheet!$Z$68,"N/A"))))))))," ")</f>
        <v xml:space="preserve"> </v>
      </c>
      <c r="FT366" s="362" t="str">
        <f>IF(L366&gt;0,IF(J366="CBAL2",Worksheet!$P$69,IF(J366="CBE2-24",Worksheet!$Q$69,IF(J366="CBAM",Worksheet!$R$69,IF(J366="CBLV",Worksheet!$S$69,IF(J366="CBAB",Worksheet!$U$69,IF(J366="CBAW",Worksheet!$X$69,IF(J366="CBE2-12",Worksheet!$Y$69,IF(J366="CBAL2",Worksheet!$Z$69,"N/A"))))))))," ")</f>
        <v xml:space="preserve"> </v>
      </c>
      <c r="FU366" s="361" t="str">
        <f t="shared" si="1181"/>
        <v xml:space="preserve"> </v>
      </c>
      <c r="FV366" s="362" t="str">
        <f t="shared" si="1182"/>
        <v xml:space="preserve"> </v>
      </c>
      <c r="FW366" s="362" t="str">
        <f t="shared" si="1183"/>
        <v xml:space="preserve"> </v>
      </c>
      <c r="FX366" s="362" t="str">
        <f t="shared" si="1184"/>
        <v xml:space="preserve"> </v>
      </c>
      <c r="FY366" s="355" t="str">
        <f t="shared" si="1185"/>
        <v xml:space="preserve"> </v>
      </c>
      <c r="FZ366" s="361" t="str">
        <f t="shared" si="1186"/>
        <v xml:space="preserve"> </v>
      </c>
      <c r="GA366" s="347" t="str">
        <f t="shared" si="1187"/>
        <v xml:space="preserve"> </v>
      </c>
      <c r="GB366" s="355" t="str">
        <f t="shared" si="1188"/>
        <v xml:space="preserve"> </v>
      </c>
      <c r="GC366" s="328" t="str">
        <f t="shared" si="1189"/>
        <v xml:space="preserve"> </v>
      </c>
      <c r="GD366" s="361" t="str">
        <f t="shared" si="1190"/>
        <v xml:space="preserve"> </v>
      </c>
      <c r="GE366" s="347" t="str">
        <f t="shared" si="1191"/>
        <v xml:space="preserve"> </v>
      </c>
      <c r="GF366" s="361" t="str">
        <f t="shared" si="1192"/>
        <v xml:space="preserve"> </v>
      </c>
      <c r="GG366" s="347" t="str">
        <f t="shared" si="1193"/>
        <v xml:space="preserve"> </v>
      </c>
      <c r="GH366" s="364">
        <f t="shared" si="1087"/>
        <v>0</v>
      </c>
      <c r="GI366" s="362">
        <f t="shared" si="1194"/>
        <v>2</v>
      </c>
      <c r="GJ366" s="433" t="e">
        <f>IF(6-COUNTBLANK(GT366:GY366)=4,MATCH(MID(BO366,9,3),CLU!$H$16:$K$16),MATCH(MID(BO366,9,3),CLU!$H$13:$M$13))</f>
        <v>#N/A</v>
      </c>
      <c r="GK366" s="433" t="e">
        <f>HLOOKUP(VALUE(BP366),CLU!$H$9:$M$10,2)</f>
        <v>#VALUE!</v>
      </c>
      <c r="GL366" s="433" t="e">
        <f ca="1">MATCH(BU366,CLU!$H$2:$V$2,1)</f>
        <v>#VALUE!</v>
      </c>
      <c r="GM366" s="433" t="e">
        <f t="shared" ca="1" si="1195"/>
        <v>#VALUE!</v>
      </c>
      <c r="GN366" s="433" t="e">
        <f t="shared" ca="1" si="1196"/>
        <v>#VALUE!</v>
      </c>
      <c r="GO366" s="433" t="e">
        <f t="shared" ca="1" si="1197"/>
        <v>#VALUE!</v>
      </c>
      <c r="GP366" s="433" t="e">
        <f t="shared" ca="1" si="1198"/>
        <v>#VALUE!</v>
      </c>
      <c r="GQ366" s="433" t="e">
        <f t="shared" ca="1" si="1199"/>
        <v>#VALUE!</v>
      </c>
      <c r="GR366" s="433" t="e">
        <f ca="1">MATCH(T366,INDIRECT(VLOOKUP(CONCATENATE(LEFT(BO366,7),"-",MID(BO366,13,1)),CLU!$P$3:$Q$16,2)),1)</f>
        <v>#N/A</v>
      </c>
      <c r="GS366" s="433" t="e">
        <f ca="1">MATCH(U366,INDIRECT(VLOOKUP(CONCATENATE(LEFT(BO366,7),"-",MID(BO366,13,1)),CLU!$P$3:$Q$16,2)),1)</f>
        <v>#N/A</v>
      </c>
      <c r="GT366" s="347" t="s">
        <v>512</v>
      </c>
      <c r="GU366" s="97" t="s">
        <v>513</v>
      </c>
      <c r="GV366" s="97" t="str">
        <f t="shared" si="1200"/>
        <v>M23</v>
      </c>
      <c r="GW366" s="97" t="str">
        <f t="shared" si="1201"/>
        <v>M31</v>
      </c>
      <c r="GX366" s="97" t="str">
        <f t="shared" si="1202"/>
        <v/>
      </c>
      <c r="GY366" s="97" t="str">
        <f t="shared" si="1203"/>
        <v/>
      </c>
      <c r="GZ366" s="481"/>
      <c r="HA366" s="240"/>
      <c r="HB366" s="240"/>
      <c r="HC366" s="240"/>
      <c r="HD366" s="240"/>
      <c r="HE366" s="240"/>
      <c r="HF366" s="240"/>
      <c r="HG366" s="240"/>
      <c r="HH366" s="240"/>
      <c r="HI366" s="240"/>
      <c r="HJ366" s="240"/>
      <c r="HK366" s="240"/>
      <c r="HL366" s="240"/>
      <c r="HM366" s="240"/>
      <c r="HN366" s="240"/>
      <c r="HO366" s="240"/>
      <c r="HP366" s="240"/>
      <c r="HQ366" s="240"/>
      <c r="HR366" s="240"/>
      <c r="HS366" s="240"/>
      <c r="HT366" s="240"/>
      <c r="HU366" s="240"/>
      <c r="HV366" s="245"/>
      <c r="HW366" s="245" t="b">
        <v>1</v>
      </c>
      <c r="HX366" s="245" t="str">
        <f t="shared" si="1088"/>
        <v/>
      </c>
      <c r="HY366" s="245" t="e">
        <f t="shared" si="1089"/>
        <v>#DIV/0!</v>
      </c>
      <c r="HZ366" s="245" t="e">
        <f t="shared" si="1090"/>
        <v>#DIV/0!</v>
      </c>
      <c r="IA366" s="245">
        <f t="shared" si="1091"/>
        <v>0</v>
      </c>
      <c r="IB366" s="245"/>
      <c r="IC366" t="b">
        <f t="shared" si="1092"/>
        <v>1</v>
      </c>
      <c r="ID366" s="245" t="b">
        <f t="shared" si="1093"/>
        <v>1</v>
      </c>
      <c r="IE366" s="245" t="b">
        <f t="shared" si="1094"/>
        <v>1</v>
      </c>
      <c r="IF366" s="245" t="b">
        <f t="shared" si="1095"/>
        <v>0</v>
      </c>
      <c r="IG366" s="245" t="b">
        <f t="shared" si="1096"/>
        <v>1</v>
      </c>
      <c r="IH366" s="245" t="b">
        <f t="shared" si="1097"/>
        <v>1</v>
      </c>
      <c r="II366" s="245">
        <f t="shared" si="1204"/>
        <v>0</v>
      </c>
      <c r="IJ366" s="245" t="e">
        <f t="shared" si="1098"/>
        <v>#VALUE!</v>
      </c>
      <c r="IK366" s="245" t="e">
        <f t="shared" si="1099"/>
        <v>#VALUE!</v>
      </c>
      <c r="IL366" s="245"/>
      <c r="IM366" s="245" t="e">
        <f t="shared" si="1205"/>
        <v>#N/A</v>
      </c>
      <c r="IN366" s="245" t="e">
        <f t="shared" si="1206"/>
        <v>#N/A</v>
      </c>
      <c r="IO366" s="245"/>
      <c r="IP366" s="245"/>
      <c r="IQ366" s="245" t="str">
        <f t="shared" si="1100"/>
        <v/>
      </c>
      <c r="IR366" s="245" t="str">
        <f>IF(J366="","",VLOOKUP(J366,Worksheet!$R$4:$T$14,2))</f>
        <v/>
      </c>
      <c r="IS366" s="245"/>
      <c r="IT366" s="245">
        <f t="shared" si="1101"/>
        <v>0</v>
      </c>
      <c r="IU366" s="245">
        <f t="shared" si="1102"/>
        <v>0</v>
      </c>
      <c r="IV366" s="245">
        <f t="shared" si="1103"/>
        <v>0</v>
      </c>
      <c r="IW366" s="245">
        <f t="shared" si="1104"/>
        <v>0</v>
      </c>
      <c r="IX366" s="245">
        <f t="shared" si="1207"/>
        <v>0</v>
      </c>
      <c r="IY366" s="245">
        <f t="shared" si="1105"/>
        <v>0</v>
      </c>
      <c r="IZ366" s="245">
        <f t="shared" si="1106"/>
        <v>0</v>
      </c>
      <c r="JA366">
        <f t="shared" si="1107"/>
        <v>0</v>
      </c>
      <c r="JB366">
        <f t="shared" si="1208"/>
        <v>0</v>
      </c>
      <c r="JC366">
        <f t="shared" si="1108"/>
        <v>0</v>
      </c>
      <c r="JD366">
        <f t="shared" si="1109"/>
        <v>0</v>
      </c>
      <c r="JE366">
        <f t="shared" si="1110"/>
        <v>0</v>
      </c>
      <c r="JF366">
        <f t="shared" si="1111"/>
        <v>0</v>
      </c>
      <c r="JG366">
        <f t="shared" si="1112"/>
        <v>0</v>
      </c>
      <c r="JH366">
        <f t="shared" si="1113"/>
        <v>0</v>
      </c>
      <c r="JI366">
        <f t="shared" si="1114"/>
        <v>0</v>
      </c>
      <c r="JJ366" s="447">
        <f t="shared" si="1115"/>
        <v>0</v>
      </c>
      <c r="JK366" s="447">
        <f t="shared" si="1116"/>
        <v>0</v>
      </c>
      <c r="JL366">
        <f t="shared" si="1117"/>
        <v>0</v>
      </c>
      <c r="JM366" s="245" t="str">
        <f>IFERROR(VLOOKUP(MATCH(BN366,#REF!,0),#REF!,7),"")</f>
        <v/>
      </c>
      <c r="JN366" t="e">
        <f>HLOOKUP(LEFT(BO366,7),Discharge_Area,MATCH(JO366,LookUps!$B$130:$B$149,1)+2)</f>
        <v>#N/A</v>
      </c>
      <c r="JO366" t="str">
        <f t="shared" si="1118"/>
        <v>- S</v>
      </c>
      <c r="JP366" t="e">
        <f>HLOOKUP(LEFT(BO366,7),Discharge_Area,MATCH(JO366,LookUps!$B$130:$B$149,1)+2)</f>
        <v>#N/A</v>
      </c>
      <c r="JQ366" t="e">
        <f t="shared" si="1119"/>
        <v>#N/A</v>
      </c>
      <c r="JR366" t="e">
        <f t="shared" si="1120"/>
        <v>#N/A</v>
      </c>
      <c r="JS366" t="e">
        <f t="shared" si="1121"/>
        <v>#N/A</v>
      </c>
      <c r="JT366" s="532" t="str">
        <f t="shared" si="1122"/>
        <v xml:space="preserve"> </v>
      </c>
      <c r="JU366" s="532" t="str">
        <f t="shared" si="1123"/>
        <v xml:space="preserve"> </v>
      </c>
      <c r="JV366" s="533" t="str">
        <f t="shared" si="1124"/>
        <v xml:space="preserve"> </v>
      </c>
      <c r="JW366" s="534">
        <f t="shared" si="1125"/>
        <v>0</v>
      </c>
      <c r="JX366" s="535" t="str">
        <f t="shared" si="1209"/>
        <v xml:space="preserve"> </v>
      </c>
      <c r="JY366" s="535" t="str">
        <f t="shared" si="1210"/>
        <v xml:space="preserve"> </v>
      </c>
      <c r="JZ366" s="535" t="str">
        <f t="shared" si="1211"/>
        <v xml:space="preserve"> </v>
      </c>
      <c r="KA366" s="536" t="str">
        <f t="shared" si="1126"/>
        <v xml:space="preserve"> </v>
      </c>
      <c r="KB366" s="535" t="e">
        <f t="shared" si="1212"/>
        <v>#VALUE!</v>
      </c>
      <c r="KC366" s="535" t="str">
        <f t="shared" si="1127"/>
        <v/>
      </c>
      <c r="KD366" s="537" t="str">
        <f t="shared" si="1213"/>
        <v xml:space="preserve"> </v>
      </c>
      <c r="KE366" s="537" t="str">
        <f t="shared" si="1214"/>
        <v xml:space="preserve"> </v>
      </c>
      <c r="KF366" s="534">
        <f t="shared" si="1128"/>
        <v>0</v>
      </c>
      <c r="KG366" s="535" t="str">
        <f t="shared" si="1129"/>
        <v xml:space="preserve"> </v>
      </c>
      <c r="KH366" s="535" t="str">
        <f t="shared" si="1130"/>
        <v xml:space="preserve"> </v>
      </c>
      <c r="KI366" s="535" t="str">
        <f t="shared" si="1131"/>
        <v xml:space="preserve"> </v>
      </c>
      <c r="KJ366" s="536" t="str">
        <f t="shared" si="1132"/>
        <v xml:space="preserve"> </v>
      </c>
      <c r="KK366" s="535" t="str">
        <f t="shared" si="1215"/>
        <v xml:space="preserve"> </v>
      </c>
      <c r="KL366" s="535" t="str">
        <f t="shared" si="1216"/>
        <v xml:space="preserve"> </v>
      </c>
      <c r="KM366" s="537" t="str">
        <f t="shared" si="1133"/>
        <v xml:space="preserve"> </v>
      </c>
      <c r="KN366" s="537" t="str">
        <f t="shared" si="1217"/>
        <v xml:space="preserve"> </v>
      </c>
      <c r="KP366">
        <f t="shared" si="1134"/>
        <v>0</v>
      </c>
      <c r="LA366" t="e">
        <f t="shared" si="1135"/>
        <v>#VALUE!</v>
      </c>
      <c r="LB366" t="e">
        <f t="shared" si="1136"/>
        <v>#VALUE!</v>
      </c>
      <c r="LC366" t="e">
        <f t="shared" si="1137"/>
        <v>#VALUE!</v>
      </c>
      <c r="LD366" t="e">
        <f t="shared" si="1138"/>
        <v>#VALUE!</v>
      </c>
      <c r="LE366" t="e">
        <f t="shared" si="1218"/>
        <v>#VALUE!</v>
      </c>
      <c r="LF366">
        <f t="shared" si="1139"/>
        <v>0</v>
      </c>
      <c r="LG366" t="e">
        <f t="shared" si="1219"/>
        <v>#VALUE!</v>
      </c>
      <c r="LH366" t="str">
        <f t="shared" si="1140"/>
        <v xml:space="preserve"> </v>
      </c>
      <c r="LI366">
        <f t="shared" si="1220"/>
        <v>1</v>
      </c>
    </row>
    <row r="367" spans="2:321" ht="15" customHeight="1">
      <c r="B367" s="311"/>
      <c r="C367" s="311"/>
      <c r="D367" s="312"/>
      <c r="E367" s="311"/>
      <c r="F367" s="312"/>
      <c r="G367" s="311"/>
      <c r="H367" s="311"/>
      <c r="I367" s="232"/>
      <c r="J367" s="311"/>
      <c r="K367" s="305" t="str">
        <f t="shared" si="1141"/>
        <v/>
      </c>
      <c r="L367" s="313"/>
      <c r="M367" s="312"/>
      <c r="N367" s="311"/>
      <c r="O367" s="312"/>
      <c r="P367" s="311"/>
      <c r="Q367" s="305" t="str">
        <f t="shared" si="1142"/>
        <v/>
      </c>
      <c r="R367" s="314"/>
      <c r="S367" s="450" t="str">
        <f t="shared" si="1025"/>
        <v/>
      </c>
      <c r="T367" s="315"/>
      <c r="U367" s="315"/>
      <c r="W367" s="149" t="str">
        <f t="shared" si="1026"/>
        <v xml:space="preserve"> </v>
      </c>
      <c r="X367" s="243" t="str">
        <f t="shared" si="1027"/>
        <v xml:space="preserve"> </v>
      </c>
      <c r="Y367" s="150" t="str">
        <f t="shared" si="1028"/>
        <v/>
      </c>
      <c r="Z367" s="149" t="str">
        <f t="shared" si="1029"/>
        <v xml:space="preserve"> </v>
      </c>
      <c r="AA367" s="98" t="str">
        <f t="shared" si="1030"/>
        <v xml:space="preserve"> </v>
      </c>
      <c r="AB367" s="153" t="str">
        <f t="shared" si="1031"/>
        <v xml:space="preserve"> </v>
      </c>
      <c r="AC367" s="153" t="str">
        <f t="shared" si="1032"/>
        <v xml:space="preserve"> </v>
      </c>
      <c r="AD367" s="148" t="str">
        <f t="shared" si="1033"/>
        <v/>
      </c>
      <c r="AE367" s="149" t="str">
        <f t="shared" si="1034"/>
        <v/>
      </c>
      <c r="AF367" s="151" t="str">
        <f t="shared" si="1035"/>
        <v xml:space="preserve"> </v>
      </c>
      <c r="AG367" s="153" t="str">
        <f t="shared" si="1036"/>
        <v xml:space="preserve"> </v>
      </c>
      <c r="AH367" s="98" t="str">
        <f t="shared" si="1037"/>
        <v xml:space="preserve"> </v>
      </c>
      <c r="AI367" s="149" t="str">
        <f t="shared" si="1038"/>
        <v xml:space="preserve"> </v>
      </c>
      <c r="AK367" s="144" t="str">
        <f t="shared" si="1039"/>
        <v xml:space="preserve"> </v>
      </c>
      <c r="AL367" s="144"/>
      <c r="AM367" s="243" t="str">
        <f t="shared" si="1040"/>
        <v xml:space="preserve"> </v>
      </c>
      <c r="AN367" s="149" t="str">
        <f t="shared" si="1143"/>
        <v xml:space="preserve"> </v>
      </c>
      <c r="AO367" s="144" t="str">
        <f>IF(JB367&gt;0,IF(GI367=10,-R367*1.085*(Calculation!$F$6-Calculation!$F$13)*$S$14," "),"")</f>
        <v/>
      </c>
      <c r="AP367" s="144" t="str">
        <f t="shared" si="1041"/>
        <v/>
      </c>
      <c r="AQ367" s="56" t="str">
        <f t="shared" si="1042"/>
        <v/>
      </c>
      <c r="AR367" s="144" t="str">
        <f t="shared" si="1043"/>
        <v/>
      </c>
      <c r="AS367" s="176" t="str">
        <f t="shared" si="1044"/>
        <v/>
      </c>
      <c r="AT367" s="176" t="str">
        <f t="shared" si="1144"/>
        <v xml:space="preserve"> </v>
      </c>
      <c r="AU367" s="176" t="str">
        <f t="shared" si="1045"/>
        <v/>
      </c>
      <c r="AV367" s="177" t="str">
        <f t="shared" si="1046"/>
        <v xml:space="preserve"> </v>
      </c>
      <c r="AW367" s="144" t="str">
        <f t="shared" si="1047"/>
        <v xml:space="preserve"> </v>
      </c>
      <c r="AX367" s="144" t="str">
        <f t="shared" si="1048"/>
        <v xml:space="preserve"> </v>
      </c>
      <c r="AY367" s="152" t="str">
        <f t="shared" si="1049"/>
        <v xml:space="preserve"> </v>
      </c>
      <c r="AZ367" s="246" t="str">
        <f t="shared" si="1050"/>
        <v/>
      </c>
      <c r="BA367" s="176" t="str">
        <f t="shared" si="1051"/>
        <v xml:space="preserve"> </v>
      </c>
      <c r="BB367" s="176" t="str">
        <f t="shared" si="1052"/>
        <v xml:space="preserve"> </v>
      </c>
      <c r="BC367" s="195"/>
      <c r="BD367" s="316"/>
      <c r="BE367" s="317"/>
      <c r="BF367" s="318"/>
      <c r="BG367" s="318"/>
      <c r="BH367" s="144" t="str">
        <f t="shared" si="1221"/>
        <v xml:space="preserve"> </v>
      </c>
      <c r="BI367" s="176" t="str">
        <f t="shared" si="1053"/>
        <v/>
      </c>
      <c r="BJ367" s="144" t="str">
        <f t="shared" si="1222"/>
        <v/>
      </c>
      <c r="BK367" s="246" t="str">
        <f t="shared" si="1054"/>
        <v/>
      </c>
      <c r="BL367" s="144" t="str">
        <f t="shared" si="1223"/>
        <v/>
      </c>
      <c r="BM367" s="246" t="str">
        <f t="shared" si="1055"/>
        <v/>
      </c>
      <c r="BN367" s="337" t="str">
        <f t="shared" si="1145"/>
        <v/>
      </c>
      <c r="BO367" s="371" t="str">
        <f t="shared" si="1146"/>
        <v/>
      </c>
      <c r="BP367" s="328" t="str">
        <f t="shared" si="1224"/>
        <v xml:space="preserve"> </v>
      </c>
      <c r="BQ367" s="347" t="str">
        <f t="shared" si="1147"/>
        <v xml:space="preserve"> </v>
      </c>
      <c r="BR367" s="353" t="str">
        <f t="shared" si="1148"/>
        <v xml:space="preserve"> </v>
      </c>
      <c r="BS367" s="626" t="str">
        <f>IF(L367&gt;0,IF(Calculation!P367="M13",BR367*3.1416*(0.134^2)/(4*144),IF(Calculation!P367="M17",BR367*3.1416*(0.165^2)/(4*144),IF(Calculation!P367="M20",BR367*3.1416*(0.198^2)/(4*144),IF(Calculation!P367="M23",BR367*3.1416*(0.228^2)/(4*144),IF(Calculation!P367="M27",BR367*3.1416*(0.269^2)/(4*144),BR367*3.1416*(0.307^2)/(4*144))))))," ")</f>
        <v xml:space="preserve"> </v>
      </c>
      <c r="BT367" s="353" t="str">
        <f>IF(L367&gt;0,IF(BS367&gt;0,R367/Calculation!BS367,0)," ")</f>
        <v xml:space="preserve"> </v>
      </c>
      <c r="BU367" s="438" t="e">
        <f t="shared" ca="1" si="1056"/>
        <v>#VALUE!</v>
      </c>
      <c r="BV367" s="449" t="e">
        <f ca="1">INDEX(INDIRECT(VLOOKUP(LEFT(BO367,7),CLU!$Z$3:$AH$18,2)),GN367,GR367)</f>
        <v>#N/A</v>
      </c>
      <c r="BW367" s="433" t="e">
        <f ca="1">INDEX(INDIRECT(VLOOKUP(LEFT(BO367,7),CLU!$Z$3:$AH$18,3)),GN367,GR367)</f>
        <v>#N/A</v>
      </c>
      <c r="BX367" s="433" t="e">
        <f ca="1">INDEX(INDIRECT(VLOOKUP(LEFT(BO367,7),CLU!$Z$3:$AH$18,4)),GN367,GR367)</f>
        <v>#N/A</v>
      </c>
      <c r="BY367" s="433" t="e">
        <f ca="1">INDEX(INDIRECT(VLOOKUP(LEFT(BO367,7),CLU!$Z$3:$AH$18,9)),((M367-2)*(6-COUNTBLANK(GT367:GY367)))+GJ367)</f>
        <v>#N/A</v>
      </c>
      <c r="BZ367" s="426" t="e">
        <f t="shared" ca="1" si="1149"/>
        <v>#N/A</v>
      </c>
      <c r="CA367" s="424" t="e">
        <f t="shared" ca="1" si="1150"/>
        <v>#N/A</v>
      </c>
      <c r="CB367" s="429" t="e">
        <f ca="1">INDEX(INDIRECT(VLOOKUP(LEFT(BO367,7),CLU!$Z$3:$AH$18,2)),GN367,GS367)</f>
        <v>#N/A</v>
      </c>
      <c r="CC367" s="342" t="e">
        <f ca="1">INDEX(INDIRECT(VLOOKUP(LEFT(BO367,7),CLU!$Z$3:$AH$18,3)),GN367,GS367)</f>
        <v>#N/A</v>
      </c>
      <c r="CD367" s="342" t="e">
        <f ca="1">INDEX(INDIRECT(VLOOKUP(LEFT(BO367,7),CLU!$Z$3:$AH$18,4)),GN367,GS367)</f>
        <v>#N/A</v>
      </c>
      <c r="CE367" s="426" t="e">
        <f t="shared" ca="1" si="1151"/>
        <v>#N/A</v>
      </c>
      <c r="CF367" s="440">
        <f t="shared" si="1152"/>
        <v>0</v>
      </c>
      <c r="CG367" s="431" t="e">
        <f ca="1">INDEX(INDIRECT(VLOOKUP(LEFT(BO367,7),CLU!$Z$3:$AH$18,2)),GQ367,GR367)</f>
        <v>#N/A</v>
      </c>
      <c r="CH367" s="431" t="e">
        <f ca="1">INDEX(INDIRECT(VLOOKUP(LEFT(BO367,7),CLU!$Z$3:$AH$18,3)),GQ367,GR367)</f>
        <v>#N/A</v>
      </c>
      <c r="CI367" s="431" t="e">
        <f ca="1">INDEX(INDIRECT(VLOOKUP(LEFT(BO367,7),CLU!$Z$3:$AH$18,4)),GQ367,GR367)</f>
        <v>#N/A</v>
      </c>
      <c r="CJ367" s="448" t="e">
        <f t="shared" ca="1" si="1153"/>
        <v>#N/A</v>
      </c>
      <c r="CK367" s="431" t="e">
        <f t="shared" ca="1" si="1154"/>
        <v>#N/A</v>
      </c>
      <c r="CL367" s="440" t="e">
        <f t="shared" ca="1" si="1155"/>
        <v>#N/A</v>
      </c>
      <c r="CM367" s="431" t="e">
        <f ca="1">INDEX(INDIRECT(VLOOKUP(LEFT(BO367,7),CLU!$Z$3:$AH$18,2)),GQ367,GS367)</f>
        <v>#N/A</v>
      </c>
      <c r="CN367" s="431" t="e">
        <f ca="1">INDEX(INDIRECT(VLOOKUP(LEFT(BO367,7),CLU!$Z$3:$AH$18,3)),GQ367,GS367)</f>
        <v>#N/A</v>
      </c>
      <c r="CO367" s="431" t="e">
        <f ca="1">INDEX(INDIRECT(VLOOKUP(LEFT(BO367,7),CLU!$Z$3:$AH$18,4)),GQ367,GS367)</f>
        <v>#N/A</v>
      </c>
      <c r="CP367" s="431" t="e">
        <f t="shared" ca="1" si="1156"/>
        <v>#N/A</v>
      </c>
      <c r="CQ367" s="440">
        <f t="shared" si="1157"/>
        <v>0</v>
      </c>
      <c r="CR367" s="51" t="e">
        <f t="shared" ca="1" si="1158"/>
        <v>#N/A</v>
      </c>
      <c r="CS367" s="439" t="e">
        <f t="shared" ca="1" si="1159"/>
        <v>#VALUE!</v>
      </c>
      <c r="CT367" s="51" t="e">
        <f t="shared" ca="1" si="1160"/>
        <v>#VALUE!</v>
      </c>
      <c r="CU367" s="10"/>
      <c r="CV367" s="51" t="e">
        <f t="shared" ca="1" si="1057"/>
        <v>#VALUE!</v>
      </c>
      <c r="CW367" s="51">
        <f t="shared" si="1161"/>
        <v>0</v>
      </c>
      <c r="CX367" s="439" t="e">
        <f t="shared" ca="1" si="1162"/>
        <v>#VALUE!</v>
      </c>
      <c r="CY367" s="51" t="e">
        <f t="shared" ca="1" si="1163"/>
        <v>#VALUE!</v>
      </c>
      <c r="CZ367" s="10"/>
      <c r="DA367" s="51" t="e">
        <f t="shared" ca="1" si="1164"/>
        <v>#VALUE!</v>
      </c>
      <c r="DB367" s="347" t="e">
        <f ca="1">INDEX(INDIRECT(VLOOKUP(LEFT(BO367,7),CLU!$Z$3:$AI$18,10)),((M367-2)*(6-COUNTBLANK(GT367:GY367)))+GJ367)*LI367</f>
        <v>#N/A</v>
      </c>
      <c r="DC367" s="347" t="str">
        <f>IF(L367&gt;0,((R367/Worksheet!$I$15)/DB367)^2," ")</f>
        <v xml:space="preserve"> </v>
      </c>
      <c r="DD367" s="602" t="str">
        <f t="shared" si="1165"/>
        <v xml:space="preserve"> </v>
      </c>
      <c r="DE367" s="347" t="str">
        <f t="shared" si="1058"/>
        <v xml:space="preserve"> </v>
      </c>
      <c r="DF367" s="356" t="e">
        <f ca="1">INDEX(INDIRECT(VLOOKUP(LEFT(BO367,7),CLU!$Z$3:$AH$18,8)),((M367-2)*(6-COUNTBLANK(GT367:GY367)))+GJ367)</f>
        <v>#N/A</v>
      </c>
      <c r="DG367" s="347" t="str">
        <f t="shared" si="1059"/>
        <v xml:space="preserve"> </v>
      </c>
      <c r="DH367" s="357" t="str">
        <f t="shared" si="1060"/>
        <v xml:space="preserve"> </v>
      </c>
      <c r="DI367" s="355" t="str">
        <f t="shared" si="1061"/>
        <v xml:space="preserve"> </v>
      </c>
      <c r="DJ367" s="245" t="e">
        <f ca="1">INDEX(INDIRECT(VLOOKUP(LEFT(BO367,7),CLU!$Z$3:$AH$18,5)),GL367,GK367)</f>
        <v>#N/A</v>
      </c>
      <c r="DK367" s="245" t="e">
        <f ca="1">INDEX(INDIRECT(VLOOKUP(LEFT(BO367,7),CLU!$Z$3:$AH$18,6)),GL367,GK367)</f>
        <v>#N/A</v>
      </c>
      <c r="DL367" s="355">
        <f>(Calculation!R367*0.69143*(Calculation!$BQ$8-Calculation!$F$8))*$S$14</f>
        <v>0</v>
      </c>
      <c r="DM367" s="359" t="e">
        <f t="shared" si="1166"/>
        <v>#VALUE!</v>
      </c>
      <c r="DN367" s="611">
        <f t="shared" si="1167"/>
        <v>0</v>
      </c>
      <c r="DO367" s="359">
        <f t="shared" si="1168"/>
        <v>100</v>
      </c>
      <c r="DP367" s="359">
        <f t="shared" si="1169"/>
        <v>0</v>
      </c>
      <c r="DQ367" s="360"/>
      <c r="DR367" s="245" t="e">
        <f ca="1">INDEX(INDIRECT(VLOOKUP(LEFT(BO367,7),CLU!$Z$3:$AH$18,7)),M367-1,1)</f>
        <v>#N/A</v>
      </c>
      <c r="DS367" s="245" t="e">
        <f ca="1">INDEX(INDIRECT(VLOOKUP(LEFT(BO367,7),CLU!$Z$3:$AH$18,7)),M367-1,2)</f>
        <v>#N/A</v>
      </c>
      <c r="DT367" s="245" t="e">
        <f ca="1">INDEX(INDIRECT(VLOOKUP(LEFT(BO367,7),CLU!$Z$3:$AH$18,7)),M367-1,3)</f>
        <v>#N/A</v>
      </c>
      <c r="DU367" s="245" t="e">
        <f ca="1">INDEX(INDIRECT(VLOOKUP(LEFT(BO367,7),CLU!$Z$3:$AH$18,7)),M367-1,4)</f>
        <v>#N/A</v>
      </c>
      <c r="DV367" s="361" t="e">
        <f ca="1">INDEX(INDIRECT(VLOOKUP(LEFT(BO367,7),CLU!$Z$3:$AH$18,7)),M367-1,4+LEFT(DZ367,1)*0.5)</f>
        <v>#N/A</v>
      </c>
      <c r="DW367" s="245" t="e">
        <f ca="1">INDEX(INDIRECT(VLOOKUP(LEFT(BO367,7),CLU!$Z$3:$AH$18,7)),M367-1,8)</f>
        <v>#N/A</v>
      </c>
      <c r="DX367" s="361" t="str">
        <f t="shared" si="1062"/>
        <v xml:space="preserve"> </v>
      </c>
      <c r="DY367" s="361" t="str">
        <f t="shared" si="1063"/>
        <v xml:space="preserve"> </v>
      </c>
      <c r="DZ367" s="361" t="str">
        <f t="shared" si="1064"/>
        <v xml:space="preserve"> </v>
      </c>
      <c r="EA367" s="362" t="str">
        <f t="shared" si="1065"/>
        <v xml:space="preserve"> </v>
      </c>
      <c r="EB367" s="624" t="str">
        <f t="shared" si="1170"/>
        <v xml:space="preserve"> </v>
      </c>
      <c r="EC367" s="361" t="e">
        <f ca="1">INDEX(INDIRECT(VLOOKUP(LEFT(BO367,7),CLU!$Z$3:$AH$18,7)),M367-1,4+LEFT(DZ367,1)*0.5)</f>
        <v>#N/A</v>
      </c>
      <c r="ED367" s="362" t="str">
        <f t="shared" si="1066"/>
        <v xml:space="preserve"> </v>
      </c>
      <c r="EE367" s="361" t="str">
        <f t="shared" si="1067"/>
        <v xml:space="preserve"> </v>
      </c>
      <c r="EF367" s="362" t="str">
        <f>IF(L367&gt;0,IF(BR367&gt;0,IF(EE367="2P",IF(Calculation!DZ367="2P",IF(Calculation!DS367=13.75,IF(Calculation!DR367=13,Worksheet!$BD$43,IF(Calculation!DR367=37,Worksheet!$BD$44,Worksheet!$BD$45)),IF(Calculation!DS367=10,IF(Calculation!DR367=18,Worksheet!$BD$29,IF(Calculation!DR367=30,Worksheet!$BD$30,IF(Calculation!DR367=42,Worksheet!$BD$31,IF(Calculation!DR367=54,Worksheet!$BD$32,IF(Calculation!DR367=66,Worksheet!$BD$33,IF(Calculation!DR367=78,Worksheet!$BD$34,IF(Calculation!DR367=90,Worksheet!$BD$35,IF(Calculation!DR367=102,Worksheet!$BD$36,Worksheet!$BD$37)))))))),IF(Calculation!DS367=12.5,IF(Calculation!DR367=18,Worksheet!$BD$38,IF(Calculation!DR367=Worksheet!$BD$39,IF(Calculation!DR367=42,Worksheet!$BD$40,IF(Calculation!DR367=54,Worksheet!$BD$41,Worksheet!$BD$42)))),IF(Calculation!DR367=18,Worksheet!$BD$11,IF(Calculation!DR367=30,Worksheet!$BD$12,IF(Calculation!DR367=42,Worksheet!$BD$13,IF(Calculation!DR367=54,Worksheet!$BD$14,IF(Calculation!DR367=66,Worksheet!$BD$15,IF(Calculation!DR367=78,Worksheet!$BD$16,IF(Calculation!DR367=90,Worksheet!$BD$17,IF(Calculation!DR367=102,Worksheet!$BD$18,Worksheet!$BD$19))))))))))),IF(Calculation!DS367=13.75,IF(Calculation!DR367=13,Worksheet!$BD$78,IF(Calculation!DR367=37,Worksheet!$BD$79,Worksheet!$BD$80)),IF(Calculation!DS367=10,IF(Calculation!DR367=18,Worksheet!$BD$64,IF(Calculation!DR367=30,Worksheet!$BD$65,IF(Calculation!DR367=42,Worksheet!$BD$66,IF(Calculation!DR367=54,Worksheet!$BD$68,IF(Calculation!DR367=66,Worksheet!$BD$68,IF(Calculation!DR367=78,Worksheet!$BD$69,IF(Calculation!DR367=90,Worksheet!$BD$70,IF(Calculation!DR367=102,Worksheet!$BD$71,Worksheet!$BD$72)))))))),IF(Calculation!DS367=12.5,IF(Calculation!DR367=18,Worksheet!$BD$73,IF(Calculation!DR367=Worksheet!$BD$74,IF(Calculation!DR367=42,Worksheet!$BD$75,IF(Calculation!DR367=54,Worksheet!$BD$76,Worksheet!$BD$77)))),IF(Calculation!DR367=18,Worksheet!$BD$55,IF(Calculation!DR367=30,Worksheet!$BD$56,IF(Calculation!DR367=42,Worksheet!$BD$57,IF(Calculation!DR367=54,Worksheet!$BD$58,IF(Calculation!DR367=66,Worksheet!$BD$59,IF(Calculation!DR367=78,Worksheet!$BD$60,IF(Calculation!DR367=90,Worksheet!$BD$61,IF(Calculation!DR367=102,Worksheet!$BD$62,Worksheet!$BD$63)))))))))))),5),0)," ")</f>
        <v xml:space="preserve"> </v>
      </c>
      <c r="EG367" s="361" t="str">
        <f t="shared" si="1068"/>
        <v xml:space="preserve"> </v>
      </c>
      <c r="EH367" s="361" t="e">
        <f ca="1">INDEX(INDIRECT(VLOOKUP(LEFT(BO367,7),CLU!$Z$3:$AH$18,7)),M367-1,3+LEFT(DZ367,1))</f>
        <v>#N/A</v>
      </c>
      <c r="EI367" s="362" t="str">
        <f t="shared" si="1069"/>
        <v xml:space="preserve"> </v>
      </c>
      <c r="EJ367" s="363" t="str">
        <f t="shared" si="1070"/>
        <v xml:space="preserve"> </v>
      </c>
      <c r="EK367" s="363" t="str">
        <f t="shared" si="1071"/>
        <v xml:space="preserve"> </v>
      </c>
      <c r="EL367" s="363" t="str">
        <f t="shared" si="1072"/>
        <v xml:space="preserve"> </v>
      </c>
      <c r="EM367" s="362" t="str">
        <f>IF(L367&gt;0,IF(BR367&gt;0,(Calculation!T367/ED367)^2,0)," ")</f>
        <v xml:space="preserve"> </v>
      </c>
      <c r="EN367" s="362" t="str">
        <f>IF(L367&gt;0,IF(O367="2 Pipe (Cooling)","N/A",IF(BR367&gt;0,(Calculation!U367/EI367)^2,0))," ")</f>
        <v xml:space="preserve"> </v>
      </c>
      <c r="EO367" s="361" t="str">
        <f t="shared" si="1073"/>
        <v/>
      </c>
      <c r="EP367" s="361" t="str">
        <f t="shared" si="1074"/>
        <v/>
      </c>
      <c r="EQ367" s="361" t="str">
        <f t="shared" si="1075"/>
        <v/>
      </c>
      <c r="ER367" s="361" t="str">
        <f t="shared" si="1076"/>
        <v/>
      </c>
      <c r="ES367" s="361" t="str">
        <f t="shared" si="1077"/>
        <v/>
      </c>
      <c r="ET367" s="361" t="str">
        <f t="shared" si="1078"/>
        <v/>
      </c>
      <c r="EU367" s="361" t="str">
        <f t="shared" si="1079"/>
        <v/>
      </c>
      <c r="EV367" s="361" t="str">
        <f t="shared" si="1080"/>
        <v/>
      </c>
      <c r="EW367" s="361" t="str">
        <f t="shared" si="1081"/>
        <v/>
      </c>
      <c r="EX367" s="361" t="str">
        <f t="shared" si="1171"/>
        <v>1 slot, 1 way</v>
      </c>
      <c r="EY367" s="361" t="str">
        <f t="shared" si="1172"/>
        <v xml:space="preserve"> </v>
      </c>
      <c r="EZ367" s="361" t="str">
        <f t="shared" si="1173"/>
        <v xml:space="preserve"> </v>
      </c>
      <c r="FA367" s="361" t="str">
        <f t="shared" si="1174"/>
        <v xml:space="preserve"> </v>
      </c>
      <c r="FB367" s="361" t="str">
        <f t="shared" si="1175"/>
        <v xml:space="preserve"> </v>
      </c>
      <c r="FC367" s="361"/>
      <c r="FD367" s="361" t="str">
        <f>IF(J367&gt;0,IF(Calculation!R367&lt;=70,4,IF(Calculation!R367&lt;=110,5,IF(Calculation!R367&lt;=160,6,IF(Calculation!R367&lt;=300,8,"10 EO")))),"")</f>
        <v/>
      </c>
      <c r="FE367" s="361" t="str">
        <f t="shared" si="1176"/>
        <v/>
      </c>
      <c r="FF367" s="361" t="str">
        <f t="shared" si="1177"/>
        <v/>
      </c>
      <c r="FG367" s="361" t="e">
        <f t="shared" si="1082"/>
        <v>#N/A</v>
      </c>
      <c r="FH367" s="361">
        <f t="shared" si="1083"/>
        <v>0</v>
      </c>
      <c r="FI367" s="361" t="e">
        <f t="shared" si="1084"/>
        <v>#DIV/0!</v>
      </c>
      <c r="FJ367" s="361"/>
      <c r="FK367" s="356" t="e">
        <f t="shared" si="1085"/>
        <v>#VALUE!</v>
      </c>
      <c r="FL367" s="361"/>
      <c r="FM367" s="361"/>
      <c r="FN367" s="362" t="str">
        <f t="shared" si="1178"/>
        <v xml:space="preserve"> </v>
      </c>
      <c r="FO367" s="362" t="str">
        <f t="shared" si="1179"/>
        <v xml:space="preserve"> </v>
      </c>
      <c r="FP367" s="362">
        <f t="shared" si="1180"/>
        <v>0</v>
      </c>
      <c r="FQ367" s="361">
        <f t="shared" si="1086"/>
        <v>0</v>
      </c>
      <c r="FR367" s="362" t="str">
        <f>IF(L367&gt;0,IF(J367="CBAL2",Worksheet!$P$67,IF(J367="CBE2-24",Worksheet!$Q$67,IF(J367="CBAM",Worksheet!$R$67,IF(J367="CBLV",Worksheet!$S$67,IF(J367="CBAB",Worksheet!$U$67,IF(J367="CBAW",Worksheet!$X$67,IF(J367="CBE2-12",Worksheet!$Y$67,IF(J367="CBAL2",Worksheet!$Z$67,"N/A"))))))))," ")</f>
        <v xml:space="preserve"> </v>
      </c>
      <c r="FS367" s="362" t="str">
        <f>IF(L367&gt;0,IF(J367="CBAL2",Worksheet!$P$68,IF(J367="CBE2-24",Worksheet!$Q$68,IF(J367="CBAM",Worksheet!$R$68,IF(J367="CBLV",Worksheet!$S$68,IF(J367="CBAB",Worksheet!$U$68,IF(J367="CBAW",Worksheet!$X$68,IF(J367="CBE2-12",Worksheet!$Y$68,IF(J367="CBAL2",Worksheet!$Z$68,"N/A"))))))))," ")</f>
        <v xml:space="preserve"> </v>
      </c>
      <c r="FT367" s="362" t="str">
        <f>IF(L367&gt;0,IF(J367="CBAL2",Worksheet!$P$69,IF(J367="CBE2-24",Worksheet!$Q$69,IF(J367="CBAM",Worksheet!$R$69,IF(J367="CBLV",Worksheet!$S$69,IF(J367="CBAB",Worksheet!$U$69,IF(J367="CBAW",Worksheet!$X$69,IF(J367="CBE2-12",Worksheet!$Y$69,IF(J367="CBAL2",Worksheet!$Z$69,"N/A"))))))))," ")</f>
        <v xml:space="preserve"> </v>
      </c>
      <c r="FU367" s="361" t="str">
        <f t="shared" si="1181"/>
        <v xml:space="preserve"> </v>
      </c>
      <c r="FV367" s="362" t="str">
        <f t="shared" si="1182"/>
        <v xml:space="preserve"> </v>
      </c>
      <c r="FW367" s="362" t="str">
        <f t="shared" si="1183"/>
        <v xml:space="preserve"> </v>
      </c>
      <c r="FX367" s="362" t="str">
        <f t="shared" si="1184"/>
        <v xml:space="preserve"> </v>
      </c>
      <c r="FY367" s="355" t="str">
        <f t="shared" si="1185"/>
        <v xml:space="preserve"> </v>
      </c>
      <c r="FZ367" s="361" t="str">
        <f t="shared" si="1186"/>
        <v xml:space="preserve"> </v>
      </c>
      <c r="GA367" s="347" t="str">
        <f t="shared" si="1187"/>
        <v xml:space="preserve"> </v>
      </c>
      <c r="GB367" s="355" t="str">
        <f t="shared" si="1188"/>
        <v xml:space="preserve"> </v>
      </c>
      <c r="GC367" s="328" t="str">
        <f t="shared" si="1189"/>
        <v xml:space="preserve"> </v>
      </c>
      <c r="GD367" s="361" t="str">
        <f t="shared" si="1190"/>
        <v xml:space="preserve"> </v>
      </c>
      <c r="GE367" s="347" t="str">
        <f t="shared" si="1191"/>
        <v xml:space="preserve"> </v>
      </c>
      <c r="GF367" s="361" t="str">
        <f t="shared" si="1192"/>
        <v xml:space="preserve"> </v>
      </c>
      <c r="GG367" s="347" t="str">
        <f t="shared" si="1193"/>
        <v xml:space="preserve"> </v>
      </c>
      <c r="GH367" s="364">
        <f t="shared" si="1087"/>
        <v>0</v>
      </c>
      <c r="GI367" s="362">
        <f t="shared" si="1194"/>
        <v>2</v>
      </c>
      <c r="GJ367" s="433" t="e">
        <f>IF(6-COUNTBLANK(GT367:GY367)=4,MATCH(MID(BO367,9,3),CLU!$H$16:$K$16),MATCH(MID(BO367,9,3),CLU!$H$13:$M$13))</f>
        <v>#N/A</v>
      </c>
      <c r="GK367" s="433" t="e">
        <f>HLOOKUP(VALUE(BP367),CLU!$H$9:$M$10,2)</f>
        <v>#VALUE!</v>
      </c>
      <c r="GL367" s="433" t="e">
        <f ca="1">MATCH(BU367,CLU!$H$2:$V$2,1)</f>
        <v>#VALUE!</v>
      </c>
      <c r="GM367" s="433" t="e">
        <f t="shared" ca="1" si="1195"/>
        <v>#VALUE!</v>
      </c>
      <c r="GN367" s="433" t="e">
        <f t="shared" ca="1" si="1196"/>
        <v>#VALUE!</v>
      </c>
      <c r="GO367" s="433" t="e">
        <f t="shared" ca="1" si="1197"/>
        <v>#VALUE!</v>
      </c>
      <c r="GP367" s="433" t="e">
        <f t="shared" ca="1" si="1198"/>
        <v>#VALUE!</v>
      </c>
      <c r="GQ367" s="433" t="e">
        <f t="shared" ca="1" si="1199"/>
        <v>#VALUE!</v>
      </c>
      <c r="GR367" s="433" t="e">
        <f ca="1">MATCH(T367,INDIRECT(VLOOKUP(CONCATENATE(LEFT(BO367,7),"-",MID(BO367,13,1)),CLU!$P$3:$Q$16,2)),1)</f>
        <v>#N/A</v>
      </c>
      <c r="GS367" s="433" t="e">
        <f ca="1">MATCH(U367,INDIRECT(VLOOKUP(CONCATENATE(LEFT(BO367,7),"-",MID(BO367,13,1)),CLU!$P$3:$Q$16,2)),1)</f>
        <v>#N/A</v>
      </c>
      <c r="GT367" s="347" t="s">
        <v>512</v>
      </c>
      <c r="GU367" s="97" t="s">
        <v>513</v>
      </c>
      <c r="GV367" s="97" t="str">
        <f t="shared" si="1200"/>
        <v>M23</v>
      </c>
      <c r="GW367" s="97" t="str">
        <f t="shared" si="1201"/>
        <v>M31</v>
      </c>
      <c r="GX367" s="97" t="str">
        <f t="shared" si="1202"/>
        <v/>
      </c>
      <c r="GY367" s="97" t="str">
        <f t="shared" si="1203"/>
        <v/>
      </c>
      <c r="GZ367" s="481"/>
      <c r="HA367" s="240"/>
      <c r="HB367" s="240"/>
      <c r="HC367" s="240"/>
      <c r="HD367" s="240"/>
      <c r="HE367" s="240"/>
      <c r="HF367" s="240"/>
      <c r="HG367" s="240"/>
      <c r="HH367" s="240"/>
      <c r="HI367" s="240"/>
      <c r="HJ367" s="240"/>
      <c r="HK367" s="240"/>
      <c r="HL367" s="240"/>
      <c r="HM367" s="240"/>
      <c r="HN367" s="240"/>
      <c r="HO367" s="240"/>
      <c r="HP367" s="240"/>
      <c r="HQ367" s="240"/>
      <c r="HR367" s="240"/>
      <c r="HS367" s="240"/>
      <c r="HT367" s="240"/>
      <c r="HU367" s="240"/>
      <c r="HV367" s="245"/>
      <c r="HW367" s="245" t="b">
        <v>1</v>
      </c>
      <c r="HX367" s="245" t="str">
        <f t="shared" si="1088"/>
        <v/>
      </c>
      <c r="HY367" s="245" t="e">
        <f t="shared" si="1089"/>
        <v>#DIV/0!</v>
      </c>
      <c r="HZ367" s="245" t="e">
        <f t="shared" si="1090"/>
        <v>#DIV/0!</v>
      </c>
      <c r="IA367" s="245">
        <f t="shared" si="1091"/>
        <v>0</v>
      </c>
      <c r="IB367" s="245"/>
      <c r="IC367" t="b">
        <f t="shared" si="1092"/>
        <v>1</v>
      </c>
      <c r="ID367" s="245" t="b">
        <f t="shared" si="1093"/>
        <v>1</v>
      </c>
      <c r="IE367" s="245" t="b">
        <f t="shared" si="1094"/>
        <v>1</v>
      </c>
      <c r="IF367" s="245" t="b">
        <f t="shared" si="1095"/>
        <v>0</v>
      </c>
      <c r="IG367" s="245" t="b">
        <f t="shared" si="1096"/>
        <v>1</v>
      </c>
      <c r="IH367" s="245" t="b">
        <f t="shared" si="1097"/>
        <v>1</v>
      </c>
      <c r="II367" s="245">
        <f t="shared" si="1204"/>
        <v>0</v>
      </c>
      <c r="IJ367" s="245" t="e">
        <f t="shared" si="1098"/>
        <v>#VALUE!</v>
      </c>
      <c r="IK367" s="245" t="e">
        <f t="shared" si="1099"/>
        <v>#VALUE!</v>
      </c>
      <c r="IL367" s="245"/>
      <c r="IM367" s="245" t="e">
        <f t="shared" si="1205"/>
        <v>#N/A</v>
      </c>
      <c r="IN367" s="245" t="e">
        <f t="shared" si="1206"/>
        <v>#N/A</v>
      </c>
      <c r="IO367" s="245"/>
      <c r="IP367" s="245"/>
      <c r="IQ367" s="245" t="str">
        <f t="shared" si="1100"/>
        <v/>
      </c>
      <c r="IR367" s="245" t="str">
        <f>IF(J367="","",VLOOKUP(J367,Worksheet!$R$4:$T$14,2))</f>
        <v/>
      </c>
      <c r="IS367" s="245"/>
      <c r="IT367" s="245">
        <f t="shared" si="1101"/>
        <v>0</v>
      </c>
      <c r="IU367" s="245">
        <f t="shared" si="1102"/>
        <v>0</v>
      </c>
      <c r="IV367" s="245">
        <f t="shared" si="1103"/>
        <v>0</v>
      </c>
      <c r="IW367" s="245">
        <f t="shared" si="1104"/>
        <v>0</v>
      </c>
      <c r="IX367" s="245">
        <f t="shared" si="1207"/>
        <v>0</v>
      </c>
      <c r="IY367" s="245">
        <f t="shared" si="1105"/>
        <v>0</v>
      </c>
      <c r="IZ367" s="245">
        <f t="shared" si="1106"/>
        <v>0</v>
      </c>
      <c r="JA367">
        <f t="shared" si="1107"/>
        <v>0</v>
      </c>
      <c r="JB367">
        <f t="shared" si="1208"/>
        <v>0</v>
      </c>
      <c r="JC367">
        <f t="shared" si="1108"/>
        <v>0</v>
      </c>
      <c r="JD367">
        <f t="shared" si="1109"/>
        <v>0</v>
      </c>
      <c r="JE367">
        <f t="shared" si="1110"/>
        <v>0</v>
      </c>
      <c r="JF367">
        <f t="shared" si="1111"/>
        <v>0</v>
      </c>
      <c r="JG367">
        <f t="shared" si="1112"/>
        <v>0</v>
      </c>
      <c r="JH367">
        <f t="shared" si="1113"/>
        <v>0</v>
      </c>
      <c r="JI367">
        <f t="shared" si="1114"/>
        <v>0</v>
      </c>
      <c r="JJ367" s="447">
        <f t="shared" si="1115"/>
        <v>0</v>
      </c>
      <c r="JK367" s="447">
        <f t="shared" si="1116"/>
        <v>0</v>
      </c>
      <c r="JL367">
        <f t="shared" si="1117"/>
        <v>0</v>
      </c>
      <c r="JM367" s="245" t="str">
        <f>IFERROR(VLOOKUP(MATCH(BN367,#REF!,0),#REF!,7),"")</f>
        <v/>
      </c>
      <c r="JN367" t="e">
        <f>HLOOKUP(LEFT(BO367,7),Discharge_Area,MATCH(JO367,LookUps!$B$130:$B$149,1)+2)</f>
        <v>#N/A</v>
      </c>
      <c r="JO367" t="str">
        <f t="shared" si="1118"/>
        <v>- S</v>
      </c>
      <c r="JP367" t="e">
        <f>HLOOKUP(LEFT(BO367,7),Discharge_Area,MATCH(JO367,LookUps!$B$130:$B$149,1)+2)</f>
        <v>#N/A</v>
      </c>
      <c r="JQ367" t="e">
        <f t="shared" si="1119"/>
        <v>#N/A</v>
      </c>
      <c r="JR367" t="e">
        <f t="shared" si="1120"/>
        <v>#N/A</v>
      </c>
      <c r="JS367" t="e">
        <f t="shared" si="1121"/>
        <v>#N/A</v>
      </c>
      <c r="JT367" s="532" t="str">
        <f t="shared" si="1122"/>
        <v xml:space="preserve"> </v>
      </c>
      <c r="JU367" s="532" t="str">
        <f t="shared" si="1123"/>
        <v xml:space="preserve"> </v>
      </c>
      <c r="JV367" s="533" t="str">
        <f t="shared" si="1124"/>
        <v xml:space="preserve"> </v>
      </c>
      <c r="JW367" s="534">
        <f t="shared" si="1125"/>
        <v>0</v>
      </c>
      <c r="JX367" s="535" t="str">
        <f t="shared" si="1209"/>
        <v xml:space="preserve"> </v>
      </c>
      <c r="JY367" s="535" t="str">
        <f t="shared" si="1210"/>
        <v xml:space="preserve"> </v>
      </c>
      <c r="JZ367" s="535" t="str">
        <f t="shared" si="1211"/>
        <v xml:space="preserve"> </v>
      </c>
      <c r="KA367" s="536" t="str">
        <f t="shared" si="1126"/>
        <v xml:space="preserve"> </v>
      </c>
      <c r="KB367" s="535" t="e">
        <f t="shared" si="1212"/>
        <v>#VALUE!</v>
      </c>
      <c r="KC367" s="535" t="str">
        <f t="shared" si="1127"/>
        <v/>
      </c>
      <c r="KD367" s="537" t="str">
        <f t="shared" si="1213"/>
        <v xml:space="preserve"> </v>
      </c>
      <c r="KE367" s="537" t="str">
        <f t="shared" si="1214"/>
        <v xml:space="preserve"> </v>
      </c>
      <c r="KF367" s="534">
        <f t="shared" si="1128"/>
        <v>0</v>
      </c>
      <c r="KG367" s="535" t="str">
        <f t="shared" si="1129"/>
        <v xml:space="preserve"> </v>
      </c>
      <c r="KH367" s="535" t="str">
        <f t="shared" si="1130"/>
        <v xml:space="preserve"> </v>
      </c>
      <c r="KI367" s="535" t="str">
        <f t="shared" si="1131"/>
        <v xml:space="preserve"> </v>
      </c>
      <c r="KJ367" s="536" t="str">
        <f t="shared" si="1132"/>
        <v xml:space="preserve"> </v>
      </c>
      <c r="KK367" s="535" t="str">
        <f t="shared" si="1215"/>
        <v xml:space="preserve"> </v>
      </c>
      <c r="KL367" s="535" t="str">
        <f t="shared" si="1216"/>
        <v xml:space="preserve"> </v>
      </c>
      <c r="KM367" s="537" t="str">
        <f t="shared" si="1133"/>
        <v xml:space="preserve"> </v>
      </c>
      <c r="KN367" s="537" t="str">
        <f t="shared" si="1217"/>
        <v xml:space="preserve"> </v>
      </c>
      <c r="KP367">
        <f t="shared" si="1134"/>
        <v>0</v>
      </c>
      <c r="LA367" t="e">
        <f t="shared" si="1135"/>
        <v>#VALUE!</v>
      </c>
      <c r="LB367" t="e">
        <f t="shared" si="1136"/>
        <v>#VALUE!</v>
      </c>
      <c r="LC367" t="e">
        <f t="shared" si="1137"/>
        <v>#VALUE!</v>
      </c>
      <c r="LD367" t="e">
        <f t="shared" si="1138"/>
        <v>#VALUE!</v>
      </c>
      <c r="LE367" t="e">
        <f t="shared" si="1218"/>
        <v>#VALUE!</v>
      </c>
      <c r="LF367">
        <f t="shared" si="1139"/>
        <v>0</v>
      </c>
      <c r="LG367" t="e">
        <f t="shared" si="1219"/>
        <v>#VALUE!</v>
      </c>
      <c r="LH367" t="str">
        <f t="shared" si="1140"/>
        <v xml:space="preserve"> </v>
      </c>
      <c r="LI367">
        <f t="shared" si="1220"/>
        <v>1</v>
      </c>
    </row>
    <row r="368" spans="2:321" ht="15" customHeight="1">
      <c r="B368" s="311"/>
      <c r="C368" s="311"/>
      <c r="D368" s="312"/>
      <c r="E368" s="311"/>
      <c r="F368" s="312"/>
      <c r="G368" s="311"/>
      <c r="H368" s="311"/>
      <c r="I368" s="232"/>
      <c r="J368" s="311"/>
      <c r="K368" s="305" t="str">
        <f t="shared" si="1141"/>
        <v/>
      </c>
      <c r="L368" s="313"/>
      <c r="M368" s="312"/>
      <c r="N368" s="311"/>
      <c r="O368" s="312"/>
      <c r="P368" s="311"/>
      <c r="Q368" s="305" t="str">
        <f t="shared" si="1142"/>
        <v/>
      </c>
      <c r="R368" s="314"/>
      <c r="S368" s="450" t="str">
        <f t="shared" si="1025"/>
        <v/>
      </c>
      <c r="T368" s="315"/>
      <c r="U368" s="315"/>
      <c r="W368" s="149" t="str">
        <f t="shared" si="1026"/>
        <v xml:space="preserve"> </v>
      </c>
      <c r="X368" s="243" t="str">
        <f t="shared" si="1027"/>
        <v xml:space="preserve"> </v>
      </c>
      <c r="Y368" s="150" t="str">
        <f t="shared" si="1028"/>
        <v/>
      </c>
      <c r="Z368" s="149" t="str">
        <f t="shared" si="1029"/>
        <v xml:space="preserve"> </v>
      </c>
      <c r="AA368" s="98" t="str">
        <f t="shared" si="1030"/>
        <v xml:space="preserve"> </v>
      </c>
      <c r="AB368" s="153" t="str">
        <f t="shared" si="1031"/>
        <v xml:space="preserve"> </v>
      </c>
      <c r="AC368" s="153" t="str">
        <f t="shared" si="1032"/>
        <v xml:space="preserve"> </v>
      </c>
      <c r="AD368" s="148" t="str">
        <f t="shared" si="1033"/>
        <v/>
      </c>
      <c r="AE368" s="149" t="str">
        <f t="shared" si="1034"/>
        <v/>
      </c>
      <c r="AF368" s="151" t="str">
        <f t="shared" si="1035"/>
        <v xml:space="preserve"> </v>
      </c>
      <c r="AG368" s="153" t="str">
        <f t="shared" si="1036"/>
        <v xml:space="preserve"> </v>
      </c>
      <c r="AH368" s="98" t="str">
        <f t="shared" si="1037"/>
        <v xml:space="preserve"> </v>
      </c>
      <c r="AI368" s="149" t="str">
        <f t="shared" si="1038"/>
        <v xml:space="preserve"> </v>
      </c>
      <c r="AK368" s="144" t="str">
        <f t="shared" si="1039"/>
        <v xml:space="preserve"> </v>
      </c>
      <c r="AL368" s="144"/>
      <c r="AM368" s="243" t="str">
        <f t="shared" si="1040"/>
        <v xml:space="preserve"> </v>
      </c>
      <c r="AN368" s="149" t="str">
        <f t="shared" si="1143"/>
        <v xml:space="preserve"> </v>
      </c>
      <c r="AO368" s="144" t="str">
        <f>IF(JB368&gt;0,IF(GI368=10,-R368*1.085*(Calculation!$F$6-Calculation!$F$13)*$S$14," "),"")</f>
        <v/>
      </c>
      <c r="AP368" s="144" t="str">
        <f t="shared" si="1041"/>
        <v/>
      </c>
      <c r="AQ368" s="56" t="str">
        <f t="shared" si="1042"/>
        <v/>
      </c>
      <c r="AR368" s="144" t="str">
        <f t="shared" si="1043"/>
        <v/>
      </c>
      <c r="AS368" s="176" t="str">
        <f t="shared" si="1044"/>
        <v/>
      </c>
      <c r="AT368" s="176" t="str">
        <f t="shared" si="1144"/>
        <v xml:space="preserve"> </v>
      </c>
      <c r="AU368" s="176" t="str">
        <f t="shared" si="1045"/>
        <v/>
      </c>
      <c r="AV368" s="177" t="str">
        <f t="shared" si="1046"/>
        <v xml:space="preserve"> </v>
      </c>
      <c r="AW368" s="144" t="str">
        <f t="shared" si="1047"/>
        <v xml:space="preserve"> </v>
      </c>
      <c r="AX368" s="144" t="str">
        <f t="shared" si="1048"/>
        <v xml:space="preserve"> </v>
      </c>
      <c r="AY368" s="152" t="str">
        <f t="shared" si="1049"/>
        <v xml:space="preserve"> </v>
      </c>
      <c r="AZ368" s="246" t="str">
        <f t="shared" si="1050"/>
        <v/>
      </c>
      <c r="BA368" s="176" t="str">
        <f t="shared" si="1051"/>
        <v xml:space="preserve"> </v>
      </c>
      <c r="BB368" s="176" t="str">
        <f t="shared" si="1052"/>
        <v xml:space="preserve"> </v>
      </c>
      <c r="BC368" s="195"/>
      <c r="BD368" s="316"/>
      <c r="BE368" s="317"/>
      <c r="BF368" s="318"/>
      <c r="BG368" s="318"/>
      <c r="BH368" s="144" t="str">
        <f t="shared" si="1221"/>
        <v xml:space="preserve"> </v>
      </c>
      <c r="BI368" s="176" t="str">
        <f t="shared" si="1053"/>
        <v/>
      </c>
      <c r="BJ368" s="144" t="str">
        <f t="shared" si="1222"/>
        <v/>
      </c>
      <c r="BK368" s="246" t="str">
        <f t="shared" si="1054"/>
        <v/>
      </c>
      <c r="BL368" s="144" t="str">
        <f t="shared" si="1223"/>
        <v/>
      </c>
      <c r="BM368" s="246" t="str">
        <f t="shared" si="1055"/>
        <v/>
      </c>
      <c r="BN368" s="337" t="str">
        <f t="shared" si="1145"/>
        <v/>
      </c>
      <c r="BO368" s="371" t="str">
        <f t="shared" si="1146"/>
        <v/>
      </c>
      <c r="BP368" s="328" t="str">
        <f t="shared" si="1224"/>
        <v xml:space="preserve"> </v>
      </c>
      <c r="BQ368" s="347" t="str">
        <f t="shared" si="1147"/>
        <v xml:space="preserve"> </v>
      </c>
      <c r="BR368" s="353" t="str">
        <f t="shared" si="1148"/>
        <v xml:space="preserve"> </v>
      </c>
      <c r="BS368" s="626" t="str">
        <f>IF(L368&gt;0,IF(Calculation!P368="M13",BR368*3.1416*(0.134^2)/(4*144),IF(Calculation!P368="M17",BR368*3.1416*(0.165^2)/(4*144),IF(Calculation!P368="M20",BR368*3.1416*(0.198^2)/(4*144),IF(Calculation!P368="M23",BR368*3.1416*(0.228^2)/(4*144),IF(Calculation!P368="M27",BR368*3.1416*(0.269^2)/(4*144),BR368*3.1416*(0.307^2)/(4*144))))))," ")</f>
        <v xml:space="preserve"> </v>
      </c>
      <c r="BT368" s="353" t="str">
        <f>IF(L368&gt;0,IF(BS368&gt;0,R368/Calculation!BS368,0)," ")</f>
        <v xml:space="preserve"> </v>
      </c>
      <c r="BU368" s="438" t="e">
        <f t="shared" ca="1" si="1056"/>
        <v>#VALUE!</v>
      </c>
      <c r="BV368" s="449" t="e">
        <f ca="1">INDEX(INDIRECT(VLOOKUP(LEFT(BO368,7),CLU!$Z$3:$AH$18,2)),GN368,GR368)</f>
        <v>#N/A</v>
      </c>
      <c r="BW368" s="433" t="e">
        <f ca="1">INDEX(INDIRECT(VLOOKUP(LEFT(BO368,7),CLU!$Z$3:$AH$18,3)),GN368,GR368)</f>
        <v>#N/A</v>
      </c>
      <c r="BX368" s="433" t="e">
        <f ca="1">INDEX(INDIRECT(VLOOKUP(LEFT(BO368,7),CLU!$Z$3:$AH$18,4)),GN368,GR368)</f>
        <v>#N/A</v>
      </c>
      <c r="BY368" s="433" t="e">
        <f ca="1">INDEX(INDIRECT(VLOOKUP(LEFT(BO368,7),CLU!$Z$3:$AH$18,9)),((M368-2)*(6-COUNTBLANK(GT368:GY368)))+GJ368)</f>
        <v>#N/A</v>
      </c>
      <c r="BZ368" s="426" t="e">
        <f t="shared" ca="1" si="1149"/>
        <v>#N/A</v>
      </c>
      <c r="CA368" s="424" t="e">
        <f t="shared" ca="1" si="1150"/>
        <v>#N/A</v>
      </c>
      <c r="CB368" s="429" t="e">
        <f ca="1">INDEX(INDIRECT(VLOOKUP(LEFT(BO368,7),CLU!$Z$3:$AH$18,2)),GN368,GS368)</f>
        <v>#N/A</v>
      </c>
      <c r="CC368" s="342" t="e">
        <f ca="1">INDEX(INDIRECT(VLOOKUP(LEFT(BO368,7),CLU!$Z$3:$AH$18,3)),GN368,GS368)</f>
        <v>#N/A</v>
      </c>
      <c r="CD368" s="342" t="e">
        <f ca="1">INDEX(INDIRECT(VLOOKUP(LEFT(BO368,7),CLU!$Z$3:$AH$18,4)),GN368,GS368)</f>
        <v>#N/A</v>
      </c>
      <c r="CE368" s="426" t="e">
        <f t="shared" ca="1" si="1151"/>
        <v>#N/A</v>
      </c>
      <c r="CF368" s="440">
        <f t="shared" si="1152"/>
        <v>0</v>
      </c>
      <c r="CG368" s="431" t="e">
        <f ca="1">INDEX(INDIRECT(VLOOKUP(LEFT(BO368,7),CLU!$Z$3:$AH$18,2)),GQ368,GR368)</f>
        <v>#N/A</v>
      </c>
      <c r="CH368" s="431" t="e">
        <f ca="1">INDEX(INDIRECT(VLOOKUP(LEFT(BO368,7),CLU!$Z$3:$AH$18,3)),GQ368,GR368)</f>
        <v>#N/A</v>
      </c>
      <c r="CI368" s="431" t="e">
        <f ca="1">INDEX(INDIRECT(VLOOKUP(LEFT(BO368,7),CLU!$Z$3:$AH$18,4)),GQ368,GR368)</f>
        <v>#N/A</v>
      </c>
      <c r="CJ368" s="448" t="e">
        <f t="shared" ca="1" si="1153"/>
        <v>#N/A</v>
      </c>
      <c r="CK368" s="431" t="e">
        <f t="shared" ca="1" si="1154"/>
        <v>#N/A</v>
      </c>
      <c r="CL368" s="440" t="e">
        <f t="shared" ca="1" si="1155"/>
        <v>#N/A</v>
      </c>
      <c r="CM368" s="431" t="e">
        <f ca="1">INDEX(INDIRECT(VLOOKUP(LEFT(BO368,7),CLU!$Z$3:$AH$18,2)),GQ368,GS368)</f>
        <v>#N/A</v>
      </c>
      <c r="CN368" s="431" t="e">
        <f ca="1">INDEX(INDIRECT(VLOOKUP(LEFT(BO368,7),CLU!$Z$3:$AH$18,3)),GQ368,GS368)</f>
        <v>#N/A</v>
      </c>
      <c r="CO368" s="431" t="e">
        <f ca="1">INDEX(INDIRECT(VLOOKUP(LEFT(BO368,7),CLU!$Z$3:$AH$18,4)),GQ368,GS368)</f>
        <v>#N/A</v>
      </c>
      <c r="CP368" s="431" t="e">
        <f t="shared" ca="1" si="1156"/>
        <v>#N/A</v>
      </c>
      <c r="CQ368" s="440">
        <f t="shared" si="1157"/>
        <v>0</v>
      </c>
      <c r="CR368" s="51" t="e">
        <f t="shared" ca="1" si="1158"/>
        <v>#N/A</v>
      </c>
      <c r="CS368" s="439" t="e">
        <f t="shared" ca="1" si="1159"/>
        <v>#VALUE!</v>
      </c>
      <c r="CT368" s="51" t="e">
        <f t="shared" ca="1" si="1160"/>
        <v>#VALUE!</v>
      </c>
      <c r="CU368" s="10"/>
      <c r="CV368" s="51" t="e">
        <f t="shared" ca="1" si="1057"/>
        <v>#VALUE!</v>
      </c>
      <c r="CW368" s="51">
        <f t="shared" si="1161"/>
        <v>0</v>
      </c>
      <c r="CX368" s="439" t="e">
        <f t="shared" ca="1" si="1162"/>
        <v>#VALUE!</v>
      </c>
      <c r="CY368" s="51" t="e">
        <f t="shared" ca="1" si="1163"/>
        <v>#VALUE!</v>
      </c>
      <c r="CZ368" s="10"/>
      <c r="DA368" s="51" t="e">
        <f t="shared" ca="1" si="1164"/>
        <v>#VALUE!</v>
      </c>
      <c r="DB368" s="347" t="e">
        <f ca="1">INDEX(INDIRECT(VLOOKUP(LEFT(BO368,7),CLU!$Z$3:$AI$18,10)),((M368-2)*(6-COUNTBLANK(GT368:GY368)))+GJ368)*LI368</f>
        <v>#N/A</v>
      </c>
      <c r="DC368" s="347" t="str">
        <f>IF(L368&gt;0,((R368/Worksheet!$I$15)/DB368)^2," ")</f>
        <v xml:space="preserve"> </v>
      </c>
      <c r="DD368" s="602" t="str">
        <f t="shared" si="1165"/>
        <v xml:space="preserve"> </v>
      </c>
      <c r="DE368" s="347" t="str">
        <f t="shared" si="1058"/>
        <v xml:space="preserve"> </v>
      </c>
      <c r="DF368" s="356" t="e">
        <f ca="1">INDEX(INDIRECT(VLOOKUP(LEFT(BO368,7),CLU!$Z$3:$AH$18,8)),((M368-2)*(6-COUNTBLANK(GT368:GY368)))+GJ368)</f>
        <v>#N/A</v>
      </c>
      <c r="DG368" s="347" t="str">
        <f t="shared" si="1059"/>
        <v xml:space="preserve"> </v>
      </c>
      <c r="DH368" s="357" t="str">
        <f t="shared" si="1060"/>
        <v xml:space="preserve"> </v>
      </c>
      <c r="DI368" s="355" t="str">
        <f t="shared" si="1061"/>
        <v xml:space="preserve"> </v>
      </c>
      <c r="DJ368" s="245" t="e">
        <f ca="1">INDEX(INDIRECT(VLOOKUP(LEFT(BO368,7),CLU!$Z$3:$AH$18,5)),GL368,GK368)</f>
        <v>#N/A</v>
      </c>
      <c r="DK368" s="245" t="e">
        <f ca="1">INDEX(INDIRECT(VLOOKUP(LEFT(BO368,7),CLU!$Z$3:$AH$18,6)),GL368,GK368)</f>
        <v>#N/A</v>
      </c>
      <c r="DL368" s="355">
        <f>(Calculation!R368*0.69143*(Calculation!$BQ$8-Calculation!$F$8))*$S$14</f>
        <v>0</v>
      </c>
      <c r="DM368" s="359" t="e">
        <f t="shared" si="1166"/>
        <v>#VALUE!</v>
      </c>
      <c r="DN368" s="611">
        <f t="shared" si="1167"/>
        <v>0</v>
      </c>
      <c r="DO368" s="359">
        <f t="shared" si="1168"/>
        <v>100</v>
      </c>
      <c r="DP368" s="359">
        <f t="shared" si="1169"/>
        <v>0</v>
      </c>
      <c r="DQ368" s="360"/>
      <c r="DR368" s="245" t="e">
        <f ca="1">INDEX(INDIRECT(VLOOKUP(LEFT(BO368,7),CLU!$Z$3:$AH$18,7)),M368-1,1)</f>
        <v>#N/A</v>
      </c>
      <c r="DS368" s="245" t="e">
        <f ca="1">INDEX(INDIRECT(VLOOKUP(LEFT(BO368,7),CLU!$Z$3:$AH$18,7)),M368-1,2)</f>
        <v>#N/A</v>
      </c>
      <c r="DT368" s="245" t="e">
        <f ca="1">INDEX(INDIRECT(VLOOKUP(LEFT(BO368,7),CLU!$Z$3:$AH$18,7)),M368-1,3)</f>
        <v>#N/A</v>
      </c>
      <c r="DU368" s="245" t="e">
        <f ca="1">INDEX(INDIRECT(VLOOKUP(LEFT(BO368,7),CLU!$Z$3:$AH$18,7)),M368-1,4)</f>
        <v>#N/A</v>
      </c>
      <c r="DV368" s="361" t="e">
        <f ca="1">INDEX(INDIRECT(VLOOKUP(LEFT(BO368,7),CLU!$Z$3:$AH$18,7)),M368-1,4+LEFT(DZ368,1)*0.5)</f>
        <v>#N/A</v>
      </c>
      <c r="DW368" s="245" t="e">
        <f ca="1">INDEX(INDIRECT(VLOOKUP(LEFT(BO368,7),CLU!$Z$3:$AH$18,7)),M368-1,8)</f>
        <v>#N/A</v>
      </c>
      <c r="DX368" s="361" t="str">
        <f t="shared" si="1062"/>
        <v xml:space="preserve"> </v>
      </c>
      <c r="DY368" s="361" t="str">
        <f t="shared" si="1063"/>
        <v xml:space="preserve"> </v>
      </c>
      <c r="DZ368" s="361" t="str">
        <f t="shared" si="1064"/>
        <v xml:space="preserve"> </v>
      </c>
      <c r="EA368" s="362" t="str">
        <f t="shared" si="1065"/>
        <v xml:space="preserve"> </v>
      </c>
      <c r="EB368" s="624" t="str">
        <f t="shared" si="1170"/>
        <v xml:space="preserve"> </v>
      </c>
      <c r="EC368" s="361" t="e">
        <f ca="1">INDEX(INDIRECT(VLOOKUP(LEFT(BO368,7),CLU!$Z$3:$AH$18,7)),M368-1,4+LEFT(DZ368,1)*0.5)</f>
        <v>#N/A</v>
      </c>
      <c r="ED368" s="362" t="str">
        <f t="shared" si="1066"/>
        <v xml:space="preserve"> </v>
      </c>
      <c r="EE368" s="361" t="str">
        <f t="shared" si="1067"/>
        <v xml:space="preserve"> </v>
      </c>
      <c r="EF368" s="362" t="str">
        <f>IF(L368&gt;0,IF(BR368&gt;0,IF(EE368="2P",IF(Calculation!DZ368="2P",IF(Calculation!DS368=13.75,IF(Calculation!DR368=13,Worksheet!$BD$43,IF(Calculation!DR368=37,Worksheet!$BD$44,Worksheet!$BD$45)),IF(Calculation!DS368=10,IF(Calculation!DR368=18,Worksheet!$BD$29,IF(Calculation!DR368=30,Worksheet!$BD$30,IF(Calculation!DR368=42,Worksheet!$BD$31,IF(Calculation!DR368=54,Worksheet!$BD$32,IF(Calculation!DR368=66,Worksheet!$BD$33,IF(Calculation!DR368=78,Worksheet!$BD$34,IF(Calculation!DR368=90,Worksheet!$BD$35,IF(Calculation!DR368=102,Worksheet!$BD$36,Worksheet!$BD$37)))))))),IF(Calculation!DS368=12.5,IF(Calculation!DR368=18,Worksheet!$BD$38,IF(Calculation!DR368=Worksheet!$BD$39,IF(Calculation!DR368=42,Worksheet!$BD$40,IF(Calculation!DR368=54,Worksheet!$BD$41,Worksheet!$BD$42)))),IF(Calculation!DR368=18,Worksheet!$BD$11,IF(Calculation!DR368=30,Worksheet!$BD$12,IF(Calculation!DR368=42,Worksheet!$BD$13,IF(Calculation!DR368=54,Worksheet!$BD$14,IF(Calculation!DR368=66,Worksheet!$BD$15,IF(Calculation!DR368=78,Worksheet!$BD$16,IF(Calculation!DR368=90,Worksheet!$BD$17,IF(Calculation!DR368=102,Worksheet!$BD$18,Worksheet!$BD$19))))))))))),IF(Calculation!DS368=13.75,IF(Calculation!DR368=13,Worksheet!$BD$78,IF(Calculation!DR368=37,Worksheet!$BD$79,Worksheet!$BD$80)),IF(Calculation!DS368=10,IF(Calculation!DR368=18,Worksheet!$BD$64,IF(Calculation!DR368=30,Worksheet!$BD$65,IF(Calculation!DR368=42,Worksheet!$BD$66,IF(Calculation!DR368=54,Worksheet!$BD$68,IF(Calculation!DR368=66,Worksheet!$BD$68,IF(Calculation!DR368=78,Worksheet!$BD$69,IF(Calculation!DR368=90,Worksheet!$BD$70,IF(Calculation!DR368=102,Worksheet!$BD$71,Worksheet!$BD$72)))))))),IF(Calculation!DS368=12.5,IF(Calculation!DR368=18,Worksheet!$BD$73,IF(Calculation!DR368=Worksheet!$BD$74,IF(Calculation!DR368=42,Worksheet!$BD$75,IF(Calculation!DR368=54,Worksheet!$BD$76,Worksheet!$BD$77)))),IF(Calculation!DR368=18,Worksheet!$BD$55,IF(Calculation!DR368=30,Worksheet!$BD$56,IF(Calculation!DR368=42,Worksheet!$BD$57,IF(Calculation!DR368=54,Worksheet!$BD$58,IF(Calculation!DR368=66,Worksheet!$BD$59,IF(Calculation!DR368=78,Worksheet!$BD$60,IF(Calculation!DR368=90,Worksheet!$BD$61,IF(Calculation!DR368=102,Worksheet!$BD$62,Worksheet!$BD$63)))))))))))),5),0)," ")</f>
        <v xml:space="preserve"> </v>
      </c>
      <c r="EG368" s="361" t="str">
        <f t="shared" si="1068"/>
        <v xml:space="preserve"> </v>
      </c>
      <c r="EH368" s="361" t="e">
        <f ca="1">INDEX(INDIRECT(VLOOKUP(LEFT(BO368,7),CLU!$Z$3:$AH$18,7)),M368-1,3+LEFT(DZ368,1))</f>
        <v>#N/A</v>
      </c>
      <c r="EI368" s="362" t="str">
        <f t="shared" si="1069"/>
        <v xml:space="preserve"> </v>
      </c>
      <c r="EJ368" s="363" t="str">
        <f t="shared" si="1070"/>
        <v xml:space="preserve"> </v>
      </c>
      <c r="EK368" s="363" t="str">
        <f t="shared" si="1071"/>
        <v xml:space="preserve"> </v>
      </c>
      <c r="EL368" s="363" t="str">
        <f t="shared" si="1072"/>
        <v xml:space="preserve"> </v>
      </c>
      <c r="EM368" s="362" t="str">
        <f>IF(L368&gt;0,IF(BR368&gt;0,(Calculation!T368/ED368)^2,0)," ")</f>
        <v xml:space="preserve"> </v>
      </c>
      <c r="EN368" s="362" t="str">
        <f>IF(L368&gt;0,IF(O368="2 Pipe (Cooling)","N/A",IF(BR368&gt;0,(Calculation!U368/EI368)^2,0))," ")</f>
        <v xml:space="preserve"> </v>
      </c>
      <c r="EO368" s="361" t="str">
        <f t="shared" si="1073"/>
        <v/>
      </c>
      <c r="EP368" s="361" t="str">
        <f t="shared" si="1074"/>
        <v/>
      </c>
      <c r="EQ368" s="361" t="str">
        <f t="shared" si="1075"/>
        <v/>
      </c>
      <c r="ER368" s="361" t="str">
        <f t="shared" si="1076"/>
        <v/>
      </c>
      <c r="ES368" s="361" t="str">
        <f t="shared" si="1077"/>
        <v/>
      </c>
      <c r="ET368" s="361" t="str">
        <f t="shared" si="1078"/>
        <v/>
      </c>
      <c r="EU368" s="361" t="str">
        <f t="shared" si="1079"/>
        <v/>
      </c>
      <c r="EV368" s="361" t="str">
        <f t="shared" si="1080"/>
        <v/>
      </c>
      <c r="EW368" s="361" t="str">
        <f t="shared" si="1081"/>
        <v/>
      </c>
      <c r="EX368" s="361" t="str">
        <f t="shared" si="1171"/>
        <v>1 slot, 1 way</v>
      </c>
      <c r="EY368" s="361" t="str">
        <f t="shared" si="1172"/>
        <v xml:space="preserve"> </v>
      </c>
      <c r="EZ368" s="361" t="str">
        <f t="shared" si="1173"/>
        <v xml:space="preserve"> </v>
      </c>
      <c r="FA368" s="361" t="str">
        <f t="shared" si="1174"/>
        <v xml:space="preserve"> </v>
      </c>
      <c r="FB368" s="361" t="str">
        <f t="shared" si="1175"/>
        <v xml:space="preserve"> </v>
      </c>
      <c r="FC368" s="361"/>
      <c r="FD368" s="361" t="str">
        <f>IF(J368&gt;0,IF(Calculation!R368&lt;=70,4,IF(Calculation!R368&lt;=110,5,IF(Calculation!R368&lt;=160,6,IF(Calculation!R368&lt;=300,8,"10 EO")))),"")</f>
        <v/>
      </c>
      <c r="FE368" s="361" t="str">
        <f t="shared" si="1176"/>
        <v/>
      </c>
      <c r="FF368" s="361" t="str">
        <f t="shared" si="1177"/>
        <v/>
      </c>
      <c r="FG368" s="361" t="e">
        <f t="shared" si="1082"/>
        <v>#N/A</v>
      </c>
      <c r="FH368" s="361">
        <f t="shared" si="1083"/>
        <v>0</v>
      </c>
      <c r="FI368" s="361" t="e">
        <f t="shared" si="1084"/>
        <v>#DIV/0!</v>
      </c>
      <c r="FJ368" s="361"/>
      <c r="FK368" s="356" t="e">
        <f t="shared" si="1085"/>
        <v>#VALUE!</v>
      </c>
      <c r="FL368" s="361"/>
      <c r="FM368" s="361"/>
      <c r="FN368" s="362" t="str">
        <f t="shared" si="1178"/>
        <v xml:space="preserve"> </v>
      </c>
      <c r="FO368" s="362" t="str">
        <f t="shared" si="1179"/>
        <v xml:space="preserve"> </v>
      </c>
      <c r="FP368" s="362">
        <f t="shared" si="1180"/>
        <v>0</v>
      </c>
      <c r="FQ368" s="361">
        <f t="shared" si="1086"/>
        <v>0</v>
      </c>
      <c r="FR368" s="362" t="str">
        <f>IF(L368&gt;0,IF(J368="CBAL2",Worksheet!$P$67,IF(J368="CBE2-24",Worksheet!$Q$67,IF(J368="CBAM",Worksheet!$R$67,IF(J368="CBLV",Worksheet!$S$67,IF(J368="CBAB",Worksheet!$U$67,IF(J368="CBAW",Worksheet!$X$67,IF(J368="CBE2-12",Worksheet!$Y$67,IF(J368="CBAL2",Worksheet!$Z$67,"N/A"))))))))," ")</f>
        <v xml:space="preserve"> </v>
      </c>
      <c r="FS368" s="362" t="str">
        <f>IF(L368&gt;0,IF(J368="CBAL2",Worksheet!$P$68,IF(J368="CBE2-24",Worksheet!$Q$68,IF(J368="CBAM",Worksheet!$R$68,IF(J368="CBLV",Worksheet!$S$68,IF(J368="CBAB",Worksheet!$U$68,IF(J368="CBAW",Worksheet!$X$68,IF(J368="CBE2-12",Worksheet!$Y$68,IF(J368="CBAL2",Worksheet!$Z$68,"N/A"))))))))," ")</f>
        <v xml:space="preserve"> </v>
      </c>
      <c r="FT368" s="362" t="str">
        <f>IF(L368&gt;0,IF(J368="CBAL2",Worksheet!$P$69,IF(J368="CBE2-24",Worksheet!$Q$69,IF(J368="CBAM",Worksheet!$R$69,IF(J368="CBLV",Worksheet!$S$69,IF(J368="CBAB",Worksheet!$U$69,IF(J368="CBAW",Worksheet!$X$69,IF(J368="CBE2-12",Worksheet!$Y$69,IF(J368="CBAL2",Worksheet!$Z$69,"N/A"))))))))," ")</f>
        <v xml:space="preserve"> </v>
      </c>
      <c r="FU368" s="361" t="str">
        <f t="shared" si="1181"/>
        <v xml:space="preserve"> </v>
      </c>
      <c r="FV368" s="362" t="str">
        <f t="shared" si="1182"/>
        <v xml:space="preserve"> </v>
      </c>
      <c r="FW368" s="362" t="str">
        <f t="shared" si="1183"/>
        <v xml:space="preserve"> </v>
      </c>
      <c r="FX368" s="362" t="str">
        <f t="shared" si="1184"/>
        <v xml:space="preserve"> </v>
      </c>
      <c r="FY368" s="355" t="str">
        <f t="shared" si="1185"/>
        <v xml:space="preserve"> </v>
      </c>
      <c r="FZ368" s="361" t="str">
        <f t="shared" si="1186"/>
        <v xml:space="preserve"> </v>
      </c>
      <c r="GA368" s="347" t="str">
        <f t="shared" si="1187"/>
        <v xml:space="preserve"> </v>
      </c>
      <c r="GB368" s="355" t="str">
        <f t="shared" si="1188"/>
        <v xml:space="preserve"> </v>
      </c>
      <c r="GC368" s="328" t="str">
        <f t="shared" si="1189"/>
        <v xml:space="preserve"> </v>
      </c>
      <c r="GD368" s="361" t="str">
        <f t="shared" si="1190"/>
        <v xml:space="preserve"> </v>
      </c>
      <c r="GE368" s="347" t="str">
        <f t="shared" si="1191"/>
        <v xml:space="preserve"> </v>
      </c>
      <c r="GF368" s="361" t="str">
        <f t="shared" si="1192"/>
        <v xml:space="preserve"> </v>
      </c>
      <c r="GG368" s="347" t="str">
        <f t="shared" si="1193"/>
        <v xml:space="preserve"> </v>
      </c>
      <c r="GH368" s="364">
        <f t="shared" si="1087"/>
        <v>0</v>
      </c>
      <c r="GI368" s="362">
        <f t="shared" si="1194"/>
        <v>2</v>
      </c>
      <c r="GJ368" s="433" t="e">
        <f>IF(6-COUNTBLANK(GT368:GY368)=4,MATCH(MID(BO368,9,3),CLU!$H$16:$K$16),MATCH(MID(BO368,9,3),CLU!$H$13:$M$13))</f>
        <v>#N/A</v>
      </c>
      <c r="GK368" s="433" t="e">
        <f>HLOOKUP(VALUE(BP368),CLU!$H$9:$M$10,2)</f>
        <v>#VALUE!</v>
      </c>
      <c r="GL368" s="433" t="e">
        <f ca="1">MATCH(BU368,CLU!$H$2:$V$2,1)</f>
        <v>#VALUE!</v>
      </c>
      <c r="GM368" s="433" t="e">
        <f t="shared" ca="1" si="1195"/>
        <v>#VALUE!</v>
      </c>
      <c r="GN368" s="433" t="e">
        <f t="shared" ca="1" si="1196"/>
        <v>#VALUE!</v>
      </c>
      <c r="GO368" s="433" t="e">
        <f t="shared" ca="1" si="1197"/>
        <v>#VALUE!</v>
      </c>
      <c r="GP368" s="433" t="e">
        <f t="shared" ca="1" si="1198"/>
        <v>#VALUE!</v>
      </c>
      <c r="GQ368" s="433" t="e">
        <f t="shared" ca="1" si="1199"/>
        <v>#VALUE!</v>
      </c>
      <c r="GR368" s="433" t="e">
        <f ca="1">MATCH(T368,INDIRECT(VLOOKUP(CONCATENATE(LEFT(BO368,7),"-",MID(BO368,13,1)),CLU!$P$3:$Q$16,2)),1)</f>
        <v>#N/A</v>
      </c>
      <c r="GS368" s="433" t="e">
        <f ca="1">MATCH(U368,INDIRECT(VLOOKUP(CONCATENATE(LEFT(BO368,7),"-",MID(BO368,13,1)),CLU!$P$3:$Q$16,2)),1)</f>
        <v>#N/A</v>
      </c>
      <c r="GT368" s="347" t="s">
        <v>512</v>
      </c>
      <c r="GU368" s="97" t="s">
        <v>513</v>
      </c>
      <c r="GV368" s="97" t="str">
        <f t="shared" si="1200"/>
        <v>M23</v>
      </c>
      <c r="GW368" s="97" t="str">
        <f t="shared" si="1201"/>
        <v>M31</v>
      </c>
      <c r="GX368" s="97" t="str">
        <f t="shared" si="1202"/>
        <v/>
      </c>
      <c r="GY368" s="97" t="str">
        <f t="shared" si="1203"/>
        <v/>
      </c>
      <c r="GZ368" s="481"/>
      <c r="HA368" s="240"/>
      <c r="HB368" s="240"/>
      <c r="HC368" s="240"/>
      <c r="HD368" s="240"/>
      <c r="HE368" s="240"/>
      <c r="HF368" s="240"/>
      <c r="HG368" s="240"/>
      <c r="HH368" s="240"/>
      <c r="HI368" s="240"/>
      <c r="HJ368" s="240"/>
      <c r="HK368" s="240"/>
      <c r="HL368" s="240"/>
      <c r="HM368" s="240"/>
      <c r="HN368" s="240"/>
      <c r="HO368" s="240"/>
      <c r="HP368" s="240"/>
      <c r="HQ368" s="240"/>
      <c r="HR368" s="240"/>
      <c r="HS368" s="240"/>
      <c r="HT368" s="240"/>
      <c r="HU368" s="240"/>
      <c r="HV368" s="245"/>
      <c r="HW368" s="245" t="b">
        <v>1</v>
      </c>
      <c r="HX368" s="245" t="str">
        <f t="shared" si="1088"/>
        <v/>
      </c>
      <c r="HY368" s="245" t="e">
        <f t="shared" si="1089"/>
        <v>#DIV/0!</v>
      </c>
      <c r="HZ368" s="245" t="e">
        <f t="shared" si="1090"/>
        <v>#DIV/0!</v>
      </c>
      <c r="IA368" s="245">
        <f t="shared" si="1091"/>
        <v>0</v>
      </c>
      <c r="IB368" s="245"/>
      <c r="IC368" t="b">
        <f t="shared" si="1092"/>
        <v>1</v>
      </c>
      <c r="ID368" s="245" t="b">
        <f t="shared" si="1093"/>
        <v>1</v>
      </c>
      <c r="IE368" s="245" t="b">
        <f t="shared" si="1094"/>
        <v>1</v>
      </c>
      <c r="IF368" s="245" t="b">
        <f t="shared" si="1095"/>
        <v>0</v>
      </c>
      <c r="IG368" s="245" t="b">
        <f t="shared" si="1096"/>
        <v>1</v>
      </c>
      <c r="IH368" s="245" t="b">
        <f t="shared" si="1097"/>
        <v>1</v>
      </c>
      <c r="II368" s="245">
        <f t="shared" si="1204"/>
        <v>0</v>
      </c>
      <c r="IJ368" s="245" t="e">
        <f t="shared" si="1098"/>
        <v>#VALUE!</v>
      </c>
      <c r="IK368" s="245" t="e">
        <f t="shared" si="1099"/>
        <v>#VALUE!</v>
      </c>
      <c r="IL368" s="245"/>
      <c r="IM368" s="245" t="e">
        <f t="shared" si="1205"/>
        <v>#N/A</v>
      </c>
      <c r="IN368" s="245" t="e">
        <f t="shared" si="1206"/>
        <v>#N/A</v>
      </c>
      <c r="IO368" s="245"/>
      <c r="IP368" s="245"/>
      <c r="IQ368" s="245" t="str">
        <f t="shared" si="1100"/>
        <v/>
      </c>
      <c r="IR368" s="245" t="str">
        <f>IF(J368="","",VLOOKUP(J368,Worksheet!$R$4:$T$14,2))</f>
        <v/>
      </c>
      <c r="IS368" s="245"/>
      <c r="IT368" s="245">
        <f t="shared" si="1101"/>
        <v>0</v>
      </c>
      <c r="IU368" s="245">
        <f t="shared" si="1102"/>
        <v>0</v>
      </c>
      <c r="IV368" s="245">
        <f t="shared" si="1103"/>
        <v>0</v>
      </c>
      <c r="IW368" s="245">
        <f t="shared" si="1104"/>
        <v>0</v>
      </c>
      <c r="IX368" s="245">
        <f t="shared" si="1207"/>
        <v>0</v>
      </c>
      <c r="IY368" s="245">
        <f t="shared" si="1105"/>
        <v>0</v>
      </c>
      <c r="IZ368" s="245">
        <f t="shared" si="1106"/>
        <v>0</v>
      </c>
      <c r="JA368">
        <f t="shared" si="1107"/>
        <v>0</v>
      </c>
      <c r="JB368">
        <f t="shared" si="1208"/>
        <v>0</v>
      </c>
      <c r="JC368">
        <f t="shared" si="1108"/>
        <v>0</v>
      </c>
      <c r="JD368">
        <f t="shared" si="1109"/>
        <v>0</v>
      </c>
      <c r="JE368">
        <f t="shared" si="1110"/>
        <v>0</v>
      </c>
      <c r="JF368">
        <f t="shared" si="1111"/>
        <v>0</v>
      </c>
      <c r="JG368">
        <f t="shared" si="1112"/>
        <v>0</v>
      </c>
      <c r="JH368">
        <f t="shared" si="1113"/>
        <v>0</v>
      </c>
      <c r="JI368">
        <f t="shared" si="1114"/>
        <v>0</v>
      </c>
      <c r="JJ368" s="447">
        <f t="shared" si="1115"/>
        <v>0</v>
      </c>
      <c r="JK368" s="447">
        <f t="shared" si="1116"/>
        <v>0</v>
      </c>
      <c r="JL368">
        <f t="shared" si="1117"/>
        <v>0</v>
      </c>
      <c r="JM368" s="245" t="str">
        <f>IFERROR(VLOOKUP(MATCH(BN368,#REF!,0),#REF!,7),"")</f>
        <v/>
      </c>
      <c r="JN368" t="e">
        <f>HLOOKUP(LEFT(BO368,7),Discharge_Area,MATCH(JO368,LookUps!$B$130:$B$149,1)+2)</f>
        <v>#N/A</v>
      </c>
      <c r="JO368" t="str">
        <f t="shared" si="1118"/>
        <v>- S</v>
      </c>
      <c r="JP368" t="e">
        <f>HLOOKUP(LEFT(BO368,7),Discharge_Area,MATCH(JO368,LookUps!$B$130:$B$149,1)+2)</f>
        <v>#N/A</v>
      </c>
      <c r="JQ368" t="e">
        <f t="shared" si="1119"/>
        <v>#N/A</v>
      </c>
      <c r="JR368" t="e">
        <f t="shared" si="1120"/>
        <v>#N/A</v>
      </c>
      <c r="JS368" t="e">
        <f t="shared" si="1121"/>
        <v>#N/A</v>
      </c>
      <c r="JT368" s="532" t="str">
        <f t="shared" si="1122"/>
        <v xml:space="preserve"> </v>
      </c>
      <c r="JU368" s="532" t="str">
        <f t="shared" si="1123"/>
        <v xml:space="preserve"> </v>
      </c>
      <c r="JV368" s="533" t="str">
        <f t="shared" si="1124"/>
        <v xml:space="preserve"> </v>
      </c>
      <c r="JW368" s="534">
        <f t="shared" si="1125"/>
        <v>0</v>
      </c>
      <c r="JX368" s="535" t="str">
        <f t="shared" si="1209"/>
        <v xml:space="preserve"> </v>
      </c>
      <c r="JY368" s="535" t="str">
        <f t="shared" si="1210"/>
        <v xml:space="preserve"> </v>
      </c>
      <c r="JZ368" s="535" t="str">
        <f t="shared" si="1211"/>
        <v xml:space="preserve"> </v>
      </c>
      <c r="KA368" s="536" t="str">
        <f t="shared" si="1126"/>
        <v xml:space="preserve"> </v>
      </c>
      <c r="KB368" s="535" t="e">
        <f t="shared" si="1212"/>
        <v>#VALUE!</v>
      </c>
      <c r="KC368" s="535" t="str">
        <f t="shared" si="1127"/>
        <v/>
      </c>
      <c r="KD368" s="537" t="str">
        <f t="shared" si="1213"/>
        <v xml:space="preserve"> </v>
      </c>
      <c r="KE368" s="537" t="str">
        <f t="shared" si="1214"/>
        <v xml:space="preserve"> </v>
      </c>
      <c r="KF368" s="534">
        <f t="shared" si="1128"/>
        <v>0</v>
      </c>
      <c r="KG368" s="535" t="str">
        <f t="shared" si="1129"/>
        <v xml:space="preserve"> </v>
      </c>
      <c r="KH368" s="535" t="str">
        <f t="shared" si="1130"/>
        <v xml:space="preserve"> </v>
      </c>
      <c r="KI368" s="535" t="str">
        <f t="shared" si="1131"/>
        <v xml:space="preserve"> </v>
      </c>
      <c r="KJ368" s="536" t="str">
        <f t="shared" si="1132"/>
        <v xml:space="preserve"> </v>
      </c>
      <c r="KK368" s="535" t="str">
        <f t="shared" si="1215"/>
        <v xml:space="preserve"> </v>
      </c>
      <c r="KL368" s="535" t="str">
        <f t="shared" si="1216"/>
        <v xml:space="preserve"> </v>
      </c>
      <c r="KM368" s="537" t="str">
        <f t="shared" si="1133"/>
        <v xml:space="preserve"> </v>
      </c>
      <c r="KN368" s="537" t="str">
        <f t="shared" si="1217"/>
        <v xml:space="preserve"> </v>
      </c>
      <c r="KP368">
        <f t="shared" si="1134"/>
        <v>0</v>
      </c>
      <c r="LA368" t="e">
        <f t="shared" si="1135"/>
        <v>#VALUE!</v>
      </c>
      <c r="LB368" t="e">
        <f t="shared" si="1136"/>
        <v>#VALUE!</v>
      </c>
      <c r="LC368" t="e">
        <f t="shared" si="1137"/>
        <v>#VALUE!</v>
      </c>
      <c r="LD368" t="e">
        <f t="shared" si="1138"/>
        <v>#VALUE!</v>
      </c>
      <c r="LE368" t="e">
        <f t="shared" si="1218"/>
        <v>#VALUE!</v>
      </c>
      <c r="LF368">
        <f t="shared" si="1139"/>
        <v>0</v>
      </c>
      <c r="LG368" t="e">
        <f t="shared" si="1219"/>
        <v>#VALUE!</v>
      </c>
      <c r="LH368" t="str">
        <f t="shared" si="1140"/>
        <v xml:space="preserve"> </v>
      </c>
      <c r="LI368">
        <f t="shared" si="1220"/>
        <v>1</v>
      </c>
    </row>
    <row r="369" spans="2:321" ht="15" customHeight="1">
      <c r="B369" s="311"/>
      <c r="C369" s="311"/>
      <c r="D369" s="312"/>
      <c r="E369" s="311"/>
      <c r="F369" s="312"/>
      <c r="G369" s="311"/>
      <c r="H369" s="311"/>
      <c r="I369" s="232"/>
      <c r="J369" s="311"/>
      <c r="K369" s="305" t="str">
        <f t="shared" si="1141"/>
        <v/>
      </c>
      <c r="L369" s="313"/>
      <c r="M369" s="312"/>
      <c r="N369" s="311"/>
      <c r="O369" s="312"/>
      <c r="P369" s="311"/>
      <c r="Q369" s="305" t="str">
        <f t="shared" si="1142"/>
        <v/>
      </c>
      <c r="R369" s="314"/>
      <c r="S369" s="450" t="str">
        <f t="shared" si="1025"/>
        <v/>
      </c>
      <c r="T369" s="315"/>
      <c r="U369" s="315"/>
      <c r="W369" s="149" t="str">
        <f t="shared" si="1026"/>
        <v xml:space="preserve"> </v>
      </c>
      <c r="X369" s="243" t="str">
        <f t="shared" si="1027"/>
        <v xml:space="preserve"> </v>
      </c>
      <c r="Y369" s="150" t="str">
        <f t="shared" si="1028"/>
        <v/>
      </c>
      <c r="Z369" s="149" t="str">
        <f t="shared" si="1029"/>
        <v xml:space="preserve"> </v>
      </c>
      <c r="AA369" s="98" t="str">
        <f t="shared" si="1030"/>
        <v xml:space="preserve"> </v>
      </c>
      <c r="AB369" s="153" t="str">
        <f t="shared" si="1031"/>
        <v xml:space="preserve"> </v>
      </c>
      <c r="AC369" s="153" t="str">
        <f t="shared" si="1032"/>
        <v xml:space="preserve"> </v>
      </c>
      <c r="AD369" s="148" t="str">
        <f t="shared" si="1033"/>
        <v/>
      </c>
      <c r="AE369" s="149" t="str">
        <f t="shared" si="1034"/>
        <v/>
      </c>
      <c r="AF369" s="151" t="str">
        <f t="shared" si="1035"/>
        <v xml:space="preserve"> </v>
      </c>
      <c r="AG369" s="153" t="str">
        <f t="shared" si="1036"/>
        <v xml:space="preserve"> </v>
      </c>
      <c r="AH369" s="98" t="str">
        <f t="shared" si="1037"/>
        <v xml:space="preserve"> </v>
      </c>
      <c r="AI369" s="149" t="str">
        <f t="shared" si="1038"/>
        <v xml:space="preserve"> </v>
      </c>
      <c r="AK369" s="144" t="str">
        <f t="shared" si="1039"/>
        <v xml:space="preserve"> </v>
      </c>
      <c r="AL369" s="144"/>
      <c r="AM369" s="243" t="str">
        <f t="shared" si="1040"/>
        <v xml:space="preserve"> </v>
      </c>
      <c r="AN369" s="149" t="str">
        <f t="shared" si="1143"/>
        <v xml:space="preserve"> </v>
      </c>
      <c r="AO369" s="144" t="str">
        <f>IF(JB369&gt;0,IF(GI369=10,-R369*1.085*(Calculation!$F$6-Calculation!$F$13)*$S$14," "),"")</f>
        <v/>
      </c>
      <c r="AP369" s="144" t="str">
        <f t="shared" si="1041"/>
        <v/>
      </c>
      <c r="AQ369" s="56" t="str">
        <f t="shared" si="1042"/>
        <v/>
      </c>
      <c r="AR369" s="144" t="str">
        <f t="shared" si="1043"/>
        <v/>
      </c>
      <c r="AS369" s="176" t="str">
        <f t="shared" si="1044"/>
        <v/>
      </c>
      <c r="AT369" s="176" t="str">
        <f t="shared" si="1144"/>
        <v xml:space="preserve"> </v>
      </c>
      <c r="AU369" s="176" t="str">
        <f t="shared" si="1045"/>
        <v/>
      </c>
      <c r="AV369" s="177" t="str">
        <f t="shared" si="1046"/>
        <v xml:space="preserve"> </v>
      </c>
      <c r="AW369" s="144" t="str">
        <f t="shared" si="1047"/>
        <v xml:space="preserve"> </v>
      </c>
      <c r="AX369" s="144" t="str">
        <f t="shared" si="1048"/>
        <v xml:space="preserve"> </v>
      </c>
      <c r="AY369" s="152" t="str">
        <f t="shared" si="1049"/>
        <v xml:space="preserve"> </v>
      </c>
      <c r="AZ369" s="246" t="str">
        <f t="shared" si="1050"/>
        <v/>
      </c>
      <c r="BA369" s="176" t="str">
        <f t="shared" si="1051"/>
        <v xml:space="preserve"> </v>
      </c>
      <c r="BB369" s="176" t="str">
        <f t="shared" si="1052"/>
        <v xml:space="preserve"> </v>
      </c>
      <c r="BC369" s="195"/>
      <c r="BD369" s="316"/>
      <c r="BE369" s="317"/>
      <c r="BF369" s="318"/>
      <c r="BG369" s="318"/>
      <c r="BH369" s="144" t="str">
        <f t="shared" si="1221"/>
        <v xml:space="preserve"> </v>
      </c>
      <c r="BI369" s="176" t="str">
        <f t="shared" si="1053"/>
        <v/>
      </c>
      <c r="BJ369" s="144" t="str">
        <f t="shared" si="1222"/>
        <v/>
      </c>
      <c r="BK369" s="246" t="str">
        <f t="shared" si="1054"/>
        <v/>
      </c>
      <c r="BL369" s="144" t="str">
        <f t="shared" si="1223"/>
        <v/>
      </c>
      <c r="BM369" s="246" t="str">
        <f t="shared" si="1055"/>
        <v/>
      </c>
      <c r="BN369" s="337" t="str">
        <f t="shared" si="1145"/>
        <v/>
      </c>
      <c r="BO369" s="371" t="str">
        <f t="shared" si="1146"/>
        <v/>
      </c>
      <c r="BP369" s="328" t="str">
        <f t="shared" si="1224"/>
        <v xml:space="preserve"> </v>
      </c>
      <c r="BQ369" s="347" t="str">
        <f t="shared" si="1147"/>
        <v xml:space="preserve"> </v>
      </c>
      <c r="BR369" s="353" t="str">
        <f t="shared" si="1148"/>
        <v xml:space="preserve"> </v>
      </c>
      <c r="BS369" s="626" t="str">
        <f>IF(L369&gt;0,IF(Calculation!P369="M13",BR369*3.1416*(0.134^2)/(4*144),IF(Calculation!P369="M17",BR369*3.1416*(0.165^2)/(4*144),IF(Calculation!P369="M20",BR369*3.1416*(0.198^2)/(4*144),IF(Calculation!P369="M23",BR369*3.1416*(0.228^2)/(4*144),IF(Calculation!P369="M27",BR369*3.1416*(0.269^2)/(4*144),BR369*3.1416*(0.307^2)/(4*144))))))," ")</f>
        <v xml:space="preserve"> </v>
      </c>
      <c r="BT369" s="353" t="str">
        <f>IF(L369&gt;0,IF(BS369&gt;0,R369/Calculation!BS369,0)," ")</f>
        <v xml:space="preserve"> </v>
      </c>
      <c r="BU369" s="438" t="e">
        <f t="shared" ca="1" si="1056"/>
        <v>#VALUE!</v>
      </c>
      <c r="BV369" s="449" t="e">
        <f ca="1">INDEX(INDIRECT(VLOOKUP(LEFT(BO369,7),CLU!$Z$3:$AH$18,2)),GN369,GR369)</f>
        <v>#N/A</v>
      </c>
      <c r="BW369" s="433" t="e">
        <f ca="1">INDEX(INDIRECT(VLOOKUP(LEFT(BO369,7),CLU!$Z$3:$AH$18,3)),GN369,GR369)</f>
        <v>#N/A</v>
      </c>
      <c r="BX369" s="433" t="e">
        <f ca="1">INDEX(INDIRECT(VLOOKUP(LEFT(BO369,7),CLU!$Z$3:$AH$18,4)),GN369,GR369)</f>
        <v>#N/A</v>
      </c>
      <c r="BY369" s="433" t="e">
        <f ca="1">INDEX(INDIRECT(VLOOKUP(LEFT(BO369,7),CLU!$Z$3:$AH$18,9)),((M369-2)*(6-COUNTBLANK(GT369:GY369)))+GJ369)</f>
        <v>#N/A</v>
      </c>
      <c r="BZ369" s="426" t="e">
        <f t="shared" ca="1" si="1149"/>
        <v>#N/A</v>
      </c>
      <c r="CA369" s="424" t="e">
        <f t="shared" ca="1" si="1150"/>
        <v>#N/A</v>
      </c>
      <c r="CB369" s="429" t="e">
        <f ca="1">INDEX(INDIRECT(VLOOKUP(LEFT(BO369,7),CLU!$Z$3:$AH$18,2)),GN369,GS369)</f>
        <v>#N/A</v>
      </c>
      <c r="CC369" s="342" t="e">
        <f ca="1">INDEX(INDIRECT(VLOOKUP(LEFT(BO369,7),CLU!$Z$3:$AH$18,3)),GN369,GS369)</f>
        <v>#N/A</v>
      </c>
      <c r="CD369" s="342" t="e">
        <f ca="1">INDEX(INDIRECT(VLOOKUP(LEFT(BO369,7),CLU!$Z$3:$AH$18,4)),GN369,GS369)</f>
        <v>#N/A</v>
      </c>
      <c r="CE369" s="426" t="e">
        <f t="shared" ca="1" si="1151"/>
        <v>#N/A</v>
      </c>
      <c r="CF369" s="440">
        <f t="shared" si="1152"/>
        <v>0</v>
      </c>
      <c r="CG369" s="431" t="e">
        <f ca="1">INDEX(INDIRECT(VLOOKUP(LEFT(BO369,7),CLU!$Z$3:$AH$18,2)),GQ369,GR369)</f>
        <v>#N/A</v>
      </c>
      <c r="CH369" s="431" t="e">
        <f ca="1">INDEX(INDIRECT(VLOOKUP(LEFT(BO369,7),CLU!$Z$3:$AH$18,3)),GQ369,GR369)</f>
        <v>#N/A</v>
      </c>
      <c r="CI369" s="431" t="e">
        <f ca="1">INDEX(INDIRECT(VLOOKUP(LEFT(BO369,7),CLU!$Z$3:$AH$18,4)),GQ369,GR369)</f>
        <v>#N/A</v>
      </c>
      <c r="CJ369" s="448" t="e">
        <f t="shared" ca="1" si="1153"/>
        <v>#N/A</v>
      </c>
      <c r="CK369" s="431" t="e">
        <f t="shared" ca="1" si="1154"/>
        <v>#N/A</v>
      </c>
      <c r="CL369" s="440" t="e">
        <f t="shared" ca="1" si="1155"/>
        <v>#N/A</v>
      </c>
      <c r="CM369" s="431" t="e">
        <f ca="1">INDEX(INDIRECT(VLOOKUP(LEFT(BO369,7),CLU!$Z$3:$AH$18,2)),GQ369,GS369)</f>
        <v>#N/A</v>
      </c>
      <c r="CN369" s="431" t="e">
        <f ca="1">INDEX(INDIRECT(VLOOKUP(LEFT(BO369,7),CLU!$Z$3:$AH$18,3)),GQ369,GS369)</f>
        <v>#N/A</v>
      </c>
      <c r="CO369" s="431" t="e">
        <f ca="1">INDEX(INDIRECT(VLOOKUP(LEFT(BO369,7),CLU!$Z$3:$AH$18,4)),GQ369,GS369)</f>
        <v>#N/A</v>
      </c>
      <c r="CP369" s="431" t="e">
        <f t="shared" ca="1" si="1156"/>
        <v>#N/A</v>
      </c>
      <c r="CQ369" s="440">
        <f t="shared" si="1157"/>
        <v>0</v>
      </c>
      <c r="CR369" s="51" t="e">
        <f t="shared" ca="1" si="1158"/>
        <v>#N/A</v>
      </c>
      <c r="CS369" s="439" t="e">
        <f t="shared" ca="1" si="1159"/>
        <v>#VALUE!</v>
      </c>
      <c r="CT369" s="51" t="e">
        <f t="shared" ca="1" si="1160"/>
        <v>#VALUE!</v>
      </c>
      <c r="CU369" s="10"/>
      <c r="CV369" s="51" t="e">
        <f t="shared" ca="1" si="1057"/>
        <v>#VALUE!</v>
      </c>
      <c r="CW369" s="51">
        <f t="shared" si="1161"/>
        <v>0</v>
      </c>
      <c r="CX369" s="439" t="e">
        <f t="shared" ca="1" si="1162"/>
        <v>#VALUE!</v>
      </c>
      <c r="CY369" s="51" t="e">
        <f t="shared" ca="1" si="1163"/>
        <v>#VALUE!</v>
      </c>
      <c r="CZ369" s="10"/>
      <c r="DA369" s="51" t="e">
        <f t="shared" ca="1" si="1164"/>
        <v>#VALUE!</v>
      </c>
      <c r="DB369" s="347" t="e">
        <f ca="1">INDEX(INDIRECT(VLOOKUP(LEFT(BO369,7),CLU!$Z$3:$AI$18,10)),((M369-2)*(6-COUNTBLANK(GT369:GY369)))+GJ369)*LI369</f>
        <v>#N/A</v>
      </c>
      <c r="DC369" s="347" t="str">
        <f>IF(L369&gt;0,((R369/Worksheet!$I$15)/DB369)^2," ")</f>
        <v xml:space="preserve"> </v>
      </c>
      <c r="DD369" s="602" t="str">
        <f t="shared" si="1165"/>
        <v xml:space="preserve"> </v>
      </c>
      <c r="DE369" s="347" t="str">
        <f t="shared" si="1058"/>
        <v xml:space="preserve"> </v>
      </c>
      <c r="DF369" s="356" t="e">
        <f ca="1">INDEX(INDIRECT(VLOOKUP(LEFT(BO369,7),CLU!$Z$3:$AH$18,8)),((M369-2)*(6-COUNTBLANK(GT369:GY369)))+GJ369)</f>
        <v>#N/A</v>
      </c>
      <c r="DG369" s="347" t="str">
        <f t="shared" si="1059"/>
        <v xml:space="preserve"> </v>
      </c>
      <c r="DH369" s="357" t="str">
        <f t="shared" si="1060"/>
        <v xml:space="preserve"> </v>
      </c>
      <c r="DI369" s="355" t="str">
        <f t="shared" si="1061"/>
        <v xml:space="preserve"> </v>
      </c>
      <c r="DJ369" s="245" t="e">
        <f ca="1">INDEX(INDIRECT(VLOOKUP(LEFT(BO369,7),CLU!$Z$3:$AH$18,5)),GL369,GK369)</f>
        <v>#N/A</v>
      </c>
      <c r="DK369" s="245" t="e">
        <f ca="1">INDEX(INDIRECT(VLOOKUP(LEFT(BO369,7),CLU!$Z$3:$AH$18,6)),GL369,GK369)</f>
        <v>#N/A</v>
      </c>
      <c r="DL369" s="355">
        <f>(Calculation!R369*0.69143*(Calculation!$BQ$8-Calculation!$F$8))*$S$14</f>
        <v>0</v>
      </c>
      <c r="DM369" s="359" t="e">
        <f t="shared" si="1166"/>
        <v>#VALUE!</v>
      </c>
      <c r="DN369" s="611">
        <f t="shared" si="1167"/>
        <v>0</v>
      </c>
      <c r="DO369" s="359">
        <f t="shared" si="1168"/>
        <v>100</v>
      </c>
      <c r="DP369" s="359">
        <f t="shared" si="1169"/>
        <v>0</v>
      </c>
      <c r="DQ369" s="360"/>
      <c r="DR369" s="245" t="e">
        <f ca="1">INDEX(INDIRECT(VLOOKUP(LEFT(BO369,7),CLU!$Z$3:$AH$18,7)),M369-1,1)</f>
        <v>#N/A</v>
      </c>
      <c r="DS369" s="245" t="e">
        <f ca="1">INDEX(INDIRECT(VLOOKUP(LEFT(BO369,7),CLU!$Z$3:$AH$18,7)),M369-1,2)</f>
        <v>#N/A</v>
      </c>
      <c r="DT369" s="245" t="e">
        <f ca="1">INDEX(INDIRECT(VLOOKUP(LEFT(BO369,7),CLU!$Z$3:$AH$18,7)),M369-1,3)</f>
        <v>#N/A</v>
      </c>
      <c r="DU369" s="245" t="e">
        <f ca="1">INDEX(INDIRECT(VLOOKUP(LEFT(BO369,7),CLU!$Z$3:$AH$18,7)),M369-1,4)</f>
        <v>#N/A</v>
      </c>
      <c r="DV369" s="361" t="e">
        <f ca="1">INDEX(INDIRECT(VLOOKUP(LEFT(BO369,7),CLU!$Z$3:$AH$18,7)),M369-1,4+LEFT(DZ369,1)*0.5)</f>
        <v>#N/A</v>
      </c>
      <c r="DW369" s="245" t="e">
        <f ca="1">INDEX(INDIRECT(VLOOKUP(LEFT(BO369,7),CLU!$Z$3:$AH$18,7)),M369-1,8)</f>
        <v>#N/A</v>
      </c>
      <c r="DX369" s="361" t="str">
        <f t="shared" si="1062"/>
        <v xml:space="preserve"> </v>
      </c>
      <c r="DY369" s="361" t="str">
        <f t="shared" si="1063"/>
        <v xml:space="preserve"> </v>
      </c>
      <c r="DZ369" s="361" t="str">
        <f t="shared" si="1064"/>
        <v xml:space="preserve"> </v>
      </c>
      <c r="EA369" s="362" t="str">
        <f t="shared" si="1065"/>
        <v xml:space="preserve"> </v>
      </c>
      <c r="EB369" s="624" t="str">
        <f t="shared" si="1170"/>
        <v xml:space="preserve"> </v>
      </c>
      <c r="EC369" s="361" t="e">
        <f ca="1">INDEX(INDIRECT(VLOOKUP(LEFT(BO369,7),CLU!$Z$3:$AH$18,7)),M369-1,4+LEFT(DZ369,1)*0.5)</f>
        <v>#N/A</v>
      </c>
      <c r="ED369" s="362" t="str">
        <f t="shared" si="1066"/>
        <v xml:space="preserve"> </v>
      </c>
      <c r="EE369" s="361" t="str">
        <f t="shared" si="1067"/>
        <v xml:space="preserve"> </v>
      </c>
      <c r="EF369" s="362" t="str">
        <f>IF(L369&gt;0,IF(BR369&gt;0,IF(EE369="2P",IF(Calculation!DZ369="2P",IF(Calculation!DS369=13.75,IF(Calculation!DR369=13,Worksheet!$BD$43,IF(Calculation!DR369=37,Worksheet!$BD$44,Worksheet!$BD$45)),IF(Calculation!DS369=10,IF(Calculation!DR369=18,Worksheet!$BD$29,IF(Calculation!DR369=30,Worksheet!$BD$30,IF(Calculation!DR369=42,Worksheet!$BD$31,IF(Calculation!DR369=54,Worksheet!$BD$32,IF(Calculation!DR369=66,Worksheet!$BD$33,IF(Calculation!DR369=78,Worksheet!$BD$34,IF(Calculation!DR369=90,Worksheet!$BD$35,IF(Calculation!DR369=102,Worksheet!$BD$36,Worksheet!$BD$37)))))))),IF(Calculation!DS369=12.5,IF(Calculation!DR369=18,Worksheet!$BD$38,IF(Calculation!DR369=Worksheet!$BD$39,IF(Calculation!DR369=42,Worksheet!$BD$40,IF(Calculation!DR369=54,Worksheet!$BD$41,Worksheet!$BD$42)))),IF(Calculation!DR369=18,Worksheet!$BD$11,IF(Calculation!DR369=30,Worksheet!$BD$12,IF(Calculation!DR369=42,Worksheet!$BD$13,IF(Calculation!DR369=54,Worksheet!$BD$14,IF(Calculation!DR369=66,Worksheet!$BD$15,IF(Calculation!DR369=78,Worksheet!$BD$16,IF(Calculation!DR369=90,Worksheet!$BD$17,IF(Calculation!DR369=102,Worksheet!$BD$18,Worksheet!$BD$19))))))))))),IF(Calculation!DS369=13.75,IF(Calculation!DR369=13,Worksheet!$BD$78,IF(Calculation!DR369=37,Worksheet!$BD$79,Worksheet!$BD$80)),IF(Calculation!DS369=10,IF(Calculation!DR369=18,Worksheet!$BD$64,IF(Calculation!DR369=30,Worksheet!$BD$65,IF(Calculation!DR369=42,Worksheet!$BD$66,IF(Calculation!DR369=54,Worksheet!$BD$68,IF(Calculation!DR369=66,Worksheet!$BD$68,IF(Calculation!DR369=78,Worksheet!$BD$69,IF(Calculation!DR369=90,Worksheet!$BD$70,IF(Calculation!DR369=102,Worksheet!$BD$71,Worksheet!$BD$72)))))))),IF(Calculation!DS369=12.5,IF(Calculation!DR369=18,Worksheet!$BD$73,IF(Calculation!DR369=Worksheet!$BD$74,IF(Calculation!DR369=42,Worksheet!$BD$75,IF(Calculation!DR369=54,Worksheet!$BD$76,Worksheet!$BD$77)))),IF(Calculation!DR369=18,Worksheet!$BD$55,IF(Calculation!DR369=30,Worksheet!$BD$56,IF(Calculation!DR369=42,Worksheet!$BD$57,IF(Calculation!DR369=54,Worksheet!$BD$58,IF(Calculation!DR369=66,Worksheet!$BD$59,IF(Calculation!DR369=78,Worksheet!$BD$60,IF(Calculation!DR369=90,Worksheet!$BD$61,IF(Calculation!DR369=102,Worksheet!$BD$62,Worksheet!$BD$63)))))))))))),5),0)," ")</f>
        <v xml:space="preserve"> </v>
      </c>
      <c r="EG369" s="361" t="str">
        <f t="shared" si="1068"/>
        <v xml:space="preserve"> </v>
      </c>
      <c r="EH369" s="361" t="e">
        <f ca="1">INDEX(INDIRECT(VLOOKUP(LEFT(BO369,7),CLU!$Z$3:$AH$18,7)),M369-1,3+LEFT(DZ369,1))</f>
        <v>#N/A</v>
      </c>
      <c r="EI369" s="362" t="str">
        <f t="shared" si="1069"/>
        <v xml:space="preserve"> </v>
      </c>
      <c r="EJ369" s="363" t="str">
        <f t="shared" si="1070"/>
        <v xml:space="preserve"> </v>
      </c>
      <c r="EK369" s="363" t="str">
        <f t="shared" si="1071"/>
        <v xml:space="preserve"> </v>
      </c>
      <c r="EL369" s="363" t="str">
        <f t="shared" si="1072"/>
        <v xml:space="preserve"> </v>
      </c>
      <c r="EM369" s="362" t="str">
        <f>IF(L369&gt;0,IF(BR369&gt;0,(Calculation!T369/ED369)^2,0)," ")</f>
        <v xml:space="preserve"> </v>
      </c>
      <c r="EN369" s="362" t="str">
        <f>IF(L369&gt;0,IF(O369="2 Pipe (Cooling)","N/A",IF(BR369&gt;0,(Calculation!U369/EI369)^2,0))," ")</f>
        <v xml:space="preserve"> </v>
      </c>
      <c r="EO369" s="361" t="str">
        <f t="shared" si="1073"/>
        <v/>
      </c>
      <c r="EP369" s="361" t="str">
        <f t="shared" si="1074"/>
        <v/>
      </c>
      <c r="EQ369" s="361" t="str">
        <f t="shared" si="1075"/>
        <v/>
      </c>
      <c r="ER369" s="361" t="str">
        <f t="shared" si="1076"/>
        <v/>
      </c>
      <c r="ES369" s="361" t="str">
        <f t="shared" si="1077"/>
        <v/>
      </c>
      <c r="ET369" s="361" t="str">
        <f t="shared" si="1078"/>
        <v/>
      </c>
      <c r="EU369" s="361" t="str">
        <f t="shared" si="1079"/>
        <v/>
      </c>
      <c r="EV369" s="361" t="str">
        <f t="shared" si="1080"/>
        <v/>
      </c>
      <c r="EW369" s="361" t="str">
        <f t="shared" si="1081"/>
        <v/>
      </c>
      <c r="EX369" s="361" t="str">
        <f t="shared" si="1171"/>
        <v>1 slot, 1 way</v>
      </c>
      <c r="EY369" s="361" t="str">
        <f t="shared" si="1172"/>
        <v xml:space="preserve"> </v>
      </c>
      <c r="EZ369" s="361" t="str">
        <f t="shared" si="1173"/>
        <v xml:space="preserve"> </v>
      </c>
      <c r="FA369" s="361" t="str">
        <f t="shared" si="1174"/>
        <v xml:space="preserve"> </v>
      </c>
      <c r="FB369" s="361" t="str">
        <f t="shared" si="1175"/>
        <v xml:space="preserve"> </v>
      </c>
      <c r="FC369" s="361"/>
      <c r="FD369" s="361" t="str">
        <f>IF(J369&gt;0,IF(Calculation!R369&lt;=70,4,IF(Calculation!R369&lt;=110,5,IF(Calculation!R369&lt;=160,6,IF(Calculation!R369&lt;=300,8,"10 EO")))),"")</f>
        <v/>
      </c>
      <c r="FE369" s="361" t="str">
        <f t="shared" si="1176"/>
        <v/>
      </c>
      <c r="FF369" s="361" t="str">
        <f t="shared" si="1177"/>
        <v/>
      </c>
      <c r="FG369" s="361" t="e">
        <f t="shared" si="1082"/>
        <v>#N/A</v>
      </c>
      <c r="FH369" s="361">
        <f t="shared" si="1083"/>
        <v>0</v>
      </c>
      <c r="FI369" s="361" t="e">
        <f t="shared" si="1084"/>
        <v>#DIV/0!</v>
      </c>
      <c r="FJ369" s="361"/>
      <c r="FK369" s="356" t="e">
        <f t="shared" si="1085"/>
        <v>#VALUE!</v>
      </c>
      <c r="FL369" s="361"/>
      <c r="FM369" s="361"/>
      <c r="FN369" s="362" t="str">
        <f t="shared" si="1178"/>
        <v xml:space="preserve"> </v>
      </c>
      <c r="FO369" s="362" t="str">
        <f t="shared" si="1179"/>
        <v xml:space="preserve"> </v>
      </c>
      <c r="FP369" s="362">
        <f t="shared" si="1180"/>
        <v>0</v>
      </c>
      <c r="FQ369" s="361">
        <f t="shared" si="1086"/>
        <v>0</v>
      </c>
      <c r="FR369" s="362" t="str">
        <f>IF(L369&gt;0,IF(J369="CBAL2",Worksheet!$P$67,IF(J369="CBE2-24",Worksheet!$Q$67,IF(J369="CBAM",Worksheet!$R$67,IF(J369="CBLV",Worksheet!$S$67,IF(J369="CBAB",Worksheet!$U$67,IF(J369="CBAW",Worksheet!$X$67,IF(J369="CBE2-12",Worksheet!$Y$67,IF(J369="CBAL2",Worksheet!$Z$67,"N/A"))))))))," ")</f>
        <v xml:space="preserve"> </v>
      </c>
      <c r="FS369" s="362" t="str">
        <f>IF(L369&gt;0,IF(J369="CBAL2",Worksheet!$P$68,IF(J369="CBE2-24",Worksheet!$Q$68,IF(J369="CBAM",Worksheet!$R$68,IF(J369="CBLV",Worksheet!$S$68,IF(J369="CBAB",Worksheet!$U$68,IF(J369="CBAW",Worksheet!$X$68,IF(J369="CBE2-12",Worksheet!$Y$68,IF(J369="CBAL2",Worksheet!$Z$68,"N/A"))))))))," ")</f>
        <v xml:space="preserve"> </v>
      </c>
      <c r="FT369" s="362" t="str">
        <f>IF(L369&gt;0,IF(J369="CBAL2",Worksheet!$P$69,IF(J369="CBE2-24",Worksheet!$Q$69,IF(J369="CBAM",Worksheet!$R$69,IF(J369="CBLV",Worksheet!$S$69,IF(J369="CBAB",Worksheet!$U$69,IF(J369="CBAW",Worksheet!$X$69,IF(J369="CBE2-12",Worksheet!$Y$69,IF(J369="CBAL2",Worksheet!$Z$69,"N/A"))))))))," ")</f>
        <v xml:space="preserve"> </v>
      </c>
      <c r="FU369" s="361" t="str">
        <f t="shared" si="1181"/>
        <v xml:space="preserve"> </v>
      </c>
      <c r="FV369" s="362" t="str">
        <f t="shared" si="1182"/>
        <v xml:space="preserve"> </v>
      </c>
      <c r="FW369" s="362" t="str">
        <f t="shared" si="1183"/>
        <v xml:space="preserve"> </v>
      </c>
      <c r="FX369" s="362" t="str">
        <f t="shared" si="1184"/>
        <v xml:space="preserve"> </v>
      </c>
      <c r="FY369" s="355" t="str">
        <f t="shared" si="1185"/>
        <v xml:space="preserve"> </v>
      </c>
      <c r="FZ369" s="361" t="str">
        <f t="shared" si="1186"/>
        <v xml:space="preserve"> </v>
      </c>
      <c r="GA369" s="347" t="str">
        <f t="shared" si="1187"/>
        <v xml:space="preserve"> </v>
      </c>
      <c r="GB369" s="355" t="str">
        <f t="shared" si="1188"/>
        <v xml:space="preserve"> </v>
      </c>
      <c r="GC369" s="328" t="str">
        <f t="shared" si="1189"/>
        <v xml:space="preserve"> </v>
      </c>
      <c r="GD369" s="361" t="str">
        <f t="shared" si="1190"/>
        <v xml:space="preserve"> </v>
      </c>
      <c r="GE369" s="347" t="str">
        <f t="shared" si="1191"/>
        <v xml:space="preserve"> </v>
      </c>
      <c r="GF369" s="361" t="str">
        <f t="shared" si="1192"/>
        <v xml:space="preserve"> </v>
      </c>
      <c r="GG369" s="347" t="str">
        <f t="shared" si="1193"/>
        <v xml:space="preserve"> </v>
      </c>
      <c r="GH369" s="364">
        <f t="shared" si="1087"/>
        <v>0</v>
      </c>
      <c r="GI369" s="362">
        <f t="shared" si="1194"/>
        <v>2</v>
      </c>
      <c r="GJ369" s="433" t="e">
        <f>IF(6-COUNTBLANK(GT369:GY369)=4,MATCH(MID(BO369,9,3),CLU!$H$16:$K$16),MATCH(MID(BO369,9,3),CLU!$H$13:$M$13))</f>
        <v>#N/A</v>
      </c>
      <c r="GK369" s="433" t="e">
        <f>HLOOKUP(VALUE(BP369),CLU!$H$9:$M$10,2)</f>
        <v>#VALUE!</v>
      </c>
      <c r="GL369" s="433" t="e">
        <f ca="1">MATCH(BU369,CLU!$H$2:$V$2,1)</f>
        <v>#VALUE!</v>
      </c>
      <c r="GM369" s="433" t="e">
        <f t="shared" ca="1" si="1195"/>
        <v>#VALUE!</v>
      </c>
      <c r="GN369" s="433" t="e">
        <f t="shared" ca="1" si="1196"/>
        <v>#VALUE!</v>
      </c>
      <c r="GO369" s="433" t="e">
        <f t="shared" ca="1" si="1197"/>
        <v>#VALUE!</v>
      </c>
      <c r="GP369" s="433" t="e">
        <f t="shared" ca="1" si="1198"/>
        <v>#VALUE!</v>
      </c>
      <c r="GQ369" s="433" t="e">
        <f t="shared" ca="1" si="1199"/>
        <v>#VALUE!</v>
      </c>
      <c r="GR369" s="433" t="e">
        <f ca="1">MATCH(T369,INDIRECT(VLOOKUP(CONCATENATE(LEFT(BO369,7),"-",MID(BO369,13,1)),CLU!$P$3:$Q$16,2)),1)</f>
        <v>#N/A</v>
      </c>
      <c r="GS369" s="433" t="e">
        <f ca="1">MATCH(U369,INDIRECT(VLOOKUP(CONCATENATE(LEFT(BO369,7),"-",MID(BO369,13,1)),CLU!$P$3:$Q$16,2)),1)</f>
        <v>#N/A</v>
      </c>
      <c r="GT369" s="347" t="s">
        <v>512</v>
      </c>
      <c r="GU369" s="97" t="s">
        <v>513</v>
      </c>
      <c r="GV369" s="97" t="str">
        <f t="shared" si="1200"/>
        <v>M23</v>
      </c>
      <c r="GW369" s="97" t="str">
        <f t="shared" si="1201"/>
        <v>M31</v>
      </c>
      <c r="GX369" s="97" t="str">
        <f t="shared" si="1202"/>
        <v/>
      </c>
      <c r="GY369" s="97" t="str">
        <f t="shared" si="1203"/>
        <v/>
      </c>
      <c r="GZ369" s="481"/>
      <c r="HA369" s="240"/>
      <c r="HB369" s="240"/>
      <c r="HC369" s="240"/>
      <c r="HD369" s="240"/>
      <c r="HE369" s="240"/>
      <c r="HF369" s="240"/>
      <c r="HG369" s="240"/>
      <c r="HH369" s="240"/>
      <c r="HI369" s="240"/>
      <c r="HJ369" s="240"/>
      <c r="HK369" s="240"/>
      <c r="HL369" s="240"/>
      <c r="HM369" s="240"/>
      <c r="HN369" s="240"/>
      <c r="HO369" s="240"/>
      <c r="HP369" s="240"/>
      <c r="HQ369" s="240"/>
      <c r="HR369" s="240"/>
      <c r="HS369" s="240"/>
      <c r="HT369" s="240"/>
      <c r="HU369" s="240"/>
      <c r="HV369" s="245"/>
      <c r="HW369" s="245" t="b">
        <v>1</v>
      </c>
      <c r="HX369" s="245" t="str">
        <f t="shared" si="1088"/>
        <v/>
      </c>
      <c r="HY369" s="245" t="e">
        <f t="shared" si="1089"/>
        <v>#DIV/0!</v>
      </c>
      <c r="HZ369" s="245" t="e">
        <f t="shared" si="1090"/>
        <v>#DIV/0!</v>
      </c>
      <c r="IA369" s="245">
        <f t="shared" si="1091"/>
        <v>0</v>
      </c>
      <c r="IB369" s="245"/>
      <c r="IC369" t="b">
        <f t="shared" si="1092"/>
        <v>1</v>
      </c>
      <c r="ID369" s="245" t="b">
        <f t="shared" si="1093"/>
        <v>1</v>
      </c>
      <c r="IE369" s="245" t="b">
        <f t="shared" si="1094"/>
        <v>1</v>
      </c>
      <c r="IF369" s="245" t="b">
        <f t="shared" si="1095"/>
        <v>0</v>
      </c>
      <c r="IG369" s="245" t="b">
        <f t="shared" si="1096"/>
        <v>1</v>
      </c>
      <c r="IH369" s="245" t="b">
        <f t="shared" si="1097"/>
        <v>1</v>
      </c>
      <c r="II369" s="245">
        <f t="shared" si="1204"/>
        <v>0</v>
      </c>
      <c r="IJ369" s="245" t="e">
        <f t="shared" si="1098"/>
        <v>#VALUE!</v>
      </c>
      <c r="IK369" s="245" t="e">
        <f t="shared" si="1099"/>
        <v>#VALUE!</v>
      </c>
      <c r="IL369" s="245"/>
      <c r="IM369" s="245" t="e">
        <f t="shared" si="1205"/>
        <v>#N/A</v>
      </c>
      <c r="IN369" s="245" t="e">
        <f t="shared" si="1206"/>
        <v>#N/A</v>
      </c>
      <c r="IO369" s="245"/>
      <c r="IP369" s="245"/>
      <c r="IQ369" s="245" t="str">
        <f t="shared" si="1100"/>
        <v/>
      </c>
      <c r="IR369" s="245" t="str">
        <f>IF(J369="","",VLOOKUP(J369,Worksheet!$R$4:$T$14,2))</f>
        <v/>
      </c>
      <c r="IS369" s="245"/>
      <c r="IT369" s="245">
        <f t="shared" si="1101"/>
        <v>0</v>
      </c>
      <c r="IU369" s="245">
        <f t="shared" si="1102"/>
        <v>0</v>
      </c>
      <c r="IV369" s="245">
        <f t="shared" si="1103"/>
        <v>0</v>
      </c>
      <c r="IW369" s="245">
        <f t="shared" si="1104"/>
        <v>0</v>
      </c>
      <c r="IX369" s="245">
        <f t="shared" si="1207"/>
        <v>0</v>
      </c>
      <c r="IY369" s="245">
        <f t="shared" si="1105"/>
        <v>0</v>
      </c>
      <c r="IZ369" s="245">
        <f t="shared" si="1106"/>
        <v>0</v>
      </c>
      <c r="JA369">
        <f t="shared" si="1107"/>
        <v>0</v>
      </c>
      <c r="JB369">
        <f t="shared" si="1208"/>
        <v>0</v>
      </c>
      <c r="JC369">
        <f t="shared" si="1108"/>
        <v>0</v>
      </c>
      <c r="JD369">
        <f t="shared" si="1109"/>
        <v>0</v>
      </c>
      <c r="JE369">
        <f t="shared" si="1110"/>
        <v>0</v>
      </c>
      <c r="JF369">
        <f t="shared" si="1111"/>
        <v>0</v>
      </c>
      <c r="JG369">
        <f t="shared" si="1112"/>
        <v>0</v>
      </c>
      <c r="JH369">
        <f t="shared" si="1113"/>
        <v>0</v>
      </c>
      <c r="JI369">
        <f t="shared" si="1114"/>
        <v>0</v>
      </c>
      <c r="JJ369" s="447">
        <f t="shared" si="1115"/>
        <v>0</v>
      </c>
      <c r="JK369" s="447">
        <f t="shared" si="1116"/>
        <v>0</v>
      </c>
      <c r="JL369">
        <f t="shared" si="1117"/>
        <v>0</v>
      </c>
      <c r="JM369" s="245" t="str">
        <f>IFERROR(VLOOKUP(MATCH(BN369,#REF!,0),#REF!,7),"")</f>
        <v/>
      </c>
      <c r="JN369" t="e">
        <f>HLOOKUP(LEFT(BO369,7),Discharge_Area,MATCH(JO369,LookUps!$B$130:$B$149,1)+2)</f>
        <v>#N/A</v>
      </c>
      <c r="JO369" t="str">
        <f t="shared" si="1118"/>
        <v>- S</v>
      </c>
      <c r="JP369" t="e">
        <f>HLOOKUP(LEFT(BO369,7),Discharge_Area,MATCH(JO369,LookUps!$B$130:$B$149,1)+2)</f>
        <v>#N/A</v>
      </c>
      <c r="JQ369" t="e">
        <f t="shared" si="1119"/>
        <v>#N/A</v>
      </c>
      <c r="JR369" t="e">
        <f t="shared" si="1120"/>
        <v>#N/A</v>
      </c>
      <c r="JS369" t="e">
        <f t="shared" si="1121"/>
        <v>#N/A</v>
      </c>
      <c r="JT369" s="532" t="str">
        <f t="shared" si="1122"/>
        <v xml:space="preserve"> </v>
      </c>
      <c r="JU369" s="532" t="str">
        <f t="shared" si="1123"/>
        <v xml:space="preserve"> </v>
      </c>
      <c r="JV369" s="533" t="str">
        <f t="shared" si="1124"/>
        <v xml:space="preserve"> </v>
      </c>
      <c r="JW369" s="534">
        <f t="shared" si="1125"/>
        <v>0</v>
      </c>
      <c r="JX369" s="535" t="str">
        <f t="shared" si="1209"/>
        <v xml:space="preserve"> </v>
      </c>
      <c r="JY369" s="535" t="str">
        <f t="shared" si="1210"/>
        <v xml:space="preserve"> </v>
      </c>
      <c r="JZ369" s="535" t="str">
        <f t="shared" si="1211"/>
        <v xml:space="preserve"> </v>
      </c>
      <c r="KA369" s="536" t="str">
        <f t="shared" si="1126"/>
        <v xml:space="preserve"> </v>
      </c>
      <c r="KB369" s="535" t="e">
        <f t="shared" si="1212"/>
        <v>#VALUE!</v>
      </c>
      <c r="KC369" s="535" t="str">
        <f t="shared" si="1127"/>
        <v/>
      </c>
      <c r="KD369" s="537" t="str">
        <f t="shared" si="1213"/>
        <v xml:space="preserve"> </v>
      </c>
      <c r="KE369" s="537" t="str">
        <f t="shared" si="1214"/>
        <v xml:space="preserve"> </v>
      </c>
      <c r="KF369" s="534">
        <f t="shared" si="1128"/>
        <v>0</v>
      </c>
      <c r="KG369" s="535" t="str">
        <f t="shared" si="1129"/>
        <v xml:space="preserve"> </v>
      </c>
      <c r="KH369" s="535" t="str">
        <f t="shared" si="1130"/>
        <v xml:space="preserve"> </v>
      </c>
      <c r="KI369" s="535" t="str">
        <f t="shared" si="1131"/>
        <v xml:space="preserve"> </v>
      </c>
      <c r="KJ369" s="536" t="str">
        <f t="shared" si="1132"/>
        <v xml:space="preserve"> </v>
      </c>
      <c r="KK369" s="535" t="str">
        <f t="shared" si="1215"/>
        <v xml:space="preserve"> </v>
      </c>
      <c r="KL369" s="535" t="str">
        <f t="shared" si="1216"/>
        <v xml:space="preserve"> </v>
      </c>
      <c r="KM369" s="537" t="str">
        <f t="shared" si="1133"/>
        <v xml:space="preserve"> </v>
      </c>
      <c r="KN369" s="537" t="str">
        <f t="shared" si="1217"/>
        <v xml:space="preserve"> </v>
      </c>
      <c r="KP369">
        <f t="shared" si="1134"/>
        <v>0</v>
      </c>
      <c r="LA369" t="e">
        <f t="shared" si="1135"/>
        <v>#VALUE!</v>
      </c>
      <c r="LB369" t="e">
        <f t="shared" si="1136"/>
        <v>#VALUE!</v>
      </c>
      <c r="LC369" t="e">
        <f t="shared" si="1137"/>
        <v>#VALUE!</v>
      </c>
      <c r="LD369" t="e">
        <f t="shared" si="1138"/>
        <v>#VALUE!</v>
      </c>
      <c r="LE369" t="e">
        <f t="shared" si="1218"/>
        <v>#VALUE!</v>
      </c>
      <c r="LF369">
        <f t="shared" si="1139"/>
        <v>0</v>
      </c>
      <c r="LG369" t="e">
        <f t="shared" si="1219"/>
        <v>#VALUE!</v>
      </c>
      <c r="LH369" t="str">
        <f t="shared" si="1140"/>
        <v xml:space="preserve"> </v>
      </c>
      <c r="LI369">
        <f t="shared" si="1220"/>
        <v>1</v>
      </c>
    </row>
    <row r="370" spans="2:321" ht="15" customHeight="1">
      <c r="B370" s="311"/>
      <c r="C370" s="311"/>
      <c r="D370" s="312"/>
      <c r="E370" s="311"/>
      <c r="F370" s="312"/>
      <c r="G370" s="311"/>
      <c r="H370" s="311"/>
      <c r="I370" s="232"/>
      <c r="J370" s="311"/>
      <c r="K370" s="305" t="str">
        <f t="shared" si="1141"/>
        <v/>
      </c>
      <c r="L370" s="313"/>
      <c r="M370" s="312"/>
      <c r="N370" s="311"/>
      <c r="O370" s="312"/>
      <c r="P370" s="311"/>
      <c r="Q370" s="305" t="str">
        <f t="shared" si="1142"/>
        <v/>
      </c>
      <c r="R370" s="314"/>
      <c r="S370" s="450" t="str">
        <f t="shared" si="1025"/>
        <v/>
      </c>
      <c r="T370" s="315"/>
      <c r="U370" s="315"/>
      <c r="W370" s="149" t="str">
        <f t="shared" si="1026"/>
        <v xml:space="preserve"> </v>
      </c>
      <c r="X370" s="243" t="str">
        <f t="shared" si="1027"/>
        <v xml:space="preserve"> </v>
      </c>
      <c r="Y370" s="150" t="str">
        <f t="shared" si="1028"/>
        <v/>
      </c>
      <c r="Z370" s="149" t="str">
        <f t="shared" si="1029"/>
        <v xml:space="preserve"> </v>
      </c>
      <c r="AA370" s="98" t="str">
        <f t="shared" si="1030"/>
        <v xml:space="preserve"> </v>
      </c>
      <c r="AB370" s="153" t="str">
        <f t="shared" si="1031"/>
        <v xml:space="preserve"> </v>
      </c>
      <c r="AC370" s="153" t="str">
        <f t="shared" si="1032"/>
        <v xml:space="preserve"> </v>
      </c>
      <c r="AD370" s="148" t="str">
        <f t="shared" si="1033"/>
        <v/>
      </c>
      <c r="AE370" s="149" t="str">
        <f t="shared" si="1034"/>
        <v/>
      </c>
      <c r="AF370" s="151" t="str">
        <f t="shared" si="1035"/>
        <v xml:space="preserve"> </v>
      </c>
      <c r="AG370" s="153" t="str">
        <f t="shared" si="1036"/>
        <v xml:space="preserve"> </v>
      </c>
      <c r="AH370" s="98" t="str">
        <f t="shared" si="1037"/>
        <v xml:space="preserve"> </v>
      </c>
      <c r="AI370" s="149" t="str">
        <f t="shared" si="1038"/>
        <v xml:space="preserve"> </v>
      </c>
      <c r="AK370" s="144" t="str">
        <f t="shared" si="1039"/>
        <v xml:space="preserve"> </v>
      </c>
      <c r="AL370" s="144"/>
      <c r="AM370" s="243" t="str">
        <f t="shared" si="1040"/>
        <v xml:space="preserve"> </v>
      </c>
      <c r="AN370" s="149" t="str">
        <f t="shared" si="1143"/>
        <v xml:space="preserve"> </v>
      </c>
      <c r="AO370" s="144" t="str">
        <f>IF(JB370&gt;0,IF(GI370=10,-R370*1.085*(Calculation!$F$6-Calculation!$F$13)*$S$14," "),"")</f>
        <v/>
      </c>
      <c r="AP370" s="144" t="str">
        <f t="shared" si="1041"/>
        <v/>
      </c>
      <c r="AQ370" s="56" t="str">
        <f t="shared" si="1042"/>
        <v/>
      </c>
      <c r="AR370" s="144" t="str">
        <f t="shared" si="1043"/>
        <v/>
      </c>
      <c r="AS370" s="176" t="str">
        <f t="shared" si="1044"/>
        <v/>
      </c>
      <c r="AT370" s="176" t="str">
        <f t="shared" si="1144"/>
        <v xml:space="preserve"> </v>
      </c>
      <c r="AU370" s="176" t="str">
        <f t="shared" si="1045"/>
        <v/>
      </c>
      <c r="AV370" s="177" t="str">
        <f t="shared" si="1046"/>
        <v xml:space="preserve"> </v>
      </c>
      <c r="AW370" s="144" t="str">
        <f t="shared" si="1047"/>
        <v xml:space="preserve"> </v>
      </c>
      <c r="AX370" s="144" t="str">
        <f t="shared" si="1048"/>
        <v xml:space="preserve"> </v>
      </c>
      <c r="AY370" s="152" t="str">
        <f t="shared" si="1049"/>
        <v xml:space="preserve"> </v>
      </c>
      <c r="AZ370" s="246" t="str">
        <f t="shared" si="1050"/>
        <v/>
      </c>
      <c r="BA370" s="176" t="str">
        <f t="shared" si="1051"/>
        <v xml:space="preserve"> </v>
      </c>
      <c r="BB370" s="176" t="str">
        <f t="shared" si="1052"/>
        <v xml:space="preserve"> </v>
      </c>
      <c r="BC370" s="195"/>
      <c r="BD370" s="316"/>
      <c r="BE370" s="317"/>
      <c r="BF370" s="318"/>
      <c r="BG370" s="318"/>
      <c r="BH370" s="144" t="str">
        <f t="shared" si="1221"/>
        <v xml:space="preserve"> </v>
      </c>
      <c r="BI370" s="176" t="str">
        <f t="shared" si="1053"/>
        <v/>
      </c>
      <c r="BJ370" s="144" t="str">
        <f t="shared" si="1222"/>
        <v/>
      </c>
      <c r="BK370" s="246" t="str">
        <f t="shared" si="1054"/>
        <v/>
      </c>
      <c r="BL370" s="144" t="str">
        <f t="shared" si="1223"/>
        <v/>
      </c>
      <c r="BM370" s="246" t="str">
        <f t="shared" si="1055"/>
        <v/>
      </c>
      <c r="BN370" s="337" t="str">
        <f t="shared" si="1145"/>
        <v/>
      </c>
      <c r="BO370" s="371" t="str">
        <f t="shared" si="1146"/>
        <v/>
      </c>
      <c r="BP370" s="328" t="str">
        <f t="shared" si="1224"/>
        <v xml:space="preserve"> </v>
      </c>
      <c r="BQ370" s="347" t="str">
        <f t="shared" si="1147"/>
        <v xml:space="preserve"> </v>
      </c>
      <c r="BR370" s="353" t="str">
        <f t="shared" si="1148"/>
        <v xml:space="preserve"> </v>
      </c>
      <c r="BS370" s="626" t="str">
        <f>IF(L370&gt;0,IF(Calculation!P370="M13",BR370*3.1416*(0.134^2)/(4*144),IF(Calculation!P370="M17",BR370*3.1416*(0.165^2)/(4*144),IF(Calculation!P370="M20",BR370*3.1416*(0.198^2)/(4*144),IF(Calculation!P370="M23",BR370*3.1416*(0.228^2)/(4*144),IF(Calculation!P370="M27",BR370*3.1416*(0.269^2)/(4*144),BR370*3.1416*(0.307^2)/(4*144))))))," ")</f>
        <v xml:space="preserve"> </v>
      </c>
      <c r="BT370" s="353" t="str">
        <f>IF(L370&gt;0,IF(BS370&gt;0,R370/Calculation!BS370,0)," ")</f>
        <v xml:space="preserve"> </v>
      </c>
      <c r="BU370" s="438" t="e">
        <f t="shared" ca="1" si="1056"/>
        <v>#VALUE!</v>
      </c>
      <c r="BV370" s="449" t="e">
        <f ca="1">INDEX(INDIRECT(VLOOKUP(LEFT(BO370,7),CLU!$Z$3:$AH$18,2)),GN370,GR370)</f>
        <v>#N/A</v>
      </c>
      <c r="BW370" s="433" t="e">
        <f ca="1">INDEX(INDIRECT(VLOOKUP(LEFT(BO370,7),CLU!$Z$3:$AH$18,3)),GN370,GR370)</f>
        <v>#N/A</v>
      </c>
      <c r="BX370" s="433" t="e">
        <f ca="1">INDEX(INDIRECT(VLOOKUP(LEFT(BO370,7),CLU!$Z$3:$AH$18,4)),GN370,GR370)</f>
        <v>#N/A</v>
      </c>
      <c r="BY370" s="433" t="e">
        <f ca="1">INDEX(INDIRECT(VLOOKUP(LEFT(BO370,7),CLU!$Z$3:$AH$18,9)),((M370-2)*(6-COUNTBLANK(GT370:GY370)))+GJ370)</f>
        <v>#N/A</v>
      </c>
      <c r="BZ370" s="426" t="e">
        <f t="shared" ca="1" si="1149"/>
        <v>#N/A</v>
      </c>
      <c r="CA370" s="424" t="e">
        <f t="shared" ca="1" si="1150"/>
        <v>#N/A</v>
      </c>
      <c r="CB370" s="429" t="e">
        <f ca="1">INDEX(INDIRECT(VLOOKUP(LEFT(BO370,7),CLU!$Z$3:$AH$18,2)),GN370,GS370)</f>
        <v>#N/A</v>
      </c>
      <c r="CC370" s="342" t="e">
        <f ca="1">INDEX(INDIRECT(VLOOKUP(LEFT(BO370,7),CLU!$Z$3:$AH$18,3)),GN370,GS370)</f>
        <v>#N/A</v>
      </c>
      <c r="CD370" s="342" t="e">
        <f ca="1">INDEX(INDIRECT(VLOOKUP(LEFT(BO370,7),CLU!$Z$3:$AH$18,4)),GN370,GS370)</f>
        <v>#N/A</v>
      </c>
      <c r="CE370" s="426" t="e">
        <f t="shared" ca="1" si="1151"/>
        <v>#N/A</v>
      </c>
      <c r="CF370" s="440">
        <f t="shared" si="1152"/>
        <v>0</v>
      </c>
      <c r="CG370" s="431" t="e">
        <f ca="1">INDEX(INDIRECT(VLOOKUP(LEFT(BO370,7),CLU!$Z$3:$AH$18,2)),GQ370,GR370)</f>
        <v>#N/A</v>
      </c>
      <c r="CH370" s="431" t="e">
        <f ca="1">INDEX(INDIRECT(VLOOKUP(LEFT(BO370,7),CLU!$Z$3:$AH$18,3)),GQ370,GR370)</f>
        <v>#N/A</v>
      </c>
      <c r="CI370" s="431" t="e">
        <f ca="1">INDEX(INDIRECT(VLOOKUP(LEFT(BO370,7),CLU!$Z$3:$AH$18,4)),GQ370,GR370)</f>
        <v>#N/A</v>
      </c>
      <c r="CJ370" s="448" t="e">
        <f t="shared" ca="1" si="1153"/>
        <v>#N/A</v>
      </c>
      <c r="CK370" s="431" t="e">
        <f t="shared" ca="1" si="1154"/>
        <v>#N/A</v>
      </c>
      <c r="CL370" s="440" t="e">
        <f t="shared" ca="1" si="1155"/>
        <v>#N/A</v>
      </c>
      <c r="CM370" s="431" t="e">
        <f ca="1">INDEX(INDIRECT(VLOOKUP(LEFT(BO370,7),CLU!$Z$3:$AH$18,2)),GQ370,GS370)</f>
        <v>#N/A</v>
      </c>
      <c r="CN370" s="431" t="e">
        <f ca="1">INDEX(INDIRECT(VLOOKUP(LEFT(BO370,7),CLU!$Z$3:$AH$18,3)),GQ370,GS370)</f>
        <v>#N/A</v>
      </c>
      <c r="CO370" s="431" t="e">
        <f ca="1">INDEX(INDIRECT(VLOOKUP(LEFT(BO370,7),CLU!$Z$3:$AH$18,4)),GQ370,GS370)</f>
        <v>#N/A</v>
      </c>
      <c r="CP370" s="431" t="e">
        <f t="shared" ca="1" si="1156"/>
        <v>#N/A</v>
      </c>
      <c r="CQ370" s="440">
        <f t="shared" si="1157"/>
        <v>0</v>
      </c>
      <c r="CR370" s="51" t="e">
        <f t="shared" ca="1" si="1158"/>
        <v>#N/A</v>
      </c>
      <c r="CS370" s="439" t="e">
        <f t="shared" ca="1" si="1159"/>
        <v>#VALUE!</v>
      </c>
      <c r="CT370" s="51" t="e">
        <f t="shared" ca="1" si="1160"/>
        <v>#VALUE!</v>
      </c>
      <c r="CU370" s="10"/>
      <c r="CV370" s="51" t="e">
        <f t="shared" ca="1" si="1057"/>
        <v>#VALUE!</v>
      </c>
      <c r="CW370" s="51">
        <f t="shared" si="1161"/>
        <v>0</v>
      </c>
      <c r="CX370" s="439" t="e">
        <f t="shared" ca="1" si="1162"/>
        <v>#VALUE!</v>
      </c>
      <c r="CY370" s="51" t="e">
        <f t="shared" ca="1" si="1163"/>
        <v>#VALUE!</v>
      </c>
      <c r="CZ370" s="10"/>
      <c r="DA370" s="51" t="e">
        <f t="shared" ca="1" si="1164"/>
        <v>#VALUE!</v>
      </c>
      <c r="DB370" s="347" t="e">
        <f ca="1">INDEX(INDIRECT(VLOOKUP(LEFT(BO370,7),CLU!$Z$3:$AI$18,10)),((M370-2)*(6-COUNTBLANK(GT370:GY370)))+GJ370)*LI370</f>
        <v>#N/A</v>
      </c>
      <c r="DC370" s="347" t="str">
        <f>IF(L370&gt;0,((R370/Worksheet!$I$15)/DB370)^2," ")</f>
        <v xml:space="preserve"> </v>
      </c>
      <c r="DD370" s="602" t="str">
        <f t="shared" si="1165"/>
        <v xml:space="preserve"> </v>
      </c>
      <c r="DE370" s="347" t="str">
        <f t="shared" si="1058"/>
        <v xml:space="preserve"> </v>
      </c>
      <c r="DF370" s="356" t="e">
        <f ca="1">INDEX(INDIRECT(VLOOKUP(LEFT(BO370,7),CLU!$Z$3:$AH$18,8)),((M370-2)*(6-COUNTBLANK(GT370:GY370)))+GJ370)</f>
        <v>#N/A</v>
      </c>
      <c r="DG370" s="347" t="str">
        <f t="shared" si="1059"/>
        <v xml:space="preserve"> </v>
      </c>
      <c r="DH370" s="357" t="str">
        <f t="shared" si="1060"/>
        <v xml:space="preserve"> </v>
      </c>
      <c r="DI370" s="355" t="str">
        <f t="shared" si="1061"/>
        <v xml:space="preserve"> </v>
      </c>
      <c r="DJ370" s="245" t="e">
        <f ca="1">INDEX(INDIRECT(VLOOKUP(LEFT(BO370,7),CLU!$Z$3:$AH$18,5)),GL370,GK370)</f>
        <v>#N/A</v>
      </c>
      <c r="DK370" s="245" t="e">
        <f ca="1">INDEX(INDIRECT(VLOOKUP(LEFT(BO370,7),CLU!$Z$3:$AH$18,6)),GL370,GK370)</f>
        <v>#N/A</v>
      </c>
      <c r="DL370" s="355">
        <f>(Calculation!R370*0.69143*(Calculation!$BQ$8-Calculation!$F$8))*$S$14</f>
        <v>0</v>
      </c>
      <c r="DM370" s="359" t="e">
        <f t="shared" si="1166"/>
        <v>#VALUE!</v>
      </c>
      <c r="DN370" s="611">
        <f t="shared" si="1167"/>
        <v>0</v>
      </c>
      <c r="DO370" s="359">
        <f t="shared" si="1168"/>
        <v>100</v>
      </c>
      <c r="DP370" s="359">
        <f t="shared" si="1169"/>
        <v>0</v>
      </c>
      <c r="DQ370" s="360"/>
      <c r="DR370" s="245" t="e">
        <f ca="1">INDEX(INDIRECT(VLOOKUP(LEFT(BO370,7),CLU!$Z$3:$AH$18,7)),M370-1,1)</f>
        <v>#N/A</v>
      </c>
      <c r="DS370" s="245" t="e">
        <f ca="1">INDEX(INDIRECT(VLOOKUP(LEFT(BO370,7),CLU!$Z$3:$AH$18,7)),M370-1,2)</f>
        <v>#N/A</v>
      </c>
      <c r="DT370" s="245" t="e">
        <f ca="1">INDEX(INDIRECT(VLOOKUP(LEFT(BO370,7),CLU!$Z$3:$AH$18,7)),M370-1,3)</f>
        <v>#N/A</v>
      </c>
      <c r="DU370" s="245" t="e">
        <f ca="1">INDEX(INDIRECT(VLOOKUP(LEFT(BO370,7),CLU!$Z$3:$AH$18,7)),M370-1,4)</f>
        <v>#N/A</v>
      </c>
      <c r="DV370" s="361" t="e">
        <f ca="1">INDEX(INDIRECT(VLOOKUP(LEFT(BO370,7),CLU!$Z$3:$AH$18,7)),M370-1,4+LEFT(DZ370,1)*0.5)</f>
        <v>#N/A</v>
      </c>
      <c r="DW370" s="245" t="e">
        <f ca="1">INDEX(INDIRECT(VLOOKUP(LEFT(BO370,7),CLU!$Z$3:$AH$18,7)),M370-1,8)</f>
        <v>#N/A</v>
      </c>
      <c r="DX370" s="361" t="str">
        <f t="shared" si="1062"/>
        <v xml:space="preserve"> </v>
      </c>
      <c r="DY370" s="361" t="str">
        <f t="shared" si="1063"/>
        <v xml:space="preserve"> </v>
      </c>
      <c r="DZ370" s="361" t="str">
        <f t="shared" si="1064"/>
        <v xml:space="preserve"> </v>
      </c>
      <c r="EA370" s="362" t="str">
        <f t="shared" si="1065"/>
        <v xml:space="preserve"> </v>
      </c>
      <c r="EB370" s="624" t="str">
        <f t="shared" si="1170"/>
        <v xml:space="preserve"> </v>
      </c>
      <c r="EC370" s="361" t="e">
        <f ca="1">INDEX(INDIRECT(VLOOKUP(LEFT(BO370,7),CLU!$Z$3:$AH$18,7)),M370-1,4+LEFT(DZ370,1)*0.5)</f>
        <v>#N/A</v>
      </c>
      <c r="ED370" s="362" t="str">
        <f t="shared" si="1066"/>
        <v xml:space="preserve"> </v>
      </c>
      <c r="EE370" s="361" t="str">
        <f t="shared" si="1067"/>
        <v xml:space="preserve"> </v>
      </c>
      <c r="EF370" s="362" t="str">
        <f>IF(L370&gt;0,IF(BR370&gt;0,IF(EE370="2P",IF(Calculation!DZ370="2P",IF(Calculation!DS370=13.75,IF(Calculation!DR370=13,Worksheet!$BD$43,IF(Calculation!DR370=37,Worksheet!$BD$44,Worksheet!$BD$45)),IF(Calculation!DS370=10,IF(Calculation!DR370=18,Worksheet!$BD$29,IF(Calculation!DR370=30,Worksheet!$BD$30,IF(Calculation!DR370=42,Worksheet!$BD$31,IF(Calculation!DR370=54,Worksheet!$BD$32,IF(Calculation!DR370=66,Worksheet!$BD$33,IF(Calculation!DR370=78,Worksheet!$BD$34,IF(Calculation!DR370=90,Worksheet!$BD$35,IF(Calculation!DR370=102,Worksheet!$BD$36,Worksheet!$BD$37)))))))),IF(Calculation!DS370=12.5,IF(Calculation!DR370=18,Worksheet!$BD$38,IF(Calculation!DR370=Worksheet!$BD$39,IF(Calculation!DR370=42,Worksheet!$BD$40,IF(Calculation!DR370=54,Worksheet!$BD$41,Worksheet!$BD$42)))),IF(Calculation!DR370=18,Worksheet!$BD$11,IF(Calculation!DR370=30,Worksheet!$BD$12,IF(Calculation!DR370=42,Worksheet!$BD$13,IF(Calculation!DR370=54,Worksheet!$BD$14,IF(Calculation!DR370=66,Worksheet!$BD$15,IF(Calculation!DR370=78,Worksheet!$BD$16,IF(Calculation!DR370=90,Worksheet!$BD$17,IF(Calculation!DR370=102,Worksheet!$BD$18,Worksheet!$BD$19))))))))))),IF(Calculation!DS370=13.75,IF(Calculation!DR370=13,Worksheet!$BD$78,IF(Calculation!DR370=37,Worksheet!$BD$79,Worksheet!$BD$80)),IF(Calculation!DS370=10,IF(Calculation!DR370=18,Worksheet!$BD$64,IF(Calculation!DR370=30,Worksheet!$BD$65,IF(Calculation!DR370=42,Worksheet!$BD$66,IF(Calculation!DR370=54,Worksheet!$BD$68,IF(Calculation!DR370=66,Worksheet!$BD$68,IF(Calculation!DR370=78,Worksheet!$BD$69,IF(Calculation!DR370=90,Worksheet!$BD$70,IF(Calculation!DR370=102,Worksheet!$BD$71,Worksheet!$BD$72)))))))),IF(Calculation!DS370=12.5,IF(Calculation!DR370=18,Worksheet!$BD$73,IF(Calculation!DR370=Worksheet!$BD$74,IF(Calculation!DR370=42,Worksheet!$BD$75,IF(Calculation!DR370=54,Worksheet!$BD$76,Worksheet!$BD$77)))),IF(Calculation!DR370=18,Worksheet!$BD$55,IF(Calculation!DR370=30,Worksheet!$BD$56,IF(Calculation!DR370=42,Worksheet!$BD$57,IF(Calculation!DR370=54,Worksheet!$BD$58,IF(Calculation!DR370=66,Worksheet!$BD$59,IF(Calculation!DR370=78,Worksheet!$BD$60,IF(Calculation!DR370=90,Worksheet!$BD$61,IF(Calculation!DR370=102,Worksheet!$BD$62,Worksheet!$BD$63)))))))))))),5),0)," ")</f>
        <v xml:space="preserve"> </v>
      </c>
      <c r="EG370" s="361" t="str">
        <f t="shared" si="1068"/>
        <v xml:space="preserve"> </v>
      </c>
      <c r="EH370" s="361" t="e">
        <f ca="1">INDEX(INDIRECT(VLOOKUP(LEFT(BO370,7),CLU!$Z$3:$AH$18,7)),M370-1,3+LEFT(DZ370,1))</f>
        <v>#N/A</v>
      </c>
      <c r="EI370" s="362" t="str">
        <f t="shared" si="1069"/>
        <v xml:space="preserve"> </v>
      </c>
      <c r="EJ370" s="363" t="str">
        <f t="shared" si="1070"/>
        <v xml:space="preserve"> </v>
      </c>
      <c r="EK370" s="363" t="str">
        <f t="shared" si="1071"/>
        <v xml:space="preserve"> </v>
      </c>
      <c r="EL370" s="363" t="str">
        <f t="shared" si="1072"/>
        <v xml:space="preserve"> </v>
      </c>
      <c r="EM370" s="362" t="str">
        <f>IF(L370&gt;0,IF(BR370&gt;0,(Calculation!T370/ED370)^2,0)," ")</f>
        <v xml:space="preserve"> </v>
      </c>
      <c r="EN370" s="362" t="str">
        <f>IF(L370&gt;0,IF(O370="2 Pipe (Cooling)","N/A",IF(BR370&gt;0,(Calculation!U370/EI370)^2,0))," ")</f>
        <v xml:space="preserve"> </v>
      </c>
      <c r="EO370" s="361" t="str">
        <f t="shared" si="1073"/>
        <v/>
      </c>
      <c r="EP370" s="361" t="str">
        <f t="shared" si="1074"/>
        <v/>
      </c>
      <c r="EQ370" s="361" t="str">
        <f t="shared" si="1075"/>
        <v/>
      </c>
      <c r="ER370" s="361" t="str">
        <f t="shared" si="1076"/>
        <v/>
      </c>
      <c r="ES370" s="361" t="str">
        <f t="shared" si="1077"/>
        <v/>
      </c>
      <c r="ET370" s="361" t="str">
        <f t="shared" si="1078"/>
        <v/>
      </c>
      <c r="EU370" s="361" t="str">
        <f t="shared" si="1079"/>
        <v/>
      </c>
      <c r="EV370" s="361" t="str">
        <f t="shared" si="1080"/>
        <v/>
      </c>
      <c r="EW370" s="361" t="str">
        <f t="shared" si="1081"/>
        <v/>
      </c>
      <c r="EX370" s="361" t="str">
        <f t="shared" si="1171"/>
        <v>1 slot, 1 way</v>
      </c>
      <c r="EY370" s="361" t="str">
        <f t="shared" si="1172"/>
        <v xml:space="preserve"> </v>
      </c>
      <c r="EZ370" s="361" t="str">
        <f t="shared" si="1173"/>
        <v xml:space="preserve"> </v>
      </c>
      <c r="FA370" s="361" t="str">
        <f t="shared" si="1174"/>
        <v xml:space="preserve"> </v>
      </c>
      <c r="FB370" s="361" t="str">
        <f t="shared" si="1175"/>
        <v xml:space="preserve"> </v>
      </c>
      <c r="FC370" s="361"/>
      <c r="FD370" s="361" t="str">
        <f>IF(J370&gt;0,IF(Calculation!R370&lt;=70,4,IF(Calculation!R370&lt;=110,5,IF(Calculation!R370&lt;=160,6,IF(Calculation!R370&lt;=300,8,"10 EO")))),"")</f>
        <v/>
      </c>
      <c r="FE370" s="361" t="str">
        <f t="shared" si="1176"/>
        <v/>
      </c>
      <c r="FF370" s="361" t="str">
        <f t="shared" si="1177"/>
        <v/>
      </c>
      <c r="FG370" s="361" t="e">
        <f t="shared" si="1082"/>
        <v>#N/A</v>
      </c>
      <c r="FH370" s="361">
        <f t="shared" si="1083"/>
        <v>0</v>
      </c>
      <c r="FI370" s="361" t="e">
        <f t="shared" si="1084"/>
        <v>#DIV/0!</v>
      </c>
      <c r="FJ370" s="361"/>
      <c r="FK370" s="356" t="e">
        <f t="shared" si="1085"/>
        <v>#VALUE!</v>
      </c>
      <c r="FL370" s="361"/>
      <c r="FM370" s="361"/>
      <c r="FN370" s="362" t="str">
        <f t="shared" si="1178"/>
        <v xml:space="preserve"> </v>
      </c>
      <c r="FO370" s="362" t="str">
        <f t="shared" si="1179"/>
        <v xml:space="preserve"> </v>
      </c>
      <c r="FP370" s="362">
        <f t="shared" si="1180"/>
        <v>0</v>
      </c>
      <c r="FQ370" s="361">
        <f t="shared" si="1086"/>
        <v>0</v>
      </c>
      <c r="FR370" s="362" t="str">
        <f>IF(L370&gt;0,IF(J370="CBAL2",Worksheet!$P$67,IF(J370="CBE2-24",Worksheet!$Q$67,IF(J370="CBAM",Worksheet!$R$67,IF(J370="CBLV",Worksheet!$S$67,IF(J370="CBAB",Worksheet!$U$67,IF(J370="CBAW",Worksheet!$X$67,IF(J370="CBE2-12",Worksheet!$Y$67,IF(J370="CBAL2",Worksheet!$Z$67,"N/A"))))))))," ")</f>
        <v xml:space="preserve"> </v>
      </c>
      <c r="FS370" s="362" t="str">
        <f>IF(L370&gt;0,IF(J370="CBAL2",Worksheet!$P$68,IF(J370="CBE2-24",Worksheet!$Q$68,IF(J370="CBAM",Worksheet!$R$68,IF(J370="CBLV",Worksheet!$S$68,IF(J370="CBAB",Worksheet!$U$68,IF(J370="CBAW",Worksheet!$X$68,IF(J370="CBE2-12",Worksheet!$Y$68,IF(J370="CBAL2",Worksheet!$Z$68,"N/A"))))))))," ")</f>
        <v xml:space="preserve"> </v>
      </c>
      <c r="FT370" s="362" t="str">
        <f>IF(L370&gt;0,IF(J370="CBAL2",Worksheet!$P$69,IF(J370="CBE2-24",Worksheet!$Q$69,IF(J370="CBAM",Worksheet!$R$69,IF(J370="CBLV",Worksheet!$S$69,IF(J370="CBAB",Worksheet!$U$69,IF(J370="CBAW",Worksheet!$X$69,IF(J370="CBE2-12",Worksheet!$Y$69,IF(J370="CBAL2",Worksheet!$Z$69,"N/A"))))))))," ")</f>
        <v xml:space="preserve"> </v>
      </c>
      <c r="FU370" s="361" t="str">
        <f t="shared" si="1181"/>
        <v xml:space="preserve"> </v>
      </c>
      <c r="FV370" s="362" t="str">
        <f t="shared" si="1182"/>
        <v xml:space="preserve"> </v>
      </c>
      <c r="FW370" s="362" t="str">
        <f t="shared" si="1183"/>
        <v xml:space="preserve"> </v>
      </c>
      <c r="FX370" s="362" t="str">
        <f t="shared" si="1184"/>
        <v xml:space="preserve"> </v>
      </c>
      <c r="FY370" s="355" t="str">
        <f t="shared" si="1185"/>
        <v xml:space="preserve"> </v>
      </c>
      <c r="FZ370" s="361" t="str">
        <f t="shared" si="1186"/>
        <v xml:space="preserve"> </v>
      </c>
      <c r="GA370" s="347" t="str">
        <f t="shared" si="1187"/>
        <v xml:space="preserve"> </v>
      </c>
      <c r="GB370" s="355" t="str">
        <f t="shared" si="1188"/>
        <v xml:space="preserve"> </v>
      </c>
      <c r="GC370" s="328" t="str">
        <f t="shared" si="1189"/>
        <v xml:space="preserve"> </v>
      </c>
      <c r="GD370" s="361" t="str">
        <f t="shared" si="1190"/>
        <v xml:space="preserve"> </v>
      </c>
      <c r="GE370" s="347" t="str">
        <f t="shared" si="1191"/>
        <v xml:space="preserve"> </v>
      </c>
      <c r="GF370" s="361" t="str">
        <f t="shared" si="1192"/>
        <v xml:space="preserve"> </v>
      </c>
      <c r="GG370" s="347" t="str">
        <f t="shared" si="1193"/>
        <v xml:space="preserve"> </v>
      </c>
      <c r="GH370" s="364">
        <f t="shared" si="1087"/>
        <v>0</v>
      </c>
      <c r="GI370" s="362">
        <f t="shared" si="1194"/>
        <v>2</v>
      </c>
      <c r="GJ370" s="433" t="e">
        <f>IF(6-COUNTBLANK(GT370:GY370)=4,MATCH(MID(BO370,9,3),CLU!$H$16:$K$16),MATCH(MID(BO370,9,3),CLU!$H$13:$M$13))</f>
        <v>#N/A</v>
      </c>
      <c r="GK370" s="433" t="e">
        <f>HLOOKUP(VALUE(BP370),CLU!$H$9:$M$10,2)</f>
        <v>#VALUE!</v>
      </c>
      <c r="GL370" s="433" t="e">
        <f ca="1">MATCH(BU370,CLU!$H$2:$V$2,1)</f>
        <v>#VALUE!</v>
      </c>
      <c r="GM370" s="433" t="e">
        <f t="shared" ca="1" si="1195"/>
        <v>#VALUE!</v>
      </c>
      <c r="GN370" s="433" t="e">
        <f t="shared" ca="1" si="1196"/>
        <v>#VALUE!</v>
      </c>
      <c r="GO370" s="433" t="e">
        <f t="shared" ca="1" si="1197"/>
        <v>#VALUE!</v>
      </c>
      <c r="GP370" s="433" t="e">
        <f t="shared" ca="1" si="1198"/>
        <v>#VALUE!</v>
      </c>
      <c r="GQ370" s="433" t="e">
        <f t="shared" ca="1" si="1199"/>
        <v>#VALUE!</v>
      </c>
      <c r="GR370" s="433" t="e">
        <f ca="1">MATCH(T370,INDIRECT(VLOOKUP(CONCATENATE(LEFT(BO370,7),"-",MID(BO370,13,1)),CLU!$P$3:$Q$16,2)),1)</f>
        <v>#N/A</v>
      </c>
      <c r="GS370" s="433" t="e">
        <f ca="1">MATCH(U370,INDIRECT(VLOOKUP(CONCATENATE(LEFT(BO370,7),"-",MID(BO370,13,1)),CLU!$P$3:$Q$16,2)),1)</f>
        <v>#N/A</v>
      </c>
      <c r="GT370" s="347" t="s">
        <v>512</v>
      </c>
      <c r="GU370" s="97" t="s">
        <v>513</v>
      </c>
      <c r="GV370" s="97" t="str">
        <f t="shared" si="1200"/>
        <v>M23</v>
      </c>
      <c r="GW370" s="97" t="str">
        <f t="shared" si="1201"/>
        <v>M31</v>
      </c>
      <c r="GX370" s="97" t="str">
        <f t="shared" si="1202"/>
        <v/>
      </c>
      <c r="GY370" s="97" t="str">
        <f t="shared" si="1203"/>
        <v/>
      </c>
      <c r="GZ370" s="481"/>
      <c r="HA370" s="240"/>
      <c r="HB370" s="240"/>
      <c r="HC370" s="240"/>
      <c r="HD370" s="240"/>
      <c r="HE370" s="240"/>
      <c r="HF370" s="240"/>
      <c r="HG370" s="240"/>
      <c r="HH370" s="240"/>
      <c r="HI370" s="240"/>
      <c r="HJ370" s="240"/>
      <c r="HK370" s="240"/>
      <c r="HL370" s="240"/>
      <c r="HM370" s="240"/>
      <c r="HN370" s="240"/>
      <c r="HO370" s="240"/>
      <c r="HP370" s="240"/>
      <c r="HQ370" s="240"/>
      <c r="HR370" s="240"/>
      <c r="HS370" s="240"/>
      <c r="HT370" s="240"/>
      <c r="HU370" s="240"/>
      <c r="HV370" s="245"/>
      <c r="HW370" s="245" t="b">
        <v>1</v>
      </c>
      <c r="HX370" s="245" t="str">
        <f t="shared" si="1088"/>
        <v/>
      </c>
      <c r="HY370" s="245" t="e">
        <f t="shared" si="1089"/>
        <v>#DIV/0!</v>
      </c>
      <c r="HZ370" s="245" t="e">
        <f t="shared" si="1090"/>
        <v>#DIV/0!</v>
      </c>
      <c r="IA370" s="245">
        <f t="shared" si="1091"/>
        <v>0</v>
      </c>
      <c r="IB370" s="245"/>
      <c r="IC370" t="b">
        <f t="shared" si="1092"/>
        <v>1</v>
      </c>
      <c r="ID370" s="245" t="b">
        <f t="shared" si="1093"/>
        <v>1</v>
      </c>
      <c r="IE370" s="245" t="b">
        <f t="shared" si="1094"/>
        <v>1</v>
      </c>
      <c r="IF370" s="245" t="b">
        <f t="shared" si="1095"/>
        <v>0</v>
      </c>
      <c r="IG370" s="245" t="b">
        <f t="shared" si="1096"/>
        <v>1</v>
      </c>
      <c r="IH370" s="245" t="b">
        <f t="shared" si="1097"/>
        <v>1</v>
      </c>
      <c r="II370" s="245">
        <f t="shared" si="1204"/>
        <v>0</v>
      </c>
      <c r="IJ370" s="245" t="e">
        <f t="shared" si="1098"/>
        <v>#VALUE!</v>
      </c>
      <c r="IK370" s="245" t="e">
        <f t="shared" si="1099"/>
        <v>#VALUE!</v>
      </c>
      <c r="IL370" s="245"/>
      <c r="IM370" s="245" t="e">
        <f t="shared" si="1205"/>
        <v>#N/A</v>
      </c>
      <c r="IN370" s="245" t="e">
        <f t="shared" si="1206"/>
        <v>#N/A</v>
      </c>
      <c r="IO370" s="245"/>
      <c r="IP370" s="245"/>
      <c r="IQ370" s="245" t="str">
        <f t="shared" si="1100"/>
        <v/>
      </c>
      <c r="IR370" s="245" t="str">
        <f>IF(J370="","",VLOOKUP(J370,Worksheet!$R$4:$T$14,2))</f>
        <v/>
      </c>
      <c r="IS370" s="245"/>
      <c r="IT370" s="245">
        <f t="shared" si="1101"/>
        <v>0</v>
      </c>
      <c r="IU370" s="245">
        <f t="shared" si="1102"/>
        <v>0</v>
      </c>
      <c r="IV370" s="245">
        <f t="shared" si="1103"/>
        <v>0</v>
      </c>
      <c r="IW370" s="245">
        <f t="shared" si="1104"/>
        <v>0</v>
      </c>
      <c r="IX370" s="245">
        <f t="shared" si="1207"/>
        <v>0</v>
      </c>
      <c r="IY370" s="245">
        <f t="shared" si="1105"/>
        <v>0</v>
      </c>
      <c r="IZ370" s="245">
        <f t="shared" si="1106"/>
        <v>0</v>
      </c>
      <c r="JA370">
        <f t="shared" si="1107"/>
        <v>0</v>
      </c>
      <c r="JB370">
        <f t="shared" si="1208"/>
        <v>0</v>
      </c>
      <c r="JC370">
        <f t="shared" si="1108"/>
        <v>0</v>
      </c>
      <c r="JD370">
        <f t="shared" si="1109"/>
        <v>0</v>
      </c>
      <c r="JE370">
        <f t="shared" si="1110"/>
        <v>0</v>
      </c>
      <c r="JF370">
        <f t="shared" si="1111"/>
        <v>0</v>
      </c>
      <c r="JG370">
        <f t="shared" si="1112"/>
        <v>0</v>
      </c>
      <c r="JH370">
        <f t="shared" si="1113"/>
        <v>0</v>
      </c>
      <c r="JI370">
        <f t="shared" si="1114"/>
        <v>0</v>
      </c>
      <c r="JJ370" s="447">
        <f t="shared" si="1115"/>
        <v>0</v>
      </c>
      <c r="JK370" s="447">
        <f t="shared" si="1116"/>
        <v>0</v>
      </c>
      <c r="JL370">
        <f t="shared" si="1117"/>
        <v>0</v>
      </c>
      <c r="JM370" s="245" t="str">
        <f>IFERROR(VLOOKUP(MATCH(BN370,#REF!,0),#REF!,7),"")</f>
        <v/>
      </c>
      <c r="JN370" t="e">
        <f>HLOOKUP(LEFT(BO370,7),Discharge_Area,MATCH(JO370,LookUps!$B$130:$B$149,1)+2)</f>
        <v>#N/A</v>
      </c>
      <c r="JO370" t="str">
        <f t="shared" si="1118"/>
        <v>- S</v>
      </c>
      <c r="JP370" t="e">
        <f>HLOOKUP(LEFT(BO370,7),Discharge_Area,MATCH(JO370,LookUps!$B$130:$B$149,1)+2)</f>
        <v>#N/A</v>
      </c>
      <c r="JQ370" t="e">
        <f t="shared" si="1119"/>
        <v>#N/A</v>
      </c>
      <c r="JR370" t="e">
        <f t="shared" si="1120"/>
        <v>#N/A</v>
      </c>
      <c r="JS370" t="e">
        <f t="shared" si="1121"/>
        <v>#N/A</v>
      </c>
      <c r="JT370" s="532" t="str">
        <f t="shared" si="1122"/>
        <v xml:space="preserve"> </v>
      </c>
      <c r="JU370" s="532" t="str">
        <f t="shared" si="1123"/>
        <v xml:space="preserve"> </v>
      </c>
      <c r="JV370" s="533" t="str">
        <f t="shared" si="1124"/>
        <v xml:space="preserve"> </v>
      </c>
      <c r="JW370" s="534">
        <f t="shared" si="1125"/>
        <v>0</v>
      </c>
      <c r="JX370" s="535" t="str">
        <f t="shared" si="1209"/>
        <v xml:space="preserve"> </v>
      </c>
      <c r="JY370" s="535" t="str">
        <f t="shared" si="1210"/>
        <v xml:space="preserve"> </v>
      </c>
      <c r="JZ370" s="535" t="str">
        <f t="shared" si="1211"/>
        <v xml:space="preserve"> </v>
      </c>
      <c r="KA370" s="536" t="str">
        <f t="shared" si="1126"/>
        <v xml:space="preserve"> </v>
      </c>
      <c r="KB370" s="535" t="e">
        <f t="shared" si="1212"/>
        <v>#VALUE!</v>
      </c>
      <c r="KC370" s="535" t="str">
        <f t="shared" si="1127"/>
        <v/>
      </c>
      <c r="KD370" s="537" t="str">
        <f t="shared" si="1213"/>
        <v xml:space="preserve"> </v>
      </c>
      <c r="KE370" s="537" t="str">
        <f t="shared" si="1214"/>
        <v xml:space="preserve"> </v>
      </c>
      <c r="KF370" s="534">
        <f t="shared" si="1128"/>
        <v>0</v>
      </c>
      <c r="KG370" s="535" t="str">
        <f t="shared" si="1129"/>
        <v xml:space="preserve"> </v>
      </c>
      <c r="KH370" s="535" t="str">
        <f t="shared" si="1130"/>
        <v xml:space="preserve"> </v>
      </c>
      <c r="KI370" s="535" t="str">
        <f t="shared" si="1131"/>
        <v xml:space="preserve"> </v>
      </c>
      <c r="KJ370" s="536" t="str">
        <f t="shared" si="1132"/>
        <v xml:space="preserve"> </v>
      </c>
      <c r="KK370" s="535" t="str">
        <f t="shared" si="1215"/>
        <v xml:space="preserve"> </v>
      </c>
      <c r="KL370" s="535" t="str">
        <f t="shared" si="1216"/>
        <v xml:space="preserve"> </v>
      </c>
      <c r="KM370" s="537" t="str">
        <f t="shared" si="1133"/>
        <v xml:space="preserve"> </v>
      </c>
      <c r="KN370" s="537" t="str">
        <f t="shared" si="1217"/>
        <v xml:space="preserve"> </v>
      </c>
      <c r="KP370">
        <f t="shared" si="1134"/>
        <v>0</v>
      </c>
      <c r="LA370" t="e">
        <f t="shared" si="1135"/>
        <v>#VALUE!</v>
      </c>
      <c r="LB370" t="e">
        <f t="shared" si="1136"/>
        <v>#VALUE!</v>
      </c>
      <c r="LC370" t="e">
        <f t="shared" si="1137"/>
        <v>#VALUE!</v>
      </c>
      <c r="LD370" t="e">
        <f t="shared" si="1138"/>
        <v>#VALUE!</v>
      </c>
      <c r="LE370" t="e">
        <f t="shared" si="1218"/>
        <v>#VALUE!</v>
      </c>
      <c r="LF370">
        <f t="shared" si="1139"/>
        <v>0</v>
      </c>
      <c r="LG370" t="e">
        <f t="shared" si="1219"/>
        <v>#VALUE!</v>
      </c>
      <c r="LH370" t="str">
        <f t="shared" si="1140"/>
        <v xml:space="preserve"> </v>
      </c>
      <c r="LI370">
        <f t="shared" si="1220"/>
        <v>1</v>
      </c>
    </row>
    <row r="371" spans="2:321" ht="15" customHeight="1">
      <c r="B371" s="311"/>
      <c r="C371" s="311"/>
      <c r="D371" s="312"/>
      <c r="E371" s="311"/>
      <c r="F371" s="312"/>
      <c r="G371" s="311"/>
      <c r="H371" s="311"/>
      <c r="I371" s="232"/>
      <c r="J371" s="311"/>
      <c r="K371" s="305" t="str">
        <f t="shared" si="1141"/>
        <v/>
      </c>
      <c r="L371" s="313"/>
      <c r="M371" s="312"/>
      <c r="N371" s="311"/>
      <c r="O371" s="312"/>
      <c r="P371" s="311"/>
      <c r="Q371" s="305" t="str">
        <f t="shared" si="1142"/>
        <v/>
      </c>
      <c r="R371" s="314"/>
      <c r="S371" s="450" t="str">
        <f t="shared" si="1025"/>
        <v/>
      </c>
      <c r="T371" s="315"/>
      <c r="U371" s="315"/>
      <c r="W371" s="149" t="str">
        <f t="shared" si="1026"/>
        <v xml:space="preserve"> </v>
      </c>
      <c r="X371" s="243" t="str">
        <f t="shared" si="1027"/>
        <v xml:space="preserve"> </v>
      </c>
      <c r="Y371" s="150" t="str">
        <f t="shared" si="1028"/>
        <v/>
      </c>
      <c r="Z371" s="149" t="str">
        <f t="shared" si="1029"/>
        <v xml:space="preserve"> </v>
      </c>
      <c r="AA371" s="98" t="str">
        <f t="shared" si="1030"/>
        <v xml:space="preserve"> </v>
      </c>
      <c r="AB371" s="153" t="str">
        <f t="shared" si="1031"/>
        <v xml:space="preserve"> </v>
      </c>
      <c r="AC371" s="153" t="str">
        <f t="shared" si="1032"/>
        <v xml:space="preserve"> </v>
      </c>
      <c r="AD371" s="148" t="str">
        <f t="shared" si="1033"/>
        <v/>
      </c>
      <c r="AE371" s="149" t="str">
        <f t="shared" si="1034"/>
        <v/>
      </c>
      <c r="AF371" s="151" t="str">
        <f t="shared" si="1035"/>
        <v xml:space="preserve"> </v>
      </c>
      <c r="AG371" s="153" t="str">
        <f t="shared" si="1036"/>
        <v xml:space="preserve"> </v>
      </c>
      <c r="AH371" s="98" t="str">
        <f t="shared" si="1037"/>
        <v xml:space="preserve"> </v>
      </c>
      <c r="AI371" s="149" t="str">
        <f t="shared" si="1038"/>
        <v xml:space="preserve"> </v>
      </c>
      <c r="AK371" s="144" t="str">
        <f t="shared" si="1039"/>
        <v xml:space="preserve"> </v>
      </c>
      <c r="AL371" s="144"/>
      <c r="AM371" s="243" t="str">
        <f t="shared" si="1040"/>
        <v xml:space="preserve"> </v>
      </c>
      <c r="AN371" s="149" t="str">
        <f t="shared" si="1143"/>
        <v xml:space="preserve"> </v>
      </c>
      <c r="AO371" s="144" t="str">
        <f>IF(JB371&gt;0,IF(GI371=10,-R371*1.085*(Calculation!$F$6-Calculation!$F$13)*$S$14," "),"")</f>
        <v/>
      </c>
      <c r="AP371" s="144" t="str">
        <f t="shared" si="1041"/>
        <v/>
      </c>
      <c r="AQ371" s="56" t="str">
        <f t="shared" si="1042"/>
        <v/>
      </c>
      <c r="AR371" s="144" t="str">
        <f t="shared" si="1043"/>
        <v/>
      </c>
      <c r="AS371" s="176" t="str">
        <f t="shared" si="1044"/>
        <v/>
      </c>
      <c r="AT371" s="176" t="str">
        <f t="shared" si="1144"/>
        <v xml:space="preserve"> </v>
      </c>
      <c r="AU371" s="176" t="str">
        <f t="shared" si="1045"/>
        <v/>
      </c>
      <c r="AV371" s="177" t="str">
        <f t="shared" si="1046"/>
        <v xml:space="preserve"> </v>
      </c>
      <c r="AW371" s="144" t="str">
        <f t="shared" si="1047"/>
        <v xml:space="preserve"> </v>
      </c>
      <c r="AX371" s="144" t="str">
        <f t="shared" si="1048"/>
        <v xml:space="preserve"> </v>
      </c>
      <c r="AY371" s="152" t="str">
        <f t="shared" si="1049"/>
        <v xml:space="preserve"> </v>
      </c>
      <c r="AZ371" s="246" t="str">
        <f t="shared" si="1050"/>
        <v/>
      </c>
      <c r="BA371" s="176" t="str">
        <f t="shared" si="1051"/>
        <v xml:space="preserve"> </v>
      </c>
      <c r="BB371" s="176" t="str">
        <f t="shared" si="1052"/>
        <v xml:space="preserve"> </v>
      </c>
      <c r="BC371" s="195"/>
      <c r="BD371" s="316"/>
      <c r="BE371" s="317"/>
      <c r="BF371" s="318"/>
      <c r="BG371" s="318"/>
      <c r="BH371" s="144" t="str">
        <f t="shared" si="1221"/>
        <v xml:space="preserve"> </v>
      </c>
      <c r="BI371" s="176" t="str">
        <f t="shared" si="1053"/>
        <v/>
      </c>
      <c r="BJ371" s="144" t="str">
        <f t="shared" si="1222"/>
        <v/>
      </c>
      <c r="BK371" s="246" t="str">
        <f t="shared" si="1054"/>
        <v/>
      </c>
      <c r="BL371" s="144" t="str">
        <f t="shared" si="1223"/>
        <v/>
      </c>
      <c r="BM371" s="246" t="str">
        <f t="shared" si="1055"/>
        <v/>
      </c>
      <c r="BN371" s="337" t="str">
        <f t="shared" si="1145"/>
        <v/>
      </c>
      <c r="BO371" s="371" t="str">
        <f t="shared" si="1146"/>
        <v/>
      </c>
      <c r="BP371" s="328" t="str">
        <f t="shared" si="1224"/>
        <v xml:space="preserve"> </v>
      </c>
      <c r="BQ371" s="347" t="str">
        <f t="shared" si="1147"/>
        <v xml:space="preserve"> </v>
      </c>
      <c r="BR371" s="353" t="str">
        <f t="shared" si="1148"/>
        <v xml:space="preserve"> </v>
      </c>
      <c r="BS371" s="626" t="str">
        <f>IF(L371&gt;0,IF(Calculation!P371="M13",BR371*3.1416*(0.134^2)/(4*144),IF(Calculation!P371="M17",BR371*3.1416*(0.165^2)/(4*144),IF(Calculation!P371="M20",BR371*3.1416*(0.198^2)/(4*144),IF(Calculation!P371="M23",BR371*3.1416*(0.228^2)/(4*144),IF(Calculation!P371="M27",BR371*3.1416*(0.269^2)/(4*144),BR371*3.1416*(0.307^2)/(4*144))))))," ")</f>
        <v xml:space="preserve"> </v>
      </c>
      <c r="BT371" s="353" t="str">
        <f>IF(L371&gt;0,IF(BS371&gt;0,R371/Calculation!BS371,0)," ")</f>
        <v xml:space="preserve"> </v>
      </c>
      <c r="BU371" s="438" t="e">
        <f t="shared" ca="1" si="1056"/>
        <v>#VALUE!</v>
      </c>
      <c r="BV371" s="449" t="e">
        <f ca="1">INDEX(INDIRECT(VLOOKUP(LEFT(BO371,7),CLU!$Z$3:$AH$18,2)),GN371,GR371)</f>
        <v>#N/A</v>
      </c>
      <c r="BW371" s="433" t="e">
        <f ca="1">INDEX(INDIRECT(VLOOKUP(LEFT(BO371,7),CLU!$Z$3:$AH$18,3)),GN371,GR371)</f>
        <v>#N/A</v>
      </c>
      <c r="BX371" s="433" t="e">
        <f ca="1">INDEX(INDIRECT(VLOOKUP(LEFT(BO371,7),CLU!$Z$3:$AH$18,4)),GN371,GR371)</f>
        <v>#N/A</v>
      </c>
      <c r="BY371" s="433" t="e">
        <f ca="1">INDEX(INDIRECT(VLOOKUP(LEFT(BO371,7),CLU!$Z$3:$AH$18,9)),((M371-2)*(6-COUNTBLANK(GT371:GY371)))+GJ371)</f>
        <v>#N/A</v>
      </c>
      <c r="BZ371" s="426" t="e">
        <f t="shared" ca="1" si="1149"/>
        <v>#N/A</v>
      </c>
      <c r="CA371" s="424" t="e">
        <f t="shared" ca="1" si="1150"/>
        <v>#N/A</v>
      </c>
      <c r="CB371" s="429" t="e">
        <f ca="1">INDEX(INDIRECT(VLOOKUP(LEFT(BO371,7),CLU!$Z$3:$AH$18,2)),GN371,GS371)</f>
        <v>#N/A</v>
      </c>
      <c r="CC371" s="342" t="e">
        <f ca="1">INDEX(INDIRECT(VLOOKUP(LEFT(BO371,7),CLU!$Z$3:$AH$18,3)),GN371,GS371)</f>
        <v>#N/A</v>
      </c>
      <c r="CD371" s="342" t="e">
        <f ca="1">INDEX(INDIRECT(VLOOKUP(LEFT(BO371,7),CLU!$Z$3:$AH$18,4)),GN371,GS371)</f>
        <v>#N/A</v>
      </c>
      <c r="CE371" s="426" t="e">
        <f t="shared" ca="1" si="1151"/>
        <v>#N/A</v>
      </c>
      <c r="CF371" s="440">
        <f t="shared" si="1152"/>
        <v>0</v>
      </c>
      <c r="CG371" s="431" t="e">
        <f ca="1">INDEX(INDIRECT(VLOOKUP(LEFT(BO371,7),CLU!$Z$3:$AH$18,2)),GQ371,GR371)</f>
        <v>#N/A</v>
      </c>
      <c r="CH371" s="431" t="e">
        <f ca="1">INDEX(INDIRECT(VLOOKUP(LEFT(BO371,7),CLU!$Z$3:$AH$18,3)),GQ371,GR371)</f>
        <v>#N/A</v>
      </c>
      <c r="CI371" s="431" t="e">
        <f ca="1">INDEX(INDIRECT(VLOOKUP(LEFT(BO371,7),CLU!$Z$3:$AH$18,4)),GQ371,GR371)</f>
        <v>#N/A</v>
      </c>
      <c r="CJ371" s="448" t="e">
        <f t="shared" ca="1" si="1153"/>
        <v>#N/A</v>
      </c>
      <c r="CK371" s="431" t="e">
        <f t="shared" ca="1" si="1154"/>
        <v>#N/A</v>
      </c>
      <c r="CL371" s="440" t="e">
        <f t="shared" ca="1" si="1155"/>
        <v>#N/A</v>
      </c>
      <c r="CM371" s="431" t="e">
        <f ca="1">INDEX(INDIRECT(VLOOKUP(LEFT(BO371,7),CLU!$Z$3:$AH$18,2)),GQ371,GS371)</f>
        <v>#N/A</v>
      </c>
      <c r="CN371" s="431" t="e">
        <f ca="1">INDEX(INDIRECT(VLOOKUP(LEFT(BO371,7),CLU!$Z$3:$AH$18,3)),GQ371,GS371)</f>
        <v>#N/A</v>
      </c>
      <c r="CO371" s="431" t="e">
        <f ca="1">INDEX(INDIRECT(VLOOKUP(LEFT(BO371,7),CLU!$Z$3:$AH$18,4)),GQ371,GS371)</f>
        <v>#N/A</v>
      </c>
      <c r="CP371" s="431" t="e">
        <f t="shared" ca="1" si="1156"/>
        <v>#N/A</v>
      </c>
      <c r="CQ371" s="440">
        <f t="shared" si="1157"/>
        <v>0</v>
      </c>
      <c r="CR371" s="51" t="e">
        <f t="shared" ca="1" si="1158"/>
        <v>#N/A</v>
      </c>
      <c r="CS371" s="439" t="e">
        <f t="shared" ca="1" si="1159"/>
        <v>#VALUE!</v>
      </c>
      <c r="CT371" s="51" t="e">
        <f t="shared" ca="1" si="1160"/>
        <v>#VALUE!</v>
      </c>
      <c r="CU371" s="10"/>
      <c r="CV371" s="51" t="e">
        <f t="shared" ca="1" si="1057"/>
        <v>#VALUE!</v>
      </c>
      <c r="CW371" s="51">
        <f t="shared" si="1161"/>
        <v>0</v>
      </c>
      <c r="CX371" s="439" t="e">
        <f t="shared" ca="1" si="1162"/>
        <v>#VALUE!</v>
      </c>
      <c r="CY371" s="51" t="e">
        <f t="shared" ca="1" si="1163"/>
        <v>#VALUE!</v>
      </c>
      <c r="CZ371" s="10"/>
      <c r="DA371" s="51" t="e">
        <f t="shared" ca="1" si="1164"/>
        <v>#VALUE!</v>
      </c>
      <c r="DB371" s="347" t="e">
        <f ca="1">INDEX(INDIRECT(VLOOKUP(LEFT(BO371,7),CLU!$Z$3:$AI$18,10)),((M371-2)*(6-COUNTBLANK(GT371:GY371)))+GJ371)*LI371</f>
        <v>#N/A</v>
      </c>
      <c r="DC371" s="347" t="str">
        <f>IF(L371&gt;0,((R371/Worksheet!$I$15)/DB371)^2," ")</f>
        <v xml:space="preserve"> </v>
      </c>
      <c r="DD371" s="602" t="str">
        <f t="shared" si="1165"/>
        <v xml:space="preserve"> </v>
      </c>
      <c r="DE371" s="347" t="str">
        <f t="shared" si="1058"/>
        <v xml:space="preserve"> </v>
      </c>
      <c r="DF371" s="356" t="e">
        <f ca="1">INDEX(INDIRECT(VLOOKUP(LEFT(BO371,7),CLU!$Z$3:$AH$18,8)),((M371-2)*(6-COUNTBLANK(GT371:GY371)))+GJ371)</f>
        <v>#N/A</v>
      </c>
      <c r="DG371" s="347" t="str">
        <f t="shared" si="1059"/>
        <v xml:space="preserve"> </v>
      </c>
      <c r="DH371" s="357" t="str">
        <f t="shared" si="1060"/>
        <v xml:space="preserve"> </v>
      </c>
      <c r="DI371" s="355" t="str">
        <f t="shared" si="1061"/>
        <v xml:space="preserve"> </v>
      </c>
      <c r="DJ371" s="245" t="e">
        <f ca="1">INDEX(INDIRECT(VLOOKUP(LEFT(BO371,7),CLU!$Z$3:$AH$18,5)),GL371,GK371)</f>
        <v>#N/A</v>
      </c>
      <c r="DK371" s="245" t="e">
        <f ca="1">INDEX(INDIRECT(VLOOKUP(LEFT(BO371,7),CLU!$Z$3:$AH$18,6)),GL371,GK371)</f>
        <v>#N/A</v>
      </c>
      <c r="DL371" s="355">
        <f>(Calculation!R371*0.69143*(Calculation!$BQ$8-Calculation!$F$8))*$S$14</f>
        <v>0</v>
      </c>
      <c r="DM371" s="359" t="e">
        <f t="shared" si="1166"/>
        <v>#VALUE!</v>
      </c>
      <c r="DN371" s="611">
        <f t="shared" si="1167"/>
        <v>0</v>
      </c>
      <c r="DO371" s="359">
        <f t="shared" si="1168"/>
        <v>100</v>
      </c>
      <c r="DP371" s="359">
        <f t="shared" si="1169"/>
        <v>0</v>
      </c>
      <c r="DQ371" s="360"/>
      <c r="DR371" s="245" t="e">
        <f ca="1">INDEX(INDIRECT(VLOOKUP(LEFT(BO371,7),CLU!$Z$3:$AH$18,7)),M371-1,1)</f>
        <v>#N/A</v>
      </c>
      <c r="DS371" s="245" t="e">
        <f ca="1">INDEX(INDIRECT(VLOOKUP(LEFT(BO371,7),CLU!$Z$3:$AH$18,7)),M371-1,2)</f>
        <v>#N/A</v>
      </c>
      <c r="DT371" s="245" t="e">
        <f ca="1">INDEX(INDIRECT(VLOOKUP(LEFT(BO371,7),CLU!$Z$3:$AH$18,7)),M371-1,3)</f>
        <v>#N/A</v>
      </c>
      <c r="DU371" s="245" t="e">
        <f ca="1">INDEX(INDIRECT(VLOOKUP(LEFT(BO371,7),CLU!$Z$3:$AH$18,7)),M371-1,4)</f>
        <v>#N/A</v>
      </c>
      <c r="DV371" s="361" t="e">
        <f ca="1">INDEX(INDIRECT(VLOOKUP(LEFT(BO371,7),CLU!$Z$3:$AH$18,7)),M371-1,4+LEFT(DZ371,1)*0.5)</f>
        <v>#N/A</v>
      </c>
      <c r="DW371" s="245" t="e">
        <f ca="1">INDEX(INDIRECT(VLOOKUP(LEFT(BO371,7),CLU!$Z$3:$AH$18,7)),M371-1,8)</f>
        <v>#N/A</v>
      </c>
      <c r="DX371" s="361" t="str">
        <f t="shared" si="1062"/>
        <v xml:space="preserve"> </v>
      </c>
      <c r="DY371" s="361" t="str">
        <f t="shared" si="1063"/>
        <v xml:space="preserve"> </v>
      </c>
      <c r="DZ371" s="361" t="str">
        <f t="shared" si="1064"/>
        <v xml:space="preserve"> </v>
      </c>
      <c r="EA371" s="362" t="str">
        <f t="shared" si="1065"/>
        <v xml:space="preserve"> </v>
      </c>
      <c r="EB371" s="624" t="str">
        <f t="shared" si="1170"/>
        <v xml:space="preserve"> </v>
      </c>
      <c r="EC371" s="361" t="e">
        <f ca="1">INDEX(INDIRECT(VLOOKUP(LEFT(BO371,7),CLU!$Z$3:$AH$18,7)),M371-1,4+LEFT(DZ371,1)*0.5)</f>
        <v>#N/A</v>
      </c>
      <c r="ED371" s="362" t="str">
        <f t="shared" si="1066"/>
        <v xml:space="preserve"> </v>
      </c>
      <c r="EE371" s="361" t="str">
        <f t="shared" si="1067"/>
        <v xml:space="preserve"> </v>
      </c>
      <c r="EF371" s="362" t="str">
        <f>IF(L371&gt;0,IF(BR371&gt;0,IF(EE371="2P",IF(Calculation!DZ371="2P",IF(Calculation!DS371=13.75,IF(Calculation!DR371=13,Worksheet!$BD$43,IF(Calculation!DR371=37,Worksheet!$BD$44,Worksheet!$BD$45)),IF(Calculation!DS371=10,IF(Calculation!DR371=18,Worksheet!$BD$29,IF(Calculation!DR371=30,Worksheet!$BD$30,IF(Calculation!DR371=42,Worksheet!$BD$31,IF(Calculation!DR371=54,Worksheet!$BD$32,IF(Calculation!DR371=66,Worksheet!$BD$33,IF(Calculation!DR371=78,Worksheet!$BD$34,IF(Calculation!DR371=90,Worksheet!$BD$35,IF(Calculation!DR371=102,Worksheet!$BD$36,Worksheet!$BD$37)))))))),IF(Calculation!DS371=12.5,IF(Calculation!DR371=18,Worksheet!$BD$38,IF(Calculation!DR371=Worksheet!$BD$39,IF(Calculation!DR371=42,Worksheet!$BD$40,IF(Calculation!DR371=54,Worksheet!$BD$41,Worksheet!$BD$42)))),IF(Calculation!DR371=18,Worksheet!$BD$11,IF(Calculation!DR371=30,Worksheet!$BD$12,IF(Calculation!DR371=42,Worksheet!$BD$13,IF(Calculation!DR371=54,Worksheet!$BD$14,IF(Calculation!DR371=66,Worksheet!$BD$15,IF(Calculation!DR371=78,Worksheet!$BD$16,IF(Calculation!DR371=90,Worksheet!$BD$17,IF(Calculation!DR371=102,Worksheet!$BD$18,Worksheet!$BD$19))))))))))),IF(Calculation!DS371=13.75,IF(Calculation!DR371=13,Worksheet!$BD$78,IF(Calculation!DR371=37,Worksheet!$BD$79,Worksheet!$BD$80)),IF(Calculation!DS371=10,IF(Calculation!DR371=18,Worksheet!$BD$64,IF(Calculation!DR371=30,Worksheet!$BD$65,IF(Calculation!DR371=42,Worksheet!$BD$66,IF(Calculation!DR371=54,Worksheet!$BD$68,IF(Calculation!DR371=66,Worksheet!$BD$68,IF(Calculation!DR371=78,Worksheet!$BD$69,IF(Calculation!DR371=90,Worksheet!$BD$70,IF(Calculation!DR371=102,Worksheet!$BD$71,Worksheet!$BD$72)))))))),IF(Calculation!DS371=12.5,IF(Calculation!DR371=18,Worksheet!$BD$73,IF(Calculation!DR371=Worksheet!$BD$74,IF(Calculation!DR371=42,Worksheet!$BD$75,IF(Calculation!DR371=54,Worksheet!$BD$76,Worksheet!$BD$77)))),IF(Calculation!DR371=18,Worksheet!$BD$55,IF(Calculation!DR371=30,Worksheet!$BD$56,IF(Calculation!DR371=42,Worksheet!$BD$57,IF(Calculation!DR371=54,Worksheet!$BD$58,IF(Calculation!DR371=66,Worksheet!$BD$59,IF(Calculation!DR371=78,Worksheet!$BD$60,IF(Calculation!DR371=90,Worksheet!$BD$61,IF(Calculation!DR371=102,Worksheet!$BD$62,Worksheet!$BD$63)))))))))))),5),0)," ")</f>
        <v xml:space="preserve"> </v>
      </c>
      <c r="EG371" s="361" t="str">
        <f t="shared" si="1068"/>
        <v xml:space="preserve"> </v>
      </c>
      <c r="EH371" s="361" t="e">
        <f ca="1">INDEX(INDIRECT(VLOOKUP(LEFT(BO371,7),CLU!$Z$3:$AH$18,7)),M371-1,3+LEFT(DZ371,1))</f>
        <v>#N/A</v>
      </c>
      <c r="EI371" s="362" t="str">
        <f t="shared" si="1069"/>
        <v xml:space="preserve"> </v>
      </c>
      <c r="EJ371" s="363" t="str">
        <f t="shared" si="1070"/>
        <v xml:space="preserve"> </v>
      </c>
      <c r="EK371" s="363" t="str">
        <f t="shared" si="1071"/>
        <v xml:space="preserve"> </v>
      </c>
      <c r="EL371" s="363" t="str">
        <f t="shared" si="1072"/>
        <v xml:space="preserve"> </v>
      </c>
      <c r="EM371" s="362" t="str">
        <f>IF(L371&gt;0,IF(BR371&gt;0,(Calculation!T371/ED371)^2,0)," ")</f>
        <v xml:space="preserve"> </v>
      </c>
      <c r="EN371" s="362" t="str">
        <f>IF(L371&gt;0,IF(O371="2 Pipe (Cooling)","N/A",IF(BR371&gt;0,(Calculation!U371/EI371)^2,0))," ")</f>
        <v xml:space="preserve"> </v>
      </c>
      <c r="EO371" s="361" t="str">
        <f t="shared" si="1073"/>
        <v/>
      </c>
      <c r="EP371" s="361" t="str">
        <f t="shared" si="1074"/>
        <v/>
      </c>
      <c r="EQ371" s="361" t="str">
        <f t="shared" si="1075"/>
        <v/>
      </c>
      <c r="ER371" s="361" t="str">
        <f t="shared" si="1076"/>
        <v/>
      </c>
      <c r="ES371" s="361" t="str">
        <f t="shared" si="1077"/>
        <v/>
      </c>
      <c r="ET371" s="361" t="str">
        <f t="shared" si="1078"/>
        <v/>
      </c>
      <c r="EU371" s="361" t="str">
        <f t="shared" si="1079"/>
        <v/>
      </c>
      <c r="EV371" s="361" t="str">
        <f t="shared" si="1080"/>
        <v/>
      </c>
      <c r="EW371" s="361" t="str">
        <f t="shared" si="1081"/>
        <v/>
      </c>
      <c r="EX371" s="361" t="str">
        <f t="shared" si="1171"/>
        <v>1 slot, 1 way</v>
      </c>
      <c r="EY371" s="361" t="str">
        <f t="shared" si="1172"/>
        <v xml:space="preserve"> </v>
      </c>
      <c r="EZ371" s="361" t="str">
        <f t="shared" si="1173"/>
        <v xml:space="preserve"> </v>
      </c>
      <c r="FA371" s="361" t="str">
        <f t="shared" si="1174"/>
        <v xml:space="preserve"> </v>
      </c>
      <c r="FB371" s="361" t="str">
        <f t="shared" si="1175"/>
        <v xml:space="preserve"> </v>
      </c>
      <c r="FC371" s="361"/>
      <c r="FD371" s="361" t="str">
        <f>IF(J371&gt;0,IF(Calculation!R371&lt;=70,4,IF(Calculation!R371&lt;=110,5,IF(Calculation!R371&lt;=160,6,IF(Calculation!R371&lt;=300,8,"10 EO")))),"")</f>
        <v/>
      </c>
      <c r="FE371" s="361" t="str">
        <f t="shared" si="1176"/>
        <v/>
      </c>
      <c r="FF371" s="361" t="str">
        <f t="shared" si="1177"/>
        <v/>
      </c>
      <c r="FG371" s="361" t="e">
        <f t="shared" si="1082"/>
        <v>#N/A</v>
      </c>
      <c r="FH371" s="361">
        <f t="shared" si="1083"/>
        <v>0</v>
      </c>
      <c r="FI371" s="361" t="e">
        <f t="shared" si="1084"/>
        <v>#DIV/0!</v>
      </c>
      <c r="FJ371" s="361"/>
      <c r="FK371" s="356" t="e">
        <f t="shared" si="1085"/>
        <v>#VALUE!</v>
      </c>
      <c r="FL371" s="361"/>
      <c r="FM371" s="361"/>
      <c r="FN371" s="362" t="str">
        <f t="shared" si="1178"/>
        <v xml:space="preserve"> </v>
      </c>
      <c r="FO371" s="362" t="str">
        <f t="shared" si="1179"/>
        <v xml:space="preserve"> </v>
      </c>
      <c r="FP371" s="362">
        <f t="shared" si="1180"/>
        <v>0</v>
      </c>
      <c r="FQ371" s="361">
        <f t="shared" si="1086"/>
        <v>0</v>
      </c>
      <c r="FR371" s="362" t="str">
        <f>IF(L371&gt;0,IF(J371="CBAL2",Worksheet!$P$67,IF(J371="CBE2-24",Worksheet!$Q$67,IF(J371="CBAM",Worksheet!$R$67,IF(J371="CBLV",Worksheet!$S$67,IF(J371="CBAB",Worksheet!$U$67,IF(J371="CBAW",Worksheet!$X$67,IF(J371="CBE2-12",Worksheet!$Y$67,IF(J371="CBAL2",Worksheet!$Z$67,"N/A"))))))))," ")</f>
        <v xml:space="preserve"> </v>
      </c>
      <c r="FS371" s="362" t="str">
        <f>IF(L371&gt;0,IF(J371="CBAL2",Worksheet!$P$68,IF(J371="CBE2-24",Worksheet!$Q$68,IF(J371="CBAM",Worksheet!$R$68,IF(J371="CBLV",Worksheet!$S$68,IF(J371="CBAB",Worksheet!$U$68,IF(J371="CBAW",Worksheet!$X$68,IF(J371="CBE2-12",Worksheet!$Y$68,IF(J371="CBAL2",Worksheet!$Z$68,"N/A"))))))))," ")</f>
        <v xml:space="preserve"> </v>
      </c>
      <c r="FT371" s="362" t="str">
        <f>IF(L371&gt;0,IF(J371="CBAL2",Worksheet!$P$69,IF(J371="CBE2-24",Worksheet!$Q$69,IF(J371="CBAM",Worksheet!$R$69,IF(J371="CBLV",Worksheet!$S$69,IF(J371="CBAB",Worksheet!$U$69,IF(J371="CBAW",Worksheet!$X$69,IF(J371="CBE2-12",Worksheet!$Y$69,IF(J371="CBAL2",Worksheet!$Z$69,"N/A"))))))))," ")</f>
        <v xml:space="preserve"> </v>
      </c>
      <c r="FU371" s="361" t="str">
        <f t="shared" si="1181"/>
        <v xml:space="preserve"> </v>
      </c>
      <c r="FV371" s="362" t="str">
        <f t="shared" si="1182"/>
        <v xml:space="preserve"> </v>
      </c>
      <c r="FW371" s="362" t="str">
        <f t="shared" si="1183"/>
        <v xml:space="preserve"> </v>
      </c>
      <c r="FX371" s="362" t="str">
        <f t="shared" si="1184"/>
        <v xml:space="preserve"> </v>
      </c>
      <c r="FY371" s="355" t="str">
        <f t="shared" si="1185"/>
        <v xml:space="preserve"> </v>
      </c>
      <c r="FZ371" s="361" t="str">
        <f t="shared" si="1186"/>
        <v xml:space="preserve"> </v>
      </c>
      <c r="GA371" s="347" t="str">
        <f t="shared" si="1187"/>
        <v xml:space="preserve"> </v>
      </c>
      <c r="GB371" s="355" t="str">
        <f t="shared" si="1188"/>
        <v xml:space="preserve"> </v>
      </c>
      <c r="GC371" s="328" t="str">
        <f t="shared" si="1189"/>
        <v xml:space="preserve"> </v>
      </c>
      <c r="GD371" s="361" t="str">
        <f t="shared" si="1190"/>
        <v xml:space="preserve"> </v>
      </c>
      <c r="GE371" s="347" t="str">
        <f t="shared" si="1191"/>
        <v xml:space="preserve"> </v>
      </c>
      <c r="GF371" s="361" t="str">
        <f t="shared" si="1192"/>
        <v xml:space="preserve"> </v>
      </c>
      <c r="GG371" s="347" t="str">
        <f t="shared" si="1193"/>
        <v xml:space="preserve"> </v>
      </c>
      <c r="GH371" s="364">
        <f t="shared" si="1087"/>
        <v>0</v>
      </c>
      <c r="GI371" s="362">
        <f t="shared" si="1194"/>
        <v>2</v>
      </c>
      <c r="GJ371" s="433" t="e">
        <f>IF(6-COUNTBLANK(GT371:GY371)=4,MATCH(MID(BO371,9,3),CLU!$H$16:$K$16),MATCH(MID(BO371,9,3),CLU!$H$13:$M$13))</f>
        <v>#N/A</v>
      </c>
      <c r="GK371" s="433" t="e">
        <f>HLOOKUP(VALUE(BP371),CLU!$H$9:$M$10,2)</f>
        <v>#VALUE!</v>
      </c>
      <c r="GL371" s="433" t="e">
        <f ca="1">MATCH(BU371,CLU!$H$2:$V$2,1)</f>
        <v>#VALUE!</v>
      </c>
      <c r="GM371" s="433" t="e">
        <f t="shared" ca="1" si="1195"/>
        <v>#VALUE!</v>
      </c>
      <c r="GN371" s="433" t="e">
        <f t="shared" ca="1" si="1196"/>
        <v>#VALUE!</v>
      </c>
      <c r="GO371" s="433" t="e">
        <f t="shared" ca="1" si="1197"/>
        <v>#VALUE!</v>
      </c>
      <c r="GP371" s="433" t="e">
        <f t="shared" ca="1" si="1198"/>
        <v>#VALUE!</v>
      </c>
      <c r="GQ371" s="433" t="e">
        <f t="shared" ca="1" si="1199"/>
        <v>#VALUE!</v>
      </c>
      <c r="GR371" s="433" t="e">
        <f ca="1">MATCH(T371,INDIRECT(VLOOKUP(CONCATENATE(LEFT(BO371,7),"-",MID(BO371,13,1)),CLU!$P$3:$Q$16,2)),1)</f>
        <v>#N/A</v>
      </c>
      <c r="GS371" s="433" t="e">
        <f ca="1">MATCH(U371,INDIRECT(VLOOKUP(CONCATENATE(LEFT(BO371,7),"-",MID(BO371,13,1)),CLU!$P$3:$Q$16,2)),1)</f>
        <v>#N/A</v>
      </c>
      <c r="GT371" s="347" t="s">
        <v>512</v>
      </c>
      <c r="GU371" s="97" t="s">
        <v>513</v>
      </c>
      <c r="GV371" s="97" t="str">
        <f t="shared" si="1200"/>
        <v>M23</v>
      </c>
      <c r="GW371" s="97" t="str">
        <f t="shared" si="1201"/>
        <v>M31</v>
      </c>
      <c r="GX371" s="97" t="str">
        <f t="shared" si="1202"/>
        <v/>
      </c>
      <c r="GY371" s="97" t="str">
        <f t="shared" si="1203"/>
        <v/>
      </c>
      <c r="GZ371" s="481"/>
      <c r="HA371" s="240"/>
      <c r="HB371" s="240"/>
      <c r="HC371" s="240"/>
      <c r="HD371" s="240"/>
      <c r="HE371" s="240"/>
      <c r="HF371" s="240"/>
      <c r="HG371" s="240"/>
      <c r="HH371" s="240"/>
      <c r="HI371" s="240"/>
      <c r="HJ371" s="240"/>
      <c r="HK371" s="240"/>
      <c r="HL371" s="240"/>
      <c r="HM371" s="240"/>
      <c r="HN371" s="240"/>
      <c r="HO371" s="240"/>
      <c r="HP371" s="240"/>
      <c r="HQ371" s="240"/>
      <c r="HR371" s="240"/>
      <c r="HS371" s="240"/>
      <c r="HT371" s="240"/>
      <c r="HU371" s="240"/>
      <c r="HV371" s="245"/>
      <c r="HW371" s="245" t="b">
        <v>1</v>
      </c>
      <c r="HX371" s="245" t="str">
        <f t="shared" si="1088"/>
        <v/>
      </c>
      <c r="HY371" s="245" t="e">
        <f t="shared" si="1089"/>
        <v>#DIV/0!</v>
      </c>
      <c r="HZ371" s="245" t="e">
        <f t="shared" si="1090"/>
        <v>#DIV/0!</v>
      </c>
      <c r="IA371" s="245">
        <f t="shared" si="1091"/>
        <v>0</v>
      </c>
      <c r="IB371" s="245"/>
      <c r="IC371" t="b">
        <f t="shared" si="1092"/>
        <v>1</v>
      </c>
      <c r="ID371" s="245" t="b">
        <f t="shared" si="1093"/>
        <v>1</v>
      </c>
      <c r="IE371" s="245" t="b">
        <f t="shared" si="1094"/>
        <v>1</v>
      </c>
      <c r="IF371" s="245" t="b">
        <f t="shared" si="1095"/>
        <v>0</v>
      </c>
      <c r="IG371" s="245" t="b">
        <f t="shared" si="1096"/>
        <v>1</v>
      </c>
      <c r="IH371" s="245" t="b">
        <f t="shared" si="1097"/>
        <v>1</v>
      </c>
      <c r="II371" s="245">
        <f t="shared" si="1204"/>
        <v>0</v>
      </c>
      <c r="IJ371" s="245" t="e">
        <f t="shared" si="1098"/>
        <v>#VALUE!</v>
      </c>
      <c r="IK371" s="245" t="e">
        <f t="shared" si="1099"/>
        <v>#VALUE!</v>
      </c>
      <c r="IL371" s="245"/>
      <c r="IM371" s="245" t="e">
        <f t="shared" si="1205"/>
        <v>#N/A</v>
      </c>
      <c r="IN371" s="245" t="e">
        <f t="shared" si="1206"/>
        <v>#N/A</v>
      </c>
      <c r="IO371" s="245"/>
      <c r="IP371" s="245"/>
      <c r="IQ371" s="245" t="str">
        <f t="shared" si="1100"/>
        <v/>
      </c>
      <c r="IR371" s="245" t="str">
        <f>IF(J371="","",VLOOKUP(J371,Worksheet!$R$4:$T$14,2))</f>
        <v/>
      </c>
      <c r="IS371" s="245"/>
      <c r="IT371" s="245">
        <f t="shared" si="1101"/>
        <v>0</v>
      </c>
      <c r="IU371" s="245">
        <f t="shared" si="1102"/>
        <v>0</v>
      </c>
      <c r="IV371" s="245">
        <f t="shared" si="1103"/>
        <v>0</v>
      </c>
      <c r="IW371" s="245">
        <f t="shared" si="1104"/>
        <v>0</v>
      </c>
      <c r="IX371" s="245">
        <f t="shared" si="1207"/>
        <v>0</v>
      </c>
      <c r="IY371" s="245">
        <f t="shared" si="1105"/>
        <v>0</v>
      </c>
      <c r="IZ371" s="245">
        <f t="shared" si="1106"/>
        <v>0</v>
      </c>
      <c r="JA371">
        <f t="shared" si="1107"/>
        <v>0</v>
      </c>
      <c r="JB371">
        <f t="shared" si="1208"/>
        <v>0</v>
      </c>
      <c r="JC371">
        <f t="shared" si="1108"/>
        <v>0</v>
      </c>
      <c r="JD371">
        <f t="shared" si="1109"/>
        <v>0</v>
      </c>
      <c r="JE371">
        <f t="shared" si="1110"/>
        <v>0</v>
      </c>
      <c r="JF371">
        <f t="shared" si="1111"/>
        <v>0</v>
      </c>
      <c r="JG371">
        <f t="shared" si="1112"/>
        <v>0</v>
      </c>
      <c r="JH371">
        <f t="shared" si="1113"/>
        <v>0</v>
      </c>
      <c r="JI371">
        <f t="shared" si="1114"/>
        <v>0</v>
      </c>
      <c r="JJ371" s="447">
        <f t="shared" si="1115"/>
        <v>0</v>
      </c>
      <c r="JK371" s="447">
        <f t="shared" si="1116"/>
        <v>0</v>
      </c>
      <c r="JL371">
        <f t="shared" si="1117"/>
        <v>0</v>
      </c>
      <c r="JM371" s="245" t="str">
        <f>IFERROR(VLOOKUP(MATCH(BN371,#REF!,0),#REF!,7),"")</f>
        <v/>
      </c>
      <c r="JN371" t="e">
        <f>HLOOKUP(LEFT(BO371,7),Discharge_Area,MATCH(JO371,LookUps!$B$130:$B$149,1)+2)</f>
        <v>#N/A</v>
      </c>
      <c r="JO371" t="str">
        <f t="shared" si="1118"/>
        <v>- S</v>
      </c>
      <c r="JP371" t="e">
        <f>HLOOKUP(LEFT(BO371,7),Discharge_Area,MATCH(JO371,LookUps!$B$130:$B$149,1)+2)</f>
        <v>#N/A</v>
      </c>
      <c r="JQ371" t="e">
        <f t="shared" si="1119"/>
        <v>#N/A</v>
      </c>
      <c r="JR371" t="e">
        <f t="shared" si="1120"/>
        <v>#N/A</v>
      </c>
      <c r="JS371" t="e">
        <f t="shared" si="1121"/>
        <v>#N/A</v>
      </c>
      <c r="JT371" s="532" t="str">
        <f t="shared" si="1122"/>
        <v xml:space="preserve"> </v>
      </c>
      <c r="JU371" s="532" t="str">
        <f t="shared" si="1123"/>
        <v xml:space="preserve"> </v>
      </c>
      <c r="JV371" s="533" t="str">
        <f t="shared" si="1124"/>
        <v xml:space="preserve"> </v>
      </c>
      <c r="JW371" s="534">
        <f t="shared" si="1125"/>
        <v>0</v>
      </c>
      <c r="JX371" s="535" t="str">
        <f t="shared" si="1209"/>
        <v xml:space="preserve"> </v>
      </c>
      <c r="JY371" s="535" t="str">
        <f t="shared" si="1210"/>
        <v xml:space="preserve"> </v>
      </c>
      <c r="JZ371" s="535" t="str">
        <f t="shared" si="1211"/>
        <v xml:space="preserve"> </v>
      </c>
      <c r="KA371" s="536" t="str">
        <f t="shared" si="1126"/>
        <v xml:space="preserve"> </v>
      </c>
      <c r="KB371" s="535" t="e">
        <f t="shared" si="1212"/>
        <v>#VALUE!</v>
      </c>
      <c r="KC371" s="535" t="str">
        <f t="shared" si="1127"/>
        <v/>
      </c>
      <c r="KD371" s="537" t="str">
        <f t="shared" si="1213"/>
        <v xml:space="preserve"> </v>
      </c>
      <c r="KE371" s="537" t="str">
        <f t="shared" si="1214"/>
        <v xml:space="preserve"> </v>
      </c>
      <c r="KF371" s="534">
        <f t="shared" si="1128"/>
        <v>0</v>
      </c>
      <c r="KG371" s="535" t="str">
        <f t="shared" si="1129"/>
        <v xml:space="preserve"> </v>
      </c>
      <c r="KH371" s="535" t="str">
        <f t="shared" si="1130"/>
        <v xml:space="preserve"> </v>
      </c>
      <c r="KI371" s="535" t="str">
        <f t="shared" si="1131"/>
        <v xml:space="preserve"> </v>
      </c>
      <c r="KJ371" s="536" t="str">
        <f t="shared" si="1132"/>
        <v xml:space="preserve"> </v>
      </c>
      <c r="KK371" s="535" t="str">
        <f t="shared" si="1215"/>
        <v xml:space="preserve"> </v>
      </c>
      <c r="KL371" s="535" t="str">
        <f t="shared" si="1216"/>
        <v xml:space="preserve"> </v>
      </c>
      <c r="KM371" s="537" t="str">
        <f t="shared" si="1133"/>
        <v xml:space="preserve"> </v>
      </c>
      <c r="KN371" s="537" t="str">
        <f t="shared" si="1217"/>
        <v xml:space="preserve"> </v>
      </c>
      <c r="KP371">
        <f t="shared" si="1134"/>
        <v>0</v>
      </c>
      <c r="LA371" t="e">
        <f t="shared" si="1135"/>
        <v>#VALUE!</v>
      </c>
      <c r="LB371" t="e">
        <f t="shared" si="1136"/>
        <v>#VALUE!</v>
      </c>
      <c r="LC371" t="e">
        <f t="shared" si="1137"/>
        <v>#VALUE!</v>
      </c>
      <c r="LD371" t="e">
        <f t="shared" si="1138"/>
        <v>#VALUE!</v>
      </c>
      <c r="LE371" t="e">
        <f t="shared" si="1218"/>
        <v>#VALUE!</v>
      </c>
      <c r="LF371">
        <f t="shared" si="1139"/>
        <v>0</v>
      </c>
      <c r="LG371" t="e">
        <f t="shared" si="1219"/>
        <v>#VALUE!</v>
      </c>
      <c r="LH371" t="str">
        <f t="shared" si="1140"/>
        <v xml:space="preserve"> </v>
      </c>
      <c r="LI371">
        <f t="shared" si="1220"/>
        <v>1</v>
      </c>
    </row>
    <row r="372" spans="2:321" ht="15" customHeight="1">
      <c r="B372" s="311"/>
      <c r="C372" s="311"/>
      <c r="D372" s="312"/>
      <c r="E372" s="311"/>
      <c r="F372" s="312"/>
      <c r="G372" s="311"/>
      <c r="H372" s="311"/>
      <c r="I372" s="232"/>
      <c r="J372" s="311"/>
      <c r="K372" s="305" t="str">
        <f t="shared" si="1141"/>
        <v/>
      </c>
      <c r="L372" s="313"/>
      <c r="M372" s="312"/>
      <c r="N372" s="311"/>
      <c r="O372" s="312"/>
      <c r="P372" s="311"/>
      <c r="Q372" s="305" t="str">
        <f t="shared" si="1142"/>
        <v/>
      </c>
      <c r="R372" s="314"/>
      <c r="S372" s="450" t="str">
        <f t="shared" si="1025"/>
        <v/>
      </c>
      <c r="T372" s="315"/>
      <c r="U372" s="315"/>
      <c r="W372" s="149" t="str">
        <f t="shared" si="1026"/>
        <v xml:space="preserve"> </v>
      </c>
      <c r="X372" s="243" t="str">
        <f t="shared" si="1027"/>
        <v xml:space="preserve"> </v>
      </c>
      <c r="Y372" s="150" t="str">
        <f t="shared" si="1028"/>
        <v/>
      </c>
      <c r="Z372" s="149" t="str">
        <f t="shared" si="1029"/>
        <v xml:space="preserve"> </v>
      </c>
      <c r="AA372" s="98" t="str">
        <f t="shared" si="1030"/>
        <v xml:space="preserve"> </v>
      </c>
      <c r="AB372" s="153" t="str">
        <f t="shared" si="1031"/>
        <v xml:space="preserve"> </v>
      </c>
      <c r="AC372" s="153" t="str">
        <f t="shared" si="1032"/>
        <v xml:space="preserve"> </v>
      </c>
      <c r="AD372" s="148" t="str">
        <f t="shared" si="1033"/>
        <v/>
      </c>
      <c r="AE372" s="149" t="str">
        <f t="shared" si="1034"/>
        <v/>
      </c>
      <c r="AF372" s="151" t="str">
        <f t="shared" si="1035"/>
        <v xml:space="preserve"> </v>
      </c>
      <c r="AG372" s="153" t="str">
        <f t="shared" si="1036"/>
        <v xml:space="preserve"> </v>
      </c>
      <c r="AH372" s="98" t="str">
        <f t="shared" si="1037"/>
        <v xml:space="preserve"> </v>
      </c>
      <c r="AI372" s="149" t="str">
        <f t="shared" si="1038"/>
        <v xml:space="preserve"> </v>
      </c>
      <c r="AK372" s="144" t="str">
        <f t="shared" si="1039"/>
        <v xml:space="preserve"> </v>
      </c>
      <c r="AL372" s="144"/>
      <c r="AM372" s="243" t="str">
        <f t="shared" si="1040"/>
        <v xml:space="preserve"> </v>
      </c>
      <c r="AN372" s="149" t="str">
        <f t="shared" si="1143"/>
        <v xml:space="preserve"> </v>
      </c>
      <c r="AO372" s="144" t="str">
        <f>IF(JB372&gt;0,IF(GI372=10,-R372*1.085*(Calculation!$F$6-Calculation!$F$13)*$S$14," "),"")</f>
        <v/>
      </c>
      <c r="AP372" s="144" t="str">
        <f t="shared" si="1041"/>
        <v/>
      </c>
      <c r="AQ372" s="56" t="str">
        <f t="shared" si="1042"/>
        <v/>
      </c>
      <c r="AR372" s="144" t="str">
        <f t="shared" si="1043"/>
        <v/>
      </c>
      <c r="AS372" s="176" t="str">
        <f t="shared" si="1044"/>
        <v/>
      </c>
      <c r="AT372" s="176" t="str">
        <f t="shared" si="1144"/>
        <v xml:space="preserve"> </v>
      </c>
      <c r="AU372" s="176" t="str">
        <f t="shared" si="1045"/>
        <v/>
      </c>
      <c r="AV372" s="177" t="str">
        <f t="shared" si="1046"/>
        <v xml:space="preserve"> </v>
      </c>
      <c r="AW372" s="144" t="str">
        <f t="shared" si="1047"/>
        <v xml:space="preserve"> </v>
      </c>
      <c r="AX372" s="144" t="str">
        <f t="shared" si="1048"/>
        <v xml:space="preserve"> </v>
      </c>
      <c r="AY372" s="152" t="str">
        <f t="shared" si="1049"/>
        <v xml:space="preserve"> </v>
      </c>
      <c r="AZ372" s="246" t="str">
        <f t="shared" si="1050"/>
        <v/>
      </c>
      <c r="BA372" s="176" t="str">
        <f t="shared" si="1051"/>
        <v xml:space="preserve"> </v>
      </c>
      <c r="BB372" s="176" t="str">
        <f t="shared" si="1052"/>
        <v xml:space="preserve"> </v>
      </c>
      <c r="BC372" s="195"/>
      <c r="BD372" s="316"/>
      <c r="BE372" s="317"/>
      <c r="BF372" s="318"/>
      <c r="BG372" s="318"/>
      <c r="BH372" s="144" t="str">
        <f t="shared" si="1221"/>
        <v xml:space="preserve"> </v>
      </c>
      <c r="BI372" s="176" t="str">
        <f t="shared" si="1053"/>
        <v/>
      </c>
      <c r="BJ372" s="144" t="str">
        <f t="shared" si="1222"/>
        <v/>
      </c>
      <c r="BK372" s="246" t="str">
        <f t="shared" si="1054"/>
        <v/>
      </c>
      <c r="BL372" s="144" t="str">
        <f t="shared" si="1223"/>
        <v/>
      </c>
      <c r="BM372" s="246" t="str">
        <f t="shared" si="1055"/>
        <v/>
      </c>
      <c r="BN372" s="337" t="str">
        <f t="shared" si="1145"/>
        <v/>
      </c>
      <c r="BO372" s="371" t="str">
        <f t="shared" si="1146"/>
        <v/>
      </c>
      <c r="BP372" s="328" t="str">
        <f t="shared" si="1224"/>
        <v xml:space="preserve"> </v>
      </c>
      <c r="BQ372" s="347" t="str">
        <f t="shared" si="1147"/>
        <v xml:space="preserve"> </v>
      </c>
      <c r="BR372" s="353" t="str">
        <f t="shared" si="1148"/>
        <v xml:space="preserve"> </v>
      </c>
      <c r="BS372" s="626" t="str">
        <f>IF(L372&gt;0,IF(Calculation!P372="M13",BR372*3.1416*(0.134^2)/(4*144),IF(Calculation!P372="M17",BR372*3.1416*(0.165^2)/(4*144),IF(Calculation!P372="M20",BR372*3.1416*(0.198^2)/(4*144),IF(Calculation!P372="M23",BR372*3.1416*(0.228^2)/(4*144),IF(Calculation!P372="M27",BR372*3.1416*(0.269^2)/(4*144),BR372*3.1416*(0.307^2)/(4*144))))))," ")</f>
        <v xml:space="preserve"> </v>
      </c>
      <c r="BT372" s="353" t="str">
        <f>IF(L372&gt;0,IF(BS372&gt;0,R372/Calculation!BS372,0)," ")</f>
        <v xml:space="preserve"> </v>
      </c>
      <c r="BU372" s="438" t="e">
        <f t="shared" ca="1" si="1056"/>
        <v>#VALUE!</v>
      </c>
      <c r="BV372" s="449" t="e">
        <f ca="1">INDEX(INDIRECT(VLOOKUP(LEFT(BO372,7),CLU!$Z$3:$AH$18,2)),GN372,GR372)</f>
        <v>#N/A</v>
      </c>
      <c r="BW372" s="433" t="e">
        <f ca="1">INDEX(INDIRECT(VLOOKUP(LEFT(BO372,7),CLU!$Z$3:$AH$18,3)),GN372,GR372)</f>
        <v>#N/A</v>
      </c>
      <c r="BX372" s="433" t="e">
        <f ca="1">INDEX(INDIRECT(VLOOKUP(LEFT(BO372,7),CLU!$Z$3:$AH$18,4)),GN372,GR372)</f>
        <v>#N/A</v>
      </c>
      <c r="BY372" s="433" t="e">
        <f ca="1">INDEX(INDIRECT(VLOOKUP(LEFT(BO372,7),CLU!$Z$3:$AH$18,9)),((M372-2)*(6-COUNTBLANK(GT372:GY372)))+GJ372)</f>
        <v>#N/A</v>
      </c>
      <c r="BZ372" s="426" t="e">
        <f t="shared" ca="1" si="1149"/>
        <v>#N/A</v>
      </c>
      <c r="CA372" s="424" t="e">
        <f t="shared" ca="1" si="1150"/>
        <v>#N/A</v>
      </c>
      <c r="CB372" s="429" t="e">
        <f ca="1">INDEX(INDIRECT(VLOOKUP(LEFT(BO372,7),CLU!$Z$3:$AH$18,2)),GN372,GS372)</f>
        <v>#N/A</v>
      </c>
      <c r="CC372" s="342" t="e">
        <f ca="1">INDEX(INDIRECT(VLOOKUP(LEFT(BO372,7),CLU!$Z$3:$AH$18,3)),GN372,GS372)</f>
        <v>#N/A</v>
      </c>
      <c r="CD372" s="342" t="e">
        <f ca="1">INDEX(INDIRECT(VLOOKUP(LEFT(BO372,7),CLU!$Z$3:$AH$18,4)),GN372,GS372)</f>
        <v>#N/A</v>
      </c>
      <c r="CE372" s="426" t="e">
        <f t="shared" ca="1" si="1151"/>
        <v>#N/A</v>
      </c>
      <c r="CF372" s="440">
        <f t="shared" si="1152"/>
        <v>0</v>
      </c>
      <c r="CG372" s="431" t="e">
        <f ca="1">INDEX(INDIRECT(VLOOKUP(LEFT(BO372,7),CLU!$Z$3:$AH$18,2)),GQ372,GR372)</f>
        <v>#N/A</v>
      </c>
      <c r="CH372" s="431" t="e">
        <f ca="1">INDEX(INDIRECT(VLOOKUP(LEFT(BO372,7),CLU!$Z$3:$AH$18,3)),GQ372,GR372)</f>
        <v>#N/A</v>
      </c>
      <c r="CI372" s="431" t="e">
        <f ca="1">INDEX(INDIRECT(VLOOKUP(LEFT(BO372,7),CLU!$Z$3:$AH$18,4)),GQ372,GR372)</f>
        <v>#N/A</v>
      </c>
      <c r="CJ372" s="448" t="e">
        <f t="shared" ca="1" si="1153"/>
        <v>#N/A</v>
      </c>
      <c r="CK372" s="431" t="e">
        <f t="shared" ca="1" si="1154"/>
        <v>#N/A</v>
      </c>
      <c r="CL372" s="440" t="e">
        <f t="shared" ca="1" si="1155"/>
        <v>#N/A</v>
      </c>
      <c r="CM372" s="431" t="e">
        <f ca="1">INDEX(INDIRECT(VLOOKUP(LEFT(BO372,7),CLU!$Z$3:$AH$18,2)),GQ372,GS372)</f>
        <v>#N/A</v>
      </c>
      <c r="CN372" s="431" t="e">
        <f ca="1">INDEX(INDIRECT(VLOOKUP(LEFT(BO372,7),CLU!$Z$3:$AH$18,3)),GQ372,GS372)</f>
        <v>#N/A</v>
      </c>
      <c r="CO372" s="431" t="e">
        <f ca="1">INDEX(INDIRECT(VLOOKUP(LEFT(BO372,7),CLU!$Z$3:$AH$18,4)),GQ372,GS372)</f>
        <v>#N/A</v>
      </c>
      <c r="CP372" s="431" t="e">
        <f t="shared" ca="1" si="1156"/>
        <v>#N/A</v>
      </c>
      <c r="CQ372" s="440">
        <f t="shared" si="1157"/>
        <v>0</v>
      </c>
      <c r="CR372" s="51" t="e">
        <f t="shared" ca="1" si="1158"/>
        <v>#N/A</v>
      </c>
      <c r="CS372" s="439" t="e">
        <f t="shared" ca="1" si="1159"/>
        <v>#VALUE!</v>
      </c>
      <c r="CT372" s="51" t="e">
        <f t="shared" ca="1" si="1160"/>
        <v>#VALUE!</v>
      </c>
      <c r="CU372" s="10"/>
      <c r="CV372" s="51" t="e">
        <f t="shared" ca="1" si="1057"/>
        <v>#VALUE!</v>
      </c>
      <c r="CW372" s="51">
        <f t="shared" si="1161"/>
        <v>0</v>
      </c>
      <c r="CX372" s="439" t="e">
        <f t="shared" ca="1" si="1162"/>
        <v>#VALUE!</v>
      </c>
      <c r="CY372" s="51" t="e">
        <f t="shared" ca="1" si="1163"/>
        <v>#VALUE!</v>
      </c>
      <c r="CZ372" s="10"/>
      <c r="DA372" s="51" t="e">
        <f t="shared" ca="1" si="1164"/>
        <v>#VALUE!</v>
      </c>
      <c r="DB372" s="347" t="e">
        <f ca="1">INDEX(INDIRECT(VLOOKUP(LEFT(BO372,7),CLU!$Z$3:$AI$18,10)),((M372-2)*(6-COUNTBLANK(GT372:GY372)))+GJ372)*LI372</f>
        <v>#N/A</v>
      </c>
      <c r="DC372" s="347" t="str">
        <f>IF(L372&gt;0,((R372/Worksheet!$I$15)/DB372)^2," ")</f>
        <v xml:space="preserve"> </v>
      </c>
      <c r="DD372" s="602" t="str">
        <f t="shared" si="1165"/>
        <v xml:space="preserve"> </v>
      </c>
      <c r="DE372" s="347" t="str">
        <f t="shared" si="1058"/>
        <v xml:space="preserve"> </v>
      </c>
      <c r="DF372" s="356" t="e">
        <f ca="1">INDEX(INDIRECT(VLOOKUP(LEFT(BO372,7),CLU!$Z$3:$AH$18,8)),((M372-2)*(6-COUNTBLANK(GT372:GY372)))+GJ372)</f>
        <v>#N/A</v>
      </c>
      <c r="DG372" s="347" t="str">
        <f t="shared" si="1059"/>
        <v xml:space="preserve"> </v>
      </c>
      <c r="DH372" s="357" t="str">
        <f t="shared" si="1060"/>
        <v xml:space="preserve"> </v>
      </c>
      <c r="DI372" s="355" t="str">
        <f t="shared" si="1061"/>
        <v xml:space="preserve"> </v>
      </c>
      <c r="DJ372" s="245" t="e">
        <f ca="1">INDEX(INDIRECT(VLOOKUP(LEFT(BO372,7),CLU!$Z$3:$AH$18,5)),GL372,GK372)</f>
        <v>#N/A</v>
      </c>
      <c r="DK372" s="245" t="e">
        <f ca="1">INDEX(INDIRECT(VLOOKUP(LEFT(BO372,7),CLU!$Z$3:$AH$18,6)),GL372,GK372)</f>
        <v>#N/A</v>
      </c>
      <c r="DL372" s="355">
        <f>(Calculation!R372*0.69143*(Calculation!$BQ$8-Calculation!$F$8))*$S$14</f>
        <v>0</v>
      </c>
      <c r="DM372" s="359" t="e">
        <f t="shared" si="1166"/>
        <v>#VALUE!</v>
      </c>
      <c r="DN372" s="611">
        <f t="shared" si="1167"/>
        <v>0</v>
      </c>
      <c r="DO372" s="359">
        <f t="shared" si="1168"/>
        <v>100</v>
      </c>
      <c r="DP372" s="359">
        <f t="shared" si="1169"/>
        <v>0</v>
      </c>
      <c r="DQ372" s="360"/>
      <c r="DR372" s="245" t="e">
        <f ca="1">INDEX(INDIRECT(VLOOKUP(LEFT(BO372,7),CLU!$Z$3:$AH$18,7)),M372-1,1)</f>
        <v>#N/A</v>
      </c>
      <c r="DS372" s="245" t="e">
        <f ca="1">INDEX(INDIRECT(VLOOKUP(LEFT(BO372,7),CLU!$Z$3:$AH$18,7)),M372-1,2)</f>
        <v>#N/A</v>
      </c>
      <c r="DT372" s="245" t="e">
        <f ca="1">INDEX(INDIRECT(VLOOKUP(LEFT(BO372,7),CLU!$Z$3:$AH$18,7)),M372-1,3)</f>
        <v>#N/A</v>
      </c>
      <c r="DU372" s="245" t="e">
        <f ca="1">INDEX(INDIRECT(VLOOKUP(LEFT(BO372,7),CLU!$Z$3:$AH$18,7)),M372-1,4)</f>
        <v>#N/A</v>
      </c>
      <c r="DV372" s="361" t="e">
        <f ca="1">INDEX(INDIRECT(VLOOKUP(LEFT(BO372,7),CLU!$Z$3:$AH$18,7)),M372-1,4+LEFT(DZ372,1)*0.5)</f>
        <v>#N/A</v>
      </c>
      <c r="DW372" s="245" t="e">
        <f ca="1">INDEX(INDIRECT(VLOOKUP(LEFT(BO372,7),CLU!$Z$3:$AH$18,7)),M372-1,8)</f>
        <v>#N/A</v>
      </c>
      <c r="DX372" s="361" t="str">
        <f t="shared" si="1062"/>
        <v xml:space="preserve"> </v>
      </c>
      <c r="DY372" s="361" t="str">
        <f t="shared" si="1063"/>
        <v xml:space="preserve"> </v>
      </c>
      <c r="DZ372" s="361" t="str">
        <f t="shared" si="1064"/>
        <v xml:space="preserve"> </v>
      </c>
      <c r="EA372" s="362" t="str">
        <f t="shared" si="1065"/>
        <v xml:space="preserve"> </v>
      </c>
      <c r="EB372" s="624" t="str">
        <f t="shared" si="1170"/>
        <v xml:space="preserve"> </v>
      </c>
      <c r="EC372" s="361" t="e">
        <f ca="1">INDEX(INDIRECT(VLOOKUP(LEFT(BO372,7),CLU!$Z$3:$AH$18,7)),M372-1,4+LEFT(DZ372,1)*0.5)</f>
        <v>#N/A</v>
      </c>
      <c r="ED372" s="362" t="str">
        <f t="shared" si="1066"/>
        <v xml:space="preserve"> </v>
      </c>
      <c r="EE372" s="361" t="str">
        <f t="shared" si="1067"/>
        <v xml:space="preserve"> </v>
      </c>
      <c r="EF372" s="362" t="str">
        <f>IF(L372&gt;0,IF(BR372&gt;0,IF(EE372="2P",IF(Calculation!DZ372="2P",IF(Calculation!DS372=13.75,IF(Calculation!DR372=13,Worksheet!$BD$43,IF(Calculation!DR372=37,Worksheet!$BD$44,Worksheet!$BD$45)),IF(Calculation!DS372=10,IF(Calculation!DR372=18,Worksheet!$BD$29,IF(Calculation!DR372=30,Worksheet!$BD$30,IF(Calculation!DR372=42,Worksheet!$BD$31,IF(Calculation!DR372=54,Worksheet!$BD$32,IF(Calculation!DR372=66,Worksheet!$BD$33,IF(Calculation!DR372=78,Worksheet!$BD$34,IF(Calculation!DR372=90,Worksheet!$BD$35,IF(Calculation!DR372=102,Worksheet!$BD$36,Worksheet!$BD$37)))))))),IF(Calculation!DS372=12.5,IF(Calculation!DR372=18,Worksheet!$BD$38,IF(Calculation!DR372=Worksheet!$BD$39,IF(Calculation!DR372=42,Worksheet!$BD$40,IF(Calculation!DR372=54,Worksheet!$BD$41,Worksheet!$BD$42)))),IF(Calculation!DR372=18,Worksheet!$BD$11,IF(Calculation!DR372=30,Worksheet!$BD$12,IF(Calculation!DR372=42,Worksheet!$BD$13,IF(Calculation!DR372=54,Worksheet!$BD$14,IF(Calculation!DR372=66,Worksheet!$BD$15,IF(Calculation!DR372=78,Worksheet!$BD$16,IF(Calculation!DR372=90,Worksheet!$BD$17,IF(Calculation!DR372=102,Worksheet!$BD$18,Worksheet!$BD$19))))))))))),IF(Calculation!DS372=13.75,IF(Calculation!DR372=13,Worksheet!$BD$78,IF(Calculation!DR372=37,Worksheet!$BD$79,Worksheet!$BD$80)),IF(Calculation!DS372=10,IF(Calculation!DR372=18,Worksheet!$BD$64,IF(Calculation!DR372=30,Worksheet!$BD$65,IF(Calculation!DR372=42,Worksheet!$BD$66,IF(Calculation!DR372=54,Worksheet!$BD$68,IF(Calculation!DR372=66,Worksheet!$BD$68,IF(Calculation!DR372=78,Worksheet!$BD$69,IF(Calculation!DR372=90,Worksheet!$BD$70,IF(Calculation!DR372=102,Worksheet!$BD$71,Worksheet!$BD$72)))))))),IF(Calculation!DS372=12.5,IF(Calculation!DR372=18,Worksheet!$BD$73,IF(Calculation!DR372=Worksheet!$BD$74,IF(Calculation!DR372=42,Worksheet!$BD$75,IF(Calculation!DR372=54,Worksheet!$BD$76,Worksheet!$BD$77)))),IF(Calculation!DR372=18,Worksheet!$BD$55,IF(Calculation!DR372=30,Worksheet!$BD$56,IF(Calculation!DR372=42,Worksheet!$BD$57,IF(Calculation!DR372=54,Worksheet!$BD$58,IF(Calculation!DR372=66,Worksheet!$BD$59,IF(Calculation!DR372=78,Worksheet!$BD$60,IF(Calculation!DR372=90,Worksheet!$BD$61,IF(Calculation!DR372=102,Worksheet!$BD$62,Worksheet!$BD$63)))))))))))),5),0)," ")</f>
        <v xml:space="preserve"> </v>
      </c>
      <c r="EG372" s="361" t="str">
        <f t="shared" si="1068"/>
        <v xml:space="preserve"> </v>
      </c>
      <c r="EH372" s="361" t="e">
        <f ca="1">INDEX(INDIRECT(VLOOKUP(LEFT(BO372,7),CLU!$Z$3:$AH$18,7)),M372-1,3+LEFT(DZ372,1))</f>
        <v>#N/A</v>
      </c>
      <c r="EI372" s="362" t="str">
        <f t="shared" si="1069"/>
        <v xml:space="preserve"> </v>
      </c>
      <c r="EJ372" s="363" t="str">
        <f t="shared" si="1070"/>
        <v xml:space="preserve"> </v>
      </c>
      <c r="EK372" s="363" t="str">
        <f t="shared" si="1071"/>
        <v xml:space="preserve"> </v>
      </c>
      <c r="EL372" s="363" t="str">
        <f t="shared" si="1072"/>
        <v xml:space="preserve"> </v>
      </c>
      <c r="EM372" s="362" t="str">
        <f>IF(L372&gt;0,IF(BR372&gt;0,(Calculation!T372/ED372)^2,0)," ")</f>
        <v xml:space="preserve"> </v>
      </c>
      <c r="EN372" s="362" t="str">
        <f>IF(L372&gt;0,IF(O372="2 Pipe (Cooling)","N/A",IF(BR372&gt;0,(Calculation!U372/EI372)^2,0))," ")</f>
        <v xml:space="preserve"> </v>
      </c>
      <c r="EO372" s="361" t="str">
        <f t="shared" si="1073"/>
        <v/>
      </c>
      <c r="EP372" s="361" t="str">
        <f t="shared" si="1074"/>
        <v/>
      </c>
      <c r="EQ372" s="361" t="str">
        <f t="shared" si="1075"/>
        <v/>
      </c>
      <c r="ER372" s="361" t="str">
        <f t="shared" si="1076"/>
        <v/>
      </c>
      <c r="ES372" s="361" t="str">
        <f t="shared" si="1077"/>
        <v/>
      </c>
      <c r="ET372" s="361" t="str">
        <f t="shared" si="1078"/>
        <v/>
      </c>
      <c r="EU372" s="361" t="str">
        <f t="shared" si="1079"/>
        <v/>
      </c>
      <c r="EV372" s="361" t="str">
        <f t="shared" si="1080"/>
        <v/>
      </c>
      <c r="EW372" s="361" t="str">
        <f t="shared" si="1081"/>
        <v/>
      </c>
      <c r="EX372" s="361" t="str">
        <f t="shared" si="1171"/>
        <v>1 slot, 1 way</v>
      </c>
      <c r="EY372" s="361" t="str">
        <f t="shared" si="1172"/>
        <v xml:space="preserve"> </v>
      </c>
      <c r="EZ372" s="361" t="str">
        <f t="shared" si="1173"/>
        <v xml:space="preserve"> </v>
      </c>
      <c r="FA372" s="361" t="str">
        <f t="shared" si="1174"/>
        <v xml:space="preserve"> </v>
      </c>
      <c r="FB372" s="361" t="str">
        <f t="shared" si="1175"/>
        <v xml:space="preserve"> </v>
      </c>
      <c r="FC372" s="361"/>
      <c r="FD372" s="361" t="str">
        <f>IF(J372&gt;0,IF(Calculation!R372&lt;=70,4,IF(Calculation!R372&lt;=110,5,IF(Calculation!R372&lt;=160,6,IF(Calculation!R372&lt;=300,8,"10 EO")))),"")</f>
        <v/>
      </c>
      <c r="FE372" s="361" t="str">
        <f t="shared" si="1176"/>
        <v/>
      </c>
      <c r="FF372" s="361" t="str">
        <f t="shared" si="1177"/>
        <v/>
      </c>
      <c r="FG372" s="361" t="e">
        <f t="shared" si="1082"/>
        <v>#N/A</v>
      </c>
      <c r="FH372" s="361">
        <f t="shared" si="1083"/>
        <v>0</v>
      </c>
      <c r="FI372" s="361" t="e">
        <f t="shared" si="1084"/>
        <v>#DIV/0!</v>
      </c>
      <c r="FJ372" s="361"/>
      <c r="FK372" s="356" t="e">
        <f t="shared" si="1085"/>
        <v>#VALUE!</v>
      </c>
      <c r="FL372" s="361"/>
      <c r="FM372" s="361"/>
      <c r="FN372" s="362" t="str">
        <f t="shared" si="1178"/>
        <v xml:space="preserve"> </v>
      </c>
      <c r="FO372" s="362" t="str">
        <f t="shared" si="1179"/>
        <v xml:space="preserve"> </v>
      </c>
      <c r="FP372" s="362">
        <f t="shared" si="1180"/>
        <v>0</v>
      </c>
      <c r="FQ372" s="361">
        <f t="shared" si="1086"/>
        <v>0</v>
      </c>
      <c r="FR372" s="362" t="str">
        <f>IF(L372&gt;0,IF(J372="CBAL2",Worksheet!$P$67,IF(J372="CBE2-24",Worksheet!$Q$67,IF(J372="CBAM",Worksheet!$R$67,IF(J372="CBLV",Worksheet!$S$67,IF(J372="CBAB",Worksheet!$U$67,IF(J372="CBAW",Worksheet!$X$67,IF(J372="CBE2-12",Worksheet!$Y$67,IF(J372="CBAL2",Worksheet!$Z$67,"N/A"))))))))," ")</f>
        <v xml:space="preserve"> </v>
      </c>
      <c r="FS372" s="362" t="str">
        <f>IF(L372&gt;0,IF(J372="CBAL2",Worksheet!$P$68,IF(J372="CBE2-24",Worksheet!$Q$68,IF(J372="CBAM",Worksheet!$R$68,IF(J372="CBLV",Worksheet!$S$68,IF(J372="CBAB",Worksheet!$U$68,IF(J372="CBAW",Worksheet!$X$68,IF(J372="CBE2-12",Worksheet!$Y$68,IF(J372="CBAL2",Worksheet!$Z$68,"N/A"))))))))," ")</f>
        <v xml:space="preserve"> </v>
      </c>
      <c r="FT372" s="362" t="str">
        <f>IF(L372&gt;0,IF(J372="CBAL2",Worksheet!$P$69,IF(J372="CBE2-24",Worksheet!$Q$69,IF(J372="CBAM",Worksheet!$R$69,IF(J372="CBLV",Worksheet!$S$69,IF(J372="CBAB",Worksheet!$U$69,IF(J372="CBAW",Worksheet!$X$69,IF(J372="CBE2-12",Worksheet!$Y$69,IF(J372="CBAL2",Worksheet!$Z$69,"N/A"))))))))," ")</f>
        <v xml:space="preserve"> </v>
      </c>
      <c r="FU372" s="361" t="str">
        <f t="shared" si="1181"/>
        <v xml:space="preserve"> </v>
      </c>
      <c r="FV372" s="362" t="str">
        <f t="shared" si="1182"/>
        <v xml:space="preserve"> </v>
      </c>
      <c r="FW372" s="362" t="str">
        <f t="shared" si="1183"/>
        <v xml:space="preserve"> </v>
      </c>
      <c r="FX372" s="362" t="str">
        <f t="shared" si="1184"/>
        <v xml:space="preserve"> </v>
      </c>
      <c r="FY372" s="355" t="str">
        <f t="shared" si="1185"/>
        <v xml:space="preserve"> </v>
      </c>
      <c r="FZ372" s="361" t="str">
        <f t="shared" si="1186"/>
        <v xml:space="preserve"> </v>
      </c>
      <c r="GA372" s="347" t="str">
        <f t="shared" si="1187"/>
        <v xml:space="preserve"> </v>
      </c>
      <c r="GB372" s="355" t="str">
        <f t="shared" si="1188"/>
        <v xml:space="preserve"> </v>
      </c>
      <c r="GC372" s="328" t="str">
        <f t="shared" si="1189"/>
        <v xml:space="preserve"> </v>
      </c>
      <c r="GD372" s="361" t="str">
        <f t="shared" si="1190"/>
        <v xml:space="preserve"> </v>
      </c>
      <c r="GE372" s="347" t="str">
        <f t="shared" si="1191"/>
        <v xml:space="preserve"> </v>
      </c>
      <c r="GF372" s="361" t="str">
        <f t="shared" si="1192"/>
        <v xml:space="preserve"> </v>
      </c>
      <c r="GG372" s="347" t="str">
        <f t="shared" si="1193"/>
        <v xml:space="preserve"> </v>
      </c>
      <c r="GH372" s="364">
        <f t="shared" si="1087"/>
        <v>0</v>
      </c>
      <c r="GI372" s="362">
        <f t="shared" si="1194"/>
        <v>2</v>
      </c>
      <c r="GJ372" s="433" t="e">
        <f>IF(6-COUNTBLANK(GT372:GY372)=4,MATCH(MID(BO372,9,3),CLU!$H$16:$K$16),MATCH(MID(BO372,9,3),CLU!$H$13:$M$13))</f>
        <v>#N/A</v>
      </c>
      <c r="GK372" s="433" t="e">
        <f>HLOOKUP(VALUE(BP372),CLU!$H$9:$M$10,2)</f>
        <v>#VALUE!</v>
      </c>
      <c r="GL372" s="433" t="e">
        <f ca="1">MATCH(BU372,CLU!$H$2:$V$2,1)</f>
        <v>#VALUE!</v>
      </c>
      <c r="GM372" s="433" t="e">
        <f t="shared" ca="1" si="1195"/>
        <v>#VALUE!</v>
      </c>
      <c r="GN372" s="433" t="e">
        <f t="shared" ca="1" si="1196"/>
        <v>#VALUE!</v>
      </c>
      <c r="GO372" s="433" t="e">
        <f t="shared" ca="1" si="1197"/>
        <v>#VALUE!</v>
      </c>
      <c r="GP372" s="433" t="e">
        <f t="shared" ca="1" si="1198"/>
        <v>#VALUE!</v>
      </c>
      <c r="GQ372" s="433" t="e">
        <f t="shared" ca="1" si="1199"/>
        <v>#VALUE!</v>
      </c>
      <c r="GR372" s="433" t="e">
        <f ca="1">MATCH(T372,INDIRECT(VLOOKUP(CONCATENATE(LEFT(BO372,7),"-",MID(BO372,13,1)),CLU!$P$3:$Q$16,2)),1)</f>
        <v>#N/A</v>
      </c>
      <c r="GS372" s="433" t="e">
        <f ca="1">MATCH(U372,INDIRECT(VLOOKUP(CONCATENATE(LEFT(BO372,7),"-",MID(BO372,13,1)),CLU!$P$3:$Q$16,2)),1)</f>
        <v>#N/A</v>
      </c>
      <c r="GT372" s="347" t="s">
        <v>512</v>
      </c>
      <c r="GU372" s="97" t="s">
        <v>513</v>
      </c>
      <c r="GV372" s="97" t="str">
        <f t="shared" si="1200"/>
        <v>M23</v>
      </c>
      <c r="GW372" s="97" t="str">
        <f t="shared" si="1201"/>
        <v>M31</v>
      </c>
      <c r="GX372" s="97" t="str">
        <f t="shared" si="1202"/>
        <v/>
      </c>
      <c r="GY372" s="97" t="str">
        <f t="shared" si="1203"/>
        <v/>
      </c>
      <c r="GZ372" s="481"/>
      <c r="HA372" s="240"/>
      <c r="HB372" s="240"/>
      <c r="HC372" s="240"/>
      <c r="HD372" s="240"/>
      <c r="HE372" s="240"/>
      <c r="HF372" s="240"/>
      <c r="HG372" s="240"/>
      <c r="HH372" s="240"/>
      <c r="HI372" s="240"/>
      <c r="HJ372" s="240"/>
      <c r="HK372" s="240"/>
      <c r="HL372" s="240"/>
      <c r="HM372" s="240"/>
      <c r="HN372" s="240"/>
      <c r="HO372" s="240"/>
      <c r="HP372" s="240"/>
      <c r="HQ372" s="240"/>
      <c r="HR372" s="240"/>
      <c r="HS372" s="240"/>
      <c r="HT372" s="240"/>
      <c r="HU372" s="240"/>
      <c r="HV372" s="245"/>
      <c r="HW372" s="245" t="b">
        <v>1</v>
      </c>
      <c r="HX372" s="245" t="str">
        <f t="shared" si="1088"/>
        <v/>
      </c>
      <c r="HY372" s="245" t="e">
        <f t="shared" si="1089"/>
        <v>#DIV/0!</v>
      </c>
      <c r="HZ372" s="245" t="e">
        <f t="shared" si="1090"/>
        <v>#DIV/0!</v>
      </c>
      <c r="IA372" s="245">
        <f t="shared" si="1091"/>
        <v>0</v>
      </c>
      <c r="IB372" s="245"/>
      <c r="IC372" t="b">
        <f t="shared" si="1092"/>
        <v>1</v>
      </c>
      <c r="ID372" s="245" t="b">
        <f t="shared" si="1093"/>
        <v>1</v>
      </c>
      <c r="IE372" s="245" t="b">
        <f t="shared" si="1094"/>
        <v>1</v>
      </c>
      <c r="IF372" s="245" t="b">
        <f t="shared" si="1095"/>
        <v>0</v>
      </c>
      <c r="IG372" s="245" t="b">
        <f t="shared" si="1096"/>
        <v>1</v>
      </c>
      <c r="IH372" s="245" t="b">
        <f t="shared" si="1097"/>
        <v>1</v>
      </c>
      <c r="II372" s="245">
        <f t="shared" si="1204"/>
        <v>0</v>
      </c>
      <c r="IJ372" s="245" t="e">
        <f t="shared" si="1098"/>
        <v>#VALUE!</v>
      </c>
      <c r="IK372" s="245" t="e">
        <f t="shared" si="1099"/>
        <v>#VALUE!</v>
      </c>
      <c r="IL372" s="245"/>
      <c r="IM372" s="245" t="e">
        <f t="shared" si="1205"/>
        <v>#N/A</v>
      </c>
      <c r="IN372" s="245" t="e">
        <f t="shared" si="1206"/>
        <v>#N/A</v>
      </c>
      <c r="IO372" s="245"/>
      <c r="IP372" s="245"/>
      <c r="IQ372" s="245" t="str">
        <f t="shared" si="1100"/>
        <v/>
      </c>
      <c r="IR372" s="245" t="str">
        <f>IF(J372="","",VLOOKUP(J372,Worksheet!$R$4:$T$14,2))</f>
        <v/>
      </c>
      <c r="IS372" s="245"/>
      <c r="IT372" s="245">
        <f t="shared" si="1101"/>
        <v>0</v>
      </c>
      <c r="IU372" s="245">
        <f t="shared" si="1102"/>
        <v>0</v>
      </c>
      <c r="IV372" s="245">
        <f t="shared" si="1103"/>
        <v>0</v>
      </c>
      <c r="IW372" s="245">
        <f t="shared" si="1104"/>
        <v>0</v>
      </c>
      <c r="IX372" s="245">
        <f t="shared" si="1207"/>
        <v>0</v>
      </c>
      <c r="IY372" s="245">
        <f t="shared" si="1105"/>
        <v>0</v>
      </c>
      <c r="IZ372" s="245">
        <f t="shared" si="1106"/>
        <v>0</v>
      </c>
      <c r="JA372">
        <f t="shared" si="1107"/>
        <v>0</v>
      </c>
      <c r="JB372">
        <f t="shared" si="1208"/>
        <v>0</v>
      </c>
      <c r="JC372">
        <f t="shared" si="1108"/>
        <v>0</v>
      </c>
      <c r="JD372">
        <f t="shared" si="1109"/>
        <v>0</v>
      </c>
      <c r="JE372">
        <f t="shared" si="1110"/>
        <v>0</v>
      </c>
      <c r="JF372">
        <f t="shared" si="1111"/>
        <v>0</v>
      </c>
      <c r="JG372">
        <f t="shared" si="1112"/>
        <v>0</v>
      </c>
      <c r="JH372">
        <f t="shared" si="1113"/>
        <v>0</v>
      </c>
      <c r="JI372">
        <f t="shared" si="1114"/>
        <v>0</v>
      </c>
      <c r="JJ372" s="447">
        <f t="shared" si="1115"/>
        <v>0</v>
      </c>
      <c r="JK372" s="447">
        <f t="shared" si="1116"/>
        <v>0</v>
      </c>
      <c r="JL372">
        <f t="shared" si="1117"/>
        <v>0</v>
      </c>
      <c r="JM372" s="245" t="str">
        <f>IFERROR(VLOOKUP(MATCH(BN372,#REF!,0),#REF!,7),"")</f>
        <v/>
      </c>
      <c r="JN372" t="e">
        <f>HLOOKUP(LEFT(BO372,7),Discharge_Area,MATCH(JO372,LookUps!$B$130:$B$149,1)+2)</f>
        <v>#N/A</v>
      </c>
      <c r="JO372" t="str">
        <f t="shared" si="1118"/>
        <v>- S</v>
      </c>
      <c r="JP372" t="e">
        <f>HLOOKUP(LEFT(BO372,7),Discharge_Area,MATCH(JO372,LookUps!$B$130:$B$149,1)+2)</f>
        <v>#N/A</v>
      </c>
      <c r="JQ372" t="e">
        <f t="shared" si="1119"/>
        <v>#N/A</v>
      </c>
      <c r="JR372" t="e">
        <f t="shared" si="1120"/>
        <v>#N/A</v>
      </c>
      <c r="JS372" t="e">
        <f t="shared" si="1121"/>
        <v>#N/A</v>
      </c>
      <c r="JT372" s="532" t="str">
        <f t="shared" si="1122"/>
        <v xml:space="preserve"> </v>
      </c>
      <c r="JU372" s="532" t="str">
        <f t="shared" si="1123"/>
        <v xml:space="preserve"> </v>
      </c>
      <c r="JV372" s="533" t="str">
        <f t="shared" si="1124"/>
        <v xml:space="preserve"> </v>
      </c>
      <c r="JW372" s="534">
        <f t="shared" si="1125"/>
        <v>0</v>
      </c>
      <c r="JX372" s="535" t="str">
        <f t="shared" si="1209"/>
        <v xml:space="preserve"> </v>
      </c>
      <c r="JY372" s="535" t="str">
        <f t="shared" si="1210"/>
        <v xml:space="preserve"> </v>
      </c>
      <c r="JZ372" s="535" t="str">
        <f t="shared" si="1211"/>
        <v xml:space="preserve"> </v>
      </c>
      <c r="KA372" s="536" t="str">
        <f t="shared" si="1126"/>
        <v xml:space="preserve"> </v>
      </c>
      <c r="KB372" s="535" t="e">
        <f t="shared" si="1212"/>
        <v>#VALUE!</v>
      </c>
      <c r="KC372" s="535" t="str">
        <f t="shared" si="1127"/>
        <v/>
      </c>
      <c r="KD372" s="537" t="str">
        <f t="shared" si="1213"/>
        <v xml:space="preserve"> </v>
      </c>
      <c r="KE372" s="537" t="str">
        <f t="shared" si="1214"/>
        <v xml:space="preserve"> </v>
      </c>
      <c r="KF372" s="534">
        <f t="shared" si="1128"/>
        <v>0</v>
      </c>
      <c r="KG372" s="535" t="str">
        <f t="shared" si="1129"/>
        <v xml:space="preserve"> </v>
      </c>
      <c r="KH372" s="535" t="str">
        <f t="shared" si="1130"/>
        <v xml:space="preserve"> </v>
      </c>
      <c r="KI372" s="535" t="str">
        <f t="shared" si="1131"/>
        <v xml:space="preserve"> </v>
      </c>
      <c r="KJ372" s="536" t="str">
        <f t="shared" si="1132"/>
        <v xml:space="preserve"> </v>
      </c>
      <c r="KK372" s="535" t="str">
        <f t="shared" si="1215"/>
        <v xml:space="preserve"> </v>
      </c>
      <c r="KL372" s="535" t="str">
        <f t="shared" si="1216"/>
        <v xml:space="preserve"> </v>
      </c>
      <c r="KM372" s="537" t="str">
        <f t="shared" si="1133"/>
        <v xml:space="preserve"> </v>
      </c>
      <c r="KN372" s="537" t="str">
        <f t="shared" si="1217"/>
        <v xml:space="preserve"> </v>
      </c>
      <c r="KP372">
        <f t="shared" si="1134"/>
        <v>0</v>
      </c>
      <c r="LA372" t="e">
        <f t="shared" si="1135"/>
        <v>#VALUE!</v>
      </c>
      <c r="LB372" t="e">
        <f t="shared" si="1136"/>
        <v>#VALUE!</v>
      </c>
      <c r="LC372" t="e">
        <f t="shared" si="1137"/>
        <v>#VALUE!</v>
      </c>
      <c r="LD372" t="e">
        <f t="shared" si="1138"/>
        <v>#VALUE!</v>
      </c>
      <c r="LE372" t="e">
        <f t="shared" si="1218"/>
        <v>#VALUE!</v>
      </c>
      <c r="LF372">
        <f t="shared" si="1139"/>
        <v>0</v>
      </c>
      <c r="LG372" t="e">
        <f t="shared" si="1219"/>
        <v>#VALUE!</v>
      </c>
      <c r="LH372" t="str">
        <f t="shared" si="1140"/>
        <v xml:space="preserve"> </v>
      </c>
      <c r="LI372">
        <f t="shared" si="1220"/>
        <v>1</v>
      </c>
    </row>
    <row r="373" spans="2:321" ht="15" customHeight="1">
      <c r="B373" s="311"/>
      <c r="C373" s="311"/>
      <c r="D373" s="312"/>
      <c r="E373" s="311"/>
      <c r="F373" s="312"/>
      <c r="G373" s="311"/>
      <c r="H373" s="311"/>
      <c r="I373" s="232"/>
      <c r="J373" s="311"/>
      <c r="K373" s="305" t="str">
        <f t="shared" si="1141"/>
        <v/>
      </c>
      <c r="L373" s="313"/>
      <c r="M373" s="312"/>
      <c r="N373" s="311"/>
      <c r="O373" s="312"/>
      <c r="P373" s="311"/>
      <c r="Q373" s="305" t="str">
        <f t="shared" si="1142"/>
        <v/>
      </c>
      <c r="R373" s="314"/>
      <c r="S373" s="450" t="str">
        <f t="shared" si="1025"/>
        <v/>
      </c>
      <c r="T373" s="315"/>
      <c r="U373" s="315"/>
      <c r="W373" s="149" t="str">
        <f t="shared" si="1026"/>
        <v xml:space="preserve"> </v>
      </c>
      <c r="X373" s="243" t="str">
        <f t="shared" si="1027"/>
        <v xml:space="preserve"> </v>
      </c>
      <c r="Y373" s="150" t="str">
        <f t="shared" si="1028"/>
        <v/>
      </c>
      <c r="Z373" s="149" t="str">
        <f t="shared" si="1029"/>
        <v xml:space="preserve"> </v>
      </c>
      <c r="AA373" s="98" t="str">
        <f t="shared" si="1030"/>
        <v xml:space="preserve"> </v>
      </c>
      <c r="AB373" s="153" t="str">
        <f t="shared" si="1031"/>
        <v xml:space="preserve"> </v>
      </c>
      <c r="AC373" s="153" t="str">
        <f t="shared" si="1032"/>
        <v xml:space="preserve"> </v>
      </c>
      <c r="AD373" s="148" t="str">
        <f t="shared" si="1033"/>
        <v/>
      </c>
      <c r="AE373" s="149" t="str">
        <f t="shared" si="1034"/>
        <v/>
      </c>
      <c r="AF373" s="151" t="str">
        <f t="shared" si="1035"/>
        <v xml:space="preserve"> </v>
      </c>
      <c r="AG373" s="153" t="str">
        <f t="shared" si="1036"/>
        <v xml:space="preserve"> </v>
      </c>
      <c r="AH373" s="98" t="str">
        <f t="shared" si="1037"/>
        <v xml:space="preserve"> </v>
      </c>
      <c r="AI373" s="149" t="str">
        <f t="shared" si="1038"/>
        <v xml:space="preserve"> </v>
      </c>
      <c r="AK373" s="144" t="str">
        <f t="shared" si="1039"/>
        <v xml:space="preserve"> </v>
      </c>
      <c r="AL373" s="144"/>
      <c r="AM373" s="243" t="str">
        <f t="shared" si="1040"/>
        <v xml:space="preserve"> </v>
      </c>
      <c r="AN373" s="149" t="str">
        <f t="shared" si="1143"/>
        <v xml:space="preserve"> </v>
      </c>
      <c r="AO373" s="144" t="str">
        <f>IF(JB373&gt;0,IF(GI373=10,-R373*1.085*(Calculation!$F$6-Calculation!$F$13)*$S$14," "),"")</f>
        <v/>
      </c>
      <c r="AP373" s="144" t="str">
        <f t="shared" si="1041"/>
        <v/>
      </c>
      <c r="AQ373" s="56" t="str">
        <f t="shared" si="1042"/>
        <v/>
      </c>
      <c r="AR373" s="144" t="str">
        <f t="shared" si="1043"/>
        <v/>
      </c>
      <c r="AS373" s="176" t="str">
        <f t="shared" si="1044"/>
        <v/>
      </c>
      <c r="AT373" s="176" t="str">
        <f t="shared" si="1144"/>
        <v xml:space="preserve"> </v>
      </c>
      <c r="AU373" s="176" t="str">
        <f t="shared" si="1045"/>
        <v/>
      </c>
      <c r="AV373" s="177" t="str">
        <f t="shared" si="1046"/>
        <v xml:space="preserve"> </v>
      </c>
      <c r="AW373" s="144" t="str">
        <f t="shared" si="1047"/>
        <v xml:space="preserve"> </v>
      </c>
      <c r="AX373" s="144" t="str">
        <f t="shared" si="1048"/>
        <v xml:space="preserve"> </v>
      </c>
      <c r="AY373" s="152" t="str">
        <f t="shared" si="1049"/>
        <v xml:space="preserve"> </v>
      </c>
      <c r="AZ373" s="246" t="str">
        <f t="shared" si="1050"/>
        <v/>
      </c>
      <c r="BA373" s="176" t="str">
        <f t="shared" si="1051"/>
        <v xml:space="preserve"> </v>
      </c>
      <c r="BB373" s="176" t="str">
        <f t="shared" si="1052"/>
        <v xml:space="preserve"> </v>
      </c>
      <c r="BC373" s="195"/>
      <c r="BD373" s="316"/>
      <c r="BE373" s="317"/>
      <c r="BF373" s="318"/>
      <c r="BG373" s="318"/>
      <c r="BH373" s="144" t="str">
        <f t="shared" si="1221"/>
        <v xml:space="preserve"> </v>
      </c>
      <c r="BI373" s="176" t="str">
        <f t="shared" si="1053"/>
        <v/>
      </c>
      <c r="BJ373" s="144" t="str">
        <f t="shared" si="1222"/>
        <v/>
      </c>
      <c r="BK373" s="246" t="str">
        <f t="shared" si="1054"/>
        <v/>
      </c>
      <c r="BL373" s="144" t="str">
        <f t="shared" si="1223"/>
        <v/>
      </c>
      <c r="BM373" s="246" t="str">
        <f t="shared" si="1055"/>
        <v/>
      </c>
      <c r="BN373" s="337" t="str">
        <f t="shared" si="1145"/>
        <v/>
      </c>
      <c r="BO373" s="371" t="str">
        <f t="shared" si="1146"/>
        <v/>
      </c>
      <c r="BP373" s="328" t="str">
        <f t="shared" si="1224"/>
        <v xml:space="preserve"> </v>
      </c>
      <c r="BQ373" s="347" t="str">
        <f t="shared" si="1147"/>
        <v xml:space="preserve"> </v>
      </c>
      <c r="BR373" s="353" t="str">
        <f t="shared" si="1148"/>
        <v xml:space="preserve"> </v>
      </c>
      <c r="BS373" s="626" t="str">
        <f>IF(L373&gt;0,IF(Calculation!P373="M13",BR373*3.1416*(0.134^2)/(4*144),IF(Calculation!P373="M17",BR373*3.1416*(0.165^2)/(4*144),IF(Calculation!P373="M20",BR373*3.1416*(0.198^2)/(4*144),IF(Calculation!P373="M23",BR373*3.1416*(0.228^2)/(4*144),IF(Calculation!P373="M27",BR373*3.1416*(0.269^2)/(4*144),BR373*3.1416*(0.307^2)/(4*144))))))," ")</f>
        <v xml:space="preserve"> </v>
      </c>
      <c r="BT373" s="353" t="str">
        <f>IF(L373&gt;0,IF(BS373&gt;0,R373/Calculation!BS373,0)," ")</f>
        <v xml:space="preserve"> </v>
      </c>
      <c r="BU373" s="438" t="e">
        <f t="shared" ca="1" si="1056"/>
        <v>#VALUE!</v>
      </c>
      <c r="BV373" s="449" t="e">
        <f ca="1">INDEX(INDIRECT(VLOOKUP(LEFT(BO373,7),CLU!$Z$3:$AH$18,2)),GN373,GR373)</f>
        <v>#N/A</v>
      </c>
      <c r="BW373" s="433" t="e">
        <f ca="1">INDEX(INDIRECT(VLOOKUP(LEFT(BO373,7),CLU!$Z$3:$AH$18,3)),GN373,GR373)</f>
        <v>#N/A</v>
      </c>
      <c r="BX373" s="433" t="e">
        <f ca="1">INDEX(INDIRECT(VLOOKUP(LEFT(BO373,7),CLU!$Z$3:$AH$18,4)),GN373,GR373)</f>
        <v>#N/A</v>
      </c>
      <c r="BY373" s="433" t="e">
        <f ca="1">INDEX(INDIRECT(VLOOKUP(LEFT(BO373,7),CLU!$Z$3:$AH$18,9)),((M373-2)*(6-COUNTBLANK(GT373:GY373)))+GJ373)</f>
        <v>#N/A</v>
      </c>
      <c r="BZ373" s="426" t="e">
        <f t="shared" ca="1" si="1149"/>
        <v>#N/A</v>
      </c>
      <c r="CA373" s="424" t="e">
        <f t="shared" ca="1" si="1150"/>
        <v>#N/A</v>
      </c>
      <c r="CB373" s="429" t="e">
        <f ca="1">INDEX(INDIRECT(VLOOKUP(LEFT(BO373,7),CLU!$Z$3:$AH$18,2)),GN373,GS373)</f>
        <v>#N/A</v>
      </c>
      <c r="CC373" s="342" t="e">
        <f ca="1">INDEX(INDIRECT(VLOOKUP(LEFT(BO373,7),CLU!$Z$3:$AH$18,3)),GN373,GS373)</f>
        <v>#N/A</v>
      </c>
      <c r="CD373" s="342" t="e">
        <f ca="1">INDEX(INDIRECT(VLOOKUP(LEFT(BO373,7),CLU!$Z$3:$AH$18,4)),GN373,GS373)</f>
        <v>#N/A</v>
      </c>
      <c r="CE373" s="426" t="e">
        <f t="shared" ca="1" si="1151"/>
        <v>#N/A</v>
      </c>
      <c r="CF373" s="440">
        <f t="shared" si="1152"/>
        <v>0</v>
      </c>
      <c r="CG373" s="431" t="e">
        <f ca="1">INDEX(INDIRECT(VLOOKUP(LEFT(BO373,7),CLU!$Z$3:$AH$18,2)),GQ373,GR373)</f>
        <v>#N/A</v>
      </c>
      <c r="CH373" s="431" t="e">
        <f ca="1">INDEX(INDIRECT(VLOOKUP(LEFT(BO373,7),CLU!$Z$3:$AH$18,3)),GQ373,GR373)</f>
        <v>#N/A</v>
      </c>
      <c r="CI373" s="431" t="e">
        <f ca="1">INDEX(INDIRECT(VLOOKUP(LEFT(BO373,7),CLU!$Z$3:$AH$18,4)),GQ373,GR373)</f>
        <v>#N/A</v>
      </c>
      <c r="CJ373" s="448" t="e">
        <f t="shared" ca="1" si="1153"/>
        <v>#N/A</v>
      </c>
      <c r="CK373" s="431" t="e">
        <f t="shared" ca="1" si="1154"/>
        <v>#N/A</v>
      </c>
      <c r="CL373" s="440" t="e">
        <f t="shared" ca="1" si="1155"/>
        <v>#N/A</v>
      </c>
      <c r="CM373" s="431" t="e">
        <f ca="1">INDEX(INDIRECT(VLOOKUP(LEFT(BO373,7),CLU!$Z$3:$AH$18,2)),GQ373,GS373)</f>
        <v>#N/A</v>
      </c>
      <c r="CN373" s="431" t="e">
        <f ca="1">INDEX(INDIRECT(VLOOKUP(LEFT(BO373,7),CLU!$Z$3:$AH$18,3)),GQ373,GS373)</f>
        <v>#N/A</v>
      </c>
      <c r="CO373" s="431" t="e">
        <f ca="1">INDEX(INDIRECT(VLOOKUP(LEFT(BO373,7),CLU!$Z$3:$AH$18,4)),GQ373,GS373)</f>
        <v>#N/A</v>
      </c>
      <c r="CP373" s="431" t="e">
        <f t="shared" ca="1" si="1156"/>
        <v>#N/A</v>
      </c>
      <c r="CQ373" s="440">
        <f t="shared" si="1157"/>
        <v>0</v>
      </c>
      <c r="CR373" s="51" t="e">
        <f t="shared" ca="1" si="1158"/>
        <v>#N/A</v>
      </c>
      <c r="CS373" s="439" t="e">
        <f t="shared" ca="1" si="1159"/>
        <v>#VALUE!</v>
      </c>
      <c r="CT373" s="51" t="e">
        <f t="shared" ca="1" si="1160"/>
        <v>#VALUE!</v>
      </c>
      <c r="CU373" s="10"/>
      <c r="CV373" s="51" t="e">
        <f t="shared" ca="1" si="1057"/>
        <v>#VALUE!</v>
      </c>
      <c r="CW373" s="51">
        <f t="shared" si="1161"/>
        <v>0</v>
      </c>
      <c r="CX373" s="439" t="e">
        <f t="shared" ca="1" si="1162"/>
        <v>#VALUE!</v>
      </c>
      <c r="CY373" s="51" t="e">
        <f t="shared" ca="1" si="1163"/>
        <v>#VALUE!</v>
      </c>
      <c r="CZ373" s="10"/>
      <c r="DA373" s="51" t="e">
        <f t="shared" ca="1" si="1164"/>
        <v>#VALUE!</v>
      </c>
      <c r="DB373" s="347" t="e">
        <f ca="1">INDEX(INDIRECT(VLOOKUP(LEFT(BO373,7),CLU!$Z$3:$AI$18,10)),((M373-2)*(6-COUNTBLANK(GT373:GY373)))+GJ373)*LI373</f>
        <v>#N/A</v>
      </c>
      <c r="DC373" s="347" t="str">
        <f>IF(L373&gt;0,((R373/Worksheet!$I$15)/DB373)^2," ")</f>
        <v xml:space="preserve"> </v>
      </c>
      <c r="DD373" s="602" t="str">
        <f t="shared" si="1165"/>
        <v xml:space="preserve"> </v>
      </c>
      <c r="DE373" s="347" t="str">
        <f t="shared" si="1058"/>
        <v xml:space="preserve"> </v>
      </c>
      <c r="DF373" s="356" t="e">
        <f ca="1">INDEX(INDIRECT(VLOOKUP(LEFT(BO373,7),CLU!$Z$3:$AH$18,8)),((M373-2)*(6-COUNTBLANK(GT373:GY373)))+GJ373)</f>
        <v>#N/A</v>
      </c>
      <c r="DG373" s="347" t="str">
        <f t="shared" si="1059"/>
        <v xml:space="preserve"> </v>
      </c>
      <c r="DH373" s="357" t="str">
        <f t="shared" si="1060"/>
        <v xml:space="preserve"> </v>
      </c>
      <c r="DI373" s="355" t="str">
        <f t="shared" si="1061"/>
        <v xml:space="preserve"> </v>
      </c>
      <c r="DJ373" s="245" t="e">
        <f ca="1">INDEX(INDIRECT(VLOOKUP(LEFT(BO373,7),CLU!$Z$3:$AH$18,5)),GL373,GK373)</f>
        <v>#N/A</v>
      </c>
      <c r="DK373" s="245" t="e">
        <f ca="1">INDEX(INDIRECT(VLOOKUP(LEFT(BO373,7),CLU!$Z$3:$AH$18,6)),GL373,GK373)</f>
        <v>#N/A</v>
      </c>
      <c r="DL373" s="355">
        <f>(Calculation!R373*0.69143*(Calculation!$BQ$8-Calculation!$F$8))*$S$14</f>
        <v>0</v>
      </c>
      <c r="DM373" s="359" t="e">
        <f t="shared" si="1166"/>
        <v>#VALUE!</v>
      </c>
      <c r="DN373" s="611">
        <f t="shared" si="1167"/>
        <v>0</v>
      </c>
      <c r="DO373" s="359">
        <f t="shared" si="1168"/>
        <v>100</v>
      </c>
      <c r="DP373" s="359">
        <f t="shared" si="1169"/>
        <v>0</v>
      </c>
      <c r="DQ373" s="360"/>
      <c r="DR373" s="245" t="e">
        <f ca="1">INDEX(INDIRECT(VLOOKUP(LEFT(BO373,7),CLU!$Z$3:$AH$18,7)),M373-1,1)</f>
        <v>#N/A</v>
      </c>
      <c r="DS373" s="245" t="e">
        <f ca="1">INDEX(INDIRECT(VLOOKUP(LEFT(BO373,7),CLU!$Z$3:$AH$18,7)),M373-1,2)</f>
        <v>#N/A</v>
      </c>
      <c r="DT373" s="245" t="e">
        <f ca="1">INDEX(INDIRECT(VLOOKUP(LEFT(BO373,7),CLU!$Z$3:$AH$18,7)),M373-1,3)</f>
        <v>#N/A</v>
      </c>
      <c r="DU373" s="245" t="e">
        <f ca="1">INDEX(INDIRECT(VLOOKUP(LEFT(BO373,7),CLU!$Z$3:$AH$18,7)),M373-1,4)</f>
        <v>#N/A</v>
      </c>
      <c r="DV373" s="361" t="e">
        <f ca="1">INDEX(INDIRECT(VLOOKUP(LEFT(BO373,7),CLU!$Z$3:$AH$18,7)),M373-1,4+LEFT(DZ373,1)*0.5)</f>
        <v>#N/A</v>
      </c>
      <c r="DW373" s="245" t="e">
        <f ca="1">INDEX(INDIRECT(VLOOKUP(LEFT(BO373,7),CLU!$Z$3:$AH$18,7)),M373-1,8)</f>
        <v>#N/A</v>
      </c>
      <c r="DX373" s="361" t="str">
        <f t="shared" si="1062"/>
        <v xml:space="preserve"> </v>
      </c>
      <c r="DY373" s="361" t="str">
        <f t="shared" si="1063"/>
        <v xml:space="preserve"> </v>
      </c>
      <c r="DZ373" s="361" t="str">
        <f t="shared" si="1064"/>
        <v xml:space="preserve"> </v>
      </c>
      <c r="EA373" s="362" t="str">
        <f t="shared" si="1065"/>
        <v xml:space="preserve"> </v>
      </c>
      <c r="EB373" s="624" t="str">
        <f t="shared" si="1170"/>
        <v xml:space="preserve"> </v>
      </c>
      <c r="EC373" s="361" t="e">
        <f ca="1">INDEX(INDIRECT(VLOOKUP(LEFT(BO373,7),CLU!$Z$3:$AH$18,7)),M373-1,4+LEFT(DZ373,1)*0.5)</f>
        <v>#N/A</v>
      </c>
      <c r="ED373" s="362" t="str">
        <f t="shared" si="1066"/>
        <v xml:space="preserve"> </v>
      </c>
      <c r="EE373" s="361" t="str">
        <f t="shared" si="1067"/>
        <v xml:space="preserve"> </v>
      </c>
      <c r="EF373" s="362" t="str">
        <f>IF(L373&gt;0,IF(BR373&gt;0,IF(EE373="2P",IF(Calculation!DZ373="2P",IF(Calculation!DS373=13.75,IF(Calculation!DR373=13,Worksheet!$BD$43,IF(Calculation!DR373=37,Worksheet!$BD$44,Worksheet!$BD$45)),IF(Calculation!DS373=10,IF(Calculation!DR373=18,Worksheet!$BD$29,IF(Calculation!DR373=30,Worksheet!$BD$30,IF(Calculation!DR373=42,Worksheet!$BD$31,IF(Calculation!DR373=54,Worksheet!$BD$32,IF(Calculation!DR373=66,Worksheet!$BD$33,IF(Calculation!DR373=78,Worksheet!$BD$34,IF(Calculation!DR373=90,Worksheet!$BD$35,IF(Calculation!DR373=102,Worksheet!$BD$36,Worksheet!$BD$37)))))))),IF(Calculation!DS373=12.5,IF(Calculation!DR373=18,Worksheet!$BD$38,IF(Calculation!DR373=Worksheet!$BD$39,IF(Calculation!DR373=42,Worksheet!$BD$40,IF(Calculation!DR373=54,Worksheet!$BD$41,Worksheet!$BD$42)))),IF(Calculation!DR373=18,Worksheet!$BD$11,IF(Calculation!DR373=30,Worksheet!$BD$12,IF(Calculation!DR373=42,Worksheet!$BD$13,IF(Calculation!DR373=54,Worksheet!$BD$14,IF(Calculation!DR373=66,Worksheet!$BD$15,IF(Calculation!DR373=78,Worksheet!$BD$16,IF(Calculation!DR373=90,Worksheet!$BD$17,IF(Calculation!DR373=102,Worksheet!$BD$18,Worksheet!$BD$19))))))))))),IF(Calculation!DS373=13.75,IF(Calculation!DR373=13,Worksheet!$BD$78,IF(Calculation!DR373=37,Worksheet!$BD$79,Worksheet!$BD$80)),IF(Calculation!DS373=10,IF(Calculation!DR373=18,Worksheet!$BD$64,IF(Calculation!DR373=30,Worksheet!$BD$65,IF(Calculation!DR373=42,Worksheet!$BD$66,IF(Calculation!DR373=54,Worksheet!$BD$68,IF(Calculation!DR373=66,Worksheet!$BD$68,IF(Calculation!DR373=78,Worksheet!$BD$69,IF(Calculation!DR373=90,Worksheet!$BD$70,IF(Calculation!DR373=102,Worksheet!$BD$71,Worksheet!$BD$72)))))))),IF(Calculation!DS373=12.5,IF(Calculation!DR373=18,Worksheet!$BD$73,IF(Calculation!DR373=Worksheet!$BD$74,IF(Calculation!DR373=42,Worksheet!$BD$75,IF(Calculation!DR373=54,Worksheet!$BD$76,Worksheet!$BD$77)))),IF(Calculation!DR373=18,Worksheet!$BD$55,IF(Calculation!DR373=30,Worksheet!$BD$56,IF(Calculation!DR373=42,Worksheet!$BD$57,IF(Calculation!DR373=54,Worksheet!$BD$58,IF(Calculation!DR373=66,Worksheet!$BD$59,IF(Calculation!DR373=78,Worksheet!$BD$60,IF(Calculation!DR373=90,Worksheet!$BD$61,IF(Calculation!DR373=102,Worksheet!$BD$62,Worksheet!$BD$63)))))))))))),5),0)," ")</f>
        <v xml:space="preserve"> </v>
      </c>
      <c r="EG373" s="361" t="str">
        <f t="shared" si="1068"/>
        <v xml:space="preserve"> </v>
      </c>
      <c r="EH373" s="361" t="e">
        <f ca="1">INDEX(INDIRECT(VLOOKUP(LEFT(BO373,7),CLU!$Z$3:$AH$18,7)),M373-1,3+LEFT(DZ373,1))</f>
        <v>#N/A</v>
      </c>
      <c r="EI373" s="362" t="str">
        <f t="shared" si="1069"/>
        <v xml:space="preserve"> </v>
      </c>
      <c r="EJ373" s="363" t="str">
        <f t="shared" si="1070"/>
        <v xml:space="preserve"> </v>
      </c>
      <c r="EK373" s="363" t="str">
        <f t="shared" si="1071"/>
        <v xml:space="preserve"> </v>
      </c>
      <c r="EL373" s="363" t="str">
        <f t="shared" si="1072"/>
        <v xml:space="preserve"> </v>
      </c>
      <c r="EM373" s="362" t="str">
        <f>IF(L373&gt;0,IF(BR373&gt;0,(Calculation!T373/ED373)^2,0)," ")</f>
        <v xml:space="preserve"> </v>
      </c>
      <c r="EN373" s="362" t="str">
        <f>IF(L373&gt;0,IF(O373="2 Pipe (Cooling)","N/A",IF(BR373&gt;0,(Calculation!U373/EI373)^2,0))," ")</f>
        <v xml:space="preserve"> </v>
      </c>
      <c r="EO373" s="361" t="str">
        <f t="shared" si="1073"/>
        <v/>
      </c>
      <c r="EP373" s="361" t="str">
        <f t="shared" si="1074"/>
        <v/>
      </c>
      <c r="EQ373" s="361" t="str">
        <f t="shared" si="1075"/>
        <v/>
      </c>
      <c r="ER373" s="361" t="str">
        <f t="shared" si="1076"/>
        <v/>
      </c>
      <c r="ES373" s="361" t="str">
        <f t="shared" si="1077"/>
        <v/>
      </c>
      <c r="ET373" s="361" t="str">
        <f t="shared" si="1078"/>
        <v/>
      </c>
      <c r="EU373" s="361" t="str">
        <f t="shared" si="1079"/>
        <v/>
      </c>
      <c r="EV373" s="361" t="str">
        <f t="shared" si="1080"/>
        <v/>
      </c>
      <c r="EW373" s="361" t="str">
        <f t="shared" si="1081"/>
        <v/>
      </c>
      <c r="EX373" s="361" t="str">
        <f t="shared" si="1171"/>
        <v>1 slot, 1 way</v>
      </c>
      <c r="EY373" s="361" t="str">
        <f t="shared" si="1172"/>
        <v xml:space="preserve"> </v>
      </c>
      <c r="EZ373" s="361" t="str">
        <f t="shared" si="1173"/>
        <v xml:space="preserve"> </v>
      </c>
      <c r="FA373" s="361" t="str">
        <f t="shared" si="1174"/>
        <v xml:space="preserve"> </v>
      </c>
      <c r="FB373" s="361" t="str">
        <f t="shared" si="1175"/>
        <v xml:space="preserve"> </v>
      </c>
      <c r="FC373" s="361"/>
      <c r="FD373" s="361" t="str">
        <f>IF(J373&gt;0,IF(Calculation!R373&lt;=70,4,IF(Calculation!R373&lt;=110,5,IF(Calculation!R373&lt;=160,6,IF(Calculation!R373&lt;=300,8,"10 EO")))),"")</f>
        <v/>
      </c>
      <c r="FE373" s="361" t="str">
        <f t="shared" si="1176"/>
        <v/>
      </c>
      <c r="FF373" s="361" t="str">
        <f t="shared" si="1177"/>
        <v/>
      </c>
      <c r="FG373" s="361" t="e">
        <f t="shared" si="1082"/>
        <v>#N/A</v>
      </c>
      <c r="FH373" s="361">
        <f t="shared" si="1083"/>
        <v>0</v>
      </c>
      <c r="FI373" s="361" t="e">
        <f t="shared" si="1084"/>
        <v>#DIV/0!</v>
      </c>
      <c r="FJ373" s="361"/>
      <c r="FK373" s="356" t="e">
        <f t="shared" si="1085"/>
        <v>#VALUE!</v>
      </c>
      <c r="FL373" s="361"/>
      <c r="FM373" s="361"/>
      <c r="FN373" s="362" t="str">
        <f t="shared" si="1178"/>
        <v xml:space="preserve"> </v>
      </c>
      <c r="FO373" s="362" t="str">
        <f t="shared" si="1179"/>
        <v xml:space="preserve"> </v>
      </c>
      <c r="FP373" s="362">
        <f t="shared" si="1180"/>
        <v>0</v>
      </c>
      <c r="FQ373" s="361">
        <f t="shared" si="1086"/>
        <v>0</v>
      </c>
      <c r="FR373" s="362" t="str">
        <f>IF(L373&gt;0,IF(J373="CBAL2",Worksheet!$P$67,IF(J373="CBE2-24",Worksheet!$Q$67,IF(J373="CBAM",Worksheet!$R$67,IF(J373="CBLV",Worksheet!$S$67,IF(J373="CBAB",Worksheet!$U$67,IF(J373="CBAW",Worksheet!$X$67,IF(J373="CBE2-12",Worksheet!$Y$67,IF(J373="CBAL2",Worksheet!$Z$67,"N/A"))))))))," ")</f>
        <v xml:space="preserve"> </v>
      </c>
      <c r="FS373" s="362" t="str">
        <f>IF(L373&gt;0,IF(J373="CBAL2",Worksheet!$P$68,IF(J373="CBE2-24",Worksheet!$Q$68,IF(J373="CBAM",Worksheet!$R$68,IF(J373="CBLV",Worksheet!$S$68,IF(J373="CBAB",Worksheet!$U$68,IF(J373="CBAW",Worksheet!$X$68,IF(J373="CBE2-12",Worksheet!$Y$68,IF(J373="CBAL2",Worksheet!$Z$68,"N/A"))))))))," ")</f>
        <v xml:space="preserve"> </v>
      </c>
      <c r="FT373" s="362" t="str">
        <f>IF(L373&gt;0,IF(J373="CBAL2",Worksheet!$P$69,IF(J373="CBE2-24",Worksheet!$Q$69,IF(J373="CBAM",Worksheet!$R$69,IF(J373="CBLV",Worksheet!$S$69,IF(J373="CBAB",Worksheet!$U$69,IF(J373="CBAW",Worksheet!$X$69,IF(J373="CBE2-12",Worksheet!$Y$69,IF(J373="CBAL2",Worksheet!$Z$69,"N/A"))))))))," ")</f>
        <v xml:space="preserve"> </v>
      </c>
      <c r="FU373" s="361" t="str">
        <f t="shared" si="1181"/>
        <v xml:space="preserve"> </v>
      </c>
      <c r="FV373" s="362" t="str">
        <f t="shared" si="1182"/>
        <v xml:space="preserve"> </v>
      </c>
      <c r="FW373" s="362" t="str">
        <f t="shared" si="1183"/>
        <v xml:space="preserve"> </v>
      </c>
      <c r="FX373" s="362" t="str">
        <f t="shared" si="1184"/>
        <v xml:space="preserve"> </v>
      </c>
      <c r="FY373" s="355" t="str">
        <f t="shared" si="1185"/>
        <v xml:space="preserve"> </v>
      </c>
      <c r="FZ373" s="361" t="str">
        <f t="shared" si="1186"/>
        <v xml:space="preserve"> </v>
      </c>
      <c r="GA373" s="347" t="str">
        <f t="shared" si="1187"/>
        <v xml:space="preserve"> </v>
      </c>
      <c r="GB373" s="355" t="str">
        <f t="shared" si="1188"/>
        <v xml:space="preserve"> </v>
      </c>
      <c r="GC373" s="328" t="str">
        <f t="shared" si="1189"/>
        <v xml:space="preserve"> </v>
      </c>
      <c r="GD373" s="361" t="str">
        <f t="shared" si="1190"/>
        <v xml:space="preserve"> </v>
      </c>
      <c r="GE373" s="347" t="str">
        <f t="shared" si="1191"/>
        <v xml:space="preserve"> </v>
      </c>
      <c r="GF373" s="361" t="str">
        <f t="shared" si="1192"/>
        <v xml:space="preserve"> </v>
      </c>
      <c r="GG373" s="347" t="str">
        <f t="shared" si="1193"/>
        <v xml:space="preserve"> </v>
      </c>
      <c r="GH373" s="364">
        <f t="shared" si="1087"/>
        <v>0</v>
      </c>
      <c r="GI373" s="362">
        <f t="shared" si="1194"/>
        <v>2</v>
      </c>
      <c r="GJ373" s="433" t="e">
        <f>IF(6-COUNTBLANK(GT373:GY373)=4,MATCH(MID(BO373,9,3),CLU!$H$16:$K$16),MATCH(MID(BO373,9,3),CLU!$H$13:$M$13))</f>
        <v>#N/A</v>
      </c>
      <c r="GK373" s="433" t="e">
        <f>HLOOKUP(VALUE(BP373),CLU!$H$9:$M$10,2)</f>
        <v>#VALUE!</v>
      </c>
      <c r="GL373" s="433" t="e">
        <f ca="1">MATCH(BU373,CLU!$H$2:$V$2,1)</f>
        <v>#VALUE!</v>
      </c>
      <c r="GM373" s="433" t="e">
        <f t="shared" ca="1" si="1195"/>
        <v>#VALUE!</v>
      </c>
      <c r="GN373" s="433" t="e">
        <f t="shared" ca="1" si="1196"/>
        <v>#VALUE!</v>
      </c>
      <c r="GO373" s="433" t="e">
        <f t="shared" ca="1" si="1197"/>
        <v>#VALUE!</v>
      </c>
      <c r="GP373" s="433" t="e">
        <f t="shared" ca="1" si="1198"/>
        <v>#VALUE!</v>
      </c>
      <c r="GQ373" s="433" t="e">
        <f t="shared" ca="1" si="1199"/>
        <v>#VALUE!</v>
      </c>
      <c r="GR373" s="433" t="e">
        <f ca="1">MATCH(T373,INDIRECT(VLOOKUP(CONCATENATE(LEFT(BO373,7),"-",MID(BO373,13,1)),CLU!$P$3:$Q$16,2)),1)</f>
        <v>#N/A</v>
      </c>
      <c r="GS373" s="433" t="e">
        <f ca="1">MATCH(U373,INDIRECT(VLOOKUP(CONCATENATE(LEFT(BO373,7),"-",MID(BO373,13,1)),CLU!$P$3:$Q$16,2)),1)</f>
        <v>#N/A</v>
      </c>
      <c r="GT373" s="347" t="s">
        <v>512</v>
      </c>
      <c r="GU373" s="97" t="s">
        <v>513</v>
      </c>
      <c r="GV373" s="97" t="str">
        <f t="shared" si="1200"/>
        <v>M23</v>
      </c>
      <c r="GW373" s="97" t="str">
        <f t="shared" si="1201"/>
        <v>M31</v>
      </c>
      <c r="GX373" s="97" t="str">
        <f t="shared" si="1202"/>
        <v/>
      </c>
      <c r="GY373" s="97" t="str">
        <f t="shared" si="1203"/>
        <v/>
      </c>
      <c r="GZ373" s="481"/>
      <c r="HA373" s="240"/>
      <c r="HB373" s="240"/>
      <c r="HC373" s="240"/>
      <c r="HD373" s="240"/>
      <c r="HE373" s="240"/>
      <c r="HF373" s="240"/>
      <c r="HG373" s="240"/>
      <c r="HH373" s="240"/>
      <c r="HI373" s="240"/>
      <c r="HJ373" s="240"/>
      <c r="HK373" s="240"/>
      <c r="HL373" s="240"/>
      <c r="HM373" s="240"/>
      <c r="HN373" s="240"/>
      <c r="HO373" s="240"/>
      <c r="HP373" s="240"/>
      <c r="HQ373" s="240"/>
      <c r="HR373" s="240"/>
      <c r="HS373" s="240"/>
      <c r="HT373" s="240"/>
      <c r="HU373" s="240"/>
      <c r="HV373" s="245"/>
      <c r="HW373" s="245" t="b">
        <v>1</v>
      </c>
      <c r="HX373" s="245" t="str">
        <f t="shared" si="1088"/>
        <v/>
      </c>
      <c r="HY373" s="245" t="e">
        <f t="shared" si="1089"/>
        <v>#DIV/0!</v>
      </c>
      <c r="HZ373" s="245" t="e">
        <f t="shared" si="1090"/>
        <v>#DIV/0!</v>
      </c>
      <c r="IA373" s="245">
        <f t="shared" si="1091"/>
        <v>0</v>
      </c>
      <c r="IB373" s="245"/>
      <c r="IC373" t="b">
        <f t="shared" si="1092"/>
        <v>1</v>
      </c>
      <c r="ID373" s="245" t="b">
        <f t="shared" si="1093"/>
        <v>1</v>
      </c>
      <c r="IE373" s="245" t="b">
        <f t="shared" si="1094"/>
        <v>1</v>
      </c>
      <c r="IF373" s="245" t="b">
        <f t="shared" si="1095"/>
        <v>0</v>
      </c>
      <c r="IG373" s="245" t="b">
        <f t="shared" si="1096"/>
        <v>1</v>
      </c>
      <c r="IH373" s="245" t="b">
        <f t="shared" si="1097"/>
        <v>1</v>
      </c>
      <c r="II373" s="245">
        <f t="shared" si="1204"/>
        <v>0</v>
      </c>
      <c r="IJ373" s="245" t="e">
        <f t="shared" si="1098"/>
        <v>#VALUE!</v>
      </c>
      <c r="IK373" s="245" t="e">
        <f t="shared" si="1099"/>
        <v>#VALUE!</v>
      </c>
      <c r="IL373" s="245"/>
      <c r="IM373" s="245" t="e">
        <f t="shared" si="1205"/>
        <v>#N/A</v>
      </c>
      <c r="IN373" s="245" t="e">
        <f t="shared" si="1206"/>
        <v>#N/A</v>
      </c>
      <c r="IO373" s="245"/>
      <c r="IP373" s="245"/>
      <c r="IQ373" s="245" t="str">
        <f t="shared" si="1100"/>
        <v/>
      </c>
      <c r="IR373" s="245" t="str">
        <f>IF(J373="","",VLOOKUP(J373,Worksheet!$R$4:$T$14,2))</f>
        <v/>
      </c>
      <c r="IS373" s="245"/>
      <c r="IT373" s="245">
        <f t="shared" si="1101"/>
        <v>0</v>
      </c>
      <c r="IU373" s="245">
        <f t="shared" si="1102"/>
        <v>0</v>
      </c>
      <c r="IV373" s="245">
        <f t="shared" si="1103"/>
        <v>0</v>
      </c>
      <c r="IW373" s="245">
        <f t="shared" si="1104"/>
        <v>0</v>
      </c>
      <c r="IX373" s="245">
        <f t="shared" si="1207"/>
        <v>0</v>
      </c>
      <c r="IY373" s="245">
        <f t="shared" si="1105"/>
        <v>0</v>
      </c>
      <c r="IZ373" s="245">
        <f t="shared" si="1106"/>
        <v>0</v>
      </c>
      <c r="JA373">
        <f t="shared" si="1107"/>
        <v>0</v>
      </c>
      <c r="JB373">
        <f t="shared" si="1208"/>
        <v>0</v>
      </c>
      <c r="JC373">
        <f t="shared" si="1108"/>
        <v>0</v>
      </c>
      <c r="JD373">
        <f t="shared" si="1109"/>
        <v>0</v>
      </c>
      <c r="JE373">
        <f t="shared" si="1110"/>
        <v>0</v>
      </c>
      <c r="JF373">
        <f t="shared" si="1111"/>
        <v>0</v>
      </c>
      <c r="JG373">
        <f t="shared" si="1112"/>
        <v>0</v>
      </c>
      <c r="JH373">
        <f t="shared" si="1113"/>
        <v>0</v>
      </c>
      <c r="JI373">
        <f t="shared" si="1114"/>
        <v>0</v>
      </c>
      <c r="JJ373" s="447">
        <f t="shared" si="1115"/>
        <v>0</v>
      </c>
      <c r="JK373" s="447">
        <f t="shared" si="1116"/>
        <v>0</v>
      </c>
      <c r="JL373">
        <f t="shared" si="1117"/>
        <v>0</v>
      </c>
      <c r="JM373" s="245" t="str">
        <f>IFERROR(VLOOKUP(MATCH(BN373,#REF!,0),#REF!,7),"")</f>
        <v/>
      </c>
      <c r="JN373" t="e">
        <f>HLOOKUP(LEFT(BO373,7),Discharge_Area,MATCH(JO373,LookUps!$B$130:$B$149,1)+2)</f>
        <v>#N/A</v>
      </c>
      <c r="JO373" t="str">
        <f t="shared" si="1118"/>
        <v>- S</v>
      </c>
      <c r="JP373" t="e">
        <f>HLOOKUP(LEFT(BO373,7),Discharge_Area,MATCH(JO373,LookUps!$B$130:$B$149,1)+2)</f>
        <v>#N/A</v>
      </c>
      <c r="JQ373" t="e">
        <f t="shared" si="1119"/>
        <v>#N/A</v>
      </c>
      <c r="JR373" t="e">
        <f t="shared" si="1120"/>
        <v>#N/A</v>
      </c>
      <c r="JS373" t="e">
        <f t="shared" si="1121"/>
        <v>#N/A</v>
      </c>
      <c r="JT373" s="532" t="str">
        <f t="shared" si="1122"/>
        <v xml:space="preserve"> </v>
      </c>
      <c r="JU373" s="532" t="str">
        <f t="shared" si="1123"/>
        <v xml:space="preserve"> </v>
      </c>
      <c r="JV373" s="533" t="str">
        <f t="shared" si="1124"/>
        <v xml:space="preserve"> </v>
      </c>
      <c r="JW373" s="534">
        <f t="shared" si="1125"/>
        <v>0</v>
      </c>
      <c r="JX373" s="535" t="str">
        <f t="shared" si="1209"/>
        <v xml:space="preserve"> </v>
      </c>
      <c r="JY373" s="535" t="str">
        <f t="shared" si="1210"/>
        <v xml:space="preserve"> </v>
      </c>
      <c r="JZ373" s="535" t="str">
        <f t="shared" si="1211"/>
        <v xml:space="preserve"> </v>
      </c>
      <c r="KA373" s="536" t="str">
        <f t="shared" si="1126"/>
        <v xml:space="preserve"> </v>
      </c>
      <c r="KB373" s="535" t="e">
        <f t="shared" si="1212"/>
        <v>#VALUE!</v>
      </c>
      <c r="KC373" s="535" t="str">
        <f t="shared" si="1127"/>
        <v/>
      </c>
      <c r="KD373" s="537" t="str">
        <f t="shared" si="1213"/>
        <v xml:space="preserve"> </v>
      </c>
      <c r="KE373" s="537" t="str">
        <f t="shared" si="1214"/>
        <v xml:space="preserve"> </v>
      </c>
      <c r="KF373" s="534">
        <f t="shared" si="1128"/>
        <v>0</v>
      </c>
      <c r="KG373" s="535" t="str">
        <f t="shared" si="1129"/>
        <v xml:space="preserve"> </v>
      </c>
      <c r="KH373" s="535" t="str">
        <f t="shared" si="1130"/>
        <v xml:space="preserve"> </v>
      </c>
      <c r="KI373" s="535" t="str">
        <f t="shared" si="1131"/>
        <v xml:space="preserve"> </v>
      </c>
      <c r="KJ373" s="536" t="str">
        <f t="shared" si="1132"/>
        <v xml:space="preserve"> </v>
      </c>
      <c r="KK373" s="535" t="str">
        <f t="shared" si="1215"/>
        <v xml:space="preserve"> </v>
      </c>
      <c r="KL373" s="535" t="str">
        <f t="shared" si="1216"/>
        <v xml:space="preserve"> </v>
      </c>
      <c r="KM373" s="537" t="str">
        <f t="shared" si="1133"/>
        <v xml:space="preserve"> </v>
      </c>
      <c r="KN373" s="537" t="str">
        <f t="shared" si="1217"/>
        <v xml:space="preserve"> </v>
      </c>
      <c r="KP373">
        <f t="shared" si="1134"/>
        <v>0</v>
      </c>
      <c r="LA373" t="e">
        <f t="shared" si="1135"/>
        <v>#VALUE!</v>
      </c>
      <c r="LB373" t="e">
        <f t="shared" si="1136"/>
        <v>#VALUE!</v>
      </c>
      <c r="LC373" t="e">
        <f t="shared" si="1137"/>
        <v>#VALUE!</v>
      </c>
      <c r="LD373" t="e">
        <f t="shared" si="1138"/>
        <v>#VALUE!</v>
      </c>
      <c r="LE373" t="e">
        <f t="shared" si="1218"/>
        <v>#VALUE!</v>
      </c>
      <c r="LF373">
        <f t="shared" si="1139"/>
        <v>0</v>
      </c>
      <c r="LG373" t="e">
        <f t="shared" si="1219"/>
        <v>#VALUE!</v>
      </c>
      <c r="LH373" t="str">
        <f t="shared" si="1140"/>
        <v xml:space="preserve"> </v>
      </c>
      <c r="LI373">
        <f t="shared" si="1220"/>
        <v>1</v>
      </c>
    </row>
    <row r="374" spans="2:321" ht="15" customHeight="1">
      <c r="B374" s="311"/>
      <c r="C374" s="311"/>
      <c r="D374" s="312"/>
      <c r="E374" s="311"/>
      <c r="F374" s="312"/>
      <c r="G374" s="311"/>
      <c r="H374" s="311"/>
      <c r="I374" s="232"/>
      <c r="J374" s="311"/>
      <c r="K374" s="305" t="str">
        <f t="shared" si="1141"/>
        <v/>
      </c>
      <c r="L374" s="313"/>
      <c r="M374" s="312"/>
      <c r="N374" s="311"/>
      <c r="O374" s="312"/>
      <c r="P374" s="311"/>
      <c r="Q374" s="305" t="str">
        <f t="shared" si="1142"/>
        <v/>
      </c>
      <c r="R374" s="314"/>
      <c r="S374" s="450" t="str">
        <f t="shared" si="1025"/>
        <v/>
      </c>
      <c r="T374" s="315"/>
      <c r="U374" s="315"/>
      <c r="W374" s="149" t="str">
        <f t="shared" si="1026"/>
        <v xml:space="preserve"> </v>
      </c>
      <c r="X374" s="243" t="str">
        <f t="shared" si="1027"/>
        <v xml:space="preserve"> </v>
      </c>
      <c r="Y374" s="150" t="str">
        <f t="shared" si="1028"/>
        <v/>
      </c>
      <c r="Z374" s="149" t="str">
        <f t="shared" si="1029"/>
        <v xml:space="preserve"> </v>
      </c>
      <c r="AA374" s="98" t="str">
        <f t="shared" si="1030"/>
        <v xml:space="preserve"> </v>
      </c>
      <c r="AB374" s="153" t="str">
        <f t="shared" si="1031"/>
        <v xml:space="preserve"> </v>
      </c>
      <c r="AC374" s="153" t="str">
        <f t="shared" si="1032"/>
        <v xml:space="preserve"> </v>
      </c>
      <c r="AD374" s="148" t="str">
        <f t="shared" si="1033"/>
        <v/>
      </c>
      <c r="AE374" s="149" t="str">
        <f t="shared" si="1034"/>
        <v/>
      </c>
      <c r="AF374" s="151" t="str">
        <f t="shared" si="1035"/>
        <v xml:space="preserve"> </v>
      </c>
      <c r="AG374" s="153" t="str">
        <f t="shared" si="1036"/>
        <v xml:space="preserve"> </v>
      </c>
      <c r="AH374" s="98" t="str">
        <f t="shared" si="1037"/>
        <v xml:space="preserve"> </v>
      </c>
      <c r="AI374" s="149" t="str">
        <f t="shared" si="1038"/>
        <v xml:space="preserve"> </v>
      </c>
      <c r="AK374" s="144" t="str">
        <f t="shared" si="1039"/>
        <v xml:space="preserve"> </v>
      </c>
      <c r="AL374" s="144"/>
      <c r="AM374" s="243" t="str">
        <f t="shared" si="1040"/>
        <v xml:space="preserve"> </v>
      </c>
      <c r="AN374" s="149" t="str">
        <f t="shared" si="1143"/>
        <v xml:space="preserve"> </v>
      </c>
      <c r="AO374" s="144" t="str">
        <f>IF(JB374&gt;0,IF(GI374=10,-R374*1.085*(Calculation!$F$6-Calculation!$F$13)*$S$14," "),"")</f>
        <v/>
      </c>
      <c r="AP374" s="144" t="str">
        <f t="shared" si="1041"/>
        <v/>
      </c>
      <c r="AQ374" s="56" t="str">
        <f t="shared" si="1042"/>
        <v/>
      </c>
      <c r="AR374" s="144" t="str">
        <f t="shared" si="1043"/>
        <v/>
      </c>
      <c r="AS374" s="176" t="str">
        <f t="shared" si="1044"/>
        <v/>
      </c>
      <c r="AT374" s="176" t="str">
        <f t="shared" si="1144"/>
        <v xml:space="preserve"> </v>
      </c>
      <c r="AU374" s="176" t="str">
        <f t="shared" si="1045"/>
        <v/>
      </c>
      <c r="AV374" s="177" t="str">
        <f t="shared" si="1046"/>
        <v xml:space="preserve"> </v>
      </c>
      <c r="AW374" s="144" t="str">
        <f t="shared" si="1047"/>
        <v xml:space="preserve"> </v>
      </c>
      <c r="AX374" s="144" t="str">
        <f t="shared" si="1048"/>
        <v xml:space="preserve"> </v>
      </c>
      <c r="AY374" s="152" t="str">
        <f t="shared" si="1049"/>
        <v xml:space="preserve"> </v>
      </c>
      <c r="AZ374" s="246" t="str">
        <f t="shared" si="1050"/>
        <v/>
      </c>
      <c r="BA374" s="176" t="str">
        <f t="shared" si="1051"/>
        <v xml:space="preserve"> </v>
      </c>
      <c r="BB374" s="176" t="str">
        <f t="shared" si="1052"/>
        <v xml:space="preserve"> </v>
      </c>
      <c r="BC374" s="195"/>
      <c r="BD374" s="316"/>
      <c r="BE374" s="317"/>
      <c r="BF374" s="318"/>
      <c r="BG374" s="318"/>
      <c r="BH374" s="144" t="str">
        <f t="shared" si="1221"/>
        <v xml:space="preserve"> </v>
      </c>
      <c r="BI374" s="176" t="str">
        <f t="shared" si="1053"/>
        <v/>
      </c>
      <c r="BJ374" s="144" t="str">
        <f t="shared" si="1222"/>
        <v/>
      </c>
      <c r="BK374" s="246" t="str">
        <f t="shared" si="1054"/>
        <v/>
      </c>
      <c r="BL374" s="144" t="str">
        <f t="shared" si="1223"/>
        <v/>
      </c>
      <c r="BM374" s="246" t="str">
        <f t="shared" si="1055"/>
        <v/>
      </c>
      <c r="BN374" s="337" t="str">
        <f t="shared" si="1145"/>
        <v/>
      </c>
      <c r="BO374" s="371" t="str">
        <f t="shared" si="1146"/>
        <v/>
      </c>
      <c r="BP374" s="328" t="str">
        <f t="shared" si="1224"/>
        <v xml:space="preserve"> </v>
      </c>
      <c r="BQ374" s="347" t="str">
        <f t="shared" si="1147"/>
        <v xml:space="preserve"> </v>
      </c>
      <c r="BR374" s="353" t="str">
        <f t="shared" si="1148"/>
        <v xml:space="preserve"> </v>
      </c>
      <c r="BS374" s="626" t="str">
        <f>IF(L374&gt;0,IF(Calculation!P374="M13",BR374*3.1416*(0.134^2)/(4*144),IF(Calculation!P374="M17",BR374*3.1416*(0.165^2)/(4*144),IF(Calculation!P374="M20",BR374*3.1416*(0.198^2)/(4*144),IF(Calculation!P374="M23",BR374*3.1416*(0.228^2)/(4*144),IF(Calculation!P374="M27",BR374*3.1416*(0.269^2)/(4*144),BR374*3.1416*(0.307^2)/(4*144))))))," ")</f>
        <v xml:space="preserve"> </v>
      </c>
      <c r="BT374" s="353" t="str">
        <f>IF(L374&gt;0,IF(BS374&gt;0,R374/Calculation!BS374,0)," ")</f>
        <v xml:space="preserve"> </v>
      </c>
      <c r="BU374" s="438" t="e">
        <f t="shared" ca="1" si="1056"/>
        <v>#VALUE!</v>
      </c>
      <c r="BV374" s="449" t="e">
        <f ca="1">INDEX(INDIRECT(VLOOKUP(LEFT(BO374,7),CLU!$Z$3:$AH$18,2)),GN374,GR374)</f>
        <v>#N/A</v>
      </c>
      <c r="BW374" s="433" t="e">
        <f ca="1">INDEX(INDIRECT(VLOOKUP(LEFT(BO374,7),CLU!$Z$3:$AH$18,3)),GN374,GR374)</f>
        <v>#N/A</v>
      </c>
      <c r="BX374" s="433" t="e">
        <f ca="1">INDEX(INDIRECT(VLOOKUP(LEFT(BO374,7),CLU!$Z$3:$AH$18,4)),GN374,GR374)</f>
        <v>#N/A</v>
      </c>
      <c r="BY374" s="433" t="e">
        <f ca="1">INDEX(INDIRECT(VLOOKUP(LEFT(BO374,7),CLU!$Z$3:$AH$18,9)),((M374-2)*(6-COUNTBLANK(GT374:GY374)))+GJ374)</f>
        <v>#N/A</v>
      </c>
      <c r="BZ374" s="426" t="e">
        <f t="shared" ca="1" si="1149"/>
        <v>#N/A</v>
      </c>
      <c r="CA374" s="424" t="e">
        <f t="shared" ca="1" si="1150"/>
        <v>#N/A</v>
      </c>
      <c r="CB374" s="429" t="e">
        <f ca="1">INDEX(INDIRECT(VLOOKUP(LEFT(BO374,7),CLU!$Z$3:$AH$18,2)),GN374,GS374)</f>
        <v>#N/A</v>
      </c>
      <c r="CC374" s="342" t="e">
        <f ca="1">INDEX(INDIRECT(VLOOKUP(LEFT(BO374,7),CLU!$Z$3:$AH$18,3)),GN374,GS374)</f>
        <v>#N/A</v>
      </c>
      <c r="CD374" s="342" t="e">
        <f ca="1">INDEX(INDIRECT(VLOOKUP(LEFT(BO374,7),CLU!$Z$3:$AH$18,4)),GN374,GS374)</f>
        <v>#N/A</v>
      </c>
      <c r="CE374" s="426" t="e">
        <f t="shared" ca="1" si="1151"/>
        <v>#N/A</v>
      </c>
      <c r="CF374" s="440">
        <f t="shared" si="1152"/>
        <v>0</v>
      </c>
      <c r="CG374" s="431" t="e">
        <f ca="1">INDEX(INDIRECT(VLOOKUP(LEFT(BO374,7),CLU!$Z$3:$AH$18,2)),GQ374,GR374)</f>
        <v>#N/A</v>
      </c>
      <c r="CH374" s="431" t="e">
        <f ca="1">INDEX(INDIRECT(VLOOKUP(LEFT(BO374,7),CLU!$Z$3:$AH$18,3)),GQ374,GR374)</f>
        <v>#N/A</v>
      </c>
      <c r="CI374" s="431" t="e">
        <f ca="1">INDEX(INDIRECT(VLOOKUP(LEFT(BO374,7),CLU!$Z$3:$AH$18,4)),GQ374,GR374)</f>
        <v>#N/A</v>
      </c>
      <c r="CJ374" s="448" t="e">
        <f t="shared" ca="1" si="1153"/>
        <v>#N/A</v>
      </c>
      <c r="CK374" s="431" t="e">
        <f t="shared" ca="1" si="1154"/>
        <v>#N/A</v>
      </c>
      <c r="CL374" s="440" t="e">
        <f t="shared" ca="1" si="1155"/>
        <v>#N/A</v>
      </c>
      <c r="CM374" s="431" t="e">
        <f ca="1">INDEX(INDIRECT(VLOOKUP(LEFT(BO374,7),CLU!$Z$3:$AH$18,2)),GQ374,GS374)</f>
        <v>#N/A</v>
      </c>
      <c r="CN374" s="431" t="e">
        <f ca="1">INDEX(INDIRECT(VLOOKUP(LEFT(BO374,7),CLU!$Z$3:$AH$18,3)),GQ374,GS374)</f>
        <v>#N/A</v>
      </c>
      <c r="CO374" s="431" t="e">
        <f ca="1">INDEX(INDIRECT(VLOOKUP(LEFT(BO374,7),CLU!$Z$3:$AH$18,4)),GQ374,GS374)</f>
        <v>#N/A</v>
      </c>
      <c r="CP374" s="431" t="e">
        <f t="shared" ca="1" si="1156"/>
        <v>#N/A</v>
      </c>
      <c r="CQ374" s="440">
        <f t="shared" si="1157"/>
        <v>0</v>
      </c>
      <c r="CR374" s="51" t="e">
        <f t="shared" ca="1" si="1158"/>
        <v>#N/A</v>
      </c>
      <c r="CS374" s="439" t="e">
        <f t="shared" ca="1" si="1159"/>
        <v>#VALUE!</v>
      </c>
      <c r="CT374" s="51" t="e">
        <f t="shared" ca="1" si="1160"/>
        <v>#VALUE!</v>
      </c>
      <c r="CU374" s="10"/>
      <c r="CV374" s="51" t="e">
        <f t="shared" ca="1" si="1057"/>
        <v>#VALUE!</v>
      </c>
      <c r="CW374" s="51">
        <f t="shared" si="1161"/>
        <v>0</v>
      </c>
      <c r="CX374" s="439" t="e">
        <f t="shared" ca="1" si="1162"/>
        <v>#VALUE!</v>
      </c>
      <c r="CY374" s="51" t="e">
        <f t="shared" ca="1" si="1163"/>
        <v>#VALUE!</v>
      </c>
      <c r="CZ374" s="10"/>
      <c r="DA374" s="51" t="e">
        <f t="shared" ca="1" si="1164"/>
        <v>#VALUE!</v>
      </c>
      <c r="DB374" s="347" t="e">
        <f ca="1">INDEX(INDIRECT(VLOOKUP(LEFT(BO374,7),CLU!$Z$3:$AI$18,10)),((M374-2)*(6-COUNTBLANK(GT374:GY374)))+GJ374)*LI374</f>
        <v>#N/A</v>
      </c>
      <c r="DC374" s="347" t="str">
        <f>IF(L374&gt;0,((R374/Worksheet!$I$15)/DB374)^2," ")</f>
        <v xml:space="preserve"> </v>
      </c>
      <c r="DD374" s="602" t="str">
        <f t="shared" si="1165"/>
        <v xml:space="preserve"> </v>
      </c>
      <c r="DE374" s="347" t="str">
        <f t="shared" si="1058"/>
        <v xml:space="preserve"> </v>
      </c>
      <c r="DF374" s="356" t="e">
        <f ca="1">INDEX(INDIRECT(VLOOKUP(LEFT(BO374,7),CLU!$Z$3:$AH$18,8)),((M374-2)*(6-COUNTBLANK(GT374:GY374)))+GJ374)</f>
        <v>#N/A</v>
      </c>
      <c r="DG374" s="347" t="str">
        <f t="shared" si="1059"/>
        <v xml:space="preserve"> </v>
      </c>
      <c r="DH374" s="357" t="str">
        <f t="shared" si="1060"/>
        <v xml:space="preserve"> </v>
      </c>
      <c r="DI374" s="355" t="str">
        <f t="shared" si="1061"/>
        <v xml:space="preserve"> </v>
      </c>
      <c r="DJ374" s="245" t="e">
        <f ca="1">INDEX(INDIRECT(VLOOKUP(LEFT(BO374,7),CLU!$Z$3:$AH$18,5)),GL374,GK374)</f>
        <v>#N/A</v>
      </c>
      <c r="DK374" s="245" t="e">
        <f ca="1">INDEX(INDIRECT(VLOOKUP(LEFT(BO374,7),CLU!$Z$3:$AH$18,6)),GL374,GK374)</f>
        <v>#N/A</v>
      </c>
      <c r="DL374" s="355">
        <f>(Calculation!R374*0.69143*(Calculation!$BQ$8-Calculation!$F$8))*$S$14</f>
        <v>0</v>
      </c>
      <c r="DM374" s="359" t="e">
        <f t="shared" si="1166"/>
        <v>#VALUE!</v>
      </c>
      <c r="DN374" s="611">
        <f t="shared" si="1167"/>
        <v>0</v>
      </c>
      <c r="DO374" s="359">
        <f t="shared" si="1168"/>
        <v>100</v>
      </c>
      <c r="DP374" s="359">
        <f t="shared" si="1169"/>
        <v>0</v>
      </c>
      <c r="DQ374" s="360"/>
      <c r="DR374" s="245" t="e">
        <f ca="1">INDEX(INDIRECT(VLOOKUP(LEFT(BO374,7),CLU!$Z$3:$AH$18,7)),M374-1,1)</f>
        <v>#N/A</v>
      </c>
      <c r="DS374" s="245" t="e">
        <f ca="1">INDEX(INDIRECT(VLOOKUP(LEFT(BO374,7),CLU!$Z$3:$AH$18,7)),M374-1,2)</f>
        <v>#N/A</v>
      </c>
      <c r="DT374" s="245" t="e">
        <f ca="1">INDEX(INDIRECT(VLOOKUP(LEFT(BO374,7),CLU!$Z$3:$AH$18,7)),M374-1,3)</f>
        <v>#N/A</v>
      </c>
      <c r="DU374" s="245" t="e">
        <f ca="1">INDEX(INDIRECT(VLOOKUP(LEFT(BO374,7),CLU!$Z$3:$AH$18,7)),M374-1,4)</f>
        <v>#N/A</v>
      </c>
      <c r="DV374" s="361" t="e">
        <f ca="1">INDEX(INDIRECT(VLOOKUP(LEFT(BO374,7),CLU!$Z$3:$AH$18,7)),M374-1,4+LEFT(DZ374,1)*0.5)</f>
        <v>#N/A</v>
      </c>
      <c r="DW374" s="245" t="e">
        <f ca="1">INDEX(INDIRECT(VLOOKUP(LEFT(BO374,7),CLU!$Z$3:$AH$18,7)),M374-1,8)</f>
        <v>#N/A</v>
      </c>
      <c r="DX374" s="361" t="str">
        <f t="shared" si="1062"/>
        <v xml:space="preserve"> </v>
      </c>
      <c r="DY374" s="361" t="str">
        <f t="shared" si="1063"/>
        <v xml:space="preserve"> </v>
      </c>
      <c r="DZ374" s="361" t="str">
        <f t="shared" si="1064"/>
        <v xml:space="preserve"> </v>
      </c>
      <c r="EA374" s="362" t="str">
        <f t="shared" si="1065"/>
        <v xml:space="preserve"> </v>
      </c>
      <c r="EB374" s="624" t="str">
        <f t="shared" si="1170"/>
        <v xml:space="preserve"> </v>
      </c>
      <c r="EC374" s="361" t="e">
        <f ca="1">INDEX(INDIRECT(VLOOKUP(LEFT(BO374,7),CLU!$Z$3:$AH$18,7)),M374-1,4+LEFT(DZ374,1)*0.5)</f>
        <v>#N/A</v>
      </c>
      <c r="ED374" s="362" t="str">
        <f t="shared" si="1066"/>
        <v xml:space="preserve"> </v>
      </c>
      <c r="EE374" s="361" t="str">
        <f t="shared" si="1067"/>
        <v xml:space="preserve"> </v>
      </c>
      <c r="EF374" s="362" t="str">
        <f>IF(L374&gt;0,IF(BR374&gt;0,IF(EE374="2P",IF(Calculation!DZ374="2P",IF(Calculation!DS374=13.75,IF(Calculation!DR374=13,Worksheet!$BD$43,IF(Calculation!DR374=37,Worksheet!$BD$44,Worksheet!$BD$45)),IF(Calculation!DS374=10,IF(Calculation!DR374=18,Worksheet!$BD$29,IF(Calculation!DR374=30,Worksheet!$BD$30,IF(Calculation!DR374=42,Worksheet!$BD$31,IF(Calculation!DR374=54,Worksheet!$BD$32,IF(Calculation!DR374=66,Worksheet!$BD$33,IF(Calculation!DR374=78,Worksheet!$BD$34,IF(Calculation!DR374=90,Worksheet!$BD$35,IF(Calculation!DR374=102,Worksheet!$BD$36,Worksheet!$BD$37)))))))),IF(Calculation!DS374=12.5,IF(Calculation!DR374=18,Worksheet!$BD$38,IF(Calculation!DR374=Worksheet!$BD$39,IF(Calculation!DR374=42,Worksheet!$BD$40,IF(Calculation!DR374=54,Worksheet!$BD$41,Worksheet!$BD$42)))),IF(Calculation!DR374=18,Worksheet!$BD$11,IF(Calculation!DR374=30,Worksheet!$BD$12,IF(Calculation!DR374=42,Worksheet!$BD$13,IF(Calculation!DR374=54,Worksheet!$BD$14,IF(Calculation!DR374=66,Worksheet!$BD$15,IF(Calculation!DR374=78,Worksheet!$BD$16,IF(Calculation!DR374=90,Worksheet!$BD$17,IF(Calculation!DR374=102,Worksheet!$BD$18,Worksheet!$BD$19))))))))))),IF(Calculation!DS374=13.75,IF(Calculation!DR374=13,Worksheet!$BD$78,IF(Calculation!DR374=37,Worksheet!$BD$79,Worksheet!$BD$80)),IF(Calculation!DS374=10,IF(Calculation!DR374=18,Worksheet!$BD$64,IF(Calculation!DR374=30,Worksheet!$BD$65,IF(Calculation!DR374=42,Worksheet!$BD$66,IF(Calculation!DR374=54,Worksheet!$BD$68,IF(Calculation!DR374=66,Worksheet!$BD$68,IF(Calculation!DR374=78,Worksheet!$BD$69,IF(Calculation!DR374=90,Worksheet!$BD$70,IF(Calculation!DR374=102,Worksheet!$BD$71,Worksheet!$BD$72)))))))),IF(Calculation!DS374=12.5,IF(Calculation!DR374=18,Worksheet!$BD$73,IF(Calculation!DR374=Worksheet!$BD$74,IF(Calculation!DR374=42,Worksheet!$BD$75,IF(Calculation!DR374=54,Worksheet!$BD$76,Worksheet!$BD$77)))),IF(Calculation!DR374=18,Worksheet!$BD$55,IF(Calculation!DR374=30,Worksheet!$BD$56,IF(Calculation!DR374=42,Worksheet!$BD$57,IF(Calculation!DR374=54,Worksheet!$BD$58,IF(Calculation!DR374=66,Worksheet!$BD$59,IF(Calculation!DR374=78,Worksheet!$BD$60,IF(Calculation!DR374=90,Worksheet!$BD$61,IF(Calculation!DR374=102,Worksheet!$BD$62,Worksheet!$BD$63)))))))))))),5),0)," ")</f>
        <v xml:space="preserve"> </v>
      </c>
      <c r="EG374" s="361" t="str">
        <f t="shared" si="1068"/>
        <v xml:space="preserve"> </v>
      </c>
      <c r="EH374" s="361" t="e">
        <f ca="1">INDEX(INDIRECT(VLOOKUP(LEFT(BO374,7),CLU!$Z$3:$AH$18,7)),M374-1,3+LEFT(DZ374,1))</f>
        <v>#N/A</v>
      </c>
      <c r="EI374" s="362" t="str">
        <f t="shared" si="1069"/>
        <v xml:space="preserve"> </v>
      </c>
      <c r="EJ374" s="363" t="str">
        <f t="shared" si="1070"/>
        <v xml:space="preserve"> </v>
      </c>
      <c r="EK374" s="363" t="str">
        <f t="shared" si="1071"/>
        <v xml:space="preserve"> </v>
      </c>
      <c r="EL374" s="363" t="str">
        <f t="shared" si="1072"/>
        <v xml:space="preserve"> </v>
      </c>
      <c r="EM374" s="362" t="str">
        <f>IF(L374&gt;0,IF(BR374&gt;0,(Calculation!T374/ED374)^2,0)," ")</f>
        <v xml:space="preserve"> </v>
      </c>
      <c r="EN374" s="362" t="str">
        <f>IF(L374&gt;0,IF(O374="2 Pipe (Cooling)","N/A",IF(BR374&gt;0,(Calculation!U374/EI374)^2,0))," ")</f>
        <v xml:space="preserve"> </v>
      </c>
      <c r="EO374" s="361" t="str">
        <f t="shared" si="1073"/>
        <v/>
      </c>
      <c r="EP374" s="361" t="str">
        <f t="shared" si="1074"/>
        <v/>
      </c>
      <c r="EQ374" s="361" t="str">
        <f t="shared" si="1075"/>
        <v/>
      </c>
      <c r="ER374" s="361" t="str">
        <f t="shared" si="1076"/>
        <v/>
      </c>
      <c r="ES374" s="361" t="str">
        <f t="shared" si="1077"/>
        <v/>
      </c>
      <c r="ET374" s="361" t="str">
        <f t="shared" si="1078"/>
        <v/>
      </c>
      <c r="EU374" s="361" t="str">
        <f t="shared" si="1079"/>
        <v/>
      </c>
      <c r="EV374" s="361" t="str">
        <f t="shared" si="1080"/>
        <v/>
      </c>
      <c r="EW374" s="361" t="str">
        <f t="shared" si="1081"/>
        <v/>
      </c>
      <c r="EX374" s="361" t="str">
        <f t="shared" si="1171"/>
        <v>1 slot, 1 way</v>
      </c>
      <c r="EY374" s="361" t="str">
        <f t="shared" si="1172"/>
        <v xml:space="preserve"> </v>
      </c>
      <c r="EZ374" s="361" t="str">
        <f t="shared" si="1173"/>
        <v xml:space="preserve"> </v>
      </c>
      <c r="FA374" s="361" t="str">
        <f t="shared" si="1174"/>
        <v xml:space="preserve"> </v>
      </c>
      <c r="FB374" s="361" t="str">
        <f t="shared" si="1175"/>
        <v xml:space="preserve"> </v>
      </c>
      <c r="FC374" s="361"/>
      <c r="FD374" s="361" t="str">
        <f>IF(J374&gt;0,IF(Calculation!R374&lt;=70,4,IF(Calculation!R374&lt;=110,5,IF(Calculation!R374&lt;=160,6,IF(Calculation!R374&lt;=300,8,"10 EO")))),"")</f>
        <v/>
      </c>
      <c r="FE374" s="361" t="str">
        <f t="shared" si="1176"/>
        <v/>
      </c>
      <c r="FF374" s="361" t="str">
        <f t="shared" si="1177"/>
        <v/>
      </c>
      <c r="FG374" s="361" t="e">
        <f t="shared" si="1082"/>
        <v>#N/A</v>
      </c>
      <c r="FH374" s="361">
        <f t="shared" si="1083"/>
        <v>0</v>
      </c>
      <c r="FI374" s="361" t="e">
        <f t="shared" si="1084"/>
        <v>#DIV/0!</v>
      </c>
      <c r="FJ374" s="361"/>
      <c r="FK374" s="356" t="e">
        <f t="shared" si="1085"/>
        <v>#VALUE!</v>
      </c>
      <c r="FL374" s="361"/>
      <c r="FM374" s="361"/>
      <c r="FN374" s="362" t="str">
        <f t="shared" si="1178"/>
        <v xml:space="preserve"> </v>
      </c>
      <c r="FO374" s="362" t="str">
        <f t="shared" si="1179"/>
        <v xml:space="preserve"> </v>
      </c>
      <c r="FP374" s="362">
        <f t="shared" si="1180"/>
        <v>0</v>
      </c>
      <c r="FQ374" s="361">
        <f t="shared" si="1086"/>
        <v>0</v>
      </c>
      <c r="FR374" s="362" t="str">
        <f>IF(L374&gt;0,IF(J374="CBAL2",Worksheet!$P$67,IF(J374="CBE2-24",Worksheet!$Q$67,IF(J374="CBAM",Worksheet!$R$67,IF(J374="CBLV",Worksheet!$S$67,IF(J374="CBAB",Worksheet!$U$67,IF(J374="CBAW",Worksheet!$X$67,IF(J374="CBE2-12",Worksheet!$Y$67,IF(J374="CBAL2",Worksheet!$Z$67,"N/A"))))))))," ")</f>
        <v xml:space="preserve"> </v>
      </c>
      <c r="FS374" s="362" t="str">
        <f>IF(L374&gt;0,IF(J374="CBAL2",Worksheet!$P$68,IF(J374="CBE2-24",Worksheet!$Q$68,IF(J374="CBAM",Worksheet!$R$68,IF(J374="CBLV",Worksheet!$S$68,IF(J374="CBAB",Worksheet!$U$68,IF(J374="CBAW",Worksheet!$X$68,IF(J374="CBE2-12",Worksheet!$Y$68,IF(J374="CBAL2",Worksheet!$Z$68,"N/A"))))))))," ")</f>
        <v xml:space="preserve"> </v>
      </c>
      <c r="FT374" s="362" t="str">
        <f>IF(L374&gt;0,IF(J374="CBAL2",Worksheet!$P$69,IF(J374="CBE2-24",Worksheet!$Q$69,IF(J374="CBAM",Worksheet!$R$69,IF(J374="CBLV",Worksheet!$S$69,IF(J374="CBAB",Worksheet!$U$69,IF(J374="CBAW",Worksheet!$X$69,IF(J374="CBE2-12",Worksheet!$Y$69,IF(J374="CBAL2",Worksheet!$Z$69,"N/A"))))))))," ")</f>
        <v xml:space="preserve"> </v>
      </c>
      <c r="FU374" s="361" t="str">
        <f t="shared" si="1181"/>
        <v xml:space="preserve"> </v>
      </c>
      <c r="FV374" s="362" t="str">
        <f t="shared" si="1182"/>
        <v xml:space="preserve"> </v>
      </c>
      <c r="FW374" s="362" t="str">
        <f t="shared" si="1183"/>
        <v xml:space="preserve"> </v>
      </c>
      <c r="FX374" s="362" t="str">
        <f t="shared" si="1184"/>
        <v xml:space="preserve"> </v>
      </c>
      <c r="FY374" s="355" t="str">
        <f t="shared" si="1185"/>
        <v xml:space="preserve"> </v>
      </c>
      <c r="FZ374" s="361" t="str">
        <f t="shared" si="1186"/>
        <v xml:space="preserve"> </v>
      </c>
      <c r="GA374" s="347" t="str">
        <f t="shared" si="1187"/>
        <v xml:space="preserve"> </v>
      </c>
      <c r="GB374" s="355" t="str">
        <f t="shared" si="1188"/>
        <v xml:space="preserve"> </v>
      </c>
      <c r="GC374" s="328" t="str">
        <f t="shared" si="1189"/>
        <v xml:space="preserve"> </v>
      </c>
      <c r="GD374" s="361" t="str">
        <f t="shared" si="1190"/>
        <v xml:space="preserve"> </v>
      </c>
      <c r="GE374" s="347" t="str">
        <f t="shared" si="1191"/>
        <v xml:space="preserve"> </v>
      </c>
      <c r="GF374" s="361" t="str">
        <f t="shared" si="1192"/>
        <v xml:space="preserve"> </v>
      </c>
      <c r="GG374" s="347" t="str">
        <f t="shared" si="1193"/>
        <v xml:space="preserve"> </v>
      </c>
      <c r="GH374" s="364">
        <f t="shared" si="1087"/>
        <v>0</v>
      </c>
      <c r="GI374" s="362">
        <f t="shared" si="1194"/>
        <v>2</v>
      </c>
      <c r="GJ374" s="433" t="e">
        <f>IF(6-COUNTBLANK(GT374:GY374)=4,MATCH(MID(BO374,9,3),CLU!$H$16:$K$16),MATCH(MID(BO374,9,3),CLU!$H$13:$M$13))</f>
        <v>#N/A</v>
      </c>
      <c r="GK374" s="433" t="e">
        <f>HLOOKUP(VALUE(BP374),CLU!$H$9:$M$10,2)</f>
        <v>#VALUE!</v>
      </c>
      <c r="GL374" s="433" t="e">
        <f ca="1">MATCH(BU374,CLU!$H$2:$V$2,1)</f>
        <v>#VALUE!</v>
      </c>
      <c r="GM374" s="433" t="e">
        <f t="shared" ca="1" si="1195"/>
        <v>#VALUE!</v>
      </c>
      <c r="GN374" s="433" t="e">
        <f t="shared" ca="1" si="1196"/>
        <v>#VALUE!</v>
      </c>
      <c r="GO374" s="433" t="e">
        <f t="shared" ca="1" si="1197"/>
        <v>#VALUE!</v>
      </c>
      <c r="GP374" s="433" t="e">
        <f t="shared" ca="1" si="1198"/>
        <v>#VALUE!</v>
      </c>
      <c r="GQ374" s="433" t="e">
        <f t="shared" ca="1" si="1199"/>
        <v>#VALUE!</v>
      </c>
      <c r="GR374" s="433" t="e">
        <f ca="1">MATCH(T374,INDIRECT(VLOOKUP(CONCATENATE(LEFT(BO374,7),"-",MID(BO374,13,1)),CLU!$P$3:$Q$16,2)),1)</f>
        <v>#N/A</v>
      </c>
      <c r="GS374" s="433" t="e">
        <f ca="1">MATCH(U374,INDIRECT(VLOOKUP(CONCATENATE(LEFT(BO374,7),"-",MID(BO374,13,1)),CLU!$P$3:$Q$16,2)),1)</f>
        <v>#N/A</v>
      </c>
      <c r="GT374" s="347" t="s">
        <v>512</v>
      </c>
      <c r="GU374" s="97" t="s">
        <v>513</v>
      </c>
      <c r="GV374" s="97" t="str">
        <f t="shared" si="1200"/>
        <v>M23</v>
      </c>
      <c r="GW374" s="97" t="str">
        <f t="shared" si="1201"/>
        <v>M31</v>
      </c>
      <c r="GX374" s="97" t="str">
        <f t="shared" si="1202"/>
        <v/>
      </c>
      <c r="GY374" s="97" t="str">
        <f t="shared" si="1203"/>
        <v/>
      </c>
      <c r="GZ374" s="481"/>
      <c r="HA374" s="240"/>
      <c r="HB374" s="240"/>
      <c r="HC374" s="240"/>
      <c r="HD374" s="240"/>
      <c r="HE374" s="240"/>
      <c r="HF374" s="240"/>
      <c r="HG374" s="240"/>
      <c r="HH374" s="240"/>
      <c r="HI374" s="240"/>
      <c r="HJ374" s="240"/>
      <c r="HK374" s="240"/>
      <c r="HL374" s="240"/>
      <c r="HM374" s="240"/>
      <c r="HN374" s="240"/>
      <c r="HO374" s="240"/>
      <c r="HP374" s="240"/>
      <c r="HQ374" s="240"/>
      <c r="HR374" s="240"/>
      <c r="HS374" s="240"/>
      <c r="HT374" s="240"/>
      <c r="HU374" s="240"/>
      <c r="HV374" s="245"/>
      <c r="HW374" s="245" t="b">
        <v>1</v>
      </c>
      <c r="HX374" s="245" t="str">
        <f t="shared" si="1088"/>
        <v/>
      </c>
      <c r="HY374" s="245" t="e">
        <f t="shared" si="1089"/>
        <v>#DIV/0!</v>
      </c>
      <c r="HZ374" s="245" t="e">
        <f t="shared" si="1090"/>
        <v>#DIV/0!</v>
      </c>
      <c r="IA374" s="245">
        <f t="shared" si="1091"/>
        <v>0</v>
      </c>
      <c r="IB374" s="245"/>
      <c r="IC374" t="b">
        <f t="shared" si="1092"/>
        <v>1</v>
      </c>
      <c r="ID374" s="245" t="b">
        <f t="shared" si="1093"/>
        <v>1</v>
      </c>
      <c r="IE374" s="245" t="b">
        <f t="shared" si="1094"/>
        <v>1</v>
      </c>
      <c r="IF374" s="245" t="b">
        <f t="shared" si="1095"/>
        <v>0</v>
      </c>
      <c r="IG374" s="245" t="b">
        <f t="shared" si="1096"/>
        <v>1</v>
      </c>
      <c r="IH374" s="245" t="b">
        <f t="shared" si="1097"/>
        <v>1</v>
      </c>
      <c r="II374" s="245">
        <f t="shared" si="1204"/>
        <v>0</v>
      </c>
      <c r="IJ374" s="245" t="e">
        <f t="shared" si="1098"/>
        <v>#VALUE!</v>
      </c>
      <c r="IK374" s="245" t="e">
        <f t="shared" si="1099"/>
        <v>#VALUE!</v>
      </c>
      <c r="IL374" s="245"/>
      <c r="IM374" s="245" t="e">
        <f t="shared" si="1205"/>
        <v>#N/A</v>
      </c>
      <c r="IN374" s="245" t="e">
        <f t="shared" si="1206"/>
        <v>#N/A</v>
      </c>
      <c r="IO374" s="245"/>
      <c r="IP374" s="245"/>
      <c r="IQ374" s="245" t="str">
        <f t="shared" si="1100"/>
        <v/>
      </c>
      <c r="IR374" s="245" t="str">
        <f>IF(J374="","",VLOOKUP(J374,Worksheet!$R$4:$T$14,2))</f>
        <v/>
      </c>
      <c r="IS374" s="245"/>
      <c r="IT374" s="245">
        <f t="shared" si="1101"/>
        <v>0</v>
      </c>
      <c r="IU374" s="245">
        <f t="shared" si="1102"/>
        <v>0</v>
      </c>
      <c r="IV374" s="245">
        <f t="shared" si="1103"/>
        <v>0</v>
      </c>
      <c r="IW374" s="245">
        <f t="shared" si="1104"/>
        <v>0</v>
      </c>
      <c r="IX374" s="245">
        <f t="shared" si="1207"/>
        <v>0</v>
      </c>
      <c r="IY374" s="245">
        <f t="shared" si="1105"/>
        <v>0</v>
      </c>
      <c r="IZ374" s="245">
        <f t="shared" si="1106"/>
        <v>0</v>
      </c>
      <c r="JA374">
        <f t="shared" si="1107"/>
        <v>0</v>
      </c>
      <c r="JB374">
        <f t="shared" si="1208"/>
        <v>0</v>
      </c>
      <c r="JC374">
        <f t="shared" si="1108"/>
        <v>0</v>
      </c>
      <c r="JD374">
        <f t="shared" si="1109"/>
        <v>0</v>
      </c>
      <c r="JE374">
        <f t="shared" si="1110"/>
        <v>0</v>
      </c>
      <c r="JF374">
        <f t="shared" si="1111"/>
        <v>0</v>
      </c>
      <c r="JG374">
        <f t="shared" si="1112"/>
        <v>0</v>
      </c>
      <c r="JH374">
        <f t="shared" si="1113"/>
        <v>0</v>
      </c>
      <c r="JI374">
        <f t="shared" si="1114"/>
        <v>0</v>
      </c>
      <c r="JJ374" s="447">
        <f t="shared" si="1115"/>
        <v>0</v>
      </c>
      <c r="JK374" s="447">
        <f t="shared" si="1116"/>
        <v>0</v>
      </c>
      <c r="JL374">
        <f t="shared" si="1117"/>
        <v>0</v>
      </c>
      <c r="JM374" s="245" t="str">
        <f>IFERROR(VLOOKUP(MATCH(BN374,#REF!,0),#REF!,7),"")</f>
        <v/>
      </c>
      <c r="JN374" t="e">
        <f>HLOOKUP(LEFT(BO374,7),Discharge_Area,MATCH(JO374,LookUps!$B$130:$B$149,1)+2)</f>
        <v>#N/A</v>
      </c>
      <c r="JO374" t="str">
        <f t="shared" si="1118"/>
        <v>- S</v>
      </c>
      <c r="JP374" t="e">
        <f>HLOOKUP(LEFT(BO374,7),Discharge_Area,MATCH(JO374,LookUps!$B$130:$B$149,1)+2)</f>
        <v>#N/A</v>
      </c>
      <c r="JQ374" t="e">
        <f t="shared" si="1119"/>
        <v>#N/A</v>
      </c>
      <c r="JR374" t="e">
        <f t="shared" si="1120"/>
        <v>#N/A</v>
      </c>
      <c r="JS374" t="e">
        <f t="shared" si="1121"/>
        <v>#N/A</v>
      </c>
      <c r="JT374" s="532" t="str">
        <f t="shared" si="1122"/>
        <v xml:space="preserve"> </v>
      </c>
      <c r="JU374" s="532" t="str">
        <f t="shared" si="1123"/>
        <v xml:space="preserve"> </v>
      </c>
      <c r="JV374" s="533" t="str">
        <f t="shared" si="1124"/>
        <v xml:space="preserve"> </v>
      </c>
      <c r="JW374" s="534">
        <f t="shared" si="1125"/>
        <v>0</v>
      </c>
      <c r="JX374" s="535" t="str">
        <f t="shared" si="1209"/>
        <v xml:space="preserve"> </v>
      </c>
      <c r="JY374" s="535" t="str">
        <f t="shared" si="1210"/>
        <v xml:space="preserve"> </v>
      </c>
      <c r="JZ374" s="535" t="str">
        <f t="shared" si="1211"/>
        <v xml:space="preserve"> </v>
      </c>
      <c r="KA374" s="536" t="str">
        <f t="shared" si="1126"/>
        <v xml:space="preserve"> </v>
      </c>
      <c r="KB374" s="535" t="e">
        <f t="shared" si="1212"/>
        <v>#VALUE!</v>
      </c>
      <c r="KC374" s="535" t="str">
        <f t="shared" si="1127"/>
        <v/>
      </c>
      <c r="KD374" s="537" t="str">
        <f t="shared" si="1213"/>
        <v xml:space="preserve"> </v>
      </c>
      <c r="KE374" s="537" t="str">
        <f t="shared" si="1214"/>
        <v xml:space="preserve"> </v>
      </c>
      <c r="KF374" s="534">
        <f t="shared" si="1128"/>
        <v>0</v>
      </c>
      <c r="KG374" s="535" t="str">
        <f t="shared" si="1129"/>
        <v xml:space="preserve"> </v>
      </c>
      <c r="KH374" s="535" t="str">
        <f t="shared" si="1130"/>
        <v xml:space="preserve"> </v>
      </c>
      <c r="KI374" s="535" t="str">
        <f t="shared" si="1131"/>
        <v xml:space="preserve"> </v>
      </c>
      <c r="KJ374" s="536" t="str">
        <f t="shared" si="1132"/>
        <v xml:space="preserve"> </v>
      </c>
      <c r="KK374" s="535" t="str">
        <f t="shared" si="1215"/>
        <v xml:space="preserve"> </v>
      </c>
      <c r="KL374" s="535" t="str">
        <f t="shared" si="1216"/>
        <v xml:space="preserve"> </v>
      </c>
      <c r="KM374" s="537" t="str">
        <f t="shared" si="1133"/>
        <v xml:space="preserve"> </v>
      </c>
      <c r="KN374" s="537" t="str">
        <f t="shared" si="1217"/>
        <v xml:space="preserve"> </v>
      </c>
      <c r="KP374">
        <f t="shared" si="1134"/>
        <v>0</v>
      </c>
      <c r="LA374" t="e">
        <f t="shared" si="1135"/>
        <v>#VALUE!</v>
      </c>
      <c r="LB374" t="e">
        <f t="shared" si="1136"/>
        <v>#VALUE!</v>
      </c>
      <c r="LC374" t="e">
        <f t="shared" si="1137"/>
        <v>#VALUE!</v>
      </c>
      <c r="LD374" t="e">
        <f t="shared" si="1138"/>
        <v>#VALUE!</v>
      </c>
      <c r="LE374" t="e">
        <f t="shared" si="1218"/>
        <v>#VALUE!</v>
      </c>
      <c r="LF374">
        <f t="shared" si="1139"/>
        <v>0</v>
      </c>
      <c r="LG374" t="e">
        <f t="shared" si="1219"/>
        <v>#VALUE!</v>
      </c>
      <c r="LH374" t="str">
        <f t="shared" si="1140"/>
        <v xml:space="preserve"> </v>
      </c>
      <c r="LI374">
        <f t="shared" si="1220"/>
        <v>1</v>
      </c>
    </row>
    <row r="375" spans="2:321" ht="15" customHeight="1">
      <c r="B375" s="311"/>
      <c r="C375" s="311"/>
      <c r="D375" s="312"/>
      <c r="E375" s="311"/>
      <c r="F375" s="312"/>
      <c r="G375" s="311"/>
      <c r="H375" s="311"/>
      <c r="I375" s="232"/>
      <c r="J375" s="311"/>
      <c r="K375" s="305" t="str">
        <f t="shared" si="1141"/>
        <v/>
      </c>
      <c r="L375" s="313"/>
      <c r="M375" s="312"/>
      <c r="N375" s="311"/>
      <c r="O375" s="312"/>
      <c r="P375" s="311"/>
      <c r="Q375" s="305" t="str">
        <f t="shared" si="1142"/>
        <v/>
      </c>
      <c r="R375" s="314"/>
      <c r="S375" s="450" t="str">
        <f t="shared" si="1025"/>
        <v/>
      </c>
      <c r="T375" s="315"/>
      <c r="U375" s="315"/>
      <c r="W375" s="149" t="str">
        <f t="shared" si="1026"/>
        <v xml:space="preserve"> </v>
      </c>
      <c r="X375" s="243" t="str">
        <f t="shared" si="1027"/>
        <v xml:space="preserve"> </v>
      </c>
      <c r="Y375" s="150" t="str">
        <f t="shared" si="1028"/>
        <v/>
      </c>
      <c r="Z375" s="149" t="str">
        <f t="shared" si="1029"/>
        <v xml:space="preserve"> </v>
      </c>
      <c r="AA375" s="98" t="str">
        <f t="shared" si="1030"/>
        <v xml:space="preserve"> </v>
      </c>
      <c r="AB375" s="153" t="str">
        <f t="shared" si="1031"/>
        <v xml:space="preserve"> </v>
      </c>
      <c r="AC375" s="153" t="str">
        <f t="shared" si="1032"/>
        <v xml:space="preserve"> </v>
      </c>
      <c r="AD375" s="148" t="str">
        <f t="shared" si="1033"/>
        <v/>
      </c>
      <c r="AE375" s="149" t="str">
        <f t="shared" si="1034"/>
        <v/>
      </c>
      <c r="AF375" s="151" t="str">
        <f t="shared" si="1035"/>
        <v xml:space="preserve"> </v>
      </c>
      <c r="AG375" s="153" t="str">
        <f t="shared" si="1036"/>
        <v xml:space="preserve"> </v>
      </c>
      <c r="AH375" s="98" t="str">
        <f t="shared" si="1037"/>
        <v xml:space="preserve"> </v>
      </c>
      <c r="AI375" s="149" t="str">
        <f t="shared" si="1038"/>
        <v xml:space="preserve"> </v>
      </c>
      <c r="AK375" s="144" t="str">
        <f t="shared" si="1039"/>
        <v xml:space="preserve"> </v>
      </c>
      <c r="AL375" s="144"/>
      <c r="AM375" s="243" t="str">
        <f t="shared" si="1040"/>
        <v xml:space="preserve"> </v>
      </c>
      <c r="AN375" s="149" t="str">
        <f t="shared" si="1143"/>
        <v xml:space="preserve"> </v>
      </c>
      <c r="AO375" s="144" t="str">
        <f>IF(JB375&gt;0,IF(GI375=10,-R375*1.085*(Calculation!$F$6-Calculation!$F$13)*$S$14," "),"")</f>
        <v/>
      </c>
      <c r="AP375" s="144" t="str">
        <f t="shared" si="1041"/>
        <v/>
      </c>
      <c r="AQ375" s="56" t="str">
        <f t="shared" si="1042"/>
        <v/>
      </c>
      <c r="AR375" s="144" t="str">
        <f t="shared" si="1043"/>
        <v/>
      </c>
      <c r="AS375" s="176" t="str">
        <f t="shared" si="1044"/>
        <v/>
      </c>
      <c r="AT375" s="176" t="str">
        <f t="shared" si="1144"/>
        <v xml:space="preserve"> </v>
      </c>
      <c r="AU375" s="176" t="str">
        <f t="shared" si="1045"/>
        <v/>
      </c>
      <c r="AV375" s="177" t="str">
        <f t="shared" si="1046"/>
        <v xml:space="preserve"> </v>
      </c>
      <c r="AW375" s="144" t="str">
        <f t="shared" si="1047"/>
        <v xml:space="preserve"> </v>
      </c>
      <c r="AX375" s="144" t="str">
        <f t="shared" si="1048"/>
        <v xml:space="preserve"> </v>
      </c>
      <c r="AY375" s="152" t="str">
        <f t="shared" si="1049"/>
        <v xml:space="preserve"> </v>
      </c>
      <c r="AZ375" s="246" t="str">
        <f t="shared" si="1050"/>
        <v/>
      </c>
      <c r="BA375" s="176" t="str">
        <f t="shared" si="1051"/>
        <v xml:space="preserve"> </v>
      </c>
      <c r="BB375" s="176" t="str">
        <f t="shared" si="1052"/>
        <v xml:space="preserve"> </v>
      </c>
      <c r="BC375" s="195"/>
      <c r="BD375" s="316"/>
      <c r="BE375" s="317"/>
      <c r="BF375" s="318"/>
      <c r="BG375" s="318"/>
      <c r="BH375" s="144" t="str">
        <f t="shared" si="1221"/>
        <v xml:space="preserve"> </v>
      </c>
      <c r="BI375" s="176" t="str">
        <f t="shared" si="1053"/>
        <v/>
      </c>
      <c r="BJ375" s="144" t="str">
        <f t="shared" si="1222"/>
        <v/>
      </c>
      <c r="BK375" s="246" t="str">
        <f t="shared" si="1054"/>
        <v/>
      </c>
      <c r="BL375" s="144" t="str">
        <f t="shared" si="1223"/>
        <v/>
      </c>
      <c r="BM375" s="246" t="str">
        <f t="shared" si="1055"/>
        <v/>
      </c>
      <c r="BN375" s="337" t="str">
        <f t="shared" si="1145"/>
        <v/>
      </c>
      <c r="BO375" s="371" t="str">
        <f t="shared" si="1146"/>
        <v/>
      </c>
      <c r="BP375" s="328" t="str">
        <f t="shared" si="1224"/>
        <v xml:space="preserve"> </v>
      </c>
      <c r="BQ375" s="347" t="str">
        <f t="shared" si="1147"/>
        <v xml:space="preserve"> </v>
      </c>
      <c r="BR375" s="353" t="str">
        <f t="shared" si="1148"/>
        <v xml:space="preserve"> </v>
      </c>
      <c r="BS375" s="626" t="str">
        <f>IF(L375&gt;0,IF(Calculation!P375="M13",BR375*3.1416*(0.134^2)/(4*144),IF(Calculation!P375="M17",BR375*3.1416*(0.165^2)/(4*144),IF(Calculation!P375="M20",BR375*3.1416*(0.198^2)/(4*144),IF(Calculation!P375="M23",BR375*3.1416*(0.228^2)/(4*144),IF(Calculation!P375="M27",BR375*3.1416*(0.269^2)/(4*144),BR375*3.1416*(0.307^2)/(4*144))))))," ")</f>
        <v xml:space="preserve"> </v>
      </c>
      <c r="BT375" s="353" t="str">
        <f>IF(L375&gt;0,IF(BS375&gt;0,R375/Calculation!BS375,0)," ")</f>
        <v xml:space="preserve"> </v>
      </c>
      <c r="BU375" s="438" t="e">
        <f t="shared" ca="1" si="1056"/>
        <v>#VALUE!</v>
      </c>
      <c r="BV375" s="449" t="e">
        <f ca="1">INDEX(INDIRECT(VLOOKUP(LEFT(BO375,7),CLU!$Z$3:$AH$18,2)),GN375,GR375)</f>
        <v>#N/A</v>
      </c>
      <c r="BW375" s="433" t="e">
        <f ca="1">INDEX(INDIRECT(VLOOKUP(LEFT(BO375,7),CLU!$Z$3:$AH$18,3)),GN375,GR375)</f>
        <v>#N/A</v>
      </c>
      <c r="BX375" s="433" t="e">
        <f ca="1">INDEX(INDIRECT(VLOOKUP(LEFT(BO375,7),CLU!$Z$3:$AH$18,4)),GN375,GR375)</f>
        <v>#N/A</v>
      </c>
      <c r="BY375" s="433" t="e">
        <f ca="1">INDEX(INDIRECT(VLOOKUP(LEFT(BO375,7),CLU!$Z$3:$AH$18,9)),((M375-2)*(6-COUNTBLANK(GT375:GY375)))+GJ375)</f>
        <v>#N/A</v>
      </c>
      <c r="BZ375" s="426" t="e">
        <f t="shared" ca="1" si="1149"/>
        <v>#N/A</v>
      </c>
      <c r="CA375" s="424" t="e">
        <f t="shared" ca="1" si="1150"/>
        <v>#N/A</v>
      </c>
      <c r="CB375" s="429" t="e">
        <f ca="1">INDEX(INDIRECT(VLOOKUP(LEFT(BO375,7),CLU!$Z$3:$AH$18,2)),GN375,GS375)</f>
        <v>#N/A</v>
      </c>
      <c r="CC375" s="342" t="e">
        <f ca="1">INDEX(INDIRECT(VLOOKUP(LEFT(BO375,7),CLU!$Z$3:$AH$18,3)),GN375,GS375)</f>
        <v>#N/A</v>
      </c>
      <c r="CD375" s="342" t="e">
        <f ca="1">INDEX(INDIRECT(VLOOKUP(LEFT(BO375,7),CLU!$Z$3:$AH$18,4)),GN375,GS375)</f>
        <v>#N/A</v>
      </c>
      <c r="CE375" s="426" t="e">
        <f t="shared" ca="1" si="1151"/>
        <v>#N/A</v>
      </c>
      <c r="CF375" s="440">
        <f t="shared" si="1152"/>
        <v>0</v>
      </c>
      <c r="CG375" s="431" t="e">
        <f ca="1">INDEX(INDIRECT(VLOOKUP(LEFT(BO375,7),CLU!$Z$3:$AH$18,2)),GQ375,GR375)</f>
        <v>#N/A</v>
      </c>
      <c r="CH375" s="431" t="e">
        <f ca="1">INDEX(INDIRECT(VLOOKUP(LEFT(BO375,7),CLU!$Z$3:$AH$18,3)),GQ375,GR375)</f>
        <v>#N/A</v>
      </c>
      <c r="CI375" s="431" t="e">
        <f ca="1">INDEX(INDIRECT(VLOOKUP(LEFT(BO375,7),CLU!$Z$3:$AH$18,4)),GQ375,GR375)</f>
        <v>#N/A</v>
      </c>
      <c r="CJ375" s="448" t="e">
        <f t="shared" ca="1" si="1153"/>
        <v>#N/A</v>
      </c>
      <c r="CK375" s="431" t="e">
        <f t="shared" ca="1" si="1154"/>
        <v>#N/A</v>
      </c>
      <c r="CL375" s="440" t="e">
        <f t="shared" ca="1" si="1155"/>
        <v>#N/A</v>
      </c>
      <c r="CM375" s="431" t="e">
        <f ca="1">INDEX(INDIRECT(VLOOKUP(LEFT(BO375,7),CLU!$Z$3:$AH$18,2)),GQ375,GS375)</f>
        <v>#N/A</v>
      </c>
      <c r="CN375" s="431" t="e">
        <f ca="1">INDEX(INDIRECT(VLOOKUP(LEFT(BO375,7),CLU!$Z$3:$AH$18,3)),GQ375,GS375)</f>
        <v>#N/A</v>
      </c>
      <c r="CO375" s="431" t="e">
        <f ca="1">INDEX(INDIRECT(VLOOKUP(LEFT(BO375,7),CLU!$Z$3:$AH$18,4)),GQ375,GS375)</f>
        <v>#N/A</v>
      </c>
      <c r="CP375" s="431" t="e">
        <f t="shared" ca="1" si="1156"/>
        <v>#N/A</v>
      </c>
      <c r="CQ375" s="440">
        <f t="shared" si="1157"/>
        <v>0</v>
      </c>
      <c r="CR375" s="51" t="e">
        <f t="shared" ca="1" si="1158"/>
        <v>#N/A</v>
      </c>
      <c r="CS375" s="439" t="e">
        <f t="shared" ca="1" si="1159"/>
        <v>#VALUE!</v>
      </c>
      <c r="CT375" s="51" t="e">
        <f t="shared" ca="1" si="1160"/>
        <v>#VALUE!</v>
      </c>
      <c r="CU375" s="10"/>
      <c r="CV375" s="51" t="e">
        <f t="shared" ca="1" si="1057"/>
        <v>#VALUE!</v>
      </c>
      <c r="CW375" s="51">
        <f t="shared" si="1161"/>
        <v>0</v>
      </c>
      <c r="CX375" s="439" t="e">
        <f t="shared" ca="1" si="1162"/>
        <v>#VALUE!</v>
      </c>
      <c r="CY375" s="51" t="e">
        <f t="shared" ca="1" si="1163"/>
        <v>#VALUE!</v>
      </c>
      <c r="CZ375" s="10"/>
      <c r="DA375" s="51" t="e">
        <f t="shared" ca="1" si="1164"/>
        <v>#VALUE!</v>
      </c>
      <c r="DB375" s="347" t="e">
        <f ca="1">INDEX(INDIRECT(VLOOKUP(LEFT(BO375,7),CLU!$Z$3:$AI$18,10)),((M375-2)*(6-COUNTBLANK(GT375:GY375)))+GJ375)*LI375</f>
        <v>#N/A</v>
      </c>
      <c r="DC375" s="347" t="str">
        <f>IF(L375&gt;0,((R375/Worksheet!$I$15)/DB375)^2," ")</f>
        <v xml:space="preserve"> </v>
      </c>
      <c r="DD375" s="602" t="str">
        <f t="shared" si="1165"/>
        <v xml:space="preserve"> </v>
      </c>
      <c r="DE375" s="347" t="str">
        <f t="shared" si="1058"/>
        <v xml:space="preserve"> </v>
      </c>
      <c r="DF375" s="356" t="e">
        <f ca="1">INDEX(INDIRECT(VLOOKUP(LEFT(BO375,7),CLU!$Z$3:$AH$18,8)),((M375-2)*(6-COUNTBLANK(GT375:GY375)))+GJ375)</f>
        <v>#N/A</v>
      </c>
      <c r="DG375" s="347" t="str">
        <f t="shared" si="1059"/>
        <v xml:space="preserve"> </v>
      </c>
      <c r="DH375" s="357" t="str">
        <f t="shared" si="1060"/>
        <v xml:space="preserve"> </v>
      </c>
      <c r="DI375" s="355" t="str">
        <f t="shared" si="1061"/>
        <v xml:space="preserve"> </v>
      </c>
      <c r="DJ375" s="245" t="e">
        <f ca="1">INDEX(INDIRECT(VLOOKUP(LEFT(BO375,7),CLU!$Z$3:$AH$18,5)),GL375,GK375)</f>
        <v>#N/A</v>
      </c>
      <c r="DK375" s="245" t="e">
        <f ca="1">INDEX(INDIRECT(VLOOKUP(LEFT(BO375,7),CLU!$Z$3:$AH$18,6)),GL375,GK375)</f>
        <v>#N/A</v>
      </c>
      <c r="DL375" s="355">
        <f>(Calculation!R375*0.69143*(Calculation!$BQ$8-Calculation!$F$8))*$S$14</f>
        <v>0</v>
      </c>
      <c r="DM375" s="359" t="e">
        <f t="shared" si="1166"/>
        <v>#VALUE!</v>
      </c>
      <c r="DN375" s="611">
        <f t="shared" si="1167"/>
        <v>0</v>
      </c>
      <c r="DO375" s="359">
        <f t="shared" si="1168"/>
        <v>100</v>
      </c>
      <c r="DP375" s="359">
        <f t="shared" si="1169"/>
        <v>0</v>
      </c>
      <c r="DQ375" s="360"/>
      <c r="DR375" s="245" t="e">
        <f ca="1">INDEX(INDIRECT(VLOOKUP(LEFT(BO375,7),CLU!$Z$3:$AH$18,7)),M375-1,1)</f>
        <v>#N/A</v>
      </c>
      <c r="DS375" s="245" t="e">
        <f ca="1">INDEX(INDIRECT(VLOOKUP(LEFT(BO375,7),CLU!$Z$3:$AH$18,7)),M375-1,2)</f>
        <v>#N/A</v>
      </c>
      <c r="DT375" s="245" t="e">
        <f ca="1">INDEX(INDIRECT(VLOOKUP(LEFT(BO375,7),CLU!$Z$3:$AH$18,7)),M375-1,3)</f>
        <v>#N/A</v>
      </c>
      <c r="DU375" s="245" t="e">
        <f ca="1">INDEX(INDIRECT(VLOOKUP(LEFT(BO375,7),CLU!$Z$3:$AH$18,7)),M375-1,4)</f>
        <v>#N/A</v>
      </c>
      <c r="DV375" s="361" t="e">
        <f ca="1">INDEX(INDIRECT(VLOOKUP(LEFT(BO375,7),CLU!$Z$3:$AH$18,7)),M375-1,4+LEFT(DZ375,1)*0.5)</f>
        <v>#N/A</v>
      </c>
      <c r="DW375" s="245" t="e">
        <f ca="1">INDEX(INDIRECT(VLOOKUP(LEFT(BO375,7),CLU!$Z$3:$AH$18,7)),M375-1,8)</f>
        <v>#N/A</v>
      </c>
      <c r="DX375" s="361" t="str">
        <f t="shared" si="1062"/>
        <v xml:space="preserve"> </v>
      </c>
      <c r="DY375" s="361" t="str">
        <f t="shared" si="1063"/>
        <v xml:space="preserve"> </v>
      </c>
      <c r="DZ375" s="361" t="str">
        <f t="shared" si="1064"/>
        <v xml:space="preserve"> </v>
      </c>
      <c r="EA375" s="362" t="str">
        <f t="shared" si="1065"/>
        <v xml:space="preserve"> </v>
      </c>
      <c r="EB375" s="624" t="str">
        <f t="shared" si="1170"/>
        <v xml:space="preserve"> </v>
      </c>
      <c r="EC375" s="361" t="e">
        <f ca="1">INDEX(INDIRECT(VLOOKUP(LEFT(BO375,7),CLU!$Z$3:$AH$18,7)),M375-1,4+LEFT(DZ375,1)*0.5)</f>
        <v>#N/A</v>
      </c>
      <c r="ED375" s="362" t="str">
        <f t="shared" si="1066"/>
        <v xml:space="preserve"> </v>
      </c>
      <c r="EE375" s="361" t="str">
        <f t="shared" si="1067"/>
        <v xml:space="preserve"> </v>
      </c>
      <c r="EF375" s="362" t="str">
        <f>IF(L375&gt;0,IF(BR375&gt;0,IF(EE375="2P",IF(Calculation!DZ375="2P",IF(Calculation!DS375=13.75,IF(Calculation!DR375=13,Worksheet!$BD$43,IF(Calculation!DR375=37,Worksheet!$BD$44,Worksheet!$BD$45)),IF(Calculation!DS375=10,IF(Calculation!DR375=18,Worksheet!$BD$29,IF(Calculation!DR375=30,Worksheet!$BD$30,IF(Calculation!DR375=42,Worksheet!$BD$31,IF(Calculation!DR375=54,Worksheet!$BD$32,IF(Calculation!DR375=66,Worksheet!$BD$33,IF(Calculation!DR375=78,Worksheet!$BD$34,IF(Calculation!DR375=90,Worksheet!$BD$35,IF(Calculation!DR375=102,Worksheet!$BD$36,Worksheet!$BD$37)))))))),IF(Calculation!DS375=12.5,IF(Calculation!DR375=18,Worksheet!$BD$38,IF(Calculation!DR375=Worksheet!$BD$39,IF(Calculation!DR375=42,Worksheet!$BD$40,IF(Calculation!DR375=54,Worksheet!$BD$41,Worksheet!$BD$42)))),IF(Calculation!DR375=18,Worksheet!$BD$11,IF(Calculation!DR375=30,Worksheet!$BD$12,IF(Calculation!DR375=42,Worksheet!$BD$13,IF(Calculation!DR375=54,Worksheet!$BD$14,IF(Calculation!DR375=66,Worksheet!$BD$15,IF(Calculation!DR375=78,Worksheet!$BD$16,IF(Calculation!DR375=90,Worksheet!$BD$17,IF(Calculation!DR375=102,Worksheet!$BD$18,Worksheet!$BD$19))))))))))),IF(Calculation!DS375=13.75,IF(Calculation!DR375=13,Worksheet!$BD$78,IF(Calculation!DR375=37,Worksheet!$BD$79,Worksheet!$BD$80)),IF(Calculation!DS375=10,IF(Calculation!DR375=18,Worksheet!$BD$64,IF(Calculation!DR375=30,Worksheet!$BD$65,IF(Calculation!DR375=42,Worksheet!$BD$66,IF(Calculation!DR375=54,Worksheet!$BD$68,IF(Calculation!DR375=66,Worksheet!$BD$68,IF(Calculation!DR375=78,Worksheet!$BD$69,IF(Calculation!DR375=90,Worksheet!$BD$70,IF(Calculation!DR375=102,Worksheet!$BD$71,Worksheet!$BD$72)))))))),IF(Calculation!DS375=12.5,IF(Calculation!DR375=18,Worksheet!$BD$73,IF(Calculation!DR375=Worksheet!$BD$74,IF(Calculation!DR375=42,Worksheet!$BD$75,IF(Calculation!DR375=54,Worksheet!$BD$76,Worksheet!$BD$77)))),IF(Calculation!DR375=18,Worksheet!$BD$55,IF(Calculation!DR375=30,Worksheet!$BD$56,IF(Calculation!DR375=42,Worksheet!$BD$57,IF(Calculation!DR375=54,Worksheet!$BD$58,IF(Calculation!DR375=66,Worksheet!$BD$59,IF(Calculation!DR375=78,Worksheet!$BD$60,IF(Calculation!DR375=90,Worksheet!$BD$61,IF(Calculation!DR375=102,Worksheet!$BD$62,Worksheet!$BD$63)))))))))))),5),0)," ")</f>
        <v xml:space="preserve"> </v>
      </c>
      <c r="EG375" s="361" t="str">
        <f t="shared" si="1068"/>
        <v xml:space="preserve"> </v>
      </c>
      <c r="EH375" s="361" t="e">
        <f ca="1">INDEX(INDIRECT(VLOOKUP(LEFT(BO375,7),CLU!$Z$3:$AH$18,7)),M375-1,3+LEFT(DZ375,1))</f>
        <v>#N/A</v>
      </c>
      <c r="EI375" s="362" t="str">
        <f t="shared" si="1069"/>
        <v xml:space="preserve"> </v>
      </c>
      <c r="EJ375" s="363" t="str">
        <f t="shared" si="1070"/>
        <v xml:space="preserve"> </v>
      </c>
      <c r="EK375" s="363" t="str">
        <f t="shared" si="1071"/>
        <v xml:space="preserve"> </v>
      </c>
      <c r="EL375" s="363" t="str">
        <f t="shared" si="1072"/>
        <v xml:space="preserve"> </v>
      </c>
      <c r="EM375" s="362" t="str">
        <f>IF(L375&gt;0,IF(BR375&gt;0,(Calculation!T375/ED375)^2,0)," ")</f>
        <v xml:space="preserve"> </v>
      </c>
      <c r="EN375" s="362" t="str">
        <f>IF(L375&gt;0,IF(O375="2 Pipe (Cooling)","N/A",IF(BR375&gt;0,(Calculation!U375/EI375)^2,0))," ")</f>
        <v xml:space="preserve"> </v>
      </c>
      <c r="EO375" s="361" t="str">
        <f t="shared" si="1073"/>
        <v/>
      </c>
      <c r="EP375" s="361" t="str">
        <f t="shared" si="1074"/>
        <v/>
      </c>
      <c r="EQ375" s="361" t="str">
        <f t="shared" si="1075"/>
        <v/>
      </c>
      <c r="ER375" s="361" t="str">
        <f t="shared" si="1076"/>
        <v/>
      </c>
      <c r="ES375" s="361" t="str">
        <f t="shared" si="1077"/>
        <v/>
      </c>
      <c r="ET375" s="361" t="str">
        <f t="shared" si="1078"/>
        <v/>
      </c>
      <c r="EU375" s="361" t="str">
        <f t="shared" si="1079"/>
        <v/>
      </c>
      <c r="EV375" s="361" t="str">
        <f t="shared" si="1080"/>
        <v/>
      </c>
      <c r="EW375" s="361" t="str">
        <f t="shared" si="1081"/>
        <v/>
      </c>
      <c r="EX375" s="361" t="str">
        <f t="shared" si="1171"/>
        <v>1 slot, 1 way</v>
      </c>
      <c r="EY375" s="361" t="str">
        <f t="shared" si="1172"/>
        <v xml:space="preserve"> </v>
      </c>
      <c r="EZ375" s="361" t="str">
        <f t="shared" si="1173"/>
        <v xml:space="preserve"> </v>
      </c>
      <c r="FA375" s="361" t="str">
        <f t="shared" si="1174"/>
        <v xml:space="preserve"> </v>
      </c>
      <c r="FB375" s="361" t="str">
        <f t="shared" si="1175"/>
        <v xml:space="preserve"> </v>
      </c>
      <c r="FC375" s="361"/>
      <c r="FD375" s="361" t="str">
        <f>IF(J375&gt;0,IF(Calculation!R375&lt;=70,4,IF(Calculation!R375&lt;=110,5,IF(Calculation!R375&lt;=160,6,IF(Calculation!R375&lt;=300,8,"10 EO")))),"")</f>
        <v/>
      </c>
      <c r="FE375" s="361" t="str">
        <f t="shared" si="1176"/>
        <v/>
      </c>
      <c r="FF375" s="361" t="str">
        <f t="shared" si="1177"/>
        <v/>
      </c>
      <c r="FG375" s="361" t="e">
        <f t="shared" si="1082"/>
        <v>#N/A</v>
      </c>
      <c r="FH375" s="361">
        <f t="shared" si="1083"/>
        <v>0</v>
      </c>
      <c r="FI375" s="361" t="e">
        <f t="shared" si="1084"/>
        <v>#DIV/0!</v>
      </c>
      <c r="FJ375" s="361"/>
      <c r="FK375" s="356" t="e">
        <f t="shared" si="1085"/>
        <v>#VALUE!</v>
      </c>
      <c r="FL375" s="361"/>
      <c r="FM375" s="361"/>
      <c r="FN375" s="362" t="str">
        <f t="shared" si="1178"/>
        <v xml:space="preserve"> </v>
      </c>
      <c r="FO375" s="362" t="str">
        <f t="shared" si="1179"/>
        <v xml:space="preserve"> </v>
      </c>
      <c r="FP375" s="362">
        <f t="shared" si="1180"/>
        <v>0</v>
      </c>
      <c r="FQ375" s="361">
        <f t="shared" si="1086"/>
        <v>0</v>
      </c>
      <c r="FR375" s="362" t="str">
        <f>IF(L375&gt;0,IF(J375="CBAL2",Worksheet!$P$67,IF(J375="CBE2-24",Worksheet!$Q$67,IF(J375="CBAM",Worksheet!$R$67,IF(J375="CBLV",Worksheet!$S$67,IF(J375="CBAB",Worksheet!$U$67,IF(J375="CBAW",Worksheet!$X$67,IF(J375="CBE2-12",Worksheet!$Y$67,IF(J375="CBAL2",Worksheet!$Z$67,"N/A"))))))))," ")</f>
        <v xml:space="preserve"> </v>
      </c>
      <c r="FS375" s="362" t="str">
        <f>IF(L375&gt;0,IF(J375="CBAL2",Worksheet!$P$68,IF(J375="CBE2-24",Worksheet!$Q$68,IF(J375="CBAM",Worksheet!$R$68,IF(J375="CBLV",Worksheet!$S$68,IF(J375="CBAB",Worksheet!$U$68,IF(J375="CBAW",Worksheet!$X$68,IF(J375="CBE2-12",Worksheet!$Y$68,IF(J375="CBAL2",Worksheet!$Z$68,"N/A"))))))))," ")</f>
        <v xml:space="preserve"> </v>
      </c>
      <c r="FT375" s="362" t="str">
        <f>IF(L375&gt;0,IF(J375="CBAL2",Worksheet!$P$69,IF(J375="CBE2-24",Worksheet!$Q$69,IF(J375="CBAM",Worksheet!$R$69,IF(J375="CBLV",Worksheet!$S$69,IF(J375="CBAB",Worksheet!$U$69,IF(J375="CBAW",Worksheet!$X$69,IF(J375="CBE2-12",Worksheet!$Y$69,IF(J375="CBAL2",Worksheet!$Z$69,"N/A"))))))))," ")</f>
        <v xml:space="preserve"> </v>
      </c>
      <c r="FU375" s="361" t="str">
        <f t="shared" si="1181"/>
        <v xml:space="preserve"> </v>
      </c>
      <c r="FV375" s="362" t="str">
        <f t="shared" si="1182"/>
        <v xml:space="preserve"> </v>
      </c>
      <c r="FW375" s="362" t="str">
        <f t="shared" si="1183"/>
        <v xml:space="preserve"> </v>
      </c>
      <c r="FX375" s="362" t="str">
        <f t="shared" si="1184"/>
        <v xml:space="preserve"> </v>
      </c>
      <c r="FY375" s="355" t="str">
        <f t="shared" si="1185"/>
        <v xml:space="preserve"> </v>
      </c>
      <c r="FZ375" s="361" t="str">
        <f t="shared" si="1186"/>
        <v xml:space="preserve"> </v>
      </c>
      <c r="GA375" s="347" t="str">
        <f t="shared" si="1187"/>
        <v xml:space="preserve"> </v>
      </c>
      <c r="GB375" s="355" t="str">
        <f t="shared" si="1188"/>
        <v xml:space="preserve"> </v>
      </c>
      <c r="GC375" s="328" t="str">
        <f t="shared" si="1189"/>
        <v xml:space="preserve"> </v>
      </c>
      <c r="GD375" s="361" t="str">
        <f t="shared" si="1190"/>
        <v xml:space="preserve"> </v>
      </c>
      <c r="GE375" s="347" t="str">
        <f t="shared" si="1191"/>
        <v xml:space="preserve"> </v>
      </c>
      <c r="GF375" s="361" t="str">
        <f t="shared" si="1192"/>
        <v xml:space="preserve"> </v>
      </c>
      <c r="GG375" s="347" t="str">
        <f t="shared" si="1193"/>
        <v xml:space="preserve"> </v>
      </c>
      <c r="GH375" s="364">
        <f t="shared" si="1087"/>
        <v>0</v>
      </c>
      <c r="GI375" s="362">
        <f t="shared" si="1194"/>
        <v>2</v>
      </c>
      <c r="GJ375" s="433" t="e">
        <f>IF(6-COUNTBLANK(GT375:GY375)=4,MATCH(MID(BO375,9,3),CLU!$H$16:$K$16),MATCH(MID(BO375,9,3),CLU!$H$13:$M$13))</f>
        <v>#N/A</v>
      </c>
      <c r="GK375" s="433" t="e">
        <f>HLOOKUP(VALUE(BP375),CLU!$H$9:$M$10,2)</f>
        <v>#VALUE!</v>
      </c>
      <c r="GL375" s="433" t="e">
        <f ca="1">MATCH(BU375,CLU!$H$2:$V$2,1)</f>
        <v>#VALUE!</v>
      </c>
      <c r="GM375" s="433" t="e">
        <f t="shared" ca="1" si="1195"/>
        <v>#VALUE!</v>
      </c>
      <c r="GN375" s="433" t="e">
        <f t="shared" ca="1" si="1196"/>
        <v>#VALUE!</v>
      </c>
      <c r="GO375" s="433" t="e">
        <f t="shared" ca="1" si="1197"/>
        <v>#VALUE!</v>
      </c>
      <c r="GP375" s="433" t="e">
        <f t="shared" ca="1" si="1198"/>
        <v>#VALUE!</v>
      </c>
      <c r="GQ375" s="433" t="e">
        <f t="shared" ca="1" si="1199"/>
        <v>#VALUE!</v>
      </c>
      <c r="GR375" s="433" t="e">
        <f ca="1">MATCH(T375,INDIRECT(VLOOKUP(CONCATENATE(LEFT(BO375,7),"-",MID(BO375,13,1)),CLU!$P$3:$Q$16,2)),1)</f>
        <v>#N/A</v>
      </c>
      <c r="GS375" s="433" t="e">
        <f ca="1">MATCH(U375,INDIRECT(VLOOKUP(CONCATENATE(LEFT(BO375,7),"-",MID(BO375,13,1)),CLU!$P$3:$Q$16,2)),1)</f>
        <v>#N/A</v>
      </c>
      <c r="GT375" s="347" t="s">
        <v>512</v>
      </c>
      <c r="GU375" s="97" t="s">
        <v>513</v>
      </c>
      <c r="GV375" s="97" t="str">
        <f t="shared" si="1200"/>
        <v>M23</v>
      </c>
      <c r="GW375" s="97" t="str">
        <f t="shared" si="1201"/>
        <v>M31</v>
      </c>
      <c r="GX375" s="97" t="str">
        <f t="shared" si="1202"/>
        <v/>
      </c>
      <c r="GY375" s="97" t="str">
        <f t="shared" si="1203"/>
        <v/>
      </c>
      <c r="GZ375" s="481"/>
      <c r="HA375" s="240"/>
      <c r="HB375" s="240"/>
      <c r="HC375" s="240"/>
      <c r="HD375" s="240"/>
      <c r="HE375" s="240"/>
      <c r="HF375" s="240"/>
      <c r="HG375" s="240"/>
      <c r="HH375" s="240"/>
      <c r="HI375" s="240"/>
      <c r="HJ375" s="240"/>
      <c r="HK375" s="240"/>
      <c r="HL375" s="240"/>
      <c r="HM375" s="240"/>
      <c r="HN375" s="240"/>
      <c r="HO375" s="240"/>
      <c r="HP375" s="240"/>
      <c r="HQ375" s="240"/>
      <c r="HR375" s="240"/>
      <c r="HS375" s="240"/>
      <c r="HT375" s="240"/>
      <c r="HU375" s="240"/>
      <c r="HV375" s="245"/>
      <c r="HW375" s="245" t="b">
        <v>1</v>
      </c>
      <c r="HX375" s="245" t="str">
        <f t="shared" si="1088"/>
        <v/>
      </c>
      <c r="HY375" s="245" t="e">
        <f t="shared" si="1089"/>
        <v>#DIV/0!</v>
      </c>
      <c r="HZ375" s="245" t="e">
        <f t="shared" si="1090"/>
        <v>#DIV/0!</v>
      </c>
      <c r="IA375" s="245">
        <f t="shared" si="1091"/>
        <v>0</v>
      </c>
      <c r="IB375" s="245"/>
      <c r="IC375" t="b">
        <f t="shared" si="1092"/>
        <v>1</v>
      </c>
      <c r="ID375" s="245" t="b">
        <f t="shared" si="1093"/>
        <v>1</v>
      </c>
      <c r="IE375" s="245" t="b">
        <f t="shared" si="1094"/>
        <v>1</v>
      </c>
      <c r="IF375" s="245" t="b">
        <f t="shared" si="1095"/>
        <v>0</v>
      </c>
      <c r="IG375" s="245" t="b">
        <f t="shared" si="1096"/>
        <v>1</v>
      </c>
      <c r="IH375" s="245" t="b">
        <f t="shared" si="1097"/>
        <v>1</v>
      </c>
      <c r="II375" s="245">
        <f t="shared" si="1204"/>
        <v>0</v>
      </c>
      <c r="IJ375" s="245" t="e">
        <f t="shared" si="1098"/>
        <v>#VALUE!</v>
      </c>
      <c r="IK375" s="245" t="e">
        <f t="shared" si="1099"/>
        <v>#VALUE!</v>
      </c>
      <c r="IL375" s="245"/>
      <c r="IM375" s="245" t="e">
        <f t="shared" si="1205"/>
        <v>#N/A</v>
      </c>
      <c r="IN375" s="245" t="e">
        <f t="shared" si="1206"/>
        <v>#N/A</v>
      </c>
      <c r="IO375" s="245"/>
      <c r="IP375" s="245"/>
      <c r="IQ375" s="245" t="str">
        <f t="shared" si="1100"/>
        <v/>
      </c>
      <c r="IR375" s="245" t="str">
        <f>IF(J375="","",VLOOKUP(J375,Worksheet!$R$4:$T$14,2))</f>
        <v/>
      </c>
      <c r="IS375" s="245"/>
      <c r="IT375" s="245">
        <f t="shared" si="1101"/>
        <v>0</v>
      </c>
      <c r="IU375" s="245">
        <f t="shared" si="1102"/>
        <v>0</v>
      </c>
      <c r="IV375" s="245">
        <f t="shared" si="1103"/>
        <v>0</v>
      </c>
      <c r="IW375" s="245">
        <f t="shared" si="1104"/>
        <v>0</v>
      </c>
      <c r="IX375" s="245">
        <f t="shared" si="1207"/>
        <v>0</v>
      </c>
      <c r="IY375" s="245">
        <f t="shared" si="1105"/>
        <v>0</v>
      </c>
      <c r="IZ375" s="245">
        <f t="shared" si="1106"/>
        <v>0</v>
      </c>
      <c r="JA375">
        <f t="shared" si="1107"/>
        <v>0</v>
      </c>
      <c r="JB375">
        <f t="shared" si="1208"/>
        <v>0</v>
      </c>
      <c r="JC375">
        <f t="shared" si="1108"/>
        <v>0</v>
      </c>
      <c r="JD375">
        <f t="shared" si="1109"/>
        <v>0</v>
      </c>
      <c r="JE375">
        <f t="shared" si="1110"/>
        <v>0</v>
      </c>
      <c r="JF375">
        <f t="shared" si="1111"/>
        <v>0</v>
      </c>
      <c r="JG375">
        <f t="shared" si="1112"/>
        <v>0</v>
      </c>
      <c r="JH375">
        <f t="shared" si="1113"/>
        <v>0</v>
      </c>
      <c r="JI375">
        <f t="shared" si="1114"/>
        <v>0</v>
      </c>
      <c r="JJ375" s="447">
        <f t="shared" si="1115"/>
        <v>0</v>
      </c>
      <c r="JK375" s="447">
        <f t="shared" si="1116"/>
        <v>0</v>
      </c>
      <c r="JL375">
        <f t="shared" si="1117"/>
        <v>0</v>
      </c>
      <c r="JM375" s="245" t="str">
        <f>IFERROR(VLOOKUP(MATCH(BN375,#REF!,0),#REF!,7),"")</f>
        <v/>
      </c>
      <c r="JN375" t="e">
        <f>HLOOKUP(LEFT(BO375,7),Discharge_Area,MATCH(JO375,LookUps!$B$130:$B$149,1)+2)</f>
        <v>#N/A</v>
      </c>
      <c r="JO375" t="str">
        <f t="shared" si="1118"/>
        <v>- S</v>
      </c>
      <c r="JP375" t="e">
        <f>HLOOKUP(LEFT(BO375,7),Discharge_Area,MATCH(JO375,LookUps!$B$130:$B$149,1)+2)</f>
        <v>#N/A</v>
      </c>
      <c r="JQ375" t="e">
        <f t="shared" si="1119"/>
        <v>#N/A</v>
      </c>
      <c r="JR375" t="e">
        <f t="shared" si="1120"/>
        <v>#N/A</v>
      </c>
      <c r="JS375" t="e">
        <f t="shared" si="1121"/>
        <v>#N/A</v>
      </c>
      <c r="JT375" s="532" t="str">
        <f t="shared" si="1122"/>
        <v xml:space="preserve"> </v>
      </c>
      <c r="JU375" s="532" t="str">
        <f t="shared" si="1123"/>
        <v xml:space="preserve"> </v>
      </c>
      <c r="JV375" s="533" t="str">
        <f t="shared" si="1124"/>
        <v xml:space="preserve"> </v>
      </c>
      <c r="JW375" s="534">
        <f t="shared" si="1125"/>
        <v>0</v>
      </c>
      <c r="JX375" s="535" t="str">
        <f t="shared" si="1209"/>
        <v xml:space="preserve"> </v>
      </c>
      <c r="JY375" s="535" t="str">
        <f t="shared" si="1210"/>
        <v xml:space="preserve"> </v>
      </c>
      <c r="JZ375" s="535" t="str">
        <f t="shared" si="1211"/>
        <v xml:space="preserve"> </v>
      </c>
      <c r="KA375" s="536" t="str">
        <f t="shared" si="1126"/>
        <v xml:space="preserve"> </v>
      </c>
      <c r="KB375" s="535" t="e">
        <f t="shared" si="1212"/>
        <v>#VALUE!</v>
      </c>
      <c r="KC375" s="535" t="str">
        <f t="shared" si="1127"/>
        <v/>
      </c>
      <c r="KD375" s="537" t="str">
        <f t="shared" si="1213"/>
        <v xml:space="preserve"> </v>
      </c>
      <c r="KE375" s="537" t="str">
        <f t="shared" si="1214"/>
        <v xml:space="preserve"> </v>
      </c>
      <c r="KF375" s="534">
        <f t="shared" si="1128"/>
        <v>0</v>
      </c>
      <c r="KG375" s="535" t="str">
        <f t="shared" si="1129"/>
        <v xml:space="preserve"> </v>
      </c>
      <c r="KH375" s="535" t="str">
        <f t="shared" si="1130"/>
        <v xml:space="preserve"> </v>
      </c>
      <c r="KI375" s="535" t="str">
        <f t="shared" si="1131"/>
        <v xml:space="preserve"> </v>
      </c>
      <c r="KJ375" s="536" t="str">
        <f t="shared" si="1132"/>
        <v xml:space="preserve"> </v>
      </c>
      <c r="KK375" s="535" t="str">
        <f t="shared" si="1215"/>
        <v xml:space="preserve"> </v>
      </c>
      <c r="KL375" s="535" t="str">
        <f t="shared" si="1216"/>
        <v xml:space="preserve"> </v>
      </c>
      <c r="KM375" s="537" t="str">
        <f t="shared" si="1133"/>
        <v xml:space="preserve"> </v>
      </c>
      <c r="KN375" s="537" t="str">
        <f t="shared" si="1217"/>
        <v xml:space="preserve"> </v>
      </c>
      <c r="KP375">
        <f t="shared" si="1134"/>
        <v>0</v>
      </c>
      <c r="LA375" t="e">
        <f t="shared" si="1135"/>
        <v>#VALUE!</v>
      </c>
      <c r="LB375" t="e">
        <f t="shared" si="1136"/>
        <v>#VALUE!</v>
      </c>
      <c r="LC375" t="e">
        <f t="shared" si="1137"/>
        <v>#VALUE!</v>
      </c>
      <c r="LD375" t="e">
        <f t="shared" si="1138"/>
        <v>#VALUE!</v>
      </c>
      <c r="LE375" t="e">
        <f t="shared" si="1218"/>
        <v>#VALUE!</v>
      </c>
      <c r="LF375">
        <f t="shared" si="1139"/>
        <v>0</v>
      </c>
      <c r="LG375" t="e">
        <f t="shared" si="1219"/>
        <v>#VALUE!</v>
      </c>
      <c r="LH375" t="str">
        <f t="shared" si="1140"/>
        <v xml:space="preserve"> </v>
      </c>
      <c r="LI375">
        <f t="shared" si="1220"/>
        <v>1</v>
      </c>
    </row>
    <row r="376" spans="2:321" ht="15" customHeight="1">
      <c r="B376" s="311"/>
      <c r="C376" s="311"/>
      <c r="D376" s="312"/>
      <c r="E376" s="311"/>
      <c r="F376" s="312"/>
      <c r="G376" s="311"/>
      <c r="H376" s="311"/>
      <c r="I376" s="232"/>
      <c r="J376" s="311"/>
      <c r="K376" s="305" t="str">
        <f t="shared" si="1141"/>
        <v/>
      </c>
      <c r="L376" s="313"/>
      <c r="M376" s="312"/>
      <c r="N376" s="311"/>
      <c r="O376" s="312"/>
      <c r="P376" s="311"/>
      <c r="Q376" s="305" t="str">
        <f t="shared" si="1142"/>
        <v/>
      </c>
      <c r="R376" s="314"/>
      <c r="S376" s="450" t="str">
        <f t="shared" si="1025"/>
        <v/>
      </c>
      <c r="T376" s="315"/>
      <c r="U376" s="315"/>
      <c r="W376" s="149" t="str">
        <f t="shared" si="1026"/>
        <v xml:space="preserve"> </v>
      </c>
      <c r="X376" s="243" t="str">
        <f t="shared" si="1027"/>
        <v xml:space="preserve"> </v>
      </c>
      <c r="Y376" s="150" t="str">
        <f t="shared" si="1028"/>
        <v/>
      </c>
      <c r="Z376" s="149" t="str">
        <f t="shared" si="1029"/>
        <v xml:space="preserve"> </v>
      </c>
      <c r="AA376" s="98" t="str">
        <f t="shared" si="1030"/>
        <v xml:space="preserve"> </v>
      </c>
      <c r="AB376" s="153" t="str">
        <f t="shared" si="1031"/>
        <v xml:space="preserve"> </v>
      </c>
      <c r="AC376" s="153" t="str">
        <f t="shared" si="1032"/>
        <v xml:space="preserve"> </v>
      </c>
      <c r="AD376" s="148" t="str">
        <f t="shared" si="1033"/>
        <v/>
      </c>
      <c r="AE376" s="149" t="str">
        <f t="shared" si="1034"/>
        <v/>
      </c>
      <c r="AF376" s="151" t="str">
        <f t="shared" si="1035"/>
        <v xml:space="preserve"> </v>
      </c>
      <c r="AG376" s="153" t="str">
        <f t="shared" si="1036"/>
        <v xml:space="preserve"> </v>
      </c>
      <c r="AH376" s="98" t="str">
        <f t="shared" si="1037"/>
        <v xml:space="preserve"> </v>
      </c>
      <c r="AI376" s="149" t="str">
        <f t="shared" si="1038"/>
        <v xml:space="preserve"> </v>
      </c>
      <c r="AK376" s="144" t="str">
        <f t="shared" si="1039"/>
        <v xml:space="preserve"> </v>
      </c>
      <c r="AL376" s="144"/>
      <c r="AM376" s="243" t="str">
        <f t="shared" si="1040"/>
        <v xml:space="preserve"> </v>
      </c>
      <c r="AN376" s="149" t="str">
        <f t="shared" si="1143"/>
        <v xml:space="preserve"> </v>
      </c>
      <c r="AO376" s="144" t="str">
        <f>IF(JB376&gt;0,IF(GI376=10,-R376*1.085*(Calculation!$F$6-Calculation!$F$13)*$S$14," "),"")</f>
        <v/>
      </c>
      <c r="AP376" s="144" t="str">
        <f t="shared" si="1041"/>
        <v/>
      </c>
      <c r="AQ376" s="56" t="str">
        <f t="shared" si="1042"/>
        <v/>
      </c>
      <c r="AR376" s="144" t="str">
        <f t="shared" si="1043"/>
        <v/>
      </c>
      <c r="AS376" s="176" t="str">
        <f t="shared" si="1044"/>
        <v/>
      </c>
      <c r="AT376" s="176" t="str">
        <f t="shared" si="1144"/>
        <v xml:space="preserve"> </v>
      </c>
      <c r="AU376" s="176" t="str">
        <f t="shared" si="1045"/>
        <v/>
      </c>
      <c r="AV376" s="177" t="str">
        <f t="shared" si="1046"/>
        <v xml:space="preserve"> </v>
      </c>
      <c r="AW376" s="144" t="str">
        <f t="shared" si="1047"/>
        <v xml:space="preserve"> </v>
      </c>
      <c r="AX376" s="144" t="str">
        <f t="shared" si="1048"/>
        <v xml:space="preserve"> </v>
      </c>
      <c r="AY376" s="152" t="str">
        <f t="shared" si="1049"/>
        <v xml:space="preserve"> </v>
      </c>
      <c r="AZ376" s="246" t="str">
        <f t="shared" si="1050"/>
        <v/>
      </c>
      <c r="BA376" s="176" t="str">
        <f t="shared" si="1051"/>
        <v xml:space="preserve"> </v>
      </c>
      <c r="BB376" s="176" t="str">
        <f t="shared" si="1052"/>
        <v xml:space="preserve"> </v>
      </c>
      <c r="BC376" s="195"/>
      <c r="BD376" s="316"/>
      <c r="BE376" s="317"/>
      <c r="BF376" s="318"/>
      <c r="BG376" s="318"/>
      <c r="BH376" s="144" t="str">
        <f t="shared" si="1221"/>
        <v xml:space="preserve"> </v>
      </c>
      <c r="BI376" s="176" t="str">
        <f t="shared" si="1053"/>
        <v/>
      </c>
      <c r="BJ376" s="144" t="str">
        <f t="shared" si="1222"/>
        <v/>
      </c>
      <c r="BK376" s="246" t="str">
        <f t="shared" si="1054"/>
        <v/>
      </c>
      <c r="BL376" s="144" t="str">
        <f t="shared" si="1223"/>
        <v/>
      </c>
      <c r="BM376" s="246" t="str">
        <f t="shared" si="1055"/>
        <v/>
      </c>
      <c r="BN376" s="337" t="str">
        <f t="shared" si="1145"/>
        <v/>
      </c>
      <c r="BO376" s="371" t="str">
        <f t="shared" si="1146"/>
        <v/>
      </c>
      <c r="BP376" s="328" t="str">
        <f t="shared" si="1224"/>
        <v xml:space="preserve"> </v>
      </c>
      <c r="BQ376" s="347" t="str">
        <f t="shared" si="1147"/>
        <v xml:space="preserve"> </v>
      </c>
      <c r="BR376" s="353" t="str">
        <f t="shared" si="1148"/>
        <v xml:space="preserve"> </v>
      </c>
      <c r="BS376" s="626" t="str">
        <f>IF(L376&gt;0,IF(Calculation!P376="M13",BR376*3.1416*(0.134^2)/(4*144),IF(Calculation!P376="M17",BR376*3.1416*(0.165^2)/(4*144),IF(Calculation!P376="M20",BR376*3.1416*(0.198^2)/(4*144),IF(Calculation!P376="M23",BR376*3.1416*(0.228^2)/(4*144),IF(Calculation!P376="M27",BR376*3.1416*(0.269^2)/(4*144),BR376*3.1416*(0.307^2)/(4*144))))))," ")</f>
        <v xml:space="preserve"> </v>
      </c>
      <c r="BT376" s="353" t="str">
        <f>IF(L376&gt;0,IF(BS376&gt;0,R376/Calculation!BS376,0)," ")</f>
        <v xml:space="preserve"> </v>
      </c>
      <c r="BU376" s="438" t="e">
        <f t="shared" ca="1" si="1056"/>
        <v>#VALUE!</v>
      </c>
      <c r="BV376" s="449" t="e">
        <f ca="1">INDEX(INDIRECT(VLOOKUP(LEFT(BO376,7),CLU!$Z$3:$AH$18,2)),GN376,GR376)</f>
        <v>#N/A</v>
      </c>
      <c r="BW376" s="433" t="e">
        <f ca="1">INDEX(INDIRECT(VLOOKUP(LEFT(BO376,7),CLU!$Z$3:$AH$18,3)),GN376,GR376)</f>
        <v>#N/A</v>
      </c>
      <c r="BX376" s="433" t="e">
        <f ca="1">INDEX(INDIRECT(VLOOKUP(LEFT(BO376,7),CLU!$Z$3:$AH$18,4)),GN376,GR376)</f>
        <v>#N/A</v>
      </c>
      <c r="BY376" s="433" t="e">
        <f ca="1">INDEX(INDIRECT(VLOOKUP(LEFT(BO376,7),CLU!$Z$3:$AH$18,9)),((M376-2)*(6-COUNTBLANK(GT376:GY376)))+GJ376)</f>
        <v>#N/A</v>
      </c>
      <c r="BZ376" s="426" t="e">
        <f t="shared" ca="1" si="1149"/>
        <v>#N/A</v>
      </c>
      <c r="CA376" s="424" t="e">
        <f t="shared" ca="1" si="1150"/>
        <v>#N/A</v>
      </c>
      <c r="CB376" s="429" t="e">
        <f ca="1">INDEX(INDIRECT(VLOOKUP(LEFT(BO376,7),CLU!$Z$3:$AH$18,2)),GN376,GS376)</f>
        <v>#N/A</v>
      </c>
      <c r="CC376" s="342" t="e">
        <f ca="1">INDEX(INDIRECT(VLOOKUP(LEFT(BO376,7),CLU!$Z$3:$AH$18,3)),GN376,GS376)</f>
        <v>#N/A</v>
      </c>
      <c r="CD376" s="342" t="e">
        <f ca="1">INDEX(INDIRECT(VLOOKUP(LEFT(BO376,7),CLU!$Z$3:$AH$18,4)),GN376,GS376)</f>
        <v>#N/A</v>
      </c>
      <c r="CE376" s="426" t="e">
        <f t="shared" ca="1" si="1151"/>
        <v>#N/A</v>
      </c>
      <c r="CF376" s="440">
        <f t="shared" si="1152"/>
        <v>0</v>
      </c>
      <c r="CG376" s="431" t="e">
        <f ca="1">INDEX(INDIRECT(VLOOKUP(LEFT(BO376,7),CLU!$Z$3:$AH$18,2)),GQ376,GR376)</f>
        <v>#N/A</v>
      </c>
      <c r="CH376" s="431" t="e">
        <f ca="1">INDEX(INDIRECT(VLOOKUP(LEFT(BO376,7),CLU!$Z$3:$AH$18,3)),GQ376,GR376)</f>
        <v>#N/A</v>
      </c>
      <c r="CI376" s="431" t="e">
        <f ca="1">INDEX(INDIRECT(VLOOKUP(LEFT(BO376,7),CLU!$Z$3:$AH$18,4)),GQ376,GR376)</f>
        <v>#N/A</v>
      </c>
      <c r="CJ376" s="448" t="e">
        <f t="shared" ca="1" si="1153"/>
        <v>#N/A</v>
      </c>
      <c r="CK376" s="431" t="e">
        <f t="shared" ca="1" si="1154"/>
        <v>#N/A</v>
      </c>
      <c r="CL376" s="440" t="e">
        <f t="shared" ca="1" si="1155"/>
        <v>#N/A</v>
      </c>
      <c r="CM376" s="431" t="e">
        <f ca="1">INDEX(INDIRECT(VLOOKUP(LEFT(BO376,7),CLU!$Z$3:$AH$18,2)),GQ376,GS376)</f>
        <v>#N/A</v>
      </c>
      <c r="CN376" s="431" t="e">
        <f ca="1">INDEX(INDIRECT(VLOOKUP(LEFT(BO376,7),CLU!$Z$3:$AH$18,3)),GQ376,GS376)</f>
        <v>#N/A</v>
      </c>
      <c r="CO376" s="431" t="e">
        <f ca="1">INDEX(INDIRECT(VLOOKUP(LEFT(BO376,7),CLU!$Z$3:$AH$18,4)),GQ376,GS376)</f>
        <v>#N/A</v>
      </c>
      <c r="CP376" s="431" t="e">
        <f t="shared" ca="1" si="1156"/>
        <v>#N/A</v>
      </c>
      <c r="CQ376" s="440">
        <f t="shared" si="1157"/>
        <v>0</v>
      </c>
      <c r="CR376" s="51" t="e">
        <f t="shared" ca="1" si="1158"/>
        <v>#N/A</v>
      </c>
      <c r="CS376" s="439" t="e">
        <f t="shared" ca="1" si="1159"/>
        <v>#VALUE!</v>
      </c>
      <c r="CT376" s="51" t="e">
        <f t="shared" ca="1" si="1160"/>
        <v>#VALUE!</v>
      </c>
      <c r="CU376" s="10"/>
      <c r="CV376" s="51" t="e">
        <f t="shared" ca="1" si="1057"/>
        <v>#VALUE!</v>
      </c>
      <c r="CW376" s="51">
        <f t="shared" si="1161"/>
        <v>0</v>
      </c>
      <c r="CX376" s="439" t="e">
        <f t="shared" ca="1" si="1162"/>
        <v>#VALUE!</v>
      </c>
      <c r="CY376" s="51" t="e">
        <f t="shared" ca="1" si="1163"/>
        <v>#VALUE!</v>
      </c>
      <c r="CZ376" s="10"/>
      <c r="DA376" s="51" t="e">
        <f t="shared" ca="1" si="1164"/>
        <v>#VALUE!</v>
      </c>
      <c r="DB376" s="347" t="e">
        <f ca="1">INDEX(INDIRECT(VLOOKUP(LEFT(BO376,7),CLU!$Z$3:$AI$18,10)),((M376-2)*(6-COUNTBLANK(GT376:GY376)))+GJ376)*LI376</f>
        <v>#N/A</v>
      </c>
      <c r="DC376" s="347" t="str">
        <f>IF(L376&gt;0,((R376/Worksheet!$I$15)/DB376)^2," ")</f>
        <v xml:space="preserve"> </v>
      </c>
      <c r="DD376" s="602" t="str">
        <f t="shared" si="1165"/>
        <v xml:space="preserve"> </v>
      </c>
      <c r="DE376" s="347" t="str">
        <f t="shared" si="1058"/>
        <v xml:space="preserve"> </v>
      </c>
      <c r="DF376" s="356" t="e">
        <f ca="1">INDEX(INDIRECT(VLOOKUP(LEFT(BO376,7),CLU!$Z$3:$AH$18,8)),((M376-2)*(6-COUNTBLANK(GT376:GY376)))+GJ376)</f>
        <v>#N/A</v>
      </c>
      <c r="DG376" s="347" t="str">
        <f t="shared" si="1059"/>
        <v xml:space="preserve"> </v>
      </c>
      <c r="DH376" s="357" t="str">
        <f t="shared" si="1060"/>
        <v xml:space="preserve"> </v>
      </c>
      <c r="DI376" s="355" t="str">
        <f t="shared" si="1061"/>
        <v xml:space="preserve"> </v>
      </c>
      <c r="DJ376" s="245" t="e">
        <f ca="1">INDEX(INDIRECT(VLOOKUP(LEFT(BO376,7),CLU!$Z$3:$AH$18,5)),GL376,GK376)</f>
        <v>#N/A</v>
      </c>
      <c r="DK376" s="245" t="e">
        <f ca="1">INDEX(INDIRECT(VLOOKUP(LEFT(BO376,7),CLU!$Z$3:$AH$18,6)),GL376,GK376)</f>
        <v>#N/A</v>
      </c>
      <c r="DL376" s="355">
        <f>(Calculation!R376*0.69143*(Calculation!$BQ$8-Calculation!$F$8))*$S$14</f>
        <v>0</v>
      </c>
      <c r="DM376" s="359" t="e">
        <f t="shared" si="1166"/>
        <v>#VALUE!</v>
      </c>
      <c r="DN376" s="611">
        <f t="shared" si="1167"/>
        <v>0</v>
      </c>
      <c r="DO376" s="359">
        <f t="shared" si="1168"/>
        <v>100</v>
      </c>
      <c r="DP376" s="359">
        <f t="shared" si="1169"/>
        <v>0</v>
      </c>
      <c r="DQ376" s="360"/>
      <c r="DR376" s="245" t="e">
        <f ca="1">INDEX(INDIRECT(VLOOKUP(LEFT(BO376,7),CLU!$Z$3:$AH$18,7)),M376-1,1)</f>
        <v>#N/A</v>
      </c>
      <c r="DS376" s="245" t="e">
        <f ca="1">INDEX(INDIRECT(VLOOKUP(LEFT(BO376,7),CLU!$Z$3:$AH$18,7)),M376-1,2)</f>
        <v>#N/A</v>
      </c>
      <c r="DT376" s="245" t="e">
        <f ca="1">INDEX(INDIRECT(VLOOKUP(LEFT(BO376,7),CLU!$Z$3:$AH$18,7)),M376-1,3)</f>
        <v>#N/A</v>
      </c>
      <c r="DU376" s="245" t="e">
        <f ca="1">INDEX(INDIRECT(VLOOKUP(LEFT(BO376,7),CLU!$Z$3:$AH$18,7)),M376-1,4)</f>
        <v>#N/A</v>
      </c>
      <c r="DV376" s="361" t="e">
        <f ca="1">INDEX(INDIRECT(VLOOKUP(LEFT(BO376,7),CLU!$Z$3:$AH$18,7)),M376-1,4+LEFT(DZ376,1)*0.5)</f>
        <v>#N/A</v>
      </c>
      <c r="DW376" s="245" t="e">
        <f ca="1">INDEX(INDIRECT(VLOOKUP(LEFT(BO376,7),CLU!$Z$3:$AH$18,7)),M376-1,8)</f>
        <v>#N/A</v>
      </c>
      <c r="DX376" s="361" t="str">
        <f t="shared" si="1062"/>
        <v xml:space="preserve"> </v>
      </c>
      <c r="DY376" s="361" t="str">
        <f t="shared" si="1063"/>
        <v xml:space="preserve"> </v>
      </c>
      <c r="DZ376" s="361" t="str">
        <f t="shared" si="1064"/>
        <v xml:space="preserve"> </v>
      </c>
      <c r="EA376" s="362" t="str">
        <f t="shared" si="1065"/>
        <v xml:space="preserve"> </v>
      </c>
      <c r="EB376" s="624" t="str">
        <f t="shared" si="1170"/>
        <v xml:space="preserve"> </v>
      </c>
      <c r="EC376" s="361" t="e">
        <f ca="1">INDEX(INDIRECT(VLOOKUP(LEFT(BO376,7),CLU!$Z$3:$AH$18,7)),M376-1,4+LEFT(DZ376,1)*0.5)</f>
        <v>#N/A</v>
      </c>
      <c r="ED376" s="362" t="str">
        <f t="shared" si="1066"/>
        <v xml:space="preserve"> </v>
      </c>
      <c r="EE376" s="361" t="str">
        <f t="shared" si="1067"/>
        <v xml:space="preserve"> </v>
      </c>
      <c r="EF376" s="362" t="str">
        <f>IF(L376&gt;0,IF(BR376&gt;0,IF(EE376="2P",IF(Calculation!DZ376="2P",IF(Calculation!DS376=13.75,IF(Calculation!DR376=13,Worksheet!$BD$43,IF(Calculation!DR376=37,Worksheet!$BD$44,Worksheet!$BD$45)),IF(Calculation!DS376=10,IF(Calculation!DR376=18,Worksheet!$BD$29,IF(Calculation!DR376=30,Worksheet!$BD$30,IF(Calculation!DR376=42,Worksheet!$BD$31,IF(Calculation!DR376=54,Worksheet!$BD$32,IF(Calculation!DR376=66,Worksheet!$BD$33,IF(Calculation!DR376=78,Worksheet!$BD$34,IF(Calculation!DR376=90,Worksheet!$BD$35,IF(Calculation!DR376=102,Worksheet!$BD$36,Worksheet!$BD$37)))))))),IF(Calculation!DS376=12.5,IF(Calculation!DR376=18,Worksheet!$BD$38,IF(Calculation!DR376=Worksheet!$BD$39,IF(Calculation!DR376=42,Worksheet!$BD$40,IF(Calculation!DR376=54,Worksheet!$BD$41,Worksheet!$BD$42)))),IF(Calculation!DR376=18,Worksheet!$BD$11,IF(Calculation!DR376=30,Worksheet!$BD$12,IF(Calculation!DR376=42,Worksheet!$BD$13,IF(Calculation!DR376=54,Worksheet!$BD$14,IF(Calculation!DR376=66,Worksheet!$BD$15,IF(Calculation!DR376=78,Worksheet!$BD$16,IF(Calculation!DR376=90,Worksheet!$BD$17,IF(Calculation!DR376=102,Worksheet!$BD$18,Worksheet!$BD$19))))))))))),IF(Calculation!DS376=13.75,IF(Calculation!DR376=13,Worksheet!$BD$78,IF(Calculation!DR376=37,Worksheet!$BD$79,Worksheet!$BD$80)),IF(Calculation!DS376=10,IF(Calculation!DR376=18,Worksheet!$BD$64,IF(Calculation!DR376=30,Worksheet!$BD$65,IF(Calculation!DR376=42,Worksheet!$BD$66,IF(Calculation!DR376=54,Worksheet!$BD$68,IF(Calculation!DR376=66,Worksheet!$BD$68,IF(Calculation!DR376=78,Worksheet!$BD$69,IF(Calculation!DR376=90,Worksheet!$BD$70,IF(Calculation!DR376=102,Worksheet!$BD$71,Worksheet!$BD$72)))))))),IF(Calculation!DS376=12.5,IF(Calculation!DR376=18,Worksheet!$BD$73,IF(Calculation!DR376=Worksheet!$BD$74,IF(Calculation!DR376=42,Worksheet!$BD$75,IF(Calculation!DR376=54,Worksheet!$BD$76,Worksheet!$BD$77)))),IF(Calculation!DR376=18,Worksheet!$BD$55,IF(Calculation!DR376=30,Worksheet!$BD$56,IF(Calculation!DR376=42,Worksheet!$BD$57,IF(Calculation!DR376=54,Worksheet!$BD$58,IF(Calculation!DR376=66,Worksheet!$BD$59,IF(Calculation!DR376=78,Worksheet!$BD$60,IF(Calculation!DR376=90,Worksheet!$BD$61,IF(Calculation!DR376=102,Worksheet!$BD$62,Worksheet!$BD$63)))))))))))),5),0)," ")</f>
        <v xml:space="preserve"> </v>
      </c>
      <c r="EG376" s="361" t="str">
        <f t="shared" si="1068"/>
        <v xml:space="preserve"> </v>
      </c>
      <c r="EH376" s="361" t="e">
        <f ca="1">INDEX(INDIRECT(VLOOKUP(LEFT(BO376,7),CLU!$Z$3:$AH$18,7)),M376-1,3+LEFT(DZ376,1))</f>
        <v>#N/A</v>
      </c>
      <c r="EI376" s="362" t="str">
        <f t="shared" si="1069"/>
        <v xml:space="preserve"> </v>
      </c>
      <c r="EJ376" s="363" t="str">
        <f t="shared" si="1070"/>
        <v xml:space="preserve"> </v>
      </c>
      <c r="EK376" s="363" t="str">
        <f t="shared" si="1071"/>
        <v xml:space="preserve"> </v>
      </c>
      <c r="EL376" s="363" t="str">
        <f t="shared" si="1072"/>
        <v xml:space="preserve"> </v>
      </c>
      <c r="EM376" s="362" t="str">
        <f>IF(L376&gt;0,IF(BR376&gt;0,(Calculation!T376/ED376)^2,0)," ")</f>
        <v xml:space="preserve"> </v>
      </c>
      <c r="EN376" s="362" t="str">
        <f>IF(L376&gt;0,IF(O376="2 Pipe (Cooling)","N/A",IF(BR376&gt;0,(Calculation!U376/EI376)^2,0))," ")</f>
        <v xml:space="preserve"> </v>
      </c>
      <c r="EO376" s="361" t="str">
        <f t="shared" si="1073"/>
        <v/>
      </c>
      <c r="EP376" s="361" t="str">
        <f t="shared" si="1074"/>
        <v/>
      </c>
      <c r="EQ376" s="361" t="str">
        <f t="shared" si="1075"/>
        <v/>
      </c>
      <c r="ER376" s="361" t="str">
        <f t="shared" si="1076"/>
        <v/>
      </c>
      <c r="ES376" s="361" t="str">
        <f t="shared" si="1077"/>
        <v/>
      </c>
      <c r="ET376" s="361" t="str">
        <f t="shared" si="1078"/>
        <v/>
      </c>
      <c r="EU376" s="361" t="str">
        <f t="shared" si="1079"/>
        <v/>
      </c>
      <c r="EV376" s="361" t="str">
        <f t="shared" si="1080"/>
        <v/>
      </c>
      <c r="EW376" s="361" t="str">
        <f t="shared" si="1081"/>
        <v/>
      </c>
      <c r="EX376" s="361" t="str">
        <f t="shared" si="1171"/>
        <v>1 slot, 1 way</v>
      </c>
      <c r="EY376" s="361" t="str">
        <f t="shared" si="1172"/>
        <v xml:space="preserve"> </v>
      </c>
      <c r="EZ376" s="361" t="str">
        <f t="shared" si="1173"/>
        <v xml:space="preserve"> </v>
      </c>
      <c r="FA376" s="361" t="str">
        <f t="shared" si="1174"/>
        <v xml:space="preserve"> </v>
      </c>
      <c r="FB376" s="361" t="str">
        <f t="shared" si="1175"/>
        <v xml:space="preserve"> </v>
      </c>
      <c r="FC376" s="361"/>
      <c r="FD376" s="361" t="str">
        <f>IF(J376&gt;0,IF(Calculation!R376&lt;=70,4,IF(Calculation!R376&lt;=110,5,IF(Calculation!R376&lt;=160,6,IF(Calculation!R376&lt;=300,8,"10 EO")))),"")</f>
        <v/>
      </c>
      <c r="FE376" s="361" t="str">
        <f t="shared" si="1176"/>
        <v/>
      </c>
      <c r="FF376" s="361" t="str">
        <f t="shared" si="1177"/>
        <v/>
      </c>
      <c r="FG376" s="361" t="e">
        <f t="shared" si="1082"/>
        <v>#N/A</v>
      </c>
      <c r="FH376" s="361">
        <f t="shared" si="1083"/>
        <v>0</v>
      </c>
      <c r="FI376" s="361" t="e">
        <f t="shared" si="1084"/>
        <v>#DIV/0!</v>
      </c>
      <c r="FJ376" s="361"/>
      <c r="FK376" s="356" t="e">
        <f t="shared" si="1085"/>
        <v>#VALUE!</v>
      </c>
      <c r="FL376" s="361"/>
      <c r="FM376" s="361"/>
      <c r="FN376" s="362" t="str">
        <f t="shared" si="1178"/>
        <v xml:space="preserve"> </v>
      </c>
      <c r="FO376" s="362" t="str">
        <f t="shared" si="1179"/>
        <v xml:space="preserve"> </v>
      </c>
      <c r="FP376" s="362">
        <f t="shared" si="1180"/>
        <v>0</v>
      </c>
      <c r="FQ376" s="361">
        <f t="shared" si="1086"/>
        <v>0</v>
      </c>
      <c r="FR376" s="362" t="str">
        <f>IF(L376&gt;0,IF(J376="CBAL2",Worksheet!$P$67,IF(J376="CBE2-24",Worksheet!$Q$67,IF(J376="CBAM",Worksheet!$R$67,IF(J376="CBLV",Worksheet!$S$67,IF(J376="CBAB",Worksheet!$U$67,IF(J376="CBAW",Worksheet!$X$67,IF(J376="CBE2-12",Worksheet!$Y$67,IF(J376="CBAL2",Worksheet!$Z$67,"N/A"))))))))," ")</f>
        <v xml:space="preserve"> </v>
      </c>
      <c r="FS376" s="362" t="str">
        <f>IF(L376&gt;0,IF(J376="CBAL2",Worksheet!$P$68,IF(J376="CBE2-24",Worksheet!$Q$68,IF(J376="CBAM",Worksheet!$R$68,IF(J376="CBLV",Worksheet!$S$68,IF(J376="CBAB",Worksheet!$U$68,IF(J376="CBAW",Worksheet!$X$68,IF(J376="CBE2-12",Worksheet!$Y$68,IF(J376="CBAL2",Worksheet!$Z$68,"N/A"))))))))," ")</f>
        <v xml:space="preserve"> </v>
      </c>
      <c r="FT376" s="362" t="str">
        <f>IF(L376&gt;0,IF(J376="CBAL2",Worksheet!$P$69,IF(J376="CBE2-24",Worksheet!$Q$69,IF(J376="CBAM",Worksheet!$R$69,IF(J376="CBLV",Worksheet!$S$69,IF(J376="CBAB",Worksheet!$U$69,IF(J376="CBAW",Worksheet!$X$69,IF(J376="CBE2-12",Worksheet!$Y$69,IF(J376="CBAL2",Worksheet!$Z$69,"N/A"))))))))," ")</f>
        <v xml:space="preserve"> </v>
      </c>
      <c r="FU376" s="361" t="str">
        <f t="shared" si="1181"/>
        <v xml:space="preserve"> </v>
      </c>
      <c r="FV376" s="362" t="str">
        <f t="shared" si="1182"/>
        <v xml:space="preserve"> </v>
      </c>
      <c r="FW376" s="362" t="str">
        <f t="shared" si="1183"/>
        <v xml:space="preserve"> </v>
      </c>
      <c r="FX376" s="362" t="str">
        <f t="shared" si="1184"/>
        <v xml:space="preserve"> </v>
      </c>
      <c r="FY376" s="355" t="str">
        <f t="shared" si="1185"/>
        <v xml:space="preserve"> </v>
      </c>
      <c r="FZ376" s="361" t="str">
        <f t="shared" si="1186"/>
        <v xml:space="preserve"> </v>
      </c>
      <c r="GA376" s="347" t="str">
        <f t="shared" si="1187"/>
        <v xml:space="preserve"> </v>
      </c>
      <c r="GB376" s="355" t="str">
        <f t="shared" si="1188"/>
        <v xml:space="preserve"> </v>
      </c>
      <c r="GC376" s="328" t="str">
        <f t="shared" si="1189"/>
        <v xml:space="preserve"> </v>
      </c>
      <c r="GD376" s="361" t="str">
        <f t="shared" si="1190"/>
        <v xml:space="preserve"> </v>
      </c>
      <c r="GE376" s="347" t="str">
        <f t="shared" si="1191"/>
        <v xml:space="preserve"> </v>
      </c>
      <c r="GF376" s="361" t="str">
        <f t="shared" si="1192"/>
        <v xml:space="preserve"> </v>
      </c>
      <c r="GG376" s="347" t="str">
        <f t="shared" si="1193"/>
        <v xml:space="preserve"> </v>
      </c>
      <c r="GH376" s="364">
        <f t="shared" si="1087"/>
        <v>0</v>
      </c>
      <c r="GI376" s="362">
        <f t="shared" si="1194"/>
        <v>2</v>
      </c>
      <c r="GJ376" s="433" t="e">
        <f>IF(6-COUNTBLANK(GT376:GY376)=4,MATCH(MID(BO376,9,3),CLU!$H$16:$K$16),MATCH(MID(BO376,9,3),CLU!$H$13:$M$13))</f>
        <v>#N/A</v>
      </c>
      <c r="GK376" s="433" t="e">
        <f>HLOOKUP(VALUE(BP376),CLU!$H$9:$M$10,2)</f>
        <v>#VALUE!</v>
      </c>
      <c r="GL376" s="433" t="e">
        <f ca="1">MATCH(BU376,CLU!$H$2:$V$2,1)</f>
        <v>#VALUE!</v>
      </c>
      <c r="GM376" s="433" t="e">
        <f t="shared" ca="1" si="1195"/>
        <v>#VALUE!</v>
      </c>
      <c r="GN376" s="433" t="e">
        <f t="shared" ca="1" si="1196"/>
        <v>#VALUE!</v>
      </c>
      <c r="GO376" s="433" t="e">
        <f t="shared" ca="1" si="1197"/>
        <v>#VALUE!</v>
      </c>
      <c r="GP376" s="433" t="e">
        <f t="shared" ca="1" si="1198"/>
        <v>#VALUE!</v>
      </c>
      <c r="GQ376" s="433" t="e">
        <f t="shared" ca="1" si="1199"/>
        <v>#VALUE!</v>
      </c>
      <c r="GR376" s="433" t="e">
        <f ca="1">MATCH(T376,INDIRECT(VLOOKUP(CONCATENATE(LEFT(BO376,7),"-",MID(BO376,13,1)),CLU!$P$3:$Q$16,2)),1)</f>
        <v>#N/A</v>
      </c>
      <c r="GS376" s="433" t="e">
        <f ca="1">MATCH(U376,INDIRECT(VLOOKUP(CONCATENATE(LEFT(BO376,7),"-",MID(BO376,13,1)),CLU!$P$3:$Q$16,2)),1)</f>
        <v>#N/A</v>
      </c>
      <c r="GT376" s="347" t="s">
        <v>512</v>
      </c>
      <c r="GU376" s="97" t="s">
        <v>513</v>
      </c>
      <c r="GV376" s="97" t="str">
        <f t="shared" si="1200"/>
        <v>M23</v>
      </c>
      <c r="GW376" s="97" t="str">
        <f t="shared" si="1201"/>
        <v>M31</v>
      </c>
      <c r="GX376" s="97" t="str">
        <f t="shared" si="1202"/>
        <v/>
      </c>
      <c r="GY376" s="97" t="str">
        <f t="shared" si="1203"/>
        <v/>
      </c>
      <c r="GZ376" s="481"/>
      <c r="HA376" s="240"/>
      <c r="HB376" s="240"/>
      <c r="HC376" s="240"/>
      <c r="HD376" s="240"/>
      <c r="HE376" s="240"/>
      <c r="HF376" s="240"/>
      <c r="HG376" s="240"/>
      <c r="HH376" s="240"/>
      <c r="HI376" s="240"/>
      <c r="HJ376" s="240"/>
      <c r="HK376" s="240"/>
      <c r="HL376" s="240"/>
      <c r="HM376" s="240"/>
      <c r="HN376" s="240"/>
      <c r="HO376" s="240"/>
      <c r="HP376" s="240"/>
      <c r="HQ376" s="240"/>
      <c r="HR376" s="240"/>
      <c r="HS376" s="240"/>
      <c r="HT376" s="240"/>
      <c r="HU376" s="240"/>
      <c r="HV376" s="245"/>
      <c r="HW376" s="245" t="b">
        <v>1</v>
      </c>
      <c r="HX376" s="245" t="str">
        <f t="shared" si="1088"/>
        <v/>
      </c>
      <c r="HY376" s="245" t="e">
        <f t="shared" si="1089"/>
        <v>#DIV/0!</v>
      </c>
      <c r="HZ376" s="245" t="e">
        <f t="shared" si="1090"/>
        <v>#DIV/0!</v>
      </c>
      <c r="IA376" s="245">
        <f t="shared" si="1091"/>
        <v>0</v>
      </c>
      <c r="IB376" s="245"/>
      <c r="IC376" t="b">
        <f t="shared" si="1092"/>
        <v>1</v>
      </c>
      <c r="ID376" s="245" t="b">
        <f t="shared" si="1093"/>
        <v>1</v>
      </c>
      <c r="IE376" s="245" t="b">
        <f t="shared" si="1094"/>
        <v>1</v>
      </c>
      <c r="IF376" s="245" t="b">
        <f t="shared" si="1095"/>
        <v>0</v>
      </c>
      <c r="IG376" s="245" t="b">
        <f t="shared" si="1096"/>
        <v>1</v>
      </c>
      <c r="IH376" s="245" t="b">
        <f t="shared" si="1097"/>
        <v>1</v>
      </c>
      <c r="II376" s="245">
        <f t="shared" si="1204"/>
        <v>0</v>
      </c>
      <c r="IJ376" s="245" t="e">
        <f t="shared" si="1098"/>
        <v>#VALUE!</v>
      </c>
      <c r="IK376" s="245" t="e">
        <f t="shared" si="1099"/>
        <v>#VALUE!</v>
      </c>
      <c r="IL376" s="245"/>
      <c r="IM376" s="245" t="e">
        <f t="shared" si="1205"/>
        <v>#N/A</v>
      </c>
      <c r="IN376" s="245" t="e">
        <f t="shared" si="1206"/>
        <v>#N/A</v>
      </c>
      <c r="IO376" s="245"/>
      <c r="IP376" s="245"/>
      <c r="IQ376" s="245" t="str">
        <f t="shared" si="1100"/>
        <v/>
      </c>
      <c r="IR376" s="245" t="str">
        <f>IF(J376="","",VLOOKUP(J376,Worksheet!$R$4:$T$14,2))</f>
        <v/>
      </c>
      <c r="IS376" s="245"/>
      <c r="IT376" s="245">
        <f t="shared" si="1101"/>
        <v>0</v>
      </c>
      <c r="IU376" s="245">
        <f t="shared" si="1102"/>
        <v>0</v>
      </c>
      <c r="IV376" s="245">
        <f t="shared" si="1103"/>
        <v>0</v>
      </c>
      <c r="IW376" s="245">
        <f t="shared" si="1104"/>
        <v>0</v>
      </c>
      <c r="IX376" s="245">
        <f t="shared" si="1207"/>
        <v>0</v>
      </c>
      <c r="IY376" s="245">
        <f t="shared" si="1105"/>
        <v>0</v>
      </c>
      <c r="IZ376" s="245">
        <f t="shared" si="1106"/>
        <v>0</v>
      </c>
      <c r="JA376">
        <f t="shared" si="1107"/>
        <v>0</v>
      </c>
      <c r="JB376">
        <f t="shared" si="1208"/>
        <v>0</v>
      </c>
      <c r="JC376">
        <f t="shared" si="1108"/>
        <v>0</v>
      </c>
      <c r="JD376">
        <f t="shared" si="1109"/>
        <v>0</v>
      </c>
      <c r="JE376">
        <f t="shared" si="1110"/>
        <v>0</v>
      </c>
      <c r="JF376">
        <f t="shared" si="1111"/>
        <v>0</v>
      </c>
      <c r="JG376">
        <f t="shared" si="1112"/>
        <v>0</v>
      </c>
      <c r="JH376">
        <f t="shared" si="1113"/>
        <v>0</v>
      </c>
      <c r="JI376">
        <f t="shared" si="1114"/>
        <v>0</v>
      </c>
      <c r="JJ376" s="447">
        <f t="shared" si="1115"/>
        <v>0</v>
      </c>
      <c r="JK376" s="447">
        <f t="shared" si="1116"/>
        <v>0</v>
      </c>
      <c r="JL376">
        <f t="shared" si="1117"/>
        <v>0</v>
      </c>
      <c r="JM376" s="245" t="str">
        <f>IFERROR(VLOOKUP(MATCH(BN376,#REF!,0),#REF!,7),"")</f>
        <v/>
      </c>
      <c r="JN376" t="e">
        <f>HLOOKUP(LEFT(BO376,7),Discharge_Area,MATCH(JO376,LookUps!$B$130:$B$149,1)+2)</f>
        <v>#N/A</v>
      </c>
      <c r="JO376" t="str">
        <f t="shared" si="1118"/>
        <v>- S</v>
      </c>
      <c r="JP376" t="e">
        <f>HLOOKUP(LEFT(BO376,7),Discharge_Area,MATCH(JO376,LookUps!$B$130:$B$149,1)+2)</f>
        <v>#N/A</v>
      </c>
      <c r="JQ376" t="e">
        <f t="shared" si="1119"/>
        <v>#N/A</v>
      </c>
      <c r="JR376" t="e">
        <f t="shared" si="1120"/>
        <v>#N/A</v>
      </c>
      <c r="JS376" t="e">
        <f t="shared" si="1121"/>
        <v>#N/A</v>
      </c>
      <c r="JT376" s="532" t="str">
        <f t="shared" si="1122"/>
        <v xml:space="preserve"> </v>
      </c>
      <c r="JU376" s="532" t="str">
        <f t="shared" si="1123"/>
        <v xml:space="preserve"> </v>
      </c>
      <c r="JV376" s="533" t="str">
        <f t="shared" si="1124"/>
        <v xml:space="preserve"> </v>
      </c>
      <c r="JW376" s="534">
        <f t="shared" si="1125"/>
        <v>0</v>
      </c>
      <c r="JX376" s="535" t="str">
        <f t="shared" si="1209"/>
        <v xml:space="preserve"> </v>
      </c>
      <c r="JY376" s="535" t="str">
        <f t="shared" si="1210"/>
        <v xml:space="preserve"> </v>
      </c>
      <c r="JZ376" s="535" t="str">
        <f t="shared" si="1211"/>
        <v xml:space="preserve"> </v>
      </c>
      <c r="KA376" s="536" t="str">
        <f t="shared" si="1126"/>
        <v xml:space="preserve"> </v>
      </c>
      <c r="KB376" s="535" t="e">
        <f t="shared" si="1212"/>
        <v>#VALUE!</v>
      </c>
      <c r="KC376" s="535" t="str">
        <f t="shared" si="1127"/>
        <v/>
      </c>
      <c r="KD376" s="537" t="str">
        <f t="shared" si="1213"/>
        <v xml:space="preserve"> </v>
      </c>
      <c r="KE376" s="537" t="str">
        <f t="shared" si="1214"/>
        <v xml:space="preserve"> </v>
      </c>
      <c r="KF376" s="534">
        <f t="shared" si="1128"/>
        <v>0</v>
      </c>
      <c r="KG376" s="535" t="str">
        <f t="shared" si="1129"/>
        <v xml:space="preserve"> </v>
      </c>
      <c r="KH376" s="535" t="str">
        <f t="shared" si="1130"/>
        <v xml:space="preserve"> </v>
      </c>
      <c r="KI376" s="535" t="str">
        <f t="shared" si="1131"/>
        <v xml:space="preserve"> </v>
      </c>
      <c r="KJ376" s="536" t="str">
        <f t="shared" si="1132"/>
        <v xml:space="preserve"> </v>
      </c>
      <c r="KK376" s="535" t="str">
        <f t="shared" si="1215"/>
        <v xml:space="preserve"> </v>
      </c>
      <c r="KL376" s="535" t="str">
        <f t="shared" si="1216"/>
        <v xml:space="preserve"> </v>
      </c>
      <c r="KM376" s="537" t="str">
        <f t="shared" si="1133"/>
        <v xml:space="preserve"> </v>
      </c>
      <c r="KN376" s="537" t="str">
        <f t="shared" si="1217"/>
        <v xml:space="preserve"> </v>
      </c>
      <c r="KP376">
        <f t="shared" si="1134"/>
        <v>0</v>
      </c>
      <c r="LA376" t="e">
        <f t="shared" si="1135"/>
        <v>#VALUE!</v>
      </c>
      <c r="LB376" t="e">
        <f t="shared" si="1136"/>
        <v>#VALUE!</v>
      </c>
      <c r="LC376" t="e">
        <f t="shared" si="1137"/>
        <v>#VALUE!</v>
      </c>
      <c r="LD376" t="e">
        <f t="shared" si="1138"/>
        <v>#VALUE!</v>
      </c>
      <c r="LE376" t="e">
        <f t="shared" si="1218"/>
        <v>#VALUE!</v>
      </c>
      <c r="LF376">
        <f t="shared" si="1139"/>
        <v>0</v>
      </c>
      <c r="LG376" t="e">
        <f t="shared" si="1219"/>
        <v>#VALUE!</v>
      </c>
      <c r="LH376" t="str">
        <f t="shared" si="1140"/>
        <v xml:space="preserve"> </v>
      </c>
      <c r="LI376">
        <f t="shared" si="1220"/>
        <v>1</v>
      </c>
    </row>
    <row r="377" spans="2:321" ht="15" customHeight="1">
      <c r="B377" s="311"/>
      <c r="C377" s="311"/>
      <c r="D377" s="312"/>
      <c r="E377" s="311"/>
      <c r="F377" s="312"/>
      <c r="G377" s="311"/>
      <c r="H377" s="311"/>
      <c r="I377" s="232"/>
      <c r="J377" s="311"/>
      <c r="K377" s="305" t="str">
        <f t="shared" si="1141"/>
        <v/>
      </c>
      <c r="L377" s="313"/>
      <c r="M377" s="312"/>
      <c r="N377" s="311"/>
      <c r="O377" s="312"/>
      <c r="P377" s="311"/>
      <c r="Q377" s="305" t="str">
        <f t="shared" si="1142"/>
        <v/>
      </c>
      <c r="R377" s="314"/>
      <c r="S377" s="450" t="str">
        <f t="shared" si="1025"/>
        <v/>
      </c>
      <c r="T377" s="315"/>
      <c r="U377" s="315"/>
      <c r="W377" s="149" t="str">
        <f t="shared" si="1026"/>
        <v xml:space="preserve"> </v>
      </c>
      <c r="X377" s="243" t="str">
        <f t="shared" si="1027"/>
        <v xml:space="preserve"> </v>
      </c>
      <c r="Y377" s="150" t="str">
        <f t="shared" si="1028"/>
        <v/>
      </c>
      <c r="Z377" s="149" t="str">
        <f t="shared" si="1029"/>
        <v xml:space="preserve"> </v>
      </c>
      <c r="AA377" s="98" t="str">
        <f t="shared" si="1030"/>
        <v xml:space="preserve"> </v>
      </c>
      <c r="AB377" s="153" t="str">
        <f t="shared" si="1031"/>
        <v xml:space="preserve"> </v>
      </c>
      <c r="AC377" s="153" t="str">
        <f t="shared" si="1032"/>
        <v xml:space="preserve"> </v>
      </c>
      <c r="AD377" s="148" t="str">
        <f t="shared" si="1033"/>
        <v/>
      </c>
      <c r="AE377" s="149" t="str">
        <f t="shared" si="1034"/>
        <v/>
      </c>
      <c r="AF377" s="151" t="str">
        <f t="shared" si="1035"/>
        <v xml:space="preserve"> </v>
      </c>
      <c r="AG377" s="153" t="str">
        <f t="shared" si="1036"/>
        <v xml:space="preserve"> </v>
      </c>
      <c r="AH377" s="98" t="str">
        <f t="shared" si="1037"/>
        <v xml:space="preserve"> </v>
      </c>
      <c r="AI377" s="149" t="str">
        <f t="shared" si="1038"/>
        <v xml:space="preserve"> </v>
      </c>
      <c r="AK377" s="144" t="str">
        <f t="shared" si="1039"/>
        <v xml:space="preserve"> </v>
      </c>
      <c r="AL377" s="144"/>
      <c r="AM377" s="243" t="str">
        <f t="shared" si="1040"/>
        <v xml:space="preserve"> </v>
      </c>
      <c r="AN377" s="149" t="str">
        <f t="shared" si="1143"/>
        <v xml:space="preserve"> </v>
      </c>
      <c r="AO377" s="144" t="str">
        <f>IF(JB377&gt;0,IF(GI377=10,-R377*1.085*(Calculation!$F$6-Calculation!$F$13)*$S$14," "),"")</f>
        <v/>
      </c>
      <c r="AP377" s="144" t="str">
        <f t="shared" si="1041"/>
        <v/>
      </c>
      <c r="AQ377" s="56" t="str">
        <f t="shared" si="1042"/>
        <v/>
      </c>
      <c r="AR377" s="144" t="str">
        <f t="shared" si="1043"/>
        <v/>
      </c>
      <c r="AS377" s="176" t="str">
        <f t="shared" si="1044"/>
        <v/>
      </c>
      <c r="AT377" s="176" t="str">
        <f t="shared" si="1144"/>
        <v xml:space="preserve"> </v>
      </c>
      <c r="AU377" s="176" t="str">
        <f t="shared" si="1045"/>
        <v/>
      </c>
      <c r="AV377" s="177" t="str">
        <f t="shared" si="1046"/>
        <v xml:space="preserve"> </v>
      </c>
      <c r="AW377" s="144" t="str">
        <f t="shared" si="1047"/>
        <v xml:space="preserve"> </v>
      </c>
      <c r="AX377" s="144" t="str">
        <f t="shared" si="1048"/>
        <v xml:space="preserve"> </v>
      </c>
      <c r="AY377" s="152" t="str">
        <f t="shared" si="1049"/>
        <v xml:space="preserve"> </v>
      </c>
      <c r="AZ377" s="246" t="str">
        <f t="shared" si="1050"/>
        <v/>
      </c>
      <c r="BA377" s="176" t="str">
        <f t="shared" si="1051"/>
        <v xml:space="preserve"> </v>
      </c>
      <c r="BB377" s="176" t="str">
        <f t="shared" si="1052"/>
        <v xml:space="preserve"> </v>
      </c>
      <c r="BC377" s="195"/>
      <c r="BD377" s="316"/>
      <c r="BE377" s="317"/>
      <c r="BF377" s="318"/>
      <c r="BG377" s="318"/>
      <c r="BH377" s="144" t="str">
        <f t="shared" si="1221"/>
        <v xml:space="preserve"> </v>
      </c>
      <c r="BI377" s="176" t="str">
        <f t="shared" si="1053"/>
        <v/>
      </c>
      <c r="BJ377" s="144" t="str">
        <f t="shared" si="1222"/>
        <v/>
      </c>
      <c r="BK377" s="246" t="str">
        <f t="shared" si="1054"/>
        <v/>
      </c>
      <c r="BL377" s="144" t="str">
        <f t="shared" si="1223"/>
        <v/>
      </c>
      <c r="BM377" s="246" t="str">
        <f t="shared" si="1055"/>
        <v/>
      </c>
      <c r="BN377" s="337" t="str">
        <f t="shared" si="1145"/>
        <v/>
      </c>
      <c r="BO377" s="371" t="str">
        <f t="shared" si="1146"/>
        <v/>
      </c>
      <c r="BP377" s="328" t="str">
        <f t="shared" si="1224"/>
        <v xml:space="preserve"> </v>
      </c>
      <c r="BQ377" s="347" t="str">
        <f t="shared" si="1147"/>
        <v xml:space="preserve"> </v>
      </c>
      <c r="BR377" s="353" t="str">
        <f t="shared" si="1148"/>
        <v xml:space="preserve"> </v>
      </c>
      <c r="BS377" s="626" t="str">
        <f>IF(L377&gt;0,IF(Calculation!P377="M13",BR377*3.1416*(0.134^2)/(4*144),IF(Calculation!P377="M17",BR377*3.1416*(0.165^2)/(4*144),IF(Calculation!P377="M20",BR377*3.1416*(0.198^2)/(4*144),IF(Calculation!P377="M23",BR377*3.1416*(0.228^2)/(4*144),IF(Calculation!P377="M27",BR377*3.1416*(0.269^2)/(4*144),BR377*3.1416*(0.307^2)/(4*144))))))," ")</f>
        <v xml:space="preserve"> </v>
      </c>
      <c r="BT377" s="353" t="str">
        <f>IF(L377&gt;0,IF(BS377&gt;0,R377/Calculation!BS377,0)," ")</f>
        <v xml:space="preserve"> </v>
      </c>
      <c r="BU377" s="438" t="e">
        <f t="shared" ca="1" si="1056"/>
        <v>#VALUE!</v>
      </c>
      <c r="BV377" s="449" t="e">
        <f ca="1">INDEX(INDIRECT(VLOOKUP(LEFT(BO377,7),CLU!$Z$3:$AH$18,2)),GN377,GR377)</f>
        <v>#N/A</v>
      </c>
      <c r="BW377" s="433" t="e">
        <f ca="1">INDEX(INDIRECT(VLOOKUP(LEFT(BO377,7),CLU!$Z$3:$AH$18,3)),GN377,GR377)</f>
        <v>#N/A</v>
      </c>
      <c r="BX377" s="433" t="e">
        <f ca="1">INDEX(INDIRECT(VLOOKUP(LEFT(BO377,7),CLU!$Z$3:$AH$18,4)),GN377,GR377)</f>
        <v>#N/A</v>
      </c>
      <c r="BY377" s="433" t="e">
        <f ca="1">INDEX(INDIRECT(VLOOKUP(LEFT(BO377,7),CLU!$Z$3:$AH$18,9)),((M377-2)*(6-COUNTBLANK(GT377:GY377)))+GJ377)</f>
        <v>#N/A</v>
      </c>
      <c r="BZ377" s="426" t="e">
        <f t="shared" ca="1" si="1149"/>
        <v>#N/A</v>
      </c>
      <c r="CA377" s="424" t="e">
        <f t="shared" ca="1" si="1150"/>
        <v>#N/A</v>
      </c>
      <c r="CB377" s="429" t="e">
        <f ca="1">INDEX(INDIRECT(VLOOKUP(LEFT(BO377,7),CLU!$Z$3:$AH$18,2)),GN377,GS377)</f>
        <v>#N/A</v>
      </c>
      <c r="CC377" s="342" t="e">
        <f ca="1">INDEX(INDIRECT(VLOOKUP(LEFT(BO377,7),CLU!$Z$3:$AH$18,3)),GN377,GS377)</f>
        <v>#N/A</v>
      </c>
      <c r="CD377" s="342" t="e">
        <f ca="1">INDEX(INDIRECT(VLOOKUP(LEFT(BO377,7),CLU!$Z$3:$AH$18,4)),GN377,GS377)</f>
        <v>#N/A</v>
      </c>
      <c r="CE377" s="426" t="e">
        <f t="shared" ca="1" si="1151"/>
        <v>#N/A</v>
      </c>
      <c r="CF377" s="440">
        <f t="shared" si="1152"/>
        <v>0</v>
      </c>
      <c r="CG377" s="431" t="e">
        <f ca="1">INDEX(INDIRECT(VLOOKUP(LEFT(BO377,7),CLU!$Z$3:$AH$18,2)),GQ377,GR377)</f>
        <v>#N/A</v>
      </c>
      <c r="CH377" s="431" t="e">
        <f ca="1">INDEX(INDIRECT(VLOOKUP(LEFT(BO377,7),CLU!$Z$3:$AH$18,3)),GQ377,GR377)</f>
        <v>#N/A</v>
      </c>
      <c r="CI377" s="431" t="e">
        <f ca="1">INDEX(INDIRECT(VLOOKUP(LEFT(BO377,7),CLU!$Z$3:$AH$18,4)),GQ377,GR377)</f>
        <v>#N/A</v>
      </c>
      <c r="CJ377" s="448" t="e">
        <f t="shared" ca="1" si="1153"/>
        <v>#N/A</v>
      </c>
      <c r="CK377" s="431" t="e">
        <f t="shared" ca="1" si="1154"/>
        <v>#N/A</v>
      </c>
      <c r="CL377" s="440" t="e">
        <f t="shared" ca="1" si="1155"/>
        <v>#N/A</v>
      </c>
      <c r="CM377" s="431" t="e">
        <f ca="1">INDEX(INDIRECT(VLOOKUP(LEFT(BO377,7),CLU!$Z$3:$AH$18,2)),GQ377,GS377)</f>
        <v>#N/A</v>
      </c>
      <c r="CN377" s="431" t="e">
        <f ca="1">INDEX(INDIRECT(VLOOKUP(LEFT(BO377,7),CLU!$Z$3:$AH$18,3)),GQ377,GS377)</f>
        <v>#N/A</v>
      </c>
      <c r="CO377" s="431" t="e">
        <f ca="1">INDEX(INDIRECT(VLOOKUP(LEFT(BO377,7),CLU!$Z$3:$AH$18,4)),GQ377,GS377)</f>
        <v>#N/A</v>
      </c>
      <c r="CP377" s="431" t="e">
        <f t="shared" ca="1" si="1156"/>
        <v>#N/A</v>
      </c>
      <c r="CQ377" s="440">
        <f t="shared" si="1157"/>
        <v>0</v>
      </c>
      <c r="CR377" s="51" t="e">
        <f t="shared" ca="1" si="1158"/>
        <v>#N/A</v>
      </c>
      <c r="CS377" s="439" t="e">
        <f t="shared" ca="1" si="1159"/>
        <v>#VALUE!</v>
      </c>
      <c r="CT377" s="51" t="e">
        <f t="shared" ca="1" si="1160"/>
        <v>#VALUE!</v>
      </c>
      <c r="CU377" s="10"/>
      <c r="CV377" s="51" t="e">
        <f t="shared" ca="1" si="1057"/>
        <v>#VALUE!</v>
      </c>
      <c r="CW377" s="51">
        <f t="shared" si="1161"/>
        <v>0</v>
      </c>
      <c r="CX377" s="439" t="e">
        <f t="shared" ca="1" si="1162"/>
        <v>#VALUE!</v>
      </c>
      <c r="CY377" s="51" t="e">
        <f t="shared" ca="1" si="1163"/>
        <v>#VALUE!</v>
      </c>
      <c r="CZ377" s="10"/>
      <c r="DA377" s="51" t="e">
        <f t="shared" ca="1" si="1164"/>
        <v>#VALUE!</v>
      </c>
      <c r="DB377" s="347" t="e">
        <f ca="1">INDEX(INDIRECT(VLOOKUP(LEFT(BO377,7),CLU!$Z$3:$AI$18,10)),((M377-2)*(6-COUNTBLANK(GT377:GY377)))+GJ377)*LI377</f>
        <v>#N/A</v>
      </c>
      <c r="DC377" s="347" t="str">
        <f>IF(L377&gt;0,((R377/Worksheet!$I$15)/DB377)^2," ")</f>
        <v xml:space="preserve"> </v>
      </c>
      <c r="DD377" s="602" t="str">
        <f t="shared" si="1165"/>
        <v xml:space="preserve"> </v>
      </c>
      <c r="DE377" s="347" t="str">
        <f t="shared" si="1058"/>
        <v xml:space="preserve"> </v>
      </c>
      <c r="DF377" s="356" t="e">
        <f ca="1">INDEX(INDIRECT(VLOOKUP(LEFT(BO377,7),CLU!$Z$3:$AH$18,8)),((M377-2)*(6-COUNTBLANK(GT377:GY377)))+GJ377)</f>
        <v>#N/A</v>
      </c>
      <c r="DG377" s="347" t="str">
        <f t="shared" si="1059"/>
        <v xml:space="preserve"> </v>
      </c>
      <c r="DH377" s="357" t="str">
        <f t="shared" si="1060"/>
        <v xml:space="preserve"> </v>
      </c>
      <c r="DI377" s="355" t="str">
        <f t="shared" si="1061"/>
        <v xml:space="preserve"> </v>
      </c>
      <c r="DJ377" s="245" t="e">
        <f ca="1">INDEX(INDIRECT(VLOOKUP(LEFT(BO377,7),CLU!$Z$3:$AH$18,5)),GL377,GK377)</f>
        <v>#N/A</v>
      </c>
      <c r="DK377" s="245" t="e">
        <f ca="1">INDEX(INDIRECT(VLOOKUP(LEFT(BO377,7),CLU!$Z$3:$AH$18,6)),GL377,GK377)</f>
        <v>#N/A</v>
      </c>
      <c r="DL377" s="355">
        <f>(Calculation!R377*0.69143*(Calculation!$BQ$8-Calculation!$F$8))*$S$14</f>
        <v>0</v>
      </c>
      <c r="DM377" s="359" t="e">
        <f t="shared" si="1166"/>
        <v>#VALUE!</v>
      </c>
      <c r="DN377" s="611">
        <f t="shared" si="1167"/>
        <v>0</v>
      </c>
      <c r="DO377" s="359">
        <f t="shared" si="1168"/>
        <v>100</v>
      </c>
      <c r="DP377" s="359">
        <f t="shared" si="1169"/>
        <v>0</v>
      </c>
      <c r="DQ377" s="360"/>
      <c r="DR377" s="245" t="e">
        <f ca="1">INDEX(INDIRECT(VLOOKUP(LEFT(BO377,7),CLU!$Z$3:$AH$18,7)),M377-1,1)</f>
        <v>#N/A</v>
      </c>
      <c r="DS377" s="245" t="e">
        <f ca="1">INDEX(INDIRECT(VLOOKUP(LEFT(BO377,7),CLU!$Z$3:$AH$18,7)),M377-1,2)</f>
        <v>#N/A</v>
      </c>
      <c r="DT377" s="245" t="e">
        <f ca="1">INDEX(INDIRECT(VLOOKUP(LEFT(BO377,7),CLU!$Z$3:$AH$18,7)),M377-1,3)</f>
        <v>#N/A</v>
      </c>
      <c r="DU377" s="245" t="e">
        <f ca="1">INDEX(INDIRECT(VLOOKUP(LEFT(BO377,7),CLU!$Z$3:$AH$18,7)),M377-1,4)</f>
        <v>#N/A</v>
      </c>
      <c r="DV377" s="361" t="e">
        <f ca="1">INDEX(INDIRECT(VLOOKUP(LEFT(BO377,7),CLU!$Z$3:$AH$18,7)),M377-1,4+LEFT(DZ377,1)*0.5)</f>
        <v>#N/A</v>
      </c>
      <c r="DW377" s="245" t="e">
        <f ca="1">INDEX(INDIRECT(VLOOKUP(LEFT(BO377,7),CLU!$Z$3:$AH$18,7)),M377-1,8)</f>
        <v>#N/A</v>
      </c>
      <c r="DX377" s="361" t="str">
        <f t="shared" si="1062"/>
        <v xml:space="preserve"> </v>
      </c>
      <c r="DY377" s="361" t="str">
        <f t="shared" si="1063"/>
        <v xml:space="preserve"> </v>
      </c>
      <c r="DZ377" s="361" t="str">
        <f t="shared" si="1064"/>
        <v xml:space="preserve"> </v>
      </c>
      <c r="EA377" s="362" t="str">
        <f t="shared" si="1065"/>
        <v xml:space="preserve"> </v>
      </c>
      <c r="EB377" s="624" t="str">
        <f t="shared" si="1170"/>
        <v xml:space="preserve"> </v>
      </c>
      <c r="EC377" s="361" t="e">
        <f ca="1">INDEX(INDIRECT(VLOOKUP(LEFT(BO377,7),CLU!$Z$3:$AH$18,7)),M377-1,4+LEFT(DZ377,1)*0.5)</f>
        <v>#N/A</v>
      </c>
      <c r="ED377" s="362" t="str">
        <f t="shared" si="1066"/>
        <v xml:space="preserve"> </v>
      </c>
      <c r="EE377" s="361" t="str">
        <f t="shared" si="1067"/>
        <v xml:space="preserve"> </v>
      </c>
      <c r="EF377" s="362" t="str">
        <f>IF(L377&gt;0,IF(BR377&gt;0,IF(EE377="2P",IF(Calculation!DZ377="2P",IF(Calculation!DS377=13.75,IF(Calculation!DR377=13,Worksheet!$BD$43,IF(Calculation!DR377=37,Worksheet!$BD$44,Worksheet!$BD$45)),IF(Calculation!DS377=10,IF(Calculation!DR377=18,Worksheet!$BD$29,IF(Calculation!DR377=30,Worksheet!$BD$30,IF(Calculation!DR377=42,Worksheet!$BD$31,IF(Calculation!DR377=54,Worksheet!$BD$32,IF(Calculation!DR377=66,Worksheet!$BD$33,IF(Calculation!DR377=78,Worksheet!$BD$34,IF(Calculation!DR377=90,Worksheet!$BD$35,IF(Calculation!DR377=102,Worksheet!$BD$36,Worksheet!$BD$37)))))))),IF(Calculation!DS377=12.5,IF(Calculation!DR377=18,Worksheet!$BD$38,IF(Calculation!DR377=Worksheet!$BD$39,IF(Calculation!DR377=42,Worksheet!$BD$40,IF(Calculation!DR377=54,Worksheet!$BD$41,Worksheet!$BD$42)))),IF(Calculation!DR377=18,Worksheet!$BD$11,IF(Calculation!DR377=30,Worksheet!$BD$12,IF(Calculation!DR377=42,Worksheet!$BD$13,IF(Calculation!DR377=54,Worksheet!$BD$14,IF(Calculation!DR377=66,Worksheet!$BD$15,IF(Calculation!DR377=78,Worksheet!$BD$16,IF(Calculation!DR377=90,Worksheet!$BD$17,IF(Calculation!DR377=102,Worksheet!$BD$18,Worksheet!$BD$19))))))))))),IF(Calculation!DS377=13.75,IF(Calculation!DR377=13,Worksheet!$BD$78,IF(Calculation!DR377=37,Worksheet!$BD$79,Worksheet!$BD$80)),IF(Calculation!DS377=10,IF(Calculation!DR377=18,Worksheet!$BD$64,IF(Calculation!DR377=30,Worksheet!$BD$65,IF(Calculation!DR377=42,Worksheet!$BD$66,IF(Calculation!DR377=54,Worksheet!$BD$68,IF(Calculation!DR377=66,Worksheet!$BD$68,IF(Calculation!DR377=78,Worksheet!$BD$69,IF(Calculation!DR377=90,Worksheet!$BD$70,IF(Calculation!DR377=102,Worksheet!$BD$71,Worksheet!$BD$72)))))))),IF(Calculation!DS377=12.5,IF(Calculation!DR377=18,Worksheet!$BD$73,IF(Calculation!DR377=Worksheet!$BD$74,IF(Calculation!DR377=42,Worksheet!$BD$75,IF(Calculation!DR377=54,Worksheet!$BD$76,Worksheet!$BD$77)))),IF(Calculation!DR377=18,Worksheet!$BD$55,IF(Calculation!DR377=30,Worksheet!$BD$56,IF(Calculation!DR377=42,Worksheet!$BD$57,IF(Calculation!DR377=54,Worksheet!$BD$58,IF(Calculation!DR377=66,Worksheet!$BD$59,IF(Calculation!DR377=78,Worksheet!$BD$60,IF(Calculation!DR377=90,Worksheet!$BD$61,IF(Calculation!DR377=102,Worksheet!$BD$62,Worksheet!$BD$63)))))))))))),5),0)," ")</f>
        <v xml:space="preserve"> </v>
      </c>
      <c r="EG377" s="361" t="str">
        <f t="shared" si="1068"/>
        <v xml:space="preserve"> </v>
      </c>
      <c r="EH377" s="361" t="e">
        <f ca="1">INDEX(INDIRECT(VLOOKUP(LEFT(BO377,7),CLU!$Z$3:$AH$18,7)),M377-1,3+LEFT(DZ377,1))</f>
        <v>#N/A</v>
      </c>
      <c r="EI377" s="362" t="str">
        <f t="shared" si="1069"/>
        <v xml:space="preserve"> </v>
      </c>
      <c r="EJ377" s="363" t="str">
        <f t="shared" si="1070"/>
        <v xml:space="preserve"> </v>
      </c>
      <c r="EK377" s="363" t="str">
        <f t="shared" si="1071"/>
        <v xml:space="preserve"> </v>
      </c>
      <c r="EL377" s="363" t="str">
        <f t="shared" si="1072"/>
        <v xml:space="preserve"> </v>
      </c>
      <c r="EM377" s="362" t="str">
        <f>IF(L377&gt;0,IF(BR377&gt;0,(Calculation!T377/ED377)^2,0)," ")</f>
        <v xml:space="preserve"> </v>
      </c>
      <c r="EN377" s="362" t="str">
        <f>IF(L377&gt;0,IF(O377="2 Pipe (Cooling)","N/A",IF(BR377&gt;0,(Calculation!U377/EI377)^2,0))," ")</f>
        <v xml:space="preserve"> </v>
      </c>
      <c r="EO377" s="361" t="str">
        <f t="shared" si="1073"/>
        <v/>
      </c>
      <c r="EP377" s="361" t="str">
        <f t="shared" si="1074"/>
        <v/>
      </c>
      <c r="EQ377" s="361" t="str">
        <f t="shared" si="1075"/>
        <v/>
      </c>
      <c r="ER377" s="361" t="str">
        <f t="shared" si="1076"/>
        <v/>
      </c>
      <c r="ES377" s="361" t="str">
        <f t="shared" si="1077"/>
        <v/>
      </c>
      <c r="ET377" s="361" t="str">
        <f t="shared" si="1078"/>
        <v/>
      </c>
      <c r="EU377" s="361" t="str">
        <f t="shared" si="1079"/>
        <v/>
      </c>
      <c r="EV377" s="361" t="str">
        <f t="shared" si="1080"/>
        <v/>
      </c>
      <c r="EW377" s="361" t="str">
        <f t="shared" si="1081"/>
        <v/>
      </c>
      <c r="EX377" s="361" t="str">
        <f t="shared" si="1171"/>
        <v>1 slot, 1 way</v>
      </c>
      <c r="EY377" s="361" t="str">
        <f t="shared" si="1172"/>
        <v xml:space="preserve"> </v>
      </c>
      <c r="EZ377" s="361" t="str">
        <f t="shared" si="1173"/>
        <v xml:space="preserve"> </v>
      </c>
      <c r="FA377" s="361" t="str">
        <f t="shared" si="1174"/>
        <v xml:space="preserve"> </v>
      </c>
      <c r="FB377" s="361" t="str">
        <f t="shared" si="1175"/>
        <v xml:space="preserve"> </v>
      </c>
      <c r="FC377" s="361"/>
      <c r="FD377" s="361" t="str">
        <f>IF(J377&gt;0,IF(Calculation!R377&lt;=70,4,IF(Calculation!R377&lt;=110,5,IF(Calculation!R377&lt;=160,6,IF(Calculation!R377&lt;=300,8,"10 EO")))),"")</f>
        <v/>
      </c>
      <c r="FE377" s="361" t="str">
        <f t="shared" si="1176"/>
        <v/>
      </c>
      <c r="FF377" s="361" t="str">
        <f t="shared" si="1177"/>
        <v/>
      </c>
      <c r="FG377" s="361" t="e">
        <f t="shared" si="1082"/>
        <v>#N/A</v>
      </c>
      <c r="FH377" s="361">
        <f t="shared" si="1083"/>
        <v>0</v>
      </c>
      <c r="FI377" s="361" t="e">
        <f t="shared" si="1084"/>
        <v>#DIV/0!</v>
      </c>
      <c r="FJ377" s="361"/>
      <c r="FK377" s="356" t="e">
        <f t="shared" si="1085"/>
        <v>#VALUE!</v>
      </c>
      <c r="FL377" s="361"/>
      <c r="FM377" s="361"/>
      <c r="FN377" s="362" t="str">
        <f t="shared" si="1178"/>
        <v xml:space="preserve"> </v>
      </c>
      <c r="FO377" s="362" t="str">
        <f t="shared" si="1179"/>
        <v xml:space="preserve"> </v>
      </c>
      <c r="FP377" s="362">
        <f t="shared" si="1180"/>
        <v>0</v>
      </c>
      <c r="FQ377" s="361">
        <f t="shared" si="1086"/>
        <v>0</v>
      </c>
      <c r="FR377" s="362" t="str">
        <f>IF(L377&gt;0,IF(J377="CBAL2",Worksheet!$P$67,IF(J377="CBE2-24",Worksheet!$Q$67,IF(J377="CBAM",Worksheet!$R$67,IF(J377="CBLV",Worksheet!$S$67,IF(J377="CBAB",Worksheet!$U$67,IF(J377="CBAW",Worksheet!$X$67,IF(J377="CBE2-12",Worksheet!$Y$67,IF(J377="CBAL2",Worksheet!$Z$67,"N/A"))))))))," ")</f>
        <v xml:space="preserve"> </v>
      </c>
      <c r="FS377" s="362" t="str">
        <f>IF(L377&gt;0,IF(J377="CBAL2",Worksheet!$P$68,IF(J377="CBE2-24",Worksheet!$Q$68,IF(J377="CBAM",Worksheet!$R$68,IF(J377="CBLV",Worksheet!$S$68,IF(J377="CBAB",Worksheet!$U$68,IF(J377="CBAW",Worksheet!$X$68,IF(J377="CBE2-12",Worksheet!$Y$68,IF(J377="CBAL2",Worksheet!$Z$68,"N/A"))))))))," ")</f>
        <v xml:space="preserve"> </v>
      </c>
      <c r="FT377" s="362" t="str">
        <f>IF(L377&gt;0,IF(J377="CBAL2",Worksheet!$P$69,IF(J377="CBE2-24",Worksheet!$Q$69,IF(J377="CBAM",Worksheet!$R$69,IF(J377="CBLV",Worksheet!$S$69,IF(J377="CBAB",Worksheet!$U$69,IF(J377="CBAW",Worksheet!$X$69,IF(J377="CBE2-12",Worksheet!$Y$69,IF(J377="CBAL2",Worksheet!$Z$69,"N/A"))))))))," ")</f>
        <v xml:space="preserve"> </v>
      </c>
      <c r="FU377" s="361" t="str">
        <f t="shared" si="1181"/>
        <v xml:space="preserve"> </v>
      </c>
      <c r="FV377" s="362" t="str">
        <f t="shared" si="1182"/>
        <v xml:space="preserve"> </v>
      </c>
      <c r="FW377" s="362" t="str">
        <f t="shared" si="1183"/>
        <v xml:space="preserve"> </v>
      </c>
      <c r="FX377" s="362" t="str">
        <f t="shared" si="1184"/>
        <v xml:space="preserve"> </v>
      </c>
      <c r="FY377" s="355" t="str">
        <f t="shared" si="1185"/>
        <v xml:space="preserve"> </v>
      </c>
      <c r="FZ377" s="361" t="str">
        <f t="shared" si="1186"/>
        <v xml:space="preserve"> </v>
      </c>
      <c r="GA377" s="347" t="str">
        <f t="shared" si="1187"/>
        <v xml:space="preserve"> </v>
      </c>
      <c r="GB377" s="355" t="str">
        <f t="shared" si="1188"/>
        <v xml:space="preserve"> </v>
      </c>
      <c r="GC377" s="328" t="str">
        <f t="shared" si="1189"/>
        <v xml:space="preserve"> </v>
      </c>
      <c r="GD377" s="361" t="str">
        <f t="shared" si="1190"/>
        <v xml:space="preserve"> </v>
      </c>
      <c r="GE377" s="347" t="str">
        <f t="shared" si="1191"/>
        <v xml:space="preserve"> </v>
      </c>
      <c r="GF377" s="361" t="str">
        <f t="shared" si="1192"/>
        <v xml:space="preserve"> </v>
      </c>
      <c r="GG377" s="347" t="str">
        <f t="shared" si="1193"/>
        <v xml:space="preserve"> </v>
      </c>
      <c r="GH377" s="364">
        <f t="shared" si="1087"/>
        <v>0</v>
      </c>
      <c r="GI377" s="362">
        <f t="shared" si="1194"/>
        <v>2</v>
      </c>
      <c r="GJ377" s="433" t="e">
        <f>IF(6-COUNTBLANK(GT377:GY377)=4,MATCH(MID(BO377,9,3),CLU!$H$16:$K$16),MATCH(MID(BO377,9,3),CLU!$H$13:$M$13))</f>
        <v>#N/A</v>
      </c>
      <c r="GK377" s="433" t="e">
        <f>HLOOKUP(VALUE(BP377),CLU!$H$9:$M$10,2)</f>
        <v>#VALUE!</v>
      </c>
      <c r="GL377" s="433" t="e">
        <f ca="1">MATCH(BU377,CLU!$H$2:$V$2,1)</f>
        <v>#VALUE!</v>
      </c>
      <c r="GM377" s="433" t="e">
        <f t="shared" ca="1" si="1195"/>
        <v>#VALUE!</v>
      </c>
      <c r="GN377" s="433" t="e">
        <f t="shared" ca="1" si="1196"/>
        <v>#VALUE!</v>
      </c>
      <c r="GO377" s="433" t="e">
        <f t="shared" ca="1" si="1197"/>
        <v>#VALUE!</v>
      </c>
      <c r="GP377" s="433" t="e">
        <f t="shared" ca="1" si="1198"/>
        <v>#VALUE!</v>
      </c>
      <c r="GQ377" s="433" t="e">
        <f t="shared" ca="1" si="1199"/>
        <v>#VALUE!</v>
      </c>
      <c r="GR377" s="433" t="e">
        <f ca="1">MATCH(T377,INDIRECT(VLOOKUP(CONCATENATE(LEFT(BO377,7),"-",MID(BO377,13,1)),CLU!$P$3:$Q$16,2)),1)</f>
        <v>#N/A</v>
      </c>
      <c r="GS377" s="433" t="e">
        <f ca="1">MATCH(U377,INDIRECT(VLOOKUP(CONCATENATE(LEFT(BO377,7),"-",MID(BO377,13,1)),CLU!$P$3:$Q$16,2)),1)</f>
        <v>#N/A</v>
      </c>
      <c r="GT377" s="347" t="s">
        <v>512</v>
      </c>
      <c r="GU377" s="97" t="s">
        <v>513</v>
      </c>
      <c r="GV377" s="97" t="str">
        <f t="shared" si="1200"/>
        <v>M23</v>
      </c>
      <c r="GW377" s="97" t="str">
        <f t="shared" si="1201"/>
        <v>M31</v>
      </c>
      <c r="GX377" s="97" t="str">
        <f t="shared" si="1202"/>
        <v/>
      </c>
      <c r="GY377" s="97" t="str">
        <f t="shared" si="1203"/>
        <v/>
      </c>
      <c r="GZ377" s="481"/>
      <c r="HA377" s="240"/>
      <c r="HB377" s="240"/>
      <c r="HC377" s="240"/>
      <c r="HD377" s="240"/>
      <c r="HE377" s="240"/>
      <c r="HF377" s="240"/>
      <c r="HG377" s="240"/>
      <c r="HH377" s="240"/>
      <c r="HI377" s="240"/>
      <c r="HJ377" s="240"/>
      <c r="HK377" s="240"/>
      <c r="HL377" s="240"/>
      <c r="HM377" s="240"/>
      <c r="HN377" s="240"/>
      <c r="HO377" s="240"/>
      <c r="HP377" s="240"/>
      <c r="HQ377" s="240"/>
      <c r="HR377" s="240"/>
      <c r="HS377" s="240"/>
      <c r="HT377" s="240"/>
      <c r="HU377" s="240"/>
      <c r="HV377" s="245"/>
      <c r="HW377" s="245" t="b">
        <v>1</v>
      </c>
      <c r="HX377" s="245" t="str">
        <f t="shared" si="1088"/>
        <v/>
      </c>
      <c r="HY377" s="245" t="e">
        <f t="shared" si="1089"/>
        <v>#DIV/0!</v>
      </c>
      <c r="HZ377" s="245" t="e">
        <f t="shared" si="1090"/>
        <v>#DIV/0!</v>
      </c>
      <c r="IA377" s="245">
        <f t="shared" si="1091"/>
        <v>0</v>
      </c>
      <c r="IB377" s="245"/>
      <c r="IC377" t="b">
        <f t="shared" si="1092"/>
        <v>1</v>
      </c>
      <c r="ID377" s="245" t="b">
        <f t="shared" si="1093"/>
        <v>1</v>
      </c>
      <c r="IE377" s="245" t="b">
        <f t="shared" si="1094"/>
        <v>1</v>
      </c>
      <c r="IF377" s="245" t="b">
        <f t="shared" si="1095"/>
        <v>0</v>
      </c>
      <c r="IG377" s="245" t="b">
        <f t="shared" si="1096"/>
        <v>1</v>
      </c>
      <c r="IH377" s="245" t="b">
        <f t="shared" si="1097"/>
        <v>1</v>
      </c>
      <c r="II377" s="245">
        <f t="shared" si="1204"/>
        <v>0</v>
      </c>
      <c r="IJ377" s="245" t="e">
        <f t="shared" si="1098"/>
        <v>#VALUE!</v>
      </c>
      <c r="IK377" s="245" t="e">
        <f t="shared" si="1099"/>
        <v>#VALUE!</v>
      </c>
      <c r="IL377" s="245"/>
      <c r="IM377" s="245" t="e">
        <f t="shared" si="1205"/>
        <v>#N/A</v>
      </c>
      <c r="IN377" s="245" t="e">
        <f t="shared" si="1206"/>
        <v>#N/A</v>
      </c>
      <c r="IO377" s="245"/>
      <c r="IP377" s="245"/>
      <c r="IQ377" s="245" t="str">
        <f t="shared" si="1100"/>
        <v/>
      </c>
      <c r="IR377" s="245" t="str">
        <f>IF(J377="","",VLOOKUP(J377,Worksheet!$R$4:$T$14,2))</f>
        <v/>
      </c>
      <c r="IS377" s="245"/>
      <c r="IT377" s="245">
        <f t="shared" si="1101"/>
        <v>0</v>
      </c>
      <c r="IU377" s="245">
        <f t="shared" si="1102"/>
        <v>0</v>
      </c>
      <c r="IV377" s="245">
        <f t="shared" si="1103"/>
        <v>0</v>
      </c>
      <c r="IW377" s="245">
        <f t="shared" si="1104"/>
        <v>0</v>
      </c>
      <c r="IX377" s="245">
        <f t="shared" si="1207"/>
        <v>0</v>
      </c>
      <c r="IY377" s="245">
        <f t="shared" si="1105"/>
        <v>0</v>
      </c>
      <c r="IZ377" s="245">
        <f t="shared" si="1106"/>
        <v>0</v>
      </c>
      <c r="JA377">
        <f t="shared" si="1107"/>
        <v>0</v>
      </c>
      <c r="JB377">
        <f t="shared" si="1208"/>
        <v>0</v>
      </c>
      <c r="JC377">
        <f t="shared" si="1108"/>
        <v>0</v>
      </c>
      <c r="JD377">
        <f t="shared" si="1109"/>
        <v>0</v>
      </c>
      <c r="JE377">
        <f t="shared" si="1110"/>
        <v>0</v>
      </c>
      <c r="JF377">
        <f t="shared" si="1111"/>
        <v>0</v>
      </c>
      <c r="JG377">
        <f t="shared" si="1112"/>
        <v>0</v>
      </c>
      <c r="JH377">
        <f t="shared" si="1113"/>
        <v>0</v>
      </c>
      <c r="JI377">
        <f t="shared" si="1114"/>
        <v>0</v>
      </c>
      <c r="JJ377" s="447">
        <f t="shared" si="1115"/>
        <v>0</v>
      </c>
      <c r="JK377" s="447">
        <f t="shared" si="1116"/>
        <v>0</v>
      </c>
      <c r="JL377">
        <f t="shared" si="1117"/>
        <v>0</v>
      </c>
      <c r="JM377" s="245" t="str">
        <f>IFERROR(VLOOKUP(MATCH(BN377,#REF!,0),#REF!,7),"")</f>
        <v/>
      </c>
      <c r="JN377" t="e">
        <f>HLOOKUP(LEFT(BO377,7),Discharge_Area,MATCH(JO377,LookUps!$B$130:$B$149,1)+2)</f>
        <v>#N/A</v>
      </c>
      <c r="JO377" t="str">
        <f t="shared" si="1118"/>
        <v>- S</v>
      </c>
      <c r="JP377" t="e">
        <f>HLOOKUP(LEFT(BO377,7),Discharge_Area,MATCH(JO377,LookUps!$B$130:$B$149,1)+2)</f>
        <v>#N/A</v>
      </c>
      <c r="JQ377" t="e">
        <f t="shared" si="1119"/>
        <v>#N/A</v>
      </c>
      <c r="JR377" t="e">
        <f t="shared" si="1120"/>
        <v>#N/A</v>
      </c>
      <c r="JS377" t="e">
        <f t="shared" si="1121"/>
        <v>#N/A</v>
      </c>
      <c r="JT377" s="532" t="str">
        <f t="shared" si="1122"/>
        <v xml:space="preserve"> </v>
      </c>
      <c r="JU377" s="532" t="str">
        <f t="shared" si="1123"/>
        <v xml:space="preserve"> </v>
      </c>
      <c r="JV377" s="533" t="str">
        <f t="shared" si="1124"/>
        <v xml:space="preserve"> </v>
      </c>
      <c r="JW377" s="534">
        <f t="shared" si="1125"/>
        <v>0</v>
      </c>
      <c r="JX377" s="535" t="str">
        <f t="shared" si="1209"/>
        <v xml:space="preserve"> </v>
      </c>
      <c r="JY377" s="535" t="str">
        <f t="shared" si="1210"/>
        <v xml:space="preserve"> </v>
      </c>
      <c r="JZ377" s="535" t="str">
        <f t="shared" si="1211"/>
        <v xml:space="preserve"> </v>
      </c>
      <c r="KA377" s="536" t="str">
        <f t="shared" si="1126"/>
        <v xml:space="preserve"> </v>
      </c>
      <c r="KB377" s="535" t="e">
        <f t="shared" si="1212"/>
        <v>#VALUE!</v>
      </c>
      <c r="KC377" s="535" t="str">
        <f t="shared" si="1127"/>
        <v/>
      </c>
      <c r="KD377" s="537" t="str">
        <f t="shared" si="1213"/>
        <v xml:space="preserve"> </v>
      </c>
      <c r="KE377" s="537" t="str">
        <f t="shared" si="1214"/>
        <v xml:space="preserve"> </v>
      </c>
      <c r="KF377" s="534">
        <f t="shared" si="1128"/>
        <v>0</v>
      </c>
      <c r="KG377" s="535" t="str">
        <f t="shared" si="1129"/>
        <v xml:space="preserve"> </v>
      </c>
      <c r="KH377" s="535" t="str">
        <f t="shared" si="1130"/>
        <v xml:space="preserve"> </v>
      </c>
      <c r="KI377" s="535" t="str">
        <f t="shared" si="1131"/>
        <v xml:space="preserve"> </v>
      </c>
      <c r="KJ377" s="536" t="str">
        <f t="shared" si="1132"/>
        <v xml:space="preserve"> </v>
      </c>
      <c r="KK377" s="535" t="str">
        <f t="shared" si="1215"/>
        <v xml:space="preserve"> </v>
      </c>
      <c r="KL377" s="535" t="str">
        <f t="shared" si="1216"/>
        <v xml:space="preserve"> </v>
      </c>
      <c r="KM377" s="537" t="str">
        <f t="shared" si="1133"/>
        <v xml:space="preserve"> </v>
      </c>
      <c r="KN377" s="537" t="str">
        <f t="shared" si="1217"/>
        <v xml:space="preserve"> </v>
      </c>
      <c r="KP377">
        <f t="shared" si="1134"/>
        <v>0</v>
      </c>
      <c r="LA377" t="e">
        <f t="shared" si="1135"/>
        <v>#VALUE!</v>
      </c>
      <c r="LB377" t="e">
        <f t="shared" si="1136"/>
        <v>#VALUE!</v>
      </c>
      <c r="LC377" t="e">
        <f t="shared" si="1137"/>
        <v>#VALUE!</v>
      </c>
      <c r="LD377" t="e">
        <f t="shared" si="1138"/>
        <v>#VALUE!</v>
      </c>
      <c r="LE377" t="e">
        <f t="shared" si="1218"/>
        <v>#VALUE!</v>
      </c>
      <c r="LF377">
        <f t="shared" si="1139"/>
        <v>0</v>
      </c>
      <c r="LG377" t="e">
        <f t="shared" si="1219"/>
        <v>#VALUE!</v>
      </c>
      <c r="LH377" t="str">
        <f t="shared" si="1140"/>
        <v xml:space="preserve"> </v>
      </c>
      <c r="LI377">
        <f t="shared" si="1220"/>
        <v>1</v>
      </c>
    </row>
    <row r="378" spans="2:321" ht="15" customHeight="1">
      <c r="B378" s="311"/>
      <c r="C378" s="311"/>
      <c r="D378" s="312"/>
      <c r="E378" s="311"/>
      <c r="F378" s="312"/>
      <c r="G378" s="311"/>
      <c r="H378" s="311"/>
      <c r="I378" s="232"/>
      <c r="J378" s="311"/>
      <c r="K378" s="305" t="str">
        <f t="shared" si="1141"/>
        <v/>
      </c>
      <c r="L378" s="313"/>
      <c r="M378" s="312"/>
      <c r="N378" s="311"/>
      <c r="O378" s="312"/>
      <c r="P378" s="311"/>
      <c r="Q378" s="305" t="str">
        <f t="shared" si="1142"/>
        <v/>
      </c>
      <c r="R378" s="314"/>
      <c r="S378" s="450" t="str">
        <f t="shared" si="1025"/>
        <v/>
      </c>
      <c r="T378" s="315"/>
      <c r="U378" s="315"/>
      <c r="W378" s="149" t="str">
        <f t="shared" si="1026"/>
        <v xml:space="preserve"> </v>
      </c>
      <c r="X378" s="243" t="str">
        <f t="shared" si="1027"/>
        <v xml:space="preserve"> </v>
      </c>
      <c r="Y378" s="150" t="str">
        <f t="shared" si="1028"/>
        <v/>
      </c>
      <c r="Z378" s="149" t="str">
        <f t="shared" si="1029"/>
        <v xml:space="preserve"> </v>
      </c>
      <c r="AA378" s="98" t="str">
        <f t="shared" si="1030"/>
        <v xml:space="preserve"> </v>
      </c>
      <c r="AB378" s="153" t="str">
        <f t="shared" si="1031"/>
        <v xml:space="preserve"> </v>
      </c>
      <c r="AC378" s="153" t="str">
        <f t="shared" si="1032"/>
        <v xml:space="preserve"> </v>
      </c>
      <c r="AD378" s="148" t="str">
        <f t="shared" si="1033"/>
        <v/>
      </c>
      <c r="AE378" s="149" t="str">
        <f t="shared" si="1034"/>
        <v/>
      </c>
      <c r="AF378" s="151" t="str">
        <f t="shared" si="1035"/>
        <v xml:space="preserve"> </v>
      </c>
      <c r="AG378" s="153" t="str">
        <f t="shared" si="1036"/>
        <v xml:space="preserve"> </v>
      </c>
      <c r="AH378" s="98" t="str">
        <f t="shared" si="1037"/>
        <v xml:space="preserve"> </v>
      </c>
      <c r="AI378" s="149" t="str">
        <f t="shared" si="1038"/>
        <v xml:space="preserve"> </v>
      </c>
      <c r="AK378" s="144" t="str">
        <f t="shared" si="1039"/>
        <v xml:space="preserve"> </v>
      </c>
      <c r="AL378" s="144"/>
      <c r="AM378" s="243" t="str">
        <f t="shared" si="1040"/>
        <v xml:space="preserve"> </v>
      </c>
      <c r="AN378" s="149" t="str">
        <f t="shared" si="1143"/>
        <v xml:space="preserve"> </v>
      </c>
      <c r="AO378" s="144" t="str">
        <f>IF(JB378&gt;0,IF(GI378=10,-R378*1.085*(Calculation!$F$6-Calculation!$F$13)*$S$14," "),"")</f>
        <v/>
      </c>
      <c r="AP378" s="144" t="str">
        <f t="shared" si="1041"/>
        <v/>
      </c>
      <c r="AQ378" s="56" t="str">
        <f t="shared" si="1042"/>
        <v/>
      </c>
      <c r="AR378" s="144" t="str">
        <f t="shared" si="1043"/>
        <v/>
      </c>
      <c r="AS378" s="176" t="str">
        <f t="shared" si="1044"/>
        <v/>
      </c>
      <c r="AT378" s="176" t="str">
        <f t="shared" si="1144"/>
        <v xml:space="preserve"> </v>
      </c>
      <c r="AU378" s="176" t="str">
        <f t="shared" si="1045"/>
        <v/>
      </c>
      <c r="AV378" s="177" t="str">
        <f t="shared" si="1046"/>
        <v xml:space="preserve"> </v>
      </c>
      <c r="AW378" s="144" t="str">
        <f t="shared" si="1047"/>
        <v xml:space="preserve"> </v>
      </c>
      <c r="AX378" s="144" t="str">
        <f t="shared" si="1048"/>
        <v xml:space="preserve"> </v>
      </c>
      <c r="AY378" s="152" t="str">
        <f t="shared" si="1049"/>
        <v xml:space="preserve"> </v>
      </c>
      <c r="AZ378" s="246" t="str">
        <f t="shared" si="1050"/>
        <v/>
      </c>
      <c r="BA378" s="176" t="str">
        <f t="shared" si="1051"/>
        <v xml:space="preserve"> </v>
      </c>
      <c r="BB378" s="176" t="str">
        <f t="shared" si="1052"/>
        <v xml:space="preserve"> </v>
      </c>
      <c r="BC378" s="195"/>
      <c r="BD378" s="316"/>
      <c r="BE378" s="317"/>
      <c r="BF378" s="318"/>
      <c r="BG378" s="318"/>
      <c r="BH378" s="144" t="str">
        <f t="shared" si="1221"/>
        <v xml:space="preserve"> </v>
      </c>
      <c r="BI378" s="176" t="str">
        <f t="shared" si="1053"/>
        <v/>
      </c>
      <c r="BJ378" s="144" t="str">
        <f t="shared" si="1222"/>
        <v/>
      </c>
      <c r="BK378" s="246" t="str">
        <f t="shared" si="1054"/>
        <v/>
      </c>
      <c r="BL378" s="144" t="str">
        <f t="shared" si="1223"/>
        <v/>
      </c>
      <c r="BM378" s="246" t="str">
        <f t="shared" si="1055"/>
        <v/>
      </c>
      <c r="BN378" s="337" t="str">
        <f t="shared" si="1145"/>
        <v/>
      </c>
      <c r="BO378" s="371" t="str">
        <f t="shared" si="1146"/>
        <v/>
      </c>
      <c r="BP378" s="328" t="str">
        <f t="shared" si="1224"/>
        <v xml:space="preserve"> </v>
      </c>
      <c r="BQ378" s="347" t="str">
        <f t="shared" si="1147"/>
        <v xml:space="preserve"> </v>
      </c>
      <c r="BR378" s="353" t="str">
        <f t="shared" si="1148"/>
        <v xml:space="preserve"> </v>
      </c>
      <c r="BS378" s="626" t="str">
        <f>IF(L378&gt;0,IF(Calculation!P378="M13",BR378*3.1416*(0.134^2)/(4*144),IF(Calculation!P378="M17",BR378*3.1416*(0.165^2)/(4*144),IF(Calculation!P378="M20",BR378*3.1416*(0.198^2)/(4*144),IF(Calculation!P378="M23",BR378*3.1416*(0.228^2)/(4*144),IF(Calculation!P378="M27",BR378*3.1416*(0.269^2)/(4*144),BR378*3.1416*(0.307^2)/(4*144))))))," ")</f>
        <v xml:space="preserve"> </v>
      </c>
      <c r="BT378" s="353" t="str">
        <f>IF(L378&gt;0,IF(BS378&gt;0,R378/Calculation!BS378,0)," ")</f>
        <v xml:space="preserve"> </v>
      </c>
      <c r="BU378" s="438" t="e">
        <f t="shared" ca="1" si="1056"/>
        <v>#VALUE!</v>
      </c>
      <c r="BV378" s="449" t="e">
        <f ca="1">INDEX(INDIRECT(VLOOKUP(LEFT(BO378,7),CLU!$Z$3:$AH$18,2)),GN378,GR378)</f>
        <v>#N/A</v>
      </c>
      <c r="BW378" s="433" t="e">
        <f ca="1">INDEX(INDIRECT(VLOOKUP(LEFT(BO378,7),CLU!$Z$3:$AH$18,3)),GN378,GR378)</f>
        <v>#N/A</v>
      </c>
      <c r="BX378" s="433" t="e">
        <f ca="1">INDEX(INDIRECT(VLOOKUP(LEFT(BO378,7),CLU!$Z$3:$AH$18,4)),GN378,GR378)</f>
        <v>#N/A</v>
      </c>
      <c r="BY378" s="433" t="e">
        <f ca="1">INDEX(INDIRECT(VLOOKUP(LEFT(BO378,7),CLU!$Z$3:$AH$18,9)),((M378-2)*(6-COUNTBLANK(GT378:GY378)))+GJ378)</f>
        <v>#N/A</v>
      </c>
      <c r="BZ378" s="426" t="e">
        <f t="shared" ca="1" si="1149"/>
        <v>#N/A</v>
      </c>
      <c r="CA378" s="424" t="e">
        <f t="shared" ca="1" si="1150"/>
        <v>#N/A</v>
      </c>
      <c r="CB378" s="429" t="e">
        <f ca="1">INDEX(INDIRECT(VLOOKUP(LEFT(BO378,7),CLU!$Z$3:$AH$18,2)),GN378,GS378)</f>
        <v>#N/A</v>
      </c>
      <c r="CC378" s="342" t="e">
        <f ca="1">INDEX(INDIRECT(VLOOKUP(LEFT(BO378,7),CLU!$Z$3:$AH$18,3)),GN378,GS378)</f>
        <v>#N/A</v>
      </c>
      <c r="CD378" s="342" t="e">
        <f ca="1">INDEX(INDIRECT(VLOOKUP(LEFT(BO378,7),CLU!$Z$3:$AH$18,4)),GN378,GS378)</f>
        <v>#N/A</v>
      </c>
      <c r="CE378" s="426" t="e">
        <f t="shared" ca="1" si="1151"/>
        <v>#N/A</v>
      </c>
      <c r="CF378" s="440">
        <f t="shared" si="1152"/>
        <v>0</v>
      </c>
      <c r="CG378" s="431" t="e">
        <f ca="1">INDEX(INDIRECT(VLOOKUP(LEFT(BO378,7),CLU!$Z$3:$AH$18,2)),GQ378,GR378)</f>
        <v>#N/A</v>
      </c>
      <c r="CH378" s="431" t="e">
        <f ca="1">INDEX(INDIRECT(VLOOKUP(LEFT(BO378,7),CLU!$Z$3:$AH$18,3)),GQ378,GR378)</f>
        <v>#N/A</v>
      </c>
      <c r="CI378" s="431" t="e">
        <f ca="1">INDEX(INDIRECT(VLOOKUP(LEFT(BO378,7),CLU!$Z$3:$AH$18,4)),GQ378,GR378)</f>
        <v>#N/A</v>
      </c>
      <c r="CJ378" s="448" t="e">
        <f t="shared" ca="1" si="1153"/>
        <v>#N/A</v>
      </c>
      <c r="CK378" s="431" t="e">
        <f t="shared" ca="1" si="1154"/>
        <v>#N/A</v>
      </c>
      <c r="CL378" s="440" t="e">
        <f t="shared" ca="1" si="1155"/>
        <v>#N/A</v>
      </c>
      <c r="CM378" s="431" t="e">
        <f ca="1">INDEX(INDIRECT(VLOOKUP(LEFT(BO378,7),CLU!$Z$3:$AH$18,2)),GQ378,GS378)</f>
        <v>#N/A</v>
      </c>
      <c r="CN378" s="431" t="e">
        <f ca="1">INDEX(INDIRECT(VLOOKUP(LEFT(BO378,7),CLU!$Z$3:$AH$18,3)),GQ378,GS378)</f>
        <v>#N/A</v>
      </c>
      <c r="CO378" s="431" t="e">
        <f ca="1">INDEX(INDIRECT(VLOOKUP(LEFT(BO378,7),CLU!$Z$3:$AH$18,4)),GQ378,GS378)</f>
        <v>#N/A</v>
      </c>
      <c r="CP378" s="431" t="e">
        <f t="shared" ca="1" si="1156"/>
        <v>#N/A</v>
      </c>
      <c r="CQ378" s="440">
        <f t="shared" si="1157"/>
        <v>0</v>
      </c>
      <c r="CR378" s="51" t="e">
        <f t="shared" ca="1" si="1158"/>
        <v>#N/A</v>
      </c>
      <c r="CS378" s="439" t="e">
        <f t="shared" ca="1" si="1159"/>
        <v>#VALUE!</v>
      </c>
      <c r="CT378" s="51" t="e">
        <f t="shared" ca="1" si="1160"/>
        <v>#VALUE!</v>
      </c>
      <c r="CU378" s="10"/>
      <c r="CV378" s="51" t="e">
        <f t="shared" ca="1" si="1057"/>
        <v>#VALUE!</v>
      </c>
      <c r="CW378" s="51">
        <f t="shared" si="1161"/>
        <v>0</v>
      </c>
      <c r="CX378" s="439" t="e">
        <f t="shared" ca="1" si="1162"/>
        <v>#VALUE!</v>
      </c>
      <c r="CY378" s="51" t="e">
        <f t="shared" ca="1" si="1163"/>
        <v>#VALUE!</v>
      </c>
      <c r="CZ378" s="10"/>
      <c r="DA378" s="51" t="e">
        <f t="shared" ca="1" si="1164"/>
        <v>#VALUE!</v>
      </c>
      <c r="DB378" s="347" t="e">
        <f ca="1">INDEX(INDIRECT(VLOOKUP(LEFT(BO378,7),CLU!$Z$3:$AI$18,10)),((M378-2)*(6-COUNTBLANK(GT378:GY378)))+GJ378)*LI378</f>
        <v>#N/A</v>
      </c>
      <c r="DC378" s="347" t="str">
        <f>IF(L378&gt;0,((R378/Worksheet!$I$15)/DB378)^2," ")</f>
        <v xml:space="preserve"> </v>
      </c>
      <c r="DD378" s="602" t="str">
        <f t="shared" si="1165"/>
        <v xml:space="preserve"> </v>
      </c>
      <c r="DE378" s="347" t="str">
        <f t="shared" si="1058"/>
        <v xml:space="preserve"> </v>
      </c>
      <c r="DF378" s="356" t="e">
        <f ca="1">INDEX(INDIRECT(VLOOKUP(LEFT(BO378,7),CLU!$Z$3:$AH$18,8)),((M378-2)*(6-COUNTBLANK(GT378:GY378)))+GJ378)</f>
        <v>#N/A</v>
      </c>
      <c r="DG378" s="347" t="str">
        <f t="shared" si="1059"/>
        <v xml:space="preserve"> </v>
      </c>
      <c r="DH378" s="357" t="str">
        <f t="shared" si="1060"/>
        <v xml:space="preserve"> </v>
      </c>
      <c r="DI378" s="355" t="str">
        <f t="shared" si="1061"/>
        <v xml:space="preserve"> </v>
      </c>
      <c r="DJ378" s="245" t="e">
        <f ca="1">INDEX(INDIRECT(VLOOKUP(LEFT(BO378,7),CLU!$Z$3:$AH$18,5)),GL378,GK378)</f>
        <v>#N/A</v>
      </c>
      <c r="DK378" s="245" t="e">
        <f ca="1">INDEX(INDIRECT(VLOOKUP(LEFT(BO378,7),CLU!$Z$3:$AH$18,6)),GL378,GK378)</f>
        <v>#N/A</v>
      </c>
      <c r="DL378" s="355">
        <f>(Calculation!R378*0.69143*(Calculation!$BQ$8-Calculation!$F$8))*$S$14</f>
        <v>0</v>
      </c>
      <c r="DM378" s="359" t="e">
        <f t="shared" si="1166"/>
        <v>#VALUE!</v>
      </c>
      <c r="DN378" s="611">
        <f t="shared" si="1167"/>
        <v>0</v>
      </c>
      <c r="DO378" s="359">
        <f t="shared" si="1168"/>
        <v>100</v>
      </c>
      <c r="DP378" s="359">
        <f t="shared" si="1169"/>
        <v>0</v>
      </c>
      <c r="DQ378" s="360"/>
      <c r="DR378" s="245" t="e">
        <f ca="1">INDEX(INDIRECT(VLOOKUP(LEFT(BO378,7),CLU!$Z$3:$AH$18,7)),M378-1,1)</f>
        <v>#N/A</v>
      </c>
      <c r="DS378" s="245" t="e">
        <f ca="1">INDEX(INDIRECT(VLOOKUP(LEFT(BO378,7),CLU!$Z$3:$AH$18,7)),M378-1,2)</f>
        <v>#N/A</v>
      </c>
      <c r="DT378" s="245" t="e">
        <f ca="1">INDEX(INDIRECT(VLOOKUP(LEFT(BO378,7),CLU!$Z$3:$AH$18,7)),M378-1,3)</f>
        <v>#N/A</v>
      </c>
      <c r="DU378" s="245" t="e">
        <f ca="1">INDEX(INDIRECT(VLOOKUP(LEFT(BO378,7),CLU!$Z$3:$AH$18,7)),M378-1,4)</f>
        <v>#N/A</v>
      </c>
      <c r="DV378" s="361" t="e">
        <f ca="1">INDEX(INDIRECT(VLOOKUP(LEFT(BO378,7),CLU!$Z$3:$AH$18,7)),M378-1,4+LEFT(DZ378,1)*0.5)</f>
        <v>#N/A</v>
      </c>
      <c r="DW378" s="245" t="e">
        <f ca="1">INDEX(INDIRECT(VLOOKUP(LEFT(BO378,7),CLU!$Z$3:$AH$18,7)),M378-1,8)</f>
        <v>#N/A</v>
      </c>
      <c r="DX378" s="361" t="str">
        <f t="shared" si="1062"/>
        <v xml:space="preserve"> </v>
      </c>
      <c r="DY378" s="361" t="str">
        <f t="shared" si="1063"/>
        <v xml:space="preserve"> </v>
      </c>
      <c r="DZ378" s="361" t="str">
        <f t="shared" si="1064"/>
        <v xml:space="preserve"> </v>
      </c>
      <c r="EA378" s="362" t="str">
        <f t="shared" si="1065"/>
        <v xml:space="preserve"> </v>
      </c>
      <c r="EB378" s="624" t="str">
        <f t="shared" si="1170"/>
        <v xml:space="preserve"> </v>
      </c>
      <c r="EC378" s="361" t="e">
        <f ca="1">INDEX(INDIRECT(VLOOKUP(LEFT(BO378,7),CLU!$Z$3:$AH$18,7)),M378-1,4+LEFT(DZ378,1)*0.5)</f>
        <v>#N/A</v>
      </c>
      <c r="ED378" s="362" t="str">
        <f t="shared" si="1066"/>
        <v xml:space="preserve"> </v>
      </c>
      <c r="EE378" s="361" t="str">
        <f t="shared" si="1067"/>
        <v xml:space="preserve"> </v>
      </c>
      <c r="EF378" s="362" t="str">
        <f>IF(L378&gt;0,IF(BR378&gt;0,IF(EE378="2P",IF(Calculation!DZ378="2P",IF(Calculation!DS378=13.75,IF(Calculation!DR378=13,Worksheet!$BD$43,IF(Calculation!DR378=37,Worksheet!$BD$44,Worksheet!$BD$45)),IF(Calculation!DS378=10,IF(Calculation!DR378=18,Worksheet!$BD$29,IF(Calculation!DR378=30,Worksheet!$BD$30,IF(Calculation!DR378=42,Worksheet!$BD$31,IF(Calculation!DR378=54,Worksheet!$BD$32,IF(Calculation!DR378=66,Worksheet!$BD$33,IF(Calculation!DR378=78,Worksheet!$BD$34,IF(Calculation!DR378=90,Worksheet!$BD$35,IF(Calculation!DR378=102,Worksheet!$BD$36,Worksheet!$BD$37)))))))),IF(Calculation!DS378=12.5,IF(Calculation!DR378=18,Worksheet!$BD$38,IF(Calculation!DR378=Worksheet!$BD$39,IF(Calculation!DR378=42,Worksheet!$BD$40,IF(Calculation!DR378=54,Worksheet!$BD$41,Worksheet!$BD$42)))),IF(Calculation!DR378=18,Worksheet!$BD$11,IF(Calculation!DR378=30,Worksheet!$BD$12,IF(Calculation!DR378=42,Worksheet!$BD$13,IF(Calculation!DR378=54,Worksheet!$BD$14,IF(Calculation!DR378=66,Worksheet!$BD$15,IF(Calculation!DR378=78,Worksheet!$BD$16,IF(Calculation!DR378=90,Worksheet!$BD$17,IF(Calculation!DR378=102,Worksheet!$BD$18,Worksheet!$BD$19))))))))))),IF(Calculation!DS378=13.75,IF(Calculation!DR378=13,Worksheet!$BD$78,IF(Calculation!DR378=37,Worksheet!$BD$79,Worksheet!$BD$80)),IF(Calculation!DS378=10,IF(Calculation!DR378=18,Worksheet!$BD$64,IF(Calculation!DR378=30,Worksheet!$BD$65,IF(Calculation!DR378=42,Worksheet!$BD$66,IF(Calculation!DR378=54,Worksheet!$BD$68,IF(Calculation!DR378=66,Worksheet!$BD$68,IF(Calculation!DR378=78,Worksheet!$BD$69,IF(Calculation!DR378=90,Worksheet!$BD$70,IF(Calculation!DR378=102,Worksheet!$BD$71,Worksheet!$BD$72)))))))),IF(Calculation!DS378=12.5,IF(Calculation!DR378=18,Worksheet!$BD$73,IF(Calculation!DR378=Worksheet!$BD$74,IF(Calculation!DR378=42,Worksheet!$BD$75,IF(Calculation!DR378=54,Worksheet!$BD$76,Worksheet!$BD$77)))),IF(Calculation!DR378=18,Worksheet!$BD$55,IF(Calculation!DR378=30,Worksheet!$BD$56,IF(Calculation!DR378=42,Worksheet!$BD$57,IF(Calculation!DR378=54,Worksheet!$BD$58,IF(Calculation!DR378=66,Worksheet!$BD$59,IF(Calculation!DR378=78,Worksheet!$BD$60,IF(Calculation!DR378=90,Worksheet!$BD$61,IF(Calculation!DR378=102,Worksheet!$BD$62,Worksheet!$BD$63)))))))))))),5),0)," ")</f>
        <v xml:space="preserve"> </v>
      </c>
      <c r="EG378" s="361" t="str">
        <f t="shared" si="1068"/>
        <v xml:space="preserve"> </v>
      </c>
      <c r="EH378" s="361" t="e">
        <f ca="1">INDEX(INDIRECT(VLOOKUP(LEFT(BO378,7),CLU!$Z$3:$AH$18,7)),M378-1,3+LEFT(DZ378,1))</f>
        <v>#N/A</v>
      </c>
      <c r="EI378" s="362" t="str">
        <f t="shared" si="1069"/>
        <v xml:space="preserve"> </v>
      </c>
      <c r="EJ378" s="363" t="str">
        <f t="shared" si="1070"/>
        <v xml:space="preserve"> </v>
      </c>
      <c r="EK378" s="363" t="str">
        <f t="shared" si="1071"/>
        <v xml:space="preserve"> </v>
      </c>
      <c r="EL378" s="363" t="str">
        <f t="shared" si="1072"/>
        <v xml:space="preserve"> </v>
      </c>
      <c r="EM378" s="362" t="str">
        <f>IF(L378&gt;0,IF(BR378&gt;0,(Calculation!T378/ED378)^2,0)," ")</f>
        <v xml:space="preserve"> </v>
      </c>
      <c r="EN378" s="362" t="str">
        <f>IF(L378&gt;0,IF(O378="2 Pipe (Cooling)","N/A",IF(BR378&gt;0,(Calculation!U378/EI378)^2,0))," ")</f>
        <v xml:space="preserve"> </v>
      </c>
      <c r="EO378" s="361" t="str">
        <f t="shared" si="1073"/>
        <v/>
      </c>
      <c r="EP378" s="361" t="str">
        <f t="shared" si="1074"/>
        <v/>
      </c>
      <c r="EQ378" s="361" t="str">
        <f t="shared" si="1075"/>
        <v/>
      </c>
      <c r="ER378" s="361" t="str">
        <f t="shared" si="1076"/>
        <v/>
      </c>
      <c r="ES378" s="361" t="str">
        <f t="shared" si="1077"/>
        <v/>
      </c>
      <c r="ET378" s="361" t="str">
        <f t="shared" si="1078"/>
        <v/>
      </c>
      <c r="EU378" s="361" t="str">
        <f t="shared" si="1079"/>
        <v/>
      </c>
      <c r="EV378" s="361" t="str">
        <f t="shared" si="1080"/>
        <v/>
      </c>
      <c r="EW378" s="361" t="str">
        <f t="shared" si="1081"/>
        <v/>
      </c>
      <c r="EX378" s="361" t="str">
        <f t="shared" si="1171"/>
        <v>1 slot, 1 way</v>
      </c>
      <c r="EY378" s="361" t="str">
        <f t="shared" si="1172"/>
        <v xml:space="preserve"> </v>
      </c>
      <c r="EZ378" s="361" t="str">
        <f t="shared" si="1173"/>
        <v xml:space="preserve"> </v>
      </c>
      <c r="FA378" s="361" t="str">
        <f t="shared" si="1174"/>
        <v xml:space="preserve"> </v>
      </c>
      <c r="FB378" s="361" t="str">
        <f t="shared" si="1175"/>
        <v xml:space="preserve"> </v>
      </c>
      <c r="FC378" s="361"/>
      <c r="FD378" s="361" t="str">
        <f>IF(J378&gt;0,IF(Calculation!R378&lt;=70,4,IF(Calculation!R378&lt;=110,5,IF(Calculation!R378&lt;=160,6,IF(Calculation!R378&lt;=300,8,"10 EO")))),"")</f>
        <v/>
      </c>
      <c r="FE378" s="361" t="str">
        <f t="shared" si="1176"/>
        <v/>
      </c>
      <c r="FF378" s="361" t="str">
        <f t="shared" si="1177"/>
        <v/>
      </c>
      <c r="FG378" s="361" t="e">
        <f t="shared" si="1082"/>
        <v>#N/A</v>
      </c>
      <c r="FH378" s="361">
        <f t="shared" si="1083"/>
        <v>0</v>
      </c>
      <c r="FI378" s="361" t="e">
        <f t="shared" si="1084"/>
        <v>#DIV/0!</v>
      </c>
      <c r="FJ378" s="361"/>
      <c r="FK378" s="356" t="e">
        <f t="shared" si="1085"/>
        <v>#VALUE!</v>
      </c>
      <c r="FL378" s="361"/>
      <c r="FM378" s="361"/>
      <c r="FN378" s="362" t="str">
        <f t="shared" si="1178"/>
        <v xml:space="preserve"> </v>
      </c>
      <c r="FO378" s="362" t="str">
        <f t="shared" si="1179"/>
        <v xml:space="preserve"> </v>
      </c>
      <c r="FP378" s="362">
        <f t="shared" si="1180"/>
        <v>0</v>
      </c>
      <c r="FQ378" s="361">
        <f t="shared" si="1086"/>
        <v>0</v>
      </c>
      <c r="FR378" s="362" t="str">
        <f>IF(L378&gt;0,IF(J378="CBAL2",Worksheet!$P$67,IF(J378="CBE2-24",Worksheet!$Q$67,IF(J378="CBAM",Worksheet!$R$67,IF(J378="CBLV",Worksheet!$S$67,IF(J378="CBAB",Worksheet!$U$67,IF(J378="CBAW",Worksheet!$X$67,IF(J378="CBE2-12",Worksheet!$Y$67,IF(J378="CBAL2",Worksheet!$Z$67,"N/A"))))))))," ")</f>
        <v xml:space="preserve"> </v>
      </c>
      <c r="FS378" s="362" t="str">
        <f>IF(L378&gt;0,IF(J378="CBAL2",Worksheet!$P$68,IF(J378="CBE2-24",Worksheet!$Q$68,IF(J378="CBAM",Worksheet!$R$68,IF(J378="CBLV",Worksheet!$S$68,IF(J378="CBAB",Worksheet!$U$68,IF(J378="CBAW",Worksheet!$X$68,IF(J378="CBE2-12",Worksheet!$Y$68,IF(J378="CBAL2",Worksheet!$Z$68,"N/A"))))))))," ")</f>
        <v xml:space="preserve"> </v>
      </c>
      <c r="FT378" s="362" t="str">
        <f>IF(L378&gt;0,IF(J378="CBAL2",Worksheet!$P$69,IF(J378="CBE2-24",Worksheet!$Q$69,IF(J378="CBAM",Worksheet!$R$69,IF(J378="CBLV",Worksheet!$S$69,IF(J378="CBAB",Worksheet!$U$69,IF(J378="CBAW",Worksheet!$X$69,IF(J378="CBE2-12",Worksheet!$Y$69,IF(J378="CBAL2",Worksheet!$Z$69,"N/A"))))))))," ")</f>
        <v xml:space="preserve"> </v>
      </c>
      <c r="FU378" s="361" t="str">
        <f t="shared" si="1181"/>
        <v xml:space="preserve"> </v>
      </c>
      <c r="FV378" s="362" t="str">
        <f t="shared" si="1182"/>
        <v xml:space="preserve"> </v>
      </c>
      <c r="FW378" s="362" t="str">
        <f t="shared" si="1183"/>
        <v xml:space="preserve"> </v>
      </c>
      <c r="FX378" s="362" t="str">
        <f t="shared" si="1184"/>
        <v xml:space="preserve"> </v>
      </c>
      <c r="FY378" s="355" t="str">
        <f t="shared" si="1185"/>
        <v xml:space="preserve"> </v>
      </c>
      <c r="FZ378" s="361" t="str">
        <f t="shared" si="1186"/>
        <v xml:space="preserve"> </v>
      </c>
      <c r="GA378" s="347" t="str">
        <f t="shared" si="1187"/>
        <v xml:space="preserve"> </v>
      </c>
      <c r="GB378" s="355" t="str">
        <f t="shared" si="1188"/>
        <v xml:space="preserve"> </v>
      </c>
      <c r="GC378" s="328" t="str">
        <f t="shared" si="1189"/>
        <v xml:space="preserve"> </v>
      </c>
      <c r="GD378" s="361" t="str">
        <f t="shared" si="1190"/>
        <v xml:space="preserve"> </v>
      </c>
      <c r="GE378" s="347" t="str">
        <f t="shared" si="1191"/>
        <v xml:space="preserve"> </v>
      </c>
      <c r="GF378" s="361" t="str">
        <f t="shared" si="1192"/>
        <v xml:space="preserve"> </v>
      </c>
      <c r="GG378" s="347" t="str">
        <f t="shared" si="1193"/>
        <v xml:space="preserve"> </v>
      </c>
      <c r="GH378" s="364">
        <f t="shared" si="1087"/>
        <v>0</v>
      </c>
      <c r="GI378" s="362">
        <f t="shared" si="1194"/>
        <v>2</v>
      </c>
      <c r="GJ378" s="433" t="e">
        <f>IF(6-COUNTBLANK(GT378:GY378)=4,MATCH(MID(BO378,9,3),CLU!$H$16:$K$16),MATCH(MID(BO378,9,3),CLU!$H$13:$M$13))</f>
        <v>#N/A</v>
      </c>
      <c r="GK378" s="433" t="e">
        <f>HLOOKUP(VALUE(BP378),CLU!$H$9:$M$10,2)</f>
        <v>#VALUE!</v>
      </c>
      <c r="GL378" s="433" t="e">
        <f ca="1">MATCH(BU378,CLU!$H$2:$V$2,1)</f>
        <v>#VALUE!</v>
      </c>
      <c r="GM378" s="433" t="e">
        <f t="shared" ca="1" si="1195"/>
        <v>#VALUE!</v>
      </c>
      <c r="GN378" s="433" t="e">
        <f t="shared" ca="1" si="1196"/>
        <v>#VALUE!</v>
      </c>
      <c r="GO378" s="433" t="e">
        <f t="shared" ca="1" si="1197"/>
        <v>#VALUE!</v>
      </c>
      <c r="GP378" s="433" t="e">
        <f t="shared" ca="1" si="1198"/>
        <v>#VALUE!</v>
      </c>
      <c r="GQ378" s="433" t="e">
        <f t="shared" ca="1" si="1199"/>
        <v>#VALUE!</v>
      </c>
      <c r="GR378" s="433" t="e">
        <f ca="1">MATCH(T378,INDIRECT(VLOOKUP(CONCATENATE(LEFT(BO378,7),"-",MID(BO378,13,1)),CLU!$P$3:$Q$16,2)),1)</f>
        <v>#N/A</v>
      </c>
      <c r="GS378" s="433" t="e">
        <f ca="1">MATCH(U378,INDIRECT(VLOOKUP(CONCATENATE(LEFT(BO378,7),"-",MID(BO378,13,1)),CLU!$P$3:$Q$16,2)),1)</f>
        <v>#N/A</v>
      </c>
      <c r="GT378" s="347" t="s">
        <v>512</v>
      </c>
      <c r="GU378" s="97" t="s">
        <v>513</v>
      </c>
      <c r="GV378" s="97" t="str">
        <f t="shared" si="1200"/>
        <v>M23</v>
      </c>
      <c r="GW378" s="97" t="str">
        <f t="shared" si="1201"/>
        <v>M31</v>
      </c>
      <c r="GX378" s="97" t="str">
        <f t="shared" si="1202"/>
        <v/>
      </c>
      <c r="GY378" s="97" t="str">
        <f t="shared" si="1203"/>
        <v/>
      </c>
      <c r="GZ378" s="481"/>
      <c r="HA378" s="240"/>
      <c r="HB378" s="240"/>
      <c r="HC378" s="240"/>
      <c r="HD378" s="240"/>
      <c r="HE378" s="240"/>
      <c r="HF378" s="240"/>
      <c r="HG378" s="240"/>
      <c r="HH378" s="240"/>
      <c r="HI378" s="240"/>
      <c r="HJ378" s="240"/>
      <c r="HK378" s="240"/>
      <c r="HL378" s="240"/>
      <c r="HM378" s="240"/>
      <c r="HN378" s="240"/>
      <c r="HO378" s="240"/>
      <c r="HP378" s="240"/>
      <c r="HQ378" s="240"/>
      <c r="HR378" s="240"/>
      <c r="HS378" s="240"/>
      <c r="HT378" s="240"/>
      <c r="HU378" s="240"/>
      <c r="HV378" s="245"/>
      <c r="HW378" s="245" t="b">
        <v>1</v>
      </c>
      <c r="HX378" s="245" t="str">
        <f t="shared" si="1088"/>
        <v/>
      </c>
      <c r="HY378" s="245" t="e">
        <f t="shared" si="1089"/>
        <v>#DIV/0!</v>
      </c>
      <c r="HZ378" s="245" t="e">
        <f t="shared" si="1090"/>
        <v>#DIV/0!</v>
      </c>
      <c r="IA378" s="245">
        <f t="shared" si="1091"/>
        <v>0</v>
      </c>
      <c r="IB378" s="245"/>
      <c r="IC378" t="b">
        <f t="shared" si="1092"/>
        <v>1</v>
      </c>
      <c r="ID378" s="245" t="b">
        <f t="shared" si="1093"/>
        <v>1</v>
      </c>
      <c r="IE378" s="245" t="b">
        <f t="shared" si="1094"/>
        <v>1</v>
      </c>
      <c r="IF378" s="245" t="b">
        <f t="shared" si="1095"/>
        <v>0</v>
      </c>
      <c r="IG378" s="245" t="b">
        <f t="shared" si="1096"/>
        <v>1</v>
      </c>
      <c r="IH378" s="245" t="b">
        <f t="shared" si="1097"/>
        <v>1</v>
      </c>
      <c r="II378" s="245">
        <f t="shared" si="1204"/>
        <v>0</v>
      </c>
      <c r="IJ378" s="245" t="e">
        <f t="shared" si="1098"/>
        <v>#VALUE!</v>
      </c>
      <c r="IK378" s="245" t="e">
        <f t="shared" si="1099"/>
        <v>#VALUE!</v>
      </c>
      <c r="IL378" s="245"/>
      <c r="IM378" s="245" t="e">
        <f t="shared" si="1205"/>
        <v>#N/A</v>
      </c>
      <c r="IN378" s="245" t="e">
        <f t="shared" si="1206"/>
        <v>#N/A</v>
      </c>
      <c r="IO378" s="245"/>
      <c r="IP378" s="245"/>
      <c r="IQ378" s="245" t="str">
        <f t="shared" si="1100"/>
        <v/>
      </c>
      <c r="IR378" s="245" t="str">
        <f>IF(J378="","",VLOOKUP(J378,Worksheet!$R$4:$T$14,2))</f>
        <v/>
      </c>
      <c r="IS378" s="245"/>
      <c r="IT378" s="245">
        <f t="shared" si="1101"/>
        <v>0</v>
      </c>
      <c r="IU378" s="245">
        <f t="shared" si="1102"/>
        <v>0</v>
      </c>
      <c r="IV378" s="245">
        <f t="shared" si="1103"/>
        <v>0</v>
      </c>
      <c r="IW378" s="245">
        <f t="shared" si="1104"/>
        <v>0</v>
      </c>
      <c r="IX378" s="245">
        <f t="shared" si="1207"/>
        <v>0</v>
      </c>
      <c r="IY378" s="245">
        <f t="shared" si="1105"/>
        <v>0</v>
      </c>
      <c r="IZ378" s="245">
        <f t="shared" si="1106"/>
        <v>0</v>
      </c>
      <c r="JA378">
        <f t="shared" si="1107"/>
        <v>0</v>
      </c>
      <c r="JB378">
        <f t="shared" si="1208"/>
        <v>0</v>
      </c>
      <c r="JC378">
        <f t="shared" si="1108"/>
        <v>0</v>
      </c>
      <c r="JD378">
        <f t="shared" si="1109"/>
        <v>0</v>
      </c>
      <c r="JE378">
        <f t="shared" si="1110"/>
        <v>0</v>
      </c>
      <c r="JF378">
        <f t="shared" si="1111"/>
        <v>0</v>
      </c>
      <c r="JG378">
        <f t="shared" si="1112"/>
        <v>0</v>
      </c>
      <c r="JH378">
        <f t="shared" si="1113"/>
        <v>0</v>
      </c>
      <c r="JI378">
        <f t="shared" si="1114"/>
        <v>0</v>
      </c>
      <c r="JJ378" s="447">
        <f t="shared" si="1115"/>
        <v>0</v>
      </c>
      <c r="JK378" s="447">
        <f t="shared" si="1116"/>
        <v>0</v>
      </c>
      <c r="JL378">
        <f t="shared" si="1117"/>
        <v>0</v>
      </c>
      <c r="JM378" s="245" t="str">
        <f>IFERROR(VLOOKUP(MATCH(BN378,#REF!,0),#REF!,7),"")</f>
        <v/>
      </c>
      <c r="JN378" t="e">
        <f>HLOOKUP(LEFT(BO378,7),Discharge_Area,MATCH(JO378,LookUps!$B$130:$B$149,1)+2)</f>
        <v>#N/A</v>
      </c>
      <c r="JO378" t="str">
        <f t="shared" si="1118"/>
        <v>- S</v>
      </c>
      <c r="JP378" t="e">
        <f>HLOOKUP(LEFT(BO378,7),Discharge_Area,MATCH(JO378,LookUps!$B$130:$B$149,1)+2)</f>
        <v>#N/A</v>
      </c>
      <c r="JQ378" t="e">
        <f t="shared" si="1119"/>
        <v>#N/A</v>
      </c>
      <c r="JR378" t="e">
        <f t="shared" si="1120"/>
        <v>#N/A</v>
      </c>
      <c r="JS378" t="e">
        <f t="shared" si="1121"/>
        <v>#N/A</v>
      </c>
      <c r="JT378" s="532" t="str">
        <f t="shared" si="1122"/>
        <v xml:space="preserve"> </v>
      </c>
      <c r="JU378" s="532" t="str">
        <f t="shared" si="1123"/>
        <v xml:space="preserve"> </v>
      </c>
      <c r="JV378" s="533" t="str">
        <f t="shared" si="1124"/>
        <v xml:space="preserve"> </v>
      </c>
      <c r="JW378" s="534">
        <f t="shared" si="1125"/>
        <v>0</v>
      </c>
      <c r="JX378" s="535" t="str">
        <f t="shared" si="1209"/>
        <v xml:space="preserve"> </v>
      </c>
      <c r="JY378" s="535" t="str">
        <f t="shared" si="1210"/>
        <v xml:space="preserve"> </v>
      </c>
      <c r="JZ378" s="535" t="str">
        <f t="shared" si="1211"/>
        <v xml:space="preserve"> </v>
      </c>
      <c r="KA378" s="536" t="str">
        <f t="shared" si="1126"/>
        <v xml:space="preserve"> </v>
      </c>
      <c r="KB378" s="535" t="e">
        <f t="shared" si="1212"/>
        <v>#VALUE!</v>
      </c>
      <c r="KC378" s="535" t="str">
        <f t="shared" si="1127"/>
        <v/>
      </c>
      <c r="KD378" s="537" t="str">
        <f t="shared" si="1213"/>
        <v xml:space="preserve"> </v>
      </c>
      <c r="KE378" s="537" t="str">
        <f t="shared" si="1214"/>
        <v xml:space="preserve"> </v>
      </c>
      <c r="KF378" s="534">
        <f t="shared" si="1128"/>
        <v>0</v>
      </c>
      <c r="KG378" s="535" t="str">
        <f t="shared" si="1129"/>
        <v xml:space="preserve"> </v>
      </c>
      <c r="KH378" s="535" t="str">
        <f t="shared" si="1130"/>
        <v xml:space="preserve"> </v>
      </c>
      <c r="KI378" s="535" t="str">
        <f t="shared" si="1131"/>
        <v xml:space="preserve"> </v>
      </c>
      <c r="KJ378" s="536" t="str">
        <f t="shared" si="1132"/>
        <v xml:space="preserve"> </v>
      </c>
      <c r="KK378" s="535" t="str">
        <f t="shared" si="1215"/>
        <v xml:space="preserve"> </v>
      </c>
      <c r="KL378" s="535" t="str">
        <f t="shared" si="1216"/>
        <v xml:space="preserve"> </v>
      </c>
      <c r="KM378" s="537" t="str">
        <f t="shared" si="1133"/>
        <v xml:space="preserve"> </v>
      </c>
      <c r="KN378" s="537" t="str">
        <f t="shared" si="1217"/>
        <v xml:space="preserve"> </v>
      </c>
      <c r="KP378">
        <f t="shared" si="1134"/>
        <v>0</v>
      </c>
      <c r="LA378" t="e">
        <f t="shared" si="1135"/>
        <v>#VALUE!</v>
      </c>
      <c r="LB378" t="e">
        <f t="shared" si="1136"/>
        <v>#VALUE!</v>
      </c>
      <c r="LC378" t="e">
        <f t="shared" si="1137"/>
        <v>#VALUE!</v>
      </c>
      <c r="LD378" t="e">
        <f t="shared" si="1138"/>
        <v>#VALUE!</v>
      </c>
      <c r="LE378" t="e">
        <f t="shared" si="1218"/>
        <v>#VALUE!</v>
      </c>
      <c r="LF378">
        <f t="shared" si="1139"/>
        <v>0</v>
      </c>
      <c r="LG378" t="e">
        <f t="shared" si="1219"/>
        <v>#VALUE!</v>
      </c>
      <c r="LH378" t="str">
        <f t="shared" si="1140"/>
        <v xml:space="preserve"> </v>
      </c>
      <c r="LI378">
        <f t="shared" si="1220"/>
        <v>1</v>
      </c>
    </row>
    <row r="379" spans="2:321" ht="15" customHeight="1">
      <c r="B379" s="311"/>
      <c r="C379" s="311"/>
      <c r="D379" s="312"/>
      <c r="E379" s="311"/>
      <c r="F379" s="312"/>
      <c r="G379" s="311"/>
      <c r="H379" s="311"/>
      <c r="I379" s="232"/>
      <c r="J379" s="311"/>
      <c r="K379" s="305" t="str">
        <f t="shared" si="1141"/>
        <v/>
      </c>
      <c r="L379" s="313"/>
      <c r="M379" s="312"/>
      <c r="N379" s="311"/>
      <c r="O379" s="312"/>
      <c r="P379" s="311"/>
      <c r="Q379" s="305" t="str">
        <f t="shared" si="1142"/>
        <v/>
      </c>
      <c r="R379" s="314"/>
      <c r="S379" s="450" t="str">
        <f t="shared" si="1025"/>
        <v/>
      </c>
      <c r="T379" s="315"/>
      <c r="U379" s="315"/>
      <c r="W379" s="149" t="str">
        <f t="shared" si="1026"/>
        <v xml:space="preserve"> </v>
      </c>
      <c r="X379" s="243" t="str">
        <f t="shared" si="1027"/>
        <v xml:space="preserve"> </v>
      </c>
      <c r="Y379" s="150" t="str">
        <f t="shared" si="1028"/>
        <v/>
      </c>
      <c r="Z379" s="149" t="str">
        <f t="shared" si="1029"/>
        <v xml:space="preserve"> </v>
      </c>
      <c r="AA379" s="98" t="str">
        <f t="shared" si="1030"/>
        <v xml:space="preserve"> </v>
      </c>
      <c r="AB379" s="153" t="str">
        <f t="shared" si="1031"/>
        <v xml:space="preserve"> </v>
      </c>
      <c r="AC379" s="153" t="str">
        <f t="shared" si="1032"/>
        <v xml:space="preserve"> </v>
      </c>
      <c r="AD379" s="148" t="str">
        <f t="shared" si="1033"/>
        <v/>
      </c>
      <c r="AE379" s="149" t="str">
        <f t="shared" si="1034"/>
        <v/>
      </c>
      <c r="AF379" s="151" t="str">
        <f t="shared" si="1035"/>
        <v xml:space="preserve"> </v>
      </c>
      <c r="AG379" s="153" t="str">
        <f t="shared" si="1036"/>
        <v xml:space="preserve"> </v>
      </c>
      <c r="AH379" s="98" t="str">
        <f t="shared" si="1037"/>
        <v xml:space="preserve"> </v>
      </c>
      <c r="AI379" s="149" t="str">
        <f t="shared" si="1038"/>
        <v xml:space="preserve"> </v>
      </c>
      <c r="AK379" s="144" t="str">
        <f t="shared" si="1039"/>
        <v xml:space="preserve"> </v>
      </c>
      <c r="AL379" s="144"/>
      <c r="AM379" s="243" t="str">
        <f t="shared" si="1040"/>
        <v xml:space="preserve"> </v>
      </c>
      <c r="AN379" s="149" t="str">
        <f t="shared" si="1143"/>
        <v xml:space="preserve"> </v>
      </c>
      <c r="AO379" s="144" t="str">
        <f>IF(JB379&gt;0,IF(GI379=10,-R379*1.085*(Calculation!$F$6-Calculation!$F$13)*$S$14," "),"")</f>
        <v/>
      </c>
      <c r="AP379" s="144" t="str">
        <f t="shared" si="1041"/>
        <v/>
      </c>
      <c r="AQ379" s="56" t="str">
        <f t="shared" si="1042"/>
        <v/>
      </c>
      <c r="AR379" s="144" t="str">
        <f t="shared" si="1043"/>
        <v/>
      </c>
      <c r="AS379" s="176" t="str">
        <f t="shared" si="1044"/>
        <v/>
      </c>
      <c r="AT379" s="176" t="str">
        <f t="shared" si="1144"/>
        <v xml:space="preserve"> </v>
      </c>
      <c r="AU379" s="176" t="str">
        <f t="shared" si="1045"/>
        <v/>
      </c>
      <c r="AV379" s="177" t="str">
        <f t="shared" si="1046"/>
        <v xml:space="preserve"> </v>
      </c>
      <c r="AW379" s="144" t="str">
        <f t="shared" si="1047"/>
        <v xml:space="preserve"> </v>
      </c>
      <c r="AX379" s="144" t="str">
        <f t="shared" si="1048"/>
        <v xml:space="preserve"> </v>
      </c>
      <c r="AY379" s="152" t="str">
        <f t="shared" si="1049"/>
        <v xml:space="preserve"> </v>
      </c>
      <c r="AZ379" s="246" t="str">
        <f t="shared" si="1050"/>
        <v/>
      </c>
      <c r="BA379" s="176" t="str">
        <f t="shared" si="1051"/>
        <v xml:space="preserve"> </v>
      </c>
      <c r="BB379" s="176" t="str">
        <f t="shared" si="1052"/>
        <v xml:space="preserve"> </v>
      </c>
      <c r="BC379" s="195"/>
      <c r="BD379" s="316"/>
      <c r="BE379" s="317"/>
      <c r="BF379" s="318"/>
      <c r="BG379" s="318"/>
      <c r="BH379" s="144" t="str">
        <f t="shared" si="1221"/>
        <v xml:space="preserve"> </v>
      </c>
      <c r="BI379" s="176" t="str">
        <f t="shared" si="1053"/>
        <v/>
      </c>
      <c r="BJ379" s="144" t="str">
        <f t="shared" si="1222"/>
        <v/>
      </c>
      <c r="BK379" s="246" t="str">
        <f t="shared" si="1054"/>
        <v/>
      </c>
      <c r="BL379" s="144" t="str">
        <f t="shared" si="1223"/>
        <v/>
      </c>
      <c r="BM379" s="246" t="str">
        <f t="shared" si="1055"/>
        <v/>
      </c>
      <c r="BN379" s="337" t="str">
        <f t="shared" si="1145"/>
        <v/>
      </c>
      <c r="BO379" s="371" t="str">
        <f t="shared" si="1146"/>
        <v/>
      </c>
      <c r="BP379" s="328" t="str">
        <f t="shared" si="1224"/>
        <v xml:space="preserve"> </v>
      </c>
      <c r="BQ379" s="347" t="str">
        <f t="shared" si="1147"/>
        <v xml:space="preserve"> </v>
      </c>
      <c r="BR379" s="353" t="str">
        <f t="shared" si="1148"/>
        <v xml:space="preserve"> </v>
      </c>
      <c r="BS379" s="626" t="str">
        <f>IF(L379&gt;0,IF(Calculation!P379="M13",BR379*3.1416*(0.134^2)/(4*144),IF(Calculation!P379="M17",BR379*3.1416*(0.165^2)/(4*144),IF(Calculation!P379="M20",BR379*3.1416*(0.198^2)/(4*144),IF(Calculation!P379="M23",BR379*3.1416*(0.228^2)/(4*144),IF(Calculation!P379="M27",BR379*3.1416*(0.269^2)/(4*144),BR379*3.1416*(0.307^2)/(4*144))))))," ")</f>
        <v xml:space="preserve"> </v>
      </c>
      <c r="BT379" s="353" t="str">
        <f>IF(L379&gt;0,IF(BS379&gt;0,R379/Calculation!BS379,0)," ")</f>
        <v xml:space="preserve"> </v>
      </c>
      <c r="BU379" s="438" t="e">
        <f t="shared" ca="1" si="1056"/>
        <v>#VALUE!</v>
      </c>
      <c r="BV379" s="449" t="e">
        <f ca="1">INDEX(INDIRECT(VLOOKUP(LEFT(BO379,7),CLU!$Z$3:$AH$18,2)),GN379,GR379)</f>
        <v>#N/A</v>
      </c>
      <c r="BW379" s="433" t="e">
        <f ca="1">INDEX(INDIRECT(VLOOKUP(LEFT(BO379,7),CLU!$Z$3:$AH$18,3)),GN379,GR379)</f>
        <v>#N/A</v>
      </c>
      <c r="BX379" s="433" t="e">
        <f ca="1">INDEX(INDIRECT(VLOOKUP(LEFT(BO379,7),CLU!$Z$3:$AH$18,4)),GN379,GR379)</f>
        <v>#N/A</v>
      </c>
      <c r="BY379" s="433" t="e">
        <f ca="1">INDEX(INDIRECT(VLOOKUP(LEFT(BO379,7),CLU!$Z$3:$AH$18,9)),((M379-2)*(6-COUNTBLANK(GT379:GY379)))+GJ379)</f>
        <v>#N/A</v>
      </c>
      <c r="BZ379" s="426" t="e">
        <f t="shared" ca="1" si="1149"/>
        <v>#N/A</v>
      </c>
      <c r="CA379" s="424" t="e">
        <f t="shared" ca="1" si="1150"/>
        <v>#N/A</v>
      </c>
      <c r="CB379" s="429" t="e">
        <f ca="1">INDEX(INDIRECT(VLOOKUP(LEFT(BO379,7),CLU!$Z$3:$AH$18,2)),GN379,GS379)</f>
        <v>#N/A</v>
      </c>
      <c r="CC379" s="342" t="e">
        <f ca="1">INDEX(INDIRECT(VLOOKUP(LEFT(BO379,7),CLU!$Z$3:$AH$18,3)),GN379,GS379)</f>
        <v>#N/A</v>
      </c>
      <c r="CD379" s="342" t="e">
        <f ca="1">INDEX(INDIRECT(VLOOKUP(LEFT(BO379,7),CLU!$Z$3:$AH$18,4)),GN379,GS379)</f>
        <v>#N/A</v>
      </c>
      <c r="CE379" s="426" t="e">
        <f t="shared" ca="1" si="1151"/>
        <v>#N/A</v>
      </c>
      <c r="CF379" s="440">
        <f t="shared" si="1152"/>
        <v>0</v>
      </c>
      <c r="CG379" s="431" t="e">
        <f ca="1">INDEX(INDIRECT(VLOOKUP(LEFT(BO379,7),CLU!$Z$3:$AH$18,2)),GQ379,GR379)</f>
        <v>#N/A</v>
      </c>
      <c r="CH379" s="431" t="e">
        <f ca="1">INDEX(INDIRECT(VLOOKUP(LEFT(BO379,7),CLU!$Z$3:$AH$18,3)),GQ379,GR379)</f>
        <v>#N/A</v>
      </c>
      <c r="CI379" s="431" t="e">
        <f ca="1">INDEX(INDIRECT(VLOOKUP(LEFT(BO379,7),CLU!$Z$3:$AH$18,4)),GQ379,GR379)</f>
        <v>#N/A</v>
      </c>
      <c r="CJ379" s="448" t="e">
        <f t="shared" ca="1" si="1153"/>
        <v>#N/A</v>
      </c>
      <c r="CK379" s="431" t="e">
        <f t="shared" ca="1" si="1154"/>
        <v>#N/A</v>
      </c>
      <c r="CL379" s="440" t="e">
        <f t="shared" ca="1" si="1155"/>
        <v>#N/A</v>
      </c>
      <c r="CM379" s="431" t="e">
        <f ca="1">INDEX(INDIRECT(VLOOKUP(LEFT(BO379,7),CLU!$Z$3:$AH$18,2)),GQ379,GS379)</f>
        <v>#N/A</v>
      </c>
      <c r="CN379" s="431" t="e">
        <f ca="1">INDEX(INDIRECT(VLOOKUP(LEFT(BO379,7),CLU!$Z$3:$AH$18,3)),GQ379,GS379)</f>
        <v>#N/A</v>
      </c>
      <c r="CO379" s="431" t="e">
        <f ca="1">INDEX(INDIRECT(VLOOKUP(LEFT(BO379,7),CLU!$Z$3:$AH$18,4)),GQ379,GS379)</f>
        <v>#N/A</v>
      </c>
      <c r="CP379" s="431" t="e">
        <f t="shared" ca="1" si="1156"/>
        <v>#N/A</v>
      </c>
      <c r="CQ379" s="440">
        <f t="shared" si="1157"/>
        <v>0</v>
      </c>
      <c r="CR379" s="51" t="e">
        <f t="shared" ca="1" si="1158"/>
        <v>#N/A</v>
      </c>
      <c r="CS379" s="439" t="e">
        <f t="shared" ca="1" si="1159"/>
        <v>#VALUE!</v>
      </c>
      <c r="CT379" s="51" t="e">
        <f t="shared" ca="1" si="1160"/>
        <v>#VALUE!</v>
      </c>
      <c r="CU379" s="10"/>
      <c r="CV379" s="51" t="e">
        <f t="shared" ca="1" si="1057"/>
        <v>#VALUE!</v>
      </c>
      <c r="CW379" s="51">
        <f t="shared" si="1161"/>
        <v>0</v>
      </c>
      <c r="CX379" s="439" t="e">
        <f t="shared" ca="1" si="1162"/>
        <v>#VALUE!</v>
      </c>
      <c r="CY379" s="51" t="e">
        <f t="shared" ca="1" si="1163"/>
        <v>#VALUE!</v>
      </c>
      <c r="CZ379" s="10"/>
      <c r="DA379" s="51" t="e">
        <f t="shared" ca="1" si="1164"/>
        <v>#VALUE!</v>
      </c>
      <c r="DB379" s="347" t="e">
        <f ca="1">INDEX(INDIRECT(VLOOKUP(LEFT(BO379,7),CLU!$Z$3:$AI$18,10)),((M379-2)*(6-COUNTBLANK(GT379:GY379)))+GJ379)*LI379</f>
        <v>#N/A</v>
      </c>
      <c r="DC379" s="347" t="str">
        <f>IF(L379&gt;0,((R379/Worksheet!$I$15)/DB379)^2," ")</f>
        <v xml:space="preserve"> </v>
      </c>
      <c r="DD379" s="602" t="str">
        <f t="shared" si="1165"/>
        <v xml:space="preserve"> </v>
      </c>
      <c r="DE379" s="347" t="str">
        <f t="shared" si="1058"/>
        <v xml:space="preserve"> </v>
      </c>
      <c r="DF379" s="356" t="e">
        <f ca="1">INDEX(INDIRECT(VLOOKUP(LEFT(BO379,7),CLU!$Z$3:$AH$18,8)),((M379-2)*(6-COUNTBLANK(GT379:GY379)))+GJ379)</f>
        <v>#N/A</v>
      </c>
      <c r="DG379" s="347" t="str">
        <f t="shared" si="1059"/>
        <v xml:space="preserve"> </v>
      </c>
      <c r="DH379" s="357" t="str">
        <f t="shared" si="1060"/>
        <v xml:space="preserve"> </v>
      </c>
      <c r="DI379" s="355" t="str">
        <f t="shared" si="1061"/>
        <v xml:space="preserve"> </v>
      </c>
      <c r="DJ379" s="245" t="e">
        <f ca="1">INDEX(INDIRECT(VLOOKUP(LEFT(BO379,7),CLU!$Z$3:$AH$18,5)),GL379,GK379)</f>
        <v>#N/A</v>
      </c>
      <c r="DK379" s="245" t="e">
        <f ca="1">INDEX(INDIRECT(VLOOKUP(LEFT(BO379,7),CLU!$Z$3:$AH$18,6)),GL379,GK379)</f>
        <v>#N/A</v>
      </c>
      <c r="DL379" s="355">
        <f>(Calculation!R379*0.69143*(Calculation!$BQ$8-Calculation!$F$8))*$S$14</f>
        <v>0</v>
      </c>
      <c r="DM379" s="359" t="e">
        <f t="shared" si="1166"/>
        <v>#VALUE!</v>
      </c>
      <c r="DN379" s="611">
        <f t="shared" si="1167"/>
        <v>0</v>
      </c>
      <c r="DO379" s="359">
        <f t="shared" si="1168"/>
        <v>100</v>
      </c>
      <c r="DP379" s="359">
        <f t="shared" si="1169"/>
        <v>0</v>
      </c>
      <c r="DQ379" s="360"/>
      <c r="DR379" s="245" t="e">
        <f ca="1">INDEX(INDIRECT(VLOOKUP(LEFT(BO379,7),CLU!$Z$3:$AH$18,7)),M379-1,1)</f>
        <v>#N/A</v>
      </c>
      <c r="DS379" s="245" t="e">
        <f ca="1">INDEX(INDIRECT(VLOOKUP(LEFT(BO379,7),CLU!$Z$3:$AH$18,7)),M379-1,2)</f>
        <v>#N/A</v>
      </c>
      <c r="DT379" s="245" t="e">
        <f ca="1">INDEX(INDIRECT(VLOOKUP(LEFT(BO379,7),CLU!$Z$3:$AH$18,7)),M379-1,3)</f>
        <v>#N/A</v>
      </c>
      <c r="DU379" s="245" t="e">
        <f ca="1">INDEX(INDIRECT(VLOOKUP(LEFT(BO379,7),CLU!$Z$3:$AH$18,7)),M379-1,4)</f>
        <v>#N/A</v>
      </c>
      <c r="DV379" s="361" t="e">
        <f ca="1">INDEX(INDIRECT(VLOOKUP(LEFT(BO379,7),CLU!$Z$3:$AH$18,7)),M379-1,4+LEFT(DZ379,1)*0.5)</f>
        <v>#N/A</v>
      </c>
      <c r="DW379" s="245" t="e">
        <f ca="1">INDEX(INDIRECT(VLOOKUP(LEFT(BO379,7),CLU!$Z$3:$AH$18,7)),M379-1,8)</f>
        <v>#N/A</v>
      </c>
      <c r="DX379" s="361" t="str">
        <f t="shared" si="1062"/>
        <v xml:space="preserve"> </v>
      </c>
      <c r="DY379" s="361" t="str">
        <f t="shared" si="1063"/>
        <v xml:space="preserve"> </v>
      </c>
      <c r="DZ379" s="361" t="str">
        <f t="shared" si="1064"/>
        <v xml:space="preserve"> </v>
      </c>
      <c r="EA379" s="362" t="str">
        <f t="shared" si="1065"/>
        <v xml:space="preserve"> </v>
      </c>
      <c r="EB379" s="624" t="str">
        <f t="shared" si="1170"/>
        <v xml:space="preserve"> </v>
      </c>
      <c r="EC379" s="361" t="e">
        <f ca="1">INDEX(INDIRECT(VLOOKUP(LEFT(BO379,7),CLU!$Z$3:$AH$18,7)),M379-1,4+LEFT(DZ379,1)*0.5)</f>
        <v>#N/A</v>
      </c>
      <c r="ED379" s="362" t="str">
        <f t="shared" si="1066"/>
        <v xml:space="preserve"> </v>
      </c>
      <c r="EE379" s="361" t="str">
        <f t="shared" si="1067"/>
        <v xml:space="preserve"> </v>
      </c>
      <c r="EF379" s="362" t="str">
        <f>IF(L379&gt;0,IF(BR379&gt;0,IF(EE379="2P",IF(Calculation!DZ379="2P",IF(Calculation!DS379=13.75,IF(Calculation!DR379=13,Worksheet!$BD$43,IF(Calculation!DR379=37,Worksheet!$BD$44,Worksheet!$BD$45)),IF(Calculation!DS379=10,IF(Calculation!DR379=18,Worksheet!$BD$29,IF(Calculation!DR379=30,Worksheet!$BD$30,IF(Calculation!DR379=42,Worksheet!$BD$31,IF(Calculation!DR379=54,Worksheet!$BD$32,IF(Calculation!DR379=66,Worksheet!$BD$33,IF(Calculation!DR379=78,Worksheet!$BD$34,IF(Calculation!DR379=90,Worksheet!$BD$35,IF(Calculation!DR379=102,Worksheet!$BD$36,Worksheet!$BD$37)))))))),IF(Calculation!DS379=12.5,IF(Calculation!DR379=18,Worksheet!$BD$38,IF(Calculation!DR379=Worksheet!$BD$39,IF(Calculation!DR379=42,Worksheet!$BD$40,IF(Calculation!DR379=54,Worksheet!$BD$41,Worksheet!$BD$42)))),IF(Calculation!DR379=18,Worksheet!$BD$11,IF(Calculation!DR379=30,Worksheet!$BD$12,IF(Calculation!DR379=42,Worksheet!$BD$13,IF(Calculation!DR379=54,Worksheet!$BD$14,IF(Calculation!DR379=66,Worksheet!$BD$15,IF(Calculation!DR379=78,Worksheet!$BD$16,IF(Calculation!DR379=90,Worksheet!$BD$17,IF(Calculation!DR379=102,Worksheet!$BD$18,Worksheet!$BD$19))))))))))),IF(Calculation!DS379=13.75,IF(Calculation!DR379=13,Worksheet!$BD$78,IF(Calculation!DR379=37,Worksheet!$BD$79,Worksheet!$BD$80)),IF(Calculation!DS379=10,IF(Calculation!DR379=18,Worksheet!$BD$64,IF(Calculation!DR379=30,Worksheet!$BD$65,IF(Calculation!DR379=42,Worksheet!$BD$66,IF(Calculation!DR379=54,Worksheet!$BD$68,IF(Calculation!DR379=66,Worksheet!$BD$68,IF(Calculation!DR379=78,Worksheet!$BD$69,IF(Calculation!DR379=90,Worksheet!$BD$70,IF(Calculation!DR379=102,Worksheet!$BD$71,Worksheet!$BD$72)))))))),IF(Calculation!DS379=12.5,IF(Calculation!DR379=18,Worksheet!$BD$73,IF(Calculation!DR379=Worksheet!$BD$74,IF(Calculation!DR379=42,Worksheet!$BD$75,IF(Calculation!DR379=54,Worksheet!$BD$76,Worksheet!$BD$77)))),IF(Calculation!DR379=18,Worksheet!$BD$55,IF(Calculation!DR379=30,Worksheet!$BD$56,IF(Calculation!DR379=42,Worksheet!$BD$57,IF(Calculation!DR379=54,Worksheet!$BD$58,IF(Calculation!DR379=66,Worksheet!$BD$59,IF(Calculation!DR379=78,Worksheet!$BD$60,IF(Calculation!DR379=90,Worksheet!$BD$61,IF(Calculation!DR379=102,Worksheet!$BD$62,Worksheet!$BD$63)))))))))))),5),0)," ")</f>
        <v xml:space="preserve"> </v>
      </c>
      <c r="EG379" s="361" t="str">
        <f t="shared" si="1068"/>
        <v xml:space="preserve"> </v>
      </c>
      <c r="EH379" s="361" t="e">
        <f ca="1">INDEX(INDIRECT(VLOOKUP(LEFT(BO379,7),CLU!$Z$3:$AH$18,7)),M379-1,3+LEFT(DZ379,1))</f>
        <v>#N/A</v>
      </c>
      <c r="EI379" s="362" t="str">
        <f t="shared" si="1069"/>
        <v xml:space="preserve"> </v>
      </c>
      <c r="EJ379" s="363" t="str">
        <f t="shared" si="1070"/>
        <v xml:space="preserve"> </v>
      </c>
      <c r="EK379" s="363" t="str">
        <f t="shared" si="1071"/>
        <v xml:space="preserve"> </v>
      </c>
      <c r="EL379" s="363" t="str">
        <f t="shared" si="1072"/>
        <v xml:space="preserve"> </v>
      </c>
      <c r="EM379" s="362" t="str">
        <f>IF(L379&gt;0,IF(BR379&gt;0,(Calculation!T379/ED379)^2,0)," ")</f>
        <v xml:space="preserve"> </v>
      </c>
      <c r="EN379" s="362" t="str">
        <f>IF(L379&gt;0,IF(O379="2 Pipe (Cooling)","N/A",IF(BR379&gt;0,(Calculation!U379/EI379)^2,0))," ")</f>
        <v xml:space="preserve"> </v>
      </c>
      <c r="EO379" s="361" t="str">
        <f t="shared" si="1073"/>
        <v/>
      </c>
      <c r="EP379" s="361" t="str">
        <f t="shared" si="1074"/>
        <v/>
      </c>
      <c r="EQ379" s="361" t="str">
        <f t="shared" si="1075"/>
        <v/>
      </c>
      <c r="ER379" s="361" t="str">
        <f t="shared" si="1076"/>
        <v/>
      </c>
      <c r="ES379" s="361" t="str">
        <f t="shared" si="1077"/>
        <v/>
      </c>
      <c r="ET379" s="361" t="str">
        <f t="shared" si="1078"/>
        <v/>
      </c>
      <c r="EU379" s="361" t="str">
        <f t="shared" si="1079"/>
        <v/>
      </c>
      <c r="EV379" s="361" t="str">
        <f t="shared" si="1080"/>
        <v/>
      </c>
      <c r="EW379" s="361" t="str">
        <f t="shared" si="1081"/>
        <v/>
      </c>
      <c r="EX379" s="361" t="str">
        <f t="shared" si="1171"/>
        <v>1 slot, 1 way</v>
      </c>
      <c r="EY379" s="361" t="str">
        <f t="shared" si="1172"/>
        <v xml:space="preserve"> </v>
      </c>
      <c r="EZ379" s="361" t="str">
        <f t="shared" si="1173"/>
        <v xml:space="preserve"> </v>
      </c>
      <c r="FA379" s="361" t="str">
        <f t="shared" si="1174"/>
        <v xml:space="preserve"> </v>
      </c>
      <c r="FB379" s="361" t="str">
        <f t="shared" si="1175"/>
        <v xml:space="preserve"> </v>
      </c>
      <c r="FC379" s="361"/>
      <c r="FD379" s="361" t="str">
        <f>IF(J379&gt;0,IF(Calculation!R379&lt;=70,4,IF(Calculation!R379&lt;=110,5,IF(Calculation!R379&lt;=160,6,IF(Calculation!R379&lt;=300,8,"10 EO")))),"")</f>
        <v/>
      </c>
      <c r="FE379" s="361" t="str">
        <f t="shared" si="1176"/>
        <v/>
      </c>
      <c r="FF379" s="361" t="str">
        <f t="shared" si="1177"/>
        <v/>
      </c>
      <c r="FG379" s="361" t="e">
        <f t="shared" si="1082"/>
        <v>#N/A</v>
      </c>
      <c r="FH379" s="361">
        <f t="shared" si="1083"/>
        <v>0</v>
      </c>
      <c r="FI379" s="361" t="e">
        <f t="shared" si="1084"/>
        <v>#DIV/0!</v>
      </c>
      <c r="FJ379" s="361"/>
      <c r="FK379" s="356" t="e">
        <f t="shared" si="1085"/>
        <v>#VALUE!</v>
      </c>
      <c r="FL379" s="361"/>
      <c r="FM379" s="361"/>
      <c r="FN379" s="362" t="str">
        <f t="shared" si="1178"/>
        <v xml:space="preserve"> </v>
      </c>
      <c r="FO379" s="362" t="str">
        <f t="shared" si="1179"/>
        <v xml:space="preserve"> </v>
      </c>
      <c r="FP379" s="362">
        <f t="shared" si="1180"/>
        <v>0</v>
      </c>
      <c r="FQ379" s="361">
        <f t="shared" si="1086"/>
        <v>0</v>
      </c>
      <c r="FR379" s="362" t="str">
        <f>IF(L379&gt;0,IF(J379="CBAL2",Worksheet!$P$67,IF(J379="CBE2-24",Worksheet!$Q$67,IF(J379="CBAM",Worksheet!$R$67,IF(J379="CBLV",Worksheet!$S$67,IF(J379="CBAB",Worksheet!$U$67,IF(J379="CBAW",Worksheet!$X$67,IF(J379="CBE2-12",Worksheet!$Y$67,IF(J379="CBAL2",Worksheet!$Z$67,"N/A"))))))))," ")</f>
        <v xml:space="preserve"> </v>
      </c>
      <c r="FS379" s="362" t="str">
        <f>IF(L379&gt;0,IF(J379="CBAL2",Worksheet!$P$68,IF(J379="CBE2-24",Worksheet!$Q$68,IF(J379="CBAM",Worksheet!$R$68,IF(J379="CBLV",Worksheet!$S$68,IF(J379="CBAB",Worksheet!$U$68,IF(J379="CBAW",Worksheet!$X$68,IF(J379="CBE2-12",Worksheet!$Y$68,IF(J379="CBAL2",Worksheet!$Z$68,"N/A"))))))))," ")</f>
        <v xml:space="preserve"> </v>
      </c>
      <c r="FT379" s="362" t="str">
        <f>IF(L379&gt;0,IF(J379="CBAL2",Worksheet!$P$69,IF(J379="CBE2-24",Worksheet!$Q$69,IF(J379="CBAM",Worksheet!$R$69,IF(J379="CBLV",Worksheet!$S$69,IF(J379="CBAB",Worksheet!$U$69,IF(J379="CBAW",Worksheet!$X$69,IF(J379="CBE2-12",Worksheet!$Y$69,IF(J379="CBAL2",Worksheet!$Z$69,"N/A"))))))))," ")</f>
        <v xml:space="preserve"> </v>
      </c>
      <c r="FU379" s="361" t="str">
        <f t="shared" si="1181"/>
        <v xml:space="preserve"> </v>
      </c>
      <c r="FV379" s="362" t="str">
        <f t="shared" si="1182"/>
        <v xml:space="preserve"> </v>
      </c>
      <c r="FW379" s="362" t="str">
        <f t="shared" si="1183"/>
        <v xml:space="preserve"> </v>
      </c>
      <c r="FX379" s="362" t="str">
        <f t="shared" si="1184"/>
        <v xml:space="preserve"> </v>
      </c>
      <c r="FY379" s="355" t="str">
        <f t="shared" si="1185"/>
        <v xml:space="preserve"> </v>
      </c>
      <c r="FZ379" s="361" t="str">
        <f t="shared" si="1186"/>
        <v xml:space="preserve"> </v>
      </c>
      <c r="GA379" s="347" t="str">
        <f t="shared" si="1187"/>
        <v xml:space="preserve"> </v>
      </c>
      <c r="GB379" s="355" t="str">
        <f t="shared" si="1188"/>
        <v xml:space="preserve"> </v>
      </c>
      <c r="GC379" s="328" t="str">
        <f t="shared" si="1189"/>
        <v xml:space="preserve"> </v>
      </c>
      <c r="GD379" s="361" t="str">
        <f t="shared" si="1190"/>
        <v xml:space="preserve"> </v>
      </c>
      <c r="GE379" s="347" t="str">
        <f t="shared" si="1191"/>
        <v xml:space="preserve"> </v>
      </c>
      <c r="GF379" s="361" t="str">
        <f t="shared" si="1192"/>
        <v xml:space="preserve"> </v>
      </c>
      <c r="GG379" s="347" t="str">
        <f t="shared" si="1193"/>
        <v xml:space="preserve"> </v>
      </c>
      <c r="GH379" s="364">
        <f t="shared" si="1087"/>
        <v>0</v>
      </c>
      <c r="GI379" s="362">
        <f t="shared" si="1194"/>
        <v>2</v>
      </c>
      <c r="GJ379" s="433" t="e">
        <f>IF(6-COUNTBLANK(GT379:GY379)=4,MATCH(MID(BO379,9,3),CLU!$H$16:$K$16),MATCH(MID(BO379,9,3),CLU!$H$13:$M$13))</f>
        <v>#N/A</v>
      </c>
      <c r="GK379" s="433" t="e">
        <f>HLOOKUP(VALUE(BP379),CLU!$H$9:$M$10,2)</f>
        <v>#VALUE!</v>
      </c>
      <c r="GL379" s="433" t="e">
        <f ca="1">MATCH(BU379,CLU!$H$2:$V$2,1)</f>
        <v>#VALUE!</v>
      </c>
      <c r="GM379" s="433" t="e">
        <f t="shared" ca="1" si="1195"/>
        <v>#VALUE!</v>
      </c>
      <c r="GN379" s="433" t="e">
        <f t="shared" ca="1" si="1196"/>
        <v>#VALUE!</v>
      </c>
      <c r="GO379" s="433" t="e">
        <f t="shared" ca="1" si="1197"/>
        <v>#VALUE!</v>
      </c>
      <c r="GP379" s="433" t="e">
        <f t="shared" ca="1" si="1198"/>
        <v>#VALUE!</v>
      </c>
      <c r="GQ379" s="433" t="e">
        <f t="shared" ca="1" si="1199"/>
        <v>#VALUE!</v>
      </c>
      <c r="GR379" s="433" t="e">
        <f ca="1">MATCH(T379,INDIRECT(VLOOKUP(CONCATENATE(LEFT(BO379,7),"-",MID(BO379,13,1)),CLU!$P$3:$Q$16,2)),1)</f>
        <v>#N/A</v>
      </c>
      <c r="GS379" s="433" t="e">
        <f ca="1">MATCH(U379,INDIRECT(VLOOKUP(CONCATENATE(LEFT(BO379,7),"-",MID(BO379,13,1)),CLU!$P$3:$Q$16,2)),1)</f>
        <v>#N/A</v>
      </c>
      <c r="GT379" s="347" t="s">
        <v>512</v>
      </c>
      <c r="GU379" s="97" t="s">
        <v>513</v>
      </c>
      <c r="GV379" s="97" t="str">
        <f t="shared" si="1200"/>
        <v>M23</v>
      </c>
      <c r="GW379" s="97" t="str">
        <f t="shared" si="1201"/>
        <v>M31</v>
      </c>
      <c r="GX379" s="97" t="str">
        <f t="shared" si="1202"/>
        <v/>
      </c>
      <c r="GY379" s="97" t="str">
        <f t="shared" si="1203"/>
        <v/>
      </c>
      <c r="GZ379" s="481"/>
      <c r="HA379" s="240"/>
      <c r="HB379" s="240"/>
      <c r="HC379" s="240"/>
      <c r="HD379" s="240"/>
      <c r="HE379" s="240"/>
      <c r="HF379" s="240"/>
      <c r="HG379" s="240"/>
      <c r="HH379" s="240"/>
      <c r="HI379" s="240"/>
      <c r="HJ379" s="240"/>
      <c r="HK379" s="240"/>
      <c r="HL379" s="240"/>
      <c r="HM379" s="240"/>
      <c r="HN379" s="240"/>
      <c r="HO379" s="240"/>
      <c r="HP379" s="240"/>
      <c r="HQ379" s="240"/>
      <c r="HR379" s="240"/>
      <c r="HS379" s="240"/>
      <c r="HT379" s="240"/>
      <c r="HU379" s="240"/>
      <c r="HV379" s="245"/>
      <c r="HW379" s="245" t="b">
        <v>1</v>
      </c>
      <c r="HX379" s="245" t="str">
        <f t="shared" si="1088"/>
        <v/>
      </c>
      <c r="HY379" s="245" t="e">
        <f t="shared" si="1089"/>
        <v>#DIV/0!</v>
      </c>
      <c r="HZ379" s="245" t="e">
        <f t="shared" si="1090"/>
        <v>#DIV/0!</v>
      </c>
      <c r="IA379" s="245">
        <f t="shared" si="1091"/>
        <v>0</v>
      </c>
      <c r="IB379" s="245"/>
      <c r="IC379" t="b">
        <f t="shared" si="1092"/>
        <v>1</v>
      </c>
      <c r="ID379" s="245" t="b">
        <f t="shared" si="1093"/>
        <v>1</v>
      </c>
      <c r="IE379" s="245" t="b">
        <f t="shared" si="1094"/>
        <v>1</v>
      </c>
      <c r="IF379" s="245" t="b">
        <f t="shared" si="1095"/>
        <v>0</v>
      </c>
      <c r="IG379" s="245" t="b">
        <f t="shared" si="1096"/>
        <v>1</v>
      </c>
      <c r="IH379" s="245" t="b">
        <f t="shared" si="1097"/>
        <v>1</v>
      </c>
      <c r="II379" s="245">
        <f t="shared" si="1204"/>
        <v>0</v>
      </c>
      <c r="IJ379" s="245" t="e">
        <f t="shared" si="1098"/>
        <v>#VALUE!</v>
      </c>
      <c r="IK379" s="245" t="e">
        <f t="shared" si="1099"/>
        <v>#VALUE!</v>
      </c>
      <c r="IL379" s="245"/>
      <c r="IM379" s="245" t="e">
        <f t="shared" si="1205"/>
        <v>#N/A</v>
      </c>
      <c r="IN379" s="245" t="e">
        <f t="shared" si="1206"/>
        <v>#N/A</v>
      </c>
      <c r="IO379" s="245"/>
      <c r="IP379" s="245"/>
      <c r="IQ379" s="245" t="str">
        <f t="shared" si="1100"/>
        <v/>
      </c>
      <c r="IR379" s="245" t="str">
        <f>IF(J379="","",VLOOKUP(J379,Worksheet!$R$4:$T$14,2))</f>
        <v/>
      </c>
      <c r="IS379" s="245"/>
      <c r="IT379" s="245">
        <f t="shared" si="1101"/>
        <v>0</v>
      </c>
      <c r="IU379" s="245">
        <f t="shared" si="1102"/>
        <v>0</v>
      </c>
      <c r="IV379" s="245">
        <f t="shared" si="1103"/>
        <v>0</v>
      </c>
      <c r="IW379" s="245">
        <f t="shared" si="1104"/>
        <v>0</v>
      </c>
      <c r="IX379" s="245">
        <f t="shared" si="1207"/>
        <v>0</v>
      </c>
      <c r="IY379" s="245">
        <f t="shared" si="1105"/>
        <v>0</v>
      </c>
      <c r="IZ379" s="245">
        <f t="shared" si="1106"/>
        <v>0</v>
      </c>
      <c r="JA379">
        <f t="shared" si="1107"/>
        <v>0</v>
      </c>
      <c r="JB379">
        <f t="shared" si="1208"/>
        <v>0</v>
      </c>
      <c r="JC379">
        <f t="shared" si="1108"/>
        <v>0</v>
      </c>
      <c r="JD379">
        <f t="shared" si="1109"/>
        <v>0</v>
      </c>
      <c r="JE379">
        <f t="shared" si="1110"/>
        <v>0</v>
      </c>
      <c r="JF379">
        <f t="shared" si="1111"/>
        <v>0</v>
      </c>
      <c r="JG379">
        <f t="shared" si="1112"/>
        <v>0</v>
      </c>
      <c r="JH379">
        <f t="shared" si="1113"/>
        <v>0</v>
      </c>
      <c r="JI379">
        <f t="shared" si="1114"/>
        <v>0</v>
      </c>
      <c r="JJ379" s="447">
        <f t="shared" si="1115"/>
        <v>0</v>
      </c>
      <c r="JK379" s="447">
        <f t="shared" si="1116"/>
        <v>0</v>
      </c>
      <c r="JL379">
        <f t="shared" si="1117"/>
        <v>0</v>
      </c>
      <c r="JM379" s="245" t="str">
        <f>IFERROR(VLOOKUP(MATCH(BN379,#REF!,0),#REF!,7),"")</f>
        <v/>
      </c>
      <c r="JN379" t="e">
        <f>HLOOKUP(LEFT(BO379,7),Discharge_Area,MATCH(JO379,LookUps!$B$130:$B$149,1)+2)</f>
        <v>#N/A</v>
      </c>
      <c r="JO379" t="str">
        <f t="shared" si="1118"/>
        <v>- S</v>
      </c>
      <c r="JP379" t="e">
        <f>HLOOKUP(LEFT(BO379,7),Discharge_Area,MATCH(JO379,LookUps!$B$130:$B$149,1)+2)</f>
        <v>#N/A</v>
      </c>
      <c r="JQ379" t="e">
        <f t="shared" si="1119"/>
        <v>#N/A</v>
      </c>
      <c r="JR379" t="e">
        <f t="shared" si="1120"/>
        <v>#N/A</v>
      </c>
      <c r="JS379" t="e">
        <f t="shared" si="1121"/>
        <v>#N/A</v>
      </c>
      <c r="JT379" s="532" t="str">
        <f t="shared" si="1122"/>
        <v xml:space="preserve"> </v>
      </c>
      <c r="JU379" s="532" t="str">
        <f t="shared" si="1123"/>
        <v xml:space="preserve"> </v>
      </c>
      <c r="JV379" s="533" t="str">
        <f t="shared" si="1124"/>
        <v xml:space="preserve"> </v>
      </c>
      <c r="JW379" s="534">
        <f t="shared" si="1125"/>
        <v>0</v>
      </c>
      <c r="JX379" s="535" t="str">
        <f t="shared" si="1209"/>
        <v xml:space="preserve"> </v>
      </c>
      <c r="JY379" s="535" t="str">
        <f t="shared" si="1210"/>
        <v xml:space="preserve"> </v>
      </c>
      <c r="JZ379" s="535" t="str">
        <f t="shared" si="1211"/>
        <v xml:space="preserve"> </v>
      </c>
      <c r="KA379" s="536" t="str">
        <f t="shared" si="1126"/>
        <v xml:space="preserve"> </v>
      </c>
      <c r="KB379" s="535" t="e">
        <f t="shared" si="1212"/>
        <v>#VALUE!</v>
      </c>
      <c r="KC379" s="535" t="str">
        <f t="shared" si="1127"/>
        <v/>
      </c>
      <c r="KD379" s="537" t="str">
        <f t="shared" si="1213"/>
        <v xml:space="preserve"> </v>
      </c>
      <c r="KE379" s="537" t="str">
        <f t="shared" si="1214"/>
        <v xml:space="preserve"> </v>
      </c>
      <c r="KF379" s="534">
        <f t="shared" si="1128"/>
        <v>0</v>
      </c>
      <c r="KG379" s="535" t="str">
        <f t="shared" si="1129"/>
        <v xml:space="preserve"> </v>
      </c>
      <c r="KH379" s="535" t="str">
        <f t="shared" si="1130"/>
        <v xml:space="preserve"> </v>
      </c>
      <c r="KI379" s="535" t="str">
        <f t="shared" si="1131"/>
        <v xml:space="preserve"> </v>
      </c>
      <c r="KJ379" s="536" t="str">
        <f t="shared" si="1132"/>
        <v xml:space="preserve"> </v>
      </c>
      <c r="KK379" s="535" t="str">
        <f t="shared" si="1215"/>
        <v xml:space="preserve"> </v>
      </c>
      <c r="KL379" s="535" t="str">
        <f t="shared" si="1216"/>
        <v xml:space="preserve"> </v>
      </c>
      <c r="KM379" s="537" t="str">
        <f t="shared" si="1133"/>
        <v xml:space="preserve"> </v>
      </c>
      <c r="KN379" s="537" t="str">
        <f t="shared" si="1217"/>
        <v xml:space="preserve"> </v>
      </c>
      <c r="KP379">
        <f t="shared" si="1134"/>
        <v>0</v>
      </c>
      <c r="LA379" t="e">
        <f t="shared" si="1135"/>
        <v>#VALUE!</v>
      </c>
      <c r="LB379" t="e">
        <f t="shared" si="1136"/>
        <v>#VALUE!</v>
      </c>
      <c r="LC379" t="e">
        <f t="shared" si="1137"/>
        <v>#VALUE!</v>
      </c>
      <c r="LD379" t="e">
        <f t="shared" si="1138"/>
        <v>#VALUE!</v>
      </c>
      <c r="LE379" t="e">
        <f t="shared" si="1218"/>
        <v>#VALUE!</v>
      </c>
      <c r="LF379">
        <f t="shared" si="1139"/>
        <v>0</v>
      </c>
      <c r="LG379" t="e">
        <f t="shared" si="1219"/>
        <v>#VALUE!</v>
      </c>
      <c r="LH379" t="str">
        <f t="shared" si="1140"/>
        <v xml:space="preserve"> </v>
      </c>
      <c r="LI379">
        <f t="shared" si="1220"/>
        <v>1</v>
      </c>
    </row>
    <row r="380" spans="2:321" ht="15" customHeight="1">
      <c r="B380" s="311"/>
      <c r="C380" s="311"/>
      <c r="D380" s="312"/>
      <c r="E380" s="311"/>
      <c r="F380" s="312"/>
      <c r="G380" s="311"/>
      <c r="H380" s="311"/>
      <c r="I380" s="232"/>
      <c r="J380" s="311"/>
      <c r="K380" s="305" t="str">
        <f t="shared" si="1141"/>
        <v/>
      </c>
      <c r="L380" s="313"/>
      <c r="M380" s="312"/>
      <c r="N380" s="311"/>
      <c r="O380" s="312"/>
      <c r="P380" s="311"/>
      <c r="Q380" s="305" t="str">
        <f t="shared" si="1142"/>
        <v/>
      </c>
      <c r="R380" s="314"/>
      <c r="S380" s="450" t="str">
        <f t="shared" si="1025"/>
        <v/>
      </c>
      <c r="T380" s="315"/>
      <c r="U380" s="315"/>
      <c r="W380" s="149" t="str">
        <f t="shared" si="1026"/>
        <v xml:space="preserve"> </v>
      </c>
      <c r="X380" s="243" t="str">
        <f t="shared" si="1027"/>
        <v xml:space="preserve"> </v>
      </c>
      <c r="Y380" s="150" t="str">
        <f t="shared" si="1028"/>
        <v/>
      </c>
      <c r="Z380" s="149" t="str">
        <f t="shared" si="1029"/>
        <v xml:space="preserve"> </v>
      </c>
      <c r="AA380" s="98" t="str">
        <f t="shared" si="1030"/>
        <v xml:space="preserve"> </v>
      </c>
      <c r="AB380" s="153" t="str">
        <f t="shared" si="1031"/>
        <v xml:space="preserve"> </v>
      </c>
      <c r="AC380" s="153" t="str">
        <f t="shared" si="1032"/>
        <v xml:space="preserve"> </v>
      </c>
      <c r="AD380" s="148" t="str">
        <f t="shared" si="1033"/>
        <v/>
      </c>
      <c r="AE380" s="149" t="str">
        <f t="shared" si="1034"/>
        <v/>
      </c>
      <c r="AF380" s="151" t="str">
        <f t="shared" si="1035"/>
        <v xml:space="preserve"> </v>
      </c>
      <c r="AG380" s="153" t="str">
        <f t="shared" si="1036"/>
        <v xml:space="preserve"> </v>
      </c>
      <c r="AH380" s="98" t="str">
        <f t="shared" si="1037"/>
        <v xml:space="preserve"> </v>
      </c>
      <c r="AI380" s="149" t="str">
        <f t="shared" si="1038"/>
        <v xml:space="preserve"> </v>
      </c>
      <c r="AK380" s="144" t="str">
        <f t="shared" si="1039"/>
        <v xml:space="preserve"> </v>
      </c>
      <c r="AL380" s="144"/>
      <c r="AM380" s="243" t="str">
        <f t="shared" si="1040"/>
        <v xml:space="preserve"> </v>
      </c>
      <c r="AN380" s="149" t="str">
        <f t="shared" si="1143"/>
        <v xml:space="preserve"> </v>
      </c>
      <c r="AO380" s="144" t="str">
        <f>IF(JB380&gt;0,IF(GI380=10,-R380*1.085*(Calculation!$F$6-Calculation!$F$13)*$S$14," "),"")</f>
        <v/>
      </c>
      <c r="AP380" s="144" t="str">
        <f t="shared" si="1041"/>
        <v/>
      </c>
      <c r="AQ380" s="56" t="str">
        <f t="shared" si="1042"/>
        <v/>
      </c>
      <c r="AR380" s="144" t="str">
        <f t="shared" si="1043"/>
        <v/>
      </c>
      <c r="AS380" s="176" t="str">
        <f t="shared" si="1044"/>
        <v/>
      </c>
      <c r="AT380" s="176" t="str">
        <f t="shared" si="1144"/>
        <v xml:space="preserve"> </v>
      </c>
      <c r="AU380" s="176" t="str">
        <f t="shared" si="1045"/>
        <v/>
      </c>
      <c r="AV380" s="177" t="str">
        <f t="shared" si="1046"/>
        <v xml:space="preserve"> </v>
      </c>
      <c r="AW380" s="144" t="str">
        <f t="shared" si="1047"/>
        <v xml:space="preserve"> </v>
      </c>
      <c r="AX380" s="144" t="str">
        <f t="shared" si="1048"/>
        <v xml:space="preserve"> </v>
      </c>
      <c r="AY380" s="152" t="str">
        <f t="shared" si="1049"/>
        <v xml:space="preserve"> </v>
      </c>
      <c r="AZ380" s="246" t="str">
        <f t="shared" si="1050"/>
        <v/>
      </c>
      <c r="BA380" s="176" t="str">
        <f t="shared" si="1051"/>
        <v xml:space="preserve"> </v>
      </c>
      <c r="BB380" s="176" t="str">
        <f t="shared" si="1052"/>
        <v xml:space="preserve"> </v>
      </c>
      <c r="BC380" s="195"/>
      <c r="BD380" s="316"/>
      <c r="BE380" s="317"/>
      <c r="BF380" s="318"/>
      <c r="BG380" s="318"/>
      <c r="BH380" s="144" t="str">
        <f t="shared" si="1221"/>
        <v xml:space="preserve"> </v>
      </c>
      <c r="BI380" s="176" t="str">
        <f t="shared" si="1053"/>
        <v/>
      </c>
      <c r="BJ380" s="144" t="str">
        <f t="shared" si="1222"/>
        <v/>
      </c>
      <c r="BK380" s="246" t="str">
        <f t="shared" si="1054"/>
        <v/>
      </c>
      <c r="BL380" s="144" t="str">
        <f t="shared" si="1223"/>
        <v/>
      </c>
      <c r="BM380" s="246" t="str">
        <f t="shared" si="1055"/>
        <v/>
      </c>
      <c r="BN380" s="337" t="str">
        <f t="shared" si="1145"/>
        <v/>
      </c>
      <c r="BO380" s="371" t="str">
        <f t="shared" si="1146"/>
        <v/>
      </c>
      <c r="BP380" s="328" t="str">
        <f t="shared" si="1224"/>
        <v xml:space="preserve"> </v>
      </c>
      <c r="BQ380" s="347" t="str">
        <f t="shared" si="1147"/>
        <v xml:space="preserve"> </v>
      </c>
      <c r="BR380" s="353" t="str">
        <f t="shared" si="1148"/>
        <v xml:space="preserve"> </v>
      </c>
      <c r="BS380" s="626" t="str">
        <f>IF(L380&gt;0,IF(Calculation!P380="M13",BR380*3.1416*(0.134^2)/(4*144),IF(Calculation!P380="M17",BR380*3.1416*(0.165^2)/(4*144),IF(Calculation!P380="M20",BR380*3.1416*(0.198^2)/(4*144),IF(Calculation!P380="M23",BR380*3.1416*(0.228^2)/(4*144),IF(Calculation!P380="M27",BR380*3.1416*(0.269^2)/(4*144),BR380*3.1416*(0.307^2)/(4*144))))))," ")</f>
        <v xml:space="preserve"> </v>
      </c>
      <c r="BT380" s="353" t="str">
        <f>IF(L380&gt;0,IF(BS380&gt;0,R380/Calculation!BS380,0)," ")</f>
        <v xml:space="preserve"> </v>
      </c>
      <c r="BU380" s="438" t="e">
        <f t="shared" ca="1" si="1056"/>
        <v>#VALUE!</v>
      </c>
      <c r="BV380" s="449" t="e">
        <f ca="1">INDEX(INDIRECT(VLOOKUP(LEFT(BO380,7),CLU!$Z$3:$AH$18,2)),GN380,GR380)</f>
        <v>#N/A</v>
      </c>
      <c r="BW380" s="433" t="e">
        <f ca="1">INDEX(INDIRECT(VLOOKUP(LEFT(BO380,7),CLU!$Z$3:$AH$18,3)),GN380,GR380)</f>
        <v>#N/A</v>
      </c>
      <c r="BX380" s="433" t="e">
        <f ca="1">INDEX(INDIRECT(VLOOKUP(LEFT(BO380,7),CLU!$Z$3:$AH$18,4)),GN380,GR380)</f>
        <v>#N/A</v>
      </c>
      <c r="BY380" s="433" t="e">
        <f ca="1">INDEX(INDIRECT(VLOOKUP(LEFT(BO380,7),CLU!$Z$3:$AH$18,9)),((M380-2)*(6-COUNTBLANK(GT380:GY380)))+GJ380)</f>
        <v>#N/A</v>
      </c>
      <c r="BZ380" s="426" t="e">
        <f t="shared" ca="1" si="1149"/>
        <v>#N/A</v>
      </c>
      <c r="CA380" s="424" t="e">
        <f t="shared" ca="1" si="1150"/>
        <v>#N/A</v>
      </c>
      <c r="CB380" s="429" t="e">
        <f ca="1">INDEX(INDIRECT(VLOOKUP(LEFT(BO380,7),CLU!$Z$3:$AH$18,2)),GN380,GS380)</f>
        <v>#N/A</v>
      </c>
      <c r="CC380" s="342" t="e">
        <f ca="1">INDEX(INDIRECT(VLOOKUP(LEFT(BO380,7),CLU!$Z$3:$AH$18,3)),GN380,GS380)</f>
        <v>#N/A</v>
      </c>
      <c r="CD380" s="342" t="e">
        <f ca="1">INDEX(INDIRECT(VLOOKUP(LEFT(BO380,7),CLU!$Z$3:$AH$18,4)),GN380,GS380)</f>
        <v>#N/A</v>
      </c>
      <c r="CE380" s="426" t="e">
        <f t="shared" ca="1" si="1151"/>
        <v>#N/A</v>
      </c>
      <c r="CF380" s="440">
        <f t="shared" si="1152"/>
        <v>0</v>
      </c>
      <c r="CG380" s="431" t="e">
        <f ca="1">INDEX(INDIRECT(VLOOKUP(LEFT(BO380,7),CLU!$Z$3:$AH$18,2)),GQ380,GR380)</f>
        <v>#N/A</v>
      </c>
      <c r="CH380" s="431" t="e">
        <f ca="1">INDEX(INDIRECT(VLOOKUP(LEFT(BO380,7),CLU!$Z$3:$AH$18,3)),GQ380,GR380)</f>
        <v>#N/A</v>
      </c>
      <c r="CI380" s="431" t="e">
        <f ca="1">INDEX(INDIRECT(VLOOKUP(LEFT(BO380,7),CLU!$Z$3:$AH$18,4)),GQ380,GR380)</f>
        <v>#N/A</v>
      </c>
      <c r="CJ380" s="448" t="e">
        <f t="shared" ca="1" si="1153"/>
        <v>#N/A</v>
      </c>
      <c r="CK380" s="431" t="e">
        <f t="shared" ca="1" si="1154"/>
        <v>#N/A</v>
      </c>
      <c r="CL380" s="440" t="e">
        <f t="shared" ca="1" si="1155"/>
        <v>#N/A</v>
      </c>
      <c r="CM380" s="431" t="e">
        <f ca="1">INDEX(INDIRECT(VLOOKUP(LEFT(BO380,7),CLU!$Z$3:$AH$18,2)),GQ380,GS380)</f>
        <v>#N/A</v>
      </c>
      <c r="CN380" s="431" t="e">
        <f ca="1">INDEX(INDIRECT(VLOOKUP(LEFT(BO380,7),CLU!$Z$3:$AH$18,3)),GQ380,GS380)</f>
        <v>#N/A</v>
      </c>
      <c r="CO380" s="431" t="e">
        <f ca="1">INDEX(INDIRECT(VLOOKUP(LEFT(BO380,7),CLU!$Z$3:$AH$18,4)),GQ380,GS380)</f>
        <v>#N/A</v>
      </c>
      <c r="CP380" s="431" t="e">
        <f t="shared" ca="1" si="1156"/>
        <v>#N/A</v>
      </c>
      <c r="CQ380" s="440">
        <f t="shared" si="1157"/>
        <v>0</v>
      </c>
      <c r="CR380" s="51" t="e">
        <f t="shared" ca="1" si="1158"/>
        <v>#N/A</v>
      </c>
      <c r="CS380" s="439" t="e">
        <f t="shared" ca="1" si="1159"/>
        <v>#VALUE!</v>
      </c>
      <c r="CT380" s="51" t="e">
        <f t="shared" ca="1" si="1160"/>
        <v>#VALUE!</v>
      </c>
      <c r="CU380" s="10"/>
      <c r="CV380" s="51" t="e">
        <f t="shared" ca="1" si="1057"/>
        <v>#VALUE!</v>
      </c>
      <c r="CW380" s="51">
        <f t="shared" si="1161"/>
        <v>0</v>
      </c>
      <c r="CX380" s="439" t="e">
        <f t="shared" ca="1" si="1162"/>
        <v>#VALUE!</v>
      </c>
      <c r="CY380" s="51" t="e">
        <f t="shared" ca="1" si="1163"/>
        <v>#VALUE!</v>
      </c>
      <c r="CZ380" s="10"/>
      <c r="DA380" s="51" t="e">
        <f t="shared" ca="1" si="1164"/>
        <v>#VALUE!</v>
      </c>
      <c r="DB380" s="347" t="e">
        <f ca="1">INDEX(INDIRECT(VLOOKUP(LEFT(BO380,7),CLU!$Z$3:$AI$18,10)),((M380-2)*(6-COUNTBLANK(GT380:GY380)))+GJ380)*LI380</f>
        <v>#N/A</v>
      </c>
      <c r="DC380" s="347" t="str">
        <f>IF(L380&gt;0,((R380/Worksheet!$I$15)/DB380)^2," ")</f>
        <v xml:space="preserve"> </v>
      </c>
      <c r="DD380" s="602" t="str">
        <f t="shared" si="1165"/>
        <v xml:space="preserve"> </v>
      </c>
      <c r="DE380" s="347" t="str">
        <f t="shared" si="1058"/>
        <v xml:space="preserve"> </v>
      </c>
      <c r="DF380" s="356" t="e">
        <f ca="1">INDEX(INDIRECT(VLOOKUP(LEFT(BO380,7),CLU!$Z$3:$AH$18,8)),((M380-2)*(6-COUNTBLANK(GT380:GY380)))+GJ380)</f>
        <v>#N/A</v>
      </c>
      <c r="DG380" s="347" t="str">
        <f t="shared" si="1059"/>
        <v xml:space="preserve"> </v>
      </c>
      <c r="DH380" s="357" t="str">
        <f t="shared" si="1060"/>
        <v xml:space="preserve"> </v>
      </c>
      <c r="DI380" s="355" t="str">
        <f t="shared" si="1061"/>
        <v xml:space="preserve"> </v>
      </c>
      <c r="DJ380" s="245" t="e">
        <f ca="1">INDEX(INDIRECT(VLOOKUP(LEFT(BO380,7),CLU!$Z$3:$AH$18,5)),GL380,GK380)</f>
        <v>#N/A</v>
      </c>
      <c r="DK380" s="245" t="e">
        <f ca="1">INDEX(INDIRECT(VLOOKUP(LEFT(BO380,7),CLU!$Z$3:$AH$18,6)),GL380,GK380)</f>
        <v>#N/A</v>
      </c>
      <c r="DL380" s="355">
        <f>(Calculation!R380*0.69143*(Calculation!$BQ$8-Calculation!$F$8))*$S$14</f>
        <v>0</v>
      </c>
      <c r="DM380" s="359" t="e">
        <f t="shared" si="1166"/>
        <v>#VALUE!</v>
      </c>
      <c r="DN380" s="611">
        <f t="shared" si="1167"/>
        <v>0</v>
      </c>
      <c r="DO380" s="359">
        <f t="shared" si="1168"/>
        <v>100</v>
      </c>
      <c r="DP380" s="359">
        <f t="shared" si="1169"/>
        <v>0</v>
      </c>
      <c r="DQ380" s="360"/>
      <c r="DR380" s="245" t="e">
        <f ca="1">INDEX(INDIRECT(VLOOKUP(LEFT(BO380,7),CLU!$Z$3:$AH$18,7)),M380-1,1)</f>
        <v>#N/A</v>
      </c>
      <c r="DS380" s="245" t="e">
        <f ca="1">INDEX(INDIRECT(VLOOKUP(LEFT(BO380,7),CLU!$Z$3:$AH$18,7)),M380-1,2)</f>
        <v>#N/A</v>
      </c>
      <c r="DT380" s="245" t="e">
        <f ca="1">INDEX(INDIRECT(VLOOKUP(LEFT(BO380,7),CLU!$Z$3:$AH$18,7)),M380-1,3)</f>
        <v>#N/A</v>
      </c>
      <c r="DU380" s="245" t="e">
        <f ca="1">INDEX(INDIRECT(VLOOKUP(LEFT(BO380,7),CLU!$Z$3:$AH$18,7)),M380-1,4)</f>
        <v>#N/A</v>
      </c>
      <c r="DV380" s="361" t="e">
        <f ca="1">INDEX(INDIRECT(VLOOKUP(LEFT(BO380,7),CLU!$Z$3:$AH$18,7)),M380-1,4+LEFT(DZ380,1)*0.5)</f>
        <v>#N/A</v>
      </c>
      <c r="DW380" s="245" t="e">
        <f ca="1">INDEX(INDIRECT(VLOOKUP(LEFT(BO380,7),CLU!$Z$3:$AH$18,7)),M380-1,8)</f>
        <v>#N/A</v>
      </c>
      <c r="DX380" s="361" t="str">
        <f t="shared" si="1062"/>
        <v xml:space="preserve"> </v>
      </c>
      <c r="DY380" s="361" t="str">
        <f t="shared" si="1063"/>
        <v xml:space="preserve"> </v>
      </c>
      <c r="DZ380" s="361" t="str">
        <f t="shared" si="1064"/>
        <v xml:space="preserve"> </v>
      </c>
      <c r="EA380" s="362" t="str">
        <f t="shared" si="1065"/>
        <v xml:space="preserve"> </v>
      </c>
      <c r="EB380" s="624" t="str">
        <f t="shared" si="1170"/>
        <v xml:space="preserve"> </v>
      </c>
      <c r="EC380" s="361" t="e">
        <f ca="1">INDEX(INDIRECT(VLOOKUP(LEFT(BO380,7),CLU!$Z$3:$AH$18,7)),M380-1,4+LEFT(DZ380,1)*0.5)</f>
        <v>#N/A</v>
      </c>
      <c r="ED380" s="362" t="str">
        <f t="shared" si="1066"/>
        <v xml:space="preserve"> </v>
      </c>
      <c r="EE380" s="361" t="str">
        <f t="shared" si="1067"/>
        <v xml:space="preserve"> </v>
      </c>
      <c r="EF380" s="362" t="str">
        <f>IF(L380&gt;0,IF(BR380&gt;0,IF(EE380="2P",IF(Calculation!DZ380="2P",IF(Calculation!DS380=13.75,IF(Calculation!DR380=13,Worksheet!$BD$43,IF(Calculation!DR380=37,Worksheet!$BD$44,Worksheet!$BD$45)),IF(Calculation!DS380=10,IF(Calculation!DR380=18,Worksheet!$BD$29,IF(Calculation!DR380=30,Worksheet!$BD$30,IF(Calculation!DR380=42,Worksheet!$BD$31,IF(Calculation!DR380=54,Worksheet!$BD$32,IF(Calculation!DR380=66,Worksheet!$BD$33,IF(Calculation!DR380=78,Worksheet!$BD$34,IF(Calculation!DR380=90,Worksheet!$BD$35,IF(Calculation!DR380=102,Worksheet!$BD$36,Worksheet!$BD$37)))))))),IF(Calculation!DS380=12.5,IF(Calculation!DR380=18,Worksheet!$BD$38,IF(Calculation!DR380=Worksheet!$BD$39,IF(Calculation!DR380=42,Worksheet!$BD$40,IF(Calculation!DR380=54,Worksheet!$BD$41,Worksheet!$BD$42)))),IF(Calculation!DR380=18,Worksheet!$BD$11,IF(Calculation!DR380=30,Worksheet!$BD$12,IF(Calculation!DR380=42,Worksheet!$BD$13,IF(Calculation!DR380=54,Worksheet!$BD$14,IF(Calculation!DR380=66,Worksheet!$BD$15,IF(Calculation!DR380=78,Worksheet!$BD$16,IF(Calculation!DR380=90,Worksheet!$BD$17,IF(Calculation!DR380=102,Worksheet!$BD$18,Worksheet!$BD$19))))))))))),IF(Calculation!DS380=13.75,IF(Calculation!DR380=13,Worksheet!$BD$78,IF(Calculation!DR380=37,Worksheet!$BD$79,Worksheet!$BD$80)),IF(Calculation!DS380=10,IF(Calculation!DR380=18,Worksheet!$BD$64,IF(Calculation!DR380=30,Worksheet!$BD$65,IF(Calculation!DR380=42,Worksheet!$BD$66,IF(Calculation!DR380=54,Worksheet!$BD$68,IF(Calculation!DR380=66,Worksheet!$BD$68,IF(Calculation!DR380=78,Worksheet!$BD$69,IF(Calculation!DR380=90,Worksheet!$BD$70,IF(Calculation!DR380=102,Worksheet!$BD$71,Worksheet!$BD$72)))))))),IF(Calculation!DS380=12.5,IF(Calculation!DR380=18,Worksheet!$BD$73,IF(Calculation!DR380=Worksheet!$BD$74,IF(Calculation!DR380=42,Worksheet!$BD$75,IF(Calculation!DR380=54,Worksheet!$BD$76,Worksheet!$BD$77)))),IF(Calculation!DR380=18,Worksheet!$BD$55,IF(Calculation!DR380=30,Worksheet!$BD$56,IF(Calculation!DR380=42,Worksheet!$BD$57,IF(Calculation!DR380=54,Worksheet!$BD$58,IF(Calculation!DR380=66,Worksheet!$BD$59,IF(Calculation!DR380=78,Worksheet!$BD$60,IF(Calculation!DR380=90,Worksheet!$BD$61,IF(Calculation!DR380=102,Worksheet!$BD$62,Worksheet!$BD$63)))))))))))),5),0)," ")</f>
        <v xml:space="preserve"> </v>
      </c>
      <c r="EG380" s="361" t="str">
        <f t="shared" si="1068"/>
        <v xml:space="preserve"> </v>
      </c>
      <c r="EH380" s="361" t="e">
        <f ca="1">INDEX(INDIRECT(VLOOKUP(LEFT(BO380,7),CLU!$Z$3:$AH$18,7)),M380-1,3+LEFT(DZ380,1))</f>
        <v>#N/A</v>
      </c>
      <c r="EI380" s="362" t="str">
        <f t="shared" si="1069"/>
        <v xml:space="preserve"> </v>
      </c>
      <c r="EJ380" s="363" t="str">
        <f t="shared" si="1070"/>
        <v xml:space="preserve"> </v>
      </c>
      <c r="EK380" s="363" t="str">
        <f t="shared" si="1071"/>
        <v xml:space="preserve"> </v>
      </c>
      <c r="EL380" s="363" t="str">
        <f t="shared" si="1072"/>
        <v xml:space="preserve"> </v>
      </c>
      <c r="EM380" s="362" t="str">
        <f>IF(L380&gt;0,IF(BR380&gt;0,(Calculation!T380/ED380)^2,0)," ")</f>
        <v xml:space="preserve"> </v>
      </c>
      <c r="EN380" s="362" t="str">
        <f>IF(L380&gt;0,IF(O380="2 Pipe (Cooling)","N/A",IF(BR380&gt;0,(Calculation!U380/EI380)^2,0))," ")</f>
        <v xml:space="preserve"> </v>
      </c>
      <c r="EO380" s="361" t="str">
        <f t="shared" si="1073"/>
        <v/>
      </c>
      <c r="EP380" s="361" t="str">
        <f t="shared" si="1074"/>
        <v/>
      </c>
      <c r="EQ380" s="361" t="str">
        <f t="shared" si="1075"/>
        <v/>
      </c>
      <c r="ER380" s="361" t="str">
        <f t="shared" si="1076"/>
        <v/>
      </c>
      <c r="ES380" s="361" t="str">
        <f t="shared" si="1077"/>
        <v/>
      </c>
      <c r="ET380" s="361" t="str">
        <f t="shared" si="1078"/>
        <v/>
      </c>
      <c r="EU380" s="361" t="str">
        <f t="shared" si="1079"/>
        <v/>
      </c>
      <c r="EV380" s="361" t="str">
        <f t="shared" si="1080"/>
        <v/>
      </c>
      <c r="EW380" s="361" t="str">
        <f t="shared" si="1081"/>
        <v/>
      </c>
      <c r="EX380" s="361" t="str">
        <f t="shared" si="1171"/>
        <v>1 slot, 1 way</v>
      </c>
      <c r="EY380" s="361" t="str">
        <f t="shared" si="1172"/>
        <v xml:space="preserve"> </v>
      </c>
      <c r="EZ380" s="361" t="str">
        <f t="shared" si="1173"/>
        <v xml:space="preserve"> </v>
      </c>
      <c r="FA380" s="361" t="str">
        <f t="shared" si="1174"/>
        <v xml:space="preserve"> </v>
      </c>
      <c r="FB380" s="361" t="str">
        <f t="shared" si="1175"/>
        <v xml:space="preserve"> </v>
      </c>
      <c r="FC380" s="361"/>
      <c r="FD380" s="361" t="str">
        <f>IF(J380&gt;0,IF(Calculation!R380&lt;=70,4,IF(Calculation!R380&lt;=110,5,IF(Calculation!R380&lt;=160,6,IF(Calculation!R380&lt;=300,8,"10 EO")))),"")</f>
        <v/>
      </c>
      <c r="FE380" s="361" t="str">
        <f t="shared" si="1176"/>
        <v/>
      </c>
      <c r="FF380" s="361" t="str">
        <f t="shared" si="1177"/>
        <v/>
      </c>
      <c r="FG380" s="361" t="e">
        <f t="shared" si="1082"/>
        <v>#N/A</v>
      </c>
      <c r="FH380" s="361">
        <f t="shared" si="1083"/>
        <v>0</v>
      </c>
      <c r="FI380" s="361" t="e">
        <f t="shared" si="1084"/>
        <v>#DIV/0!</v>
      </c>
      <c r="FJ380" s="361"/>
      <c r="FK380" s="356" t="e">
        <f t="shared" si="1085"/>
        <v>#VALUE!</v>
      </c>
      <c r="FL380" s="361"/>
      <c r="FM380" s="361"/>
      <c r="FN380" s="362" t="str">
        <f t="shared" si="1178"/>
        <v xml:space="preserve"> </v>
      </c>
      <c r="FO380" s="362" t="str">
        <f t="shared" si="1179"/>
        <v xml:space="preserve"> </v>
      </c>
      <c r="FP380" s="362">
        <f t="shared" si="1180"/>
        <v>0</v>
      </c>
      <c r="FQ380" s="361">
        <f t="shared" si="1086"/>
        <v>0</v>
      </c>
      <c r="FR380" s="362" t="str">
        <f>IF(L380&gt;0,IF(J380="CBAL2",Worksheet!$P$67,IF(J380="CBE2-24",Worksheet!$Q$67,IF(J380="CBAM",Worksheet!$R$67,IF(J380="CBLV",Worksheet!$S$67,IF(J380="CBAB",Worksheet!$U$67,IF(J380="CBAW",Worksheet!$X$67,IF(J380="CBE2-12",Worksheet!$Y$67,IF(J380="CBAL2",Worksheet!$Z$67,"N/A"))))))))," ")</f>
        <v xml:space="preserve"> </v>
      </c>
      <c r="FS380" s="362" t="str">
        <f>IF(L380&gt;0,IF(J380="CBAL2",Worksheet!$P$68,IF(J380="CBE2-24",Worksheet!$Q$68,IF(J380="CBAM",Worksheet!$R$68,IF(J380="CBLV",Worksheet!$S$68,IF(J380="CBAB",Worksheet!$U$68,IF(J380="CBAW",Worksheet!$X$68,IF(J380="CBE2-12",Worksheet!$Y$68,IF(J380="CBAL2",Worksheet!$Z$68,"N/A"))))))))," ")</f>
        <v xml:space="preserve"> </v>
      </c>
      <c r="FT380" s="362" t="str">
        <f>IF(L380&gt;0,IF(J380="CBAL2",Worksheet!$P$69,IF(J380="CBE2-24",Worksheet!$Q$69,IF(J380="CBAM",Worksheet!$R$69,IF(J380="CBLV",Worksheet!$S$69,IF(J380="CBAB",Worksheet!$U$69,IF(J380="CBAW",Worksheet!$X$69,IF(J380="CBE2-12",Worksheet!$Y$69,IF(J380="CBAL2",Worksheet!$Z$69,"N/A"))))))))," ")</f>
        <v xml:space="preserve"> </v>
      </c>
      <c r="FU380" s="361" t="str">
        <f t="shared" si="1181"/>
        <v xml:space="preserve"> </v>
      </c>
      <c r="FV380" s="362" t="str">
        <f t="shared" si="1182"/>
        <v xml:space="preserve"> </v>
      </c>
      <c r="FW380" s="362" t="str">
        <f t="shared" si="1183"/>
        <v xml:space="preserve"> </v>
      </c>
      <c r="FX380" s="362" t="str">
        <f t="shared" si="1184"/>
        <v xml:space="preserve"> </v>
      </c>
      <c r="FY380" s="355" t="str">
        <f t="shared" si="1185"/>
        <v xml:space="preserve"> </v>
      </c>
      <c r="FZ380" s="361" t="str">
        <f t="shared" si="1186"/>
        <v xml:space="preserve"> </v>
      </c>
      <c r="GA380" s="347" t="str">
        <f t="shared" si="1187"/>
        <v xml:space="preserve"> </v>
      </c>
      <c r="GB380" s="355" t="str">
        <f t="shared" si="1188"/>
        <v xml:space="preserve"> </v>
      </c>
      <c r="GC380" s="328" t="str">
        <f t="shared" si="1189"/>
        <v xml:space="preserve"> </v>
      </c>
      <c r="GD380" s="361" t="str">
        <f t="shared" si="1190"/>
        <v xml:space="preserve"> </v>
      </c>
      <c r="GE380" s="347" t="str">
        <f t="shared" si="1191"/>
        <v xml:space="preserve"> </v>
      </c>
      <c r="GF380" s="361" t="str">
        <f t="shared" si="1192"/>
        <v xml:space="preserve"> </v>
      </c>
      <c r="GG380" s="347" t="str">
        <f t="shared" si="1193"/>
        <v xml:space="preserve"> </v>
      </c>
      <c r="GH380" s="364">
        <f t="shared" si="1087"/>
        <v>0</v>
      </c>
      <c r="GI380" s="362">
        <f t="shared" si="1194"/>
        <v>2</v>
      </c>
      <c r="GJ380" s="433" t="e">
        <f>IF(6-COUNTBLANK(GT380:GY380)=4,MATCH(MID(BO380,9,3),CLU!$H$16:$K$16),MATCH(MID(BO380,9,3),CLU!$H$13:$M$13))</f>
        <v>#N/A</v>
      </c>
      <c r="GK380" s="433" t="e">
        <f>HLOOKUP(VALUE(BP380),CLU!$H$9:$M$10,2)</f>
        <v>#VALUE!</v>
      </c>
      <c r="GL380" s="433" t="e">
        <f ca="1">MATCH(BU380,CLU!$H$2:$V$2,1)</f>
        <v>#VALUE!</v>
      </c>
      <c r="GM380" s="433" t="e">
        <f t="shared" ca="1" si="1195"/>
        <v>#VALUE!</v>
      </c>
      <c r="GN380" s="433" t="e">
        <f t="shared" ca="1" si="1196"/>
        <v>#VALUE!</v>
      </c>
      <c r="GO380" s="433" t="e">
        <f t="shared" ca="1" si="1197"/>
        <v>#VALUE!</v>
      </c>
      <c r="GP380" s="433" t="e">
        <f t="shared" ca="1" si="1198"/>
        <v>#VALUE!</v>
      </c>
      <c r="GQ380" s="433" t="e">
        <f t="shared" ca="1" si="1199"/>
        <v>#VALUE!</v>
      </c>
      <c r="GR380" s="433" t="e">
        <f ca="1">MATCH(T380,INDIRECT(VLOOKUP(CONCATENATE(LEFT(BO380,7),"-",MID(BO380,13,1)),CLU!$P$3:$Q$16,2)),1)</f>
        <v>#N/A</v>
      </c>
      <c r="GS380" s="433" t="e">
        <f ca="1">MATCH(U380,INDIRECT(VLOOKUP(CONCATENATE(LEFT(BO380,7),"-",MID(BO380,13,1)),CLU!$P$3:$Q$16,2)),1)</f>
        <v>#N/A</v>
      </c>
      <c r="GT380" s="347" t="s">
        <v>512</v>
      </c>
      <c r="GU380" s="97" t="s">
        <v>513</v>
      </c>
      <c r="GV380" s="97" t="str">
        <f t="shared" si="1200"/>
        <v>M23</v>
      </c>
      <c r="GW380" s="97" t="str">
        <f t="shared" si="1201"/>
        <v>M31</v>
      </c>
      <c r="GX380" s="97" t="str">
        <f t="shared" si="1202"/>
        <v/>
      </c>
      <c r="GY380" s="97" t="str">
        <f t="shared" si="1203"/>
        <v/>
      </c>
      <c r="GZ380" s="481"/>
      <c r="HA380" s="240"/>
      <c r="HB380" s="240"/>
      <c r="HC380" s="240"/>
      <c r="HD380" s="240"/>
      <c r="HE380" s="240"/>
      <c r="HF380" s="240"/>
      <c r="HG380" s="240"/>
      <c r="HH380" s="240"/>
      <c r="HI380" s="240"/>
      <c r="HJ380" s="240"/>
      <c r="HK380" s="240"/>
      <c r="HL380" s="240"/>
      <c r="HM380" s="240"/>
      <c r="HN380" s="240"/>
      <c r="HO380" s="240"/>
      <c r="HP380" s="240"/>
      <c r="HQ380" s="240"/>
      <c r="HR380" s="240"/>
      <c r="HS380" s="240"/>
      <c r="HT380" s="240"/>
      <c r="HU380" s="240"/>
      <c r="HV380" s="245"/>
      <c r="HW380" s="245" t="b">
        <v>1</v>
      </c>
      <c r="HX380" s="245" t="str">
        <f t="shared" si="1088"/>
        <v/>
      </c>
      <c r="HY380" s="245" t="e">
        <f t="shared" si="1089"/>
        <v>#DIV/0!</v>
      </c>
      <c r="HZ380" s="245" t="e">
        <f t="shared" si="1090"/>
        <v>#DIV/0!</v>
      </c>
      <c r="IA380" s="245">
        <f t="shared" si="1091"/>
        <v>0</v>
      </c>
      <c r="IB380" s="245"/>
      <c r="IC380" t="b">
        <f t="shared" si="1092"/>
        <v>1</v>
      </c>
      <c r="ID380" s="245" t="b">
        <f t="shared" si="1093"/>
        <v>1</v>
      </c>
      <c r="IE380" s="245" t="b">
        <f t="shared" si="1094"/>
        <v>1</v>
      </c>
      <c r="IF380" s="245" t="b">
        <f t="shared" si="1095"/>
        <v>0</v>
      </c>
      <c r="IG380" s="245" t="b">
        <f t="shared" si="1096"/>
        <v>1</v>
      </c>
      <c r="IH380" s="245" t="b">
        <f t="shared" si="1097"/>
        <v>1</v>
      </c>
      <c r="II380" s="245">
        <f t="shared" si="1204"/>
        <v>0</v>
      </c>
      <c r="IJ380" s="245" t="e">
        <f t="shared" si="1098"/>
        <v>#VALUE!</v>
      </c>
      <c r="IK380" s="245" t="e">
        <f t="shared" si="1099"/>
        <v>#VALUE!</v>
      </c>
      <c r="IL380" s="245"/>
      <c r="IM380" s="245" t="e">
        <f t="shared" si="1205"/>
        <v>#N/A</v>
      </c>
      <c r="IN380" s="245" t="e">
        <f t="shared" si="1206"/>
        <v>#N/A</v>
      </c>
      <c r="IO380" s="245"/>
      <c r="IP380" s="245"/>
      <c r="IQ380" s="245" t="str">
        <f t="shared" si="1100"/>
        <v/>
      </c>
      <c r="IR380" s="245" t="str">
        <f>IF(J380="","",VLOOKUP(J380,Worksheet!$R$4:$T$14,2))</f>
        <v/>
      </c>
      <c r="IS380" s="245"/>
      <c r="IT380" s="245">
        <f t="shared" si="1101"/>
        <v>0</v>
      </c>
      <c r="IU380" s="245">
        <f t="shared" si="1102"/>
        <v>0</v>
      </c>
      <c r="IV380" s="245">
        <f t="shared" si="1103"/>
        <v>0</v>
      </c>
      <c r="IW380" s="245">
        <f t="shared" si="1104"/>
        <v>0</v>
      </c>
      <c r="IX380" s="245">
        <f t="shared" si="1207"/>
        <v>0</v>
      </c>
      <c r="IY380" s="245">
        <f t="shared" si="1105"/>
        <v>0</v>
      </c>
      <c r="IZ380" s="245">
        <f t="shared" si="1106"/>
        <v>0</v>
      </c>
      <c r="JA380">
        <f t="shared" si="1107"/>
        <v>0</v>
      </c>
      <c r="JB380">
        <f t="shared" si="1208"/>
        <v>0</v>
      </c>
      <c r="JC380">
        <f t="shared" si="1108"/>
        <v>0</v>
      </c>
      <c r="JD380">
        <f t="shared" si="1109"/>
        <v>0</v>
      </c>
      <c r="JE380">
        <f t="shared" si="1110"/>
        <v>0</v>
      </c>
      <c r="JF380">
        <f t="shared" si="1111"/>
        <v>0</v>
      </c>
      <c r="JG380">
        <f t="shared" si="1112"/>
        <v>0</v>
      </c>
      <c r="JH380">
        <f t="shared" si="1113"/>
        <v>0</v>
      </c>
      <c r="JI380">
        <f t="shared" si="1114"/>
        <v>0</v>
      </c>
      <c r="JJ380" s="447">
        <f t="shared" si="1115"/>
        <v>0</v>
      </c>
      <c r="JK380" s="447">
        <f t="shared" si="1116"/>
        <v>0</v>
      </c>
      <c r="JL380">
        <f t="shared" si="1117"/>
        <v>0</v>
      </c>
      <c r="JM380" s="245" t="str">
        <f>IFERROR(VLOOKUP(MATCH(BN380,#REF!,0),#REF!,7),"")</f>
        <v/>
      </c>
      <c r="JN380" t="e">
        <f>HLOOKUP(LEFT(BO380,7),Discharge_Area,MATCH(JO380,LookUps!$B$130:$B$149,1)+2)</f>
        <v>#N/A</v>
      </c>
      <c r="JO380" t="str">
        <f t="shared" si="1118"/>
        <v>- S</v>
      </c>
      <c r="JP380" t="e">
        <f>HLOOKUP(LEFT(BO380,7),Discharge_Area,MATCH(JO380,LookUps!$B$130:$B$149,1)+2)</f>
        <v>#N/A</v>
      </c>
      <c r="JQ380" t="e">
        <f t="shared" si="1119"/>
        <v>#N/A</v>
      </c>
      <c r="JR380" t="e">
        <f t="shared" si="1120"/>
        <v>#N/A</v>
      </c>
      <c r="JS380" t="e">
        <f t="shared" si="1121"/>
        <v>#N/A</v>
      </c>
      <c r="JT380" s="532" t="str">
        <f t="shared" si="1122"/>
        <v xml:space="preserve"> </v>
      </c>
      <c r="JU380" s="532" t="str">
        <f t="shared" si="1123"/>
        <v xml:space="preserve"> </v>
      </c>
      <c r="JV380" s="533" t="str">
        <f t="shared" si="1124"/>
        <v xml:space="preserve"> </v>
      </c>
      <c r="JW380" s="534">
        <f t="shared" si="1125"/>
        <v>0</v>
      </c>
      <c r="JX380" s="535" t="str">
        <f t="shared" si="1209"/>
        <v xml:space="preserve"> </v>
      </c>
      <c r="JY380" s="535" t="str">
        <f t="shared" si="1210"/>
        <v xml:space="preserve"> </v>
      </c>
      <c r="JZ380" s="535" t="str">
        <f t="shared" si="1211"/>
        <v xml:space="preserve"> </v>
      </c>
      <c r="KA380" s="536" t="str">
        <f t="shared" si="1126"/>
        <v xml:space="preserve"> </v>
      </c>
      <c r="KB380" s="535" t="e">
        <f t="shared" si="1212"/>
        <v>#VALUE!</v>
      </c>
      <c r="KC380" s="535" t="str">
        <f t="shared" si="1127"/>
        <v/>
      </c>
      <c r="KD380" s="537" t="str">
        <f t="shared" si="1213"/>
        <v xml:space="preserve"> </v>
      </c>
      <c r="KE380" s="537" t="str">
        <f t="shared" si="1214"/>
        <v xml:space="preserve"> </v>
      </c>
      <c r="KF380" s="534">
        <f t="shared" si="1128"/>
        <v>0</v>
      </c>
      <c r="KG380" s="535" t="str">
        <f t="shared" si="1129"/>
        <v xml:space="preserve"> </v>
      </c>
      <c r="KH380" s="535" t="str">
        <f t="shared" si="1130"/>
        <v xml:space="preserve"> </v>
      </c>
      <c r="KI380" s="535" t="str">
        <f t="shared" si="1131"/>
        <v xml:space="preserve"> </v>
      </c>
      <c r="KJ380" s="536" t="str">
        <f t="shared" si="1132"/>
        <v xml:space="preserve"> </v>
      </c>
      <c r="KK380" s="535" t="str">
        <f t="shared" si="1215"/>
        <v xml:space="preserve"> </v>
      </c>
      <c r="KL380" s="535" t="str">
        <f t="shared" si="1216"/>
        <v xml:space="preserve"> </v>
      </c>
      <c r="KM380" s="537" t="str">
        <f t="shared" si="1133"/>
        <v xml:space="preserve"> </v>
      </c>
      <c r="KN380" s="537" t="str">
        <f t="shared" si="1217"/>
        <v xml:space="preserve"> </v>
      </c>
      <c r="KP380">
        <f t="shared" si="1134"/>
        <v>0</v>
      </c>
      <c r="LA380" t="e">
        <f t="shared" si="1135"/>
        <v>#VALUE!</v>
      </c>
      <c r="LB380" t="e">
        <f t="shared" si="1136"/>
        <v>#VALUE!</v>
      </c>
      <c r="LC380" t="e">
        <f t="shared" si="1137"/>
        <v>#VALUE!</v>
      </c>
      <c r="LD380" t="e">
        <f t="shared" si="1138"/>
        <v>#VALUE!</v>
      </c>
      <c r="LE380" t="e">
        <f t="shared" si="1218"/>
        <v>#VALUE!</v>
      </c>
      <c r="LF380">
        <f t="shared" si="1139"/>
        <v>0</v>
      </c>
      <c r="LG380" t="e">
        <f t="shared" si="1219"/>
        <v>#VALUE!</v>
      </c>
      <c r="LH380" t="str">
        <f t="shared" si="1140"/>
        <v xml:space="preserve"> </v>
      </c>
      <c r="LI380">
        <f t="shared" si="1220"/>
        <v>1</v>
      </c>
    </row>
    <row r="381" spans="2:321" ht="15" customHeight="1">
      <c r="B381" s="311"/>
      <c r="C381" s="311"/>
      <c r="D381" s="312"/>
      <c r="E381" s="311"/>
      <c r="F381" s="312"/>
      <c r="G381" s="311"/>
      <c r="H381" s="311"/>
      <c r="I381" s="232"/>
      <c r="J381" s="311"/>
      <c r="K381" s="305" t="str">
        <f t="shared" si="1141"/>
        <v/>
      </c>
      <c r="L381" s="313"/>
      <c r="M381" s="312"/>
      <c r="N381" s="311"/>
      <c r="O381" s="312"/>
      <c r="P381" s="311"/>
      <c r="Q381" s="305" t="str">
        <f t="shared" si="1142"/>
        <v/>
      </c>
      <c r="R381" s="314"/>
      <c r="S381" s="450" t="str">
        <f t="shared" si="1025"/>
        <v/>
      </c>
      <c r="T381" s="315"/>
      <c r="U381" s="315"/>
      <c r="W381" s="149" t="str">
        <f t="shared" si="1026"/>
        <v xml:space="preserve"> </v>
      </c>
      <c r="X381" s="243" t="str">
        <f t="shared" si="1027"/>
        <v xml:space="preserve"> </v>
      </c>
      <c r="Y381" s="150" t="str">
        <f t="shared" si="1028"/>
        <v/>
      </c>
      <c r="Z381" s="149" t="str">
        <f t="shared" si="1029"/>
        <v xml:space="preserve"> </v>
      </c>
      <c r="AA381" s="98" t="str">
        <f t="shared" si="1030"/>
        <v xml:space="preserve"> </v>
      </c>
      <c r="AB381" s="153" t="str">
        <f t="shared" si="1031"/>
        <v xml:space="preserve"> </v>
      </c>
      <c r="AC381" s="153" t="str">
        <f t="shared" si="1032"/>
        <v xml:space="preserve"> </v>
      </c>
      <c r="AD381" s="148" t="str">
        <f t="shared" si="1033"/>
        <v/>
      </c>
      <c r="AE381" s="149" t="str">
        <f t="shared" si="1034"/>
        <v/>
      </c>
      <c r="AF381" s="151" t="str">
        <f t="shared" si="1035"/>
        <v xml:space="preserve"> </v>
      </c>
      <c r="AG381" s="153" t="str">
        <f t="shared" si="1036"/>
        <v xml:space="preserve"> </v>
      </c>
      <c r="AH381" s="98" t="str">
        <f t="shared" si="1037"/>
        <v xml:space="preserve"> </v>
      </c>
      <c r="AI381" s="149" t="str">
        <f t="shared" si="1038"/>
        <v xml:space="preserve"> </v>
      </c>
      <c r="AK381" s="144" t="str">
        <f t="shared" si="1039"/>
        <v xml:space="preserve"> </v>
      </c>
      <c r="AL381" s="144"/>
      <c r="AM381" s="243" t="str">
        <f t="shared" si="1040"/>
        <v xml:space="preserve"> </v>
      </c>
      <c r="AN381" s="149" t="str">
        <f t="shared" si="1143"/>
        <v xml:space="preserve"> </v>
      </c>
      <c r="AO381" s="144" t="str">
        <f>IF(JB381&gt;0,IF(GI381=10,-R381*1.085*(Calculation!$F$6-Calculation!$F$13)*$S$14," "),"")</f>
        <v/>
      </c>
      <c r="AP381" s="144" t="str">
        <f t="shared" si="1041"/>
        <v/>
      </c>
      <c r="AQ381" s="56" t="str">
        <f t="shared" si="1042"/>
        <v/>
      </c>
      <c r="AR381" s="144" t="str">
        <f t="shared" si="1043"/>
        <v/>
      </c>
      <c r="AS381" s="176" t="str">
        <f t="shared" si="1044"/>
        <v/>
      </c>
      <c r="AT381" s="176" t="str">
        <f t="shared" si="1144"/>
        <v xml:space="preserve"> </v>
      </c>
      <c r="AU381" s="176" t="str">
        <f t="shared" si="1045"/>
        <v/>
      </c>
      <c r="AV381" s="177" t="str">
        <f t="shared" si="1046"/>
        <v xml:space="preserve"> </v>
      </c>
      <c r="AW381" s="144" t="str">
        <f t="shared" si="1047"/>
        <v xml:space="preserve"> </v>
      </c>
      <c r="AX381" s="144" t="str">
        <f t="shared" si="1048"/>
        <v xml:space="preserve"> </v>
      </c>
      <c r="AY381" s="152" t="str">
        <f t="shared" si="1049"/>
        <v xml:space="preserve"> </v>
      </c>
      <c r="AZ381" s="246" t="str">
        <f t="shared" si="1050"/>
        <v/>
      </c>
      <c r="BA381" s="176" t="str">
        <f t="shared" si="1051"/>
        <v xml:space="preserve"> </v>
      </c>
      <c r="BB381" s="176" t="str">
        <f t="shared" si="1052"/>
        <v xml:space="preserve"> </v>
      </c>
      <c r="BC381" s="195"/>
      <c r="BD381" s="316"/>
      <c r="BE381" s="317"/>
      <c r="BF381" s="318"/>
      <c r="BG381" s="318"/>
      <c r="BH381" s="144" t="str">
        <f t="shared" si="1221"/>
        <v xml:space="preserve"> </v>
      </c>
      <c r="BI381" s="176" t="str">
        <f t="shared" si="1053"/>
        <v/>
      </c>
      <c r="BJ381" s="144" t="str">
        <f t="shared" si="1222"/>
        <v/>
      </c>
      <c r="BK381" s="246" t="str">
        <f t="shared" si="1054"/>
        <v/>
      </c>
      <c r="BL381" s="144" t="str">
        <f t="shared" si="1223"/>
        <v/>
      </c>
      <c r="BM381" s="246" t="str">
        <f t="shared" si="1055"/>
        <v/>
      </c>
      <c r="BN381" s="337" t="str">
        <f t="shared" si="1145"/>
        <v/>
      </c>
      <c r="BO381" s="371" t="str">
        <f t="shared" si="1146"/>
        <v/>
      </c>
      <c r="BP381" s="328" t="str">
        <f t="shared" si="1224"/>
        <v xml:space="preserve"> </v>
      </c>
      <c r="BQ381" s="347" t="str">
        <f t="shared" si="1147"/>
        <v xml:space="preserve"> </v>
      </c>
      <c r="BR381" s="353" t="str">
        <f t="shared" si="1148"/>
        <v xml:space="preserve"> </v>
      </c>
      <c r="BS381" s="626" t="str">
        <f>IF(L381&gt;0,IF(Calculation!P381="M13",BR381*3.1416*(0.134^2)/(4*144),IF(Calculation!P381="M17",BR381*3.1416*(0.165^2)/(4*144),IF(Calculation!P381="M20",BR381*3.1416*(0.198^2)/(4*144),IF(Calculation!P381="M23",BR381*3.1416*(0.228^2)/(4*144),IF(Calculation!P381="M27",BR381*3.1416*(0.269^2)/(4*144),BR381*3.1416*(0.307^2)/(4*144))))))," ")</f>
        <v xml:space="preserve"> </v>
      </c>
      <c r="BT381" s="353" t="str">
        <f>IF(L381&gt;0,IF(BS381&gt;0,R381/Calculation!BS381,0)," ")</f>
        <v xml:space="preserve"> </v>
      </c>
      <c r="BU381" s="438" t="e">
        <f t="shared" ca="1" si="1056"/>
        <v>#VALUE!</v>
      </c>
      <c r="BV381" s="449" t="e">
        <f ca="1">INDEX(INDIRECT(VLOOKUP(LEFT(BO381,7),CLU!$Z$3:$AH$18,2)),GN381,GR381)</f>
        <v>#N/A</v>
      </c>
      <c r="BW381" s="433" t="e">
        <f ca="1">INDEX(INDIRECT(VLOOKUP(LEFT(BO381,7),CLU!$Z$3:$AH$18,3)),GN381,GR381)</f>
        <v>#N/A</v>
      </c>
      <c r="BX381" s="433" t="e">
        <f ca="1">INDEX(INDIRECT(VLOOKUP(LEFT(BO381,7),CLU!$Z$3:$AH$18,4)),GN381,GR381)</f>
        <v>#N/A</v>
      </c>
      <c r="BY381" s="433" t="e">
        <f ca="1">INDEX(INDIRECT(VLOOKUP(LEFT(BO381,7),CLU!$Z$3:$AH$18,9)),((M381-2)*(6-COUNTBLANK(GT381:GY381)))+GJ381)</f>
        <v>#N/A</v>
      </c>
      <c r="BZ381" s="426" t="e">
        <f t="shared" ca="1" si="1149"/>
        <v>#N/A</v>
      </c>
      <c r="CA381" s="424" t="e">
        <f t="shared" ca="1" si="1150"/>
        <v>#N/A</v>
      </c>
      <c r="CB381" s="429" t="e">
        <f ca="1">INDEX(INDIRECT(VLOOKUP(LEFT(BO381,7),CLU!$Z$3:$AH$18,2)),GN381,GS381)</f>
        <v>#N/A</v>
      </c>
      <c r="CC381" s="342" t="e">
        <f ca="1">INDEX(INDIRECT(VLOOKUP(LEFT(BO381,7),CLU!$Z$3:$AH$18,3)),GN381,GS381)</f>
        <v>#N/A</v>
      </c>
      <c r="CD381" s="342" t="e">
        <f ca="1">INDEX(INDIRECT(VLOOKUP(LEFT(BO381,7),CLU!$Z$3:$AH$18,4)),GN381,GS381)</f>
        <v>#N/A</v>
      </c>
      <c r="CE381" s="426" t="e">
        <f t="shared" ca="1" si="1151"/>
        <v>#N/A</v>
      </c>
      <c r="CF381" s="440">
        <f t="shared" si="1152"/>
        <v>0</v>
      </c>
      <c r="CG381" s="431" t="e">
        <f ca="1">INDEX(INDIRECT(VLOOKUP(LEFT(BO381,7),CLU!$Z$3:$AH$18,2)),GQ381,GR381)</f>
        <v>#N/A</v>
      </c>
      <c r="CH381" s="431" t="e">
        <f ca="1">INDEX(INDIRECT(VLOOKUP(LEFT(BO381,7),CLU!$Z$3:$AH$18,3)),GQ381,GR381)</f>
        <v>#N/A</v>
      </c>
      <c r="CI381" s="431" t="e">
        <f ca="1">INDEX(INDIRECT(VLOOKUP(LEFT(BO381,7),CLU!$Z$3:$AH$18,4)),GQ381,GR381)</f>
        <v>#N/A</v>
      </c>
      <c r="CJ381" s="448" t="e">
        <f t="shared" ca="1" si="1153"/>
        <v>#N/A</v>
      </c>
      <c r="CK381" s="431" t="e">
        <f t="shared" ca="1" si="1154"/>
        <v>#N/A</v>
      </c>
      <c r="CL381" s="440" t="e">
        <f t="shared" ca="1" si="1155"/>
        <v>#N/A</v>
      </c>
      <c r="CM381" s="431" t="e">
        <f ca="1">INDEX(INDIRECT(VLOOKUP(LEFT(BO381,7),CLU!$Z$3:$AH$18,2)),GQ381,GS381)</f>
        <v>#N/A</v>
      </c>
      <c r="CN381" s="431" t="e">
        <f ca="1">INDEX(INDIRECT(VLOOKUP(LEFT(BO381,7),CLU!$Z$3:$AH$18,3)),GQ381,GS381)</f>
        <v>#N/A</v>
      </c>
      <c r="CO381" s="431" t="e">
        <f ca="1">INDEX(INDIRECT(VLOOKUP(LEFT(BO381,7),CLU!$Z$3:$AH$18,4)),GQ381,GS381)</f>
        <v>#N/A</v>
      </c>
      <c r="CP381" s="431" t="e">
        <f t="shared" ca="1" si="1156"/>
        <v>#N/A</v>
      </c>
      <c r="CQ381" s="440">
        <f t="shared" si="1157"/>
        <v>0</v>
      </c>
      <c r="CR381" s="51" t="e">
        <f t="shared" ca="1" si="1158"/>
        <v>#N/A</v>
      </c>
      <c r="CS381" s="439" t="e">
        <f t="shared" ca="1" si="1159"/>
        <v>#VALUE!</v>
      </c>
      <c r="CT381" s="51" t="e">
        <f t="shared" ca="1" si="1160"/>
        <v>#VALUE!</v>
      </c>
      <c r="CU381" s="10"/>
      <c r="CV381" s="51" t="e">
        <f t="shared" ca="1" si="1057"/>
        <v>#VALUE!</v>
      </c>
      <c r="CW381" s="51">
        <f t="shared" si="1161"/>
        <v>0</v>
      </c>
      <c r="CX381" s="439" t="e">
        <f t="shared" ca="1" si="1162"/>
        <v>#VALUE!</v>
      </c>
      <c r="CY381" s="51" t="e">
        <f t="shared" ca="1" si="1163"/>
        <v>#VALUE!</v>
      </c>
      <c r="CZ381" s="10"/>
      <c r="DA381" s="51" t="e">
        <f t="shared" ca="1" si="1164"/>
        <v>#VALUE!</v>
      </c>
      <c r="DB381" s="347" t="e">
        <f ca="1">INDEX(INDIRECT(VLOOKUP(LEFT(BO381,7),CLU!$Z$3:$AI$18,10)),((M381-2)*(6-COUNTBLANK(GT381:GY381)))+GJ381)*LI381</f>
        <v>#N/A</v>
      </c>
      <c r="DC381" s="347" t="str">
        <f>IF(L381&gt;0,((R381/Worksheet!$I$15)/DB381)^2," ")</f>
        <v xml:space="preserve"> </v>
      </c>
      <c r="DD381" s="602" t="str">
        <f t="shared" si="1165"/>
        <v xml:space="preserve"> </v>
      </c>
      <c r="DE381" s="347" t="str">
        <f t="shared" si="1058"/>
        <v xml:space="preserve"> </v>
      </c>
      <c r="DF381" s="356" t="e">
        <f ca="1">INDEX(INDIRECT(VLOOKUP(LEFT(BO381,7),CLU!$Z$3:$AH$18,8)),((M381-2)*(6-COUNTBLANK(GT381:GY381)))+GJ381)</f>
        <v>#N/A</v>
      </c>
      <c r="DG381" s="347" t="str">
        <f t="shared" si="1059"/>
        <v xml:space="preserve"> </v>
      </c>
      <c r="DH381" s="357" t="str">
        <f t="shared" si="1060"/>
        <v xml:space="preserve"> </v>
      </c>
      <c r="DI381" s="355" t="str">
        <f t="shared" si="1061"/>
        <v xml:space="preserve"> </v>
      </c>
      <c r="DJ381" s="245" t="e">
        <f ca="1">INDEX(INDIRECT(VLOOKUP(LEFT(BO381,7),CLU!$Z$3:$AH$18,5)),GL381,GK381)</f>
        <v>#N/A</v>
      </c>
      <c r="DK381" s="245" t="e">
        <f ca="1">INDEX(INDIRECT(VLOOKUP(LEFT(BO381,7),CLU!$Z$3:$AH$18,6)),GL381,GK381)</f>
        <v>#N/A</v>
      </c>
      <c r="DL381" s="355">
        <f>(Calculation!R381*0.69143*(Calculation!$BQ$8-Calculation!$F$8))*$S$14</f>
        <v>0</v>
      </c>
      <c r="DM381" s="359" t="e">
        <f t="shared" si="1166"/>
        <v>#VALUE!</v>
      </c>
      <c r="DN381" s="611">
        <f t="shared" si="1167"/>
        <v>0</v>
      </c>
      <c r="DO381" s="359">
        <f t="shared" si="1168"/>
        <v>100</v>
      </c>
      <c r="DP381" s="359">
        <f t="shared" si="1169"/>
        <v>0</v>
      </c>
      <c r="DQ381" s="360"/>
      <c r="DR381" s="245" t="e">
        <f ca="1">INDEX(INDIRECT(VLOOKUP(LEFT(BO381,7),CLU!$Z$3:$AH$18,7)),M381-1,1)</f>
        <v>#N/A</v>
      </c>
      <c r="DS381" s="245" t="e">
        <f ca="1">INDEX(INDIRECT(VLOOKUP(LEFT(BO381,7),CLU!$Z$3:$AH$18,7)),M381-1,2)</f>
        <v>#N/A</v>
      </c>
      <c r="DT381" s="245" t="e">
        <f ca="1">INDEX(INDIRECT(VLOOKUP(LEFT(BO381,7),CLU!$Z$3:$AH$18,7)),M381-1,3)</f>
        <v>#N/A</v>
      </c>
      <c r="DU381" s="245" t="e">
        <f ca="1">INDEX(INDIRECT(VLOOKUP(LEFT(BO381,7),CLU!$Z$3:$AH$18,7)),M381-1,4)</f>
        <v>#N/A</v>
      </c>
      <c r="DV381" s="361" t="e">
        <f ca="1">INDEX(INDIRECT(VLOOKUP(LEFT(BO381,7),CLU!$Z$3:$AH$18,7)),M381-1,4+LEFT(DZ381,1)*0.5)</f>
        <v>#N/A</v>
      </c>
      <c r="DW381" s="245" t="e">
        <f ca="1">INDEX(INDIRECT(VLOOKUP(LEFT(BO381,7),CLU!$Z$3:$AH$18,7)),M381-1,8)</f>
        <v>#N/A</v>
      </c>
      <c r="DX381" s="361" t="str">
        <f t="shared" si="1062"/>
        <v xml:space="preserve"> </v>
      </c>
      <c r="DY381" s="361" t="str">
        <f t="shared" si="1063"/>
        <v xml:space="preserve"> </v>
      </c>
      <c r="DZ381" s="361" t="str">
        <f t="shared" si="1064"/>
        <v xml:space="preserve"> </v>
      </c>
      <c r="EA381" s="362" t="str">
        <f t="shared" si="1065"/>
        <v xml:space="preserve"> </v>
      </c>
      <c r="EB381" s="624" t="str">
        <f t="shared" si="1170"/>
        <v xml:space="preserve"> </v>
      </c>
      <c r="EC381" s="361" t="e">
        <f ca="1">INDEX(INDIRECT(VLOOKUP(LEFT(BO381,7),CLU!$Z$3:$AH$18,7)),M381-1,4+LEFT(DZ381,1)*0.5)</f>
        <v>#N/A</v>
      </c>
      <c r="ED381" s="362" t="str">
        <f t="shared" si="1066"/>
        <v xml:space="preserve"> </v>
      </c>
      <c r="EE381" s="361" t="str">
        <f t="shared" si="1067"/>
        <v xml:space="preserve"> </v>
      </c>
      <c r="EF381" s="362" t="str">
        <f>IF(L381&gt;0,IF(BR381&gt;0,IF(EE381="2P",IF(Calculation!DZ381="2P",IF(Calculation!DS381=13.75,IF(Calculation!DR381=13,Worksheet!$BD$43,IF(Calculation!DR381=37,Worksheet!$BD$44,Worksheet!$BD$45)),IF(Calculation!DS381=10,IF(Calculation!DR381=18,Worksheet!$BD$29,IF(Calculation!DR381=30,Worksheet!$BD$30,IF(Calculation!DR381=42,Worksheet!$BD$31,IF(Calculation!DR381=54,Worksheet!$BD$32,IF(Calculation!DR381=66,Worksheet!$BD$33,IF(Calculation!DR381=78,Worksheet!$BD$34,IF(Calculation!DR381=90,Worksheet!$BD$35,IF(Calculation!DR381=102,Worksheet!$BD$36,Worksheet!$BD$37)))))))),IF(Calculation!DS381=12.5,IF(Calculation!DR381=18,Worksheet!$BD$38,IF(Calculation!DR381=Worksheet!$BD$39,IF(Calculation!DR381=42,Worksheet!$BD$40,IF(Calculation!DR381=54,Worksheet!$BD$41,Worksheet!$BD$42)))),IF(Calculation!DR381=18,Worksheet!$BD$11,IF(Calculation!DR381=30,Worksheet!$BD$12,IF(Calculation!DR381=42,Worksheet!$BD$13,IF(Calculation!DR381=54,Worksheet!$BD$14,IF(Calculation!DR381=66,Worksheet!$BD$15,IF(Calculation!DR381=78,Worksheet!$BD$16,IF(Calculation!DR381=90,Worksheet!$BD$17,IF(Calculation!DR381=102,Worksheet!$BD$18,Worksheet!$BD$19))))))))))),IF(Calculation!DS381=13.75,IF(Calculation!DR381=13,Worksheet!$BD$78,IF(Calculation!DR381=37,Worksheet!$BD$79,Worksheet!$BD$80)),IF(Calculation!DS381=10,IF(Calculation!DR381=18,Worksheet!$BD$64,IF(Calculation!DR381=30,Worksheet!$BD$65,IF(Calculation!DR381=42,Worksheet!$BD$66,IF(Calculation!DR381=54,Worksheet!$BD$68,IF(Calculation!DR381=66,Worksheet!$BD$68,IF(Calculation!DR381=78,Worksheet!$BD$69,IF(Calculation!DR381=90,Worksheet!$BD$70,IF(Calculation!DR381=102,Worksheet!$BD$71,Worksheet!$BD$72)))))))),IF(Calculation!DS381=12.5,IF(Calculation!DR381=18,Worksheet!$BD$73,IF(Calculation!DR381=Worksheet!$BD$74,IF(Calculation!DR381=42,Worksheet!$BD$75,IF(Calculation!DR381=54,Worksheet!$BD$76,Worksheet!$BD$77)))),IF(Calculation!DR381=18,Worksheet!$BD$55,IF(Calculation!DR381=30,Worksheet!$BD$56,IF(Calculation!DR381=42,Worksheet!$BD$57,IF(Calculation!DR381=54,Worksheet!$BD$58,IF(Calculation!DR381=66,Worksheet!$BD$59,IF(Calculation!DR381=78,Worksheet!$BD$60,IF(Calculation!DR381=90,Worksheet!$BD$61,IF(Calculation!DR381=102,Worksheet!$BD$62,Worksheet!$BD$63)))))))))))),5),0)," ")</f>
        <v xml:space="preserve"> </v>
      </c>
      <c r="EG381" s="361" t="str">
        <f t="shared" si="1068"/>
        <v xml:space="preserve"> </v>
      </c>
      <c r="EH381" s="361" t="e">
        <f ca="1">INDEX(INDIRECT(VLOOKUP(LEFT(BO381,7),CLU!$Z$3:$AH$18,7)),M381-1,3+LEFT(DZ381,1))</f>
        <v>#N/A</v>
      </c>
      <c r="EI381" s="362" t="str">
        <f t="shared" si="1069"/>
        <v xml:space="preserve"> </v>
      </c>
      <c r="EJ381" s="363" t="str">
        <f t="shared" si="1070"/>
        <v xml:space="preserve"> </v>
      </c>
      <c r="EK381" s="363" t="str">
        <f t="shared" si="1071"/>
        <v xml:space="preserve"> </v>
      </c>
      <c r="EL381" s="363" t="str">
        <f t="shared" si="1072"/>
        <v xml:space="preserve"> </v>
      </c>
      <c r="EM381" s="362" t="str">
        <f>IF(L381&gt;0,IF(BR381&gt;0,(Calculation!T381/ED381)^2,0)," ")</f>
        <v xml:space="preserve"> </v>
      </c>
      <c r="EN381" s="362" t="str">
        <f>IF(L381&gt;0,IF(O381="2 Pipe (Cooling)","N/A",IF(BR381&gt;0,(Calculation!U381/EI381)^2,0))," ")</f>
        <v xml:space="preserve"> </v>
      </c>
      <c r="EO381" s="361" t="str">
        <f t="shared" si="1073"/>
        <v/>
      </c>
      <c r="EP381" s="361" t="str">
        <f t="shared" si="1074"/>
        <v/>
      </c>
      <c r="EQ381" s="361" t="str">
        <f t="shared" si="1075"/>
        <v/>
      </c>
      <c r="ER381" s="361" t="str">
        <f t="shared" si="1076"/>
        <v/>
      </c>
      <c r="ES381" s="361" t="str">
        <f t="shared" si="1077"/>
        <v/>
      </c>
      <c r="ET381" s="361" t="str">
        <f t="shared" si="1078"/>
        <v/>
      </c>
      <c r="EU381" s="361" t="str">
        <f t="shared" si="1079"/>
        <v/>
      </c>
      <c r="EV381" s="361" t="str">
        <f t="shared" si="1080"/>
        <v/>
      </c>
      <c r="EW381" s="361" t="str">
        <f t="shared" si="1081"/>
        <v/>
      </c>
      <c r="EX381" s="361" t="str">
        <f t="shared" si="1171"/>
        <v>1 slot, 1 way</v>
      </c>
      <c r="EY381" s="361" t="str">
        <f t="shared" si="1172"/>
        <v xml:space="preserve"> </v>
      </c>
      <c r="EZ381" s="361" t="str">
        <f t="shared" si="1173"/>
        <v xml:space="preserve"> </v>
      </c>
      <c r="FA381" s="361" t="str">
        <f t="shared" si="1174"/>
        <v xml:space="preserve"> </v>
      </c>
      <c r="FB381" s="361" t="str">
        <f t="shared" si="1175"/>
        <v xml:space="preserve"> </v>
      </c>
      <c r="FC381" s="361"/>
      <c r="FD381" s="361" t="str">
        <f>IF(J381&gt;0,IF(Calculation!R381&lt;=70,4,IF(Calculation!R381&lt;=110,5,IF(Calculation!R381&lt;=160,6,IF(Calculation!R381&lt;=300,8,"10 EO")))),"")</f>
        <v/>
      </c>
      <c r="FE381" s="361" t="str">
        <f t="shared" si="1176"/>
        <v/>
      </c>
      <c r="FF381" s="361" t="str">
        <f t="shared" si="1177"/>
        <v/>
      </c>
      <c r="FG381" s="361" t="e">
        <f t="shared" si="1082"/>
        <v>#N/A</v>
      </c>
      <c r="FH381" s="361">
        <f t="shared" si="1083"/>
        <v>0</v>
      </c>
      <c r="FI381" s="361" t="e">
        <f t="shared" si="1084"/>
        <v>#DIV/0!</v>
      </c>
      <c r="FJ381" s="361"/>
      <c r="FK381" s="356" t="e">
        <f t="shared" si="1085"/>
        <v>#VALUE!</v>
      </c>
      <c r="FL381" s="361"/>
      <c r="FM381" s="361"/>
      <c r="FN381" s="362" t="str">
        <f t="shared" si="1178"/>
        <v xml:space="preserve"> </v>
      </c>
      <c r="FO381" s="362" t="str">
        <f t="shared" si="1179"/>
        <v xml:space="preserve"> </v>
      </c>
      <c r="FP381" s="362">
        <f t="shared" si="1180"/>
        <v>0</v>
      </c>
      <c r="FQ381" s="361">
        <f t="shared" si="1086"/>
        <v>0</v>
      </c>
      <c r="FR381" s="362" t="str">
        <f>IF(L381&gt;0,IF(J381="CBAL2",Worksheet!$P$67,IF(J381="CBE2-24",Worksheet!$Q$67,IF(J381="CBAM",Worksheet!$R$67,IF(J381="CBLV",Worksheet!$S$67,IF(J381="CBAB",Worksheet!$U$67,IF(J381="CBAW",Worksheet!$X$67,IF(J381="CBE2-12",Worksheet!$Y$67,IF(J381="CBAL2",Worksheet!$Z$67,"N/A"))))))))," ")</f>
        <v xml:space="preserve"> </v>
      </c>
      <c r="FS381" s="362" t="str">
        <f>IF(L381&gt;0,IF(J381="CBAL2",Worksheet!$P$68,IF(J381="CBE2-24",Worksheet!$Q$68,IF(J381="CBAM",Worksheet!$R$68,IF(J381="CBLV",Worksheet!$S$68,IF(J381="CBAB",Worksheet!$U$68,IF(J381="CBAW",Worksheet!$X$68,IF(J381="CBE2-12",Worksheet!$Y$68,IF(J381="CBAL2",Worksheet!$Z$68,"N/A"))))))))," ")</f>
        <v xml:space="preserve"> </v>
      </c>
      <c r="FT381" s="362" t="str">
        <f>IF(L381&gt;0,IF(J381="CBAL2",Worksheet!$P$69,IF(J381="CBE2-24",Worksheet!$Q$69,IF(J381="CBAM",Worksheet!$R$69,IF(J381="CBLV",Worksheet!$S$69,IF(J381="CBAB",Worksheet!$U$69,IF(J381="CBAW",Worksheet!$X$69,IF(J381="CBE2-12",Worksheet!$Y$69,IF(J381="CBAL2",Worksheet!$Z$69,"N/A"))))))))," ")</f>
        <v xml:space="preserve"> </v>
      </c>
      <c r="FU381" s="361" t="str">
        <f t="shared" si="1181"/>
        <v xml:space="preserve"> </v>
      </c>
      <c r="FV381" s="362" t="str">
        <f t="shared" si="1182"/>
        <v xml:space="preserve"> </v>
      </c>
      <c r="FW381" s="362" t="str">
        <f t="shared" si="1183"/>
        <v xml:space="preserve"> </v>
      </c>
      <c r="FX381" s="362" t="str">
        <f t="shared" si="1184"/>
        <v xml:space="preserve"> </v>
      </c>
      <c r="FY381" s="355" t="str">
        <f t="shared" si="1185"/>
        <v xml:space="preserve"> </v>
      </c>
      <c r="FZ381" s="361" t="str">
        <f t="shared" si="1186"/>
        <v xml:space="preserve"> </v>
      </c>
      <c r="GA381" s="347" t="str">
        <f t="shared" si="1187"/>
        <v xml:space="preserve"> </v>
      </c>
      <c r="GB381" s="355" t="str">
        <f t="shared" si="1188"/>
        <v xml:space="preserve"> </v>
      </c>
      <c r="GC381" s="328" t="str">
        <f t="shared" si="1189"/>
        <v xml:space="preserve"> </v>
      </c>
      <c r="GD381" s="361" t="str">
        <f t="shared" si="1190"/>
        <v xml:space="preserve"> </v>
      </c>
      <c r="GE381" s="347" t="str">
        <f t="shared" si="1191"/>
        <v xml:space="preserve"> </v>
      </c>
      <c r="GF381" s="361" t="str">
        <f t="shared" si="1192"/>
        <v xml:space="preserve"> </v>
      </c>
      <c r="GG381" s="347" t="str">
        <f t="shared" si="1193"/>
        <v xml:space="preserve"> </v>
      </c>
      <c r="GH381" s="364">
        <f t="shared" si="1087"/>
        <v>0</v>
      </c>
      <c r="GI381" s="362">
        <f t="shared" si="1194"/>
        <v>2</v>
      </c>
      <c r="GJ381" s="433" t="e">
        <f>IF(6-COUNTBLANK(GT381:GY381)=4,MATCH(MID(BO381,9,3),CLU!$H$16:$K$16),MATCH(MID(BO381,9,3),CLU!$H$13:$M$13))</f>
        <v>#N/A</v>
      </c>
      <c r="GK381" s="433" t="e">
        <f>HLOOKUP(VALUE(BP381),CLU!$H$9:$M$10,2)</f>
        <v>#VALUE!</v>
      </c>
      <c r="GL381" s="433" t="e">
        <f ca="1">MATCH(BU381,CLU!$H$2:$V$2,1)</f>
        <v>#VALUE!</v>
      </c>
      <c r="GM381" s="433" t="e">
        <f t="shared" ca="1" si="1195"/>
        <v>#VALUE!</v>
      </c>
      <c r="GN381" s="433" t="e">
        <f t="shared" ca="1" si="1196"/>
        <v>#VALUE!</v>
      </c>
      <c r="GO381" s="433" t="e">
        <f t="shared" ca="1" si="1197"/>
        <v>#VALUE!</v>
      </c>
      <c r="GP381" s="433" t="e">
        <f t="shared" ca="1" si="1198"/>
        <v>#VALUE!</v>
      </c>
      <c r="GQ381" s="433" t="e">
        <f t="shared" ca="1" si="1199"/>
        <v>#VALUE!</v>
      </c>
      <c r="GR381" s="433" t="e">
        <f ca="1">MATCH(T381,INDIRECT(VLOOKUP(CONCATENATE(LEFT(BO381,7),"-",MID(BO381,13,1)),CLU!$P$3:$Q$16,2)),1)</f>
        <v>#N/A</v>
      </c>
      <c r="GS381" s="433" t="e">
        <f ca="1">MATCH(U381,INDIRECT(VLOOKUP(CONCATENATE(LEFT(BO381,7),"-",MID(BO381,13,1)),CLU!$P$3:$Q$16,2)),1)</f>
        <v>#N/A</v>
      </c>
      <c r="GT381" s="347" t="s">
        <v>512</v>
      </c>
      <c r="GU381" s="97" t="s">
        <v>513</v>
      </c>
      <c r="GV381" s="97" t="str">
        <f t="shared" si="1200"/>
        <v>M23</v>
      </c>
      <c r="GW381" s="97" t="str">
        <f t="shared" si="1201"/>
        <v>M31</v>
      </c>
      <c r="GX381" s="97" t="str">
        <f t="shared" si="1202"/>
        <v/>
      </c>
      <c r="GY381" s="97" t="str">
        <f t="shared" si="1203"/>
        <v/>
      </c>
      <c r="GZ381" s="481"/>
      <c r="HA381" s="240"/>
      <c r="HB381" s="240"/>
      <c r="HC381" s="240"/>
      <c r="HD381" s="240"/>
      <c r="HE381" s="240"/>
      <c r="HF381" s="240"/>
      <c r="HG381" s="240"/>
      <c r="HH381" s="240"/>
      <c r="HI381" s="240"/>
      <c r="HJ381" s="240"/>
      <c r="HK381" s="240"/>
      <c r="HL381" s="240"/>
      <c r="HM381" s="240"/>
      <c r="HN381" s="240"/>
      <c r="HO381" s="240"/>
      <c r="HP381" s="240"/>
      <c r="HQ381" s="240"/>
      <c r="HR381" s="240"/>
      <c r="HS381" s="240"/>
      <c r="HT381" s="240"/>
      <c r="HU381" s="240"/>
      <c r="HV381" s="245"/>
      <c r="HW381" s="245" t="b">
        <v>1</v>
      </c>
      <c r="HX381" s="245" t="str">
        <f t="shared" si="1088"/>
        <v/>
      </c>
      <c r="HY381" s="245" t="e">
        <f t="shared" si="1089"/>
        <v>#DIV/0!</v>
      </c>
      <c r="HZ381" s="245" t="e">
        <f t="shared" si="1090"/>
        <v>#DIV/0!</v>
      </c>
      <c r="IA381" s="245">
        <f t="shared" si="1091"/>
        <v>0</v>
      </c>
      <c r="IB381" s="245"/>
      <c r="IC381" t="b">
        <f t="shared" si="1092"/>
        <v>1</v>
      </c>
      <c r="ID381" s="245" t="b">
        <f t="shared" si="1093"/>
        <v>1</v>
      </c>
      <c r="IE381" s="245" t="b">
        <f t="shared" si="1094"/>
        <v>1</v>
      </c>
      <c r="IF381" s="245" t="b">
        <f t="shared" si="1095"/>
        <v>0</v>
      </c>
      <c r="IG381" s="245" t="b">
        <f t="shared" si="1096"/>
        <v>1</v>
      </c>
      <c r="IH381" s="245" t="b">
        <f t="shared" si="1097"/>
        <v>1</v>
      </c>
      <c r="II381" s="245">
        <f t="shared" si="1204"/>
        <v>0</v>
      </c>
      <c r="IJ381" s="245" t="e">
        <f t="shared" si="1098"/>
        <v>#VALUE!</v>
      </c>
      <c r="IK381" s="245" t="e">
        <f t="shared" si="1099"/>
        <v>#VALUE!</v>
      </c>
      <c r="IL381" s="245"/>
      <c r="IM381" s="245" t="e">
        <f t="shared" si="1205"/>
        <v>#N/A</v>
      </c>
      <c r="IN381" s="245" t="e">
        <f t="shared" si="1206"/>
        <v>#N/A</v>
      </c>
      <c r="IO381" s="245"/>
      <c r="IP381" s="245"/>
      <c r="IQ381" s="245" t="str">
        <f t="shared" si="1100"/>
        <v/>
      </c>
      <c r="IR381" s="245" t="str">
        <f>IF(J381="","",VLOOKUP(J381,Worksheet!$R$4:$T$14,2))</f>
        <v/>
      </c>
      <c r="IS381" s="245"/>
      <c r="IT381" s="245">
        <f t="shared" si="1101"/>
        <v>0</v>
      </c>
      <c r="IU381" s="245">
        <f t="shared" si="1102"/>
        <v>0</v>
      </c>
      <c r="IV381" s="245">
        <f t="shared" si="1103"/>
        <v>0</v>
      </c>
      <c r="IW381" s="245">
        <f t="shared" si="1104"/>
        <v>0</v>
      </c>
      <c r="IX381" s="245">
        <f t="shared" si="1207"/>
        <v>0</v>
      </c>
      <c r="IY381" s="245">
        <f t="shared" si="1105"/>
        <v>0</v>
      </c>
      <c r="IZ381" s="245">
        <f t="shared" si="1106"/>
        <v>0</v>
      </c>
      <c r="JA381">
        <f t="shared" si="1107"/>
        <v>0</v>
      </c>
      <c r="JB381">
        <f t="shared" si="1208"/>
        <v>0</v>
      </c>
      <c r="JC381">
        <f t="shared" si="1108"/>
        <v>0</v>
      </c>
      <c r="JD381">
        <f t="shared" si="1109"/>
        <v>0</v>
      </c>
      <c r="JE381">
        <f t="shared" si="1110"/>
        <v>0</v>
      </c>
      <c r="JF381">
        <f t="shared" si="1111"/>
        <v>0</v>
      </c>
      <c r="JG381">
        <f t="shared" si="1112"/>
        <v>0</v>
      </c>
      <c r="JH381">
        <f t="shared" si="1113"/>
        <v>0</v>
      </c>
      <c r="JI381">
        <f t="shared" si="1114"/>
        <v>0</v>
      </c>
      <c r="JJ381" s="447">
        <f t="shared" si="1115"/>
        <v>0</v>
      </c>
      <c r="JK381" s="447">
        <f t="shared" si="1116"/>
        <v>0</v>
      </c>
      <c r="JL381">
        <f t="shared" si="1117"/>
        <v>0</v>
      </c>
      <c r="JM381" s="245" t="str">
        <f>IFERROR(VLOOKUP(MATCH(BN381,#REF!,0),#REF!,7),"")</f>
        <v/>
      </c>
      <c r="JN381" t="e">
        <f>HLOOKUP(LEFT(BO381,7),Discharge_Area,MATCH(JO381,LookUps!$B$130:$B$149,1)+2)</f>
        <v>#N/A</v>
      </c>
      <c r="JO381" t="str">
        <f t="shared" si="1118"/>
        <v>- S</v>
      </c>
      <c r="JP381" t="e">
        <f>HLOOKUP(LEFT(BO381,7),Discharge_Area,MATCH(JO381,LookUps!$B$130:$B$149,1)+2)</f>
        <v>#N/A</v>
      </c>
      <c r="JQ381" t="e">
        <f t="shared" si="1119"/>
        <v>#N/A</v>
      </c>
      <c r="JR381" t="e">
        <f t="shared" si="1120"/>
        <v>#N/A</v>
      </c>
      <c r="JS381" t="e">
        <f t="shared" si="1121"/>
        <v>#N/A</v>
      </c>
      <c r="JT381" s="532" t="str">
        <f t="shared" si="1122"/>
        <v xml:space="preserve"> </v>
      </c>
      <c r="JU381" s="532" t="str">
        <f t="shared" si="1123"/>
        <v xml:space="preserve"> </v>
      </c>
      <c r="JV381" s="533" t="str">
        <f t="shared" si="1124"/>
        <v xml:space="preserve"> </v>
      </c>
      <c r="JW381" s="534">
        <f t="shared" si="1125"/>
        <v>0</v>
      </c>
      <c r="JX381" s="535" t="str">
        <f t="shared" si="1209"/>
        <v xml:space="preserve"> </v>
      </c>
      <c r="JY381" s="535" t="str">
        <f t="shared" si="1210"/>
        <v xml:space="preserve"> </v>
      </c>
      <c r="JZ381" s="535" t="str">
        <f t="shared" si="1211"/>
        <v xml:space="preserve"> </v>
      </c>
      <c r="KA381" s="536" t="str">
        <f t="shared" si="1126"/>
        <v xml:space="preserve"> </v>
      </c>
      <c r="KB381" s="535" t="e">
        <f t="shared" si="1212"/>
        <v>#VALUE!</v>
      </c>
      <c r="KC381" s="535" t="str">
        <f t="shared" si="1127"/>
        <v/>
      </c>
      <c r="KD381" s="537" t="str">
        <f t="shared" si="1213"/>
        <v xml:space="preserve"> </v>
      </c>
      <c r="KE381" s="537" t="str">
        <f t="shared" si="1214"/>
        <v xml:space="preserve"> </v>
      </c>
      <c r="KF381" s="534">
        <f t="shared" si="1128"/>
        <v>0</v>
      </c>
      <c r="KG381" s="535" t="str">
        <f t="shared" si="1129"/>
        <v xml:space="preserve"> </v>
      </c>
      <c r="KH381" s="535" t="str">
        <f t="shared" si="1130"/>
        <v xml:space="preserve"> </v>
      </c>
      <c r="KI381" s="535" t="str">
        <f t="shared" si="1131"/>
        <v xml:space="preserve"> </v>
      </c>
      <c r="KJ381" s="536" t="str">
        <f t="shared" si="1132"/>
        <v xml:space="preserve"> </v>
      </c>
      <c r="KK381" s="535" t="str">
        <f t="shared" si="1215"/>
        <v xml:space="preserve"> </v>
      </c>
      <c r="KL381" s="535" t="str">
        <f t="shared" si="1216"/>
        <v xml:space="preserve"> </v>
      </c>
      <c r="KM381" s="537" t="str">
        <f t="shared" si="1133"/>
        <v xml:space="preserve"> </v>
      </c>
      <c r="KN381" s="537" t="str">
        <f t="shared" si="1217"/>
        <v xml:space="preserve"> </v>
      </c>
      <c r="KP381">
        <f t="shared" si="1134"/>
        <v>0</v>
      </c>
      <c r="LA381" t="e">
        <f t="shared" si="1135"/>
        <v>#VALUE!</v>
      </c>
      <c r="LB381" t="e">
        <f t="shared" si="1136"/>
        <v>#VALUE!</v>
      </c>
      <c r="LC381" t="e">
        <f t="shared" si="1137"/>
        <v>#VALUE!</v>
      </c>
      <c r="LD381" t="e">
        <f t="shared" si="1138"/>
        <v>#VALUE!</v>
      </c>
      <c r="LE381" t="e">
        <f t="shared" si="1218"/>
        <v>#VALUE!</v>
      </c>
      <c r="LF381">
        <f t="shared" si="1139"/>
        <v>0</v>
      </c>
      <c r="LG381" t="e">
        <f t="shared" si="1219"/>
        <v>#VALUE!</v>
      </c>
      <c r="LH381" t="str">
        <f t="shared" si="1140"/>
        <v xml:space="preserve"> </v>
      </c>
      <c r="LI381">
        <f t="shared" si="1220"/>
        <v>1</v>
      </c>
    </row>
    <row r="382" spans="2:321" ht="15" customHeight="1">
      <c r="B382" s="311"/>
      <c r="C382" s="311"/>
      <c r="D382" s="312"/>
      <c r="E382" s="311"/>
      <c r="F382" s="312"/>
      <c r="G382" s="311"/>
      <c r="H382" s="311"/>
      <c r="I382" s="232"/>
      <c r="J382" s="311"/>
      <c r="K382" s="305" t="str">
        <f t="shared" si="1141"/>
        <v/>
      </c>
      <c r="L382" s="313"/>
      <c r="M382" s="312"/>
      <c r="N382" s="311"/>
      <c r="O382" s="312"/>
      <c r="P382" s="311"/>
      <c r="Q382" s="305" t="str">
        <f t="shared" si="1142"/>
        <v/>
      </c>
      <c r="R382" s="314"/>
      <c r="S382" s="450" t="str">
        <f t="shared" si="1025"/>
        <v/>
      </c>
      <c r="T382" s="315"/>
      <c r="U382" s="315"/>
      <c r="W382" s="149" t="str">
        <f t="shared" si="1026"/>
        <v xml:space="preserve"> </v>
      </c>
      <c r="X382" s="243" t="str">
        <f t="shared" si="1027"/>
        <v xml:space="preserve"> </v>
      </c>
      <c r="Y382" s="150" t="str">
        <f t="shared" si="1028"/>
        <v/>
      </c>
      <c r="Z382" s="149" t="str">
        <f t="shared" si="1029"/>
        <v xml:space="preserve"> </v>
      </c>
      <c r="AA382" s="98" t="str">
        <f t="shared" si="1030"/>
        <v xml:space="preserve"> </v>
      </c>
      <c r="AB382" s="153" t="str">
        <f t="shared" si="1031"/>
        <v xml:space="preserve"> </v>
      </c>
      <c r="AC382" s="153" t="str">
        <f t="shared" si="1032"/>
        <v xml:space="preserve"> </v>
      </c>
      <c r="AD382" s="148" t="str">
        <f t="shared" si="1033"/>
        <v/>
      </c>
      <c r="AE382" s="149" t="str">
        <f t="shared" si="1034"/>
        <v/>
      </c>
      <c r="AF382" s="151" t="str">
        <f t="shared" si="1035"/>
        <v xml:space="preserve"> </v>
      </c>
      <c r="AG382" s="153" t="str">
        <f t="shared" si="1036"/>
        <v xml:space="preserve"> </v>
      </c>
      <c r="AH382" s="98" t="str">
        <f t="shared" si="1037"/>
        <v xml:space="preserve"> </v>
      </c>
      <c r="AI382" s="149" t="str">
        <f t="shared" si="1038"/>
        <v xml:space="preserve"> </v>
      </c>
      <c r="AK382" s="144" t="str">
        <f t="shared" si="1039"/>
        <v xml:space="preserve"> </v>
      </c>
      <c r="AL382" s="144"/>
      <c r="AM382" s="243" t="str">
        <f t="shared" si="1040"/>
        <v xml:space="preserve"> </v>
      </c>
      <c r="AN382" s="149" t="str">
        <f t="shared" si="1143"/>
        <v xml:space="preserve"> </v>
      </c>
      <c r="AO382" s="144" t="str">
        <f>IF(JB382&gt;0,IF(GI382=10,-R382*1.085*(Calculation!$F$6-Calculation!$F$13)*$S$14," "),"")</f>
        <v/>
      </c>
      <c r="AP382" s="144" t="str">
        <f t="shared" si="1041"/>
        <v/>
      </c>
      <c r="AQ382" s="56" t="str">
        <f t="shared" si="1042"/>
        <v/>
      </c>
      <c r="AR382" s="144" t="str">
        <f t="shared" si="1043"/>
        <v/>
      </c>
      <c r="AS382" s="176" t="str">
        <f t="shared" si="1044"/>
        <v/>
      </c>
      <c r="AT382" s="176" t="str">
        <f t="shared" si="1144"/>
        <v xml:space="preserve"> </v>
      </c>
      <c r="AU382" s="176" t="str">
        <f t="shared" si="1045"/>
        <v/>
      </c>
      <c r="AV382" s="177" t="str">
        <f t="shared" si="1046"/>
        <v xml:space="preserve"> </v>
      </c>
      <c r="AW382" s="144" t="str">
        <f t="shared" si="1047"/>
        <v xml:space="preserve"> </v>
      </c>
      <c r="AX382" s="144" t="str">
        <f t="shared" si="1048"/>
        <v xml:space="preserve"> </v>
      </c>
      <c r="AY382" s="152" t="str">
        <f t="shared" si="1049"/>
        <v xml:space="preserve"> </v>
      </c>
      <c r="AZ382" s="246" t="str">
        <f t="shared" si="1050"/>
        <v/>
      </c>
      <c r="BA382" s="176" t="str">
        <f t="shared" si="1051"/>
        <v xml:space="preserve"> </v>
      </c>
      <c r="BB382" s="176" t="str">
        <f t="shared" si="1052"/>
        <v xml:space="preserve"> </v>
      </c>
      <c r="BC382" s="195"/>
      <c r="BD382" s="316"/>
      <c r="BE382" s="317"/>
      <c r="BF382" s="318"/>
      <c r="BG382" s="318"/>
      <c r="BH382" s="144" t="str">
        <f t="shared" si="1221"/>
        <v xml:space="preserve"> </v>
      </c>
      <c r="BI382" s="176" t="str">
        <f t="shared" si="1053"/>
        <v/>
      </c>
      <c r="BJ382" s="144" t="str">
        <f t="shared" si="1222"/>
        <v/>
      </c>
      <c r="BK382" s="246" t="str">
        <f t="shared" si="1054"/>
        <v/>
      </c>
      <c r="BL382" s="144" t="str">
        <f t="shared" si="1223"/>
        <v/>
      </c>
      <c r="BM382" s="246" t="str">
        <f t="shared" si="1055"/>
        <v/>
      </c>
      <c r="BN382" s="337" t="str">
        <f t="shared" si="1145"/>
        <v/>
      </c>
      <c r="BO382" s="371" t="str">
        <f t="shared" si="1146"/>
        <v/>
      </c>
      <c r="BP382" s="328" t="str">
        <f t="shared" si="1224"/>
        <v xml:space="preserve"> </v>
      </c>
      <c r="BQ382" s="347" t="str">
        <f t="shared" si="1147"/>
        <v xml:space="preserve"> </v>
      </c>
      <c r="BR382" s="353" t="str">
        <f t="shared" si="1148"/>
        <v xml:space="preserve"> </v>
      </c>
      <c r="BS382" s="626" t="str">
        <f>IF(L382&gt;0,IF(Calculation!P382="M13",BR382*3.1416*(0.134^2)/(4*144),IF(Calculation!P382="M17",BR382*3.1416*(0.165^2)/(4*144),IF(Calculation!P382="M20",BR382*3.1416*(0.198^2)/(4*144),IF(Calculation!P382="M23",BR382*3.1416*(0.228^2)/(4*144),IF(Calculation!P382="M27",BR382*3.1416*(0.269^2)/(4*144),BR382*3.1416*(0.307^2)/(4*144))))))," ")</f>
        <v xml:space="preserve"> </v>
      </c>
      <c r="BT382" s="353" t="str">
        <f>IF(L382&gt;0,IF(BS382&gt;0,R382/Calculation!BS382,0)," ")</f>
        <v xml:space="preserve"> </v>
      </c>
      <c r="BU382" s="438" t="e">
        <f t="shared" ca="1" si="1056"/>
        <v>#VALUE!</v>
      </c>
      <c r="BV382" s="449" t="e">
        <f ca="1">INDEX(INDIRECT(VLOOKUP(LEFT(BO382,7),CLU!$Z$3:$AH$18,2)),GN382,GR382)</f>
        <v>#N/A</v>
      </c>
      <c r="BW382" s="433" t="e">
        <f ca="1">INDEX(INDIRECT(VLOOKUP(LEFT(BO382,7),CLU!$Z$3:$AH$18,3)),GN382,GR382)</f>
        <v>#N/A</v>
      </c>
      <c r="BX382" s="433" t="e">
        <f ca="1">INDEX(INDIRECT(VLOOKUP(LEFT(BO382,7),CLU!$Z$3:$AH$18,4)),GN382,GR382)</f>
        <v>#N/A</v>
      </c>
      <c r="BY382" s="433" t="e">
        <f ca="1">INDEX(INDIRECT(VLOOKUP(LEFT(BO382,7),CLU!$Z$3:$AH$18,9)),((M382-2)*(6-COUNTBLANK(GT382:GY382)))+GJ382)</f>
        <v>#N/A</v>
      </c>
      <c r="BZ382" s="426" t="e">
        <f t="shared" ca="1" si="1149"/>
        <v>#N/A</v>
      </c>
      <c r="CA382" s="424" t="e">
        <f t="shared" ca="1" si="1150"/>
        <v>#N/A</v>
      </c>
      <c r="CB382" s="429" t="e">
        <f ca="1">INDEX(INDIRECT(VLOOKUP(LEFT(BO382,7),CLU!$Z$3:$AH$18,2)),GN382,GS382)</f>
        <v>#N/A</v>
      </c>
      <c r="CC382" s="342" t="e">
        <f ca="1">INDEX(INDIRECT(VLOOKUP(LEFT(BO382,7),CLU!$Z$3:$AH$18,3)),GN382,GS382)</f>
        <v>#N/A</v>
      </c>
      <c r="CD382" s="342" t="e">
        <f ca="1">INDEX(INDIRECT(VLOOKUP(LEFT(BO382,7),CLU!$Z$3:$AH$18,4)),GN382,GS382)</f>
        <v>#N/A</v>
      </c>
      <c r="CE382" s="426" t="e">
        <f t="shared" ca="1" si="1151"/>
        <v>#N/A</v>
      </c>
      <c r="CF382" s="440">
        <f t="shared" si="1152"/>
        <v>0</v>
      </c>
      <c r="CG382" s="431" t="e">
        <f ca="1">INDEX(INDIRECT(VLOOKUP(LEFT(BO382,7),CLU!$Z$3:$AH$18,2)),GQ382,GR382)</f>
        <v>#N/A</v>
      </c>
      <c r="CH382" s="431" t="e">
        <f ca="1">INDEX(INDIRECT(VLOOKUP(LEFT(BO382,7),CLU!$Z$3:$AH$18,3)),GQ382,GR382)</f>
        <v>#N/A</v>
      </c>
      <c r="CI382" s="431" t="e">
        <f ca="1">INDEX(INDIRECT(VLOOKUP(LEFT(BO382,7),CLU!$Z$3:$AH$18,4)),GQ382,GR382)</f>
        <v>#N/A</v>
      </c>
      <c r="CJ382" s="448" t="e">
        <f t="shared" ca="1" si="1153"/>
        <v>#N/A</v>
      </c>
      <c r="CK382" s="431" t="e">
        <f t="shared" ca="1" si="1154"/>
        <v>#N/A</v>
      </c>
      <c r="CL382" s="440" t="e">
        <f t="shared" ca="1" si="1155"/>
        <v>#N/A</v>
      </c>
      <c r="CM382" s="431" t="e">
        <f ca="1">INDEX(INDIRECT(VLOOKUP(LEFT(BO382,7),CLU!$Z$3:$AH$18,2)),GQ382,GS382)</f>
        <v>#N/A</v>
      </c>
      <c r="CN382" s="431" t="e">
        <f ca="1">INDEX(INDIRECT(VLOOKUP(LEFT(BO382,7),CLU!$Z$3:$AH$18,3)),GQ382,GS382)</f>
        <v>#N/A</v>
      </c>
      <c r="CO382" s="431" t="e">
        <f ca="1">INDEX(INDIRECT(VLOOKUP(LEFT(BO382,7),CLU!$Z$3:$AH$18,4)),GQ382,GS382)</f>
        <v>#N/A</v>
      </c>
      <c r="CP382" s="431" t="e">
        <f t="shared" ca="1" si="1156"/>
        <v>#N/A</v>
      </c>
      <c r="CQ382" s="440">
        <f t="shared" si="1157"/>
        <v>0</v>
      </c>
      <c r="CR382" s="51" t="e">
        <f t="shared" ca="1" si="1158"/>
        <v>#N/A</v>
      </c>
      <c r="CS382" s="439" t="e">
        <f t="shared" ca="1" si="1159"/>
        <v>#VALUE!</v>
      </c>
      <c r="CT382" s="51" t="e">
        <f t="shared" ca="1" si="1160"/>
        <v>#VALUE!</v>
      </c>
      <c r="CU382" s="10"/>
      <c r="CV382" s="51" t="e">
        <f t="shared" ca="1" si="1057"/>
        <v>#VALUE!</v>
      </c>
      <c r="CW382" s="51">
        <f t="shared" si="1161"/>
        <v>0</v>
      </c>
      <c r="CX382" s="439" t="e">
        <f t="shared" ca="1" si="1162"/>
        <v>#VALUE!</v>
      </c>
      <c r="CY382" s="51" t="e">
        <f t="shared" ca="1" si="1163"/>
        <v>#VALUE!</v>
      </c>
      <c r="CZ382" s="10"/>
      <c r="DA382" s="51" t="e">
        <f t="shared" ca="1" si="1164"/>
        <v>#VALUE!</v>
      </c>
      <c r="DB382" s="347" t="e">
        <f ca="1">INDEX(INDIRECT(VLOOKUP(LEFT(BO382,7),CLU!$Z$3:$AI$18,10)),((M382-2)*(6-COUNTBLANK(GT382:GY382)))+GJ382)*LI382</f>
        <v>#N/A</v>
      </c>
      <c r="DC382" s="347" t="str">
        <f>IF(L382&gt;0,((R382/Worksheet!$I$15)/DB382)^2," ")</f>
        <v xml:space="preserve"> </v>
      </c>
      <c r="DD382" s="602" t="str">
        <f t="shared" si="1165"/>
        <v xml:space="preserve"> </v>
      </c>
      <c r="DE382" s="347" t="str">
        <f t="shared" si="1058"/>
        <v xml:space="preserve"> </v>
      </c>
      <c r="DF382" s="356" t="e">
        <f ca="1">INDEX(INDIRECT(VLOOKUP(LEFT(BO382,7),CLU!$Z$3:$AH$18,8)),((M382-2)*(6-COUNTBLANK(GT382:GY382)))+GJ382)</f>
        <v>#N/A</v>
      </c>
      <c r="DG382" s="347" t="str">
        <f t="shared" si="1059"/>
        <v xml:space="preserve"> </v>
      </c>
      <c r="DH382" s="357" t="str">
        <f t="shared" si="1060"/>
        <v xml:space="preserve"> </v>
      </c>
      <c r="DI382" s="355" t="str">
        <f t="shared" si="1061"/>
        <v xml:space="preserve"> </v>
      </c>
      <c r="DJ382" s="245" t="e">
        <f ca="1">INDEX(INDIRECT(VLOOKUP(LEFT(BO382,7),CLU!$Z$3:$AH$18,5)),GL382,GK382)</f>
        <v>#N/A</v>
      </c>
      <c r="DK382" s="245" t="e">
        <f ca="1">INDEX(INDIRECT(VLOOKUP(LEFT(BO382,7),CLU!$Z$3:$AH$18,6)),GL382,GK382)</f>
        <v>#N/A</v>
      </c>
      <c r="DL382" s="355">
        <f>(Calculation!R382*0.69143*(Calculation!$BQ$8-Calculation!$F$8))*$S$14</f>
        <v>0</v>
      </c>
      <c r="DM382" s="359" t="e">
        <f t="shared" si="1166"/>
        <v>#VALUE!</v>
      </c>
      <c r="DN382" s="611">
        <f t="shared" si="1167"/>
        <v>0</v>
      </c>
      <c r="DO382" s="359">
        <f t="shared" si="1168"/>
        <v>100</v>
      </c>
      <c r="DP382" s="359">
        <f t="shared" si="1169"/>
        <v>0</v>
      </c>
      <c r="DQ382" s="360"/>
      <c r="DR382" s="245" t="e">
        <f ca="1">INDEX(INDIRECT(VLOOKUP(LEFT(BO382,7),CLU!$Z$3:$AH$18,7)),M382-1,1)</f>
        <v>#N/A</v>
      </c>
      <c r="DS382" s="245" t="e">
        <f ca="1">INDEX(INDIRECT(VLOOKUP(LEFT(BO382,7),CLU!$Z$3:$AH$18,7)),M382-1,2)</f>
        <v>#N/A</v>
      </c>
      <c r="DT382" s="245" t="e">
        <f ca="1">INDEX(INDIRECT(VLOOKUP(LEFT(BO382,7),CLU!$Z$3:$AH$18,7)),M382-1,3)</f>
        <v>#N/A</v>
      </c>
      <c r="DU382" s="245" t="e">
        <f ca="1">INDEX(INDIRECT(VLOOKUP(LEFT(BO382,7),CLU!$Z$3:$AH$18,7)),M382-1,4)</f>
        <v>#N/A</v>
      </c>
      <c r="DV382" s="361" t="e">
        <f ca="1">INDEX(INDIRECT(VLOOKUP(LEFT(BO382,7),CLU!$Z$3:$AH$18,7)),M382-1,4+LEFT(DZ382,1)*0.5)</f>
        <v>#N/A</v>
      </c>
      <c r="DW382" s="245" t="e">
        <f ca="1">INDEX(INDIRECT(VLOOKUP(LEFT(BO382,7),CLU!$Z$3:$AH$18,7)),M382-1,8)</f>
        <v>#N/A</v>
      </c>
      <c r="DX382" s="361" t="str">
        <f t="shared" si="1062"/>
        <v xml:space="preserve"> </v>
      </c>
      <c r="DY382" s="361" t="str">
        <f t="shared" si="1063"/>
        <v xml:space="preserve"> </v>
      </c>
      <c r="DZ382" s="361" t="str">
        <f t="shared" si="1064"/>
        <v xml:space="preserve"> </v>
      </c>
      <c r="EA382" s="362" t="str">
        <f t="shared" si="1065"/>
        <v xml:space="preserve"> </v>
      </c>
      <c r="EB382" s="624" t="str">
        <f t="shared" si="1170"/>
        <v xml:space="preserve"> </v>
      </c>
      <c r="EC382" s="361" t="e">
        <f ca="1">INDEX(INDIRECT(VLOOKUP(LEFT(BO382,7),CLU!$Z$3:$AH$18,7)),M382-1,4+LEFT(DZ382,1)*0.5)</f>
        <v>#N/A</v>
      </c>
      <c r="ED382" s="362" t="str">
        <f t="shared" si="1066"/>
        <v xml:space="preserve"> </v>
      </c>
      <c r="EE382" s="361" t="str">
        <f t="shared" si="1067"/>
        <v xml:space="preserve"> </v>
      </c>
      <c r="EF382" s="362" t="str">
        <f>IF(L382&gt;0,IF(BR382&gt;0,IF(EE382="2P",IF(Calculation!DZ382="2P",IF(Calculation!DS382=13.75,IF(Calculation!DR382=13,Worksheet!$BD$43,IF(Calculation!DR382=37,Worksheet!$BD$44,Worksheet!$BD$45)),IF(Calculation!DS382=10,IF(Calculation!DR382=18,Worksheet!$BD$29,IF(Calculation!DR382=30,Worksheet!$BD$30,IF(Calculation!DR382=42,Worksheet!$BD$31,IF(Calculation!DR382=54,Worksheet!$BD$32,IF(Calculation!DR382=66,Worksheet!$BD$33,IF(Calculation!DR382=78,Worksheet!$BD$34,IF(Calculation!DR382=90,Worksheet!$BD$35,IF(Calculation!DR382=102,Worksheet!$BD$36,Worksheet!$BD$37)))))))),IF(Calculation!DS382=12.5,IF(Calculation!DR382=18,Worksheet!$BD$38,IF(Calculation!DR382=Worksheet!$BD$39,IF(Calculation!DR382=42,Worksheet!$BD$40,IF(Calculation!DR382=54,Worksheet!$BD$41,Worksheet!$BD$42)))),IF(Calculation!DR382=18,Worksheet!$BD$11,IF(Calculation!DR382=30,Worksheet!$BD$12,IF(Calculation!DR382=42,Worksheet!$BD$13,IF(Calculation!DR382=54,Worksheet!$BD$14,IF(Calculation!DR382=66,Worksheet!$BD$15,IF(Calculation!DR382=78,Worksheet!$BD$16,IF(Calculation!DR382=90,Worksheet!$BD$17,IF(Calculation!DR382=102,Worksheet!$BD$18,Worksheet!$BD$19))))))))))),IF(Calculation!DS382=13.75,IF(Calculation!DR382=13,Worksheet!$BD$78,IF(Calculation!DR382=37,Worksheet!$BD$79,Worksheet!$BD$80)),IF(Calculation!DS382=10,IF(Calculation!DR382=18,Worksheet!$BD$64,IF(Calculation!DR382=30,Worksheet!$BD$65,IF(Calculation!DR382=42,Worksheet!$BD$66,IF(Calculation!DR382=54,Worksheet!$BD$68,IF(Calculation!DR382=66,Worksheet!$BD$68,IF(Calculation!DR382=78,Worksheet!$BD$69,IF(Calculation!DR382=90,Worksheet!$BD$70,IF(Calculation!DR382=102,Worksheet!$BD$71,Worksheet!$BD$72)))))))),IF(Calculation!DS382=12.5,IF(Calculation!DR382=18,Worksheet!$BD$73,IF(Calculation!DR382=Worksheet!$BD$74,IF(Calculation!DR382=42,Worksheet!$BD$75,IF(Calculation!DR382=54,Worksheet!$BD$76,Worksheet!$BD$77)))),IF(Calculation!DR382=18,Worksheet!$BD$55,IF(Calculation!DR382=30,Worksheet!$BD$56,IF(Calculation!DR382=42,Worksheet!$BD$57,IF(Calculation!DR382=54,Worksheet!$BD$58,IF(Calculation!DR382=66,Worksheet!$BD$59,IF(Calculation!DR382=78,Worksheet!$BD$60,IF(Calculation!DR382=90,Worksheet!$BD$61,IF(Calculation!DR382=102,Worksheet!$BD$62,Worksheet!$BD$63)))))))))))),5),0)," ")</f>
        <v xml:space="preserve"> </v>
      </c>
      <c r="EG382" s="361" t="str">
        <f t="shared" si="1068"/>
        <v xml:space="preserve"> </v>
      </c>
      <c r="EH382" s="361" t="e">
        <f ca="1">INDEX(INDIRECT(VLOOKUP(LEFT(BO382,7),CLU!$Z$3:$AH$18,7)),M382-1,3+LEFT(DZ382,1))</f>
        <v>#N/A</v>
      </c>
      <c r="EI382" s="362" t="str">
        <f t="shared" si="1069"/>
        <v xml:space="preserve"> </v>
      </c>
      <c r="EJ382" s="363" t="str">
        <f t="shared" si="1070"/>
        <v xml:space="preserve"> </v>
      </c>
      <c r="EK382" s="363" t="str">
        <f t="shared" si="1071"/>
        <v xml:space="preserve"> </v>
      </c>
      <c r="EL382" s="363" t="str">
        <f t="shared" si="1072"/>
        <v xml:space="preserve"> </v>
      </c>
      <c r="EM382" s="362" t="str">
        <f>IF(L382&gt;0,IF(BR382&gt;0,(Calculation!T382/ED382)^2,0)," ")</f>
        <v xml:space="preserve"> </v>
      </c>
      <c r="EN382" s="362" t="str">
        <f>IF(L382&gt;0,IF(O382="2 Pipe (Cooling)","N/A",IF(BR382&gt;0,(Calculation!U382/EI382)^2,0))," ")</f>
        <v xml:space="preserve"> </v>
      </c>
      <c r="EO382" s="361" t="str">
        <f t="shared" si="1073"/>
        <v/>
      </c>
      <c r="EP382" s="361" t="str">
        <f t="shared" si="1074"/>
        <v/>
      </c>
      <c r="EQ382" s="361" t="str">
        <f t="shared" si="1075"/>
        <v/>
      </c>
      <c r="ER382" s="361" t="str">
        <f t="shared" si="1076"/>
        <v/>
      </c>
      <c r="ES382" s="361" t="str">
        <f t="shared" si="1077"/>
        <v/>
      </c>
      <c r="ET382" s="361" t="str">
        <f t="shared" si="1078"/>
        <v/>
      </c>
      <c r="EU382" s="361" t="str">
        <f t="shared" si="1079"/>
        <v/>
      </c>
      <c r="EV382" s="361" t="str">
        <f t="shared" si="1080"/>
        <v/>
      </c>
      <c r="EW382" s="361" t="str">
        <f t="shared" si="1081"/>
        <v/>
      </c>
      <c r="EX382" s="361" t="str">
        <f t="shared" si="1171"/>
        <v>1 slot, 1 way</v>
      </c>
      <c r="EY382" s="361" t="str">
        <f t="shared" si="1172"/>
        <v xml:space="preserve"> </v>
      </c>
      <c r="EZ382" s="361" t="str">
        <f t="shared" si="1173"/>
        <v xml:space="preserve"> </v>
      </c>
      <c r="FA382" s="361" t="str">
        <f t="shared" si="1174"/>
        <v xml:space="preserve"> </v>
      </c>
      <c r="FB382" s="361" t="str">
        <f t="shared" si="1175"/>
        <v xml:space="preserve"> </v>
      </c>
      <c r="FC382" s="361"/>
      <c r="FD382" s="361" t="str">
        <f>IF(J382&gt;0,IF(Calculation!R382&lt;=70,4,IF(Calculation!R382&lt;=110,5,IF(Calculation!R382&lt;=160,6,IF(Calculation!R382&lt;=300,8,"10 EO")))),"")</f>
        <v/>
      </c>
      <c r="FE382" s="361" t="str">
        <f t="shared" si="1176"/>
        <v/>
      </c>
      <c r="FF382" s="361" t="str">
        <f t="shared" si="1177"/>
        <v/>
      </c>
      <c r="FG382" s="361" t="e">
        <f t="shared" si="1082"/>
        <v>#N/A</v>
      </c>
      <c r="FH382" s="361">
        <f t="shared" si="1083"/>
        <v>0</v>
      </c>
      <c r="FI382" s="361" t="e">
        <f t="shared" si="1084"/>
        <v>#DIV/0!</v>
      </c>
      <c r="FJ382" s="361"/>
      <c r="FK382" s="356" t="e">
        <f t="shared" si="1085"/>
        <v>#VALUE!</v>
      </c>
      <c r="FL382" s="361"/>
      <c r="FM382" s="361"/>
      <c r="FN382" s="362" t="str">
        <f t="shared" si="1178"/>
        <v xml:space="preserve"> </v>
      </c>
      <c r="FO382" s="362" t="str">
        <f t="shared" si="1179"/>
        <v xml:space="preserve"> </v>
      </c>
      <c r="FP382" s="362">
        <f t="shared" si="1180"/>
        <v>0</v>
      </c>
      <c r="FQ382" s="361">
        <f t="shared" si="1086"/>
        <v>0</v>
      </c>
      <c r="FR382" s="362" t="str">
        <f>IF(L382&gt;0,IF(J382="CBAL2",Worksheet!$P$67,IF(J382="CBE2-24",Worksheet!$Q$67,IF(J382="CBAM",Worksheet!$R$67,IF(J382="CBLV",Worksheet!$S$67,IF(J382="CBAB",Worksheet!$U$67,IF(J382="CBAW",Worksheet!$X$67,IF(J382="CBE2-12",Worksheet!$Y$67,IF(J382="CBAL2",Worksheet!$Z$67,"N/A"))))))))," ")</f>
        <v xml:space="preserve"> </v>
      </c>
      <c r="FS382" s="362" t="str">
        <f>IF(L382&gt;0,IF(J382="CBAL2",Worksheet!$P$68,IF(J382="CBE2-24",Worksheet!$Q$68,IF(J382="CBAM",Worksheet!$R$68,IF(J382="CBLV",Worksheet!$S$68,IF(J382="CBAB",Worksheet!$U$68,IF(J382="CBAW",Worksheet!$X$68,IF(J382="CBE2-12",Worksheet!$Y$68,IF(J382="CBAL2",Worksheet!$Z$68,"N/A"))))))))," ")</f>
        <v xml:space="preserve"> </v>
      </c>
      <c r="FT382" s="362" t="str">
        <f>IF(L382&gt;0,IF(J382="CBAL2",Worksheet!$P$69,IF(J382="CBE2-24",Worksheet!$Q$69,IF(J382="CBAM",Worksheet!$R$69,IF(J382="CBLV",Worksheet!$S$69,IF(J382="CBAB",Worksheet!$U$69,IF(J382="CBAW",Worksheet!$X$69,IF(J382="CBE2-12",Worksheet!$Y$69,IF(J382="CBAL2",Worksheet!$Z$69,"N/A"))))))))," ")</f>
        <v xml:space="preserve"> </v>
      </c>
      <c r="FU382" s="361" t="str">
        <f t="shared" si="1181"/>
        <v xml:space="preserve"> </v>
      </c>
      <c r="FV382" s="362" t="str">
        <f t="shared" si="1182"/>
        <v xml:space="preserve"> </v>
      </c>
      <c r="FW382" s="362" t="str">
        <f t="shared" si="1183"/>
        <v xml:space="preserve"> </v>
      </c>
      <c r="FX382" s="362" t="str">
        <f t="shared" si="1184"/>
        <v xml:space="preserve"> </v>
      </c>
      <c r="FY382" s="355" t="str">
        <f t="shared" si="1185"/>
        <v xml:space="preserve"> </v>
      </c>
      <c r="FZ382" s="361" t="str">
        <f t="shared" si="1186"/>
        <v xml:space="preserve"> </v>
      </c>
      <c r="GA382" s="347" t="str">
        <f t="shared" si="1187"/>
        <v xml:space="preserve"> </v>
      </c>
      <c r="GB382" s="355" t="str">
        <f t="shared" si="1188"/>
        <v xml:space="preserve"> </v>
      </c>
      <c r="GC382" s="328" t="str">
        <f t="shared" si="1189"/>
        <v xml:space="preserve"> </v>
      </c>
      <c r="GD382" s="361" t="str">
        <f t="shared" si="1190"/>
        <v xml:space="preserve"> </v>
      </c>
      <c r="GE382" s="347" t="str">
        <f t="shared" si="1191"/>
        <v xml:space="preserve"> </v>
      </c>
      <c r="GF382" s="361" t="str">
        <f t="shared" si="1192"/>
        <v xml:space="preserve"> </v>
      </c>
      <c r="GG382" s="347" t="str">
        <f t="shared" si="1193"/>
        <v xml:space="preserve"> </v>
      </c>
      <c r="GH382" s="364">
        <f t="shared" si="1087"/>
        <v>0</v>
      </c>
      <c r="GI382" s="362">
        <f t="shared" si="1194"/>
        <v>2</v>
      </c>
      <c r="GJ382" s="433" t="e">
        <f>IF(6-COUNTBLANK(GT382:GY382)=4,MATCH(MID(BO382,9,3),CLU!$H$16:$K$16),MATCH(MID(BO382,9,3),CLU!$H$13:$M$13))</f>
        <v>#N/A</v>
      </c>
      <c r="GK382" s="433" t="e">
        <f>HLOOKUP(VALUE(BP382),CLU!$H$9:$M$10,2)</f>
        <v>#VALUE!</v>
      </c>
      <c r="GL382" s="433" t="e">
        <f ca="1">MATCH(BU382,CLU!$H$2:$V$2,1)</f>
        <v>#VALUE!</v>
      </c>
      <c r="GM382" s="433" t="e">
        <f t="shared" ca="1" si="1195"/>
        <v>#VALUE!</v>
      </c>
      <c r="GN382" s="433" t="e">
        <f t="shared" ca="1" si="1196"/>
        <v>#VALUE!</v>
      </c>
      <c r="GO382" s="433" t="e">
        <f t="shared" ca="1" si="1197"/>
        <v>#VALUE!</v>
      </c>
      <c r="GP382" s="433" t="e">
        <f t="shared" ca="1" si="1198"/>
        <v>#VALUE!</v>
      </c>
      <c r="GQ382" s="433" t="e">
        <f t="shared" ca="1" si="1199"/>
        <v>#VALUE!</v>
      </c>
      <c r="GR382" s="433" t="e">
        <f ca="1">MATCH(T382,INDIRECT(VLOOKUP(CONCATENATE(LEFT(BO382,7),"-",MID(BO382,13,1)),CLU!$P$3:$Q$16,2)),1)</f>
        <v>#N/A</v>
      </c>
      <c r="GS382" s="433" t="e">
        <f ca="1">MATCH(U382,INDIRECT(VLOOKUP(CONCATENATE(LEFT(BO382,7),"-",MID(BO382,13,1)),CLU!$P$3:$Q$16,2)),1)</f>
        <v>#N/A</v>
      </c>
      <c r="GT382" s="347" t="s">
        <v>512</v>
      </c>
      <c r="GU382" s="97" t="s">
        <v>513</v>
      </c>
      <c r="GV382" s="97" t="str">
        <f t="shared" si="1200"/>
        <v>M23</v>
      </c>
      <c r="GW382" s="97" t="str">
        <f t="shared" si="1201"/>
        <v>M31</v>
      </c>
      <c r="GX382" s="97" t="str">
        <f t="shared" si="1202"/>
        <v/>
      </c>
      <c r="GY382" s="97" t="str">
        <f t="shared" si="1203"/>
        <v/>
      </c>
      <c r="GZ382" s="481"/>
      <c r="HA382" s="240"/>
      <c r="HB382" s="240"/>
      <c r="HC382" s="240"/>
      <c r="HD382" s="240"/>
      <c r="HE382" s="240"/>
      <c r="HF382" s="240"/>
      <c r="HG382" s="240"/>
      <c r="HH382" s="240"/>
      <c r="HI382" s="240"/>
      <c r="HJ382" s="240"/>
      <c r="HK382" s="240"/>
      <c r="HL382" s="240"/>
      <c r="HM382" s="240"/>
      <c r="HN382" s="240"/>
      <c r="HO382" s="240"/>
      <c r="HP382" s="240"/>
      <c r="HQ382" s="240"/>
      <c r="HR382" s="240"/>
      <c r="HS382" s="240"/>
      <c r="HT382" s="240"/>
      <c r="HU382" s="240"/>
      <c r="HV382" s="245"/>
      <c r="HW382" s="245" t="b">
        <v>1</v>
      </c>
      <c r="HX382" s="245" t="str">
        <f t="shared" si="1088"/>
        <v/>
      </c>
      <c r="HY382" s="245" t="e">
        <f t="shared" si="1089"/>
        <v>#DIV/0!</v>
      </c>
      <c r="HZ382" s="245" t="e">
        <f t="shared" si="1090"/>
        <v>#DIV/0!</v>
      </c>
      <c r="IA382" s="245">
        <f t="shared" si="1091"/>
        <v>0</v>
      </c>
      <c r="IB382" s="245"/>
      <c r="IC382" t="b">
        <f t="shared" si="1092"/>
        <v>1</v>
      </c>
      <c r="ID382" s="245" t="b">
        <f t="shared" si="1093"/>
        <v>1</v>
      </c>
      <c r="IE382" s="245" t="b">
        <f t="shared" si="1094"/>
        <v>1</v>
      </c>
      <c r="IF382" s="245" t="b">
        <f t="shared" si="1095"/>
        <v>0</v>
      </c>
      <c r="IG382" s="245" t="b">
        <f t="shared" si="1096"/>
        <v>1</v>
      </c>
      <c r="IH382" s="245" t="b">
        <f t="shared" si="1097"/>
        <v>1</v>
      </c>
      <c r="II382" s="245">
        <f t="shared" si="1204"/>
        <v>0</v>
      </c>
      <c r="IJ382" s="245" t="e">
        <f t="shared" si="1098"/>
        <v>#VALUE!</v>
      </c>
      <c r="IK382" s="245" t="e">
        <f t="shared" si="1099"/>
        <v>#VALUE!</v>
      </c>
      <c r="IL382" s="245"/>
      <c r="IM382" s="245" t="e">
        <f t="shared" si="1205"/>
        <v>#N/A</v>
      </c>
      <c r="IN382" s="245" t="e">
        <f t="shared" si="1206"/>
        <v>#N/A</v>
      </c>
      <c r="IO382" s="245"/>
      <c r="IP382" s="245"/>
      <c r="IQ382" s="245" t="str">
        <f t="shared" si="1100"/>
        <v/>
      </c>
      <c r="IR382" s="245" t="str">
        <f>IF(J382="","",VLOOKUP(J382,Worksheet!$R$4:$T$14,2))</f>
        <v/>
      </c>
      <c r="IS382" s="245"/>
      <c r="IT382" s="245">
        <f t="shared" si="1101"/>
        <v>0</v>
      </c>
      <c r="IU382" s="245">
        <f t="shared" si="1102"/>
        <v>0</v>
      </c>
      <c r="IV382" s="245">
        <f t="shared" si="1103"/>
        <v>0</v>
      </c>
      <c r="IW382" s="245">
        <f t="shared" si="1104"/>
        <v>0</v>
      </c>
      <c r="IX382" s="245">
        <f t="shared" si="1207"/>
        <v>0</v>
      </c>
      <c r="IY382" s="245">
        <f t="shared" si="1105"/>
        <v>0</v>
      </c>
      <c r="IZ382" s="245">
        <f t="shared" si="1106"/>
        <v>0</v>
      </c>
      <c r="JA382">
        <f t="shared" si="1107"/>
        <v>0</v>
      </c>
      <c r="JB382">
        <f t="shared" si="1208"/>
        <v>0</v>
      </c>
      <c r="JC382">
        <f t="shared" si="1108"/>
        <v>0</v>
      </c>
      <c r="JD382">
        <f t="shared" si="1109"/>
        <v>0</v>
      </c>
      <c r="JE382">
        <f t="shared" si="1110"/>
        <v>0</v>
      </c>
      <c r="JF382">
        <f t="shared" si="1111"/>
        <v>0</v>
      </c>
      <c r="JG382">
        <f t="shared" si="1112"/>
        <v>0</v>
      </c>
      <c r="JH382">
        <f t="shared" si="1113"/>
        <v>0</v>
      </c>
      <c r="JI382">
        <f t="shared" si="1114"/>
        <v>0</v>
      </c>
      <c r="JJ382" s="447">
        <f t="shared" si="1115"/>
        <v>0</v>
      </c>
      <c r="JK382" s="447">
        <f t="shared" si="1116"/>
        <v>0</v>
      </c>
      <c r="JL382">
        <f t="shared" si="1117"/>
        <v>0</v>
      </c>
      <c r="JM382" s="245" t="str">
        <f>IFERROR(VLOOKUP(MATCH(BN382,#REF!,0),#REF!,7),"")</f>
        <v/>
      </c>
      <c r="JN382" t="e">
        <f>HLOOKUP(LEFT(BO382,7),Discharge_Area,MATCH(JO382,LookUps!$B$130:$B$149,1)+2)</f>
        <v>#N/A</v>
      </c>
      <c r="JO382" t="str">
        <f t="shared" si="1118"/>
        <v>- S</v>
      </c>
      <c r="JP382" t="e">
        <f>HLOOKUP(LEFT(BO382,7),Discharge_Area,MATCH(JO382,LookUps!$B$130:$B$149,1)+2)</f>
        <v>#N/A</v>
      </c>
      <c r="JQ382" t="e">
        <f t="shared" si="1119"/>
        <v>#N/A</v>
      </c>
      <c r="JR382" t="e">
        <f t="shared" si="1120"/>
        <v>#N/A</v>
      </c>
      <c r="JS382" t="e">
        <f t="shared" si="1121"/>
        <v>#N/A</v>
      </c>
      <c r="JT382" s="532" t="str">
        <f t="shared" si="1122"/>
        <v xml:space="preserve"> </v>
      </c>
      <c r="JU382" s="532" t="str">
        <f t="shared" si="1123"/>
        <v xml:space="preserve"> </v>
      </c>
      <c r="JV382" s="533" t="str">
        <f t="shared" si="1124"/>
        <v xml:space="preserve"> </v>
      </c>
      <c r="JW382" s="534">
        <f t="shared" si="1125"/>
        <v>0</v>
      </c>
      <c r="JX382" s="535" t="str">
        <f t="shared" si="1209"/>
        <v xml:space="preserve"> </v>
      </c>
      <c r="JY382" s="535" t="str">
        <f t="shared" si="1210"/>
        <v xml:space="preserve"> </v>
      </c>
      <c r="JZ382" s="535" t="str">
        <f t="shared" si="1211"/>
        <v xml:space="preserve"> </v>
      </c>
      <c r="KA382" s="536" t="str">
        <f t="shared" si="1126"/>
        <v xml:space="preserve"> </v>
      </c>
      <c r="KB382" s="535" t="e">
        <f t="shared" si="1212"/>
        <v>#VALUE!</v>
      </c>
      <c r="KC382" s="535" t="str">
        <f t="shared" si="1127"/>
        <v/>
      </c>
      <c r="KD382" s="537" t="str">
        <f t="shared" si="1213"/>
        <v xml:space="preserve"> </v>
      </c>
      <c r="KE382" s="537" t="str">
        <f t="shared" si="1214"/>
        <v xml:space="preserve"> </v>
      </c>
      <c r="KF382" s="534">
        <f t="shared" si="1128"/>
        <v>0</v>
      </c>
      <c r="KG382" s="535" t="str">
        <f t="shared" si="1129"/>
        <v xml:space="preserve"> </v>
      </c>
      <c r="KH382" s="535" t="str">
        <f t="shared" si="1130"/>
        <v xml:space="preserve"> </v>
      </c>
      <c r="KI382" s="535" t="str">
        <f t="shared" si="1131"/>
        <v xml:space="preserve"> </v>
      </c>
      <c r="KJ382" s="536" t="str">
        <f t="shared" si="1132"/>
        <v xml:space="preserve"> </v>
      </c>
      <c r="KK382" s="535" t="str">
        <f t="shared" si="1215"/>
        <v xml:space="preserve"> </v>
      </c>
      <c r="KL382" s="535" t="str">
        <f t="shared" si="1216"/>
        <v xml:space="preserve"> </v>
      </c>
      <c r="KM382" s="537" t="str">
        <f t="shared" si="1133"/>
        <v xml:space="preserve"> </v>
      </c>
      <c r="KN382" s="537" t="str">
        <f t="shared" si="1217"/>
        <v xml:space="preserve"> </v>
      </c>
      <c r="KP382">
        <f t="shared" si="1134"/>
        <v>0</v>
      </c>
      <c r="LA382" t="e">
        <f t="shared" si="1135"/>
        <v>#VALUE!</v>
      </c>
      <c r="LB382" t="e">
        <f t="shared" si="1136"/>
        <v>#VALUE!</v>
      </c>
      <c r="LC382" t="e">
        <f t="shared" si="1137"/>
        <v>#VALUE!</v>
      </c>
      <c r="LD382" t="e">
        <f t="shared" si="1138"/>
        <v>#VALUE!</v>
      </c>
      <c r="LE382" t="e">
        <f t="shared" si="1218"/>
        <v>#VALUE!</v>
      </c>
      <c r="LF382">
        <f t="shared" si="1139"/>
        <v>0</v>
      </c>
      <c r="LG382" t="e">
        <f t="shared" si="1219"/>
        <v>#VALUE!</v>
      </c>
      <c r="LH382" t="str">
        <f t="shared" si="1140"/>
        <v xml:space="preserve"> </v>
      </c>
      <c r="LI382">
        <f t="shared" si="1220"/>
        <v>1</v>
      </c>
    </row>
    <row r="383" spans="2:321" ht="15" customHeight="1">
      <c r="B383" s="311"/>
      <c r="C383" s="311"/>
      <c r="D383" s="312"/>
      <c r="E383" s="311"/>
      <c r="F383" s="312"/>
      <c r="G383" s="311"/>
      <c r="H383" s="311"/>
      <c r="I383" s="232"/>
      <c r="J383" s="311"/>
      <c r="K383" s="305" t="str">
        <f t="shared" si="1141"/>
        <v/>
      </c>
      <c r="L383" s="313"/>
      <c r="M383" s="312"/>
      <c r="N383" s="311"/>
      <c r="O383" s="312"/>
      <c r="P383" s="311"/>
      <c r="Q383" s="305" t="str">
        <f t="shared" si="1142"/>
        <v/>
      </c>
      <c r="R383" s="314"/>
      <c r="S383" s="450" t="str">
        <f t="shared" si="1025"/>
        <v/>
      </c>
      <c r="T383" s="315"/>
      <c r="U383" s="315"/>
      <c r="W383" s="149" t="str">
        <f t="shared" si="1026"/>
        <v xml:space="preserve"> </v>
      </c>
      <c r="X383" s="243" t="str">
        <f t="shared" si="1027"/>
        <v xml:space="preserve"> </v>
      </c>
      <c r="Y383" s="150" t="str">
        <f t="shared" si="1028"/>
        <v/>
      </c>
      <c r="Z383" s="149" t="str">
        <f t="shared" si="1029"/>
        <v xml:space="preserve"> </v>
      </c>
      <c r="AA383" s="98" t="str">
        <f t="shared" si="1030"/>
        <v xml:space="preserve"> </v>
      </c>
      <c r="AB383" s="153" t="str">
        <f t="shared" si="1031"/>
        <v xml:space="preserve"> </v>
      </c>
      <c r="AC383" s="153" t="str">
        <f t="shared" si="1032"/>
        <v xml:space="preserve"> </v>
      </c>
      <c r="AD383" s="148" t="str">
        <f t="shared" si="1033"/>
        <v/>
      </c>
      <c r="AE383" s="149" t="str">
        <f t="shared" si="1034"/>
        <v/>
      </c>
      <c r="AF383" s="151" t="str">
        <f t="shared" si="1035"/>
        <v xml:space="preserve"> </v>
      </c>
      <c r="AG383" s="153" t="str">
        <f t="shared" si="1036"/>
        <v xml:space="preserve"> </v>
      </c>
      <c r="AH383" s="98" t="str">
        <f t="shared" si="1037"/>
        <v xml:space="preserve"> </v>
      </c>
      <c r="AI383" s="149" t="str">
        <f t="shared" si="1038"/>
        <v xml:space="preserve"> </v>
      </c>
      <c r="AK383" s="144" t="str">
        <f t="shared" si="1039"/>
        <v xml:space="preserve"> </v>
      </c>
      <c r="AL383" s="144"/>
      <c r="AM383" s="243" t="str">
        <f t="shared" si="1040"/>
        <v xml:space="preserve"> </v>
      </c>
      <c r="AN383" s="149" t="str">
        <f t="shared" si="1143"/>
        <v xml:space="preserve"> </v>
      </c>
      <c r="AO383" s="144" t="str">
        <f>IF(JB383&gt;0,IF(GI383=10,-R383*1.085*(Calculation!$F$6-Calculation!$F$13)*$S$14," "),"")</f>
        <v/>
      </c>
      <c r="AP383" s="144" t="str">
        <f t="shared" si="1041"/>
        <v/>
      </c>
      <c r="AQ383" s="56" t="str">
        <f t="shared" si="1042"/>
        <v/>
      </c>
      <c r="AR383" s="144" t="str">
        <f t="shared" si="1043"/>
        <v/>
      </c>
      <c r="AS383" s="176" t="str">
        <f t="shared" si="1044"/>
        <v/>
      </c>
      <c r="AT383" s="176" t="str">
        <f t="shared" si="1144"/>
        <v xml:space="preserve"> </v>
      </c>
      <c r="AU383" s="176" t="str">
        <f t="shared" si="1045"/>
        <v/>
      </c>
      <c r="AV383" s="177" t="str">
        <f t="shared" si="1046"/>
        <v xml:space="preserve"> </v>
      </c>
      <c r="AW383" s="144" t="str">
        <f t="shared" si="1047"/>
        <v xml:space="preserve"> </v>
      </c>
      <c r="AX383" s="144" t="str">
        <f t="shared" si="1048"/>
        <v xml:space="preserve"> </v>
      </c>
      <c r="AY383" s="152" t="str">
        <f t="shared" si="1049"/>
        <v xml:space="preserve"> </v>
      </c>
      <c r="AZ383" s="246" t="str">
        <f t="shared" si="1050"/>
        <v/>
      </c>
      <c r="BA383" s="176" t="str">
        <f t="shared" si="1051"/>
        <v xml:space="preserve"> </v>
      </c>
      <c r="BB383" s="176" t="str">
        <f t="shared" si="1052"/>
        <v xml:space="preserve"> </v>
      </c>
      <c r="BC383" s="195"/>
      <c r="BD383" s="316"/>
      <c r="BE383" s="317"/>
      <c r="BF383" s="318"/>
      <c r="BG383" s="318"/>
      <c r="BH383" s="144" t="str">
        <f t="shared" si="1221"/>
        <v xml:space="preserve"> </v>
      </c>
      <c r="BI383" s="176" t="str">
        <f t="shared" si="1053"/>
        <v/>
      </c>
      <c r="BJ383" s="144" t="str">
        <f t="shared" si="1222"/>
        <v/>
      </c>
      <c r="BK383" s="246" t="str">
        <f t="shared" si="1054"/>
        <v/>
      </c>
      <c r="BL383" s="144" t="str">
        <f t="shared" si="1223"/>
        <v/>
      </c>
      <c r="BM383" s="246" t="str">
        <f t="shared" si="1055"/>
        <v/>
      </c>
      <c r="BN383" s="337" t="str">
        <f t="shared" si="1145"/>
        <v/>
      </c>
      <c r="BO383" s="371" t="str">
        <f t="shared" si="1146"/>
        <v/>
      </c>
      <c r="BP383" s="328" t="str">
        <f t="shared" si="1224"/>
        <v xml:space="preserve"> </v>
      </c>
      <c r="BQ383" s="347" t="str">
        <f t="shared" si="1147"/>
        <v xml:space="preserve"> </v>
      </c>
      <c r="BR383" s="353" t="str">
        <f t="shared" si="1148"/>
        <v xml:space="preserve"> </v>
      </c>
      <c r="BS383" s="626" t="str">
        <f>IF(L383&gt;0,IF(Calculation!P383="M13",BR383*3.1416*(0.134^2)/(4*144),IF(Calculation!P383="M17",BR383*3.1416*(0.165^2)/(4*144),IF(Calculation!P383="M20",BR383*3.1416*(0.198^2)/(4*144),IF(Calculation!P383="M23",BR383*3.1416*(0.228^2)/(4*144),IF(Calculation!P383="M27",BR383*3.1416*(0.269^2)/(4*144),BR383*3.1416*(0.307^2)/(4*144))))))," ")</f>
        <v xml:space="preserve"> </v>
      </c>
      <c r="BT383" s="353" t="str">
        <f>IF(L383&gt;0,IF(BS383&gt;0,R383/Calculation!BS383,0)," ")</f>
        <v xml:space="preserve"> </v>
      </c>
      <c r="BU383" s="438" t="e">
        <f t="shared" ca="1" si="1056"/>
        <v>#VALUE!</v>
      </c>
      <c r="BV383" s="449" t="e">
        <f ca="1">INDEX(INDIRECT(VLOOKUP(LEFT(BO383,7),CLU!$Z$3:$AH$18,2)),GN383,GR383)</f>
        <v>#N/A</v>
      </c>
      <c r="BW383" s="433" t="e">
        <f ca="1">INDEX(INDIRECT(VLOOKUP(LEFT(BO383,7),CLU!$Z$3:$AH$18,3)),GN383,GR383)</f>
        <v>#N/A</v>
      </c>
      <c r="BX383" s="433" t="e">
        <f ca="1">INDEX(INDIRECT(VLOOKUP(LEFT(BO383,7),CLU!$Z$3:$AH$18,4)),GN383,GR383)</f>
        <v>#N/A</v>
      </c>
      <c r="BY383" s="433" t="e">
        <f ca="1">INDEX(INDIRECT(VLOOKUP(LEFT(BO383,7),CLU!$Z$3:$AH$18,9)),((M383-2)*(6-COUNTBLANK(GT383:GY383)))+GJ383)</f>
        <v>#N/A</v>
      </c>
      <c r="BZ383" s="426" t="e">
        <f t="shared" ca="1" si="1149"/>
        <v>#N/A</v>
      </c>
      <c r="CA383" s="424" t="e">
        <f t="shared" ca="1" si="1150"/>
        <v>#N/A</v>
      </c>
      <c r="CB383" s="429" t="e">
        <f ca="1">INDEX(INDIRECT(VLOOKUP(LEFT(BO383,7),CLU!$Z$3:$AH$18,2)),GN383,GS383)</f>
        <v>#N/A</v>
      </c>
      <c r="CC383" s="342" t="e">
        <f ca="1">INDEX(INDIRECT(VLOOKUP(LEFT(BO383,7),CLU!$Z$3:$AH$18,3)),GN383,GS383)</f>
        <v>#N/A</v>
      </c>
      <c r="CD383" s="342" t="e">
        <f ca="1">INDEX(INDIRECT(VLOOKUP(LEFT(BO383,7),CLU!$Z$3:$AH$18,4)),GN383,GS383)</f>
        <v>#N/A</v>
      </c>
      <c r="CE383" s="426" t="e">
        <f t="shared" ca="1" si="1151"/>
        <v>#N/A</v>
      </c>
      <c r="CF383" s="440">
        <f t="shared" si="1152"/>
        <v>0</v>
      </c>
      <c r="CG383" s="431" t="e">
        <f ca="1">INDEX(INDIRECT(VLOOKUP(LEFT(BO383,7),CLU!$Z$3:$AH$18,2)),GQ383,GR383)</f>
        <v>#N/A</v>
      </c>
      <c r="CH383" s="431" t="e">
        <f ca="1">INDEX(INDIRECT(VLOOKUP(LEFT(BO383,7),CLU!$Z$3:$AH$18,3)),GQ383,GR383)</f>
        <v>#N/A</v>
      </c>
      <c r="CI383" s="431" t="e">
        <f ca="1">INDEX(INDIRECT(VLOOKUP(LEFT(BO383,7),CLU!$Z$3:$AH$18,4)),GQ383,GR383)</f>
        <v>#N/A</v>
      </c>
      <c r="CJ383" s="448" t="e">
        <f t="shared" ca="1" si="1153"/>
        <v>#N/A</v>
      </c>
      <c r="CK383" s="431" t="e">
        <f t="shared" ca="1" si="1154"/>
        <v>#N/A</v>
      </c>
      <c r="CL383" s="440" t="e">
        <f t="shared" ca="1" si="1155"/>
        <v>#N/A</v>
      </c>
      <c r="CM383" s="431" t="e">
        <f ca="1">INDEX(INDIRECT(VLOOKUP(LEFT(BO383,7),CLU!$Z$3:$AH$18,2)),GQ383,GS383)</f>
        <v>#N/A</v>
      </c>
      <c r="CN383" s="431" t="e">
        <f ca="1">INDEX(INDIRECT(VLOOKUP(LEFT(BO383,7),CLU!$Z$3:$AH$18,3)),GQ383,GS383)</f>
        <v>#N/A</v>
      </c>
      <c r="CO383" s="431" t="e">
        <f ca="1">INDEX(INDIRECT(VLOOKUP(LEFT(BO383,7),CLU!$Z$3:$AH$18,4)),GQ383,GS383)</f>
        <v>#N/A</v>
      </c>
      <c r="CP383" s="431" t="e">
        <f t="shared" ca="1" si="1156"/>
        <v>#N/A</v>
      </c>
      <c r="CQ383" s="440">
        <f t="shared" si="1157"/>
        <v>0</v>
      </c>
      <c r="CR383" s="51" t="e">
        <f t="shared" ca="1" si="1158"/>
        <v>#N/A</v>
      </c>
      <c r="CS383" s="439" t="e">
        <f t="shared" ca="1" si="1159"/>
        <v>#VALUE!</v>
      </c>
      <c r="CT383" s="51" t="e">
        <f t="shared" ca="1" si="1160"/>
        <v>#VALUE!</v>
      </c>
      <c r="CU383" s="10"/>
      <c r="CV383" s="51" t="e">
        <f t="shared" ca="1" si="1057"/>
        <v>#VALUE!</v>
      </c>
      <c r="CW383" s="51">
        <f t="shared" si="1161"/>
        <v>0</v>
      </c>
      <c r="CX383" s="439" t="e">
        <f t="shared" ca="1" si="1162"/>
        <v>#VALUE!</v>
      </c>
      <c r="CY383" s="51" t="e">
        <f t="shared" ca="1" si="1163"/>
        <v>#VALUE!</v>
      </c>
      <c r="CZ383" s="10"/>
      <c r="DA383" s="51" t="e">
        <f t="shared" ca="1" si="1164"/>
        <v>#VALUE!</v>
      </c>
      <c r="DB383" s="347" t="e">
        <f ca="1">INDEX(INDIRECT(VLOOKUP(LEFT(BO383,7),CLU!$Z$3:$AI$18,10)),((M383-2)*(6-COUNTBLANK(GT383:GY383)))+GJ383)*LI383</f>
        <v>#N/A</v>
      </c>
      <c r="DC383" s="347" t="str">
        <f>IF(L383&gt;0,((R383/Worksheet!$I$15)/DB383)^2," ")</f>
        <v xml:space="preserve"> </v>
      </c>
      <c r="DD383" s="602" t="str">
        <f t="shared" si="1165"/>
        <v xml:space="preserve"> </v>
      </c>
      <c r="DE383" s="347" t="str">
        <f t="shared" si="1058"/>
        <v xml:space="preserve"> </v>
      </c>
      <c r="DF383" s="356" t="e">
        <f ca="1">INDEX(INDIRECT(VLOOKUP(LEFT(BO383,7),CLU!$Z$3:$AH$18,8)),((M383-2)*(6-COUNTBLANK(GT383:GY383)))+GJ383)</f>
        <v>#N/A</v>
      </c>
      <c r="DG383" s="347" t="str">
        <f t="shared" si="1059"/>
        <v xml:space="preserve"> </v>
      </c>
      <c r="DH383" s="357" t="str">
        <f t="shared" si="1060"/>
        <v xml:space="preserve"> </v>
      </c>
      <c r="DI383" s="355" t="str">
        <f t="shared" si="1061"/>
        <v xml:space="preserve"> </v>
      </c>
      <c r="DJ383" s="245" t="e">
        <f ca="1">INDEX(INDIRECT(VLOOKUP(LEFT(BO383,7),CLU!$Z$3:$AH$18,5)),GL383,GK383)</f>
        <v>#N/A</v>
      </c>
      <c r="DK383" s="245" t="e">
        <f ca="1">INDEX(INDIRECT(VLOOKUP(LEFT(BO383,7),CLU!$Z$3:$AH$18,6)),GL383,GK383)</f>
        <v>#N/A</v>
      </c>
      <c r="DL383" s="355">
        <f>(Calculation!R383*0.69143*(Calculation!$BQ$8-Calculation!$F$8))*$S$14</f>
        <v>0</v>
      </c>
      <c r="DM383" s="359" t="e">
        <f t="shared" si="1166"/>
        <v>#VALUE!</v>
      </c>
      <c r="DN383" s="611">
        <f t="shared" si="1167"/>
        <v>0</v>
      </c>
      <c r="DO383" s="359">
        <f t="shared" si="1168"/>
        <v>100</v>
      </c>
      <c r="DP383" s="359">
        <f t="shared" si="1169"/>
        <v>0</v>
      </c>
      <c r="DQ383" s="360"/>
      <c r="DR383" s="245" t="e">
        <f ca="1">INDEX(INDIRECT(VLOOKUP(LEFT(BO383,7),CLU!$Z$3:$AH$18,7)),M383-1,1)</f>
        <v>#N/A</v>
      </c>
      <c r="DS383" s="245" t="e">
        <f ca="1">INDEX(INDIRECT(VLOOKUP(LEFT(BO383,7),CLU!$Z$3:$AH$18,7)),M383-1,2)</f>
        <v>#N/A</v>
      </c>
      <c r="DT383" s="245" t="e">
        <f ca="1">INDEX(INDIRECT(VLOOKUP(LEFT(BO383,7),CLU!$Z$3:$AH$18,7)),M383-1,3)</f>
        <v>#N/A</v>
      </c>
      <c r="DU383" s="245" t="e">
        <f ca="1">INDEX(INDIRECT(VLOOKUP(LEFT(BO383,7),CLU!$Z$3:$AH$18,7)),M383-1,4)</f>
        <v>#N/A</v>
      </c>
      <c r="DV383" s="361" t="e">
        <f ca="1">INDEX(INDIRECT(VLOOKUP(LEFT(BO383,7),CLU!$Z$3:$AH$18,7)),M383-1,4+LEFT(DZ383,1)*0.5)</f>
        <v>#N/A</v>
      </c>
      <c r="DW383" s="245" t="e">
        <f ca="1">INDEX(INDIRECT(VLOOKUP(LEFT(BO383,7),CLU!$Z$3:$AH$18,7)),M383-1,8)</f>
        <v>#N/A</v>
      </c>
      <c r="DX383" s="361" t="str">
        <f t="shared" si="1062"/>
        <v xml:space="preserve"> </v>
      </c>
      <c r="DY383" s="361" t="str">
        <f t="shared" si="1063"/>
        <v xml:space="preserve"> </v>
      </c>
      <c r="DZ383" s="361" t="str">
        <f t="shared" si="1064"/>
        <v xml:space="preserve"> </v>
      </c>
      <c r="EA383" s="362" t="str">
        <f t="shared" si="1065"/>
        <v xml:space="preserve"> </v>
      </c>
      <c r="EB383" s="624" t="str">
        <f t="shared" si="1170"/>
        <v xml:space="preserve"> </v>
      </c>
      <c r="EC383" s="361" t="e">
        <f ca="1">INDEX(INDIRECT(VLOOKUP(LEFT(BO383,7),CLU!$Z$3:$AH$18,7)),M383-1,4+LEFT(DZ383,1)*0.5)</f>
        <v>#N/A</v>
      </c>
      <c r="ED383" s="362" t="str">
        <f t="shared" si="1066"/>
        <v xml:space="preserve"> </v>
      </c>
      <c r="EE383" s="361" t="str">
        <f t="shared" si="1067"/>
        <v xml:space="preserve"> </v>
      </c>
      <c r="EF383" s="362" t="str">
        <f>IF(L383&gt;0,IF(BR383&gt;0,IF(EE383="2P",IF(Calculation!DZ383="2P",IF(Calculation!DS383=13.75,IF(Calculation!DR383=13,Worksheet!$BD$43,IF(Calculation!DR383=37,Worksheet!$BD$44,Worksheet!$BD$45)),IF(Calculation!DS383=10,IF(Calculation!DR383=18,Worksheet!$BD$29,IF(Calculation!DR383=30,Worksheet!$BD$30,IF(Calculation!DR383=42,Worksheet!$BD$31,IF(Calculation!DR383=54,Worksheet!$BD$32,IF(Calculation!DR383=66,Worksheet!$BD$33,IF(Calculation!DR383=78,Worksheet!$BD$34,IF(Calculation!DR383=90,Worksheet!$BD$35,IF(Calculation!DR383=102,Worksheet!$BD$36,Worksheet!$BD$37)))))))),IF(Calculation!DS383=12.5,IF(Calculation!DR383=18,Worksheet!$BD$38,IF(Calculation!DR383=Worksheet!$BD$39,IF(Calculation!DR383=42,Worksheet!$BD$40,IF(Calculation!DR383=54,Worksheet!$BD$41,Worksheet!$BD$42)))),IF(Calculation!DR383=18,Worksheet!$BD$11,IF(Calculation!DR383=30,Worksheet!$BD$12,IF(Calculation!DR383=42,Worksheet!$BD$13,IF(Calculation!DR383=54,Worksheet!$BD$14,IF(Calculation!DR383=66,Worksheet!$BD$15,IF(Calculation!DR383=78,Worksheet!$BD$16,IF(Calculation!DR383=90,Worksheet!$BD$17,IF(Calculation!DR383=102,Worksheet!$BD$18,Worksheet!$BD$19))))))))))),IF(Calculation!DS383=13.75,IF(Calculation!DR383=13,Worksheet!$BD$78,IF(Calculation!DR383=37,Worksheet!$BD$79,Worksheet!$BD$80)),IF(Calculation!DS383=10,IF(Calculation!DR383=18,Worksheet!$BD$64,IF(Calculation!DR383=30,Worksheet!$BD$65,IF(Calculation!DR383=42,Worksheet!$BD$66,IF(Calculation!DR383=54,Worksheet!$BD$68,IF(Calculation!DR383=66,Worksheet!$BD$68,IF(Calculation!DR383=78,Worksheet!$BD$69,IF(Calculation!DR383=90,Worksheet!$BD$70,IF(Calculation!DR383=102,Worksheet!$BD$71,Worksheet!$BD$72)))))))),IF(Calculation!DS383=12.5,IF(Calculation!DR383=18,Worksheet!$BD$73,IF(Calculation!DR383=Worksheet!$BD$74,IF(Calculation!DR383=42,Worksheet!$BD$75,IF(Calculation!DR383=54,Worksheet!$BD$76,Worksheet!$BD$77)))),IF(Calculation!DR383=18,Worksheet!$BD$55,IF(Calculation!DR383=30,Worksheet!$BD$56,IF(Calculation!DR383=42,Worksheet!$BD$57,IF(Calculation!DR383=54,Worksheet!$BD$58,IF(Calculation!DR383=66,Worksheet!$BD$59,IF(Calculation!DR383=78,Worksheet!$BD$60,IF(Calculation!DR383=90,Worksheet!$BD$61,IF(Calculation!DR383=102,Worksheet!$BD$62,Worksheet!$BD$63)))))))))))),5),0)," ")</f>
        <v xml:space="preserve"> </v>
      </c>
      <c r="EG383" s="361" t="str">
        <f t="shared" si="1068"/>
        <v xml:space="preserve"> </v>
      </c>
      <c r="EH383" s="361" t="e">
        <f ca="1">INDEX(INDIRECT(VLOOKUP(LEFT(BO383,7),CLU!$Z$3:$AH$18,7)),M383-1,3+LEFT(DZ383,1))</f>
        <v>#N/A</v>
      </c>
      <c r="EI383" s="362" t="str">
        <f t="shared" si="1069"/>
        <v xml:space="preserve"> </v>
      </c>
      <c r="EJ383" s="363" t="str">
        <f t="shared" si="1070"/>
        <v xml:space="preserve"> </v>
      </c>
      <c r="EK383" s="363" t="str">
        <f t="shared" si="1071"/>
        <v xml:space="preserve"> </v>
      </c>
      <c r="EL383" s="363" t="str">
        <f t="shared" si="1072"/>
        <v xml:space="preserve"> </v>
      </c>
      <c r="EM383" s="362" t="str">
        <f>IF(L383&gt;0,IF(BR383&gt;0,(Calculation!T383/ED383)^2,0)," ")</f>
        <v xml:space="preserve"> </v>
      </c>
      <c r="EN383" s="362" t="str">
        <f>IF(L383&gt;0,IF(O383="2 Pipe (Cooling)","N/A",IF(BR383&gt;0,(Calculation!U383/EI383)^2,0))," ")</f>
        <v xml:space="preserve"> </v>
      </c>
      <c r="EO383" s="361" t="str">
        <f t="shared" si="1073"/>
        <v/>
      </c>
      <c r="EP383" s="361" t="str">
        <f t="shared" si="1074"/>
        <v/>
      </c>
      <c r="EQ383" s="361" t="str">
        <f t="shared" si="1075"/>
        <v/>
      </c>
      <c r="ER383" s="361" t="str">
        <f t="shared" si="1076"/>
        <v/>
      </c>
      <c r="ES383" s="361" t="str">
        <f t="shared" si="1077"/>
        <v/>
      </c>
      <c r="ET383" s="361" t="str">
        <f t="shared" si="1078"/>
        <v/>
      </c>
      <c r="EU383" s="361" t="str">
        <f t="shared" si="1079"/>
        <v/>
      </c>
      <c r="EV383" s="361" t="str">
        <f t="shared" si="1080"/>
        <v/>
      </c>
      <c r="EW383" s="361" t="str">
        <f t="shared" si="1081"/>
        <v/>
      </c>
      <c r="EX383" s="361" t="str">
        <f t="shared" si="1171"/>
        <v>1 slot, 1 way</v>
      </c>
      <c r="EY383" s="361" t="str">
        <f t="shared" si="1172"/>
        <v xml:space="preserve"> </v>
      </c>
      <c r="EZ383" s="361" t="str">
        <f t="shared" si="1173"/>
        <v xml:space="preserve"> </v>
      </c>
      <c r="FA383" s="361" t="str">
        <f t="shared" si="1174"/>
        <v xml:space="preserve"> </v>
      </c>
      <c r="FB383" s="361" t="str">
        <f t="shared" si="1175"/>
        <v xml:space="preserve"> </v>
      </c>
      <c r="FC383" s="361"/>
      <c r="FD383" s="361" t="str">
        <f>IF(J383&gt;0,IF(Calculation!R383&lt;=70,4,IF(Calculation!R383&lt;=110,5,IF(Calculation!R383&lt;=160,6,IF(Calculation!R383&lt;=300,8,"10 EO")))),"")</f>
        <v/>
      </c>
      <c r="FE383" s="361" t="str">
        <f t="shared" si="1176"/>
        <v/>
      </c>
      <c r="FF383" s="361" t="str">
        <f t="shared" si="1177"/>
        <v/>
      </c>
      <c r="FG383" s="361" t="e">
        <f t="shared" si="1082"/>
        <v>#N/A</v>
      </c>
      <c r="FH383" s="361">
        <f t="shared" si="1083"/>
        <v>0</v>
      </c>
      <c r="FI383" s="361" t="e">
        <f t="shared" si="1084"/>
        <v>#DIV/0!</v>
      </c>
      <c r="FJ383" s="361"/>
      <c r="FK383" s="356" t="e">
        <f t="shared" si="1085"/>
        <v>#VALUE!</v>
      </c>
      <c r="FL383" s="361"/>
      <c r="FM383" s="361"/>
      <c r="FN383" s="362" t="str">
        <f t="shared" si="1178"/>
        <v xml:space="preserve"> </v>
      </c>
      <c r="FO383" s="362" t="str">
        <f t="shared" si="1179"/>
        <v xml:space="preserve"> </v>
      </c>
      <c r="FP383" s="362">
        <f t="shared" si="1180"/>
        <v>0</v>
      </c>
      <c r="FQ383" s="361">
        <f t="shared" si="1086"/>
        <v>0</v>
      </c>
      <c r="FR383" s="362" t="str">
        <f>IF(L383&gt;0,IF(J383="CBAL2",Worksheet!$P$67,IF(J383="CBE2-24",Worksheet!$Q$67,IF(J383="CBAM",Worksheet!$R$67,IF(J383="CBLV",Worksheet!$S$67,IF(J383="CBAB",Worksheet!$U$67,IF(J383="CBAW",Worksheet!$X$67,IF(J383="CBE2-12",Worksheet!$Y$67,IF(J383="CBAL2",Worksheet!$Z$67,"N/A"))))))))," ")</f>
        <v xml:space="preserve"> </v>
      </c>
      <c r="FS383" s="362" t="str">
        <f>IF(L383&gt;0,IF(J383="CBAL2",Worksheet!$P$68,IF(J383="CBE2-24",Worksheet!$Q$68,IF(J383="CBAM",Worksheet!$R$68,IF(J383="CBLV",Worksheet!$S$68,IF(J383="CBAB",Worksheet!$U$68,IF(J383="CBAW",Worksheet!$X$68,IF(J383="CBE2-12",Worksheet!$Y$68,IF(J383="CBAL2",Worksheet!$Z$68,"N/A"))))))))," ")</f>
        <v xml:space="preserve"> </v>
      </c>
      <c r="FT383" s="362" t="str">
        <f>IF(L383&gt;0,IF(J383="CBAL2",Worksheet!$P$69,IF(J383="CBE2-24",Worksheet!$Q$69,IF(J383="CBAM",Worksheet!$R$69,IF(J383="CBLV",Worksheet!$S$69,IF(J383="CBAB",Worksheet!$U$69,IF(J383="CBAW",Worksheet!$X$69,IF(J383="CBE2-12",Worksheet!$Y$69,IF(J383="CBAL2",Worksheet!$Z$69,"N/A"))))))))," ")</f>
        <v xml:space="preserve"> </v>
      </c>
      <c r="FU383" s="361" t="str">
        <f t="shared" si="1181"/>
        <v xml:space="preserve"> </v>
      </c>
      <c r="FV383" s="362" t="str">
        <f t="shared" si="1182"/>
        <v xml:space="preserve"> </v>
      </c>
      <c r="FW383" s="362" t="str">
        <f t="shared" si="1183"/>
        <v xml:space="preserve"> </v>
      </c>
      <c r="FX383" s="362" t="str">
        <f t="shared" si="1184"/>
        <v xml:space="preserve"> </v>
      </c>
      <c r="FY383" s="355" t="str">
        <f t="shared" si="1185"/>
        <v xml:space="preserve"> </v>
      </c>
      <c r="FZ383" s="361" t="str">
        <f t="shared" si="1186"/>
        <v xml:space="preserve"> </v>
      </c>
      <c r="GA383" s="347" t="str">
        <f t="shared" si="1187"/>
        <v xml:space="preserve"> </v>
      </c>
      <c r="GB383" s="355" t="str">
        <f t="shared" si="1188"/>
        <v xml:space="preserve"> </v>
      </c>
      <c r="GC383" s="328" t="str">
        <f t="shared" si="1189"/>
        <v xml:space="preserve"> </v>
      </c>
      <c r="GD383" s="361" t="str">
        <f t="shared" si="1190"/>
        <v xml:space="preserve"> </v>
      </c>
      <c r="GE383" s="347" t="str">
        <f t="shared" si="1191"/>
        <v xml:space="preserve"> </v>
      </c>
      <c r="GF383" s="361" t="str">
        <f t="shared" si="1192"/>
        <v xml:space="preserve"> </v>
      </c>
      <c r="GG383" s="347" t="str">
        <f t="shared" si="1193"/>
        <v xml:space="preserve"> </v>
      </c>
      <c r="GH383" s="364">
        <f t="shared" si="1087"/>
        <v>0</v>
      </c>
      <c r="GI383" s="362">
        <f t="shared" si="1194"/>
        <v>2</v>
      </c>
      <c r="GJ383" s="433" t="e">
        <f>IF(6-COUNTBLANK(GT383:GY383)=4,MATCH(MID(BO383,9,3),CLU!$H$16:$K$16),MATCH(MID(BO383,9,3),CLU!$H$13:$M$13))</f>
        <v>#N/A</v>
      </c>
      <c r="GK383" s="433" t="e">
        <f>HLOOKUP(VALUE(BP383),CLU!$H$9:$M$10,2)</f>
        <v>#VALUE!</v>
      </c>
      <c r="GL383" s="433" t="e">
        <f ca="1">MATCH(BU383,CLU!$H$2:$V$2,1)</f>
        <v>#VALUE!</v>
      </c>
      <c r="GM383" s="433" t="e">
        <f t="shared" ca="1" si="1195"/>
        <v>#VALUE!</v>
      </c>
      <c r="GN383" s="433" t="e">
        <f t="shared" ca="1" si="1196"/>
        <v>#VALUE!</v>
      </c>
      <c r="GO383" s="433" t="e">
        <f t="shared" ca="1" si="1197"/>
        <v>#VALUE!</v>
      </c>
      <c r="GP383" s="433" t="e">
        <f t="shared" ca="1" si="1198"/>
        <v>#VALUE!</v>
      </c>
      <c r="GQ383" s="433" t="e">
        <f t="shared" ca="1" si="1199"/>
        <v>#VALUE!</v>
      </c>
      <c r="GR383" s="433" t="e">
        <f ca="1">MATCH(T383,INDIRECT(VLOOKUP(CONCATENATE(LEFT(BO383,7),"-",MID(BO383,13,1)),CLU!$P$3:$Q$16,2)),1)</f>
        <v>#N/A</v>
      </c>
      <c r="GS383" s="433" t="e">
        <f ca="1">MATCH(U383,INDIRECT(VLOOKUP(CONCATENATE(LEFT(BO383,7),"-",MID(BO383,13,1)),CLU!$P$3:$Q$16,2)),1)</f>
        <v>#N/A</v>
      </c>
      <c r="GT383" s="347" t="s">
        <v>512</v>
      </c>
      <c r="GU383" s="97" t="s">
        <v>513</v>
      </c>
      <c r="GV383" s="97" t="str">
        <f t="shared" si="1200"/>
        <v>M23</v>
      </c>
      <c r="GW383" s="97" t="str">
        <f t="shared" si="1201"/>
        <v>M31</v>
      </c>
      <c r="GX383" s="97" t="str">
        <f t="shared" si="1202"/>
        <v/>
      </c>
      <c r="GY383" s="97" t="str">
        <f t="shared" si="1203"/>
        <v/>
      </c>
      <c r="GZ383" s="481"/>
      <c r="HA383" s="240"/>
      <c r="HB383" s="240"/>
      <c r="HC383" s="240"/>
      <c r="HD383" s="240"/>
      <c r="HE383" s="240"/>
      <c r="HF383" s="240"/>
      <c r="HG383" s="240"/>
      <c r="HH383" s="240"/>
      <c r="HI383" s="240"/>
      <c r="HJ383" s="240"/>
      <c r="HK383" s="240"/>
      <c r="HL383" s="240"/>
      <c r="HM383" s="240"/>
      <c r="HN383" s="240"/>
      <c r="HO383" s="240"/>
      <c r="HP383" s="240"/>
      <c r="HQ383" s="240"/>
      <c r="HR383" s="240"/>
      <c r="HS383" s="240"/>
      <c r="HT383" s="240"/>
      <c r="HU383" s="240"/>
      <c r="HV383" s="245"/>
      <c r="HW383" s="245" t="b">
        <v>1</v>
      </c>
      <c r="HX383" s="245" t="str">
        <f t="shared" si="1088"/>
        <v/>
      </c>
      <c r="HY383" s="245" t="e">
        <f t="shared" si="1089"/>
        <v>#DIV/0!</v>
      </c>
      <c r="HZ383" s="245" t="e">
        <f t="shared" si="1090"/>
        <v>#DIV/0!</v>
      </c>
      <c r="IA383" s="245">
        <f t="shared" si="1091"/>
        <v>0</v>
      </c>
      <c r="IB383" s="245"/>
      <c r="IC383" t="b">
        <f t="shared" si="1092"/>
        <v>1</v>
      </c>
      <c r="ID383" s="245" t="b">
        <f t="shared" si="1093"/>
        <v>1</v>
      </c>
      <c r="IE383" s="245" t="b">
        <f t="shared" si="1094"/>
        <v>1</v>
      </c>
      <c r="IF383" s="245" t="b">
        <f t="shared" si="1095"/>
        <v>0</v>
      </c>
      <c r="IG383" s="245" t="b">
        <f t="shared" si="1096"/>
        <v>1</v>
      </c>
      <c r="IH383" s="245" t="b">
        <f t="shared" si="1097"/>
        <v>1</v>
      </c>
      <c r="II383" s="245">
        <f t="shared" si="1204"/>
        <v>0</v>
      </c>
      <c r="IJ383" s="245" t="e">
        <f t="shared" si="1098"/>
        <v>#VALUE!</v>
      </c>
      <c r="IK383" s="245" t="e">
        <f t="shared" si="1099"/>
        <v>#VALUE!</v>
      </c>
      <c r="IL383" s="245"/>
      <c r="IM383" s="245" t="e">
        <f t="shared" si="1205"/>
        <v>#N/A</v>
      </c>
      <c r="IN383" s="245" t="e">
        <f t="shared" si="1206"/>
        <v>#N/A</v>
      </c>
      <c r="IO383" s="245"/>
      <c r="IP383" s="245"/>
      <c r="IQ383" s="245" t="str">
        <f t="shared" si="1100"/>
        <v/>
      </c>
      <c r="IR383" s="245" t="str">
        <f>IF(J383="","",VLOOKUP(J383,Worksheet!$R$4:$T$14,2))</f>
        <v/>
      </c>
      <c r="IS383" s="245"/>
      <c r="IT383" s="245">
        <f t="shared" si="1101"/>
        <v>0</v>
      </c>
      <c r="IU383" s="245">
        <f t="shared" si="1102"/>
        <v>0</v>
      </c>
      <c r="IV383" s="245">
        <f t="shared" si="1103"/>
        <v>0</v>
      </c>
      <c r="IW383" s="245">
        <f t="shared" si="1104"/>
        <v>0</v>
      </c>
      <c r="IX383" s="245">
        <f t="shared" si="1207"/>
        <v>0</v>
      </c>
      <c r="IY383" s="245">
        <f t="shared" si="1105"/>
        <v>0</v>
      </c>
      <c r="IZ383" s="245">
        <f t="shared" si="1106"/>
        <v>0</v>
      </c>
      <c r="JA383">
        <f t="shared" si="1107"/>
        <v>0</v>
      </c>
      <c r="JB383">
        <f t="shared" si="1208"/>
        <v>0</v>
      </c>
      <c r="JC383">
        <f t="shared" si="1108"/>
        <v>0</v>
      </c>
      <c r="JD383">
        <f t="shared" si="1109"/>
        <v>0</v>
      </c>
      <c r="JE383">
        <f t="shared" si="1110"/>
        <v>0</v>
      </c>
      <c r="JF383">
        <f t="shared" si="1111"/>
        <v>0</v>
      </c>
      <c r="JG383">
        <f t="shared" si="1112"/>
        <v>0</v>
      </c>
      <c r="JH383">
        <f t="shared" si="1113"/>
        <v>0</v>
      </c>
      <c r="JI383">
        <f t="shared" si="1114"/>
        <v>0</v>
      </c>
      <c r="JJ383" s="447">
        <f t="shared" si="1115"/>
        <v>0</v>
      </c>
      <c r="JK383" s="447">
        <f t="shared" si="1116"/>
        <v>0</v>
      </c>
      <c r="JL383">
        <f t="shared" si="1117"/>
        <v>0</v>
      </c>
      <c r="JM383" s="245" t="str">
        <f>IFERROR(VLOOKUP(MATCH(BN383,#REF!,0),#REF!,7),"")</f>
        <v/>
      </c>
      <c r="JN383" t="e">
        <f>HLOOKUP(LEFT(BO383,7),Discharge_Area,MATCH(JO383,LookUps!$B$130:$B$149,1)+2)</f>
        <v>#N/A</v>
      </c>
      <c r="JO383" t="str">
        <f t="shared" si="1118"/>
        <v>- S</v>
      </c>
      <c r="JP383" t="e">
        <f>HLOOKUP(LEFT(BO383,7),Discharge_Area,MATCH(JO383,LookUps!$B$130:$B$149,1)+2)</f>
        <v>#N/A</v>
      </c>
      <c r="JQ383" t="e">
        <f t="shared" si="1119"/>
        <v>#N/A</v>
      </c>
      <c r="JR383" t="e">
        <f t="shared" si="1120"/>
        <v>#N/A</v>
      </c>
      <c r="JS383" t="e">
        <f t="shared" si="1121"/>
        <v>#N/A</v>
      </c>
      <c r="JT383" s="532" t="str">
        <f t="shared" si="1122"/>
        <v xml:space="preserve"> </v>
      </c>
      <c r="JU383" s="532" t="str">
        <f t="shared" si="1123"/>
        <v xml:space="preserve"> </v>
      </c>
      <c r="JV383" s="533" t="str">
        <f t="shared" si="1124"/>
        <v xml:space="preserve"> </v>
      </c>
      <c r="JW383" s="534">
        <f t="shared" si="1125"/>
        <v>0</v>
      </c>
      <c r="JX383" s="535" t="str">
        <f t="shared" si="1209"/>
        <v xml:space="preserve"> </v>
      </c>
      <c r="JY383" s="535" t="str">
        <f t="shared" si="1210"/>
        <v xml:space="preserve"> </v>
      </c>
      <c r="JZ383" s="535" t="str">
        <f t="shared" si="1211"/>
        <v xml:space="preserve"> </v>
      </c>
      <c r="KA383" s="536" t="str">
        <f t="shared" si="1126"/>
        <v xml:space="preserve"> </v>
      </c>
      <c r="KB383" s="535" t="e">
        <f t="shared" si="1212"/>
        <v>#VALUE!</v>
      </c>
      <c r="KC383" s="535" t="str">
        <f t="shared" si="1127"/>
        <v/>
      </c>
      <c r="KD383" s="537" t="str">
        <f t="shared" si="1213"/>
        <v xml:space="preserve"> </v>
      </c>
      <c r="KE383" s="537" t="str">
        <f t="shared" si="1214"/>
        <v xml:space="preserve"> </v>
      </c>
      <c r="KF383" s="534">
        <f t="shared" si="1128"/>
        <v>0</v>
      </c>
      <c r="KG383" s="535" t="str">
        <f t="shared" si="1129"/>
        <v xml:space="preserve"> </v>
      </c>
      <c r="KH383" s="535" t="str">
        <f t="shared" si="1130"/>
        <v xml:space="preserve"> </v>
      </c>
      <c r="KI383" s="535" t="str">
        <f t="shared" si="1131"/>
        <v xml:space="preserve"> </v>
      </c>
      <c r="KJ383" s="536" t="str">
        <f t="shared" si="1132"/>
        <v xml:space="preserve"> </v>
      </c>
      <c r="KK383" s="535" t="str">
        <f t="shared" si="1215"/>
        <v xml:space="preserve"> </v>
      </c>
      <c r="KL383" s="535" t="str">
        <f t="shared" si="1216"/>
        <v xml:space="preserve"> </v>
      </c>
      <c r="KM383" s="537" t="str">
        <f t="shared" si="1133"/>
        <v xml:space="preserve"> </v>
      </c>
      <c r="KN383" s="537" t="str">
        <f t="shared" si="1217"/>
        <v xml:space="preserve"> </v>
      </c>
      <c r="KP383">
        <f t="shared" si="1134"/>
        <v>0</v>
      </c>
      <c r="LA383" t="e">
        <f t="shared" si="1135"/>
        <v>#VALUE!</v>
      </c>
      <c r="LB383" t="e">
        <f t="shared" si="1136"/>
        <v>#VALUE!</v>
      </c>
      <c r="LC383" t="e">
        <f t="shared" si="1137"/>
        <v>#VALUE!</v>
      </c>
      <c r="LD383" t="e">
        <f t="shared" si="1138"/>
        <v>#VALUE!</v>
      </c>
      <c r="LE383" t="e">
        <f t="shared" si="1218"/>
        <v>#VALUE!</v>
      </c>
      <c r="LF383">
        <f t="shared" si="1139"/>
        <v>0</v>
      </c>
      <c r="LG383" t="e">
        <f t="shared" si="1219"/>
        <v>#VALUE!</v>
      </c>
      <c r="LH383" t="str">
        <f t="shared" si="1140"/>
        <v xml:space="preserve"> </v>
      </c>
      <c r="LI383">
        <f t="shared" si="1220"/>
        <v>1</v>
      </c>
    </row>
    <row r="384" spans="2:321" ht="15" customHeight="1">
      <c r="B384" s="311"/>
      <c r="C384" s="311"/>
      <c r="D384" s="312"/>
      <c r="E384" s="311"/>
      <c r="F384" s="312"/>
      <c r="G384" s="311"/>
      <c r="H384" s="311"/>
      <c r="I384" s="232"/>
      <c r="J384" s="311"/>
      <c r="K384" s="305" t="str">
        <f t="shared" si="1141"/>
        <v/>
      </c>
      <c r="L384" s="313"/>
      <c r="M384" s="312"/>
      <c r="N384" s="311"/>
      <c r="O384" s="312"/>
      <c r="P384" s="311"/>
      <c r="Q384" s="305" t="str">
        <f t="shared" si="1142"/>
        <v/>
      </c>
      <c r="R384" s="314"/>
      <c r="S384" s="450" t="str">
        <f t="shared" si="1025"/>
        <v/>
      </c>
      <c r="T384" s="315"/>
      <c r="U384" s="315"/>
      <c r="W384" s="149" t="str">
        <f t="shared" si="1026"/>
        <v xml:space="preserve"> </v>
      </c>
      <c r="X384" s="243" t="str">
        <f t="shared" si="1027"/>
        <v xml:space="preserve"> </v>
      </c>
      <c r="Y384" s="150" t="str">
        <f t="shared" si="1028"/>
        <v/>
      </c>
      <c r="Z384" s="149" t="str">
        <f t="shared" si="1029"/>
        <v xml:space="preserve"> </v>
      </c>
      <c r="AA384" s="98" t="str">
        <f t="shared" si="1030"/>
        <v xml:space="preserve"> </v>
      </c>
      <c r="AB384" s="153" t="str">
        <f t="shared" si="1031"/>
        <v xml:space="preserve"> </v>
      </c>
      <c r="AC384" s="153" t="str">
        <f t="shared" si="1032"/>
        <v xml:space="preserve"> </v>
      </c>
      <c r="AD384" s="148" t="str">
        <f t="shared" si="1033"/>
        <v/>
      </c>
      <c r="AE384" s="149" t="str">
        <f t="shared" si="1034"/>
        <v/>
      </c>
      <c r="AF384" s="151" t="str">
        <f t="shared" si="1035"/>
        <v xml:space="preserve"> </v>
      </c>
      <c r="AG384" s="153" t="str">
        <f t="shared" si="1036"/>
        <v xml:space="preserve"> </v>
      </c>
      <c r="AH384" s="98" t="str">
        <f t="shared" si="1037"/>
        <v xml:space="preserve"> </v>
      </c>
      <c r="AI384" s="149" t="str">
        <f t="shared" si="1038"/>
        <v xml:space="preserve"> </v>
      </c>
      <c r="AK384" s="144" t="str">
        <f t="shared" si="1039"/>
        <v xml:space="preserve"> </v>
      </c>
      <c r="AL384" s="144"/>
      <c r="AM384" s="243" t="str">
        <f t="shared" si="1040"/>
        <v xml:space="preserve"> </v>
      </c>
      <c r="AN384" s="149" t="str">
        <f t="shared" si="1143"/>
        <v xml:space="preserve"> </v>
      </c>
      <c r="AO384" s="144" t="str">
        <f>IF(JB384&gt;0,IF(GI384=10,-R384*1.085*(Calculation!$F$6-Calculation!$F$13)*$S$14," "),"")</f>
        <v/>
      </c>
      <c r="AP384" s="144" t="str">
        <f t="shared" si="1041"/>
        <v/>
      </c>
      <c r="AQ384" s="56" t="str">
        <f t="shared" si="1042"/>
        <v/>
      </c>
      <c r="AR384" s="144" t="str">
        <f t="shared" si="1043"/>
        <v/>
      </c>
      <c r="AS384" s="176" t="str">
        <f t="shared" si="1044"/>
        <v/>
      </c>
      <c r="AT384" s="176" t="str">
        <f t="shared" si="1144"/>
        <v xml:space="preserve"> </v>
      </c>
      <c r="AU384" s="176" t="str">
        <f t="shared" si="1045"/>
        <v/>
      </c>
      <c r="AV384" s="177" t="str">
        <f t="shared" si="1046"/>
        <v xml:space="preserve"> </v>
      </c>
      <c r="AW384" s="144" t="str">
        <f t="shared" si="1047"/>
        <v xml:space="preserve"> </v>
      </c>
      <c r="AX384" s="144" t="str">
        <f t="shared" si="1048"/>
        <v xml:space="preserve"> </v>
      </c>
      <c r="AY384" s="152" t="str">
        <f t="shared" si="1049"/>
        <v xml:space="preserve"> </v>
      </c>
      <c r="AZ384" s="246" t="str">
        <f t="shared" si="1050"/>
        <v/>
      </c>
      <c r="BA384" s="176" t="str">
        <f t="shared" si="1051"/>
        <v xml:space="preserve"> </v>
      </c>
      <c r="BB384" s="176" t="str">
        <f t="shared" si="1052"/>
        <v xml:space="preserve"> </v>
      </c>
      <c r="BC384" s="195"/>
      <c r="BD384" s="316"/>
      <c r="BE384" s="317"/>
      <c r="BF384" s="318"/>
      <c r="BG384" s="318"/>
      <c r="BH384" s="144" t="str">
        <f t="shared" si="1221"/>
        <v xml:space="preserve"> </v>
      </c>
      <c r="BI384" s="176" t="str">
        <f t="shared" si="1053"/>
        <v/>
      </c>
      <c r="BJ384" s="144" t="str">
        <f t="shared" si="1222"/>
        <v/>
      </c>
      <c r="BK384" s="246" t="str">
        <f t="shared" si="1054"/>
        <v/>
      </c>
      <c r="BL384" s="144" t="str">
        <f t="shared" si="1223"/>
        <v/>
      </c>
      <c r="BM384" s="246" t="str">
        <f t="shared" si="1055"/>
        <v/>
      </c>
      <c r="BN384" s="337" t="str">
        <f t="shared" si="1145"/>
        <v/>
      </c>
      <c r="BO384" s="371" t="str">
        <f t="shared" si="1146"/>
        <v/>
      </c>
      <c r="BP384" s="328" t="str">
        <f t="shared" si="1224"/>
        <v xml:space="preserve"> </v>
      </c>
      <c r="BQ384" s="347" t="str">
        <f t="shared" si="1147"/>
        <v xml:space="preserve"> </v>
      </c>
      <c r="BR384" s="353" t="str">
        <f t="shared" si="1148"/>
        <v xml:space="preserve"> </v>
      </c>
      <c r="BS384" s="626" t="str">
        <f>IF(L384&gt;0,IF(Calculation!P384="M13",BR384*3.1416*(0.134^2)/(4*144),IF(Calculation!P384="M17",BR384*3.1416*(0.165^2)/(4*144),IF(Calculation!P384="M20",BR384*3.1416*(0.198^2)/(4*144),IF(Calculation!P384="M23",BR384*3.1416*(0.228^2)/(4*144),IF(Calculation!P384="M27",BR384*3.1416*(0.269^2)/(4*144),BR384*3.1416*(0.307^2)/(4*144))))))," ")</f>
        <v xml:space="preserve"> </v>
      </c>
      <c r="BT384" s="353" t="str">
        <f>IF(L384&gt;0,IF(BS384&gt;0,R384/Calculation!BS384,0)," ")</f>
        <v xml:space="preserve"> </v>
      </c>
      <c r="BU384" s="438" t="e">
        <f t="shared" ca="1" si="1056"/>
        <v>#VALUE!</v>
      </c>
      <c r="BV384" s="449" t="e">
        <f ca="1">INDEX(INDIRECT(VLOOKUP(LEFT(BO384,7),CLU!$Z$3:$AH$18,2)),GN384,GR384)</f>
        <v>#N/A</v>
      </c>
      <c r="BW384" s="433" t="e">
        <f ca="1">INDEX(INDIRECT(VLOOKUP(LEFT(BO384,7),CLU!$Z$3:$AH$18,3)),GN384,GR384)</f>
        <v>#N/A</v>
      </c>
      <c r="BX384" s="433" t="e">
        <f ca="1">INDEX(INDIRECT(VLOOKUP(LEFT(BO384,7),CLU!$Z$3:$AH$18,4)),GN384,GR384)</f>
        <v>#N/A</v>
      </c>
      <c r="BY384" s="433" t="e">
        <f ca="1">INDEX(INDIRECT(VLOOKUP(LEFT(BO384,7),CLU!$Z$3:$AH$18,9)),((M384-2)*(6-COUNTBLANK(GT384:GY384)))+GJ384)</f>
        <v>#N/A</v>
      </c>
      <c r="BZ384" s="426" t="e">
        <f t="shared" ca="1" si="1149"/>
        <v>#N/A</v>
      </c>
      <c r="CA384" s="424" t="e">
        <f t="shared" ca="1" si="1150"/>
        <v>#N/A</v>
      </c>
      <c r="CB384" s="429" t="e">
        <f ca="1">INDEX(INDIRECT(VLOOKUP(LEFT(BO384,7),CLU!$Z$3:$AH$18,2)),GN384,GS384)</f>
        <v>#N/A</v>
      </c>
      <c r="CC384" s="342" t="e">
        <f ca="1">INDEX(INDIRECT(VLOOKUP(LEFT(BO384,7),CLU!$Z$3:$AH$18,3)),GN384,GS384)</f>
        <v>#N/A</v>
      </c>
      <c r="CD384" s="342" t="e">
        <f ca="1">INDEX(INDIRECT(VLOOKUP(LEFT(BO384,7),CLU!$Z$3:$AH$18,4)),GN384,GS384)</f>
        <v>#N/A</v>
      </c>
      <c r="CE384" s="426" t="e">
        <f t="shared" ca="1" si="1151"/>
        <v>#N/A</v>
      </c>
      <c r="CF384" s="440">
        <f t="shared" si="1152"/>
        <v>0</v>
      </c>
      <c r="CG384" s="431" t="e">
        <f ca="1">INDEX(INDIRECT(VLOOKUP(LEFT(BO384,7),CLU!$Z$3:$AH$18,2)),GQ384,GR384)</f>
        <v>#N/A</v>
      </c>
      <c r="CH384" s="431" t="e">
        <f ca="1">INDEX(INDIRECT(VLOOKUP(LEFT(BO384,7),CLU!$Z$3:$AH$18,3)),GQ384,GR384)</f>
        <v>#N/A</v>
      </c>
      <c r="CI384" s="431" t="e">
        <f ca="1">INDEX(INDIRECT(VLOOKUP(LEFT(BO384,7),CLU!$Z$3:$AH$18,4)),GQ384,GR384)</f>
        <v>#N/A</v>
      </c>
      <c r="CJ384" s="448" t="e">
        <f t="shared" ca="1" si="1153"/>
        <v>#N/A</v>
      </c>
      <c r="CK384" s="431" t="e">
        <f t="shared" ca="1" si="1154"/>
        <v>#N/A</v>
      </c>
      <c r="CL384" s="440" t="e">
        <f t="shared" ca="1" si="1155"/>
        <v>#N/A</v>
      </c>
      <c r="CM384" s="431" t="e">
        <f ca="1">INDEX(INDIRECT(VLOOKUP(LEFT(BO384,7),CLU!$Z$3:$AH$18,2)),GQ384,GS384)</f>
        <v>#N/A</v>
      </c>
      <c r="CN384" s="431" t="e">
        <f ca="1">INDEX(INDIRECT(VLOOKUP(LEFT(BO384,7),CLU!$Z$3:$AH$18,3)),GQ384,GS384)</f>
        <v>#N/A</v>
      </c>
      <c r="CO384" s="431" t="e">
        <f ca="1">INDEX(INDIRECT(VLOOKUP(LEFT(BO384,7),CLU!$Z$3:$AH$18,4)),GQ384,GS384)</f>
        <v>#N/A</v>
      </c>
      <c r="CP384" s="431" t="e">
        <f t="shared" ca="1" si="1156"/>
        <v>#N/A</v>
      </c>
      <c r="CQ384" s="440">
        <f t="shared" si="1157"/>
        <v>0</v>
      </c>
      <c r="CR384" s="51" t="e">
        <f t="shared" ca="1" si="1158"/>
        <v>#N/A</v>
      </c>
      <c r="CS384" s="439" t="e">
        <f t="shared" ca="1" si="1159"/>
        <v>#VALUE!</v>
      </c>
      <c r="CT384" s="51" t="e">
        <f t="shared" ca="1" si="1160"/>
        <v>#VALUE!</v>
      </c>
      <c r="CU384" s="10"/>
      <c r="CV384" s="51" t="e">
        <f t="shared" ca="1" si="1057"/>
        <v>#VALUE!</v>
      </c>
      <c r="CW384" s="51">
        <f t="shared" si="1161"/>
        <v>0</v>
      </c>
      <c r="CX384" s="439" t="e">
        <f t="shared" ca="1" si="1162"/>
        <v>#VALUE!</v>
      </c>
      <c r="CY384" s="51" t="e">
        <f t="shared" ca="1" si="1163"/>
        <v>#VALUE!</v>
      </c>
      <c r="CZ384" s="10"/>
      <c r="DA384" s="51" t="e">
        <f t="shared" ca="1" si="1164"/>
        <v>#VALUE!</v>
      </c>
      <c r="DB384" s="347" t="e">
        <f ca="1">INDEX(INDIRECT(VLOOKUP(LEFT(BO384,7),CLU!$Z$3:$AI$18,10)),((M384-2)*(6-COUNTBLANK(GT384:GY384)))+GJ384)*LI384</f>
        <v>#N/A</v>
      </c>
      <c r="DC384" s="347" t="str">
        <f>IF(L384&gt;0,((R384/Worksheet!$I$15)/DB384)^2," ")</f>
        <v xml:space="preserve"> </v>
      </c>
      <c r="DD384" s="602" t="str">
        <f t="shared" si="1165"/>
        <v xml:space="preserve"> </v>
      </c>
      <c r="DE384" s="347" t="str">
        <f t="shared" si="1058"/>
        <v xml:space="preserve"> </v>
      </c>
      <c r="DF384" s="356" t="e">
        <f ca="1">INDEX(INDIRECT(VLOOKUP(LEFT(BO384,7),CLU!$Z$3:$AH$18,8)),((M384-2)*(6-COUNTBLANK(GT384:GY384)))+GJ384)</f>
        <v>#N/A</v>
      </c>
      <c r="DG384" s="347" t="str">
        <f t="shared" si="1059"/>
        <v xml:space="preserve"> </v>
      </c>
      <c r="DH384" s="357" t="str">
        <f t="shared" si="1060"/>
        <v xml:space="preserve"> </v>
      </c>
      <c r="DI384" s="355" t="str">
        <f t="shared" si="1061"/>
        <v xml:space="preserve"> </v>
      </c>
      <c r="DJ384" s="245" t="e">
        <f ca="1">INDEX(INDIRECT(VLOOKUP(LEFT(BO384,7),CLU!$Z$3:$AH$18,5)),GL384,GK384)</f>
        <v>#N/A</v>
      </c>
      <c r="DK384" s="245" t="e">
        <f ca="1">INDEX(INDIRECT(VLOOKUP(LEFT(BO384,7),CLU!$Z$3:$AH$18,6)),GL384,GK384)</f>
        <v>#N/A</v>
      </c>
      <c r="DL384" s="355">
        <f>(Calculation!R384*0.69143*(Calculation!$BQ$8-Calculation!$F$8))*$S$14</f>
        <v>0</v>
      </c>
      <c r="DM384" s="359" t="e">
        <f t="shared" si="1166"/>
        <v>#VALUE!</v>
      </c>
      <c r="DN384" s="611">
        <f t="shared" si="1167"/>
        <v>0</v>
      </c>
      <c r="DO384" s="359">
        <f t="shared" si="1168"/>
        <v>100</v>
      </c>
      <c r="DP384" s="359">
        <f t="shared" si="1169"/>
        <v>0</v>
      </c>
      <c r="DQ384" s="360"/>
      <c r="DR384" s="245" t="e">
        <f ca="1">INDEX(INDIRECT(VLOOKUP(LEFT(BO384,7),CLU!$Z$3:$AH$18,7)),M384-1,1)</f>
        <v>#N/A</v>
      </c>
      <c r="DS384" s="245" t="e">
        <f ca="1">INDEX(INDIRECT(VLOOKUP(LEFT(BO384,7),CLU!$Z$3:$AH$18,7)),M384-1,2)</f>
        <v>#N/A</v>
      </c>
      <c r="DT384" s="245" t="e">
        <f ca="1">INDEX(INDIRECT(VLOOKUP(LEFT(BO384,7),CLU!$Z$3:$AH$18,7)),M384-1,3)</f>
        <v>#N/A</v>
      </c>
      <c r="DU384" s="245" t="e">
        <f ca="1">INDEX(INDIRECT(VLOOKUP(LEFT(BO384,7),CLU!$Z$3:$AH$18,7)),M384-1,4)</f>
        <v>#N/A</v>
      </c>
      <c r="DV384" s="361" t="e">
        <f ca="1">INDEX(INDIRECT(VLOOKUP(LEFT(BO384,7),CLU!$Z$3:$AH$18,7)),M384-1,4+LEFT(DZ384,1)*0.5)</f>
        <v>#N/A</v>
      </c>
      <c r="DW384" s="245" t="e">
        <f ca="1">INDEX(INDIRECT(VLOOKUP(LEFT(BO384,7),CLU!$Z$3:$AH$18,7)),M384-1,8)</f>
        <v>#N/A</v>
      </c>
      <c r="DX384" s="361" t="str">
        <f t="shared" si="1062"/>
        <v xml:space="preserve"> </v>
      </c>
      <c r="DY384" s="361" t="str">
        <f t="shared" si="1063"/>
        <v xml:space="preserve"> </v>
      </c>
      <c r="DZ384" s="361" t="str">
        <f t="shared" si="1064"/>
        <v xml:space="preserve"> </v>
      </c>
      <c r="EA384" s="362" t="str">
        <f t="shared" si="1065"/>
        <v xml:space="preserve"> </v>
      </c>
      <c r="EB384" s="624" t="str">
        <f t="shared" si="1170"/>
        <v xml:space="preserve"> </v>
      </c>
      <c r="EC384" s="361" t="e">
        <f ca="1">INDEX(INDIRECT(VLOOKUP(LEFT(BO384,7),CLU!$Z$3:$AH$18,7)),M384-1,4+LEFT(DZ384,1)*0.5)</f>
        <v>#N/A</v>
      </c>
      <c r="ED384" s="362" t="str">
        <f t="shared" si="1066"/>
        <v xml:space="preserve"> </v>
      </c>
      <c r="EE384" s="361" t="str">
        <f t="shared" si="1067"/>
        <v xml:space="preserve"> </v>
      </c>
      <c r="EF384" s="362" t="str">
        <f>IF(L384&gt;0,IF(BR384&gt;0,IF(EE384="2P",IF(Calculation!DZ384="2P",IF(Calculation!DS384=13.75,IF(Calculation!DR384=13,Worksheet!$BD$43,IF(Calculation!DR384=37,Worksheet!$BD$44,Worksheet!$BD$45)),IF(Calculation!DS384=10,IF(Calculation!DR384=18,Worksheet!$BD$29,IF(Calculation!DR384=30,Worksheet!$BD$30,IF(Calculation!DR384=42,Worksheet!$BD$31,IF(Calculation!DR384=54,Worksheet!$BD$32,IF(Calculation!DR384=66,Worksheet!$BD$33,IF(Calculation!DR384=78,Worksheet!$BD$34,IF(Calculation!DR384=90,Worksheet!$BD$35,IF(Calculation!DR384=102,Worksheet!$BD$36,Worksheet!$BD$37)))))))),IF(Calculation!DS384=12.5,IF(Calculation!DR384=18,Worksheet!$BD$38,IF(Calculation!DR384=Worksheet!$BD$39,IF(Calculation!DR384=42,Worksheet!$BD$40,IF(Calculation!DR384=54,Worksheet!$BD$41,Worksheet!$BD$42)))),IF(Calculation!DR384=18,Worksheet!$BD$11,IF(Calculation!DR384=30,Worksheet!$BD$12,IF(Calculation!DR384=42,Worksheet!$BD$13,IF(Calculation!DR384=54,Worksheet!$BD$14,IF(Calculation!DR384=66,Worksheet!$BD$15,IF(Calculation!DR384=78,Worksheet!$BD$16,IF(Calculation!DR384=90,Worksheet!$BD$17,IF(Calculation!DR384=102,Worksheet!$BD$18,Worksheet!$BD$19))))))))))),IF(Calculation!DS384=13.75,IF(Calculation!DR384=13,Worksheet!$BD$78,IF(Calculation!DR384=37,Worksheet!$BD$79,Worksheet!$BD$80)),IF(Calculation!DS384=10,IF(Calculation!DR384=18,Worksheet!$BD$64,IF(Calculation!DR384=30,Worksheet!$BD$65,IF(Calculation!DR384=42,Worksheet!$BD$66,IF(Calculation!DR384=54,Worksheet!$BD$68,IF(Calculation!DR384=66,Worksheet!$BD$68,IF(Calculation!DR384=78,Worksheet!$BD$69,IF(Calculation!DR384=90,Worksheet!$BD$70,IF(Calculation!DR384=102,Worksheet!$BD$71,Worksheet!$BD$72)))))))),IF(Calculation!DS384=12.5,IF(Calculation!DR384=18,Worksheet!$BD$73,IF(Calculation!DR384=Worksheet!$BD$74,IF(Calculation!DR384=42,Worksheet!$BD$75,IF(Calculation!DR384=54,Worksheet!$BD$76,Worksheet!$BD$77)))),IF(Calculation!DR384=18,Worksheet!$BD$55,IF(Calculation!DR384=30,Worksheet!$BD$56,IF(Calculation!DR384=42,Worksheet!$BD$57,IF(Calculation!DR384=54,Worksheet!$BD$58,IF(Calculation!DR384=66,Worksheet!$BD$59,IF(Calculation!DR384=78,Worksheet!$BD$60,IF(Calculation!DR384=90,Worksheet!$BD$61,IF(Calculation!DR384=102,Worksheet!$BD$62,Worksheet!$BD$63)))))))))))),5),0)," ")</f>
        <v xml:space="preserve"> </v>
      </c>
      <c r="EG384" s="361" t="str">
        <f t="shared" si="1068"/>
        <v xml:space="preserve"> </v>
      </c>
      <c r="EH384" s="361" t="e">
        <f ca="1">INDEX(INDIRECT(VLOOKUP(LEFT(BO384,7),CLU!$Z$3:$AH$18,7)),M384-1,3+LEFT(DZ384,1))</f>
        <v>#N/A</v>
      </c>
      <c r="EI384" s="362" t="str">
        <f t="shared" si="1069"/>
        <v xml:space="preserve"> </v>
      </c>
      <c r="EJ384" s="363" t="str">
        <f t="shared" si="1070"/>
        <v xml:space="preserve"> </v>
      </c>
      <c r="EK384" s="363" t="str">
        <f t="shared" si="1071"/>
        <v xml:space="preserve"> </v>
      </c>
      <c r="EL384" s="363" t="str">
        <f t="shared" si="1072"/>
        <v xml:space="preserve"> </v>
      </c>
      <c r="EM384" s="362" t="str">
        <f>IF(L384&gt;0,IF(BR384&gt;0,(Calculation!T384/ED384)^2,0)," ")</f>
        <v xml:space="preserve"> </v>
      </c>
      <c r="EN384" s="362" t="str">
        <f>IF(L384&gt;0,IF(O384="2 Pipe (Cooling)","N/A",IF(BR384&gt;0,(Calculation!U384/EI384)^2,0))," ")</f>
        <v xml:space="preserve"> </v>
      </c>
      <c r="EO384" s="361" t="str">
        <f t="shared" si="1073"/>
        <v/>
      </c>
      <c r="EP384" s="361" t="str">
        <f t="shared" si="1074"/>
        <v/>
      </c>
      <c r="EQ384" s="361" t="str">
        <f t="shared" si="1075"/>
        <v/>
      </c>
      <c r="ER384" s="361" t="str">
        <f t="shared" si="1076"/>
        <v/>
      </c>
      <c r="ES384" s="361" t="str">
        <f t="shared" si="1077"/>
        <v/>
      </c>
      <c r="ET384" s="361" t="str">
        <f t="shared" si="1078"/>
        <v/>
      </c>
      <c r="EU384" s="361" t="str">
        <f t="shared" si="1079"/>
        <v/>
      </c>
      <c r="EV384" s="361" t="str">
        <f t="shared" si="1080"/>
        <v/>
      </c>
      <c r="EW384" s="361" t="str">
        <f t="shared" si="1081"/>
        <v/>
      </c>
      <c r="EX384" s="361" t="str">
        <f t="shared" si="1171"/>
        <v>1 slot, 1 way</v>
      </c>
      <c r="EY384" s="361" t="str">
        <f t="shared" si="1172"/>
        <v xml:space="preserve"> </v>
      </c>
      <c r="EZ384" s="361" t="str">
        <f t="shared" si="1173"/>
        <v xml:space="preserve"> </v>
      </c>
      <c r="FA384" s="361" t="str">
        <f t="shared" si="1174"/>
        <v xml:space="preserve"> </v>
      </c>
      <c r="FB384" s="361" t="str">
        <f t="shared" si="1175"/>
        <v xml:space="preserve"> </v>
      </c>
      <c r="FC384" s="361"/>
      <c r="FD384" s="361" t="str">
        <f>IF(J384&gt;0,IF(Calculation!R384&lt;=70,4,IF(Calculation!R384&lt;=110,5,IF(Calculation!R384&lt;=160,6,IF(Calculation!R384&lt;=300,8,"10 EO")))),"")</f>
        <v/>
      </c>
      <c r="FE384" s="361" t="str">
        <f t="shared" si="1176"/>
        <v/>
      </c>
      <c r="FF384" s="361" t="str">
        <f t="shared" si="1177"/>
        <v/>
      </c>
      <c r="FG384" s="361" t="e">
        <f t="shared" si="1082"/>
        <v>#N/A</v>
      </c>
      <c r="FH384" s="361">
        <f t="shared" si="1083"/>
        <v>0</v>
      </c>
      <c r="FI384" s="361" t="e">
        <f t="shared" si="1084"/>
        <v>#DIV/0!</v>
      </c>
      <c r="FJ384" s="361"/>
      <c r="FK384" s="356" t="e">
        <f t="shared" si="1085"/>
        <v>#VALUE!</v>
      </c>
      <c r="FL384" s="361"/>
      <c r="FM384" s="361"/>
      <c r="FN384" s="362" t="str">
        <f t="shared" si="1178"/>
        <v xml:space="preserve"> </v>
      </c>
      <c r="FO384" s="362" t="str">
        <f t="shared" si="1179"/>
        <v xml:space="preserve"> </v>
      </c>
      <c r="FP384" s="362">
        <f t="shared" si="1180"/>
        <v>0</v>
      </c>
      <c r="FQ384" s="361">
        <f t="shared" si="1086"/>
        <v>0</v>
      </c>
      <c r="FR384" s="362" t="str">
        <f>IF(L384&gt;0,IF(J384="CBAL2",Worksheet!$P$67,IF(J384="CBE2-24",Worksheet!$Q$67,IF(J384="CBAM",Worksheet!$R$67,IF(J384="CBLV",Worksheet!$S$67,IF(J384="CBAB",Worksheet!$U$67,IF(J384="CBAW",Worksheet!$X$67,IF(J384="CBE2-12",Worksheet!$Y$67,IF(J384="CBAL2",Worksheet!$Z$67,"N/A"))))))))," ")</f>
        <v xml:space="preserve"> </v>
      </c>
      <c r="FS384" s="362" t="str">
        <f>IF(L384&gt;0,IF(J384="CBAL2",Worksheet!$P$68,IF(J384="CBE2-24",Worksheet!$Q$68,IF(J384="CBAM",Worksheet!$R$68,IF(J384="CBLV",Worksheet!$S$68,IF(J384="CBAB",Worksheet!$U$68,IF(J384="CBAW",Worksheet!$X$68,IF(J384="CBE2-12",Worksheet!$Y$68,IF(J384="CBAL2",Worksheet!$Z$68,"N/A"))))))))," ")</f>
        <v xml:space="preserve"> </v>
      </c>
      <c r="FT384" s="362" t="str">
        <f>IF(L384&gt;0,IF(J384="CBAL2",Worksheet!$P$69,IF(J384="CBE2-24",Worksheet!$Q$69,IF(J384="CBAM",Worksheet!$R$69,IF(J384="CBLV",Worksheet!$S$69,IF(J384="CBAB",Worksheet!$U$69,IF(J384="CBAW",Worksheet!$X$69,IF(J384="CBE2-12",Worksheet!$Y$69,IF(J384="CBAL2",Worksheet!$Z$69,"N/A"))))))))," ")</f>
        <v xml:space="preserve"> </v>
      </c>
      <c r="FU384" s="361" t="str">
        <f t="shared" si="1181"/>
        <v xml:space="preserve"> </v>
      </c>
      <c r="FV384" s="362" t="str">
        <f t="shared" si="1182"/>
        <v xml:space="preserve"> </v>
      </c>
      <c r="FW384" s="362" t="str">
        <f t="shared" si="1183"/>
        <v xml:space="preserve"> </v>
      </c>
      <c r="FX384" s="362" t="str">
        <f t="shared" si="1184"/>
        <v xml:space="preserve"> </v>
      </c>
      <c r="FY384" s="355" t="str">
        <f t="shared" si="1185"/>
        <v xml:space="preserve"> </v>
      </c>
      <c r="FZ384" s="361" t="str">
        <f t="shared" si="1186"/>
        <v xml:space="preserve"> </v>
      </c>
      <c r="GA384" s="347" t="str">
        <f t="shared" si="1187"/>
        <v xml:space="preserve"> </v>
      </c>
      <c r="GB384" s="355" t="str">
        <f t="shared" si="1188"/>
        <v xml:space="preserve"> </v>
      </c>
      <c r="GC384" s="328" t="str">
        <f t="shared" si="1189"/>
        <v xml:space="preserve"> </v>
      </c>
      <c r="GD384" s="361" t="str">
        <f t="shared" si="1190"/>
        <v xml:space="preserve"> </v>
      </c>
      <c r="GE384" s="347" t="str">
        <f t="shared" si="1191"/>
        <v xml:space="preserve"> </v>
      </c>
      <c r="GF384" s="361" t="str">
        <f t="shared" si="1192"/>
        <v xml:space="preserve"> </v>
      </c>
      <c r="GG384" s="347" t="str">
        <f t="shared" si="1193"/>
        <v xml:space="preserve"> </v>
      </c>
      <c r="GH384" s="364">
        <f t="shared" si="1087"/>
        <v>0</v>
      </c>
      <c r="GI384" s="362">
        <f t="shared" si="1194"/>
        <v>2</v>
      </c>
      <c r="GJ384" s="433" t="e">
        <f>IF(6-COUNTBLANK(GT384:GY384)=4,MATCH(MID(BO384,9,3),CLU!$H$16:$K$16),MATCH(MID(BO384,9,3),CLU!$H$13:$M$13))</f>
        <v>#N/A</v>
      </c>
      <c r="GK384" s="433" t="e">
        <f>HLOOKUP(VALUE(BP384),CLU!$H$9:$M$10,2)</f>
        <v>#VALUE!</v>
      </c>
      <c r="GL384" s="433" t="e">
        <f ca="1">MATCH(BU384,CLU!$H$2:$V$2,1)</f>
        <v>#VALUE!</v>
      </c>
      <c r="GM384" s="433" t="e">
        <f t="shared" ca="1" si="1195"/>
        <v>#VALUE!</v>
      </c>
      <c r="GN384" s="433" t="e">
        <f t="shared" ca="1" si="1196"/>
        <v>#VALUE!</v>
      </c>
      <c r="GO384" s="433" t="e">
        <f t="shared" ca="1" si="1197"/>
        <v>#VALUE!</v>
      </c>
      <c r="GP384" s="433" t="e">
        <f t="shared" ca="1" si="1198"/>
        <v>#VALUE!</v>
      </c>
      <c r="GQ384" s="433" t="e">
        <f t="shared" ca="1" si="1199"/>
        <v>#VALUE!</v>
      </c>
      <c r="GR384" s="433" t="e">
        <f ca="1">MATCH(T384,INDIRECT(VLOOKUP(CONCATENATE(LEFT(BO384,7),"-",MID(BO384,13,1)),CLU!$P$3:$Q$16,2)),1)</f>
        <v>#N/A</v>
      </c>
      <c r="GS384" s="433" t="e">
        <f ca="1">MATCH(U384,INDIRECT(VLOOKUP(CONCATENATE(LEFT(BO384,7),"-",MID(BO384,13,1)),CLU!$P$3:$Q$16,2)),1)</f>
        <v>#N/A</v>
      </c>
      <c r="GT384" s="347" t="s">
        <v>512</v>
      </c>
      <c r="GU384" s="97" t="s">
        <v>513</v>
      </c>
      <c r="GV384" s="97" t="str">
        <f t="shared" si="1200"/>
        <v>M23</v>
      </c>
      <c r="GW384" s="97" t="str">
        <f t="shared" si="1201"/>
        <v>M31</v>
      </c>
      <c r="GX384" s="97" t="str">
        <f t="shared" si="1202"/>
        <v/>
      </c>
      <c r="GY384" s="97" t="str">
        <f t="shared" si="1203"/>
        <v/>
      </c>
      <c r="GZ384" s="481"/>
      <c r="HA384" s="240"/>
      <c r="HB384" s="240"/>
      <c r="HC384" s="240"/>
      <c r="HD384" s="240"/>
      <c r="HE384" s="240"/>
      <c r="HF384" s="240"/>
      <c r="HG384" s="240"/>
      <c r="HH384" s="240"/>
      <c r="HI384" s="240"/>
      <c r="HJ384" s="240"/>
      <c r="HK384" s="240"/>
      <c r="HL384" s="240"/>
      <c r="HM384" s="240"/>
      <c r="HN384" s="240"/>
      <c r="HO384" s="240"/>
      <c r="HP384" s="240"/>
      <c r="HQ384" s="240"/>
      <c r="HR384" s="240"/>
      <c r="HS384" s="240"/>
      <c r="HT384" s="240"/>
      <c r="HU384" s="240"/>
      <c r="HV384" s="245"/>
      <c r="HW384" s="245" t="b">
        <v>1</v>
      </c>
      <c r="HX384" s="245" t="str">
        <f t="shared" si="1088"/>
        <v/>
      </c>
      <c r="HY384" s="245" t="e">
        <f t="shared" si="1089"/>
        <v>#DIV/0!</v>
      </c>
      <c r="HZ384" s="245" t="e">
        <f t="shared" si="1090"/>
        <v>#DIV/0!</v>
      </c>
      <c r="IA384" s="245">
        <f t="shared" si="1091"/>
        <v>0</v>
      </c>
      <c r="IB384" s="245"/>
      <c r="IC384" t="b">
        <f t="shared" si="1092"/>
        <v>1</v>
      </c>
      <c r="ID384" s="245" t="b">
        <f t="shared" si="1093"/>
        <v>1</v>
      </c>
      <c r="IE384" s="245" t="b">
        <f t="shared" si="1094"/>
        <v>1</v>
      </c>
      <c r="IF384" s="245" t="b">
        <f t="shared" si="1095"/>
        <v>0</v>
      </c>
      <c r="IG384" s="245" t="b">
        <f t="shared" si="1096"/>
        <v>1</v>
      </c>
      <c r="IH384" s="245" t="b">
        <f t="shared" si="1097"/>
        <v>1</v>
      </c>
      <c r="II384" s="245">
        <f t="shared" si="1204"/>
        <v>0</v>
      </c>
      <c r="IJ384" s="245" t="e">
        <f t="shared" si="1098"/>
        <v>#VALUE!</v>
      </c>
      <c r="IK384" s="245" t="e">
        <f t="shared" si="1099"/>
        <v>#VALUE!</v>
      </c>
      <c r="IL384" s="245"/>
      <c r="IM384" s="245" t="e">
        <f t="shared" si="1205"/>
        <v>#N/A</v>
      </c>
      <c r="IN384" s="245" t="e">
        <f t="shared" si="1206"/>
        <v>#N/A</v>
      </c>
      <c r="IO384" s="245"/>
      <c r="IP384" s="245"/>
      <c r="IQ384" s="245" t="str">
        <f t="shared" si="1100"/>
        <v/>
      </c>
      <c r="IR384" s="245" t="str">
        <f>IF(J384="","",VLOOKUP(J384,Worksheet!$R$4:$T$14,2))</f>
        <v/>
      </c>
      <c r="IS384" s="245"/>
      <c r="IT384" s="245">
        <f t="shared" si="1101"/>
        <v>0</v>
      </c>
      <c r="IU384" s="245">
        <f t="shared" si="1102"/>
        <v>0</v>
      </c>
      <c r="IV384" s="245">
        <f t="shared" si="1103"/>
        <v>0</v>
      </c>
      <c r="IW384" s="245">
        <f t="shared" si="1104"/>
        <v>0</v>
      </c>
      <c r="IX384" s="245">
        <f t="shared" si="1207"/>
        <v>0</v>
      </c>
      <c r="IY384" s="245">
        <f t="shared" si="1105"/>
        <v>0</v>
      </c>
      <c r="IZ384" s="245">
        <f t="shared" si="1106"/>
        <v>0</v>
      </c>
      <c r="JA384">
        <f t="shared" si="1107"/>
        <v>0</v>
      </c>
      <c r="JB384">
        <f t="shared" si="1208"/>
        <v>0</v>
      </c>
      <c r="JC384">
        <f t="shared" si="1108"/>
        <v>0</v>
      </c>
      <c r="JD384">
        <f t="shared" si="1109"/>
        <v>0</v>
      </c>
      <c r="JE384">
        <f t="shared" si="1110"/>
        <v>0</v>
      </c>
      <c r="JF384">
        <f t="shared" si="1111"/>
        <v>0</v>
      </c>
      <c r="JG384">
        <f t="shared" si="1112"/>
        <v>0</v>
      </c>
      <c r="JH384">
        <f t="shared" si="1113"/>
        <v>0</v>
      </c>
      <c r="JI384">
        <f t="shared" si="1114"/>
        <v>0</v>
      </c>
      <c r="JJ384" s="447">
        <f t="shared" si="1115"/>
        <v>0</v>
      </c>
      <c r="JK384" s="447">
        <f t="shared" si="1116"/>
        <v>0</v>
      </c>
      <c r="JL384">
        <f t="shared" si="1117"/>
        <v>0</v>
      </c>
      <c r="JM384" s="245" t="str">
        <f>IFERROR(VLOOKUP(MATCH(BN384,#REF!,0),#REF!,7),"")</f>
        <v/>
      </c>
      <c r="JN384" t="e">
        <f>HLOOKUP(LEFT(BO384,7),Discharge_Area,MATCH(JO384,LookUps!$B$130:$B$149,1)+2)</f>
        <v>#N/A</v>
      </c>
      <c r="JO384" t="str">
        <f t="shared" si="1118"/>
        <v>- S</v>
      </c>
      <c r="JP384" t="e">
        <f>HLOOKUP(LEFT(BO384,7),Discharge_Area,MATCH(JO384,LookUps!$B$130:$B$149,1)+2)</f>
        <v>#N/A</v>
      </c>
      <c r="JQ384" t="e">
        <f t="shared" si="1119"/>
        <v>#N/A</v>
      </c>
      <c r="JR384" t="e">
        <f t="shared" si="1120"/>
        <v>#N/A</v>
      </c>
      <c r="JS384" t="e">
        <f t="shared" si="1121"/>
        <v>#N/A</v>
      </c>
      <c r="JT384" s="532" t="str">
        <f t="shared" si="1122"/>
        <v xml:space="preserve"> </v>
      </c>
      <c r="JU384" s="532" t="str">
        <f t="shared" si="1123"/>
        <v xml:space="preserve"> </v>
      </c>
      <c r="JV384" s="533" t="str">
        <f t="shared" si="1124"/>
        <v xml:space="preserve"> </v>
      </c>
      <c r="JW384" s="534">
        <f t="shared" si="1125"/>
        <v>0</v>
      </c>
      <c r="JX384" s="535" t="str">
        <f t="shared" si="1209"/>
        <v xml:space="preserve"> </v>
      </c>
      <c r="JY384" s="535" t="str">
        <f t="shared" si="1210"/>
        <v xml:space="preserve"> </v>
      </c>
      <c r="JZ384" s="535" t="str">
        <f t="shared" si="1211"/>
        <v xml:space="preserve"> </v>
      </c>
      <c r="KA384" s="536" t="str">
        <f t="shared" si="1126"/>
        <v xml:space="preserve"> </v>
      </c>
      <c r="KB384" s="535" t="e">
        <f t="shared" si="1212"/>
        <v>#VALUE!</v>
      </c>
      <c r="KC384" s="535" t="str">
        <f t="shared" si="1127"/>
        <v/>
      </c>
      <c r="KD384" s="537" t="str">
        <f t="shared" si="1213"/>
        <v xml:space="preserve"> </v>
      </c>
      <c r="KE384" s="537" t="str">
        <f t="shared" si="1214"/>
        <v xml:space="preserve"> </v>
      </c>
      <c r="KF384" s="534">
        <f t="shared" si="1128"/>
        <v>0</v>
      </c>
      <c r="KG384" s="535" t="str">
        <f t="shared" si="1129"/>
        <v xml:space="preserve"> </v>
      </c>
      <c r="KH384" s="535" t="str">
        <f t="shared" si="1130"/>
        <v xml:space="preserve"> </v>
      </c>
      <c r="KI384" s="535" t="str">
        <f t="shared" si="1131"/>
        <v xml:space="preserve"> </v>
      </c>
      <c r="KJ384" s="536" t="str">
        <f t="shared" si="1132"/>
        <v xml:space="preserve"> </v>
      </c>
      <c r="KK384" s="535" t="str">
        <f t="shared" si="1215"/>
        <v xml:space="preserve"> </v>
      </c>
      <c r="KL384" s="535" t="str">
        <f t="shared" si="1216"/>
        <v xml:space="preserve"> </v>
      </c>
      <c r="KM384" s="537" t="str">
        <f t="shared" si="1133"/>
        <v xml:space="preserve"> </v>
      </c>
      <c r="KN384" s="537" t="str">
        <f t="shared" si="1217"/>
        <v xml:space="preserve"> </v>
      </c>
      <c r="KP384">
        <f t="shared" si="1134"/>
        <v>0</v>
      </c>
      <c r="LA384" t="e">
        <f t="shared" si="1135"/>
        <v>#VALUE!</v>
      </c>
      <c r="LB384" t="e">
        <f t="shared" si="1136"/>
        <v>#VALUE!</v>
      </c>
      <c r="LC384" t="e">
        <f t="shared" si="1137"/>
        <v>#VALUE!</v>
      </c>
      <c r="LD384" t="e">
        <f t="shared" si="1138"/>
        <v>#VALUE!</v>
      </c>
      <c r="LE384" t="e">
        <f t="shared" si="1218"/>
        <v>#VALUE!</v>
      </c>
      <c r="LF384">
        <f t="shared" si="1139"/>
        <v>0</v>
      </c>
      <c r="LG384" t="e">
        <f t="shared" si="1219"/>
        <v>#VALUE!</v>
      </c>
      <c r="LH384" t="str">
        <f t="shared" si="1140"/>
        <v xml:space="preserve"> </v>
      </c>
      <c r="LI384">
        <f t="shared" si="1220"/>
        <v>1</v>
      </c>
    </row>
    <row r="385" spans="2:321" ht="15" customHeight="1">
      <c r="B385" s="311"/>
      <c r="C385" s="311"/>
      <c r="D385" s="312"/>
      <c r="E385" s="311"/>
      <c r="F385" s="312"/>
      <c r="G385" s="311"/>
      <c r="H385" s="311"/>
      <c r="I385" s="232"/>
      <c r="J385" s="311"/>
      <c r="K385" s="305" t="str">
        <f t="shared" si="1141"/>
        <v/>
      </c>
      <c r="L385" s="313"/>
      <c r="M385" s="312"/>
      <c r="N385" s="311"/>
      <c r="O385" s="312"/>
      <c r="P385" s="311"/>
      <c r="Q385" s="305" t="str">
        <f t="shared" si="1142"/>
        <v/>
      </c>
      <c r="R385" s="314"/>
      <c r="S385" s="450" t="str">
        <f t="shared" si="1025"/>
        <v/>
      </c>
      <c r="T385" s="315"/>
      <c r="U385" s="315"/>
      <c r="W385" s="149" t="str">
        <f t="shared" si="1026"/>
        <v xml:space="preserve"> </v>
      </c>
      <c r="X385" s="243" t="str">
        <f t="shared" si="1027"/>
        <v xml:space="preserve"> </v>
      </c>
      <c r="Y385" s="150" t="str">
        <f t="shared" si="1028"/>
        <v/>
      </c>
      <c r="Z385" s="149" t="str">
        <f t="shared" si="1029"/>
        <v xml:space="preserve"> </v>
      </c>
      <c r="AA385" s="98" t="str">
        <f t="shared" si="1030"/>
        <v xml:space="preserve"> </v>
      </c>
      <c r="AB385" s="153" t="str">
        <f t="shared" si="1031"/>
        <v xml:space="preserve"> </v>
      </c>
      <c r="AC385" s="153" t="str">
        <f t="shared" si="1032"/>
        <v xml:space="preserve"> </v>
      </c>
      <c r="AD385" s="148" t="str">
        <f t="shared" si="1033"/>
        <v/>
      </c>
      <c r="AE385" s="149" t="str">
        <f t="shared" si="1034"/>
        <v/>
      </c>
      <c r="AF385" s="151" t="str">
        <f t="shared" si="1035"/>
        <v xml:space="preserve"> </v>
      </c>
      <c r="AG385" s="153" t="str">
        <f t="shared" si="1036"/>
        <v xml:space="preserve"> </v>
      </c>
      <c r="AH385" s="98" t="str">
        <f t="shared" si="1037"/>
        <v xml:space="preserve"> </v>
      </c>
      <c r="AI385" s="149" t="str">
        <f t="shared" si="1038"/>
        <v xml:space="preserve"> </v>
      </c>
      <c r="AK385" s="144" t="str">
        <f t="shared" si="1039"/>
        <v xml:space="preserve"> </v>
      </c>
      <c r="AL385" s="144"/>
      <c r="AM385" s="243" t="str">
        <f t="shared" si="1040"/>
        <v xml:space="preserve"> </v>
      </c>
      <c r="AN385" s="149" t="str">
        <f t="shared" si="1143"/>
        <v xml:space="preserve"> </v>
      </c>
      <c r="AO385" s="144" t="str">
        <f>IF(JB385&gt;0,IF(GI385=10,-R385*1.085*(Calculation!$F$6-Calculation!$F$13)*$S$14," "),"")</f>
        <v/>
      </c>
      <c r="AP385" s="144" t="str">
        <f t="shared" si="1041"/>
        <v/>
      </c>
      <c r="AQ385" s="56" t="str">
        <f t="shared" si="1042"/>
        <v/>
      </c>
      <c r="AR385" s="144" t="str">
        <f t="shared" si="1043"/>
        <v/>
      </c>
      <c r="AS385" s="176" t="str">
        <f t="shared" si="1044"/>
        <v/>
      </c>
      <c r="AT385" s="176" t="str">
        <f t="shared" si="1144"/>
        <v xml:space="preserve"> </v>
      </c>
      <c r="AU385" s="176" t="str">
        <f t="shared" si="1045"/>
        <v/>
      </c>
      <c r="AV385" s="177" t="str">
        <f t="shared" si="1046"/>
        <v xml:space="preserve"> </v>
      </c>
      <c r="AW385" s="144" t="str">
        <f t="shared" si="1047"/>
        <v xml:space="preserve"> </v>
      </c>
      <c r="AX385" s="144" t="str">
        <f t="shared" si="1048"/>
        <v xml:space="preserve"> </v>
      </c>
      <c r="AY385" s="152" t="str">
        <f t="shared" si="1049"/>
        <v xml:space="preserve"> </v>
      </c>
      <c r="AZ385" s="246" t="str">
        <f t="shared" si="1050"/>
        <v/>
      </c>
      <c r="BA385" s="176" t="str">
        <f t="shared" si="1051"/>
        <v xml:space="preserve"> </v>
      </c>
      <c r="BB385" s="176" t="str">
        <f t="shared" si="1052"/>
        <v xml:space="preserve"> </v>
      </c>
      <c r="BC385" s="195"/>
      <c r="BD385" s="316"/>
      <c r="BE385" s="317"/>
      <c r="BF385" s="318"/>
      <c r="BG385" s="318"/>
      <c r="BH385" s="144" t="str">
        <f t="shared" si="1221"/>
        <v xml:space="preserve"> </v>
      </c>
      <c r="BI385" s="176" t="str">
        <f t="shared" si="1053"/>
        <v/>
      </c>
      <c r="BJ385" s="144" t="str">
        <f t="shared" si="1222"/>
        <v/>
      </c>
      <c r="BK385" s="246" t="str">
        <f t="shared" si="1054"/>
        <v/>
      </c>
      <c r="BL385" s="144" t="str">
        <f t="shared" si="1223"/>
        <v/>
      </c>
      <c r="BM385" s="246" t="str">
        <f t="shared" si="1055"/>
        <v/>
      </c>
      <c r="BN385" s="337" t="str">
        <f t="shared" si="1145"/>
        <v/>
      </c>
      <c r="BO385" s="371" t="str">
        <f t="shared" si="1146"/>
        <v/>
      </c>
      <c r="BP385" s="328" t="str">
        <f t="shared" si="1224"/>
        <v xml:space="preserve"> </v>
      </c>
      <c r="BQ385" s="347" t="str">
        <f t="shared" si="1147"/>
        <v xml:space="preserve"> </v>
      </c>
      <c r="BR385" s="353" t="str">
        <f t="shared" si="1148"/>
        <v xml:space="preserve"> </v>
      </c>
      <c r="BS385" s="626" t="str">
        <f>IF(L385&gt;0,IF(Calculation!P385="M13",BR385*3.1416*(0.134^2)/(4*144),IF(Calculation!P385="M17",BR385*3.1416*(0.165^2)/(4*144),IF(Calculation!P385="M20",BR385*3.1416*(0.198^2)/(4*144),IF(Calculation!P385="M23",BR385*3.1416*(0.228^2)/(4*144),IF(Calculation!P385="M27",BR385*3.1416*(0.269^2)/(4*144),BR385*3.1416*(0.307^2)/(4*144))))))," ")</f>
        <v xml:space="preserve"> </v>
      </c>
      <c r="BT385" s="353" t="str">
        <f>IF(L385&gt;0,IF(BS385&gt;0,R385/Calculation!BS385,0)," ")</f>
        <v xml:space="preserve"> </v>
      </c>
      <c r="BU385" s="438" t="e">
        <f t="shared" ca="1" si="1056"/>
        <v>#VALUE!</v>
      </c>
      <c r="BV385" s="449" t="e">
        <f ca="1">INDEX(INDIRECT(VLOOKUP(LEFT(BO385,7),CLU!$Z$3:$AH$18,2)),GN385,GR385)</f>
        <v>#N/A</v>
      </c>
      <c r="BW385" s="433" t="e">
        <f ca="1">INDEX(INDIRECT(VLOOKUP(LEFT(BO385,7),CLU!$Z$3:$AH$18,3)),GN385,GR385)</f>
        <v>#N/A</v>
      </c>
      <c r="BX385" s="433" t="e">
        <f ca="1">INDEX(INDIRECT(VLOOKUP(LEFT(BO385,7),CLU!$Z$3:$AH$18,4)),GN385,GR385)</f>
        <v>#N/A</v>
      </c>
      <c r="BY385" s="433" t="e">
        <f ca="1">INDEX(INDIRECT(VLOOKUP(LEFT(BO385,7),CLU!$Z$3:$AH$18,9)),((M385-2)*(6-COUNTBLANK(GT385:GY385)))+GJ385)</f>
        <v>#N/A</v>
      </c>
      <c r="BZ385" s="426" t="e">
        <f t="shared" ca="1" si="1149"/>
        <v>#N/A</v>
      </c>
      <c r="CA385" s="424" t="e">
        <f t="shared" ca="1" si="1150"/>
        <v>#N/A</v>
      </c>
      <c r="CB385" s="429" t="e">
        <f ca="1">INDEX(INDIRECT(VLOOKUP(LEFT(BO385,7),CLU!$Z$3:$AH$18,2)),GN385,GS385)</f>
        <v>#N/A</v>
      </c>
      <c r="CC385" s="342" t="e">
        <f ca="1">INDEX(INDIRECT(VLOOKUP(LEFT(BO385,7),CLU!$Z$3:$AH$18,3)),GN385,GS385)</f>
        <v>#N/A</v>
      </c>
      <c r="CD385" s="342" t="e">
        <f ca="1">INDEX(INDIRECT(VLOOKUP(LEFT(BO385,7),CLU!$Z$3:$AH$18,4)),GN385,GS385)</f>
        <v>#N/A</v>
      </c>
      <c r="CE385" s="426" t="e">
        <f t="shared" ca="1" si="1151"/>
        <v>#N/A</v>
      </c>
      <c r="CF385" s="440">
        <f t="shared" si="1152"/>
        <v>0</v>
      </c>
      <c r="CG385" s="431" t="e">
        <f ca="1">INDEX(INDIRECT(VLOOKUP(LEFT(BO385,7),CLU!$Z$3:$AH$18,2)),GQ385,GR385)</f>
        <v>#N/A</v>
      </c>
      <c r="CH385" s="431" t="e">
        <f ca="1">INDEX(INDIRECT(VLOOKUP(LEFT(BO385,7),CLU!$Z$3:$AH$18,3)),GQ385,GR385)</f>
        <v>#N/A</v>
      </c>
      <c r="CI385" s="431" t="e">
        <f ca="1">INDEX(INDIRECT(VLOOKUP(LEFT(BO385,7),CLU!$Z$3:$AH$18,4)),GQ385,GR385)</f>
        <v>#N/A</v>
      </c>
      <c r="CJ385" s="448" t="e">
        <f t="shared" ca="1" si="1153"/>
        <v>#N/A</v>
      </c>
      <c r="CK385" s="431" t="e">
        <f t="shared" ca="1" si="1154"/>
        <v>#N/A</v>
      </c>
      <c r="CL385" s="440" t="e">
        <f t="shared" ca="1" si="1155"/>
        <v>#N/A</v>
      </c>
      <c r="CM385" s="431" t="e">
        <f ca="1">INDEX(INDIRECT(VLOOKUP(LEFT(BO385,7),CLU!$Z$3:$AH$18,2)),GQ385,GS385)</f>
        <v>#N/A</v>
      </c>
      <c r="CN385" s="431" t="e">
        <f ca="1">INDEX(INDIRECT(VLOOKUP(LEFT(BO385,7),CLU!$Z$3:$AH$18,3)),GQ385,GS385)</f>
        <v>#N/A</v>
      </c>
      <c r="CO385" s="431" t="e">
        <f ca="1">INDEX(INDIRECT(VLOOKUP(LEFT(BO385,7),CLU!$Z$3:$AH$18,4)),GQ385,GS385)</f>
        <v>#N/A</v>
      </c>
      <c r="CP385" s="431" t="e">
        <f t="shared" ca="1" si="1156"/>
        <v>#N/A</v>
      </c>
      <c r="CQ385" s="440">
        <f t="shared" si="1157"/>
        <v>0</v>
      </c>
      <c r="CR385" s="51" t="e">
        <f t="shared" ca="1" si="1158"/>
        <v>#N/A</v>
      </c>
      <c r="CS385" s="439" t="e">
        <f t="shared" ca="1" si="1159"/>
        <v>#VALUE!</v>
      </c>
      <c r="CT385" s="51" t="e">
        <f t="shared" ca="1" si="1160"/>
        <v>#VALUE!</v>
      </c>
      <c r="CU385" s="10"/>
      <c r="CV385" s="51" t="e">
        <f t="shared" ca="1" si="1057"/>
        <v>#VALUE!</v>
      </c>
      <c r="CW385" s="51">
        <f t="shared" si="1161"/>
        <v>0</v>
      </c>
      <c r="CX385" s="439" t="e">
        <f t="shared" ca="1" si="1162"/>
        <v>#VALUE!</v>
      </c>
      <c r="CY385" s="51" t="e">
        <f t="shared" ca="1" si="1163"/>
        <v>#VALUE!</v>
      </c>
      <c r="CZ385" s="10"/>
      <c r="DA385" s="51" t="e">
        <f t="shared" ca="1" si="1164"/>
        <v>#VALUE!</v>
      </c>
      <c r="DB385" s="347" t="e">
        <f ca="1">INDEX(INDIRECT(VLOOKUP(LEFT(BO385,7),CLU!$Z$3:$AI$18,10)),((M385-2)*(6-COUNTBLANK(GT385:GY385)))+GJ385)*LI385</f>
        <v>#N/A</v>
      </c>
      <c r="DC385" s="347" t="str">
        <f>IF(L385&gt;0,((R385/Worksheet!$I$15)/DB385)^2," ")</f>
        <v xml:space="preserve"> </v>
      </c>
      <c r="DD385" s="602" t="str">
        <f t="shared" si="1165"/>
        <v xml:space="preserve"> </v>
      </c>
      <c r="DE385" s="347" t="str">
        <f t="shared" si="1058"/>
        <v xml:space="preserve"> </v>
      </c>
      <c r="DF385" s="356" t="e">
        <f ca="1">INDEX(INDIRECT(VLOOKUP(LEFT(BO385,7),CLU!$Z$3:$AH$18,8)),((M385-2)*(6-COUNTBLANK(GT385:GY385)))+GJ385)</f>
        <v>#N/A</v>
      </c>
      <c r="DG385" s="347" t="str">
        <f t="shared" si="1059"/>
        <v xml:space="preserve"> </v>
      </c>
      <c r="DH385" s="357" t="str">
        <f t="shared" si="1060"/>
        <v xml:space="preserve"> </v>
      </c>
      <c r="DI385" s="355" t="str">
        <f t="shared" si="1061"/>
        <v xml:space="preserve"> </v>
      </c>
      <c r="DJ385" s="245" t="e">
        <f ca="1">INDEX(INDIRECT(VLOOKUP(LEFT(BO385,7),CLU!$Z$3:$AH$18,5)),GL385,GK385)</f>
        <v>#N/A</v>
      </c>
      <c r="DK385" s="245" t="e">
        <f ca="1">INDEX(INDIRECT(VLOOKUP(LEFT(BO385,7),CLU!$Z$3:$AH$18,6)),GL385,GK385)</f>
        <v>#N/A</v>
      </c>
      <c r="DL385" s="355">
        <f>(Calculation!R385*0.69143*(Calculation!$BQ$8-Calculation!$F$8))*$S$14</f>
        <v>0</v>
      </c>
      <c r="DM385" s="359" t="e">
        <f t="shared" si="1166"/>
        <v>#VALUE!</v>
      </c>
      <c r="DN385" s="611">
        <f t="shared" si="1167"/>
        <v>0</v>
      </c>
      <c r="DO385" s="359">
        <f t="shared" si="1168"/>
        <v>100</v>
      </c>
      <c r="DP385" s="359">
        <f t="shared" si="1169"/>
        <v>0</v>
      </c>
      <c r="DQ385" s="360"/>
      <c r="DR385" s="245" t="e">
        <f ca="1">INDEX(INDIRECT(VLOOKUP(LEFT(BO385,7),CLU!$Z$3:$AH$18,7)),M385-1,1)</f>
        <v>#N/A</v>
      </c>
      <c r="DS385" s="245" t="e">
        <f ca="1">INDEX(INDIRECT(VLOOKUP(LEFT(BO385,7),CLU!$Z$3:$AH$18,7)),M385-1,2)</f>
        <v>#N/A</v>
      </c>
      <c r="DT385" s="245" t="e">
        <f ca="1">INDEX(INDIRECT(VLOOKUP(LEFT(BO385,7),CLU!$Z$3:$AH$18,7)),M385-1,3)</f>
        <v>#N/A</v>
      </c>
      <c r="DU385" s="245" t="e">
        <f ca="1">INDEX(INDIRECT(VLOOKUP(LEFT(BO385,7),CLU!$Z$3:$AH$18,7)),M385-1,4)</f>
        <v>#N/A</v>
      </c>
      <c r="DV385" s="361" t="e">
        <f ca="1">INDEX(INDIRECT(VLOOKUP(LEFT(BO385,7),CLU!$Z$3:$AH$18,7)),M385-1,4+LEFT(DZ385,1)*0.5)</f>
        <v>#N/A</v>
      </c>
      <c r="DW385" s="245" t="e">
        <f ca="1">INDEX(INDIRECT(VLOOKUP(LEFT(BO385,7),CLU!$Z$3:$AH$18,7)),M385-1,8)</f>
        <v>#N/A</v>
      </c>
      <c r="DX385" s="361" t="str">
        <f t="shared" si="1062"/>
        <v xml:space="preserve"> </v>
      </c>
      <c r="DY385" s="361" t="str">
        <f t="shared" si="1063"/>
        <v xml:space="preserve"> </v>
      </c>
      <c r="DZ385" s="361" t="str">
        <f t="shared" si="1064"/>
        <v xml:space="preserve"> </v>
      </c>
      <c r="EA385" s="362" t="str">
        <f t="shared" si="1065"/>
        <v xml:space="preserve"> </v>
      </c>
      <c r="EB385" s="624" t="str">
        <f t="shared" si="1170"/>
        <v xml:space="preserve"> </v>
      </c>
      <c r="EC385" s="361" t="e">
        <f ca="1">INDEX(INDIRECT(VLOOKUP(LEFT(BO385,7),CLU!$Z$3:$AH$18,7)),M385-1,4+LEFT(DZ385,1)*0.5)</f>
        <v>#N/A</v>
      </c>
      <c r="ED385" s="362" t="str">
        <f t="shared" si="1066"/>
        <v xml:space="preserve"> </v>
      </c>
      <c r="EE385" s="361" t="str">
        <f t="shared" si="1067"/>
        <v xml:space="preserve"> </v>
      </c>
      <c r="EF385" s="362" t="str">
        <f>IF(L385&gt;0,IF(BR385&gt;0,IF(EE385="2P",IF(Calculation!DZ385="2P",IF(Calculation!DS385=13.75,IF(Calculation!DR385=13,Worksheet!$BD$43,IF(Calculation!DR385=37,Worksheet!$BD$44,Worksheet!$BD$45)),IF(Calculation!DS385=10,IF(Calculation!DR385=18,Worksheet!$BD$29,IF(Calculation!DR385=30,Worksheet!$BD$30,IF(Calculation!DR385=42,Worksheet!$BD$31,IF(Calculation!DR385=54,Worksheet!$BD$32,IF(Calculation!DR385=66,Worksheet!$BD$33,IF(Calculation!DR385=78,Worksheet!$BD$34,IF(Calculation!DR385=90,Worksheet!$BD$35,IF(Calculation!DR385=102,Worksheet!$BD$36,Worksheet!$BD$37)))))))),IF(Calculation!DS385=12.5,IF(Calculation!DR385=18,Worksheet!$BD$38,IF(Calculation!DR385=Worksheet!$BD$39,IF(Calculation!DR385=42,Worksheet!$BD$40,IF(Calculation!DR385=54,Worksheet!$BD$41,Worksheet!$BD$42)))),IF(Calculation!DR385=18,Worksheet!$BD$11,IF(Calculation!DR385=30,Worksheet!$BD$12,IF(Calculation!DR385=42,Worksheet!$BD$13,IF(Calculation!DR385=54,Worksheet!$BD$14,IF(Calculation!DR385=66,Worksheet!$BD$15,IF(Calculation!DR385=78,Worksheet!$BD$16,IF(Calculation!DR385=90,Worksheet!$BD$17,IF(Calculation!DR385=102,Worksheet!$BD$18,Worksheet!$BD$19))))))))))),IF(Calculation!DS385=13.75,IF(Calculation!DR385=13,Worksheet!$BD$78,IF(Calculation!DR385=37,Worksheet!$BD$79,Worksheet!$BD$80)),IF(Calculation!DS385=10,IF(Calculation!DR385=18,Worksheet!$BD$64,IF(Calculation!DR385=30,Worksheet!$BD$65,IF(Calculation!DR385=42,Worksheet!$BD$66,IF(Calculation!DR385=54,Worksheet!$BD$68,IF(Calculation!DR385=66,Worksheet!$BD$68,IF(Calculation!DR385=78,Worksheet!$BD$69,IF(Calculation!DR385=90,Worksheet!$BD$70,IF(Calculation!DR385=102,Worksheet!$BD$71,Worksheet!$BD$72)))))))),IF(Calculation!DS385=12.5,IF(Calculation!DR385=18,Worksheet!$BD$73,IF(Calculation!DR385=Worksheet!$BD$74,IF(Calculation!DR385=42,Worksheet!$BD$75,IF(Calculation!DR385=54,Worksheet!$BD$76,Worksheet!$BD$77)))),IF(Calculation!DR385=18,Worksheet!$BD$55,IF(Calculation!DR385=30,Worksheet!$BD$56,IF(Calculation!DR385=42,Worksheet!$BD$57,IF(Calculation!DR385=54,Worksheet!$BD$58,IF(Calculation!DR385=66,Worksheet!$BD$59,IF(Calculation!DR385=78,Worksheet!$BD$60,IF(Calculation!DR385=90,Worksheet!$BD$61,IF(Calculation!DR385=102,Worksheet!$BD$62,Worksheet!$BD$63)))))))))))),5),0)," ")</f>
        <v xml:space="preserve"> </v>
      </c>
      <c r="EG385" s="361" t="str">
        <f t="shared" si="1068"/>
        <v xml:space="preserve"> </v>
      </c>
      <c r="EH385" s="361" t="e">
        <f ca="1">INDEX(INDIRECT(VLOOKUP(LEFT(BO385,7),CLU!$Z$3:$AH$18,7)),M385-1,3+LEFT(DZ385,1))</f>
        <v>#N/A</v>
      </c>
      <c r="EI385" s="362" t="str">
        <f t="shared" si="1069"/>
        <v xml:space="preserve"> </v>
      </c>
      <c r="EJ385" s="363" t="str">
        <f t="shared" si="1070"/>
        <v xml:space="preserve"> </v>
      </c>
      <c r="EK385" s="363" t="str">
        <f t="shared" si="1071"/>
        <v xml:space="preserve"> </v>
      </c>
      <c r="EL385" s="363" t="str">
        <f t="shared" si="1072"/>
        <v xml:space="preserve"> </v>
      </c>
      <c r="EM385" s="362" t="str">
        <f>IF(L385&gt;0,IF(BR385&gt;0,(Calculation!T385/ED385)^2,0)," ")</f>
        <v xml:space="preserve"> </v>
      </c>
      <c r="EN385" s="362" t="str">
        <f>IF(L385&gt;0,IF(O385="2 Pipe (Cooling)","N/A",IF(BR385&gt;0,(Calculation!U385/EI385)^2,0))," ")</f>
        <v xml:space="preserve"> </v>
      </c>
      <c r="EO385" s="361" t="str">
        <f t="shared" si="1073"/>
        <v/>
      </c>
      <c r="EP385" s="361" t="str">
        <f t="shared" si="1074"/>
        <v/>
      </c>
      <c r="EQ385" s="361" t="str">
        <f t="shared" si="1075"/>
        <v/>
      </c>
      <c r="ER385" s="361" t="str">
        <f t="shared" si="1076"/>
        <v/>
      </c>
      <c r="ES385" s="361" t="str">
        <f t="shared" si="1077"/>
        <v/>
      </c>
      <c r="ET385" s="361" t="str">
        <f t="shared" si="1078"/>
        <v/>
      </c>
      <c r="EU385" s="361" t="str">
        <f t="shared" si="1079"/>
        <v/>
      </c>
      <c r="EV385" s="361" t="str">
        <f t="shared" si="1080"/>
        <v/>
      </c>
      <c r="EW385" s="361" t="str">
        <f t="shared" si="1081"/>
        <v/>
      </c>
      <c r="EX385" s="361" t="str">
        <f t="shared" si="1171"/>
        <v>1 slot, 1 way</v>
      </c>
      <c r="EY385" s="361" t="str">
        <f t="shared" si="1172"/>
        <v xml:space="preserve"> </v>
      </c>
      <c r="EZ385" s="361" t="str">
        <f t="shared" si="1173"/>
        <v xml:space="preserve"> </v>
      </c>
      <c r="FA385" s="361" t="str">
        <f t="shared" si="1174"/>
        <v xml:space="preserve"> </v>
      </c>
      <c r="FB385" s="361" t="str">
        <f t="shared" si="1175"/>
        <v xml:space="preserve"> </v>
      </c>
      <c r="FC385" s="361"/>
      <c r="FD385" s="361" t="str">
        <f>IF(J385&gt;0,IF(Calculation!R385&lt;=70,4,IF(Calculation!R385&lt;=110,5,IF(Calculation!R385&lt;=160,6,IF(Calculation!R385&lt;=300,8,"10 EO")))),"")</f>
        <v/>
      </c>
      <c r="FE385" s="361" t="str">
        <f t="shared" si="1176"/>
        <v/>
      </c>
      <c r="FF385" s="361" t="str">
        <f t="shared" si="1177"/>
        <v/>
      </c>
      <c r="FG385" s="361" t="e">
        <f t="shared" si="1082"/>
        <v>#N/A</v>
      </c>
      <c r="FH385" s="361">
        <f t="shared" si="1083"/>
        <v>0</v>
      </c>
      <c r="FI385" s="361" t="e">
        <f t="shared" si="1084"/>
        <v>#DIV/0!</v>
      </c>
      <c r="FJ385" s="361"/>
      <c r="FK385" s="356" t="e">
        <f t="shared" si="1085"/>
        <v>#VALUE!</v>
      </c>
      <c r="FL385" s="361"/>
      <c r="FM385" s="361"/>
      <c r="FN385" s="362" t="str">
        <f t="shared" si="1178"/>
        <v xml:space="preserve"> </v>
      </c>
      <c r="FO385" s="362" t="str">
        <f t="shared" si="1179"/>
        <v xml:space="preserve"> </v>
      </c>
      <c r="FP385" s="362">
        <f t="shared" si="1180"/>
        <v>0</v>
      </c>
      <c r="FQ385" s="361">
        <f t="shared" si="1086"/>
        <v>0</v>
      </c>
      <c r="FR385" s="362" t="str">
        <f>IF(L385&gt;0,IF(J385="CBAL2",Worksheet!$P$67,IF(J385="CBE2-24",Worksheet!$Q$67,IF(J385="CBAM",Worksheet!$R$67,IF(J385="CBLV",Worksheet!$S$67,IF(J385="CBAB",Worksheet!$U$67,IF(J385="CBAW",Worksheet!$X$67,IF(J385="CBE2-12",Worksheet!$Y$67,IF(J385="CBAL2",Worksheet!$Z$67,"N/A"))))))))," ")</f>
        <v xml:space="preserve"> </v>
      </c>
      <c r="FS385" s="362" t="str">
        <f>IF(L385&gt;0,IF(J385="CBAL2",Worksheet!$P$68,IF(J385="CBE2-24",Worksheet!$Q$68,IF(J385="CBAM",Worksheet!$R$68,IF(J385="CBLV",Worksheet!$S$68,IF(J385="CBAB",Worksheet!$U$68,IF(J385="CBAW",Worksheet!$X$68,IF(J385="CBE2-12",Worksheet!$Y$68,IF(J385="CBAL2",Worksheet!$Z$68,"N/A"))))))))," ")</f>
        <v xml:space="preserve"> </v>
      </c>
      <c r="FT385" s="362" t="str">
        <f>IF(L385&gt;0,IF(J385="CBAL2",Worksheet!$P$69,IF(J385="CBE2-24",Worksheet!$Q$69,IF(J385="CBAM",Worksheet!$R$69,IF(J385="CBLV",Worksheet!$S$69,IF(J385="CBAB",Worksheet!$U$69,IF(J385="CBAW",Worksheet!$X$69,IF(J385="CBE2-12",Worksheet!$Y$69,IF(J385="CBAL2",Worksheet!$Z$69,"N/A"))))))))," ")</f>
        <v xml:space="preserve"> </v>
      </c>
      <c r="FU385" s="361" t="str">
        <f t="shared" si="1181"/>
        <v xml:space="preserve"> </v>
      </c>
      <c r="FV385" s="362" t="str">
        <f t="shared" si="1182"/>
        <v xml:space="preserve"> </v>
      </c>
      <c r="FW385" s="362" t="str">
        <f t="shared" si="1183"/>
        <v xml:space="preserve"> </v>
      </c>
      <c r="FX385" s="362" t="str">
        <f t="shared" si="1184"/>
        <v xml:space="preserve"> </v>
      </c>
      <c r="FY385" s="355" t="str">
        <f t="shared" si="1185"/>
        <v xml:space="preserve"> </v>
      </c>
      <c r="FZ385" s="361" t="str">
        <f t="shared" si="1186"/>
        <v xml:space="preserve"> </v>
      </c>
      <c r="GA385" s="347" t="str">
        <f t="shared" si="1187"/>
        <v xml:space="preserve"> </v>
      </c>
      <c r="GB385" s="355" t="str">
        <f t="shared" si="1188"/>
        <v xml:space="preserve"> </v>
      </c>
      <c r="GC385" s="328" t="str">
        <f t="shared" si="1189"/>
        <v xml:space="preserve"> </v>
      </c>
      <c r="GD385" s="361" t="str">
        <f t="shared" si="1190"/>
        <v xml:space="preserve"> </v>
      </c>
      <c r="GE385" s="347" t="str">
        <f t="shared" si="1191"/>
        <v xml:space="preserve"> </v>
      </c>
      <c r="GF385" s="361" t="str">
        <f t="shared" si="1192"/>
        <v xml:space="preserve"> </v>
      </c>
      <c r="GG385" s="347" t="str">
        <f t="shared" si="1193"/>
        <v xml:space="preserve"> </v>
      </c>
      <c r="GH385" s="364">
        <f t="shared" si="1087"/>
        <v>0</v>
      </c>
      <c r="GI385" s="362">
        <f t="shared" si="1194"/>
        <v>2</v>
      </c>
      <c r="GJ385" s="433" t="e">
        <f>IF(6-COUNTBLANK(GT385:GY385)=4,MATCH(MID(BO385,9,3),CLU!$H$16:$K$16),MATCH(MID(BO385,9,3),CLU!$H$13:$M$13))</f>
        <v>#N/A</v>
      </c>
      <c r="GK385" s="433" t="e">
        <f>HLOOKUP(VALUE(BP385),CLU!$H$9:$M$10,2)</f>
        <v>#VALUE!</v>
      </c>
      <c r="GL385" s="433" t="e">
        <f ca="1">MATCH(BU385,CLU!$H$2:$V$2,1)</f>
        <v>#VALUE!</v>
      </c>
      <c r="GM385" s="433" t="e">
        <f t="shared" ca="1" si="1195"/>
        <v>#VALUE!</v>
      </c>
      <c r="GN385" s="433" t="e">
        <f t="shared" ca="1" si="1196"/>
        <v>#VALUE!</v>
      </c>
      <c r="GO385" s="433" t="e">
        <f t="shared" ca="1" si="1197"/>
        <v>#VALUE!</v>
      </c>
      <c r="GP385" s="433" t="e">
        <f t="shared" ca="1" si="1198"/>
        <v>#VALUE!</v>
      </c>
      <c r="GQ385" s="433" t="e">
        <f t="shared" ca="1" si="1199"/>
        <v>#VALUE!</v>
      </c>
      <c r="GR385" s="433" t="e">
        <f ca="1">MATCH(T385,INDIRECT(VLOOKUP(CONCATENATE(LEFT(BO385,7),"-",MID(BO385,13,1)),CLU!$P$3:$Q$16,2)),1)</f>
        <v>#N/A</v>
      </c>
      <c r="GS385" s="433" t="e">
        <f ca="1">MATCH(U385,INDIRECT(VLOOKUP(CONCATENATE(LEFT(BO385,7),"-",MID(BO385,13,1)),CLU!$P$3:$Q$16,2)),1)</f>
        <v>#N/A</v>
      </c>
      <c r="GT385" s="347" t="s">
        <v>512</v>
      </c>
      <c r="GU385" s="97" t="s">
        <v>513</v>
      </c>
      <c r="GV385" s="97" t="str">
        <f t="shared" si="1200"/>
        <v>M23</v>
      </c>
      <c r="GW385" s="97" t="str">
        <f t="shared" si="1201"/>
        <v>M31</v>
      </c>
      <c r="GX385" s="97" t="str">
        <f t="shared" si="1202"/>
        <v/>
      </c>
      <c r="GY385" s="97" t="str">
        <f t="shared" si="1203"/>
        <v/>
      </c>
      <c r="GZ385" s="481"/>
      <c r="HA385" s="240"/>
      <c r="HB385" s="240"/>
      <c r="HC385" s="240"/>
      <c r="HD385" s="240"/>
      <c r="HE385" s="240"/>
      <c r="HF385" s="240"/>
      <c r="HG385" s="240"/>
      <c r="HH385" s="240"/>
      <c r="HI385" s="240"/>
      <c r="HJ385" s="240"/>
      <c r="HK385" s="240"/>
      <c r="HL385" s="240"/>
      <c r="HM385" s="240"/>
      <c r="HN385" s="240"/>
      <c r="HO385" s="240"/>
      <c r="HP385" s="240"/>
      <c r="HQ385" s="240"/>
      <c r="HR385" s="240"/>
      <c r="HS385" s="240"/>
      <c r="HT385" s="240"/>
      <c r="HU385" s="240"/>
      <c r="HV385" s="245"/>
      <c r="HW385" s="245" t="b">
        <v>1</v>
      </c>
      <c r="HX385" s="245" t="str">
        <f t="shared" si="1088"/>
        <v/>
      </c>
      <c r="HY385" s="245" t="e">
        <f t="shared" si="1089"/>
        <v>#DIV/0!</v>
      </c>
      <c r="HZ385" s="245" t="e">
        <f t="shared" si="1090"/>
        <v>#DIV/0!</v>
      </c>
      <c r="IA385" s="245">
        <f t="shared" si="1091"/>
        <v>0</v>
      </c>
      <c r="IB385" s="245"/>
      <c r="IC385" t="b">
        <f t="shared" si="1092"/>
        <v>1</v>
      </c>
      <c r="ID385" s="245" t="b">
        <f t="shared" si="1093"/>
        <v>1</v>
      </c>
      <c r="IE385" s="245" t="b">
        <f t="shared" si="1094"/>
        <v>1</v>
      </c>
      <c r="IF385" s="245" t="b">
        <f t="shared" si="1095"/>
        <v>0</v>
      </c>
      <c r="IG385" s="245" t="b">
        <f t="shared" si="1096"/>
        <v>1</v>
      </c>
      <c r="IH385" s="245" t="b">
        <f t="shared" si="1097"/>
        <v>1</v>
      </c>
      <c r="II385" s="245">
        <f t="shared" si="1204"/>
        <v>0</v>
      </c>
      <c r="IJ385" s="245" t="e">
        <f t="shared" si="1098"/>
        <v>#VALUE!</v>
      </c>
      <c r="IK385" s="245" t="e">
        <f t="shared" si="1099"/>
        <v>#VALUE!</v>
      </c>
      <c r="IL385" s="245"/>
      <c r="IM385" s="245" t="e">
        <f t="shared" si="1205"/>
        <v>#N/A</v>
      </c>
      <c r="IN385" s="245" t="e">
        <f t="shared" si="1206"/>
        <v>#N/A</v>
      </c>
      <c r="IO385" s="245"/>
      <c r="IP385" s="245"/>
      <c r="IQ385" s="245" t="str">
        <f t="shared" si="1100"/>
        <v/>
      </c>
      <c r="IR385" s="245" t="str">
        <f>IF(J385="","",VLOOKUP(J385,Worksheet!$R$4:$T$14,2))</f>
        <v/>
      </c>
      <c r="IS385" s="245"/>
      <c r="IT385" s="245">
        <f t="shared" si="1101"/>
        <v>0</v>
      </c>
      <c r="IU385" s="245">
        <f t="shared" si="1102"/>
        <v>0</v>
      </c>
      <c r="IV385" s="245">
        <f t="shared" si="1103"/>
        <v>0</v>
      </c>
      <c r="IW385" s="245">
        <f t="shared" si="1104"/>
        <v>0</v>
      </c>
      <c r="IX385" s="245">
        <f t="shared" si="1207"/>
        <v>0</v>
      </c>
      <c r="IY385" s="245">
        <f t="shared" si="1105"/>
        <v>0</v>
      </c>
      <c r="IZ385" s="245">
        <f t="shared" si="1106"/>
        <v>0</v>
      </c>
      <c r="JA385">
        <f t="shared" si="1107"/>
        <v>0</v>
      </c>
      <c r="JB385">
        <f t="shared" si="1208"/>
        <v>0</v>
      </c>
      <c r="JC385">
        <f t="shared" si="1108"/>
        <v>0</v>
      </c>
      <c r="JD385">
        <f t="shared" si="1109"/>
        <v>0</v>
      </c>
      <c r="JE385">
        <f t="shared" si="1110"/>
        <v>0</v>
      </c>
      <c r="JF385">
        <f t="shared" si="1111"/>
        <v>0</v>
      </c>
      <c r="JG385">
        <f t="shared" si="1112"/>
        <v>0</v>
      </c>
      <c r="JH385">
        <f t="shared" si="1113"/>
        <v>0</v>
      </c>
      <c r="JI385">
        <f t="shared" si="1114"/>
        <v>0</v>
      </c>
      <c r="JJ385" s="447">
        <f t="shared" si="1115"/>
        <v>0</v>
      </c>
      <c r="JK385" s="447">
        <f t="shared" si="1116"/>
        <v>0</v>
      </c>
      <c r="JL385">
        <f t="shared" si="1117"/>
        <v>0</v>
      </c>
      <c r="JM385" s="245" t="str">
        <f>IFERROR(VLOOKUP(MATCH(BN385,#REF!,0),#REF!,7),"")</f>
        <v/>
      </c>
      <c r="JN385" t="e">
        <f>HLOOKUP(LEFT(BO385,7),Discharge_Area,MATCH(JO385,LookUps!$B$130:$B$149,1)+2)</f>
        <v>#N/A</v>
      </c>
      <c r="JO385" t="str">
        <f t="shared" si="1118"/>
        <v>- S</v>
      </c>
      <c r="JP385" t="e">
        <f>HLOOKUP(LEFT(BO385,7),Discharge_Area,MATCH(JO385,LookUps!$B$130:$B$149,1)+2)</f>
        <v>#N/A</v>
      </c>
      <c r="JQ385" t="e">
        <f t="shared" si="1119"/>
        <v>#N/A</v>
      </c>
      <c r="JR385" t="e">
        <f t="shared" si="1120"/>
        <v>#N/A</v>
      </c>
      <c r="JS385" t="e">
        <f t="shared" si="1121"/>
        <v>#N/A</v>
      </c>
      <c r="JT385" s="532" t="str">
        <f t="shared" si="1122"/>
        <v xml:space="preserve"> </v>
      </c>
      <c r="JU385" s="532" t="str">
        <f t="shared" si="1123"/>
        <v xml:space="preserve"> </v>
      </c>
      <c r="JV385" s="533" t="str">
        <f t="shared" si="1124"/>
        <v xml:space="preserve"> </v>
      </c>
      <c r="JW385" s="534">
        <f t="shared" si="1125"/>
        <v>0</v>
      </c>
      <c r="JX385" s="535" t="str">
        <f t="shared" si="1209"/>
        <v xml:space="preserve"> </v>
      </c>
      <c r="JY385" s="535" t="str">
        <f t="shared" si="1210"/>
        <v xml:space="preserve"> </v>
      </c>
      <c r="JZ385" s="535" t="str">
        <f t="shared" si="1211"/>
        <v xml:space="preserve"> </v>
      </c>
      <c r="KA385" s="536" t="str">
        <f t="shared" si="1126"/>
        <v xml:space="preserve"> </v>
      </c>
      <c r="KB385" s="535" t="e">
        <f t="shared" si="1212"/>
        <v>#VALUE!</v>
      </c>
      <c r="KC385" s="535" t="str">
        <f t="shared" si="1127"/>
        <v/>
      </c>
      <c r="KD385" s="537" t="str">
        <f t="shared" si="1213"/>
        <v xml:space="preserve"> </v>
      </c>
      <c r="KE385" s="537" t="str">
        <f t="shared" si="1214"/>
        <v xml:space="preserve"> </v>
      </c>
      <c r="KF385" s="534">
        <f t="shared" si="1128"/>
        <v>0</v>
      </c>
      <c r="KG385" s="535" t="str">
        <f t="shared" si="1129"/>
        <v xml:space="preserve"> </v>
      </c>
      <c r="KH385" s="535" t="str">
        <f t="shared" si="1130"/>
        <v xml:space="preserve"> </v>
      </c>
      <c r="KI385" s="535" t="str">
        <f t="shared" si="1131"/>
        <v xml:space="preserve"> </v>
      </c>
      <c r="KJ385" s="536" t="str">
        <f t="shared" si="1132"/>
        <v xml:space="preserve"> </v>
      </c>
      <c r="KK385" s="535" t="str">
        <f t="shared" si="1215"/>
        <v xml:space="preserve"> </v>
      </c>
      <c r="KL385" s="535" t="str">
        <f t="shared" si="1216"/>
        <v xml:space="preserve"> </v>
      </c>
      <c r="KM385" s="537" t="str">
        <f t="shared" si="1133"/>
        <v xml:space="preserve"> </v>
      </c>
      <c r="KN385" s="537" t="str">
        <f t="shared" si="1217"/>
        <v xml:space="preserve"> </v>
      </c>
      <c r="KP385">
        <f t="shared" si="1134"/>
        <v>0</v>
      </c>
      <c r="LA385" t="e">
        <f t="shared" si="1135"/>
        <v>#VALUE!</v>
      </c>
      <c r="LB385" t="e">
        <f t="shared" si="1136"/>
        <v>#VALUE!</v>
      </c>
      <c r="LC385" t="e">
        <f t="shared" si="1137"/>
        <v>#VALUE!</v>
      </c>
      <c r="LD385" t="e">
        <f t="shared" si="1138"/>
        <v>#VALUE!</v>
      </c>
      <c r="LE385" t="e">
        <f t="shared" si="1218"/>
        <v>#VALUE!</v>
      </c>
      <c r="LF385">
        <f t="shared" si="1139"/>
        <v>0</v>
      </c>
      <c r="LG385" t="e">
        <f t="shared" si="1219"/>
        <v>#VALUE!</v>
      </c>
      <c r="LH385" t="str">
        <f t="shared" si="1140"/>
        <v xml:space="preserve"> </v>
      </c>
      <c r="LI385">
        <f t="shared" si="1220"/>
        <v>1</v>
      </c>
    </row>
    <row r="386" spans="2:321" ht="15" customHeight="1">
      <c r="B386" s="311"/>
      <c r="C386" s="311"/>
      <c r="D386" s="312"/>
      <c r="E386" s="311"/>
      <c r="F386" s="312"/>
      <c r="G386" s="311"/>
      <c r="H386" s="311"/>
      <c r="I386" s="232"/>
      <c r="J386" s="311"/>
      <c r="K386" s="305" t="str">
        <f t="shared" si="1141"/>
        <v/>
      </c>
      <c r="L386" s="313"/>
      <c r="M386" s="312"/>
      <c r="N386" s="311"/>
      <c r="O386" s="312"/>
      <c r="P386" s="311"/>
      <c r="Q386" s="305" t="str">
        <f t="shared" si="1142"/>
        <v/>
      </c>
      <c r="R386" s="314"/>
      <c r="S386" s="450" t="str">
        <f t="shared" si="1025"/>
        <v/>
      </c>
      <c r="T386" s="315"/>
      <c r="U386" s="315"/>
      <c r="W386" s="149" t="str">
        <f t="shared" si="1026"/>
        <v xml:space="preserve"> </v>
      </c>
      <c r="X386" s="243" t="str">
        <f t="shared" si="1027"/>
        <v xml:space="preserve"> </v>
      </c>
      <c r="Y386" s="150" t="str">
        <f t="shared" si="1028"/>
        <v/>
      </c>
      <c r="Z386" s="149" t="str">
        <f t="shared" si="1029"/>
        <v xml:space="preserve"> </v>
      </c>
      <c r="AA386" s="98" t="str">
        <f t="shared" si="1030"/>
        <v xml:space="preserve"> </v>
      </c>
      <c r="AB386" s="153" t="str">
        <f t="shared" si="1031"/>
        <v xml:space="preserve"> </v>
      </c>
      <c r="AC386" s="153" t="str">
        <f t="shared" si="1032"/>
        <v xml:space="preserve"> </v>
      </c>
      <c r="AD386" s="148" t="str">
        <f t="shared" si="1033"/>
        <v/>
      </c>
      <c r="AE386" s="149" t="str">
        <f t="shared" si="1034"/>
        <v/>
      </c>
      <c r="AF386" s="151" t="str">
        <f t="shared" si="1035"/>
        <v xml:space="preserve"> </v>
      </c>
      <c r="AG386" s="153" t="str">
        <f t="shared" si="1036"/>
        <v xml:space="preserve"> </v>
      </c>
      <c r="AH386" s="98" t="str">
        <f t="shared" si="1037"/>
        <v xml:space="preserve"> </v>
      </c>
      <c r="AI386" s="149" t="str">
        <f t="shared" si="1038"/>
        <v xml:space="preserve"> </v>
      </c>
      <c r="AK386" s="144" t="str">
        <f t="shared" si="1039"/>
        <v xml:space="preserve"> </v>
      </c>
      <c r="AL386" s="144"/>
      <c r="AM386" s="243" t="str">
        <f t="shared" si="1040"/>
        <v xml:space="preserve"> </v>
      </c>
      <c r="AN386" s="149" t="str">
        <f t="shared" si="1143"/>
        <v xml:space="preserve"> </v>
      </c>
      <c r="AO386" s="144" t="str">
        <f>IF(JB386&gt;0,IF(GI386=10,-R386*1.085*(Calculation!$F$6-Calculation!$F$13)*$S$14," "),"")</f>
        <v/>
      </c>
      <c r="AP386" s="144" t="str">
        <f t="shared" si="1041"/>
        <v/>
      </c>
      <c r="AQ386" s="56" t="str">
        <f t="shared" si="1042"/>
        <v/>
      </c>
      <c r="AR386" s="144" t="str">
        <f t="shared" si="1043"/>
        <v/>
      </c>
      <c r="AS386" s="176" t="str">
        <f t="shared" si="1044"/>
        <v/>
      </c>
      <c r="AT386" s="176" t="str">
        <f t="shared" si="1144"/>
        <v xml:space="preserve"> </v>
      </c>
      <c r="AU386" s="176" t="str">
        <f t="shared" si="1045"/>
        <v/>
      </c>
      <c r="AV386" s="177" t="str">
        <f t="shared" si="1046"/>
        <v xml:space="preserve"> </v>
      </c>
      <c r="AW386" s="144" t="str">
        <f t="shared" si="1047"/>
        <v xml:space="preserve"> </v>
      </c>
      <c r="AX386" s="144" t="str">
        <f t="shared" si="1048"/>
        <v xml:space="preserve"> </v>
      </c>
      <c r="AY386" s="152" t="str">
        <f t="shared" si="1049"/>
        <v xml:space="preserve"> </v>
      </c>
      <c r="AZ386" s="246" t="str">
        <f t="shared" si="1050"/>
        <v/>
      </c>
      <c r="BA386" s="176" t="str">
        <f t="shared" si="1051"/>
        <v xml:space="preserve"> </v>
      </c>
      <c r="BB386" s="176" t="str">
        <f t="shared" si="1052"/>
        <v xml:space="preserve"> </v>
      </c>
      <c r="BC386" s="195"/>
      <c r="BD386" s="316"/>
      <c r="BE386" s="317"/>
      <c r="BF386" s="318"/>
      <c r="BG386" s="318"/>
      <c r="BH386" s="144" t="str">
        <f t="shared" si="1221"/>
        <v xml:space="preserve"> </v>
      </c>
      <c r="BI386" s="176" t="str">
        <f t="shared" si="1053"/>
        <v/>
      </c>
      <c r="BJ386" s="144" t="str">
        <f t="shared" si="1222"/>
        <v/>
      </c>
      <c r="BK386" s="246" t="str">
        <f t="shared" si="1054"/>
        <v/>
      </c>
      <c r="BL386" s="144" t="str">
        <f t="shared" si="1223"/>
        <v/>
      </c>
      <c r="BM386" s="246" t="str">
        <f t="shared" si="1055"/>
        <v/>
      </c>
      <c r="BN386" s="337" t="str">
        <f t="shared" si="1145"/>
        <v/>
      </c>
      <c r="BO386" s="371" t="str">
        <f t="shared" si="1146"/>
        <v/>
      </c>
      <c r="BP386" s="328" t="str">
        <f t="shared" si="1224"/>
        <v xml:space="preserve"> </v>
      </c>
      <c r="BQ386" s="347" t="str">
        <f t="shared" si="1147"/>
        <v xml:space="preserve"> </v>
      </c>
      <c r="BR386" s="353" t="str">
        <f t="shared" si="1148"/>
        <v xml:space="preserve"> </v>
      </c>
      <c r="BS386" s="626" t="str">
        <f>IF(L386&gt;0,IF(Calculation!P386="M13",BR386*3.1416*(0.134^2)/(4*144),IF(Calculation!P386="M17",BR386*3.1416*(0.165^2)/(4*144),IF(Calculation!P386="M20",BR386*3.1416*(0.198^2)/(4*144),IF(Calculation!P386="M23",BR386*3.1416*(0.228^2)/(4*144),IF(Calculation!P386="M27",BR386*3.1416*(0.269^2)/(4*144),BR386*3.1416*(0.307^2)/(4*144))))))," ")</f>
        <v xml:space="preserve"> </v>
      </c>
      <c r="BT386" s="353" t="str">
        <f>IF(L386&gt;0,IF(BS386&gt;0,R386/Calculation!BS386,0)," ")</f>
        <v xml:space="preserve"> </v>
      </c>
      <c r="BU386" s="438" t="e">
        <f t="shared" ca="1" si="1056"/>
        <v>#VALUE!</v>
      </c>
      <c r="BV386" s="449" t="e">
        <f ca="1">INDEX(INDIRECT(VLOOKUP(LEFT(BO386,7),CLU!$Z$3:$AH$18,2)),GN386,GR386)</f>
        <v>#N/A</v>
      </c>
      <c r="BW386" s="433" t="e">
        <f ca="1">INDEX(INDIRECT(VLOOKUP(LEFT(BO386,7),CLU!$Z$3:$AH$18,3)),GN386,GR386)</f>
        <v>#N/A</v>
      </c>
      <c r="BX386" s="433" t="e">
        <f ca="1">INDEX(INDIRECT(VLOOKUP(LEFT(BO386,7),CLU!$Z$3:$AH$18,4)),GN386,GR386)</f>
        <v>#N/A</v>
      </c>
      <c r="BY386" s="433" t="e">
        <f ca="1">INDEX(INDIRECT(VLOOKUP(LEFT(BO386,7),CLU!$Z$3:$AH$18,9)),((M386-2)*(6-COUNTBLANK(GT386:GY386)))+GJ386)</f>
        <v>#N/A</v>
      </c>
      <c r="BZ386" s="426" t="e">
        <f t="shared" ca="1" si="1149"/>
        <v>#N/A</v>
      </c>
      <c r="CA386" s="424" t="e">
        <f t="shared" ca="1" si="1150"/>
        <v>#N/A</v>
      </c>
      <c r="CB386" s="429" t="e">
        <f ca="1">INDEX(INDIRECT(VLOOKUP(LEFT(BO386,7),CLU!$Z$3:$AH$18,2)),GN386,GS386)</f>
        <v>#N/A</v>
      </c>
      <c r="CC386" s="342" t="e">
        <f ca="1">INDEX(INDIRECT(VLOOKUP(LEFT(BO386,7),CLU!$Z$3:$AH$18,3)),GN386,GS386)</f>
        <v>#N/A</v>
      </c>
      <c r="CD386" s="342" t="e">
        <f ca="1">INDEX(INDIRECT(VLOOKUP(LEFT(BO386,7),CLU!$Z$3:$AH$18,4)),GN386,GS386)</f>
        <v>#N/A</v>
      </c>
      <c r="CE386" s="426" t="e">
        <f t="shared" ca="1" si="1151"/>
        <v>#N/A</v>
      </c>
      <c r="CF386" s="440">
        <f t="shared" si="1152"/>
        <v>0</v>
      </c>
      <c r="CG386" s="431" t="e">
        <f ca="1">INDEX(INDIRECT(VLOOKUP(LEFT(BO386,7),CLU!$Z$3:$AH$18,2)),GQ386,GR386)</f>
        <v>#N/A</v>
      </c>
      <c r="CH386" s="431" t="e">
        <f ca="1">INDEX(INDIRECT(VLOOKUP(LEFT(BO386,7),CLU!$Z$3:$AH$18,3)),GQ386,GR386)</f>
        <v>#N/A</v>
      </c>
      <c r="CI386" s="431" t="e">
        <f ca="1">INDEX(INDIRECT(VLOOKUP(LEFT(BO386,7),CLU!$Z$3:$AH$18,4)),GQ386,GR386)</f>
        <v>#N/A</v>
      </c>
      <c r="CJ386" s="448" t="e">
        <f t="shared" ca="1" si="1153"/>
        <v>#N/A</v>
      </c>
      <c r="CK386" s="431" t="e">
        <f t="shared" ca="1" si="1154"/>
        <v>#N/A</v>
      </c>
      <c r="CL386" s="440" t="e">
        <f t="shared" ca="1" si="1155"/>
        <v>#N/A</v>
      </c>
      <c r="CM386" s="431" t="e">
        <f ca="1">INDEX(INDIRECT(VLOOKUP(LEFT(BO386,7),CLU!$Z$3:$AH$18,2)),GQ386,GS386)</f>
        <v>#N/A</v>
      </c>
      <c r="CN386" s="431" t="e">
        <f ca="1">INDEX(INDIRECT(VLOOKUP(LEFT(BO386,7),CLU!$Z$3:$AH$18,3)),GQ386,GS386)</f>
        <v>#N/A</v>
      </c>
      <c r="CO386" s="431" t="e">
        <f ca="1">INDEX(INDIRECT(VLOOKUP(LEFT(BO386,7),CLU!$Z$3:$AH$18,4)),GQ386,GS386)</f>
        <v>#N/A</v>
      </c>
      <c r="CP386" s="431" t="e">
        <f t="shared" ca="1" si="1156"/>
        <v>#N/A</v>
      </c>
      <c r="CQ386" s="440">
        <f t="shared" si="1157"/>
        <v>0</v>
      </c>
      <c r="CR386" s="51" t="e">
        <f t="shared" ca="1" si="1158"/>
        <v>#N/A</v>
      </c>
      <c r="CS386" s="439" t="e">
        <f t="shared" ca="1" si="1159"/>
        <v>#VALUE!</v>
      </c>
      <c r="CT386" s="51" t="e">
        <f t="shared" ca="1" si="1160"/>
        <v>#VALUE!</v>
      </c>
      <c r="CU386" s="10"/>
      <c r="CV386" s="51" t="e">
        <f t="shared" ca="1" si="1057"/>
        <v>#VALUE!</v>
      </c>
      <c r="CW386" s="51">
        <f t="shared" si="1161"/>
        <v>0</v>
      </c>
      <c r="CX386" s="439" t="e">
        <f t="shared" ca="1" si="1162"/>
        <v>#VALUE!</v>
      </c>
      <c r="CY386" s="51" t="e">
        <f t="shared" ca="1" si="1163"/>
        <v>#VALUE!</v>
      </c>
      <c r="CZ386" s="10"/>
      <c r="DA386" s="51" t="e">
        <f t="shared" ca="1" si="1164"/>
        <v>#VALUE!</v>
      </c>
      <c r="DB386" s="347" t="e">
        <f ca="1">INDEX(INDIRECT(VLOOKUP(LEFT(BO386,7),CLU!$Z$3:$AI$18,10)),((M386-2)*(6-COUNTBLANK(GT386:GY386)))+GJ386)*LI386</f>
        <v>#N/A</v>
      </c>
      <c r="DC386" s="347" t="str">
        <f>IF(L386&gt;0,((R386/Worksheet!$I$15)/DB386)^2," ")</f>
        <v xml:space="preserve"> </v>
      </c>
      <c r="DD386" s="602" t="str">
        <f t="shared" si="1165"/>
        <v xml:space="preserve"> </v>
      </c>
      <c r="DE386" s="347" t="str">
        <f t="shared" si="1058"/>
        <v xml:space="preserve"> </v>
      </c>
      <c r="DF386" s="356" t="e">
        <f ca="1">INDEX(INDIRECT(VLOOKUP(LEFT(BO386,7),CLU!$Z$3:$AH$18,8)),((M386-2)*(6-COUNTBLANK(GT386:GY386)))+GJ386)</f>
        <v>#N/A</v>
      </c>
      <c r="DG386" s="347" t="str">
        <f t="shared" si="1059"/>
        <v xml:space="preserve"> </v>
      </c>
      <c r="DH386" s="357" t="str">
        <f t="shared" si="1060"/>
        <v xml:space="preserve"> </v>
      </c>
      <c r="DI386" s="355" t="str">
        <f t="shared" si="1061"/>
        <v xml:space="preserve"> </v>
      </c>
      <c r="DJ386" s="245" t="e">
        <f ca="1">INDEX(INDIRECT(VLOOKUP(LEFT(BO386,7),CLU!$Z$3:$AH$18,5)),GL386,GK386)</f>
        <v>#N/A</v>
      </c>
      <c r="DK386" s="245" t="e">
        <f ca="1">INDEX(INDIRECT(VLOOKUP(LEFT(BO386,7),CLU!$Z$3:$AH$18,6)),GL386,GK386)</f>
        <v>#N/A</v>
      </c>
      <c r="DL386" s="355">
        <f>(Calculation!R386*0.69143*(Calculation!$BQ$8-Calculation!$F$8))*$S$14</f>
        <v>0</v>
      </c>
      <c r="DM386" s="359" t="e">
        <f t="shared" si="1166"/>
        <v>#VALUE!</v>
      </c>
      <c r="DN386" s="611">
        <f t="shared" si="1167"/>
        <v>0</v>
      </c>
      <c r="DO386" s="359">
        <f t="shared" si="1168"/>
        <v>100</v>
      </c>
      <c r="DP386" s="359">
        <f t="shared" si="1169"/>
        <v>0</v>
      </c>
      <c r="DQ386" s="360"/>
      <c r="DR386" s="245" t="e">
        <f ca="1">INDEX(INDIRECT(VLOOKUP(LEFT(BO386,7),CLU!$Z$3:$AH$18,7)),M386-1,1)</f>
        <v>#N/A</v>
      </c>
      <c r="DS386" s="245" t="e">
        <f ca="1">INDEX(INDIRECT(VLOOKUP(LEFT(BO386,7),CLU!$Z$3:$AH$18,7)),M386-1,2)</f>
        <v>#N/A</v>
      </c>
      <c r="DT386" s="245" t="e">
        <f ca="1">INDEX(INDIRECT(VLOOKUP(LEFT(BO386,7),CLU!$Z$3:$AH$18,7)),M386-1,3)</f>
        <v>#N/A</v>
      </c>
      <c r="DU386" s="245" t="e">
        <f ca="1">INDEX(INDIRECT(VLOOKUP(LEFT(BO386,7),CLU!$Z$3:$AH$18,7)),M386-1,4)</f>
        <v>#N/A</v>
      </c>
      <c r="DV386" s="361" t="e">
        <f ca="1">INDEX(INDIRECT(VLOOKUP(LEFT(BO386,7),CLU!$Z$3:$AH$18,7)),M386-1,4+LEFT(DZ386,1)*0.5)</f>
        <v>#N/A</v>
      </c>
      <c r="DW386" s="245" t="e">
        <f ca="1">INDEX(INDIRECT(VLOOKUP(LEFT(BO386,7),CLU!$Z$3:$AH$18,7)),M386-1,8)</f>
        <v>#N/A</v>
      </c>
      <c r="DX386" s="361" t="str">
        <f t="shared" si="1062"/>
        <v xml:space="preserve"> </v>
      </c>
      <c r="DY386" s="361" t="str">
        <f t="shared" si="1063"/>
        <v xml:space="preserve"> </v>
      </c>
      <c r="DZ386" s="361" t="str">
        <f t="shared" si="1064"/>
        <v xml:space="preserve"> </v>
      </c>
      <c r="EA386" s="362" t="str">
        <f t="shared" si="1065"/>
        <v xml:space="preserve"> </v>
      </c>
      <c r="EB386" s="624" t="str">
        <f t="shared" si="1170"/>
        <v xml:space="preserve"> </v>
      </c>
      <c r="EC386" s="361" t="e">
        <f ca="1">INDEX(INDIRECT(VLOOKUP(LEFT(BO386,7),CLU!$Z$3:$AH$18,7)),M386-1,4+LEFT(DZ386,1)*0.5)</f>
        <v>#N/A</v>
      </c>
      <c r="ED386" s="362" t="str">
        <f t="shared" si="1066"/>
        <v xml:space="preserve"> </v>
      </c>
      <c r="EE386" s="361" t="str">
        <f t="shared" si="1067"/>
        <v xml:space="preserve"> </v>
      </c>
      <c r="EF386" s="362" t="str">
        <f>IF(L386&gt;0,IF(BR386&gt;0,IF(EE386="2P",IF(Calculation!DZ386="2P",IF(Calculation!DS386=13.75,IF(Calculation!DR386=13,Worksheet!$BD$43,IF(Calculation!DR386=37,Worksheet!$BD$44,Worksheet!$BD$45)),IF(Calculation!DS386=10,IF(Calculation!DR386=18,Worksheet!$BD$29,IF(Calculation!DR386=30,Worksheet!$BD$30,IF(Calculation!DR386=42,Worksheet!$BD$31,IF(Calculation!DR386=54,Worksheet!$BD$32,IF(Calculation!DR386=66,Worksheet!$BD$33,IF(Calculation!DR386=78,Worksheet!$BD$34,IF(Calculation!DR386=90,Worksheet!$BD$35,IF(Calculation!DR386=102,Worksheet!$BD$36,Worksheet!$BD$37)))))))),IF(Calculation!DS386=12.5,IF(Calculation!DR386=18,Worksheet!$BD$38,IF(Calculation!DR386=Worksheet!$BD$39,IF(Calculation!DR386=42,Worksheet!$BD$40,IF(Calculation!DR386=54,Worksheet!$BD$41,Worksheet!$BD$42)))),IF(Calculation!DR386=18,Worksheet!$BD$11,IF(Calculation!DR386=30,Worksheet!$BD$12,IF(Calculation!DR386=42,Worksheet!$BD$13,IF(Calculation!DR386=54,Worksheet!$BD$14,IF(Calculation!DR386=66,Worksheet!$BD$15,IF(Calculation!DR386=78,Worksheet!$BD$16,IF(Calculation!DR386=90,Worksheet!$BD$17,IF(Calculation!DR386=102,Worksheet!$BD$18,Worksheet!$BD$19))))))))))),IF(Calculation!DS386=13.75,IF(Calculation!DR386=13,Worksheet!$BD$78,IF(Calculation!DR386=37,Worksheet!$BD$79,Worksheet!$BD$80)),IF(Calculation!DS386=10,IF(Calculation!DR386=18,Worksheet!$BD$64,IF(Calculation!DR386=30,Worksheet!$BD$65,IF(Calculation!DR386=42,Worksheet!$BD$66,IF(Calculation!DR386=54,Worksheet!$BD$68,IF(Calculation!DR386=66,Worksheet!$BD$68,IF(Calculation!DR386=78,Worksheet!$BD$69,IF(Calculation!DR386=90,Worksheet!$BD$70,IF(Calculation!DR386=102,Worksheet!$BD$71,Worksheet!$BD$72)))))))),IF(Calculation!DS386=12.5,IF(Calculation!DR386=18,Worksheet!$BD$73,IF(Calculation!DR386=Worksheet!$BD$74,IF(Calculation!DR386=42,Worksheet!$BD$75,IF(Calculation!DR386=54,Worksheet!$BD$76,Worksheet!$BD$77)))),IF(Calculation!DR386=18,Worksheet!$BD$55,IF(Calculation!DR386=30,Worksheet!$BD$56,IF(Calculation!DR386=42,Worksheet!$BD$57,IF(Calculation!DR386=54,Worksheet!$BD$58,IF(Calculation!DR386=66,Worksheet!$BD$59,IF(Calculation!DR386=78,Worksheet!$BD$60,IF(Calculation!DR386=90,Worksheet!$BD$61,IF(Calculation!DR386=102,Worksheet!$BD$62,Worksheet!$BD$63)))))))))))),5),0)," ")</f>
        <v xml:space="preserve"> </v>
      </c>
      <c r="EG386" s="361" t="str">
        <f t="shared" si="1068"/>
        <v xml:space="preserve"> </v>
      </c>
      <c r="EH386" s="361" t="e">
        <f ca="1">INDEX(INDIRECT(VLOOKUP(LEFT(BO386,7),CLU!$Z$3:$AH$18,7)),M386-1,3+LEFT(DZ386,1))</f>
        <v>#N/A</v>
      </c>
      <c r="EI386" s="362" t="str">
        <f t="shared" si="1069"/>
        <v xml:space="preserve"> </v>
      </c>
      <c r="EJ386" s="363" t="str">
        <f t="shared" si="1070"/>
        <v xml:space="preserve"> </v>
      </c>
      <c r="EK386" s="363" t="str">
        <f t="shared" si="1071"/>
        <v xml:space="preserve"> </v>
      </c>
      <c r="EL386" s="363" t="str">
        <f t="shared" si="1072"/>
        <v xml:space="preserve"> </v>
      </c>
      <c r="EM386" s="362" t="str">
        <f>IF(L386&gt;0,IF(BR386&gt;0,(Calculation!T386/ED386)^2,0)," ")</f>
        <v xml:space="preserve"> </v>
      </c>
      <c r="EN386" s="362" t="str">
        <f>IF(L386&gt;0,IF(O386="2 Pipe (Cooling)","N/A",IF(BR386&gt;0,(Calculation!U386/EI386)^2,0))," ")</f>
        <v xml:space="preserve"> </v>
      </c>
      <c r="EO386" s="361" t="str">
        <f t="shared" si="1073"/>
        <v/>
      </c>
      <c r="EP386" s="361" t="str">
        <f t="shared" si="1074"/>
        <v/>
      </c>
      <c r="EQ386" s="361" t="str">
        <f t="shared" si="1075"/>
        <v/>
      </c>
      <c r="ER386" s="361" t="str">
        <f t="shared" si="1076"/>
        <v/>
      </c>
      <c r="ES386" s="361" t="str">
        <f t="shared" si="1077"/>
        <v/>
      </c>
      <c r="ET386" s="361" t="str">
        <f t="shared" si="1078"/>
        <v/>
      </c>
      <c r="EU386" s="361" t="str">
        <f t="shared" si="1079"/>
        <v/>
      </c>
      <c r="EV386" s="361" t="str">
        <f t="shared" si="1080"/>
        <v/>
      </c>
      <c r="EW386" s="361" t="str">
        <f t="shared" si="1081"/>
        <v/>
      </c>
      <c r="EX386" s="361" t="str">
        <f t="shared" si="1171"/>
        <v>1 slot, 1 way</v>
      </c>
      <c r="EY386" s="361" t="str">
        <f t="shared" si="1172"/>
        <v xml:space="preserve"> </v>
      </c>
      <c r="EZ386" s="361" t="str">
        <f t="shared" si="1173"/>
        <v xml:space="preserve"> </v>
      </c>
      <c r="FA386" s="361" t="str">
        <f t="shared" si="1174"/>
        <v xml:space="preserve"> </v>
      </c>
      <c r="FB386" s="361" t="str">
        <f t="shared" si="1175"/>
        <v xml:space="preserve"> </v>
      </c>
      <c r="FC386" s="361"/>
      <c r="FD386" s="361" t="str">
        <f>IF(J386&gt;0,IF(Calculation!R386&lt;=70,4,IF(Calculation!R386&lt;=110,5,IF(Calculation!R386&lt;=160,6,IF(Calculation!R386&lt;=300,8,"10 EO")))),"")</f>
        <v/>
      </c>
      <c r="FE386" s="361" t="str">
        <f t="shared" si="1176"/>
        <v/>
      </c>
      <c r="FF386" s="361" t="str">
        <f t="shared" si="1177"/>
        <v/>
      </c>
      <c r="FG386" s="361" t="e">
        <f t="shared" si="1082"/>
        <v>#N/A</v>
      </c>
      <c r="FH386" s="361">
        <f t="shared" si="1083"/>
        <v>0</v>
      </c>
      <c r="FI386" s="361" t="e">
        <f t="shared" si="1084"/>
        <v>#DIV/0!</v>
      </c>
      <c r="FJ386" s="361"/>
      <c r="FK386" s="356" t="e">
        <f t="shared" si="1085"/>
        <v>#VALUE!</v>
      </c>
      <c r="FL386" s="361"/>
      <c r="FM386" s="361"/>
      <c r="FN386" s="362" t="str">
        <f t="shared" si="1178"/>
        <v xml:space="preserve"> </v>
      </c>
      <c r="FO386" s="362" t="str">
        <f t="shared" si="1179"/>
        <v xml:space="preserve"> </v>
      </c>
      <c r="FP386" s="362">
        <f t="shared" si="1180"/>
        <v>0</v>
      </c>
      <c r="FQ386" s="361">
        <f t="shared" si="1086"/>
        <v>0</v>
      </c>
      <c r="FR386" s="362" t="str">
        <f>IF(L386&gt;0,IF(J386="CBAL2",Worksheet!$P$67,IF(J386="CBE2-24",Worksheet!$Q$67,IF(J386="CBAM",Worksheet!$R$67,IF(J386="CBLV",Worksheet!$S$67,IF(J386="CBAB",Worksheet!$U$67,IF(J386="CBAW",Worksheet!$X$67,IF(J386="CBE2-12",Worksheet!$Y$67,IF(J386="CBAL2",Worksheet!$Z$67,"N/A"))))))))," ")</f>
        <v xml:space="preserve"> </v>
      </c>
      <c r="FS386" s="362" t="str">
        <f>IF(L386&gt;0,IF(J386="CBAL2",Worksheet!$P$68,IF(J386="CBE2-24",Worksheet!$Q$68,IF(J386="CBAM",Worksheet!$R$68,IF(J386="CBLV",Worksheet!$S$68,IF(J386="CBAB",Worksheet!$U$68,IF(J386="CBAW",Worksheet!$X$68,IF(J386="CBE2-12",Worksheet!$Y$68,IF(J386="CBAL2",Worksheet!$Z$68,"N/A"))))))))," ")</f>
        <v xml:space="preserve"> </v>
      </c>
      <c r="FT386" s="362" t="str">
        <f>IF(L386&gt;0,IF(J386="CBAL2",Worksheet!$P$69,IF(J386="CBE2-24",Worksheet!$Q$69,IF(J386="CBAM",Worksheet!$R$69,IF(J386="CBLV",Worksheet!$S$69,IF(J386="CBAB",Worksheet!$U$69,IF(J386="CBAW",Worksheet!$X$69,IF(J386="CBE2-12",Worksheet!$Y$69,IF(J386="CBAL2",Worksheet!$Z$69,"N/A"))))))))," ")</f>
        <v xml:space="preserve"> </v>
      </c>
      <c r="FU386" s="361" t="str">
        <f t="shared" si="1181"/>
        <v xml:space="preserve"> </v>
      </c>
      <c r="FV386" s="362" t="str">
        <f t="shared" si="1182"/>
        <v xml:space="preserve"> </v>
      </c>
      <c r="FW386" s="362" t="str">
        <f t="shared" si="1183"/>
        <v xml:space="preserve"> </v>
      </c>
      <c r="FX386" s="362" t="str">
        <f t="shared" si="1184"/>
        <v xml:space="preserve"> </v>
      </c>
      <c r="FY386" s="355" t="str">
        <f t="shared" si="1185"/>
        <v xml:space="preserve"> </v>
      </c>
      <c r="FZ386" s="361" t="str">
        <f t="shared" si="1186"/>
        <v xml:space="preserve"> </v>
      </c>
      <c r="GA386" s="347" t="str">
        <f t="shared" si="1187"/>
        <v xml:space="preserve"> </v>
      </c>
      <c r="GB386" s="355" t="str">
        <f t="shared" si="1188"/>
        <v xml:space="preserve"> </v>
      </c>
      <c r="GC386" s="328" t="str">
        <f t="shared" si="1189"/>
        <v xml:space="preserve"> </v>
      </c>
      <c r="GD386" s="361" t="str">
        <f t="shared" si="1190"/>
        <v xml:space="preserve"> </v>
      </c>
      <c r="GE386" s="347" t="str">
        <f t="shared" si="1191"/>
        <v xml:space="preserve"> </v>
      </c>
      <c r="GF386" s="361" t="str">
        <f t="shared" si="1192"/>
        <v xml:space="preserve"> </v>
      </c>
      <c r="GG386" s="347" t="str">
        <f t="shared" si="1193"/>
        <v xml:space="preserve"> </v>
      </c>
      <c r="GH386" s="364">
        <f t="shared" si="1087"/>
        <v>0</v>
      </c>
      <c r="GI386" s="362">
        <f t="shared" si="1194"/>
        <v>2</v>
      </c>
      <c r="GJ386" s="433" t="e">
        <f>IF(6-COUNTBLANK(GT386:GY386)=4,MATCH(MID(BO386,9,3),CLU!$H$16:$K$16),MATCH(MID(BO386,9,3),CLU!$H$13:$M$13))</f>
        <v>#N/A</v>
      </c>
      <c r="GK386" s="433" t="e">
        <f>HLOOKUP(VALUE(BP386),CLU!$H$9:$M$10,2)</f>
        <v>#VALUE!</v>
      </c>
      <c r="GL386" s="433" t="e">
        <f ca="1">MATCH(BU386,CLU!$H$2:$V$2,1)</f>
        <v>#VALUE!</v>
      </c>
      <c r="GM386" s="433" t="e">
        <f t="shared" ca="1" si="1195"/>
        <v>#VALUE!</v>
      </c>
      <c r="GN386" s="433" t="e">
        <f t="shared" ca="1" si="1196"/>
        <v>#VALUE!</v>
      </c>
      <c r="GO386" s="433" t="e">
        <f t="shared" ca="1" si="1197"/>
        <v>#VALUE!</v>
      </c>
      <c r="GP386" s="433" t="e">
        <f t="shared" ca="1" si="1198"/>
        <v>#VALUE!</v>
      </c>
      <c r="GQ386" s="433" t="e">
        <f t="shared" ca="1" si="1199"/>
        <v>#VALUE!</v>
      </c>
      <c r="GR386" s="433" t="e">
        <f ca="1">MATCH(T386,INDIRECT(VLOOKUP(CONCATENATE(LEFT(BO386,7),"-",MID(BO386,13,1)),CLU!$P$3:$Q$16,2)),1)</f>
        <v>#N/A</v>
      </c>
      <c r="GS386" s="433" t="e">
        <f ca="1">MATCH(U386,INDIRECT(VLOOKUP(CONCATENATE(LEFT(BO386,7),"-",MID(BO386,13,1)),CLU!$P$3:$Q$16,2)),1)</f>
        <v>#N/A</v>
      </c>
      <c r="GT386" s="347" t="s">
        <v>512</v>
      </c>
      <c r="GU386" s="97" t="s">
        <v>513</v>
      </c>
      <c r="GV386" s="97" t="str">
        <f t="shared" si="1200"/>
        <v>M23</v>
      </c>
      <c r="GW386" s="97" t="str">
        <f t="shared" si="1201"/>
        <v>M31</v>
      </c>
      <c r="GX386" s="97" t="str">
        <f t="shared" si="1202"/>
        <v/>
      </c>
      <c r="GY386" s="97" t="str">
        <f t="shared" si="1203"/>
        <v/>
      </c>
      <c r="GZ386" s="481"/>
      <c r="HA386" s="240"/>
      <c r="HB386" s="240"/>
      <c r="HC386" s="240"/>
      <c r="HD386" s="240"/>
      <c r="HE386" s="240"/>
      <c r="HF386" s="240"/>
      <c r="HG386" s="240"/>
      <c r="HH386" s="240"/>
      <c r="HI386" s="240"/>
      <c r="HJ386" s="240"/>
      <c r="HK386" s="240"/>
      <c r="HL386" s="240"/>
      <c r="HM386" s="240"/>
      <c r="HN386" s="240"/>
      <c r="HO386" s="240"/>
      <c r="HP386" s="240"/>
      <c r="HQ386" s="240"/>
      <c r="HR386" s="240"/>
      <c r="HS386" s="240"/>
      <c r="HT386" s="240"/>
      <c r="HU386" s="240"/>
      <c r="HV386" s="245"/>
      <c r="HW386" s="245" t="b">
        <v>1</v>
      </c>
      <c r="HX386" s="245" t="str">
        <f t="shared" si="1088"/>
        <v/>
      </c>
      <c r="HY386" s="245" t="e">
        <f t="shared" si="1089"/>
        <v>#DIV/0!</v>
      </c>
      <c r="HZ386" s="245" t="e">
        <f t="shared" si="1090"/>
        <v>#DIV/0!</v>
      </c>
      <c r="IA386" s="245">
        <f t="shared" si="1091"/>
        <v>0</v>
      </c>
      <c r="IB386" s="245"/>
      <c r="IC386" t="b">
        <f t="shared" si="1092"/>
        <v>1</v>
      </c>
      <c r="ID386" s="245" t="b">
        <f t="shared" si="1093"/>
        <v>1</v>
      </c>
      <c r="IE386" s="245" t="b">
        <f t="shared" si="1094"/>
        <v>1</v>
      </c>
      <c r="IF386" s="245" t="b">
        <f t="shared" si="1095"/>
        <v>0</v>
      </c>
      <c r="IG386" s="245" t="b">
        <f t="shared" si="1096"/>
        <v>1</v>
      </c>
      <c r="IH386" s="245" t="b">
        <f t="shared" si="1097"/>
        <v>1</v>
      </c>
      <c r="II386" s="245">
        <f t="shared" si="1204"/>
        <v>0</v>
      </c>
      <c r="IJ386" s="245" t="e">
        <f t="shared" si="1098"/>
        <v>#VALUE!</v>
      </c>
      <c r="IK386" s="245" t="e">
        <f t="shared" si="1099"/>
        <v>#VALUE!</v>
      </c>
      <c r="IL386" s="245"/>
      <c r="IM386" s="245" t="e">
        <f t="shared" si="1205"/>
        <v>#N/A</v>
      </c>
      <c r="IN386" s="245" t="e">
        <f t="shared" si="1206"/>
        <v>#N/A</v>
      </c>
      <c r="IO386" s="245"/>
      <c r="IP386" s="245"/>
      <c r="IQ386" s="245" t="str">
        <f t="shared" si="1100"/>
        <v/>
      </c>
      <c r="IR386" s="245" t="str">
        <f>IF(J386="","",VLOOKUP(J386,Worksheet!$R$4:$T$14,2))</f>
        <v/>
      </c>
      <c r="IS386" s="245"/>
      <c r="IT386" s="245">
        <f t="shared" si="1101"/>
        <v>0</v>
      </c>
      <c r="IU386" s="245">
        <f t="shared" si="1102"/>
        <v>0</v>
      </c>
      <c r="IV386" s="245">
        <f t="shared" si="1103"/>
        <v>0</v>
      </c>
      <c r="IW386" s="245">
        <f t="shared" si="1104"/>
        <v>0</v>
      </c>
      <c r="IX386" s="245">
        <f t="shared" si="1207"/>
        <v>0</v>
      </c>
      <c r="IY386" s="245">
        <f t="shared" si="1105"/>
        <v>0</v>
      </c>
      <c r="IZ386" s="245">
        <f t="shared" si="1106"/>
        <v>0</v>
      </c>
      <c r="JA386">
        <f t="shared" si="1107"/>
        <v>0</v>
      </c>
      <c r="JB386">
        <f t="shared" si="1208"/>
        <v>0</v>
      </c>
      <c r="JC386">
        <f t="shared" si="1108"/>
        <v>0</v>
      </c>
      <c r="JD386">
        <f t="shared" si="1109"/>
        <v>0</v>
      </c>
      <c r="JE386">
        <f t="shared" si="1110"/>
        <v>0</v>
      </c>
      <c r="JF386">
        <f t="shared" si="1111"/>
        <v>0</v>
      </c>
      <c r="JG386">
        <f t="shared" si="1112"/>
        <v>0</v>
      </c>
      <c r="JH386">
        <f t="shared" si="1113"/>
        <v>0</v>
      </c>
      <c r="JI386">
        <f t="shared" si="1114"/>
        <v>0</v>
      </c>
      <c r="JJ386" s="447">
        <f t="shared" si="1115"/>
        <v>0</v>
      </c>
      <c r="JK386" s="447">
        <f t="shared" si="1116"/>
        <v>0</v>
      </c>
      <c r="JL386">
        <f t="shared" si="1117"/>
        <v>0</v>
      </c>
      <c r="JM386" s="245" t="str">
        <f>IFERROR(VLOOKUP(MATCH(BN386,#REF!,0),#REF!,7),"")</f>
        <v/>
      </c>
      <c r="JN386" t="e">
        <f>HLOOKUP(LEFT(BO386,7),Discharge_Area,MATCH(JO386,LookUps!$B$130:$B$149,1)+2)</f>
        <v>#N/A</v>
      </c>
      <c r="JO386" t="str">
        <f t="shared" si="1118"/>
        <v>- S</v>
      </c>
      <c r="JP386" t="e">
        <f>HLOOKUP(LEFT(BO386,7),Discharge_Area,MATCH(JO386,LookUps!$B$130:$B$149,1)+2)</f>
        <v>#N/A</v>
      </c>
      <c r="JQ386" t="e">
        <f t="shared" si="1119"/>
        <v>#N/A</v>
      </c>
      <c r="JR386" t="e">
        <f t="shared" si="1120"/>
        <v>#N/A</v>
      </c>
      <c r="JS386" t="e">
        <f t="shared" si="1121"/>
        <v>#N/A</v>
      </c>
      <c r="JT386" s="532" t="str">
        <f t="shared" si="1122"/>
        <v xml:space="preserve"> </v>
      </c>
      <c r="JU386" s="532" t="str">
        <f t="shared" si="1123"/>
        <v xml:space="preserve"> </v>
      </c>
      <c r="JV386" s="533" t="str">
        <f t="shared" si="1124"/>
        <v xml:space="preserve"> </v>
      </c>
      <c r="JW386" s="534">
        <f t="shared" si="1125"/>
        <v>0</v>
      </c>
      <c r="JX386" s="535" t="str">
        <f t="shared" si="1209"/>
        <v xml:space="preserve"> </v>
      </c>
      <c r="JY386" s="535" t="str">
        <f t="shared" si="1210"/>
        <v xml:space="preserve"> </v>
      </c>
      <c r="JZ386" s="535" t="str">
        <f t="shared" si="1211"/>
        <v xml:space="preserve"> </v>
      </c>
      <c r="KA386" s="536" t="str">
        <f t="shared" si="1126"/>
        <v xml:space="preserve"> </v>
      </c>
      <c r="KB386" s="535" t="e">
        <f t="shared" si="1212"/>
        <v>#VALUE!</v>
      </c>
      <c r="KC386" s="535" t="str">
        <f t="shared" si="1127"/>
        <v/>
      </c>
      <c r="KD386" s="537" t="str">
        <f t="shared" si="1213"/>
        <v xml:space="preserve"> </v>
      </c>
      <c r="KE386" s="537" t="str">
        <f t="shared" si="1214"/>
        <v xml:space="preserve"> </v>
      </c>
      <c r="KF386" s="534">
        <f t="shared" si="1128"/>
        <v>0</v>
      </c>
      <c r="KG386" s="535" t="str">
        <f t="shared" si="1129"/>
        <v xml:space="preserve"> </v>
      </c>
      <c r="KH386" s="535" t="str">
        <f t="shared" si="1130"/>
        <v xml:space="preserve"> </v>
      </c>
      <c r="KI386" s="535" t="str">
        <f t="shared" si="1131"/>
        <v xml:space="preserve"> </v>
      </c>
      <c r="KJ386" s="536" t="str">
        <f t="shared" si="1132"/>
        <v xml:space="preserve"> </v>
      </c>
      <c r="KK386" s="535" t="str">
        <f t="shared" si="1215"/>
        <v xml:space="preserve"> </v>
      </c>
      <c r="KL386" s="535" t="str">
        <f t="shared" si="1216"/>
        <v xml:space="preserve"> </v>
      </c>
      <c r="KM386" s="537" t="str">
        <f t="shared" si="1133"/>
        <v xml:space="preserve"> </v>
      </c>
      <c r="KN386" s="537" t="str">
        <f t="shared" si="1217"/>
        <v xml:space="preserve"> </v>
      </c>
      <c r="KP386">
        <f t="shared" si="1134"/>
        <v>0</v>
      </c>
      <c r="LA386" t="e">
        <f t="shared" si="1135"/>
        <v>#VALUE!</v>
      </c>
      <c r="LB386" t="e">
        <f t="shared" si="1136"/>
        <v>#VALUE!</v>
      </c>
      <c r="LC386" t="e">
        <f t="shared" si="1137"/>
        <v>#VALUE!</v>
      </c>
      <c r="LD386" t="e">
        <f t="shared" si="1138"/>
        <v>#VALUE!</v>
      </c>
      <c r="LE386" t="e">
        <f t="shared" si="1218"/>
        <v>#VALUE!</v>
      </c>
      <c r="LF386">
        <f t="shared" si="1139"/>
        <v>0</v>
      </c>
      <c r="LG386" t="e">
        <f t="shared" si="1219"/>
        <v>#VALUE!</v>
      </c>
      <c r="LH386" t="str">
        <f t="shared" si="1140"/>
        <v xml:space="preserve"> </v>
      </c>
      <c r="LI386">
        <f t="shared" si="1220"/>
        <v>1</v>
      </c>
    </row>
    <row r="387" spans="2:321" ht="15" customHeight="1">
      <c r="B387" s="311"/>
      <c r="C387" s="311"/>
      <c r="D387" s="312"/>
      <c r="E387" s="311"/>
      <c r="F387" s="312"/>
      <c r="G387" s="311"/>
      <c r="H387" s="311"/>
      <c r="I387" s="232"/>
      <c r="J387" s="311"/>
      <c r="K387" s="305" t="str">
        <f t="shared" si="1141"/>
        <v/>
      </c>
      <c r="L387" s="313"/>
      <c r="M387" s="312"/>
      <c r="N387" s="311"/>
      <c r="O387" s="312"/>
      <c r="P387" s="311"/>
      <c r="Q387" s="305" t="str">
        <f t="shared" si="1142"/>
        <v/>
      </c>
      <c r="R387" s="314"/>
      <c r="S387" s="450" t="str">
        <f t="shared" si="1025"/>
        <v/>
      </c>
      <c r="T387" s="315"/>
      <c r="U387" s="315"/>
      <c r="W387" s="149" t="str">
        <f t="shared" si="1026"/>
        <v xml:space="preserve"> </v>
      </c>
      <c r="X387" s="243" t="str">
        <f t="shared" si="1027"/>
        <v xml:space="preserve"> </v>
      </c>
      <c r="Y387" s="150" t="str">
        <f t="shared" si="1028"/>
        <v/>
      </c>
      <c r="Z387" s="149" t="str">
        <f t="shared" si="1029"/>
        <v xml:space="preserve"> </v>
      </c>
      <c r="AA387" s="98" t="str">
        <f t="shared" si="1030"/>
        <v xml:space="preserve"> </v>
      </c>
      <c r="AB387" s="153" t="str">
        <f t="shared" si="1031"/>
        <v xml:space="preserve"> </v>
      </c>
      <c r="AC387" s="153" t="str">
        <f t="shared" si="1032"/>
        <v xml:space="preserve"> </v>
      </c>
      <c r="AD387" s="148" t="str">
        <f t="shared" si="1033"/>
        <v/>
      </c>
      <c r="AE387" s="149" t="str">
        <f t="shared" si="1034"/>
        <v/>
      </c>
      <c r="AF387" s="151" t="str">
        <f t="shared" si="1035"/>
        <v xml:space="preserve"> </v>
      </c>
      <c r="AG387" s="153" t="str">
        <f t="shared" si="1036"/>
        <v xml:space="preserve"> </v>
      </c>
      <c r="AH387" s="98" t="str">
        <f t="shared" si="1037"/>
        <v xml:space="preserve"> </v>
      </c>
      <c r="AI387" s="149" t="str">
        <f t="shared" si="1038"/>
        <v xml:space="preserve"> </v>
      </c>
      <c r="AK387" s="144" t="str">
        <f t="shared" si="1039"/>
        <v xml:space="preserve"> </v>
      </c>
      <c r="AL387" s="144"/>
      <c r="AM387" s="243" t="str">
        <f t="shared" si="1040"/>
        <v xml:space="preserve"> </v>
      </c>
      <c r="AN387" s="149" t="str">
        <f t="shared" si="1143"/>
        <v xml:space="preserve"> </v>
      </c>
      <c r="AO387" s="144" t="str">
        <f>IF(JB387&gt;0,IF(GI387=10,-R387*1.085*(Calculation!$F$6-Calculation!$F$13)*$S$14," "),"")</f>
        <v/>
      </c>
      <c r="AP387" s="144" t="str">
        <f t="shared" si="1041"/>
        <v/>
      </c>
      <c r="AQ387" s="56" t="str">
        <f t="shared" si="1042"/>
        <v/>
      </c>
      <c r="AR387" s="144" t="str">
        <f t="shared" si="1043"/>
        <v/>
      </c>
      <c r="AS387" s="176" t="str">
        <f t="shared" si="1044"/>
        <v/>
      </c>
      <c r="AT387" s="176" t="str">
        <f t="shared" si="1144"/>
        <v xml:space="preserve"> </v>
      </c>
      <c r="AU387" s="176" t="str">
        <f t="shared" si="1045"/>
        <v/>
      </c>
      <c r="AV387" s="177" t="str">
        <f t="shared" si="1046"/>
        <v xml:space="preserve"> </v>
      </c>
      <c r="AW387" s="144" t="str">
        <f t="shared" si="1047"/>
        <v xml:space="preserve"> </v>
      </c>
      <c r="AX387" s="144" t="str">
        <f t="shared" si="1048"/>
        <v xml:space="preserve"> </v>
      </c>
      <c r="AY387" s="152" t="str">
        <f t="shared" si="1049"/>
        <v xml:space="preserve"> </v>
      </c>
      <c r="AZ387" s="246" t="str">
        <f t="shared" si="1050"/>
        <v/>
      </c>
      <c r="BA387" s="176" t="str">
        <f t="shared" si="1051"/>
        <v xml:space="preserve"> </v>
      </c>
      <c r="BB387" s="176" t="str">
        <f t="shared" si="1052"/>
        <v xml:space="preserve"> </v>
      </c>
      <c r="BC387" s="195"/>
      <c r="BD387" s="316"/>
      <c r="BE387" s="317"/>
      <c r="BF387" s="318"/>
      <c r="BG387" s="318"/>
      <c r="BH387" s="144" t="str">
        <f t="shared" si="1221"/>
        <v xml:space="preserve"> </v>
      </c>
      <c r="BI387" s="176" t="str">
        <f t="shared" si="1053"/>
        <v/>
      </c>
      <c r="BJ387" s="144" t="str">
        <f t="shared" si="1222"/>
        <v/>
      </c>
      <c r="BK387" s="246" t="str">
        <f t="shared" si="1054"/>
        <v/>
      </c>
      <c r="BL387" s="144" t="str">
        <f t="shared" si="1223"/>
        <v/>
      </c>
      <c r="BM387" s="246" t="str">
        <f t="shared" si="1055"/>
        <v/>
      </c>
      <c r="BN387" s="337" t="str">
        <f t="shared" si="1145"/>
        <v/>
      </c>
      <c r="BO387" s="371" t="str">
        <f t="shared" si="1146"/>
        <v/>
      </c>
      <c r="BP387" s="328" t="str">
        <f t="shared" si="1224"/>
        <v xml:space="preserve"> </v>
      </c>
      <c r="BQ387" s="347" t="str">
        <f t="shared" si="1147"/>
        <v xml:space="preserve"> </v>
      </c>
      <c r="BR387" s="353" t="str">
        <f t="shared" si="1148"/>
        <v xml:space="preserve"> </v>
      </c>
      <c r="BS387" s="626" t="str">
        <f>IF(L387&gt;0,IF(Calculation!P387="M13",BR387*3.1416*(0.134^2)/(4*144),IF(Calculation!P387="M17",BR387*3.1416*(0.165^2)/(4*144),IF(Calculation!P387="M20",BR387*3.1416*(0.198^2)/(4*144),IF(Calculation!P387="M23",BR387*3.1416*(0.228^2)/(4*144),IF(Calculation!P387="M27",BR387*3.1416*(0.269^2)/(4*144),BR387*3.1416*(0.307^2)/(4*144))))))," ")</f>
        <v xml:space="preserve"> </v>
      </c>
      <c r="BT387" s="353" t="str">
        <f>IF(L387&gt;0,IF(BS387&gt;0,R387/Calculation!BS387,0)," ")</f>
        <v xml:space="preserve"> </v>
      </c>
      <c r="BU387" s="438" t="e">
        <f t="shared" ca="1" si="1056"/>
        <v>#VALUE!</v>
      </c>
      <c r="BV387" s="449" t="e">
        <f ca="1">INDEX(INDIRECT(VLOOKUP(LEFT(BO387,7),CLU!$Z$3:$AH$18,2)),GN387,GR387)</f>
        <v>#N/A</v>
      </c>
      <c r="BW387" s="433" t="e">
        <f ca="1">INDEX(INDIRECT(VLOOKUP(LEFT(BO387,7),CLU!$Z$3:$AH$18,3)),GN387,GR387)</f>
        <v>#N/A</v>
      </c>
      <c r="BX387" s="433" t="e">
        <f ca="1">INDEX(INDIRECT(VLOOKUP(LEFT(BO387,7),CLU!$Z$3:$AH$18,4)),GN387,GR387)</f>
        <v>#N/A</v>
      </c>
      <c r="BY387" s="433" t="e">
        <f ca="1">INDEX(INDIRECT(VLOOKUP(LEFT(BO387,7),CLU!$Z$3:$AH$18,9)),((M387-2)*(6-COUNTBLANK(GT387:GY387)))+GJ387)</f>
        <v>#N/A</v>
      </c>
      <c r="BZ387" s="426" t="e">
        <f t="shared" ca="1" si="1149"/>
        <v>#N/A</v>
      </c>
      <c r="CA387" s="424" t="e">
        <f t="shared" ca="1" si="1150"/>
        <v>#N/A</v>
      </c>
      <c r="CB387" s="429" t="e">
        <f ca="1">INDEX(INDIRECT(VLOOKUP(LEFT(BO387,7),CLU!$Z$3:$AH$18,2)),GN387,GS387)</f>
        <v>#N/A</v>
      </c>
      <c r="CC387" s="342" t="e">
        <f ca="1">INDEX(INDIRECT(VLOOKUP(LEFT(BO387,7),CLU!$Z$3:$AH$18,3)),GN387,GS387)</f>
        <v>#N/A</v>
      </c>
      <c r="CD387" s="342" t="e">
        <f ca="1">INDEX(INDIRECT(VLOOKUP(LEFT(BO387,7),CLU!$Z$3:$AH$18,4)),GN387,GS387)</f>
        <v>#N/A</v>
      </c>
      <c r="CE387" s="426" t="e">
        <f t="shared" ca="1" si="1151"/>
        <v>#N/A</v>
      </c>
      <c r="CF387" s="440">
        <f t="shared" si="1152"/>
        <v>0</v>
      </c>
      <c r="CG387" s="431" t="e">
        <f ca="1">INDEX(INDIRECT(VLOOKUP(LEFT(BO387,7),CLU!$Z$3:$AH$18,2)),GQ387,GR387)</f>
        <v>#N/A</v>
      </c>
      <c r="CH387" s="431" t="e">
        <f ca="1">INDEX(INDIRECT(VLOOKUP(LEFT(BO387,7),CLU!$Z$3:$AH$18,3)),GQ387,GR387)</f>
        <v>#N/A</v>
      </c>
      <c r="CI387" s="431" t="e">
        <f ca="1">INDEX(INDIRECT(VLOOKUP(LEFT(BO387,7),CLU!$Z$3:$AH$18,4)),GQ387,GR387)</f>
        <v>#N/A</v>
      </c>
      <c r="CJ387" s="448" t="e">
        <f t="shared" ca="1" si="1153"/>
        <v>#N/A</v>
      </c>
      <c r="CK387" s="431" t="e">
        <f t="shared" ca="1" si="1154"/>
        <v>#N/A</v>
      </c>
      <c r="CL387" s="440" t="e">
        <f t="shared" ca="1" si="1155"/>
        <v>#N/A</v>
      </c>
      <c r="CM387" s="431" t="e">
        <f ca="1">INDEX(INDIRECT(VLOOKUP(LEFT(BO387,7),CLU!$Z$3:$AH$18,2)),GQ387,GS387)</f>
        <v>#N/A</v>
      </c>
      <c r="CN387" s="431" t="e">
        <f ca="1">INDEX(INDIRECT(VLOOKUP(LEFT(BO387,7),CLU!$Z$3:$AH$18,3)),GQ387,GS387)</f>
        <v>#N/A</v>
      </c>
      <c r="CO387" s="431" t="e">
        <f ca="1">INDEX(INDIRECT(VLOOKUP(LEFT(BO387,7),CLU!$Z$3:$AH$18,4)),GQ387,GS387)</f>
        <v>#N/A</v>
      </c>
      <c r="CP387" s="431" t="e">
        <f t="shared" ca="1" si="1156"/>
        <v>#N/A</v>
      </c>
      <c r="CQ387" s="440">
        <f t="shared" si="1157"/>
        <v>0</v>
      </c>
      <c r="CR387" s="51" t="e">
        <f t="shared" ca="1" si="1158"/>
        <v>#N/A</v>
      </c>
      <c r="CS387" s="439" t="e">
        <f t="shared" ca="1" si="1159"/>
        <v>#VALUE!</v>
      </c>
      <c r="CT387" s="51" t="e">
        <f t="shared" ca="1" si="1160"/>
        <v>#VALUE!</v>
      </c>
      <c r="CU387" s="10"/>
      <c r="CV387" s="51" t="e">
        <f t="shared" ca="1" si="1057"/>
        <v>#VALUE!</v>
      </c>
      <c r="CW387" s="51">
        <f t="shared" si="1161"/>
        <v>0</v>
      </c>
      <c r="CX387" s="439" t="e">
        <f t="shared" ca="1" si="1162"/>
        <v>#VALUE!</v>
      </c>
      <c r="CY387" s="51" t="e">
        <f t="shared" ca="1" si="1163"/>
        <v>#VALUE!</v>
      </c>
      <c r="CZ387" s="10"/>
      <c r="DA387" s="51" t="e">
        <f t="shared" ca="1" si="1164"/>
        <v>#VALUE!</v>
      </c>
      <c r="DB387" s="347" t="e">
        <f ca="1">INDEX(INDIRECT(VLOOKUP(LEFT(BO387,7),CLU!$Z$3:$AI$18,10)),((M387-2)*(6-COUNTBLANK(GT387:GY387)))+GJ387)*LI387</f>
        <v>#N/A</v>
      </c>
      <c r="DC387" s="347" t="str">
        <f>IF(L387&gt;0,((R387/Worksheet!$I$15)/DB387)^2," ")</f>
        <v xml:space="preserve"> </v>
      </c>
      <c r="DD387" s="602" t="str">
        <f t="shared" si="1165"/>
        <v xml:space="preserve"> </v>
      </c>
      <c r="DE387" s="347" t="str">
        <f t="shared" si="1058"/>
        <v xml:space="preserve"> </v>
      </c>
      <c r="DF387" s="356" t="e">
        <f ca="1">INDEX(INDIRECT(VLOOKUP(LEFT(BO387,7),CLU!$Z$3:$AH$18,8)),((M387-2)*(6-COUNTBLANK(GT387:GY387)))+GJ387)</f>
        <v>#N/A</v>
      </c>
      <c r="DG387" s="347" t="str">
        <f t="shared" si="1059"/>
        <v xml:space="preserve"> </v>
      </c>
      <c r="DH387" s="357" t="str">
        <f t="shared" si="1060"/>
        <v xml:space="preserve"> </v>
      </c>
      <c r="DI387" s="355" t="str">
        <f t="shared" si="1061"/>
        <v xml:space="preserve"> </v>
      </c>
      <c r="DJ387" s="245" t="e">
        <f ca="1">INDEX(INDIRECT(VLOOKUP(LEFT(BO387,7),CLU!$Z$3:$AH$18,5)),GL387,GK387)</f>
        <v>#N/A</v>
      </c>
      <c r="DK387" s="245" t="e">
        <f ca="1">INDEX(INDIRECT(VLOOKUP(LEFT(BO387,7),CLU!$Z$3:$AH$18,6)),GL387,GK387)</f>
        <v>#N/A</v>
      </c>
      <c r="DL387" s="355">
        <f>(Calculation!R387*0.69143*(Calculation!$BQ$8-Calculation!$F$8))*$S$14</f>
        <v>0</v>
      </c>
      <c r="DM387" s="359" t="e">
        <f t="shared" si="1166"/>
        <v>#VALUE!</v>
      </c>
      <c r="DN387" s="611">
        <f t="shared" si="1167"/>
        <v>0</v>
      </c>
      <c r="DO387" s="359">
        <f t="shared" si="1168"/>
        <v>100</v>
      </c>
      <c r="DP387" s="359">
        <f t="shared" si="1169"/>
        <v>0</v>
      </c>
      <c r="DQ387" s="360"/>
      <c r="DR387" s="245" t="e">
        <f ca="1">INDEX(INDIRECT(VLOOKUP(LEFT(BO387,7),CLU!$Z$3:$AH$18,7)),M387-1,1)</f>
        <v>#N/A</v>
      </c>
      <c r="DS387" s="245" t="e">
        <f ca="1">INDEX(INDIRECT(VLOOKUP(LEFT(BO387,7),CLU!$Z$3:$AH$18,7)),M387-1,2)</f>
        <v>#N/A</v>
      </c>
      <c r="DT387" s="245" t="e">
        <f ca="1">INDEX(INDIRECT(VLOOKUP(LEFT(BO387,7),CLU!$Z$3:$AH$18,7)),M387-1,3)</f>
        <v>#N/A</v>
      </c>
      <c r="DU387" s="245" t="e">
        <f ca="1">INDEX(INDIRECT(VLOOKUP(LEFT(BO387,7),CLU!$Z$3:$AH$18,7)),M387-1,4)</f>
        <v>#N/A</v>
      </c>
      <c r="DV387" s="361" t="e">
        <f ca="1">INDEX(INDIRECT(VLOOKUP(LEFT(BO387,7),CLU!$Z$3:$AH$18,7)),M387-1,4+LEFT(DZ387,1)*0.5)</f>
        <v>#N/A</v>
      </c>
      <c r="DW387" s="245" t="e">
        <f ca="1">INDEX(INDIRECT(VLOOKUP(LEFT(BO387,7),CLU!$Z$3:$AH$18,7)),M387-1,8)</f>
        <v>#N/A</v>
      </c>
      <c r="DX387" s="361" t="str">
        <f t="shared" si="1062"/>
        <v xml:space="preserve"> </v>
      </c>
      <c r="DY387" s="361" t="str">
        <f t="shared" si="1063"/>
        <v xml:space="preserve"> </v>
      </c>
      <c r="DZ387" s="361" t="str">
        <f t="shared" si="1064"/>
        <v xml:space="preserve"> </v>
      </c>
      <c r="EA387" s="362" t="str">
        <f t="shared" si="1065"/>
        <v xml:space="preserve"> </v>
      </c>
      <c r="EB387" s="624" t="str">
        <f t="shared" si="1170"/>
        <v xml:space="preserve"> </v>
      </c>
      <c r="EC387" s="361" t="e">
        <f ca="1">INDEX(INDIRECT(VLOOKUP(LEFT(BO387,7),CLU!$Z$3:$AH$18,7)),M387-1,4+LEFT(DZ387,1)*0.5)</f>
        <v>#N/A</v>
      </c>
      <c r="ED387" s="362" t="str">
        <f t="shared" si="1066"/>
        <v xml:space="preserve"> </v>
      </c>
      <c r="EE387" s="361" t="str">
        <f t="shared" si="1067"/>
        <v xml:space="preserve"> </v>
      </c>
      <c r="EF387" s="362" t="str">
        <f>IF(L387&gt;0,IF(BR387&gt;0,IF(EE387="2P",IF(Calculation!DZ387="2P",IF(Calculation!DS387=13.75,IF(Calculation!DR387=13,Worksheet!$BD$43,IF(Calculation!DR387=37,Worksheet!$BD$44,Worksheet!$BD$45)),IF(Calculation!DS387=10,IF(Calculation!DR387=18,Worksheet!$BD$29,IF(Calculation!DR387=30,Worksheet!$BD$30,IF(Calculation!DR387=42,Worksheet!$BD$31,IF(Calculation!DR387=54,Worksheet!$BD$32,IF(Calculation!DR387=66,Worksheet!$BD$33,IF(Calculation!DR387=78,Worksheet!$BD$34,IF(Calculation!DR387=90,Worksheet!$BD$35,IF(Calculation!DR387=102,Worksheet!$BD$36,Worksheet!$BD$37)))))))),IF(Calculation!DS387=12.5,IF(Calculation!DR387=18,Worksheet!$BD$38,IF(Calculation!DR387=Worksheet!$BD$39,IF(Calculation!DR387=42,Worksheet!$BD$40,IF(Calculation!DR387=54,Worksheet!$BD$41,Worksheet!$BD$42)))),IF(Calculation!DR387=18,Worksheet!$BD$11,IF(Calculation!DR387=30,Worksheet!$BD$12,IF(Calculation!DR387=42,Worksheet!$BD$13,IF(Calculation!DR387=54,Worksheet!$BD$14,IF(Calculation!DR387=66,Worksheet!$BD$15,IF(Calculation!DR387=78,Worksheet!$BD$16,IF(Calculation!DR387=90,Worksheet!$BD$17,IF(Calculation!DR387=102,Worksheet!$BD$18,Worksheet!$BD$19))))))))))),IF(Calculation!DS387=13.75,IF(Calculation!DR387=13,Worksheet!$BD$78,IF(Calculation!DR387=37,Worksheet!$BD$79,Worksheet!$BD$80)),IF(Calculation!DS387=10,IF(Calculation!DR387=18,Worksheet!$BD$64,IF(Calculation!DR387=30,Worksheet!$BD$65,IF(Calculation!DR387=42,Worksheet!$BD$66,IF(Calculation!DR387=54,Worksheet!$BD$68,IF(Calculation!DR387=66,Worksheet!$BD$68,IF(Calculation!DR387=78,Worksheet!$BD$69,IF(Calculation!DR387=90,Worksheet!$BD$70,IF(Calculation!DR387=102,Worksheet!$BD$71,Worksheet!$BD$72)))))))),IF(Calculation!DS387=12.5,IF(Calculation!DR387=18,Worksheet!$BD$73,IF(Calculation!DR387=Worksheet!$BD$74,IF(Calculation!DR387=42,Worksheet!$BD$75,IF(Calculation!DR387=54,Worksheet!$BD$76,Worksheet!$BD$77)))),IF(Calculation!DR387=18,Worksheet!$BD$55,IF(Calculation!DR387=30,Worksheet!$BD$56,IF(Calculation!DR387=42,Worksheet!$BD$57,IF(Calculation!DR387=54,Worksheet!$BD$58,IF(Calculation!DR387=66,Worksheet!$BD$59,IF(Calculation!DR387=78,Worksheet!$BD$60,IF(Calculation!DR387=90,Worksheet!$BD$61,IF(Calculation!DR387=102,Worksheet!$BD$62,Worksheet!$BD$63)))))))))))),5),0)," ")</f>
        <v xml:space="preserve"> </v>
      </c>
      <c r="EG387" s="361" t="str">
        <f t="shared" si="1068"/>
        <v xml:space="preserve"> </v>
      </c>
      <c r="EH387" s="361" t="e">
        <f ca="1">INDEX(INDIRECT(VLOOKUP(LEFT(BO387,7),CLU!$Z$3:$AH$18,7)),M387-1,3+LEFT(DZ387,1))</f>
        <v>#N/A</v>
      </c>
      <c r="EI387" s="362" t="str">
        <f t="shared" si="1069"/>
        <v xml:space="preserve"> </v>
      </c>
      <c r="EJ387" s="363" t="str">
        <f t="shared" si="1070"/>
        <v xml:space="preserve"> </v>
      </c>
      <c r="EK387" s="363" t="str">
        <f t="shared" si="1071"/>
        <v xml:space="preserve"> </v>
      </c>
      <c r="EL387" s="363" t="str">
        <f t="shared" si="1072"/>
        <v xml:space="preserve"> </v>
      </c>
      <c r="EM387" s="362" t="str">
        <f>IF(L387&gt;0,IF(BR387&gt;0,(Calculation!T387/ED387)^2,0)," ")</f>
        <v xml:space="preserve"> </v>
      </c>
      <c r="EN387" s="362" t="str">
        <f>IF(L387&gt;0,IF(O387="2 Pipe (Cooling)","N/A",IF(BR387&gt;0,(Calculation!U387/EI387)^2,0))," ")</f>
        <v xml:space="preserve"> </v>
      </c>
      <c r="EO387" s="361" t="str">
        <f t="shared" si="1073"/>
        <v/>
      </c>
      <c r="EP387" s="361" t="str">
        <f t="shared" si="1074"/>
        <v/>
      </c>
      <c r="EQ387" s="361" t="str">
        <f t="shared" si="1075"/>
        <v/>
      </c>
      <c r="ER387" s="361" t="str">
        <f t="shared" si="1076"/>
        <v/>
      </c>
      <c r="ES387" s="361" t="str">
        <f t="shared" si="1077"/>
        <v/>
      </c>
      <c r="ET387" s="361" t="str">
        <f t="shared" si="1078"/>
        <v/>
      </c>
      <c r="EU387" s="361" t="str">
        <f t="shared" si="1079"/>
        <v/>
      </c>
      <c r="EV387" s="361" t="str">
        <f t="shared" si="1080"/>
        <v/>
      </c>
      <c r="EW387" s="361" t="str">
        <f t="shared" si="1081"/>
        <v/>
      </c>
      <c r="EX387" s="361" t="str">
        <f t="shared" si="1171"/>
        <v>1 slot, 1 way</v>
      </c>
      <c r="EY387" s="361" t="str">
        <f t="shared" si="1172"/>
        <v xml:space="preserve"> </v>
      </c>
      <c r="EZ387" s="361" t="str">
        <f t="shared" si="1173"/>
        <v xml:space="preserve"> </v>
      </c>
      <c r="FA387" s="361" t="str">
        <f t="shared" si="1174"/>
        <v xml:space="preserve"> </v>
      </c>
      <c r="FB387" s="361" t="str">
        <f t="shared" si="1175"/>
        <v xml:space="preserve"> </v>
      </c>
      <c r="FC387" s="361"/>
      <c r="FD387" s="361" t="str">
        <f>IF(J387&gt;0,IF(Calculation!R387&lt;=70,4,IF(Calculation!R387&lt;=110,5,IF(Calculation!R387&lt;=160,6,IF(Calculation!R387&lt;=300,8,"10 EO")))),"")</f>
        <v/>
      </c>
      <c r="FE387" s="361" t="str">
        <f t="shared" si="1176"/>
        <v/>
      </c>
      <c r="FF387" s="361" t="str">
        <f t="shared" si="1177"/>
        <v/>
      </c>
      <c r="FG387" s="361" t="e">
        <f t="shared" si="1082"/>
        <v>#N/A</v>
      </c>
      <c r="FH387" s="361">
        <f t="shared" si="1083"/>
        <v>0</v>
      </c>
      <c r="FI387" s="361" t="e">
        <f t="shared" si="1084"/>
        <v>#DIV/0!</v>
      </c>
      <c r="FJ387" s="361"/>
      <c r="FK387" s="356" t="e">
        <f t="shared" si="1085"/>
        <v>#VALUE!</v>
      </c>
      <c r="FL387" s="361"/>
      <c r="FM387" s="361"/>
      <c r="FN387" s="362" t="str">
        <f t="shared" si="1178"/>
        <v xml:space="preserve"> </v>
      </c>
      <c r="FO387" s="362" t="str">
        <f t="shared" si="1179"/>
        <v xml:space="preserve"> </v>
      </c>
      <c r="FP387" s="362">
        <f t="shared" si="1180"/>
        <v>0</v>
      </c>
      <c r="FQ387" s="361">
        <f t="shared" si="1086"/>
        <v>0</v>
      </c>
      <c r="FR387" s="362" t="str">
        <f>IF(L387&gt;0,IF(J387="CBAL2",Worksheet!$P$67,IF(J387="CBE2-24",Worksheet!$Q$67,IF(J387="CBAM",Worksheet!$R$67,IF(J387="CBLV",Worksheet!$S$67,IF(J387="CBAB",Worksheet!$U$67,IF(J387="CBAW",Worksheet!$X$67,IF(J387="CBE2-12",Worksheet!$Y$67,IF(J387="CBAL2",Worksheet!$Z$67,"N/A"))))))))," ")</f>
        <v xml:space="preserve"> </v>
      </c>
      <c r="FS387" s="362" t="str">
        <f>IF(L387&gt;0,IF(J387="CBAL2",Worksheet!$P$68,IF(J387="CBE2-24",Worksheet!$Q$68,IF(J387="CBAM",Worksheet!$R$68,IF(J387="CBLV",Worksheet!$S$68,IF(J387="CBAB",Worksheet!$U$68,IF(J387="CBAW",Worksheet!$X$68,IF(J387="CBE2-12",Worksheet!$Y$68,IF(J387="CBAL2",Worksheet!$Z$68,"N/A"))))))))," ")</f>
        <v xml:space="preserve"> </v>
      </c>
      <c r="FT387" s="362" t="str">
        <f>IF(L387&gt;0,IF(J387="CBAL2",Worksheet!$P$69,IF(J387="CBE2-24",Worksheet!$Q$69,IF(J387="CBAM",Worksheet!$R$69,IF(J387="CBLV",Worksheet!$S$69,IF(J387="CBAB",Worksheet!$U$69,IF(J387="CBAW",Worksheet!$X$69,IF(J387="CBE2-12",Worksheet!$Y$69,IF(J387="CBAL2",Worksheet!$Z$69,"N/A"))))))))," ")</f>
        <v xml:space="preserve"> </v>
      </c>
      <c r="FU387" s="361" t="str">
        <f t="shared" si="1181"/>
        <v xml:space="preserve"> </v>
      </c>
      <c r="FV387" s="362" t="str">
        <f t="shared" si="1182"/>
        <v xml:space="preserve"> </v>
      </c>
      <c r="FW387" s="362" t="str">
        <f t="shared" si="1183"/>
        <v xml:space="preserve"> </v>
      </c>
      <c r="FX387" s="362" t="str">
        <f t="shared" si="1184"/>
        <v xml:space="preserve"> </v>
      </c>
      <c r="FY387" s="355" t="str">
        <f t="shared" si="1185"/>
        <v xml:space="preserve"> </v>
      </c>
      <c r="FZ387" s="361" t="str">
        <f t="shared" si="1186"/>
        <v xml:space="preserve"> </v>
      </c>
      <c r="GA387" s="347" t="str">
        <f t="shared" si="1187"/>
        <v xml:space="preserve"> </v>
      </c>
      <c r="GB387" s="355" t="str">
        <f t="shared" si="1188"/>
        <v xml:space="preserve"> </v>
      </c>
      <c r="GC387" s="328" t="str">
        <f t="shared" si="1189"/>
        <v xml:space="preserve"> </v>
      </c>
      <c r="GD387" s="361" t="str">
        <f t="shared" si="1190"/>
        <v xml:space="preserve"> </v>
      </c>
      <c r="GE387" s="347" t="str">
        <f t="shared" si="1191"/>
        <v xml:space="preserve"> </v>
      </c>
      <c r="GF387" s="361" t="str">
        <f t="shared" si="1192"/>
        <v xml:space="preserve"> </v>
      </c>
      <c r="GG387" s="347" t="str">
        <f t="shared" si="1193"/>
        <v xml:space="preserve"> </v>
      </c>
      <c r="GH387" s="364">
        <f t="shared" si="1087"/>
        <v>0</v>
      </c>
      <c r="GI387" s="362">
        <f t="shared" si="1194"/>
        <v>2</v>
      </c>
      <c r="GJ387" s="433" t="e">
        <f>IF(6-COUNTBLANK(GT387:GY387)=4,MATCH(MID(BO387,9,3),CLU!$H$16:$K$16),MATCH(MID(BO387,9,3),CLU!$H$13:$M$13))</f>
        <v>#N/A</v>
      </c>
      <c r="GK387" s="433" t="e">
        <f>HLOOKUP(VALUE(BP387),CLU!$H$9:$M$10,2)</f>
        <v>#VALUE!</v>
      </c>
      <c r="GL387" s="433" t="e">
        <f ca="1">MATCH(BU387,CLU!$H$2:$V$2,1)</f>
        <v>#VALUE!</v>
      </c>
      <c r="GM387" s="433" t="e">
        <f t="shared" ca="1" si="1195"/>
        <v>#VALUE!</v>
      </c>
      <c r="GN387" s="433" t="e">
        <f t="shared" ca="1" si="1196"/>
        <v>#VALUE!</v>
      </c>
      <c r="GO387" s="433" t="e">
        <f t="shared" ca="1" si="1197"/>
        <v>#VALUE!</v>
      </c>
      <c r="GP387" s="433" t="e">
        <f t="shared" ca="1" si="1198"/>
        <v>#VALUE!</v>
      </c>
      <c r="GQ387" s="433" t="e">
        <f t="shared" ca="1" si="1199"/>
        <v>#VALUE!</v>
      </c>
      <c r="GR387" s="433" t="e">
        <f ca="1">MATCH(T387,INDIRECT(VLOOKUP(CONCATENATE(LEFT(BO387,7),"-",MID(BO387,13,1)),CLU!$P$3:$Q$16,2)),1)</f>
        <v>#N/A</v>
      </c>
      <c r="GS387" s="433" t="e">
        <f ca="1">MATCH(U387,INDIRECT(VLOOKUP(CONCATENATE(LEFT(BO387,7),"-",MID(BO387,13,1)),CLU!$P$3:$Q$16,2)),1)</f>
        <v>#N/A</v>
      </c>
      <c r="GT387" s="347" t="s">
        <v>512</v>
      </c>
      <c r="GU387" s="97" t="s">
        <v>513</v>
      </c>
      <c r="GV387" s="97" t="str">
        <f t="shared" si="1200"/>
        <v>M23</v>
      </c>
      <c r="GW387" s="97" t="str">
        <f t="shared" si="1201"/>
        <v>M31</v>
      </c>
      <c r="GX387" s="97" t="str">
        <f t="shared" si="1202"/>
        <v/>
      </c>
      <c r="GY387" s="97" t="str">
        <f t="shared" si="1203"/>
        <v/>
      </c>
      <c r="GZ387" s="481"/>
      <c r="HA387" s="240"/>
      <c r="HB387" s="240"/>
      <c r="HC387" s="240"/>
      <c r="HD387" s="240"/>
      <c r="HE387" s="240"/>
      <c r="HF387" s="240"/>
      <c r="HG387" s="240"/>
      <c r="HH387" s="240"/>
      <c r="HI387" s="240"/>
      <c r="HJ387" s="240"/>
      <c r="HK387" s="240"/>
      <c r="HL387" s="240"/>
      <c r="HM387" s="240"/>
      <c r="HN387" s="240"/>
      <c r="HO387" s="240"/>
      <c r="HP387" s="240"/>
      <c r="HQ387" s="240"/>
      <c r="HR387" s="240"/>
      <c r="HS387" s="240"/>
      <c r="HT387" s="240"/>
      <c r="HU387" s="240"/>
      <c r="HV387" s="245"/>
      <c r="HW387" s="245" t="b">
        <v>1</v>
      </c>
      <c r="HX387" s="245" t="str">
        <f t="shared" si="1088"/>
        <v/>
      </c>
      <c r="HY387" s="245" t="e">
        <f t="shared" si="1089"/>
        <v>#DIV/0!</v>
      </c>
      <c r="HZ387" s="245" t="e">
        <f t="shared" si="1090"/>
        <v>#DIV/0!</v>
      </c>
      <c r="IA387" s="245">
        <f t="shared" si="1091"/>
        <v>0</v>
      </c>
      <c r="IB387" s="245"/>
      <c r="IC387" t="b">
        <f t="shared" si="1092"/>
        <v>1</v>
      </c>
      <c r="ID387" s="245" t="b">
        <f t="shared" si="1093"/>
        <v>1</v>
      </c>
      <c r="IE387" s="245" t="b">
        <f t="shared" si="1094"/>
        <v>1</v>
      </c>
      <c r="IF387" s="245" t="b">
        <f t="shared" si="1095"/>
        <v>0</v>
      </c>
      <c r="IG387" s="245" t="b">
        <f t="shared" si="1096"/>
        <v>1</v>
      </c>
      <c r="IH387" s="245" t="b">
        <f t="shared" si="1097"/>
        <v>1</v>
      </c>
      <c r="II387" s="245">
        <f t="shared" si="1204"/>
        <v>0</v>
      </c>
      <c r="IJ387" s="245" t="e">
        <f t="shared" si="1098"/>
        <v>#VALUE!</v>
      </c>
      <c r="IK387" s="245" t="e">
        <f t="shared" si="1099"/>
        <v>#VALUE!</v>
      </c>
      <c r="IL387" s="245"/>
      <c r="IM387" s="245" t="e">
        <f t="shared" si="1205"/>
        <v>#N/A</v>
      </c>
      <c r="IN387" s="245" t="e">
        <f t="shared" si="1206"/>
        <v>#N/A</v>
      </c>
      <c r="IO387" s="245"/>
      <c r="IP387" s="245"/>
      <c r="IQ387" s="245" t="str">
        <f t="shared" si="1100"/>
        <v/>
      </c>
      <c r="IR387" s="245" t="str">
        <f>IF(J387="","",VLOOKUP(J387,Worksheet!$R$4:$T$14,2))</f>
        <v/>
      </c>
      <c r="IS387" s="245"/>
      <c r="IT387" s="245">
        <f t="shared" si="1101"/>
        <v>0</v>
      </c>
      <c r="IU387" s="245">
        <f t="shared" si="1102"/>
        <v>0</v>
      </c>
      <c r="IV387" s="245">
        <f t="shared" si="1103"/>
        <v>0</v>
      </c>
      <c r="IW387" s="245">
        <f t="shared" si="1104"/>
        <v>0</v>
      </c>
      <c r="IX387" s="245">
        <f t="shared" si="1207"/>
        <v>0</v>
      </c>
      <c r="IY387" s="245">
        <f t="shared" si="1105"/>
        <v>0</v>
      </c>
      <c r="IZ387" s="245">
        <f t="shared" si="1106"/>
        <v>0</v>
      </c>
      <c r="JA387">
        <f t="shared" si="1107"/>
        <v>0</v>
      </c>
      <c r="JB387">
        <f t="shared" si="1208"/>
        <v>0</v>
      </c>
      <c r="JC387">
        <f t="shared" si="1108"/>
        <v>0</v>
      </c>
      <c r="JD387">
        <f t="shared" si="1109"/>
        <v>0</v>
      </c>
      <c r="JE387">
        <f t="shared" si="1110"/>
        <v>0</v>
      </c>
      <c r="JF387">
        <f t="shared" si="1111"/>
        <v>0</v>
      </c>
      <c r="JG387">
        <f t="shared" si="1112"/>
        <v>0</v>
      </c>
      <c r="JH387">
        <f t="shared" si="1113"/>
        <v>0</v>
      </c>
      <c r="JI387">
        <f t="shared" si="1114"/>
        <v>0</v>
      </c>
      <c r="JJ387" s="447">
        <f t="shared" si="1115"/>
        <v>0</v>
      </c>
      <c r="JK387" s="447">
        <f t="shared" si="1116"/>
        <v>0</v>
      </c>
      <c r="JL387">
        <f t="shared" si="1117"/>
        <v>0</v>
      </c>
      <c r="JM387" s="245" t="str">
        <f>IFERROR(VLOOKUP(MATCH(BN387,#REF!,0),#REF!,7),"")</f>
        <v/>
      </c>
      <c r="JN387" t="e">
        <f>HLOOKUP(LEFT(BO387,7),Discharge_Area,MATCH(JO387,LookUps!$B$130:$B$149,1)+2)</f>
        <v>#N/A</v>
      </c>
      <c r="JO387" t="str">
        <f t="shared" si="1118"/>
        <v>- S</v>
      </c>
      <c r="JP387" t="e">
        <f>HLOOKUP(LEFT(BO387,7),Discharge_Area,MATCH(JO387,LookUps!$B$130:$B$149,1)+2)</f>
        <v>#N/A</v>
      </c>
      <c r="JQ387" t="e">
        <f t="shared" si="1119"/>
        <v>#N/A</v>
      </c>
      <c r="JR387" t="e">
        <f t="shared" si="1120"/>
        <v>#N/A</v>
      </c>
      <c r="JS387" t="e">
        <f t="shared" si="1121"/>
        <v>#N/A</v>
      </c>
      <c r="JT387" s="532" t="str">
        <f t="shared" si="1122"/>
        <v xml:space="preserve"> </v>
      </c>
      <c r="JU387" s="532" t="str">
        <f t="shared" si="1123"/>
        <v xml:space="preserve"> </v>
      </c>
      <c r="JV387" s="533" t="str">
        <f t="shared" si="1124"/>
        <v xml:space="preserve"> </v>
      </c>
      <c r="JW387" s="534">
        <f t="shared" si="1125"/>
        <v>0</v>
      </c>
      <c r="JX387" s="535" t="str">
        <f t="shared" si="1209"/>
        <v xml:space="preserve"> </v>
      </c>
      <c r="JY387" s="535" t="str">
        <f t="shared" si="1210"/>
        <v xml:space="preserve"> </v>
      </c>
      <c r="JZ387" s="535" t="str">
        <f t="shared" si="1211"/>
        <v xml:space="preserve"> </v>
      </c>
      <c r="KA387" s="536" t="str">
        <f t="shared" si="1126"/>
        <v xml:space="preserve"> </v>
      </c>
      <c r="KB387" s="535" t="e">
        <f t="shared" si="1212"/>
        <v>#VALUE!</v>
      </c>
      <c r="KC387" s="535" t="str">
        <f t="shared" si="1127"/>
        <v/>
      </c>
      <c r="KD387" s="537" t="str">
        <f t="shared" si="1213"/>
        <v xml:space="preserve"> </v>
      </c>
      <c r="KE387" s="537" t="str">
        <f t="shared" si="1214"/>
        <v xml:space="preserve"> </v>
      </c>
      <c r="KF387" s="534">
        <f t="shared" si="1128"/>
        <v>0</v>
      </c>
      <c r="KG387" s="535" t="str">
        <f t="shared" si="1129"/>
        <v xml:space="preserve"> </v>
      </c>
      <c r="KH387" s="535" t="str">
        <f t="shared" si="1130"/>
        <v xml:space="preserve"> </v>
      </c>
      <c r="KI387" s="535" t="str">
        <f t="shared" si="1131"/>
        <v xml:space="preserve"> </v>
      </c>
      <c r="KJ387" s="536" t="str">
        <f t="shared" si="1132"/>
        <v xml:space="preserve"> </v>
      </c>
      <c r="KK387" s="535" t="str">
        <f t="shared" si="1215"/>
        <v xml:space="preserve"> </v>
      </c>
      <c r="KL387" s="535" t="str">
        <f t="shared" si="1216"/>
        <v xml:space="preserve"> </v>
      </c>
      <c r="KM387" s="537" t="str">
        <f t="shared" si="1133"/>
        <v xml:space="preserve"> </v>
      </c>
      <c r="KN387" s="537" t="str">
        <f t="shared" si="1217"/>
        <v xml:space="preserve"> </v>
      </c>
      <c r="KP387">
        <f t="shared" si="1134"/>
        <v>0</v>
      </c>
      <c r="LA387" t="e">
        <f t="shared" si="1135"/>
        <v>#VALUE!</v>
      </c>
      <c r="LB387" t="e">
        <f t="shared" si="1136"/>
        <v>#VALUE!</v>
      </c>
      <c r="LC387" t="e">
        <f t="shared" si="1137"/>
        <v>#VALUE!</v>
      </c>
      <c r="LD387" t="e">
        <f t="shared" si="1138"/>
        <v>#VALUE!</v>
      </c>
      <c r="LE387" t="e">
        <f t="shared" si="1218"/>
        <v>#VALUE!</v>
      </c>
      <c r="LF387">
        <f t="shared" si="1139"/>
        <v>0</v>
      </c>
      <c r="LG387" t="e">
        <f t="shared" si="1219"/>
        <v>#VALUE!</v>
      </c>
      <c r="LH387" t="str">
        <f t="shared" si="1140"/>
        <v xml:space="preserve"> </v>
      </c>
      <c r="LI387">
        <f t="shared" si="1220"/>
        <v>1</v>
      </c>
    </row>
    <row r="388" spans="2:321" ht="15" customHeight="1">
      <c r="B388" s="311"/>
      <c r="C388" s="311"/>
      <c r="D388" s="312"/>
      <c r="E388" s="311"/>
      <c r="F388" s="312"/>
      <c r="G388" s="311"/>
      <c r="H388" s="311"/>
      <c r="I388" s="232"/>
      <c r="J388" s="311"/>
      <c r="K388" s="305" t="str">
        <f t="shared" si="1141"/>
        <v/>
      </c>
      <c r="L388" s="313"/>
      <c r="M388" s="312"/>
      <c r="N388" s="311"/>
      <c r="O388" s="312"/>
      <c r="P388" s="311"/>
      <c r="Q388" s="305" t="str">
        <f t="shared" si="1142"/>
        <v/>
      </c>
      <c r="R388" s="314"/>
      <c r="S388" s="450" t="str">
        <f t="shared" si="1025"/>
        <v/>
      </c>
      <c r="T388" s="315"/>
      <c r="U388" s="315"/>
      <c r="W388" s="149" t="str">
        <f t="shared" si="1026"/>
        <v xml:space="preserve"> </v>
      </c>
      <c r="X388" s="243" t="str">
        <f t="shared" si="1027"/>
        <v xml:space="preserve"> </v>
      </c>
      <c r="Y388" s="150" t="str">
        <f t="shared" si="1028"/>
        <v/>
      </c>
      <c r="Z388" s="149" t="str">
        <f t="shared" si="1029"/>
        <v xml:space="preserve"> </v>
      </c>
      <c r="AA388" s="98" t="str">
        <f t="shared" si="1030"/>
        <v xml:space="preserve"> </v>
      </c>
      <c r="AB388" s="153" t="str">
        <f t="shared" si="1031"/>
        <v xml:space="preserve"> </v>
      </c>
      <c r="AC388" s="153" t="str">
        <f t="shared" si="1032"/>
        <v xml:space="preserve"> </v>
      </c>
      <c r="AD388" s="148" t="str">
        <f t="shared" si="1033"/>
        <v/>
      </c>
      <c r="AE388" s="149" t="str">
        <f t="shared" si="1034"/>
        <v/>
      </c>
      <c r="AF388" s="151" t="str">
        <f t="shared" si="1035"/>
        <v xml:space="preserve"> </v>
      </c>
      <c r="AG388" s="153" t="str">
        <f t="shared" si="1036"/>
        <v xml:space="preserve"> </v>
      </c>
      <c r="AH388" s="98" t="str">
        <f t="shared" si="1037"/>
        <v xml:space="preserve"> </v>
      </c>
      <c r="AI388" s="149" t="str">
        <f t="shared" si="1038"/>
        <v xml:space="preserve"> </v>
      </c>
      <c r="AK388" s="144" t="str">
        <f t="shared" si="1039"/>
        <v xml:space="preserve"> </v>
      </c>
      <c r="AL388" s="144"/>
      <c r="AM388" s="243" t="str">
        <f t="shared" si="1040"/>
        <v xml:space="preserve"> </v>
      </c>
      <c r="AN388" s="149" t="str">
        <f t="shared" si="1143"/>
        <v xml:space="preserve"> </v>
      </c>
      <c r="AO388" s="144" t="str">
        <f>IF(JB388&gt;0,IF(GI388=10,-R388*1.085*(Calculation!$F$6-Calculation!$F$13)*$S$14," "),"")</f>
        <v/>
      </c>
      <c r="AP388" s="144" t="str">
        <f t="shared" si="1041"/>
        <v/>
      </c>
      <c r="AQ388" s="56" t="str">
        <f t="shared" si="1042"/>
        <v/>
      </c>
      <c r="AR388" s="144" t="str">
        <f t="shared" si="1043"/>
        <v/>
      </c>
      <c r="AS388" s="176" t="str">
        <f t="shared" si="1044"/>
        <v/>
      </c>
      <c r="AT388" s="176" t="str">
        <f t="shared" si="1144"/>
        <v xml:space="preserve"> </v>
      </c>
      <c r="AU388" s="176" t="str">
        <f t="shared" si="1045"/>
        <v/>
      </c>
      <c r="AV388" s="177" t="str">
        <f t="shared" si="1046"/>
        <v xml:space="preserve"> </v>
      </c>
      <c r="AW388" s="144" t="str">
        <f t="shared" si="1047"/>
        <v xml:space="preserve"> </v>
      </c>
      <c r="AX388" s="144" t="str">
        <f t="shared" si="1048"/>
        <v xml:space="preserve"> </v>
      </c>
      <c r="AY388" s="152" t="str">
        <f t="shared" si="1049"/>
        <v xml:space="preserve"> </v>
      </c>
      <c r="AZ388" s="246" t="str">
        <f t="shared" si="1050"/>
        <v/>
      </c>
      <c r="BA388" s="176" t="str">
        <f t="shared" si="1051"/>
        <v xml:space="preserve"> </v>
      </c>
      <c r="BB388" s="176" t="str">
        <f t="shared" si="1052"/>
        <v xml:space="preserve"> </v>
      </c>
      <c r="BC388" s="195"/>
      <c r="BD388" s="316"/>
      <c r="BE388" s="317"/>
      <c r="BF388" s="318"/>
      <c r="BG388" s="318"/>
      <c r="BH388" s="144" t="str">
        <f t="shared" si="1221"/>
        <v xml:space="preserve"> </v>
      </c>
      <c r="BI388" s="176" t="str">
        <f t="shared" si="1053"/>
        <v/>
      </c>
      <c r="BJ388" s="144" t="str">
        <f t="shared" si="1222"/>
        <v/>
      </c>
      <c r="BK388" s="246" t="str">
        <f t="shared" si="1054"/>
        <v/>
      </c>
      <c r="BL388" s="144" t="str">
        <f t="shared" si="1223"/>
        <v/>
      </c>
      <c r="BM388" s="246" t="str">
        <f t="shared" si="1055"/>
        <v/>
      </c>
      <c r="BN388" s="337" t="str">
        <f t="shared" si="1145"/>
        <v/>
      </c>
      <c r="BO388" s="371" t="str">
        <f t="shared" si="1146"/>
        <v/>
      </c>
      <c r="BP388" s="328" t="str">
        <f t="shared" si="1224"/>
        <v xml:space="preserve"> </v>
      </c>
      <c r="BQ388" s="347" t="str">
        <f t="shared" si="1147"/>
        <v xml:space="preserve"> </v>
      </c>
      <c r="BR388" s="353" t="str">
        <f t="shared" si="1148"/>
        <v xml:space="preserve"> </v>
      </c>
      <c r="BS388" s="626" t="str">
        <f>IF(L388&gt;0,IF(Calculation!P388="M13",BR388*3.1416*(0.134^2)/(4*144),IF(Calculation!P388="M17",BR388*3.1416*(0.165^2)/(4*144),IF(Calculation!P388="M20",BR388*3.1416*(0.198^2)/(4*144),IF(Calculation!P388="M23",BR388*3.1416*(0.228^2)/(4*144),IF(Calculation!P388="M27",BR388*3.1416*(0.269^2)/(4*144),BR388*3.1416*(0.307^2)/(4*144))))))," ")</f>
        <v xml:space="preserve"> </v>
      </c>
      <c r="BT388" s="353" t="str">
        <f>IF(L388&gt;0,IF(BS388&gt;0,R388/Calculation!BS388,0)," ")</f>
        <v xml:space="preserve"> </v>
      </c>
      <c r="BU388" s="438" t="e">
        <f t="shared" ca="1" si="1056"/>
        <v>#VALUE!</v>
      </c>
      <c r="BV388" s="449" t="e">
        <f ca="1">INDEX(INDIRECT(VLOOKUP(LEFT(BO388,7),CLU!$Z$3:$AH$18,2)),GN388,GR388)</f>
        <v>#N/A</v>
      </c>
      <c r="BW388" s="433" t="e">
        <f ca="1">INDEX(INDIRECT(VLOOKUP(LEFT(BO388,7),CLU!$Z$3:$AH$18,3)),GN388,GR388)</f>
        <v>#N/A</v>
      </c>
      <c r="BX388" s="433" t="e">
        <f ca="1">INDEX(INDIRECT(VLOOKUP(LEFT(BO388,7),CLU!$Z$3:$AH$18,4)),GN388,GR388)</f>
        <v>#N/A</v>
      </c>
      <c r="BY388" s="433" t="e">
        <f ca="1">INDEX(INDIRECT(VLOOKUP(LEFT(BO388,7),CLU!$Z$3:$AH$18,9)),((M388-2)*(6-COUNTBLANK(GT388:GY388)))+GJ388)</f>
        <v>#N/A</v>
      </c>
      <c r="BZ388" s="426" t="e">
        <f t="shared" ca="1" si="1149"/>
        <v>#N/A</v>
      </c>
      <c r="CA388" s="424" t="e">
        <f t="shared" ca="1" si="1150"/>
        <v>#N/A</v>
      </c>
      <c r="CB388" s="429" t="e">
        <f ca="1">INDEX(INDIRECT(VLOOKUP(LEFT(BO388,7),CLU!$Z$3:$AH$18,2)),GN388,GS388)</f>
        <v>#N/A</v>
      </c>
      <c r="CC388" s="342" t="e">
        <f ca="1">INDEX(INDIRECT(VLOOKUP(LEFT(BO388,7),CLU!$Z$3:$AH$18,3)),GN388,GS388)</f>
        <v>#N/A</v>
      </c>
      <c r="CD388" s="342" t="e">
        <f ca="1">INDEX(INDIRECT(VLOOKUP(LEFT(BO388,7),CLU!$Z$3:$AH$18,4)),GN388,GS388)</f>
        <v>#N/A</v>
      </c>
      <c r="CE388" s="426" t="e">
        <f t="shared" ca="1" si="1151"/>
        <v>#N/A</v>
      </c>
      <c r="CF388" s="440">
        <f t="shared" si="1152"/>
        <v>0</v>
      </c>
      <c r="CG388" s="431" t="e">
        <f ca="1">INDEX(INDIRECT(VLOOKUP(LEFT(BO388,7),CLU!$Z$3:$AH$18,2)),GQ388,GR388)</f>
        <v>#N/A</v>
      </c>
      <c r="CH388" s="431" t="e">
        <f ca="1">INDEX(INDIRECT(VLOOKUP(LEFT(BO388,7),CLU!$Z$3:$AH$18,3)),GQ388,GR388)</f>
        <v>#N/A</v>
      </c>
      <c r="CI388" s="431" t="e">
        <f ca="1">INDEX(INDIRECT(VLOOKUP(LEFT(BO388,7),CLU!$Z$3:$AH$18,4)),GQ388,GR388)</f>
        <v>#N/A</v>
      </c>
      <c r="CJ388" s="448" t="e">
        <f t="shared" ca="1" si="1153"/>
        <v>#N/A</v>
      </c>
      <c r="CK388" s="431" t="e">
        <f t="shared" ca="1" si="1154"/>
        <v>#N/A</v>
      </c>
      <c r="CL388" s="440" t="e">
        <f t="shared" ca="1" si="1155"/>
        <v>#N/A</v>
      </c>
      <c r="CM388" s="431" t="e">
        <f ca="1">INDEX(INDIRECT(VLOOKUP(LEFT(BO388,7),CLU!$Z$3:$AH$18,2)),GQ388,GS388)</f>
        <v>#N/A</v>
      </c>
      <c r="CN388" s="431" t="e">
        <f ca="1">INDEX(INDIRECT(VLOOKUP(LEFT(BO388,7),CLU!$Z$3:$AH$18,3)),GQ388,GS388)</f>
        <v>#N/A</v>
      </c>
      <c r="CO388" s="431" t="e">
        <f ca="1">INDEX(INDIRECT(VLOOKUP(LEFT(BO388,7),CLU!$Z$3:$AH$18,4)),GQ388,GS388)</f>
        <v>#N/A</v>
      </c>
      <c r="CP388" s="431" t="e">
        <f t="shared" ca="1" si="1156"/>
        <v>#N/A</v>
      </c>
      <c r="CQ388" s="440">
        <f t="shared" si="1157"/>
        <v>0</v>
      </c>
      <c r="CR388" s="51" t="e">
        <f t="shared" ca="1" si="1158"/>
        <v>#N/A</v>
      </c>
      <c r="CS388" s="439" t="e">
        <f t="shared" ca="1" si="1159"/>
        <v>#VALUE!</v>
      </c>
      <c r="CT388" s="51" t="e">
        <f t="shared" ca="1" si="1160"/>
        <v>#VALUE!</v>
      </c>
      <c r="CU388" s="10"/>
      <c r="CV388" s="51" t="e">
        <f t="shared" ca="1" si="1057"/>
        <v>#VALUE!</v>
      </c>
      <c r="CW388" s="51">
        <f t="shared" si="1161"/>
        <v>0</v>
      </c>
      <c r="CX388" s="439" t="e">
        <f t="shared" ca="1" si="1162"/>
        <v>#VALUE!</v>
      </c>
      <c r="CY388" s="51" t="e">
        <f t="shared" ca="1" si="1163"/>
        <v>#VALUE!</v>
      </c>
      <c r="CZ388" s="10"/>
      <c r="DA388" s="51" t="e">
        <f t="shared" ca="1" si="1164"/>
        <v>#VALUE!</v>
      </c>
      <c r="DB388" s="347" t="e">
        <f ca="1">INDEX(INDIRECT(VLOOKUP(LEFT(BO388,7),CLU!$Z$3:$AI$18,10)),((M388-2)*(6-COUNTBLANK(GT388:GY388)))+GJ388)*LI388</f>
        <v>#N/A</v>
      </c>
      <c r="DC388" s="347" t="str">
        <f>IF(L388&gt;0,((R388/Worksheet!$I$15)/DB388)^2," ")</f>
        <v xml:space="preserve"> </v>
      </c>
      <c r="DD388" s="602" t="str">
        <f t="shared" si="1165"/>
        <v xml:space="preserve"> </v>
      </c>
      <c r="DE388" s="347" t="str">
        <f t="shared" si="1058"/>
        <v xml:space="preserve"> </v>
      </c>
      <c r="DF388" s="356" t="e">
        <f ca="1">INDEX(INDIRECT(VLOOKUP(LEFT(BO388,7),CLU!$Z$3:$AH$18,8)),((M388-2)*(6-COUNTBLANK(GT388:GY388)))+GJ388)</f>
        <v>#N/A</v>
      </c>
      <c r="DG388" s="347" t="str">
        <f t="shared" si="1059"/>
        <v xml:space="preserve"> </v>
      </c>
      <c r="DH388" s="357" t="str">
        <f t="shared" si="1060"/>
        <v xml:space="preserve"> </v>
      </c>
      <c r="DI388" s="355" t="str">
        <f t="shared" si="1061"/>
        <v xml:space="preserve"> </v>
      </c>
      <c r="DJ388" s="245" t="e">
        <f ca="1">INDEX(INDIRECT(VLOOKUP(LEFT(BO388,7),CLU!$Z$3:$AH$18,5)),GL388,GK388)</f>
        <v>#N/A</v>
      </c>
      <c r="DK388" s="245" t="e">
        <f ca="1">INDEX(INDIRECT(VLOOKUP(LEFT(BO388,7),CLU!$Z$3:$AH$18,6)),GL388,GK388)</f>
        <v>#N/A</v>
      </c>
      <c r="DL388" s="355">
        <f>(Calculation!R388*0.69143*(Calculation!$BQ$8-Calculation!$F$8))*$S$14</f>
        <v>0</v>
      </c>
      <c r="DM388" s="359" t="e">
        <f t="shared" si="1166"/>
        <v>#VALUE!</v>
      </c>
      <c r="DN388" s="611">
        <f t="shared" si="1167"/>
        <v>0</v>
      </c>
      <c r="DO388" s="359">
        <f t="shared" si="1168"/>
        <v>100</v>
      </c>
      <c r="DP388" s="359">
        <f t="shared" si="1169"/>
        <v>0</v>
      </c>
      <c r="DQ388" s="360"/>
      <c r="DR388" s="245" t="e">
        <f ca="1">INDEX(INDIRECT(VLOOKUP(LEFT(BO388,7),CLU!$Z$3:$AH$18,7)),M388-1,1)</f>
        <v>#N/A</v>
      </c>
      <c r="DS388" s="245" t="e">
        <f ca="1">INDEX(INDIRECT(VLOOKUP(LEFT(BO388,7),CLU!$Z$3:$AH$18,7)),M388-1,2)</f>
        <v>#N/A</v>
      </c>
      <c r="DT388" s="245" t="e">
        <f ca="1">INDEX(INDIRECT(VLOOKUP(LEFT(BO388,7),CLU!$Z$3:$AH$18,7)),M388-1,3)</f>
        <v>#N/A</v>
      </c>
      <c r="DU388" s="245" t="e">
        <f ca="1">INDEX(INDIRECT(VLOOKUP(LEFT(BO388,7),CLU!$Z$3:$AH$18,7)),M388-1,4)</f>
        <v>#N/A</v>
      </c>
      <c r="DV388" s="361" t="e">
        <f ca="1">INDEX(INDIRECT(VLOOKUP(LEFT(BO388,7),CLU!$Z$3:$AH$18,7)),M388-1,4+LEFT(DZ388,1)*0.5)</f>
        <v>#N/A</v>
      </c>
      <c r="DW388" s="245" t="e">
        <f ca="1">INDEX(INDIRECT(VLOOKUP(LEFT(BO388,7),CLU!$Z$3:$AH$18,7)),M388-1,8)</f>
        <v>#N/A</v>
      </c>
      <c r="DX388" s="361" t="str">
        <f t="shared" si="1062"/>
        <v xml:space="preserve"> </v>
      </c>
      <c r="DY388" s="361" t="str">
        <f t="shared" si="1063"/>
        <v xml:space="preserve"> </v>
      </c>
      <c r="DZ388" s="361" t="str">
        <f t="shared" si="1064"/>
        <v xml:space="preserve"> </v>
      </c>
      <c r="EA388" s="362" t="str">
        <f t="shared" si="1065"/>
        <v xml:space="preserve"> </v>
      </c>
      <c r="EB388" s="624" t="str">
        <f t="shared" si="1170"/>
        <v xml:space="preserve"> </v>
      </c>
      <c r="EC388" s="361" t="e">
        <f ca="1">INDEX(INDIRECT(VLOOKUP(LEFT(BO388,7),CLU!$Z$3:$AH$18,7)),M388-1,4+LEFT(DZ388,1)*0.5)</f>
        <v>#N/A</v>
      </c>
      <c r="ED388" s="362" t="str">
        <f t="shared" si="1066"/>
        <v xml:space="preserve"> </v>
      </c>
      <c r="EE388" s="361" t="str">
        <f t="shared" si="1067"/>
        <v xml:space="preserve"> </v>
      </c>
      <c r="EF388" s="362" t="str">
        <f>IF(L388&gt;0,IF(BR388&gt;0,IF(EE388="2P",IF(Calculation!DZ388="2P",IF(Calculation!DS388=13.75,IF(Calculation!DR388=13,Worksheet!$BD$43,IF(Calculation!DR388=37,Worksheet!$BD$44,Worksheet!$BD$45)),IF(Calculation!DS388=10,IF(Calculation!DR388=18,Worksheet!$BD$29,IF(Calculation!DR388=30,Worksheet!$BD$30,IF(Calculation!DR388=42,Worksheet!$BD$31,IF(Calculation!DR388=54,Worksheet!$BD$32,IF(Calculation!DR388=66,Worksheet!$BD$33,IF(Calculation!DR388=78,Worksheet!$BD$34,IF(Calculation!DR388=90,Worksheet!$BD$35,IF(Calculation!DR388=102,Worksheet!$BD$36,Worksheet!$BD$37)))))))),IF(Calculation!DS388=12.5,IF(Calculation!DR388=18,Worksheet!$BD$38,IF(Calculation!DR388=Worksheet!$BD$39,IF(Calculation!DR388=42,Worksheet!$BD$40,IF(Calculation!DR388=54,Worksheet!$BD$41,Worksheet!$BD$42)))),IF(Calculation!DR388=18,Worksheet!$BD$11,IF(Calculation!DR388=30,Worksheet!$BD$12,IF(Calculation!DR388=42,Worksheet!$BD$13,IF(Calculation!DR388=54,Worksheet!$BD$14,IF(Calculation!DR388=66,Worksheet!$BD$15,IF(Calculation!DR388=78,Worksheet!$BD$16,IF(Calculation!DR388=90,Worksheet!$BD$17,IF(Calculation!DR388=102,Worksheet!$BD$18,Worksheet!$BD$19))))))))))),IF(Calculation!DS388=13.75,IF(Calculation!DR388=13,Worksheet!$BD$78,IF(Calculation!DR388=37,Worksheet!$BD$79,Worksheet!$BD$80)),IF(Calculation!DS388=10,IF(Calculation!DR388=18,Worksheet!$BD$64,IF(Calculation!DR388=30,Worksheet!$BD$65,IF(Calculation!DR388=42,Worksheet!$BD$66,IF(Calculation!DR388=54,Worksheet!$BD$68,IF(Calculation!DR388=66,Worksheet!$BD$68,IF(Calculation!DR388=78,Worksheet!$BD$69,IF(Calculation!DR388=90,Worksheet!$BD$70,IF(Calculation!DR388=102,Worksheet!$BD$71,Worksheet!$BD$72)))))))),IF(Calculation!DS388=12.5,IF(Calculation!DR388=18,Worksheet!$BD$73,IF(Calculation!DR388=Worksheet!$BD$74,IF(Calculation!DR388=42,Worksheet!$BD$75,IF(Calculation!DR388=54,Worksheet!$BD$76,Worksheet!$BD$77)))),IF(Calculation!DR388=18,Worksheet!$BD$55,IF(Calculation!DR388=30,Worksheet!$BD$56,IF(Calculation!DR388=42,Worksheet!$BD$57,IF(Calculation!DR388=54,Worksheet!$BD$58,IF(Calculation!DR388=66,Worksheet!$BD$59,IF(Calculation!DR388=78,Worksheet!$BD$60,IF(Calculation!DR388=90,Worksheet!$BD$61,IF(Calculation!DR388=102,Worksheet!$BD$62,Worksheet!$BD$63)))))))))))),5),0)," ")</f>
        <v xml:space="preserve"> </v>
      </c>
      <c r="EG388" s="361" t="str">
        <f t="shared" si="1068"/>
        <v xml:space="preserve"> </v>
      </c>
      <c r="EH388" s="361" t="e">
        <f ca="1">INDEX(INDIRECT(VLOOKUP(LEFT(BO388,7),CLU!$Z$3:$AH$18,7)),M388-1,3+LEFT(DZ388,1))</f>
        <v>#N/A</v>
      </c>
      <c r="EI388" s="362" t="str">
        <f t="shared" si="1069"/>
        <v xml:space="preserve"> </v>
      </c>
      <c r="EJ388" s="363" t="str">
        <f t="shared" si="1070"/>
        <v xml:space="preserve"> </v>
      </c>
      <c r="EK388" s="363" t="str">
        <f t="shared" si="1071"/>
        <v xml:space="preserve"> </v>
      </c>
      <c r="EL388" s="363" t="str">
        <f t="shared" si="1072"/>
        <v xml:space="preserve"> </v>
      </c>
      <c r="EM388" s="362" t="str">
        <f>IF(L388&gt;0,IF(BR388&gt;0,(Calculation!T388/ED388)^2,0)," ")</f>
        <v xml:space="preserve"> </v>
      </c>
      <c r="EN388" s="362" t="str">
        <f>IF(L388&gt;0,IF(O388="2 Pipe (Cooling)","N/A",IF(BR388&gt;0,(Calculation!U388/EI388)^2,0))," ")</f>
        <v xml:space="preserve"> </v>
      </c>
      <c r="EO388" s="361" t="str">
        <f t="shared" si="1073"/>
        <v/>
      </c>
      <c r="EP388" s="361" t="str">
        <f t="shared" si="1074"/>
        <v/>
      </c>
      <c r="EQ388" s="361" t="str">
        <f t="shared" si="1075"/>
        <v/>
      </c>
      <c r="ER388" s="361" t="str">
        <f t="shared" si="1076"/>
        <v/>
      </c>
      <c r="ES388" s="361" t="str">
        <f t="shared" si="1077"/>
        <v/>
      </c>
      <c r="ET388" s="361" t="str">
        <f t="shared" si="1078"/>
        <v/>
      </c>
      <c r="EU388" s="361" t="str">
        <f t="shared" si="1079"/>
        <v/>
      </c>
      <c r="EV388" s="361" t="str">
        <f t="shared" si="1080"/>
        <v/>
      </c>
      <c r="EW388" s="361" t="str">
        <f t="shared" si="1081"/>
        <v/>
      </c>
      <c r="EX388" s="361" t="str">
        <f t="shared" si="1171"/>
        <v>1 slot, 1 way</v>
      </c>
      <c r="EY388" s="361" t="str">
        <f t="shared" si="1172"/>
        <v xml:space="preserve"> </v>
      </c>
      <c r="EZ388" s="361" t="str">
        <f t="shared" si="1173"/>
        <v xml:space="preserve"> </v>
      </c>
      <c r="FA388" s="361" t="str">
        <f t="shared" si="1174"/>
        <v xml:space="preserve"> </v>
      </c>
      <c r="FB388" s="361" t="str">
        <f t="shared" si="1175"/>
        <v xml:space="preserve"> </v>
      </c>
      <c r="FC388" s="361"/>
      <c r="FD388" s="361" t="str">
        <f>IF(J388&gt;0,IF(Calculation!R388&lt;=70,4,IF(Calculation!R388&lt;=110,5,IF(Calculation!R388&lt;=160,6,IF(Calculation!R388&lt;=300,8,"10 EO")))),"")</f>
        <v/>
      </c>
      <c r="FE388" s="361" t="str">
        <f t="shared" si="1176"/>
        <v/>
      </c>
      <c r="FF388" s="361" t="str">
        <f t="shared" si="1177"/>
        <v/>
      </c>
      <c r="FG388" s="361" t="e">
        <f t="shared" si="1082"/>
        <v>#N/A</v>
      </c>
      <c r="FH388" s="361">
        <f t="shared" si="1083"/>
        <v>0</v>
      </c>
      <c r="FI388" s="361" t="e">
        <f t="shared" si="1084"/>
        <v>#DIV/0!</v>
      </c>
      <c r="FJ388" s="361"/>
      <c r="FK388" s="356" t="e">
        <f t="shared" si="1085"/>
        <v>#VALUE!</v>
      </c>
      <c r="FL388" s="361"/>
      <c r="FM388" s="361"/>
      <c r="FN388" s="362" t="str">
        <f t="shared" si="1178"/>
        <v xml:space="preserve"> </v>
      </c>
      <c r="FO388" s="362" t="str">
        <f t="shared" si="1179"/>
        <v xml:space="preserve"> </v>
      </c>
      <c r="FP388" s="362">
        <f t="shared" si="1180"/>
        <v>0</v>
      </c>
      <c r="FQ388" s="361">
        <f t="shared" si="1086"/>
        <v>0</v>
      </c>
      <c r="FR388" s="362" t="str">
        <f>IF(L388&gt;0,IF(J388="CBAL2",Worksheet!$P$67,IF(J388="CBE2-24",Worksheet!$Q$67,IF(J388="CBAM",Worksheet!$R$67,IF(J388="CBLV",Worksheet!$S$67,IF(J388="CBAB",Worksheet!$U$67,IF(J388="CBAW",Worksheet!$X$67,IF(J388="CBE2-12",Worksheet!$Y$67,IF(J388="CBAL2",Worksheet!$Z$67,"N/A"))))))))," ")</f>
        <v xml:space="preserve"> </v>
      </c>
      <c r="FS388" s="362" t="str">
        <f>IF(L388&gt;0,IF(J388="CBAL2",Worksheet!$P$68,IF(J388="CBE2-24",Worksheet!$Q$68,IF(J388="CBAM",Worksheet!$R$68,IF(J388="CBLV",Worksheet!$S$68,IF(J388="CBAB",Worksheet!$U$68,IF(J388="CBAW",Worksheet!$X$68,IF(J388="CBE2-12",Worksheet!$Y$68,IF(J388="CBAL2",Worksheet!$Z$68,"N/A"))))))))," ")</f>
        <v xml:space="preserve"> </v>
      </c>
      <c r="FT388" s="362" t="str">
        <f>IF(L388&gt;0,IF(J388="CBAL2",Worksheet!$P$69,IF(J388="CBE2-24",Worksheet!$Q$69,IF(J388="CBAM",Worksheet!$R$69,IF(J388="CBLV",Worksheet!$S$69,IF(J388="CBAB",Worksheet!$U$69,IF(J388="CBAW",Worksheet!$X$69,IF(J388="CBE2-12",Worksheet!$Y$69,IF(J388="CBAL2",Worksheet!$Z$69,"N/A"))))))))," ")</f>
        <v xml:space="preserve"> </v>
      </c>
      <c r="FU388" s="361" t="str">
        <f t="shared" si="1181"/>
        <v xml:space="preserve"> </v>
      </c>
      <c r="FV388" s="362" t="str">
        <f t="shared" si="1182"/>
        <v xml:space="preserve"> </v>
      </c>
      <c r="FW388" s="362" t="str">
        <f t="shared" si="1183"/>
        <v xml:space="preserve"> </v>
      </c>
      <c r="FX388" s="362" t="str">
        <f t="shared" si="1184"/>
        <v xml:space="preserve"> </v>
      </c>
      <c r="FY388" s="355" t="str">
        <f t="shared" si="1185"/>
        <v xml:space="preserve"> </v>
      </c>
      <c r="FZ388" s="361" t="str">
        <f t="shared" si="1186"/>
        <v xml:space="preserve"> </v>
      </c>
      <c r="GA388" s="347" t="str">
        <f t="shared" si="1187"/>
        <v xml:space="preserve"> </v>
      </c>
      <c r="GB388" s="355" t="str">
        <f t="shared" si="1188"/>
        <v xml:space="preserve"> </v>
      </c>
      <c r="GC388" s="328" t="str">
        <f t="shared" si="1189"/>
        <v xml:space="preserve"> </v>
      </c>
      <c r="GD388" s="361" t="str">
        <f t="shared" si="1190"/>
        <v xml:space="preserve"> </v>
      </c>
      <c r="GE388" s="347" t="str">
        <f t="shared" si="1191"/>
        <v xml:space="preserve"> </v>
      </c>
      <c r="GF388" s="361" t="str">
        <f t="shared" si="1192"/>
        <v xml:space="preserve"> </v>
      </c>
      <c r="GG388" s="347" t="str">
        <f t="shared" si="1193"/>
        <v xml:space="preserve"> </v>
      </c>
      <c r="GH388" s="364">
        <f t="shared" si="1087"/>
        <v>0</v>
      </c>
      <c r="GI388" s="362">
        <f t="shared" si="1194"/>
        <v>2</v>
      </c>
      <c r="GJ388" s="433" t="e">
        <f>IF(6-COUNTBLANK(GT388:GY388)=4,MATCH(MID(BO388,9,3),CLU!$H$16:$K$16),MATCH(MID(BO388,9,3),CLU!$H$13:$M$13))</f>
        <v>#N/A</v>
      </c>
      <c r="GK388" s="433" t="e">
        <f>HLOOKUP(VALUE(BP388),CLU!$H$9:$M$10,2)</f>
        <v>#VALUE!</v>
      </c>
      <c r="GL388" s="433" t="e">
        <f ca="1">MATCH(BU388,CLU!$H$2:$V$2,1)</f>
        <v>#VALUE!</v>
      </c>
      <c r="GM388" s="433" t="e">
        <f t="shared" ca="1" si="1195"/>
        <v>#VALUE!</v>
      </c>
      <c r="GN388" s="433" t="e">
        <f t="shared" ca="1" si="1196"/>
        <v>#VALUE!</v>
      </c>
      <c r="GO388" s="433" t="e">
        <f t="shared" ca="1" si="1197"/>
        <v>#VALUE!</v>
      </c>
      <c r="GP388" s="433" t="e">
        <f t="shared" ca="1" si="1198"/>
        <v>#VALUE!</v>
      </c>
      <c r="GQ388" s="433" t="e">
        <f t="shared" ca="1" si="1199"/>
        <v>#VALUE!</v>
      </c>
      <c r="GR388" s="433" t="e">
        <f ca="1">MATCH(T388,INDIRECT(VLOOKUP(CONCATENATE(LEFT(BO388,7),"-",MID(BO388,13,1)),CLU!$P$3:$Q$16,2)),1)</f>
        <v>#N/A</v>
      </c>
      <c r="GS388" s="433" t="e">
        <f ca="1">MATCH(U388,INDIRECT(VLOOKUP(CONCATENATE(LEFT(BO388,7),"-",MID(BO388,13,1)),CLU!$P$3:$Q$16,2)),1)</f>
        <v>#N/A</v>
      </c>
      <c r="GT388" s="347" t="s">
        <v>512</v>
      </c>
      <c r="GU388" s="97" t="s">
        <v>513</v>
      </c>
      <c r="GV388" s="97" t="str">
        <f t="shared" si="1200"/>
        <v>M23</v>
      </c>
      <c r="GW388" s="97" t="str">
        <f t="shared" si="1201"/>
        <v>M31</v>
      </c>
      <c r="GX388" s="97" t="str">
        <f t="shared" si="1202"/>
        <v/>
      </c>
      <c r="GY388" s="97" t="str">
        <f t="shared" si="1203"/>
        <v/>
      </c>
      <c r="GZ388" s="481"/>
      <c r="HA388" s="240"/>
      <c r="HB388" s="240"/>
      <c r="HC388" s="240"/>
      <c r="HD388" s="240"/>
      <c r="HE388" s="240"/>
      <c r="HF388" s="240"/>
      <c r="HG388" s="240"/>
      <c r="HH388" s="240"/>
      <c r="HI388" s="240"/>
      <c r="HJ388" s="240"/>
      <c r="HK388" s="240"/>
      <c r="HL388" s="240"/>
      <c r="HM388" s="240"/>
      <c r="HN388" s="240"/>
      <c r="HO388" s="240"/>
      <c r="HP388" s="240"/>
      <c r="HQ388" s="240"/>
      <c r="HR388" s="240"/>
      <c r="HS388" s="240"/>
      <c r="HT388" s="240"/>
      <c r="HU388" s="240"/>
      <c r="HV388" s="245"/>
      <c r="HW388" s="245" t="b">
        <v>1</v>
      </c>
      <c r="HX388" s="245" t="str">
        <f t="shared" si="1088"/>
        <v/>
      </c>
      <c r="HY388" s="245" t="e">
        <f t="shared" si="1089"/>
        <v>#DIV/0!</v>
      </c>
      <c r="HZ388" s="245" t="e">
        <f t="shared" si="1090"/>
        <v>#DIV/0!</v>
      </c>
      <c r="IA388" s="245">
        <f t="shared" si="1091"/>
        <v>0</v>
      </c>
      <c r="IB388" s="245"/>
      <c r="IC388" t="b">
        <f t="shared" si="1092"/>
        <v>1</v>
      </c>
      <c r="ID388" s="245" t="b">
        <f t="shared" si="1093"/>
        <v>1</v>
      </c>
      <c r="IE388" s="245" t="b">
        <f t="shared" si="1094"/>
        <v>1</v>
      </c>
      <c r="IF388" s="245" t="b">
        <f t="shared" si="1095"/>
        <v>0</v>
      </c>
      <c r="IG388" s="245" t="b">
        <f t="shared" si="1096"/>
        <v>1</v>
      </c>
      <c r="IH388" s="245" t="b">
        <f t="shared" si="1097"/>
        <v>1</v>
      </c>
      <c r="II388" s="245">
        <f t="shared" si="1204"/>
        <v>0</v>
      </c>
      <c r="IJ388" s="245" t="e">
        <f t="shared" si="1098"/>
        <v>#VALUE!</v>
      </c>
      <c r="IK388" s="245" t="e">
        <f t="shared" si="1099"/>
        <v>#VALUE!</v>
      </c>
      <c r="IL388" s="245"/>
      <c r="IM388" s="245" t="e">
        <f t="shared" si="1205"/>
        <v>#N/A</v>
      </c>
      <c r="IN388" s="245" t="e">
        <f t="shared" si="1206"/>
        <v>#N/A</v>
      </c>
      <c r="IO388" s="245"/>
      <c r="IP388" s="245"/>
      <c r="IQ388" s="245" t="str">
        <f t="shared" si="1100"/>
        <v/>
      </c>
      <c r="IR388" s="245" t="str">
        <f>IF(J388="","",VLOOKUP(J388,Worksheet!$R$4:$T$14,2))</f>
        <v/>
      </c>
      <c r="IS388" s="245"/>
      <c r="IT388" s="245">
        <f t="shared" si="1101"/>
        <v>0</v>
      </c>
      <c r="IU388" s="245">
        <f t="shared" si="1102"/>
        <v>0</v>
      </c>
      <c r="IV388" s="245">
        <f t="shared" si="1103"/>
        <v>0</v>
      </c>
      <c r="IW388" s="245">
        <f t="shared" si="1104"/>
        <v>0</v>
      </c>
      <c r="IX388" s="245">
        <f t="shared" si="1207"/>
        <v>0</v>
      </c>
      <c r="IY388" s="245">
        <f t="shared" si="1105"/>
        <v>0</v>
      </c>
      <c r="IZ388" s="245">
        <f t="shared" si="1106"/>
        <v>0</v>
      </c>
      <c r="JA388">
        <f t="shared" si="1107"/>
        <v>0</v>
      </c>
      <c r="JB388">
        <f t="shared" si="1208"/>
        <v>0</v>
      </c>
      <c r="JC388">
        <f t="shared" si="1108"/>
        <v>0</v>
      </c>
      <c r="JD388">
        <f t="shared" si="1109"/>
        <v>0</v>
      </c>
      <c r="JE388">
        <f t="shared" si="1110"/>
        <v>0</v>
      </c>
      <c r="JF388">
        <f t="shared" si="1111"/>
        <v>0</v>
      </c>
      <c r="JG388">
        <f t="shared" si="1112"/>
        <v>0</v>
      </c>
      <c r="JH388">
        <f t="shared" si="1113"/>
        <v>0</v>
      </c>
      <c r="JI388">
        <f t="shared" si="1114"/>
        <v>0</v>
      </c>
      <c r="JJ388" s="447">
        <f t="shared" si="1115"/>
        <v>0</v>
      </c>
      <c r="JK388" s="447">
        <f t="shared" si="1116"/>
        <v>0</v>
      </c>
      <c r="JL388">
        <f t="shared" si="1117"/>
        <v>0</v>
      </c>
      <c r="JM388" s="245" t="str">
        <f>IFERROR(VLOOKUP(MATCH(BN388,#REF!,0),#REF!,7),"")</f>
        <v/>
      </c>
      <c r="JN388" t="e">
        <f>HLOOKUP(LEFT(BO388,7),Discharge_Area,MATCH(JO388,LookUps!$B$130:$B$149,1)+2)</f>
        <v>#N/A</v>
      </c>
      <c r="JO388" t="str">
        <f t="shared" si="1118"/>
        <v>- S</v>
      </c>
      <c r="JP388" t="e">
        <f>HLOOKUP(LEFT(BO388,7),Discharge_Area,MATCH(JO388,LookUps!$B$130:$B$149,1)+2)</f>
        <v>#N/A</v>
      </c>
      <c r="JQ388" t="e">
        <f t="shared" si="1119"/>
        <v>#N/A</v>
      </c>
      <c r="JR388" t="e">
        <f t="shared" si="1120"/>
        <v>#N/A</v>
      </c>
      <c r="JS388" t="e">
        <f t="shared" si="1121"/>
        <v>#N/A</v>
      </c>
      <c r="JT388" s="532" t="str">
        <f t="shared" si="1122"/>
        <v xml:space="preserve"> </v>
      </c>
      <c r="JU388" s="532" t="str">
        <f t="shared" si="1123"/>
        <v xml:space="preserve"> </v>
      </c>
      <c r="JV388" s="533" t="str">
        <f t="shared" si="1124"/>
        <v xml:space="preserve"> </v>
      </c>
      <c r="JW388" s="534">
        <f t="shared" si="1125"/>
        <v>0</v>
      </c>
      <c r="JX388" s="535" t="str">
        <f t="shared" si="1209"/>
        <v xml:space="preserve"> </v>
      </c>
      <c r="JY388" s="535" t="str">
        <f t="shared" si="1210"/>
        <v xml:space="preserve"> </v>
      </c>
      <c r="JZ388" s="535" t="str">
        <f t="shared" si="1211"/>
        <v xml:space="preserve"> </v>
      </c>
      <c r="KA388" s="536" t="str">
        <f t="shared" si="1126"/>
        <v xml:space="preserve"> </v>
      </c>
      <c r="KB388" s="535" t="e">
        <f t="shared" si="1212"/>
        <v>#VALUE!</v>
      </c>
      <c r="KC388" s="535" t="str">
        <f t="shared" si="1127"/>
        <v/>
      </c>
      <c r="KD388" s="537" t="str">
        <f t="shared" si="1213"/>
        <v xml:space="preserve"> </v>
      </c>
      <c r="KE388" s="537" t="str">
        <f t="shared" si="1214"/>
        <v xml:space="preserve"> </v>
      </c>
      <c r="KF388" s="534">
        <f t="shared" si="1128"/>
        <v>0</v>
      </c>
      <c r="KG388" s="535" t="str">
        <f t="shared" si="1129"/>
        <v xml:space="preserve"> </v>
      </c>
      <c r="KH388" s="535" t="str">
        <f t="shared" si="1130"/>
        <v xml:space="preserve"> </v>
      </c>
      <c r="KI388" s="535" t="str">
        <f t="shared" si="1131"/>
        <v xml:space="preserve"> </v>
      </c>
      <c r="KJ388" s="536" t="str">
        <f t="shared" si="1132"/>
        <v xml:space="preserve"> </v>
      </c>
      <c r="KK388" s="535" t="str">
        <f t="shared" si="1215"/>
        <v xml:space="preserve"> </v>
      </c>
      <c r="KL388" s="535" t="str">
        <f t="shared" si="1216"/>
        <v xml:space="preserve"> </v>
      </c>
      <c r="KM388" s="537" t="str">
        <f t="shared" si="1133"/>
        <v xml:space="preserve"> </v>
      </c>
      <c r="KN388" s="537" t="str">
        <f t="shared" si="1217"/>
        <v xml:space="preserve"> </v>
      </c>
      <c r="KP388">
        <f t="shared" si="1134"/>
        <v>0</v>
      </c>
      <c r="LA388" t="e">
        <f t="shared" si="1135"/>
        <v>#VALUE!</v>
      </c>
      <c r="LB388" t="e">
        <f t="shared" si="1136"/>
        <v>#VALUE!</v>
      </c>
      <c r="LC388" t="e">
        <f t="shared" si="1137"/>
        <v>#VALUE!</v>
      </c>
      <c r="LD388" t="e">
        <f t="shared" si="1138"/>
        <v>#VALUE!</v>
      </c>
      <c r="LE388" t="e">
        <f t="shared" si="1218"/>
        <v>#VALUE!</v>
      </c>
      <c r="LF388">
        <f t="shared" si="1139"/>
        <v>0</v>
      </c>
      <c r="LG388" t="e">
        <f t="shared" si="1219"/>
        <v>#VALUE!</v>
      </c>
      <c r="LH388" t="str">
        <f t="shared" si="1140"/>
        <v xml:space="preserve"> </v>
      </c>
      <c r="LI388">
        <f t="shared" si="1220"/>
        <v>1</v>
      </c>
    </row>
    <row r="389" spans="2:321" ht="15" customHeight="1">
      <c r="B389" s="311"/>
      <c r="C389" s="311"/>
      <c r="D389" s="312"/>
      <c r="E389" s="311"/>
      <c r="F389" s="312"/>
      <c r="G389" s="311"/>
      <c r="H389" s="311"/>
      <c r="I389" s="232"/>
      <c r="J389" s="311"/>
      <c r="K389" s="305" t="str">
        <f t="shared" si="1141"/>
        <v/>
      </c>
      <c r="L389" s="313"/>
      <c r="M389" s="312"/>
      <c r="N389" s="311"/>
      <c r="O389" s="312"/>
      <c r="P389" s="311"/>
      <c r="Q389" s="305" t="str">
        <f t="shared" si="1142"/>
        <v/>
      </c>
      <c r="R389" s="314"/>
      <c r="S389" s="450" t="str">
        <f t="shared" si="1025"/>
        <v/>
      </c>
      <c r="T389" s="315"/>
      <c r="U389" s="315"/>
      <c r="W389" s="149" t="str">
        <f t="shared" si="1026"/>
        <v xml:space="preserve"> </v>
      </c>
      <c r="X389" s="243" t="str">
        <f t="shared" si="1027"/>
        <v xml:space="preserve"> </v>
      </c>
      <c r="Y389" s="150" t="str">
        <f t="shared" si="1028"/>
        <v/>
      </c>
      <c r="Z389" s="149" t="str">
        <f t="shared" si="1029"/>
        <v xml:space="preserve"> </v>
      </c>
      <c r="AA389" s="98" t="str">
        <f t="shared" si="1030"/>
        <v xml:space="preserve"> </v>
      </c>
      <c r="AB389" s="153" t="str">
        <f t="shared" si="1031"/>
        <v xml:space="preserve"> </v>
      </c>
      <c r="AC389" s="153" t="str">
        <f t="shared" si="1032"/>
        <v xml:space="preserve"> </v>
      </c>
      <c r="AD389" s="148" t="str">
        <f t="shared" si="1033"/>
        <v/>
      </c>
      <c r="AE389" s="149" t="str">
        <f t="shared" si="1034"/>
        <v/>
      </c>
      <c r="AF389" s="151" t="str">
        <f t="shared" si="1035"/>
        <v xml:space="preserve"> </v>
      </c>
      <c r="AG389" s="153" t="str">
        <f t="shared" si="1036"/>
        <v xml:space="preserve"> </v>
      </c>
      <c r="AH389" s="98" t="str">
        <f t="shared" si="1037"/>
        <v xml:space="preserve"> </v>
      </c>
      <c r="AI389" s="149" t="str">
        <f t="shared" si="1038"/>
        <v xml:space="preserve"> </v>
      </c>
      <c r="AK389" s="144" t="str">
        <f t="shared" si="1039"/>
        <v xml:space="preserve"> </v>
      </c>
      <c r="AL389" s="144"/>
      <c r="AM389" s="243" t="str">
        <f t="shared" si="1040"/>
        <v xml:space="preserve"> </v>
      </c>
      <c r="AN389" s="149" t="str">
        <f t="shared" si="1143"/>
        <v xml:space="preserve"> </v>
      </c>
      <c r="AO389" s="144" t="str">
        <f>IF(JB389&gt;0,IF(GI389=10,-R389*1.085*(Calculation!$F$6-Calculation!$F$13)*$S$14," "),"")</f>
        <v/>
      </c>
      <c r="AP389" s="144" t="str">
        <f t="shared" si="1041"/>
        <v/>
      </c>
      <c r="AQ389" s="56" t="str">
        <f t="shared" si="1042"/>
        <v/>
      </c>
      <c r="AR389" s="144" t="str">
        <f t="shared" si="1043"/>
        <v/>
      </c>
      <c r="AS389" s="176" t="str">
        <f t="shared" si="1044"/>
        <v/>
      </c>
      <c r="AT389" s="176" t="str">
        <f t="shared" si="1144"/>
        <v xml:space="preserve"> </v>
      </c>
      <c r="AU389" s="176" t="str">
        <f t="shared" si="1045"/>
        <v/>
      </c>
      <c r="AV389" s="177" t="str">
        <f t="shared" si="1046"/>
        <v xml:space="preserve"> </v>
      </c>
      <c r="AW389" s="144" t="str">
        <f t="shared" si="1047"/>
        <v xml:space="preserve"> </v>
      </c>
      <c r="AX389" s="144" t="str">
        <f t="shared" si="1048"/>
        <v xml:space="preserve"> </v>
      </c>
      <c r="AY389" s="152" t="str">
        <f t="shared" si="1049"/>
        <v xml:space="preserve"> </v>
      </c>
      <c r="AZ389" s="246" t="str">
        <f t="shared" si="1050"/>
        <v/>
      </c>
      <c r="BA389" s="176" t="str">
        <f t="shared" si="1051"/>
        <v xml:space="preserve"> </v>
      </c>
      <c r="BB389" s="176" t="str">
        <f t="shared" si="1052"/>
        <v xml:space="preserve"> </v>
      </c>
      <c r="BC389" s="195"/>
      <c r="BD389" s="316"/>
      <c r="BE389" s="317"/>
      <c r="BF389" s="318"/>
      <c r="BG389" s="318"/>
      <c r="BH389" s="144" t="str">
        <f t="shared" si="1221"/>
        <v xml:space="preserve"> </v>
      </c>
      <c r="BI389" s="176" t="str">
        <f t="shared" si="1053"/>
        <v/>
      </c>
      <c r="BJ389" s="144" t="str">
        <f t="shared" si="1222"/>
        <v/>
      </c>
      <c r="BK389" s="246" t="str">
        <f t="shared" si="1054"/>
        <v/>
      </c>
      <c r="BL389" s="144" t="str">
        <f t="shared" si="1223"/>
        <v/>
      </c>
      <c r="BM389" s="246" t="str">
        <f t="shared" si="1055"/>
        <v/>
      </c>
      <c r="BN389" s="337" t="str">
        <f t="shared" si="1145"/>
        <v/>
      </c>
      <c r="BO389" s="371" t="str">
        <f t="shared" si="1146"/>
        <v/>
      </c>
      <c r="BP389" s="328" t="str">
        <f t="shared" si="1224"/>
        <v xml:space="preserve"> </v>
      </c>
      <c r="BQ389" s="347" t="str">
        <f t="shared" si="1147"/>
        <v xml:space="preserve"> </v>
      </c>
      <c r="BR389" s="353" t="str">
        <f t="shared" si="1148"/>
        <v xml:space="preserve"> </v>
      </c>
      <c r="BS389" s="626" t="str">
        <f>IF(L389&gt;0,IF(Calculation!P389="M13",BR389*3.1416*(0.134^2)/(4*144),IF(Calculation!P389="M17",BR389*3.1416*(0.165^2)/(4*144),IF(Calculation!P389="M20",BR389*3.1416*(0.198^2)/(4*144),IF(Calculation!P389="M23",BR389*3.1416*(0.228^2)/(4*144),IF(Calculation!P389="M27",BR389*3.1416*(0.269^2)/(4*144),BR389*3.1416*(0.307^2)/(4*144))))))," ")</f>
        <v xml:space="preserve"> </v>
      </c>
      <c r="BT389" s="353" t="str">
        <f>IF(L389&gt;0,IF(BS389&gt;0,R389/Calculation!BS389,0)," ")</f>
        <v xml:space="preserve"> </v>
      </c>
      <c r="BU389" s="438" t="e">
        <f t="shared" ca="1" si="1056"/>
        <v>#VALUE!</v>
      </c>
      <c r="BV389" s="449" t="e">
        <f ca="1">INDEX(INDIRECT(VLOOKUP(LEFT(BO389,7),CLU!$Z$3:$AH$18,2)),GN389,GR389)</f>
        <v>#N/A</v>
      </c>
      <c r="BW389" s="433" t="e">
        <f ca="1">INDEX(INDIRECT(VLOOKUP(LEFT(BO389,7),CLU!$Z$3:$AH$18,3)),GN389,GR389)</f>
        <v>#N/A</v>
      </c>
      <c r="BX389" s="433" t="e">
        <f ca="1">INDEX(INDIRECT(VLOOKUP(LEFT(BO389,7),CLU!$Z$3:$AH$18,4)),GN389,GR389)</f>
        <v>#N/A</v>
      </c>
      <c r="BY389" s="433" t="e">
        <f ca="1">INDEX(INDIRECT(VLOOKUP(LEFT(BO389,7),CLU!$Z$3:$AH$18,9)),((M389-2)*(6-COUNTBLANK(GT389:GY389)))+GJ389)</f>
        <v>#N/A</v>
      </c>
      <c r="BZ389" s="426" t="e">
        <f t="shared" ca="1" si="1149"/>
        <v>#N/A</v>
      </c>
      <c r="CA389" s="424" t="e">
        <f t="shared" ca="1" si="1150"/>
        <v>#N/A</v>
      </c>
      <c r="CB389" s="429" t="e">
        <f ca="1">INDEX(INDIRECT(VLOOKUP(LEFT(BO389,7),CLU!$Z$3:$AH$18,2)),GN389,GS389)</f>
        <v>#N/A</v>
      </c>
      <c r="CC389" s="342" t="e">
        <f ca="1">INDEX(INDIRECT(VLOOKUP(LEFT(BO389,7),CLU!$Z$3:$AH$18,3)),GN389,GS389)</f>
        <v>#N/A</v>
      </c>
      <c r="CD389" s="342" t="e">
        <f ca="1">INDEX(INDIRECT(VLOOKUP(LEFT(BO389,7),CLU!$Z$3:$AH$18,4)),GN389,GS389)</f>
        <v>#N/A</v>
      </c>
      <c r="CE389" s="426" t="e">
        <f t="shared" ca="1" si="1151"/>
        <v>#N/A</v>
      </c>
      <c r="CF389" s="440">
        <f t="shared" si="1152"/>
        <v>0</v>
      </c>
      <c r="CG389" s="431" t="e">
        <f ca="1">INDEX(INDIRECT(VLOOKUP(LEFT(BO389,7),CLU!$Z$3:$AH$18,2)),GQ389,GR389)</f>
        <v>#N/A</v>
      </c>
      <c r="CH389" s="431" t="e">
        <f ca="1">INDEX(INDIRECT(VLOOKUP(LEFT(BO389,7),CLU!$Z$3:$AH$18,3)),GQ389,GR389)</f>
        <v>#N/A</v>
      </c>
      <c r="CI389" s="431" t="e">
        <f ca="1">INDEX(INDIRECT(VLOOKUP(LEFT(BO389,7),CLU!$Z$3:$AH$18,4)),GQ389,GR389)</f>
        <v>#N/A</v>
      </c>
      <c r="CJ389" s="448" t="e">
        <f t="shared" ca="1" si="1153"/>
        <v>#N/A</v>
      </c>
      <c r="CK389" s="431" t="e">
        <f t="shared" ca="1" si="1154"/>
        <v>#N/A</v>
      </c>
      <c r="CL389" s="440" t="e">
        <f t="shared" ca="1" si="1155"/>
        <v>#N/A</v>
      </c>
      <c r="CM389" s="431" t="e">
        <f ca="1">INDEX(INDIRECT(VLOOKUP(LEFT(BO389,7),CLU!$Z$3:$AH$18,2)),GQ389,GS389)</f>
        <v>#N/A</v>
      </c>
      <c r="CN389" s="431" t="e">
        <f ca="1">INDEX(INDIRECT(VLOOKUP(LEFT(BO389,7),CLU!$Z$3:$AH$18,3)),GQ389,GS389)</f>
        <v>#N/A</v>
      </c>
      <c r="CO389" s="431" t="e">
        <f ca="1">INDEX(INDIRECT(VLOOKUP(LEFT(BO389,7),CLU!$Z$3:$AH$18,4)),GQ389,GS389)</f>
        <v>#N/A</v>
      </c>
      <c r="CP389" s="431" t="e">
        <f t="shared" ca="1" si="1156"/>
        <v>#N/A</v>
      </c>
      <c r="CQ389" s="440">
        <f t="shared" si="1157"/>
        <v>0</v>
      </c>
      <c r="CR389" s="51" t="e">
        <f t="shared" ca="1" si="1158"/>
        <v>#N/A</v>
      </c>
      <c r="CS389" s="439" t="e">
        <f t="shared" ca="1" si="1159"/>
        <v>#VALUE!</v>
      </c>
      <c r="CT389" s="51" t="e">
        <f t="shared" ca="1" si="1160"/>
        <v>#VALUE!</v>
      </c>
      <c r="CU389" s="10"/>
      <c r="CV389" s="51" t="e">
        <f t="shared" ca="1" si="1057"/>
        <v>#VALUE!</v>
      </c>
      <c r="CW389" s="51">
        <f t="shared" si="1161"/>
        <v>0</v>
      </c>
      <c r="CX389" s="439" t="e">
        <f t="shared" ca="1" si="1162"/>
        <v>#VALUE!</v>
      </c>
      <c r="CY389" s="51" t="e">
        <f t="shared" ca="1" si="1163"/>
        <v>#VALUE!</v>
      </c>
      <c r="CZ389" s="10"/>
      <c r="DA389" s="51" t="e">
        <f t="shared" ca="1" si="1164"/>
        <v>#VALUE!</v>
      </c>
      <c r="DB389" s="347" t="e">
        <f ca="1">INDEX(INDIRECT(VLOOKUP(LEFT(BO389,7),CLU!$Z$3:$AI$18,10)),((M389-2)*(6-COUNTBLANK(GT389:GY389)))+GJ389)*LI389</f>
        <v>#N/A</v>
      </c>
      <c r="DC389" s="347" t="str">
        <f>IF(L389&gt;0,((R389/Worksheet!$I$15)/DB389)^2," ")</f>
        <v xml:space="preserve"> </v>
      </c>
      <c r="DD389" s="602" t="str">
        <f t="shared" si="1165"/>
        <v xml:space="preserve"> </v>
      </c>
      <c r="DE389" s="347" t="str">
        <f t="shared" si="1058"/>
        <v xml:space="preserve"> </v>
      </c>
      <c r="DF389" s="356" t="e">
        <f ca="1">INDEX(INDIRECT(VLOOKUP(LEFT(BO389,7),CLU!$Z$3:$AH$18,8)),((M389-2)*(6-COUNTBLANK(GT389:GY389)))+GJ389)</f>
        <v>#N/A</v>
      </c>
      <c r="DG389" s="347" t="str">
        <f t="shared" si="1059"/>
        <v xml:space="preserve"> </v>
      </c>
      <c r="DH389" s="357" t="str">
        <f t="shared" si="1060"/>
        <v xml:space="preserve"> </v>
      </c>
      <c r="DI389" s="355" t="str">
        <f t="shared" si="1061"/>
        <v xml:space="preserve"> </v>
      </c>
      <c r="DJ389" s="245" t="e">
        <f ca="1">INDEX(INDIRECT(VLOOKUP(LEFT(BO389,7),CLU!$Z$3:$AH$18,5)),GL389,GK389)</f>
        <v>#N/A</v>
      </c>
      <c r="DK389" s="245" t="e">
        <f ca="1">INDEX(INDIRECT(VLOOKUP(LEFT(BO389,7),CLU!$Z$3:$AH$18,6)),GL389,GK389)</f>
        <v>#N/A</v>
      </c>
      <c r="DL389" s="355">
        <f>(Calculation!R389*0.69143*(Calculation!$BQ$8-Calculation!$F$8))*$S$14</f>
        <v>0</v>
      </c>
      <c r="DM389" s="359" t="e">
        <f t="shared" si="1166"/>
        <v>#VALUE!</v>
      </c>
      <c r="DN389" s="611">
        <f t="shared" si="1167"/>
        <v>0</v>
      </c>
      <c r="DO389" s="359">
        <f t="shared" si="1168"/>
        <v>100</v>
      </c>
      <c r="DP389" s="359">
        <f t="shared" si="1169"/>
        <v>0</v>
      </c>
      <c r="DQ389" s="360"/>
      <c r="DR389" s="245" t="e">
        <f ca="1">INDEX(INDIRECT(VLOOKUP(LEFT(BO389,7),CLU!$Z$3:$AH$18,7)),M389-1,1)</f>
        <v>#N/A</v>
      </c>
      <c r="DS389" s="245" t="e">
        <f ca="1">INDEX(INDIRECT(VLOOKUP(LEFT(BO389,7),CLU!$Z$3:$AH$18,7)),M389-1,2)</f>
        <v>#N/A</v>
      </c>
      <c r="DT389" s="245" t="e">
        <f ca="1">INDEX(INDIRECT(VLOOKUP(LEFT(BO389,7),CLU!$Z$3:$AH$18,7)),M389-1,3)</f>
        <v>#N/A</v>
      </c>
      <c r="DU389" s="245" t="e">
        <f ca="1">INDEX(INDIRECT(VLOOKUP(LEFT(BO389,7),CLU!$Z$3:$AH$18,7)),M389-1,4)</f>
        <v>#N/A</v>
      </c>
      <c r="DV389" s="361" t="e">
        <f ca="1">INDEX(INDIRECT(VLOOKUP(LEFT(BO389,7),CLU!$Z$3:$AH$18,7)),M389-1,4+LEFT(DZ389,1)*0.5)</f>
        <v>#N/A</v>
      </c>
      <c r="DW389" s="245" t="e">
        <f ca="1">INDEX(INDIRECT(VLOOKUP(LEFT(BO389,7),CLU!$Z$3:$AH$18,7)),M389-1,8)</f>
        <v>#N/A</v>
      </c>
      <c r="DX389" s="361" t="str">
        <f t="shared" si="1062"/>
        <v xml:space="preserve"> </v>
      </c>
      <c r="DY389" s="361" t="str">
        <f t="shared" si="1063"/>
        <v xml:space="preserve"> </v>
      </c>
      <c r="DZ389" s="361" t="str">
        <f t="shared" si="1064"/>
        <v xml:space="preserve"> </v>
      </c>
      <c r="EA389" s="362" t="str">
        <f t="shared" si="1065"/>
        <v xml:space="preserve"> </v>
      </c>
      <c r="EB389" s="624" t="str">
        <f t="shared" si="1170"/>
        <v xml:space="preserve"> </v>
      </c>
      <c r="EC389" s="361" t="e">
        <f ca="1">INDEX(INDIRECT(VLOOKUP(LEFT(BO389,7),CLU!$Z$3:$AH$18,7)),M389-1,4+LEFT(DZ389,1)*0.5)</f>
        <v>#N/A</v>
      </c>
      <c r="ED389" s="362" t="str">
        <f t="shared" si="1066"/>
        <v xml:space="preserve"> </v>
      </c>
      <c r="EE389" s="361" t="str">
        <f t="shared" si="1067"/>
        <v xml:space="preserve"> </v>
      </c>
      <c r="EF389" s="362" t="str">
        <f>IF(L389&gt;0,IF(BR389&gt;0,IF(EE389="2P",IF(Calculation!DZ389="2P",IF(Calculation!DS389=13.75,IF(Calculation!DR389=13,Worksheet!$BD$43,IF(Calculation!DR389=37,Worksheet!$BD$44,Worksheet!$BD$45)),IF(Calculation!DS389=10,IF(Calculation!DR389=18,Worksheet!$BD$29,IF(Calculation!DR389=30,Worksheet!$BD$30,IF(Calculation!DR389=42,Worksheet!$BD$31,IF(Calculation!DR389=54,Worksheet!$BD$32,IF(Calculation!DR389=66,Worksheet!$BD$33,IF(Calculation!DR389=78,Worksheet!$BD$34,IF(Calculation!DR389=90,Worksheet!$BD$35,IF(Calculation!DR389=102,Worksheet!$BD$36,Worksheet!$BD$37)))))))),IF(Calculation!DS389=12.5,IF(Calculation!DR389=18,Worksheet!$BD$38,IF(Calculation!DR389=Worksheet!$BD$39,IF(Calculation!DR389=42,Worksheet!$BD$40,IF(Calculation!DR389=54,Worksheet!$BD$41,Worksheet!$BD$42)))),IF(Calculation!DR389=18,Worksheet!$BD$11,IF(Calculation!DR389=30,Worksheet!$BD$12,IF(Calculation!DR389=42,Worksheet!$BD$13,IF(Calculation!DR389=54,Worksheet!$BD$14,IF(Calculation!DR389=66,Worksheet!$BD$15,IF(Calculation!DR389=78,Worksheet!$BD$16,IF(Calculation!DR389=90,Worksheet!$BD$17,IF(Calculation!DR389=102,Worksheet!$BD$18,Worksheet!$BD$19))))))))))),IF(Calculation!DS389=13.75,IF(Calculation!DR389=13,Worksheet!$BD$78,IF(Calculation!DR389=37,Worksheet!$BD$79,Worksheet!$BD$80)),IF(Calculation!DS389=10,IF(Calculation!DR389=18,Worksheet!$BD$64,IF(Calculation!DR389=30,Worksheet!$BD$65,IF(Calculation!DR389=42,Worksheet!$BD$66,IF(Calculation!DR389=54,Worksheet!$BD$68,IF(Calculation!DR389=66,Worksheet!$BD$68,IF(Calculation!DR389=78,Worksheet!$BD$69,IF(Calculation!DR389=90,Worksheet!$BD$70,IF(Calculation!DR389=102,Worksheet!$BD$71,Worksheet!$BD$72)))))))),IF(Calculation!DS389=12.5,IF(Calculation!DR389=18,Worksheet!$BD$73,IF(Calculation!DR389=Worksheet!$BD$74,IF(Calculation!DR389=42,Worksheet!$BD$75,IF(Calculation!DR389=54,Worksheet!$BD$76,Worksheet!$BD$77)))),IF(Calculation!DR389=18,Worksheet!$BD$55,IF(Calculation!DR389=30,Worksheet!$BD$56,IF(Calculation!DR389=42,Worksheet!$BD$57,IF(Calculation!DR389=54,Worksheet!$BD$58,IF(Calculation!DR389=66,Worksheet!$BD$59,IF(Calculation!DR389=78,Worksheet!$BD$60,IF(Calculation!DR389=90,Worksheet!$BD$61,IF(Calculation!DR389=102,Worksheet!$BD$62,Worksheet!$BD$63)))))))))))),5),0)," ")</f>
        <v xml:space="preserve"> </v>
      </c>
      <c r="EG389" s="361" t="str">
        <f t="shared" si="1068"/>
        <v xml:space="preserve"> </v>
      </c>
      <c r="EH389" s="361" t="e">
        <f ca="1">INDEX(INDIRECT(VLOOKUP(LEFT(BO389,7),CLU!$Z$3:$AH$18,7)),M389-1,3+LEFT(DZ389,1))</f>
        <v>#N/A</v>
      </c>
      <c r="EI389" s="362" t="str">
        <f t="shared" si="1069"/>
        <v xml:space="preserve"> </v>
      </c>
      <c r="EJ389" s="363" t="str">
        <f t="shared" si="1070"/>
        <v xml:space="preserve"> </v>
      </c>
      <c r="EK389" s="363" t="str">
        <f t="shared" si="1071"/>
        <v xml:space="preserve"> </v>
      </c>
      <c r="EL389" s="363" t="str">
        <f t="shared" si="1072"/>
        <v xml:space="preserve"> </v>
      </c>
      <c r="EM389" s="362" t="str">
        <f>IF(L389&gt;0,IF(BR389&gt;0,(Calculation!T389/ED389)^2,0)," ")</f>
        <v xml:space="preserve"> </v>
      </c>
      <c r="EN389" s="362" t="str">
        <f>IF(L389&gt;0,IF(O389="2 Pipe (Cooling)","N/A",IF(BR389&gt;0,(Calculation!U389/EI389)^2,0))," ")</f>
        <v xml:space="preserve"> </v>
      </c>
      <c r="EO389" s="361" t="str">
        <f t="shared" si="1073"/>
        <v/>
      </c>
      <c r="EP389" s="361" t="str">
        <f t="shared" si="1074"/>
        <v/>
      </c>
      <c r="EQ389" s="361" t="str">
        <f t="shared" si="1075"/>
        <v/>
      </c>
      <c r="ER389" s="361" t="str">
        <f t="shared" si="1076"/>
        <v/>
      </c>
      <c r="ES389" s="361" t="str">
        <f t="shared" si="1077"/>
        <v/>
      </c>
      <c r="ET389" s="361" t="str">
        <f t="shared" si="1078"/>
        <v/>
      </c>
      <c r="EU389" s="361" t="str">
        <f t="shared" si="1079"/>
        <v/>
      </c>
      <c r="EV389" s="361" t="str">
        <f t="shared" si="1080"/>
        <v/>
      </c>
      <c r="EW389" s="361" t="str">
        <f t="shared" si="1081"/>
        <v/>
      </c>
      <c r="EX389" s="361" t="str">
        <f t="shared" si="1171"/>
        <v>1 slot, 1 way</v>
      </c>
      <c r="EY389" s="361" t="str">
        <f t="shared" si="1172"/>
        <v xml:space="preserve"> </v>
      </c>
      <c r="EZ389" s="361" t="str">
        <f t="shared" si="1173"/>
        <v xml:space="preserve"> </v>
      </c>
      <c r="FA389" s="361" t="str">
        <f t="shared" si="1174"/>
        <v xml:space="preserve"> </v>
      </c>
      <c r="FB389" s="361" t="str">
        <f t="shared" si="1175"/>
        <v xml:space="preserve"> </v>
      </c>
      <c r="FC389" s="361"/>
      <c r="FD389" s="361" t="str">
        <f>IF(J389&gt;0,IF(Calculation!R389&lt;=70,4,IF(Calculation!R389&lt;=110,5,IF(Calculation!R389&lt;=160,6,IF(Calculation!R389&lt;=300,8,"10 EO")))),"")</f>
        <v/>
      </c>
      <c r="FE389" s="361" t="str">
        <f t="shared" si="1176"/>
        <v/>
      </c>
      <c r="FF389" s="361" t="str">
        <f t="shared" si="1177"/>
        <v/>
      </c>
      <c r="FG389" s="361" t="e">
        <f t="shared" si="1082"/>
        <v>#N/A</v>
      </c>
      <c r="FH389" s="361">
        <f t="shared" si="1083"/>
        <v>0</v>
      </c>
      <c r="FI389" s="361" t="e">
        <f t="shared" si="1084"/>
        <v>#DIV/0!</v>
      </c>
      <c r="FJ389" s="361"/>
      <c r="FK389" s="356" t="e">
        <f t="shared" si="1085"/>
        <v>#VALUE!</v>
      </c>
      <c r="FL389" s="361"/>
      <c r="FM389" s="361"/>
      <c r="FN389" s="362" t="str">
        <f t="shared" si="1178"/>
        <v xml:space="preserve"> </v>
      </c>
      <c r="FO389" s="362" t="str">
        <f t="shared" si="1179"/>
        <v xml:space="preserve"> </v>
      </c>
      <c r="FP389" s="362">
        <f t="shared" si="1180"/>
        <v>0</v>
      </c>
      <c r="FQ389" s="361">
        <f t="shared" si="1086"/>
        <v>0</v>
      </c>
      <c r="FR389" s="362" t="str">
        <f>IF(L389&gt;0,IF(J389="CBAL2",Worksheet!$P$67,IF(J389="CBE2-24",Worksheet!$Q$67,IF(J389="CBAM",Worksheet!$R$67,IF(J389="CBLV",Worksheet!$S$67,IF(J389="CBAB",Worksheet!$U$67,IF(J389="CBAW",Worksheet!$X$67,IF(J389="CBE2-12",Worksheet!$Y$67,IF(J389="CBAL2",Worksheet!$Z$67,"N/A"))))))))," ")</f>
        <v xml:space="preserve"> </v>
      </c>
      <c r="FS389" s="362" t="str">
        <f>IF(L389&gt;0,IF(J389="CBAL2",Worksheet!$P$68,IF(J389="CBE2-24",Worksheet!$Q$68,IF(J389="CBAM",Worksheet!$R$68,IF(J389="CBLV",Worksheet!$S$68,IF(J389="CBAB",Worksheet!$U$68,IF(J389="CBAW",Worksheet!$X$68,IF(J389="CBE2-12",Worksheet!$Y$68,IF(J389="CBAL2",Worksheet!$Z$68,"N/A"))))))))," ")</f>
        <v xml:space="preserve"> </v>
      </c>
      <c r="FT389" s="362" t="str">
        <f>IF(L389&gt;0,IF(J389="CBAL2",Worksheet!$P$69,IF(J389="CBE2-24",Worksheet!$Q$69,IF(J389="CBAM",Worksheet!$R$69,IF(J389="CBLV",Worksheet!$S$69,IF(J389="CBAB",Worksheet!$U$69,IF(J389="CBAW",Worksheet!$X$69,IF(J389="CBE2-12",Worksheet!$Y$69,IF(J389="CBAL2",Worksheet!$Z$69,"N/A"))))))))," ")</f>
        <v xml:space="preserve"> </v>
      </c>
      <c r="FU389" s="361" t="str">
        <f t="shared" si="1181"/>
        <v xml:space="preserve"> </v>
      </c>
      <c r="FV389" s="362" t="str">
        <f t="shared" si="1182"/>
        <v xml:space="preserve"> </v>
      </c>
      <c r="FW389" s="362" t="str">
        <f t="shared" si="1183"/>
        <v xml:space="preserve"> </v>
      </c>
      <c r="FX389" s="362" t="str">
        <f t="shared" si="1184"/>
        <v xml:space="preserve"> </v>
      </c>
      <c r="FY389" s="355" t="str">
        <f t="shared" si="1185"/>
        <v xml:space="preserve"> </v>
      </c>
      <c r="FZ389" s="361" t="str">
        <f t="shared" si="1186"/>
        <v xml:space="preserve"> </v>
      </c>
      <c r="GA389" s="347" t="str">
        <f t="shared" si="1187"/>
        <v xml:space="preserve"> </v>
      </c>
      <c r="GB389" s="355" t="str">
        <f t="shared" si="1188"/>
        <v xml:space="preserve"> </v>
      </c>
      <c r="GC389" s="328" t="str">
        <f t="shared" si="1189"/>
        <v xml:space="preserve"> </v>
      </c>
      <c r="GD389" s="361" t="str">
        <f t="shared" si="1190"/>
        <v xml:space="preserve"> </v>
      </c>
      <c r="GE389" s="347" t="str">
        <f t="shared" si="1191"/>
        <v xml:space="preserve"> </v>
      </c>
      <c r="GF389" s="361" t="str">
        <f t="shared" si="1192"/>
        <v xml:space="preserve"> </v>
      </c>
      <c r="GG389" s="347" t="str">
        <f t="shared" si="1193"/>
        <v xml:space="preserve"> </v>
      </c>
      <c r="GH389" s="364">
        <f t="shared" si="1087"/>
        <v>0</v>
      </c>
      <c r="GI389" s="362">
        <f t="shared" si="1194"/>
        <v>2</v>
      </c>
      <c r="GJ389" s="433" t="e">
        <f>IF(6-COUNTBLANK(GT389:GY389)=4,MATCH(MID(BO389,9,3),CLU!$H$16:$K$16),MATCH(MID(BO389,9,3),CLU!$H$13:$M$13))</f>
        <v>#N/A</v>
      </c>
      <c r="GK389" s="433" t="e">
        <f>HLOOKUP(VALUE(BP389),CLU!$H$9:$M$10,2)</f>
        <v>#VALUE!</v>
      </c>
      <c r="GL389" s="433" t="e">
        <f ca="1">MATCH(BU389,CLU!$H$2:$V$2,1)</f>
        <v>#VALUE!</v>
      </c>
      <c r="GM389" s="433" t="e">
        <f t="shared" ca="1" si="1195"/>
        <v>#VALUE!</v>
      </c>
      <c r="GN389" s="433" t="e">
        <f t="shared" ca="1" si="1196"/>
        <v>#VALUE!</v>
      </c>
      <c r="GO389" s="433" t="e">
        <f t="shared" ca="1" si="1197"/>
        <v>#VALUE!</v>
      </c>
      <c r="GP389" s="433" t="e">
        <f t="shared" ca="1" si="1198"/>
        <v>#VALUE!</v>
      </c>
      <c r="GQ389" s="433" t="e">
        <f t="shared" ca="1" si="1199"/>
        <v>#VALUE!</v>
      </c>
      <c r="GR389" s="433" t="e">
        <f ca="1">MATCH(T389,INDIRECT(VLOOKUP(CONCATENATE(LEFT(BO389,7),"-",MID(BO389,13,1)),CLU!$P$3:$Q$16,2)),1)</f>
        <v>#N/A</v>
      </c>
      <c r="GS389" s="433" t="e">
        <f ca="1">MATCH(U389,INDIRECT(VLOOKUP(CONCATENATE(LEFT(BO389,7),"-",MID(BO389,13,1)),CLU!$P$3:$Q$16,2)),1)</f>
        <v>#N/A</v>
      </c>
      <c r="GT389" s="347" t="s">
        <v>512</v>
      </c>
      <c r="GU389" s="97" t="s">
        <v>513</v>
      </c>
      <c r="GV389" s="97" t="str">
        <f t="shared" si="1200"/>
        <v>M23</v>
      </c>
      <c r="GW389" s="97" t="str">
        <f t="shared" si="1201"/>
        <v>M31</v>
      </c>
      <c r="GX389" s="97" t="str">
        <f t="shared" si="1202"/>
        <v/>
      </c>
      <c r="GY389" s="97" t="str">
        <f t="shared" si="1203"/>
        <v/>
      </c>
      <c r="GZ389" s="481"/>
      <c r="HA389" s="240"/>
      <c r="HB389" s="240"/>
      <c r="HC389" s="240"/>
      <c r="HD389" s="240"/>
      <c r="HE389" s="240"/>
      <c r="HF389" s="240"/>
      <c r="HG389" s="240"/>
      <c r="HH389" s="240"/>
      <c r="HI389" s="240"/>
      <c r="HJ389" s="240"/>
      <c r="HK389" s="240"/>
      <c r="HL389" s="240"/>
      <c r="HM389" s="240"/>
      <c r="HN389" s="240"/>
      <c r="HO389" s="240"/>
      <c r="HP389" s="240"/>
      <c r="HQ389" s="240"/>
      <c r="HR389" s="240"/>
      <c r="HS389" s="240"/>
      <c r="HT389" s="240"/>
      <c r="HU389" s="240"/>
      <c r="HV389" s="245"/>
      <c r="HW389" s="245" t="b">
        <v>1</v>
      </c>
      <c r="HX389" s="245" t="str">
        <f t="shared" si="1088"/>
        <v/>
      </c>
      <c r="HY389" s="245" t="e">
        <f t="shared" si="1089"/>
        <v>#DIV/0!</v>
      </c>
      <c r="HZ389" s="245" t="e">
        <f t="shared" si="1090"/>
        <v>#DIV/0!</v>
      </c>
      <c r="IA389" s="245">
        <f t="shared" si="1091"/>
        <v>0</v>
      </c>
      <c r="IB389" s="245"/>
      <c r="IC389" t="b">
        <f t="shared" si="1092"/>
        <v>1</v>
      </c>
      <c r="ID389" s="245" t="b">
        <f t="shared" si="1093"/>
        <v>1</v>
      </c>
      <c r="IE389" s="245" t="b">
        <f t="shared" si="1094"/>
        <v>1</v>
      </c>
      <c r="IF389" s="245" t="b">
        <f t="shared" si="1095"/>
        <v>0</v>
      </c>
      <c r="IG389" s="245" t="b">
        <f t="shared" si="1096"/>
        <v>1</v>
      </c>
      <c r="IH389" s="245" t="b">
        <f t="shared" si="1097"/>
        <v>1</v>
      </c>
      <c r="II389" s="245">
        <f t="shared" si="1204"/>
        <v>0</v>
      </c>
      <c r="IJ389" s="245" t="e">
        <f t="shared" si="1098"/>
        <v>#VALUE!</v>
      </c>
      <c r="IK389" s="245" t="e">
        <f t="shared" si="1099"/>
        <v>#VALUE!</v>
      </c>
      <c r="IL389" s="245"/>
      <c r="IM389" s="245" t="e">
        <f t="shared" si="1205"/>
        <v>#N/A</v>
      </c>
      <c r="IN389" s="245" t="e">
        <f t="shared" si="1206"/>
        <v>#N/A</v>
      </c>
      <c r="IO389" s="245"/>
      <c r="IP389" s="245"/>
      <c r="IQ389" s="245" t="str">
        <f t="shared" si="1100"/>
        <v/>
      </c>
      <c r="IR389" s="245" t="str">
        <f>IF(J389="","",VLOOKUP(J389,Worksheet!$R$4:$T$14,2))</f>
        <v/>
      </c>
      <c r="IS389" s="245"/>
      <c r="IT389" s="245">
        <f t="shared" si="1101"/>
        <v>0</v>
      </c>
      <c r="IU389" s="245">
        <f t="shared" si="1102"/>
        <v>0</v>
      </c>
      <c r="IV389" s="245">
        <f t="shared" si="1103"/>
        <v>0</v>
      </c>
      <c r="IW389" s="245">
        <f t="shared" si="1104"/>
        <v>0</v>
      </c>
      <c r="IX389" s="245">
        <f t="shared" si="1207"/>
        <v>0</v>
      </c>
      <c r="IY389" s="245">
        <f t="shared" si="1105"/>
        <v>0</v>
      </c>
      <c r="IZ389" s="245">
        <f t="shared" si="1106"/>
        <v>0</v>
      </c>
      <c r="JA389">
        <f t="shared" si="1107"/>
        <v>0</v>
      </c>
      <c r="JB389">
        <f t="shared" si="1208"/>
        <v>0</v>
      </c>
      <c r="JC389">
        <f t="shared" si="1108"/>
        <v>0</v>
      </c>
      <c r="JD389">
        <f t="shared" si="1109"/>
        <v>0</v>
      </c>
      <c r="JE389">
        <f t="shared" si="1110"/>
        <v>0</v>
      </c>
      <c r="JF389">
        <f t="shared" si="1111"/>
        <v>0</v>
      </c>
      <c r="JG389">
        <f t="shared" si="1112"/>
        <v>0</v>
      </c>
      <c r="JH389">
        <f t="shared" si="1113"/>
        <v>0</v>
      </c>
      <c r="JI389">
        <f t="shared" si="1114"/>
        <v>0</v>
      </c>
      <c r="JJ389" s="447">
        <f t="shared" si="1115"/>
        <v>0</v>
      </c>
      <c r="JK389" s="447">
        <f t="shared" si="1116"/>
        <v>0</v>
      </c>
      <c r="JL389">
        <f t="shared" si="1117"/>
        <v>0</v>
      </c>
      <c r="JM389" s="245" t="str">
        <f>IFERROR(VLOOKUP(MATCH(BN389,#REF!,0),#REF!,7),"")</f>
        <v/>
      </c>
      <c r="JN389" t="e">
        <f>HLOOKUP(LEFT(BO389,7),Discharge_Area,MATCH(JO389,LookUps!$B$130:$B$149,1)+2)</f>
        <v>#N/A</v>
      </c>
      <c r="JO389" t="str">
        <f t="shared" si="1118"/>
        <v>- S</v>
      </c>
      <c r="JP389" t="e">
        <f>HLOOKUP(LEFT(BO389,7),Discharge_Area,MATCH(JO389,LookUps!$B$130:$B$149,1)+2)</f>
        <v>#N/A</v>
      </c>
      <c r="JQ389" t="e">
        <f t="shared" si="1119"/>
        <v>#N/A</v>
      </c>
      <c r="JR389" t="e">
        <f t="shared" si="1120"/>
        <v>#N/A</v>
      </c>
      <c r="JS389" t="e">
        <f t="shared" si="1121"/>
        <v>#N/A</v>
      </c>
      <c r="JT389" s="532" t="str">
        <f t="shared" si="1122"/>
        <v xml:space="preserve"> </v>
      </c>
      <c r="JU389" s="532" t="str">
        <f t="shared" si="1123"/>
        <v xml:space="preserve"> </v>
      </c>
      <c r="JV389" s="533" t="str">
        <f t="shared" si="1124"/>
        <v xml:space="preserve"> </v>
      </c>
      <c r="JW389" s="534">
        <f t="shared" si="1125"/>
        <v>0</v>
      </c>
      <c r="JX389" s="535" t="str">
        <f t="shared" si="1209"/>
        <v xml:space="preserve"> </v>
      </c>
      <c r="JY389" s="535" t="str">
        <f t="shared" si="1210"/>
        <v xml:space="preserve"> </v>
      </c>
      <c r="JZ389" s="535" t="str">
        <f t="shared" si="1211"/>
        <v xml:space="preserve"> </v>
      </c>
      <c r="KA389" s="536" t="str">
        <f t="shared" si="1126"/>
        <v xml:space="preserve"> </v>
      </c>
      <c r="KB389" s="535" t="e">
        <f t="shared" si="1212"/>
        <v>#VALUE!</v>
      </c>
      <c r="KC389" s="535" t="str">
        <f t="shared" si="1127"/>
        <v/>
      </c>
      <c r="KD389" s="537" t="str">
        <f t="shared" si="1213"/>
        <v xml:space="preserve"> </v>
      </c>
      <c r="KE389" s="537" t="str">
        <f t="shared" si="1214"/>
        <v xml:space="preserve"> </v>
      </c>
      <c r="KF389" s="534">
        <f t="shared" si="1128"/>
        <v>0</v>
      </c>
      <c r="KG389" s="535" t="str">
        <f t="shared" si="1129"/>
        <v xml:space="preserve"> </v>
      </c>
      <c r="KH389" s="535" t="str">
        <f t="shared" si="1130"/>
        <v xml:space="preserve"> </v>
      </c>
      <c r="KI389" s="535" t="str">
        <f t="shared" si="1131"/>
        <v xml:space="preserve"> </v>
      </c>
      <c r="KJ389" s="536" t="str">
        <f t="shared" si="1132"/>
        <v xml:space="preserve"> </v>
      </c>
      <c r="KK389" s="535" t="str">
        <f t="shared" si="1215"/>
        <v xml:space="preserve"> </v>
      </c>
      <c r="KL389" s="535" t="str">
        <f t="shared" si="1216"/>
        <v xml:space="preserve"> </v>
      </c>
      <c r="KM389" s="537" t="str">
        <f t="shared" si="1133"/>
        <v xml:space="preserve"> </v>
      </c>
      <c r="KN389" s="537" t="str">
        <f t="shared" si="1217"/>
        <v xml:space="preserve"> </v>
      </c>
      <c r="KP389">
        <f t="shared" si="1134"/>
        <v>0</v>
      </c>
      <c r="LA389" t="e">
        <f t="shared" si="1135"/>
        <v>#VALUE!</v>
      </c>
      <c r="LB389" t="e">
        <f t="shared" si="1136"/>
        <v>#VALUE!</v>
      </c>
      <c r="LC389" t="e">
        <f t="shared" si="1137"/>
        <v>#VALUE!</v>
      </c>
      <c r="LD389" t="e">
        <f t="shared" si="1138"/>
        <v>#VALUE!</v>
      </c>
      <c r="LE389" t="e">
        <f t="shared" si="1218"/>
        <v>#VALUE!</v>
      </c>
      <c r="LF389">
        <f t="shared" si="1139"/>
        <v>0</v>
      </c>
      <c r="LG389" t="e">
        <f t="shared" si="1219"/>
        <v>#VALUE!</v>
      </c>
      <c r="LH389" t="str">
        <f t="shared" si="1140"/>
        <v xml:space="preserve"> </v>
      </c>
      <c r="LI389">
        <f t="shared" si="1220"/>
        <v>1</v>
      </c>
    </row>
    <row r="390" spans="2:321" ht="15" customHeight="1">
      <c r="B390" s="311"/>
      <c r="C390" s="311"/>
      <c r="D390" s="312"/>
      <c r="E390" s="311"/>
      <c r="F390" s="312"/>
      <c r="G390" s="311"/>
      <c r="H390" s="311"/>
      <c r="I390" s="232"/>
      <c r="J390" s="311"/>
      <c r="K390" s="305" t="str">
        <f t="shared" si="1141"/>
        <v/>
      </c>
      <c r="L390" s="313"/>
      <c r="M390" s="312"/>
      <c r="N390" s="311"/>
      <c r="O390" s="312"/>
      <c r="P390" s="311"/>
      <c r="Q390" s="305" t="str">
        <f t="shared" si="1142"/>
        <v/>
      </c>
      <c r="R390" s="314"/>
      <c r="S390" s="450" t="str">
        <f t="shared" si="1025"/>
        <v/>
      </c>
      <c r="T390" s="315"/>
      <c r="U390" s="315"/>
      <c r="W390" s="149" t="str">
        <f t="shared" si="1026"/>
        <v xml:space="preserve"> </v>
      </c>
      <c r="X390" s="243" t="str">
        <f t="shared" si="1027"/>
        <v xml:space="preserve"> </v>
      </c>
      <c r="Y390" s="150" t="str">
        <f t="shared" si="1028"/>
        <v/>
      </c>
      <c r="Z390" s="149" t="str">
        <f t="shared" si="1029"/>
        <v xml:space="preserve"> </v>
      </c>
      <c r="AA390" s="98" t="str">
        <f t="shared" si="1030"/>
        <v xml:space="preserve"> </v>
      </c>
      <c r="AB390" s="153" t="str">
        <f t="shared" si="1031"/>
        <v xml:space="preserve"> </v>
      </c>
      <c r="AC390" s="153" t="str">
        <f t="shared" si="1032"/>
        <v xml:space="preserve"> </v>
      </c>
      <c r="AD390" s="148" t="str">
        <f t="shared" si="1033"/>
        <v/>
      </c>
      <c r="AE390" s="149" t="str">
        <f t="shared" si="1034"/>
        <v/>
      </c>
      <c r="AF390" s="151" t="str">
        <f t="shared" si="1035"/>
        <v xml:space="preserve"> </v>
      </c>
      <c r="AG390" s="153" t="str">
        <f t="shared" si="1036"/>
        <v xml:space="preserve"> </v>
      </c>
      <c r="AH390" s="98" t="str">
        <f t="shared" si="1037"/>
        <v xml:space="preserve"> </v>
      </c>
      <c r="AI390" s="149" t="str">
        <f t="shared" si="1038"/>
        <v xml:space="preserve"> </v>
      </c>
      <c r="AK390" s="144" t="str">
        <f t="shared" si="1039"/>
        <v xml:space="preserve"> </v>
      </c>
      <c r="AL390" s="144"/>
      <c r="AM390" s="243" t="str">
        <f t="shared" si="1040"/>
        <v xml:space="preserve"> </v>
      </c>
      <c r="AN390" s="149" t="str">
        <f t="shared" si="1143"/>
        <v xml:space="preserve"> </v>
      </c>
      <c r="AO390" s="144" t="str">
        <f>IF(JB390&gt;0,IF(GI390=10,-R390*1.085*(Calculation!$F$6-Calculation!$F$13)*$S$14," "),"")</f>
        <v/>
      </c>
      <c r="AP390" s="144" t="str">
        <f t="shared" si="1041"/>
        <v/>
      </c>
      <c r="AQ390" s="56" t="str">
        <f t="shared" si="1042"/>
        <v/>
      </c>
      <c r="AR390" s="144" t="str">
        <f t="shared" si="1043"/>
        <v/>
      </c>
      <c r="AS390" s="176" t="str">
        <f t="shared" si="1044"/>
        <v/>
      </c>
      <c r="AT390" s="176" t="str">
        <f t="shared" si="1144"/>
        <v xml:space="preserve"> </v>
      </c>
      <c r="AU390" s="176" t="str">
        <f t="shared" si="1045"/>
        <v/>
      </c>
      <c r="AV390" s="177" t="str">
        <f t="shared" si="1046"/>
        <v xml:space="preserve"> </v>
      </c>
      <c r="AW390" s="144" t="str">
        <f t="shared" si="1047"/>
        <v xml:space="preserve"> </v>
      </c>
      <c r="AX390" s="144" t="str">
        <f t="shared" si="1048"/>
        <v xml:space="preserve"> </v>
      </c>
      <c r="AY390" s="152" t="str">
        <f t="shared" si="1049"/>
        <v xml:space="preserve"> </v>
      </c>
      <c r="AZ390" s="246" t="str">
        <f t="shared" si="1050"/>
        <v/>
      </c>
      <c r="BA390" s="176" t="str">
        <f t="shared" si="1051"/>
        <v xml:space="preserve"> </v>
      </c>
      <c r="BB390" s="176" t="str">
        <f t="shared" si="1052"/>
        <v xml:space="preserve"> </v>
      </c>
      <c r="BC390" s="195"/>
      <c r="BD390" s="316"/>
      <c r="BE390" s="317"/>
      <c r="BF390" s="318"/>
      <c r="BG390" s="318"/>
      <c r="BH390" s="144" t="str">
        <f t="shared" si="1221"/>
        <v xml:space="preserve"> </v>
      </c>
      <c r="BI390" s="176" t="str">
        <f t="shared" si="1053"/>
        <v/>
      </c>
      <c r="BJ390" s="144" t="str">
        <f t="shared" si="1222"/>
        <v/>
      </c>
      <c r="BK390" s="246" t="str">
        <f t="shared" si="1054"/>
        <v/>
      </c>
      <c r="BL390" s="144" t="str">
        <f t="shared" si="1223"/>
        <v/>
      </c>
      <c r="BM390" s="246" t="str">
        <f t="shared" si="1055"/>
        <v/>
      </c>
      <c r="BN390" s="337" t="str">
        <f t="shared" si="1145"/>
        <v/>
      </c>
      <c r="BO390" s="371" t="str">
        <f t="shared" si="1146"/>
        <v/>
      </c>
      <c r="BP390" s="328" t="str">
        <f t="shared" si="1224"/>
        <v xml:space="preserve"> </v>
      </c>
      <c r="BQ390" s="347" t="str">
        <f t="shared" si="1147"/>
        <v xml:space="preserve"> </v>
      </c>
      <c r="BR390" s="353" t="str">
        <f t="shared" si="1148"/>
        <v xml:space="preserve"> </v>
      </c>
      <c r="BS390" s="626" t="str">
        <f>IF(L390&gt;0,IF(Calculation!P390="M13",BR390*3.1416*(0.134^2)/(4*144),IF(Calculation!P390="M17",BR390*3.1416*(0.165^2)/(4*144),IF(Calculation!P390="M20",BR390*3.1416*(0.198^2)/(4*144),IF(Calculation!P390="M23",BR390*3.1416*(0.228^2)/(4*144),IF(Calculation!P390="M27",BR390*3.1416*(0.269^2)/(4*144),BR390*3.1416*(0.307^2)/(4*144))))))," ")</f>
        <v xml:space="preserve"> </v>
      </c>
      <c r="BT390" s="353" t="str">
        <f>IF(L390&gt;0,IF(BS390&gt;0,R390/Calculation!BS390,0)," ")</f>
        <v xml:space="preserve"> </v>
      </c>
      <c r="BU390" s="438" t="e">
        <f t="shared" ca="1" si="1056"/>
        <v>#VALUE!</v>
      </c>
      <c r="BV390" s="449" t="e">
        <f ca="1">INDEX(INDIRECT(VLOOKUP(LEFT(BO390,7),CLU!$Z$3:$AH$18,2)),GN390,GR390)</f>
        <v>#N/A</v>
      </c>
      <c r="BW390" s="433" t="e">
        <f ca="1">INDEX(INDIRECT(VLOOKUP(LEFT(BO390,7),CLU!$Z$3:$AH$18,3)),GN390,GR390)</f>
        <v>#N/A</v>
      </c>
      <c r="BX390" s="433" t="e">
        <f ca="1">INDEX(INDIRECT(VLOOKUP(LEFT(BO390,7),CLU!$Z$3:$AH$18,4)),GN390,GR390)</f>
        <v>#N/A</v>
      </c>
      <c r="BY390" s="433" t="e">
        <f ca="1">INDEX(INDIRECT(VLOOKUP(LEFT(BO390,7),CLU!$Z$3:$AH$18,9)),((M390-2)*(6-COUNTBLANK(GT390:GY390)))+GJ390)</f>
        <v>#N/A</v>
      </c>
      <c r="BZ390" s="426" t="e">
        <f t="shared" ca="1" si="1149"/>
        <v>#N/A</v>
      </c>
      <c r="CA390" s="424" t="e">
        <f t="shared" ca="1" si="1150"/>
        <v>#N/A</v>
      </c>
      <c r="CB390" s="429" t="e">
        <f ca="1">INDEX(INDIRECT(VLOOKUP(LEFT(BO390,7),CLU!$Z$3:$AH$18,2)),GN390,GS390)</f>
        <v>#N/A</v>
      </c>
      <c r="CC390" s="342" t="e">
        <f ca="1">INDEX(INDIRECT(VLOOKUP(LEFT(BO390,7),CLU!$Z$3:$AH$18,3)),GN390,GS390)</f>
        <v>#N/A</v>
      </c>
      <c r="CD390" s="342" t="e">
        <f ca="1">INDEX(INDIRECT(VLOOKUP(LEFT(BO390,7),CLU!$Z$3:$AH$18,4)),GN390,GS390)</f>
        <v>#N/A</v>
      </c>
      <c r="CE390" s="426" t="e">
        <f t="shared" ca="1" si="1151"/>
        <v>#N/A</v>
      </c>
      <c r="CF390" s="440">
        <f t="shared" si="1152"/>
        <v>0</v>
      </c>
      <c r="CG390" s="431" t="e">
        <f ca="1">INDEX(INDIRECT(VLOOKUP(LEFT(BO390,7),CLU!$Z$3:$AH$18,2)),GQ390,GR390)</f>
        <v>#N/A</v>
      </c>
      <c r="CH390" s="431" t="e">
        <f ca="1">INDEX(INDIRECT(VLOOKUP(LEFT(BO390,7),CLU!$Z$3:$AH$18,3)),GQ390,GR390)</f>
        <v>#N/A</v>
      </c>
      <c r="CI390" s="431" t="e">
        <f ca="1">INDEX(INDIRECT(VLOOKUP(LEFT(BO390,7),CLU!$Z$3:$AH$18,4)),GQ390,GR390)</f>
        <v>#N/A</v>
      </c>
      <c r="CJ390" s="448" t="e">
        <f t="shared" ca="1" si="1153"/>
        <v>#N/A</v>
      </c>
      <c r="CK390" s="431" t="e">
        <f t="shared" ca="1" si="1154"/>
        <v>#N/A</v>
      </c>
      <c r="CL390" s="440" t="e">
        <f t="shared" ca="1" si="1155"/>
        <v>#N/A</v>
      </c>
      <c r="CM390" s="431" t="e">
        <f ca="1">INDEX(INDIRECT(VLOOKUP(LEFT(BO390,7),CLU!$Z$3:$AH$18,2)),GQ390,GS390)</f>
        <v>#N/A</v>
      </c>
      <c r="CN390" s="431" t="e">
        <f ca="1">INDEX(INDIRECT(VLOOKUP(LEFT(BO390,7),CLU!$Z$3:$AH$18,3)),GQ390,GS390)</f>
        <v>#N/A</v>
      </c>
      <c r="CO390" s="431" t="e">
        <f ca="1">INDEX(INDIRECT(VLOOKUP(LEFT(BO390,7),CLU!$Z$3:$AH$18,4)),GQ390,GS390)</f>
        <v>#N/A</v>
      </c>
      <c r="CP390" s="431" t="e">
        <f t="shared" ca="1" si="1156"/>
        <v>#N/A</v>
      </c>
      <c r="CQ390" s="440">
        <f t="shared" si="1157"/>
        <v>0</v>
      </c>
      <c r="CR390" s="51" t="e">
        <f t="shared" ca="1" si="1158"/>
        <v>#N/A</v>
      </c>
      <c r="CS390" s="439" t="e">
        <f t="shared" ca="1" si="1159"/>
        <v>#VALUE!</v>
      </c>
      <c r="CT390" s="51" t="e">
        <f t="shared" ca="1" si="1160"/>
        <v>#VALUE!</v>
      </c>
      <c r="CU390" s="10"/>
      <c r="CV390" s="51" t="e">
        <f t="shared" ca="1" si="1057"/>
        <v>#VALUE!</v>
      </c>
      <c r="CW390" s="51">
        <f t="shared" si="1161"/>
        <v>0</v>
      </c>
      <c r="CX390" s="439" t="e">
        <f t="shared" ca="1" si="1162"/>
        <v>#VALUE!</v>
      </c>
      <c r="CY390" s="51" t="e">
        <f t="shared" ca="1" si="1163"/>
        <v>#VALUE!</v>
      </c>
      <c r="CZ390" s="10"/>
      <c r="DA390" s="51" t="e">
        <f t="shared" ca="1" si="1164"/>
        <v>#VALUE!</v>
      </c>
      <c r="DB390" s="347" t="e">
        <f ca="1">INDEX(INDIRECT(VLOOKUP(LEFT(BO390,7),CLU!$Z$3:$AI$18,10)),((M390-2)*(6-COUNTBLANK(GT390:GY390)))+GJ390)*LI390</f>
        <v>#N/A</v>
      </c>
      <c r="DC390" s="347" t="str">
        <f>IF(L390&gt;0,((R390/Worksheet!$I$15)/DB390)^2," ")</f>
        <v xml:space="preserve"> </v>
      </c>
      <c r="DD390" s="602" t="str">
        <f t="shared" si="1165"/>
        <v xml:space="preserve"> </v>
      </c>
      <c r="DE390" s="347" t="str">
        <f t="shared" si="1058"/>
        <v xml:space="preserve"> </v>
      </c>
      <c r="DF390" s="356" t="e">
        <f ca="1">INDEX(INDIRECT(VLOOKUP(LEFT(BO390,7),CLU!$Z$3:$AH$18,8)),((M390-2)*(6-COUNTBLANK(GT390:GY390)))+GJ390)</f>
        <v>#N/A</v>
      </c>
      <c r="DG390" s="347" t="str">
        <f t="shared" si="1059"/>
        <v xml:space="preserve"> </v>
      </c>
      <c r="DH390" s="357" t="str">
        <f t="shared" si="1060"/>
        <v xml:space="preserve"> </v>
      </c>
      <c r="DI390" s="355" t="str">
        <f t="shared" si="1061"/>
        <v xml:space="preserve"> </v>
      </c>
      <c r="DJ390" s="245" t="e">
        <f ca="1">INDEX(INDIRECT(VLOOKUP(LEFT(BO390,7),CLU!$Z$3:$AH$18,5)),GL390,GK390)</f>
        <v>#N/A</v>
      </c>
      <c r="DK390" s="245" t="e">
        <f ca="1">INDEX(INDIRECT(VLOOKUP(LEFT(BO390,7),CLU!$Z$3:$AH$18,6)),GL390,GK390)</f>
        <v>#N/A</v>
      </c>
      <c r="DL390" s="355">
        <f>(Calculation!R390*0.69143*(Calculation!$BQ$8-Calculation!$F$8))*$S$14</f>
        <v>0</v>
      </c>
      <c r="DM390" s="359" t="e">
        <f t="shared" si="1166"/>
        <v>#VALUE!</v>
      </c>
      <c r="DN390" s="611">
        <f t="shared" si="1167"/>
        <v>0</v>
      </c>
      <c r="DO390" s="359">
        <f t="shared" si="1168"/>
        <v>100</v>
      </c>
      <c r="DP390" s="359">
        <f t="shared" si="1169"/>
        <v>0</v>
      </c>
      <c r="DQ390" s="360"/>
      <c r="DR390" s="245" t="e">
        <f ca="1">INDEX(INDIRECT(VLOOKUP(LEFT(BO390,7),CLU!$Z$3:$AH$18,7)),M390-1,1)</f>
        <v>#N/A</v>
      </c>
      <c r="DS390" s="245" t="e">
        <f ca="1">INDEX(INDIRECT(VLOOKUP(LEFT(BO390,7),CLU!$Z$3:$AH$18,7)),M390-1,2)</f>
        <v>#N/A</v>
      </c>
      <c r="DT390" s="245" t="e">
        <f ca="1">INDEX(INDIRECT(VLOOKUP(LEFT(BO390,7),CLU!$Z$3:$AH$18,7)),M390-1,3)</f>
        <v>#N/A</v>
      </c>
      <c r="DU390" s="245" t="e">
        <f ca="1">INDEX(INDIRECT(VLOOKUP(LEFT(BO390,7),CLU!$Z$3:$AH$18,7)),M390-1,4)</f>
        <v>#N/A</v>
      </c>
      <c r="DV390" s="361" t="e">
        <f ca="1">INDEX(INDIRECT(VLOOKUP(LEFT(BO390,7),CLU!$Z$3:$AH$18,7)),M390-1,4+LEFT(DZ390,1)*0.5)</f>
        <v>#N/A</v>
      </c>
      <c r="DW390" s="245" t="e">
        <f ca="1">INDEX(INDIRECT(VLOOKUP(LEFT(BO390,7),CLU!$Z$3:$AH$18,7)),M390-1,8)</f>
        <v>#N/A</v>
      </c>
      <c r="DX390" s="361" t="str">
        <f t="shared" si="1062"/>
        <v xml:space="preserve"> </v>
      </c>
      <c r="DY390" s="361" t="str">
        <f t="shared" si="1063"/>
        <v xml:space="preserve"> </v>
      </c>
      <c r="DZ390" s="361" t="str">
        <f t="shared" si="1064"/>
        <v xml:space="preserve"> </v>
      </c>
      <c r="EA390" s="362" t="str">
        <f t="shared" si="1065"/>
        <v xml:space="preserve"> </v>
      </c>
      <c r="EB390" s="624" t="str">
        <f t="shared" si="1170"/>
        <v xml:space="preserve"> </v>
      </c>
      <c r="EC390" s="361" t="e">
        <f ca="1">INDEX(INDIRECT(VLOOKUP(LEFT(BO390,7),CLU!$Z$3:$AH$18,7)),M390-1,4+LEFT(DZ390,1)*0.5)</f>
        <v>#N/A</v>
      </c>
      <c r="ED390" s="362" t="str">
        <f t="shared" si="1066"/>
        <v xml:space="preserve"> </v>
      </c>
      <c r="EE390" s="361" t="str">
        <f t="shared" si="1067"/>
        <v xml:space="preserve"> </v>
      </c>
      <c r="EF390" s="362" t="str">
        <f>IF(L390&gt;0,IF(BR390&gt;0,IF(EE390="2P",IF(Calculation!DZ390="2P",IF(Calculation!DS390=13.75,IF(Calculation!DR390=13,Worksheet!$BD$43,IF(Calculation!DR390=37,Worksheet!$BD$44,Worksheet!$BD$45)),IF(Calculation!DS390=10,IF(Calculation!DR390=18,Worksheet!$BD$29,IF(Calculation!DR390=30,Worksheet!$BD$30,IF(Calculation!DR390=42,Worksheet!$BD$31,IF(Calculation!DR390=54,Worksheet!$BD$32,IF(Calculation!DR390=66,Worksheet!$BD$33,IF(Calculation!DR390=78,Worksheet!$BD$34,IF(Calculation!DR390=90,Worksheet!$BD$35,IF(Calculation!DR390=102,Worksheet!$BD$36,Worksheet!$BD$37)))))))),IF(Calculation!DS390=12.5,IF(Calculation!DR390=18,Worksheet!$BD$38,IF(Calculation!DR390=Worksheet!$BD$39,IF(Calculation!DR390=42,Worksheet!$BD$40,IF(Calculation!DR390=54,Worksheet!$BD$41,Worksheet!$BD$42)))),IF(Calculation!DR390=18,Worksheet!$BD$11,IF(Calculation!DR390=30,Worksheet!$BD$12,IF(Calculation!DR390=42,Worksheet!$BD$13,IF(Calculation!DR390=54,Worksheet!$BD$14,IF(Calculation!DR390=66,Worksheet!$BD$15,IF(Calculation!DR390=78,Worksheet!$BD$16,IF(Calculation!DR390=90,Worksheet!$BD$17,IF(Calculation!DR390=102,Worksheet!$BD$18,Worksheet!$BD$19))))))))))),IF(Calculation!DS390=13.75,IF(Calculation!DR390=13,Worksheet!$BD$78,IF(Calculation!DR390=37,Worksheet!$BD$79,Worksheet!$BD$80)),IF(Calculation!DS390=10,IF(Calculation!DR390=18,Worksheet!$BD$64,IF(Calculation!DR390=30,Worksheet!$BD$65,IF(Calculation!DR390=42,Worksheet!$BD$66,IF(Calculation!DR390=54,Worksheet!$BD$68,IF(Calculation!DR390=66,Worksheet!$BD$68,IF(Calculation!DR390=78,Worksheet!$BD$69,IF(Calculation!DR390=90,Worksheet!$BD$70,IF(Calculation!DR390=102,Worksheet!$BD$71,Worksheet!$BD$72)))))))),IF(Calculation!DS390=12.5,IF(Calculation!DR390=18,Worksheet!$BD$73,IF(Calculation!DR390=Worksheet!$BD$74,IF(Calculation!DR390=42,Worksheet!$BD$75,IF(Calculation!DR390=54,Worksheet!$BD$76,Worksheet!$BD$77)))),IF(Calculation!DR390=18,Worksheet!$BD$55,IF(Calculation!DR390=30,Worksheet!$BD$56,IF(Calculation!DR390=42,Worksheet!$BD$57,IF(Calculation!DR390=54,Worksheet!$BD$58,IF(Calculation!DR390=66,Worksheet!$BD$59,IF(Calculation!DR390=78,Worksheet!$BD$60,IF(Calculation!DR390=90,Worksheet!$BD$61,IF(Calculation!DR390=102,Worksheet!$BD$62,Worksheet!$BD$63)))))))))))),5),0)," ")</f>
        <v xml:space="preserve"> </v>
      </c>
      <c r="EG390" s="361" t="str">
        <f t="shared" si="1068"/>
        <v xml:space="preserve"> </v>
      </c>
      <c r="EH390" s="361" t="e">
        <f ca="1">INDEX(INDIRECT(VLOOKUP(LEFT(BO390,7),CLU!$Z$3:$AH$18,7)),M390-1,3+LEFT(DZ390,1))</f>
        <v>#N/A</v>
      </c>
      <c r="EI390" s="362" t="str">
        <f t="shared" si="1069"/>
        <v xml:space="preserve"> </v>
      </c>
      <c r="EJ390" s="363" t="str">
        <f t="shared" si="1070"/>
        <v xml:space="preserve"> </v>
      </c>
      <c r="EK390" s="363" t="str">
        <f t="shared" si="1071"/>
        <v xml:space="preserve"> </v>
      </c>
      <c r="EL390" s="363" t="str">
        <f t="shared" si="1072"/>
        <v xml:space="preserve"> </v>
      </c>
      <c r="EM390" s="362" t="str">
        <f>IF(L390&gt;0,IF(BR390&gt;0,(Calculation!T390/ED390)^2,0)," ")</f>
        <v xml:space="preserve"> </v>
      </c>
      <c r="EN390" s="362" t="str">
        <f>IF(L390&gt;0,IF(O390="2 Pipe (Cooling)","N/A",IF(BR390&gt;0,(Calculation!U390/EI390)^2,0))," ")</f>
        <v xml:space="preserve"> </v>
      </c>
      <c r="EO390" s="361" t="str">
        <f t="shared" si="1073"/>
        <v/>
      </c>
      <c r="EP390" s="361" t="str">
        <f t="shared" si="1074"/>
        <v/>
      </c>
      <c r="EQ390" s="361" t="str">
        <f t="shared" si="1075"/>
        <v/>
      </c>
      <c r="ER390" s="361" t="str">
        <f t="shared" si="1076"/>
        <v/>
      </c>
      <c r="ES390" s="361" t="str">
        <f t="shared" si="1077"/>
        <v/>
      </c>
      <c r="ET390" s="361" t="str">
        <f t="shared" si="1078"/>
        <v/>
      </c>
      <c r="EU390" s="361" t="str">
        <f t="shared" si="1079"/>
        <v/>
      </c>
      <c r="EV390" s="361" t="str">
        <f t="shared" si="1080"/>
        <v/>
      </c>
      <c r="EW390" s="361" t="str">
        <f t="shared" si="1081"/>
        <v/>
      </c>
      <c r="EX390" s="361" t="str">
        <f t="shared" si="1171"/>
        <v>1 slot, 1 way</v>
      </c>
      <c r="EY390" s="361" t="str">
        <f t="shared" si="1172"/>
        <v xml:space="preserve"> </v>
      </c>
      <c r="EZ390" s="361" t="str">
        <f t="shared" si="1173"/>
        <v xml:space="preserve"> </v>
      </c>
      <c r="FA390" s="361" t="str">
        <f t="shared" si="1174"/>
        <v xml:space="preserve"> </v>
      </c>
      <c r="FB390" s="361" t="str">
        <f t="shared" si="1175"/>
        <v xml:space="preserve"> </v>
      </c>
      <c r="FC390" s="361"/>
      <c r="FD390" s="361" t="str">
        <f>IF(J390&gt;0,IF(Calculation!R390&lt;=70,4,IF(Calculation!R390&lt;=110,5,IF(Calculation!R390&lt;=160,6,IF(Calculation!R390&lt;=300,8,"10 EO")))),"")</f>
        <v/>
      </c>
      <c r="FE390" s="361" t="str">
        <f t="shared" si="1176"/>
        <v/>
      </c>
      <c r="FF390" s="361" t="str">
        <f t="shared" si="1177"/>
        <v/>
      </c>
      <c r="FG390" s="361" t="e">
        <f t="shared" si="1082"/>
        <v>#N/A</v>
      </c>
      <c r="FH390" s="361">
        <f t="shared" si="1083"/>
        <v>0</v>
      </c>
      <c r="FI390" s="361" t="e">
        <f t="shared" si="1084"/>
        <v>#DIV/0!</v>
      </c>
      <c r="FJ390" s="361"/>
      <c r="FK390" s="356" t="e">
        <f t="shared" si="1085"/>
        <v>#VALUE!</v>
      </c>
      <c r="FL390" s="361"/>
      <c r="FM390" s="361"/>
      <c r="FN390" s="362" t="str">
        <f t="shared" si="1178"/>
        <v xml:space="preserve"> </v>
      </c>
      <c r="FO390" s="362" t="str">
        <f t="shared" si="1179"/>
        <v xml:space="preserve"> </v>
      </c>
      <c r="FP390" s="362">
        <f t="shared" si="1180"/>
        <v>0</v>
      </c>
      <c r="FQ390" s="361">
        <f t="shared" si="1086"/>
        <v>0</v>
      </c>
      <c r="FR390" s="362" t="str">
        <f>IF(L390&gt;0,IF(J390="CBAL2",Worksheet!$P$67,IF(J390="CBE2-24",Worksheet!$Q$67,IF(J390="CBAM",Worksheet!$R$67,IF(J390="CBLV",Worksheet!$S$67,IF(J390="CBAB",Worksheet!$U$67,IF(J390="CBAW",Worksheet!$X$67,IF(J390="CBE2-12",Worksheet!$Y$67,IF(J390="CBAL2",Worksheet!$Z$67,"N/A"))))))))," ")</f>
        <v xml:space="preserve"> </v>
      </c>
      <c r="FS390" s="362" t="str">
        <f>IF(L390&gt;0,IF(J390="CBAL2",Worksheet!$P$68,IF(J390="CBE2-24",Worksheet!$Q$68,IF(J390="CBAM",Worksheet!$R$68,IF(J390="CBLV",Worksheet!$S$68,IF(J390="CBAB",Worksheet!$U$68,IF(J390="CBAW",Worksheet!$X$68,IF(J390="CBE2-12",Worksheet!$Y$68,IF(J390="CBAL2",Worksheet!$Z$68,"N/A"))))))))," ")</f>
        <v xml:space="preserve"> </v>
      </c>
      <c r="FT390" s="362" t="str">
        <f>IF(L390&gt;0,IF(J390="CBAL2",Worksheet!$P$69,IF(J390="CBE2-24",Worksheet!$Q$69,IF(J390="CBAM",Worksheet!$R$69,IF(J390="CBLV",Worksheet!$S$69,IF(J390="CBAB",Worksheet!$U$69,IF(J390="CBAW",Worksheet!$X$69,IF(J390="CBE2-12",Worksheet!$Y$69,IF(J390="CBAL2",Worksheet!$Z$69,"N/A"))))))))," ")</f>
        <v xml:space="preserve"> </v>
      </c>
      <c r="FU390" s="361" t="str">
        <f t="shared" si="1181"/>
        <v xml:space="preserve"> </v>
      </c>
      <c r="FV390" s="362" t="str">
        <f t="shared" si="1182"/>
        <v xml:space="preserve"> </v>
      </c>
      <c r="FW390" s="362" t="str">
        <f t="shared" si="1183"/>
        <v xml:space="preserve"> </v>
      </c>
      <c r="FX390" s="362" t="str">
        <f t="shared" si="1184"/>
        <v xml:space="preserve"> </v>
      </c>
      <c r="FY390" s="355" t="str">
        <f t="shared" si="1185"/>
        <v xml:space="preserve"> </v>
      </c>
      <c r="FZ390" s="361" t="str">
        <f t="shared" si="1186"/>
        <v xml:space="preserve"> </v>
      </c>
      <c r="GA390" s="347" t="str">
        <f t="shared" si="1187"/>
        <v xml:space="preserve"> </v>
      </c>
      <c r="GB390" s="355" t="str">
        <f t="shared" si="1188"/>
        <v xml:space="preserve"> </v>
      </c>
      <c r="GC390" s="328" t="str">
        <f t="shared" si="1189"/>
        <v xml:space="preserve"> </v>
      </c>
      <c r="GD390" s="361" t="str">
        <f t="shared" si="1190"/>
        <v xml:space="preserve"> </v>
      </c>
      <c r="GE390" s="347" t="str">
        <f t="shared" si="1191"/>
        <v xml:space="preserve"> </v>
      </c>
      <c r="GF390" s="361" t="str">
        <f t="shared" si="1192"/>
        <v xml:space="preserve"> </v>
      </c>
      <c r="GG390" s="347" t="str">
        <f t="shared" si="1193"/>
        <v xml:space="preserve"> </v>
      </c>
      <c r="GH390" s="364">
        <f t="shared" si="1087"/>
        <v>0</v>
      </c>
      <c r="GI390" s="362">
        <f t="shared" si="1194"/>
        <v>2</v>
      </c>
      <c r="GJ390" s="433" t="e">
        <f>IF(6-COUNTBLANK(GT390:GY390)=4,MATCH(MID(BO390,9,3),CLU!$H$16:$K$16),MATCH(MID(BO390,9,3),CLU!$H$13:$M$13))</f>
        <v>#N/A</v>
      </c>
      <c r="GK390" s="433" t="e">
        <f>HLOOKUP(VALUE(BP390),CLU!$H$9:$M$10,2)</f>
        <v>#VALUE!</v>
      </c>
      <c r="GL390" s="433" t="e">
        <f ca="1">MATCH(BU390,CLU!$H$2:$V$2,1)</f>
        <v>#VALUE!</v>
      </c>
      <c r="GM390" s="433" t="e">
        <f t="shared" ca="1" si="1195"/>
        <v>#VALUE!</v>
      </c>
      <c r="GN390" s="433" t="e">
        <f t="shared" ca="1" si="1196"/>
        <v>#VALUE!</v>
      </c>
      <c r="GO390" s="433" t="e">
        <f t="shared" ca="1" si="1197"/>
        <v>#VALUE!</v>
      </c>
      <c r="GP390" s="433" t="e">
        <f t="shared" ca="1" si="1198"/>
        <v>#VALUE!</v>
      </c>
      <c r="GQ390" s="433" t="e">
        <f t="shared" ca="1" si="1199"/>
        <v>#VALUE!</v>
      </c>
      <c r="GR390" s="433" t="e">
        <f ca="1">MATCH(T390,INDIRECT(VLOOKUP(CONCATENATE(LEFT(BO390,7),"-",MID(BO390,13,1)),CLU!$P$3:$Q$16,2)),1)</f>
        <v>#N/A</v>
      </c>
      <c r="GS390" s="433" t="e">
        <f ca="1">MATCH(U390,INDIRECT(VLOOKUP(CONCATENATE(LEFT(BO390,7),"-",MID(BO390,13,1)),CLU!$P$3:$Q$16,2)),1)</f>
        <v>#N/A</v>
      </c>
      <c r="GT390" s="347" t="s">
        <v>512</v>
      </c>
      <c r="GU390" s="97" t="s">
        <v>513</v>
      </c>
      <c r="GV390" s="97" t="str">
        <f t="shared" si="1200"/>
        <v>M23</v>
      </c>
      <c r="GW390" s="97" t="str">
        <f t="shared" si="1201"/>
        <v>M31</v>
      </c>
      <c r="GX390" s="97" t="str">
        <f t="shared" si="1202"/>
        <v/>
      </c>
      <c r="GY390" s="97" t="str">
        <f t="shared" si="1203"/>
        <v/>
      </c>
      <c r="GZ390" s="481"/>
      <c r="HA390" s="240"/>
      <c r="HB390" s="240"/>
      <c r="HC390" s="240"/>
      <c r="HD390" s="240"/>
      <c r="HE390" s="240"/>
      <c r="HF390" s="240"/>
      <c r="HG390" s="240"/>
      <c r="HH390" s="240"/>
      <c r="HI390" s="240"/>
      <c r="HJ390" s="240"/>
      <c r="HK390" s="240"/>
      <c r="HL390" s="240"/>
      <c r="HM390" s="240"/>
      <c r="HN390" s="240"/>
      <c r="HO390" s="240"/>
      <c r="HP390" s="240"/>
      <c r="HQ390" s="240"/>
      <c r="HR390" s="240"/>
      <c r="HS390" s="240"/>
      <c r="HT390" s="240"/>
      <c r="HU390" s="240"/>
      <c r="HV390" s="245"/>
      <c r="HW390" s="245" t="b">
        <v>1</v>
      </c>
      <c r="HX390" s="245" t="str">
        <f t="shared" si="1088"/>
        <v/>
      </c>
      <c r="HY390" s="245" t="e">
        <f t="shared" si="1089"/>
        <v>#DIV/0!</v>
      </c>
      <c r="HZ390" s="245" t="e">
        <f t="shared" si="1090"/>
        <v>#DIV/0!</v>
      </c>
      <c r="IA390" s="245">
        <f t="shared" si="1091"/>
        <v>0</v>
      </c>
      <c r="IB390" s="245"/>
      <c r="IC390" t="b">
        <f t="shared" si="1092"/>
        <v>1</v>
      </c>
      <c r="ID390" s="245" t="b">
        <f t="shared" si="1093"/>
        <v>1</v>
      </c>
      <c r="IE390" s="245" t="b">
        <f t="shared" si="1094"/>
        <v>1</v>
      </c>
      <c r="IF390" s="245" t="b">
        <f t="shared" si="1095"/>
        <v>0</v>
      </c>
      <c r="IG390" s="245" t="b">
        <f t="shared" si="1096"/>
        <v>1</v>
      </c>
      <c r="IH390" s="245" t="b">
        <f t="shared" si="1097"/>
        <v>1</v>
      </c>
      <c r="II390" s="245">
        <f t="shared" si="1204"/>
        <v>0</v>
      </c>
      <c r="IJ390" s="245" t="e">
        <f t="shared" si="1098"/>
        <v>#VALUE!</v>
      </c>
      <c r="IK390" s="245" t="e">
        <f t="shared" si="1099"/>
        <v>#VALUE!</v>
      </c>
      <c r="IL390" s="245"/>
      <c r="IM390" s="245" t="e">
        <f t="shared" si="1205"/>
        <v>#N/A</v>
      </c>
      <c r="IN390" s="245" t="e">
        <f t="shared" si="1206"/>
        <v>#N/A</v>
      </c>
      <c r="IO390" s="245"/>
      <c r="IP390" s="245"/>
      <c r="IQ390" s="245" t="str">
        <f t="shared" si="1100"/>
        <v/>
      </c>
      <c r="IR390" s="245" t="str">
        <f>IF(J390="","",VLOOKUP(J390,Worksheet!$R$4:$T$14,2))</f>
        <v/>
      </c>
      <c r="IS390" s="245"/>
      <c r="IT390" s="245">
        <f t="shared" si="1101"/>
        <v>0</v>
      </c>
      <c r="IU390" s="245">
        <f t="shared" si="1102"/>
        <v>0</v>
      </c>
      <c r="IV390" s="245">
        <f t="shared" si="1103"/>
        <v>0</v>
      </c>
      <c r="IW390" s="245">
        <f t="shared" si="1104"/>
        <v>0</v>
      </c>
      <c r="IX390" s="245">
        <f t="shared" si="1207"/>
        <v>0</v>
      </c>
      <c r="IY390" s="245">
        <f t="shared" si="1105"/>
        <v>0</v>
      </c>
      <c r="IZ390" s="245">
        <f t="shared" si="1106"/>
        <v>0</v>
      </c>
      <c r="JA390">
        <f t="shared" si="1107"/>
        <v>0</v>
      </c>
      <c r="JB390">
        <f t="shared" si="1208"/>
        <v>0</v>
      </c>
      <c r="JC390">
        <f t="shared" si="1108"/>
        <v>0</v>
      </c>
      <c r="JD390">
        <f t="shared" si="1109"/>
        <v>0</v>
      </c>
      <c r="JE390">
        <f t="shared" si="1110"/>
        <v>0</v>
      </c>
      <c r="JF390">
        <f t="shared" si="1111"/>
        <v>0</v>
      </c>
      <c r="JG390">
        <f t="shared" si="1112"/>
        <v>0</v>
      </c>
      <c r="JH390">
        <f t="shared" si="1113"/>
        <v>0</v>
      </c>
      <c r="JI390">
        <f t="shared" si="1114"/>
        <v>0</v>
      </c>
      <c r="JJ390" s="447">
        <f t="shared" si="1115"/>
        <v>0</v>
      </c>
      <c r="JK390" s="447">
        <f t="shared" si="1116"/>
        <v>0</v>
      </c>
      <c r="JL390">
        <f t="shared" si="1117"/>
        <v>0</v>
      </c>
      <c r="JM390" s="245" t="str">
        <f>IFERROR(VLOOKUP(MATCH(BN390,#REF!,0),#REF!,7),"")</f>
        <v/>
      </c>
      <c r="JN390" t="e">
        <f>HLOOKUP(LEFT(BO390,7),Discharge_Area,MATCH(JO390,LookUps!$B$130:$B$149,1)+2)</f>
        <v>#N/A</v>
      </c>
      <c r="JO390" t="str">
        <f t="shared" si="1118"/>
        <v>- S</v>
      </c>
      <c r="JP390" t="e">
        <f>HLOOKUP(LEFT(BO390,7),Discharge_Area,MATCH(JO390,LookUps!$B$130:$B$149,1)+2)</f>
        <v>#N/A</v>
      </c>
      <c r="JQ390" t="e">
        <f t="shared" si="1119"/>
        <v>#N/A</v>
      </c>
      <c r="JR390" t="e">
        <f t="shared" si="1120"/>
        <v>#N/A</v>
      </c>
      <c r="JS390" t="e">
        <f t="shared" si="1121"/>
        <v>#N/A</v>
      </c>
      <c r="JT390" s="532" t="str">
        <f t="shared" si="1122"/>
        <v xml:space="preserve"> </v>
      </c>
      <c r="JU390" s="532" t="str">
        <f t="shared" si="1123"/>
        <v xml:space="preserve"> </v>
      </c>
      <c r="JV390" s="533" t="str">
        <f t="shared" si="1124"/>
        <v xml:space="preserve"> </v>
      </c>
      <c r="JW390" s="534">
        <f t="shared" si="1125"/>
        <v>0</v>
      </c>
      <c r="JX390" s="535" t="str">
        <f t="shared" si="1209"/>
        <v xml:space="preserve"> </v>
      </c>
      <c r="JY390" s="535" t="str">
        <f t="shared" si="1210"/>
        <v xml:space="preserve"> </v>
      </c>
      <c r="JZ390" s="535" t="str">
        <f t="shared" si="1211"/>
        <v xml:space="preserve"> </v>
      </c>
      <c r="KA390" s="536" t="str">
        <f t="shared" si="1126"/>
        <v xml:space="preserve"> </v>
      </c>
      <c r="KB390" s="535" t="e">
        <f t="shared" si="1212"/>
        <v>#VALUE!</v>
      </c>
      <c r="KC390" s="535" t="str">
        <f t="shared" si="1127"/>
        <v/>
      </c>
      <c r="KD390" s="537" t="str">
        <f t="shared" si="1213"/>
        <v xml:space="preserve"> </v>
      </c>
      <c r="KE390" s="537" t="str">
        <f t="shared" si="1214"/>
        <v xml:space="preserve"> </v>
      </c>
      <c r="KF390" s="534">
        <f t="shared" si="1128"/>
        <v>0</v>
      </c>
      <c r="KG390" s="535" t="str">
        <f t="shared" si="1129"/>
        <v xml:space="preserve"> </v>
      </c>
      <c r="KH390" s="535" t="str">
        <f t="shared" si="1130"/>
        <v xml:space="preserve"> </v>
      </c>
      <c r="KI390" s="535" t="str">
        <f t="shared" si="1131"/>
        <v xml:space="preserve"> </v>
      </c>
      <c r="KJ390" s="536" t="str">
        <f t="shared" si="1132"/>
        <v xml:space="preserve"> </v>
      </c>
      <c r="KK390" s="535" t="str">
        <f t="shared" si="1215"/>
        <v xml:space="preserve"> </v>
      </c>
      <c r="KL390" s="535" t="str">
        <f t="shared" si="1216"/>
        <v xml:space="preserve"> </v>
      </c>
      <c r="KM390" s="537" t="str">
        <f t="shared" si="1133"/>
        <v xml:space="preserve"> </v>
      </c>
      <c r="KN390" s="537" t="str">
        <f t="shared" si="1217"/>
        <v xml:space="preserve"> </v>
      </c>
      <c r="KP390">
        <f t="shared" si="1134"/>
        <v>0</v>
      </c>
      <c r="LA390" t="e">
        <f t="shared" si="1135"/>
        <v>#VALUE!</v>
      </c>
      <c r="LB390" t="e">
        <f t="shared" si="1136"/>
        <v>#VALUE!</v>
      </c>
      <c r="LC390" t="e">
        <f t="shared" si="1137"/>
        <v>#VALUE!</v>
      </c>
      <c r="LD390" t="e">
        <f t="shared" si="1138"/>
        <v>#VALUE!</v>
      </c>
      <c r="LE390" t="e">
        <f t="shared" si="1218"/>
        <v>#VALUE!</v>
      </c>
      <c r="LF390">
        <f t="shared" si="1139"/>
        <v>0</v>
      </c>
      <c r="LG390" t="e">
        <f t="shared" si="1219"/>
        <v>#VALUE!</v>
      </c>
      <c r="LH390" t="str">
        <f t="shared" si="1140"/>
        <v xml:space="preserve"> </v>
      </c>
      <c r="LI390">
        <f t="shared" si="1220"/>
        <v>1</v>
      </c>
    </row>
    <row r="391" spans="2:321" ht="15" customHeight="1">
      <c r="B391" s="311"/>
      <c r="C391" s="311"/>
      <c r="D391" s="312"/>
      <c r="E391" s="311"/>
      <c r="F391" s="312"/>
      <c r="G391" s="311"/>
      <c r="H391" s="311"/>
      <c r="I391" s="232"/>
      <c r="J391" s="311"/>
      <c r="K391" s="305" t="str">
        <f t="shared" si="1141"/>
        <v/>
      </c>
      <c r="L391" s="313"/>
      <c r="M391" s="312"/>
      <c r="N391" s="311"/>
      <c r="O391" s="312"/>
      <c r="P391" s="311"/>
      <c r="Q391" s="305" t="str">
        <f t="shared" si="1142"/>
        <v/>
      </c>
      <c r="R391" s="314"/>
      <c r="S391" s="450" t="str">
        <f t="shared" si="1025"/>
        <v/>
      </c>
      <c r="T391" s="315"/>
      <c r="U391" s="315"/>
      <c r="W391" s="149" t="str">
        <f t="shared" si="1026"/>
        <v xml:space="preserve"> </v>
      </c>
      <c r="X391" s="243" t="str">
        <f t="shared" si="1027"/>
        <v xml:space="preserve"> </v>
      </c>
      <c r="Y391" s="150" t="str">
        <f t="shared" si="1028"/>
        <v/>
      </c>
      <c r="Z391" s="149" t="str">
        <f t="shared" si="1029"/>
        <v xml:space="preserve"> </v>
      </c>
      <c r="AA391" s="98" t="str">
        <f t="shared" si="1030"/>
        <v xml:space="preserve"> </v>
      </c>
      <c r="AB391" s="153" t="str">
        <f t="shared" si="1031"/>
        <v xml:space="preserve"> </v>
      </c>
      <c r="AC391" s="153" t="str">
        <f t="shared" si="1032"/>
        <v xml:space="preserve"> </v>
      </c>
      <c r="AD391" s="148" t="str">
        <f t="shared" si="1033"/>
        <v/>
      </c>
      <c r="AE391" s="149" t="str">
        <f t="shared" si="1034"/>
        <v/>
      </c>
      <c r="AF391" s="151" t="str">
        <f t="shared" si="1035"/>
        <v xml:space="preserve"> </v>
      </c>
      <c r="AG391" s="153" t="str">
        <f t="shared" si="1036"/>
        <v xml:space="preserve"> </v>
      </c>
      <c r="AH391" s="98" t="str">
        <f t="shared" si="1037"/>
        <v xml:space="preserve"> </v>
      </c>
      <c r="AI391" s="149" t="str">
        <f t="shared" si="1038"/>
        <v xml:space="preserve"> </v>
      </c>
      <c r="AK391" s="144" t="str">
        <f t="shared" si="1039"/>
        <v xml:space="preserve"> </v>
      </c>
      <c r="AL391" s="144"/>
      <c r="AM391" s="243" t="str">
        <f t="shared" si="1040"/>
        <v xml:space="preserve"> </v>
      </c>
      <c r="AN391" s="149" t="str">
        <f t="shared" si="1143"/>
        <v xml:space="preserve"> </v>
      </c>
      <c r="AO391" s="144" t="str">
        <f>IF(JB391&gt;0,IF(GI391=10,-R391*1.085*(Calculation!$F$6-Calculation!$F$13)*$S$14," "),"")</f>
        <v/>
      </c>
      <c r="AP391" s="144" t="str">
        <f t="shared" si="1041"/>
        <v/>
      </c>
      <c r="AQ391" s="56" t="str">
        <f t="shared" si="1042"/>
        <v/>
      </c>
      <c r="AR391" s="144" t="str">
        <f t="shared" si="1043"/>
        <v/>
      </c>
      <c r="AS391" s="176" t="str">
        <f t="shared" si="1044"/>
        <v/>
      </c>
      <c r="AT391" s="176" t="str">
        <f t="shared" si="1144"/>
        <v xml:space="preserve"> </v>
      </c>
      <c r="AU391" s="176" t="str">
        <f t="shared" si="1045"/>
        <v/>
      </c>
      <c r="AV391" s="177" t="str">
        <f t="shared" si="1046"/>
        <v xml:space="preserve"> </v>
      </c>
      <c r="AW391" s="144" t="str">
        <f t="shared" si="1047"/>
        <v xml:space="preserve"> </v>
      </c>
      <c r="AX391" s="144" t="str">
        <f t="shared" si="1048"/>
        <v xml:space="preserve"> </v>
      </c>
      <c r="AY391" s="152" t="str">
        <f t="shared" si="1049"/>
        <v xml:space="preserve"> </v>
      </c>
      <c r="AZ391" s="246" t="str">
        <f t="shared" si="1050"/>
        <v/>
      </c>
      <c r="BA391" s="176" t="str">
        <f t="shared" si="1051"/>
        <v xml:space="preserve"> </v>
      </c>
      <c r="BB391" s="176" t="str">
        <f t="shared" si="1052"/>
        <v xml:space="preserve"> </v>
      </c>
      <c r="BC391" s="195"/>
      <c r="BD391" s="316"/>
      <c r="BE391" s="317"/>
      <c r="BF391" s="318"/>
      <c r="BG391" s="318"/>
      <c r="BH391" s="144" t="str">
        <f t="shared" si="1221"/>
        <v xml:space="preserve"> </v>
      </c>
      <c r="BI391" s="176" t="str">
        <f t="shared" si="1053"/>
        <v/>
      </c>
      <c r="BJ391" s="144" t="str">
        <f t="shared" si="1222"/>
        <v/>
      </c>
      <c r="BK391" s="246" t="str">
        <f t="shared" si="1054"/>
        <v/>
      </c>
      <c r="BL391" s="144" t="str">
        <f t="shared" si="1223"/>
        <v/>
      </c>
      <c r="BM391" s="246" t="str">
        <f t="shared" si="1055"/>
        <v/>
      </c>
      <c r="BN391" s="337" t="str">
        <f t="shared" si="1145"/>
        <v/>
      </c>
      <c r="BO391" s="371" t="str">
        <f t="shared" si="1146"/>
        <v/>
      </c>
      <c r="BP391" s="328" t="str">
        <f t="shared" ref="BP391:BP392" si="1225">IF(AND(N391&gt;0,O391&gt;0),IF(LEFT(BO391,4)="CBAV",VALUE(CONCATENATE(1,LEFT(O391,1))),VALUE(CONCATENATE(LEFT(N391,1),(LEFT(O391,1)))))," ")</f>
        <v xml:space="preserve"> </v>
      </c>
      <c r="BQ391" s="347" t="str">
        <f t="shared" si="1147"/>
        <v xml:space="preserve"> </v>
      </c>
      <c r="BR391" s="353" t="str">
        <f t="shared" ref="BR391:BR392" si="1226">IF(L391&gt;0,HLOOKUP(LEFT(BO391,7),Noz_Qty,(MATCH(CONCATENATE(IF(LEN(M391)=1,("0"),""),M391,"-",LEFT(BP391,1),"S"),Len_SlotLU,0)+2))," ")</f>
        <v xml:space="preserve"> </v>
      </c>
      <c r="BS391" s="626" t="str">
        <f>IF(L391&gt;0,IF(Calculation!P391="M13",BR391*3.1416*(0.134^2)/(4*144),IF(Calculation!P391="M17",BR391*3.1416*(0.165^2)/(4*144),IF(Calculation!P391="M20",BR391*3.1416*(0.198^2)/(4*144),IF(Calculation!P391="M23",BR391*3.1416*(0.228^2)/(4*144),IF(Calculation!P391="M27",BR391*3.1416*(0.269^2)/(4*144),BR391*3.1416*(0.307^2)/(4*144))))))," ")</f>
        <v xml:space="preserve"> </v>
      </c>
      <c r="BT391" s="353" t="str">
        <f>IF(L391&gt;0,IF(BS391&gt;0,R391/Calculation!BS391,0)," ")</f>
        <v xml:space="preserve"> </v>
      </c>
      <c r="BU391" s="438" t="e">
        <f t="shared" ca="1" si="1056"/>
        <v>#VALUE!</v>
      </c>
      <c r="BV391" s="449" t="e">
        <f ca="1">INDEX(INDIRECT(VLOOKUP(LEFT(BO391,7),CLU!$Z$3:$AH$18,2)),GN391,GR391)</f>
        <v>#N/A</v>
      </c>
      <c r="BW391" s="433" t="e">
        <f ca="1">INDEX(INDIRECT(VLOOKUP(LEFT(BO391,7),CLU!$Z$3:$AH$18,3)),GN391,GR391)</f>
        <v>#N/A</v>
      </c>
      <c r="BX391" s="433" t="e">
        <f ca="1">INDEX(INDIRECT(VLOOKUP(LEFT(BO391,7),CLU!$Z$3:$AH$18,4)),GN391,GR391)</f>
        <v>#N/A</v>
      </c>
      <c r="BY391" s="433" t="e">
        <f ca="1">INDEX(INDIRECT(VLOOKUP(LEFT(BO391,7),CLU!$Z$3:$AH$18,9)),((M391-2)*(6-COUNTBLANK(GT391:GY391)))+GJ391)</f>
        <v>#N/A</v>
      </c>
      <c r="BZ391" s="426" t="e">
        <f t="shared" ref="BZ391:BZ392" ca="1" si="1227">((BV391*T391)+BW391)*BX391*BY391</f>
        <v>#N/A</v>
      </c>
      <c r="CA391" s="424" t="e">
        <f t="shared" ref="CA391:CA392" ca="1" si="1228">BZ391*DJ391*$BT$8</f>
        <v>#N/A</v>
      </c>
      <c r="CB391" s="429" t="e">
        <f ca="1">INDEX(INDIRECT(VLOOKUP(LEFT(BO391,7),CLU!$Z$3:$AH$18,2)),GN391,GS391)</f>
        <v>#N/A</v>
      </c>
      <c r="CC391" s="342" t="e">
        <f ca="1">INDEX(INDIRECT(VLOOKUP(LEFT(BO391,7),CLU!$Z$3:$AH$18,3)),GN391,GS391)</f>
        <v>#N/A</v>
      </c>
      <c r="CD391" s="342" t="e">
        <f ca="1">INDEX(INDIRECT(VLOOKUP(LEFT(BO391,7),CLU!$Z$3:$AH$18,4)),GN391,GS391)</f>
        <v>#N/A</v>
      </c>
      <c r="CE391" s="426" t="e">
        <f t="shared" ca="1" si="1151"/>
        <v>#N/A</v>
      </c>
      <c r="CF391" s="440">
        <f t="shared" si="1152"/>
        <v>0</v>
      </c>
      <c r="CG391" s="431" t="e">
        <f ca="1">INDEX(INDIRECT(VLOOKUP(LEFT(BO391,7),CLU!$Z$3:$AH$18,2)),GQ391,GR391)</f>
        <v>#N/A</v>
      </c>
      <c r="CH391" s="431" t="e">
        <f ca="1">INDEX(INDIRECT(VLOOKUP(LEFT(BO391,7),CLU!$Z$3:$AH$18,3)),GQ391,GR391)</f>
        <v>#N/A</v>
      </c>
      <c r="CI391" s="431" t="e">
        <f ca="1">INDEX(INDIRECT(VLOOKUP(LEFT(BO391,7),CLU!$Z$3:$AH$18,4)),GQ391,GR391)</f>
        <v>#N/A</v>
      </c>
      <c r="CJ391" s="448" t="e">
        <f t="shared" ref="CJ391:CJ392" ca="1" si="1229">BY391</f>
        <v>#N/A</v>
      </c>
      <c r="CK391" s="431" t="e">
        <f t="shared" ref="CK391:CK392" ca="1" si="1230">((CG391*T391)+CH391)*CI391*CJ391</f>
        <v>#N/A</v>
      </c>
      <c r="CL391" s="440" t="e">
        <f t="shared" ref="CL391:CL392" ca="1" si="1231">CK391*DJ391*$BT$8</f>
        <v>#N/A</v>
      </c>
      <c r="CM391" s="431" t="e">
        <f ca="1">INDEX(INDIRECT(VLOOKUP(LEFT(BO391,7),CLU!$Z$3:$AH$18,2)),GQ391,GS391)</f>
        <v>#N/A</v>
      </c>
      <c r="CN391" s="431" t="e">
        <f ca="1">INDEX(INDIRECT(VLOOKUP(LEFT(BO391,7),CLU!$Z$3:$AH$18,3)),GQ391,GS391)</f>
        <v>#N/A</v>
      </c>
      <c r="CO391" s="431" t="e">
        <f ca="1">INDEX(INDIRECT(VLOOKUP(LEFT(BO391,7),CLU!$Z$3:$AH$18,4)),GQ391,GS391)</f>
        <v>#N/A</v>
      </c>
      <c r="CP391" s="431" t="e">
        <f t="shared" ca="1" si="1156"/>
        <v>#N/A</v>
      </c>
      <c r="CQ391" s="440">
        <f t="shared" si="1157"/>
        <v>0</v>
      </c>
      <c r="CR391" s="51" t="e">
        <f t="shared" ref="CR391:CR392" ca="1" si="1232">CL391-CA391</f>
        <v>#N/A</v>
      </c>
      <c r="CS391" s="439" t="e">
        <f t="shared" ref="CS391:CS392" ca="1" si="1233">(BU391-GM391)/10</f>
        <v>#VALUE!</v>
      </c>
      <c r="CT391" s="51" t="e">
        <f t="shared" ref="CT391:CT392" ca="1" si="1234">CS391*CR391</f>
        <v>#VALUE!</v>
      </c>
      <c r="CU391" s="10"/>
      <c r="CV391" s="51" t="e">
        <f t="shared" ca="1" si="1057"/>
        <v>#VALUE!</v>
      </c>
      <c r="CW391" s="51">
        <f t="shared" ref="CW391:CW392" si="1235">CQ391-CF391</f>
        <v>0</v>
      </c>
      <c r="CX391" s="439" t="e">
        <f t="shared" ref="CX391:CX392" ca="1" si="1236">(BU391-GM391)/10</f>
        <v>#VALUE!</v>
      </c>
      <c r="CY391" s="51" t="e">
        <f t="shared" ref="CY391:CY392" ca="1" si="1237">CX391*CW391</f>
        <v>#VALUE!</v>
      </c>
      <c r="CZ391" s="10"/>
      <c r="DA391" s="51" t="e">
        <f t="shared" ref="DA391:DA392" ca="1" si="1238">(CF391+CY391)*$CZ$21</f>
        <v>#VALUE!</v>
      </c>
      <c r="DB391" s="347" t="e">
        <f ca="1">INDEX(INDIRECT(VLOOKUP(LEFT(BO391,7),CLU!$Z$3:$AI$18,10)),((M391-2)*(6-COUNTBLANK(GT391:GY391)))+GJ391)*LI391</f>
        <v>#N/A</v>
      </c>
      <c r="DC391" s="347" t="str">
        <f>IF(L391&gt;0,((R391/Worksheet!$I$15)/DB391)^2," ")</f>
        <v xml:space="preserve"> </v>
      </c>
      <c r="DD391" s="602" t="str">
        <f t="shared" si="1165"/>
        <v xml:space="preserve"> </v>
      </c>
      <c r="DE391" s="347" t="str">
        <f t="shared" ref="DE391:DE392" si="1239">IF(L391&gt;0,(DD391/4005)^2," ")</f>
        <v xml:space="preserve"> </v>
      </c>
      <c r="DF391" s="356" t="e">
        <f ca="1">INDEX(INDIRECT(VLOOKUP(LEFT(BO391,7),CLU!$Z$3:$AH$18,8)),((M391-2)*(6-COUNTBLANK(GT391:GY391)))+GJ391)</f>
        <v>#N/A</v>
      </c>
      <c r="DG391" s="347" t="str">
        <f t="shared" ref="DG391:DG392" si="1240">IF(L391&gt;0,IF(J391="CBAM",(DF391+1)*R391*IF(J391=2,0.25,0.35),R391*(DF391+1)/BQ391)," ")</f>
        <v xml:space="preserve"> </v>
      </c>
      <c r="DH391" s="357" t="str">
        <f t="shared" ref="DH391:DH392" si="1241">IF(L391&gt;0,IF(J391="CBAM",IF(M391=2,0.168,0.333),(M391*12-1)/144)," ")</f>
        <v xml:space="preserve"> </v>
      </c>
      <c r="DI391" s="355" t="str">
        <f t="shared" ref="DI391:DI392" si="1242">IF(L391&gt;0,DG391/DH391," ")</f>
        <v xml:space="preserve"> </v>
      </c>
      <c r="DJ391" s="245" t="e">
        <f ca="1">INDEX(INDIRECT(VLOOKUP(LEFT(BO391,7),CLU!$Z$3:$AH$18,5)),GL391,GK391)</f>
        <v>#N/A</v>
      </c>
      <c r="DK391" s="245" t="e">
        <f ca="1">INDEX(INDIRECT(VLOOKUP(LEFT(BO391,7),CLU!$Z$3:$AH$18,6)),GL391,GK391)</f>
        <v>#N/A</v>
      </c>
      <c r="DL391" s="355">
        <f>(Calculation!R391*0.69143*(Calculation!$BQ$8-Calculation!$F$8))*$S$14</f>
        <v>0</v>
      </c>
      <c r="DM391" s="359" t="e">
        <f t="shared" si="1166"/>
        <v>#VALUE!</v>
      </c>
      <c r="DN391" s="611">
        <f t="shared" si="1167"/>
        <v>0</v>
      </c>
      <c r="DO391" s="359">
        <f t="shared" si="1168"/>
        <v>100</v>
      </c>
      <c r="DP391" s="359">
        <f t="shared" si="1169"/>
        <v>0</v>
      </c>
      <c r="DQ391" s="360"/>
      <c r="DR391" s="245" t="e">
        <f ca="1">INDEX(INDIRECT(VLOOKUP(LEFT(BO391,7),CLU!$Z$3:$AH$18,7)),M391-1,1)</f>
        <v>#N/A</v>
      </c>
      <c r="DS391" s="245" t="e">
        <f ca="1">INDEX(INDIRECT(VLOOKUP(LEFT(BO391,7),CLU!$Z$3:$AH$18,7)),M391-1,2)</f>
        <v>#N/A</v>
      </c>
      <c r="DT391" s="245" t="e">
        <f ca="1">INDEX(INDIRECT(VLOOKUP(LEFT(BO391,7),CLU!$Z$3:$AH$18,7)),M391-1,3)</f>
        <v>#N/A</v>
      </c>
      <c r="DU391" s="245" t="e">
        <f ca="1">INDEX(INDIRECT(VLOOKUP(LEFT(BO391,7),CLU!$Z$3:$AH$18,7)),M391-1,4)</f>
        <v>#N/A</v>
      </c>
      <c r="DV391" s="361" t="e">
        <f ca="1">INDEX(INDIRECT(VLOOKUP(LEFT(BO391,7),CLU!$Z$3:$AH$18,7)),M391-1,4+LEFT(DZ391,1)*0.5)</f>
        <v>#N/A</v>
      </c>
      <c r="DW391" s="245" t="e">
        <f ca="1">INDEX(INDIRECT(VLOOKUP(LEFT(BO391,7),CLU!$Z$3:$AH$18,7)),M391-1,8)</f>
        <v>#N/A</v>
      </c>
      <c r="DX391" s="361" t="str">
        <f t="shared" ref="DX391:DX392" si="1243">IF(L391&gt;0,IF(BR391&gt;0,IF(DZ391="2P",IF(EB391=1,"2P1C","2P2C"),IF(EB391=1,"4P1C","4P2C")),0)," ")</f>
        <v xml:space="preserve"> </v>
      </c>
      <c r="DY391" s="361" t="str">
        <f t="shared" ref="DY391:DY392" si="1244">IF(L391&gt;0,CONCATENATE(IF(LEN(M391)=1,"0",""),M391,"-",DX391)," ")</f>
        <v xml:space="preserve"> </v>
      </c>
      <c r="DZ391" s="361" t="str">
        <f t="shared" ref="DZ391:DZ392" si="1245">IF(L391&gt;0,IF(BR391&gt;0,IF(O391="2 Pipe (Cooling)","2P",IF(O391="2 Pipe (Heating)","NA",IF(O391="2 Pipe (H/C)","2P","4P"))),0)," ")</f>
        <v xml:space="preserve"> </v>
      </c>
      <c r="EA391" s="362" t="str">
        <f t="shared" ref="EA391:EA392" si="1246">IF(L391&gt;0,HLOOKUP(LEFT(BO391,7),SCMG,(MATCH(CONCATENATE(IF(LEN(M391)=1,"0",""),M391,"-",DZ391),SCMG_LU))+2)," ")</f>
        <v xml:space="preserve"> </v>
      </c>
      <c r="EB391" s="624" t="str">
        <f t="shared" si="1170"/>
        <v xml:space="preserve"> </v>
      </c>
      <c r="EC391" s="361" t="e">
        <f ca="1">INDEX(INDIRECT(VLOOKUP(LEFT(BO391,7),CLU!$Z$3:$AH$18,7)),M391-1,4+LEFT(DZ391,1)*0.5)</f>
        <v>#N/A</v>
      </c>
      <c r="ED391" s="362" t="str">
        <f t="shared" ref="ED391:ED392" si="1247">IF(L391&gt;0,HLOOKUP(LEFT(BO391,7),Coil_K,(MATCH(DY391,LengthCoilLU))+2)," ")</f>
        <v xml:space="preserve"> </v>
      </c>
      <c r="EE391" s="361" t="str">
        <f t="shared" ref="EE391:EE392" si="1248">IF(L391&gt;0,IF(BR391&gt;0,IF(O391="2 Pipe (Cooling)","N/A",IF(O391="2 Pipe (Heating)","2P",IF(O391="2 Pipe (H/C)","2P","4P"))),0)," ")</f>
        <v xml:space="preserve"> </v>
      </c>
      <c r="EF391" s="362" t="str">
        <f>IF(L391&gt;0,IF(BR391&gt;0,IF(EE391="2P",IF(Calculation!DZ391="2P",IF(Calculation!DS391=13.75,IF(Calculation!DR391=13,Worksheet!$BD$43,IF(Calculation!DR391=37,Worksheet!$BD$44,Worksheet!$BD$45)),IF(Calculation!DS391=10,IF(Calculation!DR391=18,Worksheet!$BD$29,IF(Calculation!DR391=30,Worksheet!$BD$30,IF(Calculation!DR391=42,Worksheet!$BD$31,IF(Calculation!DR391=54,Worksheet!$BD$32,IF(Calculation!DR391=66,Worksheet!$BD$33,IF(Calculation!DR391=78,Worksheet!$BD$34,IF(Calculation!DR391=90,Worksheet!$BD$35,IF(Calculation!DR391=102,Worksheet!$BD$36,Worksheet!$BD$37)))))))),IF(Calculation!DS391=12.5,IF(Calculation!DR391=18,Worksheet!$BD$38,IF(Calculation!DR391=Worksheet!$BD$39,IF(Calculation!DR391=42,Worksheet!$BD$40,IF(Calculation!DR391=54,Worksheet!$BD$41,Worksheet!$BD$42)))),IF(Calculation!DR391=18,Worksheet!$BD$11,IF(Calculation!DR391=30,Worksheet!$BD$12,IF(Calculation!DR391=42,Worksheet!$BD$13,IF(Calculation!DR391=54,Worksheet!$BD$14,IF(Calculation!DR391=66,Worksheet!$BD$15,IF(Calculation!DR391=78,Worksheet!$BD$16,IF(Calculation!DR391=90,Worksheet!$BD$17,IF(Calculation!DR391=102,Worksheet!$BD$18,Worksheet!$BD$19))))))))))),IF(Calculation!DS391=13.75,IF(Calculation!DR391=13,Worksheet!$BD$78,IF(Calculation!DR391=37,Worksheet!$BD$79,Worksheet!$BD$80)),IF(Calculation!DS391=10,IF(Calculation!DR391=18,Worksheet!$BD$64,IF(Calculation!DR391=30,Worksheet!$BD$65,IF(Calculation!DR391=42,Worksheet!$BD$66,IF(Calculation!DR391=54,Worksheet!$BD$68,IF(Calculation!DR391=66,Worksheet!$BD$68,IF(Calculation!DR391=78,Worksheet!$BD$69,IF(Calculation!DR391=90,Worksheet!$BD$70,IF(Calculation!DR391=102,Worksheet!$BD$71,Worksheet!$BD$72)))))))),IF(Calculation!DS391=12.5,IF(Calculation!DR391=18,Worksheet!$BD$73,IF(Calculation!DR391=Worksheet!$BD$74,IF(Calculation!DR391=42,Worksheet!$BD$75,IF(Calculation!DR391=54,Worksheet!$BD$76,Worksheet!$BD$77)))),IF(Calculation!DR391=18,Worksheet!$BD$55,IF(Calculation!DR391=30,Worksheet!$BD$56,IF(Calculation!DR391=42,Worksheet!$BD$57,IF(Calculation!DR391=54,Worksheet!$BD$58,IF(Calculation!DR391=66,Worksheet!$BD$59,IF(Calculation!DR391=78,Worksheet!$BD$60,IF(Calculation!DR391=90,Worksheet!$BD$61,IF(Calculation!DR391=102,Worksheet!$BD$62,Worksheet!$BD$63)))))))))))),5),0)," ")</f>
        <v xml:space="preserve"> </v>
      </c>
      <c r="EG391" s="361" t="str">
        <f t="shared" ref="EG391:EG392" si="1249">IF(L391&gt;0,IF(BR391&gt;0,IF(U391&gt;EF391,2,1),0)," ")</f>
        <v xml:space="preserve"> </v>
      </c>
      <c r="EH391" s="361" t="e">
        <f ca="1">INDEX(INDIRECT(VLOOKUP(LEFT(BO391,7),CLU!$Z$3:$AH$18,7)),M391-1,3+LEFT(DZ391,1))</f>
        <v>#N/A</v>
      </c>
      <c r="EI391" s="362" t="str">
        <f t="shared" ref="EI391:EI392" si="1250">IF(L391&gt;0,IF(O391="2 Pipe (Cooling)","N/A",IF(EE391="2P",ED391,HLOOKUP(LEFT(BO391,7),Sec_Coil_K,MATCH(LEFT(DY391,5),FourP_Coil_LU)+2)))," ")</f>
        <v xml:space="preserve"> </v>
      </c>
      <c r="EJ391" s="363" t="str">
        <f t="shared" ref="EJ391:EJ392" si="1251">IF(L391&gt;0,IF(O391="2 pipe (cooling)",IF(G391&gt;0,$H$6+(G391/(1.085*W391*$S$14)),$H$13),$H$13)," ")</f>
        <v xml:space="preserve"> </v>
      </c>
      <c r="EK391" s="363" t="str">
        <f t="shared" ref="EK391:EK392" si="1252">IF(L391&gt;0,IF(AX391=0,$H$6,$H$6+AX391/(1.085*$S$14*(R391*DF391)))," ")</f>
        <v xml:space="preserve"> </v>
      </c>
      <c r="EL391" s="363" t="str">
        <f t="shared" ref="EL391:EL392" si="1253">IF(L391&gt;0,((R391*EJ391)+(DF391*R391*EK391))/(R391*(DF391+1))," ")</f>
        <v xml:space="preserve"> </v>
      </c>
      <c r="EM391" s="362" t="str">
        <f>IF(L391&gt;0,IF(BR391&gt;0,(Calculation!T391/ED391)^2,0)," ")</f>
        <v xml:space="preserve"> </v>
      </c>
      <c r="EN391" s="362" t="str">
        <f>IF(L391&gt;0,IF(O391="2 Pipe (Cooling)","N/A",IF(BR391&gt;0,(Calculation!U391/EI391)^2,0))," ")</f>
        <v xml:space="preserve"> </v>
      </c>
      <c r="EO391" s="361" t="str">
        <f t="shared" si="1073"/>
        <v/>
      </c>
      <c r="EP391" s="361" t="str">
        <f t="shared" si="1074"/>
        <v/>
      </c>
      <c r="EQ391" s="361" t="str">
        <f t="shared" si="1075"/>
        <v/>
      </c>
      <c r="ER391" s="361" t="str">
        <f t="shared" si="1076"/>
        <v/>
      </c>
      <c r="ES391" s="361" t="str">
        <f t="shared" si="1077"/>
        <v/>
      </c>
      <c r="ET391" s="361" t="str">
        <f t="shared" si="1078"/>
        <v/>
      </c>
      <c r="EU391" s="361" t="str">
        <f t="shared" si="1079"/>
        <v/>
      </c>
      <c r="EV391" s="361" t="str">
        <f t="shared" si="1080"/>
        <v/>
      </c>
      <c r="EW391" s="361" t="str">
        <f t="shared" si="1081"/>
        <v/>
      </c>
      <c r="EX391" s="361" t="str">
        <f t="shared" si="1171"/>
        <v>1 slot, 1 way</v>
      </c>
      <c r="EY391" s="361" t="str">
        <f t="shared" si="1172"/>
        <v xml:space="preserve"> </v>
      </c>
      <c r="EZ391" s="361" t="str">
        <f t="shared" si="1173"/>
        <v xml:space="preserve"> </v>
      </c>
      <c r="FA391" s="361" t="str">
        <f t="shared" si="1174"/>
        <v xml:space="preserve"> </v>
      </c>
      <c r="FB391" s="361" t="str">
        <f t="shared" si="1175"/>
        <v xml:space="preserve"> </v>
      </c>
      <c r="FC391" s="361"/>
      <c r="FD391" s="361" t="str">
        <f>IF(J391&gt;0,IF(Calculation!R391&lt;=70,4,IF(Calculation!R391&lt;=110,5,IF(Calculation!R391&lt;=160,6,IF(Calculation!R391&lt;=300,8,"10 EO")))),"")</f>
        <v/>
      </c>
      <c r="FE391" s="361" t="str">
        <f t="shared" si="1176"/>
        <v/>
      </c>
      <c r="FF391" s="361" t="str">
        <f t="shared" si="1177"/>
        <v/>
      </c>
      <c r="FG391" s="361" t="e">
        <f t="shared" si="1082"/>
        <v>#N/A</v>
      </c>
      <c r="FH391" s="361">
        <f t="shared" ref="FH391:FH392" si="1254">F391/$CB$8</f>
        <v>0</v>
      </c>
      <c r="FI391" s="361" t="e">
        <f t="shared" ref="FI391:FI392" si="1255">(F391/$CB$8)/L391</f>
        <v>#DIV/0!</v>
      </c>
      <c r="FJ391" s="361"/>
      <c r="FK391" s="356" t="e">
        <f t="shared" ref="FK391:FK392" si="1256">0+X391</f>
        <v>#VALUE!</v>
      </c>
      <c r="FL391" s="361"/>
      <c r="FM391" s="361"/>
      <c r="FN391" s="362" t="str">
        <f t="shared" si="1178"/>
        <v xml:space="preserve"> </v>
      </c>
      <c r="FO391" s="362" t="str">
        <f t="shared" si="1179"/>
        <v xml:space="preserve"> </v>
      </c>
      <c r="FP391" s="362">
        <f t="shared" si="1180"/>
        <v>0</v>
      </c>
      <c r="FQ391" s="361">
        <f t="shared" ref="FQ391:FQ392" si="1257">IF(T391=0,0,IF(T391&lt;FP391,1,0))</f>
        <v>0</v>
      </c>
      <c r="FR391" s="362" t="str">
        <f>IF(L391&gt;0,IF(J391="CBAL2",Worksheet!$P$67,IF(J391="CBE2-24",Worksheet!$Q$67,IF(J391="CBAM",Worksheet!$R$67,IF(J391="CBLV",Worksheet!$S$67,IF(J391="CBAB",Worksheet!$U$67,IF(J391="CBAW",Worksheet!$X$67,IF(J391="CBE2-12",Worksheet!$Y$67,IF(J391="CBAL2",Worksheet!$Z$67,"N/A"))))))))," ")</f>
        <v xml:space="preserve"> </v>
      </c>
      <c r="FS391" s="362" t="str">
        <f>IF(L391&gt;0,IF(J391="CBAL2",Worksheet!$P$68,IF(J391="CBE2-24",Worksheet!$Q$68,IF(J391="CBAM",Worksheet!$R$68,IF(J391="CBLV",Worksheet!$S$68,IF(J391="CBAB",Worksheet!$U$68,IF(J391="CBAW",Worksheet!$X$68,IF(J391="CBE2-12",Worksheet!$Y$68,IF(J391="CBAL2",Worksheet!$Z$68,"N/A"))))))))," ")</f>
        <v xml:space="preserve"> </v>
      </c>
      <c r="FT391" s="362" t="str">
        <f>IF(L391&gt;0,IF(J391="CBAL2",Worksheet!$P$69,IF(J391="CBE2-24",Worksheet!$Q$69,IF(J391="CBAM",Worksheet!$R$69,IF(J391="CBLV",Worksheet!$S$69,IF(J391="CBAB",Worksheet!$U$69,IF(J391="CBAW",Worksheet!$X$69,IF(J391="CBE2-12",Worksheet!$Y$69,IF(J391="CBAL2",Worksheet!$Z$69,"N/A"))))))))," ")</f>
        <v xml:space="preserve"> </v>
      </c>
      <c r="FU391" s="361" t="str">
        <f t="shared" si="1181"/>
        <v xml:space="preserve"> </v>
      </c>
      <c r="FV391" s="362" t="str">
        <f t="shared" si="1182"/>
        <v xml:space="preserve"> </v>
      </c>
      <c r="FW391" s="362" t="str">
        <f t="shared" si="1183"/>
        <v xml:space="preserve"> </v>
      </c>
      <c r="FX391" s="362" t="str">
        <f t="shared" si="1184"/>
        <v xml:space="preserve"> </v>
      </c>
      <c r="FY391" s="355" t="str">
        <f t="shared" si="1185"/>
        <v xml:space="preserve"> </v>
      </c>
      <c r="FZ391" s="361" t="str">
        <f t="shared" si="1186"/>
        <v xml:space="preserve"> </v>
      </c>
      <c r="GA391" s="347" t="str">
        <f t="shared" si="1187"/>
        <v xml:space="preserve"> </v>
      </c>
      <c r="GB391" s="355" t="str">
        <f t="shared" si="1188"/>
        <v xml:space="preserve"> </v>
      </c>
      <c r="GC391" s="328" t="str">
        <f t="shared" si="1189"/>
        <v xml:space="preserve"> </v>
      </c>
      <c r="GD391" s="361" t="str">
        <f t="shared" si="1190"/>
        <v xml:space="preserve"> </v>
      </c>
      <c r="GE391" s="347" t="str">
        <f t="shared" si="1191"/>
        <v xml:space="preserve"> </v>
      </c>
      <c r="GF391" s="361" t="str">
        <f t="shared" si="1192"/>
        <v xml:space="preserve"> </v>
      </c>
      <c r="GG391" s="347" t="str">
        <f t="shared" si="1193"/>
        <v xml:space="preserve"> </v>
      </c>
      <c r="GH391" s="364">
        <f t="shared" ref="GH391:GH392" si="1258">IFERROR(IF(AZ391="",0,AZ391-$H$6),0)</f>
        <v>0</v>
      </c>
      <c r="GI391" s="362">
        <f t="shared" si="1194"/>
        <v>2</v>
      </c>
      <c r="GJ391" s="433" t="e">
        <f>IF(6-COUNTBLANK(GT391:GY391)=4,MATCH(MID(BO391,9,3),CLU!$H$16:$K$16),MATCH(MID(BO391,9,3),CLU!$H$13:$M$13))</f>
        <v>#N/A</v>
      </c>
      <c r="GK391" s="433" t="e">
        <f>HLOOKUP(VALUE(BP391),CLU!$H$9:$M$10,2)</f>
        <v>#VALUE!</v>
      </c>
      <c r="GL391" s="433" t="e">
        <f ca="1">MATCH(BU391,CLU!$H$2:$V$2,1)</f>
        <v>#VALUE!</v>
      </c>
      <c r="GM391" s="433" t="e">
        <f t="shared" ref="GM391:GM392" ca="1" si="1259">((GL391-1)*10)+15</f>
        <v>#VALUE!</v>
      </c>
      <c r="GN391" s="433" t="e">
        <f t="shared" ref="GN391:GN392" ca="1" si="1260">((M391-2)*15)+GL391</f>
        <v>#VALUE!</v>
      </c>
      <c r="GO391" s="433" t="e">
        <f t="shared" ref="GO391:GO392" ca="1" si="1261">IF(GL391=15,15,GL391+1)</f>
        <v>#VALUE!</v>
      </c>
      <c r="GP391" s="433" t="e">
        <f t="shared" ref="GP391:GP392" ca="1" si="1262">((GO391-1)*10)+15</f>
        <v>#VALUE!</v>
      </c>
      <c r="GQ391" s="433" t="e">
        <f t="shared" ref="GQ391:GQ392" ca="1" si="1263">((M391-2)*15)+GO391</f>
        <v>#VALUE!</v>
      </c>
      <c r="GR391" s="433" t="e">
        <f ca="1">MATCH(T391,INDIRECT(VLOOKUP(CONCATENATE(LEFT(BO391,7),"-",MID(BO391,13,1)),CLU!$P$3:$Q$16,2)),1)</f>
        <v>#N/A</v>
      </c>
      <c r="GS391" s="433" t="e">
        <f ca="1">MATCH(U391,INDIRECT(VLOOKUP(CONCATENATE(LEFT(BO391,7),"-",MID(BO391,13,1)),CLU!$P$3:$Q$16,2)),1)</f>
        <v>#N/A</v>
      </c>
      <c r="GT391" s="347" t="s">
        <v>512</v>
      </c>
      <c r="GU391" s="97" t="s">
        <v>513</v>
      </c>
      <c r="GV391" s="97" t="str">
        <f t="shared" si="1200"/>
        <v>M23</v>
      </c>
      <c r="GW391" s="97" t="str">
        <f t="shared" si="1201"/>
        <v>M31</v>
      </c>
      <c r="GX391" s="97" t="str">
        <f t="shared" si="1202"/>
        <v/>
      </c>
      <c r="GY391" s="97" t="str">
        <f t="shared" si="1203"/>
        <v/>
      </c>
      <c r="GZ391" s="481"/>
      <c r="HA391" s="240"/>
      <c r="HB391" s="240"/>
      <c r="HC391" s="240"/>
      <c r="HD391" s="240"/>
      <c r="HE391" s="240"/>
      <c r="HF391" s="240"/>
      <c r="HG391" s="240"/>
      <c r="HH391" s="240"/>
      <c r="HI391" s="240"/>
      <c r="HJ391" s="240"/>
      <c r="HK391" s="240"/>
      <c r="HL391" s="240"/>
      <c r="HM391" s="240"/>
      <c r="HN391" s="240"/>
      <c r="HO391" s="240"/>
      <c r="HP391" s="240"/>
      <c r="HQ391" s="240"/>
      <c r="HR391" s="240"/>
      <c r="HS391" s="240"/>
      <c r="HT391" s="240"/>
      <c r="HU391" s="240"/>
      <c r="HV391" s="245"/>
      <c r="HW391" s="245" t="b">
        <v>1</v>
      </c>
      <c r="HX391" s="245" t="str">
        <f t="shared" si="1088"/>
        <v/>
      </c>
      <c r="HY391" s="245" t="e">
        <f t="shared" si="1089"/>
        <v>#DIV/0!</v>
      </c>
      <c r="HZ391" s="245" t="e">
        <f t="shared" si="1090"/>
        <v>#DIV/0!</v>
      </c>
      <c r="IA391" s="245">
        <f t="shared" si="1091"/>
        <v>0</v>
      </c>
      <c r="IB391" s="245"/>
      <c r="IC391" t="b">
        <f t="shared" si="1092"/>
        <v>1</v>
      </c>
      <c r="ID391" s="245" t="b">
        <f t="shared" si="1093"/>
        <v>1</v>
      </c>
      <c r="IE391" s="245" t="b">
        <f t="shared" si="1094"/>
        <v>1</v>
      </c>
      <c r="IF391" s="245" t="b">
        <f t="shared" si="1095"/>
        <v>0</v>
      </c>
      <c r="IG391" s="245" t="b">
        <f t="shared" si="1096"/>
        <v>1</v>
      </c>
      <c r="IH391" s="245" t="b">
        <f t="shared" si="1097"/>
        <v>1</v>
      </c>
      <c r="II391" s="245">
        <f t="shared" si="1204"/>
        <v>0</v>
      </c>
      <c r="IJ391" s="245" t="e">
        <f t="shared" si="1098"/>
        <v>#VALUE!</v>
      </c>
      <c r="IK391" s="245" t="e">
        <f t="shared" si="1099"/>
        <v>#VALUE!</v>
      </c>
      <c r="IL391" s="245"/>
      <c r="IM391" s="245" t="e">
        <f t="shared" ref="IM391:IM392" si="1264">VLOOKUP(MATCH(LEFT(HX391,7),$IM$7:$IM$17,0),$IL$7:$IO$17,3)</f>
        <v>#N/A</v>
      </c>
      <c r="IN391" s="245" t="e">
        <f t="shared" si="1206"/>
        <v>#N/A</v>
      </c>
      <c r="IO391" s="245"/>
      <c r="IP391" s="245"/>
      <c r="IQ391" s="245" t="str">
        <f t="shared" si="1100"/>
        <v/>
      </c>
      <c r="IR391" s="245" t="str">
        <f>IF(J391="","",VLOOKUP(J391,Worksheet!$R$4:$T$14,2))</f>
        <v/>
      </c>
      <c r="IS391" s="245"/>
      <c r="IT391" s="245">
        <f t="shared" si="1101"/>
        <v>0</v>
      </c>
      <c r="IU391" s="245">
        <f t="shared" si="1102"/>
        <v>0</v>
      </c>
      <c r="IV391" s="245">
        <f t="shared" si="1103"/>
        <v>0</v>
      </c>
      <c r="IW391" s="245">
        <f t="shared" si="1104"/>
        <v>0</v>
      </c>
      <c r="IX391" s="245">
        <f t="shared" si="1207"/>
        <v>0</v>
      </c>
      <c r="IY391" s="245">
        <f t="shared" si="1105"/>
        <v>0</v>
      </c>
      <c r="IZ391" s="245">
        <f t="shared" si="1106"/>
        <v>0</v>
      </c>
      <c r="JA391">
        <f t="shared" si="1107"/>
        <v>0</v>
      </c>
      <c r="JB391">
        <f t="shared" si="1208"/>
        <v>0</v>
      </c>
      <c r="JC391">
        <f t="shared" si="1108"/>
        <v>0</v>
      </c>
      <c r="JD391">
        <f t="shared" si="1109"/>
        <v>0</v>
      </c>
      <c r="JE391">
        <f t="shared" si="1110"/>
        <v>0</v>
      </c>
      <c r="JF391">
        <f t="shared" si="1111"/>
        <v>0</v>
      </c>
      <c r="JG391">
        <f t="shared" si="1112"/>
        <v>0</v>
      </c>
      <c r="JH391">
        <f t="shared" si="1113"/>
        <v>0</v>
      </c>
      <c r="JI391">
        <f t="shared" si="1114"/>
        <v>0</v>
      </c>
      <c r="JJ391" s="447">
        <f t="shared" si="1115"/>
        <v>0</v>
      </c>
      <c r="JK391" s="447">
        <f t="shared" si="1116"/>
        <v>0</v>
      </c>
      <c r="JL391">
        <f t="shared" si="1117"/>
        <v>0</v>
      </c>
      <c r="JM391" s="245" t="str">
        <f>IFERROR(VLOOKUP(MATCH(BN391,#REF!,0),#REF!,7),"")</f>
        <v/>
      </c>
      <c r="JN391" t="e">
        <f>HLOOKUP(LEFT(BO391,7),Discharge_Area,MATCH(JO391,LookUps!$B$130:$B$149,1)+2)</f>
        <v>#N/A</v>
      </c>
      <c r="JO391" t="str">
        <f t="shared" si="1118"/>
        <v>- S</v>
      </c>
      <c r="JP391" t="e">
        <f>HLOOKUP(LEFT(BO391,7),Discharge_Area,MATCH(JO391,LookUps!$B$130:$B$149,1)+2)</f>
        <v>#N/A</v>
      </c>
      <c r="JQ391" t="e">
        <f t="shared" si="1119"/>
        <v>#N/A</v>
      </c>
      <c r="JR391" t="e">
        <f t="shared" si="1120"/>
        <v>#N/A</v>
      </c>
      <c r="JS391" t="e">
        <f t="shared" si="1121"/>
        <v>#N/A</v>
      </c>
      <c r="JT391" s="532" t="str">
        <f t="shared" si="1122"/>
        <v xml:space="preserve"> </v>
      </c>
      <c r="JU391" s="532" t="str">
        <f t="shared" si="1123"/>
        <v xml:space="preserve"> </v>
      </c>
      <c r="JV391" s="533" t="str">
        <f t="shared" si="1124"/>
        <v xml:space="preserve"> </v>
      </c>
      <c r="JW391" s="534">
        <f t="shared" si="1125"/>
        <v>0</v>
      </c>
      <c r="JX391" s="535" t="str">
        <f t="shared" si="1209"/>
        <v xml:space="preserve"> </v>
      </c>
      <c r="JY391" s="535" t="str">
        <f t="shared" si="1210"/>
        <v xml:space="preserve"> </v>
      </c>
      <c r="JZ391" s="535" t="str">
        <f t="shared" si="1211"/>
        <v xml:space="preserve"> </v>
      </c>
      <c r="KA391" s="536" t="str">
        <f t="shared" si="1126"/>
        <v xml:space="preserve"> </v>
      </c>
      <c r="KB391" s="535" t="e">
        <f t="shared" si="1212"/>
        <v>#VALUE!</v>
      </c>
      <c r="KC391" s="535" t="str">
        <f t="shared" si="1127"/>
        <v/>
      </c>
      <c r="KD391" s="537" t="str">
        <f t="shared" si="1213"/>
        <v xml:space="preserve"> </v>
      </c>
      <c r="KE391" s="537" t="str">
        <f t="shared" si="1214"/>
        <v xml:space="preserve"> </v>
      </c>
      <c r="KF391" s="534">
        <f t="shared" si="1128"/>
        <v>0</v>
      </c>
      <c r="KG391" s="535" t="str">
        <f t="shared" si="1129"/>
        <v xml:space="preserve"> </v>
      </c>
      <c r="KH391" s="535" t="str">
        <f t="shared" si="1130"/>
        <v xml:space="preserve"> </v>
      </c>
      <c r="KI391" s="535" t="str">
        <f t="shared" si="1131"/>
        <v xml:space="preserve"> </v>
      </c>
      <c r="KJ391" s="536" t="str">
        <f t="shared" si="1132"/>
        <v xml:space="preserve"> </v>
      </c>
      <c r="KK391" s="535" t="str">
        <f t="shared" si="1215"/>
        <v xml:space="preserve"> </v>
      </c>
      <c r="KL391" s="535" t="str">
        <f t="shared" si="1216"/>
        <v xml:space="preserve"> </v>
      </c>
      <c r="KM391" s="537" t="str">
        <f t="shared" si="1133"/>
        <v xml:space="preserve"> </v>
      </c>
      <c r="KN391" s="537" t="str">
        <f t="shared" si="1217"/>
        <v xml:space="preserve"> </v>
      </c>
      <c r="KP391">
        <f t="shared" si="1134"/>
        <v>0</v>
      </c>
      <c r="LA391" t="e">
        <f t="shared" si="1135"/>
        <v>#VALUE!</v>
      </c>
      <c r="LB391" t="e">
        <f t="shared" si="1136"/>
        <v>#VALUE!</v>
      </c>
      <c r="LC391" t="e">
        <f t="shared" si="1137"/>
        <v>#VALUE!</v>
      </c>
      <c r="LD391" t="e">
        <f t="shared" si="1138"/>
        <v>#VALUE!</v>
      </c>
      <c r="LE391" t="e">
        <f t="shared" si="1218"/>
        <v>#VALUE!</v>
      </c>
      <c r="LF391">
        <f t="shared" si="1139"/>
        <v>0</v>
      </c>
      <c r="LG391" t="e">
        <f t="shared" si="1219"/>
        <v>#VALUE!</v>
      </c>
      <c r="LH391" t="str">
        <f t="shared" si="1140"/>
        <v xml:space="preserve"> </v>
      </c>
      <c r="LI391">
        <f t="shared" si="1220"/>
        <v>1</v>
      </c>
    </row>
    <row r="392" spans="2:321" ht="15" customHeight="1">
      <c r="B392" s="311"/>
      <c r="C392" s="311"/>
      <c r="D392" s="312"/>
      <c r="E392" s="311"/>
      <c r="F392" s="312"/>
      <c r="G392" s="311"/>
      <c r="H392" s="311"/>
      <c r="I392" s="232"/>
      <c r="J392" s="311"/>
      <c r="K392" s="305" t="str">
        <f t="shared" si="1141"/>
        <v/>
      </c>
      <c r="L392" s="313"/>
      <c r="M392" s="312"/>
      <c r="N392" s="311"/>
      <c r="O392" s="312"/>
      <c r="P392" s="311"/>
      <c r="Q392" s="305" t="str">
        <f t="shared" si="1142"/>
        <v/>
      </c>
      <c r="R392" s="314"/>
      <c r="S392" s="450" t="str">
        <f t="shared" si="1025"/>
        <v/>
      </c>
      <c r="T392" s="315"/>
      <c r="U392" s="315"/>
      <c r="W392" s="149" t="str">
        <f t="shared" si="1026"/>
        <v xml:space="preserve"> </v>
      </c>
      <c r="X392" s="243" t="str">
        <f t="shared" si="1027"/>
        <v xml:space="preserve"> </v>
      </c>
      <c r="Y392" s="150" t="str">
        <f t="shared" si="1028"/>
        <v/>
      </c>
      <c r="Z392" s="149" t="str">
        <f t="shared" si="1029"/>
        <v xml:space="preserve"> </v>
      </c>
      <c r="AA392" s="98" t="str">
        <f t="shared" si="1030"/>
        <v xml:space="preserve"> </v>
      </c>
      <c r="AB392" s="153" t="str">
        <f t="shared" si="1031"/>
        <v xml:space="preserve"> </v>
      </c>
      <c r="AC392" s="153" t="str">
        <f t="shared" si="1032"/>
        <v xml:space="preserve"> </v>
      </c>
      <c r="AD392" s="148" t="str">
        <f t="shared" si="1033"/>
        <v/>
      </c>
      <c r="AE392" s="149" t="str">
        <f t="shared" si="1034"/>
        <v/>
      </c>
      <c r="AF392" s="151" t="str">
        <f t="shared" si="1035"/>
        <v xml:space="preserve"> </v>
      </c>
      <c r="AG392" s="153" t="str">
        <f t="shared" si="1036"/>
        <v xml:space="preserve"> </v>
      </c>
      <c r="AH392" s="98" t="str">
        <f t="shared" si="1037"/>
        <v xml:space="preserve"> </v>
      </c>
      <c r="AI392" s="149" t="str">
        <f t="shared" si="1038"/>
        <v xml:space="preserve"> </v>
      </c>
      <c r="AK392" s="144" t="str">
        <f t="shared" si="1039"/>
        <v xml:space="preserve"> </v>
      </c>
      <c r="AL392" s="144"/>
      <c r="AM392" s="243" t="str">
        <f t="shared" si="1040"/>
        <v xml:space="preserve"> </v>
      </c>
      <c r="AN392" s="149" t="str">
        <f t="shared" si="1143"/>
        <v xml:space="preserve"> </v>
      </c>
      <c r="AO392" s="144" t="str">
        <f>IF(JB392&gt;0,IF(GI392=10,-R392*1.085*(Calculation!$F$6-Calculation!$F$13)*$S$14," "),"")</f>
        <v/>
      </c>
      <c r="AP392" s="144" t="str">
        <f t="shared" si="1041"/>
        <v/>
      </c>
      <c r="AQ392" s="56" t="str">
        <f t="shared" si="1042"/>
        <v/>
      </c>
      <c r="AR392" s="144" t="str">
        <f t="shared" si="1043"/>
        <v/>
      </c>
      <c r="AS392" s="176" t="str">
        <f t="shared" si="1044"/>
        <v/>
      </c>
      <c r="AT392" s="176" t="str">
        <f t="shared" si="1144"/>
        <v xml:space="preserve"> </v>
      </c>
      <c r="AU392" s="176" t="str">
        <f t="shared" si="1045"/>
        <v/>
      </c>
      <c r="AV392" s="177" t="str">
        <f t="shared" si="1046"/>
        <v xml:space="preserve"> </v>
      </c>
      <c r="AW392" s="144" t="str">
        <f t="shared" si="1047"/>
        <v xml:space="preserve"> </v>
      </c>
      <c r="AX392" s="144" t="str">
        <f t="shared" si="1048"/>
        <v xml:space="preserve"> </v>
      </c>
      <c r="AY392" s="152" t="str">
        <f t="shared" si="1049"/>
        <v xml:space="preserve"> </v>
      </c>
      <c r="AZ392" s="246" t="str">
        <f t="shared" si="1050"/>
        <v/>
      </c>
      <c r="BA392" s="176" t="str">
        <f t="shared" si="1051"/>
        <v xml:space="preserve"> </v>
      </c>
      <c r="BB392" s="176" t="str">
        <f t="shared" si="1052"/>
        <v xml:space="preserve"> </v>
      </c>
      <c r="BC392" s="195"/>
      <c r="BD392" s="316"/>
      <c r="BE392" s="317"/>
      <c r="BF392" s="318"/>
      <c r="BG392" s="318"/>
      <c r="BH392" s="144" t="str">
        <f t="shared" si="1221"/>
        <v xml:space="preserve"> </v>
      </c>
      <c r="BI392" s="176" t="str">
        <f t="shared" si="1053"/>
        <v/>
      </c>
      <c r="BJ392" s="144" t="str">
        <f t="shared" si="1222"/>
        <v/>
      </c>
      <c r="BK392" s="246" t="str">
        <f t="shared" si="1054"/>
        <v/>
      </c>
      <c r="BL392" s="144" t="str">
        <f t="shared" si="1223"/>
        <v/>
      </c>
      <c r="BM392" s="246" t="str">
        <f t="shared" si="1055"/>
        <v/>
      </c>
      <c r="BN392" s="337" t="str">
        <f t="shared" si="1145"/>
        <v/>
      </c>
      <c r="BO392" s="371" t="str">
        <f t="shared" si="1146"/>
        <v/>
      </c>
      <c r="BP392" s="328" t="str">
        <f t="shared" si="1225"/>
        <v xml:space="preserve"> </v>
      </c>
      <c r="BQ392" s="347" t="str">
        <f t="shared" si="1147"/>
        <v xml:space="preserve"> </v>
      </c>
      <c r="BR392" s="353" t="str">
        <f t="shared" si="1226"/>
        <v xml:space="preserve"> </v>
      </c>
      <c r="BS392" s="626" t="str">
        <f>IF(L392&gt;0,IF(Calculation!P392="M13",BR392*3.1416*(0.134^2)/(4*144),IF(Calculation!P392="M17",BR392*3.1416*(0.165^2)/(4*144),IF(Calculation!P392="M20",BR392*3.1416*(0.198^2)/(4*144),IF(Calculation!P392="M23",BR392*3.1416*(0.228^2)/(4*144),IF(Calculation!P392="M27",BR392*3.1416*(0.269^2)/(4*144),BR392*3.1416*(0.307^2)/(4*144))))))," ")</f>
        <v xml:space="preserve"> </v>
      </c>
      <c r="BT392" s="353" t="str">
        <f>IF(L392&gt;0,IF(BS392&gt;0,R392/Calculation!BS392,0)," ")</f>
        <v xml:space="preserve"> </v>
      </c>
      <c r="BU392" s="438" t="e">
        <f t="shared" ca="1" si="1056"/>
        <v>#VALUE!</v>
      </c>
      <c r="BV392" s="449" t="e">
        <f ca="1">INDEX(INDIRECT(VLOOKUP(LEFT(BO392,7),CLU!$Z$3:$AH$18,2)),GN392,GR392)</f>
        <v>#N/A</v>
      </c>
      <c r="BW392" s="433" t="e">
        <f ca="1">INDEX(INDIRECT(VLOOKUP(LEFT(BO392,7),CLU!$Z$3:$AH$18,3)),GN392,GR392)</f>
        <v>#N/A</v>
      </c>
      <c r="BX392" s="433" t="e">
        <f ca="1">INDEX(INDIRECT(VLOOKUP(LEFT(BO392,7),CLU!$Z$3:$AH$18,4)),GN392,GR392)</f>
        <v>#N/A</v>
      </c>
      <c r="BY392" s="433" t="e">
        <f ca="1">INDEX(INDIRECT(VLOOKUP(LEFT(BO392,7),CLU!$Z$3:$AH$18,9)),((M392-2)*(6-COUNTBLANK(GT392:GY392)))+GJ392)</f>
        <v>#N/A</v>
      </c>
      <c r="BZ392" s="426" t="e">
        <f t="shared" ca="1" si="1227"/>
        <v>#N/A</v>
      </c>
      <c r="CA392" s="424" t="e">
        <f t="shared" ca="1" si="1228"/>
        <v>#N/A</v>
      </c>
      <c r="CB392" s="429" t="e">
        <f ca="1">INDEX(INDIRECT(VLOOKUP(LEFT(BO392,7),CLU!$Z$3:$AH$18,2)),GN392,GS392)</f>
        <v>#N/A</v>
      </c>
      <c r="CC392" s="342" t="e">
        <f ca="1">INDEX(INDIRECT(VLOOKUP(LEFT(BO392,7),CLU!$Z$3:$AH$18,3)),GN392,GS392)</f>
        <v>#N/A</v>
      </c>
      <c r="CD392" s="342" t="e">
        <f ca="1">INDEX(INDIRECT(VLOOKUP(LEFT(BO392,7),CLU!$Z$3:$AH$18,4)),GN392,GS392)</f>
        <v>#N/A</v>
      </c>
      <c r="CE392" s="426" t="e">
        <f t="shared" ca="1" si="1151"/>
        <v>#N/A</v>
      </c>
      <c r="CF392" s="440">
        <f t="shared" si="1152"/>
        <v>0</v>
      </c>
      <c r="CG392" s="431" t="e">
        <f ca="1">INDEX(INDIRECT(VLOOKUP(LEFT(BO392,7),CLU!$Z$3:$AH$18,2)),GQ392,GR392)</f>
        <v>#N/A</v>
      </c>
      <c r="CH392" s="431" t="e">
        <f ca="1">INDEX(INDIRECT(VLOOKUP(LEFT(BO392,7),CLU!$Z$3:$AH$18,3)),GQ392,GR392)</f>
        <v>#N/A</v>
      </c>
      <c r="CI392" s="431" t="e">
        <f ca="1">INDEX(INDIRECT(VLOOKUP(LEFT(BO392,7),CLU!$Z$3:$AH$18,4)),GQ392,GR392)</f>
        <v>#N/A</v>
      </c>
      <c r="CJ392" s="448" t="e">
        <f t="shared" ca="1" si="1229"/>
        <v>#N/A</v>
      </c>
      <c r="CK392" s="431" t="e">
        <f t="shared" ca="1" si="1230"/>
        <v>#N/A</v>
      </c>
      <c r="CL392" s="440" t="e">
        <f t="shared" ca="1" si="1231"/>
        <v>#N/A</v>
      </c>
      <c r="CM392" s="431" t="e">
        <f ca="1">INDEX(INDIRECT(VLOOKUP(LEFT(BO392,7),CLU!$Z$3:$AH$18,2)),GQ392,GS392)</f>
        <v>#N/A</v>
      </c>
      <c r="CN392" s="431" t="e">
        <f ca="1">INDEX(INDIRECT(VLOOKUP(LEFT(BO392,7),CLU!$Z$3:$AH$18,3)),GQ392,GS392)</f>
        <v>#N/A</v>
      </c>
      <c r="CO392" s="431" t="e">
        <f ca="1">INDEX(INDIRECT(VLOOKUP(LEFT(BO392,7),CLU!$Z$3:$AH$18,4)),GQ392,GS392)</f>
        <v>#N/A</v>
      </c>
      <c r="CP392" s="431" t="e">
        <f t="shared" ca="1" si="1156"/>
        <v>#N/A</v>
      </c>
      <c r="CQ392" s="440">
        <f t="shared" si="1157"/>
        <v>0</v>
      </c>
      <c r="CR392" s="51" t="e">
        <f t="shared" ca="1" si="1232"/>
        <v>#N/A</v>
      </c>
      <c r="CS392" s="439" t="e">
        <f t="shared" ca="1" si="1233"/>
        <v>#VALUE!</v>
      </c>
      <c r="CT392" s="51" t="e">
        <f t="shared" ca="1" si="1234"/>
        <v>#VALUE!</v>
      </c>
      <c r="CU392" s="10"/>
      <c r="CV392" s="51" t="e">
        <f t="shared" ca="1" si="1057"/>
        <v>#VALUE!</v>
      </c>
      <c r="CW392" s="51">
        <f t="shared" si="1235"/>
        <v>0</v>
      </c>
      <c r="CX392" s="439" t="e">
        <f t="shared" ca="1" si="1236"/>
        <v>#VALUE!</v>
      </c>
      <c r="CY392" s="51" t="e">
        <f t="shared" ca="1" si="1237"/>
        <v>#VALUE!</v>
      </c>
      <c r="CZ392" s="10"/>
      <c r="DA392" s="51" t="e">
        <f t="shared" ca="1" si="1238"/>
        <v>#VALUE!</v>
      </c>
      <c r="DB392" s="347" t="e">
        <f ca="1">INDEX(INDIRECT(VLOOKUP(LEFT(BO392,7),CLU!$Z$3:$AI$18,10)),((M392-2)*(6-COUNTBLANK(GT392:GY392)))+GJ392)*LI392</f>
        <v>#N/A</v>
      </c>
      <c r="DC392" s="347" t="str">
        <f>IF(L392&gt;0,((R392/Worksheet!$I$15)/DB392)^2," ")</f>
        <v xml:space="preserve"> </v>
      </c>
      <c r="DD392" s="602" t="str">
        <f t="shared" si="1165"/>
        <v xml:space="preserve"> </v>
      </c>
      <c r="DE392" s="347" t="str">
        <f t="shared" si="1239"/>
        <v xml:space="preserve"> </v>
      </c>
      <c r="DF392" s="356" t="e">
        <f ca="1">INDEX(INDIRECT(VLOOKUP(LEFT(BO392,7),CLU!$Z$3:$AH$18,8)),((M392-2)*(6-COUNTBLANK(GT392:GY392)))+GJ392)</f>
        <v>#N/A</v>
      </c>
      <c r="DG392" s="347" t="str">
        <f t="shared" si="1240"/>
        <v xml:space="preserve"> </v>
      </c>
      <c r="DH392" s="357" t="str">
        <f t="shared" si="1241"/>
        <v xml:space="preserve"> </v>
      </c>
      <c r="DI392" s="355" t="str">
        <f t="shared" si="1242"/>
        <v xml:space="preserve"> </v>
      </c>
      <c r="DJ392" s="245" t="e">
        <f ca="1">INDEX(INDIRECT(VLOOKUP(LEFT(BO392,7),CLU!$Z$3:$AH$18,5)),GL392,GK392)</f>
        <v>#N/A</v>
      </c>
      <c r="DK392" s="245" t="e">
        <f ca="1">INDEX(INDIRECT(VLOOKUP(LEFT(BO392,7),CLU!$Z$3:$AH$18,6)),GL392,GK392)</f>
        <v>#N/A</v>
      </c>
      <c r="DL392" s="355">
        <f>(Calculation!R392*0.69143*(Calculation!$BQ$8-Calculation!$F$8))*$S$14</f>
        <v>0</v>
      </c>
      <c r="DM392" s="359" t="e">
        <f t="shared" si="1166"/>
        <v>#VALUE!</v>
      </c>
      <c r="DN392" s="611">
        <f t="shared" si="1167"/>
        <v>0</v>
      </c>
      <c r="DO392" s="359">
        <f t="shared" si="1168"/>
        <v>100</v>
      </c>
      <c r="DP392" s="359">
        <f t="shared" si="1169"/>
        <v>0</v>
      </c>
      <c r="DQ392" s="360"/>
      <c r="DR392" s="245" t="e">
        <f ca="1">INDEX(INDIRECT(VLOOKUP(LEFT(BO392,7),CLU!$Z$3:$AH$18,7)),M392-1,1)</f>
        <v>#N/A</v>
      </c>
      <c r="DS392" s="245" t="e">
        <f ca="1">INDEX(INDIRECT(VLOOKUP(LEFT(BO392,7),CLU!$Z$3:$AH$18,7)),M392-1,2)</f>
        <v>#N/A</v>
      </c>
      <c r="DT392" s="245" t="e">
        <f ca="1">INDEX(INDIRECT(VLOOKUP(LEFT(BO392,7),CLU!$Z$3:$AH$18,7)),M392-1,3)</f>
        <v>#N/A</v>
      </c>
      <c r="DU392" s="245" t="e">
        <f ca="1">INDEX(INDIRECT(VLOOKUP(LEFT(BO392,7),CLU!$Z$3:$AH$18,7)),M392-1,4)</f>
        <v>#N/A</v>
      </c>
      <c r="DV392" s="361" t="e">
        <f ca="1">INDEX(INDIRECT(VLOOKUP(LEFT(BO392,7),CLU!$Z$3:$AH$18,7)),M392-1,4+LEFT(DZ392,1)*0.5)</f>
        <v>#N/A</v>
      </c>
      <c r="DW392" s="245" t="e">
        <f ca="1">INDEX(INDIRECT(VLOOKUP(LEFT(BO392,7),CLU!$Z$3:$AH$18,7)),M392-1,8)</f>
        <v>#N/A</v>
      </c>
      <c r="DX392" s="361" t="str">
        <f t="shared" si="1243"/>
        <v xml:space="preserve"> </v>
      </c>
      <c r="DY392" s="361" t="str">
        <f t="shared" si="1244"/>
        <v xml:space="preserve"> </v>
      </c>
      <c r="DZ392" s="361" t="str">
        <f t="shared" si="1245"/>
        <v xml:space="preserve"> </v>
      </c>
      <c r="EA392" s="362" t="str">
        <f t="shared" si="1246"/>
        <v xml:space="preserve"> </v>
      </c>
      <c r="EB392" s="624" t="str">
        <f t="shared" si="1170"/>
        <v xml:space="preserve"> </v>
      </c>
      <c r="EC392" s="361" t="e">
        <f ca="1">INDEX(INDIRECT(VLOOKUP(LEFT(BO392,7),CLU!$Z$3:$AH$18,7)),M392-1,4+LEFT(DZ392,1)*0.5)</f>
        <v>#N/A</v>
      </c>
      <c r="ED392" s="362" t="str">
        <f t="shared" si="1247"/>
        <v xml:space="preserve"> </v>
      </c>
      <c r="EE392" s="361" t="str">
        <f t="shared" si="1248"/>
        <v xml:space="preserve"> </v>
      </c>
      <c r="EF392" s="362" t="str">
        <f>IF(L392&gt;0,IF(BR392&gt;0,IF(EE392="2P",IF(Calculation!DZ392="2P",IF(Calculation!DS392=13.75,IF(Calculation!DR392=13,Worksheet!$BD$43,IF(Calculation!DR392=37,Worksheet!$BD$44,Worksheet!$BD$45)),IF(Calculation!DS392=10,IF(Calculation!DR392=18,Worksheet!$BD$29,IF(Calculation!DR392=30,Worksheet!$BD$30,IF(Calculation!DR392=42,Worksheet!$BD$31,IF(Calculation!DR392=54,Worksheet!$BD$32,IF(Calculation!DR392=66,Worksheet!$BD$33,IF(Calculation!DR392=78,Worksheet!$BD$34,IF(Calculation!DR392=90,Worksheet!$BD$35,IF(Calculation!DR392=102,Worksheet!$BD$36,Worksheet!$BD$37)))))))),IF(Calculation!DS392=12.5,IF(Calculation!DR392=18,Worksheet!$BD$38,IF(Calculation!DR392=Worksheet!$BD$39,IF(Calculation!DR392=42,Worksheet!$BD$40,IF(Calculation!DR392=54,Worksheet!$BD$41,Worksheet!$BD$42)))),IF(Calculation!DR392=18,Worksheet!$BD$11,IF(Calculation!DR392=30,Worksheet!$BD$12,IF(Calculation!DR392=42,Worksheet!$BD$13,IF(Calculation!DR392=54,Worksheet!$BD$14,IF(Calculation!DR392=66,Worksheet!$BD$15,IF(Calculation!DR392=78,Worksheet!$BD$16,IF(Calculation!DR392=90,Worksheet!$BD$17,IF(Calculation!DR392=102,Worksheet!$BD$18,Worksheet!$BD$19))))))))))),IF(Calculation!DS392=13.75,IF(Calculation!DR392=13,Worksheet!$BD$78,IF(Calculation!DR392=37,Worksheet!$BD$79,Worksheet!$BD$80)),IF(Calculation!DS392=10,IF(Calculation!DR392=18,Worksheet!$BD$64,IF(Calculation!DR392=30,Worksheet!$BD$65,IF(Calculation!DR392=42,Worksheet!$BD$66,IF(Calculation!DR392=54,Worksheet!$BD$68,IF(Calculation!DR392=66,Worksheet!$BD$68,IF(Calculation!DR392=78,Worksheet!$BD$69,IF(Calculation!DR392=90,Worksheet!$BD$70,IF(Calculation!DR392=102,Worksheet!$BD$71,Worksheet!$BD$72)))))))),IF(Calculation!DS392=12.5,IF(Calculation!DR392=18,Worksheet!$BD$73,IF(Calculation!DR392=Worksheet!$BD$74,IF(Calculation!DR392=42,Worksheet!$BD$75,IF(Calculation!DR392=54,Worksheet!$BD$76,Worksheet!$BD$77)))),IF(Calculation!DR392=18,Worksheet!$BD$55,IF(Calculation!DR392=30,Worksheet!$BD$56,IF(Calculation!DR392=42,Worksheet!$BD$57,IF(Calculation!DR392=54,Worksheet!$BD$58,IF(Calculation!DR392=66,Worksheet!$BD$59,IF(Calculation!DR392=78,Worksheet!$BD$60,IF(Calculation!DR392=90,Worksheet!$BD$61,IF(Calculation!DR392=102,Worksheet!$BD$62,Worksheet!$BD$63)))))))))))),5),0)," ")</f>
        <v xml:space="preserve"> </v>
      </c>
      <c r="EG392" s="361" t="str">
        <f t="shared" si="1249"/>
        <v xml:space="preserve"> </v>
      </c>
      <c r="EH392" s="361" t="e">
        <f ca="1">INDEX(INDIRECT(VLOOKUP(LEFT(BO392,7),CLU!$Z$3:$AH$18,7)),M392-1,3+LEFT(DZ392,1))</f>
        <v>#N/A</v>
      </c>
      <c r="EI392" s="362" t="str">
        <f t="shared" si="1250"/>
        <v xml:space="preserve"> </v>
      </c>
      <c r="EJ392" s="363" t="str">
        <f t="shared" si="1251"/>
        <v xml:space="preserve"> </v>
      </c>
      <c r="EK392" s="363" t="str">
        <f t="shared" si="1252"/>
        <v xml:space="preserve"> </v>
      </c>
      <c r="EL392" s="363" t="str">
        <f t="shared" si="1253"/>
        <v xml:space="preserve"> </v>
      </c>
      <c r="EM392" s="362" t="str">
        <f>IF(L392&gt;0,IF(BR392&gt;0,(Calculation!T392/ED392)^2,0)," ")</f>
        <v xml:space="preserve"> </v>
      </c>
      <c r="EN392" s="362" t="str">
        <f>IF(L392&gt;0,IF(O392="2 Pipe (Cooling)","N/A",IF(BR392&gt;0,(Calculation!U392/EI392)^2,0))," ")</f>
        <v xml:space="preserve"> </v>
      </c>
      <c r="EO392" s="361" t="str">
        <f t="shared" si="1073"/>
        <v/>
      </c>
      <c r="EP392" s="361" t="str">
        <f t="shared" si="1074"/>
        <v/>
      </c>
      <c r="EQ392" s="361" t="str">
        <f t="shared" si="1075"/>
        <v/>
      </c>
      <c r="ER392" s="361" t="str">
        <f t="shared" si="1076"/>
        <v/>
      </c>
      <c r="ES392" s="361" t="str">
        <f t="shared" si="1077"/>
        <v/>
      </c>
      <c r="ET392" s="361" t="str">
        <f t="shared" si="1078"/>
        <v/>
      </c>
      <c r="EU392" s="361" t="str">
        <f t="shared" si="1079"/>
        <v/>
      </c>
      <c r="EV392" s="361" t="str">
        <f t="shared" si="1080"/>
        <v/>
      </c>
      <c r="EW392" s="361" t="str">
        <f t="shared" si="1081"/>
        <v/>
      </c>
      <c r="EX392" s="361" t="str">
        <f t="shared" si="1171"/>
        <v>1 slot, 1 way</v>
      </c>
      <c r="EY392" s="361" t="str">
        <f t="shared" si="1172"/>
        <v xml:space="preserve"> </v>
      </c>
      <c r="EZ392" s="361" t="str">
        <f t="shared" si="1173"/>
        <v xml:space="preserve"> </v>
      </c>
      <c r="FA392" s="361" t="str">
        <f t="shared" si="1174"/>
        <v xml:space="preserve"> </v>
      </c>
      <c r="FB392" s="361" t="str">
        <f t="shared" si="1175"/>
        <v xml:space="preserve"> </v>
      </c>
      <c r="FC392" s="361"/>
      <c r="FD392" s="361" t="str">
        <f>IF(J392&gt;0,IF(Calculation!R392&lt;=70,4,IF(Calculation!R392&lt;=110,5,IF(Calculation!R392&lt;=160,6,IF(Calculation!R392&lt;=300,8,"10 EO")))),"")</f>
        <v/>
      </c>
      <c r="FE392" s="361" t="str">
        <f t="shared" si="1176"/>
        <v/>
      </c>
      <c r="FF392" s="361" t="str">
        <f t="shared" si="1177"/>
        <v/>
      </c>
      <c r="FG392" s="361" t="e">
        <f t="shared" si="1082"/>
        <v>#N/A</v>
      </c>
      <c r="FH392" s="361">
        <f t="shared" si="1254"/>
        <v>0</v>
      </c>
      <c r="FI392" s="361" t="e">
        <f t="shared" si="1255"/>
        <v>#DIV/0!</v>
      </c>
      <c r="FJ392" s="361"/>
      <c r="FK392" s="356" t="e">
        <f t="shared" si="1256"/>
        <v>#VALUE!</v>
      </c>
      <c r="FL392" s="361"/>
      <c r="FM392" s="361"/>
      <c r="FN392" s="362" t="str">
        <f t="shared" si="1178"/>
        <v xml:space="preserve"> </v>
      </c>
      <c r="FO392" s="362" t="str">
        <f t="shared" si="1179"/>
        <v xml:space="preserve"> </v>
      </c>
      <c r="FP392" s="362">
        <f t="shared" si="1180"/>
        <v>0</v>
      </c>
      <c r="FQ392" s="361">
        <f t="shared" si="1257"/>
        <v>0</v>
      </c>
      <c r="FR392" s="362" t="str">
        <f>IF(L392&gt;0,IF(J392="CBAL2",Worksheet!$P$67,IF(J392="CBE2-24",Worksheet!$Q$67,IF(J392="CBAM",Worksheet!$R$67,IF(J392="CBLV",Worksheet!$S$67,IF(J392="CBAB",Worksheet!$U$67,IF(J392="CBAW",Worksheet!$X$67,IF(J392="CBE2-12",Worksheet!$Y$67,IF(J392="CBAL2",Worksheet!$Z$67,"N/A"))))))))," ")</f>
        <v xml:space="preserve"> </v>
      </c>
      <c r="FS392" s="362" t="str">
        <f>IF(L392&gt;0,IF(J392="CBAL2",Worksheet!$P$68,IF(J392="CBE2-24",Worksheet!$Q$68,IF(J392="CBAM",Worksheet!$R$68,IF(J392="CBLV",Worksheet!$S$68,IF(J392="CBAB",Worksheet!$U$68,IF(J392="CBAW",Worksheet!$X$68,IF(J392="CBE2-12",Worksheet!$Y$68,IF(J392="CBAL2",Worksheet!$Z$68,"N/A"))))))))," ")</f>
        <v xml:space="preserve"> </v>
      </c>
      <c r="FT392" s="362" t="str">
        <f>IF(L392&gt;0,IF(J392="CBAL2",Worksheet!$P$69,IF(J392="CBE2-24",Worksheet!$Q$69,IF(J392="CBAM",Worksheet!$R$69,IF(J392="CBLV",Worksheet!$S$69,IF(J392="CBAB",Worksheet!$U$69,IF(J392="CBAW",Worksheet!$X$69,IF(J392="CBE2-12",Worksheet!$Y$69,IF(J392="CBAL2",Worksheet!$Z$69,"N/A"))))))))," ")</f>
        <v xml:space="preserve"> </v>
      </c>
      <c r="FU392" s="361" t="str">
        <f t="shared" si="1181"/>
        <v xml:space="preserve"> </v>
      </c>
      <c r="FV392" s="362" t="str">
        <f t="shared" si="1182"/>
        <v xml:space="preserve"> </v>
      </c>
      <c r="FW392" s="362" t="str">
        <f t="shared" si="1183"/>
        <v xml:space="preserve"> </v>
      </c>
      <c r="FX392" s="362" t="str">
        <f t="shared" si="1184"/>
        <v xml:space="preserve"> </v>
      </c>
      <c r="FY392" s="355" t="str">
        <f t="shared" si="1185"/>
        <v xml:space="preserve"> </v>
      </c>
      <c r="FZ392" s="361" t="str">
        <f t="shared" si="1186"/>
        <v xml:space="preserve"> </v>
      </c>
      <c r="GA392" s="347" t="str">
        <f t="shared" si="1187"/>
        <v xml:space="preserve"> </v>
      </c>
      <c r="GB392" s="355" t="str">
        <f t="shared" si="1188"/>
        <v xml:space="preserve"> </v>
      </c>
      <c r="GC392" s="328" t="str">
        <f t="shared" si="1189"/>
        <v xml:space="preserve"> </v>
      </c>
      <c r="GD392" s="361" t="str">
        <f t="shared" si="1190"/>
        <v xml:space="preserve"> </v>
      </c>
      <c r="GE392" s="347" t="str">
        <f t="shared" si="1191"/>
        <v xml:space="preserve"> </v>
      </c>
      <c r="GF392" s="361" t="str">
        <f t="shared" si="1192"/>
        <v xml:space="preserve"> </v>
      </c>
      <c r="GG392" s="347" t="str">
        <f t="shared" si="1193"/>
        <v xml:space="preserve"> </v>
      </c>
      <c r="GH392" s="364">
        <f t="shared" si="1258"/>
        <v>0</v>
      </c>
      <c r="GI392" s="362">
        <f t="shared" si="1194"/>
        <v>2</v>
      </c>
      <c r="GJ392" s="433" t="e">
        <f>IF(6-COUNTBLANK(GT392:GY392)=4,MATCH(MID(BO392,9,3),CLU!$H$16:$K$16),MATCH(MID(BO392,9,3),CLU!$H$13:$M$13))</f>
        <v>#N/A</v>
      </c>
      <c r="GK392" s="433" t="e">
        <f>HLOOKUP(VALUE(BP392),CLU!$H$9:$M$10,2)</f>
        <v>#VALUE!</v>
      </c>
      <c r="GL392" s="433" t="e">
        <f ca="1">MATCH(BU392,CLU!$H$2:$V$2,1)</f>
        <v>#VALUE!</v>
      </c>
      <c r="GM392" s="433" t="e">
        <f t="shared" ca="1" si="1259"/>
        <v>#VALUE!</v>
      </c>
      <c r="GN392" s="433" t="e">
        <f t="shared" ca="1" si="1260"/>
        <v>#VALUE!</v>
      </c>
      <c r="GO392" s="433" t="e">
        <f t="shared" ca="1" si="1261"/>
        <v>#VALUE!</v>
      </c>
      <c r="GP392" s="433" t="e">
        <f t="shared" ca="1" si="1262"/>
        <v>#VALUE!</v>
      </c>
      <c r="GQ392" s="433" t="e">
        <f t="shared" ca="1" si="1263"/>
        <v>#VALUE!</v>
      </c>
      <c r="GR392" s="433" t="e">
        <f ca="1">MATCH(T392,INDIRECT(VLOOKUP(CONCATENATE(LEFT(BO392,7),"-",MID(BO392,13,1)),CLU!$P$3:$Q$16,2)),1)</f>
        <v>#N/A</v>
      </c>
      <c r="GS392" s="433" t="e">
        <f ca="1">MATCH(U392,INDIRECT(VLOOKUP(CONCATENATE(LEFT(BO392,7),"-",MID(BO392,13,1)),CLU!$P$3:$Q$16,2)),1)</f>
        <v>#N/A</v>
      </c>
      <c r="GT392" s="347" t="s">
        <v>512</v>
      </c>
      <c r="GU392" s="97" t="s">
        <v>513</v>
      </c>
      <c r="GV392" s="97" t="str">
        <f t="shared" si="1200"/>
        <v>M23</v>
      </c>
      <c r="GW392" s="97" t="str">
        <f t="shared" si="1201"/>
        <v>M31</v>
      </c>
      <c r="GX392" s="97" t="str">
        <f t="shared" si="1202"/>
        <v/>
      </c>
      <c r="GY392" s="97" t="str">
        <f t="shared" si="1203"/>
        <v/>
      </c>
      <c r="GZ392" s="481"/>
      <c r="HA392" s="240"/>
      <c r="HB392" s="240"/>
      <c r="HC392" s="240"/>
      <c r="HD392" s="240"/>
      <c r="HE392" s="240"/>
      <c r="HF392" s="240"/>
      <c r="HG392" s="240"/>
      <c r="HH392" s="240"/>
      <c r="HI392" s="240"/>
      <c r="HJ392" s="240"/>
      <c r="HK392" s="240"/>
      <c r="HL392" s="240"/>
      <c r="HM392" s="240"/>
      <c r="HN392" s="240"/>
      <c r="HO392" s="240"/>
      <c r="HP392" s="240"/>
      <c r="HQ392" s="240"/>
      <c r="HR392" s="240"/>
      <c r="HS392" s="240"/>
      <c r="HT392" s="240"/>
      <c r="HU392" s="240"/>
      <c r="HV392" s="245"/>
      <c r="HW392" s="245" t="b">
        <v>1</v>
      </c>
      <c r="HX392" s="245" t="str">
        <f t="shared" si="1088"/>
        <v/>
      </c>
      <c r="HY392" s="245" t="e">
        <f t="shared" si="1089"/>
        <v>#DIV/0!</v>
      </c>
      <c r="HZ392" s="245" t="e">
        <f t="shared" si="1090"/>
        <v>#DIV/0!</v>
      </c>
      <c r="IA392" s="245">
        <f t="shared" si="1091"/>
        <v>0</v>
      </c>
      <c r="IB392" s="245"/>
      <c r="IC392" t="b">
        <f t="shared" si="1092"/>
        <v>1</v>
      </c>
      <c r="ID392" s="245" t="b">
        <f t="shared" si="1093"/>
        <v>1</v>
      </c>
      <c r="IE392" s="245" t="b">
        <f t="shared" si="1094"/>
        <v>1</v>
      </c>
      <c r="IF392" s="245" t="b">
        <f t="shared" si="1095"/>
        <v>0</v>
      </c>
      <c r="IG392" s="245" t="b">
        <f t="shared" si="1096"/>
        <v>1</v>
      </c>
      <c r="IH392" s="245" t="b">
        <f t="shared" si="1097"/>
        <v>1</v>
      </c>
      <c r="II392" s="245">
        <f t="shared" si="1204"/>
        <v>0</v>
      </c>
      <c r="IJ392" s="245" t="e">
        <f t="shared" si="1098"/>
        <v>#VALUE!</v>
      </c>
      <c r="IK392" s="245" t="e">
        <f t="shared" si="1099"/>
        <v>#VALUE!</v>
      </c>
      <c r="IL392" s="245"/>
      <c r="IM392" s="245" t="e">
        <f t="shared" si="1264"/>
        <v>#N/A</v>
      </c>
      <c r="IN392" s="245" t="e">
        <f t="shared" si="1206"/>
        <v>#N/A</v>
      </c>
      <c r="IO392" s="245"/>
      <c r="IP392" s="245"/>
      <c r="IQ392" s="245" t="str">
        <f t="shared" si="1100"/>
        <v/>
      </c>
      <c r="IR392" s="245" t="str">
        <f>IF(J392="","",VLOOKUP(J392,Worksheet!$R$4:$T$14,2))</f>
        <v/>
      </c>
      <c r="IS392" s="245"/>
      <c r="IT392" s="245">
        <f t="shared" si="1101"/>
        <v>0</v>
      </c>
      <c r="IU392" s="245">
        <f t="shared" si="1102"/>
        <v>0</v>
      </c>
      <c r="IV392" s="245">
        <f t="shared" si="1103"/>
        <v>0</v>
      </c>
      <c r="IW392" s="245">
        <f t="shared" si="1104"/>
        <v>0</v>
      </c>
      <c r="IX392" s="245">
        <f t="shared" si="1207"/>
        <v>0</v>
      </c>
      <c r="IY392" s="245">
        <f t="shared" si="1105"/>
        <v>0</v>
      </c>
      <c r="IZ392" s="245">
        <f t="shared" si="1106"/>
        <v>0</v>
      </c>
      <c r="JA392">
        <f t="shared" si="1107"/>
        <v>0</v>
      </c>
      <c r="JB392">
        <f t="shared" si="1208"/>
        <v>0</v>
      </c>
      <c r="JC392">
        <f t="shared" si="1108"/>
        <v>0</v>
      </c>
      <c r="JD392">
        <f t="shared" si="1109"/>
        <v>0</v>
      </c>
      <c r="JE392">
        <f t="shared" si="1110"/>
        <v>0</v>
      </c>
      <c r="JF392">
        <f t="shared" si="1111"/>
        <v>0</v>
      </c>
      <c r="JG392">
        <f t="shared" si="1112"/>
        <v>0</v>
      </c>
      <c r="JH392">
        <f t="shared" si="1113"/>
        <v>0</v>
      </c>
      <c r="JI392">
        <f t="shared" si="1114"/>
        <v>0</v>
      </c>
      <c r="JJ392" s="447">
        <f t="shared" si="1115"/>
        <v>0</v>
      </c>
      <c r="JK392" s="447">
        <f t="shared" si="1116"/>
        <v>0</v>
      </c>
      <c r="JL392">
        <f t="shared" si="1117"/>
        <v>0</v>
      </c>
      <c r="JM392" s="245" t="str">
        <f>IFERROR(VLOOKUP(MATCH(BN392,#REF!,0),#REF!,7),"")</f>
        <v/>
      </c>
      <c r="JN392" t="e">
        <f>HLOOKUP(LEFT(BO392,7),Discharge_Area,MATCH(JO392,LookUps!$B$130:$B$149,1)+2)</f>
        <v>#N/A</v>
      </c>
      <c r="JO392" t="str">
        <f t="shared" si="1118"/>
        <v>- S</v>
      </c>
      <c r="JP392" t="e">
        <f>HLOOKUP(LEFT(BO392,7),Discharge_Area,MATCH(JO392,LookUps!$B$130:$B$149,1)+2)</f>
        <v>#N/A</v>
      </c>
      <c r="JQ392" t="e">
        <f t="shared" si="1119"/>
        <v>#N/A</v>
      </c>
      <c r="JR392" t="e">
        <f t="shared" si="1120"/>
        <v>#N/A</v>
      </c>
      <c r="JS392" t="e">
        <f t="shared" si="1121"/>
        <v>#N/A</v>
      </c>
      <c r="JT392" s="532" t="str">
        <f t="shared" si="1122"/>
        <v xml:space="preserve"> </v>
      </c>
      <c r="JU392" s="532" t="str">
        <f t="shared" si="1123"/>
        <v xml:space="preserve"> </v>
      </c>
      <c r="JV392" s="533" t="str">
        <f t="shared" si="1124"/>
        <v xml:space="preserve"> </v>
      </c>
      <c r="JW392" s="534">
        <f t="shared" si="1125"/>
        <v>0</v>
      </c>
      <c r="JX392" s="535" t="str">
        <f t="shared" si="1209"/>
        <v xml:space="preserve"> </v>
      </c>
      <c r="JY392" s="535" t="str">
        <f t="shared" si="1210"/>
        <v xml:space="preserve"> </v>
      </c>
      <c r="JZ392" s="535" t="str">
        <f t="shared" si="1211"/>
        <v xml:space="preserve"> </v>
      </c>
      <c r="KA392" s="536" t="str">
        <f t="shared" si="1126"/>
        <v xml:space="preserve"> </v>
      </c>
      <c r="KB392" s="535" t="e">
        <f t="shared" si="1212"/>
        <v>#VALUE!</v>
      </c>
      <c r="KC392" s="535" t="str">
        <f t="shared" si="1127"/>
        <v/>
      </c>
      <c r="KD392" s="537" t="str">
        <f t="shared" si="1213"/>
        <v xml:space="preserve"> </v>
      </c>
      <c r="KE392" s="537" t="str">
        <f t="shared" si="1214"/>
        <v xml:space="preserve"> </v>
      </c>
      <c r="KF392" s="534">
        <f t="shared" si="1128"/>
        <v>0</v>
      </c>
      <c r="KG392" s="535" t="str">
        <f t="shared" si="1129"/>
        <v xml:space="preserve"> </v>
      </c>
      <c r="KH392" s="535" t="str">
        <f t="shared" si="1130"/>
        <v xml:space="preserve"> </v>
      </c>
      <c r="KI392" s="535" t="str">
        <f t="shared" si="1131"/>
        <v xml:space="preserve"> </v>
      </c>
      <c r="KJ392" s="536" t="str">
        <f t="shared" si="1132"/>
        <v xml:space="preserve"> </v>
      </c>
      <c r="KK392" s="535" t="str">
        <f t="shared" si="1215"/>
        <v xml:space="preserve"> </v>
      </c>
      <c r="KL392" s="535" t="str">
        <f t="shared" si="1216"/>
        <v xml:space="preserve"> </v>
      </c>
      <c r="KM392" s="537" t="str">
        <f t="shared" si="1133"/>
        <v xml:space="preserve"> </v>
      </c>
      <c r="KN392" s="537" t="str">
        <f t="shared" si="1217"/>
        <v xml:space="preserve"> </v>
      </c>
      <c r="KP392">
        <f t="shared" si="1134"/>
        <v>0</v>
      </c>
      <c r="LA392" t="e">
        <f t="shared" si="1135"/>
        <v>#VALUE!</v>
      </c>
      <c r="LB392" t="e">
        <f t="shared" si="1136"/>
        <v>#VALUE!</v>
      </c>
      <c r="LC392" t="e">
        <f t="shared" si="1137"/>
        <v>#VALUE!</v>
      </c>
      <c r="LD392" t="e">
        <f t="shared" si="1138"/>
        <v>#VALUE!</v>
      </c>
      <c r="LE392" t="e">
        <f t="shared" si="1218"/>
        <v>#VALUE!</v>
      </c>
      <c r="LF392">
        <f t="shared" si="1139"/>
        <v>0</v>
      </c>
      <c r="LG392" t="e">
        <f t="shared" si="1219"/>
        <v>#VALUE!</v>
      </c>
      <c r="LH392" t="str">
        <f t="shared" si="1140"/>
        <v xml:space="preserve"> </v>
      </c>
      <c r="LI392">
        <f t="shared" si="1220"/>
        <v>1</v>
      </c>
    </row>
    <row r="393" spans="2:321" ht="6.75" customHeight="1">
      <c r="B393" s="303"/>
      <c r="C393" s="303"/>
      <c r="D393" s="303"/>
      <c r="E393" s="309"/>
      <c r="F393" s="310"/>
      <c r="G393" s="309"/>
      <c r="H393" s="303"/>
      <c r="I393" s="232"/>
      <c r="J393" s="303"/>
      <c r="K393" s="306"/>
      <c r="L393" s="303"/>
      <c r="M393" s="304"/>
      <c r="N393" s="303"/>
      <c r="O393" s="304"/>
      <c r="P393" s="303"/>
      <c r="Q393" s="306"/>
      <c r="R393" s="307"/>
      <c r="S393" s="471"/>
      <c r="T393" s="308"/>
      <c r="U393" s="308"/>
      <c r="W393" s="233"/>
      <c r="X393" s="244"/>
      <c r="Y393" s="301"/>
      <c r="Z393" s="233"/>
      <c r="AA393" s="155"/>
      <c r="AB393" s="192"/>
      <c r="AC393" s="234"/>
      <c r="AD393" s="235"/>
      <c r="AE393" s="233"/>
      <c r="AF393" s="193"/>
      <c r="AG393" s="234"/>
      <c r="AH393" s="155"/>
      <c r="AI393" s="233"/>
      <c r="AK393" s="236"/>
      <c r="AL393" s="236"/>
      <c r="AM393" s="244"/>
      <c r="AN393" s="233"/>
      <c r="AO393" s="236"/>
      <c r="AP393" s="236"/>
      <c r="AQ393" s="57"/>
      <c r="AR393" s="236"/>
      <c r="AS393" s="237"/>
      <c r="AT393" s="248"/>
      <c r="AU393" s="237"/>
      <c r="AV393" s="238"/>
      <c r="AW393" s="236"/>
      <c r="AX393" s="236"/>
      <c r="AY393" s="239"/>
      <c r="AZ393" s="249"/>
      <c r="BA393" s="237"/>
      <c r="BB393" s="237"/>
      <c r="BC393" s="195"/>
      <c r="BD393" s="319"/>
      <c r="BE393" s="320"/>
      <c r="BF393" s="321"/>
      <c r="BG393" s="322"/>
      <c r="BH393" s="236"/>
      <c r="BI393" s="237"/>
      <c r="BJ393" s="236"/>
      <c r="BK393" s="249"/>
      <c r="BL393" s="236"/>
      <c r="BM393" s="249"/>
      <c r="BN393" s="338"/>
      <c r="BO393" s="371" t="str">
        <f t="shared" si="1146"/>
        <v/>
      </c>
      <c r="BP393" s="328" t="str">
        <f t="shared" si="1224"/>
        <v xml:space="preserve"> </v>
      </c>
      <c r="BQ393" s="347" t="str">
        <f t="shared" ref="BQ393" si="1265">IF(N393&gt;0,IF(BP393&gt;19,2,1)," ")</f>
        <v xml:space="preserve"> </v>
      </c>
      <c r="BR393" s="353" t="str">
        <f t="shared" si="1148"/>
        <v xml:space="preserve"> </v>
      </c>
      <c r="BS393" s="626" t="str">
        <f>IF(L393&gt;0,IF(Calculation!P393="M13",BR393*3.1416*(0.134^2)/(4*144),IF(Calculation!P393="M17",BR393*3.1416*(0.165^2)/(4*144),IF(Calculation!P393="M20",BR393*3.1416*(0.198^2)/(4*144),IF(Calculation!P393="M23",BR393*3.1416*(0.228^2)/(4*144),IF(Calculation!P393="M27",BR393*3.1416*(0.269^2)/(4*144),BR393*3.1416*(0.307^2)/(4*144))))))," ")</f>
        <v xml:space="preserve"> </v>
      </c>
      <c r="BT393" s="353" t="str">
        <f>IF(L393&gt;0,IF(BS393&gt;0,R393/Calculation!BS393,0)," ")</f>
        <v xml:space="preserve"> </v>
      </c>
      <c r="BU393" s="438"/>
      <c r="BV393" s="424"/>
      <c r="BW393" s="424"/>
      <c r="BX393" s="424"/>
      <c r="BY393" s="424"/>
      <c r="BZ393" s="424"/>
      <c r="CA393" s="424"/>
      <c r="CB393" s="425"/>
      <c r="CC393" s="343"/>
      <c r="CD393" s="343"/>
      <c r="CE393" s="354"/>
      <c r="CF393" s="354"/>
      <c r="CG393" s="354"/>
      <c r="CH393" s="354"/>
      <c r="CI393" s="354"/>
      <c r="CJ393" s="354"/>
      <c r="CK393" s="354"/>
      <c r="CL393" s="354"/>
      <c r="CM393" s="354"/>
      <c r="CN393" s="354"/>
      <c r="CO393" s="354"/>
      <c r="CP393" s="354"/>
      <c r="CQ393" s="354"/>
      <c r="CR393" s="354"/>
      <c r="CS393" s="354"/>
      <c r="CT393" s="354"/>
      <c r="CU393" s="354"/>
      <c r="CV393" s="354"/>
      <c r="CW393" s="354"/>
      <c r="CX393" s="354"/>
      <c r="CY393" s="354"/>
      <c r="CZ393" s="354"/>
      <c r="DA393" s="354"/>
      <c r="DB393" s="347"/>
      <c r="DC393" s="347"/>
      <c r="DD393" s="602"/>
      <c r="DE393" s="347"/>
      <c r="DF393" s="356"/>
      <c r="DG393" s="347"/>
      <c r="DH393" s="357"/>
      <c r="DI393" s="355"/>
      <c r="DJ393" s="358"/>
      <c r="DK393" s="358"/>
      <c r="DL393" s="355"/>
      <c r="DM393" s="359"/>
      <c r="DN393" s="359"/>
      <c r="DO393" s="359"/>
      <c r="DP393" s="359"/>
      <c r="DQ393" s="360"/>
      <c r="DR393" s="361"/>
      <c r="DS393" s="362"/>
      <c r="DT393" s="361"/>
      <c r="DU393" s="361"/>
      <c r="DV393" s="361"/>
      <c r="DW393" s="361"/>
      <c r="DX393" s="361"/>
      <c r="DY393" s="361"/>
      <c r="DZ393" s="361"/>
      <c r="EA393" s="362"/>
      <c r="EB393" s="624"/>
      <c r="EC393" s="361"/>
      <c r="ED393" s="362"/>
      <c r="EE393" s="361"/>
      <c r="EF393" s="362"/>
      <c r="EG393" s="361"/>
      <c r="EH393" s="361"/>
      <c r="EI393" s="362"/>
      <c r="EJ393" s="363"/>
      <c r="EK393" s="363"/>
      <c r="EL393" s="363"/>
      <c r="EM393" s="362"/>
      <c r="EN393" s="362"/>
      <c r="EO393" s="361"/>
      <c r="EP393" s="361"/>
      <c r="EQ393" s="361"/>
      <c r="ER393" s="361"/>
      <c r="ES393" s="361"/>
      <c r="ET393" s="361"/>
      <c r="EU393" s="361"/>
      <c r="EV393" s="361"/>
      <c r="EW393" s="361"/>
      <c r="EX393" s="361"/>
      <c r="EY393" s="361"/>
      <c r="EZ393" s="361"/>
      <c r="FA393" s="361"/>
      <c r="FB393" s="361"/>
      <c r="FC393" s="361"/>
      <c r="FD393" s="361"/>
      <c r="FE393" s="361"/>
      <c r="FF393" s="361"/>
      <c r="FG393" s="361"/>
      <c r="FH393" s="361"/>
      <c r="FI393" s="361"/>
      <c r="FJ393" s="361"/>
      <c r="FK393" s="356"/>
      <c r="FL393" s="361"/>
      <c r="FM393" s="361"/>
      <c r="FN393" s="362"/>
      <c r="FO393" s="362"/>
      <c r="FP393" s="362"/>
      <c r="FQ393" s="361"/>
      <c r="FR393" s="362"/>
      <c r="FS393" s="362"/>
      <c r="FT393" s="362"/>
      <c r="FU393" s="361"/>
      <c r="FV393" s="362"/>
      <c r="FW393" s="362"/>
      <c r="FX393" s="362"/>
      <c r="FY393" s="355"/>
      <c r="FZ393" s="361"/>
      <c r="GA393" s="347"/>
      <c r="GB393" s="355"/>
      <c r="GD393" s="361"/>
      <c r="GE393" s="347"/>
      <c r="GF393" s="361"/>
      <c r="GG393" s="347"/>
      <c r="GH393" s="364"/>
      <c r="GI393" s="362"/>
      <c r="GJ393" s="164"/>
      <c r="GK393" s="347"/>
      <c r="GL393" s="347"/>
      <c r="GM393" s="347"/>
      <c r="GN393" s="347"/>
      <c r="GO393" s="347"/>
      <c r="GP393" s="347"/>
      <c r="GQ393" s="347"/>
      <c r="GR393" s="347"/>
      <c r="GS393" s="347"/>
      <c r="GT393" s="347"/>
      <c r="GU393"/>
      <c r="GV393"/>
      <c r="GW393"/>
      <c r="GX393"/>
      <c r="GY393"/>
      <c r="GZ393" s="241"/>
      <c r="HA393" s="241"/>
      <c r="HB393" s="241"/>
      <c r="HC393" s="241"/>
      <c r="HD393" s="241"/>
      <c r="HE393" s="241"/>
      <c r="HF393" s="241"/>
      <c r="HG393" s="241"/>
      <c r="HH393" s="241"/>
      <c r="HI393" s="241"/>
      <c r="HJ393" s="241"/>
      <c r="HK393" s="241"/>
      <c r="HL393" s="241"/>
      <c r="HM393" s="241"/>
      <c r="HN393" s="241"/>
      <c r="HO393" s="241"/>
      <c r="HP393" s="241"/>
      <c r="HQ393" s="241"/>
      <c r="HR393" s="241"/>
      <c r="HS393" s="241"/>
      <c r="HT393" s="241"/>
      <c r="HU393" s="241"/>
      <c r="HV393" s="245"/>
      <c r="HW393" s="245"/>
      <c r="HX393" s="245"/>
      <c r="HY393" s="245"/>
      <c r="HZ393" s="245"/>
      <c r="IA393" s="245"/>
      <c r="IB393" s="245"/>
      <c r="ID393" s="245"/>
      <c r="IE393" s="245"/>
      <c r="IF393" s="245"/>
      <c r="IG393" s="245"/>
      <c r="IH393" s="245"/>
      <c r="II393" s="245"/>
      <c r="IJ393" s="245"/>
      <c r="IK393" s="245"/>
      <c r="IL393" s="245"/>
      <c r="IM393" s="245"/>
      <c r="IN393" s="245"/>
      <c r="IO393" s="245"/>
      <c r="IP393" s="245"/>
      <c r="IQ393" s="245"/>
      <c r="IR393" s="245"/>
      <c r="IS393" s="245"/>
      <c r="IT393" s="245"/>
      <c r="IU393" s="245"/>
      <c r="IV393" s="245"/>
      <c r="IW393" s="245"/>
      <c r="IX393" s="245"/>
      <c r="IY393" s="245"/>
      <c r="IZ393" s="245"/>
      <c r="JA393" s="245"/>
      <c r="JB393" s="245"/>
      <c r="JC393" s="245"/>
      <c r="JD393" s="245"/>
      <c r="JE393" s="245"/>
      <c r="JF393" s="245"/>
      <c r="JG393" s="245"/>
      <c r="JH393" s="245"/>
      <c r="JI393" s="245"/>
      <c r="JJ393" s="245"/>
      <c r="JK393" s="245"/>
      <c r="JL393" s="245"/>
      <c r="JM393" s="245"/>
      <c r="JN393" s="245"/>
      <c r="JO393" s="245"/>
      <c r="JP393" s="245"/>
      <c r="JQ393" s="245"/>
      <c r="JR393" s="245"/>
      <c r="JS393" s="245"/>
      <c r="JT393" s="245"/>
      <c r="JU393" s="245"/>
      <c r="JV393" s="245"/>
      <c r="JW393" s="245"/>
      <c r="JX393" s="245"/>
      <c r="JY393" s="245"/>
      <c r="JZ393" s="245"/>
      <c r="KA393" s="245"/>
      <c r="KB393" s="245"/>
      <c r="KC393" s="245"/>
      <c r="KD393" s="245"/>
      <c r="KE393" s="245"/>
      <c r="KF393" s="245"/>
      <c r="KG393" s="245"/>
      <c r="KH393" s="245"/>
      <c r="KI393" s="245"/>
      <c r="KJ393" s="245"/>
    </row>
    <row r="394" spans="2:321">
      <c r="D394" s="453">
        <f>SUM(D22:D392)</f>
        <v>0</v>
      </c>
      <c r="S394" s="446"/>
      <c r="BV394" s="371"/>
      <c r="BW394" s="371"/>
      <c r="BX394" s="371"/>
      <c r="BY394" s="371"/>
      <c r="BZ394" s="371"/>
      <c r="CA394" s="371"/>
      <c r="CB394" s="371"/>
      <c r="GU394"/>
      <c r="GV394"/>
      <c r="GW394"/>
      <c r="GX394"/>
      <c r="GY394"/>
      <c r="JB394">
        <f>SUM(JB22:JB393)</f>
        <v>0</v>
      </c>
      <c r="JC394">
        <f>SUM(JC22:JC393)</f>
        <v>0</v>
      </c>
      <c r="JD394">
        <f t="shared" ref="JD394:JL394" si="1266">SUM(JD22:JD393)</f>
        <v>0</v>
      </c>
      <c r="JE394">
        <f t="shared" si="1266"/>
        <v>0</v>
      </c>
      <c r="JF394">
        <f t="shared" si="1266"/>
        <v>0</v>
      </c>
      <c r="JG394">
        <f t="shared" si="1266"/>
        <v>0</v>
      </c>
      <c r="JH394">
        <f t="shared" si="1266"/>
        <v>0</v>
      </c>
      <c r="JI394">
        <f t="shared" si="1266"/>
        <v>0</v>
      </c>
      <c r="JJ394">
        <f t="shared" si="1266"/>
        <v>0</v>
      </c>
      <c r="JK394">
        <f t="shared" si="1266"/>
        <v>0</v>
      </c>
      <c r="JL394">
        <f t="shared" si="1266"/>
        <v>0</v>
      </c>
    </row>
    <row r="395" spans="2:321">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row>
    <row r="396" spans="2:321">
      <c r="GU396"/>
      <c r="GV396"/>
      <c r="GW396"/>
      <c r="GX396"/>
      <c r="GY396"/>
    </row>
    <row r="397" spans="2:321">
      <c r="GU397"/>
      <c r="GV397"/>
      <c r="GW397"/>
      <c r="GX397"/>
      <c r="GY397"/>
    </row>
    <row r="398" spans="2:321">
      <c r="GU398"/>
      <c r="GV398"/>
      <c r="GW398"/>
      <c r="GX398"/>
      <c r="GY398"/>
    </row>
    <row r="399" spans="2:321">
      <c r="GU399"/>
      <c r="GV399"/>
      <c r="GW399"/>
      <c r="GX399"/>
      <c r="GY399"/>
    </row>
    <row r="400" spans="2:321">
      <c r="GU400"/>
      <c r="GV400"/>
      <c r="GW400"/>
      <c r="GX400"/>
      <c r="GY400"/>
    </row>
    <row r="401" spans="203:207">
      <c r="GU401"/>
      <c r="GV401"/>
      <c r="GW401"/>
      <c r="GX401"/>
      <c r="GY401"/>
    </row>
    <row r="402" spans="203:207">
      <c r="GU402"/>
      <c r="GV402"/>
      <c r="GW402"/>
      <c r="GX402"/>
      <c r="GY402"/>
    </row>
    <row r="403" spans="203:207">
      <c r="GU403"/>
      <c r="GV403"/>
      <c r="GW403"/>
      <c r="GX403"/>
      <c r="GY403"/>
    </row>
    <row r="404" spans="203:207">
      <c r="GU404"/>
      <c r="GV404"/>
      <c r="GW404"/>
      <c r="GX404"/>
      <c r="GY404"/>
    </row>
    <row r="405" spans="203:207">
      <c r="GU405"/>
      <c r="GV405"/>
      <c r="GW405"/>
      <c r="GX405"/>
      <c r="GY405"/>
    </row>
    <row r="406" spans="203:207">
      <c r="GU406"/>
      <c r="GV406"/>
      <c r="GW406"/>
      <c r="GX406"/>
      <c r="GY406"/>
    </row>
    <row r="407" spans="203:207">
      <c r="GU407"/>
      <c r="GV407"/>
      <c r="GW407"/>
      <c r="GX407"/>
      <c r="GY407"/>
    </row>
    <row r="408" spans="203:207">
      <c r="GU408"/>
      <c r="GV408"/>
      <c r="GW408"/>
      <c r="GX408"/>
      <c r="GY408"/>
    </row>
    <row r="409" spans="203:207">
      <c r="GU409"/>
      <c r="GV409"/>
      <c r="GW409"/>
      <c r="GX409"/>
      <c r="GY409"/>
    </row>
  </sheetData>
  <sheetProtection algorithmName="SHA-512" hashValue="V5N3luLcnkuRk4RtSpINayIwpA73R1gEdVnPTGC5qR5KBve8TtBNJqfT71dBR7CzT402e9JWc1je0d8SWlU2YA==" saltValue="KD3p+XKSqUFTNBdoX4aoiQ==" spinCount="100000" sheet="1" objects="1" formatCells="0" formatRows="0"/>
  <mergeCells count="150">
    <mergeCell ref="DH18:DH21"/>
    <mergeCell ref="AV18:AV21"/>
    <mergeCell ref="CM20:CQ20"/>
    <mergeCell ref="BV19:CF19"/>
    <mergeCell ref="CW19:DA19"/>
    <mergeCell ref="DA20:DA21"/>
    <mergeCell ref="Z16:AO16"/>
    <mergeCell ref="AR18:AR20"/>
    <mergeCell ref="DB18:DB21"/>
    <mergeCell ref="W17:AI17"/>
    <mergeCell ref="A18:A21"/>
    <mergeCell ref="D17:H17"/>
    <mergeCell ref="D18:D20"/>
    <mergeCell ref="BL18:BM19"/>
    <mergeCell ref="AT18:AT20"/>
    <mergeCell ref="Y18:Y21"/>
    <mergeCell ref="AM18:AM20"/>
    <mergeCell ref="Q18:Q20"/>
    <mergeCell ref="B17:C17"/>
    <mergeCell ref="G18:G20"/>
    <mergeCell ref="W18:W20"/>
    <mergeCell ref="AB18:AB20"/>
    <mergeCell ref="AA18:AA20"/>
    <mergeCell ref="B18:B21"/>
    <mergeCell ref="C18:C21"/>
    <mergeCell ref="E18:E20"/>
    <mergeCell ref="F18:F20"/>
    <mergeCell ref="K18:K20"/>
    <mergeCell ref="M18:M21"/>
    <mergeCell ref="X18:X20"/>
    <mergeCell ref="J18:J21"/>
    <mergeCell ref="T18:T20"/>
    <mergeCell ref="O18:O21"/>
    <mergeCell ref="L18:L21"/>
    <mergeCell ref="DL18:DL21"/>
    <mergeCell ref="EM20:EM21"/>
    <mergeCell ref="FU19:FY20"/>
    <mergeCell ref="EE20:EL20"/>
    <mergeCell ref="D8:E8"/>
    <mergeCell ref="DR20:DR21"/>
    <mergeCell ref="DX20:DX21"/>
    <mergeCell ref="FR19:FT20"/>
    <mergeCell ref="DC18:DC21"/>
    <mergeCell ref="DE18:DE21"/>
    <mergeCell ref="DD18:DD21"/>
    <mergeCell ref="DF18:DF21"/>
    <mergeCell ref="FR18:GG18"/>
    <mergeCell ref="FZ19:GC20"/>
    <mergeCell ref="EN20:EN21"/>
    <mergeCell ref="EO20:EW21"/>
    <mergeCell ref="GD19:GG20"/>
    <mergeCell ref="D14:E14"/>
    <mergeCell ref="U18:U20"/>
    <mergeCell ref="N18:N21"/>
    <mergeCell ref="AL18:AL20"/>
    <mergeCell ref="AG18:AG20"/>
    <mergeCell ref="AO19:AO20"/>
    <mergeCell ref="AP19:AP20"/>
    <mergeCell ref="D3:M4"/>
    <mergeCell ref="H18:H20"/>
    <mergeCell ref="BF18:BF19"/>
    <mergeCell ref="BD18:BD19"/>
    <mergeCell ref="BE18:BE19"/>
    <mergeCell ref="BG18:BG19"/>
    <mergeCell ref="BQ18:BQ21"/>
    <mergeCell ref="BH17:BM17"/>
    <mergeCell ref="BD17:BG17"/>
    <mergeCell ref="W14:AA14"/>
    <mergeCell ref="AC18:AC20"/>
    <mergeCell ref="Z18:Z20"/>
    <mergeCell ref="AH18:AH20"/>
    <mergeCell ref="AF18:AF20"/>
    <mergeCell ref="AW19:AW20"/>
    <mergeCell ref="AW18:AY18"/>
    <mergeCell ref="AY19:AY20"/>
    <mergeCell ref="AK18:AK20"/>
    <mergeCell ref="AN18:AN21"/>
    <mergeCell ref="S18:S21"/>
    <mergeCell ref="R18:R20"/>
    <mergeCell ref="AU18:AU20"/>
    <mergeCell ref="BD13:BM13"/>
    <mergeCell ref="BD14:BM15"/>
    <mergeCell ref="BT2:BT7"/>
    <mergeCell ref="BD2:BM2"/>
    <mergeCell ref="BQ13:BT13"/>
    <mergeCell ref="Q3:R3"/>
    <mergeCell ref="Q4:R4"/>
    <mergeCell ref="AO18:AQ18"/>
    <mergeCell ref="J17:U17"/>
    <mergeCell ref="AK17:BB17"/>
    <mergeCell ref="P18:P21"/>
    <mergeCell ref="BA18:BA20"/>
    <mergeCell ref="AX19:AX20"/>
    <mergeCell ref="AS18:AS20"/>
    <mergeCell ref="AZ18:AZ20"/>
    <mergeCell ref="BB18:BB20"/>
    <mergeCell ref="O8:P8"/>
    <mergeCell ref="O9:P9"/>
    <mergeCell ref="BR2:BS6"/>
    <mergeCell ref="BR18:BR21"/>
    <mergeCell ref="BS18:BS21"/>
    <mergeCell ref="BT18:BT21"/>
    <mergeCell ref="AI18:AI20"/>
    <mergeCell ref="AD18:AE19"/>
    <mergeCell ref="BH18:BK19"/>
    <mergeCell ref="AQ19:AQ20"/>
    <mergeCell ref="BU2:BU7"/>
    <mergeCell ref="BV2:BV7"/>
    <mergeCell ref="BX2:BX7"/>
    <mergeCell ref="DG18:DG21"/>
    <mergeCell ref="DI18:DI21"/>
    <mergeCell ref="DT20:DT21"/>
    <mergeCell ref="DJ18:DJ21"/>
    <mergeCell ref="DK18:DK21"/>
    <mergeCell ref="DR18:EN19"/>
    <mergeCell ref="DS20:DS21"/>
    <mergeCell ref="DM18:DQ18"/>
    <mergeCell ref="BU19:BU21"/>
    <mergeCell ref="BU18:DA18"/>
    <mergeCell ref="DV20:DV21"/>
    <mergeCell ref="DZ20:ED20"/>
    <mergeCell ref="BV20:CA20"/>
    <mergeCell ref="CB20:CF20"/>
    <mergeCell ref="CG20:CL20"/>
    <mergeCell ref="DU20:DU21"/>
    <mergeCell ref="CG19:CQ19"/>
    <mergeCell ref="CR20:CT20"/>
    <mergeCell ref="CW20:CY20"/>
    <mergeCell ref="CV20:CV21"/>
    <mergeCell ref="CR19:CV19"/>
    <mergeCell ref="LA20:LG20"/>
    <mergeCell ref="EZ20:FC21"/>
    <mergeCell ref="EX20:EY21"/>
    <mergeCell ref="JS13:JS20"/>
    <mergeCell ref="JM21:JN21"/>
    <mergeCell ref="JP13:JP20"/>
    <mergeCell ref="JQ13:JQ20"/>
    <mergeCell ref="JR13:JR20"/>
    <mergeCell ref="HA20:HU20"/>
    <mergeCell ref="GL20:GN20"/>
    <mergeCell ref="GO20:GQ20"/>
    <mergeCell ref="GJ20:GK20"/>
    <mergeCell ref="GR20:GS20"/>
    <mergeCell ref="GJ19:GS19"/>
    <mergeCell ref="GI19:GI21"/>
    <mergeCell ref="FR17:GG17"/>
    <mergeCell ref="FD20:FF21"/>
    <mergeCell ref="FJ21:FM21"/>
    <mergeCell ref="FN20:FO20"/>
    <mergeCell ref="GT20:GY20"/>
  </mergeCells>
  <phoneticPr fontId="41" type="noConversion"/>
  <conditionalFormatting sqref="AI22:AI393">
    <cfRule type="expression" dxfId="23" priority="192">
      <formula>AI22+1&lt;G22</formula>
    </cfRule>
  </conditionalFormatting>
  <conditionalFormatting sqref="AD22:AD393">
    <cfRule type="expression" dxfId="22" priority="119">
      <formula>-AD22+1&lt;(E22*$X$5)</formula>
    </cfRule>
  </conditionalFormatting>
  <conditionalFormatting sqref="AE22:AE393">
    <cfRule type="expression" dxfId="21" priority="118">
      <formula>-AE22&lt;F22</formula>
    </cfRule>
  </conditionalFormatting>
  <conditionalFormatting sqref="X22:X393">
    <cfRule type="expression" dxfId="20" priority="114">
      <formula>FK22&gt;$P$13</formula>
    </cfRule>
  </conditionalFormatting>
  <conditionalFormatting sqref="W22:W393">
    <cfRule type="expression" dxfId="19" priority="108">
      <formula>W22&lt;H22</formula>
    </cfRule>
  </conditionalFormatting>
  <conditionalFormatting sqref="Y22:Y393">
    <cfRule type="expression" dxfId="18" priority="105">
      <formula>(Y22-0.1)&gt;$P$14</formula>
    </cfRule>
  </conditionalFormatting>
  <conditionalFormatting sqref="Z16:AO16">
    <cfRule type="notContainsBlanks" dxfId="17" priority="193">
      <formula>LEN(TRIM(Z16))&gt;0</formula>
    </cfRule>
  </conditionalFormatting>
  <conditionalFormatting sqref="AZ22:AZ393">
    <cfRule type="containsBlanks" priority="30" stopIfTrue="1">
      <formula>LEN(TRIM(AZ22))=0</formula>
    </cfRule>
    <cfRule type="expression" dxfId="16" priority="194">
      <formula>AZ22&gt;($H$6+15)</formula>
    </cfRule>
  </conditionalFormatting>
  <conditionalFormatting sqref="N22:N393">
    <cfRule type="expression" dxfId="15" priority="24">
      <formula>AND(IV22=0,ISTEXT(N22)=TRUE,_xlfn.ISFORMULA(N22)=FALSE)</formula>
    </cfRule>
  </conditionalFormatting>
  <conditionalFormatting sqref="N393">
    <cfRule type="expression" dxfId="14" priority="21">
      <formula>N393=""</formula>
    </cfRule>
    <cfRule type="expression" dxfId="13" priority="22" stopIfTrue="1">
      <formula>N393=0</formula>
    </cfRule>
    <cfRule type="expression" priority="23" stopIfTrue="1">
      <formula>N393=""</formula>
    </cfRule>
  </conditionalFormatting>
  <conditionalFormatting sqref="M22:M392">
    <cfRule type="expression" dxfId="12" priority="19">
      <formula>AND(IU22=0,ISNUMBER(M22))</formula>
    </cfRule>
  </conditionalFormatting>
  <conditionalFormatting sqref="P22:P392">
    <cfRule type="expression" dxfId="11" priority="18">
      <formula>AND(IX22=0,ISTEXT(P22))</formula>
    </cfRule>
  </conditionalFormatting>
  <conditionalFormatting sqref="R22:R392">
    <cfRule type="expression" dxfId="10" priority="15">
      <formula>AND(ISNUMBER(Q22),ISNUMBER(R22),R22&lt;Q22)</formula>
    </cfRule>
  </conditionalFormatting>
  <conditionalFormatting sqref="P6">
    <cfRule type="expression" dxfId="9" priority="12">
      <formula>P6&lt;F9</formula>
    </cfRule>
  </conditionalFormatting>
  <conditionalFormatting sqref="F13">
    <cfRule type="expression" dxfId="8" priority="11">
      <formula>F13&lt;51</formula>
    </cfRule>
  </conditionalFormatting>
  <conditionalFormatting sqref="AB22:AB393">
    <cfRule type="expression" dxfId="7" priority="10">
      <formula>AB22+0.01&gt;$M$13</formula>
    </cfRule>
  </conditionalFormatting>
  <conditionalFormatting sqref="A22:A392">
    <cfRule type="expression" dxfId="6" priority="9">
      <formula>II22&gt;0</formula>
    </cfRule>
  </conditionalFormatting>
  <conditionalFormatting sqref="Z22:Z392">
    <cfRule type="expression" dxfId="5" priority="1" stopIfTrue="1">
      <formula>$DN22&lt;1</formula>
    </cfRule>
    <cfRule type="expression" dxfId="4" priority="2" stopIfTrue="1">
      <formula>$DN22&gt;50</formula>
    </cfRule>
    <cfRule type="expression" dxfId="3" priority="3" stopIfTrue="1">
      <formula>$DN22&gt;35</formula>
    </cfRule>
    <cfRule type="expression" dxfId="2" priority="4" stopIfTrue="1">
      <formula>DN22&lt;36</formula>
    </cfRule>
  </conditionalFormatting>
  <conditionalFormatting sqref="T22:T393">
    <cfRule type="expression" dxfId="1" priority="201">
      <formula>AND(JA22=0,ISNUMBER(T22))</formula>
    </cfRule>
    <cfRule type="containsBlanks" priority="202" stopIfTrue="1">
      <formula>LEN(TRIM(T22))=0</formula>
    </cfRule>
    <cfRule type="expression" dxfId="0" priority="203">
      <formula>T22&lt;FP22</formula>
    </cfRule>
  </conditionalFormatting>
  <dataValidations xWindow="1287" yWindow="873" count="31">
    <dataValidation type="whole" operator="greaterThanOrEqual" allowBlank="1" showInputMessage="1" showErrorMessage="1" error="Value must be at least 20F above the room temperature." prompt="Enter the entering hot water temperature." sqref="S6" xr:uid="{00000000-0002-0000-0200-000000000000}">
      <formula1>H6+20</formula1>
    </dataValidation>
    <dataValidation type="decimal" allowBlank="1" showErrorMessage="1" error="Enter additive volume percentage of the hot water/additive mixture delivered to the beams._x000a__x000a_If no additive is used, enter &quot;100&quot;." prompt="_x000a_" sqref="S9" xr:uid="{00000000-0002-0000-0200-000001000000}">
      <formula1>5</formula1>
      <formula2>100</formula2>
    </dataValidation>
    <dataValidation type="list" allowBlank="1" showInputMessage="1" showErrorMessage="1" sqref="O8:O9" xr:uid="{00000000-0002-0000-0200-000002000000}">
      <formula1>"None,Ethylene Glycol,Propylene Glycol"</formula1>
    </dataValidation>
    <dataValidation type="decimal" allowBlank="1" showInputMessage="1" showErrorMessage="1" error="Enter additive volume percentage of the chilled water/additive mixture._x000a__x000a_If no additive is used, enter &quot;100&quot;." sqref="S8" xr:uid="{00000000-0002-0000-0200-000003000000}">
      <formula1>5</formula1>
      <formula2>100</formula2>
    </dataValidation>
    <dataValidation type="decimal" allowBlank="1" showInputMessage="1" showErrorMessage="1" error="Input must be between 40 and 60 grains (inclusive)." sqref="BQ8" xr:uid="{00000000-0002-0000-0200-000004000000}">
      <formula1>40</formula1>
      <formula2>60</formula2>
    </dataValidation>
    <dataValidation allowBlank="1" showInputMessage="1" showErrorMessage="1" prompt="Enter the beam model from the pulldown list." sqref="K393" xr:uid="{00000000-0002-0000-0200-000005000000}"/>
    <dataValidation allowBlank="1" showInputMessage="1" showErrorMessage="1" prompt="Select design room temperature from pulldown list" sqref="I6" xr:uid="{00000000-0002-0000-0200-000006000000}"/>
    <dataValidation allowBlank="1" showErrorMessage="1" sqref="K22:K392" xr:uid="{00000000-0002-0000-0200-000007000000}"/>
    <dataValidation errorStyle="warning" allowBlank="1" showInputMessage="1" showErrorMessage="1" error="below DP" sqref="P6" xr:uid="{00000000-0002-0000-0200-000008000000}"/>
    <dataValidation type="decimal" allowBlank="1" showInputMessage="1" showErrorMessage="1" error="Entry must be between 65 and 80°F (inclusive)" prompt="Select design room temperature between 65 and 80°F (inclusive)" sqref="F6 H6" xr:uid="{00000000-0002-0000-0200-000009000000}">
      <formula1>65</formula1>
      <formula2>80</formula2>
    </dataValidation>
    <dataValidation type="decimal" allowBlank="1" showInputMessage="1" showErrorMessage="1" error="Entry must be between 40 and 60% (inclusive)" prompt="Input room RH% between 40 and 60% (inclusive)" sqref="F7" xr:uid="{00000000-0002-0000-0200-00000A000000}">
      <formula1>0.4</formula1>
      <formula2>0.6</formula2>
    </dataValidation>
    <dataValidation type="list" allowBlank="1" showInputMessage="1" showErrorMessage="1" error="Selection must be from pulldown list provided." prompt="Enter theprimary air inlet diameter from the pulldown list. Default diameter is listed first, but make sure selection results in an acceptable zone NC level, otherwise choose a larger inlet size." sqref="P393" xr:uid="{00000000-0002-0000-0200-00000B000000}">
      <formula1>GU393:GX393</formula1>
    </dataValidation>
    <dataValidation type="decimal" allowBlank="1" showInputMessage="1" showErrorMessage="1" error="Enter a room NC between 15 and 50" sqref="P14" xr:uid="{00000000-0002-0000-0200-00000D000000}">
      <formula1>15</formula1>
      <formula2>50</formula2>
    </dataValidation>
    <dataValidation type="decimal" allowBlank="1" showInputMessage="1" showErrorMessage="1" error="Enter a value between 0.2 and 1.2&quot; w.c." sqref="P13" xr:uid="{00000000-0002-0000-0200-00000E000000}">
      <formula1>0.2</formula1>
      <formula2>1.2</formula2>
    </dataValidation>
    <dataValidation type="decimal" allowBlank="1" showInputMessage="1" showErrorMessage="1" error="Enter a supply air temperature between 48 and 78" sqref="F13 H13" xr:uid="{00000000-0002-0000-0200-00000F000000}">
      <formula1>48</formula1>
      <formula2>78</formula2>
    </dataValidation>
    <dataValidation type="decimal" allowBlank="1" showInputMessage="1" showErrorMessage="1" error="Enter an altitude between 0 and 9999 feet" sqref="S13" xr:uid="{00000000-0002-0000-0200-000010000000}">
      <formula1>0</formula1>
      <formula2>9999</formula2>
    </dataValidation>
    <dataValidation type="decimal" allowBlank="1" showInputMessage="1" showErrorMessage="1" errorTitle="Cooling Load Tolerance" error="Enter a percentage tolerance of the cooling load between 85 and 100%" sqref="AA7" xr:uid="{00000000-0002-0000-0200-000011000000}">
      <formula1>0.85</formula1>
      <formula2>1</formula2>
    </dataValidation>
    <dataValidation type="decimal" allowBlank="1" showInputMessage="1" showErrorMessage="1" error="Enter the chilled water flow rate. If a heating only coil is used, enter &quot;0&quot;._x000a__x000a_Entry for CBAL-12, CBLE-12 and  CBLV models must be between 0.5 and 4.0 GPM. Entry must be between 0.25 and 2.5 GPM for all other models." prompt="Enter a chilled water flow rate between 0.5 and 4.0 for models CBLV, CBAL-12 and CBLE-12. For all other models enter a water flow rate between 0.25 and 2.0 GPM._x000a__x000a_If cell shading becomes orange after entry see User Notes for further explanation." sqref="T393" xr:uid="{00000000-0002-0000-0200-000012000000}">
      <formula1>IF(O393="2 Pipe (heating)",0,FN393)</formula1>
      <formula2>IF(O393="2 Pipe (heating)",0,FO393)</formula2>
    </dataValidation>
    <dataValidation type="decimal" allowBlank="1" showInputMessage="1" showErrorMessage="1" error="Enter the hot water flow rate. If a cooling only coil is used, enter &quot;0&quot;._x000a__x000a_Entry for CBLV models must be between 1.0 and 4.0 GPM. Entry must be between 0.5 and 2.5 GPM for all other models." promptTitle="Enter the hot water flow rate" prompt="Valid flow rates: 0.5 - 4.0 GPM for CBLV, CBAL-12 and CBLE-12._x000a_All others, 0.25 - 2.0 GPM. _x000a_Enter &quot;0&quot; if a 2 pipe (cooling only) coil is used._x000a__x000a_If cell shading turns orange after entry see User Notes for further explanation and instruction." sqref="U393" xr:uid="{00000000-0002-0000-0200-000013000000}">
      <formula1>IF(O393="2 Pipe (cooling)",0,FN393)</formula1>
      <formula2>IF(O393="2 Pipe (cooling)",0,FO393)</formula2>
    </dataValidation>
    <dataValidation type="decimal" allowBlank="1" showInputMessage="1" showErrorMessage="1" error="Enter maximum acceptable waterside pressure drop between 5 and 15 feet inclusive." sqref="M13" xr:uid="{00000000-0002-0000-0200-000014000000}">
      <formula1>5</formula1>
      <formula2>15</formula2>
    </dataValidation>
    <dataValidation type="decimal" operator="greaterThanOrEqual" allowBlank="1" showInputMessage="1" showErrorMessage="1" error="Input must be greater or equal to the minimum primary airflow rate." sqref="R22:R393" xr:uid="{00000000-0002-0000-0200-000015000000}">
      <formula1>Q22</formula1>
    </dataValidation>
    <dataValidation type="list" allowBlank="1" showInputMessage="1" showErrorMessage="1" promptTitle="Enter nominal size from pulldown" sqref="M22:M393" xr:uid="{00000000-0002-0000-0200-000016000000}">
      <formula1>EO22:EW22</formula1>
    </dataValidation>
    <dataValidation type="list" allowBlank="1" showInputMessage="1" showErrorMessage="1" sqref="O22:O393" xr:uid="{00000000-0002-0000-0200-000017000000}">
      <formula1>EZ22:FC22</formula1>
    </dataValidation>
    <dataValidation type="list" allowBlank="1" showInputMessage="1" showErrorMessage="1" sqref="N22:N393" xr:uid="{00000000-0002-0000-0200-000019000000}">
      <formula1>IF(J22&gt;0,EX22:EY22," ")</formula1>
    </dataValidation>
    <dataValidation type="decimal" allowBlank="1" showErrorMessage="1" error="Enter the hot water flow rate. If a cooling only coil is used, enter &quot;0&quot;._x000a__x000a_Valid Range:_x000a__x000a_CBAL2, CBE2, CBAV, CBAB, CBAS:_x000a_0.25 - 2.5 GPM_x000a__x000a_CBLV-12, CBE2-12:_x000a_0.5 - 4.0 GPM_x000a__x000a_CBAM:_x000a_0.25 - 1.7 GPM_x000a__x000a_CBAW:_x000a_0.25 - 1.9 GPM" sqref="U22:U392" xr:uid="{00000000-0002-0000-0200-00001A000000}">
      <formula1>IF(O22="2 Pipe (cooling)",0,FN22)</formula1>
      <formula2>IF(O22="2 Pipe (cooling)",0,FO22)</formula2>
    </dataValidation>
    <dataValidation type="whole" allowBlank="1" showInputMessage="1" showErrorMessage="1" sqref="L22:L392" xr:uid="{00000000-0002-0000-0200-00001B000000}">
      <formula1>1</formula1>
      <formula2>999</formula2>
    </dataValidation>
    <dataValidation type="list" allowBlank="1" showInputMessage="1" showErrorMessage="1" sqref="S22:S392" xr:uid="{00000000-0002-0000-0200-00001C000000}">
      <formula1>$FD22:$FF22</formula1>
    </dataValidation>
    <dataValidation type="list" allowBlank="1" showInputMessage="1" showErrorMessage="1" sqref="D14:E14" xr:uid="{00000000-0002-0000-0200-00001D000000}">
      <formula1>"Grains,Dew Point"</formula1>
    </dataValidation>
    <dataValidation type="decimal" allowBlank="1" showInputMessage="1" showErrorMessage="1" error="Enter a value between 40 and 60" sqref="F14" xr:uid="{00000000-0002-0000-0200-00001E000000}">
      <formula1>40</formula1>
      <formula2>60</formula2>
    </dataValidation>
    <dataValidation type="decimal" allowBlank="1" showInputMessage="1" showErrorMessage="1" error="Enter the chilled water flow rate. Valid range:_x000a__x000a_CBAL2,CBE2-24,CBAV,CBAB,CBAS:_x000a_0.25 - 2.5 GPM_x000a__x000a_CBLV-12,CBE2-12:_x000a_0.5  - 4.0 GPM_x000a__x000a_CBAM:_x000a_0.25 - 1.7 GPM_x000a__x000a_CBAW:_x000a_0.25 - 1.9 GPM" sqref="T22:T392" xr:uid="{00000000-0002-0000-0200-00001F000000}">
      <formula1>IF(O22="2 Pipe (heating)",0,FN22)</formula1>
      <formula2>IF(O22="2 Pipe (heating)",0,FO22)</formula2>
    </dataValidation>
    <dataValidation type="list" allowBlank="1" showInputMessage="1" showErrorMessage="1" sqref="P22:P392" xr:uid="{754DA36F-1EE6-470E-B42A-DBDD0EB99CF5}">
      <formula1>GT22:GY22</formula1>
    </dataValidation>
  </dataValidations>
  <pageMargins left="0.25" right="0.25" top="0.75" bottom="0.75" header="0.3" footer="0.3"/>
  <pageSetup scale="32" fitToHeight="0" orientation="landscape" horizontalDpi="4294967293" verticalDpi="4294967293" r:id="rId1"/>
  <ignoredErrors>
    <ignoredError sqref="F8:F9 X3:X9 S22:S39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2521" r:id="rId4" name="Option Button 3609">
              <controlPr defaultSize="0" autoFill="0" autoLine="0" autoPict="0" altText="">
                <anchor moveWithCells="1">
                  <from>
                    <xdr:col>20</xdr:col>
                    <xdr:colOff>175260</xdr:colOff>
                    <xdr:row>4</xdr:row>
                    <xdr:rowOff>335280</xdr:rowOff>
                  </from>
                  <to>
                    <xdr:col>20</xdr:col>
                    <xdr:colOff>480060</xdr:colOff>
                    <xdr:row>5</xdr:row>
                    <xdr:rowOff>259080</xdr:rowOff>
                  </to>
                </anchor>
              </controlPr>
            </control>
          </mc:Choice>
        </mc:AlternateContent>
        <mc:AlternateContent xmlns:mc="http://schemas.openxmlformats.org/markup-compatibility/2006">
          <mc:Choice Requires="x14">
            <control shapeId="42523" r:id="rId5" name="Option Button 3611">
              <controlPr defaultSize="0" autoFill="0" autoLine="0" autoPict="0" altText="Limit Selections to Even Lengths Only">
                <anchor moveWithCells="1">
                  <from>
                    <xdr:col>20</xdr:col>
                    <xdr:colOff>175260</xdr:colOff>
                    <xdr:row>4</xdr:row>
                    <xdr:rowOff>106680</xdr:rowOff>
                  </from>
                  <to>
                    <xdr:col>20</xdr:col>
                    <xdr:colOff>480060</xdr:colOff>
                    <xdr:row>5</xdr:row>
                    <xdr:rowOff>30480</xdr:rowOff>
                  </to>
                </anchor>
              </controlPr>
            </control>
          </mc:Choice>
        </mc:AlternateContent>
        <mc:AlternateContent xmlns:mc="http://schemas.openxmlformats.org/markup-compatibility/2006">
          <mc:Choice Requires="x14">
            <control shapeId="42524" r:id="rId6" name="Option Button 3612">
              <controlPr defaultSize="0" autoFill="0" autoLine="0" autoPict="0">
                <anchor moveWithCells="1">
                  <from>
                    <xdr:col>20</xdr:col>
                    <xdr:colOff>175260</xdr:colOff>
                    <xdr:row>3</xdr:row>
                    <xdr:rowOff>68580</xdr:rowOff>
                  </from>
                  <to>
                    <xdr:col>20</xdr:col>
                    <xdr:colOff>480060</xdr:colOff>
                    <xdr:row>4</xdr:row>
                    <xdr:rowOff>137160</xdr:rowOff>
                  </to>
                </anchor>
              </controlPr>
            </control>
          </mc:Choice>
        </mc:AlternateContent>
        <mc:AlternateContent xmlns:mc="http://schemas.openxmlformats.org/markup-compatibility/2006">
          <mc:Choice Requires="x14">
            <control shapeId="42525" r:id="rId7" name="Drop Down 3613">
              <controlPr defaultSize="0" autoLine="0" autoPict="0" altText="8">
                <anchor moveWithCells="1">
                  <from>
                    <xdr:col>26</xdr:col>
                    <xdr:colOff>76200</xdr:colOff>
                    <xdr:row>4</xdr:row>
                    <xdr:rowOff>175260</xdr:rowOff>
                  </from>
                  <to>
                    <xdr:col>26</xdr:col>
                    <xdr:colOff>480060</xdr:colOff>
                    <xdr:row>4</xdr:row>
                    <xdr:rowOff>350520</xdr:rowOff>
                  </to>
                </anchor>
              </controlPr>
            </control>
          </mc:Choice>
        </mc:AlternateContent>
        <mc:AlternateContent xmlns:mc="http://schemas.openxmlformats.org/markup-compatibility/2006">
          <mc:Choice Requires="x14">
            <control shapeId="42531" r:id="rId8" name="Drop Down 3619">
              <controlPr defaultSize="0" autoLine="0" autoPict="0">
                <anchor moveWithCells="1">
                  <from>
                    <xdr:col>26</xdr:col>
                    <xdr:colOff>76200</xdr:colOff>
                    <xdr:row>6</xdr:row>
                    <xdr:rowOff>30480</xdr:rowOff>
                  </from>
                  <to>
                    <xdr:col>26</xdr:col>
                    <xdr:colOff>495300</xdr:colOff>
                    <xdr:row>7</xdr:row>
                    <xdr:rowOff>22860</xdr:rowOff>
                  </to>
                </anchor>
              </controlPr>
            </control>
          </mc:Choice>
        </mc:AlternateContent>
        <mc:AlternateContent xmlns:mc="http://schemas.openxmlformats.org/markup-compatibility/2006">
          <mc:Choice Requires="x14">
            <control shapeId="42534" r:id="rId9" name="Drop Down 3622">
              <controlPr defaultSize="0" autoLine="0" autoPict="0">
                <anchor moveWithCells="1">
                  <from>
                    <xdr:col>22</xdr:col>
                    <xdr:colOff>426720</xdr:colOff>
                    <xdr:row>6</xdr:row>
                    <xdr:rowOff>38100</xdr:rowOff>
                  </from>
                  <to>
                    <xdr:col>23</xdr:col>
                    <xdr:colOff>403860</xdr:colOff>
                    <xdr:row>7</xdr:row>
                    <xdr:rowOff>30480</xdr:rowOff>
                  </to>
                </anchor>
              </controlPr>
            </control>
          </mc:Choice>
        </mc:AlternateContent>
        <mc:AlternateContent xmlns:mc="http://schemas.openxmlformats.org/markup-compatibility/2006">
          <mc:Choice Requires="x14">
            <control shapeId="42541" r:id="rId10" name="Drop Down 3629">
              <controlPr defaultSize="0" autoLine="0" autoPict="0">
                <anchor moveWithCells="1">
                  <from>
                    <xdr:col>25</xdr:col>
                    <xdr:colOff>381000</xdr:colOff>
                    <xdr:row>9</xdr:row>
                    <xdr:rowOff>7620</xdr:rowOff>
                  </from>
                  <to>
                    <xdr:col>26</xdr:col>
                    <xdr:colOff>160020</xdr:colOff>
                    <xdr:row>10</xdr:row>
                    <xdr:rowOff>60960</xdr:rowOff>
                  </to>
                </anchor>
              </controlPr>
            </control>
          </mc:Choice>
        </mc:AlternateContent>
        <mc:AlternateContent xmlns:mc="http://schemas.openxmlformats.org/markup-compatibility/2006">
          <mc:Choice Requires="x14">
            <control shapeId="42569" r:id="rId11" name="Drop Down 3657">
              <controlPr defaultSize="0" autoLine="0" autoPict="0">
                <anchor moveWithCells="1">
                  <from>
                    <xdr:col>25</xdr:col>
                    <xdr:colOff>45720</xdr:colOff>
                    <xdr:row>7</xdr:row>
                    <xdr:rowOff>106680</xdr:rowOff>
                  </from>
                  <to>
                    <xdr:col>26</xdr:col>
                    <xdr:colOff>495300</xdr:colOff>
                    <xdr:row>8</xdr:row>
                    <xdr:rowOff>114300</xdr:rowOff>
                  </to>
                </anchor>
              </controlPr>
            </control>
          </mc:Choice>
        </mc:AlternateContent>
        <mc:AlternateContent xmlns:mc="http://schemas.openxmlformats.org/markup-compatibility/2006">
          <mc:Choice Requires="x14">
            <control shapeId="42582" r:id="rId12" name="Drop Down 3670">
              <controlPr defaultSize="0" autoLine="0" autoPict="0">
                <anchor moveWithCells="1">
                  <from>
                    <xdr:col>23</xdr:col>
                    <xdr:colOff>365760</xdr:colOff>
                    <xdr:row>13</xdr:row>
                    <xdr:rowOff>137160</xdr:rowOff>
                  </from>
                  <to>
                    <xdr:col>26</xdr:col>
                    <xdr:colOff>563880</xdr:colOff>
                    <xdr:row>14</xdr:row>
                    <xdr:rowOff>114300</xdr:rowOff>
                  </to>
                </anchor>
              </controlPr>
            </control>
          </mc:Choice>
        </mc:AlternateContent>
        <mc:AlternateContent xmlns:mc="http://schemas.openxmlformats.org/markup-compatibility/2006">
          <mc:Choice Requires="x14">
            <control shapeId="42602" r:id="rId13" name="Check Box 3690">
              <controlPr defaultSize="0" autoFill="0" autoLine="0" autoPict="0">
                <anchor moveWithCells="1">
                  <from>
                    <xdr:col>0</xdr:col>
                    <xdr:colOff>60960</xdr:colOff>
                    <xdr:row>21</xdr:row>
                    <xdr:rowOff>30480</xdr:rowOff>
                  </from>
                  <to>
                    <xdr:col>0</xdr:col>
                    <xdr:colOff>236220</xdr:colOff>
                    <xdr:row>21</xdr:row>
                    <xdr:rowOff>182880</xdr:rowOff>
                  </to>
                </anchor>
              </controlPr>
            </control>
          </mc:Choice>
        </mc:AlternateContent>
        <mc:AlternateContent xmlns:mc="http://schemas.openxmlformats.org/markup-compatibility/2006">
          <mc:Choice Requires="x14">
            <control shapeId="42973" r:id="rId14" name="Check Box 4061">
              <controlPr defaultSize="0" autoFill="0" autoLine="0" autoPict="0">
                <anchor moveWithCells="1">
                  <from>
                    <xdr:col>0</xdr:col>
                    <xdr:colOff>60960</xdr:colOff>
                    <xdr:row>22</xdr:row>
                    <xdr:rowOff>30480</xdr:rowOff>
                  </from>
                  <to>
                    <xdr:col>0</xdr:col>
                    <xdr:colOff>236220</xdr:colOff>
                    <xdr:row>22</xdr:row>
                    <xdr:rowOff>182880</xdr:rowOff>
                  </to>
                </anchor>
              </controlPr>
            </control>
          </mc:Choice>
        </mc:AlternateContent>
        <mc:AlternateContent xmlns:mc="http://schemas.openxmlformats.org/markup-compatibility/2006">
          <mc:Choice Requires="x14">
            <control shapeId="42974" r:id="rId15" name="Check Box 4062">
              <controlPr defaultSize="0" autoFill="0" autoLine="0" autoPict="0">
                <anchor moveWithCells="1">
                  <from>
                    <xdr:col>0</xdr:col>
                    <xdr:colOff>60960</xdr:colOff>
                    <xdr:row>23</xdr:row>
                    <xdr:rowOff>30480</xdr:rowOff>
                  </from>
                  <to>
                    <xdr:col>0</xdr:col>
                    <xdr:colOff>236220</xdr:colOff>
                    <xdr:row>23</xdr:row>
                    <xdr:rowOff>182880</xdr:rowOff>
                  </to>
                </anchor>
              </controlPr>
            </control>
          </mc:Choice>
        </mc:AlternateContent>
        <mc:AlternateContent xmlns:mc="http://schemas.openxmlformats.org/markup-compatibility/2006">
          <mc:Choice Requires="x14">
            <control shapeId="42975" r:id="rId16" name="Check Box 4063">
              <controlPr defaultSize="0" autoFill="0" autoLine="0" autoPict="0">
                <anchor moveWithCells="1">
                  <from>
                    <xdr:col>0</xdr:col>
                    <xdr:colOff>60960</xdr:colOff>
                    <xdr:row>24</xdr:row>
                    <xdr:rowOff>30480</xdr:rowOff>
                  </from>
                  <to>
                    <xdr:col>0</xdr:col>
                    <xdr:colOff>236220</xdr:colOff>
                    <xdr:row>24</xdr:row>
                    <xdr:rowOff>182880</xdr:rowOff>
                  </to>
                </anchor>
              </controlPr>
            </control>
          </mc:Choice>
        </mc:AlternateContent>
        <mc:AlternateContent xmlns:mc="http://schemas.openxmlformats.org/markup-compatibility/2006">
          <mc:Choice Requires="x14">
            <control shapeId="42976" r:id="rId17" name="Check Box 4064">
              <controlPr defaultSize="0" autoFill="0" autoLine="0" autoPict="0">
                <anchor moveWithCells="1">
                  <from>
                    <xdr:col>0</xdr:col>
                    <xdr:colOff>60960</xdr:colOff>
                    <xdr:row>25</xdr:row>
                    <xdr:rowOff>30480</xdr:rowOff>
                  </from>
                  <to>
                    <xdr:col>0</xdr:col>
                    <xdr:colOff>236220</xdr:colOff>
                    <xdr:row>25</xdr:row>
                    <xdr:rowOff>182880</xdr:rowOff>
                  </to>
                </anchor>
              </controlPr>
            </control>
          </mc:Choice>
        </mc:AlternateContent>
        <mc:AlternateContent xmlns:mc="http://schemas.openxmlformats.org/markup-compatibility/2006">
          <mc:Choice Requires="x14">
            <control shapeId="42977" r:id="rId18" name="Check Box 4065">
              <controlPr defaultSize="0" autoFill="0" autoLine="0" autoPict="0">
                <anchor moveWithCells="1">
                  <from>
                    <xdr:col>0</xdr:col>
                    <xdr:colOff>60960</xdr:colOff>
                    <xdr:row>26</xdr:row>
                    <xdr:rowOff>30480</xdr:rowOff>
                  </from>
                  <to>
                    <xdr:col>0</xdr:col>
                    <xdr:colOff>236220</xdr:colOff>
                    <xdr:row>26</xdr:row>
                    <xdr:rowOff>182880</xdr:rowOff>
                  </to>
                </anchor>
              </controlPr>
            </control>
          </mc:Choice>
        </mc:AlternateContent>
        <mc:AlternateContent xmlns:mc="http://schemas.openxmlformats.org/markup-compatibility/2006">
          <mc:Choice Requires="x14">
            <control shapeId="42978" r:id="rId19" name="Check Box 4066">
              <controlPr defaultSize="0" autoFill="0" autoLine="0" autoPict="0">
                <anchor moveWithCells="1">
                  <from>
                    <xdr:col>0</xdr:col>
                    <xdr:colOff>60960</xdr:colOff>
                    <xdr:row>27</xdr:row>
                    <xdr:rowOff>30480</xdr:rowOff>
                  </from>
                  <to>
                    <xdr:col>0</xdr:col>
                    <xdr:colOff>236220</xdr:colOff>
                    <xdr:row>27</xdr:row>
                    <xdr:rowOff>182880</xdr:rowOff>
                  </to>
                </anchor>
              </controlPr>
            </control>
          </mc:Choice>
        </mc:AlternateContent>
        <mc:AlternateContent xmlns:mc="http://schemas.openxmlformats.org/markup-compatibility/2006">
          <mc:Choice Requires="x14">
            <control shapeId="42979" r:id="rId20" name="Check Box 4067">
              <controlPr defaultSize="0" autoFill="0" autoLine="0" autoPict="0">
                <anchor moveWithCells="1">
                  <from>
                    <xdr:col>0</xdr:col>
                    <xdr:colOff>60960</xdr:colOff>
                    <xdr:row>28</xdr:row>
                    <xdr:rowOff>30480</xdr:rowOff>
                  </from>
                  <to>
                    <xdr:col>0</xdr:col>
                    <xdr:colOff>236220</xdr:colOff>
                    <xdr:row>28</xdr:row>
                    <xdr:rowOff>182880</xdr:rowOff>
                  </to>
                </anchor>
              </controlPr>
            </control>
          </mc:Choice>
        </mc:AlternateContent>
        <mc:AlternateContent xmlns:mc="http://schemas.openxmlformats.org/markup-compatibility/2006">
          <mc:Choice Requires="x14">
            <control shapeId="42980" r:id="rId21" name="Check Box 4068">
              <controlPr defaultSize="0" autoFill="0" autoLine="0" autoPict="0">
                <anchor moveWithCells="1">
                  <from>
                    <xdr:col>0</xdr:col>
                    <xdr:colOff>60960</xdr:colOff>
                    <xdr:row>29</xdr:row>
                    <xdr:rowOff>30480</xdr:rowOff>
                  </from>
                  <to>
                    <xdr:col>0</xdr:col>
                    <xdr:colOff>236220</xdr:colOff>
                    <xdr:row>29</xdr:row>
                    <xdr:rowOff>182880</xdr:rowOff>
                  </to>
                </anchor>
              </controlPr>
            </control>
          </mc:Choice>
        </mc:AlternateContent>
        <mc:AlternateContent xmlns:mc="http://schemas.openxmlformats.org/markup-compatibility/2006">
          <mc:Choice Requires="x14">
            <control shapeId="42981" r:id="rId22" name="Check Box 4069">
              <controlPr defaultSize="0" autoFill="0" autoLine="0" autoPict="0">
                <anchor moveWithCells="1">
                  <from>
                    <xdr:col>0</xdr:col>
                    <xdr:colOff>60960</xdr:colOff>
                    <xdr:row>30</xdr:row>
                    <xdr:rowOff>30480</xdr:rowOff>
                  </from>
                  <to>
                    <xdr:col>0</xdr:col>
                    <xdr:colOff>236220</xdr:colOff>
                    <xdr:row>30</xdr:row>
                    <xdr:rowOff>182880</xdr:rowOff>
                  </to>
                </anchor>
              </controlPr>
            </control>
          </mc:Choice>
        </mc:AlternateContent>
        <mc:AlternateContent xmlns:mc="http://schemas.openxmlformats.org/markup-compatibility/2006">
          <mc:Choice Requires="x14">
            <control shapeId="42982" r:id="rId23" name="Check Box 4070">
              <controlPr defaultSize="0" autoFill="0" autoLine="0" autoPict="0">
                <anchor moveWithCells="1">
                  <from>
                    <xdr:col>0</xdr:col>
                    <xdr:colOff>60960</xdr:colOff>
                    <xdr:row>31</xdr:row>
                    <xdr:rowOff>30480</xdr:rowOff>
                  </from>
                  <to>
                    <xdr:col>0</xdr:col>
                    <xdr:colOff>236220</xdr:colOff>
                    <xdr:row>31</xdr:row>
                    <xdr:rowOff>182880</xdr:rowOff>
                  </to>
                </anchor>
              </controlPr>
            </control>
          </mc:Choice>
        </mc:AlternateContent>
        <mc:AlternateContent xmlns:mc="http://schemas.openxmlformats.org/markup-compatibility/2006">
          <mc:Choice Requires="x14">
            <control shapeId="42983" r:id="rId24" name="Check Box 4071">
              <controlPr defaultSize="0" autoFill="0" autoLine="0" autoPict="0">
                <anchor moveWithCells="1">
                  <from>
                    <xdr:col>0</xdr:col>
                    <xdr:colOff>60960</xdr:colOff>
                    <xdr:row>32</xdr:row>
                    <xdr:rowOff>30480</xdr:rowOff>
                  </from>
                  <to>
                    <xdr:col>0</xdr:col>
                    <xdr:colOff>236220</xdr:colOff>
                    <xdr:row>32</xdr:row>
                    <xdr:rowOff>182880</xdr:rowOff>
                  </to>
                </anchor>
              </controlPr>
            </control>
          </mc:Choice>
        </mc:AlternateContent>
        <mc:AlternateContent xmlns:mc="http://schemas.openxmlformats.org/markup-compatibility/2006">
          <mc:Choice Requires="x14">
            <control shapeId="42984" r:id="rId25" name="Check Box 4072">
              <controlPr defaultSize="0" autoFill="0" autoLine="0" autoPict="0">
                <anchor moveWithCells="1">
                  <from>
                    <xdr:col>0</xdr:col>
                    <xdr:colOff>60960</xdr:colOff>
                    <xdr:row>33</xdr:row>
                    <xdr:rowOff>30480</xdr:rowOff>
                  </from>
                  <to>
                    <xdr:col>0</xdr:col>
                    <xdr:colOff>236220</xdr:colOff>
                    <xdr:row>33</xdr:row>
                    <xdr:rowOff>182880</xdr:rowOff>
                  </to>
                </anchor>
              </controlPr>
            </control>
          </mc:Choice>
        </mc:AlternateContent>
        <mc:AlternateContent xmlns:mc="http://schemas.openxmlformats.org/markup-compatibility/2006">
          <mc:Choice Requires="x14">
            <control shapeId="42985" r:id="rId26" name="Check Box 4073">
              <controlPr defaultSize="0" autoFill="0" autoLine="0" autoPict="0">
                <anchor moveWithCells="1">
                  <from>
                    <xdr:col>0</xdr:col>
                    <xdr:colOff>60960</xdr:colOff>
                    <xdr:row>34</xdr:row>
                    <xdr:rowOff>30480</xdr:rowOff>
                  </from>
                  <to>
                    <xdr:col>0</xdr:col>
                    <xdr:colOff>236220</xdr:colOff>
                    <xdr:row>34</xdr:row>
                    <xdr:rowOff>182880</xdr:rowOff>
                  </to>
                </anchor>
              </controlPr>
            </control>
          </mc:Choice>
        </mc:AlternateContent>
        <mc:AlternateContent xmlns:mc="http://schemas.openxmlformats.org/markup-compatibility/2006">
          <mc:Choice Requires="x14">
            <control shapeId="42986" r:id="rId27" name="Check Box 4074">
              <controlPr defaultSize="0" autoFill="0" autoLine="0" autoPict="0">
                <anchor moveWithCells="1">
                  <from>
                    <xdr:col>0</xdr:col>
                    <xdr:colOff>60960</xdr:colOff>
                    <xdr:row>35</xdr:row>
                    <xdr:rowOff>30480</xdr:rowOff>
                  </from>
                  <to>
                    <xdr:col>0</xdr:col>
                    <xdr:colOff>236220</xdr:colOff>
                    <xdr:row>35</xdr:row>
                    <xdr:rowOff>182880</xdr:rowOff>
                  </to>
                </anchor>
              </controlPr>
            </control>
          </mc:Choice>
        </mc:AlternateContent>
        <mc:AlternateContent xmlns:mc="http://schemas.openxmlformats.org/markup-compatibility/2006">
          <mc:Choice Requires="x14">
            <control shapeId="42987" r:id="rId28" name="Check Box 4075">
              <controlPr defaultSize="0" autoFill="0" autoLine="0" autoPict="0">
                <anchor moveWithCells="1">
                  <from>
                    <xdr:col>0</xdr:col>
                    <xdr:colOff>60960</xdr:colOff>
                    <xdr:row>36</xdr:row>
                    <xdr:rowOff>30480</xdr:rowOff>
                  </from>
                  <to>
                    <xdr:col>0</xdr:col>
                    <xdr:colOff>236220</xdr:colOff>
                    <xdr:row>36</xdr:row>
                    <xdr:rowOff>182880</xdr:rowOff>
                  </to>
                </anchor>
              </controlPr>
            </control>
          </mc:Choice>
        </mc:AlternateContent>
        <mc:AlternateContent xmlns:mc="http://schemas.openxmlformats.org/markup-compatibility/2006">
          <mc:Choice Requires="x14">
            <control shapeId="42988" r:id="rId29" name="Check Box 4076">
              <controlPr defaultSize="0" autoFill="0" autoLine="0" autoPict="0">
                <anchor moveWithCells="1">
                  <from>
                    <xdr:col>0</xdr:col>
                    <xdr:colOff>60960</xdr:colOff>
                    <xdr:row>37</xdr:row>
                    <xdr:rowOff>30480</xdr:rowOff>
                  </from>
                  <to>
                    <xdr:col>0</xdr:col>
                    <xdr:colOff>236220</xdr:colOff>
                    <xdr:row>37</xdr:row>
                    <xdr:rowOff>182880</xdr:rowOff>
                  </to>
                </anchor>
              </controlPr>
            </control>
          </mc:Choice>
        </mc:AlternateContent>
        <mc:AlternateContent xmlns:mc="http://schemas.openxmlformats.org/markup-compatibility/2006">
          <mc:Choice Requires="x14">
            <control shapeId="42989" r:id="rId30" name="Check Box 4077">
              <controlPr defaultSize="0" autoFill="0" autoLine="0" autoPict="0">
                <anchor moveWithCells="1">
                  <from>
                    <xdr:col>0</xdr:col>
                    <xdr:colOff>60960</xdr:colOff>
                    <xdr:row>38</xdr:row>
                    <xdr:rowOff>30480</xdr:rowOff>
                  </from>
                  <to>
                    <xdr:col>0</xdr:col>
                    <xdr:colOff>236220</xdr:colOff>
                    <xdr:row>38</xdr:row>
                    <xdr:rowOff>182880</xdr:rowOff>
                  </to>
                </anchor>
              </controlPr>
            </control>
          </mc:Choice>
        </mc:AlternateContent>
        <mc:AlternateContent xmlns:mc="http://schemas.openxmlformats.org/markup-compatibility/2006">
          <mc:Choice Requires="x14">
            <control shapeId="42990" r:id="rId31" name="Check Box 4078">
              <controlPr defaultSize="0" autoFill="0" autoLine="0" autoPict="0">
                <anchor moveWithCells="1">
                  <from>
                    <xdr:col>0</xdr:col>
                    <xdr:colOff>60960</xdr:colOff>
                    <xdr:row>39</xdr:row>
                    <xdr:rowOff>30480</xdr:rowOff>
                  </from>
                  <to>
                    <xdr:col>0</xdr:col>
                    <xdr:colOff>236220</xdr:colOff>
                    <xdr:row>39</xdr:row>
                    <xdr:rowOff>182880</xdr:rowOff>
                  </to>
                </anchor>
              </controlPr>
            </control>
          </mc:Choice>
        </mc:AlternateContent>
        <mc:AlternateContent xmlns:mc="http://schemas.openxmlformats.org/markup-compatibility/2006">
          <mc:Choice Requires="x14">
            <control shapeId="42991" r:id="rId32" name="Check Box 4079">
              <controlPr defaultSize="0" autoFill="0" autoLine="0" autoPict="0">
                <anchor moveWithCells="1">
                  <from>
                    <xdr:col>0</xdr:col>
                    <xdr:colOff>60960</xdr:colOff>
                    <xdr:row>40</xdr:row>
                    <xdr:rowOff>30480</xdr:rowOff>
                  </from>
                  <to>
                    <xdr:col>0</xdr:col>
                    <xdr:colOff>236220</xdr:colOff>
                    <xdr:row>40</xdr:row>
                    <xdr:rowOff>182880</xdr:rowOff>
                  </to>
                </anchor>
              </controlPr>
            </control>
          </mc:Choice>
        </mc:AlternateContent>
        <mc:AlternateContent xmlns:mc="http://schemas.openxmlformats.org/markup-compatibility/2006">
          <mc:Choice Requires="x14">
            <control shapeId="42992" r:id="rId33" name="Check Box 4080">
              <controlPr defaultSize="0" autoFill="0" autoLine="0" autoPict="0">
                <anchor moveWithCells="1">
                  <from>
                    <xdr:col>0</xdr:col>
                    <xdr:colOff>60960</xdr:colOff>
                    <xdr:row>41</xdr:row>
                    <xdr:rowOff>30480</xdr:rowOff>
                  </from>
                  <to>
                    <xdr:col>0</xdr:col>
                    <xdr:colOff>236220</xdr:colOff>
                    <xdr:row>41</xdr:row>
                    <xdr:rowOff>182880</xdr:rowOff>
                  </to>
                </anchor>
              </controlPr>
            </control>
          </mc:Choice>
        </mc:AlternateContent>
        <mc:AlternateContent xmlns:mc="http://schemas.openxmlformats.org/markup-compatibility/2006">
          <mc:Choice Requires="x14">
            <control shapeId="42993" r:id="rId34" name="Check Box 4081">
              <controlPr defaultSize="0" autoFill="0" autoLine="0" autoPict="0">
                <anchor moveWithCells="1">
                  <from>
                    <xdr:col>0</xdr:col>
                    <xdr:colOff>60960</xdr:colOff>
                    <xdr:row>42</xdr:row>
                    <xdr:rowOff>30480</xdr:rowOff>
                  </from>
                  <to>
                    <xdr:col>0</xdr:col>
                    <xdr:colOff>236220</xdr:colOff>
                    <xdr:row>42</xdr:row>
                    <xdr:rowOff>182880</xdr:rowOff>
                  </to>
                </anchor>
              </controlPr>
            </control>
          </mc:Choice>
        </mc:AlternateContent>
        <mc:AlternateContent xmlns:mc="http://schemas.openxmlformats.org/markup-compatibility/2006">
          <mc:Choice Requires="x14">
            <control shapeId="42994" r:id="rId35" name="Check Box 4082">
              <controlPr defaultSize="0" autoFill="0" autoLine="0" autoPict="0">
                <anchor moveWithCells="1">
                  <from>
                    <xdr:col>0</xdr:col>
                    <xdr:colOff>60960</xdr:colOff>
                    <xdr:row>43</xdr:row>
                    <xdr:rowOff>30480</xdr:rowOff>
                  </from>
                  <to>
                    <xdr:col>0</xdr:col>
                    <xdr:colOff>236220</xdr:colOff>
                    <xdr:row>43</xdr:row>
                    <xdr:rowOff>182880</xdr:rowOff>
                  </to>
                </anchor>
              </controlPr>
            </control>
          </mc:Choice>
        </mc:AlternateContent>
        <mc:AlternateContent xmlns:mc="http://schemas.openxmlformats.org/markup-compatibility/2006">
          <mc:Choice Requires="x14">
            <control shapeId="42995" r:id="rId36" name="Check Box 4083">
              <controlPr defaultSize="0" autoFill="0" autoLine="0" autoPict="0">
                <anchor moveWithCells="1">
                  <from>
                    <xdr:col>0</xdr:col>
                    <xdr:colOff>60960</xdr:colOff>
                    <xdr:row>44</xdr:row>
                    <xdr:rowOff>30480</xdr:rowOff>
                  </from>
                  <to>
                    <xdr:col>0</xdr:col>
                    <xdr:colOff>236220</xdr:colOff>
                    <xdr:row>44</xdr:row>
                    <xdr:rowOff>182880</xdr:rowOff>
                  </to>
                </anchor>
              </controlPr>
            </control>
          </mc:Choice>
        </mc:AlternateContent>
        <mc:AlternateContent xmlns:mc="http://schemas.openxmlformats.org/markup-compatibility/2006">
          <mc:Choice Requires="x14">
            <control shapeId="42996" r:id="rId37" name="Check Box 4084">
              <controlPr defaultSize="0" autoFill="0" autoLine="0" autoPict="0">
                <anchor moveWithCells="1">
                  <from>
                    <xdr:col>0</xdr:col>
                    <xdr:colOff>60960</xdr:colOff>
                    <xdr:row>45</xdr:row>
                    <xdr:rowOff>30480</xdr:rowOff>
                  </from>
                  <to>
                    <xdr:col>0</xdr:col>
                    <xdr:colOff>236220</xdr:colOff>
                    <xdr:row>45</xdr:row>
                    <xdr:rowOff>182880</xdr:rowOff>
                  </to>
                </anchor>
              </controlPr>
            </control>
          </mc:Choice>
        </mc:AlternateContent>
        <mc:AlternateContent xmlns:mc="http://schemas.openxmlformats.org/markup-compatibility/2006">
          <mc:Choice Requires="x14">
            <control shapeId="42997" r:id="rId38" name="Check Box 4085">
              <controlPr defaultSize="0" autoFill="0" autoLine="0" autoPict="0">
                <anchor moveWithCells="1">
                  <from>
                    <xdr:col>0</xdr:col>
                    <xdr:colOff>60960</xdr:colOff>
                    <xdr:row>46</xdr:row>
                    <xdr:rowOff>30480</xdr:rowOff>
                  </from>
                  <to>
                    <xdr:col>0</xdr:col>
                    <xdr:colOff>236220</xdr:colOff>
                    <xdr:row>46</xdr:row>
                    <xdr:rowOff>182880</xdr:rowOff>
                  </to>
                </anchor>
              </controlPr>
            </control>
          </mc:Choice>
        </mc:AlternateContent>
        <mc:AlternateContent xmlns:mc="http://schemas.openxmlformats.org/markup-compatibility/2006">
          <mc:Choice Requires="x14">
            <control shapeId="42998" r:id="rId39" name="Check Box 4086">
              <controlPr defaultSize="0" autoFill="0" autoLine="0" autoPict="0">
                <anchor moveWithCells="1">
                  <from>
                    <xdr:col>0</xdr:col>
                    <xdr:colOff>60960</xdr:colOff>
                    <xdr:row>47</xdr:row>
                    <xdr:rowOff>30480</xdr:rowOff>
                  </from>
                  <to>
                    <xdr:col>0</xdr:col>
                    <xdr:colOff>236220</xdr:colOff>
                    <xdr:row>47</xdr:row>
                    <xdr:rowOff>182880</xdr:rowOff>
                  </to>
                </anchor>
              </controlPr>
            </control>
          </mc:Choice>
        </mc:AlternateContent>
        <mc:AlternateContent xmlns:mc="http://schemas.openxmlformats.org/markup-compatibility/2006">
          <mc:Choice Requires="x14">
            <control shapeId="42999" r:id="rId40" name="Check Box 4087">
              <controlPr defaultSize="0" autoFill="0" autoLine="0" autoPict="0">
                <anchor moveWithCells="1">
                  <from>
                    <xdr:col>0</xdr:col>
                    <xdr:colOff>60960</xdr:colOff>
                    <xdr:row>48</xdr:row>
                    <xdr:rowOff>30480</xdr:rowOff>
                  </from>
                  <to>
                    <xdr:col>0</xdr:col>
                    <xdr:colOff>236220</xdr:colOff>
                    <xdr:row>48</xdr:row>
                    <xdr:rowOff>182880</xdr:rowOff>
                  </to>
                </anchor>
              </controlPr>
            </control>
          </mc:Choice>
        </mc:AlternateContent>
        <mc:AlternateContent xmlns:mc="http://schemas.openxmlformats.org/markup-compatibility/2006">
          <mc:Choice Requires="x14">
            <control shapeId="43000" r:id="rId41" name="Check Box 4088">
              <controlPr defaultSize="0" autoFill="0" autoLine="0" autoPict="0">
                <anchor moveWithCells="1">
                  <from>
                    <xdr:col>0</xdr:col>
                    <xdr:colOff>60960</xdr:colOff>
                    <xdr:row>49</xdr:row>
                    <xdr:rowOff>30480</xdr:rowOff>
                  </from>
                  <to>
                    <xdr:col>0</xdr:col>
                    <xdr:colOff>236220</xdr:colOff>
                    <xdr:row>49</xdr:row>
                    <xdr:rowOff>182880</xdr:rowOff>
                  </to>
                </anchor>
              </controlPr>
            </control>
          </mc:Choice>
        </mc:AlternateContent>
        <mc:AlternateContent xmlns:mc="http://schemas.openxmlformats.org/markup-compatibility/2006">
          <mc:Choice Requires="x14">
            <control shapeId="43001" r:id="rId42" name="Check Box 4089">
              <controlPr defaultSize="0" autoFill="0" autoLine="0" autoPict="0">
                <anchor moveWithCells="1">
                  <from>
                    <xdr:col>0</xdr:col>
                    <xdr:colOff>60960</xdr:colOff>
                    <xdr:row>50</xdr:row>
                    <xdr:rowOff>30480</xdr:rowOff>
                  </from>
                  <to>
                    <xdr:col>0</xdr:col>
                    <xdr:colOff>236220</xdr:colOff>
                    <xdr:row>50</xdr:row>
                    <xdr:rowOff>182880</xdr:rowOff>
                  </to>
                </anchor>
              </controlPr>
            </control>
          </mc:Choice>
        </mc:AlternateContent>
        <mc:AlternateContent xmlns:mc="http://schemas.openxmlformats.org/markup-compatibility/2006">
          <mc:Choice Requires="x14">
            <control shapeId="43002" r:id="rId43" name="Check Box 4090">
              <controlPr defaultSize="0" autoFill="0" autoLine="0" autoPict="0">
                <anchor moveWithCells="1">
                  <from>
                    <xdr:col>0</xdr:col>
                    <xdr:colOff>60960</xdr:colOff>
                    <xdr:row>51</xdr:row>
                    <xdr:rowOff>30480</xdr:rowOff>
                  </from>
                  <to>
                    <xdr:col>0</xdr:col>
                    <xdr:colOff>236220</xdr:colOff>
                    <xdr:row>51</xdr:row>
                    <xdr:rowOff>182880</xdr:rowOff>
                  </to>
                </anchor>
              </controlPr>
            </control>
          </mc:Choice>
        </mc:AlternateContent>
        <mc:AlternateContent xmlns:mc="http://schemas.openxmlformats.org/markup-compatibility/2006">
          <mc:Choice Requires="x14">
            <control shapeId="43003" r:id="rId44" name="Check Box 4091">
              <controlPr defaultSize="0" autoFill="0" autoLine="0" autoPict="0">
                <anchor moveWithCells="1">
                  <from>
                    <xdr:col>0</xdr:col>
                    <xdr:colOff>60960</xdr:colOff>
                    <xdr:row>52</xdr:row>
                    <xdr:rowOff>30480</xdr:rowOff>
                  </from>
                  <to>
                    <xdr:col>0</xdr:col>
                    <xdr:colOff>236220</xdr:colOff>
                    <xdr:row>52</xdr:row>
                    <xdr:rowOff>182880</xdr:rowOff>
                  </to>
                </anchor>
              </controlPr>
            </control>
          </mc:Choice>
        </mc:AlternateContent>
        <mc:AlternateContent xmlns:mc="http://schemas.openxmlformats.org/markup-compatibility/2006">
          <mc:Choice Requires="x14">
            <control shapeId="43004" r:id="rId45" name="Check Box 4092">
              <controlPr defaultSize="0" autoFill="0" autoLine="0" autoPict="0">
                <anchor moveWithCells="1">
                  <from>
                    <xdr:col>0</xdr:col>
                    <xdr:colOff>60960</xdr:colOff>
                    <xdr:row>53</xdr:row>
                    <xdr:rowOff>30480</xdr:rowOff>
                  </from>
                  <to>
                    <xdr:col>0</xdr:col>
                    <xdr:colOff>236220</xdr:colOff>
                    <xdr:row>53</xdr:row>
                    <xdr:rowOff>182880</xdr:rowOff>
                  </to>
                </anchor>
              </controlPr>
            </control>
          </mc:Choice>
        </mc:AlternateContent>
        <mc:AlternateContent xmlns:mc="http://schemas.openxmlformats.org/markup-compatibility/2006">
          <mc:Choice Requires="x14">
            <control shapeId="43005" r:id="rId46" name="Check Box 4093">
              <controlPr defaultSize="0" autoFill="0" autoLine="0" autoPict="0">
                <anchor moveWithCells="1">
                  <from>
                    <xdr:col>0</xdr:col>
                    <xdr:colOff>60960</xdr:colOff>
                    <xdr:row>54</xdr:row>
                    <xdr:rowOff>30480</xdr:rowOff>
                  </from>
                  <to>
                    <xdr:col>0</xdr:col>
                    <xdr:colOff>236220</xdr:colOff>
                    <xdr:row>54</xdr:row>
                    <xdr:rowOff>182880</xdr:rowOff>
                  </to>
                </anchor>
              </controlPr>
            </control>
          </mc:Choice>
        </mc:AlternateContent>
        <mc:AlternateContent xmlns:mc="http://schemas.openxmlformats.org/markup-compatibility/2006">
          <mc:Choice Requires="x14">
            <control shapeId="43006" r:id="rId47" name="Check Box 4094">
              <controlPr defaultSize="0" autoFill="0" autoLine="0" autoPict="0">
                <anchor moveWithCells="1">
                  <from>
                    <xdr:col>0</xdr:col>
                    <xdr:colOff>60960</xdr:colOff>
                    <xdr:row>55</xdr:row>
                    <xdr:rowOff>30480</xdr:rowOff>
                  </from>
                  <to>
                    <xdr:col>0</xdr:col>
                    <xdr:colOff>236220</xdr:colOff>
                    <xdr:row>55</xdr:row>
                    <xdr:rowOff>182880</xdr:rowOff>
                  </to>
                </anchor>
              </controlPr>
            </control>
          </mc:Choice>
        </mc:AlternateContent>
        <mc:AlternateContent xmlns:mc="http://schemas.openxmlformats.org/markup-compatibility/2006">
          <mc:Choice Requires="x14">
            <control shapeId="43007" r:id="rId48" name="Check Box 4095">
              <controlPr defaultSize="0" autoFill="0" autoLine="0" autoPict="0">
                <anchor moveWithCells="1">
                  <from>
                    <xdr:col>0</xdr:col>
                    <xdr:colOff>60960</xdr:colOff>
                    <xdr:row>56</xdr:row>
                    <xdr:rowOff>30480</xdr:rowOff>
                  </from>
                  <to>
                    <xdr:col>0</xdr:col>
                    <xdr:colOff>236220</xdr:colOff>
                    <xdr:row>56</xdr:row>
                    <xdr:rowOff>182880</xdr:rowOff>
                  </to>
                </anchor>
              </controlPr>
            </control>
          </mc:Choice>
        </mc:AlternateContent>
        <mc:AlternateContent xmlns:mc="http://schemas.openxmlformats.org/markup-compatibility/2006">
          <mc:Choice Requires="x14">
            <control shapeId="64512" r:id="rId49" name="Check Box 4096">
              <controlPr defaultSize="0" autoFill="0" autoLine="0" autoPict="0">
                <anchor moveWithCells="1">
                  <from>
                    <xdr:col>0</xdr:col>
                    <xdr:colOff>60960</xdr:colOff>
                    <xdr:row>57</xdr:row>
                    <xdr:rowOff>30480</xdr:rowOff>
                  </from>
                  <to>
                    <xdr:col>0</xdr:col>
                    <xdr:colOff>236220</xdr:colOff>
                    <xdr:row>57</xdr:row>
                    <xdr:rowOff>182880</xdr:rowOff>
                  </to>
                </anchor>
              </controlPr>
            </control>
          </mc:Choice>
        </mc:AlternateContent>
        <mc:AlternateContent xmlns:mc="http://schemas.openxmlformats.org/markup-compatibility/2006">
          <mc:Choice Requires="x14">
            <control shapeId="64513" r:id="rId50" name="Check Box 4097">
              <controlPr defaultSize="0" autoFill="0" autoLine="0" autoPict="0">
                <anchor moveWithCells="1">
                  <from>
                    <xdr:col>0</xdr:col>
                    <xdr:colOff>60960</xdr:colOff>
                    <xdr:row>58</xdr:row>
                    <xdr:rowOff>30480</xdr:rowOff>
                  </from>
                  <to>
                    <xdr:col>0</xdr:col>
                    <xdr:colOff>236220</xdr:colOff>
                    <xdr:row>58</xdr:row>
                    <xdr:rowOff>182880</xdr:rowOff>
                  </to>
                </anchor>
              </controlPr>
            </control>
          </mc:Choice>
        </mc:AlternateContent>
        <mc:AlternateContent xmlns:mc="http://schemas.openxmlformats.org/markup-compatibility/2006">
          <mc:Choice Requires="x14">
            <control shapeId="64514" r:id="rId51" name="Check Box 4098">
              <controlPr defaultSize="0" autoFill="0" autoLine="0" autoPict="0">
                <anchor moveWithCells="1">
                  <from>
                    <xdr:col>0</xdr:col>
                    <xdr:colOff>60960</xdr:colOff>
                    <xdr:row>59</xdr:row>
                    <xdr:rowOff>30480</xdr:rowOff>
                  </from>
                  <to>
                    <xdr:col>0</xdr:col>
                    <xdr:colOff>236220</xdr:colOff>
                    <xdr:row>59</xdr:row>
                    <xdr:rowOff>182880</xdr:rowOff>
                  </to>
                </anchor>
              </controlPr>
            </control>
          </mc:Choice>
        </mc:AlternateContent>
        <mc:AlternateContent xmlns:mc="http://schemas.openxmlformats.org/markup-compatibility/2006">
          <mc:Choice Requires="x14">
            <control shapeId="64515" r:id="rId52" name="Check Box 4099">
              <controlPr defaultSize="0" autoFill="0" autoLine="0" autoPict="0">
                <anchor moveWithCells="1">
                  <from>
                    <xdr:col>0</xdr:col>
                    <xdr:colOff>60960</xdr:colOff>
                    <xdr:row>60</xdr:row>
                    <xdr:rowOff>30480</xdr:rowOff>
                  </from>
                  <to>
                    <xdr:col>0</xdr:col>
                    <xdr:colOff>236220</xdr:colOff>
                    <xdr:row>60</xdr:row>
                    <xdr:rowOff>182880</xdr:rowOff>
                  </to>
                </anchor>
              </controlPr>
            </control>
          </mc:Choice>
        </mc:AlternateContent>
        <mc:AlternateContent xmlns:mc="http://schemas.openxmlformats.org/markup-compatibility/2006">
          <mc:Choice Requires="x14">
            <control shapeId="64516" r:id="rId53" name="Check Box 4100">
              <controlPr defaultSize="0" autoFill="0" autoLine="0" autoPict="0">
                <anchor moveWithCells="1">
                  <from>
                    <xdr:col>0</xdr:col>
                    <xdr:colOff>60960</xdr:colOff>
                    <xdr:row>61</xdr:row>
                    <xdr:rowOff>30480</xdr:rowOff>
                  </from>
                  <to>
                    <xdr:col>0</xdr:col>
                    <xdr:colOff>236220</xdr:colOff>
                    <xdr:row>61</xdr:row>
                    <xdr:rowOff>182880</xdr:rowOff>
                  </to>
                </anchor>
              </controlPr>
            </control>
          </mc:Choice>
        </mc:AlternateContent>
        <mc:AlternateContent xmlns:mc="http://schemas.openxmlformats.org/markup-compatibility/2006">
          <mc:Choice Requires="x14">
            <control shapeId="64517" r:id="rId54" name="Check Box 4101">
              <controlPr defaultSize="0" autoFill="0" autoLine="0" autoPict="0">
                <anchor moveWithCells="1">
                  <from>
                    <xdr:col>0</xdr:col>
                    <xdr:colOff>60960</xdr:colOff>
                    <xdr:row>62</xdr:row>
                    <xdr:rowOff>30480</xdr:rowOff>
                  </from>
                  <to>
                    <xdr:col>0</xdr:col>
                    <xdr:colOff>236220</xdr:colOff>
                    <xdr:row>62</xdr:row>
                    <xdr:rowOff>182880</xdr:rowOff>
                  </to>
                </anchor>
              </controlPr>
            </control>
          </mc:Choice>
        </mc:AlternateContent>
        <mc:AlternateContent xmlns:mc="http://schemas.openxmlformats.org/markup-compatibility/2006">
          <mc:Choice Requires="x14">
            <control shapeId="64518" r:id="rId55" name="Check Box 4102">
              <controlPr defaultSize="0" autoFill="0" autoLine="0" autoPict="0">
                <anchor moveWithCells="1">
                  <from>
                    <xdr:col>0</xdr:col>
                    <xdr:colOff>60960</xdr:colOff>
                    <xdr:row>63</xdr:row>
                    <xdr:rowOff>30480</xdr:rowOff>
                  </from>
                  <to>
                    <xdr:col>0</xdr:col>
                    <xdr:colOff>236220</xdr:colOff>
                    <xdr:row>63</xdr:row>
                    <xdr:rowOff>182880</xdr:rowOff>
                  </to>
                </anchor>
              </controlPr>
            </control>
          </mc:Choice>
        </mc:AlternateContent>
        <mc:AlternateContent xmlns:mc="http://schemas.openxmlformats.org/markup-compatibility/2006">
          <mc:Choice Requires="x14">
            <control shapeId="64519" r:id="rId56" name="Check Box 4103">
              <controlPr defaultSize="0" autoFill="0" autoLine="0" autoPict="0">
                <anchor moveWithCells="1">
                  <from>
                    <xdr:col>0</xdr:col>
                    <xdr:colOff>60960</xdr:colOff>
                    <xdr:row>64</xdr:row>
                    <xdr:rowOff>30480</xdr:rowOff>
                  </from>
                  <to>
                    <xdr:col>0</xdr:col>
                    <xdr:colOff>236220</xdr:colOff>
                    <xdr:row>64</xdr:row>
                    <xdr:rowOff>182880</xdr:rowOff>
                  </to>
                </anchor>
              </controlPr>
            </control>
          </mc:Choice>
        </mc:AlternateContent>
        <mc:AlternateContent xmlns:mc="http://schemas.openxmlformats.org/markup-compatibility/2006">
          <mc:Choice Requires="x14">
            <control shapeId="64520" r:id="rId57" name="Check Box 4104">
              <controlPr defaultSize="0" autoFill="0" autoLine="0" autoPict="0">
                <anchor moveWithCells="1">
                  <from>
                    <xdr:col>0</xdr:col>
                    <xdr:colOff>60960</xdr:colOff>
                    <xdr:row>65</xdr:row>
                    <xdr:rowOff>30480</xdr:rowOff>
                  </from>
                  <to>
                    <xdr:col>0</xdr:col>
                    <xdr:colOff>236220</xdr:colOff>
                    <xdr:row>65</xdr:row>
                    <xdr:rowOff>182880</xdr:rowOff>
                  </to>
                </anchor>
              </controlPr>
            </control>
          </mc:Choice>
        </mc:AlternateContent>
        <mc:AlternateContent xmlns:mc="http://schemas.openxmlformats.org/markup-compatibility/2006">
          <mc:Choice Requires="x14">
            <control shapeId="64521" r:id="rId58" name="Check Box 4105">
              <controlPr defaultSize="0" autoFill="0" autoLine="0" autoPict="0">
                <anchor moveWithCells="1">
                  <from>
                    <xdr:col>0</xdr:col>
                    <xdr:colOff>60960</xdr:colOff>
                    <xdr:row>66</xdr:row>
                    <xdr:rowOff>30480</xdr:rowOff>
                  </from>
                  <to>
                    <xdr:col>0</xdr:col>
                    <xdr:colOff>236220</xdr:colOff>
                    <xdr:row>66</xdr:row>
                    <xdr:rowOff>182880</xdr:rowOff>
                  </to>
                </anchor>
              </controlPr>
            </control>
          </mc:Choice>
        </mc:AlternateContent>
        <mc:AlternateContent xmlns:mc="http://schemas.openxmlformats.org/markup-compatibility/2006">
          <mc:Choice Requires="x14">
            <control shapeId="64522" r:id="rId59" name="Check Box 4106">
              <controlPr defaultSize="0" autoFill="0" autoLine="0" autoPict="0">
                <anchor moveWithCells="1">
                  <from>
                    <xdr:col>0</xdr:col>
                    <xdr:colOff>60960</xdr:colOff>
                    <xdr:row>67</xdr:row>
                    <xdr:rowOff>30480</xdr:rowOff>
                  </from>
                  <to>
                    <xdr:col>0</xdr:col>
                    <xdr:colOff>236220</xdr:colOff>
                    <xdr:row>67</xdr:row>
                    <xdr:rowOff>182880</xdr:rowOff>
                  </to>
                </anchor>
              </controlPr>
            </control>
          </mc:Choice>
        </mc:AlternateContent>
        <mc:AlternateContent xmlns:mc="http://schemas.openxmlformats.org/markup-compatibility/2006">
          <mc:Choice Requires="x14">
            <control shapeId="64523" r:id="rId60" name="Check Box 4107">
              <controlPr defaultSize="0" autoFill="0" autoLine="0" autoPict="0">
                <anchor moveWithCells="1">
                  <from>
                    <xdr:col>0</xdr:col>
                    <xdr:colOff>60960</xdr:colOff>
                    <xdr:row>68</xdr:row>
                    <xdr:rowOff>30480</xdr:rowOff>
                  </from>
                  <to>
                    <xdr:col>0</xdr:col>
                    <xdr:colOff>236220</xdr:colOff>
                    <xdr:row>68</xdr:row>
                    <xdr:rowOff>182880</xdr:rowOff>
                  </to>
                </anchor>
              </controlPr>
            </control>
          </mc:Choice>
        </mc:AlternateContent>
        <mc:AlternateContent xmlns:mc="http://schemas.openxmlformats.org/markup-compatibility/2006">
          <mc:Choice Requires="x14">
            <control shapeId="64524" r:id="rId61" name="Check Box 4108">
              <controlPr defaultSize="0" autoFill="0" autoLine="0" autoPict="0">
                <anchor moveWithCells="1">
                  <from>
                    <xdr:col>0</xdr:col>
                    <xdr:colOff>60960</xdr:colOff>
                    <xdr:row>69</xdr:row>
                    <xdr:rowOff>30480</xdr:rowOff>
                  </from>
                  <to>
                    <xdr:col>0</xdr:col>
                    <xdr:colOff>236220</xdr:colOff>
                    <xdr:row>69</xdr:row>
                    <xdr:rowOff>182880</xdr:rowOff>
                  </to>
                </anchor>
              </controlPr>
            </control>
          </mc:Choice>
        </mc:AlternateContent>
        <mc:AlternateContent xmlns:mc="http://schemas.openxmlformats.org/markup-compatibility/2006">
          <mc:Choice Requires="x14">
            <control shapeId="64525" r:id="rId62" name="Check Box 4109">
              <controlPr defaultSize="0" autoFill="0" autoLine="0" autoPict="0">
                <anchor moveWithCells="1">
                  <from>
                    <xdr:col>0</xdr:col>
                    <xdr:colOff>60960</xdr:colOff>
                    <xdr:row>70</xdr:row>
                    <xdr:rowOff>30480</xdr:rowOff>
                  </from>
                  <to>
                    <xdr:col>0</xdr:col>
                    <xdr:colOff>236220</xdr:colOff>
                    <xdr:row>70</xdr:row>
                    <xdr:rowOff>182880</xdr:rowOff>
                  </to>
                </anchor>
              </controlPr>
            </control>
          </mc:Choice>
        </mc:AlternateContent>
        <mc:AlternateContent xmlns:mc="http://schemas.openxmlformats.org/markup-compatibility/2006">
          <mc:Choice Requires="x14">
            <control shapeId="64526" r:id="rId63" name="Check Box 4110">
              <controlPr defaultSize="0" autoFill="0" autoLine="0" autoPict="0">
                <anchor moveWithCells="1">
                  <from>
                    <xdr:col>0</xdr:col>
                    <xdr:colOff>60960</xdr:colOff>
                    <xdr:row>71</xdr:row>
                    <xdr:rowOff>30480</xdr:rowOff>
                  </from>
                  <to>
                    <xdr:col>0</xdr:col>
                    <xdr:colOff>236220</xdr:colOff>
                    <xdr:row>71</xdr:row>
                    <xdr:rowOff>182880</xdr:rowOff>
                  </to>
                </anchor>
              </controlPr>
            </control>
          </mc:Choice>
        </mc:AlternateContent>
        <mc:AlternateContent xmlns:mc="http://schemas.openxmlformats.org/markup-compatibility/2006">
          <mc:Choice Requires="x14">
            <control shapeId="64527" r:id="rId64" name="Check Box 4111">
              <controlPr defaultSize="0" autoFill="0" autoLine="0" autoPict="0">
                <anchor moveWithCells="1">
                  <from>
                    <xdr:col>0</xdr:col>
                    <xdr:colOff>60960</xdr:colOff>
                    <xdr:row>72</xdr:row>
                    <xdr:rowOff>30480</xdr:rowOff>
                  </from>
                  <to>
                    <xdr:col>0</xdr:col>
                    <xdr:colOff>236220</xdr:colOff>
                    <xdr:row>72</xdr:row>
                    <xdr:rowOff>182880</xdr:rowOff>
                  </to>
                </anchor>
              </controlPr>
            </control>
          </mc:Choice>
        </mc:AlternateContent>
        <mc:AlternateContent xmlns:mc="http://schemas.openxmlformats.org/markup-compatibility/2006">
          <mc:Choice Requires="x14">
            <control shapeId="64528" r:id="rId65" name="Check Box 4112">
              <controlPr defaultSize="0" autoFill="0" autoLine="0" autoPict="0">
                <anchor moveWithCells="1">
                  <from>
                    <xdr:col>0</xdr:col>
                    <xdr:colOff>60960</xdr:colOff>
                    <xdr:row>73</xdr:row>
                    <xdr:rowOff>30480</xdr:rowOff>
                  </from>
                  <to>
                    <xdr:col>0</xdr:col>
                    <xdr:colOff>236220</xdr:colOff>
                    <xdr:row>73</xdr:row>
                    <xdr:rowOff>182880</xdr:rowOff>
                  </to>
                </anchor>
              </controlPr>
            </control>
          </mc:Choice>
        </mc:AlternateContent>
        <mc:AlternateContent xmlns:mc="http://schemas.openxmlformats.org/markup-compatibility/2006">
          <mc:Choice Requires="x14">
            <control shapeId="64529" r:id="rId66" name="Check Box 4113">
              <controlPr defaultSize="0" autoFill="0" autoLine="0" autoPict="0">
                <anchor moveWithCells="1">
                  <from>
                    <xdr:col>0</xdr:col>
                    <xdr:colOff>60960</xdr:colOff>
                    <xdr:row>74</xdr:row>
                    <xdr:rowOff>30480</xdr:rowOff>
                  </from>
                  <to>
                    <xdr:col>0</xdr:col>
                    <xdr:colOff>236220</xdr:colOff>
                    <xdr:row>74</xdr:row>
                    <xdr:rowOff>182880</xdr:rowOff>
                  </to>
                </anchor>
              </controlPr>
            </control>
          </mc:Choice>
        </mc:AlternateContent>
        <mc:AlternateContent xmlns:mc="http://schemas.openxmlformats.org/markup-compatibility/2006">
          <mc:Choice Requires="x14">
            <control shapeId="64530" r:id="rId67" name="Check Box 4114">
              <controlPr defaultSize="0" autoFill="0" autoLine="0" autoPict="0">
                <anchor moveWithCells="1">
                  <from>
                    <xdr:col>0</xdr:col>
                    <xdr:colOff>60960</xdr:colOff>
                    <xdr:row>75</xdr:row>
                    <xdr:rowOff>30480</xdr:rowOff>
                  </from>
                  <to>
                    <xdr:col>0</xdr:col>
                    <xdr:colOff>236220</xdr:colOff>
                    <xdr:row>75</xdr:row>
                    <xdr:rowOff>182880</xdr:rowOff>
                  </to>
                </anchor>
              </controlPr>
            </control>
          </mc:Choice>
        </mc:AlternateContent>
        <mc:AlternateContent xmlns:mc="http://schemas.openxmlformats.org/markup-compatibility/2006">
          <mc:Choice Requires="x14">
            <control shapeId="64531" r:id="rId68" name="Check Box 4115">
              <controlPr defaultSize="0" autoFill="0" autoLine="0" autoPict="0">
                <anchor moveWithCells="1">
                  <from>
                    <xdr:col>0</xdr:col>
                    <xdr:colOff>60960</xdr:colOff>
                    <xdr:row>76</xdr:row>
                    <xdr:rowOff>30480</xdr:rowOff>
                  </from>
                  <to>
                    <xdr:col>0</xdr:col>
                    <xdr:colOff>236220</xdr:colOff>
                    <xdr:row>76</xdr:row>
                    <xdr:rowOff>182880</xdr:rowOff>
                  </to>
                </anchor>
              </controlPr>
            </control>
          </mc:Choice>
        </mc:AlternateContent>
        <mc:AlternateContent xmlns:mc="http://schemas.openxmlformats.org/markup-compatibility/2006">
          <mc:Choice Requires="x14">
            <control shapeId="64532" r:id="rId69" name="Check Box 4116">
              <controlPr defaultSize="0" autoFill="0" autoLine="0" autoPict="0">
                <anchor moveWithCells="1">
                  <from>
                    <xdr:col>0</xdr:col>
                    <xdr:colOff>60960</xdr:colOff>
                    <xdr:row>77</xdr:row>
                    <xdr:rowOff>30480</xdr:rowOff>
                  </from>
                  <to>
                    <xdr:col>0</xdr:col>
                    <xdr:colOff>236220</xdr:colOff>
                    <xdr:row>77</xdr:row>
                    <xdr:rowOff>182880</xdr:rowOff>
                  </to>
                </anchor>
              </controlPr>
            </control>
          </mc:Choice>
        </mc:AlternateContent>
        <mc:AlternateContent xmlns:mc="http://schemas.openxmlformats.org/markup-compatibility/2006">
          <mc:Choice Requires="x14">
            <control shapeId="64533" r:id="rId70" name="Check Box 4117">
              <controlPr defaultSize="0" autoFill="0" autoLine="0" autoPict="0">
                <anchor moveWithCells="1">
                  <from>
                    <xdr:col>0</xdr:col>
                    <xdr:colOff>60960</xdr:colOff>
                    <xdr:row>78</xdr:row>
                    <xdr:rowOff>30480</xdr:rowOff>
                  </from>
                  <to>
                    <xdr:col>0</xdr:col>
                    <xdr:colOff>236220</xdr:colOff>
                    <xdr:row>78</xdr:row>
                    <xdr:rowOff>182880</xdr:rowOff>
                  </to>
                </anchor>
              </controlPr>
            </control>
          </mc:Choice>
        </mc:AlternateContent>
        <mc:AlternateContent xmlns:mc="http://schemas.openxmlformats.org/markup-compatibility/2006">
          <mc:Choice Requires="x14">
            <control shapeId="64534" r:id="rId71" name="Check Box 4118">
              <controlPr defaultSize="0" autoFill="0" autoLine="0" autoPict="0">
                <anchor moveWithCells="1">
                  <from>
                    <xdr:col>0</xdr:col>
                    <xdr:colOff>60960</xdr:colOff>
                    <xdr:row>79</xdr:row>
                    <xdr:rowOff>30480</xdr:rowOff>
                  </from>
                  <to>
                    <xdr:col>0</xdr:col>
                    <xdr:colOff>236220</xdr:colOff>
                    <xdr:row>79</xdr:row>
                    <xdr:rowOff>182880</xdr:rowOff>
                  </to>
                </anchor>
              </controlPr>
            </control>
          </mc:Choice>
        </mc:AlternateContent>
        <mc:AlternateContent xmlns:mc="http://schemas.openxmlformats.org/markup-compatibility/2006">
          <mc:Choice Requires="x14">
            <control shapeId="64535" r:id="rId72" name="Check Box 4119">
              <controlPr defaultSize="0" autoFill="0" autoLine="0" autoPict="0">
                <anchor moveWithCells="1">
                  <from>
                    <xdr:col>0</xdr:col>
                    <xdr:colOff>60960</xdr:colOff>
                    <xdr:row>80</xdr:row>
                    <xdr:rowOff>30480</xdr:rowOff>
                  </from>
                  <to>
                    <xdr:col>0</xdr:col>
                    <xdr:colOff>236220</xdr:colOff>
                    <xdr:row>80</xdr:row>
                    <xdr:rowOff>182880</xdr:rowOff>
                  </to>
                </anchor>
              </controlPr>
            </control>
          </mc:Choice>
        </mc:AlternateContent>
        <mc:AlternateContent xmlns:mc="http://schemas.openxmlformats.org/markup-compatibility/2006">
          <mc:Choice Requires="x14">
            <control shapeId="64536" r:id="rId73" name="Check Box 4120">
              <controlPr defaultSize="0" autoFill="0" autoLine="0" autoPict="0">
                <anchor moveWithCells="1">
                  <from>
                    <xdr:col>0</xdr:col>
                    <xdr:colOff>60960</xdr:colOff>
                    <xdr:row>81</xdr:row>
                    <xdr:rowOff>30480</xdr:rowOff>
                  </from>
                  <to>
                    <xdr:col>0</xdr:col>
                    <xdr:colOff>236220</xdr:colOff>
                    <xdr:row>81</xdr:row>
                    <xdr:rowOff>182880</xdr:rowOff>
                  </to>
                </anchor>
              </controlPr>
            </control>
          </mc:Choice>
        </mc:AlternateContent>
        <mc:AlternateContent xmlns:mc="http://schemas.openxmlformats.org/markup-compatibility/2006">
          <mc:Choice Requires="x14">
            <control shapeId="64537" r:id="rId74" name="Check Box 4121">
              <controlPr defaultSize="0" autoFill="0" autoLine="0" autoPict="0">
                <anchor moveWithCells="1">
                  <from>
                    <xdr:col>0</xdr:col>
                    <xdr:colOff>60960</xdr:colOff>
                    <xdr:row>82</xdr:row>
                    <xdr:rowOff>30480</xdr:rowOff>
                  </from>
                  <to>
                    <xdr:col>0</xdr:col>
                    <xdr:colOff>236220</xdr:colOff>
                    <xdr:row>82</xdr:row>
                    <xdr:rowOff>182880</xdr:rowOff>
                  </to>
                </anchor>
              </controlPr>
            </control>
          </mc:Choice>
        </mc:AlternateContent>
        <mc:AlternateContent xmlns:mc="http://schemas.openxmlformats.org/markup-compatibility/2006">
          <mc:Choice Requires="x14">
            <control shapeId="64538" r:id="rId75" name="Check Box 4122">
              <controlPr defaultSize="0" autoFill="0" autoLine="0" autoPict="0">
                <anchor moveWithCells="1">
                  <from>
                    <xdr:col>0</xdr:col>
                    <xdr:colOff>60960</xdr:colOff>
                    <xdr:row>83</xdr:row>
                    <xdr:rowOff>30480</xdr:rowOff>
                  </from>
                  <to>
                    <xdr:col>0</xdr:col>
                    <xdr:colOff>236220</xdr:colOff>
                    <xdr:row>83</xdr:row>
                    <xdr:rowOff>182880</xdr:rowOff>
                  </to>
                </anchor>
              </controlPr>
            </control>
          </mc:Choice>
        </mc:AlternateContent>
        <mc:AlternateContent xmlns:mc="http://schemas.openxmlformats.org/markup-compatibility/2006">
          <mc:Choice Requires="x14">
            <control shapeId="64539" r:id="rId76" name="Check Box 4123">
              <controlPr defaultSize="0" autoFill="0" autoLine="0" autoPict="0">
                <anchor moveWithCells="1">
                  <from>
                    <xdr:col>0</xdr:col>
                    <xdr:colOff>60960</xdr:colOff>
                    <xdr:row>84</xdr:row>
                    <xdr:rowOff>30480</xdr:rowOff>
                  </from>
                  <to>
                    <xdr:col>0</xdr:col>
                    <xdr:colOff>236220</xdr:colOff>
                    <xdr:row>84</xdr:row>
                    <xdr:rowOff>182880</xdr:rowOff>
                  </to>
                </anchor>
              </controlPr>
            </control>
          </mc:Choice>
        </mc:AlternateContent>
        <mc:AlternateContent xmlns:mc="http://schemas.openxmlformats.org/markup-compatibility/2006">
          <mc:Choice Requires="x14">
            <control shapeId="64540" r:id="rId77" name="Check Box 4124">
              <controlPr defaultSize="0" autoFill="0" autoLine="0" autoPict="0">
                <anchor moveWithCells="1">
                  <from>
                    <xdr:col>0</xdr:col>
                    <xdr:colOff>60960</xdr:colOff>
                    <xdr:row>85</xdr:row>
                    <xdr:rowOff>30480</xdr:rowOff>
                  </from>
                  <to>
                    <xdr:col>0</xdr:col>
                    <xdr:colOff>236220</xdr:colOff>
                    <xdr:row>85</xdr:row>
                    <xdr:rowOff>182880</xdr:rowOff>
                  </to>
                </anchor>
              </controlPr>
            </control>
          </mc:Choice>
        </mc:AlternateContent>
        <mc:AlternateContent xmlns:mc="http://schemas.openxmlformats.org/markup-compatibility/2006">
          <mc:Choice Requires="x14">
            <control shapeId="64541" r:id="rId78" name="Check Box 4125">
              <controlPr defaultSize="0" autoFill="0" autoLine="0" autoPict="0">
                <anchor moveWithCells="1">
                  <from>
                    <xdr:col>0</xdr:col>
                    <xdr:colOff>60960</xdr:colOff>
                    <xdr:row>86</xdr:row>
                    <xdr:rowOff>30480</xdr:rowOff>
                  </from>
                  <to>
                    <xdr:col>0</xdr:col>
                    <xdr:colOff>236220</xdr:colOff>
                    <xdr:row>86</xdr:row>
                    <xdr:rowOff>182880</xdr:rowOff>
                  </to>
                </anchor>
              </controlPr>
            </control>
          </mc:Choice>
        </mc:AlternateContent>
        <mc:AlternateContent xmlns:mc="http://schemas.openxmlformats.org/markup-compatibility/2006">
          <mc:Choice Requires="x14">
            <control shapeId="64542" r:id="rId79" name="Check Box 4126">
              <controlPr defaultSize="0" autoFill="0" autoLine="0" autoPict="0">
                <anchor moveWithCells="1">
                  <from>
                    <xdr:col>0</xdr:col>
                    <xdr:colOff>60960</xdr:colOff>
                    <xdr:row>87</xdr:row>
                    <xdr:rowOff>30480</xdr:rowOff>
                  </from>
                  <to>
                    <xdr:col>0</xdr:col>
                    <xdr:colOff>236220</xdr:colOff>
                    <xdr:row>87</xdr:row>
                    <xdr:rowOff>182880</xdr:rowOff>
                  </to>
                </anchor>
              </controlPr>
            </control>
          </mc:Choice>
        </mc:AlternateContent>
        <mc:AlternateContent xmlns:mc="http://schemas.openxmlformats.org/markup-compatibility/2006">
          <mc:Choice Requires="x14">
            <control shapeId="64543" r:id="rId80" name="Check Box 4127">
              <controlPr defaultSize="0" autoFill="0" autoLine="0" autoPict="0">
                <anchor moveWithCells="1">
                  <from>
                    <xdr:col>0</xdr:col>
                    <xdr:colOff>60960</xdr:colOff>
                    <xdr:row>88</xdr:row>
                    <xdr:rowOff>30480</xdr:rowOff>
                  </from>
                  <to>
                    <xdr:col>0</xdr:col>
                    <xdr:colOff>236220</xdr:colOff>
                    <xdr:row>88</xdr:row>
                    <xdr:rowOff>182880</xdr:rowOff>
                  </to>
                </anchor>
              </controlPr>
            </control>
          </mc:Choice>
        </mc:AlternateContent>
        <mc:AlternateContent xmlns:mc="http://schemas.openxmlformats.org/markup-compatibility/2006">
          <mc:Choice Requires="x14">
            <control shapeId="64544" r:id="rId81" name="Check Box 4128">
              <controlPr defaultSize="0" autoFill="0" autoLine="0" autoPict="0">
                <anchor moveWithCells="1">
                  <from>
                    <xdr:col>0</xdr:col>
                    <xdr:colOff>60960</xdr:colOff>
                    <xdr:row>89</xdr:row>
                    <xdr:rowOff>30480</xdr:rowOff>
                  </from>
                  <to>
                    <xdr:col>0</xdr:col>
                    <xdr:colOff>236220</xdr:colOff>
                    <xdr:row>89</xdr:row>
                    <xdr:rowOff>182880</xdr:rowOff>
                  </to>
                </anchor>
              </controlPr>
            </control>
          </mc:Choice>
        </mc:AlternateContent>
        <mc:AlternateContent xmlns:mc="http://schemas.openxmlformats.org/markup-compatibility/2006">
          <mc:Choice Requires="x14">
            <control shapeId="64545" r:id="rId82" name="Check Box 4129">
              <controlPr defaultSize="0" autoFill="0" autoLine="0" autoPict="0">
                <anchor moveWithCells="1">
                  <from>
                    <xdr:col>0</xdr:col>
                    <xdr:colOff>60960</xdr:colOff>
                    <xdr:row>90</xdr:row>
                    <xdr:rowOff>30480</xdr:rowOff>
                  </from>
                  <to>
                    <xdr:col>0</xdr:col>
                    <xdr:colOff>236220</xdr:colOff>
                    <xdr:row>90</xdr:row>
                    <xdr:rowOff>182880</xdr:rowOff>
                  </to>
                </anchor>
              </controlPr>
            </control>
          </mc:Choice>
        </mc:AlternateContent>
        <mc:AlternateContent xmlns:mc="http://schemas.openxmlformats.org/markup-compatibility/2006">
          <mc:Choice Requires="x14">
            <control shapeId="64546" r:id="rId83" name="Check Box 4130">
              <controlPr defaultSize="0" autoFill="0" autoLine="0" autoPict="0">
                <anchor moveWithCells="1">
                  <from>
                    <xdr:col>0</xdr:col>
                    <xdr:colOff>60960</xdr:colOff>
                    <xdr:row>91</xdr:row>
                    <xdr:rowOff>30480</xdr:rowOff>
                  </from>
                  <to>
                    <xdr:col>0</xdr:col>
                    <xdr:colOff>236220</xdr:colOff>
                    <xdr:row>91</xdr:row>
                    <xdr:rowOff>182880</xdr:rowOff>
                  </to>
                </anchor>
              </controlPr>
            </control>
          </mc:Choice>
        </mc:AlternateContent>
        <mc:AlternateContent xmlns:mc="http://schemas.openxmlformats.org/markup-compatibility/2006">
          <mc:Choice Requires="x14">
            <control shapeId="64547" r:id="rId84" name="Check Box 4131">
              <controlPr defaultSize="0" autoFill="0" autoLine="0" autoPict="0">
                <anchor moveWithCells="1">
                  <from>
                    <xdr:col>0</xdr:col>
                    <xdr:colOff>60960</xdr:colOff>
                    <xdr:row>92</xdr:row>
                    <xdr:rowOff>30480</xdr:rowOff>
                  </from>
                  <to>
                    <xdr:col>0</xdr:col>
                    <xdr:colOff>236220</xdr:colOff>
                    <xdr:row>92</xdr:row>
                    <xdr:rowOff>182880</xdr:rowOff>
                  </to>
                </anchor>
              </controlPr>
            </control>
          </mc:Choice>
        </mc:AlternateContent>
        <mc:AlternateContent xmlns:mc="http://schemas.openxmlformats.org/markup-compatibility/2006">
          <mc:Choice Requires="x14">
            <control shapeId="64548" r:id="rId85" name="Check Box 4132">
              <controlPr defaultSize="0" autoFill="0" autoLine="0" autoPict="0">
                <anchor moveWithCells="1">
                  <from>
                    <xdr:col>0</xdr:col>
                    <xdr:colOff>60960</xdr:colOff>
                    <xdr:row>93</xdr:row>
                    <xdr:rowOff>30480</xdr:rowOff>
                  </from>
                  <to>
                    <xdr:col>0</xdr:col>
                    <xdr:colOff>236220</xdr:colOff>
                    <xdr:row>93</xdr:row>
                    <xdr:rowOff>182880</xdr:rowOff>
                  </to>
                </anchor>
              </controlPr>
            </control>
          </mc:Choice>
        </mc:AlternateContent>
        <mc:AlternateContent xmlns:mc="http://schemas.openxmlformats.org/markup-compatibility/2006">
          <mc:Choice Requires="x14">
            <control shapeId="64549" r:id="rId86" name="Check Box 4133">
              <controlPr defaultSize="0" autoFill="0" autoLine="0" autoPict="0">
                <anchor moveWithCells="1">
                  <from>
                    <xdr:col>0</xdr:col>
                    <xdr:colOff>60960</xdr:colOff>
                    <xdr:row>94</xdr:row>
                    <xdr:rowOff>30480</xdr:rowOff>
                  </from>
                  <to>
                    <xdr:col>0</xdr:col>
                    <xdr:colOff>236220</xdr:colOff>
                    <xdr:row>94</xdr:row>
                    <xdr:rowOff>182880</xdr:rowOff>
                  </to>
                </anchor>
              </controlPr>
            </control>
          </mc:Choice>
        </mc:AlternateContent>
        <mc:AlternateContent xmlns:mc="http://schemas.openxmlformats.org/markup-compatibility/2006">
          <mc:Choice Requires="x14">
            <control shapeId="64550" r:id="rId87" name="Check Box 4134">
              <controlPr defaultSize="0" autoFill="0" autoLine="0" autoPict="0">
                <anchor moveWithCells="1">
                  <from>
                    <xdr:col>0</xdr:col>
                    <xdr:colOff>60960</xdr:colOff>
                    <xdr:row>95</xdr:row>
                    <xdr:rowOff>30480</xdr:rowOff>
                  </from>
                  <to>
                    <xdr:col>0</xdr:col>
                    <xdr:colOff>236220</xdr:colOff>
                    <xdr:row>95</xdr:row>
                    <xdr:rowOff>182880</xdr:rowOff>
                  </to>
                </anchor>
              </controlPr>
            </control>
          </mc:Choice>
        </mc:AlternateContent>
        <mc:AlternateContent xmlns:mc="http://schemas.openxmlformats.org/markup-compatibility/2006">
          <mc:Choice Requires="x14">
            <control shapeId="64551" r:id="rId88" name="Check Box 4135">
              <controlPr defaultSize="0" autoFill="0" autoLine="0" autoPict="0">
                <anchor moveWithCells="1">
                  <from>
                    <xdr:col>0</xdr:col>
                    <xdr:colOff>60960</xdr:colOff>
                    <xdr:row>96</xdr:row>
                    <xdr:rowOff>30480</xdr:rowOff>
                  </from>
                  <to>
                    <xdr:col>0</xdr:col>
                    <xdr:colOff>236220</xdr:colOff>
                    <xdr:row>96</xdr:row>
                    <xdr:rowOff>182880</xdr:rowOff>
                  </to>
                </anchor>
              </controlPr>
            </control>
          </mc:Choice>
        </mc:AlternateContent>
        <mc:AlternateContent xmlns:mc="http://schemas.openxmlformats.org/markup-compatibility/2006">
          <mc:Choice Requires="x14">
            <control shapeId="64552" r:id="rId89" name="Check Box 4136">
              <controlPr defaultSize="0" autoFill="0" autoLine="0" autoPict="0">
                <anchor moveWithCells="1">
                  <from>
                    <xdr:col>0</xdr:col>
                    <xdr:colOff>60960</xdr:colOff>
                    <xdr:row>97</xdr:row>
                    <xdr:rowOff>30480</xdr:rowOff>
                  </from>
                  <to>
                    <xdr:col>0</xdr:col>
                    <xdr:colOff>236220</xdr:colOff>
                    <xdr:row>97</xdr:row>
                    <xdr:rowOff>182880</xdr:rowOff>
                  </to>
                </anchor>
              </controlPr>
            </control>
          </mc:Choice>
        </mc:AlternateContent>
        <mc:AlternateContent xmlns:mc="http://schemas.openxmlformats.org/markup-compatibility/2006">
          <mc:Choice Requires="x14">
            <control shapeId="64553" r:id="rId90" name="Check Box 4137">
              <controlPr defaultSize="0" autoFill="0" autoLine="0" autoPict="0">
                <anchor moveWithCells="1">
                  <from>
                    <xdr:col>0</xdr:col>
                    <xdr:colOff>60960</xdr:colOff>
                    <xdr:row>98</xdr:row>
                    <xdr:rowOff>30480</xdr:rowOff>
                  </from>
                  <to>
                    <xdr:col>0</xdr:col>
                    <xdr:colOff>236220</xdr:colOff>
                    <xdr:row>98</xdr:row>
                    <xdr:rowOff>182880</xdr:rowOff>
                  </to>
                </anchor>
              </controlPr>
            </control>
          </mc:Choice>
        </mc:AlternateContent>
        <mc:AlternateContent xmlns:mc="http://schemas.openxmlformats.org/markup-compatibility/2006">
          <mc:Choice Requires="x14">
            <control shapeId="64554" r:id="rId91" name="Check Box 4138">
              <controlPr defaultSize="0" autoFill="0" autoLine="0" autoPict="0">
                <anchor moveWithCells="1">
                  <from>
                    <xdr:col>0</xdr:col>
                    <xdr:colOff>60960</xdr:colOff>
                    <xdr:row>99</xdr:row>
                    <xdr:rowOff>30480</xdr:rowOff>
                  </from>
                  <to>
                    <xdr:col>0</xdr:col>
                    <xdr:colOff>236220</xdr:colOff>
                    <xdr:row>99</xdr:row>
                    <xdr:rowOff>182880</xdr:rowOff>
                  </to>
                </anchor>
              </controlPr>
            </control>
          </mc:Choice>
        </mc:AlternateContent>
        <mc:AlternateContent xmlns:mc="http://schemas.openxmlformats.org/markup-compatibility/2006">
          <mc:Choice Requires="x14">
            <control shapeId="64555" r:id="rId92" name="Check Box 4139">
              <controlPr defaultSize="0" autoFill="0" autoLine="0" autoPict="0">
                <anchor moveWithCells="1">
                  <from>
                    <xdr:col>0</xdr:col>
                    <xdr:colOff>60960</xdr:colOff>
                    <xdr:row>100</xdr:row>
                    <xdr:rowOff>30480</xdr:rowOff>
                  </from>
                  <to>
                    <xdr:col>0</xdr:col>
                    <xdr:colOff>236220</xdr:colOff>
                    <xdr:row>100</xdr:row>
                    <xdr:rowOff>182880</xdr:rowOff>
                  </to>
                </anchor>
              </controlPr>
            </control>
          </mc:Choice>
        </mc:AlternateContent>
        <mc:AlternateContent xmlns:mc="http://schemas.openxmlformats.org/markup-compatibility/2006">
          <mc:Choice Requires="x14">
            <control shapeId="64556" r:id="rId93" name="Check Box 4140">
              <controlPr defaultSize="0" autoFill="0" autoLine="0" autoPict="0">
                <anchor moveWithCells="1">
                  <from>
                    <xdr:col>0</xdr:col>
                    <xdr:colOff>60960</xdr:colOff>
                    <xdr:row>101</xdr:row>
                    <xdr:rowOff>30480</xdr:rowOff>
                  </from>
                  <to>
                    <xdr:col>0</xdr:col>
                    <xdr:colOff>236220</xdr:colOff>
                    <xdr:row>101</xdr:row>
                    <xdr:rowOff>182880</xdr:rowOff>
                  </to>
                </anchor>
              </controlPr>
            </control>
          </mc:Choice>
        </mc:AlternateContent>
        <mc:AlternateContent xmlns:mc="http://schemas.openxmlformats.org/markup-compatibility/2006">
          <mc:Choice Requires="x14">
            <control shapeId="64557" r:id="rId94" name="Check Box 4141">
              <controlPr defaultSize="0" autoFill="0" autoLine="0" autoPict="0">
                <anchor moveWithCells="1">
                  <from>
                    <xdr:col>0</xdr:col>
                    <xdr:colOff>60960</xdr:colOff>
                    <xdr:row>102</xdr:row>
                    <xdr:rowOff>30480</xdr:rowOff>
                  </from>
                  <to>
                    <xdr:col>0</xdr:col>
                    <xdr:colOff>236220</xdr:colOff>
                    <xdr:row>102</xdr:row>
                    <xdr:rowOff>182880</xdr:rowOff>
                  </to>
                </anchor>
              </controlPr>
            </control>
          </mc:Choice>
        </mc:AlternateContent>
        <mc:AlternateContent xmlns:mc="http://schemas.openxmlformats.org/markup-compatibility/2006">
          <mc:Choice Requires="x14">
            <control shapeId="64558" r:id="rId95" name="Check Box 4142">
              <controlPr defaultSize="0" autoFill="0" autoLine="0" autoPict="0">
                <anchor moveWithCells="1">
                  <from>
                    <xdr:col>0</xdr:col>
                    <xdr:colOff>60960</xdr:colOff>
                    <xdr:row>103</xdr:row>
                    <xdr:rowOff>30480</xdr:rowOff>
                  </from>
                  <to>
                    <xdr:col>0</xdr:col>
                    <xdr:colOff>236220</xdr:colOff>
                    <xdr:row>103</xdr:row>
                    <xdr:rowOff>182880</xdr:rowOff>
                  </to>
                </anchor>
              </controlPr>
            </control>
          </mc:Choice>
        </mc:AlternateContent>
        <mc:AlternateContent xmlns:mc="http://schemas.openxmlformats.org/markup-compatibility/2006">
          <mc:Choice Requires="x14">
            <control shapeId="64559" r:id="rId96" name="Check Box 4143">
              <controlPr defaultSize="0" autoFill="0" autoLine="0" autoPict="0">
                <anchor moveWithCells="1">
                  <from>
                    <xdr:col>0</xdr:col>
                    <xdr:colOff>60960</xdr:colOff>
                    <xdr:row>104</xdr:row>
                    <xdr:rowOff>30480</xdr:rowOff>
                  </from>
                  <to>
                    <xdr:col>0</xdr:col>
                    <xdr:colOff>236220</xdr:colOff>
                    <xdr:row>104</xdr:row>
                    <xdr:rowOff>182880</xdr:rowOff>
                  </to>
                </anchor>
              </controlPr>
            </control>
          </mc:Choice>
        </mc:AlternateContent>
        <mc:AlternateContent xmlns:mc="http://schemas.openxmlformats.org/markup-compatibility/2006">
          <mc:Choice Requires="x14">
            <control shapeId="64560" r:id="rId97" name="Check Box 4144">
              <controlPr defaultSize="0" autoFill="0" autoLine="0" autoPict="0">
                <anchor moveWithCells="1">
                  <from>
                    <xdr:col>0</xdr:col>
                    <xdr:colOff>60960</xdr:colOff>
                    <xdr:row>105</xdr:row>
                    <xdr:rowOff>30480</xdr:rowOff>
                  </from>
                  <to>
                    <xdr:col>0</xdr:col>
                    <xdr:colOff>236220</xdr:colOff>
                    <xdr:row>105</xdr:row>
                    <xdr:rowOff>182880</xdr:rowOff>
                  </to>
                </anchor>
              </controlPr>
            </control>
          </mc:Choice>
        </mc:AlternateContent>
        <mc:AlternateContent xmlns:mc="http://schemas.openxmlformats.org/markup-compatibility/2006">
          <mc:Choice Requires="x14">
            <control shapeId="64561" r:id="rId98" name="Check Box 4145">
              <controlPr defaultSize="0" autoFill="0" autoLine="0" autoPict="0">
                <anchor moveWithCells="1">
                  <from>
                    <xdr:col>0</xdr:col>
                    <xdr:colOff>60960</xdr:colOff>
                    <xdr:row>106</xdr:row>
                    <xdr:rowOff>30480</xdr:rowOff>
                  </from>
                  <to>
                    <xdr:col>0</xdr:col>
                    <xdr:colOff>236220</xdr:colOff>
                    <xdr:row>106</xdr:row>
                    <xdr:rowOff>182880</xdr:rowOff>
                  </to>
                </anchor>
              </controlPr>
            </control>
          </mc:Choice>
        </mc:AlternateContent>
        <mc:AlternateContent xmlns:mc="http://schemas.openxmlformats.org/markup-compatibility/2006">
          <mc:Choice Requires="x14">
            <control shapeId="64562" r:id="rId99" name="Check Box 4146">
              <controlPr defaultSize="0" autoFill="0" autoLine="0" autoPict="0">
                <anchor moveWithCells="1">
                  <from>
                    <xdr:col>0</xdr:col>
                    <xdr:colOff>60960</xdr:colOff>
                    <xdr:row>107</xdr:row>
                    <xdr:rowOff>30480</xdr:rowOff>
                  </from>
                  <to>
                    <xdr:col>0</xdr:col>
                    <xdr:colOff>236220</xdr:colOff>
                    <xdr:row>107</xdr:row>
                    <xdr:rowOff>182880</xdr:rowOff>
                  </to>
                </anchor>
              </controlPr>
            </control>
          </mc:Choice>
        </mc:AlternateContent>
        <mc:AlternateContent xmlns:mc="http://schemas.openxmlformats.org/markup-compatibility/2006">
          <mc:Choice Requires="x14">
            <control shapeId="64563" r:id="rId100" name="Check Box 4147">
              <controlPr defaultSize="0" autoFill="0" autoLine="0" autoPict="0">
                <anchor moveWithCells="1">
                  <from>
                    <xdr:col>0</xdr:col>
                    <xdr:colOff>60960</xdr:colOff>
                    <xdr:row>108</xdr:row>
                    <xdr:rowOff>30480</xdr:rowOff>
                  </from>
                  <to>
                    <xdr:col>0</xdr:col>
                    <xdr:colOff>236220</xdr:colOff>
                    <xdr:row>108</xdr:row>
                    <xdr:rowOff>182880</xdr:rowOff>
                  </to>
                </anchor>
              </controlPr>
            </control>
          </mc:Choice>
        </mc:AlternateContent>
        <mc:AlternateContent xmlns:mc="http://schemas.openxmlformats.org/markup-compatibility/2006">
          <mc:Choice Requires="x14">
            <control shapeId="64564" r:id="rId101" name="Check Box 4148">
              <controlPr defaultSize="0" autoFill="0" autoLine="0" autoPict="0">
                <anchor moveWithCells="1">
                  <from>
                    <xdr:col>0</xdr:col>
                    <xdr:colOff>60960</xdr:colOff>
                    <xdr:row>109</xdr:row>
                    <xdr:rowOff>30480</xdr:rowOff>
                  </from>
                  <to>
                    <xdr:col>0</xdr:col>
                    <xdr:colOff>236220</xdr:colOff>
                    <xdr:row>109</xdr:row>
                    <xdr:rowOff>182880</xdr:rowOff>
                  </to>
                </anchor>
              </controlPr>
            </control>
          </mc:Choice>
        </mc:AlternateContent>
        <mc:AlternateContent xmlns:mc="http://schemas.openxmlformats.org/markup-compatibility/2006">
          <mc:Choice Requires="x14">
            <control shapeId="64565" r:id="rId102" name="Check Box 4149">
              <controlPr defaultSize="0" autoFill="0" autoLine="0" autoPict="0">
                <anchor moveWithCells="1">
                  <from>
                    <xdr:col>0</xdr:col>
                    <xdr:colOff>60960</xdr:colOff>
                    <xdr:row>110</xdr:row>
                    <xdr:rowOff>30480</xdr:rowOff>
                  </from>
                  <to>
                    <xdr:col>0</xdr:col>
                    <xdr:colOff>236220</xdr:colOff>
                    <xdr:row>110</xdr:row>
                    <xdr:rowOff>182880</xdr:rowOff>
                  </to>
                </anchor>
              </controlPr>
            </control>
          </mc:Choice>
        </mc:AlternateContent>
        <mc:AlternateContent xmlns:mc="http://schemas.openxmlformats.org/markup-compatibility/2006">
          <mc:Choice Requires="x14">
            <control shapeId="64566" r:id="rId103" name="Check Box 4150">
              <controlPr defaultSize="0" autoFill="0" autoLine="0" autoPict="0">
                <anchor moveWithCells="1">
                  <from>
                    <xdr:col>0</xdr:col>
                    <xdr:colOff>60960</xdr:colOff>
                    <xdr:row>111</xdr:row>
                    <xdr:rowOff>30480</xdr:rowOff>
                  </from>
                  <to>
                    <xdr:col>0</xdr:col>
                    <xdr:colOff>236220</xdr:colOff>
                    <xdr:row>111</xdr:row>
                    <xdr:rowOff>182880</xdr:rowOff>
                  </to>
                </anchor>
              </controlPr>
            </control>
          </mc:Choice>
        </mc:AlternateContent>
        <mc:AlternateContent xmlns:mc="http://schemas.openxmlformats.org/markup-compatibility/2006">
          <mc:Choice Requires="x14">
            <control shapeId="64567" r:id="rId104" name="Check Box 4151">
              <controlPr defaultSize="0" autoFill="0" autoLine="0" autoPict="0">
                <anchor moveWithCells="1">
                  <from>
                    <xdr:col>0</xdr:col>
                    <xdr:colOff>60960</xdr:colOff>
                    <xdr:row>112</xdr:row>
                    <xdr:rowOff>30480</xdr:rowOff>
                  </from>
                  <to>
                    <xdr:col>0</xdr:col>
                    <xdr:colOff>236220</xdr:colOff>
                    <xdr:row>112</xdr:row>
                    <xdr:rowOff>182880</xdr:rowOff>
                  </to>
                </anchor>
              </controlPr>
            </control>
          </mc:Choice>
        </mc:AlternateContent>
        <mc:AlternateContent xmlns:mc="http://schemas.openxmlformats.org/markup-compatibility/2006">
          <mc:Choice Requires="x14">
            <control shapeId="64568" r:id="rId105" name="Check Box 4152">
              <controlPr defaultSize="0" autoFill="0" autoLine="0" autoPict="0">
                <anchor moveWithCells="1">
                  <from>
                    <xdr:col>0</xdr:col>
                    <xdr:colOff>60960</xdr:colOff>
                    <xdr:row>113</xdr:row>
                    <xdr:rowOff>30480</xdr:rowOff>
                  </from>
                  <to>
                    <xdr:col>0</xdr:col>
                    <xdr:colOff>236220</xdr:colOff>
                    <xdr:row>113</xdr:row>
                    <xdr:rowOff>182880</xdr:rowOff>
                  </to>
                </anchor>
              </controlPr>
            </control>
          </mc:Choice>
        </mc:AlternateContent>
        <mc:AlternateContent xmlns:mc="http://schemas.openxmlformats.org/markup-compatibility/2006">
          <mc:Choice Requires="x14">
            <control shapeId="64569" r:id="rId106" name="Check Box 4153">
              <controlPr defaultSize="0" autoFill="0" autoLine="0" autoPict="0">
                <anchor moveWithCells="1">
                  <from>
                    <xdr:col>0</xdr:col>
                    <xdr:colOff>60960</xdr:colOff>
                    <xdr:row>114</xdr:row>
                    <xdr:rowOff>30480</xdr:rowOff>
                  </from>
                  <to>
                    <xdr:col>0</xdr:col>
                    <xdr:colOff>236220</xdr:colOff>
                    <xdr:row>114</xdr:row>
                    <xdr:rowOff>182880</xdr:rowOff>
                  </to>
                </anchor>
              </controlPr>
            </control>
          </mc:Choice>
        </mc:AlternateContent>
        <mc:AlternateContent xmlns:mc="http://schemas.openxmlformats.org/markup-compatibility/2006">
          <mc:Choice Requires="x14">
            <control shapeId="64570" r:id="rId107" name="Check Box 4154">
              <controlPr defaultSize="0" autoFill="0" autoLine="0" autoPict="0">
                <anchor moveWithCells="1">
                  <from>
                    <xdr:col>0</xdr:col>
                    <xdr:colOff>60960</xdr:colOff>
                    <xdr:row>115</xdr:row>
                    <xdr:rowOff>30480</xdr:rowOff>
                  </from>
                  <to>
                    <xdr:col>0</xdr:col>
                    <xdr:colOff>236220</xdr:colOff>
                    <xdr:row>115</xdr:row>
                    <xdr:rowOff>182880</xdr:rowOff>
                  </to>
                </anchor>
              </controlPr>
            </control>
          </mc:Choice>
        </mc:AlternateContent>
        <mc:AlternateContent xmlns:mc="http://schemas.openxmlformats.org/markup-compatibility/2006">
          <mc:Choice Requires="x14">
            <control shapeId="64571" r:id="rId108" name="Check Box 4155">
              <controlPr defaultSize="0" autoFill="0" autoLine="0" autoPict="0">
                <anchor moveWithCells="1">
                  <from>
                    <xdr:col>0</xdr:col>
                    <xdr:colOff>60960</xdr:colOff>
                    <xdr:row>116</xdr:row>
                    <xdr:rowOff>30480</xdr:rowOff>
                  </from>
                  <to>
                    <xdr:col>0</xdr:col>
                    <xdr:colOff>236220</xdr:colOff>
                    <xdr:row>116</xdr:row>
                    <xdr:rowOff>182880</xdr:rowOff>
                  </to>
                </anchor>
              </controlPr>
            </control>
          </mc:Choice>
        </mc:AlternateContent>
        <mc:AlternateContent xmlns:mc="http://schemas.openxmlformats.org/markup-compatibility/2006">
          <mc:Choice Requires="x14">
            <control shapeId="64572" r:id="rId109" name="Check Box 4156">
              <controlPr defaultSize="0" autoFill="0" autoLine="0" autoPict="0">
                <anchor moveWithCells="1">
                  <from>
                    <xdr:col>0</xdr:col>
                    <xdr:colOff>60960</xdr:colOff>
                    <xdr:row>117</xdr:row>
                    <xdr:rowOff>30480</xdr:rowOff>
                  </from>
                  <to>
                    <xdr:col>0</xdr:col>
                    <xdr:colOff>236220</xdr:colOff>
                    <xdr:row>117</xdr:row>
                    <xdr:rowOff>182880</xdr:rowOff>
                  </to>
                </anchor>
              </controlPr>
            </control>
          </mc:Choice>
        </mc:AlternateContent>
        <mc:AlternateContent xmlns:mc="http://schemas.openxmlformats.org/markup-compatibility/2006">
          <mc:Choice Requires="x14">
            <control shapeId="64573" r:id="rId110" name="Check Box 4157">
              <controlPr defaultSize="0" autoFill="0" autoLine="0" autoPict="0">
                <anchor moveWithCells="1">
                  <from>
                    <xdr:col>0</xdr:col>
                    <xdr:colOff>60960</xdr:colOff>
                    <xdr:row>118</xdr:row>
                    <xdr:rowOff>30480</xdr:rowOff>
                  </from>
                  <to>
                    <xdr:col>0</xdr:col>
                    <xdr:colOff>236220</xdr:colOff>
                    <xdr:row>118</xdr:row>
                    <xdr:rowOff>182880</xdr:rowOff>
                  </to>
                </anchor>
              </controlPr>
            </control>
          </mc:Choice>
        </mc:AlternateContent>
        <mc:AlternateContent xmlns:mc="http://schemas.openxmlformats.org/markup-compatibility/2006">
          <mc:Choice Requires="x14">
            <control shapeId="64574" r:id="rId111" name="Check Box 4158">
              <controlPr defaultSize="0" autoFill="0" autoLine="0" autoPict="0">
                <anchor moveWithCells="1">
                  <from>
                    <xdr:col>0</xdr:col>
                    <xdr:colOff>60960</xdr:colOff>
                    <xdr:row>119</xdr:row>
                    <xdr:rowOff>30480</xdr:rowOff>
                  </from>
                  <to>
                    <xdr:col>0</xdr:col>
                    <xdr:colOff>236220</xdr:colOff>
                    <xdr:row>119</xdr:row>
                    <xdr:rowOff>182880</xdr:rowOff>
                  </to>
                </anchor>
              </controlPr>
            </control>
          </mc:Choice>
        </mc:AlternateContent>
        <mc:AlternateContent xmlns:mc="http://schemas.openxmlformats.org/markup-compatibility/2006">
          <mc:Choice Requires="x14">
            <control shapeId="64575" r:id="rId112" name="Check Box 4159">
              <controlPr defaultSize="0" autoFill="0" autoLine="0" autoPict="0">
                <anchor moveWithCells="1">
                  <from>
                    <xdr:col>0</xdr:col>
                    <xdr:colOff>60960</xdr:colOff>
                    <xdr:row>120</xdr:row>
                    <xdr:rowOff>30480</xdr:rowOff>
                  </from>
                  <to>
                    <xdr:col>0</xdr:col>
                    <xdr:colOff>236220</xdr:colOff>
                    <xdr:row>120</xdr:row>
                    <xdr:rowOff>182880</xdr:rowOff>
                  </to>
                </anchor>
              </controlPr>
            </control>
          </mc:Choice>
        </mc:AlternateContent>
        <mc:AlternateContent xmlns:mc="http://schemas.openxmlformats.org/markup-compatibility/2006">
          <mc:Choice Requires="x14">
            <control shapeId="64576" r:id="rId113" name="Check Box 4160">
              <controlPr defaultSize="0" autoFill="0" autoLine="0" autoPict="0">
                <anchor moveWithCells="1">
                  <from>
                    <xdr:col>0</xdr:col>
                    <xdr:colOff>60960</xdr:colOff>
                    <xdr:row>121</xdr:row>
                    <xdr:rowOff>30480</xdr:rowOff>
                  </from>
                  <to>
                    <xdr:col>0</xdr:col>
                    <xdr:colOff>236220</xdr:colOff>
                    <xdr:row>121</xdr:row>
                    <xdr:rowOff>182880</xdr:rowOff>
                  </to>
                </anchor>
              </controlPr>
            </control>
          </mc:Choice>
        </mc:AlternateContent>
        <mc:AlternateContent xmlns:mc="http://schemas.openxmlformats.org/markup-compatibility/2006">
          <mc:Choice Requires="x14">
            <control shapeId="64577" r:id="rId114" name="Check Box 4161">
              <controlPr defaultSize="0" autoFill="0" autoLine="0" autoPict="0">
                <anchor moveWithCells="1">
                  <from>
                    <xdr:col>0</xdr:col>
                    <xdr:colOff>60960</xdr:colOff>
                    <xdr:row>122</xdr:row>
                    <xdr:rowOff>30480</xdr:rowOff>
                  </from>
                  <to>
                    <xdr:col>0</xdr:col>
                    <xdr:colOff>236220</xdr:colOff>
                    <xdr:row>122</xdr:row>
                    <xdr:rowOff>182880</xdr:rowOff>
                  </to>
                </anchor>
              </controlPr>
            </control>
          </mc:Choice>
        </mc:AlternateContent>
        <mc:AlternateContent xmlns:mc="http://schemas.openxmlformats.org/markup-compatibility/2006">
          <mc:Choice Requires="x14">
            <control shapeId="64578" r:id="rId115" name="Check Box 4162">
              <controlPr defaultSize="0" autoFill="0" autoLine="0" autoPict="0">
                <anchor moveWithCells="1">
                  <from>
                    <xdr:col>0</xdr:col>
                    <xdr:colOff>60960</xdr:colOff>
                    <xdr:row>123</xdr:row>
                    <xdr:rowOff>30480</xdr:rowOff>
                  </from>
                  <to>
                    <xdr:col>0</xdr:col>
                    <xdr:colOff>236220</xdr:colOff>
                    <xdr:row>123</xdr:row>
                    <xdr:rowOff>182880</xdr:rowOff>
                  </to>
                </anchor>
              </controlPr>
            </control>
          </mc:Choice>
        </mc:AlternateContent>
        <mc:AlternateContent xmlns:mc="http://schemas.openxmlformats.org/markup-compatibility/2006">
          <mc:Choice Requires="x14">
            <control shapeId="64579" r:id="rId116" name="Check Box 4163">
              <controlPr defaultSize="0" autoFill="0" autoLine="0" autoPict="0">
                <anchor moveWithCells="1">
                  <from>
                    <xdr:col>0</xdr:col>
                    <xdr:colOff>60960</xdr:colOff>
                    <xdr:row>124</xdr:row>
                    <xdr:rowOff>30480</xdr:rowOff>
                  </from>
                  <to>
                    <xdr:col>0</xdr:col>
                    <xdr:colOff>236220</xdr:colOff>
                    <xdr:row>124</xdr:row>
                    <xdr:rowOff>182880</xdr:rowOff>
                  </to>
                </anchor>
              </controlPr>
            </control>
          </mc:Choice>
        </mc:AlternateContent>
        <mc:AlternateContent xmlns:mc="http://schemas.openxmlformats.org/markup-compatibility/2006">
          <mc:Choice Requires="x14">
            <control shapeId="64580" r:id="rId117" name="Check Box 4164">
              <controlPr defaultSize="0" autoFill="0" autoLine="0" autoPict="0">
                <anchor moveWithCells="1">
                  <from>
                    <xdr:col>0</xdr:col>
                    <xdr:colOff>60960</xdr:colOff>
                    <xdr:row>125</xdr:row>
                    <xdr:rowOff>30480</xdr:rowOff>
                  </from>
                  <to>
                    <xdr:col>0</xdr:col>
                    <xdr:colOff>236220</xdr:colOff>
                    <xdr:row>125</xdr:row>
                    <xdr:rowOff>182880</xdr:rowOff>
                  </to>
                </anchor>
              </controlPr>
            </control>
          </mc:Choice>
        </mc:AlternateContent>
        <mc:AlternateContent xmlns:mc="http://schemas.openxmlformats.org/markup-compatibility/2006">
          <mc:Choice Requires="x14">
            <control shapeId="64581" r:id="rId118" name="Check Box 4165">
              <controlPr defaultSize="0" autoFill="0" autoLine="0" autoPict="0">
                <anchor moveWithCells="1">
                  <from>
                    <xdr:col>0</xdr:col>
                    <xdr:colOff>60960</xdr:colOff>
                    <xdr:row>126</xdr:row>
                    <xdr:rowOff>30480</xdr:rowOff>
                  </from>
                  <to>
                    <xdr:col>0</xdr:col>
                    <xdr:colOff>236220</xdr:colOff>
                    <xdr:row>126</xdr:row>
                    <xdr:rowOff>182880</xdr:rowOff>
                  </to>
                </anchor>
              </controlPr>
            </control>
          </mc:Choice>
        </mc:AlternateContent>
        <mc:AlternateContent xmlns:mc="http://schemas.openxmlformats.org/markup-compatibility/2006">
          <mc:Choice Requires="x14">
            <control shapeId="64582" r:id="rId119" name="Check Box 4166">
              <controlPr defaultSize="0" autoFill="0" autoLine="0" autoPict="0">
                <anchor moveWithCells="1">
                  <from>
                    <xdr:col>0</xdr:col>
                    <xdr:colOff>60960</xdr:colOff>
                    <xdr:row>127</xdr:row>
                    <xdr:rowOff>30480</xdr:rowOff>
                  </from>
                  <to>
                    <xdr:col>0</xdr:col>
                    <xdr:colOff>236220</xdr:colOff>
                    <xdr:row>127</xdr:row>
                    <xdr:rowOff>182880</xdr:rowOff>
                  </to>
                </anchor>
              </controlPr>
            </control>
          </mc:Choice>
        </mc:AlternateContent>
        <mc:AlternateContent xmlns:mc="http://schemas.openxmlformats.org/markup-compatibility/2006">
          <mc:Choice Requires="x14">
            <control shapeId="64583" r:id="rId120" name="Check Box 4167">
              <controlPr defaultSize="0" autoFill="0" autoLine="0" autoPict="0">
                <anchor moveWithCells="1">
                  <from>
                    <xdr:col>0</xdr:col>
                    <xdr:colOff>60960</xdr:colOff>
                    <xdr:row>128</xdr:row>
                    <xdr:rowOff>30480</xdr:rowOff>
                  </from>
                  <to>
                    <xdr:col>0</xdr:col>
                    <xdr:colOff>236220</xdr:colOff>
                    <xdr:row>128</xdr:row>
                    <xdr:rowOff>182880</xdr:rowOff>
                  </to>
                </anchor>
              </controlPr>
            </control>
          </mc:Choice>
        </mc:AlternateContent>
        <mc:AlternateContent xmlns:mc="http://schemas.openxmlformats.org/markup-compatibility/2006">
          <mc:Choice Requires="x14">
            <control shapeId="64584" r:id="rId121" name="Check Box 4168">
              <controlPr defaultSize="0" autoFill="0" autoLine="0" autoPict="0">
                <anchor moveWithCells="1">
                  <from>
                    <xdr:col>0</xdr:col>
                    <xdr:colOff>60960</xdr:colOff>
                    <xdr:row>129</xdr:row>
                    <xdr:rowOff>30480</xdr:rowOff>
                  </from>
                  <to>
                    <xdr:col>0</xdr:col>
                    <xdr:colOff>236220</xdr:colOff>
                    <xdr:row>129</xdr:row>
                    <xdr:rowOff>182880</xdr:rowOff>
                  </to>
                </anchor>
              </controlPr>
            </control>
          </mc:Choice>
        </mc:AlternateContent>
        <mc:AlternateContent xmlns:mc="http://schemas.openxmlformats.org/markup-compatibility/2006">
          <mc:Choice Requires="x14">
            <control shapeId="64585" r:id="rId122" name="Check Box 4169">
              <controlPr defaultSize="0" autoFill="0" autoLine="0" autoPict="0">
                <anchor moveWithCells="1">
                  <from>
                    <xdr:col>0</xdr:col>
                    <xdr:colOff>60960</xdr:colOff>
                    <xdr:row>130</xdr:row>
                    <xdr:rowOff>30480</xdr:rowOff>
                  </from>
                  <to>
                    <xdr:col>0</xdr:col>
                    <xdr:colOff>236220</xdr:colOff>
                    <xdr:row>130</xdr:row>
                    <xdr:rowOff>182880</xdr:rowOff>
                  </to>
                </anchor>
              </controlPr>
            </control>
          </mc:Choice>
        </mc:AlternateContent>
        <mc:AlternateContent xmlns:mc="http://schemas.openxmlformats.org/markup-compatibility/2006">
          <mc:Choice Requires="x14">
            <control shapeId="64586" r:id="rId123" name="Check Box 4170">
              <controlPr defaultSize="0" autoFill="0" autoLine="0" autoPict="0">
                <anchor moveWithCells="1">
                  <from>
                    <xdr:col>0</xdr:col>
                    <xdr:colOff>60960</xdr:colOff>
                    <xdr:row>131</xdr:row>
                    <xdr:rowOff>30480</xdr:rowOff>
                  </from>
                  <to>
                    <xdr:col>0</xdr:col>
                    <xdr:colOff>236220</xdr:colOff>
                    <xdr:row>131</xdr:row>
                    <xdr:rowOff>182880</xdr:rowOff>
                  </to>
                </anchor>
              </controlPr>
            </control>
          </mc:Choice>
        </mc:AlternateContent>
        <mc:AlternateContent xmlns:mc="http://schemas.openxmlformats.org/markup-compatibility/2006">
          <mc:Choice Requires="x14">
            <control shapeId="64587" r:id="rId124" name="Check Box 4171">
              <controlPr defaultSize="0" autoFill="0" autoLine="0" autoPict="0">
                <anchor moveWithCells="1">
                  <from>
                    <xdr:col>0</xdr:col>
                    <xdr:colOff>60960</xdr:colOff>
                    <xdr:row>132</xdr:row>
                    <xdr:rowOff>30480</xdr:rowOff>
                  </from>
                  <to>
                    <xdr:col>0</xdr:col>
                    <xdr:colOff>236220</xdr:colOff>
                    <xdr:row>132</xdr:row>
                    <xdr:rowOff>182880</xdr:rowOff>
                  </to>
                </anchor>
              </controlPr>
            </control>
          </mc:Choice>
        </mc:AlternateContent>
        <mc:AlternateContent xmlns:mc="http://schemas.openxmlformats.org/markup-compatibility/2006">
          <mc:Choice Requires="x14">
            <control shapeId="64588" r:id="rId125" name="Check Box 4172">
              <controlPr defaultSize="0" autoFill="0" autoLine="0" autoPict="0">
                <anchor moveWithCells="1">
                  <from>
                    <xdr:col>0</xdr:col>
                    <xdr:colOff>60960</xdr:colOff>
                    <xdr:row>133</xdr:row>
                    <xdr:rowOff>30480</xdr:rowOff>
                  </from>
                  <to>
                    <xdr:col>0</xdr:col>
                    <xdr:colOff>236220</xdr:colOff>
                    <xdr:row>133</xdr:row>
                    <xdr:rowOff>182880</xdr:rowOff>
                  </to>
                </anchor>
              </controlPr>
            </control>
          </mc:Choice>
        </mc:AlternateContent>
        <mc:AlternateContent xmlns:mc="http://schemas.openxmlformats.org/markup-compatibility/2006">
          <mc:Choice Requires="x14">
            <control shapeId="64589" r:id="rId126" name="Check Box 4173">
              <controlPr defaultSize="0" autoFill="0" autoLine="0" autoPict="0">
                <anchor moveWithCells="1">
                  <from>
                    <xdr:col>0</xdr:col>
                    <xdr:colOff>60960</xdr:colOff>
                    <xdr:row>134</xdr:row>
                    <xdr:rowOff>30480</xdr:rowOff>
                  </from>
                  <to>
                    <xdr:col>0</xdr:col>
                    <xdr:colOff>236220</xdr:colOff>
                    <xdr:row>134</xdr:row>
                    <xdr:rowOff>182880</xdr:rowOff>
                  </to>
                </anchor>
              </controlPr>
            </control>
          </mc:Choice>
        </mc:AlternateContent>
        <mc:AlternateContent xmlns:mc="http://schemas.openxmlformats.org/markup-compatibility/2006">
          <mc:Choice Requires="x14">
            <control shapeId="64590" r:id="rId127" name="Check Box 4174">
              <controlPr defaultSize="0" autoFill="0" autoLine="0" autoPict="0">
                <anchor moveWithCells="1">
                  <from>
                    <xdr:col>0</xdr:col>
                    <xdr:colOff>60960</xdr:colOff>
                    <xdr:row>135</xdr:row>
                    <xdr:rowOff>30480</xdr:rowOff>
                  </from>
                  <to>
                    <xdr:col>0</xdr:col>
                    <xdr:colOff>236220</xdr:colOff>
                    <xdr:row>135</xdr:row>
                    <xdr:rowOff>182880</xdr:rowOff>
                  </to>
                </anchor>
              </controlPr>
            </control>
          </mc:Choice>
        </mc:AlternateContent>
        <mc:AlternateContent xmlns:mc="http://schemas.openxmlformats.org/markup-compatibility/2006">
          <mc:Choice Requires="x14">
            <control shapeId="64591" r:id="rId128" name="Check Box 4175">
              <controlPr defaultSize="0" autoFill="0" autoLine="0" autoPict="0">
                <anchor moveWithCells="1">
                  <from>
                    <xdr:col>0</xdr:col>
                    <xdr:colOff>60960</xdr:colOff>
                    <xdr:row>136</xdr:row>
                    <xdr:rowOff>30480</xdr:rowOff>
                  </from>
                  <to>
                    <xdr:col>0</xdr:col>
                    <xdr:colOff>236220</xdr:colOff>
                    <xdr:row>136</xdr:row>
                    <xdr:rowOff>182880</xdr:rowOff>
                  </to>
                </anchor>
              </controlPr>
            </control>
          </mc:Choice>
        </mc:AlternateContent>
        <mc:AlternateContent xmlns:mc="http://schemas.openxmlformats.org/markup-compatibility/2006">
          <mc:Choice Requires="x14">
            <control shapeId="64592" r:id="rId129" name="Check Box 4176">
              <controlPr defaultSize="0" autoFill="0" autoLine="0" autoPict="0">
                <anchor moveWithCells="1">
                  <from>
                    <xdr:col>0</xdr:col>
                    <xdr:colOff>60960</xdr:colOff>
                    <xdr:row>137</xdr:row>
                    <xdr:rowOff>30480</xdr:rowOff>
                  </from>
                  <to>
                    <xdr:col>0</xdr:col>
                    <xdr:colOff>236220</xdr:colOff>
                    <xdr:row>137</xdr:row>
                    <xdr:rowOff>182880</xdr:rowOff>
                  </to>
                </anchor>
              </controlPr>
            </control>
          </mc:Choice>
        </mc:AlternateContent>
        <mc:AlternateContent xmlns:mc="http://schemas.openxmlformats.org/markup-compatibility/2006">
          <mc:Choice Requires="x14">
            <control shapeId="64593" r:id="rId130" name="Check Box 4177">
              <controlPr defaultSize="0" autoFill="0" autoLine="0" autoPict="0">
                <anchor moveWithCells="1">
                  <from>
                    <xdr:col>0</xdr:col>
                    <xdr:colOff>60960</xdr:colOff>
                    <xdr:row>138</xdr:row>
                    <xdr:rowOff>30480</xdr:rowOff>
                  </from>
                  <to>
                    <xdr:col>0</xdr:col>
                    <xdr:colOff>236220</xdr:colOff>
                    <xdr:row>138</xdr:row>
                    <xdr:rowOff>182880</xdr:rowOff>
                  </to>
                </anchor>
              </controlPr>
            </control>
          </mc:Choice>
        </mc:AlternateContent>
        <mc:AlternateContent xmlns:mc="http://schemas.openxmlformats.org/markup-compatibility/2006">
          <mc:Choice Requires="x14">
            <control shapeId="64594" r:id="rId131" name="Check Box 4178">
              <controlPr defaultSize="0" autoFill="0" autoLine="0" autoPict="0">
                <anchor moveWithCells="1">
                  <from>
                    <xdr:col>0</xdr:col>
                    <xdr:colOff>60960</xdr:colOff>
                    <xdr:row>139</xdr:row>
                    <xdr:rowOff>30480</xdr:rowOff>
                  </from>
                  <to>
                    <xdr:col>0</xdr:col>
                    <xdr:colOff>236220</xdr:colOff>
                    <xdr:row>139</xdr:row>
                    <xdr:rowOff>182880</xdr:rowOff>
                  </to>
                </anchor>
              </controlPr>
            </control>
          </mc:Choice>
        </mc:AlternateContent>
        <mc:AlternateContent xmlns:mc="http://schemas.openxmlformats.org/markup-compatibility/2006">
          <mc:Choice Requires="x14">
            <control shapeId="64595" r:id="rId132" name="Check Box 4179">
              <controlPr defaultSize="0" autoFill="0" autoLine="0" autoPict="0">
                <anchor moveWithCells="1">
                  <from>
                    <xdr:col>0</xdr:col>
                    <xdr:colOff>60960</xdr:colOff>
                    <xdr:row>140</xdr:row>
                    <xdr:rowOff>30480</xdr:rowOff>
                  </from>
                  <to>
                    <xdr:col>0</xdr:col>
                    <xdr:colOff>236220</xdr:colOff>
                    <xdr:row>140</xdr:row>
                    <xdr:rowOff>182880</xdr:rowOff>
                  </to>
                </anchor>
              </controlPr>
            </control>
          </mc:Choice>
        </mc:AlternateContent>
        <mc:AlternateContent xmlns:mc="http://schemas.openxmlformats.org/markup-compatibility/2006">
          <mc:Choice Requires="x14">
            <control shapeId="64596" r:id="rId133" name="Check Box 4180">
              <controlPr defaultSize="0" autoFill="0" autoLine="0" autoPict="0">
                <anchor moveWithCells="1">
                  <from>
                    <xdr:col>0</xdr:col>
                    <xdr:colOff>60960</xdr:colOff>
                    <xdr:row>141</xdr:row>
                    <xdr:rowOff>30480</xdr:rowOff>
                  </from>
                  <to>
                    <xdr:col>0</xdr:col>
                    <xdr:colOff>236220</xdr:colOff>
                    <xdr:row>141</xdr:row>
                    <xdr:rowOff>182880</xdr:rowOff>
                  </to>
                </anchor>
              </controlPr>
            </control>
          </mc:Choice>
        </mc:AlternateContent>
        <mc:AlternateContent xmlns:mc="http://schemas.openxmlformats.org/markup-compatibility/2006">
          <mc:Choice Requires="x14">
            <control shapeId="64597" r:id="rId134" name="Check Box 4181">
              <controlPr defaultSize="0" autoFill="0" autoLine="0" autoPict="0">
                <anchor moveWithCells="1">
                  <from>
                    <xdr:col>0</xdr:col>
                    <xdr:colOff>60960</xdr:colOff>
                    <xdr:row>142</xdr:row>
                    <xdr:rowOff>30480</xdr:rowOff>
                  </from>
                  <to>
                    <xdr:col>0</xdr:col>
                    <xdr:colOff>236220</xdr:colOff>
                    <xdr:row>142</xdr:row>
                    <xdr:rowOff>182880</xdr:rowOff>
                  </to>
                </anchor>
              </controlPr>
            </control>
          </mc:Choice>
        </mc:AlternateContent>
        <mc:AlternateContent xmlns:mc="http://schemas.openxmlformats.org/markup-compatibility/2006">
          <mc:Choice Requires="x14">
            <control shapeId="64598" r:id="rId135" name="Check Box 4182">
              <controlPr defaultSize="0" autoFill="0" autoLine="0" autoPict="0">
                <anchor moveWithCells="1">
                  <from>
                    <xdr:col>0</xdr:col>
                    <xdr:colOff>60960</xdr:colOff>
                    <xdr:row>143</xdr:row>
                    <xdr:rowOff>30480</xdr:rowOff>
                  </from>
                  <to>
                    <xdr:col>0</xdr:col>
                    <xdr:colOff>236220</xdr:colOff>
                    <xdr:row>143</xdr:row>
                    <xdr:rowOff>182880</xdr:rowOff>
                  </to>
                </anchor>
              </controlPr>
            </control>
          </mc:Choice>
        </mc:AlternateContent>
        <mc:AlternateContent xmlns:mc="http://schemas.openxmlformats.org/markup-compatibility/2006">
          <mc:Choice Requires="x14">
            <control shapeId="64599" r:id="rId136" name="Check Box 4183">
              <controlPr defaultSize="0" autoFill="0" autoLine="0" autoPict="0">
                <anchor moveWithCells="1">
                  <from>
                    <xdr:col>0</xdr:col>
                    <xdr:colOff>60960</xdr:colOff>
                    <xdr:row>144</xdr:row>
                    <xdr:rowOff>30480</xdr:rowOff>
                  </from>
                  <to>
                    <xdr:col>0</xdr:col>
                    <xdr:colOff>236220</xdr:colOff>
                    <xdr:row>144</xdr:row>
                    <xdr:rowOff>182880</xdr:rowOff>
                  </to>
                </anchor>
              </controlPr>
            </control>
          </mc:Choice>
        </mc:AlternateContent>
        <mc:AlternateContent xmlns:mc="http://schemas.openxmlformats.org/markup-compatibility/2006">
          <mc:Choice Requires="x14">
            <control shapeId="64600" r:id="rId137" name="Check Box 4184">
              <controlPr defaultSize="0" autoFill="0" autoLine="0" autoPict="0">
                <anchor moveWithCells="1">
                  <from>
                    <xdr:col>0</xdr:col>
                    <xdr:colOff>60960</xdr:colOff>
                    <xdr:row>145</xdr:row>
                    <xdr:rowOff>30480</xdr:rowOff>
                  </from>
                  <to>
                    <xdr:col>0</xdr:col>
                    <xdr:colOff>236220</xdr:colOff>
                    <xdr:row>145</xdr:row>
                    <xdr:rowOff>182880</xdr:rowOff>
                  </to>
                </anchor>
              </controlPr>
            </control>
          </mc:Choice>
        </mc:AlternateContent>
        <mc:AlternateContent xmlns:mc="http://schemas.openxmlformats.org/markup-compatibility/2006">
          <mc:Choice Requires="x14">
            <control shapeId="64601" r:id="rId138" name="Check Box 4185">
              <controlPr defaultSize="0" autoFill="0" autoLine="0" autoPict="0">
                <anchor moveWithCells="1">
                  <from>
                    <xdr:col>0</xdr:col>
                    <xdr:colOff>60960</xdr:colOff>
                    <xdr:row>146</xdr:row>
                    <xdr:rowOff>30480</xdr:rowOff>
                  </from>
                  <to>
                    <xdr:col>0</xdr:col>
                    <xdr:colOff>236220</xdr:colOff>
                    <xdr:row>146</xdr:row>
                    <xdr:rowOff>182880</xdr:rowOff>
                  </to>
                </anchor>
              </controlPr>
            </control>
          </mc:Choice>
        </mc:AlternateContent>
        <mc:AlternateContent xmlns:mc="http://schemas.openxmlformats.org/markup-compatibility/2006">
          <mc:Choice Requires="x14">
            <control shapeId="64602" r:id="rId139" name="Check Box 4186">
              <controlPr defaultSize="0" autoFill="0" autoLine="0" autoPict="0">
                <anchor moveWithCells="1">
                  <from>
                    <xdr:col>0</xdr:col>
                    <xdr:colOff>60960</xdr:colOff>
                    <xdr:row>147</xdr:row>
                    <xdr:rowOff>30480</xdr:rowOff>
                  </from>
                  <to>
                    <xdr:col>0</xdr:col>
                    <xdr:colOff>236220</xdr:colOff>
                    <xdr:row>147</xdr:row>
                    <xdr:rowOff>182880</xdr:rowOff>
                  </to>
                </anchor>
              </controlPr>
            </control>
          </mc:Choice>
        </mc:AlternateContent>
        <mc:AlternateContent xmlns:mc="http://schemas.openxmlformats.org/markup-compatibility/2006">
          <mc:Choice Requires="x14">
            <control shapeId="64603" r:id="rId140" name="Check Box 4187">
              <controlPr defaultSize="0" autoFill="0" autoLine="0" autoPict="0">
                <anchor moveWithCells="1">
                  <from>
                    <xdr:col>0</xdr:col>
                    <xdr:colOff>60960</xdr:colOff>
                    <xdr:row>148</xdr:row>
                    <xdr:rowOff>30480</xdr:rowOff>
                  </from>
                  <to>
                    <xdr:col>0</xdr:col>
                    <xdr:colOff>236220</xdr:colOff>
                    <xdr:row>148</xdr:row>
                    <xdr:rowOff>182880</xdr:rowOff>
                  </to>
                </anchor>
              </controlPr>
            </control>
          </mc:Choice>
        </mc:AlternateContent>
        <mc:AlternateContent xmlns:mc="http://schemas.openxmlformats.org/markup-compatibility/2006">
          <mc:Choice Requires="x14">
            <control shapeId="64604" r:id="rId141" name="Check Box 4188">
              <controlPr defaultSize="0" autoFill="0" autoLine="0" autoPict="0">
                <anchor moveWithCells="1">
                  <from>
                    <xdr:col>0</xdr:col>
                    <xdr:colOff>60960</xdr:colOff>
                    <xdr:row>149</xdr:row>
                    <xdr:rowOff>30480</xdr:rowOff>
                  </from>
                  <to>
                    <xdr:col>0</xdr:col>
                    <xdr:colOff>236220</xdr:colOff>
                    <xdr:row>149</xdr:row>
                    <xdr:rowOff>182880</xdr:rowOff>
                  </to>
                </anchor>
              </controlPr>
            </control>
          </mc:Choice>
        </mc:AlternateContent>
        <mc:AlternateContent xmlns:mc="http://schemas.openxmlformats.org/markup-compatibility/2006">
          <mc:Choice Requires="x14">
            <control shapeId="64605" r:id="rId142" name="Check Box 4189">
              <controlPr defaultSize="0" autoFill="0" autoLine="0" autoPict="0">
                <anchor moveWithCells="1">
                  <from>
                    <xdr:col>0</xdr:col>
                    <xdr:colOff>60960</xdr:colOff>
                    <xdr:row>150</xdr:row>
                    <xdr:rowOff>30480</xdr:rowOff>
                  </from>
                  <to>
                    <xdr:col>0</xdr:col>
                    <xdr:colOff>236220</xdr:colOff>
                    <xdr:row>150</xdr:row>
                    <xdr:rowOff>182880</xdr:rowOff>
                  </to>
                </anchor>
              </controlPr>
            </control>
          </mc:Choice>
        </mc:AlternateContent>
        <mc:AlternateContent xmlns:mc="http://schemas.openxmlformats.org/markup-compatibility/2006">
          <mc:Choice Requires="x14">
            <control shapeId="64606" r:id="rId143" name="Check Box 4190">
              <controlPr defaultSize="0" autoFill="0" autoLine="0" autoPict="0">
                <anchor moveWithCells="1">
                  <from>
                    <xdr:col>0</xdr:col>
                    <xdr:colOff>60960</xdr:colOff>
                    <xdr:row>151</xdr:row>
                    <xdr:rowOff>30480</xdr:rowOff>
                  </from>
                  <to>
                    <xdr:col>0</xdr:col>
                    <xdr:colOff>236220</xdr:colOff>
                    <xdr:row>151</xdr:row>
                    <xdr:rowOff>182880</xdr:rowOff>
                  </to>
                </anchor>
              </controlPr>
            </control>
          </mc:Choice>
        </mc:AlternateContent>
        <mc:AlternateContent xmlns:mc="http://schemas.openxmlformats.org/markup-compatibility/2006">
          <mc:Choice Requires="x14">
            <control shapeId="64607" r:id="rId144" name="Check Box 4191">
              <controlPr defaultSize="0" autoFill="0" autoLine="0" autoPict="0">
                <anchor moveWithCells="1">
                  <from>
                    <xdr:col>0</xdr:col>
                    <xdr:colOff>60960</xdr:colOff>
                    <xdr:row>152</xdr:row>
                    <xdr:rowOff>30480</xdr:rowOff>
                  </from>
                  <to>
                    <xdr:col>0</xdr:col>
                    <xdr:colOff>236220</xdr:colOff>
                    <xdr:row>152</xdr:row>
                    <xdr:rowOff>182880</xdr:rowOff>
                  </to>
                </anchor>
              </controlPr>
            </control>
          </mc:Choice>
        </mc:AlternateContent>
        <mc:AlternateContent xmlns:mc="http://schemas.openxmlformats.org/markup-compatibility/2006">
          <mc:Choice Requires="x14">
            <control shapeId="64608" r:id="rId145" name="Check Box 4192">
              <controlPr defaultSize="0" autoFill="0" autoLine="0" autoPict="0">
                <anchor moveWithCells="1">
                  <from>
                    <xdr:col>0</xdr:col>
                    <xdr:colOff>60960</xdr:colOff>
                    <xdr:row>153</xdr:row>
                    <xdr:rowOff>30480</xdr:rowOff>
                  </from>
                  <to>
                    <xdr:col>0</xdr:col>
                    <xdr:colOff>236220</xdr:colOff>
                    <xdr:row>153</xdr:row>
                    <xdr:rowOff>182880</xdr:rowOff>
                  </to>
                </anchor>
              </controlPr>
            </control>
          </mc:Choice>
        </mc:AlternateContent>
        <mc:AlternateContent xmlns:mc="http://schemas.openxmlformats.org/markup-compatibility/2006">
          <mc:Choice Requires="x14">
            <control shapeId="64609" r:id="rId146" name="Check Box 4193">
              <controlPr defaultSize="0" autoFill="0" autoLine="0" autoPict="0">
                <anchor moveWithCells="1">
                  <from>
                    <xdr:col>0</xdr:col>
                    <xdr:colOff>60960</xdr:colOff>
                    <xdr:row>154</xdr:row>
                    <xdr:rowOff>30480</xdr:rowOff>
                  </from>
                  <to>
                    <xdr:col>0</xdr:col>
                    <xdr:colOff>236220</xdr:colOff>
                    <xdr:row>154</xdr:row>
                    <xdr:rowOff>182880</xdr:rowOff>
                  </to>
                </anchor>
              </controlPr>
            </control>
          </mc:Choice>
        </mc:AlternateContent>
        <mc:AlternateContent xmlns:mc="http://schemas.openxmlformats.org/markup-compatibility/2006">
          <mc:Choice Requires="x14">
            <control shapeId="64610" r:id="rId147" name="Check Box 4194">
              <controlPr defaultSize="0" autoFill="0" autoLine="0" autoPict="0">
                <anchor moveWithCells="1">
                  <from>
                    <xdr:col>0</xdr:col>
                    <xdr:colOff>60960</xdr:colOff>
                    <xdr:row>155</xdr:row>
                    <xdr:rowOff>30480</xdr:rowOff>
                  </from>
                  <to>
                    <xdr:col>0</xdr:col>
                    <xdr:colOff>236220</xdr:colOff>
                    <xdr:row>155</xdr:row>
                    <xdr:rowOff>182880</xdr:rowOff>
                  </to>
                </anchor>
              </controlPr>
            </control>
          </mc:Choice>
        </mc:AlternateContent>
        <mc:AlternateContent xmlns:mc="http://schemas.openxmlformats.org/markup-compatibility/2006">
          <mc:Choice Requires="x14">
            <control shapeId="64611" r:id="rId148" name="Check Box 4195">
              <controlPr defaultSize="0" autoFill="0" autoLine="0" autoPict="0">
                <anchor moveWithCells="1">
                  <from>
                    <xdr:col>0</xdr:col>
                    <xdr:colOff>60960</xdr:colOff>
                    <xdr:row>156</xdr:row>
                    <xdr:rowOff>30480</xdr:rowOff>
                  </from>
                  <to>
                    <xdr:col>0</xdr:col>
                    <xdr:colOff>236220</xdr:colOff>
                    <xdr:row>156</xdr:row>
                    <xdr:rowOff>182880</xdr:rowOff>
                  </to>
                </anchor>
              </controlPr>
            </control>
          </mc:Choice>
        </mc:AlternateContent>
        <mc:AlternateContent xmlns:mc="http://schemas.openxmlformats.org/markup-compatibility/2006">
          <mc:Choice Requires="x14">
            <control shapeId="64612" r:id="rId149" name="Check Box 4196">
              <controlPr defaultSize="0" autoFill="0" autoLine="0" autoPict="0">
                <anchor moveWithCells="1">
                  <from>
                    <xdr:col>0</xdr:col>
                    <xdr:colOff>60960</xdr:colOff>
                    <xdr:row>157</xdr:row>
                    <xdr:rowOff>30480</xdr:rowOff>
                  </from>
                  <to>
                    <xdr:col>0</xdr:col>
                    <xdr:colOff>236220</xdr:colOff>
                    <xdr:row>157</xdr:row>
                    <xdr:rowOff>182880</xdr:rowOff>
                  </to>
                </anchor>
              </controlPr>
            </control>
          </mc:Choice>
        </mc:AlternateContent>
        <mc:AlternateContent xmlns:mc="http://schemas.openxmlformats.org/markup-compatibility/2006">
          <mc:Choice Requires="x14">
            <control shapeId="64613" r:id="rId150" name="Check Box 4197">
              <controlPr defaultSize="0" autoFill="0" autoLine="0" autoPict="0">
                <anchor moveWithCells="1">
                  <from>
                    <xdr:col>0</xdr:col>
                    <xdr:colOff>60960</xdr:colOff>
                    <xdr:row>158</xdr:row>
                    <xdr:rowOff>30480</xdr:rowOff>
                  </from>
                  <to>
                    <xdr:col>0</xdr:col>
                    <xdr:colOff>236220</xdr:colOff>
                    <xdr:row>158</xdr:row>
                    <xdr:rowOff>182880</xdr:rowOff>
                  </to>
                </anchor>
              </controlPr>
            </control>
          </mc:Choice>
        </mc:AlternateContent>
        <mc:AlternateContent xmlns:mc="http://schemas.openxmlformats.org/markup-compatibility/2006">
          <mc:Choice Requires="x14">
            <control shapeId="64614" r:id="rId151" name="Check Box 4198">
              <controlPr defaultSize="0" autoFill="0" autoLine="0" autoPict="0">
                <anchor moveWithCells="1">
                  <from>
                    <xdr:col>0</xdr:col>
                    <xdr:colOff>60960</xdr:colOff>
                    <xdr:row>159</xdr:row>
                    <xdr:rowOff>30480</xdr:rowOff>
                  </from>
                  <to>
                    <xdr:col>0</xdr:col>
                    <xdr:colOff>236220</xdr:colOff>
                    <xdr:row>159</xdr:row>
                    <xdr:rowOff>182880</xdr:rowOff>
                  </to>
                </anchor>
              </controlPr>
            </control>
          </mc:Choice>
        </mc:AlternateContent>
        <mc:AlternateContent xmlns:mc="http://schemas.openxmlformats.org/markup-compatibility/2006">
          <mc:Choice Requires="x14">
            <control shapeId="64615" r:id="rId152" name="Check Box 4199">
              <controlPr defaultSize="0" autoFill="0" autoLine="0" autoPict="0">
                <anchor moveWithCells="1">
                  <from>
                    <xdr:col>0</xdr:col>
                    <xdr:colOff>60960</xdr:colOff>
                    <xdr:row>160</xdr:row>
                    <xdr:rowOff>30480</xdr:rowOff>
                  </from>
                  <to>
                    <xdr:col>0</xdr:col>
                    <xdr:colOff>236220</xdr:colOff>
                    <xdr:row>160</xdr:row>
                    <xdr:rowOff>182880</xdr:rowOff>
                  </to>
                </anchor>
              </controlPr>
            </control>
          </mc:Choice>
        </mc:AlternateContent>
        <mc:AlternateContent xmlns:mc="http://schemas.openxmlformats.org/markup-compatibility/2006">
          <mc:Choice Requires="x14">
            <control shapeId="64616" r:id="rId153" name="Check Box 4200">
              <controlPr defaultSize="0" autoFill="0" autoLine="0" autoPict="0">
                <anchor moveWithCells="1">
                  <from>
                    <xdr:col>0</xdr:col>
                    <xdr:colOff>60960</xdr:colOff>
                    <xdr:row>161</xdr:row>
                    <xdr:rowOff>30480</xdr:rowOff>
                  </from>
                  <to>
                    <xdr:col>0</xdr:col>
                    <xdr:colOff>236220</xdr:colOff>
                    <xdr:row>161</xdr:row>
                    <xdr:rowOff>182880</xdr:rowOff>
                  </to>
                </anchor>
              </controlPr>
            </control>
          </mc:Choice>
        </mc:AlternateContent>
        <mc:AlternateContent xmlns:mc="http://schemas.openxmlformats.org/markup-compatibility/2006">
          <mc:Choice Requires="x14">
            <control shapeId="64617" r:id="rId154" name="Check Box 4201">
              <controlPr defaultSize="0" autoFill="0" autoLine="0" autoPict="0">
                <anchor moveWithCells="1">
                  <from>
                    <xdr:col>0</xdr:col>
                    <xdr:colOff>60960</xdr:colOff>
                    <xdr:row>162</xdr:row>
                    <xdr:rowOff>30480</xdr:rowOff>
                  </from>
                  <to>
                    <xdr:col>0</xdr:col>
                    <xdr:colOff>236220</xdr:colOff>
                    <xdr:row>162</xdr:row>
                    <xdr:rowOff>182880</xdr:rowOff>
                  </to>
                </anchor>
              </controlPr>
            </control>
          </mc:Choice>
        </mc:AlternateContent>
        <mc:AlternateContent xmlns:mc="http://schemas.openxmlformats.org/markup-compatibility/2006">
          <mc:Choice Requires="x14">
            <control shapeId="64618" r:id="rId155" name="Check Box 4202">
              <controlPr defaultSize="0" autoFill="0" autoLine="0" autoPict="0">
                <anchor moveWithCells="1">
                  <from>
                    <xdr:col>0</xdr:col>
                    <xdr:colOff>60960</xdr:colOff>
                    <xdr:row>163</xdr:row>
                    <xdr:rowOff>30480</xdr:rowOff>
                  </from>
                  <to>
                    <xdr:col>0</xdr:col>
                    <xdr:colOff>236220</xdr:colOff>
                    <xdr:row>163</xdr:row>
                    <xdr:rowOff>182880</xdr:rowOff>
                  </to>
                </anchor>
              </controlPr>
            </control>
          </mc:Choice>
        </mc:AlternateContent>
        <mc:AlternateContent xmlns:mc="http://schemas.openxmlformats.org/markup-compatibility/2006">
          <mc:Choice Requires="x14">
            <control shapeId="64619" r:id="rId156" name="Check Box 4203">
              <controlPr defaultSize="0" autoFill="0" autoLine="0" autoPict="0">
                <anchor moveWithCells="1">
                  <from>
                    <xdr:col>0</xdr:col>
                    <xdr:colOff>60960</xdr:colOff>
                    <xdr:row>164</xdr:row>
                    <xdr:rowOff>30480</xdr:rowOff>
                  </from>
                  <to>
                    <xdr:col>0</xdr:col>
                    <xdr:colOff>236220</xdr:colOff>
                    <xdr:row>164</xdr:row>
                    <xdr:rowOff>182880</xdr:rowOff>
                  </to>
                </anchor>
              </controlPr>
            </control>
          </mc:Choice>
        </mc:AlternateContent>
        <mc:AlternateContent xmlns:mc="http://schemas.openxmlformats.org/markup-compatibility/2006">
          <mc:Choice Requires="x14">
            <control shapeId="64620" r:id="rId157" name="Check Box 4204">
              <controlPr defaultSize="0" autoFill="0" autoLine="0" autoPict="0">
                <anchor moveWithCells="1">
                  <from>
                    <xdr:col>0</xdr:col>
                    <xdr:colOff>60960</xdr:colOff>
                    <xdr:row>165</xdr:row>
                    <xdr:rowOff>30480</xdr:rowOff>
                  </from>
                  <to>
                    <xdr:col>0</xdr:col>
                    <xdr:colOff>236220</xdr:colOff>
                    <xdr:row>165</xdr:row>
                    <xdr:rowOff>182880</xdr:rowOff>
                  </to>
                </anchor>
              </controlPr>
            </control>
          </mc:Choice>
        </mc:AlternateContent>
        <mc:AlternateContent xmlns:mc="http://schemas.openxmlformats.org/markup-compatibility/2006">
          <mc:Choice Requires="x14">
            <control shapeId="64621" r:id="rId158" name="Check Box 4205">
              <controlPr defaultSize="0" autoFill="0" autoLine="0" autoPict="0">
                <anchor moveWithCells="1">
                  <from>
                    <xdr:col>0</xdr:col>
                    <xdr:colOff>60960</xdr:colOff>
                    <xdr:row>166</xdr:row>
                    <xdr:rowOff>30480</xdr:rowOff>
                  </from>
                  <to>
                    <xdr:col>0</xdr:col>
                    <xdr:colOff>236220</xdr:colOff>
                    <xdr:row>166</xdr:row>
                    <xdr:rowOff>182880</xdr:rowOff>
                  </to>
                </anchor>
              </controlPr>
            </control>
          </mc:Choice>
        </mc:AlternateContent>
        <mc:AlternateContent xmlns:mc="http://schemas.openxmlformats.org/markup-compatibility/2006">
          <mc:Choice Requires="x14">
            <control shapeId="64622" r:id="rId159" name="Check Box 4206">
              <controlPr defaultSize="0" autoFill="0" autoLine="0" autoPict="0">
                <anchor moveWithCells="1">
                  <from>
                    <xdr:col>0</xdr:col>
                    <xdr:colOff>60960</xdr:colOff>
                    <xdr:row>167</xdr:row>
                    <xdr:rowOff>30480</xdr:rowOff>
                  </from>
                  <to>
                    <xdr:col>0</xdr:col>
                    <xdr:colOff>236220</xdr:colOff>
                    <xdr:row>167</xdr:row>
                    <xdr:rowOff>182880</xdr:rowOff>
                  </to>
                </anchor>
              </controlPr>
            </control>
          </mc:Choice>
        </mc:AlternateContent>
        <mc:AlternateContent xmlns:mc="http://schemas.openxmlformats.org/markup-compatibility/2006">
          <mc:Choice Requires="x14">
            <control shapeId="64623" r:id="rId160" name="Check Box 4207">
              <controlPr defaultSize="0" autoFill="0" autoLine="0" autoPict="0">
                <anchor moveWithCells="1">
                  <from>
                    <xdr:col>0</xdr:col>
                    <xdr:colOff>60960</xdr:colOff>
                    <xdr:row>168</xdr:row>
                    <xdr:rowOff>30480</xdr:rowOff>
                  </from>
                  <to>
                    <xdr:col>0</xdr:col>
                    <xdr:colOff>236220</xdr:colOff>
                    <xdr:row>168</xdr:row>
                    <xdr:rowOff>182880</xdr:rowOff>
                  </to>
                </anchor>
              </controlPr>
            </control>
          </mc:Choice>
        </mc:AlternateContent>
        <mc:AlternateContent xmlns:mc="http://schemas.openxmlformats.org/markup-compatibility/2006">
          <mc:Choice Requires="x14">
            <control shapeId="64624" r:id="rId161" name="Check Box 4208">
              <controlPr defaultSize="0" autoFill="0" autoLine="0" autoPict="0">
                <anchor moveWithCells="1">
                  <from>
                    <xdr:col>0</xdr:col>
                    <xdr:colOff>60960</xdr:colOff>
                    <xdr:row>169</xdr:row>
                    <xdr:rowOff>30480</xdr:rowOff>
                  </from>
                  <to>
                    <xdr:col>0</xdr:col>
                    <xdr:colOff>236220</xdr:colOff>
                    <xdr:row>169</xdr:row>
                    <xdr:rowOff>182880</xdr:rowOff>
                  </to>
                </anchor>
              </controlPr>
            </control>
          </mc:Choice>
        </mc:AlternateContent>
        <mc:AlternateContent xmlns:mc="http://schemas.openxmlformats.org/markup-compatibility/2006">
          <mc:Choice Requires="x14">
            <control shapeId="64625" r:id="rId162" name="Check Box 4209">
              <controlPr defaultSize="0" autoFill="0" autoLine="0" autoPict="0">
                <anchor moveWithCells="1">
                  <from>
                    <xdr:col>0</xdr:col>
                    <xdr:colOff>60960</xdr:colOff>
                    <xdr:row>170</xdr:row>
                    <xdr:rowOff>30480</xdr:rowOff>
                  </from>
                  <to>
                    <xdr:col>0</xdr:col>
                    <xdr:colOff>236220</xdr:colOff>
                    <xdr:row>170</xdr:row>
                    <xdr:rowOff>182880</xdr:rowOff>
                  </to>
                </anchor>
              </controlPr>
            </control>
          </mc:Choice>
        </mc:AlternateContent>
        <mc:AlternateContent xmlns:mc="http://schemas.openxmlformats.org/markup-compatibility/2006">
          <mc:Choice Requires="x14">
            <control shapeId="64626" r:id="rId163" name="Check Box 4210">
              <controlPr defaultSize="0" autoFill="0" autoLine="0" autoPict="0">
                <anchor moveWithCells="1">
                  <from>
                    <xdr:col>0</xdr:col>
                    <xdr:colOff>60960</xdr:colOff>
                    <xdr:row>171</xdr:row>
                    <xdr:rowOff>30480</xdr:rowOff>
                  </from>
                  <to>
                    <xdr:col>0</xdr:col>
                    <xdr:colOff>236220</xdr:colOff>
                    <xdr:row>171</xdr:row>
                    <xdr:rowOff>182880</xdr:rowOff>
                  </to>
                </anchor>
              </controlPr>
            </control>
          </mc:Choice>
        </mc:AlternateContent>
        <mc:AlternateContent xmlns:mc="http://schemas.openxmlformats.org/markup-compatibility/2006">
          <mc:Choice Requires="x14">
            <control shapeId="64627" r:id="rId164" name="Check Box 4211">
              <controlPr defaultSize="0" autoFill="0" autoLine="0" autoPict="0">
                <anchor moveWithCells="1">
                  <from>
                    <xdr:col>0</xdr:col>
                    <xdr:colOff>60960</xdr:colOff>
                    <xdr:row>172</xdr:row>
                    <xdr:rowOff>30480</xdr:rowOff>
                  </from>
                  <to>
                    <xdr:col>0</xdr:col>
                    <xdr:colOff>236220</xdr:colOff>
                    <xdr:row>172</xdr:row>
                    <xdr:rowOff>182880</xdr:rowOff>
                  </to>
                </anchor>
              </controlPr>
            </control>
          </mc:Choice>
        </mc:AlternateContent>
        <mc:AlternateContent xmlns:mc="http://schemas.openxmlformats.org/markup-compatibility/2006">
          <mc:Choice Requires="x14">
            <control shapeId="64628" r:id="rId165" name="Check Box 4212">
              <controlPr defaultSize="0" autoFill="0" autoLine="0" autoPict="0">
                <anchor moveWithCells="1">
                  <from>
                    <xdr:col>0</xdr:col>
                    <xdr:colOff>60960</xdr:colOff>
                    <xdr:row>173</xdr:row>
                    <xdr:rowOff>30480</xdr:rowOff>
                  </from>
                  <to>
                    <xdr:col>0</xdr:col>
                    <xdr:colOff>236220</xdr:colOff>
                    <xdr:row>173</xdr:row>
                    <xdr:rowOff>182880</xdr:rowOff>
                  </to>
                </anchor>
              </controlPr>
            </control>
          </mc:Choice>
        </mc:AlternateContent>
        <mc:AlternateContent xmlns:mc="http://schemas.openxmlformats.org/markup-compatibility/2006">
          <mc:Choice Requires="x14">
            <control shapeId="64629" r:id="rId166" name="Check Box 4213">
              <controlPr defaultSize="0" autoFill="0" autoLine="0" autoPict="0">
                <anchor moveWithCells="1">
                  <from>
                    <xdr:col>0</xdr:col>
                    <xdr:colOff>60960</xdr:colOff>
                    <xdr:row>174</xdr:row>
                    <xdr:rowOff>30480</xdr:rowOff>
                  </from>
                  <to>
                    <xdr:col>0</xdr:col>
                    <xdr:colOff>236220</xdr:colOff>
                    <xdr:row>174</xdr:row>
                    <xdr:rowOff>182880</xdr:rowOff>
                  </to>
                </anchor>
              </controlPr>
            </control>
          </mc:Choice>
        </mc:AlternateContent>
        <mc:AlternateContent xmlns:mc="http://schemas.openxmlformats.org/markup-compatibility/2006">
          <mc:Choice Requires="x14">
            <control shapeId="64630" r:id="rId167" name="Check Box 4214">
              <controlPr defaultSize="0" autoFill="0" autoLine="0" autoPict="0">
                <anchor moveWithCells="1">
                  <from>
                    <xdr:col>0</xdr:col>
                    <xdr:colOff>60960</xdr:colOff>
                    <xdr:row>175</xdr:row>
                    <xdr:rowOff>30480</xdr:rowOff>
                  </from>
                  <to>
                    <xdr:col>0</xdr:col>
                    <xdr:colOff>236220</xdr:colOff>
                    <xdr:row>175</xdr:row>
                    <xdr:rowOff>182880</xdr:rowOff>
                  </to>
                </anchor>
              </controlPr>
            </control>
          </mc:Choice>
        </mc:AlternateContent>
        <mc:AlternateContent xmlns:mc="http://schemas.openxmlformats.org/markup-compatibility/2006">
          <mc:Choice Requires="x14">
            <control shapeId="64631" r:id="rId168" name="Check Box 4215">
              <controlPr defaultSize="0" autoFill="0" autoLine="0" autoPict="0">
                <anchor moveWithCells="1">
                  <from>
                    <xdr:col>0</xdr:col>
                    <xdr:colOff>60960</xdr:colOff>
                    <xdr:row>176</xdr:row>
                    <xdr:rowOff>30480</xdr:rowOff>
                  </from>
                  <to>
                    <xdr:col>0</xdr:col>
                    <xdr:colOff>236220</xdr:colOff>
                    <xdr:row>176</xdr:row>
                    <xdr:rowOff>182880</xdr:rowOff>
                  </to>
                </anchor>
              </controlPr>
            </control>
          </mc:Choice>
        </mc:AlternateContent>
        <mc:AlternateContent xmlns:mc="http://schemas.openxmlformats.org/markup-compatibility/2006">
          <mc:Choice Requires="x14">
            <control shapeId="64632" r:id="rId169" name="Check Box 4216">
              <controlPr defaultSize="0" autoFill="0" autoLine="0" autoPict="0">
                <anchor moveWithCells="1">
                  <from>
                    <xdr:col>0</xdr:col>
                    <xdr:colOff>60960</xdr:colOff>
                    <xdr:row>177</xdr:row>
                    <xdr:rowOff>30480</xdr:rowOff>
                  </from>
                  <to>
                    <xdr:col>0</xdr:col>
                    <xdr:colOff>236220</xdr:colOff>
                    <xdr:row>177</xdr:row>
                    <xdr:rowOff>182880</xdr:rowOff>
                  </to>
                </anchor>
              </controlPr>
            </control>
          </mc:Choice>
        </mc:AlternateContent>
        <mc:AlternateContent xmlns:mc="http://schemas.openxmlformats.org/markup-compatibility/2006">
          <mc:Choice Requires="x14">
            <control shapeId="64633" r:id="rId170" name="Check Box 4217">
              <controlPr defaultSize="0" autoFill="0" autoLine="0" autoPict="0">
                <anchor moveWithCells="1">
                  <from>
                    <xdr:col>0</xdr:col>
                    <xdr:colOff>60960</xdr:colOff>
                    <xdr:row>178</xdr:row>
                    <xdr:rowOff>30480</xdr:rowOff>
                  </from>
                  <to>
                    <xdr:col>0</xdr:col>
                    <xdr:colOff>236220</xdr:colOff>
                    <xdr:row>178</xdr:row>
                    <xdr:rowOff>182880</xdr:rowOff>
                  </to>
                </anchor>
              </controlPr>
            </control>
          </mc:Choice>
        </mc:AlternateContent>
        <mc:AlternateContent xmlns:mc="http://schemas.openxmlformats.org/markup-compatibility/2006">
          <mc:Choice Requires="x14">
            <control shapeId="64634" r:id="rId171" name="Check Box 4218">
              <controlPr defaultSize="0" autoFill="0" autoLine="0" autoPict="0">
                <anchor moveWithCells="1">
                  <from>
                    <xdr:col>0</xdr:col>
                    <xdr:colOff>60960</xdr:colOff>
                    <xdr:row>179</xdr:row>
                    <xdr:rowOff>30480</xdr:rowOff>
                  </from>
                  <to>
                    <xdr:col>0</xdr:col>
                    <xdr:colOff>236220</xdr:colOff>
                    <xdr:row>179</xdr:row>
                    <xdr:rowOff>182880</xdr:rowOff>
                  </to>
                </anchor>
              </controlPr>
            </control>
          </mc:Choice>
        </mc:AlternateContent>
        <mc:AlternateContent xmlns:mc="http://schemas.openxmlformats.org/markup-compatibility/2006">
          <mc:Choice Requires="x14">
            <control shapeId="64635" r:id="rId172" name="Check Box 4219">
              <controlPr defaultSize="0" autoFill="0" autoLine="0" autoPict="0">
                <anchor moveWithCells="1">
                  <from>
                    <xdr:col>0</xdr:col>
                    <xdr:colOff>60960</xdr:colOff>
                    <xdr:row>180</xdr:row>
                    <xdr:rowOff>30480</xdr:rowOff>
                  </from>
                  <to>
                    <xdr:col>0</xdr:col>
                    <xdr:colOff>236220</xdr:colOff>
                    <xdr:row>180</xdr:row>
                    <xdr:rowOff>182880</xdr:rowOff>
                  </to>
                </anchor>
              </controlPr>
            </control>
          </mc:Choice>
        </mc:AlternateContent>
        <mc:AlternateContent xmlns:mc="http://schemas.openxmlformats.org/markup-compatibility/2006">
          <mc:Choice Requires="x14">
            <control shapeId="64636" r:id="rId173" name="Check Box 4220">
              <controlPr defaultSize="0" autoFill="0" autoLine="0" autoPict="0">
                <anchor moveWithCells="1">
                  <from>
                    <xdr:col>0</xdr:col>
                    <xdr:colOff>60960</xdr:colOff>
                    <xdr:row>181</xdr:row>
                    <xdr:rowOff>30480</xdr:rowOff>
                  </from>
                  <to>
                    <xdr:col>0</xdr:col>
                    <xdr:colOff>236220</xdr:colOff>
                    <xdr:row>181</xdr:row>
                    <xdr:rowOff>182880</xdr:rowOff>
                  </to>
                </anchor>
              </controlPr>
            </control>
          </mc:Choice>
        </mc:AlternateContent>
        <mc:AlternateContent xmlns:mc="http://schemas.openxmlformats.org/markup-compatibility/2006">
          <mc:Choice Requires="x14">
            <control shapeId="64637" r:id="rId174" name="Check Box 4221">
              <controlPr defaultSize="0" autoFill="0" autoLine="0" autoPict="0">
                <anchor moveWithCells="1">
                  <from>
                    <xdr:col>0</xdr:col>
                    <xdr:colOff>60960</xdr:colOff>
                    <xdr:row>182</xdr:row>
                    <xdr:rowOff>30480</xdr:rowOff>
                  </from>
                  <to>
                    <xdr:col>0</xdr:col>
                    <xdr:colOff>236220</xdr:colOff>
                    <xdr:row>182</xdr:row>
                    <xdr:rowOff>182880</xdr:rowOff>
                  </to>
                </anchor>
              </controlPr>
            </control>
          </mc:Choice>
        </mc:AlternateContent>
        <mc:AlternateContent xmlns:mc="http://schemas.openxmlformats.org/markup-compatibility/2006">
          <mc:Choice Requires="x14">
            <control shapeId="64638" r:id="rId175" name="Check Box 4222">
              <controlPr defaultSize="0" autoFill="0" autoLine="0" autoPict="0">
                <anchor moveWithCells="1">
                  <from>
                    <xdr:col>0</xdr:col>
                    <xdr:colOff>60960</xdr:colOff>
                    <xdr:row>183</xdr:row>
                    <xdr:rowOff>30480</xdr:rowOff>
                  </from>
                  <to>
                    <xdr:col>0</xdr:col>
                    <xdr:colOff>236220</xdr:colOff>
                    <xdr:row>183</xdr:row>
                    <xdr:rowOff>182880</xdr:rowOff>
                  </to>
                </anchor>
              </controlPr>
            </control>
          </mc:Choice>
        </mc:AlternateContent>
        <mc:AlternateContent xmlns:mc="http://schemas.openxmlformats.org/markup-compatibility/2006">
          <mc:Choice Requires="x14">
            <control shapeId="64639" r:id="rId176" name="Check Box 4223">
              <controlPr defaultSize="0" autoFill="0" autoLine="0" autoPict="0">
                <anchor moveWithCells="1">
                  <from>
                    <xdr:col>0</xdr:col>
                    <xdr:colOff>60960</xdr:colOff>
                    <xdr:row>184</xdr:row>
                    <xdr:rowOff>30480</xdr:rowOff>
                  </from>
                  <to>
                    <xdr:col>0</xdr:col>
                    <xdr:colOff>236220</xdr:colOff>
                    <xdr:row>184</xdr:row>
                    <xdr:rowOff>182880</xdr:rowOff>
                  </to>
                </anchor>
              </controlPr>
            </control>
          </mc:Choice>
        </mc:AlternateContent>
        <mc:AlternateContent xmlns:mc="http://schemas.openxmlformats.org/markup-compatibility/2006">
          <mc:Choice Requires="x14">
            <control shapeId="64640" r:id="rId177" name="Check Box 4224">
              <controlPr defaultSize="0" autoFill="0" autoLine="0" autoPict="0">
                <anchor moveWithCells="1">
                  <from>
                    <xdr:col>0</xdr:col>
                    <xdr:colOff>60960</xdr:colOff>
                    <xdr:row>185</xdr:row>
                    <xdr:rowOff>30480</xdr:rowOff>
                  </from>
                  <to>
                    <xdr:col>0</xdr:col>
                    <xdr:colOff>236220</xdr:colOff>
                    <xdr:row>185</xdr:row>
                    <xdr:rowOff>182880</xdr:rowOff>
                  </to>
                </anchor>
              </controlPr>
            </control>
          </mc:Choice>
        </mc:AlternateContent>
        <mc:AlternateContent xmlns:mc="http://schemas.openxmlformats.org/markup-compatibility/2006">
          <mc:Choice Requires="x14">
            <control shapeId="64641" r:id="rId178" name="Check Box 4225">
              <controlPr defaultSize="0" autoFill="0" autoLine="0" autoPict="0">
                <anchor moveWithCells="1">
                  <from>
                    <xdr:col>0</xdr:col>
                    <xdr:colOff>60960</xdr:colOff>
                    <xdr:row>186</xdr:row>
                    <xdr:rowOff>30480</xdr:rowOff>
                  </from>
                  <to>
                    <xdr:col>0</xdr:col>
                    <xdr:colOff>236220</xdr:colOff>
                    <xdr:row>186</xdr:row>
                    <xdr:rowOff>182880</xdr:rowOff>
                  </to>
                </anchor>
              </controlPr>
            </control>
          </mc:Choice>
        </mc:AlternateContent>
        <mc:AlternateContent xmlns:mc="http://schemas.openxmlformats.org/markup-compatibility/2006">
          <mc:Choice Requires="x14">
            <control shapeId="64642" r:id="rId179" name="Check Box 4226">
              <controlPr defaultSize="0" autoFill="0" autoLine="0" autoPict="0">
                <anchor moveWithCells="1">
                  <from>
                    <xdr:col>0</xdr:col>
                    <xdr:colOff>60960</xdr:colOff>
                    <xdr:row>187</xdr:row>
                    <xdr:rowOff>30480</xdr:rowOff>
                  </from>
                  <to>
                    <xdr:col>0</xdr:col>
                    <xdr:colOff>236220</xdr:colOff>
                    <xdr:row>187</xdr:row>
                    <xdr:rowOff>182880</xdr:rowOff>
                  </to>
                </anchor>
              </controlPr>
            </control>
          </mc:Choice>
        </mc:AlternateContent>
        <mc:AlternateContent xmlns:mc="http://schemas.openxmlformats.org/markup-compatibility/2006">
          <mc:Choice Requires="x14">
            <control shapeId="64643" r:id="rId180" name="Check Box 4227">
              <controlPr defaultSize="0" autoFill="0" autoLine="0" autoPict="0">
                <anchor moveWithCells="1">
                  <from>
                    <xdr:col>0</xdr:col>
                    <xdr:colOff>60960</xdr:colOff>
                    <xdr:row>188</xdr:row>
                    <xdr:rowOff>30480</xdr:rowOff>
                  </from>
                  <to>
                    <xdr:col>0</xdr:col>
                    <xdr:colOff>236220</xdr:colOff>
                    <xdr:row>188</xdr:row>
                    <xdr:rowOff>182880</xdr:rowOff>
                  </to>
                </anchor>
              </controlPr>
            </control>
          </mc:Choice>
        </mc:AlternateContent>
        <mc:AlternateContent xmlns:mc="http://schemas.openxmlformats.org/markup-compatibility/2006">
          <mc:Choice Requires="x14">
            <control shapeId="64644" r:id="rId181" name="Check Box 4228">
              <controlPr defaultSize="0" autoFill="0" autoLine="0" autoPict="0">
                <anchor moveWithCells="1">
                  <from>
                    <xdr:col>0</xdr:col>
                    <xdr:colOff>60960</xdr:colOff>
                    <xdr:row>189</xdr:row>
                    <xdr:rowOff>30480</xdr:rowOff>
                  </from>
                  <to>
                    <xdr:col>0</xdr:col>
                    <xdr:colOff>236220</xdr:colOff>
                    <xdr:row>189</xdr:row>
                    <xdr:rowOff>182880</xdr:rowOff>
                  </to>
                </anchor>
              </controlPr>
            </control>
          </mc:Choice>
        </mc:AlternateContent>
        <mc:AlternateContent xmlns:mc="http://schemas.openxmlformats.org/markup-compatibility/2006">
          <mc:Choice Requires="x14">
            <control shapeId="64645" r:id="rId182" name="Check Box 4229">
              <controlPr defaultSize="0" autoFill="0" autoLine="0" autoPict="0">
                <anchor moveWithCells="1">
                  <from>
                    <xdr:col>0</xdr:col>
                    <xdr:colOff>60960</xdr:colOff>
                    <xdr:row>190</xdr:row>
                    <xdr:rowOff>30480</xdr:rowOff>
                  </from>
                  <to>
                    <xdr:col>0</xdr:col>
                    <xdr:colOff>236220</xdr:colOff>
                    <xdr:row>190</xdr:row>
                    <xdr:rowOff>182880</xdr:rowOff>
                  </to>
                </anchor>
              </controlPr>
            </control>
          </mc:Choice>
        </mc:AlternateContent>
        <mc:AlternateContent xmlns:mc="http://schemas.openxmlformats.org/markup-compatibility/2006">
          <mc:Choice Requires="x14">
            <control shapeId="64646" r:id="rId183" name="Check Box 4230">
              <controlPr defaultSize="0" autoFill="0" autoLine="0" autoPict="0">
                <anchor moveWithCells="1">
                  <from>
                    <xdr:col>0</xdr:col>
                    <xdr:colOff>60960</xdr:colOff>
                    <xdr:row>191</xdr:row>
                    <xdr:rowOff>30480</xdr:rowOff>
                  </from>
                  <to>
                    <xdr:col>0</xdr:col>
                    <xdr:colOff>236220</xdr:colOff>
                    <xdr:row>191</xdr:row>
                    <xdr:rowOff>182880</xdr:rowOff>
                  </to>
                </anchor>
              </controlPr>
            </control>
          </mc:Choice>
        </mc:AlternateContent>
        <mc:AlternateContent xmlns:mc="http://schemas.openxmlformats.org/markup-compatibility/2006">
          <mc:Choice Requires="x14">
            <control shapeId="64647" r:id="rId184" name="Check Box 4231">
              <controlPr defaultSize="0" autoFill="0" autoLine="0" autoPict="0">
                <anchor moveWithCells="1">
                  <from>
                    <xdr:col>0</xdr:col>
                    <xdr:colOff>60960</xdr:colOff>
                    <xdr:row>192</xdr:row>
                    <xdr:rowOff>30480</xdr:rowOff>
                  </from>
                  <to>
                    <xdr:col>0</xdr:col>
                    <xdr:colOff>236220</xdr:colOff>
                    <xdr:row>192</xdr:row>
                    <xdr:rowOff>182880</xdr:rowOff>
                  </to>
                </anchor>
              </controlPr>
            </control>
          </mc:Choice>
        </mc:AlternateContent>
        <mc:AlternateContent xmlns:mc="http://schemas.openxmlformats.org/markup-compatibility/2006">
          <mc:Choice Requires="x14">
            <control shapeId="64648" r:id="rId185" name="Check Box 4232">
              <controlPr defaultSize="0" autoFill="0" autoLine="0" autoPict="0">
                <anchor moveWithCells="1">
                  <from>
                    <xdr:col>0</xdr:col>
                    <xdr:colOff>60960</xdr:colOff>
                    <xdr:row>193</xdr:row>
                    <xdr:rowOff>30480</xdr:rowOff>
                  </from>
                  <to>
                    <xdr:col>0</xdr:col>
                    <xdr:colOff>236220</xdr:colOff>
                    <xdr:row>193</xdr:row>
                    <xdr:rowOff>182880</xdr:rowOff>
                  </to>
                </anchor>
              </controlPr>
            </control>
          </mc:Choice>
        </mc:AlternateContent>
        <mc:AlternateContent xmlns:mc="http://schemas.openxmlformats.org/markup-compatibility/2006">
          <mc:Choice Requires="x14">
            <control shapeId="64649" r:id="rId186" name="Check Box 4233">
              <controlPr defaultSize="0" autoFill="0" autoLine="0" autoPict="0">
                <anchor moveWithCells="1">
                  <from>
                    <xdr:col>0</xdr:col>
                    <xdr:colOff>60960</xdr:colOff>
                    <xdr:row>194</xdr:row>
                    <xdr:rowOff>30480</xdr:rowOff>
                  </from>
                  <to>
                    <xdr:col>0</xdr:col>
                    <xdr:colOff>236220</xdr:colOff>
                    <xdr:row>194</xdr:row>
                    <xdr:rowOff>182880</xdr:rowOff>
                  </to>
                </anchor>
              </controlPr>
            </control>
          </mc:Choice>
        </mc:AlternateContent>
        <mc:AlternateContent xmlns:mc="http://schemas.openxmlformats.org/markup-compatibility/2006">
          <mc:Choice Requires="x14">
            <control shapeId="64650" r:id="rId187" name="Check Box 4234">
              <controlPr defaultSize="0" autoFill="0" autoLine="0" autoPict="0">
                <anchor moveWithCells="1">
                  <from>
                    <xdr:col>0</xdr:col>
                    <xdr:colOff>60960</xdr:colOff>
                    <xdr:row>195</xdr:row>
                    <xdr:rowOff>30480</xdr:rowOff>
                  </from>
                  <to>
                    <xdr:col>0</xdr:col>
                    <xdr:colOff>236220</xdr:colOff>
                    <xdr:row>195</xdr:row>
                    <xdr:rowOff>182880</xdr:rowOff>
                  </to>
                </anchor>
              </controlPr>
            </control>
          </mc:Choice>
        </mc:AlternateContent>
        <mc:AlternateContent xmlns:mc="http://schemas.openxmlformats.org/markup-compatibility/2006">
          <mc:Choice Requires="x14">
            <control shapeId="64651" r:id="rId188" name="Check Box 4235">
              <controlPr defaultSize="0" autoFill="0" autoLine="0" autoPict="0">
                <anchor moveWithCells="1">
                  <from>
                    <xdr:col>0</xdr:col>
                    <xdr:colOff>60960</xdr:colOff>
                    <xdr:row>196</xdr:row>
                    <xdr:rowOff>30480</xdr:rowOff>
                  </from>
                  <to>
                    <xdr:col>0</xdr:col>
                    <xdr:colOff>236220</xdr:colOff>
                    <xdr:row>196</xdr:row>
                    <xdr:rowOff>182880</xdr:rowOff>
                  </to>
                </anchor>
              </controlPr>
            </control>
          </mc:Choice>
        </mc:AlternateContent>
        <mc:AlternateContent xmlns:mc="http://schemas.openxmlformats.org/markup-compatibility/2006">
          <mc:Choice Requires="x14">
            <control shapeId="64652" r:id="rId189" name="Check Box 4236">
              <controlPr defaultSize="0" autoFill="0" autoLine="0" autoPict="0">
                <anchor moveWithCells="1">
                  <from>
                    <xdr:col>0</xdr:col>
                    <xdr:colOff>60960</xdr:colOff>
                    <xdr:row>197</xdr:row>
                    <xdr:rowOff>30480</xdr:rowOff>
                  </from>
                  <to>
                    <xdr:col>0</xdr:col>
                    <xdr:colOff>236220</xdr:colOff>
                    <xdr:row>197</xdr:row>
                    <xdr:rowOff>182880</xdr:rowOff>
                  </to>
                </anchor>
              </controlPr>
            </control>
          </mc:Choice>
        </mc:AlternateContent>
        <mc:AlternateContent xmlns:mc="http://schemas.openxmlformats.org/markup-compatibility/2006">
          <mc:Choice Requires="x14">
            <control shapeId="64653" r:id="rId190" name="Check Box 4237">
              <controlPr defaultSize="0" autoFill="0" autoLine="0" autoPict="0">
                <anchor moveWithCells="1">
                  <from>
                    <xdr:col>0</xdr:col>
                    <xdr:colOff>60960</xdr:colOff>
                    <xdr:row>198</xdr:row>
                    <xdr:rowOff>30480</xdr:rowOff>
                  </from>
                  <to>
                    <xdr:col>0</xdr:col>
                    <xdr:colOff>236220</xdr:colOff>
                    <xdr:row>198</xdr:row>
                    <xdr:rowOff>182880</xdr:rowOff>
                  </to>
                </anchor>
              </controlPr>
            </control>
          </mc:Choice>
        </mc:AlternateContent>
        <mc:AlternateContent xmlns:mc="http://schemas.openxmlformats.org/markup-compatibility/2006">
          <mc:Choice Requires="x14">
            <control shapeId="64654" r:id="rId191" name="Check Box 4238">
              <controlPr defaultSize="0" autoFill="0" autoLine="0" autoPict="0">
                <anchor moveWithCells="1">
                  <from>
                    <xdr:col>0</xdr:col>
                    <xdr:colOff>60960</xdr:colOff>
                    <xdr:row>199</xdr:row>
                    <xdr:rowOff>30480</xdr:rowOff>
                  </from>
                  <to>
                    <xdr:col>0</xdr:col>
                    <xdr:colOff>236220</xdr:colOff>
                    <xdr:row>199</xdr:row>
                    <xdr:rowOff>182880</xdr:rowOff>
                  </to>
                </anchor>
              </controlPr>
            </control>
          </mc:Choice>
        </mc:AlternateContent>
        <mc:AlternateContent xmlns:mc="http://schemas.openxmlformats.org/markup-compatibility/2006">
          <mc:Choice Requires="x14">
            <control shapeId="64655" r:id="rId192" name="Check Box 4239">
              <controlPr defaultSize="0" autoFill="0" autoLine="0" autoPict="0">
                <anchor moveWithCells="1">
                  <from>
                    <xdr:col>0</xdr:col>
                    <xdr:colOff>60960</xdr:colOff>
                    <xdr:row>200</xdr:row>
                    <xdr:rowOff>30480</xdr:rowOff>
                  </from>
                  <to>
                    <xdr:col>0</xdr:col>
                    <xdr:colOff>236220</xdr:colOff>
                    <xdr:row>200</xdr:row>
                    <xdr:rowOff>182880</xdr:rowOff>
                  </to>
                </anchor>
              </controlPr>
            </control>
          </mc:Choice>
        </mc:AlternateContent>
        <mc:AlternateContent xmlns:mc="http://schemas.openxmlformats.org/markup-compatibility/2006">
          <mc:Choice Requires="x14">
            <control shapeId="64656" r:id="rId193" name="Check Box 4240">
              <controlPr defaultSize="0" autoFill="0" autoLine="0" autoPict="0">
                <anchor moveWithCells="1">
                  <from>
                    <xdr:col>0</xdr:col>
                    <xdr:colOff>60960</xdr:colOff>
                    <xdr:row>201</xdr:row>
                    <xdr:rowOff>30480</xdr:rowOff>
                  </from>
                  <to>
                    <xdr:col>0</xdr:col>
                    <xdr:colOff>236220</xdr:colOff>
                    <xdr:row>201</xdr:row>
                    <xdr:rowOff>182880</xdr:rowOff>
                  </to>
                </anchor>
              </controlPr>
            </control>
          </mc:Choice>
        </mc:AlternateContent>
        <mc:AlternateContent xmlns:mc="http://schemas.openxmlformats.org/markup-compatibility/2006">
          <mc:Choice Requires="x14">
            <control shapeId="64657" r:id="rId194" name="Check Box 4241">
              <controlPr defaultSize="0" autoFill="0" autoLine="0" autoPict="0">
                <anchor moveWithCells="1">
                  <from>
                    <xdr:col>0</xdr:col>
                    <xdr:colOff>60960</xdr:colOff>
                    <xdr:row>202</xdr:row>
                    <xdr:rowOff>30480</xdr:rowOff>
                  </from>
                  <to>
                    <xdr:col>0</xdr:col>
                    <xdr:colOff>236220</xdr:colOff>
                    <xdr:row>202</xdr:row>
                    <xdr:rowOff>182880</xdr:rowOff>
                  </to>
                </anchor>
              </controlPr>
            </control>
          </mc:Choice>
        </mc:AlternateContent>
        <mc:AlternateContent xmlns:mc="http://schemas.openxmlformats.org/markup-compatibility/2006">
          <mc:Choice Requires="x14">
            <control shapeId="64658" r:id="rId195" name="Check Box 4242">
              <controlPr defaultSize="0" autoFill="0" autoLine="0" autoPict="0">
                <anchor moveWithCells="1">
                  <from>
                    <xdr:col>0</xdr:col>
                    <xdr:colOff>60960</xdr:colOff>
                    <xdr:row>203</xdr:row>
                    <xdr:rowOff>30480</xdr:rowOff>
                  </from>
                  <to>
                    <xdr:col>0</xdr:col>
                    <xdr:colOff>236220</xdr:colOff>
                    <xdr:row>203</xdr:row>
                    <xdr:rowOff>182880</xdr:rowOff>
                  </to>
                </anchor>
              </controlPr>
            </control>
          </mc:Choice>
        </mc:AlternateContent>
        <mc:AlternateContent xmlns:mc="http://schemas.openxmlformats.org/markup-compatibility/2006">
          <mc:Choice Requires="x14">
            <control shapeId="64659" r:id="rId196" name="Check Box 4243">
              <controlPr defaultSize="0" autoFill="0" autoLine="0" autoPict="0">
                <anchor moveWithCells="1">
                  <from>
                    <xdr:col>0</xdr:col>
                    <xdr:colOff>60960</xdr:colOff>
                    <xdr:row>204</xdr:row>
                    <xdr:rowOff>30480</xdr:rowOff>
                  </from>
                  <to>
                    <xdr:col>0</xdr:col>
                    <xdr:colOff>236220</xdr:colOff>
                    <xdr:row>204</xdr:row>
                    <xdr:rowOff>182880</xdr:rowOff>
                  </to>
                </anchor>
              </controlPr>
            </control>
          </mc:Choice>
        </mc:AlternateContent>
        <mc:AlternateContent xmlns:mc="http://schemas.openxmlformats.org/markup-compatibility/2006">
          <mc:Choice Requires="x14">
            <control shapeId="64660" r:id="rId197" name="Check Box 4244">
              <controlPr defaultSize="0" autoFill="0" autoLine="0" autoPict="0">
                <anchor moveWithCells="1">
                  <from>
                    <xdr:col>0</xdr:col>
                    <xdr:colOff>60960</xdr:colOff>
                    <xdr:row>205</xdr:row>
                    <xdr:rowOff>30480</xdr:rowOff>
                  </from>
                  <to>
                    <xdr:col>0</xdr:col>
                    <xdr:colOff>236220</xdr:colOff>
                    <xdr:row>205</xdr:row>
                    <xdr:rowOff>182880</xdr:rowOff>
                  </to>
                </anchor>
              </controlPr>
            </control>
          </mc:Choice>
        </mc:AlternateContent>
        <mc:AlternateContent xmlns:mc="http://schemas.openxmlformats.org/markup-compatibility/2006">
          <mc:Choice Requires="x14">
            <control shapeId="64661" r:id="rId198" name="Check Box 4245">
              <controlPr defaultSize="0" autoFill="0" autoLine="0" autoPict="0">
                <anchor moveWithCells="1">
                  <from>
                    <xdr:col>0</xdr:col>
                    <xdr:colOff>60960</xdr:colOff>
                    <xdr:row>206</xdr:row>
                    <xdr:rowOff>30480</xdr:rowOff>
                  </from>
                  <to>
                    <xdr:col>0</xdr:col>
                    <xdr:colOff>236220</xdr:colOff>
                    <xdr:row>206</xdr:row>
                    <xdr:rowOff>182880</xdr:rowOff>
                  </to>
                </anchor>
              </controlPr>
            </control>
          </mc:Choice>
        </mc:AlternateContent>
        <mc:AlternateContent xmlns:mc="http://schemas.openxmlformats.org/markup-compatibility/2006">
          <mc:Choice Requires="x14">
            <control shapeId="64662" r:id="rId199" name="Check Box 4246">
              <controlPr defaultSize="0" autoFill="0" autoLine="0" autoPict="0">
                <anchor moveWithCells="1">
                  <from>
                    <xdr:col>0</xdr:col>
                    <xdr:colOff>60960</xdr:colOff>
                    <xdr:row>207</xdr:row>
                    <xdr:rowOff>30480</xdr:rowOff>
                  </from>
                  <to>
                    <xdr:col>0</xdr:col>
                    <xdr:colOff>236220</xdr:colOff>
                    <xdr:row>207</xdr:row>
                    <xdr:rowOff>182880</xdr:rowOff>
                  </to>
                </anchor>
              </controlPr>
            </control>
          </mc:Choice>
        </mc:AlternateContent>
        <mc:AlternateContent xmlns:mc="http://schemas.openxmlformats.org/markup-compatibility/2006">
          <mc:Choice Requires="x14">
            <control shapeId="64663" r:id="rId200" name="Check Box 4247">
              <controlPr defaultSize="0" autoFill="0" autoLine="0" autoPict="0">
                <anchor moveWithCells="1">
                  <from>
                    <xdr:col>0</xdr:col>
                    <xdr:colOff>60960</xdr:colOff>
                    <xdr:row>208</xdr:row>
                    <xdr:rowOff>30480</xdr:rowOff>
                  </from>
                  <to>
                    <xdr:col>0</xdr:col>
                    <xdr:colOff>236220</xdr:colOff>
                    <xdr:row>208</xdr:row>
                    <xdr:rowOff>182880</xdr:rowOff>
                  </to>
                </anchor>
              </controlPr>
            </control>
          </mc:Choice>
        </mc:AlternateContent>
        <mc:AlternateContent xmlns:mc="http://schemas.openxmlformats.org/markup-compatibility/2006">
          <mc:Choice Requires="x14">
            <control shapeId="64664" r:id="rId201" name="Check Box 4248">
              <controlPr defaultSize="0" autoFill="0" autoLine="0" autoPict="0">
                <anchor moveWithCells="1">
                  <from>
                    <xdr:col>0</xdr:col>
                    <xdr:colOff>60960</xdr:colOff>
                    <xdr:row>209</xdr:row>
                    <xdr:rowOff>30480</xdr:rowOff>
                  </from>
                  <to>
                    <xdr:col>0</xdr:col>
                    <xdr:colOff>236220</xdr:colOff>
                    <xdr:row>209</xdr:row>
                    <xdr:rowOff>182880</xdr:rowOff>
                  </to>
                </anchor>
              </controlPr>
            </control>
          </mc:Choice>
        </mc:AlternateContent>
        <mc:AlternateContent xmlns:mc="http://schemas.openxmlformats.org/markup-compatibility/2006">
          <mc:Choice Requires="x14">
            <control shapeId="64665" r:id="rId202" name="Check Box 4249">
              <controlPr defaultSize="0" autoFill="0" autoLine="0" autoPict="0">
                <anchor moveWithCells="1">
                  <from>
                    <xdr:col>0</xdr:col>
                    <xdr:colOff>60960</xdr:colOff>
                    <xdr:row>210</xdr:row>
                    <xdr:rowOff>30480</xdr:rowOff>
                  </from>
                  <to>
                    <xdr:col>0</xdr:col>
                    <xdr:colOff>236220</xdr:colOff>
                    <xdr:row>210</xdr:row>
                    <xdr:rowOff>182880</xdr:rowOff>
                  </to>
                </anchor>
              </controlPr>
            </control>
          </mc:Choice>
        </mc:AlternateContent>
        <mc:AlternateContent xmlns:mc="http://schemas.openxmlformats.org/markup-compatibility/2006">
          <mc:Choice Requires="x14">
            <control shapeId="64666" r:id="rId203" name="Check Box 4250">
              <controlPr defaultSize="0" autoFill="0" autoLine="0" autoPict="0">
                <anchor moveWithCells="1">
                  <from>
                    <xdr:col>0</xdr:col>
                    <xdr:colOff>60960</xdr:colOff>
                    <xdr:row>211</xdr:row>
                    <xdr:rowOff>30480</xdr:rowOff>
                  </from>
                  <to>
                    <xdr:col>0</xdr:col>
                    <xdr:colOff>236220</xdr:colOff>
                    <xdr:row>211</xdr:row>
                    <xdr:rowOff>182880</xdr:rowOff>
                  </to>
                </anchor>
              </controlPr>
            </control>
          </mc:Choice>
        </mc:AlternateContent>
        <mc:AlternateContent xmlns:mc="http://schemas.openxmlformats.org/markup-compatibility/2006">
          <mc:Choice Requires="x14">
            <control shapeId="64667" r:id="rId204" name="Check Box 4251">
              <controlPr defaultSize="0" autoFill="0" autoLine="0" autoPict="0">
                <anchor moveWithCells="1">
                  <from>
                    <xdr:col>0</xdr:col>
                    <xdr:colOff>60960</xdr:colOff>
                    <xdr:row>212</xdr:row>
                    <xdr:rowOff>30480</xdr:rowOff>
                  </from>
                  <to>
                    <xdr:col>0</xdr:col>
                    <xdr:colOff>236220</xdr:colOff>
                    <xdr:row>212</xdr:row>
                    <xdr:rowOff>182880</xdr:rowOff>
                  </to>
                </anchor>
              </controlPr>
            </control>
          </mc:Choice>
        </mc:AlternateContent>
        <mc:AlternateContent xmlns:mc="http://schemas.openxmlformats.org/markup-compatibility/2006">
          <mc:Choice Requires="x14">
            <control shapeId="64668" r:id="rId205" name="Check Box 4252">
              <controlPr defaultSize="0" autoFill="0" autoLine="0" autoPict="0">
                <anchor moveWithCells="1">
                  <from>
                    <xdr:col>0</xdr:col>
                    <xdr:colOff>60960</xdr:colOff>
                    <xdr:row>213</xdr:row>
                    <xdr:rowOff>30480</xdr:rowOff>
                  </from>
                  <to>
                    <xdr:col>0</xdr:col>
                    <xdr:colOff>236220</xdr:colOff>
                    <xdr:row>213</xdr:row>
                    <xdr:rowOff>182880</xdr:rowOff>
                  </to>
                </anchor>
              </controlPr>
            </control>
          </mc:Choice>
        </mc:AlternateContent>
        <mc:AlternateContent xmlns:mc="http://schemas.openxmlformats.org/markup-compatibility/2006">
          <mc:Choice Requires="x14">
            <control shapeId="64669" r:id="rId206" name="Check Box 4253">
              <controlPr defaultSize="0" autoFill="0" autoLine="0" autoPict="0">
                <anchor moveWithCells="1">
                  <from>
                    <xdr:col>0</xdr:col>
                    <xdr:colOff>60960</xdr:colOff>
                    <xdr:row>214</xdr:row>
                    <xdr:rowOff>30480</xdr:rowOff>
                  </from>
                  <to>
                    <xdr:col>0</xdr:col>
                    <xdr:colOff>236220</xdr:colOff>
                    <xdr:row>214</xdr:row>
                    <xdr:rowOff>182880</xdr:rowOff>
                  </to>
                </anchor>
              </controlPr>
            </control>
          </mc:Choice>
        </mc:AlternateContent>
        <mc:AlternateContent xmlns:mc="http://schemas.openxmlformats.org/markup-compatibility/2006">
          <mc:Choice Requires="x14">
            <control shapeId="64670" r:id="rId207" name="Check Box 4254">
              <controlPr defaultSize="0" autoFill="0" autoLine="0" autoPict="0">
                <anchor moveWithCells="1">
                  <from>
                    <xdr:col>0</xdr:col>
                    <xdr:colOff>60960</xdr:colOff>
                    <xdr:row>215</xdr:row>
                    <xdr:rowOff>30480</xdr:rowOff>
                  </from>
                  <to>
                    <xdr:col>0</xdr:col>
                    <xdr:colOff>236220</xdr:colOff>
                    <xdr:row>215</xdr:row>
                    <xdr:rowOff>182880</xdr:rowOff>
                  </to>
                </anchor>
              </controlPr>
            </control>
          </mc:Choice>
        </mc:AlternateContent>
        <mc:AlternateContent xmlns:mc="http://schemas.openxmlformats.org/markup-compatibility/2006">
          <mc:Choice Requires="x14">
            <control shapeId="64671" r:id="rId208" name="Check Box 4255">
              <controlPr defaultSize="0" autoFill="0" autoLine="0" autoPict="0">
                <anchor moveWithCells="1">
                  <from>
                    <xdr:col>0</xdr:col>
                    <xdr:colOff>60960</xdr:colOff>
                    <xdr:row>216</xdr:row>
                    <xdr:rowOff>30480</xdr:rowOff>
                  </from>
                  <to>
                    <xdr:col>0</xdr:col>
                    <xdr:colOff>236220</xdr:colOff>
                    <xdr:row>216</xdr:row>
                    <xdr:rowOff>182880</xdr:rowOff>
                  </to>
                </anchor>
              </controlPr>
            </control>
          </mc:Choice>
        </mc:AlternateContent>
        <mc:AlternateContent xmlns:mc="http://schemas.openxmlformats.org/markup-compatibility/2006">
          <mc:Choice Requires="x14">
            <control shapeId="64672" r:id="rId209" name="Check Box 4256">
              <controlPr defaultSize="0" autoFill="0" autoLine="0" autoPict="0">
                <anchor moveWithCells="1">
                  <from>
                    <xdr:col>0</xdr:col>
                    <xdr:colOff>60960</xdr:colOff>
                    <xdr:row>217</xdr:row>
                    <xdr:rowOff>30480</xdr:rowOff>
                  </from>
                  <to>
                    <xdr:col>0</xdr:col>
                    <xdr:colOff>236220</xdr:colOff>
                    <xdr:row>217</xdr:row>
                    <xdr:rowOff>182880</xdr:rowOff>
                  </to>
                </anchor>
              </controlPr>
            </control>
          </mc:Choice>
        </mc:AlternateContent>
        <mc:AlternateContent xmlns:mc="http://schemas.openxmlformats.org/markup-compatibility/2006">
          <mc:Choice Requires="x14">
            <control shapeId="64673" r:id="rId210" name="Check Box 4257">
              <controlPr defaultSize="0" autoFill="0" autoLine="0" autoPict="0">
                <anchor moveWithCells="1">
                  <from>
                    <xdr:col>0</xdr:col>
                    <xdr:colOff>60960</xdr:colOff>
                    <xdr:row>218</xdr:row>
                    <xdr:rowOff>30480</xdr:rowOff>
                  </from>
                  <to>
                    <xdr:col>0</xdr:col>
                    <xdr:colOff>236220</xdr:colOff>
                    <xdr:row>218</xdr:row>
                    <xdr:rowOff>182880</xdr:rowOff>
                  </to>
                </anchor>
              </controlPr>
            </control>
          </mc:Choice>
        </mc:AlternateContent>
        <mc:AlternateContent xmlns:mc="http://schemas.openxmlformats.org/markup-compatibility/2006">
          <mc:Choice Requires="x14">
            <control shapeId="64674" r:id="rId211" name="Check Box 4258">
              <controlPr defaultSize="0" autoFill="0" autoLine="0" autoPict="0">
                <anchor moveWithCells="1">
                  <from>
                    <xdr:col>0</xdr:col>
                    <xdr:colOff>60960</xdr:colOff>
                    <xdr:row>219</xdr:row>
                    <xdr:rowOff>30480</xdr:rowOff>
                  </from>
                  <to>
                    <xdr:col>0</xdr:col>
                    <xdr:colOff>236220</xdr:colOff>
                    <xdr:row>219</xdr:row>
                    <xdr:rowOff>182880</xdr:rowOff>
                  </to>
                </anchor>
              </controlPr>
            </control>
          </mc:Choice>
        </mc:AlternateContent>
        <mc:AlternateContent xmlns:mc="http://schemas.openxmlformats.org/markup-compatibility/2006">
          <mc:Choice Requires="x14">
            <control shapeId="64675" r:id="rId212" name="Check Box 4259">
              <controlPr defaultSize="0" autoFill="0" autoLine="0" autoPict="0">
                <anchor moveWithCells="1">
                  <from>
                    <xdr:col>0</xdr:col>
                    <xdr:colOff>60960</xdr:colOff>
                    <xdr:row>220</xdr:row>
                    <xdr:rowOff>30480</xdr:rowOff>
                  </from>
                  <to>
                    <xdr:col>0</xdr:col>
                    <xdr:colOff>236220</xdr:colOff>
                    <xdr:row>220</xdr:row>
                    <xdr:rowOff>182880</xdr:rowOff>
                  </to>
                </anchor>
              </controlPr>
            </control>
          </mc:Choice>
        </mc:AlternateContent>
        <mc:AlternateContent xmlns:mc="http://schemas.openxmlformats.org/markup-compatibility/2006">
          <mc:Choice Requires="x14">
            <control shapeId="64676" r:id="rId213" name="Check Box 4260">
              <controlPr defaultSize="0" autoFill="0" autoLine="0" autoPict="0">
                <anchor moveWithCells="1">
                  <from>
                    <xdr:col>0</xdr:col>
                    <xdr:colOff>60960</xdr:colOff>
                    <xdr:row>221</xdr:row>
                    <xdr:rowOff>30480</xdr:rowOff>
                  </from>
                  <to>
                    <xdr:col>0</xdr:col>
                    <xdr:colOff>236220</xdr:colOff>
                    <xdr:row>221</xdr:row>
                    <xdr:rowOff>182880</xdr:rowOff>
                  </to>
                </anchor>
              </controlPr>
            </control>
          </mc:Choice>
        </mc:AlternateContent>
        <mc:AlternateContent xmlns:mc="http://schemas.openxmlformats.org/markup-compatibility/2006">
          <mc:Choice Requires="x14">
            <control shapeId="64677" r:id="rId214" name="Check Box 4261">
              <controlPr defaultSize="0" autoFill="0" autoLine="0" autoPict="0">
                <anchor moveWithCells="1">
                  <from>
                    <xdr:col>0</xdr:col>
                    <xdr:colOff>60960</xdr:colOff>
                    <xdr:row>222</xdr:row>
                    <xdr:rowOff>30480</xdr:rowOff>
                  </from>
                  <to>
                    <xdr:col>0</xdr:col>
                    <xdr:colOff>236220</xdr:colOff>
                    <xdr:row>222</xdr:row>
                    <xdr:rowOff>182880</xdr:rowOff>
                  </to>
                </anchor>
              </controlPr>
            </control>
          </mc:Choice>
        </mc:AlternateContent>
        <mc:AlternateContent xmlns:mc="http://schemas.openxmlformats.org/markup-compatibility/2006">
          <mc:Choice Requires="x14">
            <control shapeId="64678" r:id="rId215" name="Check Box 4262">
              <controlPr defaultSize="0" autoFill="0" autoLine="0" autoPict="0">
                <anchor moveWithCells="1">
                  <from>
                    <xdr:col>0</xdr:col>
                    <xdr:colOff>60960</xdr:colOff>
                    <xdr:row>223</xdr:row>
                    <xdr:rowOff>30480</xdr:rowOff>
                  </from>
                  <to>
                    <xdr:col>0</xdr:col>
                    <xdr:colOff>236220</xdr:colOff>
                    <xdr:row>223</xdr:row>
                    <xdr:rowOff>182880</xdr:rowOff>
                  </to>
                </anchor>
              </controlPr>
            </control>
          </mc:Choice>
        </mc:AlternateContent>
        <mc:AlternateContent xmlns:mc="http://schemas.openxmlformats.org/markup-compatibility/2006">
          <mc:Choice Requires="x14">
            <control shapeId="64679" r:id="rId216" name="Check Box 4263">
              <controlPr defaultSize="0" autoFill="0" autoLine="0" autoPict="0">
                <anchor moveWithCells="1">
                  <from>
                    <xdr:col>0</xdr:col>
                    <xdr:colOff>60960</xdr:colOff>
                    <xdr:row>224</xdr:row>
                    <xdr:rowOff>30480</xdr:rowOff>
                  </from>
                  <to>
                    <xdr:col>0</xdr:col>
                    <xdr:colOff>236220</xdr:colOff>
                    <xdr:row>224</xdr:row>
                    <xdr:rowOff>182880</xdr:rowOff>
                  </to>
                </anchor>
              </controlPr>
            </control>
          </mc:Choice>
        </mc:AlternateContent>
        <mc:AlternateContent xmlns:mc="http://schemas.openxmlformats.org/markup-compatibility/2006">
          <mc:Choice Requires="x14">
            <control shapeId="64680" r:id="rId217" name="Check Box 4264">
              <controlPr defaultSize="0" autoFill="0" autoLine="0" autoPict="0">
                <anchor moveWithCells="1">
                  <from>
                    <xdr:col>0</xdr:col>
                    <xdr:colOff>60960</xdr:colOff>
                    <xdr:row>225</xdr:row>
                    <xdr:rowOff>30480</xdr:rowOff>
                  </from>
                  <to>
                    <xdr:col>0</xdr:col>
                    <xdr:colOff>236220</xdr:colOff>
                    <xdr:row>225</xdr:row>
                    <xdr:rowOff>182880</xdr:rowOff>
                  </to>
                </anchor>
              </controlPr>
            </control>
          </mc:Choice>
        </mc:AlternateContent>
        <mc:AlternateContent xmlns:mc="http://schemas.openxmlformats.org/markup-compatibility/2006">
          <mc:Choice Requires="x14">
            <control shapeId="64681" r:id="rId218" name="Check Box 4265">
              <controlPr defaultSize="0" autoFill="0" autoLine="0" autoPict="0">
                <anchor moveWithCells="1">
                  <from>
                    <xdr:col>0</xdr:col>
                    <xdr:colOff>60960</xdr:colOff>
                    <xdr:row>226</xdr:row>
                    <xdr:rowOff>30480</xdr:rowOff>
                  </from>
                  <to>
                    <xdr:col>0</xdr:col>
                    <xdr:colOff>236220</xdr:colOff>
                    <xdr:row>226</xdr:row>
                    <xdr:rowOff>182880</xdr:rowOff>
                  </to>
                </anchor>
              </controlPr>
            </control>
          </mc:Choice>
        </mc:AlternateContent>
        <mc:AlternateContent xmlns:mc="http://schemas.openxmlformats.org/markup-compatibility/2006">
          <mc:Choice Requires="x14">
            <control shapeId="64682" r:id="rId219" name="Check Box 4266">
              <controlPr defaultSize="0" autoFill="0" autoLine="0" autoPict="0">
                <anchor moveWithCells="1">
                  <from>
                    <xdr:col>0</xdr:col>
                    <xdr:colOff>60960</xdr:colOff>
                    <xdr:row>227</xdr:row>
                    <xdr:rowOff>30480</xdr:rowOff>
                  </from>
                  <to>
                    <xdr:col>0</xdr:col>
                    <xdr:colOff>236220</xdr:colOff>
                    <xdr:row>227</xdr:row>
                    <xdr:rowOff>182880</xdr:rowOff>
                  </to>
                </anchor>
              </controlPr>
            </control>
          </mc:Choice>
        </mc:AlternateContent>
        <mc:AlternateContent xmlns:mc="http://schemas.openxmlformats.org/markup-compatibility/2006">
          <mc:Choice Requires="x14">
            <control shapeId="64683" r:id="rId220" name="Check Box 4267">
              <controlPr defaultSize="0" autoFill="0" autoLine="0" autoPict="0">
                <anchor moveWithCells="1">
                  <from>
                    <xdr:col>0</xdr:col>
                    <xdr:colOff>60960</xdr:colOff>
                    <xdr:row>228</xdr:row>
                    <xdr:rowOff>30480</xdr:rowOff>
                  </from>
                  <to>
                    <xdr:col>0</xdr:col>
                    <xdr:colOff>236220</xdr:colOff>
                    <xdr:row>228</xdr:row>
                    <xdr:rowOff>182880</xdr:rowOff>
                  </to>
                </anchor>
              </controlPr>
            </control>
          </mc:Choice>
        </mc:AlternateContent>
        <mc:AlternateContent xmlns:mc="http://schemas.openxmlformats.org/markup-compatibility/2006">
          <mc:Choice Requires="x14">
            <control shapeId="64684" r:id="rId221" name="Check Box 4268">
              <controlPr defaultSize="0" autoFill="0" autoLine="0" autoPict="0">
                <anchor moveWithCells="1">
                  <from>
                    <xdr:col>0</xdr:col>
                    <xdr:colOff>60960</xdr:colOff>
                    <xdr:row>229</xdr:row>
                    <xdr:rowOff>30480</xdr:rowOff>
                  </from>
                  <to>
                    <xdr:col>0</xdr:col>
                    <xdr:colOff>236220</xdr:colOff>
                    <xdr:row>229</xdr:row>
                    <xdr:rowOff>182880</xdr:rowOff>
                  </to>
                </anchor>
              </controlPr>
            </control>
          </mc:Choice>
        </mc:AlternateContent>
        <mc:AlternateContent xmlns:mc="http://schemas.openxmlformats.org/markup-compatibility/2006">
          <mc:Choice Requires="x14">
            <control shapeId="64685" r:id="rId222" name="Check Box 4269">
              <controlPr defaultSize="0" autoFill="0" autoLine="0" autoPict="0">
                <anchor moveWithCells="1">
                  <from>
                    <xdr:col>0</xdr:col>
                    <xdr:colOff>60960</xdr:colOff>
                    <xdr:row>230</xdr:row>
                    <xdr:rowOff>30480</xdr:rowOff>
                  </from>
                  <to>
                    <xdr:col>0</xdr:col>
                    <xdr:colOff>236220</xdr:colOff>
                    <xdr:row>230</xdr:row>
                    <xdr:rowOff>182880</xdr:rowOff>
                  </to>
                </anchor>
              </controlPr>
            </control>
          </mc:Choice>
        </mc:AlternateContent>
        <mc:AlternateContent xmlns:mc="http://schemas.openxmlformats.org/markup-compatibility/2006">
          <mc:Choice Requires="x14">
            <control shapeId="64686" r:id="rId223" name="Check Box 4270">
              <controlPr defaultSize="0" autoFill="0" autoLine="0" autoPict="0">
                <anchor moveWithCells="1">
                  <from>
                    <xdr:col>0</xdr:col>
                    <xdr:colOff>60960</xdr:colOff>
                    <xdr:row>231</xdr:row>
                    <xdr:rowOff>30480</xdr:rowOff>
                  </from>
                  <to>
                    <xdr:col>0</xdr:col>
                    <xdr:colOff>236220</xdr:colOff>
                    <xdr:row>231</xdr:row>
                    <xdr:rowOff>182880</xdr:rowOff>
                  </to>
                </anchor>
              </controlPr>
            </control>
          </mc:Choice>
        </mc:AlternateContent>
        <mc:AlternateContent xmlns:mc="http://schemas.openxmlformats.org/markup-compatibility/2006">
          <mc:Choice Requires="x14">
            <control shapeId="64687" r:id="rId224" name="Check Box 4271">
              <controlPr defaultSize="0" autoFill="0" autoLine="0" autoPict="0">
                <anchor moveWithCells="1">
                  <from>
                    <xdr:col>0</xdr:col>
                    <xdr:colOff>60960</xdr:colOff>
                    <xdr:row>232</xdr:row>
                    <xdr:rowOff>30480</xdr:rowOff>
                  </from>
                  <to>
                    <xdr:col>0</xdr:col>
                    <xdr:colOff>236220</xdr:colOff>
                    <xdr:row>232</xdr:row>
                    <xdr:rowOff>182880</xdr:rowOff>
                  </to>
                </anchor>
              </controlPr>
            </control>
          </mc:Choice>
        </mc:AlternateContent>
        <mc:AlternateContent xmlns:mc="http://schemas.openxmlformats.org/markup-compatibility/2006">
          <mc:Choice Requires="x14">
            <control shapeId="64688" r:id="rId225" name="Check Box 4272">
              <controlPr defaultSize="0" autoFill="0" autoLine="0" autoPict="0">
                <anchor moveWithCells="1">
                  <from>
                    <xdr:col>0</xdr:col>
                    <xdr:colOff>60960</xdr:colOff>
                    <xdr:row>233</xdr:row>
                    <xdr:rowOff>30480</xdr:rowOff>
                  </from>
                  <to>
                    <xdr:col>0</xdr:col>
                    <xdr:colOff>236220</xdr:colOff>
                    <xdr:row>233</xdr:row>
                    <xdr:rowOff>182880</xdr:rowOff>
                  </to>
                </anchor>
              </controlPr>
            </control>
          </mc:Choice>
        </mc:AlternateContent>
        <mc:AlternateContent xmlns:mc="http://schemas.openxmlformats.org/markup-compatibility/2006">
          <mc:Choice Requires="x14">
            <control shapeId="64689" r:id="rId226" name="Check Box 4273">
              <controlPr defaultSize="0" autoFill="0" autoLine="0" autoPict="0">
                <anchor moveWithCells="1">
                  <from>
                    <xdr:col>0</xdr:col>
                    <xdr:colOff>60960</xdr:colOff>
                    <xdr:row>234</xdr:row>
                    <xdr:rowOff>30480</xdr:rowOff>
                  </from>
                  <to>
                    <xdr:col>0</xdr:col>
                    <xdr:colOff>236220</xdr:colOff>
                    <xdr:row>234</xdr:row>
                    <xdr:rowOff>182880</xdr:rowOff>
                  </to>
                </anchor>
              </controlPr>
            </control>
          </mc:Choice>
        </mc:AlternateContent>
        <mc:AlternateContent xmlns:mc="http://schemas.openxmlformats.org/markup-compatibility/2006">
          <mc:Choice Requires="x14">
            <control shapeId="64690" r:id="rId227" name="Check Box 4274">
              <controlPr defaultSize="0" autoFill="0" autoLine="0" autoPict="0">
                <anchor moveWithCells="1">
                  <from>
                    <xdr:col>0</xdr:col>
                    <xdr:colOff>60960</xdr:colOff>
                    <xdr:row>235</xdr:row>
                    <xdr:rowOff>30480</xdr:rowOff>
                  </from>
                  <to>
                    <xdr:col>0</xdr:col>
                    <xdr:colOff>236220</xdr:colOff>
                    <xdr:row>235</xdr:row>
                    <xdr:rowOff>182880</xdr:rowOff>
                  </to>
                </anchor>
              </controlPr>
            </control>
          </mc:Choice>
        </mc:AlternateContent>
        <mc:AlternateContent xmlns:mc="http://schemas.openxmlformats.org/markup-compatibility/2006">
          <mc:Choice Requires="x14">
            <control shapeId="64691" r:id="rId228" name="Check Box 4275">
              <controlPr defaultSize="0" autoFill="0" autoLine="0" autoPict="0">
                <anchor moveWithCells="1">
                  <from>
                    <xdr:col>0</xdr:col>
                    <xdr:colOff>60960</xdr:colOff>
                    <xdr:row>236</xdr:row>
                    <xdr:rowOff>30480</xdr:rowOff>
                  </from>
                  <to>
                    <xdr:col>0</xdr:col>
                    <xdr:colOff>236220</xdr:colOff>
                    <xdr:row>236</xdr:row>
                    <xdr:rowOff>182880</xdr:rowOff>
                  </to>
                </anchor>
              </controlPr>
            </control>
          </mc:Choice>
        </mc:AlternateContent>
        <mc:AlternateContent xmlns:mc="http://schemas.openxmlformats.org/markup-compatibility/2006">
          <mc:Choice Requires="x14">
            <control shapeId="64692" r:id="rId229" name="Check Box 4276">
              <controlPr defaultSize="0" autoFill="0" autoLine="0" autoPict="0">
                <anchor moveWithCells="1">
                  <from>
                    <xdr:col>0</xdr:col>
                    <xdr:colOff>60960</xdr:colOff>
                    <xdr:row>237</xdr:row>
                    <xdr:rowOff>30480</xdr:rowOff>
                  </from>
                  <to>
                    <xdr:col>0</xdr:col>
                    <xdr:colOff>236220</xdr:colOff>
                    <xdr:row>237</xdr:row>
                    <xdr:rowOff>182880</xdr:rowOff>
                  </to>
                </anchor>
              </controlPr>
            </control>
          </mc:Choice>
        </mc:AlternateContent>
        <mc:AlternateContent xmlns:mc="http://schemas.openxmlformats.org/markup-compatibility/2006">
          <mc:Choice Requires="x14">
            <control shapeId="64693" r:id="rId230" name="Check Box 4277">
              <controlPr defaultSize="0" autoFill="0" autoLine="0" autoPict="0">
                <anchor moveWithCells="1">
                  <from>
                    <xdr:col>0</xdr:col>
                    <xdr:colOff>60960</xdr:colOff>
                    <xdr:row>238</xdr:row>
                    <xdr:rowOff>30480</xdr:rowOff>
                  </from>
                  <to>
                    <xdr:col>0</xdr:col>
                    <xdr:colOff>236220</xdr:colOff>
                    <xdr:row>238</xdr:row>
                    <xdr:rowOff>182880</xdr:rowOff>
                  </to>
                </anchor>
              </controlPr>
            </control>
          </mc:Choice>
        </mc:AlternateContent>
        <mc:AlternateContent xmlns:mc="http://schemas.openxmlformats.org/markup-compatibility/2006">
          <mc:Choice Requires="x14">
            <control shapeId="64694" r:id="rId231" name="Check Box 4278">
              <controlPr defaultSize="0" autoFill="0" autoLine="0" autoPict="0">
                <anchor moveWithCells="1">
                  <from>
                    <xdr:col>0</xdr:col>
                    <xdr:colOff>60960</xdr:colOff>
                    <xdr:row>239</xdr:row>
                    <xdr:rowOff>30480</xdr:rowOff>
                  </from>
                  <to>
                    <xdr:col>0</xdr:col>
                    <xdr:colOff>236220</xdr:colOff>
                    <xdr:row>239</xdr:row>
                    <xdr:rowOff>182880</xdr:rowOff>
                  </to>
                </anchor>
              </controlPr>
            </control>
          </mc:Choice>
        </mc:AlternateContent>
        <mc:AlternateContent xmlns:mc="http://schemas.openxmlformats.org/markup-compatibility/2006">
          <mc:Choice Requires="x14">
            <control shapeId="64695" r:id="rId232" name="Check Box 4279">
              <controlPr defaultSize="0" autoFill="0" autoLine="0" autoPict="0">
                <anchor moveWithCells="1">
                  <from>
                    <xdr:col>0</xdr:col>
                    <xdr:colOff>60960</xdr:colOff>
                    <xdr:row>240</xdr:row>
                    <xdr:rowOff>30480</xdr:rowOff>
                  </from>
                  <to>
                    <xdr:col>0</xdr:col>
                    <xdr:colOff>236220</xdr:colOff>
                    <xdr:row>240</xdr:row>
                    <xdr:rowOff>182880</xdr:rowOff>
                  </to>
                </anchor>
              </controlPr>
            </control>
          </mc:Choice>
        </mc:AlternateContent>
        <mc:AlternateContent xmlns:mc="http://schemas.openxmlformats.org/markup-compatibility/2006">
          <mc:Choice Requires="x14">
            <control shapeId="64696" r:id="rId233" name="Check Box 4280">
              <controlPr defaultSize="0" autoFill="0" autoLine="0" autoPict="0">
                <anchor moveWithCells="1">
                  <from>
                    <xdr:col>0</xdr:col>
                    <xdr:colOff>60960</xdr:colOff>
                    <xdr:row>241</xdr:row>
                    <xdr:rowOff>30480</xdr:rowOff>
                  </from>
                  <to>
                    <xdr:col>0</xdr:col>
                    <xdr:colOff>236220</xdr:colOff>
                    <xdr:row>241</xdr:row>
                    <xdr:rowOff>182880</xdr:rowOff>
                  </to>
                </anchor>
              </controlPr>
            </control>
          </mc:Choice>
        </mc:AlternateContent>
        <mc:AlternateContent xmlns:mc="http://schemas.openxmlformats.org/markup-compatibility/2006">
          <mc:Choice Requires="x14">
            <control shapeId="64697" r:id="rId234" name="Check Box 4281">
              <controlPr defaultSize="0" autoFill="0" autoLine="0" autoPict="0">
                <anchor moveWithCells="1">
                  <from>
                    <xdr:col>0</xdr:col>
                    <xdr:colOff>60960</xdr:colOff>
                    <xdr:row>242</xdr:row>
                    <xdr:rowOff>30480</xdr:rowOff>
                  </from>
                  <to>
                    <xdr:col>0</xdr:col>
                    <xdr:colOff>236220</xdr:colOff>
                    <xdr:row>242</xdr:row>
                    <xdr:rowOff>182880</xdr:rowOff>
                  </to>
                </anchor>
              </controlPr>
            </control>
          </mc:Choice>
        </mc:AlternateContent>
        <mc:AlternateContent xmlns:mc="http://schemas.openxmlformats.org/markup-compatibility/2006">
          <mc:Choice Requires="x14">
            <control shapeId="64698" r:id="rId235" name="Check Box 4282">
              <controlPr defaultSize="0" autoFill="0" autoLine="0" autoPict="0">
                <anchor moveWithCells="1">
                  <from>
                    <xdr:col>0</xdr:col>
                    <xdr:colOff>60960</xdr:colOff>
                    <xdr:row>243</xdr:row>
                    <xdr:rowOff>30480</xdr:rowOff>
                  </from>
                  <to>
                    <xdr:col>0</xdr:col>
                    <xdr:colOff>236220</xdr:colOff>
                    <xdr:row>243</xdr:row>
                    <xdr:rowOff>182880</xdr:rowOff>
                  </to>
                </anchor>
              </controlPr>
            </control>
          </mc:Choice>
        </mc:AlternateContent>
        <mc:AlternateContent xmlns:mc="http://schemas.openxmlformats.org/markup-compatibility/2006">
          <mc:Choice Requires="x14">
            <control shapeId="64699" r:id="rId236" name="Check Box 4283">
              <controlPr defaultSize="0" autoFill="0" autoLine="0" autoPict="0">
                <anchor moveWithCells="1">
                  <from>
                    <xdr:col>0</xdr:col>
                    <xdr:colOff>60960</xdr:colOff>
                    <xdr:row>244</xdr:row>
                    <xdr:rowOff>30480</xdr:rowOff>
                  </from>
                  <to>
                    <xdr:col>0</xdr:col>
                    <xdr:colOff>236220</xdr:colOff>
                    <xdr:row>244</xdr:row>
                    <xdr:rowOff>182880</xdr:rowOff>
                  </to>
                </anchor>
              </controlPr>
            </control>
          </mc:Choice>
        </mc:AlternateContent>
        <mc:AlternateContent xmlns:mc="http://schemas.openxmlformats.org/markup-compatibility/2006">
          <mc:Choice Requires="x14">
            <control shapeId="64700" r:id="rId237" name="Check Box 4284">
              <controlPr defaultSize="0" autoFill="0" autoLine="0" autoPict="0">
                <anchor moveWithCells="1">
                  <from>
                    <xdr:col>0</xdr:col>
                    <xdr:colOff>60960</xdr:colOff>
                    <xdr:row>245</xdr:row>
                    <xdr:rowOff>30480</xdr:rowOff>
                  </from>
                  <to>
                    <xdr:col>0</xdr:col>
                    <xdr:colOff>236220</xdr:colOff>
                    <xdr:row>245</xdr:row>
                    <xdr:rowOff>182880</xdr:rowOff>
                  </to>
                </anchor>
              </controlPr>
            </control>
          </mc:Choice>
        </mc:AlternateContent>
        <mc:AlternateContent xmlns:mc="http://schemas.openxmlformats.org/markup-compatibility/2006">
          <mc:Choice Requires="x14">
            <control shapeId="64701" r:id="rId238" name="Check Box 4285">
              <controlPr defaultSize="0" autoFill="0" autoLine="0" autoPict="0">
                <anchor moveWithCells="1">
                  <from>
                    <xdr:col>0</xdr:col>
                    <xdr:colOff>60960</xdr:colOff>
                    <xdr:row>246</xdr:row>
                    <xdr:rowOff>30480</xdr:rowOff>
                  </from>
                  <to>
                    <xdr:col>0</xdr:col>
                    <xdr:colOff>236220</xdr:colOff>
                    <xdr:row>246</xdr:row>
                    <xdr:rowOff>182880</xdr:rowOff>
                  </to>
                </anchor>
              </controlPr>
            </control>
          </mc:Choice>
        </mc:AlternateContent>
        <mc:AlternateContent xmlns:mc="http://schemas.openxmlformats.org/markup-compatibility/2006">
          <mc:Choice Requires="x14">
            <control shapeId="64702" r:id="rId239" name="Check Box 4286">
              <controlPr defaultSize="0" autoFill="0" autoLine="0" autoPict="0">
                <anchor moveWithCells="1">
                  <from>
                    <xdr:col>0</xdr:col>
                    <xdr:colOff>60960</xdr:colOff>
                    <xdr:row>247</xdr:row>
                    <xdr:rowOff>30480</xdr:rowOff>
                  </from>
                  <to>
                    <xdr:col>0</xdr:col>
                    <xdr:colOff>236220</xdr:colOff>
                    <xdr:row>247</xdr:row>
                    <xdr:rowOff>182880</xdr:rowOff>
                  </to>
                </anchor>
              </controlPr>
            </control>
          </mc:Choice>
        </mc:AlternateContent>
        <mc:AlternateContent xmlns:mc="http://schemas.openxmlformats.org/markup-compatibility/2006">
          <mc:Choice Requires="x14">
            <control shapeId="64703" r:id="rId240" name="Check Box 4287">
              <controlPr defaultSize="0" autoFill="0" autoLine="0" autoPict="0">
                <anchor moveWithCells="1">
                  <from>
                    <xdr:col>0</xdr:col>
                    <xdr:colOff>60960</xdr:colOff>
                    <xdr:row>248</xdr:row>
                    <xdr:rowOff>30480</xdr:rowOff>
                  </from>
                  <to>
                    <xdr:col>0</xdr:col>
                    <xdr:colOff>236220</xdr:colOff>
                    <xdr:row>248</xdr:row>
                    <xdr:rowOff>182880</xdr:rowOff>
                  </to>
                </anchor>
              </controlPr>
            </control>
          </mc:Choice>
        </mc:AlternateContent>
        <mc:AlternateContent xmlns:mc="http://schemas.openxmlformats.org/markup-compatibility/2006">
          <mc:Choice Requires="x14">
            <control shapeId="64704" r:id="rId241" name="Check Box 4288">
              <controlPr defaultSize="0" autoFill="0" autoLine="0" autoPict="0">
                <anchor moveWithCells="1">
                  <from>
                    <xdr:col>0</xdr:col>
                    <xdr:colOff>60960</xdr:colOff>
                    <xdr:row>249</xdr:row>
                    <xdr:rowOff>30480</xdr:rowOff>
                  </from>
                  <to>
                    <xdr:col>0</xdr:col>
                    <xdr:colOff>236220</xdr:colOff>
                    <xdr:row>249</xdr:row>
                    <xdr:rowOff>182880</xdr:rowOff>
                  </to>
                </anchor>
              </controlPr>
            </control>
          </mc:Choice>
        </mc:AlternateContent>
        <mc:AlternateContent xmlns:mc="http://schemas.openxmlformats.org/markup-compatibility/2006">
          <mc:Choice Requires="x14">
            <control shapeId="64705" r:id="rId242" name="Check Box 4289">
              <controlPr defaultSize="0" autoFill="0" autoLine="0" autoPict="0">
                <anchor moveWithCells="1">
                  <from>
                    <xdr:col>0</xdr:col>
                    <xdr:colOff>60960</xdr:colOff>
                    <xdr:row>250</xdr:row>
                    <xdr:rowOff>30480</xdr:rowOff>
                  </from>
                  <to>
                    <xdr:col>0</xdr:col>
                    <xdr:colOff>236220</xdr:colOff>
                    <xdr:row>250</xdr:row>
                    <xdr:rowOff>182880</xdr:rowOff>
                  </to>
                </anchor>
              </controlPr>
            </control>
          </mc:Choice>
        </mc:AlternateContent>
        <mc:AlternateContent xmlns:mc="http://schemas.openxmlformats.org/markup-compatibility/2006">
          <mc:Choice Requires="x14">
            <control shapeId="64706" r:id="rId243" name="Check Box 4290">
              <controlPr defaultSize="0" autoFill="0" autoLine="0" autoPict="0">
                <anchor moveWithCells="1">
                  <from>
                    <xdr:col>0</xdr:col>
                    <xdr:colOff>60960</xdr:colOff>
                    <xdr:row>251</xdr:row>
                    <xdr:rowOff>30480</xdr:rowOff>
                  </from>
                  <to>
                    <xdr:col>0</xdr:col>
                    <xdr:colOff>236220</xdr:colOff>
                    <xdr:row>251</xdr:row>
                    <xdr:rowOff>182880</xdr:rowOff>
                  </to>
                </anchor>
              </controlPr>
            </control>
          </mc:Choice>
        </mc:AlternateContent>
        <mc:AlternateContent xmlns:mc="http://schemas.openxmlformats.org/markup-compatibility/2006">
          <mc:Choice Requires="x14">
            <control shapeId="64707" r:id="rId244" name="Check Box 4291">
              <controlPr defaultSize="0" autoFill="0" autoLine="0" autoPict="0">
                <anchor moveWithCells="1">
                  <from>
                    <xdr:col>0</xdr:col>
                    <xdr:colOff>60960</xdr:colOff>
                    <xdr:row>252</xdr:row>
                    <xdr:rowOff>30480</xdr:rowOff>
                  </from>
                  <to>
                    <xdr:col>0</xdr:col>
                    <xdr:colOff>236220</xdr:colOff>
                    <xdr:row>252</xdr:row>
                    <xdr:rowOff>182880</xdr:rowOff>
                  </to>
                </anchor>
              </controlPr>
            </control>
          </mc:Choice>
        </mc:AlternateContent>
        <mc:AlternateContent xmlns:mc="http://schemas.openxmlformats.org/markup-compatibility/2006">
          <mc:Choice Requires="x14">
            <control shapeId="64708" r:id="rId245" name="Check Box 4292">
              <controlPr defaultSize="0" autoFill="0" autoLine="0" autoPict="0">
                <anchor moveWithCells="1">
                  <from>
                    <xdr:col>0</xdr:col>
                    <xdr:colOff>60960</xdr:colOff>
                    <xdr:row>253</xdr:row>
                    <xdr:rowOff>30480</xdr:rowOff>
                  </from>
                  <to>
                    <xdr:col>0</xdr:col>
                    <xdr:colOff>236220</xdr:colOff>
                    <xdr:row>253</xdr:row>
                    <xdr:rowOff>182880</xdr:rowOff>
                  </to>
                </anchor>
              </controlPr>
            </control>
          </mc:Choice>
        </mc:AlternateContent>
        <mc:AlternateContent xmlns:mc="http://schemas.openxmlformats.org/markup-compatibility/2006">
          <mc:Choice Requires="x14">
            <control shapeId="64709" r:id="rId246" name="Check Box 4293">
              <controlPr defaultSize="0" autoFill="0" autoLine="0" autoPict="0">
                <anchor moveWithCells="1">
                  <from>
                    <xdr:col>0</xdr:col>
                    <xdr:colOff>60960</xdr:colOff>
                    <xdr:row>254</xdr:row>
                    <xdr:rowOff>30480</xdr:rowOff>
                  </from>
                  <to>
                    <xdr:col>0</xdr:col>
                    <xdr:colOff>236220</xdr:colOff>
                    <xdr:row>254</xdr:row>
                    <xdr:rowOff>182880</xdr:rowOff>
                  </to>
                </anchor>
              </controlPr>
            </control>
          </mc:Choice>
        </mc:AlternateContent>
        <mc:AlternateContent xmlns:mc="http://schemas.openxmlformats.org/markup-compatibility/2006">
          <mc:Choice Requires="x14">
            <control shapeId="64710" r:id="rId247" name="Check Box 4294">
              <controlPr defaultSize="0" autoFill="0" autoLine="0" autoPict="0">
                <anchor moveWithCells="1">
                  <from>
                    <xdr:col>0</xdr:col>
                    <xdr:colOff>60960</xdr:colOff>
                    <xdr:row>255</xdr:row>
                    <xdr:rowOff>30480</xdr:rowOff>
                  </from>
                  <to>
                    <xdr:col>0</xdr:col>
                    <xdr:colOff>236220</xdr:colOff>
                    <xdr:row>255</xdr:row>
                    <xdr:rowOff>182880</xdr:rowOff>
                  </to>
                </anchor>
              </controlPr>
            </control>
          </mc:Choice>
        </mc:AlternateContent>
        <mc:AlternateContent xmlns:mc="http://schemas.openxmlformats.org/markup-compatibility/2006">
          <mc:Choice Requires="x14">
            <control shapeId="64711" r:id="rId248" name="Check Box 4295">
              <controlPr defaultSize="0" autoFill="0" autoLine="0" autoPict="0">
                <anchor moveWithCells="1">
                  <from>
                    <xdr:col>0</xdr:col>
                    <xdr:colOff>60960</xdr:colOff>
                    <xdr:row>256</xdr:row>
                    <xdr:rowOff>30480</xdr:rowOff>
                  </from>
                  <to>
                    <xdr:col>0</xdr:col>
                    <xdr:colOff>236220</xdr:colOff>
                    <xdr:row>256</xdr:row>
                    <xdr:rowOff>182880</xdr:rowOff>
                  </to>
                </anchor>
              </controlPr>
            </control>
          </mc:Choice>
        </mc:AlternateContent>
        <mc:AlternateContent xmlns:mc="http://schemas.openxmlformats.org/markup-compatibility/2006">
          <mc:Choice Requires="x14">
            <control shapeId="64712" r:id="rId249" name="Check Box 4296">
              <controlPr defaultSize="0" autoFill="0" autoLine="0" autoPict="0">
                <anchor moveWithCells="1">
                  <from>
                    <xdr:col>0</xdr:col>
                    <xdr:colOff>60960</xdr:colOff>
                    <xdr:row>257</xdr:row>
                    <xdr:rowOff>30480</xdr:rowOff>
                  </from>
                  <to>
                    <xdr:col>0</xdr:col>
                    <xdr:colOff>236220</xdr:colOff>
                    <xdr:row>257</xdr:row>
                    <xdr:rowOff>182880</xdr:rowOff>
                  </to>
                </anchor>
              </controlPr>
            </control>
          </mc:Choice>
        </mc:AlternateContent>
        <mc:AlternateContent xmlns:mc="http://schemas.openxmlformats.org/markup-compatibility/2006">
          <mc:Choice Requires="x14">
            <control shapeId="64713" r:id="rId250" name="Check Box 4297">
              <controlPr defaultSize="0" autoFill="0" autoLine="0" autoPict="0">
                <anchor moveWithCells="1">
                  <from>
                    <xdr:col>0</xdr:col>
                    <xdr:colOff>60960</xdr:colOff>
                    <xdr:row>258</xdr:row>
                    <xdr:rowOff>30480</xdr:rowOff>
                  </from>
                  <to>
                    <xdr:col>0</xdr:col>
                    <xdr:colOff>236220</xdr:colOff>
                    <xdr:row>258</xdr:row>
                    <xdr:rowOff>182880</xdr:rowOff>
                  </to>
                </anchor>
              </controlPr>
            </control>
          </mc:Choice>
        </mc:AlternateContent>
        <mc:AlternateContent xmlns:mc="http://schemas.openxmlformats.org/markup-compatibility/2006">
          <mc:Choice Requires="x14">
            <control shapeId="64714" r:id="rId251" name="Check Box 4298">
              <controlPr defaultSize="0" autoFill="0" autoLine="0" autoPict="0">
                <anchor moveWithCells="1">
                  <from>
                    <xdr:col>0</xdr:col>
                    <xdr:colOff>60960</xdr:colOff>
                    <xdr:row>259</xdr:row>
                    <xdr:rowOff>30480</xdr:rowOff>
                  </from>
                  <to>
                    <xdr:col>0</xdr:col>
                    <xdr:colOff>236220</xdr:colOff>
                    <xdr:row>259</xdr:row>
                    <xdr:rowOff>182880</xdr:rowOff>
                  </to>
                </anchor>
              </controlPr>
            </control>
          </mc:Choice>
        </mc:AlternateContent>
        <mc:AlternateContent xmlns:mc="http://schemas.openxmlformats.org/markup-compatibility/2006">
          <mc:Choice Requires="x14">
            <control shapeId="64715" r:id="rId252" name="Check Box 4299">
              <controlPr defaultSize="0" autoFill="0" autoLine="0" autoPict="0">
                <anchor moveWithCells="1">
                  <from>
                    <xdr:col>0</xdr:col>
                    <xdr:colOff>60960</xdr:colOff>
                    <xdr:row>260</xdr:row>
                    <xdr:rowOff>30480</xdr:rowOff>
                  </from>
                  <to>
                    <xdr:col>0</xdr:col>
                    <xdr:colOff>236220</xdr:colOff>
                    <xdr:row>260</xdr:row>
                    <xdr:rowOff>182880</xdr:rowOff>
                  </to>
                </anchor>
              </controlPr>
            </control>
          </mc:Choice>
        </mc:AlternateContent>
        <mc:AlternateContent xmlns:mc="http://schemas.openxmlformats.org/markup-compatibility/2006">
          <mc:Choice Requires="x14">
            <control shapeId="64716" r:id="rId253" name="Check Box 4300">
              <controlPr defaultSize="0" autoFill="0" autoLine="0" autoPict="0">
                <anchor moveWithCells="1">
                  <from>
                    <xdr:col>0</xdr:col>
                    <xdr:colOff>60960</xdr:colOff>
                    <xdr:row>261</xdr:row>
                    <xdr:rowOff>30480</xdr:rowOff>
                  </from>
                  <to>
                    <xdr:col>0</xdr:col>
                    <xdr:colOff>236220</xdr:colOff>
                    <xdr:row>261</xdr:row>
                    <xdr:rowOff>182880</xdr:rowOff>
                  </to>
                </anchor>
              </controlPr>
            </control>
          </mc:Choice>
        </mc:AlternateContent>
        <mc:AlternateContent xmlns:mc="http://schemas.openxmlformats.org/markup-compatibility/2006">
          <mc:Choice Requires="x14">
            <control shapeId="64717" r:id="rId254" name="Check Box 4301">
              <controlPr defaultSize="0" autoFill="0" autoLine="0" autoPict="0">
                <anchor moveWithCells="1">
                  <from>
                    <xdr:col>0</xdr:col>
                    <xdr:colOff>60960</xdr:colOff>
                    <xdr:row>262</xdr:row>
                    <xdr:rowOff>30480</xdr:rowOff>
                  </from>
                  <to>
                    <xdr:col>0</xdr:col>
                    <xdr:colOff>236220</xdr:colOff>
                    <xdr:row>262</xdr:row>
                    <xdr:rowOff>182880</xdr:rowOff>
                  </to>
                </anchor>
              </controlPr>
            </control>
          </mc:Choice>
        </mc:AlternateContent>
        <mc:AlternateContent xmlns:mc="http://schemas.openxmlformats.org/markup-compatibility/2006">
          <mc:Choice Requires="x14">
            <control shapeId="64718" r:id="rId255" name="Check Box 4302">
              <controlPr defaultSize="0" autoFill="0" autoLine="0" autoPict="0">
                <anchor moveWithCells="1">
                  <from>
                    <xdr:col>0</xdr:col>
                    <xdr:colOff>60960</xdr:colOff>
                    <xdr:row>263</xdr:row>
                    <xdr:rowOff>30480</xdr:rowOff>
                  </from>
                  <to>
                    <xdr:col>0</xdr:col>
                    <xdr:colOff>236220</xdr:colOff>
                    <xdr:row>263</xdr:row>
                    <xdr:rowOff>182880</xdr:rowOff>
                  </to>
                </anchor>
              </controlPr>
            </control>
          </mc:Choice>
        </mc:AlternateContent>
        <mc:AlternateContent xmlns:mc="http://schemas.openxmlformats.org/markup-compatibility/2006">
          <mc:Choice Requires="x14">
            <control shapeId="64719" r:id="rId256" name="Check Box 4303">
              <controlPr defaultSize="0" autoFill="0" autoLine="0" autoPict="0">
                <anchor moveWithCells="1">
                  <from>
                    <xdr:col>0</xdr:col>
                    <xdr:colOff>60960</xdr:colOff>
                    <xdr:row>264</xdr:row>
                    <xdr:rowOff>30480</xdr:rowOff>
                  </from>
                  <to>
                    <xdr:col>0</xdr:col>
                    <xdr:colOff>236220</xdr:colOff>
                    <xdr:row>264</xdr:row>
                    <xdr:rowOff>182880</xdr:rowOff>
                  </to>
                </anchor>
              </controlPr>
            </control>
          </mc:Choice>
        </mc:AlternateContent>
        <mc:AlternateContent xmlns:mc="http://schemas.openxmlformats.org/markup-compatibility/2006">
          <mc:Choice Requires="x14">
            <control shapeId="64720" r:id="rId257" name="Check Box 4304">
              <controlPr defaultSize="0" autoFill="0" autoLine="0" autoPict="0">
                <anchor moveWithCells="1">
                  <from>
                    <xdr:col>0</xdr:col>
                    <xdr:colOff>60960</xdr:colOff>
                    <xdr:row>265</xdr:row>
                    <xdr:rowOff>30480</xdr:rowOff>
                  </from>
                  <to>
                    <xdr:col>0</xdr:col>
                    <xdr:colOff>236220</xdr:colOff>
                    <xdr:row>265</xdr:row>
                    <xdr:rowOff>182880</xdr:rowOff>
                  </to>
                </anchor>
              </controlPr>
            </control>
          </mc:Choice>
        </mc:AlternateContent>
        <mc:AlternateContent xmlns:mc="http://schemas.openxmlformats.org/markup-compatibility/2006">
          <mc:Choice Requires="x14">
            <control shapeId="64721" r:id="rId258" name="Check Box 4305">
              <controlPr defaultSize="0" autoFill="0" autoLine="0" autoPict="0">
                <anchor moveWithCells="1">
                  <from>
                    <xdr:col>0</xdr:col>
                    <xdr:colOff>60960</xdr:colOff>
                    <xdr:row>266</xdr:row>
                    <xdr:rowOff>30480</xdr:rowOff>
                  </from>
                  <to>
                    <xdr:col>0</xdr:col>
                    <xdr:colOff>236220</xdr:colOff>
                    <xdr:row>266</xdr:row>
                    <xdr:rowOff>182880</xdr:rowOff>
                  </to>
                </anchor>
              </controlPr>
            </control>
          </mc:Choice>
        </mc:AlternateContent>
        <mc:AlternateContent xmlns:mc="http://schemas.openxmlformats.org/markup-compatibility/2006">
          <mc:Choice Requires="x14">
            <control shapeId="64722" r:id="rId259" name="Check Box 4306">
              <controlPr defaultSize="0" autoFill="0" autoLine="0" autoPict="0">
                <anchor moveWithCells="1">
                  <from>
                    <xdr:col>0</xdr:col>
                    <xdr:colOff>60960</xdr:colOff>
                    <xdr:row>267</xdr:row>
                    <xdr:rowOff>30480</xdr:rowOff>
                  </from>
                  <to>
                    <xdr:col>0</xdr:col>
                    <xdr:colOff>236220</xdr:colOff>
                    <xdr:row>267</xdr:row>
                    <xdr:rowOff>182880</xdr:rowOff>
                  </to>
                </anchor>
              </controlPr>
            </control>
          </mc:Choice>
        </mc:AlternateContent>
        <mc:AlternateContent xmlns:mc="http://schemas.openxmlformats.org/markup-compatibility/2006">
          <mc:Choice Requires="x14">
            <control shapeId="64723" r:id="rId260" name="Check Box 4307">
              <controlPr defaultSize="0" autoFill="0" autoLine="0" autoPict="0">
                <anchor moveWithCells="1">
                  <from>
                    <xdr:col>0</xdr:col>
                    <xdr:colOff>60960</xdr:colOff>
                    <xdr:row>268</xdr:row>
                    <xdr:rowOff>30480</xdr:rowOff>
                  </from>
                  <to>
                    <xdr:col>0</xdr:col>
                    <xdr:colOff>236220</xdr:colOff>
                    <xdr:row>268</xdr:row>
                    <xdr:rowOff>182880</xdr:rowOff>
                  </to>
                </anchor>
              </controlPr>
            </control>
          </mc:Choice>
        </mc:AlternateContent>
        <mc:AlternateContent xmlns:mc="http://schemas.openxmlformats.org/markup-compatibility/2006">
          <mc:Choice Requires="x14">
            <control shapeId="64724" r:id="rId261" name="Check Box 4308">
              <controlPr defaultSize="0" autoFill="0" autoLine="0" autoPict="0">
                <anchor moveWithCells="1">
                  <from>
                    <xdr:col>0</xdr:col>
                    <xdr:colOff>60960</xdr:colOff>
                    <xdr:row>269</xdr:row>
                    <xdr:rowOff>30480</xdr:rowOff>
                  </from>
                  <to>
                    <xdr:col>0</xdr:col>
                    <xdr:colOff>236220</xdr:colOff>
                    <xdr:row>269</xdr:row>
                    <xdr:rowOff>182880</xdr:rowOff>
                  </to>
                </anchor>
              </controlPr>
            </control>
          </mc:Choice>
        </mc:AlternateContent>
        <mc:AlternateContent xmlns:mc="http://schemas.openxmlformats.org/markup-compatibility/2006">
          <mc:Choice Requires="x14">
            <control shapeId="64725" r:id="rId262" name="Check Box 4309">
              <controlPr defaultSize="0" autoFill="0" autoLine="0" autoPict="0">
                <anchor moveWithCells="1">
                  <from>
                    <xdr:col>0</xdr:col>
                    <xdr:colOff>60960</xdr:colOff>
                    <xdr:row>270</xdr:row>
                    <xdr:rowOff>30480</xdr:rowOff>
                  </from>
                  <to>
                    <xdr:col>0</xdr:col>
                    <xdr:colOff>236220</xdr:colOff>
                    <xdr:row>270</xdr:row>
                    <xdr:rowOff>182880</xdr:rowOff>
                  </to>
                </anchor>
              </controlPr>
            </control>
          </mc:Choice>
        </mc:AlternateContent>
        <mc:AlternateContent xmlns:mc="http://schemas.openxmlformats.org/markup-compatibility/2006">
          <mc:Choice Requires="x14">
            <control shapeId="64726" r:id="rId263" name="Check Box 4310">
              <controlPr defaultSize="0" autoFill="0" autoLine="0" autoPict="0">
                <anchor moveWithCells="1">
                  <from>
                    <xdr:col>0</xdr:col>
                    <xdr:colOff>60960</xdr:colOff>
                    <xdr:row>271</xdr:row>
                    <xdr:rowOff>30480</xdr:rowOff>
                  </from>
                  <to>
                    <xdr:col>0</xdr:col>
                    <xdr:colOff>236220</xdr:colOff>
                    <xdr:row>271</xdr:row>
                    <xdr:rowOff>182880</xdr:rowOff>
                  </to>
                </anchor>
              </controlPr>
            </control>
          </mc:Choice>
        </mc:AlternateContent>
        <mc:AlternateContent xmlns:mc="http://schemas.openxmlformats.org/markup-compatibility/2006">
          <mc:Choice Requires="x14">
            <control shapeId="64727" r:id="rId264" name="Check Box 4311">
              <controlPr defaultSize="0" autoFill="0" autoLine="0" autoPict="0">
                <anchor moveWithCells="1">
                  <from>
                    <xdr:col>0</xdr:col>
                    <xdr:colOff>60960</xdr:colOff>
                    <xdr:row>272</xdr:row>
                    <xdr:rowOff>30480</xdr:rowOff>
                  </from>
                  <to>
                    <xdr:col>0</xdr:col>
                    <xdr:colOff>236220</xdr:colOff>
                    <xdr:row>272</xdr:row>
                    <xdr:rowOff>182880</xdr:rowOff>
                  </to>
                </anchor>
              </controlPr>
            </control>
          </mc:Choice>
        </mc:AlternateContent>
        <mc:AlternateContent xmlns:mc="http://schemas.openxmlformats.org/markup-compatibility/2006">
          <mc:Choice Requires="x14">
            <control shapeId="64728" r:id="rId265" name="Check Box 4312">
              <controlPr defaultSize="0" autoFill="0" autoLine="0" autoPict="0">
                <anchor moveWithCells="1">
                  <from>
                    <xdr:col>0</xdr:col>
                    <xdr:colOff>60960</xdr:colOff>
                    <xdr:row>273</xdr:row>
                    <xdr:rowOff>30480</xdr:rowOff>
                  </from>
                  <to>
                    <xdr:col>0</xdr:col>
                    <xdr:colOff>236220</xdr:colOff>
                    <xdr:row>273</xdr:row>
                    <xdr:rowOff>182880</xdr:rowOff>
                  </to>
                </anchor>
              </controlPr>
            </control>
          </mc:Choice>
        </mc:AlternateContent>
        <mc:AlternateContent xmlns:mc="http://schemas.openxmlformats.org/markup-compatibility/2006">
          <mc:Choice Requires="x14">
            <control shapeId="64729" r:id="rId266" name="Check Box 4313">
              <controlPr defaultSize="0" autoFill="0" autoLine="0" autoPict="0">
                <anchor moveWithCells="1">
                  <from>
                    <xdr:col>0</xdr:col>
                    <xdr:colOff>60960</xdr:colOff>
                    <xdr:row>274</xdr:row>
                    <xdr:rowOff>30480</xdr:rowOff>
                  </from>
                  <to>
                    <xdr:col>0</xdr:col>
                    <xdr:colOff>236220</xdr:colOff>
                    <xdr:row>274</xdr:row>
                    <xdr:rowOff>182880</xdr:rowOff>
                  </to>
                </anchor>
              </controlPr>
            </control>
          </mc:Choice>
        </mc:AlternateContent>
        <mc:AlternateContent xmlns:mc="http://schemas.openxmlformats.org/markup-compatibility/2006">
          <mc:Choice Requires="x14">
            <control shapeId="64730" r:id="rId267" name="Check Box 4314">
              <controlPr defaultSize="0" autoFill="0" autoLine="0" autoPict="0">
                <anchor moveWithCells="1">
                  <from>
                    <xdr:col>0</xdr:col>
                    <xdr:colOff>60960</xdr:colOff>
                    <xdr:row>275</xdr:row>
                    <xdr:rowOff>30480</xdr:rowOff>
                  </from>
                  <to>
                    <xdr:col>0</xdr:col>
                    <xdr:colOff>236220</xdr:colOff>
                    <xdr:row>275</xdr:row>
                    <xdr:rowOff>182880</xdr:rowOff>
                  </to>
                </anchor>
              </controlPr>
            </control>
          </mc:Choice>
        </mc:AlternateContent>
        <mc:AlternateContent xmlns:mc="http://schemas.openxmlformats.org/markup-compatibility/2006">
          <mc:Choice Requires="x14">
            <control shapeId="64731" r:id="rId268" name="Check Box 4315">
              <controlPr defaultSize="0" autoFill="0" autoLine="0" autoPict="0">
                <anchor moveWithCells="1">
                  <from>
                    <xdr:col>0</xdr:col>
                    <xdr:colOff>60960</xdr:colOff>
                    <xdr:row>276</xdr:row>
                    <xdr:rowOff>30480</xdr:rowOff>
                  </from>
                  <to>
                    <xdr:col>0</xdr:col>
                    <xdr:colOff>236220</xdr:colOff>
                    <xdr:row>276</xdr:row>
                    <xdr:rowOff>182880</xdr:rowOff>
                  </to>
                </anchor>
              </controlPr>
            </control>
          </mc:Choice>
        </mc:AlternateContent>
        <mc:AlternateContent xmlns:mc="http://schemas.openxmlformats.org/markup-compatibility/2006">
          <mc:Choice Requires="x14">
            <control shapeId="64732" r:id="rId269" name="Check Box 4316">
              <controlPr defaultSize="0" autoFill="0" autoLine="0" autoPict="0">
                <anchor moveWithCells="1">
                  <from>
                    <xdr:col>0</xdr:col>
                    <xdr:colOff>60960</xdr:colOff>
                    <xdr:row>277</xdr:row>
                    <xdr:rowOff>30480</xdr:rowOff>
                  </from>
                  <to>
                    <xdr:col>0</xdr:col>
                    <xdr:colOff>236220</xdr:colOff>
                    <xdr:row>277</xdr:row>
                    <xdr:rowOff>182880</xdr:rowOff>
                  </to>
                </anchor>
              </controlPr>
            </control>
          </mc:Choice>
        </mc:AlternateContent>
        <mc:AlternateContent xmlns:mc="http://schemas.openxmlformats.org/markup-compatibility/2006">
          <mc:Choice Requires="x14">
            <control shapeId="64733" r:id="rId270" name="Check Box 4317">
              <controlPr defaultSize="0" autoFill="0" autoLine="0" autoPict="0">
                <anchor moveWithCells="1">
                  <from>
                    <xdr:col>0</xdr:col>
                    <xdr:colOff>60960</xdr:colOff>
                    <xdr:row>278</xdr:row>
                    <xdr:rowOff>30480</xdr:rowOff>
                  </from>
                  <to>
                    <xdr:col>0</xdr:col>
                    <xdr:colOff>236220</xdr:colOff>
                    <xdr:row>278</xdr:row>
                    <xdr:rowOff>182880</xdr:rowOff>
                  </to>
                </anchor>
              </controlPr>
            </control>
          </mc:Choice>
        </mc:AlternateContent>
        <mc:AlternateContent xmlns:mc="http://schemas.openxmlformats.org/markup-compatibility/2006">
          <mc:Choice Requires="x14">
            <control shapeId="64734" r:id="rId271" name="Check Box 4318">
              <controlPr defaultSize="0" autoFill="0" autoLine="0" autoPict="0">
                <anchor moveWithCells="1">
                  <from>
                    <xdr:col>0</xdr:col>
                    <xdr:colOff>60960</xdr:colOff>
                    <xdr:row>279</xdr:row>
                    <xdr:rowOff>30480</xdr:rowOff>
                  </from>
                  <to>
                    <xdr:col>0</xdr:col>
                    <xdr:colOff>236220</xdr:colOff>
                    <xdr:row>279</xdr:row>
                    <xdr:rowOff>182880</xdr:rowOff>
                  </to>
                </anchor>
              </controlPr>
            </control>
          </mc:Choice>
        </mc:AlternateContent>
        <mc:AlternateContent xmlns:mc="http://schemas.openxmlformats.org/markup-compatibility/2006">
          <mc:Choice Requires="x14">
            <control shapeId="64735" r:id="rId272" name="Check Box 4319">
              <controlPr defaultSize="0" autoFill="0" autoLine="0" autoPict="0">
                <anchor moveWithCells="1">
                  <from>
                    <xdr:col>0</xdr:col>
                    <xdr:colOff>60960</xdr:colOff>
                    <xdr:row>280</xdr:row>
                    <xdr:rowOff>30480</xdr:rowOff>
                  </from>
                  <to>
                    <xdr:col>0</xdr:col>
                    <xdr:colOff>236220</xdr:colOff>
                    <xdr:row>280</xdr:row>
                    <xdr:rowOff>182880</xdr:rowOff>
                  </to>
                </anchor>
              </controlPr>
            </control>
          </mc:Choice>
        </mc:AlternateContent>
        <mc:AlternateContent xmlns:mc="http://schemas.openxmlformats.org/markup-compatibility/2006">
          <mc:Choice Requires="x14">
            <control shapeId="64736" r:id="rId273" name="Check Box 4320">
              <controlPr defaultSize="0" autoFill="0" autoLine="0" autoPict="0">
                <anchor moveWithCells="1">
                  <from>
                    <xdr:col>0</xdr:col>
                    <xdr:colOff>60960</xdr:colOff>
                    <xdr:row>281</xdr:row>
                    <xdr:rowOff>30480</xdr:rowOff>
                  </from>
                  <to>
                    <xdr:col>0</xdr:col>
                    <xdr:colOff>236220</xdr:colOff>
                    <xdr:row>281</xdr:row>
                    <xdr:rowOff>182880</xdr:rowOff>
                  </to>
                </anchor>
              </controlPr>
            </control>
          </mc:Choice>
        </mc:AlternateContent>
        <mc:AlternateContent xmlns:mc="http://schemas.openxmlformats.org/markup-compatibility/2006">
          <mc:Choice Requires="x14">
            <control shapeId="64737" r:id="rId274" name="Check Box 4321">
              <controlPr defaultSize="0" autoFill="0" autoLine="0" autoPict="0">
                <anchor moveWithCells="1">
                  <from>
                    <xdr:col>0</xdr:col>
                    <xdr:colOff>60960</xdr:colOff>
                    <xdr:row>282</xdr:row>
                    <xdr:rowOff>30480</xdr:rowOff>
                  </from>
                  <to>
                    <xdr:col>0</xdr:col>
                    <xdr:colOff>236220</xdr:colOff>
                    <xdr:row>282</xdr:row>
                    <xdr:rowOff>182880</xdr:rowOff>
                  </to>
                </anchor>
              </controlPr>
            </control>
          </mc:Choice>
        </mc:AlternateContent>
        <mc:AlternateContent xmlns:mc="http://schemas.openxmlformats.org/markup-compatibility/2006">
          <mc:Choice Requires="x14">
            <control shapeId="64738" r:id="rId275" name="Check Box 4322">
              <controlPr defaultSize="0" autoFill="0" autoLine="0" autoPict="0">
                <anchor moveWithCells="1">
                  <from>
                    <xdr:col>0</xdr:col>
                    <xdr:colOff>60960</xdr:colOff>
                    <xdr:row>283</xdr:row>
                    <xdr:rowOff>30480</xdr:rowOff>
                  </from>
                  <to>
                    <xdr:col>0</xdr:col>
                    <xdr:colOff>236220</xdr:colOff>
                    <xdr:row>283</xdr:row>
                    <xdr:rowOff>182880</xdr:rowOff>
                  </to>
                </anchor>
              </controlPr>
            </control>
          </mc:Choice>
        </mc:AlternateContent>
        <mc:AlternateContent xmlns:mc="http://schemas.openxmlformats.org/markup-compatibility/2006">
          <mc:Choice Requires="x14">
            <control shapeId="64739" r:id="rId276" name="Check Box 4323">
              <controlPr defaultSize="0" autoFill="0" autoLine="0" autoPict="0">
                <anchor moveWithCells="1">
                  <from>
                    <xdr:col>0</xdr:col>
                    <xdr:colOff>60960</xdr:colOff>
                    <xdr:row>284</xdr:row>
                    <xdr:rowOff>30480</xdr:rowOff>
                  </from>
                  <to>
                    <xdr:col>0</xdr:col>
                    <xdr:colOff>236220</xdr:colOff>
                    <xdr:row>284</xdr:row>
                    <xdr:rowOff>182880</xdr:rowOff>
                  </to>
                </anchor>
              </controlPr>
            </control>
          </mc:Choice>
        </mc:AlternateContent>
        <mc:AlternateContent xmlns:mc="http://schemas.openxmlformats.org/markup-compatibility/2006">
          <mc:Choice Requires="x14">
            <control shapeId="64740" r:id="rId277" name="Check Box 4324">
              <controlPr defaultSize="0" autoFill="0" autoLine="0" autoPict="0">
                <anchor moveWithCells="1">
                  <from>
                    <xdr:col>0</xdr:col>
                    <xdr:colOff>60960</xdr:colOff>
                    <xdr:row>285</xdr:row>
                    <xdr:rowOff>30480</xdr:rowOff>
                  </from>
                  <to>
                    <xdr:col>0</xdr:col>
                    <xdr:colOff>236220</xdr:colOff>
                    <xdr:row>285</xdr:row>
                    <xdr:rowOff>182880</xdr:rowOff>
                  </to>
                </anchor>
              </controlPr>
            </control>
          </mc:Choice>
        </mc:AlternateContent>
        <mc:AlternateContent xmlns:mc="http://schemas.openxmlformats.org/markup-compatibility/2006">
          <mc:Choice Requires="x14">
            <control shapeId="64741" r:id="rId278" name="Check Box 4325">
              <controlPr defaultSize="0" autoFill="0" autoLine="0" autoPict="0">
                <anchor moveWithCells="1">
                  <from>
                    <xdr:col>0</xdr:col>
                    <xdr:colOff>60960</xdr:colOff>
                    <xdr:row>286</xdr:row>
                    <xdr:rowOff>30480</xdr:rowOff>
                  </from>
                  <to>
                    <xdr:col>0</xdr:col>
                    <xdr:colOff>236220</xdr:colOff>
                    <xdr:row>286</xdr:row>
                    <xdr:rowOff>182880</xdr:rowOff>
                  </to>
                </anchor>
              </controlPr>
            </control>
          </mc:Choice>
        </mc:AlternateContent>
        <mc:AlternateContent xmlns:mc="http://schemas.openxmlformats.org/markup-compatibility/2006">
          <mc:Choice Requires="x14">
            <control shapeId="64742" r:id="rId279" name="Check Box 4326">
              <controlPr defaultSize="0" autoFill="0" autoLine="0" autoPict="0">
                <anchor moveWithCells="1">
                  <from>
                    <xdr:col>0</xdr:col>
                    <xdr:colOff>60960</xdr:colOff>
                    <xdr:row>287</xdr:row>
                    <xdr:rowOff>30480</xdr:rowOff>
                  </from>
                  <to>
                    <xdr:col>0</xdr:col>
                    <xdr:colOff>236220</xdr:colOff>
                    <xdr:row>287</xdr:row>
                    <xdr:rowOff>182880</xdr:rowOff>
                  </to>
                </anchor>
              </controlPr>
            </control>
          </mc:Choice>
        </mc:AlternateContent>
        <mc:AlternateContent xmlns:mc="http://schemas.openxmlformats.org/markup-compatibility/2006">
          <mc:Choice Requires="x14">
            <control shapeId="64743" r:id="rId280" name="Check Box 4327">
              <controlPr defaultSize="0" autoFill="0" autoLine="0" autoPict="0">
                <anchor moveWithCells="1">
                  <from>
                    <xdr:col>0</xdr:col>
                    <xdr:colOff>60960</xdr:colOff>
                    <xdr:row>288</xdr:row>
                    <xdr:rowOff>30480</xdr:rowOff>
                  </from>
                  <to>
                    <xdr:col>0</xdr:col>
                    <xdr:colOff>236220</xdr:colOff>
                    <xdr:row>288</xdr:row>
                    <xdr:rowOff>182880</xdr:rowOff>
                  </to>
                </anchor>
              </controlPr>
            </control>
          </mc:Choice>
        </mc:AlternateContent>
        <mc:AlternateContent xmlns:mc="http://schemas.openxmlformats.org/markup-compatibility/2006">
          <mc:Choice Requires="x14">
            <control shapeId="64744" r:id="rId281" name="Check Box 4328">
              <controlPr defaultSize="0" autoFill="0" autoLine="0" autoPict="0">
                <anchor moveWithCells="1">
                  <from>
                    <xdr:col>0</xdr:col>
                    <xdr:colOff>60960</xdr:colOff>
                    <xdr:row>289</xdr:row>
                    <xdr:rowOff>30480</xdr:rowOff>
                  </from>
                  <to>
                    <xdr:col>0</xdr:col>
                    <xdr:colOff>236220</xdr:colOff>
                    <xdr:row>289</xdr:row>
                    <xdr:rowOff>182880</xdr:rowOff>
                  </to>
                </anchor>
              </controlPr>
            </control>
          </mc:Choice>
        </mc:AlternateContent>
        <mc:AlternateContent xmlns:mc="http://schemas.openxmlformats.org/markup-compatibility/2006">
          <mc:Choice Requires="x14">
            <control shapeId="64745" r:id="rId282" name="Check Box 4329">
              <controlPr defaultSize="0" autoFill="0" autoLine="0" autoPict="0">
                <anchor moveWithCells="1">
                  <from>
                    <xdr:col>0</xdr:col>
                    <xdr:colOff>60960</xdr:colOff>
                    <xdr:row>290</xdr:row>
                    <xdr:rowOff>30480</xdr:rowOff>
                  </from>
                  <to>
                    <xdr:col>0</xdr:col>
                    <xdr:colOff>236220</xdr:colOff>
                    <xdr:row>290</xdr:row>
                    <xdr:rowOff>182880</xdr:rowOff>
                  </to>
                </anchor>
              </controlPr>
            </control>
          </mc:Choice>
        </mc:AlternateContent>
        <mc:AlternateContent xmlns:mc="http://schemas.openxmlformats.org/markup-compatibility/2006">
          <mc:Choice Requires="x14">
            <control shapeId="64746" r:id="rId283" name="Check Box 4330">
              <controlPr defaultSize="0" autoFill="0" autoLine="0" autoPict="0">
                <anchor moveWithCells="1">
                  <from>
                    <xdr:col>0</xdr:col>
                    <xdr:colOff>60960</xdr:colOff>
                    <xdr:row>291</xdr:row>
                    <xdr:rowOff>30480</xdr:rowOff>
                  </from>
                  <to>
                    <xdr:col>0</xdr:col>
                    <xdr:colOff>236220</xdr:colOff>
                    <xdr:row>291</xdr:row>
                    <xdr:rowOff>182880</xdr:rowOff>
                  </to>
                </anchor>
              </controlPr>
            </control>
          </mc:Choice>
        </mc:AlternateContent>
        <mc:AlternateContent xmlns:mc="http://schemas.openxmlformats.org/markup-compatibility/2006">
          <mc:Choice Requires="x14">
            <control shapeId="64747" r:id="rId284" name="Check Box 4331">
              <controlPr defaultSize="0" autoFill="0" autoLine="0" autoPict="0">
                <anchor moveWithCells="1">
                  <from>
                    <xdr:col>0</xdr:col>
                    <xdr:colOff>60960</xdr:colOff>
                    <xdr:row>292</xdr:row>
                    <xdr:rowOff>30480</xdr:rowOff>
                  </from>
                  <to>
                    <xdr:col>0</xdr:col>
                    <xdr:colOff>236220</xdr:colOff>
                    <xdr:row>292</xdr:row>
                    <xdr:rowOff>182880</xdr:rowOff>
                  </to>
                </anchor>
              </controlPr>
            </control>
          </mc:Choice>
        </mc:AlternateContent>
        <mc:AlternateContent xmlns:mc="http://schemas.openxmlformats.org/markup-compatibility/2006">
          <mc:Choice Requires="x14">
            <control shapeId="64748" r:id="rId285" name="Check Box 4332">
              <controlPr defaultSize="0" autoFill="0" autoLine="0" autoPict="0">
                <anchor moveWithCells="1">
                  <from>
                    <xdr:col>0</xdr:col>
                    <xdr:colOff>60960</xdr:colOff>
                    <xdr:row>293</xdr:row>
                    <xdr:rowOff>30480</xdr:rowOff>
                  </from>
                  <to>
                    <xdr:col>0</xdr:col>
                    <xdr:colOff>236220</xdr:colOff>
                    <xdr:row>293</xdr:row>
                    <xdr:rowOff>182880</xdr:rowOff>
                  </to>
                </anchor>
              </controlPr>
            </control>
          </mc:Choice>
        </mc:AlternateContent>
        <mc:AlternateContent xmlns:mc="http://schemas.openxmlformats.org/markup-compatibility/2006">
          <mc:Choice Requires="x14">
            <control shapeId="64749" r:id="rId286" name="Check Box 4333">
              <controlPr defaultSize="0" autoFill="0" autoLine="0" autoPict="0">
                <anchor moveWithCells="1">
                  <from>
                    <xdr:col>0</xdr:col>
                    <xdr:colOff>60960</xdr:colOff>
                    <xdr:row>294</xdr:row>
                    <xdr:rowOff>30480</xdr:rowOff>
                  </from>
                  <to>
                    <xdr:col>0</xdr:col>
                    <xdr:colOff>236220</xdr:colOff>
                    <xdr:row>294</xdr:row>
                    <xdr:rowOff>182880</xdr:rowOff>
                  </to>
                </anchor>
              </controlPr>
            </control>
          </mc:Choice>
        </mc:AlternateContent>
        <mc:AlternateContent xmlns:mc="http://schemas.openxmlformats.org/markup-compatibility/2006">
          <mc:Choice Requires="x14">
            <control shapeId="64750" r:id="rId287" name="Check Box 4334">
              <controlPr defaultSize="0" autoFill="0" autoLine="0" autoPict="0">
                <anchor moveWithCells="1">
                  <from>
                    <xdr:col>0</xdr:col>
                    <xdr:colOff>60960</xdr:colOff>
                    <xdr:row>295</xdr:row>
                    <xdr:rowOff>30480</xdr:rowOff>
                  </from>
                  <to>
                    <xdr:col>0</xdr:col>
                    <xdr:colOff>236220</xdr:colOff>
                    <xdr:row>295</xdr:row>
                    <xdr:rowOff>182880</xdr:rowOff>
                  </to>
                </anchor>
              </controlPr>
            </control>
          </mc:Choice>
        </mc:AlternateContent>
        <mc:AlternateContent xmlns:mc="http://schemas.openxmlformats.org/markup-compatibility/2006">
          <mc:Choice Requires="x14">
            <control shapeId="64751" r:id="rId288" name="Check Box 4335">
              <controlPr defaultSize="0" autoFill="0" autoLine="0" autoPict="0">
                <anchor moveWithCells="1">
                  <from>
                    <xdr:col>0</xdr:col>
                    <xdr:colOff>60960</xdr:colOff>
                    <xdr:row>296</xdr:row>
                    <xdr:rowOff>30480</xdr:rowOff>
                  </from>
                  <to>
                    <xdr:col>0</xdr:col>
                    <xdr:colOff>236220</xdr:colOff>
                    <xdr:row>296</xdr:row>
                    <xdr:rowOff>182880</xdr:rowOff>
                  </to>
                </anchor>
              </controlPr>
            </control>
          </mc:Choice>
        </mc:AlternateContent>
        <mc:AlternateContent xmlns:mc="http://schemas.openxmlformats.org/markup-compatibility/2006">
          <mc:Choice Requires="x14">
            <control shapeId="64752" r:id="rId289" name="Check Box 4336">
              <controlPr defaultSize="0" autoFill="0" autoLine="0" autoPict="0">
                <anchor moveWithCells="1">
                  <from>
                    <xdr:col>0</xdr:col>
                    <xdr:colOff>60960</xdr:colOff>
                    <xdr:row>297</xdr:row>
                    <xdr:rowOff>30480</xdr:rowOff>
                  </from>
                  <to>
                    <xdr:col>0</xdr:col>
                    <xdr:colOff>236220</xdr:colOff>
                    <xdr:row>297</xdr:row>
                    <xdr:rowOff>182880</xdr:rowOff>
                  </to>
                </anchor>
              </controlPr>
            </control>
          </mc:Choice>
        </mc:AlternateContent>
        <mc:AlternateContent xmlns:mc="http://schemas.openxmlformats.org/markup-compatibility/2006">
          <mc:Choice Requires="x14">
            <control shapeId="64753" r:id="rId290" name="Check Box 4337">
              <controlPr defaultSize="0" autoFill="0" autoLine="0" autoPict="0">
                <anchor moveWithCells="1">
                  <from>
                    <xdr:col>0</xdr:col>
                    <xdr:colOff>60960</xdr:colOff>
                    <xdr:row>298</xdr:row>
                    <xdr:rowOff>30480</xdr:rowOff>
                  </from>
                  <to>
                    <xdr:col>0</xdr:col>
                    <xdr:colOff>236220</xdr:colOff>
                    <xdr:row>298</xdr:row>
                    <xdr:rowOff>182880</xdr:rowOff>
                  </to>
                </anchor>
              </controlPr>
            </control>
          </mc:Choice>
        </mc:AlternateContent>
        <mc:AlternateContent xmlns:mc="http://schemas.openxmlformats.org/markup-compatibility/2006">
          <mc:Choice Requires="x14">
            <control shapeId="64754" r:id="rId291" name="Check Box 4338">
              <controlPr defaultSize="0" autoFill="0" autoLine="0" autoPict="0">
                <anchor moveWithCells="1">
                  <from>
                    <xdr:col>0</xdr:col>
                    <xdr:colOff>60960</xdr:colOff>
                    <xdr:row>299</xdr:row>
                    <xdr:rowOff>30480</xdr:rowOff>
                  </from>
                  <to>
                    <xdr:col>0</xdr:col>
                    <xdr:colOff>236220</xdr:colOff>
                    <xdr:row>299</xdr:row>
                    <xdr:rowOff>182880</xdr:rowOff>
                  </to>
                </anchor>
              </controlPr>
            </control>
          </mc:Choice>
        </mc:AlternateContent>
        <mc:AlternateContent xmlns:mc="http://schemas.openxmlformats.org/markup-compatibility/2006">
          <mc:Choice Requires="x14">
            <control shapeId="64755" r:id="rId292" name="Check Box 4339">
              <controlPr defaultSize="0" autoFill="0" autoLine="0" autoPict="0">
                <anchor moveWithCells="1">
                  <from>
                    <xdr:col>0</xdr:col>
                    <xdr:colOff>60960</xdr:colOff>
                    <xdr:row>300</xdr:row>
                    <xdr:rowOff>30480</xdr:rowOff>
                  </from>
                  <to>
                    <xdr:col>0</xdr:col>
                    <xdr:colOff>236220</xdr:colOff>
                    <xdr:row>300</xdr:row>
                    <xdr:rowOff>182880</xdr:rowOff>
                  </to>
                </anchor>
              </controlPr>
            </control>
          </mc:Choice>
        </mc:AlternateContent>
        <mc:AlternateContent xmlns:mc="http://schemas.openxmlformats.org/markup-compatibility/2006">
          <mc:Choice Requires="x14">
            <control shapeId="64756" r:id="rId293" name="Check Box 4340">
              <controlPr defaultSize="0" autoFill="0" autoLine="0" autoPict="0">
                <anchor moveWithCells="1">
                  <from>
                    <xdr:col>0</xdr:col>
                    <xdr:colOff>60960</xdr:colOff>
                    <xdr:row>301</xdr:row>
                    <xdr:rowOff>30480</xdr:rowOff>
                  </from>
                  <to>
                    <xdr:col>0</xdr:col>
                    <xdr:colOff>236220</xdr:colOff>
                    <xdr:row>301</xdr:row>
                    <xdr:rowOff>182880</xdr:rowOff>
                  </to>
                </anchor>
              </controlPr>
            </control>
          </mc:Choice>
        </mc:AlternateContent>
        <mc:AlternateContent xmlns:mc="http://schemas.openxmlformats.org/markup-compatibility/2006">
          <mc:Choice Requires="x14">
            <control shapeId="64757" r:id="rId294" name="Check Box 4341">
              <controlPr defaultSize="0" autoFill="0" autoLine="0" autoPict="0">
                <anchor moveWithCells="1">
                  <from>
                    <xdr:col>0</xdr:col>
                    <xdr:colOff>60960</xdr:colOff>
                    <xdr:row>302</xdr:row>
                    <xdr:rowOff>30480</xdr:rowOff>
                  </from>
                  <to>
                    <xdr:col>0</xdr:col>
                    <xdr:colOff>236220</xdr:colOff>
                    <xdr:row>302</xdr:row>
                    <xdr:rowOff>182880</xdr:rowOff>
                  </to>
                </anchor>
              </controlPr>
            </control>
          </mc:Choice>
        </mc:AlternateContent>
        <mc:AlternateContent xmlns:mc="http://schemas.openxmlformats.org/markup-compatibility/2006">
          <mc:Choice Requires="x14">
            <control shapeId="64758" r:id="rId295" name="Check Box 4342">
              <controlPr defaultSize="0" autoFill="0" autoLine="0" autoPict="0">
                <anchor moveWithCells="1">
                  <from>
                    <xdr:col>0</xdr:col>
                    <xdr:colOff>60960</xdr:colOff>
                    <xdr:row>303</xdr:row>
                    <xdr:rowOff>30480</xdr:rowOff>
                  </from>
                  <to>
                    <xdr:col>0</xdr:col>
                    <xdr:colOff>236220</xdr:colOff>
                    <xdr:row>303</xdr:row>
                    <xdr:rowOff>182880</xdr:rowOff>
                  </to>
                </anchor>
              </controlPr>
            </control>
          </mc:Choice>
        </mc:AlternateContent>
        <mc:AlternateContent xmlns:mc="http://schemas.openxmlformats.org/markup-compatibility/2006">
          <mc:Choice Requires="x14">
            <control shapeId="64759" r:id="rId296" name="Check Box 4343">
              <controlPr defaultSize="0" autoFill="0" autoLine="0" autoPict="0">
                <anchor moveWithCells="1">
                  <from>
                    <xdr:col>0</xdr:col>
                    <xdr:colOff>60960</xdr:colOff>
                    <xdr:row>304</xdr:row>
                    <xdr:rowOff>30480</xdr:rowOff>
                  </from>
                  <to>
                    <xdr:col>0</xdr:col>
                    <xdr:colOff>236220</xdr:colOff>
                    <xdr:row>304</xdr:row>
                    <xdr:rowOff>182880</xdr:rowOff>
                  </to>
                </anchor>
              </controlPr>
            </control>
          </mc:Choice>
        </mc:AlternateContent>
        <mc:AlternateContent xmlns:mc="http://schemas.openxmlformats.org/markup-compatibility/2006">
          <mc:Choice Requires="x14">
            <control shapeId="64760" r:id="rId297" name="Check Box 4344">
              <controlPr defaultSize="0" autoFill="0" autoLine="0" autoPict="0">
                <anchor moveWithCells="1">
                  <from>
                    <xdr:col>0</xdr:col>
                    <xdr:colOff>60960</xdr:colOff>
                    <xdr:row>305</xdr:row>
                    <xdr:rowOff>30480</xdr:rowOff>
                  </from>
                  <to>
                    <xdr:col>0</xdr:col>
                    <xdr:colOff>236220</xdr:colOff>
                    <xdr:row>305</xdr:row>
                    <xdr:rowOff>182880</xdr:rowOff>
                  </to>
                </anchor>
              </controlPr>
            </control>
          </mc:Choice>
        </mc:AlternateContent>
        <mc:AlternateContent xmlns:mc="http://schemas.openxmlformats.org/markup-compatibility/2006">
          <mc:Choice Requires="x14">
            <control shapeId="64761" r:id="rId298" name="Check Box 4345">
              <controlPr defaultSize="0" autoFill="0" autoLine="0" autoPict="0">
                <anchor moveWithCells="1">
                  <from>
                    <xdr:col>0</xdr:col>
                    <xdr:colOff>60960</xdr:colOff>
                    <xdr:row>306</xdr:row>
                    <xdr:rowOff>30480</xdr:rowOff>
                  </from>
                  <to>
                    <xdr:col>0</xdr:col>
                    <xdr:colOff>236220</xdr:colOff>
                    <xdr:row>306</xdr:row>
                    <xdr:rowOff>182880</xdr:rowOff>
                  </to>
                </anchor>
              </controlPr>
            </control>
          </mc:Choice>
        </mc:AlternateContent>
        <mc:AlternateContent xmlns:mc="http://schemas.openxmlformats.org/markup-compatibility/2006">
          <mc:Choice Requires="x14">
            <control shapeId="64762" r:id="rId299" name="Check Box 4346">
              <controlPr defaultSize="0" autoFill="0" autoLine="0" autoPict="0">
                <anchor moveWithCells="1">
                  <from>
                    <xdr:col>0</xdr:col>
                    <xdr:colOff>60960</xdr:colOff>
                    <xdr:row>307</xdr:row>
                    <xdr:rowOff>30480</xdr:rowOff>
                  </from>
                  <to>
                    <xdr:col>0</xdr:col>
                    <xdr:colOff>236220</xdr:colOff>
                    <xdr:row>307</xdr:row>
                    <xdr:rowOff>182880</xdr:rowOff>
                  </to>
                </anchor>
              </controlPr>
            </control>
          </mc:Choice>
        </mc:AlternateContent>
        <mc:AlternateContent xmlns:mc="http://schemas.openxmlformats.org/markup-compatibility/2006">
          <mc:Choice Requires="x14">
            <control shapeId="64763" r:id="rId300" name="Check Box 4347">
              <controlPr defaultSize="0" autoFill="0" autoLine="0" autoPict="0">
                <anchor moveWithCells="1">
                  <from>
                    <xdr:col>0</xdr:col>
                    <xdr:colOff>60960</xdr:colOff>
                    <xdr:row>308</xdr:row>
                    <xdr:rowOff>30480</xdr:rowOff>
                  </from>
                  <to>
                    <xdr:col>0</xdr:col>
                    <xdr:colOff>236220</xdr:colOff>
                    <xdr:row>308</xdr:row>
                    <xdr:rowOff>182880</xdr:rowOff>
                  </to>
                </anchor>
              </controlPr>
            </control>
          </mc:Choice>
        </mc:AlternateContent>
        <mc:AlternateContent xmlns:mc="http://schemas.openxmlformats.org/markup-compatibility/2006">
          <mc:Choice Requires="x14">
            <control shapeId="64764" r:id="rId301" name="Check Box 4348">
              <controlPr defaultSize="0" autoFill="0" autoLine="0" autoPict="0">
                <anchor moveWithCells="1">
                  <from>
                    <xdr:col>0</xdr:col>
                    <xdr:colOff>60960</xdr:colOff>
                    <xdr:row>309</xdr:row>
                    <xdr:rowOff>30480</xdr:rowOff>
                  </from>
                  <to>
                    <xdr:col>0</xdr:col>
                    <xdr:colOff>236220</xdr:colOff>
                    <xdr:row>309</xdr:row>
                    <xdr:rowOff>182880</xdr:rowOff>
                  </to>
                </anchor>
              </controlPr>
            </control>
          </mc:Choice>
        </mc:AlternateContent>
        <mc:AlternateContent xmlns:mc="http://schemas.openxmlformats.org/markup-compatibility/2006">
          <mc:Choice Requires="x14">
            <control shapeId="64765" r:id="rId302" name="Check Box 4349">
              <controlPr defaultSize="0" autoFill="0" autoLine="0" autoPict="0">
                <anchor moveWithCells="1">
                  <from>
                    <xdr:col>0</xdr:col>
                    <xdr:colOff>60960</xdr:colOff>
                    <xdr:row>310</xdr:row>
                    <xdr:rowOff>30480</xdr:rowOff>
                  </from>
                  <to>
                    <xdr:col>0</xdr:col>
                    <xdr:colOff>236220</xdr:colOff>
                    <xdr:row>310</xdr:row>
                    <xdr:rowOff>182880</xdr:rowOff>
                  </to>
                </anchor>
              </controlPr>
            </control>
          </mc:Choice>
        </mc:AlternateContent>
        <mc:AlternateContent xmlns:mc="http://schemas.openxmlformats.org/markup-compatibility/2006">
          <mc:Choice Requires="x14">
            <control shapeId="64766" r:id="rId303" name="Check Box 4350">
              <controlPr defaultSize="0" autoFill="0" autoLine="0" autoPict="0">
                <anchor moveWithCells="1">
                  <from>
                    <xdr:col>0</xdr:col>
                    <xdr:colOff>60960</xdr:colOff>
                    <xdr:row>311</xdr:row>
                    <xdr:rowOff>30480</xdr:rowOff>
                  </from>
                  <to>
                    <xdr:col>0</xdr:col>
                    <xdr:colOff>236220</xdr:colOff>
                    <xdr:row>311</xdr:row>
                    <xdr:rowOff>182880</xdr:rowOff>
                  </to>
                </anchor>
              </controlPr>
            </control>
          </mc:Choice>
        </mc:AlternateContent>
        <mc:AlternateContent xmlns:mc="http://schemas.openxmlformats.org/markup-compatibility/2006">
          <mc:Choice Requires="x14">
            <control shapeId="64767" r:id="rId304" name="Check Box 4351">
              <controlPr defaultSize="0" autoFill="0" autoLine="0" autoPict="0">
                <anchor moveWithCells="1">
                  <from>
                    <xdr:col>0</xdr:col>
                    <xdr:colOff>60960</xdr:colOff>
                    <xdr:row>312</xdr:row>
                    <xdr:rowOff>30480</xdr:rowOff>
                  </from>
                  <to>
                    <xdr:col>0</xdr:col>
                    <xdr:colOff>236220</xdr:colOff>
                    <xdr:row>312</xdr:row>
                    <xdr:rowOff>182880</xdr:rowOff>
                  </to>
                </anchor>
              </controlPr>
            </control>
          </mc:Choice>
        </mc:AlternateContent>
        <mc:AlternateContent xmlns:mc="http://schemas.openxmlformats.org/markup-compatibility/2006">
          <mc:Choice Requires="x14">
            <control shapeId="64768" r:id="rId305" name="Check Box 4352">
              <controlPr defaultSize="0" autoFill="0" autoLine="0" autoPict="0">
                <anchor moveWithCells="1">
                  <from>
                    <xdr:col>0</xdr:col>
                    <xdr:colOff>60960</xdr:colOff>
                    <xdr:row>313</xdr:row>
                    <xdr:rowOff>30480</xdr:rowOff>
                  </from>
                  <to>
                    <xdr:col>0</xdr:col>
                    <xdr:colOff>236220</xdr:colOff>
                    <xdr:row>313</xdr:row>
                    <xdr:rowOff>182880</xdr:rowOff>
                  </to>
                </anchor>
              </controlPr>
            </control>
          </mc:Choice>
        </mc:AlternateContent>
        <mc:AlternateContent xmlns:mc="http://schemas.openxmlformats.org/markup-compatibility/2006">
          <mc:Choice Requires="x14">
            <control shapeId="64769" r:id="rId306" name="Check Box 4353">
              <controlPr defaultSize="0" autoFill="0" autoLine="0" autoPict="0">
                <anchor moveWithCells="1">
                  <from>
                    <xdr:col>0</xdr:col>
                    <xdr:colOff>60960</xdr:colOff>
                    <xdr:row>314</xdr:row>
                    <xdr:rowOff>30480</xdr:rowOff>
                  </from>
                  <to>
                    <xdr:col>0</xdr:col>
                    <xdr:colOff>236220</xdr:colOff>
                    <xdr:row>314</xdr:row>
                    <xdr:rowOff>182880</xdr:rowOff>
                  </to>
                </anchor>
              </controlPr>
            </control>
          </mc:Choice>
        </mc:AlternateContent>
        <mc:AlternateContent xmlns:mc="http://schemas.openxmlformats.org/markup-compatibility/2006">
          <mc:Choice Requires="x14">
            <control shapeId="64770" r:id="rId307" name="Check Box 4354">
              <controlPr defaultSize="0" autoFill="0" autoLine="0" autoPict="0">
                <anchor moveWithCells="1">
                  <from>
                    <xdr:col>0</xdr:col>
                    <xdr:colOff>60960</xdr:colOff>
                    <xdr:row>315</xdr:row>
                    <xdr:rowOff>30480</xdr:rowOff>
                  </from>
                  <to>
                    <xdr:col>0</xdr:col>
                    <xdr:colOff>236220</xdr:colOff>
                    <xdr:row>315</xdr:row>
                    <xdr:rowOff>182880</xdr:rowOff>
                  </to>
                </anchor>
              </controlPr>
            </control>
          </mc:Choice>
        </mc:AlternateContent>
        <mc:AlternateContent xmlns:mc="http://schemas.openxmlformats.org/markup-compatibility/2006">
          <mc:Choice Requires="x14">
            <control shapeId="64771" r:id="rId308" name="Check Box 4355">
              <controlPr defaultSize="0" autoFill="0" autoLine="0" autoPict="0">
                <anchor moveWithCells="1">
                  <from>
                    <xdr:col>0</xdr:col>
                    <xdr:colOff>60960</xdr:colOff>
                    <xdr:row>316</xdr:row>
                    <xdr:rowOff>30480</xdr:rowOff>
                  </from>
                  <to>
                    <xdr:col>0</xdr:col>
                    <xdr:colOff>236220</xdr:colOff>
                    <xdr:row>316</xdr:row>
                    <xdr:rowOff>182880</xdr:rowOff>
                  </to>
                </anchor>
              </controlPr>
            </control>
          </mc:Choice>
        </mc:AlternateContent>
        <mc:AlternateContent xmlns:mc="http://schemas.openxmlformats.org/markup-compatibility/2006">
          <mc:Choice Requires="x14">
            <control shapeId="64772" r:id="rId309" name="Check Box 4356">
              <controlPr defaultSize="0" autoFill="0" autoLine="0" autoPict="0">
                <anchor moveWithCells="1">
                  <from>
                    <xdr:col>0</xdr:col>
                    <xdr:colOff>60960</xdr:colOff>
                    <xdr:row>317</xdr:row>
                    <xdr:rowOff>30480</xdr:rowOff>
                  </from>
                  <to>
                    <xdr:col>0</xdr:col>
                    <xdr:colOff>236220</xdr:colOff>
                    <xdr:row>317</xdr:row>
                    <xdr:rowOff>182880</xdr:rowOff>
                  </to>
                </anchor>
              </controlPr>
            </control>
          </mc:Choice>
        </mc:AlternateContent>
        <mc:AlternateContent xmlns:mc="http://schemas.openxmlformats.org/markup-compatibility/2006">
          <mc:Choice Requires="x14">
            <control shapeId="64773" r:id="rId310" name="Check Box 4357">
              <controlPr defaultSize="0" autoFill="0" autoLine="0" autoPict="0">
                <anchor moveWithCells="1">
                  <from>
                    <xdr:col>0</xdr:col>
                    <xdr:colOff>60960</xdr:colOff>
                    <xdr:row>318</xdr:row>
                    <xdr:rowOff>30480</xdr:rowOff>
                  </from>
                  <to>
                    <xdr:col>0</xdr:col>
                    <xdr:colOff>236220</xdr:colOff>
                    <xdr:row>318</xdr:row>
                    <xdr:rowOff>182880</xdr:rowOff>
                  </to>
                </anchor>
              </controlPr>
            </control>
          </mc:Choice>
        </mc:AlternateContent>
        <mc:AlternateContent xmlns:mc="http://schemas.openxmlformats.org/markup-compatibility/2006">
          <mc:Choice Requires="x14">
            <control shapeId="64774" r:id="rId311" name="Check Box 4358">
              <controlPr defaultSize="0" autoFill="0" autoLine="0" autoPict="0">
                <anchor moveWithCells="1">
                  <from>
                    <xdr:col>0</xdr:col>
                    <xdr:colOff>60960</xdr:colOff>
                    <xdr:row>319</xdr:row>
                    <xdr:rowOff>30480</xdr:rowOff>
                  </from>
                  <to>
                    <xdr:col>0</xdr:col>
                    <xdr:colOff>236220</xdr:colOff>
                    <xdr:row>319</xdr:row>
                    <xdr:rowOff>182880</xdr:rowOff>
                  </to>
                </anchor>
              </controlPr>
            </control>
          </mc:Choice>
        </mc:AlternateContent>
        <mc:AlternateContent xmlns:mc="http://schemas.openxmlformats.org/markup-compatibility/2006">
          <mc:Choice Requires="x14">
            <control shapeId="64775" r:id="rId312" name="Check Box 4359">
              <controlPr defaultSize="0" autoFill="0" autoLine="0" autoPict="0">
                <anchor moveWithCells="1">
                  <from>
                    <xdr:col>0</xdr:col>
                    <xdr:colOff>60960</xdr:colOff>
                    <xdr:row>320</xdr:row>
                    <xdr:rowOff>30480</xdr:rowOff>
                  </from>
                  <to>
                    <xdr:col>0</xdr:col>
                    <xdr:colOff>236220</xdr:colOff>
                    <xdr:row>320</xdr:row>
                    <xdr:rowOff>182880</xdr:rowOff>
                  </to>
                </anchor>
              </controlPr>
            </control>
          </mc:Choice>
        </mc:AlternateContent>
        <mc:AlternateContent xmlns:mc="http://schemas.openxmlformats.org/markup-compatibility/2006">
          <mc:Choice Requires="x14">
            <control shapeId="64776" r:id="rId313" name="Check Box 4360">
              <controlPr defaultSize="0" autoFill="0" autoLine="0" autoPict="0">
                <anchor moveWithCells="1">
                  <from>
                    <xdr:col>0</xdr:col>
                    <xdr:colOff>60960</xdr:colOff>
                    <xdr:row>321</xdr:row>
                    <xdr:rowOff>30480</xdr:rowOff>
                  </from>
                  <to>
                    <xdr:col>0</xdr:col>
                    <xdr:colOff>236220</xdr:colOff>
                    <xdr:row>321</xdr:row>
                    <xdr:rowOff>182880</xdr:rowOff>
                  </to>
                </anchor>
              </controlPr>
            </control>
          </mc:Choice>
        </mc:AlternateContent>
        <mc:AlternateContent xmlns:mc="http://schemas.openxmlformats.org/markup-compatibility/2006">
          <mc:Choice Requires="x14">
            <control shapeId="64777" r:id="rId314" name="Check Box 4361">
              <controlPr defaultSize="0" autoFill="0" autoLine="0" autoPict="0">
                <anchor moveWithCells="1">
                  <from>
                    <xdr:col>0</xdr:col>
                    <xdr:colOff>60960</xdr:colOff>
                    <xdr:row>322</xdr:row>
                    <xdr:rowOff>30480</xdr:rowOff>
                  </from>
                  <to>
                    <xdr:col>0</xdr:col>
                    <xdr:colOff>236220</xdr:colOff>
                    <xdr:row>322</xdr:row>
                    <xdr:rowOff>182880</xdr:rowOff>
                  </to>
                </anchor>
              </controlPr>
            </control>
          </mc:Choice>
        </mc:AlternateContent>
        <mc:AlternateContent xmlns:mc="http://schemas.openxmlformats.org/markup-compatibility/2006">
          <mc:Choice Requires="x14">
            <control shapeId="64778" r:id="rId315" name="Check Box 4362">
              <controlPr defaultSize="0" autoFill="0" autoLine="0" autoPict="0">
                <anchor moveWithCells="1">
                  <from>
                    <xdr:col>0</xdr:col>
                    <xdr:colOff>60960</xdr:colOff>
                    <xdr:row>323</xdr:row>
                    <xdr:rowOff>30480</xdr:rowOff>
                  </from>
                  <to>
                    <xdr:col>0</xdr:col>
                    <xdr:colOff>236220</xdr:colOff>
                    <xdr:row>323</xdr:row>
                    <xdr:rowOff>182880</xdr:rowOff>
                  </to>
                </anchor>
              </controlPr>
            </control>
          </mc:Choice>
        </mc:AlternateContent>
        <mc:AlternateContent xmlns:mc="http://schemas.openxmlformats.org/markup-compatibility/2006">
          <mc:Choice Requires="x14">
            <control shapeId="64779" r:id="rId316" name="Check Box 4363">
              <controlPr defaultSize="0" autoFill="0" autoLine="0" autoPict="0">
                <anchor moveWithCells="1">
                  <from>
                    <xdr:col>0</xdr:col>
                    <xdr:colOff>60960</xdr:colOff>
                    <xdr:row>324</xdr:row>
                    <xdr:rowOff>30480</xdr:rowOff>
                  </from>
                  <to>
                    <xdr:col>0</xdr:col>
                    <xdr:colOff>236220</xdr:colOff>
                    <xdr:row>324</xdr:row>
                    <xdr:rowOff>182880</xdr:rowOff>
                  </to>
                </anchor>
              </controlPr>
            </control>
          </mc:Choice>
        </mc:AlternateContent>
        <mc:AlternateContent xmlns:mc="http://schemas.openxmlformats.org/markup-compatibility/2006">
          <mc:Choice Requires="x14">
            <control shapeId="64780" r:id="rId317" name="Check Box 4364">
              <controlPr defaultSize="0" autoFill="0" autoLine="0" autoPict="0">
                <anchor moveWithCells="1">
                  <from>
                    <xdr:col>0</xdr:col>
                    <xdr:colOff>60960</xdr:colOff>
                    <xdr:row>325</xdr:row>
                    <xdr:rowOff>30480</xdr:rowOff>
                  </from>
                  <to>
                    <xdr:col>0</xdr:col>
                    <xdr:colOff>236220</xdr:colOff>
                    <xdr:row>325</xdr:row>
                    <xdr:rowOff>182880</xdr:rowOff>
                  </to>
                </anchor>
              </controlPr>
            </control>
          </mc:Choice>
        </mc:AlternateContent>
        <mc:AlternateContent xmlns:mc="http://schemas.openxmlformats.org/markup-compatibility/2006">
          <mc:Choice Requires="x14">
            <control shapeId="64781" r:id="rId318" name="Check Box 4365">
              <controlPr defaultSize="0" autoFill="0" autoLine="0" autoPict="0">
                <anchor moveWithCells="1">
                  <from>
                    <xdr:col>0</xdr:col>
                    <xdr:colOff>60960</xdr:colOff>
                    <xdr:row>326</xdr:row>
                    <xdr:rowOff>30480</xdr:rowOff>
                  </from>
                  <to>
                    <xdr:col>0</xdr:col>
                    <xdr:colOff>236220</xdr:colOff>
                    <xdr:row>326</xdr:row>
                    <xdr:rowOff>182880</xdr:rowOff>
                  </to>
                </anchor>
              </controlPr>
            </control>
          </mc:Choice>
        </mc:AlternateContent>
        <mc:AlternateContent xmlns:mc="http://schemas.openxmlformats.org/markup-compatibility/2006">
          <mc:Choice Requires="x14">
            <control shapeId="64782" r:id="rId319" name="Check Box 4366">
              <controlPr defaultSize="0" autoFill="0" autoLine="0" autoPict="0">
                <anchor moveWithCells="1">
                  <from>
                    <xdr:col>0</xdr:col>
                    <xdr:colOff>60960</xdr:colOff>
                    <xdr:row>327</xdr:row>
                    <xdr:rowOff>30480</xdr:rowOff>
                  </from>
                  <to>
                    <xdr:col>0</xdr:col>
                    <xdr:colOff>236220</xdr:colOff>
                    <xdr:row>327</xdr:row>
                    <xdr:rowOff>182880</xdr:rowOff>
                  </to>
                </anchor>
              </controlPr>
            </control>
          </mc:Choice>
        </mc:AlternateContent>
        <mc:AlternateContent xmlns:mc="http://schemas.openxmlformats.org/markup-compatibility/2006">
          <mc:Choice Requires="x14">
            <control shapeId="64783" r:id="rId320" name="Check Box 4367">
              <controlPr defaultSize="0" autoFill="0" autoLine="0" autoPict="0">
                <anchor moveWithCells="1">
                  <from>
                    <xdr:col>0</xdr:col>
                    <xdr:colOff>60960</xdr:colOff>
                    <xdr:row>328</xdr:row>
                    <xdr:rowOff>30480</xdr:rowOff>
                  </from>
                  <to>
                    <xdr:col>0</xdr:col>
                    <xdr:colOff>236220</xdr:colOff>
                    <xdr:row>328</xdr:row>
                    <xdr:rowOff>182880</xdr:rowOff>
                  </to>
                </anchor>
              </controlPr>
            </control>
          </mc:Choice>
        </mc:AlternateContent>
        <mc:AlternateContent xmlns:mc="http://schemas.openxmlformats.org/markup-compatibility/2006">
          <mc:Choice Requires="x14">
            <control shapeId="64784" r:id="rId321" name="Check Box 4368">
              <controlPr defaultSize="0" autoFill="0" autoLine="0" autoPict="0">
                <anchor moveWithCells="1">
                  <from>
                    <xdr:col>0</xdr:col>
                    <xdr:colOff>60960</xdr:colOff>
                    <xdr:row>329</xdr:row>
                    <xdr:rowOff>30480</xdr:rowOff>
                  </from>
                  <to>
                    <xdr:col>0</xdr:col>
                    <xdr:colOff>236220</xdr:colOff>
                    <xdr:row>329</xdr:row>
                    <xdr:rowOff>182880</xdr:rowOff>
                  </to>
                </anchor>
              </controlPr>
            </control>
          </mc:Choice>
        </mc:AlternateContent>
        <mc:AlternateContent xmlns:mc="http://schemas.openxmlformats.org/markup-compatibility/2006">
          <mc:Choice Requires="x14">
            <control shapeId="64785" r:id="rId322" name="Check Box 4369">
              <controlPr defaultSize="0" autoFill="0" autoLine="0" autoPict="0">
                <anchor moveWithCells="1">
                  <from>
                    <xdr:col>0</xdr:col>
                    <xdr:colOff>60960</xdr:colOff>
                    <xdr:row>330</xdr:row>
                    <xdr:rowOff>30480</xdr:rowOff>
                  </from>
                  <to>
                    <xdr:col>0</xdr:col>
                    <xdr:colOff>236220</xdr:colOff>
                    <xdr:row>330</xdr:row>
                    <xdr:rowOff>182880</xdr:rowOff>
                  </to>
                </anchor>
              </controlPr>
            </control>
          </mc:Choice>
        </mc:AlternateContent>
        <mc:AlternateContent xmlns:mc="http://schemas.openxmlformats.org/markup-compatibility/2006">
          <mc:Choice Requires="x14">
            <control shapeId="64786" r:id="rId323" name="Check Box 4370">
              <controlPr defaultSize="0" autoFill="0" autoLine="0" autoPict="0">
                <anchor moveWithCells="1">
                  <from>
                    <xdr:col>0</xdr:col>
                    <xdr:colOff>60960</xdr:colOff>
                    <xdr:row>331</xdr:row>
                    <xdr:rowOff>30480</xdr:rowOff>
                  </from>
                  <to>
                    <xdr:col>0</xdr:col>
                    <xdr:colOff>236220</xdr:colOff>
                    <xdr:row>331</xdr:row>
                    <xdr:rowOff>182880</xdr:rowOff>
                  </to>
                </anchor>
              </controlPr>
            </control>
          </mc:Choice>
        </mc:AlternateContent>
        <mc:AlternateContent xmlns:mc="http://schemas.openxmlformats.org/markup-compatibility/2006">
          <mc:Choice Requires="x14">
            <control shapeId="64787" r:id="rId324" name="Check Box 4371">
              <controlPr defaultSize="0" autoFill="0" autoLine="0" autoPict="0">
                <anchor moveWithCells="1">
                  <from>
                    <xdr:col>0</xdr:col>
                    <xdr:colOff>60960</xdr:colOff>
                    <xdr:row>332</xdr:row>
                    <xdr:rowOff>30480</xdr:rowOff>
                  </from>
                  <to>
                    <xdr:col>0</xdr:col>
                    <xdr:colOff>236220</xdr:colOff>
                    <xdr:row>332</xdr:row>
                    <xdr:rowOff>182880</xdr:rowOff>
                  </to>
                </anchor>
              </controlPr>
            </control>
          </mc:Choice>
        </mc:AlternateContent>
        <mc:AlternateContent xmlns:mc="http://schemas.openxmlformats.org/markup-compatibility/2006">
          <mc:Choice Requires="x14">
            <control shapeId="64788" r:id="rId325" name="Check Box 4372">
              <controlPr defaultSize="0" autoFill="0" autoLine="0" autoPict="0">
                <anchor moveWithCells="1">
                  <from>
                    <xdr:col>0</xdr:col>
                    <xdr:colOff>60960</xdr:colOff>
                    <xdr:row>333</xdr:row>
                    <xdr:rowOff>30480</xdr:rowOff>
                  </from>
                  <to>
                    <xdr:col>0</xdr:col>
                    <xdr:colOff>236220</xdr:colOff>
                    <xdr:row>333</xdr:row>
                    <xdr:rowOff>182880</xdr:rowOff>
                  </to>
                </anchor>
              </controlPr>
            </control>
          </mc:Choice>
        </mc:AlternateContent>
        <mc:AlternateContent xmlns:mc="http://schemas.openxmlformats.org/markup-compatibility/2006">
          <mc:Choice Requires="x14">
            <control shapeId="64789" r:id="rId326" name="Check Box 4373">
              <controlPr defaultSize="0" autoFill="0" autoLine="0" autoPict="0">
                <anchor moveWithCells="1">
                  <from>
                    <xdr:col>0</xdr:col>
                    <xdr:colOff>60960</xdr:colOff>
                    <xdr:row>334</xdr:row>
                    <xdr:rowOff>30480</xdr:rowOff>
                  </from>
                  <to>
                    <xdr:col>0</xdr:col>
                    <xdr:colOff>236220</xdr:colOff>
                    <xdr:row>334</xdr:row>
                    <xdr:rowOff>182880</xdr:rowOff>
                  </to>
                </anchor>
              </controlPr>
            </control>
          </mc:Choice>
        </mc:AlternateContent>
        <mc:AlternateContent xmlns:mc="http://schemas.openxmlformats.org/markup-compatibility/2006">
          <mc:Choice Requires="x14">
            <control shapeId="64790" r:id="rId327" name="Check Box 4374">
              <controlPr defaultSize="0" autoFill="0" autoLine="0" autoPict="0">
                <anchor moveWithCells="1">
                  <from>
                    <xdr:col>0</xdr:col>
                    <xdr:colOff>60960</xdr:colOff>
                    <xdr:row>335</xdr:row>
                    <xdr:rowOff>30480</xdr:rowOff>
                  </from>
                  <to>
                    <xdr:col>0</xdr:col>
                    <xdr:colOff>236220</xdr:colOff>
                    <xdr:row>335</xdr:row>
                    <xdr:rowOff>182880</xdr:rowOff>
                  </to>
                </anchor>
              </controlPr>
            </control>
          </mc:Choice>
        </mc:AlternateContent>
        <mc:AlternateContent xmlns:mc="http://schemas.openxmlformats.org/markup-compatibility/2006">
          <mc:Choice Requires="x14">
            <control shapeId="64791" r:id="rId328" name="Check Box 4375">
              <controlPr defaultSize="0" autoFill="0" autoLine="0" autoPict="0">
                <anchor moveWithCells="1">
                  <from>
                    <xdr:col>0</xdr:col>
                    <xdr:colOff>60960</xdr:colOff>
                    <xdr:row>336</xdr:row>
                    <xdr:rowOff>30480</xdr:rowOff>
                  </from>
                  <to>
                    <xdr:col>0</xdr:col>
                    <xdr:colOff>236220</xdr:colOff>
                    <xdr:row>336</xdr:row>
                    <xdr:rowOff>182880</xdr:rowOff>
                  </to>
                </anchor>
              </controlPr>
            </control>
          </mc:Choice>
        </mc:AlternateContent>
        <mc:AlternateContent xmlns:mc="http://schemas.openxmlformats.org/markup-compatibility/2006">
          <mc:Choice Requires="x14">
            <control shapeId="64792" r:id="rId329" name="Check Box 4376">
              <controlPr defaultSize="0" autoFill="0" autoLine="0" autoPict="0">
                <anchor moveWithCells="1">
                  <from>
                    <xdr:col>0</xdr:col>
                    <xdr:colOff>60960</xdr:colOff>
                    <xdr:row>337</xdr:row>
                    <xdr:rowOff>30480</xdr:rowOff>
                  </from>
                  <to>
                    <xdr:col>0</xdr:col>
                    <xdr:colOff>236220</xdr:colOff>
                    <xdr:row>337</xdr:row>
                    <xdr:rowOff>182880</xdr:rowOff>
                  </to>
                </anchor>
              </controlPr>
            </control>
          </mc:Choice>
        </mc:AlternateContent>
        <mc:AlternateContent xmlns:mc="http://schemas.openxmlformats.org/markup-compatibility/2006">
          <mc:Choice Requires="x14">
            <control shapeId="64793" r:id="rId330" name="Check Box 4377">
              <controlPr defaultSize="0" autoFill="0" autoLine="0" autoPict="0">
                <anchor moveWithCells="1">
                  <from>
                    <xdr:col>0</xdr:col>
                    <xdr:colOff>60960</xdr:colOff>
                    <xdr:row>338</xdr:row>
                    <xdr:rowOff>30480</xdr:rowOff>
                  </from>
                  <to>
                    <xdr:col>0</xdr:col>
                    <xdr:colOff>236220</xdr:colOff>
                    <xdr:row>338</xdr:row>
                    <xdr:rowOff>182880</xdr:rowOff>
                  </to>
                </anchor>
              </controlPr>
            </control>
          </mc:Choice>
        </mc:AlternateContent>
        <mc:AlternateContent xmlns:mc="http://schemas.openxmlformats.org/markup-compatibility/2006">
          <mc:Choice Requires="x14">
            <control shapeId="64794" r:id="rId331" name="Check Box 4378">
              <controlPr defaultSize="0" autoFill="0" autoLine="0" autoPict="0">
                <anchor moveWithCells="1">
                  <from>
                    <xdr:col>0</xdr:col>
                    <xdr:colOff>60960</xdr:colOff>
                    <xdr:row>339</xdr:row>
                    <xdr:rowOff>30480</xdr:rowOff>
                  </from>
                  <to>
                    <xdr:col>0</xdr:col>
                    <xdr:colOff>236220</xdr:colOff>
                    <xdr:row>339</xdr:row>
                    <xdr:rowOff>182880</xdr:rowOff>
                  </to>
                </anchor>
              </controlPr>
            </control>
          </mc:Choice>
        </mc:AlternateContent>
        <mc:AlternateContent xmlns:mc="http://schemas.openxmlformats.org/markup-compatibility/2006">
          <mc:Choice Requires="x14">
            <control shapeId="64795" r:id="rId332" name="Check Box 4379">
              <controlPr defaultSize="0" autoFill="0" autoLine="0" autoPict="0">
                <anchor moveWithCells="1">
                  <from>
                    <xdr:col>0</xdr:col>
                    <xdr:colOff>60960</xdr:colOff>
                    <xdr:row>340</xdr:row>
                    <xdr:rowOff>30480</xdr:rowOff>
                  </from>
                  <to>
                    <xdr:col>0</xdr:col>
                    <xdr:colOff>236220</xdr:colOff>
                    <xdr:row>340</xdr:row>
                    <xdr:rowOff>182880</xdr:rowOff>
                  </to>
                </anchor>
              </controlPr>
            </control>
          </mc:Choice>
        </mc:AlternateContent>
        <mc:AlternateContent xmlns:mc="http://schemas.openxmlformats.org/markup-compatibility/2006">
          <mc:Choice Requires="x14">
            <control shapeId="64796" r:id="rId333" name="Check Box 4380">
              <controlPr defaultSize="0" autoFill="0" autoLine="0" autoPict="0">
                <anchor moveWithCells="1">
                  <from>
                    <xdr:col>0</xdr:col>
                    <xdr:colOff>60960</xdr:colOff>
                    <xdr:row>341</xdr:row>
                    <xdr:rowOff>30480</xdr:rowOff>
                  </from>
                  <to>
                    <xdr:col>0</xdr:col>
                    <xdr:colOff>236220</xdr:colOff>
                    <xdr:row>341</xdr:row>
                    <xdr:rowOff>182880</xdr:rowOff>
                  </to>
                </anchor>
              </controlPr>
            </control>
          </mc:Choice>
        </mc:AlternateContent>
        <mc:AlternateContent xmlns:mc="http://schemas.openxmlformats.org/markup-compatibility/2006">
          <mc:Choice Requires="x14">
            <control shapeId="64797" r:id="rId334" name="Check Box 4381">
              <controlPr defaultSize="0" autoFill="0" autoLine="0" autoPict="0">
                <anchor moveWithCells="1">
                  <from>
                    <xdr:col>0</xdr:col>
                    <xdr:colOff>60960</xdr:colOff>
                    <xdr:row>342</xdr:row>
                    <xdr:rowOff>30480</xdr:rowOff>
                  </from>
                  <to>
                    <xdr:col>0</xdr:col>
                    <xdr:colOff>236220</xdr:colOff>
                    <xdr:row>342</xdr:row>
                    <xdr:rowOff>182880</xdr:rowOff>
                  </to>
                </anchor>
              </controlPr>
            </control>
          </mc:Choice>
        </mc:AlternateContent>
        <mc:AlternateContent xmlns:mc="http://schemas.openxmlformats.org/markup-compatibility/2006">
          <mc:Choice Requires="x14">
            <control shapeId="64798" r:id="rId335" name="Check Box 4382">
              <controlPr defaultSize="0" autoFill="0" autoLine="0" autoPict="0">
                <anchor moveWithCells="1">
                  <from>
                    <xdr:col>0</xdr:col>
                    <xdr:colOff>60960</xdr:colOff>
                    <xdr:row>343</xdr:row>
                    <xdr:rowOff>30480</xdr:rowOff>
                  </from>
                  <to>
                    <xdr:col>0</xdr:col>
                    <xdr:colOff>236220</xdr:colOff>
                    <xdr:row>343</xdr:row>
                    <xdr:rowOff>182880</xdr:rowOff>
                  </to>
                </anchor>
              </controlPr>
            </control>
          </mc:Choice>
        </mc:AlternateContent>
        <mc:AlternateContent xmlns:mc="http://schemas.openxmlformats.org/markup-compatibility/2006">
          <mc:Choice Requires="x14">
            <control shapeId="64799" r:id="rId336" name="Check Box 4383">
              <controlPr defaultSize="0" autoFill="0" autoLine="0" autoPict="0">
                <anchor moveWithCells="1">
                  <from>
                    <xdr:col>0</xdr:col>
                    <xdr:colOff>60960</xdr:colOff>
                    <xdr:row>344</xdr:row>
                    <xdr:rowOff>30480</xdr:rowOff>
                  </from>
                  <to>
                    <xdr:col>0</xdr:col>
                    <xdr:colOff>236220</xdr:colOff>
                    <xdr:row>344</xdr:row>
                    <xdr:rowOff>182880</xdr:rowOff>
                  </to>
                </anchor>
              </controlPr>
            </control>
          </mc:Choice>
        </mc:AlternateContent>
        <mc:AlternateContent xmlns:mc="http://schemas.openxmlformats.org/markup-compatibility/2006">
          <mc:Choice Requires="x14">
            <control shapeId="64800" r:id="rId337" name="Check Box 4384">
              <controlPr defaultSize="0" autoFill="0" autoLine="0" autoPict="0">
                <anchor moveWithCells="1">
                  <from>
                    <xdr:col>0</xdr:col>
                    <xdr:colOff>60960</xdr:colOff>
                    <xdr:row>345</xdr:row>
                    <xdr:rowOff>30480</xdr:rowOff>
                  </from>
                  <to>
                    <xdr:col>0</xdr:col>
                    <xdr:colOff>236220</xdr:colOff>
                    <xdr:row>345</xdr:row>
                    <xdr:rowOff>182880</xdr:rowOff>
                  </to>
                </anchor>
              </controlPr>
            </control>
          </mc:Choice>
        </mc:AlternateContent>
        <mc:AlternateContent xmlns:mc="http://schemas.openxmlformats.org/markup-compatibility/2006">
          <mc:Choice Requires="x14">
            <control shapeId="64801" r:id="rId338" name="Check Box 4385">
              <controlPr defaultSize="0" autoFill="0" autoLine="0" autoPict="0">
                <anchor moveWithCells="1">
                  <from>
                    <xdr:col>0</xdr:col>
                    <xdr:colOff>60960</xdr:colOff>
                    <xdr:row>346</xdr:row>
                    <xdr:rowOff>30480</xdr:rowOff>
                  </from>
                  <to>
                    <xdr:col>0</xdr:col>
                    <xdr:colOff>236220</xdr:colOff>
                    <xdr:row>346</xdr:row>
                    <xdr:rowOff>182880</xdr:rowOff>
                  </to>
                </anchor>
              </controlPr>
            </control>
          </mc:Choice>
        </mc:AlternateContent>
        <mc:AlternateContent xmlns:mc="http://schemas.openxmlformats.org/markup-compatibility/2006">
          <mc:Choice Requires="x14">
            <control shapeId="64802" r:id="rId339" name="Check Box 4386">
              <controlPr defaultSize="0" autoFill="0" autoLine="0" autoPict="0">
                <anchor moveWithCells="1">
                  <from>
                    <xdr:col>0</xdr:col>
                    <xdr:colOff>60960</xdr:colOff>
                    <xdr:row>347</xdr:row>
                    <xdr:rowOff>30480</xdr:rowOff>
                  </from>
                  <to>
                    <xdr:col>0</xdr:col>
                    <xdr:colOff>236220</xdr:colOff>
                    <xdr:row>347</xdr:row>
                    <xdr:rowOff>182880</xdr:rowOff>
                  </to>
                </anchor>
              </controlPr>
            </control>
          </mc:Choice>
        </mc:AlternateContent>
        <mc:AlternateContent xmlns:mc="http://schemas.openxmlformats.org/markup-compatibility/2006">
          <mc:Choice Requires="x14">
            <control shapeId="64803" r:id="rId340" name="Check Box 4387">
              <controlPr defaultSize="0" autoFill="0" autoLine="0" autoPict="0">
                <anchor moveWithCells="1">
                  <from>
                    <xdr:col>0</xdr:col>
                    <xdr:colOff>60960</xdr:colOff>
                    <xdr:row>348</xdr:row>
                    <xdr:rowOff>30480</xdr:rowOff>
                  </from>
                  <to>
                    <xdr:col>0</xdr:col>
                    <xdr:colOff>236220</xdr:colOff>
                    <xdr:row>348</xdr:row>
                    <xdr:rowOff>182880</xdr:rowOff>
                  </to>
                </anchor>
              </controlPr>
            </control>
          </mc:Choice>
        </mc:AlternateContent>
        <mc:AlternateContent xmlns:mc="http://schemas.openxmlformats.org/markup-compatibility/2006">
          <mc:Choice Requires="x14">
            <control shapeId="64804" r:id="rId341" name="Check Box 4388">
              <controlPr defaultSize="0" autoFill="0" autoLine="0" autoPict="0">
                <anchor moveWithCells="1">
                  <from>
                    <xdr:col>0</xdr:col>
                    <xdr:colOff>60960</xdr:colOff>
                    <xdr:row>349</xdr:row>
                    <xdr:rowOff>30480</xdr:rowOff>
                  </from>
                  <to>
                    <xdr:col>0</xdr:col>
                    <xdr:colOff>236220</xdr:colOff>
                    <xdr:row>349</xdr:row>
                    <xdr:rowOff>182880</xdr:rowOff>
                  </to>
                </anchor>
              </controlPr>
            </control>
          </mc:Choice>
        </mc:AlternateContent>
        <mc:AlternateContent xmlns:mc="http://schemas.openxmlformats.org/markup-compatibility/2006">
          <mc:Choice Requires="x14">
            <control shapeId="64805" r:id="rId342" name="Check Box 4389">
              <controlPr defaultSize="0" autoFill="0" autoLine="0" autoPict="0">
                <anchor moveWithCells="1">
                  <from>
                    <xdr:col>0</xdr:col>
                    <xdr:colOff>60960</xdr:colOff>
                    <xdr:row>350</xdr:row>
                    <xdr:rowOff>30480</xdr:rowOff>
                  </from>
                  <to>
                    <xdr:col>0</xdr:col>
                    <xdr:colOff>236220</xdr:colOff>
                    <xdr:row>350</xdr:row>
                    <xdr:rowOff>182880</xdr:rowOff>
                  </to>
                </anchor>
              </controlPr>
            </control>
          </mc:Choice>
        </mc:AlternateContent>
        <mc:AlternateContent xmlns:mc="http://schemas.openxmlformats.org/markup-compatibility/2006">
          <mc:Choice Requires="x14">
            <control shapeId="64806" r:id="rId343" name="Check Box 4390">
              <controlPr defaultSize="0" autoFill="0" autoLine="0" autoPict="0">
                <anchor moveWithCells="1">
                  <from>
                    <xdr:col>0</xdr:col>
                    <xdr:colOff>60960</xdr:colOff>
                    <xdr:row>351</xdr:row>
                    <xdr:rowOff>30480</xdr:rowOff>
                  </from>
                  <to>
                    <xdr:col>0</xdr:col>
                    <xdr:colOff>236220</xdr:colOff>
                    <xdr:row>351</xdr:row>
                    <xdr:rowOff>182880</xdr:rowOff>
                  </to>
                </anchor>
              </controlPr>
            </control>
          </mc:Choice>
        </mc:AlternateContent>
        <mc:AlternateContent xmlns:mc="http://schemas.openxmlformats.org/markup-compatibility/2006">
          <mc:Choice Requires="x14">
            <control shapeId="64807" r:id="rId344" name="Check Box 4391">
              <controlPr defaultSize="0" autoFill="0" autoLine="0" autoPict="0">
                <anchor moveWithCells="1">
                  <from>
                    <xdr:col>0</xdr:col>
                    <xdr:colOff>60960</xdr:colOff>
                    <xdr:row>352</xdr:row>
                    <xdr:rowOff>30480</xdr:rowOff>
                  </from>
                  <to>
                    <xdr:col>0</xdr:col>
                    <xdr:colOff>236220</xdr:colOff>
                    <xdr:row>352</xdr:row>
                    <xdr:rowOff>182880</xdr:rowOff>
                  </to>
                </anchor>
              </controlPr>
            </control>
          </mc:Choice>
        </mc:AlternateContent>
        <mc:AlternateContent xmlns:mc="http://schemas.openxmlformats.org/markup-compatibility/2006">
          <mc:Choice Requires="x14">
            <control shapeId="64808" r:id="rId345" name="Check Box 4392">
              <controlPr defaultSize="0" autoFill="0" autoLine="0" autoPict="0">
                <anchor moveWithCells="1">
                  <from>
                    <xdr:col>0</xdr:col>
                    <xdr:colOff>60960</xdr:colOff>
                    <xdr:row>353</xdr:row>
                    <xdr:rowOff>30480</xdr:rowOff>
                  </from>
                  <to>
                    <xdr:col>0</xdr:col>
                    <xdr:colOff>236220</xdr:colOff>
                    <xdr:row>353</xdr:row>
                    <xdr:rowOff>182880</xdr:rowOff>
                  </to>
                </anchor>
              </controlPr>
            </control>
          </mc:Choice>
        </mc:AlternateContent>
        <mc:AlternateContent xmlns:mc="http://schemas.openxmlformats.org/markup-compatibility/2006">
          <mc:Choice Requires="x14">
            <control shapeId="64809" r:id="rId346" name="Check Box 4393">
              <controlPr defaultSize="0" autoFill="0" autoLine="0" autoPict="0">
                <anchor moveWithCells="1">
                  <from>
                    <xdr:col>0</xdr:col>
                    <xdr:colOff>60960</xdr:colOff>
                    <xdr:row>354</xdr:row>
                    <xdr:rowOff>30480</xdr:rowOff>
                  </from>
                  <to>
                    <xdr:col>0</xdr:col>
                    <xdr:colOff>236220</xdr:colOff>
                    <xdr:row>354</xdr:row>
                    <xdr:rowOff>182880</xdr:rowOff>
                  </to>
                </anchor>
              </controlPr>
            </control>
          </mc:Choice>
        </mc:AlternateContent>
        <mc:AlternateContent xmlns:mc="http://schemas.openxmlformats.org/markup-compatibility/2006">
          <mc:Choice Requires="x14">
            <control shapeId="64810" r:id="rId347" name="Check Box 4394">
              <controlPr defaultSize="0" autoFill="0" autoLine="0" autoPict="0">
                <anchor moveWithCells="1">
                  <from>
                    <xdr:col>0</xdr:col>
                    <xdr:colOff>60960</xdr:colOff>
                    <xdr:row>355</xdr:row>
                    <xdr:rowOff>30480</xdr:rowOff>
                  </from>
                  <to>
                    <xdr:col>0</xdr:col>
                    <xdr:colOff>236220</xdr:colOff>
                    <xdr:row>355</xdr:row>
                    <xdr:rowOff>182880</xdr:rowOff>
                  </to>
                </anchor>
              </controlPr>
            </control>
          </mc:Choice>
        </mc:AlternateContent>
        <mc:AlternateContent xmlns:mc="http://schemas.openxmlformats.org/markup-compatibility/2006">
          <mc:Choice Requires="x14">
            <control shapeId="64811" r:id="rId348" name="Check Box 4395">
              <controlPr defaultSize="0" autoFill="0" autoLine="0" autoPict="0">
                <anchor moveWithCells="1">
                  <from>
                    <xdr:col>0</xdr:col>
                    <xdr:colOff>60960</xdr:colOff>
                    <xdr:row>356</xdr:row>
                    <xdr:rowOff>30480</xdr:rowOff>
                  </from>
                  <to>
                    <xdr:col>0</xdr:col>
                    <xdr:colOff>236220</xdr:colOff>
                    <xdr:row>356</xdr:row>
                    <xdr:rowOff>182880</xdr:rowOff>
                  </to>
                </anchor>
              </controlPr>
            </control>
          </mc:Choice>
        </mc:AlternateContent>
        <mc:AlternateContent xmlns:mc="http://schemas.openxmlformats.org/markup-compatibility/2006">
          <mc:Choice Requires="x14">
            <control shapeId="64812" r:id="rId349" name="Check Box 4396">
              <controlPr defaultSize="0" autoFill="0" autoLine="0" autoPict="0">
                <anchor moveWithCells="1">
                  <from>
                    <xdr:col>0</xdr:col>
                    <xdr:colOff>60960</xdr:colOff>
                    <xdr:row>357</xdr:row>
                    <xdr:rowOff>30480</xdr:rowOff>
                  </from>
                  <to>
                    <xdr:col>0</xdr:col>
                    <xdr:colOff>236220</xdr:colOff>
                    <xdr:row>357</xdr:row>
                    <xdr:rowOff>182880</xdr:rowOff>
                  </to>
                </anchor>
              </controlPr>
            </control>
          </mc:Choice>
        </mc:AlternateContent>
        <mc:AlternateContent xmlns:mc="http://schemas.openxmlformats.org/markup-compatibility/2006">
          <mc:Choice Requires="x14">
            <control shapeId="64813" r:id="rId350" name="Check Box 4397">
              <controlPr defaultSize="0" autoFill="0" autoLine="0" autoPict="0">
                <anchor moveWithCells="1">
                  <from>
                    <xdr:col>0</xdr:col>
                    <xdr:colOff>60960</xdr:colOff>
                    <xdr:row>358</xdr:row>
                    <xdr:rowOff>30480</xdr:rowOff>
                  </from>
                  <to>
                    <xdr:col>0</xdr:col>
                    <xdr:colOff>236220</xdr:colOff>
                    <xdr:row>358</xdr:row>
                    <xdr:rowOff>182880</xdr:rowOff>
                  </to>
                </anchor>
              </controlPr>
            </control>
          </mc:Choice>
        </mc:AlternateContent>
        <mc:AlternateContent xmlns:mc="http://schemas.openxmlformats.org/markup-compatibility/2006">
          <mc:Choice Requires="x14">
            <control shapeId="64814" r:id="rId351" name="Check Box 4398">
              <controlPr defaultSize="0" autoFill="0" autoLine="0" autoPict="0">
                <anchor moveWithCells="1">
                  <from>
                    <xdr:col>0</xdr:col>
                    <xdr:colOff>60960</xdr:colOff>
                    <xdr:row>359</xdr:row>
                    <xdr:rowOff>30480</xdr:rowOff>
                  </from>
                  <to>
                    <xdr:col>0</xdr:col>
                    <xdr:colOff>236220</xdr:colOff>
                    <xdr:row>359</xdr:row>
                    <xdr:rowOff>182880</xdr:rowOff>
                  </to>
                </anchor>
              </controlPr>
            </control>
          </mc:Choice>
        </mc:AlternateContent>
        <mc:AlternateContent xmlns:mc="http://schemas.openxmlformats.org/markup-compatibility/2006">
          <mc:Choice Requires="x14">
            <control shapeId="64815" r:id="rId352" name="Check Box 4399">
              <controlPr defaultSize="0" autoFill="0" autoLine="0" autoPict="0">
                <anchor moveWithCells="1">
                  <from>
                    <xdr:col>0</xdr:col>
                    <xdr:colOff>60960</xdr:colOff>
                    <xdr:row>360</xdr:row>
                    <xdr:rowOff>30480</xdr:rowOff>
                  </from>
                  <to>
                    <xdr:col>0</xdr:col>
                    <xdr:colOff>236220</xdr:colOff>
                    <xdr:row>360</xdr:row>
                    <xdr:rowOff>182880</xdr:rowOff>
                  </to>
                </anchor>
              </controlPr>
            </control>
          </mc:Choice>
        </mc:AlternateContent>
        <mc:AlternateContent xmlns:mc="http://schemas.openxmlformats.org/markup-compatibility/2006">
          <mc:Choice Requires="x14">
            <control shapeId="64816" r:id="rId353" name="Check Box 4400">
              <controlPr defaultSize="0" autoFill="0" autoLine="0" autoPict="0">
                <anchor moveWithCells="1">
                  <from>
                    <xdr:col>0</xdr:col>
                    <xdr:colOff>60960</xdr:colOff>
                    <xdr:row>361</xdr:row>
                    <xdr:rowOff>30480</xdr:rowOff>
                  </from>
                  <to>
                    <xdr:col>0</xdr:col>
                    <xdr:colOff>236220</xdr:colOff>
                    <xdr:row>361</xdr:row>
                    <xdr:rowOff>182880</xdr:rowOff>
                  </to>
                </anchor>
              </controlPr>
            </control>
          </mc:Choice>
        </mc:AlternateContent>
        <mc:AlternateContent xmlns:mc="http://schemas.openxmlformats.org/markup-compatibility/2006">
          <mc:Choice Requires="x14">
            <control shapeId="64817" r:id="rId354" name="Check Box 4401">
              <controlPr defaultSize="0" autoFill="0" autoLine="0" autoPict="0">
                <anchor moveWithCells="1">
                  <from>
                    <xdr:col>0</xdr:col>
                    <xdr:colOff>60960</xdr:colOff>
                    <xdr:row>362</xdr:row>
                    <xdr:rowOff>30480</xdr:rowOff>
                  </from>
                  <to>
                    <xdr:col>0</xdr:col>
                    <xdr:colOff>236220</xdr:colOff>
                    <xdr:row>362</xdr:row>
                    <xdr:rowOff>182880</xdr:rowOff>
                  </to>
                </anchor>
              </controlPr>
            </control>
          </mc:Choice>
        </mc:AlternateContent>
        <mc:AlternateContent xmlns:mc="http://schemas.openxmlformats.org/markup-compatibility/2006">
          <mc:Choice Requires="x14">
            <control shapeId="64818" r:id="rId355" name="Check Box 4402">
              <controlPr defaultSize="0" autoFill="0" autoLine="0" autoPict="0">
                <anchor moveWithCells="1">
                  <from>
                    <xdr:col>0</xdr:col>
                    <xdr:colOff>60960</xdr:colOff>
                    <xdr:row>363</xdr:row>
                    <xdr:rowOff>30480</xdr:rowOff>
                  </from>
                  <to>
                    <xdr:col>0</xdr:col>
                    <xdr:colOff>236220</xdr:colOff>
                    <xdr:row>363</xdr:row>
                    <xdr:rowOff>182880</xdr:rowOff>
                  </to>
                </anchor>
              </controlPr>
            </control>
          </mc:Choice>
        </mc:AlternateContent>
        <mc:AlternateContent xmlns:mc="http://schemas.openxmlformats.org/markup-compatibility/2006">
          <mc:Choice Requires="x14">
            <control shapeId="64819" r:id="rId356" name="Check Box 4403">
              <controlPr defaultSize="0" autoFill="0" autoLine="0" autoPict="0">
                <anchor moveWithCells="1">
                  <from>
                    <xdr:col>0</xdr:col>
                    <xdr:colOff>60960</xdr:colOff>
                    <xdr:row>364</xdr:row>
                    <xdr:rowOff>30480</xdr:rowOff>
                  </from>
                  <to>
                    <xdr:col>0</xdr:col>
                    <xdr:colOff>236220</xdr:colOff>
                    <xdr:row>364</xdr:row>
                    <xdr:rowOff>182880</xdr:rowOff>
                  </to>
                </anchor>
              </controlPr>
            </control>
          </mc:Choice>
        </mc:AlternateContent>
        <mc:AlternateContent xmlns:mc="http://schemas.openxmlformats.org/markup-compatibility/2006">
          <mc:Choice Requires="x14">
            <control shapeId="64820" r:id="rId357" name="Check Box 4404">
              <controlPr defaultSize="0" autoFill="0" autoLine="0" autoPict="0">
                <anchor moveWithCells="1">
                  <from>
                    <xdr:col>0</xdr:col>
                    <xdr:colOff>60960</xdr:colOff>
                    <xdr:row>365</xdr:row>
                    <xdr:rowOff>30480</xdr:rowOff>
                  </from>
                  <to>
                    <xdr:col>0</xdr:col>
                    <xdr:colOff>236220</xdr:colOff>
                    <xdr:row>365</xdr:row>
                    <xdr:rowOff>182880</xdr:rowOff>
                  </to>
                </anchor>
              </controlPr>
            </control>
          </mc:Choice>
        </mc:AlternateContent>
        <mc:AlternateContent xmlns:mc="http://schemas.openxmlformats.org/markup-compatibility/2006">
          <mc:Choice Requires="x14">
            <control shapeId="64821" r:id="rId358" name="Check Box 4405">
              <controlPr defaultSize="0" autoFill="0" autoLine="0" autoPict="0">
                <anchor moveWithCells="1">
                  <from>
                    <xdr:col>0</xdr:col>
                    <xdr:colOff>60960</xdr:colOff>
                    <xdr:row>366</xdr:row>
                    <xdr:rowOff>30480</xdr:rowOff>
                  </from>
                  <to>
                    <xdr:col>0</xdr:col>
                    <xdr:colOff>236220</xdr:colOff>
                    <xdr:row>366</xdr:row>
                    <xdr:rowOff>182880</xdr:rowOff>
                  </to>
                </anchor>
              </controlPr>
            </control>
          </mc:Choice>
        </mc:AlternateContent>
        <mc:AlternateContent xmlns:mc="http://schemas.openxmlformats.org/markup-compatibility/2006">
          <mc:Choice Requires="x14">
            <control shapeId="64822" r:id="rId359" name="Check Box 4406">
              <controlPr defaultSize="0" autoFill="0" autoLine="0" autoPict="0">
                <anchor moveWithCells="1">
                  <from>
                    <xdr:col>0</xdr:col>
                    <xdr:colOff>60960</xdr:colOff>
                    <xdr:row>367</xdr:row>
                    <xdr:rowOff>30480</xdr:rowOff>
                  </from>
                  <to>
                    <xdr:col>0</xdr:col>
                    <xdr:colOff>236220</xdr:colOff>
                    <xdr:row>367</xdr:row>
                    <xdr:rowOff>182880</xdr:rowOff>
                  </to>
                </anchor>
              </controlPr>
            </control>
          </mc:Choice>
        </mc:AlternateContent>
        <mc:AlternateContent xmlns:mc="http://schemas.openxmlformats.org/markup-compatibility/2006">
          <mc:Choice Requires="x14">
            <control shapeId="64823" r:id="rId360" name="Check Box 4407">
              <controlPr defaultSize="0" autoFill="0" autoLine="0" autoPict="0">
                <anchor moveWithCells="1">
                  <from>
                    <xdr:col>0</xdr:col>
                    <xdr:colOff>60960</xdr:colOff>
                    <xdr:row>368</xdr:row>
                    <xdr:rowOff>30480</xdr:rowOff>
                  </from>
                  <to>
                    <xdr:col>0</xdr:col>
                    <xdr:colOff>236220</xdr:colOff>
                    <xdr:row>368</xdr:row>
                    <xdr:rowOff>182880</xdr:rowOff>
                  </to>
                </anchor>
              </controlPr>
            </control>
          </mc:Choice>
        </mc:AlternateContent>
        <mc:AlternateContent xmlns:mc="http://schemas.openxmlformats.org/markup-compatibility/2006">
          <mc:Choice Requires="x14">
            <control shapeId="64824" r:id="rId361" name="Check Box 4408">
              <controlPr defaultSize="0" autoFill="0" autoLine="0" autoPict="0">
                <anchor moveWithCells="1">
                  <from>
                    <xdr:col>0</xdr:col>
                    <xdr:colOff>60960</xdr:colOff>
                    <xdr:row>369</xdr:row>
                    <xdr:rowOff>30480</xdr:rowOff>
                  </from>
                  <to>
                    <xdr:col>0</xdr:col>
                    <xdr:colOff>236220</xdr:colOff>
                    <xdr:row>369</xdr:row>
                    <xdr:rowOff>182880</xdr:rowOff>
                  </to>
                </anchor>
              </controlPr>
            </control>
          </mc:Choice>
        </mc:AlternateContent>
        <mc:AlternateContent xmlns:mc="http://schemas.openxmlformats.org/markup-compatibility/2006">
          <mc:Choice Requires="x14">
            <control shapeId="64825" r:id="rId362" name="Check Box 4409">
              <controlPr defaultSize="0" autoFill="0" autoLine="0" autoPict="0">
                <anchor moveWithCells="1">
                  <from>
                    <xdr:col>0</xdr:col>
                    <xdr:colOff>60960</xdr:colOff>
                    <xdr:row>370</xdr:row>
                    <xdr:rowOff>30480</xdr:rowOff>
                  </from>
                  <to>
                    <xdr:col>0</xdr:col>
                    <xdr:colOff>236220</xdr:colOff>
                    <xdr:row>370</xdr:row>
                    <xdr:rowOff>182880</xdr:rowOff>
                  </to>
                </anchor>
              </controlPr>
            </control>
          </mc:Choice>
        </mc:AlternateContent>
        <mc:AlternateContent xmlns:mc="http://schemas.openxmlformats.org/markup-compatibility/2006">
          <mc:Choice Requires="x14">
            <control shapeId="64826" r:id="rId363" name="Check Box 4410">
              <controlPr defaultSize="0" autoFill="0" autoLine="0" autoPict="0">
                <anchor moveWithCells="1">
                  <from>
                    <xdr:col>0</xdr:col>
                    <xdr:colOff>60960</xdr:colOff>
                    <xdr:row>371</xdr:row>
                    <xdr:rowOff>30480</xdr:rowOff>
                  </from>
                  <to>
                    <xdr:col>0</xdr:col>
                    <xdr:colOff>236220</xdr:colOff>
                    <xdr:row>371</xdr:row>
                    <xdr:rowOff>182880</xdr:rowOff>
                  </to>
                </anchor>
              </controlPr>
            </control>
          </mc:Choice>
        </mc:AlternateContent>
        <mc:AlternateContent xmlns:mc="http://schemas.openxmlformats.org/markup-compatibility/2006">
          <mc:Choice Requires="x14">
            <control shapeId="64827" r:id="rId364" name="Check Box 4411">
              <controlPr defaultSize="0" autoFill="0" autoLine="0" autoPict="0">
                <anchor moveWithCells="1">
                  <from>
                    <xdr:col>0</xdr:col>
                    <xdr:colOff>60960</xdr:colOff>
                    <xdr:row>372</xdr:row>
                    <xdr:rowOff>30480</xdr:rowOff>
                  </from>
                  <to>
                    <xdr:col>0</xdr:col>
                    <xdr:colOff>236220</xdr:colOff>
                    <xdr:row>372</xdr:row>
                    <xdr:rowOff>182880</xdr:rowOff>
                  </to>
                </anchor>
              </controlPr>
            </control>
          </mc:Choice>
        </mc:AlternateContent>
        <mc:AlternateContent xmlns:mc="http://schemas.openxmlformats.org/markup-compatibility/2006">
          <mc:Choice Requires="x14">
            <control shapeId="64828" r:id="rId365" name="Check Box 4412">
              <controlPr defaultSize="0" autoFill="0" autoLine="0" autoPict="0">
                <anchor moveWithCells="1">
                  <from>
                    <xdr:col>0</xdr:col>
                    <xdr:colOff>60960</xdr:colOff>
                    <xdr:row>373</xdr:row>
                    <xdr:rowOff>30480</xdr:rowOff>
                  </from>
                  <to>
                    <xdr:col>0</xdr:col>
                    <xdr:colOff>236220</xdr:colOff>
                    <xdr:row>373</xdr:row>
                    <xdr:rowOff>182880</xdr:rowOff>
                  </to>
                </anchor>
              </controlPr>
            </control>
          </mc:Choice>
        </mc:AlternateContent>
        <mc:AlternateContent xmlns:mc="http://schemas.openxmlformats.org/markup-compatibility/2006">
          <mc:Choice Requires="x14">
            <control shapeId="64829" r:id="rId366" name="Check Box 4413">
              <controlPr defaultSize="0" autoFill="0" autoLine="0" autoPict="0">
                <anchor moveWithCells="1">
                  <from>
                    <xdr:col>0</xdr:col>
                    <xdr:colOff>60960</xdr:colOff>
                    <xdr:row>374</xdr:row>
                    <xdr:rowOff>30480</xdr:rowOff>
                  </from>
                  <to>
                    <xdr:col>0</xdr:col>
                    <xdr:colOff>236220</xdr:colOff>
                    <xdr:row>374</xdr:row>
                    <xdr:rowOff>182880</xdr:rowOff>
                  </to>
                </anchor>
              </controlPr>
            </control>
          </mc:Choice>
        </mc:AlternateContent>
        <mc:AlternateContent xmlns:mc="http://schemas.openxmlformats.org/markup-compatibility/2006">
          <mc:Choice Requires="x14">
            <control shapeId="64830" r:id="rId367" name="Check Box 4414">
              <controlPr defaultSize="0" autoFill="0" autoLine="0" autoPict="0">
                <anchor moveWithCells="1">
                  <from>
                    <xdr:col>0</xdr:col>
                    <xdr:colOff>60960</xdr:colOff>
                    <xdr:row>375</xdr:row>
                    <xdr:rowOff>30480</xdr:rowOff>
                  </from>
                  <to>
                    <xdr:col>0</xdr:col>
                    <xdr:colOff>236220</xdr:colOff>
                    <xdr:row>375</xdr:row>
                    <xdr:rowOff>182880</xdr:rowOff>
                  </to>
                </anchor>
              </controlPr>
            </control>
          </mc:Choice>
        </mc:AlternateContent>
        <mc:AlternateContent xmlns:mc="http://schemas.openxmlformats.org/markup-compatibility/2006">
          <mc:Choice Requires="x14">
            <control shapeId="64831" r:id="rId368" name="Check Box 4415">
              <controlPr defaultSize="0" autoFill="0" autoLine="0" autoPict="0">
                <anchor moveWithCells="1">
                  <from>
                    <xdr:col>0</xdr:col>
                    <xdr:colOff>60960</xdr:colOff>
                    <xdr:row>376</xdr:row>
                    <xdr:rowOff>30480</xdr:rowOff>
                  </from>
                  <to>
                    <xdr:col>0</xdr:col>
                    <xdr:colOff>236220</xdr:colOff>
                    <xdr:row>376</xdr:row>
                    <xdr:rowOff>182880</xdr:rowOff>
                  </to>
                </anchor>
              </controlPr>
            </control>
          </mc:Choice>
        </mc:AlternateContent>
        <mc:AlternateContent xmlns:mc="http://schemas.openxmlformats.org/markup-compatibility/2006">
          <mc:Choice Requires="x14">
            <control shapeId="64832" r:id="rId369" name="Check Box 4416">
              <controlPr defaultSize="0" autoFill="0" autoLine="0" autoPict="0">
                <anchor moveWithCells="1">
                  <from>
                    <xdr:col>0</xdr:col>
                    <xdr:colOff>60960</xdr:colOff>
                    <xdr:row>377</xdr:row>
                    <xdr:rowOff>30480</xdr:rowOff>
                  </from>
                  <to>
                    <xdr:col>0</xdr:col>
                    <xdr:colOff>236220</xdr:colOff>
                    <xdr:row>377</xdr:row>
                    <xdr:rowOff>182880</xdr:rowOff>
                  </to>
                </anchor>
              </controlPr>
            </control>
          </mc:Choice>
        </mc:AlternateContent>
        <mc:AlternateContent xmlns:mc="http://schemas.openxmlformats.org/markup-compatibility/2006">
          <mc:Choice Requires="x14">
            <control shapeId="64833" r:id="rId370" name="Check Box 4417">
              <controlPr defaultSize="0" autoFill="0" autoLine="0" autoPict="0">
                <anchor moveWithCells="1">
                  <from>
                    <xdr:col>0</xdr:col>
                    <xdr:colOff>60960</xdr:colOff>
                    <xdr:row>378</xdr:row>
                    <xdr:rowOff>30480</xdr:rowOff>
                  </from>
                  <to>
                    <xdr:col>0</xdr:col>
                    <xdr:colOff>236220</xdr:colOff>
                    <xdr:row>378</xdr:row>
                    <xdr:rowOff>182880</xdr:rowOff>
                  </to>
                </anchor>
              </controlPr>
            </control>
          </mc:Choice>
        </mc:AlternateContent>
        <mc:AlternateContent xmlns:mc="http://schemas.openxmlformats.org/markup-compatibility/2006">
          <mc:Choice Requires="x14">
            <control shapeId="64834" r:id="rId371" name="Check Box 4418">
              <controlPr defaultSize="0" autoFill="0" autoLine="0" autoPict="0">
                <anchor moveWithCells="1">
                  <from>
                    <xdr:col>0</xdr:col>
                    <xdr:colOff>60960</xdr:colOff>
                    <xdr:row>379</xdr:row>
                    <xdr:rowOff>30480</xdr:rowOff>
                  </from>
                  <to>
                    <xdr:col>0</xdr:col>
                    <xdr:colOff>236220</xdr:colOff>
                    <xdr:row>379</xdr:row>
                    <xdr:rowOff>182880</xdr:rowOff>
                  </to>
                </anchor>
              </controlPr>
            </control>
          </mc:Choice>
        </mc:AlternateContent>
        <mc:AlternateContent xmlns:mc="http://schemas.openxmlformats.org/markup-compatibility/2006">
          <mc:Choice Requires="x14">
            <control shapeId="64835" r:id="rId372" name="Check Box 4419">
              <controlPr defaultSize="0" autoFill="0" autoLine="0" autoPict="0">
                <anchor moveWithCells="1">
                  <from>
                    <xdr:col>0</xdr:col>
                    <xdr:colOff>60960</xdr:colOff>
                    <xdr:row>380</xdr:row>
                    <xdr:rowOff>30480</xdr:rowOff>
                  </from>
                  <to>
                    <xdr:col>0</xdr:col>
                    <xdr:colOff>236220</xdr:colOff>
                    <xdr:row>380</xdr:row>
                    <xdr:rowOff>182880</xdr:rowOff>
                  </to>
                </anchor>
              </controlPr>
            </control>
          </mc:Choice>
        </mc:AlternateContent>
        <mc:AlternateContent xmlns:mc="http://schemas.openxmlformats.org/markup-compatibility/2006">
          <mc:Choice Requires="x14">
            <control shapeId="64836" r:id="rId373" name="Check Box 4420">
              <controlPr defaultSize="0" autoFill="0" autoLine="0" autoPict="0">
                <anchor moveWithCells="1">
                  <from>
                    <xdr:col>0</xdr:col>
                    <xdr:colOff>60960</xdr:colOff>
                    <xdr:row>381</xdr:row>
                    <xdr:rowOff>30480</xdr:rowOff>
                  </from>
                  <to>
                    <xdr:col>0</xdr:col>
                    <xdr:colOff>236220</xdr:colOff>
                    <xdr:row>381</xdr:row>
                    <xdr:rowOff>182880</xdr:rowOff>
                  </to>
                </anchor>
              </controlPr>
            </control>
          </mc:Choice>
        </mc:AlternateContent>
        <mc:AlternateContent xmlns:mc="http://schemas.openxmlformats.org/markup-compatibility/2006">
          <mc:Choice Requires="x14">
            <control shapeId="64837" r:id="rId374" name="Check Box 4421">
              <controlPr defaultSize="0" autoFill="0" autoLine="0" autoPict="0">
                <anchor moveWithCells="1">
                  <from>
                    <xdr:col>0</xdr:col>
                    <xdr:colOff>60960</xdr:colOff>
                    <xdr:row>382</xdr:row>
                    <xdr:rowOff>30480</xdr:rowOff>
                  </from>
                  <to>
                    <xdr:col>0</xdr:col>
                    <xdr:colOff>236220</xdr:colOff>
                    <xdr:row>382</xdr:row>
                    <xdr:rowOff>182880</xdr:rowOff>
                  </to>
                </anchor>
              </controlPr>
            </control>
          </mc:Choice>
        </mc:AlternateContent>
        <mc:AlternateContent xmlns:mc="http://schemas.openxmlformats.org/markup-compatibility/2006">
          <mc:Choice Requires="x14">
            <control shapeId="64838" r:id="rId375" name="Check Box 4422">
              <controlPr defaultSize="0" autoFill="0" autoLine="0" autoPict="0">
                <anchor moveWithCells="1">
                  <from>
                    <xdr:col>0</xdr:col>
                    <xdr:colOff>60960</xdr:colOff>
                    <xdr:row>383</xdr:row>
                    <xdr:rowOff>30480</xdr:rowOff>
                  </from>
                  <to>
                    <xdr:col>0</xdr:col>
                    <xdr:colOff>236220</xdr:colOff>
                    <xdr:row>383</xdr:row>
                    <xdr:rowOff>182880</xdr:rowOff>
                  </to>
                </anchor>
              </controlPr>
            </control>
          </mc:Choice>
        </mc:AlternateContent>
        <mc:AlternateContent xmlns:mc="http://schemas.openxmlformats.org/markup-compatibility/2006">
          <mc:Choice Requires="x14">
            <control shapeId="64839" r:id="rId376" name="Check Box 4423">
              <controlPr defaultSize="0" autoFill="0" autoLine="0" autoPict="0">
                <anchor moveWithCells="1">
                  <from>
                    <xdr:col>0</xdr:col>
                    <xdr:colOff>60960</xdr:colOff>
                    <xdr:row>384</xdr:row>
                    <xdr:rowOff>30480</xdr:rowOff>
                  </from>
                  <to>
                    <xdr:col>0</xdr:col>
                    <xdr:colOff>236220</xdr:colOff>
                    <xdr:row>384</xdr:row>
                    <xdr:rowOff>182880</xdr:rowOff>
                  </to>
                </anchor>
              </controlPr>
            </control>
          </mc:Choice>
        </mc:AlternateContent>
        <mc:AlternateContent xmlns:mc="http://schemas.openxmlformats.org/markup-compatibility/2006">
          <mc:Choice Requires="x14">
            <control shapeId="64840" r:id="rId377" name="Check Box 4424">
              <controlPr defaultSize="0" autoFill="0" autoLine="0" autoPict="0">
                <anchor moveWithCells="1">
                  <from>
                    <xdr:col>0</xdr:col>
                    <xdr:colOff>60960</xdr:colOff>
                    <xdr:row>385</xdr:row>
                    <xdr:rowOff>30480</xdr:rowOff>
                  </from>
                  <to>
                    <xdr:col>0</xdr:col>
                    <xdr:colOff>236220</xdr:colOff>
                    <xdr:row>385</xdr:row>
                    <xdr:rowOff>182880</xdr:rowOff>
                  </to>
                </anchor>
              </controlPr>
            </control>
          </mc:Choice>
        </mc:AlternateContent>
        <mc:AlternateContent xmlns:mc="http://schemas.openxmlformats.org/markup-compatibility/2006">
          <mc:Choice Requires="x14">
            <control shapeId="64841" r:id="rId378" name="Check Box 4425">
              <controlPr defaultSize="0" autoFill="0" autoLine="0" autoPict="0">
                <anchor moveWithCells="1">
                  <from>
                    <xdr:col>0</xdr:col>
                    <xdr:colOff>60960</xdr:colOff>
                    <xdr:row>386</xdr:row>
                    <xdr:rowOff>30480</xdr:rowOff>
                  </from>
                  <to>
                    <xdr:col>0</xdr:col>
                    <xdr:colOff>236220</xdr:colOff>
                    <xdr:row>386</xdr:row>
                    <xdr:rowOff>182880</xdr:rowOff>
                  </to>
                </anchor>
              </controlPr>
            </control>
          </mc:Choice>
        </mc:AlternateContent>
        <mc:AlternateContent xmlns:mc="http://schemas.openxmlformats.org/markup-compatibility/2006">
          <mc:Choice Requires="x14">
            <control shapeId="64842" r:id="rId379" name="Check Box 4426">
              <controlPr defaultSize="0" autoFill="0" autoLine="0" autoPict="0">
                <anchor moveWithCells="1">
                  <from>
                    <xdr:col>0</xdr:col>
                    <xdr:colOff>60960</xdr:colOff>
                    <xdr:row>387</xdr:row>
                    <xdr:rowOff>30480</xdr:rowOff>
                  </from>
                  <to>
                    <xdr:col>0</xdr:col>
                    <xdr:colOff>236220</xdr:colOff>
                    <xdr:row>387</xdr:row>
                    <xdr:rowOff>182880</xdr:rowOff>
                  </to>
                </anchor>
              </controlPr>
            </control>
          </mc:Choice>
        </mc:AlternateContent>
        <mc:AlternateContent xmlns:mc="http://schemas.openxmlformats.org/markup-compatibility/2006">
          <mc:Choice Requires="x14">
            <control shapeId="64843" r:id="rId380" name="Check Box 4427">
              <controlPr defaultSize="0" autoFill="0" autoLine="0" autoPict="0">
                <anchor moveWithCells="1">
                  <from>
                    <xdr:col>0</xdr:col>
                    <xdr:colOff>60960</xdr:colOff>
                    <xdr:row>388</xdr:row>
                    <xdr:rowOff>30480</xdr:rowOff>
                  </from>
                  <to>
                    <xdr:col>0</xdr:col>
                    <xdr:colOff>236220</xdr:colOff>
                    <xdr:row>388</xdr:row>
                    <xdr:rowOff>182880</xdr:rowOff>
                  </to>
                </anchor>
              </controlPr>
            </control>
          </mc:Choice>
        </mc:AlternateContent>
        <mc:AlternateContent xmlns:mc="http://schemas.openxmlformats.org/markup-compatibility/2006">
          <mc:Choice Requires="x14">
            <control shapeId="64844" r:id="rId381" name="Check Box 4428">
              <controlPr defaultSize="0" autoFill="0" autoLine="0" autoPict="0">
                <anchor moveWithCells="1">
                  <from>
                    <xdr:col>0</xdr:col>
                    <xdr:colOff>60960</xdr:colOff>
                    <xdr:row>389</xdr:row>
                    <xdr:rowOff>30480</xdr:rowOff>
                  </from>
                  <to>
                    <xdr:col>0</xdr:col>
                    <xdr:colOff>236220</xdr:colOff>
                    <xdr:row>389</xdr:row>
                    <xdr:rowOff>182880</xdr:rowOff>
                  </to>
                </anchor>
              </controlPr>
            </control>
          </mc:Choice>
        </mc:AlternateContent>
        <mc:AlternateContent xmlns:mc="http://schemas.openxmlformats.org/markup-compatibility/2006">
          <mc:Choice Requires="x14">
            <control shapeId="64845" r:id="rId382" name="Check Box 4429">
              <controlPr defaultSize="0" autoFill="0" autoLine="0" autoPict="0">
                <anchor moveWithCells="1">
                  <from>
                    <xdr:col>0</xdr:col>
                    <xdr:colOff>60960</xdr:colOff>
                    <xdr:row>390</xdr:row>
                    <xdr:rowOff>30480</xdr:rowOff>
                  </from>
                  <to>
                    <xdr:col>0</xdr:col>
                    <xdr:colOff>236220</xdr:colOff>
                    <xdr:row>390</xdr:row>
                    <xdr:rowOff>182880</xdr:rowOff>
                  </to>
                </anchor>
              </controlPr>
            </control>
          </mc:Choice>
        </mc:AlternateContent>
        <mc:AlternateContent xmlns:mc="http://schemas.openxmlformats.org/markup-compatibility/2006">
          <mc:Choice Requires="x14">
            <control shapeId="64846" r:id="rId383" name="Check Box 4430">
              <controlPr defaultSize="0" autoFill="0" autoLine="0" autoPict="0">
                <anchor moveWithCells="1">
                  <from>
                    <xdr:col>0</xdr:col>
                    <xdr:colOff>60960</xdr:colOff>
                    <xdr:row>391</xdr:row>
                    <xdr:rowOff>30480</xdr:rowOff>
                  </from>
                  <to>
                    <xdr:col>0</xdr:col>
                    <xdr:colOff>236220</xdr:colOff>
                    <xdr:row>391</xdr:row>
                    <xdr:rowOff>182880</xdr:rowOff>
                  </to>
                </anchor>
              </controlPr>
            </control>
          </mc:Choice>
        </mc:AlternateContent>
        <mc:AlternateContent xmlns:mc="http://schemas.openxmlformats.org/markup-compatibility/2006">
          <mc:Choice Requires="x14">
            <control shapeId="64865" r:id="rId384" name="Drop Down 4449">
              <controlPr defaultSize="0" autoLine="0" autoPict="0">
                <anchor moveWithCells="1">
                  <from>
                    <xdr:col>25</xdr:col>
                    <xdr:colOff>304800</xdr:colOff>
                    <xdr:row>12</xdr:row>
                    <xdr:rowOff>83820</xdr:rowOff>
                  </from>
                  <to>
                    <xdr:col>26</xdr:col>
                    <xdr:colOff>556260</xdr:colOff>
                    <xdr:row>13</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287" yWindow="873" count="4">
        <x14:dataValidation type="list" allowBlank="1" showInputMessage="1" showErrorMessage="1" prompt="Enter the beam model from the pulldown list." xr:uid="{00000000-0002-0000-0200-000020000000}">
          <x14:formula1>
            <xm:f>Worksheet!$AD$2:$AN$2</xm:f>
          </x14:formula1>
          <xm:sqref>J393</xm:sqref>
        </x14:dataValidation>
        <x14:dataValidation type="list" allowBlank="1" showInputMessage="1" showErrorMessage="1" xr:uid="{00000000-0002-0000-0200-000021000000}">
          <x14:formula1>
            <xm:f>RSCalc!$AE$5:$AK$5</xm:f>
          </x14:formula1>
          <xm:sqref>AA6</xm:sqref>
        </x14:dataValidation>
        <x14:dataValidation type="list" allowBlank="1" showInputMessage="1" showErrorMessage="1" errorTitle="Cooling Load Tolerance" error="Enter a percentage tolerance of the cooling load between 85 and 100%" xr:uid="{00000000-0002-0000-0200-000022000000}">
          <x14:formula1>
            <xm:f>RSCalc!$AE$6:$AF$6</xm:f>
          </x14:formula1>
          <xm:sqref>AA8</xm:sqref>
        </x14:dataValidation>
        <x14:dataValidation type="list" allowBlank="1" showInputMessage="1" showErrorMessage="1" error="Enter the beam model from the pulldown list." xr:uid="{00000000-0002-0000-0200-000023000000}">
          <x14:formula1>
            <xm:f>Worksheet!$AD$2:$AN$2</xm:f>
          </x14:formula1>
          <xm:sqref>J22:J392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theme="6" tint="0.39997558519241921"/>
    <pageSetUpPr fitToPage="1"/>
  </sheetPr>
  <dimension ref="A1:AU413"/>
  <sheetViews>
    <sheetView showGridLines="0" topLeftCell="C1" zoomScale="85" zoomScaleNormal="85" workbookViewId="0">
      <selection activeCell="C16" sqref="C16"/>
    </sheetView>
  </sheetViews>
  <sheetFormatPr defaultColWidth="9.109375" defaultRowHeight="13.2"/>
  <cols>
    <col min="1" max="1" width="9.109375" style="224" hidden="1" customWidth="1"/>
    <col min="2" max="2" width="4.5546875" style="224" hidden="1" customWidth="1"/>
    <col min="3" max="3" width="11.5546875" style="224" customWidth="1"/>
    <col min="4" max="5" width="10.6640625" style="224" customWidth="1"/>
    <col min="6" max="6" width="42.44140625" style="224" customWidth="1"/>
    <col min="7" max="9" width="10.6640625" style="224" customWidth="1"/>
    <col min="10" max="10" width="5.5546875" style="224" customWidth="1"/>
    <col min="11" max="11" width="5.88671875" style="224" customWidth="1"/>
    <col min="12" max="12" width="6" style="224" customWidth="1"/>
    <col min="13" max="13" width="12.44140625" style="224" customWidth="1"/>
    <col min="14" max="15" width="10.6640625" style="224" customWidth="1"/>
    <col min="16" max="16" width="8" style="224" customWidth="1"/>
    <col min="17" max="17" width="10.6640625" style="224" customWidth="1"/>
    <col min="18" max="18" width="7" style="224" customWidth="1"/>
    <col min="19" max="19" width="8.6640625" style="224" customWidth="1"/>
    <col min="20" max="20" width="15.5546875" style="224" customWidth="1"/>
    <col min="21" max="21" width="11" style="224" customWidth="1"/>
    <col min="22" max="22" width="9.5546875" style="224" customWidth="1"/>
    <col min="23" max="23" width="8.88671875" style="224" customWidth="1"/>
    <col min="24" max="24" width="9.5546875" style="224" customWidth="1"/>
    <col min="25" max="25" width="13.109375" style="224" customWidth="1"/>
    <col min="26" max="27" width="10.6640625" style="224" customWidth="1"/>
    <col min="28" max="28" width="9.109375" style="224"/>
    <col min="29" max="29" width="16.6640625" style="224" customWidth="1"/>
    <col min="30" max="30" width="11.5546875" style="224" customWidth="1"/>
    <col min="31" max="32" width="9.109375" style="224"/>
    <col min="33" max="33" width="9.6640625" style="224" bestFit="1" customWidth="1"/>
    <col min="34" max="35" width="9.109375" style="224"/>
    <col min="36" max="36" width="6.6640625" style="224" customWidth="1"/>
    <col min="37" max="39" width="9.109375" style="224"/>
    <col min="40" max="45" width="5.6640625" style="224" customWidth="1"/>
    <col min="46" max="46" width="45" style="224" customWidth="1"/>
    <col min="47" max="16384" width="9.109375" style="224"/>
  </cols>
  <sheetData>
    <row r="1" spans="1:47" ht="18" customHeight="1">
      <c r="C1" s="798" t="s">
        <v>240</v>
      </c>
      <c r="D1" s="789"/>
      <c r="E1" s="789"/>
      <c r="F1" s="789"/>
      <c r="G1" s="789"/>
      <c r="H1" s="789"/>
      <c r="I1" s="789"/>
    </row>
    <row r="2" spans="1:47" ht="20.100000000000001" customHeight="1">
      <c r="C2" s="799" t="s">
        <v>343</v>
      </c>
      <c r="D2" s="800"/>
      <c r="E2" s="800"/>
      <c r="F2" s="801" t="str">
        <f>IF(Calculation!Q4=0,"",Calculation!Q4)</f>
        <v/>
      </c>
      <c r="G2" s="802"/>
      <c r="H2" s="297"/>
      <c r="I2" s="295"/>
    </row>
    <row r="3" spans="1:47" ht="20.100000000000001" customHeight="1">
      <c r="C3" s="786" t="s">
        <v>239</v>
      </c>
      <c r="D3" s="787"/>
      <c r="E3" s="787"/>
      <c r="F3" s="803" t="str">
        <f>IF(Calculation!D3=0,"",Calculation!D3)</f>
        <v/>
      </c>
      <c r="G3" s="804"/>
      <c r="H3" s="297"/>
      <c r="I3" s="295"/>
    </row>
    <row r="4" spans="1:47" ht="20.100000000000001" customHeight="1">
      <c r="C4" s="786" t="s">
        <v>238</v>
      </c>
      <c r="D4" s="787"/>
      <c r="E4" s="787"/>
      <c r="F4" s="790"/>
      <c r="G4" s="791"/>
      <c r="H4" s="297"/>
      <c r="I4" s="295"/>
    </row>
    <row r="5" spans="1:47" ht="20.100000000000001" customHeight="1">
      <c r="C5" s="325"/>
      <c r="D5" s="326"/>
      <c r="E5" s="327" t="s">
        <v>206</v>
      </c>
      <c r="F5" s="324">
        <f ca="1">NOW()</f>
        <v>46066.40800625</v>
      </c>
      <c r="G5" s="323"/>
      <c r="H5" s="297"/>
      <c r="I5" s="295"/>
    </row>
    <row r="6" spans="1:47" ht="20.100000000000001" customHeight="1">
      <c r="C6" s="786" t="s">
        <v>314</v>
      </c>
      <c r="D6" s="787"/>
      <c r="E6" s="787"/>
      <c r="F6" s="792">
        <f>Calculation!S13</f>
        <v>0</v>
      </c>
      <c r="G6" s="793"/>
      <c r="H6" s="298"/>
      <c r="I6" s="296"/>
    </row>
    <row r="7" spans="1:47" ht="20.100000000000001" customHeight="1">
      <c r="C7" s="786" t="s">
        <v>236</v>
      </c>
      <c r="D7" s="787"/>
      <c r="E7" s="787"/>
      <c r="F7" s="794"/>
      <c r="G7" s="795"/>
      <c r="H7" s="299"/>
      <c r="I7" s="296"/>
    </row>
    <row r="8" spans="1:47" ht="20.100000000000001" customHeight="1">
      <c r="C8" s="784" t="s">
        <v>235</v>
      </c>
      <c r="D8" s="785"/>
      <c r="E8" s="785"/>
      <c r="F8" s="796"/>
      <c r="G8" s="797"/>
      <c r="H8" s="299"/>
      <c r="I8" s="296"/>
    </row>
    <row r="9" spans="1:47" ht="14.85" customHeight="1"/>
    <row r="10" spans="1:47" ht="18" customHeight="1">
      <c r="C10" s="788" t="s">
        <v>234</v>
      </c>
      <c r="D10" s="789"/>
      <c r="E10" s="789"/>
      <c r="F10" s="789"/>
    </row>
    <row r="11" spans="1:47" ht="18" customHeight="1">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row>
    <row r="12" spans="1:47" ht="12" customHeight="1">
      <c r="C12" s="805" t="s">
        <v>233</v>
      </c>
      <c r="D12" s="806"/>
      <c r="E12" s="806"/>
      <c r="F12" s="806"/>
      <c r="G12" s="806"/>
      <c r="H12" s="812"/>
      <c r="I12" s="806"/>
      <c r="J12" s="806"/>
      <c r="K12" s="806"/>
      <c r="L12" s="806"/>
      <c r="M12" s="808"/>
      <c r="N12" s="805" t="s">
        <v>0</v>
      </c>
      <c r="O12" s="806"/>
      <c r="P12" s="806"/>
      <c r="Q12" s="806"/>
      <c r="R12" s="806"/>
      <c r="S12" s="806"/>
      <c r="T12" s="807"/>
      <c r="U12" s="806"/>
      <c r="V12" s="806"/>
      <c r="W12" s="806"/>
      <c r="X12" s="806"/>
      <c r="Y12" s="808"/>
      <c r="Z12" s="805" t="s">
        <v>1</v>
      </c>
      <c r="AA12" s="806"/>
      <c r="AB12" s="806"/>
      <c r="AC12" s="807"/>
      <c r="AD12" s="806"/>
      <c r="AE12" s="806"/>
      <c r="AF12" s="806"/>
      <c r="AG12" s="806"/>
      <c r="AH12" s="808"/>
      <c r="AI12" s="813" t="s">
        <v>56</v>
      </c>
      <c r="AJ12" s="815" t="s">
        <v>305</v>
      </c>
      <c r="AK12" s="816"/>
      <c r="AL12" s="816"/>
      <c r="AM12" s="816"/>
      <c r="AN12" s="816"/>
      <c r="AO12" s="816"/>
      <c r="AP12" s="816"/>
      <c r="AQ12" s="816"/>
      <c r="AR12" s="816"/>
      <c r="AS12" s="817"/>
    </row>
    <row r="13" spans="1:47" ht="15" customHeight="1">
      <c r="C13" s="809"/>
      <c r="D13" s="810"/>
      <c r="E13" s="810"/>
      <c r="F13" s="810"/>
      <c r="G13" s="810"/>
      <c r="H13" s="810"/>
      <c r="I13" s="810"/>
      <c r="J13" s="810"/>
      <c r="K13" s="810"/>
      <c r="L13" s="810"/>
      <c r="M13" s="811"/>
      <c r="N13" s="809"/>
      <c r="O13" s="810"/>
      <c r="P13" s="810"/>
      <c r="Q13" s="810"/>
      <c r="R13" s="810"/>
      <c r="S13" s="810"/>
      <c r="T13" s="810"/>
      <c r="U13" s="810"/>
      <c r="V13" s="810"/>
      <c r="W13" s="810"/>
      <c r="X13" s="810"/>
      <c r="Y13" s="811"/>
      <c r="Z13" s="809"/>
      <c r="AA13" s="810"/>
      <c r="AB13" s="810"/>
      <c r="AC13" s="810"/>
      <c r="AD13" s="810"/>
      <c r="AE13" s="810"/>
      <c r="AF13" s="810"/>
      <c r="AG13" s="810"/>
      <c r="AH13" s="811"/>
      <c r="AI13" s="814"/>
      <c r="AJ13" s="818" t="s">
        <v>306</v>
      </c>
      <c r="AK13" s="819"/>
      <c r="AL13" s="819"/>
      <c r="AM13" s="820"/>
      <c r="AN13" s="810" t="s">
        <v>0</v>
      </c>
      <c r="AO13" s="810"/>
      <c r="AP13" s="810"/>
      <c r="AQ13" s="811"/>
      <c r="AR13" s="809" t="s">
        <v>1</v>
      </c>
      <c r="AS13" s="811"/>
      <c r="AT13" s="291"/>
    </row>
    <row r="14" spans="1:47" ht="40.799999999999997">
      <c r="C14" s="229" t="s">
        <v>83</v>
      </c>
      <c r="D14" s="229" t="s">
        <v>232</v>
      </c>
      <c r="E14" s="229" t="s">
        <v>231</v>
      </c>
      <c r="F14" s="229" t="s">
        <v>458</v>
      </c>
      <c r="G14" s="229" t="s">
        <v>229</v>
      </c>
      <c r="H14" s="229" t="s">
        <v>128</v>
      </c>
      <c r="I14" s="229" t="s">
        <v>228</v>
      </c>
      <c r="J14" s="292" t="s">
        <v>129</v>
      </c>
      <c r="K14" s="292" t="s">
        <v>11</v>
      </c>
      <c r="L14" s="292" t="s">
        <v>227</v>
      </c>
      <c r="M14" s="292" t="s">
        <v>226</v>
      </c>
      <c r="N14" s="292" t="s">
        <v>225</v>
      </c>
      <c r="O14" s="292" t="s">
        <v>222</v>
      </c>
      <c r="P14" s="292" t="s">
        <v>224</v>
      </c>
      <c r="Q14" s="292" t="s">
        <v>221</v>
      </c>
      <c r="R14" s="292" t="s">
        <v>223</v>
      </c>
      <c r="S14" s="292" t="s">
        <v>220</v>
      </c>
      <c r="T14" s="229" t="s">
        <v>315</v>
      </c>
      <c r="U14" s="292" t="s">
        <v>219</v>
      </c>
      <c r="V14" s="292" t="s">
        <v>218</v>
      </c>
      <c r="W14" s="292" t="s">
        <v>217</v>
      </c>
      <c r="X14" s="292" t="s">
        <v>216</v>
      </c>
      <c r="Y14" s="292" t="s">
        <v>215</v>
      </c>
      <c r="Z14" s="292" t="s">
        <v>222</v>
      </c>
      <c r="AA14" s="292" t="s">
        <v>221</v>
      </c>
      <c r="AB14" s="292" t="s">
        <v>220</v>
      </c>
      <c r="AC14" s="229" t="s">
        <v>316</v>
      </c>
      <c r="AD14" s="292" t="s">
        <v>219</v>
      </c>
      <c r="AE14" s="292" t="s">
        <v>218</v>
      </c>
      <c r="AF14" s="292" t="s">
        <v>217</v>
      </c>
      <c r="AG14" s="292" t="s">
        <v>216</v>
      </c>
      <c r="AH14" s="292" t="s">
        <v>215</v>
      </c>
      <c r="AI14" s="292" t="s">
        <v>250</v>
      </c>
      <c r="AJ14" s="293" t="s">
        <v>116</v>
      </c>
      <c r="AK14" s="293" t="s">
        <v>307</v>
      </c>
      <c r="AL14" s="293" t="s">
        <v>308</v>
      </c>
      <c r="AM14" s="293" t="s">
        <v>309</v>
      </c>
      <c r="AN14" s="294" t="s">
        <v>310</v>
      </c>
      <c r="AO14" s="292" t="s">
        <v>311</v>
      </c>
      <c r="AP14" s="292" t="s">
        <v>312</v>
      </c>
      <c r="AQ14" s="292" t="s">
        <v>313</v>
      </c>
      <c r="AR14" s="292" t="s">
        <v>312</v>
      </c>
      <c r="AS14" s="292" t="s">
        <v>313</v>
      </c>
      <c r="AT14" s="228" t="s">
        <v>214</v>
      </c>
    </row>
    <row r="15" spans="1:47">
      <c r="C15" s="266"/>
      <c r="D15" s="227"/>
      <c r="E15" s="227"/>
      <c r="F15" s="227"/>
      <c r="G15" s="227"/>
      <c r="H15" s="227"/>
      <c r="I15" s="227"/>
      <c r="J15" s="584" t="s">
        <v>212</v>
      </c>
      <c r="K15" s="584" t="s">
        <v>213</v>
      </c>
      <c r="L15" s="584" t="s">
        <v>212</v>
      </c>
      <c r="M15" s="227"/>
      <c r="N15" s="584" t="s">
        <v>211</v>
      </c>
      <c r="O15" s="584" t="s">
        <v>499</v>
      </c>
      <c r="P15" s="584" t="s">
        <v>205</v>
      </c>
      <c r="Q15" s="584" t="s">
        <v>499</v>
      </c>
      <c r="R15" s="584" t="s">
        <v>498</v>
      </c>
      <c r="S15" s="584" t="s">
        <v>210</v>
      </c>
      <c r="T15" s="227"/>
      <c r="U15" s="584" t="s">
        <v>499</v>
      </c>
      <c r="V15" s="584" t="s">
        <v>500</v>
      </c>
      <c r="W15" s="584" t="s">
        <v>501</v>
      </c>
      <c r="X15" s="584" t="s">
        <v>501</v>
      </c>
      <c r="Y15" s="584" t="s">
        <v>501</v>
      </c>
      <c r="Z15" s="584" t="s">
        <v>499</v>
      </c>
      <c r="AA15" s="584" t="s">
        <v>499</v>
      </c>
      <c r="AB15" s="584" t="s">
        <v>210</v>
      </c>
      <c r="AC15" s="227"/>
      <c r="AD15" s="584" t="s">
        <v>499</v>
      </c>
      <c r="AE15" s="584" t="s">
        <v>500</v>
      </c>
      <c r="AF15" s="584" t="s">
        <v>501</v>
      </c>
      <c r="AG15" s="584" t="s">
        <v>501</v>
      </c>
      <c r="AH15" s="584" t="s">
        <v>501</v>
      </c>
      <c r="AI15" s="584" t="s">
        <v>56</v>
      </c>
      <c r="AJ15" s="292" t="s">
        <v>213</v>
      </c>
      <c r="AK15" s="292" t="s">
        <v>213</v>
      </c>
      <c r="AL15" s="292" t="s">
        <v>213</v>
      </c>
      <c r="AM15" s="292" t="s">
        <v>213</v>
      </c>
      <c r="AN15" s="585" t="s">
        <v>279</v>
      </c>
      <c r="AO15" s="586" t="s">
        <v>499</v>
      </c>
      <c r="AP15" s="585" t="s">
        <v>279</v>
      </c>
      <c r="AQ15" s="586" t="s">
        <v>499</v>
      </c>
      <c r="AR15" s="585" t="s">
        <v>279</v>
      </c>
      <c r="AS15" s="586" t="s">
        <v>499</v>
      </c>
      <c r="AT15" s="226"/>
    </row>
    <row r="16" spans="1:47" ht="12.75" customHeight="1">
      <c r="A16" s="224" t="str">
        <f>IF(Calculation!BN22="","",CONCATENATE(Calculation!BO22,"-",Calculation!R22,"-",Calculation!S22,"-",Calculation!T22,"-",Calculation!U22))</f>
        <v/>
      </c>
      <c r="B16" s="224">
        <v>1</v>
      </c>
      <c r="C16" s="629" t="str">
        <f>IF(A16="","",Calculation!B22)</f>
        <v/>
      </c>
      <c r="D16" s="386" t="str">
        <f>IF(A16="","",Calculation!L22)</f>
        <v/>
      </c>
      <c r="E16" s="387" t="str">
        <f>IF(A16="","",Calculation!J22)</f>
        <v/>
      </c>
      <c r="F16" s="387" t="str">
        <f>IF(A16="","",Calculation!C22)</f>
        <v/>
      </c>
      <c r="G16" s="387" t="str">
        <f>IF(A16="","",LEFT(Calculation!O22,6))</f>
        <v/>
      </c>
      <c r="H16" s="388" t="str">
        <f>IF(A16="","",Calculation!DX22)</f>
        <v/>
      </c>
      <c r="I16" s="387" t="str">
        <f>IF(A16="","",Calculation!P22)</f>
        <v/>
      </c>
      <c r="J16" s="387" t="str">
        <f>IF(A16="","",HLOOKUP(LEFT(Calculation!BO22,7),LookUps!$C$38:$M$41,4))</f>
        <v/>
      </c>
      <c r="K16" s="387" t="str">
        <f>IF(A16="","",Calculation!M22)</f>
        <v/>
      </c>
      <c r="L16" s="387" t="str">
        <f>IF(A16="","",Calculation!S22)</f>
        <v/>
      </c>
      <c r="M16" s="389" t="str">
        <f>IF(A16="","",Calculation!N22)</f>
        <v/>
      </c>
      <c r="N16" s="390" t="str">
        <f>IF(A16="","",Calculation!R22)</f>
        <v/>
      </c>
      <c r="O16" s="391" t="str">
        <f>IF(A16="","",Calculation!$F$6)</f>
        <v/>
      </c>
      <c r="P16" s="392" t="str">
        <f>IF(A16="","",Calculation!$F$7)</f>
        <v/>
      </c>
      <c r="Q16" s="393" t="str">
        <f>IF(A16="","",Calculation!$F$13)</f>
        <v/>
      </c>
      <c r="R16" s="394" t="str">
        <f>IF(A16="","",Calculation!X22)</f>
        <v/>
      </c>
      <c r="S16" s="393" t="str">
        <f>IF(A16="","",Calculation!T22)</f>
        <v/>
      </c>
      <c r="T16" s="395" t="str">
        <f>IF(A16="","",IF(Calculation!$O$8="None","Water",CONCATENATE(Calculation!$O$8,"-",Calculation!$S$8,"%")))</f>
        <v/>
      </c>
      <c r="U16" s="393" t="str">
        <f>IF(A16="","",Calculation!$P$6)</f>
        <v/>
      </c>
      <c r="V16" s="393" t="str">
        <f>IF(A16="","",Calculation!AT22)</f>
        <v/>
      </c>
      <c r="W16" s="396" t="str">
        <f>IF(A16="","",Calculation!AP22)</f>
        <v/>
      </c>
      <c r="X16" s="396" t="str">
        <f>IF(A16="","",Calculation!AO22)</f>
        <v/>
      </c>
      <c r="Y16" s="396" t="str">
        <f>IF(A16="","",Calculation!AQ22)</f>
        <v/>
      </c>
      <c r="Z16" s="396" t="str">
        <f>IF(A16="","",Calculation!$H$6)</f>
        <v/>
      </c>
      <c r="AA16" s="397" t="str">
        <f>IF(A16="","",Calculation!$H$13)</f>
        <v/>
      </c>
      <c r="AB16" s="397" t="str">
        <f>IF(A16="","",Calculation!U22)</f>
        <v/>
      </c>
      <c r="AC16" s="398" t="str">
        <f>IF(A16="","",IF(Calculation!$O$9="None","Water",CONCATENATE(Calculation!$O$9,"-",Calculation!$S$9,"%")))</f>
        <v/>
      </c>
      <c r="AD16" s="396" t="str">
        <f>IF(A16="","",Calculation!$S$6)</f>
        <v/>
      </c>
      <c r="AE16" s="399" t="str">
        <f>IF(A16="","",Calculation!BA22)</f>
        <v/>
      </c>
      <c r="AF16" s="396" t="str">
        <f>IF(A16="","",Calculation!AX22)</f>
        <v/>
      </c>
      <c r="AG16" s="396" t="str">
        <f>IF(A16="","",Calculation!AW22)</f>
        <v/>
      </c>
      <c r="AH16" s="391" t="str">
        <f>IF(A16="","",Calculation!AY22)</f>
        <v/>
      </c>
      <c r="AI16" s="391" t="str">
        <f>IF(A16="","",Calculation!Y22)</f>
        <v/>
      </c>
      <c r="AJ16" s="401" t="str">
        <f>IF(Calculation!BD22&gt;0,Calculation!BD22," ")</f>
        <v xml:space="preserve"> </v>
      </c>
      <c r="AK16" s="401" t="str">
        <f>IF(Calculation!BD22&gt;0,Calculation!BE22," ")</f>
        <v xml:space="preserve"> </v>
      </c>
      <c r="AL16" s="401" t="str">
        <f>IF(Calculation!BD22&gt;0,Calculation!BF22," ")</f>
        <v xml:space="preserve"> </v>
      </c>
      <c r="AM16" s="401" t="str">
        <f>IF(Calculation!BD22&gt;0,Calculation!BG22," ")</f>
        <v xml:space="preserve"> </v>
      </c>
      <c r="AN16" s="391" t="str">
        <f>IF(Calculation!BH22="N/A","N/A",Calculation!BH22)</f>
        <v xml:space="preserve"> </v>
      </c>
      <c r="AO16" s="402" t="str">
        <f>IF(Calculation!BI22="N/A","N/A",Calculation!BI22)</f>
        <v/>
      </c>
      <c r="AP16" s="391" t="str">
        <f>IF(Calculation!BJ22="N/A","N/A",Calculation!BJ22)</f>
        <v/>
      </c>
      <c r="AQ16" s="402" t="str">
        <f>IF(Calculation!BK22="N/A","N/A",Calculation!BK22)</f>
        <v/>
      </c>
      <c r="AR16" s="391" t="str">
        <f>IF(Calculation!BL22="N/A","N/A",Calculation!BL22)</f>
        <v/>
      </c>
      <c r="AS16" s="402" t="str">
        <f>IF(Calculation!BM22="N/A","N/A",Calculation!BM22)</f>
        <v/>
      </c>
      <c r="AT16" s="400"/>
      <c r="AU16" s="225"/>
    </row>
    <row r="17" spans="1:46" ht="12.75" customHeight="1">
      <c r="A17" s="224" t="str">
        <f>IF(Calculation!BN23="","",CONCATENATE(Calculation!BO23,"-",Calculation!R23,"-",Calculation!S23,"-",Calculation!T23,"-",Calculation!U23))</f>
        <v/>
      </c>
      <c r="B17" s="224">
        <v>2</v>
      </c>
      <c r="C17" s="629" t="str">
        <f>IF(A17="","",Calculation!B23)</f>
        <v/>
      </c>
      <c r="D17" s="386" t="str">
        <f>IF(A17="","",Calculation!L23)</f>
        <v/>
      </c>
      <c r="E17" s="387" t="str">
        <f>IF(A17="","",Calculation!J23)</f>
        <v/>
      </c>
      <c r="F17" s="387" t="str">
        <f>IF(A17="","",Calculation!C23)</f>
        <v/>
      </c>
      <c r="G17" s="387" t="str">
        <f>IF(A17="","",LEFT(Calculation!O23,6))</f>
        <v/>
      </c>
      <c r="H17" s="388" t="str">
        <f>IF(A17="","",Calculation!DX23)</f>
        <v/>
      </c>
      <c r="I17" s="387" t="str">
        <f>IF(A17="","",Calculation!P23)</f>
        <v/>
      </c>
      <c r="J17" s="387" t="str">
        <f>IF(A17="","",HLOOKUP(LEFT(Calculation!BO23,7),LookUps!$C$38:$M$41,4))</f>
        <v/>
      </c>
      <c r="K17" s="387" t="str">
        <f>IF(A17="","",Calculation!M23)</f>
        <v/>
      </c>
      <c r="L17" s="387" t="str">
        <f>IF(A17="","",Calculation!S23)</f>
        <v/>
      </c>
      <c r="M17" s="389" t="str">
        <f>IF(A17="","",Calculation!N23)</f>
        <v/>
      </c>
      <c r="N17" s="390" t="str">
        <f>IF(A17="","",Calculation!R23)</f>
        <v/>
      </c>
      <c r="O17" s="391" t="str">
        <f>IF(A17="","",Calculation!$F$6)</f>
        <v/>
      </c>
      <c r="P17" s="392" t="str">
        <f>IF(A17="","",Calculation!$F$7)</f>
        <v/>
      </c>
      <c r="Q17" s="393" t="str">
        <f>IF(A17="","",Calculation!$F$13)</f>
        <v/>
      </c>
      <c r="R17" s="394" t="str">
        <f>IF(A17="","",Calculation!X23)</f>
        <v/>
      </c>
      <c r="S17" s="393" t="str">
        <f>IF(A17="","",Calculation!T23)</f>
        <v/>
      </c>
      <c r="T17" s="395" t="str">
        <f>IF(A17="","",IF(Calculation!$O$8="None","Water",CONCATENATE(Calculation!$O$8,"-",Calculation!$S$8,"%")))</f>
        <v/>
      </c>
      <c r="U17" s="393" t="str">
        <f>IF(A17="","",Calculation!$P$6)</f>
        <v/>
      </c>
      <c r="V17" s="393" t="str">
        <f>IF(A17="","",Calculation!AT23)</f>
        <v/>
      </c>
      <c r="W17" s="396" t="str">
        <f>IF(A17="","",Calculation!AP23)</f>
        <v/>
      </c>
      <c r="X17" s="396" t="str">
        <f>IF(A17="","",Calculation!AO23)</f>
        <v/>
      </c>
      <c r="Y17" s="396" t="str">
        <f>IF(A17="","",Calculation!AQ23)</f>
        <v/>
      </c>
      <c r="Z17" s="396" t="str">
        <f>IF(A17="","",Calculation!$H$6)</f>
        <v/>
      </c>
      <c r="AA17" s="397" t="str">
        <f>IF(A17="","",Calculation!$H$13)</f>
        <v/>
      </c>
      <c r="AB17" s="397" t="str">
        <f>IF(A17="","",Calculation!U23)</f>
        <v/>
      </c>
      <c r="AC17" s="398" t="str">
        <f>IF(A17="","",IF(Calculation!$O$9="None","Water",CONCATENATE(Calculation!$O$9,"-",Calculation!$S$9,"%")))</f>
        <v/>
      </c>
      <c r="AD17" s="396" t="str">
        <f>IF(A17="","",Calculation!$S$6)</f>
        <v/>
      </c>
      <c r="AE17" s="399" t="str">
        <f>IF(A17="","",Calculation!BA23)</f>
        <v/>
      </c>
      <c r="AF17" s="396" t="str">
        <f>IF(A17="","",Calculation!AX23)</f>
        <v/>
      </c>
      <c r="AG17" s="396" t="str">
        <f>IF(A17="","",Calculation!AW23)</f>
        <v/>
      </c>
      <c r="AH17" s="391" t="str">
        <f>IF(A17="","",Calculation!AY23)</f>
        <v/>
      </c>
      <c r="AI17" s="391" t="str">
        <f>IF(A17="","",Calculation!Y23)</f>
        <v/>
      </c>
      <c r="AJ17" s="401" t="str">
        <f>IF(Calculation!BD23&gt;0,Calculation!BD23," ")</f>
        <v xml:space="preserve"> </v>
      </c>
      <c r="AK17" s="401" t="str">
        <f>IF(Calculation!BD23&gt;0,Calculation!BE23," ")</f>
        <v xml:space="preserve"> </v>
      </c>
      <c r="AL17" s="401" t="str">
        <f>IF(Calculation!BD23&gt;0,Calculation!BF23," ")</f>
        <v xml:space="preserve"> </v>
      </c>
      <c r="AM17" s="401" t="str">
        <f>IF(Calculation!BD23&gt;0,Calculation!BG23," ")</f>
        <v xml:space="preserve"> </v>
      </c>
      <c r="AN17" s="391" t="str">
        <f>IF(Calculation!BH23="N/A","N/A",Calculation!BH23)</f>
        <v xml:space="preserve"> </v>
      </c>
      <c r="AO17" s="402" t="str">
        <f>IF(Calculation!BI23="N/A","N/A",Calculation!BI23)</f>
        <v/>
      </c>
      <c r="AP17" s="391" t="str">
        <f>IF(Calculation!BJ23="N/A","N/A",Calculation!BJ23)</f>
        <v/>
      </c>
      <c r="AQ17" s="402" t="str">
        <f>IF(Calculation!BK23="N/A","N/A",Calculation!BK23)</f>
        <v/>
      </c>
      <c r="AR17" s="391" t="str">
        <f>IF(Calculation!BL23="N/A","N/A",Calculation!BL23)</f>
        <v/>
      </c>
      <c r="AS17" s="402" t="str">
        <f>IF(Calculation!BM23="N/A","N/A",Calculation!BM23)</f>
        <v/>
      </c>
      <c r="AT17" s="400"/>
    </row>
    <row r="18" spans="1:46" ht="12.75" customHeight="1">
      <c r="A18" s="224" t="str">
        <f>IF(Calculation!BN24="","",CONCATENATE(Calculation!BO24,"-",Calculation!R24,"-",Calculation!S24,"-",Calculation!T24,"-",Calculation!U24))</f>
        <v/>
      </c>
      <c r="B18" s="224">
        <v>3</v>
      </c>
      <c r="C18" s="629" t="str">
        <f>IF(A18="","",Calculation!B24)</f>
        <v/>
      </c>
      <c r="D18" s="386" t="str">
        <f>IF(A18="","",Calculation!L24)</f>
        <v/>
      </c>
      <c r="E18" s="387" t="str">
        <f>IF(A18="","",Calculation!J24)</f>
        <v/>
      </c>
      <c r="F18" s="387" t="str">
        <f>IF(A18="","",Calculation!C24)</f>
        <v/>
      </c>
      <c r="G18" s="387" t="str">
        <f>IF(A18="","",LEFT(Calculation!O24,6))</f>
        <v/>
      </c>
      <c r="H18" s="388" t="str">
        <f>IF(A18="","",Calculation!DX24)</f>
        <v/>
      </c>
      <c r="I18" s="387" t="str">
        <f>IF(A18="","",Calculation!P24)</f>
        <v/>
      </c>
      <c r="J18" s="387" t="str">
        <f>IF(A18="","",HLOOKUP(LEFT(Calculation!BO24,7),LookUps!$C$38:$M$41,4))</f>
        <v/>
      </c>
      <c r="K18" s="387" t="str">
        <f>IF(A18="","",Calculation!M24)</f>
        <v/>
      </c>
      <c r="L18" s="387" t="str">
        <f>IF(A18="","",Calculation!S24)</f>
        <v/>
      </c>
      <c r="M18" s="389" t="str">
        <f>IF(A18="","",Calculation!N24)</f>
        <v/>
      </c>
      <c r="N18" s="390" t="str">
        <f>IF(A18="","",Calculation!R24)</f>
        <v/>
      </c>
      <c r="O18" s="391" t="str">
        <f>IF(A18="","",Calculation!$F$6)</f>
        <v/>
      </c>
      <c r="P18" s="392" t="str">
        <f>IF(A18="","",Calculation!$F$7)</f>
        <v/>
      </c>
      <c r="Q18" s="393" t="str">
        <f>IF(A18="","",Calculation!$F$13)</f>
        <v/>
      </c>
      <c r="R18" s="394" t="str">
        <f>IF(A18="","",Calculation!X24)</f>
        <v/>
      </c>
      <c r="S18" s="393" t="str">
        <f>IF(A18="","",Calculation!T24)</f>
        <v/>
      </c>
      <c r="T18" s="395" t="str">
        <f>IF(A18="","",IF(Calculation!$O$8="None","Water",CONCATENATE(Calculation!$O$8,"-",Calculation!$S$8,"%")))</f>
        <v/>
      </c>
      <c r="U18" s="393" t="str">
        <f>IF(A18="","",Calculation!$P$6)</f>
        <v/>
      </c>
      <c r="V18" s="393" t="str">
        <f>IF(A18="","",Calculation!AT24)</f>
        <v/>
      </c>
      <c r="W18" s="396" t="str">
        <f>IF(A18="","",Calculation!AP24)</f>
        <v/>
      </c>
      <c r="X18" s="396" t="str">
        <f>IF(A18="","",Calculation!AO24)</f>
        <v/>
      </c>
      <c r="Y18" s="396" t="str">
        <f>IF(A18="","",Calculation!AQ24)</f>
        <v/>
      </c>
      <c r="Z18" s="396" t="str">
        <f>IF(A18="","",Calculation!$H$6)</f>
        <v/>
      </c>
      <c r="AA18" s="397" t="str">
        <f>IF(A18="","",Calculation!$H$13)</f>
        <v/>
      </c>
      <c r="AB18" s="397" t="str">
        <f>IF(A18="","",Calculation!U24)</f>
        <v/>
      </c>
      <c r="AC18" s="398" t="str">
        <f>IF(A18="","",IF(Calculation!$O$9="None","Water",CONCATENATE(Calculation!$O$9,"-",Calculation!$S$9,"%")))</f>
        <v/>
      </c>
      <c r="AD18" s="396" t="str">
        <f>IF(A18="","",Calculation!$S$6)</f>
        <v/>
      </c>
      <c r="AE18" s="399" t="str">
        <f>IF(A18="","",Calculation!BA24)</f>
        <v/>
      </c>
      <c r="AF18" s="396" t="str">
        <f>IF(A18="","",Calculation!AX24)</f>
        <v/>
      </c>
      <c r="AG18" s="396" t="str">
        <f>IF(A18="","",Calculation!AW24)</f>
        <v/>
      </c>
      <c r="AH18" s="391" t="str">
        <f>IF(A18="","",Calculation!AY24)</f>
        <v/>
      </c>
      <c r="AI18" s="391" t="str">
        <f>IF(A18="","",Calculation!Y24)</f>
        <v/>
      </c>
      <c r="AJ18" s="401" t="str">
        <f>IF(Calculation!BD24&gt;0,Calculation!BD24," ")</f>
        <v xml:space="preserve"> </v>
      </c>
      <c r="AK18" s="401" t="str">
        <f>IF(Calculation!BD24&gt;0,Calculation!BE24," ")</f>
        <v xml:space="preserve"> </v>
      </c>
      <c r="AL18" s="401" t="str">
        <f>IF(Calculation!BD24&gt;0,Calculation!BF24," ")</f>
        <v xml:space="preserve"> </v>
      </c>
      <c r="AM18" s="401" t="str">
        <f>IF(Calculation!BD24&gt;0,Calculation!BG24," ")</f>
        <v xml:space="preserve"> </v>
      </c>
      <c r="AN18" s="391" t="str">
        <f>IF(Calculation!BH24="N/A","N/A",Calculation!BH24)</f>
        <v xml:space="preserve"> </v>
      </c>
      <c r="AO18" s="402" t="str">
        <f>IF(Calculation!BI24="N/A","N/A",Calculation!BI24)</f>
        <v/>
      </c>
      <c r="AP18" s="391" t="str">
        <f>IF(Calculation!BJ24="N/A","N/A",Calculation!BJ24)</f>
        <v/>
      </c>
      <c r="AQ18" s="402" t="str">
        <f>IF(Calculation!BK24="N/A","N/A",Calculation!BK24)</f>
        <v/>
      </c>
      <c r="AR18" s="391" t="str">
        <f>IF(Calculation!BL24="N/A","N/A",Calculation!BL24)</f>
        <v/>
      </c>
      <c r="AS18" s="402" t="str">
        <f>IF(Calculation!BM24="N/A","N/A",Calculation!BM24)</f>
        <v/>
      </c>
      <c r="AT18" s="400"/>
    </row>
    <row r="19" spans="1:46" ht="12.75" customHeight="1">
      <c r="A19" s="224" t="str">
        <f>IF(Calculation!BN25="","",CONCATENATE(Calculation!BO25,"-",Calculation!R25,"-",Calculation!S25,"-",Calculation!T25,"-",Calculation!U25))</f>
        <v/>
      </c>
      <c r="B19" s="224">
        <v>4</v>
      </c>
      <c r="C19" s="629" t="str">
        <f>IF(A19="","",Calculation!B25)</f>
        <v/>
      </c>
      <c r="D19" s="386" t="str">
        <f>IF(A19="","",Calculation!L25)</f>
        <v/>
      </c>
      <c r="E19" s="387" t="str">
        <f>IF(A19="","",Calculation!J25)</f>
        <v/>
      </c>
      <c r="F19" s="387" t="str">
        <f>IF(A19="","",Calculation!C25)</f>
        <v/>
      </c>
      <c r="G19" s="387" t="str">
        <f>IF(A19="","",LEFT(Calculation!O25,6))</f>
        <v/>
      </c>
      <c r="H19" s="388" t="str">
        <f>IF(A19="","",Calculation!DX25)</f>
        <v/>
      </c>
      <c r="I19" s="387" t="str">
        <f>IF(A19="","",Calculation!P25)</f>
        <v/>
      </c>
      <c r="J19" s="387" t="str">
        <f>IF(A19="","",HLOOKUP(LEFT(Calculation!BO25,7),LookUps!$C$38:$M$41,4))</f>
        <v/>
      </c>
      <c r="K19" s="387" t="str">
        <f>IF(A19="","",Calculation!M25)</f>
        <v/>
      </c>
      <c r="L19" s="387" t="str">
        <f>IF(A19="","",Calculation!S25)</f>
        <v/>
      </c>
      <c r="M19" s="389" t="str">
        <f>IF(A19="","",Calculation!N25)</f>
        <v/>
      </c>
      <c r="N19" s="390" t="str">
        <f>IF(A19="","",Calculation!R25)</f>
        <v/>
      </c>
      <c r="O19" s="391" t="str">
        <f>IF(A19="","",Calculation!$F$6)</f>
        <v/>
      </c>
      <c r="P19" s="392" t="str">
        <f>IF(A19="","",Calculation!$F$7)</f>
        <v/>
      </c>
      <c r="Q19" s="393" t="str">
        <f>IF(A19="","",Calculation!$F$13)</f>
        <v/>
      </c>
      <c r="R19" s="394" t="str">
        <f>IF(A19="","",Calculation!X25)</f>
        <v/>
      </c>
      <c r="S19" s="393" t="str">
        <f>IF(A19="","",Calculation!T25)</f>
        <v/>
      </c>
      <c r="T19" s="395" t="str">
        <f>IF(A19="","",IF(Calculation!$O$8="None","Water",CONCATENATE(Calculation!$O$8,"-",Calculation!$S$8,"%")))</f>
        <v/>
      </c>
      <c r="U19" s="393" t="str">
        <f>IF(A19="","",Calculation!$P$6)</f>
        <v/>
      </c>
      <c r="V19" s="393" t="str">
        <f>IF(A19="","",Calculation!AT25)</f>
        <v/>
      </c>
      <c r="W19" s="396" t="str">
        <f>IF(A19="","",Calculation!AP25)</f>
        <v/>
      </c>
      <c r="X19" s="396" t="str">
        <f>IF(A19="","",Calculation!AO25)</f>
        <v/>
      </c>
      <c r="Y19" s="396" t="str">
        <f>IF(A19="","",Calculation!AQ25)</f>
        <v/>
      </c>
      <c r="Z19" s="396" t="str">
        <f>IF(A19="","",Calculation!$H$6)</f>
        <v/>
      </c>
      <c r="AA19" s="397" t="str">
        <f>IF(A19="","",Calculation!$H$13)</f>
        <v/>
      </c>
      <c r="AB19" s="397" t="str">
        <f>IF(A19="","",Calculation!U25)</f>
        <v/>
      </c>
      <c r="AC19" s="398" t="str">
        <f>IF(A19="","",IF(Calculation!$O$9="None","Water",CONCATENATE(Calculation!$O$9,"-",Calculation!$S$9,"%")))</f>
        <v/>
      </c>
      <c r="AD19" s="396" t="str">
        <f>IF(A19="","",Calculation!$S$6)</f>
        <v/>
      </c>
      <c r="AE19" s="399" t="str">
        <f>IF(A19="","",Calculation!BA25)</f>
        <v/>
      </c>
      <c r="AF19" s="396" t="str">
        <f>IF(A19="","",Calculation!AX25)</f>
        <v/>
      </c>
      <c r="AG19" s="396" t="str">
        <f>IF(A19="","",Calculation!AW25)</f>
        <v/>
      </c>
      <c r="AH19" s="391" t="str">
        <f>IF(A19="","",Calculation!AY25)</f>
        <v/>
      </c>
      <c r="AI19" s="391" t="str">
        <f>IF(A19="","",Calculation!Y25)</f>
        <v/>
      </c>
      <c r="AJ19" s="401" t="str">
        <f>IF(Calculation!BD25&gt;0,Calculation!BD25," ")</f>
        <v xml:space="preserve"> </v>
      </c>
      <c r="AK19" s="401" t="str">
        <f>IF(Calculation!BD25&gt;0,Calculation!BE25," ")</f>
        <v xml:space="preserve"> </v>
      </c>
      <c r="AL19" s="401" t="str">
        <f>IF(Calculation!BD25&gt;0,Calculation!BF25," ")</f>
        <v xml:space="preserve"> </v>
      </c>
      <c r="AM19" s="401" t="str">
        <f>IF(Calculation!BD25&gt;0,Calculation!BG25," ")</f>
        <v xml:space="preserve"> </v>
      </c>
      <c r="AN19" s="391" t="str">
        <f>IF(Calculation!BH25="N/A","N/A",Calculation!BH25)</f>
        <v xml:space="preserve"> </v>
      </c>
      <c r="AO19" s="402" t="str">
        <f>IF(Calculation!BI25="N/A","N/A",Calculation!BI25)</f>
        <v/>
      </c>
      <c r="AP19" s="391" t="str">
        <f>IF(Calculation!BJ25="N/A","N/A",Calculation!BJ25)</f>
        <v/>
      </c>
      <c r="AQ19" s="402" t="str">
        <f>IF(Calculation!BK25="N/A","N/A",Calculation!BK25)</f>
        <v/>
      </c>
      <c r="AR19" s="391" t="str">
        <f>IF(Calculation!BL25="N/A","N/A",Calculation!BL25)</f>
        <v/>
      </c>
      <c r="AS19" s="402" t="str">
        <f>IF(Calculation!BM25="N/A","N/A",Calculation!BM25)</f>
        <v/>
      </c>
      <c r="AT19" s="400"/>
    </row>
    <row r="20" spans="1:46" ht="12.75" customHeight="1">
      <c r="A20" s="224" t="str">
        <f>IF(Calculation!BN26="","",CONCATENATE(Calculation!BO26,"-",Calculation!R26,"-",Calculation!S26,"-",Calculation!T26,"-",Calculation!U26))</f>
        <v/>
      </c>
      <c r="B20" s="224">
        <v>5</v>
      </c>
      <c r="C20" s="629" t="str">
        <f>IF(A20="","",Calculation!B26)</f>
        <v/>
      </c>
      <c r="D20" s="386" t="str">
        <f>IF(A20="","",Calculation!L26)</f>
        <v/>
      </c>
      <c r="E20" s="387" t="str">
        <f>IF(A20="","",Calculation!J26)</f>
        <v/>
      </c>
      <c r="F20" s="387" t="str">
        <f>IF(A20="","",Calculation!C26)</f>
        <v/>
      </c>
      <c r="G20" s="387" t="str">
        <f>IF(A20="","",LEFT(Calculation!O26,6))</f>
        <v/>
      </c>
      <c r="H20" s="388" t="str">
        <f>IF(A20="","",Calculation!DX26)</f>
        <v/>
      </c>
      <c r="I20" s="387" t="str">
        <f>IF(A20="","",Calculation!P26)</f>
        <v/>
      </c>
      <c r="J20" s="387" t="str">
        <f>IF(A20="","",HLOOKUP(LEFT(Calculation!BO26,7),LookUps!$C$38:$M$41,4))</f>
        <v/>
      </c>
      <c r="K20" s="387" t="str">
        <f>IF(A20="","",Calculation!M26)</f>
        <v/>
      </c>
      <c r="L20" s="387" t="str">
        <f>IF(A20="","",Calculation!S26)</f>
        <v/>
      </c>
      <c r="M20" s="389" t="str">
        <f>IF(A20="","",Calculation!N26)</f>
        <v/>
      </c>
      <c r="N20" s="390" t="str">
        <f>IF(A20="","",Calculation!R26)</f>
        <v/>
      </c>
      <c r="O20" s="391" t="str">
        <f>IF(A20="","",Calculation!$F$6)</f>
        <v/>
      </c>
      <c r="P20" s="392" t="str">
        <f>IF(A20="","",Calculation!$F$7)</f>
        <v/>
      </c>
      <c r="Q20" s="393" t="str">
        <f>IF(A20="","",Calculation!$F$13)</f>
        <v/>
      </c>
      <c r="R20" s="394" t="str">
        <f>IF(A20="","",Calculation!X26)</f>
        <v/>
      </c>
      <c r="S20" s="393" t="str">
        <f>IF(A20="","",Calculation!T26)</f>
        <v/>
      </c>
      <c r="T20" s="395" t="str">
        <f>IF(A20="","",IF(Calculation!$O$8="None","Water",CONCATENATE(Calculation!$O$8,"-",Calculation!$S$8,"%")))</f>
        <v/>
      </c>
      <c r="U20" s="393" t="str">
        <f>IF(A20="","",Calculation!$P$6)</f>
        <v/>
      </c>
      <c r="V20" s="393" t="str">
        <f>IF(A20="","",Calculation!AT26)</f>
        <v/>
      </c>
      <c r="W20" s="396" t="str">
        <f>IF(A20="","",Calculation!AP26)</f>
        <v/>
      </c>
      <c r="X20" s="396" t="str">
        <f>IF(A20="","",Calculation!AO26)</f>
        <v/>
      </c>
      <c r="Y20" s="396" t="str">
        <f>IF(A20="","",Calculation!AQ26)</f>
        <v/>
      </c>
      <c r="Z20" s="396" t="str">
        <f>IF(A20="","",Calculation!$H$6)</f>
        <v/>
      </c>
      <c r="AA20" s="397" t="str">
        <f>IF(A20="","",Calculation!$H$13)</f>
        <v/>
      </c>
      <c r="AB20" s="397" t="str">
        <f>IF(A20="","",Calculation!U26)</f>
        <v/>
      </c>
      <c r="AC20" s="398" t="str">
        <f>IF(A20="","",IF(Calculation!$O$9="None","Water",CONCATENATE(Calculation!$O$9,"-",Calculation!$S$9,"%")))</f>
        <v/>
      </c>
      <c r="AD20" s="396" t="str">
        <f>IF(A20="","",Calculation!$S$6)</f>
        <v/>
      </c>
      <c r="AE20" s="399" t="str">
        <f>IF(A20="","",Calculation!BA26)</f>
        <v/>
      </c>
      <c r="AF20" s="396" t="str">
        <f>IF(A20="","",Calculation!AX26)</f>
        <v/>
      </c>
      <c r="AG20" s="396" t="str">
        <f>IF(A20="","",Calculation!AW26)</f>
        <v/>
      </c>
      <c r="AH20" s="391" t="str">
        <f>IF(A20="","",Calculation!AY26)</f>
        <v/>
      </c>
      <c r="AI20" s="391" t="str">
        <f>IF(A20="","",Calculation!Y26)</f>
        <v/>
      </c>
      <c r="AJ20" s="401" t="str">
        <f>IF(Calculation!BD26&gt;0,Calculation!BD26," ")</f>
        <v xml:space="preserve"> </v>
      </c>
      <c r="AK20" s="401" t="str">
        <f>IF(Calculation!BD26&gt;0,Calculation!BE26," ")</f>
        <v xml:space="preserve"> </v>
      </c>
      <c r="AL20" s="401" t="str">
        <f>IF(Calculation!BD26&gt;0,Calculation!BF26," ")</f>
        <v xml:space="preserve"> </v>
      </c>
      <c r="AM20" s="401" t="str">
        <f>IF(Calculation!BD26&gt;0,Calculation!BG26," ")</f>
        <v xml:space="preserve"> </v>
      </c>
      <c r="AN20" s="391" t="str">
        <f>IF(Calculation!BH26="N/A","N/A",Calculation!BH26)</f>
        <v xml:space="preserve"> </v>
      </c>
      <c r="AO20" s="402" t="str">
        <f>IF(Calculation!BI26="N/A","N/A",Calculation!BI26)</f>
        <v/>
      </c>
      <c r="AP20" s="391" t="str">
        <f>IF(Calculation!BJ26="N/A","N/A",Calculation!BJ26)</f>
        <v/>
      </c>
      <c r="AQ20" s="402" t="str">
        <f>IF(Calculation!BK26="N/A","N/A",Calculation!BK26)</f>
        <v/>
      </c>
      <c r="AR20" s="391" t="str">
        <f>IF(Calculation!BL26="N/A","N/A",Calculation!BL26)</f>
        <v/>
      </c>
      <c r="AS20" s="402" t="str">
        <f>IF(Calculation!BM26="N/A","N/A",Calculation!BM26)</f>
        <v/>
      </c>
      <c r="AT20" s="400"/>
    </row>
    <row r="21" spans="1:46" ht="12.75" customHeight="1">
      <c r="A21" s="224" t="str">
        <f>IF(Calculation!BN27="","",CONCATENATE(Calculation!BO27,"-",Calculation!R27,"-",Calculation!S27,"-",Calculation!T27,"-",Calculation!U27))</f>
        <v/>
      </c>
      <c r="B21" s="224">
        <v>6</v>
      </c>
      <c r="C21" s="629" t="str">
        <f>IF(A21="","",Calculation!B27)</f>
        <v/>
      </c>
      <c r="D21" s="386" t="str">
        <f>IF(A21="","",Calculation!L27)</f>
        <v/>
      </c>
      <c r="E21" s="387" t="str">
        <f>IF(A21="","",Calculation!J27)</f>
        <v/>
      </c>
      <c r="F21" s="387" t="str">
        <f>IF(A21="","",Calculation!C27)</f>
        <v/>
      </c>
      <c r="G21" s="387" t="str">
        <f>IF(A21="","",LEFT(Calculation!O27,6))</f>
        <v/>
      </c>
      <c r="H21" s="388" t="str">
        <f>IF(A21="","",Calculation!DX27)</f>
        <v/>
      </c>
      <c r="I21" s="387" t="str">
        <f>IF(A21="","",Calculation!P27)</f>
        <v/>
      </c>
      <c r="J21" s="387" t="str">
        <f>IF(A21="","",HLOOKUP(LEFT(Calculation!BO27,7),LookUps!$C$38:$M$41,4))</f>
        <v/>
      </c>
      <c r="K21" s="387" t="str">
        <f>IF(A21="","",Calculation!M27)</f>
        <v/>
      </c>
      <c r="L21" s="387" t="str">
        <f>IF(A21="","",Calculation!S27)</f>
        <v/>
      </c>
      <c r="M21" s="389" t="str">
        <f>IF(A21="","",Calculation!N27)</f>
        <v/>
      </c>
      <c r="N21" s="390" t="str">
        <f>IF(A21="","",Calculation!R27)</f>
        <v/>
      </c>
      <c r="O21" s="391" t="str">
        <f>IF(A21="","",Calculation!$F$6)</f>
        <v/>
      </c>
      <c r="P21" s="392" t="str">
        <f>IF(A21="","",Calculation!$F$7)</f>
        <v/>
      </c>
      <c r="Q21" s="393" t="str">
        <f>IF(A21="","",Calculation!$F$13)</f>
        <v/>
      </c>
      <c r="R21" s="394" t="str">
        <f>IF(A21="","",Calculation!X27)</f>
        <v/>
      </c>
      <c r="S21" s="393" t="str">
        <f>IF(A21="","",Calculation!T27)</f>
        <v/>
      </c>
      <c r="T21" s="395" t="str">
        <f>IF(A21="","",IF(Calculation!$O$8="None","Water",CONCATENATE(Calculation!$O$8,"-",Calculation!$S$8,"%")))</f>
        <v/>
      </c>
      <c r="U21" s="393" t="str">
        <f>IF(A21="","",Calculation!$P$6)</f>
        <v/>
      </c>
      <c r="V21" s="393" t="str">
        <f>IF(A21="","",Calculation!AT27)</f>
        <v/>
      </c>
      <c r="W21" s="396" t="str">
        <f>IF(A21="","",Calculation!AP27)</f>
        <v/>
      </c>
      <c r="X21" s="396" t="str">
        <f>IF(A21="","",Calculation!AO27)</f>
        <v/>
      </c>
      <c r="Y21" s="396" t="str">
        <f>IF(A21="","",Calculation!AQ27)</f>
        <v/>
      </c>
      <c r="Z21" s="396" t="str">
        <f>IF(A21="","",Calculation!$H$6)</f>
        <v/>
      </c>
      <c r="AA21" s="397" t="str">
        <f>IF(A21="","",Calculation!$H$13)</f>
        <v/>
      </c>
      <c r="AB21" s="397" t="str">
        <f>IF(A21="","",Calculation!U27)</f>
        <v/>
      </c>
      <c r="AC21" s="398" t="str">
        <f>IF(A21="","",IF(Calculation!$O$9="None","Water",CONCATENATE(Calculation!$O$9,"-",Calculation!$S$9,"%")))</f>
        <v/>
      </c>
      <c r="AD21" s="396" t="str">
        <f>IF(A21="","",Calculation!$S$6)</f>
        <v/>
      </c>
      <c r="AE21" s="399" t="str">
        <f>IF(A21="","",Calculation!BA27)</f>
        <v/>
      </c>
      <c r="AF21" s="396" t="str">
        <f>IF(A21="","",Calculation!AX27)</f>
        <v/>
      </c>
      <c r="AG21" s="396" t="str">
        <f>IF(A21="","",Calculation!AW27)</f>
        <v/>
      </c>
      <c r="AH21" s="391" t="str">
        <f>IF(A21="","",Calculation!AY27)</f>
        <v/>
      </c>
      <c r="AI21" s="391" t="str">
        <f>IF(A21="","",Calculation!Y27)</f>
        <v/>
      </c>
      <c r="AJ21" s="401" t="str">
        <f>IF(Calculation!BD27&gt;0,Calculation!BD27," ")</f>
        <v xml:space="preserve"> </v>
      </c>
      <c r="AK21" s="401" t="str">
        <f>IF(Calculation!BD27&gt;0,Calculation!BE27," ")</f>
        <v xml:space="preserve"> </v>
      </c>
      <c r="AL21" s="401" t="str">
        <f>IF(Calculation!BD27&gt;0,Calculation!BF27," ")</f>
        <v xml:space="preserve"> </v>
      </c>
      <c r="AM21" s="401" t="str">
        <f>IF(Calculation!BD27&gt;0,Calculation!BG27," ")</f>
        <v xml:space="preserve"> </v>
      </c>
      <c r="AN21" s="391" t="str">
        <f>IF(Calculation!BH27="N/A","N/A",Calculation!BH27)</f>
        <v xml:space="preserve"> </v>
      </c>
      <c r="AO21" s="402" t="str">
        <f>IF(Calculation!BI27="N/A","N/A",Calculation!BI27)</f>
        <v/>
      </c>
      <c r="AP21" s="391" t="str">
        <f>IF(Calculation!BJ27="N/A","N/A",Calculation!BJ27)</f>
        <v/>
      </c>
      <c r="AQ21" s="402" t="str">
        <f>IF(Calculation!BK27="N/A","N/A",Calculation!BK27)</f>
        <v/>
      </c>
      <c r="AR21" s="391" t="str">
        <f>IF(Calculation!BL27="N/A","N/A",Calculation!BL27)</f>
        <v/>
      </c>
      <c r="AS21" s="402" t="str">
        <f>IF(Calculation!BM27="N/A","N/A",Calculation!BM27)</f>
        <v/>
      </c>
      <c r="AT21" s="400"/>
    </row>
    <row r="22" spans="1:46" ht="12.75" customHeight="1">
      <c r="A22" s="224" t="str">
        <f>IF(Calculation!BN28="","",CONCATENATE(Calculation!BO28,"-",Calculation!R28,"-",Calculation!S28,"-",Calculation!T28,"-",Calculation!U28))</f>
        <v/>
      </c>
      <c r="B22" s="224">
        <v>7</v>
      </c>
      <c r="C22" s="629" t="str">
        <f>IF(A22="","",Calculation!B28)</f>
        <v/>
      </c>
      <c r="D22" s="386" t="str">
        <f>IF(A22="","",Calculation!L28)</f>
        <v/>
      </c>
      <c r="E22" s="387" t="str">
        <f>IF(A22="","",Calculation!J28)</f>
        <v/>
      </c>
      <c r="F22" s="387" t="str">
        <f>IF(A22="","",Calculation!C28)</f>
        <v/>
      </c>
      <c r="G22" s="387" t="str">
        <f>IF(A22="","",LEFT(Calculation!O28,6))</f>
        <v/>
      </c>
      <c r="H22" s="388" t="str">
        <f>IF(A22="","",Calculation!DX28)</f>
        <v/>
      </c>
      <c r="I22" s="387" t="str">
        <f>IF(A22="","",Calculation!P28)</f>
        <v/>
      </c>
      <c r="J22" s="387" t="str">
        <f>IF(A22="","",HLOOKUP(LEFT(Calculation!BO28,7),LookUps!$C$38:$M$41,4))</f>
        <v/>
      </c>
      <c r="K22" s="387" t="str">
        <f>IF(A22="","",Calculation!M28)</f>
        <v/>
      </c>
      <c r="L22" s="387" t="str">
        <f>IF(A22="","",Calculation!S28)</f>
        <v/>
      </c>
      <c r="M22" s="389" t="str">
        <f>IF(A22="","",Calculation!N28)</f>
        <v/>
      </c>
      <c r="N22" s="390" t="str">
        <f>IF(A22="","",Calculation!R28)</f>
        <v/>
      </c>
      <c r="O22" s="391" t="str">
        <f>IF(A22="","",Calculation!$F$6)</f>
        <v/>
      </c>
      <c r="P22" s="392" t="str">
        <f>IF(A22="","",Calculation!$F$7)</f>
        <v/>
      </c>
      <c r="Q22" s="393" t="str">
        <f>IF(A22="","",Calculation!$F$13)</f>
        <v/>
      </c>
      <c r="R22" s="394" t="str">
        <f>IF(A22="","",Calculation!X28)</f>
        <v/>
      </c>
      <c r="S22" s="393" t="str">
        <f>IF(A22="","",Calculation!T28)</f>
        <v/>
      </c>
      <c r="T22" s="395" t="str">
        <f>IF(A22="","",IF(Calculation!$O$8="None","Water",CONCATENATE(Calculation!$O$8,"-",Calculation!$S$8,"%")))</f>
        <v/>
      </c>
      <c r="U22" s="393" t="str">
        <f>IF(A22="","",Calculation!$P$6)</f>
        <v/>
      </c>
      <c r="V22" s="393" t="str">
        <f>IF(A22="","",Calculation!AT28)</f>
        <v/>
      </c>
      <c r="W22" s="396" t="str">
        <f>IF(A22="","",Calculation!AP28)</f>
        <v/>
      </c>
      <c r="X22" s="396" t="str">
        <f>IF(A22="","",Calculation!AO28)</f>
        <v/>
      </c>
      <c r="Y22" s="396" t="str">
        <f>IF(A22="","",Calculation!AQ28)</f>
        <v/>
      </c>
      <c r="Z22" s="396" t="str">
        <f>IF(A22="","",Calculation!$H$6)</f>
        <v/>
      </c>
      <c r="AA22" s="397" t="str">
        <f>IF(A22="","",Calculation!$H$13)</f>
        <v/>
      </c>
      <c r="AB22" s="397" t="str">
        <f>IF(A22="","",Calculation!U28)</f>
        <v/>
      </c>
      <c r="AC22" s="398" t="str">
        <f>IF(A22="","",IF(Calculation!$O$9="None","Water",CONCATENATE(Calculation!$O$9,"-",Calculation!$S$9,"%")))</f>
        <v/>
      </c>
      <c r="AD22" s="396" t="str">
        <f>IF(A22="","",Calculation!$S$6)</f>
        <v/>
      </c>
      <c r="AE22" s="399" t="str">
        <f>IF(A22="","",Calculation!BA28)</f>
        <v/>
      </c>
      <c r="AF22" s="396" t="str">
        <f>IF(A22="","",Calculation!AX28)</f>
        <v/>
      </c>
      <c r="AG22" s="396" t="str">
        <f>IF(A22="","",Calculation!AW28)</f>
        <v/>
      </c>
      <c r="AH22" s="391" t="str">
        <f>IF(A22="","",Calculation!AY28)</f>
        <v/>
      </c>
      <c r="AI22" s="391" t="str">
        <f>IF(A22="","",Calculation!Y28)</f>
        <v/>
      </c>
      <c r="AJ22" s="401" t="str">
        <f>IF(Calculation!BD28&gt;0,Calculation!BD28," ")</f>
        <v xml:space="preserve"> </v>
      </c>
      <c r="AK22" s="401" t="str">
        <f>IF(Calculation!BD28&gt;0,Calculation!BE28," ")</f>
        <v xml:space="preserve"> </v>
      </c>
      <c r="AL22" s="401" t="str">
        <f>IF(Calculation!BD28&gt;0,Calculation!BF28," ")</f>
        <v xml:space="preserve"> </v>
      </c>
      <c r="AM22" s="401" t="str">
        <f>IF(Calculation!BD28&gt;0,Calculation!BG28," ")</f>
        <v xml:space="preserve"> </v>
      </c>
      <c r="AN22" s="391" t="str">
        <f>IF(Calculation!BH28="N/A","N/A",Calculation!BH28)</f>
        <v xml:space="preserve"> </v>
      </c>
      <c r="AO22" s="402" t="str">
        <f>IF(Calculation!BI28="N/A","N/A",Calculation!BI28)</f>
        <v/>
      </c>
      <c r="AP22" s="391" t="str">
        <f>IF(Calculation!BJ28="N/A","N/A",Calculation!BJ28)</f>
        <v/>
      </c>
      <c r="AQ22" s="402" t="str">
        <f>IF(Calculation!BK28="N/A","N/A",Calculation!BK28)</f>
        <v/>
      </c>
      <c r="AR22" s="391" t="str">
        <f>IF(Calculation!BL28="N/A","N/A",Calculation!BL28)</f>
        <v/>
      </c>
      <c r="AS22" s="402" t="str">
        <f>IF(Calculation!BM28="N/A","N/A",Calculation!BM28)</f>
        <v/>
      </c>
      <c r="AT22" s="400"/>
    </row>
    <row r="23" spans="1:46" ht="12.75" customHeight="1">
      <c r="A23" s="224" t="str">
        <f>IF(Calculation!BN29="","",CONCATENATE(Calculation!BO29,"-",Calculation!R29,"-",Calculation!S29,"-",Calculation!T29,"-",Calculation!U29))</f>
        <v/>
      </c>
      <c r="B23" s="224">
        <v>8</v>
      </c>
      <c r="C23" s="629" t="str">
        <f>IF(A23="","",Calculation!B29)</f>
        <v/>
      </c>
      <c r="D23" s="386" t="str">
        <f>IF(A23="","",Calculation!L29)</f>
        <v/>
      </c>
      <c r="E23" s="387" t="str">
        <f>IF(A23="","",Calculation!J29)</f>
        <v/>
      </c>
      <c r="F23" s="387" t="str">
        <f>IF(A23="","",Calculation!C29)</f>
        <v/>
      </c>
      <c r="G23" s="387" t="str">
        <f>IF(A23="","",LEFT(Calculation!O29,6))</f>
        <v/>
      </c>
      <c r="H23" s="388" t="str">
        <f>IF(A23="","",Calculation!DX29)</f>
        <v/>
      </c>
      <c r="I23" s="387" t="str">
        <f>IF(A23="","",Calculation!P29)</f>
        <v/>
      </c>
      <c r="J23" s="387" t="str">
        <f>IF(A23="","",HLOOKUP(LEFT(Calculation!BO29,7),LookUps!$C$38:$M$41,4))</f>
        <v/>
      </c>
      <c r="K23" s="387" t="str">
        <f>IF(A23="","",Calculation!M29)</f>
        <v/>
      </c>
      <c r="L23" s="387" t="str">
        <f>IF(A23="","",Calculation!S29)</f>
        <v/>
      </c>
      <c r="M23" s="389" t="str">
        <f>IF(A23="","",Calculation!N29)</f>
        <v/>
      </c>
      <c r="N23" s="390" t="str">
        <f>IF(A23="","",Calculation!R29)</f>
        <v/>
      </c>
      <c r="O23" s="391" t="str">
        <f>IF(A23="","",Calculation!$F$6)</f>
        <v/>
      </c>
      <c r="P23" s="392" t="str">
        <f>IF(A23="","",Calculation!$F$7)</f>
        <v/>
      </c>
      <c r="Q23" s="393" t="str">
        <f>IF(A23="","",Calculation!$F$13)</f>
        <v/>
      </c>
      <c r="R23" s="394" t="str">
        <f>IF(A23="","",Calculation!X29)</f>
        <v/>
      </c>
      <c r="S23" s="393" t="str">
        <f>IF(A23="","",Calculation!T29)</f>
        <v/>
      </c>
      <c r="T23" s="395" t="str">
        <f>IF(A23="","",IF(Calculation!$O$8="None","Water",CONCATENATE(Calculation!$O$8,"-",Calculation!$S$8,"%")))</f>
        <v/>
      </c>
      <c r="U23" s="393" t="str">
        <f>IF(A23="","",Calculation!$P$6)</f>
        <v/>
      </c>
      <c r="V23" s="393" t="str">
        <f>IF(A23="","",Calculation!AT29)</f>
        <v/>
      </c>
      <c r="W23" s="396" t="str">
        <f>IF(A23="","",Calculation!AP29)</f>
        <v/>
      </c>
      <c r="X23" s="396" t="str">
        <f>IF(A23="","",Calculation!AO29)</f>
        <v/>
      </c>
      <c r="Y23" s="396" t="str">
        <f>IF(A23="","",Calculation!AQ29)</f>
        <v/>
      </c>
      <c r="Z23" s="396" t="str">
        <f>IF(A23="","",Calculation!$H$6)</f>
        <v/>
      </c>
      <c r="AA23" s="397" t="str">
        <f>IF(A23="","",Calculation!$H$13)</f>
        <v/>
      </c>
      <c r="AB23" s="397" t="str">
        <f>IF(A23="","",Calculation!U29)</f>
        <v/>
      </c>
      <c r="AC23" s="398" t="str">
        <f>IF(A23="","",IF(Calculation!$O$9="None","Water",CONCATENATE(Calculation!$O$9,"-",Calculation!$S$9,"%")))</f>
        <v/>
      </c>
      <c r="AD23" s="396" t="str">
        <f>IF(A23="","",Calculation!$S$6)</f>
        <v/>
      </c>
      <c r="AE23" s="399" t="str">
        <f>IF(A23="","",Calculation!BA29)</f>
        <v/>
      </c>
      <c r="AF23" s="396" t="str">
        <f>IF(A23="","",Calculation!AX29)</f>
        <v/>
      </c>
      <c r="AG23" s="396" t="str">
        <f>IF(A23="","",Calculation!AW29)</f>
        <v/>
      </c>
      <c r="AH23" s="391" t="str">
        <f>IF(A23="","",Calculation!AY29)</f>
        <v/>
      </c>
      <c r="AI23" s="391" t="str">
        <f>IF(A23="","",Calculation!Y29)</f>
        <v/>
      </c>
      <c r="AJ23" s="401" t="str">
        <f>IF(Calculation!BD29&gt;0,Calculation!BD29," ")</f>
        <v xml:space="preserve"> </v>
      </c>
      <c r="AK23" s="401" t="str">
        <f>IF(Calculation!BD29&gt;0,Calculation!BE29," ")</f>
        <v xml:space="preserve"> </v>
      </c>
      <c r="AL23" s="401" t="str">
        <f>IF(Calculation!BD29&gt;0,Calculation!BF29," ")</f>
        <v xml:space="preserve"> </v>
      </c>
      <c r="AM23" s="401" t="str">
        <f>IF(Calculation!BD29&gt;0,Calculation!BG29," ")</f>
        <v xml:space="preserve"> </v>
      </c>
      <c r="AN23" s="391" t="str">
        <f>IF(Calculation!BH29="N/A","N/A",Calculation!BH29)</f>
        <v xml:space="preserve"> </v>
      </c>
      <c r="AO23" s="402" t="str">
        <f>IF(Calculation!BI29="N/A","N/A",Calculation!BI29)</f>
        <v/>
      </c>
      <c r="AP23" s="391" t="str">
        <f>IF(Calculation!BJ29="N/A","N/A",Calculation!BJ29)</f>
        <v/>
      </c>
      <c r="AQ23" s="402" t="str">
        <f>IF(Calculation!BK29="N/A","N/A",Calculation!BK29)</f>
        <v/>
      </c>
      <c r="AR23" s="391" t="str">
        <f>IF(Calculation!BL29="N/A","N/A",Calculation!BL29)</f>
        <v/>
      </c>
      <c r="AS23" s="402" t="str">
        <f>IF(Calculation!BM29="N/A","N/A",Calculation!BM29)</f>
        <v/>
      </c>
      <c r="AT23" s="400"/>
    </row>
    <row r="24" spans="1:46" ht="12.75" customHeight="1">
      <c r="A24" s="224" t="str">
        <f>IF(Calculation!BN30="","",CONCATENATE(Calculation!BO30,"-",Calculation!R30,"-",Calculation!S30,"-",Calculation!T30,"-",Calculation!U30))</f>
        <v/>
      </c>
      <c r="B24" s="224">
        <v>9</v>
      </c>
      <c r="C24" s="629" t="str">
        <f>IF(A24="","",Calculation!B30)</f>
        <v/>
      </c>
      <c r="D24" s="386" t="str">
        <f>IF(A24="","",Calculation!L30)</f>
        <v/>
      </c>
      <c r="E24" s="387" t="str">
        <f>IF(A24="","",Calculation!J30)</f>
        <v/>
      </c>
      <c r="F24" s="387" t="str">
        <f>IF(A24="","",Calculation!C30)</f>
        <v/>
      </c>
      <c r="G24" s="387" t="str">
        <f>IF(A24="","",LEFT(Calculation!O30,6))</f>
        <v/>
      </c>
      <c r="H24" s="388" t="str">
        <f>IF(A24="","",Calculation!DX30)</f>
        <v/>
      </c>
      <c r="I24" s="387" t="str">
        <f>IF(A24="","",Calculation!P30)</f>
        <v/>
      </c>
      <c r="J24" s="387" t="str">
        <f>IF(A24="","",HLOOKUP(LEFT(Calculation!BO30,7),LookUps!$C$38:$M$41,4))</f>
        <v/>
      </c>
      <c r="K24" s="387" t="str">
        <f>IF(A24="","",Calculation!M30)</f>
        <v/>
      </c>
      <c r="L24" s="387" t="str">
        <f>IF(A24="","",Calculation!S30)</f>
        <v/>
      </c>
      <c r="M24" s="389" t="str">
        <f>IF(A24="","",Calculation!N30)</f>
        <v/>
      </c>
      <c r="N24" s="390" t="str">
        <f>IF(A24="","",Calculation!R30)</f>
        <v/>
      </c>
      <c r="O24" s="391" t="str">
        <f>IF(A24="","",Calculation!$F$6)</f>
        <v/>
      </c>
      <c r="P24" s="392" t="str">
        <f>IF(A24="","",Calculation!$F$7)</f>
        <v/>
      </c>
      <c r="Q24" s="393" t="str">
        <f>IF(A24="","",Calculation!$F$13)</f>
        <v/>
      </c>
      <c r="R24" s="394" t="str">
        <f>IF(A24="","",Calculation!X30)</f>
        <v/>
      </c>
      <c r="S24" s="393" t="str">
        <f>IF(A24="","",Calculation!T30)</f>
        <v/>
      </c>
      <c r="T24" s="395" t="str">
        <f>IF(A24="","",IF(Calculation!$O$8="None","Water",CONCATENATE(Calculation!$O$8,"-",Calculation!$S$8,"%")))</f>
        <v/>
      </c>
      <c r="U24" s="393" t="str">
        <f>IF(A24="","",Calculation!$P$6)</f>
        <v/>
      </c>
      <c r="V24" s="393" t="str">
        <f>IF(A24="","",Calculation!AT30)</f>
        <v/>
      </c>
      <c r="W24" s="396" t="str">
        <f>IF(A24="","",Calculation!AP30)</f>
        <v/>
      </c>
      <c r="X24" s="396" t="str">
        <f>IF(A24="","",Calculation!AO30)</f>
        <v/>
      </c>
      <c r="Y24" s="396" t="str">
        <f>IF(A24="","",Calculation!AQ30)</f>
        <v/>
      </c>
      <c r="Z24" s="396" t="str">
        <f>IF(A24="","",Calculation!$H$6)</f>
        <v/>
      </c>
      <c r="AA24" s="397" t="str">
        <f>IF(A24="","",Calculation!$H$13)</f>
        <v/>
      </c>
      <c r="AB24" s="397" t="str">
        <f>IF(A24="","",Calculation!U30)</f>
        <v/>
      </c>
      <c r="AC24" s="398" t="str">
        <f>IF(A24="","",IF(Calculation!$O$9="None","Water",CONCATENATE(Calculation!$O$9,"-",Calculation!$S$9,"%")))</f>
        <v/>
      </c>
      <c r="AD24" s="396" t="str">
        <f>IF(A24="","",Calculation!$S$6)</f>
        <v/>
      </c>
      <c r="AE24" s="399" t="str">
        <f>IF(A24="","",Calculation!BA30)</f>
        <v/>
      </c>
      <c r="AF24" s="396" t="str">
        <f>IF(A24="","",Calculation!AX30)</f>
        <v/>
      </c>
      <c r="AG24" s="396" t="str">
        <f>IF(A24="","",Calculation!AW30)</f>
        <v/>
      </c>
      <c r="AH24" s="391" t="str">
        <f>IF(A24="","",Calculation!AY30)</f>
        <v/>
      </c>
      <c r="AI24" s="391" t="str">
        <f>IF(A24="","",Calculation!Y30)</f>
        <v/>
      </c>
      <c r="AJ24" s="401" t="str">
        <f>IF(Calculation!BD30&gt;0,Calculation!BD30," ")</f>
        <v xml:space="preserve"> </v>
      </c>
      <c r="AK24" s="401" t="str">
        <f>IF(Calculation!BD30&gt;0,Calculation!BE30," ")</f>
        <v xml:space="preserve"> </v>
      </c>
      <c r="AL24" s="401" t="str">
        <f>IF(Calculation!BD30&gt;0,Calculation!BF30," ")</f>
        <v xml:space="preserve"> </v>
      </c>
      <c r="AM24" s="401" t="str">
        <f>IF(Calculation!BD30&gt;0,Calculation!BG30," ")</f>
        <v xml:space="preserve"> </v>
      </c>
      <c r="AN24" s="391" t="str">
        <f>IF(Calculation!BH30="N/A","N/A",Calculation!BH30)</f>
        <v xml:space="preserve"> </v>
      </c>
      <c r="AO24" s="402" t="str">
        <f>IF(Calculation!BI30="N/A","N/A",Calculation!BI30)</f>
        <v/>
      </c>
      <c r="AP24" s="391" t="str">
        <f>IF(Calculation!BJ30="N/A","N/A",Calculation!BJ30)</f>
        <v/>
      </c>
      <c r="AQ24" s="402" t="str">
        <f>IF(Calculation!BK30="N/A","N/A",Calculation!BK30)</f>
        <v/>
      </c>
      <c r="AR24" s="391" t="str">
        <f>IF(Calculation!BL30="N/A","N/A",Calculation!BL30)</f>
        <v/>
      </c>
      <c r="AS24" s="402" t="str">
        <f>IF(Calculation!BM30="N/A","N/A",Calculation!BM30)</f>
        <v/>
      </c>
      <c r="AT24" s="400"/>
    </row>
    <row r="25" spans="1:46" ht="12.75" customHeight="1">
      <c r="A25" s="224" t="str">
        <f>IF(Calculation!BN31="","",CONCATENATE(Calculation!BO31,"-",Calculation!R31,"-",Calculation!S31,"-",Calculation!T31,"-",Calculation!U31))</f>
        <v/>
      </c>
      <c r="B25" s="224">
        <v>10</v>
      </c>
      <c r="C25" s="629" t="str">
        <f>IF(A25="","",Calculation!B31)</f>
        <v/>
      </c>
      <c r="D25" s="386" t="str">
        <f>IF(A25="","",Calculation!L31)</f>
        <v/>
      </c>
      <c r="E25" s="387" t="str">
        <f>IF(A25="","",Calculation!J31)</f>
        <v/>
      </c>
      <c r="F25" s="387" t="str">
        <f>IF(A25="","",Calculation!C31)</f>
        <v/>
      </c>
      <c r="G25" s="387" t="str">
        <f>IF(A25="","",LEFT(Calculation!O31,6))</f>
        <v/>
      </c>
      <c r="H25" s="388" t="str">
        <f>IF(A25="","",Calculation!DX31)</f>
        <v/>
      </c>
      <c r="I25" s="387" t="str">
        <f>IF(A25="","",Calculation!P31)</f>
        <v/>
      </c>
      <c r="J25" s="387" t="str">
        <f>IF(A25="","",HLOOKUP(LEFT(Calculation!BO31,7),LookUps!$C$38:$M$41,4))</f>
        <v/>
      </c>
      <c r="K25" s="387" t="str">
        <f>IF(A25="","",Calculation!M31)</f>
        <v/>
      </c>
      <c r="L25" s="387" t="str">
        <f>IF(A25="","",Calculation!S31)</f>
        <v/>
      </c>
      <c r="M25" s="389" t="str">
        <f>IF(A25="","",Calculation!N31)</f>
        <v/>
      </c>
      <c r="N25" s="390" t="str">
        <f>IF(A25="","",Calculation!R31)</f>
        <v/>
      </c>
      <c r="O25" s="391" t="str">
        <f>IF(A25="","",Calculation!$F$6)</f>
        <v/>
      </c>
      <c r="P25" s="392" t="str">
        <f>IF(A25="","",Calculation!$F$7)</f>
        <v/>
      </c>
      <c r="Q25" s="393" t="str">
        <f>IF(A25="","",Calculation!$F$13)</f>
        <v/>
      </c>
      <c r="R25" s="394" t="str">
        <f>IF(A25="","",Calculation!X31)</f>
        <v/>
      </c>
      <c r="S25" s="393" t="str">
        <f>IF(A25="","",Calculation!T31)</f>
        <v/>
      </c>
      <c r="T25" s="395" t="str">
        <f>IF(A25="","",IF(Calculation!$O$8="None","Water",CONCATENATE(Calculation!$O$8,"-",Calculation!$S$8,"%")))</f>
        <v/>
      </c>
      <c r="U25" s="393" t="str">
        <f>IF(A25="","",Calculation!$P$6)</f>
        <v/>
      </c>
      <c r="V25" s="393" t="str">
        <f>IF(A25="","",Calculation!AT31)</f>
        <v/>
      </c>
      <c r="W25" s="396" t="str">
        <f>IF(A25="","",Calculation!AP31)</f>
        <v/>
      </c>
      <c r="X25" s="396" t="str">
        <f>IF(A25="","",Calculation!AO31)</f>
        <v/>
      </c>
      <c r="Y25" s="396" t="str">
        <f>IF(A25="","",Calculation!AQ31)</f>
        <v/>
      </c>
      <c r="Z25" s="396" t="str">
        <f>IF(A25="","",Calculation!$H$6)</f>
        <v/>
      </c>
      <c r="AA25" s="397" t="str">
        <f>IF(A25="","",Calculation!$H$13)</f>
        <v/>
      </c>
      <c r="AB25" s="397" t="str">
        <f>IF(A25="","",Calculation!U31)</f>
        <v/>
      </c>
      <c r="AC25" s="398" t="str">
        <f>IF(A25="","",IF(Calculation!$O$9="None","Water",CONCATENATE(Calculation!$O$9,"-",Calculation!$S$9,"%")))</f>
        <v/>
      </c>
      <c r="AD25" s="396" t="str">
        <f>IF(A25="","",Calculation!$S$6)</f>
        <v/>
      </c>
      <c r="AE25" s="399" t="str">
        <f>IF(A25="","",Calculation!BA31)</f>
        <v/>
      </c>
      <c r="AF25" s="396" t="str">
        <f>IF(A25="","",Calculation!AX31)</f>
        <v/>
      </c>
      <c r="AG25" s="396" t="str">
        <f>IF(A25="","",Calculation!AW31)</f>
        <v/>
      </c>
      <c r="AH25" s="391" t="str">
        <f>IF(A25="","",Calculation!AY31)</f>
        <v/>
      </c>
      <c r="AI25" s="391" t="str">
        <f>IF(A25="","",Calculation!Y31)</f>
        <v/>
      </c>
      <c r="AJ25" s="401" t="str">
        <f>IF(Calculation!BD31&gt;0,Calculation!BD31," ")</f>
        <v xml:space="preserve"> </v>
      </c>
      <c r="AK25" s="401" t="str">
        <f>IF(Calculation!BD31&gt;0,Calculation!BE31," ")</f>
        <v xml:space="preserve"> </v>
      </c>
      <c r="AL25" s="401" t="str">
        <f>IF(Calculation!BD31&gt;0,Calculation!BF31," ")</f>
        <v xml:space="preserve"> </v>
      </c>
      <c r="AM25" s="401" t="str">
        <f>IF(Calculation!BD31&gt;0,Calculation!BG31," ")</f>
        <v xml:space="preserve"> </v>
      </c>
      <c r="AN25" s="391" t="str">
        <f>IF(Calculation!BH31="N/A","N/A",Calculation!BH31)</f>
        <v xml:space="preserve"> </v>
      </c>
      <c r="AO25" s="402" t="str">
        <f>IF(Calculation!BI31="N/A","N/A",Calculation!BI31)</f>
        <v/>
      </c>
      <c r="AP25" s="391" t="str">
        <f>IF(Calculation!BJ31="N/A","N/A",Calculation!BJ31)</f>
        <v/>
      </c>
      <c r="AQ25" s="402" t="str">
        <f>IF(Calculation!BK31="N/A","N/A",Calculation!BK31)</f>
        <v/>
      </c>
      <c r="AR25" s="391" t="str">
        <f>IF(Calculation!BL31="N/A","N/A",Calculation!BL31)</f>
        <v/>
      </c>
      <c r="AS25" s="402" t="str">
        <f>IF(Calculation!BM31="N/A","N/A",Calculation!BM31)</f>
        <v/>
      </c>
      <c r="AT25" s="400"/>
    </row>
    <row r="26" spans="1:46" ht="12.75" customHeight="1">
      <c r="A26" s="224" t="str">
        <f>IF(Calculation!BN32="","",CONCATENATE(Calculation!BO32,"-",Calculation!R32,"-",Calculation!S32,"-",Calculation!T32,"-",Calculation!U32))</f>
        <v/>
      </c>
      <c r="B26" s="224">
        <v>11</v>
      </c>
      <c r="C26" s="629" t="str">
        <f>IF(A26="","",Calculation!B32)</f>
        <v/>
      </c>
      <c r="D26" s="386" t="str">
        <f>IF(A26="","",Calculation!L32)</f>
        <v/>
      </c>
      <c r="E26" s="387" t="str">
        <f>IF(A26="","",Calculation!J32)</f>
        <v/>
      </c>
      <c r="F26" s="387" t="str">
        <f>IF(A26="","",Calculation!C32)</f>
        <v/>
      </c>
      <c r="G26" s="387" t="str">
        <f>IF(A26="","",LEFT(Calculation!O32,6))</f>
        <v/>
      </c>
      <c r="H26" s="388" t="str">
        <f>IF(A26="","",Calculation!DX32)</f>
        <v/>
      </c>
      <c r="I26" s="387" t="str">
        <f>IF(A26="","",Calculation!P32)</f>
        <v/>
      </c>
      <c r="J26" s="387" t="str">
        <f>IF(A26="","",HLOOKUP(LEFT(Calculation!BO32,7),LookUps!$C$38:$M$41,4))</f>
        <v/>
      </c>
      <c r="K26" s="387" t="str">
        <f>IF(A26="","",Calculation!M32)</f>
        <v/>
      </c>
      <c r="L26" s="387" t="str">
        <f>IF(A26="","",Calculation!S32)</f>
        <v/>
      </c>
      <c r="M26" s="389" t="str">
        <f>IF(A26="","",Calculation!N32)</f>
        <v/>
      </c>
      <c r="N26" s="390" t="str">
        <f>IF(A26="","",Calculation!R32)</f>
        <v/>
      </c>
      <c r="O26" s="391" t="str">
        <f>IF(A26="","",Calculation!$F$6)</f>
        <v/>
      </c>
      <c r="P26" s="392" t="str">
        <f>IF(A26="","",Calculation!$F$7)</f>
        <v/>
      </c>
      <c r="Q26" s="393" t="str">
        <f>IF(A26="","",Calculation!$F$13)</f>
        <v/>
      </c>
      <c r="R26" s="394" t="str">
        <f>IF(A26="","",Calculation!X32)</f>
        <v/>
      </c>
      <c r="S26" s="393" t="str">
        <f>IF(A26="","",Calculation!T32)</f>
        <v/>
      </c>
      <c r="T26" s="395" t="str">
        <f>IF(A26="","",IF(Calculation!$O$8="None","Water",CONCATENATE(Calculation!$O$8,"-",Calculation!$S$8,"%")))</f>
        <v/>
      </c>
      <c r="U26" s="393" t="str">
        <f>IF(A26="","",Calculation!$P$6)</f>
        <v/>
      </c>
      <c r="V26" s="393" t="str">
        <f>IF(A26="","",Calculation!AT32)</f>
        <v/>
      </c>
      <c r="W26" s="396" t="str">
        <f>IF(A26="","",Calculation!AP32)</f>
        <v/>
      </c>
      <c r="X26" s="396" t="str">
        <f>IF(A26="","",Calculation!AO32)</f>
        <v/>
      </c>
      <c r="Y26" s="396" t="str">
        <f>IF(A26="","",Calculation!AQ32)</f>
        <v/>
      </c>
      <c r="Z26" s="396" t="str">
        <f>IF(A26="","",Calculation!$H$6)</f>
        <v/>
      </c>
      <c r="AA26" s="397" t="str">
        <f>IF(A26="","",Calculation!$H$13)</f>
        <v/>
      </c>
      <c r="AB26" s="397" t="str">
        <f>IF(A26="","",Calculation!U32)</f>
        <v/>
      </c>
      <c r="AC26" s="398" t="str">
        <f>IF(A26="","",IF(Calculation!$O$9="None","Water",CONCATENATE(Calculation!$O$9,"-",Calculation!$S$9,"%")))</f>
        <v/>
      </c>
      <c r="AD26" s="396" t="str">
        <f>IF(A26="","",Calculation!$S$6)</f>
        <v/>
      </c>
      <c r="AE26" s="399" t="str">
        <f>IF(A26="","",Calculation!BA32)</f>
        <v/>
      </c>
      <c r="AF26" s="396" t="str">
        <f>IF(A26="","",Calculation!AX32)</f>
        <v/>
      </c>
      <c r="AG26" s="396" t="str">
        <f>IF(A26="","",Calculation!AW32)</f>
        <v/>
      </c>
      <c r="AH26" s="391" t="str">
        <f>IF(A26="","",Calculation!AY32)</f>
        <v/>
      </c>
      <c r="AI26" s="391" t="str">
        <f>IF(A26="","",Calculation!Y32)</f>
        <v/>
      </c>
      <c r="AJ26" s="401" t="str">
        <f>IF(Calculation!BD32&gt;0,Calculation!BD32," ")</f>
        <v xml:space="preserve"> </v>
      </c>
      <c r="AK26" s="401" t="str">
        <f>IF(Calculation!BD32&gt;0,Calculation!BE32," ")</f>
        <v xml:space="preserve"> </v>
      </c>
      <c r="AL26" s="401" t="str">
        <f>IF(Calculation!BD32&gt;0,Calculation!BF32," ")</f>
        <v xml:space="preserve"> </v>
      </c>
      <c r="AM26" s="401" t="str">
        <f>IF(Calculation!BD32&gt;0,Calculation!BG32," ")</f>
        <v xml:space="preserve"> </v>
      </c>
      <c r="AN26" s="391" t="str">
        <f>IF(Calculation!BH32="N/A","N/A",Calculation!BH32)</f>
        <v xml:space="preserve"> </v>
      </c>
      <c r="AO26" s="402" t="str">
        <f>IF(Calculation!BI32="N/A","N/A",Calculation!BI32)</f>
        <v/>
      </c>
      <c r="AP26" s="391" t="str">
        <f>IF(Calculation!BJ32="N/A","N/A",Calculation!BJ32)</f>
        <v/>
      </c>
      <c r="AQ26" s="402" t="str">
        <f>IF(Calculation!BK32="N/A","N/A",Calculation!BK32)</f>
        <v/>
      </c>
      <c r="AR26" s="391" t="str">
        <f>IF(Calculation!BL32="N/A","N/A",Calculation!BL32)</f>
        <v/>
      </c>
      <c r="AS26" s="402" t="str">
        <f>IF(Calculation!BM32="N/A","N/A",Calculation!BM32)</f>
        <v/>
      </c>
      <c r="AT26" s="400"/>
    </row>
    <row r="27" spans="1:46" ht="12.75" customHeight="1">
      <c r="A27" s="224" t="str">
        <f>IF(Calculation!BN33="","",CONCATENATE(Calculation!BO33,"-",Calculation!R33,"-",Calculation!S33,"-",Calculation!T33,"-",Calculation!U33))</f>
        <v/>
      </c>
      <c r="B27" s="224">
        <v>12</v>
      </c>
      <c r="C27" s="629" t="str">
        <f>IF(A27="","",Calculation!B33)</f>
        <v/>
      </c>
      <c r="D27" s="386" t="str">
        <f>IF(A27="","",Calculation!L33)</f>
        <v/>
      </c>
      <c r="E27" s="387" t="str">
        <f>IF(A27="","",Calculation!J33)</f>
        <v/>
      </c>
      <c r="F27" s="387" t="str">
        <f>IF(A27="","",Calculation!C33)</f>
        <v/>
      </c>
      <c r="G27" s="387" t="str">
        <f>IF(A27="","",LEFT(Calculation!O33,6))</f>
        <v/>
      </c>
      <c r="H27" s="388" t="str">
        <f>IF(A27="","",Calculation!DX33)</f>
        <v/>
      </c>
      <c r="I27" s="387" t="str">
        <f>IF(A27="","",Calculation!P33)</f>
        <v/>
      </c>
      <c r="J27" s="387" t="str">
        <f>IF(A27="","",HLOOKUP(LEFT(Calculation!BO33,7),LookUps!$C$38:$M$41,4))</f>
        <v/>
      </c>
      <c r="K27" s="387" t="str">
        <f>IF(A27="","",Calculation!M33)</f>
        <v/>
      </c>
      <c r="L27" s="387" t="str">
        <f>IF(A27="","",Calculation!S33)</f>
        <v/>
      </c>
      <c r="M27" s="389" t="str">
        <f>IF(A27="","",Calculation!N33)</f>
        <v/>
      </c>
      <c r="N27" s="390" t="str">
        <f>IF(A27="","",Calculation!R33)</f>
        <v/>
      </c>
      <c r="O27" s="391" t="str">
        <f>IF(A27="","",Calculation!$F$6)</f>
        <v/>
      </c>
      <c r="P27" s="392" t="str">
        <f>IF(A27="","",Calculation!$F$7)</f>
        <v/>
      </c>
      <c r="Q27" s="393" t="str">
        <f>IF(A27="","",Calculation!$F$13)</f>
        <v/>
      </c>
      <c r="R27" s="394" t="str">
        <f>IF(A27="","",Calculation!X33)</f>
        <v/>
      </c>
      <c r="S27" s="393" t="str">
        <f>IF(A27="","",Calculation!T33)</f>
        <v/>
      </c>
      <c r="T27" s="395" t="str">
        <f>IF(A27="","",IF(Calculation!$O$8="None","Water",CONCATENATE(Calculation!$O$8,"-",Calculation!$S$8,"%")))</f>
        <v/>
      </c>
      <c r="U27" s="393" t="str">
        <f>IF(A27="","",Calculation!$P$6)</f>
        <v/>
      </c>
      <c r="V27" s="393" t="str">
        <f>IF(A27="","",Calculation!AT33)</f>
        <v/>
      </c>
      <c r="W27" s="396" t="str">
        <f>IF(A27="","",Calculation!AP33)</f>
        <v/>
      </c>
      <c r="X27" s="396" t="str">
        <f>IF(A27="","",Calculation!AO33)</f>
        <v/>
      </c>
      <c r="Y27" s="396" t="str">
        <f>IF(A27="","",Calculation!AQ33)</f>
        <v/>
      </c>
      <c r="Z27" s="396" t="str">
        <f>IF(A27="","",Calculation!$H$6)</f>
        <v/>
      </c>
      <c r="AA27" s="397" t="str">
        <f>IF(A27="","",Calculation!$H$13)</f>
        <v/>
      </c>
      <c r="AB27" s="397" t="str">
        <f>IF(A27="","",Calculation!U33)</f>
        <v/>
      </c>
      <c r="AC27" s="398" t="str">
        <f>IF(A27="","",IF(Calculation!$O$9="None","Water",CONCATENATE(Calculation!$O$9,"-",Calculation!$S$9,"%")))</f>
        <v/>
      </c>
      <c r="AD27" s="396" t="str">
        <f>IF(A27="","",Calculation!$S$6)</f>
        <v/>
      </c>
      <c r="AE27" s="399" t="str">
        <f>IF(A27="","",Calculation!BA33)</f>
        <v/>
      </c>
      <c r="AF27" s="396" t="str">
        <f>IF(A27="","",Calculation!AX33)</f>
        <v/>
      </c>
      <c r="AG27" s="396" t="str">
        <f>IF(A27="","",Calculation!AW33)</f>
        <v/>
      </c>
      <c r="AH27" s="391" t="str">
        <f>IF(A27="","",Calculation!AY33)</f>
        <v/>
      </c>
      <c r="AI27" s="391" t="str">
        <f>IF(A27="","",Calculation!Y33)</f>
        <v/>
      </c>
      <c r="AJ27" s="401" t="str">
        <f>IF(Calculation!BD33&gt;0,Calculation!BD33," ")</f>
        <v xml:space="preserve"> </v>
      </c>
      <c r="AK27" s="401" t="str">
        <f>IF(Calculation!BD33&gt;0,Calculation!BE33," ")</f>
        <v xml:space="preserve"> </v>
      </c>
      <c r="AL27" s="401" t="str">
        <f>IF(Calculation!BD33&gt;0,Calculation!BF33," ")</f>
        <v xml:space="preserve"> </v>
      </c>
      <c r="AM27" s="401" t="str">
        <f>IF(Calculation!BD33&gt;0,Calculation!BG33," ")</f>
        <v xml:space="preserve"> </v>
      </c>
      <c r="AN27" s="391" t="str">
        <f>IF(Calculation!BH33="N/A","N/A",Calculation!BH33)</f>
        <v xml:space="preserve"> </v>
      </c>
      <c r="AO27" s="402" t="str">
        <f>IF(Calculation!BI33="N/A","N/A",Calculation!BI33)</f>
        <v/>
      </c>
      <c r="AP27" s="391" t="str">
        <f>IF(Calculation!BJ33="N/A","N/A",Calculation!BJ33)</f>
        <v/>
      </c>
      <c r="AQ27" s="402" t="str">
        <f>IF(Calculation!BK33="N/A","N/A",Calculation!BK33)</f>
        <v/>
      </c>
      <c r="AR27" s="391" t="str">
        <f>IF(Calculation!BL33="N/A","N/A",Calculation!BL33)</f>
        <v/>
      </c>
      <c r="AS27" s="402" t="str">
        <f>IF(Calculation!BM33="N/A","N/A",Calculation!BM33)</f>
        <v/>
      </c>
      <c r="AT27" s="400"/>
    </row>
    <row r="28" spans="1:46" ht="12.75" customHeight="1">
      <c r="A28" s="224" t="str">
        <f>IF(Calculation!BN34="","",CONCATENATE(Calculation!BO34,"-",Calculation!R34,"-",Calculation!S34,"-",Calculation!T34,"-",Calculation!U34))</f>
        <v/>
      </c>
      <c r="B28" s="224">
        <v>13</v>
      </c>
      <c r="C28" s="629" t="str">
        <f>IF(A28="","",Calculation!B34)</f>
        <v/>
      </c>
      <c r="D28" s="386" t="str">
        <f>IF(A28="","",Calculation!L34)</f>
        <v/>
      </c>
      <c r="E28" s="387" t="str">
        <f>IF(A28="","",Calculation!J34)</f>
        <v/>
      </c>
      <c r="F28" s="387" t="str">
        <f>IF(A28="","",Calculation!C34)</f>
        <v/>
      </c>
      <c r="G28" s="387" t="str">
        <f>IF(A28="","",LEFT(Calculation!O34,6))</f>
        <v/>
      </c>
      <c r="H28" s="388" t="str">
        <f>IF(A28="","",Calculation!DX34)</f>
        <v/>
      </c>
      <c r="I28" s="387" t="str">
        <f>IF(A28="","",Calculation!P34)</f>
        <v/>
      </c>
      <c r="J28" s="387" t="str">
        <f>IF(A28="","",HLOOKUP(LEFT(Calculation!BO34,7),LookUps!$C$38:$M$41,4))</f>
        <v/>
      </c>
      <c r="K28" s="387" t="str">
        <f>IF(A28="","",Calculation!M34)</f>
        <v/>
      </c>
      <c r="L28" s="387" t="str">
        <f>IF(A28="","",Calculation!S34)</f>
        <v/>
      </c>
      <c r="M28" s="389" t="str">
        <f>IF(A28="","",Calculation!N34)</f>
        <v/>
      </c>
      <c r="N28" s="390" t="str">
        <f>IF(A28="","",Calculation!R34)</f>
        <v/>
      </c>
      <c r="O28" s="391" t="str">
        <f>IF(A28="","",Calculation!$F$6)</f>
        <v/>
      </c>
      <c r="P28" s="392" t="str">
        <f>IF(A28="","",Calculation!$F$7)</f>
        <v/>
      </c>
      <c r="Q28" s="393" t="str">
        <f>IF(A28="","",Calculation!$F$13)</f>
        <v/>
      </c>
      <c r="R28" s="394" t="str">
        <f>IF(A28="","",Calculation!X34)</f>
        <v/>
      </c>
      <c r="S28" s="393" t="str">
        <f>IF(A28="","",Calculation!T34)</f>
        <v/>
      </c>
      <c r="T28" s="395" t="str">
        <f>IF(A28="","",IF(Calculation!$O$8="None","Water",CONCATENATE(Calculation!$O$8,"-",Calculation!$S$8,"%")))</f>
        <v/>
      </c>
      <c r="U28" s="393" t="str">
        <f>IF(A28="","",Calculation!$P$6)</f>
        <v/>
      </c>
      <c r="V28" s="393" t="str">
        <f>IF(A28="","",Calculation!AT34)</f>
        <v/>
      </c>
      <c r="W28" s="396" t="str">
        <f>IF(A28="","",Calculation!AP34)</f>
        <v/>
      </c>
      <c r="X28" s="396" t="str">
        <f>IF(A28="","",Calculation!AO34)</f>
        <v/>
      </c>
      <c r="Y28" s="396" t="str">
        <f>IF(A28="","",Calculation!AQ34)</f>
        <v/>
      </c>
      <c r="Z28" s="396" t="str">
        <f>IF(A28="","",Calculation!$H$6)</f>
        <v/>
      </c>
      <c r="AA28" s="397" t="str">
        <f>IF(A28="","",Calculation!$H$13)</f>
        <v/>
      </c>
      <c r="AB28" s="397" t="str">
        <f>IF(A28="","",Calculation!U34)</f>
        <v/>
      </c>
      <c r="AC28" s="398" t="str">
        <f>IF(A28="","",IF(Calculation!$O$9="None","Water",CONCATENATE(Calculation!$O$9,"-",Calculation!$S$9,"%")))</f>
        <v/>
      </c>
      <c r="AD28" s="396" t="str">
        <f>IF(A28="","",Calculation!$S$6)</f>
        <v/>
      </c>
      <c r="AE28" s="399" t="str">
        <f>IF(A28="","",Calculation!BA34)</f>
        <v/>
      </c>
      <c r="AF28" s="396" t="str">
        <f>IF(A28="","",Calculation!AX34)</f>
        <v/>
      </c>
      <c r="AG28" s="396" t="str">
        <f>IF(A28="","",Calculation!AW34)</f>
        <v/>
      </c>
      <c r="AH28" s="391" t="str">
        <f>IF(A28="","",Calculation!AY34)</f>
        <v/>
      </c>
      <c r="AI28" s="391" t="str">
        <f>IF(A28="","",Calculation!Y34)</f>
        <v/>
      </c>
      <c r="AJ28" s="401" t="str">
        <f>IF(Calculation!BD34&gt;0,Calculation!BD34," ")</f>
        <v xml:space="preserve"> </v>
      </c>
      <c r="AK28" s="401" t="str">
        <f>IF(Calculation!BD34&gt;0,Calculation!BE34," ")</f>
        <v xml:space="preserve"> </v>
      </c>
      <c r="AL28" s="401" t="str">
        <f>IF(Calculation!BD34&gt;0,Calculation!BF34," ")</f>
        <v xml:space="preserve"> </v>
      </c>
      <c r="AM28" s="401" t="str">
        <f>IF(Calculation!BD34&gt;0,Calculation!BG34," ")</f>
        <v xml:space="preserve"> </v>
      </c>
      <c r="AN28" s="391" t="str">
        <f>IF(Calculation!BH34="N/A","N/A",Calculation!BH34)</f>
        <v xml:space="preserve"> </v>
      </c>
      <c r="AO28" s="402" t="str">
        <f>IF(Calculation!BI34="N/A","N/A",Calculation!BI34)</f>
        <v/>
      </c>
      <c r="AP28" s="391" t="str">
        <f>IF(Calculation!BJ34="N/A","N/A",Calculation!BJ34)</f>
        <v/>
      </c>
      <c r="AQ28" s="402" t="str">
        <f>IF(Calculation!BK34="N/A","N/A",Calculation!BK34)</f>
        <v/>
      </c>
      <c r="AR28" s="391" t="str">
        <f>IF(Calculation!BL34="N/A","N/A",Calculation!BL34)</f>
        <v/>
      </c>
      <c r="AS28" s="402" t="str">
        <f>IF(Calculation!BM34="N/A","N/A",Calculation!BM34)</f>
        <v/>
      </c>
      <c r="AT28" s="400"/>
    </row>
    <row r="29" spans="1:46" ht="12.75" customHeight="1">
      <c r="A29" s="224" t="str">
        <f>IF(Calculation!BN35="","",CONCATENATE(Calculation!BO35,"-",Calculation!R35,"-",Calculation!S35,"-",Calculation!T35,"-",Calculation!U35))</f>
        <v/>
      </c>
      <c r="B29" s="224">
        <v>14</v>
      </c>
      <c r="C29" s="629" t="str">
        <f>IF(A29="","",Calculation!B35)</f>
        <v/>
      </c>
      <c r="D29" s="386" t="str">
        <f>IF(A29="","",Calculation!L35)</f>
        <v/>
      </c>
      <c r="E29" s="387" t="str">
        <f>IF(A29="","",Calculation!J35)</f>
        <v/>
      </c>
      <c r="F29" s="387" t="str">
        <f>IF(A29="","",Calculation!C35)</f>
        <v/>
      </c>
      <c r="G29" s="387" t="str">
        <f>IF(A29="","",LEFT(Calculation!O35,6))</f>
        <v/>
      </c>
      <c r="H29" s="388" t="str">
        <f>IF(A29="","",Calculation!DX35)</f>
        <v/>
      </c>
      <c r="I29" s="387" t="str">
        <f>IF(A29="","",Calculation!P35)</f>
        <v/>
      </c>
      <c r="J29" s="387" t="str">
        <f>IF(A29="","",HLOOKUP(LEFT(Calculation!BO35,7),LookUps!$C$38:$M$41,4))</f>
        <v/>
      </c>
      <c r="K29" s="387" t="str">
        <f>IF(A29="","",Calculation!M35)</f>
        <v/>
      </c>
      <c r="L29" s="387" t="str">
        <f>IF(A29="","",Calculation!S35)</f>
        <v/>
      </c>
      <c r="M29" s="389" t="str">
        <f>IF(A29="","",Calculation!N35)</f>
        <v/>
      </c>
      <c r="N29" s="390" t="str">
        <f>IF(A29="","",Calculation!R35)</f>
        <v/>
      </c>
      <c r="O29" s="391" t="str">
        <f>IF(A29="","",Calculation!$F$6)</f>
        <v/>
      </c>
      <c r="P29" s="392" t="str">
        <f>IF(A29="","",Calculation!$F$7)</f>
        <v/>
      </c>
      <c r="Q29" s="393" t="str">
        <f>IF(A29="","",Calculation!$F$13)</f>
        <v/>
      </c>
      <c r="R29" s="394" t="str">
        <f>IF(A29="","",Calculation!X35)</f>
        <v/>
      </c>
      <c r="S29" s="393" t="str">
        <f>IF(A29="","",Calculation!T35)</f>
        <v/>
      </c>
      <c r="T29" s="395" t="str">
        <f>IF(A29="","",IF(Calculation!$O$8="None","Water",CONCATENATE(Calculation!$O$8,"-",Calculation!$S$8,"%")))</f>
        <v/>
      </c>
      <c r="U29" s="393" t="str">
        <f>IF(A29="","",Calculation!$P$6)</f>
        <v/>
      </c>
      <c r="V29" s="393" t="str">
        <f>IF(A29="","",Calculation!AT35)</f>
        <v/>
      </c>
      <c r="W29" s="396" t="str">
        <f>IF(A29="","",Calculation!AP35)</f>
        <v/>
      </c>
      <c r="X29" s="396" t="str">
        <f>IF(A29="","",Calculation!AO35)</f>
        <v/>
      </c>
      <c r="Y29" s="396" t="str">
        <f>IF(A29="","",Calculation!AQ35)</f>
        <v/>
      </c>
      <c r="Z29" s="396" t="str">
        <f>IF(A29="","",Calculation!$H$6)</f>
        <v/>
      </c>
      <c r="AA29" s="397" t="str">
        <f>IF(A29="","",Calculation!$H$13)</f>
        <v/>
      </c>
      <c r="AB29" s="397" t="str">
        <f>IF(A29="","",Calculation!U35)</f>
        <v/>
      </c>
      <c r="AC29" s="398" t="str">
        <f>IF(A29="","",IF(Calculation!$O$9="None","Water",CONCATENATE(Calculation!$O$9,"-",Calculation!$S$9,"%")))</f>
        <v/>
      </c>
      <c r="AD29" s="396" t="str">
        <f>IF(A29="","",Calculation!$S$6)</f>
        <v/>
      </c>
      <c r="AE29" s="399" t="str">
        <f>IF(A29="","",Calculation!BA35)</f>
        <v/>
      </c>
      <c r="AF29" s="396" t="str">
        <f>IF(A29="","",Calculation!AX35)</f>
        <v/>
      </c>
      <c r="AG29" s="396" t="str">
        <f>IF(A29="","",Calculation!AW35)</f>
        <v/>
      </c>
      <c r="AH29" s="391" t="str">
        <f>IF(A29="","",Calculation!AY35)</f>
        <v/>
      </c>
      <c r="AI29" s="391" t="str">
        <f>IF(A29="","",Calculation!Y35)</f>
        <v/>
      </c>
      <c r="AJ29" s="401" t="str">
        <f>IF(Calculation!BD35&gt;0,Calculation!BD35," ")</f>
        <v xml:space="preserve"> </v>
      </c>
      <c r="AK29" s="401" t="str">
        <f>IF(Calculation!BD35&gt;0,Calculation!BE35," ")</f>
        <v xml:space="preserve"> </v>
      </c>
      <c r="AL29" s="401" t="str">
        <f>IF(Calculation!BD35&gt;0,Calculation!BF35," ")</f>
        <v xml:space="preserve"> </v>
      </c>
      <c r="AM29" s="401" t="str">
        <f>IF(Calculation!BD35&gt;0,Calculation!BG35," ")</f>
        <v xml:space="preserve"> </v>
      </c>
      <c r="AN29" s="391" t="str">
        <f>IF(Calculation!BH35="N/A","N/A",Calculation!BH35)</f>
        <v xml:space="preserve"> </v>
      </c>
      <c r="AO29" s="402" t="str">
        <f>IF(Calculation!BI35="N/A","N/A",Calculation!BI35)</f>
        <v/>
      </c>
      <c r="AP29" s="391" t="str">
        <f>IF(Calculation!BJ35="N/A","N/A",Calculation!BJ35)</f>
        <v/>
      </c>
      <c r="AQ29" s="402" t="str">
        <f>IF(Calculation!BK35="N/A","N/A",Calculation!BK35)</f>
        <v/>
      </c>
      <c r="AR29" s="391" t="str">
        <f>IF(Calculation!BL35="N/A","N/A",Calculation!BL35)</f>
        <v/>
      </c>
      <c r="AS29" s="402" t="str">
        <f>IF(Calculation!BM35="N/A","N/A",Calculation!BM35)</f>
        <v/>
      </c>
      <c r="AT29" s="400"/>
    </row>
    <row r="30" spans="1:46" ht="12.75" customHeight="1">
      <c r="A30" s="224" t="str">
        <f>IF(Calculation!BN36="","",CONCATENATE(Calculation!BO36,"-",Calculation!R36,"-",Calculation!S36,"-",Calculation!T36,"-",Calculation!U36))</f>
        <v/>
      </c>
      <c r="B30" s="224">
        <v>15</v>
      </c>
      <c r="C30" s="629" t="str">
        <f>IF(A30="","",Calculation!B36)</f>
        <v/>
      </c>
      <c r="D30" s="386" t="str">
        <f>IF(A30="","",Calculation!L36)</f>
        <v/>
      </c>
      <c r="E30" s="387" t="str">
        <f>IF(A30="","",Calculation!J36)</f>
        <v/>
      </c>
      <c r="F30" s="387" t="str">
        <f>IF(A30="","",Calculation!C36)</f>
        <v/>
      </c>
      <c r="G30" s="387" t="str">
        <f>IF(A30="","",LEFT(Calculation!O36,6))</f>
        <v/>
      </c>
      <c r="H30" s="388" t="str">
        <f>IF(A30="","",Calculation!DX36)</f>
        <v/>
      </c>
      <c r="I30" s="387" t="str">
        <f>IF(A30="","",Calculation!P36)</f>
        <v/>
      </c>
      <c r="J30" s="387" t="str">
        <f>IF(A30="","",HLOOKUP(LEFT(Calculation!BO36,7),LookUps!$C$38:$M$41,4))</f>
        <v/>
      </c>
      <c r="K30" s="387" t="str">
        <f>IF(A30="","",Calculation!M36)</f>
        <v/>
      </c>
      <c r="L30" s="387" t="str">
        <f>IF(A30="","",Calculation!S36)</f>
        <v/>
      </c>
      <c r="M30" s="389" t="str">
        <f>IF(A30="","",Calculation!N36)</f>
        <v/>
      </c>
      <c r="N30" s="390" t="str">
        <f>IF(A30="","",Calculation!R36)</f>
        <v/>
      </c>
      <c r="O30" s="391" t="str">
        <f>IF(A30="","",Calculation!$F$6)</f>
        <v/>
      </c>
      <c r="P30" s="392" t="str">
        <f>IF(A30="","",Calculation!$F$7)</f>
        <v/>
      </c>
      <c r="Q30" s="393" t="str">
        <f>IF(A30="","",Calculation!$F$13)</f>
        <v/>
      </c>
      <c r="R30" s="394" t="str">
        <f>IF(A30="","",Calculation!X36)</f>
        <v/>
      </c>
      <c r="S30" s="393" t="str">
        <f>IF(A30="","",Calculation!T36)</f>
        <v/>
      </c>
      <c r="T30" s="395" t="str">
        <f>IF(A30="","",IF(Calculation!$O$8="None","Water",CONCATENATE(Calculation!$O$8,"-",Calculation!$S$8,"%")))</f>
        <v/>
      </c>
      <c r="U30" s="393" t="str">
        <f>IF(A30="","",Calculation!$P$6)</f>
        <v/>
      </c>
      <c r="V30" s="393" t="str">
        <f>IF(A30="","",Calculation!AT36)</f>
        <v/>
      </c>
      <c r="W30" s="396" t="str">
        <f>IF(A30="","",Calculation!AP36)</f>
        <v/>
      </c>
      <c r="X30" s="396" t="str">
        <f>IF(A30="","",Calculation!AO36)</f>
        <v/>
      </c>
      <c r="Y30" s="396" t="str">
        <f>IF(A30="","",Calculation!AQ36)</f>
        <v/>
      </c>
      <c r="Z30" s="396" t="str">
        <f>IF(A30="","",Calculation!$H$6)</f>
        <v/>
      </c>
      <c r="AA30" s="397" t="str">
        <f>IF(A30="","",Calculation!$H$13)</f>
        <v/>
      </c>
      <c r="AB30" s="397" t="str">
        <f>IF(A30="","",Calculation!U36)</f>
        <v/>
      </c>
      <c r="AC30" s="398" t="str">
        <f>IF(A30="","",IF(Calculation!$O$9="None","Water",CONCATENATE(Calculation!$O$9,"-",Calculation!$S$9,"%")))</f>
        <v/>
      </c>
      <c r="AD30" s="396" t="str">
        <f>IF(A30="","",Calculation!$S$6)</f>
        <v/>
      </c>
      <c r="AE30" s="399" t="str">
        <f>IF(A30="","",Calculation!BA36)</f>
        <v/>
      </c>
      <c r="AF30" s="396" t="str">
        <f>IF(A30="","",Calculation!AX36)</f>
        <v/>
      </c>
      <c r="AG30" s="396" t="str">
        <f>IF(A30="","",Calculation!AW36)</f>
        <v/>
      </c>
      <c r="AH30" s="391" t="str">
        <f>IF(A30="","",Calculation!AY36)</f>
        <v/>
      </c>
      <c r="AI30" s="391" t="str">
        <f>IF(A30="","",Calculation!Y36)</f>
        <v/>
      </c>
      <c r="AJ30" s="401" t="str">
        <f>IF(Calculation!BD36&gt;0,Calculation!BD36," ")</f>
        <v xml:space="preserve"> </v>
      </c>
      <c r="AK30" s="401" t="str">
        <f>IF(Calculation!BD36&gt;0,Calculation!BE36," ")</f>
        <v xml:space="preserve"> </v>
      </c>
      <c r="AL30" s="401" t="str">
        <f>IF(Calculation!BD36&gt;0,Calculation!BF36," ")</f>
        <v xml:space="preserve"> </v>
      </c>
      <c r="AM30" s="401" t="str">
        <f>IF(Calculation!BD36&gt;0,Calculation!BG36," ")</f>
        <v xml:space="preserve"> </v>
      </c>
      <c r="AN30" s="391" t="str">
        <f>IF(Calculation!BH36="N/A","N/A",Calculation!BH36)</f>
        <v xml:space="preserve"> </v>
      </c>
      <c r="AO30" s="402" t="str">
        <f>IF(Calculation!BI36="N/A","N/A",Calculation!BI36)</f>
        <v/>
      </c>
      <c r="AP30" s="391" t="str">
        <f>IF(Calculation!BJ36="N/A","N/A",Calculation!BJ36)</f>
        <v/>
      </c>
      <c r="AQ30" s="402" t="str">
        <f>IF(Calculation!BK36="N/A","N/A",Calculation!BK36)</f>
        <v/>
      </c>
      <c r="AR30" s="391" t="str">
        <f>IF(Calculation!BL36="N/A","N/A",Calculation!BL36)</f>
        <v/>
      </c>
      <c r="AS30" s="402" t="str">
        <f>IF(Calculation!BM36="N/A","N/A",Calculation!BM36)</f>
        <v/>
      </c>
      <c r="AT30" s="400"/>
    </row>
    <row r="31" spans="1:46" ht="12.75" customHeight="1">
      <c r="A31" s="224" t="str">
        <f>IF(Calculation!BN37="","",CONCATENATE(Calculation!BO37,"-",Calculation!R37,"-",Calculation!S37,"-",Calculation!T37,"-",Calculation!U37))</f>
        <v/>
      </c>
      <c r="B31" s="224">
        <v>16</v>
      </c>
      <c r="C31" s="629" t="str">
        <f>IF(A31="","",Calculation!B37)</f>
        <v/>
      </c>
      <c r="D31" s="386" t="str">
        <f>IF(A31="","",Calculation!L37)</f>
        <v/>
      </c>
      <c r="E31" s="387" t="str">
        <f>IF(A31="","",Calculation!J37)</f>
        <v/>
      </c>
      <c r="F31" s="387" t="str">
        <f>IF(A31="","",Calculation!C37)</f>
        <v/>
      </c>
      <c r="G31" s="387" t="str">
        <f>IF(A31="","",LEFT(Calculation!O37,6))</f>
        <v/>
      </c>
      <c r="H31" s="388" t="str">
        <f>IF(A31="","",Calculation!DX37)</f>
        <v/>
      </c>
      <c r="I31" s="387" t="str">
        <f>IF(A31="","",Calculation!P37)</f>
        <v/>
      </c>
      <c r="J31" s="387" t="str">
        <f>IF(A31="","",HLOOKUP(LEFT(Calculation!BO37,7),LookUps!$C$38:$M$41,4))</f>
        <v/>
      </c>
      <c r="K31" s="387" t="str">
        <f>IF(A31="","",Calculation!M37)</f>
        <v/>
      </c>
      <c r="L31" s="387" t="str">
        <f>IF(A31="","",Calculation!S37)</f>
        <v/>
      </c>
      <c r="M31" s="389" t="str">
        <f>IF(A31="","",Calculation!N37)</f>
        <v/>
      </c>
      <c r="N31" s="390" t="str">
        <f>IF(A31="","",Calculation!R37)</f>
        <v/>
      </c>
      <c r="O31" s="391" t="str">
        <f>IF(A31="","",Calculation!$F$6)</f>
        <v/>
      </c>
      <c r="P31" s="392" t="str">
        <f>IF(A31="","",Calculation!$F$7)</f>
        <v/>
      </c>
      <c r="Q31" s="393" t="str">
        <f>IF(A31="","",Calculation!$F$13)</f>
        <v/>
      </c>
      <c r="R31" s="394" t="str">
        <f>IF(A31="","",Calculation!X37)</f>
        <v/>
      </c>
      <c r="S31" s="393" t="str">
        <f>IF(A31="","",Calculation!T37)</f>
        <v/>
      </c>
      <c r="T31" s="395" t="str">
        <f>IF(A31="","",IF(Calculation!$O$8="None","Water",CONCATENATE(Calculation!$O$8,"-",Calculation!$S$8,"%")))</f>
        <v/>
      </c>
      <c r="U31" s="393" t="str">
        <f>IF(A31="","",Calculation!$P$6)</f>
        <v/>
      </c>
      <c r="V31" s="393" t="str">
        <f>IF(A31="","",Calculation!AT37)</f>
        <v/>
      </c>
      <c r="W31" s="396" t="str">
        <f>IF(A31="","",Calculation!AP37)</f>
        <v/>
      </c>
      <c r="X31" s="396" t="str">
        <f>IF(A31="","",Calculation!AO37)</f>
        <v/>
      </c>
      <c r="Y31" s="396" t="str">
        <f>IF(A31="","",Calculation!AQ37)</f>
        <v/>
      </c>
      <c r="Z31" s="396" t="str">
        <f>IF(A31="","",Calculation!$H$6)</f>
        <v/>
      </c>
      <c r="AA31" s="397" t="str">
        <f>IF(A31="","",Calculation!$H$13)</f>
        <v/>
      </c>
      <c r="AB31" s="397" t="str">
        <f>IF(A31="","",Calculation!U37)</f>
        <v/>
      </c>
      <c r="AC31" s="398" t="str">
        <f>IF(A31="","",IF(Calculation!$O$9="None","Water",CONCATENATE(Calculation!$O$9,"-",Calculation!$S$9,"%")))</f>
        <v/>
      </c>
      <c r="AD31" s="396" t="str">
        <f>IF(A31="","",Calculation!$S$6)</f>
        <v/>
      </c>
      <c r="AE31" s="399" t="str">
        <f>IF(A31="","",Calculation!BA37)</f>
        <v/>
      </c>
      <c r="AF31" s="396" t="str">
        <f>IF(A31="","",Calculation!AX37)</f>
        <v/>
      </c>
      <c r="AG31" s="396" t="str">
        <f>IF(A31="","",Calculation!AW37)</f>
        <v/>
      </c>
      <c r="AH31" s="391" t="str">
        <f>IF(A31="","",Calculation!AY37)</f>
        <v/>
      </c>
      <c r="AI31" s="391" t="str">
        <f>IF(A31="","",Calculation!Y37)</f>
        <v/>
      </c>
      <c r="AJ31" s="401" t="str">
        <f>IF(Calculation!BD37&gt;0,Calculation!BD37," ")</f>
        <v xml:space="preserve"> </v>
      </c>
      <c r="AK31" s="401" t="str">
        <f>IF(Calculation!BD37&gt;0,Calculation!BE37," ")</f>
        <v xml:space="preserve"> </v>
      </c>
      <c r="AL31" s="401" t="str">
        <f>IF(Calculation!BD37&gt;0,Calculation!BF37," ")</f>
        <v xml:space="preserve"> </v>
      </c>
      <c r="AM31" s="401" t="str">
        <f>IF(Calculation!BD37&gt;0,Calculation!BG37," ")</f>
        <v xml:space="preserve"> </v>
      </c>
      <c r="AN31" s="391" t="str">
        <f>IF(Calculation!BH37="N/A","N/A",Calculation!BH37)</f>
        <v xml:space="preserve"> </v>
      </c>
      <c r="AO31" s="402" t="str">
        <f>IF(Calculation!BI37="N/A","N/A",Calculation!BI37)</f>
        <v/>
      </c>
      <c r="AP31" s="391" t="str">
        <f>IF(Calculation!BJ37="N/A","N/A",Calculation!BJ37)</f>
        <v/>
      </c>
      <c r="AQ31" s="402" t="str">
        <f>IF(Calculation!BK37="N/A","N/A",Calculation!BK37)</f>
        <v/>
      </c>
      <c r="AR31" s="391" t="str">
        <f>IF(Calculation!BL37="N/A","N/A",Calculation!BL37)</f>
        <v/>
      </c>
      <c r="AS31" s="402" t="str">
        <f>IF(Calculation!BM37="N/A","N/A",Calculation!BM37)</f>
        <v/>
      </c>
      <c r="AT31" s="400"/>
    </row>
    <row r="32" spans="1:46" ht="12.75" customHeight="1">
      <c r="A32" s="224" t="str">
        <f>IF(Calculation!BN38="","",CONCATENATE(Calculation!BO38,"-",Calculation!R38,"-",Calculation!S38,"-",Calculation!T38,"-",Calculation!U38))</f>
        <v/>
      </c>
      <c r="B32" s="224">
        <v>17</v>
      </c>
      <c r="C32" s="629" t="str">
        <f>IF(A32="","",Calculation!B38)</f>
        <v/>
      </c>
      <c r="D32" s="386" t="str">
        <f>IF(A32="","",Calculation!L38)</f>
        <v/>
      </c>
      <c r="E32" s="387" t="str">
        <f>IF(A32="","",Calculation!J38)</f>
        <v/>
      </c>
      <c r="F32" s="387" t="str">
        <f>IF(A32="","",Calculation!C38)</f>
        <v/>
      </c>
      <c r="G32" s="387" t="str">
        <f>IF(A32="","",LEFT(Calculation!O38,6))</f>
        <v/>
      </c>
      <c r="H32" s="388" t="str">
        <f>IF(A32="","",Calculation!DX38)</f>
        <v/>
      </c>
      <c r="I32" s="387" t="str">
        <f>IF(A32="","",Calculation!P38)</f>
        <v/>
      </c>
      <c r="J32" s="387" t="str">
        <f>IF(A32="","",HLOOKUP(LEFT(Calculation!BO38,7),LookUps!$C$38:$M$41,4))</f>
        <v/>
      </c>
      <c r="K32" s="387" t="str">
        <f>IF(A32="","",Calculation!M38)</f>
        <v/>
      </c>
      <c r="L32" s="387" t="str">
        <f>IF(A32="","",Calculation!S38)</f>
        <v/>
      </c>
      <c r="M32" s="389" t="str">
        <f>IF(A32="","",Calculation!N38)</f>
        <v/>
      </c>
      <c r="N32" s="390" t="str">
        <f>IF(A32="","",Calculation!R38)</f>
        <v/>
      </c>
      <c r="O32" s="391" t="str">
        <f>IF(A32="","",Calculation!$F$6)</f>
        <v/>
      </c>
      <c r="P32" s="392" t="str">
        <f>IF(A32="","",Calculation!$F$7)</f>
        <v/>
      </c>
      <c r="Q32" s="393" t="str">
        <f>IF(A32="","",Calculation!$F$13)</f>
        <v/>
      </c>
      <c r="R32" s="394" t="str">
        <f>IF(A32="","",Calculation!X38)</f>
        <v/>
      </c>
      <c r="S32" s="393" t="str">
        <f>IF(A32="","",Calculation!T38)</f>
        <v/>
      </c>
      <c r="T32" s="395" t="str">
        <f>IF(A32="","",IF(Calculation!$O$8="None","Water",CONCATENATE(Calculation!$O$8,"-",Calculation!$S$8,"%")))</f>
        <v/>
      </c>
      <c r="U32" s="393" t="str">
        <f>IF(A32="","",Calculation!$P$6)</f>
        <v/>
      </c>
      <c r="V32" s="393" t="str">
        <f>IF(A32="","",Calculation!AT38)</f>
        <v/>
      </c>
      <c r="W32" s="396" t="str">
        <f>IF(A32="","",Calculation!AP38)</f>
        <v/>
      </c>
      <c r="X32" s="396" t="str">
        <f>IF(A32="","",Calculation!AO38)</f>
        <v/>
      </c>
      <c r="Y32" s="396" t="str">
        <f>IF(A32="","",Calculation!AQ38)</f>
        <v/>
      </c>
      <c r="Z32" s="396" t="str">
        <f>IF(A32="","",Calculation!$H$6)</f>
        <v/>
      </c>
      <c r="AA32" s="397" t="str">
        <f>IF(A32="","",Calculation!$H$13)</f>
        <v/>
      </c>
      <c r="AB32" s="397" t="str">
        <f>IF(A32="","",Calculation!U38)</f>
        <v/>
      </c>
      <c r="AC32" s="398" t="str">
        <f>IF(A32="","",IF(Calculation!$O$9="None","Water",CONCATENATE(Calculation!$O$9,"-",Calculation!$S$9,"%")))</f>
        <v/>
      </c>
      <c r="AD32" s="396" t="str">
        <f>IF(A32="","",Calculation!$S$6)</f>
        <v/>
      </c>
      <c r="AE32" s="399" t="str">
        <f>IF(A32="","",Calculation!BA38)</f>
        <v/>
      </c>
      <c r="AF32" s="396" t="str">
        <f>IF(A32="","",Calculation!AX38)</f>
        <v/>
      </c>
      <c r="AG32" s="396" t="str">
        <f>IF(A32="","",Calculation!AW38)</f>
        <v/>
      </c>
      <c r="AH32" s="391" t="str">
        <f>IF(A32="","",Calculation!AY38)</f>
        <v/>
      </c>
      <c r="AI32" s="391" t="str">
        <f>IF(A32="","",Calculation!Y38)</f>
        <v/>
      </c>
      <c r="AJ32" s="401" t="str">
        <f>IF(Calculation!BD38&gt;0,Calculation!BD38," ")</f>
        <v xml:space="preserve"> </v>
      </c>
      <c r="AK32" s="401" t="str">
        <f>IF(Calculation!BD38&gt;0,Calculation!BE38," ")</f>
        <v xml:space="preserve"> </v>
      </c>
      <c r="AL32" s="401" t="str">
        <f>IF(Calculation!BD38&gt;0,Calculation!BF38," ")</f>
        <v xml:space="preserve"> </v>
      </c>
      <c r="AM32" s="401" t="str">
        <f>IF(Calculation!BD38&gt;0,Calculation!BG38," ")</f>
        <v xml:space="preserve"> </v>
      </c>
      <c r="AN32" s="391" t="str">
        <f>IF(Calculation!BH38="N/A","N/A",Calculation!BH38)</f>
        <v xml:space="preserve"> </v>
      </c>
      <c r="AO32" s="402" t="str">
        <f>IF(Calculation!BI38="N/A","N/A",Calculation!BI38)</f>
        <v/>
      </c>
      <c r="AP32" s="391" t="str">
        <f>IF(Calculation!BJ38="N/A","N/A",Calculation!BJ38)</f>
        <v/>
      </c>
      <c r="AQ32" s="402" t="str">
        <f>IF(Calculation!BK38="N/A","N/A",Calculation!BK38)</f>
        <v/>
      </c>
      <c r="AR32" s="391" t="str">
        <f>IF(Calculation!BL38="N/A","N/A",Calculation!BL38)</f>
        <v/>
      </c>
      <c r="AS32" s="402" t="str">
        <f>IF(Calculation!BM38="N/A","N/A",Calculation!BM38)</f>
        <v/>
      </c>
      <c r="AT32" s="400"/>
    </row>
    <row r="33" spans="1:46" ht="12.75" customHeight="1">
      <c r="A33" s="224" t="str">
        <f>IF(Calculation!BN39="","",CONCATENATE(Calculation!BO39,"-",Calculation!R39,"-",Calculation!S39,"-",Calculation!T39,"-",Calculation!U39))</f>
        <v/>
      </c>
      <c r="B33" s="224">
        <v>18</v>
      </c>
      <c r="C33" s="629" t="str">
        <f>IF(A33="","",Calculation!B39)</f>
        <v/>
      </c>
      <c r="D33" s="386" t="str">
        <f>IF(A33="","",Calculation!L39)</f>
        <v/>
      </c>
      <c r="E33" s="387" t="str">
        <f>IF(A33="","",Calculation!J39)</f>
        <v/>
      </c>
      <c r="F33" s="387" t="str">
        <f>IF(A33="","",Calculation!C39)</f>
        <v/>
      </c>
      <c r="G33" s="387" t="str">
        <f>IF(A33="","",LEFT(Calculation!O39,6))</f>
        <v/>
      </c>
      <c r="H33" s="388" t="str">
        <f>IF(A33="","",Calculation!DX39)</f>
        <v/>
      </c>
      <c r="I33" s="387" t="str">
        <f>IF(A33="","",Calculation!P39)</f>
        <v/>
      </c>
      <c r="J33" s="387" t="str">
        <f>IF(A33="","",HLOOKUP(LEFT(Calculation!BO39,7),LookUps!$C$38:$M$41,4))</f>
        <v/>
      </c>
      <c r="K33" s="387" t="str">
        <f>IF(A33="","",Calculation!M39)</f>
        <v/>
      </c>
      <c r="L33" s="387" t="str">
        <f>IF(A33="","",Calculation!S39)</f>
        <v/>
      </c>
      <c r="M33" s="389" t="str">
        <f>IF(A33="","",Calculation!N39)</f>
        <v/>
      </c>
      <c r="N33" s="390" t="str">
        <f>IF(A33="","",Calculation!R39)</f>
        <v/>
      </c>
      <c r="O33" s="391" t="str">
        <f>IF(A33="","",Calculation!$F$6)</f>
        <v/>
      </c>
      <c r="P33" s="392" t="str">
        <f>IF(A33="","",Calculation!$F$7)</f>
        <v/>
      </c>
      <c r="Q33" s="393" t="str">
        <f>IF(A33="","",Calculation!$F$13)</f>
        <v/>
      </c>
      <c r="R33" s="394" t="str">
        <f>IF(A33="","",Calculation!X39)</f>
        <v/>
      </c>
      <c r="S33" s="393" t="str">
        <f>IF(A33="","",Calculation!T39)</f>
        <v/>
      </c>
      <c r="T33" s="395" t="str">
        <f>IF(A33="","",IF(Calculation!$O$8="None","Water",CONCATENATE(Calculation!$O$8,"-",Calculation!$S$8,"%")))</f>
        <v/>
      </c>
      <c r="U33" s="393" t="str">
        <f>IF(A33="","",Calculation!$P$6)</f>
        <v/>
      </c>
      <c r="V33" s="393" t="str">
        <f>IF(A33="","",Calculation!AT39)</f>
        <v/>
      </c>
      <c r="W33" s="396" t="str">
        <f>IF(A33="","",Calculation!AP39)</f>
        <v/>
      </c>
      <c r="X33" s="396" t="str">
        <f>IF(A33="","",Calculation!AO39)</f>
        <v/>
      </c>
      <c r="Y33" s="396" t="str">
        <f>IF(A33="","",Calculation!AQ39)</f>
        <v/>
      </c>
      <c r="Z33" s="396" t="str">
        <f>IF(A33="","",Calculation!$H$6)</f>
        <v/>
      </c>
      <c r="AA33" s="397" t="str">
        <f>IF(A33="","",Calculation!$H$13)</f>
        <v/>
      </c>
      <c r="AB33" s="397" t="str">
        <f>IF(A33="","",Calculation!U39)</f>
        <v/>
      </c>
      <c r="AC33" s="398" t="str">
        <f>IF(A33="","",IF(Calculation!$O$9="None","Water",CONCATENATE(Calculation!$O$9,"-",Calculation!$S$9,"%")))</f>
        <v/>
      </c>
      <c r="AD33" s="396" t="str">
        <f>IF(A33="","",Calculation!$S$6)</f>
        <v/>
      </c>
      <c r="AE33" s="399" t="str">
        <f>IF(A33="","",Calculation!BA39)</f>
        <v/>
      </c>
      <c r="AF33" s="396" t="str">
        <f>IF(A33="","",Calculation!AX39)</f>
        <v/>
      </c>
      <c r="AG33" s="396" t="str">
        <f>IF(A33="","",Calculation!AW39)</f>
        <v/>
      </c>
      <c r="AH33" s="391" t="str">
        <f>IF(A33="","",Calculation!AY39)</f>
        <v/>
      </c>
      <c r="AI33" s="391" t="str">
        <f>IF(A33="","",Calculation!Y39)</f>
        <v/>
      </c>
      <c r="AJ33" s="401" t="str">
        <f>IF(Calculation!BD39&gt;0,Calculation!BD39," ")</f>
        <v xml:space="preserve"> </v>
      </c>
      <c r="AK33" s="401" t="str">
        <f>IF(Calculation!BD39&gt;0,Calculation!BE39," ")</f>
        <v xml:space="preserve"> </v>
      </c>
      <c r="AL33" s="401" t="str">
        <f>IF(Calculation!BD39&gt;0,Calculation!BF39," ")</f>
        <v xml:space="preserve"> </v>
      </c>
      <c r="AM33" s="401" t="str">
        <f>IF(Calculation!BD39&gt;0,Calculation!BG39," ")</f>
        <v xml:space="preserve"> </v>
      </c>
      <c r="AN33" s="391" t="str">
        <f>IF(Calculation!BH39="N/A","N/A",Calculation!BH39)</f>
        <v xml:space="preserve"> </v>
      </c>
      <c r="AO33" s="402" t="str">
        <f>IF(Calculation!BI39="N/A","N/A",Calculation!BI39)</f>
        <v/>
      </c>
      <c r="AP33" s="391" t="str">
        <f>IF(Calculation!BJ39="N/A","N/A",Calculation!BJ39)</f>
        <v/>
      </c>
      <c r="AQ33" s="402" t="str">
        <f>IF(Calculation!BK39="N/A","N/A",Calculation!BK39)</f>
        <v/>
      </c>
      <c r="AR33" s="391" t="str">
        <f>IF(Calculation!BL39="N/A","N/A",Calculation!BL39)</f>
        <v/>
      </c>
      <c r="AS33" s="402" t="str">
        <f>IF(Calculation!BM39="N/A","N/A",Calculation!BM39)</f>
        <v/>
      </c>
      <c r="AT33" s="400"/>
    </row>
    <row r="34" spans="1:46" ht="12.75" customHeight="1">
      <c r="A34" s="224" t="str">
        <f>IF(Calculation!BN40="","",CONCATENATE(Calculation!BO40,"-",Calculation!R40,"-",Calculation!S40,"-",Calculation!T40,"-",Calculation!U40))</f>
        <v/>
      </c>
      <c r="B34" s="224">
        <v>19</v>
      </c>
      <c r="C34" s="629" t="str">
        <f>IF(A34="","",Calculation!B40)</f>
        <v/>
      </c>
      <c r="D34" s="386" t="str">
        <f>IF(A34="","",Calculation!L40)</f>
        <v/>
      </c>
      <c r="E34" s="387" t="str">
        <f>IF(A34="","",Calculation!J40)</f>
        <v/>
      </c>
      <c r="F34" s="387" t="str">
        <f>IF(A34="","",Calculation!C40)</f>
        <v/>
      </c>
      <c r="G34" s="387" t="str">
        <f>IF(A34="","",LEFT(Calculation!O40,6))</f>
        <v/>
      </c>
      <c r="H34" s="388" t="str">
        <f>IF(A34="","",Calculation!DX40)</f>
        <v/>
      </c>
      <c r="I34" s="387" t="str">
        <f>IF(A34="","",Calculation!P40)</f>
        <v/>
      </c>
      <c r="J34" s="387" t="str">
        <f>IF(A34="","",HLOOKUP(LEFT(Calculation!BO40,7),LookUps!$C$38:$M$41,4))</f>
        <v/>
      </c>
      <c r="K34" s="387" t="str">
        <f>IF(A34="","",Calculation!M40)</f>
        <v/>
      </c>
      <c r="L34" s="387" t="str">
        <f>IF(A34="","",Calculation!S40)</f>
        <v/>
      </c>
      <c r="M34" s="389" t="str">
        <f>IF(A34="","",Calculation!N40)</f>
        <v/>
      </c>
      <c r="N34" s="390" t="str">
        <f>IF(A34="","",Calculation!R40)</f>
        <v/>
      </c>
      <c r="O34" s="391" t="str">
        <f>IF(A34="","",Calculation!$F$6)</f>
        <v/>
      </c>
      <c r="P34" s="392" t="str">
        <f>IF(A34="","",Calculation!$F$7)</f>
        <v/>
      </c>
      <c r="Q34" s="393" t="str">
        <f>IF(A34="","",Calculation!$F$13)</f>
        <v/>
      </c>
      <c r="R34" s="394" t="str">
        <f>IF(A34="","",Calculation!X40)</f>
        <v/>
      </c>
      <c r="S34" s="393" t="str">
        <f>IF(A34="","",Calculation!T40)</f>
        <v/>
      </c>
      <c r="T34" s="395" t="str">
        <f>IF(A34="","",IF(Calculation!$O$8="None","Water",CONCATENATE(Calculation!$O$8,"-",Calculation!$S$8,"%")))</f>
        <v/>
      </c>
      <c r="U34" s="393" t="str">
        <f>IF(A34="","",Calculation!$P$6)</f>
        <v/>
      </c>
      <c r="V34" s="393" t="str">
        <f>IF(A34="","",Calculation!AT40)</f>
        <v/>
      </c>
      <c r="W34" s="396" t="str">
        <f>IF(A34="","",Calculation!AP40)</f>
        <v/>
      </c>
      <c r="X34" s="396" t="str">
        <f>IF(A34="","",Calculation!AO40)</f>
        <v/>
      </c>
      <c r="Y34" s="396" t="str">
        <f>IF(A34="","",Calculation!AQ40)</f>
        <v/>
      </c>
      <c r="Z34" s="396" t="str">
        <f>IF(A34="","",Calculation!$H$6)</f>
        <v/>
      </c>
      <c r="AA34" s="397" t="str">
        <f>IF(A34="","",Calculation!$H$13)</f>
        <v/>
      </c>
      <c r="AB34" s="397" t="str">
        <f>IF(A34="","",Calculation!U40)</f>
        <v/>
      </c>
      <c r="AC34" s="398" t="str">
        <f>IF(A34="","",IF(Calculation!$O$9="None","Water",CONCATENATE(Calculation!$O$9,"-",Calculation!$S$9,"%")))</f>
        <v/>
      </c>
      <c r="AD34" s="396" t="str">
        <f>IF(A34="","",Calculation!$S$6)</f>
        <v/>
      </c>
      <c r="AE34" s="399" t="str">
        <f>IF(A34="","",Calculation!BA40)</f>
        <v/>
      </c>
      <c r="AF34" s="396" t="str">
        <f>IF(A34="","",Calculation!AX40)</f>
        <v/>
      </c>
      <c r="AG34" s="396" t="str">
        <f>IF(A34="","",Calculation!AW40)</f>
        <v/>
      </c>
      <c r="AH34" s="391" t="str">
        <f>IF(A34="","",Calculation!AY40)</f>
        <v/>
      </c>
      <c r="AI34" s="391" t="str">
        <f>IF(A34="","",Calculation!Y40)</f>
        <v/>
      </c>
      <c r="AJ34" s="401" t="str">
        <f>IF(Calculation!BD40&gt;0,Calculation!BD40," ")</f>
        <v xml:space="preserve"> </v>
      </c>
      <c r="AK34" s="401" t="str">
        <f>IF(Calculation!BD40&gt;0,Calculation!BE40," ")</f>
        <v xml:space="preserve"> </v>
      </c>
      <c r="AL34" s="401" t="str">
        <f>IF(Calculation!BD40&gt;0,Calculation!BF40," ")</f>
        <v xml:space="preserve"> </v>
      </c>
      <c r="AM34" s="401" t="str">
        <f>IF(Calculation!BD40&gt;0,Calculation!BG40," ")</f>
        <v xml:space="preserve"> </v>
      </c>
      <c r="AN34" s="391" t="str">
        <f>IF(Calculation!BH40="N/A","N/A",Calculation!BH40)</f>
        <v xml:space="preserve"> </v>
      </c>
      <c r="AO34" s="402" t="str">
        <f>IF(Calculation!BI40="N/A","N/A",Calculation!BI40)</f>
        <v/>
      </c>
      <c r="AP34" s="391" t="str">
        <f>IF(Calculation!BJ40="N/A","N/A",Calculation!BJ40)</f>
        <v/>
      </c>
      <c r="AQ34" s="402" t="str">
        <f>IF(Calculation!BK40="N/A","N/A",Calculation!BK40)</f>
        <v/>
      </c>
      <c r="AR34" s="391" t="str">
        <f>IF(Calculation!BL40="N/A","N/A",Calculation!BL40)</f>
        <v/>
      </c>
      <c r="AS34" s="402" t="str">
        <f>IF(Calculation!BM40="N/A","N/A",Calculation!BM40)</f>
        <v/>
      </c>
      <c r="AT34" s="400"/>
    </row>
    <row r="35" spans="1:46" ht="12.75" customHeight="1">
      <c r="A35" s="224" t="str">
        <f>IF(Calculation!BN41="","",CONCATENATE(Calculation!BO41,"-",Calculation!R41,"-",Calculation!S41,"-",Calculation!T41,"-",Calculation!U41))</f>
        <v/>
      </c>
      <c r="B35" s="224">
        <v>20</v>
      </c>
      <c r="C35" s="629" t="str">
        <f>IF(A35="","",Calculation!B41)</f>
        <v/>
      </c>
      <c r="D35" s="386" t="str">
        <f>IF(A35="","",Calculation!L41)</f>
        <v/>
      </c>
      <c r="E35" s="387" t="str">
        <f>IF(A35="","",Calculation!J41)</f>
        <v/>
      </c>
      <c r="F35" s="387" t="str">
        <f>IF(A35="","",Calculation!C41)</f>
        <v/>
      </c>
      <c r="G35" s="387" t="str">
        <f>IF(A35="","",LEFT(Calculation!O41,6))</f>
        <v/>
      </c>
      <c r="H35" s="388" t="str">
        <f>IF(A35="","",Calculation!DX41)</f>
        <v/>
      </c>
      <c r="I35" s="387" t="str">
        <f>IF(A35="","",Calculation!P41)</f>
        <v/>
      </c>
      <c r="J35" s="387" t="str">
        <f>IF(A35="","",HLOOKUP(LEFT(Calculation!BO41,7),LookUps!$C$38:$M$41,4))</f>
        <v/>
      </c>
      <c r="K35" s="387" t="str">
        <f>IF(A35="","",Calculation!M41)</f>
        <v/>
      </c>
      <c r="L35" s="387" t="str">
        <f>IF(A35="","",Calculation!S41)</f>
        <v/>
      </c>
      <c r="M35" s="389" t="str">
        <f>IF(A35="","",Calculation!N41)</f>
        <v/>
      </c>
      <c r="N35" s="390" t="str">
        <f>IF(A35="","",Calculation!R41)</f>
        <v/>
      </c>
      <c r="O35" s="391" t="str">
        <f>IF(A35="","",Calculation!$F$6)</f>
        <v/>
      </c>
      <c r="P35" s="392" t="str">
        <f>IF(A35="","",Calculation!$F$7)</f>
        <v/>
      </c>
      <c r="Q35" s="393" t="str">
        <f>IF(A35="","",Calculation!$F$13)</f>
        <v/>
      </c>
      <c r="R35" s="394" t="str">
        <f>IF(A35="","",Calculation!X41)</f>
        <v/>
      </c>
      <c r="S35" s="393" t="str">
        <f>IF(A35="","",Calculation!T41)</f>
        <v/>
      </c>
      <c r="T35" s="395" t="str">
        <f>IF(A35="","",IF(Calculation!$O$8="None","Water",CONCATENATE(Calculation!$O$8,"-",Calculation!$S$8,"%")))</f>
        <v/>
      </c>
      <c r="U35" s="393" t="str">
        <f>IF(A35="","",Calculation!$P$6)</f>
        <v/>
      </c>
      <c r="V35" s="393" t="str">
        <f>IF(A35="","",Calculation!AT41)</f>
        <v/>
      </c>
      <c r="W35" s="396" t="str">
        <f>IF(A35="","",Calculation!AP41)</f>
        <v/>
      </c>
      <c r="X35" s="396" t="str">
        <f>IF(A35="","",Calculation!AO41)</f>
        <v/>
      </c>
      <c r="Y35" s="396" t="str">
        <f>IF(A35="","",Calculation!AQ41)</f>
        <v/>
      </c>
      <c r="Z35" s="396" t="str">
        <f>IF(A35="","",Calculation!$H$6)</f>
        <v/>
      </c>
      <c r="AA35" s="397" t="str">
        <f>IF(A35="","",Calculation!$H$13)</f>
        <v/>
      </c>
      <c r="AB35" s="397" t="str">
        <f>IF(A35="","",Calculation!U41)</f>
        <v/>
      </c>
      <c r="AC35" s="398" t="str">
        <f>IF(A35="","",IF(Calculation!$O$9="None","Water",CONCATENATE(Calculation!$O$9,"-",Calculation!$S$9,"%")))</f>
        <v/>
      </c>
      <c r="AD35" s="396" t="str">
        <f>IF(A35="","",Calculation!$S$6)</f>
        <v/>
      </c>
      <c r="AE35" s="399" t="str">
        <f>IF(A35="","",Calculation!BA41)</f>
        <v/>
      </c>
      <c r="AF35" s="396" t="str">
        <f>IF(A35="","",Calculation!AX41)</f>
        <v/>
      </c>
      <c r="AG35" s="396" t="str">
        <f>IF(A35="","",Calculation!AW41)</f>
        <v/>
      </c>
      <c r="AH35" s="391" t="str">
        <f>IF(A35="","",Calculation!AY41)</f>
        <v/>
      </c>
      <c r="AI35" s="391" t="str">
        <f>IF(A35="","",Calculation!Y41)</f>
        <v/>
      </c>
      <c r="AJ35" s="401" t="str">
        <f>IF(Calculation!BD41&gt;0,Calculation!BD41," ")</f>
        <v xml:space="preserve"> </v>
      </c>
      <c r="AK35" s="401" t="str">
        <f>IF(Calculation!BD41&gt;0,Calculation!BE41," ")</f>
        <v xml:space="preserve"> </v>
      </c>
      <c r="AL35" s="401" t="str">
        <f>IF(Calculation!BD41&gt;0,Calculation!BF41," ")</f>
        <v xml:space="preserve"> </v>
      </c>
      <c r="AM35" s="401" t="str">
        <f>IF(Calculation!BD41&gt;0,Calculation!BG41," ")</f>
        <v xml:space="preserve"> </v>
      </c>
      <c r="AN35" s="391" t="str">
        <f>IF(Calculation!BH41="N/A","N/A",Calculation!BH41)</f>
        <v xml:space="preserve"> </v>
      </c>
      <c r="AO35" s="402" t="str">
        <f>IF(Calculation!BI41="N/A","N/A",Calculation!BI41)</f>
        <v/>
      </c>
      <c r="AP35" s="391" t="str">
        <f>IF(Calculation!BJ41="N/A","N/A",Calculation!BJ41)</f>
        <v/>
      </c>
      <c r="AQ35" s="402" t="str">
        <f>IF(Calculation!BK41="N/A","N/A",Calculation!BK41)</f>
        <v/>
      </c>
      <c r="AR35" s="391" t="str">
        <f>IF(Calculation!BL41="N/A","N/A",Calculation!BL41)</f>
        <v/>
      </c>
      <c r="AS35" s="402" t="str">
        <f>IF(Calculation!BM41="N/A","N/A",Calculation!BM41)</f>
        <v/>
      </c>
      <c r="AT35" s="400"/>
    </row>
    <row r="36" spans="1:46" ht="12.75" customHeight="1">
      <c r="A36" s="224" t="str">
        <f>IF(Calculation!BN42="","",CONCATENATE(Calculation!BO42,"-",Calculation!R42,"-",Calculation!S42,"-",Calculation!T42,"-",Calculation!U42))</f>
        <v/>
      </c>
      <c r="B36" s="224">
        <v>21</v>
      </c>
      <c r="C36" s="629" t="str">
        <f>IF(A36="","",Calculation!B42)</f>
        <v/>
      </c>
      <c r="D36" s="386" t="str">
        <f>IF(A36="","",Calculation!L42)</f>
        <v/>
      </c>
      <c r="E36" s="387" t="str">
        <f>IF(A36="","",Calculation!J42)</f>
        <v/>
      </c>
      <c r="F36" s="387" t="str">
        <f>IF(A36="","",Calculation!C42)</f>
        <v/>
      </c>
      <c r="G36" s="387" t="str">
        <f>IF(A36="","",LEFT(Calculation!O42,6))</f>
        <v/>
      </c>
      <c r="H36" s="388" t="str">
        <f>IF(A36="","",Calculation!DX42)</f>
        <v/>
      </c>
      <c r="I36" s="387" t="str">
        <f>IF(A36="","",Calculation!P42)</f>
        <v/>
      </c>
      <c r="J36" s="387" t="str">
        <f>IF(A36="","",HLOOKUP(LEFT(Calculation!BO42,7),LookUps!$C$38:$M$41,4))</f>
        <v/>
      </c>
      <c r="K36" s="387" t="str">
        <f>IF(A36="","",Calculation!M42)</f>
        <v/>
      </c>
      <c r="L36" s="387" t="str">
        <f>IF(A36="","",Calculation!S42)</f>
        <v/>
      </c>
      <c r="M36" s="389" t="str">
        <f>IF(A36="","",Calculation!N42)</f>
        <v/>
      </c>
      <c r="N36" s="390" t="str">
        <f>IF(A36="","",Calculation!R42)</f>
        <v/>
      </c>
      <c r="O36" s="391" t="str">
        <f>IF(A36="","",Calculation!$F$6)</f>
        <v/>
      </c>
      <c r="P36" s="392" t="str">
        <f>IF(A36="","",Calculation!$F$7)</f>
        <v/>
      </c>
      <c r="Q36" s="393" t="str">
        <f>IF(A36="","",Calculation!$F$13)</f>
        <v/>
      </c>
      <c r="R36" s="394" t="str">
        <f>IF(A36="","",Calculation!X42)</f>
        <v/>
      </c>
      <c r="S36" s="393" t="str">
        <f>IF(A36="","",Calculation!T42)</f>
        <v/>
      </c>
      <c r="T36" s="395" t="str">
        <f>IF(A36="","",IF(Calculation!$O$8="None","Water",CONCATENATE(Calculation!$O$8,"-",Calculation!$S$8,"%")))</f>
        <v/>
      </c>
      <c r="U36" s="393" t="str">
        <f>IF(A36="","",Calculation!$P$6)</f>
        <v/>
      </c>
      <c r="V36" s="393" t="str">
        <f>IF(A36="","",Calculation!AT42)</f>
        <v/>
      </c>
      <c r="W36" s="396" t="str">
        <f>IF(A36="","",Calculation!AP42)</f>
        <v/>
      </c>
      <c r="X36" s="396" t="str">
        <f>IF(A36="","",Calculation!AO42)</f>
        <v/>
      </c>
      <c r="Y36" s="396" t="str">
        <f>IF(A36="","",Calculation!AQ42)</f>
        <v/>
      </c>
      <c r="Z36" s="396" t="str">
        <f>IF(A36="","",Calculation!$H$6)</f>
        <v/>
      </c>
      <c r="AA36" s="397" t="str">
        <f>IF(A36="","",Calculation!$H$13)</f>
        <v/>
      </c>
      <c r="AB36" s="397" t="str">
        <f>IF(A36="","",Calculation!U42)</f>
        <v/>
      </c>
      <c r="AC36" s="398" t="str">
        <f>IF(A36="","",IF(Calculation!$O$9="None","Water",CONCATENATE(Calculation!$O$9,"-",Calculation!$S$9,"%")))</f>
        <v/>
      </c>
      <c r="AD36" s="396" t="str">
        <f>IF(A36="","",Calculation!$S$6)</f>
        <v/>
      </c>
      <c r="AE36" s="399" t="str">
        <f>IF(A36="","",Calculation!BA42)</f>
        <v/>
      </c>
      <c r="AF36" s="396" t="str">
        <f>IF(A36="","",Calculation!AX42)</f>
        <v/>
      </c>
      <c r="AG36" s="396" t="str">
        <f>IF(A36="","",Calculation!AW42)</f>
        <v/>
      </c>
      <c r="AH36" s="391" t="str">
        <f>IF(A36="","",Calculation!AY42)</f>
        <v/>
      </c>
      <c r="AI36" s="391" t="str">
        <f>IF(A36="","",Calculation!Y42)</f>
        <v/>
      </c>
      <c r="AJ36" s="401" t="str">
        <f>IF(Calculation!BD42&gt;0,Calculation!BD42," ")</f>
        <v xml:space="preserve"> </v>
      </c>
      <c r="AK36" s="401" t="str">
        <f>IF(Calculation!BD42&gt;0,Calculation!BE42," ")</f>
        <v xml:space="preserve"> </v>
      </c>
      <c r="AL36" s="401" t="str">
        <f>IF(Calculation!BD42&gt;0,Calculation!BF42," ")</f>
        <v xml:space="preserve"> </v>
      </c>
      <c r="AM36" s="401" t="str">
        <f>IF(Calculation!BD42&gt;0,Calculation!BG42," ")</f>
        <v xml:space="preserve"> </v>
      </c>
      <c r="AN36" s="391" t="str">
        <f>IF(Calculation!BH42="N/A","N/A",Calculation!BH42)</f>
        <v xml:space="preserve"> </v>
      </c>
      <c r="AO36" s="402" t="str">
        <f>IF(Calculation!BI42="N/A","N/A",Calculation!BI42)</f>
        <v/>
      </c>
      <c r="AP36" s="391" t="str">
        <f>IF(Calculation!BJ42="N/A","N/A",Calculation!BJ42)</f>
        <v/>
      </c>
      <c r="AQ36" s="402" t="str">
        <f>IF(Calculation!BK42="N/A","N/A",Calculation!BK42)</f>
        <v/>
      </c>
      <c r="AR36" s="391" t="str">
        <f>IF(Calculation!BL42="N/A","N/A",Calculation!BL42)</f>
        <v/>
      </c>
      <c r="AS36" s="402" t="str">
        <f>IF(Calculation!BM42="N/A","N/A",Calculation!BM42)</f>
        <v/>
      </c>
      <c r="AT36" s="400"/>
    </row>
    <row r="37" spans="1:46" ht="12.75" customHeight="1">
      <c r="A37" s="224" t="str">
        <f>IF(Calculation!BN43="","",CONCATENATE(Calculation!BO43,"-",Calculation!R43,"-",Calculation!S43,"-",Calculation!T43,"-",Calculation!U43))</f>
        <v/>
      </c>
      <c r="B37" s="224">
        <v>22</v>
      </c>
      <c r="C37" s="629" t="str">
        <f>IF(A37="","",Calculation!B43)</f>
        <v/>
      </c>
      <c r="D37" s="386" t="str">
        <f>IF(A37="","",Calculation!L43)</f>
        <v/>
      </c>
      <c r="E37" s="387" t="str">
        <f>IF(A37="","",Calculation!J43)</f>
        <v/>
      </c>
      <c r="F37" s="387" t="str">
        <f>IF(A37="","",Calculation!C43)</f>
        <v/>
      </c>
      <c r="G37" s="387" t="str">
        <f>IF(A37="","",LEFT(Calculation!O43,6))</f>
        <v/>
      </c>
      <c r="H37" s="388" t="str">
        <f>IF(A37="","",Calculation!DX43)</f>
        <v/>
      </c>
      <c r="I37" s="387" t="str">
        <f>IF(A37="","",Calculation!P43)</f>
        <v/>
      </c>
      <c r="J37" s="387" t="str">
        <f>IF(A37="","",HLOOKUP(LEFT(Calculation!BO43,7),LookUps!$C$38:$M$41,4))</f>
        <v/>
      </c>
      <c r="K37" s="387" t="str">
        <f>IF(A37="","",Calculation!M43)</f>
        <v/>
      </c>
      <c r="L37" s="387" t="str">
        <f>IF(A37="","",Calculation!S43)</f>
        <v/>
      </c>
      <c r="M37" s="389" t="str">
        <f>IF(A37="","",Calculation!N43)</f>
        <v/>
      </c>
      <c r="N37" s="390" t="str">
        <f>IF(A37="","",Calculation!R43)</f>
        <v/>
      </c>
      <c r="O37" s="391" t="str">
        <f>IF(A37="","",Calculation!$F$6)</f>
        <v/>
      </c>
      <c r="P37" s="392" t="str">
        <f>IF(A37="","",Calculation!$F$7)</f>
        <v/>
      </c>
      <c r="Q37" s="393" t="str">
        <f>IF(A37="","",Calculation!$F$13)</f>
        <v/>
      </c>
      <c r="R37" s="394" t="str">
        <f>IF(A37="","",Calculation!X43)</f>
        <v/>
      </c>
      <c r="S37" s="393" t="str">
        <f>IF(A37="","",Calculation!T43)</f>
        <v/>
      </c>
      <c r="T37" s="395" t="str">
        <f>IF(A37="","",IF(Calculation!$O$8="None","Water",CONCATENATE(Calculation!$O$8,"-",Calculation!$S$8,"%")))</f>
        <v/>
      </c>
      <c r="U37" s="393" t="str">
        <f>IF(A37="","",Calculation!$P$6)</f>
        <v/>
      </c>
      <c r="V37" s="393" t="str">
        <f>IF(A37="","",Calculation!AT43)</f>
        <v/>
      </c>
      <c r="W37" s="396" t="str">
        <f>IF(A37="","",Calculation!AP43)</f>
        <v/>
      </c>
      <c r="X37" s="396" t="str">
        <f>IF(A37="","",Calculation!AO43)</f>
        <v/>
      </c>
      <c r="Y37" s="396" t="str">
        <f>IF(A37="","",Calculation!AQ43)</f>
        <v/>
      </c>
      <c r="Z37" s="396" t="str">
        <f>IF(A37="","",Calculation!$H$6)</f>
        <v/>
      </c>
      <c r="AA37" s="397" t="str">
        <f>IF(A37="","",Calculation!$H$13)</f>
        <v/>
      </c>
      <c r="AB37" s="397" t="str">
        <f>IF(A37="","",Calculation!U43)</f>
        <v/>
      </c>
      <c r="AC37" s="398" t="str">
        <f>IF(A37="","",IF(Calculation!$O$9="None","Water",CONCATENATE(Calculation!$O$9,"-",Calculation!$S$9,"%")))</f>
        <v/>
      </c>
      <c r="AD37" s="396" t="str">
        <f>IF(A37="","",Calculation!$S$6)</f>
        <v/>
      </c>
      <c r="AE37" s="399" t="str">
        <f>IF(A37="","",Calculation!BA43)</f>
        <v/>
      </c>
      <c r="AF37" s="396" t="str">
        <f>IF(A37="","",Calculation!AX43)</f>
        <v/>
      </c>
      <c r="AG37" s="396" t="str">
        <f>IF(A37="","",Calculation!AW43)</f>
        <v/>
      </c>
      <c r="AH37" s="391" t="str">
        <f>IF(A37="","",Calculation!AY43)</f>
        <v/>
      </c>
      <c r="AI37" s="391" t="str">
        <f>IF(A37="","",Calculation!Y43)</f>
        <v/>
      </c>
      <c r="AJ37" s="401" t="str">
        <f>IF(Calculation!BD43&gt;0,Calculation!BD43," ")</f>
        <v xml:space="preserve"> </v>
      </c>
      <c r="AK37" s="401" t="str">
        <f>IF(Calculation!BD43&gt;0,Calculation!BE43," ")</f>
        <v xml:space="preserve"> </v>
      </c>
      <c r="AL37" s="401" t="str">
        <f>IF(Calculation!BD43&gt;0,Calculation!BF43," ")</f>
        <v xml:space="preserve"> </v>
      </c>
      <c r="AM37" s="401" t="str">
        <f>IF(Calculation!BD43&gt;0,Calculation!BG43," ")</f>
        <v xml:space="preserve"> </v>
      </c>
      <c r="AN37" s="391" t="str">
        <f>IF(Calculation!BH43="N/A","N/A",Calculation!BH43)</f>
        <v xml:space="preserve"> </v>
      </c>
      <c r="AO37" s="402" t="str">
        <f>IF(Calculation!BI43="N/A","N/A",Calculation!BI43)</f>
        <v/>
      </c>
      <c r="AP37" s="391" t="str">
        <f>IF(Calculation!BJ43="N/A","N/A",Calculation!BJ43)</f>
        <v/>
      </c>
      <c r="AQ37" s="402" t="str">
        <f>IF(Calculation!BK43="N/A","N/A",Calculation!BK43)</f>
        <v/>
      </c>
      <c r="AR37" s="391" t="str">
        <f>IF(Calculation!BL43="N/A","N/A",Calculation!BL43)</f>
        <v/>
      </c>
      <c r="AS37" s="402" t="str">
        <f>IF(Calculation!BM43="N/A","N/A",Calculation!BM43)</f>
        <v/>
      </c>
      <c r="AT37" s="400"/>
    </row>
    <row r="38" spans="1:46" ht="12.75" customHeight="1">
      <c r="A38" s="224" t="str">
        <f>IF(Calculation!BN44="","",CONCATENATE(Calculation!BO44,"-",Calculation!R44,"-",Calculation!S44,"-",Calculation!T44,"-",Calculation!U44))</f>
        <v/>
      </c>
      <c r="B38" s="224">
        <v>23</v>
      </c>
      <c r="C38" s="629" t="str">
        <f>IF(A38="","",Calculation!B44)</f>
        <v/>
      </c>
      <c r="D38" s="386" t="str">
        <f>IF(A38="","",Calculation!L44)</f>
        <v/>
      </c>
      <c r="E38" s="387" t="str">
        <f>IF(A38="","",Calculation!J44)</f>
        <v/>
      </c>
      <c r="F38" s="387" t="str">
        <f>IF(A38="","",Calculation!C44)</f>
        <v/>
      </c>
      <c r="G38" s="387" t="str">
        <f>IF(A38="","",LEFT(Calculation!O44,6))</f>
        <v/>
      </c>
      <c r="H38" s="388" t="str">
        <f>IF(A38="","",Calculation!DX44)</f>
        <v/>
      </c>
      <c r="I38" s="387" t="str">
        <f>IF(A38="","",Calculation!P44)</f>
        <v/>
      </c>
      <c r="J38" s="387" t="str">
        <f>IF(A38="","",HLOOKUP(LEFT(Calculation!BO44,7),LookUps!$C$38:$M$41,4))</f>
        <v/>
      </c>
      <c r="K38" s="387" t="str">
        <f>IF(A38="","",Calculation!M44)</f>
        <v/>
      </c>
      <c r="L38" s="387" t="str">
        <f>IF(A38="","",Calculation!S44)</f>
        <v/>
      </c>
      <c r="M38" s="389" t="str">
        <f>IF(A38="","",Calculation!N44)</f>
        <v/>
      </c>
      <c r="N38" s="390" t="str">
        <f>IF(A38="","",Calculation!R44)</f>
        <v/>
      </c>
      <c r="O38" s="391" t="str">
        <f>IF(A38="","",Calculation!$F$6)</f>
        <v/>
      </c>
      <c r="P38" s="392" t="str">
        <f>IF(A38="","",Calculation!$F$7)</f>
        <v/>
      </c>
      <c r="Q38" s="393" t="str">
        <f>IF(A38="","",Calculation!$F$13)</f>
        <v/>
      </c>
      <c r="R38" s="394" t="str">
        <f>IF(A38="","",Calculation!X44)</f>
        <v/>
      </c>
      <c r="S38" s="393" t="str">
        <f>IF(A38="","",Calculation!T44)</f>
        <v/>
      </c>
      <c r="T38" s="395" t="str">
        <f>IF(A38="","",IF(Calculation!$O$8="None","Water",CONCATENATE(Calculation!$O$8,"-",Calculation!$S$8,"%")))</f>
        <v/>
      </c>
      <c r="U38" s="393" t="str">
        <f>IF(A38="","",Calculation!$P$6)</f>
        <v/>
      </c>
      <c r="V38" s="393" t="str">
        <f>IF(A38="","",Calculation!AT44)</f>
        <v/>
      </c>
      <c r="W38" s="396" t="str">
        <f>IF(A38="","",Calculation!AP44)</f>
        <v/>
      </c>
      <c r="X38" s="396" t="str">
        <f>IF(A38="","",Calculation!AO44)</f>
        <v/>
      </c>
      <c r="Y38" s="396" t="str">
        <f>IF(A38="","",Calculation!AQ44)</f>
        <v/>
      </c>
      <c r="Z38" s="396" t="str">
        <f>IF(A38="","",Calculation!$H$6)</f>
        <v/>
      </c>
      <c r="AA38" s="397" t="str">
        <f>IF(A38="","",Calculation!$H$13)</f>
        <v/>
      </c>
      <c r="AB38" s="397" t="str">
        <f>IF(A38="","",Calculation!U44)</f>
        <v/>
      </c>
      <c r="AC38" s="398" t="str">
        <f>IF(A38="","",IF(Calculation!$O$9="None","Water",CONCATENATE(Calculation!$O$9,"-",Calculation!$S$9,"%")))</f>
        <v/>
      </c>
      <c r="AD38" s="396" t="str">
        <f>IF(A38="","",Calculation!$S$6)</f>
        <v/>
      </c>
      <c r="AE38" s="399" t="str">
        <f>IF(A38="","",Calculation!BA44)</f>
        <v/>
      </c>
      <c r="AF38" s="396" t="str">
        <f>IF(A38="","",Calculation!AX44)</f>
        <v/>
      </c>
      <c r="AG38" s="396" t="str">
        <f>IF(A38="","",Calculation!AW44)</f>
        <v/>
      </c>
      <c r="AH38" s="391" t="str">
        <f>IF(A38="","",Calculation!AY44)</f>
        <v/>
      </c>
      <c r="AI38" s="391" t="str">
        <f>IF(A38="","",Calculation!Y44)</f>
        <v/>
      </c>
      <c r="AJ38" s="401" t="str">
        <f>IF(Calculation!BD44&gt;0,Calculation!BD44," ")</f>
        <v xml:space="preserve"> </v>
      </c>
      <c r="AK38" s="401" t="str">
        <f>IF(Calculation!BD44&gt;0,Calculation!BE44," ")</f>
        <v xml:space="preserve"> </v>
      </c>
      <c r="AL38" s="401" t="str">
        <f>IF(Calculation!BD44&gt;0,Calculation!BF44," ")</f>
        <v xml:space="preserve"> </v>
      </c>
      <c r="AM38" s="401" t="str">
        <f>IF(Calculation!BD44&gt;0,Calculation!BG44," ")</f>
        <v xml:space="preserve"> </v>
      </c>
      <c r="AN38" s="391" t="str">
        <f>IF(Calculation!BH44="N/A","N/A",Calculation!BH44)</f>
        <v xml:space="preserve"> </v>
      </c>
      <c r="AO38" s="402" t="str">
        <f>IF(Calculation!BI44="N/A","N/A",Calculation!BI44)</f>
        <v/>
      </c>
      <c r="AP38" s="391" t="str">
        <f>IF(Calculation!BJ44="N/A","N/A",Calculation!BJ44)</f>
        <v/>
      </c>
      <c r="AQ38" s="402" t="str">
        <f>IF(Calculation!BK44="N/A","N/A",Calculation!BK44)</f>
        <v/>
      </c>
      <c r="AR38" s="391" t="str">
        <f>IF(Calculation!BL44="N/A","N/A",Calculation!BL44)</f>
        <v/>
      </c>
      <c r="AS38" s="402" t="str">
        <f>IF(Calculation!BM44="N/A","N/A",Calculation!BM44)</f>
        <v/>
      </c>
      <c r="AT38" s="400"/>
    </row>
    <row r="39" spans="1:46" ht="12.75" customHeight="1">
      <c r="A39" s="224" t="str">
        <f>IF(Calculation!BN45="","",CONCATENATE(Calculation!BO45,"-",Calculation!R45,"-",Calculation!S45,"-",Calculation!T45,"-",Calculation!U45))</f>
        <v/>
      </c>
      <c r="B39" s="224">
        <v>24</v>
      </c>
      <c r="C39" s="629" t="str">
        <f>IF(A39="","",Calculation!B45)</f>
        <v/>
      </c>
      <c r="D39" s="386" t="str">
        <f>IF(A39="","",Calculation!L45)</f>
        <v/>
      </c>
      <c r="E39" s="387" t="str">
        <f>IF(A39="","",Calculation!J45)</f>
        <v/>
      </c>
      <c r="F39" s="387" t="str">
        <f>IF(A39="","",Calculation!C45)</f>
        <v/>
      </c>
      <c r="G39" s="387" t="str">
        <f>IF(A39="","",LEFT(Calculation!O45,6))</f>
        <v/>
      </c>
      <c r="H39" s="388" t="str">
        <f>IF(A39="","",Calculation!DX45)</f>
        <v/>
      </c>
      <c r="I39" s="387" t="str">
        <f>IF(A39="","",Calculation!P45)</f>
        <v/>
      </c>
      <c r="J39" s="387" t="str">
        <f>IF(A39="","",HLOOKUP(LEFT(Calculation!BO45,7),LookUps!$C$38:$M$41,4))</f>
        <v/>
      </c>
      <c r="K39" s="387" t="str">
        <f>IF(A39="","",Calculation!M45)</f>
        <v/>
      </c>
      <c r="L39" s="387" t="str">
        <f>IF(A39="","",Calculation!S45)</f>
        <v/>
      </c>
      <c r="M39" s="389" t="str">
        <f>IF(A39="","",Calculation!N45)</f>
        <v/>
      </c>
      <c r="N39" s="390" t="str">
        <f>IF(A39="","",Calculation!R45)</f>
        <v/>
      </c>
      <c r="O39" s="391" t="str">
        <f>IF(A39="","",Calculation!$F$6)</f>
        <v/>
      </c>
      <c r="P39" s="392" t="str">
        <f>IF(A39="","",Calculation!$F$7)</f>
        <v/>
      </c>
      <c r="Q39" s="393" t="str">
        <f>IF(A39="","",Calculation!$F$13)</f>
        <v/>
      </c>
      <c r="R39" s="394" t="str">
        <f>IF(A39="","",Calculation!X45)</f>
        <v/>
      </c>
      <c r="S39" s="393" t="str">
        <f>IF(A39="","",Calculation!T45)</f>
        <v/>
      </c>
      <c r="T39" s="395" t="str">
        <f>IF(A39="","",IF(Calculation!$O$8="None","Water",CONCATENATE(Calculation!$O$8,"-",Calculation!$S$8,"%")))</f>
        <v/>
      </c>
      <c r="U39" s="393" t="str">
        <f>IF(A39="","",Calculation!$P$6)</f>
        <v/>
      </c>
      <c r="V39" s="393" t="str">
        <f>IF(A39="","",Calculation!AT45)</f>
        <v/>
      </c>
      <c r="W39" s="396" t="str">
        <f>IF(A39="","",Calculation!AP45)</f>
        <v/>
      </c>
      <c r="X39" s="396" t="str">
        <f>IF(A39="","",Calculation!AO45)</f>
        <v/>
      </c>
      <c r="Y39" s="396" t="str">
        <f>IF(A39="","",Calculation!AQ45)</f>
        <v/>
      </c>
      <c r="Z39" s="396" t="str">
        <f>IF(A39="","",Calculation!$H$6)</f>
        <v/>
      </c>
      <c r="AA39" s="397" t="str">
        <f>IF(A39="","",Calculation!$H$13)</f>
        <v/>
      </c>
      <c r="AB39" s="397" t="str">
        <f>IF(A39="","",Calculation!U45)</f>
        <v/>
      </c>
      <c r="AC39" s="398" t="str">
        <f>IF(A39="","",IF(Calculation!$O$9="None","Water",CONCATENATE(Calculation!$O$9,"-",Calculation!$S$9,"%")))</f>
        <v/>
      </c>
      <c r="AD39" s="396" t="str">
        <f>IF(A39="","",Calculation!$S$6)</f>
        <v/>
      </c>
      <c r="AE39" s="399" t="str">
        <f>IF(A39="","",Calculation!BA45)</f>
        <v/>
      </c>
      <c r="AF39" s="396" t="str">
        <f>IF(A39="","",Calculation!AX45)</f>
        <v/>
      </c>
      <c r="AG39" s="396" t="str">
        <f>IF(A39="","",Calculation!AW45)</f>
        <v/>
      </c>
      <c r="AH39" s="391" t="str">
        <f>IF(A39="","",Calculation!AY45)</f>
        <v/>
      </c>
      <c r="AI39" s="391" t="str">
        <f>IF(A39="","",Calculation!Y45)</f>
        <v/>
      </c>
      <c r="AJ39" s="401" t="str">
        <f>IF(Calculation!BD45&gt;0,Calculation!BD45," ")</f>
        <v xml:space="preserve"> </v>
      </c>
      <c r="AK39" s="401" t="str">
        <f>IF(Calculation!BD45&gt;0,Calculation!BE45," ")</f>
        <v xml:space="preserve"> </v>
      </c>
      <c r="AL39" s="401" t="str">
        <f>IF(Calculation!BD45&gt;0,Calculation!BF45," ")</f>
        <v xml:space="preserve"> </v>
      </c>
      <c r="AM39" s="401" t="str">
        <f>IF(Calculation!BD45&gt;0,Calculation!BG45," ")</f>
        <v xml:space="preserve"> </v>
      </c>
      <c r="AN39" s="391" t="str">
        <f>IF(Calculation!BH45="N/A","N/A",Calculation!BH45)</f>
        <v xml:space="preserve"> </v>
      </c>
      <c r="AO39" s="402" t="str">
        <f>IF(Calculation!BI45="N/A","N/A",Calculation!BI45)</f>
        <v/>
      </c>
      <c r="AP39" s="391" t="str">
        <f>IF(Calculation!BJ45="N/A","N/A",Calculation!BJ45)</f>
        <v/>
      </c>
      <c r="AQ39" s="402" t="str">
        <f>IF(Calculation!BK45="N/A","N/A",Calculation!BK45)</f>
        <v/>
      </c>
      <c r="AR39" s="391" t="str">
        <f>IF(Calculation!BL45="N/A","N/A",Calculation!BL45)</f>
        <v/>
      </c>
      <c r="AS39" s="402" t="str">
        <f>IF(Calculation!BM45="N/A","N/A",Calculation!BM45)</f>
        <v/>
      </c>
      <c r="AT39" s="400"/>
    </row>
    <row r="40" spans="1:46" ht="12.75" customHeight="1">
      <c r="A40" s="224" t="str">
        <f>IF(Calculation!BN46="","",CONCATENATE(Calculation!BO46,"-",Calculation!R46,"-",Calculation!S46,"-",Calculation!T46,"-",Calculation!U46))</f>
        <v/>
      </c>
      <c r="B40" s="224">
        <v>25</v>
      </c>
      <c r="C40" s="629" t="str">
        <f>IF(A40="","",Calculation!B46)</f>
        <v/>
      </c>
      <c r="D40" s="386" t="str">
        <f>IF(A40="","",Calculation!L46)</f>
        <v/>
      </c>
      <c r="E40" s="387" t="str">
        <f>IF(A40="","",Calculation!J46)</f>
        <v/>
      </c>
      <c r="F40" s="387" t="str">
        <f>IF(A40="","",Calculation!C46)</f>
        <v/>
      </c>
      <c r="G40" s="387" t="str">
        <f>IF(A40="","",LEFT(Calculation!O46,6))</f>
        <v/>
      </c>
      <c r="H40" s="388" t="str">
        <f>IF(A40="","",Calculation!DX46)</f>
        <v/>
      </c>
      <c r="I40" s="387" t="str">
        <f>IF(A40="","",Calculation!P46)</f>
        <v/>
      </c>
      <c r="J40" s="387" t="str">
        <f>IF(A40="","",HLOOKUP(LEFT(Calculation!BO46,7),LookUps!$C$38:$M$41,4))</f>
        <v/>
      </c>
      <c r="K40" s="387" t="str">
        <f>IF(A40="","",Calculation!M46)</f>
        <v/>
      </c>
      <c r="L40" s="387" t="str">
        <f>IF(A40="","",Calculation!S46)</f>
        <v/>
      </c>
      <c r="M40" s="389" t="str">
        <f>IF(A40="","",Calculation!N46)</f>
        <v/>
      </c>
      <c r="N40" s="390" t="str">
        <f>IF(A40="","",Calculation!R46)</f>
        <v/>
      </c>
      <c r="O40" s="391" t="str">
        <f>IF(A40="","",Calculation!$F$6)</f>
        <v/>
      </c>
      <c r="P40" s="392" t="str">
        <f>IF(A40="","",Calculation!$F$7)</f>
        <v/>
      </c>
      <c r="Q40" s="393" t="str">
        <f>IF(A40="","",Calculation!$F$13)</f>
        <v/>
      </c>
      <c r="R40" s="394" t="str">
        <f>IF(A40="","",Calculation!X46)</f>
        <v/>
      </c>
      <c r="S40" s="393" t="str">
        <f>IF(A40="","",Calculation!T46)</f>
        <v/>
      </c>
      <c r="T40" s="395" t="str">
        <f>IF(A40="","",IF(Calculation!$O$8="None","Water",CONCATENATE(Calculation!$O$8,"-",Calculation!$S$8,"%")))</f>
        <v/>
      </c>
      <c r="U40" s="393" t="str">
        <f>IF(A40="","",Calculation!$P$6)</f>
        <v/>
      </c>
      <c r="V40" s="393" t="str">
        <f>IF(A40="","",Calculation!AT46)</f>
        <v/>
      </c>
      <c r="W40" s="396" t="str">
        <f>IF(A40="","",Calculation!AP46)</f>
        <v/>
      </c>
      <c r="X40" s="396" t="str">
        <f>IF(A40="","",Calculation!AO46)</f>
        <v/>
      </c>
      <c r="Y40" s="396" t="str">
        <f>IF(A40="","",Calculation!AQ46)</f>
        <v/>
      </c>
      <c r="Z40" s="396" t="str">
        <f>IF(A40="","",Calculation!$H$6)</f>
        <v/>
      </c>
      <c r="AA40" s="397" t="str">
        <f>IF(A40="","",Calculation!$H$13)</f>
        <v/>
      </c>
      <c r="AB40" s="397" t="str">
        <f>IF(A40="","",Calculation!U46)</f>
        <v/>
      </c>
      <c r="AC40" s="398" t="str">
        <f>IF(A40="","",IF(Calculation!$O$9="None","Water",CONCATENATE(Calculation!$O$9,"-",Calculation!$S$9,"%")))</f>
        <v/>
      </c>
      <c r="AD40" s="396" t="str">
        <f>IF(A40="","",Calculation!$S$6)</f>
        <v/>
      </c>
      <c r="AE40" s="399" t="str">
        <f>IF(A40="","",Calculation!BA46)</f>
        <v/>
      </c>
      <c r="AF40" s="396" t="str">
        <f>IF(A40="","",Calculation!AX46)</f>
        <v/>
      </c>
      <c r="AG40" s="396" t="str">
        <f>IF(A40="","",Calculation!AW46)</f>
        <v/>
      </c>
      <c r="AH40" s="391" t="str">
        <f>IF(A40="","",Calculation!AY46)</f>
        <v/>
      </c>
      <c r="AI40" s="391" t="str">
        <f>IF(A40="","",Calculation!Y46)</f>
        <v/>
      </c>
      <c r="AJ40" s="401" t="str">
        <f>IF(Calculation!BD46&gt;0,Calculation!BD46," ")</f>
        <v xml:space="preserve"> </v>
      </c>
      <c r="AK40" s="401" t="str">
        <f>IF(Calculation!BD46&gt;0,Calculation!BE46," ")</f>
        <v xml:space="preserve"> </v>
      </c>
      <c r="AL40" s="401" t="str">
        <f>IF(Calculation!BD46&gt;0,Calculation!BF46," ")</f>
        <v xml:space="preserve"> </v>
      </c>
      <c r="AM40" s="401" t="str">
        <f>IF(Calculation!BD46&gt;0,Calculation!BG46," ")</f>
        <v xml:space="preserve"> </v>
      </c>
      <c r="AN40" s="391" t="str">
        <f>IF(Calculation!BH46="N/A","N/A",Calculation!BH46)</f>
        <v xml:space="preserve"> </v>
      </c>
      <c r="AO40" s="402" t="str">
        <f>IF(Calculation!BI46="N/A","N/A",Calculation!BI46)</f>
        <v/>
      </c>
      <c r="AP40" s="391" t="str">
        <f>IF(Calculation!BJ46="N/A","N/A",Calculation!BJ46)</f>
        <v/>
      </c>
      <c r="AQ40" s="402" t="str">
        <f>IF(Calculation!BK46="N/A","N/A",Calculation!BK46)</f>
        <v/>
      </c>
      <c r="AR40" s="391" t="str">
        <f>IF(Calculation!BL46="N/A","N/A",Calculation!BL46)</f>
        <v/>
      </c>
      <c r="AS40" s="402" t="str">
        <f>IF(Calculation!BM46="N/A","N/A",Calculation!BM46)</f>
        <v/>
      </c>
      <c r="AT40" s="400"/>
    </row>
    <row r="41" spans="1:46" ht="12.75" customHeight="1">
      <c r="A41" s="224" t="str">
        <f>IF(Calculation!BN47="","",CONCATENATE(Calculation!BO47,"-",Calculation!R47,"-",Calculation!S47,"-",Calculation!T47,"-",Calculation!U47))</f>
        <v/>
      </c>
      <c r="B41" s="224">
        <v>26</v>
      </c>
      <c r="C41" s="629" t="str">
        <f>IF(A41="","",Calculation!B47)</f>
        <v/>
      </c>
      <c r="D41" s="386" t="str">
        <f>IF(A41="","",Calculation!L47)</f>
        <v/>
      </c>
      <c r="E41" s="387" t="str">
        <f>IF(A41="","",Calculation!J47)</f>
        <v/>
      </c>
      <c r="F41" s="387" t="str">
        <f>IF(A41="","",Calculation!C47)</f>
        <v/>
      </c>
      <c r="G41" s="387" t="str">
        <f>IF(A41="","",LEFT(Calculation!O47,6))</f>
        <v/>
      </c>
      <c r="H41" s="388" t="str">
        <f>IF(A41="","",Calculation!DX47)</f>
        <v/>
      </c>
      <c r="I41" s="387" t="str">
        <f>IF(A41="","",Calculation!P47)</f>
        <v/>
      </c>
      <c r="J41" s="387" t="str">
        <f>IF(A41="","",HLOOKUP(LEFT(Calculation!BO47,7),LookUps!$C$38:$M$41,4))</f>
        <v/>
      </c>
      <c r="K41" s="387" t="str">
        <f>IF(A41="","",Calculation!M47)</f>
        <v/>
      </c>
      <c r="L41" s="387" t="str">
        <f>IF(A41="","",Calculation!S47)</f>
        <v/>
      </c>
      <c r="M41" s="389" t="str">
        <f>IF(A41="","",Calculation!N47)</f>
        <v/>
      </c>
      <c r="N41" s="390" t="str">
        <f>IF(A41="","",Calculation!R47)</f>
        <v/>
      </c>
      <c r="O41" s="391" t="str">
        <f>IF(A41="","",Calculation!$F$6)</f>
        <v/>
      </c>
      <c r="P41" s="392" t="str">
        <f>IF(A41="","",Calculation!$F$7)</f>
        <v/>
      </c>
      <c r="Q41" s="393" t="str">
        <f>IF(A41="","",Calculation!$F$13)</f>
        <v/>
      </c>
      <c r="R41" s="394" t="str">
        <f>IF(A41="","",Calculation!X47)</f>
        <v/>
      </c>
      <c r="S41" s="393" t="str">
        <f>IF(A41="","",Calculation!T47)</f>
        <v/>
      </c>
      <c r="T41" s="395" t="str">
        <f>IF(A41="","",IF(Calculation!$O$8="None","Water",CONCATENATE(Calculation!$O$8,"-",Calculation!$S$8,"%")))</f>
        <v/>
      </c>
      <c r="U41" s="393" t="str">
        <f>IF(A41="","",Calculation!$P$6)</f>
        <v/>
      </c>
      <c r="V41" s="393" t="str">
        <f>IF(A41="","",Calculation!AT47)</f>
        <v/>
      </c>
      <c r="W41" s="396" t="str">
        <f>IF(A41="","",Calculation!AP47)</f>
        <v/>
      </c>
      <c r="X41" s="396" t="str">
        <f>IF(A41="","",Calculation!AO47)</f>
        <v/>
      </c>
      <c r="Y41" s="396" t="str">
        <f>IF(A41="","",Calculation!AQ47)</f>
        <v/>
      </c>
      <c r="Z41" s="396" t="str">
        <f>IF(A41="","",Calculation!$H$6)</f>
        <v/>
      </c>
      <c r="AA41" s="397" t="str">
        <f>IF(A41="","",Calculation!$H$13)</f>
        <v/>
      </c>
      <c r="AB41" s="397" t="str">
        <f>IF(A41="","",Calculation!U47)</f>
        <v/>
      </c>
      <c r="AC41" s="398" t="str">
        <f>IF(A41="","",IF(Calculation!$O$9="None","Water",CONCATENATE(Calculation!$O$9,"-",Calculation!$S$9,"%")))</f>
        <v/>
      </c>
      <c r="AD41" s="396" t="str">
        <f>IF(A41="","",Calculation!$S$6)</f>
        <v/>
      </c>
      <c r="AE41" s="399" t="str">
        <f>IF(A41="","",Calculation!BA47)</f>
        <v/>
      </c>
      <c r="AF41" s="396" t="str">
        <f>IF(A41="","",Calculation!AX47)</f>
        <v/>
      </c>
      <c r="AG41" s="396" t="str">
        <f>IF(A41="","",Calculation!AW47)</f>
        <v/>
      </c>
      <c r="AH41" s="391" t="str">
        <f>IF(A41="","",Calculation!AY47)</f>
        <v/>
      </c>
      <c r="AI41" s="391" t="str">
        <f>IF(A41="","",Calculation!Y47)</f>
        <v/>
      </c>
      <c r="AJ41" s="401" t="str">
        <f>IF(Calculation!BD47&gt;0,Calculation!BD47," ")</f>
        <v xml:space="preserve"> </v>
      </c>
      <c r="AK41" s="401" t="str">
        <f>IF(Calculation!BD47&gt;0,Calculation!BE47," ")</f>
        <v xml:space="preserve"> </v>
      </c>
      <c r="AL41" s="401" t="str">
        <f>IF(Calculation!BD47&gt;0,Calculation!BF47," ")</f>
        <v xml:space="preserve"> </v>
      </c>
      <c r="AM41" s="401" t="str">
        <f>IF(Calculation!BD47&gt;0,Calculation!BG47," ")</f>
        <v xml:space="preserve"> </v>
      </c>
      <c r="AN41" s="391" t="str">
        <f>IF(Calculation!BH47="N/A","N/A",Calculation!BH47)</f>
        <v xml:space="preserve"> </v>
      </c>
      <c r="AO41" s="402" t="str">
        <f>IF(Calculation!BI47="N/A","N/A",Calculation!BI47)</f>
        <v/>
      </c>
      <c r="AP41" s="391" t="str">
        <f>IF(Calculation!BJ47="N/A","N/A",Calculation!BJ47)</f>
        <v/>
      </c>
      <c r="AQ41" s="402" t="str">
        <f>IF(Calculation!BK47="N/A","N/A",Calculation!BK47)</f>
        <v/>
      </c>
      <c r="AR41" s="391" t="str">
        <f>IF(Calculation!BL47="N/A","N/A",Calculation!BL47)</f>
        <v/>
      </c>
      <c r="AS41" s="402" t="str">
        <f>IF(Calculation!BM47="N/A","N/A",Calculation!BM47)</f>
        <v/>
      </c>
      <c r="AT41" s="400"/>
    </row>
    <row r="42" spans="1:46" ht="12.75" customHeight="1">
      <c r="A42" s="224" t="str">
        <f>IF(Calculation!BN48="","",CONCATENATE(Calculation!BO48,"-",Calculation!R48,"-",Calculation!S48,"-",Calculation!T48,"-",Calculation!U48))</f>
        <v/>
      </c>
      <c r="B42" s="224">
        <v>27</v>
      </c>
      <c r="C42" s="629" t="str">
        <f>IF(A42="","",Calculation!B48)</f>
        <v/>
      </c>
      <c r="D42" s="386" t="str">
        <f>IF(A42="","",Calculation!L48)</f>
        <v/>
      </c>
      <c r="E42" s="387" t="str">
        <f>IF(A42="","",Calculation!J48)</f>
        <v/>
      </c>
      <c r="F42" s="387" t="str">
        <f>IF(A42="","",Calculation!C48)</f>
        <v/>
      </c>
      <c r="G42" s="387" t="str">
        <f>IF(A42="","",LEFT(Calculation!O48,6))</f>
        <v/>
      </c>
      <c r="H42" s="388" t="str">
        <f>IF(A42="","",Calculation!DX48)</f>
        <v/>
      </c>
      <c r="I42" s="387" t="str">
        <f>IF(A42="","",Calculation!P48)</f>
        <v/>
      </c>
      <c r="J42" s="387" t="str">
        <f>IF(A42="","",HLOOKUP(LEFT(Calculation!BO48,7),LookUps!$C$38:$M$41,4))</f>
        <v/>
      </c>
      <c r="K42" s="387" t="str">
        <f>IF(A42="","",Calculation!M48)</f>
        <v/>
      </c>
      <c r="L42" s="387" t="str">
        <f>IF(A42="","",Calculation!S48)</f>
        <v/>
      </c>
      <c r="M42" s="389" t="str">
        <f>IF(A42="","",Calculation!N48)</f>
        <v/>
      </c>
      <c r="N42" s="390" t="str">
        <f>IF(A42="","",Calculation!R48)</f>
        <v/>
      </c>
      <c r="O42" s="391" t="str">
        <f>IF(A42="","",Calculation!$F$6)</f>
        <v/>
      </c>
      <c r="P42" s="392" t="str">
        <f>IF(A42="","",Calculation!$F$7)</f>
        <v/>
      </c>
      <c r="Q42" s="393" t="str">
        <f>IF(A42="","",Calculation!$F$13)</f>
        <v/>
      </c>
      <c r="R42" s="394" t="str">
        <f>IF(A42="","",Calculation!X48)</f>
        <v/>
      </c>
      <c r="S42" s="393" t="str">
        <f>IF(A42="","",Calculation!T48)</f>
        <v/>
      </c>
      <c r="T42" s="395" t="str">
        <f>IF(A42="","",IF(Calculation!$O$8="None","Water",CONCATENATE(Calculation!$O$8,"-",Calculation!$S$8,"%")))</f>
        <v/>
      </c>
      <c r="U42" s="393" t="str">
        <f>IF(A42="","",Calculation!$P$6)</f>
        <v/>
      </c>
      <c r="V42" s="393" t="str">
        <f>IF(A42="","",Calculation!AT48)</f>
        <v/>
      </c>
      <c r="W42" s="396" t="str">
        <f>IF(A42="","",Calculation!AP48)</f>
        <v/>
      </c>
      <c r="X42" s="396" t="str">
        <f>IF(A42="","",Calculation!AO48)</f>
        <v/>
      </c>
      <c r="Y42" s="396" t="str">
        <f>IF(A42="","",Calculation!AQ48)</f>
        <v/>
      </c>
      <c r="Z42" s="396" t="str">
        <f>IF(A42="","",Calculation!$H$6)</f>
        <v/>
      </c>
      <c r="AA42" s="397" t="str">
        <f>IF(A42="","",Calculation!$H$13)</f>
        <v/>
      </c>
      <c r="AB42" s="397" t="str">
        <f>IF(A42="","",Calculation!U48)</f>
        <v/>
      </c>
      <c r="AC42" s="398" t="str">
        <f>IF(A42="","",IF(Calculation!$O$9="None","Water",CONCATENATE(Calculation!$O$9,"-",Calculation!$S$9,"%")))</f>
        <v/>
      </c>
      <c r="AD42" s="396" t="str">
        <f>IF(A42="","",Calculation!$S$6)</f>
        <v/>
      </c>
      <c r="AE42" s="399" t="str">
        <f>IF(A42="","",Calculation!BA48)</f>
        <v/>
      </c>
      <c r="AF42" s="396" t="str">
        <f>IF(A42="","",Calculation!AX48)</f>
        <v/>
      </c>
      <c r="AG42" s="396" t="str">
        <f>IF(A42="","",Calculation!AW48)</f>
        <v/>
      </c>
      <c r="AH42" s="391" t="str">
        <f>IF(A42="","",Calculation!AY48)</f>
        <v/>
      </c>
      <c r="AI42" s="391" t="str">
        <f>IF(A42="","",Calculation!Y48)</f>
        <v/>
      </c>
      <c r="AJ42" s="401" t="str">
        <f>IF(Calculation!BD48&gt;0,Calculation!BD48," ")</f>
        <v xml:space="preserve"> </v>
      </c>
      <c r="AK42" s="401" t="str">
        <f>IF(Calculation!BD48&gt;0,Calculation!BE48," ")</f>
        <v xml:space="preserve"> </v>
      </c>
      <c r="AL42" s="401" t="str">
        <f>IF(Calculation!BD48&gt;0,Calculation!BF48," ")</f>
        <v xml:space="preserve"> </v>
      </c>
      <c r="AM42" s="401" t="str">
        <f>IF(Calculation!BD48&gt;0,Calculation!BG48," ")</f>
        <v xml:space="preserve"> </v>
      </c>
      <c r="AN42" s="391" t="str">
        <f>IF(Calculation!BH48="N/A","N/A",Calculation!BH48)</f>
        <v xml:space="preserve"> </v>
      </c>
      <c r="AO42" s="402" t="str">
        <f>IF(Calculation!BI48="N/A","N/A",Calculation!BI48)</f>
        <v/>
      </c>
      <c r="AP42" s="391" t="str">
        <f>IF(Calculation!BJ48="N/A","N/A",Calculation!BJ48)</f>
        <v/>
      </c>
      <c r="AQ42" s="402" t="str">
        <f>IF(Calculation!BK48="N/A","N/A",Calculation!BK48)</f>
        <v/>
      </c>
      <c r="AR42" s="391" t="str">
        <f>IF(Calculation!BL48="N/A","N/A",Calculation!BL48)</f>
        <v/>
      </c>
      <c r="AS42" s="402" t="str">
        <f>IF(Calculation!BM48="N/A","N/A",Calculation!BM48)</f>
        <v/>
      </c>
      <c r="AT42" s="400"/>
    </row>
    <row r="43" spans="1:46" ht="12.75" customHeight="1">
      <c r="A43" s="224" t="str">
        <f>IF(Calculation!BN49="","",CONCATENATE(Calculation!BO49,"-",Calculation!R49,"-",Calculation!S49,"-",Calculation!T49,"-",Calculation!U49))</f>
        <v/>
      </c>
      <c r="B43" s="224">
        <v>28</v>
      </c>
      <c r="C43" s="629" t="str">
        <f>IF(A43="","",Calculation!B49)</f>
        <v/>
      </c>
      <c r="D43" s="386" t="str">
        <f>IF(A43="","",Calculation!L49)</f>
        <v/>
      </c>
      <c r="E43" s="387" t="str">
        <f>IF(A43="","",Calculation!J49)</f>
        <v/>
      </c>
      <c r="F43" s="387" t="str">
        <f>IF(A43="","",Calculation!C49)</f>
        <v/>
      </c>
      <c r="G43" s="387" t="str">
        <f>IF(A43="","",LEFT(Calculation!O49,6))</f>
        <v/>
      </c>
      <c r="H43" s="388" t="str">
        <f>IF(A43="","",Calculation!DX49)</f>
        <v/>
      </c>
      <c r="I43" s="387" t="str">
        <f>IF(A43="","",Calculation!P49)</f>
        <v/>
      </c>
      <c r="J43" s="387" t="str">
        <f>IF(A43="","",HLOOKUP(LEFT(Calculation!BO49,7),LookUps!$C$38:$M$41,4))</f>
        <v/>
      </c>
      <c r="K43" s="387" t="str">
        <f>IF(A43="","",Calculation!M49)</f>
        <v/>
      </c>
      <c r="L43" s="387" t="str">
        <f>IF(A43="","",Calculation!S49)</f>
        <v/>
      </c>
      <c r="M43" s="389" t="str">
        <f>IF(A43="","",Calculation!N49)</f>
        <v/>
      </c>
      <c r="N43" s="390" t="str">
        <f>IF(A43="","",Calculation!R49)</f>
        <v/>
      </c>
      <c r="O43" s="391" t="str">
        <f>IF(A43="","",Calculation!$F$6)</f>
        <v/>
      </c>
      <c r="P43" s="392" t="str">
        <f>IF(A43="","",Calculation!$F$7)</f>
        <v/>
      </c>
      <c r="Q43" s="393" t="str">
        <f>IF(A43="","",Calculation!$F$13)</f>
        <v/>
      </c>
      <c r="R43" s="394" t="str">
        <f>IF(A43="","",Calculation!X49)</f>
        <v/>
      </c>
      <c r="S43" s="393" t="str">
        <f>IF(A43="","",Calculation!T49)</f>
        <v/>
      </c>
      <c r="T43" s="395" t="str">
        <f>IF(A43="","",IF(Calculation!$O$8="None","Water",CONCATENATE(Calculation!$O$8,"-",Calculation!$S$8,"%")))</f>
        <v/>
      </c>
      <c r="U43" s="393" t="str">
        <f>IF(A43="","",Calculation!$P$6)</f>
        <v/>
      </c>
      <c r="V43" s="393" t="str">
        <f>IF(A43="","",Calculation!AT49)</f>
        <v/>
      </c>
      <c r="W43" s="396" t="str">
        <f>IF(A43="","",Calculation!AP49)</f>
        <v/>
      </c>
      <c r="X43" s="396" t="str">
        <f>IF(A43="","",Calculation!AO49)</f>
        <v/>
      </c>
      <c r="Y43" s="396" t="str">
        <f>IF(A43="","",Calculation!AQ49)</f>
        <v/>
      </c>
      <c r="Z43" s="396" t="str">
        <f>IF(A43="","",Calculation!$H$6)</f>
        <v/>
      </c>
      <c r="AA43" s="397" t="str">
        <f>IF(A43="","",Calculation!$H$13)</f>
        <v/>
      </c>
      <c r="AB43" s="397" t="str">
        <f>IF(A43="","",Calculation!U49)</f>
        <v/>
      </c>
      <c r="AC43" s="398" t="str">
        <f>IF(A43="","",IF(Calculation!$O$9="None","Water",CONCATENATE(Calculation!$O$9,"-",Calculation!$S$9,"%")))</f>
        <v/>
      </c>
      <c r="AD43" s="396" t="str">
        <f>IF(A43="","",Calculation!$S$6)</f>
        <v/>
      </c>
      <c r="AE43" s="399" t="str">
        <f>IF(A43="","",Calculation!BA49)</f>
        <v/>
      </c>
      <c r="AF43" s="396" t="str">
        <f>IF(A43="","",Calculation!AX49)</f>
        <v/>
      </c>
      <c r="AG43" s="396" t="str">
        <f>IF(A43="","",Calculation!AW49)</f>
        <v/>
      </c>
      <c r="AH43" s="391" t="str">
        <f>IF(A43="","",Calculation!AY49)</f>
        <v/>
      </c>
      <c r="AI43" s="391" t="str">
        <f>IF(A43="","",Calculation!Y49)</f>
        <v/>
      </c>
      <c r="AJ43" s="401" t="str">
        <f>IF(Calculation!BD49&gt;0,Calculation!BD49," ")</f>
        <v xml:space="preserve"> </v>
      </c>
      <c r="AK43" s="401" t="str">
        <f>IF(Calculation!BD49&gt;0,Calculation!BE49," ")</f>
        <v xml:space="preserve"> </v>
      </c>
      <c r="AL43" s="401" t="str">
        <f>IF(Calculation!BD49&gt;0,Calculation!BF49," ")</f>
        <v xml:space="preserve"> </v>
      </c>
      <c r="AM43" s="401" t="str">
        <f>IF(Calculation!BD49&gt;0,Calculation!BG49," ")</f>
        <v xml:space="preserve"> </v>
      </c>
      <c r="AN43" s="391" t="str">
        <f>IF(Calculation!BH49="N/A","N/A",Calculation!BH49)</f>
        <v xml:space="preserve"> </v>
      </c>
      <c r="AO43" s="402" t="str">
        <f>IF(Calculation!BI49="N/A","N/A",Calculation!BI49)</f>
        <v/>
      </c>
      <c r="AP43" s="391" t="str">
        <f>IF(Calculation!BJ49="N/A","N/A",Calculation!BJ49)</f>
        <v/>
      </c>
      <c r="AQ43" s="402" t="str">
        <f>IF(Calculation!BK49="N/A","N/A",Calculation!BK49)</f>
        <v/>
      </c>
      <c r="AR43" s="391" t="str">
        <f>IF(Calculation!BL49="N/A","N/A",Calculation!BL49)</f>
        <v/>
      </c>
      <c r="AS43" s="402" t="str">
        <f>IF(Calculation!BM49="N/A","N/A",Calculation!BM49)</f>
        <v/>
      </c>
      <c r="AT43" s="400"/>
    </row>
    <row r="44" spans="1:46" ht="12.75" customHeight="1">
      <c r="A44" s="224" t="str">
        <f>IF(Calculation!BN50="","",CONCATENATE(Calculation!BO50,"-",Calculation!R50,"-",Calculation!S50,"-",Calculation!T50,"-",Calculation!U50))</f>
        <v/>
      </c>
      <c r="B44" s="224">
        <v>29</v>
      </c>
      <c r="C44" s="629" t="str">
        <f>IF(A44="","",Calculation!B50)</f>
        <v/>
      </c>
      <c r="D44" s="386" t="str">
        <f>IF(A44="","",Calculation!L50)</f>
        <v/>
      </c>
      <c r="E44" s="387" t="str">
        <f>IF(A44="","",Calculation!J50)</f>
        <v/>
      </c>
      <c r="F44" s="387" t="str">
        <f>IF(A44="","",Calculation!C50)</f>
        <v/>
      </c>
      <c r="G44" s="387" t="str">
        <f>IF(A44="","",LEFT(Calculation!O50,6))</f>
        <v/>
      </c>
      <c r="H44" s="388" t="str">
        <f>IF(A44="","",Calculation!DX50)</f>
        <v/>
      </c>
      <c r="I44" s="387" t="str">
        <f>IF(A44="","",Calculation!P50)</f>
        <v/>
      </c>
      <c r="J44" s="387" t="str">
        <f>IF(A44="","",HLOOKUP(LEFT(Calculation!BO50,7),LookUps!$C$38:$M$41,4))</f>
        <v/>
      </c>
      <c r="K44" s="387" t="str">
        <f>IF(A44="","",Calculation!M50)</f>
        <v/>
      </c>
      <c r="L44" s="387" t="str">
        <f>IF(A44="","",Calculation!S50)</f>
        <v/>
      </c>
      <c r="M44" s="389" t="str">
        <f>IF(A44="","",Calculation!N50)</f>
        <v/>
      </c>
      <c r="N44" s="390" t="str">
        <f>IF(A44="","",Calculation!R50)</f>
        <v/>
      </c>
      <c r="O44" s="391" t="str">
        <f>IF(A44="","",Calculation!$F$6)</f>
        <v/>
      </c>
      <c r="P44" s="392" t="str">
        <f>IF(A44="","",Calculation!$F$7)</f>
        <v/>
      </c>
      <c r="Q44" s="393" t="str">
        <f>IF(A44="","",Calculation!$F$13)</f>
        <v/>
      </c>
      <c r="R44" s="394" t="str">
        <f>IF(A44="","",Calculation!X50)</f>
        <v/>
      </c>
      <c r="S44" s="393" t="str">
        <f>IF(A44="","",Calculation!T50)</f>
        <v/>
      </c>
      <c r="T44" s="395" t="str">
        <f>IF(A44="","",IF(Calculation!$O$8="None","Water",CONCATENATE(Calculation!$O$8,"-",Calculation!$S$8,"%")))</f>
        <v/>
      </c>
      <c r="U44" s="393" t="str">
        <f>IF(A44="","",Calculation!$P$6)</f>
        <v/>
      </c>
      <c r="V44" s="393" t="str">
        <f>IF(A44="","",Calculation!AT50)</f>
        <v/>
      </c>
      <c r="W44" s="396" t="str">
        <f>IF(A44="","",Calculation!AP50)</f>
        <v/>
      </c>
      <c r="X44" s="396" t="str">
        <f>IF(A44="","",Calculation!AO50)</f>
        <v/>
      </c>
      <c r="Y44" s="396" t="str">
        <f>IF(A44="","",Calculation!AQ50)</f>
        <v/>
      </c>
      <c r="Z44" s="396" t="str">
        <f>IF(A44="","",Calculation!$H$6)</f>
        <v/>
      </c>
      <c r="AA44" s="397" t="str">
        <f>IF(A44="","",Calculation!$H$13)</f>
        <v/>
      </c>
      <c r="AB44" s="397" t="str">
        <f>IF(A44="","",Calculation!U50)</f>
        <v/>
      </c>
      <c r="AC44" s="398" t="str">
        <f>IF(A44="","",IF(Calculation!$O$9="None","Water",CONCATENATE(Calculation!$O$9,"-",Calculation!$S$9,"%")))</f>
        <v/>
      </c>
      <c r="AD44" s="396" t="str">
        <f>IF(A44="","",Calculation!$S$6)</f>
        <v/>
      </c>
      <c r="AE44" s="399" t="str">
        <f>IF(A44="","",Calculation!BA50)</f>
        <v/>
      </c>
      <c r="AF44" s="396" t="str">
        <f>IF(A44="","",Calculation!AX50)</f>
        <v/>
      </c>
      <c r="AG44" s="396" t="str">
        <f>IF(A44="","",Calculation!AW50)</f>
        <v/>
      </c>
      <c r="AH44" s="391" t="str">
        <f>IF(A44="","",Calculation!AY50)</f>
        <v/>
      </c>
      <c r="AI44" s="391" t="str">
        <f>IF(A44="","",Calculation!Y50)</f>
        <v/>
      </c>
      <c r="AJ44" s="401" t="str">
        <f>IF(Calculation!BD50&gt;0,Calculation!BD50," ")</f>
        <v xml:space="preserve"> </v>
      </c>
      <c r="AK44" s="401" t="str">
        <f>IF(Calculation!BD50&gt;0,Calculation!BE50," ")</f>
        <v xml:space="preserve"> </v>
      </c>
      <c r="AL44" s="401" t="str">
        <f>IF(Calculation!BD50&gt;0,Calculation!BF50," ")</f>
        <v xml:space="preserve"> </v>
      </c>
      <c r="AM44" s="401" t="str">
        <f>IF(Calculation!BD50&gt;0,Calculation!BG50," ")</f>
        <v xml:space="preserve"> </v>
      </c>
      <c r="AN44" s="391" t="str">
        <f>IF(Calculation!BH50="N/A","N/A",Calculation!BH50)</f>
        <v xml:space="preserve"> </v>
      </c>
      <c r="AO44" s="402" t="str">
        <f>IF(Calculation!BI50="N/A","N/A",Calculation!BI50)</f>
        <v/>
      </c>
      <c r="AP44" s="391" t="str">
        <f>IF(Calculation!BJ50="N/A","N/A",Calculation!BJ50)</f>
        <v/>
      </c>
      <c r="AQ44" s="402" t="str">
        <f>IF(Calculation!BK50="N/A","N/A",Calculation!BK50)</f>
        <v/>
      </c>
      <c r="AR44" s="391" t="str">
        <f>IF(Calculation!BL50="N/A","N/A",Calculation!BL50)</f>
        <v/>
      </c>
      <c r="AS44" s="402" t="str">
        <f>IF(Calculation!BM50="N/A","N/A",Calculation!BM50)</f>
        <v/>
      </c>
      <c r="AT44" s="400"/>
    </row>
    <row r="45" spans="1:46" ht="12.75" customHeight="1">
      <c r="A45" s="224" t="str">
        <f>IF(Calculation!BN51="","",CONCATENATE(Calculation!BO51,"-",Calculation!R51,"-",Calculation!S51,"-",Calculation!T51,"-",Calculation!U51))</f>
        <v/>
      </c>
      <c r="B45" s="224">
        <v>30</v>
      </c>
      <c r="C45" s="629" t="str">
        <f>IF(A45="","",Calculation!B51)</f>
        <v/>
      </c>
      <c r="D45" s="386" t="str">
        <f>IF(A45="","",Calculation!L51)</f>
        <v/>
      </c>
      <c r="E45" s="387" t="str">
        <f>IF(A45="","",Calculation!J51)</f>
        <v/>
      </c>
      <c r="F45" s="387" t="str">
        <f>IF(A45="","",Calculation!C51)</f>
        <v/>
      </c>
      <c r="G45" s="387" t="str">
        <f>IF(A45="","",LEFT(Calculation!O51,6))</f>
        <v/>
      </c>
      <c r="H45" s="388" t="str">
        <f>IF(A45="","",Calculation!DX51)</f>
        <v/>
      </c>
      <c r="I45" s="387" t="str">
        <f>IF(A45="","",Calculation!P51)</f>
        <v/>
      </c>
      <c r="J45" s="387" t="str">
        <f>IF(A45="","",HLOOKUP(LEFT(Calculation!BO51,7),LookUps!$C$38:$M$41,4))</f>
        <v/>
      </c>
      <c r="K45" s="387" t="str">
        <f>IF(A45="","",Calculation!M51)</f>
        <v/>
      </c>
      <c r="L45" s="387" t="str">
        <f>IF(A45="","",Calculation!S51)</f>
        <v/>
      </c>
      <c r="M45" s="389" t="str">
        <f>IF(A45="","",Calculation!N51)</f>
        <v/>
      </c>
      <c r="N45" s="390" t="str">
        <f>IF(A45="","",Calculation!R51)</f>
        <v/>
      </c>
      <c r="O45" s="391" t="str">
        <f>IF(A45="","",Calculation!$F$6)</f>
        <v/>
      </c>
      <c r="P45" s="392" t="str">
        <f>IF(A45="","",Calculation!$F$7)</f>
        <v/>
      </c>
      <c r="Q45" s="393" t="str">
        <f>IF(A45="","",Calculation!$F$13)</f>
        <v/>
      </c>
      <c r="R45" s="394" t="str">
        <f>IF(A45="","",Calculation!X51)</f>
        <v/>
      </c>
      <c r="S45" s="393" t="str">
        <f>IF(A45="","",Calculation!T51)</f>
        <v/>
      </c>
      <c r="T45" s="395" t="str">
        <f>IF(A45="","",IF(Calculation!$O$8="None","Water",CONCATENATE(Calculation!$O$8,"-",Calculation!$S$8,"%")))</f>
        <v/>
      </c>
      <c r="U45" s="393" t="str">
        <f>IF(A45="","",Calculation!$P$6)</f>
        <v/>
      </c>
      <c r="V45" s="393" t="str">
        <f>IF(A45="","",Calculation!AT51)</f>
        <v/>
      </c>
      <c r="W45" s="396" t="str">
        <f>IF(A45="","",Calculation!AP51)</f>
        <v/>
      </c>
      <c r="X45" s="396" t="str">
        <f>IF(A45="","",Calculation!AO51)</f>
        <v/>
      </c>
      <c r="Y45" s="396" t="str">
        <f>IF(A45="","",Calculation!AQ51)</f>
        <v/>
      </c>
      <c r="Z45" s="396" t="str">
        <f>IF(A45="","",Calculation!$H$6)</f>
        <v/>
      </c>
      <c r="AA45" s="397" t="str">
        <f>IF(A45="","",Calculation!$H$13)</f>
        <v/>
      </c>
      <c r="AB45" s="397" t="str">
        <f>IF(A45="","",Calculation!U51)</f>
        <v/>
      </c>
      <c r="AC45" s="398" t="str">
        <f>IF(A45="","",IF(Calculation!$O$9="None","Water",CONCATENATE(Calculation!$O$9,"-",Calculation!$S$9,"%")))</f>
        <v/>
      </c>
      <c r="AD45" s="396" t="str">
        <f>IF(A45="","",Calculation!$S$6)</f>
        <v/>
      </c>
      <c r="AE45" s="399" t="str">
        <f>IF(A45="","",Calculation!BA51)</f>
        <v/>
      </c>
      <c r="AF45" s="396" t="str">
        <f>IF(A45="","",Calculation!AX51)</f>
        <v/>
      </c>
      <c r="AG45" s="396" t="str">
        <f>IF(A45="","",Calculation!AW51)</f>
        <v/>
      </c>
      <c r="AH45" s="391" t="str">
        <f>IF(A45="","",Calculation!AY51)</f>
        <v/>
      </c>
      <c r="AI45" s="391" t="str">
        <f>IF(A45="","",Calculation!Y51)</f>
        <v/>
      </c>
      <c r="AJ45" s="401" t="str">
        <f>IF(Calculation!BD51&gt;0,Calculation!BD51," ")</f>
        <v xml:space="preserve"> </v>
      </c>
      <c r="AK45" s="401" t="str">
        <f>IF(Calculation!BD51&gt;0,Calculation!BE51," ")</f>
        <v xml:space="preserve"> </v>
      </c>
      <c r="AL45" s="401" t="str">
        <f>IF(Calculation!BD51&gt;0,Calculation!BF51," ")</f>
        <v xml:space="preserve"> </v>
      </c>
      <c r="AM45" s="401" t="str">
        <f>IF(Calculation!BD51&gt;0,Calculation!BG51," ")</f>
        <v xml:space="preserve"> </v>
      </c>
      <c r="AN45" s="391" t="str">
        <f>IF(Calculation!BH51="N/A","N/A",Calculation!BH51)</f>
        <v xml:space="preserve"> </v>
      </c>
      <c r="AO45" s="402" t="str">
        <f>IF(Calculation!BI51="N/A","N/A",Calculation!BI51)</f>
        <v/>
      </c>
      <c r="AP45" s="391" t="str">
        <f>IF(Calculation!BJ51="N/A","N/A",Calculation!BJ51)</f>
        <v/>
      </c>
      <c r="AQ45" s="402" t="str">
        <f>IF(Calculation!BK51="N/A","N/A",Calculation!BK51)</f>
        <v/>
      </c>
      <c r="AR45" s="391" t="str">
        <f>IF(Calculation!BL51="N/A","N/A",Calculation!BL51)</f>
        <v/>
      </c>
      <c r="AS45" s="402" t="str">
        <f>IF(Calculation!BM51="N/A","N/A",Calculation!BM51)</f>
        <v/>
      </c>
      <c r="AT45" s="400"/>
    </row>
    <row r="46" spans="1:46" ht="12.75" customHeight="1">
      <c r="A46" s="224" t="str">
        <f>IF(Calculation!BN52="","",CONCATENATE(Calculation!BO52,"-",Calculation!R52,"-",Calculation!S52,"-",Calculation!T52,"-",Calculation!U52))</f>
        <v/>
      </c>
      <c r="B46" s="224">
        <v>31</v>
      </c>
      <c r="C46" s="629" t="str">
        <f>IF(A46="","",Calculation!B52)</f>
        <v/>
      </c>
      <c r="D46" s="386" t="str">
        <f>IF(A46="","",Calculation!L52)</f>
        <v/>
      </c>
      <c r="E46" s="387" t="str">
        <f>IF(A46="","",Calculation!J52)</f>
        <v/>
      </c>
      <c r="F46" s="387" t="str">
        <f>IF(A46="","",Calculation!C52)</f>
        <v/>
      </c>
      <c r="G46" s="387" t="str">
        <f>IF(A46="","",LEFT(Calculation!O52,6))</f>
        <v/>
      </c>
      <c r="H46" s="388" t="str">
        <f>IF(A46="","",Calculation!DX52)</f>
        <v/>
      </c>
      <c r="I46" s="387" t="str">
        <f>IF(A46="","",Calculation!P52)</f>
        <v/>
      </c>
      <c r="J46" s="387" t="str">
        <f>IF(A46="","",HLOOKUP(LEFT(Calculation!BO52,7),LookUps!$C$38:$M$41,4))</f>
        <v/>
      </c>
      <c r="K46" s="387" t="str">
        <f>IF(A46="","",Calculation!M52)</f>
        <v/>
      </c>
      <c r="L46" s="387" t="str">
        <f>IF(A46="","",Calculation!S52)</f>
        <v/>
      </c>
      <c r="M46" s="389" t="str">
        <f>IF(A46="","",Calculation!N52)</f>
        <v/>
      </c>
      <c r="N46" s="390" t="str">
        <f>IF(A46="","",Calculation!R52)</f>
        <v/>
      </c>
      <c r="O46" s="391" t="str">
        <f>IF(A46="","",Calculation!$F$6)</f>
        <v/>
      </c>
      <c r="P46" s="392" t="str">
        <f>IF(A46="","",Calculation!$F$7)</f>
        <v/>
      </c>
      <c r="Q46" s="393" t="str">
        <f>IF(A46="","",Calculation!$F$13)</f>
        <v/>
      </c>
      <c r="R46" s="394" t="str">
        <f>IF(A46="","",Calculation!X52)</f>
        <v/>
      </c>
      <c r="S46" s="393" t="str">
        <f>IF(A46="","",Calculation!T52)</f>
        <v/>
      </c>
      <c r="T46" s="395" t="str">
        <f>IF(A46="","",IF(Calculation!$O$8="None","Water",CONCATENATE(Calculation!$O$8,"-",Calculation!$S$8,"%")))</f>
        <v/>
      </c>
      <c r="U46" s="393" t="str">
        <f>IF(A46="","",Calculation!$P$6)</f>
        <v/>
      </c>
      <c r="V46" s="393" t="str">
        <f>IF(A46="","",Calculation!AT52)</f>
        <v/>
      </c>
      <c r="W46" s="396" t="str">
        <f>IF(A46="","",Calculation!AP52)</f>
        <v/>
      </c>
      <c r="X46" s="396" t="str">
        <f>IF(A46="","",Calculation!AO52)</f>
        <v/>
      </c>
      <c r="Y46" s="396" t="str">
        <f>IF(A46="","",Calculation!AQ52)</f>
        <v/>
      </c>
      <c r="Z46" s="396" t="str">
        <f>IF(A46="","",Calculation!$H$6)</f>
        <v/>
      </c>
      <c r="AA46" s="397" t="str">
        <f>IF(A46="","",Calculation!$H$13)</f>
        <v/>
      </c>
      <c r="AB46" s="397" t="str">
        <f>IF(A46="","",Calculation!U52)</f>
        <v/>
      </c>
      <c r="AC46" s="398" t="str">
        <f>IF(A46="","",IF(Calculation!$O$9="None","Water",CONCATENATE(Calculation!$O$9,"-",Calculation!$S$9,"%")))</f>
        <v/>
      </c>
      <c r="AD46" s="396" t="str">
        <f>IF(A46="","",Calculation!$S$6)</f>
        <v/>
      </c>
      <c r="AE46" s="399" t="str">
        <f>IF(A46="","",Calculation!BA52)</f>
        <v/>
      </c>
      <c r="AF46" s="396" t="str">
        <f>IF(A46="","",Calculation!AX52)</f>
        <v/>
      </c>
      <c r="AG46" s="396" t="str">
        <f>IF(A46="","",Calculation!AW52)</f>
        <v/>
      </c>
      <c r="AH46" s="391" t="str">
        <f>IF(A46="","",Calculation!AY52)</f>
        <v/>
      </c>
      <c r="AI46" s="391" t="str">
        <f>IF(A46="","",Calculation!Y52)</f>
        <v/>
      </c>
      <c r="AJ46" s="401" t="str">
        <f>IF(Calculation!BD52&gt;0,Calculation!BD52," ")</f>
        <v xml:space="preserve"> </v>
      </c>
      <c r="AK46" s="401" t="str">
        <f>IF(Calculation!BD52&gt;0,Calculation!BE52," ")</f>
        <v xml:space="preserve"> </v>
      </c>
      <c r="AL46" s="401" t="str">
        <f>IF(Calculation!BD52&gt;0,Calculation!BF52," ")</f>
        <v xml:space="preserve"> </v>
      </c>
      <c r="AM46" s="401" t="str">
        <f>IF(Calculation!BD52&gt;0,Calculation!BG52," ")</f>
        <v xml:space="preserve"> </v>
      </c>
      <c r="AN46" s="391" t="str">
        <f>IF(Calculation!BH52="N/A","N/A",Calculation!BH52)</f>
        <v xml:space="preserve"> </v>
      </c>
      <c r="AO46" s="402" t="str">
        <f>IF(Calculation!BI52="N/A","N/A",Calculation!BI52)</f>
        <v/>
      </c>
      <c r="AP46" s="391" t="str">
        <f>IF(Calculation!BJ52="N/A","N/A",Calculation!BJ52)</f>
        <v/>
      </c>
      <c r="AQ46" s="402" t="str">
        <f>IF(Calculation!BK52="N/A","N/A",Calculation!BK52)</f>
        <v/>
      </c>
      <c r="AR46" s="391" t="str">
        <f>IF(Calculation!BL52="N/A","N/A",Calculation!BL52)</f>
        <v/>
      </c>
      <c r="AS46" s="402" t="str">
        <f>IF(Calculation!BM52="N/A","N/A",Calculation!BM52)</f>
        <v/>
      </c>
      <c r="AT46" s="400"/>
    </row>
    <row r="47" spans="1:46" ht="12.75" customHeight="1">
      <c r="A47" s="224" t="str">
        <f>IF(Calculation!BN53="","",CONCATENATE(Calculation!BO53,"-",Calculation!R53,"-",Calculation!S53,"-",Calculation!T53,"-",Calculation!U53))</f>
        <v/>
      </c>
      <c r="B47" s="224">
        <v>32</v>
      </c>
      <c r="C47" s="629" t="str">
        <f>IF(A47="","",Calculation!B53)</f>
        <v/>
      </c>
      <c r="D47" s="386" t="str">
        <f>IF(A47="","",Calculation!L53)</f>
        <v/>
      </c>
      <c r="E47" s="387" t="str">
        <f>IF(A47="","",Calculation!J53)</f>
        <v/>
      </c>
      <c r="F47" s="387" t="str">
        <f>IF(A47="","",Calculation!C53)</f>
        <v/>
      </c>
      <c r="G47" s="387" t="str">
        <f>IF(A47="","",LEFT(Calculation!O53,6))</f>
        <v/>
      </c>
      <c r="H47" s="388" t="str">
        <f>IF(A47="","",Calculation!DX53)</f>
        <v/>
      </c>
      <c r="I47" s="387" t="str">
        <f>IF(A47="","",Calculation!P53)</f>
        <v/>
      </c>
      <c r="J47" s="387" t="str">
        <f>IF(A47="","",HLOOKUP(LEFT(Calculation!BO53,7),LookUps!$C$38:$M$41,4))</f>
        <v/>
      </c>
      <c r="K47" s="387" t="str">
        <f>IF(A47="","",Calculation!M53)</f>
        <v/>
      </c>
      <c r="L47" s="387" t="str">
        <f>IF(A47="","",Calculation!S53)</f>
        <v/>
      </c>
      <c r="M47" s="389" t="str">
        <f>IF(A47="","",Calculation!N53)</f>
        <v/>
      </c>
      <c r="N47" s="390" t="str">
        <f>IF(A47="","",Calculation!R53)</f>
        <v/>
      </c>
      <c r="O47" s="391" t="str">
        <f>IF(A47="","",Calculation!$F$6)</f>
        <v/>
      </c>
      <c r="P47" s="392" t="str">
        <f>IF(A47="","",Calculation!$F$7)</f>
        <v/>
      </c>
      <c r="Q47" s="393" t="str">
        <f>IF(A47="","",Calculation!$F$13)</f>
        <v/>
      </c>
      <c r="R47" s="394" t="str">
        <f>IF(A47="","",Calculation!X53)</f>
        <v/>
      </c>
      <c r="S47" s="393" t="str">
        <f>IF(A47="","",Calculation!T53)</f>
        <v/>
      </c>
      <c r="T47" s="395" t="str">
        <f>IF(A47="","",IF(Calculation!$O$8="None","Water",CONCATENATE(Calculation!$O$8,"-",Calculation!$S$8,"%")))</f>
        <v/>
      </c>
      <c r="U47" s="393" t="str">
        <f>IF(A47="","",Calculation!$P$6)</f>
        <v/>
      </c>
      <c r="V47" s="393" t="str">
        <f>IF(A47="","",Calculation!AT53)</f>
        <v/>
      </c>
      <c r="W47" s="396" t="str">
        <f>IF(A47="","",Calculation!AP53)</f>
        <v/>
      </c>
      <c r="X47" s="396" t="str">
        <f>IF(A47="","",Calculation!AO53)</f>
        <v/>
      </c>
      <c r="Y47" s="396" t="str">
        <f>IF(A47="","",Calculation!AQ53)</f>
        <v/>
      </c>
      <c r="Z47" s="396" t="str">
        <f>IF(A47="","",Calculation!$H$6)</f>
        <v/>
      </c>
      <c r="AA47" s="397" t="str">
        <f>IF(A47="","",Calculation!$H$13)</f>
        <v/>
      </c>
      <c r="AB47" s="397" t="str">
        <f>IF(A47="","",Calculation!U53)</f>
        <v/>
      </c>
      <c r="AC47" s="398" t="str">
        <f>IF(A47="","",IF(Calculation!$O$9="None","Water",CONCATENATE(Calculation!$O$9,"-",Calculation!$S$9,"%")))</f>
        <v/>
      </c>
      <c r="AD47" s="396" t="str">
        <f>IF(A47="","",Calculation!$S$6)</f>
        <v/>
      </c>
      <c r="AE47" s="399" t="str">
        <f>IF(A47="","",Calculation!BA53)</f>
        <v/>
      </c>
      <c r="AF47" s="396" t="str">
        <f>IF(A47="","",Calculation!AX53)</f>
        <v/>
      </c>
      <c r="AG47" s="396" t="str">
        <f>IF(A47="","",Calculation!AW53)</f>
        <v/>
      </c>
      <c r="AH47" s="391" t="str">
        <f>IF(A47="","",Calculation!AY53)</f>
        <v/>
      </c>
      <c r="AI47" s="391" t="str">
        <f>IF(A47="","",Calculation!Y53)</f>
        <v/>
      </c>
      <c r="AJ47" s="401" t="str">
        <f>IF(Calculation!BD53&gt;0,Calculation!BD53," ")</f>
        <v xml:space="preserve"> </v>
      </c>
      <c r="AK47" s="401" t="str">
        <f>IF(Calculation!BD53&gt;0,Calculation!BE53," ")</f>
        <v xml:space="preserve"> </v>
      </c>
      <c r="AL47" s="401" t="str">
        <f>IF(Calculation!BD53&gt;0,Calculation!BF53," ")</f>
        <v xml:space="preserve"> </v>
      </c>
      <c r="AM47" s="401" t="str">
        <f>IF(Calculation!BD53&gt;0,Calculation!BG53," ")</f>
        <v xml:space="preserve"> </v>
      </c>
      <c r="AN47" s="391" t="str">
        <f>IF(Calculation!BH53="N/A","N/A",Calculation!BH53)</f>
        <v xml:space="preserve"> </v>
      </c>
      <c r="AO47" s="402" t="str">
        <f>IF(Calculation!BI53="N/A","N/A",Calculation!BI53)</f>
        <v/>
      </c>
      <c r="AP47" s="391" t="str">
        <f>IF(Calculation!BJ53="N/A","N/A",Calculation!BJ53)</f>
        <v/>
      </c>
      <c r="AQ47" s="402" t="str">
        <f>IF(Calculation!BK53="N/A","N/A",Calculation!BK53)</f>
        <v/>
      </c>
      <c r="AR47" s="391" t="str">
        <f>IF(Calculation!BL53="N/A","N/A",Calculation!BL53)</f>
        <v/>
      </c>
      <c r="AS47" s="402" t="str">
        <f>IF(Calculation!BM53="N/A","N/A",Calculation!BM53)</f>
        <v/>
      </c>
      <c r="AT47" s="400"/>
    </row>
    <row r="48" spans="1:46" ht="12.75" customHeight="1">
      <c r="A48" s="224" t="str">
        <f>IF(Calculation!BN54="","",CONCATENATE(Calculation!BO54,"-",Calculation!R54,"-",Calculation!S54,"-",Calculation!T54,"-",Calculation!U54))</f>
        <v/>
      </c>
      <c r="B48" s="224">
        <v>33</v>
      </c>
      <c r="C48" s="629" t="str">
        <f>IF(A48="","",Calculation!B54)</f>
        <v/>
      </c>
      <c r="D48" s="386" t="str">
        <f>IF(A48="","",Calculation!L54)</f>
        <v/>
      </c>
      <c r="E48" s="387" t="str">
        <f>IF(A48="","",Calculation!J54)</f>
        <v/>
      </c>
      <c r="F48" s="387" t="str">
        <f>IF(A48="","",Calculation!C54)</f>
        <v/>
      </c>
      <c r="G48" s="387" t="str">
        <f>IF(A48="","",LEFT(Calculation!O54,6))</f>
        <v/>
      </c>
      <c r="H48" s="388" t="str">
        <f>IF(A48="","",Calculation!DX54)</f>
        <v/>
      </c>
      <c r="I48" s="387" t="str">
        <f>IF(A48="","",Calculation!P54)</f>
        <v/>
      </c>
      <c r="J48" s="387" t="str">
        <f>IF(A48="","",HLOOKUP(LEFT(Calculation!BO54,7),LookUps!$C$38:$M$41,4))</f>
        <v/>
      </c>
      <c r="K48" s="387" t="str">
        <f>IF(A48="","",Calculation!M54)</f>
        <v/>
      </c>
      <c r="L48" s="387" t="str">
        <f>IF(A48="","",Calculation!S54)</f>
        <v/>
      </c>
      <c r="M48" s="389" t="str">
        <f>IF(A48="","",Calculation!N54)</f>
        <v/>
      </c>
      <c r="N48" s="390" t="str">
        <f>IF(A48="","",Calculation!R54)</f>
        <v/>
      </c>
      <c r="O48" s="391" t="str">
        <f>IF(A48="","",Calculation!$F$6)</f>
        <v/>
      </c>
      <c r="P48" s="392" t="str">
        <f>IF(A48="","",Calculation!$F$7)</f>
        <v/>
      </c>
      <c r="Q48" s="393" t="str">
        <f>IF(A48="","",Calculation!$F$13)</f>
        <v/>
      </c>
      <c r="R48" s="394" t="str">
        <f>IF(A48="","",Calculation!X54)</f>
        <v/>
      </c>
      <c r="S48" s="393" t="str">
        <f>IF(A48="","",Calculation!T54)</f>
        <v/>
      </c>
      <c r="T48" s="395" t="str">
        <f>IF(A48="","",IF(Calculation!$O$8="None","Water",CONCATENATE(Calculation!$O$8,"-",Calculation!$S$8,"%")))</f>
        <v/>
      </c>
      <c r="U48" s="393" t="str">
        <f>IF(A48="","",Calculation!$P$6)</f>
        <v/>
      </c>
      <c r="V48" s="393" t="str">
        <f>IF(A48="","",Calculation!AT54)</f>
        <v/>
      </c>
      <c r="W48" s="396" t="str">
        <f>IF(A48="","",Calculation!AP54)</f>
        <v/>
      </c>
      <c r="X48" s="396" t="str">
        <f>IF(A48="","",Calculation!AO54)</f>
        <v/>
      </c>
      <c r="Y48" s="396" t="str">
        <f>IF(A48="","",Calculation!AQ54)</f>
        <v/>
      </c>
      <c r="Z48" s="396" t="str">
        <f>IF(A48="","",Calculation!$H$6)</f>
        <v/>
      </c>
      <c r="AA48" s="397" t="str">
        <f>IF(A48="","",Calculation!$H$13)</f>
        <v/>
      </c>
      <c r="AB48" s="397" t="str">
        <f>IF(A48="","",Calculation!U54)</f>
        <v/>
      </c>
      <c r="AC48" s="398" t="str">
        <f>IF(A48="","",IF(Calculation!$O$9="None","Water",CONCATENATE(Calculation!$O$9,"-",Calculation!$S$9,"%")))</f>
        <v/>
      </c>
      <c r="AD48" s="396" t="str">
        <f>IF(A48="","",Calculation!$S$6)</f>
        <v/>
      </c>
      <c r="AE48" s="399" t="str">
        <f>IF(A48="","",Calculation!BA54)</f>
        <v/>
      </c>
      <c r="AF48" s="396" t="str">
        <f>IF(A48="","",Calculation!AX54)</f>
        <v/>
      </c>
      <c r="AG48" s="396" t="str">
        <f>IF(A48="","",Calculation!AW54)</f>
        <v/>
      </c>
      <c r="AH48" s="391" t="str">
        <f>IF(A48="","",Calculation!AY54)</f>
        <v/>
      </c>
      <c r="AI48" s="391" t="str">
        <f>IF(A48="","",Calculation!Y54)</f>
        <v/>
      </c>
      <c r="AJ48" s="401" t="str">
        <f>IF(Calculation!BD54&gt;0,Calculation!BD54," ")</f>
        <v xml:space="preserve"> </v>
      </c>
      <c r="AK48" s="401" t="str">
        <f>IF(Calculation!BD54&gt;0,Calculation!BE54," ")</f>
        <v xml:space="preserve"> </v>
      </c>
      <c r="AL48" s="401" t="str">
        <f>IF(Calculation!BD54&gt;0,Calculation!BF54," ")</f>
        <v xml:space="preserve"> </v>
      </c>
      <c r="AM48" s="401" t="str">
        <f>IF(Calculation!BD54&gt;0,Calculation!BG54," ")</f>
        <v xml:space="preserve"> </v>
      </c>
      <c r="AN48" s="391" t="str">
        <f>IF(Calculation!BH54="N/A","N/A",Calculation!BH54)</f>
        <v xml:space="preserve"> </v>
      </c>
      <c r="AO48" s="402" t="str">
        <f>IF(Calculation!BI54="N/A","N/A",Calculation!BI54)</f>
        <v/>
      </c>
      <c r="AP48" s="391" t="str">
        <f>IF(Calculation!BJ54="N/A","N/A",Calculation!BJ54)</f>
        <v/>
      </c>
      <c r="AQ48" s="402" t="str">
        <f>IF(Calculation!BK54="N/A","N/A",Calculation!BK54)</f>
        <v/>
      </c>
      <c r="AR48" s="391" t="str">
        <f>IF(Calculation!BL54="N/A","N/A",Calculation!BL54)</f>
        <v/>
      </c>
      <c r="AS48" s="402" t="str">
        <f>IF(Calculation!BM54="N/A","N/A",Calculation!BM54)</f>
        <v/>
      </c>
      <c r="AT48" s="400"/>
    </row>
    <row r="49" spans="1:46" ht="12.75" customHeight="1">
      <c r="A49" s="224" t="str">
        <f>IF(Calculation!BN55="","",CONCATENATE(Calculation!BO55,"-",Calculation!R55,"-",Calculation!S55,"-",Calculation!T55,"-",Calculation!U55))</f>
        <v/>
      </c>
      <c r="B49" s="224">
        <v>34</v>
      </c>
      <c r="C49" s="629" t="str">
        <f>IF(A49="","",Calculation!B55)</f>
        <v/>
      </c>
      <c r="D49" s="386" t="str">
        <f>IF(A49="","",Calculation!L55)</f>
        <v/>
      </c>
      <c r="E49" s="387" t="str">
        <f>IF(A49="","",Calculation!J55)</f>
        <v/>
      </c>
      <c r="F49" s="387" t="str">
        <f>IF(A49="","",Calculation!C55)</f>
        <v/>
      </c>
      <c r="G49" s="387" t="str">
        <f>IF(A49="","",LEFT(Calculation!O55,6))</f>
        <v/>
      </c>
      <c r="H49" s="388" t="str">
        <f>IF(A49="","",Calculation!DX55)</f>
        <v/>
      </c>
      <c r="I49" s="387" t="str">
        <f>IF(A49="","",Calculation!P55)</f>
        <v/>
      </c>
      <c r="J49" s="387" t="str">
        <f>IF(A49="","",HLOOKUP(LEFT(Calculation!BO55,7),LookUps!$C$38:$M$41,4))</f>
        <v/>
      </c>
      <c r="K49" s="387" t="str">
        <f>IF(A49="","",Calculation!M55)</f>
        <v/>
      </c>
      <c r="L49" s="387" t="str">
        <f>IF(A49="","",Calculation!S55)</f>
        <v/>
      </c>
      <c r="M49" s="389" t="str">
        <f>IF(A49="","",Calculation!N55)</f>
        <v/>
      </c>
      <c r="N49" s="390" t="str">
        <f>IF(A49="","",Calculation!R55)</f>
        <v/>
      </c>
      <c r="O49" s="391" t="str">
        <f>IF(A49="","",Calculation!$F$6)</f>
        <v/>
      </c>
      <c r="P49" s="392" t="str">
        <f>IF(A49="","",Calculation!$F$7)</f>
        <v/>
      </c>
      <c r="Q49" s="393" t="str">
        <f>IF(A49="","",Calculation!$F$13)</f>
        <v/>
      </c>
      <c r="R49" s="394" t="str">
        <f>IF(A49="","",Calculation!X55)</f>
        <v/>
      </c>
      <c r="S49" s="393" t="str">
        <f>IF(A49="","",Calculation!T55)</f>
        <v/>
      </c>
      <c r="T49" s="395" t="str">
        <f>IF(A49="","",IF(Calculation!$O$8="None","Water",CONCATENATE(Calculation!$O$8,"-",Calculation!$S$8,"%")))</f>
        <v/>
      </c>
      <c r="U49" s="393" t="str">
        <f>IF(A49="","",Calculation!$P$6)</f>
        <v/>
      </c>
      <c r="V49" s="393" t="str">
        <f>IF(A49="","",Calculation!AT55)</f>
        <v/>
      </c>
      <c r="W49" s="396" t="str">
        <f>IF(A49="","",Calculation!AP55)</f>
        <v/>
      </c>
      <c r="X49" s="396" t="str">
        <f>IF(A49="","",Calculation!AO55)</f>
        <v/>
      </c>
      <c r="Y49" s="396" t="str">
        <f>IF(A49="","",Calculation!AQ55)</f>
        <v/>
      </c>
      <c r="Z49" s="396" t="str">
        <f>IF(A49="","",Calculation!$H$6)</f>
        <v/>
      </c>
      <c r="AA49" s="397" t="str">
        <f>IF(A49="","",Calculation!$H$13)</f>
        <v/>
      </c>
      <c r="AB49" s="397" t="str">
        <f>IF(A49="","",Calculation!U55)</f>
        <v/>
      </c>
      <c r="AC49" s="398" t="str">
        <f>IF(A49="","",IF(Calculation!$O$9="None","Water",CONCATENATE(Calculation!$O$9,"-",Calculation!$S$9,"%")))</f>
        <v/>
      </c>
      <c r="AD49" s="396" t="str">
        <f>IF(A49="","",Calculation!$S$6)</f>
        <v/>
      </c>
      <c r="AE49" s="399" t="str">
        <f>IF(A49="","",Calculation!BA55)</f>
        <v/>
      </c>
      <c r="AF49" s="396" t="str">
        <f>IF(A49="","",Calculation!AX55)</f>
        <v/>
      </c>
      <c r="AG49" s="396" t="str">
        <f>IF(A49="","",Calculation!AW55)</f>
        <v/>
      </c>
      <c r="AH49" s="391" t="str">
        <f>IF(A49="","",Calculation!AY55)</f>
        <v/>
      </c>
      <c r="AI49" s="391" t="str">
        <f>IF(A49="","",Calculation!Y55)</f>
        <v/>
      </c>
      <c r="AJ49" s="401" t="str">
        <f>IF(Calculation!BD55&gt;0,Calculation!BD55," ")</f>
        <v xml:space="preserve"> </v>
      </c>
      <c r="AK49" s="401" t="str">
        <f>IF(Calculation!BD55&gt;0,Calculation!BE55," ")</f>
        <v xml:space="preserve"> </v>
      </c>
      <c r="AL49" s="401" t="str">
        <f>IF(Calculation!BD55&gt;0,Calculation!BF55," ")</f>
        <v xml:space="preserve"> </v>
      </c>
      <c r="AM49" s="401" t="str">
        <f>IF(Calculation!BD55&gt;0,Calculation!BG55," ")</f>
        <v xml:space="preserve"> </v>
      </c>
      <c r="AN49" s="391" t="str">
        <f>IF(Calculation!BH55="N/A","N/A",Calculation!BH55)</f>
        <v xml:space="preserve"> </v>
      </c>
      <c r="AO49" s="402" t="str">
        <f>IF(Calculation!BI55="N/A","N/A",Calculation!BI55)</f>
        <v/>
      </c>
      <c r="AP49" s="391" t="str">
        <f>IF(Calculation!BJ55="N/A","N/A",Calculation!BJ55)</f>
        <v/>
      </c>
      <c r="AQ49" s="402" t="str">
        <f>IF(Calculation!BK55="N/A","N/A",Calculation!BK55)</f>
        <v/>
      </c>
      <c r="AR49" s="391" t="str">
        <f>IF(Calculation!BL55="N/A","N/A",Calculation!BL55)</f>
        <v/>
      </c>
      <c r="AS49" s="402" t="str">
        <f>IF(Calculation!BM55="N/A","N/A",Calculation!BM55)</f>
        <v/>
      </c>
      <c r="AT49" s="400"/>
    </row>
    <row r="50" spans="1:46" ht="12.75" customHeight="1">
      <c r="A50" s="224" t="str">
        <f>IF(Calculation!BN56="","",CONCATENATE(Calculation!BO56,"-",Calculation!R56,"-",Calculation!S56,"-",Calculation!T56,"-",Calculation!U56))</f>
        <v/>
      </c>
      <c r="B50" s="224">
        <v>35</v>
      </c>
      <c r="C50" s="629" t="str">
        <f>IF(A50="","",Calculation!B56)</f>
        <v/>
      </c>
      <c r="D50" s="386" t="str">
        <f>IF(A50="","",Calculation!L56)</f>
        <v/>
      </c>
      <c r="E50" s="387" t="str">
        <f>IF(A50="","",Calculation!J56)</f>
        <v/>
      </c>
      <c r="F50" s="387" t="str">
        <f>IF(A50="","",Calculation!C56)</f>
        <v/>
      </c>
      <c r="G50" s="387" t="str">
        <f>IF(A50="","",LEFT(Calculation!O56,6))</f>
        <v/>
      </c>
      <c r="H50" s="388" t="str">
        <f>IF(A50="","",Calculation!DX56)</f>
        <v/>
      </c>
      <c r="I50" s="387" t="str">
        <f>IF(A50="","",Calculation!P56)</f>
        <v/>
      </c>
      <c r="J50" s="387" t="str">
        <f>IF(A50="","",HLOOKUP(LEFT(Calculation!BO56,7),LookUps!$C$38:$M$41,4))</f>
        <v/>
      </c>
      <c r="K50" s="387" t="str">
        <f>IF(A50="","",Calculation!M56)</f>
        <v/>
      </c>
      <c r="L50" s="387" t="str">
        <f>IF(A50="","",Calculation!S56)</f>
        <v/>
      </c>
      <c r="M50" s="389" t="str">
        <f>IF(A50="","",Calculation!N56)</f>
        <v/>
      </c>
      <c r="N50" s="390" t="str">
        <f>IF(A50="","",Calculation!R56)</f>
        <v/>
      </c>
      <c r="O50" s="391" t="str">
        <f>IF(A50="","",Calculation!$F$6)</f>
        <v/>
      </c>
      <c r="P50" s="392" t="str">
        <f>IF(A50="","",Calculation!$F$7)</f>
        <v/>
      </c>
      <c r="Q50" s="393" t="str">
        <f>IF(A50="","",Calculation!$F$13)</f>
        <v/>
      </c>
      <c r="R50" s="394" t="str">
        <f>IF(A50="","",Calculation!X56)</f>
        <v/>
      </c>
      <c r="S50" s="393" t="str">
        <f>IF(A50="","",Calculation!T56)</f>
        <v/>
      </c>
      <c r="T50" s="395" t="str">
        <f>IF(A50="","",IF(Calculation!$O$8="None","Water",CONCATENATE(Calculation!$O$8,"-",Calculation!$S$8,"%")))</f>
        <v/>
      </c>
      <c r="U50" s="393" t="str">
        <f>IF(A50="","",Calculation!$P$6)</f>
        <v/>
      </c>
      <c r="V50" s="393" t="str">
        <f>IF(A50="","",Calculation!AT56)</f>
        <v/>
      </c>
      <c r="W50" s="396" t="str">
        <f>IF(A50="","",Calculation!AP56)</f>
        <v/>
      </c>
      <c r="X50" s="396" t="str">
        <f>IF(A50="","",Calculation!AO56)</f>
        <v/>
      </c>
      <c r="Y50" s="396" t="str">
        <f>IF(A50="","",Calculation!AQ56)</f>
        <v/>
      </c>
      <c r="Z50" s="396" t="str">
        <f>IF(A50="","",Calculation!$H$6)</f>
        <v/>
      </c>
      <c r="AA50" s="397" t="str">
        <f>IF(A50="","",Calculation!$H$13)</f>
        <v/>
      </c>
      <c r="AB50" s="397" t="str">
        <f>IF(A50="","",Calculation!U56)</f>
        <v/>
      </c>
      <c r="AC50" s="398" t="str">
        <f>IF(A50="","",IF(Calculation!$O$9="None","Water",CONCATENATE(Calculation!$O$9,"-",Calculation!$S$9,"%")))</f>
        <v/>
      </c>
      <c r="AD50" s="396" t="str">
        <f>IF(A50="","",Calculation!$S$6)</f>
        <v/>
      </c>
      <c r="AE50" s="399" t="str">
        <f>IF(A50="","",Calculation!BA56)</f>
        <v/>
      </c>
      <c r="AF50" s="396" t="str">
        <f>IF(A50="","",Calculation!AX56)</f>
        <v/>
      </c>
      <c r="AG50" s="396" t="str">
        <f>IF(A50="","",Calculation!AW56)</f>
        <v/>
      </c>
      <c r="AH50" s="391" t="str">
        <f>IF(A50="","",Calculation!AY56)</f>
        <v/>
      </c>
      <c r="AI50" s="391" t="str">
        <f>IF(A50="","",Calculation!Y56)</f>
        <v/>
      </c>
      <c r="AJ50" s="401" t="str">
        <f>IF(Calculation!BD56&gt;0,Calculation!BD56," ")</f>
        <v xml:space="preserve"> </v>
      </c>
      <c r="AK50" s="401" t="str">
        <f>IF(Calculation!BD56&gt;0,Calculation!BE56," ")</f>
        <v xml:space="preserve"> </v>
      </c>
      <c r="AL50" s="401" t="str">
        <f>IF(Calculation!BD56&gt;0,Calculation!BF56," ")</f>
        <v xml:space="preserve"> </v>
      </c>
      <c r="AM50" s="401" t="str">
        <f>IF(Calculation!BD56&gt;0,Calculation!BG56," ")</f>
        <v xml:space="preserve"> </v>
      </c>
      <c r="AN50" s="391" t="str">
        <f>IF(Calculation!BH56="N/A","N/A",Calculation!BH56)</f>
        <v xml:space="preserve"> </v>
      </c>
      <c r="AO50" s="402" t="str">
        <f>IF(Calculation!BI56="N/A","N/A",Calculation!BI56)</f>
        <v/>
      </c>
      <c r="AP50" s="391" t="str">
        <f>IF(Calculation!BJ56="N/A","N/A",Calculation!BJ56)</f>
        <v/>
      </c>
      <c r="AQ50" s="402" t="str">
        <f>IF(Calculation!BK56="N/A","N/A",Calculation!BK56)</f>
        <v/>
      </c>
      <c r="AR50" s="391" t="str">
        <f>IF(Calculation!BL56="N/A","N/A",Calculation!BL56)</f>
        <v/>
      </c>
      <c r="AS50" s="402" t="str">
        <f>IF(Calculation!BM56="N/A","N/A",Calculation!BM56)</f>
        <v/>
      </c>
      <c r="AT50" s="400"/>
    </row>
    <row r="51" spans="1:46" ht="12.75" customHeight="1">
      <c r="A51" s="224" t="str">
        <f>IF(Calculation!BN57="","",CONCATENATE(Calculation!BO57,"-",Calculation!R57,"-",Calculation!S57,"-",Calculation!T57,"-",Calculation!U57))</f>
        <v/>
      </c>
      <c r="B51" s="224">
        <v>36</v>
      </c>
      <c r="C51" s="629" t="str">
        <f>IF(A51="","",Calculation!B57)</f>
        <v/>
      </c>
      <c r="D51" s="386" t="str">
        <f>IF(A51="","",Calculation!L57)</f>
        <v/>
      </c>
      <c r="E51" s="387" t="str">
        <f>IF(A51="","",Calculation!J57)</f>
        <v/>
      </c>
      <c r="F51" s="387" t="str">
        <f>IF(A51="","",Calculation!C57)</f>
        <v/>
      </c>
      <c r="G51" s="387" t="str">
        <f>IF(A51="","",LEFT(Calculation!O57,6))</f>
        <v/>
      </c>
      <c r="H51" s="388" t="str">
        <f>IF(A51="","",Calculation!DX57)</f>
        <v/>
      </c>
      <c r="I51" s="387" t="str">
        <f>IF(A51="","",Calculation!P57)</f>
        <v/>
      </c>
      <c r="J51" s="387" t="str">
        <f>IF(A51="","",HLOOKUP(LEFT(Calculation!BO57,7),LookUps!$C$38:$M$41,4))</f>
        <v/>
      </c>
      <c r="K51" s="387" t="str">
        <f>IF(A51="","",Calculation!M57)</f>
        <v/>
      </c>
      <c r="L51" s="387" t="str">
        <f>IF(A51="","",Calculation!S57)</f>
        <v/>
      </c>
      <c r="M51" s="389" t="str">
        <f>IF(A51="","",Calculation!N57)</f>
        <v/>
      </c>
      <c r="N51" s="390" t="str">
        <f>IF(A51="","",Calculation!R57)</f>
        <v/>
      </c>
      <c r="O51" s="391" t="str">
        <f>IF(A51="","",Calculation!$F$6)</f>
        <v/>
      </c>
      <c r="P51" s="392" t="str">
        <f>IF(A51="","",Calculation!$F$7)</f>
        <v/>
      </c>
      <c r="Q51" s="393" t="str">
        <f>IF(A51="","",Calculation!$F$13)</f>
        <v/>
      </c>
      <c r="R51" s="394" t="str">
        <f>IF(A51="","",Calculation!X57)</f>
        <v/>
      </c>
      <c r="S51" s="393" t="str">
        <f>IF(A51="","",Calculation!T57)</f>
        <v/>
      </c>
      <c r="T51" s="395" t="str">
        <f>IF(A51="","",IF(Calculation!$O$8="None","Water",CONCATENATE(Calculation!$O$8,"-",Calculation!$S$8,"%")))</f>
        <v/>
      </c>
      <c r="U51" s="393" t="str">
        <f>IF(A51="","",Calculation!$P$6)</f>
        <v/>
      </c>
      <c r="V51" s="393" t="str">
        <f>IF(A51="","",Calculation!AT57)</f>
        <v/>
      </c>
      <c r="W51" s="396" t="str">
        <f>IF(A51="","",Calculation!AP57)</f>
        <v/>
      </c>
      <c r="X51" s="396" t="str">
        <f>IF(A51="","",Calculation!AO57)</f>
        <v/>
      </c>
      <c r="Y51" s="396" t="str">
        <f>IF(A51="","",Calculation!AQ57)</f>
        <v/>
      </c>
      <c r="Z51" s="396" t="str">
        <f>IF(A51="","",Calculation!$H$6)</f>
        <v/>
      </c>
      <c r="AA51" s="397" t="str">
        <f>IF(A51="","",Calculation!$H$13)</f>
        <v/>
      </c>
      <c r="AB51" s="397" t="str">
        <f>IF(A51="","",Calculation!U57)</f>
        <v/>
      </c>
      <c r="AC51" s="398" t="str">
        <f>IF(A51="","",IF(Calculation!$O$9="None","Water",CONCATENATE(Calculation!$O$9,"-",Calculation!$S$9,"%")))</f>
        <v/>
      </c>
      <c r="AD51" s="396" t="str">
        <f>IF(A51="","",Calculation!$S$6)</f>
        <v/>
      </c>
      <c r="AE51" s="399" t="str">
        <f>IF(A51="","",Calculation!BA57)</f>
        <v/>
      </c>
      <c r="AF51" s="396" t="str">
        <f>IF(A51="","",Calculation!AX57)</f>
        <v/>
      </c>
      <c r="AG51" s="396" t="str">
        <f>IF(A51="","",Calculation!AW57)</f>
        <v/>
      </c>
      <c r="AH51" s="391" t="str">
        <f>IF(A51="","",Calculation!AY57)</f>
        <v/>
      </c>
      <c r="AI51" s="391" t="str">
        <f>IF(A51="","",Calculation!Y57)</f>
        <v/>
      </c>
      <c r="AJ51" s="401" t="str">
        <f>IF(Calculation!BD57&gt;0,Calculation!BD57," ")</f>
        <v xml:space="preserve"> </v>
      </c>
      <c r="AK51" s="401" t="str">
        <f>IF(Calculation!BD57&gt;0,Calculation!BE57," ")</f>
        <v xml:space="preserve"> </v>
      </c>
      <c r="AL51" s="401" t="str">
        <f>IF(Calculation!BD57&gt;0,Calculation!BF57," ")</f>
        <v xml:space="preserve"> </v>
      </c>
      <c r="AM51" s="401" t="str">
        <f>IF(Calculation!BD57&gt;0,Calculation!BG57," ")</f>
        <v xml:space="preserve"> </v>
      </c>
      <c r="AN51" s="391" t="str">
        <f>IF(Calculation!BH57="N/A","N/A",Calculation!BH57)</f>
        <v xml:space="preserve"> </v>
      </c>
      <c r="AO51" s="402" t="str">
        <f>IF(Calculation!BI57="N/A","N/A",Calculation!BI57)</f>
        <v/>
      </c>
      <c r="AP51" s="391" t="str">
        <f>IF(Calculation!BJ57="N/A","N/A",Calculation!BJ57)</f>
        <v/>
      </c>
      <c r="AQ51" s="402" t="str">
        <f>IF(Calculation!BK57="N/A","N/A",Calculation!BK57)</f>
        <v/>
      </c>
      <c r="AR51" s="391" t="str">
        <f>IF(Calculation!BL57="N/A","N/A",Calculation!BL57)</f>
        <v/>
      </c>
      <c r="AS51" s="402" t="str">
        <f>IF(Calculation!BM57="N/A","N/A",Calculation!BM57)</f>
        <v/>
      </c>
      <c r="AT51" s="400"/>
    </row>
    <row r="52" spans="1:46" ht="12.75" customHeight="1">
      <c r="A52" s="224" t="str">
        <f>IF(Calculation!BN58="","",CONCATENATE(Calculation!BO58,"-",Calculation!R58,"-",Calculation!S58,"-",Calculation!T58,"-",Calculation!U58))</f>
        <v/>
      </c>
      <c r="B52" s="224">
        <v>37</v>
      </c>
      <c r="C52" s="629" t="str">
        <f>IF(A52="","",Calculation!B58)</f>
        <v/>
      </c>
      <c r="D52" s="386" t="str">
        <f>IF(A52="","",Calculation!L58)</f>
        <v/>
      </c>
      <c r="E52" s="387" t="str">
        <f>IF(A52="","",Calculation!J58)</f>
        <v/>
      </c>
      <c r="F52" s="387" t="str">
        <f>IF(A52="","",Calculation!C58)</f>
        <v/>
      </c>
      <c r="G52" s="387" t="str">
        <f>IF(A52="","",LEFT(Calculation!O58,6))</f>
        <v/>
      </c>
      <c r="H52" s="388" t="str">
        <f>IF(A52="","",Calculation!DX58)</f>
        <v/>
      </c>
      <c r="I52" s="387" t="str">
        <f>IF(A52="","",Calculation!P58)</f>
        <v/>
      </c>
      <c r="J52" s="387" t="str">
        <f>IF(A52="","",HLOOKUP(LEFT(Calculation!BO58,7),LookUps!$C$38:$M$41,4))</f>
        <v/>
      </c>
      <c r="K52" s="387" t="str">
        <f>IF(A52="","",Calculation!M58)</f>
        <v/>
      </c>
      <c r="L52" s="387" t="str">
        <f>IF(A52="","",Calculation!S58)</f>
        <v/>
      </c>
      <c r="M52" s="389" t="str">
        <f>IF(A52="","",Calculation!N58)</f>
        <v/>
      </c>
      <c r="N52" s="390" t="str">
        <f>IF(A52="","",Calculation!R58)</f>
        <v/>
      </c>
      <c r="O52" s="391" t="str">
        <f>IF(A52="","",Calculation!$F$6)</f>
        <v/>
      </c>
      <c r="P52" s="392" t="str">
        <f>IF(A52="","",Calculation!$F$7)</f>
        <v/>
      </c>
      <c r="Q52" s="393" t="str">
        <f>IF(A52="","",Calculation!$F$13)</f>
        <v/>
      </c>
      <c r="R52" s="394" t="str">
        <f>IF(A52="","",Calculation!X58)</f>
        <v/>
      </c>
      <c r="S52" s="393" t="str">
        <f>IF(A52="","",Calculation!T58)</f>
        <v/>
      </c>
      <c r="T52" s="395" t="str">
        <f>IF(A52="","",IF(Calculation!$O$8="None","Water",CONCATENATE(Calculation!$O$8,"-",Calculation!$S$8,"%")))</f>
        <v/>
      </c>
      <c r="U52" s="393" t="str">
        <f>IF(A52="","",Calculation!$P$6)</f>
        <v/>
      </c>
      <c r="V52" s="393" t="str">
        <f>IF(A52="","",Calculation!AT58)</f>
        <v/>
      </c>
      <c r="W52" s="396" t="str">
        <f>IF(A52="","",Calculation!AP58)</f>
        <v/>
      </c>
      <c r="X52" s="396" t="str">
        <f>IF(A52="","",Calculation!AO58)</f>
        <v/>
      </c>
      <c r="Y52" s="396" t="str">
        <f>IF(A52="","",Calculation!AQ58)</f>
        <v/>
      </c>
      <c r="Z52" s="396" t="str">
        <f>IF(A52="","",Calculation!$H$6)</f>
        <v/>
      </c>
      <c r="AA52" s="397" t="str">
        <f>IF(A52="","",Calculation!$H$13)</f>
        <v/>
      </c>
      <c r="AB52" s="397" t="str">
        <f>IF(A52="","",Calculation!U58)</f>
        <v/>
      </c>
      <c r="AC52" s="398" t="str">
        <f>IF(A52="","",IF(Calculation!$O$9="None","Water",CONCATENATE(Calculation!$O$9,"-",Calculation!$S$9,"%")))</f>
        <v/>
      </c>
      <c r="AD52" s="396" t="str">
        <f>IF(A52="","",Calculation!$S$6)</f>
        <v/>
      </c>
      <c r="AE52" s="399" t="str">
        <f>IF(A52="","",Calculation!BA58)</f>
        <v/>
      </c>
      <c r="AF52" s="396" t="str">
        <f>IF(A52="","",Calculation!AX58)</f>
        <v/>
      </c>
      <c r="AG52" s="396" t="str">
        <f>IF(A52="","",Calculation!AW58)</f>
        <v/>
      </c>
      <c r="AH52" s="391" t="str">
        <f>IF(A52="","",Calculation!AY58)</f>
        <v/>
      </c>
      <c r="AI52" s="391" t="str">
        <f>IF(A52="","",Calculation!Y58)</f>
        <v/>
      </c>
      <c r="AJ52" s="401" t="str">
        <f>IF(Calculation!BD58&gt;0,Calculation!BD58," ")</f>
        <v xml:space="preserve"> </v>
      </c>
      <c r="AK52" s="401" t="str">
        <f>IF(Calculation!BD58&gt;0,Calculation!BE58," ")</f>
        <v xml:space="preserve"> </v>
      </c>
      <c r="AL52" s="401" t="str">
        <f>IF(Calculation!BD58&gt;0,Calculation!BF58," ")</f>
        <v xml:space="preserve"> </v>
      </c>
      <c r="AM52" s="401" t="str">
        <f>IF(Calculation!BD58&gt;0,Calculation!BG58," ")</f>
        <v xml:space="preserve"> </v>
      </c>
      <c r="AN52" s="391" t="str">
        <f>IF(Calculation!BH58="N/A","N/A",Calculation!BH58)</f>
        <v xml:space="preserve"> </v>
      </c>
      <c r="AO52" s="402" t="str">
        <f>IF(Calculation!BI58="N/A","N/A",Calculation!BI58)</f>
        <v/>
      </c>
      <c r="AP52" s="391" t="str">
        <f>IF(Calculation!BJ58="N/A","N/A",Calculation!BJ58)</f>
        <v/>
      </c>
      <c r="AQ52" s="402" t="str">
        <f>IF(Calculation!BK58="N/A","N/A",Calculation!BK58)</f>
        <v/>
      </c>
      <c r="AR52" s="391" t="str">
        <f>IF(Calculation!BL58="N/A","N/A",Calculation!BL58)</f>
        <v/>
      </c>
      <c r="AS52" s="402" t="str">
        <f>IF(Calculation!BM58="N/A","N/A",Calculation!BM58)</f>
        <v/>
      </c>
      <c r="AT52" s="400"/>
    </row>
    <row r="53" spans="1:46" ht="12.75" customHeight="1">
      <c r="A53" s="224" t="str">
        <f>IF(Calculation!BN59="","",CONCATENATE(Calculation!BO59,"-",Calculation!R59,"-",Calculation!S59,"-",Calculation!T59,"-",Calculation!U59))</f>
        <v/>
      </c>
      <c r="B53" s="224">
        <v>38</v>
      </c>
      <c r="C53" s="629" t="str">
        <f>IF(A53="","",Calculation!B59)</f>
        <v/>
      </c>
      <c r="D53" s="386" t="str">
        <f>IF(A53="","",Calculation!L59)</f>
        <v/>
      </c>
      <c r="E53" s="387" t="str">
        <f>IF(A53="","",Calculation!J59)</f>
        <v/>
      </c>
      <c r="F53" s="387" t="str">
        <f>IF(A53="","",Calculation!C59)</f>
        <v/>
      </c>
      <c r="G53" s="387" t="str">
        <f>IF(A53="","",LEFT(Calculation!O59,6))</f>
        <v/>
      </c>
      <c r="H53" s="388" t="str">
        <f>IF(A53="","",Calculation!DX59)</f>
        <v/>
      </c>
      <c r="I53" s="387" t="str">
        <f>IF(A53="","",Calculation!P59)</f>
        <v/>
      </c>
      <c r="J53" s="387" t="str">
        <f>IF(A53="","",HLOOKUP(LEFT(Calculation!BO59,7),LookUps!$C$38:$M$41,4))</f>
        <v/>
      </c>
      <c r="K53" s="387" t="str">
        <f>IF(A53="","",Calculation!M59)</f>
        <v/>
      </c>
      <c r="L53" s="387" t="str">
        <f>IF(A53="","",Calculation!S59)</f>
        <v/>
      </c>
      <c r="M53" s="389" t="str">
        <f>IF(A53="","",Calculation!N59)</f>
        <v/>
      </c>
      <c r="N53" s="390" t="str">
        <f>IF(A53="","",Calculation!R59)</f>
        <v/>
      </c>
      <c r="O53" s="391" t="str">
        <f>IF(A53="","",Calculation!$F$6)</f>
        <v/>
      </c>
      <c r="P53" s="392" t="str">
        <f>IF(A53="","",Calculation!$F$7)</f>
        <v/>
      </c>
      <c r="Q53" s="393" t="str">
        <f>IF(A53="","",Calculation!$F$13)</f>
        <v/>
      </c>
      <c r="R53" s="394" t="str">
        <f>IF(A53="","",Calculation!X59)</f>
        <v/>
      </c>
      <c r="S53" s="393" t="str">
        <f>IF(A53="","",Calculation!T59)</f>
        <v/>
      </c>
      <c r="T53" s="395" t="str">
        <f>IF(A53="","",IF(Calculation!$O$8="None","Water",CONCATENATE(Calculation!$O$8,"-",Calculation!$S$8,"%")))</f>
        <v/>
      </c>
      <c r="U53" s="393" t="str">
        <f>IF(A53="","",Calculation!$P$6)</f>
        <v/>
      </c>
      <c r="V53" s="393" t="str">
        <f>IF(A53="","",Calculation!AT59)</f>
        <v/>
      </c>
      <c r="W53" s="396" t="str">
        <f>IF(A53="","",Calculation!AP59)</f>
        <v/>
      </c>
      <c r="X53" s="396" t="str">
        <f>IF(A53="","",Calculation!AO59)</f>
        <v/>
      </c>
      <c r="Y53" s="396" t="str">
        <f>IF(A53="","",Calculation!AQ59)</f>
        <v/>
      </c>
      <c r="Z53" s="396" t="str">
        <f>IF(A53="","",Calculation!$H$6)</f>
        <v/>
      </c>
      <c r="AA53" s="397" t="str">
        <f>IF(A53="","",Calculation!$H$13)</f>
        <v/>
      </c>
      <c r="AB53" s="397" t="str">
        <f>IF(A53="","",Calculation!U59)</f>
        <v/>
      </c>
      <c r="AC53" s="398" t="str">
        <f>IF(A53="","",IF(Calculation!$O$9="None","Water",CONCATENATE(Calculation!$O$9,"-",Calculation!$S$9,"%")))</f>
        <v/>
      </c>
      <c r="AD53" s="396" t="str">
        <f>IF(A53="","",Calculation!$S$6)</f>
        <v/>
      </c>
      <c r="AE53" s="399" t="str">
        <f>IF(A53="","",Calculation!BA59)</f>
        <v/>
      </c>
      <c r="AF53" s="396" t="str">
        <f>IF(A53="","",Calculation!AX59)</f>
        <v/>
      </c>
      <c r="AG53" s="396" t="str">
        <f>IF(A53="","",Calculation!AW59)</f>
        <v/>
      </c>
      <c r="AH53" s="391" t="str">
        <f>IF(A53="","",Calculation!AY59)</f>
        <v/>
      </c>
      <c r="AI53" s="391" t="str">
        <f>IF(A53="","",Calculation!Y59)</f>
        <v/>
      </c>
      <c r="AJ53" s="401" t="str">
        <f>IF(Calculation!BD59&gt;0,Calculation!BD59," ")</f>
        <v xml:space="preserve"> </v>
      </c>
      <c r="AK53" s="401" t="str">
        <f>IF(Calculation!BD59&gt;0,Calculation!BE59," ")</f>
        <v xml:space="preserve"> </v>
      </c>
      <c r="AL53" s="401" t="str">
        <f>IF(Calculation!BD59&gt;0,Calculation!BF59," ")</f>
        <v xml:space="preserve"> </v>
      </c>
      <c r="AM53" s="401" t="str">
        <f>IF(Calculation!BD59&gt;0,Calculation!BG59," ")</f>
        <v xml:space="preserve"> </v>
      </c>
      <c r="AN53" s="391" t="str">
        <f>IF(Calculation!BH59="N/A","N/A",Calculation!BH59)</f>
        <v xml:space="preserve"> </v>
      </c>
      <c r="AO53" s="402" t="str">
        <f>IF(Calculation!BI59="N/A","N/A",Calculation!BI59)</f>
        <v/>
      </c>
      <c r="AP53" s="391" t="str">
        <f>IF(Calculation!BJ59="N/A","N/A",Calculation!BJ59)</f>
        <v/>
      </c>
      <c r="AQ53" s="402" t="str">
        <f>IF(Calculation!BK59="N/A","N/A",Calculation!BK59)</f>
        <v/>
      </c>
      <c r="AR53" s="391" t="str">
        <f>IF(Calculation!BL59="N/A","N/A",Calculation!BL59)</f>
        <v/>
      </c>
      <c r="AS53" s="402" t="str">
        <f>IF(Calculation!BM59="N/A","N/A",Calculation!BM59)</f>
        <v/>
      </c>
      <c r="AT53" s="400"/>
    </row>
    <row r="54" spans="1:46" ht="12.75" customHeight="1">
      <c r="A54" s="224" t="str">
        <f>IF(Calculation!BN60="","",CONCATENATE(Calculation!BO60,"-",Calculation!R60,"-",Calculation!S60,"-",Calculation!T60,"-",Calculation!U60))</f>
        <v/>
      </c>
      <c r="B54" s="224">
        <v>39</v>
      </c>
      <c r="C54" s="629" t="str">
        <f>IF(A54="","",Calculation!B60)</f>
        <v/>
      </c>
      <c r="D54" s="386" t="str">
        <f>IF(A54="","",Calculation!L60)</f>
        <v/>
      </c>
      <c r="E54" s="387" t="str">
        <f>IF(A54="","",Calculation!J60)</f>
        <v/>
      </c>
      <c r="F54" s="387" t="str">
        <f>IF(A54="","",Calculation!C60)</f>
        <v/>
      </c>
      <c r="G54" s="387" t="str">
        <f>IF(A54="","",LEFT(Calculation!O60,6))</f>
        <v/>
      </c>
      <c r="H54" s="388" t="str">
        <f>IF(A54="","",Calculation!DX60)</f>
        <v/>
      </c>
      <c r="I54" s="387" t="str">
        <f>IF(A54="","",Calculation!P60)</f>
        <v/>
      </c>
      <c r="J54" s="387" t="str">
        <f>IF(A54="","",HLOOKUP(LEFT(Calculation!BO60,7),LookUps!$C$38:$M$41,4))</f>
        <v/>
      </c>
      <c r="K54" s="387" t="str">
        <f>IF(A54="","",Calculation!M60)</f>
        <v/>
      </c>
      <c r="L54" s="387" t="str">
        <f>IF(A54="","",Calculation!S60)</f>
        <v/>
      </c>
      <c r="M54" s="389" t="str">
        <f>IF(A54="","",Calculation!N60)</f>
        <v/>
      </c>
      <c r="N54" s="390" t="str">
        <f>IF(A54="","",Calculation!R60)</f>
        <v/>
      </c>
      <c r="O54" s="391" t="str">
        <f>IF(A54="","",Calculation!$F$6)</f>
        <v/>
      </c>
      <c r="P54" s="392" t="str">
        <f>IF(A54="","",Calculation!$F$7)</f>
        <v/>
      </c>
      <c r="Q54" s="393" t="str">
        <f>IF(A54="","",Calculation!$F$13)</f>
        <v/>
      </c>
      <c r="R54" s="394" t="str">
        <f>IF(A54="","",Calculation!X60)</f>
        <v/>
      </c>
      <c r="S54" s="393" t="str">
        <f>IF(A54="","",Calculation!T60)</f>
        <v/>
      </c>
      <c r="T54" s="395" t="str">
        <f>IF(A54="","",IF(Calculation!$O$8="None","Water",CONCATENATE(Calculation!$O$8,"-",Calculation!$S$8,"%")))</f>
        <v/>
      </c>
      <c r="U54" s="393" t="str">
        <f>IF(A54="","",Calculation!$P$6)</f>
        <v/>
      </c>
      <c r="V54" s="393" t="str">
        <f>IF(A54="","",Calculation!AT60)</f>
        <v/>
      </c>
      <c r="W54" s="396" t="str">
        <f>IF(A54="","",Calculation!AP60)</f>
        <v/>
      </c>
      <c r="X54" s="396" t="str">
        <f>IF(A54="","",Calculation!AO60)</f>
        <v/>
      </c>
      <c r="Y54" s="396" t="str">
        <f>IF(A54="","",Calculation!AQ60)</f>
        <v/>
      </c>
      <c r="Z54" s="396" t="str">
        <f>IF(A54="","",Calculation!$H$6)</f>
        <v/>
      </c>
      <c r="AA54" s="397" t="str">
        <f>IF(A54="","",Calculation!$H$13)</f>
        <v/>
      </c>
      <c r="AB54" s="397" t="str">
        <f>IF(A54="","",Calculation!U60)</f>
        <v/>
      </c>
      <c r="AC54" s="398" t="str">
        <f>IF(A54="","",IF(Calculation!$O$9="None","Water",CONCATENATE(Calculation!$O$9,"-",Calculation!$S$9,"%")))</f>
        <v/>
      </c>
      <c r="AD54" s="396" t="str">
        <f>IF(A54="","",Calculation!$S$6)</f>
        <v/>
      </c>
      <c r="AE54" s="399" t="str">
        <f>IF(A54="","",Calculation!BA60)</f>
        <v/>
      </c>
      <c r="AF54" s="396" t="str">
        <f>IF(A54="","",Calculation!AX60)</f>
        <v/>
      </c>
      <c r="AG54" s="396" t="str">
        <f>IF(A54="","",Calculation!AW60)</f>
        <v/>
      </c>
      <c r="AH54" s="391" t="str">
        <f>IF(A54="","",Calculation!AY60)</f>
        <v/>
      </c>
      <c r="AI54" s="391" t="str">
        <f>IF(A54="","",Calculation!Y60)</f>
        <v/>
      </c>
      <c r="AJ54" s="401" t="str">
        <f>IF(Calculation!BD60&gt;0,Calculation!BD60," ")</f>
        <v xml:space="preserve"> </v>
      </c>
      <c r="AK54" s="401" t="str">
        <f>IF(Calculation!BD60&gt;0,Calculation!BE60," ")</f>
        <v xml:space="preserve"> </v>
      </c>
      <c r="AL54" s="401" t="str">
        <f>IF(Calculation!BD60&gt;0,Calculation!BF60," ")</f>
        <v xml:space="preserve"> </v>
      </c>
      <c r="AM54" s="401" t="str">
        <f>IF(Calculation!BD60&gt;0,Calculation!BG60," ")</f>
        <v xml:space="preserve"> </v>
      </c>
      <c r="AN54" s="391" t="str">
        <f>IF(Calculation!BH60="N/A","N/A",Calculation!BH60)</f>
        <v xml:space="preserve"> </v>
      </c>
      <c r="AO54" s="402" t="str">
        <f>IF(Calculation!BI60="N/A","N/A",Calculation!BI60)</f>
        <v/>
      </c>
      <c r="AP54" s="391" t="str">
        <f>IF(Calculation!BJ60="N/A","N/A",Calculation!BJ60)</f>
        <v/>
      </c>
      <c r="AQ54" s="402" t="str">
        <f>IF(Calculation!BK60="N/A","N/A",Calculation!BK60)</f>
        <v/>
      </c>
      <c r="AR54" s="391" t="str">
        <f>IF(Calculation!BL60="N/A","N/A",Calculation!BL60)</f>
        <v/>
      </c>
      <c r="AS54" s="402" t="str">
        <f>IF(Calculation!BM60="N/A","N/A",Calculation!BM60)</f>
        <v/>
      </c>
      <c r="AT54" s="400"/>
    </row>
    <row r="55" spans="1:46" ht="12.75" customHeight="1">
      <c r="A55" s="224" t="str">
        <f>IF(Calculation!BN61="","",CONCATENATE(Calculation!BO61,"-",Calculation!R61,"-",Calculation!S61,"-",Calculation!T61,"-",Calculation!U61))</f>
        <v/>
      </c>
      <c r="B55" s="224">
        <v>40</v>
      </c>
      <c r="C55" s="629" t="str">
        <f>IF(A55="","",Calculation!B61)</f>
        <v/>
      </c>
      <c r="D55" s="386" t="str">
        <f>IF(A55="","",Calculation!L61)</f>
        <v/>
      </c>
      <c r="E55" s="387" t="str">
        <f>IF(A55="","",Calculation!J61)</f>
        <v/>
      </c>
      <c r="F55" s="387" t="str">
        <f>IF(A55="","",Calculation!C61)</f>
        <v/>
      </c>
      <c r="G55" s="387" t="str">
        <f>IF(A55="","",LEFT(Calculation!O61,6))</f>
        <v/>
      </c>
      <c r="H55" s="388" t="str">
        <f>IF(A55="","",Calculation!DX61)</f>
        <v/>
      </c>
      <c r="I55" s="387" t="str">
        <f>IF(A55="","",Calculation!P61)</f>
        <v/>
      </c>
      <c r="J55" s="387" t="str">
        <f>IF(A55="","",HLOOKUP(LEFT(Calculation!BO61,7),LookUps!$C$38:$M$41,4))</f>
        <v/>
      </c>
      <c r="K55" s="387" t="str">
        <f>IF(A55="","",Calculation!M61)</f>
        <v/>
      </c>
      <c r="L55" s="387" t="str">
        <f>IF(A55="","",Calculation!S61)</f>
        <v/>
      </c>
      <c r="M55" s="389" t="str">
        <f>IF(A55="","",Calculation!N61)</f>
        <v/>
      </c>
      <c r="N55" s="390" t="str">
        <f>IF(A55="","",Calculation!R61)</f>
        <v/>
      </c>
      <c r="O55" s="391" t="str">
        <f>IF(A55="","",Calculation!$F$6)</f>
        <v/>
      </c>
      <c r="P55" s="392" t="str">
        <f>IF(A55="","",Calculation!$F$7)</f>
        <v/>
      </c>
      <c r="Q55" s="393" t="str">
        <f>IF(A55="","",Calculation!$F$13)</f>
        <v/>
      </c>
      <c r="R55" s="394" t="str">
        <f>IF(A55="","",Calculation!X61)</f>
        <v/>
      </c>
      <c r="S55" s="393" t="str">
        <f>IF(A55="","",Calculation!T61)</f>
        <v/>
      </c>
      <c r="T55" s="395" t="str">
        <f>IF(A55="","",IF(Calculation!$O$8="None","Water",CONCATENATE(Calculation!$O$8,"-",Calculation!$S$8,"%")))</f>
        <v/>
      </c>
      <c r="U55" s="393" t="str">
        <f>IF(A55="","",Calculation!$P$6)</f>
        <v/>
      </c>
      <c r="V55" s="393" t="str">
        <f>IF(A55="","",Calculation!AT61)</f>
        <v/>
      </c>
      <c r="W55" s="396" t="str">
        <f>IF(A55="","",Calculation!AP61)</f>
        <v/>
      </c>
      <c r="X55" s="396" t="str">
        <f>IF(A55="","",Calculation!AO61)</f>
        <v/>
      </c>
      <c r="Y55" s="396" t="str">
        <f>IF(A55="","",Calculation!AQ61)</f>
        <v/>
      </c>
      <c r="Z55" s="396" t="str">
        <f>IF(A55="","",Calculation!$H$6)</f>
        <v/>
      </c>
      <c r="AA55" s="397" t="str">
        <f>IF(A55="","",Calculation!$H$13)</f>
        <v/>
      </c>
      <c r="AB55" s="397" t="str">
        <f>IF(A55="","",Calculation!U61)</f>
        <v/>
      </c>
      <c r="AC55" s="398" t="str">
        <f>IF(A55="","",IF(Calculation!$O$9="None","Water",CONCATENATE(Calculation!$O$9,"-",Calculation!$S$9,"%")))</f>
        <v/>
      </c>
      <c r="AD55" s="396" t="str">
        <f>IF(A55="","",Calculation!$S$6)</f>
        <v/>
      </c>
      <c r="AE55" s="399" t="str">
        <f>IF(A55="","",Calculation!BA61)</f>
        <v/>
      </c>
      <c r="AF55" s="396" t="str">
        <f>IF(A55="","",Calculation!AX61)</f>
        <v/>
      </c>
      <c r="AG55" s="396" t="str">
        <f>IF(A55="","",Calculation!AW61)</f>
        <v/>
      </c>
      <c r="AH55" s="391" t="str">
        <f>IF(A55="","",Calculation!AY61)</f>
        <v/>
      </c>
      <c r="AI55" s="391" t="str">
        <f>IF(A55="","",Calculation!Y61)</f>
        <v/>
      </c>
      <c r="AJ55" s="401" t="str">
        <f>IF(Calculation!BD61&gt;0,Calculation!BD61," ")</f>
        <v xml:space="preserve"> </v>
      </c>
      <c r="AK55" s="401" t="str">
        <f>IF(Calculation!BD61&gt;0,Calculation!BE61," ")</f>
        <v xml:space="preserve"> </v>
      </c>
      <c r="AL55" s="401" t="str">
        <f>IF(Calculation!BD61&gt;0,Calculation!BF61," ")</f>
        <v xml:space="preserve"> </v>
      </c>
      <c r="AM55" s="401" t="str">
        <f>IF(Calculation!BD61&gt;0,Calculation!BG61," ")</f>
        <v xml:space="preserve"> </v>
      </c>
      <c r="AN55" s="391" t="str">
        <f>IF(Calculation!BH61="N/A","N/A",Calculation!BH61)</f>
        <v xml:space="preserve"> </v>
      </c>
      <c r="AO55" s="402" t="str">
        <f>IF(Calculation!BI61="N/A","N/A",Calculation!BI61)</f>
        <v/>
      </c>
      <c r="AP55" s="391" t="str">
        <f>IF(Calculation!BJ61="N/A","N/A",Calculation!BJ61)</f>
        <v/>
      </c>
      <c r="AQ55" s="402" t="str">
        <f>IF(Calculation!BK61="N/A","N/A",Calculation!BK61)</f>
        <v/>
      </c>
      <c r="AR55" s="391" t="str">
        <f>IF(Calculation!BL61="N/A","N/A",Calculation!BL61)</f>
        <v/>
      </c>
      <c r="AS55" s="402" t="str">
        <f>IF(Calculation!BM61="N/A","N/A",Calculation!BM61)</f>
        <v/>
      </c>
      <c r="AT55" s="400"/>
    </row>
    <row r="56" spans="1:46" ht="12.75" customHeight="1">
      <c r="A56" s="224" t="str">
        <f>IF(Calculation!BN62="","",CONCATENATE(Calculation!BO62,"-",Calculation!R62,"-",Calculation!S62,"-",Calculation!T62,"-",Calculation!U62))</f>
        <v/>
      </c>
      <c r="B56" s="224">
        <v>41</v>
      </c>
      <c r="C56" s="629" t="str">
        <f>IF(A56="","",Calculation!B62)</f>
        <v/>
      </c>
      <c r="D56" s="386" t="str">
        <f>IF(A56="","",Calculation!L62)</f>
        <v/>
      </c>
      <c r="E56" s="387" t="str">
        <f>IF(A56="","",Calculation!J62)</f>
        <v/>
      </c>
      <c r="F56" s="387" t="str">
        <f>IF(A56="","",Calculation!C62)</f>
        <v/>
      </c>
      <c r="G56" s="387" t="str">
        <f>IF(A56="","",LEFT(Calculation!O62,6))</f>
        <v/>
      </c>
      <c r="H56" s="388" t="str">
        <f>IF(A56="","",Calculation!DX62)</f>
        <v/>
      </c>
      <c r="I56" s="387" t="str">
        <f>IF(A56="","",Calculation!P62)</f>
        <v/>
      </c>
      <c r="J56" s="387" t="str">
        <f>IF(A56="","",HLOOKUP(LEFT(Calculation!BO62,7),LookUps!$C$38:$M$41,4))</f>
        <v/>
      </c>
      <c r="K56" s="387" t="str">
        <f>IF(A56="","",Calculation!M62)</f>
        <v/>
      </c>
      <c r="L56" s="387" t="str">
        <f>IF(A56="","",Calculation!S62)</f>
        <v/>
      </c>
      <c r="M56" s="389" t="str">
        <f>IF(A56="","",Calculation!N62)</f>
        <v/>
      </c>
      <c r="N56" s="390" t="str">
        <f>IF(A56="","",Calculation!R62)</f>
        <v/>
      </c>
      <c r="O56" s="391" t="str">
        <f>IF(A56="","",Calculation!$F$6)</f>
        <v/>
      </c>
      <c r="P56" s="392" t="str">
        <f>IF(A56="","",Calculation!$F$7)</f>
        <v/>
      </c>
      <c r="Q56" s="393" t="str">
        <f>IF(A56="","",Calculation!$F$13)</f>
        <v/>
      </c>
      <c r="R56" s="394" t="str">
        <f>IF(A56="","",Calculation!X62)</f>
        <v/>
      </c>
      <c r="S56" s="393" t="str">
        <f>IF(A56="","",Calculation!T62)</f>
        <v/>
      </c>
      <c r="T56" s="395" t="str">
        <f>IF(A56="","",IF(Calculation!$O$8="None","Water",CONCATENATE(Calculation!$O$8,"-",Calculation!$S$8,"%")))</f>
        <v/>
      </c>
      <c r="U56" s="393" t="str">
        <f>IF(A56="","",Calculation!$P$6)</f>
        <v/>
      </c>
      <c r="V56" s="393" t="str">
        <f>IF(A56="","",Calculation!AT62)</f>
        <v/>
      </c>
      <c r="W56" s="396" t="str">
        <f>IF(A56="","",Calculation!AP62)</f>
        <v/>
      </c>
      <c r="X56" s="396" t="str">
        <f>IF(A56="","",Calculation!AO62)</f>
        <v/>
      </c>
      <c r="Y56" s="396" t="str">
        <f>IF(A56="","",Calculation!AQ62)</f>
        <v/>
      </c>
      <c r="Z56" s="396" t="str">
        <f>IF(A56="","",Calculation!$H$6)</f>
        <v/>
      </c>
      <c r="AA56" s="397" t="str">
        <f>IF(A56="","",Calculation!$H$13)</f>
        <v/>
      </c>
      <c r="AB56" s="397" t="str">
        <f>IF(A56="","",Calculation!U62)</f>
        <v/>
      </c>
      <c r="AC56" s="398" t="str">
        <f>IF(A56="","",IF(Calculation!$O$9="None","Water",CONCATENATE(Calculation!$O$9,"-",Calculation!$S$9,"%")))</f>
        <v/>
      </c>
      <c r="AD56" s="396" t="str">
        <f>IF(A56="","",Calculation!$S$6)</f>
        <v/>
      </c>
      <c r="AE56" s="399" t="str">
        <f>IF(A56="","",Calculation!BA62)</f>
        <v/>
      </c>
      <c r="AF56" s="396" t="str">
        <f>IF(A56="","",Calculation!AX62)</f>
        <v/>
      </c>
      <c r="AG56" s="396" t="str">
        <f>IF(A56="","",Calculation!AW62)</f>
        <v/>
      </c>
      <c r="AH56" s="391" t="str">
        <f>IF(A56="","",Calculation!AY62)</f>
        <v/>
      </c>
      <c r="AI56" s="391" t="str">
        <f>IF(A56="","",Calculation!Y62)</f>
        <v/>
      </c>
      <c r="AJ56" s="401" t="str">
        <f>IF(Calculation!BD62&gt;0,Calculation!BD62," ")</f>
        <v xml:space="preserve"> </v>
      </c>
      <c r="AK56" s="401" t="str">
        <f>IF(Calculation!BD62&gt;0,Calculation!BE62," ")</f>
        <v xml:space="preserve"> </v>
      </c>
      <c r="AL56" s="401" t="str">
        <f>IF(Calculation!BD62&gt;0,Calculation!BF62," ")</f>
        <v xml:space="preserve"> </v>
      </c>
      <c r="AM56" s="401" t="str">
        <f>IF(Calculation!BD62&gt;0,Calculation!BG62," ")</f>
        <v xml:space="preserve"> </v>
      </c>
      <c r="AN56" s="391" t="str">
        <f>IF(Calculation!BH62="N/A","N/A",Calculation!BH62)</f>
        <v xml:space="preserve"> </v>
      </c>
      <c r="AO56" s="402" t="str">
        <f>IF(Calculation!BI62="N/A","N/A",Calculation!BI62)</f>
        <v/>
      </c>
      <c r="AP56" s="391" t="str">
        <f>IF(Calculation!BJ62="N/A","N/A",Calculation!BJ62)</f>
        <v/>
      </c>
      <c r="AQ56" s="402" t="str">
        <f>IF(Calculation!BK62="N/A","N/A",Calculation!BK62)</f>
        <v/>
      </c>
      <c r="AR56" s="391" t="str">
        <f>IF(Calculation!BL62="N/A","N/A",Calculation!BL62)</f>
        <v/>
      </c>
      <c r="AS56" s="402" t="str">
        <f>IF(Calculation!BM62="N/A","N/A",Calculation!BM62)</f>
        <v/>
      </c>
      <c r="AT56" s="400"/>
    </row>
    <row r="57" spans="1:46" ht="12.75" customHeight="1">
      <c r="A57" s="224" t="str">
        <f>IF(Calculation!BN63="","",CONCATENATE(Calculation!BO63,"-",Calculation!R63,"-",Calculation!S63,"-",Calculation!T63,"-",Calculation!U63))</f>
        <v/>
      </c>
      <c r="B57" s="224">
        <v>42</v>
      </c>
      <c r="C57" s="629" t="str">
        <f>IF(A57="","",Calculation!B63)</f>
        <v/>
      </c>
      <c r="D57" s="386" t="str">
        <f>IF(A57="","",Calculation!L63)</f>
        <v/>
      </c>
      <c r="E57" s="387" t="str">
        <f>IF(A57="","",Calculation!J63)</f>
        <v/>
      </c>
      <c r="F57" s="387" t="str">
        <f>IF(A57="","",Calculation!C63)</f>
        <v/>
      </c>
      <c r="G57" s="387" t="str">
        <f>IF(A57="","",LEFT(Calculation!O63,6))</f>
        <v/>
      </c>
      <c r="H57" s="388" t="str">
        <f>IF(A57="","",Calculation!DX63)</f>
        <v/>
      </c>
      <c r="I57" s="387" t="str">
        <f>IF(A57="","",Calculation!P63)</f>
        <v/>
      </c>
      <c r="J57" s="387" t="str">
        <f>IF(A57="","",HLOOKUP(LEFT(Calculation!BO63,7),LookUps!$C$38:$M$41,4))</f>
        <v/>
      </c>
      <c r="K57" s="387" t="str">
        <f>IF(A57="","",Calculation!M63)</f>
        <v/>
      </c>
      <c r="L57" s="387" t="str">
        <f>IF(A57="","",Calculation!S63)</f>
        <v/>
      </c>
      <c r="M57" s="389" t="str">
        <f>IF(A57="","",Calculation!N63)</f>
        <v/>
      </c>
      <c r="N57" s="390" t="str">
        <f>IF(A57="","",Calculation!R63)</f>
        <v/>
      </c>
      <c r="O57" s="391" t="str">
        <f>IF(A57="","",Calculation!$F$6)</f>
        <v/>
      </c>
      <c r="P57" s="392" t="str">
        <f>IF(A57="","",Calculation!$F$7)</f>
        <v/>
      </c>
      <c r="Q57" s="393" t="str">
        <f>IF(A57="","",Calculation!$F$13)</f>
        <v/>
      </c>
      <c r="R57" s="394" t="str">
        <f>IF(A57="","",Calculation!X63)</f>
        <v/>
      </c>
      <c r="S57" s="393" t="str">
        <f>IF(A57="","",Calculation!T63)</f>
        <v/>
      </c>
      <c r="T57" s="395" t="str">
        <f>IF(A57="","",IF(Calculation!$O$8="None","Water",CONCATENATE(Calculation!$O$8,"-",Calculation!$S$8,"%")))</f>
        <v/>
      </c>
      <c r="U57" s="393" t="str">
        <f>IF(A57="","",Calculation!$P$6)</f>
        <v/>
      </c>
      <c r="V57" s="393" t="str">
        <f>IF(A57="","",Calculation!AT63)</f>
        <v/>
      </c>
      <c r="W57" s="396" t="str">
        <f>IF(A57="","",Calculation!AP63)</f>
        <v/>
      </c>
      <c r="X57" s="396" t="str">
        <f>IF(A57="","",Calculation!AO63)</f>
        <v/>
      </c>
      <c r="Y57" s="396" t="str">
        <f>IF(A57="","",Calculation!AQ63)</f>
        <v/>
      </c>
      <c r="Z57" s="396" t="str">
        <f>IF(A57="","",Calculation!$H$6)</f>
        <v/>
      </c>
      <c r="AA57" s="397" t="str">
        <f>IF(A57="","",Calculation!$H$13)</f>
        <v/>
      </c>
      <c r="AB57" s="397" t="str">
        <f>IF(A57="","",Calculation!U63)</f>
        <v/>
      </c>
      <c r="AC57" s="398" t="str">
        <f>IF(A57="","",IF(Calculation!$O$9="None","Water",CONCATENATE(Calculation!$O$9,"-",Calculation!$S$9,"%")))</f>
        <v/>
      </c>
      <c r="AD57" s="396" t="str">
        <f>IF(A57="","",Calculation!$S$6)</f>
        <v/>
      </c>
      <c r="AE57" s="399" t="str">
        <f>IF(A57="","",Calculation!BA63)</f>
        <v/>
      </c>
      <c r="AF57" s="396" t="str">
        <f>IF(A57="","",Calculation!AX63)</f>
        <v/>
      </c>
      <c r="AG57" s="396" t="str">
        <f>IF(A57="","",Calculation!AW63)</f>
        <v/>
      </c>
      <c r="AH57" s="391" t="str">
        <f>IF(A57="","",Calculation!AY63)</f>
        <v/>
      </c>
      <c r="AI57" s="391" t="str">
        <f>IF(A57="","",Calculation!Y63)</f>
        <v/>
      </c>
      <c r="AJ57" s="401" t="str">
        <f>IF(Calculation!BD63&gt;0,Calculation!BD63," ")</f>
        <v xml:space="preserve"> </v>
      </c>
      <c r="AK57" s="401" t="str">
        <f>IF(Calculation!BD63&gt;0,Calculation!BE63," ")</f>
        <v xml:space="preserve"> </v>
      </c>
      <c r="AL57" s="401" t="str">
        <f>IF(Calculation!BD63&gt;0,Calculation!BF63," ")</f>
        <v xml:space="preserve"> </v>
      </c>
      <c r="AM57" s="401" t="str">
        <f>IF(Calculation!BD63&gt;0,Calculation!BG63," ")</f>
        <v xml:space="preserve"> </v>
      </c>
      <c r="AN57" s="391" t="str">
        <f>IF(Calculation!BH63="N/A","N/A",Calculation!BH63)</f>
        <v xml:space="preserve"> </v>
      </c>
      <c r="AO57" s="402" t="str">
        <f>IF(Calculation!BI63="N/A","N/A",Calculation!BI63)</f>
        <v/>
      </c>
      <c r="AP57" s="391" t="str">
        <f>IF(Calculation!BJ63="N/A","N/A",Calculation!BJ63)</f>
        <v/>
      </c>
      <c r="AQ57" s="402" t="str">
        <f>IF(Calculation!BK63="N/A","N/A",Calculation!BK63)</f>
        <v/>
      </c>
      <c r="AR57" s="391" t="str">
        <f>IF(Calculation!BL63="N/A","N/A",Calculation!BL63)</f>
        <v/>
      </c>
      <c r="AS57" s="402" t="str">
        <f>IF(Calculation!BM63="N/A","N/A",Calculation!BM63)</f>
        <v/>
      </c>
      <c r="AT57" s="400"/>
    </row>
    <row r="58" spans="1:46" ht="12.75" customHeight="1">
      <c r="A58" s="224" t="str">
        <f>IF(Calculation!BN64="","",CONCATENATE(Calculation!BO64,"-",Calculation!R64,"-",Calculation!S64,"-",Calculation!T64,"-",Calculation!U64))</f>
        <v/>
      </c>
      <c r="B58" s="224">
        <v>43</v>
      </c>
      <c r="C58" s="629" t="str">
        <f>IF(A58="","",Calculation!B64)</f>
        <v/>
      </c>
      <c r="D58" s="386" t="str">
        <f>IF(A58="","",Calculation!L64)</f>
        <v/>
      </c>
      <c r="E58" s="387" t="str">
        <f>IF(A58="","",Calculation!J64)</f>
        <v/>
      </c>
      <c r="F58" s="387" t="str">
        <f>IF(A58="","",Calculation!C64)</f>
        <v/>
      </c>
      <c r="G58" s="387" t="str">
        <f>IF(A58="","",LEFT(Calculation!O64,6))</f>
        <v/>
      </c>
      <c r="H58" s="388" t="str">
        <f>IF(A58="","",Calculation!DX64)</f>
        <v/>
      </c>
      <c r="I58" s="387" t="str">
        <f>IF(A58="","",Calculation!P64)</f>
        <v/>
      </c>
      <c r="J58" s="387" t="str">
        <f>IF(A58="","",HLOOKUP(LEFT(Calculation!BO64,7),LookUps!$C$38:$M$41,4))</f>
        <v/>
      </c>
      <c r="K58" s="387" t="str">
        <f>IF(A58="","",Calculation!M64)</f>
        <v/>
      </c>
      <c r="L58" s="387" t="str">
        <f>IF(A58="","",Calculation!S64)</f>
        <v/>
      </c>
      <c r="M58" s="389" t="str">
        <f>IF(A58="","",Calculation!N64)</f>
        <v/>
      </c>
      <c r="N58" s="390" t="str">
        <f>IF(A58="","",Calculation!R64)</f>
        <v/>
      </c>
      <c r="O58" s="391" t="str">
        <f>IF(A58="","",Calculation!$F$6)</f>
        <v/>
      </c>
      <c r="P58" s="392" t="str">
        <f>IF(A58="","",Calculation!$F$7)</f>
        <v/>
      </c>
      <c r="Q58" s="393" t="str">
        <f>IF(A58="","",Calculation!$F$13)</f>
        <v/>
      </c>
      <c r="R58" s="394" t="str">
        <f>IF(A58="","",Calculation!X64)</f>
        <v/>
      </c>
      <c r="S58" s="393" t="str">
        <f>IF(A58="","",Calculation!T64)</f>
        <v/>
      </c>
      <c r="T58" s="395" t="str">
        <f>IF(A58="","",IF(Calculation!$O$8="None","Water",CONCATENATE(Calculation!$O$8,"-",Calculation!$S$8,"%")))</f>
        <v/>
      </c>
      <c r="U58" s="393" t="str">
        <f>IF(A58="","",Calculation!$P$6)</f>
        <v/>
      </c>
      <c r="V58" s="393" t="str">
        <f>IF(A58="","",Calculation!AT64)</f>
        <v/>
      </c>
      <c r="W58" s="396" t="str">
        <f>IF(A58="","",Calculation!AP64)</f>
        <v/>
      </c>
      <c r="X58" s="396" t="str">
        <f>IF(A58="","",Calculation!AO64)</f>
        <v/>
      </c>
      <c r="Y58" s="396" t="str">
        <f>IF(A58="","",Calculation!AQ64)</f>
        <v/>
      </c>
      <c r="Z58" s="396" t="str">
        <f>IF(A58="","",Calculation!$H$6)</f>
        <v/>
      </c>
      <c r="AA58" s="397" t="str">
        <f>IF(A58="","",Calculation!$H$13)</f>
        <v/>
      </c>
      <c r="AB58" s="397" t="str">
        <f>IF(A58="","",Calculation!U64)</f>
        <v/>
      </c>
      <c r="AC58" s="398" t="str">
        <f>IF(A58="","",IF(Calculation!$O$9="None","Water",CONCATENATE(Calculation!$O$9,"-",Calculation!$S$9,"%")))</f>
        <v/>
      </c>
      <c r="AD58" s="396" t="str">
        <f>IF(A58="","",Calculation!$S$6)</f>
        <v/>
      </c>
      <c r="AE58" s="399" t="str">
        <f>IF(A58="","",Calculation!BA64)</f>
        <v/>
      </c>
      <c r="AF58" s="396" t="str">
        <f>IF(A58="","",Calculation!AX64)</f>
        <v/>
      </c>
      <c r="AG58" s="396" t="str">
        <f>IF(A58="","",Calculation!AW64)</f>
        <v/>
      </c>
      <c r="AH58" s="391" t="str">
        <f>IF(A58="","",Calculation!AY64)</f>
        <v/>
      </c>
      <c r="AI58" s="391" t="str">
        <f>IF(A58="","",Calculation!Y64)</f>
        <v/>
      </c>
      <c r="AJ58" s="401" t="str">
        <f>IF(Calculation!BD64&gt;0,Calculation!BD64," ")</f>
        <v xml:space="preserve"> </v>
      </c>
      <c r="AK58" s="401" t="str">
        <f>IF(Calculation!BD64&gt;0,Calculation!BE64," ")</f>
        <v xml:space="preserve"> </v>
      </c>
      <c r="AL58" s="401" t="str">
        <f>IF(Calculation!BD64&gt;0,Calculation!BF64," ")</f>
        <v xml:space="preserve"> </v>
      </c>
      <c r="AM58" s="401" t="str">
        <f>IF(Calculation!BD64&gt;0,Calculation!BG64," ")</f>
        <v xml:space="preserve"> </v>
      </c>
      <c r="AN58" s="391" t="str">
        <f>IF(Calculation!BH64="N/A","N/A",Calculation!BH64)</f>
        <v xml:space="preserve"> </v>
      </c>
      <c r="AO58" s="402" t="str">
        <f>IF(Calculation!BI64="N/A","N/A",Calculation!BI64)</f>
        <v/>
      </c>
      <c r="AP58" s="391" t="str">
        <f>IF(Calculation!BJ64="N/A","N/A",Calculation!BJ64)</f>
        <v/>
      </c>
      <c r="AQ58" s="402" t="str">
        <f>IF(Calculation!BK64="N/A","N/A",Calculation!BK64)</f>
        <v/>
      </c>
      <c r="AR58" s="391" t="str">
        <f>IF(Calculation!BL64="N/A","N/A",Calculation!BL64)</f>
        <v/>
      </c>
      <c r="AS58" s="402" t="str">
        <f>IF(Calculation!BM64="N/A","N/A",Calculation!BM64)</f>
        <v/>
      </c>
      <c r="AT58" s="400"/>
    </row>
    <row r="59" spans="1:46" ht="12.75" customHeight="1">
      <c r="A59" s="224" t="str">
        <f>IF(Calculation!BN65="","",CONCATENATE(Calculation!BO65,"-",Calculation!R65,"-",Calculation!S65,"-",Calculation!T65,"-",Calculation!U65))</f>
        <v/>
      </c>
      <c r="B59" s="224">
        <v>44</v>
      </c>
      <c r="C59" s="629" t="str">
        <f>IF(A59="","",Calculation!B65)</f>
        <v/>
      </c>
      <c r="D59" s="386" t="str">
        <f>IF(A59="","",Calculation!L65)</f>
        <v/>
      </c>
      <c r="E59" s="387" t="str">
        <f>IF(A59="","",Calculation!J65)</f>
        <v/>
      </c>
      <c r="F59" s="387" t="str">
        <f>IF(A59="","",Calculation!C65)</f>
        <v/>
      </c>
      <c r="G59" s="387" t="str">
        <f>IF(A59="","",LEFT(Calculation!O65,6))</f>
        <v/>
      </c>
      <c r="H59" s="388" t="str">
        <f>IF(A59="","",Calculation!DX65)</f>
        <v/>
      </c>
      <c r="I59" s="387" t="str">
        <f>IF(A59="","",Calculation!P65)</f>
        <v/>
      </c>
      <c r="J59" s="387" t="str">
        <f>IF(A59="","",HLOOKUP(LEFT(Calculation!BO65,7),LookUps!$C$38:$M$41,4))</f>
        <v/>
      </c>
      <c r="K59" s="387" t="str">
        <f>IF(A59="","",Calculation!M65)</f>
        <v/>
      </c>
      <c r="L59" s="387" t="str">
        <f>IF(A59="","",Calculation!S65)</f>
        <v/>
      </c>
      <c r="M59" s="389" t="str">
        <f>IF(A59="","",Calculation!N65)</f>
        <v/>
      </c>
      <c r="N59" s="390" t="str">
        <f>IF(A59="","",Calculation!R65)</f>
        <v/>
      </c>
      <c r="O59" s="391" t="str">
        <f>IF(A59="","",Calculation!$F$6)</f>
        <v/>
      </c>
      <c r="P59" s="392" t="str">
        <f>IF(A59="","",Calculation!$F$7)</f>
        <v/>
      </c>
      <c r="Q59" s="393" t="str">
        <f>IF(A59="","",Calculation!$F$13)</f>
        <v/>
      </c>
      <c r="R59" s="394" t="str">
        <f>IF(A59="","",Calculation!X65)</f>
        <v/>
      </c>
      <c r="S59" s="393" t="str">
        <f>IF(A59="","",Calculation!T65)</f>
        <v/>
      </c>
      <c r="T59" s="395" t="str">
        <f>IF(A59="","",IF(Calculation!$O$8="None","Water",CONCATENATE(Calculation!$O$8,"-",Calculation!$S$8,"%")))</f>
        <v/>
      </c>
      <c r="U59" s="393" t="str">
        <f>IF(A59="","",Calculation!$P$6)</f>
        <v/>
      </c>
      <c r="V59" s="393" t="str">
        <f>IF(A59="","",Calculation!AT65)</f>
        <v/>
      </c>
      <c r="W59" s="396" t="str">
        <f>IF(A59="","",Calculation!AP65)</f>
        <v/>
      </c>
      <c r="X59" s="396" t="str">
        <f>IF(A59="","",Calculation!AO65)</f>
        <v/>
      </c>
      <c r="Y59" s="396" t="str">
        <f>IF(A59="","",Calculation!AQ65)</f>
        <v/>
      </c>
      <c r="Z59" s="396" t="str">
        <f>IF(A59="","",Calculation!$H$6)</f>
        <v/>
      </c>
      <c r="AA59" s="397" t="str">
        <f>IF(A59="","",Calculation!$H$13)</f>
        <v/>
      </c>
      <c r="AB59" s="397" t="str">
        <f>IF(A59="","",Calculation!U65)</f>
        <v/>
      </c>
      <c r="AC59" s="398" t="str">
        <f>IF(A59="","",IF(Calculation!$O$9="None","Water",CONCATENATE(Calculation!$O$9,"-",Calculation!$S$9,"%")))</f>
        <v/>
      </c>
      <c r="AD59" s="396" t="str">
        <f>IF(A59="","",Calculation!$S$6)</f>
        <v/>
      </c>
      <c r="AE59" s="399" t="str">
        <f>IF(A59="","",Calculation!BA65)</f>
        <v/>
      </c>
      <c r="AF59" s="396" t="str">
        <f>IF(A59="","",Calculation!AX65)</f>
        <v/>
      </c>
      <c r="AG59" s="396" t="str">
        <f>IF(A59="","",Calculation!AW65)</f>
        <v/>
      </c>
      <c r="AH59" s="391" t="str">
        <f>IF(A59="","",Calculation!AY65)</f>
        <v/>
      </c>
      <c r="AI59" s="391" t="str">
        <f>IF(A59="","",Calculation!Y65)</f>
        <v/>
      </c>
      <c r="AJ59" s="401" t="str">
        <f>IF(Calculation!BD65&gt;0,Calculation!BD65," ")</f>
        <v xml:space="preserve"> </v>
      </c>
      <c r="AK59" s="401" t="str">
        <f>IF(Calculation!BD65&gt;0,Calculation!BE65," ")</f>
        <v xml:space="preserve"> </v>
      </c>
      <c r="AL59" s="401" t="str">
        <f>IF(Calculation!BD65&gt;0,Calculation!BF65," ")</f>
        <v xml:space="preserve"> </v>
      </c>
      <c r="AM59" s="401" t="str">
        <f>IF(Calculation!BD65&gt;0,Calculation!BG65," ")</f>
        <v xml:space="preserve"> </v>
      </c>
      <c r="AN59" s="391" t="str">
        <f>IF(Calculation!BH65="N/A","N/A",Calculation!BH65)</f>
        <v xml:space="preserve"> </v>
      </c>
      <c r="AO59" s="402" t="str">
        <f>IF(Calculation!BI65="N/A","N/A",Calculation!BI65)</f>
        <v/>
      </c>
      <c r="AP59" s="391" t="str">
        <f>IF(Calculation!BJ65="N/A","N/A",Calculation!BJ65)</f>
        <v/>
      </c>
      <c r="AQ59" s="402" t="str">
        <f>IF(Calculation!BK65="N/A","N/A",Calculation!BK65)</f>
        <v/>
      </c>
      <c r="AR59" s="391" t="str">
        <f>IF(Calculation!BL65="N/A","N/A",Calculation!BL65)</f>
        <v/>
      </c>
      <c r="AS59" s="402" t="str">
        <f>IF(Calculation!BM65="N/A","N/A",Calculation!BM65)</f>
        <v/>
      </c>
      <c r="AT59" s="400"/>
    </row>
    <row r="60" spans="1:46" ht="12.75" customHeight="1">
      <c r="A60" s="224" t="str">
        <f>IF(Calculation!BN66="","",CONCATENATE(Calculation!BO66,"-",Calculation!R66,"-",Calculation!S66,"-",Calculation!T66,"-",Calculation!U66))</f>
        <v/>
      </c>
      <c r="B60" s="224">
        <v>45</v>
      </c>
      <c r="C60" s="629" t="str">
        <f>IF(A60="","",Calculation!B66)</f>
        <v/>
      </c>
      <c r="D60" s="386" t="str">
        <f>IF(A60="","",Calculation!L66)</f>
        <v/>
      </c>
      <c r="E60" s="387" t="str">
        <f>IF(A60="","",Calculation!J66)</f>
        <v/>
      </c>
      <c r="F60" s="387" t="str">
        <f>IF(A60="","",Calculation!C66)</f>
        <v/>
      </c>
      <c r="G60" s="387" t="str">
        <f>IF(A60="","",LEFT(Calculation!O66,6))</f>
        <v/>
      </c>
      <c r="H60" s="388" t="str">
        <f>IF(A60="","",Calculation!DX66)</f>
        <v/>
      </c>
      <c r="I60" s="387" t="str">
        <f>IF(A60="","",Calculation!P66)</f>
        <v/>
      </c>
      <c r="J60" s="387" t="str">
        <f>IF(A60="","",HLOOKUP(LEFT(Calculation!BO66,7),LookUps!$C$38:$M$41,4))</f>
        <v/>
      </c>
      <c r="K60" s="387" t="str">
        <f>IF(A60="","",Calculation!M66)</f>
        <v/>
      </c>
      <c r="L60" s="387" t="str">
        <f>IF(A60="","",Calculation!S66)</f>
        <v/>
      </c>
      <c r="M60" s="389" t="str">
        <f>IF(A60="","",Calculation!N66)</f>
        <v/>
      </c>
      <c r="N60" s="390" t="str">
        <f>IF(A60="","",Calculation!R66)</f>
        <v/>
      </c>
      <c r="O60" s="391" t="str">
        <f>IF(A60="","",Calculation!$F$6)</f>
        <v/>
      </c>
      <c r="P60" s="392" t="str">
        <f>IF(A60="","",Calculation!$F$7)</f>
        <v/>
      </c>
      <c r="Q60" s="393" t="str">
        <f>IF(A60="","",Calculation!$F$13)</f>
        <v/>
      </c>
      <c r="R60" s="394" t="str">
        <f>IF(A60="","",Calculation!X66)</f>
        <v/>
      </c>
      <c r="S60" s="393" t="str">
        <f>IF(A60="","",Calculation!T66)</f>
        <v/>
      </c>
      <c r="T60" s="395" t="str">
        <f>IF(A60="","",IF(Calculation!$O$8="None","Water",CONCATENATE(Calculation!$O$8,"-",Calculation!$S$8,"%")))</f>
        <v/>
      </c>
      <c r="U60" s="393" t="str">
        <f>IF(A60="","",Calculation!$P$6)</f>
        <v/>
      </c>
      <c r="V60" s="393" t="str">
        <f>IF(A60="","",Calculation!AT66)</f>
        <v/>
      </c>
      <c r="W60" s="396" t="str">
        <f>IF(A60="","",Calculation!AP66)</f>
        <v/>
      </c>
      <c r="X60" s="396" t="str">
        <f>IF(A60="","",Calculation!AO66)</f>
        <v/>
      </c>
      <c r="Y60" s="396" t="str">
        <f>IF(A60="","",Calculation!AQ66)</f>
        <v/>
      </c>
      <c r="Z60" s="396" t="str">
        <f>IF(A60="","",Calculation!$H$6)</f>
        <v/>
      </c>
      <c r="AA60" s="397" t="str">
        <f>IF(A60="","",Calculation!$H$13)</f>
        <v/>
      </c>
      <c r="AB60" s="397" t="str">
        <f>IF(A60="","",Calculation!U66)</f>
        <v/>
      </c>
      <c r="AC60" s="398" t="str">
        <f>IF(A60="","",IF(Calculation!$O$9="None","Water",CONCATENATE(Calculation!$O$9,"-",Calculation!$S$9,"%")))</f>
        <v/>
      </c>
      <c r="AD60" s="396" t="str">
        <f>IF(A60="","",Calculation!$S$6)</f>
        <v/>
      </c>
      <c r="AE60" s="399" t="str">
        <f>IF(A60="","",Calculation!BA66)</f>
        <v/>
      </c>
      <c r="AF60" s="396" t="str">
        <f>IF(A60="","",Calculation!AX66)</f>
        <v/>
      </c>
      <c r="AG60" s="396" t="str">
        <f>IF(A60="","",Calculation!AW66)</f>
        <v/>
      </c>
      <c r="AH60" s="391" t="str">
        <f>IF(A60="","",Calculation!AY66)</f>
        <v/>
      </c>
      <c r="AI60" s="391" t="str">
        <f>IF(A60="","",Calculation!Y66)</f>
        <v/>
      </c>
      <c r="AJ60" s="401" t="str">
        <f>IF(Calculation!BD66&gt;0,Calculation!BD66," ")</f>
        <v xml:space="preserve"> </v>
      </c>
      <c r="AK60" s="401" t="str">
        <f>IF(Calculation!BD66&gt;0,Calculation!BE66," ")</f>
        <v xml:space="preserve"> </v>
      </c>
      <c r="AL60" s="401" t="str">
        <f>IF(Calculation!BD66&gt;0,Calculation!BF66," ")</f>
        <v xml:space="preserve"> </v>
      </c>
      <c r="AM60" s="401" t="str">
        <f>IF(Calculation!BD66&gt;0,Calculation!BG66," ")</f>
        <v xml:space="preserve"> </v>
      </c>
      <c r="AN60" s="391" t="str">
        <f>IF(Calculation!BH66="N/A","N/A",Calculation!BH66)</f>
        <v xml:space="preserve"> </v>
      </c>
      <c r="AO60" s="402" t="str">
        <f>IF(Calculation!BI66="N/A","N/A",Calculation!BI66)</f>
        <v/>
      </c>
      <c r="AP60" s="391" t="str">
        <f>IF(Calculation!BJ66="N/A","N/A",Calculation!BJ66)</f>
        <v/>
      </c>
      <c r="AQ60" s="402" t="str">
        <f>IF(Calculation!BK66="N/A","N/A",Calculation!BK66)</f>
        <v/>
      </c>
      <c r="AR60" s="391" t="str">
        <f>IF(Calculation!BL66="N/A","N/A",Calculation!BL66)</f>
        <v/>
      </c>
      <c r="AS60" s="402" t="str">
        <f>IF(Calculation!BM66="N/A","N/A",Calculation!BM66)</f>
        <v/>
      </c>
      <c r="AT60" s="400"/>
    </row>
    <row r="61" spans="1:46" ht="12.75" customHeight="1">
      <c r="A61" s="224" t="str">
        <f>IF(Calculation!BN67="","",CONCATENATE(Calculation!BO67,"-",Calculation!R67,"-",Calculation!S67,"-",Calculation!T67,"-",Calculation!U67))</f>
        <v/>
      </c>
      <c r="B61" s="224">
        <v>46</v>
      </c>
      <c r="C61" s="629" t="str">
        <f>IF(A61="","",Calculation!B67)</f>
        <v/>
      </c>
      <c r="D61" s="386" t="str">
        <f>IF(A61="","",Calculation!L67)</f>
        <v/>
      </c>
      <c r="E61" s="387" t="str">
        <f>IF(A61="","",Calculation!J67)</f>
        <v/>
      </c>
      <c r="F61" s="387" t="str">
        <f>IF(A61="","",Calculation!C67)</f>
        <v/>
      </c>
      <c r="G61" s="387" t="str">
        <f>IF(A61="","",LEFT(Calculation!O67,6))</f>
        <v/>
      </c>
      <c r="H61" s="388" t="str">
        <f>IF(A61="","",Calculation!DX67)</f>
        <v/>
      </c>
      <c r="I61" s="387" t="str">
        <f>IF(A61="","",Calculation!P67)</f>
        <v/>
      </c>
      <c r="J61" s="387" t="str">
        <f>IF(A61="","",HLOOKUP(LEFT(Calculation!BO67,7),LookUps!$C$38:$M$41,4))</f>
        <v/>
      </c>
      <c r="K61" s="387" t="str">
        <f>IF(A61="","",Calculation!M67)</f>
        <v/>
      </c>
      <c r="L61" s="387" t="str">
        <f>IF(A61="","",Calculation!S67)</f>
        <v/>
      </c>
      <c r="M61" s="389" t="str">
        <f>IF(A61="","",Calculation!N67)</f>
        <v/>
      </c>
      <c r="N61" s="390" t="str">
        <f>IF(A61="","",Calculation!R67)</f>
        <v/>
      </c>
      <c r="O61" s="391" t="str">
        <f>IF(A61="","",Calculation!$F$6)</f>
        <v/>
      </c>
      <c r="P61" s="392" t="str">
        <f>IF(A61="","",Calculation!$F$7)</f>
        <v/>
      </c>
      <c r="Q61" s="393" t="str">
        <f>IF(A61="","",Calculation!$F$13)</f>
        <v/>
      </c>
      <c r="R61" s="394" t="str">
        <f>IF(A61="","",Calculation!X67)</f>
        <v/>
      </c>
      <c r="S61" s="393" t="str">
        <f>IF(A61="","",Calculation!T67)</f>
        <v/>
      </c>
      <c r="T61" s="395" t="str">
        <f>IF(A61="","",IF(Calculation!$O$8="None","Water",CONCATENATE(Calculation!$O$8,"-",Calculation!$S$8,"%")))</f>
        <v/>
      </c>
      <c r="U61" s="393" t="str">
        <f>IF(A61="","",Calculation!$P$6)</f>
        <v/>
      </c>
      <c r="V61" s="393" t="str">
        <f>IF(A61="","",Calculation!AT67)</f>
        <v/>
      </c>
      <c r="W61" s="396" t="str">
        <f>IF(A61="","",Calculation!AP67)</f>
        <v/>
      </c>
      <c r="X61" s="396" t="str">
        <f>IF(A61="","",Calculation!AO67)</f>
        <v/>
      </c>
      <c r="Y61" s="396" t="str">
        <f>IF(A61="","",Calculation!AQ67)</f>
        <v/>
      </c>
      <c r="Z61" s="396" t="str">
        <f>IF(A61="","",Calculation!$H$6)</f>
        <v/>
      </c>
      <c r="AA61" s="397" t="str">
        <f>IF(A61="","",Calculation!$H$13)</f>
        <v/>
      </c>
      <c r="AB61" s="397" t="str">
        <f>IF(A61="","",Calculation!U67)</f>
        <v/>
      </c>
      <c r="AC61" s="398" t="str">
        <f>IF(A61="","",IF(Calculation!$O$9="None","Water",CONCATENATE(Calculation!$O$9,"-",Calculation!$S$9,"%")))</f>
        <v/>
      </c>
      <c r="AD61" s="396" t="str">
        <f>IF(A61="","",Calculation!$S$6)</f>
        <v/>
      </c>
      <c r="AE61" s="399" t="str">
        <f>IF(A61="","",Calculation!BA67)</f>
        <v/>
      </c>
      <c r="AF61" s="396" t="str">
        <f>IF(A61="","",Calculation!AX67)</f>
        <v/>
      </c>
      <c r="AG61" s="396" t="str">
        <f>IF(A61="","",Calculation!AW67)</f>
        <v/>
      </c>
      <c r="AH61" s="391" t="str">
        <f>IF(A61="","",Calculation!AY67)</f>
        <v/>
      </c>
      <c r="AI61" s="391" t="str">
        <f>IF(A61="","",Calculation!Y67)</f>
        <v/>
      </c>
      <c r="AJ61" s="401" t="str">
        <f>IF(Calculation!BD67&gt;0,Calculation!BD67," ")</f>
        <v xml:space="preserve"> </v>
      </c>
      <c r="AK61" s="401" t="str">
        <f>IF(Calculation!BD67&gt;0,Calculation!BE67," ")</f>
        <v xml:space="preserve"> </v>
      </c>
      <c r="AL61" s="401" t="str">
        <f>IF(Calculation!BD67&gt;0,Calculation!BF67," ")</f>
        <v xml:space="preserve"> </v>
      </c>
      <c r="AM61" s="401" t="str">
        <f>IF(Calculation!BD67&gt;0,Calculation!BG67," ")</f>
        <v xml:space="preserve"> </v>
      </c>
      <c r="AN61" s="391" t="str">
        <f>IF(Calculation!BH67="N/A","N/A",Calculation!BH67)</f>
        <v xml:space="preserve"> </v>
      </c>
      <c r="AO61" s="402" t="str">
        <f>IF(Calculation!BI67="N/A","N/A",Calculation!BI67)</f>
        <v/>
      </c>
      <c r="AP61" s="391" t="str">
        <f>IF(Calculation!BJ67="N/A","N/A",Calculation!BJ67)</f>
        <v/>
      </c>
      <c r="AQ61" s="402" t="str">
        <f>IF(Calculation!BK67="N/A","N/A",Calculation!BK67)</f>
        <v/>
      </c>
      <c r="AR61" s="391" t="str">
        <f>IF(Calculation!BL67="N/A","N/A",Calculation!BL67)</f>
        <v/>
      </c>
      <c r="AS61" s="402" t="str">
        <f>IF(Calculation!BM67="N/A","N/A",Calculation!BM67)</f>
        <v/>
      </c>
      <c r="AT61" s="400"/>
    </row>
    <row r="62" spans="1:46" ht="12.75" customHeight="1">
      <c r="A62" s="224" t="str">
        <f>IF(Calculation!BN68="","",CONCATENATE(Calculation!BO68,"-",Calculation!R68,"-",Calculation!S68,"-",Calculation!T68,"-",Calculation!U68))</f>
        <v/>
      </c>
      <c r="B62" s="224">
        <v>47</v>
      </c>
      <c r="C62" s="629" t="str">
        <f>IF(A62="","",Calculation!B68)</f>
        <v/>
      </c>
      <c r="D62" s="386" t="str">
        <f>IF(A62="","",Calculation!L68)</f>
        <v/>
      </c>
      <c r="E62" s="387" t="str">
        <f>IF(A62="","",Calculation!J68)</f>
        <v/>
      </c>
      <c r="F62" s="387" t="str">
        <f>IF(A62="","",Calculation!C68)</f>
        <v/>
      </c>
      <c r="G62" s="387" t="str">
        <f>IF(A62="","",LEFT(Calculation!O68,6))</f>
        <v/>
      </c>
      <c r="H62" s="388" t="str">
        <f>IF(A62="","",Calculation!DX68)</f>
        <v/>
      </c>
      <c r="I62" s="387" t="str">
        <f>IF(A62="","",Calculation!P68)</f>
        <v/>
      </c>
      <c r="J62" s="387" t="str">
        <f>IF(A62="","",HLOOKUP(LEFT(Calculation!BO68,7),LookUps!$C$38:$M$41,4))</f>
        <v/>
      </c>
      <c r="K62" s="387" t="str">
        <f>IF(A62="","",Calculation!M68)</f>
        <v/>
      </c>
      <c r="L62" s="387" t="str">
        <f>IF(A62="","",Calculation!S68)</f>
        <v/>
      </c>
      <c r="M62" s="389" t="str">
        <f>IF(A62="","",Calculation!N68)</f>
        <v/>
      </c>
      <c r="N62" s="390" t="str">
        <f>IF(A62="","",Calculation!R68)</f>
        <v/>
      </c>
      <c r="O62" s="391" t="str">
        <f>IF(A62="","",Calculation!$F$6)</f>
        <v/>
      </c>
      <c r="P62" s="392" t="str">
        <f>IF(A62="","",Calculation!$F$7)</f>
        <v/>
      </c>
      <c r="Q62" s="393" t="str">
        <f>IF(A62="","",Calculation!$F$13)</f>
        <v/>
      </c>
      <c r="R62" s="394" t="str">
        <f>IF(A62="","",Calculation!X68)</f>
        <v/>
      </c>
      <c r="S62" s="393" t="str">
        <f>IF(A62="","",Calculation!T68)</f>
        <v/>
      </c>
      <c r="T62" s="395" t="str">
        <f>IF(A62="","",IF(Calculation!$O$8="None","Water",CONCATENATE(Calculation!$O$8,"-",Calculation!$S$8,"%")))</f>
        <v/>
      </c>
      <c r="U62" s="393" t="str">
        <f>IF(A62="","",Calculation!$P$6)</f>
        <v/>
      </c>
      <c r="V62" s="393" t="str">
        <f>IF(A62="","",Calculation!AT68)</f>
        <v/>
      </c>
      <c r="W62" s="396" t="str">
        <f>IF(A62="","",Calculation!AP68)</f>
        <v/>
      </c>
      <c r="X62" s="396" t="str">
        <f>IF(A62="","",Calculation!AO68)</f>
        <v/>
      </c>
      <c r="Y62" s="396" t="str">
        <f>IF(A62="","",Calculation!AQ68)</f>
        <v/>
      </c>
      <c r="Z62" s="396" t="str">
        <f>IF(A62="","",Calculation!$H$6)</f>
        <v/>
      </c>
      <c r="AA62" s="397" t="str">
        <f>IF(A62="","",Calculation!$H$13)</f>
        <v/>
      </c>
      <c r="AB62" s="397" t="str">
        <f>IF(A62="","",Calculation!U68)</f>
        <v/>
      </c>
      <c r="AC62" s="398" t="str">
        <f>IF(A62="","",IF(Calculation!$O$9="None","Water",CONCATENATE(Calculation!$O$9,"-",Calculation!$S$9,"%")))</f>
        <v/>
      </c>
      <c r="AD62" s="396" t="str">
        <f>IF(A62="","",Calculation!$S$6)</f>
        <v/>
      </c>
      <c r="AE62" s="399" t="str">
        <f>IF(A62="","",Calculation!BA68)</f>
        <v/>
      </c>
      <c r="AF62" s="396" t="str">
        <f>IF(A62="","",Calculation!AX68)</f>
        <v/>
      </c>
      <c r="AG62" s="396" t="str">
        <f>IF(A62="","",Calculation!AW68)</f>
        <v/>
      </c>
      <c r="AH62" s="391" t="str">
        <f>IF(A62="","",Calculation!AY68)</f>
        <v/>
      </c>
      <c r="AI62" s="391" t="str">
        <f>IF(A62="","",Calculation!Y68)</f>
        <v/>
      </c>
      <c r="AJ62" s="401" t="str">
        <f>IF(Calculation!BD68&gt;0,Calculation!BD68," ")</f>
        <v xml:space="preserve"> </v>
      </c>
      <c r="AK62" s="401" t="str">
        <f>IF(Calculation!BD68&gt;0,Calculation!BE68," ")</f>
        <v xml:space="preserve"> </v>
      </c>
      <c r="AL62" s="401" t="str">
        <f>IF(Calculation!BD68&gt;0,Calculation!BF68," ")</f>
        <v xml:space="preserve"> </v>
      </c>
      <c r="AM62" s="401" t="str">
        <f>IF(Calculation!BD68&gt;0,Calculation!BG68," ")</f>
        <v xml:space="preserve"> </v>
      </c>
      <c r="AN62" s="391" t="str">
        <f>IF(Calculation!BH68="N/A","N/A",Calculation!BH68)</f>
        <v xml:space="preserve"> </v>
      </c>
      <c r="AO62" s="402" t="str">
        <f>IF(Calculation!BI68="N/A","N/A",Calculation!BI68)</f>
        <v/>
      </c>
      <c r="AP62" s="391" t="str">
        <f>IF(Calculation!BJ68="N/A","N/A",Calculation!BJ68)</f>
        <v/>
      </c>
      <c r="AQ62" s="402" t="str">
        <f>IF(Calculation!BK68="N/A","N/A",Calculation!BK68)</f>
        <v/>
      </c>
      <c r="AR62" s="391" t="str">
        <f>IF(Calculation!BL68="N/A","N/A",Calculation!BL68)</f>
        <v/>
      </c>
      <c r="AS62" s="402" t="str">
        <f>IF(Calculation!BM68="N/A","N/A",Calculation!BM68)</f>
        <v/>
      </c>
      <c r="AT62" s="400"/>
    </row>
    <row r="63" spans="1:46" ht="12.75" customHeight="1">
      <c r="A63" s="224" t="str">
        <f>IF(Calculation!BN69="","",CONCATENATE(Calculation!BO69,"-",Calculation!R69,"-",Calculation!S69,"-",Calculation!T69,"-",Calculation!U69))</f>
        <v/>
      </c>
      <c r="B63" s="224">
        <v>48</v>
      </c>
      <c r="C63" s="629" t="str">
        <f>IF(A63="","",Calculation!B69)</f>
        <v/>
      </c>
      <c r="D63" s="386" t="str">
        <f>IF(A63="","",Calculation!L69)</f>
        <v/>
      </c>
      <c r="E63" s="387" t="str">
        <f>IF(A63="","",Calculation!J69)</f>
        <v/>
      </c>
      <c r="F63" s="387" t="str">
        <f>IF(A63="","",Calculation!C69)</f>
        <v/>
      </c>
      <c r="G63" s="387" t="str">
        <f>IF(A63="","",LEFT(Calculation!O69,6))</f>
        <v/>
      </c>
      <c r="H63" s="388" t="str">
        <f>IF(A63="","",Calculation!DX69)</f>
        <v/>
      </c>
      <c r="I63" s="387" t="str">
        <f>IF(A63="","",Calculation!P69)</f>
        <v/>
      </c>
      <c r="J63" s="387" t="str">
        <f>IF(A63="","",HLOOKUP(LEFT(Calculation!BO69,7),LookUps!$C$38:$M$41,4))</f>
        <v/>
      </c>
      <c r="K63" s="387" t="str">
        <f>IF(A63="","",Calculation!M69)</f>
        <v/>
      </c>
      <c r="L63" s="387" t="str">
        <f>IF(A63="","",Calculation!S69)</f>
        <v/>
      </c>
      <c r="M63" s="389" t="str">
        <f>IF(A63="","",Calculation!N69)</f>
        <v/>
      </c>
      <c r="N63" s="390" t="str">
        <f>IF(A63="","",Calculation!R69)</f>
        <v/>
      </c>
      <c r="O63" s="391" t="str">
        <f>IF(A63="","",Calculation!$F$6)</f>
        <v/>
      </c>
      <c r="P63" s="392" t="str">
        <f>IF(A63="","",Calculation!$F$7)</f>
        <v/>
      </c>
      <c r="Q63" s="393" t="str">
        <f>IF(A63="","",Calculation!$F$13)</f>
        <v/>
      </c>
      <c r="R63" s="394" t="str">
        <f>IF(A63="","",Calculation!X69)</f>
        <v/>
      </c>
      <c r="S63" s="393" t="str">
        <f>IF(A63="","",Calculation!T69)</f>
        <v/>
      </c>
      <c r="T63" s="395" t="str">
        <f>IF(A63="","",IF(Calculation!$O$8="None","Water",CONCATENATE(Calculation!$O$8,"-",Calculation!$S$8,"%")))</f>
        <v/>
      </c>
      <c r="U63" s="393" t="str">
        <f>IF(A63="","",Calculation!$P$6)</f>
        <v/>
      </c>
      <c r="V63" s="393" t="str">
        <f>IF(A63="","",Calculation!AT69)</f>
        <v/>
      </c>
      <c r="W63" s="396" t="str">
        <f>IF(A63="","",Calculation!AP69)</f>
        <v/>
      </c>
      <c r="X63" s="396" t="str">
        <f>IF(A63="","",Calculation!AO69)</f>
        <v/>
      </c>
      <c r="Y63" s="396" t="str">
        <f>IF(A63="","",Calculation!AQ69)</f>
        <v/>
      </c>
      <c r="Z63" s="396" t="str">
        <f>IF(A63="","",Calculation!$H$6)</f>
        <v/>
      </c>
      <c r="AA63" s="397" t="str">
        <f>IF(A63="","",Calculation!$H$13)</f>
        <v/>
      </c>
      <c r="AB63" s="397" t="str">
        <f>IF(A63="","",Calculation!U69)</f>
        <v/>
      </c>
      <c r="AC63" s="398" t="str">
        <f>IF(A63="","",IF(Calculation!$O$9="None","Water",CONCATENATE(Calculation!$O$9,"-",Calculation!$S$9,"%")))</f>
        <v/>
      </c>
      <c r="AD63" s="396" t="str">
        <f>IF(A63="","",Calculation!$S$6)</f>
        <v/>
      </c>
      <c r="AE63" s="399" t="str">
        <f>IF(A63="","",Calculation!BA69)</f>
        <v/>
      </c>
      <c r="AF63" s="396" t="str">
        <f>IF(A63="","",Calculation!AX69)</f>
        <v/>
      </c>
      <c r="AG63" s="396" t="str">
        <f>IF(A63="","",Calculation!AW69)</f>
        <v/>
      </c>
      <c r="AH63" s="391" t="str">
        <f>IF(A63="","",Calculation!AY69)</f>
        <v/>
      </c>
      <c r="AI63" s="391" t="str">
        <f>IF(A63="","",Calculation!Y69)</f>
        <v/>
      </c>
      <c r="AJ63" s="401" t="str">
        <f>IF(Calculation!BD69&gt;0,Calculation!BD69," ")</f>
        <v xml:space="preserve"> </v>
      </c>
      <c r="AK63" s="401" t="str">
        <f>IF(Calculation!BD69&gt;0,Calculation!BE69," ")</f>
        <v xml:space="preserve"> </v>
      </c>
      <c r="AL63" s="401" t="str">
        <f>IF(Calculation!BD69&gt;0,Calculation!BF69," ")</f>
        <v xml:space="preserve"> </v>
      </c>
      <c r="AM63" s="401" t="str">
        <f>IF(Calculation!BD69&gt;0,Calculation!BG69," ")</f>
        <v xml:space="preserve"> </v>
      </c>
      <c r="AN63" s="391" t="str">
        <f>IF(Calculation!BH69="N/A","N/A",Calculation!BH69)</f>
        <v xml:space="preserve"> </v>
      </c>
      <c r="AO63" s="402" t="str">
        <f>IF(Calculation!BI69="N/A","N/A",Calculation!BI69)</f>
        <v/>
      </c>
      <c r="AP63" s="391" t="str">
        <f>IF(Calculation!BJ69="N/A","N/A",Calculation!BJ69)</f>
        <v/>
      </c>
      <c r="AQ63" s="402" t="str">
        <f>IF(Calculation!BK69="N/A","N/A",Calculation!BK69)</f>
        <v/>
      </c>
      <c r="AR63" s="391" t="str">
        <f>IF(Calculation!BL69="N/A","N/A",Calculation!BL69)</f>
        <v/>
      </c>
      <c r="AS63" s="402" t="str">
        <f>IF(Calculation!BM69="N/A","N/A",Calculation!BM69)</f>
        <v/>
      </c>
      <c r="AT63" s="400"/>
    </row>
    <row r="64" spans="1:46" ht="12.75" customHeight="1">
      <c r="A64" s="224" t="str">
        <f>IF(Calculation!BN70="","",CONCATENATE(Calculation!BO70,"-",Calculation!R70,"-",Calculation!S70,"-",Calculation!T70,"-",Calculation!U70))</f>
        <v/>
      </c>
      <c r="B64" s="224">
        <v>49</v>
      </c>
      <c r="C64" s="629" t="str">
        <f>IF(A64="","",Calculation!B70)</f>
        <v/>
      </c>
      <c r="D64" s="386" t="str">
        <f>IF(A64="","",Calculation!L70)</f>
        <v/>
      </c>
      <c r="E64" s="387" t="str">
        <f>IF(A64="","",Calculation!J70)</f>
        <v/>
      </c>
      <c r="F64" s="387" t="str">
        <f>IF(A64="","",Calculation!C70)</f>
        <v/>
      </c>
      <c r="G64" s="387" t="str">
        <f>IF(A64="","",LEFT(Calculation!O70,6))</f>
        <v/>
      </c>
      <c r="H64" s="388" t="str">
        <f>IF(A64="","",Calculation!DX70)</f>
        <v/>
      </c>
      <c r="I64" s="387" t="str">
        <f>IF(A64="","",Calculation!P70)</f>
        <v/>
      </c>
      <c r="J64" s="387" t="str">
        <f>IF(A64="","",HLOOKUP(LEFT(Calculation!BO70,7),LookUps!$C$38:$M$41,4))</f>
        <v/>
      </c>
      <c r="K64" s="387" t="str">
        <f>IF(A64="","",Calculation!M70)</f>
        <v/>
      </c>
      <c r="L64" s="387" t="str">
        <f>IF(A64="","",Calculation!S70)</f>
        <v/>
      </c>
      <c r="M64" s="389" t="str">
        <f>IF(A64="","",Calculation!N70)</f>
        <v/>
      </c>
      <c r="N64" s="390" t="str">
        <f>IF(A64="","",Calculation!R70)</f>
        <v/>
      </c>
      <c r="O64" s="391" t="str">
        <f>IF(A64="","",Calculation!$F$6)</f>
        <v/>
      </c>
      <c r="P64" s="392" t="str">
        <f>IF(A64="","",Calculation!$F$7)</f>
        <v/>
      </c>
      <c r="Q64" s="393" t="str">
        <f>IF(A64="","",Calculation!$F$13)</f>
        <v/>
      </c>
      <c r="R64" s="394" t="str">
        <f>IF(A64="","",Calculation!X70)</f>
        <v/>
      </c>
      <c r="S64" s="393" t="str">
        <f>IF(A64="","",Calculation!T70)</f>
        <v/>
      </c>
      <c r="T64" s="395" t="str">
        <f>IF(A64="","",IF(Calculation!$O$8="None","Water",CONCATENATE(Calculation!$O$8,"-",Calculation!$S$8,"%")))</f>
        <v/>
      </c>
      <c r="U64" s="393" t="str">
        <f>IF(A64="","",Calculation!$P$6)</f>
        <v/>
      </c>
      <c r="V64" s="393" t="str">
        <f>IF(A64="","",Calculation!AT70)</f>
        <v/>
      </c>
      <c r="W64" s="396" t="str">
        <f>IF(A64="","",Calculation!AP70)</f>
        <v/>
      </c>
      <c r="X64" s="396" t="str">
        <f>IF(A64="","",Calculation!AO70)</f>
        <v/>
      </c>
      <c r="Y64" s="396" t="str">
        <f>IF(A64="","",Calculation!AQ70)</f>
        <v/>
      </c>
      <c r="Z64" s="396" t="str">
        <f>IF(A64="","",Calculation!$H$6)</f>
        <v/>
      </c>
      <c r="AA64" s="397" t="str">
        <f>IF(A64="","",Calculation!$H$13)</f>
        <v/>
      </c>
      <c r="AB64" s="397" t="str">
        <f>IF(A64="","",Calculation!U70)</f>
        <v/>
      </c>
      <c r="AC64" s="398" t="str">
        <f>IF(A64="","",IF(Calculation!$O$9="None","Water",CONCATENATE(Calculation!$O$9,"-",Calculation!$S$9,"%")))</f>
        <v/>
      </c>
      <c r="AD64" s="396" t="str">
        <f>IF(A64="","",Calculation!$S$6)</f>
        <v/>
      </c>
      <c r="AE64" s="399" t="str">
        <f>IF(A64="","",Calculation!BA70)</f>
        <v/>
      </c>
      <c r="AF64" s="396" t="str">
        <f>IF(A64="","",Calculation!AX70)</f>
        <v/>
      </c>
      <c r="AG64" s="396" t="str">
        <f>IF(A64="","",Calculation!AW70)</f>
        <v/>
      </c>
      <c r="AH64" s="391" t="str">
        <f>IF(A64="","",Calculation!AY70)</f>
        <v/>
      </c>
      <c r="AI64" s="391" t="str">
        <f>IF(A64="","",Calculation!Y70)</f>
        <v/>
      </c>
      <c r="AJ64" s="401" t="str">
        <f>IF(Calculation!BD70&gt;0,Calculation!BD70," ")</f>
        <v xml:space="preserve"> </v>
      </c>
      <c r="AK64" s="401" t="str">
        <f>IF(Calculation!BD70&gt;0,Calculation!BE70," ")</f>
        <v xml:space="preserve"> </v>
      </c>
      <c r="AL64" s="401" t="str">
        <f>IF(Calculation!BD70&gt;0,Calculation!BF70," ")</f>
        <v xml:space="preserve"> </v>
      </c>
      <c r="AM64" s="401" t="str">
        <f>IF(Calculation!BD70&gt;0,Calculation!BG70," ")</f>
        <v xml:space="preserve"> </v>
      </c>
      <c r="AN64" s="391" t="str">
        <f>IF(Calculation!BH70="N/A","N/A",Calculation!BH70)</f>
        <v xml:space="preserve"> </v>
      </c>
      <c r="AO64" s="402" t="str">
        <f>IF(Calculation!BI70="N/A","N/A",Calculation!BI70)</f>
        <v/>
      </c>
      <c r="AP64" s="391" t="str">
        <f>IF(Calculation!BJ70="N/A","N/A",Calculation!BJ70)</f>
        <v/>
      </c>
      <c r="AQ64" s="402" t="str">
        <f>IF(Calculation!BK70="N/A","N/A",Calculation!BK70)</f>
        <v/>
      </c>
      <c r="AR64" s="391" t="str">
        <f>IF(Calculation!BL70="N/A","N/A",Calculation!BL70)</f>
        <v/>
      </c>
      <c r="AS64" s="402" t="str">
        <f>IF(Calculation!BM70="N/A","N/A",Calculation!BM70)</f>
        <v/>
      </c>
      <c r="AT64" s="400"/>
    </row>
    <row r="65" spans="1:46" ht="12.75" customHeight="1">
      <c r="A65" s="224" t="str">
        <f>IF(Calculation!BN71="","",CONCATENATE(Calculation!BO71,"-",Calculation!R71,"-",Calculation!S71,"-",Calculation!T71,"-",Calculation!U71))</f>
        <v/>
      </c>
      <c r="B65" s="224">
        <v>50</v>
      </c>
      <c r="C65" s="629" t="str">
        <f>IF(A65="","",Calculation!B71)</f>
        <v/>
      </c>
      <c r="D65" s="386" t="str">
        <f>IF(A65="","",Calculation!L71)</f>
        <v/>
      </c>
      <c r="E65" s="387" t="str">
        <f>IF(A65="","",Calculation!J71)</f>
        <v/>
      </c>
      <c r="F65" s="387" t="str">
        <f>IF(A65="","",Calculation!C71)</f>
        <v/>
      </c>
      <c r="G65" s="387" t="str">
        <f>IF(A65="","",LEFT(Calculation!O71,6))</f>
        <v/>
      </c>
      <c r="H65" s="388" t="str">
        <f>IF(A65="","",Calculation!DX71)</f>
        <v/>
      </c>
      <c r="I65" s="387" t="str">
        <f>IF(A65="","",Calculation!P71)</f>
        <v/>
      </c>
      <c r="J65" s="387" t="str">
        <f>IF(A65="","",HLOOKUP(LEFT(Calculation!BO71,7),LookUps!$C$38:$M$41,4))</f>
        <v/>
      </c>
      <c r="K65" s="387" t="str">
        <f>IF(A65="","",Calculation!M71)</f>
        <v/>
      </c>
      <c r="L65" s="387" t="str">
        <f>IF(A65="","",Calculation!S71)</f>
        <v/>
      </c>
      <c r="M65" s="389" t="str">
        <f>IF(A65="","",Calculation!N71)</f>
        <v/>
      </c>
      <c r="N65" s="390" t="str">
        <f>IF(A65="","",Calculation!R71)</f>
        <v/>
      </c>
      <c r="O65" s="391" t="str">
        <f>IF(A65="","",Calculation!$F$6)</f>
        <v/>
      </c>
      <c r="P65" s="392" t="str">
        <f>IF(A65="","",Calculation!$F$7)</f>
        <v/>
      </c>
      <c r="Q65" s="393" t="str">
        <f>IF(A65="","",Calculation!$F$13)</f>
        <v/>
      </c>
      <c r="R65" s="394" t="str">
        <f>IF(A65="","",Calculation!X71)</f>
        <v/>
      </c>
      <c r="S65" s="393" t="str">
        <f>IF(A65="","",Calculation!T71)</f>
        <v/>
      </c>
      <c r="T65" s="395" t="str">
        <f>IF(A65="","",IF(Calculation!$O$8="None","Water",CONCATENATE(Calculation!$O$8,"-",Calculation!$S$8,"%")))</f>
        <v/>
      </c>
      <c r="U65" s="393" t="str">
        <f>IF(A65="","",Calculation!$P$6)</f>
        <v/>
      </c>
      <c r="V65" s="393" t="str">
        <f>IF(A65="","",Calculation!AT71)</f>
        <v/>
      </c>
      <c r="W65" s="396" t="str">
        <f>IF(A65="","",Calculation!AP71)</f>
        <v/>
      </c>
      <c r="X65" s="396" t="str">
        <f>IF(A65="","",Calculation!AO71)</f>
        <v/>
      </c>
      <c r="Y65" s="396" t="str">
        <f>IF(A65="","",Calculation!AQ71)</f>
        <v/>
      </c>
      <c r="Z65" s="396" t="str">
        <f>IF(A65="","",Calculation!$H$6)</f>
        <v/>
      </c>
      <c r="AA65" s="397" t="str">
        <f>IF(A65="","",Calculation!$H$13)</f>
        <v/>
      </c>
      <c r="AB65" s="397" t="str">
        <f>IF(A65="","",Calculation!U71)</f>
        <v/>
      </c>
      <c r="AC65" s="398" t="str">
        <f>IF(A65="","",IF(Calculation!$O$9="None","Water",CONCATENATE(Calculation!$O$9,"-",Calculation!$S$9,"%")))</f>
        <v/>
      </c>
      <c r="AD65" s="396" t="str">
        <f>IF(A65="","",Calculation!$S$6)</f>
        <v/>
      </c>
      <c r="AE65" s="399" t="str">
        <f>IF(A65="","",Calculation!BA71)</f>
        <v/>
      </c>
      <c r="AF65" s="396" t="str">
        <f>IF(A65="","",Calculation!AX71)</f>
        <v/>
      </c>
      <c r="AG65" s="396" t="str">
        <f>IF(A65="","",Calculation!AW71)</f>
        <v/>
      </c>
      <c r="AH65" s="391" t="str">
        <f>IF(A65="","",Calculation!AY71)</f>
        <v/>
      </c>
      <c r="AI65" s="391" t="str">
        <f>IF(A65="","",Calculation!Y71)</f>
        <v/>
      </c>
      <c r="AJ65" s="401" t="str">
        <f>IF(Calculation!BD71&gt;0,Calculation!BD71," ")</f>
        <v xml:space="preserve"> </v>
      </c>
      <c r="AK65" s="401" t="str">
        <f>IF(Calculation!BD71&gt;0,Calculation!BE71," ")</f>
        <v xml:space="preserve"> </v>
      </c>
      <c r="AL65" s="401" t="str">
        <f>IF(Calculation!BD71&gt;0,Calculation!BF71," ")</f>
        <v xml:space="preserve"> </v>
      </c>
      <c r="AM65" s="401" t="str">
        <f>IF(Calculation!BD71&gt;0,Calculation!BG71," ")</f>
        <v xml:space="preserve"> </v>
      </c>
      <c r="AN65" s="391" t="str">
        <f>IF(Calculation!BH71="N/A","N/A",Calculation!BH71)</f>
        <v xml:space="preserve"> </v>
      </c>
      <c r="AO65" s="402" t="str">
        <f>IF(Calculation!BI71="N/A","N/A",Calculation!BI71)</f>
        <v/>
      </c>
      <c r="AP65" s="391" t="str">
        <f>IF(Calculation!BJ71="N/A","N/A",Calculation!BJ71)</f>
        <v/>
      </c>
      <c r="AQ65" s="402" t="str">
        <f>IF(Calculation!BK71="N/A","N/A",Calculation!BK71)</f>
        <v/>
      </c>
      <c r="AR65" s="391" t="str">
        <f>IF(Calculation!BL71="N/A","N/A",Calculation!BL71)</f>
        <v/>
      </c>
      <c r="AS65" s="402" t="str">
        <f>IF(Calculation!BM71="N/A","N/A",Calculation!BM71)</f>
        <v/>
      </c>
      <c r="AT65" s="400"/>
    </row>
    <row r="66" spans="1:46" ht="12.75" customHeight="1">
      <c r="A66" s="224" t="str">
        <f>IF(Calculation!BN72="","",CONCATENATE(Calculation!BO72,"-",Calculation!R72,"-",Calculation!S72,"-",Calculation!T72,"-",Calculation!U72))</f>
        <v/>
      </c>
      <c r="B66" s="224">
        <v>51</v>
      </c>
      <c r="C66" s="629" t="str">
        <f>IF(A66="","",Calculation!B72)</f>
        <v/>
      </c>
      <c r="D66" s="386" t="str">
        <f>IF(A66="","",Calculation!L72)</f>
        <v/>
      </c>
      <c r="E66" s="387" t="str">
        <f>IF(A66="","",Calculation!J72)</f>
        <v/>
      </c>
      <c r="F66" s="387" t="str">
        <f>IF(A66="","",Calculation!C72)</f>
        <v/>
      </c>
      <c r="G66" s="387" t="str">
        <f>IF(A66="","",LEFT(Calculation!O72,6))</f>
        <v/>
      </c>
      <c r="H66" s="388" t="str">
        <f>IF(A66="","",Calculation!DX72)</f>
        <v/>
      </c>
      <c r="I66" s="387" t="str">
        <f>IF(A66="","",Calculation!P72)</f>
        <v/>
      </c>
      <c r="J66" s="387" t="str">
        <f>IF(A66="","",HLOOKUP(LEFT(Calculation!BO72,7),LookUps!$C$38:$M$41,4))</f>
        <v/>
      </c>
      <c r="K66" s="387" t="str">
        <f>IF(A66="","",Calculation!M72)</f>
        <v/>
      </c>
      <c r="L66" s="387" t="str">
        <f>IF(A66="","",Calculation!S72)</f>
        <v/>
      </c>
      <c r="M66" s="389" t="str">
        <f>IF(A66="","",Calculation!N72)</f>
        <v/>
      </c>
      <c r="N66" s="390" t="str">
        <f>IF(A66="","",Calculation!R72)</f>
        <v/>
      </c>
      <c r="O66" s="391" t="str">
        <f>IF(A66="","",Calculation!$F$6)</f>
        <v/>
      </c>
      <c r="P66" s="392" t="str">
        <f>IF(A66="","",Calculation!$F$7)</f>
        <v/>
      </c>
      <c r="Q66" s="393" t="str">
        <f>IF(A66="","",Calculation!$F$13)</f>
        <v/>
      </c>
      <c r="R66" s="394" t="str">
        <f>IF(A66="","",Calculation!X72)</f>
        <v/>
      </c>
      <c r="S66" s="393" t="str">
        <f>IF(A66="","",Calculation!T72)</f>
        <v/>
      </c>
      <c r="T66" s="395" t="str">
        <f>IF(A66="","",IF(Calculation!$O$8="None","Water",CONCATENATE(Calculation!$O$8,"-",Calculation!$S$8,"%")))</f>
        <v/>
      </c>
      <c r="U66" s="393" t="str">
        <f>IF(A66="","",Calculation!$P$6)</f>
        <v/>
      </c>
      <c r="V66" s="393" t="str">
        <f>IF(A66="","",Calculation!AT72)</f>
        <v/>
      </c>
      <c r="W66" s="396" t="str">
        <f>IF(A66="","",Calculation!AP72)</f>
        <v/>
      </c>
      <c r="X66" s="396" t="str">
        <f>IF(A66="","",Calculation!AO72)</f>
        <v/>
      </c>
      <c r="Y66" s="396" t="str">
        <f>IF(A66="","",Calculation!AQ72)</f>
        <v/>
      </c>
      <c r="Z66" s="396" t="str">
        <f>IF(A66="","",Calculation!$H$6)</f>
        <v/>
      </c>
      <c r="AA66" s="397" t="str">
        <f>IF(A66="","",Calculation!$H$13)</f>
        <v/>
      </c>
      <c r="AB66" s="397" t="str">
        <f>IF(A66="","",Calculation!U72)</f>
        <v/>
      </c>
      <c r="AC66" s="398" t="str">
        <f>IF(A66="","",IF(Calculation!$O$9="None","Water",CONCATENATE(Calculation!$O$9,"-",Calculation!$S$9,"%")))</f>
        <v/>
      </c>
      <c r="AD66" s="396" t="str">
        <f>IF(A66="","",Calculation!$S$6)</f>
        <v/>
      </c>
      <c r="AE66" s="399" t="str">
        <f>IF(A66="","",Calculation!BA72)</f>
        <v/>
      </c>
      <c r="AF66" s="396" t="str">
        <f>IF(A66="","",Calculation!AX72)</f>
        <v/>
      </c>
      <c r="AG66" s="396" t="str">
        <f>IF(A66="","",Calculation!AW72)</f>
        <v/>
      </c>
      <c r="AH66" s="391" t="str">
        <f>IF(A66="","",Calculation!AY72)</f>
        <v/>
      </c>
      <c r="AI66" s="391" t="str">
        <f>IF(A66="","",Calculation!Y72)</f>
        <v/>
      </c>
      <c r="AJ66" s="401" t="str">
        <f>IF(Calculation!BD72&gt;0,Calculation!BD72," ")</f>
        <v xml:space="preserve"> </v>
      </c>
      <c r="AK66" s="401" t="str">
        <f>IF(Calculation!BD72&gt;0,Calculation!BE72," ")</f>
        <v xml:space="preserve"> </v>
      </c>
      <c r="AL66" s="401" t="str">
        <f>IF(Calculation!BD72&gt;0,Calculation!BF72," ")</f>
        <v xml:space="preserve"> </v>
      </c>
      <c r="AM66" s="401" t="str">
        <f>IF(Calculation!BD72&gt;0,Calculation!BG72," ")</f>
        <v xml:space="preserve"> </v>
      </c>
      <c r="AN66" s="391" t="str">
        <f>IF(Calculation!BH72="N/A","N/A",Calculation!BH72)</f>
        <v xml:space="preserve"> </v>
      </c>
      <c r="AO66" s="402" t="str">
        <f>IF(Calculation!BI72="N/A","N/A",Calculation!BI72)</f>
        <v/>
      </c>
      <c r="AP66" s="391" t="str">
        <f>IF(Calculation!BJ72="N/A","N/A",Calculation!BJ72)</f>
        <v/>
      </c>
      <c r="AQ66" s="402" t="str">
        <f>IF(Calculation!BK72="N/A","N/A",Calculation!BK72)</f>
        <v/>
      </c>
      <c r="AR66" s="391" t="str">
        <f>IF(Calculation!BL72="N/A","N/A",Calculation!BL72)</f>
        <v/>
      </c>
      <c r="AS66" s="402" t="str">
        <f>IF(Calculation!BM72="N/A","N/A",Calculation!BM72)</f>
        <v/>
      </c>
      <c r="AT66" s="400"/>
    </row>
    <row r="67" spans="1:46" ht="12.75" customHeight="1">
      <c r="A67" s="224" t="str">
        <f>IF(Calculation!BN73="","",CONCATENATE(Calculation!BO73,"-",Calculation!R73,"-",Calculation!S73,"-",Calculation!T73,"-",Calculation!U73))</f>
        <v/>
      </c>
      <c r="B67" s="224">
        <v>52</v>
      </c>
      <c r="C67" s="629" t="str">
        <f>IF(A67="","",Calculation!B73)</f>
        <v/>
      </c>
      <c r="D67" s="386" t="str">
        <f>IF(A67="","",Calculation!L73)</f>
        <v/>
      </c>
      <c r="E67" s="387" t="str">
        <f>IF(A67="","",Calculation!J73)</f>
        <v/>
      </c>
      <c r="F67" s="387" t="str">
        <f>IF(A67="","",Calculation!C73)</f>
        <v/>
      </c>
      <c r="G67" s="387" t="str">
        <f>IF(A67="","",LEFT(Calculation!O73,6))</f>
        <v/>
      </c>
      <c r="H67" s="388" t="str">
        <f>IF(A67="","",Calculation!DX73)</f>
        <v/>
      </c>
      <c r="I67" s="387" t="str">
        <f>IF(A67="","",Calculation!P73)</f>
        <v/>
      </c>
      <c r="J67" s="387" t="str">
        <f>IF(A67="","",HLOOKUP(LEFT(Calculation!BO73,7),LookUps!$C$38:$M$41,4))</f>
        <v/>
      </c>
      <c r="K67" s="387" t="str">
        <f>IF(A67="","",Calculation!M73)</f>
        <v/>
      </c>
      <c r="L67" s="387" t="str">
        <f>IF(A67="","",Calculation!S73)</f>
        <v/>
      </c>
      <c r="M67" s="389" t="str">
        <f>IF(A67="","",Calculation!N73)</f>
        <v/>
      </c>
      <c r="N67" s="390" t="str">
        <f>IF(A67="","",Calculation!R73)</f>
        <v/>
      </c>
      <c r="O67" s="391" t="str">
        <f>IF(A67="","",Calculation!$F$6)</f>
        <v/>
      </c>
      <c r="P67" s="392" t="str">
        <f>IF(A67="","",Calculation!$F$7)</f>
        <v/>
      </c>
      <c r="Q67" s="393" t="str">
        <f>IF(A67="","",Calculation!$F$13)</f>
        <v/>
      </c>
      <c r="R67" s="394" t="str">
        <f>IF(A67="","",Calculation!X73)</f>
        <v/>
      </c>
      <c r="S67" s="393" t="str">
        <f>IF(A67="","",Calculation!T73)</f>
        <v/>
      </c>
      <c r="T67" s="395" t="str">
        <f>IF(A67="","",IF(Calculation!$O$8="None","Water",CONCATENATE(Calculation!$O$8,"-",Calculation!$S$8,"%")))</f>
        <v/>
      </c>
      <c r="U67" s="393" t="str">
        <f>IF(A67="","",Calculation!$P$6)</f>
        <v/>
      </c>
      <c r="V67" s="393" t="str">
        <f>IF(A67="","",Calculation!AT73)</f>
        <v/>
      </c>
      <c r="W67" s="396" t="str">
        <f>IF(A67="","",Calculation!AP73)</f>
        <v/>
      </c>
      <c r="X67" s="396" t="str">
        <f>IF(A67="","",Calculation!AO73)</f>
        <v/>
      </c>
      <c r="Y67" s="396" t="str">
        <f>IF(A67="","",Calculation!AQ73)</f>
        <v/>
      </c>
      <c r="Z67" s="396" t="str">
        <f>IF(A67="","",Calculation!$H$6)</f>
        <v/>
      </c>
      <c r="AA67" s="397" t="str">
        <f>IF(A67="","",Calculation!$H$13)</f>
        <v/>
      </c>
      <c r="AB67" s="397" t="str">
        <f>IF(A67="","",Calculation!U73)</f>
        <v/>
      </c>
      <c r="AC67" s="398" t="str">
        <f>IF(A67="","",IF(Calculation!$O$9="None","Water",CONCATENATE(Calculation!$O$9,"-",Calculation!$S$9,"%")))</f>
        <v/>
      </c>
      <c r="AD67" s="396" t="str">
        <f>IF(A67="","",Calculation!$S$6)</f>
        <v/>
      </c>
      <c r="AE67" s="399" t="str">
        <f>IF(A67="","",Calculation!BA73)</f>
        <v/>
      </c>
      <c r="AF67" s="396" t="str">
        <f>IF(A67="","",Calculation!AX73)</f>
        <v/>
      </c>
      <c r="AG67" s="396" t="str">
        <f>IF(A67="","",Calculation!AW73)</f>
        <v/>
      </c>
      <c r="AH67" s="391" t="str">
        <f>IF(A67="","",Calculation!AY73)</f>
        <v/>
      </c>
      <c r="AI67" s="391" t="str">
        <f>IF(A67="","",Calculation!Y73)</f>
        <v/>
      </c>
      <c r="AJ67" s="401" t="str">
        <f>IF(Calculation!BD73&gt;0,Calculation!BD73," ")</f>
        <v xml:space="preserve"> </v>
      </c>
      <c r="AK67" s="401" t="str">
        <f>IF(Calculation!BD73&gt;0,Calculation!BE73," ")</f>
        <v xml:space="preserve"> </v>
      </c>
      <c r="AL67" s="401" t="str">
        <f>IF(Calculation!BD73&gt;0,Calculation!BF73," ")</f>
        <v xml:space="preserve"> </v>
      </c>
      <c r="AM67" s="401" t="str">
        <f>IF(Calculation!BD73&gt;0,Calculation!BG73," ")</f>
        <v xml:space="preserve"> </v>
      </c>
      <c r="AN67" s="391" t="str">
        <f>IF(Calculation!BH73="N/A","N/A",Calculation!BH73)</f>
        <v xml:space="preserve"> </v>
      </c>
      <c r="AO67" s="402" t="str">
        <f>IF(Calculation!BI73="N/A","N/A",Calculation!BI73)</f>
        <v/>
      </c>
      <c r="AP67" s="391" t="str">
        <f>IF(Calculation!BJ73="N/A","N/A",Calculation!BJ73)</f>
        <v/>
      </c>
      <c r="AQ67" s="402" t="str">
        <f>IF(Calculation!BK73="N/A","N/A",Calculation!BK73)</f>
        <v/>
      </c>
      <c r="AR67" s="391" t="str">
        <f>IF(Calculation!BL73="N/A","N/A",Calculation!BL73)</f>
        <v/>
      </c>
      <c r="AS67" s="402" t="str">
        <f>IF(Calculation!BM73="N/A","N/A",Calculation!BM73)</f>
        <v/>
      </c>
      <c r="AT67" s="400"/>
    </row>
    <row r="68" spans="1:46" ht="12.75" customHeight="1">
      <c r="A68" s="224" t="str">
        <f>IF(Calculation!BN74="","",CONCATENATE(Calculation!BO74,"-",Calculation!R74,"-",Calculation!S74,"-",Calculation!T74,"-",Calculation!U74))</f>
        <v/>
      </c>
      <c r="B68" s="224">
        <v>53</v>
      </c>
      <c r="C68" s="629" t="str">
        <f>IF(A68="","",Calculation!B74)</f>
        <v/>
      </c>
      <c r="D68" s="386" t="str">
        <f>IF(A68="","",Calculation!L74)</f>
        <v/>
      </c>
      <c r="E68" s="387" t="str">
        <f>IF(A68="","",Calculation!J74)</f>
        <v/>
      </c>
      <c r="F68" s="387" t="str">
        <f>IF(A68="","",Calculation!C74)</f>
        <v/>
      </c>
      <c r="G68" s="387" t="str">
        <f>IF(A68="","",LEFT(Calculation!O74,6))</f>
        <v/>
      </c>
      <c r="H68" s="388" t="str">
        <f>IF(A68="","",Calculation!DX74)</f>
        <v/>
      </c>
      <c r="I68" s="387" t="str">
        <f>IF(A68="","",Calculation!P74)</f>
        <v/>
      </c>
      <c r="J68" s="387" t="str">
        <f>IF(A68="","",HLOOKUP(LEFT(Calculation!BO74,7),LookUps!$C$38:$M$41,4))</f>
        <v/>
      </c>
      <c r="K68" s="387" t="str">
        <f>IF(A68="","",Calculation!M74)</f>
        <v/>
      </c>
      <c r="L68" s="387" t="str">
        <f>IF(A68="","",Calculation!S74)</f>
        <v/>
      </c>
      <c r="M68" s="389" t="str">
        <f>IF(A68="","",Calculation!N74)</f>
        <v/>
      </c>
      <c r="N68" s="390" t="str">
        <f>IF(A68="","",Calculation!R74)</f>
        <v/>
      </c>
      <c r="O68" s="391" t="str">
        <f>IF(A68="","",Calculation!$F$6)</f>
        <v/>
      </c>
      <c r="P68" s="392" t="str">
        <f>IF(A68="","",Calculation!$F$7)</f>
        <v/>
      </c>
      <c r="Q68" s="393" t="str">
        <f>IF(A68="","",Calculation!$F$13)</f>
        <v/>
      </c>
      <c r="R68" s="394" t="str">
        <f>IF(A68="","",Calculation!X74)</f>
        <v/>
      </c>
      <c r="S68" s="393" t="str">
        <f>IF(A68="","",Calculation!T74)</f>
        <v/>
      </c>
      <c r="T68" s="395" t="str">
        <f>IF(A68="","",IF(Calculation!$O$8="None","Water",CONCATENATE(Calculation!$O$8,"-",Calculation!$S$8,"%")))</f>
        <v/>
      </c>
      <c r="U68" s="393" t="str">
        <f>IF(A68="","",Calculation!$P$6)</f>
        <v/>
      </c>
      <c r="V68" s="393" t="str">
        <f>IF(A68="","",Calculation!AT74)</f>
        <v/>
      </c>
      <c r="W68" s="396" t="str">
        <f>IF(A68="","",Calculation!AP74)</f>
        <v/>
      </c>
      <c r="X68" s="396" t="str">
        <f>IF(A68="","",Calculation!AO74)</f>
        <v/>
      </c>
      <c r="Y68" s="396" t="str">
        <f>IF(A68="","",Calculation!AQ74)</f>
        <v/>
      </c>
      <c r="Z68" s="396" t="str">
        <f>IF(A68="","",Calculation!$H$6)</f>
        <v/>
      </c>
      <c r="AA68" s="397" t="str">
        <f>IF(A68="","",Calculation!$H$13)</f>
        <v/>
      </c>
      <c r="AB68" s="397" t="str">
        <f>IF(A68="","",Calculation!U74)</f>
        <v/>
      </c>
      <c r="AC68" s="398" t="str">
        <f>IF(A68="","",IF(Calculation!$O$9="None","Water",CONCATENATE(Calculation!$O$9,"-",Calculation!$S$9,"%")))</f>
        <v/>
      </c>
      <c r="AD68" s="396" t="str">
        <f>IF(A68="","",Calculation!$S$6)</f>
        <v/>
      </c>
      <c r="AE68" s="399" t="str">
        <f>IF(A68="","",Calculation!BA74)</f>
        <v/>
      </c>
      <c r="AF68" s="396" t="str">
        <f>IF(A68="","",Calculation!AX74)</f>
        <v/>
      </c>
      <c r="AG68" s="396" t="str">
        <f>IF(A68="","",Calculation!AW74)</f>
        <v/>
      </c>
      <c r="AH68" s="391" t="str">
        <f>IF(A68="","",Calculation!AY74)</f>
        <v/>
      </c>
      <c r="AI68" s="391" t="str">
        <f>IF(A68="","",Calculation!Y74)</f>
        <v/>
      </c>
      <c r="AJ68" s="401" t="str">
        <f>IF(Calculation!BD74&gt;0,Calculation!BD74," ")</f>
        <v xml:space="preserve"> </v>
      </c>
      <c r="AK68" s="401" t="str">
        <f>IF(Calculation!BD74&gt;0,Calculation!BE74," ")</f>
        <v xml:space="preserve"> </v>
      </c>
      <c r="AL68" s="401" t="str">
        <f>IF(Calculation!BD74&gt;0,Calculation!BF74," ")</f>
        <v xml:space="preserve"> </v>
      </c>
      <c r="AM68" s="401" t="str">
        <f>IF(Calculation!BD74&gt;0,Calculation!BG74," ")</f>
        <v xml:space="preserve"> </v>
      </c>
      <c r="AN68" s="391" t="str">
        <f>IF(Calculation!BH74="N/A","N/A",Calculation!BH74)</f>
        <v xml:space="preserve"> </v>
      </c>
      <c r="AO68" s="402" t="str">
        <f>IF(Calculation!BI74="N/A","N/A",Calculation!BI74)</f>
        <v/>
      </c>
      <c r="AP68" s="391" t="str">
        <f>IF(Calculation!BJ74="N/A","N/A",Calculation!BJ74)</f>
        <v/>
      </c>
      <c r="AQ68" s="402" t="str">
        <f>IF(Calculation!BK74="N/A","N/A",Calculation!BK74)</f>
        <v/>
      </c>
      <c r="AR68" s="391" t="str">
        <f>IF(Calculation!BL74="N/A","N/A",Calculation!BL74)</f>
        <v/>
      </c>
      <c r="AS68" s="402" t="str">
        <f>IF(Calculation!BM74="N/A","N/A",Calculation!BM74)</f>
        <v/>
      </c>
      <c r="AT68" s="400"/>
    </row>
    <row r="69" spans="1:46" ht="12.75" customHeight="1">
      <c r="A69" s="224" t="str">
        <f>IF(Calculation!BN75="","",CONCATENATE(Calculation!BO75,"-",Calculation!R75,"-",Calculation!S75,"-",Calculation!T75,"-",Calculation!U75))</f>
        <v/>
      </c>
      <c r="B69" s="224">
        <v>54</v>
      </c>
      <c r="C69" s="629" t="str">
        <f>IF(A69="","",Calculation!B75)</f>
        <v/>
      </c>
      <c r="D69" s="386" t="str">
        <f>IF(A69="","",Calculation!L75)</f>
        <v/>
      </c>
      <c r="E69" s="387" t="str">
        <f>IF(A69="","",Calculation!J75)</f>
        <v/>
      </c>
      <c r="F69" s="387" t="str">
        <f>IF(A69="","",Calculation!C75)</f>
        <v/>
      </c>
      <c r="G69" s="387" t="str">
        <f>IF(A69="","",LEFT(Calculation!O75,6))</f>
        <v/>
      </c>
      <c r="H69" s="388" t="str">
        <f>IF(A69="","",Calculation!DX75)</f>
        <v/>
      </c>
      <c r="I69" s="387" t="str">
        <f>IF(A69="","",Calculation!P75)</f>
        <v/>
      </c>
      <c r="J69" s="387" t="str">
        <f>IF(A69="","",HLOOKUP(LEFT(Calculation!BO75,7),LookUps!$C$38:$M$41,4))</f>
        <v/>
      </c>
      <c r="K69" s="387" t="str">
        <f>IF(A69="","",Calculation!M75)</f>
        <v/>
      </c>
      <c r="L69" s="387" t="str">
        <f>IF(A69="","",Calculation!S75)</f>
        <v/>
      </c>
      <c r="M69" s="389" t="str">
        <f>IF(A69="","",Calculation!N75)</f>
        <v/>
      </c>
      <c r="N69" s="390" t="str">
        <f>IF(A69="","",Calculation!R75)</f>
        <v/>
      </c>
      <c r="O69" s="391" t="str">
        <f>IF(A69="","",Calculation!$F$6)</f>
        <v/>
      </c>
      <c r="P69" s="392" t="str">
        <f>IF(A69="","",Calculation!$F$7)</f>
        <v/>
      </c>
      <c r="Q69" s="393" t="str">
        <f>IF(A69="","",Calculation!$F$13)</f>
        <v/>
      </c>
      <c r="R69" s="394" t="str">
        <f>IF(A69="","",Calculation!X75)</f>
        <v/>
      </c>
      <c r="S69" s="393" t="str">
        <f>IF(A69="","",Calculation!T75)</f>
        <v/>
      </c>
      <c r="T69" s="395" t="str">
        <f>IF(A69="","",IF(Calculation!$O$8="None","Water",CONCATENATE(Calculation!$O$8,"-",Calculation!$S$8,"%")))</f>
        <v/>
      </c>
      <c r="U69" s="393" t="str">
        <f>IF(A69="","",Calculation!$P$6)</f>
        <v/>
      </c>
      <c r="V69" s="393" t="str">
        <f>IF(A69="","",Calculation!AT75)</f>
        <v/>
      </c>
      <c r="W69" s="396" t="str">
        <f>IF(A69="","",Calculation!AP75)</f>
        <v/>
      </c>
      <c r="X69" s="396" t="str">
        <f>IF(A69="","",Calculation!AO75)</f>
        <v/>
      </c>
      <c r="Y69" s="396" t="str">
        <f>IF(A69="","",Calculation!AQ75)</f>
        <v/>
      </c>
      <c r="Z69" s="396" t="str">
        <f>IF(A69="","",Calculation!$H$6)</f>
        <v/>
      </c>
      <c r="AA69" s="397" t="str">
        <f>IF(A69="","",Calculation!$H$13)</f>
        <v/>
      </c>
      <c r="AB69" s="397" t="str">
        <f>IF(A69="","",Calculation!U75)</f>
        <v/>
      </c>
      <c r="AC69" s="398" t="str">
        <f>IF(A69="","",IF(Calculation!$O$9="None","Water",CONCATENATE(Calculation!$O$9,"-",Calculation!$S$9,"%")))</f>
        <v/>
      </c>
      <c r="AD69" s="396" t="str">
        <f>IF(A69="","",Calculation!$S$6)</f>
        <v/>
      </c>
      <c r="AE69" s="399" t="str">
        <f>IF(A69="","",Calculation!BA75)</f>
        <v/>
      </c>
      <c r="AF69" s="396" t="str">
        <f>IF(A69="","",Calculation!AX75)</f>
        <v/>
      </c>
      <c r="AG69" s="396" t="str">
        <f>IF(A69="","",Calculation!AW75)</f>
        <v/>
      </c>
      <c r="AH69" s="391" t="str">
        <f>IF(A69="","",Calculation!AY75)</f>
        <v/>
      </c>
      <c r="AI69" s="391" t="str">
        <f>IF(A69="","",Calculation!Y75)</f>
        <v/>
      </c>
      <c r="AJ69" s="401" t="str">
        <f>IF(Calculation!BD75&gt;0,Calculation!BD75," ")</f>
        <v xml:space="preserve"> </v>
      </c>
      <c r="AK69" s="401" t="str">
        <f>IF(Calculation!BD75&gt;0,Calculation!BE75," ")</f>
        <v xml:space="preserve"> </v>
      </c>
      <c r="AL69" s="401" t="str">
        <f>IF(Calculation!BD75&gt;0,Calculation!BF75," ")</f>
        <v xml:space="preserve"> </v>
      </c>
      <c r="AM69" s="401" t="str">
        <f>IF(Calculation!BD75&gt;0,Calculation!BG75," ")</f>
        <v xml:space="preserve"> </v>
      </c>
      <c r="AN69" s="391" t="str">
        <f>IF(Calculation!BH75="N/A","N/A",Calculation!BH75)</f>
        <v xml:space="preserve"> </v>
      </c>
      <c r="AO69" s="402" t="str">
        <f>IF(Calculation!BI75="N/A","N/A",Calculation!BI75)</f>
        <v/>
      </c>
      <c r="AP69" s="391" t="str">
        <f>IF(Calculation!BJ75="N/A","N/A",Calculation!BJ75)</f>
        <v/>
      </c>
      <c r="AQ69" s="402" t="str">
        <f>IF(Calculation!BK75="N/A","N/A",Calculation!BK75)</f>
        <v/>
      </c>
      <c r="AR69" s="391" t="str">
        <f>IF(Calculation!BL75="N/A","N/A",Calculation!BL75)</f>
        <v/>
      </c>
      <c r="AS69" s="402" t="str">
        <f>IF(Calculation!BM75="N/A","N/A",Calculation!BM75)</f>
        <v/>
      </c>
      <c r="AT69" s="400"/>
    </row>
    <row r="70" spans="1:46" ht="12.75" customHeight="1">
      <c r="A70" s="224" t="str">
        <f>IF(Calculation!BN76="","",CONCATENATE(Calculation!BO76,"-",Calculation!R76,"-",Calculation!S76,"-",Calculation!T76,"-",Calculation!U76))</f>
        <v/>
      </c>
      <c r="B70" s="224">
        <v>55</v>
      </c>
      <c r="C70" s="629" t="str">
        <f>IF(A70="","",Calculation!B76)</f>
        <v/>
      </c>
      <c r="D70" s="386" t="str">
        <f>IF(A70="","",Calculation!L76)</f>
        <v/>
      </c>
      <c r="E70" s="387" t="str">
        <f>IF(A70="","",Calculation!J76)</f>
        <v/>
      </c>
      <c r="F70" s="387" t="str">
        <f>IF(A70="","",Calculation!C76)</f>
        <v/>
      </c>
      <c r="G70" s="387" t="str">
        <f>IF(A70="","",LEFT(Calculation!O76,6))</f>
        <v/>
      </c>
      <c r="H70" s="388" t="str">
        <f>IF(A70="","",Calculation!DX76)</f>
        <v/>
      </c>
      <c r="I70" s="387" t="str">
        <f>IF(A70="","",Calculation!P76)</f>
        <v/>
      </c>
      <c r="J70" s="387" t="str">
        <f>IF(A70="","",HLOOKUP(LEFT(Calculation!BO76,7),LookUps!$C$38:$M$41,4))</f>
        <v/>
      </c>
      <c r="K70" s="387" t="str">
        <f>IF(A70="","",Calculation!M76)</f>
        <v/>
      </c>
      <c r="L70" s="387" t="str">
        <f>IF(A70="","",Calculation!S76)</f>
        <v/>
      </c>
      <c r="M70" s="389" t="str">
        <f>IF(A70="","",Calculation!N76)</f>
        <v/>
      </c>
      <c r="N70" s="390" t="str">
        <f>IF(A70="","",Calculation!R76)</f>
        <v/>
      </c>
      <c r="O70" s="391" t="str">
        <f>IF(A70="","",Calculation!$F$6)</f>
        <v/>
      </c>
      <c r="P70" s="392" t="str">
        <f>IF(A70="","",Calculation!$F$7)</f>
        <v/>
      </c>
      <c r="Q70" s="393" t="str">
        <f>IF(A70="","",Calculation!$F$13)</f>
        <v/>
      </c>
      <c r="R70" s="394" t="str">
        <f>IF(A70="","",Calculation!X76)</f>
        <v/>
      </c>
      <c r="S70" s="393" t="str">
        <f>IF(A70="","",Calculation!T76)</f>
        <v/>
      </c>
      <c r="T70" s="395" t="str">
        <f>IF(A70="","",IF(Calculation!$O$8="None","Water",CONCATENATE(Calculation!$O$8,"-",Calculation!$S$8,"%")))</f>
        <v/>
      </c>
      <c r="U70" s="393" t="str">
        <f>IF(A70="","",Calculation!$P$6)</f>
        <v/>
      </c>
      <c r="V70" s="393" t="str">
        <f>IF(A70="","",Calculation!AT76)</f>
        <v/>
      </c>
      <c r="W70" s="396" t="str">
        <f>IF(A70="","",Calculation!AP76)</f>
        <v/>
      </c>
      <c r="X70" s="396" t="str">
        <f>IF(A70="","",Calculation!AO76)</f>
        <v/>
      </c>
      <c r="Y70" s="396" t="str">
        <f>IF(A70="","",Calculation!AQ76)</f>
        <v/>
      </c>
      <c r="Z70" s="396" t="str">
        <f>IF(A70="","",Calculation!$H$6)</f>
        <v/>
      </c>
      <c r="AA70" s="397" t="str">
        <f>IF(A70="","",Calculation!$H$13)</f>
        <v/>
      </c>
      <c r="AB70" s="397" t="str">
        <f>IF(A70="","",Calculation!U76)</f>
        <v/>
      </c>
      <c r="AC70" s="398" t="str">
        <f>IF(A70="","",IF(Calculation!$O$9="None","Water",CONCATENATE(Calculation!$O$9,"-",Calculation!$S$9,"%")))</f>
        <v/>
      </c>
      <c r="AD70" s="396" t="str">
        <f>IF(A70="","",Calculation!$S$6)</f>
        <v/>
      </c>
      <c r="AE70" s="399" t="str">
        <f>IF(A70="","",Calculation!BA76)</f>
        <v/>
      </c>
      <c r="AF70" s="396" t="str">
        <f>IF(A70="","",Calculation!AX76)</f>
        <v/>
      </c>
      <c r="AG70" s="396" t="str">
        <f>IF(A70="","",Calculation!AW76)</f>
        <v/>
      </c>
      <c r="AH70" s="391" t="str">
        <f>IF(A70="","",Calculation!AY76)</f>
        <v/>
      </c>
      <c r="AI70" s="391" t="str">
        <f>IF(A70="","",Calculation!Y76)</f>
        <v/>
      </c>
      <c r="AJ70" s="401" t="str">
        <f>IF(Calculation!BD76&gt;0,Calculation!BD76," ")</f>
        <v xml:space="preserve"> </v>
      </c>
      <c r="AK70" s="401" t="str">
        <f>IF(Calculation!BD76&gt;0,Calculation!BE76," ")</f>
        <v xml:space="preserve"> </v>
      </c>
      <c r="AL70" s="401" t="str">
        <f>IF(Calculation!BD76&gt;0,Calculation!BF76," ")</f>
        <v xml:space="preserve"> </v>
      </c>
      <c r="AM70" s="401" t="str">
        <f>IF(Calculation!BD76&gt;0,Calculation!BG76," ")</f>
        <v xml:space="preserve"> </v>
      </c>
      <c r="AN70" s="391" t="str">
        <f>IF(Calculation!BH76="N/A","N/A",Calculation!BH76)</f>
        <v xml:space="preserve"> </v>
      </c>
      <c r="AO70" s="402" t="str">
        <f>IF(Calculation!BI76="N/A","N/A",Calculation!BI76)</f>
        <v/>
      </c>
      <c r="AP70" s="391" t="str">
        <f>IF(Calculation!BJ76="N/A","N/A",Calculation!BJ76)</f>
        <v/>
      </c>
      <c r="AQ70" s="402" t="str">
        <f>IF(Calculation!BK76="N/A","N/A",Calculation!BK76)</f>
        <v/>
      </c>
      <c r="AR70" s="391" t="str">
        <f>IF(Calculation!BL76="N/A","N/A",Calculation!BL76)</f>
        <v/>
      </c>
      <c r="AS70" s="402" t="str">
        <f>IF(Calculation!BM76="N/A","N/A",Calculation!BM76)</f>
        <v/>
      </c>
      <c r="AT70" s="400"/>
    </row>
    <row r="71" spans="1:46" ht="12.75" customHeight="1">
      <c r="A71" s="224" t="str">
        <f>IF(Calculation!BN77="","",CONCATENATE(Calculation!BO77,"-",Calculation!R77,"-",Calculation!S77,"-",Calculation!T77,"-",Calculation!U77))</f>
        <v/>
      </c>
      <c r="B71" s="224">
        <v>56</v>
      </c>
      <c r="C71" s="629" t="str">
        <f>IF(A71="","",Calculation!B77)</f>
        <v/>
      </c>
      <c r="D71" s="386" t="str">
        <f>IF(A71="","",Calculation!L77)</f>
        <v/>
      </c>
      <c r="E71" s="387" t="str">
        <f>IF(A71="","",Calculation!J77)</f>
        <v/>
      </c>
      <c r="F71" s="387" t="str">
        <f>IF(A71="","",Calculation!C77)</f>
        <v/>
      </c>
      <c r="G71" s="387" t="str">
        <f>IF(A71="","",LEFT(Calculation!O77,6))</f>
        <v/>
      </c>
      <c r="H71" s="388" t="str">
        <f>IF(A71="","",Calculation!DX77)</f>
        <v/>
      </c>
      <c r="I71" s="387" t="str">
        <f>IF(A71="","",Calculation!P77)</f>
        <v/>
      </c>
      <c r="J71" s="387" t="str">
        <f>IF(A71="","",HLOOKUP(LEFT(Calculation!BO77,7),LookUps!$C$38:$M$41,4))</f>
        <v/>
      </c>
      <c r="K71" s="387" t="str">
        <f>IF(A71="","",Calculation!M77)</f>
        <v/>
      </c>
      <c r="L71" s="387" t="str">
        <f>IF(A71="","",Calculation!S77)</f>
        <v/>
      </c>
      <c r="M71" s="389" t="str">
        <f>IF(A71="","",Calculation!N77)</f>
        <v/>
      </c>
      <c r="N71" s="390" t="str">
        <f>IF(A71="","",Calculation!R77)</f>
        <v/>
      </c>
      <c r="O71" s="391" t="str">
        <f>IF(A71="","",Calculation!$F$6)</f>
        <v/>
      </c>
      <c r="P71" s="392" t="str">
        <f>IF(A71="","",Calculation!$F$7)</f>
        <v/>
      </c>
      <c r="Q71" s="393" t="str">
        <f>IF(A71="","",Calculation!$F$13)</f>
        <v/>
      </c>
      <c r="R71" s="394" t="str">
        <f>IF(A71="","",Calculation!X77)</f>
        <v/>
      </c>
      <c r="S71" s="393" t="str">
        <f>IF(A71="","",Calculation!T77)</f>
        <v/>
      </c>
      <c r="T71" s="395" t="str">
        <f>IF(A71="","",IF(Calculation!$O$8="None","Water",CONCATENATE(Calculation!$O$8,"-",Calculation!$S$8,"%")))</f>
        <v/>
      </c>
      <c r="U71" s="393" t="str">
        <f>IF(A71="","",Calculation!$P$6)</f>
        <v/>
      </c>
      <c r="V71" s="393" t="str">
        <f>IF(A71="","",Calculation!AT77)</f>
        <v/>
      </c>
      <c r="W71" s="396" t="str">
        <f>IF(A71="","",Calculation!AP77)</f>
        <v/>
      </c>
      <c r="X71" s="396" t="str">
        <f>IF(A71="","",Calculation!AO77)</f>
        <v/>
      </c>
      <c r="Y71" s="396" t="str">
        <f>IF(A71="","",Calculation!AQ77)</f>
        <v/>
      </c>
      <c r="Z71" s="396" t="str">
        <f>IF(A71="","",Calculation!$H$6)</f>
        <v/>
      </c>
      <c r="AA71" s="397" t="str">
        <f>IF(A71="","",Calculation!$H$13)</f>
        <v/>
      </c>
      <c r="AB71" s="397" t="str">
        <f>IF(A71="","",Calculation!U77)</f>
        <v/>
      </c>
      <c r="AC71" s="398" t="str">
        <f>IF(A71="","",IF(Calculation!$O$9="None","Water",CONCATENATE(Calculation!$O$9,"-",Calculation!$S$9,"%")))</f>
        <v/>
      </c>
      <c r="AD71" s="396" t="str">
        <f>IF(A71="","",Calculation!$S$6)</f>
        <v/>
      </c>
      <c r="AE71" s="399" t="str">
        <f>IF(A71="","",Calculation!BA77)</f>
        <v/>
      </c>
      <c r="AF71" s="396" t="str">
        <f>IF(A71="","",Calculation!AX77)</f>
        <v/>
      </c>
      <c r="AG71" s="396" t="str">
        <f>IF(A71="","",Calculation!AW77)</f>
        <v/>
      </c>
      <c r="AH71" s="391" t="str">
        <f>IF(A71="","",Calculation!AY77)</f>
        <v/>
      </c>
      <c r="AI71" s="391" t="str">
        <f>IF(A71="","",Calculation!Y77)</f>
        <v/>
      </c>
      <c r="AJ71" s="401" t="str">
        <f>IF(Calculation!BD77&gt;0,Calculation!BD77," ")</f>
        <v xml:space="preserve"> </v>
      </c>
      <c r="AK71" s="401" t="str">
        <f>IF(Calculation!BD77&gt;0,Calculation!BE77," ")</f>
        <v xml:space="preserve"> </v>
      </c>
      <c r="AL71" s="401" t="str">
        <f>IF(Calculation!BD77&gt;0,Calculation!BF77," ")</f>
        <v xml:space="preserve"> </v>
      </c>
      <c r="AM71" s="401" t="str">
        <f>IF(Calculation!BD77&gt;0,Calculation!BG77," ")</f>
        <v xml:space="preserve"> </v>
      </c>
      <c r="AN71" s="391" t="str">
        <f>IF(Calculation!BH77="N/A","N/A",Calculation!BH77)</f>
        <v xml:space="preserve"> </v>
      </c>
      <c r="AO71" s="402" t="str">
        <f>IF(Calculation!BI77="N/A","N/A",Calculation!BI77)</f>
        <v/>
      </c>
      <c r="AP71" s="391" t="str">
        <f>IF(Calculation!BJ77="N/A","N/A",Calculation!BJ77)</f>
        <v/>
      </c>
      <c r="AQ71" s="402" t="str">
        <f>IF(Calculation!BK77="N/A","N/A",Calculation!BK77)</f>
        <v/>
      </c>
      <c r="AR71" s="391" t="str">
        <f>IF(Calculation!BL77="N/A","N/A",Calculation!BL77)</f>
        <v/>
      </c>
      <c r="AS71" s="402" t="str">
        <f>IF(Calculation!BM77="N/A","N/A",Calculation!BM77)</f>
        <v/>
      </c>
      <c r="AT71" s="400"/>
    </row>
    <row r="72" spans="1:46" ht="12.75" customHeight="1">
      <c r="A72" s="224" t="str">
        <f>IF(Calculation!BN78="","",CONCATENATE(Calculation!BO78,"-",Calculation!R78,"-",Calculation!S78,"-",Calculation!T78,"-",Calculation!U78))</f>
        <v/>
      </c>
      <c r="B72" s="224">
        <v>57</v>
      </c>
      <c r="C72" s="629" t="str">
        <f>IF(A72="","",Calculation!B78)</f>
        <v/>
      </c>
      <c r="D72" s="386" t="str">
        <f>IF(A72="","",Calculation!L78)</f>
        <v/>
      </c>
      <c r="E72" s="387" t="str">
        <f>IF(A72="","",Calculation!J78)</f>
        <v/>
      </c>
      <c r="F72" s="387" t="str">
        <f>IF(A72="","",Calculation!C78)</f>
        <v/>
      </c>
      <c r="G72" s="387" t="str">
        <f>IF(A72="","",LEFT(Calculation!O78,6))</f>
        <v/>
      </c>
      <c r="H72" s="388" t="str">
        <f>IF(A72="","",Calculation!DX78)</f>
        <v/>
      </c>
      <c r="I72" s="387" t="str">
        <f>IF(A72="","",Calculation!P78)</f>
        <v/>
      </c>
      <c r="J72" s="387" t="str">
        <f>IF(A72="","",HLOOKUP(LEFT(Calculation!BO78,7),LookUps!$C$38:$M$41,4))</f>
        <v/>
      </c>
      <c r="K72" s="387" t="str">
        <f>IF(A72="","",Calculation!M78)</f>
        <v/>
      </c>
      <c r="L72" s="387" t="str">
        <f>IF(A72="","",Calculation!S78)</f>
        <v/>
      </c>
      <c r="M72" s="389" t="str">
        <f>IF(A72="","",Calculation!N78)</f>
        <v/>
      </c>
      <c r="N72" s="390" t="str">
        <f>IF(A72="","",Calculation!R78)</f>
        <v/>
      </c>
      <c r="O72" s="391" t="str">
        <f>IF(A72="","",Calculation!$F$6)</f>
        <v/>
      </c>
      <c r="P72" s="392" t="str">
        <f>IF(A72="","",Calculation!$F$7)</f>
        <v/>
      </c>
      <c r="Q72" s="393" t="str">
        <f>IF(A72="","",Calculation!$F$13)</f>
        <v/>
      </c>
      <c r="R72" s="394" t="str">
        <f>IF(A72="","",Calculation!X78)</f>
        <v/>
      </c>
      <c r="S72" s="393" t="str">
        <f>IF(A72="","",Calculation!T78)</f>
        <v/>
      </c>
      <c r="T72" s="395" t="str">
        <f>IF(A72="","",IF(Calculation!$O$8="None","Water",CONCATENATE(Calculation!$O$8,"-",Calculation!$S$8,"%")))</f>
        <v/>
      </c>
      <c r="U72" s="393" t="str">
        <f>IF(A72="","",Calculation!$P$6)</f>
        <v/>
      </c>
      <c r="V72" s="393" t="str">
        <f>IF(A72="","",Calculation!AT78)</f>
        <v/>
      </c>
      <c r="W72" s="396" t="str">
        <f>IF(A72="","",Calculation!AP78)</f>
        <v/>
      </c>
      <c r="X72" s="396" t="str">
        <f>IF(A72="","",Calculation!AO78)</f>
        <v/>
      </c>
      <c r="Y72" s="396" t="str">
        <f>IF(A72="","",Calculation!AQ78)</f>
        <v/>
      </c>
      <c r="Z72" s="396" t="str">
        <f>IF(A72="","",Calculation!$H$6)</f>
        <v/>
      </c>
      <c r="AA72" s="397" t="str">
        <f>IF(A72="","",Calculation!$H$13)</f>
        <v/>
      </c>
      <c r="AB72" s="397" t="str">
        <f>IF(A72="","",Calculation!U78)</f>
        <v/>
      </c>
      <c r="AC72" s="398" t="str">
        <f>IF(A72="","",IF(Calculation!$O$9="None","Water",CONCATENATE(Calculation!$O$9,"-",Calculation!$S$9,"%")))</f>
        <v/>
      </c>
      <c r="AD72" s="396" t="str">
        <f>IF(A72="","",Calculation!$S$6)</f>
        <v/>
      </c>
      <c r="AE72" s="399" t="str">
        <f>IF(A72="","",Calculation!BA78)</f>
        <v/>
      </c>
      <c r="AF72" s="396" t="str">
        <f>IF(A72="","",Calculation!AX78)</f>
        <v/>
      </c>
      <c r="AG72" s="396" t="str">
        <f>IF(A72="","",Calculation!AW78)</f>
        <v/>
      </c>
      <c r="AH72" s="391" t="str">
        <f>IF(A72="","",Calculation!AY78)</f>
        <v/>
      </c>
      <c r="AI72" s="391" t="str">
        <f>IF(A72="","",Calculation!Y78)</f>
        <v/>
      </c>
      <c r="AJ72" s="401" t="str">
        <f>IF(Calculation!BD78&gt;0,Calculation!BD78," ")</f>
        <v xml:space="preserve"> </v>
      </c>
      <c r="AK72" s="401" t="str">
        <f>IF(Calculation!BD78&gt;0,Calculation!BE78," ")</f>
        <v xml:space="preserve"> </v>
      </c>
      <c r="AL72" s="401" t="str">
        <f>IF(Calculation!BD78&gt;0,Calculation!BF78," ")</f>
        <v xml:space="preserve"> </v>
      </c>
      <c r="AM72" s="401" t="str">
        <f>IF(Calculation!BD78&gt;0,Calculation!BG78," ")</f>
        <v xml:space="preserve"> </v>
      </c>
      <c r="AN72" s="391" t="str">
        <f>IF(Calculation!BH78="N/A","N/A",Calculation!BH78)</f>
        <v xml:space="preserve"> </v>
      </c>
      <c r="AO72" s="402" t="str">
        <f>IF(Calculation!BI78="N/A","N/A",Calculation!BI78)</f>
        <v/>
      </c>
      <c r="AP72" s="391" t="str">
        <f>IF(Calculation!BJ78="N/A","N/A",Calculation!BJ78)</f>
        <v/>
      </c>
      <c r="AQ72" s="402" t="str">
        <f>IF(Calculation!BK78="N/A","N/A",Calculation!BK78)</f>
        <v/>
      </c>
      <c r="AR72" s="391" t="str">
        <f>IF(Calculation!BL78="N/A","N/A",Calculation!BL78)</f>
        <v/>
      </c>
      <c r="AS72" s="402" t="str">
        <f>IF(Calculation!BM78="N/A","N/A",Calculation!BM78)</f>
        <v/>
      </c>
      <c r="AT72" s="400"/>
    </row>
    <row r="73" spans="1:46" ht="12.75" customHeight="1">
      <c r="A73" s="224" t="str">
        <f>IF(Calculation!BN79="","",CONCATENATE(Calculation!BO79,"-",Calculation!R79,"-",Calculation!S79,"-",Calculation!T79,"-",Calculation!U79))</f>
        <v/>
      </c>
      <c r="B73" s="224">
        <v>58</v>
      </c>
      <c r="C73" s="629" t="str">
        <f>IF(A73="","",Calculation!B79)</f>
        <v/>
      </c>
      <c r="D73" s="386" t="str">
        <f>IF(A73="","",Calculation!L79)</f>
        <v/>
      </c>
      <c r="E73" s="387" t="str">
        <f>IF(A73="","",Calculation!J79)</f>
        <v/>
      </c>
      <c r="F73" s="387" t="str">
        <f>IF(A73="","",Calculation!C79)</f>
        <v/>
      </c>
      <c r="G73" s="387" t="str">
        <f>IF(A73="","",LEFT(Calculation!O79,6))</f>
        <v/>
      </c>
      <c r="H73" s="388" t="str">
        <f>IF(A73="","",Calculation!DX79)</f>
        <v/>
      </c>
      <c r="I73" s="387" t="str">
        <f>IF(A73="","",Calculation!P79)</f>
        <v/>
      </c>
      <c r="J73" s="387" t="str">
        <f>IF(A73="","",HLOOKUP(LEFT(Calculation!BO79,7),LookUps!$C$38:$M$41,4))</f>
        <v/>
      </c>
      <c r="K73" s="387" t="str">
        <f>IF(A73="","",Calculation!M79)</f>
        <v/>
      </c>
      <c r="L73" s="387" t="str">
        <f>IF(A73="","",Calculation!S79)</f>
        <v/>
      </c>
      <c r="M73" s="389" t="str">
        <f>IF(A73="","",Calculation!N79)</f>
        <v/>
      </c>
      <c r="N73" s="390" t="str">
        <f>IF(A73="","",Calculation!R79)</f>
        <v/>
      </c>
      <c r="O73" s="391" t="str">
        <f>IF(A73="","",Calculation!$F$6)</f>
        <v/>
      </c>
      <c r="P73" s="392" t="str">
        <f>IF(A73="","",Calculation!$F$7)</f>
        <v/>
      </c>
      <c r="Q73" s="393" t="str">
        <f>IF(A73="","",Calculation!$F$13)</f>
        <v/>
      </c>
      <c r="R73" s="394" t="str">
        <f>IF(A73="","",Calculation!X79)</f>
        <v/>
      </c>
      <c r="S73" s="393" t="str">
        <f>IF(A73="","",Calculation!T79)</f>
        <v/>
      </c>
      <c r="T73" s="395" t="str">
        <f>IF(A73="","",IF(Calculation!$O$8="None","Water",CONCATENATE(Calculation!$O$8,"-",Calculation!$S$8,"%")))</f>
        <v/>
      </c>
      <c r="U73" s="393" t="str">
        <f>IF(A73="","",Calculation!$P$6)</f>
        <v/>
      </c>
      <c r="V73" s="393" t="str">
        <f>IF(A73="","",Calculation!AT79)</f>
        <v/>
      </c>
      <c r="W73" s="396" t="str">
        <f>IF(A73="","",Calculation!AP79)</f>
        <v/>
      </c>
      <c r="X73" s="396" t="str">
        <f>IF(A73="","",Calculation!AO79)</f>
        <v/>
      </c>
      <c r="Y73" s="396" t="str">
        <f>IF(A73="","",Calculation!AQ79)</f>
        <v/>
      </c>
      <c r="Z73" s="396" t="str">
        <f>IF(A73="","",Calculation!$H$6)</f>
        <v/>
      </c>
      <c r="AA73" s="397" t="str">
        <f>IF(A73="","",Calculation!$H$13)</f>
        <v/>
      </c>
      <c r="AB73" s="397" t="str">
        <f>IF(A73="","",Calculation!U79)</f>
        <v/>
      </c>
      <c r="AC73" s="398" t="str">
        <f>IF(A73="","",IF(Calculation!$O$9="None","Water",CONCATENATE(Calculation!$O$9,"-",Calculation!$S$9,"%")))</f>
        <v/>
      </c>
      <c r="AD73" s="396" t="str">
        <f>IF(A73="","",Calculation!$S$6)</f>
        <v/>
      </c>
      <c r="AE73" s="399" t="str">
        <f>IF(A73="","",Calculation!BA79)</f>
        <v/>
      </c>
      <c r="AF73" s="396" t="str">
        <f>IF(A73="","",Calculation!AX79)</f>
        <v/>
      </c>
      <c r="AG73" s="396" t="str">
        <f>IF(A73="","",Calculation!AW79)</f>
        <v/>
      </c>
      <c r="AH73" s="391" t="str">
        <f>IF(A73="","",Calculation!AY79)</f>
        <v/>
      </c>
      <c r="AI73" s="391" t="str">
        <f>IF(A73="","",Calculation!Y79)</f>
        <v/>
      </c>
      <c r="AJ73" s="401" t="str">
        <f>IF(Calculation!BD79&gt;0,Calculation!BD79," ")</f>
        <v xml:space="preserve"> </v>
      </c>
      <c r="AK73" s="401" t="str">
        <f>IF(Calculation!BD79&gt;0,Calculation!BE79," ")</f>
        <v xml:space="preserve"> </v>
      </c>
      <c r="AL73" s="401" t="str">
        <f>IF(Calculation!BD79&gt;0,Calculation!BF79," ")</f>
        <v xml:space="preserve"> </v>
      </c>
      <c r="AM73" s="401" t="str">
        <f>IF(Calculation!BD79&gt;0,Calculation!BG79," ")</f>
        <v xml:space="preserve"> </v>
      </c>
      <c r="AN73" s="391" t="str">
        <f>IF(Calculation!BH79="N/A","N/A",Calculation!BH79)</f>
        <v xml:space="preserve"> </v>
      </c>
      <c r="AO73" s="402" t="str">
        <f>IF(Calculation!BI79="N/A","N/A",Calculation!BI79)</f>
        <v/>
      </c>
      <c r="AP73" s="391" t="str">
        <f>IF(Calculation!BJ79="N/A","N/A",Calculation!BJ79)</f>
        <v/>
      </c>
      <c r="AQ73" s="402" t="str">
        <f>IF(Calculation!BK79="N/A","N/A",Calculation!BK79)</f>
        <v/>
      </c>
      <c r="AR73" s="391" t="str">
        <f>IF(Calculation!BL79="N/A","N/A",Calculation!BL79)</f>
        <v/>
      </c>
      <c r="AS73" s="402" t="str">
        <f>IF(Calculation!BM79="N/A","N/A",Calculation!BM79)</f>
        <v/>
      </c>
      <c r="AT73" s="400"/>
    </row>
    <row r="74" spans="1:46" ht="12.75" customHeight="1">
      <c r="A74" s="224" t="str">
        <f>IF(Calculation!BN80="","",CONCATENATE(Calculation!BO80,"-",Calculation!R80,"-",Calculation!S80,"-",Calculation!T80,"-",Calculation!U80))</f>
        <v/>
      </c>
      <c r="B74" s="224">
        <v>59</v>
      </c>
      <c r="C74" s="629" t="str">
        <f>IF(A74="","",Calculation!B80)</f>
        <v/>
      </c>
      <c r="D74" s="386" t="str">
        <f>IF(A74="","",Calculation!L80)</f>
        <v/>
      </c>
      <c r="E74" s="387" t="str">
        <f>IF(A74="","",Calculation!J80)</f>
        <v/>
      </c>
      <c r="F74" s="387" t="str">
        <f>IF(A74="","",Calculation!C80)</f>
        <v/>
      </c>
      <c r="G74" s="387" t="str">
        <f>IF(A74="","",LEFT(Calculation!O80,6))</f>
        <v/>
      </c>
      <c r="H74" s="388" t="str">
        <f>IF(A74="","",Calculation!DX80)</f>
        <v/>
      </c>
      <c r="I74" s="387" t="str">
        <f>IF(A74="","",Calculation!P80)</f>
        <v/>
      </c>
      <c r="J74" s="387" t="str">
        <f>IF(A74="","",HLOOKUP(LEFT(Calculation!BO80,7),LookUps!$C$38:$M$41,4))</f>
        <v/>
      </c>
      <c r="K74" s="387" t="str">
        <f>IF(A74="","",Calculation!M80)</f>
        <v/>
      </c>
      <c r="L74" s="387" t="str">
        <f>IF(A74="","",Calculation!S80)</f>
        <v/>
      </c>
      <c r="M74" s="389" t="str">
        <f>IF(A74="","",Calculation!N80)</f>
        <v/>
      </c>
      <c r="N74" s="390" t="str">
        <f>IF(A74="","",Calculation!R80)</f>
        <v/>
      </c>
      <c r="O74" s="391" t="str">
        <f>IF(A74="","",Calculation!$F$6)</f>
        <v/>
      </c>
      <c r="P74" s="392" t="str">
        <f>IF(A74="","",Calculation!$F$7)</f>
        <v/>
      </c>
      <c r="Q74" s="393" t="str">
        <f>IF(A74="","",Calculation!$F$13)</f>
        <v/>
      </c>
      <c r="R74" s="394" t="str">
        <f>IF(A74="","",Calculation!X80)</f>
        <v/>
      </c>
      <c r="S74" s="393" t="str">
        <f>IF(A74="","",Calculation!T80)</f>
        <v/>
      </c>
      <c r="T74" s="395" t="str">
        <f>IF(A74="","",IF(Calculation!$O$8="None","Water",CONCATENATE(Calculation!$O$8,"-",Calculation!$S$8,"%")))</f>
        <v/>
      </c>
      <c r="U74" s="393" t="str">
        <f>IF(A74="","",Calculation!$P$6)</f>
        <v/>
      </c>
      <c r="V74" s="393" t="str">
        <f>IF(A74="","",Calculation!AT80)</f>
        <v/>
      </c>
      <c r="W74" s="396" t="str">
        <f>IF(A74="","",Calculation!AP80)</f>
        <v/>
      </c>
      <c r="X74" s="396" t="str">
        <f>IF(A74="","",Calculation!AO80)</f>
        <v/>
      </c>
      <c r="Y74" s="396" t="str">
        <f>IF(A74="","",Calculation!AQ80)</f>
        <v/>
      </c>
      <c r="Z74" s="396" t="str">
        <f>IF(A74="","",Calculation!$H$6)</f>
        <v/>
      </c>
      <c r="AA74" s="397" t="str">
        <f>IF(A74="","",Calculation!$H$13)</f>
        <v/>
      </c>
      <c r="AB74" s="397" t="str">
        <f>IF(A74="","",Calculation!U80)</f>
        <v/>
      </c>
      <c r="AC74" s="398" t="str">
        <f>IF(A74="","",IF(Calculation!$O$9="None","Water",CONCATENATE(Calculation!$O$9,"-",Calculation!$S$9,"%")))</f>
        <v/>
      </c>
      <c r="AD74" s="396" t="str">
        <f>IF(A74="","",Calculation!$S$6)</f>
        <v/>
      </c>
      <c r="AE74" s="399" t="str">
        <f>IF(A74="","",Calculation!BA80)</f>
        <v/>
      </c>
      <c r="AF74" s="396" t="str">
        <f>IF(A74="","",Calculation!AX80)</f>
        <v/>
      </c>
      <c r="AG74" s="396" t="str">
        <f>IF(A74="","",Calculation!AW80)</f>
        <v/>
      </c>
      <c r="AH74" s="391" t="str">
        <f>IF(A74="","",Calculation!AY80)</f>
        <v/>
      </c>
      <c r="AI74" s="391" t="str">
        <f>IF(A74="","",Calculation!Y80)</f>
        <v/>
      </c>
      <c r="AJ74" s="401" t="str">
        <f>IF(Calculation!BD80&gt;0,Calculation!BD80," ")</f>
        <v xml:space="preserve"> </v>
      </c>
      <c r="AK74" s="401" t="str">
        <f>IF(Calculation!BD80&gt;0,Calculation!BE80," ")</f>
        <v xml:space="preserve"> </v>
      </c>
      <c r="AL74" s="401" t="str">
        <f>IF(Calculation!BD80&gt;0,Calculation!BF80," ")</f>
        <v xml:space="preserve"> </v>
      </c>
      <c r="AM74" s="401" t="str">
        <f>IF(Calculation!BD80&gt;0,Calculation!BG80," ")</f>
        <v xml:space="preserve"> </v>
      </c>
      <c r="AN74" s="391" t="str">
        <f>IF(Calculation!BH80="N/A","N/A",Calculation!BH80)</f>
        <v xml:space="preserve"> </v>
      </c>
      <c r="AO74" s="402" t="str">
        <f>IF(Calculation!BI80="N/A","N/A",Calculation!BI80)</f>
        <v/>
      </c>
      <c r="AP74" s="391" t="str">
        <f>IF(Calculation!BJ80="N/A","N/A",Calculation!BJ80)</f>
        <v/>
      </c>
      <c r="AQ74" s="402" t="str">
        <f>IF(Calculation!BK80="N/A","N/A",Calculation!BK80)</f>
        <v/>
      </c>
      <c r="AR74" s="391" t="str">
        <f>IF(Calculation!BL80="N/A","N/A",Calculation!BL80)</f>
        <v/>
      </c>
      <c r="AS74" s="402" t="str">
        <f>IF(Calculation!BM80="N/A","N/A",Calculation!BM80)</f>
        <v/>
      </c>
      <c r="AT74" s="400"/>
    </row>
    <row r="75" spans="1:46" ht="12.75" customHeight="1">
      <c r="A75" s="224" t="str">
        <f>IF(Calculation!BN81="","",CONCATENATE(Calculation!BO81,"-",Calculation!R81,"-",Calculation!S81,"-",Calculation!T81,"-",Calculation!U81))</f>
        <v/>
      </c>
      <c r="B75" s="224">
        <v>60</v>
      </c>
      <c r="C75" s="629" t="str">
        <f>IF(A75="","",Calculation!B81)</f>
        <v/>
      </c>
      <c r="D75" s="386" t="str">
        <f>IF(A75="","",Calculation!L81)</f>
        <v/>
      </c>
      <c r="E75" s="387" t="str">
        <f>IF(A75="","",Calculation!J81)</f>
        <v/>
      </c>
      <c r="F75" s="387" t="str">
        <f>IF(A75="","",Calculation!C81)</f>
        <v/>
      </c>
      <c r="G75" s="387" t="str">
        <f>IF(A75="","",LEFT(Calculation!O81,6))</f>
        <v/>
      </c>
      <c r="H75" s="388" t="str">
        <f>IF(A75="","",Calculation!DX81)</f>
        <v/>
      </c>
      <c r="I75" s="387" t="str">
        <f>IF(A75="","",Calculation!P81)</f>
        <v/>
      </c>
      <c r="J75" s="387" t="str">
        <f>IF(A75="","",HLOOKUP(LEFT(Calculation!BO81,7),LookUps!$C$38:$M$41,4))</f>
        <v/>
      </c>
      <c r="K75" s="387" t="str">
        <f>IF(A75="","",Calculation!M81)</f>
        <v/>
      </c>
      <c r="L75" s="387" t="str">
        <f>IF(A75="","",Calculation!S81)</f>
        <v/>
      </c>
      <c r="M75" s="389" t="str">
        <f>IF(A75="","",Calculation!N81)</f>
        <v/>
      </c>
      <c r="N75" s="390" t="str">
        <f>IF(A75="","",Calculation!R81)</f>
        <v/>
      </c>
      <c r="O75" s="391" t="str">
        <f>IF(A75="","",Calculation!$F$6)</f>
        <v/>
      </c>
      <c r="P75" s="392" t="str">
        <f>IF(A75="","",Calculation!$F$7)</f>
        <v/>
      </c>
      <c r="Q75" s="393" t="str">
        <f>IF(A75="","",Calculation!$F$13)</f>
        <v/>
      </c>
      <c r="R75" s="394" t="str">
        <f>IF(A75="","",Calculation!X81)</f>
        <v/>
      </c>
      <c r="S75" s="393" t="str">
        <f>IF(A75="","",Calculation!T81)</f>
        <v/>
      </c>
      <c r="T75" s="395" t="str">
        <f>IF(A75="","",IF(Calculation!$O$8="None","Water",CONCATENATE(Calculation!$O$8,"-",Calculation!$S$8,"%")))</f>
        <v/>
      </c>
      <c r="U75" s="393" t="str">
        <f>IF(A75="","",Calculation!$P$6)</f>
        <v/>
      </c>
      <c r="V75" s="393" t="str">
        <f>IF(A75="","",Calculation!AT81)</f>
        <v/>
      </c>
      <c r="W75" s="396" t="str">
        <f>IF(A75="","",Calculation!AP81)</f>
        <v/>
      </c>
      <c r="X75" s="396" t="str">
        <f>IF(A75="","",Calculation!AO81)</f>
        <v/>
      </c>
      <c r="Y75" s="396" t="str">
        <f>IF(A75="","",Calculation!AQ81)</f>
        <v/>
      </c>
      <c r="Z75" s="396" t="str">
        <f>IF(A75="","",Calculation!$H$6)</f>
        <v/>
      </c>
      <c r="AA75" s="397" t="str">
        <f>IF(A75="","",Calculation!$H$13)</f>
        <v/>
      </c>
      <c r="AB75" s="397" t="str">
        <f>IF(A75="","",Calculation!U81)</f>
        <v/>
      </c>
      <c r="AC75" s="398" t="str">
        <f>IF(A75="","",IF(Calculation!$O$9="None","Water",CONCATENATE(Calculation!$O$9,"-",Calculation!$S$9,"%")))</f>
        <v/>
      </c>
      <c r="AD75" s="396" t="str">
        <f>IF(A75="","",Calculation!$S$6)</f>
        <v/>
      </c>
      <c r="AE75" s="399" t="str">
        <f>IF(A75="","",Calculation!BA81)</f>
        <v/>
      </c>
      <c r="AF75" s="396" t="str">
        <f>IF(A75="","",Calculation!AX81)</f>
        <v/>
      </c>
      <c r="AG75" s="396" t="str">
        <f>IF(A75="","",Calculation!AW81)</f>
        <v/>
      </c>
      <c r="AH75" s="391" t="str">
        <f>IF(A75="","",Calculation!AY81)</f>
        <v/>
      </c>
      <c r="AI75" s="391" t="str">
        <f>IF(A75="","",Calculation!Y81)</f>
        <v/>
      </c>
      <c r="AJ75" s="401" t="str">
        <f>IF(Calculation!BD81&gt;0,Calculation!BD81," ")</f>
        <v xml:space="preserve"> </v>
      </c>
      <c r="AK75" s="401" t="str">
        <f>IF(Calculation!BD81&gt;0,Calculation!BE81," ")</f>
        <v xml:space="preserve"> </v>
      </c>
      <c r="AL75" s="401" t="str">
        <f>IF(Calculation!BD81&gt;0,Calculation!BF81," ")</f>
        <v xml:space="preserve"> </v>
      </c>
      <c r="AM75" s="401" t="str">
        <f>IF(Calculation!BD81&gt;0,Calculation!BG81," ")</f>
        <v xml:space="preserve"> </v>
      </c>
      <c r="AN75" s="391" t="str">
        <f>IF(Calculation!BH81="N/A","N/A",Calculation!BH81)</f>
        <v xml:space="preserve"> </v>
      </c>
      <c r="AO75" s="402" t="str">
        <f>IF(Calculation!BI81="N/A","N/A",Calculation!BI81)</f>
        <v/>
      </c>
      <c r="AP75" s="391" t="str">
        <f>IF(Calculation!BJ81="N/A","N/A",Calculation!BJ81)</f>
        <v/>
      </c>
      <c r="AQ75" s="402" t="str">
        <f>IF(Calculation!BK81="N/A","N/A",Calculation!BK81)</f>
        <v/>
      </c>
      <c r="AR75" s="391" t="str">
        <f>IF(Calculation!BL81="N/A","N/A",Calculation!BL81)</f>
        <v/>
      </c>
      <c r="AS75" s="402" t="str">
        <f>IF(Calculation!BM81="N/A","N/A",Calculation!BM81)</f>
        <v/>
      </c>
      <c r="AT75" s="400"/>
    </row>
    <row r="76" spans="1:46" ht="12.75" customHeight="1">
      <c r="A76" s="224" t="str">
        <f>IF(Calculation!BN82="","",CONCATENATE(Calculation!BO82,"-",Calculation!R82,"-",Calculation!S82,"-",Calculation!T82,"-",Calculation!U82))</f>
        <v/>
      </c>
      <c r="B76" s="224">
        <v>61</v>
      </c>
      <c r="C76" s="629" t="str">
        <f>IF(A76="","",Calculation!B82)</f>
        <v/>
      </c>
      <c r="D76" s="386" t="str">
        <f>IF(A76="","",Calculation!L82)</f>
        <v/>
      </c>
      <c r="E76" s="387" t="str">
        <f>IF(A76="","",Calculation!J82)</f>
        <v/>
      </c>
      <c r="F76" s="387" t="str">
        <f>IF(A76="","",Calculation!C82)</f>
        <v/>
      </c>
      <c r="G76" s="387" t="str">
        <f>IF(A76="","",LEFT(Calculation!O82,6))</f>
        <v/>
      </c>
      <c r="H76" s="388" t="str">
        <f>IF(A76="","",Calculation!DX82)</f>
        <v/>
      </c>
      <c r="I76" s="387" t="str">
        <f>IF(A76="","",Calculation!P82)</f>
        <v/>
      </c>
      <c r="J76" s="387" t="str">
        <f>IF(A76="","",HLOOKUP(LEFT(Calculation!BO82,7),LookUps!$C$38:$M$41,4))</f>
        <v/>
      </c>
      <c r="K76" s="387" t="str">
        <f>IF(A76="","",Calculation!M82)</f>
        <v/>
      </c>
      <c r="L76" s="387" t="str">
        <f>IF(A76="","",Calculation!S82)</f>
        <v/>
      </c>
      <c r="M76" s="389" t="str">
        <f>IF(A76="","",Calculation!N82)</f>
        <v/>
      </c>
      <c r="N76" s="390" t="str">
        <f>IF(A76="","",Calculation!R82)</f>
        <v/>
      </c>
      <c r="O76" s="391" t="str">
        <f>IF(A76="","",Calculation!$F$6)</f>
        <v/>
      </c>
      <c r="P76" s="392" t="str">
        <f>IF(A76="","",Calculation!$F$7)</f>
        <v/>
      </c>
      <c r="Q76" s="393" t="str">
        <f>IF(A76="","",Calculation!$F$13)</f>
        <v/>
      </c>
      <c r="R76" s="394" t="str">
        <f>IF(A76="","",Calculation!X82)</f>
        <v/>
      </c>
      <c r="S76" s="393" t="str">
        <f>IF(A76="","",Calculation!T82)</f>
        <v/>
      </c>
      <c r="T76" s="395" t="str">
        <f>IF(A76="","",IF(Calculation!$O$8="None","Water",CONCATENATE(Calculation!$O$8,"-",Calculation!$S$8,"%")))</f>
        <v/>
      </c>
      <c r="U76" s="393" t="str">
        <f>IF(A76="","",Calculation!$P$6)</f>
        <v/>
      </c>
      <c r="V76" s="393" t="str">
        <f>IF(A76="","",Calculation!AT82)</f>
        <v/>
      </c>
      <c r="W76" s="396" t="str">
        <f>IF(A76="","",Calculation!AP82)</f>
        <v/>
      </c>
      <c r="X76" s="396" t="str">
        <f>IF(A76="","",Calculation!AO82)</f>
        <v/>
      </c>
      <c r="Y76" s="396" t="str">
        <f>IF(A76="","",Calculation!AQ82)</f>
        <v/>
      </c>
      <c r="Z76" s="396" t="str">
        <f>IF(A76="","",Calculation!$H$6)</f>
        <v/>
      </c>
      <c r="AA76" s="397" t="str">
        <f>IF(A76="","",Calculation!$H$13)</f>
        <v/>
      </c>
      <c r="AB76" s="397" t="str">
        <f>IF(A76="","",Calculation!U82)</f>
        <v/>
      </c>
      <c r="AC76" s="398" t="str">
        <f>IF(A76="","",IF(Calculation!$O$9="None","Water",CONCATENATE(Calculation!$O$9,"-",Calculation!$S$9,"%")))</f>
        <v/>
      </c>
      <c r="AD76" s="396" t="str">
        <f>IF(A76="","",Calculation!$S$6)</f>
        <v/>
      </c>
      <c r="AE76" s="399" t="str">
        <f>IF(A76="","",Calculation!BA82)</f>
        <v/>
      </c>
      <c r="AF76" s="396" t="str">
        <f>IF(A76="","",Calculation!AX82)</f>
        <v/>
      </c>
      <c r="AG76" s="396" t="str">
        <f>IF(A76="","",Calculation!AW82)</f>
        <v/>
      </c>
      <c r="AH76" s="391" t="str">
        <f>IF(A76="","",Calculation!AY82)</f>
        <v/>
      </c>
      <c r="AI76" s="391" t="str">
        <f>IF(A76="","",Calculation!Y82)</f>
        <v/>
      </c>
      <c r="AJ76" s="401" t="str">
        <f>IF(Calculation!BD82&gt;0,Calculation!BD82," ")</f>
        <v xml:space="preserve"> </v>
      </c>
      <c r="AK76" s="401" t="str">
        <f>IF(Calculation!BD82&gt;0,Calculation!BE82," ")</f>
        <v xml:space="preserve"> </v>
      </c>
      <c r="AL76" s="401" t="str">
        <f>IF(Calculation!BD82&gt;0,Calculation!BF82," ")</f>
        <v xml:space="preserve"> </v>
      </c>
      <c r="AM76" s="401" t="str">
        <f>IF(Calculation!BD82&gt;0,Calculation!BG82," ")</f>
        <v xml:space="preserve"> </v>
      </c>
      <c r="AN76" s="391" t="str">
        <f>IF(Calculation!BH82="N/A","N/A",Calculation!BH82)</f>
        <v xml:space="preserve"> </v>
      </c>
      <c r="AO76" s="402" t="str">
        <f>IF(Calculation!BI82="N/A","N/A",Calculation!BI82)</f>
        <v/>
      </c>
      <c r="AP76" s="391" t="str">
        <f>IF(Calculation!BJ82="N/A","N/A",Calculation!BJ82)</f>
        <v/>
      </c>
      <c r="AQ76" s="402" t="str">
        <f>IF(Calculation!BK82="N/A","N/A",Calculation!BK82)</f>
        <v/>
      </c>
      <c r="AR76" s="391" t="str">
        <f>IF(Calculation!BL82="N/A","N/A",Calculation!BL82)</f>
        <v/>
      </c>
      <c r="AS76" s="402" t="str">
        <f>IF(Calculation!BM82="N/A","N/A",Calculation!BM82)</f>
        <v/>
      </c>
      <c r="AT76" s="400"/>
    </row>
    <row r="77" spans="1:46" ht="12.75" customHeight="1">
      <c r="A77" s="224" t="str">
        <f>IF(Calculation!BN83="","",CONCATENATE(Calculation!BO83,"-",Calculation!R83,"-",Calculation!S83,"-",Calculation!T83,"-",Calculation!U83))</f>
        <v/>
      </c>
      <c r="B77" s="224">
        <v>62</v>
      </c>
      <c r="C77" s="629" t="str">
        <f>IF(A77="","",Calculation!B83)</f>
        <v/>
      </c>
      <c r="D77" s="386" t="str">
        <f>IF(A77="","",Calculation!L83)</f>
        <v/>
      </c>
      <c r="E77" s="387" t="str">
        <f>IF(A77="","",Calculation!J83)</f>
        <v/>
      </c>
      <c r="F77" s="387" t="str">
        <f>IF(A77="","",Calculation!C83)</f>
        <v/>
      </c>
      <c r="G77" s="387" t="str">
        <f>IF(A77="","",LEFT(Calculation!O83,6))</f>
        <v/>
      </c>
      <c r="H77" s="388" t="str">
        <f>IF(A77="","",Calculation!DX83)</f>
        <v/>
      </c>
      <c r="I77" s="387" t="str">
        <f>IF(A77="","",Calculation!P83)</f>
        <v/>
      </c>
      <c r="J77" s="387" t="str">
        <f>IF(A77="","",HLOOKUP(LEFT(Calculation!BO83,7),LookUps!$C$38:$M$41,4))</f>
        <v/>
      </c>
      <c r="K77" s="387" t="str">
        <f>IF(A77="","",Calculation!M83)</f>
        <v/>
      </c>
      <c r="L77" s="387" t="str">
        <f>IF(A77="","",Calculation!S83)</f>
        <v/>
      </c>
      <c r="M77" s="389" t="str">
        <f>IF(A77="","",Calculation!N83)</f>
        <v/>
      </c>
      <c r="N77" s="390" t="str">
        <f>IF(A77="","",Calculation!R83)</f>
        <v/>
      </c>
      <c r="O77" s="391" t="str">
        <f>IF(A77="","",Calculation!$F$6)</f>
        <v/>
      </c>
      <c r="P77" s="392" t="str">
        <f>IF(A77="","",Calculation!$F$7)</f>
        <v/>
      </c>
      <c r="Q77" s="393" t="str">
        <f>IF(A77="","",Calculation!$F$13)</f>
        <v/>
      </c>
      <c r="R77" s="394" t="str">
        <f>IF(A77="","",Calculation!X83)</f>
        <v/>
      </c>
      <c r="S77" s="393" t="str">
        <f>IF(A77="","",Calculation!T83)</f>
        <v/>
      </c>
      <c r="T77" s="395" t="str">
        <f>IF(A77="","",IF(Calculation!$O$8="None","Water",CONCATENATE(Calculation!$O$8,"-",Calculation!$S$8,"%")))</f>
        <v/>
      </c>
      <c r="U77" s="393" t="str">
        <f>IF(A77="","",Calculation!$P$6)</f>
        <v/>
      </c>
      <c r="V77" s="393" t="str">
        <f>IF(A77="","",Calculation!AT83)</f>
        <v/>
      </c>
      <c r="W77" s="396" t="str">
        <f>IF(A77="","",Calculation!AP83)</f>
        <v/>
      </c>
      <c r="X77" s="396" t="str">
        <f>IF(A77="","",Calculation!AO83)</f>
        <v/>
      </c>
      <c r="Y77" s="396" t="str">
        <f>IF(A77="","",Calculation!AQ83)</f>
        <v/>
      </c>
      <c r="Z77" s="396" t="str">
        <f>IF(A77="","",Calculation!$H$6)</f>
        <v/>
      </c>
      <c r="AA77" s="397" t="str">
        <f>IF(A77="","",Calculation!$H$13)</f>
        <v/>
      </c>
      <c r="AB77" s="397" t="str">
        <f>IF(A77="","",Calculation!U83)</f>
        <v/>
      </c>
      <c r="AC77" s="398" t="str">
        <f>IF(A77="","",IF(Calculation!$O$9="None","Water",CONCATENATE(Calculation!$O$9,"-",Calculation!$S$9,"%")))</f>
        <v/>
      </c>
      <c r="AD77" s="396" t="str">
        <f>IF(A77="","",Calculation!$S$6)</f>
        <v/>
      </c>
      <c r="AE77" s="399" t="str">
        <f>IF(A77="","",Calculation!BA83)</f>
        <v/>
      </c>
      <c r="AF77" s="396" t="str">
        <f>IF(A77="","",Calculation!AX83)</f>
        <v/>
      </c>
      <c r="AG77" s="396" t="str">
        <f>IF(A77="","",Calculation!AW83)</f>
        <v/>
      </c>
      <c r="AH77" s="391" t="str">
        <f>IF(A77="","",Calculation!AY83)</f>
        <v/>
      </c>
      <c r="AI77" s="391" t="str">
        <f>IF(A77="","",Calculation!Y83)</f>
        <v/>
      </c>
      <c r="AJ77" s="401" t="str">
        <f>IF(Calculation!BD83&gt;0,Calculation!BD83," ")</f>
        <v xml:space="preserve"> </v>
      </c>
      <c r="AK77" s="401" t="str">
        <f>IF(Calculation!BD83&gt;0,Calculation!BE83," ")</f>
        <v xml:space="preserve"> </v>
      </c>
      <c r="AL77" s="401" t="str">
        <f>IF(Calculation!BD83&gt;0,Calculation!BF83," ")</f>
        <v xml:space="preserve"> </v>
      </c>
      <c r="AM77" s="401" t="str">
        <f>IF(Calculation!BD83&gt;0,Calculation!BG83," ")</f>
        <v xml:space="preserve"> </v>
      </c>
      <c r="AN77" s="391" t="str">
        <f>IF(Calculation!BH83="N/A","N/A",Calculation!BH83)</f>
        <v xml:space="preserve"> </v>
      </c>
      <c r="AO77" s="402" t="str">
        <f>IF(Calculation!BI83="N/A","N/A",Calculation!BI83)</f>
        <v/>
      </c>
      <c r="AP77" s="391" t="str">
        <f>IF(Calculation!BJ83="N/A","N/A",Calculation!BJ83)</f>
        <v/>
      </c>
      <c r="AQ77" s="402" t="str">
        <f>IF(Calculation!BK83="N/A","N/A",Calculation!BK83)</f>
        <v/>
      </c>
      <c r="AR77" s="391" t="str">
        <f>IF(Calculation!BL83="N/A","N/A",Calculation!BL83)</f>
        <v/>
      </c>
      <c r="AS77" s="402" t="str">
        <f>IF(Calculation!BM83="N/A","N/A",Calculation!BM83)</f>
        <v/>
      </c>
      <c r="AT77" s="400"/>
    </row>
    <row r="78" spans="1:46" ht="12.75" customHeight="1">
      <c r="A78" s="224" t="str">
        <f>IF(Calculation!BN84="","",CONCATENATE(Calculation!BO84,"-",Calculation!R84,"-",Calculation!S84,"-",Calculation!T84,"-",Calculation!U84))</f>
        <v/>
      </c>
      <c r="B78" s="224">
        <v>63</v>
      </c>
      <c r="C78" s="629" t="str">
        <f>IF(A78="","",Calculation!B84)</f>
        <v/>
      </c>
      <c r="D78" s="386" t="str">
        <f>IF(A78="","",Calculation!L84)</f>
        <v/>
      </c>
      <c r="E78" s="387" t="str">
        <f>IF(A78="","",Calculation!J84)</f>
        <v/>
      </c>
      <c r="F78" s="387" t="str">
        <f>IF(A78="","",Calculation!C84)</f>
        <v/>
      </c>
      <c r="G78" s="387" t="str">
        <f>IF(A78="","",LEFT(Calculation!O84,6))</f>
        <v/>
      </c>
      <c r="H78" s="388" t="str">
        <f>IF(A78="","",Calculation!DX84)</f>
        <v/>
      </c>
      <c r="I78" s="387" t="str">
        <f>IF(A78="","",Calculation!P84)</f>
        <v/>
      </c>
      <c r="J78" s="387" t="str">
        <f>IF(A78="","",HLOOKUP(LEFT(Calculation!BO84,7),LookUps!$C$38:$M$41,4))</f>
        <v/>
      </c>
      <c r="K78" s="387" t="str">
        <f>IF(A78="","",Calculation!M84)</f>
        <v/>
      </c>
      <c r="L78" s="387" t="str">
        <f>IF(A78="","",Calculation!S84)</f>
        <v/>
      </c>
      <c r="M78" s="389" t="str">
        <f>IF(A78="","",Calculation!N84)</f>
        <v/>
      </c>
      <c r="N78" s="390" t="str">
        <f>IF(A78="","",Calculation!R84)</f>
        <v/>
      </c>
      <c r="O78" s="391" t="str">
        <f>IF(A78="","",Calculation!$F$6)</f>
        <v/>
      </c>
      <c r="P78" s="392" t="str">
        <f>IF(A78="","",Calculation!$F$7)</f>
        <v/>
      </c>
      <c r="Q78" s="393" t="str">
        <f>IF(A78="","",Calculation!$F$13)</f>
        <v/>
      </c>
      <c r="R78" s="394" t="str">
        <f>IF(A78="","",Calculation!X84)</f>
        <v/>
      </c>
      <c r="S78" s="393" t="str">
        <f>IF(A78="","",Calculation!T84)</f>
        <v/>
      </c>
      <c r="T78" s="395" t="str">
        <f>IF(A78="","",IF(Calculation!$O$8="None","Water",CONCATENATE(Calculation!$O$8,"-",Calculation!$S$8,"%")))</f>
        <v/>
      </c>
      <c r="U78" s="393" t="str">
        <f>IF(A78="","",Calculation!$P$6)</f>
        <v/>
      </c>
      <c r="V78" s="393" t="str">
        <f>IF(A78="","",Calculation!AT84)</f>
        <v/>
      </c>
      <c r="W78" s="396" t="str">
        <f>IF(A78="","",Calculation!AP84)</f>
        <v/>
      </c>
      <c r="X78" s="396" t="str">
        <f>IF(A78="","",Calculation!AO84)</f>
        <v/>
      </c>
      <c r="Y78" s="396" t="str">
        <f>IF(A78="","",Calculation!AQ84)</f>
        <v/>
      </c>
      <c r="Z78" s="396" t="str">
        <f>IF(A78="","",Calculation!$H$6)</f>
        <v/>
      </c>
      <c r="AA78" s="397" t="str">
        <f>IF(A78="","",Calculation!$H$13)</f>
        <v/>
      </c>
      <c r="AB78" s="397" t="str">
        <f>IF(A78="","",Calculation!U84)</f>
        <v/>
      </c>
      <c r="AC78" s="398" t="str">
        <f>IF(A78="","",IF(Calculation!$O$9="None","Water",CONCATENATE(Calculation!$O$9,"-",Calculation!$S$9,"%")))</f>
        <v/>
      </c>
      <c r="AD78" s="396" t="str">
        <f>IF(A78="","",Calculation!$S$6)</f>
        <v/>
      </c>
      <c r="AE78" s="399" t="str">
        <f>IF(A78="","",Calculation!BA84)</f>
        <v/>
      </c>
      <c r="AF78" s="396" t="str">
        <f>IF(A78="","",Calculation!AX84)</f>
        <v/>
      </c>
      <c r="AG78" s="396" t="str">
        <f>IF(A78="","",Calculation!AW84)</f>
        <v/>
      </c>
      <c r="AH78" s="391" t="str">
        <f>IF(A78="","",Calculation!AY84)</f>
        <v/>
      </c>
      <c r="AI78" s="391" t="str">
        <f>IF(A78="","",Calculation!Y84)</f>
        <v/>
      </c>
      <c r="AJ78" s="401" t="str">
        <f>IF(Calculation!BD84&gt;0,Calculation!BD84," ")</f>
        <v xml:space="preserve"> </v>
      </c>
      <c r="AK78" s="401" t="str">
        <f>IF(Calculation!BD84&gt;0,Calculation!BE84," ")</f>
        <v xml:space="preserve"> </v>
      </c>
      <c r="AL78" s="401" t="str">
        <f>IF(Calculation!BD84&gt;0,Calculation!BF84," ")</f>
        <v xml:space="preserve"> </v>
      </c>
      <c r="AM78" s="401" t="str">
        <f>IF(Calculation!BD84&gt;0,Calculation!BG84," ")</f>
        <v xml:space="preserve"> </v>
      </c>
      <c r="AN78" s="391" t="str">
        <f>IF(Calculation!BH84="N/A","N/A",Calculation!BH84)</f>
        <v xml:space="preserve"> </v>
      </c>
      <c r="AO78" s="402" t="str">
        <f>IF(Calculation!BI84="N/A","N/A",Calculation!BI84)</f>
        <v/>
      </c>
      <c r="AP78" s="391" t="str">
        <f>IF(Calculation!BJ84="N/A","N/A",Calculation!BJ84)</f>
        <v/>
      </c>
      <c r="AQ78" s="402" t="str">
        <f>IF(Calculation!BK84="N/A","N/A",Calculation!BK84)</f>
        <v/>
      </c>
      <c r="AR78" s="391" t="str">
        <f>IF(Calculation!BL84="N/A","N/A",Calculation!BL84)</f>
        <v/>
      </c>
      <c r="AS78" s="402" t="str">
        <f>IF(Calculation!BM84="N/A","N/A",Calculation!BM84)</f>
        <v/>
      </c>
      <c r="AT78" s="400"/>
    </row>
    <row r="79" spans="1:46" ht="12.75" customHeight="1">
      <c r="A79" s="224" t="str">
        <f>IF(Calculation!BN85="","",CONCATENATE(Calculation!BO85,"-",Calculation!R85,"-",Calculation!S85,"-",Calculation!T85,"-",Calculation!U85))</f>
        <v/>
      </c>
      <c r="B79" s="224">
        <v>64</v>
      </c>
      <c r="C79" s="629" t="str">
        <f>IF(A79="","",Calculation!B85)</f>
        <v/>
      </c>
      <c r="D79" s="386" t="str">
        <f>IF(A79="","",Calculation!L85)</f>
        <v/>
      </c>
      <c r="E79" s="387" t="str">
        <f>IF(A79="","",Calculation!J85)</f>
        <v/>
      </c>
      <c r="F79" s="387" t="str">
        <f>IF(A79="","",Calculation!C85)</f>
        <v/>
      </c>
      <c r="G79" s="387" t="str">
        <f>IF(A79="","",LEFT(Calculation!O85,6))</f>
        <v/>
      </c>
      <c r="H79" s="388" t="str">
        <f>IF(A79="","",Calculation!DX85)</f>
        <v/>
      </c>
      <c r="I79" s="387" t="str">
        <f>IF(A79="","",Calculation!P85)</f>
        <v/>
      </c>
      <c r="J79" s="387" t="str">
        <f>IF(A79="","",HLOOKUP(LEFT(Calculation!BO85,7),LookUps!$C$38:$M$41,4))</f>
        <v/>
      </c>
      <c r="K79" s="387" t="str">
        <f>IF(A79="","",Calculation!M85)</f>
        <v/>
      </c>
      <c r="L79" s="387" t="str">
        <f>IF(A79="","",Calculation!S85)</f>
        <v/>
      </c>
      <c r="M79" s="389" t="str">
        <f>IF(A79="","",Calculation!N85)</f>
        <v/>
      </c>
      <c r="N79" s="390" t="str">
        <f>IF(A79="","",Calculation!R85)</f>
        <v/>
      </c>
      <c r="O79" s="391" t="str">
        <f>IF(A79="","",Calculation!$F$6)</f>
        <v/>
      </c>
      <c r="P79" s="392" t="str">
        <f>IF(A79="","",Calculation!$F$7)</f>
        <v/>
      </c>
      <c r="Q79" s="393" t="str">
        <f>IF(A79="","",Calculation!$F$13)</f>
        <v/>
      </c>
      <c r="R79" s="394" t="str">
        <f>IF(A79="","",Calculation!X85)</f>
        <v/>
      </c>
      <c r="S79" s="393" t="str">
        <f>IF(A79="","",Calculation!T85)</f>
        <v/>
      </c>
      <c r="T79" s="395" t="str">
        <f>IF(A79="","",IF(Calculation!$O$8="None","Water",CONCATENATE(Calculation!$O$8,"-",Calculation!$S$8,"%")))</f>
        <v/>
      </c>
      <c r="U79" s="393" t="str">
        <f>IF(A79="","",Calculation!$P$6)</f>
        <v/>
      </c>
      <c r="V79" s="393" t="str">
        <f>IF(A79="","",Calculation!AT85)</f>
        <v/>
      </c>
      <c r="W79" s="396" t="str">
        <f>IF(A79="","",Calculation!AP85)</f>
        <v/>
      </c>
      <c r="X79" s="396" t="str">
        <f>IF(A79="","",Calculation!AO85)</f>
        <v/>
      </c>
      <c r="Y79" s="396" t="str">
        <f>IF(A79="","",Calculation!AQ85)</f>
        <v/>
      </c>
      <c r="Z79" s="396" t="str">
        <f>IF(A79="","",Calculation!$H$6)</f>
        <v/>
      </c>
      <c r="AA79" s="397" t="str">
        <f>IF(A79="","",Calculation!$H$13)</f>
        <v/>
      </c>
      <c r="AB79" s="397" t="str">
        <f>IF(A79="","",Calculation!U85)</f>
        <v/>
      </c>
      <c r="AC79" s="398" t="str">
        <f>IF(A79="","",IF(Calculation!$O$9="None","Water",CONCATENATE(Calculation!$O$9,"-",Calculation!$S$9,"%")))</f>
        <v/>
      </c>
      <c r="AD79" s="396" t="str">
        <f>IF(A79="","",Calculation!$S$6)</f>
        <v/>
      </c>
      <c r="AE79" s="399" t="str">
        <f>IF(A79="","",Calculation!BA85)</f>
        <v/>
      </c>
      <c r="AF79" s="396" t="str">
        <f>IF(A79="","",Calculation!AX85)</f>
        <v/>
      </c>
      <c r="AG79" s="396" t="str">
        <f>IF(A79="","",Calculation!AW85)</f>
        <v/>
      </c>
      <c r="AH79" s="391" t="str">
        <f>IF(A79="","",Calculation!AY85)</f>
        <v/>
      </c>
      <c r="AI79" s="391" t="str">
        <f>IF(A79="","",Calculation!Y85)</f>
        <v/>
      </c>
      <c r="AJ79" s="401" t="str">
        <f>IF(Calculation!BD85&gt;0,Calculation!BD85," ")</f>
        <v xml:space="preserve"> </v>
      </c>
      <c r="AK79" s="401" t="str">
        <f>IF(Calculation!BD85&gt;0,Calculation!BE85," ")</f>
        <v xml:space="preserve"> </v>
      </c>
      <c r="AL79" s="401" t="str">
        <f>IF(Calculation!BD85&gt;0,Calculation!BF85," ")</f>
        <v xml:space="preserve"> </v>
      </c>
      <c r="AM79" s="401" t="str">
        <f>IF(Calculation!BD85&gt;0,Calculation!BG85," ")</f>
        <v xml:space="preserve"> </v>
      </c>
      <c r="AN79" s="391" t="str">
        <f>IF(Calculation!BH85="N/A","N/A",Calculation!BH85)</f>
        <v xml:space="preserve"> </v>
      </c>
      <c r="AO79" s="402" t="str">
        <f>IF(Calculation!BI85="N/A","N/A",Calculation!BI85)</f>
        <v/>
      </c>
      <c r="AP79" s="391" t="str">
        <f>IF(Calculation!BJ85="N/A","N/A",Calculation!BJ85)</f>
        <v/>
      </c>
      <c r="AQ79" s="402" t="str">
        <f>IF(Calculation!BK85="N/A","N/A",Calculation!BK85)</f>
        <v/>
      </c>
      <c r="AR79" s="391" t="str">
        <f>IF(Calculation!BL85="N/A","N/A",Calculation!BL85)</f>
        <v/>
      </c>
      <c r="AS79" s="402" t="str">
        <f>IF(Calculation!BM85="N/A","N/A",Calculation!BM85)</f>
        <v/>
      </c>
      <c r="AT79" s="400"/>
    </row>
    <row r="80" spans="1:46" ht="12.75" customHeight="1">
      <c r="A80" s="224" t="str">
        <f>IF(Calculation!BN86="","",CONCATENATE(Calculation!BO86,"-",Calculation!R86,"-",Calculation!S86,"-",Calculation!T86,"-",Calculation!U86))</f>
        <v/>
      </c>
      <c r="B80" s="224">
        <v>65</v>
      </c>
      <c r="C80" s="629" t="str">
        <f>IF(A80="","",Calculation!B86)</f>
        <v/>
      </c>
      <c r="D80" s="386" t="str">
        <f>IF(A80="","",Calculation!L86)</f>
        <v/>
      </c>
      <c r="E80" s="387" t="str">
        <f>IF(A80="","",Calculation!J86)</f>
        <v/>
      </c>
      <c r="F80" s="387" t="str">
        <f>IF(A80="","",Calculation!C86)</f>
        <v/>
      </c>
      <c r="G80" s="387" t="str">
        <f>IF(A80="","",LEFT(Calculation!O86,6))</f>
        <v/>
      </c>
      <c r="H80" s="388" t="str">
        <f>IF(A80="","",Calculation!DX86)</f>
        <v/>
      </c>
      <c r="I80" s="387" t="str">
        <f>IF(A80="","",Calculation!P86)</f>
        <v/>
      </c>
      <c r="J80" s="387" t="str">
        <f>IF(A80="","",HLOOKUP(LEFT(Calculation!BO86,7),LookUps!$C$38:$M$41,4))</f>
        <v/>
      </c>
      <c r="K80" s="387" t="str">
        <f>IF(A80="","",Calculation!M86)</f>
        <v/>
      </c>
      <c r="L80" s="387" t="str">
        <f>IF(A80="","",Calculation!S86)</f>
        <v/>
      </c>
      <c r="M80" s="389" t="str">
        <f>IF(A80="","",Calculation!N86)</f>
        <v/>
      </c>
      <c r="N80" s="390" t="str">
        <f>IF(A80="","",Calculation!R86)</f>
        <v/>
      </c>
      <c r="O80" s="391" t="str">
        <f>IF(A80="","",Calculation!$F$6)</f>
        <v/>
      </c>
      <c r="P80" s="392" t="str">
        <f>IF(A80="","",Calculation!$F$7)</f>
        <v/>
      </c>
      <c r="Q80" s="393" t="str">
        <f>IF(A80="","",Calculation!$F$13)</f>
        <v/>
      </c>
      <c r="R80" s="394" t="str">
        <f>IF(A80="","",Calculation!X86)</f>
        <v/>
      </c>
      <c r="S80" s="393" t="str">
        <f>IF(A80="","",Calculation!T86)</f>
        <v/>
      </c>
      <c r="T80" s="395" t="str">
        <f>IF(A80="","",IF(Calculation!$O$8="None","Water",CONCATENATE(Calculation!$O$8,"-",Calculation!$S$8,"%")))</f>
        <v/>
      </c>
      <c r="U80" s="393" t="str">
        <f>IF(A80="","",Calculation!$P$6)</f>
        <v/>
      </c>
      <c r="V80" s="393" t="str">
        <f>IF(A80="","",Calculation!AT86)</f>
        <v/>
      </c>
      <c r="W80" s="396" t="str">
        <f>IF(A80="","",Calculation!AP86)</f>
        <v/>
      </c>
      <c r="X80" s="396" t="str">
        <f>IF(A80="","",Calculation!AO86)</f>
        <v/>
      </c>
      <c r="Y80" s="396" t="str">
        <f>IF(A80="","",Calculation!AQ86)</f>
        <v/>
      </c>
      <c r="Z80" s="396" t="str">
        <f>IF(A80="","",Calculation!$H$6)</f>
        <v/>
      </c>
      <c r="AA80" s="397" t="str">
        <f>IF(A80="","",Calculation!$H$13)</f>
        <v/>
      </c>
      <c r="AB80" s="397" t="str">
        <f>IF(A80="","",Calculation!U86)</f>
        <v/>
      </c>
      <c r="AC80" s="398" t="str">
        <f>IF(A80="","",IF(Calculation!$O$9="None","Water",CONCATENATE(Calculation!$O$9,"-",Calculation!$S$9,"%")))</f>
        <v/>
      </c>
      <c r="AD80" s="396" t="str">
        <f>IF(A80="","",Calculation!$S$6)</f>
        <v/>
      </c>
      <c r="AE80" s="399" t="str">
        <f>IF(A80="","",Calculation!BA86)</f>
        <v/>
      </c>
      <c r="AF80" s="396" t="str">
        <f>IF(A80="","",Calculation!AX86)</f>
        <v/>
      </c>
      <c r="AG80" s="396" t="str">
        <f>IF(A80="","",Calculation!AW86)</f>
        <v/>
      </c>
      <c r="AH80" s="391" t="str">
        <f>IF(A80="","",Calculation!AY86)</f>
        <v/>
      </c>
      <c r="AI80" s="391" t="str">
        <f>IF(A80="","",Calculation!Y86)</f>
        <v/>
      </c>
      <c r="AJ80" s="401" t="str">
        <f>IF(Calculation!BD86&gt;0,Calculation!BD86," ")</f>
        <v xml:space="preserve"> </v>
      </c>
      <c r="AK80" s="401" t="str">
        <f>IF(Calculation!BD86&gt;0,Calculation!BE86," ")</f>
        <v xml:space="preserve"> </v>
      </c>
      <c r="AL80" s="401" t="str">
        <f>IF(Calculation!BD86&gt;0,Calculation!BF86," ")</f>
        <v xml:space="preserve"> </v>
      </c>
      <c r="AM80" s="401" t="str">
        <f>IF(Calculation!BD86&gt;0,Calculation!BG86," ")</f>
        <v xml:space="preserve"> </v>
      </c>
      <c r="AN80" s="391" t="str">
        <f>IF(Calculation!BH86="N/A","N/A",Calculation!BH86)</f>
        <v xml:space="preserve"> </v>
      </c>
      <c r="AO80" s="402" t="str">
        <f>IF(Calculation!BI86="N/A","N/A",Calculation!BI86)</f>
        <v/>
      </c>
      <c r="AP80" s="391" t="str">
        <f>IF(Calculation!BJ86="N/A","N/A",Calculation!BJ86)</f>
        <v/>
      </c>
      <c r="AQ80" s="402" t="str">
        <f>IF(Calculation!BK86="N/A","N/A",Calculation!BK86)</f>
        <v/>
      </c>
      <c r="AR80" s="391" t="str">
        <f>IF(Calculation!BL86="N/A","N/A",Calculation!BL86)</f>
        <v/>
      </c>
      <c r="AS80" s="402" t="str">
        <f>IF(Calculation!BM86="N/A","N/A",Calculation!BM86)</f>
        <v/>
      </c>
      <c r="AT80" s="400"/>
    </row>
    <row r="81" spans="1:46" ht="12.75" customHeight="1">
      <c r="A81" s="224" t="str">
        <f>IF(Calculation!BN87="","",CONCATENATE(Calculation!BO87,"-",Calculation!R87,"-",Calculation!S87,"-",Calculation!T87,"-",Calculation!U87))</f>
        <v/>
      </c>
      <c r="B81" s="224">
        <v>66</v>
      </c>
      <c r="C81" s="629" t="str">
        <f>IF(A81="","",Calculation!B87)</f>
        <v/>
      </c>
      <c r="D81" s="386" t="str">
        <f>IF(A81="","",Calculation!L87)</f>
        <v/>
      </c>
      <c r="E81" s="387" t="str">
        <f>IF(A81="","",Calculation!J87)</f>
        <v/>
      </c>
      <c r="F81" s="387" t="str">
        <f>IF(A81="","",Calculation!C87)</f>
        <v/>
      </c>
      <c r="G81" s="387" t="str">
        <f>IF(A81="","",LEFT(Calculation!O87,6))</f>
        <v/>
      </c>
      <c r="H81" s="388" t="str">
        <f>IF(A81="","",Calculation!DX87)</f>
        <v/>
      </c>
      <c r="I81" s="387" t="str">
        <f>IF(A81="","",Calculation!P87)</f>
        <v/>
      </c>
      <c r="J81" s="387" t="str">
        <f>IF(A81="","",HLOOKUP(LEFT(Calculation!BO87,7),LookUps!$C$38:$M$41,4))</f>
        <v/>
      </c>
      <c r="K81" s="387" t="str">
        <f>IF(A81="","",Calculation!M87)</f>
        <v/>
      </c>
      <c r="L81" s="387" t="str">
        <f>IF(A81="","",Calculation!S87)</f>
        <v/>
      </c>
      <c r="M81" s="389" t="str">
        <f>IF(A81="","",Calculation!N87)</f>
        <v/>
      </c>
      <c r="N81" s="390" t="str">
        <f>IF(A81="","",Calculation!R87)</f>
        <v/>
      </c>
      <c r="O81" s="391" t="str">
        <f>IF(A81="","",Calculation!$F$6)</f>
        <v/>
      </c>
      <c r="P81" s="392" t="str">
        <f>IF(A81="","",Calculation!$F$7)</f>
        <v/>
      </c>
      <c r="Q81" s="393" t="str">
        <f>IF(A81="","",Calculation!$F$13)</f>
        <v/>
      </c>
      <c r="R81" s="394" t="str">
        <f>IF(A81="","",Calculation!X87)</f>
        <v/>
      </c>
      <c r="S81" s="393" t="str">
        <f>IF(A81="","",Calculation!T87)</f>
        <v/>
      </c>
      <c r="T81" s="395" t="str">
        <f>IF(A81="","",IF(Calculation!$O$8="None","Water",CONCATENATE(Calculation!$O$8,"-",Calculation!$S$8,"%")))</f>
        <v/>
      </c>
      <c r="U81" s="393" t="str">
        <f>IF(A81="","",Calculation!$P$6)</f>
        <v/>
      </c>
      <c r="V81" s="393" t="str">
        <f>IF(A81="","",Calculation!AT87)</f>
        <v/>
      </c>
      <c r="W81" s="396" t="str">
        <f>IF(A81="","",Calculation!AP87)</f>
        <v/>
      </c>
      <c r="X81" s="396" t="str">
        <f>IF(A81="","",Calculation!AO87)</f>
        <v/>
      </c>
      <c r="Y81" s="396" t="str">
        <f>IF(A81="","",Calculation!AQ87)</f>
        <v/>
      </c>
      <c r="Z81" s="396" t="str">
        <f>IF(A81="","",Calculation!$H$6)</f>
        <v/>
      </c>
      <c r="AA81" s="397" t="str">
        <f>IF(A81="","",Calculation!$H$13)</f>
        <v/>
      </c>
      <c r="AB81" s="397" t="str">
        <f>IF(A81="","",Calculation!U87)</f>
        <v/>
      </c>
      <c r="AC81" s="398" t="str">
        <f>IF(A81="","",IF(Calculation!$O$9="None","Water",CONCATENATE(Calculation!$O$9,"-",Calculation!$S$9,"%")))</f>
        <v/>
      </c>
      <c r="AD81" s="396" t="str">
        <f>IF(A81="","",Calculation!$S$6)</f>
        <v/>
      </c>
      <c r="AE81" s="399" t="str">
        <f>IF(A81="","",Calculation!BA87)</f>
        <v/>
      </c>
      <c r="AF81" s="396" t="str">
        <f>IF(A81="","",Calculation!AX87)</f>
        <v/>
      </c>
      <c r="AG81" s="396" t="str">
        <f>IF(A81="","",Calculation!AW87)</f>
        <v/>
      </c>
      <c r="AH81" s="391" t="str">
        <f>IF(A81="","",Calculation!AY87)</f>
        <v/>
      </c>
      <c r="AI81" s="391" t="str">
        <f>IF(A81="","",Calculation!Y87)</f>
        <v/>
      </c>
      <c r="AJ81" s="401" t="str">
        <f>IF(Calculation!BD87&gt;0,Calculation!BD87," ")</f>
        <v xml:space="preserve"> </v>
      </c>
      <c r="AK81" s="401" t="str">
        <f>IF(Calculation!BD87&gt;0,Calculation!BE87," ")</f>
        <v xml:space="preserve"> </v>
      </c>
      <c r="AL81" s="401" t="str">
        <f>IF(Calculation!BD87&gt;0,Calculation!BF87," ")</f>
        <v xml:space="preserve"> </v>
      </c>
      <c r="AM81" s="401" t="str">
        <f>IF(Calculation!BD87&gt;0,Calculation!BG87," ")</f>
        <v xml:space="preserve"> </v>
      </c>
      <c r="AN81" s="391" t="str">
        <f>IF(Calculation!BH87="N/A","N/A",Calculation!BH87)</f>
        <v xml:space="preserve"> </v>
      </c>
      <c r="AO81" s="402" t="str">
        <f>IF(Calculation!BI87="N/A","N/A",Calculation!BI87)</f>
        <v/>
      </c>
      <c r="AP81" s="391" t="str">
        <f>IF(Calculation!BJ87="N/A","N/A",Calculation!BJ87)</f>
        <v/>
      </c>
      <c r="AQ81" s="402" t="str">
        <f>IF(Calculation!BK87="N/A","N/A",Calculation!BK87)</f>
        <v/>
      </c>
      <c r="AR81" s="391" t="str">
        <f>IF(Calculation!BL87="N/A","N/A",Calculation!BL87)</f>
        <v/>
      </c>
      <c r="AS81" s="402" t="str">
        <f>IF(Calculation!BM87="N/A","N/A",Calculation!BM87)</f>
        <v/>
      </c>
      <c r="AT81" s="400"/>
    </row>
    <row r="82" spans="1:46" ht="12.75" customHeight="1">
      <c r="A82" s="224" t="str">
        <f>IF(Calculation!BN88="","",CONCATENATE(Calculation!BO88,"-",Calculation!R88,"-",Calculation!S88,"-",Calculation!T88,"-",Calculation!U88))</f>
        <v/>
      </c>
      <c r="B82" s="224">
        <v>67</v>
      </c>
      <c r="C82" s="629" t="str">
        <f>IF(A82="","",Calculation!B88)</f>
        <v/>
      </c>
      <c r="D82" s="386" t="str">
        <f>IF(A82="","",Calculation!L88)</f>
        <v/>
      </c>
      <c r="E82" s="387" t="str">
        <f>IF(A82="","",Calculation!J88)</f>
        <v/>
      </c>
      <c r="F82" s="387" t="str">
        <f>IF(A82="","",Calculation!C88)</f>
        <v/>
      </c>
      <c r="G82" s="387" t="str">
        <f>IF(A82="","",LEFT(Calculation!O88,6))</f>
        <v/>
      </c>
      <c r="H82" s="388" t="str">
        <f>IF(A82="","",Calculation!DX88)</f>
        <v/>
      </c>
      <c r="I82" s="387" t="str">
        <f>IF(A82="","",Calculation!P88)</f>
        <v/>
      </c>
      <c r="J82" s="387" t="str">
        <f>IF(A82="","",HLOOKUP(LEFT(Calculation!BO88,7),LookUps!$C$38:$M$41,4))</f>
        <v/>
      </c>
      <c r="K82" s="387" t="str">
        <f>IF(A82="","",Calculation!M88)</f>
        <v/>
      </c>
      <c r="L82" s="387" t="str">
        <f>IF(A82="","",Calculation!S88)</f>
        <v/>
      </c>
      <c r="M82" s="389" t="str">
        <f>IF(A82="","",Calculation!N88)</f>
        <v/>
      </c>
      <c r="N82" s="390" t="str">
        <f>IF(A82="","",Calculation!R88)</f>
        <v/>
      </c>
      <c r="O82" s="391" t="str">
        <f>IF(A82="","",Calculation!$F$6)</f>
        <v/>
      </c>
      <c r="P82" s="392" t="str">
        <f>IF(A82="","",Calculation!$F$7)</f>
        <v/>
      </c>
      <c r="Q82" s="393" t="str">
        <f>IF(A82="","",Calculation!$F$13)</f>
        <v/>
      </c>
      <c r="R82" s="394" t="str">
        <f>IF(A82="","",Calculation!X88)</f>
        <v/>
      </c>
      <c r="S82" s="393" t="str">
        <f>IF(A82="","",Calculation!T88)</f>
        <v/>
      </c>
      <c r="T82" s="395" t="str">
        <f>IF(A82="","",IF(Calculation!$O$8="None","Water",CONCATENATE(Calculation!$O$8,"-",Calculation!$S$8,"%")))</f>
        <v/>
      </c>
      <c r="U82" s="393" t="str">
        <f>IF(A82="","",Calculation!$P$6)</f>
        <v/>
      </c>
      <c r="V82" s="393" t="str">
        <f>IF(A82="","",Calculation!AT88)</f>
        <v/>
      </c>
      <c r="W82" s="396" t="str">
        <f>IF(A82="","",Calculation!AP88)</f>
        <v/>
      </c>
      <c r="X82" s="396" t="str">
        <f>IF(A82="","",Calculation!AO88)</f>
        <v/>
      </c>
      <c r="Y82" s="396" t="str">
        <f>IF(A82="","",Calculation!AQ88)</f>
        <v/>
      </c>
      <c r="Z82" s="396" t="str">
        <f>IF(A82="","",Calculation!$H$6)</f>
        <v/>
      </c>
      <c r="AA82" s="397" t="str">
        <f>IF(A82="","",Calculation!$H$13)</f>
        <v/>
      </c>
      <c r="AB82" s="397" t="str">
        <f>IF(A82="","",Calculation!U88)</f>
        <v/>
      </c>
      <c r="AC82" s="398" t="str">
        <f>IF(A82="","",IF(Calculation!$O$9="None","Water",CONCATENATE(Calculation!$O$9,"-",Calculation!$S$9,"%")))</f>
        <v/>
      </c>
      <c r="AD82" s="396" t="str">
        <f>IF(A82="","",Calculation!$S$6)</f>
        <v/>
      </c>
      <c r="AE82" s="399" t="str">
        <f>IF(A82="","",Calculation!BA88)</f>
        <v/>
      </c>
      <c r="AF82" s="396" t="str">
        <f>IF(A82="","",Calculation!AX88)</f>
        <v/>
      </c>
      <c r="AG82" s="396" t="str">
        <f>IF(A82="","",Calculation!AW88)</f>
        <v/>
      </c>
      <c r="AH82" s="391" t="str">
        <f>IF(A82="","",Calculation!AY88)</f>
        <v/>
      </c>
      <c r="AI82" s="391" t="str">
        <f>IF(A82="","",Calculation!Y88)</f>
        <v/>
      </c>
      <c r="AJ82" s="401" t="str">
        <f>IF(Calculation!BD88&gt;0,Calculation!BD88," ")</f>
        <v xml:space="preserve"> </v>
      </c>
      <c r="AK82" s="401" t="str">
        <f>IF(Calculation!BD88&gt;0,Calculation!BE88," ")</f>
        <v xml:space="preserve"> </v>
      </c>
      <c r="AL82" s="401" t="str">
        <f>IF(Calculation!BD88&gt;0,Calculation!BF88," ")</f>
        <v xml:space="preserve"> </v>
      </c>
      <c r="AM82" s="401" t="str">
        <f>IF(Calculation!BD88&gt;0,Calculation!BG88," ")</f>
        <v xml:space="preserve"> </v>
      </c>
      <c r="AN82" s="391" t="str">
        <f>IF(Calculation!BH88="N/A","N/A",Calculation!BH88)</f>
        <v xml:space="preserve"> </v>
      </c>
      <c r="AO82" s="402" t="str">
        <f>IF(Calculation!BI88="N/A","N/A",Calculation!BI88)</f>
        <v/>
      </c>
      <c r="AP82" s="391" t="str">
        <f>IF(Calculation!BJ88="N/A","N/A",Calculation!BJ88)</f>
        <v/>
      </c>
      <c r="AQ82" s="402" t="str">
        <f>IF(Calculation!BK88="N/A","N/A",Calculation!BK88)</f>
        <v/>
      </c>
      <c r="AR82" s="391" t="str">
        <f>IF(Calculation!BL88="N/A","N/A",Calculation!BL88)</f>
        <v/>
      </c>
      <c r="AS82" s="402" t="str">
        <f>IF(Calculation!BM88="N/A","N/A",Calculation!BM88)</f>
        <v/>
      </c>
      <c r="AT82" s="400"/>
    </row>
    <row r="83" spans="1:46" ht="12.75" customHeight="1">
      <c r="A83" s="224" t="str">
        <f>IF(Calculation!BN89="","",CONCATENATE(Calculation!BO89,"-",Calculation!R89,"-",Calculation!S89,"-",Calculation!T89,"-",Calculation!U89))</f>
        <v/>
      </c>
      <c r="B83" s="224">
        <v>68</v>
      </c>
      <c r="C83" s="629" t="str">
        <f>IF(A83="","",Calculation!B89)</f>
        <v/>
      </c>
      <c r="D83" s="386" t="str">
        <f>IF(A83="","",Calculation!L89)</f>
        <v/>
      </c>
      <c r="E83" s="387" t="str">
        <f>IF(A83="","",Calculation!J89)</f>
        <v/>
      </c>
      <c r="F83" s="387" t="str">
        <f>IF(A83="","",Calculation!C89)</f>
        <v/>
      </c>
      <c r="G83" s="387" t="str">
        <f>IF(A83="","",LEFT(Calculation!O89,6))</f>
        <v/>
      </c>
      <c r="H83" s="388" t="str">
        <f>IF(A83="","",Calculation!DX89)</f>
        <v/>
      </c>
      <c r="I83" s="387" t="str">
        <f>IF(A83="","",Calculation!P89)</f>
        <v/>
      </c>
      <c r="J83" s="387" t="str">
        <f>IF(A83="","",HLOOKUP(LEFT(Calculation!BO89,7),LookUps!$C$38:$M$41,4))</f>
        <v/>
      </c>
      <c r="K83" s="387" t="str">
        <f>IF(A83="","",Calculation!M89)</f>
        <v/>
      </c>
      <c r="L83" s="387" t="str">
        <f>IF(A83="","",Calculation!S89)</f>
        <v/>
      </c>
      <c r="M83" s="389" t="str">
        <f>IF(A83="","",Calculation!N89)</f>
        <v/>
      </c>
      <c r="N83" s="390" t="str">
        <f>IF(A83="","",Calculation!R89)</f>
        <v/>
      </c>
      <c r="O83" s="391" t="str">
        <f>IF(A83="","",Calculation!$F$6)</f>
        <v/>
      </c>
      <c r="P83" s="392" t="str">
        <f>IF(A83="","",Calculation!$F$7)</f>
        <v/>
      </c>
      <c r="Q83" s="393" t="str">
        <f>IF(A83="","",Calculation!$F$13)</f>
        <v/>
      </c>
      <c r="R83" s="394" t="str">
        <f>IF(A83="","",Calculation!X89)</f>
        <v/>
      </c>
      <c r="S83" s="393" t="str">
        <f>IF(A83="","",Calculation!T89)</f>
        <v/>
      </c>
      <c r="T83" s="395" t="str">
        <f>IF(A83="","",IF(Calculation!$O$8="None","Water",CONCATENATE(Calculation!$O$8,"-",Calculation!$S$8,"%")))</f>
        <v/>
      </c>
      <c r="U83" s="393" t="str">
        <f>IF(A83="","",Calculation!$P$6)</f>
        <v/>
      </c>
      <c r="V83" s="393" t="str">
        <f>IF(A83="","",Calculation!AT89)</f>
        <v/>
      </c>
      <c r="W83" s="396" t="str">
        <f>IF(A83="","",Calculation!AP89)</f>
        <v/>
      </c>
      <c r="X83" s="396" t="str">
        <f>IF(A83="","",Calculation!AO89)</f>
        <v/>
      </c>
      <c r="Y83" s="396" t="str">
        <f>IF(A83="","",Calculation!AQ89)</f>
        <v/>
      </c>
      <c r="Z83" s="396" t="str">
        <f>IF(A83="","",Calculation!$H$6)</f>
        <v/>
      </c>
      <c r="AA83" s="397" t="str">
        <f>IF(A83="","",Calculation!$H$13)</f>
        <v/>
      </c>
      <c r="AB83" s="397" t="str">
        <f>IF(A83="","",Calculation!U89)</f>
        <v/>
      </c>
      <c r="AC83" s="398" t="str">
        <f>IF(A83="","",IF(Calculation!$O$9="None","Water",CONCATENATE(Calculation!$O$9,"-",Calculation!$S$9,"%")))</f>
        <v/>
      </c>
      <c r="AD83" s="396" t="str">
        <f>IF(A83="","",Calculation!$S$6)</f>
        <v/>
      </c>
      <c r="AE83" s="399" t="str">
        <f>IF(A83="","",Calculation!BA89)</f>
        <v/>
      </c>
      <c r="AF83" s="396" t="str">
        <f>IF(A83="","",Calculation!AX89)</f>
        <v/>
      </c>
      <c r="AG83" s="396" t="str">
        <f>IF(A83="","",Calculation!AW89)</f>
        <v/>
      </c>
      <c r="AH83" s="391" t="str">
        <f>IF(A83="","",Calculation!AY89)</f>
        <v/>
      </c>
      <c r="AI83" s="391" t="str">
        <f>IF(A83="","",Calculation!Y89)</f>
        <v/>
      </c>
      <c r="AJ83" s="401" t="str">
        <f>IF(Calculation!BD89&gt;0,Calculation!BD89," ")</f>
        <v xml:space="preserve"> </v>
      </c>
      <c r="AK83" s="401" t="str">
        <f>IF(Calculation!BD89&gt;0,Calculation!BE89," ")</f>
        <v xml:space="preserve"> </v>
      </c>
      <c r="AL83" s="401" t="str">
        <f>IF(Calculation!BD89&gt;0,Calculation!BF89," ")</f>
        <v xml:space="preserve"> </v>
      </c>
      <c r="AM83" s="401" t="str">
        <f>IF(Calculation!BD89&gt;0,Calculation!BG89," ")</f>
        <v xml:space="preserve"> </v>
      </c>
      <c r="AN83" s="391" t="str">
        <f>IF(Calculation!BH89="N/A","N/A",Calculation!BH89)</f>
        <v xml:space="preserve"> </v>
      </c>
      <c r="AO83" s="402" t="str">
        <f>IF(Calculation!BI89="N/A","N/A",Calculation!BI89)</f>
        <v/>
      </c>
      <c r="AP83" s="391" t="str">
        <f>IF(Calculation!BJ89="N/A","N/A",Calculation!BJ89)</f>
        <v/>
      </c>
      <c r="AQ83" s="402" t="str">
        <f>IF(Calculation!BK89="N/A","N/A",Calculation!BK89)</f>
        <v/>
      </c>
      <c r="AR83" s="391" t="str">
        <f>IF(Calculation!BL89="N/A","N/A",Calculation!BL89)</f>
        <v/>
      </c>
      <c r="AS83" s="402" t="str">
        <f>IF(Calculation!BM89="N/A","N/A",Calculation!BM89)</f>
        <v/>
      </c>
      <c r="AT83" s="400"/>
    </row>
    <row r="84" spans="1:46" ht="12.75" customHeight="1">
      <c r="A84" s="224" t="str">
        <f>IF(Calculation!BN90="","",CONCATENATE(Calculation!BO90,"-",Calculation!R90,"-",Calculation!S90,"-",Calculation!T90,"-",Calculation!U90))</f>
        <v/>
      </c>
      <c r="B84" s="224">
        <v>69</v>
      </c>
      <c r="C84" s="629" t="str">
        <f>IF(A84="","",Calculation!B90)</f>
        <v/>
      </c>
      <c r="D84" s="386" t="str">
        <f>IF(A84="","",Calculation!L90)</f>
        <v/>
      </c>
      <c r="E84" s="387" t="str">
        <f>IF(A84="","",Calculation!J90)</f>
        <v/>
      </c>
      <c r="F84" s="387" t="str">
        <f>IF(A84="","",Calculation!C90)</f>
        <v/>
      </c>
      <c r="G84" s="387" t="str">
        <f>IF(A84="","",LEFT(Calculation!O90,6))</f>
        <v/>
      </c>
      <c r="H84" s="388" t="str">
        <f>IF(A84="","",Calculation!DX90)</f>
        <v/>
      </c>
      <c r="I84" s="387" t="str">
        <f>IF(A84="","",Calculation!P90)</f>
        <v/>
      </c>
      <c r="J84" s="387" t="str">
        <f>IF(A84="","",HLOOKUP(LEFT(Calculation!BO90,7),LookUps!$C$38:$M$41,4))</f>
        <v/>
      </c>
      <c r="K84" s="387" t="str">
        <f>IF(A84="","",Calculation!M90)</f>
        <v/>
      </c>
      <c r="L84" s="387" t="str">
        <f>IF(A84="","",Calculation!S90)</f>
        <v/>
      </c>
      <c r="M84" s="389" t="str">
        <f>IF(A84="","",Calculation!N90)</f>
        <v/>
      </c>
      <c r="N84" s="390" t="str">
        <f>IF(A84="","",Calculation!R90)</f>
        <v/>
      </c>
      <c r="O84" s="391" t="str">
        <f>IF(A84="","",Calculation!$F$6)</f>
        <v/>
      </c>
      <c r="P84" s="392" t="str">
        <f>IF(A84="","",Calculation!$F$7)</f>
        <v/>
      </c>
      <c r="Q84" s="393" t="str">
        <f>IF(A84="","",Calculation!$F$13)</f>
        <v/>
      </c>
      <c r="R84" s="394" t="str">
        <f>IF(A84="","",Calculation!X90)</f>
        <v/>
      </c>
      <c r="S84" s="393" t="str">
        <f>IF(A84="","",Calculation!T90)</f>
        <v/>
      </c>
      <c r="T84" s="395" t="str">
        <f>IF(A84="","",IF(Calculation!$O$8="None","Water",CONCATENATE(Calculation!$O$8,"-",Calculation!$S$8,"%")))</f>
        <v/>
      </c>
      <c r="U84" s="393" t="str">
        <f>IF(A84="","",Calculation!$P$6)</f>
        <v/>
      </c>
      <c r="V84" s="393" t="str">
        <f>IF(A84="","",Calculation!AT90)</f>
        <v/>
      </c>
      <c r="W84" s="396" t="str">
        <f>IF(A84="","",Calculation!AP90)</f>
        <v/>
      </c>
      <c r="X84" s="396" t="str">
        <f>IF(A84="","",Calculation!AO90)</f>
        <v/>
      </c>
      <c r="Y84" s="396" t="str">
        <f>IF(A84="","",Calculation!AQ90)</f>
        <v/>
      </c>
      <c r="Z84" s="396" t="str">
        <f>IF(A84="","",Calculation!$H$6)</f>
        <v/>
      </c>
      <c r="AA84" s="397" t="str">
        <f>IF(A84="","",Calculation!$H$13)</f>
        <v/>
      </c>
      <c r="AB84" s="397" t="str">
        <f>IF(A84="","",Calculation!U90)</f>
        <v/>
      </c>
      <c r="AC84" s="398" t="str">
        <f>IF(A84="","",IF(Calculation!$O$9="None","Water",CONCATENATE(Calculation!$O$9,"-",Calculation!$S$9,"%")))</f>
        <v/>
      </c>
      <c r="AD84" s="396" t="str">
        <f>IF(A84="","",Calculation!$S$6)</f>
        <v/>
      </c>
      <c r="AE84" s="399" t="str">
        <f>IF(A84="","",Calculation!BA90)</f>
        <v/>
      </c>
      <c r="AF84" s="396" t="str">
        <f>IF(A84="","",Calculation!AX90)</f>
        <v/>
      </c>
      <c r="AG84" s="396" t="str">
        <f>IF(A84="","",Calculation!AW90)</f>
        <v/>
      </c>
      <c r="AH84" s="391" t="str">
        <f>IF(A84="","",Calculation!AY90)</f>
        <v/>
      </c>
      <c r="AI84" s="391" t="str">
        <f>IF(A84="","",Calculation!Y90)</f>
        <v/>
      </c>
      <c r="AJ84" s="401" t="str">
        <f>IF(Calculation!BD90&gt;0,Calculation!BD90," ")</f>
        <v xml:space="preserve"> </v>
      </c>
      <c r="AK84" s="401" t="str">
        <f>IF(Calculation!BD90&gt;0,Calculation!BE90," ")</f>
        <v xml:space="preserve"> </v>
      </c>
      <c r="AL84" s="401" t="str">
        <f>IF(Calculation!BD90&gt;0,Calculation!BF90," ")</f>
        <v xml:space="preserve"> </v>
      </c>
      <c r="AM84" s="401" t="str">
        <f>IF(Calculation!BD90&gt;0,Calculation!BG90," ")</f>
        <v xml:space="preserve"> </v>
      </c>
      <c r="AN84" s="391" t="str">
        <f>IF(Calculation!BH90="N/A","N/A",Calculation!BH90)</f>
        <v xml:space="preserve"> </v>
      </c>
      <c r="AO84" s="402" t="str">
        <f>IF(Calculation!BI90="N/A","N/A",Calculation!BI90)</f>
        <v/>
      </c>
      <c r="AP84" s="391" t="str">
        <f>IF(Calculation!BJ90="N/A","N/A",Calculation!BJ90)</f>
        <v/>
      </c>
      <c r="AQ84" s="402" t="str">
        <f>IF(Calculation!BK90="N/A","N/A",Calculation!BK90)</f>
        <v/>
      </c>
      <c r="AR84" s="391" t="str">
        <f>IF(Calculation!BL90="N/A","N/A",Calculation!BL90)</f>
        <v/>
      </c>
      <c r="AS84" s="402" t="str">
        <f>IF(Calculation!BM90="N/A","N/A",Calculation!BM90)</f>
        <v/>
      </c>
      <c r="AT84" s="400"/>
    </row>
    <row r="85" spans="1:46" ht="12.75" customHeight="1">
      <c r="A85" s="224" t="str">
        <f>IF(Calculation!BN91="","",CONCATENATE(Calculation!BO91,"-",Calculation!R91,"-",Calculation!S91,"-",Calculation!T91,"-",Calculation!U91))</f>
        <v/>
      </c>
      <c r="B85" s="224">
        <v>70</v>
      </c>
      <c r="C85" s="629" t="str">
        <f>IF(A85="","",Calculation!B91)</f>
        <v/>
      </c>
      <c r="D85" s="386" t="str">
        <f>IF(A85="","",Calculation!L91)</f>
        <v/>
      </c>
      <c r="E85" s="387" t="str">
        <f>IF(A85="","",Calculation!J91)</f>
        <v/>
      </c>
      <c r="F85" s="387" t="str">
        <f>IF(A85="","",Calculation!C91)</f>
        <v/>
      </c>
      <c r="G85" s="387" t="str">
        <f>IF(A85="","",LEFT(Calculation!O91,6))</f>
        <v/>
      </c>
      <c r="H85" s="388" t="str">
        <f>IF(A85="","",Calculation!DX91)</f>
        <v/>
      </c>
      <c r="I85" s="387" t="str">
        <f>IF(A85="","",Calculation!P91)</f>
        <v/>
      </c>
      <c r="J85" s="387" t="str">
        <f>IF(A85="","",HLOOKUP(LEFT(Calculation!BO91,7),LookUps!$C$38:$M$41,4))</f>
        <v/>
      </c>
      <c r="K85" s="387" t="str">
        <f>IF(A85="","",Calculation!M91)</f>
        <v/>
      </c>
      <c r="L85" s="387" t="str">
        <f>IF(A85="","",Calculation!S91)</f>
        <v/>
      </c>
      <c r="M85" s="389" t="str">
        <f>IF(A85="","",Calculation!N91)</f>
        <v/>
      </c>
      <c r="N85" s="390" t="str">
        <f>IF(A85="","",Calculation!R91)</f>
        <v/>
      </c>
      <c r="O85" s="391" t="str">
        <f>IF(A85="","",Calculation!$F$6)</f>
        <v/>
      </c>
      <c r="P85" s="392" t="str">
        <f>IF(A85="","",Calculation!$F$7)</f>
        <v/>
      </c>
      <c r="Q85" s="393" t="str">
        <f>IF(A85="","",Calculation!$F$13)</f>
        <v/>
      </c>
      <c r="R85" s="394" t="str">
        <f>IF(A85="","",Calculation!X91)</f>
        <v/>
      </c>
      <c r="S85" s="393" t="str">
        <f>IF(A85="","",Calculation!T91)</f>
        <v/>
      </c>
      <c r="T85" s="395" t="str">
        <f>IF(A85="","",IF(Calculation!$O$8="None","Water",CONCATENATE(Calculation!$O$8,"-",Calculation!$S$8,"%")))</f>
        <v/>
      </c>
      <c r="U85" s="393" t="str">
        <f>IF(A85="","",Calculation!$P$6)</f>
        <v/>
      </c>
      <c r="V85" s="393" t="str">
        <f>IF(A85="","",Calculation!AT91)</f>
        <v/>
      </c>
      <c r="W85" s="396" t="str">
        <f>IF(A85="","",Calculation!AP91)</f>
        <v/>
      </c>
      <c r="X85" s="396" t="str">
        <f>IF(A85="","",Calculation!AO91)</f>
        <v/>
      </c>
      <c r="Y85" s="396" t="str">
        <f>IF(A85="","",Calculation!AQ91)</f>
        <v/>
      </c>
      <c r="Z85" s="396" t="str">
        <f>IF(A85="","",Calculation!$H$6)</f>
        <v/>
      </c>
      <c r="AA85" s="397" t="str">
        <f>IF(A85="","",Calculation!$H$13)</f>
        <v/>
      </c>
      <c r="AB85" s="397" t="str">
        <f>IF(A85="","",Calculation!U91)</f>
        <v/>
      </c>
      <c r="AC85" s="398" t="str">
        <f>IF(A85="","",IF(Calculation!$O$9="None","Water",CONCATENATE(Calculation!$O$9,"-",Calculation!$S$9,"%")))</f>
        <v/>
      </c>
      <c r="AD85" s="396" t="str">
        <f>IF(A85="","",Calculation!$S$6)</f>
        <v/>
      </c>
      <c r="AE85" s="399" t="str">
        <f>IF(A85="","",Calculation!BA91)</f>
        <v/>
      </c>
      <c r="AF85" s="396" t="str">
        <f>IF(A85="","",Calculation!AX91)</f>
        <v/>
      </c>
      <c r="AG85" s="396" t="str">
        <f>IF(A85="","",Calculation!AW91)</f>
        <v/>
      </c>
      <c r="AH85" s="391" t="str">
        <f>IF(A85="","",Calculation!AY91)</f>
        <v/>
      </c>
      <c r="AI85" s="391" t="str">
        <f>IF(A85="","",Calculation!Y91)</f>
        <v/>
      </c>
      <c r="AJ85" s="401" t="str">
        <f>IF(Calculation!BD91&gt;0,Calculation!BD91," ")</f>
        <v xml:space="preserve"> </v>
      </c>
      <c r="AK85" s="401" t="str">
        <f>IF(Calculation!BD91&gt;0,Calculation!BE91," ")</f>
        <v xml:space="preserve"> </v>
      </c>
      <c r="AL85" s="401" t="str">
        <f>IF(Calculation!BD91&gt;0,Calculation!BF91," ")</f>
        <v xml:space="preserve"> </v>
      </c>
      <c r="AM85" s="401" t="str">
        <f>IF(Calculation!BD91&gt;0,Calculation!BG91," ")</f>
        <v xml:space="preserve"> </v>
      </c>
      <c r="AN85" s="391" t="str">
        <f>IF(Calculation!BH91="N/A","N/A",Calculation!BH91)</f>
        <v xml:space="preserve"> </v>
      </c>
      <c r="AO85" s="402" t="str">
        <f>IF(Calculation!BI91="N/A","N/A",Calculation!BI91)</f>
        <v/>
      </c>
      <c r="AP85" s="391" t="str">
        <f>IF(Calculation!BJ91="N/A","N/A",Calculation!BJ91)</f>
        <v/>
      </c>
      <c r="AQ85" s="402" t="str">
        <f>IF(Calculation!BK91="N/A","N/A",Calculation!BK91)</f>
        <v/>
      </c>
      <c r="AR85" s="391" t="str">
        <f>IF(Calculation!BL91="N/A","N/A",Calculation!BL91)</f>
        <v/>
      </c>
      <c r="AS85" s="402" t="str">
        <f>IF(Calculation!BM91="N/A","N/A",Calculation!BM91)</f>
        <v/>
      </c>
      <c r="AT85" s="400"/>
    </row>
    <row r="86" spans="1:46" ht="12.75" customHeight="1">
      <c r="A86" s="224" t="str">
        <f>IF(Calculation!BN92="","",CONCATENATE(Calculation!BO92,"-",Calculation!R92,"-",Calculation!S92,"-",Calculation!T92,"-",Calculation!U92))</f>
        <v/>
      </c>
      <c r="B86" s="224">
        <v>71</v>
      </c>
      <c r="C86" s="629" t="str">
        <f>IF(A86="","",Calculation!B92)</f>
        <v/>
      </c>
      <c r="D86" s="386" t="str">
        <f>IF(A86="","",Calculation!L92)</f>
        <v/>
      </c>
      <c r="E86" s="387" t="str">
        <f>IF(A86="","",Calculation!J92)</f>
        <v/>
      </c>
      <c r="F86" s="387" t="str">
        <f>IF(A86="","",Calculation!C92)</f>
        <v/>
      </c>
      <c r="G86" s="387" t="str">
        <f>IF(A86="","",LEFT(Calculation!O92,6))</f>
        <v/>
      </c>
      <c r="H86" s="388" t="str">
        <f>IF(A86="","",Calculation!DX92)</f>
        <v/>
      </c>
      <c r="I86" s="387" t="str">
        <f>IF(A86="","",Calculation!P92)</f>
        <v/>
      </c>
      <c r="J86" s="387" t="str">
        <f>IF(A86="","",HLOOKUP(LEFT(Calculation!BO92,7),LookUps!$C$38:$M$41,4))</f>
        <v/>
      </c>
      <c r="K86" s="387" t="str">
        <f>IF(A86="","",Calculation!M92)</f>
        <v/>
      </c>
      <c r="L86" s="387" t="str">
        <f>IF(A86="","",Calculation!S92)</f>
        <v/>
      </c>
      <c r="M86" s="389" t="str">
        <f>IF(A86="","",Calculation!N92)</f>
        <v/>
      </c>
      <c r="N86" s="390" t="str">
        <f>IF(A86="","",Calculation!R92)</f>
        <v/>
      </c>
      <c r="O86" s="391" t="str">
        <f>IF(A86="","",Calculation!$F$6)</f>
        <v/>
      </c>
      <c r="P86" s="392" t="str">
        <f>IF(A86="","",Calculation!$F$7)</f>
        <v/>
      </c>
      <c r="Q86" s="393" t="str">
        <f>IF(A86="","",Calculation!$F$13)</f>
        <v/>
      </c>
      <c r="R86" s="394" t="str">
        <f>IF(A86="","",Calculation!X92)</f>
        <v/>
      </c>
      <c r="S86" s="393" t="str">
        <f>IF(A86="","",Calculation!T92)</f>
        <v/>
      </c>
      <c r="T86" s="395" t="str">
        <f>IF(A86="","",IF(Calculation!$O$8="None","Water",CONCATENATE(Calculation!$O$8,"-",Calculation!$S$8,"%")))</f>
        <v/>
      </c>
      <c r="U86" s="393" t="str">
        <f>IF(A86="","",Calculation!$P$6)</f>
        <v/>
      </c>
      <c r="V86" s="393" t="str">
        <f>IF(A86="","",Calculation!AT92)</f>
        <v/>
      </c>
      <c r="W86" s="396" t="str">
        <f>IF(A86="","",Calculation!AP92)</f>
        <v/>
      </c>
      <c r="X86" s="396" t="str">
        <f>IF(A86="","",Calculation!AO92)</f>
        <v/>
      </c>
      <c r="Y86" s="396" t="str">
        <f>IF(A86="","",Calculation!AQ92)</f>
        <v/>
      </c>
      <c r="Z86" s="396" t="str">
        <f>IF(A86="","",Calculation!$H$6)</f>
        <v/>
      </c>
      <c r="AA86" s="397" t="str">
        <f>IF(A86="","",Calculation!$H$13)</f>
        <v/>
      </c>
      <c r="AB86" s="397" t="str">
        <f>IF(A86="","",Calculation!U92)</f>
        <v/>
      </c>
      <c r="AC86" s="398" t="str">
        <f>IF(A86="","",IF(Calculation!$O$9="None","Water",CONCATENATE(Calculation!$O$9,"-",Calculation!$S$9,"%")))</f>
        <v/>
      </c>
      <c r="AD86" s="396" t="str">
        <f>IF(A86="","",Calculation!$S$6)</f>
        <v/>
      </c>
      <c r="AE86" s="399" t="str">
        <f>IF(A86="","",Calculation!BA92)</f>
        <v/>
      </c>
      <c r="AF86" s="396" t="str">
        <f>IF(A86="","",Calculation!AX92)</f>
        <v/>
      </c>
      <c r="AG86" s="396" t="str">
        <f>IF(A86="","",Calculation!AW92)</f>
        <v/>
      </c>
      <c r="AH86" s="391" t="str">
        <f>IF(A86="","",Calculation!AY92)</f>
        <v/>
      </c>
      <c r="AI86" s="391" t="str">
        <f>IF(A86="","",Calculation!Y92)</f>
        <v/>
      </c>
      <c r="AJ86" s="401" t="str">
        <f>IF(Calculation!BD92&gt;0,Calculation!BD92," ")</f>
        <v xml:space="preserve"> </v>
      </c>
      <c r="AK86" s="401" t="str">
        <f>IF(Calculation!BD92&gt;0,Calculation!BE92," ")</f>
        <v xml:space="preserve"> </v>
      </c>
      <c r="AL86" s="401" t="str">
        <f>IF(Calculation!BD92&gt;0,Calculation!BF92," ")</f>
        <v xml:space="preserve"> </v>
      </c>
      <c r="AM86" s="401" t="str">
        <f>IF(Calculation!BD92&gt;0,Calculation!BG92," ")</f>
        <v xml:space="preserve"> </v>
      </c>
      <c r="AN86" s="391" t="str">
        <f>IF(Calculation!BH92="N/A","N/A",Calculation!BH92)</f>
        <v xml:space="preserve"> </v>
      </c>
      <c r="AO86" s="402" t="str">
        <f>IF(Calculation!BI92="N/A","N/A",Calculation!BI92)</f>
        <v/>
      </c>
      <c r="AP86" s="391" t="str">
        <f>IF(Calculation!BJ92="N/A","N/A",Calculation!BJ92)</f>
        <v/>
      </c>
      <c r="AQ86" s="402" t="str">
        <f>IF(Calculation!BK92="N/A","N/A",Calculation!BK92)</f>
        <v/>
      </c>
      <c r="AR86" s="391" t="str">
        <f>IF(Calculation!BL92="N/A","N/A",Calculation!BL92)</f>
        <v/>
      </c>
      <c r="AS86" s="402" t="str">
        <f>IF(Calculation!BM92="N/A","N/A",Calculation!BM92)</f>
        <v/>
      </c>
      <c r="AT86" s="400"/>
    </row>
    <row r="87" spans="1:46" ht="12.75" customHeight="1">
      <c r="A87" s="224" t="str">
        <f>IF(Calculation!BN93="","",CONCATENATE(Calculation!BO93,"-",Calculation!R93,"-",Calculation!S93,"-",Calculation!T93,"-",Calculation!U93))</f>
        <v/>
      </c>
      <c r="B87" s="224">
        <v>72</v>
      </c>
      <c r="C87" s="629" t="str">
        <f>IF(A87="","",Calculation!B93)</f>
        <v/>
      </c>
      <c r="D87" s="386" t="str">
        <f>IF(A87="","",Calculation!L93)</f>
        <v/>
      </c>
      <c r="E87" s="387" t="str">
        <f>IF(A87="","",Calculation!J93)</f>
        <v/>
      </c>
      <c r="F87" s="387" t="str">
        <f>IF(A87="","",Calculation!C93)</f>
        <v/>
      </c>
      <c r="G87" s="387" t="str">
        <f>IF(A87="","",LEFT(Calculation!O93,6))</f>
        <v/>
      </c>
      <c r="H87" s="388" t="str">
        <f>IF(A87="","",Calculation!DX93)</f>
        <v/>
      </c>
      <c r="I87" s="387" t="str">
        <f>IF(A87="","",Calculation!P93)</f>
        <v/>
      </c>
      <c r="J87" s="387" t="str">
        <f>IF(A87="","",HLOOKUP(LEFT(Calculation!BO93,7),LookUps!$C$38:$M$41,4))</f>
        <v/>
      </c>
      <c r="K87" s="387" t="str">
        <f>IF(A87="","",Calculation!M93)</f>
        <v/>
      </c>
      <c r="L87" s="387" t="str">
        <f>IF(A87="","",Calculation!S93)</f>
        <v/>
      </c>
      <c r="M87" s="389" t="str">
        <f>IF(A87="","",Calculation!N93)</f>
        <v/>
      </c>
      <c r="N87" s="390" t="str">
        <f>IF(A87="","",Calculation!R93)</f>
        <v/>
      </c>
      <c r="O87" s="391" t="str">
        <f>IF(A87="","",Calculation!$F$6)</f>
        <v/>
      </c>
      <c r="P87" s="392" t="str">
        <f>IF(A87="","",Calculation!$F$7)</f>
        <v/>
      </c>
      <c r="Q87" s="393" t="str">
        <f>IF(A87="","",Calculation!$F$13)</f>
        <v/>
      </c>
      <c r="R87" s="394" t="str">
        <f>IF(A87="","",Calculation!X93)</f>
        <v/>
      </c>
      <c r="S87" s="393" t="str">
        <f>IF(A87="","",Calculation!T93)</f>
        <v/>
      </c>
      <c r="T87" s="395" t="str">
        <f>IF(A87="","",IF(Calculation!$O$8="None","Water",CONCATENATE(Calculation!$O$8,"-",Calculation!$S$8,"%")))</f>
        <v/>
      </c>
      <c r="U87" s="393" t="str">
        <f>IF(A87="","",Calculation!$P$6)</f>
        <v/>
      </c>
      <c r="V87" s="393" t="str">
        <f>IF(A87="","",Calculation!AT93)</f>
        <v/>
      </c>
      <c r="W87" s="396" t="str">
        <f>IF(A87="","",Calculation!AP93)</f>
        <v/>
      </c>
      <c r="X87" s="396" t="str">
        <f>IF(A87="","",Calculation!AO93)</f>
        <v/>
      </c>
      <c r="Y87" s="396" t="str">
        <f>IF(A87="","",Calculation!AQ93)</f>
        <v/>
      </c>
      <c r="Z87" s="396" t="str">
        <f>IF(A87="","",Calculation!$H$6)</f>
        <v/>
      </c>
      <c r="AA87" s="397" t="str">
        <f>IF(A87="","",Calculation!$H$13)</f>
        <v/>
      </c>
      <c r="AB87" s="397" t="str">
        <f>IF(A87="","",Calculation!U93)</f>
        <v/>
      </c>
      <c r="AC87" s="398" t="str">
        <f>IF(A87="","",IF(Calculation!$O$9="None","Water",CONCATENATE(Calculation!$O$9,"-",Calculation!$S$9,"%")))</f>
        <v/>
      </c>
      <c r="AD87" s="396" t="str">
        <f>IF(A87="","",Calculation!$S$6)</f>
        <v/>
      </c>
      <c r="AE87" s="399" t="str">
        <f>IF(A87="","",Calculation!BA93)</f>
        <v/>
      </c>
      <c r="AF87" s="396" t="str">
        <f>IF(A87="","",Calculation!AX93)</f>
        <v/>
      </c>
      <c r="AG87" s="396" t="str">
        <f>IF(A87="","",Calculation!AW93)</f>
        <v/>
      </c>
      <c r="AH87" s="391" t="str">
        <f>IF(A87="","",Calculation!AY93)</f>
        <v/>
      </c>
      <c r="AI87" s="391" t="str">
        <f>IF(A87="","",Calculation!Y93)</f>
        <v/>
      </c>
      <c r="AJ87" s="401" t="str">
        <f>IF(Calculation!BD93&gt;0,Calculation!BD93," ")</f>
        <v xml:space="preserve"> </v>
      </c>
      <c r="AK87" s="401" t="str">
        <f>IF(Calculation!BD93&gt;0,Calculation!BE93," ")</f>
        <v xml:space="preserve"> </v>
      </c>
      <c r="AL87" s="401" t="str">
        <f>IF(Calculation!BD93&gt;0,Calculation!BF93," ")</f>
        <v xml:space="preserve"> </v>
      </c>
      <c r="AM87" s="401" t="str">
        <f>IF(Calculation!BD93&gt;0,Calculation!BG93," ")</f>
        <v xml:space="preserve"> </v>
      </c>
      <c r="AN87" s="391" t="str">
        <f>IF(Calculation!BH93="N/A","N/A",Calculation!BH93)</f>
        <v xml:space="preserve"> </v>
      </c>
      <c r="AO87" s="402" t="str">
        <f>IF(Calculation!BI93="N/A","N/A",Calculation!BI93)</f>
        <v/>
      </c>
      <c r="AP87" s="391" t="str">
        <f>IF(Calculation!BJ93="N/A","N/A",Calculation!BJ93)</f>
        <v/>
      </c>
      <c r="AQ87" s="402" t="str">
        <f>IF(Calculation!BK93="N/A","N/A",Calculation!BK93)</f>
        <v/>
      </c>
      <c r="AR87" s="391" t="str">
        <f>IF(Calculation!BL93="N/A","N/A",Calculation!BL93)</f>
        <v/>
      </c>
      <c r="AS87" s="402" t="str">
        <f>IF(Calculation!BM93="N/A","N/A",Calculation!BM93)</f>
        <v/>
      </c>
      <c r="AT87" s="400"/>
    </row>
    <row r="88" spans="1:46" ht="12.75" customHeight="1">
      <c r="A88" s="224" t="str">
        <f>IF(Calculation!BN94="","",CONCATENATE(Calculation!BO94,"-",Calculation!R94,"-",Calculation!S94,"-",Calculation!T94,"-",Calculation!U94))</f>
        <v/>
      </c>
      <c r="B88" s="224">
        <v>73</v>
      </c>
      <c r="C88" s="629" t="str">
        <f>IF(A88="","",Calculation!B94)</f>
        <v/>
      </c>
      <c r="D88" s="386" t="str">
        <f>IF(A88="","",Calculation!L94)</f>
        <v/>
      </c>
      <c r="E88" s="387" t="str">
        <f>IF(A88="","",Calculation!J94)</f>
        <v/>
      </c>
      <c r="F88" s="387" t="str">
        <f>IF(A88="","",Calculation!C94)</f>
        <v/>
      </c>
      <c r="G88" s="387" t="str">
        <f>IF(A88="","",LEFT(Calculation!O94,6))</f>
        <v/>
      </c>
      <c r="H88" s="388" t="str">
        <f>IF(A88="","",Calculation!DX94)</f>
        <v/>
      </c>
      <c r="I88" s="387" t="str">
        <f>IF(A88="","",Calculation!P94)</f>
        <v/>
      </c>
      <c r="J88" s="387" t="str">
        <f>IF(A88="","",HLOOKUP(LEFT(Calculation!BO94,7),LookUps!$C$38:$M$41,4))</f>
        <v/>
      </c>
      <c r="K88" s="387" t="str">
        <f>IF(A88="","",Calculation!M94)</f>
        <v/>
      </c>
      <c r="L88" s="387" t="str">
        <f>IF(A88="","",Calculation!S94)</f>
        <v/>
      </c>
      <c r="M88" s="389" t="str">
        <f>IF(A88="","",Calculation!N94)</f>
        <v/>
      </c>
      <c r="N88" s="390" t="str">
        <f>IF(A88="","",Calculation!R94)</f>
        <v/>
      </c>
      <c r="O88" s="391" t="str">
        <f>IF(A88="","",Calculation!$F$6)</f>
        <v/>
      </c>
      <c r="P88" s="392" t="str">
        <f>IF(A88="","",Calculation!$F$7)</f>
        <v/>
      </c>
      <c r="Q88" s="393" t="str">
        <f>IF(A88="","",Calculation!$F$13)</f>
        <v/>
      </c>
      <c r="R88" s="394" t="str">
        <f>IF(A88="","",Calculation!X94)</f>
        <v/>
      </c>
      <c r="S88" s="393" t="str">
        <f>IF(A88="","",Calculation!T94)</f>
        <v/>
      </c>
      <c r="T88" s="395" t="str">
        <f>IF(A88="","",IF(Calculation!$O$8="None","Water",CONCATENATE(Calculation!$O$8,"-",Calculation!$S$8,"%")))</f>
        <v/>
      </c>
      <c r="U88" s="393" t="str">
        <f>IF(A88="","",Calculation!$P$6)</f>
        <v/>
      </c>
      <c r="V88" s="393" t="str">
        <f>IF(A88="","",Calculation!AT94)</f>
        <v/>
      </c>
      <c r="W88" s="396" t="str">
        <f>IF(A88="","",Calculation!AP94)</f>
        <v/>
      </c>
      <c r="X88" s="396" t="str">
        <f>IF(A88="","",Calculation!AO94)</f>
        <v/>
      </c>
      <c r="Y88" s="396" t="str">
        <f>IF(A88="","",Calculation!AQ94)</f>
        <v/>
      </c>
      <c r="Z88" s="396" t="str">
        <f>IF(A88="","",Calculation!$H$6)</f>
        <v/>
      </c>
      <c r="AA88" s="397" t="str">
        <f>IF(A88="","",Calculation!$H$13)</f>
        <v/>
      </c>
      <c r="AB88" s="397" t="str">
        <f>IF(A88="","",Calculation!U94)</f>
        <v/>
      </c>
      <c r="AC88" s="398" t="str">
        <f>IF(A88="","",IF(Calculation!$O$9="None","Water",CONCATENATE(Calculation!$O$9,"-",Calculation!$S$9,"%")))</f>
        <v/>
      </c>
      <c r="AD88" s="396" t="str">
        <f>IF(A88="","",Calculation!$S$6)</f>
        <v/>
      </c>
      <c r="AE88" s="399" t="str">
        <f>IF(A88="","",Calculation!BA94)</f>
        <v/>
      </c>
      <c r="AF88" s="396" t="str">
        <f>IF(A88="","",Calculation!AX94)</f>
        <v/>
      </c>
      <c r="AG88" s="396" t="str">
        <f>IF(A88="","",Calculation!AW94)</f>
        <v/>
      </c>
      <c r="AH88" s="391" t="str">
        <f>IF(A88="","",Calculation!AY94)</f>
        <v/>
      </c>
      <c r="AI88" s="391" t="str">
        <f>IF(A88="","",Calculation!Y94)</f>
        <v/>
      </c>
      <c r="AJ88" s="401" t="str">
        <f>IF(Calculation!BD94&gt;0,Calculation!BD94," ")</f>
        <v xml:space="preserve"> </v>
      </c>
      <c r="AK88" s="401" t="str">
        <f>IF(Calculation!BD94&gt;0,Calculation!BE94," ")</f>
        <v xml:space="preserve"> </v>
      </c>
      <c r="AL88" s="401" t="str">
        <f>IF(Calculation!BD94&gt;0,Calculation!BF94," ")</f>
        <v xml:space="preserve"> </v>
      </c>
      <c r="AM88" s="401" t="str">
        <f>IF(Calculation!BD94&gt;0,Calculation!BG94," ")</f>
        <v xml:space="preserve"> </v>
      </c>
      <c r="AN88" s="391" t="str">
        <f>IF(Calculation!BH94="N/A","N/A",Calculation!BH94)</f>
        <v xml:space="preserve"> </v>
      </c>
      <c r="AO88" s="402" t="str">
        <f>IF(Calculation!BI94="N/A","N/A",Calculation!BI94)</f>
        <v/>
      </c>
      <c r="AP88" s="391" t="str">
        <f>IF(Calculation!BJ94="N/A","N/A",Calculation!BJ94)</f>
        <v/>
      </c>
      <c r="AQ88" s="402" t="str">
        <f>IF(Calculation!BK94="N/A","N/A",Calculation!BK94)</f>
        <v/>
      </c>
      <c r="AR88" s="391" t="str">
        <f>IF(Calculation!BL94="N/A","N/A",Calculation!BL94)</f>
        <v/>
      </c>
      <c r="AS88" s="402" t="str">
        <f>IF(Calculation!BM94="N/A","N/A",Calculation!BM94)</f>
        <v/>
      </c>
      <c r="AT88" s="400"/>
    </row>
    <row r="89" spans="1:46" ht="12.75" customHeight="1">
      <c r="A89" s="224" t="str">
        <f>IF(Calculation!BN95="","",CONCATENATE(Calculation!BO95,"-",Calculation!R95,"-",Calculation!S95,"-",Calculation!T95,"-",Calculation!U95))</f>
        <v/>
      </c>
      <c r="B89" s="224">
        <v>74</v>
      </c>
      <c r="C89" s="629" t="str">
        <f>IF(A89="","",Calculation!B95)</f>
        <v/>
      </c>
      <c r="D89" s="386" t="str">
        <f>IF(A89="","",Calculation!L95)</f>
        <v/>
      </c>
      <c r="E89" s="387" t="str">
        <f>IF(A89="","",Calculation!J95)</f>
        <v/>
      </c>
      <c r="F89" s="387" t="str">
        <f>IF(A89="","",Calculation!C95)</f>
        <v/>
      </c>
      <c r="G89" s="387" t="str">
        <f>IF(A89="","",LEFT(Calculation!O95,6))</f>
        <v/>
      </c>
      <c r="H89" s="388" t="str">
        <f>IF(A89="","",Calculation!DX95)</f>
        <v/>
      </c>
      <c r="I89" s="387" t="str">
        <f>IF(A89="","",Calculation!P95)</f>
        <v/>
      </c>
      <c r="J89" s="387" t="str">
        <f>IF(A89="","",HLOOKUP(LEFT(Calculation!BO95,7),LookUps!$C$38:$M$41,4))</f>
        <v/>
      </c>
      <c r="K89" s="387" t="str">
        <f>IF(A89="","",Calculation!M95)</f>
        <v/>
      </c>
      <c r="L89" s="387" t="str">
        <f>IF(A89="","",Calculation!S95)</f>
        <v/>
      </c>
      <c r="M89" s="389" t="str">
        <f>IF(A89="","",Calculation!N95)</f>
        <v/>
      </c>
      <c r="N89" s="390" t="str">
        <f>IF(A89="","",Calculation!R95)</f>
        <v/>
      </c>
      <c r="O89" s="391" t="str">
        <f>IF(A89="","",Calculation!$F$6)</f>
        <v/>
      </c>
      <c r="P89" s="392" t="str">
        <f>IF(A89="","",Calculation!$F$7)</f>
        <v/>
      </c>
      <c r="Q89" s="393" t="str">
        <f>IF(A89="","",Calculation!$F$13)</f>
        <v/>
      </c>
      <c r="R89" s="394" t="str">
        <f>IF(A89="","",Calculation!X95)</f>
        <v/>
      </c>
      <c r="S89" s="393" t="str">
        <f>IF(A89="","",Calculation!T95)</f>
        <v/>
      </c>
      <c r="T89" s="395" t="str">
        <f>IF(A89="","",IF(Calculation!$O$8="None","Water",CONCATENATE(Calculation!$O$8,"-",Calculation!$S$8,"%")))</f>
        <v/>
      </c>
      <c r="U89" s="393" t="str">
        <f>IF(A89="","",Calculation!$P$6)</f>
        <v/>
      </c>
      <c r="V89" s="393" t="str">
        <f>IF(A89="","",Calculation!AT95)</f>
        <v/>
      </c>
      <c r="W89" s="396" t="str">
        <f>IF(A89="","",Calculation!AP95)</f>
        <v/>
      </c>
      <c r="X89" s="396" t="str">
        <f>IF(A89="","",Calculation!AO95)</f>
        <v/>
      </c>
      <c r="Y89" s="396" t="str">
        <f>IF(A89="","",Calculation!AQ95)</f>
        <v/>
      </c>
      <c r="Z89" s="396" t="str">
        <f>IF(A89="","",Calculation!$H$6)</f>
        <v/>
      </c>
      <c r="AA89" s="397" t="str">
        <f>IF(A89="","",Calculation!$H$13)</f>
        <v/>
      </c>
      <c r="AB89" s="397" t="str">
        <f>IF(A89="","",Calculation!U95)</f>
        <v/>
      </c>
      <c r="AC89" s="398" t="str">
        <f>IF(A89="","",IF(Calculation!$O$9="None","Water",CONCATENATE(Calculation!$O$9,"-",Calculation!$S$9,"%")))</f>
        <v/>
      </c>
      <c r="AD89" s="396" t="str">
        <f>IF(A89="","",Calculation!$S$6)</f>
        <v/>
      </c>
      <c r="AE89" s="399" t="str">
        <f>IF(A89="","",Calculation!BA95)</f>
        <v/>
      </c>
      <c r="AF89" s="396" t="str">
        <f>IF(A89="","",Calculation!AX95)</f>
        <v/>
      </c>
      <c r="AG89" s="396" t="str">
        <f>IF(A89="","",Calculation!AW95)</f>
        <v/>
      </c>
      <c r="AH89" s="391" t="str">
        <f>IF(A89="","",Calculation!AY95)</f>
        <v/>
      </c>
      <c r="AI89" s="391" t="str">
        <f>IF(A89="","",Calculation!Y95)</f>
        <v/>
      </c>
      <c r="AJ89" s="401" t="str">
        <f>IF(Calculation!BD95&gt;0,Calculation!BD95," ")</f>
        <v xml:space="preserve"> </v>
      </c>
      <c r="AK89" s="401" t="str">
        <f>IF(Calculation!BD95&gt;0,Calculation!BE95," ")</f>
        <v xml:space="preserve"> </v>
      </c>
      <c r="AL89" s="401" t="str">
        <f>IF(Calculation!BD95&gt;0,Calculation!BF95," ")</f>
        <v xml:space="preserve"> </v>
      </c>
      <c r="AM89" s="401" t="str">
        <f>IF(Calculation!BD95&gt;0,Calculation!BG95," ")</f>
        <v xml:space="preserve"> </v>
      </c>
      <c r="AN89" s="391" t="str">
        <f>IF(Calculation!BH95="N/A","N/A",Calculation!BH95)</f>
        <v xml:space="preserve"> </v>
      </c>
      <c r="AO89" s="402" t="str">
        <f>IF(Calculation!BI95="N/A","N/A",Calculation!BI95)</f>
        <v/>
      </c>
      <c r="AP89" s="391" t="str">
        <f>IF(Calculation!BJ95="N/A","N/A",Calculation!BJ95)</f>
        <v/>
      </c>
      <c r="AQ89" s="402" t="str">
        <f>IF(Calculation!BK95="N/A","N/A",Calculation!BK95)</f>
        <v/>
      </c>
      <c r="AR89" s="391" t="str">
        <f>IF(Calculation!BL95="N/A","N/A",Calculation!BL95)</f>
        <v/>
      </c>
      <c r="AS89" s="402" t="str">
        <f>IF(Calculation!BM95="N/A","N/A",Calculation!BM95)</f>
        <v/>
      </c>
      <c r="AT89" s="400"/>
    </row>
    <row r="90" spans="1:46" ht="12.75" customHeight="1">
      <c r="A90" s="224" t="str">
        <f>IF(Calculation!BN96="","",CONCATENATE(Calculation!BO96,"-",Calculation!R96,"-",Calculation!S96,"-",Calculation!T96,"-",Calculation!U96))</f>
        <v/>
      </c>
      <c r="B90" s="224">
        <v>75</v>
      </c>
      <c r="C90" s="629" t="str">
        <f>IF(A90="","",Calculation!B96)</f>
        <v/>
      </c>
      <c r="D90" s="386" t="str">
        <f>IF(A90="","",Calculation!L96)</f>
        <v/>
      </c>
      <c r="E90" s="387" t="str">
        <f>IF(A90="","",Calculation!J96)</f>
        <v/>
      </c>
      <c r="F90" s="387" t="str">
        <f>IF(A90="","",Calculation!C96)</f>
        <v/>
      </c>
      <c r="G90" s="387" t="str">
        <f>IF(A90="","",LEFT(Calculation!O96,6))</f>
        <v/>
      </c>
      <c r="H90" s="388" t="str">
        <f>IF(A90="","",Calculation!DX96)</f>
        <v/>
      </c>
      <c r="I90" s="387" t="str">
        <f>IF(A90="","",Calculation!P96)</f>
        <v/>
      </c>
      <c r="J90" s="387" t="str">
        <f>IF(A90="","",HLOOKUP(LEFT(Calculation!BO96,7),LookUps!$C$38:$M$41,4))</f>
        <v/>
      </c>
      <c r="K90" s="387" t="str">
        <f>IF(A90="","",Calculation!M96)</f>
        <v/>
      </c>
      <c r="L90" s="387" t="str">
        <f>IF(A90="","",Calculation!S96)</f>
        <v/>
      </c>
      <c r="M90" s="389" t="str">
        <f>IF(A90="","",Calculation!N96)</f>
        <v/>
      </c>
      <c r="N90" s="390" t="str">
        <f>IF(A90="","",Calculation!R96)</f>
        <v/>
      </c>
      <c r="O90" s="391" t="str">
        <f>IF(A90="","",Calculation!$F$6)</f>
        <v/>
      </c>
      <c r="P90" s="392" t="str">
        <f>IF(A90="","",Calculation!$F$7)</f>
        <v/>
      </c>
      <c r="Q90" s="393" t="str">
        <f>IF(A90="","",Calculation!$F$13)</f>
        <v/>
      </c>
      <c r="R90" s="394" t="str">
        <f>IF(A90="","",Calculation!X96)</f>
        <v/>
      </c>
      <c r="S90" s="393" t="str">
        <f>IF(A90="","",Calculation!T96)</f>
        <v/>
      </c>
      <c r="T90" s="395" t="str">
        <f>IF(A90="","",IF(Calculation!$O$8="None","Water",CONCATENATE(Calculation!$O$8,"-",Calculation!$S$8,"%")))</f>
        <v/>
      </c>
      <c r="U90" s="393" t="str">
        <f>IF(A90="","",Calculation!$P$6)</f>
        <v/>
      </c>
      <c r="V90" s="393" t="str">
        <f>IF(A90="","",Calculation!AT96)</f>
        <v/>
      </c>
      <c r="W90" s="396" t="str">
        <f>IF(A90="","",Calculation!AP96)</f>
        <v/>
      </c>
      <c r="X90" s="396" t="str">
        <f>IF(A90="","",Calculation!AO96)</f>
        <v/>
      </c>
      <c r="Y90" s="396" t="str">
        <f>IF(A90="","",Calculation!AQ96)</f>
        <v/>
      </c>
      <c r="Z90" s="396" t="str">
        <f>IF(A90="","",Calculation!$H$6)</f>
        <v/>
      </c>
      <c r="AA90" s="397" t="str">
        <f>IF(A90="","",Calculation!$H$13)</f>
        <v/>
      </c>
      <c r="AB90" s="397" t="str">
        <f>IF(A90="","",Calculation!U96)</f>
        <v/>
      </c>
      <c r="AC90" s="398" t="str">
        <f>IF(A90="","",IF(Calculation!$O$9="None","Water",CONCATENATE(Calculation!$O$9,"-",Calculation!$S$9,"%")))</f>
        <v/>
      </c>
      <c r="AD90" s="396" t="str">
        <f>IF(A90="","",Calculation!$S$6)</f>
        <v/>
      </c>
      <c r="AE90" s="399" t="str">
        <f>IF(A90="","",Calculation!BA96)</f>
        <v/>
      </c>
      <c r="AF90" s="396" t="str">
        <f>IF(A90="","",Calculation!AX96)</f>
        <v/>
      </c>
      <c r="AG90" s="396" t="str">
        <f>IF(A90="","",Calculation!AW96)</f>
        <v/>
      </c>
      <c r="AH90" s="391" t="str">
        <f>IF(A90="","",Calculation!AY96)</f>
        <v/>
      </c>
      <c r="AI90" s="391" t="str">
        <f>IF(A90="","",Calculation!Y96)</f>
        <v/>
      </c>
      <c r="AJ90" s="401" t="str">
        <f>IF(Calculation!BD96&gt;0,Calculation!BD96," ")</f>
        <v xml:space="preserve"> </v>
      </c>
      <c r="AK90" s="401" t="str">
        <f>IF(Calculation!BD96&gt;0,Calculation!BE96," ")</f>
        <v xml:space="preserve"> </v>
      </c>
      <c r="AL90" s="401" t="str">
        <f>IF(Calculation!BD96&gt;0,Calculation!BF96," ")</f>
        <v xml:space="preserve"> </v>
      </c>
      <c r="AM90" s="401" t="str">
        <f>IF(Calculation!BD96&gt;0,Calculation!BG96," ")</f>
        <v xml:space="preserve"> </v>
      </c>
      <c r="AN90" s="391" t="str">
        <f>IF(Calculation!BH96="N/A","N/A",Calculation!BH96)</f>
        <v xml:space="preserve"> </v>
      </c>
      <c r="AO90" s="402" t="str">
        <f>IF(Calculation!BI96="N/A","N/A",Calculation!BI96)</f>
        <v/>
      </c>
      <c r="AP90" s="391" t="str">
        <f>IF(Calculation!BJ96="N/A","N/A",Calculation!BJ96)</f>
        <v/>
      </c>
      <c r="AQ90" s="402" t="str">
        <f>IF(Calculation!BK96="N/A","N/A",Calculation!BK96)</f>
        <v/>
      </c>
      <c r="AR90" s="391" t="str">
        <f>IF(Calculation!BL96="N/A","N/A",Calculation!BL96)</f>
        <v/>
      </c>
      <c r="AS90" s="402" t="str">
        <f>IF(Calculation!BM96="N/A","N/A",Calculation!BM96)</f>
        <v/>
      </c>
      <c r="AT90" s="400"/>
    </row>
    <row r="91" spans="1:46" ht="12.75" customHeight="1">
      <c r="A91" s="224" t="str">
        <f>IF(Calculation!BN97="","",CONCATENATE(Calculation!BO97,"-",Calculation!R97,"-",Calculation!S97,"-",Calculation!T97,"-",Calculation!U97))</f>
        <v/>
      </c>
      <c r="B91" s="224">
        <v>76</v>
      </c>
      <c r="C91" s="629" t="str">
        <f>IF(A91="","",Calculation!B97)</f>
        <v/>
      </c>
      <c r="D91" s="386" t="str">
        <f>IF(A91="","",Calculation!L97)</f>
        <v/>
      </c>
      <c r="E91" s="387" t="str">
        <f>IF(A91="","",Calculation!J97)</f>
        <v/>
      </c>
      <c r="F91" s="387" t="str">
        <f>IF(A91="","",Calculation!C97)</f>
        <v/>
      </c>
      <c r="G91" s="387" t="str">
        <f>IF(A91="","",LEFT(Calculation!O97,6))</f>
        <v/>
      </c>
      <c r="H91" s="388" t="str">
        <f>IF(A91="","",Calculation!DX97)</f>
        <v/>
      </c>
      <c r="I91" s="387" t="str">
        <f>IF(A91="","",Calculation!P97)</f>
        <v/>
      </c>
      <c r="J91" s="387" t="str">
        <f>IF(A91="","",HLOOKUP(LEFT(Calculation!BO97,7),LookUps!$C$38:$M$41,4))</f>
        <v/>
      </c>
      <c r="K91" s="387" t="str">
        <f>IF(A91="","",Calculation!M97)</f>
        <v/>
      </c>
      <c r="L91" s="387" t="str">
        <f>IF(A91="","",Calculation!S97)</f>
        <v/>
      </c>
      <c r="M91" s="389" t="str">
        <f>IF(A91="","",Calculation!N97)</f>
        <v/>
      </c>
      <c r="N91" s="390" t="str">
        <f>IF(A91="","",Calculation!R97)</f>
        <v/>
      </c>
      <c r="O91" s="391" t="str">
        <f>IF(A91="","",Calculation!$F$6)</f>
        <v/>
      </c>
      <c r="P91" s="392" t="str">
        <f>IF(A91="","",Calculation!$F$7)</f>
        <v/>
      </c>
      <c r="Q91" s="393" t="str">
        <f>IF(A91="","",Calculation!$F$13)</f>
        <v/>
      </c>
      <c r="R91" s="394" t="str">
        <f>IF(A91="","",Calculation!X97)</f>
        <v/>
      </c>
      <c r="S91" s="393" t="str">
        <f>IF(A91="","",Calculation!T97)</f>
        <v/>
      </c>
      <c r="T91" s="395" t="str">
        <f>IF(A91="","",IF(Calculation!$O$8="None","Water",CONCATENATE(Calculation!$O$8,"-",Calculation!$S$8,"%")))</f>
        <v/>
      </c>
      <c r="U91" s="393" t="str">
        <f>IF(A91="","",Calculation!$P$6)</f>
        <v/>
      </c>
      <c r="V91" s="393" t="str">
        <f>IF(A91="","",Calculation!AT97)</f>
        <v/>
      </c>
      <c r="W91" s="396" t="str">
        <f>IF(A91="","",Calculation!AP97)</f>
        <v/>
      </c>
      <c r="X91" s="396" t="str">
        <f>IF(A91="","",Calculation!AO97)</f>
        <v/>
      </c>
      <c r="Y91" s="396" t="str">
        <f>IF(A91="","",Calculation!AQ97)</f>
        <v/>
      </c>
      <c r="Z91" s="396" t="str">
        <f>IF(A91="","",Calculation!$H$6)</f>
        <v/>
      </c>
      <c r="AA91" s="397" t="str">
        <f>IF(A91="","",Calculation!$H$13)</f>
        <v/>
      </c>
      <c r="AB91" s="397" t="str">
        <f>IF(A91="","",Calculation!U97)</f>
        <v/>
      </c>
      <c r="AC91" s="398" t="str">
        <f>IF(A91="","",IF(Calculation!$O$9="None","Water",CONCATENATE(Calculation!$O$9,"-",Calculation!$S$9,"%")))</f>
        <v/>
      </c>
      <c r="AD91" s="396" t="str">
        <f>IF(A91="","",Calculation!$S$6)</f>
        <v/>
      </c>
      <c r="AE91" s="399" t="str">
        <f>IF(A91="","",Calculation!BA97)</f>
        <v/>
      </c>
      <c r="AF91" s="396" t="str">
        <f>IF(A91="","",Calculation!AX97)</f>
        <v/>
      </c>
      <c r="AG91" s="396" t="str">
        <f>IF(A91="","",Calculation!AW97)</f>
        <v/>
      </c>
      <c r="AH91" s="391" t="str">
        <f>IF(A91="","",Calculation!AY97)</f>
        <v/>
      </c>
      <c r="AI91" s="391" t="str">
        <f>IF(A91="","",Calculation!Y97)</f>
        <v/>
      </c>
      <c r="AJ91" s="401" t="str">
        <f>IF(Calculation!BD97&gt;0,Calculation!BD97," ")</f>
        <v xml:space="preserve"> </v>
      </c>
      <c r="AK91" s="401" t="str">
        <f>IF(Calculation!BD97&gt;0,Calculation!BE97," ")</f>
        <v xml:space="preserve"> </v>
      </c>
      <c r="AL91" s="401" t="str">
        <f>IF(Calculation!BD97&gt;0,Calculation!BF97," ")</f>
        <v xml:space="preserve"> </v>
      </c>
      <c r="AM91" s="401" t="str">
        <f>IF(Calculation!BD97&gt;0,Calculation!BG97," ")</f>
        <v xml:space="preserve"> </v>
      </c>
      <c r="AN91" s="391" t="str">
        <f>IF(Calculation!BH97="N/A","N/A",Calculation!BH97)</f>
        <v xml:space="preserve"> </v>
      </c>
      <c r="AO91" s="402" t="str">
        <f>IF(Calculation!BI97="N/A","N/A",Calculation!BI97)</f>
        <v/>
      </c>
      <c r="AP91" s="391" t="str">
        <f>IF(Calculation!BJ97="N/A","N/A",Calculation!BJ97)</f>
        <v/>
      </c>
      <c r="AQ91" s="402" t="str">
        <f>IF(Calculation!BK97="N/A","N/A",Calculation!BK97)</f>
        <v/>
      </c>
      <c r="AR91" s="391" t="str">
        <f>IF(Calculation!BL97="N/A","N/A",Calculation!BL97)</f>
        <v/>
      </c>
      <c r="AS91" s="402" t="str">
        <f>IF(Calculation!BM97="N/A","N/A",Calculation!BM97)</f>
        <v/>
      </c>
      <c r="AT91" s="400"/>
    </row>
    <row r="92" spans="1:46" ht="12.75" customHeight="1">
      <c r="A92" s="224" t="str">
        <f>IF(Calculation!BN98="","",CONCATENATE(Calculation!BO98,"-",Calculation!R98,"-",Calculation!S98,"-",Calculation!T98,"-",Calculation!U98))</f>
        <v/>
      </c>
      <c r="B92" s="224">
        <v>77</v>
      </c>
      <c r="C92" s="629" t="str">
        <f>IF(A92="","",Calculation!B98)</f>
        <v/>
      </c>
      <c r="D92" s="386" t="str">
        <f>IF(A92="","",Calculation!L98)</f>
        <v/>
      </c>
      <c r="E92" s="387" t="str">
        <f>IF(A92="","",Calculation!J98)</f>
        <v/>
      </c>
      <c r="F92" s="387" t="str">
        <f>IF(A92="","",Calculation!C98)</f>
        <v/>
      </c>
      <c r="G92" s="387" t="str">
        <f>IF(A92="","",LEFT(Calculation!O98,6))</f>
        <v/>
      </c>
      <c r="H92" s="388" t="str">
        <f>IF(A92="","",Calculation!DX98)</f>
        <v/>
      </c>
      <c r="I92" s="387" t="str">
        <f>IF(A92="","",Calculation!P98)</f>
        <v/>
      </c>
      <c r="J92" s="387" t="str">
        <f>IF(A92="","",HLOOKUP(LEFT(Calculation!BO98,7),LookUps!$C$38:$M$41,4))</f>
        <v/>
      </c>
      <c r="K92" s="387" t="str">
        <f>IF(A92="","",Calculation!M98)</f>
        <v/>
      </c>
      <c r="L92" s="387" t="str">
        <f>IF(A92="","",Calculation!S98)</f>
        <v/>
      </c>
      <c r="M92" s="389" t="str">
        <f>IF(A92="","",Calculation!N98)</f>
        <v/>
      </c>
      <c r="N92" s="390" t="str">
        <f>IF(A92="","",Calculation!R98)</f>
        <v/>
      </c>
      <c r="O92" s="391" t="str">
        <f>IF(A92="","",Calculation!$F$6)</f>
        <v/>
      </c>
      <c r="P92" s="392" t="str">
        <f>IF(A92="","",Calculation!$F$7)</f>
        <v/>
      </c>
      <c r="Q92" s="393" t="str">
        <f>IF(A92="","",Calculation!$F$13)</f>
        <v/>
      </c>
      <c r="R92" s="394" t="str">
        <f>IF(A92="","",Calculation!X98)</f>
        <v/>
      </c>
      <c r="S92" s="393" t="str">
        <f>IF(A92="","",Calculation!T98)</f>
        <v/>
      </c>
      <c r="T92" s="395" t="str">
        <f>IF(A92="","",IF(Calculation!$O$8="None","Water",CONCATENATE(Calculation!$O$8,"-",Calculation!$S$8,"%")))</f>
        <v/>
      </c>
      <c r="U92" s="393" t="str">
        <f>IF(A92="","",Calculation!$P$6)</f>
        <v/>
      </c>
      <c r="V92" s="393" t="str">
        <f>IF(A92="","",Calculation!AT98)</f>
        <v/>
      </c>
      <c r="W92" s="396" t="str">
        <f>IF(A92="","",Calculation!AP98)</f>
        <v/>
      </c>
      <c r="X92" s="396" t="str">
        <f>IF(A92="","",Calculation!AO98)</f>
        <v/>
      </c>
      <c r="Y92" s="396" t="str">
        <f>IF(A92="","",Calculation!AQ98)</f>
        <v/>
      </c>
      <c r="Z92" s="396" t="str">
        <f>IF(A92="","",Calculation!$H$6)</f>
        <v/>
      </c>
      <c r="AA92" s="397" t="str">
        <f>IF(A92="","",Calculation!$H$13)</f>
        <v/>
      </c>
      <c r="AB92" s="397" t="str">
        <f>IF(A92="","",Calculation!U98)</f>
        <v/>
      </c>
      <c r="AC92" s="398" t="str">
        <f>IF(A92="","",IF(Calculation!$O$9="None","Water",CONCATENATE(Calculation!$O$9,"-",Calculation!$S$9,"%")))</f>
        <v/>
      </c>
      <c r="AD92" s="396" t="str">
        <f>IF(A92="","",Calculation!$S$6)</f>
        <v/>
      </c>
      <c r="AE92" s="399" t="str">
        <f>IF(A92="","",Calculation!BA98)</f>
        <v/>
      </c>
      <c r="AF92" s="396" t="str">
        <f>IF(A92="","",Calculation!AX98)</f>
        <v/>
      </c>
      <c r="AG92" s="396" t="str">
        <f>IF(A92="","",Calculation!AW98)</f>
        <v/>
      </c>
      <c r="AH92" s="391" t="str">
        <f>IF(A92="","",Calculation!AY98)</f>
        <v/>
      </c>
      <c r="AI92" s="391" t="str">
        <f>IF(A92="","",Calculation!Y98)</f>
        <v/>
      </c>
      <c r="AJ92" s="401" t="str">
        <f>IF(Calculation!BD98&gt;0,Calculation!BD98," ")</f>
        <v xml:space="preserve"> </v>
      </c>
      <c r="AK92" s="401" t="str">
        <f>IF(Calculation!BD98&gt;0,Calculation!BE98," ")</f>
        <v xml:space="preserve"> </v>
      </c>
      <c r="AL92" s="401" t="str">
        <f>IF(Calculation!BD98&gt;0,Calculation!BF98," ")</f>
        <v xml:space="preserve"> </v>
      </c>
      <c r="AM92" s="401" t="str">
        <f>IF(Calculation!BD98&gt;0,Calculation!BG98," ")</f>
        <v xml:space="preserve"> </v>
      </c>
      <c r="AN92" s="391" t="str">
        <f>IF(Calculation!BH98="N/A","N/A",Calculation!BH98)</f>
        <v xml:space="preserve"> </v>
      </c>
      <c r="AO92" s="402" t="str">
        <f>IF(Calculation!BI98="N/A","N/A",Calculation!BI98)</f>
        <v/>
      </c>
      <c r="AP92" s="391" t="str">
        <f>IF(Calculation!BJ98="N/A","N/A",Calculation!BJ98)</f>
        <v/>
      </c>
      <c r="AQ92" s="402" t="str">
        <f>IF(Calculation!BK98="N/A","N/A",Calculation!BK98)</f>
        <v/>
      </c>
      <c r="AR92" s="391" t="str">
        <f>IF(Calculation!BL98="N/A","N/A",Calculation!BL98)</f>
        <v/>
      </c>
      <c r="AS92" s="402" t="str">
        <f>IF(Calculation!BM98="N/A","N/A",Calculation!BM98)</f>
        <v/>
      </c>
      <c r="AT92" s="400"/>
    </row>
    <row r="93" spans="1:46" ht="12.75" customHeight="1">
      <c r="A93" s="224" t="str">
        <f>IF(Calculation!BN99="","",CONCATENATE(Calculation!BO99,"-",Calculation!R99,"-",Calculation!S99,"-",Calculation!T99,"-",Calculation!U99))</f>
        <v/>
      </c>
      <c r="B93" s="224">
        <v>78</v>
      </c>
      <c r="C93" s="629" t="str">
        <f>IF(A93="","",Calculation!B99)</f>
        <v/>
      </c>
      <c r="D93" s="386" t="str">
        <f>IF(A93="","",Calculation!L99)</f>
        <v/>
      </c>
      <c r="E93" s="387" t="str">
        <f>IF(A93="","",Calculation!J99)</f>
        <v/>
      </c>
      <c r="F93" s="387" t="str">
        <f>IF(A93="","",Calculation!C99)</f>
        <v/>
      </c>
      <c r="G93" s="387" t="str">
        <f>IF(A93="","",LEFT(Calculation!O99,6))</f>
        <v/>
      </c>
      <c r="H93" s="388" t="str">
        <f>IF(A93="","",Calculation!DX99)</f>
        <v/>
      </c>
      <c r="I93" s="387" t="str">
        <f>IF(A93="","",Calculation!P99)</f>
        <v/>
      </c>
      <c r="J93" s="387" t="str">
        <f>IF(A93="","",HLOOKUP(LEFT(Calculation!BO99,7),LookUps!$C$38:$M$41,4))</f>
        <v/>
      </c>
      <c r="K93" s="387" t="str">
        <f>IF(A93="","",Calculation!M99)</f>
        <v/>
      </c>
      <c r="L93" s="387" t="str">
        <f>IF(A93="","",Calculation!S99)</f>
        <v/>
      </c>
      <c r="M93" s="389" t="str">
        <f>IF(A93="","",Calculation!N99)</f>
        <v/>
      </c>
      <c r="N93" s="390" t="str">
        <f>IF(A93="","",Calculation!R99)</f>
        <v/>
      </c>
      <c r="O93" s="391" t="str">
        <f>IF(A93="","",Calculation!$F$6)</f>
        <v/>
      </c>
      <c r="P93" s="392" t="str">
        <f>IF(A93="","",Calculation!$F$7)</f>
        <v/>
      </c>
      <c r="Q93" s="393" t="str">
        <f>IF(A93="","",Calculation!$F$13)</f>
        <v/>
      </c>
      <c r="R93" s="394" t="str">
        <f>IF(A93="","",Calculation!X99)</f>
        <v/>
      </c>
      <c r="S93" s="393" t="str">
        <f>IF(A93="","",Calculation!T99)</f>
        <v/>
      </c>
      <c r="T93" s="395" t="str">
        <f>IF(A93="","",IF(Calculation!$O$8="None","Water",CONCATENATE(Calculation!$O$8,"-",Calculation!$S$8,"%")))</f>
        <v/>
      </c>
      <c r="U93" s="393" t="str">
        <f>IF(A93="","",Calculation!$P$6)</f>
        <v/>
      </c>
      <c r="V93" s="393" t="str">
        <f>IF(A93="","",Calculation!AT99)</f>
        <v/>
      </c>
      <c r="W93" s="396" t="str">
        <f>IF(A93="","",Calculation!AP99)</f>
        <v/>
      </c>
      <c r="X93" s="396" t="str">
        <f>IF(A93="","",Calculation!AO99)</f>
        <v/>
      </c>
      <c r="Y93" s="396" t="str">
        <f>IF(A93="","",Calculation!AQ99)</f>
        <v/>
      </c>
      <c r="Z93" s="396" t="str">
        <f>IF(A93="","",Calculation!$H$6)</f>
        <v/>
      </c>
      <c r="AA93" s="397" t="str">
        <f>IF(A93="","",Calculation!$H$13)</f>
        <v/>
      </c>
      <c r="AB93" s="397" t="str">
        <f>IF(A93="","",Calculation!U99)</f>
        <v/>
      </c>
      <c r="AC93" s="398" t="str">
        <f>IF(A93="","",IF(Calculation!$O$9="None","Water",CONCATENATE(Calculation!$O$9,"-",Calculation!$S$9,"%")))</f>
        <v/>
      </c>
      <c r="AD93" s="396" t="str">
        <f>IF(A93="","",Calculation!$S$6)</f>
        <v/>
      </c>
      <c r="AE93" s="399" t="str">
        <f>IF(A93="","",Calculation!BA99)</f>
        <v/>
      </c>
      <c r="AF93" s="396" t="str">
        <f>IF(A93="","",Calculation!AX99)</f>
        <v/>
      </c>
      <c r="AG93" s="396" t="str">
        <f>IF(A93="","",Calculation!AW99)</f>
        <v/>
      </c>
      <c r="AH93" s="391" t="str">
        <f>IF(A93="","",Calculation!AY99)</f>
        <v/>
      </c>
      <c r="AI93" s="391" t="str">
        <f>IF(A93="","",Calculation!Y99)</f>
        <v/>
      </c>
      <c r="AJ93" s="401" t="str">
        <f>IF(Calculation!BD99&gt;0,Calculation!BD99," ")</f>
        <v xml:space="preserve"> </v>
      </c>
      <c r="AK93" s="401" t="str">
        <f>IF(Calculation!BD99&gt;0,Calculation!BE99," ")</f>
        <v xml:space="preserve"> </v>
      </c>
      <c r="AL93" s="401" t="str">
        <f>IF(Calculation!BD99&gt;0,Calculation!BF99," ")</f>
        <v xml:space="preserve"> </v>
      </c>
      <c r="AM93" s="401" t="str">
        <f>IF(Calculation!BD99&gt;0,Calculation!BG99," ")</f>
        <v xml:space="preserve"> </v>
      </c>
      <c r="AN93" s="391" t="str">
        <f>IF(Calculation!BH99="N/A","N/A",Calculation!BH99)</f>
        <v xml:space="preserve"> </v>
      </c>
      <c r="AO93" s="402" t="str">
        <f>IF(Calculation!BI99="N/A","N/A",Calculation!BI99)</f>
        <v/>
      </c>
      <c r="AP93" s="391" t="str">
        <f>IF(Calculation!BJ99="N/A","N/A",Calculation!BJ99)</f>
        <v/>
      </c>
      <c r="AQ93" s="402" t="str">
        <f>IF(Calculation!BK99="N/A","N/A",Calculation!BK99)</f>
        <v/>
      </c>
      <c r="AR93" s="391" t="str">
        <f>IF(Calculation!BL99="N/A","N/A",Calculation!BL99)</f>
        <v/>
      </c>
      <c r="AS93" s="402" t="str">
        <f>IF(Calculation!BM99="N/A","N/A",Calculation!BM99)</f>
        <v/>
      </c>
      <c r="AT93" s="400"/>
    </row>
    <row r="94" spans="1:46" ht="12.75" customHeight="1">
      <c r="A94" s="224" t="str">
        <f>IF(Calculation!BN100="","",CONCATENATE(Calculation!BO100,"-",Calculation!R100,"-",Calculation!S100,"-",Calculation!T100,"-",Calculation!U100))</f>
        <v/>
      </c>
      <c r="B94" s="224">
        <v>79</v>
      </c>
      <c r="C94" s="629" t="str">
        <f>IF(A94="","",Calculation!B100)</f>
        <v/>
      </c>
      <c r="D94" s="386" t="str">
        <f>IF(A94="","",Calculation!L100)</f>
        <v/>
      </c>
      <c r="E94" s="387" t="str">
        <f>IF(A94="","",Calculation!J100)</f>
        <v/>
      </c>
      <c r="F94" s="387" t="str">
        <f>IF(A94="","",Calculation!C100)</f>
        <v/>
      </c>
      <c r="G94" s="387" t="str">
        <f>IF(A94="","",LEFT(Calculation!O100,6))</f>
        <v/>
      </c>
      <c r="H94" s="388" t="str">
        <f>IF(A94="","",Calculation!DX100)</f>
        <v/>
      </c>
      <c r="I94" s="387" t="str">
        <f>IF(A94="","",Calculation!P100)</f>
        <v/>
      </c>
      <c r="J94" s="387" t="str">
        <f>IF(A94="","",HLOOKUP(LEFT(Calculation!BO100,7),LookUps!$C$38:$M$41,4))</f>
        <v/>
      </c>
      <c r="K94" s="387" t="str">
        <f>IF(A94="","",Calculation!M100)</f>
        <v/>
      </c>
      <c r="L94" s="387" t="str">
        <f>IF(A94="","",Calculation!S100)</f>
        <v/>
      </c>
      <c r="M94" s="389" t="str">
        <f>IF(A94="","",Calculation!N100)</f>
        <v/>
      </c>
      <c r="N94" s="390" t="str">
        <f>IF(A94="","",Calculation!R100)</f>
        <v/>
      </c>
      <c r="O94" s="391" t="str">
        <f>IF(A94="","",Calculation!$F$6)</f>
        <v/>
      </c>
      <c r="P94" s="392" t="str">
        <f>IF(A94="","",Calculation!$F$7)</f>
        <v/>
      </c>
      <c r="Q94" s="393" t="str">
        <f>IF(A94="","",Calculation!$F$13)</f>
        <v/>
      </c>
      <c r="R94" s="394" t="str">
        <f>IF(A94="","",Calculation!X100)</f>
        <v/>
      </c>
      <c r="S94" s="393" t="str">
        <f>IF(A94="","",Calculation!T100)</f>
        <v/>
      </c>
      <c r="T94" s="395" t="str">
        <f>IF(A94="","",IF(Calculation!$O$8="None","Water",CONCATENATE(Calculation!$O$8,"-",Calculation!$S$8,"%")))</f>
        <v/>
      </c>
      <c r="U94" s="393" t="str">
        <f>IF(A94="","",Calculation!$P$6)</f>
        <v/>
      </c>
      <c r="V94" s="393" t="str">
        <f>IF(A94="","",Calculation!AT100)</f>
        <v/>
      </c>
      <c r="W94" s="396" t="str">
        <f>IF(A94="","",Calculation!AP100)</f>
        <v/>
      </c>
      <c r="X94" s="396" t="str">
        <f>IF(A94="","",Calculation!AO100)</f>
        <v/>
      </c>
      <c r="Y94" s="396" t="str">
        <f>IF(A94="","",Calculation!AQ100)</f>
        <v/>
      </c>
      <c r="Z94" s="396" t="str">
        <f>IF(A94="","",Calculation!$H$6)</f>
        <v/>
      </c>
      <c r="AA94" s="397" t="str">
        <f>IF(A94="","",Calculation!$H$13)</f>
        <v/>
      </c>
      <c r="AB94" s="397" t="str">
        <f>IF(A94="","",Calculation!U100)</f>
        <v/>
      </c>
      <c r="AC94" s="398" t="str">
        <f>IF(A94="","",IF(Calculation!$O$9="None","Water",CONCATENATE(Calculation!$O$9,"-",Calculation!$S$9,"%")))</f>
        <v/>
      </c>
      <c r="AD94" s="396" t="str">
        <f>IF(A94="","",Calculation!$S$6)</f>
        <v/>
      </c>
      <c r="AE94" s="399" t="str">
        <f>IF(A94="","",Calculation!BA100)</f>
        <v/>
      </c>
      <c r="AF94" s="396" t="str">
        <f>IF(A94="","",Calculation!AX100)</f>
        <v/>
      </c>
      <c r="AG94" s="396" t="str">
        <f>IF(A94="","",Calculation!AW100)</f>
        <v/>
      </c>
      <c r="AH94" s="391" t="str">
        <f>IF(A94="","",Calculation!AY100)</f>
        <v/>
      </c>
      <c r="AI94" s="391" t="str">
        <f>IF(A94="","",Calculation!Y100)</f>
        <v/>
      </c>
      <c r="AJ94" s="401" t="str">
        <f>IF(Calculation!BD100&gt;0,Calculation!BD100," ")</f>
        <v xml:space="preserve"> </v>
      </c>
      <c r="AK94" s="401" t="str">
        <f>IF(Calculation!BD100&gt;0,Calculation!BE100," ")</f>
        <v xml:space="preserve"> </v>
      </c>
      <c r="AL94" s="401" t="str">
        <f>IF(Calculation!BD100&gt;0,Calculation!BF100," ")</f>
        <v xml:space="preserve"> </v>
      </c>
      <c r="AM94" s="401" t="str">
        <f>IF(Calculation!BD100&gt;0,Calculation!BG100," ")</f>
        <v xml:space="preserve"> </v>
      </c>
      <c r="AN94" s="391" t="str">
        <f>IF(Calculation!BH100="N/A","N/A",Calculation!BH100)</f>
        <v xml:space="preserve"> </v>
      </c>
      <c r="AO94" s="402" t="str">
        <f>IF(Calculation!BI100="N/A","N/A",Calculation!BI100)</f>
        <v/>
      </c>
      <c r="AP94" s="391" t="str">
        <f>IF(Calculation!BJ100="N/A","N/A",Calculation!BJ100)</f>
        <v/>
      </c>
      <c r="AQ94" s="402" t="str">
        <f>IF(Calculation!BK100="N/A","N/A",Calculation!BK100)</f>
        <v/>
      </c>
      <c r="AR94" s="391" t="str">
        <f>IF(Calculation!BL100="N/A","N/A",Calculation!BL100)</f>
        <v/>
      </c>
      <c r="AS94" s="402" t="str">
        <f>IF(Calculation!BM100="N/A","N/A",Calculation!BM100)</f>
        <v/>
      </c>
      <c r="AT94" s="400"/>
    </row>
    <row r="95" spans="1:46" ht="12.75" customHeight="1">
      <c r="A95" s="224" t="str">
        <f>IF(Calculation!BN101="","",CONCATENATE(Calculation!BO101,"-",Calculation!R101,"-",Calculation!S101,"-",Calculation!T101,"-",Calculation!U101))</f>
        <v/>
      </c>
      <c r="B95" s="224">
        <v>80</v>
      </c>
      <c r="C95" s="629" t="str">
        <f>IF(A95="","",Calculation!B101)</f>
        <v/>
      </c>
      <c r="D95" s="386" t="str">
        <f>IF(A95="","",Calculation!L101)</f>
        <v/>
      </c>
      <c r="E95" s="387" t="str">
        <f>IF(A95="","",Calculation!J101)</f>
        <v/>
      </c>
      <c r="F95" s="387" t="str">
        <f>IF(A95="","",Calculation!C101)</f>
        <v/>
      </c>
      <c r="G95" s="387" t="str">
        <f>IF(A95="","",LEFT(Calculation!O101,6))</f>
        <v/>
      </c>
      <c r="H95" s="388" t="str">
        <f>IF(A95="","",Calculation!DX101)</f>
        <v/>
      </c>
      <c r="I95" s="387" t="str">
        <f>IF(A95="","",Calculation!P101)</f>
        <v/>
      </c>
      <c r="J95" s="387" t="str">
        <f>IF(A95="","",HLOOKUP(LEFT(Calculation!BO101,7),LookUps!$C$38:$M$41,4))</f>
        <v/>
      </c>
      <c r="K95" s="387" t="str">
        <f>IF(A95="","",Calculation!M101)</f>
        <v/>
      </c>
      <c r="L95" s="387" t="str">
        <f>IF(A95="","",Calculation!S101)</f>
        <v/>
      </c>
      <c r="M95" s="389" t="str">
        <f>IF(A95="","",Calculation!N101)</f>
        <v/>
      </c>
      <c r="N95" s="390" t="str">
        <f>IF(A95="","",Calculation!R101)</f>
        <v/>
      </c>
      <c r="O95" s="391" t="str">
        <f>IF(A95="","",Calculation!$F$6)</f>
        <v/>
      </c>
      <c r="P95" s="392" t="str">
        <f>IF(A95="","",Calculation!$F$7)</f>
        <v/>
      </c>
      <c r="Q95" s="393" t="str">
        <f>IF(A95="","",Calculation!$F$13)</f>
        <v/>
      </c>
      <c r="R95" s="394" t="str">
        <f>IF(A95="","",Calculation!X101)</f>
        <v/>
      </c>
      <c r="S95" s="393" t="str">
        <f>IF(A95="","",Calculation!T101)</f>
        <v/>
      </c>
      <c r="T95" s="395" t="str">
        <f>IF(A95="","",IF(Calculation!$O$8="None","Water",CONCATENATE(Calculation!$O$8,"-",Calculation!$S$8,"%")))</f>
        <v/>
      </c>
      <c r="U95" s="393" t="str">
        <f>IF(A95="","",Calculation!$P$6)</f>
        <v/>
      </c>
      <c r="V95" s="393" t="str">
        <f>IF(A95="","",Calculation!AT101)</f>
        <v/>
      </c>
      <c r="W95" s="396" t="str">
        <f>IF(A95="","",Calculation!AP101)</f>
        <v/>
      </c>
      <c r="X95" s="396" t="str">
        <f>IF(A95="","",Calculation!AO101)</f>
        <v/>
      </c>
      <c r="Y95" s="396" t="str">
        <f>IF(A95="","",Calculation!AQ101)</f>
        <v/>
      </c>
      <c r="Z95" s="396" t="str">
        <f>IF(A95="","",Calculation!$H$6)</f>
        <v/>
      </c>
      <c r="AA95" s="397" t="str">
        <f>IF(A95="","",Calculation!$H$13)</f>
        <v/>
      </c>
      <c r="AB95" s="397" t="str">
        <f>IF(A95="","",Calculation!U101)</f>
        <v/>
      </c>
      <c r="AC95" s="398" t="str">
        <f>IF(A95="","",IF(Calculation!$O$9="None","Water",CONCATENATE(Calculation!$O$9,"-",Calculation!$S$9,"%")))</f>
        <v/>
      </c>
      <c r="AD95" s="396" t="str">
        <f>IF(A95="","",Calculation!$S$6)</f>
        <v/>
      </c>
      <c r="AE95" s="399" t="str">
        <f>IF(A95="","",Calculation!BA101)</f>
        <v/>
      </c>
      <c r="AF95" s="396" t="str">
        <f>IF(A95="","",Calculation!AX101)</f>
        <v/>
      </c>
      <c r="AG95" s="396" t="str">
        <f>IF(A95="","",Calculation!AW101)</f>
        <v/>
      </c>
      <c r="AH95" s="391" t="str">
        <f>IF(A95="","",Calculation!AY101)</f>
        <v/>
      </c>
      <c r="AI95" s="391" t="str">
        <f>IF(A95="","",Calculation!Y101)</f>
        <v/>
      </c>
      <c r="AJ95" s="401" t="str">
        <f>IF(Calculation!BD101&gt;0,Calculation!BD101," ")</f>
        <v xml:space="preserve"> </v>
      </c>
      <c r="AK95" s="401" t="str">
        <f>IF(Calculation!BD101&gt;0,Calculation!BE101," ")</f>
        <v xml:space="preserve"> </v>
      </c>
      <c r="AL95" s="401" t="str">
        <f>IF(Calculation!BD101&gt;0,Calculation!BF101," ")</f>
        <v xml:space="preserve"> </v>
      </c>
      <c r="AM95" s="401" t="str">
        <f>IF(Calculation!BD101&gt;0,Calculation!BG101," ")</f>
        <v xml:space="preserve"> </v>
      </c>
      <c r="AN95" s="391" t="str">
        <f>IF(Calculation!BH101="N/A","N/A",Calculation!BH101)</f>
        <v xml:space="preserve"> </v>
      </c>
      <c r="AO95" s="402" t="str">
        <f>IF(Calculation!BI101="N/A","N/A",Calculation!BI101)</f>
        <v/>
      </c>
      <c r="AP95" s="391" t="str">
        <f>IF(Calculation!BJ101="N/A","N/A",Calculation!BJ101)</f>
        <v/>
      </c>
      <c r="AQ95" s="402" t="str">
        <f>IF(Calculation!BK101="N/A","N/A",Calculation!BK101)</f>
        <v/>
      </c>
      <c r="AR95" s="391" t="str">
        <f>IF(Calculation!BL101="N/A","N/A",Calculation!BL101)</f>
        <v/>
      </c>
      <c r="AS95" s="402" t="str">
        <f>IF(Calculation!BM101="N/A","N/A",Calculation!BM101)</f>
        <v/>
      </c>
      <c r="AT95" s="400"/>
    </row>
    <row r="96" spans="1:46" ht="12.75" customHeight="1">
      <c r="A96" s="224" t="str">
        <f>IF(Calculation!BN102="","",CONCATENATE(Calculation!BO102,"-",Calculation!R102,"-",Calculation!S102,"-",Calculation!T102,"-",Calculation!U102))</f>
        <v/>
      </c>
      <c r="B96" s="224">
        <v>81</v>
      </c>
      <c r="C96" s="629" t="str">
        <f>IF(A96="","",Calculation!B102)</f>
        <v/>
      </c>
      <c r="D96" s="386" t="str">
        <f>IF(A96="","",Calculation!L102)</f>
        <v/>
      </c>
      <c r="E96" s="387" t="str">
        <f>IF(A96="","",Calculation!J102)</f>
        <v/>
      </c>
      <c r="F96" s="387" t="str">
        <f>IF(A96="","",Calculation!C102)</f>
        <v/>
      </c>
      <c r="G96" s="387" t="str">
        <f>IF(A96="","",LEFT(Calculation!O102,6))</f>
        <v/>
      </c>
      <c r="H96" s="388" t="str">
        <f>IF(A96="","",Calculation!DX102)</f>
        <v/>
      </c>
      <c r="I96" s="387" t="str">
        <f>IF(A96="","",Calculation!P102)</f>
        <v/>
      </c>
      <c r="J96" s="387" t="str">
        <f>IF(A96="","",HLOOKUP(LEFT(Calculation!BO102,7),LookUps!$C$38:$M$41,4))</f>
        <v/>
      </c>
      <c r="K96" s="387" t="str">
        <f>IF(A96="","",Calculation!M102)</f>
        <v/>
      </c>
      <c r="L96" s="387" t="str">
        <f>IF(A96="","",Calculation!S102)</f>
        <v/>
      </c>
      <c r="M96" s="389" t="str">
        <f>IF(A96="","",Calculation!N102)</f>
        <v/>
      </c>
      <c r="N96" s="390" t="str">
        <f>IF(A96="","",Calculation!R102)</f>
        <v/>
      </c>
      <c r="O96" s="391" t="str">
        <f>IF(A96="","",Calculation!$F$6)</f>
        <v/>
      </c>
      <c r="P96" s="392" t="str">
        <f>IF(A96="","",Calculation!$F$7)</f>
        <v/>
      </c>
      <c r="Q96" s="393" t="str">
        <f>IF(A96="","",Calculation!$F$13)</f>
        <v/>
      </c>
      <c r="R96" s="394" t="str">
        <f>IF(A96="","",Calculation!X102)</f>
        <v/>
      </c>
      <c r="S96" s="393" t="str">
        <f>IF(A96="","",Calculation!T102)</f>
        <v/>
      </c>
      <c r="T96" s="395" t="str">
        <f>IF(A96="","",IF(Calculation!$O$8="None","Water",CONCATENATE(Calculation!$O$8,"-",Calculation!$S$8,"%")))</f>
        <v/>
      </c>
      <c r="U96" s="393" t="str">
        <f>IF(A96="","",Calculation!$P$6)</f>
        <v/>
      </c>
      <c r="V96" s="393" t="str">
        <f>IF(A96="","",Calculation!AT102)</f>
        <v/>
      </c>
      <c r="W96" s="396" t="str">
        <f>IF(A96="","",Calculation!AP102)</f>
        <v/>
      </c>
      <c r="X96" s="396" t="str">
        <f>IF(A96="","",Calculation!AO102)</f>
        <v/>
      </c>
      <c r="Y96" s="396" t="str">
        <f>IF(A96="","",Calculation!AQ102)</f>
        <v/>
      </c>
      <c r="Z96" s="396" t="str">
        <f>IF(A96="","",Calculation!$H$6)</f>
        <v/>
      </c>
      <c r="AA96" s="397" t="str">
        <f>IF(A96="","",Calculation!$H$13)</f>
        <v/>
      </c>
      <c r="AB96" s="397" t="str">
        <f>IF(A96="","",Calculation!U102)</f>
        <v/>
      </c>
      <c r="AC96" s="398" t="str">
        <f>IF(A96="","",IF(Calculation!$O$9="None","Water",CONCATENATE(Calculation!$O$9,"-",Calculation!$S$9,"%")))</f>
        <v/>
      </c>
      <c r="AD96" s="396" t="str">
        <f>IF(A96="","",Calculation!$S$6)</f>
        <v/>
      </c>
      <c r="AE96" s="399" t="str">
        <f>IF(A96="","",Calculation!BA102)</f>
        <v/>
      </c>
      <c r="AF96" s="396" t="str">
        <f>IF(A96="","",Calculation!AX102)</f>
        <v/>
      </c>
      <c r="AG96" s="396" t="str">
        <f>IF(A96="","",Calculation!AW102)</f>
        <v/>
      </c>
      <c r="AH96" s="391" t="str">
        <f>IF(A96="","",Calculation!AY102)</f>
        <v/>
      </c>
      <c r="AI96" s="391" t="str">
        <f>IF(A96="","",Calculation!Y102)</f>
        <v/>
      </c>
      <c r="AJ96" s="401" t="str">
        <f>IF(Calculation!BD102&gt;0,Calculation!BD102," ")</f>
        <v xml:space="preserve"> </v>
      </c>
      <c r="AK96" s="401" t="str">
        <f>IF(Calculation!BD102&gt;0,Calculation!BE102," ")</f>
        <v xml:space="preserve"> </v>
      </c>
      <c r="AL96" s="401" t="str">
        <f>IF(Calculation!BD102&gt;0,Calculation!BF102," ")</f>
        <v xml:space="preserve"> </v>
      </c>
      <c r="AM96" s="401" t="str">
        <f>IF(Calculation!BD102&gt;0,Calculation!BG102," ")</f>
        <v xml:space="preserve"> </v>
      </c>
      <c r="AN96" s="391" t="str">
        <f>IF(Calculation!BH102="N/A","N/A",Calculation!BH102)</f>
        <v xml:space="preserve"> </v>
      </c>
      <c r="AO96" s="402" t="str">
        <f>IF(Calculation!BI102="N/A","N/A",Calculation!BI102)</f>
        <v/>
      </c>
      <c r="AP96" s="391" t="str">
        <f>IF(Calculation!BJ102="N/A","N/A",Calculation!BJ102)</f>
        <v/>
      </c>
      <c r="AQ96" s="402" t="str">
        <f>IF(Calculation!BK102="N/A","N/A",Calculation!BK102)</f>
        <v/>
      </c>
      <c r="AR96" s="391" t="str">
        <f>IF(Calculation!BL102="N/A","N/A",Calculation!BL102)</f>
        <v/>
      </c>
      <c r="AS96" s="402" t="str">
        <f>IF(Calculation!BM102="N/A","N/A",Calculation!BM102)</f>
        <v/>
      </c>
      <c r="AT96" s="400"/>
    </row>
    <row r="97" spans="1:46" ht="12.75" customHeight="1">
      <c r="A97" s="224" t="str">
        <f>IF(Calculation!BN103="","",CONCATENATE(Calculation!BO103,"-",Calculation!R103,"-",Calculation!S103,"-",Calculation!T103,"-",Calculation!U103))</f>
        <v/>
      </c>
      <c r="B97" s="224">
        <v>82</v>
      </c>
      <c r="C97" s="629" t="str">
        <f>IF(A97="","",Calculation!B103)</f>
        <v/>
      </c>
      <c r="D97" s="386" t="str">
        <f>IF(A97="","",Calculation!L103)</f>
        <v/>
      </c>
      <c r="E97" s="387" t="str">
        <f>IF(A97="","",Calculation!J103)</f>
        <v/>
      </c>
      <c r="F97" s="387" t="str">
        <f>IF(A97="","",Calculation!C103)</f>
        <v/>
      </c>
      <c r="G97" s="387" t="str">
        <f>IF(A97="","",LEFT(Calculation!O103,6))</f>
        <v/>
      </c>
      <c r="H97" s="388" t="str">
        <f>IF(A97="","",Calculation!DX103)</f>
        <v/>
      </c>
      <c r="I97" s="387" t="str">
        <f>IF(A97="","",Calculation!P103)</f>
        <v/>
      </c>
      <c r="J97" s="387" t="str">
        <f>IF(A97="","",HLOOKUP(LEFT(Calculation!BO103,7),LookUps!$C$38:$M$41,4))</f>
        <v/>
      </c>
      <c r="K97" s="387" t="str">
        <f>IF(A97="","",Calculation!M103)</f>
        <v/>
      </c>
      <c r="L97" s="387" t="str">
        <f>IF(A97="","",Calculation!S103)</f>
        <v/>
      </c>
      <c r="M97" s="389" t="str">
        <f>IF(A97="","",Calculation!N103)</f>
        <v/>
      </c>
      <c r="N97" s="390" t="str">
        <f>IF(A97="","",Calculation!R103)</f>
        <v/>
      </c>
      <c r="O97" s="391" t="str">
        <f>IF(A97="","",Calculation!$F$6)</f>
        <v/>
      </c>
      <c r="P97" s="392" t="str">
        <f>IF(A97="","",Calculation!$F$7)</f>
        <v/>
      </c>
      <c r="Q97" s="393" t="str">
        <f>IF(A97="","",Calculation!$F$13)</f>
        <v/>
      </c>
      <c r="R97" s="394" t="str">
        <f>IF(A97="","",Calculation!X103)</f>
        <v/>
      </c>
      <c r="S97" s="393" t="str">
        <f>IF(A97="","",Calculation!T103)</f>
        <v/>
      </c>
      <c r="T97" s="395" t="str">
        <f>IF(A97="","",IF(Calculation!$O$8="None","Water",CONCATENATE(Calculation!$O$8,"-",Calculation!$S$8,"%")))</f>
        <v/>
      </c>
      <c r="U97" s="393" t="str">
        <f>IF(A97="","",Calculation!$P$6)</f>
        <v/>
      </c>
      <c r="V97" s="393" t="str">
        <f>IF(A97="","",Calculation!AT103)</f>
        <v/>
      </c>
      <c r="W97" s="396" t="str">
        <f>IF(A97="","",Calculation!AP103)</f>
        <v/>
      </c>
      <c r="X97" s="396" t="str">
        <f>IF(A97="","",Calculation!AO103)</f>
        <v/>
      </c>
      <c r="Y97" s="396" t="str">
        <f>IF(A97="","",Calculation!AQ103)</f>
        <v/>
      </c>
      <c r="Z97" s="396" t="str">
        <f>IF(A97="","",Calculation!$H$6)</f>
        <v/>
      </c>
      <c r="AA97" s="397" t="str">
        <f>IF(A97="","",Calculation!$H$13)</f>
        <v/>
      </c>
      <c r="AB97" s="397" t="str">
        <f>IF(A97="","",Calculation!U103)</f>
        <v/>
      </c>
      <c r="AC97" s="398" t="str">
        <f>IF(A97="","",IF(Calculation!$O$9="None","Water",CONCATENATE(Calculation!$O$9,"-",Calculation!$S$9,"%")))</f>
        <v/>
      </c>
      <c r="AD97" s="396" t="str">
        <f>IF(A97="","",Calculation!$S$6)</f>
        <v/>
      </c>
      <c r="AE97" s="399" t="str">
        <f>IF(A97="","",Calculation!BA103)</f>
        <v/>
      </c>
      <c r="AF97" s="396" t="str">
        <f>IF(A97="","",Calculation!AX103)</f>
        <v/>
      </c>
      <c r="AG97" s="396" t="str">
        <f>IF(A97="","",Calculation!AW103)</f>
        <v/>
      </c>
      <c r="AH97" s="391" t="str">
        <f>IF(A97="","",Calculation!AY103)</f>
        <v/>
      </c>
      <c r="AI97" s="391" t="str">
        <f>IF(A97="","",Calculation!Y103)</f>
        <v/>
      </c>
      <c r="AJ97" s="401" t="str">
        <f>IF(Calculation!BD103&gt;0,Calculation!BD103," ")</f>
        <v xml:space="preserve"> </v>
      </c>
      <c r="AK97" s="401" t="str">
        <f>IF(Calculation!BD103&gt;0,Calculation!BE103," ")</f>
        <v xml:space="preserve"> </v>
      </c>
      <c r="AL97" s="401" t="str">
        <f>IF(Calculation!BD103&gt;0,Calculation!BF103," ")</f>
        <v xml:space="preserve"> </v>
      </c>
      <c r="AM97" s="401" t="str">
        <f>IF(Calculation!BD103&gt;0,Calculation!BG103," ")</f>
        <v xml:space="preserve"> </v>
      </c>
      <c r="AN97" s="391" t="str">
        <f>IF(Calculation!BH103="N/A","N/A",Calculation!BH103)</f>
        <v xml:space="preserve"> </v>
      </c>
      <c r="AO97" s="402" t="str">
        <f>IF(Calculation!BI103="N/A","N/A",Calculation!BI103)</f>
        <v/>
      </c>
      <c r="AP97" s="391" t="str">
        <f>IF(Calculation!BJ103="N/A","N/A",Calculation!BJ103)</f>
        <v/>
      </c>
      <c r="AQ97" s="402" t="str">
        <f>IF(Calculation!BK103="N/A","N/A",Calculation!BK103)</f>
        <v/>
      </c>
      <c r="AR97" s="391" t="str">
        <f>IF(Calculation!BL103="N/A","N/A",Calculation!BL103)</f>
        <v/>
      </c>
      <c r="AS97" s="402" t="str">
        <f>IF(Calculation!BM103="N/A","N/A",Calculation!BM103)</f>
        <v/>
      </c>
      <c r="AT97" s="400"/>
    </row>
    <row r="98" spans="1:46" ht="12.75" customHeight="1">
      <c r="A98" s="224" t="str">
        <f>IF(Calculation!BN104="","",CONCATENATE(Calculation!BO104,"-",Calculation!R104,"-",Calculation!S104,"-",Calculation!T104,"-",Calculation!U104))</f>
        <v/>
      </c>
      <c r="B98" s="224">
        <v>83</v>
      </c>
      <c r="C98" s="629" t="str">
        <f>IF(A98="","",Calculation!B104)</f>
        <v/>
      </c>
      <c r="D98" s="386" t="str">
        <f>IF(A98="","",Calculation!L104)</f>
        <v/>
      </c>
      <c r="E98" s="387" t="str">
        <f>IF(A98="","",Calculation!J104)</f>
        <v/>
      </c>
      <c r="F98" s="387" t="str">
        <f>IF(A98="","",Calculation!C104)</f>
        <v/>
      </c>
      <c r="G98" s="387" t="str">
        <f>IF(A98="","",LEFT(Calculation!O104,6))</f>
        <v/>
      </c>
      <c r="H98" s="388" t="str">
        <f>IF(A98="","",Calculation!DX104)</f>
        <v/>
      </c>
      <c r="I98" s="387" t="str">
        <f>IF(A98="","",Calculation!P104)</f>
        <v/>
      </c>
      <c r="J98" s="387" t="str">
        <f>IF(A98="","",HLOOKUP(LEFT(Calculation!BO104,7),LookUps!$C$38:$M$41,4))</f>
        <v/>
      </c>
      <c r="K98" s="387" t="str">
        <f>IF(A98="","",Calculation!M104)</f>
        <v/>
      </c>
      <c r="L98" s="387" t="str">
        <f>IF(A98="","",Calculation!S104)</f>
        <v/>
      </c>
      <c r="M98" s="389" t="str">
        <f>IF(A98="","",Calculation!N104)</f>
        <v/>
      </c>
      <c r="N98" s="390" t="str">
        <f>IF(A98="","",Calculation!R104)</f>
        <v/>
      </c>
      <c r="O98" s="391" t="str">
        <f>IF(A98="","",Calculation!$F$6)</f>
        <v/>
      </c>
      <c r="P98" s="392" t="str">
        <f>IF(A98="","",Calculation!$F$7)</f>
        <v/>
      </c>
      <c r="Q98" s="393" t="str">
        <f>IF(A98="","",Calculation!$F$13)</f>
        <v/>
      </c>
      <c r="R98" s="394" t="str">
        <f>IF(A98="","",Calculation!X104)</f>
        <v/>
      </c>
      <c r="S98" s="393" t="str">
        <f>IF(A98="","",Calculation!T104)</f>
        <v/>
      </c>
      <c r="T98" s="395" t="str">
        <f>IF(A98="","",IF(Calculation!$O$8="None","Water",CONCATENATE(Calculation!$O$8,"-",Calculation!$S$8,"%")))</f>
        <v/>
      </c>
      <c r="U98" s="393" t="str">
        <f>IF(A98="","",Calculation!$P$6)</f>
        <v/>
      </c>
      <c r="V98" s="393" t="str">
        <f>IF(A98="","",Calculation!AT104)</f>
        <v/>
      </c>
      <c r="W98" s="396" t="str">
        <f>IF(A98="","",Calculation!AP104)</f>
        <v/>
      </c>
      <c r="X98" s="396" t="str">
        <f>IF(A98="","",Calculation!AO104)</f>
        <v/>
      </c>
      <c r="Y98" s="396" t="str">
        <f>IF(A98="","",Calculation!AQ104)</f>
        <v/>
      </c>
      <c r="Z98" s="396" t="str">
        <f>IF(A98="","",Calculation!$H$6)</f>
        <v/>
      </c>
      <c r="AA98" s="397" t="str">
        <f>IF(A98="","",Calculation!$H$13)</f>
        <v/>
      </c>
      <c r="AB98" s="397" t="str">
        <f>IF(A98="","",Calculation!U104)</f>
        <v/>
      </c>
      <c r="AC98" s="398" t="str">
        <f>IF(A98="","",IF(Calculation!$O$9="None","Water",CONCATENATE(Calculation!$O$9,"-",Calculation!$S$9,"%")))</f>
        <v/>
      </c>
      <c r="AD98" s="396" t="str">
        <f>IF(A98="","",Calculation!$S$6)</f>
        <v/>
      </c>
      <c r="AE98" s="399" t="str">
        <f>IF(A98="","",Calculation!BA104)</f>
        <v/>
      </c>
      <c r="AF98" s="396" t="str">
        <f>IF(A98="","",Calculation!AX104)</f>
        <v/>
      </c>
      <c r="AG98" s="396" t="str">
        <f>IF(A98="","",Calculation!AW104)</f>
        <v/>
      </c>
      <c r="AH98" s="391" t="str">
        <f>IF(A98="","",Calculation!AY104)</f>
        <v/>
      </c>
      <c r="AI98" s="391" t="str">
        <f>IF(A98="","",Calculation!Y104)</f>
        <v/>
      </c>
      <c r="AJ98" s="401" t="str">
        <f>IF(Calculation!BD104&gt;0,Calculation!BD104," ")</f>
        <v xml:space="preserve"> </v>
      </c>
      <c r="AK98" s="401" t="str">
        <f>IF(Calculation!BD104&gt;0,Calculation!BE104," ")</f>
        <v xml:space="preserve"> </v>
      </c>
      <c r="AL98" s="401" t="str">
        <f>IF(Calculation!BD104&gt;0,Calculation!BF104," ")</f>
        <v xml:space="preserve"> </v>
      </c>
      <c r="AM98" s="401" t="str">
        <f>IF(Calculation!BD104&gt;0,Calculation!BG104," ")</f>
        <v xml:space="preserve"> </v>
      </c>
      <c r="AN98" s="391" t="str">
        <f>IF(Calculation!BH104="N/A","N/A",Calculation!BH104)</f>
        <v xml:space="preserve"> </v>
      </c>
      <c r="AO98" s="402" t="str">
        <f>IF(Calculation!BI104="N/A","N/A",Calculation!BI104)</f>
        <v/>
      </c>
      <c r="AP98" s="391" t="str">
        <f>IF(Calculation!BJ104="N/A","N/A",Calculation!BJ104)</f>
        <v/>
      </c>
      <c r="AQ98" s="402" t="str">
        <f>IF(Calculation!BK104="N/A","N/A",Calculation!BK104)</f>
        <v/>
      </c>
      <c r="AR98" s="391" t="str">
        <f>IF(Calculation!BL104="N/A","N/A",Calculation!BL104)</f>
        <v/>
      </c>
      <c r="AS98" s="402" t="str">
        <f>IF(Calculation!BM104="N/A","N/A",Calculation!BM104)</f>
        <v/>
      </c>
      <c r="AT98" s="400"/>
    </row>
    <row r="99" spans="1:46" ht="12.75" customHeight="1">
      <c r="A99" s="224" t="str">
        <f>IF(Calculation!BN105="","",CONCATENATE(Calculation!BO105,"-",Calculation!R105,"-",Calculation!S105,"-",Calculation!T105,"-",Calculation!U105))</f>
        <v/>
      </c>
      <c r="B99" s="224">
        <v>84</v>
      </c>
      <c r="C99" s="629" t="str">
        <f>IF(A99="","",Calculation!B105)</f>
        <v/>
      </c>
      <c r="D99" s="386" t="str">
        <f>IF(A99="","",Calculation!L105)</f>
        <v/>
      </c>
      <c r="E99" s="387" t="str">
        <f>IF(A99="","",Calculation!J105)</f>
        <v/>
      </c>
      <c r="F99" s="387" t="str">
        <f>IF(A99="","",Calculation!C105)</f>
        <v/>
      </c>
      <c r="G99" s="387" t="str">
        <f>IF(A99="","",LEFT(Calculation!O105,6))</f>
        <v/>
      </c>
      <c r="H99" s="388" t="str">
        <f>IF(A99="","",Calculation!DX105)</f>
        <v/>
      </c>
      <c r="I99" s="387" t="str">
        <f>IF(A99="","",Calculation!P105)</f>
        <v/>
      </c>
      <c r="J99" s="387" t="str">
        <f>IF(A99="","",HLOOKUP(LEFT(Calculation!BO105,7),LookUps!$C$38:$M$41,4))</f>
        <v/>
      </c>
      <c r="K99" s="387" t="str">
        <f>IF(A99="","",Calculation!M105)</f>
        <v/>
      </c>
      <c r="L99" s="387" t="str">
        <f>IF(A99="","",Calculation!S105)</f>
        <v/>
      </c>
      <c r="M99" s="389" t="str">
        <f>IF(A99="","",Calculation!N105)</f>
        <v/>
      </c>
      <c r="N99" s="390" t="str">
        <f>IF(A99="","",Calculation!R105)</f>
        <v/>
      </c>
      <c r="O99" s="391" t="str">
        <f>IF(A99="","",Calculation!$F$6)</f>
        <v/>
      </c>
      <c r="P99" s="392" t="str">
        <f>IF(A99="","",Calculation!$F$7)</f>
        <v/>
      </c>
      <c r="Q99" s="393" t="str">
        <f>IF(A99="","",Calculation!$F$13)</f>
        <v/>
      </c>
      <c r="R99" s="394" t="str">
        <f>IF(A99="","",Calculation!X105)</f>
        <v/>
      </c>
      <c r="S99" s="393" t="str">
        <f>IF(A99="","",Calculation!T105)</f>
        <v/>
      </c>
      <c r="T99" s="395" t="str">
        <f>IF(A99="","",IF(Calculation!$O$8="None","Water",CONCATENATE(Calculation!$O$8,"-",Calculation!$S$8,"%")))</f>
        <v/>
      </c>
      <c r="U99" s="393" t="str">
        <f>IF(A99="","",Calculation!$P$6)</f>
        <v/>
      </c>
      <c r="V99" s="393" t="str">
        <f>IF(A99="","",Calculation!AT105)</f>
        <v/>
      </c>
      <c r="W99" s="396" t="str">
        <f>IF(A99="","",Calculation!AP105)</f>
        <v/>
      </c>
      <c r="X99" s="396" t="str">
        <f>IF(A99="","",Calculation!AO105)</f>
        <v/>
      </c>
      <c r="Y99" s="396" t="str">
        <f>IF(A99="","",Calculation!AQ105)</f>
        <v/>
      </c>
      <c r="Z99" s="396" t="str">
        <f>IF(A99="","",Calculation!$H$6)</f>
        <v/>
      </c>
      <c r="AA99" s="397" t="str">
        <f>IF(A99="","",Calculation!$H$13)</f>
        <v/>
      </c>
      <c r="AB99" s="397" t="str">
        <f>IF(A99="","",Calculation!U105)</f>
        <v/>
      </c>
      <c r="AC99" s="398" t="str">
        <f>IF(A99="","",IF(Calculation!$O$9="None","Water",CONCATENATE(Calculation!$O$9,"-",Calculation!$S$9,"%")))</f>
        <v/>
      </c>
      <c r="AD99" s="396" t="str">
        <f>IF(A99="","",Calculation!$S$6)</f>
        <v/>
      </c>
      <c r="AE99" s="399" t="str">
        <f>IF(A99="","",Calculation!BA105)</f>
        <v/>
      </c>
      <c r="AF99" s="396" t="str">
        <f>IF(A99="","",Calculation!AX105)</f>
        <v/>
      </c>
      <c r="AG99" s="396" t="str">
        <f>IF(A99="","",Calculation!AW105)</f>
        <v/>
      </c>
      <c r="AH99" s="391" t="str">
        <f>IF(A99="","",Calculation!AY105)</f>
        <v/>
      </c>
      <c r="AI99" s="391" t="str">
        <f>IF(A99="","",Calculation!Y105)</f>
        <v/>
      </c>
      <c r="AJ99" s="401" t="str">
        <f>IF(Calculation!BD105&gt;0,Calculation!BD105," ")</f>
        <v xml:space="preserve"> </v>
      </c>
      <c r="AK99" s="401" t="str">
        <f>IF(Calculation!BD105&gt;0,Calculation!BE105," ")</f>
        <v xml:space="preserve"> </v>
      </c>
      <c r="AL99" s="401" t="str">
        <f>IF(Calculation!BD105&gt;0,Calculation!BF105," ")</f>
        <v xml:space="preserve"> </v>
      </c>
      <c r="AM99" s="401" t="str">
        <f>IF(Calculation!BD105&gt;0,Calculation!BG105," ")</f>
        <v xml:space="preserve"> </v>
      </c>
      <c r="AN99" s="391" t="str">
        <f>IF(Calculation!BH105="N/A","N/A",Calculation!BH105)</f>
        <v xml:space="preserve"> </v>
      </c>
      <c r="AO99" s="402" t="str">
        <f>IF(Calculation!BI105="N/A","N/A",Calculation!BI105)</f>
        <v/>
      </c>
      <c r="AP99" s="391" t="str">
        <f>IF(Calculation!BJ105="N/A","N/A",Calculation!BJ105)</f>
        <v/>
      </c>
      <c r="AQ99" s="402" t="str">
        <f>IF(Calculation!BK105="N/A","N/A",Calculation!BK105)</f>
        <v/>
      </c>
      <c r="AR99" s="391" t="str">
        <f>IF(Calculation!BL105="N/A","N/A",Calculation!BL105)</f>
        <v/>
      </c>
      <c r="AS99" s="402" t="str">
        <f>IF(Calculation!BM105="N/A","N/A",Calculation!BM105)</f>
        <v/>
      </c>
      <c r="AT99" s="400"/>
    </row>
    <row r="100" spans="1:46" ht="12.75" customHeight="1">
      <c r="A100" s="224" t="str">
        <f>IF(Calculation!BN106="","",CONCATENATE(Calculation!BO106,"-",Calculation!R106,"-",Calculation!S106,"-",Calculation!T106,"-",Calculation!U106))</f>
        <v/>
      </c>
      <c r="B100" s="224">
        <v>85</v>
      </c>
      <c r="C100" s="629" t="str">
        <f>IF(A100="","",Calculation!B106)</f>
        <v/>
      </c>
      <c r="D100" s="386" t="str">
        <f>IF(A100="","",Calculation!L106)</f>
        <v/>
      </c>
      <c r="E100" s="387" t="str">
        <f>IF(A100="","",Calculation!J106)</f>
        <v/>
      </c>
      <c r="F100" s="387" t="str">
        <f>IF(A100="","",Calculation!C106)</f>
        <v/>
      </c>
      <c r="G100" s="387" t="str">
        <f>IF(A100="","",LEFT(Calculation!O106,6))</f>
        <v/>
      </c>
      <c r="H100" s="388" t="str">
        <f>IF(A100="","",Calculation!DX106)</f>
        <v/>
      </c>
      <c r="I100" s="387" t="str">
        <f>IF(A100="","",Calculation!P106)</f>
        <v/>
      </c>
      <c r="J100" s="387" t="str">
        <f>IF(A100="","",HLOOKUP(LEFT(Calculation!BO106,7),LookUps!$C$38:$M$41,4))</f>
        <v/>
      </c>
      <c r="K100" s="387" t="str">
        <f>IF(A100="","",Calculation!M106)</f>
        <v/>
      </c>
      <c r="L100" s="387" t="str">
        <f>IF(A100="","",Calculation!S106)</f>
        <v/>
      </c>
      <c r="M100" s="389" t="str">
        <f>IF(A100="","",Calculation!N106)</f>
        <v/>
      </c>
      <c r="N100" s="390" t="str">
        <f>IF(A100="","",Calculation!R106)</f>
        <v/>
      </c>
      <c r="O100" s="391" t="str">
        <f>IF(A100="","",Calculation!$F$6)</f>
        <v/>
      </c>
      <c r="P100" s="392" t="str">
        <f>IF(A100="","",Calculation!$F$7)</f>
        <v/>
      </c>
      <c r="Q100" s="393" t="str">
        <f>IF(A100="","",Calculation!$F$13)</f>
        <v/>
      </c>
      <c r="R100" s="394" t="str">
        <f>IF(A100="","",Calculation!X106)</f>
        <v/>
      </c>
      <c r="S100" s="393" t="str">
        <f>IF(A100="","",Calculation!T106)</f>
        <v/>
      </c>
      <c r="T100" s="395" t="str">
        <f>IF(A100="","",IF(Calculation!$O$8="None","Water",CONCATENATE(Calculation!$O$8,"-",Calculation!$S$8,"%")))</f>
        <v/>
      </c>
      <c r="U100" s="393" t="str">
        <f>IF(A100="","",Calculation!$P$6)</f>
        <v/>
      </c>
      <c r="V100" s="393" t="str">
        <f>IF(A100="","",Calculation!AT106)</f>
        <v/>
      </c>
      <c r="W100" s="396" t="str">
        <f>IF(A100="","",Calculation!AP106)</f>
        <v/>
      </c>
      <c r="X100" s="396" t="str">
        <f>IF(A100="","",Calculation!AO106)</f>
        <v/>
      </c>
      <c r="Y100" s="396" t="str">
        <f>IF(A100="","",Calculation!AQ106)</f>
        <v/>
      </c>
      <c r="Z100" s="396" t="str">
        <f>IF(A100="","",Calculation!$H$6)</f>
        <v/>
      </c>
      <c r="AA100" s="397" t="str">
        <f>IF(A100="","",Calculation!$H$13)</f>
        <v/>
      </c>
      <c r="AB100" s="397" t="str">
        <f>IF(A100="","",Calculation!U106)</f>
        <v/>
      </c>
      <c r="AC100" s="398" t="str">
        <f>IF(A100="","",IF(Calculation!$O$9="None","Water",CONCATENATE(Calculation!$O$9,"-",Calculation!$S$9,"%")))</f>
        <v/>
      </c>
      <c r="AD100" s="396" t="str">
        <f>IF(A100="","",Calculation!$S$6)</f>
        <v/>
      </c>
      <c r="AE100" s="399" t="str">
        <f>IF(A100="","",Calculation!BA106)</f>
        <v/>
      </c>
      <c r="AF100" s="396" t="str">
        <f>IF(A100="","",Calculation!AX106)</f>
        <v/>
      </c>
      <c r="AG100" s="396" t="str">
        <f>IF(A100="","",Calculation!AW106)</f>
        <v/>
      </c>
      <c r="AH100" s="391" t="str">
        <f>IF(A100="","",Calculation!AY106)</f>
        <v/>
      </c>
      <c r="AI100" s="391" t="str">
        <f>IF(A100="","",Calculation!Y106)</f>
        <v/>
      </c>
      <c r="AJ100" s="401" t="str">
        <f>IF(Calculation!BD106&gt;0,Calculation!BD106," ")</f>
        <v xml:space="preserve"> </v>
      </c>
      <c r="AK100" s="401" t="str">
        <f>IF(Calculation!BD106&gt;0,Calculation!BE106," ")</f>
        <v xml:space="preserve"> </v>
      </c>
      <c r="AL100" s="401" t="str">
        <f>IF(Calculation!BD106&gt;0,Calculation!BF106," ")</f>
        <v xml:space="preserve"> </v>
      </c>
      <c r="AM100" s="401" t="str">
        <f>IF(Calculation!BD106&gt;0,Calculation!BG106," ")</f>
        <v xml:space="preserve"> </v>
      </c>
      <c r="AN100" s="391" t="str">
        <f>IF(Calculation!BH106="N/A","N/A",Calculation!BH106)</f>
        <v xml:space="preserve"> </v>
      </c>
      <c r="AO100" s="402" t="str">
        <f>IF(Calculation!BI106="N/A","N/A",Calculation!BI106)</f>
        <v/>
      </c>
      <c r="AP100" s="391" t="str">
        <f>IF(Calculation!BJ106="N/A","N/A",Calculation!BJ106)</f>
        <v/>
      </c>
      <c r="AQ100" s="402" t="str">
        <f>IF(Calculation!BK106="N/A","N/A",Calculation!BK106)</f>
        <v/>
      </c>
      <c r="AR100" s="391" t="str">
        <f>IF(Calculation!BL106="N/A","N/A",Calculation!BL106)</f>
        <v/>
      </c>
      <c r="AS100" s="402" t="str">
        <f>IF(Calculation!BM106="N/A","N/A",Calculation!BM106)</f>
        <v/>
      </c>
      <c r="AT100" s="400"/>
    </row>
    <row r="101" spans="1:46" ht="12.75" customHeight="1">
      <c r="A101" s="224" t="str">
        <f>IF(Calculation!BN107="","",CONCATENATE(Calculation!BO107,"-",Calculation!R107,"-",Calculation!S107,"-",Calculation!T107,"-",Calculation!U107))</f>
        <v/>
      </c>
      <c r="B101" s="224">
        <v>86</v>
      </c>
      <c r="C101" s="629" t="str">
        <f>IF(A101="","",Calculation!B107)</f>
        <v/>
      </c>
      <c r="D101" s="386" t="str">
        <f>IF(A101="","",Calculation!L107)</f>
        <v/>
      </c>
      <c r="E101" s="387" t="str">
        <f>IF(A101="","",Calculation!J107)</f>
        <v/>
      </c>
      <c r="F101" s="387" t="str">
        <f>IF(A101="","",Calculation!C107)</f>
        <v/>
      </c>
      <c r="G101" s="387" t="str">
        <f>IF(A101="","",LEFT(Calculation!O107,6))</f>
        <v/>
      </c>
      <c r="H101" s="388" t="str">
        <f>IF(A101="","",Calculation!DX107)</f>
        <v/>
      </c>
      <c r="I101" s="387" t="str">
        <f>IF(A101="","",Calculation!P107)</f>
        <v/>
      </c>
      <c r="J101" s="387" t="str">
        <f>IF(A101="","",HLOOKUP(LEFT(Calculation!BO107,7),LookUps!$C$38:$M$41,4))</f>
        <v/>
      </c>
      <c r="K101" s="387" t="str">
        <f>IF(A101="","",Calculation!M107)</f>
        <v/>
      </c>
      <c r="L101" s="387" t="str">
        <f>IF(A101="","",Calculation!S107)</f>
        <v/>
      </c>
      <c r="M101" s="389" t="str">
        <f>IF(A101="","",Calculation!N107)</f>
        <v/>
      </c>
      <c r="N101" s="390" t="str">
        <f>IF(A101="","",Calculation!R107)</f>
        <v/>
      </c>
      <c r="O101" s="391" t="str">
        <f>IF(A101="","",Calculation!$F$6)</f>
        <v/>
      </c>
      <c r="P101" s="392" t="str">
        <f>IF(A101="","",Calculation!$F$7)</f>
        <v/>
      </c>
      <c r="Q101" s="393" t="str">
        <f>IF(A101="","",Calculation!$F$13)</f>
        <v/>
      </c>
      <c r="R101" s="394" t="str">
        <f>IF(A101="","",Calculation!X107)</f>
        <v/>
      </c>
      <c r="S101" s="393" t="str">
        <f>IF(A101="","",Calculation!T107)</f>
        <v/>
      </c>
      <c r="T101" s="395" t="str">
        <f>IF(A101="","",IF(Calculation!$O$8="None","Water",CONCATENATE(Calculation!$O$8,"-",Calculation!$S$8,"%")))</f>
        <v/>
      </c>
      <c r="U101" s="393" t="str">
        <f>IF(A101="","",Calculation!$P$6)</f>
        <v/>
      </c>
      <c r="V101" s="393" t="str">
        <f>IF(A101="","",Calculation!AT107)</f>
        <v/>
      </c>
      <c r="W101" s="396" t="str">
        <f>IF(A101="","",Calculation!AP107)</f>
        <v/>
      </c>
      <c r="X101" s="396" t="str">
        <f>IF(A101="","",Calculation!AO107)</f>
        <v/>
      </c>
      <c r="Y101" s="396" t="str">
        <f>IF(A101="","",Calculation!AQ107)</f>
        <v/>
      </c>
      <c r="Z101" s="396" t="str">
        <f>IF(A101="","",Calculation!$H$6)</f>
        <v/>
      </c>
      <c r="AA101" s="397" t="str">
        <f>IF(A101="","",Calculation!$H$13)</f>
        <v/>
      </c>
      <c r="AB101" s="397" t="str">
        <f>IF(A101="","",Calculation!U107)</f>
        <v/>
      </c>
      <c r="AC101" s="398" t="str">
        <f>IF(A101="","",IF(Calculation!$O$9="None","Water",CONCATENATE(Calculation!$O$9,"-",Calculation!$S$9,"%")))</f>
        <v/>
      </c>
      <c r="AD101" s="396" t="str">
        <f>IF(A101="","",Calculation!$S$6)</f>
        <v/>
      </c>
      <c r="AE101" s="399" t="str">
        <f>IF(A101="","",Calculation!BA107)</f>
        <v/>
      </c>
      <c r="AF101" s="396" t="str">
        <f>IF(A101="","",Calculation!AX107)</f>
        <v/>
      </c>
      <c r="AG101" s="396" t="str">
        <f>IF(A101="","",Calculation!AW107)</f>
        <v/>
      </c>
      <c r="AH101" s="391" t="str">
        <f>IF(A101="","",Calculation!AY107)</f>
        <v/>
      </c>
      <c r="AI101" s="391" t="str">
        <f>IF(A101="","",Calculation!Y107)</f>
        <v/>
      </c>
      <c r="AJ101" s="401" t="str">
        <f>IF(Calculation!BD107&gt;0,Calculation!BD107," ")</f>
        <v xml:space="preserve"> </v>
      </c>
      <c r="AK101" s="401" t="str">
        <f>IF(Calculation!BD107&gt;0,Calculation!BE107," ")</f>
        <v xml:space="preserve"> </v>
      </c>
      <c r="AL101" s="401" t="str">
        <f>IF(Calculation!BD107&gt;0,Calculation!BF107," ")</f>
        <v xml:space="preserve"> </v>
      </c>
      <c r="AM101" s="401" t="str">
        <f>IF(Calculation!BD107&gt;0,Calculation!BG107," ")</f>
        <v xml:space="preserve"> </v>
      </c>
      <c r="AN101" s="391" t="str">
        <f>IF(Calculation!BH107="N/A","N/A",Calculation!BH107)</f>
        <v xml:space="preserve"> </v>
      </c>
      <c r="AO101" s="402" t="str">
        <f>IF(Calculation!BI107="N/A","N/A",Calculation!BI107)</f>
        <v/>
      </c>
      <c r="AP101" s="391" t="str">
        <f>IF(Calculation!BJ107="N/A","N/A",Calculation!BJ107)</f>
        <v/>
      </c>
      <c r="AQ101" s="402" t="str">
        <f>IF(Calculation!BK107="N/A","N/A",Calculation!BK107)</f>
        <v/>
      </c>
      <c r="AR101" s="391" t="str">
        <f>IF(Calculation!BL107="N/A","N/A",Calculation!BL107)</f>
        <v/>
      </c>
      <c r="AS101" s="402" t="str">
        <f>IF(Calculation!BM107="N/A","N/A",Calculation!BM107)</f>
        <v/>
      </c>
      <c r="AT101" s="400"/>
    </row>
    <row r="102" spans="1:46" ht="12.75" customHeight="1">
      <c r="A102" s="224" t="str">
        <f>IF(Calculation!BN108="","",CONCATENATE(Calculation!BO108,"-",Calculation!R108,"-",Calculation!S108,"-",Calculation!T108,"-",Calculation!U108))</f>
        <v/>
      </c>
      <c r="B102" s="224">
        <v>87</v>
      </c>
      <c r="C102" s="629" t="str">
        <f>IF(A102="","",Calculation!B108)</f>
        <v/>
      </c>
      <c r="D102" s="386" t="str">
        <f>IF(A102="","",Calculation!L108)</f>
        <v/>
      </c>
      <c r="E102" s="387" t="str">
        <f>IF(A102="","",Calculation!J108)</f>
        <v/>
      </c>
      <c r="F102" s="387" t="str">
        <f>IF(A102="","",Calculation!C108)</f>
        <v/>
      </c>
      <c r="G102" s="387" t="str">
        <f>IF(A102="","",LEFT(Calculation!O108,6))</f>
        <v/>
      </c>
      <c r="H102" s="388" t="str">
        <f>IF(A102="","",Calculation!DX108)</f>
        <v/>
      </c>
      <c r="I102" s="387" t="str">
        <f>IF(A102="","",Calculation!P108)</f>
        <v/>
      </c>
      <c r="J102" s="387" t="str">
        <f>IF(A102="","",HLOOKUP(LEFT(Calculation!BO108,7),LookUps!$C$38:$M$41,4))</f>
        <v/>
      </c>
      <c r="K102" s="387" t="str">
        <f>IF(A102="","",Calculation!M108)</f>
        <v/>
      </c>
      <c r="L102" s="387" t="str">
        <f>IF(A102="","",Calculation!S108)</f>
        <v/>
      </c>
      <c r="M102" s="389" t="str">
        <f>IF(A102="","",Calculation!N108)</f>
        <v/>
      </c>
      <c r="N102" s="390" t="str">
        <f>IF(A102="","",Calculation!R108)</f>
        <v/>
      </c>
      <c r="O102" s="391" t="str">
        <f>IF(A102="","",Calculation!$F$6)</f>
        <v/>
      </c>
      <c r="P102" s="392" t="str">
        <f>IF(A102="","",Calculation!$F$7)</f>
        <v/>
      </c>
      <c r="Q102" s="393" t="str">
        <f>IF(A102="","",Calculation!$F$13)</f>
        <v/>
      </c>
      <c r="R102" s="394" t="str">
        <f>IF(A102="","",Calculation!X108)</f>
        <v/>
      </c>
      <c r="S102" s="393" t="str">
        <f>IF(A102="","",Calculation!T108)</f>
        <v/>
      </c>
      <c r="T102" s="395" t="str">
        <f>IF(A102="","",IF(Calculation!$O$8="None","Water",CONCATENATE(Calculation!$O$8,"-",Calculation!$S$8,"%")))</f>
        <v/>
      </c>
      <c r="U102" s="393" t="str">
        <f>IF(A102="","",Calculation!$P$6)</f>
        <v/>
      </c>
      <c r="V102" s="393" t="str">
        <f>IF(A102="","",Calculation!AT108)</f>
        <v/>
      </c>
      <c r="W102" s="396" t="str">
        <f>IF(A102="","",Calculation!AP108)</f>
        <v/>
      </c>
      <c r="X102" s="396" t="str">
        <f>IF(A102="","",Calculation!AO108)</f>
        <v/>
      </c>
      <c r="Y102" s="396" t="str">
        <f>IF(A102="","",Calculation!AQ108)</f>
        <v/>
      </c>
      <c r="Z102" s="396" t="str">
        <f>IF(A102="","",Calculation!$H$6)</f>
        <v/>
      </c>
      <c r="AA102" s="397" t="str">
        <f>IF(A102="","",Calculation!$H$13)</f>
        <v/>
      </c>
      <c r="AB102" s="397" t="str">
        <f>IF(A102="","",Calculation!U108)</f>
        <v/>
      </c>
      <c r="AC102" s="398" t="str">
        <f>IF(A102="","",IF(Calculation!$O$9="None","Water",CONCATENATE(Calculation!$O$9,"-",Calculation!$S$9,"%")))</f>
        <v/>
      </c>
      <c r="AD102" s="396" t="str">
        <f>IF(A102="","",Calculation!$S$6)</f>
        <v/>
      </c>
      <c r="AE102" s="399" t="str">
        <f>IF(A102="","",Calculation!BA108)</f>
        <v/>
      </c>
      <c r="AF102" s="396" t="str">
        <f>IF(A102="","",Calculation!AX108)</f>
        <v/>
      </c>
      <c r="AG102" s="396" t="str">
        <f>IF(A102="","",Calculation!AW108)</f>
        <v/>
      </c>
      <c r="AH102" s="391" t="str">
        <f>IF(A102="","",Calculation!AY108)</f>
        <v/>
      </c>
      <c r="AI102" s="391" t="str">
        <f>IF(A102="","",Calculation!Y108)</f>
        <v/>
      </c>
      <c r="AJ102" s="401" t="str">
        <f>IF(Calculation!BD108&gt;0,Calculation!BD108," ")</f>
        <v xml:space="preserve"> </v>
      </c>
      <c r="AK102" s="401" t="str">
        <f>IF(Calculation!BD108&gt;0,Calculation!BE108," ")</f>
        <v xml:space="preserve"> </v>
      </c>
      <c r="AL102" s="401" t="str">
        <f>IF(Calculation!BD108&gt;0,Calculation!BF108," ")</f>
        <v xml:space="preserve"> </v>
      </c>
      <c r="AM102" s="401" t="str">
        <f>IF(Calculation!BD108&gt;0,Calculation!BG108," ")</f>
        <v xml:space="preserve"> </v>
      </c>
      <c r="AN102" s="391" t="str">
        <f>IF(Calculation!BH108="N/A","N/A",Calculation!BH108)</f>
        <v xml:space="preserve"> </v>
      </c>
      <c r="AO102" s="402" t="str">
        <f>IF(Calculation!BI108="N/A","N/A",Calculation!BI108)</f>
        <v/>
      </c>
      <c r="AP102" s="391" t="str">
        <f>IF(Calculation!BJ108="N/A","N/A",Calculation!BJ108)</f>
        <v/>
      </c>
      <c r="AQ102" s="402" t="str">
        <f>IF(Calculation!BK108="N/A","N/A",Calculation!BK108)</f>
        <v/>
      </c>
      <c r="AR102" s="391" t="str">
        <f>IF(Calculation!BL108="N/A","N/A",Calculation!BL108)</f>
        <v/>
      </c>
      <c r="AS102" s="402" t="str">
        <f>IF(Calculation!BM108="N/A","N/A",Calculation!BM108)</f>
        <v/>
      </c>
      <c r="AT102" s="400"/>
    </row>
    <row r="103" spans="1:46" ht="12.75" customHeight="1">
      <c r="A103" s="224" t="str">
        <f>IF(Calculation!BN109="","",CONCATENATE(Calculation!BO109,"-",Calculation!R109,"-",Calculation!S109,"-",Calculation!T109,"-",Calculation!U109))</f>
        <v/>
      </c>
      <c r="B103" s="224">
        <v>88</v>
      </c>
      <c r="C103" s="629" t="str">
        <f>IF(A103="","",Calculation!B109)</f>
        <v/>
      </c>
      <c r="D103" s="386" t="str">
        <f>IF(A103="","",Calculation!L109)</f>
        <v/>
      </c>
      <c r="E103" s="387" t="str">
        <f>IF(A103="","",Calculation!J109)</f>
        <v/>
      </c>
      <c r="F103" s="387" t="str">
        <f>IF(A103="","",Calculation!C109)</f>
        <v/>
      </c>
      <c r="G103" s="387" t="str">
        <f>IF(A103="","",LEFT(Calculation!O109,6))</f>
        <v/>
      </c>
      <c r="H103" s="388" t="str">
        <f>IF(A103="","",Calculation!DX109)</f>
        <v/>
      </c>
      <c r="I103" s="387" t="str">
        <f>IF(A103="","",Calculation!P109)</f>
        <v/>
      </c>
      <c r="J103" s="387" t="str">
        <f>IF(A103="","",HLOOKUP(LEFT(Calculation!BO109,7),LookUps!$C$38:$M$41,4))</f>
        <v/>
      </c>
      <c r="K103" s="387" t="str">
        <f>IF(A103="","",Calculation!M109)</f>
        <v/>
      </c>
      <c r="L103" s="387" t="str">
        <f>IF(A103="","",Calculation!S109)</f>
        <v/>
      </c>
      <c r="M103" s="389" t="str">
        <f>IF(A103="","",Calculation!N109)</f>
        <v/>
      </c>
      <c r="N103" s="390" t="str">
        <f>IF(A103="","",Calculation!R109)</f>
        <v/>
      </c>
      <c r="O103" s="391" t="str">
        <f>IF(A103="","",Calculation!$F$6)</f>
        <v/>
      </c>
      <c r="P103" s="392" t="str">
        <f>IF(A103="","",Calculation!$F$7)</f>
        <v/>
      </c>
      <c r="Q103" s="393" t="str">
        <f>IF(A103="","",Calculation!$F$13)</f>
        <v/>
      </c>
      <c r="R103" s="394" t="str">
        <f>IF(A103="","",Calculation!X109)</f>
        <v/>
      </c>
      <c r="S103" s="393" t="str">
        <f>IF(A103="","",Calculation!T109)</f>
        <v/>
      </c>
      <c r="T103" s="395" t="str">
        <f>IF(A103="","",IF(Calculation!$O$8="None","Water",CONCATENATE(Calculation!$O$8,"-",Calculation!$S$8,"%")))</f>
        <v/>
      </c>
      <c r="U103" s="393" t="str">
        <f>IF(A103="","",Calculation!$P$6)</f>
        <v/>
      </c>
      <c r="V103" s="393" t="str">
        <f>IF(A103="","",Calculation!AT109)</f>
        <v/>
      </c>
      <c r="W103" s="396" t="str">
        <f>IF(A103="","",Calculation!AP109)</f>
        <v/>
      </c>
      <c r="X103" s="396" t="str">
        <f>IF(A103="","",Calculation!AO109)</f>
        <v/>
      </c>
      <c r="Y103" s="396" t="str">
        <f>IF(A103="","",Calculation!AQ109)</f>
        <v/>
      </c>
      <c r="Z103" s="396" t="str">
        <f>IF(A103="","",Calculation!$H$6)</f>
        <v/>
      </c>
      <c r="AA103" s="397" t="str">
        <f>IF(A103="","",Calculation!$H$13)</f>
        <v/>
      </c>
      <c r="AB103" s="397" t="str">
        <f>IF(A103="","",Calculation!U109)</f>
        <v/>
      </c>
      <c r="AC103" s="398" t="str">
        <f>IF(A103="","",IF(Calculation!$O$9="None","Water",CONCATENATE(Calculation!$O$9,"-",Calculation!$S$9,"%")))</f>
        <v/>
      </c>
      <c r="AD103" s="396" t="str">
        <f>IF(A103="","",Calculation!$S$6)</f>
        <v/>
      </c>
      <c r="AE103" s="399" t="str">
        <f>IF(A103="","",Calculation!BA109)</f>
        <v/>
      </c>
      <c r="AF103" s="396" t="str">
        <f>IF(A103="","",Calculation!AX109)</f>
        <v/>
      </c>
      <c r="AG103" s="396" t="str">
        <f>IF(A103="","",Calculation!AW109)</f>
        <v/>
      </c>
      <c r="AH103" s="391" t="str">
        <f>IF(A103="","",Calculation!AY109)</f>
        <v/>
      </c>
      <c r="AI103" s="391" t="str">
        <f>IF(A103="","",Calculation!Y109)</f>
        <v/>
      </c>
      <c r="AJ103" s="401" t="str">
        <f>IF(Calculation!BD109&gt;0,Calculation!BD109," ")</f>
        <v xml:space="preserve"> </v>
      </c>
      <c r="AK103" s="401" t="str">
        <f>IF(Calculation!BD109&gt;0,Calculation!BE109," ")</f>
        <v xml:space="preserve"> </v>
      </c>
      <c r="AL103" s="401" t="str">
        <f>IF(Calculation!BD109&gt;0,Calculation!BF109," ")</f>
        <v xml:space="preserve"> </v>
      </c>
      <c r="AM103" s="401" t="str">
        <f>IF(Calculation!BD109&gt;0,Calculation!BG109," ")</f>
        <v xml:space="preserve"> </v>
      </c>
      <c r="AN103" s="391" t="str">
        <f>IF(Calculation!BH109="N/A","N/A",Calculation!BH109)</f>
        <v xml:space="preserve"> </v>
      </c>
      <c r="AO103" s="402" t="str">
        <f>IF(Calculation!BI109="N/A","N/A",Calculation!BI109)</f>
        <v/>
      </c>
      <c r="AP103" s="391" t="str">
        <f>IF(Calculation!BJ109="N/A","N/A",Calculation!BJ109)</f>
        <v/>
      </c>
      <c r="AQ103" s="402" t="str">
        <f>IF(Calculation!BK109="N/A","N/A",Calculation!BK109)</f>
        <v/>
      </c>
      <c r="AR103" s="391" t="str">
        <f>IF(Calculation!BL109="N/A","N/A",Calculation!BL109)</f>
        <v/>
      </c>
      <c r="AS103" s="402" t="str">
        <f>IF(Calculation!BM109="N/A","N/A",Calculation!BM109)</f>
        <v/>
      </c>
      <c r="AT103" s="400"/>
    </row>
    <row r="104" spans="1:46" ht="12.75" customHeight="1">
      <c r="A104" s="224" t="str">
        <f>IF(Calculation!BN110="","",CONCATENATE(Calculation!BO110,"-",Calculation!R110,"-",Calculation!S110,"-",Calculation!T110,"-",Calculation!U110))</f>
        <v/>
      </c>
      <c r="B104" s="224">
        <v>89</v>
      </c>
      <c r="C104" s="629" t="str">
        <f>IF(A104="","",Calculation!B110)</f>
        <v/>
      </c>
      <c r="D104" s="386" t="str">
        <f>IF(A104="","",Calculation!L110)</f>
        <v/>
      </c>
      <c r="E104" s="387" t="str">
        <f>IF(A104="","",Calculation!J110)</f>
        <v/>
      </c>
      <c r="F104" s="387" t="str">
        <f>IF(A104="","",Calculation!C110)</f>
        <v/>
      </c>
      <c r="G104" s="387" t="str">
        <f>IF(A104="","",LEFT(Calculation!O110,6))</f>
        <v/>
      </c>
      <c r="H104" s="388" t="str">
        <f>IF(A104="","",Calculation!DX110)</f>
        <v/>
      </c>
      <c r="I104" s="387" t="str">
        <f>IF(A104="","",Calculation!P110)</f>
        <v/>
      </c>
      <c r="J104" s="387" t="str">
        <f>IF(A104="","",HLOOKUP(LEFT(Calculation!BO110,7),LookUps!$C$38:$M$41,4))</f>
        <v/>
      </c>
      <c r="K104" s="387" t="str">
        <f>IF(A104="","",Calculation!M110)</f>
        <v/>
      </c>
      <c r="L104" s="387" t="str">
        <f>IF(A104="","",Calculation!S110)</f>
        <v/>
      </c>
      <c r="M104" s="389" t="str">
        <f>IF(A104="","",Calculation!N110)</f>
        <v/>
      </c>
      <c r="N104" s="390" t="str">
        <f>IF(A104="","",Calculation!R110)</f>
        <v/>
      </c>
      <c r="O104" s="391" t="str">
        <f>IF(A104="","",Calculation!$F$6)</f>
        <v/>
      </c>
      <c r="P104" s="392" t="str">
        <f>IF(A104="","",Calculation!$F$7)</f>
        <v/>
      </c>
      <c r="Q104" s="393" t="str">
        <f>IF(A104="","",Calculation!$F$13)</f>
        <v/>
      </c>
      <c r="R104" s="394" t="str">
        <f>IF(A104="","",Calculation!X110)</f>
        <v/>
      </c>
      <c r="S104" s="393" t="str">
        <f>IF(A104="","",Calculation!T110)</f>
        <v/>
      </c>
      <c r="T104" s="395" t="str">
        <f>IF(A104="","",IF(Calculation!$O$8="None","Water",CONCATENATE(Calculation!$O$8,"-",Calculation!$S$8,"%")))</f>
        <v/>
      </c>
      <c r="U104" s="393" t="str">
        <f>IF(A104="","",Calculation!$P$6)</f>
        <v/>
      </c>
      <c r="V104" s="393" t="str">
        <f>IF(A104="","",Calculation!AT110)</f>
        <v/>
      </c>
      <c r="W104" s="396" t="str">
        <f>IF(A104="","",Calculation!AP110)</f>
        <v/>
      </c>
      <c r="X104" s="396" t="str">
        <f>IF(A104="","",Calculation!AO110)</f>
        <v/>
      </c>
      <c r="Y104" s="396" t="str">
        <f>IF(A104="","",Calculation!AQ110)</f>
        <v/>
      </c>
      <c r="Z104" s="396" t="str">
        <f>IF(A104="","",Calculation!$H$6)</f>
        <v/>
      </c>
      <c r="AA104" s="397" t="str">
        <f>IF(A104="","",Calculation!$H$13)</f>
        <v/>
      </c>
      <c r="AB104" s="397" t="str">
        <f>IF(A104="","",Calculation!U110)</f>
        <v/>
      </c>
      <c r="AC104" s="398" t="str">
        <f>IF(A104="","",IF(Calculation!$O$9="None","Water",CONCATENATE(Calculation!$O$9,"-",Calculation!$S$9,"%")))</f>
        <v/>
      </c>
      <c r="AD104" s="396" t="str">
        <f>IF(A104="","",Calculation!$S$6)</f>
        <v/>
      </c>
      <c r="AE104" s="399" t="str">
        <f>IF(A104="","",Calculation!BA110)</f>
        <v/>
      </c>
      <c r="AF104" s="396" t="str">
        <f>IF(A104="","",Calculation!AX110)</f>
        <v/>
      </c>
      <c r="AG104" s="396" t="str">
        <f>IF(A104="","",Calculation!AW110)</f>
        <v/>
      </c>
      <c r="AH104" s="391" t="str">
        <f>IF(A104="","",Calculation!AY110)</f>
        <v/>
      </c>
      <c r="AI104" s="391" t="str">
        <f>IF(A104="","",Calculation!Y110)</f>
        <v/>
      </c>
      <c r="AJ104" s="401" t="str">
        <f>IF(Calculation!BD110&gt;0,Calculation!BD110," ")</f>
        <v xml:space="preserve"> </v>
      </c>
      <c r="AK104" s="401" t="str">
        <f>IF(Calculation!BD110&gt;0,Calculation!BE110," ")</f>
        <v xml:space="preserve"> </v>
      </c>
      <c r="AL104" s="401" t="str">
        <f>IF(Calculation!BD110&gt;0,Calculation!BF110," ")</f>
        <v xml:space="preserve"> </v>
      </c>
      <c r="AM104" s="401" t="str">
        <f>IF(Calculation!BD110&gt;0,Calculation!BG110," ")</f>
        <v xml:space="preserve"> </v>
      </c>
      <c r="AN104" s="391" t="str">
        <f>IF(Calculation!BH110="N/A","N/A",Calculation!BH110)</f>
        <v xml:space="preserve"> </v>
      </c>
      <c r="AO104" s="402" t="str">
        <f>IF(Calculation!BI110="N/A","N/A",Calculation!BI110)</f>
        <v/>
      </c>
      <c r="AP104" s="391" t="str">
        <f>IF(Calculation!BJ110="N/A","N/A",Calculation!BJ110)</f>
        <v/>
      </c>
      <c r="AQ104" s="402" t="str">
        <f>IF(Calculation!BK110="N/A","N/A",Calculation!BK110)</f>
        <v/>
      </c>
      <c r="AR104" s="391" t="str">
        <f>IF(Calculation!BL110="N/A","N/A",Calculation!BL110)</f>
        <v/>
      </c>
      <c r="AS104" s="402" t="str">
        <f>IF(Calculation!BM110="N/A","N/A",Calculation!BM110)</f>
        <v/>
      </c>
      <c r="AT104" s="400"/>
    </row>
    <row r="105" spans="1:46" ht="12.75" customHeight="1">
      <c r="A105" s="224" t="str">
        <f>IF(Calculation!BN111="","",CONCATENATE(Calculation!BO111,"-",Calculation!R111,"-",Calculation!S111,"-",Calculation!T111,"-",Calculation!U111))</f>
        <v/>
      </c>
      <c r="B105" s="224">
        <v>90</v>
      </c>
      <c r="C105" s="629" t="str">
        <f>IF(A105="","",Calculation!B111)</f>
        <v/>
      </c>
      <c r="D105" s="386" t="str">
        <f>IF(A105="","",Calculation!L111)</f>
        <v/>
      </c>
      <c r="E105" s="387" t="str">
        <f>IF(A105="","",Calculation!J111)</f>
        <v/>
      </c>
      <c r="F105" s="387" t="str">
        <f>IF(A105="","",Calculation!C111)</f>
        <v/>
      </c>
      <c r="G105" s="387" t="str">
        <f>IF(A105="","",LEFT(Calculation!O111,6))</f>
        <v/>
      </c>
      <c r="H105" s="388" t="str">
        <f>IF(A105="","",Calculation!DX111)</f>
        <v/>
      </c>
      <c r="I105" s="387" t="str">
        <f>IF(A105="","",Calculation!P111)</f>
        <v/>
      </c>
      <c r="J105" s="387" t="str">
        <f>IF(A105="","",HLOOKUP(LEFT(Calculation!BO111,7),LookUps!$C$38:$M$41,4))</f>
        <v/>
      </c>
      <c r="K105" s="387" t="str">
        <f>IF(A105="","",Calculation!M111)</f>
        <v/>
      </c>
      <c r="L105" s="387" t="str">
        <f>IF(A105="","",Calculation!S111)</f>
        <v/>
      </c>
      <c r="M105" s="389" t="str">
        <f>IF(A105="","",Calculation!N111)</f>
        <v/>
      </c>
      <c r="N105" s="390" t="str">
        <f>IF(A105="","",Calculation!R111)</f>
        <v/>
      </c>
      <c r="O105" s="391" t="str">
        <f>IF(A105="","",Calculation!$F$6)</f>
        <v/>
      </c>
      <c r="P105" s="392" t="str">
        <f>IF(A105="","",Calculation!$F$7)</f>
        <v/>
      </c>
      <c r="Q105" s="393" t="str">
        <f>IF(A105="","",Calculation!$F$13)</f>
        <v/>
      </c>
      <c r="R105" s="394" t="str">
        <f>IF(A105="","",Calculation!X111)</f>
        <v/>
      </c>
      <c r="S105" s="393" t="str">
        <f>IF(A105="","",Calculation!T111)</f>
        <v/>
      </c>
      <c r="T105" s="395" t="str">
        <f>IF(A105="","",IF(Calculation!$O$8="None","Water",CONCATENATE(Calculation!$O$8,"-",Calculation!$S$8,"%")))</f>
        <v/>
      </c>
      <c r="U105" s="393" t="str">
        <f>IF(A105="","",Calculation!$P$6)</f>
        <v/>
      </c>
      <c r="V105" s="393" t="str">
        <f>IF(A105="","",Calculation!AT111)</f>
        <v/>
      </c>
      <c r="W105" s="396" t="str">
        <f>IF(A105="","",Calculation!AP111)</f>
        <v/>
      </c>
      <c r="X105" s="396" t="str">
        <f>IF(A105="","",Calculation!AO111)</f>
        <v/>
      </c>
      <c r="Y105" s="396" t="str">
        <f>IF(A105="","",Calculation!AQ111)</f>
        <v/>
      </c>
      <c r="Z105" s="396" t="str">
        <f>IF(A105="","",Calculation!$H$6)</f>
        <v/>
      </c>
      <c r="AA105" s="397" t="str">
        <f>IF(A105="","",Calculation!$H$13)</f>
        <v/>
      </c>
      <c r="AB105" s="397" t="str">
        <f>IF(A105="","",Calculation!U111)</f>
        <v/>
      </c>
      <c r="AC105" s="398" t="str">
        <f>IF(A105="","",IF(Calculation!$O$9="None","Water",CONCATENATE(Calculation!$O$9,"-",Calculation!$S$9,"%")))</f>
        <v/>
      </c>
      <c r="AD105" s="396" t="str">
        <f>IF(A105="","",Calculation!$S$6)</f>
        <v/>
      </c>
      <c r="AE105" s="399" t="str">
        <f>IF(A105="","",Calculation!BA111)</f>
        <v/>
      </c>
      <c r="AF105" s="396" t="str">
        <f>IF(A105="","",Calculation!AX111)</f>
        <v/>
      </c>
      <c r="AG105" s="396" t="str">
        <f>IF(A105="","",Calculation!AW111)</f>
        <v/>
      </c>
      <c r="AH105" s="391" t="str">
        <f>IF(A105="","",Calculation!AY111)</f>
        <v/>
      </c>
      <c r="AI105" s="391" t="str">
        <f>IF(A105="","",Calculation!Y111)</f>
        <v/>
      </c>
      <c r="AJ105" s="401" t="str">
        <f>IF(Calculation!BD111&gt;0,Calculation!BD111," ")</f>
        <v xml:space="preserve"> </v>
      </c>
      <c r="AK105" s="401" t="str">
        <f>IF(Calculation!BD111&gt;0,Calculation!BE111," ")</f>
        <v xml:space="preserve"> </v>
      </c>
      <c r="AL105" s="401" t="str">
        <f>IF(Calculation!BD111&gt;0,Calculation!BF111," ")</f>
        <v xml:space="preserve"> </v>
      </c>
      <c r="AM105" s="401" t="str">
        <f>IF(Calculation!BD111&gt;0,Calculation!BG111," ")</f>
        <v xml:space="preserve"> </v>
      </c>
      <c r="AN105" s="391" t="str">
        <f>IF(Calculation!BH111="N/A","N/A",Calculation!BH111)</f>
        <v xml:space="preserve"> </v>
      </c>
      <c r="AO105" s="402" t="str">
        <f>IF(Calculation!BI111="N/A","N/A",Calculation!BI111)</f>
        <v/>
      </c>
      <c r="AP105" s="391" t="str">
        <f>IF(Calculation!BJ111="N/A","N/A",Calculation!BJ111)</f>
        <v/>
      </c>
      <c r="AQ105" s="402" t="str">
        <f>IF(Calculation!BK111="N/A","N/A",Calculation!BK111)</f>
        <v/>
      </c>
      <c r="AR105" s="391" t="str">
        <f>IF(Calculation!BL111="N/A","N/A",Calculation!BL111)</f>
        <v/>
      </c>
      <c r="AS105" s="402" t="str">
        <f>IF(Calculation!BM111="N/A","N/A",Calculation!BM111)</f>
        <v/>
      </c>
      <c r="AT105" s="400"/>
    </row>
    <row r="106" spans="1:46" ht="12.75" customHeight="1">
      <c r="A106" s="224" t="str">
        <f>IF(Calculation!BN112="","",CONCATENATE(Calculation!BO112,"-",Calculation!R112,"-",Calculation!S112,"-",Calculation!T112,"-",Calculation!U112))</f>
        <v/>
      </c>
      <c r="B106" s="224">
        <v>91</v>
      </c>
      <c r="C106" s="629" t="str">
        <f>IF(A106="","",Calculation!B112)</f>
        <v/>
      </c>
      <c r="D106" s="386" t="str">
        <f>IF(A106="","",Calculation!L112)</f>
        <v/>
      </c>
      <c r="E106" s="387" t="str">
        <f>IF(A106="","",Calculation!J112)</f>
        <v/>
      </c>
      <c r="F106" s="387" t="str">
        <f>IF(A106="","",Calculation!C112)</f>
        <v/>
      </c>
      <c r="G106" s="387" t="str">
        <f>IF(A106="","",LEFT(Calculation!O112,6))</f>
        <v/>
      </c>
      <c r="H106" s="388" t="str">
        <f>IF(A106="","",Calculation!DX112)</f>
        <v/>
      </c>
      <c r="I106" s="387" t="str">
        <f>IF(A106="","",Calculation!P112)</f>
        <v/>
      </c>
      <c r="J106" s="387" t="str">
        <f>IF(A106="","",HLOOKUP(LEFT(Calculation!BO112,7),LookUps!$C$38:$M$41,4))</f>
        <v/>
      </c>
      <c r="K106" s="387" t="str">
        <f>IF(A106="","",Calculation!M112)</f>
        <v/>
      </c>
      <c r="L106" s="387" t="str">
        <f>IF(A106="","",Calculation!S112)</f>
        <v/>
      </c>
      <c r="M106" s="389" t="str">
        <f>IF(A106="","",Calculation!N112)</f>
        <v/>
      </c>
      <c r="N106" s="390" t="str">
        <f>IF(A106="","",Calculation!R112)</f>
        <v/>
      </c>
      <c r="O106" s="391" t="str">
        <f>IF(A106="","",Calculation!$F$6)</f>
        <v/>
      </c>
      <c r="P106" s="392" t="str">
        <f>IF(A106="","",Calculation!$F$7)</f>
        <v/>
      </c>
      <c r="Q106" s="393" t="str">
        <f>IF(A106="","",Calculation!$F$13)</f>
        <v/>
      </c>
      <c r="R106" s="394" t="str">
        <f>IF(A106="","",Calculation!X112)</f>
        <v/>
      </c>
      <c r="S106" s="393" t="str">
        <f>IF(A106="","",Calculation!T112)</f>
        <v/>
      </c>
      <c r="T106" s="395" t="str">
        <f>IF(A106="","",IF(Calculation!$O$8="None","Water",CONCATENATE(Calculation!$O$8,"-",Calculation!$S$8,"%")))</f>
        <v/>
      </c>
      <c r="U106" s="393" t="str">
        <f>IF(A106="","",Calculation!$P$6)</f>
        <v/>
      </c>
      <c r="V106" s="393" t="str">
        <f>IF(A106="","",Calculation!AT112)</f>
        <v/>
      </c>
      <c r="W106" s="396" t="str">
        <f>IF(A106="","",Calculation!AP112)</f>
        <v/>
      </c>
      <c r="X106" s="396" t="str">
        <f>IF(A106="","",Calculation!AO112)</f>
        <v/>
      </c>
      <c r="Y106" s="396" t="str">
        <f>IF(A106="","",Calculation!AQ112)</f>
        <v/>
      </c>
      <c r="Z106" s="396" t="str">
        <f>IF(A106="","",Calculation!$H$6)</f>
        <v/>
      </c>
      <c r="AA106" s="397" t="str">
        <f>IF(A106="","",Calculation!$H$13)</f>
        <v/>
      </c>
      <c r="AB106" s="397" t="str">
        <f>IF(A106="","",Calculation!U112)</f>
        <v/>
      </c>
      <c r="AC106" s="398" t="str">
        <f>IF(A106="","",IF(Calculation!$O$9="None","Water",CONCATENATE(Calculation!$O$9,"-",Calculation!$S$9,"%")))</f>
        <v/>
      </c>
      <c r="AD106" s="396" t="str">
        <f>IF(A106="","",Calculation!$S$6)</f>
        <v/>
      </c>
      <c r="AE106" s="399" t="str">
        <f>IF(A106="","",Calculation!BA112)</f>
        <v/>
      </c>
      <c r="AF106" s="396" t="str">
        <f>IF(A106="","",Calculation!AX112)</f>
        <v/>
      </c>
      <c r="AG106" s="396" t="str">
        <f>IF(A106="","",Calculation!AW112)</f>
        <v/>
      </c>
      <c r="AH106" s="391" t="str">
        <f>IF(A106="","",Calculation!AY112)</f>
        <v/>
      </c>
      <c r="AI106" s="391" t="str">
        <f>IF(A106="","",Calculation!Y112)</f>
        <v/>
      </c>
      <c r="AJ106" s="401" t="str">
        <f>IF(Calculation!BD112&gt;0,Calculation!BD112," ")</f>
        <v xml:space="preserve"> </v>
      </c>
      <c r="AK106" s="401" t="str">
        <f>IF(Calculation!BD112&gt;0,Calculation!BE112," ")</f>
        <v xml:space="preserve"> </v>
      </c>
      <c r="AL106" s="401" t="str">
        <f>IF(Calculation!BD112&gt;0,Calculation!BF112," ")</f>
        <v xml:space="preserve"> </v>
      </c>
      <c r="AM106" s="401" t="str">
        <f>IF(Calculation!BD112&gt;0,Calculation!BG112," ")</f>
        <v xml:space="preserve"> </v>
      </c>
      <c r="AN106" s="391" t="str">
        <f>IF(Calculation!BH112="N/A","N/A",Calculation!BH112)</f>
        <v xml:space="preserve"> </v>
      </c>
      <c r="AO106" s="402" t="str">
        <f>IF(Calculation!BI112="N/A","N/A",Calculation!BI112)</f>
        <v/>
      </c>
      <c r="AP106" s="391" t="str">
        <f>IF(Calculation!BJ112="N/A","N/A",Calculation!BJ112)</f>
        <v/>
      </c>
      <c r="AQ106" s="402" t="str">
        <f>IF(Calculation!BK112="N/A","N/A",Calculation!BK112)</f>
        <v/>
      </c>
      <c r="AR106" s="391" t="str">
        <f>IF(Calculation!BL112="N/A","N/A",Calculation!BL112)</f>
        <v/>
      </c>
      <c r="AS106" s="402" t="str">
        <f>IF(Calculation!BM112="N/A","N/A",Calculation!BM112)</f>
        <v/>
      </c>
      <c r="AT106" s="400"/>
    </row>
    <row r="107" spans="1:46" ht="12.75" customHeight="1">
      <c r="A107" s="224" t="str">
        <f>IF(Calculation!BN113="","",CONCATENATE(Calculation!BO113,"-",Calculation!R113,"-",Calculation!S113,"-",Calculation!T113,"-",Calculation!U113))</f>
        <v/>
      </c>
      <c r="B107" s="224">
        <v>92</v>
      </c>
      <c r="C107" s="629" t="str">
        <f>IF(A107="","",Calculation!B113)</f>
        <v/>
      </c>
      <c r="D107" s="386" t="str">
        <f>IF(A107="","",Calculation!L113)</f>
        <v/>
      </c>
      <c r="E107" s="387" t="str">
        <f>IF(A107="","",Calculation!J113)</f>
        <v/>
      </c>
      <c r="F107" s="387" t="str">
        <f>IF(A107="","",Calculation!C113)</f>
        <v/>
      </c>
      <c r="G107" s="387" t="str">
        <f>IF(A107="","",LEFT(Calculation!O113,6))</f>
        <v/>
      </c>
      <c r="H107" s="388" t="str">
        <f>IF(A107="","",Calculation!DX113)</f>
        <v/>
      </c>
      <c r="I107" s="387" t="str">
        <f>IF(A107="","",Calculation!P113)</f>
        <v/>
      </c>
      <c r="J107" s="387" t="str">
        <f>IF(A107="","",HLOOKUP(LEFT(Calculation!BO113,7),LookUps!$C$38:$M$41,4))</f>
        <v/>
      </c>
      <c r="K107" s="387" t="str">
        <f>IF(A107="","",Calculation!M113)</f>
        <v/>
      </c>
      <c r="L107" s="387" t="str">
        <f>IF(A107="","",Calculation!S113)</f>
        <v/>
      </c>
      <c r="M107" s="389" t="str">
        <f>IF(A107="","",Calculation!N113)</f>
        <v/>
      </c>
      <c r="N107" s="390" t="str">
        <f>IF(A107="","",Calculation!R113)</f>
        <v/>
      </c>
      <c r="O107" s="391" t="str">
        <f>IF(A107="","",Calculation!$F$6)</f>
        <v/>
      </c>
      <c r="P107" s="392" t="str">
        <f>IF(A107="","",Calculation!$F$7)</f>
        <v/>
      </c>
      <c r="Q107" s="393" t="str">
        <f>IF(A107="","",Calculation!$F$13)</f>
        <v/>
      </c>
      <c r="R107" s="394" t="str">
        <f>IF(A107="","",Calculation!X113)</f>
        <v/>
      </c>
      <c r="S107" s="393" t="str">
        <f>IF(A107="","",Calculation!T113)</f>
        <v/>
      </c>
      <c r="T107" s="395" t="str">
        <f>IF(A107="","",IF(Calculation!$O$8="None","Water",CONCATENATE(Calculation!$O$8,"-",Calculation!$S$8,"%")))</f>
        <v/>
      </c>
      <c r="U107" s="393" t="str">
        <f>IF(A107="","",Calculation!$P$6)</f>
        <v/>
      </c>
      <c r="V107" s="393" t="str">
        <f>IF(A107="","",Calculation!AT113)</f>
        <v/>
      </c>
      <c r="W107" s="396" t="str">
        <f>IF(A107="","",Calculation!AP113)</f>
        <v/>
      </c>
      <c r="X107" s="396" t="str">
        <f>IF(A107="","",Calculation!AO113)</f>
        <v/>
      </c>
      <c r="Y107" s="396" t="str">
        <f>IF(A107="","",Calculation!AQ113)</f>
        <v/>
      </c>
      <c r="Z107" s="396" t="str">
        <f>IF(A107="","",Calculation!$H$6)</f>
        <v/>
      </c>
      <c r="AA107" s="397" t="str">
        <f>IF(A107="","",Calculation!$H$13)</f>
        <v/>
      </c>
      <c r="AB107" s="397" t="str">
        <f>IF(A107="","",Calculation!U113)</f>
        <v/>
      </c>
      <c r="AC107" s="398" t="str">
        <f>IF(A107="","",IF(Calculation!$O$9="None","Water",CONCATENATE(Calculation!$O$9,"-",Calculation!$S$9,"%")))</f>
        <v/>
      </c>
      <c r="AD107" s="396" t="str">
        <f>IF(A107="","",Calculation!$S$6)</f>
        <v/>
      </c>
      <c r="AE107" s="399" t="str">
        <f>IF(A107="","",Calculation!BA113)</f>
        <v/>
      </c>
      <c r="AF107" s="396" t="str">
        <f>IF(A107="","",Calculation!AX113)</f>
        <v/>
      </c>
      <c r="AG107" s="396" t="str">
        <f>IF(A107="","",Calculation!AW113)</f>
        <v/>
      </c>
      <c r="AH107" s="391" t="str">
        <f>IF(A107="","",Calculation!AY113)</f>
        <v/>
      </c>
      <c r="AI107" s="391" t="str">
        <f>IF(A107="","",Calculation!Y113)</f>
        <v/>
      </c>
      <c r="AJ107" s="401" t="str">
        <f>IF(Calculation!BD113&gt;0,Calculation!BD113," ")</f>
        <v xml:space="preserve"> </v>
      </c>
      <c r="AK107" s="401" t="str">
        <f>IF(Calculation!BD113&gt;0,Calculation!BE113," ")</f>
        <v xml:space="preserve"> </v>
      </c>
      <c r="AL107" s="401" t="str">
        <f>IF(Calculation!BD113&gt;0,Calculation!BF113," ")</f>
        <v xml:space="preserve"> </v>
      </c>
      <c r="AM107" s="401" t="str">
        <f>IF(Calculation!BD113&gt;0,Calculation!BG113," ")</f>
        <v xml:space="preserve"> </v>
      </c>
      <c r="AN107" s="391" t="str">
        <f>IF(Calculation!BH113="N/A","N/A",Calculation!BH113)</f>
        <v xml:space="preserve"> </v>
      </c>
      <c r="AO107" s="402" t="str">
        <f>IF(Calculation!BI113="N/A","N/A",Calculation!BI113)</f>
        <v/>
      </c>
      <c r="AP107" s="391" t="str">
        <f>IF(Calculation!BJ113="N/A","N/A",Calculation!BJ113)</f>
        <v/>
      </c>
      <c r="AQ107" s="402" t="str">
        <f>IF(Calculation!BK113="N/A","N/A",Calculation!BK113)</f>
        <v/>
      </c>
      <c r="AR107" s="391" t="str">
        <f>IF(Calculation!BL113="N/A","N/A",Calculation!BL113)</f>
        <v/>
      </c>
      <c r="AS107" s="402" t="str">
        <f>IF(Calculation!BM113="N/A","N/A",Calculation!BM113)</f>
        <v/>
      </c>
      <c r="AT107" s="400"/>
    </row>
    <row r="108" spans="1:46" ht="12.75" customHeight="1">
      <c r="A108" s="224" t="str">
        <f>IF(Calculation!BN114="","",CONCATENATE(Calculation!BO114,"-",Calculation!R114,"-",Calculation!S114,"-",Calculation!T114,"-",Calculation!U114))</f>
        <v/>
      </c>
      <c r="B108" s="224">
        <v>93</v>
      </c>
      <c r="C108" s="629" t="str">
        <f>IF(A108="","",Calculation!B114)</f>
        <v/>
      </c>
      <c r="D108" s="386" t="str">
        <f>IF(A108="","",Calculation!L114)</f>
        <v/>
      </c>
      <c r="E108" s="387" t="str">
        <f>IF(A108="","",Calculation!J114)</f>
        <v/>
      </c>
      <c r="F108" s="387" t="str">
        <f>IF(A108="","",Calculation!C114)</f>
        <v/>
      </c>
      <c r="G108" s="387" t="str">
        <f>IF(A108="","",LEFT(Calculation!O114,6))</f>
        <v/>
      </c>
      <c r="H108" s="388" t="str">
        <f>IF(A108="","",Calculation!DX114)</f>
        <v/>
      </c>
      <c r="I108" s="387" t="str">
        <f>IF(A108="","",Calculation!P114)</f>
        <v/>
      </c>
      <c r="J108" s="387" t="str">
        <f>IF(A108="","",HLOOKUP(LEFT(Calculation!BO114,7),LookUps!$C$38:$M$41,4))</f>
        <v/>
      </c>
      <c r="K108" s="387" t="str">
        <f>IF(A108="","",Calculation!M114)</f>
        <v/>
      </c>
      <c r="L108" s="387" t="str">
        <f>IF(A108="","",Calculation!S114)</f>
        <v/>
      </c>
      <c r="M108" s="389" t="str">
        <f>IF(A108="","",Calculation!N114)</f>
        <v/>
      </c>
      <c r="N108" s="390" t="str">
        <f>IF(A108="","",Calculation!R114)</f>
        <v/>
      </c>
      <c r="O108" s="391" t="str">
        <f>IF(A108="","",Calculation!$F$6)</f>
        <v/>
      </c>
      <c r="P108" s="392" t="str">
        <f>IF(A108="","",Calculation!$F$7)</f>
        <v/>
      </c>
      <c r="Q108" s="393" t="str">
        <f>IF(A108="","",Calculation!$F$13)</f>
        <v/>
      </c>
      <c r="R108" s="394" t="str">
        <f>IF(A108="","",Calculation!X114)</f>
        <v/>
      </c>
      <c r="S108" s="393" t="str">
        <f>IF(A108="","",Calculation!T114)</f>
        <v/>
      </c>
      <c r="T108" s="395" t="str">
        <f>IF(A108="","",IF(Calculation!$O$8="None","Water",CONCATENATE(Calculation!$O$8,"-",Calculation!$S$8,"%")))</f>
        <v/>
      </c>
      <c r="U108" s="393" t="str">
        <f>IF(A108="","",Calculation!$P$6)</f>
        <v/>
      </c>
      <c r="V108" s="393" t="str">
        <f>IF(A108="","",Calculation!AT114)</f>
        <v/>
      </c>
      <c r="W108" s="396" t="str">
        <f>IF(A108="","",Calculation!AP114)</f>
        <v/>
      </c>
      <c r="X108" s="396" t="str">
        <f>IF(A108="","",Calculation!AO114)</f>
        <v/>
      </c>
      <c r="Y108" s="396" t="str">
        <f>IF(A108="","",Calculation!AQ114)</f>
        <v/>
      </c>
      <c r="Z108" s="396" t="str">
        <f>IF(A108="","",Calculation!$H$6)</f>
        <v/>
      </c>
      <c r="AA108" s="397" t="str">
        <f>IF(A108="","",Calculation!$H$13)</f>
        <v/>
      </c>
      <c r="AB108" s="397" t="str">
        <f>IF(A108="","",Calculation!U114)</f>
        <v/>
      </c>
      <c r="AC108" s="398" t="str">
        <f>IF(A108="","",IF(Calculation!$O$9="None","Water",CONCATENATE(Calculation!$O$9,"-",Calculation!$S$9,"%")))</f>
        <v/>
      </c>
      <c r="AD108" s="396" t="str">
        <f>IF(A108="","",Calculation!$S$6)</f>
        <v/>
      </c>
      <c r="AE108" s="399" t="str">
        <f>IF(A108="","",Calculation!BA114)</f>
        <v/>
      </c>
      <c r="AF108" s="396" t="str">
        <f>IF(A108="","",Calculation!AX114)</f>
        <v/>
      </c>
      <c r="AG108" s="396" t="str">
        <f>IF(A108="","",Calculation!AW114)</f>
        <v/>
      </c>
      <c r="AH108" s="391" t="str">
        <f>IF(A108="","",Calculation!AY114)</f>
        <v/>
      </c>
      <c r="AI108" s="391" t="str">
        <f>IF(A108="","",Calculation!Y114)</f>
        <v/>
      </c>
      <c r="AJ108" s="401" t="str">
        <f>IF(Calculation!BD114&gt;0,Calculation!BD114," ")</f>
        <v xml:space="preserve"> </v>
      </c>
      <c r="AK108" s="401" t="str">
        <f>IF(Calculation!BD114&gt;0,Calculation!BE114," ")</f>
        <v xml:space="preserve"> </v>
      </c>
      <c r="AL108" s="401" t="str">
        <f>IF(Calculation!BD114&gt;0,Calculation!BF114," ")</f>
        <v xml:space="preserve"> </v>
      </c>
      <c r="AM108" s="401" t="str">
        <f>IF(Calculation!BD114&gt;0,Calculation!BG114," ")</f>
        <v xml:space="preserve"> </v>
      </c>
      <c r="AN108" s="391" t="str">
        <f>IF(Calculation!BH114="N/A","N/A",Calculation!BH114)</f>
        <v xml:space="preserve"> </v>
      </c>
      <c r="AO108" s="402" t="str">
        <f>IF(Calculation!BI114="N/A","N/A",Calculation!BI114)</f>
        <v/>
      </c>
      <c r="AP108" s="391" t="str">
        <f>IF(Calculation!BJ114="N/A","N/A",Calculation!BJ114)</f>
        <v/>
      </c>
      <c r="AQ108" s="402" t="str">
        <f>IF(Calculation!BK114="N/A","N/A",Calculation!BK114)</f>
        <v/>
      </c>
      <c r="AR108" s="391" t="str">
        <f>IF(Calculation!BL114="N/A","N/A",Calculation!BL114)</f>
        <v/>
      </c>
      <c r="AS108" s="402" t="str">
        <f>IF(Calculation!BM114="N/A","N/A",Calculation!BM114)</f>
        <v/>
      </c>
      <c r="AT108" s="400"/>
    </row>
    <row r="109" spans="1:46" ht="12.75" customHeight="1">
      <c r="A109" s="224" t="str">
        <f>IF(Calculation!BN115="","",CONCATENATE(Calculation!BO115,"-",Calculation!R115,"-",Calculation!S115,"-",Calculation!T115,"-",Calculation!U115))</f>
        <v/>
      </c>
      <c r="B109" s="224">
        <v>94</v>
      </c>
      <c r="C109" s="629" t="str">
        <f>IF(A109="","",Calculation!B115)</f>
        <v/>
      </c>
      <c r="D109" s="386" t="str">
        <f>IF(A109="","",Calculation!L115)</f>
        <v/>
      </c>
      <c r="E109" s="387" t="str">
        <f>IF(A109="","",Calculation!J115)</f>
        <v/>
      </c>
      <c r="F109" s="387" t="str">
        <f>IF(A109="","",Calculation!C115)</f>
        <v/>
      </c>
      <c r="G109" s="387" t="str">
        <f>IF(A109="","",LEFT(Calculation!O115,6))</f>
        <v/>
      </c>
      <c r="H109" s="388" t="str">
        <f>IF(A109="","",Calculation!DX115)</f>
        <v/>
      </c>
      <c r="I109" s="387" t="str">
        <f>IF(A109="","",Calculation!P115)</f>
        <v/>
      </c>
      <c r="J109" s="387" t="str">
        <f>IF(A109="","",HLOOKUP(LEFT(Calculation!BO115,7),LookUps!$C$38:$M$41,4))</f>
        <v/>
      </c>
      <c r="K109" s="387" t="str">
        <f>IF(A109="","",Calculation!M115)</f>
        <v/>
      </c>
      <c r="L109" s="387" t="str">
        <f>IF(A109="","",Calculation!S115)</f>
        <v/>
      </c>
      <c r="M109" s="389" t="str">
        <f>IF(A109="","",Calculation!N115)</f>
        <v/>
      </c>
      <c r="N109" s="390" t="str">
        <f>IF(A109="","",Calculation!R115)</f>
        <v/>
      </c>
      <c r="O109" s="391" t="str">
        <f>IF(A109="","",Calculation!$F$6)</f>
        <v/>
      </c>
      <c r="P109" s="392" t="str">
        <f>IF(A109="","",Calculation!$F$7)</f>
        <v/>
      </c>
      <c r="Q109" s="393" t="str">
        <f>IF(A109="","",Calculation!$F$13)</f>
        <v/>
      </c>
      <c r="R109" s="394" t="str">
        <f>IF(A109="","",Calculation!X115)</f>
        <v/>
      </c>
      <c r="S109" s="393" t="str">
        <f>IF(A109="","",Calculation!T115)</f>
        <v/>
      </c>
      <c r="T109" s="395" t="str">
        <f>IF(A109="","",IF(Calculation!$O$8="None","Water",CONCATENATE(Calculation!$O$8,"-",Calculation!$S$8,"%")))</f>
        <v/>
      </c>
      <c r="U109" s="393" t="str">
        <f>IF(A109="","",Calculation!$P$6)</f>
        <v/>
      </c>
      <c r="V109" s="393" t="str">
        <f>IF(A109="","",Calculation!AT115)</f>
        <v/>
      </c>
      <c r="W109" s="396" t="str">
        <f>IF(A109="","",Calculation!AP115)</f>
        <v/>
      </c>
      <c r="X109" s="396" t="str">
        <f>IF(A109="","",Calculation!AO115)</f>
        <v/>
      </c>
      <c r="Y109" s="396" t="str">
        <f>IF(A109="","",Calculation!AQ115)</f>
        <v/>
      </c>
      <c r="Z109" s="396" t="str">
        <f>IF(A109="","",Calculation!$H$6)</f>
        <v/>
      </c>
      <c r="AA109" s="397" t="str">
        <f>IF(A109="","",Calculation!$H$13)</f>
        <v/>
      </c>
      <c r="AB109" s="397" t="str">
        <f>IF(A109="","",Calculation!U115)</f>
        <v/>
      </c>
      <c r="AC109" s="398" t="str">
        <f>IF(A109="","",IF(Calculation!$O$9="None","Water",CONCATENATE(Calculation!$O$9,"-",Calculation!$S$9,"%")))</f>
        <v/>
      </c>
      <c r="AD109" s="396" t="str">
        <f>IF(A109="","",Calculation!$S$6)</f>
        <v/>
      </c>
      <c r="AE109" s="399" t="str">
        <f>IF(A109="","",Calculation!BA115)</f>
        <v/>
      </c>
      <c r="AF109" s="396" t="str">
        <f>IF(A109="","",Calculation!AX115)</f>
        <v/>
      </c>
      <c r="AG109" s="396" t="str">
        <f>IF(A109="","",Calculation!AW115)</f>
        <v/>
      </c>
      <c r="AH109" s="391" t="str">
        <f>IF(A109="","",Calculation!AY115)</f>
        <v/>
      </c>
      <c r="AI109" s="391" t="str">
        <f>IF(A109="","",Calculation!Y115)</f>
        <v/>
      </c>
      <c r="AJ109" s="401" t="str">
        <f>IF(Calculation!BD115&gt;0,Calculation!BD115," ")</f>
        <v xml:space="preserve"> </v>
      </c>
      <c r="AK109" s="401" t="str">
        <f>IF(Calculation!BD115&gt;0,Calculation!BE115," ")</f>
        <v xml:space="preserve"> </v>
      </c>
      <c r="AL109" s="401" t="str">
        <f>IF(Calculation!BD115&gt;0,Calculation!BF115," ")</f>
        <v xml:space="preserve"> </v>
      </c>
      <c r="AM109" s="401" t="str">
        <f>IF(Calculation!BD115&gt;0,Calculation!BG115," ")</f>
        <v xml:space="preserve"> </v>
      </c>
      <c r="AN109" s="391" t="str">
        <f>IF(Calculation!BH115="N/A","N/A",Calculation!BH115)</f>
        <v xml:space="preserve"> </v>
      </c>
      <c r="AO109" s="402" t="str">
        <f>IF(Calculation!BI115="N/A","N/A",Calculation!BI115)</f>
        <v/>
      </c>
      <c r="AP109" s="391" t="str">
        <f>IF(Calculation!BJ115="N/A","N/A",Calculation!BJ115)</f>
        <v/>
      </c>
      <c r="AQ109" s="402" t="str">
        <f>IF(Calculation!BK115="N/A","N/A",Calculation!BK115)</f>
        <v/>
      </c>
      <c r="AR109" s="391" t="str">
        <f>IF(Calculation!BL115="N/A","N/A",Calculation!BL115)</f>
        <v/>
      </c>
      <c r="AS109" s="402" t="str">
        <f>IF(Calculation!BM115="N/A","N/A",Calculation!BM115)</f>
        <v/>
      </c>
      <c r="AT109" s="400"/>
    </row>
    <row r="110" spans="1:46" ht="12.75" customHeight="1">
      <c r="A110" s="224" t="str">
        <f>IF(Calculation!BN116="","",CONCATENATE(Calculation!BO116,"-",Calculation!R116,"-",Calculation!S116,"-",Calculation!T116,"-",Calculation!U116))</f>
        <v/>
      </c>
      <c r="B110" s="224">
        <v>95</v>
      </c>
      <c r="C110" s="629" t="str">
        <f>IF(A110="","",Calculation!B116)</f>
        <v/>
      </c>
      <c r="D110" s="386" t="str">
        <f>IF(A110="","",Calculation!L116)</f>
        <v/>
      </c>
      <c r="E110" s="387" t="str">
        <f>IF(A110="","",Calculation!J116)</f>
        <v/>
      </c>
      <c r="F110" s="387" t="str">
        <f>IF(A110="","",Calculation!C116)</f>
        <v/>
      </c>
      <c r="G110" s="387" t="str">
        <f>IF(A110="","",LEFT(Calculation!O116,6))</f>
        <v/>
      </c>
      <c r="H110" s="388" t="str">
        <f>IF(A110="","",Calculation!DX116)</f>
        <v/>
      </c>
      <c r="I110" s="387" t="str">
        <f>IF(A110="","",Calculation!P116)</f>
        <v/>
      </c>
      <c r="J110" s="387" t="str">
        <f>IF(A110="","",HLOOKUP(LEFT(Calculation!BO116,7),LookUps!$C$38:$M$41,4))</f>
        <v/>
      </c>
      <c r="K110" s="387" t="str">
        <f>IF(A110="","",Calculation!M116)</f>
        <v/>
      </c>
      <c r="L110" s="387" t="str">
        <f>IF(A110="","",Calculation!S116)</f>
        <v/>
      </c>
      <c r="M110" s="389" t="str">
        <f>IF(A110="","",Calculation!N116)</f>
        <v/>
      </c>
      <c r="N110" s="390" t="str">
        <f>IF(A110="","",Calculation!R116)</f>
        <v/>
      </c>
      <c r="O110" s="391" t="str">
        <f>IF(A110="","",Calculation!$F$6)</f>
        <v/>
      </c>
      <c r="P110" s="392" t="str">
        <f>IF(A110="","",Calculation!$F$7)</f>
        <v/>
      </c>
      <c r="Q110" s="393" t="str">
        <f>IF(A110="","",Calculation!$F$13)</f>
        <v/>
      </c>
      <c r="R110" s="394" t="str">
        <f>IF(A110="","",Calculation!X116)</f>
        <v/>
      </c>
      <c r="S110" s="393" t="str">
        <f>IF(A110="","",Calculation!T116)</f>
        <v/>
      </c>
      <c r="T110" s="395" t="str">
        <f>IF(A110="","",IF(Calculation!$O$8="None","Water",CONCATENATE(Calculation!$O$8,"-",Calculation!$S$8,"%")))</f>
        <v/>
      </c>
      <c r="U110" s="393" t="str">
        <f>IF(A110="","",Calculation!$P$6)</f>
        <v/>
      </c>
      <c r="V110" s="393" t="str">
        <f>IF(A110="","",Calculation!AT116)</f>
        <v/>
      </c>
      <c r="W110" s="396" t="str">
        <f>IF(A110="","",Calculation!AP116)</f>
        <v/>
      </c>
      <c r="X110" s="396" t="str">
        <f>IF(A110="","",Calculation!AO116)</f>
        <v/>
      </c>
      <c r="Y110" s="396" t="str">
        <f>IF(A110="","",Calculation!AQ116)</f>
        <v/>
      </c>
      <c r="Z110" s="396" t="str">
        <f>IF(A110="","",Calculation!$H$6)</f>
        <v/>
      </c>
      <c r="AA110" s="397" t="str">
        <f>IF(A110="","",Calculation!$H$13)</f>
        <v/>
      </c>
      <c r="AB110" s="397" t="str">
        <f>IF(A110="","",Calculation!U116)</f>
        <v/>
      </c>
      <c r="AC110" s="398" t="str">
        <f>IF(A110="","",IF(Calculation!$O$9="None","Water",CONCATENATE(Calculation!$O$9,"-",Calculation!$S$9,"%")))</f>
        <v/>
      </c>
      <c r="AD110" s="396" t="str">
        <f>IF(A110="","",Calculation!$S$6)</f>
        <v/>
      </c>
      <c r="AE110" s="399" t="str">
        <f>IF(A110="","",Calculation!BA116)</f>
        <v/>
      </c>
      <c r="AF110" s="396" t="str">
        <f>IF(A110="","",Calculation!AX116)</f>
        <v/>
      </c>
      <c r="AG110" s="396" t="str">
        <f>IF(A110="","",Calculation!AW116)</f>
        <v/>
      </c>
      <c r="AH110" s="391" t="str">
        <f>IF(A110="","",Calculation!AY116)</f>
        <v/>
      </c>
      <c r="AI110" s="391" t="str">
        <f>IF(A110="","",Calculation!Y116)</f>
        <v/>
      </c>
      <c r="AJ110" s="401" t="str">
        <f>IF(Calculation!BD116&gt;0,Calculation!BD116," ")</f>
        <v xml:space="preserve"> </v>
      </c>
      <c r="AK110" s="401" t="str">
        <f>IF(Calculation!BD116&gt;0,Calculation!BE116," ")</f>
        <v xml:space="preserve"> </v>
      </c>
      <c r="AL110" s="401" t="str">
        <f>IF(Calculation!BD116&gt;0,Calculation!BF116," ")</f>
        <v xml:space="preserve"> </v>
      </c>
      <c r="AM110" s="401" t="str">
        <f>IF(Calculation!BD116&gt;0,Calculation!BG116," ")</f>
        <v xml:space="preserve"> </v>
      </c>
      <c r="AN110" s="391" t="str">
        <f>IF(Calculation!BH116="N/A","N/A",Calculation!BH116)</f>
        <v xml:space="preserve"> </v>
      </c>
      <c r="AO110" s="402" t="str">
        <f>IF(Calculation!BI116="N/A","N/A",Calculation!BI116)</f>
        <v/>
      </c>
      <c r="AP110" s="391" t="str">
        <f>IF(Calculation!BJ116="N/A","N/A",Calculation!BJ116)</f>
        <v/>
      </c>
      <c r="AQ110" s="402" t="str">
        <f>IF(Calculation!BK116="N/A","N/A",Calculation!BK116)</f>
        <v/>
      </c>
      <c r="AR110" s="391" t="str">
        <f>IF(Calculation!BL116="N/A","N/A",Calculation!BL116)</f>
        <v/>
      </c>
      <c r="AS110" s="402" t="str">
        <f>IF(Calculation!BM116="N/A","N/A",Calculation!BM116)</f>
        <v/>
      </c>
      <c r="AT110" s="400"/>
    </row>
    <row r="111" spans="1:46" ht="12.75" customHeight="1">
      <c r="A111" s="224" t="str">
        <f>IF(Calculation!BN117="","",CONCATENATE(Calculation!BO117,"-",Calculation!R117,"-",Calculation!S117,"-",Calculation!T117,"-",Calculation!U117))</f>
        <v/>
      </c>
      <c r="B111" s="224">
        <v>96</v>
      </c>
      <c r="C111" s="629" t="str">
        <f>IF(A111="","",Calculation!B117)</f>
        <v/>
      </c>
      <c r="D111" s="386" t="str">
        <f>IF(A111="","",Calculation!L117)</f>
        <v/>
      </c>
      <c r="E111" s="387" t="str">
        <f>IF(A111="","",Calculation!J117)</f>
        <v/>
      </c>
      <c r="F111" s="387" t="str">
        <f>IF(A111="","",Calculation!C117)</f>
        <v/>
      </c>
      <c r="G111" s="387" t="str">
        <f>IF(A111="","",LEFT(Calculation!O117,6))</f>
        <v/>
      </c>
      <c r="H111" s="388" t="str">
        <f>IF(A111="","",Calculation!DX117)</f>
        <v/>
      </c>
      <c r="I111" s="387" t="str">
        <f>IF(A111="","",Calculation!P117)</f>
        <v/>
      </c>
      <c r="J111" s="387" t="str">
        <f>IF(A111="","",HLOOKUP(LEFT(Calculation!BO117,7),LookUps!$C$38:$M$41,4))</f>
        <v/>
      </c>
      <c r="K111" s="387" t="str">
        <f>IF(A111="","",Calculation!M117)</f>
        <v/>
      </c>
      <c r="L111" s="387" t="str">
        <f>IF(A111="","",Calculation!S117)</f>
        <v/>
      </c>
      <c r="M111" s="389" t="str">
        <f>IF(A111="","",Calculation!N117)</f>
        <v/>
      </c>
      <c r="N111" s="390" t="str">
        <f>IF(A111="","",Calculation!R117)</f>
        <v/>
      </c>
      <c r="O111" s="391" t="str">
        <f>IF(A111="","",Calculation!$F$6)</f>
        <v/>
      </c>
      <c r="P111" s="392" t="str">
        <f>IF(A111="","",Calculation!$F$7)</f>
        <v/>
      </c>
      <c r="Q111" s="393" t="str">
        <f>IF(A111="","",Calculation!$F$13)</f>
        <v/>
      </c>
      <c r="R111" s="394" t="str">
        <f>IF(A111="","",Calculation!X117)</f>
        <v/>
      </c>
      <c r="S111" s="393" t="str">
        <f>IF(A111="","",Calculation!T117)</f>
        <v/>
      </c>
      <c r="T111" s="395" t="str">
        <f>IF(A111="","",IF(Calculation!$O$8="None","Water",CONCATENATE(Calculation!$O$8,"-",Calculation!$S$8,"%")))</f>
        <v/>
      </c>
      <c r="U111" s="393" t="str">
        <f>IF(A111="","",Calculation!$P$6)</f>
        <v/>
      </c>
      <c r="V111" s="393" t="str">
        <f>IF(A111="","",Calculation!AT117)</f>
        <v/>
      </c>
      <c r="W111" s="396" t="str">
        <f>IF(A111="","",Calculation!AP117)</f>
        <v/>
      </c>
      <c r="X111" s="396" t="str">
        <f>IF(A111="","",Calculation!AO117)</f>
        <v/>
      </c>
      <c r="Y111" s="396" t="str">
        <f>IF(A111="","",Calculation!AQ117)</f>
        <v/>
      </c>
      <c r="Z111" s="396" t="str">
        <f>IF(A111="","",Calculation!$H$6)</f>
        <v/>
      </c>
      <c r="AA111" s="397" t="str">
        <f>IF(A111="","",Calculation!$H$13)</f>
        <v/>
      </c>
      <c r="AB111" s="397" t="str">
        <f>IF(A111="","",Calculation!U117)</f>
        <v/>
      </c>
      <c r="AC111" s="398" t="str">
        <f>IF(A111="","",IF(Calculation!$O$9="None","Water",CONCATENATE(Calculation!$O$9,"-",Calculation!$S$9,"%")))</f>
        <v/>
      </c>
      <c r="AD111" s="396" t="str">
        <f>IF(A111="","",Calculation!$S$6)</f>
        <v/>
      </c>
      <c r="AE111" s="399" t="str">
        <f>IF(A111="","",Calculation!BA117)</f>
        <v/>
      </c>
      <c r="AF111" s="396" t="str">
        <f>IF(A111="","",Calculation!AX117)</f>
        <v/>
      </c>
      <c r="AG111" s="396" t="str">
        <f>IF(A111="","",Calculation!AW117)</f>
        <v/>
      </c>
      <c r="AH111" s="391" t="str">
        <f>IF(A111="","",Calculation!AY117)</f>
        <v/>
      </c>
      <c r="AI111" s="391" t="str">
        <f>IF(A111="","",Calculation!Y117)</f>
        <v/>
      </c>
      <c r="AJ111" s="401" t="str">
        <f>IF(Calculation!BD117&gt;0,Calculation!BD117," ")</f>
        <v xml:space="preserve"> </v>
      </c>
      <c r="AK111" s="401" t="str">
        <f>IF(Calculation!BD117&gt;0,Calculation!BE117," ")</f>
        <v xml:space="preserve"> </v>
      </c>
      <c r="AL111" s="401" t="str">
        <f>IF(Calculation!BD117&gt;0,Calculation!BF117," ")</f>
        <v xml:space="preserve"> </v>
      </c>
      <c r="AM111" s="401" t="str">
        <f>IF(Calculation!BD117&gt;0,Calculation!BG117," ")</f>
        <v xml:space="preserve"> </v>
      </c>
      <c r="AN111" s="391" t="str">
        <f>IF(Calculation!BH117="N/A","N/A",Calculation!BH117)</f>
        <v xml:space="preserve"> </v>
      </c>
      <c r="AO111" s="402" t="str">
        <f>IF(Calculation!BI117="N/A","N/A",Calculation!BI117)</f>
        <v/>
      </c>
      <c r="AP111" s="391" t="str">
        <f>IF(Calculation!BJ117="N/A","N/A",Calculation!BJ117)</f>
        <v/>
      </c>
      <c r="AQ111" s="402" t="str">
        <f>IF(Calculation!BK117="N/A","N/A",Calculation!BK117)</f>
        <v/>
      </c>
      <c r="AR111" s="391" t="str">
        <f>IF(Calculation!BL117="N/A","N/A",Calculation!BL117)</f>
        <v/>
      </c>
      <c r="AS111" s="402" t="str">
        <f>IF(Calculation!BM117="N/A","N/A",Calculation!BM117)</f>
        <v/>
      </c>
      <c r="AT111" s="400"/>
    </row>
    <row r="112" spans="1:46" ht="12.75" customHeight="1">
      <c r="A112" s="224" t="str">
        <f>IF(Calculation!BN118="","",CONCATENATE(Calculation!BO118,"-",Calculation!R118,"-",Calculation!S118,"-",Calculation!T118,"-",Calculation!U118))</f>
        <v/>
      </c>
      <c r="B112" s="224">
        <v>97</v>
      </c>
      <c r="C112" s="629" t="str">
        <f>IF(A112="","",Calculation!B118)</f>
        <v/>
      </c>
      <c r="D112" s="386" t="str">
        <f>IF(A112="","",Calculation!L118)</f>
        <v/>
      </c>
      <c r="E112" s="387" t="str">
        <f>IF(A112="","",Calculation!J118)</f>
        <v/>
      </c>
      <c r="F112" s="387" t="str">
        <f>IF(A112="","",Calculation!C118)</f>
        <v/>
      </c>
      <c r="G112" s="387" t="str">
        <f>IF(A112="","",LEFT(Calculation!O118,6))</f>
        <v/>
      </c>
      <c r="H112" s="388" t="str">
        <f>IF(A112="","",Calculation!DX118)</f>
        <v/>
      </c>
      <c r="I112" s="387" t="str">
        <f>IF(A112="","",Calculation!P118)</f>
        <v/>
      </c>
      <c r="J112" s="387" t="str">
        <f>IF(A112="","",HLOOKUP(LEFT(Calculation!BO118,7),LookUps!$C$38:$M$41,4))</f>
        <v/>
      </c>
      <c r="K112" s="387" t="str">
        <f>IF(A112="","",Calculation!M118)</f>
        <v/>
      </c>
      <c r="L112" s="387" t="str">
        <f>IF(A112="","",Calculation!S118)</f>
        <v/>
      </c>
      <c r="M112" s="389" t="str">
        <f>IF(A112="","",Calculation!N118)</f>
        <v/>
      </c>
      <c r="N112" s="390" t="str">
        <f>IF(A112="","",Calculation!R118)</f>
        <v/>
      </c>
      <c r="O112" s="391" t="str">
        <f>IF(A112="","",Calculation!$F$6)</f>
        <v/>
      </c>
      <c r="P112" s="392" t="str">
        <f>IF(A112="","",Calculation!$F$7)</f>
        <v/>
      </c>
      <c r="Q112" s="393" t="str">
        <f>IF(A112="","",Calculation!$F$13)</f>
        <v/>
      </c>
      <c r="R112" s="394" t="str">
        <f>IF(A112="","",Calculation!X118)</f>
        <v/>
      </c>
      <c r="S112" s="393" t="str">
        <f>IF(A112="","",Calculation!T118)</f>
        <v/>
      </c>
      <c r="T112" s="395" t="str">
        <f>IF(A112="","",IF(Calculation!$O$8="None","Water",CONCATENATE(Calculation!$O$8,"-",Calculation!$S$8,"%")))</f>
        <v/>
      </c>
      <c r="U112" s="393" t="str">
        <f>IF(A112="","",Calculation!$P$6)</f>
        <v/>
      </c>
      <c r="V112" s="393" t="str">
        <f>IF(A112="","",Calculation!AT118)</f>
        <v/>
      </c>
      <c r="W112" s="396" t="str">
        <f>IF(A112="","",Calculation!AP118)</f>
        <v/>
      </c>
      <c r="X112" s="396" t="str">
        <f>IF(A112="","",Calculation!AO118)</f>
        <v/>
      </c>
      <c r="Y112" s="396" t="str">
        <f>IF(A112="","",Calculation!AQ118)</f>
        <v/>
      </c>
      <c r="Z112" s="396" t="str">
        <f>IF(A112="","",Calculation!$H$6)</f>
        <v/>
      </c>
      <c r="AA112" s="397" t="str">
        <f>IF(A112="","",Calculation!$H$13)</f>
        <v/>
      </c>
      <c r="AB112" s="397" t="str">
        <f>IF(A112="","",Calculation!U118)</f>
        <v/>
      </c>
      <c r="AC112" s="398" t="str">
        <f>IF(A112="","",IF(Calculation!$O$9="None","Water",CONCATENATE(Calculation!$O$9,"-",Calculation!$S$9,"%")))</f>
        <v/>
      </c>
      <c r="AD112" s="396" t="str">
        <f>IF(A112="","",Calculation!$S$6)</f>
        <v/>
      </c>
      <c r="AE112" s="399" t="str">
        <f>IF(A112="","",Calculation!BA118)</f>
        <v/>
      </c>
      <c r="AF112" s="396" t="str">
        <f>IF(A112="","",Calculation!AX118)</f>
        <v/>
      </c>
      <c r="AG112" s="396" t="str">
        <f>IF(A112="","",Calculation!AW118)</f>
        <v/>
      </c>
      <c r="AH112" s="391" t="str">
        <f>IF(A112="","",Calculation!AY118)</f>
        <v/>
      </c>
      <c r="AI112" s="391" t="str">
        <f>IF(A112="","",Calculation!Y118)</f>
        <v/>
      </c>
      <c r="AJ112" s="401" t="str">
        <f>IF(Calculation!BD118&gt;0,Calculation!BD118," ")</f>
        <v xml:space="preserve"> </v>
      </c>
      <c r="AK112" s="401" t="str">
        <f>IF(Calculation!BD118&gt;0,Calculation!BE118," ")</f>
        <v xml:space="preserve"> </v>
      </c>
      <c r="AL112" s="401" t="str">
        <f>IF(Calculation!BD118&gt;0,Calculation!BF118," ")</f>
        <v xml:space="preserve"> </v>
      </c>
      <c r="AM112" s="401" t="str">
        <f>IF(Calculation!BD118&gt;0,Calculation!BG118," ")</f>
        <v xml:space="preserve"> </v>
      </c>
      <c r="AN112" s="391" t="str">
        <f>IF(Calculation!BH118="N/A","N/A",Calculation!BH118)</f>
        <v xml:space="preserve"> </v>
      </c>
      <c r="AO112" s="402" t="str">
        <f>IF(Calculation!BI118="N/A","N/A",Calculation!BI118)</f>
        <v/>
      </c>
      <c r="AP112" s="391" t="str">
        <f>IF(Calculation!BJ118="N/A","N/A",Calculation!BJ118)</f>
        <v/>
      </c>
      <c r="AQ112" s="402" t="str">
        <f>IF(Calculation!BK118="N/A","N/A",Calculation!BK118)</f>
        <v/>
      </c>
      <c r="AR112" s="391" t="str">
        <f>IF(Calculation!BL118="N/A","N/A",Calculation!BL118)</f>
        <v/>
      </c>
      <c r="AS112" s="402" t="str">
        <f>IF(Calculation!BM118="N/A","N/A",Calculation!BM118)</f>
        <v/>
      </c>
      <c r="AT112" s="400"/>
    </row>
    <row r="113" spans="1:46" ht="12.75" customHeight="1">
      <c r="A113" s="224" t="str">
        <f>IF(Calculation!BN119="","",CONCATENATE(Calculation!BO119,"-",Calculation!R119,"-",Calculation!S119,"-",Calculation!T119,"-",Calculation!U119))</f>
        <v/>
      </c>
      <c r="B113" s="224">
        <v>98</v>
      </c>
      <c r="C113" s="629" t="str">
        <f>IF(A113="","",Calculation!B119)</f>
        <v/>
      </c>
      <c r="D113" s="386" t="str">
        <f>IF(A113="","",Calculation!L119)</f>
        <v/>
      </c>
      <c r="E113" s="387" t="str">
        <f>IF(A113="","",Calculation!J119)</f>
        <v/>
      </c>
      <c r="F113" s="387" t="str">
        <f>IF(A113="","",Calculation!C119)</f>
        <v/>
      </c>
      <c r="G113" s="387" t="str">
        <f>IF(A113="","",LEFT(Calculation!O119,6))</f>
        <v/>
      </c>
      <c r="H113" s="388" t="str">
        <f>IF(A113="","",Calculation!DX119)</f>
        <v/>
      </c>
      <c r="I113" s="387" t="str">
        <f>IF(A113="","",Calculation!P119)</f>
        <v/>
      </c>
      <c r="J113" s="387" t="str">
        <f>IF(A113="","",HLOOKUP(LEFT(Calculation!BO119,7),LookUps!$C$38:$M$41,4))</f>
        <v/>
      </c>
      <c r="K113" s="387" t="str">
        <f>IF(A113="","",Calculation!M119)</f>
        <v/>
      </c>
      <c r="L113" s="387" t="str">
        <f>IF(A113="","",Calculation!S119)</f>
        <v/>
      </c>
      <c r="M113" s="389" t="str">
        <f>IF(A113="","",Calculation!N119)</f>
        <v/>
      </c>
      <c r="N113" s="390" t="str">
        <f>IF(A113="","",Calculation!R119)</f>
        <v/>
      </c>
      <c r="O113" s="391" t="str">
        <f>IF(A113="","",Calculation!$F$6)</f>
        <v/>
      </c>
      <c r="P113" s="392" t="str">
        <f>IF(A113="","",Calculation!$F$7)</f>
        <v/>
      </c>
      <c r="Q113" s="393" t="str">
        <f>IF(A113="","",Calculation!$F$13)</f>
        <v/>
      </c>
      <c r="R113" s="394" t="str">
        <f>IF(A113="","",Calculation!X119)</f>
        <v/>
      </c>
      <c r="S113" s="393" t="str">
        <f>IF(A113="","",Calculation!T119)</f>
        <v/>
      </c>
      <c r="T113" s="395" t="str">
        <f>IF(A113="","",IF(Calculation!$O$8="None","Water",CONCATENATE(Calculation!$O$8,"-",Calculation!$S$8,"%")))</f>
        <v/>
      </c>
      <c r="U113" s="393" t="str">
        <f>IF(A113="","",Calculation!$P$6)</f>
        <v/>
      </c>
      <c r="V113" s="393" t="str">
        <f>IF(A113="","",Calculation!AT119)</f>
        <v/>
      </c>
      <c r="W113" s="396" t="str">
        <f>IF(A113="","",Calculation!AP119)</f>
        <v/>
      </c>
      <c r="X113" s="396" t="str">
        <f>IF(A113="","",Calculation!AO119)</f>
        <v/>
      </c>
      <c r="Y113" s="396" t="str">
        <f>IF(A113="","",Calculation!AQ119)</f>
        <v/>
      </c>
      <c r="Z113" s="396" t="str">
        <f>IF(A113="","",Calculation!$H$6)</f>
        <v/>
      </c>
      <c r="AA113" s="397" t="str">
        <f>IF(A113="","",Calculation!$H$13)</f>
        <v/>
      </c>
      <c r="AB113" s="397" t="str">
        <f>IF(A113="","",Calculation!U119)</f>
        <v/>
      </c>
      <c r="AC113" s="398" t="str">
        <f>IF(A113="","",IF(Calculation!$O$9="None","Water",CONCATENATE(Calculation!$O$9,"-",Calculation!$S$9,"%")))</f>
        <v/>
      </c>
      <c r="AD113" s="396" t="str">
        <f>IF(A113="","",Calculation!$S$6)</f>
        <v/>
      </c>
      <c r="AE113" s="399" t="str">
        <f>IF(A113="","",Calculation!BA119)</f>
        <v/>
      </c>
      <c r="AF113" s="396" t="str">
        <f>IF(A113="","",Calculation!AX119)</f>
        <v/>
      </c>
      <c r="AG113" s="396" t="str">
        <f>IF(A113="","",Calculation!AW119)</f>
        <v/>
      </c>
      <c r="AH113" s="391" t="str">
        <f>IF(A113="","",Calculation!AY119)</f>
        <v/>
      </c>
      <c r="AI113" s="391" t="str">
        <f>IF(A113="","",Calculation!Y119)</f>
        <v/>
      </c>
      <c r="AJ113" s="401" t="str">
        <f>IF(Calculation!BD119&gt;0,Calculation!BD119," ")</f>
        <v xml:space="preserve"> </v>
      </c>
      <c r="AK113" s="401" t="str">
        <f>IF(Calculation!BD119&gt;0,Calculation!BE119," ")</f>
        <v xml:space="preserve"> </v>
      </c>
      <c r="AL113" s="401" t="str">
        <f>IF(Calculation!BD119&gt;0,Calculation!BF119," ")</f>
        <v xml:space="preserve"> </v>
      </c>
      <c r="AM113" s="401" t="str">
        <f>IF(Calculation!BD119&gt;0,Calculation!BG119," ")</f>
        <v xml:space="preserve"> </v>
      </c>
      <c r="AN113" s="391" t="str">
        <f>IF(Calculation!BH119="N/A","N/A",Calculation!BH119)</f>
        <v xml:space="preserve"> </v>
      </c>
      <c r="AO113" s="402" t="str">
        <f>IF(Calculation!BI119="N/A","N/A",Calculation!BI119)</f>
        <v/>
      </c>
      <c r="AP113" s="391" t="str">
        <f>IF(Calculation!BJ119="N/A","N/A",Calculation!BJ119)</f>
        <v/>
      </c>
      <c r="AQ113" s="402" t="str">
        <f>IF(Calculation!BK119="N/A","N/A",Calculation!BK119)</f>
        <v/>
      </c>
      <c r="AR113" s="391" t="str">
        <f>IF(Calculation!BL119="N/A","N/A",Calculation!BL119)</f>
        <v/>
      </c>
      <c r="AS113" s="402" t="str">
        <f>IF(Calculation!BM119="N/A","N/A",Calculation!BM119)</f>
        <v/>
      </c>
      <c r="AT113" s="400"/>
    </row>
    <row r="114" spans="1:46" ht="12.75" customHeight="1">
      <c r="A114" s="224" t="str">
        <f>IF(Calculation!BN120="","",CONCATENATE(Calculation!BO120,"-",Calculation!R120,"-",Calculation!S120,"-",Calculation!T120,"-",Calculation!U120))</f>
        <v/>
      </c>
      <c r="B114" s="224">
        <v>99</v>
      </c>
      <c r="C114" s="629" t="str">
        <f>IF(A114="","",Calculation!B120)</f>
        <v/>
      </c>
      <c r="D114" s="386" t="str">
        <f>IF(A114="","",Calculation!L120)</f>
        <v/>
      </c>
      <c r="E114" s="387" t="str">
        <f>IF(A114="","",Calculation!J120)</f>
        <v/>
      </c>
      <c r="F114" s="387" t="str">
        <f>IF(A114="","",Calculation!C120)</f>
        <v/>
      </c>
      <c r="G114" s="387" t="str">
        <f>IF(A114="","",LEFT(Calculation!O120,6))</f>
        <v/>
      </c>
      <c r="H114" s="388" t="str">
        <f>IF(A114="","",Calculation!DX120)</f>
        <v/>
      </c>
      <c r="I114" s="387" t="str">
        <f>IF(A114="","",Calculation!P120)</f>
        <v/>
      </c>
      <c r="J114" s="387" t="str">
        <f>IF(A114="","",HLOOKUP(LEFT(Calculation!BO120,7),LookUps!$C$38:$M$41,4))</f>
        <v/>
      </c>
      <c r="K114" s="387" t="str">
        <f>IF(A114="","",Calculation!M120)</f>
        <v/>
      </c>
      <c r="L114" s="387" t="str">
        <f>IF(A114="","",Calculation!S120)</f>
        <v/>
      </c>
      <c r="M114" s="389" t="str">
        <f>IF(A114="","",Calculation!N120)</f>
        <v/>
      </c>
      <c r="N114" s="390" t="str">
        <f>IF(A114="","",Calculation!R120)</f>
        <v/>
      </c>
      <c r="O114" s="391" t="str">
        <f>IF(A114="","",Calculation!$F$6)</f>
        <v/>
      </c>
      <c r="P114" s="392" t="str">
        <f>IF(A114="","",Calculation!$F$7)</f>
        <v/>
      </c>
      <c r="Q114" s="393" t="str">
        <f>IF(A114="","",Calculation!$F$13)</f>
        <v/>
      </c>
      <c r="R114" s="394" t="str">
        <f>IF(A114="","",Calculation!X120)</f>
        <v/>
      </c>
      <c r="S114" s="393" t="str">
        <f>IF(A114="","",Calculation!T120)</f>
        <v/>
      </c>
      <c r="T114" s="395" t="str">
        <f>IF(A114="","",IF(Calculation!$O$8="None","Water",CONCATENATE(Calculation!$O$8,"-",Calculation!$S$8,"%")))</f>
        <v/>
      </c>
      <c r="U114" s="393" t="str">
        <f>IF(A114="","",Calculation!$P$6)</f>
        <v/>
      </c>
      <c r="V114" s="393" t="str">
        <f>IF(A114="","",Calculation!AT120)</f>
        <v/>
      </c>
      <c r="W114" s="396" t="str">
        <f>IF(A114="","",Calculation!AP120)</f>
        <v/>
      </c>
      <c r="X114" s="396" t="str">
        <f>IF(A114="","",Calculation!AO120)</f>
        <v/>
      </c>
      <c r="Y114" s="396" t="str">
        <f>IF(A114="","",Calculation!AQ120)</f>
        <v/>
      </c>
      <c r="Z114" s="396" t="str">
        <f>IF(A114="","",Calculation!$H$6)</f>
        <v/>
      </c>
      <c r="AA114" s="397" t="str">
        <f>IF(A114="","",Calculation!$H$13)</f>
        <v/>
      </c>
      <c r="AB114" s="397" t="str">
        <f>IF(A114="","",Calculation!U120)</f>
        <v/>
      </c>
      <c r="AC114" s="398" t="str">
        <f>IF(A114="","",IF(Calculation!$O$9="None","Water",CONCATENATE(Calculation!$O$9,"-",Calculation!$S$9,"%")))</f>
        <v/>
      </c>
      <c r="AD114" s="396" t="str">
        <f>IF(A114="","",Calculation!$S$6)</f>
        <v/>
      </c>
      <c r="AE114" s="399" t="str">
        <f>IF(A114="","",Calculation!BA120)</f>
        <v/>
      </c>
      <c r="AF114" s="396" t="str">
        <f>IF(A114="","",Calculation!AX120)</f>
        <v/>
      </c>
      <c r="AG114" s="396" t="str">
        <f>IF(A114="","",Calculation!AW120)</f>
        <v/>
      </c>
      <c r="AH114" s="391" t="str">
        <f>IF(A114="","",Calculation!AY120)</f>
        <v/>
      </c>
      <c r="AI114" s="391" t="str">
        <f>IF(A114="","",Calculation!Y120)</f>
        <v/>
      </c>
      <c r="AJ114" s="401" t="str">
        <f>IF(Calculation!BD120&gt;0,Calculation!BD120," ")</f>
        <v xml:space="preserve"> </v>
      </c>
      <c r="AK114" s="401" t="str">
        <f>IF(Calculation!BD120&gt;0,Calculation!BE120," ")</f>
        <v xml:space="preserve"> </v>
      </c>
      <c r="AL114" s="401" t="str">
        <f>IF(Calculation!BD120&gt;0,Calculation!BF120," ")</f>
        <v xml:space="preserve"> </v>
      </c>
      <c r="AM114" s="401" t="str">
        <f>IF(Calculation!BD120&gt;0,Calculation!BG120," ")</f>
        <v xml:space="preserve"> </v>
      </c>
      <c r="AN114" s="391" t="str">
        <f>IF(Calculation!BH120="N/A","N/A",Calculation!BH120)</f>
        <v xml:space="preserve"> </v>
      </c>
      <c r="AO114" s="402" t="str">
        <f>IF(Calculation!BI120="N/A","N/A",Calculation!BI120)</f>
        <v/>
      </c>
      <c r="AP114" s="391" t="str">
        <f>IF(Calculation!BJ120="N/A","N/A",Calculation!BJ120)</f>
        <v/>
      </c>
      <c r="AQ114" s="402" t="str">
        <f>IF(Calculation!BK120="N/A","N/A",Calculation!BK120)</f>
        <v/>
      </c>
      <c r="AR114" s="391" t="str">
        <f>IF(Calculation!BL120="N/A","N/A",Calculation!BL120)</f>
        <v/>
      </c>
      <c r="AS114" s="402" t="str">
        <f>IF(Calculation!BM120="N/A","N/A",Calculation!BM120)</f>
        <v/>
      </c>
      <c r="AT114" s="400"/>
    </row>
    <row r="115" spans="1:46" ht="12.75" customHeight="1">
      <c r="A115" s="224" t="str">
        <f>IF(Calculation!BN121="","",CONCATENATE(Calculation!BO121,"-",Calculation!R121,"-",Calculation!S121,"-",Calculation!T121,"-",Calculation!U121))</f>
        <v/>
      </c>
      <c r="B115" s="224">
        <v>100</v>
      </c>
      <c r="C115" s="629" t="str">
        <f>IF(A115="","",Calculation!B121)</f>
        <v/>
      </c>
      <c r="D115" s="386" t="str">
        <f>IF(A115="","",Calculation!L121)</f>
        <v/>
      </c>
      <c r="E115" s="387" t="str">
        <f>IF(A115="","",Calculation!J121)</f>
        <v/>
      </c>
      <c r="F115" s="387" t="str">
        <f>IF(A115="","",Calculation!C121)</f>
        <v/>
      </c>
      <c r="G115" s="387" t="str">
        <f>IF(A115="","",LEFT(Calculation!O121,6))</f>
        <v/>
      </c>
      <c r="H115" s="388" t="str">
        <f>IF(A115="","",Calculation!DX121)</f>
        <v/>
      </c>
      <c r="I115" s="387" t="str">
        <f>IF(A115="","",Calculation!P121)</f>
        <v/>
      </c>
      <c r="J115" s="387" t="str">
        <f>IF(A115="","",HLOOKUP(LEFT(Calculation!BO121,7),LookUps!$C$38:$M$41,4))</f>
        <v/>
      </c>
      <c r="K115" s="387" t="str">
        <f>IF(A115="","",Calculation!M121)</f>
        <v/>
      </c>
      <c r="L115" s="387" t="str">
        <f>IF(A115="","",Calculation!S121)</f>
        <v/>
      </c>
      <c r="M115" s="389" t="str">
        <f>IF(A115="","",Calculation!N121)</f>
        <v/>
      </c>
      <c r="N115" s="390" t="str">
        <f>IF(A115="","",Calculation!R121)</f>
        <v/>
      </c>
      <c r="O115" s="391" t="str">
        <f>IF(A115="","",Calculation!$F$6)</f>
        <v/>
      </c>
      <c r="P115" s="392" t="str">
        <f>IF(A115="","",Calculation!$F$7)</f>
        <v/>
      </c>
      <c r="Q115" s="393" t="str">
        <f>IF(A115="","",Calculation!$F$13)</f>
        <v/>
      </c>
      <c r="R115" s="394" t="str">
        <f>IF(A115="","",Calculation!X121)</f>
        <v/>
      </c>
      <c r="S115" s="393" t="str">
        <f>IF(A115="","",Calculation!T121)</f>
        <v/>
      </c>
      <c r="T115" s="395" t="str">
        <f>IF(A115="","",IF(Calculation!$O$8="None","Water",CONCATENATE(Calculation!$O$8,"-",Calculation!$S$8,"%")))</f>
        <v/>
      </c>
      <c r="U115" s="393" t="str">
        <f>IF(A115="","",Calculation!$P$6)</f>
        <v/>
      </c>
      <c r="V115" s="393" t="str">
        <f>IF(A115="","",Calculation!AT121)</f>
        <v/>
      </c>
      <c r="W115" s="396" t="str">
        <f>IF(A115="","",Calculation!AP121)</f>
        <v/>
      </c>
      <c r="X115" s="396" t="str">
        <f>IF(A115="","",Calculation!AO121)</f>
        <v/>
      </c>
      <c r="Y115" s="396" t="str">
        <f>IF(A115="","",Calculation!AQ121)</f>
        <v/>
      </c>
      <c r="Z115" s="396" t="str">
        <f>IF(A115="","",Calculation!$H$6)</f>
        <v/>
      </c>
      <c r="AA115" s="397" t="str">
        <f>IF(A115="","",Calculation!$H$13)</f>
        <v/>
      </c>
      <c r="AB115" s="397" t="str">
        <f>IF(A115="","",Calculation!U121)</f>
        <v/>
      </c>
      <c r="AC115" s="398" t="str">
        <f>IF(A115="","",IF(Calculation!$O$9="None","Water",CONCATENATE(Calculation!$O$9,"-",Calculation!$S$9,"%")))</f>
        <v/>
      </c>
      <c r="AD115" s="396" t="str">
        <f>IF(A115="","",Calculation!$S$6)</f>
        <v/>
      </c>
      <c r="AE115" s="399" t="str">
        <f>IF(A115="","",Calculation!BA121)</f>
        <v/>
      </c>
      <c r="AF115" s="396" t="str">
        <f>IF(A115="","",Calculation!AX121)</f>
        <v/>
      </c>
      <c r="AG115" s="396" t="str">
        <f>IF(A115="","",Calculation!AW121)</f>
        <v/>
      </c>
      <c r="AH115" s="391" t="str">
        <f>IF(A115="","",Calculation!AY121)</f>
        <v/>
      </c>
      <c r="AI115" s="391" t="str">
        <f>IF(A115="","",Calculation!Y121)</f>
        <v/>
      </c>
      <c r="AJ115" s="401" t="str">
        <f>IF(Calculation!BD121&gt;0,Calculation!BD121," ")</f>
        <v xml:space="preserve"> </v>
      </c>
      <c r="AK115" s="401" t="str">
        <f>IF(Calculation!BD121&gt;0,Calculation!BE121," ")</f>
        <v xml:space="preserve"> </v>
      </c>
      <c r="AL115" s="401" t="str">
        <f>IF(Calculation!BD121&gt;0,Calculation!BF121," ")</f>
        <v xml:space="preserve"> </v>
      </c>
      <c r="AM115" s="401" t="str">
        <f>IF(Calculation!BD121&gt;0,Calculation!BG121," ")</f>
        <v xml:space="preserve"> </v>
      </c>
      <c r="AN115" s="391" t="str">
        <f>IF(Calculation!BH121="N/A","N/A",Calculation!BH121)</f>
        <v xml:space="preserve"> </v>
      </c>
      <c r="AO115" s="402" t="str">
        <f>IF(Calculation!BI121="N/A","N/A",Calculation!BI121)</f>
        <v/>
      </c>
      <c r="AP115" s="391" t="str">
        <f>IF(Calculation!BJ121="N/A","N/A",Calculation!BJ121)</f>
        <v/>
      </c>
      <c r="AQ115" s="402" t="str">
        <f>IF(Calculation!BK121="N/A","N/A",Calculation!BK121)</f>
        <v/>
      </c>
      <c r="AR115" s="391" t="str">
        <f>IF(Calculation!BL121="N/A","N/A",Calculation!BL121)</f>
        <v/>
      </c>
      <c r="AS115" s="402" t="str">
        <f>IF(Calculation!BM121="N/A","N/A",Calculation!BM121)</f>
        <v/>
      </c>
      <c r="AT115" s="400"/>
    </row>
    <row r="116" spans="1:46" ht="12.75" customHeight="1">
      <c r="A116" s="224" t="str">
        <f>IF(Calculation!BN122="","",CONCATENATE(Calculation!BO122,"-",Calculation!R122,"-",Calculation!S122,"-",Calculation!T122,"-",Calculation!U122))</f>
        <v/>
      </c>
      <c r="B116" s="224">
        <v>101</v>
      </c>
      <c r="C116" s="629" t="str">
        <f>IF(A116="","",Calculation!B122)</f>
        <v/>
      </c>
      <c r="D116" s="386" t="str">
        <f>IF(A116="","",Calculation!L122)</f>
        <v/>
      </c>
      <c r="E116" s="387" t="str">
        <f>IF(A116="","",Calculation!J122)</f>
        <v/>
      </c>
      <c r="F116" s="387" t="str">
        <f>IF(A116="","",Calculation!C122)</f>
        <v/>
      </c>
      <c r="G116" s="387" t="str">
        <f>IF(A116="","",LEFT(Calculation!O122,6))</f>
        <v/>
      </c>
      <c r="H116" s="388" t="str">
        <f>IF(A116="","",Calculation!DX122)</f>
        <v/>
      </c>
      <c r="I116" s="387" t="str">
        <f>IF(A116="","",Calculation!P122)</f>
        <v/>
      </c>
      <c r="J116" s="387" t="str">
        <f>IF(A116="","",HLOOKUP(LEFT(Calculation!BO122,7),LookUps!$C$38:$M$41,4))</f>
        <v/>
      </c>
      <c r="K116" s="387" t="str">
        <f>IF(A116="","",Calculation!M122)</f>
        <v/>
      </c>
      <c r="L116" s="387" t="str">
        <f>IF(A116="","",Calculation!S122)</f>
        <v/>
      </c>
      <c r="M116" s="389" t="str">
        <f>IF(A116="","",Calculation!N122)</f>
        <v/>
      </c>
      <c r="N116" s="390" t="str">
        <f>IF(A116="","",Calculation!R122)</f>
        <v/>
      </c>
      <c r="O116" s="391" t="str">
        <f>IF(A116="","",Calculation!$F$6)</f>
        <v/>
      </c>
      <c r="P116" s="392" t="str">
        <f>IF(A116="","",Calculation!$F$7)</f>
        <v/>
      </c>
      <c r="Q116" s="393" t="str">
        <f>IF(A116="","",Calculation!$F$13)</f>
        <v/>
      </c>
      <c r="R116" s="394" t="str">
        <f>IF(A116="","",Calculation!X122)</f>
        <v/>
      </c>
      <c r="S116" s="393" t="str">
        <f>IF(A116="","",Calculation!T122)</f>
        <v/>
      </c>
      <c r="T116" s="395" t="str">
        <f>IF(A116="","",IF(Calculation!$O$8="None","Water",CONCATENATE(Calculation!$O$8,"-",Calculation!$S$8,"%")))</f>
        <v/>
      </c>
      <c r="U116" s="393" t="str">
        <f>IF(A116="","",Calculation!$P$6)</f>
        <v/>
      </c>
      <c r="V116" s="393" t="str">
        <f>IF(A116="","",Calculation!AT122)</f>
        <v/>
      </c>
      <c r="W116" s="396" t="str">
        <f>IF(A116="","",Calculation!AP122)</f>
        <v/>
      </c>
      <c r="X116" s="396" t="str">
        <f>IF(A116="","",Calculation!AO122)</f>
        <v/>
      </c>
      <c r="Y116" s="396" t="str">
        <f>IF(A116="","",Calculation!AQ122)</f>
        <v/>
      </c>
      <c r="Z116" s="396" t="str">
        <f>IF(A116="","",Calculation!$H$6)</f>
        <v/>
      </c>
      <c r="AA116" s="397" t="str">
        <f>IF(A116="","",Calculation!$H$13)</f>
        <v/>
      </c>
      <c r="AB116" s="397" t="str">
        <f>IF(A116="","",Calculation!U122)</f>
        <v/>
      </c>
      <c r="AC116" s="398" t="str">
        <f>IF(A116="","",IF(Calculation!$O$9="None","Water",CONCATENATE(Calculation!$O$9,"-",Calculation!$S$9,"%")))</f>
        <v/>
      </c>
      <c r="AD116" s="396" t="str">
        <f>IF(A116="","",Calculation!$S$6)</f>
        <v/>
      </c>
      <c r="AE116" s="399" t="str">
        <f>IF(A116="","",Calculation!BA122)</f>
        <v/>
      </c>
      <c r="AF116" s="396" t="str">
        <f>IF(A116="","",Calculation!AX122)</f>
        <v/>
      </c>
      <c r="AG116" s="396" t="str">
        <f>IF(A116="","",Calculation!AW122)</f>
        <v/>
      </c>
      <c r="AH116" s="391" t="str">
        <f>IF(A116="","",Calculation!AY122)</f>
        <v/>
      </c>
      <c r="AI116" s="391" t="str">
        <f>IF(A116="","",Calculation!Y122)</f>
        <v/>
      </c>
      <c r="AJ116" s="401" t="str">
        <f>IF(Calculation!BD122&gt;0,Calculation!BD122," ")</f>
        <v xml:space="preserve"> </v>
      </c>
      <c r="AK116" s="401" t="str">
        <f>IF(Calculation!BD122&gt;0,Calculation!BE122," ")</f>
        <v xml:space="preserve"> </v>
      </c>
      <c r="AL116" s="401" t="str">
        <f>IF(Calculation!BD122&gt;0,Calculation!BF122," ")</f>
        <v xml:space="preserve"> </v>
      </c>
      <c r="AM116" s="401" t="str">
        <f>IF(Calculation!BD122&gt;0,Calculation!BG122," ")</f>
        <v xml:space="preserve"> </v>
      </c>
      <c r="AN116" s="391" t="str">
        <f>IF(Calculation!BH122="N/A","N/A",Calculation!BH122)</f>
        <v xml:space="preserve"> </v>
      </c>
      <c r="AO116" s="402" t="str">
        <f>IF(Calculation!BI122="N/A","N/A",Calculation!BI122)</f>
        <v/>
      </c>
      <c r="AP116" s="391" t="str">
        <f>IF(Calculation!BJ122="N/A","N/A",Calculation!BJ122)</f>
        <v/>
      </c>
      <c r="AQ116" s="402" t="str">
        <f>IF(Calculation!BK122="N/A","N/A",Calculation!BK122)</f>
        <v/>
      </c>
      <c r="AR116" s="391" t="str">
        <f>IF(Calculation!BL122="N/A","N/A",Calculation!BL122)</f>
        <v/>
      </c>
      <c r="AS116" s="402" t="str">
        <f>IF(Calculation!BM122="N/A","N/A",Calculation!BM122)</f>
        <v/>
      </c>
      <c r="AT116" s="400"/>
    </row>
    <row r="117" spans="1:46" ht="12.75" customHeight="1">
      <c r="A117" s="224" t="str">
        <f>IF(Calculation!BN123="","",CONCATENATE(Calculation!BO123,"-",Calculation!R123,"-",Calculation!S123,"-",Calculation!T123,"-",Calculation!U123))</f>
        <v/>
      </c>
      <c r="B117" s="224">
        <v>102</v>
      </c>
      <c r="C117" s="629" t="str">
        <f>IF(A117="","",Calculation!B123)</f>
        <v/>
      </c>
      <c r="D117" s="386" t="str">
        <f>IF(A117="","",Calculation!L123)</f>
        <v/>
      </c>
      <c r="E117" s="387" t="str">
        <f>IF(A117="","",Calculation!J123)</f>
        <v/>
      </c>
      <c r="F117" s="387" t="str">
        <f>IF(A117="","",Calculation!C123)</f>
        <v/>
      </c>
      <c r="G117" s="387" t="str">
        <f>IF(A117="","",LEFT(Calculation!O123,6))</f>
        <v/>
      </c>
      <c r="H117" s="388" t="str">
        <f>IF(A117="","",Calculation!DX123)</f>
        <v/>
      </c>
      <c r="I117" s="387" t="str">
        <f>IF(A117="","",Calculation!P123)</f>
        <v/>
      </c>
      <c r="J117" s="387" t="str">
        <f>IF(A117="","",HLOOKUP(LEFT(Calculation!BO123,7),LookUps!$C$38:$M$41,4))</f>
        <v/>
      </c>
      <c r="K117" s="387" t="str">
        <f>IF(A117="","",Calculation!M123)</f>
        <v/>
      </c>
      <c r="L117" s="387" t="str">
        <f>IF(A117="","",Calculation!S123)</f>
        <v/>
      </c>
      <c r="M117" s="389" t="str">
        <f>IF(A117="","",Calculation!N123)</f>
        <v/>
      </c>
      <c r="N117" s="390" t="str">
        <f>IF(A117="","",Calculation!R123)</f>
        <v/>
      </c>
      <c r="O117" s="391" t="str">
        <f>IF(A117="","",Calculation!$F$6)</f>
        <v/>
      </c>
      <c r="P117" s="392" t="str">
        <f>IF(A117="","",Calculation!$F$7)</f>
        <v/>
      </c>
      <c r="Q117" s="393" t="str">
        <f>IF(A117="","",Calculation!$F$13)</f>
        <v/>
      </c>
      <c r="R117" s="394" t="str">
        <f>IF(A117="","",Calculation!X123)</f>
        <v/>
      </c>
      <c r="S117" s="393" t="str">
        <f>IF(A117="","",Calculation!T123)</f>
        <v/>
      </c>
      <c r="T117" s="395" t="str">
        <f>IF(A117="","",IF(Calculation!$O$8="None","Water",CONCATENATE(Calculation!$O$8,"-",Calculation!$S$8,"%")))</f>
        <v/>
      </c>
      <c r="U117" s="393" t="str">
        <f>IF(A117="","",Calculation!$P$6)</f>
        <v/>
      </c>
      <c r="V117" s="393" t="str">
        <f>IF(A117="","",Calculation!AT123)</f>
        <v/>
      </c>
      <c r="W117" s="396" t="str">
        <f>IF(A117="","",Calculation!AP123)</f>
        <v/>
      </c>
      <c r="X117" s="396" t="str">
        <f>IF(A117="","",Calculation!AO123)</f>
        <v/>
      </c>
      <c r="Y117" s="396" t="str">
        <f>IF(A117="","",Calculation!AQ123)</f>
        <v/>
      </c>
      <c r="Z117" s="396" t="str">
        <f>IF(A117="","",Calculation!$H$6)</f>
        <v/>
      </c>
      <c r="AA117" s="397" t="str">
        <f>IF(A117="","",Calculation!$H$13)</f>
        <v/>
      </c>
      <c r="AB117" s="397" t="str">
        <f>IF(A117="","",Calculation!U123)</f>
        <v/>
      </c>
      <c r="AC117" s="398" t="str">
        <f>IF(A117="","",IF(Calculation!$O$9="None","Water",CONCATENATE(Calculation!$O$9,"-",Calculation!$S$9,"%")))</f>
        <v/>
      </c>
      <c r="AD117" s="396" t="str">
        <f>IF(A117="","",Calculation!$S$6)</f>
        <v/>
      </c>
      <c r="AE117" s="399" t="str">
        <f>IF(A117="","",Calculation!BA123)</f>
        <v/>
      </c>
      <c r="AF117" s="396" t="str">
        <f>IF(A117="","",Calculation!AX123)</f>
        <v/>
      </c>
      <c r="AG117" s="396" t="str">
        <f>IF(A117="","",Calculation!AW123)</f>
        <v/>
      </c>
      <c r="AH117" s="391" t="str">
        <f>IF(A117="","",Calculation!AY123)</f>
        <v/>
      </c>
      <c r="AI117" s="391" t="str">
        <f>IF(A117="","",Calculation!Y123)</f>
        <v/>
      </c>
      <c r="AJ117" s="401" t="str">
        <f>IF(Calculation!BD123&gt;0,Calculation!BD123," ")</f>
        <v xml:space="preserve"> </v>
      </c>
      <c r="AK117" s="401" t="str">
        <f>IF(Calculation!BD123&gt;0,Calculation!BE123," ")</f>
        <v xml:space="preserve"> </v>
      </c>
      <c r="AL117" s="401" t="str">
        <f>IF(Calculation!BD123&gt;0,Calculation!BF123," ")</f>
        <v xml:space="preserve"> </v>
      </c>
      <c r="AM117" s="401" t="str">
        <f>IF(Calculation!BD123&gt;0,Calculation!BG123," ")</f>
        <v xml:space="preserve"> </v>
      </c>
      <c r="AN117" s="391" t="str">
        <f>IF(Calculation!BH123="N/A","N/A",Calculation!BH123)</f>
        <v xml:space="preserve"> </v>
      </c>
      <c r="AO117" s="402" t="str">
        <f>IF(Calculation!BI123="N/A","N/A",Calculation!BI123)</f>
        <v/>
      </c>
      <c r="AP117" s="391" t="str">
        <f>IF(Calculation!BJ123="N/A","N/A",Calculation!BJ123)</f>
        <v/>
      </c>
      <c r="AQ117" s="402" t="str">
        <f>IF(Calculation!BK123="N/A","N/A",Calculation!BK123)</f>
        <v/>
      </c>
      <c r="AR117" s="391" t="str">
        <f>IF(Calculation!BL123="N/A","N/A",Calculation!BL123)</f>
        <v/>
      </c>
      <c r="AS117" s="402" t="str">
        <f>IF(Calculation!BM123="N/A","N/A",Calculation!BM123)</f>
        <v/>
      </c>
      <c r="AT117" s="400"/>
    </row>
    <row r="118" spans="1:46" ht="12.75" customHeight="1">
      <c r="A118" s="224" t="str">
        <f>IF(Calculation!BN124="","",CONCATENATE(Calculation!BO124,"-",Calculation!R124,"-",Calculation!S124,"-",Calculation!T124,"-",Calculation!U124))</f>
        <v/>
      </c>
      <c r="B118" s="224">
        <v>103</v>
      </c>
      <c r="C118" s="629" t="str">
        <f>IF(A118="","",Calculation!B124)</f>
        <v/>
      </c>
      <c r="D118" s="386" t="str">
        <f>IF(A118="","",Calculation!L124)</f>
        <v/>
      </c>
      <c r="E118" s="387" t="str">
        <f>IF(A118="","",Calculation!J124)</f>
        <v/>
      </c>
      <c r="F118" s="387" t="str">
        <f>IF(A118="","",Calculation!C124)</f>
        <v/>
      </c>
      <c r="G118" s="387" t="str">
        <f>IF(A118="","",LEFT(Calculation!O124,6))</f>
        <v/>
      </c>
      <c r="H118" s="388" t="str">
        <f>IF(A118="","",Calculation!DX124)</f>
        <v/>
      </c>
      <c r="I118" s="387" t="str">
        <f>IF(A118="","",Calculation!P124)</f>
        <v/>
      </c>
      <c r="J118" s="387" t="str">
        <f>IF(A118="","",HLOOKUP(LEFT(Calculation!BO124,7),LookUps!$C$38:$M$41,4))</f>
        <v/>
      </c>
      <c r="K118" s="387" t="str">
        <f>IF(A118="","",Calculation!M124)</f>
        <v/>
      </c>
      <c r="L118" s="387" t="str">
        <f>IF(A118="","",Calculation!S124)</f>
        <v/>
      </c>
      <c r="M118" s="389" t="str">
        <f>IF(A118="","",Calculation!N124)</f>
        <v/>
      </c>
      <c r="N118" s="390" t="str">
        <f>IF(A118="","",Calculation!R124)</f>
        <v/>
      </c>
      <c r="O118" s="391" t="str">
        <f>IF(A118="","",Calculation!$F$6)</f>
        <v/>
      </c>
      <c r="P118" s="392" t="str">
        <f>IF(A118="","",Calculation!$F$7)</f>
        <v/>
      </c>
      <c r="Q118" s="393" t="str">
        <f>IF(A118="","",Calculation!$F$13)</f>
        <v/>
      </c>
      <c r="R118" s="394" t="str">
        <f>IF(A118="","",Calculation!X124)</f>
        <v/>
      </c>
      <c r="S118" s="393" t="str">
        <f>IF(A118="","",Calculation!T124)</f>
        <v/>
      </c>
      <c r="T118" s="395" t="str">
        <f>IF(A118="","",IF(Calculation!$O$8="None","Water",CONCATENATE(Calculation!$O$8,"-",Calculation!$S$8,"%")))</f>
        <v/>
      </c>
      <c r="U118" s="393" t="str">
        <f>IF(A118="","",Calculation!$P$6)</f>
        <v/>
      </c>
      <c r="V118" s="393" t="str">
        <f>IF(A118="","",Calculation!AT124)</f>
        <v/>
      </c>
      <c r="W118" s="396" t="str">
        <f>IF(A118="","",Calculation!AP124)</f>
        <v/>
      </c>
      <c r="X118" s="396" t="str">
        <f>IF(A118="","",Calculation!AO124)</f>
        <v/>
      </c>
      <c r="Y118" s="396" t="str">
        <f>IF(A118="","",Calculation!AQ124)</f>
        <v/>
      </c>
      <c r="Z118" s="396" t="str">
        <f>IF(A118="","",Calculation!$H$6)</f>
        <v/>
      </c>
      <c r="AA118" s="397" t="str">
        <f>IF(A118="","",Calculation!$H$13)</f>
        <v/>
      </c>
      <c r="AB118" s="397" t="str">
        <f>IF(A118="","",Calculation!U124)</f>
        <v/>
      </c>
      <c r="AC118" s="398" t="str">
        <f>IF(A118="","",IF(Calculation!$O$9="None","Water",CONCATENATE(Calculation!$O$9,"-",Calculation!$S$9,"%")))</f>
        <v/>
      </c>
      <c r="AD118" s="396" t="str">
        <f>IF(A118="","",Calculation!$S$6)</f>
        <v/>
      </c>
      <c r="AE118" s="399" t="str">
        <f>IF(A118="","",Calculation!BA124)</f>
        <v/>
      </c>
      <c r="AF118" s="396" t="str">
        <f>IF(A118="","",Calculation!AX124)</f>
        <v/>
      </c>
      <c r="AG118" s="396" t="str">
        <f>IF(A118="","",Calculation!AW124)</f>
        <v/>
      </c>
      <c r="AH118" s="391" t="str">
        <f>IF(A118="","",Calculation!AY124)</f>
        <v/>
      </c>
      <c r="AI118" s="391" t="str">
        <f>IF(A118="","",Calculation!Y124)</f>
        <v/>
      </c>
      <c r="AJ118" s="401" t="str">
        <f>IF(Calculation!BD124&gt;0,Calculation!BD124," ")</f>
        <v xml:space="preserve"> </v>
      </c>
      <c r="AK118" s="401" t="str">
        <f>IF(Calculation!BD124&gt;0,Calculation!BE124," ")</f>
        <v xml:space="preserve"> </v>
      </c>
      <c r="AL118" s="401" t="str">
        <f>IF(Calculation!BD124&gt;0,Calculation!BF124," ")</f>
        <v xml:space="preserve"> </v>
      </c>
      <c r="AM118" s="401" t="str">
        <f>IF(Calculation!BD124&gt;0,Calculation!BG124," ")</f>
        <v xml:space="preserve"> </v>
      </c>
      <c r="AN118" s="391" t="str">
        <f>IF(Calculation!BH124="N/A","N/A",Calculation!BH124)</f>
        <v xml:space="preserve"> </v>
      </c>
      <c r="AO118" s="402" t="str">
        <f>IF(Calculation!BI124="N/A","N/A",Calculation!BI124)</f>
        <v/>
      </c>
      <c r="AP118" s="391" t="str">
        <f>IF(Calculation!BJ124="N/A","N/A",Calculation!BJ124)</f>
        <v/>
      </c>
      <c r="AQ118" s="402" t="str">
        <f>IF(Calculation!BK124="N/A","N/A",Calculation!BK124)</f>
        <v/>
      </c>
      <c r="AR118" s="391" t="str">
        <f>IF(Calculation!BL124="N/A","N/A",Calculation!BL124)</f>
        <v/>
      </c>
      <c r="AS118" s="402" t="str">
        <f>IF(Calculation!BM124="N/A","N/A",Calculation!BM124)</f>
        <v/>
      </c>
      <c r="AT118" s="400"/>
    </row>
    <row r="119" spans="1:46" ht="12.75" customHeight="1">
      <c r="A119" s="224" t="str">
        <f>IF(Calculation!BN125="","",CONCATENATE(Calculation!BO125,"-",Calculation!R125,"-",Calculation!S125,"-",Calculation!T125,"-",Calculation!U125))</f>
        <v/>
      </c>
      <c r="B119" s="224">
        <v>104</v>
      </c>
      <c r="C119" s="629" t="str">
        <f>IF(A119="","",Calculation!B125)</f>
        <v/>
      </c>
      <c r="D119" s="386" t="str">
        <f>IF(A119="","",Calculation!L125)</f>
        <v/>
      </c>
      <c r="E119" s="387" t="str">
        <f>IF(A119="","",Calculation!J125)</f>
        <v/>
      </c>
      <c r="F119" s="387" t="str">
        <f>IF(A119="","",Calculation!C125)</f>
        <v/>
      </c>
      <c r="G119" s="387" t="str">
        <f>IF(A119="","",LEFT(Calculation!O125,6))</f>
        <v/>
      </c>
      <c r="H119" s="388" t="str">
        <f>IF(A119="","",Calculation!DX125)</f>
        <v/>
      </c>
      <c r="I119" s="387" t="str">
        <f>IF(A119="","",Calculation!P125)</f>
        <v/>
      </c>
      <c r="J119" s="387" t="str">
        <f>IF(A119="","",HLOOKUP(LEFT(Calculation!BO125,7),LookUps!$C$38:$M$41,4))</f>
        <v/>
      </c>
      <c r="K119" s="387" t="str">
        <f>IF(A119="","",Calculation!M125)</f>
        <v/>
      </c>
      <c r="L119" s="387" t="str">
        <f>IF(A119="","",Calculation!S125)</f>
        <v/>
      </c>
      <c r="M119" s="389" t="str">
        <f>IF(A119="","",Calculation!N125)</f>
        <v/>
      </c>
      <c r="N119" s="390" t="str">
        <f>IF(A119="","",Calculation!R125)</f>
        <v/>
      </c>
      <c r="O119" s="391" t="str">
        <f>IF(A119="","",Calculation!$F$6)</f>
        <v/>
      </c>
      <c r="P119" s="392" t="str">
        <f>IF(A119="","",Calculation!$F$7)</f>
        <v/>
      </c>
      <c r="Q119" s="393" t="str">
        <f>IF(A119="","",Calculation!$F$13)</f>
        <v/>
      </c>
      <c r="R119" s="394" t="str">
        <f>IF(A119="","",Calculation!X125)</f>
        <v/>
      </c>
      <c r="S119" s="393" t="str">
        <f>IF(A119="","",Calculation!T125)</f>
        <v/>
      </c>
      <c r="T119" s="395" t="str">
        <f>IF(A119="","",IF(Calculation!$O$8="None","Water",CONCATENATE(Calculation!$O$8,"-",Calculation!$S$8,"%")))</f>
        <v/>
      </c>
      <c r="U119" s="393" t="str">
        <f>IF(A119="","",Calculation!$P$6)</f>
        <v/>
      </c>
      <c r="V119" s="393" t="str">
        <f>IF(A119="","",Calculation!AT125)</f>
        <v/>
      </c>
      <c r="W119" s="396" t="str">
        <f>IF(A119="","",Calculation!AP125)</f>
        <v/>
      </c>
      <c r="X119" s="396" t="str">
        <f>IF(A119="","",Calculation!AO125)</f>
        <v/>
      </c>
      <c r="Y119" s="396" t="str">
        <f>IF(A119="","",Calculation!AQ125)</f>
        <v/>
      </c>
      <c r="Z119" s="396" t="str">
        <f>IF(A119="","",Calculation!$H$6)</f>
        <v/>
      </c>
      <c r="AA119" s="397" t="str">
        <f>IF(A119="","",Calculation!$H$13)</f>
        <v/>
      </c>
      <c r="AB119" s="397" t="str">
        <f>IF(A119="","",Calculation!U125)</f>
        <v/>
      </c>
      <c r="AC119" s="398" t="str">
        <f>IF(A119="","",IF(Calculation!$O$9="None","Water",CONCATENATE(Calculation!$O$9,"-",Calculation!$S$9,"%")))</f>
        <v/>
      </c>
      <c r="AD119" s="396" t="str">
        <f>IF(A119="","",Calculation!$S$6)</f>
        <v/>
      </c>
      <c r="AE119" s="399" t="str">
        <f>IF(A119="","",Calculation!BA125)</f>
        <v/>
      </c>
      <c r="AF119" s="396" t="str">
        <f>IF(A119="","",Calculation!AX125)</f>
        <v/>
      </c>
      <c r="AG119" s="396" t="str">
        <f>IF(A119="","",Calculation!AW125)</f>
        <v/>
      </c>
      <c r="AH119" s="391" t="str">
        <f>IF(A119="","",Calculation!AY125)</f>
        <v/>
      </c>
      <c r="AI119" s="391" t="str">
        <f>IF(A119="","",Calculation!Y125)</f>
        <v/>
      </c>
      <c r="AJ119" s="401" t="str">
        <f>IF(Calculation!BD125&gt;0,Calculation!BD125," ")</f>
        <v xml:space="preserve"> </v>
      </c>
      <c r="AK119" s="401" t="str">
        <f>IF(Calculation!BD125&gt;0,Calculation!BE125," ")</f>
        <v xml:space="preserve"> </v>
      </c>
      <c r="AL119" s="401" t="str">
        <f>IF(Calculation!BD125&gt;0,Calculation!BF125," ")</f>
        <v xml:space="preserve"> </v>
      </c>
      <c r="AM119" s="401" t="str">
        <f>IF(Calculation!BD125&gt;0,Calculation!BG125," ")</f>
        <v xml:space="preserve"> </v>
      </c>
      <c r="AN119" s="391" t="str">
        <f>IF(Calculation!BH125="N/A","N/A",Calculation!BH125)</f>
        <v xml:space="preserve"> </v>
      </c>
      <c r="AO119" s="402" t="str">
        <f>IF(Calculation!BI125="N/A","N/A",Calculation!BI125)</f>
        <v/>
      </c>
      <c r="AP119" s="391" t="str">
        <f>IF(Calculation!BJ125="N/A","N/A",Calculation!BJ125)</f>
        <v/>
      </c>
      <c r="AQ119" s="402" t="str">
        <f>IF(Calculation!BK125="N/A","N/A",Calculation!BK125)</f>
        <v/>
      </c>
      <c r="AR119" s="391" t="str">
        <f>IF(Calculation!BL125="N/A","N/A",Calculation!BL125)</f>
        <v/>
      </c>
      <c r="AS119" s="402" t="str">
        <f>IF(Calculation!BM125="N/A","N/A",Calculation!BM125)</f>
        <v/>
      </c>
      <c r="AT119" s="400"/>
    </row>
    <row r="120" spans="1:46" ht="12.75" customHeight="1">
      <c r="A120" s="224" t="str">
        <f>IF(Calculation!BN126="","",CONCATENATE(Calculation!BO126,"-",Calculation!R126,"-",Calculation!S126,"-",Calculation!T126,"-",Calculation!U126))</f>
        <v/>
      </c>
      <c r="B120" s="224">
        <v>105</v>
      </c>
      <c r="C120" s="629" t="str">
        <f>IF(A120="","",Calculation!B126)</f>
        <v/>
      </c>
      <c r="D120" s="386" t="str">
        <f>IF(A120="","",Calculation!L126)</f>
        <v/>
      </c>
      <c r="E120" s="387" t="str">
        <f>IF(A120="","",Calculation!J126)</f>
        <v/>
      </c>
      <c r="F120" s="387" t="str">
        <f>IF(A120="","",Calculation!C126)</f>
        <v/>
      </c>
      <c r="G120" s="387" t="str">
        <f>IF(A120="","",LEFT(Calculation!O126,6))</f>
        <v/>
      </c>
      <c r="H120" s="388" t="str">
        <f>IF(A120="","",Calculation!DX126)</f>
        <v/>
      </c>
      <c r="I120" s="387" t="str">
        <f>IF(A120="","",Calculation!P126)</f>
        <v/>
      </c>
      <c r="J120" s="387" t="str">
        <f>IF(A120="","",HLOOKUP(LEFT(Calculation!BO126,7),LookUps!$C$38:$M$41,4))</f>
        <v/>
      </c>
      <c r="K120" s="387" t="str">
        <f>IF(A120="","",Calculation!M126)</f>
        <v/>
      </c>
      <c r="L120" s="387" t="str">
        <f>IF(A120="","",Calculation!S126)</f>
        <v/>
      </c>
      <c r="M120" s="389" t="str">
        <f>IF(A120="","",Calculation!N126)</f>
        <v/>
      </c>
      <c r="N120" s="390" t="str">
        <f>IF(A120="","",Calculation!R126)</f>
        <v/>
      </c>
      <c r="O120" s="391" t="str">
        <f>IF(A120="","",Calculation!$F$6)</f>
        <v/>
      </c>
      <c r="P120" s="392" t="str">
        <f>IF(A120="","",Calculation!$F$7)</f>
        <v/>
      </c>
      <c r="Q120" s="393" t="str">
        <f>IF(A120="","",Calculation!$F$13)</f>
        <v/>
      </c>
      <c r="R120" s="394" t="str">
        <f>IF(A120="","",Calculation!X126)</f>
        <v/>
      </c>
      <c r="S120" s="393" t="str">
        <f>IF(A120="","",Calculation!T126)</f>
        <v/>
      </c>
      <c r="T120" s="395" t="str">
        <f>IF(A120="","",IF(Calculation!$O$8="None","Water",CONCATENATE(Calculation!$O$8,"-",Calculation!$S$8,"%")))</f>
        <v/>
      </c>
      <c r="U120" s="393" t="str">
        <f>IF(A120="","",Calculation!$P$6)</f>
        <v/>
      </c>
      <c r="V120" s="393" t="str">
        <f>IF(A120="","",Calculation!AT126)</f>
        <v/>
      </c>
      <c r="W120" s="396" t="str">
        <f>IF(A120="","",Calculation!AP126)</f>
        <v/>
      </c>
      <c r="X120" s="396" t="str">
        <f>IF(A120="","",Calculation!AO126)</f>
        <v/>
      </c>
      <c r="Y120" s="396" t="str">
        <f>IF(A120="","",Calculation!AQ126)</f>
        <v/>
      </c>
      <c r="Z120" s="396" t="str">
        <f>IF(A120="","",Calculation!$H$6)</f>
        <v/>
      </c>
      <c r="AA120" s="397" t="str">
        <f>IF(A120="","",Calculation!$H$13)</f>
        <v/>
      </c>
      <c r="AB120" s="397" t="str">
        <f>IF(A120="","",Calculation!U126)</f>
        <v/>
      </c>
      <c r="AC120" s="398" t="str">
        <f>IF(A120="","",IF(Calculation!$O$9="None","Water",CONCATENATE(Calculation!$O$9,"-",Calculation!$S$9,"%")))</f>
        <v/>
      </c>
      <c r="AD120" s="396" t="str">
        <f>IF(A120="","",Calculation!$S$6)</f>
        <v/>
      </c>
      <c r="AE120" s="399" t="str">
        <f>IF(A120="","",Calculation!BA126)</f>
        <v/>
      </c>
      <c r="AF120" s="396" t="str">
        <f>IF(A120="","",Calculation!AX126)</f>
        <v/>
      </c>
      <c r="AG120" s="396" t="str">
        <f>IF(A120="","",Calculation!AW126)</f>
        <v/>
      </c>
      <c r="AH120" s="391" t="str">
        <f>IF(A120="","",Calculation!AY126)</f>
        <v/>
      </c>
      <c r="AI120" s="391" t="str">
        <f>IF(A120="","",Calculation!Y126)</f>
        <v/>
      </c>
      <c r="AJ120" s="401" t="str">
        <f>IF(Calculation!BD126&gt;0,Calculation!BD126," ")</f>
        <v xml:space="preserve"> </v>
      </c>
      <c r="AK120" s="401" t="str">
        <f>IF(Calculation!BD126&gt;0,Calculation!BE126," ")</f>
        <v xml:space="preserve"> </v>
      </c>
      <c r="AL120" s="401" t="str">
        <f>IF(Calculation!BD126&gt;0,Calculation!BF126," ")</f>
        <v xml:space="preserve"> </v>
      </c>
      <c r="AM120" s="401" t="str">
        <f>IF(Calculation!BD126&gt;0,Calculation!BG126," ")</f>
        <v xml:space="preserve"> </v>
      </c>
      <c r="AN120" s="391" t="str">
        <f>IF(Calculation!BH126="N/A","N/A",Calculation!BH126)</f>
        <v xml:space="preserve"> </v>
      </c>
      <c r="AO120" s="402" t="str">
        <f>IF(Calculation!BI126="N/A","N/A",Calculation!BI126)</f>
        <v/>
      </c>
      <c r="AP120" s="391" t="str">
        <f>IF(Calculation!BJ126="N/A","N/A",Calculation!BJ126)</f>
        <v/>
      </c>
      <c r="AQ120" s="402" t="str">
        <f>IF(Calculation!BK126="N/A","N/A",Calculation!BK126)</f>
        <v/>
      </c>
      <c r="AR120" s="391" t="str">
        <f>IF(Calculation!BL126="N/A","N/A",Calculation!BL126)</f>
        <v/>
      </c>
      <c r="AS120" s="402" t="str">
        <f>IF(Calculation!BM126="N/A","N/A",Calculation!BM126)</f>
        <v/>
      </c>
      <c r="AT120" s="400"/>
    </row>
    <row r="121" spans="1:46" ht="12.75" customHeight="1">
      <c r="A121" s="224" t="str">
        <f>IF(Calculation!BN127="","",CONCATENATE(Calculation!BO127,"-",Calculation!R127,"-",Calculation!S127,"-",Calculation!T127,"-",Calculation!U127))</f>
        <v/>
      </c>
      <c r="B121" s="224">
        <v>106</v>
      </c>
      <c r="C121" s="629" t="str">
        <f>IF(A121="","",Calculation!B127)</f>
        <v/>
      </c>
      <c r="D121" s="386" t="str">
        <f>IF(A121="","",Calculation!L127)</f>
        <v/>
      </c>
      <c r="E121" s="387" t="str">
        <f>IF(A121="","",Calculation!J127)</f>
        <v/>
      </c>
      <c r="F121" s="387" t="str">
        <f>IF(A121="","",Calculation!C127)</f>
        <v/>
      </c>
      <c r="G121" s="387" t="str">
        <f>IF(A121="","",LEFT(Calculation!O127,6))</f>
        <v/>
      </c>
      <c r="H121" s="388" t="str">
        <f>IF(A121="","",Calculation!DX127)</f>
        <v/>
      </c>
      <c r="I121" s="387" t="str">
        <f>IF(A121="","",Calculation!P127)</f>
        <v/>
      </c>
      <c r="J121" s="387" t="str">
        <f>IF(A121="","",HLOOKUP(LEFT(Calculation!BO127,7),LookUps!$C$38:$M$41,4))</f>
        <v/>
      </c>
      <c r="K121" s="387" t="str">
        <f>IF(A121="","",Calculation!M127)</f>
        <v/>
      </c>
      <c r="L121" s="387" t="str">
        <f>IF(A121="","",Calculation!S127)</f>
        <v/>
      </c>
      <c r="M121" s="389" t="str">
        <f>IF(A121="","",Calculation!N127)</f>
        <v/>
      </c>
      <c r="N121" s="390" t="str">
        <f>IF(A121="","",Calculation!R127)</f>
        <v/>
      </c>
      <c r="O121" s="391" t="str">
        <f>IF(A121="","",Calculation!$F$6)</f>
        <v/>
      </c>
      <c r="P121" s="392" t="str">
        <f>IF(A121="","",Calculation!$F$7)</f>
        <v/>
      </c>
      <c r="Q121" s="393" t="str">
        <f>IF(A121="","",Calculation!$F$13)</f>
        <v/>
      </c>
      <c r="R121" s="394" t="str">
        <f>IF(A121="","",Calculation!X127)</f>
        <v/>
      </c>
      <c r="S121" s="393" t="str">
        <f>IF(A121="","",Calculation!T127)</f>
        <v/>
      </c>
      <c r="T121" s="395" t="str">
        <f>IF(A121="","",IF(Calculation!$O$8="None","Water",CONCATENATE(Calculation!$O$8,"-",Calculation!$S$8,"%")))</f>
        <v/>
      </c>
      <c r="U121" s="393" t="str">
        <f>IF(A121="","",Calculation!$P$6)</f>
        <v/>
      </c>
      <c r="V121" s="393" t="str">
        <f>IF(A121="","",Calculation!AT127)</f>
        <v/>
      </c>
      <c r="W121" s="396" t="str">
        <f>IF(A121="","",Calculation!AP127)</f>
        <v/>
      </c>
      <c r="X121" s="396" t="str">
        <f>IF(A121="","",Calculation!AO127)</f>
        <v/>
      </c>
      <c r="Y121" s="396" t="str">
        <f>IF(A121="","",Calculation!AQ127)</f>
        <v/>
      </c>
      <c r="Z121" s="396" t="str">
        <f>IF(A121="","",Calculation!$H$6)</f>
        <v/>
      </c>
      <c r="AA121" s="397" t="str">
        <f>IF(A121="","",Calculation!$H$13)</f>
        <v/>
      </c>
      <c r="AB121" s="397" t="str">
        <f>IF(A121="","",Calculation!U127)</f>
        <v/>
      </c>
      <c r="AC121" s="398" t="str">
        <f>IF(A121="","",IF(Calculation!$O$9="None","Water",CONCATENATE(Calculation!$O$9,"-",Calculation!$S$9,"%")))</f>
        <v/>
      </c>
      <c r="AD121" s="396" t="str">
        <f>IF(A121="","",Calculation!$S$6)</f>
        <v/>
      </c>
      <c r="AE121" s="399" t="str">
        <f>IF(A121="","",Calculation!BA127)</f>
        <v/>
      </c>
      <c r="AF121" s="396" t="str">
        <f>IF(A121="","",Calculation!AX127)</f>
        <v/>
      </c>
      <c r="AG121" s="396" t="str">
        <f>IF(A121="","",Calculation!AW127)</f>
        <v/>
      </c>
      <c r="AH121" s="391" t="str">
        <f>IF(A121="","",Calculation!AY127)</f>
        <v/>
      </c>
      <c r="AI121" s="391" t="str">
        <f>IF(A121="","",Calculation!Y127)</f>
        <v/>
      </c>
      <c r="AJ121" s="401" t="str">
        <f>IF(Calculation!BD127&gt;0,Calculation!BD127," ")</f>
        <v xml:space="preserve"> </v>
      </c>
      <c r="AK121" s="401" t="str">
        <f>IF(Calculation!BD127&gt;0,Calculation!BE127," ")</f>
        <v xml:space="preserve"> </v>
      </c>
      <c r="AL121" s="401" t="str">
        <f>IF(Calculation!BD127&gt;0,Calculation!BF127," ")</f>
        <v xml:space="preserve"> </v>
      </c>
      <c r="AM121" s="401" t="str">
        <f>IF(Calculation!BD127&gt;0,Calculation!BG127," ")</f>
        <v xml:space="preserve"> </v>
      </c>
      <c r="AN121" s="391" t="str">
        <f>IF(Calculation!BH127="N/A","N/A",Calculation!BH127)</f>
        <v xml:space="preserve"> </v>
      </c>
      <c r="AO121" s="402" t="str">
        <f>IF(Calculation!BI127="N/A","N/A",Calculation!BI127)</f>
        <v/>
      </c>
      <c r="AP121" s="391" t="str">
        <f>IF(Calculation!BJ127="N/A","N/A",Calculation!BJ127)</f>
        <v/>
      </c>
      <c r="AQ121" s="402" t="str">
        <f>IF(Calculation!BK127="N/A","N/A",Calculation!BK127)</f>
        <v/>
      </c>
      <c r="AR121" s="391" t="str">
        <f>IF(Calculation!BL127="N/A","N/A",Calculation!BL127)</f>
        <v/>
      </c>
      <c r="AS121" s="402" t="str">
        <f>IF(Calculation!BM127="N/A","N/A",Calculation!BM127)</f>
        <v/>
      </c>
      <c r="AT121" s="400"/>
    </row>
    <row r="122" spans="1:46" ht="12.75" customHeight="1">
      <c r="A122" s="224" t="str">
        <f>IF(Calculation!BN128="","",CONCATENATE(Calculation!BO128,"-",Calculation!R128,"-",Calculation!S128,"-",Calculation!T128,"-",Calculation!U128))</f>
        <v/>
      </c>
      <c r="B122" s="224">
        <v>107</v>
      </c>
      <c r="C122" s="629" t="str">
        <f>IF(A122="","",Calculation!B128)</f>
        <v/>
      </c>
      <c r="D122" s="386" t="str">
        <f>IF(A122="","",Calculation!L128)</f>
        <v/>
      </c>
      <c r="E122" s="387" t="str">
        <f>IF(A122="","",Calculation!J128)</f>
        <v/>
      </c>
      <c r="F122" s="387" t="str">
        <f>IF(A122="","",Calculation!C128)</f>
        <v/>
      </c>
      <c r="G122" s="387" t="str">
        <f>IF(A122="","",LEFT(Calculation!O128,6))</f>
        <v/>
      </c>
      <c r="H122" s="388" t="str">
        <f>IF(A122="","",Calculation!DX128)</f>
        <v/>
      </c>
      <c r="I122" s="387" t="str">
        <f>IF(A122="","",Calculation!P128)</f>
        <v/>
      </c>
      <c r="J122" s="387" t="str">
        <f>IF(A122="","",HLOOKUP(LEFT(Calculation!BO128,7),LookUps!$C$38:$M$41,4))</f>
        <v/>
      </c>
      <c r="K122" s="387" t="str">
        <f>IF(A122="","",Calculation!M128)</f>
        <v/>
      </c>
      <c r="L122" s="387" t="str">
        <f>IF(A122="","",Calculation!S128)</f>
        <v/>
      </c>
      <c r="M122" s="389" t="str">
        <f>IF(A122="","",Calculation!N128)</f>
        <v/>
      </c>
      <c r="N122" s="390" t="str">
        <f>IF(A122="","",Calculation!R128)</f>
        <v/>
      </c>
      <c r="O122" s="391" t="str">
        <f>IF(A122="","",Calculation!$F$6)</f>
        <v/>
      </c>
      <c r="P122" s="392" t="str">
        <f>IF(A122="","",Calculation!$F$7)</f>
        <v/>
      </c>
      <c r="Q122" s="393" t="str">
        <f>IF(A122="","",Calculation!$F$13)</f>
        <v/>
      </c>
      <c r="R122" s="394" t="str">
        <f>IF(A122="","",Calculation!X128)</f>
        <v/>
      </c>
      <c r="S122" s="393" t="str">
        <f>IF(A122="","",Calculation!T128)</f>
        <v/>
      </c>
      <c r="T122" s="395" t="str">
        <f>IF(A122="","",IF(Calculation!$O$8="None","Water",CONCATENATE(Calculation!$O$8,"-",Calculation!$S$8,"%")))</f>
        <v/>
      </c>
      <c r="U122" s="393" t="str">
        <f>IF(A122="","",Calculation!$P$6)</f>
        <v/>
      </c>
      <c r="V122" s="393" t="str">
        <f>IF(A122="","",Calculation!AT128)</f>
        <v/>
      </c>
      <c r="W122" s="396" t="str">
        <f>IF(A122="","",Calculation!AP128)</f>
        <v/>
      </c>
      <c r="X122" s="396" t="str">
        <f>IF(A122="","",Calculation!AO128)</f>
        <v/>
      </c>
      <c r="Y122" s="396" t="str">
        <f>IF(A122="","",Calculation!AQ128)</f>
        <v/>
      </c>
      <c r="Z122" s="396" t="str">
        <f>IF(A122="","",Calculation!$H$6)</f>
        <v/>
      </c>
      <c r="AA122" s="397" t="str">
        <f>IF(A122="","",Calculation!$H$13)</f>
        <v/>
      </c>
      <c r="AB122" s="397" t="str">
        <f>IF(A122="","",Calculation!U128)</f>
        <v/>
      </c>
      <c r="AC122" s="398" t="str">
        <f>IF(A122="","",IF(Calculation!$O$9="None","Water",CONCATENATE(Calculation!$O$9,"-",Calculation!$S$9,"%")))</f>
        <v/>
      </c>
      <c r="AD122" s="396" t="str">
        <f>IF(A122="","",Calculation!$S$6)</f>
        <v/>
      </c>
      <c r="AE122" s="399" t="str">
        <f>IF(A122="","",Calculation!BA128)</f>
        <v/>
      </c>
      <c r="AF122" s="396" t="str">
        <f>IF(A122="","",Calculation!AX128)</f>
        <v/>
      </c>
      <c r="AG122" s="396" t="str">
        <f>IF(A122="","",Calculation!AW128)</f>
        <v/>
      </c>
      <c r="AH122" s="391" t="str">
        <f>IF(A122="","",Calculation!AY128)</f>
        <v/>
      </c>
      <c r="AI122" s="391" t="str">
        <f>IF(A122="","",Calculation!Y128)</f>
        <v/>
      </c>
      <c r="AJ122" s="401" t="str">
        <f>IF(Calculation!BD128&gt;0,Calculation!BD128," ")</f>
        <v xml:space="preserve"> </v>
      </c>
      <c r="AK122" s="401" t="str">
        <f>IF(Calculation!BD128&gt;0,Calculation!BE128," ")</f>
        <v xml:space="preserve"> </v>
      </c>
      <c r="AL122" s="401" t="str">
        <f>IF(Calculation!BD128&gt;0,Calculation!BF128," ")</f>
        <v xml:space="preserve"> </v>
      </c>
      <c r="AM122" s="401" t="str">
        <f>IF(Calculation!BD128&gt;0,Calculation!BG128," ")</f>
        <v xml:space="preserve"> </v>
      </c>
      <c r="AN122" s="391" t="str">
        <f>IF(Calculation!BH128="N/A","N/A",Calculation!BH128)</f>
        <v xml:space="preserve"> </v>
      </c>
      <c r="AO122" s="402" t="str">
        <f>IF(Calculation!BI128="N/A","N/A",Calculation!BI128)</f>
        <v/>
      </c>
      <c r="AP122" s="391" t="str">
        <f>IF(Calculation!BJ128="N/A","N/A",Calculation!BJ128)</f>
        <v/>
      </c>
      <c r="AQ122" s="402" t="str">
        <f>IF(Calculation!BK128="N/A","N/A",Calculation!BK128)</f>
        <v/>
      </c>
      <c r="AR122" s="391" t="str">
        <f>IF(Calculation!BL128="N/A","N/A",Calculation!BL128)</f>
        <v/>
      </c>
      <c r="AS122" s="402" t="str">
        <f>IF(Calculation!BM128="N/A","N/A",Calculation!BM128)</f>
        <v/>
      </c>
      <c r="AT122" s="400"/>
    </row>
    <row r="123" spans="1:46" ht="12.75" customHeight="1">
      <c r="A123" s="224" t="str">
        <f>IF(Calculation!BN129="","",CONCATENATE(Calculation!BO129,"-",Calculation!R129,"-",Calculation!S129,"-",Calculation!T129,"-",Calculation!U129))</f>
        <v/>
      </c>
      <c r="B123" s="224">
        <v>108</v>
      </c>
      <c r="C123" s="629" t="str">
        <f>IF(A123="","",Calculation!B129)</f>
        <v/>
      </c>
      <c r="D123" s="386" t="str">
        <f>IF(A123="","",Calculation!L129)</f>
        <v/>
      </c>
      <c r="E123" s="387" t="str">
        <f>IF(A123="","",Calculation!J129)</f>
        <v/>
      </c>
      <c r="F123" s="387" t="str">
        <f>IF(A123="","",Calculation!C129)</f>
        <v/>
      </c>
      <c r="G123" s="387" t="str">
        <f>IF(A123="","",LEFT(Calculation!O129,6))</f>
        <v/>
      </c>
      <c r="H123" s="388" t="str">
        <f>IF(A123="","",Calculation!DX129)</f>
        <v/>
      </c>
      <c r="I123" s="387" t="str">
        <f>IF(A123="","",Calculation!P129)</f>
        <v/>
      </c>
      <c r="J123" s="387" t="str">
        <f>IF(A123="","",HLOOKUP(LEFT(Calculation!BO129,7),LookUps!$C$38:$M$41,4))</f>
        <v/>
      </c>
      <c r="K123" s="387" t="str">
        <f>IF(A123="","",Calculation!M129)</f>
        <v/>
      </c>
      <c r="L123" s="387" t="str">
        <f>IF(A123="","",Calculation!S129)</f>
        <v/>
      </c>
      <c r="M123" s="389" t="str">
        <f>IF(A123="","",Calculation!N129)</f>
        <v/>
      </c>
      <c r="N123" s="390" t="str">
        <f>IF(A123="","",Calculation!R129)</f>
        <v/>
      </c>
      <c r="O123" s="391" t="str">
        <f>IF(A123="","",Calculation!$F$6)</f>
        <v/>
      </c>
      <c r="P123" s="392" t="str">
        <f>IF(A123="","",Calculation!$F$7)</f>
        <v/>
      </c>
      <c r="Q123" s="393" t="str">
        <f>IF(A123="","",Calculation!$F$13)</f>
        <v/>
      </c>
      <c r="R123" s="394" t="str">
        <f>IF(A123="","",Calculation!X129)</f>
        <v/>
      </c>
      <c r="S123" s="393" t="str">
        <f>IF(A123="","",Calculation!T129)</f>
        <v/>
      </c>
      <c r="T123" s="395" t="str">
        <f>IF(A123="","",IF(Calculation!$O$8="None","Water",CONCATENATE(Calculation!$O$8,"-",Calculation!$S$8,"%")))</f>
        <v/>
      </c>
      <c r="U123" s="393" t="str">
        <f>IF(A123="","",Calculation!$P$6)</f>
        <v/>
      </c>
      <c r="V123" s="393" t="str">
        <f>IF(A123="","",Calculation!AT129)</f>
        <v/>
      </c>
      <c r="W123" s="396" t="str">
        <f>IF(A123="","",Calculation!AP129)</f>
        <v/>
      </c>
      <c r="X123" s="396" t="str">
        <f>IF(A123="","",Calculation!AO129)</f>
        <v/>
      </c>
      <c r="Y123" s="396" t="str">
        <f>IF(A123="","",Calculation!AQ129)</f>
        <v/>
      </c>
      <c r="Z123" s="396" t="str">
        <f>IF(A123="","",Calculation!$H$6)</f>
        <v/>
      </c>
      <c r="AA123" s="397" t="str">
        <f>IF(A123="","",Calculation!$H$13)</f>
        <v/>
      </c>
      <c r="AB123" s="397" t="str">
        <f>IF(A123="","",Calculation!U129)</f>
        <v/>
      </c>
      <c r="AC123" s="398" t="str">
        <f>IF(A123="","",IF(Calculation!$O$9="None","Water",CONCATENATE(Calculation!$O$9,"-",Calculation!$S$9,"%")))</f>
        <v/>
      </c>
      <c r="AD123" s="396" t="str">
        <f>IF(A123="","",Calculation!$S$6)</f>
        <v/>
      </c>
      <c r="AE123" s="399" t="str">
        <f>IF(A123="","",Calculation!BA129)</f>
        <v/>
      </c>
      <c r="AF123" s="396" t="str">
        <f>IF(A123="","",Calculation!AX129)</f>
        <v/>
      </c>
      <c r="AG123" s="396" t="str">
        <f>IF(A123="","",Calculation!AW129)</f>
        <v/>
      </c>
      <c r="AH123" s="391" t="str">
        <f>IF(A123="","",Calculation!AY129)</f>
        <v/>
      </c>
      <c r="AI123" s="391" t="str">
        <f>IF(A123="","",Calculation!Y129)</f>
        <v/>
      </c>
      <c r="AJ123" s="401" t="str">
        <f>IF(Calculation!BD129&gt;0,Calculation!BD129," ")</f>
        <v xml:space="preserve"> </v>
      </c>
      <c r="AK123" s="401" t="str">
        <f>IF(Calculation!BD129&gt;0,Calculation!BE129," ")</f>
        <v xml:space="preserve"> </v>
      </c>
      <c r="AL123" s="401" t="str">
        <f>IF(Calculation!BD129&gt;0,Calculation!BF129," ")</f>
        <v xml:space="preserve"> </v>
      </c>
      <c r="AM123" s="401" t="str">
        <f>IF(Calculation!BD129&gt;0,Calculation!BG129," ")</f>
        <v xml:space="preserve"> </v>
      </c>
      <c r="AN123" s="391" t="str">
        <f>IF(Calculation!BH129="N/A","N/A",Calculation!BH129)</f>
        <v xml:space="preserve"> </v>
      </c>
      <c r="AO123" s="402" t="str">
        <f>IF(Calculation!BI129="N/A","N/A",Calculation!BI129)</f>
        <v/>
      </c>
      <c r="AP123" s="391" t="str">
        <f>IF(Calculation!BJ129="N/A","N/A",Calculation!BJ129)</f>
        <v/>
      </c>
      <c r="AQ123" s="402" t="str">
        <f>IF(Calculation!BK129="N/A","N/A",Calculation!BK129)</f>
        <v/>
      </c>
      <c r="AR123" s="391" t="str">
        <f>IF(Calculation!BL129="N/A","N/A",Calculation!BL129)</f>
        <v/>
      </c>
      <c r="AS123" s="402" t="str">
        <f>IF(Calculation!BM129="N/A","N/A",Calculation!BM129)</f>
        <v/>
      </c>
      <c r="AT123" s="400"/>
    </row>
    <row r="124" spans="1:46" ht="12.75" customHeight="1">
      <c r="A124" s="224" t="str">
        <f>IF(Calculation!BN130="","",CONCATENATE(Calculation!BO130,"-",Calculation!R130,"-",Calculation!S130,"-",Calculation!T130,"-",Calculation!U130))</f>
        <v/>
      </c>
      <c r="B124" s="224">
        <v>109</v>
      </c>
      <c r="C124" s="629" t="str">
        <f>IF(A124="","",Calculation!B130)</f>
        <v/>
      </c>
      <c r="D124" s="386" t="str">
        <f>IF(A124="","",Calculation!L130)</f>
        <v/>
      </c>
      <c r="E124" s="387" t="str">
        <f>IF(A124="","",Calculation!J130)</f>
        <v/>
      </c>
      <c r="F124" s="387" t="str">
        <f>IF(A124="","",Calculation!C130)</f>
        <v/>
      </c>
      <c r="G124" s="387" t="str">
        <f>IF(A124="","",LEFT(Calculation!O130,6))</f>
        <v/>
      </c>
      <c r="H124" s="388" t="str">
        <f>IF(A124="","",Calculation!DX130)</f>
        <v/>
      </c>
      <c r="I124" s="387" t="str">
        <f>IF(A124="","",Calculation!P130)</f>
        <v/>
      </c>
      <c r="J124" s="387" t="str">
        <f>IF(A124="","",HLOOKUP(LEFT(Calculation!BO130,7),LookUps!$C$38:$M$41,4))</f>
        <v/>
      </c>
      <c r="K124" s="387" t="str">
        <f>IF(A124="","",Calculation!M130)</f>
        <v/>
      </c>
      <c r="L124" s="387" t="str">
        <f>IF(A124="","",Calculation!S130)</f>
        <v/>
      </c>
      <c r="M124" s="389" t="str">
        <f>IF(A124="","",Calculation!N130)</f>
        <v/>
      </c>
      <c r="N124" s="390" t="str">
        <f>IF(A124="","",Calculation!R130)</f>
        <v/>
      </c>
      <c r="O124" s="391" t="str">
        <f>IF(A124="","",Calculation!$F$6)</f>
        <v/>
      </c>
      <c r="P124" s="392" t="str">
        <f>IF(A124="","",Calculation!$F$7)</f>
        <v/>
      </c>
      <c r="Q124" s="393" t="str">
        <f>IF(A124="","",Calculation!$F$13)</f>
        <v/>
      </c>
      <c r="R124" s="394" t="str">
        <f>IF(A124="","",Calculation!X130)</f>
        <v/>
      </c>
      <c r="S124" s="393" t="str">
        <f>IF(A124="","",Calculation!T130)</f>
        <v/>
      </c>
      <c r="T124" s="395" t="str">
        <f>IF(A124="","",IF(Calculation!$O$8="None","Water",CONCATENATE(Calculation!$O$8,"-",Calculation!$S$8,"%")))</f>
        <v/>
      </c>
      <c r="U124" s="393" t="str">
        <f>IF(A124="","",Calculation!$P$6)</f>
        <v/>
      </c>
      <c r="V124" s="393" t="str">
        <f>IF(A124="","",Calculation!AT130)</f>
        <v/>
      </c>
      <c r="W124" s="396" t="str">
        <f>IF(A124="","",Calculation!AP130)</f>
        <v/>
      </c>
      <c r="X124" s="396" t="str">
        <f>IF(A124="","",Calculation!AO130)</f>
        <v/>
      </c>
      <c r="Y124" s="396" t="str">
        <f>IF(A124="","",Calculation!AQ130)</f>
        <v/>
      </c>
      <c r="Z124" s="396" t="str">
        <f>IF(A124="","",Calculation!$H$6)</f>
        <v/>
      </c>
      <c r="AA124" s="397" t="str">
        <f>IF(A124="","",Calculation!$H$13)</f>
        <v/>
      </c>
      <c r="AB124" s="397" t="str">
        <f>IF(A124="","",Calculation!U130)</f>
        <v/>
      </c>
      <c r="AC124" s="398" t="str">
        <f>IF(A124="","",IF(Calculation!$O$9="None","Water",CONCATENATE(Calculation!$O$9,"-",Calculation!$S$9,"%")))</f>
        <v/>
      </c>
      <c r="AD124" s="396" t="str">
        <f>IF(A124="","",Calculation!$S$6)</f>
        <v/>
      </c>
      <c r="AE124" s="399" t="str">
        <f>IF(A124="","",Calculation!BA130)</f>
        <v/>
      </c>
      <c r="AF124" s="396" t="str">
        <f>IF(A124="","",Calculation!AX130)</f>
        <v/>
      </c>
      <c r="AG124" s="396" t="str">
        <f>IF(A124="","",Calculation!AW130)</f>
        <v/>
      </c>
      <c r="AH124" s="391" t="str">
        <f>IF(A124="","",Calculation!AY130)</f>
        <v/>
      </c>
      <c r="AI124" s="391" t="str">
        <f>IF(A124="","",Calculation!Y130)</f>
        <v/>
      </c>
      <c r="AJ124" s="401" t="str">
        <f>IF(Calculation!BD130&gt;0,Calculation!BD130," ")</f>
        <v xml:space="preserve"> </v>
      </c>
      <c r="AK124" s="401" t="str">
        <f>IF(Calculation!BD130&gt;0,Calculation!BE130," ")</f>
        <v xml:space="preserve"> </v>
      </c>
      <c r="AL124" s="401" t="str">
        <f>IF(Calculation!BD130&gt;0,Calculation!BF130," ")</f>
        <v xml:space="preserve"> </v>
      </c>
      <c r="AM124" s="401" t="str">
        <f>IF(Calculation!BD130&gt;0,Calculation!BG130," ")</f>
        <v xml:space="preserve"> </v>
      </c>
      <c r="AN124" s="391" t="str">
        <f>IF(Calculation!BH130="N/A","N/A",Calculation!BH130)</f>
        <v xml:space="preserve"> </v>
      </c>
      <c r="AO124" s="402" t="str">
        <f>IF(Calculation!BI130="N/A","N/A",Calculation!BI130)</f>
        <v/>
      </c>
      <c r="AP124" s="391" t="str">
        <f>IF(Calculation!BJ130="N/A","N/A",Calculation!BJ130)</f>
        <v/>
      </c>
      <c r="AQ124" s="402" t="str">
        <f>IF(Calculation!BK130="N/A","N/A",Calculation!BK130)</f>
        <v/>
      </c>
      <c r="AR124" s="391" t="str">
        <f>IF(Calculation!BL130="N/A","N/A",Calculation!BL130)</f>
        <v/>
      </c>
      <c r="AS124" s="402" t="str">
        <f>IF(Calculation!BM130="N/A","N/A",Calculation!BM130)</f>
        <v/>
      </c>
      <c r="AT124" s="400"/>
    </row>
    <row r="125" spans="1:46" ht="12.75" customHeight="1">
      <c r="A125" s="224" t="str">
        <f>IF(Calculation!BN131="","",CONCATENATE(Calculation!BO131,"-",Calculation!R131,"-",Calculation!S131,"-",Calculation!T131,"-",Calculation!U131))</f>
        <v/>
      </c>
      <c r="B125" s="224">
        <v>110</v>
      </c>
      <c r="C125" s="629" t="str">
        <f>IF(A125="","",Calculation!B131)</f>
        <v/>
      </c>
      <c r="D125" s="386" t="str">
        <f>IF(A125="","",Calculation!L131)</f>
        <v/>
      </c>
      <c r="E125" s="387" t="str">
        <f>IF(A125="","",Calculation!J131)</f>
        <v/>
      </c>
      <c r="F125" s="387" t="str">
        <f>IF(A125="","",Calculation!C131)</f>
        <v/>
      </c>
      <c r="G125" s="387" t="str">
        <f>IF(A125="","",LEFT(Calculation!O131,6))</f>
        <v/>
      </c>
      <c r="H125" s="388" t="str">
        <f>IF(A125="","",Calculation!DX131)</f>
        <v/>
      </c>
      <c r="I125" s="387" t="str">
        <f>IF(A125="","",Calculation!P131)</f>
        <v/>
      </c>
      <c r="J125" s="387" t="str">
        <f>IF(A125="","",HLOOKUP(LEFT(Calculation!BO131,7),LookUps!$C$38:$M$41,4))</f>
        <v/>
      </c>
      <c r="K125" s="387" t="str">
        <f>IF(A125="","",Calculation!M131)</f>
        <v/>
      </c>
      <c r="L125" s="387" t="str">
        <f>IF(A125="","",Calculation!S131)</f>
        <v/>
      </c>
      <c r="M125" s="389" t="str">
        <f>IF(A125="","",Calculation!N131)</f>
        <v/>
      </c>
      <c r="N125" s="390" t="str">
        <f>IF(A125="","",Calculation!R131)</f>
        <v/>
      </c>
      <c r="O125" s="391" t="str">
        <f>IF(A125="","",Calculation!$F$6)</f>
        <v/>
      </c>
      <c r="P125" s="392" t="str">
        <f>IF(A125="","",Calculation!$F$7)</f>
        <v/>
      </c>
      <c r="Q125" s="393" t="str">
        <f>IF(A125="","",Calculation!$F$13)</f>
        <v/>
      </c>
      <c r="R125" s="394" t="str">
        <f>IF(A125="","",Calculation!X131)</f>
        <v/>
      </c>
      <c r="S125" s="393" t="str">
        <f>IF(A125="","",Calculation!T131)</f>
        <v/>
      </c>
      <c r="T125" s="395" t="str">
        <f>IF(A125="","",IF(Calculation!$O$8="None","Water",CONCATENATE(Calculation!$O$8,"-",Calculation!$S$8,"%")))</f>
        <v/>
      </c>
      <c r="U125" s="393" t="str">
        <f>IF(A125="","",Calculation!$P$6)</f>
        <v/>
      </c>
      <c r="V125" s="393" t="str">
        <f>IF(A125="","",Calculation!AT131)</f>
        <v/>
      </c>
      <c r="W125" s="396" t="str">
        <f>IF(A125="","",Calculation!AP131)</f>
        <v/>
      </c>
      <c r="X125" s="396" t="str">
        <f>IF(A125="","",Calculation!AO131)</f>
        <v/>
      </c>
      <c r="Y125" s="396" t="str">
        <f>IF(A125="","",Calculation!AQ131)</f>
        <v/>
      </c>
      <c r="Z125" s="396" t="str">
        <f>IF(A125="","",Calculation!$H$6)</f>
        <v/>
      </c>
      <c r="AA125" s="397" t="str">
        <f>IF(A125="","",Calculation!$H$13)</f>
        <v/>
      </c>
      <c r="AB125" s="397" t="str">
        <f>IF(A125="","",Calculation!U131)</f>
        <v/>
      </c>
      <c r="AC125" s="398" t="str">
        <f>IF(A125="","",IF(Calculation!$O$9="None","Water",CONCATENATE(Calculation!$O$9,"-",Calculation!$S$9,"%")))</f>
        <v/>
      </c>
      <c r="AD125" s="396" t="str">
        <f>IF(A125="","",Calculation!$S$6)</f>
        <v/>
      </c>
      <c r="AE125" s="399" t="str">
        <f>IF(A125="","",Calculation!BA131)</f>
        <v/>
      </c>
      <c r="AF125" s="396" t="str">
        <f>IF(A125="","",Calculation!AX131)</f>
        <v/>
      </c>
      <c r="AG125" s="396" t="str">
        <f>IF(A125="","",Calculation!AW131)</f>
        <v/>
      </c>
      <c r="AH125" s="391" t="str">
        <f>IF(A125="","",Calculation!AY131)</f>
        <v/>
      </c>
      <c r="AI125" s="391" t="str">
        <f>IF(A125="","",Calculation!Y131)</f>
        <v/>
      </c>
      <c r="AJ125" s="401" t="str">
        <f>IF(Calculation!BD131&gt;0,Calculation!BD131," ")</f>
        <v xml:space="preserve"> </v>
      </c>
      <c r="AK125" s="401" t="str">
        <f>IF(Calculation!BD131&gt;0,Calculation!BE131," ")</f>
        <v xml:space="preserve"> </v>
      </c>
      <c r="AL125" s="401" t="str">
        <f>IF(Calculation!BD131&gt;0,Calculation!BF131," ")</f>
        <v xml:space="preserve"> </v>
      </c>
      <c r="AM125" s="401" t="str">
        <f>IF(Calculation!BD131&gt;0,Calculation!BG131," ")</f>
        <v xml:space="preserve"> </v>
      </c>
      <c r="AN125" s="391" t="str">
        <f>IF(Calculation!BH131="N/A","N/A",Calculation!BH131)</f>
        <v xml:space="preserve"> </v>
      </c>
      <c r="AO125" s="402" t="str">
        <f>IF(Calculation!BI131="N/A","N/A",Calculation!BI131)</f>
        <v/>
      </c>
      <c r="AP125" s="391" t="str">
        <f>IF(Calculation!BJ131="N/A","N/A",Calculation!BJ131)</f>
        <v/>
      </c>
      <c r="AQ125" s="402" t="str">
        <f>IF(Calculation!BK131="N/A","N/A",Calculation!BK131)</f>
        <v/>
      </c>
      <c r="AR125" s="391" t="str">
        <f>IF(Calculation!BL131="N/A","N/A",Calculation!BL131)</f>
        <v/>
      </c>
      <c r="AS125" s="402" t="str">
        <f>IF(Calculation!BM131="N/A","N/A",Calculation!BM131)</f>
        <v/>
      </c>
      <c r="AT125" s="400"/>
    </row>
    <row r="126" spans="1:46" ht="12.75" customHeight="1">
      <c r="A126" s="224" t="str">
        <f>IF(Calculation!BN132="","",CONCATENATE(Calculation!BO132,"-",Calculation!R132,"-",Calculation!S132,"-",Calculation!T132,"-",Calculation!U132))</f>
        <v/>
      </c>
      <c r="B126" s="224">
        <v>111</v>
      </c>
      <c r="C126" s="629" t="str">
        <f>IF(A126="","",Calculation!B132)</f>
        <v/>
      </c>
      <c r="D126" s="386" t="str">
        <f>IF(A126="","",Calculation!L132)</f>
        <v/>
      </c>
      <c r="E126" s="387" t="str">
        <f>IF(A126="","",Calculation!J132)</f>
        <v/>
      </c>
      <c r="F126" s="387" t="str">
        <f>IF(A126="","",Calculation!C132)</f>
        <v/>
      </c>
      <c r="G126" s="387" t="str">
        <f>IF(A126="","",LEFT(Calculation!O132,6))</f>
        <v/>
      </c>
      <c r="H126" s="388" t="str">
        <f>IF(A126="","",Calculation!DX132)</f>
        <v/>
      </c>
      <c r="I126" s="387" t="str">
        <f>IF(A126="","",Calculation!P132)</f>
        <v/>
      </c>
      <c r="J126" s="387" t="str">
        <f>IF(A126="","",HLOOKUP(LEFT(Calculation!BO132,7),LookUps!$C$38:$M$41,4))</f>
        <v/>
      </c>
      <c r="K126" s="387" t="str">
        <f>IF(A126="","",Calculation!M132)</f>
        <v/>
      </c>
      <c r="L126" s="387" t="str">
        <f>IF(A126="","",Calculation!S132)</f>
        <v/>
      </c>
      <c r="M126" s="389" t="str">
        <f>IF(A126="","",Calculation!N132)</f>
        <v/>
      </c>
      <c r="N126" s="390" t="str">
        <f>IF(A126="","",Calculation!R132)</f>
        <v/>
      </c>
      <c r="O126" s="391" t="str">
        <f>IF(A126="","",Calculation!$F$6)</f>
        <v/>
      </c>
      <c r="P126" s="392" t="str">
        <f>IF(A126="","",Calculation!$F$7)</f>
        <v/>
      </c>
      <c r="Q126" s="393" t="str">
        <f>IF(A126="","",Calculation!$F$13)</f>
        <v/>
      </c>
      <c r="R126" s="394" t="str">
        <f>IF(A126="","",Calculation!X132)</f>
        <v/>
      </c>
      <c r="S126" s="393" t="str">
        <f>IF(A126="","",Calculation!T132)</f>
        <v/>
      </c>
      <c r="T126" s="395" t="str">
        <f>IF(A126="","",IF(Calculation!$O$8="None","Water",CONCATENATE(Calculation!$O$8,"-",Calculation!$S$8,"%")))</f>
        <v/>
      </c>
      <c r="U126" s="393" t="str">
        <f>IF(A126="","",Calculation!$P$6)</f>
        <v/>
      </c>
      <c r="V126" s="393" t="str">
        <f>IF(A126="","",Calculation!AT132)</f>
        <v/>
      </c>
      <c r="W126" s="396" t="str">
        <f>IF(A126="","",Calculation!AP132)</f>
        <v/>
      </c>
      <c r="X126" s="396" t="str">
        <f>IF(A126="","",Calculation!AO132)</f>
        <v/>
      </c>
      <c r="Y126" s="396" t="str">
        <f>IF(A126="","",Calculation!AQ132)</f>
        <v/>
      </c>
      <c r="Z126" s="396" t="str">
        <f>IF(A126="","",Calculation!$H$6)</f>
        <v/>
      </c>
      <c r="AA126" s="397" t="str">
        <f>IF(A126="","",Calculation!$H$13)</f>
        <v/>
      </c>
      <c r="AB126" s="397" t="str">
        <f>IF(A126="","",Calculation!U132)</f>
        <v/>
      </c>
      <c r="AC126" s="398" t="str">
        <f>IF(A126="","",IF(Calculation!$O$9="None","Water",CONCATENATE(Calculation!$O$9,"-",Calculation!$S$9,"%")))</f>
        <v/>
      </c>
      <c r="AD126" s="396" t="str">
        <f>IF(A126="","",Calculation!$S$6)</f>
        <v/>
      </c>
      <c r="AE126" s="399" t="str">
        <f>IF(A126="","",Calculation!BA132)</f>
        <v/>
      </c>
      <c r="AF126" s="396" t="str">
        <f>IF(A126="","",Calculation!AX132)</f>
        <v/>
      </c>
      <c r="AG126" s="396" t="str">
        <f>IF(A126="","",Calculation!AW132)</f>
        <v/>
      </c>
      <c r="AH126" s="391" t="str">
        <f>IF(A126="","",Calculation!AY132)</f>
        <v/>
      </c>
      <c r="AI126" s="391" t="str">
        <f>IF(A126="","",Calculation!Y132)</f>
        <v/>
      </c>
      <c r="AJ126" s="401" t="str">
        <f>IF(Calculation!BD132&gt;0,Calculation!BD132," ")</f>
        <v xml:space="preserve"> </v>
      </c>
      <c r="AK126" s="401" t="str">
        <f>IF(Calculation!BD132&gt;0,Calculation!BE132," ")</f>
        <v xml:space="preserve"> </v>
      </c>
      <c r="AL126" s="401" t="str">
        <f>IF(Calculation!BD132&gt;0,Calculation!BF132," ")</f>
        <v xml:space="preserve"> </v>
      </c>
      <c r="AM126" s="401" t="str">
        <f>IF(Calculation!BD132&gt;0,Calculation!BG132," ")</f>
        <v xml:space="preserve"> </v>
      </c>
      <c r="AN126" s="391" t="str">
        <f>IF(Calculation!BH132="N/A","N/A",Calculation!BH132)</f>
        <v xml:space="preserve"> </v>
      </c>
      <c r="AO126" s="402" t="str">
        <f>IF(Calculation!BI132="N/A","N/A",Calculation!BI132)</f>
        <v/>
      </c>
      <c r="AP126" s="391" t="str">
        <f>IF(Calculation!BJ132="N/A","N/A",Calculation!BJ132)</f>
        <v/>
      </c>
      <c r="AQ126" s="402" t="str">
        <f>IF(Calculation!BK132="N/A","N/A",Calculation!BK132)</f>
        <v/>
      </c>
      <c r="AR126" s="391" t="str">
        <f>IF(Calculation!BL132="N/A","N/A",Calculation!BL132)</f>
        <v/>
      </c>
      <c r="AS126" s="402" t="str">
        <f>IF(Calculation!BM132="N/A","N/A",Calculation!BM132)</f>
        <v/>
      </c>
      <c r="AT126" s="400"/>
    </row>
    <row r="127" spans="1:46" ht="12.75" customHeight="1">
      <c r="A127" s="224" t="str">
        <f>IF(Calculation!BN133="","",CONCATENATE(Calculation!BO133,"-",Calculation!R133,"-",Calculation!S133,"-",Calculation!T133,"-",Calculation!U133))</f>
        <v/>
      </c>
      <c r="B127" s="224">
        <v>112</v>
      </c>
      <c r="C127" s="629" t="str">
        <f>IF(A127="","",Calculation!B133)</f>
        <v/>
      </c>
      <c r="D127" s="386" t="str">
        <f>IF(A127="","",Calculation!L133)</f>
        <v/>
      </c>
      <c r="E127" s="387" t="str">
        <f>IF(A127="","",Calculation!J133)</f>
        <v/>
      </c>
      <c r="F127" s="387" t="str">
        <f>IF(A127="","",Calculation!C133)</f>
        <v/>
      </c>
      <c r="G127" s="387" t="str">
        <f>IF(A127="","",LEFT(Calculation!O133,6))</f>
        <v/>
      </c>
      <c r="H127" s="388" t="str">
        <f>IF(A127="","",Calculation!DX133)</f>
        <v/>
      </c>
      <c r="I127" s="387" t="str">
        <f>IF(A127="","",Calculation!P133)</f>
        <v/>
      </c>
      <c r="J127" s="387" t="str">
        <f>IF(A127="","",HLOOKUP(LEFT(Calculation!BO133,7),LookUps!$C$38:$M$41,4))</f>
        <v/>
      </c>
      <c r="K127" s="387" t="str">
        <f>IF(A127="","",Calculation!M133)</f>
        <v/>
      </c>
      <c r="L127" s="387" t="str">
        <f>IF(A127="","",Calculation!S133)</f>
        <v/>
      </c>
      <c r="M127" s="389" t="str">
        <f>IF(A127="","",Calculation!N133)</f>
        <v/>
      </c>
      <c r="N127" s="390" t="str">
        <f>IF(A127="","",Calculation!R133)</f>
        <v/>
      </c>
      <c r="O127" s="391" t="str">
        <f>IF(A127="","",Calculation!$F$6)</f>
        <v/>
      </c>
      <c r="P127" s="392" t="str">
        <f>IF(A127="","",Calculation!$F$7)</f>
        <v/>
      </c>
      <c r="Q127" s="393" t="str">
        <f>IF(A127="","",Calculation!$F$13)</f>
        <v/>
      </c>
      <c r="R127" s="394" t="str">
        <f>IF(A127="","",Calculation!X133)</f>
        <v/>
      </c>
      <c r="S127" s="393" t="str">
        <f>IF(A127="","",Calculation!T133)</f>
        <v/>
      </c>
      <c r="T127" s="395" t="str">
        <f>IF(A127="","",IF(Calculation!$O$8="None","Water",CONCATENATE(Calculation!$O$8,"-",Calculation!$S$8,"%")))</f>
        <v/>
      </c>
      <c r="U127" s="393" t="str">
        <f>IF(A127="","",Calculation!$P$6)</f>
        <v/>
      </c>
      <c r="V127" s="393" t="str">
        <f>IF(A127="","",Calculation!AT133)</f>
        <v/>
      </c>
      <c r="W127" s="396" t="str">
        <f>IF(A127="","",Calculation!AP133)</f>
        <v/>
      </c>
      <c r="X127" s="396" t="str">
        <f>IF(A127="","",Calculation!AO133)</f>
        <v/>
      </c>
      <c r="Y127" s="396" t="str">
        <f>IF(A127="","",Calculation!AQ133)</f>
        <v/>
      </c>
      <c r="Z127" s="396" t="str">
        <f>IF(A127="","",Calculation!$H$6)</f>
        <v/>
      </c>
      <c r="AA127" s="397" t="str">
        <f>IF(A127="","",Calculation!$H$13)</f>
        <v/>
      </c>
      <c r="AB127" s="397" t="str">
        <f>IF(A127="","",Calculation!U133)</f>
        <v/>
      </c>
      <c r="AC127" s="398" t="str">
        <f>IF(A127="","",IF(Calculation!$O$9="None","Water",CONCATENATE(Calculation!$O$9,"-",Calculation!$S$9,"%")))</f>
        <v/>
      </c>
      <c r="AD127" s="396" t="str">
        <f>IF(A127="","",Calculation!$S$6)</f>
        <v/>
      </c>
      <c r="AE127" s="399" t="str">
        <f>IF(A127="","",Calculation!BA133)</f>
        <v/>
      </c>
      <c r="AF127" s="396" t="str">
        <f>IF(A127="","",Calculation!AX133)</f>
        <v/>
      </c>
      <c r="AG127" s="396" t="str">
        <f>IF(A127="","",Calculation!AW133)</f>
        <v/>
      </c>
      <c r="AH127" s="391" t="str">
        <f>IF(A127="","",Calculation!AY133)</f>
        <v/>
      </c>
      <c r="AI127" s="391" t="str">
        <f>IF(A127="","",Calculation!Y133)</f>
        <v/>
      </c>
      <c r="AJ127" s="401" t="str">
        <f>IF(Calculation!BD133&gt;0,Calculation!BD133," ")</f>
        <v xml:space="preserve"> </v>
      </c>
      <c r="AK127" s="401" t="str">
        <f>IF(Calculation!BD133&gt;0,Calculation!BE133," ")</f>
        <v xml:space="preserve"> </v>
      </c>
      <c r="AL127" s="401" t="str">
        <f>IF(Calculation!BD133&gt;0,Calculation!BF133," ")</f>
        <v xml:space="preserve"> </v>
      </c>
      <c r="AM127" s="401" t="str">
        <f>IF(Calculation!BD133&gt;0,Calculation!BG133," ")</f>
        <v xml:space="preserve"> </v>
      </c>
      <c r="AN127" s="391" t="str">
        <f>IF(Calculation!BH133="N/A","N/A",Calculation!BH133)</f>
        <v xml:space="preserve"> </v>
      </c>
      <c r="AO127" s="402" t="str">
        <f>IF(Calculation!BI133="N/A","N/A",Calculation!BI133)</f>
        <v/>
      </c>
      <c r="AP127" s="391" t="str">
        <f>IF(Calculation!BJ133="N/A","N/A",Calculation!BJ133)</f>
        <v/>
      </c>
      <c r="AQ127" s="402" t="str">
        <f>IF(Calculation!BK133="N/A","N/A",Calculation!BK133)</f>
        <v/>
      </c>
      <c r="AR127" s="391" t="str">
        <f>IF(Calculation!BL133="N/A","N/A",Calculation!BL133)</f>
        <v/>
      </c>
      <c r="AS127" s="402" t="str">
        <f>IF(Calculation!BM133="N/A","N/A",Calculation!BM133)</f>
        <v/>
      </c>
      <c r="AT127" s="400"/>
    </row>
    <row r="128" spans="1:46" ht="12.75" customHeight="1">
      <c r="A128" s="224" t="str">
        <f>IF(Calculation!BN134="","",CONCATENATE(Calculation!BO134,"-",Calculation!R134,"-",Calculation!S134,"-",Calculation!T134,"-",Calculation!U134))</f>
        <v/>
      </c>
      <c r="B128" s="224">
        <v>113</v>
      </c>
      <c r="C128" s="629" t="str">
        <f>IF(A128="","",Calculation!B134)</f>
        <v/>
      </c>
      <c r="D128" s="386" t="str">
        <f>IF(A128="","",Calculation!L134)</f>
        <v/>
      </c>
      <c r="E128" s="387" t="str">
        <f>IF(A128="","",Calculation!J134)</f>
        <v/>
      </c>
      <c r="F128" s="387" t="str">
        <f>IF(A128="","",Calculation!C134)</f>
        <v/>
      </c>
      <c r="G128" s="387" t="str">
        <f>IF(A128="","",LEFT(Calculation!O134,6))</f>
        <v/>
      </c>
      <c r="H128" s="388" t="str">
        <f>IF(A128="","",Calculation!DX134)</f>
        <v/>
      </c>
      <c r="I128" s="387" t="str">
        <f>IF(A128="","",Calculation!P134)</f>
        <v/>
      </c>
      <c r="J128" s="387" t="str">
        <f>IF(A128="","",HLOOKUP(LEFT(Calculation!BO134,7),LookUps!$C$38:$M$41,4))</f>
        <v/>
      </c>
      <c r="K128" s="387" t="str">
        <f>IF(A128="","",Calculation!M134)</f>
        <v/>
      </c>
      <c r="L128" s="387" t="str">
        <f>IF(A128="","",Calculation!S134)</f>
        <v/>
      </c>
      <c r="M128" s="389" t="str">
        <f>IF(A128="","",Calculation!N134)</f>
        <v/>
      </c>
      <c r="N128" s="390" t="str">
        <f>IF(A128="","",Calculation!R134)</f>
        <v/>
      </c>
      <c r="O128" s="391" t="str">
        <f>IF(A128="","",Calculation!$F$6)</f>
        <v/>
      </c>
      <c r="P128" s="392" t="str">
        <f>IF(A128="","",Calculation!$F$7)</f>
        <v/>
      </c>
      <c r="Q128" s="393" t="str">
        <f>IF(A128="","",Calculation!$F$13)</f>
        <v/>
      </c>
      <c r="R128" s="394" t="str">
        <f>IF(A128="","",Calculation!X134)</f>
        <v/>
      </c>
      <c r="S128" s="393" t="str">
        <f>IF(A128="","",Calculation!T134)</f>
        <v/>
      </c>
      <c r="T128" s="395" t="str">
        <f>IF(A128="","",IF(Calculation!$O$8="None","Water",CONCATENATE(Calculation!$O$8,"-",Calculation!$S$8,"%")))</f>
        <v/>
      </c>
      <c r="U128" s="393" t="str">
        <f>IF(A128="","",Calculation!$P$6)</f>
        <v/>
      </c>
      <c r="V128" s="393" t="str">
        <f>IF(A128="","",Calculation!AT134)</f>
        <v/>
      </c>
      <c r="W128" s="396" t="str">
        <f>IF(A128="","",Calculation!AP134)</f>
        <v/>
      </c>
      <c r="X128" s="396" t="str">
        <f>IF(A128="","",Calculation!AO134)</f>
        <v/>
      </c>
      <c r="Y128" s="396" t="str">
        <f>IF(A128="","",Calculation!AQ134)</f>
        <v/>
      </c>
      <c r="Z128" s="396" t="str">
        <f>IF(A128="","",Calculation!$H$6)</f>
        <v/>
      </c>
      <c r="AA128" s="397" t="str">
        <f>IF(A128="","",Calculation!$H$13)</f>
        <v/>
      </c>
      <c r="AB128" s="397" t="str">
        <f>IF(A128="","",Calculation!U134)</f>
        <v/>
      </c>
      <c r="AC128" s="398" t="str">
        <f>IF(A128="","",IF(Calculation!$O$9="None","Water",CONCATENATE(Calculation!$O$9,"-",Calculation!$S$9,"%")))</f>
        <v/>
      </c>
      <c r="AD128" s="396" t="str">
        <f>IF(A128="","",Calculation!$S$6)</f>
        <v/>
      </c>
      <c r="AE128" s="399" t="str">
        <f>IF(A128="","",Calculation!BA134)</f>
        <v/>
      </c>
      <c r="AF128" s="396" t="str">
        <f>IF(A128="","",Calculation!AX134)</f>
        <v/>
      </c>
      <c r="AG128" s="396" t="str">
        <f>IF(A128="","",Calculation!AW134)</f>
        <v/>
      </c>
      <c r="AH128" s="391" t="str">
        <f>IF(A128="","",Calculation!AY134)</f>
        <v/>
      </c>
      <c r="AI128" s="391" t="str">
        <f>IF(A128="","",Calculation!Y134)</f>
        <v/>
      </c>
      <c r="AJ128" s="401" t="str">
        <f>IF(Calculation!BD134&gt;0,Calculation!BD134," ")</f>
        <v xml:space="preserve"> </v>
      </c>
      <c r="AK128" s="401" t="str">
        <f>IF(Calculation!BD134&gt;0,Calculation!BE134," ")</f>
        <v xml:space="preserve"> </v>
      </c>
      <c r="AL128" s="401" t="str">
        <f>IF(Calculation!BD134&gt;0,Calculation!BF134," ")</f>
        <v xml:space="preserve"> </v>
      </c>
      <c r="AM128" s="401" t="str">
        <f>IF(Calculation!BD134&gt;0,Calculation!BG134," ")</f>
        <v xml:space="preserve"> </v>
      </c>
      <c r="AN128" s="391" t="str">
        <f>IF(Calculation!BH134="N/A","N/A",Calculation!BH134)</f>
        <v xml:space="preserve"> </v>
      </c>
      <c r="AO128" s="402" t="str">
        <f>IF(Calculation!BI134="N/A","N/A",Calculation!BI134)</f>
        <v/>
      </c>
      <c r="AP128" s="391" t="str">
        <f>IF(Calculation!BJ134="N/A","N/A",Calculation!BJ134)</f>
        <v/>
      </c>
      <c r="AQ128" s="402" t="str">
        <f>IF(Calculation!BK134="N/A","N/A",Calculation!BK134)</f>
        <v/>
      </c>
      <c r="AR128" s="391" t="str">
        <f>IF(Calculation!BL134="N/A","N/A",Calculation!BL134)</f>
        <v/>
      </c>
      <c r="AS128" s="402" t="str">
        <f>IF(Calculation!BM134="N/A","N/A",Calculation!BM134)</f>
        <v/>
      </c>
      <c r="AT128" s="400"/>
    </row>
    <row r="129" spans="1:46" ht="12.75" customHeight="1">
      <c r="A129" s="224" t="str">
        <f>IF(Calculation!BN135="","",CONCATENATE(Calculation!BO135,"-",Calculation!R135,"-",Calculation!S135,"-",Calculation!T135,"-",Calculation!U135))</f>
        <v/>
      </c>
      <c r="B129" s="224">
        <v>114</v>
      </c>
      <c r="C129" s="629" t="str">
        <f>IF(A129="","",Calculation!B135)</f>
        <v/>
      </c>
      <c r="D129" s="386" t="str">
        <f>IF(A129="","",Calculation!L135)</f>
        <v/>
      </c>
      <c r="E129" s="387" t="str">
        <f>IF(A129="","",Calculation!J135)</f>
        <v/>
      </c>
      <c r="F129" s="387" t="str">
        <f>IF(A129="","",Calculation!C135)</f>
        <v/>
      </c>
      <c r="G129" s="387" t="str">
        <f>IF(A129="","",LEFT(Calculation!O135,6))</f>
        <v/>
      </c>
      <c r="H129" s="388" t="str">
        <f>IF(A129="","",Calculation!DX135)</f>
        <v/>
      </c>
      <c r="I129" s="387" t="str">
        <f>IF(A129="","",Calculation!P135)</f>
        <v/>
      </c>
      <c r="J129" s="387" t="str">
        <f>IF(A129="","",HLOOKUP(LEFT(Calculation!BO135,7),LookUps!$C$38:$M$41,4))</f>
        <v/>
      </c>
      <c r="K129" s="387" t="str">
        <f>IF(A129="","",Calculation!M135)</f>
        <v/>
      </c>
      <c r="L129" s="387" t="str">
        <f>IF(A129="","",Calculation!S135)</f>
        <v/>
      </c>
      <c r="M129" s="389" t="str">
        <f>IF(A129="","",Calculation!N135)</f>
        <v/>
      </c>
      <c r="N129" s="390" t="str">
        <f>IF(A129="","",Calculation!R135)</f>
        <v/>
      </c>
      <c r="O129" s="391" t="str">
        <f>IF(A129="","",Calculation!$F$6)</f>
        <v/>
      </c>
      <c r="P129" s="392" t="str">
        <f>IF(A129="","",Calculation!$F$7)</f>
        <v/>
      </c>
      <c r="Q129" s="393" t="str">
        <f>IF(A129="","",Calculation!$F$13)</f>
        <v/>
      </c>
      <c r="R129" s="394" t="str">
        <f>IF(A129="","",Calculation!X135)</f>
        <v/>
      </c>
      <c r="S129" s="393" t="str">
        <f>IF(A129="","",Calculation!T135)</f>
        <v/>
      </c>
      <c r="T129" s="395" t="str">
        <f>IF(A129="","",IF(Calculation!$O$8="None","Water",CONCATENATE(Calculation!$O$8,"-",Calculation!$S$8,"%")))</f>
        <v/>
      </c>
      <c r="U129" s="393" t="str">
        <f>IF(A129="","",Calculation!$P$6)</f>
        <v/>
      </c>
      <c r="V129" s="393" t="str">
        <f>IF(A129="","",Calculation!AT135)</f>
        <v/>
      </c>
      <c r="W129" s="396" t="str">
        <f>IF(A129="","",Calculation!AP135)</f>
        <v/>
      </c>
      <c r="X129" s="396" t="str">
        <f>IF(A129="","",Calculation!AO135)</f>
        <v/>
      </c>
      <c r="Y129" s="396" t="str">
        <f>IF(A129="","",Calculation!AQ135)</f>
        <v/>
      </c>
      <c r="Z129" s="396" t="str">
        <f>IF(A129="","",Calculation!$H$6)</f>
        <v/>
      </c>
      <c r="AA129" s="397" t="str">
        <f>IF(A129="","",Calculation!$H$13)</f>
        <v/>
      </c>
      <c r="AB129" s="397" t="str">
        <f>IF(A129="","",Calculation!U135)</f>
        <v/>
      </c>
      <c r="AC129" s="398" t="str">
        <f>IF(A129="","",IF(Calculation!$O$9="None","Water",CONCATENATE(Calculation!$O$9,"-",Calculation!$S$9,"%")))</f>
        <v/>
      </c>
      <c r="AD129" s="396" t="str">
        <f>IF(A129="","",Calculation!$S$6)</f>
        <v/>
      </c>
      <c r="AE129" s="399" t="str">
        <f>IF(A129="","",Calculation!BA135)</f>
        <v/>
      </c>
      <c r="AF129" s="396" t="str">
        <f>IF(A129="","",Calculation!AX135)</f>
        <v/>
      </c>
      <c r="AG129" s="396" t="str">
        <f>IF(A129="","",Calculation!AW135)</f>
        <v/>
      </c>
      <c r="AH129" s="391" t="str">
        <f>IF(A129="","",Calculation!AY135)</f>
        <v/>
      </c>
      <c r="AI129" s="391" t="str">
        <f>IF(A129="","",Calculation!Y135)</f>
        <v/>
      </c>
      <c r="AJ129" s="401" t="str">
        <f>IF(Calculation!BD135&gt;0,Calculation!BD135," ")</f>
        <v xml:space="preserve"> </v>
      </c>
      <c r="AK129" s="401" t="str">
        <f>IF(Calculation!BD135&gt;0,Calculation!BE135," ")</f>
        <v xml:space="preserve"> </v>
      </c>
      <c r="AL129" s="401" t="str">
        <f>IF(Calculation!BD135&gt;0,Calculation!BF135," ")</f>
        <v xml:space="preserve"> </v>
      </c>
      <c r="AM129" s="401" t="str">
        <f>IF(Calculation!BD135&gt;0,Calculation!BG135," ")</f>
        <v xml:space="preserve"> </v>
      </c>
      <c r="AN129" s="391" t="str">
        <f>IF(Calculation!BH135="N/A","N/A",Calculation!BH135)</f>
        <v xml:space="preserve"> </v>
      </c>
      <c r="AO129" s="402" t="str">
        <f>IF(Calculation!BI135="N/A","N/A",Calculation!BI135)</f>
        <v/>
      </c>
      <c r="AP129" s="391" t="str">
        <f>IF(Calculation!BJ135="N/A","N/A",Calculation!BJ135)</f>
        <v/>
      </c>
      <c r="AQ129" s="402" t="str">
        <f>IF(Calculation!BK135="N/A","N/A",Calculation!BK135)</f>
        <v/>
      </c>
      <c r="AR129" s="391" t="str">
        <f>IF(Calculation!BL135="N/A","N/A",Calculation!BL135)</f>
        <v/>
      </c>
      <c r="AS129" s="402" t="str">
        <f>IF(Calculation!BM135="N/A","N/A",Calculation!BM135)</f>
        <v/>
      </c>
      <c r="AT129" s="400"/>
    </row>
    <row r="130" spans="1:46" ht="12.75" customHeight="1">
      <c r="A130" s="224" t="str">
        <f>IF(Calculation!BN136="","",CONCATENATE(Calculation!BO136,"-",Calculation!R136,"-",Calculation!S136,"-",Calculation!T136,"-",Calculation!U136))</f>
        <v/>
      </c>
      <c r="B130" s="224">
        <v>115</v>
      </c>
      <c r="C130" s="629" t="str">
        <f>IF(A130="","",Calculation!B136)</f>
        <v/>
      </c>
      <c r="D130" s="386" t="str">
        <f>IF(A130="","",Calculation!L136)</f>
        <v/>
      </c>
      <c r="E130" s="387" t="str">
        <f>IF(A130="","",Calculation!J136)</f>
        <v/>
      </c>
      <c r="F130" s="387" t="str">
        <f>IF(A130="","",Calculation!C136)</f>
        <v/>
      </c>
      <c r="G130" s="387" t="str">
        <f>IF(A130="","",LEFT(Calculation!O136,6))</f>
        <v/>
      </c>
      <c r="H130" s="388" t="str">
        <f>IF(A130="","",Calculation!DX136)</f>
        <v/>
      </c>
      <c r="I130" s="387" t="str">
        <f>IF(A130="","",Calculation!P136)</f>
        <v/>
      </c>
      <c r="J130" s="387" t="str">
        <f>IF(A130="","",HLOOKUP(LEFT(Calculation!BO136,7),LookUps!$C$38:$M$41,4))</f>
        <v/>
      </c>
      <c r="K130" s="387" t="str">
        <f>IF(A130="","",Calculation!M136)</f>
        <v/>
      </c>
      <c r="L130" s="387" t="str">
        <f>IF(A130="","",Calculation!S136)</f>
        <v/>
      </c>
      <c r="M130" s="389" t="str">
        <f>IF(A130="","",Calculation!N136)</f>
        <v/>
      </c>
      <c r="N130" s="390" t="str">
        <f>IF(A130="","",Calculation!R136)</f>
        <v/>
      </c>
      <c r="O130" s="391" t="str">
        <f>IF(A130="","",Calculation!$F$6)</f>
        <v/>
      </c>
      <c r="P130" s="392" t="str">
        <f>IF(A130="","",Calculation!$F$7)</f>
        <v/>
      </c>
      <c r="Q130" s="393" t="str">
        <f>IF(A130="","",Calculation!$F$13)</f>
        <v/>
      </c>
      <c r="R130" s="394" t="str">
        <f>IF(A130="","",Calculation!X136)</f>
        <v/>
      </c>
      <c r="S130" s="393" t="str">
        <f>IF(A130="","",Calculation!T136)</f>
        <v/>
      </c>
      <c r="T130" s="395" t="str">
        <f>IF(A130="","",IF(Calculation!$O$8="None","Water",CONCATENATE(Calculation!$O$8,"-",Calculation!$S$8,"%")))</f>
        <v/>
      </c>
      <c r="U130" s="393" t="str">
        <f>IF(A130="","",Calculation!$P$6)</f>
        <v/>
      </c>
      <c r="V130" s="393" t="str">
        <f>IF(A130="","",Calculation!AT136)</f>
        <v/>
      </c>
      <c r="W130" s="396" t="str">
        <f>IF(A130="","",Calculation!AP136)</f>
        <v/>
      </c>
      <c r="X130" s="396" t="str">
        <f>IF(A130="","",Calculation!AO136)</f>
        <v/>
      </c>
      <c r="Y130" s="396" t="str">
        <f>IF(A130="","",Calculation!AQ136)</f>
        <v/>
      </c>
      <c r="Z130" s="396" t="str">
        <f>IF(A130="","",Calculation!$H$6)</f>
        <v/>
      </c>
      <c r="AA130" s="397" t="str">
        <f>IF(A130="","",Calculation!$H$13)</f>
        <v/>
      </c>
      <c r="AB130" s="397" t="str">
        <f>IF(A130="","",Calculation!U136)</f>
        <v/>
      </c>
      <c r="AC130" s="398" t="str">
        <f>IF(A130="","",IF(Calculation!$O$9="None","Water",CONCATENATE(Calculation!$O$9,"-",Calculation!$S$9,"%")))</f>
        <v/>
      </c>
      <c r="AD130" s="396" t="str">
        <f>IF(A130="","",Calculation!$S$6)</f>
        <v/>
      </c>
      <c r="AE130" s="399" t="str">
        <f>IF(A130="","",Calculation!BA136)</f>
        <v/>
      </c>
      <c r="AF130" s="396" t="str">
        <f>IF(A130="","",Calculation!AX136)</f>
        <v/>
      </c>
      <c r="AG130" s="396" t="str">
        <f>IF(A130="","",Calculation!AW136)</f>
        <v/>
      </c>
      <c r="AH130" s="391" t="str">
        <f>IF(A130="","",Calculation!AY136)</f>
        <v/>
      </c>
      <c r="AI130" s="391" t="str">
        <f>IF(A130="","",Calculation!Y136)</f>
        <v/>
      </c>
      <c r="AJ130" s="401" t="str">
        <f>IF(Calculation!BD136&gt;0,Calculation!BD136," ")</f>
        <v xml:space="preserve"> </v>
      </c>
      <c r="AK130" s="401" t="str">
        <f>IF(Calculation!BD136&gt;0,Calculation!BE136," ")</f>
        <v xml:space="preserve"> </v>
      </c>
      <c r="AL130" s="401" t="str">
        <f>IF(Calculation!BD136&gt;0,Calculation!BF136," ")</f>
        <v xml:space="preserve"> </v>
      </c>
      <c r="AM130" s="401" t="str">
        <f>IF(Calculation!BD136&gt;0,Calculation!BG136," ")</f>
        <v xml:space="preserve"> </v>
      </c>
      <c r="AN130" s="391" t="str">
        <f>IF(Calculation!BH136="N/A","N/A",Calculation!BH136)</f>
        <v xml:space="preserve"> </v>
      </c>
      <c r="AO130" s="402" t="str">
        <f>IF(Calculation!BI136="N/A","N/A",Calculation!BI136)</f>
        <v/>
      </c>
      <c r="AP130" s="391" t="str">
        <f>IF(Calculation!BJ136="N/A","N/A",Calculation!BJ136)</f>
        <v/>
      </c>
      <c r="AQ130" s="402" t="str">
        <f>IF(Calculation!BK136="N/A","N/A",Calculation!BK136)</f>
        <v/>
      </c>
      <c r="AR130" s="391" t="str">
        <f>IF(Calculation!BL136="N/A","N/A",Calculation!BL136)</f>
        <v/>
      </c>
      <c r="AS130" s="402" t="str">
        <f>IF(Calculation!BM136="N/A","N/A",Calculation!BM136)</f>
        <v/>
      </c>
      <c r="AT130" s="400"/>
    </row>
    <row r="131" spans="1:46" ht="12.75" customHeight="1">
      <c r="A131" s="224" t="str">
        <f>IF(Calculation!BN137="","",CONCATENATE(Calculation!BO137,"-",Calculation!R137,"-",Calculation!S137,"-",Calculation!T137,"-",Calculation!U137))</f>
        <v/>
      </c>
      <c r="B131" s="224">
        <v>116</v>
      </c>
      <c r="C131" s="629" t="str">
        <f>IF(A131="","",Calculation!B137)</f>
        <v/>
      </c>
      <c r="D131" s="386" t="str">
        <f>IF(A131="","",Calculation!L137)</f>
        <v/>
      </c>
      <c r="E131" s="387" t="str">
        <f>IF(A131="","",Calculation!J137)</f>
        <v/>
      </c>
      <c r="F131" s="387" t="str">
        <f>IF(A131="","",Calculation!C137)</f>
        <v/>
      </c>
      <c r="G131" s="387" t="str">
        <f>IF(A131="","",LEFT(Calculation!O137,6))</f>
        <v/>
      </c>
      <c r="H131" s="388" t="str">
        <f>IF(A131="","",Calculation!DX137)</f>
        <v/>
      </c>
      <c r="I131" s="387" t="str">
        <f>IF(A131="","",Calculation!P137)</f>
        <v/>
      </c>
      <c r="J131" s="387" t="str">
        <f>IF(A131="","",HLOOKUP(LEFT(Calculation!BO137,7),LookUps!$C$38:$M$41,4))</f>
        <v/>
      </c>
      <c r="K131" s="387" t="str">
        <f>IF(A131="","",Calculation!M137)</f>
        <v/>
      </c>
      <c r="L131" s="387" t="str">
        <f>IF(A131="","",Calculation!S137)</f>
        <v/>
      </c>
      <c r="M131" s="389" t="str">
        <f>IF(A131="","",Calculation!N137)</f>
        <v/>
      </c>
      <c r="N131" s="390" t="str">
        <f>IF(A131="","",Calculation!R137)</f>
        <v/>
      </c>
      <c r="O131" s="391" t="str">
        <f>IF(A131="","",Calculation!$F$6)</f>
        <v/>
      </c>
      <c r="P131" s="392" t="str">
        <f>IF(A131="","",Calculation!$F$7)</f>
        <v/>
      </c>
      <c r="Q131" s="393" t="str">
        <f>IF(A131="","",Calculation!$F$13)</f>
        <v/>
      </c>
      <c r="R131" s="394" t="str">
        <f>IF(A131="","",Calculation!X137)</f>
        <v/>
      </c>
      <c r="S131" s="393" t="str">
        <f>IF(A131="","",Calculation!T137)</f>
        <v/>
      </c>
      <c r="T131" s="395" t="str">
        <f>IF(A131="","",IF(Calculation!$O$8="None","Water",CONCATENATE(Calculation!$O$8,"-",Calculation!$S$8,"%")))</f>
        <v/>
      </c>
      <c r="U131" s="393" t="str">
        <f>IF(A131="","",Calculation!$P$6)</f>
        <v/>
      </c>
      <c r="V131" s="393" t="str">
        <f>IF(A131="","",Calculation!AT137)</f>
        <v/>
      </c>
      <c r="W131" s="396" t="str">
        <f>IF(A131="","",Calculation!AP137)</f>
        <v/>
      </c>
      <c r="X131" s="396" t="str">
        <f>IF(A131="","",Calculation!AO137)</f>
        <v/>
      </c>
      <c r="Y131" s="396" t="str">
        <f>IF(A131="","",Calculation!AQ137)</f>
        <v/>
      </c>
      <c r="Z131" s="396" t="str">
        <f>IF(A131="","",Calculation!$H$6)</f>
        <v/>
      </c>
      <c r="AA131" s="397" t="str">
        <f>IF(A131="","",Calculation!$H$13)</f>
        <v/>
      </c>
      <c r="AB131" s="397" t="str">
        <f>IF(A131="","",Calculation!U137)</f>
        <v/>
      </c>
      <c r="AC131" s="398" t="str">
        <f>IF(A131="","",IF(Calculation!$O$9="None","Water",CONCATENATE(Calculation!$O$9,"-",Calculation!$S$9,"%")))</f>
        <v/>
      </c>
      <c r="AD131" s="396" t="str">
        <f>IF(A131="","",Calculation!$S$6)</f>
        <v/>
      </c>
      <c r="AE131" s="399" t="str">
        <f>IF(A131="","",Calculation!BA137)</f>
        <v/>
      </c>
      <c r="AF131" s="396" t="str">
        <f>IF(A131="","",Calculation!AX137)</f>
        <v/>
      </c>
      <c r="AG131" s="396" t="str">
        <f>IF(A131="","",Calculation!AW137)</f>
        <v/>
      </c>
      <c r="AH131" s="391" t="str">
        <f>IF(A131="","",Calculation!AY137)</f>
        <v/>
      </c>
      <c r="AI131" s="391" t="str">
        <f>IF(A131="","",Calculation!Y137)</f>
        <v/>
      </c>
      <c r="AJ131" s="401" t="str">
        <f>IF(Calculation!BD137&gt;0,Calculation!BD137," ")</f>
        <v xml:space="preserve"> </v>
      </c>
      <c r="AK131" s="401" t="str">
        <f>IF(Calculation!BD137&gt;0,Calculation!BE137," ")</f>
        <v xml:space="preserve"> </v>
      </c>
      <c r="AL131" s="401" t="str">
        <f>IF(Calculation!BD137&gt;0,Calculation!BF137," ")</f>
        <v xml:space="preserve"> </v>
      </c>
      <c r="AM131" s="401" t="str">
        <f>IF(Calculation!BD137&gt;0,Calculation!BG137," ")</f>
        <v xml:space="preserve"> </v>
      </c>
      <c r="AN131" s="391" t="str">
        <f>IF(Calculation!BH137="N/A","N/A",Calculation!BH137)</f>
        <v xml:space="preserve"> </v>
      </c>
      <c r="AO131" s="402" t="str">
        <f>IF(Calculation!BI137="N/A","N/A",Calculation!BI137)</f>
        <v/>
      </c>
      <c r="AP131" s="391" t="str">
        <f>IF(Calculation!BJ137="N/A","N/A",Calculation!BJ137)</f>
        <v/>
      </c>
      <c r="AQ131" s="402" t="str">
        <f>IF(Calculation!BK137="N/A","N/A",Calculation!BK137)</f>
        <v/>
      </c>
      <c r="AR131" s="391" t="str">
        <f>IF(Calculation!BL137="N/A","N/A",Calculation!BL137)</f>
        <v/>
      </c>
      <c r="AS131" s="402" t="str">
        <f>IF(Calculation!BM137="N/A","N/A",Calculation!BM137)</f>
        <v/>
      </c>
      <c r="AT131" s="400"/>
    </row>
    <row r="132" spans="1:46" ht="12.75" customHeight="1">
      <c r="A132" s="224" t="str">
        <f>IF(Calculation!BN138="","",CONCATENATE(Calculation!BO138,"-",Calculation!R138,"-",Calculation!S138,"-",Calculation!T138,"-",Calculation!U138))</f>
        <v/>
      </c>
      <c r="B132" s="224">
        <v>117</v>
      </c>
      <c r="C132" s="629" t="str">
        <f>IF(A132="","",Calculation!B138)</f>
        <v/>
      </c>
      <c r="D132" s="386" t="str">
        <f>IF(A132="","",Calculation!L138)</f>
        <v/>
      </c>
      <c r="E132" s="387" t="str">
        <f>IF(A132="","",Calculation!J138)</f>
        <v/>
      </c>
      <c r="F132" s="387" t="str">
        <f>IF(A132="","",Calculation!C138)</f>
        <v/>
      </c>
      <c r="G132" s="387" t="str">
        <f>IF(A132="","",LEFT(Calculation!O138,6))</f>
        <v/>
      </c>
      <c r="H132" s="388" t="str">
        <f>IF(A132="","",Calculation!DX138)</f>
        <v/>
      </c>
      <c r="I132" s="387" t="str">
        <f>IF(A132="","",Calculation!P138)</f>
        <v/>
      </c>
      <c r="J132" s="387" t="str">
        <f>IF(A132="","",HLOOKUP(LEFT(Calculation!BO138,7),LookUps!$C$38:$M$41,4))</f>
        <v/>
      </c>
      <c r="K132" s="387" t="str">
        <f>IF(A132="","",Calculation!M138)</f>
        <v/>
      </c>
      <c r="L132" s="387" t="str">
        <f>IF(A132="","",Calculation!S138)</f>
        <v/>
      </c>
      <c r="M132" s="389" t="str">
        <f>IF(A132="","",Calculation!N138)</f>
        <v/>
      </c>
      <c r="N132" s="390" t="str">
        <f>IF(A132="","",Calculation!R138)</f>
        <v/>
      </c>
      <c r="O132" s="391" t="str">
        <f>IF(A132="","",Calculation!$F$6)</f>
        <v/>
      </c>
      <c r="P132" s="392" t="str">
        <f>IF(A132="","",Calculation!$F$7)</f>
        <v/>
      </c>
      <c r="Q132" s="393" t="str">
        <f>IF(A132="","",Calculation!$F$13)</f>
        <v/>
      </c>
      <c r="R132" s="394" t="str">
        <f>IF(A132="","",Calculation!X138)</f>
        <v/>
      </c>
      <c r="S132" s="393" t="str">
        <f>IF(A132="","",Calculation!T138)</f>
        <v/>
      </c>
      <c r="T132" s="395" t="str">
        <f>IF(A132="","",IF(Calculation!$O$8="None","Water",CONCATENATE(Calculation!$O$8,"-",Calculation!$S$8,"%")))</f>
        <v/>
      </c>
      <c r="U132" s="393" t="str">
        <f>IF(A132="","",Calculation!$P$6)</f>
        <v/>
      </c>
      <c r="V132" s="393" t="str">
        <f>IF(A132="","",Calculation!AT138)</f>
        <v/>
      </c>
      <c r="W132" s="396" t="str">
        <f>IF(A132="","",Calculation!AP138)</f>
        <v/>
      </c>
      <c r="X132" s="396" t="str">
        <f>IF(A132="","",Calculation!AO138)</f>
        <v/>
      </c>
      <c r="Y132" s="396" t="str">
        <f>IF(A132="","",Calculation!AQ138)</f>
        <v/>
      </c>
      <c r="Z132" s="396" t="str">
        <f>IF(A132="","",Calculation!$H$6)</f>
        <v/>
      </c>
      <c r="AA132" s="397" t="str">
        <f>IF(A132="","",Calculation!$H$13)</f>
        <v/>
      </c>
      <c r="AB132" s="397" t="str">
        <f>IF(A132="","",Calculation!U138)</f>
        <v/>
      </c>
      <c r="AC132" s="398" t="str">
        <f>IF(A132="","",IF(Calculation!$O$9="None","Water",CONCATENATE(Calculation!$O$9,"-",Calculation!$S$9,"%")))</f>
        <v/>
      </c>
      <c r="AD132" s="396" t="str">
        <f>IF(A132="","",Calculation!$S$6)</f>
        <v/>
      </c>
      <c r="AE132" s="399" t="str">
        <f>IF(A132="","",Calculation!BA138)</f>
        <v/>
      </c>
      <c r="AF132" s="396" t="str">
        <f>IF(A132="","",Calculation!AX138)</f>
        <v/>
      </c>
      <c r="AG132" s="396" t="str">
        <f>IF(A132="","",Calculation!AW138)</f>
        <v/>
      </c>
      <c r="AH132" s="391" t="str">
        <f>IF(A132="","",Calculation!AY138)</f>
        <v/>
      </c>
      <c r="AI132" s="391" t="str">
        <f>IF(A132="","",Calculation!Y138)</f>
        <v/>
      </c>
      <c r="AJ132" s="401" t="str">
        <f>IF(Calculation!BD138&gt;0,Calculation!BD138," ")</f>
        <v xml:space="preserve"> </v>
      </c>
      <c r="AK132" s="401" t="str">
        <f>IF(Calculation!BD138&gt;0,Calculation!BE138," ")</f>
        <v xml:space="preserve"> </v>
      </c>
      <c r="AL132" s="401" t="str">
        <f>IF(Calculation!BD138&gt;0,Calculation!BF138," ")</f>
        <v xml:space="preserve"> </v>
      </c>
      <c r="AM132" s="401" t="str">
        <f>IF(Calculation!BD138&gt;0,Calculation!BG138," ")</f>
        <v xml:space="preserve"> </v>
      </c>
      <c r="AN132" s="391" t="str">
        <f>IF(Calculation!BH138="N/A","N/A",Calculation!BH138)</f>
        <v xml:space="preserve"> </v>
      </c>
      <c r="AO132" s="402" t="str">
        <f>IF(Calculation!BI138="N/A","N/A",Calculation!BI138)</f>
        <v/>
      </c>
      <c r="AP132" s="391" t="str">
        <f>IF(Calculation!BJ138="N/A","N/A",Calculation!BJ138)</f>
        <v/>
      </c>
      <c r="AQ132" s="402" t="str">
        <f>IF(Calculation!BK138="N/A","N/A",Calculation!BK138)</f>
        <v/>
      </c>
      <c r="AR132" s="391" t="str">
        <f>IF(Calculation!BL138="N/A","N/A",Calculation!BL138)</f>
        <v/>
      </c>
      <c r="AS132" s="402" t="str">
        <f>IF(Calculation!BM138="N/A","N/A",Calculation!BM138)</f>
        <v/>
      </c>
      <c r="AT132" s="400"/>
    </row>
    <row r="133" spans="1:46" ht="12.75" customHeight="1">
      <c r="A133" s="224" t="str">
        <f>IF(Calculation!BN139="","",CONCATENATE(Calculation!BO139,"-",Calculation!R139,"-",Calculation!S139,"-",Calculation!T139,"-",Calculation!U139))</f>
        <v/>
      </c>
      <c r="B133" s="224">
        <v>118</v>
      </c>
      <c r="C133" s="629" t="str">
        <f>IF(A133="","",Calculation!B139)</f>
        <v/>
      </c>
      <c r="D133" s="386" t="str">
        <f>IF(A133="","",Calculation!L139)</f>
        <v/>
      </c>
      <c r="E133" s="387" t="str">
        <f>IF(A133="","",Calculation!J139)</f>
        <v/>
      </c>
      <c r="F133" s="387" t="str">
        <f>IF(A133="","",Calculation!C139)</f>
        <v/>
      </c>
      <c r="G133" s="387" t="str">
        <f>IF(A133="","",LEFT(Calculation!O139,6))</f>
        <v/>
      </c>
      <c r="H133" s="388" t="str">
        <f>IF(A133="","",Calculation!DX139)</f>
        <v/>
      </c>
      <c r="I133" s="387" t="str">
        <f>IF(A133="","",Calculation!P139)</f>
        <v/>
      </c>
      <c r="J133" s="387" t="str">
        <f>IF(A133="","",HLOOKUP(LEFT(Calculation!BO139,7),LookUps!$C$38:$M$41,4))</f>
        <v/>
      </c>
      <c r="K133" s="387" t="str">
        <f>IF(A133="","",Calculation!M139)</f>
        <v/>
      </c>
      <c r="L133" s="387" t="str">
        <f>IF(A133="","",Calculation!S139)</f>
        <v/>
      </c>
      <c r="M133" s="389" t="str">
        <f>IF(A133="","",Calculation!N139)</f>
        <v/>
      </c>
      <c r="N133" s="390" t="str">
        <f>IF(A133="","",Calculation!R139)</f>
        <v/>
      </c>
      <c r="O133" s="391" t="str">
        <f>IF(A133="","",Calculation!$F$6)</f>
        <v/>
      </c>
      <c r="P133" s="392" t="str">
        <f>IF(A133="","",Calculation!$F$7)</f>
        <v/>
      </c>
      <c r="Q133" s="393" t="str">
        <f>IF(A133="","",Calculation!$F$13)</f>
        <v/>
      </c>
      <c r="R133" s="394" t="str">
        <f>IF(A133="","",Calculation!X139)</f>
        <v/>
      </c>
      <c r="S133" s="393" t="str">
        <f>IF(A133="","",Calculation!T139)</f>
        <v/>
      </c>
      <c r="T133" s="395" t="str">
        <f>IF(A133="","",IF(Calculation!$O$8="None","Water",CONCATENATE(Calculation!$O$8,"-",Calculation!$S$8,"%")))</f>
        <v/>
      </c>
      <c r="U133" s="393" t="str">
        <f>IF(A133="","",Calculation!$P$6)</f>
        <v/>
      </c>
      <c r="V133" s="393" t="str">
        <f>IF(A133="","",Calculation!AT139)</f>
        <v/>
      </c>
      <c r="W133" s="396" t="str">
        <f>IF(A133="","",Calculation!AP139)</f>
        <v/>
      </c>
      <c r="X133" s="396" t="str">
        <f>IF(A133="","",Calculation!AO139)</f>
        <v/>
      </c>
      <c r="Y133" s="396" t="str">
        <f>IF(A133="","",Calculation!AQ139)</f>
        <v/>
      </c>
      <c r="Z133" s="396" t="str">
        <f>IF(A133="","",Calculation!$H$6)</f>
        <v/>
      </c>
      <c r="AA133" s="397" t="str">
        <f>IF(A133="","",Calculation!$H$13)</f>
        <v/>
      </c>
      <c r="AB133" s="397" t="str">
        <f>IF(A133="","",Calculation!U139)</f>
        <v/>
      </c>
      <c r="AC133" s="398" t="str">
        <f>IF(A133="","",IF(Calculation!$O$9="None","Water",CONCATENATE(Calculation!$O$9,"-",Calculation!$S$9,"%")))</f>
        <v/>
      </c>
      <c r="AD133" s="396" t="str">
        <f>IF(A133="","",Calculation!$S$6)</f>
        <v/>
      </c>
      <c r="AE133" s="399" t="str">
        <f>IF(A133="","",Calculation!BA139)</f>
        <v/>
      </c>
      <c r="AF133" s="396" t="str">
        <f>IF(A133="","",Calculation!AX139)</f>
        <v/>
      </c>
      <c r="AG133" s="396" t="str">
        <f>IF(A133="","",Calculation!AW139)</f>
        <v/>
      </c>
      <c r="AH133" s="391" t="str">
        <f>IF(A133="","",Calculation!AY139)</f>
        <v/>
      </c>
      <c r="AI133" s="391" t="str">
        <f>IF(A133="","",Calculation!Y139)</f>
        <v/>
      </c>
      <c r="AJ133" s="401" t="str">
        <f>IF(Calculation!BD139&gt;0,Calculation!BD139," ")</f>
        <v xml:space="preserve"> </v>
      </c>
      <c r="AK133" s="401" t="str">
        <f>IF(Calculation!BD139&gt;0,Calculation!BE139," ")</f>
        <v xml:space="preserve"> </v>
      </c>
      <c r="AL133" s="401" t="str">
        <f>IF(Calculation!BD139&gt;0,Calculation!BF139," ")</f>
        <v xml:space="preserve"> </v>
      </c>
      <c r="AM133" s="401" t="str">
        <f>IF(Calculation!BD139&gt;0,Calculation!BG139," ")</f>
        <v xml:space="preserve"> </v>
      </c>
      <c r="AN133" s="391" t="str">
        <f>IF(Calculation!BH139="N/A","N/A",Calculation!BH139)</f>
        <v xml:space="preserve"> </v>
      </c>
      <c r="AO133" s="402" t="str">
        <f>IF(Calculation!BI139="N/A","N/A",Calculation!BI139)</f>
        <v/>
      </c>
      <c r="AP133" s="391" t="str">
        <f>IF(Calculation!BJ139="N/A","N/A",Calculation!BJ139)</f>
        <v/>
      </c>
      <c r="AQ133" s="402" t="str">
        <f>IF(Calculation!BK139="N/A","N/A",Calculation!BK139)</f>
        <v/>
      </c>
      <c r="AR133" s="391" t="str">
        <f>IF(Calculation!BL139="N/A","N/A",Calculation!BL139)</f>
        <v/>
      </c>
      <c r="AS133" s="402" t="str">
        <f>IF(Calculation!BM139="N/A","N/A",Calculation!BM139)</f>
        <v/>
      </c>
      <c r="AT133" s="400"/>
    </row>
    <row r="134" spans="1:46" ht="12.75" customHeight="1">
      <c r="A134" s="224" t="str">
        <f>IF(Calculation!BN140="","",CONCATENATE(Calculation!BO140,"-",Calculation!R140,"-",Calculation!S140,"-",Calculation!T140,"-",Calculation!U140))</f>
        <v/>
      </c>
      <c r="B134" s="224">
        <v>119</v>
      </c>
      <c r="C134" s="629" t="str">
        <f>IF(A134="","",Calculation!B140)</f>
        <v/>
      </c>
      <c r="D134" s="386" t="str">
        <f>IF(A134="","",Calculation!L140)</f>
        <v/>
      </c>
      <c r="E134" s="387" t="str">
        <f>IF(A134="","",Calculation!J140)</f>
        <v/>
      </c>
      <c r="F134" s="387" t="str">
        <f>IF(A134="","",Calculation!C140)</f>
        <v/>
      </c>
      <c r="G134" s="387" t="str">
        <f>IF(A134="","",LEFT(Calculation!O140,6))</f>
        <v/>
      </c>
      <c r="H134" s="388" t="str">
        <f>IF(A134="","",Calculation!DX140)</f>
        <v/>
      </c>
      <c r="I134" s="387" t="str">
        <f>IF(A134="","",Calculation!P140)</f>
        <v/>
      </c>
      <c r="J134" s="387" t="str">
        <f>IF(A134="","",HLOOKUP(LEFT(Calculation!BO140,7),LookUps!$C$38:$M$41,4))</f>
        <v/>
      </c>
      <c r="K134" s="387" t="str">
        <f>IF(A134="","",Calculation!M140)</f>
        <v/>
      </c>
      <c r="L134" s="387" t="str">
        <f>IF(A134="","",Calculation!S140)</f>
        <v/>
      </c>
      <c r="M134" s="389" t="str">
        <f>IF(A134="","",Calculation!N140)</f>
        <v/>
      </c>
      <c r="N134" s="390" t="str">
        <f>IF(A134="","",Calculation!R140)</f>
        <v/>
      </c>
      <c r="O134" s="391" t="str">
        <f>IF(A134="","",Calculation!$F$6)</f>
        <v/>
      </c>
      <c r="P134" s="392" t="str">
        <f>IF(A134="","",Calculation!$F$7)</f>
        <v/>
      </c>
      <c r="Q134" s="393" t="str">
        <f>IF(A134="","",Calculation!$F$13)</f>
        <v/>
      </c>
      <c r="R134" s="394" t="str">
        <f>IF(A134="","",Calculation!X140)</f>
        <v/>
      </c>
      <c r="S134" s="393" t="str">
        <f>IF(A134="","",Calculation!T140)</f>
        <v/>
      </c>
      <c r="T134" s="395" t="str">
        <f>IF(A134="","",IF(Calculation!$O$8="None","Water",CONCATENATE(Calculation!$O$8,"-",Calculation!$S$8,"%")))</f>
        <v/>
      </c>
      <c r="U134" s="393" t="str">
        <f>IF(A134="","",Calculation!$P$6)</f>
        <v/>
      </c>
      <c r="V134" s="393" t="str">
        <f>IF(A134="","",Calculation!AT140)</f>
        <v/>
      </c>
      <c r="W134" s="396" t="str">
        <f>IF(A134="","",Calculation!AP140)</f>
        <v/>
      </c>
      <c r="X134" s="396" t="str">
        <f>IF(A134="","",Calculation!AO140)</f>
        <v/>
      </c>
      <c r="Y134" s="396" t="str">
        <f>IF(A134="","",Calculation!AQ140)</f>
        <v/>
      </c>
      <c r="Z134" s="396" t="str">
        <f>IF(A134="","",Calculation!$H$6)</f>
        <v/>
      </c>
      <c r="AA134" s="397" t="str">
        <f>IF(A134="","",Calculation!$H$13)</f>
        <v/>
      </c>
      <c r="AB134" s="397" t="str">
        <f>IF(A134="","",Calculation!U140)</f>
        <v/>
      </c>
      <c r="AC134" s="398" t="str">
        <f>IF(A134="","",IF(Calculation!$O$9="None","Water",CONCATENATE(Calculation!$O$9,"-",Calculation!$S$9,"%")))</f>
        <v/>
      </c>
      <c r="AD134" s="396" t="str">
        <f>IF(A134="","",Calculation!$S$6)</f>
        <v/>
      </c>
      <c r="AE134" s="399" t="str">
        <f>IF(A134="","",Calculation!BA140)</f>
        <v/>
      </c>
      <c r="AF134" s="396" t="str">
        <f>IF(A134="","",Calculation!AX140)</f>
        <v/>
      </c>
      <c r="AG134" s="396" t="str">
        <f>IF(A134="","",Calculation!AW140)</f>
        <v/>
      </c>
      <c r="AH134" s="391" t="str">
        <f>IF(A134="","",Calculation!AY140)</f>
        <v/>
      </c>
      <c r="AI134" s="391" t="str">
        <f>IF(A134="","",Calculation!Y140)</f>
        <v/>
      </c>
      <c r="AJ134" s="401" t="str">
        <f>IF(Calculation!BD140&gt;0,Calculation!BD140," ")</f>
        <v xml:space="preserve"> </v>
      </c>
      <c r="AK134" s="401" t="str">
        <f>IF(Calculation!BD140&gt;0,Calculation!BE140," ")</f>
        <v xml:space="preserve"> </v>
      </c>
      <c r="AL134" s="401" t="str">
        <f>IF(Calculation!BD140&gt;0,Calculation!BF140," ")</f>
        <v xml:space="preserve"> </v>
      </c>
      <c r="AM134" s="401" t="str">
        <f>IF(Calculation!BD140&gt;0,Calculation!BG140," ")</f>
        <v xml:space="preserve"> </v>
      </c>
      <c r="AN134" s="391" t="str">
        <f>IF(Calculation!BH140="N/A","N/A",Calculation!BH140)</f>
        <v xml:space="preserve"> </v>
      </c>
      <c r="AO134" s="402" t="str">
        <f>IF(Calculation!BI140="N/A","N/A",Calculation!BI140)</f>
        <v/>
      </c>
      <c r="AP134" s="391" t="str">
        <f>IF(Calculation!BJ140="N/A","N/A",Calculation!BJ140)</f>
        <v/>
      </c>
      <c r="AQ134" s="402" t="str">
        <f>IF(Calculation!BK140="N/A","N/A",Calculation!BK140)</f>
        <v/>
      </c>
      <c r="AR134" s="391" t="str">
        <f>IF(Calculation!BL140="N/A","N/A",Calculation!BL140)</f>
        <v/>
      </c>
      <c r="AS134" s="402" t="str">
        <f>IF(Calculation!BM140="N/A","N/A",Calculation!BM140)</f>
        <v/>
      </c>
      <c r="AT134" s="400"/>
    </row>
    <row r="135" spans="1:46" ht="12.75" customHeight="1">
      <c r="A135" s="224" t="str">
        <f>IF(Calculation!BN141="","",CONCATENATE(Calculation!BO141,"-",Calculation!R141,"-",Calculation!S141,"-",Calculation!T141,"-",Calculation!U141))</f>
        <v/>
      </c>
      <c r="B135" s="224">
        <v>120</v>
      </c>
      <c r="C135" s="629" t="str">
        <f>IF(A135="","",Calculation!B141)</f>
        <v/>
      </c>
      <c r="D135" s="386" t="str">
        <f>IF(A135="","",Calculation!L141)</f>
        <v/>
      </c>
      <c r="E135" s="387" t="str">
        <f>IF(A135="","",Calculation!J141)</f>
        <v/>
      </c>
      <c r="F135" s="387" t="str">
        <f>IF(A135="","",Calculation!C141)</f>
        <v/>
      </c>
      <c r="G135" s="387" t="str">
        <f>IF(A135="","",LEFT(Calculation!O141,6))</f>
        <v/>
      </c>
      <c r="H135" s="388" t="str">
        <f>IF(A135="","",Calculation!DX141)</f>
        <v/>
      </c>
      <c r="I135" s="387" t="str">
        <f>IF(A135="","",Calculation!P141)</f>
        <v/>
      </c>
      <c r="J135" s="387" t="str">
        <f>IF(A135="","",HLOOKUP(LEFT(Calculation!BO141,7),LookUps!$C$38:$M$41,4))</f>
        <v/>
      </c>
      <c r="K135" s="387" t="str">
        <f>IF(A135="","",Calculation!M141)</f>
        <v/>
      </c>
      <c r="L135" s="387" t="str">
        <f>IF(A135="","",Calculation!S141)</f>
        <v/>
      </c>
      <c r="M135" s="389" t="str">
        <f>IF(A135="","",Calculation!N141)</f>
        <v/>
      </c>
      <c r="N135" s="390" t="str">
        <f>IF(A135="","",Calculation!R141)</f>
        <v/>
      </c>
      <c r="O135" s="391" t="str">
        <f>IF(A135="","",Calculation!$F$6)</f>
        <v/>
      </c>
      <c r="P135" s="392" t="str">
        <f>IF(A135="","",Calculation!$F$7)</f>
        <v/>
      </c>
      <c r="Q135" s="393" t="str">
        <f>IF(A135="","",Calculation!$F$13)</f>
        <v/>
      </c>
      <c r="R135" s="394" t="str">
        <f>IF(A135="","",Calculation!X141)</f>
        <v/>
      </c>
      <c r="S135" s="393" t="str">
        <f>IF(A135="","",Calculation!T141)</f>
        <v/>
      </c>
      <c r="T135" s="395" t="str">
        <f>IF(A135="","",IF(Calculation!$O$8="None","Water",CONCATENATE(Calculation!$O$8,"-",Calculation!$S$8,"%")))</f>
        <v/>
      </c>
      <c r="U135" s="393" t="str">
        <f>IF(A135="","",Calculation!$P$6)</f>
        <v/>
      </c>
      <c r="V135" s="393" t="str">
        <f>IF(A135="","",Calculation!AT141)</f>
        <v/>
      </c>
      <c r="W135" s="396" t="str">
        <f>IF(A135="","",Calculation!AP141)</f>
        <v/>
      </c>
      <c r="X135" s="396" t="str">
        <f>IF(A135="","",Calculation!AO141)</f>
        <v/>
      </c>
      <c r="Y135" s="396" t="str">
        <f>IF(A135="","",Calculation!AQ141)</f>
        <v/>
      </c>
      <c r="Z135" s="396" t="str">
        <f>IF(A135="","",Calculation!$H$6)</f>
        <v/>
      </c>
      <c r="AA135" s="397" t="str">
        <f>IF(A135="","",Calculation!$H$13)</f>
        <v/>
      </c>
      <c r="AB135" s="397" t="str">
        <f>IF(A135="","",Calculation!U141)</f>
        <v/>
      </c>
      <c r="AC135" s="398" t="str">
        <f>IF(A135="","",IF(Calculation!$O$9="None","Water",CONCATENATE(Calculation!$O$9,"-",Calculation!$S$9,"%")))</f>
        <v/>
      </c>
      <c r="AD135" s="396" t="str">
        <f>IF(A135="","",Calculation!$S$6)</f>
        <v/>
      </c>
      <c r="AE135" s="399" t="str">
        <f>IF(A135="","",Calculation!BA141)</f>
        <v/>
      </c>
      <c r="AF135" s="396" t="str">
        <f>IF(A135="","",Calculation!AX141)</f>
        <v/>
      </c>
      <c r="AG135" s="396" t="str">
        <f>IF(A135="","",Calculation!AW141)</f>
        <v/>
      </c>
      <c r="AH135" s="391" t="str">
        <f>IF(A135="","",Calculation!AY141)</f>
        <v/>
      </c>
      <c r="AI135" s="391" t="str">
        <f>IF(A135="","",Calculation!Y141)</f>
        <v/>
      </c>
      <c r="AJ135" s="401" t="str">
        <f>IF(Calculation!BD141&gt;0,Calculation!BD141," ")</f>
        <v xml:space="preserve"> </v>
      </c>
      <c r="AK135" s="401" t="str">
        <f>IF(Calculation!BD141&gt;0,Calculation!BE141," ")</f>
        <v xml:space="preserve"> </v>
      </c>
      <c r="AL135" s="401" t="str">
        <f>IF(Calculation!BD141&gt;0,Calculation!BF141," ")</f>
        <v xml:space="preserve"> </v>
      </c>
      <c r="AM135" s="401" t="str">
        <f>IF(Calculation!BD141&gt;0,Calculation!BG141," ")</f>
        <v xml:space="preserve"> </v>
      </c>
      <c r="AN135" s="391" t="str">
        <f>IF(Calculation!BH141="N/A","N/A",Calculation!BH141)</f>
        <v xml:space="preserve"> </v>
      </c>
      <c r="AO135" s="402" t="str">
        <f>IF(Calculation!BI141="N/A","N/A",Calculation!BI141)</f>
        <v/>
      </c>
      <c r="AP135" s="391" t="str">
        <f>IF(Calculation!BJ141="N/A","N/A",Calculation!BJ141)</f>
        <v/>
      </c>
      <c r="AQ135" s="402" t="str">
        <f>IF(Calculation!BK141="N/A","N/A",Calculation!BK141)</f>
        <v/>
      </c>
      <c r="AR135" s="391" t="str">
        <f>IF(Calculation!BL141="N/A","N/A",Calculation!BL141)</f>
        <v/>
      </c>
      <c r="AS135" s="402" t="str">
        <f>IF(Calculation!BM141="N/A","N/A",Calculation!BM141)</f>
        <v/>
      </c>
      <c r="AT135" s="400"/>
    </row>
    <row r="136" spans="1:46" ht="12.75" customHeight="1">
      <c r="A136" s="224" t="str">
        <f>IF(Calculation!BN142="","",CONCATENATE(Calculation!BO142,"-",Calculation!R142,"-",Calculation!S142,"-",Calculation!T142,"-",Calculation!U142))</f>
        <v/>
      </c>
      <c r="B136" s="224">
        <v>121</v>
      </c>
      <c r="C136" s="629" t="str">
        <f>IF(A136="","",Calculation!B142)</f>
        <v/>
      </c>
      <c r="D136" s="386" t="str">
        <f>IF(A136="","",Calculation!L142)</f>
        <v/>
      </c>
      <c r="E136" s="387" t="str">
        <f>IF(A136="","",Calculation!J142)</f>
        <v/>
      </c>
      <c r="F136" s="387" t="str">
        <f>IF(A136="","",Calculation!C142)</f>
        <v/>
      </c>
      <c r="G136" s="387" t="str">
        <f>IF(A136="","",LEFT(Calculation!O142,6))</f>
        <v/>
      </c>
      <c r="H136" s="388" t="str">
        <f>IF(A136="","",Calculation!DX142)</f>
        <v/>
      </c>
      <c r="I136" s="387" t="str">
        <f>IF(A136="","",Calculation!P142)</f>
        <v/>
      </c>
      <c r="J136" s="387" t="str">
        <f>IF(A136="","",HLOOKUP(LEFT(Calculation!BO142,7),LookUps!$C$38:$M$41,4))</f>
        <v/>
      </c>
      <c r="K136" s="387" t="str">
        <f>IF(A136="","",Calculation!M142)</f>
        <v/>
      </c>
      <c r="L136" s="387" t="str">
        <f>IF(A136="","",Calculation!S142)</f>
        <v/>
      </c>
      <c r="M136" s="389" t="str">
        <f>IF(A136="","",Calculation!N142)</f>
        <v/>
      </c>
      <c r="N136" s="390" t="str">
        <f>IF(A136="","",Calculation!R142)</f>
        <v/>
      </c>
      <c r="O136" s="391" t="str">
        <f>IF(A136="","",Calculation!$F$6)</f>
        <v/>
      </c>
      <c r="P136" s="392" t="str">
        <f>IF(A136="","",Calculation!$F$7)</f>
        <v/>
      </c>
      <c r="Q136" s="393" t="str">
        <f>IF(A136="","",Calculation!$F$13)</f>
        <v/>
      </c>
      <c r="R136" s="394" t="str">
        <f>IF(A136="","",Calculation!X142)</f>
        <v/>
      </c>
      <c r="S136" s="393" t="str">
        <f>IF(A136="","",Calculation!T142)</f>
        <v/>
      </c>
      <c r="T136" s="395" t="str">
        <f>IF(A136="","",IF(Calculation!$O$8="None","Water",CONCATENATE(Calculation!$O$8,"-",Calculation!$S$8,"%")))</f>
        <v/>
      </c>
      <c r="U136" s="393" t="str">
        <f>IF(A136="","",Calculation!$P$6)</f>
        <v/>
      </c>
      <c r="V136" s="393" t="str">
        <f>IF(A136="","",Calculation!AT142)</f>
        <v/>
      </c>
      <c r="W136" s="396" t="str">
        <f>IF(A136="","",Calculation!AP142)</f>
        <v/>
      </c>
      <c r="X136" s="396" t="str">
        <f>IF(A136="","",Calculation!AO142)</f>
        <v/>
      </c>
      <c r="Y136" s="396" t="str">
        <f>IF(A136="","",Calculation!AQ142)</f>
        <v/>
      </c>
      <c r="Z136" s="396" t="str">
        <f>IF(A136="","",Calculation!$H$6)</f>
        <v/>
      </c>
      <c r="AA136" s="397" t="str">
        <f>IF(A136="","",Calculation!$H$13)</f>
        <v/>
      </c>
      <c r="AB136" s="397" t="str">
        <f>IF(A136="","",Calculation!U142)</f>
        <v/>
      </c>
      <c r="AC136" s="398" t="str">
        <f>IF(A136="","",IF(Calculation!$O$9="None","Water",CONCATENATE(Calculation!$O$9,"-",Calculation!$S$9,"%")))</f>
        <v/>
      </c>
      <c r="AD136" s="396" t="str">
        <f>IF(A136="","",Calculation!$S$6)</f>
        <v/>
      </c>
      <c r="AE136" s="399" t="str">
        <f>IF(A136="","",Calculation!BA142)</f>
        <v/>
      </c>
      <c r="AF136" s="396" t="str">
        <f>IF(A136="","",Calculation!AX142)</f>
        <v/>
      </c>
      <c r="AG136" s="396" t="str">
        <f>IF(A136="","",Calculation!AW142)</f>
        <v/>
      </c>
      <c r="AH136" s="391" t="str">
        <f>IF(A136="","",Calculation!AY142)</f>
        <v/>
      </c>
      <c r="AI136" s="391" t="str">
        <f>IF(A136="","",Calculation!Y142)</f>
        <v/>
      </c>
      <c r="AJ136" s="401" t="str">
        <f>IF(Calculation!BD142&gt;0,Calculation!BD142," ")</f>
        <v xml:space="preserve"> </v>
      </c>
      <c r="AK136" s="401" t="str">
        <f>IF(Calculation!BD142&gt;0,Calculation!BE142," ")</f>
        <v xml:space="preserve"> </v>
      </c>
      <c r="AL136" s="401" t="str">
        <f>IF(Calculation!BD142&gt;0,Calculation!BF142," ")</f>
        <v xml:space="preserve"> </v>
      </c>
      <c r="AM136" s="401" t="str">
        <f>IF(Calculation!BD142&gt;0,Calculation!BG142," ")</f>
        <v xml:space="preserve"> </v>
      </c>
      <c r="AN136" s="391" t="str">
        <f>IF(Calculation!BH142="N/A","N/A",Calculation!BH142)</f>
        <v xml:space="preserve"> </v>
      </c>
      <c r="AO136" s="402" t="str">
        <f>IF(Calculation!BI142="N/A","N/A",Calculation!BI142)</f>
        <v/>
      </c>
      <c r="AP136" s="391" t="str">
        <f>IF(Calculation!BJ142="N/A","N/A",Calculation!BJ142)</f>
        <v/>
      </c>
      <c r="AQ136" s="402" t="str">
        <f>IF(Calculation!BK142="N/A","N/A",Calculation!BK142)</f>
        <v/>
      </c>
      <c r="AR136" s="391" t="str">
        <f>IF(Calculation!BL142="N/A","N/A",Calculation!BL142)</f>
        <v/>
      </c>
      <c r="AS136" s="402" t="str">
        <f>IF(Calculation!BM142="N/A","N/A",Calculation!BM142)</f>
        <v/>
      </c>
      <c r="AT136" s="400"/>
    </row>
    <row r="137" spans="1:46" ht="12.75" customHeight="1">
      <c r="A137" s="224" t="str">
        <f>IF(Calculation!BN143="","",CONCATENATE(Calculation!BO143,"-",Calculation!R143,"-",Calculation!S143,"-",Calculation!T143,"-",Calculation!U143))</f>
        <v/>
      </c>
      <c r="B137" s="224">
        <v>122</v>
      </c>
      <c r="C137" s="629" t="str">
        <f>IF(A137="","",Calculation!B143)</f>
        <v/>
      </c>
      <c r="D137" s="386" t="str">
        <f>IF(A137="","",Calculation!L143)</f>
        <v/>
      </c>
      <c r="E137" s="387" t="str">
        <f>IF(A137="","",Calculation!J143)</f>
        <v/>
      </c>
      <c r="F137" s="387" t="str">
        <f>IF(A137="","",Calculation!C143)</f>
        <v/>
      </c>
      <c r="G137" s="387" t="str">
        <f>IF(A137="","",LEFT(Calculation!O143,6))</f>
        <v/>
      </c>
      <c r="H137" s="388" t="str">
        <f>IF(A137="","",Calculation!DX143)</f>
        <v/>
      </c>
      <c r="I137" s="387" t="str">
        <f>IF(A137="","",Calculation!P143)</f>
        <v/>
      </c>
      <c r="J137" s="387" t="str">
        <f>IF(A137="","",HLOOKUP(LEFT(Calculation!BO143,7),LookUps!$C$38:$M$41,4))</f>
        <v/>
      </c>
      <c r="K137" s="387" t="str">
        <f>IF(A137="","",Calculation!M143)</f>
        <v/>
      </c>
      <c r="L137" s="387" t="str">
        <f>IF(A137="","",Calculation!S143)</f>
        <v/>
      </c>
      <c r="M137" s="389" t="str">
        <f>IF(A137="","",Calculation!N143)</f>
        <v/>
      </c>
      <c r="N137" s="390" t="str">
        <f>IF(A137="","",Calculation!R143)</f>
        <v/>
      </c>
      <c r="O137" s="391" t="str">
        <f>IF(A137="","",Calculation!$F$6)</f>
        <v/>
      </c>
      <c r="P137" s="392" t="str">
        <f>IF(A137="","",Calculation!$F$7)</f>
        <v/>
      </c>
      <c r="Q137" s="393" t="str">
        <f>IF(A137="","",Calculation!$F$13)</f>
        <v/>
      </c>
      <c r="R137" s="394" t="str">
        <f>IF(A137="","",Calculation!X143)</f>
        <v/>
      </c>
      <c r="S137" s="393" t="str">
        <f>IF(A137="","",Calculation!T143)</f>
        <v/>
      </c>
      <c r="T137" s="395" t="str">
        <f>IF(A137="","",IF(Calculation!$O$8="None","Water",CONCATENATE(Calculation!$O$8,"-",Calculation!$S$8,"%")))</f>
        <v/>
      </c>
      <c r="U137" s="393" t="str">
        <f>IF(A137="","",Calculation!$P$6)</f>
        <v/>
      </c>
      <c r="V137" s="393" t="str">
        <f>IF(A137="","",Calculation!AT143)</f>
        <v/>
      </c>
      <c r="W137" s="396" t="str">
        <f>IF(A137="","",Calculation!AP143)</f>
        <v/>
      </c>
      <c r="X137" s="396" t="str">
        <f>IF(A137="","",Calculation!AO143)</f>
        <v/>
      </c>
      <c r="Y137" s="396" t="str">
        <f>IF(A137="","",Calculation!AQ143)</f>
        <v/>
      </c>
      <c r="Z137" s="396" t="str">
        <f>IF(A137="","",Calculation!$H$6)</f>
        <v/>
      </c>
      <c r="AA137" s="397" t="str">
        <f>IF(A137="","",Calculation!$H$13)</f>
        <v/>
      </c>
      <c r="AB137" s="397" t="str">
        <f>IF(A137="","",Calculation!U143)</f>
        <v/>
      </c>
      <c r="AC137" s="398" t="str">
        <f>IF(A137="","",IF(Calculation!$O$9="None","Water",CONCATENATE(Calculation!$O$9,"-",Calculation!$S$9,"%")))</f>
        <v/>
      </c>
      <c r="AD137" s="396" t="str">
        <f>IF(A137="","",Calculation!$S$6)</f>
        <v/>
      </c>
      <c r="AE137" s="399" t="str">
        <f>IF(A137="","",Calculation!BA143)</f>
        <v/>
      </c>
      <c r="AF137" s="396" t="str">
        <f>IF(A137="","",Calculation!AX143)</f>
        <v/>
      </c>
      <c r="AG137" s="396" t="str">
        <f>IF(A137="","",Calculation!AW143)</f>
        <v/>
      </c>
      <c r="AH137" s="391" t="str">
        <f>IF(A137="","",Calculation!AY143)</f>
        <v/>
      </c>
      <c r="AI137" s="391" t="str">
        <f>IF(A137="","",Calculation!Y143)</f>
        <v/>
      </c>
      <c r="AJ137" s="401" t="str">
        <f>IF(Calculation!BD143&gt;0,Calculation!BD143," ")</f>
        <v xml:space="preserve"> </v>
      </c>
      <c r="AK137" s="401" t="str">
        <f>IF(Calculation!BD143&gt;0,Calculation!BE143," ")</f>
        <v xml:space="preserve"> </v>
      </c>
      <c r="AL137" s="401" t="str">
        <f>IF(Calculation!BD143&gt;0,Calculation!BF143," ")</f>
        <v xml:space="preserve"> </v>
      </c>
      <c r="AM137" s="401" t="str">
        <f>IF(Calculation!BD143&gt;0,Calculation!BG143," ")</f>
        <v xml:space="preserve"> </v>
      </c>
      <c r="AN137" s="391" t="str">
        <f>IF(Calculation!BH143="N/A","N/A",Calculation!BH143)</f>
        <v xml:space="preserve"> </v>
      </c>
      <c r="AO137" s="402" t="str">
        <f>IF(Calculation!BI143="N/A","N/A",Calculation!BI143)</f>
        <v/>
      </c>
      <c r="AP137" s="391" t="str">
        <f>IF(Calculation!BJ143="N/A","N/A",Calculation!BJ143)</f>
        <v/>
      </c>
      <c r="AQ137" s="402" t="str">
        <f>IF(Calculation!BK143="N/A","N/A",Calculation!BK143)</f>
        <v/>
      </c>
      <c r="AR137" s="391" t="str">
        <f>IF(Calculation!BL143="N/A","N/A",Calculation!BL143)</f>
        <v/>
      </c>
      <c r="AS137" s="402" t="str">
        <f>IF(Calculation!BM143="N/A","N/A",Calculation!BM143)</f>
        <v/>
      </c>
      <c r="AT137" s="400"/>
    </row>
    <row r="138" spans="1:46" ht="12.75" customHeight="1">
      <c r="A138" s="224" t="str">
        <f>IF(Calculation!BN144="","",CONCATENATE(Calculation!BO144,"-",Calculation!R144,"-",Calculation!S144,"-",Calculation!T144,"-",Calculation!U144))</f>
        <v/>
      </c>
      <c r="B138" s="224">
        <v>123</v>
      </c>
      <c r="C138" s="629" t="str">
        <f>IF(A138="","",Calculation!B144)</f>
        <v/>
      </c>
      <c r="D138" s="386" t="str">
        <f>IF(A138="","",Calculation!L144)</f>
        <v/>
      </c>
      <c r="E138" s="387" t="str">
        <f>IF(A138="","",Calculation!J144)</f>
        <v/>
      </c>
      <c r="F138" s="387" t="str">
        <f>IF(A138="","",Calculation!C144)</f>
        <v/>
      </c>
      <c r="G138" s="387" t="str">
        <f>IF(A138="","",LEFT(Calculation!O144,6))</f>
        <v/>
      </c>
      <c r="H138" s="388" t="str">
        <f>IF(A138="","",Calculation!DX144)</f>
        <v/>
      </c>
      <c r="I138" s="387" t="str">
        <f>IF(A138="","",Calculation!P144)</f>
        <v/>
      </c>
      <c r="J138" s="387" t="str">
        <f>IF(A138="","",HLOOKUP(LEFT(Calculation!BO144,7),LookUps!$C$38:$M$41,4))</f>
        <v/>
      </c>
      <c r="K138" s="387" t="str">
        <f>IF(A138="","",Calculation!M144)</f>
        <v/>
      </c>
      <c r="L138" s="387" t="str">
        <f>IF(A138="","",Calculation!S144)</f>
        <v/>
      </c>
      <c r="M138" s="389" t="str">
        <f>IF(A138="","",Calculation!N144)</f>
        <v/>
      </c>
      <c r="N138" s="390" t="str">
        <f>IF(A138="","",Calculation!R144)</f>
        <v/>
      </c>
      <c r="O138" s="391" t="str">
        <f>IF(A138="","",Calculation!$F$6)</f>
        <v/>
      </c>
      <c r="P138" s="392" t="str">
        <f>IF(A138="","",Calculation!$F$7)</f>
        <v/>
      </c>
      <c r="Q138" s="393" t="str">
        <f>IF(A138="","",Calculation!$F$13)</f>
        <v/>
      </c>
      <c r="R138" s="394" t="str">
        <f>IF(A138="","",Calculation!X144)</f>
        <v/>
      </c>
      <c r="S138" s="393" t="str">
        <f>IF(A138="","",Calculation!T144)</f>
        <v/>
      </c>
      <c r="T138" s="395" t="str">
        <f>IF(A138="","",IF(Calculation!$O$8="None","Water",CONCATENATE(Calculation!$O$8,"-",Calculation!$S$8,"%")))</f>
        <v/>
      </c>
      <c r="U138" s="393" t="str">
        <f>IF(A138="","",Calculation!$P$6)</f>
        <v/>
      </c>
      <c r="V138" s="393" t="str">
        <f>IF(A138="","",Calculation!AT144)</f>
        <v/>
      </c>
      <c r="W138" s="396" t="str">
        <f>IF(A138="","",Calculation!AP144)</f>
        <v/>
      </c>
      <c r="X138" s="396" t="str">
        <f>IF(A138="","",Calculation!AO144)</f>
        <v/>
      </c>
      <c r="Y138" s="396" t="str">
        <f>IF(A138="","",Calculation!AQ144)</f>
        <v/>
      </c>
      <c r="Z138" s="396" t="str">
        <f>IF(A138="","",Calculation!$H$6)</f>
        <v/>
      </c>
      <c r="AA138" s="397" t="str">
        <f>IF(A138="","",Calculation!$H$13)</f>
        <v/>
      </c>
      <c r="AB138" s="397" t="str">
        <f>IF(A138="","",Calculation!U144)</f>
        <v/>
      </c>
      <c r="AC138" s="398" t="str">
        <f>IF(A138="","",IF(Calculation!$O$9="None","Water",CONCATENATE(Calculation!$O$9,"-",Calculation!$S$9,"%")))</f>
        <v/>
      </c>
      <c r="AD138" s="396" t="str">
        <f>IF(A138="","",Calculation!$S$6)</f>
        <v/>
      </c>
      <c r="AE138" s="399" t="str">
        <f>IF(A138="","",Calculation!BA144)</f>
        <v/>
      </c>
      <c r="AF138" s="396" t="str">
        <f>IF(A138="","",Calculation!AX144)</f>
        <v/>
      </c>
      <c r="AG138" s="396" t="str">
        <f>IF(A138="","",Calculation!AW144)</f>
        <v/>
      </c>
      <c r="AH138" s="391" t="str">
        <f>IF(A138="","",Calculation!AY144)</f>
        <v/>
      </c>
      <c r="AI138" s="391" t="str">
        <f>IF(A138="","",Calculation!Y144)</f>
        <v/>
      </c>
      <c r="AJ138" s="401" t="str">
        <f>IF(Calculation!BD144&gt;0,Calculation!BD144," ")</f>
        <v xml:space="preserve"> </v>
      </c>
      <c r="AK138" s="401" t="str">
        <f>IF(Calculation!BD144&gt;0,Calculation!BE144," ")</f>
        <v xml:space="preserve"> </v>
      </c>
      <c r="AL138" s="401" t="str">
        <f>IF(Calculation!BD144&gt;0,Calculation!BF144," ")</f>
        <v xml:space="preserve"> </v>
      </c>
      <c r="AM138" s="401" t="str">
        <f>IF(Calculation!BD144&gt;0,Calculation!BG144," ")</f>
        <v xml:space="preserve"> </v>
      </c>
      <c r="AN138" s="391" t="str">
        <f>IF(Calculation!BH144="N/A","N/A",Calculation!BH144)</f>
        <v xml:space="preserve"> </v>
      </c>
      <c r="AO138" s="402" t="str">
        <f>IF(Calculation!BI144="N/A","N/A",Calculation!BI144)</f>
        <v/>
      </c>
      <c r="AP138" s="391" t="str">
        <f>IF(Calculation!BJ144="N/A","N/A",Calculation!BJ144)</f>
        <v/>
      </c>
      <c r="AQ138" s="402" t="str">
        <f>IF(Calculation!BK144="N/A","N/A",Calculation!BK144)</f>
        <v/>
      </c>
      <c r="AR138" s="391" t="str">
        <f>IF(Calculation!BL144="N/A","N/A",Calculation!BL144)</f>
        <v/>
      </c>
      <c r="AS138" s="402" t="str">
        <f>IF(Calculation!BM144="N/A","N/A",Calculation!BM144)</f>
        <v/>
      </c>
      <c r="AT138" s="400"/>
    </row>
    <row r="139" spans="1:46" ht="12.75" customHeight="1">
      <c r="A139" s="224" t="str">
        <f>IF(Calculation!BN145="","",CONCATENATE(Calculation!BO145,"-",Calculation!R145,"-",Calculation!S145,"-",Calculation!T145,"-",Calculation!U145))</f>
        <v/>
      </c>
      <c r="B139" s="224">
        <v>124</v>
      </c>
      <c r="C139" s="629" t="str">
        <f>IF(A139="","",Calculation!B145)</f>
        <v/>
      </c>
      <c r="D139" s="386" t="str">
        <f>IF(A139="","",Calculation!L145)</f>
        <v/>
      </c>
      <c r="E139" s="387" t="str">
        <f>IF(A139="","",Calculation!J145)</f>
        <v/>
      </c>
      <c r="F139" s="387" t="str">
        <f>IF(A139="","",Calculation!C145)</f>
        <v/>
      </c>
      <c r="G139" s="387" t="str">
        <f>IF(A139="","",LEFT(Calculation!O145,6))</f>
        <v/>
      </c>
      <c r="H139" s="388" t="str">
        <f>IF(A139="","",Calculation!DX145)</f>
        <v/>
      </c>
      <c r="I139" s="387" t="str">
        <f>IF(A139="","",Calculation!P145)</f>
        <v/>
      </c>
      <c r="J139" s="387" t="str">
        <f>IF(A139="","",HLOOKUP(LEFT(Calculation!BO145,7),LookUps!$C$38:$M$41,4))</f>
        <v/>
      </c>
      <c r="K139" s="387" t="str">
        <f>IF(A139="","",Calculation!M145)</f>
        <v/>
      </c>
      <c r="L139" s="387" t="str">
        <f>IF(A139="","",Calculation!S145)</f>
        <v/>
      </c>
      <c r="M139" s="389" t="str">
        <f>IF(A139="","",Calculation!N145)</f>
        <v/>
      </c>
      <c r="N139" s="390" t="str">
        <f>IF(A139="","",Calculation!R145)</f>
        <v/>
      </c>
      <c r="O139" s="391" t="str">
        <f>IF(A139="","",Calculation!$F$6)</f>
        <v/>
      </c>
      <c r="P139" s="392" t="str">
        <f>IF(A139="","",Calculation!$F$7)</f>
        <v/>
      </c>
      <c r="Q139" s="393" t="str">
        <f>IF(A139="","",Calculation!$F$13)</f>
        <v/>
      </c>
      <c r="R139" s="394" t="str">
        <f>IF(A139="","",Calculation!X145)</f>
        <v/>
      </c>
      <c r="S139" s="393" t="str">
        <f>IF(A139="","",Calculation!T145)</f>
        <v/>
      </c>
      <c r="T139" s="395" t="str">
        <f>IF(A139="","",IF(Calculation!$O$8="None","Water",CONCATENATE(Calculation!$O$8,"-",Calculation!$S$8,"%")))</f>
        <v/>
      </c>
      <c r="U139" s="393" t="str">
        <f>IF(A139="","",Calculation!$P$6)</f>
        <v/>
      </c>
      <c r="V139" s="393" t="str">
        <f>IF(A139="","",Calculation!AT145)</f>
        <v/>
      </c>
      <c r="W139" s="396" t="str">
        <f>IF(A139="","",Calculation!AP145)</f>
        <v/>
      </c>
      <c r="X139" s="396" t="str">
        <f>IF(A139="","",Calculation!AO145)</f>
        <v/>
      </c>
      <c r="Y139" s="396" t="str">
        <f>IF(A139="","",Calculation!AQ145)</f>
        <v/>
      </c>
      <c r="Z139" s="396" t="str">
        <f>IF(A139="","",Calculation!$H$6)</f>
        <v/>
      </c>
      <c r="AA139" s="397" t="str">
        <f>IF(A139="","",Calculation!$H$13)</f>
        <v/>
      </c>
      <c r="AB139" s="397" t="str">
        <f>IF(A139="","",Calculation!U145)</f>
        <v/>
      </c>
      <c r="AC139" s="398" t="str">
        <f>IF(A139="","",IF(Calculation!$O$9="None","Water",CONCATENATE(Calculation!$O$9,"-",Calculation!$S$9,"%")))</f>
        <v/>
      </c>
      <c r="AD139" s="396" t="str">
        <f>IF(A139="","",Calculation!$S$6)</f>
        <v/>
      </c>
      <c r="AE139" s="399" t="str">
        <f>IF(A139="","",Calculation!BA145)</f>
        <v/>
      </c>
      <c r="AF139" s="396" t="str">
        <f>IF(A139="","",Calculation!AX145)</f>
        <v/>
      </c>
      <c r="AG139" s="396" t="str">
        <f>IF(A139="","",Calculation!AW145)</f>
        <v/>
      </c>
      <c r="AH139" s="391" t="str">
        <f>IF(A139="","",Calculation!AY145)</f>
        <v/>
      </c>
      <c r="AI139" s="391" t="str">
        <f>IF(A139="","",Calculation!Y145)</f>
        <v/>
      </c>
      <c r="AJ139" s="401" t="str">
        <f>IF(Calculation!BD145&gt;0,Calculation!BD145," ")</f>
        <v xml:space="preserve"> </v>
      </c>
      <c r="AK139" s="401" t="str">
        <f>IF(Calculation!BD145&gt;0,Calculation!BE145," ")</f>
        <v xml:space="preserve"> </v>
      </c>
      <c r="AL139" s="401" t="str">
        <f>IF(Calculation!BD145&gt;0,Calculation!BF145," ")</f>
        <v xml:space="preserve"> </v>
      </c>
      <c r="AM139" s="401" t="str">
        <f>IF(Calculation!BD145&gt;0,Calculation!BG145," ")</f>
        <v xml:space="preserve"> </v>
      </c>
      <c r="AN139" s="391" t="str">
        <f>IF(Calculation!BH145="N/A","N/A",Calculation!BH145)</f>
        <v xml:space="preserve"> </v>
      </c>
      <c r="AO139" s="402" t="str">
        <f>IF(Calculation!BI145="N/A","N/A",Calculation!BI145)</f>
        <v/>
      </c>
      <c r="AP139" s="391" t="str">
        <f>IF(Calculation!BJ145="N/A","N/A",Calculation!BJ145)</f>
        <v/>
      </c>
      <c r="AQ139" s="402" t="str">
        <f>IF(Calculation!BK145="N/A","N/A",Calculation!BK145)</f>
        <v/>
      </c>
      <c r="AR139" s="391" t="str">
        <f>IF(Calculation!BL145="N/A","N/A",Calculation!BL145)</f>
        <v/>
      </c>
      <c r="AS139" s="402" t="str">
        <f>IF(Calculation!BM145="N/A","N/A",Calculation!BM145)</f>
        <v/>
      </c>
      <c r="AT139" s="400"/>
    </row>
    <row r="140" spans="1:46" ht="12.75" customHeight="1">
      <c r="A140" s="224" t="str">
        <f>IF(Calculation!BN146="","",CONCATENATE(Calculation!BO146,"-",Calculation!R146,"-",Calculation!S146,"-",Calculation!T146,"-",Calculation!U146))</f>
        <v/>
      </c>
      <c r="B140" s="224">
        <v>125</v>
      </c>
      <c r="C140" s="629" t="str">
        <f>IF(A140="","",Calculation!B146)</f>
        <v/>
      </c>
      <c r="D140" s="386" t="str">
        <f>IF(A140="","",Calculation!L146)</f>
        <v/>
      </c>
      <c r="E140" s="387" t="str">
        <f>IF(A140="","",Calculation!J146)</f>
        <v/>
      </c>
      <c r="F140" s="387" t="str">
        <f>IF(A140="","",Calculation!C146)</f>
        <v/>
      </c>
      <c r="G140" s="387" t="str">
        <f>IF(A140="","",LEFT(Calculation!O146,6))</f>
        <v/>
      </c>
      <c r="H140" s="388" t="str">
        <f>IF(A140="","",Calculation!DX146)</f>
        <v/>
      </c>
      <c r="I140" s="387" t="str">
        <f>IF(A140="","",Calculation!P146)</f>
        <v/>
      </c>
      <c r="J140" s="387" t="str">
        <f>IF(A140="","",HLOOKUP(LEFT(Calculation!BO146,7),LookUps!$C$38:$M$41,4))</f>
        <v/>
      </c>
      <c r="K140" s="387" t="str">
        <f>IF(A140="","",Calculation!M146)</f>
        <v/>
      </c>
      <c r="L140" s="387" t="str">
        <f>IF(A140="","",Calculation!S146)</f>
        <v/>
      </c>
      <c r="M140" s="389" t="str">
        <f>IF(A140="","",Calculation!N146)</f>
        <v/>
      </c>
      <c r="N140" s="390" t="str">
        <f>IF(A140="","",Calculation!R146)</f>
        <v/>
      </c>
      <c r="O140" s="391" t="str">
        <f>IF(A140="","",Calculation!$F$6)</f>
        <v/>
      </c>
      <c r="P140" s="392" t="str">
        <f>IF(A140="","",Calculation!$F$7)</f>
        <v/>
      </c>
      <c r="Q140" s="393" t="str">
        <f>IF(A140="","",Calculation!$F$13)</f>
        <v/>
      </c>
      <c r="R140" s="394" t="str">
        <f>IF(A140="","",Calculation!X146)</f>
        <v/>
      </c>
      <c r="S140" s="393" t="str">
        <f>IF(A140="","",Calculation!T146)</f>
        <v/>
      </c>
      <c r="T140" s="395" t="str">
        <f>IF(A140="","",IF(Calculation!$O$8="None","Water",CONCATENATE(Calculation!$O$8,"-",Calculation!$S$8,"%")))</f>
        <v/>
      </c>
      <c r="U140" s="393" t="str">
        <f>IF(A140="","",Calculation!$P$6)</f>
        <v/>
      </c>
      <c r="V140" s="393" t="str">
        <f>IF(A140="","",Calculation!AT146)</f>
        <v/>
      </c>
      <c r="W140" s="396" t="str">
        <f>IF(A140="","",Calculation!AP146)</f>
        <v/>
      </c>
      <c r="X140" s="396" t="str">
        <f>IF(A140="","",Calculation!AO146)</f>
        <v/>
      </c>
      <c r="Y140" s="396" t="str">
        <f>IF(A140="","",Calculation!AQ146)</f>
        <v/>
      </c>
      <c r="Z140" s="396" t="str">
        <f>IF(A140="","",Calculation!$H$6)</f>
        <v/>
      </c>
      <c r="AA140" s="397" t="str">
        <f>IF(A140="","",Calculation!$H$13)</f>
        <v/>
      </c>
      <c r="AB140" s="397" t="str">
        <f>IF(A140="","",Calculation!U146)</f>
        <v/>
      </c>
      <c r="AC140" s="398" t="str">
        <f>IF(A140="","",IF(Calculation!$O$9="None","Water",CONCATENATE(Calculation!$O$9,"-",Calculation!$S$9,"%")))</f>
        <v/>
      </c>
      <c r="AD140" s="396" t="str">
        <f>IF(A140="","",Calculation!$S$6)</f>
        <v/>
      </c>
      <c r="AE140" s="399" t="str">
        <f>IF(A140="","",Calculation!BA146)</f>
        <v/>
      </c>
      <c r="AF140" s="396" t="str">
        <f>IF(A140="","",Calculation!AX146)</f>
        <v/>
      </c>
      <c r="AG140" s="396" t="str">
        <f>IF(A140="","",Calculation!AW146)</f>
        <v/>
      </c>
      <c r="AH140" s="391" t="str">
        <f>IF(A140="","",Calculation!AY146)</f>
        <v/>
      </c>
      <c r="AI140" s="391" t="str">
        <f>IF(A140="","",Calculation!Y146)</f>
        <v/>
      </c>
      <c r="AJ140" s="401" t="str">
        <f>IF(Calculation!BD146&gt;0,Calculation!BD146," ")</f>
        <v xml:space="preserve"> </v>
      </c>
      <c r="AK140" s="401" t="str">
        <f>IF(Calculation!BD146&gt;0,Calculation!BE146," ")</f>
        <v xml:space="preserve"> </v>
      </c>
      <c r="AL140" s="401" t="str">
        <f>IF(Calculation!BD146&gt;0,Calculation!BF146," ")</f>
        <v xml:space="preserve"> </v>
      </c>
      <c r="AM140" s="401" t="str">
        <f>IF(Calculation!BD146&gt;0,Calculation!BG146," ")</f>
        <v xml:space="preserve"> </v>
      </c>
      <c r="AN140" s="391" t="str">
        <f>IF(Calculation!BH146="N/A","N/A",Calculation!BH146)</f>
        <v xml:space="preserve"> </v>
      </c>
      <c r="AO140" s="402" t="str">
        <f>IF(Calculation!BI146="N/A","N/A",Calculation!BI146)</f>
        <v/>
      </c>
      <c r="AP140" s="391" t="str">
        <f>IF(Calculation!BJ146="N/A","N/A",Calculation!BJ146)</f>
        <v/>
      </c>
      <c r="AQ140" s="402" t="str">
        <f>IF(Calculation!BK146="N/A","N/A",Calculation!BK146)</f>
        <v/>
      </c>
      <c r="AR140" s="391" t="str">
        <f>IF(Calculation!BL146="N/A","N/A",Calculation!BL146)</f>
        <v/>
      </c>
      <c r="AS140" s="402" t="str">
        <f>IF(Calculation!BM146="N/A","N/A",Calculation!BM146)</f>
        <v/>
      </c>
      <c r="AT140" s="400"/>
    </row>
    <row r="141" spans="1:46" ht="12.75" customHeight="1">
      <c r="A141" s="224" t="str">
        <f>IF(Calculation!BN147="","",CONCATENATE(Calculation!BO147,"-",Calculation!R147,"-",Calculation!S147,"-",Calculation!T147,"-",Calculation!U147))</f>
        <v/>
      </c>
      <c r="B141" s="224">
        <v>126</v>
      </c>
      <c r="C141" s="629" t="str">
        <f>IF(A141="","",Calculation!B147)</f>
        <v/>
      </c>
      <c r="D141" s="386" t="str">
        <f>IF(A141="","",Calculation!L147)</f>
        <v/>
      </c>
      <c r="E141" s="387" t="str">
        <f>IF(A141="","",Calculation!J147)</f>
        <v/>
      </c>
      <c r="F141" s="387" t="str">
        <f>IF(A141="","",Calculation!C147)</f>
        <v/>
      </c>
      <c r="G141" s="387" t="str">
        <f>IF(A141="","",LEFT(Calculation!O147,6))</f>
        <v/>
      </c>
      <c r="H141" s="388" t="str">
        <f>IF(A141="","",Calculation!DX147)</f>
        <v/>
      </c>
      <c r="I141" s="387" t="str">
        <f>IF(A141="","",Calculation!P147)</f>
        <v/>
      </c>
      <c r="J141" s="387" t="str">
        <f>IF(A141="","",HLOOKUP(LEFT(Calculation!BO147,7),LookUps!$C$38:$M$41,4))</f>
        <v/>
      </c>
      <c r="K141" s="387" t="str">
        <f>IF(A141="","",Calculation!M147)</f>
        <v/>
      </c>
      <c r="L141" s="387" t="str">
        <f>IF(A141="","",Calculation!S147)</f>
        <v/>
      </c>
      <c r="M141" s="389" t="str">
        <f>IF(A141="","",Calculation!N147)</f>
        <v/>
      </c>
      <c r="N141" s="390" t="str">
        <f>IF(A141="","",Calculation!R147)</f>
        <v/>
      </c>
      <c r="O141" s="391" t="str">
        <f>IF(A141="","",Calculation!$F$6)</f>
        <v/>
      </c>
      <c r="P141" s="392" t="str">
        <f>IF(A141="","",Calculation!$F$7)</f>
        <v/>
      </c>
      <c r="Q141" s="393" t="str">
        <f>IF(A141="","",Calculation!$F$13)</f>
        <v/>
      </c>
      <c r="R141" s="394" t="str">
        <f>IF(A141="","",Calculation!X147)</f>
        <v/>
      </c>
      <c r="S141" s="393" t="str">
        <f>IF(A141="","",Calculation!T147)</f>
        <v/>
      </c>
      <c r="T141" s="395" t="str">
        <f>IF(A141="","",IF(Calculation!$O$8="None","Water",CONCATENATE(Calculation!$O$8,"-",Calculation!$S$8,"%")))</f>
        <v/>
      </c>
      <c r="U141" s="393" t="str">
        <f>IF(A141="","",Calculation!$P$6)</f>
        <v/>
      </c>
      <c r="V141" s="393" t="str">
        <f>IF(A141="","",Calculation!AT147)</f>
        <v/>
      </c>
      <c r="W141" s="396" t="str">
        <f>IF(A141="","",Calculation!AP147)</f>
        <v/>
      </c>
      <c r="X141" s="396" t="str">
        <f>IF(A141="","",Calculation!AO147)</f>
        <v/>
      </c>
      <c r="Y141" s="396" t="str">
        <f>IF(A141="","",Calculation!AQ147)</f>
        <v/>
      </c>
      <c r="Z141" s="396" t="str">
        <f>IF(A141="","",Calculation!$H$6)</f>
        <v/>
      </c>
      <c r="AA141" s="397" t="str">
        <f>IF(A141="","",Calculation!$H$13)</f>
        <v/>
      </c>
      <c r="AB141" s="397" t="str">
        <f>IF(A141="","",Calculation!U147)</f>
        <v/>
      </c>
      <c r="AC141" s="398" t="str">
        <f>IF(A141="","",IF(Calculation!$O$9="None","Water",CONCATENATE(Calculation!$O$9,"-",Calculation!$S$9,"%")))</f>
        <v/>
      </c>
      <c r="AD141" s="396" t="str">
        <f>IF(A141="","",Calculation!$S$6)</f>
        <v/>
      </c>
      <c r="AE141" s="399" t="str">
        <f>IF(A141="","",Calculation!BA147)</f>
        <v/>
      </c>
      <c r="AF141" s="396" t="str">
        <f>IF(A141="","",Calculation!AX147)</f>
        <v/>
      </c>
      <c r="AG141" s="396" t="str">
        <f>IF(A141="","",Calculation!AW147)</f>
        <v/>
      </c>
      <c r="AH141" s="391" t="str">
        <f>IF(A141="","",Calculation!AY147)</f>
        <v/>
      </c>
      <c r="AI141" s="391" t="str">
        <f>IF(A141="","",Calculation!Y147)</f>
        <v/>
      </c>
      <c r="AJ141" s="401" t="str">
        <f>IF(Calculation!BD147&gt;0,Calculation!BD147," ")</f>
        <v xml:space="preserve"> </v>
      </c>
      <c r="AK141" s="401" t="str">
        <f>IF(Calculation!BD147&gt;0,Calculation!BE147," ")</f>
        <v xml:space="preserve"> </v>
      </c>
      <c r="AL141" s="401" t="str">
        <f>IF(Calculation!BD147&gt;0,Calculation!BF147," ")</f>
        <v xml:space="preserve"> </v>
      </c>
      <c r="AM141" s="401" t="str">
        <f>IF(Calculation!BD147&gt;0,Calculation!BG147," ")</f>
        <v xml:space="preserve"> </v>
      </c>
      <c r="AN141" s="391" t="str">
        <f>IF(Calculation!BH147="N/A","N/A",Calculation!BH147)</f>
        <v xml:space="preserve"> </v>
      </c>
      <c r="AO141" s="402" t="str">
        <f>IF(Calculation!BI147="N/A","N/A",Calculation!BI147)</f>
        <v/>
      </c>
      <c r="AP141" s="391" t="str">
        <f>IF(Calculation!BJ147="N/A","N/A",Calculation!BJ147)</f>
        <v/>
      </c>
      <c r="AQ141" s="402" t="str">
        <f>IF(Calculation!BK147="N/A","N/A",Calculation!BK147)</f>
        <v/>
      </c>
      <c r="AR141" s="391" t="str">
        <f>IF(Calculation!BL147="N/A","N/A",Calculation!BL147)</f>
        <v/>
      </c>
      <c r="AS141" s="402" t="str">
        <f>IF(Calculation!BM147="N/A","N/A",Calculation!BM147)</f>
        <v/>
      </c>
      <c r="AT141" s="400"/>
    </row>
    <row r="142" spans="1:46" ht="12.75" customHeight="1">
      <c r="A142" s="224" t="str">
        <f>IF(Calculation!BN148="","",CONCATENATE(Calculation!BO148,"-",Calculation!R148,"-",Calculation!S148,"-",Calculation!T148,"-",Calculation!U148))</f>
        <v/>
      </c>
      <c r="B142" s="224">
        <v>127</v>
      </c>
      <c r="C142" s="629" t="str">
        <f>IF(A142="","",Calculation!B148)</f>
        <v/>
      </c>
      <c r="D142" s="386" t="str">
        <f>IF(A142="","",Calculation!L148)</f>
        <v/>
      </c>
      <c r="E142" s="387" t="str">
        <f>IF(A142="","",Calculation!J148)</f>
        <v/>
      </c>
      <c r="F142" s="387" t="str">
        <f>IF(A142="","",Calculation!C148)</f>
        <v/>
      </c>
      <c r="G142" s="387" t="str">
        <f>IF(A142="","",LEFT(Calculation!O148,6))</f>
        <v/>
      </c>
      <c r="H142" s="388" t="str">
        <f>IF(A142="","",Calculation!DX148)</f>
        <v/>
      </c>
      <c r="I142" s="387" t="str">
        <f>IF(A142="","",Calculation!P148)</f>
        <v/>
      </c>
      <c r="J142" s="387" t="str">
        <f>IF(A142="","",HLOOKUP(LEFT(Calculation!BO148,7),LookUps!$C$38:$M$41,4))</f>
        <v/>
      </c>
      <c r="K142" s="387" t="str">
        <f>IF(A142="","",Calculation!M148)</f>
        <v/>
      </c>
      <c r="L142" s="387" t="str">
        <f>IF(A142="","",Calculation!S148)</f>
        <v/>
      </c>
      <c r="M142" s="389" t="str">
        <f>IF(A142="","",Calculation!N148)</f>
        <v/>
      </c>
      <c r="N142" s="390" t="str">
        <f>IF(A142="","",Calculation!R148)</f>
        <v/>
      </c>
      <c r="O142" s="391" t="str">
        <f>IF(A142="","",Calculation!$F$6)</f>
        <v/>
      </c>
      <c r="P142" s="392" t="str">
        <f>IF(A142="","",Calculation!$F$7)</f>
        <v/>
      </c>
      <c r="Q142" s="393" t="str">
        <f>IF(A142="","",Calculation!$F$13)</f>
        <v/>
      </c>
      <c r="R142" s="394" t="str">
        <f>IF(A142="","",Calculation!X148)</f>
        <v/>
      </c>
      <c r="S142" s="393" t="str">
        <f>IF(A142="","",Calculation!T148)</f>
        <v/>
      </c>
      <c r="T142" s="395" t="str">
        <f>IF(A142="","",IF(Calculation!$O$8="None","Water",CONCATENATE(Calculation!$O$8,"-",Calculation!$S$8,"%")))</f>
        <v/>
      </c>
      <c r="U142" s="393" t="str">
        <f>IF(A142="","",Calculation!$P$6)</f>
        <v/>
      </c>
      <c r="V142" s="393" t="str">
        <f>IF(A142="","",Calculation!AT148)</f>
        <v/>
      </c>
      <c r="W142" s="396" t="str">
        <f>IF(A142="","",Calculation!AP148)</f>
        <v/>
      </c>
      <c r="X142" s="396" t="str">
        <f>IF(A142="","",Calculation!AO148)</f>
        <v/>
      </c>
      <c r="Y142" s="396" t="str">
        <f>IF(A142="","",Calculation!AQ148)</f>
        <v/>
      </c>
      <c r="Z142" s="396" t="str">
        <f>IF(A142="","",Calculation!$H$6)</f>
        <v/>
      </c>
      <c r="AA142" s="397" t="str">
        <f>IF(A142="","",Calculation!$H$13)</f>
        <v/>
      </c>
      <c r="AB142" s="397" t="str">
        <f>IF(A142="","",Calculation!U148)</f>
        <v/>
      </c>
      <c r="AC142" s="398" t="str">
        <f>IF(A142="","",IF(Calculation!$O$9="None","Water",CONCATENATE(Calculation!$O$9,"-",Calculation!$S$9,"%")))</f>
        <v/>
      </c>
      <c r="AD142" s="396" t="str">
        <f>IF(A142="","",Calculation!$S$6)</f>
        <v/>
      </c>
      <c r="AE142" s="399" t="str">
        <f>IF(A142="","",Calculation!BA148)</f>
        <v/>
      </c>
      <c r="AF142" s="396" t="str">
        <f>IF(A142="","",Calculation!AX148)</f>
        <v/>
      </c>
      <c r="AG142" s="396" t="str">
        <f>IF(A142="","",Calculation!AW148)</f>
        <v/>
      </c>
      <c r="AH142" s="391" t="str">
        <f>IF(A142="","",Calculation!AY148)</f>
        <v/>
      </c>
      <c r="AI142" s="391" t="str">
        <f>IF(A142="","",Calculation!Y148)</f>
        <v/>
      </c>
      <c r="AJ142" s="401" t="str">
        <f>IF(Calculation!BD148&gt;0,Calculation!BD148," ")</f>
        <v xml:space="preserve"> </v>
      </c>
      <c r="AK142" s="401" t="str">
        <f>IF(Calculation!BD148&gt;0,Calculation!BE148," ")</f>
        <v xml:space="preserve"> </v>
      </c>
      <c r="AL142" s="401" t="str">
        <f>IF(Calculation!BD148&gt;0,Calculation!BF148," ")</f>
        <v xml:space="preserve"> </v>
      </c>
      <c r="AM142" s="401" t="str">
        <f>IF(Calculation!BD148&gt;0,Calculation!BG148," ")</f>
        <v xml:space="preserve"> </v>
      </c>
      <c r="AN142" s="391" t="str">
        <f>IF(Calculation!BH148="N/A","N/A",Calculation!BH148)</f>
        <v xml:space="preserve"> </v>
      </c>
      <c r="AO142" s="402" t="str">
        <f>IF(Calculation!BI148="N/A","N/A",Calculation!BI148)</f>
        <v/>
      </c>
      <c r="AP142" s="391" t="str">
        <f>IF(Calculation!BJ148="N/A","N/A",Calculation!BJ148)</f>
        <v/>
      </c>
      <c r="AQ142" s="402" t="str">
        <f>IF(Calculation!BK148="N/A","N/A",Calculation!BK148)</f>
        <v/>
      </c>
      <c r="AR142" s="391" t="str">
        <f>IF(Calculation!BL148="N/A","N/A",Calculation!BL148)</f>
        <v/>
      </c>
      <c r="AS142" s="402" t="str">
        <f>IF(Calculation!BM148="N/A","N/A",Calculation!BM148)</f>
        <v/>
      </c>
      <c r="AT142" s="400"/>
    </row>
    <row r="143" spans="1:46" ht="12.75" customHeight="1">
      <c r="A143" s="224" t="str">
        <f>IF(Calculation!BN149="","",CONCATENATE(Calculation!BO149,"-",Calculation!R149,"-",Calculation!S149,"-",Calculation!T149,"-",Calculation!U149))</f>
        <v/>
      </c>
      <c r="B143" s="224">
        <v>128</v>
      </c>
      <c r="C143" s="629" t="str">
        <f>IF(A143="","",Calculation!B149)</f>
        <v/>
      </c>
      <c r="D143" s="386" t="str">
        <f>IF(A143="","",Calculation!L149)</f>
        <v/>
      </c>
      <c r="E143" s="387" t="str">
        <f>IF(A143="","",Calculation!J149)</f>
        <v/>
      </c>
      <c r="F143" s="387" t="str">
        <f>IF(A143="","",Calculation!C149)</f>
        <v/>
      </c>
      <c r="G143" s="387" t="str">
        <f>IF(A143="","",LEFT(Calculation!O149,6))</f>
        <v/>
      </c>
      <c r="H143" s="388" t="str">
        <f>IF(A143="","",Calculation!DX149)</f>
        <v/>
      </c>
      <c r="I143" s="387" t="str">
        <f>IF(A143="","",Calculation!P149)</f>
        <v/>
      </c>
      <c r="J143" s="387" t="str">
        <f>IF(A143="","",HLOOKUP(LEFT(Calculation!BO149,7),LookUps!$C$38:$M$41,4))</f>
        <v/>
      </c>
      <c r="K143" s="387" t="str">
        <f>IF(A143="","",Calculation!M149)</f>
        <v/>
      </c>
      <c r="L143" s="387" t="str">
        <f>IF(A143="","",Calculation!S149)</f>
        <v/>
      </c>
      <c r="M143" s="389" t="str">
        <f>IF(A143="","",Calculation!N149)</f>
        <v/>
      </c>
      <c r="N143" s="390" t="str">
        <f>IF(A143="","",Calculation!R149)</f>
        <v/>
      </c>
      <c r="O143" s="391" t="str">
        <f>IF(A143="","",Calculation!$F$6)</f>
        <v/>
      </c>
      <c r="P143" s="392" t="str">
        <f>IF(A143="","",Calculation!$F$7)</f>
        <v/>
      </c>
      <c r="Q143" s="393" t="str">
        <f>IF(A143="","",Calculation!$F$13)</f>
        <v/>
      </c>
      <c r="R143" s="394" t="str">
        <f>IF(A143="","",Calculation!X149)</f>
        <v/>
      </c>
      <c r="S143" s="393" t="str">
        <f>IF(A143="","",Calculation!T149)</f>
        <v/>
      </c>
      <c r="T143" s="395" t="str">
        <f>IF(A143="","",IF(Calculation!$O$8="None","Water",CONCATENATE(Calculation!$O$8,"-",Calculation!$S$8,"%")))</f>
        <v/>
      </c>
      <c r="U143" s="393" t="str">
        <f>IF(A143="","",Calculation!$P$6)</f>
        <v/>
      </c>
      <c r="V143" s="393" t="str">
        <f>IF(A143="","",Calculation!AT149)</f>
        <v/>
      </c>
      <c r="W143" s="396" t="str">
        <f>IF(A143="","",Calculation!AP149)</f>
        <v/>
      </c>
      <c r="X143" s="396" t="str">
        <f>IF(A143="","",Calculation!AO149)</f>
        <v/>
      </c>
      <c r="Y143" s="396" t="str">
        <f>IF(A143="","",Calculation!AQ149)</f>
        <v/>
      </c>
      <c r="Z143" s="396" t="str">
        <f>IF(A143="","",Calculation!$H$6)</f>
        <v/>
      </c>
      <c r="AA143" s="397" t="str">
        <f>IF(A143="","",Calculation!$H$13)</f>
        <v/>
      </c>
      <c r="AB143" s="397" t="str">
        <f>IF(A143="","",Calculation!U149)</f>
        <v/>
      </c>
      <c r="AC143" s="398" t="str">
        <f>IF(A143="","",IF(Calculation!$O$9="None","Water",CONCATENATE(Calculation!$O$9,"-",Calculation!$S$9,"%")))</f>
        <v/>
      </c>
      <c r="AD143" s="396" t="str">
        <f>IF(A143="","",Calculation!$S$6)</f>
        <v/>
      </c>
      <c r="AE143" s="399" t="str">
        <f>IF(A143="","",Calculation!BA149)</f>
        <v/>
      </c>
      <c r="AF143" s="396" t="str">
        <f>IF(A143="","",Calculation!AX149)</f>
        <v/>
      </c>
      <c r="AG143" s="396" t="str">
        <f>IF(A143="","",Calculation!AW149)</f>
        <v/>
      </c>
      <c r="AH143" s="391" t="str">
        <f>IF(A143="","",Calculation!AY149)</f>
        <v/>
      </c>
      <c r="AI143" s="391" t="str">
        <f>IF(A143="","",Calculation!Y149)</f>
        <v/>
      </c>
      <c r="AJ143" s="401" t="str">
        <f>IF(Calculation!BD149&gt;0,Calculation!BD149," ")</f>
        <v xml:space="preserve"> </v>
      </c>
      <c r="AK143" s="401" t="str">
        <f>IF(Calculation!BD149&gt;0,Calculation!BE149," ")</f>
        <v xml:space="preserve"> </v>
      </c>
      <c r="AL143" s="401" t="str">
        <f>IF(Calculation!BD149&gt;0,Calculation!BF149," ")</f>
        <v xml:space="preserve"> </v>
      </c>
      <c r="AM143" s="401" t="str">
        <f>IF(Calculation!BD149&gt;0,Calculation!BG149," ")</f>
        <v xml:space="preserve"> </v>
      </c>
      <c r="AN143" s="391" t="str">
        <f>IF(Calculation!BH149="N/A","N/A",Calculation!BH149)</f>
        <v xml:space="preserve"> </v>
      </c>
      <c r="AO143" s="402" t="str">
        <f>IF(Calculation!BI149="N/A","N/A",Calculation!BI149)</f>
        <v/>
      </c>
      <c r="AP143" s="391" t="str">
        <f>IF(Calculation!BJ149="N/A","N/A",Calculation!BJ149)</f>
        <v/>
      </c>
      <c r="AQ143" s="402" t="str">
        <f>IF(Calculation!BK149="N/A","N/A",Calculation!BK149)</f>
        <v/>
      </c>
      <c r="AR143" s="391" t="str">
        <f>IF(Calculation!BL149="N/A","N/A",Calculation!BL149)</f>
        <v/>
      </c>
      <c r="AS143" s="402" t="str">
        <f>IF(Calculation!BM149="N/A","N/A",Calculation!BM149)</f>
        <v/>
      </c>
      <c r="AT143" s="400"/>
    </row>
    <row r="144" spans="1:46" ht="12.75" customHeight="1">
      <c r="A144" s="224" t="str">
        <f>IF(Calculation!BN150="","",CONCATENATE(Calculation!BO150,"-",Calculation!R150,"-",Calculation!S150,"-",Calculation!T150,"-",Calculation!U150))</f>
        <v/>
      </c>
      <c r="B144" s="224">
        <v>129</v>
      </c>
      <c r="C144" s="629" t="str">
        <f>IF(A144="","",Calculation!B150)</f>
        <v/>
      </c>
      <c r="D144" s="386" t="str">
        <f>IF(A144="","",Calculation!L150)</f>
        <v/>
      </c>
      <c r="E144" s="387" t="str">
        <f>IF(A144="","",Calculation!J150)</f>
        <v/>
      </c>
      <c r="F144" s="387" t="str">
        <f>IF(A144="","",Calculation!C150)</f>
        <v/>
      </c>
      <c r="G144" s="387" t="str">
        <f>IF(A144="","",LEFT(Calculation!O150,6))</f>
        <v/>
      </c>
      <c r="H144" s="388" t="str">
        <f>IF(A144="","",Calculation!DX150)</f>
        <v/>
      </c>
      <c r="I144" s="387" t="str">
        <f>IF(A144="","",Calculation!P150)</f>
        <v/>
      </c>
      <c r="J144" s="387" t="str">
        <f>IF(A144="","",HLOOKUP(LEFT(Calculation!BO150,7),LookUps!$C$38:$M$41,4))</f>
        <v/>
      </c>
      <c r="K144" s="387" t="str">
        <f>IF(A144="","",Calculation!M150)</f>
        <v/>
      </c>
      <c r="L144" s="387" t="str">
        <f>IF(A144="","",Calculation!S150)</f>
        <v/>
      </c>
      <c r="M144" s="389" t="str">
        <f>IF(A144="","",Calculation!N150)</f>
        <v/>
      </c>
      <c r="N144" s="390" t="str">
        <f>IF(A144="","",Calculation!R150)</f>
        <v/>
      </c>
      <c r="O144" s="391" t="str">
        <f>IF(A144="","",Calculation!$F$6)</f>
        <v/>
      </c>
      <c r="P144" s="392" t="str">
        <f>IF(A144="","",Calculation!$F$7)</f>
        <v/>
      </c>
      <c r="Q144" s="393" t="str">
        <f>IF(A144="","",Calculation!$F$13)</f>
        <v/>
      </c>
      <c r="R144" s="394" t="str">
        <f>IF(A144="","",Calculation!X150)</f>
        <v/>
      </c>
      <c r="S144" s="393" t="str">
        <f>IF(A144="","",Calculation!T150)</f>
        <v/>
      </c>
      <c r="T144" s="395" t="str">
        <f>IF(A144="","",IF(Calculation!$O$8="None","Water",CONCATENATE(Calculation!$O$8,"-",Calculation!$S$8,"%")))</f>
        <v/>
      </c>
      <c r="U144" s="393" t="str">
        <f>IF(A144="","",Calculation!$P$6)</f>
        <v/>
      </c>
      <c r="V144" s="393" t="str">
        <f>IF(A144="","",Calculation!AT150)</f>
        <v/>
      </c>
      <c r="W144" s="396" t="str">
        <f>IF(A144="","",Calculation!AP150)</f>
        <v/>
      </c>
      <c r="X144" s="396" t="str">
        <f>IF(A144="","",Calculation!AO150)</f>
        <v/>
      </c>
      <c r="Y144" s="396" t="str">
        <f>IF(A144="","",Calculation!AQ150)</f>
        <v/>
      </c>
      <c r="Z144" s="396" t="str">
        <f>IF(A144="","",Calculation!$H$6)</f>
        <v/>
      </c>
      <c r="AA144" s="397" t="str">
        <f>IF(A144="","",Calculation!$H$13)</f>
        <v/>
      </c>
      <c r="AB144" s="397" t="str">
        <f>IF(A144="","",Calculation!U150)</f>
        <v/>
      </c>
      <c r="AC144" s="398" t="str">
        <f>IF(A144="","",IF(Calculation!$O$9="None","Water",CONCATENATE(Calculation!$O$9,"-",Calculation!$S$9,"%")))</f>
        <v/>
      </c>
      <c r="AD144" s="396" t="str">
        <f>IF(A144="","",Calculation!$S$6)</f>
        <v/>
      </c>
      <c r="AE144" s="399" t="str">
        <f>IF(A144="","",Calculation!BA150)</f>
        <v/>
      </c>
      <c r="AF144" s="396" t="str">
        <f>IF(A144="","",Calculation!AX150)</f>
        <v/>
      </c>
      <c r="AG144" s="396" t="str">
        <f>IF(A144="","",Calculation!AW150)</f>
        <v/>
      </c>
      <c r="AH144" s="391" t="str">
        <f>IF(A144="","",Calculation!AY150)</f>
        <v/>
      </c>
      <c r="AI144" s="391" t="str">
        <f>IF(A144="","",Calculation!Y150)</f>
        <v/>
      </c>
      <c r="AJ144" s="401" t="str">
        <f>IF(Calculation!BD150&gt;0,Calculation!BD150," ")</f>
        <v xml:space="preserve"> </v>
      </c>
      <c r="AK144" s="401" t="str">
        <f>IF(Calculation!BD150&gt;0,Calculation!BE150," ")</f>
        <v xml:space="preserve"> </v>
      </c>
      <c r="AL144" s="401" t="str">
        <f>IF(Calculation!BD150&gt;0,Calculation!BF150," ")</f>
        <v xml:space="preserve"> </v>
      </c>
      <c r="AM144" s="401" t="str">
        <f>IF(Calculation!BD150&gt;0,Calculation!BG150," ")</f>
        <v xml:space="preserve"> </v>
      </c>
      <c r="AN144" s="391" t="str">
        <f>IF(Calculation!BH150="N/A","N/A",Calculation!BH150)</f>
        <v xml:space="preserve"> </v>
      </c>
      <c r="AO144" s="402" t="str">
        <f>IF(Calculation!BI150="N/A","N/A",Calculation!BI150)</f>
        <v/>
      </c>
      <c r="AP144" s="391" t="str">
        <f>IF(Calculation!BJ150="N/A","N/A",Calculation!BJ150)</f>
        <v/>
      </c>
      <c r="AQ144" s="402" t="str">
        <f>IF(Calculation!BK150="N/A","N/A",Calculation!BK150)</f>
        <v/>
      </c>
      <c r="AR144" s="391" t="str">
        <f>IF(Calculation!BL150="N/A","N/A",Calculation!BL150)</f>
        <v/>
      </c>
      <c r="AS144" s="402" t="str">
        <f>IF(Calculation!BM150="N/A","N/A",Calculation!BM150)</f>
        <v/>
      </c>
      <c r="AT144" s="400"/>
    </row>
    <row r="145" spans="1:46" ht="12.75" customHeight="1">
      <c r="A145" s="224" t="str">
        <f>IF(Calculation!BN151="","",CONCATENATE(Calculation!BO151,"-",Calculation!R151,"-",Calculation!S151,"-",Calculation!T151,"-",Calculation!U151))</f>
        <v/>
      </c>
      <c r="B145" s="224">
        <v>130</v>
      </c>
      <c r="C145" s="629" t="str">
        <f>IF(A145="","",Calculation!B151)</f>
        <v/>
      </c>
      <c r="D145" s="386" t="str">
        <f>IF(A145="","",Calculation!L151)</f>
        <v/>
      </c>
      <c r="E145" s="387" t="str">
        <f>IF(A145="","",Calculation!J151)</f>
        <v/>
      </c>
      <c r="F145" s="387" t="str">
        <f>IF(A145="","",Calculation!C151)</f>
        <v/>
      </c>
      <c r="G145" s="387" t="str">
        <f>IF(A145="","",LEFT(Calculation!O151,6))</f>
        <v/>
      </c>
      <c r="H145" s="388" t="str">
        <f>IF(A145="","",Calculation!DX151)</f>
        <v/>
      </c>
      <c r="I145" s="387" t="str">
        <f>IF(A145="","",Calculation!P151)</f>
        <v/>
      </c>
      <c r="J145" s="387" t="str">
        <f>IF(A145="","",HLOOKUP(LEFT(Calculation!BO151,7),LookUps!$C$38:$M$41,4))</f>
        <v/>
      </c>
      <c r="K145" s="387" t="str">
        <f>IF(A145="","",Calculation!M151)</f>
        <v/>
      </c>
      <c r="L145" s="387" t="str">
        <f>IF(A145="","",Calculation!S151)</f>
        <v/>
      </c>
      <c r="M145" s="389" t="str">
        <f>IF(A145="","",Calculation!N151)</f>
        <v/>
      </c>
      <c r="N145" s="390" t="str">
        <f>IF(A145="","",Calculation!R151)</f>
        <v/>
      </c>
      <c r="O145" s="391" t="str">
        <f>IF(A145="","",Calculation!$F$6)</f>
        <v/>
      </c>
      <c r="P145" s="392" t="str">
        <f>IF(A145="","",Calculation!$F$7)</f>
        <v/>
      </c>
      <c r="Q145" s="393" t="str">
        <f>IF(A145="","",Calculation!$F$13)</f>
        <v/>
      </c>
      <c r="R145" s="394" t="str">
        <f>IF(A145="","",Calculation!X151)</f>
        <v/>
      </c>
      <c r="S145" s="393" t="str">
        <f>IF(A145="","",Calculation!T151)</f>
        <v/>
      </c>
      <c r="T145" s="395" t="str">
        <f>IF(A145="","",IF(Calculation!$O$8="None","Water",CONCATENATE(Calculation!$O$8,"-",Calculation!$S$8,"%")))</f>
        <v/>
      </c>
      <c r="U145" s="393" t="str">
        <f>IF(A145="","",Calculation!$P$6)</f>
        <v/>
      </c>
      <c r="V145" s="393" t="str">
        <f>IF(A145="","",Calculation!AT151)</f>
        <v/>
      </c>
      <c r="W145" s="396" t="str">
        <f>IF(A145="","",Calculation!AP151)</f>
        <v/>
      </c>
      <c r="X145" s="396" t="str">
        <f>IF(A145="","",Calculation!AO151)</f>
        <v/>
      </c>
      <c r="Y145" s="396" t="str">
        <f>IF(A145="","",Calculation!AQ151)</f>
        <v/>
      </c>
      <c r="Z145" s="396" t="str">
        <f>IF(A145="","",Calculation!$H$6)</f>
        <v/>
      </c>
      <c r="AA145" s="397" t="str">
        <f>IF(A145="","",Calculation!$H$13)</f>
        <v/>
      </c>
      <c r="AB145" s="397" t="str">
        <f>IF(A145="","",Calculation!U151)</f>
        <v/>
      </c>
      <c r="AC145" s="398" t="str">
        <f>IF(A145="","",IF(Calculation!$O$9="None","Water",CONCATENATE(Calculation!$O$9,"-",Calculation!$S$9,"%")))</f>
        <v/>
      </c>
      <c r="AD145" s="396" t="str">
        <f>IF(A145="","",Calculation!$S$6)</f>
        <v/>
      </c>
      <c r="AE145" s="399" t="str">
        <f>IF(A145="","",Calculation!BA151)</f>
        <v/>
      </c>
      <c r="AF145" s="396" t="str">
        <f>IF(A145="","",Calculation!AX151)</f>
        <v/>
      </c>
      <c r="AG145" s="396" t="str">
        <f>IF(A145="","",Calculation!AW151)</f>
        <v/>
      </c>
      <c r="AH145" s="391" t="str">
        <f>IF(A145="","",Calculation!AY151)</f>
        <v/>
      </c>
      <c r="AI145" s="391" t="str">
        <f>IF(A145="","",Calculation!Y151)</f>
        <v/>
      </c>
      <c r="AJ145" s="401" t="str">
        <f>IF(Calculation!BD151&gt;0,Calculation!BD151," ")</f>
        <v xml:space="preserve"> </v>
      </c>
      <c r="AK145" s="401" t="str">
        <f>IF(Calculation!BD151&gt;0,Calculation!BE151," ")</f>
        <v xml:space="preserve"> </v>
      </c>
      <c r="AL145" s="401" t="str">
        <f>IF(Calculation!BD151&gt;0,Calculation!BF151," ")</f>
        <v xml:space="preserve"> </v>
      </c>
      <c r="AM145" s="401" t="str">
        <f>IF(Calculation!BD151&gt;0,Calculation!BG151," ")</f>
        <v xml:space="preserve"> </v>
      </c>
      <c r="AN145" s="391" t="str">
        <f>IF(Calculation!BH151="N/A","N/A",Calculation!BH151)</f>
        <v xml:space="preserve"> </v>
      </c>
      <c r="AO145" s="402" t="str">
        <f>IF(Calculation!BI151="N/A","N/A",Calculation!BI151)</f>
        <v/>
      </c>
      <c r="AP145" s="391" t="str">
        <f>IF(Calculation!BJ151="N/A","N/A",Calculation!BJ151)</f>
        <v/>
      </c>
      <c r="AQ145" s="402" t="str">
        <f>IF(Calculation!BK151="N/A","N/A",Calculation!BK151)</f>
        <v/>
      </c>
      <c r="AR145" s="391" t="str">
        <f>IF(Calculation!BL151="N/A","N/A",Calculation!BL151)</f>
        <v/>
      </c>
      <c r="AS145" s="402" t="str">
        <f>IF(Calculation!BM151="N/A","N/A",Calculation!BM151)</f>
        <v/>
      </c>
      <c r="AT145" s="400"/>
    </row>
    <row r="146" spans="1:46" ht="12.75" customHeight="1">
      <c r="A146" s="224" t="str">
        <f>IF(Calculation!BN152="","",CONCATENATE(Calculation!BO152,"-",Calculation!R152,"-",Calculation!S152,"-",Calculation!T152,"-",Calculation!U152))</f>
        <v/>
      </c>
      <c r="B146" s="224">
        <v>131</v>
      </c>
      <c r="C146" s="629" t="str">
        <f>IF(A146="","",Calculation!B152)</f>
        <v/>
      </c>
      <c r="D146" s="386" t="str">
        <f>IF(A146="","",Calculation!L152)</f>
        <v/>
      </c>
      <c r="E146" s="387" t="str">
        <f>IF(A146="","",Calculation!J152)</f>
        <v/>
      </c>
      <c r="F146" s="387" t="str">
        <f>IF(A146="","",Calculation!C152)</f>
        <v/>
      </c>
      <c r="G146" s="387" t="str">
        <f>IF(A146="","",LEFT(Calculation!O152,6))</f>
        <v/>
      </c>
      <c r="H146" s="388" t="str">
        <f>IF(A146="","",Calculation!DX152)</f>
        <v/>
      </c>
      <c r="I146" s="387" t="str">
        <f>IF(A146="","",Calculation!P152)</f>
        <v/>
      </c>
      <c r="J146" s="387" t="str">
        <f>IF(A146="","",HLOOKUP(LEFT(Calculation!BO152,7),LookUps!$C$38:$M$41,4))</f>
        <v/>
      </c>
      <c r="K146" s="387" t="str">
        <f>IF(A146="","",Calculation!M152)</f>
        <v/>
      </c>
      <c r="L146" s="387" t="str">
        <f>IF(A146="","",Calculation!S152)</f>
        <v/>
      </c>
      <c r="M146" s="389" t="str">
        <f>IF(A146="","",Calculation!N152)</f>
        <v/>
      </c>
      <c r="N146" s="390" t="str">
        <f>IF(A146="","",Calculation!R152)</f>
        <v/>
      </c>
      <c r="O146" s="391" t="str">
        <f>IF(A146="","",Calculation!$F$6)</f>
        <v/>
      </c>
      <c r="P146" s="392" t="str">
        <f>IF(A146="","",Calculation!$F$7)</f>
        <v/>
      </c>
      <c r="Q146" s="393" t="str">
        <f>IF(A146="","",Calculation!$F$13)</f>
        <v/>
      </c>
      <c r="R146" s="394" t="str">
        <f>IF(A146="","",Calculation!X152)</f>
        <v/>
      </c>
      <c r="S146" s="393" t="str">
        <f>IF(A146="","",Calculation!T152)</f>
        <v/>
      </c>
      <c r="T146" s="395" t="str">
        <f>IF(A146="","",IF(Calculation!$O$8="None","Water",CONCATENATE(Calculation!$O$8,"-",Calculation!$S$8,"%")))</f>
        <v/>
      </c>
      <c r="U146" s="393" t="str">
        <f>IF(A146="","",Calculation!$P$6)</f>
        <v/>
      </c>
      <c r="V146" s="393" t="str">
        <f>IF(A146="","",Calculation!AT152)</f>
        <v/>
      </c>
      <c r="W146" s="396" t="str">
        <f>IF(A146="","",Calculation!AP152)</f>
        <v/>
      </c>
      <c r="X146" s="396" t="str">
        <f>IF(A146="","",Calculation!AO152)</f>
        <v/>
      </c>
      <c r="Y146" s="396" t="str">
        <f>IF(A146="","",Calculation!AQ152)</f>
        <v/>
      </c>
      <c r="Z146" s="396" t="str">
        <f>IF(A146="","",Calculation!$H$6)</f>
        <v/>
      </c>
      <c r="AA146" s="397" t="str">
        <f>IF(A146="","",Calculation!$H$13)</f>
        <v/>
      </c>
      <c r="AB146" s="397" t="str">
        <f>IF(A146="","",Calculation!U152)</f>
        <v/>
      </c>
      <c r="AC146" s="398" t="str">
        <f>IF(A146="","",IF(Calculation!$O$9="None","Water",CONCATENATE(Calculation!$O$9,"-",Calculation!$S$9,"%")))</f>
        <v/>
      </c>
      <c r="AD146" s="396" t="str">
        <f>IF(A146="","",Calculation!$S$6)</f>
        <v/>
      </c>
      <c r="AE146" s="399" t="str">
        <f>IF(A146="","",Calculation!BA152)</f>
        <v/>
      </c>
      <c r="AF146" s="396" t="str">
        <f>IF(A146="","",Calculation!AX152)</f>
        <v/>
      </c>
      <c r="AG146" s="396" t="str">
        <f>IF(A146="","",Calculation!AW152)</f>
        <v/>
      </c>
      <c r="AH146" s="391" t="str">
        <f>IF(A146="","",Calculation!AY152)</f>
        <v/>
      </c>
      <c r="AI146" s="391" t="str">
        <f>IF(A146="","",Calculation!Y152)</f>
        <v/>
      </c>
      <c r="AJ146" s="401" t="str">
        <f>IF(Calculation!BD152&gt;0,Calculation!BD152," ")</f>
        <v xml:space="preserve"> </v>
      </c>
      <c r="AK146" s="401" t="str">
        <f>IF(Calculation!BD152&gt;0,Calculation!BE152," ")</f>
        <v xml:space="preserve"> </v>
      </c>
      <c r="AL146" s="401" t="str">
        <f>IF(Calculation!BD152&gt;0,Calculation!BF152," ")</f>
        <v xml:space="preserve"> </v>
      </c>
      <c r="AM146" s="401" t="str">
        <f>IF(Calculation!BD152&gt;0,Calculation!BG152," ")</f>
        <v xml:space="preserve"> </v>
      </c>
      <c r="AN146" s="391" t="str">
        <f>IF(Calculation!BH152="N/A","N/A",Calculation!BH152)</f>
        <v xml:space="preserve"> </v>
      </c>
      <c r="AO146" s="402" t="str">
        <f>IF(Calculation!BI152="N/A","N/A",Calculation!BI152)</f>
        <v/>
      </c>
      <c r="AP146" s="391" t="str">
        <f>IF(Calculation!BJ152="N/A","N/A",Calculation!BJ152)</f>
        <v/>
      </c>
      <c r="AQ146" s="402" t="str">
        <f>IF(Calculation!BK152="N/A","N/A",Calculation!BK152)</f>
        <v/>
      </c>
      <c r="AR146" s="391" t="str">
        <f>IF(Calculation!BL152="N/A","N/A",Calculation!BL152)</f>
        <v/>
      </c>
      <c r="AS146" s="402" t="str">
        <f>IF(Calculation!BM152="N/A","N/A",Calculation!BM152)</f>
        <v/>
      </c>
      <c r="AT146" s="400"/>
    </row>
    <row r="147" spans="1:46" ht="12.75" customHeight="1">
      <c r="A147" s="224" t="str">
        <f>IF(Calculation!BN153="","",CONCATENATE(Calculation!BO153,"-",Calculation!R153,"-",Calculation!S153,"-",Calculation!T153,"-",Calculation!U153))</f>
        <v/>
      </c>
      <c r="B147" s="224">
        <v>132</v>
      </c>
      <c r="C147" s="629" t="str">
        <f>IF(A147="","",Calculation!B153)</f>
        <v/>
      </c>
      <c r="D147" s="386" t="str">
        <f>IF(A147="","",Calculation!L153)</f>
        <v/>
      </c>
      <c r="E147" s="387" t="str">
        <f>IF(A147="","",Calculation!J153)</f>
        <v/>
      </c>
      <c r="F147" s="387" t="str">
        <f>IF(A147="","",Calculation!C153)</f>
        <v/>
      </c>
      <c r="G147" s="387" t="str">
        <f>IF(A147="","",LEFT(Calculation!O153,6))</f>
        <v/>
      </c>
      <c r="H147" s="388" t="str">
        <f>IF(A147="","",Calculation!DX153)</f>
        <v/>
      </c>
      <c r="I147" s="387" t="str">
        <f>IF(A147="","",Calculation!P153)</f>
        <v/>
      </c>
      <c r="J147" s="387" t="str">
        <f>IF(A147="","",HLOOKUP(LEFT(Calculation!BO153,7),LookUps!$C$38:$M$41,4))</f>
        <v/>
      </c>
      <c r="K147" s="387" t="str">
        <f>IF(A147="","",Calculation!M153)</f>
        <v/>
      </c>
      <c r="L147" s="387" t="str">
        <f>IF(A147="","",Calculation!S153)</f>
        <v/>
      </c>
      <c r="M147" s="389" t="str">
        <f>IF(A147="","",Calculation!N153)</f>
        <v/>
      </c>
      <c r="N147" s="390" t="str">
        <f>IF(A147="","",Calculation!R153)</f>
        <v/>
      </c>
      <c r="O147" s="391" t="str">
        <f>IF(A147="","",Calculation!$F$6)</f>
        <v/>
      </c>
      <c r="P147" s="392" t="str">
        <f>IF(A147="","",Calculation!$F$7)</f>
        <v/>
      </c>
      <c r="Q147" s="393" t="str">
        <f>IF(A147="","",Calculation!$F$13)</f>
        <v/>
      </c>
      <c r="R147" s="394" t="str">
        <f>IF(A147="","",Calculation!X153)</f>
        <v/>
      </c>
      <c r="S147" s="393" t="str">
        <f>IF(A147="","",Calculation!T153)</f>
        <v/>
      </c>
      <c r="T147" s="395" t="str">
        <f>IF(A147="","",IF(Calculation!$O$8="None","Water",CONCATENATE(Calculation!$O$8,"-",Calculation!$S$8,"%")))</f>
        <v/>
      </c>
      <c r="U147" s="393" t="str">
        <f>IF(A147="","",Calculation!$P$6)</f>
        <v/>
      </c>
      <c r="V147" s="393" t="str">
        <f>IF(A147="","",Calculation!AT153)</f>
        <v/>
      </c>
      <c r="W147" s="396" t="str">
        <f>IF(A147="","",Calculation!AP153)</f>
        <v/>
      </c>
      <c r="X147" s="396" t="str">
        <f>IF(A147="","",Calculation!AO153)</f>
        <v/>
      </c>
      <c r="Y147" s="396" t="str">
        <f>IF(A147="","",Calculation!AQ153)</f>
        <v/>
      </c>
      <c r="Z147" s="396" t="str">
        <f>IF(A147="","",Calculation!$H$6)</f>
        <v/>
      </c>
      <c r="AA147" s="397" t="str">
        <f>IF(A147="","",Calculation!$H$13)</f>
        <v/>
      </c>
      <c r="AB147" s="397" t="str">
        <f>IF(A147="","",Calculation!U153)</f>
        <v/>
      </c>
      <c r="AC147" s="398" t="str">
        <f>IF(A147="","",IF(Calculation!$O$9="None","Water",CONCATENATE(Calculation!$O$9,"-",Calculation!$S$9,"%")))</f>
        <v/>
      </c>
      <c r="AD147" s="396" t="str">
        <f>IF(A147="","",Calculation!$S$6)</f>
        <v/>
      </c>
      <c r="AE147" s="399" t="str">
        <f>IF(A147="","",Calculation!BA153)</f>
        <v/>
      </c>
      <c r="AF147" s="396" t="str">
        <f>IF(A147="","",Calculation!AX153)</f>
        <v/>
      </c>
      <c r="AG147" s="396" t="str">
        <f>IF(A147="","",Calculation!AW153)</f>
        <v/>
      </c>
      <c r="AH147" s="391" t="str">
        <f>IF(A147="","",Calculation!AY153)</f>
        <v/>
      </c>
      <c r="AI147" s="391" t="str">
        <f>IF(A147="","",Calculation!Y153)</f>
        <v/>
      </c>
      <c r="AJ147" s="401" t="str">
        <f>IF(Calculation!BD153&gt;0,Calculation!BD153," ")</f>
        <v xml:space="preserve"> </v>
      </c>
      <c r="AK147" s="401" t="str">
        <f>IF(Calculation!BD153&gt;0,Calculation!BE153," ")</f>
        <v xml:space="preserve"> </v>
      </c>
      <c r="AL147" s="401" t="str">
        <f>IF(Calculation!BD153&gt;0,Calculation!BF153," ")</f>
        <v xml:space="preserve"> </v>
      </c>
      <c r="AM147" s="401" t="str">
        <f>IF(Calculation!BD153&gt;0,Calculation!BG153," ")</f>
        <v xml:space="preserve"> </v>
      </c>
      <c r="AN147" s="391" t="str">
        <f>IF(Calculation!BH153="N/A","N/A",Calculation!BH153)</f>
        <v xml:space="preserve"> </v>
      </c>
      <c r="AO147" s="402" t="str">
        <f>IF(Calculation!BI153="N/A","N/A",Calculation!BI153)</f>
        <v/>
      </c>
      <c r="AP147" s="391" t="str">
        <f>IF(Calculation!BJ153="N/A","N/A",Calculation!BJ153)</f>
        <v/>
      </c>
      <c r="AQ147" s="402" t="str">
        <f>IF(Calculation!BK153="N/A","N/A",Calculation!BK153)</f>
        <v/>
      </c>
      <c r="AR147" s="391" t="str">
        <f>IF(Calculation!BL153="N/A","N/A",Calculation!BL153)</f>
        <v/>
      </c>
      <c r="AS147" s="402" t="str">
        <f>IF(Calculation!BM153="N/A","N/A",Calculation!BM153)</f>
        <v/>
      </c>
      <c r="AT147" s="400"/>
    </row>
    <row r="148" spans="1:46" ht="12.75" customHeight="1">
      <c r="A148" s="224" t="str">
        <f>IF(Calculation!BN154="","",CONCATENATE(Calculation!BO154,"-",Calculation!R154,"-",Calculation!S154,"-",Calculation!T154,"-",Calculation!U154))</f>
        <v/>
      </c>
      <c r="B148" s="224">
        <v>133</v>
      </c>
      <c r="C148" s="629" t="str">
        <f>IF(A148="","",Calculation!B154)</f>
        <v/>
      </c>
      <c r="D148" s="386" t="str">
        <f>IF(A148="","",Calculation!L154)</f>
        <v/>
      </c>
      <c r="E148" s="387" t="str">
        <f>IF(A148="","",Calculation!J154)</f>
        <v/>
      </c>
      <c r="F148" s="387" t="str">
        <f>IF(A148="","",Calculation!C154)</f>
        <v/>
      </c>
      <c r="G148" s="387" t="str">
        <f>IF(A148="","",LEFT(Calculation!O154,6))</f>
        <v/>
      </c>
      <c r="H148" s="388" t="str">
        <f>IF(A148="","",Calculation!DX154)</f>
        <v/>
      </c>
      <c r="I148" s="387" t="str">
        <f>IF(A148="","",Calculation!P154)</f>
        <v/>
      </c>
      <c r="J148" s="387" t="str">
        <f>IF(A148="","",HLOOKUP(LEFT(Calculation!BO154,7),LookUps!$C$38:$M$41,4))</f>
        <v/>
      </c>
      <c r="K148" s="387" t="str">
        <f>IF(A148="","",Calculation!M154)</f>
        <v/>
      </c>
      <c r="L148" s="387" t="str">
        <f>IF(A148="","",Calculation!S154)</f>
        <v/>
      </c>
      <c r="M148" s="389" t="str">
        <f>IF(A148="","",Calculation!N154)</f>
        <v/>
      </c>
      <c r="N148" s="390" t="str">
        <f>IF(A148="","",Calculation!R154)</f>
        <v/>
      </c>
      <c r="O148" s="391" t="str">
        <f>IF(A148="","",Calculation!$F$6)</f>
        <v/>
      </c>
      <c r="P148" s="392" t="str">
        <f>IF(A148="","",Calculation!$F$7)</f>
        <v/>
      </c>
      <c r="Q148" s="393" t="str">
        <f>IF(A148="","",Calculation!$F$13)</f>
        <v/>
      </c>
      <c r="R148" s="394" t="str">
        <f>IF(A148="","",Calculation!X154)</f>
        <v/>
      </c>
      <c r="S148" s="393" t="str">
        <f>IF(A148="","",Calculation!T154)</f>
        <v/>
      </c>
      <c r="T148" s="395" t="str">
        <f>IF(A148="","",IF(Calculation!$O$8="None","Water",CONCATENATE(Calculation!$O$8,"-",Calculation!$S$8,"%")))</f>
        <v/>
      </c>
      <c r="U148" s="393" t="str">
        <f>IF(A148="","",Calculation!$P$6)</f>
        <v/>
      </c>
      <c r="V148" s="393" t="str">
        <f>IF(A148="","",Calculation!AT154)</f>
        <v/>
      </c>
      <c r="W148" s="396" t="str">
        <f>IF(A148="","",Calculation!AP154)</f>
        <v/>
      </c>
      <c r="X148" s="396" t="str">
        <f>IF(A148="","",Calculation!AO154)</f>
        <v/>
      </c>
      <c r="Y148" s="396" t="str">
        <f>IF(A148="","",Calculation!AQ154)</f>
        <v/>
      </c>
      <c r="Z148" s="396" t="str">
        <f>IF(A148="","",Calculation!$H$6)</f>
        <v/>
      </c>
      <c r="AA148" s="397" t="str">
        <f>IF(A148="","",Calculation!$H$13)</f>
        <v/>
      </c>
      <c r="AB148" s="397" t="str">
        <f>IF(A148="","",Calculation!U154)</f>
        <v/>
      </c>
      <c r="AC148" s="398" t="str">
        <f>IF(A148="","",IF(Calculation!$O$9="None","Water",CONCATENATE(Calculation!$O$9,"-",Calculation!$S$9,"%")))</f>
        <v/>
      </c>
      <c r="AD148" s="396" t="str">
        <f>IF(A148="","",Calculation!$S$6)</f>
        <v/>
      </c>
      <c r="AE148" s="399" t="str">
        <f>IF(A148="","",Calculation!BA154)</f>
        <v/>
      </c>
      <c r="AF148" s="396" t="str">
        <f>IF(A148="","",Calculation!AX154)</f>
        <v/>
      </c>
      <c r="AG148" s="396" t="str">
        <f>IF(A148="","",Calculation!AW154)</f>
        <v/>
      </c>
      <c r="AH148" s="391" t="str">
        <f>IF(A148="","",Calculation!AY154)</f>
        <v/>
      </c>
      <c r="AI148" s="391" t="str">
        <f>IF(A148="","",Calculation!Y154)</f>
        <v/>
      </c>
      <c r="AJ148" s="401" t="str">
        <f>IF(Calculation!BD154&gt;0,Calculation!BD154," ")</f>
        <v xml:space="preserve"> </v>
      </c>
      <c r="AK148" s="401" t="str">
        <f>IF(Calculation!BD154&gt;0,Calculation!BE154," ")</f>
        <v xml:space="preserve"> </v>
      </c>
      <c r="AL148" s="401" t="str">
        <f>IF(Calculation!BD154&gt;0,Calculation!BF154," ")</f>
        <v xml:space="preserve"> </v>
      </c>
      <c r="AM148" s="401" t="str">
        <f>IF(Calculation!BD154&gt;0,Calculation!BG154," ")</f>
        <v xml:space="preserve"> </v>
      </c>
      <c r="AN148" s="391" t="str">
        <f>IF(Calculation!BH154="N/A","N/A",Calculation!BH154)</f>
        <v xml:space="preserve"> </v>
      </c>
      <c r="AO148" s="402" t="str">
        <f>IF(Calculation!BI154="N/A","N/A",Calculation!BI154)</f>
        <v/>
      </c>
      <c r="AP148" s="391" t="str">
        <f>IF(Calculation!BJ154="N/A","N/A",Calculation!BJ154)</f>
        <v/>
      </c>
      <c r="AQ148" s="402" t="str">
        <f>IF(Calculation!BK154="N/A","N/A",Calculation!BK154)</f>
        <v/>
      </c>
      <c r="AR148" s="391" t="str">
        <f>IF(Calculation!BL154="N/A","N/A",Calculation!BL154)</f>
        <v/>
      </c>
      <c r="AS148" s="402" t="str">
        <f>IF(Calculation!BM154="N/A","N/A",Calculation!BM154)</f>
        <v/>
      </c>
      <c r="AT148" s="400"/>
    </row>
    <row r="149" spans="1:46" ht="12.75" customHeight="1">
      <c r="A149" s="224" t="str">
        <f>IF(Calculation!BN155="","",CONCATENATE(Calculation!BO155,"-",Calculation!R155,"-",Calculation!S155,"-",Calculation!T155,"-",Calculation!U155))</f>
        <v/>
      </c>
      <c r="B149" s="224">
        <v>134</v>
      </c>
      <c r="C149" s="629" t="str">
        <f>IF(A149="","",Calculation!B155)</f>
        <v/>
      </c>
      <c r="D149" s="386" t="str">
        <f>IF(A149="","",Calculation!L155)</f>
        <v/>
      </c>
      <c r="E149" s="387" t="str">
        <f>IF(A149="","",Calculation!J155)</f>
        <v/>
      </c>
      <c r="F149" s="387" t="str">
        <f>IF(A149="","",Calculation!C155)</f>
        <v/>
      </c>
      <c r="G149" s="387" t="str">
        <f>IF(A149="","",LEFT(Calculation!O155,6))</f>
        <v/>
      </c>
      <c r="H149" s="388" t="str">
        <f>IF(A149="","",Calculation!DX155)</f>
        <v/>
      </c>
      <c r="I149" s="387" t="str">
        <f>IF(A149="","",Calculation!P155)</f>
        <v/>
      </c>
      <c r="J149" s="387" t="str">
        <f>IF(A149="","",HLOOKUP(LEFT(Calculation!BO155,7),LookUps!$C$38:$M$41,4))</f>
        <v/>
      </c>
      <c r="K149" s="387" t="str">
        <f>IF(A149="","",Calculation!M155)</f>
        <v/>
      </c>
      <c r="L149" s="387" t="str">
        <f>IF(A149="","",Calculation!S155)</f>
        <v/>
      </c>
      <c r="M149" s="389" t="str">
        <f>IF(A149="","",Calculation!N155)</f>
        <v/>
      </c>
      <c r="N149" s="390" t="str">
        <f>IF(A149="","",Calculation!R155)</f>
        <v/>
      </c>
      <c r="O149" s="391" t="str">
        <f>IF(A149="","",Calculation!$F$6)</f>
        <v/>
      </c>
      <c r="P149" s="392" t="str">
        <f>IF(A149="","",Calculation!$F$7)</f>
        <v/>
      </c>
      <c r="Q149" s="393" t="str">
        <f>IF(A149="","",Calculation!$F$13)</f>
        <v/>
      </c>
      <c r="R149" s="394" t="str">
        <f>IF(A149="","",Calculation!X155)</f>
        <v/>
      </c>
      <c r="S149" s="393" t="str">
        <f>IF(A149="","",Calculation!T155)</f>
        <v/>
      </c>
      <c r="T149" s="395" t="str">
        <f>IF(A149="","",IF(Calculation!$O$8="None","Water",CONCATENATE(Calculation!$O$8,"-",Calculation!$S$8,"%")))</f>
        <v/>
      </c>
      <c r="U149" s="393" t="str">
        <f>IF(A149="","",Calculation!$P$6)</f>
        <v/>
      </c>
      <c r="V149" s="393" t="str">
        <f>IF(A149="","",Calculation!AT155)</f>
        <v/>
      </c>
      <c r="W149" s="396" t="str">
        <f>IF(A149="","",Calculation!AP155)</f>
        <v/>
      </c>
      <c r="X149" s="396" t="str">
        <f>IF(A149="","",Calculation!AO155)</f>
        <v/>
      </c>
      <c r="Y149" s="396" t="str">
        <f>IF(A149="","",Calculation!AQ155)</f>
        <v/>
      </c>
      <c r="Z149" s="396" t="str">
        <f>IF(A149="","",Calculation!$H$6)</f>
        <v/>
      </c>
      <c r="AA149" s="397" t="str">
        <f>IF(A149="","",Calculation!$H$13)</f>
        <v/>
      </c>
      <c r="AB149" s="397" t="str">
        <f>IF(A149="","",Calculation!U155)</f>
        <v/>
      </c>
      <c r="AC149" s="398" t="str">
        <f>IF(A149="","",IF(Calculation!$O$9="None","Water",CONCATENATE(Calculation!$O$9,"-",Calculation!$S$9,"%")))</f>
        <v/>
      </c>
      <c r="AD149" s="396" t="str">
        <f>IF(A149="","",Calculation!$S$6)</f>
        <v/>
      </c>
      <c r="AE149" s="399" t="str">
        <f>IF(A149="","",Calculation!BA155)</f>
        <v/>
      </c>
      <c r="AF149" s="396" t="str">
        <f>IF(A149="","",Calculation!AX155)</f>
        <v/>
      </c>
      <c r="AG149" s="396" t="str">
        <f>IF(A149="","",Calculation!AW155)</f>
        <v/>
      </c>
      <c r="AH149" s="391" t="str">
        <f>IF(A149="","",Calculation!AY155)</f>
        <v/>
      </c>
      <c r="AI149" s="391" t="str">
        <f>IF(A149="","",Calculation!Y155)</f>
        <v/>
      </c>
      <c r="AJ149" s="401" t="str">
        <f>IF(Calculation!BD155&gt;0,Calculation!BD155," ")</f>
        <v xml:space="preserve"> </v>
      </c>
      <c r="AK149" s="401" t="str">
        <f>IF(Calculation!BD155&gt;0,Calculation!BE155," ")</f>
        <v xml:space="preserve"> </v>
      </c>
      <c r="AL149" s="401" t="str">
        <f>IF(Calculation!BD155&gt;0,Calculation!BF155," ")</f>
        <v xml:space="preserve"> </v>
      </c>
      <c r="AM149" s="401" t="str">
        <f>IF(Calculation!BD155&gt;0,Calculation!BG155," ")</f>
        <v xml:space="preserve"> </v>
      </c>
      <c r="AN149" s="391" t="str">
        <f>IF(Calculation!BH155="N/A","N/A",Calculation!BH155)</f>
        <v xml:space="preserve"> </v>
      </c>
      <c r="AO149" s="402" t="str">
        <f>IF(Calculation!BI155="N/A","N/A",Calculation!BI155)</f>
        <v/>
      </c>
      <c r="AP149" s="391" t="str">
        <f>IF(Calculation!BJ155="N/A","N/A",Calculation!BJ155)</f>
        <v/>
      </c>
      <c r="AQ149" s="402" t="str">
        <f>IF(Calculation!BK155="N/A","N/A",Calculation!BK155)</f>
        <v/>
      </c>
      <c r="AR149" s="391" t="str">
        <f>IF(Calculation!BL155="N/A","N/A",Calculation!BL155)</f>
        <v/>
      </c>
      <c r="AS149" s="402" t="str">
        <f>IF(Calculation!BM155="N/A","N/A",Calculation!BM155)</f>
        <v/>
      </c>
      <c r="AT149" s="400"/>
    </row>
    <row r="150" spans="1:46" ht="12.75" customHeight="1">
      <c r="A150" s="224" t="str">
        <f>IF(Calculation!BN156="","",CONCATENATE(Calculation!BO156,"-",Calculation!R156,"-",Calculation!S156,"-",Calculation!T156,"-",Calculation!U156))</f>
        <v/>
      </c>
      <c r="B150" s="224">
        <v>135</v>
      </c>
      <c r="C150" s="629" t="str">
        <f>IF(A150="","",Calculation!B156)</f>
        <v/>
      </c>
      <c r="D150" s="386" t="str">
        <f>IF(A150="","",Calculation!L156)</f>
        <v/>
      </c>
      <c r="E150" s="387" t="str">
        <f>IF(A150="","",Calculation!J156)</f>
        <v/>
      </c>
      <c r="F150" s="387" t="str">
        <f>IF(A150="","",Calculation!C156)</f>
        <v/>
      </c>
      <c r="G150" s="387" t="str">
        <f>IF(A150="","",LEFT(Calculation!O156,6))</f>
        <v/>
      </c>
      <c r="H150" s="388" t="str">
        <f>IF(A150="","",Calculation!DX156)</f>
        <v/>
      </c>
      <c r="I150" s="387" t="str">
        <f>IF(A150="","",Calculation!P156)</f>
        <v/>
      </c>
      <c r="J150" s="387" t="str">
        <f>IF(A150="","",HLOOKUP(LEFT(Calculation!BO156,7),LookUps!$C$38:$M$41,4))</f>
        <v/>
      </c>
      <c r="K150" s="387" t="str">
        <f>IF(A150="","",Calculation!M156)</f>
        <v/>
      </c>
      <c r="L150" s="387" t="str">
        <f>IF(A150="","",Calculation!S156)</f>
        <v/>
      </c>
      <c r="M150" s="389" t="str">
        <f>IF(A150="","",Calculation!N156)</f>
        <v/>
      </c>
      <c r="N150" s="390" t="str">
        <f>IF(A150="","",Calculation!R156)</f>
        <v/>
      </c>
      <c r="O150" s="391" t="str">
        <f>IF(A150="","",Calculation!$F$6)</f>
        <v/>
      </c>
      <c r="P150" s="392" t="str">
        <f>IF(A150="","",Calculation!$F$7)</f>
        <v/>
      </c>
      <c r="Q150" s="393" t="str">
        <f>IF(A150="","",Calculation!$F$13)</f>
        <v/>
      </c>
      <c r="R150" s="394" t="str">
        <f>IF(A150="","",Calculation!X156)</f>
        <v/>
      </c>
      <c r="S150" s="393" t="str">
        <f>IF(A150="","",Calculation!T156)</f>
        <v/>
      </c>
      <c r="T150" s="395" t="str">
        <f>IF(A150="","",IF(Calculation!$O$8="None","Water",CONCATENATE(Calculation!$O$8,"-",Calculation!$S$8,"%")))</f>
        <v/>
      </c>
      <c r="U150" s="393" t="str">
        <f>IF(A150="","",Calculation!$P$6)</f>
        <v/>
      </c>
      <c r="V150" s="393" t="str">
        <f>IF(A150="","",Calculation!AT156)</f>
        <v/>
      </c>
      <c r="W150" s="396" t="str">
        <f>IF(A150="","",Calculation!AP156)</f>
        <v/>
      </c>
      <c r="X150" s="396" t="str">
        <f>IF(A150="","",Calculation!AO156)</f>
        <v/>
      </c>
      <c r="Y150" s="396" t="str">
        <f>IF(A150="","",Calculation!AQ156)</f>
        <v/>
      </c>
      <c r="Z150" s="396" t="str">
        <f>IF(A150="","",Calculation!$H$6)</f>
        <v/>
      </c>
      <c r="AA150" s="397" t="str">
        <f>IF(A150="","",Calculation!$H$13)</f>
        <v/>
      </c>
      <c r="AB150" s="397" t="str">
        <f>IF(A150="","",Calculation!U156)</f>
        <v/>
      </c>
      <c r="AC150" s="398" t="str">
        <f>IF(A150="","",IF(Calculation!$O$9="None","Water",CONCATENATE(Calculation!$O$9,"-",Calculation!$S$9,"%")))</f>
        <v/>
      </c>
      <c r="AD150" s="396" t="str">
        <f>IF(A150="","",Calculation!$S$6)</f>
        <v/>
      </c>
      <c r="AE150" s="399" t="str">
        <f>IF(A150="","",Calculation!BA156)</f>
        <v/>
      </c>
      <c r="AF150" s="396" t="str">
        <f>IF(A150="","",Calculation!AX156)</f>
        <v/>
      </c>
      <c r="AG150" s="396" t="str">
        <f>IF(A150="","",Calculation!AW156)</f>
        <v/>
      </c>
      <c r="AH150" s="391" t="str">
        <f>IF(A150="","",Calculation!AY156)</f>
        <v/>
      </c>
      <c r="AI150" s="391" t="str">
        <f>IF(A150="","",Calculation!Y156)</f>
        <v/>
      </c>
      <c r="AJ150" s="401" t="str">
        <f>IF(Calculation!BD156&gt;0,Calculation!BD156," ")</f>
        <v xml:space="preserve"> </v>
      </c>
      <c r="AK150" s="401" t="str">
        <f>IF(Calculation!BD156&gt;0,Calculation!BE156," ")</f>
        <v xml:space="preserve"> </v>
      </c>
      <c r="AL150" s="401" t="str">
        <f>IF(Calculation!BD156&gt;0,Calculation!BF156," ")</f>
        <v xml:space="preserve"> </v>
      </c>
      <c r="AM150" s="401" t="str">
        <f>IF(Calculation!BD156&gt;0,Calculation!BG156," ")</f>
        <v xml:space="preserve"> </v>
      </c>
      <c r="AN150" s="391" t="str">
        <f>IF(Calculation!BH156="N/A","N/A",Calculation!BH156)</f>
        <v xml:space="preserve"> </v>
      </c>
      <c r="AO150" s="402" t="str">
        <f>IF(Calculation!BI156="N/A","N/A",Calculation!BI156)</f>
        <v/>
      </c>
      <c r="AP150" s="391" t="str">
        <f>IF(Calculation!BJ156="N/A","N/A",Calculation!BJ156)</f>
        <v/>
      </c>
      <c r="AQ150" s="402" t="str">
        <f>IF(Calculation!BK156="N/A","N/A",Calculation!BK156)</f>
        <v/>
      </c>
      <c r="AR150" s="391" t="str">
        <f>IF(Calculation!BL156="N/A","N/A",Calculation!BL156)</f>
        <v/>
      </c>
      <c r="AS150" s="402" t="str">
        <f>IF(Calculation!BM156="N/A","N/A",Calculation!BM156)</f>
        <v/>
      </c>
      <c r="AT150" s="400"/>
    </row>
    <row r="151" spans="1:46" ht="12.75" customHeight="1">
      <c r="A151" s="224" t="str">
        <f>IF(Calculation!BN157="","",CONCATENATE(Calculation!BO157,"-",Calculation!R157,"-",Calculation!S157,"-",Calculation!T157,"-",Calculation!U157))</f>
        <v/>
      </c>
      <c r="B151" s="224">
        <v>136</v>
      </c>
      <c r="C151" s="629" t="str">
        <f>IF(A151="","",Calculation!B157)</f>
        <v/>
      </c>
      <c r="D151" s="386" t="str">
        <f>IF(A151="","",Calculation!L157)</f>
        <v/>
      </c>
      <c r="E151" s="387" t="str">
        <f>IF(A151="","",Calculation!J157)</f>
        <v/>
      </c>
      <c r="F151" s="387" t="str">
        <f>IF(A151="","",Calculation!C157)</f>
        <v/>
      </c>
      <c r="G151" s="387" t="str">
        <f>IF(A151="","",LEFT(Calculation!O157,6))</f>
        <v/>
      </c>
      <c r="H151" s="388" t="str">
        <f>IF(A151="","",Calculation!DX157)</f>
        <v/>
      </c>
      <c r="I151" s="387" t="str">
        <f>IF(A151="","",Calculation!P157)</f>
        <v/>
      </c>
      <c r="J151" s="387" t="str">
        <f>IF(A151="","",HLOOKUP(LEFT(Calculation!BO157,7),LookUps!$C$38:$M$41,4))</f>
        <v/>
      </c>
      <c r="K151" s="387" t="str">
        <f>IF(A151="","",Calculation!M157)</f>
        <v/>
      </c>
      <c r="L151" s="387" t="str">
        <f>IF(A151="","",Calculation!S157)</f>
        <v/>
      </c>
      <c r="M151" s="389" t="str">
        <f>IF(A151="","",Calculation!N157)</f>
        <v/>
      </c>
      <c r="N151" s="390" t="str">
        <f>IF(A151="","",Calculation!R157)</f>
        <v/>
      </c>
      <c r="O151" s="391" t="str">
        <f>IF(A151="","",Calculation!$F$6)</f>
        <v/>
      </c>
      <c r="P151" s="392" t="str">
        <f>IF(A151="","",Calculation!$F$7)</f>
        <v/>
      </c>
      <c r="Q151" s="393" t="str">
        <f>IF(A151="","",Calculation!$F$13)</f>
        <v/>
      </c>
      <c r="R151" s="394" t="str">
        <f>IF(A151="","",Calculation!X157)</f>
        <v/>
      </c>
      <c r="S151" s="393" t="str">
        <f>IF(A151="","",Calculation!T157)</f>
        <v/>
      </c>
      <c r="T151" s="395" t="str">
        <f>IF(A151="","",IF(Calculation!$O$8="None","Water",CONCATENATE(Calculation!$O$8,"-",Calculation!$S$8,"%")))</f>
        <v/>
      </c>
      <c r="U151" s="393" t="str">
        <f>IF(A151="","",Calculation!$P$6)</f>
        <v/>
      </c>
      <c r="V151" s="393" t="str">
        <f>IF(A151="","",Calculation!AT157)</f>
        <v/>
      </c>
      <c r="W151" s="396" t="str">
        <f>IF(A151="","",Calculation!AP157)</f>
        <v/>
      </c>
      <c r="X151" s="396" t="str">
        <f>IF(A151="","",Calculation!AO157)</f>
        <v/>
      </c>
      <c r="Y151" s="396" t="str">
        <f>IF(A151="","",Calculation!AQ157)</f>
        <v/>
      </c>
      <c r="Z151" s="396" t="str">
        <f>IF(A151="","",Calculation!$H$6)</f>
        <v/>
      </c>
      <c r="AA151" s="397" t="str">
        <f>IF(A151="","",Calculation!$H$13)</f>
        <v/>
      </c>
      <c r="AB151" s="397" t="str">
        <f>IF(A151="","",Calculation!U157)</f>
        <v/>
      </c>
      <c r="AC151" s="398" t="str">
        <f>IF(A151="","",IF(Calculation!$O$9="None","Water",CONCATENATE(Calculation!$O$9,"-",Calculation!$S$9,"%")))</f>
        <v/>
      </c>
      <c r="AD151" s="396" t="str">
        <f>IF(A151="","",Calculation!$S$6)</f>
        <v/>
      </c>
      <c r="AE151" s="399" t="str">
        <f>IF(A151="","",Calculation!BA157)</f>
        <v/>
      </c>
      <c r="AF151" s="396" t="str">
        <f>IF(A151="","",Calculation!AX157)</f>
        <v/>
      </c>
      <c r="AG151" s="396" t="str">
        <f>IF(A151="","",Calculation!AW157)</f>
        <v/>
      </c>
      <c r="AH151" s="391" t="str">
        <f>IF(A151="","",Calculation!AY157)</f>
        <v/>
      </c>
      <c r="AI151" s="391" t="str">
        <f>IF(A151="","",Calculation!Y157)</f>
        <v/>
      </c>
      <c r="AJ151" s="401" t="str">
        <f>IF(Calculation!BD157&gt;0,Calculation!BD157," ")</f>
        <v xml:space="preserve"> </v>
      </c>
      <c r="AK151" s="401" t="str">
        <f>IF(Calculation!BD157&gt;0,Calculation!BE157," ")</f>
        <v xml:space="preserve"> </v>
      </c>
      <c r="AL151" s="401" t="str">
        <f>IF(Calculation!BD157&gt;0,Calculation!BF157," ")</f>
        <v xml:space="preserve"> </v>
      </c>
      <c r="AM151" s="401" t="str">
        <f>IF(Calculation!BD157&gt;0,Calculation!BG157," ")</f>
        <v xml:space="preserve"> </v>
      </c>
      <c r="AN151" s="391" t="str">
        <f>IF(Calculation!BH157="N/A","N/A",Calculation!BH157)</f>
        <v xml:space="preserve"> </v>
      </c>
      <c r="AO151" s="402" t="str">
        <f>IF(Calculation!BI157="N/A","N/A",Calculation!BI157)</f>
        <v/>
      </c>
      <c r="AP151" s="391" t="str">
        <f>IF(Calculation!BJ157="N/A","N/A",Calculation!BJ157)</f>
        <v/>
      </c>
      <c r="AQ151" s="402" t="str">
        <f>IF(Calculation!BK157="N/A","N/A",Calculation!BK157)</f>
        <v/>
      </c>
      <c r="AR151" s="391" t="str">
        <f>IF(Calculation!BL157="N/A","N/A",Calculation!BL157)</f>
        <v/>
      </c>
      <c r="AS151" s="402" t="str">
        <f>IF(Calculation!BM157="N/A","N/A",Calculation!BM157)</f>
        <v/>
      </c>
      <c r="AT151" s="400"/>
    </row>
    <row r="152" spans="1:46" ht="12.75" customHeight="1">
      <c r="A152" s="224" t="str">
        <f>IF(Calculation!BN158="","",CONCATENATE(Calculation!BO158,"-",Calculation!R158,"-",Calculation!S158,"-",Calculation!T158,"-",Calculation!U158))</f>
        <v/>
      </c>
      <c r="B152" s="224">
        <v>137</v>
      </c>
      <c r="C152" s="629" t="str">
        <f>IF(A152="","",Calculation!B158)</f>
        <v/>
      </c>
      <c r="D152" s="386" t="str">
        <f>IF(A152="","",Calculation!L158)</f>
        <v/>
      </c>
      <c r="E152" s="387" t="str">
        <f>IF(A152="","",Calculation!J158)</f>
        <v/>
      </c>
      <c r="F152" s="387" t="str">
        <f>IF(A152="","",Calculation!C158)</f>
        <v/>
      </c>
      <c r="G152" s="387" t="str">
        <f>IF(A152="","",LEFT(Calculation!O158,6))</f>
        <v/>
      </c>
      <c r="H152" s="388" t="str">
        <f>IF(A152="","",Calculation!DX158)</f>
        <v/>
      </c>
      <c r="I152" s="387" t="str">
        <f>IF(A152="","",Calculation!P158)</f>
        <v/>
      </c>
      <c r="J152" s="387" t="str">
        <f>IF(A152="","",HLOOKUP(LEFT(Calculation!BO158,7),LookUps!$C$38:$M$41,4))</f>
        <v/>
      </c>
      <c r="K152" s="387" t="str">
        <f>IF(A152="","",Calculation!M158)</f>
        <v/>
      </c>
      <c r="L152" s="387" t="str">
        <f>IF(A152="","",Calculation!S158)</f>
        <v/>
      </c>
      <c r="M152" s="389" t="str">
        <f>IF(A152="","",Calculation!N158)</f>
        <v/>
      </c>
      <c r="N152" s="390" t="str">
        <f>IF(A152="","",Calculation!R158)</f>
        <v/>
      </c>
      <c r="O152" s="391" t="str">
        <f>IF(A152="","",Calculation!$F$6)</f>
        <v/>
      </c>
      <c r="P152" s="392" t="str">
        <f>IF(A152="","",Calculation!$F$7)</f>
        <v/>
      </c>
      <c r="Q152" s="393" t="str">
        <f>IF(A152="","",Calculation!$F$13)</f>
        <v/>
      </c>
      <c r="R152" s="394" t="str">
        <f>IF(A152="","",Calculation!X158)</f>
        <v/>
      </c>
      <c r="S152" s="393" t="str">
        <f>IF(A152="","",Calculation!T158)</f>
        <v/>
      </c>
      <c r="T152" s="395" t="str">
        <f>IF(A152="","",IF(Calculation!$O$8="None","Water",CONCATENATE(Calculation!$O$8,"-",Calculation!$S$8,"%")))</f>
        <v/>
      </c>
      <c r="U152" s="393" t="str">
        <f>IF(A152="","",Calculation!$P$6)</f>
        <v/>
      </c>
      <c r="V152" s="393" t="str">
        <f>IF(A152="","",Calculation!AT158)</f>
        <v/>
      </c>
      <c r="W152" s="396" t="str">
        <f>IF(A152="","",Calculation!AP158)</f>
        <v/>
      </c>
      <c r="X152" s="396" t="str">
        <f>IF(A152="","",Calculation!AO158)</f>
        <v/>
      </c>
      <c r="Y152" s="396" t="str">
        <f>IF(A152="","",Calculation!AQ158)</f>
        <v/>
      </c>
      <c r="Z152" s="396" t="str">
        <f>IF(A152="","",Calculation!$H$6)</f>
        <v/>
      </c>
      <c r="AA152" s="397" t="str">
        <f>IF(A152="","",Calculation!$H$13)</f>
        <v/>
      </c>
      <c r="AB152" s="397" t="str">
        <f>IF(A152="","",Calculation!U158)</f>
        <v/>
      </c>
      <c r="AC152" s="398" t="str">
        <f>IF(A152="","",IF(Calculation!$O$9="None","Water",CONCATENATE(Calculation!$O$9,"-",Calculation!$S$9,"%")))</f>
        <v/>
      </c>
      <c r="AD152" s="396" t="str">
        <f>IF(A152="","",Calculation!$S$6)</f>
        <v/>
      </c>
      <c r="AE152" s="399" t="str">
        <f>IF(A152="","",Calculation!BA158)</f>
        <v/>
      </c>
      <c r="AF152" s="396" t="str">
        <f>IF(A152="","",Calculation!AX158)</f>
        <v/>
      </c>
      <c r="AG152" s="396" t="str">
        <f>IF(A152="","",Calculation!AW158)</f>
        <v/>
      </c>
      <c r="AH152" s="391" t="str">
        <f>IF(A152="","",Calculation!AY158)</f>
        <v/>
      </c>
      <c r="AI152" s="391" t="str">
        <f>IF(A152="","",Calculation!Y158)</f>
        <v/>
      </c>
      <c r="AJ152" s="401" t="str">
        <f>IF(Calculation!BD158&gt;0,Calculation!BD158," ")</f>
        <v xml:space="preserve"> </v>
      </c>
      <c r="AK152" s="401" t="str">
        <f>IF(Calculation!BD158&gt;0,Calculation!BE158," ")</f>
        <v xml:space="preserve"> </v>
      </c>
      <c r="AL152" s="401" t="str">
        <f>IF(Calculation!BD158&gt;0,Calculation!BF158," ")</f>
        <v xml:space="preserve"> </v>
      </c>
      <c r="AM152" s="401" t="str">
        <f>IF(Calculation!BD158&gt;0,Calculation!BG158," ")</f>
        <v xml:space="preserve"> </v>
      </c>
      <c r="AN152" s="391" t="str">
        <f>IF(Calculation!BH158="N/A","N/A",Calculation!BH158)</f>
        <v xml:space="preserve"> </v>
      </c>
      <c r="AO152" s="402" t="str">
        <f>IF(Calculation!BI158="N/A","N/A",Calculation!BI158)</f>
        <v/>
      </c>
      <c r="AP152" s="391" t="str">
        <f>IF(Calculation!BJ158="N/A","N/A",Calculation!BJ158)</f>
        <v/>
      </c>
      <c r="AQ152" s="402" t="str">
        <f>IF(Calculation!BK158="N/A","N/A",Calculation!BK158)</f>
        <v/>
      </c>
      <c r="AR152" s="391" t="str">
        <f>IF(Calculation!BL158="N/A","N/A",Calculation!BL158)</f>
        <v/>
      </c>
      <c r="AS152" s="402" t="str">
        <f>IF(Calculation!BM158="N/A","N/A",Calculation!BM158)</f>
        <v/>
      </c>
      <c r="AT152" s="400"/>
    </row>
    <row r="153" spans="1:46" ht="12.75" customHeight="1">
      <c r="A153" s="224" t="str">
        <f>IF(Calculation!BN159="","",CONCATENATE(Calculation!BO159,"-",Calculation!R159,"-",Calculation!S159,"-",Calculation!T159,"-",Calculation!U159))</f>
        <v/>
      </c>
      <c r="B153" s="224">
        <v>138</v>
      </c>
      <c r="C153" s="629" t="str">
        <f>IF(A153="","",Calculation!B159)</f>
        <v/>
      </c>
      <c r="D153" s="386" t="str">
        <f>IF(A153="","",Calculation!L159)</f>
        <v/>
      </c>
      <c r="E153" s="387" t="str">
        <f>IF(A153="","",Calculation!J159)</f>
        <v/>
      </c>
      <c r="F153" s="387" t="str">
        <f>IF(A153="","",Calculation!C159)</f>
        <v/>
      </c>
      <c r="G153" s="387" t="str">
        <f>IF(A153="","",LEFT(Calculation!O159,6))</f>
        <v/>
      </c>
      <c r="H153" s="388" t="str">
        <f>IF(A153="","",Calculation!DX159)</f>
        <v/>
      </c>
      <c r="I153" s="387" t="str">
        <f>IF(A153="","",Calculation!P159)</f>
        <v/>
      </c>
      <c r="J153" s="387" t="str">
        <f>IF(A153="","",HLOOKUP(LEFT(Calculation!BO159,7),LookUps!$C$38:$M$41,4))</f>
        <v/>
      </c>
      <c r="K153" s="387" t="str">
        <f>IF(A153="","",Calculation!M159)</f>
        <v/>
      </c>
      <c r="L153" s="387" t="str">
        <f>IF(A153="","",Calculation!S159)</f>
        <v/>
      </c>
      <c r="M153" s="389" t="str">
        <f>IF(A153="","",Calculation!N159)</f>
        <v/>
      </c>
      <c r="N153" s="390" t="str">
        <f>IF(A153="","",Calculation!R159)</f>
        <v/>
      </c>
      <c r="O153" s="391" t="str">
        <f>IF(A153="","",Calculation!$F$6)</f>
        <v/>
      </c>
      <c r="P153" s="392" t="str">
        <f>IF(A153="","",Calculation!$F$7)</f>
        <v/>
      </c>
      <c r="Q153" s="393" t="str">
        <f>IF(A153="","",Calculation!$F$13)</f>
        <v/>
      </c>
      <c r="R153" s="394" t="str">
        <f>IF(A153="","",Calculation!X159)</f>
        <v/>
      </c>
      <c r="S153" s="393" t="str">
        <f>IF(A153="","",Calculation!T159)</f>
        <v/>
      </c>
      <c r="T153" s="395" t="str">
        <f>IF(A153="","",IF(Calculation!$O$8="None","Water",CONCATENATE(Calculation!$O$8,"-",Calculation!$S$8,"%")))</f>
        <v/>
      </c>
      <c r="U153" s="393" t="str">
        <f>IF(A153="","",Calculation!$P$6)</f>
        <v/>
      </c>
      <c r="V153" s="393" t="str">
        <f>IF(A153="","",Calculation!AT159)</f>
        <v/>
      </c>
      <c r="W153" s="396" t="str">
        <f>IF(A153="","",Calculation!AP159)</f>
        <v/>
      </c>
      <c r="X153" s="396" t="str">
        <f>IF(A153="","",Calculation!AO159)</f>
        <v/>
      </c>
      <c r="Y153" s="396" t="str">
        <f>IF(A153="","",Calculation!AQ159)</f>
        <v/>
      </c>
      <c r="Z153" s="396" t="str">
        <f>IF(A153="","",Calculation!$H$6)</f>
        <v/>
      </c>
      <c r="AA153" s="397" t="str">
        <f>IF(A153="","",Calculation!$H$13)</f>
        <v/>
      </c>
      <c r="AB153" s="397" t="str">
        <f>IF(A153="","",Calculation!U159)</f>
        <v/>
      </c>
      <c r="AC153" s="398" t="str">
        <f>IF(A153="","",IF(Calculation!$O$9="None","Water",CONCATENATE(Calculation!$O$9,"-",Calculation!$S$9,"%")))</f>
        <v/>
      </c>
      <c r="AD153" s="396" t="str">
        <f>IF(A153="","",Calculation!$S$6)</f>
        <v/>
      </c>
      <c r="AE153" s="399" t="str">
        <f>IF(A153="","",Calculation!BA159)</f>
        <v/>
      </c>
      <c r="AF153" s="396" t="str">
        <f>IF(A153="","",Calculation!AX159)</f>
        <v/>
      </c>
      <c r="AG153" s="396" t="str">
        <f>IF(A153="","",Calculation!AW159)</f>
        <v/>
      </c>
      <c r="AH153" s="391" t="str">
        <f>IF(A153="","",Calculation!AY159)</f>
        <v/>
      </c>
      <c r="AI153" s="391" t="str">
        <f>IF(A153="","",Calculation!Y159)</f>
        <v/>
      </c>
      <c r="AJ153" s="401" t="str">
        <f>IF(Calculation!BD159&gt;0,Calculation!BD159," ")</f>
        <v xml:space="preserve"> </v>
      </c>
      <c r="AK153" s="401" t="str">
        <f>IF(Calculation!BD159&gt;0,Calculation!BE159," ")</f>
        <v xml:space="preserve"> </v>
      </c>
      <c r="AL153" s="401" t="str">
        <f>IF(Calculation!BD159&gt;0,Calculation!BF159," ")</f>
        <v xml:space="preserve"> </v>
      </c>
      <c r="AM153" s="401" t="str">
        <f>IF(Calculation!BD159&gt;0,Calculation!BG159," ")</f>
        <v xml:space="preserve"> </v>
      </c>
      <c r="AN153" s="391" t="str">
        <f>IF(Calculation!BH159="N/A","N/A",Calculation!BH159)</f>
        <v xml:space="preserve"> </v>
      </c>
      <c r="AO153" s="402" t="str">
        <f>IF(Calculation!BI159="N/A","N/A",Calculation!BI159)</f>
        <v/>
      </c>
      <c r="AP153" s="391" t="str">
        <f>IF(Calculation!BJ159="N/A","N/A",Calculation!BJ159)</f>
        <v/>
      </c>
      <c r="AQ153" s="402" t="str">
        <f>IF(Calculation!BK159="N/A","N/A",Calculation!BK159)</f>
        <v/>
      </c>
      <c r="AR153" s="391" t="str">
        <f>IF(Calculation!BL159="N/A","N/A",Calculation!BL159)</f>
        <v/>
      </c>
      <c r="AS153" s="402" t="str">
        <f>IF(Calculation!BM159="N/A","N/A",Calculation!BM159)</f>
        <v/>
      </c>
      <c r="AT153" s="400"/>
    </row>
    <row r="154" spans="1:46" ht="12.75" customHeight="1">
      <c r="A154" s="224" t="str">
        <f>IF(Calculation!BN160="","",CONCATENATE(Calculation!BO160,"-",Calculation!R160,"-",Calculation!S160,"-",Calculation!T160,"-",Calculation!U160))</f>
        <v/>
      </c>
      <c r="B154" s="224">
        <v>139</v>
      </c>
      <c r="C154" s="629" t="str">
        <f>IF(A154="","",Calculation!B160)</f>
        <v/>
      </c>
      <c r="D154" s="386" t="str">
        <f>IF(A154="","",Calculation!L160)</f>
        <v/>
      </c>
      <c r="E154" s="387" t="str">
        <f>IF(A154="","",Calculation!J160)</f>
        <v/>
      </c>
      <c r="F154" s="387" t="str">
        <f>IF(A154="","",Calculation!C160)</f>
        <v/>
      </c>
      <c r="G154" s="387" t="str">
        <f>IF(A154="","",LEFT(Calculation!O160,6))</f>
        <v/>
      </c>
      <c r="H154" s="388" t="str">
        <f>IF(A154="","",Calculation!DX160)</f>
        <v/>
      </c>
      <c r="I154" s="387" t="str">
        <f>IF(A154="","",Calculation!P160)</f>
        <v/>
      </c>
      <c r="J154" s="387" t="str">
        <f>IF(A154="","",HLOOKUP(LEFT(Calculation!BO160,7),LookUps!$C$38:$M$41,4))</f>
        <v/>
      </c>
      <c r="K154" s="387" t="str">
        <f>IF(A154="","",Calculation!M160)</f>
        <v/>
      </c>
      <c r="L154" s="387" t="str">
        <f>IF(A154="","",Calculation!S160)</f>
        <v/>
      </c>
      <c r="M154" s="389" t="str">
        <f>IF(A154="","",Calculation!N160)</f>
        <v/>
      </c>
      <c r="N154" s="390" t="str">
        <f>IF(A154="","",Calculation!R160)</f>
        <v/>
      </c>
      <c r="O154" s="391" t="str">
        <f>IF(A154="","",Calculation!$F$6)</f>
        <v/>
      </c>
      <c r="P154" s="392" t="str">
        <f>IF(A154="","",Calculation!$F$7)</f>
        <v/>
      </c>
      <c r="Q154" s="393" t="str">
        <f>IF(A154="","",Calculation!$F$13)</f>
        <v/>
      </c>
      <c r="R154" s="394" t="str">
        <f>IF(A154="","",Calculation!X160)</f>
        <v/>
      </c>
      <c r="S154" s="393" t="str">
        <f>IF(A154="","",Calculation!T160)</f>
        <v/>
      </c>
      <c r="T154" s="395" t="str">
        <f>IF(A154="","",IF(Calculation!$O$8="None","Water",CONCATENATE(Calculation!$O$8,"-",Calculation!$S$8,"%")))</f>
        <v/>
      </c>
      <c r="U154" s="393" t="str">
        <f>IF(A154="","",Calculation!$P$6)</f>
        <v/>
      </c>
      <c r="V154" s="393" t="str">
        <f>IF(A154="","",Calculation!AT160)</f>
        <v/>
      </c>
      <c r="W154" s="396" t="str">
        <f>IF(A154="","",Calculation!AP160)</f>
        <v/>
      </c>
      <c r="X154" s="396" t="str">
        <f>IF(A154="","",Calculation!AO160)</f>
        <v/>
      </c>
      <c r="Y154" s="396" t="str">
        <f>IF(A154="","",Calculation!AQ160)</f>
        <v/>
      </c>
      <c r="Z154" s="396" t="str">
        <f>IF(A154="","",Calculation!$H$6)</f>
        <v/>
      </c>
      <c r="AA154" s="397" t="str">
        <f>IF(A154="","",Calculation!$H$13)</f>
        <v/>
      </c>
      <c r="AB154" s="397" t="str">
        <f>IF(A154="","",Calculation!U160)</f>
        <v/>
      </c>
      <c r="AC154" s="398" t="str">
        <f>IF(A154="","",IF(Calculation!$O$9="None","Water",CONCATENATE(Calculation!$O$9,"-",Calculation!$S$9,"%")))</f>
        <v/>
      </c>
      <c r="AD154" s="396" t="str">
        <f>IF(A154="","",Calculation!$S$6)</f>
        <v/>
      </c>
      <c r="AE154" s="399" t="str">
        <f>IF(A154="","",Calculation!BA160)</f>
        <v/>
      </c>
      <c r="AF154" s="396" t="str">
        <f>IF(A154="","",Calculation!AX160)</f>
        <v/>
      </c>
      <c r="AG154" s="396" t="str">
        <f>IF(A154="","",Calculation!AW160)</f>
        <v/>
      </c>
      <c r="AH154" s="391" t="str">
        <f>IF(A154="","",Calculation!AY160)</f>
        <v/>
      </c>
      <c r="AI154" s="391" t="str">
        <f>IF(A154="","",Calculation!Y160)</f>
        <v/>
      </c>
      <c r="AJ154" s="401" t="str">
        <f>IF(Calculation!BD160&gt;0,Calculation!BD160," ")</f>
        <v xml:space="preserve"> </v>
      </c>
      <c r="AK154" s="401" t="str">
        <f>IF(Calculation!BD160&gt;0,Calculation!BE160," ")</f>
        <v xml:space="preserve"> </v>
      </c>
      <c r="AL154" s="401" t="str">
        <f>IF(Calculation!BD160&gt;0,Calculation!BF160," ")</f>
        <v xml:space="preserve"> </v>
      </c>
      <c r="AM154" s="401" t="str">
        <f>IF(Calculation!BD160&gt;0,Calculation!BG160," ")</f>
        <v xml:space="preserve"> </v>
      </c>
      <c r="AN154" s="391" t="str">
        <f>IF(Calculation!BH160="N/A","N/A",Calculation!BH160)</f>
        <v xml:space="preserve"> </v>
      </c>
      <c r="AO154" s="402" t="str">
        <f>IF(Calculation!BI160="N/A","N/A",Calculation!BI160)</f>
        <v/>
      </c>
      <c r="AP154" s="391" t="str">
        <f>IF(Calculation!BJ160="N/A","N/A",Calculation!BJ160)</f>
        <v/>
      </c>
      <c r="AQ154" s="402" t="str">
        <f>IF(Calculation!BK160="N/A","N/A",Calculation!BK160)</f>
        <v/>
      </c>
      <c r="AR154" s="391" t="str">
        <f>IF(Calculation!BL160="N/A","N/A",Calculation!BL160)</f>
        <v/>
      </c>
      <c r="AS154" s="402" t="str">
        <f>IF(Calculation!BM160="N/A","N/A",Calculation!BM160)</f>
        <v/>
      </c>
      <c r="AT154" s="400"/>
    </row>
    <row r="155" spans="1:46" ht="12.75" customHeight="1">
      <c r="A155" s="224" t="str">
        <f>IF(Calculation!BN161="","",CONCATENATE(Calculation!BO161,"-",Calculation!R161,"-",Calculation!S161,"-",Calculation!T161,"-",Calculation!U161))</f>
        <v/>
      </c>
      <c r="B155" s="224">
        <v>140</v>
      </c>
      <c r="C155" s="629" t="str">
        <f>IF(A155="","",Calculation!B161)</f>
        <v/>
      </c>
      <c r="D155" s="386" t="str">
        <f>IF(A155="","",Calculation!L161)</f>
        <v/>
      </c>
      <c r="E155" s="387" t="str">
        <f>IF(A155="","",Calculation!J161)</f>
        <v/>
      </c>
      <c r="F155" s="387" t="str">
        <f>IF(A155="","",Calculation!C161)</f>
        <v/>
      </c>
      <c r="G155" s="387" t="str">
        <f>IF(A155="","",LEFT(Calculation!O161,6))</f>
        <v/>
      </c>
      <c r="H155" s="388" t="str">
        <f>IF(A155="","",Calculation!DX161)</f>
        <v/>
      </c>
      <c r="I155" s="387" t="str">
        <f>IF(A155="","",Calculation!P161)</f>
        <v/>
      </c>
      <c r="J155" s="387" t="str">
        <f>IF(A155="","",HLOOKUP(LEFT(Calculation!BO161,7),LookUps!$C$38:$M$41,4))</f>
        <v/>
      </c>
      <c r="K155" s="387" t="str">
        <f>IF(A155="","",Calculation!M161)</f>
        <v/>
      </c>
      <c r="L155" s="387" t="str">
        <f>IF(A155="","",Calculation!S161)</f>
        <v/>
      </c>
      <c r="M155" s="389" t="str">
        <f>IF(A155="","",Calculation!N161)</f>
        <v/>
      </c>
      <c r="N155" s="390" t="str">
        <f>IF(A155="","",Calculation!R161)</f>
        <v/>
      </c>
      <c r="O155" s="391" t="str">
        <f>IF(A155="","",Calculation!$F$6)</f>
        <v/>
      </c>
      <c r="P155" s="392" t="str">
        <f>IF(A155="","",Calculation!$F$7)</f>
        <v/>
      </c>
      <c r="Q155" s="393" t="str">
        <f>IF(A155="","",Calculation!$F$13)</f>
        <v/>
      </c>
      <c r="R155" s="394" t="str">
        <f>IF(A155="","",Calculation!X161)</f>
        <v/>
      </c>
      <c r="S155" s="393" t="str">
        <f>IF(A155="","",Calculation!T161)</f>
        <v/>
      </c>
      <c r="T155" s="395" t="str">
        <f>IF(A155="","",IF(Calculation!$O$8="None","Water",CONCATENATE(Calculation!$O$8,"-",Calculation!$S$8,"%")))</f>
        <v/>
      </c>
      <c r="U155" s="393" t="str">
        <f>IF(A155="","",Calculation!$P$6)</f>
        <v/>
      </c>
      <c r="V155" s="393" t="str">
        <f>IF(A155="","",Calculation!AT161)</f>
        <v/>
      </c>
      <c r="W155" s="396" t="str">
        <f>IF(A155="","",Calculation!AP161)</f>
        <v/>
      </c>
      <c r="X155" s="396" t="str">
        <f>IF(A155="","",Calculation!AO161)</f>
        <v/>
      </c>
      <c r="Y155" s="396" t="str">
        <f>IF(A155="","",Calculation!AQ161)</f>
        <v/>
      </c>
      <c r="Z155" s="396" t="str">
        <f>IF(A155="","",Calculation!$H$6)</f>
        <v/>
      </c>
      <c r="AA155" s="397" t="str">
        <f>IF(A155="","",Calculation!$H$13)</f>
        <v/>
      </c>
      <c r="AB155" s="397" t="str">
        <f>IF(A155="","",Calculation!U161)</f>
        <v/>
      </c>
      <c r="AC155" s="398" t="str">
        <f>IF(A155="","",IF(Calculation!$O$9="None","Water",CONCATENATE(Calculation!$O$9,"-",Calculation!$S$9,"%")))</f>
        <v/>
      </c>
      <c r="AD155" s="396" t="str">
        <f>IF(A155="","",Calculation!$S$6)</f>
        <v/>
      </c>
      <c r="AE155" s="399" t="str">
        <f>IF(A155="","",Calculation!BA161)</f>
        <v/>
      </c>
      <c r="AF155" s="396" t="str">
        <f>IF(A155="","",Calculation!AX161)</f>
        <v/>
      </c>
      <c r="AG155" s="396" t="str">
        <f>IF(A155="","",Calculation!AW161)</f>
        <v/>
      </c>
      <c r="AH155" s="391" t="str">
        <f>IF(A155="","",Calculation!AY161)</f>
        <v/>
      </c>
      <c r="AI155" s="391" t="str">
        <f>IF(A155="","",Calculation!Y161)</f>
        <v/>
      </c>
      <c r="AJ155" s="401" t="str">
        <f>IF(Calculation!BD161&gt;0,Calculation!BD161," ")</f>
        <v xml:space="preserve"> </v>
      </c>
      <c r="AK155" s="401" t="str">
        <f>IF(Calculation!BD161&gt;0,Calculation!BE161," ")</f>
        <v xml:space="preserve"> </v>
      </c>
      <c r="AL155" s="401" t="str">
        <f>IF(Calculation!BD161&gt;0,Calculation!BF161," ")</f>
        <v xml:space="preserve"> </v>
      </c>
      <c r="AM155" s="401" t="str">
        <f>IF(Calculation!BD161&gt;0,Calculation!BG161," ")</f>
        <v xml:space="preserve"> </v>
      </c>
      <c r="AN155" s="391" t="str">
        <f>IF(Calculation!BH161="N/A","N/A",Calculation!BH161)</f>
        <v xml:space="preserve"> </v>
      </c>
      <c r="AO155" s="402" t="str">
        <f>IF(Calculation!BI161="N/A","N/A",Calculation!BI161)</f>
        <v/>
      </c>
      <c r="AP155" s="391" t="str">
        <f>IF(Calculation!BJ161="N/A","N/A",Calculation!BJ161)</f>
        <v/>
      </c>
      <c r="AQ155" s="402" t="str">
        <f>IF(Calculation!BK161="N/A","N/A",Calculation!BK161)</f>
        <v/>
      </c>
      <c r="AR155" s="391" t="str">
        <f>IF(Calculation!BL161="N/A","N/A",Calculation!BL161)</f>
        <v/>
      </c>
      <c r="AS155" s="402" t="str">
        <f>IF(Calculation!BM161="N/A","N/A",Calculation!BM161)</f>
        <v/>
      </c>
      <c r="AT155" s="400"/>
    </row>
    <row r="156" spans="1:46" ht="12.75" customHeight="1">
      <c r="A156" s="224" t="str">
        <f>IF(Calculation!BN162="","",CONCATENATE(Calculation!BO162,"-",Calculation!R162,"-",Calculation!S162,"-",Calculation!T162,"-",Calculation!U162))</f>
        <v/>
      </c>
      <c r="B156" s="224">
        <v>141</v>
      </c>
      <c r="C156" s="629" t="str">
        <f>IF(A156="","",Calculation!B162)</f>
        <v/>
      </c>
      <c r="D156" s="386" t="str">
        <f>IF(A156="","",Calculation!L162)</f>
        <v/>
      </c>
      <c r="E156" s="387" t="str">
        <f>IF(A156="","",Calculation!J162)</f>
        <v/>
      </c>
      <c r="F156" s="387" t="str">
        <f>IF(A156="","",Calculation!C162)</f>
        <v/>
      </c>
      <c r="G156" s="387" t="str">
        <f>IF(A156="","",LEFT(Calculation!O162,6))</f>
        <v/>
      </c>
      <c r="H156" s="388" t="str">
        <f>IF(A156="","",Calculation!DX162)</f>
        <v/>
      </c>
      <c r="I156" s="387" t="str">
        <f>IF(A156="","",Calculation!P162)</f>
        <v/>
      </c>
      <c r="J156" s="387" t="str">
        <f>IF(A156="","",HLOOKUP(LEFT(Calculation!BO162,7),LookUps!$C$38:$M$41,4))</f>
        <v/>
      </c>
      <c r="K156" s="387" t="str">
        <f>IF(A156="","",Calculation!M162)</f>
        <v/>
      </c>
      <c r="L156" s="387" t="str">
        <f>IF(A156="","",Calculation!S162)</f>
        <v/>
      </c>
      <c r="M156" s="389" t="str">
        <f>IF(A156="","",Calculation!N162)</f>
        <v/>
      </c>
      <c r="N156" s="390" t="str">
        <f>IF(A156="","",Calculation!R162)</f>
        <v/>
      </c>
      <c r="O156" s="391" t="str">
        <f>IF(A156="","",Calculation!$F$6)</f>
        <v/>
      </c>
      <c r="P156" s="392" t="str">
        <f>IF(A156="","",Calculation!$F$7)</f>
        <v/>
      </c>
      <c r="Q156" s="393" t="str">
        <f>IF(A156="","",Calculation!$F$13)</f>
        <v/>
      </c>
      <c r="R156" s="394" t="str">
        <f>IF(A156="","",Calculation!X162)</f>
        <v/>
      </c>
      <c r="S156" s="393" t="str">
        <f>IF(A156="","",Calculation!T162)</f>
        <v/>
      </c>
      <c r="T156" s="395" t="str">
        <f>IF(A156="","",IF(Calculation!$O$8="None","Water",CONCATENATE(Calculation!$O$8,"-",Calculation!$S$8,"%")))</f>
        <v/>
      </c>
      <c r="U156" s="393" t="str">
        <f>IF(A156="","",Calculation!$P$6)</f>
        <v/>
      </c>
      <c r="V156" s="393" t="str">
        <f>IF(A156="","",Calculation!AT162)</f>
        <v/>
      </c>
      <c r="W156" s="396" t="str">
        <f>IF(A156="","",Calculation!AP162)</f>
        <v/>
      </c>
      <c r="X156" s="396" t="str">
        <f>IF(A156="","",Calculation!AO162)</f>
        <v/>
      </c>
      <c r="Y156" s="396" t="str">
        <f>IF(A156="","",Calculation!AQ162)</f>
        <v/>
      </c>
      <c r="Z156" s="396" t="str">
        <f>IF(A156="","",Calculation!$H$6)</f>
        <v/>
      </c>
      <c r="AA156" s="397" t="str">
        <f>IF(A156="","",Calculation!$H$13)</f>
        <v/>
      </c>
      <c r="AB156" s="397" t="str">
        <f>IF(A156="","",Calculation!U162)</f>
        <v/>
      </c>
      <c r="AC156" s="398" t="str">
        <f>IF(A156="","",IF(Calculation!$O$9="None","Water",CONCATENATE(Calculation!$O$9,"-",Calculation!$S$9,"%")))</f>
        <v/>
      </c>
      <c r="AD156" s="396" t="str">
        <f>IF(A156="","",Calculation!$S$6)</f>
        <v/>
      </c>
      <c r="AE156" s="399" t="str">
        <f>IF(A156="","",Calculation!BA162)</f>
        <v/>
      </c>
      <c r="AF156" s="396" t="str">
        <f>IF(A156="","",Calculation!AX162)</f>
        <v/>
      </c>
      <c r="AG156" s="396" t="str">
        <f>IF(A156="","",Calculation!AW162)</f>
        <v/>
      </c>
      <c r="AH156" s="391" t="str">
        <f>IF(A156="","",Calculation!AY162)</f>
        <v/>
      </c>
      <c r="AI156" s="391" t="str">
        <f>IF(A156="","",Calculation!Y162)</f>
        <v/>
      </c>
      <c r="AJ156" s="401" t="str">
        <f>IF(Calculation!BD162&gt;0,Calculation!BD162," ")</f>
        <v xml:space="preserve"> </v>
      </c>
      <c r="AK156" s="401" t="str">
        <f>IF(Calculation!BD162&gt;0,Calculation!BE162," ")</f>
        <v xml:space="preserve"> </v>
      </c>
      <c r="AL156" s="401" t="str">
        <f>IF(Calculation!BD162&gt;0,Calculation!BF162," ")</f>
        <v xml:space="preserve"> </v>
      </c>
      <c r="AM156" s="401" t="str">
        <f>IF(Calculation!BD162&gt;0,Calculation!BG162," ")</f>
        <v xml:space="preserve"> </v>
      </c>
      <c r="AN156" s="391" t="str">
        <f>IF(Calculation!BH162="N/A","N/A",Calculation!BH162)</f>
        <v xml:space="preserve"> </v>
      </c>
      <c r="AO156" s="402" t="str">
        <f>IF(Calculation!BI162="N/A","N/A",Calculation!BI162)</f>
        <v/>
      </c>
      <c r="AP156" s="391" t="str">
        <f>IF(Calculation!BJ162="N/A","N/A",Calculation!BJ162)</f>
        <v/>
      </c>
      <c r="AQ156" s="402" t="str">
        <f>IF(Calculation!BK162="N/A","N/A",Calculation!BK162)</f>
        <v/>
      </c>
      <c r="AR156" s="391" t="str">
        <f>IF(Calculation!BL162="N/A","N/A",Calculation!BL162)</f>
        <v/>
      </c>
      <c r="AS156" s="402" t="str">
        <f>IF(Calculation!BM162="N/A","N/A",Calculation!BM162)</f>
        <v/>
      </c>
      <c r="AT156" s="400"/>
    </row>
    <row r="157" spans="1:46" ht="12.75" customHeight="1">
      <c r="A157" s="224" t="str">
        <f>IF(Calculation!BN163="","",CONCATENATE(Calculation!BO163,"-",Calculation!R163,"-",Calculation!S163,"-",Calculation!T163,"-",Calculation!U163))</f>
        <v/>
      </c>
      <c r="B157" s="224">
        <v>142</v>
      </c>
      <c r="C157" s="629" t="str">
        <f>IF(A157="","",Calculation!B163)</f>
        <v/>
      </c>
      <c r="D157" s="386" t="str">
        <f>IF(A157="","",Calculation!L163)</f>
        <v/>
      </c>
      <c r="E157" s="387" t="str">
        <f>IF(A157="","",Calculation!J163)</f>
        <v/>
      </c>
      <c r="F157" s="387" t="str">
        <f>IF(A157="","",Calculation!C163)</f>
        <v/>
      </c>
      <c r="G157" s="387" t="str">
        <f>IF(A157="","",LEFT(Calculation!O163,6))</f>
        <v/>
      </c>
      <c r="H157" s="388" t="str">
        <f>IF(A157="","",Calculation!DX163)</f>
        <v/>
      </c>
      <c r="I157" s="387" t="str">
        <f>IF(A157="","",Calculation!P163)</f>
        <v/>
      </c>
      <c r="J157" s="387" t="str">
        <f>IF(A157="","",HLOOKUP(LEFT(Calculation!BO163,7),LookUps!$C$38:$M$41,4))</f>
        <v/>
      </c>
      <c r="K157" s="387" t="str">
        <f>IF(A157="","",Calculation!M163)</f>
        <v/>
      </c>
      <c r="L157" s="387" t="str">
        <f>IF(A157="","",Calculation!S163)</f>
        <v/>
      </c>
      <c r="M157" s="389" t="str">
        <f>IF(A157="","",Calculation!N163)</f>
        <v/>
      </c>
      <c r="N157" s="390" t="str">
        <f>IF(A157="","",Calculation!R163)</f>
        <v/>
      </c>
      <c r="O157" s="391" t="str">
        <f>IF(A157="","",Calculation!$F$6)</f>
        <v/>
      </c>
      <c r="P157" s="392" t="str">
        <f>IF(A157="","",Calculation!$F$7)</f>
        <v/>
      </c>
      <c r="Q157" s="393" t="str">
        <f>IF(A157="","",Calculation!$F$13)</f>
        <v/>
      </c>
      <c r="R157" s="394" t="str">
        <f>IF(A157="","",Calculation!X163)</f>
        <v/>
      </c>
      <c r="S157" s="393" t="str">
        <f>IF(A157="","",Calculation!T163)</f>
        <v/>
      </c>
      <c r="T157" s="395" t="str">
        <f>IF(A157="","",IF(Calculation!$O$8="None","Water",CONCATENATE(Calculation!$O$8,"-",Calculation!$S$8,"%")))</f>
        <v/>
      </c>
      <c r="U157" s="393" t="str">
        <f>IF(A157="","",Calculation!$P$6)</f>
        <v/>
      </c>
      <c r="V157" s="393" t="str">
        <f>IF(A157="","",Calculation!AT163)</f>
        <v/>
      </c>
      <c r="W157" s="396" t="str">
        <f>IF(A157="","",Calculation!AP163)</f>
        <v/>
      </c>
      <c r="X157" s="396" t="str">
        <f>IF(A157="","",Calculation!AO163)</f>
        <v/>
      </c>
      <c r="Y157" s="396" t="str">
        <f>IF(A157="","",Calculation!AQ163)</f>
        <v/>
      </c>
      <c r="Z157" s="396" t="str">
        <f>IF(A157="","",Calculation!$H$6)</f>
        <v/>
      </c>
      <c r="AA157" s="397" t="str">
        <f>IF(A157="","",Calculation!$H$13)</f>
        <v/>
      </c>
      <c r="AB157" s="397" t="str">
        <f>IF(A157="","",Calculation!U163)</f>
        <v/>
      </c>
      <c r="AC157" s="398" t="str">
        <f>IF(A157="","",IF(Calculation!$O$9="None","Water",CONCATENATE(Calculation!$O$9,"-",Calculation!$S$9,"%")))</f>
        <v/>
      </c>
      <c r="AD157" s="396" t="str">
        <f>IF(A157="","",Calculation!$S$6)</f>
        <v/>
      </c>
      <c r="AE157" s="399" t="str">
        <f>IF(A157="","",Calculation!BA163)</f>
        <v/>
      </c>
      <c r="AF157" s="396" t="str">
        <f>IF(A157="","",Calculation!AX163)</f>
        <v/>
      </c>
      <c r="AG157" s="396" t="str">
        <f>IF(A157="","",Calculation!AW163)</f>
        <v/>
      </c>
      <c r="AH157" s="391" t="str">
        <f>IF(A157="","",Calculation!AY163)</f>
        <v/>
      </c>
      <c r="AI157" s="391" t="str">
        <f>IF(A157="","",Calculation!Y163)</f>
        <v/>
      </c>
      <c r="AJ157" s="401" t="str">
        <f>IF(Calculation!BD163&gt;0,Calculation!BD163," ")</f>
        <v xml:space="preserve"> </v>
      </c>
      <c r="AK157" s="401" t="str">
        <f>IF(Calculation!BD163&gt;0,Calculation!BE163," ")</f>
        <v xml:space="preserve"> </v>
      </c>
      <c r="AL157" s="401" t="str">
        <f>IF(Calculation!BD163&gt;0,Calculation!BF163," ")</f>
        <v xml:space="preserve"> </v>
      </c>
      <c r="AM157" s="401" t="str">
        <f>IF(Calculation!BD163&gt;0,Calculation!BG163," ")</f>
        <v xml:space="preserve"> </v>
      </c>
      <c r="AN157" s="391" t="str">
        <f>IF(Calculation!BH163="N/A","N/A",Calculation!BH163)</f>
        <v xml:space="preserve"> </v>
      </c>
      <c r="AO157" s="402" t="str">
        <f>IF(Calculation!BI163="N/A","N/A",Calculation!BI163)</f>
        <v/>
      </c>
      <c r="AP157" s="391" t="str">
        <f>IF(Calculation!BJ163="N/A","N/A",Calculation!BJ163)</f>
        <v/>
      </c>
      <c r="AQ157" s="402" t="str">
        <f>IF(Calculation!BK163="N/A","N/A",Calculation!BK163)</f>
        <v/>
      </c>
      <c r="AR157" s="391" t="str">
        <f>IF(Calculation!BL163="N/A","N/A",Calculation!BL163)</f>
        <v/>
      </c>
      <c r="AS157" s="402" t="str">
        <f>IF(Calculation!BM163="N/A","N/A",Calculation!BM163)</f>
        <v/>
      </c>
      <c r="AT157" s="400"/>
    </row>
    <row r="158" spans="1:46" ht="12.75" customHeight="1">
      <c r="A158" s="224" t="str">
        <f>IF(Calculation!BN164="","",CONCATENATE(Calculation!BO164,"-",Calculation!R164,"-",Calculation!S164,"-",Calculation!T164,"-",Calculation!U164))</f>
        <v/>
      </c>
      <c r="B158" s="224">
        <v>143</v>
      </c>
      <c r="C158" s="629" t="str">
        <f>IF(A158="","",Calculation!B164)</f>
        <v/>
      </c>
      <c r="D158" s="386" t="str">
        <f>IF(A158="","",Calculation!L164)</f>
        <v/>
      </c>
      <c r="E158" s="387" t="str">
        <f>IF(A158="","",Calculation!J164)</f>
        <v/>
      </c>
      <c r="F158" s="387" t="str">
        <f>IF(A158="","",Calculation!C164)</f>
        <v/>
      </c>
      <c r="G158" s="387" t="str">
        <f>IF(A158="","",LEFT(Calculation!O164,6))</f>
        <v/>
      </c>
      <c r="H158" s="388" t="str">
        <f>IF(A158="","",Calculation!DX164)</f>
        <v/>
      </c>
      <c r="I158" s="387" t="str">
        <f>IF(A158="","",Calculation!P164)</f>
        <v/>
      </c>
      <c r="J158" s="387" t="str">
        <f>IF(A158="","",HLOOKUP(LEFT(Calculation!BO164,7),LookUps!$C$38:$M$41,4))</f>
        <v/>
      </c>
      <c r="K158" s="387" t="str">
        <f>IF(A158="","",Calculation!M164)</f>
        <v/>
      </c>
      <c r="L158" s="387" t="str">
        <f>IF(A158="","",Calculation!S164)</f>
        <v/>
      </c>
      <c r="M158" s="389" t="str">
        <f>IF(A158="","",Calculation!N164)</f>
        <v/>
      </c>
      <c r="N158" s="390" t="str">
        <f>IF(A158="","",Calculation!R164)</f>
        <v/>
      </c>
      <c r="O158" s="391" t="str">
        <f>IF(A158="","",Calculation!$F$6)</f>
        <v/>
      </c>
      <c r="P158" s="392" t="str">
        <f>IF(A158="","",Calculation!$F$7)</f>
        <v/>
      </c>
      <c r="Q158" s="393" t="str">
        <f>IF(A158="","",Calculation!$F$13)</f>
        <v/>
      </c>
      <c r="R158" s="394" t="str">
        <f>IF(A158="","",Calculation!X164)</f>
        <v/>
      </c>
      <c r="S158" s="393" t="str">
        <f>IF(A158="","",Calculation!T164)</f>
        <v/>
      </c>
      <c r="T158" s="395" t="str">
        <f>IF(A158="","",IF(Calculation!$O$8="None","Water",CONCATENATE(Calculation!$O$8,"-",Calculation!$S$8,"%")))</f>
        <v/>
      </c>
      <c r="U158" s="393" t="str">
        <f>IF(A158="","",Calculation!$P$6)</f>
        <v/>
      </c>
      <c r="V158" s="393" t="str">
        <f>IF(A158="","",Calculation!AT164)</f>
        <v/>
      </c>
      <c r="W158" s="396" t="str">
        <f>IF(A158="","",Calculation!AP164)</f>
        <v/>
      </c>
      <c r="X158" s="396" t="str">
        <f>IF(A158="","",Calculation!AO164)</f>
        <v/>
      </c>
      <c r="Y158" s="396" t="str">
        <f>IF(A158="","",Calculation!AQ164)</f>
        <v/>
      </c>
      <c r="Z158" s="396" t="str">
        <f>IF(A158="","",Calculation!$H$6)</f>
        <v/>
      </c>
      <c r="AA158" s="397" t="str">
        <f>IF(A158="","",Calculation!$H$13)</f>
        <v/>
      </c>
      <c r="AB158" s="397" t="str">
        <f>IF(A158="","",Calculation!U164)</f>
        <v/>
      </c>
      <c r="AC158" s="398" t="str">
        <f>IF(A158="","",IF(Calculation!$O$9="None","Water",CONCATENATE(Calculation!$O$9,"-",Calculation!$S$9,"%")))</f>
        <v/>
      </c>
      <c r="AD158" s="396" t="str">
        <f>IF(A158="","",Calculation!$S$6)</f>
        <v/>
      </c>
      <c r="AE158" s="399" t="str">
        <f>IF(A158="","",Calculation!BA164)</f>
        <v/>
      </c>
      <c r="AF158" s="396" t="str">
        <f>IF(A158="","",Calculation!AX164)</f>
        <v/>
      </c>
      <c r="AG158" s="396" t="str">
        <f>IF(A158="","",Calculation!AW164)</f>
        <v/>
      </c>
      <c r="AH158" s="391" t="str">
        <f>IF(A158="","",Calculation!AY164)</f>
        <v/>
      </c>
      <c r="AI158" s="391" t="str">
        <f>IF(A158="","",Calculation!Y164)</f>
        <v/>
      </c>
      <c r="AJ158" s="401" t="str">
        <f>IF(Calculation!BD164&gt;0,Calculation!BD164," ")</f>
        <v xml:space="preserve"> </v>
      </c>
      <c r="AK158" s="401" t="str">
        <f>IF(Calculation!BD164&gt;0,Calculation!BE164," ")</f>
        <v xml:space="preserve"> </v>
      </c>
      <c r="AL158" s="401" t="str">
        <f>IF(Calculation!BD164&gt;0,Calculation!BF164," ")</f>
        <v xml:space="preserve"> </v>
      </c>
      <c r="AM158" s="401" t="str">
        <f>IF(Calculation!BD164&gt;0,Calculation!BG164," ")</f>
        <v xml:space="preserve"> </v>
      </c>
      <c r="AN158" s="391" t="str">
        <f>IF(Calculation!BH164="N/A","N/A",Calculation!BH164)</f>
        <v xml:space="preserve"> </v>
      </c>
      <c r="AO158" s="402" t="str">
        <f>IF(Calculation!BI164="N/A","N/A",Calculation!BI164)</f>
        <v/>
      </c>
      <c r="AP158" s="391" t="str">
        <f>IF(Calculation!BJ164="N/A","N/A",Calculation!BJ164)</f>
        <v/>
      </c>
      <c r="AQ158" s="402" t="str">
        <f>IF(Calculation!BK164="N/A","N/A",Calculation!BK164)</f>
        <v/>
      </c>
      <c r="AR158" s="391" t="str">
        <f>IF(Calculation!BL164="N/A","N/A",Calculation!BL164)</f>
        <v/>
      </c>
      <c r="AS158" s="402" t="str">
        <f>IF(Calculation!BM164="N/A","N/A",Calculation!BM164)</f>
        <v/>
      </c>
      <c r="AT158" s="400"/>
    </row>
    <row r="159" spans="1:46" ht="12.75" customHeight="1">
      <c r="A159" s="224" t="str">
        <f>IF(Calculation!BN165="","",CONCATENATE(Calculation!BO165,"-",Calculation!R165,"-",Calculation!S165,"-",Calculation!T165,"-",Calculation!U165))</f>
        <v/>
      </c>
      <c r="B159" s="224">
        <v>144</v>
      </c>
      <c r="C159" s="629" t="str">
        <f>IF(A159="","",Calculation!B165)</f>
        <v/>
      </c>
      <c r="D159" s="386" t="str">
        <f>IF(A159="","",Calculation!L165)</f>
        <v/>
      </c>
      <c r="E159" s="387" t="str">
        <f>IF(A159="","",Calculation!J165)</f>
        <v/>
      </c>
      <c r="F159" s="387" t="str">
        <f>IF(A159="","",Calculation!C165)</f>
        <v/>
      </c>
      <c r="G159" s="387" t="str">
        <f>IF(A159="","",LEFT(Calculation!O165,6))</f>
        <v/>
      </c>
      <c r="H159" s="388" t="str">
        <f>IF(A159="","",Calculation!DX165)</f>
        <v/>
      </c>
      <c r="I159" s="387" t="str">
        <f>IF(A159="","",Calculation!P165)</f>
        <v/>
      </c>
      <c r="J159" s="387" t="str">
        <f>IF(A159="","",HLOOKUP(LEFT(Calculation!BO165,7),LookUps!$C$38:$M$41,4))</f>
        <v/>
      </c>
      <c r="K159" s="387" t="str">
        <f>IF(A159="","",Calculation!M165)</f>
        <v/>
      </c>
      <c r="L159" s="387" t="str">
        <f>IF(A159="","",Calculation!S165)</f>
        <v/>
      </c>
      <c r="M159" s="389" t="str">
        <f>IF(A159="","",Calculation!N165)</f>
        <v/>
      </c>
      <c r="N159" s="390" t="str">
        <f>IF(A159="","",Calculation!R165)</f>
        <v/>
      </c>
      <c r="O159" s="391" t="str">
        <f>IF(A159="","",Calculation!$F$6)</f>
        <v/>
      </c>
      <c r="P159" s="392" t="str">
        <f>IF(A159="","",Calculation!$F$7)</f>
        <v/>
      </c>
      <c r="Q159" s="393" t="str">
        <f>IF(A159="","",Calculation!$F$13)</f>
        <v/>
      </c>
      <c r="R159" s="394" t="str">
        <f>IF(A159="","",Calculation!X165)</f>
        <v/>
      </c>
      <c r="S159" s="393" t="str">
        <f>IF(A159="","",Calculation!T165)</f>
        <v/>
      </c>
      <c r="T159" s="395" t="str">
        <f>IF(A159="","",IF(Calculation!$O$8="None","Water",CONCATENATE(Calculation!$O$8,"-",Calculation!$S$8,"%")))</f>
        <v/>
      </c>
      <c r="U159" s="393" t="str">
        <f>IF(A159="","",Calculation!$P$6)</f>
        <v/>
      </c>
      <c r="V159" s="393" t="str">
        <f>IF(A159="","",Calculation!AT165)</f>
        <v/>
      </c>
      <c r="W159" s="396" t="str">
        <f>IF(A159="","",Calculation!AP165)</f>
        <v/>
      </c>
      <c r="X159" s="396" t="str">
        <f>IF(A159="","",Calculation!AO165)</f>
        <v/>
      </c>
      <c r="Y159" s="396" t="str">
        <f>IF(A159="","",Calculation!AQ165)</f>
        <v/>
      </c>
      <c r="Z159" s="396" t="str">
        <f>IF(A159="","",Calculation!$H$6)</f>
        <v/>
      </c>
      <c r="AA159" s="397" t="str">
        <f>IF(A159="","",Calculation!$H$13)</f>
        <v/>
      </c>
      <c r="AB159" s="397" t="str">
        <f>IF(A159="","",Calculation!U165)</f>
        <v/>
      </c>
      <c r="AC159" s="398" t="str">
        <f>IF(A159="","",IF(Calculation!$O$9="None","Water",CONCATENATE(Calculation!$O$9,"-",Calculation!$S$9,"%")))</f>
        <v/>
      </c>
      <c r="AD159" s="396" t="str">
        <f>IF(A159="","",Calculation!$S$6)</f>
        <v/>
      </c>
      <c r="AE159" s="399" t="str">
        <f>IF(A159="","",Calculation!BA165)</f>
        <v/>
      </c>
      <c r="AF159" s="396" t="str">
        <f>IF(A159="","",Calculation!AX165)</f>
        <v/>
      </c>
      <c r="AG159" s="396" t="str">
        <f>IF(A159="","",Calculation!AW165)</f>
        <v/>
      </c>
      <c r="AH159" s="391" t="str">
        <f>IF(A159="","",Calculation!AY165)</f>
        <v/>
      </c>
      <c r="AI159" s="391" t="str">
        <f>IF(A159="","",Calculation!Y165)</f>
        <v/>
      </c>
      <c r="AJ159" s="401" t="str">
        <f>IF(Calculation!BD165&gt;0,Calculation!BD165," ")</f>
        <v xml:space="preserve"> </v>
      </c>
      <c r="AK159" s="401" t="str">
        <f>IF(Calculation!BD165&gt;0,Calculation!BE165," ")</f>
        <v xml:space="preserve"> </v>
      </c>
      <c r="AL159" s="401" t="str">
        <f>IF(Calculation!BD165&gt;0,Calculation!BF165," ")</f>
        <v xml:space="preserve"> </v>
      </c>
      <c r="AM159" s="401" t="str">
        <f>IF(Calculation!BD165&gt;0,Calculation!BG165," ")</f>
        <v xml:space="preserve"> </v>
      </c>
      <c r="AN159" s="391" t="str">
        <f>IF(Calculation!BH165="N/A","N/A",Calculation!BH165)</f>
        <v xml:space="preserve"> </v>
      </c>
      <c r="AO159" s="402" t="str">
        <f>IF(Calculation!BI165="N/A","N/A",Calculation!BI165)</f>
        <v/>
      </c>
      <c r="AP159" s="391" t="str">
        <f>IF(Calculation!BJ165="N/A","N/A",Calculation!BJ165)</f>
        <v/>
      </c>
      <c r="AQ159" s="402" t="str">
        <f>IF(Calculation!BK165="N/A","N/A",Calculation!BK165)</f>
        <v/>
      </c>
      <c r="AR159" s="391" t="str">
        <f>IF(Calculation!BL165="N/A","N/A",Calculation!BL165)</f>
        <v/>
      </c>
      <c r="AS159" s="402" t="str">
        <f>IF(Calculation!BM165="N/A","N/A",Calculation!BM165)</f>
        <v/>
      </c>
      <c r="AT159" s="400"/>
    </row>
    <row r="160" spans="1:46" ht="12.75" customHeight="1">
      <c r="A160" s="224" t="str">
        <f>IF(Calculation!BN166="","",CONCATENATE(Calculation!BO166,"-",Calculation!R166,"-",Calculation!S166,"-",Calculation!T166,"-",Calculation!U166))</f>
        <v/>
      </c>
      <c r="B160" s="224">
        <v>145</v>
      </c>
      <c r="C160" s="629" t="str">
        <f>IF(A160="","",Calculation!B166)</f>
        <v/>
      </c>
      <c r="D160" s="386" t="str">
        <f>IF(A160="","",Calculation!L166)</f>
        <v/>
      </c>
      <c r="E160" s="387" t="str">
        <f>IF(A160="","",Calculation!J166)</f>
        <v/>
      </c>
      <c r="F160" s="387" t="str">
        <f>IF(A160="","",Calculation!C166)</f>
        <v/>
      </c>
      <c r="G160" s="387" t="str">
        <f>IF(A160="","",LEFT(Calculation!O166,6))</f>
        <v/>
      </c>
      <c r="H160" s="388" t="str">
        <f>IF(A160="","",Calculation!DX166)</f>
        <v/>
      </c>
      <c r="I160" s="387" t="str">
        <f>IF(A160="","",Calculation!P166)</f>
        <v/>
      </c>
      <c r="J160" s="387" t="str">
        <f>IF(A160="","",HLOOKUP(LEFT(Calculation!BO166,7),LookUps!$C$38:$M$41,4))</f>
        <v/>
      </c>
      <c r="K160" s="387" t="str">
        <f>IF(A160="","",Calculation!M166)</f>
        <v/>
      </c>
      <c r="L160" s="387" t="str">
        <f>IF(A160="","",Calculation!S166)</f>
        <v/>
      </c>
      <c r="M160" s="389" t="str">
        <f>IF(A160="","",Calculation!N166)</f>
        <v/>
      </c>
      <c r="N160" s="390" t="str">
        <f>IF(A160="","",Calculation!R166)</f>
        <v/>
      </c>
      <c r="O160" s="391" t="str">
        <f>IF(A160="","",Calculation!$F$6)</f>
        <v/>
      </c>
      <c r="P160" s="392" t="str">
        <f>IF(A160="","",Calculation!$F$7)</f>
        <v/>
      </c>
      <c r="Q160" s="393" t="str">
        <f>IF(A160="","",Calculation!$F$13)</f>
        <v/>
      </c>
      <c r="R160" s="394" t="str">
        <f>IF(A160="","",Calculation!X166)</f>
        <v/>
      </c>
      <c r="S160" s="393" t="str">
        <f>IF(A160="","",Calculation!T166)</f>
        <v/>
      </c>
      <c r="T160" s="395" t="str">
        <f>IF(A160="","",IF(Calculation!$O$8="None","Water",CONCATENATE(Calculation!$O$8,"-",Calculation!$S$8,"%")))</f>
        <v/>
      </c>
      <c r="U160" s="393" t="str">
        <f>IF(A160="","",Calculation!$P$6)</f>
        <v/>
      </c>
      <c r="V160" s="393" t="str">
        <f>IF(A160="","",Calculation!AT166)</f>
        <v/>
      </c>
      <c r="W160" s="396" t="str">
        <f>IF(A160="","",Calculation!AP166)</f>
        <v/>
      </c>
      <c r="X160" s="396" t="str">
        <f>IF(A160="","",Calculation!AO166)</f>
        <v/>
      </c>
      <c r="Y160" s="396" t="str">
        <f>IF(A160="","",Calculation!AQ166)</f>
        <v/>
      </c>
      <c r="Z160" s="396" t="str">
        <f>IF(A160="","",Calculation!$H$6)</f>
        <v/>
      </c>
      <c r="AA160" s="397" t="str">
        <f>IF(A160="","",Calculation!$H$13)</f>
        <v/>
      </c>
      <c r="AB160" s="397" t="str">
        <f>IF(A160="","",Calculation!U166)</f>
        <v/>
      </c>
      <c r="AC160" s="398" t="str">
        <f>IF(A160="","",IF(Calculation!$O$9="None","Water",CONCATENATE(Calculation!$O$9,"-",Calculation!$S$9,"%")))</f>
        <v/>
      </c>
      <c r="AD160" s="396" t="str">
        <f>IF(A160="","",Calculation!$S$6)</f>
        <v/>
      </c>
      <c r="AE160" s="399" t="str">
        <f>IF(A160="","",Calculation!BA166)</f>
        <v/>
      </c>
      <c r="AF160" s="396" t="str">
        <f>IF(A160="","",Calculation!AX166)</f>
        <v/>
      </c>
      <c r="AG160" s="396" t="str">
        <f>IF(A160="","",Calculation!AW166)</f>
        <v/>
      </c>
      <c r="AH160" s="391" t="str">
        <f>IF(A160="","",Calculation!AY166)</f>
        <v/>
      </c>
      <c r="AI160" s="391" t="str">
        <f>IF(A160="","",Calculation!Y166)</f>
        <v/>
      </c>
      <c r="AJ160" s="401" t="str">
        <f>IF(Calculation!BD166&gt;0,Calculation!BD166," ")</f>
        <v xml:space="preserve"> </v>
      </c>
      <c r="AK160" s="401" t="str">
        <f>IF(Calculation!BD166&gt;0,Calculation!BE166," ")</f>
        <v xml:space="preserve"> </v>
      </c>
      <c r="AL160" s="401" t="str">
        <f>IF(Calculation!BD166&gt;0,Calculation!BF166," ")</f>
        <v xml:space="preserve"> </v>
      </c>
      <c r="AM160" s="401" t="str">
        <f>IF(Calculation!BD166&gt;0,Calculation!BG166," ")</f>
        <v xml:space="preserve"> </v>
      </c>
      <c r="AN160" s="391" t="str">
        <f>IF(Calculation!BH166="N/A","N/A",Calculation!BH166)</f>
        <v xml:space="preserve"> </v>
      </c>
      <c r="AO160" s="402" t="str">
        <f>IF(Calculation!BI166="N/A","N/A",Calculation!BI166)</f>
        <v/>
      </c>
      <c r="AP160" s="391" t="str">
        <f>IF(Calculation!BJ166="N/A","N/A",Calculation!BJ166)</f>
        <v/>
      </c>
      <c r="AQ160" s="402" t="str">
        <f>IF(Calculation!BK166="N/A","N/A",Calculation!BK166)</f>
        <v/>
      </c>
      <c r="AR160" s="391" t="str">
        <f>IF(Calculation!BL166="N/A","N/A",Calculation!BL166)</f>
        <v/>
      </c>
      <c r="AS160" s="402" t="str">
        <f>IF(Calculation!BM166="N/A","N/A",Calculation!BM166)</f>
        <v/>
      </c>
      <c r="AT160" s="400"/>
    </row>
    <row r="161" spans="1:46" ht="12.75" customHeight="1">
      <c r="A161" s="224" t="str">
        <f>IF(Calculation!BN167="","",CONCATENATE(Calculation!BO167,"-",Calculation!R167,"-",Calculation!S167,"-",Calculation!T167,"-",Calculation!U167))</f>
        <v/>
      </c>
      <c r="B161" s="224">
        <v>146</v>
      </c>
      <c r="C161" s="629" t="str">
        <f>IF(A161="","",Calculation!B167)</f>
        <v/>
      </c>
      <c r="D161" s="386" t="str">
        <f>IF(A161="","",Calculation!L167)</f>
        <v/>
      </c>
      <c r="E161" s="387" t="str">
        <f>IF(A161="","",Calculation!J167)</f>
        <v/>
      </c>
      <c r="F161" s="387" t="str">
        <f>IF(A161="","",Calculation!C167)</f>
        <v/>
      </c>
      <c r="G161" s="387" t="str">
        <f>IF(A161="","",LEFT(Calculation!O167,6))</f>
        <v/>
      </c>
      <c r="H161" s="388" t="str">
        <f>IF(A161="","",Calculation!DX167)</f>
        <v/>
      </c>
      <c r="I161" s="387" t="str">
        <f>IF(A161="","",Calculation!P167)</f>
        <v/>
      </c>
      <c r="J161" s="387" t="str">
        <f>IF(A161="","",HLOOKUP(LEFT(Calculation!BO167,7),LookUps!$C$38:$M$41,4))</f>
        <v/>
      </c>
      <c r="K161" s="387" t="str">
        <f>IF(A161="","",Calculation!M167)</f>
        <v/>
      </c>
      <c r="L161" s="387" t="str">
        <f>IF(A161="","",Calculation!S167)</f>
        <v/>
      </c>
      <c r="M161" s="389" t="str">
        <f>IF(A161="","",Calculation!N167)</f>
        <v/>
      </c>
      <c r="N161" s="390" t="str">
        <f>IF(A161="","",Calculation!R167)</f>
        <v/>
      </c>
      <c r="O161" s="391" t="str">
        <f>IF(A161="","",Calculation!$F$6)</f>
        <v/>
      </c>
      <c r="P161" s="392" t="str">
        <f>IF(A161="","",Calculation!$F$7)</f>
        <v/>
      </c>
      <c r="Q161" s="393" t="str">
        <f>IF(A161="","",Calculation!$F$13)</f>
        <v/>
      </c>
      <c r="R161" s="394" t="str">
        <f>IF(A161="","",Calculation!X167)</f>
        <v/>
      </c>
      <c r="S161" s="393" t="str">
        <f>IF(A161="","",Calculation!T167)</f>
        <v/>
      </c>
      <c r="T161" s="395" t="str">
        <f>IF(A161="","",IF(Calculation!$O$8="None","Water",CONCATENATE(Calculation!$O$8,"-",Calculation!$S$8,"%")))</f>
        <v/>
      </c>
      <c r="U161" s="393" t="str">
        <f>IF(A161="","",Calculation!$P$6)</f>
        <v/>
      </c>
      <c r="V161" s="393" t="str">
        <f>IF(A161="","",Calculation!AT167)</f>
        <v/>
      </c>
      <c r="W161" s="396" t="str">
        <f>IF(A161="","",Calculation!AP167)</f>
        <v/>
      </c>
      <c r="X161" s="396" t="str">
        <f>IF(A161="","",Calculation!AO167)</f>
        <v/>
      </c>
      <c r="Y161" s="396" t="str">
        <f>IF(A161="","",Calculation!AQ167)</f>
        <v/>
      </c>
      <c r="Z161" s="396" t="str">
        <f>IF(A161="","",Calculation!$H$6)</f>
        <v/>
      </c>
      <c r="AA161" s="397" t="str">
        <f>IF(A161="","",Calculation!$H$13)</f>
        <v/>
      </c>
      <c r="AB161" s="397" t="str">
        <f>IF(A161="","",Calculation!U167)</f>
        <v/>
      </c>
      <c r="AC161" s="398" t="str">
        <f>IF(A161="","",IF(Calculation!$O$9="None","Water",CONCATENATE(Calculation!$O$9,"-",Calculation!$S$9,"%")))</f>
        <v/>
      </c>
      <c r="AD161" s="396" t="str">
        <f>IF(A161="","",Calculation!$S$6)</f>
        <v/>
      </c>
      <c r="AE161" s="399" t="str">
        <f>IF(A161="","",Calculation!BA167)</f>
        <v/>
      </c>
      <c r="AF161" s="396" t="str">
        <f>IF(A161="","",Calculation!AX167)</f>
        <v/>
      </c>
      <c r="AG161" s="396" t="str">
        <f>IF(A161="","",Calculation!AW167)</f>
        <v/>
      </c>
      <c r="AH161" s="391" t="str">
        <f>IF(A161="","",Calculation!AY167)</f>
        <v/>
      </c>
      <c r="AI161" s="391" t="str">
        <f>IF(A161="","",Calculation!Y167)</f>
        <v/>
      </c>
      <c r="AJ161" s="401" t="str">
        <f>IF(Calculation!BD167&gt;0,Calculation!BD167," ")</f>
        <v xml:space="preserve"> </v>
      </c>
      <c r="AK161" s="401" t="str">
        <f>IF(Calculation!BD167&gt;0,Calculation!BE167," ")</f>
        <v xml:space="preserve"> </v>
      </c>
      <c r="AL161" s="401" t="str">
        <f>IF(Calculation!BD167&gt;0,Calculation!BF167," ")</f>
        <v xml:space="preserve"> </v>
      </c>
      <c r="AM161" s="401" t="str">
        <f>IF(Calculation!BD167&gt;0,Calculation!BG167," ")</f>
        <v xml:space="preserve"> </v>
      </c>
      <c r="AN161" s="391" t="str">
        <f>IF(Calculation!BH167="N/A","N/A",Calculation!BH167)</f>
        <v xml:space="preserve"> </v>
      </c>
      <c r="AO161" s="402" t="str">
        <f>IF(Calculation!BI167="N/A","N/A",Calculation!BI167)</f>
        <v/>
      </c>
      <c r="AP161" s="391" t="str">
        <f>IF(Calculation!BJ167="N/A","N/A",Calculation!BJ167)</f>
        <v/>
      </c>
      <c r="AQ161" s="402" t="str">
        <f>IF(Calculation!BK167="N/A","N/A",Calculation!BK167)</f>
        <v/>
      </c>
      <c r="AR161" s="391" t="str">
        <f>IF(Calculation!BL167="N/A","N/A",Calculation!BL167)</f>
        <v/>
      </c>
      <c r="AS161" s="402" t="str">
        <f>IF(Calculation!BM167="N/A","N/A",Calculation!BM167)</f>
        <v/>
      </c>
      <c r="AT161" s="400"/>
    </row>
    <row r="162" spans="1:46" ht="12.75" customHeight="1">
      <c r="A162" s="224" t="str">
        <f>IF(Calculation!BN168="","",CONCATENATE(Calculation!BO168,"-",Calculation!R168,"-",Calculation!S168,"-",Calculation!T168,"-",Calculation!U168))</f>
        <v/>
      </c>
      <c r="B162" s="224">
        <v>147</v>
      </c>
      <c r="C162" s="629" t="str">
        <f>IF(A162="","",Calculation!B168)</f>
        <v/>
      </c>
      <c r="D162" s="386" t="str">
        <f>IF(A162="","",Calculation!L168)</f>
        <v/>
      </c>
      <c r="E162" s="387" t="str">
        <f>IF(A162="","",Calculation!J168)</f>
        <v/>
      </c>
      <c r="F162" s="387" t="str">
        <f>IF(A162="","",Calculation!C168)</f>
        <v/>
      </c>
      <c r="G162" s="387" t="str">
        <f>IF(A162="","",LEFT(Calculation!O168,6))</f>
        <v/>
      </c>
      <c r="H162" s="388" t="str">
        <f>IF(A162="","",Calculation!DX168)</f>
        <v/>
      </c>
      <c r="I162" s="387" t="str">
        <f>IF(A162="","",Calculation!P168)</f>
        <v/>
      </c>
      <c r="J162" s="387" t="str">
        <f>IF(A162="","",HLOOKUP(LEFT(Calculation!BO168,7),LookUps!$C$38:$M$41,4))</f>
        <v/>
      </c>
      <c r="K162" s="387" t="str">
        <f>IF(A162="","",Calculation!M168)</f>
        <v/>
      </c>
      <c r="L162" s="387" t="str">
        <f>IF(A162="","",Calculation!S168)</f>
        <v/>
      </c>
      <c r="M162" s="389" t="str">
        <f>IF(A162="","",Calculation!N168)</f>
        <v/>
      </c>
      <c r="N162" s="390" t="str">
        <f>IF(A162="","",Calculation!R168)</f>
        <v/>
      </c>
      <c r="O162" s="391" t="str">
        <f>IF(A162="","",Calculation!$F$6)</f>
        <v/>
      </c>
      <c r="P162" s="392" t="str">
        <f>IF(A162="","",Calculation!$F$7)</f>
        <v/>
      </c>
      <c r="Q162" s="393" t="str">
        <f>IF(A162="","",Calculation!$F$13)</f>
        <v/>
      </c>
      <c r="R162" s="394" t="str">
        <f>IF(A162="","",Calculation!X168)</f>
        <v/>
      </c>
      <c r="S162" s="393" t="str">
        <f>IF(A162="","",Calculation!T168)</f>
        <v/>
      </c>
      <c r="T162" s="395" t="str">
        <f>IF(A162="","",IF(Calculation!$O$8="None","Water",CONCATENATE(Calculation!$O$8,"-",Calculation!$S$8,"%")))</f>
        <v/>
      </c>
      <c r="U162" s="393" t="str">
        <f>IF(A162="","",Calculation!$P$6)</f>
        <v/>
      </c>
      <c r="V162" s="393" t="str">
        <f>IF(A162="","",Calculation!AT168)</f>
        <v/>
      </c>
      <c r="W162" s="396" t="str">
        <f>IF(A162="","",Calculation!AP168)</f>
        <v/>
      </c>
      <c r="X162" s="396" t="str">
        <f>IF(A162="","",Calculation!AO168)</f>
        <v/>
      </c>
      <c r="Y162" s="396" t="str">
        <f>IF(A162="","",Calculation!AQ168)</f>
        <v/>
      </c>
      <c r="Z162" s="396" t="str">
        <f>IF(A162="","",Calculation!$H$6)</f>
        <v/>
      </c>
      <c r="AA162" s="397" t="str">
        <f>IF(A162="","",Calculation!$H$13)</f>
        <v/>
      </c>
      <c r="AB162" s="397" t="str">
        <f>IF(A162="","",Calculation!U168)</f>
        <v/>
      </c>
      <c r="AC162" s="398" t="str">
        <f>IF(A162="","",IF(Calculation!$O$9="None","Water",CONCATENATE(Calculation!$O$9,"-",Calculation!$S$9,"%")))</f>
        <v/>
      </c>
      <c r="AD162" s="396" t="str">
        <f>IF(A162="","",Calculation!$S$6)</f>
        <v/>
      </c>
      <c r="AE162" s="399" t="str">
        <f>IF(A162="","",Calculation!BA168)</f>
        <v/>
      </c>
      <c r="AF162" s="396" t="str">
        <f>IF(A162="","",Calculation!AX168)</f>
        <v/>
      </c>
      <c r="AG162" s="396" t="str">
        <f>IF(A162="","",Calculation!AW168)</f>
        <v/>
      </c>
      <c r="AH162" s="391" t="str">
        <f>IF(A162="","",Calculation!AY168)</f>
        <v/>
      </c>
      <c r="AI162" s="391" t="str">
        <f>IF(A162="","",Calculation!Y168)</f>
        <v/>
      </c>
      <c r="AJ162" s="401" t="str">
        <f>IF(Calculation!BD168&gt;0,Calculation!BD168," ")</f>
        <v xml:space="preserve"> </v>
      </c>
      <c r="AK162" s="401" t="str">
        <f>IF(Calculation!BD168&gt;0,Calculation!BE168," ")</f>
        <v xml:space="preserve"> </v>
      </c>
      <c r="AL162" s="401" t="str">
        <f>IF(Calculation!BD168&gt;0,Calculation!BF168," ")</f>
        <v xml:space="preserve"> </v>
      </c>
      <c r="AM162" s="401" t="str">
        <f>IF(Calculation!BD168&gt;0,Calculation!BG168," ")</f>
        <v xml:space="preserve"> </v>
      </c>
      <c r="AN162" s="391" t="str">
        <f>IF(Calculation!BH168="N/A","N/A",Calculation!BH168)</f>
        <v xml:space="preserve"> </v>
      </c>
      <c r="AO162" s="402" t="str">
        <f>IF(Calculation!BI168="N/A","N/A",Calculation!BI168)</f>
        <v/>
      </c>
      <c r="AP162" s="391" t="str">
        <f>IF(Calculation!BJ168="N/A","N/A",Calculation!BJ168)</f>
        <v/>
      </c>
      <c r="AQ162" s="402" t="str">
        <f>IF(Calculation!BK168="N/A","N/A",Calculation!BK168)</f>
        <v/>
      </c>
      <c r="AR162" s="391" t="str">
        <f>IF(Calculation!BL168="N/A","N/A",Calculation!BL168)</f>
        <v/>
      </c>
      <c r="AS162" s="402" t="str">
        <f>IF(Calculation!BM168="N/A","N/A",Calculation!BM168)</f>
        <v/>
      </c>
      <c r="AT162" s="400"/>
    </row>
    <row r="163" spans="1:46" ht="12.75" customHeight="1">
      <c r="A163" s="224" t="str">
        <f>IF(Calculation!BN169="","",CONCATENATE(Calculation!BO169,"-",Calculation!R169,"-",Calculation!S169,"-",Calculation!T169,"-",Calculation!U169))</f>
        <v/>
      </c>
      <c r="B163" s="224">
        <v>148</v>
      </c>
      <c r="C163" s="629" t="str">
        <f>IF(A163="","",Calculation!B169)</f>
        <v/>
      </c>
      <c r="D163" s="386" t="str">
        <f>IF(A163="","",Calculation!L169)</f>
        <v/>
      </c>
      <c r="E163" s="387" t="str">
        <f>IF(A163="","",Calculation!J169)</f>
        <v/>
      </c>
      <c r="F163" s="387" t="str">
        <f>IF(A163="","",Calculation!C169)</f>
        <v/>
      </c>
      <c r="G163" s="387" t="str">
        <f>IF(A163="","",LEFT(Calculation!O169,6))</f>
        <v/>
      </c>
      <c r="H163" s="388" t="str">
        <f>IF(A163="","",Calculation!DX169)</f>
        <v/>
      </c>
      <c r="I163" s="387" t="str">
        <f>IF(A163="","",Calculation!P169)</f>
        <v/>
      </c>
      <c r="J163" s="387" t="str">
        <f>IF(A163="","",HLOOKUP(LEFT(Calculation!BO169,7),LookUps!$C$38:$M$41,4))</f>
        <v/>
      </c>
      <c r="K163" s="387" t="str">
        <f>IF(A163="","",Calculation!M169)</f>
        <v/>
      </c>
      <c r="L163" s="387" t="str">
        <f>IF(A163="","",Calculation!S169)</f>
        <v/>
      </c>
      <c r="M163" s="389" t="str">
        <f>IF(A163="","",Calculation!N169)</f>
        <v/>
      </c>
      <c r="N163" s="390" t="str">
        <f>IF(A163="","",Calculation!R169)</f>
        <v/>
      </c>
      <c r="O163" s="391" t="str">
        <f>IF(A163="","",Calculation!$F$6)</f>
        <v/>
      </c>
      <c r="P163" s="392" t="str">
        <f>IF(A163="","",Calculation!$F$7)</f>
        <v/>
      </c>
      <c r="Q163" s="393" t="str">
        <f>IF(A163="","",Calculation!$F$13)</f>
        <v/>
      </c>
      <c r="R163" s="394" t="str">
        <f>IF(A163="","",Calculation!X169)</f>
        <v/>
      </c>
      <c r="S163" s="393" t="str">
        <f>IF(A163="","",Calculation!T169)</f>
        <v/>
      </c>
      <c r="T163" s="395" t="str">
        <f>IF(A163="","",IF(Calculation!$O$8="None","Water",CONCATENATE(Calculation!$O$8,"-",Calculation!$S$8,"%")))</f>
        <v/>
      </c>
      <c r="U163" s="393" t="str">
        <f>IF(A163="","",Calculation!$P$6)</f>
        <v/>
      </c>
      <c r="V163" s="393" t="str">
        <f>IF(A163="","",Calculation!AT169)</f>
        <v/>
      </c>
      <c r="W163" s="396" t="str">
        <f>IF(A163="","",Calculation!AP169)</f>
        <v/>
      </c>
      <c r="X163" s="396" t="str">
        <f>IF(A163="","",Calculation!AO169)</f>
        <v/>
      </c>
      <c r="Y163" s="396" t="str">
        <f>IF(A163="","",Calculation!AQ169)</f>
        <v/>
      </c>
      <c r="Z163" s="396" t="str">
        <f>IF(A163="","",Calculation!$H$6)</f>
        <v/>
      </c>
      <c r="AA163" s="397" t="str">
        <f>IF(A163="","",Calculation!$H$13)</f>
        <v/>
      </c>
      <c r="AB163" s="397" t="str">
        <f>IF(A163="","",Calculation!U169)</f>
        <v/>
      </c>
      <c r="AC163" s="398" t="str">
        <f>IF(A163="","",IF(Calculation!$O$9="None","Water",CONCATENATE(Calculation!$O$9,"-",Calculation!$S$9,"%")))</f>
        <v/>
      </c>
      <c r="AD163" s="396" t="str">
        <f>IF(A163="","",Calculation!$S$6)</f>
        <v/>
      </c>
      <c r="AE163" s="399" t="str">
        <f>IF(A163="","",Calculation!BA169)</f>
        <v/>
      </c>
      <c r="AF163" s="396" t="str">
        <f>IF(A163="","",Calculation!AX169)</f>
        <v/>
      </c>
      <c r="AG163" s="396" t="str">
        <f>IF(A163="","",Calculation!AW169)</f>
        <v/>
      </c>
      <c r="AH163" s="391" t="str">
        <f>IF(A163="","",Calculation!AY169)</f>
        <v/>
      </c>
      <c r="AI163" s="391" t="str">
        <f>IF(A163="","",Calculation!Y169)</f>
        <v/>
      </c>
      <c r="AJ163" s="401" t="str">
        <f>IF(Calculation!BD169&gt;0,Calculation!BD169," ")</f>
        <v xml:space="preserve"> </v>
      </c>
      <c r="AK163" s="401" t="str">
        <f>IF(Calculation!BD169&gt;0,Calculation!BE169," ")</f>
        <v xml:space="preserve"> </v>
      </c>
      <c r="AL163" s="401" t="str">
        <f>IF(Calculation!BD169&gt;0,Calculation!BF169," ")</f>
        <v xml:space="preserve"> </v>
      </c>
      <c r="AM163" s="401" t="str">
        <f>IF(Calculation!BD169&gt;0,Calculation!BG169," ")</f>
        <v xml:space="preserve"> </v>
      </c>
      <c r="AN163" s="391" t="str">
        <f>IF(Calculation!BH169="N/A","N/A",Calculation!BH169)</f>
        <v xml:space="preserve"> </v>
      </c>
      <c r="AO163" s="402" t="str">
        <f>IF(Calculation!BI169="N/A","N/A",Calculation!BI169)</f>
        <v/>
      </c>
      <c r="AP163" s="391" t="str">
        <f>IF(Calculation!BJ169="N/A","N/A",Calculation!BJ169)</f>
        <v/>
      </c>
      <c r="AQ163" s="402" t="str">
        <f>IF(Calculation!BK169="N/A","N/A",Calculation!BK169)</f>
        <v/>
      </c>
      <c r="AR163" s="391" t="str">
        <f>IF(Calculation!BL169="N/A","N/A",Calculation!BL169)</f>
        <v/>
      </c>
      <c r="AS163" s="402" t="str">
        <f>IF(Calculation!BM169="N/A","N/A",Calculation!BM169)</f>
        <v/>
      </c>
      <c r="AT163" s="400"/>
    </row>
    <row r="164" spans="1:46" ht="12.75" customHeight="1">
      <c r="A164" s="224" t="str">
        <f>IF(Calculation!BN170="","",CONCATENATE(Calculation!BO170,"-",Calculation!R170,"-",Calculation!S170,"-",Calculation!T170,"-",Calculation!U170))</f>
        <v/>
      </c>
      <c r="B164" s="224">
        <v>149</v>
      </c>
      <c r="C164" s="629" t="str">
        <f>IF(A164="","",Calculation!B170)</f>
        <v/>
      </c>
      <c r="D164" s="386" t="str">
        <f>IF(A164="","",Calculation!L170)</f>
        <v/>
      </c>
      <c r="E164" s="387" t="str">
        <f>IF(A164="","",Calculation!J170)</f>
        <v/>
      </c>
      <c r="F164" s="387" t="str">
        <f>IF(A164="","",Calculation!C170)</f>
        <v/>
      </c>
      <c r="G164" s="387" t="str">
        <f>IF(A164="","",LEFT(Calculation!O170,6))</f>
        <v/>
      </c>
      <c r="H164" s="388" t="str">
        <f>IF(A164="","",Calculation!DX170)</f>
        <v/>
      </c>
      <c r="I164" s="387" t="str">
        <f>IF(A164="","",Calculation!P170)</f>
        <v/>
      </c>
      <c r="J164" s="387" t="str">
        <f>IF(A164="","",HLOOKUP(LEFT(Calculation!BO170,7),LookUps!$C$38:$M$41,4))</f>
        <v/>
      </c>
      <c r="K164" s="387" t="str">
        <f>IF(A164="","",Calculation!M170)</f>
        <v/>
      </c>
      <c r="L164" s="387" t="str">
        <f>IF(A164="","",Calculation!S170)</f>
        <v/>
      </c>
      <c r="M164" s="389" t="str">
        <f>IF(A164="","",Calculation!N170)</f>
        <v/>
      </c>
      <c r="N164" s="390" t="str">
        <f>IF(A164="","",Calculation!R170)</f>
        <v/>
      </c>
      <c r="O164" s="391" t="str">
        <f>IF(A164="","",Calculation!$F$6)</f>
        <v/>
      </c>
      <c r="P164" s="392" t="str">
        <f>IF(A164="","",Calculation!$F$7)</f>
        <v/>
      </c>
      <c r="Q164" s="393" t="str">
        <f>IF(A164="","",Calculation!$F$13)</f>
        <v/>
      </c>
      <c r="R164" s="394" t="str">
        <f>IF(A164="","",Calculation!X170)</f>
        <v/>
      </c>
      <c r="S164" s="393" t="str">
        <f>IF(A164="","",Calculation!T170)</f>
        <v/>
      </c>
      <c r="T164" s="395" t="str">
        <f>IF(A164="","",IF(Calculation!$O$8="None","Water",CONCATENATE(Calculation!$O$8,"-",Calculation!$S$8,"%")))</f>
        <v/>
      </c>
      <c r="U164" s="393" t="str">
        <f>IF(A164="","",Calculation!$P$6)</f>
        <v/>
      </c>
      <c r="V164" s="393" t="str">
        <f>IF(A164="","",Calculation!AT170)</f>
        <v/>
      </c>
      <c r="W164" s="396" t="str">
        <f>IF(A164="","",Calculation!AP170)</f>
        <v/>
      </c>
      <c r="X164" s="396" t="str">
        <f>IF(A164="","",Calculation!AO170)</f>
        <v/>
      </c>
      <c r="Y164" s="396" t="str">
        <f>IF(A164="","",Calculation!AQ170)</f>
        <v/>
      </c>
      <c r="Z164" s="396" t="str">
        <f>IF(A164="","",Calculation!$H$6)</f>
        <v/>
      </c>
      <c r="AA164" s="397" t="str">
        <f>IF(A164="","",Calculation!$H$13)</f>
        <v/>
      </c>
      <c r="AB164" s="397" t="str">
        <f>IF(A164="","",Calculation!U170)</f>
        <v/>
      </c>
      <c r="AC164" s="398" t="str">
        <f>IF(A164="","",IF(Calculation!$O$9="None","Water",CONCATENATE(Calculation!$O$9,"-",Calculation!$S$9,"%")))</f>
        <v/>
      </c>
      <c r="AD164" s="396" t="str">
        <f>IF(A164="","",Calculation!$S$6)</f>
        <v/>
      </c>
      <c r="AE164" s="399" t="str">
        <f>IF(A164="","",Calculation!BA170)</f>
        <v/>
      </c>
      <c r="AF164" s="396" t="str">
        <f>IF(A164="","",Calculation!AX170)</f>
        <v/>
      </c>
      <c r="AG164" s="396" t="str">
        <f>IF(A164="","",Calculation!AW170)</f>
        <v/>
      </c>
      <c r="AH164" s="391" t="str">
        <f>IF(A164="","",Calculation!AY170)</f>
        <v/>
      </c>
      <c r="AI164" s="391" t="str">
        <f>IF(A164="","",Calculation!Y170)</f>
        <v/>
      </c>
      <c r="AJ164" s="401" t="str">
        <f>IF(Calculation!BD170&gt;0,Calculation!BD170," ")</f>
        <v xml:space="preserve"> </v>
      </c>
      <c r="AK164" s="401" t="str">
        <f>IF(Calculation!BD170&gt;0,Calculation!BE170," ")</f>
        <v xml:space="preserve"> </v>
      </c>
      <c r="AL164" s="401" t="str">
        <f>IF(Calculation!BD170&gt;0,Calculation!BF170," ")</f>
        <v xml:space="preserve"> </v>
      </c>
      <c r="AM164" s="401" t="str">
        <f>IF(Calculation!BD170&gt;0,Calculation!BG170," ")</f>
        <v xml:space="preserve"> </v>
      </c>
      <c r="AN164" s="391" t="str">
        <f>IF(Calculation!BH170="N/A","N/A",Calculation!BH170)</f>
        <v xml:space="preserve"> </v>
      </c>
      <c r="AO164" s="402" t="str">
        <f>IF(Calculation!BI170="N/A","N/A",Calculation!BI170)</f>
        <v/>
      </c>
      <c r="AP164" s="391" t="str">
        <f>IF(Calculation!BJ170="N/A","N/A",Calculation!BJ170)</f>
        <v/>
      </c>
      <c r="AQ164" s="402" t="str">
        <f>IF(Calculation!BK170="N/A","N/A",Calculation!BK170)</f>
        <v/>
      </c>
      <c r="AR164" s="391" t="str">
        <f>IF(Calculation!BL170="N/A","N/A",Calculation!BL170)</f>
        <v/>
      </c>
      <c r="AS164" s="402" t="str">
        <f>IF(Calculation!BM170="N/A","N/A",Calculation!BM170)</f>
        <v/>
      </c>
      <c r="AT164" s="400"/>
    </row>
    <row r="165" spans="1:46" ht="12.75" customHeight="1">
      <c r="A165" s="224" t="str">
        <f>IF(Calculation!BN171="","",CONCATENATE(Calculation!BO171,"-",Calculation!R171,"-",Calculation!S171,"-",Calculation!T171,"-",Calculation!U171))</f>
        <v/>
      </c>
      <c r="B165" s="224">
        <v>150</v>
      </c>
      <c r="C165" s="629" t="str">
        <f>IF(A165="","",Calculation!B171)</f>
        <v/>
      </c>
      <c r="D165" s="386" t="str">
        <f>IF(A165="","",Calculation!L171)</f>
        <v/>
      </c>
      <c r="E165" s="387" t="str">
        <f>IF(A165="","",Calculation!J171)</f>
        <v/>
      </c>
      <c r="F165" s="387" t="str">
        <f>IF(A165="","",Calculation!C171)</f>
        <v/>
      </c>
      <c r="G165" s="387" t="str">
        <f>IF(A165="","",LEFT(Calculation!O171,6))</f>
        <v/>
      </c>
      <c r="H165" s="388" t="str">
        <f>IF(A165="","",Calculation!DX171)</f>
        <v/>
      </c>
      <c r="I165" s="387" t="str">
        <f>IF(A165="","",Calculation!P171)</f>
        <v/>
      </c>
      <c r="J165" s="387" t="str">
        <f>IF(A165="","",HLOOKUP(LEFT(Calculation!BO171,7),LookUps!$C$38:$M$41,4))</f>
        <v/>
      </c>
      <c r="K165" s="387" t="str">
        <f>IF(A165="","",Calculation!M171)</f>
        <v/>
      </c>
      <c r="L165" s="387" t="str">
        <f>IF(A165="","",Calculation!S171)</f>
        <v/>
      </c>
      <c r="M165" s="389" t="str">
        <f>IF(A165="","",Calculation!N171)</f>
        <v/>
      </c>
      <c r="N165" s="390" t="str">
        <f>IF(A165="","",Calculation!R171)</f>
        <v/>
      </c>
      <c r="O165" s="391" t="str">
        <f>IF(A165="","",Calculation!$F$6)</f>
        <v/>
      </c>
      <c r="P165" s="392" t="str">
        <f>IF(A165="","",Calculation!$F$7)</f>
        <v/>
      </c>
      <c r="Q165" s="393" t="str">
        <f>IF(A165="","",Calculation!$F$13)</f>
        <v/>
      </c>
      <c r="R165" s="394" t="str">
        <f>IF(A165="","",Calculation!X171)</f>
        <v/>
      </c>
      <c r="S165" s="393" t="str">
        <f>IF(A165="","",Calculation!T171)</f>
        <v/>
      </c>
      <c r="T165" s="395" t="str">
        <f>IF(A165="","",IF(Calculation!$O$8="None","Water",CONCATENATE(Calculation!$O$8,"-",Calculation!$S$8,"%")))</f>
        <v/>
      </c>
      <c r="U165" s="393" t="str">
        <f>IF(A165="","",Calculation!$P$6)</f>
        <v/>
      </c>
      <c r="V165" s="393" t="str">
        <f>IF(A165="","",Calculation!AT171)</f>
        <v/>
      </c>
      <c r="W165" s="396" t="str">
        <f>IF(A165="","",Calculation!AP171)</f>
        <v/>
      </c>
      <c r="X165" s="396" t="str">
        <f>IF(A165="","",Calculation!AO171)</f>
        <v/>
      </c>
      <c r="Y165" s="396" t="str">
        <f>IF(A165="","",Calculation!AQ171)</f>
        <v/>
      </c>
      <c r="Z165" s="396" t="str">
        <f>IF(A165="","",Calculation!$H$6)</f>
        <v/>
      </c>
      <c r="AA165" s="397" t="str">
        <f>IF(A165="","",Calculation!$H$13)</f>
        <v/>
      </c>
      <c r="AB165" s="397" t="str">
        <f>IF(A165="","",Calculation!U171)</f>
        <v/>
      </c>
      <c r="AC165" s="398" t="str">
        <f>IF(A165="","",IF(Calculation!$O$9="None","Water",CONCATENATE(Calculation!$O$9,"-",Calculation!$S$9,"%")))</f>
        <v/>
      </c>
      <c r="AD165" s="396" t="str">
        <f>IF(A165="","",Calculation!$S$6)</f>
        <v/>
      </c>
      <c r="AE165" s="399" t="str">
        <f>IF(A165="","",Calculation!BA171)</f>
        <v/>
      </c>
      <c r="AF165" s="396" t="str">
        <f>IF(A165="","",Calculation!AX171)</f>
        <v/>
      </c>
      <c r="AG165" s="396" t="str">
        <f>IF(A165="","",Calculation!AW171)</f>
        <v/>
      </c>
      <c r="AH165" s="391" t="str">
        <f>IF(A165="","",Calculation!AY171)</f>
        <v/>
      </c>
      <c r="AI165" s="391" t="str">
        <f>IF(A165="","",Calculation!Y171)</f>
        <v/>
      </c>
      <c r="AJ165" s="401" t="str">
        <f>IF(Calculation!BD171&gt;0,Calculation!BD171," ")</f>
        <v xml:space="preserve"> </v>
      </c>
      <c r="AK165" s="401" t="str">
        <f>IF(Calculation!BD171&gt;0,Calculation!BE171," ")</f>
        <v xml:space="preserve"> </v>
      </c>
      <c r="AL165" s="401" t="str">
        <f>IF(Calculation!BD171&gt;0,Calculation!BF171," ")</f>
        <v xml:space="preserve"> </v>
      </c>
      <c r="AM165" s="401" t="str">
        <f>IF(Calculation!BD171&gt;0,Calculation!BG171," ")</f>
        <v xml:space="preserve"> </v>
      </c>
      <c r="AN165" s="391" t="str">
        <f>IF(Calculation!BH171="N/A","N/A",Calculation!BH171)</f>
        <v xml:space="preserve"> </v>
      </c>
      <c r="AO165" s="402" t="str">
        <f>IF(Calculation!BI171="N/A","N/A",Calculation!BI171)</f>
        <v/>
      </c>
      <c r="AP165" s="391" t="str">
        <f>IF(Calculation!BJ171="N/A","N/A",Calculation!BJ171)</f>
        <v/>
      </c>
      <c r="AQ165" s="402" t="str">
        <f>IF(Calculation!BK171="N/A","N/A",Calculation!BK171)</f>
        <v/>
      </c>
      <c r="AR165" s="391" t="str">
        <f>IF(Calculation!BL171="N/A","N/A",Calculation!BL171)</f>
        <v/>
      </c>
      <c r="AS165" s="402" t="str">
        <f>IF(Calculation!BM171="N/A","N/A",Calculation!BM171)</f>
        <v/>
      </c>
      <c r="AT165" s="400"/>
    </row>
    <row r="166" spans="1:46" ht="12.75" customHeight="1">
      <c r="A166" s="224" t="str">
        <f>IF(Calculation!BN172="","",CONCATENATE(Calculation!BO172,"-",Calculation!R172,"-",Calculation!S172,"-",Calculation!T172,"-",Calculation!U172))</f>
        <v/>
      </c>
      <c r="B166" s="224">
        <v>151</v>
      </c>
      <c r="C166" s="629" t="str">
        <f>IF(A166="","",Calculation!B172)</f>
        <v/>
      </c>
      <c r="D166" s="386" t="str">
        <f>IF(A166="","",Calculation!L172)</f>
        <v/>
      </c>
      <c r="E166" s="387" t="str">
        <f>IF(A166="","",Calculation!J172)</f>
        <v/>
      </c>
      <c r="F166" s="387" t="str">
        <f>IF(A166="","",Calculation!C172)</f>
        <v/>
      </c>
      <c r="G166" s="387" t="str">
        <f>IF(A166="","",LEFT(Calculation!O172,6))</f>
        <v/>
      </c>
      <c r="H166" s="388" t="str">
        <f>IF(A166="","",Calculation!DX172)</f>
        <v/>
      </c>
      <c r="I166" s="387" t="str">
        <f>IF(A166="","",Calculation!P172)</f>
        <v/>
      </c>
      <c r="J166" s="387" t="str">
        <f>IF(A166="","",HLOOKUP(LEFT(Calculation!BO172,7),LookUps!$C$38:$M$41,4))</f>
        <v/>
      </c>
      <c r="K166" s="387" t="str">
        <f>IF(A166="","",Calculation!M172)</f>
        <v/>
      </c>
      <c r="L166" s="387" t="str">
        <f>IF(A166="","",Calculation!S172)</f>
        <v/>
      </c>
      <c r="M166" s="389" t="str">
        <f>IF(A166="","",Calculation!N172)</f>
        <v/>
      </c>
      <c r="N166" s="390" t="str">
        <f>IF(A166="","",Calculation!R172)</f>
        <v/>
      </c>
      <c r="O166" s="391" t="str">
        <f>IF(A166="","",Calculation!$F$6)</f>
        <v/>
      </c>
      <c r="P166" s="392" t="str">
        <f>IF(A166="","",Calculation!$F$7)</f>
        <v/>
      </c>
      <c r="Q166" s="393" t="str">
        <f>IF(A166="","",Calculation!$F$13)</f>
        <v/>
      </c>
      <c r="R166" s="394" t="str">
        <f>IF(A166="","",Calculation!X172)</f>
        <v/>
      </c>
      <c r="S166" s="393" t="str">
        <f>IF(A166="","",Calculation!T172)</f>
        <v/>
      </c>
      <c r="T166" s="395" t="str">
        <f>IF(A166="","",IF(Calculation!$O$8="None","Water",CONCATENATE(Calculation!$O$8,"-",Calculation!$S$8,"%")))</f>
        <v/>
      </c>
      <c r="U166" s="393" t="str">
        <f>IF(A166="","",Calculation!$P$6)</f>
        <v/>
      </c>
      <c r="V166" s="393" t="str">
        <f>IF(A166="","",Calculation!AT172)</f>
        <v/>
      </c>
      <c r="W166" s="396" t="str">
        <f>IF(A166="","",Calculation!AP172)</f>
        <v/>
      </c>
      <c r="X166" s="396" t="str">
        <f>IF(A166="","",Calculation!AO172)</f>
        <v/>
      </c>
      <c r="Y166" s="396" t="str">
        <f>IF(A166="","",Calculation!AQ172)</f>
        <v/>
      </c>
      <c r="Z166" s="396" t="str">
        <f>IF(A166="","",Calculation!$H$6)</f>
        <v/>
      </c>
      <c r="AA166" s="397" t="str">
        <f>IF(A166="","",Calculation!$H$13)</f>
        <v/>
      </c>
      <c r="AB166" s="397" t="str">
        <f>IF(A166="","",Calculation!U172)</f>
        <v/>
      </c>
      <c r="AC166" s="398" t="str">
        <f>IF(A166="","",IF(Calculation!$O$9="None","Water",CONCATENATE(Calculation!$O$9,"-",Calculation!$S$9,"%")))</f>
        <v/>
      </c>
      <c r="AD166" s="396" t="str">
        <f>IF(A166="","",Calculation!$S$6)</f>
        <v/>
      </c>
      <c r="AE166" s="399" t="str">
        <f>IF(A166="","",Calculation!BA172)</f>
        <v/>
      </c>
      <c r="AF166" s="396" t="str">
        <f>IF(A166="","",Calculation!AX172)</f>
        <v/>
      </c>
      <c r="AG166" s="396" t="str">
        <f>IF(A166="","",Calculation!AW172)</f>
        <v/>
      </c>
      <c r="AH166" s="391" t="str">
        <f>IF(A166="","",Calculation!AY172)</f>
        <v/>
      </c>
      <c r="AI166" s="391" t="str">
        <f>IF(A166="","",Calculation!Y172)</f>
        <v/>
      </c>
      <c r="AJ166" s="401" t="str">
        <f>IF(Calculation!BD172&gt;0,Calculation!BD172," ")</f>
        <v xml:space="preserve"> </v>
      </c>
      <c r="AK166" s="401" t="str">
        <f>IF(Calculation!BD172&gt;0,Calculation!BE172," ")</f>
        <v xml:space="preserve"> </v>
      </c>
      <c r="AL166" s="401" t="str">
        <f>IF(Calculation!BD172&gt;0,Calculation!BF172," ")</f>
        <v xml:space="preserve"> </v>
      </c>
      <c r="AM166" s="401" t="str">
        <f>IF(Calculation!BD172&gt;0,Calculation!BG172," ")</f>
        <v xml:space="preserve"> </v>
      </c>
      <c r="AN166" s="391" t="str">
        <f>IF(Calculation!BH172="N/A","N/A",Calculation!BH172)</f>
        <v xml:space="preserve"> </v>
      </c>
      <c r="AO166" s="402" t="str">
        <f>IF(Calculation!BI172="N/A","N/A",Calculation!BI172)</f>
        <v/>
      </c>
      <c r="AP166" s="391" t="str">
        <f>IF(Calculation!BJ172="N/A","N/A",Calculation!BJ172)</f>
        <v/>
      </c>
      <c r="AQ166" s="402" t="str">
        <f>IF(Calculation!BK172="N/A","N/A",Calculation!BK172)</f>
        <v/>
      </c>
      <c r="AR166" s="391" t="str">
        <f>IF(Calculation!BL172="N/A","N/A",Calculation!BL172)</f>
        <v/>
      </c>
      <c r="AS166" s="402" t="str">
        <f>IF(Calculation!BM172="N/A","N/A",Calculation!BM172)</f>
        <v/>
      </c>
      <c r="AT166" s="400"/>
    </row>
    <row r="167" spans="1:46" ht="12.75" customHeight="1">
      <c r="A167" s="224" t="str">
        <f>IF(Calculation!BN173="","",CONCATENATE(Calculation!BO173,"-",Calculation!R173,"-",Calculation!S173,"-",Calculation!T173,"-",Calculation!U173))</f>
        <v/>
      </c>
      <c r="B167" s="224">
        <v>152</v>
      </c>
      <c r="C167" s="629" t="str">
        <f>IF(A167="","",Calculation!B173)</f>
        <v/>
      </c>
      <c r="D167" s="386" t="str">
        <f>IF(A167="","",Calculation!L173)</f>
        <v/>
      </c>
      <c r="E167" s="387" t="str">
        <f>IF(A167="","",Calculation!J173)</f>
        <v/>
      </c>
      <c r="F167" s="387" t="str">
        <f>IF(A167="","",Calculation!C173)</f>
        <v/>
      </c>
      <c r="G167" s="387" t="str">
        <f>IF(A167="","",LEFT(Calculation!O173,6))</f>
        <v/>
      </c>
      <c r="H167" s="388" t="str">
        <f>IF(A167="","",Calculation!DX173)</f>
        <v/>
      </c>
      <c r="I167" s="387" t="str">
        <f>IF(A167="","",Calculation!P173)</f>
        <v/>
      </c>
      <c r="J167" s="387" t="str">
        <f>IF(A167="","",HLOOKUP(LEFT(Calculation!BO173,7),LookUps!$C$38:$M$41,4))</f>
        <v/>
      </c>
      <c r="K167" s="387" t="str">
        <f>IF(A167="","",Calculation!M173)</f>
        <v/>
      </c>
      <c r="L167" s="387" t="str">
        <f>IF(A167="","",Calculation!S173)</f>
        <v/>
      </c>
      <c r="M167" s="389" t="str">
        <f>IF(A167="","",Calculation!N173)</f>
        <v/>
      </c>
      <c r="N167" s="390" t="str">
        <f>IF(A167="","",Calculation!R173)</f>
        <v/>
      </c>
      <c r="O167" s="391" t="str">
        <f>IF(A167="","",Calculation!$F$6)</f>
        <v/>
      </c>
      <c r="P167" s="392" t="str">
        <f>IF(A167="","",Calculation!$F$7)</f>
        <v/>
      </c>
      <c r="Q167" s="393" t="str">
        <f>IF(A167="","",Calculation!$F$13)</f>
        <v/>
      </c>
      <c r="R167" s="394" t="str">
        <f>IF(A167="","",Calculation!X173)</f>
        <v/>
      </c>
      <c r="S167" s="393" t="str">
        <f>IF(A167="","",Calculation!T173)</f>
        <v/>
      </c>
      <c r="T167" s="395" t="str">
        <f>IF(A167="","",IF(Calculation!$O$8="None","Water",CONCATENATE(Calculation!$O$8,"-",Calculation!$S$8,"%")))</f>
        <v/>
      </c>
      <c r="U167" s="393" t="str">
        <f>IF(A167="","",Calculation!$P$6)</f>
        <v/>
      </c>
      <c r="V167" s="393" t="str">
        <f>IF(A167="","",Calculation!AT173)</f>
        <v/>
      </c>
      <c r="W167" s="396" t="str">
        <f>IF(A167="","",Calculation!AP173)</f>
        <v/>
      </c>
      <c r="X167" s="396" t="str">
        <f>IF(A167="","",Calculation!AO173)</f>
        <v/>
      </c>
      <c r="Y167" s="396" t="str">
        <f>IF(A167="","",Calculation!AQ173)</f>
        <v/>
      </c>
      <c r="Z167" s="396" t="str">
        <f>IF(A167="","",Calculation!$H$6)</f>
        <v/>
      </c>
      <c r="AA167" s="397" t="str">
        <f>IF(A167="","",Calculation!$H$13)</f>
        <v/>
      </c>
      <c r="AB167" s="397" t="str">
        <f>IF(A167="","",Calculation!U173)</f>
        <v/>
      </c>
      <c r="AC167" s="398" t="str">
        <f>IF(A167="","",IF(Calculation!$O$9="None","Water",CONCATENATE(Calculation!$O$9,"-",Calculation!$S$9,"%")))</f>
        <v/>
      </c>
      <c r="AD167" s="396" t="str">
        <f>IF(A167="","",Calculation!$S$6)</f>
        <v/>
      </c>
      <c r="AE167" s="399" t="str">
        <f>IF(A167="","",Calculation!BA173)</f>
        <v/>
      </c>
      <c r="AF167" s="396" t="str">
        <f>IF(A167="","",Calculation!AX173)</f>
        <v/>
      </c>
      <c r="AG167" s="396" t="str">
        <f>IF(A167="","",Calculation!AW173)</f>
        <v/>
      </c>
      <c r="AH167" s="391" t="str">
        <f>IF(A167="","",Calculation!AY173)</f>
        <v/>
      </c>
      <c r="AI167" s="391" t="str">
        <f>IF(A167="","",Calculation!Y173)</f>
        <v/>
      </c>
      <c r="AJ167" s="401" t="str">
        <f>IF(Calculation!BD173&gt;0,Calculation!BD173," ")</f>
        <v xml:space="preserve"> </v>
      </c>
      <c r="AK167" s="401" t="str">
        <f>IF(Calculation!BD173&gt;0,Calculation!BE173," ")</f>
        <v xml:space="preserve"> </v>
      </c>
      <c r="AL167" s="401" t="str">
        <f>IF(Calculation!BD173&gt;0,Calculation!BF173," ")</f>
        <v xml:space="preserve"> </v>
      </c>
      <c r="AM167" s="401" t="str">
        <f>IF(Calculation!BD173&gt;0,Calculation!BG173," ")</f>
        <v xml:space="preserve"> </v>
      </c>
      <c r="AN167" s="391" t="str">
        <f>IF(Calculation!BH173="N/A","N/A",Calculation!BH173)</f>
        <v xml:space="preserve"> </v>
      </c>
      <c r="AO167" s="402" t="str">
        <f>IF(Calculation!BI173="N/A","N/A",Calculation!BI173)</f>
        <v/>
      </c>
      <c r="AP167" s="391" t="str">
        <f>IF(Calculation!BJ173="N/A","N/A",Calculation!BJ173)</f>
        <v/>
      </c>
      <c r="AQ167" s="402" t="str">
        <f>IF(Calculation!BK173="N/A","N/A",Calculation!BK173)</f>
        <v/>
      </c>
      <c r="AR167" s="391" t="str">
        <f>IF(Calculation!BL173="N/A","N/A",Calculation!BL173)</f>
        <v/>
      </c>
      <c r="AS167" s="402" t="str">
        <f>IF(Calculation!BM173="N/A","N/A",Calculation!BM173)</f>
        <v/>
      </c>
      <c r="AT167" s="400"/>
    </row>
    <row r="168" spans="1:46" ht="12.75" customHeight="1">
      <c r="A168" s="224" t="str">
        <f>IF(Calculation!BN174="","",CONCATENATE(Calculation!BO174,"-",Calculation!R174,"-",Calculation!S174,"-",Calculation!T174,"-",Calculation!U174))</f>
        <v/>
      </c>
      <c r="B168" s="224">
        <v>153</v>
      </c>
      <c r="C168" s="629" t="str">
        <f>IF(A168="","",Calculation!B174)</f>
        <v/>
      </c>
      <c r="D168" s="386" t="str">
        <f>IF(A168="","",Calculation!L174)</f>
        <v/>
      </c>
      <c r="E168" s="387" t="str">
        <f>IF(A168="","",Calculation!J174)</f>
        <v/>
      </c>
      <c r="F168" s="387" t="str">
        <f>IF(A168="","",Calculation!C174)</f>
        <v/>
      </c>
      <c r="G168" s="387" t="str">
        <f>IF(A168="","",LEFT(Calculation!O174,6))</f>
        <v/>
      </c>
      <c r="H168" s="388" t="str">
        <f>IF(A168="","",Calculation!DX174)</f>
        <v/>
      </c>
      <c r="I168" s="387" t="str">
        <f>IF(A168="","",Calculation!P174)</f>
        <v/>
      </c>
      <c r="J168" s="387" t="str">
        <f>IF(A168="","",HLOOKUP(LEFT(Calculation!BO174,7),LookUps!$C$38:$M$41,4))</f>
        <v/>
      </c>
      <c r="K168" s="387" t="str">
        <f>IF(A168="","",Calculation!M174)</f>
        <v/>
      </c>
      <c r="L168" s="387" t="str">
        <f>IF(A168="","",Calculation!S174)</f>
        <v/>
      </c>
      <c r="M168" s="389" t="str">
        <f>IF(A168="","",Calculation!N174)</f>
        <v/>
      </c>
      <c r="N168" s="390" t="str">
        <f>IF(A168="","",Calculation!R174)</f>
        <v/>
      </c>
      <c r="O168" s="391" t="str">
        <f>IF(A168="","",Calculation!$F$6)</f>
        <v/>
      </c>
      <c r="P168" s="392" t="str">
        <f>IF(A168="","",Calculation!$F$7)</f>
        <v/>
      </c>
      <c r="Q168" s="393" t="str">
        <f>IF(A168="","",Calculation!$F$13)</f>
        <v/>
      </c>
      <c r="R168" s="394" t="str">
        <f>IF(A168="","",Calculation!X174)</f>
        <v/>
      </c>
      <c r="S168" s="393" t="str">
        <f>IF(A168="","",Calculation!T174)</f>
        <v/>
      </c>
      <c r="T168" s="395" t="str">
        <f>IF(A168="","",IF(Calculation!$O$8="None","Water",CONCATENATE(Calculation!$O$8,"-",Calculation!$S$8,"%")))</f>
        <v/>
      </c>
      <c r="U168" s="393" t="str">
        <f>IF(A168="","",Calculation!$P$6)</f>
        <v/>
      </c>
      <c r="V168" s="393" t="str">
        <f>IF(A168="","",Calculation!AT174)</f>
        <v/>
      </c>
      <c r="W168" s="396" t="str">
        <f>IF(A168="","",Calculation!AP174)</f>
        <v/>
      </c>
      <c r="X168" s="396" t="str">
        <f>IF(A168="","",Calculation!AO174)</f>
        <v/>
      </c>
      <c r="Y168" s="396" t="str">
        <f>IF(A168="","",Calculation!AQ174)</f>
        <v/>
      </c>
      <c r="Z168" s="396" t="str">
        <f>IF(A168="","",Calculation!$H$6)</f>
        <v/>
      </c>
      <c r="AA168" s="397" t="str">
        <f>IF(A168="","",Calculation!$H$13)</f>
        <v/>
      </c>
      <c r="AB168" s="397" t="str">
        <f>IF(A168="","",Calculation!U174)</f>
        <v/>
      </c>
      <c r="AC168" s="398" t="str">
        <f>IF(A168="","",IF(Calculation!$O$9="None","Water",CONCATENATE(Calculation!$O$9,"-",Calculation!$S$9,"%")))</f>
        <v/>
      </c>
      <c r="AD168" s="396" t="str">
        <f>IF(A168="","",Calculation!$S$6)</f>
        <v/>
      </c>
      <c r="AE168" s="399" t="str">
        <f>IF(A168="","",Calculation!BA174)</f>
        <v/>
      </c>
      <c r="AF168" s="396" t="str">
        <f>IF(A168="","",Calculation!AX174)</f>
        <v/>
      </c>
      <c r="AG168" s="396" t="str">
        <f>IF(A168="","",Calculation!AW174)</f>
        <v/>
      </c>
      <c r="AH168" s="391" t="str">
        <f>IF(A168="","",Calculation!AY174)</f>
        <v/>
      </c>
      <c r="AI168" s="391" t="str">
        <f>IF(A168="","",Calculation!Y174)</f>
        <v/>
      </c>
      <c r="AJ168" s="401" t="str">
        <f>IF(Calculation!BD174&gt;0,Calculation!BD174," ")</f>
        <v xml:space="preserve"> </v>
      </c>
      <c r="AK168" s="401" t="str">
        <f>IF(Calculation!BD174&gt;0,Calculation!BE174," ")</f>
        <v xml:space="preserve"> </v>
      </c>
      <c r="AL168" s="401" t="str">
        <f>IF(Calculation!BD174&gt;0,Calculation!BF174," ")</f>
        <v xml:space="preserve"> </v>
      </c>
      <c r="AM168" s="401" t="str">
        <f>IF(Calculation!BD174&gt;0,Calculation!BG174," ")</f>
        <v xml:space="preserve"> </v>
      </c>
      <c r="AN168" s="391" t="str">
        <f>IF(Calculation!BH174="N/A","N/A",Calculation!BH174)</f>
        <v xml:space="preserve"> </v>
      </c>
      <c r="AO168" s="402" t="str">
        <f>IF(Calculation!BI174="N/A","N/A",Calculation!BI174)</f>
        <v/>
      </c>
      <c r="AP168" s="391" t="str">
        <f>IF(Calculation!BJ174="N/A","N/A",Calculation!BJ174)</f>
        <v/>
      </c>
      <c r="AQ168" s="402" t="str">
        <f>IF(Calculation!BK174="N/A","N/A",Calculation!BK174)</f>
        <v/>
      </c>
      <c r="AR168" s="391" t="str">
        <f>IF(Calculation!BL174="N/A","N/A",Calculation!BL174)</f>
        <v/>
      </c>
      <c r="AS168" s="402" t="str">
        <f>IF(Calculation!BM174="N/A","N/A",Calculation!BM174)</f>
        <v/>
      </c>
      <c r="AT168" s="400"/>
    </row>
    <row r="169" spans="1:46" ht="12.75" customHeight="1">
      <c r="A169" s="224" t="str">
        <f>IF(Calculation!BN175="","",CONCATENATE(Calculation!BO175,"-",Calculation!R175,"-",Calculation!S175,"-",Calculation!T175,"-",Calculation!U175))</f>
        <v/>
      </c>
      <c r="B169" s="224">
        <v>154</v>
      </c>
      <c r="C169" s="629" t="str">
        <f>IF(A169="","",Calculation!B175)</f>
        <v/>
      </c>
      <c r="D169" s="386" t="str">
        <f>IF(A169="","",Calculation!L175)</f>
        <v/>
      </c>
      <c r="E169" s="387" t="str">
        <f>IF(A169="","",Calculation!J175)</f>
        <v/>
      </c>
      <c r="F169" s="387" t="str">
        <f>IF(A169="","",Calculation!C175)</f>
        <v/>
      </c>
      <c r="G169" s="387" t="str">
        <f>IF(A169="","",LEFT(Calculation!O175,6))</f>
        <v/>
      </c>
      <c r="H169" s="388" t="str">
        <f>IF(A169="","",Calculation!DX175)</f>
        <v/>
      </c>
      <c r="I169" s="387" t="str">
        <f>IF(A169="","",Calculation!P175)</f>
        <v/>
      </c>
      <c r="J169" s="387" t="str">
        <f>IF(A169="","",HLOOKUP(LEFT(Calculation!BO175,7),LookUps!$C$38:$M$41,4))</f>
        <v/>
      </c>
      <c r="K169" s="387" t="str">
        <f>IF(A169="","",Calculation!M175)</f>
        <v/>
      </c>
      <c r="L169" s="387" t="str">
        <f>IF(A169="","",Calculation!S175)</f>
        <v/>
      </c>
      <c r="M169" s="389" t="str">
        <f>IF(A169="","",Calculation!N175)</f>
        <v/>
      </c>
      <c r="N169" s="390" t="str">
        <f>IF(A169="","",Calculation!R175)</f>
        <v/>
      </c>
      <c r="O169" s="391" t="str">
        <f>IF(A169="","",Calculation!$F$6)</f>
        <v/>
      </c>
      <c r="P169" s="392" t="str">
        <f>IF(A169="","",Calculation!$F$7)</f>
        <v/>
      </c>
      <c r="Q169" s="393" t="str">
        <f>IF(A169="","",Calculation!$F$13)</f>
        <v/>
      </c>
      <c r="R169" s="394" t="str">
        <f>IF(A169="","",Calculation!X175)</f>
        <v/>
      </c>
      <c r="S169" s="393" t="str">
        <f>IF(A169="","",Calculation!T175)</f>
        <v/>
      </c>
      <c r="T169" s="395" t="str">
        <f>IF(A169="","",IF(Calculation!$O$8="None","Water",CONCATENATE(Calculation!$O$8,"-",Calculation!$S$8,"%")))</f>
        <v/>
      </c>
      <c r="U169" s="393" t="str">
        <f>IF(A169="","",Calculation!$P$6)</f>
        <v/>
      </c>
      <c r="V169" s="393" t="str">
        <f>IF(A169="","",Calculation!AT175)</f>
        <v/>
      </c>
      <c r="W169" s="396" t="str">
        <f>IF(A169="","",Calculation!AP175)</f>
        <v/>
      </c>
      <c r="X169" s="396" t="str">
        <f>IF(A169="","",Calculation!AO175)</f>
        <v/>
      </c>
      <c r="Y169" s="396" t="str">
        <f>IF(A169="","",Calculation!AQ175)</f>
        <v/>
      </c>
      <c r="Z169" s="396" t="str">
        <f>IF(A169="","",Calculation!$H$6)</f>
        <v/>
      </c>
      <c r="AA169" s="397" t="str">
        <f>IF(A169="","",Calculation!$H$13)</f>
        <v/>
      </c>
      <c r="AB169" s="397" t="str">
        <f>IF(A169="","",Calculation!U175)</f>
        <v/>
      </c>
      <c r="AC169" s="398" t="str">
        <f>IF(A169="","",IF(Calculation!$O$9="None","Water",CONCATENATE(Calculation!$O$9,"-",Calculation!$S$9,"%")))</f>
        <v/>
      </c>
      <c r="AD169" s="396" t="str">
        <f>IF(A169="","",Calculation!$S$6)</f>
        <v/>
      </c>
      <c r="AE169" s="399" t="str">
        <f>IF(A169="","",Calculation!BA175)</f>
        <v/>
      </c>
      <c r="AF169" s="396" t="str">
        <f>IF(A169="","",Calculation!AX175)</f>
        <v/>
      </c>
      <c r="AG169" s="396" t="str">
        <f>IF(A169="","",Calculation!AW175)</f>
        <v/>
      </c>
      <c r="AH169" s="391" t="str">
        <f>IF(A169="","",Calculation!AY175)</f>
        <v/>
      </c>
      <c r="AI169" s="391" t="str">
        <f>IF(A169="","",Calculation!Y175)</f>
        <v/>
      </c>
      <c r="AJ169" s="401" t="str">
        <f>IF(Calculation!BD175&gt;0,Calculation!BD175," ")</f>
        <v xml:space="preserve"> </v>
      </c>
      <c r="AK169" s="401" t="str">
        <f>IF(Calculation!BD175&gt;0,Calculation!BE175," ")</f>
        <v xml:space="preserve"> </v>
      </c>
      <c r="AL169" s="401" t="str">
        <f>IF(Calculation!BD175&gt;0,Calculation!BF175," ")</f>
        <v xml:space="preserve"> </v>
      </c>
      <c r="AM169" s="401" t="str">
        <f>IF(Calculation!BD175&gt;0,Calculation!BG175," ")</f>
        <v xml:space="preserve"> </v>
      </c>
      <c r="AN169" s="391" t="str">
        <f>IF(Calculation!BH175="N/A","N/A",Calculation!BH175)</f>
        <v xml:space="preserve"> </v>
      </c>
      <c r="AO169" s="402" t="str">
        <f>IF(Calculation!BI175="N/A","N/A",Calculation!BI175)</f>
        <v/>
      </c>
      <c r="AP169" s="391" t="str">
        <f>IF(Calculation!BJ175="N/A","N/A",Calculation!BJ175)</f>
        <v/>
      </c>
      <c r="AQ169" s="402" t="str">
        <f>IF(Calculation!BK175="N/A","N/A",Calculation!BK175)</f>
        <v/>
      </c>
      <c r="AR169" s="391" t="str">
        <f>IF(Calculation!BL175="N/A","N/A",Calculation!BL175)</f>
        <v/>
      </c>
      <c r="AS169" s="402" t="str">
        <f>IF(Calculation!BM175="N/A","N/A",Calculation!BM175)</f>
        <v/>
      </c>
      <c r="AT169" s="400"/>
    </row>
    <row r="170" spans="1:46" ht="12.75" customHeight="1">
      <c r="A170" s="224" t="str">
        <f>IF(Calculation!BN176="","",CONCATENATE(Calculation!BO176,"-",Calculation!R176,"-",Calculation!S176,"-",Calculation!T176,"-",Calculation!U176))</f>
        <v/>
      </c>
      <c r="B170" s="224">
        <v>155</v>
      </c>
      <c r="C170" s="629" t="str">
        <f>IF(A170="","",Calculation!B176)</f>
        <v/>
      </c>
      <c r="D170" s="386" t="str">
        <f>IF(A170="","",Calculation!L176)</f>
        <v/>
      </c>
      <c r="E170" s="387" t="str">
        <f>IF(A170="","",Calculation!J176)</f>
        <v/>
      </c>
      <c r="F170" s="387" t="str">
        <f>IF(A170="","",Calculation!C176)</f>
        <v/>
      </c>
      <c r="G170" s="387" t="str">
        <f>IF(A170="","",LEFT(Calculation!O176,6))</f>
        <v/>
      </c>
      <c r="H170" s="388" t="str">
        <f>IF(A170="","",Calculation!DX176)</f>
        <v/>
      </c>
      <c r="I170" s="387" t="str">
        <f>IF(A170="","",Calculation!P176)</f>
        <v/>
      </c>
      <c r="J170" s="387" t="str">
        <f>IF(A170="","",HLOOKUP(LEFT(Calculation!BO176,7),LookUps!$C$38:$M$41,4))</f>
        <v/>
      </c>
      <c r="K170" s="387" t="str">
        <f>IF(A170="","",Calculation!M176)</f>
        <v/>
      </c>
      <c r="L170" s="387" t="str">
        <f>IF(A170="","",Calculation!S176)</f>
        <v/>
      </c>
      <c r="M170" s="389" t="str">
        <f>IF(A170="","",Calculation!N176)</f>
        <v/>
      </c>
      <c r="N170" s="390" t="str">
        <f>IF(A170="","",Calculation!R176)</f>
        <v/>
      </c>
      <c r="O170" s="391" t="str">
        <f>IF(A170="","",Calculation!$F$6)</f>
        <v/>
      </c>
      <c r="P170" s="392" t="str">
        <f>IF(A170="","",Calculation!$F$7)</f>
        <v/>
      </c>
      <c r="Q170" s="393" t="str">
        <f>IF(A170="","",Calculation!$F$13)</f>
        <v/>
      </c>
      <c r="R170" s="394" t="str">
        <f>IF(A170="","",Calculation!X176)</f>
        <v/>
      </c>
      <c r="S170" s="393" t="str">
        <f>IF(A170="","",Calculation!T176)</f>
        <v/>
      </c>
      <c r="T170" s="395" t="str">
        <f>IF(A170="","",IF(Calculation!$O$8="None","Water",CONCATENATE(Calculation!$O$8,"-",Calculation!$S$8,"%")))</f>
        <v/>
      </c>
      <c r="U170" s="393" t="str">
        <f>IF(A170="","",Calculation!$P$6)</f>
        <v/>
      </c>
      <c r="V170" s="393" t="str">
        <f>IF(A170="","",Calculation!AT176)</f>
        <v/>
      </c>
      <c r="W170" s="396" t="str">
        <f>IF(A170="","",Calculation!AP176)</f>
        <v/>
      </c>
      <c r="X170" s="396" t="str">
        <f>IF(A170="","",Calculation!AO176)</f>
        <v/>
      </c>
      <c r="Y170" s="396" t="str">
        <f>IF(A170="","",Calculation!AQ176)</f>
        <v/>
      </c>
      <c r="Z170" s="396" t="str">
        <f>IF(A170="","",Calculation!$H$6)</f>
        <v/>
      </c>
      <c r="AA170" s="397" t="str">
        <f>IF(A170="","",Calculation!$H$13)</f>
        <v/>
      </c>
      <c r="AB170" s="397" t="str">
        <f>IF(A170="","",Calculation!U176)</f>
        <v/>
      </c>
      <c r="AC170" s="398" t="str">
        <f>IF(A170="","",IF(Calculation!$O$9="None","Water",CONCATENATE(Calculation!$O$9,"-",Calculation!$S$9,"%")))</f>
        <v/>
      </c>
      <c r="AD170" s="396" t="str">
        <f>IF(A170="","",Calculation!$S$6)</f>
        <v/>
      </c>
      <c r="AE170" s="399" t="str">
        <f>IF(A170="","",Calculation!BA176)</f>
        <v/>
      </c>
      <c r="AF170" s="396" t="str">
        <f>IF(A170="","",Calculation!AX176)</f>
        <v/>
      </c>
      <c r="AG170" s="396" t="str">
        <f>IF(A170="","",Calculation!AW176)</f>
        <v/>
      </c>
      <c r="AH170" s="391" t="str">
        <f>IF(A170="","",Calculation!AY176)</f>
        <v/>
      </c>
      <c r="AI170" s="391" t="str">
        <f>IF(A170="","",Calculation!Y176)</f>
        <v/>
      </c>
      <c r="AJ170" s="401" t="str">
        <f>IF(Calculation!BD176&gt;0,Calculation!BD176," ")</f>
        <v xml:space="preserve"> </v>
      </c>
      <c r="AK170" s="401" t="str">
        <f>IF(Calculation!BD176&gt;0,Calculation!BE176," ")</f>
        <v xml:space="preserve"> </v>
      </c>
      <c r="AL170" s="401" t="str">
        <f>IF(Calculation!BD176&gt;0,Calculation!BF176," ")</f>
        <v xml:space="preserve"> </v>
      </c>
      <c r="AM170" s="401" t="str">
        <f>IF(Calculation!BD176&gt;0,Calculation!BG176," ")</f>
        <v xml:space="preserve"> </v>
      </c>
      <c r="AN170" s="391" t="str">
        <f>IF(Calculation!BH176="N/A","N/A",Calculation!BH176)</f>
        <v xml:space="preserve"> </v>
      </c>
      <c r="AO170" s="402" t="str">
        <f>IF(Calculation!BI176="N/A","N/A",Calculation!BI176)</f>
        <v/>
      </c>
      <c r="AP170" s="391" t="str">
        <f>IF(Calculation!BJ176="N/A","N/A",Calculation!BJ176)</f>
        <v/>
      </c>
      <c r="AQ170" s="402" t="str">
        <f>IF(Calculation!BK176="N/A","N/A",Calculation!BK176)</f>
        <v/>
      </c>
      <c r="AR170" s="391" t="str">
        <f>IF(Calculation!BL176="N/A","N/A",Calculation!BL176)</f>
        <v/>
      </c>
      <c r="AS170" s="402" t="str">
        <f>IF(Calculation!BM176="N/A","N/A",Calculation!BM176)</f>
        <v/>
      </c>
      <c r="AT170" s="400"/>
    </row>
    <row r="171" spans="1:46" ht="12.75" customHeight="1">
      <c r="A171" s="224" t="str">
        <f>IF(Calculation!BN177="","",CONCATENATE(Calculation!BO177,"-",Calculation!R177,"-",Calculation!S177,"-",Calculation!T177,"-",Calculation!U177))</f>
        <v/>
      </c>
      <c r="B171" s="224">
        <v>156</v>
      </c>
      <c r="C171" s="629" t="str">
        <f>IF(A171="","",Calculation!B177)</f>
        <v/>
      </c>
      <c r="D171" s="386" t="str">
        <f>IF(A171="","",Calculation!L177)</f>
        <v/>
      </c>
      <c r="E171" s="387" t="str">
        <f>IF(A171="","",Calculation!J177)</f>
        <v/>
      </c>
      <c r="F171" s="387" t="str">
        <f>IF(A171="","",Calculation!C177)</f>
        <v/>
      </c>
      <c r="G171" s="387" t="str">
        <f>IF(A171="","",LEFT(Calculation!O177,6))</f>
        <v/>
      </c>
      <c r="H171" s="388" t="str">
        <f>IF(A171="","",Calculation!DX177)</f>
        <v/>
      </c>
      <c r="I171" s="387" t="str">
        <f>IF(A171="","",Calculation!P177)</f>
        <v/>
      </c>
      <c r="J171" s="387" t="str">
        <f>IF(A171="","",HLOOKUP(LEFT(Calculation!BO177,7),LookUps!$C$38:$M$41,4))</f>
        <v/>
      </c>
      <c r="K171" s="387" t="str">
        <f>IF(A171="","",Calculation!M177)</f>
        <v/>
      </c>
      <c r="L171" s="387" t="str">
        <f>IF(A171="","",Calculation!S177)</f>
        <v/>
      </c>
      <c r="M171" s="389" t="str">
        <f>IF(A171="","",Calculation!N177)</f>
        <v/>
      </c>
      <c r="N171" s="390" t="str">
        <f>IF(A171="","",Calculation!R177)</f>
        <v/>
      </c>
      <c r="O171" s="391" t="str">
        <f>IF(A171="","",Calculation!$F$6)</f>
        <v/>
      </c>
      <c r="P171" s="392" t="str">
        <f>IF(A171="","",Calculation!$F$7)</f>
        <v/>
      </c>
      <c r="Q171" s="393" t="str">
        <f>IF(A171="","",Calculation!$F$13)</f>
        <v/>
      </c>
      <c r="R171" s="394" t="str">
        <f>IF(A171="","",Calculation!X177)</f>
        <v/>
      </c>
      <c r="S171" s="393" t="str">
        <f>IF(A171="","",Calculation!T177)</f>
        <v/>
      </c>
      <c r="T171" s="395" t="str">
        <f>IF(A171="","",IF(Calculation!$O$8="None","Water",CONCATENATE(Calculation!$O$8,"-",Calculation!$S$8,"%")))</f>
        <v/>
      </c>
      <c r="U171" s="393" t="str">
        <f>IF(A171="","",Calculation!$P$6)</f>
        <v/>
      </c>
      <c r="V171" s="393" t="str">
        <f>IF(A171="","",Calculation!AT177)</f>
        <v/>
      </c>
      <c r="W171" s="396" t="str">
        <f>IF(A171="","",Calculation!AP177)</f>
        <v/>
      </c>
      <c r="X171" s="396" t="str">
        <f>IF(A171="","",Calculation!AO177)</f>
        <v/>
      </c>
      <c r="Y171" s="396" t="str">
        <f>IF(A171="","",Calculation!AQ177)</f>
        <v/>
      </c>
      <c r="Z171" s="396" t="str">
        <f>IF(A171="","",Calculation!$H$6)</f>
        <v/>
      </c>
      <c r="AA171" s="397" t="str">
        <f>IF(A171="","",Calculation!$H$13)</f>
        <v/>
      </c>
      <c r="AB171" s="397" t="str">
        <f>IF(A171="","",Calculation!U177)</f>
        <v/>
      </c>
      <c r="AC171" s="398" t="str">
        <f>IF(A171="","",IF(Calculation!$O$9="None","Water",CONCATENATE(Calculation!$O$9,"-",Calculation!$S$9,"%")))</f>
        <v/>
      </c>
      <c r="AD171" s="396" t="str">
        <f>IF(A171="","",Calculation!$S$6)</f>
        <v/>
      </c>
      <c r="AE171" s="399" t="str">
        <f>IF(A171="","",Calculation!BA177)</f>
        <v/>
      </c>
      <c r="AF171" s="396" t="str">
        <f>IF(A171="","",Calculation!AX177)</f>
        <v/>
      </c>
      <c r="AG171" s="396" t="str">
        <f>IF(A171="","",Calculation!AW177)</f>
        <v/>
      </c>
      <c r="AH171" s="391" t="str">
        <f>IF(A171="","",Calculation!AY177)</f>
        <v/>
      </c>
      <c r="AI171" s="391" t="str">
        <f>IF(A171="","",Calculation!Y177)</f>
        <v/>
      </c>
      <c r="AJ171" s="401" t="str">
        <f>IF(Calculation!BD177&gt;0,Calculation!BD177," ")</f>
        <v xml:space="preserve"> </v>
      </c>
      <c r="AK171" s="401" t="str">
        <f>IF(Calculation!BD177&gt;0,Calculation!BE177," ")</f>
        <v xml:space="preserve"> </v>
      </c>
      <c r="AL171" s="401" t="str">
        <f>IF(Calculation!BD177&gt;0,Calculation!BF177," ")</f>
        <v xml:space="preserve"> </v>
      </c>
      <c r="AM171" s="401" t="str">
        <f>IF(Calculation!BD177&gt;0,Calculation!BG177," ")</f>
        <v xml:space="preserve"> </v>
      </c>
      <c r="AN171" s="391" t="str">
        <f>IF(Calculation!BH177="N/A","N/A",Calculation!BH177)</f>
        <v xml:space="preserve"> </v>
      </c>
      <c r="AO171" s="402" t="str">
        <f>IF(Calculation!BI177="N/A","N/A",Calculation!BI177)</f>
        <v/>
      </c>
      <c r="AP171" s="391" t="str">
        <f>IF(Calculation!BJ177="N/A","N/A",Calculation!BJ177)</f>
        <v/>
      </c>
      <c r="AQ171" s="402" t="str">
        <f>IF(Calculation!BK177="N/A","N/A",Calculation!BK177)</f>
        <v/>
      </c>
      <c r="AR171" s="391" t="str">
        <f>IF(Calculation!BL177="N/A","N/A",Calculation!BL177)</f>
        <v/>
      </c>
      <c r="AS171" s="402" t="str">
        <f>IF(Calculation!BM177="N/A","N/A",Calculation!BM177)</f>
        <v/>
      </c>
      <c r="AT171" s="400"/>
    </row>
    <row r="172" spans="1:46" ht="12.75" customHeight="1">
      <c r="A172" s="224" t="str">
        <f>IF(Calculation!BN178="","",CONCATENATE(Calculation!BO178,"-",Calculation!R178,"-",Calculation!S178,"-",Calculation!T178,"-",Calculation!U178))</f>
        <v/>
      </c>
      <c r="B172" s="224">
        <v>157</v>
      </c>
      <c r="C172" s="629" t="str">
        <f>IF(A172="","",Calculation!B178)</f>
        <v/>
      </c>
      <c r="D172" s="386" t="str">
        <f>IF(A172="","",Calculation!L178)</f>
        <v/>
      </c>
      <c r="E172" s="387" t="str">
        <f>IF(A172="","",Calculation!J178)</f>
        <v/>
      </c>
      <c r="F172" s="387" t="str">
        <f>IF(A172="","",Calculation!C178)</f>
        <v/>
      </c>
      <c r="G172" s="387" t="str">
        <f>IF(A172="","",LEFT(Calculation!O178,6))</f>
        <v/>
      </c>
      <c r="H172" s="388" t="str">
        <f>IF(A172="","",Calculation!DX178)</f>
        <v/>
      </c>
      <c r="I172" s="387" t="str">
        <f>IF(A172="","",Calculation!P178)</f>
        <v/>
      </c>
      <c r="J172" s="387" t="str">
        <f>IF(A172="","",HLOOKUP(LEFT(Calculation!BO178,7),LookUps!$C$38:$M$41,4))</f>
        <v/>
      </c>
      <c r="K172" s="387" t="str">
        <f>IF(A172="","",Calculation!M178)</f>
        <v/>
      </c>
      <c r="L172" s="387" t="str">
        <f>IF(A172="","",Calculation!S178)</f>
        <v/>
      </c>
      <c r="M172" s="389" t="str">
        <f>IF(A172="","",Calculation!N178)</f>
        <v/>
      </c>
      <c r="N172" s="390" t="str">
        <f>IF(A172="","",Calculation!R178)</f>
        <v/>
      </c>
      <c r="O172" s="391" t="str">
        <f>IF(A172="","",Calculation!$F$6)</f>
        <v/>
      </c>
      <c r="P172" s="392" t="str">
        <f>IF(A172="","",Calculation!$F$7)</f>
        <v/>
      </c>
      <c r="Q172" s="393" t="str">
        <f>IF(A172="","",Calculation!$F$13)</f>
        <v/>
      </c>
      <c r="R172" s="394" t="str">
        <f>IF(A172="","",Calculation!X178)</f>
        <v/>
      </c>
      <c r="S172" s="393" t="str">
        <f>IF(A172="","",Calculation!T178)</f>
        <v/>
      </c>
      <c r="T172" s="395" t="str">
        <f>IF(A172="","",IF(Calculation!$O$8="None","Water",CONCATENATE(Calculation!$O$8,"-",Calculation!$S$8,"%")))</f>
        <v/>
      </c>
      <c r="U172" s="393" t="str">
        <f>IF(A172="","",Calculation!$P$6)</f>
        <v/>
      </c>
      <c r="V172" s="393" t="str">
        <f>IF(A172="","",Calculation!AT178)</f>
        <v/>
      </c>
      <c r="W172" s="396" t="str">
        <f>IF(A172="","",Calculation!AP178)</f>
        <v/>
      </c>
      <c r="X172" s="396" t="str">
        <f>IF(A172="","",Calculation!AO178)</f>
        <v/>
      </c>
      <c r="Y172" s="396" t="str">
        <f>IF(A172="","",Calculation!AQ178)</f>
        <v/>
      </c>
      <c r="Z172" s="396" t="str">
        <f>IF(A172="","",Calculation!$H$6)</f>
        <v/>
      </c>
      <c r="AA172" s="397" t="str">
        <f>IF(A172="","",Calculation!$H$13)</f>
        <v/>
      </c>
      <c r="AB172" s="397" t="str">
        <f>IF(A172="","",Calculation!U178)</f>
        <v/>
      </c>
      <c r="AC172" s="398" t="str">
        <f>IF(A172="","",IF(Calculation!$O$9="None","Water",CONCATENATE(Calculation!$O$9,"-",Calculation!$S$9,"%")))</f>
        <v/>
      </c>
      <c r="AD172" s="396" t="str">
        <f>IF(A172="","",Calculation!$S$6)</f>
        <v/>
      </c>
      <c r="AE172" s="399" t="str">
        <f>IF(A172="","",Calculation!BA178)</f>
        <v/>
      </c>
      <c r="AF172" s="396" t="str">
        <f>IF(A172="","",Calculation!AX178)</f>
        <v/>
      </c>
      <c r="AG172" s="396" t="str">
        <f>IF(A172="","",Calculation!AW178)</f>
        <v/>
      </c>
      <c r="AH172" s="391" t="str">
        <f>IF(A172="","",Calculation!AY178)</f>
        <v/>
      </c>
      <c r="AI172" s="391" t="str">
        <f>IF(A172="","",Calculation!Y178)</f>
        <v/>
      </c>
      <c r="AJ172" s="401" t="str">
        <f>IF(Calculation!BD178&gt;0,Calculation!BD178," ")</f>
        <v xml:space="preserve"> </v>
      </c>
      <c r="AK172" s="401" t="str">
        <f>IF(Calculation!BD178&gt;0,Calculation!BE178," ")</f>
        <v xml:space="preserve"> </v>
      </c>
      <c r="AL172" s="401" t="str">
        <f>IF(Calculation!BD178&gt;0,Calculation!BF178," ")</f>
        <v xml:space="preserve"> </v>
      </c>
      <c r="AM172" s="401" t="str">
        <f>IF(Calculation!BD178&gt;0,Calculation!BG178," ")</f>
        <v xml:space="preserve"> </v>
      </c>
      <c r="AN172" s="391" t="str">
        <f>IF(Calculation!BH178="N/A","N/A",Calculation!BH178)</f>
        <v xml:space="preserve"> </v>
      </c>
      <c r="AO172" s="402" t="str">
        <f>IF(Calculation!BI178="N/A","N/A",Calculation!BI178)</f>
        <v/>
      </c>
      <c r="AP172" s="391" t="str">
        <f>IF(Calculation!BJ178="N/A","N/A",Calculation!BJ178)</f>
        <v/>
      </c>
      <c r="AQ172" s="402" t="str">
        <f>IF(Calculation!BK178="N/A","N/A",Calculation!BK178)</f>
        <v/>
      </c>
      <c r="AR172" s="391" t="str">
        <f>IF(Calculation!BL178="N/A","N/A",Calculation!BL178)</f>
        <v/>
      </c>
      <c r="AS172" s="402" t="str">
        <f>IF(Calculation!BM178="N/A","N/A",Calculation!BM178)</f>
        <v/>
      </c>
      <c r="AT172" s="400"/>
    </row>
    <row r="173" spans="1:46" ht="12.75" customHeight="1">
      <c r="A173" s="224" t="str">
        <f>IF(Calculation!BN179="","",CONCATENATE(Calculation!BO179,"-",Calculation!R179,"-",Calculation!S179,"-",Calculation!T179,"-",Calculation!U179))</f>
        <v/>
      </c>
      <c r="B173" s="224">
        <v>158</v>
      </c>
      <c r="C173" s="629" t="str">
        <f>IF(A173="","",Calculation!B179)</f>
        <v/>
      </c>
      <c r="D173" s="386" t="str">
        <f>IF(A173="","",Calculation!L179)</f>
        <v/>
      </c>
      <c r="E173" s="387" t="str">
        <f>IF(A173="","",Calculation!J179)</f>
        <v/>
      </c>
      <c r="F173" s="387" t="str">
        <f>IF(A173="","",Calculation!C179)</f>
        <v/>
      </c>
      <c r="G173" s="387" t="str">
        <f>IF(A173="","",LEFT(Calculation!O179,6))</f>
        <v/>
      </c>
      <c r="H173" s="388" t="str">
        <f>IF(A173="","",Calculation!DX179)</f>
        <v/>
      </c>
      <c r="I173" s="387" t="str">
        <f>IF(A173="","",Calculation!P179)</f>
        <v/>
      </c>
      <c r="J173" s="387" t="str">
        <f>IF(A173="","",HLOOKUP(LEFT(Calculation!BO179,7),LookUps!$C$38:$M$41,4))</f>
        <v/>
      </c>
      <c r="K173" s="387" t="str">
        <f>IF(A173="","",Calculation!M179)</f>
        <v/>
      </c>
      <c r="L173" s="387" t="str">
        <f>IF(A173="","",Calculation!S179)</f>
        <v/>
      </c>
      <c r="M173" s="389" t="str">
        <f>IF(A173="","",Calculation!N179)</f>
        <v/>
      </c>
      <c r="N173" s="390" t="str">
        <f>IF(A173="","",Calculation!R179)</f>
        <v/>
      </c>
      <c r="O173" s="391" t="str">
        <f>IF(A173="","",Calculation!$F$6)</f>
        <v/>
      </c>
      <c r="P173" s="392" t="str">
        <f>IF(A173="","",Calculation!$F$7)</f>
        <v/>
      </c>
      <c r="Q173" s="393" t="str">
        <f>IF(A173="","",Calculation!$F$13)</f>
        <v/>
      </c>
      <c r="R173" s="394" t="str">
        <f>IF(A173="","",Calculation!X179)</f>
        <v/>
      </c>
      <c r="S173" s="393" t="str">
        <f>IF(A173="","",Calculation!T179)</f>
        <v/>
      </c>
      <c r="T173" s="395" t="str">
        <f>IF(A173="","",IF(Calculation!$O$8="None","Water",CONCATENATE(Calculation!$O$8,"-",Calculation!$S$8,"%")))</f>
        <v/>
      </c>
      <c r="U173" s="393" t="str">
        <f>IF(A173="","",Calculation!$P$6)</f>
        <v/>
      </c>
      <c r="V173" s="393" t="str">
        <f>IF(A173="","",Calculation!AT179)</f>
        <v/>
      </c>
      <c r="W173" s="396" t="str">
        <f>IF(A173="","",Calculation!AP179)</f>
        <v/>
      </c>
      <c r="X173" s="396" t="str">
        <f>IF(A173="","",Calculation!AO179)</f>
        <v/>
      </c>
      <c r="Y173" s="396" t="str">
        <f>IF(A173="","",Calculation!AQ179)</f>
        <v/>
      </c>
      <c r="Z173" s="396" t="str">
        <f>IF(A173="","",Calculation!$H$6)</f>
        <v/>
      </c>
      <c r="AA173" s="397" t="str">
        <f>IF(A173="","",Calculation!$H$13)</f>
        <v/>
      </c>
      <c r="AB173" s="397" t="str">
        <f>IF(A173="","",Calculation!U179)</f>
        <v/>
      </c>
      <c r="AC173" s="398" t="str">
        <f>IF(A173="","",IF(Calculation!$O$9="None","Water",CONCATENATE(Calculation!$O$9,"-",Calculation!$S$9,"%")))</f>
        <v/>
      </c>
      <c r="AD173" s="396" t="str">
        <f>IF(A173="","",Calculation!$S$6)</f>
        <v/>
      </c>
      <c r="AE173" s="399" t="str">
        <f>IF(A173="","",Calculation!BA179)</f>
        <v/>
      </c>
      <c r="AF173" s="396" t="str">
        <f>IF(A173="","",Calculation!AX179)</f>
        <v/>
      </c>
      <c r="AG173" s="396" t="str">
        <f>IF(A173="","",Calculation!AW179)</f>
        <v/>
      </c>
      <c r="AH173" s="391" t="str">
        <f>IF(A173="","",Calculation!AY179)</f>
        <v/>
      </c>
      <c r="AI173" s="391" t="str">
        <f>IF(A173="","",Calculation!Y179)</f>
        <v/>
      </c>
      <c r="AJ173" s="401" t="str">
        <f>IF(Calculation!BD179&gt;0,Calculation!BD179," ")</f>
        <v xml:space="preserve"> </v>
      </c>
      <c r="AK173" s="401" t="str">
        <f>IF(Calculation!BD179&gt;0,Calculation!BE179," ")</f>
        <v xml:space="preserve"> </v>
      </c>
      <c r="AL173" s="401" t="str">
        <f>IF(Calculation!BD179&gt;0,Calculation!BF179," ")</f>
        <v xml:space="preserve"> </v>
      </c>
      <c r="AM173" s="401" t="str">
        <f>IF(Calculation!BD179&gt;0,Calculation!BG179," ")</f>
        <v xml:space="preserve"> </v>
      </c>
      <c r="AN173" s="391" t="str">
        <f>IF(Calculation!BH179="N/A","N/A",Calculation!BH179)</f>
        <v xml:space="preserve"> </v>
      </c>
      <c r="AO173" s="402" t="str">
        <f>IF(Calculation!BI179="N/A","N/A",Calculation!BI179)</f>
        <v/>
      </c>
      <c r="AP173" s="391" t="str">
        <f>IF(Calculation!BJ179="N/A","N/A",Calculation!BJ179)</f>
        <v/>
      </c>
      <c r="AQ173" s="402" t="str">
        <f>IF(Calculation!BK179="N/A","N/A",Calculation!BK179)</f>
        <v/>
      </c>
      <c r="AR173" s="391" t="str">
        <f>IF(Calculation!BL179="N/A","N/A",Calculation!BL179)</f>
        <v/>
      </c>
      <c r="AS173" s="402" t="str">
        <f>IF(Calculation!BM179="N/A","N/A",Calculation!BM179)</f>
        <v/>
      </c>
      <c r="AT173" s="400"/>
    </row>
    <row r="174" spans="1:46" ht="12.75" customHeight="1">
      <c r="A174" s="224" t="str">
        <f>IF(Calculation!BN180="","",CONCATENATE(Calculation!BO180,"-",Calculation!R180,"-",Calculation!S180,"-",Calculation!T180,"-",Calculation!U180))</f>
        <v/>
      </c>
      <c r="B174" s="224">
        <v>159</v>
      </c>
      <c r="C174" s="629" t="str">
        <f>IF(A174="","",Calculation!B180)</f>
        <v/>
      </c>
      <c r="D174" s="386" t="str">
        <f>IF(A174="","",Calculation!L180)</f>
        <v/>
      </c>
      <c r="E174" s="387" t="str">
        <f>IF(A174="","",Calculation!J180)</f>
        <v/>
      </c>
      <c r="F174" s="387" t="str">
        <f>IF(A174="","",Calculation!C180)</f>
        <v/>
      </c>
      <c r="G174" s="387" t="str">
        <f>IF(A174="","",LEFT(Calculation!O180,6))</f>
        <v/>
      </c>
      <c r="H174" s="388" t="str">
        <f>IF(A174="","",Calculation!DX180)</f>
        <v/>
      </c>
      <c r="I174" s="387" t="str">
        <f>IF(A174="","",Calculation!P180)</f>
        <v/>
      </c>
      <c r="J174" s="387" t="str">
        <f>IF(A174="","",HLOOKUP(LEFT(Calculation!BO180,7),LookUps!$C$38:$M$41,4))</f>
        <v/>
      </c>
      <c r="K174" s="387" t="str">
        <f>IF(A174="","",Calculation!M180)</f>
        <v/>
      </c>
      <c r="L174" s="387" t="str">
        <f>IF(A174="","",Calculation!S180)</f>
        <v/>
      </c>
      <c r="M174" s="389" t="str">
        <f>IF(A174="","",Calculation!N180)</f>
        <v/>
      </c>
      <c r="N174" s="390" t="str">
        <f>IF(A174="","",Calculation!R180)</f>
        <v/>
      </c>
      <c r="O174" s="391" t="str">
        <f>IF(A174="","",Calculation!$F$6)</f>
        <v/>
      </c>
      <c r="P174" s="392" t="str">
        <f>IF(A174="","",Calculation!$F$7)</f>
        <v/>
      </c>
      <c r="Q174" s="393" t="str">
        <f>IF(A174="","",Calculation!$F$13)</f>
        <v/>
      </c>
      <c r="R174" s="394" t="str">
        <f>IF(A174="","",Calculation!X180)</f>
        <v/>
      </c>
      <c r="S174" s="393" t="str">
        <f>IF(A174="","",Calculation!T180)</f>
        <v/>
      </c>
      <c r="T174" s="395" t="str">
        <f>IF(A174="","",IF(Calculation!$O$8="None","Water",CONCATENATE(Calculation!$O$8,"-",Calculation!$S$8,"%")))</f>
        <v/>
      </c>
      <c r="U174" s="393" t="str">
        <f>IF(A174="","",Calculation!$P$6)</f>
        <v/>
      </c>
      <c r="V174" s="393" t="str">
        <f>IF(A174="","",Calculation!AT180)</f>
        <v/>
      </c>
      <c r="W174" s="396" t="str">
        <f>IF(A174="","",Calculation!AP180)</f>
        <v/>
      </c>
      <c r="X174" s="396" t="str">
        <f>IF(A174="","",Calculation!AO180)</f>
        <v/>
      </c>
      <c r="Y174" s="396" t="str">
        <f>IF(A174="","",Calculation!AQ180)</f>
        <v/>
      </c>
      <c r="Z174" s="396" t="str">
        <f>IF(A174="","",Calculation!$H$6)</f>
        <v/>
      </c>
      <c r="AA174" s="397" t="str">
        <f>IF(A174="","",Calculation!$H$13)</f>
        <v/>
      </c>
      <c r="AB174" s="397" t="str">
        <f>IF(A174="","",Calculation!U180)</f>
        <v/>
      </c>
      <c r="AC174" s="398" t="str">
        <f>IF(A174="","",IF(Calculation!$O$9="None","Water",CONCATENATE(Calculation!$O$9,"-",Calculation!$S$9,"%")))</f>
        <v/>
      </c>
      <c r="AD174" s="396" t="str">
        <f>IF(A174="","",Calculation!$S$6)</f>
        <v/>
      </c>
      <c r="AE174" s="399" t="str">
        <f>IF(A174="","",Calculation!BA180)</f>
        <v/>
      </c>
      <c r="AF174" s="396" t="str">
        <f>IF(A174="","",Calculation!AX180)</f>
        <v/>
      </c>
      <c r="AG174" s="396" t="str">
        <f>IF(A174="","",Calculation!AW180)</f>
        <v/>
      </c>
      <c r="AH174" s="391" t="str">
        <f>IF(A174="","",Calculation!AY180)</f>
        <v/>
      </c>
      <c r="AI174" s="391" t="str">
        <f>IF(A174="","",Calculation!Y180)</f>
        <v/>
      </c>
      <c r="AJ174" s="401" t="str">
        <f>IF(Calculation!BD180&gt;0,Calculation!BD180," ")</f>
        <v xml:space="preserve"> </v>
      </c>
      <c r="AK174" s="401" t="str">
        <f>IF(Calculation!BD180&gt;0,Calculation!BE180," ")</f>
        <v xml:space="preserve"> </v>
      </c>
      <c r="AL174" s="401" t="str">
        <f>IF(Calculation!BD180&gt;0,Calculation!BF180," ")</f>
        <v xml:space="preserve"> </v>
      </c>
      <c r="AM174" s="401" t="str">
        <f>IF(Calculation!BD180&gt;0,Calculation!BG180," ")</f>
        <v xml:space="preserve"> </v>
      </c>
      <c r="AN174" s="391" t="str">
        <f>IF(Calculation!BH180="N/A","N/A",Calculation!BH180)</f>
        <v xml:space="preserve"> </v>
      </c>
      <c r="AO174" s="402" t="str">
        <f>IF(Calculation!BI180="N/A","N/A",Calculation!BI180)</f>
        <v/>
      </c>
      <c r="AP174" s="391" t="str">
        <f>IF(Calculation!BJ180="N/A","N/A",Calculation!BJ180)</f>
        <v/>
      </c>
      <c r="AQ174" s="402" t="str">
        <f>IF(Calculation!BK180="N/A","N/A",Calculation!BK180)</f>
        <v/>
      </c>
      <c r="AR174" s="391" t="str">
        <f>IF(Calculation!BL180="N/A","N/A",Calculation!BL180)</f>
        <v/>
      </c>
      <c r="AS174" s="402" t="str">
        <f>IF(Calculation!BM180="N/A","N/A",Calculation!BM180)</f>
        <v/>
      </c>
      <c r="AT174" s="400"/>
    </row>
    <row r="175" spans="1:46" ht="12.75" customHeight="1">
      <c r="A175" s="224" t="str">
        <f>IF(Calculation!BN181="","",CONCATENATE(Calculation!BO181,"-",Calculation!R181,"-",Calculation!S181,"-",Calculation!T181,"-",Calculation!U181))</f>
        <v/>
      </c>
      <c r="B175" s="224">
        <v>160</v>
      </c>
      <c r="C175" s="629" t="str">
        <f>IF(A175="","",Calculation!B181)</f>
        <v/>
      </c>
      <c r="D175" s="386" t="str">
        <f>IF(A175="","",Calculation!L181)</f>
        <v/>
      </c>
      <c r="E175" s="387" t="str">
        <f>IF(A175="","",Calculation!J181)</f>
        <v/>
      </c>
      <c r="F175" s="387" t="str">
        <f>IF(A175="","",Calculation!C181)</f>
        <v/>
      </c>
      <c r="G175" s="387" t="str">
        <f>IF(A175="","",LEFT(Calculation!O181,6))</f>
        <v/>
      </c>
      <c r="H175" s="388" t="str">
        <f>IF(A175="","",Calculation!DX181)</f>
        <v/>
      </c>
      <c r="I175" s="387" t="str">
        <f>IF(A175="","",Calculation!P181)</f>
        <v/>
      </c>
      <c r="J175" s="387" t="str">
        <f>IF(A175="","",HLOOKUP(LEFT(Calculation!BO181,7),LookUps!$C$38:$M$41,4))</f>
        <v/>
      </c>
      <c r="K175" s="387" t="str">
        <f>IF(A175="","",Calculation!M181)</f>
        <v/>
      </c>
      <c r="L175" s="387" t="str">
        <f>IF(A175="","",Calculation!S181)</f>
        <v/>
      </c>
      <c r="M175" s="389" t="str">
        <f>IF(A175="","",Calculation!N181)</f>
        <v/>
      </c>
      <c r="N175" s="390" t="str">
        <f>IF(A175="","",Calculation!R181)</f>
        <v/>
      </c>
      <c r="O175" s="391" t="str">
        <f>IF(A175="","",Calculation!$F$6)</f>
        <v/>
      </c>
      <c r="P175" s="392" t="str">
        <f>IF(A175="","",Calculation!$F$7)</f>
        <v/>
      </c>
      <c r="Q175" s="393" t="str">
        <f>IF(A175="","",Calculation!$F$13)</f>
        <v/>
      </c>
      <c r="R175" s="394" t="str">
        <f>IF(A175="","",Calculation!X181)</f>
        <v/>
      </c>
      <c r="S175" s="393" t="str">
        <f>IF(A175="","",Calculation!T181)</f>
        <v/>
      </c>
      <c r="T175" s="395" t="str">
        <f>IF(A175="","",IF(Calculation!$O$8="None","Water",CONCATENATE(Calculation!$O$8,"-",Calculation!$S$8,"%")))</f>
        <v/>
      </c>
      <c r="U175" s="393" t="str">
        <f>IF(A175="","",Calculation!$P$6)</f>
        <v/>
      </c>
      <c r="V175" s="393" t="str">
        <f>IF(A175="","",Calculation!AT181)</f>
        <v/>
      </c>
      <c r="W175" s="396" t="str">
        <f>IF(A175="","",Calculation!AP181)</f>
        <v/>
      </c>
      <c r="X175" s="396" t="str">
        <f>IF(A175="","",Calculation!AO181)</f>
        <v/>
      </c>
      <c r="Y175" s="396" t="str">
        <f>IF(A175="","",Calculation!AQ181)</f>
        <v/>
      </c>
      <c r="Z175" s="396" t="str">
        <f>IF(A175="","",Calculation!$H$6)</f>
        <v/>
      </c>
      <c r="AA175" s="397" t="str">
        <f>IF(A175="","",Calculation!$H$13)</f>
        <v/>
      </c>
      <c r="AB175" s="397" t="str">
        <f>IF(A175="","",Calculation!U181)</f>
        <v/>
      </c>
      <c r="AC175" s="398" t="str">
        <f>IF(A175="","",IF(Calculation!$O$9="None","Water",CONCATENATE(Calculation!$O$9,"-",Calculation!$S$9,"%")))</f>
        <v/>
      </c>
      <c r="AD175" s="396" t="str">
        <f>IF(A175="","",Calculation!$S$6)</f>
        <v/>
      </c>
      <c r="AE175" s="399" t="str">
        <f>IF(A175="","",Calculation!BA181)</f>
        <v/>
      </c>
      <c r="AF175" s="396" t="str">
        <f>IF(A175="","",Calculation!AX181)</f>
        <v/>
      </c>
      <c r="AG175" s="396" t="str">
        <f>IF(A175="","",Calculation!AW181)</f>
        <v/>
      </c>
      <c r="AH175" s="391" t="str">
        <f>IF(A175="","",Calculation!AY181)</f>
        <v/>
      </c>
      <c r="AI175" s="391" t="str">
        <f>IF(A175="","",Calculation!Y181)</f>
        <v/>
      </c>
      <c r="AJ175" s="401" t="str">
        <f>IF(Calculation!BD181&gt;0,Calculation!BD181," ")</f>
        <v xml:space="preserve"> </v>
      </c>
      <c r="AK175" s="401" t="str">
        <f>IF(Calculation!BD181&gt;0,Calculation!BE181," ")</f>
        <v xml:space="preserve"> </v>
      </c>
      <c r="AL175" s="401" t="str">
        <f>IF(Calculation!BD181&gt;0,Calculation!BF181," ")</f>
        <v xml:space="preserve"> </v>
      </c>
      <c r="AM175" s="401" t="str">
        <f>IF(Calculation!BD181&gt;0,Calculation!BG181," ")</f>
        <v xml:space="preserve"> </v>
      </c>
      <c r="AN175" s="391" t="str">
        <f>IF(Calculation!BH181="N/A","N/A",Calculation!BH181)</f>
        <v xml:space="preserve"> </v>
      </c>
      <c r="AO175" s="402" t="str">
        <f>IF(Calculation!BI181="N/A","N/A",Calculation!BI181)</f>
        <v/>
      </c>
      <c r="AP175" s="391" t="str">
        <f>IF(Calculation!BJ181="N/A","N/A",Calculation!BJ181)</f>
        <v/>
      </c>
      <c r="AQ175" s="402" t="str">
        <f>IF(Calculation!BK181="N/A","N/A",Calculation!BK181)</f>
        <v/>
      </c>
      <c r="AR175" s="391" t="str">
        <f>IF(Calculation!BL181="N/A","N/A",Calculation!BL181)</f>
        <v/>
      </c>
      <c r="AS175" s="402" t="str">
        <f>IF(Calculation!BM181="N/A","N/A",Calculation!BM181)</f>
        <v/>
      </c>
      <c r="AT175" s="400"/>
    </row>
    <row r="176" spans="1:46" ht="12.75" customHeight="1">
      <c r="A176" s="224" t="str">
        <f>IF(Calculation!BN182="","",CONCATENATE(Calculation!BO182,"-",Calculation!R182,"-",Calculation!S182,"-",Calculation!T182,"-",Calculation!U182))</f>
        <v/>
      </c>
      <c r="B176" s="224">
        <v>161</v>
      </c>
      <c r="C176" s="629" t="str">
        <f>IF(A176="","",Calculation!B182)</f>
        <v/>
      </c>
      <c r="D176" s="386" t="str">
        <f>IF(A176="","",Calculation!L182)</f>
        <v/>
      </c>
      <c r="E176" s="387" t="str">
        <f>IF(A176="","",Calculation!J182)</f>
        <v/>
      </c>
      <c r="F176" s="387" t="str">
        <f>IF(A176="","",Calculation!C182)</f>
        <v/>
      </c>
      <c r="G176" s="387" t="str">
        <f>IF(A176="","",LEFT(Calculation!O182,6))</f>
        <v/>
      </c>
      <c r="H176" s="388" t="str">
        <f>IF(A176="","",Calculation!DX182)</f>
        <v/>
      </c>
      <c r="I176" s="387" t="str">
        <f>IF(A176="","",Calculation!P182)</f>
        <v/>
      </c>
      <c r="J176" s="387" t="str">
        <f>IF(A176="","",HLOOKUP(LEFT(Calculation!BO182,7),LookUps!$C$38:$M$41,4))</f>
        <v/>
      </c>
      <c r="K176" s="387" t="str">
        <f>IF(A176="","",Calculation!M182)</f>
        <v/>
      </c>
      <c r="L176" s="387" t="str">
        <f>IF(A176="","",Calculation!S182)</f>
        <v/>
      </c>
      <c r="M176" s="389" t="str">
        <f>IF(A176="","",Calculation!N182)</f>
        <v/>
      </c>
      <c r="N176" s="390" t="str">
        <f>IF(A176="","",Calculation!R182)</f>
        <v/>
      </c>
      <c r="O176" s="391" t="str">
        <f>IF(A176="","",Calculation!$F$6)</f>
        <v/>
      </c>
      <c r="P176" s="392" t="str">
        <f>IF(A176="","",Calculation!$F$7)</f>
        <v/>
      </c>
      <c r="Q176" s="393" t="str">
        <f>IF(A176="","",Calculation!$F$13)</f>
        <v/>
      </c>
      <c r="R176" s="394" t="str">
        <f>IF(A176="","",Calculation!X182)</f>
        <v/>
      </c>
      <c r="S176" s="393" t="str">
        <f>IF(A176="","",Calculation!T182)</f>
        <v/>
      </c>
      <c r="T176" s="395" t="str">
        <f>IF(A176="","",IF(Calculation!$O$8="None","Water",CONCATENATE(Calculation!$O$8,"-",Calculation!$S$8,"%")))</f>
        <v/>
      </c>
      <c r="U176" s="393" t="str">
        <f>IF(A176="","",Calculation!$P$6)</f>
        <v/>
      </c>
      <c r="V176" s="393" t="str">
        <f>IF(A176="","",Calculation!AT182)</f>
        <v/>
      </c>
      <c r="W176" s="396" t="str">
        <f>IF(A176="","",Calculation!AP182)</f>
        <v/>
      </c>
      <c r="X176" s="396" t="str">
        <f>IF(A176="","",Calculation!AO182)</f>
        <v/>
      </c>
      <c r="Y176" s="396" t="str">
        <f>IF(A176="","",Calculation!AQ182)</f>
        <v/>
      </c>
      <c r="Z176" s="396" t="str">
        <f>IF(A176="","",Calculation!$H$6)</f>
        <v/>
      </c>
      <c r="AA176" s="397" t="str">
        <f>IF(A176="","",Calculation!$H$13)</f>
        <v/>
      </c>
      <c r="AB176" s="397" t="str">
        <f>IF(A176="","",Calculation!U182)</f>
        <v/>
      </c>
      <c r="AC176" s="398" t="str">
        <f>IF(A176="","",IF(Calculation!$O$9="None","Water",CONCATENATE(Calculation!$O$9,"-",Calculation!$S$9,"%")))</f>
        <v/>
      </c>
      <c r="AD176" s="396" t="str">
        <f>IF(A176="","",Calculation!$S$6)</f>
        <v/>
      </c>
      <c r="AE176" s="399" t="str">
        <f>IF(A176="","",Calculation!BA182)</f>
        <v/>
      </c>
      <c r="AF176" s="396" t="str">
        <f>IF(A176="","",Calculation!AX182)</f>
        <v/>
      </c>
      <c r="AG176" s="396" t="str">
        <f>IF(A176="","",Calculation!AW182)</f>
        <v/>
      </c>
      <c r="AH176" s="391" t="str">
        <f>IF(A176="","",Calculation!AY182)</f>
        <v/>
      </c>
      <c r="AI176" s="391" t="str">
        <f>IF(A176="","",Calculation!Y182)</f>
        <v/>
      </c>
      <c r="AJ176" s="401" t="str">
        <f>IF(Calculation!BD182&gt;0,Calculation!BD182," ")</f>
        <v xml:space="preserve"> </v>
      </c>
      <c r="AK176" s="401" t="str">
        <f>IF(Calculation!BD182&gt;0,Calculation!BE182," ")</f>
        <v xml:space="preserve"> </v>
      </c>
      <c r="AL176" s="401" t="str">
        <f>IF(Calculation!BD182&gt;0,Calculation!BF182," ")</f>
        <v xml:space="preserve"> </v>
      </c>
      <c r="AM176" s="401" t="str">
        <f>IF(Calculation!BD182&gt;0,Calculation!BG182," ")</f>
        <v xml:space="preserve"> </v>
      </c>
      <c r="AN176" s="391" t="str">
        <f>IF(Calculation!BH182="N/A","N/A",Calculation!BH182)</f>
        <v xml:space="preserve"> </v>
      </c>
      <c r="AO176" s="402" t="str">
        <f>IF(Calculation!BI182="N/A","N/A",Calculation!BI182)</f>
        <v/>
      </c>
      <c r="AP176" s="391" t="str">
        <f>IF(Calculation!BJ182="N/A","N/A",Calculation!BJ182)</f>
        <v/>
      </c>
      <c r="AQ176" s="402" t="str">
        <f>IF(Calculation!BK182="N/A","N/A",Calculation!BK182)</f>
        <v/>
      </c>
      <c r="AR176" s="391" t="str">
        <f>IF(Calculation!BL182="N/A","N/A",Calculation!BL182)</f>
        <v/>
      </c>
      <c r="AS176" s="402" t="str">
        <f>IF(Calculation!BM182="N/A","N/A",Calculation!BM182)</f>
        <v/>
      </c>
      <c r="AT176" s="400"/>
    </row>
    <row r="177" spans="1:46" ht="12.75" customHeight="1">
      <c r="A177" s="224" t="str">
        <f>IF(Calculation!BN183="","",CONCATENATE(Calculation!BO183,"-",Calculation!R183,"-",Calculation!S183,"-",Calculation!T183,"-",Calculation!U183))</f>
        <v/>
      </c>
      <c r="B177" s="224">
        <v>162</v>
      </c>
      <c r="C177" s="629" t="str">
        <f>IF(A177="","",Calculation!B183)</f>
        <v/>
      </c>
      <c r="D177" s="386" t="str">
        <f>IF(A177="","",Calculation!L183)</f>
        <v/>
      </c>
      <c r="E177" s="387" t="str">
        <f>IF(A177="","",Calculation!J183)</f>
        <v/>
      </c>
      <c r="F177" s="387" t="str">
        <f>IF(A177="","",Calculation!C183)</f>
        <v/>
      </c>
      <c r="G177" s="387" t="str">
        <f>IF(A177="","",LEFT(Calculation!O183,6))</f>
        <v/>
      </c>
      <c r="H177" s="388" t="str">
        <f>IF(A177="","",Calculation!DX183)</f>
        <v/>
      </c>
      <c r="I177" s="387" t="str">
        <f>IF(A177="","",Calculation!P183)</f>
        <v/>
      </c>
      <c r="J177" s="387" t="str">
        <f>IF(A177="","",HLOOKUP(LEFT(Calculation!BO183,7),LookUps!$C$38:$M$41,4))</f>
        <v/>
      </c>
      <c r="K177" s="387" t="str">
        <f>IF(A177="","",Calculation!M183)</f>
        <v/>
      </c>
      <c r="L177" s="387" t="str">
        <f>IF(A177="","",Calculation!S183)</f>
        <v/>
      </c>
      <c r="M177" s="389" t="str">
        <f>IF(A177="","",Calculation!N183)</f>
        <v/>
      </c>
      <c r="N177" s="390" t="str">
        <f>IF(A177="","",Calculation!R183)</f>
        <v/>
      </c>
      <c r="O177" s="391" t="str">
        <f>IF(A177="","",Calculation!$F$6)</f>
        <v/>
      </c>
      <c r="P177" s="392" t="str">
        <f>IF(A177="","",Calculation!$F$7)</f>
        <v/>
      </c>
      <c r="Q177" s="393" t="str">
        <f>IF(A177="","",Calculation!$F$13)</f>
        <v/>
      </c>
      <c r="R177" s="394" t="str">
        <f>IF(A177="","",Calculation!X183)</f>
        <v/>
      </c>
      <c r="S177" s="393" t="str">
        <f>IF(A177="","",Calculation!T183)</f>
        <v/>
      </c>
      <c r="T177" s="395" t="str">
        <f>IF(A177="","",IF(Calculation!$O$8="None","Water",CONCATENATE(Calculation!$O$8,"-",Calculation!$S$8,"%")))</f>
        <v/>
      </c>
      <c r="U177" s="393" t="str">
        <f>IF(A177="","",Calculation!$P$6)</f>
        <v/>
      </c>
      <c r="V177" s="393" t="str">
        <f>IF(A177="","",Calculation!AT183)</f>
        <v/>
      </c>
      <c r="W177" s="396" t="str">
        <f>IF(A177="","",Calculation!AP183)</f>
        <v/>
      </c>
      <c r="X177" s="396" t="str">
        <f>IF(A177="","",Calculation!AO183)</f>
        <v/>
      </c>
      <c r="Y177" s="396" t="str">
        <f>IF(A177="","",Calculation!AQ183)</f>
        <v/>
      </c>
      <c r="Z177" s="396" t="str">
        <f>IF(A177="","",Calculation!$H$6)</f>
        <v/>
      </c>
      <c r="AA177" s="397" t="str">
        <f>IF(A177="","",Calculation!$H$13)</f>
        <v/>
      </c>
      <c r="AB177" s="397" t="str">
        <f>IF(A177="","",Calculation!U183)</f>
        <v/>
      </c>
      <c r="AC177" s="398" t="str">
        <f>IF(A177="","",IF(Calculation!$O$9="None","Water",CONCATENATE(Calculation!$O$9,"-",Calculation!$S$9,"%")))</f>
        <v/>
      </c>
      <c r="AD177" s="396" t="str">
        <f>IF(A177="","",Calculation!$S$6)</f>
        <v/>
      </c>
      <c r="AE177" s="399" t="str">
        <f>IF(A177="","",Calculation!BA183)</f>
        <v/>
      </c>
      <c r="AF177" s="396" t="str">
        <f>IF(A177="","",Calculation!AX183)</f>
        <v/>
      </c>
      <c r="AG177" s="396" t="str">
        <f>IF(A177="","",Calculation!AW183)</f>
        <v/>
      </c>
      <c r="AH177" s="391" t="str">
        <f>IF(A177="","",Calculation!AY183)</f>
        <v/>
      </c>
      <c r="AI177" s="391" t="str">
        <f>IF(A177="","",Calculation!Y183)</f>
        <v/>
      </c>
      <c r="AJ177" s="401" t="str">
        <f>IF(Calculation!BD183&gt;0,Calculation!BD183," ")</f>
        <v xml:space="preserve"> </v>
      </c>
      <c r="AK177" s="401" t="str">
        <f>IF(Calculation!BD183&gt;0,Calculation!BE183," ")</f>
        <v xml:space="preserve"> </v>
      </c>
      <c r="AL177" s="401" t="str">
        <f>IF(Calculation!BD183&gt;0,Calculation!BF183," ")</f>
        <v xml:space="preserve"> </v>
      </c>
      <c r="AM177" s="401" t="str">
        <f>IF(Calculation!BD183&gt;0,Calculation!BG183," ")</f>
        <v xml:space="preserve"> </v>
      </c>
      <c r="AN177" s="391" t="str">
        <f>IF(Calculation!BH183="N/A","N/A",Calculation!BH183)</f>
        <v xml:space="preserve"> </v>
      </c>
      <c r="AO177" s="402" t="str">
        <f>IF(Calculation!BI183="N/A","N/A",Calculation!BI183)</f>
        <v/>
      </c>
      <c r="AP177" s="391" t="str">
        <f>IF(Calculation!BJ183="N/A","N/A",Calculation!BJ183)</f>
        <v/>
      </c>
      <c r="AQ177" s="402" t="str">
        <f>IF(Calculation!BK183="N/A","N/A",Calculation!BK183)</f>
        <v/>
      </c>
      <c r="AR177" s="391" t="str">
        <f>IF(Calculation!BL183="N/A","N/A",Calculation!BL183)</f>
        <v/>
      </c>
      <c r="AS177" s="402" t="str">
        <f>IF(Calculation!BM183="N/A","N/A",Calculation!BM183)</f>
        <v/>
      </c>
      <c r="AT177" s="400"/>
    </row>
    <row r="178" spans="1:46" ht="12.75" customHeight="1">
      <c r="A178" s="224" t="str">
        <f>IF(Calculation!BN184="","",CONCATENATE(Calculation!BO184,"-",Calculation!R184,"-",Calculation!S184,"-",Calculation!T184,"-",Calculation!U184))</f>
        <v/>
      </c>
      <c r="B178" s="224">
        <v>163</v>
      </c>
      <c r="C178" s="629" t="str">
        <f>IF(A178="","",Calculation!B184)</f>
        <v/>
      </c>
      <c r="D178" s="386" t="str">
        <f>IF(A178="","",Calculation!L184)</f>
        <v/>
      </c>
      <c r="E178" s="387" t="str">
        <f>IF(A178="","",Calculation!J184)</f>
        <v/>
      </c>
      <c r="F178" s="387" t="str">
        <f>IF(A178="","",Calculation!C184)</f>
        <v/>
      </c>
      <c r="G178" s="387" t="str">
        <f>IF(A178="","",LEFT(Calculation!O184,6))</f>
        <v/>
      </c>
      <c r="H178" s="388" t="str">
        <f>IF(A178="","",Calculation!DX184)</f>
        <v/>
      </c>
      <c r="I178" s="387" t="str">
        <f>IF(A178="","",Calculation!P184)</f>
        <v/>
      </c>
      <c r="J178" s="387" t="str">
        <f>IF(A178="","",HLOOKUP(LEFT(Calculation!BO184,7),LookUps!$C$38:$M$41,4))</f>
        <v/>
      </c>
      <c r="K178" s="387" t="str">
        <f>IF(A178="","",Calculation!M184)</f>
        <v/>
      </c>
      <c r="L178" s="387" t="str">
        <f>IF(A178="","",Calculation!S184)</f>
        <v/>
      </c>
      <c r="M178" s="389" t="str">
        <f>IF(A178="","",Calculation!N184)</f>
        <v/>
      </c>
      <c r="N178" s="390" t="str">
        <f>IF(A178="","",Calculation!R184)</f>
        <v/>
      </c>
      <c r="O178" s="391" t="str">
        <f>IF(A178="","",Calculation!$F$6)</f>
        <v/>
      </c>
      <c r="P178" s="392" t="str">
        <f>IF(A178="","",Calculation!$F$7)</f>
        <v/>
      </c>
      <c r="Q178" s="393" t="str">
        <f>IF(A178="","",Calculation!$F$13)</f>
        <v/>
      </c>
      <c r="R178" s="394" t="str">
        <f>IF(A178="","",Calculation!X184)</f>
        <v/>
      </c>
      <c r="S178" s="393" t="str">
        <f>IF(A178="","",Calculation!T184)</f>
        <v/>
      </c>
      <c r="T178" s="395" t="str">
        <f>IF(A178="","",IF(Calculation!$O$8="None","Water",CONCATENATE(Calculation!$O$8,"-",Calculation!$S$8,"%")))</f>
        <v/>
      </c>
      <c r="U178" s="393" t="str">
        <f>IF(A178="","",Calculation!$P$6)</f>
        <v/>
      </c>
      <c r="V178" s="393" t="str">
        <f>IF(A178="","",Calculation!AT184)</f>
        <v/>
      </c>
      <c r="W178" s="396" t="str">
        <f>IF(A178="","",Calculation!AP184)</f>
        <v/>
      </c>
      <c r="X178" s="396" t="str">
        <f>IF(A178="","",Calculation!AO184)</f>
        <v/>
      </c>
      <c r="Y178" s="396" t="str">
        <f>IF(A178="","",Calculation!AQ184)</f>
        <v/>
      </c>
      <c r="Z178" s="396" t="str">
        <f>IF(A178="","",Calculation!$H$6)</f>
        <v/>
      </c>
      <c r="AA178" s="397" t="str">
        <f>IF(A178="","",Calculation!$H$13)</f>
        <v/>
      </c>
      <c r="AB178" s="397" t="str">
        <f>IF(A178="","",Calculation!U184)</f>
        <v/>
      </c>
      <c r="AC178" s="398" t="str">
        <f>IF(A178="","",IF(Calculation!$O$9="None","Water",CONCATENATE(Calculation!$O$9,"-",Calculation!$S$9,"%")))</f>
        <v/>
      </c>
      <c r="AD178" s="396" t="str">
        <f>IF(A178="","",Calculation!$S$6)</f>
        <v/>
      </c>
      <c r="AE178" s="399" t="str">
        <f>IF(A178="","",Calculation!BA184)</f>
        <v/>
      </c>
      <c r="AF178" s="396" t="str">
        <f>IF(A178="","",Calculation!AX184)</f>
        <v/>
      </c>
      <c r="AG178" s="396" t="str">
        <f>IF(A178="","",Calculation!AW184)</f>
        <v/>
      </c>
      <c r="AH178" s="391" t="str">
        <f>IF(A178="","",Calculation!AY184)</f>
        <v/>
      </c>
      <c r="AI178" s="391" t="str">
        <f>IF(A178="","",Calculation!Y184)</f>
        <v/>
      </c>
      <c r="AJ178" s="401" t="str">
        <f>IF(Calculation!BD184&gt;0,Calculation!BD184," ")</f>
        <v xml:space="preserve"> </v>
      </c>
      <c r="AK178" s="401" t="str">
        <f>IF(Calculation!BD184&gt;0,Calculation!BE184," ")</f>
        <v xml:space="preserve"> </v>
      </c>
      <c r="AL178" s="401" t="str">
        <f>IF(Calculation!BD184&gt;0,Calculation!BF184," ")</f>
        <v xml:space="preserve"> </v>
      </c>
      <c r="AM178" s="401" t="str">
        <f>IF(Calculation!BD184&gt;0,Calculation!BG184," ")</f>
        <v xml:space="preserve"> </v>
      </c>
      <c r="AN178" s="391" t="str">
        <f>IF(Calculation!BH184="N/A","N/A",Calculation!BH184)</f>
        <v xml:space="preserve"> </v>
      </c>
      <c r="AO178" s="402" t="str">
        <f>IF(Calculation!BI184="N/A","N/A",Calculation!BI184)</f>
        <v/>
      </c>
      <c r="AP178" s="391" t="str">
        <f>IF(Calculation!BJ184="N/A","N/A",Calculation!BJ184)</f>
        <v/>
      </c>
      <c r="AQ178" s="402" t="str">
        <f>IF(Calculation!BK184="N/A","N/A",Calculation!BK184)</f>
        <v/>
      </c>
      <c r="AR178" s="391" t="str">
        <f>IF(Calculation!BL184="N/A","N/A",Calculation!BL184)</f>
        <v/>
      </c>
      <c r="AS178" s="402" t="str">
        <f>IF(Calculation!BM184="N/A","N/A",Calculation!BM184)</f>
        <v/>
      </c>
      <c r="AT178" s="400"/>
    </row>
    <row r="179" spans="1:46" ht="12.75" customHeight="1">
      <c r="A179" s="224" t="str">
        <f>IF(Calculation!BN185="","",CONCATENATE(Calculation!BO185,"-",Calculation!R185,"-",Calculation!S185,"-",Calculation!T185,"-",Calculation!U185))</f>
        <v/>
      </c>
      <c r="B179" s="224">
        <v>164</v>
      </c>
      <c r="C179" s="629" t="str">
        <f>IF(A179="","",Calculation!B185)</f>
        <v/>
      </c>
      <c r="D179" s="386" t="str">
        <f>IF(A179="","",Calculation!L185)</f>
        <v/>
      </c>
      <c r="E179" s="387" t="str">
        <f>IF(A179="","",Calculation!J185)</f>
        <v/>
      </c>
      <c r="F179" s="387" t="str">
        <f>IF(A179="","",Calculation!C185)</f>
        <v/>
      </c>
      <c r="G179" s="387" t="str">
        <f>IF(A179="","",LEFT(Calculation!O185,6))</f>
        <v/>
      </c>
      <c r="H179" s="388" t="str">
        <f>IF(A179="","",Calculation!DX185)</f>
        <v/>
      </c>
      <c r="I179" s="387" t="str">
        <f>IF(A179="","",Calculation!P185)</f>
        <v/>
      </c>
      <c r="J179" s="387" t="str">
        <f>IF(A179="","",HLOOKUP(LEFT(Calculation!BO185,7),LookUps!$C$38:$M$41,4))</f>
        <v/>
      </c>
      <c r="K179" s="387" t="str">
        <f>IF(A179="","",Calculation!M185)</f>
        <v/>
      </c>
      <c r="L179" s="387" t="str">
        <f>IF(A179="","",Calculation!S185)</f>
        <v/>
      </c>
      <c r="M179" s="389" t="str">
        <f>IF(A179="","",Calculation!N185)</f>
        <v/>
      </c>
      <c r="N179" s="390" t="str">
        <f>IF(A179="","",Calculation!R185)</f>
        <v/>
      </c>
      <c r="O179" s="391" t="str">
        <f>IF(A179="","",Calculation!$F$6)</f>
        <v/>
      </c>
      <c r="P179" s="392" t="str">
        <f>IF(A179="","",Calculation!$F$7)</f>
        <v/>
      </c>
      <c r="Q179" s="393" t="str">
        <f>IF(A179="","",Calculation!$F$13)</f>
        <v/>
      </c>
      <c r="R179" s="394" t="str">
        <f>IF(A179="","",Calculation!X185)</f>
        <v/>
      </c>
      <c r="S179" s="393" t="str">
        <f>IF(A179="","",Calculation!T185)</f>
        <v/>
      </c>
      <c r="T179" s="395" t="str">
        <f>IF(A179="","",IF(Calculation!$O$8="None","Water",CONCATENATE(Calculation!$O$8,"-",Calculation!$S$8,"%")))</f>
        <v/>
      </c>
      <c r="U179" s="393" t="str">
        <f>IF(A179="","",Calculation!$P$6)</f>
        <v/>
      </c>
      <c r="V179" s="393" t="str">
        <f>IF(A179="","",Calculation!AT185)</f>
        <v/>
      </c>
      <c r="W179" s="396" t="str">
        <f>IF(A179="","",Calculation!AP185)</f>
        <v/>
      </c>
      <c r="X179" s="396" t="str">
        <f>IF(A179="","",Calculation!AO185)</f>
        <v/>
      </c>
      <c r="Y179" s="396" t="str">
        <f>IF(A179="","",Calculation!AQ185)</f>
        <v/>
      </c>
      <c r="Z179" s="396" t="str">
        <f>IF(A179="","",Calculation!$H$6)</f>
        <v/>
      </c>
      <c r="AA179" s="397" t="str">
        <f>IF(A179="","",Calculation!$H$13)</f>
        <v/>
      </c>
      <c r="AB179" s="397" t="str">
        <f>IF(A179="","",Calculation!U185)</f>
        <v/>
      </c>
      <c r="AC179" s="398" t="str">
        <f>IF(A179="","",IF(Calculation!$O$9="None","Water",CONCATENATE(Calculation!$O$9,"-",Calculation!$S$9,"%")))</f>
        <v/>
      </c>
      <c r="AD179" s="396" t="str">
        <f>IF(A179="","",Calculation!$S$6)</f>
        <v/>
      </c>
      <c r="AE179" s="399" t="str">
        <f>IF(A179="","",Calculation!BA185)</f>
        <v/>
      </c>
      <c r="AF179" s="396" t="str">
        <f>IF(A179="","",Calculation!AX185)</f>
        <v/>
      </c>
      <c r="AG179" s="396" t="str">
        <f>IF(A179="","",Calculation!AW185)</f>
        <v/>
      </c>
      <c r="AH179" s="391" t="str">
        <f>IF(A179="","",Calculation!AY185)</f>
        <v/>
      </c>
      <c r="AI179" s="391" t="str">
        <f>IF(A179="","",Calculation!Y185)</f>
        <v/>
      </c>
      <c r="AJ179" s="401" t="str">
        <f>IF(Calculation!BD185&gt;0,Calculation!BD185," ")</f>
        <v xml:space="preserve"> </v>
      </c>
      <c r="AK179" s="401" t="str">
        <f>IF(Calculation!BD185&gt;0,Calculation!BE185," ")</f>
        <v xml:space="preserve"> </v>
      </c>
      <c r="AL179" s="401" t="str">
        <f>IF(Calculation!BD185&gt;0,Calculation!BF185," ")</f>
        <v xml:space="preserve"> </v>
      </c>
      <c r="AM179" s="401" t="str">
        <f>IF(Calculation!BD185&gt;0,Calculation!BG185," ")</f>
        <v xml:space="preserve"> </v>
      </c>
      <c r="AN179" s="391" t="str">
        <f>IF(Calculation!BH185="N/A","N/A",Calculation!BH185)</f>
        <v xml:space="preserve"> </v>
      </c>
      <c r="AO179" s="402" t="str">
        <f>IF(Calculation!BI185="N/A","N/A",Calculation!BI185)</f>
        <v/>
      </c>
      <c r="AP179" s="391" t="str">
        <f>IF(Calculation!BJ185="N/A","N/A",Calculation!BJ185)</f>
        <v/>
      </c>
      <c r="AQ179" s="402" t="str">
        <f>IF(Calculation!BK185="N/A","N/A",Calculation!BK185)</f>
        <v/>
      </c>
      <c r="AR179" s="391" t="str">
        <f>IF(Calculation!BL185="N/A","N/A",Calculation!BL185)</f>
        <v/>
      </c>
      <c r="AS179" s="402" t="str">
        <f>IF(Calculation!BM185="N/A","N/A",Calculation!BM185)</f>
        <v/>
      </c>
      <c r="AT179" s="400"/>
    </row>
    <row r="180" spans="1:46" ht="12.75" customHeight="1">
      <c r="A180" s="224" t="str">
        <f>IF(Calculation!BN186="","",CONCATENATE(Calculation!BO186,"-",Calculation!R186,"-",Calculation!S186,"-",Calculation!T186,"-",Calculation!U186))</f>
        <v/>
      </c>
      <c r="B180" s="224">
        <v>165</v>
      </c>
      <c r="C180" s="629" t="str">
        <f>IF(A180="","",Calculation!B186)</f>
        <v/>
      </c>
      <c r="D180" s="386" t="str">
        <f>IF(A180="","",Calculation!L186)</f>
        <v/>
      </c>
      <c r="E180" s="387" t="str">
        <f>IF(A180="","",Calculation!J186)</f>
        <v/>
      </c>
      <c r="F180" s="387" t="str">
        <f>IF(A180="","",Calculation!C186)</f>
        <v/>
      </c>
      <c r="G180" s="387" t="str">
        <f>IF(A180="","",LEFT(Calculation!O186,6))</f>
        <v/>
      </c>
      <c r="H180" s="388" t="str">
        <f>IF(A180="","",Calculation!DX186)</f>
        <v/>
      </c>
      <c r="I180" s="387" t="str">
        <f>IF(A180="","",Calculation!P186)</f>
        <v/>
      </c>
      <c r="J180" s="387" t="str">
        <f>IF(A180="","",HLOOKUP(LEFT(Calculation!BO186,7),LookUps!$C$38:$M$41,4))</f>
        <v/>
      </c>
      <c r="K180" s="387" t="str">
        <f>IF(A180="","",Calculation!M186)</f>
        <v/>
      </c>
      <c r="L180" s="387" t="str">
        <f>IF(A180="","",Calculation!S186)</f>
        <v/>
      </c>
      <c r="M180" s="389" t="str">
        <f>IF(A180="","",Calculation!N186)</f>
        <v/>
      </c>
      <c r="N180" s="390" t="str">
        <f>IF(A180="","",Calculation!R186)</f>
        <v/>
      </c>
      <c r="O180" s="391" t="str">
        <f>IF(A180="","",Calculation!$F$6)</f>
        <v/>
      </c>
      <c r="P180" s="392" t="str">
        <f>IF(A180="","",Calculation!$F$7)</f>
        <v/>
      </c>
      <c r="Q180" s="393" t="str">
        <f>IF(A180="","",Calculation!$F$13)</f>
        <v/>
      </c>
      <c r="R180" s="394" t="str">
        <f>IF(A180="","",Calculation!X186)</f>
        <v/>
      </c>
      <c r="S180" s="393" t="str">
        <f>IF(A180="","",Calculation!T186)</f>
        <v/>
      </c>
      <c r="T180" s="395" t="str">
        <f>IF(A180="","",IF(Calculation!$O$8="None","Water",CONCATENATE(Calculation!$O$8,"-",Calculation!$S$8,"%")))</f>
        <v/>
      </c>
      <c r="U180" s="393" t="str">
        <f>IF(A180="","",Calculation!$P$6)</f>
        <v/>
      </c>
      <c r="V180" s="393" t="str">
        <f>IF(A180="","",Calculation!AT186)</f>
        <v/>
      </c>
      <c r="W180" s="396" t="str">
        <f>IF(A180="","",Calculation!AP186)</f>
        <v/>
      </c>
      <c r="X180" s="396" t="str">
        <f>IF(A180="","",Calculation!AO186)</f>
        <v/>
      </c>
      <c r="Y180" s="396" t="str">
        <f>IF(A180="","",Calculation!AQ186)</f>
        <v/>
      </c>
      <c r="Z180" s="396" t="str">
        <f>IF(A180="","",Calculation!$H$6)</f>
        <v/>
      </c>
      <c r="AA180" s="397" t="str">
        <f>IF(A180="","",Calculation!$H$13)</f>
        <v/>
      </c>
      <c r="AB180" s="397" t="str">
        <f>IF(A180="","",Calculation!U186)</f>
        <v/>
      </c>
      <c r="AC180" s="398" t="str">
        <f>IF(A180="","",IF(Calculation!$O$9="None","Water",CONCATENATE(Calculation!$O$9,"-",Calculation!$S$9,"%")))</f>
        <v/>
      </c>
      <c r="AD180" s="396" t="str">
        <f>IF(A180="","",Calculation!$S$6)</f>
        <v/>
      </c>
      <c r="AE180" s="399" t="str">
        <f>IF(A180="","",Calculation!BA186)</f>
        <v/>
      </c>
      <c r="AF180" s="396" t="str">
        <f>IF(A180="","",Calculation!AX186)</f>
        <v/>
      </c>
      <c r="AG180" s="396" t="str">
        <f>IF(A180="","",Calculation!AW186)</f>
        <v/>
      </c>
      <c r="AH180" s="391" t="str">
        <f>IF(A180="","",Calculation!AY186)</f>
        <v/>
      </c>
      <c r="AI180" s="391" t="str">
        <f>IF(A180="","",Calculation!Y186)</f>
        <v/>
      </c>
      <c r="AJ180" s="401" t="str">
        <f>IF(Calculation!BD186&gt;0,Calculation!BD186," ")</f>
        <v xml:space="preserve"> </v>
      </c>
      <c r="AK180" s="401" t="str">
        <f>IF(Calculation!BD186&gt;0,Calculation!BE186," ")</f>
        <v xml:space="preserve"> </v>
      </c>
      <c r="AL180" s="401" t="str">
        <f>IF(Calculation!BD186&gt;0,Calculation!BF186," ")</f>
        <v xml:space="preserve"> </v>
      </c>
      <c r="AM180" s="401" t="str">
        <f>IF(Calculation!BD186&gt;0,Calculation!BG186," ")</f>
        <v xml:space="preserve"> </v>
      </c>
      <c r="AN180" s="391" t="str">
        <f>IF(Calculation!BH186="N/A","N/A",Calculation!BH186)</f>
        <v xml:space="preserve"> </v>
      </c>
      <c r="AO180" s="402" t="str">
        <f>IF(Calculation!BI186="N/A","N/A",Calculation!BI186)</f>
        <v/>
      </c>
      <c r="AP180" s="391" t="str">
        <f>IF(Calculation!BJ186="N/A","N/A",Calculation!BJ186)</f>
        <v/>
      </c>
      <c r="AQ180" s="402" t="str">
        <f>IF(Calculation!BK186="N/A","N/A",Calculation!BK186)</f>
        <v/>
      </c>
      <c r="AR180" s="391" t="str">
        <f>IF(Calculation!BL186="N/A","N/A",Calculation!BL186)</f>
        <v/>
      </c>
      <c r="AS180" s="402" t="str">
        <f>IF(Calculation!BM186="N/A","N/A",Calculation!BM186)</f>
        <v/>
      </c>
      <c r="AT180" s="400"/>
    </row>
    <row r="181" spans="1:46" ht="12.75" customHeight="1">
      <c r="A181" s="224" t="str">
        <f>IF(Calculation!BN187="","",CONCATENATE(Calculation!BO187,"-",Calculation!R187,"-",Calculation!S187,"-",Calculation!T187,"-",Calculation!U187))</f>
        <v/>
      </c>
      <c r="B181" s="224">
        <v>166</v>
      </c>
      <c r="C181" s="629" t="str">
        <f>IF(A181="","",Calculation!B187)</f>
        <v/>
      </c>
      <c r="D181" s="386" t="str">
        <f>IF(A181="","",Calculation!L187)</f>
        <v/>
      </c>
      <c r="E181" s="387" t="str">
        <f>IF(A181="","",Calculation!J187)</f>
        <v/>
      </c>
      <c r="F181" s="387" t="str">
        <f>IF(A181="","",Calculation!C187)</f>
        <v/>
      </c>
      <c r="G181" s="387" t="str">
        <f>IF(A181="","",LEFT(Calculation!O187,6))</f>
        <v/>
      </c>
      <c r="H181" s="388" t="str">
        <f>IF(A181="","",Calculation!DX187)</f>
        <v/>
      </c>
      <c r="I181" s="387" t="str">
        <f>IF(A181="","",Calculation!P187)</f>
        <v/>
      </c>
      <c r="J181" s="387" t="str">
        <f>IF(A181="","",HLOOKUP(LEFT(Calculation!BO187,7),LookUps!$C$38:$M$41,4))</f>
        <v/>
      </c>
      <c r="K181" s="387" t="str">
        <f>IF(A181="","",Calculation!M187)</f>
        <v/>
      </c>
      <c r="L181" s="387" t="str">
        <f>IF(A181="","",Calculation!S187)</f>
        <v/>
      </c>
      <c r="M181" s="389" t="str">
        <f>IF(A181="","",Calculation!N187)</f>
        <v/>
      </c>
      <c r="N181" s="390" t="str">
        <f>IF(A181="","",Calculation!R187)</f>
        <v/>
      </c>
      <c r="O181" s="391" t="str">
        <f>IF(A181="","",Calculation!$F$6)</f>
        <v/>
      </c>
      <c r="P181" s="392" t="str">
        <f>IF(A181="","",Calculation!$F$7)</f>
        <v/>
      </c>
      <c r="Q181" s="393" t="str">
        <f>IF(A181="","",Calculation!$F$13)</f>
        <v/>
      </c>
      <c r="R181" s="394" t="str">
        <f>IF(A181="","",Calculation!X187)</f>
        <v/>
      </c>
      <c r="S181" s="393" t="str">
        <f>IF(A181="","",Calculation!T187)</f>
        <v/>
      </c>
      <c r="T181" s="395" t="str">
        <f>IF(A181="","",IF(Calculation!$O$8="None","Water",CONCATENATE(Calculation!$O$8,"-",Calculation!$S$8,"%")))</f>
        <v/>
      </c>
      <c r="U181" s="393" t="str">
        <f>IF(A181="","",Calculation!$P$6)</f>
        <v/>
      </c>
      <c r="V181" s="393" t="str">
        <f>IF(A181="","",Calculation!AT187)</f>
        <v/>
      </c>
      <c r="W181" s="396" t="str">
        <f>IF(A181="","",Calculation!AP187)</f>
        <v/>
      </c>
      <c r="X181" s="396" t="str">
        <f>IF(A181="","",Calculation!AO187)</f>
        <v/>
      </c>
      <c r="Y181" s="396" t="str">
        <f>IF(A181="","",Calculation!AQ187)</f>
        <v/>
      </c>
      <c r="Z181" s="396" t="str">
        <f>IF(A181="","",Calculation!$H$6)</f>
        <v/>
      </c>
      <c r="AA181" s="397" t="str">
        <f>IF(A181="","",Calculation!$H$13)</f>
        <v/>
      </c>
      <c r="AB181" s="397" t="str">
        <f>IF(A181="","",Calculation!U187)</f>
        <v/>
      </c>
      <c r="AC181" s="398" t="str">
        <f>IF(A181="","",IF(Calculation!$O$9="None","Water",CONCATENATE(Calculation!$O$9,"-",Calculation!$S$9,"%")))</f>
        <v/>
      </c>
      <c r="AD181" s="396" t="str">
        <f>IF(A181="","",Calculation!$S$6)</f>
        <v/>
      </c>
      <c r="AE181" s="399" t="str">
        <f>IF(A181="","",Calculation!BA187)</f>
        <v/>
      </c>
      <c r="AF181" s="396" t="str">
        <f>IF(A181="","",Calculation!AX187)</f>
        <v/>
      </c>
      <c r="AG181" s="396" t="str">
        <f>IF(A181="","",Calculation!AW187)</f>
        <v/>
      </c>
      <c r="AH181" s="391" t="str">
        <f>IF(A181="","",Calculation!AY187)</f>
        <v/>
      </c>
      <c r="AI181" s="391" t="str">
        <f>IF(A181="","",Calculation!Y187)</f>
        <v/>
      </c>
      <c r="AJ181" s="401" t="str">
        <f>IF(Calculation!BD187&gt;0,Calculation!BD187," ")</f>
        <v xml:space="preserve"> </v>
      </c>
      <c r="AK181" s="401" t="str">
        <f>IF(Calculation!BD187&gt;0,Calculation!BE187," ")</f>
        <v xml:space="preserve"> </v>
      </c>
      <c r="AL181" s="401" t="str">
        <f>IF(Calculation!BD187&gt;0,Calculation!BF187," ")</f>
        <v xml:space="preserve"> </v>
      </c>
      <c r="AM181" s="401" t="str">
        <f>IF(Calculation!BD187&gt;0,Calculation!BG187," ")</f>
        <v xml:space="preserve"> </v>
      </c>
      <c r="AN181" s="391" t="str">
        <f>IF(Calculation!BH187="N/A","N/A",Calculation!BH187)</f>
        <v xml:space="preserve"> </v>
      </c>
      <c r="AO181" s="402" t="str">
        <f>IF(Calculation!BI187="N/A","N/A",Calculation!BI187)</f>
        <v/>
      </c>
      <c r="AP181" s="391" t="str">
        <f>IF(Calculation!BJ187="N/A","N/A",Calculation!BJ187)</f>
        <v/>
      </c>
      <c r="AQ181" s="402" t="str">
        <f>IF(Calculation!BK187="N/A","N/A",Calculation!BK187)</f>
        <v/>
      </c>
      <c r="AR181" s="391" t="str">
        <f>IF(Calculation!BL187="N/A","N/A",Calculation!BL187)</f>
        <v/>
      </c>
      <c r="AS181" s="402" t="str">
        <f>IF(Calculation!BM187="N/A","N/A",Calculation!BM187)</f>
        <v/>
      </c>
      <c r="AT181" s="400"/>
    </row>
    <row r="182" spans="1:46" ht="12.75" customHeight="1">
      <c r="A182" s="224" t="str">
        <f>IF(Calculation!BN188="","",CONCATENATE(Calculation!BO188,"-",Calculation!R188,"-",Calculation!S188,"-",Calculation!T188,"-",Calculation!U188))</f>
        <v/>
      </c>
      <c r="B182" s="224">
        <v>167</v>
      </c>
      <c r="C182" s="629" t="str">
        <f>IF(A182="","",Calculation!B188)</f>
        <v/>
      </c>
      <c r="D182" s="386" t="str">
        <f>IF(A182="","",Calculation!L188)</f>
        <v/>
      </c>
      <c r="E182" s="387" t="str">
        <f>IF(A182="","",Calculation!J188)</f>
        <v/>
      </c>
      <c r="F182" s="387" t="str">
        <f>IF(A182="","",Calculation!C188)</f>
        <v/>
      </c>
      <c r="G182" s="387" t="str">
        <f>IF(A182="","",LEFT(Calculation!O188,6))</f>
        <v/>
      </c>
      <c r="H182" s="388" t="str">
        <f>IF(A182="","",Calculation!DX188)</f>
        <v/>
      </c>
      <c r="I182" s="387" t="str">
        <f>IF(A182="","",Calculation!P188)</f>
        <v/>
      </c>
      <c r="J182" s="387" t="str">
        <f>IF(A182="","",HLOOKUP(LEFT(Calculation!BO188,7),LookUps!$C$38:$M$41,4))</f>
        <v/>
      </c>
      <c r="K182" s="387" t="str">
        <f>IF(A182="","",Calculation!M188)</f>
        <v/>
      </c>
      <c r="L182" s="387" t="str">
        <f>IF(A182="","",Calculation!S188)</f>
        <v/>
      </c>
      <c r="M182" s="389" t="str">
        <f>IF(A182="","",Calculation!N188)</f>
        <v/>
      </c>
      <c r="N182" s="390" t="str">
        <f>IF(A182="","",Calculation!R188)</f>
        <v/>
      </c>
      <c r="O182" s="391" t="str">
        <f>IF(A182="","",Calculation!$F$6)</f>
        <v/>
      </c>
      <c r="P182" s="392" t="str">
        <f>IF(A182="","",Calculation!$F$7)</f>
        <v/>
      </c>
      <c r="Q182" s="393" t="str">
        <f>IF(A182="","",Calculation!$F$13)</f>
        <v/>
      </c>
      <c r="R182" s="394" t="str">
        <f>IF(A182="","",Calculation!X188)</f>
        <v/>
      </c>
      <c r="S182" s="393" t="str">
        <f>IF(A182="","",Calculation!T188)</f>
        <v/>
      </c>
      <c r="T182" s="395" t="str">
        <f>IF(A182="","",IF(Calculation!$O$8="None","Water",CONCATENATE(Calculation!$O$8,"-",Calculation!$S$8,"%")))</f>
        <v/>
      </c>
      <c r="U182" s="393" t="str">
        <f>IF(A182="","",Calculation!$P$6)</f>
        <v/>
      </c>
      <c r="V182" s="393" t="str">
        <f>IF(A182="","",Calculation!AT188)</f>
        <v/>
      </c>
      <c r="W182" s="396" t="str">
        <f>IF(A182="","",Calculation!AP188)</f>
        <v/>
      </c>
      <c r="X182" s="396" t="str">
        <f>IF(A182="","",Calculation!AO188)</f>
        <v/>
      </c>
      <c r="Y182" s="396" t="str">
        <f>IF(A182="","",Calculation!AQ188)</f>
        <v/>
      </c>
      <c r="Z182" s="396" t="str">
        <f>IF(A182="","",Calculation!$H$6)</f>
        <v/>
      </c>
      <c r="AA182" s="397" t="str">
        <f>IF(A182="","",Calculation!$H$13)</f>
        <v/>
      </c>
      <c r="AB182" s="397" t="str">
        <f>IF(A182="","",Calculation!U188)</f>
        <v/>
      </c>
      <c r="AC182" s="398" t="str">
        <f>IF(A182="","",IF(Calculation!$O$9="None","Water",CONCATENATE(Calculation!$O$9,"-",Calculation!$S$9,"%")))</f>
        <v/>
      </c>
      <c r="AD182" s="396" t="str">
        <f>IF(A182="","",Calculation!$S$6)</f>
        <v/>
      </c>
      <c r="AE182" s="399" t="str">
        <f>IF(A182="","",Calculation!BA188)</f>
        <v/>
      </c>
      <c r="AF182" s="396" t="str">
        <f>IF(A182="","",Calculation!AX188)</f>
        <v/>
      </c>
      <c r="AG182" s="396" t="str">
        <f>IF(A182="","",Calculation!AW188)</f>
        <v/>
      </c>
      <c r="AH182" s="391" t="str">
        <f>IF(A182="","",Calculation!AY188)</f>
        <v/>
      </c>
      <c r="AI182" s="391" t="str">
        <f>IF(A182="","",Calculation!Y188)</f>
        <v/>
      </c>
      <c r="AJ182" s="401" t="str">
        <f>IF(Calculation!BD188&gt;0,Calculation!BD188," ")</f>
        <v xml:space="preserve"> </v>
      </c>
      <c r="AK182" s="401" t="str">
        <f>IF(Calculation!BD188&gt;0,Calculation!BE188," ")</f>
        <v xml:space="preserve"> </v>
      </c>
      <c r="AL182" s="401" t="str">
        <f>IF(Calculation!BD188&gt;0,Calculation!BF188," ")</f>
        <v xml:space="preserve"> </v>
      </c>
      <c r="AM182" s="401" t="str">
        <f>IF(Calculation!BD188&gt;0,Calculation!BG188," ")</f>
        <v xml:space="preserve"> </v>
      </c>
      <c r="AN182" s="391" t="str">
        <f>IF(Calculation!BH188="N/A","N/A",Calculation!BH188)</f>
        <v xml:space="preserve"> </v>
      </c>
      <c r="AO182" s="402" t="str">
        <f>IF(Calculation!BI188="N/A","N/A",Calculation!BI188)</f>
        <v/>
      </c>
      <c r="AP182" s="391" t="str">
        <f>IF(Calculation!BJ188="N/A","N/A",Calculation!BJ188)</f>
        <v/>
      </c>
      <c r="AQ182" s="402" t="str">
        <f>IF(Calculation!BK188="N/A","N/A",Calculation!BK188)</f>
        <v/>
      </c>
      <c r="AR182" s="391" t="str">
        <f>IF(Calculation!BL188="N/A","N/A",Calculation!BL188)</f>
        <v/>
      </c>
      <c r="AS182" s="402" t="str">
        <f>IF(Calculation!BM188="N/A","N/A",Calculation!BM188)</f>
        <v/>
      </c>
      <c r="AT182" s="400"/>
    </row>
    <row r="183" spans="1:46" ht="12.75" customHeight="1">
      <c r="A183" s="224" t="str">
        <f>IF(Calculation!BN189="","",CONCATENATE(Calculation!BO189,"-",Calculation!R189,"-",Calculation!S189,"-",Calculation!T189,"-",Calculation!U189))</f>
        <v/>
      </c>
      <c r="B183" s="224">
        <v>168</v>
      </c>
      <c r="C183" s="629" t="str">
        <f>IF(A183="","",Calculation!B189)</f>
        <v/>
      </c>
      <c r="D183" s="386" t="str">
        <f>IF(A183="","",Calculation!L189)</f>
        <v/>
      </c>
      <c r="E183" s="387" t="str">
        <f>IF(A183="","",Calculation!J189)</f>
        <v/>
      </c>
      <c r="F183" s="387" t="str">
        <f>IF(A183="","",Calculation!C189)</f>
        <v/>
      </c>
      <c r="G183" s="387" t="str">
        <f>IF(A183="","",LEFT(Calculation!O189,6))</f>
        <v/>
      </c>
      <c r="H183" s="388" t="str">
        <f>IF(A183="","",Calculation!DX189)</f>
        <v/>
      </c>
      <c r="I183" s="387" t="str">
        <f>IF(A183="","",Calculation!P189)</f>
        <v/>
      </c>
      <c r="J183" s="387" t="str">
        <f>IF(A183="","",HLOOKUP(LEFT(Calculation!BO189,7),LookUps!$C$38:$M$41,4))</f>
        <v/>
      </c>
      <c r="K183" s="387" t="str">
        <f>IF(A183="","",Calculation!M189)</f>
        <v/>
      </c>
      <c r="L183" s="387" t="str">
        <f>IF(A183="","",Calculation!S189)</f>
        <v/>
      </c>
      <c r="M183" s="389" t="str">
        <f>IF(A183="","",Calculation!N189)</f>
        <v/>
      </c>
      <c r="N183" s="390" t="str">
        <f>IF(A183="","",Calculation!R189)</f>
        <v/>
      </c>
      <c r="O183" s="391" t="str">
        <f>IF(A183="","",Calculation!$F$6)</f>
        <v/>
      </c>
      <c r="P183" s="392" t="str">
        <f>IF(A183="","",Calculation!$F$7)</f>
        <v/>
      </c>
      <c r="Q183" s="393" t="str">
        <f>IF(A183="","",Calculation!$F$13)</f>
        <v/>
      </c>
      <c r="R183" s="394" t="str">
        <f>IF(A183="","",Calculation!X189)</f>
        <v/>
      </c>
      <c r="S183" s="393" t="str">
        <f>IF(A183="","",Calculation!T189)</f>
        <v/>
      </c>
      <c r="T183" s="395" t="str">
        <f>IF(A183="","",IF(Calculation!$O$8="None","Water",CONCATENATE(Calculation!$O$8,"-",Calculation!$S$8,"%")))</f>
        <v/>
      </c>
      <c r="U183" s="393" t="str">
        <f>IF(A183="","",Calculation!$P$6)</f>
        <v/>
      </c>
      <c r="V183" s="393" t="str">
        <f>IF(A183="","",Calculation!AT189)</f>
        <v/>
      </c>
      <c r="W183" s="396" t="str">
        <f>IF(A183="","",Calculation!AP189)</f>
        <v/>
      </c>
      <c r="X183" s="396" t="str">
        <f>IF(A183="","",Calculation!AO189)</f>
        <v/>
      </c>
      <c r="Y183" s="396" t="str">
        <f>IF(A183="","",Calculation!AQ189)</f>
        <v/>
      </c>
      <c r="Z183" s="396" t="str">
        <f>IF(A183="","",Calculation!$H$6)</f>
        <v/>
      </c>
      <c r="AA183" s="397" t="str">
        <f>IF(A183="","",Calculation!$H$13)</f>
        <v/>
      </c>
      <c r="AB183" s="397" t="str">
        <f>IF(A183="","",Calculation!U189)</f>
        <v/>
      </c>
      <c r="AC183" s="398" t="str">
        <f>IF(A183="","",IF(Calculation!$O$9="None","Water",CONCATENATE(Calculation!$O$9,"-",Calculation!$S$9,"%")))</f>
        <v/>
      </c>
      <c r="AD183" s="396" t="str">
        <f>IF(A183="","",Calculation!$S$6)</f>
        <v/>
      </c>
      <c r="AE183" s="399" t="str">
        <f>IF(A183="","",Calculation!BA189)</f>
        <v/>
      </c>
      <c r="AF183" s="396" t="str">
        <f>IF(A183="","",Calculation!AX189)</f>
        <v/>
      </c>
      <c r="AG183" s="396" t="str">
        <f>IF(A183="","",Calculation!AW189)</f>
        <v/>
      </c>
      <c r="AH183" s="391" t="str">
        <f>IF(A183="","",Calculation!AY189)</f>
        <v/>
      </c>
      <c r="AI183" s="391" t="str">
        <f>IF(A183="","",Calculation!Y189)</f>
        <v/>
      </c>
      <c r="AJ183" s="401" t="str">
        <f>IF(Calculation!BD189&gt;0,Calculation!BD189," ")</f>
        <v xml:space="preserve"> </v>
      </c>
      <c r="AK183" s="401" t="str">
        <f>IF(Calculation!BD189&gt;0,Calculation!BE189," ")</f>
        <v xml:space="preserve"> </v>
      </c>
      <c r="AL183" s="401" t="str">
        <f>IF(Calculation!BD189&gt;0,Calculation!BF189," ")</f>
        <v xml:space="preserve"> </v>
      </c>
      <c r="AM183" s="401" t="str">
        <f>IF(Calculation!BD189&gt;0,Calculation!BG189," ")</f>
        <v xml:space="preserve"> </v>
      </c>
      <c r="AN183" s="391" t="str">
        <f>IF(Calculation!BH189="N/A","N/A",Calculation!BH189)</f>
        <v xml:space="preserve"> </v>
      </c>
      <c r="AO183" s="402" t="str">
        <f>IF(Calculation!BI189="N/A","N/A",Calculation!BI189)</f>
        <v/>
      </c>
      <c r="AP183" s="391" t="str">
        <f>IF(Calculation!BJ189="N/A","N/A",Calculation!BJ189)</f>
        <v/>
      </c>
      <c r="AQ183" s="402" t="str">
        <f>IF(Calculation!BK189="N/A","N/A",Calculation!BK189)</f>
        <v/>
      </c>
      <c r="AR183" s="391" t="str">
        <f>IF(Calculation!BL189="N/A","N/A",Calculation!BL189)</f>
        <v/>
      </c>
      <c r="AS183" s="402" t="str">
        <f>IF(Calculation!BM189="N/A","N/A",Calculation!BM189)</f>
        <v/>
      </c>
      <c r="AT183" s="400"/>
    </row>
    <row r="184" spans="1:46" ht="12.75" customHeight="1">
      <c r="A184" s="224" t="str">
        <f>IF(Calculation!BN190="","",CONCATENATE(Calculation!BO190,"-",Calculation!R190,"-",Calculation!S190,"-",Calculation!T190,"-",Calculation!U190))</f>
        <v/>
      </c>
      <c r="B184" s="224">
        <v>169</v>
      </c>
      <c r="C184" s="629" t="str">
        <f>IF(A184="","",Calculation!B190)</f>
        <v/>
      </c>
      <c r="D184" s="386" t="str">
        <f>IF(A184="","",Calculation!L190)</f>
        <v/>
      </c>
      <c r="E184" s="387" t="str">
        <f>IF(A184="","",Calculation!J190)</f>
        <v/>
      </c>
      <c r="F184" s="387" t="str">
        <f>IF(A184="","",Calculation!C190)</f>
        <v/>
      </c>
      <c r="G184" s="387" t="str">
        <f>IF(A184="","",LEFT(Calculation!O190,6))</f>
        <v/>
      </c>
      <c r="H184" s="388" t="str">
        <f>IF(A184="","",Calculation!DX190)</f>
        <v/>
      </c>
      <c r="I184" s="387" t="str">
        <f>IF(A184="","",Calculation!P190)</f>
        <v/>
      </c>
      <c r="J184" s="387" t="str">
        <f>IF(A184="","",HLOOKUP(LEFT(Calculation!BO190,7),LookUps!$C$38:$M$41,4))</f>
        <v/>
      </c>
      <c r="K184" s="387" t="str">
        <f>IF(A184="","",Calculation!M190)</f>
        <v/>
      </c>
      <c r="L184" s="387" t="str">
        <f>IF(A184="","",Calculation!S190)</f>
        <v/>
      </c>
      <c r="M184" s="389" t="str">
        <f>IF(A184="","",Calculation!N190)</f>
        <v/>
      </c>
      <c r="N184" s="390" t="str">
        <f>IF(A184="","",Calculation!R190)</f>
        <v/>
      </c>
      <c r="O184" s="391" t="str">
        <f>IF(A184="","",Calculation!$F$6)</f>
        <v/>
      </c>
      <c r="P184" s="392" t="str">
        <f>IF(A184="","",Calculation!$F$7)</f>
        <v/>
      </c>
      <c r="Q184" s="393" t="str">
        <f>IF(A184="","",Calculation!$F$13)</f>
        <v/>
      </c>
      <c r="R184" s="394" t="str">
        <f>IF(A184="","",Calculation!X190)</f>
        <v/>
      </c>
      <c r="S184" s="393" t="str">
        <f>IF(A184="","",Calculation!T190)</f>
        <v/>
      </c>
      <c r="T184" s="395" t="str">
        <f>IF(A184="","",IF(Calculation!$O$8="None","Water",CONCATENATE(Calculation!$O$8,"-",Calculation!$S$8,"%")))</f>
        <v/>
      </c>
      <c r="U184" s="393" t="str">
        <f>IF(A184="","",Calculation!$P$6)</f>
        <v/>
      </c>
      <c r="V184" s="393" t="str">
        <f>IF(A184="","",Calculation!AT190)</f>
        <v/>
      </c>
      <c r="W184" s="396" t="str">
        <f>IF(A184="","",Calculation!AP190)</f>
        <v/>
      </c>
      <c r="X184" s="396" t="str">
        <f>IF(A184="","",Calculation!AO190)</f>
        <v/>
      </c>
      <c r="Y184" s="396" t="str">
        <f>IF(A184="","",Calculation!AQ190)</f>
        <v/>
      </c>
      <c r="Z184" s="396" t="str">
        <f>IF(A184="","",Calculation!$H$6)</f>
        <v/>
      </c>
      <c r="AA184" s="397" t="str">
        <f>IF(A184="","",Calculation!$H$13)</f>
        <v/>
      </c>
      <c r="AB184" s="397" t="str">
        <f>IF(A184="","",Calculation!U190)</f>
        <v/>
      </c>
      <c r="AC184" s="398" t="str">
        <f>IF(A184="","",IF(Calculation!$O$9="None","Water",CONCATENATE(Calculation!$O$9,"-",Calculation!$S$9,"%")))</f>
        <v/>
      </c>
      <c r="AD184" s="396" t="str">
        <f>IF(A184="","",Calculation!$S$6)</f>
        <v/>
      </c>
      <c r="AE184" s="399" t="str">
        <f>IF(A184="","",Calculation!BA190)</f>
        <v/>
      </c>
      <c r="AF184" s="396" t="str">
        <f>IF(A184="","",Calculation!AX190)</f>
        <v/>
      </c>
      <c r="AG184" s="396" t="str">
        <f>IF(A184="","",Calculation!AW190)</f>
        <v/>
      </c>
      <c r="AH184" s="391" t="str">
        <f>IF(A184="","",Calculation!AY190)</f>
        <v/>
      </c>
      <c r="AI184" s="391" t="str">
        <f>IF(A184="","",Calculation!Y190)</f>
        <v/>
      </c>
      <c r="AJ184" s="401" t="str">
        <f>IF(Calculation!BD190&gt;0,Calculation!BD190," ")</f>
        <v xml:space="preserve"> </v>
      </c>
      <c r="AK184" s="401" t="str">
        <f>IF(Calculation!BD190&gt;0,Calculation!BE190," ")</f>
        <v xml:space="preserve"> </v>
      </c>
      <c r="AL184" s="401" t="str">
        <f>IF(Calculation!BD190&gt;0,Calculation!BF190," ")</f>
        <v xml:space="preserve"> </v>
      </c>
      <c r="AM184" s="401" t="str">
        <f>IF(Calculation!BD190&gt;0,Calculation!BG190," ")</f>
        <v xml:space="preserve"> </v>
      </c>
      <c r="AN184" s="391" t="str">
        <f>IF(Calculation!BH190="N/A","N/A",Calculation!BH190)</f>
        <v xml:space="preserve"> </v>
      </c>
      <c r="AO184" s="402" t="str">
        <f>IF(Calculation!BI190="N/A","N/A",Calculation!BI190)</f>
        <v/>
      </c>
      <c r="AP184" s="391" t="str">
        <f>IF(Calculation!BJ190="N/A","N/A",Calculation!BJ190)</f>
        <v/>
      </c>
      <c r="AQ184" s="402" t="str">
        <f>IF(Calculation!BK190="N/A","N/A",Calculation!BK190)</f>
        <v/>
      </c>
      <c r="AR184" s="391" t="str">
        <f>IF(Calculation!BL190="N/A","N/A",Calculation!BL190)</f>
        <v/>
      </c>
      <c r="AS184" s="402" t="str">
        <f>IF(Calculation!BM190="N/A","N/A",Calculation!BM190)</f>
        <v/>
      </c>
      <c r="AT184" s="400"/>
    </row>
    <row r="185" spans="1:46" ht="12.75" customHeight="1">
      <c r="A185" s="224" t="str">
        <f>IF(Calculation!BN191="","",CONCATENATE(Calculation!BO191,"-",Calculation!R191,"-",Calculation!S191,"-",Calculation!T191,"-",Calculation!U191))</f>
        <v/>
      </c>
      <c r="B185" s="224">
        <v>170</v>
      </c>
      <c r="C185" s="629" t="str">
        <f>IF(A185="","",Calculation!B191)</f>
        <v/>
      </c>
      <c r="D185" s="386" t="str">
        <f>IF(A185="","",Calculation!L191)</f>
        <v/>
      </c>
      <c r="E185" s="387" t="str">
        <f>IF(A185="","",Calculation!J191)</f>
        <v/>
      </c>
      <c r="F185" s="387" t="str">
        <f>IF(A185="","",Calculation!C191)</f>
        <v/>
      </c>
      <c r="G185" s="387" t="str">
        <f>IF(A185="","",LEFT(Calculation!O191,6))</f>
        <v/>
      </c>
      <c r="H185" s="388" t="str">
        <f>IF(A185="","",Calculation!DX191)</f>
        <v/>
      </c>
      <c r="I185" s="387" t="str">
        <f>IF(A185="","",Calculation!P191)</f>
        <v/>
      </c>
      <c r="J185" s="387" t="str">
        <f>IF(A185="","",HLOOKUP(LEFT(Calculation!BO191,7),LookUps!$C$38:$M$41,4))</f>
        <v/>
      </c>
      <c r="K185" s="387" t="str">
        <f>IF(A185="","",Calculation!M191)</f>
        <v/>
      </c>
      <c r="L185" s="387" t="str">
        <f>IF(A185="","",Calculation!S191)</f>
        <v/>
      </c>
      <c r="M185" s="389" t="str">
        <f>IF(A185="","",Calculation!N191)</f>
        <v/>
      </c>
      <c r="N185" s="390" t="str">
        <f>IF(A185="","",Calculation!R191)</f>
        <v/>
      </c>
      <c r="O185" s="391" t="str">
        <f>IF(A185="","",Calculation!$F$6)</f>
        <v/>
      </c>
      <c r="P185" s="392" t="str">
        <f>IF(A185="","",Calculation!$F$7)</f>
        <v/>
      </c>
      <c r="Q185" s="393" t="str">
        <f>IF(A185="","",Calculation!$F$13)</f>
        <v/>
      </c>
      <c r="R185" s="394" t="str">
        <f>IF(A185="","",Calculation!X191)</f>
        <v/>
      </c>
      <c r="S185" s="393" t="str">
        <f>IF(A185="","",Calculation!T191)</f>
        <v/>
      </c>
      <c r="T185" s="395" t="str">
        <f>IF(A185="","",IF(Calculation!$O$8="None","Water",CONCATENATE(Calculation!$O$8,"-",Calculation!$S$8,"%")))</f>
        <v/>
      </c>
      <c r="U185" s="393" t="str">
        <f>IF(A185="","",Calculation!$P$6)</f>
        <v/>
      </c>
      <c r="V185" s="393" t="str">
        <f>IF(A185="","",Calculation!AT191)</f>
        <v/>
      </c>
      <c r="W185" s="396" t="str">
        <f>IF(A185="","",Calculation!AP191)</f>
        <v/>
      </c>
      <c r="X185" s="396" t="str">
        <f>IF(A185="","",Calculation!AO191)</f>
        <v/>
      </c>
      <c r="Y185" s="396" t="str">
        <f>IF(A185="","",Calculation!AQ191)</f>
        <v/>
      </c>
      <c r="Z185" s="396" t="str">
        <f>IF(A185="","",Calculation!$H$6)</f>
        <v/>
      </c>
      <c r="AA185" s="397" t="str">
        <f>IF(A185="","",Calculation!$H$13)</f>
        <v/>
      </c>
      <c r="AB185" s="397" t="str">
        <f>IF(A185="","",Calculation!U191)</f>
        <v/>
      </c>
      <c r="AC185" s="398" t="str">
        <f>IF(A185="","",IF(Calculation!$O$9="None","Water",CONCATENATE(Calculation!$O$9,"-",Calculation!$S$9,"%")))</f>
        <v/>
      </c>
      <c r="AD185" s="396" t="str">
        <f>IF(A185="","",Calculation!$S$6)</f>
        <v/>
      </c>
      <c r="AE185" s="399" t="str">
        <f>IF(A185="","",Calculation!BA191)</f>
        <v/>
      </c>
      <c r="AF185" s="396" t="str">
        <f>IF(A185="","",Calculation!AX191)</f>
        <v/>
      </c>
      <c r="AG185" s="396" t="str">
        <f>IF(A185="","",Calculation!AW191)</f>
        <v/>
      </c>
      <c r="AH185" s="391" t="str">
        <f>IF(A185="","",Calculation!AY191)</f>
        <v/>
      </c>
      <c r="AI185" s="391" t="str">
        <f>IF(A185="","",Calculation!Y191)</f>
        <v/>
      </c>
      <c r="AJ185" s="401" t="str">
        <f>IF(Calculation!BD191&gt;0,Calculation!BD191," ")</f>
        <v xml:space="preserve"> </v>
      </c>
      <c r="AK185" s="401" t="str">
        <f>IF(Calculation!BD191&gt;0,Calculation!BE191," ")</f>
        <v xml:space="preserve"> </v>
      </c>
      <c r="AL185" s="401" t="str">
        <f>IF(Calculation!BD191&gt;0,Calculation!BF191," ")</f>
        <v xml:space="preserve"> </v>
      </c>
      <c r="AM185" s="401" t="str">
        <f>IF(Calculation!BD191&gt;0,Calculation!BG191," ")</f>
        <v xml:space="preserve"> </v>
      </c>
      <c r="AN185" s="391" t="str">
        <f>IF(Calculation!BH191="N/A","N/A",Calculation!BH191)</f>
        <v xml:space="preserve"> </v>
      </c>
      <c r="AO185" s="402" t="str">
        <f>IF(Calculation!BI191="N/A","N/A",Calculation!BI191)</f>
        <v/>
      </c>
      <c r="AP185" s="391" t="str">
        <f>IF(Calculation!BJ191="N/A","N/A",Calculation!BJ191)</f>
        <v/>
      </c>
      <c r="AQ185" s="402" t="str">
        <f>IF(Calculation!BK191="N/A","N/A",Calculation!BK191)</f>
        <v/>
      </c>
      <c r="AR185" s="391" t="str">
        <f>IF(Calculation!BL191="N/A","N/A",Calculation!BL191)</f>
        <v/>
      </c>
      <c r="AS185" s="402" t="str">
        <f>IF(Calculation!BM191="N/A","N/A",Calculation!BM191)</f>
        <v/>
      </c>
      <c r="AT185" s="400"/>
    </row>
    <row r="186" spans="1:46" ht="12.75" customHeight="1">
      <c r="A186" s="224" t="str">
        <f>IF(Calculation!BN192="","",CONCATENATE(Calculation!BO192,"-",Calculation!R192,"-",Calculation!S192,"-",Calculation!T192,"-",Calculation!U192))</f>
        <v/>
      </c>
      <c r="B186" s="224">
        <v>171</v>
      </c>
      <c r="C186" s="629" t="str">
        <f>IF(A186="","",Calculation!B192)</f>
        <v/>
      </c>
      <c r="D186" s="386" t="str">
        <f>IF(A186="","",Calculation!L192)</f>
        <v/>
      </c>
      <c r="E186" s="387" t="str">
        <f>IF(A186="","",Calculation!J192)</f>
        <v/>
      </c>
      <c r="F186" s="387" t="str">
        <f>IF(A186="","",Calculation!C192)</f>
        <v/>
      </c>
      <c r="G186" s="387" t="str">
        <f>IF(A186="","",LEFT(Calculation!O192,6))</f>
        <v/>
      </c>
      <c r="H186" s="388" t="str">
        <f>IF(A186="","",Calculation!DX192)</f>
        <v/>
      </c>
      <c r="I186" s="387" t="str">
        <f>IF(A186="","",Calculation!P192)</f>
        <v/>
      </c>
      <c r="J186" s="387" t="str">
        <f>IF(A186="","",HLOOKUP(LEFT(Calculation!BO192,7),LookUps!$C$38:$M$41,4))</f>
        <v/>
      </c>
      <c r="K186" s="387" t="str">
        <f>IF(A186="","",Calculation!M192)</f>
        <v/>
      </c>
      <c r="L186" s="387" t="str">
        <f>IF(A186="","",Calculation!S192)</f>
        <v/>
      </c>
      <c r="M186" s="389" t="str">
        <f>IF(A186="","",Calculation!N192)</f>
        <v/>
      </c>
      <c r="N186" s="390" t="str">
        <f>IF(A186="","",Calculation!R192)</f>
        <v/>
      </c>
      <c r="O186" s="391" t="str">
        <f>IF(A186="","",Calculation!$F$6)</f>
        <v/>
      </c>
      <c r="P186" s="392" t="str">
        <f>IF(A186="","",Calculation!$F$7)</f>
        <v/>
      </c>
      <c r="Q186" s="393" t="str">
        <f>IF(A186="","",Calculation!$F$13)</f>
        <v/>
      </c>
      <c r="R186" s="394" t="str">
        <f>IF(A186="","",Calculation!X192)</f>
        <v/>
      </c>
      <c r="S186" s="393" t="str">
        <f>IF(A186="","",Calculation!T192)</f>
        <v/>
      </c>
      <c r="T186" s="395" t="str">
        <f>IF(A186="","",IF(Calculation!$O$8="None","Water",CONCATENATE(Calculation!$O$8,"-",Calculation!$S$8,"%")))</f>
        <v/>
      </c>
      <c r="U186" s="393" t="str">
        <f>IF(A186="","",Calculation!$P$6)</f>
        <v/>
      </c>
      <c r="V186" s="393" t="str">
        <f>IF(A186="","",Calculation!AT192)</f>
        <v/>
      </c>
      <c r="W186" s="396" t="str">
        <f>IF(A186="","",Calculation!AP192)</f>
        <v/>
      </c>
      <c r="X186" s="396" t="str">
        <f>IF(A186="","",Calculation!AO192)</f>
        <v/>
      </c>
      <c r="Y186" s="396" t="str">
        <f>IF(A186="","",Calculation!AQ192)</f>
        <v/>
      </c>
      <c r="Z186" s="396" t="str">
        <f>IF(A186="","",Calculation!$H$6)</f>
        <v/>
      </c>
      <c r="AA186" s="397" t="str">
        <f>IF(A186="","",Calculation!$H$13)</f>
        <v/>
      </c>
      <c r="AB186" s="397" t="str">
        <f>IF(A186="","",Calculation!U192)</f>
        <v/>
      </c>
      <c r="AC186" s="398" t="str">
        <f>IF(A186="","",IF(Calculation!$O$9="None","Water",CONCATENATE(Calculation!$O$9,"-",Calculation!$S$9,"%")))</f>
        <v/>
      </c>
      <c r="AD186" s="396" t="str">
        <f>IF(A186="","",Calculation!$S$6)</f>
        <v/>
      </c>
      <c r="AE186" s="399" t="str">
        <f>IF(A186="","",Calculation!BA192)</f>
        <v/>
      </c>
      <c r="AF186" s="396" t="str">
        <f>IF(A186="","",Calculation!AX192)</f>
        <v/>
      </c>
      <c r="AG186" s="396" t="str">
        <f>IF(A186="","",Calculation!AW192)</f>
        <v/>
      </c>
      <c r="AH186" s="391" t="str">
        <f>IF(A186="","",Calculation!AY192)</f>
        <v/>
      </c>
      <c r="AI186" s="391" t="str">
        <f>IF(A186="","",Calculation!Y192)</f>
        <v/>
      </c>
      <c r="AJ186" s="401" t="str">
        <f>IF(Calculation!BD192&gt;0,Calculation!BD192," ")</f>
        <v xml:space="preserve"> </v>
      </c>
      <c r="AK186" s="401" t="str">
        <f>IF(Calculation!BD192&gt;0,Calculation!BE192," ")</f>
        <v xml:space="preserve"> </v>
      </c>
      <c r="AL186" s="401" t="str">
        <f>IF(Calculation!BD192&gt;0,Calculation!BF192," ")</f>
        <v xml:space="preserve"> </v>
      </c>
      <c r="AM186" s="401" t="str">
        <f>IF(Calculation!BD192&gt;0,Calculation!BG192," ")</f>
        <v xml:space="preserve"> </v>
      </c>
      <c r="AN186" s="391" t="str">
        <f>IF(Calculation!BH192="N/A","N/A",Calculation!BH192)</f>
        <v xml:space="preserve"> </v>
      </c>
      <c r="AO186" s="402" t="str">
        <f>IF(Calculation!BI192="N/A","N/A",Calculation!BI192)</f>
        <v/>
      </c>
      <c r="AP186" s="391" t="str">
        <f>IF(Calculation!BJ192="N/A","N/A",Calculation!BJ192)</f>
        <v/>
      </c>
      <c r="AQ186" s="402" t="str">
        <f>IF(Calculation!BK192="N/A","N/A",Calculation!BK192)</f>
        <v/>
      </c>
      <c r="AR186" s="391" t="str">
        <f>IF(Calculation!BL192="N/A","N/A",Calculation!BL192)</f>
        <v/>
      </c>
      <c r="AS186" s="402" t="str">
        <f>IF(Calculation!BM192="N/A","N/A",Calculation!BM192)</f>
        <v/>
      </c>
      <c r="AT186" s="400"/>
    </row>
    <row r="187" spans="1:46" ht="12.75" customHeight="1">
      <c r="A187" s="224" t="str">
        <f>IF(Calculation!BN193="","",CONCATENATE(Calculation!BO193,"-",Calculation!R193,"-",Calculation!S193,"-",Calculation!T193,"-",Calculation!U193))</f>
        <v/>
      </c>
      <c r="B187" s="224">
        <v>172</v>
      </c>
      <c r="C187" s="629" t="str">
        <f>IF(A187="","",Calculation!B193)</f>
        <v/>
      </c>
      <c r="D187" s="386" t="str">
        <f>IF(A187="","",Calculation!L193)</f>
        <v/>
      </c>
      <c r="E187" s="387" t="str">
        <f>IF(A187="","",Calculation!J193)</f>
        <v/>
      </c>
      <c r="F187" s="387" t="str">
        <f>IF(A187="","",Calculation!C193)</f>
        <v/>
      </c>
      <c r="G187" s="387" t="str">
        <f>IF(A187="","",LEFT(Calculation!O193,6))</f>
        <v/>
      </c>
      <c r="H187" s="388" t="str">
        <f>IF(A187="","",Calculation!DX193)</f>
        <v/>
      </c>
      <c r="I187" s="387" t="str">
        <f>IF(A187="","",Calculation!P193)</f>
        <v/>
      </c>
      <c r="J187" s="387" t="str">
        <f>IF(A187="","",HLOOKUP(LEFT(Calculation!BO193,7),LookUps!$C$38:$M$41,4))</f>
        <v/>
      </c>
      <c r="K187" s="387" t="str">
        <f>IF(A187="","",Calculation!M193)</f>
        <v/>
      </c>
      <c r="L187" s="387" t="str">
        <f>IF(A187="","",Calculation!S193)</f>
        <v/>
      </c>
      <c r="M187" s="389" t="str">
        <f>IF(A187="","",Calculation!N193)</f>
        <v/>
      </c>
      <c r="N187" s="390" t="str">
        <f>IF(A187="","",Calculation!R193)</f>
        <v/>
      </c>
      <c r="O187" s="391" t="str">
        <f>IF(A187="","",Calculation!$F$6)</f>
        <v/>
      </c>
      <c r="P187" s="392" t="str">
        <f>IF(A187="","",Calculation!$F$7)</f>
        <v/>
      </c>
      <c r="Q187" s="393" t="str">
        <f>IF(A187="","",Calculation!$F$13)</f>
        <v/>
      </c>
      <c r="R187" s="394" t="str">
        <f>IF(A187="","",Calculation!X193)</f>
        <v/>
      </c>
      <c r="S187" s="393" t="str">
        <f>IF(A187="","",Calculation!T193)</f>
        <v/>
      </c>
      <c r="T187" s="395" t="str">
        <f>IF(A187="","",IF(Calculation!$O$8="None","Water",CONCATENATE(Calculation!$O$8,"-",Calculation!$S$8,"%")))</f>
        <v/>
      </c>
      <c r="U187" s="393" t="str">
        <f>IF(A187="","",Calculation!$P$6)</f>
        <v/>
      </c>
      <c r="V187" s="393" t="str">
        <f>IF(A187="","",Calculation!AT193)</f>
        <v/>
      </c>
      <c r="W187" s="396" t="str">
        <f>IF(A187="","",Calculation!AP193)</f>
        <v/>
      </c>
      <c r="X187" s="396" t="str">
        <f>IF(A187="","",Calculation!AO193)</f>
        <v/>
      </c>
      <c r="Y187" s="396" t="str">
        <f>IF(A187="","",Calculation!AQ193)</f>
        <v/>
      </c>
      <c r="Z187" s="396" t="str">
        <f>IF(A187="","",Calculation!$H$6)</f>
        <v/>
      </c>
      <c r="AA187" s="397" t="str">
        <f>IF(A187="","",Calculation!$H$13)</f>
        <v/>
      </c>
      <c r="AB187" s="397" t="str">
        <f>IF(A187="","",Calculation!U193)</f>
        <v/>
      </c>
      <c r="AC187" s="398" t="str">
        <f>IF(A187="","",IF(Calculation!$O$9="None","Water",CONCATENATE(Calculation!$O$9,"-",Calculation!$S$9,"%")))</f>
        <v/>
      </c>
      <c r="AD187" s="396" t="str">
        <f>IF(A187="","",Calculation!$S$6)</f>
        <v/>
      </c>
      <c r="AE187" s="399" t="str">
        <f>IF(A187="","",Calculation!BA193)</f>
        <v/>
      </c>
      <c r="AF187" s="396" t="str">
        <f>IF(A187="","",Calculation!AX193)</f>
        <v/>
      </c>
      <c r="AG187" s="396" t="str">
        <f>IF(A187="","",Calculation!AW193)</f>
        <v/>
      </c>
      <c r="AH187" s="391" t="str">
        <f>IF(A187="","",Calculation!AY193)</f>
        <v/>
      </c>
      <c r="AI187" s="391" t="str">
        <f>IF(A187="","",Calculation!Y193)</f>
        <v/>
      </c>
      <c r="AJ187" s="401" t="str">
        <f>IF(Calculation!BD193&gt;0,Calculation!BD193," ")</f>
        <v xml:space="preserve"> </v>
      </c>
      <c r="AK187" s="401" t="str">
        <f>IF(Calculation!BD193&gt;0,Calculation!BE193," ")</f>
        <v xml:space="preserve"> </v>
      </c>
      <c r="AL187" s="401" t="str">
        <f>IF(Calculation!BD193&gt;0,Calculation!BF193," ")</f>
        <v xml:space="preserve"> </v>
      </c>
      <c r="AM187" s="401" t="str">
        <f>IF(Calculation!BD193&gt;0,Calculation!BG193," ")</f>
        <v xml:space="preserve"> </v>
      </c>
      <c r="AN187" s="391" t="str">
        <f>IF(Calculation!BH193="N/A","N/A",Calculation!BH193)</f>
        <v xml:space="preserve"> </v>
      </c>
      <c r="AO187" s="402" t="str">
        <f>IF(Calculation!BI193="N/A","N/A",Calculation!BI193)</f>
        <v/>
      </c>
      <c r="AP187" s="391" t="str">
        <f>IF(Calculation!BJ193="N/A","N/A",Calculation!BJ193)</f>
        <v/>
      </c>
      <c r="AQ187" s="402" t="str">
        <f>IF(Calculation!BK193="N/A","N/A",Calculation!BK193)</f>
        <v/>
      </c>
      <c r="AR187" s="391" t="str">
        <f>IF(Calculation!BL193="N/A","N/A",Calculation!BL193)</f>
        <v/>
      </c>
      <c r="AS187" s="402" t="str">
        <f>IF(Calculation!BM193="N/A","N/A",Calculation!BM193)</f>
        <v/>
      </c>
      <c r="AT187" s="400"/>
    </row>
    <row r="188" spans="1:46" ht="12.75" customHeight="1">
      <c r="A188" s="224" t="str">
        <f>IF(Calculation!BN194="","",CONCATENATE(Calculation!BO194,"-",Calculation!R194,"-",Calculation!S194,"-",Calculation!T194,"-",Calculation!U194))</f>
        <v/>
      </c>
      <c r="B188" s="224">
        <v>173</v>
      </c>
      <c r="C188" s="629" t="str">
        <f>IF(A188="","",Calculation!B194)</f>
        <v/>
      </c>
      <c r="D188" s="386" t="str">
        <f>IF(A188="","",Calculation!L194)</f>
        <v/>
      </c>
      <c r="E188" s="387" t="str">
        <f>IF(A188="","",Calculation!J194)</f>
        <v/>
      </c>
      <c r="F188" s="387" t="str">
        <f>IF(A188="","",Calculation!C194)</f>
        <v/>
      </c>
      <c r="G188" s="387" t="str">
        <f>IF(A188="","",LEFT(Calculation!O194,6))</f>
        <v/>
      </c>
      <c r="H188" s="388" t="str">
        <f>IF(A188="","",Calculation!DX194)</f>
        <v/>
      </c>
      <c r="I188" s="387" t="str">
        <f>IF(A188="","",Calculation!P194)</f>
        <v/>
      </c>
      <c r="J188" s="387" t="str">
        <f>IF(A188="","",HLOOKUP(LEFT(Calculation!BO194,7),LookUps!$C$38:$M$41,4))</f>
        <v/>
      </c>
      <c r="K188" s="387" t="str">
        <f>IF(A188="","",Calculation!M194)</f>
        <v/>
      </c>
      <c r="L188" s="387" t="str">
        <f>IF(A188="","",Calculation!S194)</f>
        <v/>
      </c>
      <c r="M188" s="389" t="str">
        <f>IF(A188="","",Calculation!N194)</f>
        <v/>
      </c>
      <c r="N188" s="390" t="str">
        <f>IF(A188="","",Calculation!R194)</f>
        <v/>
      </c>
      <c r="O188" s="391" t="str">
        <f>IF(A188="","",Calculation!$F$6)</f>
        <v/>
      </c>
      <c r="P188" s="392" t="str">
        <f>IF(A188="","",Calculation!$F$7)</f>
        <v/>
      </c>
      <c r="Q188" s="393" t="str">
        <f>IF(A188="","",Calculation!$F$13)</f>
        <v/>
      </c>
      <c r="R188" s="394" t="str">
        <f>IF(A188="","",Calculation!X194)</f>
        <v/>
      </c>
      <c r="S188" s="393" t="str">
        <f>IF(A188="","",Calculation!T194)</f>
        <v/>
      </c>
      <c r="T188" s="395" t="str">
        <f>IF(A188="","",IF(Calculation!$O$8="None","Water",CONCATENATE(Calculation!$O$8,"-",Calculation!$S$8,"%")))</f>
        <v/>
      </c>
      <c r="U188" s="393" t="str">
        <f>IF(A188="","",Calculation!$P$6)</f>
        <v/>
      </c>
      <c r="V188" s="393" t="str">
        <f>IF(A188="","",Calculation!AT194)</f>
        <v/>
      </c>
      <c r="W188" s="396" t="str">
        <f>IF(A188="","",Calculation!AP194)</f>
        <v/>
      </c>
      <c r="X188" s="396" t="str">
        <f>IF(A188="","",Calculation!AO194)</f>
        <v/>
      </c>
      <c r="Y188" s="396" t="str">
        <f>IF(A188="","",Calculation!AQ194)</f>
        <v/>
      </c>
      <c r="Z188" s="396" t="str">
        <f>IF(A188="","",Calculation!$H$6)</f>
        <v/>
      </c>
      <c r="AA188" s="397" t="str">
        <f>IF(A188="","",Calculation!$H$13)</f>
        <v/>
      </c>
      <c r="AB188" s="397" t="str">
        <f>IF(A188="","",Calculation!U194)</f>
        <v/>
      </c>
      <c r="AC188" s="398" t="str">
        <f>IF(A188="","",IF(Calculation!$O$9="None","Water",CONCATENATE(Calculation!$O$9,"-",Calculation!$S$9,"%")))</f>
        <v/>
      </c>
      <c r="AD188" s="396" t="str">
        <f>IF(A188="","",Calculation!$S$6)</f>
        <v/>
      </c>
      <c r="AE188" s="399" t="str">
        <f>IF(A188="","",Calculation!BA194)</f>
        <v/>
      </c>
      <c r="AF188" s="396" t="str">
        <f>IF(A188="","",Calculation!AX194)</f>
        <v/>
      </c>
      <c r="AG188" s="396" t="str">
        <f>IF(A188="","",Calculation!AW194)</f>
        <v/>
      </c>
      <c r="AH188" s="391" t="str">
        <f>IF(A188="","",Calculation!AY194)</f>
        <v/>
      </c>
      <c r="AI188" s="391" t="str">
        <f>IF(A188="","",Calculation!Y194)</f>
        <v/>
      </c>
      <c r="AJ188" s="401" t="str">
        <f>IF(Calculation!BD194&gt;0,Calculation!BD194," ")</f>
        <v xml:space="preserve"> </v>
      </c>
      <c r="AK188" s="401" t="str">
        <f>IF(Calculation!BD194&gt;0,Calculation!BE194," ")</f>
        <v xml:space="preserve"> </v>
      </c>
      <c r="AL188" s="401" t="str">
        <f>IF(Calculation!BD194&gt;0,Calculation!BF194," ")</f>
        <v xml:space="preserve"> </v>
      </c>
      <c r="AM188" s="401" t="str">
        <f>IF(Calculation!BD194&gt;0,Calculation!BG194," ")</f>
        <v xml:space="preserve"> </v>
      </c>
      <c r="AN188" s="391" t="str">
        <f>IF(Calculation!BH194="N/A","N/A",Calculation!BH194)</f>
        <v xml:space="preserve"> </v>
      </c>
      <c r="AO188" s="402" t="str">
        <f>IF(Calculation!BI194="N/A","N/A",Calculation!BI194)</f>
        <v/>
      </c>
      <c r="AP188" s="391" t="str">
        <f>IF(Calculation!BJ194="N/A","N/A",Calculation!BJ194)</f>
        <v/>
      </c>
      <c r="AQ188" s="402" t="str">
        <f>IF(Calculation!BK194="N/A","N/A",Calculation!BK194)</f>
        <v/>
      </c>
      <c r="AR188" s="391" t="str">
        <f>IF(Calculation!BL194="N/A","N/A",Calculation!BL194)</f>
        <v/>
      </c>
      <c r="AS188" s="402" t="str">
        <f>IF(Calculation!BM194="N/A","N/A",Calculation!BM194)</f>
        <v/>
      </c>
      <c r="AT188" s="400"/>
    </row>
    <row r="189" spans="1:46" ht="12.75" customHeight="1">
      <c r="A189" s="224" t="str">
        <f>IF(Calculation!BN195="","",CONCATENATE(Calculation!BO195,"-",Calculation!R195,"-",Calculation!S195,"-",Calculation!T195,"-",Calculation!U195))</f>
        <v/>
      </c>
      <c r="B189" s="224">
        <v>174</v>
      </c>
      <c r="C189" s="629" t="str">
        <f>IF(A189="","",Calculation!B195)</f>
        <v/>
      </c>
      <c r="D189" s="386" t="str">
        <f>IF(A189="","",Calculation!L195)</f>
        <v/>
      </c>
      <c r="E189" s="387" t="str">
        <f>IF(A189="","",Calculation!J195)</f>
        <v/>
      </c>
      <c r="F189" s="387" t="str">
        <f>IF(A189="","",Calculation!C195)</f>
        <v/>
      </c>
      <c r="G189" s="387" t="str">
        <f>IF(A189="","",LEFT(Calculation!O195,6))</f>
        <v/>
      </c>
      <c r="H189" s="388" t="str">
        <f>IF(A189="","",Calculation!DX195)</f>
        <v/>
      </c>
      <c r="I189" s="387" t="str">
        <f>IF(A189="","",Calculation!P195)</f>
        <v/>
      </c>
      <c r="J189" s="387" t="str">
        <f>IF(A189="","",HLOOKUP(LEFT(Calculation!BO195,7),LookUps!$C$38:$M$41,4))</f>
        <v/>
      </c>
      <c r="K189" s="387" t="str">
        <f>IF(A189="","",Calculation!M195)</f>
        <v/>
      </c>
      <c r="L189" s="387" t="str">
        <f>IF(A189="","",Calculation!S195)</f>
        <v/>
      </c>
      <c r="M189" s="389" t="str">
        <f>IF(A189="","",Calculation!N195)</f>
        <v/>
      </c>
      <c r="N189" s="390" t="str">
        <f>IF(A189="","",Calculation!R195)</f>
        <v/>
      </c>
      <c r="O189" s="391" t="str">
        <f>IF(A189="","",Calculation!$F$6)</f>
        <v/>
      </c>
      <c r="P189" s="392" t="str">
        <f>IF(A189="","",Calculation!$F$7)</f>
        <v/>
      </c>
      <c r="Q189" s="393" t="str">
        <f>IF(A189="","",Calculation!$F$13)</f>
        <v/>
      </c>
      <c r="R189" s="394" t="str">
        <f>IF(A189="","",Calculation!X195)</f>
        <v/>
      </c>
      <c r="S189" s="393" t="str">
        <f>IF(A189="","",Calculation!T195)</f>
        <v/>
      </c>
      <c r="T189" s="395" t="str">
        <f>IF(A189="","",IF(Calculation!$O$8="None","Water",CONCATENATE(Calculation!$O$8,"-",Calculation!$S$8,"%")))</f>
        <v/>
      </c>
      <c r="U189" s="393" t="str">
        <f>IF(A189="","",Calculation!$P$6)</f>
        <v/>
      </c>
      <c r="V189" s="393" t="str">
        <f>IF(A189="","",Calculation!AT195)</f>
        <v/>
      </c>
      <c r="W189" s="396" t="str">
        <f>IF(A189="","",Calculation!AP195)</f>
        <v/>
      </c>
      <c r="X189" s="396" t="str">
        <f>IF(A189="","",Calculation!AO195)</f>
        <v/>
      </c>
      <c r="Y189" s="396" t="str">
        <f>IF(A189="","",Calculation!AQ195)</f>
        <v/>
      </c>
      <c r="Z189" s="396" t="str">
        <f>IF(A189="","",Calculation!$H$6)</f>
        <v/>
      </c>
      <c r="AA189" s="397" t="str">
        <f>IF(A189="","",Calculation!$H$13)</f>
        <v/>
      </c>
      <c r="AB189" s="397" t="str">
        <f>IF(A189="","",Calculation!U195)</f>
        <v/>
      </c>
      <c r="AC189" s="398" t="str">
        <f>IF(A189="","",IF(Calculation!$O$9="None","Water",CONCATENATE(Calculation!$O$9,"-",Calculation!$S$9,"%")))</f>
        <v/>
      </c>
      <c r="AD189" s="396" t="str">
        <f>IF(A189="","",Calculation!$S$6)</f>
        <v/>
      </c>
      <c r="AE189" s="399" t="str">
        <f>IF(A189="","",Calculation!BA195)</f>
        <v/>
      </c>
      <c r="AF189" s="396" t="str">
        <f>IF(A189="","",Calculation!AX195)</f>
        <v/>
      </c>
      <c r="AG189" s="396" t="str">
        <f>IF(A189="","",Calculation!AW195)</f>
        <v/>
      </c>
      <c r="AH189" s="391" t="str">
        <f>IF(A189="","",Calculation!AY195)</f>
        <v/>
      </c>
      <c r="AI189" s="391" t="str">
        <f>IF(A189="","",Calculation!Y195)</f>
        <v/>
      </c>
      <c r="AJ189" s="401" t="str">
        <f>IF(Calculation!BD195&gt;0,Calculation!BD195," ")</f>
        <v xml:space="preserve"> </v>
      </c>
      <c r="AK189" s="401" t="str">
        <f>IF(Calculation!BD195&gt;0,Calculation!BE195," ")</f>
        <v xml:space="preserve"> </v>
      </c>
      <c r="AL189" s="401" t="str">
        <f>IF(Calculation!BD195&gt;0,Calculation!BF195," ")</f>
        <v xml:space="preserve"> </v>
      </c>
      <c r="AM189" s="401" t="str">
        <f>IF(Calculation!BD195&gt;0,Calculation!BG195," ")</f>
        <v xml:space="preserve"> </v>
      </c>
      <c r="AN189" s="391" t="str">
        <f>IF(Calculation!BH195="N/A","N/A",Calculation!BH195)</f>
        <v xml:space="preserve"> </v>
      </c>
      <c r="AO189" s="402" t="str">
        <f>IF(Calculation!BI195="N/A","N/A",Calculation!BI195)</f>
        <v/>
      </c>
      <c r="AP189" s="391" t="str">
        <f>IF(Calculation!BJ195="N/A","N/A",Calculation!BJ195)</f>
        <v/>
      </c>
      <c r="AQ189" s="402" t="str">
        <f>IF(Calculation!BK195="N/A","N/A",Calculation!BK195)</f>
        <v/>
      </c>
      <c r="AR189" s="391" t="str">
        <f>IF(Calculation!BL195="N/A","N/A",Calculation!BL195)</f>
        <v/>
      </c>
      <c r="AS189" s="402" t="str">
        <f>IF(Calculation!BM195="N/A","N/A",Calculation!BM195)</f>
        <v/>
      </c>
      <c r="AT189" s="400"/>
    </row>
    <row r="190" spans="1:46" ht="12.75" customHeight="1">
      <c r="A190" s="224" t="str">
        <f>IF(Calculation!BN196="","",CONCATENATE(Calculation!BO196,"-",Calculation!R196,"-",Calculation!S196,"-",Calculation!T196,"-",Calculation!U196))</f>
        <v/>
      </c>
      <c r="B190" s="224">
        <v>175</v>
      </c>
      <c r="C190" s="629" t="str">
        <f>IF(A190="","",Calculation!B196)</f>
        <v/>
      </c>
      <c r="D190" s="386" t="str">
        <f>IF(A190="","",Calculation!L196)</f>
        <v/>
      </c>
      <c r="E190" s="387" t="str">
        <f>IF(A190="","",Calculation!J196)</f>
        <v/>
      </c>
      <c r="F190" s="387" t="str">
        <f>IF(A190="","",Calculation!C196)</f>
        <v/>
      </c>
      <c r="G190" s="387" t="str">
        <f>IF(A190="","",LEFT(Calculation!O196,6))</f>
        <v/>
      </c>
      <c r="H190" s="388" t="str">
        <f>IF(A190="","",Calculation!DX196)</f>
        <v/>
      </c>
      <c r="I190" s="387" t="str">
        <f>IF(A190="","",Calculation!P196)</f>
        <v/>
      </c>
      <c r="J190" s="387" t="str">
        <f>IF(A190="","",HLOOKUP(LEFT(Calculation!BO196,7),LookUps!$C$38:$M$41,4))</f>
        <v/>
      </c>
      <c r="K190" s="387" t="str">
        <f>IF(A190="","",Calculation!M196)</f>
        <v/>
      </c>
      <c r="L190" s="387" t="str">
        <f>IF(A190="","",Calculation!S196)</f>
        <v/>
      </c>
      <c r="M190" s="389" t="str">
        <f>IF(A190="","",Calculation!N196)</f>
        <v/>
      </c>
      <c r="N190" s="390" t="str">
        <f>IF(A190="","",Calculation!R196)</f>
        <v/>
      </c>
      <c r="O190" s="391" t="str">
        <f>IF(A190="","",Calculation!$F$6)</f>
        <v/>
      </c>
      <c r="P190" s="392" t="str">
        <f>IF(A190="","",Calculation!$F$7)</f>
        <v/>
      </c>
      <c r="Q190" s="393" t="str">
        <f>IF(A190="","",Calculation!$F$13)</f>
        <v/>
      </c>
      <c r="R190" s="394" t="str">
        <f>IF(A190="","",Calculation!X196)</f>
        <v/>
      </c>
      <c r="S190" s="393" t="str">
        <f>IF(A190="","",Calculation!T196)</f>
        <v/>
      </c>
      <c r="T190" s="395" t="str">
        <f>IF(A190="","",IF(Calculation!$O$8="None","Water",CONCATENATE(Calculation!$O$8,"-",Calculation!$S$8,"%")))</f>
        <v/>
      </c>
      <c r="U190" s="393" t="str">
        <f>IF(A190="","",Calculation!$P$6)</f>
        <v/>
      </c>
      <c r="V190" s="393" t="str">
        <f>IF(A190="","",Calculation!AT196)</f>
        <v/>
      </c>
      <c r="W190" s="396" t="str">
        <f>IF(A190="","",Calculation!AP196)</f>
        <v/>
      </c>
      <c r="X190" s="396" t="str">
        <f>IF(A190="","",Calculation!AO196)</f>
        <v/>
      </c>
      <c r="Y190" s="396" t="str">
        <f>IF(A190="","",Calculation!AQ196)</f>
        <v/>
      </c>
      <c r="Z190" s="396" t="str">
        <f>IF(A190="","",Calculation!$H$6)</f>
        <v/>
      </c>
      <c r="AA190" s="397" t="str">
        <f>IF(A190="","",Calculation!$H$13)</f>
        <v/>
      </c>
      <c r="AB190" s="397" t="str">
        <f>IF(A190="","",Calculation!U196)</f>
        <v/>
      </c>
      <c r="AC190" s="398" t="str">
        <f>IF(A190="","",IF(Calculation!$O$9="None","Water",CONCATENATE(Calculation!$O$9,"-",Calculation!$S$9,"%")))</f>
        <v/>
      </c>
      <c r="AD190" s="396" t="str">
        <f>IF(A190="","",Calculation!$S$6)</f>
        <v/>
      </c>
      <c r="AE190" s="399" t="str">
        <f>IF(A190="","",Calculation!BA196)</f>
        <v/>
      </c>
      <c r="AF190" s="396" t="str">
        <f>IF(A190="","",Calculation!AX196)</f>
        <v/>
      </c>
      <c r="AG190" s="396" t="str">
        <f>IF(A190="","",Calculation!AW196)</f>
        <v/>
      </c>
      <c r="AH190" s="391" t="str">
        <f>IF(A190="","",Calculation!AY196)</f>
        <v/>
      </c>
      <c r="AI190" s="391" t="str">
        <f>IF(A190="","",Calculation!Y196)</f>
        <v/>
      </c>
      <c r="AJ190" s="401" t="str">
        <f>IF(Calculation!BD196&gt;0,Calculation!BD196," ")</f>
        <v xml:space="preserve"> </v>
      </c>
      <c r="AK190" s="401" t="str">
        <f>IF(Calculation!BD196&gt;0,Calculation!BE196," ")</f>
        <v xml:space="preserve"> </v>
      </c>
      <c r="AL190" s="401" t="str">
        <f>IF(Calculation!BD196&gt;0,Calculation!BF196," ")</f>
        <v xml:space="preserve"> </v>
      </c>
      <c r="AM190" s="401" t="str">
        <f>IF(Calculation!BD196&gt;0,Calculation!BG196," ")</f>
        <v xml:space="preserve"> </v>
      </c>
      <c r="AN190" s="391" t="str">
        <f>IF(Calculation!BH196="N/A","N/A",Calculation!BH196)</f>
        <v xml:space="preserve"> </v>
      </c>
      <c r="AO190" s="402" t="str">
        <f>IF(Calculation!BI196="N/A","N/A",Calculation!BI196)</f>
        <v/>
      </c>
      <c r="AP190" s="391" t="str">
        <f>IF(Calculation!BJ196="N/A","N/A",Calculation!BJ196)</f>
        <v/>
      </c>
      <c r="AQ190" s="402" t="str">
        <f>IF(Calculation!BK196="N/A","N/A",Calculation!BK196)</f>
        <v/>
      </c>
      <c r="AR190" s="391" t="str">
        <f>IF(Calculation!BL196="N/A","N/A",Calculation!BL196)</f>
        <v/>
      </c>
      <c r="AS190" s="402" t="str">
        <f>IF(Calculation!BM196="N/A","N/A",Calculation!BM196)</f>
        <v/>
      </c>
      <c r="AT190" s="400"/>
    </row>
    <row r="191" spans="1:46" ht="12.75" customHeight="1">
      <c r="A191" s="224" t="str">
        <f>IF(Calculation!BN197="","",CONCATENATE(Calculation!BO197,"-",Calculation!R197,"-",Calculation!S197,"-",Calculation!T197,"-",Calculation!U197))</f>
        <v/>
      </c>
      <c r="B191" s="224">
        <v>176</v>
      </c>
      <c r="C191" s="629" t="str">
        <f>IF(A191="","",Calculation!B197)</f>
        <v/>
      </c>
      <c r="D191" s="386" t="str">
        <f>IF(A191="","",Calculation!L197)</f>
        <v/>
      </c>
      <c r="E191" s="387" t="str">
        <f>IF(A191="","",Calculation!J197)</f>
        <v/>
      </c>
      <c r="F191" s="387" t="str">
        <f>IF(A191="","",Calculation!C197)</f>
        <v/>
      </c>
      <c r="G191" s="387" t="str">
        <f>IF(A191="","",LEFT(Calculation!O197,6))</f>
        <v/>
      </c>
      <c r="H191" s="388" t="str">
        <f>IF(A191="","",Calculation!DX197)</f>
        <v/>
      </c>
      <c r="I191" s="387" t="str">
        <f>IF(A191="","",Calculation!P197)</f>
        <v/>
      </c>
      <c r="J191" s="387" t="str">
        <f>IF(A191="","",HLOOKUP(LEFT(Calculation!BO197,7),LookUps!$C$38:$M$41,4))</f>
        <v/>
      </c>
      <c r="K191" s="387" t="str">
        <f>IF(A191="","",Calculation!M197)</f>
        <v/>
      </c>
      <c r="L191" s="387" t="str">
        <f>IF(A191="","",Calculation!S197)</f>
        <v/>
      </c>
      <c r="M191" s="389" t="str">
        <f>IF(A191="","",Calculation!N197)</f>
        <v/>
      </c>
      <c r="N191" s="390" t="str">
        <f>IF(A191="","",Calculation!R197)</f>
        <v/>
      </c>
      <c r="O191" s="391" t="str">
        <f>IF(A191="","",Calculation!$F$6)</f>
        <v/>
      </c>
      <c r="P191" s="392" t="str">
        <f>IF(A191="","",Calculation!$F$7)</f>
        <v/>
      </c>
      <c r="Q191" s="393" t="str">
        <f>IF(A191="","",Calculation!$F$13)</f>
        <v/>
      </c>
      <c r="R191" s="394" t="str">
        <f>IF(A191="","",Calculation!X197)</f>
        <v/>
      </c>
      <c r="S191" s="393" t="str">
        <f>IF(A191="","",Calculation!T197)</f>
        <v/>
      </c>
      <c r="T191" s="395" t="str">
        <f>IF(A191="","",IF(Calculation!$O$8="None","Water",CONCATENATE(Calculation!$O$8,"-",Calculation!$S$8,"%")))</f>
        <v/>
      </c>
      <c r="U191" s="393" t="str">
        <f>IF(A191="","",Calculation!$P$6)</f>
        <v/>
      </c>
      <c r="V191" s="393" t="str">
        <f>IF(A191="","",Calculation!AT197)</f>
        <v/>
      </c>
      <c r="W191" s="396" t="str">
        <f>IF(A191="","",Calculation!AP197)</f>
        <v/>
      </c>
      <c r="X191" s="396" t="str">
        <f>IF(A191="","",Calculation!AO197)</f>
        <v/>
      </c>
      <c r="Y191" s="396" t="str">
        <f>IF(A191="","",Calculation!AQ197)</f>
        <v/>
      </c>
      <c r="Z191" s="396" t="str">
        <f>IF(A191="","",Calculation!$H$6)</f>
        <v/>
      </c>
      <c r="AA191" s="397" t="str">
        <f>IF(A191="","",Calculation!$H$13)</f>
        <v/>
      </c>
      <c r="AB191" s="397" t="str">
        <f>IF(A191="","",Calculation!U197)</f>
        <v/>
      </c>
      <c r="AC191" s="398" t="str">
        <f>IF(A191="","",IF(Calculation!$O$9="None","Water",CONCATENATE(Calculation!$O$9,"-",Calculation!$S$9,"%")))</f>
        <v/>
      </c>
      <c r="AD191" s="396" t="str">
        <f>IF(A191="","",Calculation!$S$6)</f>
        <v/>
      </c>
      <c r="AE191" s="399" t="str">
        <f>IF(A191="","",Calculation!BA197)</f>
        <v/>
      </c>
      <c r="AF191" s="396" t="str">
        <f>IF(A191="","",Calculation!AX197)</f>
        <v/>
      </c>
      <c r="AG191" s="396" t="str">
        <f>IF(A191="","",Calculation!AW197)</f>
        <v/>
      </c>
      <c r="AH191" s="391" t="str">
        <f>IF(A191="","",Calculation!AY197)</f>
        <v/>
      </c>
      <c r="AI191" s="391" t="str">
        <f>IF(A191="","",Calculation!Y197)</f>
        <v/>
      </c>
      <c r="AJ191" s="401" t="str">
        <f>IF(Calculation!BD197&gt;0,Calculation!BD197," ")</f>
        <v xml:space="preserve"> </v>
      </c>
      <c r="AK191" s="401" t="str">
        <f>IF(Calculation!BD197&gt;0,Calculation!BE197," ")</f>
        <v xml:space="preserve"> </v>
      </c>
      <c r="AL191" s="401" t="str">
        <f>IF(Calculation!BD197&gt;0,Calculation!BF197," ")</f>
        <v xml:space="preserve"> </v>
      </c>
      <c r="AM191" s="401" t="str">
        <f>IF(Calculation!BD197&gt;0,Calculation!BG197," ")</f>
        <v xml:space="preserve"> </v>
      </c>
      <c r="AN191" s="391" t="str">
        <f>IF(Calculation!BH197="N/A","N/A",Calculation!BH197)</f>
        <v xml:space="preserve"> </v>
      </c>
      <c r="AO191" s="402" t="str">
        <f>IF(Calculation!BI197="N/A","N/A",Calculation!BI197)</f>
        <v/>
      </c>
      <c r="AP191" s="391" t="str">
        <f>IF(Calculation!BJ197="N/A","N/A",Calculation!BJ197)</f>
        <v/>
      </c>
      <c r="AQ191" s="402" t="str">
        <f>IF(Calculation!BK197="N/A","N/A",Calculation!BK197)</f>
        <v/>
      </c>
      <c r="AR191" s="391" t="str">
        <f>IF(Calculation!BL197="N/A","N/A",Calculation!BL197)</f>
        <v/>
      </c>
      <c r="AS191" s="402" t="str">
        <f>IF(Calculation!BM197="N/A","N/A",Calculation!BM197)</f>
        <v/>
      </c>
      <c r="AT191" s="400"/>
    </row>
    <row r="192" spans="1:46" ht="12.75" customHeight="1">
      <c r="A192" s="224" t="str">
        <f>IF(Calculation!BN198="","",CONCATENATE(Calculation!BO198,"-",Calculation!R198,"-",Calculation!S198,"-",Calculation!T198,"-",Calculation!U198))</f>
        <v/>
      </c>
      <c r="B192" s="224">
        <v>177</v>
      </c>
      <c r="C192" s="629" t="str">
        <f>IF(A192="","",Calculation!B198)</f>
        <v/>
      </c>
      <c r="D192" s="386" t="str">
        <f>IF(A192="","",Calculation!L198)</f>
        <v/>
      </c>
      <c r="E192" s="387" t="str">
        <f>IF(A192="","",Calculation!J198)</f>
        <v/>
      </c>
      <c r="F192" s="387" t="str">
        <f>IF(A192="","",Calculation!C198)</f>
        <v/>
      </c>
      <c r="G192" s="387" t="str">
        <f>IF(A192="","",LEFT(Calculation!O198,6))</f>
        <v/>
      </c>
      <c r="H192" s="388" t="str">
        <f>IF(A192="","",Calculation!DX198)</f>
        <v/>
      </c>
      <c r="I192" s="387" t="str">
        <f>IF(A192="","",Calculation!P198)</f>
        <v/>
      </c>
      <c r="J192" s="387" t="str">
        <f>IF(A192="","",HLOOKUP(LEFT(Calculation!BO198,7),LookUps!$C$38:$M$41,4))</f>
        <v/>
      </c>
      <c r="K192" s="387" t="str">
        <f>IF(A192="","",Calculation!M198)</f>
        <v/>
      </c>
      <c r="L192" s="387" t="str">
        <f>IF(A192="","",Calculation!S198)</f>
        <v/>
      </c>
      <c r="M192" s="389" t="str">
        <f>IF(A192="","",Calculation!N198)</f>
        <v/>
      </c>
      <c r="N192" s="390" t="str">
        <f>IF(A192="","",Calculation!R198)</f>
        <v/>
      </c>
      <c r="O192" s="391" t="str">
        <f>IF(A192="","",Calculation!$F$6)</f>
        <v/>
      </c>
      <c r="P192" s="392" t="str">
        <f>IF(A192="","",Calculation!$F$7)</f>
        <v/>
      </c>
      <c r="Q192" s="393" t="str">
        <f>IF(A192="","",Calculation!$F$13)</f>
        <v/>
      </c>
      <c r="R192" s="394" t="str">
        <f>IF(A192="","",Calculation!X198)</f>
        <v/>
      </c>
      <c r="S192" s="393" t="str">
        <f>IF(A192="","",Calculation!T198)</f>
        <v/>
      </c>
      <c r="T192" s="395" t="str">
        <f>IF(A192="","",IF(Calculation!$O$8="None","Water",CONCATENATE(Calculation!$O$8,"-",Calculation!$S$8,"%")))</f>
        <v/>
      </c>
      <c r="U192" s="393" t="str">
        <f>IF(A192="","",Calculation!$P$6)</f>
        <v/>
      </c>
      <c r="V192" s="393" t="str">
        <f>IF(A192="","",Calculation!AT198)</f>
        <v/>
      </c>
      <c r="W192" s="396" t="str">
        <f>IF(A192="","",Calculation!AP198)</f>
        <v/>
      </c>
      <c r="X192" s="396" t="str">
        <f>IF(A192="","",Calculation!AO198)</f>
        <v/>
      </c>
      <c r="Y192" s="396" t="str">
        <f>IF(A192="","",Calculation!AQ198)</f>
        <v/>
      </c>
      <c r="Z192" s="396" t="str">
        <f>IF(A192="","",Calculation!$H$6)</f>
        <v/>
      </c>
      <c r="AA192" s="397" t="str">
        <f>IF(A192="","",Calculation!$H$13)</f>
        <v/>
      </c>
      <c r="AB192" s="397" t="str">
        <f>IF(A192="","",Calculation!U198)</f>
        <v/>
      </c>
      <c r="AC192" s="398" t="str">
        <f>IF(A192="","",IF(Calculation!$O$9="None","Water",CONCATENATE(Calculation!$O$9,"-",Calculation!$S$9,"%")))</f>
        <v/>
      </c>
      <c r="AD192" s="396" t="str">
        <f>IF(A192="","",Calculation!$S$6)</f>
        <v/>
      </c>
      <c r="AE192" s="399" t="str">
        <f>IF(A192="","",Calculation!BA198)</f>
        <v/>
      </c>
      <c r="AF192" s="396" t="str">
        <f>IF(A192="","",Calculation!AX198)</f>
        <v/>
      </c>
      <c r="AG192" s="396" t="str">
        <f>IF(A192="","",Calculation!AW198)</f>
        <v/>
      </c>
      <c r="AH192" s="391" t="str">
        <f>IF(A192="","",Calculation!AY198)</f>
        <v/>
      </c>
      <c r="AI192" s="391" t="str">
        <f>IF(A192="","",Calculation!Y198)</f>
        <v/>
      </c>
      <c r="AJ192" s="401" t="str">
        <f>IF(Calculation!BD198&gt;0,Calculation!BD198," ")</f>
        <v xml:space="preserve"> </v>
      </c>
      <c r="AK192" s="401" t="str">
        <f>IF(Calculation!BD198&gt;0,Calculation!BE198," ")</f>
        <v xml:space="preserve"> </v>
      </c>
      <c r="AL192" s="401" t="str">
        <f>IF(Calculation!BD198&gt;0,Calculation!BF198," ")</f>
        <v xml:space="preserve"> </v>
      </c>
      <c r="AM192" s="401" t="str">
        <f>IF(Calculation!BD198&gt;0,Calculation!BG198," ")</f>
        <v xml:space="preserve"> </v>
      </c>
      <c r="AN192" s="391" t="str">
        <f>IF(Calculation!BH198="N/A","N/A",Calculation!BH198)</f>
        <v xml:space="preserve"> </v>
      </c>
      <c r="AO192" s="402" t="str">
        <f>IF(Calculation!BI198="N/A","N/A",Calculation!BI198)</f>
        <v/>
      </c>
      <c r="AP192" s="391" t="str">
        <f>IF(Calculation!BJ198="N/A","N/A",Calculation!BJ198)</f>
        <v/>
      </c>
      <c r="AQ192" s="402" t="str">
        <f>IF(Calculation!BK198="N/A","N/A",Calculation!BK198)</f>
        <v/>
      </c>
      <c r="AR192" s="391" t="str">
        <f>IF(Calculation!BL198="N/A","N/A",Calculation!BL198)</f>
        <v/>
      </c>
      <c r="AS192" s="402" t="str">
        <f>IF(Calculation!BM198="N/A","N/A",Calculation!BM198)</f>
        <v/>
      </c>
      <c r="AT192" s="400"/>
    </row>
    <row r="193" spans="1:46" ht="12.75" customHeight="1">
      <c r="A193" s="224" t="str">
        <f>IF(Calculation!BN199="","",CONCATENATE(Calculation!BO199,"-",Calculation!R199,"-",Calculation!S199,"-",Calculation!T199,"-",Calculation!U199))</f>
        <v/>
      </c>
      <c r="B193" s="224">
        <v>178</v>
      </c>
      <c r="C193" s="629" t="str">
        <f>IF(A193="","",Calculation!B199)</f>
        <v/>
      </c>
      <c r="D193" s="386" t="str">
        <f>IF(A193="","",Calculation!L199)</f>
        <v/>
      </c>
      <c r="E193" s="387" t="str">
        <f>IF(A193="","",Calculation!J199)</f>
        <v/>
      </c>
      <c r="F193" s="387" t="str">
        <f>IF(A193="","",Calculation!C199)</f>
        <v/>
      </c>
      <c r="G193" s="387" t="str">
        <f>IF(A193="","",LEFT(Calculation!O199,6))</f>
        <v/>
      </c>
      <c r="H193" s="388" t="str">
        <f>IF(A193="","",Calculation!DX199)</f>
        <v/>
      </c>
      <c r="I193" s="387" t="str">
        <f>IF(A193="","",Calculation!P199)</f>
        <v/>
      </c>
      <c r="J193" s="387" t="str">
        <f>IF(A193="","",HLOOKUP(LEFT(Calculation!BO199,7),LookUps!$C$38:$M$41,4))</f>
        <v/>
      </c>
      <c r="K193" s="387" t="str">
        <f>IF(A193="","",Calculation!M199)</f>
        <v/>
      </c>
      <c r="L193" s="387" t="str">
        <f>IF(A193="","",Calculation!S199)</f>
        <v/>
      </c>
      <c r="M193" s="389" t="str">
        <f>IF(A193="","",Calculation!N199)</f>
        <v/>
      </c>
      <c r="N193" s="390" t="str">
        <f>IF(A193="","",Calculation!R199)</f>
        <v/>
      </c>
      <c r="O193" s="391" t="str">
        <f>IF(A193="","",Calculation!$F$6)</f>
        <v/>
      </c>
      <c r="P193" s="392" t="str">
        <f>IF(A193="","",Calculation!$F$7)</f>
        <v/>
      </c>
      <c r="Q193" s="393" t="str">
        <f>IF(A193="","",Calculation!$F$13)</f>
        <v/>
      </c>
      <c r="R193" s="394" t="str">
        <f>IF(A193="","",Calculation!X199)</f>
        <v/>
      </c>
      <c r="S193" s="393" t="str">
        <f>IF(A193="","",Calculation!T199)</f>
        <v/>
      </c>
      <c r="T193" s="395" t="str">
        <f>IF(A193="","",IF(Calculation!$O$8="None","Water",CONCATENATE(Calculation!$O$8,"-",Calculation!$S$8,"%")))</f>
        <v/>
      </c>
      <c r="U193" s="393" t="str">
        <f>IF(A193="","",Calculation!$P$6)</f>
        <v/>
      </c>
      <c r="V193" s="393" t="str">
        <f>IF(A193="","",Calculation!AT199)</f>
        <v/>
      </c>
      <c r="W193" s="396" t="str">
        <f>IF(A193="","",Calculation!AP199)</f>
        <v/>
      </c>
      <c r="X193" s="396" t="str">
        <f>IF(A193="","",Calculation!AO199)</f>
        <v/>
      </c>
      <c r="Y193" s="396" t="str">
        <f>IF(A193="","",Calculation!AQ199)</f>
        <v/>
      </c>
      <c r="Z193" s="396" t="str">
        <f>IF(A193="","",Calculation!$H$6)</f>
        <v/>
      </c>
      <c r="AA193" s="397" t="str">
        <f>IF(A193="","",Calculation!$H$13)</f>
        <v/>
      </c>
      <c r="AB193" s="397" t="str">
        <f>IF(A193="","",Calculation!U199)</f>
        <v/>
      </c>
      <c r="AC193" s="398" t="str">
        <f>IF(A193="","",IF(Calculation!$O$9="None","Water",CONCATENATE(Calculation!$O$9,"-",Calculation!$S$9,"%")))</f>
        <v/>
      </c>
      <c r="AD193" s="396" t="str">
        <f>IF(A193="","",Calculation!$S$6)</f>
        <v/>
      </c>
      <c r="AE193" s="399" t="str">
        <f>IF(A193="","",Calculation!BA199)</f>
        <v/>
      </c>
      <c r="AF193" s="396" t="str">
        <f>IF(A193="","",Calculation!AX199)</f>
        <v/>
      </c>
      <c r="AG193" s="396" t="str">
        <f>IF(A193="","",Calculation!AW199)</f>
        <v/>
      </c>
      <c r="AH193" s="391" t="str">
        <f>IF(A193="","",Calculation!AY199)</f>
        <v/>
      </c>
      <c r="AI193" s="391" t="str">
        <f>IF(A193="","",Calculation!Y199)</f>
        <v/>
      </c>
      <c r="AJ193" s="401" t="str">
        <f>IF(Calculation!BD199&gt;0,Calculation!BD199," ")</f>
        <v xml:space="preserve"> </v>
      </c>
      <c r="AK193" s="401" t="str">
        <f>IF(Calculation!BD199&gt;0,Calculation!BE199," ")</f>
        <v xml:space="preserve"> </v>
      </c>
      <c r="AL193" s="401" t="str">
        <f>IF(Calculation!BD199&gt;0,Calculation!BF199," ")</f>
        <v xml:space="preserve"> </v>
      </c>
      <c r="AM193" s="401" t="str">
        <f>IF(Calculation!BD199&gt;0,Calculation!BG199," ")</f>
        <v xml:space="preserve"> </v>
      </c>
      <c r="AN193" s="391" t="str">
        <f>IF(Calculation!BH199="N/A","N/A",Calculation!BH199)</f>
        <v xml:space="preserve"> </v>
      </c>
      <c r="AO193" s="402" t="str">
        <f>IF(Calculation!BI199="N/A","N/A",Calculation!BI199)</f>
        <v/>
      </c>
      <c r="AP193" s="391" t="str">
        <f>IF(Calculation!BJ199="N/A","N/A",Calculation!BJ199)</f>
        <v/>
      </c>
      <c r="AQ193" s="402" t="str">
        <f>IF(Calculation!BK199="N/A","N/A",Calculation!BK199)</f>
        <v/>
      </c>
      <c r="AR193" s="391" t="str">
        <f>IF(Calculation!BL199="N/A","N/A",Calculation!BL199)</f>
        <v/>
      </c>
      <c r="AS193" s="402" t="str">
        <f>IF(Calculation!BM199="N/A","N/A",Calculation!BM199)</f>
        <v/>
      </c>
      <c r="AT193" s="400"/>
    </row>
    <row r="194" spans="1:46" ht="14.4" customHeight="1">
      <c r="A194" s="224" t="str">
        <f>IF(Calculation!BN200="","",CONCATENATE(Calculation!BO200,"-",Calculation!R200,"-",Calculation!S200,"-",Calculation!T200,"-",Calculation!U200))</f>
        <v/>
      </c>
      <c r="B194" s="224">
        <v>179</v>
      </c>
      <c r="C194" s="629" t="str">
        <f>IF(A194="","",Calculation!B200)</f>
        <v/>
      </c>
      <c r="D194" s="386" t="str">
        <f>IF(A194="","",Calculation!L200)</f>
        <v/>
      </c>
      <c r="E194" s="387" t="str">
        <f>IF(A194="","",Calculation!J200)</f>
        <v/>
      </c>
      <c r="F194" s="387" t="str">
        <f>IF(A194="","",Calculation!C200)</f>
        <v/>
      </c>
      <c r="G194" s="387" t="str">
        <f>IF(A194="","",LEFT(Calculation!O200,6))</f>
        <v/>
      </c>
      <c r="H194" s="388" t="str">
        <f>IF(A194="","",Calculation!DX200)</f>
        <v/>
      </c>
      <c r="I194" s="387" t="str">
        <f>IF(A194="","",Calculation!P200)</f>
        <v/>
      </c>
      <c r="J194" s="387" t="str">
        <f>IF(A194="","",HLOOKUP(LEFT(Calculation!BO200,7),LookUps!$C$38:$M$41,4))</f>
        <v/>
      </c>
      <c r="K194" s="387" t="str">
        <f>IF(A194="","",Calculation!M200)</f>
        <v/>
      </c>
      <c r="L194" s="387" t="str">
        <f>IF(A194="","",Calculation!S200)</f>
        <v/>
      </c>
      <c r="M194" s="389" t="str">
        <f>IF(A194="","",Calculation!N200)</f>
        <v/>
      </c>
      <c r="N194" s="390" t="str">
        <f>IF(A194="","",Calculation!R200)</f>
        <v/>
      </c>
      <c r="O194" s="391" t="str">
        <f>IF(A194="","",Calculation!$F$6)</f>
        <v/>
      </c>
      <c r="P194" s="392" t="str">
        <f>IF(A194="","",Calculation!$F$7)</f>
        <v/>
      </c>
      <c r="Q194" s="393" t="str">
        <f>IF(A194="","",Calculation!$F$13)</f>
        <v/>
      </c>
      <c r="R194" s="394" t="str">
        <f>IF(A194="","",Calculation!X200)</f>
        <v/>
      </c>
      <c r="S194" s="393" t="str">
        <f>IF(A194="","",Calculation!T200)</f>
        <v/>
      </c>
      <c r="T194" s="395" t="str">
        <f>IF(A194="","",IF(Calculation!$O$8="None","Water",CONCATENATE(Calculation!$O$8,"-",Calculation!$S$8,"%")))</f>
        <v/>
      </c>
      <c r="U194" s="393" t="str">
        <f>IF(A194="","",Calculation!$P$6)</f>
        <v/>
      </c>
      <c r="V194" s="393" t="str">
        <f>IF(A194="","",Calculation!AT200)</f>
        <v/>
      </c>
      <c r="W194" s="396" t="str">
        <f>IF(A194="","",Calculation!AP200)</f>
        <v/>
      </c>
      <c r="X194" s="396" t="str">
        <f>IF(A194="","",Calculation!AO200)</f>
        <v/>
      </c>
      <c r="Y194" s="396" t="str">
        <f>IF(A194="","",Calculation!AQ200)</f>
        <v/>
      </c>
      <c r="Z194" s="396" t="str">
        <f>IF(A194="","",Calculation!$H$6)</f>
        <v/>
      </c>
      <c r="AA194" s="397" t="str">
        <f>IF(A194="","",Calculation!$H$13)</f>
        <v/>
      </c>
      <c r="AB194" s="397" t="str">
        <f>IF(A194="","",Calculation!U200)</f>
        <v/>
      </c>
      <c r="AC194" s="398" t="str">
        <f>IF(A194="","",IF(Calculation!$O$9="None","Water",CONCATENATE(Calculation!$O$9,"-",Calculation!$S$9,"%")))</f>
        <v/>
      </c>
      <c r="AD194" s="396" t="str">
        <f>IF(A194="","",Calculation!$S$6)</f>
        <v/>
      </c>
      <c r="AE194" s="399" t="str">
        <f>IF(A194="","",Calculation!BA200)</f>
        <v/>
      </c>
      <c r="AF194" s="396" t="str">
        <f>IF(A194="","",Calculation!AX200)</f>
        <v/>
      </c>
      <c r="AG194" s="396" t="str">
        <f>IF(A194="","",Calculation!AW200)</f>
        <v/>
      </c>
      <c r="AH194" s="391" t="str">
        <f>IF(A194="","",Calculation!AY200)</f>
        <v/>
      </c>
      <c r="AI194" s="391" t="str">
        <f>IF(A194="","",Calculation!Y200)</f>
        <v/>
      </c>
      <c r="AJ194" s="401" t="str">
        <f>IF(Calculation!BD200&gt;0,Calculation!BD200," ")</f>
        <v xml:space="preserve"> </v>
      </c>
      <c r="AK194" s="401" t="str">
        <f>IF(Calculation!BD200&gt;0,Calculation!BE200," ")</f>
        <v xml:space="preserve"> </v>
      </c>
      <c r="AL194" s="401" t="str">
        <f>IF(Calculation!BD200&gt;0,Calculation!BF200," ")</f>
        <v xml:space="preserve"> </v>
      </c>
      <c r="AM194" s="401" t="str">
        <f>IF(Calculation!BD200&gt;0,Calculation!BG200," ")</f>
        <v xml:space="preserve"> </v>
      </c>
      <c r="AN194" s="391" t="str">
        <f>IF(Calculation!BH200="N/A","N/A",Calculation!BH200)</f>
        <v xml:space="preserve"> </v>
      </c>
      <c r="AO194" s="402" t="str">
        <f>IF(Calculation!BI200="N/A","N/A",Calculation!BI200)</f>
        <v/>
      </c>
      <c r="AP194" s="391" t="str">
        <f>IF(Calculation!BJ200="N/A","N/A",Calculation!BJ200)</f>
        <v/>
      </c>
      <c r="AQ194" s="402" t="str">
        <f>IF(Calculation!BK200="N/A","N/A",Calculation!BK200)</f>
        <v/>
      </c>
      <c r="AR194" s="391" t="str">
        <f>IF(Calculation!BL200="N/A","N/A",Calculation!BL200)</f>
        <v/>
      </c>
      <c r="AS194" s="402" t="str">
        <f>IF(Calculation!BM200="N/A","N/A",Calculation!BM200)</f>
        <v/>
      </c>
      <c r="AT194" s="400"/>
    </row>
    <row r="195" spans="1:46" ht="14.4" customHeight="1">
      <c r="A195" s="224" t="str">
        <f>IF(Calculation!BN201="","",CONCATENATE(Calculation!BO201,"-",Calculation!R201,"-",Calculation!S201,"-",Calculation!T201,"-",Calculation!U201))</f>
        <v/>
      </c>
      <c r="B195" s="224">
        <v>180</v>
      </c>
      <c r="C195" s="629" t="str">
        <f>IF(A195="","",Calculation!B201)</f>
        <v/>
      </c>
      <c r="D195" s="386" t="str">
        <f>IF(A195="","",Calculation!L201)</f>
        <v/>
      </c>
      <c r="E195" s="387" t="str">
        <f>IF(A195="","",Calculation!J201)</f>
        <v/>
      </c>
      <c r="F195" s="387" t="str">
        <f>IF(A195="","",Calculation!C201)</f>
        <v/>
      </c>
      <c r="G195" s="387" t="str">
        <f>IF(A195="","",LEFT(Calculation!O201,6))</f>
        <v/>
      </c>
      <c r="H195" s="388" t="str">
        <f>IF(A195="","",Calculation!DX201)</f>
        <v/>
      </c>
      <c r="I195" s="387" t="str">
        <f>IF(A195="","",Calculation!P201)</f>
        <v/>
      </c>
      <c r="J195" s="387" t="str">
        <f>IF(A195="","",HLOOKUP(LEFT(Calculation!BO201,7),LookUps!$C$38:$M$41,4))</f>
        <v/>
      </c>
      <c r="K195" s="387" t="str">
        <f>IF(A195="","",Calculation!M201)</f>
        <v/>
      </c>
      <c r="L195" s="387" t="str">
        <f>IF(A195="","",Calculation!S201)</f>
        <v/>
      </c>
      <c r="M195" s="389" t="str">
        <f>IF(A195="","",Calculation!N201)</f>
        <v/>
      </c>
      <c r="N195" s="390" t="str">
        <f>IF(A195="","",Calculation!R201)</f>
        <v/>
      </c>
      <c r="O195" s="391" t="str">
        <f>IF(A195="","",Calculation!$F$6)</f>
        <v/>
      </c>
      <c r="P195" s="392" t="str">
        <f>IF(A195="","",Calculation!$F$7)</f>
        <v/>
      </c>
      <c r="Q195" s="393" t="str">
        <f>IF(A195="","",Calculation!$F$13)</f>
        <v/>
      </c>
      <c r="R195" s="394" t="str">
        <f>IF(A195="","",Calculation!X201)</f>
        <v/>
      </c>
      <c r="S195" s="393" t="str">
        <f>IF(A195="","",Calculation!T201)</f>
        <v/>
      </c>
      <c r="T195" s="395" t="str">
        <f>IF(A195="","",IF(Calculation!$O$8="None","Water",CONCATENATE(Calculation!$O$8,"-",Calculation!$S$8,"%")))</f>
        <v/>
      </c>
      <c r="U195" s="393" t="str">
        <f>IF(A195="","",Calculation!$P$6)</f>
        <v/>
      </c>
      <c r="V195" s="393" t="str">
        <f>IF(A195="","",Calculation!AT201)</f>
        <v/>
      </c>
      <c r="W195" s="396" t="str">
        <f>IF(A195="","",Calculation!AP201)</f>
        <v/>
      </c>
      <c r="X195" s="396" t="str">
        <f>IF(A195="","",Calculation!AO201)</f>
        <v/>
      </c>
      <c r="Y195" s="396" t="str">
        <f>IF(A195="","",Calculation!AQ201)</f>
        <v/>
      </c>
      <c r="Z195" s="396" t="str">
        <f>IF(A195="","",Calculation!$H$6)</f>
        <v/>
      </c>
      <c r="AA195" s="397" t="str">
        <f>IF(A195="","",Calculation!$H$13)</f>
        <v/>
      </c>
      <c r="AB195" s="397" t="str">
        <f>IF(A195="","",Calculation!U201)</f>
        <v/>
      </c>
      <c r="AC195" s="398" t="str">
        <f>IF(A195="","",IF(Calculation!$O$9="None","Water",CONCATENATE(Calculation!$O$9,"-",Calculation!$S$9,"%")))</f>
        <v/>
      </c>
      <c r="AD195" s="396" t="str">
        <f>IF(A195="","",Calculation!$S$6)</f>
        <v/>
      </c>
      <c r="AE195" s="399" t="str">
        <f>IF(A195="","",Calculation!BA201)</f>
        <v/>
      </c>
      <c r="AF195" s="396" t="str">
        <f>IF(A195="","",Calculation!AX201)</f>
        <v/>
      </c>
      <c r="AG195" s="396" t="str">
        <f>IF(A195="","",Calculation!AW201)</f>
        <v/>
      </c>
      <c r="AH195" s="391" t="str">
        <f>IF(A195="","",Calculation!AY201)</f>
        <v/>
      </c>
      <c r="AI195" s="391" t="str">
        <f>IF(A195="","",Calculation!Y201)</f>
        <v/>
      </c>
      <c r="AJ195" s="401" t="str">
        <f>IF(Calculation!BD201&gt;0,Calculation!BD201," ")</f>
        <v xml:space="preserve"> </v>
      </c>
      <c r="AK195" s="401" t="str">
        <f>IF(Calculation!BD201&gt;0,Calculation!BE201," ")</f>
        <v xml:space="preserve"> </v>
      </c>
      <c r="AL195" s="401" t="str">
        <f>IF(Calculation!BD201&gt;0,Calculation!BF201," ")</f>
        <v xml:space="preserve"> </v>
      </c>
      <c r="AM195" s="401" t="str">
        <f>IF(Calculation!BD201&gt;0,Calculation!BG201," ")</f>
        <v xml:space="preserve"> </v>
      </c>
      <c r="AN195" s="391" t="str">
        <f>IF(Calculation!BH201="N/A","N/A",Calculation!BH201)</f>
        <v xml:space="preserve"> </v>
      </c>
      <c r="AO195" s="402" t="str">
        <f>IF(Calculation!BI201="N/A","N/A",Calculation!BI201)</f>
        <v/>
      </c>
      <c r="AP195" s="391" t="str">
        <f>IF(Calculation!BJ201="N/A","N/A",Calculation!BJ201)</f>
        <v/>
      </c>
      <c r="AQ195" s="402" t="str">
        <f>IF(Calculation!BK201="N/A","N/A",Calculation!BK201)</f>
        <v/>
      </c>
      <c r="AR195" s="391" t="str">
        <f>IF(Calculation!BL201="N/A","N/A",Calculation!BL201)</f>
        <v/>
      </c>
      <c r="AS195" s="402" t="str">
        <f>IF(Calculation!BM201="N/A","N/A",Calculation!BM201)</f>
        <v/>
      </c>
      <c r="AT195" s="400"/>
    </row>
    <row r="196" spans="1:46" ht="14.4" customHeight="1">
      <c r="A196" s="224" t="str">
        <f>IF(Calculation!BN202="","",CONCATENATE(Calculation!BO202,"-",Calculation!R202,"-",Calculation!S202,"-",Calculation!T202,"-",Calculation!U202))</f>
        <v/>
      </c>
      <c r="B196" s="224">
        <v>181</v>
      </c>
      <c r="C196" s="629" t="str">
        <f>IF(A196="","",Calculation!B202)</f>
        <v/>
      </c>
      <c r="D196" s="386" t="str">
        <f>IF(A196="","",Calculation!L202)</f>
        <v/>
      </c>
      <c r="E196" s="387" t="str">
        <f>IF(A196="","",Calculation!J202)</f>
        <v/>
      </c>
      <c r="F196" s="387" t="str">
        <f>IF(A196="","",Calculation!C202)</f>
        <v/>
      </c>
      <c r="G196" s="387" t="str">
        <f>IF(A196="","",LEFT(Calculation!O202,6))</f>
        <v/>
      </c>
      <c r="H196" s="388" t="str">
        <f>IF(A196="","",Calculation!DX202)</f>
        <v/>
      </c>
      <c r="I196" s="387" t="str">
        <f>IF(A196="","",Calculation!P202)</f>
        <v/>
      </c>
      <c r="J196" s="387" t="str">
        <f>IF(A196="","",HLOOKUP(LEFT(Calculation!BO202,7),LookUps!$C$38:$M$41,4))</f>
        <v/>
      </c>
      <c r="K196" s="387" t="str">
        <f>IF(A196="","",Calculation!M202)</f>
        <v/>
      </c>
      <c r="L196" s="387" t="str">
        <f>IF(A196="","",Calculation!S202)</f>
        <v/>
      </c>
      <c r="M196" s="389" t="str">
        <f>IF(A196="","",Calculation!N202)</f>
        <v/>
      </c>
      <c r="N196" s="390" t="str">
        <f>IF(A196="","",Calculation!R202)</f>
        <v/>
      </c>
      <c r="O196" s="391" t="str">
        <f>IF(A196="","",Calculation!$F$6)</f>
        <v/>
      </c>
      <c r="P196" s="392" t="str">
        <f>IF(A196="","",Calculation!$F$7)</f>
        <v/>
      </c>
      <c r="Q196" s="393" t="str">
        <f>IF(A196="","",Calculation!$F$13)</f>
        <v/>
      </c>
      <c r="R196" s="394" t="str">
        <f>IF(A196="","",Calculation!X202)</f>
        <v/>
      </c>
      <c r="S196" s="393" t="str">
        <f>IF(A196="","",Calculation!T202)</f>
        <v/>
      </c>
      <c r="T196" s="395" t="str">
        <f>IF(A196="","",IF(Calculation!$O$8="None","Water",CONCATENATE(Calculation!$O$8,"-",Calculation!$S$8,"%")))</f>
        <v/>
      </c>
      <c r="U196" s="393" t="str">
        <f>IF(A196="","",Calculation!$P$6)</f>
        <v/>
      </c>
      <c r="V196" s="393" t="str">
        <f>IF(A196="","",Calculation!AT202)</f>
        <v/>
      </c>
      <c r="W196" s="396" t="str">
        <f>IF(A196="","",Calculation!AP202)</f>
        <v/>
      </c>
      <c r="X196" s="396" t="str">
        <f>IF(A196="","",Calculation!AO202)</f>
        <v/>
      </c>
      <c r="Y196" s="396" t="str">
        <f>IF(A196="","",Calculation!AQ202)</f>
        <v/>
      </c>
      <c r="Z196" s="396" t="str">
        <f>IF(A196="","",Calculation!$H$6)</f>
        <v/>
      </c>
      <c r="AA196" s="397" t="str">
        <f>IF(A196="","",Calculation!$H$13)</f>
        <v/>
      </c>
      <c r="AB196" s="397" t="str">
        <f>IF(A196="","",Calculation!U202)</f>
        <v/>
      </c>
      <c r="AC196" s="398" t="str">
        <f>IF(A196="","",IF(Calculation!$O$9="None","Water",CONCATENATE(Calculation!$O$9,"-",Calculation!$S$9,"%")))</f>
        <v/>
      </c>
      <c r="AD196" s="396" t="str">
        <f>IF(A196="","",Calculation!$S$6)</f>
        <v/>
      </c>
      <c r="AE196" s="399" t="str">
        <f>IF(A196="","",Calculation!BA202)</f>
        <v/>
      </c>
      <c r="AF196" s="396" t="str">
        <f>IF(A196="","",Calculation!AX202)</f>
        <v/>
      </c>
      <c r="AG196" s="396" t="str">
        <f>IF(A196="","",Calculation!AW202)</f>
        <v/>
      </c>
      <c r="AH196" s="391" t="str">
        <f>IF(A196="","",Calculation!AY202)</f>
        <v/>
      </c>
      <c r="AI196" s="391" t="str">
        <f>IF(A196="","",Calculation!Y202)</f>
        <v/>
      </c>
      <c r="AJ196" s="401" t="str">
        <f>IF(Calculation!BD202&gt;0,Calculation!BD202," ")</f>
        <v xml:space="preserve"> </v>
      </c>
      <c r="AK196" s="401" t="str">
        <f>IF(Calculation!BD202&gt;0,Calculation!BE202," ")</f>
        <v xml:space="preserve"> </v>
      </c>
      <c r="AL196" s="401" t="str">
        <f>IF(Calculation!BD202&gt;0,Calculation!BF202," ")</f>
        <v xml:space="preserve"> </v>
      </c>
      <c r="AM196" s="401" t="str">
        <f>IF(Calculation!BD202&gt;0,Calculation!BG202," ")</f>
        <v xml:space="preserve"> </v>
      </c>
      <c r="AN196" s="391" t="str">
        <f>IF(Calculation!BH202="N/A","N/A",Calculation!BH202)</f>
        <v xml:space="preserve"> </v>
      </c>
      <c r="AO196" s="402" t="str">
        <f>IF(Calculation!BI202="N/A","N/A",Calculation!BI202)</f>
        <v/>
      </c>
      <c r="AP196" s="391" t="str">
        <f>IF(Calculation!BJ202="N/A","N/A",Calculation!BJ202)</f>
        <v/>
      </c>
      <c r="AQ196" s="402" t="str">
        <f>IF(Calculation!BK202="N/A","N/A",Calculation!BK202)</f>
        <v/>
      </c>
      <c r="AR196" s="391" t="str">
        <f>IF(Calculation!BL202="N/A","N/A",Calculation!BL202)</f>
        <v/>
      </c>
      <c r="AS196" s="402" t="str">
        <f>IF(Calculation!BM202="N/A","N/A",Calculation!BM202)</f>
        <v/>
      </c>
      <c r="AT196" s="400"/>
    </row>
    <row r="197" spans="1:46" ht="14.4" customHeight="1">
      <c r="A197" s="224" t="str">
        <f>IF(Calculation!BN203="","",CONCATENATE(Calculation!BO203,"-",Calculation!R203,"-",Calculation!S203,"-",Calculation!T203,"-",Calculation!U203))</f>
        <v/>
      </c>
      <c r="B197" s="224">
        <v>182</v>
      </c>
      <c r="C197" s="629" t="str">
        <f>IF(A197="","",Calculation!B203)</f>
        <v/>
      </c>
      <c r="D197" s="386" t="str">
        <f>IF(A197="","",Calculation!L203)</f>
        <v/>
      </c>
      <c r="E197" s="387" t="str">
        <f>IF(A197="","",Calculation!J203)</f>
        <v/>
      </c>
      <c r="F197" s="387" t="str">
        <f>IF(A197="","",Calculation!C203)</f>
        <v/>
      </c>
      <c r="G197" s="387" t="str">
        <f>IF(A197="","",LEFT(Calculation!O203,6))</f>
        <v/>
      </c>
      <c r="H197" s="388" t="str">
        <f>IF(A197="","",Calculation!DX203)</f>
        <v/>
      </c>
      <c r="I197" s="387" t="str">
        <f>IF(A197="","",Calculation!P203)</f>
        <v/>
      </c>
      <c r="J197" s="387" t="str">
        <f>IF(A197="","",HLOOKUP(LEFT(Calculation!BO203,7),LookUps!$C$38:$M$41,4))</f>
        <v/>
      </c>
      <c r="K197" s="387" t="str">
        <f>IF(A197="","",Calculation!M203)</f>
        <v/>
      </c>
      <c r="L197" s="387" t="str">
        <f>IF(A197="","",Calculation!S203)</f>
        <v/>
      </c>
      <c r="M197" s="389" t="str">
        <f>IF(A197="","",Calculation!N203)</f>
        <v/>
      </c>
      <c r="N197" s="390" t="str">
        <f>IF(A197="","",Calculation!R203)</f>
        <v/>
      </c>
      <c r="O197" s="391" t="str">
        <f>IF(A197="","",Calculation!$F$6)</f>
        <v/>
      </c>
      <c r="P197" s="392" t="str">
        <f>IF(A197="","",Calculation!$F$7)</f>
        <v/>
      </c>
      <c r="Q197" s="393" t="str">
        <f>IF(A197="","",Calculation!$F$13)</f>
        <v/>
      </c>
      <c r="R197" s="394" t="str">
        <f>IF(A197="","",Calculation!X203)</f>
        <v/>
      </c>
      <c r="S197" s="393" t="str">
        <f>IF(A197="","",Calculation!T203)</f>
        <v/>
      </c>
      <c r="T197" s="395" t="str">
        <f>IF(A197="","",IF(Calculation!$O$8="None","Water",CONCATENATE(Calculation!$O$8,"-",Calculation!$S$8,"%")))</f>
        <v/>
      </c>
      <c r="U197" s="393" t="str">
        <f>IF(A197="","",Calculation!$P$6)</f>
        <v/>
      </c>
      <c r="V197" s="393" t="str">
        <f>IF(A197="","",Calculation!AT203)</f>
        <v/>
      </c>
      <c r="W197" s="396" t="str">
        <f>IF(A197="","",Calculation!AP203)</f>
        <v/>
      </c>
      <c r="X197" s="396" t="str">
        <f>IF(A197="","",Calculation!AO203)</f>
        <v/>
      </c>
      <c r="Y197" s="396" t="str">
        <f>IF(A197="","",Calculation!AQ203)</f>
        <v/>
      </c>
      <c r="Z197" s="396" t="str">
        <f>IF(A197="","",Calculation!$H$6)</f>
        <v/>
      </c>
      <c r="AA197" s="397" t="str">
        <f>IF(A197="","",Calculation!$H$13)</f>
        <v/>
      </c>
      <c r="AB197" s="397" t="str">
        <f>IF(A197="","",Calculation!U203)</f>
        <v/>
      </c>
      <c r="AC197" s="398" t="str">
        <f>IF(A197="","",IF(Calculation!$O$9="None","Water",CONCATENATE(Calculation!$O$9,"-",Calculation!$S$9,"%")))</f>
        <v/>
      </c>
      <c r="AD197" s="396" t="str">
        <f>IF(A197="","",Calculation!$S$6)</f>
        <v/>
      </c>
      <c r="AE197" s="399" t="str">
        <f>IF(A197="","",Calculation!BA203)</f>
        <v/>
      </c>
      <c r="AF197" s="396" t="str">
        <f>IF(A197="","",Calculation!AX203)</f>
        <v/>
      </c>
      <c r="AG197" s="396" t="str">
        <f>IF(A197="","",Calculation!AW203)</f>
        <v/>
      </c>
      <c r="AH197" s="391" t="str">
        <f>IF(A197="","",Calculation!AY203)</f>
        <v/>
      </c>
      <c r="AI197" s="391" t="str">
        <f>IF(A197="","",Calculation!Y203)</f>
        <v/>
      </c>
      <c r="AJ197" s="401" t="str">
        <f>IF(Calculation!BD203&gt;0,Calculation!BD203," ")</f>
        <v xml:space="preserve"> </v>
      </c>
      <c r="AK197" s="401" t="str">
        <f>IF(Calculation!BD203&gt;0,Calculation!BE203," ")</f>
        <v xml:space="preserve"> </v>
      </c>
      <c r="AL197" s="401" t="str">
        <f>IF(Calculation!BD203&gt;0,Calculation!BF203," ")</f>
        <v xml:space="preserve"> </v>
      </c>
      <c r="AM197" s="401" t="str">
        <f>IF(Calculation!BD203&gt;0,Calculation!BG203," ")</f>
        <v xml:space="preserve"> </v>
      </c>
      <c r="AN197" s="391" t="str">
        <f>IF(Calculation!BH203="N/A","N/A",Calculation!BH203)</f>
        <v xml:space="preserve"> </v>
      </c>
      <c r="AO197" s="402" t="str">
        <f>IF(Calculation!BI203="N/A","N/A",Calculation!BI203)</f>
        <v/>
      </c>
      <c r="AP197" s="391" t="str">
        <f>IF(Calculation!BJ203="N/A","N/A",Calculation!BJ203)</f>
        <v/>
      </c>
      <c r="AQ197" s="402" t="str">
        <f>IF(Calculation!BK203="N/A","N/A",Calculation!BK203)</f>
        <v/>
      </c>
      <c r="AR197" s="391" t="str">
        <f>IF(Calculation!BL203="N/A","N/A",Calculation!BL203)</f>
        <v/>
      </c>
      <c r="AS197" s="402" t="str">
        <f>IF(Calculation!BM203="N/A","N/A",Calculation!BM203)</f>
        <v/>
      </c>
      <c r="AT197" s="400"/>
    </row>
    <row r="198" spans="1:46" ht="14.4" customHeight="1">
      <c r="A198" s="224" t="str">
        <f>IF(Calculation!BN204="","",CONCATENATE(Calculation!BO204,"-",Calculation!R204,"-",Calculation!S204,"-",Calculation!T204,"-",Calculation!U204))</f>
        <v/>
      </c>
      <c r="B198" s="224">
        <v>183</v>
      </c>
      <c r="C198" s="629" t="str">
        <f>IF(A198="","",Calculation!B204)</f>
        <v/>
      </c>
      <c r="D198" s="386" t="str">
        <f>IF(A198="","",Calculation!L204)</f>
        <v/>
      </c>
      <c r="E198" s="387" t="str">
        <f>IF(A198="","",Calculation!J204)</f>
        <v/>
      </c>
      <c r="F198" s="387" t="str">
        <f>IF(A198="","",Calculation!C204)</f>
        <v/>
      </c>
      <c r="G198" s="387" t="str">
        <f>IF(A198="","",LEFT(Calculation!O204,6))</f>
        <v/>
      </c>
      <c r="H198" s="388" t="str">
        <f>IF(A198="","",Calculation!DX204)</f>
        <v/>
      </c>
      <c r="I198" s="387" t="str">
        <f>IF(A198="","",Calculation!P204)</f>
        <v/>
      </c>
      <c r="J198" s="387" t="str">
        <f>IF(A198="","",HLOOKUP(LEFT(Calculation!BO204,7),LookUps!$C$38:$M$41,4))</f>
        <v/>
      </c>
      <c r="K198" s="387" t="str">
        <f>IF(A198="","",Calculation!M204)</f>
        <v/>
      </c>
      <c r="L198" s="387" t="str">
        <f>IF(A198="","",Calculation!S204)</f>
        <v/>
      </c>
      <c r="M198" s="389" t="str">
        <f>IF(A198="","",Calculation!N204)</f>
        <v/>
      </c>
      <c r="N198" s="390" t="str">
        <f>IF(A198="","",Calculation!R204)</f>
        <v/>
      </c>
      <c r="O198" s="391" t="str">
        <f>IF(A198="","",Calculation!$F$6)</f>
        <v/>
      </c>
      <c r="P198" s="392" t="str">
        <f>IF(A198="","",Calculation!$F$7)</f>
        <v/>
      </c>
      <c r="Q198" s="393" t="str">
        <f>IF(A198="","",Calculation!$F$13)</f>
        <v/>
      </c>
      <c r="R198" s="394" t="str">
        <f>IF(A198="","",Calculation!X204)</f>
        <v/>
      </c>
      <c r="S198" s="393" t="str">
        <f>IF(A198="","",Calculation!T204)</f>
        <v/>
      </c>
      <c r="T198" s="395" t="str">
        <f>IF(A198="","",IF(Calculation!$O$8="None","Water",CONCATENATE(Calculation!$O$8,"-",Calculation!$S$8,"%")))</f>
        <v/>
      </c>
      <c r="U198" s="393" t="str">
        <f>IF(A198="","",Calculation!$P$6)</f>
        <v/>
      </c>
      <c r="V198" s="393" t="str">
        <f>IF(A198="","",Calculation!AT204)</f>
        <v/>
      </c>
      <c r="W198" s="396" t="str">
        <f>IF(A198="","",Calculation!AP204)</f>
        <v/>
      </c>
      <c r="X198" s="396" t="str">
        <f>IF(A198="","",Calculation!AO204)</f>
        <v/>
      </c>
      <c r="Y198" s="396" t="str">
        <f>IF(A198="","",Calculation!AQ204)</f>
        <v/>
      </c>
      <c r="Z198" s="396" t="str">
        <f>IF(A198="","",Calculation!$H$6)</f>
        <v/>
      </c>
      <c r="AA198" s="397" t="str">
        <f>IF(A198="","",Calculation!$H$13)</f>
        <v/>
      </c>
      <c r="AB198" s="397" t="str">
        <f>IF(A198="","",Calculation!U204)</f>
        <v/>
      </c>
      <c r="AC198" s="398" t="str">
        <f>IF(A198="","",IF(Calculation!$O$9="None","Water",CONCATENATE(Calculation!$O$9,"-",Calculation!$S$9,"%")))</f>
        <v/>
      </c>
      <c r="AD198" s="396" t="str">
        <f>IF(A198="","",Calculation!$S$6)</f>
        <v/>
      </c>
      <c r="AE198" s="399" t="str">
        <f>IF(A198="","",Calculation!BA204)</f>
        <v/>
      </c>
      <c r="AF198" s="396" t="str">
        <f>IF(A198="","",Calculation!AX204)</f>
        <v/>
      </c>
      <c r="AG198" s="396" t="str">
        <f>IF(A198="","",Calculation!AW204)</f>
        <v/>
      </c>
      <c r="AH198" s="391" t="str">
        <f>IF(A198="","",Calculation!AY204)</f>
        <v/>
      </c>
      <c r="AI198" s="391" t="str">
        <f>IF(A198="","",Calculation!Y204)</f>
        <v/>
      </c>
      <c r="AJ198" s="401" t="str">
        <f>IF(Calculation!BD204&gt;0,Calculation!BD204," ")</f>
        <v xml:space="preserve"> </v>
      </c>
      <c r="AK198" s="401" t="str">
        <f>IF(Calculation!BD204&gt;0,Calculation!BE204," ")</f>
        <v xml:space="preserve"> </v>
      </c>
      <c r="AL198" s="401" t="str">
        <f>IF(Calculation!BD204&gt;0,Calculation!BF204," ")</f>
        <v xml:space="preserve"> </v>
      </c>
      <c r="AM198" s="401" t="str">
        <f>IF(Calculation!BD204&gt;0,Calculation!BG204," ")</f>
        <v xml:space="preserve"> </v>
      </c>
      <c r="AN198" s="391" t="str">
        <f>IF(Calculation!BH204="N/A","N/A",Calculation!BH204)</f>
        <v xml:space="preserve"> </v>
      </c>
      <c r="AO198" s="402" t="str">
        <f>IF(Calculation!BI204="N/A","N/A",Calculation!BI204)</f>
        <v/>
      </c>
      <c r="AP198" s="391" t="str">
        <f>IF(Calculation!BJ204="N/A","N/A",Calculation!BJ204)</f>
        <v/>
      </c>
      <c r="AQ198" s="402" t="str">
        <f>IF(Calculation!BK204="N/A","N/A",Calculation!BK204)</f>
        <v/>
      </c>
      <c r="AR198" s="391" t="str">
        <f>IF(Calculation!BL204="N/A","N/A",Calculation!BL204)</f>
        <v/>
      </c>
      <c r="AS198" s="402" t="str">
        <f>IF(Calculation!BM204="N/A","N/A",Calculation!BM204)</f>
        <v/>
      </c>
      <c r="AT198" s="400"/>
    </row>
    <row r="199" spans="1:46" ht="14.4" customHeight="1">
      <c r="A199" s="224" t="str">
        <f>IF(Calculation!BN205="","",CONCATENATE(Calculation!BO205,"-",Calculation!R205,"-",Calculation!S205,"-",Calculation!T205,"-",Calculation!U205))</f>
        <v/>
      </c>
      <c r="B199" s="224">
        <v>184</v>
      </c>
      <c r="C199" s="629" t="str">
        <f>IF(A199="","",Calculation!B205)</f>
        <v/>
      </c>
      <c r="D199" s="386" t="str">
        <f>IF(A199="","",Calculation!L205)</f>
        <v/>
      </c>
      <c r="E199" s="387" t="str">
        <f>IF(A199="","",Calculation!J205)</f>
        <v/>
      </c>
      <c r="F199" s="387" t="str">
        <f>IF(A199="","",Calculation!C205)</f>
        <v/>
      </c>
      <c r="G199" s="387" t="str">
        <f>IF(A199="","",LEFT(Calculation!O205,6))</f>
        <v/>
      </c>
      <c r="H199" s="388" t="str">
        <f>IF(A199="","",Calculation!DX205)</f>
        <v/>
      </c>
      <c r="I199" s="387" t="str">
        <f>IF(A199="","",Calculation!P205)</f>
        <v/>
      </c>
      <c r="J199" s="387" t="str">
        <f>IF(A199="","",HLOOKUP(LEFT(Calculation!BO205,7),LookUps!$C$38:$M$41,4))</f>
        <v/>
      </c>
      <c r="K199" s="387" t="str">
        <f>IF(A199="","",Calculation!M205)</f>
        <v/>
      </c>
      <c r="L199" s="387" t="str">
        <f>IF(A199="","",Calculation!S205)</f>
        <v/>
      </c>
      <c r="M199" s="389" t="str">
        <f>IF(A199="","",Calculation!N205)</f>
        <v/>
      </c>
      <c r="N199" s="390" t="str">
        <f>IF(A199="","",Calculation!R205)</f>
        <v/>
      </c>
      <c r="O199" s="391" t="str">
        <f>IF(A199="","",Calculation!$F$6)</f>
        <v/>
      </c>
      <c r="P199" s="392" t="str">
        <f>IF(A199="","",Calculation!$F$7)</f>
        <v/>
      </c>
      <c r="Q199" s="393" t="str">
        <f>IF(A199="","",Calculation!$F$13)</f>
        <v/>
      </c>
      <c r="R199" s="394" t="str">
        <f>IF(A199="","",Calculation!X205)</f>
        <v/>
      </c>
      <c r="S199" s="393" t="str">
        <f>IF(A199="","",Calculation!T205)</f>
        <v/>
      </c>
      <c r="T199" s="395" t="str">
        <f>IF(A199="","",IF(Calculation!$O$8="None","Water",CONCATENATE(Calculation!$O$8,"-",Calculation!$S$8,"%")))</f>
        <v/>
      </c>
      <c r="U199" s="393" t="str">
        <f>IF(A199="","",Calculation!$P$6)</f>
        <v/>
      </c>
      <c r="V199" s="393" t="str">
        <f>IF(A199="","",Calculation!AT205)</f>
        <v/>
      </c>
      <c r="W199" s="396" t="str">
        <f>IF(A199="","",Calculation!AP205)</f>
        <v/>
      </c>
      <c r="X199" s="396" t="str">
        <f>IF(A199="","",Calculation!AO205)</f>
        <v/>
      </c>
      <c r="Y199" s="396" t="str">
        <f>IF(A199="","",Calculation!AQ205)</f>
        <v/>
      </c>
      <c r="Z199" s="396" t="str">
        <f>IF(A199="","",Calculation!$H$6)</f>
        <v/>
      </c>
      <c r="AA199" s="397" t="str">
        <f>IF(A199="","",Calculation!$H$13)</f>
        <v/>
      </c>
      <c r="AB199" s="397" t="str">
        <f>IF(A199="","",Calculation!U205)</f>
        <v/>
      </c>
      <c r="AC199" s="398" t="str">
        <f>IF(A199="","",IF(Calculation!$O$9="None","Water",CONCATENATE(Calculation!$O$9,"-",Calculation!$S$9,"%")))</f>
        <v/>
      </c>
      <c r="AD199" s="396" t="str">
        <f>IF(A199="","",Calculation!$S$6)</f>
        <v/>
      </c>
      <c r="AE199" s="399" t="str">
        <f>IF(A199="","",Calculation!BA205)</f>
        <v/>
      </c>
      <c r="AF199" s="396" t="str">
        <f>IF(A199="","",Calculation!AX205)</f>
        <v/>
      </c>
      <c r="AG199" s="396" t="str">
        <f>IF(A199="","",Calculation!AW205)</f>
        <v/>
      </c>
      <c r="AH199" s="391" t="str">
        <f>IF(A199="","",Calculation!AY205)</f>
        <v/>
      </c>
      <c r="AI199" s="391" t="str">
        <f>IF(A199="","",Calculation!Y205)</f>
        <v/>
      </c>
      <c r="AJ199" s="401" t="str">
        <f>IF(Calculation!BD205&gt;0,Calculation!BD205," ")</f>
        <v xml:space="preserve"> </v>
      </c>
      <c r="AK199" s="401" t="str">
        <f>IF(Calculation!BD205&gt;0,Calculation!BE205," ")</f>
        <v xml:space="preserve"> </v>
      </c>
      <c r="AL199" s="401" t="str">
        <f>IF(Calculation!BD205&gt;0,Calculation!BF205," ")</f>
        <v xml:space="preserve"> </v>
      </c>
      <c r="AM199" s="401" t="str">
        <f>IF(Calculation!BD205&gt;0,Calculation!BG205," ")</f>
        <v xml:space="preserve"> </v>
      </c>
      <c r="AN199" s="391" t="str">
        <f>IF(Calculation!BH205="N/A","N/A",Calculation!BH205)</f>
        <v xml:space="preserve"> </v>
      </c>
      <c r="AO199" s="402" t="str">
        <f>IF(Calculation!BI205="N/A","N/A",Calculation!BI205)</f>
        <v/>
      </c>
      <c r="AP199" s="391" t="str">
        <f>IF(Calculation!BJ205="N/A","N/A",Calculation!BJ205)</f>
        <v/>
      </c>
      <c r="AQ199" s="402" t="str">
        <f>IF(Calculation!BK205="N/A","N/A",Calculation!BK205)</f>
        <v/>
      </c>
      <c r="AR199" s="391" t="str">
        <f>IF(Calculation!BL205="N/A","N/A",Calculation!BL205)</f>
        <v/>
      </c>
      <c r="AS199" s="402" t="str">
        <f>IF(Calculation!BM205="N/A","N/A",Calculation!BM205)</f>
        <v/>
      </c>
      <c r="AT199" s="400"/>
    </row>
    <row r="200" spans="1:46" ht="14.4" customHeight="1">
      <c r="A200" s="224" t="str">
        <f>IF(Calculation!BN206="","",CONCATENATE(Calculation!BO206,"-",Calculation!R206,"-",Calculation!S206,"-",Calculation!T206,"-",Calculation!U206))</f>
        <v/>
      </c>
      <c r="B200" s="224">
        <v>185</v>
      </c>
      <c r="C200" s="629" t="str">
        <f>IF(A200="","",Calculation!B206)</f>
        <v/>
      </c>
      <c r="D200" s="386" t="str">
        <f>IF(A200="","",Calculation!L206)</f>
        <v/>
      </c>
      <c r="E200" s="387" t="str">
        <f>IF(A200="","",Calculation!J206)</f>
        <v/>
      </c>
      <c r="F200" s="387" t="str">
        <f>IF(A200="","",Calculation!C206)</f>
        <v/>
      </c>
      <c r="G200" s="387" t="str">
        <f>IF(A200="","",LEFT(Calculation!O206,6))</f>
        <v/>
      </c>
      <c r="H200" s="388" t="str">
        <f>IF(A200="","",Calculation!DX206)</f>
        <v/>
      </c>
      <c r="I200" s="387" t="str">
        <f>IF(A200="","",Calculation!P206)</f>
        <v/>
      </c>
      <c r="J200" s="387" t="str">
        <f>IF(A200="","",HLOOKUP(LEFT(Calculation!BO206,7),LookUps!$C$38:$M$41,4))</f>
        <v/>
      </c>
      <c r="K200" s="387" t="str">
        <f>IF(A200="","",Calculation!M206)</f>
        <v/>
      </c>
      <c r="L200" s="387" t="str">
        <f>IF(A200="","",Calculation!S206)</f>
        <v/>
      </c>
      <c r="M200" s="389" t="str">
        <f>IF(A200="","",Calculation!N206)</f>
        <v/>
      </c>
      <c r="N200" s="390" t="str">
        <f>IF(A200="","",Calculation!R206)</f>
        <v/>
      </c>
      <c r="O200" s="391" t="str">
        <f>IF(A200="","",Calculation!$F$6)</f>
        <v/>
      </c>
      <c r="P200" s="392" t="str">
        <f>IF(A200="","",Calculation!$F$7)</f>
        <v/>
      </c>
      <c r="Q200" s="393" t="str">
        <f>IF(A200="","",Calculation!$F$13)</f>
        <v/>
      </c>
      <c r="R200" s="394" t="str">
        <f>IF(A200="","",Calculation!X206)</f>
        <v/>
      </c>
      <c r="S200" s="393" t="str">
        <f>IF(A200="","",Calculation!T206)</f>
        <v/>
      </c>
      <c r="T200" s="395" t="str">
        <f>IF(A200="","",IF(Calculation!$O$8="None","Water",CONCATENATE(Calculation!$O$8,"-",Calculation!$S$8,"%")))</f>
        <v/>
      </c>
      <c r="U200" s="393" t="str">
        <f>IF(A200="","",Calculation!$P$6)</f>
        <v/>
      </c>
      <c r="V200" s="393" t="str">
        <f>IF(A200="","",Calculation!AT206)</f>
        <v/>
      </c>
      <c r="W200" s="396" t="str">
        <f>IF(A200="","",Calculation!AP206)</f>
        <v/>
      </c>
      <c r="X200" s="396" t="str">
        <f>IF(A200="","",Calculation!AO206)</f>
        <v/>
      </c>
      <c r="Y200" s="396" t="str">
        <f>IF(A200="","",Calculation!AQ206)</f>
        <v/>
      </c>
      <c r="Z200" s="396" t="str">
        <f>IF(A200="","",Calculation!$H$6)</f>
        <v/>
      </c>
      <c r="AA200" s="397" t="str">
        <f>IF(A200="","",Calculation!$H$13)</f>
        <v/>
      </c>
      <c r="AB200" s="397" t="str">
        <f>IF(A200="","",Calculation!U206)</f>
        <v/>
      </c>
      <c r="AC200" s="398" t="str">
        <f>IF(A200="","",IF(Calculation!$O$9="None","Water",CONCATENATE(Calculation!$O$9,"-",Calculation!$S$9,"%")))</f>
        <v/>
      </c>
      <c r="AD200" s="396" t="str">
        <f>IF(A200="","",Calculation!$S$6)</f>
        <v/>
      </c>
      <c r="AE200" s="399" t="str">
        <f>IF(A200="","",Calculation!BA206)</f>
        <v/>
      </c>
      <c r="AF200" s="396" t="str">
        <f>IF(A200="","",Calculation!AX206)</f>
        <v/>
      </c>
      <c r="AG200" s="396" t="str">
        <f>IF(A200="","",Calculation!AW206)</f>
        <v/>
      </c>
      <c r="AH200" s="391" t="str">
        <f>IF(A200="","",Calculation!AY206)</f>
        <v/>
      </c>
      <c r="AI200" s="391" t="str">
        <f>IF(A200="","",Calculation!Y206)</f>
        <v/>
      </c>
      <c r="AJ200" s="401" t="str">
        <f>IF(Calculation!BD206&gt;0,Calculation!BD206," ")</f>
        <v xml:space="preserve"> </v>
      </c>
      <c r="AK200" s="401" t="str">
        <f>IF(Calculation!BD206&gt;0,Calculation!BE206," ")</f>
        <v xml:space="preserve"> </v>
      </c>
      <c r="AL200" s="401" t="str">
        <f>IF(Calculation!BD206&gt;0,Calculation!BF206," ")</f>
        <v xml:space="preserve"> </v>
      </c>
      <c r="AM200" s="401" t="str">
        <f>IF(Calculation!BD206&gt;0,Calculation!BG206," ")</f>
        <v xml:space="preserve"> </v>
      </c>
      <c r="AN200" s="391" t="str">
        <f>IF(Calculation!BH206="N/A","N/A",Calculation!BH206)</f>
        <v xml:space="preserve"> </v>
      </c>
      <c r="AO200" s="402" t="str">
        <f>IF(Calculation!BI206="N/A","N/A",Calculation!BI206)</f>
        <v/>
      </c>
      <c r="AP200" s="391" t="str">
        <f>IF(Calculation!BJ206="N/A","N/A",Calculation!BJ206)</f>
        <v/>
      </c>
      <c r="AQ200" s="402" t="str">
        <f>IF(Calculation!BK206="N/A","N/A",Calculation!BK206)</f>
        <v/>
      </c>
      <c r="AR200" s="391" t="str">
        <f>IF(Calculation!BL206="N/A","N/A",Calculation!BL206)</f>
        <v/>
      </c>
      <c r="AS200" s="402" t="str">
        <f>IF(Calculation!BM206="N/A","N/A",Calculation!BM206)</f>
        <v/>
      </c>
      <c r="AT200" s="400"/>
    </row>
    <row r="201" spans="1:46" ht="14.4" customHeight="1">
      <c r="A201" s="224" t="str">
        <f>IF(Calculation!BN207="","",CONCATENATE(Calculation!BO207,"-",Calculation!R207,"-",Calculation!S207,"-",Calculation!T207,"-",Calculation!U207))</f>
        <v/>
      </c>
      <c r="B201" s="224">
        <v>186</v>
      </c>
      <c r="C201" s="629" t="str">
        <f>IF(A201="","",Calculation!B207)</f>
        <v/>
      </c>
      <c r="D201" s="386" t="str">
        <f>IF(A201="","",Calculation!L207)</f>
        <v/>
      </c>
      <c r="E201" s="387" t="str">
        <f>IF(A201="","",Calculation!J207)</f>
        <v/>
      </c>
      <c r="F201" s="387" t="str">
        <f>IF(A201="","",Calculation!C207)</f>
        <v/>
      </c>
      <c r="G201" s="387" t="str">
        <f>IF(A201="","",LEFT(Calculation!O207,6))</f>
        <v/>
      </c>
      <c r="H201" s="388" t="str">
        <f>IF(A201="","",Calculation!DX207)</f>
        <v/>
      </c>
      <c r="I201" s="387" t="str">
        <f>IF(A201="","",Calculation!P207)</f>
        <v/>
      </c>
      <c r="J201" s="387" t="str">
        <f>IF(A201="","",HLOOKUP(LEFT(Calculation!BO207,7),LookUps!$C$38:$M$41,4))</f>
        <v/>
      </c>
      <c r="K201" s="387" t="str">
        <f>IF(A201="","",Calculation!M207)</f>
        <v/>
      </c>
      <c r="L201" s="387" t="str">
        <f>IF(A201="","",Calculation!S207)</f>
        <v/>
      </c>
      <c r="M201" s="389" t="str">
        <f>IF(A201="","",Calculation!N207)</f>
        <v/>
      </c>
      <c r="N201" s="390" t="str">
        <f>IF(A201="","",Calculation!R207)</f>
        <v/>
      </c>
      <c r="O201" s="391" t="str">
        <f>IF(A201="","",Calculation!$F$6)</f>
        <v/>
      </c>
      <c r="P201" s="392" t="str">
        <f>IF(A201="","",Calculation!$F$7)</f>
        <v/>
      </c>
      <c r="Q201" s="393" t="str">
        <f>IF(A201="","",Calculation!$F$13)</f>
        <v/>
      </c>
      <c r="R201" s="394" t="str">
        <f>IF(A201="","",Calculation!X207)</f>
        <v/>
      </c>
      <c r="S201" s="393" t="str">
        <f>IF(A201="","",Calculation!T207)</f>
        <v/>
      </c>
      <c r="T201" s="395" t="str">
        <f>IF(A201="","",IF(Calculation!$O$8="None","Water",CONCATENATE(Calculation!$O$8,"-",Calculation!$S$8,"%")))</f>
        <v/>
      </c>
      <c r="U201" s="393" t="str">
        <f>IF(A201="","",Calculation!$P$6)</f>
        <v/>
      </c>
      <c r="V201" s="393" t="str">
        <f>IF(A201="","",Calculation!AT207)</f>
        <v/>
      </c>
      <c r="W201" s="396" t="str">
        <f>IF(A201="","",Calculation!AP207)</f>
        <v/>
      </c>
      <c r="X201" s="396" t="str">
        <f>IF(A201="","",Calculation!AO207)</f>
        <v/>
      </c>
      <c r="Y201" s="396" t="str">
        <f>IF(A201="","",Calculation!AQ207)</f>
        <v/>
      </c>
      <c r="Z201" s="396" t="str">
        <f>IF(A201="","",Calculation!$H$6)</f>
        <v/>
      </c>
      <c r="AA201" s="397" t="str">
        <f>IF(A201="","",Calculation!$H$13)</f>
        <v/>
      </c>
      <c r="AB201" s="397" t="str">
        <f>IF(A201="","",Calculation!U207)</f>
        <v/>
      </c>
      <c r="AC201" s="398" t="str">
        <f>IF(A201="","",IF(Calculation!$O$9="None","Water",CONCATENATE(Calculation!$O$9,"-",Calculation!$S$9,"%")))</f>
        <v/>
      </c>
      <c r="AD201" s="396" t="str">
        <f>IF(A201="","",Calculation!$S$6)</f>
        <v/>
      </c>
      <c r="AE201" s="399" t="str">
        <f>IF(A201="","",Calculation!BA207)</f>
        <v/>
      </c>
      <c r="AF201" s="396" t="str">
        <f>IF(A201="","",Calculation!AX207)</f>
        <v/>
      </c>
      <c r="AG201" s="396" t="str">
        <f>IF(A201="","",Calculation!AW207)</f>
        <v/>
      </c>
      <c r="AH201" s="391" t="str">
        <f>IF(A201="","",Calculation!AY207)</f>
        <v/>
      </c>
      <c r="AI201" s="391" t="str">
        <f>IF(A201="","",Calculation!Y207)</f>
        <v/>
      </c>
      <c r="AJ201" s="401" t="str">
        <f>IF(Calculation!BD207&gt;0,Calculation!BD207," ")</f>
        <v xml:space="preserve"> </v>
      </c>
      <c r="AK201" s="401" t="str">
        <f>IF(Calculation!BD207&gt;0,Calculation!BE207," ")</f>
        <v xml:space="preserve"> </v>
      </c>
      <c r="AL201" s="401" t="str">
        <f>IF(Calculation!BD207&gt;0,Calculation!BF207," ")</f>
        <v xml:space="preserve"> </v>
      </c>
      <c r="AM201" s="401" t="str">
        <f>IF(Calculation!BD207&gt;0,Calculation!BG207," ")</f>
        <v xml:space="preserve"> </v>
      </c>
      <c r="AN201" s="391" t="str">
        <f>IF(Calculation!BH207="N/A","N/A",Calculation!BH207)</f>
        <v xml:space="preserve"> </v>
      </c>
      <c r="AO201" s="402" t="str">
        <f>IF(Calculation!BI207="N/A","N/A",Calculation!BI207)</f>
        <v/>
      </c>
      <c r="AP201" s="391" t="str">
        <f>IF(Calculation!BJ207="N/A","N/A",Calculation!BJ207)</f>
        <v/>
      </c>
      <c r="AQ201" s="402" t="str">
        <f>IF(Calculation!BK207="N/A","N/A",Calculation!BK207)</f>
        <v/>
      </c>
      <c r="AR201" s="391" t="str">
        <f>IF(Calculation!BL207="N/A","N/A",Calculation!BL207)</f>
        <v/>
      </c>
      <c r="AS201" s="402" t="str">
        <f>IF(Calculation!BM207="N/A","N/A",Calculation!BM207)</f>
        <v/>
      </c>
      <c r="AT201" s="400"/>
    </row>
    <row r="202" spans="1:46" ht="14.4" customHeight="1">
      <c r="A202" s="224" t="str">
        <f>IF(Calculation!BN208="","",CONCATENATE(Calculation!BO208,"-",Calculation!R208,"-",Calculation!S208,"-",Calculation!T208,"-",Calculation!U208))</f>
        <v/>
      </c>
      <c r="B202" s="224">
        <v>187</v>
      </c>
      <c r="C202" s="629" t="str">
        <f>IF(A202="","",Calculation!B208)</f>
        <v/>
      </c>
      <c r="D202" s="386" t="str">
        <f>IF(A202="","",Calculation!L208)</f>
        <v/>
      </c>
      <c r="E202" s="387" t="str">
        <f>IF(A202="","",Calculation!J208)</f>
        <v/>
      </c>
      <c r="F202" s="387" t="str">
        <f>IF(A202="","",Calculation!C208)</f>
        <v/>
      </c>
      <c r="G202" s="387" t="str">
        <f>IF(A202="","",LEFT(Calculation!O208,6))</f>
        <v/>
      </c>
      <c r="H202" s="388" t="str">
        <f>IF(A202="","",Calculation!DX208)</f>
        <v/>
      </c>
      <c r="I202" s="387" t="str">
        <f>IF(A202="","",Calculation!P208)</f>
        <v/>
      </c>
      <c r="J202" s="387" t="str">
        <f>IF(A202="","",HLOOKUP(LEFT(Calculation!BO208,7),LookUps!$C$38:$M$41,4))</f>
        <v/>
      </c>
      <c r="K202" s="387" t="str">
        <f>IF(A202="","",Calculation!M208)</f>
        <v/>
      </c>
      <c r="L202" s="387" t="str">
        <f>IF(A202="","",Calculation!S208)</f>
        <v/>
      </c>
      <c r="M202" s="389" t="str">
        <f>IF(A202="","",Calculation!N208)</f>
        <v/>
      </c>
      <c r="N202" s="390" t="str">
        <f>IF(A202="","",Calculation!R208)</f>
        <v/>
      </c>
      <c r="O202" s="391" t="str">
        <f>IF(A202="","",Calculation!$F$6)</f>
        <v/>
      </c>
      <c r="P202" s="392" t="str">
        <f>IF(A202="","",Calculation!$F$7)</f>
        <v/>
      </c>
      <c r="Q202" s="393" t="str">
        <f>IF(A202="","",Calculation!$F$13)</f>
        <v/>
      </c>
      <c r="R202" s="394" t="str">
        <f>IF(A202="","",Calculation!X208)</f>
        <v/>
      </c>
      <c r="S202" s="393" t="str">
        <f>IF(A202="","",Calculation!T208)</f>
        <v/>
      </c>
      <c r="T202" s="395" t="str">
        <f>IF(A202="","",IF(Calculation!$O$8="None","Water",CONCATENATE(Calculation!$O$8,"-",Calculation!$S$8,"%")))</f>
        <v/>
      </c>
      <c r="U202" s="393" t="str">
        <f>IF(A202="","",Calculation!$P$6)</f>
        <v/>
      </c>
      <c r="V202" s="393" t="str">
        <f>IF(A202="","",Calculation!AT208)</f>
        <v/>
      </c>
      <c r="W202" s="396" t="str">
        <f>IF(A202="","",Calculation!AP208)</f>
        <v/>
      </c>
      <c r="X202" s="396" t="str">
        <f>IF(A202="","",Calculation!AO208)</f>
        <v/>
      </c>
      <c r="Y202" s="396" t="str">
        <f>IF(A202="","",Calculation!AQ208)</f>
        <v/>
      </c>
      <c r="Z202" s="396" t="str">
        <f>IF(A202="","",Calculation!$H$6)</f>
        <v/>
      </c>
      <c r="AA202" s="397" t="str">
        <f>IF(A202="","",Calculation!$H$13)</f>
        <v/>
      </c>
      <c r="AB202" s="397" t="str">
        <f>IF(A202="","",Calculation!U208)</f>
        <v/>
      </c>
      <c r="AC202" s="398" t="str">
        <f>IF(A202="","",IF(Calculation!$O$9="None","Water",CONCATENATE(Calculation!$O$9,"-",Calculation!$S$9,"%")))</f>
        <v/>
      </c>
      <c r="AD202" s="396" t="str">
        <f>IF(A202="","",Calculation!$S$6)</f>
        <v/>
      </c>
      <c r="AE202" s="399" t="str">
        <f>IF(A202="","",Calculation!BA208)</f>
        <v/>
      </c>
      <c r="AF202" s="396" t="str">
        <f>IF(A202="","",Calculation!AX208)</f>
        <v/>
      </c>
      <c r="AG202" s="396" t="str">
        <f>IF(A202="","",Calculation!AW208)</f>
        <v/>
      </c>
      <c r="AH202" s="391" t="str">
        <f>IF(A202="","",Calculation!AY208)</f>
        <v/>
      </c>
      <c r="AI202" s="391" t="str">
        <f>IF(A202="","",Calculation!Y208)</f>
        <v/>
      </c>
      <c r="AJ202" s="401" t="str">
        <f>IF(Calculation!BD208&gt;0,Calculation!BD208," ")</f>
        <v xml:space="preserve"> </v>
      </c>
      <c r="AK202" s="401" t="str">
        <f>IF(Calculation!BD208&gt;0,Calculation!BE208," ")</f>
        <v xml:space="preserve"> </v>
      </c>
      <c r="AL202" s="401" t="str">
        <f>IF(Calculation!BD208&gt;0,Calculation!BF208," ")</f>
        <v xml:space="preserve"> </v>
      </c>
      <c r="AM202" s="401" t="str">
        <f>IF(Calculation!BD208&gt;0,Calculation!BG208," ")</f>
        <v xml:space="preserve"> </v>
      </c>
      <c r="AN202" s="391" t="str">
        <f>IF(Calculation!BH208="N/A","N/A",Calculation!BH208)</f>
        <v xml:space="preserve"> </v>
      </c>
      <c r="AO202" s="402" t="str">
        <f>IF(Calculation!BI208="N/A","N/A",Calculation!BI208)</f>
        <v/>
      </c>
      <c r="AP202" s="391" t="str">
        <f>IF(Calculation!BJ208="N/A","N/A",Calculation!BJ208)</f>
        <v/>
      </c>
      <c r="AQ202" s="402" t="str">
        <f>IF(Calculation!BK208="N/A","N/A",Calculation!BK208)</f>
        <v/>
      </c>
      <c r="AR202" s="391" t="str">
        <f>IF(Calculation!BL208="N/A","N/A",Calculation!BL208)</f>
        <v/>
      </c>
      <c r="AS202" s="402" t="str">
        <f>IF(Calculation!BM208="N/A","N/A",Calculation!BM208)</f>
        <v/>
      </c>
      <c r="AT202" s="400"/>
    </row>
    <row r="203" spans="1:46" ht="14.4" customHeight="1">
      <c r="A203" s="224" t="str">
        <f>IF(Calculation!BN209="","",CONCATENATE(Calculation!BO209,"-",Calculation!R209,"-",Calculation!S209,"-",Calculation!T209,"-",Calculation!U209))</f>
        <v/>
      </c>
      <c r="B203" s="224">
        <v>188</v>
      </c>
      <c r="C203" s="629" t="str">
        <f>IF(A203="","",Calculation!B209)</f>
        <v/>
      </c>
      <c r="D203" s="386" t="str">
        <f>IF(A203="","",Calculation!L209)</f>
        <v/>
      </c>
      <c r="E203" s="387" t="str">
        <f>IF(A203="","",Calculation!J209)</f>
        <v/>
      </c>
      <c r="F203" s="387" t="str">
        <f>IF(A203="","",Calculation!C209)</f>
        <v/>
      </c>
      <c r="G203" s="387" t="str">
        <f>IF(A203="","",LEFT(Calculation!O209,6))</f>
        <v/>
      </c>
      <c r="H203" s="388" t="str">
        <f>IF(A203="","",Calculation!DX209)</f>
        <v/>
      </c>
      <c r="I203" s="387" t="str">
        <f>IF(A203="","",Calculation!P209)</f>
        <v/>
      </c>
      <c r="J203" s="387" t="str">
        <f>IF(A203="","",HLOOKUP(LEFT(Calculation!BO209,7),LookUps!$C$38:$M$41,4))</f>
        <v/>
      </c>
      <c r="K203" s="387" t="str">
        <f>IF(A203="","",Calculation!M209)</f>
        <v/>
      </c>
      <c r="L203" s="387" t="str">
        <f>IF(A203="","",Calculation!S209)</f>
        <v/>
      </c>
      <c r="M203" s="389" t="str">
        <f>IF(A203="","",Calculation!N209)</f>
        <v/>
      </c>
      <c r="N203" s="390" t="str">
        <f>IF(A203="","",Calculation!R209)</f>
        <v/>
      </c>
      <c r="O203" s="391" t="str">
        <f>IF(A203="","",Calculation!$F$6)</f>
        <v/>
      </c>
      <c r="P203" s="392" t="str">
        <f>IF(A203="","",Calculation!$F$7)</f>
        <v/>
      </c>
      <c r="Q203" s="393" t="str">
        <f>IF(A203="","",Calculation!$F$13)</f>
        <v/>
      </c>
      <c r="R203" s="394" t="str">
        <f>IF(A203="","",Calculation!X209)</f>
        <v/>
      </c>
      <c r="S203" s="393" t="str">
        <f>IF(A203="","",Calculation!T209)</f>
        <v/>
      </c>
      <c r="T203" s="395" t="str">
        <f>IF(A203="","",IF(Calculation!$O$8="None","Water",CONCATENATE(Calculation!$O$8,"-",Calculation!$S$8,"%")))</f>
        <v/>
      </c>
      <c r="U203" s="393" t="str">
        <f>IF(A203="","",Calculation!$P$6)</f>
        <v/>
      </c>
      <c r="V203" s="393" t="str">
        <f>IF(A203="","",Calculation!AT209)</f>
        <v/>
      </c>
      <c r="W203" s="396" t="str">
        <f>IF(A203="","",Calculation!AP209)</f>
        <v/>
      </c>
      <c r="X203" s="396" t="str">
        <f>IF(A203="","",Calculation!AO209)</f>
        <v/>
      </c>
      <c r="Y203" s="396" t="str">
        <f>IF(A203="","",Calculation!AQ209)</f>
        <v/>
      </c>
      <c r="Z203" s="396" t="str">
        <f>IF(A203="","",Calculation!$H$6)</f>
        <v/>
      </c>
      <c r="AA203" s="397" t="str">
        <f>IF(A203="","",Calculation!$H$13)</f>
        <v/>
      </c>
      <c r="AB203" s="397" t="str">
        <f>IF(A203="","",Calculation!U209)</f>
        <v/>
      </c>
      <c r="AC203" s="398" t="str">
        <f>IF(A203="","",IF(Calculation!$O$9="None","Water",CONCATENATE(Calculation!$O$9,"-",Calculation!$S$9,"%")))</f>
        <v/>
      </c>
      <c r="AD203" s="396" t="str">
        <f>IF(A203="","",Calculation!$S$6)</f>
        <v/>
      </c>
      <c r="AE203" s="399" t="str">
        <f>IF(A203="","",Calculation!BA209)</f>
        <v/>
      </c>
      <c r="AF203" s="396" t="str">
        <f>IF(A203="","",Calculation!AX209)</f>
        <v/>
      </c>
      <c r="AG203" s="396" t="str">
        <f>IF(A203="","",Calculation!AW209)</f>
        <v/>
      </c>
      <c r="AH203" s="391" t="str">
        <f>IF(A203="","",Calculation!AY209)</f>
        <v/>
      </c>
      <c r="AI203" s="391" t="str">
        <f>IF(A203="","",Calculation!Y209)</f>
        <v/>
      </c>
      <c r="AJ203" s="401" t="str">
        <f>IF(Calculation!BD209&gt;0,Calculation!BD209," ")</f>
        <v xml:space="preserve"> </v>
      </c>
      <c r="AK203" s="401" t="str">
        <f>IF(Calculation!BD209&gt;0,Calculation!BE209," ")</f>
        <v xml:space="preserve"> </v>
      </c>
      <c r="AL203" s="401" t="str">
        <f>IF(Calculation!BD209&gt;0,Calculation!BF209," ")</f>
        <v xml:space="preserve"> </v>
      </c>
      <c r="AM203" s="401" t="str">
        <f>IF(Calculation!BD209&gt;0,Calculation!BG209," ")</f>
        <v xml:space="preserve"> </v>
      </c>
      <c r="AN203" s="391" t="str">
        <f>IF(Calculation!BH209="N/A","N/A",Calculation!BH209)</f>
        <v xml:space="preserve"> </v>
      </c>
      <c r="AO203" s="402" t="str">
        <f>IF(Calculation!BI209="N/A","N/A",Calculation!BI209)</f>
        <v/>
      </c>
      <c r="AP203" s="391" t="str">
        <f>IF(Calculation!BJ209="N/A","N/A",Calculation!BJ209)</f>
        <v/>
      </c>
      <c r="AQ203" s="402" t="str">
        <f>IF(Calculation!BK209="N/A","N/A",Calculation!BK209)</f>
        <v/>
      </c>
      <c r="AR203" s="391" t="str">
        <f>IF(Calculation!BL209="N/A","N/A",Calculation!BL209)</f>
        <v/>
      </c>
      <c r="AS203" s="402" t="str">
        <f>IF(Calculation!BM209="N/A","N/A",Calculation!BM209)</f>
        <v/>
      </c>
      <c r="AT203" s="400"/>
    </row>
    <row r="204" spans="1:46" ht="14.4" customHeight="1">
      <c r="A204" s="224" t="str">
        <f>IF(Calculation!BN210="","",CONCATENATE(Calculation!BO210,"-",Calculation!R210,"-",Calculation!S210,"-",Calculation!T210,"-",Calculation!U210))</f>
        <v/>
      </c>
      <c r="B204" s="224">
        <v>189</v>
      </c>
      <c r="C204" s="629" t="str">
        <f>IF(A204="","",Calculation!B210)</f>
        <v/>
      </c>
      <c r="D204" s="386" t="str">
        <f>IF(A204="","",Calculation!L210)</f>
        <v/>
      </c>
      <c r="E204" s="387" t="str">
        <f>IF(A204="","",Calculation!J210)</f>
        <v/>
      </c>
      <c r="F204" s="387" t="str">
        <f>IF(A204="","",Calculation!C210)</f>
        <v/>
      </c>
      <c r="G204" s="387" t="str">
        <f>IF(A204="","",LEFT(Calculation!O210,6))</f>
        <v/>
      </c>
      <c r="H204" s="388" t="str">
        <f>IF(A204="","",Calculation!DX210)</f>
        <v/>
      </c>
      <c r="I204" s="387" t="str">
        <f>IF(A204="","",Calculation!P210)</f>
        <v/>
      </c>
      <c r="J204" s="387" t="str">
        <f>IF(A204="","",HLOOKUP(LEFT(Calculation!BO210,7),LookUps!$C$38:$M$41,4))</f>
        <v/>
      </c>
      <c r="K204" s="387" t="str">
        <f>IF(A204="","",Calculation!M210)</f>
        <v/>
      </c>
      <c r="L204" s="387" t="str">
        <f>IF(A204="","",Calculation!S210)</f>
        <v/>
      </c>
      <c r="M204" s="389" t="str">
        <f>IF(A204="","",Calculation!N210)</f>
        <v/>
      </c>
      <c r="N204" s="390" t="str">
        <f>IF(A204="","",Calculation!R210)</f>
        <v/>
      </c>
      <c r="O204" s="391" t="str">
        <f>IF(A204="","",Calculation!$F$6)</f>
        <v/>
      </c>
      <c r="P204" s="392" t="str">
        <f>IF(A204="","",Calculation!$F$7)</f>
        <v/>
      </c>
      <c r="Q204" s="393" t="str">
        <f>IF(A204="","",Calculation!$F$13)</f>
        <v/>
      </c>
      <c r="R204" s="394" t="str">
        <f>IF(A204="","",Calculation!X210)</f>
        <v/>
      </c>
      <c r="S204" s="393" t="str">
        <f>IF(A204="","",Calculation!T210)</f>
        <v/>
      </c>
      <c r="T204" s="395" t="str">
        <f>IF(A204="","",IF(Calculation!$O$8="None","Water",CONCATENATE(Calculation!$O$8,"-",Calculation!$S$8,"%")))</f>
        <v/>
      </c>
      <c r="U204" s="393" t="str">
        <f>IF(A204="","",Calculation!$P$6)</f>
        <v/>
      </c>
      <c r="V204" s="393" t="str">
        <f>IF(A204="","",Calculation!AT210)</f>
        <v/>
      </c>
      <c r="W204" s="396" t="str">
        <f>IF(A204="","",Calculation!AP210)</f>
        <v/>
      </c>
      <c r="X204" s="396" t="str">
        <f>IF(A204="","",Calculation!AO210)</f>
        <v/>
      </c>
      <c r="Y204" s="396" t="str">
        <f>IF(A204="","",Calculation!AQ210)</f>
        <v/>
      </c>
      <c r="Z204" s="396" t="str">
        <f>IF(A204="","",Calculation!$H$6)</f>
        <v/>
      </c>
      <c r="AA204" s="397" t="str">
        <f>IF(A204="","",Calculation!$H$13)</f>
        <v/>
      </c>
      <c r="AB204" s="397" t="str">
        <f>IF(A204="","",Calculation!U210)</f>
        <v/>
      </c>
      <c r="AC204" s="398" t="str">
        <f>IF(A204="","",IF(Calculation!$O$9="None","Water",CONCATENATE(Calculation!$O$9,"-",Calculation!$S$9,"%")))</f>
        <v/>
      </c>
      <c r="AD204" s="396" t="str">
        <f>IF(A204="","",Calculation!$S$6)</f>
        <v/>
      </c>
      <c r="AE204" s="399" t="str">
        <f>IF(A204="","",Calculation!BA210)</f>
        <v/>
      </c>
      <c r="AF204" s="396" t="str">
        <f>IF(A204="","",Calculation!AX210)</f>
        <v/>
      </c>
      <c r="AG204" s="396" t="str">
        <f>IF(A204="","",Calculation!AW210)</f>
        <v/>
      </c>
      <c r="AH204" s="391" t="str">
        <f>IF(A204="","",Calculation!AY210)</f>
        <v/>
      </c>
      <c r="AI204" s="391" t="str">
        <f>IF(A204="","",Calculation!Y210)</f>
        <v/>
      </c>
      <c r="AJ204" s="401" t="str">
        <f>IF(Calculation!BD210&gt;0,Calculation!BD210," ")</f>
        <v xml:space="preserve"> </v>
      </c>
      <c r="AK204" s="401" t="str">
        <f>IF(Calculation!BD210&gt;0,Calculation!BE210," ")</f>
        <v xml:space="preserve"> </v>
      </c>
      <c r="AL204" s="401" t="str">
        <f>IF(Calculation!BD210&gt;0,Calculation!BF210," ")</f>
        <v xml:space="preserve"> </v>
      </c>
      <c r="AM204" s="401" t="str">
        <f>IF(Calculation!BD210&gt;0,Calculation!BG210," ")</f>
        <v xml:space="preserve"> </v>
      </c>
      <c r="AN204" s="391" t="str">
        <f>IF(Calculation!BH210="N/A","N/A",Calculation!BH210)</f>
        <v xml:space="preserve"> </v>
      </c>
      <c r="AO204" s="402" t="str">
        <f>IF(Calculation!BI210="N/A","N/A",Calculation!BI210)</f>
        <v/>
      </c>
      <c r="AP204" s="391" t="str">
        <f>IF(Calculation!BJ210="N/A","N/A",Calculation!BJ210)</f>
        <v/>
      </c>
      <c r="AQ204" s="402" t="str">
        <f>IF(Calculation!BK210="N/A","N/A",Calculation!BK210)</f>
        <v/>
      </c>
      <c r="AR204" s="391" t="str">
        <f>IF(Calculation!BL210="N/A","N/A",Calculation!BL210)</f>
        <v/>
      </c>
      <c r="AS204" s="402" t="str">
        <f>IF(Calculation!BM210="N/A","N/A",Calculation!BM210)</f>
        <v/>
      </c>
      <c r="AT204" s="400"/>
    </row>
    <row r="205" spans="1:46" ht="14.4" customHeight="1">
      <c r="A205" s="224" t="str">
        <f>IF(Calculation!BN211="","",CONCATENATE(Calculation!BO211,"-",Calculation!R211,"-",Calculation!S211,"-",Calculation!T211,"-",Calculation!U211))</f>
        <v/>
      </c>
      <c r="B205" s="224">
        <v>190</v>
      </c>
      <c r="C205" s="629" t="str">
        <f>IF(A205="","",Calculation!B211)</f>
        <v/>
      </c>
      <c r="D205" s="386" t="str">
        <f>IF(A205="","",Calculation!L211)</f>
        <v/>
      </c>
      <c r="E205" s="387" t="str">
        <f>IF(A205="","",Calculation!J211)</f>
        <v/>
      </c>
      <c r="F205" s="387" t="str">
        <f>IF(A205="","",Calculation!C211)</f>
        <v/>
      </c>
      <c r="G205" s="387" t="str">
        <f>IF(A205="","",LEFT(Calculation!O211,6))</f>
        <v/>
      </c>
      <c r="H205" s="388" t="str">
        <f>IF(A205="","",Calculation!DX211)</f>
        <v/>
      </c>
      <c r="I205" s="387" t="str">
        <f>IF(A205="","",Calculation!P211)</f>
        <v/>
      </c>
      <c r="J205" s="387" t="str">
        <f>IF(A205="","",HLOOKUP(LEFT(Calculation!BO211,7),LookUps!$C$38:$M$41,4))</f>
        <v/>
      </c>
      <c r="K205" s="387" t="str">
        <f>IF(A205="","",Calculation!M211)</f>
        <v/>
      </c>
      <c r="L205" s="387" t="str">
        <f>IF(A205="","",Calculation!S211)</f>
        <v/>
      </c>
      <c r="M205" s="389" t="str">
        <f>IF(A205="","",Calculation!N211)</f>
        <v/>
      </c>
      <c r="N205" s="390" t="str">
        <f>IF(A205="","",Calculation!R211)</f>
        <v/>
      </c>
      <c r="O205" s="391" t="str">
        <f>IF(A205="","",Calculation!$F$6)</f>
        <v/>
      </c>
      <c r="P205" s="392" t="str">
        <f>IF(A205="","",Calculation!$F$7)</f>
        <v/>
      </c>
      <c r="Q205" s="393" t="str">
        <f>IF(A205="","",Calculation!$F$13)</f>
        <v/>
      </c>
      <c r="R205" s="394" t="str">
        <f>IF(A205="","",Calculation!X211)</f>
        <v/>
      </c>
      <c r="S205" s="393" t="str">
        <f>IF(A205="","",Calculation!T211)</f>
        <v/>
      </c>
      <c r="T205" s="395" t="str">
        <f>IF(A205="","",IF(Calculation!$O$8="None","Water",CONCATENATE(Calculation!$O$8,"-",Calculation!$S$8,"%")))</f>
        <v/>
      </c>
      <c r="U205" s="393" t="str">
        <f>IF(A205="","",Calculation!$P$6)</f>
        <v/>
      </c>
      <c r="V205" s="393" t="str">
        <f>IF(A205="","",Calculation!AT211)</f>
        <v/>
      </c>
      <c r="W205" s="396" t="str">
        <f>IF(A205="","",Calculation!AP211)</f>
        <v/>
      </c>
      <c r="X205" s="396" t="str">
        <f>IF(A205="","",Calculation!AO211)</f>
        <v/>
      </c>
      <c r="Y205" s="396" t="str">
        <f>IF(A205="","",Calculation!AQ211)</f>
        <v/>
      </c>
      <c r="Z205" s="396" t="str">
        <f>IF(A205="","",Calculation!$H$6)</f>
        <v/>
      </c>
      <c r="AA205" s="397" t="str">
        <f>IF(A205="","",Calculation!$H$13)</f>
        <v/>
      </c>
      <c r="AB205" s="397" t="str">
        <f>IF(A205="","",Calculation!U211)</f>
        <v/>
      </c>
      <c r="AC205" s="398" t="str">
        <f>IF(A205="","",IF(Calculation!$O$9="None","Water",CONCATENATE(Calculation!$O$9,"-",Calculation!$S$9,"%")))</f>
        <v/>
      </c>
      <c r="AD205" s="396" t="str">
        <f>IF(A205="","",Calculation!$S$6)</f>
        <v/>
      </c>
      <c r="AE205" s="399" t="str">
        <f>IF(A205="","",Calculation!BA211)</f>
        <v/>
      </c>
      <c r="AF205" s="396" t="str">
        <f>IF(A205="","",Calculation!AX211)</f>
        <v/>
      </c>
      <c r="AG205" s="396" t="str">
        <f>IF(A205="","",Calculation!AW211)</f>
        <v/>
      </c>
      <c r="AH205" s="391" t="str">
        <f>IF(A205="","",Calculation!AY211)</f>
        <v/>
      </c>
      <c r="AI205" s="391" t="str">
        <f>IF(A205="","",Calculation!Y211)</f>
        <v/>
      </c>
      <c r="AJ205" s="401" t="str">
        <f>IF(Calculation!BD211&gt;0,Calculation!BD211," ")</f>
        <v xml:space="preserve"> </v>
      </c>
      <c r="AK205" s="401" t="str">
        <f>IF(Calculation!BD211&gt;0,Calculation!BE211," ")</f>
        <v xml:space="preserve"> </v>
      </c>
      <c r="AL205" s="401" t="str">
        <f>IF(Calculation!BD211&gt;0,Calculation!BF211," ")</f>
        <v xml:space="preserve"> </v>
      </c>
      <c r="AM205" s="401" t="str">
        <f>IF(Calculation!BD211&gt;0,Calculation!BG211," ")</f>
        <v xml:space="preserve"> </v>
      </c>
      <c r="AN205" s="391" t="str">
        <f>IF(Calculation!BH211="N/A","N/A",Calculation!BH211)</f>
        <v xml:space="preserve"> </v>
      </c>
      <c r="AO205" s="402" t="str">
        <f>IF(Calculation!BI211="N/A","N/A",Calculation!BI211)</f>
        <v/>
      </c>
      <c r="AP205" s="391" t="str">
        <f>IF(Calculation!BJ211="N/A","N/A",Calculation!BJ211)</f>
        <v/>
      </c>
      <c r="AQ205" s="402" t="str">
        <f>IF(Calculation!BK211="N/A","N/A",Calculation!BK211)</f>
        <v/>
      </c>
      <c r="AR205" s="391" t="str">
        <f>IF(Calculation!BL211="N/A","N/A",Calculation!BL211)</f>
        <v/>
      </c>
      <c r="AS205" s="402" t="str">
        <f>IF(Calculation!BM211="N/A","N/A",Calculation!BM211)</f>
        <v/>
      </c>
      <c r="AT205" s="400"/>
    </row>
    <row r="206" spans="1:46" ht="14.4" customHeight="1">
      <c r="A206" s="224" t="str">
        <f>IF(Calculation!BN212="","",CONCATENATE(Calculation!BO212,"-",Calculation!R212,"-",Calculation!S212,"-",Calculation!T212,"-",Calculation!U212))</f>
        <v/>
      </c>
      <c r="B206" s="224">
        <v>191</v>
      </c>
      <c r="C206" s="629" t="str">
        <f>IF(A206="","",Calculation!B212)</f>
        <v/>
      </c>
      <c r="D206" s="386" t="str">
        <f>IF(A206="","",Calculation!L212)</f>
        <v/>
      </c>
      <c r="E206" s="387" t="str">
        <f>IF(A206="","",Calculation!J212)</f>
        <v/>
      </c>
      <c r="F206" s="387" t="str">
        <f>IF(A206="","",Calculation!C212)</f>
        <v/>
      </c>
      <c r="G206" s="387" t="str">
        <f>IF(A206="","",LEFT(Calculation!O212,6))</f>
        <v/>
      </c>
      <c r="H206" s="388" t="str">
        <f>IF(A206="","",Calculation!DX212)</f>
        <v/>
      </c>
      <c r="I206" s="387" t="str">
        <f>IF(A206="","",Calculation!P212)</f>
        <v/>
      </c>
      <c r="J206" s="387" t="str">
        <f>IF(A206="","",HLOOKUP(LEFT(Calculation!BO212,7),LookUps!$C$38:$M$41,4))</f>
        <v/>
      </c>
      <c r="K206" s="387" t="str">
        <f>IF(A206="","",Calculation!M212)</f>
        <v/>
      </c>
      <c r="L206" s="387" t="str">
        <f>IF(A206="","",Calculation!S212)</f>
        <v/>
      </c>
      <c r="M206" s="389" t="str">
        <f>IF(A206="","",Calculation!N212)</f>
        <v/>
      </c>
      <c r="N206" s="390" t="str">
        <f>IF(A206="","",Calculation!R212)</f>
        <v/>
      </c>
      <c r="O206" s="391" t="str">
        <f>IF(A206="","",Calculation!$F$6)</f>
        <v/>
      </c>
      <c r="P206" s="392" t="str">
        <f>IF(A206="","",Calculation!$F$7)</f>
        <v/>
      </c>
      <c r="Q206" s="393" t="str">
        <f>IF(A206="","",Calculation!$F$13)</f>
        <v/>
      </c>
      <c r="R206" s="394" t="str">
        <f>IF(A206="","",Calculation!X212)</f>
        <v/>
      </c>
      <c r="S206" s="393" t="str">
        <f>IF(A206="","",Calculation!T212)</f>
        <v/>
      </c>
      <c r="T206" s="395" t="str">
        <f>IF(A206="","",IF(Calculation!$O$8="None","Water",CONCATENATE(Calculation!$O$8,"-",Calculation!$S$8,"%")))</f>
        <v/>
      </c>
      <c r="U206" s="393" t="str">
        <f>IF(A206="","",Calculation!$P$6)</f>
        <v/>
      </c>
      <c r="V206" s="393" t="str">
        <f>IF(A206="","",Calculation!AT212)</f>
        <v/>
      </c>
      <c r="W206" s="396" t="str">
        <f>IF(A206="","",Calculation!AP212)</f>
        <v/>
      </c>
      <c r="X206" s="396" t="str">
        <f>IF(A206="","",Calculation!AO212)</f>
        <v/>
      </c>
      <c r="Y206" s="396" t="str">
        <f>IF(A206="","",Calculation!AQ212)</f>
        <v/>
      </c>
      <c r="Z206" s="396" t="str">
        <f>IF(A206="","",Calculation!$H$6)</f>
        <v/>
      </c>
      <c r="AA206" s="397" t="str">
        <f>IF(A206="","",Calculation!$H$13)</f>
        <v/>
      </c>
      <c r="AB206" s="397" t="str">
        <f>IF(A206="","",Calculation!U212)</f>
        <v/>
      </c>
      <c r="AC206" s="398" t="str">
        <f>IF(A206="","",IF(Calculation!$O$9="None","Water",CONCATENATE(Calculation!$O$9,"-",Calculation!$S$9,"%")))</f>
        <v/>
      </c>
      <c r="AD206" s="396" t="str">
        <f>IF(A206="","",Calculation!$S$6)</f>
        <v/>
      </c>
      <c r="AE206" s="399" t="str">
        <f>IF(A206="","",Calculation!BA212)</f>
        <v/>
      </c>
      <c r="AF206" s="396" t="str">
        <f>IF(A206="","",Calculation!AX212)</f>
        <v/>
      </c>
      <c r="AG206" s="396" t="str">
        <f>IF(A206="","",Calculation!AW212)</f>
        <v/>
      </c>
      <c r="AH206" s="391" t="str">
        <f>IF(A206="","",Calculation!AY212)</f>
        <v/>
      </c>
      <c r="AI206" s="391" t="str">
        <f>IF(A206="","",Calculation!Y212)</f>
        <v/>
      </c>
      <c r="AJ206" s="401" t="str">
        <f>IF(Calculation!BD212&gt;0,Calculation!BD212," ")</f>
        <v xml:space="preserve"> </v>
      </c>
      <c r="AK206" s="401" t="str">
        <f>IF(Calculation!BD212&gt;0,Calculation!BE212," ")</f>
        <v xml:space="preserve"> </v>
      </c>
      <c r="AL206" s="401" t="str">
        <f>IF(Calculation!BD212&gt;0,Calculation!BF212," ")</f>
        <v xml:space="preserve"> </v>
      </c>
      <c r="AM206" s="401" t="str">
        <f>IF(Calculation!BD212&gt;0,Calculation!BG212," ")</f>
        <v xml:space="preserve"> </v>
      </c>
      <c r="AN206" s="391" t="str">
        <f>IF(Calculation!BH212="N/A","N/A",Calculation!BH212)</f>
        <v xml:space="preserve"> </v>
      </c>
      <c r="AO206" s="402" t="str">
        <f>IF(Calculation!BI212="N/A","N/A",Calculation!BI212)</f>
        <v/>
      </c>
      <c r="AP206" s="391" t="str">
        <f>IF(Calculation!BJ212="N/A","N/A",Calculation!BJ212)</f>
        <v/>
      </c>
      <c r="AQ206" s="402" t="str">
        <f>IF(Calculation!BK212="N/A","N/A",Calculation!BK212)</f>
        <v/>
      </c>
      <c r="AR206" s="391" t="str">
        <f>IF(Calculation!BL212="N/A","N/A",Calculation!BL212)</f>
        <v/>
      </c>
      <c r="AS206" s="402" t="str">
        <f>IF(Calculation!BM212="N/A","N/A",Calculation!BM212)</f>
        <v/>
      </c>
      <c r="AT206" s="400"/>
    </row>
    <row r="207" spans="1:46">
      <c r="A207" s="224" t="str">
        <f>IF(Calculation!BN213="","",CONCATENATE(Calculation!BO213,"-",Calculation!R213,"-",Calculation!S213,"-",Calculation!T213,"-",Calculation!U213))</f>
        <v/>
      </c>
      <c r="B207" s="224">
        <v>192</v>
      </c>
      <c r="C207" s="629" t="str">
        <f>IF(A207="","",Calculation!B213)</f>
        <v/>
      </c>
      <c r="D207" s="386" t="str">
        <f>IF(A207="","",Calculation!L213)</f>
        <v/>
      </c>
      <c r="E207" s="387" t="str">
        <f>IF(A207="","",Calculation!J213)</f>
        <v/>
      </c>
      <c r="F207" s="387" t="str">
        <f>IF(A207="","",Calculation!C213)</f>
        <v/>
      </c>
      <c r="G207" s="387" t="str">
        <f>IF(A207="","",LEFT(Calculation!O213,6))</f>
        <v/>
      </c>
      <c r="H207" s="388" t="str">
        <f>IF(A207="","",Calculation!DX213)</f>
        <v/>
      </c>
      <c r="I207" s="387" t="str">
        <f>IF(A207="","",Calculation!P213)</f>
        <v/>
      </c>
      <c r="J207" s="387" t="str">
        <f>IF(A207="","",HLOOKUP(LEFT(Calculation!BO213,7),LookUps!$C$38:$M$41,4))</f>
        <v/>
      </c>
      <c r="K207" s="387" t="str">
        <f>IF(A207="","",Calculation!M213)</f>
        <v/>
      </c>
      <c r="L207" s="387" t="str">
        <f>IF(A207="","",Calculation!S213)</f>
        <v/>
      </c>
      <c r="M207" s="389" t="str">
        <f>IF(A207="","",Calculation!N213)</f>
        <v/>
      </c>
      <c r="N207" s="390" t="str">
        <f>IF(A207="","",Calculation!R213)</f>
        <v/>
      </c>
      <c r="O207" s="391" t="str">
        <f>IF(A207="","",Calculation!$F$6)</f>
        <v/>
      </c>
      <c r="P207" s="392" t="str">
        <f>IF(A207="","",Calculation!$F$7)</f>
        <v/>
      </c>
      <c r="Q207" s="393" t="str">
        <f>IF(A207="","",Calculation!$F$13)</f>
        <v/>
      </c>
      <c r="R207" s="394" t="str">
        <f>IF(A207="","",Calculation!X213)</f>
        <v/>
      </c>
      <c r="S207" s="393" t="str">
        <f>IF(A207="","",Calculation!T213)</f>
        <v/>
      </c>
      <c r="T207" s="395" t="str">
        <f>IF(A207="","",IF(Calculation!$O$8="None","Water",CONCATENATE(Calculation!$O$8,"-",Calculation!$S$8,"%")))</f>
        <v/>
      </c>
      <c r="U207" s="393" t="str">
        <f>IF(A207="","",Calculation!$P$6)</f>
        <v/>
      </c>
      <c r="V207" s="393" t="str">
        <f>IF(A207="","",Calculation!AT213)</f>
        <v/>
      </c>
      <c r="W207" s="396" t="str">
        <f>IF(A207="","",Calculation!AP213)</f>
        <v/>
      </c>
      <c r="X207" s="396" t="str">
        <f>IF(A207="","",Calculation!AO213)</f>
        <v/>
      </c>
      <c r="Y207" s="396" t="str">
        <f>IF(A207="","",Calculation!AQ213)</f>
        <v/>
      </c>
      <c r="Z207" s="396" t="str">
        <f>IF(A207="","",Calculation!$H$6)</f>
        <v/>
      </c>
      <c r="AA207" s="397" t="str">
        <f>IF(A207="","",Calculation!$H$13)</f>
        <v/>
      </c>
      <c r="AB207" s="397" t="str">
        <f>IF(A207="","",Calculation!U213)</f>
        <v/>
      </c>
      <c r="AC207" s="398" t="str">
        <f>IF(A207="","",IF(Calculation!$O$9="None","Water",CONCATENATE(Calculation!$O$9,"-",Calculation!$S$9,"%")))</f>
        <v/>
      </c>
      <c r="AD207" s="396" t="str">
        <f>IF(A207="","",Calculation!$S$6)</f>
        <v/>
      </c>
      <c r="AE207" s="399" t="str">
        <f>IF(A207="","",Calculation!BA213)</f>
        <v/>
      </c>
      <c r="AF207" s="396" t="str">
        <f>IF(A207="","",Calculation!AX213)</f>
        <v/>
      </c>
      <c r="AG207" s="396" t="str">
        <f>IF(A207="","",Calculation!AW213)</f>
        <v/>
      </c>
      <c r="AH207" s="391" t="str">
        <f>IF(A207="","",Calculation!AY213)</f>
        <v/>
      </c>
      <c r="AI207" s="391" t="str">
        <f>IF(A207="","",Calculation!Y213)</f>
        <v/>
      </c>
      <c r="AJ207" s="401" t="str">
        <f>IF(Calculation!BD213&gt;0,Calculation!BD213," ")</f>
        <v xml:space="preserve"> </v>
      </c>
      <c r="AK207" s="401" t="str">
        <f>IF(Calculation!BD213&gt;0,Calculation!BE213," ")</f>
        <v xml:space="preserve"> </v>
      </c>
      <c r="AL207" s="401" t="str">
        <f>IF(Calculation!BD213&gt;0,Calculation!BF213," ")</f>
        <v xml:space="preserve"> </v>
      </c>
      <c r="AM207" s="401" t="str">
        <f>IF(Calculation!BD213&gt;0,Calculation!BG213," ")</f>
        <v xml:space="preserve"> </v>
      </c>
      <c r="AN207" s="391" t="str">
        <f>IF(Calculation!BH213="N/A","N/A",Calculation!BH213)</f>
        <v xml:space="preserve"> </v>
      </c>
      <c r="AO207" s="402" t="str">
        <f>IF(Calculation!BI213="N/A","N/A",Calculation!BI213)</f>
        <v/>
      </c>
      <c r="AP207" s="391" t="str">
        <f>IF(Calculation!BJ213="N/A","N/A",Calculation!BJ213)</f>
        <v/>
      </c>
      <c r="AQ207" s="402" t="str">
        <f>IF(Calculation!BK213="N/A","N/A",Calculation!BK213)</f>
        <v/>
      </c>
      <c r="AR207" s="391" t="str">
        <f>IF(Calculation!BL213="N/A","N/A",Calculation!BL213)</f>
        <v/>
      </c>
      <c r="AS207" s="402" t="str">
        <f>IF(Calculation!BM213="N/A","N/A",Calculation!BM213)</f>
        <v/>
      </c>
      <c r="AT207" s="400"/>
    </row>
    <row r="208" spans="1:46">
      <c r="A208" s="224" t="str">
        <f>IF(Calculation!BN214="","",CONCATENATE(Calculation!BO214,"-",Calculation!R214,"-",Calculation!S214,"-",Calculation!T214,"-",Calculation!U214))</f>
        <v/>
      </c>
      <c r="B208" s="224">
        <v>193</v>
      </c>
      <c r="C208" s="629" t="str">
        <f>IF(A208="","",Calculation!B214)</f>
        <v/>
      </c>
      <c r="D208" s="386" t="str">
        <f>IF(A208="","",Calculation!L214)</f>
        <v/>
      </c>
      <c r="E208" s="387" t="str">
        <f>IF(A208="","",Calculation!J214)</f>
        <v/>
      </c>
      <c r="F208" s="387" t="str">
        <f>IF(A208="","",Calculation!C214)</f>
        <v/>
      </c>
      <c r="G208" s="387" t="str">
        <f>IF(A208="","",LEFT(Calculation!O214,6))</f>
        <v/>
      </c>
      <c r="H208" s="388" t="str">
        <f>IF(A208="","",Calculation!DX214)</f>
        <v/>
      </c>
      <c r="I208" s="387" t="str">
        <f>IF(A208="","",Calculation!P214)</f>
        <v/>
      </c>
      <c r="J208" s="387" t="str">
        <f>IF(A208="","",HLOOKUP(LEFT(Calculation!BO214,7),LookUps!$C$38:$M$41,4))</f>
        <v/>
      </c>
      <c r="K208" s="387" t="str">
        <f>IF(A208="","",Calculation!M214)</f>
        <v/>
      </c>
      <c r="L208" s="387" t="str">
        <f>IF(A208="","",Calculation!S214)</f>
        <v/>
      </c>
      <c r="M208" s="389" t="str">
        <f>IF(A208="","",Calculation!N214)</f>
        <v/>
      </c>
      <c r="N208" s="390" t="str">
        <f>IF(A208="","",Calculation!R214)</f>
        <v/>
      </c>
      <c r="O208" s="391" t="str">
        <f>IF(A208="","",Calculation!$F$6)</f>
        <v/>
      </c>
      <c r="P208" s="392" t="str">
        <f>IF(A208="","",Calculation!$F$7)</f>
        <v/>
      </c>
      <c r="Q208" s="393" t="str">
        <f>IF(A208="","",Calculation!$F$13)</f>
        <v/>
      </c>
      <c r="R208" s="394" t="str">
        <f>IF(A208="","",Calculation!X214)</f>
        <v/>
      </c>
      <c r="S208" s="393" t="str">
        <f>IF(A208="","",Calculation!T214)</f>
        <v/>
      </c>
      <c r="T208" s="395" t="str">
        <f>IF(A208="","",IF(Calculation!$O$8="None","Water",CONCATENATE(Calculation!$O$8,"-",Calculation!$S$8,"%")))</f>
        <v/>
      </c>
      <c r="U208" s="393" t="str">
        <f>IF(A208="","",Calculation!$P$6)</f>
        <v/>
      </c>
      <c r="V208" s="393" t="str">
        <f>IF(A208="","",Calculation!AT214)</f>
        <v/>
      </c>
      <c r="W208" s="396" t="str">
        <f>IF(A208="","",Calculation!AP214)</f>
        <v/>
      </c>
      <c r="X208" s="396" t="str">
        <f>IF(A208="","",Calculation!AO214)</f>
        <v/>
      </c>
      <c r="Y208" s="396" t="str">
        <f>IF(A208="","",Calculation!AQ214)</f>
        <v/>
      </c>
      <c r="Z208" s="396" t="str">
        <f>IF(A208="","",Calculation!$H$6)</f>
        <v/>
      </c>
      <c r="AA208" s="397" t="str">
        <f>IF(A208="","",Calculation!$H$13)</f>
        <v/>
      </c>
      <c r="AB208" s="397" t="str">
        <f>IF(A208="","",Calculation!U214)</f>
        <v/>
      </c>
      <c r="AC208" s="398" t="str">
        <f>IF(A208="","",IF(Calculation!$O$9="None","Water",CONCATENATE(Calculation!$O$9,"-",Calculation!$S$9,"%")))</f>
        <v/>
      </c>
      <c r="AD208" s="396" t="str">
        <f>IF(A208="","",Calculation!$S$6)</f>
        <v/>
      </c>
      <c r="AE208" s="399" t="str">
        <f>IF(A208="","",Calculation!BA214)</f>
        <v/>
      </c>
      <c r="AF208" s="396" t="str">
        <f>IF(A208="","",Calculation!AX214)</f>
        <v/>
      </c>
      <c r="AG208" s="396" t="str">
        <f>IF(A208="","",Calculation!AW214)</f>
        <v/>
      </c>
      <c r="AH208" s="391" t="str">
        <f>IF(A208="","",Calculation!AY214)</f>
        <v/>
      </c>
      <c r="AI208" s="391" t="str">
        <f>IF(A208="","",Calculation!Y214)</f>
        <v/>
      </c>
      <c r="AJ208" s="401" t="str">
        <f>IF(Calculation!BD214&gt;0,Calculation!BD214," ")</f>
        <v xml:space="preserve"> </v>
      </c>
      <c r="AK208" s="401" t="str">
        <f>IF(Calculation!BD214&gt;0,Calculation!BE214," ")</f>
        <v xml:space="preserve"> </v>
      </c>
      <c r="AL208" s="401" t="str">
        <f>IF(Calculation!BD214&gt;0,Calculation!BF214," ")</f>
        <v xml:space="preserve"> </v>
      </c>
      <c r="AM208" s="401" t="str">
        <f>IF(Calculation!BD214&gt;0,Calculation!BG214," ")</f>
        <v xml:space="preserve"> </v>
      </c>
      <c r="AN208" s="391" t="str">
        <f>IF(Calculation!BH214="N/A","N/A",Calculation!BH214)</f>
        <v xml:space="preserve"> </v>
      </c>
      <c r="AO208" s="402" t="str">
        <f>IF(Calculation!BI214="N/A","N/A",Calculation!BI214)</f>
        <v/>
      </c>
      <c r="AP208" s="391" t="str">
        <f>IF(Calculation!BJ214="N/A","N/A",Calculation!BJ214)</f>
        <v/>
      </c>
      <c r="AQ208" s="402" t="str">
        <f>IF(Calculation!BK214="N/A","N/A",Calculation!BK214)</f>
        <v/>
      </c>
      <c r="AR208" s="391" t="str">
        <f>IF(Calculation!BL214="N/A","N/A",Calculation!BL214)</f>
        <v/>
      </c>
      <c r="AS208" s="402" t="str">
        <f>IF(Calculation!BM214="N/A","N/A",Calculation!BM214)</f>
        <v/>
      </c>
      <c r="AT208" s="400"/>
    </row>
    <row r="209" spans="1:46">
      <c r="A209" s="224" t="str">
        <f>IF(Calculation!BN215="","",CONCATENATE(Calculation!BO215,"-",Calculation!R215,"-",Calculation!S215,"-",Calculation!T215,"-",Calculation!U215))</f>
        <v/>
      </c>
      <c r="B209" s="224">
        <v>194</v>
      </c>
      <c r="C209" s="629" t="str">
        <f>IF(A209="","",Calculation!B215)</f>
        <v/>
      </c>
      <c r="D209" s="386" t="str">
        <f>IF(A209="","",Calculation!L215)</f>
        <v/>
      </c>
      <c r="E209" s="387" t="str">
        <f>IF(A209="","",Calculation!J215)</f>
        <v/>
      </c>
      <c r="F209" s="387" t="str">
        <f>IF(A209="","",Calculation!C215)</f>
        <v/>
      </c>
      <c r="G209" s="387" t="str">
        <f>IF(A209="","",LEFT(Calculation!O215,6))</f>
        <v/>
      </c>
      <c r="H209" s="388" t="str">
        <f>IF(A209="","",Calculation!DX215)</f>
        <v/>
      </c>
      <c r="I209" s="387" t="str">
        <f>IF(A209="","",Calculation!P215)</f>
        <v/>
      </c>
      <c r="J209" s="387" t="str">
        <f>IF(A209="","",HLOOKUP(LEFT(Calculation!BO215,7),LookUps!$C$38:$M$41,4))</f>
        <v/>
      </c>
      <c r="K209" s="387" t="str">
        <f>IF(A209="","",Calculation!M215)</f>
        <v/>
      </c>
      <c r="L209" s="387" t="str">
        <f>IF(A209="","",Calculation!S215)</f>
        <v/>
      </c>
      <c r="M209" s="389" t="str">
        <f>IF(A209="","",Calculation!N215)</f>
        <v/>
      </c>
      <c r="N209" s="390" t="str">
        <f>IF(A209="","",Calculation!R215)</f>
        <v/>
      </c>
      <c r="O209" s="391" t="str">
        <f>IF(A209="","",Calculation!$F$6)</f>
        <v/>
      </c>
      <c r="P209" s="392" t="str">
        <f>IF(A209="","",Calculation!$F$7)</f>
        <v/>
      </c>
      <c r="Q209" s="393" t="str">
        <f>IF(A209="","",Calculation!$F$13)</f>
        <v/>
      </c>
      <c r="R209" s="394" t="str">
        <f>IF(A209="","",Calculation!X215)</f>
        <v/>
      </c>
      <c r="S209" s="393" t="str">
        <f>IF(A209="","",Calculation!T215)</f>
        <v/>
      </c>
      <c r="T209" s="395" t="str">
        <f>IF(A209="","",IF(Calculation!$O$8="None","Water",CONCATENATE(Calculation!$O$8,"-",Calculation!$S$8,"%")))</f>
        <v/>
      </c>
      <c r="U209" s="393" t="str">
        <f>IF(A209="","",Calculation!$P$6)</f>
        <v/>
      </c>
      <c r="V209" s="393" t="str">
        <f>IF(A209="","",Calculation!AT215)</f>
        <v/>
      </c>
      <c r="W209" s="396" t="str">
        <f>IF(A209="","",Calculation!AP215)</f>
        <v/>
      </c>
      <c r="X209" s="396" t="str">
        <f>IF(A209="","",Calculation!AO215)</f>
        <v/>
      </c>
      <c r="Y209" s="396" t="str">
        <f>IF(A209="","",Calculation!AQ215)</f>
        <v/>
      </c>
      <c r="Z209" s="396" t="str">
        <f>IF(A209="","",Calculation!$H$6)</f>
        <v/>
      </c>
      <c r="AA209" s="397" t="str">
        <f>IF(A209="","",Calculation!$H$13)</f>
        <v/>
      </c>
      <c r="AB209" s="397" t="str">
        <f>IF(A209="","",Calculation!U215)</f>
        <v/>
      </c>
      <c r="AC209" s="398" t="str">
        <f>IF(A209="","",IF(Calculation!$O$9="None","Water",CONCATENATE(Calculation!$O$9,"-",Calculation!$S$9,"%")))</f>
        <v/>
      </c>
      <c r="AD209" s="396" t="str">
        <f>IF(A209="","",Calculation!$S$6)</f>
        <v/>
      </c>
      <c r="AE209" s="399" t="str">
        <f>IF(A209="","",Calculation!BA215)</f>
        <v/>
      </c>
      <c r="AF209" s="396" t="str">
        <f>IF(A209="","",Calculation!AX215)</f>
        <v/>
      </c>
      <c r="AG209" s="396" t="str">
        <f>IF(A209="","",Calculation!AW215)</f>
        <v/>
      </c>
      <c r="AH209" s="391" t="str">
        <f>IF(A209="","",Calculation!AY215)</f>
        <v/>
      </c>
      <c r="AI209" s="391" t="str">
        <f>IF(A209="","",Calculation!Y215)</f>
        <v/>
      </c>
      <c r="AJ209" s="401" t="str">
        <f>IF(Calculation!BD215&gt;0,Calculation!BD215," ")</f>
        <v xml:space="preserve"> </v>
      </c>
      <c r="AK209" s="401" t="str">
        <f>IF(Calculation!BD215&gt;0,Calculation!BE215," ")</f>
        <v xml:space="preserve"> </v>
      </c>
      <c r="AL209" s="401" t="str">
        <f>IF(Calculation!BD215&gt;0,Calculation!BF215," ")</f>
        <v xml:space="preserve"> </v>
      </c>
      <c r="AM209" s="401" t="str">
        <f>IF(Calculation!BD215&gt;0,Calculation!BG215," ")</f>
        <v xml:space="preserve"> </v>
      </c>
      <c r="AN209" s="391" t="str">
        <f>IF(Calculation!BH215="N/A","N/A",Calculation!BH215)</f>
        <v xml:space="preserve"> </v>
      </c>
      <c r="AO209" s="402" t="str">
        <f>IF(Calculation!BI215="N/A","N/A",Calculation!BI215)</f>
        <v/>
      </c>
      <c r="AP209" s="391" t="str">
        <f>IF(Calculation!BJ215="N/A","N/A",Calculation!BJ215)</f>
        <v/>
      </c>
      <c r="AQ209" s="402" t="str">
        <f>IF(Calculation!BK215="N/A","N/A",Calculation!BK215)</f>
        <v/>
      </c>
      <c r="AR209" s="391" t="str">
        <f>IF(Calculation!BL215="N/A","N/A",Calculation!BL215)</f>
        <v/>
      </c>
      <c r="AS209" s="402" t="str">
        <f>IF(Calculation!BM215="N/A","N/A",Calculation!BM215)</f>
        <v/>
      </c>
      <c r="AT209" s="400"/>
    </row>
    <row r="210" spans="1:46">
      <c r="A210" s="224" t="str">
        <f>IF(Calculation!BN216="","",CONCATENATE(Calculation!BO216,"-",Calculation!R216,"-",Calculation!S216,"-",Calculation!T216,"-",Calculation!U216))</f>
        <v/>
      </c>
      <c r="B210" s="224">
        <v>195</v>
      </c>
      <c r="C210" s="629" t="str">
        <f>IF(A210="","",Calculation!B216)</f>
        <v/>
      </c>
      <c r="D210" s="386" t="str">
        <f>IF(A210="","",Calculation!L216)</f>
        <v/>
      </c>
      <c r="E210" s="387" t="str">
        <f>IF(A210="","",Calculation!J216)</f>
        <v/>
      </c>
      <c r="F210" s="387" t="str">
        <f>IF(A210="","",Calculation!C216)</f>
        <v/>
      </c>
      <c r="G210" s="387" t="str">
        <f>IF(A210="","",LEFT(Calculation!O216,6))</f>
        <v/>
      </c>
      <c r="H210" s="388" t="str">
        <f>IF(A210="","",Calculation!DX216)</f>
        <v/>
      </c>
      <c r="I210" s="387" t="str">
        <f>IF(A210="","",Calculation!P216)</f>
        <v/>
      </c>
      <c r="J210" s="387" t="str">
        <f>IF(A210="","",HLOOKUP(LEFT(Calculation!BO216,7),LookUps!$C$38:$M$41,4))</f>
        <v/>
      </c>
      <c r="K210" s="387" t="str">
        <f>IF(A210="","",Calculation!M216)</f>
        <v/>
      </c>
      <c r="L210" s="387" t="str">
        <f>IF(A210="","",Calculation!S216)</f>
        <v/>
      </c>
      <c r="M210" s="389" t="str">
        <f>IF(A210="","",Calculation!N216)</f>
        <v/>
      </c>
      <c r="N210" s="390" t="str">
        <f>IF(A210="","",Calculation!R216)</f>
        <v/>
      </c>
      <c r="O210" s="391" t="str">
        <f>IF(A210="","",Calculation!$F$6)</f>
        <v/>
      </c>
      <c r="P210" s="392" t="str">
        <f>IF(A210="","",Calculation!$F$7)</f>
        <v/>
      </c>
      <c r="Q210" s="393" t="str">
        <f>IF(A210="","",Calculation!$F$13)</f>
        <v/>
      </c>
      <c r="R210" s="394" t="str">
        <f>IF(A210="","",Calculation!X216)</f>
        <v/>
      </c>
      <c r="S210" s="393" t="str">
        <f>IF(A210="","",Calculation!T216)</f>
        <v/>
      </c>
      <c r="T210" s="395" t="str">
        <f>IF(A210="","",IF(Calculation!$O$8="None","Water",CONCATENATE(Calculation!$O$8,"-",Calculation!$S$8,"%")))</f>
        <v/>
      </c>
      <c r="U210" s="393" t="str">
        <f>IF(A210="","",Calculation!$P$6)</f>
        <v/>
      </c>
      <c r="V210" s="393" t="str">
        <f>IF(A210="","",Calculation!AT216)</f>
        <v/>
      </c>
      <c r="W210" s="396" t="str">
        <f>IF(A210="","",Calculation!AP216)</f>
        <v/>
      </c>
      <c r="X210" s="396" t="str">
        <f>IF(A210="","",Calculation!AO216)</f>
        <v/>
      </c>
      <c r="Y210" s="396" t="str">
        <f>IF(A210="","",Calculation!AQ216)</f>
        <v/>
      </c>
      <c r="Z210" s="396" t="str">
        <f>IF(A210="","",Calculation!$H$6)</f>
        <v/>
      </c>
      <c r="AA210" s="397" t="str">
        <f>IF(A210="","",Calculation!$H$13)</f>
        <v/>
      </c>
      <c r="AB210" s="397" t="str">
        <f>IF(A210="","",Calculation!U216)</f>
        <v/>
      </c>
      <c r="AC210" s="398" t="str">
        <f>IF(A210="","",IF(Calculation!$O$9="None","Water",CONCATENATE(Calculation!$O$9,"-",Calculation!$S$9,"%")))</f>
        <v/>
      </c>
      <c r="AD210" s="396" t="str">
        <f>IF(A210="","",Calculation!$S$6)</f>
        <v/>
      </c>
      <c r="AE210" s="399" t="str">
        <f>IF(A210="","",Calculation!BA216)</f>
        <v/>
      </c>
      <c r="AF210" s="396" t="str">
        <f>IF(A210="","",Calculation!AX216)</f>
        <v/>
      </c>
      <c r="AG210" s="396" t="str">
        <f>IF(A210="","",Calculation!AW216)</f>
        <v/>
      </c>
      <c r="AH210" s="391" t="str">
        <f>IF(A210="","",Calculation!AY216)</f>
        <v/>
      </c>
      <c r="AI210" s="391" t="str">
        <f>IF(A210="","",Calculation!Y216)</f>
        <v/>
      </c>
      <c r="AJ210" s="401" t="str">
        <f>IF(Calculation!BD216&gt;0,Calculation!BD216," ")</f>
        <v xml:space="preserve"> </v>
      </c>
      <c r="AK210" s="401" t="str">
        <f>IF(Calculation!BD216&gt;0,Calculation!BE216," ")</f>
        <v xml:space="preserve"> </v>
      </c>
      <c r="AL210" s="401" t="str">
        <f>IF(Calculation!BD216&gt;0,Calculation!BF216," ")</f>
        <v xml:space="preserve"> </v>
      </c>
      <c r="AM210" s="401" t="str">
        <f>IF(Calculation!BD216&gt;0,Calculation!BG216," ")</f>
        <v xml:space="preserve"> </v>
      </c>
      <c r="AN210" s="391" t="str">
        <f>IF(Calculation!BH216="N/A","N/A",Calculation!BH216)</f>
        <v xml:space="preserve"> </v>
      </c>
      <c r="AO210" s="402" t="str">
        <f>IF(Calculation!BI216="N/A","N/A",Calculation!BI216)</f>
        <v/>
      </c>
      <c r="AP210" s="391" t="str">
        <f>IF(Calculation!BJ216="N/A","N/A",Calculation!BJ216)</f>
        <v/>
      </c>
      <c r="AQ210" s="402" t="str">
        <f>IF(Calculation!BK216="N/A","N/A",Calculation!BK216)</f>
        <v/>
      </c>
      <c r="AR210" s="391" t="str">
        <f>IF(Calculation!BL216="N/A","N/A",Calculation!BL216)</f>
        <v/>
      </c>
      <c r="AS210" s="402" t="str">
        <f>IF(Calculation!BM216="N/A","N/A",Calculation!BM216)</f>
        <v/>
      </c>
      <c r="AT210" s="400"/>
    </row>
    <row r="211" spans="1:46">
      <c r="A211" s="224" t="str">
        <f>IF(Calculation!BN217="","",CONCATENATE(Calculation!BO217,"-",Calculation!R217,"-",Calculation!S217,"-",Calculation!T217,"-",Calculation!U217))</f>
        <v/>
      </c>
      <c r="B211" s="224">
        <v>196</v>
      </c>
      <c r="C211" s="629" t="str">
        <f>IF(A211="","",Calculation!B217)</f>
        <v/>
      </c>
      <c r="D211" s="386" t="str">
        <f>IF(A211="","",Calculation!L217)</f>
        <v/>
      </c>
      <c r="E211" s="387" t="str">
        <f>IF(A211="","",Calculation!J217)</f>
        <v/>
      </c>
      <c r="F211" s="387" t="str">
        <f>IF(A211="","",Calculation!C217)</f>
        <v/>
      </c>
      <c r="G211" s="387" t="str">
        <f>IF(A211="","",LEFT(Calculation!O217,6))</f>
        <v/>
      </c>
      <c r="H211" s="388" t="str">
        <f>IF(A211="","",Calculation!DX217)</f>
        <v/>
      </c>
      <c r="I211" s="387" t="str">
        <f>IF(A211="","",Calculation!P217)</f>
        <v/>
      </c>
      <c r="J211" s="387" t="str">
        <f>IF(A211="","",HLOOKUP(LEFT(Calculation!BO217,7),LookUps!$C$38:$M$41,4))</f>
        <v/>
      </c>
      <c r="K211" s="387" t="str">
        <f>IF(A211="","",Calculation!M217)</f>
        <v/>
      </c>
      <c r="L211" s="387" t="str">
        <f>IF(A211="","",Calculation!S217)</f>
        <v/>
      </c>
      <c r="M211" s="389" t="str">
        <f>IF(A211="","",Calculation!N217)</f>
        <v/>
      </c>
      <c r="N211" s="390" t="str">
        <f>IF(A211="","",Calculation!R217)</f>
        <v/>
      </c>
      <c r="O211" s="391" t="str">
        <f>IF(A211="","",Calculation!$F$6)</f>
        <v/>
      </c>
      <c r="P211" s="392" t="str">
        <f>IF(A211="","",Calculation!$F$7)</f>
        <v/>
      </c>
      <c r="Q211" s="393" t="str">
        <f>IF(A211="","",Calculation!$F$13)</f>
        <v/>
      </c>
      <c r="R211" s="394" t="str">
        <f>IF(A211="","",Calculation!X217)</f>
        <v/>
      </c>
      <c r="S211" s="393" t="str">
        <f>IF(A211="","",Calculation!T217)</f>
        <v/>
      </c>
      <c r="T211" s="395" t="str">
        <f>IF(A211="","",IF(Calculation!$O$8="None","Water",CONCATENATE(Calculation!$O$8,"-",Calculation!$S$8,"%")))</f>
        <v/>
      </c>
      <c r="U211" s="393" t="str">
        <f>IF(A211="","",Calculation!$P$6)</f>
        <v/>
      </c>
      <c r="V211" s="393" t="str">
        <f>IF(A211="","",Calculation!AT217)</f>
        <v/>
      </c>
      <c r="W211" s="396" t="str">
        <f>IF(A211="","",Calculation!AP217)</f>
        <v/>
      </c>
      <c r="X211" s="396" t="str">
        <f>IF(A211="","",Calculation!AO217)</f>
        <v/>
      </c>
      <c r="Y211" s="396" t="str">
        <f>IF(A211="","",Calculation!AQ217)</f>
        <v/>
      </c>
      <c r="Z211" s="396" t="str">
        <f>IF(A211="","",Calculation!$H$6)</f>
        <v/>
      </c>
      <c r="AA211" s="397" t="str">
        <f>IF(A211="","",Calculation!$H$13)</f>
        <v/>
      </c>
      <c r="AB211" s="397" t="str">
        <f>IF(A211="","",Calculation!U217)</f>
        <v/>
      </c>
      <c r="AC211" s="398" t="str">
        <f>IF(A211="","",IF(Calculation!$O$9="None","Water",CONCATENATE(Calculation!$O$9,"-",Calculation!$S$9,"%")))</f>
        <v/>
      </c>
      <c r="AD211" s="396" t="str">
        <f>IF(A211="","",Calculation!$S$6)</f>
        <v/>
      </c>
      <c r="AE211" s="399" t="str">
        <f>IF(A211="","",Calculation!BA217)</f>
        <v/>
      </c>
      <c r="AF211" s="396" t="str">
        <f>IF(A211="","",Calculation!AX217)</f>
        <v/>
      </c>
      <c r="AG211" s="396" t="str">
        <f>IF(A211="","",Calculation!AW217)</f>
        <v/>
      </c>
      <c r="AH211" s="391" t="str">
        <f>IF(A211="","",Calculation!AY217)</f>
        <v/>
      </c>
      <c r="AI211" s="391" t="str">
        <f>IF(A211="","",Calculation!Y217)</f>
        <v/>
      </c>
      <c r="AJ211" s="401" t="str">
        <f>IF(Calculation!BD217&gt;0,Calculation!BD217," ")</f>
        <v xml:space="preserve"> </v>
      </c>
      <c r="AK211" s="401" t="str">
        <f>IF(Calculation!BD217&gt;0,Calculation!BE217," ")</f>
        <v xml:space="preserve"> </v>
      </c>
      <c r="AL211" s="401" t="str">
        <f>IF(Calculation!BD217&gt;0,Calculation!BF217," ")</f>
        <v xml:space="preserve"> </v>
      </c>
      <c r="AM211" s="401" t="str">
        <f>IF(Calculation!BD217&gt;0,Calculation!BG217," ")</f>
        <v xml:space="preserve"> </v>
      </c>
      <c r="AN211" s="391" t="str">
        <f>IF(Calculation!BH217="N/A","N/A",Calculation!BH217)</f>
        <v xml:space="preserve"> </v>
      </c>
      <c r="AO211" s="402" t="str">
        <f>IF(Calculation!BI217="N/A","N/A",Calculation!BI217)</f>
        <v/>
      </c>
      <c r="AP211" s="391" t="str">
        <f>IF(Calculation!BJ217="N/A","N/A",Calculation!BJ217)</f>
        <v/>
      </c>
      <c r="AQ211" s="402" t="str">
        <f>IF(Calculation!BK217="N/A","N/A",Calculation!BK217)</f>
        <v/>
      </c>
      <c r="AR211" s="391" t="str">
        <f>IF(Calculation!BL217="N/A","N/A",Calculation!BL217)</f>
        <v/>
      </c>
      <c r="AS211" s="402" t="str">
        <f>IF(Calculation!BM217="N/A","N/A",Calculation!BM217)</f>
        <v/>
      </c>
      <c r="AT211" s="400"/>
    </row>
    <row r="212" spans="1:46">
      <c r="A212" s="224" t="str">
        <f>IF(Calculation!BN218="","",CONCATENATE(Calculation!BO218,"-",Calculation!R218,"-",Calculation!S218,"-",Calculation!T218,"-",Calculation!U218))</f>
        <v/>
      </c>
      <c r="B212" s="224">
        <v>197</v>
      </c>
      <c r="C212" s="629" t="str">
        <f>IF(A212="","",Calculation!B218)</f>
        <v/>
      </c>
      <c r="D212" s="386" t="str">
        <f>IF(A212="","",Calculation!L218)</f>
        <v/>
      </c>
      <c r="E212" s="387" t="str">
        <f>IF(A212="","",Calculation!J218)</f>
        <v/>
      </c>
      <c r="F212" s="387" t="str">
        <f>IF(A212="","",Calculation!C218)</f>
        <v/>
      </c>
      <c r="G212" s="387" t="str">
        <f>IF(A212="","",LEFT(Calculation!O218,6))</f>
        <v/>
      </c>
      <c r="H212" s="388" t="str">
        <f>IF(A212="","",Calculation!DX218)</f>
        <v/>
      </c>
      <c r="I212" s="387" t="str">
        <f>IF(A212="","",Calculation!P218)</f>
        <v/>
      </c>
      <c r="J212" s="387" t="str">
        <f>IF(A212="","",HLOOKUP(LEFT(Calculation!BO218,7),LookUps!$C$38:$M$41,4))</f>
        <v/>
      </c>
      <c r="K212" s="387" t="str">
        <f>IF(A212="","",Calculation!M218)</f>
        <v/>
      </c>
      <c r="L212" s="387" t="str">
        <f>IF(A212="","",Calculation!S218)</f>
        <v/>
      </c>
      <c r="M212" s="389" t="str">
        <f>IF(A212="","",Calculation!N218)</f>
        <v/>
      </c>
      <c r="N212" s="390" t="str">
        <f>IF(A212="","",Calculation!R218)</f>
        <v/>
      </c>
      <c r="O212" s="391" t="str">
        <f>IF(A212="","",Calculation!$F$6)</f>
        <v/>
      </c>
      <c r="P212" s="392" t="str">
        <f>IF(A212="","",Calculation!$F$7)</f>
        <v/>
      </c>
      <c r="Q212" s="393" t="str">
        <f>IF(A212="","",Calculation!$F$13)</f>
        <v/>
      </c>
      <c r="R212" s="394" t="str">
        <f>IF(A212="","",Calculation!X218)</f>
        <v/>
      </c>
      <c r="S212" s="393" t="str">
        <f>IF(A212="","",Calculation!T218)</f>
        <v/>
      </c>
      <c r="T212" s="395" t="str">
        <f>IF(A212="","",IF(Calculation!$O$8="None","Water",CONCATENATE(Calculation!$O$8,"-",Calculation!$S$8,"%")))</f>
        <v/>
      </c>
      <c r="U212" s="393" t="str">
        <f>IF(A212="","",Calculation!$P$6)</f>
        <v/>
      </c>
      <c r="V212" s="393" t="str">
        <f>IF(A212="","",Calculation!AT218)</f>
        <v/>
      </c>
      <c r="W212" s="396" t="str">
        <f>IF(A212="","",Calculation!AP218)</f>
        <v/>
      </c>
      <c r="X212" s="396" t="str">
        <f>IF(A212="","",Calculation!AO218)</f>
        <v/>
      </c>
      <c r="Y212" s="396" t="str">
        <f>IF(A212="","",Calculation!AQ218)</f>
        <v/>
      </c>
      <c r="Z212" s="396" t="str">
        <f>IF(A212="","",Calculation!$H$6)</f>
        <v/>
      </c>
      <c r="AA212" s="397" t="str">
        <f>IF(A212="","",Calculation!$H$13)</f>
        <v/>
      </c>
      <c r="AB212" s="397" t="str">
        <f>IF(A212="","",Calculation!U218)</f>
        <v/>
      </c>
      <c r="AC212" s="398" t="str">
        <f>IF(A212="","",IF(Calculation!$O$9="None","Water",CONCATENATE(Calculation!$O$9,"-",Calculation!$S$9,"%")))</f>
        <v/>
      </c>
      <c r="AD212" s="396" t="str">
        <f>IF(A212="","",Calculation!$S$6)</f>
        <v/>
      </c>
      <c r="AE212" s="399" t="str">
        <f>IF(A212="","",Calculation!BA218)</f>
        <v/>
      </c>
      <c r="AF212" s="396" t="str">
        <f>IF(A212="","",Calculation!AX218)</f>
        <v/>
      </c>
      <c r="AG212" s="396" t="str">
        <f>IF(A212="","",Calculation!AW218)</f>
        <v/>
      </c>
      <c r="AH212" s="391" t="str">
        <f>IF(A212="","",Calculation!AY218)</f>
        <v/>
      </c>
      <c r="AI212" s="391" t="str">
        <f>IF(A212="","",Calculation!Y218)</f>
        <v/>
      </c>
      <c r="AJ212" s="401" t="str">
        <f>IF(Calculation!BD218&gt;0,Calculation!BD218," ")</f>
        <v xml:space="preserve"> </v>
      </c>
      <c r="AK212" s="401" t="str">
        <f>IF(Calculation!BD218&gt;0,Calculation!BE218," ")</f>
        <v xml:space="preserve"> </v>
      </c>
      <c r="AL212" s="401" t="str">
        <f>IF(Calculation!BD218&gt;0,Calculation!BF218," ")</f>
        <v xml:space="preserve"> </v>
      </c>
      <c r="AM212" s="401" t="str">
        <f>IF(Calculation!BD218&gt;0,Calculation!BG218," ")</f>
        <v xml:space="preserve"> </v>
      </c>
      <c r="AN212" s="391" t="str">
        <f>IF(Calculation!BH218="N/A","N/A",Calculation!BH218)</f>
        <v xml:space="preserve"> </v>
      </c>
      <c r="AO212" s="402" t="str">
        <f>IF(Calculation!BI218="N/A","N/A",Calculation!BI218)</f>
        <v/>
      </c>
      <c r="AP212" s="391" t="str">
        <f>IF(Calculation!BJ218="N/A","N/A",Calculation!BJ218)</f>
        <v/>
      </c>
      <c r="AQ212" s="402" t="str">
        <f>IF(Calculation!BK218="N/A","N/A",Calculation!BK218)</f>
        <v/>
      </c>
      <c r="AR212" s="391" t="str">
        <f>IF(Calculation!BL218="N/A","N/A",Calculation!BL218)</f>
        <v/>
      </c>
      <c r="AS212" s="402" t="str">
        <f>IF(Calculation!BM218="N/A","N/A",Calculation!BM218)</f>
        <v/>
      </c>
      <c r="AT212" s="400"/>
    </row>
    <row r="213" spans="1:46">
      <c r="A213" s="224" t="str">
        <f>IF(Calculation!BN219="","",CONCATENATE(Calculation!BO219,"-",Calculation!R219,"-",Calculation!S219,"-",Calculation!T219,"-",Calculation!U219))</f>
        <v/>
      </c>
      <c r="B213" s="224">
        <v>198</v>
      </c>
      <c r="C213" s="629" t="str">
        <f>IF(A213="","",Calculation!B219)</f>
        <v/>
      </c>
      <c r="D213" s="386" t="str">
        <f>IF(A213="","",Calculation!L219)</f>
        <v/>
      </c>
      <c r="E213" s="387" t="str">
        <f>IF(A213="","",Calculation!J219)</f>
        <v/>
      </c>
      <c r="F213" s="387" t="str">
        <f>IF(A213="","",Calculation!C219)</f>
        <v/>
      </c>
      <c r="G213" s="387" t="str">
        <f>IF(A213="","",LEFT(Calculation!O219,6))</f>
        <v/>
      </c>
      <c r="H213" s="388" t="str">
        <f>IF(A213="","",Calculation!DX219)</f>
        <v/>
      </c>
      <c r="I213" s="387" t="str">
        <f>IF(A213="","",Calculation!P219)</f>
        <v/>
      </c>
      <c r="J213" s="387" t="str">
        <f>IF(A213="","",HLOOKUP(LEFT(Calculation!BO219,7),LookUps!$C$38:$M$41,4))</f>
        <v/>
      </c>
      <c r="K213" s="387" t="str">
        <f>IF(A213="","",Calculation!M219)</f>
        <v/>
      </c>
      <c r="L213" s="387" t="str">
        <f>IF(A213="","",Calculation!S219)</f>
        <v/>
      </c>
      <c r="M213" s="389" t="str">
        <f>IF(A213="","",Calculation!N219)</f>
        <v/>
      </c>
      <c r="N213" s="390" t="str">
        <f>IF(A213="","",Calculation!R219)</f>
        <v/>
      </c>
      <c r="O213" s="391" t="str">
        <f>IF(A213="","",Calculation!$F$6)</f>
        <v/>
      </c>
      <c r="P213" s="392" t="str">
        <f>IF(A213="","",Calculation!$F$7)</f>
        <v/>
      </c>
      <c r="Q213" s="393" t="str">
        <f>IF(A213="","",Calculation!$F$13)</f>
        <v/>
      </c>
      <c r="R213" s="394" t="str">
        <f>IF(A213="","",Calculation!X219)</f>
        <v/>
      </c>
      <c r="S213" s="393" t="str">
        <f>IF(A213="","",Calculation!T219)</f>
        <v/>
      </c>
      <c r="T213" s="395" t="str">
        <f>IF(A213="","",IF(Calculation!$O$8="None","Water",CONCATENATE(Calculation!$O$8,"-",Calculation!$S$8,"%")))</f>
        <v/>
      </c>
      <c r="U213" s="393" t="str">
        <f>IF(A213="","",Calculation!$P$6)</f>
        <v/>
      </c>
      <c r="V213" s="393" t="str">
        <f>IF(A213="","",Calculation!AT219)</f>
        <v/>
      </c>
      <c r="W213" s="396" t="str">
        <f>IF(A213="","",Calculation!AP219)</f>
        <v/>
      </c>
      <c r="X213" s="396" t="str">
        <f>IF(A213="","",Calculation!AO219)</f>
        <v/>
      </c>
      <c r="Y213" s="396" t="str">
        <f>IF(A213="","",Calculation!AQ219)</f>
        <v/>
      </c>
      <c r="Z213" s="396" t="str">
        <f>IF(A213="","",Calculation!$H$6)</f>
        <v/>
      </c>
      <c r="AA213" s="397" t="str">
        <f>IF(A213="","",Calculation!$H$13)</f>
        <v/>
      </c>
      <c r="AB213" s="397" t="str">
        <f>IF(A213="","",Calculation!U219)</f>
        <v/>
      </c>
      <c r="AC213" s="398" t="str">
        <f>IF(A213="","",IF(Calculation!$O$9="None","Water",CONCATENATE(Calculation!$O$9,"-",Calculation!$S$9,"%")))</f>
        <v/>
      </c>
      <c r="AD213" s="396" t="str">
        <f>IF(A213="","",Calculation!$S$6)</f>
        <v/>
      </c>
      <c r="AE213" s="399" t="str">
        <f>IF(A213="","",Calculation!BA219)</f>
        <v/>
      </c>
      <c r="AF213" s="396" t="str">
        <f>IF(A213="","",Calculation!AX219)</f>
        <v/>
      </c>
      <c r="AG213" s="396" t="str">
        <f>IF(A213="","",Calculation!AW219)</f>
        <v/>
      </c>
      <c r="AH213" s="391" t="str">
        <f>IF(A213="","",Calculation!AY219)</f>
        <v/>
      </c>
      <c r="AI213" s="391" t="str">
        <f>IF(A213="","",Calculation!Y219)</f>
        <v/>
      </c>
      <c r="AJ213" s="401" t="str">
        <f>IF(Calculation!BD219&gt;0,Calculation!BD219," ")</f>
        <v xml:space="preserve"> </v>
      </c>
      <c r="AK213" s="401" t="str">
        <f>IF(Calculation!BD219&gt;0,Calculation!BE219," ")</f>
        <v xml:space="preserve"> </v>
      </c>
      <c r="AL213" s="401" t="str">
        <f>IF(Calculation!BD219&gt;0,Calculation!BF219," ")</f>
        <v xml:space="preserve"> </v>
      </c>
      <c r="AM213" s="401" t="str">
        <f>IF(Calculation!BD219&gt;0,Calculation!BG219," ")</f>
        <v xml:space="preserve"> </v>
      </c>
      <c r="AN213" s="391" t="str">
        <f>IF(Calculation!BH219="N/A","N/A",Calculation!BH219)</f>
        <v xml:space="preserve"> </v>
      </c>
      <c r="AO213" s="402" t="str">
        <f>IF(Calculation!BI219="N/A","N/A",Calculation!BI219)</f>
        <v/>
      </c>
      <c r="AP213" s="391" t="str">
        <f>IF(Calculation!BJ219="N/A","N/A",Calculation!BJ219)</f>
        <v/>
      </c>
      <c r="AQ213" s="402" t="str">
        <f>IF(Calculation!BK219="N/A","N/A",Calculation!BK219)</f>
        <v/>
      </c>
      <c r="AR213" s="391" t="str">
        <f>IF(Calculation!BL219="N/A","N/A",Calculation!BL219)</f>
        <v/>
      </c>
      <c r="AS213" s="402" t="str">
        <f>IF(Calculation!BM219="N/A","N/A",Calculation!BM219)</f>
        <v/>
      </c>
      <c r="AT213" s="400"/>
    </row>
    <row r="214" spans="1:46">
      <c r="A214" s="224" t="str">
        <f>IF(Calculation!BN220="","",CONCATENATE(Calculation!BO220,"-",Calculation!R220,"-",Calculation!S220,"-",Calculation!T220,"-",Calculation!U220))</f>
        <v/>
      </c>
      <c r="B214" s="224">
        <v>199</v>
      </c>
      <c r="C214" s="629" t="str">
        <f>IF(A214="","",Calculation!B220)</f>
        <v/>
      </c>
      <c r="D214" s="386" t="str">
        <f>IF(A214="","",Calculation!L220)</f>
        <v/>
      </c>
      <c r="E214" s="387" t="str">
        <f>IF(A214="","",Calculation!J220)</f>
        <v/>
      </c>
      <c r="F214" s="387" t="str">
        <f>IF(A214="","",Calculation!C220)</f>
        <v/>
      </c>
      <c r="G214" s="387" t="str">
        <f>IF(A214="","",LEFT(Calculation!O220,6))</f>
        <v/>
      </c>
      <c r="H214" s="388" t="str">
        <f>IF(A214="","",Calculation!DX220)</f>
        <v/>
      </c>
      <c r="I214" s="387" t="str">
        <f>IF(A214="","",Calculation!P220)</f>
        <v/>
      </c>
      <c r="J214" s="387" t="str">
        <f>IF(A214="","",HLOOKUP(LEFT(Calculation!BO220,7),LookUps!$C$38:$M$41,4))</f>
        <v/>
      </c>
      <c r="K214" s="387" t="str">
        <f>IF(A214="","",Calculation!M220)</f>
        <v/>
      </c>
      <c r="L214" s="387" t="str">
        <f>IF(A214="","",Calculation!S220)</f>
        <v/>
      </c>
      <c r="M214" s="389" t="str">
        <f>IF(A214="","",Calculation!N220)</f>
        <v/>
      </c>
      <c r="N214" s="390" t="str">
        <f>IF(A214="","",Calculation!R220)</f>
        <v/>
      </c>
      <c r="O214" s="391" t="str">
        <f>IF(A214="","",Calculation!$F$6)</f>
        <v/>
      </c>
      <c r="P214" s="392" t="str">
        <f>IF(A214="","",Calculation!$F$7)</f>
        <v/>
      </c>
      <c r="Q214" s="393" t="str">
        <f>IF(A214="","",Calculation!$F$13)</f>
        <v/>
      </c>
      <c r="R214" s="394" t="str">
        <f>IF(A214="","",Calculation!X220)</f>
        <v/>
      </c>
      <c r="S214" s="393" t="str">
        <f>IF(A214="","",Calculation!T220)</f>
        <v/>
      </c>
      <c r="T214" s="395" t="str">
        <f>IF(A214="","",IF(Calculation!$O$8="None","Water",CONCATENATE(Calculation!$O$8,"-",Calculation!$S$8,"%")))</f>
        <v/>
      </c>
      <c r="U214" s="393" t="str">
        <f>IF(A214="","",Calculation!$P$6)</f>
        <v/>
      </c>
      <c r="V214" s="393" t="str">
        <f>IF(A214="","",Calculation!AT220)</f>
        <v/>
      </c>
      <c r="W214" s="396" t="str">
        <f>IF(A214="","",Calculation!AP220)</f>
        <v/>
      </c>
      <c r="X214" s="396" t="str">
        <f>IF(A214="","",Calculation!AO220)</f>
        <v/>
      </c>
      <c r="Y214" s="396" t="str">
        <f>IF(A214="","",Calculation!AQ220)</f>
        <v/>
      </c>
      <c r="Z214" s="396" t="str">
        <f>IF(A214="","",Calculation!$H$6)</f>
        <v/>
      </c>
      <c r="AA214" s="397" t="str">
        <f>IF(A214="","",Calculation!$H$13)</f>
        <v/>
      </c>
      <c r="AB214" s="397" t="str">
        <f>IF(A214="","",Calculation!U220)</f>
        <v/>
      </c>
      <c r="AC214" s="398" t="str">
        <f>IF(A214="","",IF(Calculation!$O$9="None","Water",CONCATENATE(Calculation!$O$9,"-",Calculation!$S$9,"%")))</f>
        <v/>
      </c>
      <c r="AD214" s="396" t="str">
        <f>IF(A214="","",Calculation!$S$6)</f>
        <v/>
      </c>
      <c r="AE214" s="399" t="str">
        <f>IF(A214="","",Calculation!BA220)</f>
        <v/>
      </c>
      <c r="AF214" s="396" t="str">
        <f>IF(A214="","",Calculation!AX220)</f>
        <v/>
      </c>
      <c r="AG214" s="396" t="str">
        <f>IF(A214="","",Calculation!AW220)</f>
        <v/>
      </c>
      <c r="AH214" s="391" t="str">
        <f>IF(A214="","",Calculation!AY220)</f>
        <v/>
      </c>
      <c r="AI214" s="391" t="str">
        <f>IF(A214="","",Calculation!Y220)</f>
        <v/>
      </c>
      <c r="AJ214" s="401" t="str">
        <f>IF(Calculation!BD220&gt;0,Calculation!BD220," ")</f>
        <v xml:space="preserve"> </v>
      </c>
      <c r="AK214" s="401" t="str">
        <f>IF(Calculation!BD220&gt;0,Calculation!BE220," ")</f>
        <v xml:space="preserve"> </v>
      </c>
      <c r="AL214" s="401" t="str">
        <f>IF(Calculation!BD220&gt;0,Calculation!BF220," ")</f>
        <v xml:space="preserve"> </v>
      </c>
      <c r="AM214" s="401" t="str">
        <f>IF(Calculation!BD220&gt;0,Calculation!BG220," ")</f>
        <v xml:space="preserve"> </v>
      </c>
      <c r="AN214" s="391" t="str">
        <f>IF(Calculation!BH220="N/A","N/A",Calculation!BH220)</f>
        <v xml:space="preserve"> </v>
      </c>
      <c r="AO214" s="402" t="str">
        <f>IF(Calculation!BI220="N/A","N/A",Calculation!BI220)</f>
        <v/>
      </c>
      <c r="AP214" s="391" t="str">
        <f>IF(Calculation!BJ220="N/A","N/A",Calculation!BJ220)</f>
        <v/>
      </c>
      <c r="AQ214" s="402" t="str">
        <f>IF(Calculation!BK220="N/A","N/A",Calculation!BK220)</f>
        <v/>
      </c>
      <c r="AR214" s="391" t="str">
        <f>IF(Calculation!BL220="N/A","N/A",Calculation!BL220)</f>
        <v/>
      </c>
      <c r="AS214" s="402" t="str">
        <f>IF(Calculation!BM220="N/A","N/A",Calculation!BM220)</f>
        <v/>
      </c>
      <c r="AT214" s="400"/>
    </row>
    <row r="215" spans="1:46">
      <c r="A215" s="224" t="str">
        <f>IF(Calculation!BN221="","",CONCATENATE(Calculation!BO221,"-",Calculation!R221,"-",Calculation!S221,"-",Calculation!T221,"-",Calculation!U221))</f>
        <v/>
      </c>
      <c r="B215" s="224">
        <v>200</v>
      </c>
      <c r="C215" s="629" t="str">
        <f>IF(A215="","",Calculation!B221)</f>
        <v/>
      </c>
      <c r="D215" s="386" t="str">
        <f>IF(A215="","",Calculation!L221)</f>
        <v/>
      </c>
      <c r="E215" s="387" t="str">
        <f>IF(A215="","",Calculation!J221)</f>
        <v/>
      </c>
      <c r="F215" s="387" t="str">
        <f>IF(A215="","",Calculation!C221)</f>
        <v/>
      </c>
      <c r="G215" s="387" t="str">
        <f>IF(A215="","",LEFT(Calculation!O221,6))</f>
        <v/>
      </c>
      <c r="H215" s="388" t="str">
        <f>IF(A215="","",Calculation!DX221)</f>
        <v/>
      </c>
      <c r="I215" s="387" t="str">
        <f>IF(A215="","",Calculation!P221)</f>
        <v/>
      </c>
      <c r="J215" s="387" t="str">
        <f>IF(A215="","",HLOOKUP(LEFT(Calculation!BO221,7),LookUps!$C$38:$M$41,4))</f>
        <v/>
      </c>
      <c r="K215" s="387" t="str">
        <f>IF(A215="","",Calculation!M221)</f>
        <v/>
      </c>
      <c r="L215" s="387" t="str">
        <f>IF(A215="","",Calculation!S221)</f>
        <v/>
      </c>
      <c r="M215" s="389" t="str">
        <f>IF(A215="","",Calculation!N221)</f>
        <v/>
      </c>
      <c r="N215" s="390" t="str">
        <f>IF(A215="","",Calculation!R221)</f>
        <v/>
      </c>
      <c r="O215" s="391" t="str">
        <f>IF(A215="","",Calculation!$F$6)</f>
        <v/>
      </c>
      <c r="P215" s="392" t="str">
        <f>IF(A215="","",Calculation!$F$7)</f>
        <v/>
      </c>
      <c r="Q215" s="393" t="str">
        <f>IF(A215="","",Calculation!$F$13)</f>
        <v/>
      </c>
      <c r="R215" s="394" t="str">
        <f>IF(A215="","",Calculation!X221)</f>
        <v/>
      </c>
      <c r="S215" s="393" t="str">
        <f>IF(A215="","",Calculation!T221)</f>
        <v/>
      </c>
      <c r="T215" s="395" t="str">
        <f>IF(A215="","",IF(Calculation!$O$8="None","Water",CONCATENATE(Calculation!$O$8,"-",Calculation!$S$8,"%")))</f>
        <v/>
      </c>
      <c r="U215" s="393" t="str">
        <f>IF(A215="","",Calculation!$P$6)</f>
        <v/>
      </c>
      <c r="V215" s="393" t="str">
        <f>IF(A215="","",Calculation!AT221)</f>
        <v/>
      </c>
      <c r="W215" s="396" t="str">
        <f>IF(A215="","",Calculation!AP221)</f>
        <v/>
      </c>
      <c r="X215" s="396" t="str">
        <f>IF(A215="","",Calculation!AO221)</f>
        <v/>
      </c>
      <c r="Y215" s="396" t="str">
        <f>IF(A215="","",Calculation!AQ221)</f>
        <v/>
      </c>
      <c r="Z215" s="396" t="str">
        <f>IF(A215="","",Calculation!$H$6)</f>
        <v/>
      </c>
      <c r="AA215" s="397" t="str">
        <f>IF(A215="","",Calculation!$H$13)</f>
        <v/>
      </c>
      <c r="AB215" s="397" t="str">
        <f>IF(A215="","",Calculation!U221)</f>
        <v/>
      </c>
      <c r="AC215" s="398" t="str">
        <f>IF(A215="","",IF(Calculation!$O$9="None","Water",CONCATENATE(Calculation!$O$9,"-",Calculation!$S$9,"%")))</f>
        <v/>
      </c>
      <c r="AD215" s="396" t="str">
        <f>IF(A215="","",Calculation!$S$6)</f>
        <v/>
      </c>
      <c r="AE215" s="399" t="str">
        <f>IF(A215="","",Calculation!BA221)</f>
        <v/>
      </c>
      <c r="AF215" s="396" t="str">
        <f>IF(A215="","",Calculation!AX221)</f>
        <v/>
      </c>
      <c r="AG215" s="396" t="str">
        <f>IF(A215="","",Calculation!AW221)</f>
        <v/>
      </c>
      <c r="AH215" s="391" t="str">
        <f>IF(A215="","",Calculation!AY221)</f>
        <v/>
      </c>
      <c r="AI215" s="391" t="str">
        <f>IF(A215="","",Calculation!Y221)</f>
        <v/>
      </c>
      <c r="AJ215" s="401" t="str">
        <f>IF(Calculation!BD221&gt;0,Calculation!BD221," ")</f>
        <v xml:space="preserve"> </v>
      </c>
      <c r="AK215" s="401" t="str">
        <f>IF(Calculation!BD221&gt;0,Calculation!BE221," ")</f>
        <v xml:space="preserve"> </v>
      </c>
      <c r="AL215" s="401" t="str">
        <f>IF(Calculation!BD221&gt;0,Calculation!BF221," ")</f>
        <v xml:space="preserve"> </v>
      </c>
      <c r="AM215" s="401" t="str">
        <f>IF(Calculation!BD221&gt;0,Calculation!BG221," ")</f>
        <v xml:space="preserve"> </v>
      </c>
      <c r="AN215" s="391" t="str">
        <f>IF(Calculation!BH221="N/A","N/A",Calculation!BH221)</f>
        <v xml:space="preserve"> </v>
      </c>
      <c r="AO215" s="402" t="str">
        <f>IF(Calculation!BI221="N/A","N/A",Calculation!BI221)</f>
        <v/>
      </c>
      <c r="AP215" s="391" t="str">
        <f>IF(Calculation!BJ221="N/A","N/A",Calculation!BJ221)</f>
        <v/>
      </c>
      <c r="AQ215" s="402" t="str">
        <f>IF(Calculation!BK221="N/A","N/A",Calculation!BK221)</f>
        <v/>
      </c>
      <c r="AR215" s="391" t="str">
        <f>IF(Calculation!BL221="N/A","N/A",Calculation!BL221)</f>
        <v/>
      </c>
      <c r="AS215" s="402" t="str">
        <f>IF(Calculation!BM221="N/A","N/A",Calculation!BM221)</f>
        <v/>
      </c>
      <c r="AT215" s="400"/>
    </row>
    <row r="216" spans="1:46">
      <c r="A216" s="224" t="str">
        <f>IF(Calculation!BN222="","",CONCATENATE(Calculation!BO222,"-",Calculation!R222,"-",Calculation!S222,"-",Calculation!T222,"-",Calculation!U222))</f>
        <v/>
      </c>
      <c r="B216" s="224">
        <v>201</v>
      </c>
      <c r="C216" s="629" t="str">
        <f>IF(A216="","",Calculation!B222)</f>
        <v/>
      </c>
      <c r="D216" s="386" t="str">
        <f>IF(A216="","",Calculation!L222)</f>
        <v/>
      </c>
      <c r="E216" s="387" t="str">
        <f>IF(A216="","",Calculation!J222)</f>
        <v/>
      </c>
      <c r="F216" s="387" t="str">
        <f>IF(A216="","",Calculation!C222)</f>
        <v/>
      </c>
      <c r="G216" s="387" t="str">
        <f>IF(A216="","",LEFT(Calculation!O222,6))</f>
        <v/>
      </c>
      <c r="H216" s="388" t="str">
        <f>IF(A216="","",Calculation!DX222)</f>
        <v/>
      </c>
      <c r="I216" s="387" t="str">
        <f>IF(A216="","",Calculation!P222)</f>
        <v/>
      </c>
      <c r="J216" s="387" t="str">
        <f>IF(A216="","",HLOOKUP(LEFT(Calculation!BO222,7),LookUps!$C$38:$M$41,4))</f>
        <v/>
      </c>
      <c r="K216" s="387" t="str">
        <f>IF(A216="","",Calculation!M222)</f>
        <v/>
      </c>
      <c r="L216" s="387" t="str">
        <f>IF(A216="","",Calculation!S222)</f>
        <v/>
      </c>
      <c r="M216" s="389" t="str">
        <f>IF(A216="","",Calculation!N222)</f>
        <v/>
      </c>
      <c r="N216" s="390" t="str">
        <f>IF(A216="","",Calculation!R222)</f>
        <v/>
      </c>
      <c r="O216" s="391" t="str">
        <f>IF(A216="","",Calculation!$F$6)</f>
        <v/>
      </c>
      <c r="P216" s="392" t="str">
        <f>IF(A216="","",Calculation!$F$7)</f>
        <v/>
      </c>
      <c r="Q216" s="393" t="str">
        <f>IF(A216="","",Calculation!$F$13)</f>
        <v/>
      </c>
      <c r="R216" s="394" t="str">
        <f>IF(A216="","",Calculation!X222)</f>
        <v/>
      </c>
      <c r="S216" s="393" t="str">
        <f>IF(A216="","",Calculation!T222)</f>
        <v/>
      </c>
      <c r="T216" s="395" t="str">
        <f>IF(A216="","",IF(Calculation!$O$8="None","Water",CONCATENATE(Calculation!$O$8,"-",Calculation!$S$8,"%")))</f>
        <v/>
      </c>
      <c r="U216" s="393" t="str">
        <f>IF(A216="","",Calculation!$P$6)</f>
        <v/>
      </c>
      <c r="V216" s="393" t="str">
        <f>IF(A216="","",Calculation!AT222)</f>
        <v/>
      </c>
      <c r="W216" s="396" t="str">
        <f>IF(A216="","",Calculation!AP222)</f>
        <v/>
      </c>
      <c r="X216" s="396" t="str">
        <f>IF(A216="","",Calculation!AO222)</f>
        <v/>
      </c>
      <c r="Y216" s="396" t="str">
        <f>IF(A216="","",Calculation!AQ222)</f>
        <v/>
      </c>
      <c r="Z216" s="396" t="str">
        <f>IF(A216="","",Calculation!$H$6)</f>
        <v/>
      </c>
      <c r="AA216" s="397" t="str">
        <f>IF(A216="","",Calculation!$H$13)</f>
        <v/>
      </c>
      <c r="AB216" s="397" t="str">
        <f>IF(A216="","",Calculation!U222)</f>
        <v/>
      </c>
      <c r="AC216" s="398" t="str">
        <f>IF(A216="","",IF(Calculation!$O$9="None","Water",CONCATENATE(Calculation!$O$9,"-",Calculation!$S$9,"%")))</f>
        <v/>
      </c>
      <c r="AD216" s="396" t="str">
        <f>IF(A216="","",Calculation!$S$6)</f>
        <v/>
      </c>
      <c r="AE216" s="399" t="str">
        <f>IF(A216="","",Calculation!BA222)</f>
        <v/>
      </c>
      <c r="AF216" s="396" t="str">
        <f>IF(A216="","",Calculation!AX222)</f>
        <v/>
      </c>
      <c r="AG216" s="396" t="str">
        <f>IF(A216="","",Calculation!AW222)</f>
        <v/>
      </c>
      <c r="AH216" s="391" t="str">
        <f>IF(A216="","",Calculation!AY222)</f>
        <v/>
      </c>
      <c r="AI216" s="391" t="str">
        <f>IF(A216="","",Calculation!Y222)</f>
        <v/>
      </c>
      <c r="AJ216" s="401" t="str">
        <f>IF(Calculation!BD222&gt;0,Calculation!BD222," ")</f>
        <v xml:space="preserve"> </v>
      </c>
      <c r="AK216" s="401" t="str">
        <f>IF(Calculation!BD222&gt;0,Calculation!BE222," ")</f>
        <v xml:space="preserve"> </v>
      </c>
      <c r="AL216" s="401" t="str">
        <f>IF(Calculation!BD222&gt;0,Calculation!BF222," ")</f>
        <v xml:space="preserve"> </v>
      </c>
      <c r="AM216" s="401" t="str">
        <f>IF(Calculation!BD222&gt;0,Calculation!BG222," ")</f>
        <v xml:space="preserve"> </v>
      </c>
      <c r="AN216" s="391" t="str">
        <f>IF(Calculation!BH222="N/A","N/A",Calculation!BH222)</f>
        <v xml:space="preserve"> </v>
      </c>
      <c r="AO216" s="402" t="str">
        <f>IF(Calculation!BI222="N/A","N/A",Calculation!BI222)</f>
        <v/>
      </c>
      <c r="AP216" s="391" t="str">
        <f>IF(Calculation!BJ222="N/A","N/A",Calculation!BJ222)</f>
        <v/>
      </c>
      <c r="AQ216" s="402" t="str">
        <f>IF(Calculation!BK222="N/A","N/A",Calculation!BK222)</f>
        <v/>
      </c>
      <c r="AR216" s="391" t="str">
        <f>IF(Calculation!BL222="N/A","N/A",Calculation!BL222)</f>
        <v/>
      </c>
      <c r="AS216" s="402" t="str">
        <f>IF(Calculation!BM222="N/A","N/A",Calculation!BM222)</f>
        <v/>
      </c>
      <c r="AT216" s="400"/>
    </row>
    <row r="217" spans="1:46">
      <c r="A217" s="224" t="str">
        <f>IF(Calculation!BN223="","",CONCATENATE(Calculation!BO223,"-",Calculation!R223,"-",Calculation!S223,"-",Calculation!T223,"-",Calculation!U223))</f>
        <v/>
      </c>
      <c r="B217" s="224">
        <v>202</v>
      </c>
      <c r="C217" s="629" t="str">
        <f>IF(A217="","",Calculation!B223)</f>
        <v/>
      </c>
      <c r="D217" s="386" t="str">
        <f>IF(A217="","",Calculation!L223)</f>
        <v/>
      </c>
      <c r="E217" s="387" t="str">
        <f>IF(A217="","",Calculation!J223)</f>
        <v/>
      </c>
      <c r="F217" s="387" t="str">
        <f>IF(A217="","",Calculation!C223)</f>
        <v/>
      </c>
      <c r="G217" s="387" t="str">
        <f>IF(A217="","",LEFT(Calculation!O223,6))</f>
        <v/>
      </c>
      <c r="H217" s="388" t="str">
        <f>IF(A217="","",Calculation!DX223)</f>
        <v/>
      </c>
      <c r="I217" s="387" t="str">
        <f>IF(A217="","",Calculation!P223)</f>
        <v/>
      </c>
      <c r="J217" s="387" t="str">
        <f>IF(A217="","",HLOOKUP(LEFT(Calculation!BO223,7),LookUps!$C$38:$M$41,4))</f>
        <v/>
      </c>
      <c r="K217" s="387" t="str">
        <f>IF(A217="","",Calculation!M223)</f>
        <v/>
      </c>
      <c r="L217" s="387" t="str">
        <f>IF(A217="","",Calculation!S223)</f>
        <v/>
      </c>
      <c r="M217" s="389" t="str">
        <f>IF(A217="","",Calculation!N223)</f>
        <v/>
      </c>
      <c r="N217" s="390" t="str">
        <f>IF(A217="","",Calculation!R223)</f>
        <v/>
      </c>
      <c r="O217" s="391" t="str">
        <f>IF(A217="","",Calculation!$F$6)</f>
        <v/>
      </c>
      <c r="P217" s="392" t="str">
        <f>IF(A217="","",Calculation!$F$7)</f>
        <v/>
      </c>
      <c r="Q217" s="393" t="str">
        <f>IF(A217="","",Calculation!$F$13)</f>
        <v/>
      </c>
      <c r="R217" s="394" t="str">
        <f>IF(A217="","",Calculation!X223)</f>
        <v/>
      </c>
      <c r="S217" s="393" t="str">
        <f>IF(A217="","",Calculation!T223)</f>
        <v/>
      </c>
      <c r="T217" s="395" t="str">
        <f>IF(A217="","",IF(Calculation!$O$8="None","Water",CONCATENATE(Calculation!$O$8,"-",Calculation!$S$8,"%")))</f>
        <v/>
      </c>
      <c r="U217" s="393" t="str">
        <f>IF(A217="","",Calculation!$P$6)</f>
        <v/>
      </c>
      <c r="V217" s="393" t="str">
        <f>IF(A217="","",Calculation!AT223)</f>
        <v/>
      </c>
      <c r="W217" s="396" t="str">
        <f>IF(A217="","",Calculation!AP223)</f>
        <v/>
      </c>
      <c r="X217" s="396" t="str">
        <f>IF(A217="","",Calculation!AO223)</f>
        <v/>
      </c>
      <c r="Y217" s="396" t="str">
        <f>IF(A217="","",Calculation!AQ223)</f>
        <v/>
      </c>
      <c r="Z217" s="396" t="str">
        <f>IF(A217="","",Calculation!$H$6)</f>
        <v/>
      </c>
      <c r="AA217" s="397" t="str">
        <f>IF(A217="","",Calculation!$H$13)</f>
        <v/>
      </c>
      <c r="AB217" s="397" t="str">
        <f>IF(A217="","",Calculation!U223)</f>
        <v/>
      </c>
      <c r="AC217" s="398" t="str">
        <f>IF(A217="","",IF(Calculation!$O$9="None","Water",CONCATENATE(Calculation!$O$9,"-",Calculation!$S$9,"%")))</f>
        <v/>
      </c>
      <c r="AD217" s="396" t="str">
        <f>IF(A217="","",Calculation!$S$6)</f>
        <v/>
      </c>
      <c r="AE217" s="399" t="str">
        <f>IF(A217="","",Calculation!BA223)</f>
        <v/>
      </c>
      <c r="AF217" s="396" t="str">
        <f>IF(A217="","",Calculation!AX223)</f>
        <v/>
      </c>
      <c r="AG217" s="396" t="str">
        <f>IF(A217="","",Calculation!AW223)</f>
        <v/>
      </c>
      <c r="AH217" s="391" t="str">
        <f>IF(A217="","",Calculation!AY223)</f>
        <v/>
      </c>
      <c r="AI217" s="391" t="str">
        <f>IF(A217="","",Calculation!Y223)</f>
        <v/>
      </c>
      <c r="AJ217" s="401" t="str">
        <f>IF(Calculation!BD223&gt;0,Calculation!BD223," ")</f>
        <v xml:space="preserve"> </v>
      </c>
      <c r="AK217" s="401" t="str">
        <f>IF(Calculation!BD223&gt;0,Calculation!BE223," ")</f>
        <v xml:space="preserve"> </v>
      </c>
      <c r="AL217" s="401" t="str">
        <f>IF(Calculation!BD223&gt;0,Calculation!BF223," ")</f>
        <v xml:space="preserve"> </v>
      </c>
      <c r="AM217" s="401" t="str">
        <f>IF(Calculation!BD223&gt;0,Calculation!BG223," ")</f>
        <v xml:space="preserve"> </v>
      </c>
      <c r="AN217" s="391" t="str">
        <f>IF(Calculation!BH223="N/A","N/A",Calculation!BH223)</f>
        <v xml:space="preserve"> </v>
      </c>
      <c r="AO217" s="402" t="str">
        <f>IF(Calculation!BI223="N/A","N/A",Calculation!BI223)</f>
        <v/>
      </c>
      <c r="AP217" s="391" t="str">
        <f>IF(Calculation!BJ223="N/A","N/A",Calculation!BJ223)</f>
        <v/>
      </c>
      <c r="AQ217" s="402" t="str">
        <f>IF(Calculation!BK223="N/A","N/A",Calculation!BK223)</f>
        <v/>
      </c>
      <c r="AR217" s="391" t="str">
        <f>IF(Calculation!BL223="N/A","N/A",Calculation!BL223)</f>
        <v/>
      </c>
      <c r="AS217" s="402" t="str">
        <f>IF(Calculation!BM223="N/A","N/A",Calculation!BM223)</f>
        <v/>
      </c>
      <c r="AT217" s="400"/>
    </row>
    <row r="218" spans="1:46">
      <c r="A218" s="224" t="str">
        <f>IF(Calculation!BN224="","",CONCATENATE(Calculation!BO224,"-",Calculation!R224,"-",Calculation!S224,"-",Calculation!T224,"-",Calculation!U224))</f>
        <v/>
      </c>
      <c r="B218" s="224">
        <v>203</v>
      </c>
      <c r="C218" s="629" t="str">
        <f>IF(A218="","",Calculation!B224)</f>
        <v/>
      </c>
      <c r="D218" s="386" t="str">
        <f>IF(A218="","",Calculation!L224)</f>
        <v/>
      </c>
      <c r="E218" s="387" t="str">
        <f>IF(A218="","",Calculation!J224)</f>
        <v/>
      </c>
      <c r="F218" s="387" t="str">
        <f>IF(A218="","",Calculation!C224)</f>
        <v/>
      </c>
      <c r="G218" s="387" t="str">
        <f>IF(A218="","",LEFT(Calculation!O224,6))</f>
        <v/>
      </c>
      <c r="H218" s="388" t="str">
        <f>IF(A218="","",Calculation!DX224)</f>
        <v/>
      </c>
      <c r="I218" s="387" t="str">
        <f>IF(A218="","",Calculation!P224)</f>
        <v/>
      </c>
      <c r="J218" s="387" t="str">
        <f>IF(A218="","",HLOOKUP(LEFT(Calculation!BO224,7),LookUps!$C$38:$M$41,4))</f>
        <v/>
      </c>
      <c r="K218" s="387" t="str">
        <f>IF(A218="","",Calculation!M224)</f>
        <v/>
      </c>
      <c r="L218" s="387" t="str">
        <f>IF(A218="","",Calculation!S224)</f>
        <v/>
      </c>
      <c r="M218" s="389" t="str">
        <f>IF(A218="","",Calculation!N224)</f>
        <v/>
      </c>
      <c r="N218" s="390" t="str">
        <f>IF(A218="","",Calculation!R224)</f>
        <v/>
      </c>
      <c r="O218" s="391" t="str">
        <f>IF(A218="","",Calculation!$F$6)</f>
        <v/>
      </c>
      <c r="P218" s="392" t="str">
        <f>IF(A218="","",Calculation!$F$7)</f>
        <v/>
      </c>
      <c r="Q218" s="393" t="str">
        <f>IF(A218="","",Calculation!$F$13)</f>
        <v/>
      </c>
      <c r="R218" s="394" t="str">
        <f>IF(A218="","",Calculation!X224)</f>
        <v/>
      </c>
      <c r="S218" s="393" t="str">
        <f>IF(A218="","",Calculation!T224)</f>
        <v/>
      </c>
      <c r="T218" s="395" t="str">
        <f>IF(A218="","",IF(Calculation!$O$8="None","Water",CONCATENATE(Calculation!$O$8,"-",Calculation!$S$8,"%")))</f>
        <v/>
      </c>
      <c r="U218" s="393" t="str">
        <f>IF(A218="","",Calculation!$P$6)</f>
        <v/>
      </c>
      <c r="V218" s="393" t="str">
        <f>IF(A218="","",Calculation!AT224)</f>
        <v/>
      </c>
      <c r="W218" s="396" t="str">
        <f>IF(A218="","",Calculation!AP224)</f>
        <v/>
      </c>
      <c r="X218" s="396" t="str">
        <f>IF(A218="","",Calculation!AO224)</f>
        <v/>
      </c>
      <c r="Y218" s="396" t="str">
        <f>IF(A218="","",Calculation!AQ224)</f>
        <v/>
      </c>
      <c r="Z218" s="396" t="str">
        <f>IF(A218="","",Calculation!$H$6)</f>
        <v/>
      </c>
      <c r="AA218" s="397" t="str">
        <f>IF(A218="","",Calculation!$H$13)</f>
        <v/>
      </c>
      <c r="AB218" s="397" t="str">
        <f>IF(A218="","",Calculation!U224)</f>
        <v/>
      </c>
      <c r="AC218" s="398" t="str">
        <f>IF(A218="","",IF(Calculation!$O$9="None","Water",CONCATENATE(Calculation!$O$9,"-",Calculation!$S$9,"%")))</f>
        <v/>
      </c>
      <c r="AD218" s="396" t="str">
        <f>IF(A218="","",Calculation!$S$6)</f>
        <v/>
      </c>
      <c r="AE218" s="399" t="str">
        <f>IF(A218="","",Calculation!BA224)</f>
        <v/>
      </c>
      <c r="AF218" s="396" t="str">
        <f>IF(A218="","",Calculation!AX224)</f>
        <v/>
      </c>
      <c r="AG218" s="396" t="str">
        <f>IF(A218="","",Calculation!AW224)</f>
        <v/>
      </c>
      <c r="AH218" s="391" t="str">
        <f>IF(A218="","",Calculation!AY224)</f>
        <v/>
      </c>
      <c r="AI218" s="391" t="str">
        <f>IF(A218="","",Calculation!Y224)</f>
        <v/>
      </c>
      <c r="AJ218" s="401" t="str">
        <f>IF(Calculation!BD224&gt;0,Calculation!BD224," ")</f>
        <v xml:space="preserve"> </v>
      </c>
      <c r="AK218" s="401" t="str">
        <f>IF(Calculation!BD224&gt;0,Calculation!BE224," ")</f>
        <v xml:space="preserve"> </v>
      </c>
      <c r="AL218" s="401" t="str">
        <f>IF(Calculation!BD224&gt;0,Calculation!BF224," ")</f>
        <v xml:space="preserve"> </v>
      </c>
      <c r="AM218" s="401" t="str">
        <f>IF(Calculation!BD224&gt;0,Calculation!BG224," ")</f>
        <v xml:space="preserve"> </v>
      </c>
      <c r="AN218" s="391" t="str">
        <f>IF(Calculation!BH224="N/A","N/A",Calculation!BH224)</f>
        <v xml:space="preserve"> </v>
      </c>
      <c r="AO218" s="402" t="str">
        <f>IF(Calculation!BI224="N/A","N/A",Calculation!BI224)</f>
        <v/>
      </c>
      <c r="AP218" s="391" t="str">
        <f>IF(Calculation!BJ224="N/A","N/A",Calculation!BJ224)</f>
        <v/>
      </c>
      <c r="AQ218" s="402" t="str">
        <f>IF(Calculation!BK224="N/A","N/A",Calculation!BK224)</f>
        <v/>
      </c>
      <c r="AR218" s="391" t="str">
        <f>IF(Calculation!BL224="N/A","N/A",Calculation!BL224)</f>
        <v/>
      </c>
      <c r="AS218" s="402" t="str">
        <f>IF(Calculation!BM224="N/A","N/A",Calculation!BM224)</f>
        <v/>
      </c>
      <c r="AT218" s="400"/>
    </row>
    <row r="219" spans="1:46">
      <c r="A219" s="224" t="str">
        <f>IF(Calculation!BN225="","",CONCATENATE(Calculation!BO225,"-",Calculation!R225,"-",Calculation!S225,"-",Calculation!T225,"-",Calculation!U225))</f>
        <v/>
      </c>
      <c r="B219" s="224">
        <v>204</v>
      </c>
      <c r="C219" s="629" t="str">
        <f>IF(A219="","",Calculation!B225)</f>
        <v/>
      </c>
      <c r="D219" s="386" t="str">
        <f>IF(A219="","",Calculation!L225)</f>
        <v/>
      </c>
      <c r="E219" s="387" t="str">
        <f>IF(A219="","",Calculation!J225)</f>
        <v/>
      </c>
      <c r="F219" s="387" t="str">
        <f>IF(A219="","",Calculation!C225)</f>
        <v/>
      </c>
      <c r="G219" s="387" t="str">
        <f>IF(A219="","",LEFT(Calculation!O225,6))</f>
        <v/>
      </c>
      <c r="H219" s="388" t="str">
        <f>IF(A219="","",Calculation!DX225)</f>
        <v/>
      </c>
      <c r="I219" s="387" t="str">
        <f>IF(A219="","",Calculation!P225)</f>
        <v/>
      </c>
      <c r="J219" s="387" t="str">
        <f>IF(A219="","",HLOOKUP(LEFT(Calculation!BO225,7),LookUps!$C$38:$M$41,4))</f>
        <v/>
      </c>
      <c r="K219" s="387" t="str">
        <f>IF(A219="","",Calculation!M225)</f>
        <v/>
      </c>
      <c r="L219" s="387" t="str">
        <f>IF(A219="","",Calculation!S225)</f>
        <v/>
      </c>
      <c r="M219" s="389" t="str">
        <f>IF(A219="","",Calculation!N225)</f>
        <v/>
      </c>
      <c r="N219" s="390" t="str">
        <f>IF(A219="","",Calculation!R225)</f>
        <v/>
      </c>
      <c r="O219" s="391" t="str">
        <f>IF(A219="","",Calculation!$F$6)</f>
        <v/>
      </c>
      <c r="P219" s="392" t="str">
        <f>IF(A219="","",Calculation!$F$7)</f>
        <v/>
      </c>
      <c r="Q219" s="393" t="str">
        <f>IF(A219="","",Calculation!$F$13)</f>
        <v/>
      </c>
      <c r="R219" s="394" t="str">
        <f>IF(A219="","",Calculation!X225)</f>
        <v/>
      </c>
      <c r="S219" s="393" t="str">
        <f>IF(A219="","",Calculation!T225)</f>
        <v/>
      </c>
      <c r="T219" s="395" t="str">
        <f>IF(A219="","",IF(Calculation!$O$8="None","Water",CONCATENATE(Calculation!$O$8,"-",Calculation!$S$8,"%")))</f>
        <v/>
      </c>
      <c r="U219" s="393" t="str">
        <f>IF(A219="","",Calculation!$P$6)</f>
        <v/>
      </c>
      <c r="V219" s="393" t="str">
        <f>IF(A219="","",Calculation!AT225)</f>
        <v/>
      </c>
      <c r="W219" s="396" t="str">
        <f>IF(A219="","",Calculation!AP225)</f>
        <v/>
      </c>
      <c r="X219" s="396" t="str">
        <f>IF(A219="","",Calculation!AO225)</f>
        <v/>
      </c>
      <c r="Y219" s="396" t="str">
        <f>IF(A219="","",Calculation!AQ225)</f>
        <v/>
      </c>
      <c r="Z219" s="396" t="str">
        <f>IF(A219="","",Calculation!$H$6)</f>
        <v/>
      </c>
      <c r="AA219" s="397" t="str">
        <f>IF(A219="","",Calculation!$H$13)</f>
        <v/>
      </c>
      <c r="AB219" s="397" t="str">
        <f>IF(A219="","",Calculation!U225)</f>
        <v/>
      </c>
      <c r="AC219" s="398" t="str">
        <f>IF(A219="","",IF(Calculation!$O$9="None","Water",CONCATENATE(Calculation!$O$9,"-",Calculation!$S$9,"%")))</f>
        <v/>
      </c>
      <c r="AD219" s="396" t="str">
        <f>IF(A219="","",Calculation!$S$6)</f>
        <v/>
      </c>
      <c r="AE219" s="399" t="str">
        <f>IF(A219="","",Calculation!BA225)</f>
        <v/>
      </c>
      <c r="AF219" s="396" t="str">
        <f>IF(A219="","",Calculation!AX225)</f>
        <v/>
      </c>
      <c r="AG219" s="396" t="str">
        <f>IF(A219="","",Calculation!AW225)</f>
        <v/>
      </c>
      <c r="AH219" s="391" t="str">
        <f>IF(A219="","",Calculation!AY225)</f>
        <v/>
      </c>
      <c r="AI219" s="391" t="str">
        <f>IF(A219="","",Calculation!Y225)</f>
        <v/>
      </c>
      <c r="AJ219" s="401" t="str">
        <f>IF(Calculation!BD225&gt;0,Calculation!BD225," ")</f>
        <v xml:space="preserve"> </v>
      </c>
      <c r="AK219" s="401" t="str">
        <f>IF(Calculation!BD225&gt;0,Calculation!BE225," ")</f>
        <v xml:space="preserve"> </v>
      </c>
      <c r="AL219" s="401" t="str">
        <f>IF(Calculation!BD225&gt;0,Calculation!BF225," ")</f>
        <v xml:space="preserve"> </v>
      </c>
      <c r="AM219" s="401" t="str">
        <f>IF(Calculation!BD225&gt;0,Calculation!BG225," ")</f>
        <v xml:space="preserve"> </v>
      </c>
      <c r="AN219" s="391" t="str">
        <f>IF(Calculation!BH225="N/A","N/A",Calculation!BH225)</f>
        <v xml:space="preserve"> </v>
      </c>
      <c r="AO219" s="402" t="str">
        <f>IF(Calculation!BI225="N/A","N/A",Calculation!BI225)</f>
        <v/>
      </c>
      <c r="AP219" s="391" t="str">
        <f>IF(Calculation!BJ225="N/A","N/A",Calculation!BJ225)</f>
        <v/>
      </c>
      <c r="AQ219" s="402" t="str">
        <f>IF(Calculation!BK225="N/A","N/A",Calculation!BK225)</f>
        <v/>
      </c>
      <c r="AR219" s="391" t="str">
        <f>IF(Calculation!BL225="N/A","N/A",Calculation!BL225)</f>
        <v/>
      </c>
      <c r="AS219" s="402" t="str">
        <f>IF(Calculation!BM225="N/A","N/A",Calculation!BM225)</f>
        <v/>
      </c>
      <c r="AT219" s="400"/>
    </row>
    <row r="220" spans="1:46">
      <c r="A220" s="224" t="str">
        <f>IF(Calculation!BN226="","",CONCATENATE(Calculation!BO226,"-",Calculation!R226,"-",Calculation!S226,"-",Calculation!T226,"-",Calculation!U226))</f>
        <v/>
      </c>
      <c r="B220" s="224">
        <v>205</v>
      </c>
      <c r="C220" s="629" t="str">
        <f>IF(A220="","",Calculation!B226)</f>
        <v/>
      </c>
      <c r="D220" s="386" t="str">
        <f>IF(A220="","",Calculation!L226)</f>
        <v/>
      </c>
      <c r="E220" s="387" t="str">
        <f>IF(A220="","",Calculation!J226)</f>
        <v/>
      </c>
      <c r="F220" s="387" t="str">
        <f>IF(A220="","",Calculation!C226)</f>
        <v/>
      </c>
      <c r="G220" s="387" t="str">
        <f>IF(A220="","",LEFT(Calculation!O226,6))</f>
        <v/>
      </c>
      <c r="H220" s="388" t="str">
        <f>IF(A220="","",Calculation!DX226)</f>
        <v/>
      </c>
      <c r="I220" s="387" t="str">
        <f>IF(A220="","",Calculation!P226)</f>
        <v/>
      </c>
      <c r="J220" s="387" t="str">
        <f>IF(A220="","",HLOOKUP(LEFT(Calculation!BO226,7),LookUps!$C$38:$M$41,4))</f>
        <v/>
      </c>
      <c r="K220" s="387" t="str">
        <f>IF(A220="","",Calculation!M226)</f>
        <v/>
      </c>
      <c r="L220" s="387" t="str">
        <f>IF(A220="","",Calculation!S226)</f>
        <v/>
      </c>
      <c r="M220" s="389" t="str">
        <f>IF(A220="","",Calculation!N226)</f>
        <v/>
      </c>
      <c r="N220" s="390" t="str">
        <f>IF(A220="","",Calculation!R226)</f>
        <v/>
      </c>
      <c r="O220" s="391" t="str">
        <f>IF(A220="","",Calculation!$F$6)</f>
        <v/>
      </c>
      <c r="P220" s="392" t="str">
        <f>IF(A220="","",Calculation!$F$7)</f>
        <v/>
      </c>
      <c r="Q220" s="393" t="str">
        <f>IF(A220="","",Calculation!$F$13)</f>
        <v/>
      </c>
      <c r="R220" s="394" t="str">
        <f>IF(A220="","",Calculation!X226)</f>
        <v/>
      </c>
      <c r="S220" s="393" t="str">
        <f>IF(A220="","",Calculation!T226)</f>
        <v/>
      </c>
      <c r="T220" s="395" t="str">
        <f>IF(A220="","",IF(Calculation!$O$8="None","Water",CONCATENATE(Calculation!$O$8,"-",Calculation!$S$8,"%")))</f>
        <v/>
      </c>
      <c r="U220" s="393" t="str">
        <f>IF(A220="","",Calculation!$P$6)</f>
        <v/>
      </c>
      <c r="V220" s="393" t="str">
        <f>IF(A220="","",Calculation!AT226)</f>
        <v/>
      </c>
      <c r="W220" s="396" t="str">
        <f>IF(A220="","",Calculation!AP226)</f>
        <v/>
      </c>
      <c r="X220" s="396" t="str">
        <f>IF(A220="","",Calculation!AO226)</f>
        <v/>
      </c>
      <c r="Y220" s="396" t="str">
        <f>IF(A220="","",Calculation!AQ226)</f>
        <v/>
      </c>
      <c r="Z220" s="396" t="str">
        <f>IF(A220="","",Calculation!$H$6)</f>
        <v/>
      </c>
      <c r="AA220" s="397" t="str">
        <f>IF(A220="","",Calculation!$H$13)</f>
        <v/>
      </c>
      <c r="AB220" s="397" t="str">
        <f>IF(A220="","",Calculation!U226)</f>
        <v/>
      </c>
      <c r="AC220" s="398" t="str">
        <f>IF(A220="","",IF(Calculation!$O$9="None","Water",CONCATENATE(Calculation!$O$9,"-",Calculation!$S$9,"%")))</f>
        <v/>
      </c>
      <c r="AD220" s="396" t="str">
        <f>IF(A220="","",Calculation!$S$6)</f>
        <v/>
      </c>
      <c r="AE220" s="399" t="str">
        <f>IF(A220="","",Calculation!BA226)</f>
        <v/>
      </c>
      <c r="AF220" s="396" t="str">
        <f>IF(A220="","",Calculation!AX226)</f>
        <v/>
      </c>
      <c r="AG220" s="396" t="str">
        <f>IF(A220="","",Calculation!AW226)</f>
        <v/>
      </c>
      <c r="AH220" s="391" t="str">
        <f>IF(A220="","",Calculation!AY226)</f>
        <v/>
      </c>
      <c r="AI220" s="391" t="str">
        <f>IF(A220="","",Calculation!Y226)</f>
        <v/>
      </c>
      <c r="AJ220" s="401" t="str">
        <f>IF(Calculation!BD226&gt;0,Calculation!BD226," ")</f>
        <v xml:space="preserve"> </v>
      </c>
      <c r="AK220" s="401" t="str">
        <f>IF(Calculation!BD226&gt;0,Calculation!BE226," ")</f>
        <v xml:space="preserve"> </v>
      </c>
      <c r="AL220" s="401" t="str">
        <f>IF(Calculation!BD226&gt;0,Calculation!BF226," ")</f>
        <v xml:space="preserve"> </v>
      </c>
      <c r="AM220" s="401" t="str">
        <f>IF(Calculation!BD226&gt;0,Calculation!BG226," ")</f>
        <v xml:space="preserve"> </v>
      </c>
      <c r="AN220" s="391" t="str">
        <f>IF(Calculation!BH226="N/A","N/A",Calculation!BH226)</f>
        <v xml:space="preserve"> </v>
      </c>
      <c r="AO220" s="402" t="str">
        <f>IF(Calculation!BI226="N/A","N/A",Calculation!BI226)</f>
        <v/>
      </c>
      <c r="AP220" s="391" t="str">
        <f>IF(Calculation!BJ226="N/A","N/A",Calculation!BJ226)</f>
        <v/>
      </c>
      <c r="AQ220" s="402" t="str">
        <f>IF(Calculation!BK226="N/A","N/A",Calculation!BK226)</f>
        <v/>
      </c>
      <c r="AR220" s="391" t="str">
        <f>IF(Calculation!BL226="N/A","N/A",Calculation!BL226)</f>
        <v/>
      </c>
      <c r="AS220" s="402" t="str">
        <f>IF(Calculation!BM226="N/A","N/A",Calculation!BM226)</f>
        <v/>
      </c>
      <c r="AT220" s="400"/>
    </row>
    <row r="221" spans="1:46">
      <c r="A221" s="224" t="str">
        <f>IF(Calculation!BN227="","",CONCATENATE(Calculation!BO227,"-",Calculation!R227,"-",Calculation!S227,"-",Calculation!T227,"-",Calculation!U227))</f>
        <v/>
      </c>
      <c r="B221" s="224">
        <v>206</v>
      </c>
      <c r="C221" s="629" t="str">
        <f>IF(A221="","",Calculation!B227)</f>
        <v/>
      </c>
      <c r="D221" s="386" t="str">
        <f>IF(A221="","",Calculation!L227)</f>
        <v/>
      </c>
      <c r="E221" s="387" t="str">
        <f>IF(A221="","",Calculation!J227)</f>
        <v/>
      </c>
      <c r="F221" s="387" t="str">
        <f>IF(A221="","",Calculation!C227)</f>
        <v/>
      </c>
      <c r="G221" s="387" t="str">
        <f>IF(A221="","",LEFT(Calculation!O227,6))</f>
        <v/>
      </c>
      <c r="H221" s="388" t="str">
        <f>IF(A221="","",Calculation!DX227)</f>
        <v/>
      </c>
      <c r="I221" s="387" t="str">
        <f>IF(A221="","",Calculation!P227)</f>
        <v/>
      </c>
      <c r="J221" s="387" t="str">
        <f>IF(A221="","",HLOOKUP(LEFT(Calculation!BO227,7),LookUps!$C$38:$M$41,4))</f>
        <v/>
      </c>
      <c r="K221" s="387" t="str">
        <f>IF(A221="","",Calculation!M227)</f>
        <v/>
      </c>
      <c r="L221" s="387" t="str">
        <f>IF(A221="","",Calculation!S227)</f>
        <v/>
      </c>
      <c r="M221" s="389" t="str">
        <f>IF(A221="","",Calculation!N227)</f>
        <v/>
      </c>
      <c r="N221" s="390" t="str">
        <f>IF(A221="","",Calculation!R227)</f>
        <v/>
      </c>
      <c r="O221" s="391" t="str">
        <f>IF(A221="","",Calculation!$F$6)</f>
        <v/>
      </c>
      <c r="P221" s="392" t="str">
        <f>IF(A221="","",Calculation!$F$7)</f>
        <v/>
      </c>
      <c r="Q221" s="393" t="str">
        <f>IF(A221="","",Calculation!$F$13)</f>
        <v/>
      </c>
      <c r="R221" s="394" t="str">
        <f>IF(A221="","",Calculation!X227)</f>
        <v/>
      </c>
      <c r="S221" s="393" t="str">
        <f>IF(A221="","",Calculation!T227)</f>
        <v/>
      </c>
      <c r="T221" s="395" t="str">
        <f>IF(A221="","",IF(Calculation!$O$8="None","Water",CONCATENATE(Calculation!$O$8,"-",Calculation!$S$8,"%")))</f>
        <v/>
      </c>
      <c r="U221" s="393" t="str">
        <f>IF(A221="","",Calculation!$P$6)</f>
        <v/>
      </c>
      <c r="V221" s="393" t="str">
        <f>IF(A221="","",Calculation!AT227)</f>
        <v/>
      </c>
      <c r="W221" s="396" t="str">
        <f>IF(A221="","",Calculation!AP227)</f>
        <v/>
      </c>
      <c r="X221" s="396" t="str">
        <f>IF(A221="","",Calculation!AO227)</f>
        <v/>
      </c>
      <c r="Y221" s="396" t="str">
        <f>IF(A221="","",Calculation!AQ227)</f>
        <v/>
      </c>
      <c r="Z221" s="396" t="str">
        <f>IF(A221="","",Calculation!$H$6)</f>
        <v/>
      </c>
      <c r="AA221" s="397" t="str">
        <f>IF(A221="","",Calculation!$H$13)</f>
        <v/>
      </c>
      <c r="AB221" s="397" t="str">
        <f>IF(A221="","",Calculation!U227)</f>
        <v/>
      </c>
      <c r="AC221" s="398" t="str">
        <f>IF(A221="","",IF(Calculation!$O$9="None","Water",CONCATENATE(Calculation!$O$9,"-",Calculation!$S$9,"%")))</f>
        <v/>
      </c>
      <c r="AD221" s="396" t="str">
        <f>IF(A221="","",Calculation!$S$6)</f>
        <v/>
      </c>
      <c r="AE221" s="399" t="str">
        <f>IF(A221="","",Calculation!BA227)</f>
        <v/>
      </c>
      <c r="AF221" s="396" t="str">
        <f>IF(A221="","",Calculation!AX227)</f>
        <v/>
      </c>
      <c r="AG221" s="396" t="str">
        <f>IF(A221="","",Calculation!AW227)</f>
        <v/>
      </c>
      <c r="AH221" s="391" t="str">
        <f>IF(A221="","",Calculation!AY227)</f>
        <v/>
      </c>
      <c r="AI221" s="391" t="str">
        <f>IF(A221="","",Calculation!Y227)</f>
        <v/>
      </c>
      <c r="AJ221" s="401" t="str">
        <f>IF(Calculation!BD227&gt;0,Calculation!BD227," ")</f>
        <v xml:space="preserve"> </v>
      </c>
      <c r="AK221" s="401" t="str">
        <f>IF(Calculation!BD227&gt;0,Calculation!BE227," ")</f>
        <v xml:space="preserve"> </v>
      </c>
      <c r="AL221" s="401" t="str">
        <f>IF(Calculation!BD227&gt;0,Calculation!BF227," ")</f>
        <v xml:space="preserve"> </v>
      </c>
      <c r="AM221" s="401" t="str">
        <f>IF(Calculation!BD227&gt;0,Calculation!BG227," ")</f>
        <v xml:space="preserve"> </v>
      </c>
      <c r="AN221" s="391" t="str">
        <f>IF(Calculation!BH227="N/A","N/A",Calculation!BH227)</f>
        <v xml:space="preserve"> </v>
      </c>
      <c r="AO221" s="402" t="str">
        <f>IF(Calculation!BI227="N/A","N/A",Calculation!BI227)</f>
        <v/>
      </c>
      <c r="AP221" s="391" t="str">
        <f>IF(Calculation!BJ227="N/A","N/A",Calculation!BJ227)</f>
        <v/>
      </c>
      <c r="AQ221" s="402" t="str">
        <f>IF(Calculation!BK227="N/A","N/A",Calculation!BK227)</f>
        <v/>
      </c>
      <c r="AR221" s="391" t="str">
        <f>IF(Calculation!BL227="N/A","N/A",Calculation!BL227)</f>
        <v/>
      </c>
      <c r="AS221" s="402" t="str">
        <f>IF(Calculation!BM227="N/A","N/A",Calculation!BM227)</f>
        <v/>
      </c>
      <c r="AT221" s="400"/>
    </row>
    <row r="222" spans="1:46">
      <c r="A222" s="224" t="str">
        <f>IF(Calculation!BN228="","",CONCATENATE(Calculation!BO228,"-",Calculation!R228,"-",Calculation!S228,"-",Calculation!T228,"-",Calculation!U228))</f>
        <v/>
      </c>
      <c r="B222" s="224">
        <v>207</v>
      </c>
      <c r="C222" s="629" t="str">
        <f>IF(A222="","",Calculation!B228)</f>
        <v/>
      </c>
      <c r="D222" s="386" t="str">
        <f>IF(A222="","",Calculation!L228)</f>
        <v/>
      </c>
      <c r="E222" s="387" t="str">
        <f>IF(A222="","",Calculation!J228)</f>
        <v/>
      </c>
      <c r="F222" s="387" t="str">
        <f>IF(A222="","",Calculation!C228)</f>
        <v/>
      </c>
      <c r="G222" s="387" t="str">
        <f>IF(A222="","",LEFT(Calculation!O228,6))</f>
        <v/>
      </c>
      <c r="H222" s="388" t="str">
        <f>IF(A222="","",Calculation!DX228)</f>
        <v/>
      </c>
      <c r="I222" s="387" t="str">
        <f>IF(A222="","",Calculation!P228)</f>
        <v/>
      </c>
      <c r="J222" s="387" t="str">
        <f>IF(A222="","",HLOOKUP(LEFT(Calculation!BO228,7),LookUps!$C$38:$M$41,4))</f>
        <v/>
      </c>
      <c r="K222" s="387" t="str">
        <f>IF(A222="","",Calculation!M228)</f>
        <v/>
      </c>
      <c r="L222" s="387" t="str">
        <f>IF(A222="","",Calculation!S228)</f>
        <v/>
      </c>
      <c r="M222" s="389" t="str">
        <f>IF(A222="","",Calculation!N228)</f>
        <v/>
      </c>
      <c r="N222" s="390" t="str">
        <f>IF(A222="","",Calculation!R228)</f>
        <v/>
      </c>
      <c r="O222" s="391" t="str">
        <f>IF(A222="","",Calculation!$F$6)</f>
        <v/>
      </c>
      <c r="P222" s="392" t="str">
        <f>IF(A222="","",Calculation!$F$7)</f>
        <v/>
      </c>
      <c r="Q222" s="393" t="str">
        <f>IF(A222="","",Calculation!$F$13)</f>
        <v/>
      </c>
      <c r="R222" s="394" t="str">
        <f>IF(A222="","",Calculation!X228)</f>
        <v/>
      </c>
      <c r="S222" s="393" t="str">
        <f>IF(A222="","",Calculation!T228)</f>
        <v/>
      </c>
      <c r="T222" s="395" t="str">
        <f>IF(A222="","",IF(Calculation!$O$8="None","Water",CONCATENATE(Calculation!$O$8,"-",Calculation!$S$8,"%")))</f>
        <v/>
      </c>
      <c r="U222" s="393" t="str">
        <f>IF(A222="","",Calculation!$P$6)</f>
        <v/>
      </c>
      <c r="V222" s="393" t="str">
        <f>IF(A222="","",Calculation!AT228)</f>
        <v/>
      </c>
      <c r="W222" s="396" t="str">
        <f>IF(A222="","",Calculation!AP228)</f>
        <v/>
      </c>
      <c r="X222" s="396" t="str">
        <f>IF(A222="","",Calculation!AO228)</f>
        <v/>
      </c>
      <c r="Y222" s="396" t="str">
        <f>IF(A222="","",Calculation!AQ228)</f>
        <v/>
      </c>
      <c r="Z222" s="396" t="str">
        <f>IF(A222="","",Calculation!$H$6)</f>
        <v/>
      </c>
      <c r="AA222" s="397" t="str">
        <f>IF(A222="","",Calculation!$H$13)</f>
        <v/>
      </c>
      <c r="AB222" s="397" t="str">
        <f>IF(A222="","",Calculation!U228)</f>
        <v/>
      </c>
      <c r="AC222" s="398" t="str">
        <f>IF(A222="","",IF(Calculation!$O$9="None","Water",CONCATENATE(Calculation!$O$9,"-",Calculation!$S$9,"%")))</f>
        <v/>
      </c>
      <c r="AD222" s="396" t="str">
        <f>IF(A222="","",Calculation!$S$6)</f>
        <v/>
      </c>
      <c r="AE222" s="399" t="str">
        <f>IF(A222="","",Calculation!BA228)</f>
        <v/>
      </c>
      <c r="AF222" s="396" t="str">
        <f>IF(A222="","",Calculation!AX228)</f>
        <v/>
      </c>
      <c r="AG222" s="396" t="str">
        <f>IF(A222="","",Calculation!AW228)</f>
        <v/>
      </c>
      <c r="AH222" s="391" t="str">
        <f>IF(A222="","",Calculation!AY228)</f>
        <v/>
      </c>
      <c r="AI222" s="391" t="str">
        <f>IF(A222="","",Calculation!Y228)</f>
        <v/>
      </c>
      <c r="AJ222" s="401" t="str">
        <f>IF(Calculation!BD228&gt;0,Calculation!BD228," ")</f>
        <v xml:space="preserve"> </v>
      </c>
      <c r="AK222" s="401" t="str">
        <f>IF(Calculation!BD228&gt;0,Calculation!BE228," ")</f>
        <v xml:space="preserve"> </v>
      </c>
      <c r="AL222" s="401" t="str">
        <f>IF(Calculation!BD228&gt;0,Calculation!BF228," ")</f>
        <v xml:space="preserve"> </v>
      </c>
      <c r="AM222" s="401" t="str">
        <f>IF(Calculation!BD228&gt;0,Calculation!BG228," ")</f>
        <v xml:space="preserve"> </v>
      </c>
      <c r="AN222" s="391" t="str">
        <f>IF(Calculation!BH228="N/A","N/A",Calculation!BH228)</f>
        <v xml:space="preserve"> </v>
      </c>
      <c r="AO222" s="402" t="str">
        <f>IF(Calculation!BI228="N/A","N/A",Calculation!BI228)</f>
        <v/>
      </c>
      <c r="AP222" s="391" t="str">
        <f>IF(Calculation!BJ228="N/A","N/A",Calculation!BJ228)</f>
        <v/>
      </c>
      <c r="AQ222" s="402" t="str">
        <f>IF(Calculation!BK228="N/A","N/A",Calculation!BK228)</f>
        <v/>
      </c>
      <c r="AR222" s="391" t="str">
        <f>IF(Calculation!BL228="N/A","N/A",Calculation!BL228)</f>
        <v/>
      </c>
      <c r="AS222" s="402" t="str">
        <f>IF(Calculation!BM228="N/A","N/A",Calculation!BM228)</f>
        <v/>
      </c>
      <c r="AT222" s="400"/>
    </row>
    <row r="223" spans="1:46">
      <c r="A223" s="224" t="str">
        <f>IF(Calculation!BN229="","",CONCATENATE(Calculation!BO229,"-",Calculation!R229,"-",Calculation!S229,"-",Calculation!T229,"-",Calculation!U229))</f>
        <v/>
      </c>
      <c r="B223" s="224">
        <v>208</v>
      </c>
      <c r="C223" s="629" t="str">
        <f>IF(A223="","",Calculation!B229)</f>
        <v/>
      </c>
      <c r="D223" s="386" t="str">
        <f>IF(A223="","",Calculation!L229)</f>
        <v/>
      </c>
      <c r="E223" s="387" t="str">
        <f>IF(A223="","",Calculation!J229)</f>
        <v/>
      </c>
      <c r="F223" s="387" t="str">
        <f>IF(A223="","",Calculation!C229)</f>
        <v/>
      </c>
      <c r="G223" s="387" t="str">
        <f>IF(A223="","",LEFT(Calculation!O229,6))</f>
        <v/>
      </c>
      <c r="H223" s="388" t="str">
        <f>IF(A223="","",Calculation!DX229)</f>
        <v/>
      </c>
      <c r="I223" s="387" t="str">
        <f>IF(A223="","",Calculation!P229)</f>
        <v/>
      </c>
      <c r="J223" s="387" t="str">
        <f>IF(A223="","",HLOOKUP(LEFT(Calculation!BO229,7),LookUps!$C$38:$M$41,4))</f>
        <v/>
      </c>
      <c r="K223" s="387" t="str">
        <f>IF(A223="","",Calculation!M229)</f>
        <v/>
      </c>
      <c r="L223" s="387" t="str">
        <f>IF(A223="","",Calculation!S229)</f>
        <v/>
      </c>
      <c r="M223" s="389" t="str">
        <f>IF(A223="","",Calculation!N229)</f>
        <v/>
      </c>
      <c r="N223" s="390" t="str">
        <f>IF(A223="","",Calculation!R229)</f>
        <v/>
      </c>
      <c r="O223" s="391" t="str">
        <f>IF(A223="","",Calculation!$F$6)</f>
        <v/>
      </c>
      <c r="P223" s="392" t="str">
        <f>IF(A223="","",Calculation!$F$7)</f>
        <v/>
      </c>
      <c r="Q223" s="393" t="str">
        <f>IF(A223="","",Calculation!$F$13)</f>
        <v/>
      </c>
      <c r="R223" s="394" t="str">
        <f>IF(A223="","",Calculation!X229)</f>
        <v/>
      </c>
      <c r="S223" s="393" t="str">
        <f>IF(A223="","",Calculation!T229)</f>
        <v/>
      </c>
      <c r="T223" s="395" t="str">
        <f>IF(A223="","",IF(Calculation!$O$8="None","Water",CONCATENATE(Calculation!$O$8,"-",Calculation!$S$8,"%")))</f>
        <v/>
      </c>
      <c r="U223" s="393" t="str">
        <f>IF(A223="","",Calculation!$P$6)</f>
        <v/>
      </c>
      <c r="V223" s="393" t="str">
        <f>IF(A223="","",Calculation!AT229)</f>
        <v/>
      </c>
      <c r="W223" s="396" t="str">
        <f>IF(A223="","",Calculation!AP229)</f>
        <v/>
      </c>
      <c r="X223" s="396" t="str">
        <f>IF(A223="","",Calculation!AO229)</f>
        <v/>
      </c>
      <c r="Y223" s="396" t="str">
        <f>IF(A223="","",Calculation!AQ229)</f>
        <v/>
      </c>
      <c r="Z223" s="396" t="str">
        <f>IF(A223="","",Calculation!$H$6)</f>
        <v/>
      </c>
      <c r="AA223" s="397" t="str">
        <f>IF(A223="","",Calculation!$H$13)</f>
        <v/>
      </c>
      <c r="AB223" s="397" t="str">
        <f>IF(A223="","",Calculation!U229)</f>
        <v/>
      </c>
      <c r="AC223" s="398" t="str">
        <f>IF(A223="","",IF(Calculation!$O$9="None","Water",CONCATENATE(Calculation!$O$9,"-",Calculation!$S$9,"%")))</f>
        <v/>
      </c>
      <c r="AD223" s="396" t="str">
        <f>IF(A223="","",Calculation!$S$6)</f>
        <v/>
      </c>
      <c r="AE223" s="399" t="str">
        <f>IF(A223="","",Calculation!BA229)</f>
        <v/>
      </c>
      <c r="AF223" s="396" t="str">
        <f>IF(A223="","",Calculation!AX229)</f>
        <v/>
      </c>
      <c r="AG223" s="396" t="str">
        <f>IF(A223="","",Calculation!AW229)</f>
        <v/>
      </c>
      <c r="AH223" s="391" t="str">
        <f>IF(A223="","",Calculation!AY229)</f>
        <v/>
      </c>
      <c r="AI223" s="391" t="str">
        <f>IF(A223="","",Calculation!Y229)</f>
        <v/>
      </c>
      <c r="AJ223" s="401" t="str">
        <f>IF(Calculation!BD229&gt;0,Calculation!BD229," ")</f>
        <v xml:space="preserve"> </v>
      </c>
      <c r="AK223" s="401" t="str">
        <f>IF(Calculation!BD229&gt;0,Calculation!BE229," ")</f>
        <v xml:space="preserve"> </v>
      </c>
      <c r="AL223" s="401" t="str">
        <f>IF(Calculation!BD229&gt;0,Calculation!BF229," ")</f>
        <v xml:space="preserve"> </v>
      </c>
      <c r="AM223" s="401" t="str">
        <f>IF(Calculation!BD229&gt;0,Calculation!BG229," ")</f>
        <v xml:space="preserve"> </v>
      </c>
      <c r="AN223" s="391" t="str">
        <f>IF(Calculation!BH229="N/A","N/A",Calculation!BH229)</f>
        <v xml:space="preserve"> </v>
      </c>
      <c r="AO223" s="402" t="str">
        <f>IF(Calculation!BI229="N/A","N/A",Calculation!BI229)</f>
        <v/>
      </c>
      <c r="AP223" s="391" t="str">
        <f>IF(Calculation!BJ229="N/A","N/A",Calculation!BJ229)</f>
        <v/>
      </c>
      <c r="AQ223" s="402" t="str">
        <f>IF(Calculation!BK229="N/A","N/A",Calculation!BK229)</f>
        <v/>
      </c>
      <c r="AR223" s="391" t="str">
        <f>IF(Calculation!BL229="N/A","N/A",Calculation!BL229)</f>
        <v/>
      </c>
      <c r="AS223" s="402" t="str">
        <f>IF(Calculation!BM229="N/A","N/A",Calculation!BM229)</f>
        <v/>
      </c>
      <c r="AT223" s="400"/>
    </row>
    <row r="224" spans="1:46">
      <c r="A224" s="224" t="str">
        <f>IF(Calculation!BN230="","",CONCATENATE(Calculation!BO230,"-",Calculation!R230,"-",Calculation!S230,"-",Calculation!T230,"-",Calculation!U230))</f>
        <v/>
      </c>
      <c r="B224" s="224">
        <v>209</v>
      </c>
      <c r="C224" s="629" t="str">
        <f>IF(A224="","",Calculation!B230)</f>
        <v/>
      </c>
      <c r="D224" s="386" t="str">
        <f>IF(A224="","",Calculation!L230)</f>
        <v/>
      </c>
      <c r="E224" s="387" t="str">
        <f>IF(A224="","",Calculation!J230)</f>
        <v/>
      </c>
      <c r="F224" s="387" t="str">
        <f>IF(A224="","",Calculation!C230)</f>
        <v/>
      </c>
      <c r="G224" s="387" t="str">
        <f>IF(A224="","",LEFT(Calculation!O230,6))</f>
        <v/>
      </c>
      <c r="H224" s="388" t="str">
        <f>IF(A224="","",Calculation!DX230)</f>
        <v/>
      </c>
      <c r="I224" s="387" t="str">
        <f>IF(A224="","",Calculation!P230)</f>
        <v/>
      </c>
      <c r="J224" s="387" t="str">
        <f>IF(A224="","",HLOOKUP(LEFT(Calculation!BO230,7),LookUps!$C$38:$M$41,4))</f>
        <v/>
      </c>
      <c r="K224" s="387" t="str">
        <f>IF(A224="","",Calculation!M230)</f>
        <v/>
      </c>
      <c r="L224" s="387" t="str">
        <f>IF(A224="","",Calculation!S230)</f>
        <v/>
      </c>
      <c r="M224" s="389" t="str">
        <f>IF(A224="","",Calculation!N230)</f>
        <v/>
      </c>
      <c r="N224" s="390" t="str">
        <f>IF(A224="","",Calculation!R230)</f>
        <v/>
      </c>
      <c r="O224" s="391" t="str">
        <f>IF(A224="","",Calculation!$F$6)</f>
        <v/>
      </c>
      <c r="P224" s="392" t="str">
        <f>IF(A224="","",Calculation!$F$7)</f>
        <v/>
      </c>
      <c r="Q224" s="393" t="str">
        <f>IF(A224="","",Calculation!$F$13)</f>
        <v/>
      </c>
      <c r="R224" s="394" t="str">
        <f>IF(A224="","",Calculation!X230)</f>
        <v/>
      </c>
      <c r="S224" s="393" t="str">
        <f>IF(A224="","",Calculation!T230)</f>
        <v/>
      </c>
      <c r="T224" s="395" t="str">
        <f>IF(A224="","",IF(Calculation!$O$8="None","Water",CONCATENATE(Calculation!$O$8,"-",Calculation!$S$8,"%")))</f>
        <v/>
      </c>
      <c r="U224" s="393" t="str">
        <f>IF(A224="","",Calculation!$P$6)</f>
        <v/>
      </c>
      <c r="V224" s="393" t="str">
        <f>IF(A224="","",Calculation!AT230)</f>
        <v/>
      </c>
      <c r="W224" s="396" t="str">
        <f>IF(A224="","",Calculation!AP230)</f>
        <v/>
      </c>
      <c r="X224" s="396" t="str">
        <f>IF(A224="","",Calculation!AO230)</f>
        <v/>
      </c>
      <c r="Y224" s="396" t="str">
        <f>IF(A224="","",Calculation!AQ230)</f>
        <v/>
      </c>
      <c r="Z224" s="396" t="str">
        <f>IF(A224="","",Calculation!$H$6)</f>
        <v/>
      </c>
      <c r="AA224" s="397" t="str">
        <f>IF(A224="","",Calculation!$H$13)</f>
        <v/>
      </c>
      <c r="AB224" s="397" t="str">
        <f>IF(A224="","",Calculation!U230)</f>
        <v/>
      </c>
      <c r="AC224" s="398" t="str">
        <f>IF(A224="","",IF(Calculation!$O$9="None","Water",CONCATENATE(Calculation!$O$9,"-",Calculation!$S$9,"%")))</f>
        <v/>
      </c>
      <c r="AD224" s="396" t="str">
        <f>IF(A224="","",Calculation!$S$6)</f>
        <v/>
      </c>
      <c r="AE224" s="399" t="str">
        <f>IF(A224="","",Calculation!BA230)</f>
        <v/>
      </c>
      <c r="AF224" s="396" t="str">
        <f>IF(A224="","",Calculation!AX230)</f>
        <v/>
      </c>
      <c r="AG224" s="396" t="str">
        <f>IF(A224="","",Calculation!AW230)</f>
        <v/>
      </c>
      <c r="AH224" s="391" t="str">
        <f>IF(A224="","",Calculation!AY230)</f>
        <v/>
      </c>
      <c r="AI224" s="391" t="str">
        <f>IF(A224="","",Calculation!Y230)</f>
        <v/>
      </c>
      <c r="AJ224" s="401" t="str">
        <f>IF(Calculation!BD230&gt;0,Calculation!BD230," ")</f>
        <v xml:space="preserve"> </v>
      </c>
      <c r="AK224" s="401" t="str">
        <f>IF(Calculation!BD230&gt;0,Calculation!BE230," ")</f>
        <v xml:space="preserve"> </v>
      </c>
      <c r="AL224" s="401" t="str">
        <f>IF(Calculation!BD230&gt;0,Calculation!BF230," ")</f>
        <v xml:space="preserve"> </v>
      </c>
      <c r="AM224" s="401" t="str">
        <f>IF(Calculation!BD230&gt;0,Calculation!BG230," ")</f>
        <v xml:space="preserve"> </v>
      </c>
      <c r="AN224" s="391" t="str">
        <f>IF(Calculation!BH230="N/A","N/A",Calculation!BH230)</f>
        <v xml:space="preserve"> </v>
      </c>
      <c r="AO224" s="402" t="str">
        <f>IF(Calculation!BI230="N/A","N/A",Calculation!BI230)</f>
        <v/>
      </c>
      <c r="AP224" s="391" t="str">
        <f>IF(Calculation!BJ230="N/A","N/A",Calculation!BJ230)</f>
        <v/>
      </c>
      <c r="AQ224" s="402" t="str">
        <f>IF(Calculation!BK230="N/A","N/A",Calculation!BK230)</f>
        <v/>
      </c>
      <c r="AR224" s="391" t="str">
        <f>IF(Calculation!BL230="N/A","N/A",Calculation!BL230)</f>
        <v/>
      </c>
      <c r="AS224" s="402" t="str">
        <f>IF(Calculation!BM230="N/A","N/A",Calculation!BM230)</f>
        <v/>
      </c>
      <c r="AT224" s="400"/>
    </row>
    <row r="225" spans="1:46">
      <c r="A225" s="224" t="str">
        <f>IF(Calculation!BN231="","",CONCATENATE(Calculation!BO231,"-",Calculation!R231,"-",Calculation!S231,"-",Calculation!T231,"-",Calculation!U231))</f>
        <v/>
      </c>
      <c r="B225" s="224">
        <v>210</v>
      </c>
      <c r="C225" s="629" t="str">
        <f>IF(A225="","",Calculation!B231)</f>
        <v/>
      </c>
      <c r="D225" s="386" t="str">
        <f>IF(A225="","",Calculation!L231)</f>
        <v/>
      </c>
      <c r="E225" s="387" t="str">
        <f>IF(A225="","",Calculation!J231)</f>
        <v/>
      </c>
      <c r="F225" s="387" t="str">
        <f>IF(A225="","",Calculation!C231)</f>
        <v/>
      </c>
      <c r="G225" s="387" t="str">
        <f>IF(A225="","",LEFT(Calculation!O231,6))</f>
        <v/>
      </c>
      <c r="H225" s="388" t="str">
        <f>IF(A225="","",Calculation!DX231)</f>
        <v/>
      </c>
      <c r="I225" s="387" t="str">
        <f>IF(A225="","",Calculation!P231)</f>
        <v/>
      </c>
      <c r="J225" s="387" t="str">
        <f>IF(A225="","",HLOOKUP(LEFT(Calculation!BO231,7),LookUps!$C$38:$M$41,4))</f>
        <v/>
      </c>
      <c r="K225" s="387" t="str">
        <f>IF(A225="","",Calculation!M231)</f>
        <v/>
      </c>
      <c r="L225" s="387" t="str">
        <f>IF(A225="","",Calculation!S231)</f>
        <v/>
      </c>
      <c r="M225" s="389" t="str">
        <f>IF(A225="","",Calculation!N231)</f>
        <v/>
      </c>
      <c r="N225" s="390" t="str">
        <f>IF(A225="","",Calculation!R231)</f>
        <v/>
      </c>
      <c r="O225" s="391" t="str">
        <f>IF(A225="","",Calculation!$F$6)</f>
        <v/>
      </c>
      <c r="P225" s="392" t="str">
        <f>IF(A225="","",Calculation!$F$7)</f>
        <v/>
      </c>
      <c r="Q225" s="393" t="str">
        <f>IF(A225="","",Calculation!$F$13)</f>
        <v/>
      </c>
      <c r="R225" s="394" t="str">
        <f>IF(A225="","",Calculation!X231)</f>
        <v/>
      </c>
      <c r="S225" s="393" t="str">
        <f>IF(A225="","",Calculation!T231)</f>
        <v/>
      </c>
      <c r="T225" s="395" t="str">
        <f>IF(A225="","",IF(Calculation!$O$8="None","Water",CONCATENATE(Calculation!$O$8,"-",Calculation!$S$8,"%")))</f>
        <v/>
      </c>
      <c r="U225" s="393" t="str">
        <f>IF(A225="","",Calculation!$P$6)</f>
        <v/>
      </c>
      <c r="V225" s="393" t="str">
        <f>IF(A225="","",Calculation!AT231)</f>
        <v/>
      </c>
      <c r="W225" s="396" t="str">
        <f>IF(A225="","",Calculation!AP231)</f>
        <v/>
      </c>
      <c r="X225" s="396" t="str">
        <f>IF(A225="","",Calculation!AO231)</f>
        <v/>
      </c>
      <c r="Y225" s="396" t="str">
        <f>IF(A225="","",Calculation!AQ231)</f>
        <v/>
      </c>
      <c r="Z225" s="396" t="str">
        <f>IF(A225="","",Calculation!$H$6)</f>
        <v/>
      </c>
      <c r="AA225" s="397" t="str">
        <f>IF(A225="","",Calculation!$H$13)</f>
        <v/>
      </c>
      <c r="AB225" s="397" t="str">
        <f>IF(A225="","",Calculation!U231)</f>
        <v/>
      </c>
      <c r="AC225" s="398" t="str">
        <f>IF(A225="","",IF(Calculation!$O$9="None","Water",CONCATENATE(Calculation!$O$9,"-",Calculation!$S$9,"%")))</f>
        <v/>
      </c>
      <c r="AD225" s="396" t="str">
        <f>IF(A225="","",Calculation!$S$6)</f>
        <v/>
      </c>
      <c r="AE225" s="399" t="str">
        <f>IF(A225="","",Calculation!BA231)</f>
        <v/>
      </c>
      <c r="AF225" s="396" t="str">
        <f>IF(A225="","",Calculation!AX231)</f>
        <v/>
      </c>
      <c r="AG225" s="396" t="str">
        <f>IF(A225="","",Calculation!AW231)</f>
        <v/>
      </c>
      <c r="AH225" s="391" t="str">
        <f>IF(A225="","",Calculation!AY231)</f>
        <v/>
      </c>
      <c r="AI225" s="391" t="str">
        <f>IF(A225="","",Calculation!Y231)</f>
        <v/>
      </c>
      <c r="AJ225" s="401" t="str">
        <f>IF(Calculation!BD231&gt;0,Calculation!BD231," ")</f>
        <v xml:space="preserve"> </v>
      </c>
      <c r="AK225" s="401" t="str">
        <f>IF(Calculation!BD231&gt;0,Calculation!BE231," ")</f>
        <v xml:space="preserve"> </v>
      </c>
      <c r="AL225" s="401" t="str">
        <f>IF(Calculation!BD231&gt;0,Calculation!BF231," ")</f>
        <v xml:space="preserve"> </v>
      </c>
      <c r="AM225" s="401" t="str">
        <f>IF(Calculation!BD231&gt;0,Calculation!BG231," ")</f>
        <v xml:space="preserve"> </v>
      </c>
      <c r="AN225" s="391" t="str">
        <f>IF(Calculation!BH231="N/A","N/A",Calculation!BH231)</f>
        <v xml:space="preserve"> </v>
      </c>
      <c r="AO225" s="402" t="str">
        <f>IF(Calculation!BI231="N/A","N/A",Calculation!BI231)</f>
        <v/>
      </c>
      <c r="AP225" s="391" t="str">
        <f>IF(Calculation!BJ231="N/A","N/A",Calculation!BJ231)</f>
        <v/>
      </c>
      <c r="AQ225" s="402" t="str">
        <f>IF(Calculation!BK231="N/A","N/A",Calculation!BK231)</f>
        <v/>
      </c>
      <c r="AR225" s="391" t="str">
        <f>IF(Calculation!BL231="N/A","N/A",Calculation!BL231)</f>
        <v/>
      </c>
      <c r="AS225" s="402" t="str">
        <f>IF(Calculation!BM231="N/A","N/A",Calculation!BM231)</f>
        <v/>
      </c>
      <c r="AT225" s="400"/>
    </row>
    <row r="226" spans="1:46">
      <c r="A226" s="224" t="str">
        <f>IF(Calculation!BN232="","",CONCATENATE(Calculation!BO232,"-",Calculation!R232,"-",Calculation!S232,"-",Calculation!T232,"-",Calculation!U232))</f>
        <v/>
      </c>
      <c r="B226" s="224">
        <v>211</v>
      </c>
      <c r="C226" s="629" t="str">
        <f>IF(A226="","",Calculation!B232)</f>
        <v/>
      </c>
      <c r="D226" s="386" t="str">
        <f>IF(A226="","",Calculation!L232)</f>
        <v/>
      </c>
      <c r="E226" s="387" t="str">
        <f>IF(A226="","",Calculation!J232)</f>
        <v/>
      </c>
      <c r="F226" s="387" t="str">
        <f>IF(A226="","",Calculation!C232)</f>
        <v/>
      </c>
      <c r="G226" s="387" t="str">
        <f>IF(A226="","",LEFT(Calculation!O232,6))</f>
        <v/>
      </c>
      <c r="H226" s="388" t="str">
        <f>IF(A226="","",Calculation!DX232)</f>
        <v/>
      </c>
      <c r="I226" s="387" t="str">
        <f>IF(A226="","",Calculation!P232)</f>
        <v/>
      </c>
      <c r="J226" s="387" t="str">
        <f>IF(A226="","",HLOOKUP(LEFT(Calculation!BO232,7),LookUps!$C$38:$M$41,4))</f>
        <v/>
      </c>
      <c r="K226" s="387" t="str">
        <f>IF(A226="","",Calculation!M232)</f>
        <v/>
      </c>
      <c r="L226" s="387" t="str">
        <f>IF(A226="","",Calculation!S232)</f>
        <v/>
      </c>
      <c r="M226" s="389" t="str">
        <f>IF(A226="","",Calculation!N232)</f>
        <v/>
      </c>
      <c r="N226" s="390" t="str">
        <f>IF(A226="","",Calculation!R232)</f>
        <v/>
      </c>
      <c r="O226" s="391" t="str">
        <f>IF(A226="","",Calculation!$F$6)</f>
        <v/>
      </c>
      <c r="P226" s="392" t="str">
        <f>IF(A226="","",Calculation!$F$7)</f>
        <v/>
      </c>
      <c r="Q226" s="393" t="str">
        <f>IF(A226="","",Calculation!$F$13)</f>
        <v/>
      </c>
      <c r="R226" s="394" t="str">
        <f>IF(A226="","",Calculation!X232)</f>
        <v/>
      </c>
      <c r="S226" s="393" t="str">
        <f>IF(A226="","",Calculation!T232)</f>
        <v/>
      </c>
      <c r="T226" s="395" t="str">
        <f>IF(A226="","",IF(Calculation!$O$8="None","Water",CONCATENATE(Calculation!$O$8,"-",Calculation!$S$8,"%")))</f>
        <v/>
      </c>
      <c r="U226" s="393" t="str">
        <f>IF(A226="","",Calculation!$P$6)</f>
        <v/>
      </c>
      <c r="V226" s="393" t="str">
        <f>IF(A226="","",Calculation!AT232)</f>
        <v/>
      </c>
      <c r="W226" s="396" t="str">
        <f>IF(A226="","",Calculation!AP232)</f>
        <v/>
      </c>
      <c r="X226" s="396" t="str">
        <f>IF(A226="","",Calculation!AO232)</f>
        <v/>
      </c>
      <c r="Y226" s="396" t="str">
        <f>IF(A226="","",Calculation!AQ232)</f>
        <v/>
      </c>
      <c r="Z226" s="396" t="str">
        <f>IF(A226="","",Calculation!$H$6)</f>
        <v/>
      </c>
      <c r="AA226" s="397" t="str">
        <f>IF(A226="","",Calculation!$H$13)</f>
        <v/>
      </c>
      <c r="AB226" s="397" t="str">
        <f>IF(A226="","",Calculation!U232)</f>
        <v/>
      </c>
      <c r="AC226" s="398" t="str">
        <f>IF(A226="","",IF(Calculation!$O$9="None","Water",CONCATENATE(Calculation!$O$9,"-",Calculation!$S$9,"%")))</f>
        <v/>
      </c>
      <c r="AD226" s="396" t="str">
        <f>IF(A226="","",Calculation!$S$6)</f>
        <v/>
      </c>
      <c r="AE226" s="399" t="str">
        <f>IF(A226="","",Calculation!BA232)</f>
        <v/>
      </c>
      <c r="AF226" s="396" t="str">
        <f>IF(A226="","",Calculation!AX232)</f>
        <v/>
      </c>
      <c r="AG226" s="396" t="str">
        <f>IF(A226="","",Calculation!AW232)</f>
        <v/>
      </c>
      <c r="AH226" s="391" t="str">
        <f>IF(A226="","",Calculation!AY232)</f>
        <v/>
      </c>
      <c r="AI226" s="391" t="str">
        <f>IF(A226="","",Calculation!Y232)</f>
        <v/>
      </c>
      <c r="AJ226" s="401" t="str">
        <f>IF(Calculation!BD232&gt;0,Calculation!BD232," ")</f>
        <v xml:space="preserve"> </v>
      </c>
      <c r="AK226" s="401" t="str">
        <f>IF(Calculation!BD232&gt;0,Calculation!BE232," ")</f>
        <v xml:space="preserve"> </v>
      </c>
      <c r="AL226" s="401" t="str">
        <f>IF(Calculation!BD232&gt;0,Calculation!BF232," ")</f>
        <v xml:space="preserve"> </v>
      </c>
      <c r="AM226" s="401" t="str">
        <f>IF(Calculation!BD232&gt;0,Calculation!BG232," ")</f>
        <v xml:space="preserve"> </v>
      </c>
      <c r="AN226" s="391" t="str">
        <f>IF(Calculation!BH232="N/A","N/A",Calculation!BH232)</f>
        <v xml:space="preserve"> </v>
      </c>
      <c r="AO226" s="402" t="str">
        <f>IF(Calculation!BI232="N/A","N/A",Calculation!BI232)</f>
        <v/>
      </c>
      <c r="AP226" s="391" t="str">
        <f>IF(Calculation!BJ232="N/A","N/A",Calculation!BJ232)</f>
        <v/>
      </c>
      <c r="AQ226" s="402" t="str">
        <f>IF(Calculation!BK232="N/A","N/A",Calculation!BK232)</f>
        <v/>
      </c>
      <c r="AR226" s="391" t="str">
        <f>IF(Calculation!BL232="N/A","N/A",Calculation!BL232)</f>
        <v/>
      </c>
      <c r="AS226" s="402" t="str">
        <f>IF(Calculation!BM232="N/A","N/A",Calculation!BM232)</f>
        <v/>
      </c>
      <c r="AT226" s="400"/>
    </row>
    <row r="227" spans="1:46">
      <c r="A227" s="224" t="str">
        <f>IF(Calculation!BN233="","",CONCATENATE(Calculation!BO233,"-",Calculation!R233,"-",Calculation!S233,"-",Calculation!T233,"-",Calculation!U233))</f>
        <v/>
      </c>
      <c r="B227" s="224">
        <v>212</v>
      </c>
      <c r="C227" s="629" t="str">
        <f>IF(A227="","",Calculation!B233)</f>
        <v/>
      </c>
      <c r="D227" s="386" t="str">
        <f>IF(A227="","",Calculation!L233)</f>
        <v/>
      </c>
      <c r="E227" s="387" t="str">
        <f>IF(A227="","",Calculation!J233)</f>
        <v/>
      </c>
      <c r="F227" s="387" t="str">
        <f>IF(A227="","",Calculation!C233)</f>
        <v/>
      </c>
      <c r="G227" s="387" t="str">
        <f>IF(A227="","",LEFT(Calculation!O233,6))</f>
        <v/>
      </c>
      <c r="H227" s="388" t="str">
        <f>IF(A227="","",Calculation!DX233)</f>
        <v/>
      </c>
      <c r="I227" s="387" t="str">
        <f>IF(A227="","",Calculation!P233)</f>
        <v/>
      </c>
      <c r="J227" s="387" t="str">
        <f>IF(A227="","",HLOOKUP(LEFT(Calculation!BO233,7),LookUps!$C$38:$M$41,4))</f>
        <v/>
      </c>
      <c r="K227" s="387" t="str">
        <f>IF(A227="","",Calculation!M233)</f>
        <v/>
      </c>
      <c r="L227" s="387" t="str">
        <f>IF(A227="","",Calculation!S233)</f>
        <v/>
      </c>
      <c r="M227" s="389" t="str">
        <f>IF(A227="","",Calculation!N233)</f>
        <v/>
      </c>
      <c r="N227" s="390" t="str">
        <f>IF(A227="","",Calculation!R233)</f>
        <v/>
      </c>
      <c r="O227" s="391" t="str">
        <f>IF(A227="","",Calculation!$F$6)</f>
        <v/>
      </c>
      <c r="P227" s="392" t="str">
        <f>IF(A227="","",Calculation!$F$7)</f>
        <v/>
      </c>
      <c r="Q227" s="393" t="str">
        <f>IF(A227="","",Calculation!$F$13)</f>
        <v/>
      </c>
      <c r="R227" s="394" t="str">
        <f>IF(A227="","",Calculation!X233)</f>
        <v/>
      </c>
      <c r="S227" s="393" t="str">
        <f>IF(A227="","",Calculation!T233)</f>
        <v/>
      </c>
      <c r="T227" s="395" t="str">
        <f>IF(A227="","",IF(Calculation!$O$8="None","Water",CONCATENATE(Calculation!$O$8,"-",Calculation!$S$8,"%")))</f>
        <v/>
      </c>
      <c r="U227" s="393" t="str">
        <f>IF(A227="","",Calculation!$P$6)</f>
        <v/>
      </c>
      <c r="V227" s="393" t="str">
        <f>IF(A227="","",Calculation!AT233)</f>
        <v/>
      </c>
      <c r="W227" s="396" t="str">
        <f>IF(A227="","",Calculation!AP233)</f>
        <v/>
      </c>
      <c r="X227" s="396" t="str">
        <f>IF(A227="","",Calculation!AO233)</f>
        <v/>
      </c>
      <c r="Y227" s="396" t="str">
        <f>IF(A227="","",Calculation!AQ233)</f>
        <v/>
      </c>
      <c r="Z227" s="396" t="str">
        <f>IF(A227="","",Calculation!$H$6)</f>
        <v/>
      </c>
      <c r="AA227" s="397" t="str">
        <f>IF(A227="","",Calculation!$H$13)</f>
        <v/>
      </c>
      <c r="AB227" s="397" t="str">
        <f>IF(A227="","",Calculation!U233)</f>
        <v/>
      </c>
      <c r="AC227" s="398" t="str">
        <f>IF(A227="","",IF(Calculation!$O$9="None","Water",CONCATENATE(Calculation!$O$9,"-",Calculation!$S$9,"%")))</f>
        <v/>
      </c>
      <c r="AD227" s="396" t="str">
        <f>IF(A227="","",Calculation!$S$6)</f>
        <v/>
      </c>
      <c r="AE227" s="399" t="str">
        <f>IF(A227="","",Calculation!BA233)</f>
        <v/>
      </c>
      <c r="AF227" s="396" t="str">
        <f>IF(A227="","",Calculation!AX233)</f>
        <v/>
      </c>
      <c r="AG227" s="396" t="str">
        <f>IF(A227="","",Calculation!AW233)</f>
        <v/>
      </c>
      <c r="AH227" s="391" t="str">
        <f>IF(A227="","",Calculation!AY233)</f>
        <v/>
      </c>
      <c r="AI227" s="391" t="str">
        <f>IF(A227="","",Calculation!Y233)</f>
        <v/>
      </c>
      <c r="AJ227" s="401" t="str">
        <f>IF(Calculation!BD233&gt;0,Calculation!BD233," ")</f>
        <v xml:space="preserve"> </v>
      </c>
      <c r="AK227" s="401" t="str">
        <f>IF(Calculation!BD233&gt;0,Calculation!BE233," ")</f>
        <v xml:space="preserve"> </v>
      </c>
      <c r="AL227" s="401" t="str">
        <f>IF(Calculation!BD233&gt;0,Calculation!BF233," ")</f>
        <v xml:space="preserve"> </v>
      </c>
      <c r="AM227" s="401" t="str">
        <f>IF(Calculation!BD233&gt;0,Calculation!BG233," ")</f>
        <v xml:space="preserve"> </v>
      </c>
      <c r="AN227" s="391" t="str">
        <f>IF(Calculation!BH233="N/A","N/A",Calculation!BH233)</f>
        <v xml:space="preserve"> </v>
      </c>
      <c r="AO227" s="402" t="str">
        <f>IF(Calculation!BI233="N/A","N/A",Calculation!BI233)</f>
        <v/>
      </c>
      <c r="AP227" s="391" t="str">
        <f>IF(Calculation!BJ233="N/A","N/A",Calculation!BJ233)</f>
        <v/>
      </c>
      <c r="AQ227" s="402" t="str">
        <f>IF(Calculation!BK233="N/A","N/A",Calculation!BK233)</f>
        <v/>
      </c>
      <c r="AR227" s="391" t="str">
        <f>IF(Calculation!BL233="N/A","N/A",Calculation!BL233)</f>
        <v/>
      </c>
      <c r="AS227" s="402" t="str">
        <f>IF(Calculation!BM233="N/A","N/A",Calculation!BM233)</f>
        <v/>
      </c>
      <c r="AT227" s="400"/>
    </row>
    <row r="228" spans="1:46">
      <c r="A228" s="224" t="str">
        <f>IF(Calculation!BN234="","",CONCATENATE(Calculation!BO234,"-",Calculation!R234,"-",Calculation!S234,"-",Calculation!T234,"-",Calculation!U234))</f>
        <v/>
      </c>
      <c r="B228" s="224">
        <v>213</v>
      </c>
      <c r="C228" s="629" t="str">
        <f>IF(A228="","",Calculation!B234)</f>
        <v/>
      </c>
      <c r="D228" s="386" t="str">
        <f>IF(A228="","",Calculation!L234)</f>
        <v/>
      </c>
      <c r="E228" s="387" t="str">
        <f>IF(A228="","",Calculation!J234)</f>
        <v/>
      </c>
      <c r="F228" s="387" t="str">
        <f>IF(A228="","",Calculation!C234)</f>
        <v/>
      </c>
      <c r="G228" s="387" t="str">
        <f>IF(A228="","",LEFT(Calculation!O234,6))</f>
        <v/>
      </c>
      <c r="H228" s="388" t="str">
        <f>IF(A228="","",Calculation!DX234)</f>
        <v/>
      </c>
      <c r="I228" s="387" t="str">
        <f>IF(A228="","",Calculation!P234)</f>
        <v/>
      </c>
      <c r="J228" s="387" t="str">
        <f>IF(A228="","",HLOOKUP(LEFT(Calculation!BO234,7),LookUps!$C$38:$M$41,4))</f>
        <v/>
      </c>
      <c r="K228" s="387" t="str">
        <f>IF(A228="","",Calculation!M234)</f>
        <v/>
      </c>
      <c r="L228" s="387" t="str">
        <f>IF(A228="","",Calculation!S234)</f>
        <v/>
      </c>
      <c r="M228" s="389" t="str">
        <f>IF(A228="","",Calculation!N234)</f>
        <v/>
      </c>
      <c r="N228" s="390" t="str">
        <f>IF(A228="","",Calculation!R234)</f>
        <v/>
      </c>
      <c r="O228" s="391" t="str">
        <f>IF(A228="","",Calculation!$F$6)</f>
        <v/>
      </c>
      <c r="P228" s="392" t="str">
        <f>IF(A228="","",Calculation!$F$7)</f>
        <v/>
      </c>
      <c r="Q228" s="393" t="str">
        <f>IF(A228="","",Calculation!$F$13)</f>
        <v/>
      </c>
      <c r="R228" s="394" t="str">
        <f>IF(A228="","",Calculation!X234)</f>
        <v/>
      </c>
      <c r="S228" s="393" t="str">
        <f>IF(A228="","",Calculation!T234)</f>
        <v/>
      </c>
      <c r="T228" s="395" t="str">
        <f>IF(A228="","",IF(Calculation!$O$8="None","Water",CONCATENATE(Calculation!$O$8,"-",Calculation!$S$8,"%")))</f>
        <v/>
      </c>
      <c r="U228" s="393" t="str">
        <f>IF(A228="","",Calculation!$P$6)</f>
        <v/>
      </c>
      <c r="V228" s="393" t="str">
        <f>IF(A228="","",Calculation!AT234)</f>
        <v/>
      </c>
      <c r="W228" s="396" t="str">
        <f>IF(A228="","",Calculation!AP234)</f>
        <v/>
      </c>
      <c r="X228" s="396" t="str">
        <f>IF(A228="","",Calculation!AO234)</f>
        <v/>
      </c>
      <c r="Y228" s="396" t="str">
        <f>IF(A228="","",Calculation!AQ234)</f>
        <v/>
      </c>
      <c r="Z228" s="396" t="str">
        <f>IF(A228="","",Calculation!$H$6)</f>
        <v/>
      </c>
      <c r="AA228" s="397" t="str">
        <f>IF(A228="","",Calculation!$H$13)</f>
        <v/>
      </c>
      <c r="AB228" s="397" t="str">
        <f>IF(A228="","",Calculation!U234)</f>
        <v/>
      </c>
      <c r="AC228" s="398" t="str">
        <f>IF(A228="","",IF(Calculation!$O$9="None","Water",CONCATENATE(Calculation!$O$9,"-",Calculation!$S$9,"%")))</f>
        <v/>
      </c>
      <c r="AD228" s="396" t="str">
        <f>IF(A228="","",Calculation!$S$6)</f>
        <v/>
      </c>
      <c r="AE228" s="399" t="str">
        <f>IF(A228="","",Calculation!BA234)</f>
        <v/>
      </c>
      <c r="AF228" s="396" t="str">
        <f>IF(A228="","",Calculation!AX234)</f>
        <v/>
      </c>
      <c r="AG228" s="396" t="str">
        <f>IF(A228="","",Calculation!AW234)</f>
        <v/>
      </c>
      <c r="AH228" s="391" t="str">
        <f>IF(A228="","",Calculation!AY234)</f>
        <v/>
      </c>
      <c r="AI228" s="391" t="str">
        <f>IF(A228="","",Calculation!Y234)</f>
        <v/>
      </c>
      <c r="AJ228" s="401" t="str">
        <f>IF(Calculation!BD234&gt;0,Calculation!BD234," ")</f>
        <v xml:space="preserve"> </v>
      </c>
      <c r="AK228" s="401" t="str">
        <f>IF(Calculation!BD234&gt;0,Calculation!BE234," ")</f>
        <v xml:space="preserve"> </v>
      </c>
      <c r="AL228" s="401" t="str">
        <f>IF(Calculation!BD234&gt;0,Calculation!BF234," ")</f>
        <v xml:space="preserve"> </v>
      </c>
      <c r="AM228" s="401" t="str">
        <f>IF(Calculation!BD234&gt;0,Calculation!BG234," ")</f>
        <v xml:space="preserve"> </v>
      </c>
      <c r="AN228" s="391" t="str">
        <f>IF(Calculation!BH234="N/A","N/A",Calculation!BH234)</f>
        <v xml:space="preserve"> </v>
      </c>
      <c r="AO228" s="402" t="str">
        <f>IF(Calculation!BI234="N/A","N/A",Calculation!BI234)</f>
        <v/>
      </c>
      <c r="AP228" s="391" t="str">
        <f>IF(Calculation!BJ234="N/A","N/A",Calculation!BJ234)</f>
        <v/>
      </c>
      <c r="AQ228" s="402" t="str">
        <f>IF(Calculation!BK234="N/A","N/A",Calculation!BK234)</f>
        <v/>
      </c>
      <c r="AR228" s="391" t="str">
        <f>IF(Calculation!BL234="N/A","N/A",Calculation!BL234)</f>
        <v/>
      </c>
      <c r="AS228" s="402" t="str">
        <f>IF(Calculation!BM234="N/A","N/A",Calculation!BM234)</f>
        <v/>
      </c>
      <c r="AT228" s="400"/>
    </row>
    <row r="229" spans="1:46">
      <c r="A229" s="224" t="str">
        <f>IF(Calculation!BN235="","",CONCATENATE(Calculation!BO235,"-",Calculation!R235,"-",Calculation!S235,"-",Calculation!T235,"-",Calculation!U235))</f>
        <v/>
      </c>
      <c r="B229" s="224">
        <v>214</v>
      </c>
      <c r="C229" s="629" t="str">
        <f>IF(A229="","",Calculation!B235)</f>
        <v/>
      </c>
      <c r="D229" s="386" t="str">
        <f>IF(A229="","",Calculation!L235)</f>
        <v/>
      </c>
      <c r="E229" s="387" t="str">
        <f>IF(A229="","",Calculation!J235)</f>
        <v/>
      </c>
      <c r="F229" s="387" t="str">
        <f>IF(A229="","",Calculation!C235)</f>
        <v/>
      </c>
      <c r="G229" s="387" t="str">
        <f>IF(A229="","",LEFT(Calculation!O235,6))</f>
        <v/>
      </c>
      <c r="H229" s="388" t="str">
        <f>IF(A229="","",Calculation!DX235)</f>
        <v/>
      </c>
      <c r="I229" s="387" t="str">
        <f>IF(A229="","",Calculation!P235)</f>
        <v/>
      </c>
      <c r="J229" s="387" t="str">
        <f>IF(A229="","",HLOOKUP(LEFT(Calculation!BO235,7),LookUps!$C$38:$M$41,4))</f>
        <v/>
      </c>
      <c r="K229" s="387" t="str">
        <f>IF(A229="","",Calculation!M235)</f>
        <v/>
      </c>
      <c r="L229" s="387" t="str">
        <f>IF(A229="","",Calculation!S235)</f>
        <v/>
      </c>
      <c r="M229" s="389" t="str">
        <f>IF(A229="","",Calculation!N235)</f>
        <v/>
      </c>
      <c r="N229" s="390" t="str">
        <f>IF(A229="","",Calculation!R235)</f>
        <v/>
      </c>
      <c r="O229" s="391" t="str">
        <f>IF(A229="","",Calculation!$F$6)</f>
        <v/>
      </c>
      <c r="P229" s="392" t="str">
        <f>IF(A229="","",Calculation!$F$7)</f>
        <v/>
      </c>
      <c r="Q229" s="393" t="str">
        <f>IF(A229="","",Calculation!$F$13)</f>
        <v/>
      </c>
      <c r="R229" s="394" t="str">
        <f>IF(A229="","",Calculation!X235)</f>
        <v/>
      </c>
      <c r="S229" s="393" t="str">
        <f>IF(A229="","",Calculation!T235)</f>
        <v/>
      </c>
      <c r="T229" s="395" t="str">
        <f>IF(A229="","",IF(Calculation!$O$8="None","Water",CONCATENATE(Calculation!$O$8,"-",Calculation!$S$8,"%")))</f>
        <v/>
      </c>
      <c r="U229" s="393" t="str">
        <f>IF(A229="","",Calculation!$P$6)</f>
        <v/>
      </c>
      <c r="V229" s="393" t="str">
        <f>IF(A229="","",Calculation!AT235)</f>
        <v/>
      </c>
      <c r="W229" s="396" t="str">
        <f>IF(A229="","",Calculation!AP235)</f>
        <v/>
      </c>
      <c r="X229" s="396" t="str">
        <f>IF(A229="","",Calculation!AO235)</f>
        <v/>
      </c>
      <c r="Y229" s="396" t="str">
        <f>IF(A229="","",Calculation!AQ235)</f>
        <v/>
      </c>
      <c r="Z229" s="396" t="str">
        <f>IF(A229="","",Calculation!$H$6)</f>
        <v/>
      </c>
      <c r="AA229" s="397" t="str">
        <f>IF(A229="","",Calculation!$H$13)</f>
        <v/>
      </c>
      <c r="AB229" s="397" t="str">
        <f>IF(A229="","",Calculation!U235)</f>
        <v/>
      </c>
      <c r="AC229" s="398" t="str">
        <f>IF(A229="","",IF(Calculation!$O$9="None","Water",CONCATENATE(Calculation!$O$9,"-",Calculation!$S$9,"%")))</f>
        <v/>
      </c>
      <c r="AD229" s="396" t="str">
        <f>IF(A229="","",Calculation!$S$6)</f>
        <v/>
      </c>
      <c r="AE229" s="399" t="str">
        <f>IF(A229="","",Calculation!BA235)</f>
        <v/>
      </c>
      <c r="AF229" s="396" t="str">
        <f>IF(A229="","",Calculation!AX235)</f>
        <v/>
      </c>
      <c r="AG229" s="396" t="str">
        <f>IF(A229="","",Calculation!AW235)</f>
        <v/>
      </c>
      <c r="AH229" s="391" t="str">
        <f>IF(A229="","",Calculation!AY235)</f>
        <v/>
      </c>
      <c r="AI229" s="391" t="str">
        <f>IF(A229="","",Calculation!Y235)</f>
        <v/>
      </c>
      <c r="AJ229" s="401" t="str">
        <f>IF(Calculation!BD235&gt;0,Calculation!BD235," ")</f>
        <v xml:space="preserve"> </v>
      </c>
      <c r="AK229" s="401" t="str">
        <f>IF(Calculation!BD235&gt;0,Calculation!BE235," ")</f>
        <v xml:space="preserve"> </v>
      </c>
      <c r="AL229" s="401" t="str">
        <f>IF(Calculation!BD235&gt;0,Calculation!BF235," ")</f>
        <v xml:space="preserve"> </v>
      </c>
      <c r="AM229" s="401" t="str">
        <f>IF(Calculation!BD235&gt;0,Calculation!BG235," ")</f>
        <v xml:space="preserve"> </v>
      </c>
      <c r="AN229" s="391" t="str">
        <f>IF(Calculation!BH235="N/A","N/A",Calculation!BH235)</f>
        <v xml:space="preserve"> </v>
      </c>
      <c r="AO229" s="402" t="str">
        <f>IF(Calculation!BI235="N/A","N/A",Calculation!BI235)</f>
        <v/>
      </c>
      <c r="AP229" s="391" t="str">
        <f>IF(Calculation!BJ235="N/A","N/A",Calculation!BJ235)</f>
        <v/>
      </c>
      <c r="AQ229" s="402" t="str">
        <f>IF(Calculation!BK235="N/A","N/A",Calculation!BK235)</f>
        <v/>
      </c>
      <c r="AR229" s="391" t="str">
        <f>IF(Calculation!BL235="N/A","N/A",Calculation!BL235)</f>
        <v/>
      </c>
      <c r="AS229" s="402" t="str">
        <f>IF(Calculation!BM235="N/A","N/A",Calculation!BM235)</f>
        <v/>
      </c>
      <c r="AT229" s="400"/>
    </row>
    <row r="230" spans="1:46">
      <c r="A230" s="224" t="str">
        <f>IF(Calculation!BN236="","",CONCATENATE(Calculation!BO236,"-",Calculation!R236,"-",Calculation!S236,"-",Calculation!T236,"-",Calculation!U236))</f>
        <v/>
      </c>
      <c r="B230" s="224">
        <v>215</v>
      </c>
      <c r="C230" s="629" t="str">
        <f>IF(A230="","",Calculation!B236)</f>
        <v/>
      </c>
      <c r="D230" s="386" t="str">
        <f>IF(A230="","",Calculation!L236)</f>
        <v/>
      </c>
      <c r="E230" s="387" t="str">
        <f>IF(A230="","",Calculation!J236)</f>
        <v/>
      </c>
      <c r="F230" s="387" t="str">
        <f>IF(A230="","",Calculation!C236)</f>
        <v/>
      </c>
      <c r="G230" s="387" t="str">
        <f>IF(A230="","",LEFT(Calculation!O236,6))</f>
        <v/>
      </c>
      <c r="H230" s="388" t="str">
        <f>IF(A230="","",Calculation!DX236)</f>
        <v/>
      </c>
      <c r="I230" s="387" t="str">
        <f>IF(A230="","",Calculation!P236)</f>
        <v/>
      </c>
      <c r="J230" s="387" t="str">
        <f>IF(A230="","",HLOOKUP(LEFT(Calculation!BO236,7),LookUps!$C$38:$M$41,4))</f>
        <v/>
      </c>
      <c r="K230" s="387" t="str">
        <f>IF(A230="","",Calculation!M236)</f>
        <v/>
      </c>
      <c r="L230" s="387" t="str">
        <f>IF(A230="","",Calculation!S236)</f>
        <v/>
      </c>
      <c r="M230" s="389" t="str">
        <f>IF(A230="","",Calculation!N236)</f>
        <v/>
      </c>
      <c r="N230" s="390" t="str">
        <f>IF(A230="","",Calculation!R236)</f>
        <v/>
      </c>
      <c r="O230" s="391" t="str">
        <f>IF(A230="","",Calculation!$F$6)</f>
        <v/>
      </c>
      <c r="P230" s="392" t="str">
        <f>IF(A230="","",Calculation!$F$7)</f>
        <v/>
      </c>
      <c r="Q230" s="393" t="str">
        <f>IF(A230="","",Calculation!$F$13)</f>
        <v/>
      </c>
      <c r="R230" s="394" t="str">
        <f>IF(A230="","",Calculation!X236)</f>
        <v/>
      </c>
      <c r="S230" s="393" t="str">
        <f>IF(A230="","",Calculation!T236)</f>
        <v/>
      </c>
      <c r="T230" s="395" t="str">
        <f>IF(A230="","",IF(Calculation!$O$8="None","Water",CONCATENATE(Calculation!$O$8,"-",Calculation!$S$8,"%")))</f>
        <v/>
      </c>
      <c r="U230" s="393" t="str">
        <f>IF(A230="","",Calculation!$P$6)</f>
        <v/>
      </c>
      <c r="V230" s="393" t="str">
        <f>IF(A230="","",Calculation!AT236)</f>
        <v/>
      </c>
      <c r="W230" s="396" t="str">
        <f>IF(A230="","",Calculation!AP236)</f>
        <v/>
      </c>
      <c r="X230" s="396" t="str">
        <f>IF(A230="","",Calculation!AO236)</f>
        <v/>
      </c>
      <c r="Y230" s="396" t="str">
        <f>IF(A230="","",Calculation!AQ236)</f>
        <v/>
      </c>
      <c r="Z230" s="396" t="str">
        <f>IF(A230="","",Calculation!$H$6)</f>
        <v/>
      </c>
      <c r="AA230" s="397" t="str">
        <f>IF(A230="","",Calculation!$H$13)</f>
        <v/>
      </c>
      <c r="AB230" s="397" t="str">
        <f>IF(A230="","",Calculation!U236)</f>
        <v/>
      </c>
      <c r="AC230" s="398" t="str">
        <f>IF(A230="","",IF(Calculation!$O$9="None","Water",CONCATENATE(Calculation!$O$9,"-",Calculation!$S$9,"%")))</f>
        <v/>
      </c>
      <c r="AD230" s="396" t="str">
        <f>IF(A230="","",Calculation!$S$6)</f>
        <v/>
      </c>
      <c r="AE230" s="399" t="str">
        <f>IF(A230="","",Calculation!BA236)</f>
        <v/>
      </c>
      <c r="AF230" s="396" t="str">
        <f>IF(A230="","",Calculation!AX236)</f>
        <v/>
      </c>
      <c r="AG230" s="396" t="str">
        <f>IF(A230="","",Calculation!AW236)</f>
        <v/>
      </c>
      <c r="AH230" s="391" t="str">
        <f>IF(A230="","",Calculation!AY236)</f>
        <v/>
      </c>
      <c r="AI230" s="391" t="str">
        <f>IF(A230="","",Calculation!Y236)</f>
        <v/>
      </c>
      <c r="AJ230" s="401" t="str">
        <f>IF(Calculation!BD236&gt;0,Calculation!BD236," ")</f>
        <v xml:space="preserve"> </v>
      </c>
      <c r="AK230" s="401" t="str">
        <f>IF(Calculation!BD236&gt;0,Calculation!BE236," ")</f>
        <v xml:space="preserve"> </v>
      </c>
      <c r="AL230" s="401" t="str">
        <f>IF(Calculation!BD236&gt;0,Calculation!BF236," ")</f>
        <v xml:space="preserve"> </v>
      </c>
      <c r="AM230" s="401" t="str">
        <f>IF(Calculation!BD236&gt;0,Calculation!BG236," ")</f>
        <v xml:space="preserve"> </v>
      </c>
      <c r="AN230" s="391" t="str">
        <f>IF(Calculation!BH236="N/A","N/A",Calculation!BH236)</f>
        <v xml:space="preserve"> </v>
      </c>
      <c r="AO230" s="402" t="str">
        <f>IF(Calculation!BI236="N/A","N/A",Calculation!BI236)</f>
        <v/>
      </c>
      <c r="AP230" s="391" t="str">
        <f>IF(Calculation!BJ236="N/A","N/A",Calculation!BJ236)</f>
        <v/>
      </c>
      <c r="AQ230" s="402" t="str">
        <f>IF(Calculation!BK236="N/A","N/A",Calculation!BK236)</f>
        <v/>
      </c>
      <c r="AR230" s="391" t="str">
        <f>IF(Calculation!BL236="N/A","N/A",Calculation!BL236)</f>
        <v/>
      </c>
      <c r="AS230" s="402" t="str">
        <f>IF(Calculation!BM236="N/A","N/A",Calculation!BM236)</f>
        <v/>
      </c>
      <c r="AT230" s="400"/>
    </row>
    <row r="231" spans="1:46">
      <c r="A231" s="224" t="str">
        <f>IF(Calculation!BN237="","",CONCATENATE(Calculation!BO237,"-",Calculation!R237,"-",Calculation!S237,"-",Calculation!T237,"-",Calculation!U237))</f>
        <v/>
      </c>
      <c r="B231" s="224">
        <v>216</v>
      </c>
      <c r="C231" s="629" t="str">
        <f>IF(A231="","",Calculation!B237)</f>
        <v/>
      </c>
      <c r="D231" s="386" t="str">
        <f>IF(A231="","",Calculation!L237)</f>
        <v/>
      </c>
      <c r="E231" s="387" t="str">
        <f>IF(A231="","",Calculation!J237)</f>
        <v/>
      </c>
      <c r="F231" s="387" t="str">
        <f>IF(A231="","",Calculation!C237)</f>
        <v/>
      </c>
      <c r="G231" s="387" t="str">
        <f>IF(A231="","",LEFT(Calculation!O237,6))</f>
        <v/>
      </c>
      <c r="H231" s="388" t="str">
        <f>IF(A231="","",Calculation!DX237)</f>
        <v/>
      </c>
      <c r="I231" s="387" t="str">
        <f>IF(A231="","",Calculation!P237)</f>
        <v/>
      </c>
      <c r="J231" s="387" t="str">
        <f>IF(A231="","",HLOOKUP(LEFT(Calculation!BO237,7),LookUps!$C$38:$M$41,4))</f>
        <v/>
      </c>
      <c r="K231" s="387" t="str">
        <f>IF(A231="","",Calculation!M237)</f>
        <v/>
      </c>
      <c r="L231" s="387" t="str">
        <f>IF(A231="","",Calculation!S237)</f>
        <v/>
      </c>
      <c r="M231" s="389" t="str">
        <f>IF(A231="","",Calculation!N237)</f>
        <v/>
      </c>
      <c r="N231" s="390" t="str">
        <f>IF(A231="","",Calculation!R237)</f>
        <v/>
      </c>
      <c r="O231" s="391" t="str">
        <f>IF(A231="","",Calculation!$F$6)</f>
        <v/>
      </c>
      <c r="P231" s="392" t="str">
        <f>IF(A231="","",Calculation!$F$7)</f>
        <v/>
      </c>
      <c r="Q231" s="393" t="str">
        <f>IF(A231="","",Calculation!$F$13)</f>
        <v/>
      </c>
      <c r="R231" s="394" t="str">
        <f>IF(A231="","",Calculation!X237)</f>
        <v/>
      </c>
      <c r="S231" s="393" t="str">
        <f>IF(A231="","",Calculation!T237)</f>
        <v/>
      </c>
      <c r="T231" s="395" t="str">
        <f>IF(A231="","",IF(Calculation!$O$8="None","Water",CONCATENATE(Calculation!$O$8,"-",Calculation!$S$8,"%")))</f>
        <v/>
      </c>
      <c r="U231" s="393" t="str">
        <f>IF(A231="","",Calculation!$P$6)</f>
        <v/>
      </c>
      <c r="V231" s="393" t="str">
        <f>IF(A231="","",Calculation!AT237)</f>
        <v/>
      </c>
      <c r="W231" s="396" t="str">
        <f>IF(A231="","",Calculation!AP237)</f>
        <v/>
      </c>
      <c r="X231" s="396" t="str">
        <f>IF(A231="","",Calculation!AO237)</f>
        <v/>
      </c>
      <c r="Y231" s="396" t="str">
        <f>IF(A231="","",Calculation!AQ237)</f>
        <v/>
      </c>
      <c r="Z231" s="396" t="str">
        <f>IF(A231="","",Calculation!$H$6)</f>
        <v/>
      </c>
      <c r="AA231" s="397" t="str">
        <f>IF(A231="","",Calculation!$H$13)</f>
        <v/>
      </c>
      <c r="AB231" s="397" t="str">
        <f>IF(A231="","",Calculation!U237)</f>
        <v/>
      </c>
      <c r="AC231" s="398" t="str">
        <f>IF(A231="","",IF(Calculation!$O$9="None","Water",CONCATENATE(Calculation!$O$9,"-",Calculation!$S$9,"%")))</f>
        <v/>
      </c>
      <c r="AD231" s="396" t="str">
        <f>IF(A231="","",Calculation!$S$6)</f>
        <v/>
      </c>
      <c r="AE231" s="399" t="str">
        <f>IF(A231="","",Calculation!BA237)</f>
        <v/>
      </c>
      <c r="AF231" s="396" t="str">
        <f>IF(A231="","",Calculation!AX237)</f>
        <v/>
      </c>
      <c r="AG231" s="396" t="str">
        <f>IF(A231="","",Calculation!AW237)</f>
        <v/>
      </c>
      <c r="AH231" s="391" t="str">
        <f>IF(A231="","",Calculation!AY237)</f>
        <v/>
      </c>
      <c r="AI231" s="391" t="str">
        <f>IF(A231="","",Calculation!Y237)</f>
        <v/>
      </c>
      <c r="AJ231" s="401" t="str">
        <f>IF(Calculation!BD237&gt;0,Calculation!BD237," ")</f>
        <v xml:space="preserve"> </v>
      </c>
      <c r="AK231" s="401" t="str">
        <f>IF(Calculation!BD237&gt;0,Calculation!BE237," ")</f>
        <v xml:space="preserve"> </v>
      </c>
      <c r="AL231" s="401" t="str">
        <f>IF(Calculation!BD237&gt;0,Calculation!BF237," ")</f>
        <v xml:space="preserve"> </v>
      </c>
      <c r="AM231" s="401" t="str">
        <f>IF(Calculation!BD237&gt;0,Calculation!BG237," ")</f>
        <v xml:space="preserve"> </v>
      </c>
      <c r="AN231" s="391" t="str">
        <f>IF(Calculation!BH237="N/A","N/A",Calculation!BH237)</f>
        <v xml:space="preserve"> </v>
      </c>
      <c r="AO231" s="402" t="str">
        <f>IF(Calculation!BI237="N/A","N/A",Calculation!BI237)</f>
        <v/>
      </c>
      <c r="AP231" s="391" t="str">
        <f>IF(Calculation!BJ237="N/A","N/A",Calculation!BJ237)</f>
        <v/>
      </c>
      <c r="AQ231" s="402" t="str">
        <f>IF(Calculation!BK237="N/A","N/A",Calculation!BK237)</f>
        <v/>
      </c>
      <c r="AR231" s="391" t="str">
        <f>IF(Calculation!BL237="N/A","N/A",Calculation!BL237)</f>
        <v/>
      </c>
      <c r="AS231" s="402" t="str">
        <f>IF(Calculation!BM237="N/A","N/A",Calculation!BM237)</f>
        <v/>
      </c>
      <c r="AT231" s="400"/>
    </row>
    <row r="232" spans="1:46">
      <c r="A232" s="224" t="str">
        <f>IF(Calculation!BN238="","",CONCATENATE(Calculation!BO238,"-",Calculation!R238,"-",Calculation!S238,"-",Calculation!T238,"-",Calculation!U238))</f>
        <v/>
      </c>
      <c r="B232" s="224">
        <v>217</v>
      </c>
      <c r="C232" s="629" t="str">
        <f>IF(A232="","",Calculation!B238)</f>
        <v/>
      </c>
      <c r="D232" s="386" t="str">
        <f>IF(A232="","",Calculation!L238)</f>
        <v/>
      </c>
      <c r="E232" s="387" t="str">
        <f>IF(A232="","",Calculation!J238)</f>
        <v/>
      </c>
      <c r="F232" s="387" t="str">
        <f>IF(A232="","",Calculation!C238)</f>
        <v/>
      </c>
      <c r="G232" s="387" t="str">
        <f>IF(A232="","",LEFT(Calculation!O238,6))</f>
        <v/>
      </c>
      <c r="H232" s="388" t="str">
        <f>IF(A232="","",Calculation!DX238)</f>
        <v/>
      </c>
      <c r="I232" s="387" t="str">
        <f>IF(A232="","",Calculation!P238)</f>
        <v/>
      </c>
      <c r="J232" s="387" t="str">
        <f>IF(A232="","",HLOOKUP(LEFT(Calculation!BO238,7),LookUps!$C$38:$M$41,4))</f>
        <v/>
      </c>
      <c r="K232" s="387" t="str">
        <f>IF(A232="","",Calculation!M238)</f>
        <v/>
      </c>
      <c r="L232" s="387" t="str">
        <f>IF(A232="","",Calculation!S238)</f>
        <v/>
      </c>
      <c r="M232" s="389" t="str">
        <f>IF(A232="","",Calculation!N238)</f>
        <v/>
      </c>
      <c r="N232" s="390" t="str">
        <f>IF(A232="","",Calculation!R238)</f>
        <v/>
      </c>
      <c r="O232" s="391" t="str">
        <f>IF(A232="","",Calculation!$F$6)</f>
        <v/>
      </c>
      <c r="P232" s="392" t="str">
        <f>IF(A232="","",Calculation!$F$7)</f>
        <v/>
      </c>
      <c r="Q232" s="393" t="str">
        <f>IF(A232="","",Calculation!$F$13)</f>
        <v/>
      </c>
      <c r="R232" s="394" t="str">
        <f>IF(A232="","",Calculation!X238)</f>
        <v/>
      </c>
      <c r="S232" s="393" t="str">
        <f>IF(A232="","",Calculation!T238)</f>
        <v/>
      </c>
      <c r="T232" s="395" t="str">
        <f>IF(A232="","",IF(Calculation!$O$8="None","Water",CONCATENATE(Calculation!$O$8,"-",Calculation!$S$8,"%")))</f>
        <v/>
      </c>
      <c r="U232" s="393" t="str">
        <f>IF(A232="","",Calculation!$P$6)</f>
        <v/>
      </c>
      <c r="V232" s="393" t="str">
        <f>IF(A232="","",Calculation!AT238)</f>
        <v/>
      </c>
      <c r="W232" s="396" t="str">
        <f>IF(A232="","",Calculation!AP238)</f>
        <v/>
      </c>
      <c r="X232" s="396" t="str">
        <f>IF(A232="","",Calculation!AO238)</f>
        <v/>
      </c>
      <c r="Y232" s="396" t="str">
        <f>IF(A232="","",Calculation!AQ238)</f>
        <v/>
      </c>
      <c r="Z232" s="396" t="str">
        <f>IF(A232="","",Calculation!$H$6)</f>
        <v/>
      </c>
      <c r="AA232" s="397" t="str">
        <f>IF(A232="","",Calculation!$H$13)</f>
        <v/>
      </c>
      <c r="AB232" s="397" t="str">
        <f>IF(A232="","",Calculation!U238)</f>
        <v/>
      </c>
      <c r="AC232" s="398" t="str">
        <f>IF(A232="","",IF(Calculation!$O$9="None","Water",CONCATENATE(Calculation!$O$9,"-",Calculation!$S$9,"%")))</f>
        <v/>
      </c>
      <c r="AD232" s="396" t="str">
        <f>IF(A232="","",Calculation!$S$6)</f>
        <v/>
      </c>
      <c r="AE232" s="399" t="str">
        <f>IF(A232="","",Calculation!BA238)</f>
        <v/>
      </c>
      <c r="AF232" s="396" t="str">
        <f>IF(A232="","",Calculation!AX238)</f>
        <v/>
      </c>
      <c r="AG232" s="396" t="str">
        <f>IF(A232="","",Calculation!AW238)</f>
        <v/>
      </c>
      <c r="AH232" s="391" t="str">
        <f>IF(A232="","",Calculation!AY238)</f>
        <v/>
      </c>
      <c r="AI232" s="391" t="str">
        <f>IF(A232="","",Calculation!Y238)</f>
        <v/>
      </c>
      <c r="AJ232" s="401" t="str">
        <f>IF(Calculation!BD238&gt;0,Calculation!BD238," ")</f>
        <v xml:space="preserve"> </v>
      </c>
      <c r="AK232" s="401" t="str">
        <f>IF(Calculation!BD238&gt;0,Calculation!BE238," ")</f>
        <v xml:space="preserve"> </v>
      </c>
      <c r="AL232" s="401" t="str">
        <f>IF(Calculation!BD238&gt;0,Calculation!BF238," ")</f>
        <v xml:space="preserve"> </v>
      </c>
      <c r="AM232" s="401" t="str">
        <f>IF(Calculation!BD238&gt;0,Calculation!BG238," ")</f>
        <v xml:space="preserve"> </v>
      </c>
      <c r="AN232" s="391" t="str">
        <f>IF(Calculation!BH238="N/A","N/A",Calculation!BH238)</f>
        <v xml:space="preserve"> </v>
      </c>
      <c r="AO232" s="402" t="str">
        <f>IF(Calculation!BI238="N/A","N/A",Calculation!BI238)</f>
        <v/>
      </c>
      <c r="AP232" s="391" t="str">
        <f>IF(Calculation!BJ238="N/A","N/A",Calculation!BJ238)</f>
        <v/>
      </c>
      <c r="AQ232" s="402" t="str">
        <f>IF(Calculation!BK238="N/A","N/A",Calculation!BK238)</f>
        <v/>
      </c>
      <c r="AR232" s="391" t="str">
        <f>IF(Calculation!BL238="N/A","N/A",Calculation!BL238)</f>
        <v/>
      </c>
      <c r="AS232" s="402" t="str">
        <f>IF(Calculation!BM238="N/A","N/A",Calculation!BM238)</f>
        <v/>
      </c>
      <c r="AT232" s="400"/>
    </row>
    <row r="233" spans="1:46">
      <c r="A233" s="224" t="str">
        <f>IF(Calculation!BN239="","",CONCATENATE(Calculation!BO239,"-",Calculation!R239,"-",Calculation!S239,"-",Calculation!T239,"-",Calculation!U239))</f>
        <v/>
      </c>
      <c r="B233" s="224">
        <v>218</v>
      </c>
      <c r="C233" s="629" t="str">
        <f>IF(A233="","",Calculation!B239)</f>
        <v/>
      </c>
      <c r="D233" s="386" t="str">
        <f>IF(A233="","",Calculation!L239)</f>
        <v/>
      </c>
      <c r="E233" s="387" t="str">
        <f>IF(A233="","",Calculation!J239)</f>
        <v/>
      </c>
      <c r="F233" s="387" t="str">
        <f>IF(A233="","",Calculation!C239)</f>
        <v/>
      </c>
      <c r="G233" s="387" t="str">
        <f>IF(A233="","",LEFT(Calculation!O239,6))</f>
        <v/>
      </c>
      <c r="H233" s="388" t="str">
        <f>IF(A233="","",Calculation!DX239)</f>
        <v/>
      </c>
      <c r="I233" s="387" t="str">
        <f>IF(A233="","",Calculation!P239)</f>
        <v/>
      </c>
      <c r="J233" s="387" t="str">
        <f>IF(A233="","",HLOOKUP(LEFT(Calculation!BO239,7),LookUps!$C$38:$M$41,4))</f>
        <v/>
      </c>
      <c r="K233" s="387" t="str">
        <f>IF(A233="","",Calculation!M239)</f>
        <v/>
      </c>
      <c r="L233" s="387" t="str">
        <f>IF(A233="","",Calculation!S239)</f>
        <v/>
      </c>
      <c r="M233" s="389" t="str">
        <f>IF(A233="","",Calculation!N239)</f>
        <v/>
      </c>
      <c r="N233" s="390" t="str">
        <f>IF(A233="","",Calculation!R239)</f>
        <v/>
      </c>
      <c r="O233" s="391" t="str">
        <f>IF(A233="","",Calculation!$F$6)</f>
        <v/>
      </c>
      <c r="P233" s="392" t="str">
        <f>IF(A233="","",Calculation!$F$7)</f>
        <v/>
      </c>
      <c r="Q233" s="393" t="str">
        <f>IF(A233="","",Calculation!$F$13)</f>
        <v/>
      </c>
      <c r="R233" s="394" t="str">
        <f>IF(A233="","",Calculation!X239)</f>
        <v/>
      </c>
      <c r="S233" s="393" t="str">
        <f>IF(A233="","",Calculation!T239)</f>
        <v/>
      </c>
      <c r="T233" s="395" t="str">
        <f>IF(A233="","",IF(Calculation!$O$8="None","Water",CONCATENATE(Calculation!$O$8,"-",Calculation!$S$8,"%")))</f>
        <v/>
      </c>
      <c r="U233" s="393" t="str">
        <f>IF(A233="","",Calculation!$P$6)</f>
        <v/>
      </c>
      <c r="V233" s="393" t="str">
        <f>IF(A233="","",Calculation!AT239)</f>
        <v/>
      </c>
      <c r="W233" s="396" t="str">
        <f>IF(A233="","",Calculation!AP239)</f>
        <v/>
      </c>
      <c r="X233" s="396" t="str">
        <f>IF(A233="","",Calculation!AO239)</f>
        <v/>
      </c>
      <c r="Y233" s="396" t="str">
        <f>IF(A233="","",Calculation!AQ239)</f>
        <v/>
      </c>
      <c r="Z233" s="396" t="str">
        <f>IF(A233="","",Calculation!$H$6)</f>
        <v/>
      </c>
      <c r="AA233" s="397" t="str">
        <f>IF(A233="","",Calculation!$H$13)</f>
        <v/>
      </c>
      <c r="AB233" s="397" t="str">
        <f>IF(A233="","",Calculation!U239)</f>
        <v/>
      </c>
      <c r="AC233" s="398" t="str">
        <f>IF(A233="","",IF(Calculation!$O$9="None","Water",CONCATENATE(Calculation!$O$9,"-",Calculation!$S$9,"%")))</f>
        <v/>
      </c>
      <c r="AD233" s="396" t="str">
        <f>IF(A233="","",Calculation!$S$6)</f>
        <v/>
      </c>
      <c r="AE233" s="399" t="str">
        <f>IF(A233="","",Calculation!BA239)</f>
        <v/>
      </c>
      <c r="AF233" s="396" t="str">
        <f>IF(A233="","",Calculation!AX239)</f>
        <v/>
      </c>
      <c r="AG233" s="396" t="str">
        <f>IF(A233="","",Calculation!AW239)</f>
        <v/>
      </c>
      <c r="AH233" s="391" t="str">
        <f>IF(A233="","",Calculation!AY239)</f>
        <v/>
      </c>
      <c r="AI233" s="391" t="str">
        <f>IF(A233="","",Calculation!Y239)</f>
        <v/>
      </c>
      <c r="AJ233" s="401" t="str">
        <f>IF(Calculation!BD239&gt;0,Calculation!BD239," ")</f>
        <v xml:space="preserve"> </v>
      </c>
      <c r="AK233" s="401" t="str">
        <f>IF(Calculation!BD239&gt;0,Calculation!BE239," ")</f>
        <v xml:space="preserve"> </v>
      </c>
      <c r="AL233" s="401" t="str">
        <f>IF(Calculation!BD239&gt;0,Calculation!BF239," ")</f>
        <v xml:space="preserve"> </v>
      </c>
      <c r="AM233" s="401" t="str">
        <f>IF(Calculation!BD239&gt;0,Calculation!BG239," ")</f>
        <v xml:space="preserve"> </v>
      </c>
      <c r="AN233" s="391" t="str">
        <f>IF(Calculation!BH239="N/A","N/A",Calculation!BH239)</f>
        <v xml:space="preserve"> </v>
      </c>
      <c r="AO233" s="402" t="str">
        <f>IF(Calculation!BI239="N/A","N/A",Calculation!BI239)</f>
        <v/>
      </c>
      <c r="AP233" s="391" t="str">
        <f>IF(Calculation!BJ239="N/A","N/A",Calculation!BJ239)</f>
        <v/>
      </c>
      <c r="AQ233" s="402" t="str">
        <f>IF(Calculation!BK239="N/A","N/A",Calculation!BK239)</f>
        <v/>
      </c>
      <c r="AR233" s="391" t="str">
        <f>IF(Calculation!BL239="N/A","N/A",Calculation!BL239)</f>
        <v/>
      </c>
      <c r="AS233" s="402" t="str">
        <f>IF(Calculation!BM239="N/A","N/A",Calculation!BM239)</f>
        <v/>
      </c>
      <c r="AT233" s="400"/>
    </row>
    <row r="234" spans="1:46">
      <c r="A234" s="224" t="str">
        <f>IF(Calculation!BN240="","",CONCATENATE(Calculation!BO240,"-",Calculation!R240,"-",Calculation!S240,"-",Calculation!T240,"-",Calculation!U240))</f>
        <v/>
      </c>
      <c r="B234" s="224">
        <v>219</v>
      </c>
      <c r="C234" s="629" t="str">
        <f>IF(A234="","",Calculation!B240)</f>
        <v/>
      </c>
      <c r="D234" s="386" t="str">
        <f>IF(A234="","",Calculation!L240)</f>
        <v/>
      </c>
      <c r="E234" s="387" t="str">
        <f>IF(A234="","",Calculation!J240)</f>
        <v/>
      </c>
      <c r="F234" s="387" t="str">
        <f>IF(A234="","",Calculation!C240)</f>
        <v/>
      </c>
      <c r="G234" s="387" t="str">
        <f>IF(A234="","",LEFT(Calculation!O240,6))</f>
        <v/>
      </c>
      <c r="H234" s="388" t="str">
        <f>IF(A234="","",Calculation!DX240)</f>
        <v/>
      </c>
      <c r="I234" s="387" t="str">
        <f>IF(A234="","",Calculation!P240)</f>
        <v/>
      </c>
      <c r="J234" s="387" t="str">
        <f>IF(A234="","",HLOOKUP(LEFT(Calculation!BO240,7),LookUps!$C$38:$M$41,4))</f>
        <v/>
      </c>
      <c r="K234" s="387" t="str">
        <f>IF(A234="","",Calculation!M240)</f>
        <v/>
      </c>
      <c r="L234" s="387" t="str">
        <f>IF(A234="","",Calculation!S240)</f>
        <v/>
      </c>
      <c r="M234" s="389" t="str">
        <f>IF(A234="","",Calculation!N240)</f>
        <v/>
      </c>
      <c r="N234" s="390" t="str">
        <f>IF(A234="","",Calculation!R240)</f>
        <v/>
      </c>
      <c r="O234" s="391" t="str">
        <f>IF(A234="","",Calculation!$F$6)</f>
        <v/>
      </c>
      <c r="P234" s="392" t="str">
        <f>IF(A234="","",Calculation!$F$7)</f>
        <v/>
      </c>
      <c r="Q234" s="393" t="str">
        <f>IF(A234="","",Calculation!$F$13)</f>
        <v/>
      </c>
      <c r="R234" s="394" t="str">
        <f>IF(A234="","",Calculation!X240)</f>
        <v/>
      </c>
      <c r="S234" s="393" t="str">
        <f>IF(A234="","",Calculation!T240)</f>
        <v/>
      </c>
      <c r="T234" s="395" t="str">
        <f>IF(A234="","",IF(Calculation!$O$8="None","Water",CONCATENATE(Calculation!$O$8,"-",Calculation!$S$8,"%")))</f>
        <v/>
      </c>
      <c r="U234" s="393" t="str">
        <f>IF(A234="","",Calculation!$P$6)</f>
        <v/>
      </c>
      <c r="V234" s="393" t="str">
        <f>IF(A234="","",Calculation!AT240)</f>
        <v/>
      </c>
      <c r="W234" s="396" t="str">
        <f>IF(A234="","",Calculation!AP240)</f>
        <v/>
      </c>
      <c r="X234" s="396" t="str">
        <f>IF(A234="","",Calculation!AO240)</f>
        <v/>
      </c>
      <c r="Y234" s="396" t="str">
        <f>IF(A234="","",Calculation!AQ240)</f>
        <v/>
      </c>
      <c r="Z234" s="396" t="str">
        <f>IF(A234="","",Calculation!$H$6)</f>
        <v/>
      </c>
      <c r="AA234" s="397" t="str">
        <f>IF(A234="","",Calculation!$H$13)</f>
        <v/>
      </c>
      <c r="AB234" s="397" t="str">
        <f>IF(A234="","",Calculation!U240)</f>
        <v/>
      </c>
      <c r="AC234" s="398" t="str">
        <f>IF(A234="","",IF(Calculation!$O$9="None","Water",CONCATENATE(Calculation!$O$9,"-",Calculation!$S$9,"%")))</f>
        <v/>
      </c>
      <c r="AD234" s="396" t="str">
        <f>IF(A234="","",Calculation!$S$6)</f>
        <v/>
      </c>
      <c r="AE234" s="399" t="str">
        <f>IF(A234="","",Calculation!BA240)</f>
        <v/>
      </c>
      <c r="AF234" s="396" t="str">
        <f>IF(A234="","",Calculation!AX240)</f>
        <v/>
      </c>
      <c r="AG234" s="396" t="str">
        <f>IF(A234="","",Calculation!AW240)</f>
        <v/>
      </c>
      <c r="AH234" s="391" t="str">
        <f>IF(A234="","",Calculation!AY240)</f>
        <v/>
      </c>
      <c r="AI234" s="391" t="str">
        <f>IF(A234="","",Calculation!Y240)</f>
        <v/>
      </c>
      <c r="AJ234" s="401" t="str">
        <f>IF(Calculation!BD240&gt;0,Calculation!BD240," ")</f>
        <v xml:space="preserve"> </v>
      </c>
      <c r="AK234" s="401" t="str">
        <f>IF(Calculation!BD240&gt;0,Calculation!BE240," ")</f>
        <v xml:space="preserve"> </v>
      </c>
      <c r="AL234" s="401" t="str">
        <f>IF(Calculation!BD240&gt;0,Calculation!BF240," ")</f>
        <v xml:space="preserve"> </v>
      </c>
      <c r="AM234" s="401" t="str">
        <f>IF(Calculation!BD240&gt;0,Calculation!BG240," ")</f>
        <v xml:space="preserve"> </v>
      </c>
      <c r="AN234" s="391" t="str">
        <f>IF(Calculation!BH240="N/A","N/A",Calculation!BH240)</f>
        <v xml:space="preserve"> </v>
      </c>
      <c r="AO234" s="402" t="str">
        <f>IF(Calculation!BI240="N/A","N/A",Calculation!BI240)</f>
        <v/>
      </c>
      <c r="AP234" s="391" t="str">
        <f>IF(Calculation!BJ240="N/A","N/A",Calculation!BJ240)</f>
        <v/>
      </c>
      <c r="AQ234" s="402" t="str">
        <f>IF(Calculation!BK240="N/A","N/A",Calculation!BK240)</f>
        <v/>
      </c>
      <c r="AR234" s="391" t="str">
        <f>IF(Calculation!BL240="N/A","N/A",Calculation!BL240)</f>
        <v/>
      </c>
      <c r="AS234" s="402" t="str">
        <f>IF(Calculation!BM240="N/A","N/A",Calculation!BM240)</f>
        <v/>
      </c>
      <c r="AT234" s="400"/>
    </row>
    <row r="235" spans="1:46">
      <c r="A235" s="224" t="str">
        <f>IF(Calculation!BN241="","",CONCATENATE(Calculation!BO241,"-",Calculation!R241,"-",Calculation!S241,"-",Calculation!T241,"-",Calculation!U241))</f>
        <v/>
      </c>
      <c r="B235" s="224">
        <v>220</v>
      </c>
      <c r="C235" s="629" t="str">
        <f>IF(A235="","",Calculation!B241)</f>
        <v/>
      </c>
      <c r="D235" s="386" t="str">
        <f>IF(A235="","",Calculation!L241)</f>
        <v/>
      </c>
      <c r="E235" s="387" t="str">
        <f>IF(A235="","",Calculation!J241)</f>
        <v/>
      </c>
      <c r="F235" s="387" t="str">
        <f>IF(A235="","",Calculation!C241)</f>
        <v/>
      </c>
      <c r="G235" s="387" t="str">
        <f>IF(A235="","",LEFT(Calculation!O241,6))</f>
        <v/>
      </c>
      <c r="H235" s="388" t="str">
        <f>IF(A235="","",Calculation!DX241)</f>
        <v/>
      </c>
      <c r="I235" s="387" t="str">
        <f>IF(A235="","",Calculation!P241)</f>
        <v/>
      </c>
      <c r="J235" s="387" t="str">
        <f>IF(A235="","",HLOOKUP(LEFT(Calculation!BO241,7),LookUps!$C$38:$M$41,4))</f>
        <v/>
      </c>
      <c r="K235" s="387" t="str">
        <f>IF(A235="","",Calculation!M241)</f>
        <v/>
      </c>
      <c r="L235" s="387" t="str">
        <f>IF(A235="","",Calculation!S241)</f>
        <v/>
      </c>
      <c r="M235" s="389" t="str">
        <f>IF(A235="","",Calculation!N241)</f>
        <v/>
      </c>
      <c r="N235" s="390" t="str">
        <f>IF(A235="","",Calculation!R241)</f>
        <v/>
      </c>
      <c r="O235" s="391" t="str">
        <f>IF(A235="","",Calculation!$F$6)</f>
        <v/>
      </c>
      <c r="P235" s="392" t="str">
        <f>IF(A235="","",Calculation!$F$7)</f>
        <v/>
      </c>
      <c r="Q235" s="393" t="str">
        <f>IF(A235="","",Calculation!$F$13)</f>
        <v/>
      </c>
      <c r="R235" s="394" t="str">
        <f>IF(A235="","",Calculation!X241)</f>
        <v/>
      </c>
      <c r="S235" s="393" t="str">
        <f>IF(A235="","",Calculation!T241)</f>
        <v/>
      </c>
      <c r="T235" s="395" t="str">
        <f>IF(A235="","",IF(Calculation!$O$8="None","Water",CONCATENATE(Calculation!$O$8,"-",Calculation!$S$8,"%")))</f>
        <v/>
      </c>
      <c r="U235" s="393" t="str">
        <f>IF(A235="","",Calculation!$P$6)</f>
        <v/>
      </c>
      <c r="V235" s="393" t="str">
        <f>IF(A235="","",Calculation!AT241)</f>
        <v/>
      </c>
      <c r="W235" s="396" t="str">
        <f>IF(A235="","",Calculation!AP241)</f>
        <v/>
      </c>
      <c r="X235" s="396" t="str">
        <f>IF(A235="","",Calculation!AO241)</f>
        <v/>
      </c>
      <c r="Y235" s="396" t="str">
        <f>IF(A235="","",Calculation!AQ241)</f>
        <v/>
      </c>
      <c r="Z235" s="396" t="str">
        <f>IF(A235="","",Calculation!$H$6)</f>
        <v/>
      </c>
      <c r="AA235" s="397" t="str">
        <f>IF(A235="","",Calculation!$H$13)</f>
        <v/>
      </c>
      <c r="AB235" s="397" t="str">
        <f>IF(A235="","",Calculation!U241)</f>
        <v/>
      </c>
      <c r="AC235" s="398" t="str">
        <f>IF(A235="","",IF(Calculation!$O$9="None","Water",CONCATENATE(Calculation!$O$9,"-",Calculation!$S$9,"%")))</f>
        <v/>
      </c>
      <c r="AD235" s="396" t="str">
        <f>IF(A235="","",Calculation!$S$6)</f>
        <v/>
      </c>
      <c r="AE235" s="399" t="str">
        <f>IF(A235="","",Calculation!BA241)</f>
        <v/>
      </c>
      <c r="AF235" s="396" t="str">
        <f>IF(A235="","",Calculation!AX241)</f>
        <v/>
      </c>
      <c r="AG235" s="396" t="str">
        <f>IF(A235="","",Calculation!AW241)</f>
        <v/>
      </c>
      <c r="AH235" s="391" t="str">
        <f>IF(A235="","",Calculation!AY241)</f>
        <v/>
      </c>
      <c r="AI235" s="391" t="str">
        <f>IF(A235="","",Calculation!Y241)</f>
        <v/>
      </c>
      <c r="AJ235" s="401" t="str">
        <f>IF(Calculation!BD241&gt;0,Calculation!BD241," ")</f>
        <v xml:space="preserve"> </v>
      </c>
      <c r="AK235" s="401" t="str">
        <f>IF(Calculation!BD241&gt;0,Calculation!BE241," ")</f>
        <v xml:space="preserve"> </v>
      </c>
      <c r="AL235" s="401" t="str">
        <f>IF(Calculation!BD241&gt;0,Calculation!BF241," ")</f>
        <v xml:space="preserve"> </v>
      </c>
      <c r="AM235" s="401" t="str">
        <f>IF(Calculation!BD241&gt;0,Calculation!BG241," ")</f>
        <v xml:space="preserve"> </v>
      </c>
      <c r="AN235" s="391" t="str">
        <f>IF(Calculation!BH241="N/A","N/A",Calculation!BH241)</f>
        <v xml:space="preserve"> </v>
      </c>
      <c r="AO235" s="402" t="str">
        <f>IF(Calculation!BI241="N/A","N/A",Calculation!BI241)</f>
        <v/>
      </c>
      <c r="AP235" s="391" t="str">
        <f>IF(Calculation!BJ241="N/A","N/A",Calculation!BJ241)</f>
        <v/>
      </c>
      <c r="AQ235" s="402" t="str">
        <f>IF(Calculation!BK241="N/A","N/A",Calculation!BK241)</f>
        <v/>
      </c>
      <c r="AR235" s="391" t="str">
        <f>IF(Calculation!BL241="N/A","N/A",Calculation!BL241)</f>
        <v/>
      </c>
      <c r="AS235" s="402" t="str">
        <f>IF(Calculation!BM241="N/A","N/A",Calculation!BM241)</f>
        <v/>
      </c>
      <c r="AT235" s="400"/>
    </row>
    <row r="236" spans="1:46">
      <c r="A236" s="224" t="str">
        <f>IF(Calculation!BN242="","",CONCATENATE(Calculation!BO242,"-",Calculation!R242,"-",Calculation!S242,"-",Calculation!T242,"-",Calculation!U242))</f>
        <v/>
      </c>
      <c r="B236" s="224">
        <v>221</v>
      </c>
      <c r="C236" s="629" t="str">
        <f>IF(A236="","",Calculation!B242)</f>
        <v/>
      </c>
      <c r="D236" s="386" t="str">
        <f>IF(A236="","",Calculation!L242)</f>
        <v/>
      </c>
      <c r="E236" s="387" t="str">
        <f>IF(A236="","",Calculation!J242)</f>
        <v/>
      </c>
      <c r="F236" s="387" t="str">
        <f>IF(A236="","",Calculation!C242)</f>
        <v/>
      </c>
      <c r="G236" s="387" t="str">
        <f>IF(A236="","",LEFT(Calculation!O242,6))</f>
        <v/>
      </c>
      <c r="H236" s="388" t="str">
        <f>IF(A236="","",Calculation!DX242)</f>
        <v/>
      </c>
      <c r="I236" s="387" t="str">
        <f>IF(A236="","",Calculation!P242)</f>
        <v/>
      </c>
      <c r="J236" s="387" t="str">
        <f>IF(A236="","",HLOOKUP(LEFT(Calculation!BO242,7),LookUps!$C$38:$M$41,4))</f>
        <v/>
      </c>
      <c r="K236" s="387" t="str">
        <f>IF(A236="","",Calculation!M242)</f>
        <v/>
      </c>
      <c r="L236" s="387" t="str">
        <f>IF(A236="","",Calculation!S242)</f>
        <v/>
      </c>
      <c r="M236" s="389" t="str">
        <f>IF(A236="","",Calculation!N242)</f>
        <v/>
      </c>
      <c r="N236" s="390" t="str">
        <f>IF(A236="","",Calculation!R242)</f>
        <v/>
      </c>
      <c r="O236" s="391" t="str">
        <f>IF(A236="","",Calculation!$F$6)</f>
        <v/>
      </c>
      <c r="P236" s="392" t="str">
        <f>IF(A236="","",Calculation!$F$7)</f>
        <v/>
      </c>
      <c r="Q236" s="393" t="str">
        <f>IF(A236="","",Calculation!$F$13)</f>
        <v/>
      </c>
      <c r="R236" s="394" t="str">
        <f>IF(A236="","",Calculation!X242)</f>
        <v/>
      </c>
      <c r="S236" s="393" t="str">
        <f>IF(A236="","",Calculation!T242)</f>
        <v/>
      </c>
      <c r="T236" s="395" t="str">
        <f>IF(A236="","",IF(Calculation!$O$8="None","Water",CONCATENATE(Calculation!$O$8,"-",Calculation!$S$8,"%")))</f>
        <v/>
      </c>
      <c r="U236" s="393" t="str">
        <f>IF(A236="","",Calculation!$P$6)</f>
        <v/>
      </c>
      <c r="V236" s="393" t="str">
        <f>IF(A236="","",Calculation!AT242)</f>
        <v/>
      </c>
      <c r="W236" s="396" t="str">
        <f>IF(A236="","",Calculation!AP242)</f>
        <v/>
      </c>
      <c r="X236" s="396" t="str">
        <f>IF(A236="","",Calculation!AO242)</f>
        <v/>
      </c>
      <c r="Y236" s="396" t="str">
        <f>IF(A236="","",Calculation!AQ242)</f>
        <v/>
      </c>
      <c r="Z236" s="396" t="str">
        <f>IF(A236="","",Calculation!$H$6)</f>
        <v/>
      </c>
      <c r="AA236" s="397" t="str">
        <f>IF(A236="","",Calculation!$H$13)</f>
        <v/>
      </c>
      <c r="AB236" s="397" t="str">
        <f>IF(A236="","",Calculation!U242)</f>
        <v/>
      </c>
      <c r="AC236" s="398" t="str">
        <f>IF(A236="","",IF(Calculation!$O$9="None","Water",CONCATENATE(Calculation!$O$9,"-",Calculation!$S$9,"%")))</f>
        <v/>
      </c>
      <c r="AD236" s="396" t="str">
        <f>IF(A236="","",Calculation!$S$6)</f>
        <v/>
      </c>
      <c r="AE236" s="399" t="str">
        <f>IF(A236="","",Calculation!BA242)</f>
        <v/>
      </c>
      <c r="AF236" s="396" t="str">
        <f>IF(A236="","",Calculation!AX242)</f>
        <v/>
      </c>
      <c r="AG236" s="396" t="str">
        <f>IF(A236="","",Calculation!AW242)</f>
        <v/>
      </c>
      <c r="AH236" s="391" t="str">
        <f>IF(A236="","",Calculation!AY242)</f>
        <v/>
      </c>
      <c r="AI236" s="391" t="str">
        <f>IF(A236="","",Calculation!Y242)</f>
        <v/>
      </c>
      <c r="AJ236" s="401" t="str">
        <f>IF(Calculation!BD242&gt;0,Calculation!BD242," ")</f>
        <v xml:space="preserve"> </v>
      </c>
      <c r="AK236" s="401" t="str">
        <f>IF(Calculation!BD242&gt;0,Calculation!BE242," ")</f>
        <v xml:space="preserve"> </v>
      </c>
      <c r="AL236" s="401" t="str">
        <f>IF(Calculation!BD242&gt;0,Calculation!BF242," ")</f>
        <v xml:space="preserve"> </v>
      </c>
      <c r="AM236" s="401" t="str">
        <f>IF(Calculation!BD242&gt;0,Calculation!BG242," ")</f>
        <v xml:space="preserve"> </v>
      </c>
      <c r="AN236" s="391" t="str">
        <f>IF(Calculation!BH242="N/A","N/A",Calculation!BH242)</f>
        <v xml:space="preserve"> </v>
      </c>
      <c r="AO236" s="402" t="str">
        <f>IF(Calculation!BI242="N/A","N/A",Calculation!BI242)</f>
        <v/>
      </c>
      <c r="AP236" s="391" t="str">
        <f>IF(Calculation!BJ242="N/A","N/A",Calculation!BJ242)</f>
        <v/>
      </c>
      <c r="AQ236" s="402" t="str">
        <f>IF(Calculation!BK242="N/A","N/A",Calculation!BK242)</f>
        <v/>
      </c>
      <c r="AR236" s="391" t="str">
        <f>IF(Calculation!BL242="N/A","N/A",Calculation!BL242)</f>
        <v/>
      </c>
      <c r="AS236" s="402" t="str">
        <f>IF(Calculation!BM242="N/A","N/A",Calculation!BM242)</f>
        <v/>
      </c>
      <c r="AT236" s="400"/>
    </row>
    <row r="237" spans="1:46">
      <c r="A237" s="224" t="str">
        <f>IF(Calculation!BN243="","",CONCATENATE(Calculation!BO243,"-",Calculation!R243,"-",Calculation!S243,"-",Calculation!T243,"-",Calculation!U243))</f>
        <v/>
      </c>
      <c r="B237" s="224">
        <v>222</v>
      </c>
      <c r="C237" s="629" t="str">
        <f>IF(A237="","",Calculation!B243)</f>
        <v/>
      </c>
      <c r="D237" s="386" t="str">
        <f>IF(A237="","",Calculation!L243)</f>
        <v/>
      </c>
      <c r="E237" s="387" t="str">
        <f>IF(A237="","",Calculation!J243)</f>
        <v/>
      </c>
      <c r="F237" s="387" t="str">
        <f>IF(A237="","",Calculation!C243)</f>
        <v/>
      </c>
      <c r="G237" s="387" t="str">
        <f>IF(A237="","",LEFT(Calculation!O243,6))</f>
        <v/>
      </c>
      <c r="H237" s="388" t="str">
        <f>IF(A237="","",Calculation!DX243)</f>
        <v/>
      </c>
      <c r="I237" s="387" t="str">
        <f>IF(A237="","",Calculation!P243)</f>
        <v/>
      </c>
      <c r="J237" s="387" t="str">
        <f>IF(A237="","",HLOOKUP(LEFT(Calculation!BO243,7),LookUps!$C$38:$M$41,4))</f>
        <v/>
      </c>
      <c r="K237" s="387" t="str">
        <f>IF(A237="","",Calculation!M243)</f>
        <v/>
      </c>
      <c r="L237" s="387" t="str">
        <f>IF(A237="","",Calculation!S243)</f>
        <v/>
      </c>
      <c r="M237" s="389" t="str">
        <f>IF(A237="","",Calculation!N243)</f>
        <v/>
      </c>
      <c r="N237" s="390" t="str">
        <f>IF(A237="","",Calculation!R243)</f>
        <v/>
      </c>
      <c r="O237" s="391" t="str">
        <f>IF(A237="","",Calculation!$F$6)</f>
        <v/>
      </c>
      <c r="P237" s="392" t="str">
        <f>IF(A237="","",Calculation!$F$7)</f>
        <v/>
      </c>
      <c r="Q237" s="393" t="str">
        <f>IF(A237="","",Calculation!$F$13)</f>
        <v/>
      </c>
      <c r="R237" s="394" t="str">
        <f>IF(A237="","",Calculation!X243)</f>
        <v/>
      </c>
      <c r="S237" s="393" t="str">
        <f>IF(A237="","",Calculation!T243)</f>
        <v/>
      </c>
      <c r="T237" s="395" t="str">
        <f>IF(A237="","",IF(Calculation!$O$8="None","Water",CONCATENATE(Calculation!$O$8,"-",Calculation!$S$8,"%")))</f>
        <v/>
      </c>
      <c r="U237" s="393" t="str">
        <f>IF(A237="","",Calculation!$P$6)</f>
        <v/>
      </c>
      <c r="V237" s="393" t="str">
        <f>IF(A237="","",Calculation!AT243)</f>
        <v/>
      </c>
      <c r="W237" s="396" t="str">
        <f>IF(A237="","",Calculation!AP243)</f>
        <v/>
      </c>
      <c r="X237" s="396" t="str">
        <f>IF(A237="","",Calculation!AO243)</f>
        <v/>
      </c>
      <c r="Y237" s="396" t="str">
        <f>IF(A237="","",Calculation!AQ243)</f>
        <v/>
      </c>
      <c r="Z237" s="396" t="str">
        <f>IF(A237="","",Calculation!$H$6)</f>
        <v/>
      </c>
      <c r="AA237" s="397" t="str">
        <f>IF(A237="","",Calculation!$H$13)</f>
        <v/>
      </c>
      <c r="AB237" s="397" t="str">
        <f>IF(A237="","",Calculation!U243)</f>
        <v/>
      </c>
      <c r="AC237" s="398" t="str">
        <f>IF(A237="","",IF(Calculation!$O$9="None","Water",CONCATENATE(Calculation!$O$9,"-",Calculation!$S$9,"%")))</f>
        <v/>
      </c>
      <c r="AD237" s="396" t="str">
        <f>IF(A237="","",Calculation!$S$6)</f>
        <v/>
      </c>
      <c r="AE237" s="399" t="str">
        <f>IF(A237="","",Calculation!BA243)</f>
        <v/>
      </c>
      <c r="AF237" s="396" t="str">
        <f>IF(A237="","",Calculation!AX243)</f>
        <v/>
      </c>
      <c r="AG237" s="396" t="str">
        <f>IF(A237="","",Calculation!AW243)</f>
        <v/>
      </c>
      <c r="AH237" s="391" t="str">
        <f>IF(A237="","",Calculation!AY243)</f>
        <v/>
      </c>
      <c r="AI237" s="391" t="str">
        <f>IF(A237="","",Calculation!Y243)</f>
        <v/>
      </c>
      <c r="AJ237" s="401" t="str">
        <f>IF(Calculation!BD243&gt;0,Calculation!BD243," ")</f>
        <v xml:space="preserve"> </v>
      </c>
      <c r="AK237" s="401" t="str">
        <f>IF(Calculation!BD243&gt;0,Calculation!BE243," ")</f>
        <v xml:space="preserve"> </v>
      </c>
      <c r="AL237" s="401" t="str">
        <f>IF(Calculation!BD243&gt;0,Calculation!BF243," ")</f>
        <v xml:space="preserve"> </v>
      </c>
      <c r="AM237" s="401" t="str">
        <f>IF(Calculation!BD243&gt;0,Calculation!BG243," ")</f>
        <v xml:space="preserve"> </v>
      </c>
      <c r="AN237" s="391" t="str">
        <f>IF(Calculation!BH243="N/A","N/A",Calculation!BH243)</f>
        <v xml:space="preserve"> </v>
      </c>
      <c r="AO237" s="402" t="str">
        <f>IF(Calculation!BI243="N/A","N/A",Calculation!BI243)</f>
        <v/>
      </c>
      <c r="AP237" s="391" t="str">
        <f>IF(Calculation!BJ243="N/A","N/A",Calculation!BJ243)</f>
        <v/>
      </c>
      <c r="AQ237" s="402" t="str">
        <f>IF(Calculation!BK243="N/A","N/A",Calculation!BK243)</f>
        <v/>
      </c>
      <c r="AR237" s="391" t="str">
        <f>IF(Calculation!BL243="N/A","N/A",Calculation!BL243)</f>
        <v/>
      </c>
      <c r="AS237" s="402" t="str">
        <f>IF(Calculation!BM243="N/A","N/A",Calculation!BM243)</f>
        <v/>
      </c>
      <c r="AT237" s="400"/>
    </row>
    <row r="238" spans="1:46">
      <c r="A238" s="224" t="str">
        <f>IF(Calculation!BN244="","",CONCATENATE(Calculation!BO244,"-",Calculation!R244,"-",Calculation!S244,"-",Calculation!T244,"-",Calculation!U244))</f>
        <v/>
      </c>
      <c r="B238" s="224">
        <v>223</v>
      </c>
      <c r="C238" s="629" t="str">
        <f>IF(A238="","",Calculation!B244)</f>
        <v/>
      </c>
      <c r="D238" s="386" t="str">
        <f>IF(A238="","",Calculation!L244)</f>
        <v/>
      </c>
      <c r="E238" s="387" t="str">
        <f>IF(A238="","",Calculation!J244)</f>
        <v/>
      </c>
      <c r="F238" s="387" t="str">
        <f>IF(A238="","",Calculation!C244)</f>
        <v/>
      </c>
      <c r="G238" s="387" t="str">
        <f>IF(A238="","",LEFT(Calculation!O244,6))</f>
        <v/>
      </c>
      <c r="H238" s="388" t="str">
        <f>IF(A238="","",Calculation!DX244)</f>
        <v/>
      </c>
      <c r="I238" s="387" t="str">
        <f>IF(A238="","",Calculation!P244)</f>
        <v/>
      </c>
      <c r="J238" s="387" t="str">
        <f>IF(A238="","",HLOOKUP(LEFT(Calculation!BO244,7),LookUps!$C$38:$M$41,4))</f>
        <v/>
      </c>
      <c r="K238" s="387" t="str">
        <f>IF(A238="","",Calculation!M244)</f>
        <v/>
      </c>
      <c r="L238" s="387" t="str">
        <f>IF(A238="","",Calculation!S244)</f>
        <v/>
      </c>
      <c r="M238" s="389" t="str">
        <f>IF(A238="","",Calculation!N244)</f>
        <v/>
      </c>
      <c r="N238" s="390" t="str">
        <f>IF(A238="","",Calculation!R244)</f>
        <v/>
      </c>
      <c r="O238" s="391" t="str">
        <f>IF(A238="","",Calculation!$F$6)</f>
        <v/>
      </c>
      <c r="P238" s="392" t="str">
        <f>IF(A238="","",Calculation!$F$7)</f>
        <v/>
      </c>
      <c r="Q238" s="393" t="str">
        <f>IF(A238="","",Calculation!$F$13)</f>
        <v/>
      </c>
      <c r="R238" s="394" t="str">
        <f>IF(A238="","",Calculation!X244)</f>
        <v/>
      </c>
      <c r="S238" s="393" t="str">
        <f>IF(A238="","",Calculation!T244)</f>
        <v/>
      </c>
      <c r="T238" s="395" t="str">
        <f>IF(A238="","",IF(Calculation!$O$8="None","Water",CONCATENATE(Calculation!$O$8,"-",Calculation!$S$8,"%")))</f>
        <v/>
      </c>
      <c r="U238" s="393" t="str">
        <f>IF(A238="","",Calculation!$P$6)</f>
        <v/>
      </c>
      <c r="V238" s="393" t="str">
        <f>IF(A238="","",Calculation!AT244)</f>
        <v/>
      </c>
      <c r="W238" s="396" t="str">
        <f>IF(A238="","",Calculation!AP244)</f>
        <v/>
      </c>
      <c r="X238" s="396" t="str">
        <f>IF(A238="","",Calculation!AO244)</f>
        <v/>
      </c>
      <c r="Y238" s="396" t="str">
        <f>IF(A238="","",Calculation!AQ244)</f>
        <v/>
      </c>
      <c r="Z238" s="396" t="str">
        <f>IF(A238="","",Calculation!$H$6)</f>
        <v/>
      </c>
      <c r="AA238" s="397" t="str">
        <f>IF(A238="","",Calculation!$H$13)</f>
        <v/>
      </c>
      <c r="AB238" s="397" t="str">
        <f>IF(A238="","",Calculation!U244)</f>
        <v/>
      </c>
      <c r="AC238" s="398" t="str">
        <f>IF(A238="","",IF(Calculation!$O$9="None","Water",CONCATENATE(Calculation!$O$9,"-",Calculation!$S$9,"%")))</f>
        <v/>
      </c>
      <c r="AD238" s="396" t="str">
        <f>IF(A238="","",Calculation!$S$6)</f>
        <v/>
      </c>
      <c r="AE238" s="399" t="str">
        <f>IF(A238="","",Calculation!BA244)</f>
        <v/>
      </c>
      <c r="AF238" s="396" t="str">
        <f>IF(A238="","",Calculation!AX244)</f>
        <v/>
      </c>
      <c r="AG238" s="396" t="str">
        <f>IF(A238="","",Calculation!AW244)</f>
        <v/>
      </c>
      <c r="AH238" s="391" t="str">
        <f>IF(A238="","",Calculation!AY244)</f>
        <v/>
      </c>
      <c r="AI238" s="391" t="str">
        <f>IF(A238="","",Calculation!Y244)</f>
        <v/>
      </c>
      <c r="AJ238" s="401" t="str">
        <f>IF(Calculation!BD244&gt;0,Calculation!BD244," ")</f>
        <v xml:space="preserve"> </v>
      </c>
      <c r="AK238" s="401" t="str">
        <f>IF(Calculation!BD244&gt;0,Calculation!BE244," ")</f>
        <v xml:space="preserve"> </v>
      </c>
      <c r="AL238" s="401" t="str">
        <f>IF(Calculation!BD244&gt;0,Calculation!BF244," ")</f>
        <v xml:space="preserve"> </v>
      </c>
      <c r="AM238" s="401" t="str">
        <f>IF(Calculation!BD244&gt;0,Calculation!BG244," ")</f>
        <v xml:space="preserve"> </v>
      </c>
      <c r="AN238" s="391" t="str">
        <f>IF(Calculation!BH244="N/A","N/A",Calculation!BH244)</f>
        <v xml:space="preserve"> </v>
      </c>
      <c r="AO238" s="402" t="str">
        <f>IF(Calculation!BI244="N/A","N/A",Calculation!BI244)</f>
        <v/>
      </c>
      <c r="AP238" s="391" t="str">
        <f>IF(Calculation!BJ244="N/A","N/A",Calculation!BJ244)</f>
        <v/>
      </c>
      <c r="AQ238" s="402" t="str">
        <f>IF(Calculation!BK244="N/A","N/A",Calculation!BK244)</f>
        <v/>
      </c>
      <c r="AR238" s="391" t="str">
        <f>IF(Calculation!BL244="N/A","N/A",Calculation!BL244)</f>
        <v/>
      </c>
      <c r="AS238" s="402" t="str">
        <f>IF(Calculation!BM244="N/A","N/A",Calculation!BM244)</f>
        <v/>
      </c>
      <c r="AT238" s="400"/>
    </row>
    <row r="239" spans="1:46">
      <c r="A239" s="224" t="str">
        <f>IF(Calculation!BN245="","",CONCATENATE(Calculation!BO245,"-",Calculation!R245,"-",Calculation!S245,"-",Calculation!T245,"-",Calculation!U245))</f>
        <v/>
      </c>
      <c r="B239" s="224">
        <v>224</v>
      </c>
      <c r="C239" s="629" t="str">
        <f>IF(A239="","",Calculation!B245)</f>
        <v/>
      </c>
      <c r="D239" s="386" t="str">
        <f>IF(A239="","",Calculation!L245)</f>
        <v/>
      </c>
      <c r="E239" s="387" t="str">
        <f>IF(A239="","",Calculation!J245)</f>
        <v/>
      </c>
      <c r="F239" s="387" t="str">
        <f>IF(A239="","",Calculation!C245)</f>
        <v/>
      </c>
      <c r="G239" s="387" t="str">
        <f>IF(A239="","",LEFT(Calculation!O245,6))</f>
        <v/>
      </c>
      <c r="H239" s="388" t="str">
        <f>IF(A239="","",Calculation!DX245)</f>
        <v/>
      </c>
      <c r="I239" s="387" t="str">
        <f>IF(A239="","",Calculation!P245)</f>
        <v/>
      </c>
      <c r="J239" s="387" t="str">
        <f>IF(A239="","",HLOOKUP(LEFT(Calculation!BO245,7),LookUps!$C$38:$M$41,4))</f>
        <v/>
      </c>
      <c r="K239" s="387" t="str">
        <f>IF(A239="","",Calculation!M245)</f>
        <v/>
      </c>
      <c r="L239" s="387" t="str">
        <f>IF(A239="","",Calculation!S245)</f>
        <v/>
      </c>
      <c r="M239" s="389" t="str">
        <f>IF(A239="","",Calculation!N245)</f>
        <v/>
      </c>
      <c r="N239" s="390" t="str">
        <f>IF(A239="","",Calculation!R245)</f>
        <v/>
      </c>
      <c r="O239" s="391" t="str">
        <f>IF(A239="","",Calculation!$F$6)</f>
        <v/>
      </c>
      <c r="P239" s="392" t="str">
        <f>IF(A239="","",Calculation!$F$7)</f>
        <v/>
      </c>
      <c r="Q239" s="393" t="str">
        <f>IF(A239="","",Calculation!$F$13)</f>
        <v/>
      </c>
      <c r="R239" s="394" t="str">
        <f>IF(A239="","",Calculation!X245)</f>
        <v/>
      </c>
      <c r="S239" s="393" t="str">
        <f>IF(A239="","",Calculation!T245)</f>
        <v/>
      </c>
      <c r="T239" s="395" t="str">
        <f>IF(A239="","",IF(Calculation!$O$8="None","Water",CONCATENATE(Calculation!$O$8,"-",Calculation!$S$8,"%")))</f>
        <v/>
      </c>
      <c r="U239" s="393" t="str">
        <f>IF(A239="","",Calculation!$P$6)</f>
        <v/>
      </c>
      <c r="V239" s="393" t="str">
        <f>IF(A239="","",Calculation!AT245)</f>
        <v/>
      </c>
      <c r="W239" s="396" t="str">
        <f>IF(A239="","",Calculation!AP245)</f>
        <v/>
      </c>
      <c r="X239" s="396" t="str">
        <f>IF(A239="","",Calculation!AO245)</f>
        <v/>
      </c>
      <c r="Y239" s="396" t="str">
        <f>IF(A239="","",Calculation!AQ245)</f>
        <v/>
      </c>
      <c r="Z239" s="396" t="str">
        <f>IF(A239="","",Calculation!$H$6)</f>
        <v/>
      </c>
      <c r="AA239" s="397" t="str">
        <f>IF(A239="","",Calculation!$H$13)</f>
        <v/>
      </c>
      <c r="AB239" s="397" t="str">
        <f>IF(A239="","",Calculation!U245)</f>
        <v/>
      </c>
      <c r="AC239" s="398" t="str">
        <f>IF(A239="","",IF(Calculation!$O$9="None","Water",CONCATENATE(Calculation!$O$9,"-",Calculation!$S$9,"%")))</f>
        <v/>
      </c>
      <c r="AD239" s="396" t="str">
        <f>IF(A239="","",Calculation!$S$6)</f>
        <v/>
      </c>
      <c r="AE239" s="399" t="str">
        <f>IF(A239="","",Calculation!BA245)</f>
        <v/>
      </c>
      <c r="AF239" s="396" t="str">
        <f>IF(A239="","",Calculation!AX245)</f>
        <v/>
      </c>
      <c r="AG239" s="396" t="str">
        <f>IF(A239="","",Calculation!AW245)</f>
        <v/>
      </c>
      <c r="AH239" s="391" t="str">
        <f>IF(A239="","",Calculation!AY245)</f>
        <v/>
      </c>
      <c r="AI239" s="391" t="str">
        <f>IF(A239="","",Calculation!Y245)</f>
        <v/>
      </c>
      <c r="AJ239" s="401" t="str">
        <f>IF(Calculation!BD245&gt;0,Calculation!BD245," ")</f>
        <v xml:space="preserve"> </v>
      </c>
      <c r="AK239" s="401" t="str">
        <f>IF(Calculation!BD245&gt;0,Calculation!BE245," ")</f>
        <v xml:space="preserve"> </v>
      </c>
      <c r="AL239" s="401" t="str">
        <f>IF(Calculation!BD245&gt;0,Calculation!BF245," ")</f>
        <v xml:space="preserve"> </v>
      </c>
      <c r="AM239" s="401" t="str">
        <f>IF(Calculation!BD245&gt;0,Calculation!BG245," ")</f>
        <v xml:space="preserve"> </v>
      </c>
      <c r="AN239" s="391" t="str">
        <f>IF(Calculation!BH245="N/A","N/A",Calculation!BH245)</f>
        <v xml:space="preserve"> </v>
      </c>
      <c r="AO239" s="402" t="str">
        <f>IF(Calculation!BI245="N/A","N/A",Calculation!BI245)</f>
        <v/>
      </c>
      <c r="AP239" s="391" t="str">
        <f>IF(Calculation!BJ245="N/A","N/A",Calculation!BJ245)</f>
        <v/>
      </c>
      <c r="AQ239" s="402" t="str">
        <f>IF(Calculation!BK245="N/A","N/A",Calculation!BK245)</f>
        <v/>
      </c>
      <c r="AR239" s="391" t="str">
        <f>IF(Calculation!BL245="N/A","N/A",Calculation!BL245)</f>
        <v/>
      </c>
      <c r="AS239" s="402" t="str">
        <f>IF(Calculation!BM245="N/A","N/A",Calculation!BM245)</f>
        <v/>
      </c>
      <c r="AT239" s="400"/>
    </row>
    <row r="240" spans="1:46">
      <c r="A240" s="224" t="str">
        <f>IF(Calculation!BN246="","",CONCATENATE(Calculation!BO246,"-",Calculation!R246,"-",Calculation!S246,"-",Calculation!T246,"-",Calculation!U246))</f>
        <v/>
      </c>
      <c r="B240" s="224">
        <v>225</v>
      </c>
      <c r="C240" s="629" t="str">
        <f>IF(A240="","",Calculation!B246)</f>
        <v/>
      </c>
      <c r="D240" s="386" t="str">
        <f>IF(A240="","",Calculation!L246)</f>
        <v/>
      </c>
      <c r="E240" s="387" t="str">
        <f>IF(A240="","",Calculation!J246)</f>
        <v/>
      </c>
      <c r="F240" s="387" t="str">
        <f>IF(A240="","",Calculation!C246)</f>
        <v/>
      </c>
      <c r="G240" s="387" t="str">
        <f>IF(A240="","",LEFT(Calculation!O246,6))</f>
        <v/>
      </c>
      <c r="H240" s="388" t="str">
        <f>IF(A240="","",Calculation!DX246)</f>
        <v/>
      </c>
      <c r="I240" s="387" t="str">
        <f>IF(A240="","",Calculation!P246)</f>
        <v/>
      </c>
      <c r="J240" s="387" t="str">
        <f>IF(A240="","",HLOOKUP(LEFT(Calculation!BO246,7),LookUps!$C$38:$M$41,4))</f>
        <v/>
      </c>
      <c r="K240" s="387" t="str">
        <f>IF(A240="","",Calculation!M246)</f>
        <v/>
      </c>
      <c r="L240" s="387" t="str">
        <f>IF(A240="","",Calculation!S246)</f>
        <v/>
      </c>
      <c r="M240" s="389" t="str">
        <f>IF(A240="","",Calculation!N246)</f>
        <v/>
      </c>
      <c r="N240" s="390" t="str">
        <f>IF(A240="","",Calculation!R246)</f>
        <v/>
      </c>
      <c r="O240" s="391" t="str">
        <f>IF(A240="","",Calculation!$F$6)</f>
        <v/>
      </c>
      <c r="P240" s="392" t="str">
        <f>IF(A240="","",Calculation!$F$7)</f>
        <v/>
      </c>
      <c r="Q240" s="393" t="str">
        <f>IF(A240="","",Calculation!$F$13)</f>
        <v/>
      </c>
      <c r="R240" s="394" t="str">
        <f>IF(A240="","",Calculation!X246)</f>
        <v/>
      </c>
      <c r="S240" s="393" t="str">
        <f>IF(A240="","",Calculation!T246)</f>
        <v/>
      </c>
      <c r="T240" s="395" t="str">
        <f>IF(A240="","",IF(Calculation!$O$8="None","Water",CONCATENATE(Calculation!$O$8,"-",Calculation!$S$8,"%")))</f>
        <v/>
      </c>
      <c r="U240" s="393" t="str">
        <f>IF(A240="","",Calculation!$P$6)</f>
        <v/>
      </c>
      <c r="V240" s="393" t="str">
        <f>IF(A240="","",Calculation!AT246)</f>
        <v/>
      </c>
      <c r="W240" s="396" t="str">
        <f>IF(A240="","",Calculation!AP246)</f>
        <v/>
      </c>
      <c r="X240" s="396" t="str">
        <f>IF(A240="","",Calculation!AO246)</f>
        <v/>
      </c>
      <c r="Y240" s="396" t="str">
        <f>IF(A240="","",Calculation!AQ246)</f>
        <v/>
      </c>
      <c r="Z240" s="396" t="str">
        <f>IF(A240="","",Calculation!$H$6)</f>
        <v/>
      </c>
      <c r="AA240" s="397" t="str">
        <f>IF(A240="","",Calculation!$H$13)</f>
        <v/>
      </c>
      <c r="AB240" s="397" t="str">
        <f>IF(A240="","",Calculation!U246)</f>
        <v/>
      </c>
      <c r="AC240" s="398" t="str">
        <f>IF(A240="","",IF(Calculation!$O$9="None","Water",CONCATENATE(Calculation!$O$9,"-",Calculation!$S$9,"%")))</f>
        <v/>
      </c>
      <c r="AD240" s="396" t="str">
        <f>IF(A240="","",Calculation!$S$6)</f>
        <v/>
      </c>
      <c r="AE240" s="399" t="str">
        <f>IF(A240="","",Calculation!BA246)</f>
        <v/>
      </c>
      <c r="AF240" s="396" t="str">
        <f>IF(A240="","",Calculation!AX246)</f>
        <v/>
      </c>
      <c r="AG240" s="396" t="str">
        <f>IF(A240="","",Calculation!AW246)</f>
        <v/>
      </c>
      <c r="AH240" s="391" t="str">
        <f>IF(A240="","",Calculation!AY246)</f>
        <v/>
      </c>
      <c r="AI240" s="391" t="str">
        <f>IF(A240="","",Calculation!Y246)</f>
        <v/>
      </c>
      <c r="AJ240" s="401" t="str">
        <f>IF(Calculation!BD246&gt;0,Calculation!BD246," ")</f>
        <v xml:space="preserve"> </v>
      </c>
      <c r="AK240" s="401" t="str">
        <f>IF(Calculation!BD246&gt;0,Calculation!BE246," ")</f>
        <v xml:space="preserve"> </v>
      </c>
      <c r="AL240" s="401" t="str">
        <f>IF(Calculation!BD246&gt;0,Calculation!BF246," ")</f>
        <v xml:space="preserve"> </v>
      </c>
      <c r="AM240" s="401" t="str">
        <f>IF(Calculation!BD246&gt;0,Calculation!BG246," ")</f>
        <v xml:space="preserve"> </v>
      </c>
      <c r="AN240" s="391" t="str">
        <f>IF(Calculation!BH246="N/A","N/A",Calculation!BH246)</f>
        <v xml:space="preserve"> </v>
      </c>
      <c r="AO240" s="402" t="str">
        <f>IF(Calculation!BI246="N/A","N/A",Calculation!BI246)</f>
        <v/>
      </c>
      <c r="AP240" s="391" t="str">
        <f>IF(Calculation!BJ246="N/A","N/A",Calculation!BJ246)</f>
        <v/>
      </c>
      <c r="AQ240" s="402" t="str">
        <f>IF(Calculation!BK246="N/A","N/A",Calculation!BK246)</f>
        <v/>
      </c>
      <c r="AR240" s="391" t="str">
        <f>IF(Calculation!BL246="N/A","N/A",Calculation!BL246)</f>
        <v/>
      </c>
      <c r="AS240" s="402" t="str">
        <f>IF(Calculation!BM246="N/A","N/A",Calculation!BM246)</f>
        <v/>
      </c>
      <c r="AT240" s="400"/>
    </row>
    <row r="241" spans="1:46">
      <c r="A241" s="224" t="str">
        <f>IF(Calculation!BN247="","",CONCATENATE(Calculation!BO247,"-",Calculation!R247,"-",Calculation!S247,"-",Calculation!T247,"-",Calculation!U247))</f>
        <v/>
      </c>
      <c r="B241" s="224">
        <v>226</v>
      </c>
      <c r="C241" s="629" t="str">
        <f>IF(A241="","",Calculation!B247)</f>
        <v/>
      </c>
      <c r="D241" s="386" t="str">
        <f>IF(A241="","",Calculation!L247)</f>
        <v/>
      </c>
      <c r="E241" s="387" t="str">
        <f>IF(A241="","",Calculation!J247)</f>
        <v/>
      </c>
      <c r="F241" s="387" t="str">
        <f>IF(A241="","",Calculation!C247)</f>
        <v/>
      </c>
      <c r="G241" s="387" t="str">
        <f>IF(A241="","",LEFT(Calculation!O247,6))</f>
        <v/>
      </c>
      <c r="H241" s="388" t="str">
        <f>IF(A241="","",Calculation!DX247)</f>
        <v/>
      </c>
      <c r="I241" s="387" t="str">
        <f>IF(A241="","",Calculation!P247)</f>
        <v/>
      </c>
      <c r="J241" s="387" t="str">
        <f>IF(A241="","",HLOOKUP(LEFT(Calculation!BO247,7),LookUps!$C$38:$M$41,4))</f>
        <v/>
      </c>
      <c r="K241" s="387" t="str">
        <f>IF(A241="","",Calculation!M247)</f>
        <v/>
      </c>
      <c r="L241" s="387" t="str">
        <f>IF(A241="","",Calculation!S247)</f>
        <v/>
      </c>
      <c r="M241" s="389" t="str">
        <f>IF(A241="","",Calculation!N247)</f>
        <v/>
      </c>
      <c r="N241" s="390" t="str">
        <f>IF(A241="","",Calculation!R247)</f>
        <v/>
      </c>
      <c r="O241" s="391" t="str">
        <f>IF(A241="","",Calculation!$F$6)</f>
        <v/>
      </c>
      <c r="P241" s="392" t="str">
        <f>IF(A241="","",Calculation!$F$7)</f>
        <v/>
      </c>
      <c r="Q241" s="393" t="str">
        <f>IF(A241="","",Calculation!$F$13)</f>
        <v/>
      </c>
      <c r="R241" s="394" t="str">
        <f>IF(A241="","",Calculation!X247)</f>
        <v/>
      </c>
      <c r="S241" s="393" t="str">
        <f>IF(A241="","",Calculation!T247)</f>
        <v/>
      </c>
      <c r="T241" s="395" t="str">
        <f>IF(A241="","",IF(Calculation!$O$8="None","Water",CONCATENATE(Calculation!$O$8,"-",Calculation!$S$8,"%")))</f>
        <v/>
      </c>
      <c r="U241" s="393" t="str">
        <f>IF(A241="","",Calculation!$P$6)</f>
        <v/>
      </c>
      <c r="V241" s="393" t="str">
        <f>IF(A241="","",Calculation!AT247)</f>
        <v/>
      </c>
      <c r="W241" s="396" t="str">
        <f>IF(A241="","",Calculation!AP247)</f>
        <v/>
      </c>
      <c r="X241" s="396" t="str">
        <f>IF(A241="","",Calculation!AO247)</f>
        <v/>
      </c>
      <c r="Y241" s="396" t="str">
        <f>IF(A241="","",Calculation!AQ247)</f>
        <v/>
      </c>
      <c r="Z241" s="396" t="str">
        <f>IF(A241="","",Calculation!$H$6)</f>
        <v/>
      </c>
      <c r="AA241" s="397" t="str">
        <f>IF(A241="","",Calculation!$H$13)</f>
        <v/>
      </c>
      <c r="AB241" s="397" t="str">
        <f>IF(A241="","",Calculation!U247)</f>
        <v/>
      </c>
      <c r="AC241" s="398" t="str">
        <f>IF(A241="","",IF(Calculation!$O$9="None","Water",CONCATENATE(Calculation!$O$9,"-",Calculation!$S$9,"%")))</f>
        <v/>
      </c>
      <c r="AD241" s="396" t="str">
        <f>IF(A241="","",Calculation!$S$6)</f>
        <v/>
      </c>
      <c r="AE241" s="399" t="str">
        <f>IF(A241="","",Calculation!BA247)</f>
        <v/>
      </c>
      <c r="AF241" s="396" t="str">
        <f>IF(A241="","",Calculation!AX247)</f>
        <v/>
      </c>
      <c r="AG241" s="396" t="str">
        <f>IF(A241="","",Calculation!AW247)</f>
        <v/>
      </c>
      <c r="AH241" s="391" t="str">
        <f>IF(A241="","",Calculation!AY247)</f>
        <v/>
      </c>
      <c r="AI241" s="391" t="str">
        <f>IF(A241="","",Calculation!Y247)</f>
        <v/>
      </c>
      <c r="AJ241" s="401" t="str">
        <f>IF(Calculation!BD247&gt;0,Calculation!BD247," ")</f>
        <v xml:space="preserve"> </v>
      </c>
      <c r="AK241" s="401" t="str">
        <f>IF(Calculation!BD247&gt;0,Calculation!BE247," ")</f>
        <v xml:space="preserve"> </v>
      </c>
      <c r="AL241" s="401" t="str">
        <f>IF(Calculation!BD247&gt;0,Calculation!BF247," ")</f>
        <v xml:space="preserve"> </v>
      </c>
      <c r="AM241" s="401" t="str">
        <f>IF(Calculation!BD247&gt;0,Calculation!BG247," ")</f>
        <v xml:space="preserve"> </v>
      </c>
      <c r="AN241" s="391" t="str">
        <f>IF(Calculation!BH247="N/A","N/A",Calculation!BH247)</f>
        <v xml:space="preserve"> </v>
      </c>
      <c r="AO241" s="402" t="str">
        <f>IF(Calculation!BI247="N/A","N/A",Calculation!BI247)</f>
        <v/>
      </c>
      <c r="AP241" s="391" t="str">
        <f>IF(Calculation!BJ247="N/A","N/A",Calculation!BJ247)</f>
        <v/>
      </c>
      <c r="AQ241" s="402" t="str">
        <f>IF(Calculation!BK247="N/A","N/A",Calculation!BK247)</f>
        <v/>
      </c>
      <c r="AR241" s="391" t="str">
        <f>IF(Calculation!BL247="N/A","N/A",Calculation!BL247)</f>
        <v/>
      </c>
      <c r="AS241" s="402" t="str">
        <f>IF(Calculation!BM247="N/A","N/A",Calculation!BM247)</f>
        <v/>
      </c>
      <c r="AT241" s="400"/>
    </row>
    <row r="242" spans="1:46">
      <c r="A242" s="224" t="str">
        <f>IF(Calculation!BN248="","",CONCATENATE(Calculation!BO248,"-",Calculation!R248,"-",Calculation!S248,"-",Calculation!T248,"-",Calculation!U248))</f>
        <v/>
      </c>
      <c r="B242" s="224">
        <v>227</v>
      </c>
      <c r="C242" s="629" t="str">
        <f>IF(A242="","",Calculation!B248)</f>
        <v/>
      </c>
      <c r="D242" s="386" t="str">
        <f>IF(A242="","",Calculation!L248)</f>
        <v/>
      </c>
      <c r="E242" s="387" t="str">
        <f>IF(A242="","",Calculation!J248)</f>
        <v/>
      </c>
      <c r="F242" s="387" t="str">
        <f>IF(A242="","",Calculation!C248)</f>
        <v/>
      </c>
      <c r="G242" s="387" t="str">
        <f>IF(A242="","",LEFT(Calculation!O248,6))</f>
        <v/>
      </c>
      <c r="H242" s="388" t="str">
        <f>IF(A242="","",Calculation!DX248)</f>
        <v/>
      </c>
      <c r="I242" s="387" t="str">
        <f>IF(A242="","",Calculation!P248)</f>
        <v/>
      </c>
      <c r="J242" s="387" t="str">
        <f>IF(A242="","",HLOOKUP(LEFT(Calculation!BO248,7),LookUps!$C$38:$M$41,4))</f>
        <v/>
      </c>
      <c r="K242" s="387" t="str">
        <f>IF(A242="","",Calculation!M248)</f>
        <v/>
      </c>
      <c r="L242" s="387" t="str">
        <f>IF(A242="","",Calculation!S248)</f>
        <v/>
      </c>
      <c r="M242" s="389" t="str">
        <f>IF(A242="","",Calculation!N248)</f>
        <v/>
      </c>
      <c r="N242" s="390" t="str">
        <f>IF(A242="","",Calculation!R248)</f>
        <v/>
      </c>
      <c r="O242" s="391" t="str">
        <f>IF(A242="","",Calculation!$F$6)</f>
        <v/>
      </c>
      <c r="P242" s="392" t="str">
        <f>IF(A242="","",Calculation!$F$7)</f>
        <v/>
      </c>
      <c r="Q242" s="393" t="str">
        <f>IF(A242="","",Calculation!$F$13)</f>
        <v/>
      </c>
      <c r="R242" s="394" t="str">
        <f>IF(A242="","",Calculation!X248)</f>
        <v/>
      </c>
      <c r="S242" s="393" t="str">
        <f>IF(A242="","",Calculation!T248)</f>
        <v/>
      </c>
      <c r="T242" s="395" t="str">
        <f>IF(A242="","",IF(Calculation!$O$8="None","Water",CONCATENATE(Calculation!$O$8,"-",Calculation!$S$8,"%")))</f>
        <v/>
      </c>
      <c r="U242" s="393" t="str">
        <f>IF(A242="","",Calculation!$P$6)</f>
        <v/>
      </c>
      <c r="V242" s="393" t="str">
        <f>IF(A242="","",Calculation!AT248)</f>
        <v/>
      </c>
      <c r="W242" s="396" t="str">
        <f>IF(A242="","",Calculation!AP248)</f>
        <v/>
      </c>
      <c r="X242" s="396" t="str">
        <f>IF(A242="","",Calculation!AO248)</f>
        <v/>
      </c>
      <c r="Y242" s="396" t="str">
        <f>IF(A242="","",Calculation!AQ248)</f>
        <v/>
      </c>
      <c r="Z242" s="396" t="str">
        <f>IF(A242="","",Calculation!$H$6)</f>
        <v/>
      </c>
      <c r="AA242" s="397" t="str">
        <f>IF(A242="","",Calculation!$H$13)</f>
        <v/>
      </c>
      <c r="AB242" s="397" t="str">
        <f>IF(A242="","",Calculation!U248)</f>
        <v/>
      </c>
      <c r="AC242" s="398" t="str">
        <f>IF(A242="","",IF(Calculation!$O$9="None","Water",CONCATENATE(Calculation!$O$9,"-",Calculation!$S$9,"%")))</f>
        <v/>
      </c>
      <c r="AD242" s="396" t="str">
        <f>IF(A242="","",Calculation!$S$6)</f>
        <v/>
      </c>
      <c r="AE242" s="399" t="str">
        <f>IF(A242="","",Calculation!BA248)</f>
        <v/>
      </c>
      <c r="AF242" s="396" t="str">
        <f>IF(A242="","",Calculation!AX248)</f>
        <v/>
      </c>
      <c r="AG242" s="396" t="str">
        <f>IF(A242="","",Calculation!AW248)</f>
        <v/>
      </c>
      <c r="AH242" s="391" t="str">
        <f>IF(A242="","",Calculation!AY248)</f>
        <v/>
      </c>
      <c r="AI242" s="391" t="str">
        <f>IF(A242="","",Calculation!Y248)</f>
        <v/>
      </c>
      <c r="AJ242" s="401" t="str">
        <f>IF(Calculation!BD248&gt;0,Calculation!BD248," ")</f>
        <v xml:space="preserve"> </v>
      </c>
      <c r="AK242" s="401" t="str">
        <f>IF(Calculation!BD248&gt;0,Calculation!BE248," ")</f>
        <v xml:space="preserve"> </v>
      </c>
      <c r="AL242" s="401" t="str">
        <f>IF(Calculation!BD248&gt;0,Calculation!BF248," ")</f>
        <v xml:space="preserve"> </v>
      </c>
      <c r="AM242" s="401" t="str">
        <f>IF(Calculation!BD248&gt;0,Calculation!BG248," ")</f>
        <v xml:space="preserve"> </v>
      </c>
      <c r="AN242" s="391" t="str">
        <f>IF(Calculation!BH248="N/A","N/A",Calculation!BH248)</f>
        <v xml:space="preserve"> </v>
      </c>
      <c r="AO242" s="402" t="str">
        <f>IF(Calculation!BI248="N/A","N/A",Calculation!BI248)</f>
        <v/>
      </c>
      <c r="AP242" s="391" t="str">
        <f>IF(Calculation!BJ248="N/A","N/A",Calculation!BJ248)</f>
        <v/>
      </c>
      <c r="AQ242" s="402" t="str">
        <f>IF(Calculation!BK248="N/A","N/A",Calculation!BK248)</f>
        <v/>
      </c>
      <c r="AR242" s="391" t="str">
        <f>IF(Calculation!BL248="N/A","N/A",Calculation!BL248)</f>
        <v/>
      </c>
      <c r="AS242" s="402" t="str">
        <f>IF(Calculation!BM248="N/A","N/A",Calculation!BM248)</f>
        <v/>
      </c>
      <c r="AT242" s="400"/>
    </row>
    <row r="243" spans="1:46">
      <c r="A243" s="224" t="str">
        <f>IF(Calculation!BN249="","",CONCATENATE(Calculation!BO249,"-",Calculation!R249,"-",Calculation!S249,"-",Calculation!T249,"-",Calculation!U249))</f>
        <v/>
      </c>
      <c r="B243" s="224">
        <v>228</v>
      </c>
      <c r="C243" s="629" t="str">
        <f>IF(A243="","",Calculation!B249)</f>
        <v/>
      </c>
      <c r="D243" s="386" t="str">
        <f>IF(A243="","",Calculation!L249)</f>
        <v/>
      </c>
      <c r="E243" s="387" t="str">
        <f>IF(A243="","",Calculation!J249)</f>
        <v/>
      </c>
      <c r="F243" s="387" t="str">
        <f>IF(A243="","",Calculation!C249)</f>
        <v/>
      </c>
      <c r="G243" s="387" t="str">
        <f>IF(A243="","",LEFT(Calculation!O249,6))</f>
        <v/>
      </c>
      <c r="H243" s="388" t="str">
        <f>IF(A243="","",Calculation!DX249)</f>
        <v/>
      </c>
      <c r="I243" s="387" t="str">
        <f>IF(A243="","",Calculation!P249)</f>
        <v/>
      </c>
      <c r="J243" s="387" t="str">
        <f>IF(A243="","",HLOOKUP(LEFT(Calculation!BO249,7),LookUps!$C$38:$M$41,4))</f>
        <v/>
      </c>
      <c r="K243" s="387" t="str">
        <f>IF(A243="","",Calculation!M249)</f>
        <v/>
      </c>
      <c r="L243" s="387" t="str">
        <f>IF(A243="","",Calculation!S249)</f>
        <v/>
      </c>
      <c r="M243" s="389" t="str">
        <f>IF(A243="","",Calculation!N249)</f>
        <v/>
      </c>
      <c r="N243" s="390" t="str">
        <f>IF(A243="","",Calculation!R249)</f>
        <v/>
      </c>
      <c r="O243" s="391" t="str">
        <f>IF(A243="","",Calculation!$F$6)</f>
        <v/>
      </c>
      <c r="P243" s="392" t="str">
        <f>IF(A243="","",Calculation!$F$7)</f>
        <v/>
      </c>
      <c r="Q243" s="393" t="str">
        <f>IF(A243="","",Calculation!$F$13)</f>
        <v/>
      </c>
      <c r="R243" s="394" t="str">
        <f>IF(A243="","",Calculation!X249)</f>
        <v/>
      </c>
      <c r="S243" s="393" t="str">
        <f>IF(A243="","",Calculation!T249)</f>
        <v/>
      </c>
      <c r="T243" s="395" t="str">
        <f>IF(A243="","",IF(Calculation!$O$8="None","Water",CONCATENATE(Calculation!$O$8,"-",Calculation!$S$8,"%")))</f>
        <v/>
      </c>
      <c r="U243" s="393" t="str">
        <f>IF(A243="","",Calculation!$P$6)</f>
        <v/>
      </c>
      <c r="V243" s="393" t="str">
        <f>IF(A243="","",Calculation!AT249)</f>
        <v/>
      </c>
      <c r="W243" s="396" t="str">
        <f>IF(A243="","",Calculation!AP249)</f>
        <v/>
      </c>
      <c r="X243" s="396" t="str">
        <f>IF(A243="","",Calculation!AO249)</f>
        <v/>
      </c>
      <c r="Y243" s="396" t="str">
        <f>IF(A243="","",Calculation!AQ249)</f>
        <v/>
      </c>
      <c r="Z243" s="396" t="str">
        <f>IF(A243="","",Calculation!$H$6)</f>
        <v/>
      </c>
      <c r="AA243" s="397" t="str">
        <f>IF(A243="","",Calculation!$H$13)</f>
        <v/>
      </c>
      <c r="AB243" s="397" t="str">
        <f>IF(A243="","",Calculation!U249)</f>
        <v/>
      </c>
      <c r="AC243" s="398" t="str">
        <f>IF(A243="","",IF(Calculation!$O$9="None","Water",CONCATENATE(Calculation!$O$9,"-",Calculation!$S$9,"%")))</f>
        <v/>
      </c>
      <c r="AD243" s="396" t="str">
        <f>IF(A243="","",Calculation!$S$6)</f>
        <v/>
      </c>
      <c r="AE243" s="399" t="str">
        <f>IF(A243="","",Calculation!BA249)</f>
        <v/>
      </c>
      <c r="AF243" s="396" t="str">
        <f>IF(A243="","",Calculation!AX249)</f>
        <v/>
      </c>
      <c r="AG243" s="396" t="str">
        <f>IF(A243="","",Calculation!AW249)</f>
        <v/>
      </c>
      <c r="AH243" s="391" t="str">
        <f>IF(A243="","",Calculation!AY249)</f>
        <v/>
      </c>
      <c r="AI243" s="391" t="str">
        <f>IF(A243="","",Calculation!Y249)</f>
        <v/>
      </c>
      <c r="AJ243" s="401" t="str">
        <f>IF(Calculation!BD249&gt;0,Calculation!BD249," ")</f>
        <v xml:space="preserve"> </v>
      </c>
      <c r="AK243" s="401" t="str">
        <f>IF(Calculation!BD249&gt;0,Calculation!BE249," ")</f>
        <v xml:space="preserve"> </v>
      </c>
      <c r="AL243" s="401" t="str">
        <f>IF(Calculation!BD249&gt;0,Calculation!BF249," ")</f>
        <v xml:space="preserve"> </v>
      </c>
      <c r="AM243" s="401" t="str">
        <f>IF(Calculation!BD249&gt;0,Calculation!BG249," ")</f>
        <v xml:space="preserve"> </v>
      </c>
      <c r="AN243" s="391" t="str">
        <f>IF(Calculation!BH249="N/A","N/A",Calculation!BH249)</f>
        <v xml:space="preserve"> </v>
      </c>
      <c r="AO243" s="402" t="str">
        <f>IF(Calculation!BI249="N/A","N/A",Calculation!BI249)</f>
        <v/>
      </c>
      <c r="AP243" s="391" t="str">
        <f>IF(Calculation!BJ249="N/A","N/A",Calculation!BJ249)</f>
        <v/>
      </c>
      <c r="AQ243" s="402" t="str">
        <f>IF(Calculation!BK249="N/A","N/A",Calculation!BK249)</f>
        <v/>
      </c>
      <c r="AR243" s="391" t="str">
        <f>IF(Calculation!BL249="N/A","N/A",Calculation!BL249)</f>
        <v/>
      </c>
      <c r="AS243" s="402" t="str">
        <f>IF(Calculation!BM249="N/A","N/A",Calculation!BM249)</f>
        <v/>
      </c>
      <c r="AT243" s="400"/>
    </row>
    <row r="244" spans="1:46">
      <c r="A244" s="224" t="str">
        <f>IF(Calculation!BN250="","",CONCATENATE(Calculation!BO250,"-",Calculation!R250,"-",Calculation!S250,"-",Calculation!T250,"-",Calculation!U250))</f>
        <v/>
      </c>
      <c r="B244" s="224">
        <v>229</v>
      </c>
      <c r="C244" s="629" t="str">
        <f>IF(A244="","",Calculation!B250)</f>
        <v/>
      </c>
      <c r="D244" s="386" t="str">
        <f>IF(A244="","",Calculation!L250)</f>
        <v/>
      </c>
      <c r="E244" s="387" t="str">
        <f>IF(A244="","",Calculation!J250)</f>
        <v/>
      </c>
      <c r="F244" s="387" t="str">
        <f>IF(A244="","",Calculation!C250)</f>
        <v/>
      </c>
      <c r="G244" s="387" t="str">
        <f>IF(A244="","",LEFT(Calculation!O250,6))</f>
        <v/>
      </c>
      <c r="H244" s="388" t="str">
        <f>IF(A244="","",Calculation!DX250)</f>
        <v/>
      </c>
      <c r="I244" s="387" t="str">
        <f>IF(A244="","",Calculation!P250)</f>
        <v/>
      </c>
      <c r="J244" s="387" t="str">
        <f>IF(A244="","",HLOOKUP(LEFT(Calculation!BO250,7),LookUps!$C$38:$M$41,4))</f>
        <v/>
      </c>
      <c r="K244" s="387" t="str">
        <f>IF(A244="","",Calculation!M250)</f>
        <v/>
      </c>
      <c r="L244" s="387" t="str">
        <f>IF(A244="","",Calculation!S250)</f>
        <v/>
      </c>
      <c r="M244" s="389" t="str">
        <f>IF(A244="","",Calculation!N250)</f>
        <v/>
      </c>
      <c r="N244" s="390" t="str">
        <f>IF(A244="","",Calculation!R250)</f>
        <v/>
      </c>
      <c r="O244" s="391" t="str">
        <f>IF(A244="","",Calculation!$F$6)</f>
        <v/>
      </c>
      <c r="P244" s="392" t="str">
        <f>IF(A244="","",Calculation!$F$7)</f>
        <v/>
      </c>
      <c r="Q244" s="393" t="str">
        <f>IF(A244="","",Calculation!$F$13)</f>
        <v/>
      </c>
      <c r="R244" s="394" t="str">
        <f>IF(A244="","",Calculation!X250)</f>
        <v/>
      </c>
      <c r="S244" s="393" t="str">
        <f>IF(A244="","",Calculation!T250)</f>
        <v/>
      </c>
      <c r="T244" s="395" t="str">
        <f>IF(A244="","",IF(Calculation!$O$8="None","Water",CONCATENATE(Calculation!$O$8,"-",Calculation!$S$8,"%")))</f>
        <v/>
      </c>
      <c r="U244" s="393" t="str">
        <f>IF(A244="","",Calculation!$P$6)</f>
        <v/>
      </c>
      <c r="V244" s="393" t="str">
        <f>IF(A244="","",Calculation!AT250)</f>
        <v/>
      </c>
      <c r="W244" s="396" t="str">
        <f>IF(A244="","",Calculation!AP250)</f>
        <v/>
      </c>
      <c r="X244" s="396" t="str">
        <f>IF(A244="","",Calculation!AO250)</f>
        <v/>
      </c>
      <c r="Y244" s="396" t="str">
        <f>IF(A244="","",Calculation!AQ250)</f>
        <v/>
      </c>
      <c r="Z244" s="396" t="str">
        <f>IF(A244="","",Calculation!$H$6)</f>
        <v/>
      </c>
      <c r="AA244" s="397" t="str">
        <f>IF(A244="","",Calculation!$H$13)</f>
        <v/>
      </c>
      <c r="AB244" s="397" t="str">
        <f>IF(A244="","",Calculation!U250)</f>
        <v/>
      </c>
      <c r="AC244" s="398" t="str">
        <f>IF(A244="","",IF(Calculation!$O$9="None","Water",CONCATENATE(Calculation!$O$9,"-",Calculation!$S$9,"%")))</f>
        <v/>
      </c>
      <c r="AD244" s="396" t="str">
        <f>IF(A244="","",Calculation!$S$6)</f>
        <v/>
      </c>
      <c r="AE244" s="399" t="str">
        <f>IF(A244="","",Calculation!BA250)</f>
        <v/>
      </c>
      <c r="AF244" s="396" t="str">
        <f>IF(A244="","",Calculation!AX250)</f>
        <v/>
      </c>
      <c r="AG244" s="396" t="str">
        <f>IF(A244="","",Calculation!AW250)</f>
        <v/>
      </c>
      <c r="AH244" s="391" t="str">
        <f>IF(A244="","",Calculation!AY250)</f>
        <v/>
      </c>
      <c r="AI244" s="391" t="str">
        <f>IF(A244="","",Calculation!Y250)</f>
        <v/>
      </c>
      <c r="AJ244" s="401" t="str">
        <f>IF(Calculation!BD250&gt;0,Calculation!BD250," ")</f>
        <v xml:space="preserve"> </v>
      </c>
      <c r="AK244" s="401" t="str">
        <f>IF(Calculation!BD250&gt;0,Calculation!BE250," ")</f>
        <v xml:space="preserve"> </v>
      </c>
      <c r="AL244" s="401" t="str">
        <f>IF(Calculation!BD250&gt;0,Calculation!BF250," ")</f>
        <v xml:space="preserve"> </v>
      </c>
      <c r="AM244" s="401" t="str">
        <f>IF(Calculation!BD250&gt;0,Calculation!BG250," ")</f>
        <v xml:space="preserve"> </v>
      </c>
      <c r="AN244" s="391" t="str">
        <f>IF(Calculation!BH250="N/A","N/A",Calculation!BH250)</f>
        <v xml:space="preserve"> </v>
      </c>
      <c r="AO244" s="402" t="str">
        <f>IF(Calculation!BI250="N/A","N/A",Calculation!BI250)</f>
        <v/>
      </c>
      <c r="AP244" s="391" t="str">
        <f>IF(Calculation!BJ250="N/A","N/A",Calculation!BJ250)</f>
        <v/>
      </c>
      <c r="AQ244" s="402" t="str">
        <f>IF(Calculation!BK250="N/A","N/A",Calculation!BK250)</f>
        <v/>
      </c>
      <c r="AR244" s="391" t="str">
        <f>IF(Calculation!BL250="N/A","N/A",Calculation!BL250)</f>
        <v/>
      </c>
      <c r="AS244" s="402" t="str">
        <f>IF(Calculation!BM250="N/A","N/A",Calculation!BM250)</f>
        <v/>
      </c>
      <c r="AT244" s="400"/>
    </row>
    <row r="245" spans="1:46">
      <c r="A245" s="224" t="str">
        <f>IF(Calculation!BN251="","",CONCATENATE(Calculation!BO251,"-",Calculation!R251,"-",Calculation!S251,"-",Calculation!T251,"-",Calculation!U251))</f>
        <v/>
      </c>
      <c r="B245" s="224">
        <v>230</v>
      </c>
      <c r="C245" s="629" t="str">
        <f>IF(A245="","",Calculation!B251)</f>
        <v/>
      </c>
      <c r="D245" s="386" t="str">
        <f>IF(A245="","",Calculation!L251)</f>
        <v/>
      </c>
      <c r="E245" s="387" t="str">
        <f>IF(A245="","",Calculation!J251)</f>
        <v/>
      </c>
      <c r="F245" s="387" t="str">
        <f>IF(A245="","",Calculation!C251)</f>
        <v/>
      </c>
      <c r="G245" s="387" t="str">
        <f>IF(A245="","",LEFT(Calculation!O251,6))</f>
        <v/>
      </c>
      <c r="H245" s="388" t="str">
        <f>IF(A245="","",Calculation!DX251)</f>
        <v/>
      </c>
      <c r="I245" s="387" t="str">
        <f>IF(A245="","",Calculation!P251)</f>
        <v/>
      </c>
      <c r="J245" s="387" t="str">
        <f>IF(A245="","",HLOOKUP(LEFT(Calculation!BO251,7),LookUps!$C$38:$M$41,4))</f>
        <v/>
      </c>
      <c r="K245" s="387" t="str">
        <f>IF(A245="","",Calculation!M251)</f>
        <v/>
      </c>
      <c r="L245" s="387" t="str">
        <f>IF(A245="","",Calculation!S251)</f>
        <v/>
      </c>
      <c r="M245" s="389" t="str">
        <f>IF(A245="","",Calculation!N251)</f>
        <v/>
      </c>
      <c r="N245" s="390" t="str">
        <f>IF(A245="","",Calculation!R251)</f>
        <v/>
      </c>
      <c r="O245" s="391" t="str">
        <f>IF(A245="","",Calculation!$F$6)</f>
        <v/>
      </c>
      <c r="P245" s="392" t="str">
        <f>IF(A245="","",Calculation!$F$7)</f>
        <v/>
      </c>
      <c r="Q245" s="393" t="str">
        <f>IF(A245="","",Calculation!$F$13)</f>
        <v/>
      </c>
      <c r="R245" s="394" t="str">
        <f>IF(A245="","",Calculation!X251)</f>
        <v/>
      </c>
      <c r="S245" s="393" t="str">
        <f>IF(A245="","",Calculation!T251)</f>
        <v/>
      </c>
      <c r="T245" s="395" t="str">
        <f>IF(A245="","",IF(Calculation!$O$8="None","Water",CONCATENATE(Calculation!$O$8,"-",Calculation!$S$8,"%")))</f>
        <v/>
      </c>
      <c r="U245" s="393" t="str">
        <f>IF(A245="","",Calculation!$P$6)</f>
        <v/>
      </c>
      <c r="V245" s="393" t="str">
        <f>IF(A245="","",Calculation!AT251)</f>
        <v/>
      </c>
      <c r="W245" s="396" t="str">
        <f>IF(A245="","",Calculation!AP251)</f>
        <v/>
      </c>
      <c r="X245" s="396" t="str">
        <f>IF(A245="","",Calculation!AO251)</f>
        <v/>
      </c>
      <c r="Y245" s="396" t="str">
        <f>IF(A245="","",Calculation!AQ251)</f>
        <v/>
      </c>
      <c r="Z245" s="396" t="str">
        <f>IF(A245="","",Calculation!$H$6)</f>
        <v/>
      </c>
      <c r="AA245" s="397" t="str">
        <f>IF(A245="","",Calculation!$H$13)</f>
        <v/>
      </c>
      <c r="AB245" s="397" t="str">
        <f>IF(A245="","",Calculation!U251)</f>
        <v/>
      </c>
      <c r="AC245" s="398" t="str">
        <f>IF(A245="","",IF(Calculation!$O$9="None","Water",CONCATENATE(Calculation!$O$9,"-",Calculation!$S$9,"%")))</f>
        <v/>
      </c>
      <c r="AD245" s="396" t="str">
        <f>IF(A245="","",Calculation!$S$6)</f>
        <v/>
      </c>
      <c r="AE245" s="399" t="str">
        <f>IF(A245="","",Calculation!BA251)</f>
        <v/>
      </c>
      <c r="AF245" s="396" t="str">
        <f>IF(A245="","",Calculation!AX251)</f>
        <v/>
      </c>
      <c r="AG245" s="396" t="str">
        <f>IF(A245="","",Calculation!AW251)</f>
        <v/>
      </c>
      <c r="AH245" s="391" t="str">
        <f>IF(A245="","",Calculation!AY251)</f>
        <v/>
      </c>
      <c r="AI245" s="391" t="str">
        <f>IF(A245="","",Calculation!Y251)</f>
        <v/>
      </c>
      <c r="AJ245" s="401" t="str">
        <f>IF(Calculation!BD251&gt;0,Calculation!BD251," ")</f>
        <v xml:space="preserve"> </v>
      </c>
      <c r="AK245" s="401" t="str">
        <f>IF(Calculation!BD251&gt;0,Calculation!BE251," ")</f>
        <v xml:space="preserve"> </v>
      </c>
      <c r="AL245" s="401" t="str">
        <f>IF(Calculation!BD251&gt;0,Calculation!BF251," ")</f>
        <v xml:space="preserve"> </v>
      </c>
      <c r="AM245" s="401" t="str">
        <f>IF(Calculation!BD251&gt;0,Calculation!BG251," ")</f>
        <v xml:space="preserve"> </v>
      </c>
      <c r="AN245" s="391" t="str">
        <f>IF(Calculation!BH251="N/A","N/A",Calculation!BH251)</f>
        <v xml:space="preserve"> </v>
      </c>
      <c r="AO245" s="402" t="str">
        <f>IF(Calculation!BI251="N/A","N/A",Calculation!BI251)</f>
        <v/>
      </c>
      <c r="AP245" s="391" t="str">
        <f>IF(Calculation!BJ251="N/A","N/A",Calculation!BJ251)</f>
        <v/>
      </c>
      <c r="AQ245" s="402" t="str">
        <f>IF(Calculation!BK251="N/A","N/A",Calculation!BK251)</f>
        <v/>
      </c>
      <c r="AR245" s="391" t="str">
        <f>IF(Calculation!BL251="N/A","N/A",Calculation!BL251)</f>
        <v/>
      </c>
      <c r="AS245" s="402" t="str">
        <f>IF(Calculation!BM251="N/A","N/A",Calculation!BM251)</f>
        <v/>
      </c>
      <c r="AT245" s="400"/>
    </row>
    <row r="246" spans="1:46">
      <c r="A246" s="224" t="str">
        <f>IF(Calculation!BN252="","",CONCATENATE(Calculation!BO252,"-",Calculation!R252,"-",Calculation!S252,"-",Calculation!T252,"-",Calculation!U252))</f>
        <v/>
      </c>
      <c r="B246" s="224">
        <v>231</v>
      </c>
      <c r="C246" s="629" t="str">
        <f>IF(A246="","",Calculation!B252)</f>
        <v/>
      </c>
      <c r="D246" s="386" t="str">
        <f>IF(A246="","",Calculation!L252)</f>
        <v/>
      </c>
      <c r="E246" s="387" t="str">
        <f>IF(A246="","",Calculation!J252)</f>
        <v/>
      </c>
      <c r="F246" s="387" t="str">
        <f>IF(A246="","",Calculation!C252)</f>
        <v/>
      </c>
      <c r="G246" s="387" t="str">
        <f>IF(A246="","",LEFT(Calculation!O252,6))</f>
        <v/>
      </c>
      <c r="H246" s="388" t="str">
        <f>IF(A246="","",Calculation!DX252)</f>
        <v/>
      </c>
      <c r="I246" s="387" t="str">
        <f>IF(A246="","",Calculation!P252)</f>
        <v/>
      </c>
      <c r="J246" s="387" t="str">
        <f>IF(A246="","",HLOOKUP(LEFT(Calculation!BO252,7),LookUps!$C$38:$M$41,4))</f>
        <v/>
      </c>
      <c r="K246" s="387" t="str">
        <f>IF(A246="","",Calculation!M252)</f>
        <v/>
      </c>
      <c r="L246" s="387" t="str">
        <f>IF(A246="","",Calculation!S252)</f>
        <v/>
      </c>
      <c r="M246" s="389" t="str">
        <f>IF(A246="","",Calculation!N252)</f>
        <v/>
      </c>
      <c r="N246" s="390" t="str">
        <f>IF(A246="","",Calculation!R252)</f>
        <v/>
      </c>
      <c r="O246" s="391" t="str">
        <f>IF(A246="","",Calculation!$F$6)</f>
        <v/>
      </c>
      <c r="P246" s="392" t="str">
        <f>IF(A246="","",Calculation!$F$7)</f>
        <v/>
      </c>
      <c r="Q246" s="393" t="str">
        <f>IF(A246="","",Calculation!$F$13)</f>
        <v/>
      </c>
      <c r="R246" s="394" t="str">
        <f>IF(A246="","",Calculation!X252)</f>
        <v/>
      </c>
      <c r="S246" s="393" t="str">
        <f>IF(A246="","",Calculation!T252)</f>
        <v/>
      </c>
      <c r="T246" s="395" t="str">
        <f>IF(A246="","",IF(Calculation!$O$8="None","Water",CONCATENATE(Calculation!$O$8,"-",Calculation!$S$8,"%")))</f>
        <v/>
      </c>
      <c r="U246" s="393" t="str">
        <f>IF(A246="","",Calculation!$P$6)</f>
        <v/>
      </c>
      <c r="V246" s="393" t="str">
        <f>IF(A246="","",Calculation!AT252)</f>
        <v/>
      </c>
      <c r="W246" s="396" t="str">
        <f>IF(A246="","",Calculation!AP252)</f>
        <v/>
      </c>
      <c r="X246" s="396" t="str">
        <f>IF(A246="","",Calculation!AO252)</f>
        <v/>
      </c>
      <c r="Y246" s="396" t="str">
        <f>IF(A246="","",Calculation!AQ252)</f>
        <v/>
      </c>
      <c r="Z246" s="396" t="str">
        <f>IF(A246="","",Calculation!$H$6)</f>
        <v/>
      </c>
      <c r="AA246" s="397" t="str">
        <f>IF(A246="","",Calculation!$H$13)</f>
        <v/>
      </c>
      <c r="AB246" s="397" t="str">
        <f>IF(A246="","",Calculation!U252)</f>
        <v/>
      </c>
      <c r="AC246" s="398" t="str">
        <f>IF(A246="","",IF(Calculation!$O$9="None","Water",CONCATENATE(Calculation!$O$9,"-",Calculation!$S$9,"%")))</f>
        <v/>
      </c>
      <c r="AD246" s="396" t="str">
        <f>IF(A246="","",Calculation!$S$6)</f>
        <v/>
      </c>
      <c r="AE246" s="399" t="str">
        <f>IF(A246="","",Calculation!BA252)</f>
        <v/>
      </c>
      <c r="AF246" s="396" t="str">
        <f>IF(A246="","",Calculation!AX252)</f>
        <v/>
      </c>
      <c r="AG246" s="396" t="str">
        <f>IF(A246="","",Calculation!AW252)</f>
        <v/>
      </c>
      <c r="AH246" s="391" t="str">
        <f>IF(A246="","",Calculation!AY252)</f>
        <v/>
      </c>
      <c r="AI246" s="391" t="str">
        <f>IF(A246="","",Calculation!Y252)</f>
        <v/>
      </c>
      <c r="AJ246" s="401" t="str">
        <f>IF(Calculation!BD252&gt;0,Calculation!BD252," ")</f>
        <v xml:space="preserve"> </v>
      </c>
      <c r="AK246" s="401" t="str">
        <f>IF(Calculation!BD252&gt;0,Calculation!BE252," ")</f>
        <v xml:space="preserve"> </v>
      </c>
      <c r="AL246" s="401" t="str">
        <f>IF(Calculation!BD252&gt;0,Calculation!BF252," ")</f>
        <v xml:space="preserve"> </v>
      </c>
      <c r="AM246" s="401" t="str">
        <f>IF(Calculation!BD252&gt;0,Calculation!BG252," ")</f>
        <v xml:space="preserve"> </v>
      </c>
      <c r="AN246" s="391" t="str">
        <f>IF(Calculation!BH252="N/A","N/A",Calculation!BH252)</f>
        <v xml:space="preserve"> </v>
      </c>
      <c r="AO246" s="402" t="str">
        <f>IF(Calculation!BI252="N/A","N/A",Calculation!BI252)</f>
        <v/>
      </c>
      <c r="AP246" s="391" t="str">
        <f>IF(Calculation!BJ252="N/A","N/A",Calculation!BJ252)</f>
        <v/>
      </c>
      <c r="AQ246" s="402" t="str">
        <f>IF(Calculation!BK252="N/A","N/A",Calculation!BK252)</f>
        <v/>
      </c>
      <c r="AR246" s="391" t="str">
        <f>IF(Calculation!BL252="N/A","N/A",Calculation!BL252)</f>
        <v/>
      </c>
      <c r="AS246" s="402" t="str">
        <f>IF(Calculation!BM252="N/A","N/A",Calculation!BM252)</f>
        <v/>
      </c>
      <c r="AT246" s="400"/>
    </row>
    <row r="247" spans="1:46">
      <c r="A247" s="224" t="str">
        <f>IF(Calculation!BN253="","",CONCATENATE(Calculation!BO253,"-",Calculation!R253,"-",Calculation!S253,"-",Calculation!T253,"-",Calculation!U253))</f>
        <v/>
      </c>
      <c r="B247" s="224">
        <v>232</v>
      </c>
      <c r="C247" s="629" t="str">
        <f>IF(A247="","",Calculation!B253)</f>
        <v/>
      </c>
      <c r="D247" s="386" t="str">
        <f>IF(A247="","",Calculation!L253)</f>
        <v/>
      </c>
      <c r="E247" s="387" t="str">
        <f>IF(A247="","",Calculation!J253)</f>
        <v/>
      </c>
      <c r="F247" s="387" t="str">
        <f>IF(A247="","",Calculation!C253)</f>
        <v/>
      </c>
      <c r="G247" s="387" t="str">
        <f>IF(A247="","",LEFT(Calculation!O253,6))</f>
        <v/>
      </c>
      <c r="H247" s="388" t="str">
        <f>IF(A247="","",Calculation!DX253)</f>
        <v/>
      </c>
      <c r="I247" s="387" t="str">
        <f>IF(A247="","",Calculation!P253)</f>
        <v/>
      </c>
      <c r="J247" s="387" t="str">
        <f>IF(A247="","",HLOOKUP(LEFT(Calculation!BO253,7),LookUps!$C$38:$M$41,4))</f>
        <v/>
      </c>
      <c r="K247" s="387" t="str">
        <f>IF(A247="","",Calculation!M253)</f>
        <v/>
      </c>
      <c r="L247" s="387" t="str">
        <f>IF(A247="","",Calculation!S253)</f>
        <v/>
      </c>
      <c r="M247" s="389" t="str">
        <f>IF(A247="","",Calculation!N253)</f>
        <v/>
      </c>
      <c r="N247" s="390" t="str">
        <f>IF(A247="","",Calculation!R253)</f>
        <v/>
      </c>
      <c r="O247" s="391" t="str">
        <f>IF(A247="","",Calculation!$F$6)</f>
        <v/>
      </c>
      <c r="P247" s="392" t="str">
        <f>IF(A247="","",Calculation!$F$7)</f>
        <v/>
      </c>
      <c r="Q247" s="393" t="str">
        <f>IF(A247="","",Calculation!$F$13)</f>
        <v/>
      </c>
      <c r="R247" s="394" t="str">
        <f>IF(A247="","",Calculation!X253)</f>
        <v/>
      </c>
      <c r="S247" s="393" t="str">
        <f>IF(A247="","",Calculation!T253)</f>
        <v/>
      </c>
      <c r="T247" s="395" t="str">
        <f>IF(A247="","",IF(Calculation!$O$8="None","Water",CONCATENATE(Calculation!$O$8,"-",Calculation!$S$8,"%")))</f>
        <v/>
      </c>
      <c r="U247" s="393" t="str">
        <f>IF(A247="","",Calculation!$P$6)</f>
        <v/>
      </c>
      <c r="V247" s="393" t="str">
        <f>IF(A247="","",Calculation!AT253)</f>
        <v/>
      </c>
      <c r="W247" s="396" t="str">
        <f>IF(A247="","",Calculation!AP253)</f>
        <v/>
      </c>
      <c r="X247" s="396" t="str">
        <f>IF(A247="","",Calculation!AO253)</f>
        <v/>
      </c>
      <c r="Y247" s="396" t="str">
        <f>IF(A247="","",Calculation!AQ253)</f>
        <v/>
      </c>
      <c r="Z247" s="396" t="str">
        <f>IF(A247="","",Calculation!$H$6)</f>
        <v/>
      </c>
      <c r="AA247" s="397" t="str">
        <f>IF(A247="","",Calculation!$H$13)</f>
        <v/>
      </c>
      <c r="AB247" s="397" t="str">
        <f>IF(A247="","",Calculation!U253)</f>
        <v/>
      </c>
      <c r="AC247" s="398" t="str">
        <f>IF(A247="","",IF(Calculation!$O$9="None","Water",CONCATENATE(Calculation!$O$9,"-",Calculation!$S$9,"%")))</f>
        <v/>
      </c>
      <c r="AD247" s="396" t="str">
        <f>IF(A247="","",Calculation!$S$6)</f>
        <v/>
      </c>
      <c r="AE247" s="399" t="str">
        <f>IF(A247="","",Calculation!BA253)</f>
        <v/>
      </c>
      <c r="AF247" s="396" t="str">
        <f>IF(A247="","",Calculation!AX253)</f>
        <v/>
      </c>
      <c r="AG247" s="396" t="str">
        <f>IF(A247="","",Calculation!AW253)</f>
        <v/>
      </c>
      <c r="AH247" s="391" t="str">
        <f>IF(A247="","",Calculation!AY253)</f>
        <v/>
      </c>
      <c r="AI247" s="391" t="str">
        <f>IF(A247="","",Calculation!Y253)</f>
        <v/>
      </c>
      <c r="AJ247" s="401" t="str">
        <f>IF(Calculation!BD253&gt;0,Calculation!BD253," ")</f>
        <v xml:space="preserve"> </v>
      </c>
      <c r="AK247" s="401" t="str">
        <f>IF(Calculation!BD253&gt;0,Calculation!BE253," ")</f>
        <v xml:space="preserve"> </v>
      </c>
      <c r="AL247" s="401" t="str">
        <f>IF(Calculation!BD253&gt;0,Calculation!BF253," ")</f>
        <v xml:space="preserve"> </v>
      </c>
      <c r="AM247" s="401" t="str">
        <f>IF(Calculation!BD253&gt;0,Calculation!BG253," ")</f>
        <v xml:space="preserve"> </v>
      </c>
      <c r="AN247" s="391" t="str">
        <f>IF(Calculation!BH253="N/A","N/A",Calculation!BH253)</f>
        <v xml:space="preserve"> </v>
      </c>
      <c r="AO247" s="402" t="str">
        <f>IF(Calculation!BI253="N/A","N/A",Calculation!BI253)</f>
        <v/>
      </c>
      <c r="AP247" s="391" t="str">
        <f>IF(Calculation!BJ253="N/A","N/A",Calculation!BJ253)</f>
        <v/>
      </c>
      <c r="AQ247" s="402" t="str">
        <f>IF(Calculation!BK253="N/A","N/A",Calculation!BK253)</f>
        <v/>
      </c>
      <c r="AR247" s="391" t="str">
        <f>IF(Calculation!BL253="N/A","N/A",Calculation!BL253)</f>
        <v/>
      </c>
      <c r="AS247" s="402" t="str">
        <f>IF(Calculation!BM253="N/A","N/A",Calculation!BM253)</f>
        <v/>
      </c>
      <c r="AT247" s="400"/>
    </row>
    <row r="248" spans="1:46">
      <c r="A248" s="224" t="str">
        <f>IF(Calculation!BN254="","",CONCATENATE(Calculation!BO254,"-",Calculation!R254,"-",Calculation!S254,"-",Calculation!T254,"-",Calculation!U254))</f>
        <v/>
      </c>
      <c r="B248" s="224">
        <v>233</v>
      </c>
      <c r="C248" s="629" t="str">
        <f>IF(A248="","",Calculation!B254)</f>
        <v/>
      </c>
      <c r="D248" s="386" t="str">
        <f>IF(A248="","",Calculation!L254)</f>
        <v/>
      </c>
      <c r="E248" s="387" t="str">
        <f>IF(A248="","",Calculation!J254)</f>
        <v/>
      </c>
      <c r="F248" s="387" t="str">
        <f>IF(A248="","",Calculation!C254)</f>
        <v/>
      </c>
      <c r="G248" s="387" t="str">
        <f>IF(A248="","",LEFT(Calculation!O254,6))</f>
        <v/>
      </c>
      <c r="H248" s="388" t="str">
        <f>IF(A248="","",Calculation!DX254)</f>
        <v/>
      </c>
      <c r="I248" s="387" t="str">
        <f>IF(A248="","",Calculation!P254)</f>
        <v/>
      </c>
      <c r="J248" s="387" t="str">
        <f>IF(A248="","",HLOOKUP(LEFT(Calculation!BO254,7),LookUps!$C$38:$M$41,4))</f>
        <v/>
      </c>
      <c r="K248" s="387" t="str">
        <f>IF(A248="","",Calculation!M254)</f>
        <v/>
      </c>
      <c r="L248" s="387" t="str">
        <f>IF(A248="","",Calculation!S254)</f>
        <v/>
      </c>
      <c r="M248" s="389" t="str">
        <f>IF(A248="","",Calculation!N254)</f>
        <v/>
      </c>
      <c r="N248" s="390" t="str">
        <f>IF(A248="","",Calculation!R254)</f>
        <v/>
      </c>
      <c r="O248" s="391" t="str">
        <f>IF(A248="","",Calculation!$F$6)</f>
        <v/>
      </c>
      <c r="P248" s="392" t="str">
        <f>IF(A248="","",Calculation!$F$7)</f>
        <v/>
      </c>
      <c r="Q248" s="393" t="str">
        <f>IF(A248="","",Calculation!$F$13)</f>
        <v/>
      </c>
      <c r="R248" s="394" t="str">
        <f>IF(A248="","",Calculation!X254)</f>
        <v/>
      </c>
      <c r="S248" s="393" t="str">
        <f>IF(A248="","",Calculation!T254)</f>
        <v/>
      </c>
      <c r="T248" s="395" t="str">
        <f>IF(A248="","",IF(Calculation!$O$8="None","Water",CONCATENATE(Calculation!$O$8,"-",Calculation!$S$8,"%")))</f>
        <v/>
      </c>
      <c r="U248" s="393" t="str">
        <f>IF(A248="","",Calculation!$P$6)</f>
        <v/>
      </c>
      <c r="V248" s="393" t="str">
        <f>IF(A248="","",Calculation!AT254)</f>
        <v/>
      </c>
      <c r="W248" s="396" t="str">
        <f>IF(A248="","",Calculation!AP254)</f>
        <v/>
      </c>
      <c r="X248" s="396" t="str">
        <f>IF(A248="","",Calculation!AO254)</f>
        <v/>
      </c>
      <c r="Y248" s="396" t="str">
        <f>IF(A248="","",Calculation!AQ254)</f>
        <v/>
      </c>
      <c r="Z248" s="396" t="str">
        <f>IF(A248="","",Calculation!$H$6)</f>
        <v/>
      </c>
      <c r="AA248" s="397" t="str">
        <f>IF(A248="","",Calculation!$H$13)</f>
        <v/>
      </c>
      <c r="AB248" s="397" t="str">
        <f>IF(A248="","",Calculation!U254)</f>
        <v/>
      </c>
      <c r="AC248" s="398" t="str">
        <f>IF(A248="","",IF(Calculation!$O$9="None","Water",CONCATENATE(Calculation!$O$9,"-",Calculation!$S$9,"%")))</f>
        <v/>
      </c>
      <c r="AD248" s="396" t="str">
        <f>IF(A248="","",Calculation!$S$6)</f>
        <v/>
      </c>
      <c r="AE248" s="399" t="str">
        <f>IF(A248="","",Calculation!BA254)</f>
        <v/>
      </c>
      <c r="AF248" s="396" t="str">
        <f>IF(A248="","",Calculation!AX254)</f>
        <v/>
      </c>
      <c r="AG248" s="396" t="str">
        <f>IF(A248="","",Calculation!AW254)</f>
        <v/>
      </c>
      <c r="AH248" s="391" t="str">
        <f>IF(A248="","",Calculation!AY254)</f>
        <v/>
      </c>
      <c r="AI248" s="391" t="str">
        <f>IF(A248="","",Calculation!Y254)</f>
        <v/>
      </c>
      <c r="AJ248" s="401" t="str">
        <f>IF(Calculation!BD254&gt;0,Calculation!BD254," ")</f>
        <v xml:space="preserve"> </v>
      </c>
      <c r="AK248" s="401" t="str">
        <f>IF(Calculation!BD254&gt;0,Calculation!BE254," ")</f>
        <v xml:space="preserve"> </v>
      </c>
      <c r="AL248" s="401" t="str">
        <f>IF(Calculation!BD254&gt;0,Calculation!BF254," ")</f>
        <v xml:space="preserve"> </v>
      </c>
      <c r="AM248" s="401" t="str">
        <f>IF(Calculation!BD254&gt;0,Calculation!BG254," ")</f>
        <v xml:space="preserve"> </v>
      </c>
      <c r="AN248" s="391" t="str">
        <f>IF(Calculation!BH254="N/A","N/A",Calculation!BH254)</f>
        <v xml:space="preserve"> </v>
      </c>
      <c r="AO248" s="402" t="str">
        <f>IF(Calculation!BI254="N/A","N/A",Calculation!BI254)</f>
        <v/>
      </c>
      <c r="AP248" s="391" t="str">
        <f>IF(Calculation!BJ254="N/A","N/A",Calculation!BJ254)</f>
        <v/>
      </c>
      <c r="AQ248" s="402" t="str">
        <f>IF(Calculation!BK254="N/A","N/A",Calculation!BK254)</f>
        <v/>
      </c>
      <c r="AR248" s="391" t="str">
        <f>IF(Calculation!BL254="N/A","N/A",Calculation!BL254)</f>
        <v/>
      </c>
      <c r="AS248" s="402" t="str">
        <f>IF(Calculation!BM254="N/A","N/A",Calculation!BM254)</f>
        <v/>
      </c>
      <c r="AT248" s="400"/>
    </row>
    <row r="249" spans="1:46">
      <c r="A249" s="224" t="str">
        <f>IF(Calculation!BN255="","",CONCATENATE(Calculation!BO255,"-",Calculation!R255,"-",Calculation!S255,"-",Calculation!T255,"-",Calculation!U255))</f>
        <v/>
      </c>
      <c r="B249" s="224">
        <v>234</v>
      </c>
      <c r="C249" s="629" t="str">
        <f>IF(A249="","",Calculation!B255)</f>
        <v/>
      </c>
      <c r="D249" s="386" t="str">
        <f>IF(A249="","",Calculation!L255)</f>
        <v/>
      </c>
      <c r="E249" s="387" t="str">
        <f>IF(A249="","",Calculation!J255)</f>
        <v/>
      </c>
      <c r="F249" s="387" t="str">
        <f>IF(A249="","",Calculation!C255)</f>
        <v/>
      </c>
      <c r="G249" s="387" t="str">
        <f>IF(A249="","",LEFT(Calculation!O255,6))</f>
        <v/>
      </c>
      <c r="H249" s="388" t="str">
        <f>IF(A249="","",Calculation!DX255)</f>
        <v/>
      </c>
      <c r="I249" s="387" t="str">
        <f>IF(A249="","",Calculation!P255)</f>
        <v/>
      </c>
      <c r="J249" s="387" t="str">
        <f>IF(A249="","",HLOOKUP(LEFT(Calculation!BO255,7),LookUps!$C$38:$M$41,4))</f>
        <v/>
      </c>
      <c r="K249" s="387" t="str">
        <f>IF(A249="","",Calculation!M255)</f>
        <v/>
      </c>
      <c r="L249" s="387" t="str">
        <f>IF(A249="","",Calculation!S255)</f>
        <v/>
      </c>
      <c r="M249" s="389" t="str">
        <f>IF(A249="","",Calculation!N255)</f>
        <v/>
      </c>
      <c r="N249" s="390" t="str">
        <f>IF(A249="","",Calculation!R255)</f>
        <v/>
      </c>
      <c r="O249" s="391" t="str">
        <f>IF(A249="","",Calculation!$F$6)</f>
        <v/>
      </c>
      <c r="P249" s="392" t="str">
        <f>IF(A249="","",Calculation!$F$7)</f>
        <v/>
      </c>
      <c r="Q249" s="393" t="str">
        <f>IF(A249="","",Calculation!$F$13)</f>
        <v/>
      </c>
      <c r="R249" s="394" t="str">
        <f>IF(A249="","",Calculation!X255)</f>
        <v/>
      </c>
      <c r="S249" s="393" t="str">
        <f>IF(A249="","",Calculation!T255)</f>
        <v/>
      </c>
      <c r="T249" s="395" t="str">
        <f>IF(A249="","",IF(Calculation!$O$8="None","Water",CONCATENATE(Calculation!$O$8,"-",Calculation!$S$8,"%")))</f>
        <v/>
      </c>
      <c r="U249" s="393" t="str">
        <f>IF(A249="","",Calculation!$P$6)</f>
        <v/>
      </c>
      <c r="V249" s="393" t="str">
        <f>IF(A249="","",Calculation!AT255)</f>
        <v/>
      </c>
      <c r="W249" s="396" t="str">
        <f>IF(A249="","",Calculation!AP255)</f>
        <v/>
      </c>
      <c r="X249" s="396" t="str">
        <f>IF(A249="","",Calculation!AO255)</f>
        <v/>
      </c>
      <c r="Y249" s="396" t="str">
        <f>IF(A249="","",Calculation!AQ255)</f>
        <v/>
      </c>
      <c r="Z249" s="396" t="str">
        <f>IF(A249="","",Calculation!$H$6)</f>
        <v/>
      </c>
      <c r="AA249" s="397" t="str">
        <f>IF(A249="","",Calculation!$H$13)</f>
        <v/>
      </c>
      <c r="AB249" s="397" t="str">
        <f>IF(A249="","",Calculation!U255)</f>
        <v/>
      </c>
      <c r="AC249" s="398" t="str">
        <f>IF(A249="","",IF(Calculation!$O$9="None","Water",CONCATENATE(Calculation!$O$9,"-",Calculation!$S$9,"%")))</f>
        <v/>
      </c>
      <c r="AD249" s="396" t="str">
        <f>IF(A249="","",Calculation!$S$6)</f>
        <v/>
      </c>
      <c r="AE249" s="399" t="str">
        <f>IF(A249="","",Calculation!BA255)</f>
        <v/>
      </c>
      <c r="AF249" s="396" t="str">
        <f>IF(A249="","",Calculation!AX255)</f>
        <v/>
      </c>
      <c r="AG249" s="396" t="str">
        <f>IF(A249="","",Calculation!AW255)</f>
        <v/>
      </c>
      <c r="AH249" s="391" t="str">
        <f>IF(A249="","",Calculation!AY255)</f>
        <v/>
      </c>
      <c r="AI249" s="391" t="str">
        <f>IF(A249="","",Calculation!Y255)</f>
        <v/>
      </c>
      <c r="AJ249" s="401" t="str">
        <f>IF(Calculation!BD255&gt;0,Calculation!BD255," ")</f>
        <v xml:space="preserve"> </v>
      </c>
      <c r="AK249" s="401" t="str">
        <f>IF(Calculation!BD255&gt;0,Calculation!BE255," ")</f>
        <v xml:space="preserve"> </v>
      </c>
      <c r="AL249" s="401" t="str">
        <f>IF(Calculation!BD255&gt;0,Calculation!BF255," ")</f>
        <v xml:space="preserve"> </v>
      </c>
      <c r="AM249" s="401" t="str">
        <f>IF(Calculation!BD255&gt;0,Calculation!BG255," ")</f>
        <v xml:space="preserve"> </v>
      </c>
      <c r="AN249" s="391" t="str">
        <f>IF(Calculation!BH255="N/A","N/A",Calculation!BH255)</f>
        <v xml:space="preserve"> </v>
      </c>
      <c r="AO249" s="402" t="str">
        <f>IF(Calculation!BI255="N/A","N/A",Calculation!BI255)</f>
        <v/>
      </c>
      <c r="AP249" s="391" t="str">
        <f>IF(Calculation!BJ255="N/A","N/A",Calculation!BJ255)</f>
        <v/>
      </c>
      <c r="AQ249" s="402" t="str">
        <f>IF(Calculation!BK255="N/A","N/A",Calculation!BK255)</f>
        <v/>
      </c>
      <c r="AR249" s="391" t="str">
        <f>IF(Calculation!BL255="N/A","N/A",Calculation!BL255)</f>
        <v/>
      </c>
      <c r="AS249" s="402" t="str">
        <f>IF(Calculation!BM255="N/A","N/A",Calculation!BM255)</f>
        <v/>
      </c>
      <c r="AT249" s="400"/>
    </row>
    <row r="250" spans="1:46">
      <c r="A250" s="224" t="str">
        <f>IF(Calculation!BN256="","",CONCATENATE(Calculation!BO256,"-",Calculation!R256,"-",Calculation!S256,"-",Calculation!T256,"-",Calculation!U256))</f>
        <v/>
      </c>
      <c r="B250" s="224">
        <v>235</v>
      </c>
      <c r="C250" s="629" t="str">
        <f>IF(A250="","",Calculation!B256)</f>
        <v/>
      </c>
      <c r="D250" s="386" t="str">
        <f>IF(A250="","",Calculation!L256)</f>
        <v/>
      </c>
      <c r="E250" s="387" t="str">
        <f>IF(A250="","",Calculation!J256)</f>
        <v/>
      </c>
      <c r="F250" s="387" t="str">
        <f>IF(A250="","",Calculation!C256)</f>
        <v/>
      </c>
      <c r="G250" s="387" t="str">
        <f>IF(A250="","",LEFT(Calculation!O256,6))</f>
        <v/>
      </c>
      <c r="H250" s="388" t="str">
        <f>IF(A250="","",Calculation!DX256)</f>
        <v/>
      </c>
      <c r="I250" s="387" t="str">
        <f>IF(A250="","",Calculation!P256)</f>
        <v/>
      </c>
      <c r="J250" s="387" t="str">
        <f>IF(A250="","",HLOOKUP(LEFT(Calculation!BO256,7),LookUps!$C$38:$M$41,4))</f>
        <v/>
      </c>
      <c r="K250" s="387" t="str">
        <f>IF(A250="","",Calculation!M256)</f>
        <v/>
      </c>
      <c r="L250" s="387" t="str">
        <f>IF(A250="","",Calculation!S256)</f>
        <v/>
      </c>
      <c r="M250" s="389" t="str">
        <f>IF(A250="","",Calculation!N256)</f>
        <v/>
      </c>
      <c r="N250" s="390" t="str">
        <f>IF(A250="","",Calculation!R256)</f>
        <v/>
      </c>
      <c r="O250" s="391" t="str">
        <f>IF(A250="","",Calculation!$F$6)</f>
        <v/>
      </c>
      <c r="P250" s="392" t="str">
        <f>IF(A250="","",Calculation!$F$7)</f>
        <v/>
      </c>
      <c r="Q250" s="393" t="str">
        <f>IF(A250="","",Calculation!$F$13)</f>
        <v/>
      </c>
      <c r="R250" s="394" t="str">
        <f>IF(A250="","",Calculation!X256)</f>
        <v/>
      </c>
      <c r="S250" s="393" t="str">
        <f>IF(A250="","",Calculation!T256)</f>
        <v/>
      </c>
      <c r="T250" s="395" t="str">
        <f>IF(A250="","",IF(Calculation!$O$8="None","Water",CONCATENATE(Calculation!$O$8,"-",Calculation!$S$8,"%")))</f>
        <v/>
      </c>
      <c r="U250" s="393" t="str">
        <f>IF(A250="","",Calculation!$P$6)</f>
        <v/>
      </c>
      <c r="V250" s="393" t="str">
        <f>IF(A250="","",Calculation!AT256)</f>
        <v/>
      </c>
      <c r="W250" s="396" t="str">
        <f>IF(A250="","",Calculation!AP256)</f>
        <v/>
      </c>
      <c r="X250" s="396" t="str">
        <f>IF(A250="","",Calculation!AO256)</f>
        <v/>
      </c>
      <c r="Y250" s="396" t="str">
        <f>IF(A250="","",Calculation!AQ256)</f>
        <v/>
      </c>
      <c r="Z250" s="396" t="str">
        <f>IF(A250="","",Calculation!$H$6)</f>
        <v/>
      </c>
      <c r="AA250" s="397" t="str">
        <f>IF(A250="","",Calculation!$H$13)</f>
        <v/>
      </c>
      <c r="AB250" s="397" t="str">
        <f>IF(A250="","",Calculation!U256)</f>
        <v/>
      </c>
      <c r="AC250" s="398" t="str">
        <f>IF(A250="","",IF(Calculation!$O$9="None","Water",CONCATENATE(Calculation!$O$9,"-",Calculation!$S$9,"%")))</f>
        <v/>
      </c>
      <c r="AD250" s="396" t="str">
        <f>IF(A250="","",Calculation!$S$6)</f>
        <v/>
      </c>
      <c r="AE250" s="399" t="str">
        <f>IF(A250="","",Calculation!BA256)</f>
        <v/>
      </c>
      <c r="AF250" s="396" t="str">
        <f>IF(A250="","",Calculation!AX256)</f>
        <v/>
      </c>
      <c r="AG250" s="396" t="str">
        <f>IF(A250="","",Calculation!AW256)</f>
        <v/>
      </c>
      <c r="AH250" s="391" t="str">
        <f>IF(A250="","",Calculation!AY256)</f>
        <v/>
      </c>
      <c r="AI250" s="391" t="str">
        <f>IF(A250="","",Calculation!Y256)</f>
        <v/>
      </c>
      <c r="AJ250" s="401" t="str">
        <f>IF(Calculation!BD256&gt;0,Calculation!BD256," ")</f>
        <v xml:space="preserve"> </v>
      </c>
      <c r="AK250" s="401" t="str">
        <f>IF(Calculation!BD256&gt;0,Calculation!BE256," ")</f>
        <v xml:space="preserve"> </v>
      </c>
      <c r="AL250" s="401" t="str">
        <f>IF(Calculation!BD256&gt;0,Calculation!BF256," ")</f>
        <v xml:space="preserve"> </v>
      </c>
      <c r="AM250" s="401" t="str">
        <f>IF(Calculation!BD256&gt;0,Calculation!BG256," ")</f>
        <v xml:space="preserve"> </v>
      </c>
      <c r="AN250" s="391" t="str">
        <f>IF(Calculation!BH256="N/A","N/A",Calculation!BH256)</f>
        <v xml:space="preserve"> </v>
      </c>
      <c r="AO250" s="402" t="str">
        <f>IF(Calculation!BI256="N/A","N/A",Calculation!BI256)</f>
        <v/>
      </c>
      <c r="AP250" s="391" t="str">
        <f>IF(Calculation!BJ256="N/A","N/A",Calculation!BJ256)</f>
        <v/>
      </c>
      <c r="AQ250" s="402" t="str">
        <f>IF(Calculation!BK256="N/A","N/A",Calculation!BK256)</f>
        <v/>
      </c>
      <c r="AR250" s="391" t="str">
        <f>IF(Calculation!BL256="N/A","N/A",Calculation!BL256)</f>
        <v/>
      </c>
      <c r="AS250" s="402" t="str">
        <f>IF(Calculation!BM256="N/A","N/A",Calculation!BM256)</f>
        <v/>
      </c>
      <c r="AT250" s="400"/>
    </row>
    <row r="251" spans="1:46">
      <c r="A251" s="224" t="str">
        <f>IF(Calculation!BN257="","",CONCATENATE(Calculation!BO257,"-",Calculation!R257,"-",Calculation!S257,"-",Calculation!T257,"-",Calculation!U257))</f>
        <v/>
      </c>
      <c r="B251" s="224">
        <v>236</v>
      </c>
      <c r="C251" s="629" t="str">
        <f>IF(A251="","",Calculation!B257)</f>
        <v/>
      </c>
      <c r="D251" s="386" t="str">
        <f>IF(A251="","",Calculation!L257)</f>
        <v/>
      </c>
      <c r="E251" s="387" t="str">
        <f>IF(A251="","",Calculation!J257)</f>
        <v/>
      </c>
      <c r="F251" s="387" t="str">
        <f>IF(A251="","",Calculation!C257)</f>
        <v/>
      </c>
      <c r="G251" s="387" t="str">
        <f>IF(A251="","",LEFT(Calculation!O257,6))</f>
        <v/>
      </c>
      <c r="H251" s="388" t="str">
        <f>IF(A251="","",Calculation!DX257)</f>
        <v/>
      </c>
      <c r="I251" s="387" t="str">
        <f>IF(A251="","",Calculation!P257)</f>
        <v/>
      </c>
      <c r="J251" s="387" t="str">
        <f>IF(A251="","",HLOOKUP(LEFT(Calculation!BO257,7),LookUps!$C$38:$M$41,4))</f>
        <v/>
      </c>
      <c r="K251" s="387" t="str">
        <f>IF(A251="","",Calculation!M257)</f>
        <v/>
      </c>
      <c r="L251" s="387" t="str">
        <f>IF(A251="","",Calculation!S257)</f>
        <v/>
      </c>
      <c r="M251" s="389" t="str">
        <f>IF(A251="","",Calculation!N257)</f>
        <v/>
      </c>
      <c r="N251" s="390" t="str">
        <f>IF(A251="","",Calculation!R257)</f>
        <v/>
      </c>
      <c r="O251" s="391" t="str">
        <f>IF(A251="","",Calculation!$F$6)</f>
        <v/>
      </c>
      <c r="P251" s="392" t="str">
        <f>IF(A251="","",Calculation!$F$7)</f>
        <v/>
      </c>
      <c r="Q251" s="393" t="str">
        <f>IF(A251="","",Calculation!$F$13)</f>
        <v/>
      </c>
      <c r="R251" s="394" t="str">
        <f>IF(A251="","",Calculation!X257)</f>
        <v/>
      </c>
      <c r="S251" s="393" t="str">
        <f>IF(A251="","",Calculation!T257)</f>
        <v/>
      </c>
      <c r="T251" s="395" t="str">
        <f>IF(A251="","",IF(Calculation!$O$8="None","Water",CONCATENATE(Calculation!$O$8,"-",Calculation!$S$8,"%")))</f>
        <v/>
      </c>
      <c r="U251" s="393" t="str">
        <f>IF(A251="","",Calculation!$P$6)</f>
        <v/>
      </c>
      <c r="V251" s="393" t="str">
        <f>IF(A251="","",Calculation!AT257)</f>
        <v/>
      </c>
      <c r="W251" s="396" t="str">
        <f>IF(A251="","",Calculation!AP257)</f>
        <v/>
      </c>
      <c r="X251" s="396" t="str">
        <f>IF(A251="","",Calculation!AO257)</f>
        <v/>
      </c>
      <c r="Y251" s="396" t="str">
        <f>IF(A251="","",Calculation!AQ257)</f>
        <v/>
      </c>
      <c r="Z251" s="396" t="str">
        <f>IF(A251="","",Calculation!$H$6)</f>
        <v/>
      </c>
      <c r="AA251" s="397" t="str">
        <f>IF(A251="","",Calculation!$H$13)</f>
        <v/>
      </c>
      <c r="AB251" s="397" t="str">
        <f>IF(A251="","",Calculation!U257)</f>
        <v/>
      </c>
      <c r="AC251" s="398" t="str">
        <f>IF(A251="","",IF(Calculation!$O$9="None","Water",CONCATENATE(Calculation!$O$9,"-",Calculation!$S$9,"%")))</f>
        <v/>
      </c>
      <c r="AD251" s="396" t="str">
        <f>IF(A251="","",Calculation!$S$6)</f>
        <v/>
      </c>
      <c r="AE251" s="399" t="str">
        <f>IF(A251="","",Calculation!BA257)</f>
        <v/>
      </c>
      <c r="AF251" s="396" t="str">
        <f>IF(A251="","",Calculation!AX257)</f>
        <v/>
      </c>
      <c r="AG251" s="396" t="str">
        <f>IF(A251="","",Calculation!AW257)</f>
        <v/>
      </c>
      <c r="AH251" s="391" t="str">
        <f>IF(A251="","",Calculation!AY257)</f>
        <v/>
      </c>
      <c r="AI251" s="391" t="str">
        <f>IF(A251="","",Calculation!Y257)</f>
        <v/>
      </c>
      <c r="AJ251" s="401" t="str">
        <f>IF(Calculation!BD257&gt;0,Calculation!BD257," ")</f>
        <v xml:space="preserve"> </v>
      </c>
      <c r="AK251" s="401" t="str">
        <f>IF(Calculation!BD257&gt;0,Calculation!BE257," ")</f>
        <v xml:space="preserve"> </v>
      </c>
      <c r="AL251" s="401" t="str">
        <f>IF(Calculation!BD257&gt;0,Calculation!BF257," ")</f>
        <v xml:space="preserve"> </v>
      </c>
      <c r="AM251" s="401" t="str">
        <f>IF(Calculation!BD257&gt;0,Calculation!BG257," ")</f>
        <v xml:space="preserve"> </v>
      </c>
      <c r="AN251" s="391" t="str">
        <f>IF(Calculation!BH257="N/A","N/A",Calculation!BH257)</f>
        <v xml:space="preserve"> </v>
      </c>
      <c r="AO251" s="402" t="str">
        <f>IF(Calculation!BI257="N/A","N/A",Calculation!BI257)</f>
        <v/>
      </c>
      <c r="AP251" s="391" t="str">
        <f>IF(Calculation!BJ257="N/A","N/A",Calculation!BJ257)</f>
        <v/>
      </c>
      <c r="AQ251" s="402" t="str">
        <f>IF(Calculation!BK257="N/A","N/A",Calculation!BK257)</f>
        <v/>
      </c>
      <c r="AR251" s="391" t="str">
        <f>IF(Calculation!BL257="N/A","N/A",Calculation!BL257)</f>
        <v/>
      </c>
      <c r="AS251" s="402" t="str">
        <f>IF(Calculation!BM257="N/A","N/A",Calculation!BM257)</f>
        <v/>
      </c>
      <c r="AT251" s="400"/>
    </row>
    <row r="252" spans="1:46">
      <c r="A252" s="224" t="str">
        <f>IF(Calculation!BN258="","",CONCATENATE(Calculation!BO258,"-",Calculation!R258,"-",Calculation!S258,"-",Calculation!T258,"-",Calculation!U258))</f>
        <v/>
      </c>
      <c r="B252" s="224">
        <v>237</v>
      </c>
      <c r="C252" s="629" t="str">
        <f>IF(A252="","",Calculation!B258)</f>
        <v/>
      </c>
      <c r="D252" s="386" t="str">
        <f>IF(A252="","",Calculation!L258)</f>
        <v/>
      </c>
      <c r="E252" s="387" t="str">
        <f>IF(A252="","",Calculation!J258)</f>
        <v/>
      </c>
      <c r="F252" s="387" t="str">
        <f>IF(A252="","",Calculation!C258)</f>
        <v/>
      </c>
      <c r="G252" s="387" t="str">
        <f>IF(A252="","",LEFT(Calculation!O258,6))</f>
        <v/>
      </c>
      <c r="H252" s="388" t="str">
        <f>IF(A252="","",Calculation!DX258)</f>
        <v/>
      </c>
      <c r="I252" s="387" t="str">
        <f>IF(A252="","",Calculation!P258)</f>
        <v/>
      </c>
      <c r="J252" s="387" t="str">
        <f>IF(A252="","",HLOOKUP(LEFT(Calculation!BO258,7),LookUps!$C$38:$M$41,4))</f>
        <v/>
      </c>
      <c r="K252" s="387" t="str">
        <f>IF(A252="","",Calculation!M258)</f>
        <v/>
      </c>
      <c r="L252" s="387" t="str">
        <f>IF(A252="","",Calculation!S258)</f>
        <v/>
      </c>
      <c r="M252" s="389" t="str">
        <f>IF(A252="","",Calculation!N258)</f>
        <v/>
      </c>
      <c r="N252" s="390" t="str">
        <f>IF(A252="","",Calculation!R258)</f>
        <v/>
      </c>
      <c r="O252" s="391" t="str">
        <f>IF(A252="","",Calculation!$F$6)</f>
        <v/>
      </c>
      <c r="P252" s="392" t="str">
        <f>IF(A252="","",Calculation!$F$7)</f>
        <v/>
      </c>
      <c r="Q252" s="393" t="str">
        <f>IF(A252="","",Calculation!$F$13)</f>
        <v/>
      </c>
      <c r="R252" s="394" t="str">
        <f>IF(A252="","",Calculation!X258)</f>
        <v/>
      </c>
      <c r="S252" s="393" t="str">
        <f>IF(A252="","",Calculation!T258)</f>
        <v/>
      </c>
      <c r="T252" s="395" t="str">
        <f>IF(A252="","",IF(Calculation!$O$8="None","Water",CONCATENATE(Calculation!$O$8,"-",Calculation!$S$8,"%")))</f>
        <v/>
      </c>
      <c r="U252" s="393" t="str">
        <f>IF(A252="","",Calculation!$P$6)</f>
        <v/>
      </c>
      <c r="V252" s="393" t="str">
        <f>IF(A252="","",Calculation!AT258)</f>
        <v/>
      </c>
      <c r="W252" s="396" t="str">
        <f>IF(A252="","",Calculation!AP258)</f>
        <v/>
      </c>
      <c r="X252" s="396" t="str">
        <f>IF(A252="","",Calculation!AO258)</f>
        <v/>
      </c>
      <c r="Y252" s="396" t="str">
        <f>IF(A252="","",Calculation!AQ258)</f>
        <v/>
      </c>
      <c r="Z252" s="396" t="str">
        <f>IF(A252="","",Calculation!$H$6)</f>
        <v/>
      </c>
      <c r="AA252" s="397" t="str">
        <f>IF(A252="","",Calculation!$H$13)</f>
        <v/>
      </c>
      <c r="AB252" s="397" t="str">
        <f>IF(A252="","",Calculation!U258)</f>
        <v/>
      </c>
      <c r="AC252" s="398" t="str">
        <f>IF(A252="","",IF(Calculation!$O$9="None","Water",CONCATENATE(Calculation!$O$9,"-",Calculation!$S$9,"%")))</f>
        <v/>
      </c>
      <c r="AD252" s="396" t="str">
        <f>IF(A252="","",Calculation!$S$6)</f>
        <v/>
      </c>
      <c r="AE252" s="399" t="str">
        <f>IF(A252="","",Calculation!BA258)</f>
        <v/>
      </c>
      <c r="AF252" s="396" t="str">
        <f>IF(A252="","",Calculation!AX258)</f>
        <v/>
      </c>
      <c r="AG252" s="396" t="str">
        <f>IF(A252="","",Calculation!AW258)</f>
        <v/>
      </c>
      <c r="AH252" s="391" t="str">
        <f>IF(A252="","",Calculation!AY258)</f>
        <v/>
      </c>
      <c r="AI252" s="391" t="str">
        <f>IF(A252="","",Calculation!Y258)</f>
        <v/>
      </c>
      <c r="AJ252" s="401" t="str">
        <f>IF(Calculation!BD258&gt;0,Calculation!BD258," ")</f>
        <v xml:space="preserve"> </v>
      </c>
      <c r="AK252" s="401" t="str">
        <f>IF(Calculation!BD258&gt;0,Calculation!BE258," ")</f>
        <v xml:space="preserve"> </v>
      </c>
      <c r="AL252" s="401" t="str">
        <f>IF(Calculation!BD258&gt;0,Calculation!BF258," ")</f>
        <v xml:space="preserve"> </v>
      </c>
      <c r="AM252" s="401" t="str">
        <f>IF(Calculation!BD258&gt;0,Calculation!BG258," ")</f>
        <v xml:space="preserve"> </v>
      </c>
      <c r="AN252" s="391" t="str">
        <f>IF(Calculation!BH258="N/A","N/A",Calculation!BH258)</f>
        <v xml:space="preserve"> </v>
      </c>
      <c r="AO252" s="402" t="str">
        <f>IF(Calculation!BI258="N/A","N/A",Calculation!BI258)</f>
        <v/>
      </c>
      <c r="AP252" s="391" t="str">
        <f>IF(Calculation!BJ258="N/A","N/A",Calculation!BJ258)</f>
        <v/>
      </c>
      <c r="AQ252" s="402" t="str">
        <f>IF(Calculation!BK258="N/A","N/A",Calculation!BK258)</f>
        <v/>
      </c>
      <c r="AR252" s="391" t="str">
        <f>IF(Calculation!BL258="N/A","N/A",Calculation!BL258)</f>
        <v/>
      </c>
      <c r="AS252" s="402" t="str">
        <f>IF(Calculation!BM258="N/A","N/A",Calculation!BM258)</f>
        <v/>
      </c>
      <c r="AT252" s="400"/>
    </row>
    <row r="253" spans="1:46">
      <c r="A253" s="224" t="str">
        <f>IF(Calculation!BN259="","",CONCATENATE(Calculation!BO259,"-",Calculation!R259,"-",Calculation!S259,"-",Calculation!T259,"-",Calculation!U259))</f>
        <v/>
      </c>
      <c r="B253" s="224">
        <v>238</v>
      </c>
      <c r="C253" s="629" t="str">
        <f>IF(A253="","",Calculation!B259)</f>
        <v/>
      </c>
      <c r="D253" s="386" t="str">
        <f>IF(A253="","",Calculation!L259)</f>
        <v/>
      </c>
      <c r="E253" s="387" t="str">
        <f>IF(A253="","",Calculation!J259)</f>
        <v/>
      </c>
      <c r="F253" s="387" t="str">
        <f>IF(A253="","",Calculation!C259)</f>
        <v/>
      </c>
      <c r="G253" s="387" t="str">
        <f>IF(A253="","",LEFT(Calculation!O259,6))</f>
        <v/>
      </c>
      <c r="H253" s="388" t="str">
        <f>IF(A253="","",Calculation!DX259)</f>
        <v/>
      </c>
      <c r="I253" s="387" t="str">
        <f>IF(A253="","",Calculation!P259)</f>
        <v/>
      </c>
      <c r="J253" s="387" t="str">
        <f>IF(A253="","",HLOOKUP(LEFT(Calculation!BO259,7),LookUps!$C$38:$M$41,4))</f>
        <v/>
      </c>
      <c r="K253" s="387" t="str">
        <f>IF(A253="","",Calculation!M259)</f>
        <v/>
      </c>
      <c r="L253" s="387" t="str">
        <f>IF(A253="","",Calculation!S259)</f>
        <v/>
      </c>
      <c r="M253" s="389" t="str">
        <f>IF(A253="","",Calculation!N259)</f>
        <v/>
      </c>
      <c r="N253" s="390" t="str">
        <f>IF(A253="","",Calculation!R259)</f>
        <v/>
      </c>
      <c r="O253" s="391" t="str">
        <f>IF(A253="","",Calculation!$F$6)</f>
        <v/>
      </c>
      <c r="P253" s="392" t="str">
        <f>IF(A253="","",Calculation!$F$7)</f>
        <v/>
      </c>
      <c r="Q253" s="393" t="str">
        <f>IF(A253="","",Calculation!$F$13)</f>
        <v/>
      </c>
      <c r="R253" s="394" t="str">
        <f>IF(A253="","",Calculation!X259)</f>
        <v/>
      </c>
      <c r="S253" s="393" t="str">
        <f>IF(A253="","",Calculation!T259)</f>
        <v/>
      </c>
      <c r="T253" s="395" t="str">
        <f>IF(A253="","",IF(Calculation!$O$8="None","Water",CONCATENATE(Calculation!$O$8,"-",Calculation!$S$8,"%")))</f>
        <v/>
      </c>
      <c r="U253" s="393" t="str">
        <f>IF(A253="","",Calculation!$P$6)</f>
        <v/>
      </c>
      <c r="V253" s="393" t="str">
        <f>IF(A253="","",Calculation!AT259)</f>
        <v/>
      </c>
      <c r="W253" s="396" t="str">
        <f>IF(A253="","",Calculation!AP259)</f>
        <v/>
      </c>
      <c r="X253" s="396" t="str">
        <f>IF(A253="","",Calculation!AO259)</f>
        <v/>
      </c>
      <c r="Y253" s="396" t="str">
        <f>IF(A253="","",Calculation!AQ259)</f>
        <v/>
      </c>
      <c r="Z253" s="396" t="str">
        <f>IF(A253="","",Calculation!$H$6)</f>
        <v/>
      </c>
      <c r="AA253" s="397" t="str">
        <f>IF(A253="","",Calculation!$H$13)</f>
        <v/>
      </c>
      <c r="AB253" s="397" t="str">
        <f>IF(A253="","",Calculation!U259)</f>
        <v/>
      </c>
      <c r="AC253" s="398" t="str">
        <f>IF(A253="","",IF(Calculation!$O$9="None","Water",CONCATENATE(Calculation!$O$9,"-",Calculation!$S$9,"%")))</f>
        <v/>
      </c>
      <c r="AD253" s="396" t="str">
        <f>IF(A253="","",Calculation!$S$6)</f>
        <v/>
      </c>
      <c r="AE253" s="399" t="str">
        <f>IF(A253="","",Calculation!BA259)</f>
        <v/>
      </c>
      <c r="AF253" s="396" t="str">
        <f>IF(A253="","",Calculation!AX259)</f>
        <v/>
      </c>
      <c r="AG253" s="396" t="str">
        <f>IF(A253="","",Calculation!AW259)</f>
        <v/>
      </c>
      <c r="AH253" s="391" t="str">
        <f>IF(A253="","",Calculation!AY259)</f>
        <v/>
      </c>
      <c r="AI253" s="391" t="str">
        <f>IF(A253="","",Calculation!Y259)</f>
        <v/>
      </c>
      <c r="AJ253" s="401" t="str">
        <f>IF(Calculation!BD259&gt;0,Calculation!BD259," ")</f>
        <v xml:space="preserve"> </v>
      </c>
      <c r="AK253" s="401" t="str">
        <f>IF(Calculation!BD259&gt;0,Calculation!BE259," ")</f>
        <v xml:space="preserve"> </v>
      </c>
      <c r="AL253" s="401" t="str">
        <f>IF(Calculation!BD259&gt;0,Calculation!BF259," ")</f>
        <v xml:space="preserve"> </v>
      </c>
      <c r="AM253" s="401" t="str">
        <f>IF(Calculation!BD259&gt;0,Calculation!BG259," ")</f>
        <v xml:space="preserve"> </v>
      </c>
      <c r="AN253" s="391" t="str">
        <f>IF(Calculation!BH259="N/A","N/A",Calculation!BH259)</f>
        <v xml:space="preserve"> </v>
      </c>
      <c r="AO253" s="402" t="str">
        <f>IF(Calculation!BI259="N/A","N/A",Calculation!BI259)</f>
        <v/>
      </c>
      <c r="AP253" s="391" t="str">
        <f>IF(Calculation!BJ259="N/A","N/A",Calculation!BJ259)</f>
        <v/>
      </c>
      <c r="AQ253" s="402" t="str">
        <f>IF(Calculation!BK259="N/A","N/A",Calculation!BK259)</f>
        <v/>
      </c>
      <c r="AR253" s="391" t="str">
        <f>IF(Calculation!BL259="N/A","N/A",Calculation!BL259)</f>
        <v/>
      </c>
      <c r="AS253" s="402" t="str">
        <f>IF(Calculation!BM259="N/A","N/A",Calculation!BM259)</f>
        <v/>
      </c>
      <c r="AT253" s="400"/>
    </row>
    <row r="254" spans="1:46">
      <c r="A254" s="224" t="str">
        <f>IF(Calculation!BN260="","",CONCATENATE(Calculation!BO260,"-",Calculation!R260,"-",Calculation!S260,"-",Calculation!T260,"-",Calculation!U260))</f>
        <v/>
      </c>
      <c r="B254" s="224">
        <v>239</v>
      </c>
      <c r="C254" s="629" t="str">
        <f>IF(A254="","",Calculation!B260)</f>
        <v/>
      </c>
      <c r="D254" s="386" t="str">
        <f>IF(A254="","",Calculation!L260)</f>
        <v/>
      </c>
      <c r="E254" s="387" t="str">
        <f>IF(A254="","",Calculation!J260)</f>
        <v/>
      </c>
      <c r="F254" s="387" t="str">
        <f>IF(A254="","",Calculation!C260)</f>
        <v/>
      </c>
      <c r="G254" s="387" t="str">
        <f>IF(A254="","",LEFT(Calculation!O260,6))</f>
        <v/>
      </c>
      <c r="H254" s="388" t="str">
        <f>IF(A254="","",Calculation!DX260)</f>
        <v/>
      </c>
      <c r="I254" s="387" t="str">
        <f>IF(A254="","",Calculation!P260)</f>
        <v/>
      </c>
      <c r="J254" s="387" t="str">
        <f>IF(A254="","",HLOOKUP(LEFT(Calculation!BO260,7),LookUps!$C$38:$M$41,4))</f>
        <v/>
      </c>
      <c r="K254" s="387" t="str">
        <f>IF(A254="","",Calculation!M260)</f>
        <v/>
      </c>
      <c r="L254" s="387" t="str">
        <f>IF(A254="","",Calculation!S260)</f>
        <v/>
      </c>
      <c r="M254" s="389" t="str">
        <f>IF(A254="","",Calculation!N260)</f>
        <v/>
      </c>
      <c r="N254" s="390" t="str">
        <f>IF(A254="","",Calculation!R260)</f>
        <v/>
      </c>
      <c r="O254" s="391" t="str">
        <f>IF(A254="","",Calculation!$F$6)</f>
        <v/>
      </c>
      <c r="P254" s="392" t="str">
        <f>IF(A254="","",Calculation!$F$7)</f>
        <v/>
      </c>
      <c r="Q254" s="393" t="str">
        <f>IF(A254="","",Calculation!$F$13)</f>
        <v/>
      </c>
      <c r="R254" s="394" t="str">
        <f>IF(A254="","",Calculation!X260)</f>
        <v/>
      </c>
      <c r="S254" s="393" t="str">
        <f>IF(A254="","",Calculation!T260)</f>
        <v/>
      </c>
      <c r="T254" s="395" t="str">
        <f>IF(A254="","",IF(Calculation!$O$8="None","Water",CONCATENATE(Calculation!$O$8,"-",Calculation!$S$8,"%")))</f>
        <v/>
      </c>
      <c r="U254" s="393" t="str">
        <f>IF(A254="","",Calculation!$P$6)</f>
        <v/>
      </c>
      <c r="V254" s="393" t="str">
        <f>IF(A254="","",Calculation!AT260)</f>
        <v/>
      </c>
      <c r="W254" s="396" t="str">
        <f>IF(A254="","",Calculation!AP260)</f>
        <v/>
      </c>
      <c r="X254" s="396" t="str">
        <f>IF(A254="","",Calculation!AO260)</f>
        <v/>
      </c>
      <c r="Y254" s="396" t="str">
        <f>IF(A254="","",Calculation!AQ260)</f>
        <v/>
      </c>
      <c r="Z254" s="396" t="str">
        <f>IF(A254="","",Calculation!$H$6)</f>
        <v/>
      </c>
      <c r="AA254" s="397" t="str">
        <f>IF(A254="","",Calculation!$H$13)</f>
        <v/>
      </c>
      <c r="AB254" s="397" t="str">
        <f>IF(A254="","",Calculation!U260)</f>
        <v/>
      </c>
      <c r="AC254" s="398" t="str">
        <f>IF(A254="","",IF(Calculation!$O$9="None","Water",CONCATENATE(Calculation!$O$9,"-",Calculation!$S$9,"%")))</f>
        <v/>
      </c>
      <c r="AD254" s="396" t="str">
        <f>IF(A254="","",Calculation!$S$6)</f>
        <v/>
      </c>
      <c r="AE254" s="399" t="str">
        <f>IF(A254="","",Calculation!BA260)</f>
        <v/>
      </c>
      <c r="AF254" s="396" t="str">
        <f>IF(A254="","",Calculation!AX260)</f>
        <v/>
      </c>
      <c r="AG254" s="396" t="str">
        <f>IF(A254="","",Calculation!AW260)</f>
        <v/>
      </c>
      <c r="AH254" s="391" t="str">
        <f>IF(A254="","",Calculation!AY260)</f>
        <v/>
      </c>
      <c r="AI254" s="391" t="str">
        <f>IF(A254="","",Calculation!Y260)</f>
        <v/>
      </c>
      <c r="AJ254" s="401" t="str">
        <f>IF(Calculation!BD260&gt;0,Calculation!BD260," ")</f>
        <v xml:space="preserve"> </v>
      </c>
      <c r="AK254" s="401" t="str">
        <f>IF(Calculation!BD260&gt;0,Calculation!BE260," ")</f>
        <v xml:space="preserve"> </v>
      </c>
      <c r="AL254" s="401" t="str">
        <f>IF(Calculation!BD260&gt;0,Calculation!BF260," ")</f>
        <v xml:space="preserve"> </v>
      </c>
      <c r="AM254" s="401" t="str">
        <f>IF(Calculation!BD260&gt;0,Calculation!BG260," ")</f>
        <v xml:space="preserve"> </v>
      </c>
      <c r="AN254" s="391" t="str">
        <f>IF(Calculation!BH260="N/A","N/A",Calculation!BH260)</f>
        <v xml:space="preserve"> </v>
      </c>
      <c r="AO254" s="402" t="str">
        <f>IF(Calculation!BI260="N/A","N/A",Calculation!BI260)</f>
        <v/>
      </c>
      <c r="AP254" s="391" t="str">
        <f>IF(Calculation!BJ260="N/A","N/A",Calculation!BJ260)</f>
        <v/>
      </c>
      <c r="AQ254" s="402" t="str">
        <f>IF(Calculation!BK260="N/A","N/A",Calculation!BK260)</f>
        <v/>
      </c>
      <c r="AR254" s="391" t="str">
        <f>IF(Calculation!BL260="N/A","N/A",Calculation!BL260)</f>
        <v/>
      </c>
      <c r="AS254" s="402" t="str">
        <f>IF(Calculation!BM260="N/A","N/A",Calculation!BM260)</f>
        <v/>
      </c>
      <c r="AT254" s="400"/>
    </row>
    <row r="255" spans="1:46">
      <c r="A255" s="224" t="str">
        <f>IF(Calculation!BN261="","",CONCATENATE(Calculation!BO261,"-",Calculation!R261,"-",Calculation!S261,"-",Calculation!T261,"-",Calculation!U261))</f>
        <v/>
      </c>
      <c r="B255" s="224">
        <v>240</v>
      </c>
      <c r="C255" s="629" t="str">
        <f>IF(A255="","",Calculation!B261)</f>
        <v/>
      </c>
      <c r="D255" s="386" t="str">
        <f>IF(A255="","",Calculation!L261)</f>
        <v/>
      </c>
      <c r="E255" s="387" t="str">
        <f>IF(A255="","",Calculation!J261)</f>
        <v/>
      </c>
      <c r="F255" s="387" t="str">
        <f>IF(A255="","",Calculation!C261)</f>
        <v/>
      </c>
      <c r="G255" s="387" t="str">
        <f>IF(A255="","",LEFT(Calculation!O261,6))</f>
        <v/>
      </c>
      <c r="H255" s="388" t="str">
        <f>IF(A255="","",Calculation!DX261)</f>
        <v/>
      </c>
      <c r="I255" s="387" t="str">
        <f>IF(A255="","",Calculation!P261)</f>
        <v/>
      </c>
      <c r="J255" s="387" t="str">
        <f>IF(A255="","",HLOOKUP(LEFT(Calculation!BO261,7),LookUps!$C$38:$M$41,4))</f>
        <v/>
      </c>
      <c r="K255" s="387" t="str">
        <f>IF(A255="","",Calculation!M261)</f>
        <v/>
      </c>
      <c r="L255" s="387" t="str">
        <f>IF(A255="","",Calculation!S261)</f>
        <v/>
      </c>
      <c r="M255" s="389" t="str">
        <f>IF(A255="","",Calculation!N261)</f>
        <v/>
      </c>
      <c r="N255" s="390" t="str">
        <f>IF(A255="","",Calculation!R261)</f>
        <v/>
      </c>
      <c r="O255" s="391" t="str">
        <f>IF(A255="","",Calculation!$F$6)</f>
        <v/>
      </c>
      <c r="P255" s="392" t="str">
        <f>IF(A255="","",Calculation!$F$7)</f>
        <v/>
      </c>
      <c r="Q255" s="393" t="str">
        <f>IF(A255="","",Calculation!$F$13)</f>
        <v/>
      </c>
      <c r="R255" s="394" t="str">
        <f>IF(A255="","",Calculation!X261)</f>
        <v/>
      </c>
      <c r="S255" s="393" t="str">
        <f>IF(A255="","",Calculation!T261)</f>
        <v/>
      </c>
      <c r="T255" s="395" t="str">
        <f>IF(A255="","",IF(Calculation!$O$8="None","Water",CONCATENATE(Calculation!$O$8,"-",Calculation!$S$8,"%")))</f>
        <v/>
      </c>
      <c r="U255" s="393" t="str">
        <f>IF(A255="","",Calculation!$P$6)</f>
        <v/>
      </c>
      <c r="V255" s="393" t="str">
        <f>IF(A255="","",Calculation!AT261)</f>
        <v/>
      </c>
      <c r="W255" s="396" t="str">
        <f>IF(A255="","",Calculation!AP261)</f>
        <v/>
      </c>
      <c r="X255" s="396" t="str">
        <f>IF(A255="","",Calculation!AO261)</f>
        <v/>
      </c>
      <c r="Y255" s="396" t="str">
        <f>IF(A255="","",Calculation!AQ261)</f>
        <v/>
      </c>
      <c r="Z255" s="396" t="str">
        <f>IF(A255="","",Calculation!$H$6)</f>
        <v/>
      </c>
      <c r="AA255" s="397" t="str">
        <f>IF(A255="","",Calculation!$H$13)</f>
        <v/>
      </c>
      <c r="AB255" s="397" t="str">
        <f>IF(A255="","",Calculation!U261)</f>
        <v/>
      </c>
      <c r="AC255" s="398" t="str">
        <f>IF(A255="","",IF(Calculation!$O$9="None","Water",CONCATENATE(Calculation!$O$9,"-",Calculation!$S$9,"%")))</f>
        <v/>
      </c>
      <c r="AD255" s="396" t="str">
        <f>IF(A255="","",Calculation!$S$6)</f>
        <v/>
      </c>
      <c r="AE255" s="399" t="str">
        <f>IF(A255="","",Calculation!BA261)</f>
        <v/>
      </c>
      <c r="AF255" s="396" t="str">
        <f>IF(A255="","",Calculation!AX261)</f>
        <v/>
      </c>
      <c r="AG255" s="396" t="str">
        <f>IF(A255="","",Calculation!AW261)</f>
        <v/>
      </c>
      <c r="AH255" s="391" t="str">
        <f>IF(A255="","",Calculation!AY261)</f>
        <v/>
      </c>
      <c r="AI255" s="391" t="str">
        <f>IF(A255="","",Calculation!Y261)</f>
        <v/>
      </c>
      <c r="AJ255" s="401" t="str">
        <f>IF(Calculation!BD261&gt;0,Calculation!BD261," ")</f>
        <v xml:space="preserve"> </v>
      </c>
      <c r="AK255" s="401" t="str">
        <f>IF(Calculation!BD261&gt;0,Calculation!BE261," ")</f>
        <v xml:space="preserve"> </v>
      </c>
      <c r="AL255" s="401" t="str">
        <f>IF(Calculation!BD261&gt;0,Calculation!BF261," ")</f>
        <v xml:space="preserve"> </v>
      </c>
      <c r="AM255" s="401" t="str">
        <f>IF(Calculation!BD261&gt;0,Calculation!BG261," ")</f>
        <v xml:space="preserve"> </v>
      </c>
      <c r="AN255" s="391" t="str">
        <f>IF(Calculation!BH261="N/A","N/A",Calculation!BH261)</f>
        <v xml:space="preserve"> </v>
      </c>
      <c r="AO255" s="402" t="str">
        <f>IF(Calculation!BI261="N/A","N/A",Calculation!BI261)</f>
        <v/>
      </c>
      <c r="AP255" s="391" t="str">
        <f>IF(Calculation!BJ261="N/A","N/A",Calculation!BJ261)</f>
        <v/>
      </c>
      <c r="AQ255" s="402" t="str">
        <f>IF(Calculation!BK261="N/A","N/A",Calculation!BK261)</f>
        <v/>
      </c>
      <c r="AR255" s="391" t="str">
        <f>IF(Calculation!BL261="N/A","N/A",Calculation!BL261)</f>
        <v/>
      </c>
      <c r="AS255" s="402" t="str">
        <f>IF(Calculation!BM261="N/A","N/A",Calculation!BM261)</f>
        <v/>
      </c>
      <c r="AT255" s="400"/>
    </row>
    <row r="256" spans="1:46">
      <c r="A256" s="224" t="str">
        <f>IF(Calculation!BN262="","",CONCATENATE(Calculation!BO262,"-",Calculation!R262,"-",Calculation!S262,"-",Calculation!T262,"-",Calculation!U262))</f>
        <v/>
      </c>
      <c r="B256" s="224">
        <v>241</v>
      </c>
      <c r="C256" s="629" t="str">
        <f>IF(A256="","",Calculation!B262)</f>
        <v/>
      </c>
      <c r="D256" s="386" t="str">
        <f>IF(A256="","",Calculation!L262)</f>
        <v/>
      </c>
      <c r="E256" s="387" t="str">
        <f>IF(A256="","",Calculation!J262)</f>
        <v/>
      </c>
      <c r="F256" s="387" t="str">
        <f>IF(A256="","",Calculation!C262)</f>
        <v/>
      </c>
      <c r="G256" s="387" t="str">
        <f>IF(A256="","",LEFT(Calculation!O262,6))</f>
        <v/>
      </c>
      <c r="H256" s="388" t="str">
        <f>IF(A256="","",Calculation!DX262)</f>
        <v/>
      </c>
      <c r="I256" s="387" t="str">
        <f>IF(A256="","",Calculation!P262)</f>
        <v/>
      </c>
      <c r="J256" s="387" t="str">
        <f>IF(A256="","",HLOOKUP(LEFT(Calculation!BO262,7),LookUps!$C$38:$M$41,4))</f>
        <v/>
      </c>
      <c r="K256" s="387" t="str">
        <f>IF(A256="","",Calculation!M262)</f>
        <v/>
      </c>
      <c r="L256" s="387" t="str">
        <f>IF(A256="","",Calculation!S262)</f>
        <v/>
      </c>
      <c r="M256" s="389" t="str">
        <f>IF(A256="","",Calculation!N262)</f>
        <v/>
      </c>
      <c r="N256" s="390" t="str">
        <f>IF(A256="","",Calculation!R262)</f>
        <v/>
      </c>
      <c r="O256" s="391" t="str">
        <f>IF(A256="","",Calculation!$F$6)</f>
        <v/>
      </c>
      <c r="P256" s="392" t="str">
        <f>IF(A256="","",Calculation!$F$7)</f>
        <v/>
      </c>
      <c r="Q256" s="393" t="str">
        <f>IF(A256="","",Calculation!$F$13)</f>
        <v/>
      </c>
      <c r="R256" s="394" t="str">
        <f>IF(A256="","",Calculation!X262)</f>
        <v/>
      </c>
      <c r="S256" s="393" t="str">
        <f>IF(A256="","",Calculation!T262)</f>
        <v/>
      </c>
      <c r="T256" s="395" t="str">
        <f>IF(A256="","",IF(Calculation!$O$8="None","Water",CONCATENATE(Calculation!$O$8,"-",Calculation!$S$8,"%")))</f>
        <v/>
      </c>
      <c r="U256" s="393" t="str">
        <f>IF(A256="","",Calculation!$P$6)</f>
        <v/>
      </c>
      <c r="V256" s="393" t="str">
        <f>IF(A256="","",Calculation!AT262)</f>
        <v/>
      </c>
      <c r="W256" s="396" t="str">
        <f>IF(A256="","",Calculation!AP262)</f>
        <v/>
      </c>
      <c r="X256" s="396" t="str">
        <f>IF(A256="","",Calculation!AO262)</f>
        <v/>
      </c>
      <c r="Y256" s="396" t="str">
        <f>IF(A256="","",Calculation!AQ262)</f>
        <v/>
      </c>
      <c r="Z256" s="396" t="str">
        <f>IF(A256="","",Calculation!$H$6)</f>
        <v/>
      </c>
      <c r="AA256" s="397" t="str">
        <f>IF(A256="","",Calculation!$H$13)</f>
        <v/>
      </c>
      <c r="AB256" s="397" t="str">
        <f>IF(A256="","",Calculation!U262)</f>
        <v/>
      </c>
      <c r="AC256" s="398" t="str">
        <f>IF(A256="","",IF(Calculation!$O$9="None","Water",CONCATENATE(Calculation!$O$9,"-",Calculation!$S$9,"%")))</f>
        <v/>
      </c>
      <c r="AD256" s="396" t="str">
        <f>IF(A256="","",Calculation!$S$6)</f>
        <v/>
      </c>
      <c r="AE256" s="399" t="str">
        <f>IF(A256="","",Calculation!BA262)</f>
        <v/>
      </c>
      <c r="AF256" s="396" t="str">
        <f>IF(A256="","",Calculation!AX262)</f>
        <v/>
      </c>
      <c r="AG256" s="396" t="str">
        <f>IF(A256="","",Calculation!AW262)</f>
        <v/>
      </c>
      <c r="AH256" s="391" t="str">
        <f>IF(A256="","",Calculation!AY262)</f>
        <v/>
      </c>
      <c r="AI256" s="391" t="str">
        <f>IF(A256="","",Calculation!Y262)</f>
        <v/>
      </c>
      <c r="AJ256" s="401" t="str">
        <f>IF(Calculation!BD262&gt;0,Calculation!BD262," ")</f>
        <v xml:space="preserve"> </v>
      </c>
      <c r="AK256" s="401" t="str">
        <f>IF(Calculation!BD262&gt;0,Calculation!BE262," ")</f>
        <v xml:space="preserve"> </v>
      </c>
      <c r="AL256" s="401" t="str">
        <f>IF(Calculation!BD262&gt;0,Calculation!BF262," ")</f>
        <v xml:space="preserve"> </v>
      </c>
      <c r="AM256" s="401" t="str">
        <f>IF(Calculation!BD262&gt;0,Calculation!BG262," ")</f>
        <v xml:space="preserve"> </v>
      </c>
      <c r="AN256" s="391" t="str">
        <f>IF(Calculation!BH262="N/A","N/A",Calculation!BH262)</f>
        <v xml:space="preserve"> </v>
      </c>
      <c r="AO256" s="402" t="str">
        <f>IF(Calculation!BI262="N/A","N/A",Calculation!BI262)</f>
        <v/>
      </c>
      <c r="AP256" s="391" t="str">
        <f>IF(Calculation!BJ262="N/A","N/A",Calculation!BJ262)</f>
        <v/>
      </c>
      <c r="AQ256" s="402" t="str">
        <f>IF(Calculation!BK262="N/A","N/A",Calculation!BK262)</f>
        <v/>
      </c>
      <c r="AR256" s="391" t="str">
        <f>IF(Calculation!BL262="N/A","N/A",Calculation!BL262)</f>
        <v/>
      </c>
      <c r="AS256" s="402" t="str">
        <f>IF(Calculation!BM262="N/A","N/A",Calculation!BM262)</f>
        <v/>
      </c>
      <c r="AT256" s="400"/>
    </row>
    <row r="257" spans="1:46">
      <c r="A257" s="224" t="str">
        <f>IF(Calculation!BN263="","",CONCATENATE(Calculation!BO263,"-",Calculation!R263,"-",Calculation!S263,"-",Calculation!T263,"-",Calculation!U263))</f>
        <v/>
      </c>
      <c r="B257" s="224">
        <v>242</v>
      </c>
      <c r="C257" s="629" t="str">
        <f>IF(A257="","",Calculation!B263)</f>
        <v/>
      </c>
      <c r="D257" s="386" t="str">
        <f>IF(A257="","",Calculation!L263)</f>
        <v/>
      </c>
      <c r="E257" s="387" t="str">
        <f>IF(A257="","",Calculation!J263)</f>
        <v/>
      </c>
      <c r="F257" s="387" t="str">
        <f>IF(A257="","",Calculation!C263)</f>
        <v/>
      </c>
      <c r="G257" s="387" t="str">
        <f>IF(A257="","",LEFT(Calculation!O263,6))</f>
        <v/>
      </c>
      <c r="H257" s="388" t="str">
        <f>IF(A257="","",Calculation!DX263)</f>
        <v/>
      </c>
      <c r="I257" s="387" t="str">
        <f>IF(A257="","",Calculation!P263)</f>
        <v/>
      </c>
      <c r="J257" s="387" t="str">
        <f>IF(A257="","",HLOOKUP(LEFT(Calculation!BO263,7),LookUps!$C$38:$M$41,4))</f>
        <v/>
      </c>
      <c r="K257" s="387" t="str">
        <f>IF(A257="","",Calculation!M263)</f>
        <v/>
      </c>
      <c r="L257" s="387" t="str">
        <f>IF(A257="","",Calculation!S263)</f>
        <v/>
      </c>
      <c r="M257" s="389" t="str">
        <f>IF(A257="","",Calculation!N263)</f>
        <v/>
      </c>
      <c r="N257" s="390" t="str">
        <f>IF(A257="","",Calculation!R263)</f>
        <v/>
      </c>
      <c r="O257" s="391" t="str">
        <f>IF(A257="","",Calculation!$F$6)</f>
        <v/>
      </c>
      <c r="P257" s="392" t="str">
        <f>IF(A257="","",Calculation!$F$7)</f>
        <v/>
      </c>
      <c r="Q257" s="393" t="str">
        <f>IF(A257="","",Calculation!$F$13)</f>
        <v/>
      </c>
      <c r="R257" s="394" t="str">
        <f>IF(A257="","",Calculation!X263)</f>
        <v/>
      </c>
      <c r="S257" s="393" t="str">
        <f>IF(A257="","",Calculation!T263)</f>
        <v/>
      </c>
      <c r="T257" s="395" t="str">
        <f>IF(A257="","",IF(Calculation!$O$8="None","Water",CONCATENATE(Calculation!$O$8,"-",Calculation!$S$8,"%")))</f>
        <v/>
      </c>
      <c r="U257" s="393" t="str">
        <f>IF(A257="","",Calculation!$P$6)</f>
        <v/>
      </c>
      <c r="V257" s="393" t="str">
        <f>IF(A257="","",Calculation!AT263)</f>
        <v/>
      </c>
      <c r="W257" s="396" t="str">
        <f>IF(A257="","",Calculation!AP263)</f>
        <v/>
      </c>
      <c r="X257" s="396" t="str">
        <f>IF(A257="","",Calculation!AO263)</f>
        <v/>
      </c>
      <c r="Y257" s="396" t="str">
        <f>IF(A257="","",Calculation!AQ263)</f>
        <v/>
      </c>
      <c r="Z257" s="396" t="str">
        <f>IF(A257="","",Calculation!$H$6)</f>
        <v/>
      </c>
      <c r="AA257" s="397" t="str">
        <f>IF(A257="","",Calculation!$H$13)</f>
        <v/>
      </c>
      <c r="AB257" s="397" t="str">
        <f>IF(A257="","",Calculation!U263)</f>
        <v/>
      </c>
      <c r="AC257" s="398" t="str">
        <f>IF(A257="","",IF(Calculation!$O$9="None","Water",CONCATENATE(Calculation!$O$9,"-",Calculation!$S$9,"%")))</f>
        <v/>
      </c>
      <c r="AD257" s="396" t="str">
        <f>IF(A257="","",Calculation!$S$6)</f>
        <v/>
      </c>
      <c r="AE257" s="399" t="str">
        <f>IF(A257="","",Calculation!BA263)</f>
        <v/>
      </c>
      <c r="AF257" s="396" t="str">
        <f>IF(A257="","",Calculation!AX263)</f>
        <v/>
      </c>
      <c r="AG257" s="396" t="str">
        <f>IF(A257="","",Calculation!AW263)</f>
        <v/>
      </c>
      <c r="AH257" s="391" t="str">
        <f>IF(A257="","",Calculation!AY263)</f>
        <v/>
      </c>
      <c r="AI257" s="391" t="str">
        <f>IF(A257="","",Calculation!Y263)</f>
        <v/>
      </c>
      <c r="AJ257" s="401" t="str">
        <f>IF(Calculation!BD263&gt;0,Calculation!BD263," ")</f>
        <v xml:space="preserve"> </v>
      </c>
      <c r="AK257" s="401" t="str">
        <f>IF(Calculation!BD263&gt;0,Calculation!BE263," ")</f>
        <v xml:space="preserve"> </v>
      </c>
      <c r="AL257" s="401" t="str">
        <f>IF(Calculation!BD263&gt;0,Calculation!BF263," ")</f>
        <v xml:space="preserve"> </v>
      </c>
      <c r="AM257" s="401" t="str">
        <f>IF(Calculation!BD263&gt;0,Calculation!BG263," ")</f>
        <v xml:space="preserve"> </v>
      </c>
      <c r="AN257" s="391" t="str">
        <f>IF(Calculation!BH263="N/A","N/A",Calculation!BH263)</f>
        <v xml:space="preserve"> </v>
      </c>
      <c r="AO257" s="402" t="str">
        <f>IF(Calculation!BI263="N/A","N/A",Calculation!BI263)</f>
        <v/>
      </c>
      <c r="AP257" s="391" t="str">
        <f>IF(Calculation!BJ263="N/A","N/A",Calculation!BJ263)</f>
        <v/>
      </c>
      <c r="AQ257" s="402" t="str">
        <f>IF(Calculation!BK263="N/A","N/A",Calculation!BK263)</f>
        <v/>
      </c>
      <c r="AR257" s="391" t="str">
        <f>IF(Calculation!BL263="N/A","N/A",Calculation!BL263)</f>
        <v/>
      </c>
      <c r="AS257" s="402" t="str">
        <f>IF(Calculation!BM263="N/A","N/A",Calculation!BM263)</f>
        <v/>
      </c>
      <c r="AT257" s="400"/>
    </row>
    <row r="258" spans="1:46">
      <c r="A258" s="224" t="str">
        <f>IF(Calculation!BN264="","",CONCATENATE(Calculation!BO264,"-",Calculation!R264,"-",Calculation!S264,"-",Calculation!T264,"-",Calculation!U264))</f>
        <v/>
      </c>
      <c r="B258" s="224">
        <v>243</v>
      </c>
      <c r="C258" s="629" t="str">
        <f>IF(A258="","",Calculation!B264)</f>
        <v/>
      </c>
      <c r="D258" s="386" t="str">
        <f>IF(A258="","",Calculation!L264)</f>
        <v/>
      </c>
      <c r="E258" s="387" t="str">
        <f>IF(A258="","",Calculation!J264)</f>
        <v/>
      </c>
      <c r="F258" s="387" t="str">
        <f>IF(A258="","",Calculation!C264)</f>
        <v/>
      </c>
      <c r="G258" s="387" t="str">
        <f>IF(A258="","",LEFT(Calculation!O264,6))</f>
        <v/>
      </c>
      <c r="H258" s="388" t="str">
        <f>IF(A258="","",Calculation!DX264)</f>
        <v/>
      </c>
      <c r="I258" s="387" t="str">
        <f>IF(A258="","",Calculation!P264)</f>
        <v/>
      </c>
      <c r="J258" s="387" t="str">
        <f>IF(A258="","",HLOOKUP(LEFT(Calculation!BO264,7),LookUps!$C$38:$M$41,4))</f>
        <v/>
      </c>
      <c r="K258" s="387" t="str">
        <f>IF(A258="","",Calculation!M264)</f>
        <v/>
      </c>
      <c r="L258" s="387" t="str">
        <f>IF(A258="","",Calculation!S264)</f>
        <v/>
      </c>
      <c r="M258" s="389" t="str">
        <f>IF(A258="","",Calculation!N264)</f>
        <v/>
      </c>
      <c r="N258" s="390" t="str">
        <f>IF(A258="","",Calculation!R264)</f>
        <v/>
      </c>
      <c r="O258" s="391" t="str">
        <f>IF(A258="","",Calculation!$F$6)</f>
        <v/>
      </c>
      <c r="P258" s="392" t="str">
        <f>IF(A258="","",Calculation!$F$7)</f>
        <v/>
      </c>
      <c r="Q258" s="393" t="str">
        <f>IF(A258="","",Calculation!$F$13)</f>
        <v/>
      </c>
      <c r="R258" s="394" t="str">
        <f>IF(A258="","",Calculation!X264)</f>
        <v/>
      </c>
      <c r="S258" s="393" t="str">
        <f>IF(A258="","",Calculation!T264)</f>
        <v/>
      </c>
      <c r="T258" s="395" t="str">
        <f>IF(A258="","",IF(Calculation!$O$8="None","Water",CONCATENATE(Calculation!$O$8,"-",Calculation!$S$8,"%")))</f>
        <v/>
      </c>
      <c r="U258" s="393" t="str">
        <f>IF(A258="","",Calculation!$P$6)</f>
        <v/>
      </c>
      <c r="V258" s="393" t="str">
        <f>IF(A258="","",Calculation!AT264)</f>
        <v/>
      </c>
      <c r="W258" s="396" t="str">
        <f>IF(A258="","",Calculation!AP264)</f>
        <v/>
      </c>
      <c r="X258" s="396" t="str">
        <f>IF(A258="","",Calculation!AO264)</f>
        <v/>
      </c>
      <c r="Y258" s="396" t="str">
        <f>IF(A258="","",Calculation!AQ264)</f>
        <v/>
      </c>
      <c r="Z258" s="396" t="str">
        <f>IF(A258="","",Calculation!$H$6)</f>
        <v/>
      </c>
      <c r="AA258" s="397" t="str">
        <f>IF(A258="","",Calculation!$H$13)</f>
        <v/>
      </c>
      <c r="AB258" s="397" t="str">
        <f>IF(A258="","",Calculation!U264)</f>
        <v/>
      </c>
      <c r="AC258" s="398" t="str">
        <f>IF(A258="","",IF(Calculation!$O$9="None","Water",CONCATENATE(Calculation!$O$9,"-",Calculation!$S$9,"%")))</f>
        <v/>
      </c>
      <c r="AD258" s="396" t="str">
        <f>IF(A258="","",Calculation!$S$6)</f>
        <v/>
      </c>
      <c r="AE258" s="399" t="str">
        <f>IF(A258="","",Calculation!BA264)</f>
        <v/>
      </c>
      <c r="AF258" s="396" t="str">
        <f>IF(A258="","",Calculation!AX264)</f>
        <v/>
      </c>
      <c r="AG258" s="396" t="str">
        <f>IF(A258="","",Calculation!AW264)</f>
        <v/>
      </c>
      <c r="AH258" s="391" t="str">
        <f>IF(A258="","",Calculation!AY264)</f>
        <v/>
      </c>
      <c r="AI258" s="391" t="str">
        <f>IF(A258="","",Calculation!Y264)</f>
        <v/>
      </c>
      <c r="AJ258" s="401" t="str">
        <f>IF(Calculation!BD264&gt;0,Calculation!BD264," ")</f>
        <v xml:space="preserve"> </v>
      </c>
      <c r="AK258" s="401" t="str">
        <f>IF(Calculation!BD264&gt;0,Calculation!BE264," ")</f>
        <v xml:space="preserve"> </v>
      </c>
      <c r="AL258" s="401" t="str">
        <f>IF(Calculation!BD264&gt;0,Calculation!BF264," ")</f>
        <v xml:space="preserve"> </v>
      </c>
      <c r="AM258" s="401" t="str">
        <f>IF(Calculation!BD264&gt;0,Calculation!BG264," ")</f>
        <v xml:space="preserve"> </v>
      </c>
      <c r="AN258" s="391" t="str">
        <f>IF(Calculation!BH264="N/A","N/A",Calculation!BH264)</f>
        <v xml:space="preserve"> </v>
      </c>
      <c r="AO258" s="402" t="str">
        <f>IF(Calculation!BI264="N/A","N/A",Calculation!BI264)</f>
        <v/>
      </c>
      <c r="AP258" s="391" t="str">
        <f>IF(Calculation!BJ264="N/A","N/A",Calculation!BJ264)</f>
        <v/>
      </c>
      <c r="AQ258" s="402" t="str">
        <f>IF(Calculation!BK264="N/A","N/A",Calculation!BK264)</f>
        <v/>
      </c>
      <c r="AR258" s="391" t="str">
        <f>IF(Calculation!BL264="N/A","N/A",Calculation!BL264)</f>
        <v/>
      </c>
      <c r="AS258" s="402" t="str">
        <f>IF(Calculation!BM264="N/A","N/A",Calculation!BM264)</f>
        <v/>
      </c>
      <c r="AT258" s="400"/>
    </row>
    <row r="259" spans="1:46">
      <c r="A259" s="224" t="str">
        <f>IF(Calculation!BN265="","",CONCATENATE(Calculation!BO265,"-",Calculation!R265,"-",Calculation!S265,"-",Calculation!T265,"-",Calculation!U265))</f>
        <v/>
      </c>
      <c r="B259" s="224">
        <v>244</v>
      </c>
      <c r="C259" s="629" t="str">
        <f>IF(A259="","",Calculation!B265)</f>
        <v/>
      </c>
      <c r="D259" s="386" t="str">
        <f>IF(A259="","",Calculation!L265)</f>
        <v/>
      </c>
      <c r="E259" s="387" t="str">
        <f>IF(A259="","",Calculation!J265)</f>
        <v/>
      </c>
      <c r="F259" s="387" t="str">
        <f>IF(A259="","",Calculation!C265)</f>
        <v/>
      </c>
      <c r="G259" s="387" t="str">
        <f>IF(A259="","",LEFT(Calculation!O265,6))</f>
        <v/>
      </c>
      <c r="H259" s="388" t="str">
        <f>IF(A259="","",Calculation!DX265)</f>
        <v/>
      </c>
      <c r="I259" s="387" t="str">
        <f>IF(A259="","",Calculation!P265)</f>
        <v/>
      </c>
      <c r="J259" s="387" t="str">
        <f>IF(A259="","",HLOOKUP(LEFT(Calculation!BO265,7),LookUps!$C$38:$M$41,4))</f>
        <v/>
      </c>
      <c r="K259" s="387" t="str">
        <f>IF(A259="","",Calculation!M265)</f>
        <v/>
      </c>
      <c r="L259" s="387" t="str">
        <f>IF(A259="","",Calculation!S265)</f>
        <v/>
      </c>
      <c r="M259" s="389" t="str">
        <f>IF(A259="","",Calculation!N265)</f>
        <v/>
      </c>
      <c r="N259" s="390" t="str">
        <f>IF(A259="","",Calculation!R265)</f>
        <v/>
      </c>
      <c r="O259" s="391" t="str">
        <f>IF(A259="","",Calculation!$F$6)</f>
        <v/>
      </c>
      <c r="P259" s="392" t="str">
        <f>IF(A259="","",Calculation!$F$7)</f>
        <v/>
      </c>
      <c r="Q259" s="393" t="str">
        <f>IF(A259="","",Calculation!$F$13)</f>
        <v/>
      </c>
      <c r="R259" s="394" t="str">
        <f>IF(A259="","",Calculation!X265)</f>
        <v/>
      </c>
      <c r="S259" s="393" t="str">
        <f>IF(A259="","",Calculation!T265)</f>
        <v/>
      </c>
      <c r="T259" s="395" t="str">
        <f>IF(A259="","",IF(Calculation!$O$8="None","Water",CONCATENATE(Calculation!$O$8,"-",Calculation!$S$8,"%")))</f>
        <v/>
      </c>
      <c r="U259" s="393" t="str">
        <f>IF(A259="","",Calculation!$P$6)</f>
        <v/>
      </c>
      <c r="V259" s="393" t="str">
        <f>IF(A259="","",Calculation!AT265)</f>
        <v/>
      </c>
      <c r="W259" s="396" t="str">
        <f>IF(A259="","",Calculation!AP265)</f>
        <v/>
      </c>
      <c r="X259" s="396" t="str">
        <f>IF(A259="","",Calculation!AO265)</f>
        <v/>
      </c>
      <c r="Y259" s="396" t="str">
        <f>IF(A259="","",Calculation!AQ265)</f>
        <v/>
      </c>
      <c r="Z259" s="396" t="str">
        <f>IF(A259="","",Calculation!$H$6)</f>
        <v/>
      </c>
      <c r="AA259" s="397" t="str">
        <f>IF(A259="","",Calculation!$H$13)</f>
        <v/>
      </c>
      <c r="AB259" s="397" t="str">
        <f>IF(A259="","",Calculation!U265)</f>
        <v/>
      </c>
      <c r="AC259" s="398" t="str">
        <f>IF(A259="","",IF(Calculation!$O$9="None","Water",CONCATENATE(Calculation!$O$9,"-",Calculation!$S$9,"%")))</f>
        <v/>
      </c>
      <c r="AD259" s="396" t="str">
        <f>IF(A259="","",Calculation!$S$6)</f>
        <v/>
      </c>
      <c r="AE259" s="399" t="str">
        <f>IF(A259="","",Calculation!BA265)</f>
        <v/>
      </c>
      <c r="AF259" s="396" t="str">
        <f>IF(A259="","",Calculation!AX265)</f>
        <v/>
      </c>
      <c r="AG259" s="396" t="str">
        <f>IF(A259="","",Calculation!AW265)</f>
        <v/>
      </c>
      <c r="AH259" s="391" t="str">
        <f>IF(A259="","",Calculation!AY265)</f>
        <v/>
      </c>
      <c r="AI259" s="391" t="str">
        <f>IF(A259="","",Calculation!Y265)</f>
        <v/>
      </c>
      <c r="AJ259" s="401" t="str">
        <f>IF(Calculation!BD265&gt;0,Calculation!BD265," ")</f>
        <v xml:space="preserve"> </v>
      </c>
      <c r="AK259" s="401" t="str">
        <f>IF(Calculation!BD265&gt;0,Calculation!BE265," ")</f>
        <v xml:space="preserve"> </v>
      </c>
      <c r="AL259" s="401" t="str">
        <f>IF(Calculation!BD265&gt;0,Calculation!BF265," ")</f>
        <v xml:space="preserve"> </v>
      </c>
      <c r="AM259" s="401" t="str">
        <f>IF(Calculation!BD265&gt;0,Calculation!BG265," ")</f>
        <v xml:space="preserve"> </v>
      </c>
      <c r="AN259" s="391" t="str">
        <f>IF(Calculation!BH265="N/A","N/A",Calculation!BH265)</f>
        <v xml:space="preserve"> </v>
      </c>
      <c r="AO259" s="402" t="str">
        <f>IF(Calculation!BI265="N/A","N/A",Calculation!BI265)</f>
        <v/>
      </c>
      <c r="AP259" s="391" t="str">
        <f>IF(Calculation!BJ265="N/A","N/A",Calculation!BJ265)</f>
        <v/>
      </c>
      <c r="AQ259" s="402" t="str">
        <f>IF(Calculation!BK265="N/A","N/A",Calculation!BK265)</f>
        <v/>
      </c>
      <c r="AR259" s="391" t="str">
        <f>IF(Calculation!BL265="N/A","N/A",Calculation!BL265)</f>
        <v/>
      </c>
      <c r="AS259" s="402" t="str">
        <f>IF(Calculation!BM265="N/A","N/A",Calculation!BM265)</f>
        <v/>
      </c>
      <c r="AT259" s="400"/>
    </row>
    <row r="260" spans="1:46">
      <c r="A260" s="224" t="str">
        <f>IF(Calculation!BN266="","",CONCATENATE(Calculation!BO266,"-",Calculation!R266,"-",Calculation!S266,"-",Calculation!T266,"-",Calculation!U266))</f>
        <v/>
      </c>
      <c r="B260" s="224">
        <v>245</v>
      </c>
      <c r="C260" s="629" t="str">
        <f>IF(A260="","",Calculation!B266)</f>
        <v/>
      </c>
      <c r="D260" s="386" t="str">
        <f>IF(A260="","",Calculation!L266)</f>
        <v/>
      </c>
      <c r="E260" s="387" t="str">
        <f>IF(A260="","",Calculation!J266)</f>
        <v/>
      </c>
      <c r="F260" s="387" t="str">
        <f>IF(A260="","",Calculation!C266)</f>
        <v/>
      </c>
      <c r="G260" s="387" t="str">
        <f>IF(A260="","",LEFT(Calculation!O266,6))</f>
        <v/>
      </c>
      <c r="H260" s="388" t="str">
        <f>IF(A260="","",Calculation!DX266)</f>
        <v/>
      </c>
      <c r="I260" s="387" t="str">
        <f>IF(A260="","",Calculation!P266)</f>
        <v/>
      </c>
      <c r="J260" s="387" t="str">
        <f>IF(A260="","",HLOOKUP(LEFT(Calculation!BO266,7),LookUps!$C$38:$M$41,4))</f>
        <v/>
      </c>
      <c r="K260" s="387" t="str">
        <f>IF(A260="","",Calculation!M266)</f>
        <v/>
      </c>
      <c r="L260" s="387" t="str">
        <f>IF(A260="","",Calculation!S266)</f>
        <v/>
      </c>
      <c r="M260" s="389" t="str">
        <f>IF(A260="","",Calculation!N266)</f>
        <v/>
      </c>
      <c r="N260" s="390" t="str">
        <f>IF(A260="","",Calculation!R266)</f>
        <v/>
      </c>
      <c r="O260" s="391" t="str">
        <f>IF(A260="","",Calculation!$F$6)</f>
        <v/>
      </c>
      <c r="P260" s="392" t="str">
        <f>IF(A260="","",Calculation!$F$7)</f>
        <v/>
      </c>
      <c r="Q260" s="393" t="str">
        <f>IF(A260="","",Calculation!$F$13)</f>
        <v/>
      </c>
      <c r="R260" s="394" t="str">
        <f>IF(A260="","",Calculation!X266)</f>
        <v/>
      </c>
      <c r="S260" s="393" t="str">
        <f>IF(A260="","",Calculation!T266)</f>
        <v/>
      </c>
      <c r="T260" s="395" t="str">
        <f>IF(A260="","",IF(Calculation!$O$8="None","Water",CONCATENATE(Calculation!$O$8,"-",Calculation!$S$8,"%")))</f>
        <v/>
      </c>
      <c r="U260" s="393" t="str">
        <f>IF(A260="","",Calculation!$P$6)</f>
        <v/>
      </c>
      <c r="V260" s="393" t="str">
        <f>IF(A260="","",Calculation!AT266)</f>
        <v/>
      </c>
      <c r="W260" s="396" t="str">
        <f>IF(A260="","",Calculation!AP266)</f>
        <v/>
      </c>
      <c r="X260" s="396" t="str">
        <f>IF(A260="","",Calculation!AO266)</f>
        <v/>
      </c>
      <c r="Y260" s="396" t="str">
        <f>IF(A260="","",Calculation!AQ266)</f>
        <v/>
      </c>
      <c r="Z260" s="396" t="str">
        <f>IF(A260="","",Calculation!$H$6)</f>
        <v/>
      </c>
      <c r="AA260" s="397" t="str">
        <f>IF(A260="","",Calculation!$H$13)</f>
        <v/>
      </c>
      <c r="AB260" s="397" t="str">
        <f>IF(A260="","",Calculation!U266)</f>
        <v/>
      </c>
      <c r="AC260" s="398" t="str">
        <f>IF(A260="","",IF(Calculation!$O$9="None","Water",CONCATENATE(Calculation!$O$9,"-",Calculation!$S$9,"%")))</f>
        <v/>
      </c>
      <c r="AD260" s="396" t="str">
        <f>IF(A260="","",Calculation!$S$6)</f>
        <v/>
      </c>
      <c r="AE260" s="399" t="str">
        <f>IF(A260="","",Calculation!BA266)</f>
        <v/>
      </c>
      <c r="AF260" s="396" t="str">
        <f>IF(A260="","",Calculation!AX266)</f>
        <v/>
      </c>
      <c r="AG260" s="396" t="str">
        <f>IF(A260="","",Calculation!AW266)</f>
        <v/>
      </c>
      <c r="AH260" s="391" t="str">
        <f>IF(A260="","",Calculation!AY266)</f>
        <v/>
      </c>
      <c r="AI260" s="391" t="str">
        <f>IF(A260="","",Calculation!Y266)</f>
        <v/>
      </c>
      <c r="AJ260" s="401" t="str">
        <f>IF(Calculation!BD266&gt;0,Calculation!BD266," ")</f>
        <v xml:space="preserve"> </v>
      </c>
      <c r="AK260" s="401" t="str">
        <f>IF(Calculation!BD266&gt;0,Calculation!BE266," ")</f>
        <v xml:space="preserve"> </v>
      </c>
      <c r="AL260" s="401" t="str">
        <f>IF(Calculation!BD266&gt;0,Calculation!BF266," ")</f>
        <v xml:space="preserve"> </v>
      </c>
      <c r="AM260" s="401" t="str">
        <f>IF(Calculation!BD266&gt;0,Calculation!BG266," ")</f>
        <v xml:space="preserve"> </v>
      </c>
      <c r="AN260" s="391" t="str">
        <f>IF(Calculation!BH266="N/A","N/A",Calculation!BH266)</f>
        <v xml:space="preserve"> </v>
      </c>
      <c r="AO260" s="402" t="str">
        <f>IF(Calculation!BI266="N/A","N/A",Calculation!BI266)</f>
        <v/>
      </c>
      <c r="AP260" s="391" t="str">
        <f>IF(Calculation!BJ266="N/A","N/A",Calculation!BJ266)</f>
        <v/>
      </c>
      <c r="AQ260" s="402" t="str">
        <f>IF(Calculation!BK266="N/A","N/A",Calculation!BK266)</f>
        <v/>
      </c>
      <c r="AR260" s="391" t="str">
        <f>IF(Calculation!BL266="N/A","N/A",Calculation!BL266)</f>
        <v/>
      </c>
      <c r="AS260" s="402" t="str">
        <f>IF(Calculation!BM266="N/A","N/A",Calculation!BM266)</f>
        <v/>
      </c>
      <c r="AT260" s="400"/>
    </row>
    <row r="261" spans="1:46">
      <c r="A261" s="224" t="str">
        <f>IF(Calculation!BN267="","",CONCATENATE(Calculation!BO267,"-",Calculation!R267,"-",Calculation!S267,"-",Calculation!T267,"-",Calculation!U267))</f>
        <v/>
      </c>
      <c r="B261" s="224">
        <v>246</v>
      </c>
      <c r="C261" s="629" t="str">
        <f>IF(A261="","",Calculation!B267)</f>
        <v/>
      </c>
      <c r="D261" s="386" t="str">
        <f>IF(A261="","",Calculation!L267)</f>
        <v/>
      </c>
      <c r="E261" s="387" t="str">
        <f>IF(A261="","",Calculation!J267)</f>
        <v/>
      </c>
      <c r="F261" s="387" t="str">
        <f>IF(A261="","",Calculation!C267)</f>
        <v/>
      </c>
      <c r="G261" s="387" t="str">
        <f>IF(A261="","",LEFT(Calculation!O267,6))</f>
        <v/>
      </c>
      <c r="H261" s="388" t="str">
        <f>IF(A261="","",Calculation!DX267)</f>
        <v/>
      </c>
      <c r="I261" s="387" t="str">
        <f>IF(A261="","",Calculation!P267)</f>
        <v/>
      </c>
      <c r="J261" s="387" t="str">
        <f>IF(A261="","",HLOOKUP(LEFT(Calculation!BO267,7),LookUps!$C$38:$M$41,4))</f>
        <v/>
      </c>
      <c r="K261" s="387" t="str">
        <f>IF(A261="","",Calculation!M267)</f>
        <v/>
      </c>
      <c r="L261" s="387" t="str">
        <f>IF(A261="","",Calculation!S267)</f>
        <v/>
      </c>
      <c r="M261" s="389" t="str">
        <f>IF(A261="","",Calculation!N267)</f>
        <v/>
      </c>
      <c r="N261" s="390" t="str">
        <f>IF(A261="","",Calculation!R267)</f>
        <v/>
      </c>
      <c r="O261" s="391" t="str">
        <f>IF(A261="","",Calculation!$F$6)</f>
        <v/>
      </c>
      <c r="P261" s="392" t="str">
        <f>IF(A261="","",Calculation!$F$7)</f>
        <v/>
      </c>
      <c r="Q261" s="393" t="str">
        <f>IF(A261="","",Calculation!$F$13)</f>
        <v/>
      </c>
      <c r="R261" s="394" t="str">
        <f>IF(A261="","",Calculation!X267)</f>
        <v/>
      </c>
      <c r="S261" s="393" t="str">
        <f>IF(A261="","",Calculation!T267)</f>
        <v/>
      </c>
      <c r="T261" s="395" t="str">
        <f>IF(A261="","",IF(Calculation!$O$8="None","Water",CONCATENATE(Calculation!$O$8,"-",Calculation!$S$8,"%")))</f>
        <v/>
      </c>
      <c r="U261" s="393" t="str">
        <f>IF(A261="","",Calculation!$P$6)</f>
        <v/>
      </c>
      <c r="V261" s="393" t="str">
        <f>IF(A261="","",Calculation!AT267)</f>
        <v/>
      </c>
      <c r="W261" s="396" t="str">
        <f>IF(A261="","",Calculation!AP267)</f>
        <v/>
      </c>
      <c r="X261" s="396" t="str">
        <f>IF(A261="","",Calculation!AO267)</f>
        <v/>
      </c>
      <c r="Y261" s="396" t="str">
        <f>IF(A261="","",Calculation!AQ267)</f>
        <v/>
      </c>
      <c r="Z261" s="396" t="str">
        <f>IF(A261="","",Calculation!$H$6)</f>
        <v/>
      </c>
      <c r="AA261" s="397" t="str">
        <f>IF(A261="","",Calculation!$H$13)</f>
        <v/>
      </c>
      <c r="AB261" s="397" t="str">
        <f>IF(A261="","",Calculation!U267)</f>
        <v/>
      </c>
      <c r="AC261" s="398" t="str">
        <f>IF(A261="","",IF(Calculation!$O$9="None","Water",CONCATENATE(Calculation!$O$9,"-",Calculation!$S$9,"%")))</f>
        <v/>
      </c>
      <c r="AD261" s="396" t="str">
        <f>IF(A261="","",Calculation!$S$6)</f>
        <v/>
      </c>
      <c r="AE261" s="399" t="str">
        <f>IF(A261="","",Calculation!BA267)</f>
        <v/>
      </c>
      <c r="AF261" s="396" t="str">
        <f>IF(A261="","",Calculation!AX267)</f>
        <v/>
      </c>
      <c r="AG261" s="396" t="str">
        <f>IF(A261="","",Calculation!AW267)</f>
        <v/>
      </c>
      <c r="AH261" s="391" t="str">
        <f>IF(A261="","",Calculation!AY267)</f>
        <v/>
      </c>
      <c r="AI261" s="391" t="str">
        <f>IF(A261="","",Calculation!Y267)</f>
        <v/>
      </c>
      <c r="AJ261" s="401" t="str">
        <f>IF(Calculation!BD267&gt;0,Calculation!BD267," ")</f>
        <v xml:space="preserve"> </v>
      </c>
      <c r="AK261" s="401" t="str">
        <f>IF(Calculation!BD267&gt;0,Calculation!BE267," ")</f>
        <v xml:space="preserve"> </v>
      </c>
      <c r="AL261" s="401" t="str">
        <f>IF(Calculation!BD267&gt;0,Calculation!BF267," ")</f>
        <v xml:space="preserve"> </v>
      </c>
      <c r="AM261" s="401" t="str">
        <f>IF(Calculation!BD267&gt;0,Calculation!BG267," ")</f>
        <v xml:space="preserve"> </v>
      </c>
      <c r="AN261" s="391" t="str">
        <f>IF(Calculation!BH267="N/A","N/A",Calculation!BH267)</f>
        <v xml:space="preserve"> </v>
      </c>
      <c r="AO261" s="402" t="str">
        <f>IF(Calculation!BI267="N/A","N/A",Calculation!BI267)</f>
        <v/>
      </c>
      <c r="AP261" s="391" t="str">
        <f>IF(Calculation!BJ267="N/A","N/A",Calculation!BJ267)</f>
        <v/>
      </c>
      <c r="AQ261" s="402" t="str">
        <f>IF(Calculation!BK267="N/A","N/A",Calculation!BK267)</f>
        <v/>
      </c>
      <c r="AR261" s="391" t="str">
        <f>IF(Calculation!BL267="N/A","N/A",Calculation!BL267)</f>
        <v/>
      </c>
      <c r="AS261" s="402" t="str">
        <f>IF(Calculation!BM267="N/A","N/A",Calculation!BM267)</f>
        <v/>
      </c>
      <c r="AT261" s="400"/>
    </row>
    <row r="262" spans="1:46">
      <c r="A262" s="224" t="str">
        <f>IF(Calculation!BN268="","",CONCATENATE(Calculation!BO268,"-",Calculation!R268,"-",Calculation!S268,"-",Calculation!T268,"-",Calculation!U268))</f>
        <v/>
      </c>
      <c r="B262" s="224">
        <v>247</v>
      </c>
      <c r="C262" s="629" t="str">
        <f>IF(A262="","",Calculation!B268)</f>
        <v/>
      </c>
      <c r="D262" s="386" t="str">
        <f>IF(A262="","",Calculation!L268)</f>
        <v/>
      </c>
      <c r="E262" s="387" t="str">
        <f>IF(A262="","",Calculation!J268)</f>
        <v/>
      </c>
      <c r="F262" s="387" t="str">
        <f>IF(A262="","",Calculation!C268)</f>
        <v/>
      </c>
      <c r="G262" s="387" t="str">
        <f>IF(A262="","",LEFT(Calculation!O268,6))</f>
        <v/>
      </c>
      <c r="H262" s="388" t="str">
        <f>IF(A262="","",Calculation!DX268)</f>
        <v/>
      </c>
      <c r="I262" s="387" t="str">
        <f>IF(A262="","",Calculation!P268)</f>
        <v/>
      </c>
      <c r="J262" s="387" t="str">
        <f>IF(A262="","",HLOOKUP(LEFT(Calculation!BO268,7),LookUps!$C$38:$M$41,4))</f>
        <v/>
      </c>
      <c r="K262" s="387" t="str">
        <f>IF(A262="","",Calculation!M268)</f>
        <v/>
      </c>
      <c r="L262" s="387" t="str">
        <f>IF(A262="","",Calculation!S268)</f>
        <v/>
      </c>
      <c r="M262" s="389" t="str">
        <f>IF(A262="","",Calculation!N268)</f>
        <v/>
      </c>
      <c r="N262" s="390" t="str">
        <f>IF(A262="","",Calculation!R268)</f>
        <v/>
      </c>
      <c r="O262" s="391" t="str">
        <f>IF(A262="","",Calculation!$F$6)</f>
        <v/>
      </c>
      <c r="P262" s="392" t="str">
        <f>IF(A262="","",Calculation!$F$7)</f>
        <v/>
      </c>
      <c r="Q262" s="393" t="str">
        <f>IF(A262="","",Calculation!$F$13)</f>
        <v/>
      </c>
      <c r="R262" s="394" t="str">
        <f>IF(A262="","",Calculation!X268)</f>
        <v/>
      </c>
      <c r="S262" s="393" t="str">
        <f>IF(A262="","",Calculation!T268)</f>
        <v/>
      </c>
      <c r="T262" s="395" t="str">
        <f>IF(A262="","",IF(Calculation!$O$8="None","Water",CONCATENATE(Calculation!$O$8,"-",Calculation!$S$8,"%")))</f>
        <v/>
      </c>
      <c r="U262" s="393" t="str">
        <f>IF(A262="","",Calculation!$P$6)</f>
        <v/>
      </c>
      <c r="V262" s="393" t="str">
        <f>IF(A262="","",Calculation!AT268)</f>
        <v/>
      </c>
      <c r="W262" s="396" t="str">
        <f>IF(A262="","",Calculation!AP268)</f>
        <v/>
      </c>
      <c r="X262" s="396" t="str">
        <f>IF(A262="","",Calculation!AO268)</f>
        <v/>
      </c>
      <c r="Y262" s="396" t="str">
        <f>IF(A262="","",Calculation!AQ268)</f>
        <v/>
      </c>
      <c r="Z262" s="396" t="str">
        <f>IF(A262="","",Calculation!$H$6)</f>
        <v/>
      </c>
      <c r="AA262" s="397" t="str">
        <f>IF(A262="","",Calculation!$H$13)</f>
        <v/>
      </c>
      <c r="AB262" s="397" t="str">
        <f>IF(A262="","",Calculation!U268)</f>
        <v/>
      </c>
      <c r="AC262" s="398" t="str">
        <f>IF(A262="","",IF(Calculation!$O$9="None","Water",CONCATENATE(Calculation!$O$9,"-",Calculation!$S$9,"%")))</f>
        <v/>
      </c>
      <c r="AD262" s="396" t="str">
        <f>IF(A262="","",Calculation!$S$6)</f>
        <v/>
      </c>
      <c r="AE262" s="399" t="str">
        <f>IF(A262="","",Calculation!BA268)</f>
        <v/>
      </c>
      <c r="AF262" s="396" t="str">
        <f>IF(A262="","",Calculation!AX268)</f>
        <v/>
      </c>
      <c r="AG262" s="396" t="str">
        <f>IF(A262="","",Calculation!AW268)</f>
        <v/>
      </c>
      <c r="AH262" s="391" t="str">
        <f>IF(A262="","",Calculation!AY268)</f>
        <v/>
      </c>
      <c r="AI262" s="391" t="str">
        <f>IF(A262="","",Calculation!Y268)</f>
        <v/>
      </c>
      <c r="AJ262" s="401" t="str">
        <f>IF(Calculation!BD268&gt;0,Calculation!BD268," ")</f>
        <v xml:space="preserve"> </v>
      </c>
      <c r="AK262" s="401" t="str">
        <f>IF(Calculation!BD268&gt;0,Calculation!BE268," ")</f>
        <v xml:space="preserve"> </v>
      </c>
      <c r="AL262" s="401" t="str">
        <f>IF(Calculation!BD268&gt;0,Calculation!BF268," ")</f>
        <v xml:space="preserve"> </v>
      </c>
      <c r="AM262" s="401" t="str">
        <f>IF(Calculation!BD268&gt;0,Calculation!BG268," ")</f>
        <v xml:space="preserve"> </v>
      </c>
      <c r="AN262" s="391" t="str">
        <f>IF(Calculation!BH268="N/A","N/A",Calculation!BH268)</f>
        <v xml:space="preserve"> </v>
      </c>
      <c r="AO262" s="402" t="str">
        <f>IF(Calculation!BI268="N/A","N/A",Calculation!BI268)</f>
        <v/>
      </c>
      <c r="AP262" s="391" t="str">
        <f>IF(Calculation!BJ268="N/A","N/A",Calculation!BJ268)</f>
        <v/>
      </c>
      <c r="AQ262" s="402" t="str">
        <f>IF(Calculation!BK268="N/A","N/A",Calculation!BK268)</f>
        <v/>
      </c>
      <c r="AR262" s="391" t="str">
        <f>IF(Calculation!BL268="N/A","N/A",Calculation!BL268)</f>
        <v/>
      </c>
      <c r="AS262" s="402" t="str">
        <f>IF(Calculation!BM268="N/A","N/A",Calculation!BM268)</f>
        <v/>
      </c>
      <c r="AT262" s="400"/>
    </row>
    <row r="263" spans="1:46">
      <c r="A263" s="224" t="str">
        <f>IF(Calculation!BN269="","",CONCATENATE(Calculation!BO269,"-",Calculation!R269,"-",Calculation!S269,"-",Calculation!T269,"-",Calculation!U269))</f>
        <v/>
      </c>
      <c r="B263" s="224">
        <v>248</v>
      </c>
      <c r="C263" s="629" t="str">
        <f>IF(A263="","",Calculation!B269)</f>
        <v/>
      </c>
      <c r="D263" s="386" t="str">
        <f>IF(A263="","",Calculation!L269)</f>
        <v/>
      </c>
      <c r="E263" s="387" t="str">
        <f>IF(A263="","",Calculation!J269)</f>
        <v/>
      </c>
      <c r="F263" s="387" t="str">
        <f>IF(A263="","",Calculation!C269)</f>
        <v/>
      </c>
      <c r="G263" s="387" t="str">
        <f>IF(A263="","",LEFT(Calculation!O269,6))</f>
        <v/>
      </c>
      <c r="H263" s="388" t="str">
        <f>IF(A263="","",Calculation!DX269)</f>
        <v/>
      </c>
      <c r="I263" s="387" t="str">
        <f>IF(A263="","",Calculation!P269)</f>
        <v/>
      </c>
      <c r="J263" s="387" t="str">
        <f>IF(A263="","",HLOOKUP(LEFT(Calculation!BO269,7),LookUps!$C$38:$M$41,4))</f>
        <v/>
      </c>
      <c r="K263" s="387" t="str">
        <f>IF(A263="","",Calculation!M269)</f>
        <v/>
      </c>
      <c r="L263" s="387" t="str">
        <f>IF(A263="","",Calculation!S269)</f>
        <v/>
      </c>
      <c r="M263" s="389" t="str">
        <f>IF(A263="","",Calculation!N269)</f>
        <v/>
      </c>
      <c r="N263" s="390" t="str">
        <f>IF(A263="","",Calculation!R269)</f>
        <v/>
      </c>
      <c r="O263" s="391" t="str">
        <f>IF(A263="","",Calculation!$F$6)</f>
        <v/>
      </c>
      <c r="P263" s="392" t="str">
        <f>IF(A263="","",Calculation!$F$7)</f>
        <v/>
      </c>
      <c r="Q263" s="393" t="str">
        <f>IF(A263="","",Calculation!$F$13)</f>
        <v/>
      </c>
      <c r="R263" s="394" t="str">
        <f>IF(A263="","",Calculation!X269)</f>
        <v/>
      </c>
      <c r="S263" s="393" t="str">
        <f>IF(A263="","",Calculation!T269)</f>
        <v/>
      </c>
      <c r="T263" s="395" t="str">
        <f>IF(A263="","",IF(Calculation!$O$8="None","Water",CONCATENATE(Calculation!$O$8,"-",Calculation!$S$8,"%")))</f>
        <v/>
      </c>
      <c r="U263" s="393" t="str">
        <f>IF(A263="","",Calculation!$P$6)</f>
        <v/>
      </c>
      <c r="V263" s="393" t="str">
        <f>IF(A263="","",Calculation!AT269)</f>
        <v/>
      </c>
      <c r="W263" s="396" t="str">
        <f>IF(A263="","",Calculation!AP269)</f>
        <v/>
      </c>
      <c r="X263" s="396" t="str">
        <f>IF(A263="","",Calculation!AO269)</f>
        <v/>
      </c>
      <c r="Y263" s="396" t="str">
        <f>IF(A263="","",Calculation!AQ269)</f>
        <v/>
      </c>
      <c r="Z263" s="396" t="str">
        <f>IF(A263="","",Calculation!$H$6)</f>
        <v/>
      </c>
      <c r="AA263" s="397" t="str">
        <f>IF(A263="","",Calculation!$H$13)</f>
        <v/>
      </c>
      <c r="AB263" s="397" t="str">
        <f>IF(A263="","",Calculation!U269)</f>
        <v/>
      </c>
      <c r="AC263" s="398" t="str">
        <f>IF(A263="","",IF(Calculation!$O$9="None","Water",CONCATENATE(Calculation!$O$9,"-",Calculation!$S$9,"%")))</f>
        <v/>
      </c>
      <c r="AD263" s="396" t="str">
        <f>IF(A263="","",Calculation!$S$6)</f>
        <v/>
      </c>
      <c r="AE263" s="399" t="str">
        <f>IF(A263="","",Calculation!BA269)</f>
        <v/>
      </c>
      <c r="AF263" s="396" t="str">
        <f>IF(A263="","",Calculation!AX269)</f>
        <v/>
      </c>
      <c r="AG263" s="396" t="str">
        <f>IF(A263="","",Calculation!AW269)</f>
        <v/>
      </c>
      <c r="AH263" s="391" t="str">
        <f>IF(A263="","",Calculation!AY269)</f>
        <v/>
      </c>
      <c r="AI263" s="391" t="str">
        <f>IF(A263="","",Calculation!Y269)</f>
        <v/>
      </c>
      <c r="AJ263" s="401" t="str">
        <f>IF(Calculation!BD269&gt;0,Calculation!BD269," ")</f>
        <v xml:space="preserve"> </v>
      </c>
      <c r="AK263" s="401" t="str">
        <f>IF(Calculation!BD269&gt;0,Calculation!BE269," ")</f>
        <v xml:space="preserve"> </v>
      </c>
      <c r="AL263" s="401" t="str">
        <f>IF(Calculation!BD269&gt;0,Calculation!BF269," ")</f>
        <v xml:space="preserve"> </v>
      </c>
      <c r="AM263" s="401" t="str">
        <f>IF(Calculation!BD269&gt;0,Calculation!BG269," ")</f>
        <v xml:space="preserve"> </v>
      </c>
      <c r="AN263" s="391" t="str">
        <f>IF(Calculation!BH269="N/A","N/A",Calculation!BH269)</f>
        <v xml:space="preserve"> </v>
      </c>
      <c r="AO263" s="402" t="str">
        <f>IF(Calculation!BI269="N/A","N/A",Calculation!BI269)</f>
        <v/>
      </c>
      <c r="AP263" s="391" t="str">
        <f>IF(Calculation!BJ269="N/A","N/A",Calculation!BJ269)</f>
        <v/>
      </c>
      <c r="AQ263" s="402" t="str">
        <f>IF(Calculation!BK269="N/A","N/A",Calculation!BK269)</f>
        <v/>
      </c>
      <c r="AR263" s="391" t="str">
        <f>IF(Calculation!BL269="N/A","N/A",Calculation!BL269)</f>
        <v/>
      </c>
      <c r="AS263" s="402" t="str">
        <f>IF(Calculation!BM269="N/A","N/A",Calculation!BM269)</f>
        <v/>
      </c>
      <c r="AT263" s="400"/>
    </row>
    <row r="264" spans="1:46">
      <c r="A264" s="224" t="str">
        <f>IF(Calculation!BN270="","",CONCATENATE(Calculation!BO270,"-",Calculation!R270,"-",Calculation!S270,"-",Calculation!T270,"-",Calculation!U270))</f>
        <v/>
      </c>
      <c r="B264" s="224">
        <v>249</v>
      </c>
      <c r="C264" s="629" t="str">
        <f>IF(A264="","",Calculation!B270)</f>
        <v/>
      </c>
      <c r="D264" s="386" t="str">
        <f>IF(A264="","",Calculation!L270)</f>
        <v/>
      </c>
      <c r="E264" s="387" t="str">
        <f>IF(A264="","",Calculation!J270)</f>
        <v/>
      </c>
      <c r="F264" s="387" t="str">
        <f>IF(A264="","",Calculation!C270)</f>
        <v/>
      </c>
      <c r="G264" s="387" t="str">
        <f>IF(A264="","",LEFT(Calculation!O270,6))</f>
        <v/>
      </c>
      <c r="H264" s="388" t="str">
        <f>IF(A264="","",Calculation!DX270)</f>
        <v/>
      </c>
      <c r="I264" s="387" t="str">
        <f>IF(A264="","",Calculation!P270)</f>
        <v/>
      </c>
      <c r="J264" s="387" t="str">
        <f>IF(A264="","",HLOOKUP(LEFT(Calculation!BO270,7),LookUps!$C$38:$M$41,4))</f>
        <v/>
      </c>
      <c r="K264" s="387" t="str">
        <f>IF(A264="","",Calculation!M270)</f>
        <v/>
      </c>
      <c r="L264" s="387" t="str">
        <f>IF(A264="","",Calculation!S270)</f>
        <v/>
      </c>
      <c r="M264" s="389" t="str">
        <f>IF(A264="","",Calculation!N270)</f>
        <v/>
      </c>
      <c r="N264" s="390" t="str">
        <f>IF(A264="","",Calculation!R270)</f>
        <v/>
      </c>
      <c r="O264" s="391" t="str">
        <f>IF(A264="","",Calculation!$F$6)</f>
        <v/>
      </c>
      <c r="P264" s="392" t="str">
        <f>IF(A264="","",Calculation!$F$7)</f>
        <v/>
      </c>
      <c r="Q264" s="393" t="str">
        <f>IF(A264="","",Calculation!$F$13)</f>
        <v/>
      </c>
      <c r="R264" s="394" t="str">
        <f>IF(A264="","",Calculation!X270)</f>
        <v/>
      </c>
      <c r="S264" s="393" t="str">
        <f>IF(A264="","",Calculation!T270)</f>
        <v/>
      </c>
      <c r="T264" s="395" t="str">
        <f>IF(A264="","",IF(Calculation!$O$8="None","Water",CONCATENATE(Calculation!$O$8,"-",Calculation!$S$8,"%")))</f>
        <v/>
      </c>
      <c r="U264" s="393" t="str">
        <f>IF(A264="","",Calculation!$P$6)</f>
        <v/>
      </c>
      <c r="V264" s="393" t="str">
        <f>IF(A264="","",Calculation!AT270)</f>
        <v/>
      </c>
      <c r="W264" s="396" t="str">
        <f>IF(A264="","",Calculation!AP270)</f>
        <v/>
      </c>
      <c r="X264" s="396" t="str">
        <f>IF(A264="","",Calculation!AO270)</f>
        <v/>
      </c>
      <c r="Y264" s="396" t="str">
        <f>IF(A264="","",Calculation!AQ270)</f>
        <v/>
      </c>
      <c r="Z264" s="396" t="str">
        <f>IF(A264="","",Calculation!$H$6)</f>
        <v/>
      </c>
      <c r="AA264" s="397" t="str">
        <f>IF(A264="","",Calculation!$H$13)</f>
        <v/>
      </c>
      <c r="AB264" s="397" t="str">
        <f>IF(A264="","",Calculation!U270)</f>
        <v/>
      </c>
      <c r="AC264" s="398" t="str">
        <f>IF(A264="","",IF(Calculation!$O$9="None","Water",CONCATENATE(Calculation!$O$9,"-",Calculation!$S$9,"%")))</f>
        <v/>
      </c>
      <c r="AD264" s="396" t="str">
        <f>IF(A264="","",Calculation!$S$6)</f>
        <v/>
      </c>
      <c r="AE264" s="399" t="str">
        <f>IF(A264="","",Calculation!BA270)</f>
        <v/>
      </c>
      <c r="AF264" s="396" t="str">
        <f>IF(A264="","",Calculation!AX270)</f>
        <v/>
      </c>
      <c r="AG264" s="396" t="str">
        <f>IF(A264="","",Calculation!AW270)</f>
        <v/>
      </c>
      <c r="AH264" s="391" t="str">
        <f>IF(A264="","",Calculation!AY270)</f>
        <v/>
      </c>
      <c r="AI264" s="391" t="str">
        <f>IF(A264="","",Calculation!Y270)</f>
        <v/>
      </c>
      <c r="AJ264" s="401" t="str">
        <f>IF(Calculation!BD270&gt;0,Calculation!BD270," ")</f>
        <v xml:space="preserve"> </v>
      </c>
      <c r="AK264" s="401" t="str">
        <f>IF(Calculation!BD270&gt;0,Calculation!BE270," ")</f>
        <v xml:space="preserve"> </v>
      </c>
      <c r="AL264" s="401" t="str">
        <f>IF(Calculation!BD270&gt;0,Calculation!BF270," ")</f>
        <v xml:space="preserve"> </v>
      </c>
      <c r="AM264" s="401" t="str">
        <f>IF(Calculation!BD270&gt;0,Calculation!BG270," ")</f>
        <v xml:space="preserve"> </v>
      </c>
      <c r="AN264" s="391" t="str">
        <f>IF(Calculation!BH270="N/A","N/A",Calculation!BH270)</f>
        <v xml:space="preserve"> </v>
      </c>
      <c r="AO264" s="402" t="str">
        <f>IF(Calculation!BI270="N/A","N/A",Calculation!BI270)</f>
        <v/>
      </c>
      <c r="AP264" s="391" t="str">
        <f>IF(Calculation!BJ270="N/A","N/A",Calculation!BJ270)</f>
        <v/>
      </c>
      <c r="AQ264" s="402" t="str">
        <f>IF(Calculation!BK270="N/A","N/A",Calculation!BK270)</f>
        <v/>
      </c>
      <c r="AR264" s="391" t="str">
        <f>IF(Calculation!BL270="N/A","N/A",Calculation!BL270)</f>
        <v/>
      </c>
      <c r="AS264" s="402" t="str">
        <f>IF(Calculation!BM270="N/A","N/A",Calculation!BM270)</f>
        <v/>
      </c>
      <c r="AT264" s="400"/>
    </row>
    <row r="265" spans="1:46">
      <c r="A265" s="224" t="str">
        <f>IF(Calculation!BN271="","",CONCATENATE(Calculation!BO271,"-",Calculation!R271,"-",Calculation!S271,"-",Calculation!T271,"-",Calculation!U271))</f>
        <v/>
      </c>
      <c r="B265" s="224">
        <v>250</v>
      </c>
      <c r="C265" s="629" t="str">
        <f>IF(A265="","",Calculation!B271)</f>
        <v/>
      </c>
      <c r="D265" s="386" t="str">
        <f>IF(A265="","",Calculation!L271)</f>
        <v/>
      </c>
      <c r="E265" s="387" t="str">
        <f>IF(A265="","",Calculation!J271)</f>
        <v/>
      </c>
      <c r="F265" s="387" t="str">
        <f>IF(A265="","",Calculation!C271)</f>
        <v/>
      </c>
      <c r="G265" s="387" t="str">
        <f>IF(A265="","",LEFT(Calculation!O271,6))</f>
        <v/>
      </c>
      <c r="H265" s="388" t="str">
        <f>IF(A265="","",Calculation!DX271)</f>
        <v/>
      </c>
      <c r="I265" s="387" t="str">
        <f>IF(A265="","",Calculation!P271)</f>
        <v/>
      </c>
      <c r="J265" s="387" t="str">
        <f>IF(A265="","",HLOOKUP(LEFT(Calculation!BO271,7),LookUps!$C$38:$M$41,4))</f>
        <v/>
      </c>
      <c r="K265" s="387" t="str">
        <f>IF(A265="","",Calculation!M271)</f>
        <v/>
      </c>
      <c r="L265" s="387" t="str">
        <f>IF(A265="","",Calculation!S271)</f>
        <v/>
      </c>
      <c r="M265" s="389" t="str">
        <f>IF(A265="","",Calculation!N271)</f>
        <v/>
      </c>
      <c r="N265" s="390" t="str">
        <f>IF(A265="","",Calculation!R271)</f>
        <v/>
      </c>
      <c r="O265" s="391" t="str">
        <f>IF(A265="","",Calculation!$F$6)</f>
        <v/>
      </c>
      <c r="P265" s="392" t="str">
        <f>IF(A265="","",Calculation!$F$7)</f>
        <v/>
      </c>
      <c r="Q265" s="393" t="str">
        <f>IF(A265="","",Calculation!$F$13)</f>
        <v/>
      </c>
      <c r="R265" s="394" t="str">
        <f>IF(A265="","",Calculation!X271)</f>
        <v/>
      </c>
      <c r="S265" s="393" t="str">
        <f>IF(A265="","",Calculation!T271)</f>
        <v/>
      </c>
      <c r="T265" s="395" t="str">
        <f>IF(A265="","",IF(Calculation!$O$8="None","Water",CONCATENATE(Calculation!$O$8,"-",Calculation!$S$8,"%")))</f>
        <v/>
      </c>
      <c r="U265" s="393" t="str">
        <f>IF(A265="","",Calculation!$P$6)</f>
        <v/>
      </c>
      <c r="V265" s="393" t="str">
        <f>IF(A265="","",Calculation!AT271)</f>
        <v/>
      </c>
      <c r="W265" s="396" t="str">
        <f>IF(A265="","",Calculation!AP271)</f>
        <v/>
      </c>
      <c r="X265" s="396" t="str">
        <f>IF(A265="","",Calculation!AO271)</f>
        <v/>
      </c>
      <c r="Y265" s="396" t="str">
        <f>IF(A265="","",Calculation!AQ271)</f>
        <v/>
      </c>
      <c r="Z265" s="396" t="str">
        <f>IF(A265="","",Calculation!$H$6)</f>
        <v/>
      </c>
      <c r="AA265" s="397" t="str">
        <f>IF(A265="","",Calculation!$H$13)</f>
        <v/>
      </c>
      <c r="AB265" s="397" t="str">
        <f>IF(A265="","",Calculation!U271)</f>
        <v/>
      </c>
      <c r="AC265" s="398" t="str">
        <f>IF(A265="","",IF(Calculation!$O$9="None","Water",CONCATENATE(Calculation!$O$9,"-",Calculation!$S$9,"%")))</f>
        <v/>
      </c>
      <c r="AD265" s="396" t="str">
        <f>IF(A265="","",Calculation!$S$6)</f>
        <v/>
      </c>
      <c r="AE265" s="399" t="str">
        <f>IF(A265="","",Calculation!BA271)</f>
        <v/>
      </c>
      <c r="AF265" s="396" t="str">
        <f>IF(A265="","",Calculation!AX271)</f>
        <v/>
      </c>
      <c r="AG265" s="396" t="str">
        <f>IF(A265="","",Calculation!AW271)</f>
        <v/>
      </c>
      <c r="AH265" s="391" t="str">
        <f>IF(A265="","",Calculation!AY271)</f>
        <v/>
      </c>
      <c r="AI265" s="391" t="str">
        <f>IF(A265="","",Calculation!Y271)</f>
        <v/>
      </c>
      <c r="AJ265" s="401" t="str">
        <f>IF(Calculation!BD271&gt;0,Calculation!BD271," ")</f>
        <v xml:space="preserve"> </v>
      </c>
      <c r="AK265" s="401" t="str">
        <f>IF(Calculation!BD271&gt;0,Calculation!BE271," ")</f>
        <v xml:space="preserve"> </v>
      </c>
      <c r="AL265" s="401" t="str">
        <f>IF(Calculation!BD271&gt;0,Calculation!BF271," ")</f>
        <v xml:space="preserve"> </v>
      </c>
      <c r="AM265" s="401" t="str">
        <f>IF(Calculation!BD271&gt;0,Calculation!BG271," ")</f>
        <v xml:space="preserve"> </v>
      </c>
      <c r="AN265" s="391" t="str">
        <f>IF(Calculation!BH271="N/A","N/A",Calculation!BH271)</f>
        <v xml:space="preserve"> </v>
      </c>
      <c r="AO265" s="402" t="str">
        <f>IF(Calculation!BI271="N/A","N/A",Calculation!BI271)</f>
        <v/>
      </c>
      <c r="AP265" s="391" t="str">
        <f>IF(Calculation!BJ271="N/A","N/A",Calculation!BJ271)</f>
        <v/>
      </c>
      <c r="AQ265" s="402" t="str">
        <f>IF(Calculation!BK271="N/A","N/A",Calculation!BK271)</f>
        <v/>
      </c>
      <c r="AR265" s="391" t="str">
        <f>IF(Calculation!BL271="N/A","N/A",Calculation!BL271)</f>
        <v/>
      </c>
      <c r="AS265" s="402" t="str">
        <f>IF(Calculation!BM271="N/A","N/A",Calculation!BM271)</f>
        <v/>
      </c>
      <c r="AT265" s="400"/>
    </row>
    <row r="266" spans="1:46">
      <c r="A266" s="224" t="str">
        <f>IF(Calculation!BN272="","",CONCATENATE(Calculation!BO272,"-",Calculation!R272,"-",Calculation!S272,"-",Calculation!T272,"-",Calculation!U272))</f>
        <v/>
      </c>
      <c r="B266" s="224">
        <v>251</v>
      </c>
      <c r="C266" s="629" t="str">
        <f>IF(A266="","",Calculation!B272)</f>
        <v/>
      </c>
      <c r="D266" s="386" t="str">
        <f>IF(A266="","",Calculation!L272)</f>
        <v/>
      </c>
      <c r="E266" s="387" t="str">
        <f>IF(A266="","",Calculation!J272)</f>
        <v/>
      </c>
      <c r="F266" s="387" t="str">
        <f>IF(A266="","",Calculation!C272)</f>
        <v/>
      </c>
      <c r="G266" s="387" t="str">
        <f>IF(A266="","",LEFT(Calculation!O272,6))</f>
        <v/>
      </c>
      <c r="H266" s="388" t="str">
        <f>IF(A266="","",Calculation!DX272)</f>
        <v/>
      </c>
      <c r="I266" s="387" t="str">
        <f>IF(A266="","",Calculation!P272)</f>
        <v/>
      </c>
      <c r="J266" s="387" t="str">
        <f>IF(A266="","",HLOOKUP(LEFT(Calculation!BO272,7),LookUps!$C$38:$M$41,4))</f>
        <v/>
      </c>
      <c r="K266" s="387" t="str">
        <f>IF(A266="","",Calculation!M272)</f>
        <v/>
      </c>
      <c r="L266" s="387" t="str">
        <f>IF(A266="","",Calculation!S272)</f>
        <v/>
      </c>
      <c r="M266" s="389" t="str">
        <f>IF(A266="","",Calculation!N272)</f>
        <v/>
      </c>
      <c r="N266" s="390" t="str">
        <f>IF(A266="","",Calculation!R272)</f>
        <v/>
      </c>
      <c r="O266" s="391" t="str">
        <f>IF(A266="","",Calculation!$F$6)</f>
        <v/>
      </c>
      <c r="P266" s="392" t="str">
        <f>IF(A266="","",Calculation!$F$7)</f>
        <v/>
      </c>
      <c r="Q266" s="393" t="str">
        <f>IF(A266="","",Calculation!$F$13)</f>
        <v/>
      </c>
      <c r="R266" s="394" t="str">
        <f>IF(A266="","",Calculation!X272)</f>
        <v/>
      </c>
      <c r="S266" s="393" t="str">
        <f>IF(A266="","",Calculation!T272)</f>
        <v/>
      </c>
      <c r="T266" s="395" t="str">
        <f>IF(A266="","",IF(Calculation!$O$8="None","Water",CONCATENATE(Calculation!$O$8,"-",Calculation!$S$8,"%")))</f>
        <v/>
      </c>
      <c r="U266" s="393" t="str">
        <f>IF(A266="","",Calculation!$P$6)</f>
        <v/>
      </c>
      <c r="V266" s="393" t="str">
        <f>IF(A266="","",Calculation!AT272)</f>
        <v/>
      </c>
      <c r="W266" s="396" t="str">
        <f>IF(A266="","",Calculation!AP272)</f>
        <v/>
      </c>
      <c r="X266" s="396" t="str">
        <f>IF(A266="","",Calculation!AO272)</f>
        <v/>
      </c>
      <c r="Y266" s="396" t="str">
        <f>IF(A266="","",Calculation!AQ272)</f>
        <v/>
      </c>
      <c r="Z266" s="396" t="str">
        <f>IF(A266="","",Calculation!$H$6)</f>
        <v/>
      </c>
      <c r="AA266" s="397" t="str">
        <f>IF(A266="","",Calculation!$H$13)</f>
        <v/>
      </c>
      <c r="AB266" s="397" t="str">
        <f>IF(A266="","",Calculation!U272)</f>
        <v/>
      </c>
      <c r="AC266" s="398" t="str">
        <f>IF(A266="","",IF(Calculation!$O$9="None","Water",CONCATENATE(Calculation!$O$9,"-",Calculation!$S$9,"%")))</f>
        <v/>
      </c>
      <c r="AD266" s="396" t="str">
        <f>IF(A266="","",Calculation!$S$6)</f>
        <v/>
      </c>
      <c r="AE266" s="399" t="str">
        <f>IF(A266="","",Calculation!BA272)</f>
        <v/>
      </c>
      <c r="AF266" s="396" t="str">
        <f>IF(A266="","",Calculation!AX272)</f>
        <v/>
      </c>
      <c r="AG266" s="396" t="str">
        <f>IF(A266="","",Calculation!AW272)</f>
        <v/>
      </c>
      <c r="AH266" s="391" t="str">
        <f>IF(A266="","",Calculation!AY272)</f>
        <v/>
      </c>
      <c r="AI266" s="391" t="str">
        <f>IF(A266="","",Calculation!Y272)</f>
        <v/>
      </c>
      <c r="AJ266" s="401" t="str">
        <f>IF(Calculation!BD272&gt;0,Calculation!BD272," ")</f>
        <v xml:space="preserve"> </v>
      </c>
      <c r="AK266" s="401" t="str">
        <f>IF(Calculation!BD272&gt;0,Calculation!BE272," ")</f>
        <v xml:space="preserve"> </v>
      </c>
      <c r="AL266" s="401" t="str">
        <f>IF(Calculation!BD272&gt;0,Calculation!BF272," ")</f>
        <v xml:space="preserve"> </v>
      </c>
      <c r="AM266" s="401" t="str">
        <f>IF(Calculation!BD272&gt;0,Calculation!BG272," ")</f>
        <v xml:space="preserve"> </v>
      </c>
      <c r="AN266" s="391" t="str">
        <f>IF(Calculation!BH272="N/A","N/A",Calculation!BH272)</f>
        <v xml:space="preserve"> </v>
      </c>
      <c r="AO266" s="402" t="str">
        <f>IF(Calculation!BI272="N/A","N/A",Calculation!BI272)</f>
        <v/>
      </c>
      <c r="AP266" s="391" t="str">
        <f>IF(Calculation!BJ272="N/A","N/A",Calculation!BJ272)</f>
        <v/>
      </c>
      <c r="AQ266" s="402" t="str">
        <f>IF(Calculation!BK272="N/A","N/A",Calculation!BK272)</f>
        <v/>
      </c>
      <c r="AR266" s="391" t="str">
        <f>IF(Calculation!BL272="N/A","N/A",Calculation!BL272)</f>
        <v/>
      </c>
      <c r="AS266" s="402" t="str">
        <f>IF(Calculation!BM272="N/A","N/A",Calculation!BM272)</f>
        <v/>
      </c>
      <c r="AT266" s="400"/>
    </row>
    <row r="267" spans="1:46">
      <c r="A267" s="224" t="str">
        <f>IF(Calculation!BN273="","",CONCATENATE(Calculation!BO273,"-",Calculation!R273,"-",Calculation!S273,"-",Calculation!T273,"-",Calculation!U273))</f>
        <v/>
      </c>
      <c r="B267" s="224">
        <v>252</v>
      </c>
      <c r="C267" s="629" t="str">
        <f>IF(A267="","",Calculation!B273)</f>
        <v/>
      </c>
      <c r="D267" s="386" t="str">
        <f>IF(A267="","",Calculation!L273)</f>
        <v/>
      </c>
      <c r="E267" s="387" t="str">
        <f>IF(A267="","",Calculation!J273)</f>
        <v/>
      </c>
      <c r="F267" s="387" t="str">
        <f>IF(A267="","",Calculation!C273)</f>
        <v/>
      </c>
      <c r="G267" s="387" t="str">
        <f>IF(A267="","",LEFT(Calculation!O273,6))</f>
        <v/>
      </c>
      <c r="H267" s="388" t="str">
        <f>IF(A267="","",Calculation!DX273)</f>
        <v/>
      </c>
      <c r="I267" s="387" t="str">
        <f>IF(A267="","",Calculation!P273)</f>
        <v/>
      </c>
      <c r="J267" s="387" t="str">
        <f>IF(A267="","",HLOOKUP(LEFT(Calculation!BO273,7),LookUps!$C$38:$M$41,4))</f>
        <v/>
      </c>
      <c r="K267" s="387" t="str">
        <f>IF(A267="","",Calculation!M273)</f>
        <v/>
      </c>
      <c r="L267" s="387" t="str">
        <f>IF(A267="","",Calculation!S273)</f>
        <v/>
      </c>
      <c r="M267" s="389" t="str">
        <f>IF(A267="","",Calculation!N273)</f>
        <v/>
      </c>
      <c r="N267" s="390" t="str">
        <f>IF(A267="","",Calculation!R273)</f>
        <v/>
      </c>
      <c r="O267" s="391" t="str">
        <f>IF(A267="","",Calculation!$F$6)</f>
        <v/>
      </c>
      <c r="P267" s="392" t="str">
        <f>IF(A267="","",Calculation!$F$7)</f>
        <v/>
      </c>
      <c r="Q267" s="393" t="str">
        <f>IF(A267="","",Calculation!$F$13)</f>
        <v/>
      </c>
      <c r="R267" s="394" t="str">
        <f>IF(A267="","",Calculation!X273)</f>
        <v/>
      </c>
      <c r="S267" s="393" t="str">
        <f>IF(A267="","",Calculation!T273)</f>
        <v/>
      </c>
      <c r="T267" s="395" t="str">
        <f>IF(A267="","",IF(Calculation!$O$8="None","Water",CONCATENATE(Calculation!$O$8,"-",Calculation!$S$8,"%")))</f>
        <v/>
      </c>
      <c r="U267" s="393" t="str">
        <f>IF(A267="","",Calculation!$P$6)</f>
        <v/>
      </c>
      <c r="V267" s="393" t="str">
        <f>IF(A267="","",Calculation!AT273)</f>
        <v/>
      </c>
      <c r="W267" s="396" t="str">
        <f>IF(A267="","",Calculation!AP273)</f>
        <v/>
      </c>
      <c r="X267" s="396" t="str">
        <f>IF(A267="","",Calculation!AO273)</f>
        <v/>
      </c>
      <c r="Y267" s="396" t="str">
        <f>IF(A267="","",Calculation!AQ273)</f>
        <v/>
      </c>
      <c r="Z267" s="396" t="str">
        <f>IF(A267="","",Calculation!$H$6)</f>
        <v/>
      </c>
      <c r="AA267" s="397" t="str">
        <f>IF(A267="","",Calculation!$H$13)</f>
        <v/>
      </c>
      <c r="AB267" s="397" t="str">
        <f>IF(A267="","",Calculation!U273)</f>
        <v/>
      </c>
      <c r="AC267" s="398" t="str">
        <f>IF(A267="","",IF(Calculation!$O$9="None","Water",CONCATENATE(Calculation!$O$9,"-",Calculation!$S$9,"%")))</f>
        <v/>
      </c>
      <c r="AD267" s="396" t="str">
        <f>IF(A267="","",Calculation!$S$6)</f>
        <v/>
      </c>
      <c r="AE267" s="399" t="str">
        <f>IF(A267="","",Calculation!BA273)</f>
        <v/>
      </c>
      <c r="AF267" s="396" t="str">
        <f>IF(A267="","",Calculation!AX273)</f>
        <v/>
      </c>
      <c r="AG267" s="396" t="str">
        <f>IF(A267="","",Calculation!AW273)</f>
        <v/>
      </c>
      <c r="AH267" s="391" t="str">
        <f>IF(A267="","",Calculation!AY273)</f>
        <v/>
      </c>
      <c r="AI267" s="391" t="str">
        <f>IF(A267="","",Calculation!Y273)</f>
        <v/>
      </c>
      <c r="AJ267" s="401" t="str">
        <f>IF(Calculation!BD273&gt;0,Calculation!BD273," ")</f>
        <v xml:space="preserve"> </v>
      </c>
      <c r="AK267" s="401" t="str">
        <f>IF(Calculation!BD273&gt;0,Calculation!BE273," ")</f>
        <v xml:space="preserve"> </v>
      </c>
      <c r="AL267" s="401" t="str">
        <f>IF(Calculation!BD273&gt;0,Calculation!BF273," ")</f>
        <v xml:space="preserve"> </v>
      </c>
      <c r="AM267" s="401" t="str">
        <f>IF(Calculation!BD273&gt;0,Calculation!BG273," ")</f>
        <v xml:space="preserve"> </v>
      </c>
      <c r="AN267" s="391" t="str">
        <f>IF(Calculation!BH273="N/A","N/A",Calculation!BH273)</f>
        <v xml:space="preserve"> </v>
      </c>
      <c r="AO267" s="402" t="str">
        <f>IF(Calculation!BI273="N/A","N/A",Calculation!BI273)</f>
        <v/>
      </c>
      <c r="AP267" s="391" t="str">
        <f>IF(Calculation!BJ273="N/A","N/A",Calculation!BJ273)</f>
        <v/>
      </c>
      <c r="AQ267" s="402" t="str">
        <f>IF(Calculation!BK273="N/A","N/A",Calculation!BK273)</f>
        <v/>
      </c>
      <c r="AR267" s="391" t="str">
        <f>IF(Calculation!BL273="N/A","N/A",Calculation!BL273)</f>
        <v/>
      </c>
      <c r="AS267" s="402" t="str">
        <f>IF(Calculation!BM273="N/A","N/A",Calculation!BM273)</f>
        <v/>
      </c>
      <c r="AT267" s="400"/>
    </row>
    <row r="268" spans="1:46">
      <c r="A268" s="224" t="str">
        <f>IF(Calculation!BN274="","",CONCATENATE(Calculation!BO274,"-",Calculation!R274,"-",Calculation!S274,"-",Calculation!T274,"-",Calculation!U274))</f>
        <v/>
      </c>
      <c r="B268" s="224">
        <v>253</v>
      </c>
      <c r="C268" s="629" t="str">
        <f>IF(A268="","",Calculation!B274)</f>
        <v/>
      </c>
      <c r="D268" s="386" t="str">
        <f>IF(A268="","",Calculation!L274)</f>
        <v/>
      </c>
      <c r="E268" s="387" t="str">
        <f>IF(A268="","",Calculation!J274)</f>
        <v/>
      </c>
      <c r="F268" s="387" t="str">
        <f>IF(A268="","",Calculation!C274)</f>
        <v/>
      </c>
      <c r="G268" s="387" t="str">
        <f>IF(A268="","",LEFT(Calculation!O274,6))</f>
        <v/>
      </c>
      <c r="H268" s="388" t="str">
        <f>IF(A268="","",Calculation!DX274)</f>
        <v/>
      </c>
      <c r="I268" s="387" t="str">
        <f>IF(A268="","",Calculation!P274)</f>
        <v/>
      </c>
      <c r="J268" s="387" t="str">
        <f>IF(A268="","",HLOOKUP(LEFT(Calculation!BO274,7),LookUps!$C$38:$M$41,4))</f>
        <v/>
      </c>
      <c r="K268" s="387" t="str">
        <f>IF(A268="","",Calculation!M274)</f>
        <v/>
      </c>
      <c r="L268" s="387" t="str">
        <f>IF(A268="","",Calculation!S274)</f>
        <v/>
      </c>
      <c r="M268" s="389" t="str">
        <f>IF(A268="","",Calculation!N274)</f>
        <v/>
      </c>
      <c r="N268" s="390" t="str">
        <f>IF(A268="","",Calculation!R274)</f>
        <v/>
      </c>
      <c r="O268" s="391" t="str">
        <f>IF(A268="","",Calculation!$F$6)</f>
        <v/>
      </c>
      <c r="P268" s="392" t="str">
        <f>IF(A268="","",Calculation!$F$7)</f>
        <v/>
      </c>
      <c r="Q268" s="393" t="str">
        <f>IF(A268="","",Calculation!$F$13)</f>
        <v/>
      </c>
      <c r="R268" s="394" t="str">
        <f>IF(A268="","",Calculation!X274)</f>
        <v/>
      </c>
      <c r="S268" s="393" t="str">
        <f>IF(A268="","",Calculation!T274)</f>
        <v/>
      </c>
      <c r="T268" s="395" t="str">
        <f>IF(A268="","",IF(Calculation!$O$8="None","Water",CONCATENATE(Calculation!$O$8,"-",Calculation!$S$8,"%")))</f>
        <v/>
      </c>
      <c r="U268" s="393" t="str">
        <f>IF(A268="","",Calculation!$P$6)</f>
        <v/>
      </c>
      <c r="V268" s="393" t="str">
        <f>IF(A268="","",Calculation!AT274)</f>
        <v/>
      </c>
      <c r="W268" s="396" t="str">
        <f>IF(A268="","",Calculation!AP274)</f>
        <v/>
      </c>
      <c r="X268" s="396" t="str">
        <f>IF(A268="","",Calculation!AO274)</f>
        <v/>
      </c>
      <c r="Y268" s="396" t="str">
        <f>IF(A268="","",Calculation!AQ274)</f>
        <v/>
      </c>
      <c r="Z268" s="396" t="str">
        <f>IF(A268="","",Calculation!$H$6)</f>
        <v/>
      </c>
      <c r="AA268" s="397" t="str">
        <f>IF(A268="","",Calculation!$H$13)</f>
        <v/>
      </c>
      <c r="AB268" s="397" t="str">
        <f>IF(A268="","",Calculation!U274)</f>
        <v/>
      </c>
      <c r="AC268" s="398" t="str">
        <f>IF(A268="","",IF(Calculation!$O$9="None","Water",CONCATENATE(Calculation!$O$9,"-",Calculation!$S$9,"%")))</f>
        <v/>
      </c>
      <c r="AD268" s="396" t="str">
        <f>IF(A268="","",Calculation!$S$6)</f>
        <v/>
      </c>
      <c r="AE268" s="399" t="str">
        <f>IF(A268="","",Calculation!BA274)</f>
        <v/>
      </c>
      <c r="AF268" s="396" t="str">
        <f>IF(A268="","",Calculation!AX274)</f>
        <v/>
      </c>
      <c r="AG268" s="396" t="str">
        <f>IF(A268="","",Calculation!AW274)</f>
        <v/>
      </c>
      <c r="AH268" s="391" t="str">
        <f>IF(A268="","",Calculation!AY274)</f>
        <v/>
      </c>
      <c r="AI268" s="391" t="str">
        <f>IF(A268="","",Calculation!Y274)</f>
        <v/>
      </c>
      <c r="AJ268" s="401" t="str">
        <f>IF(Calculation!BD274&gt;0,Calculation!BD274," ")</f>
        <v xml:space="preserve"> </v>
      </c>
      <c r="AK268" s="401" t="str">
        <f>IF(Calculation!BD274&gt;0,Calculation!BE274," ")</f>
        <v xml:space="preserve"> </v>
      </c>
      <c r="AL268" s="401" t="str">
        <f>IF(Calculation!BD274&gt;0,Calculation!BF274," ")</f>
        <v xml:space="preserve"> </v>
      </c>
      <c r="AM268" s="401" t="str">
        <f>IF(Calculation!BD274&gt;0,Calculation!BG274," ")</f>
        <v xml:space="preserve"> </v>
      </c>
      <c r="AN268" s="391" t="str">
        <f>IF(Calculation!BH274="N/A","N/A",Calculation!BH274)</f>
        <v xml:space="preserve"> </v>
      </c>
      <c r="AO268" s="402" t="str">
        <f>IF(Calculation!BI274="N/A","N/A",Calculation!BI274)</f>
        <v/>
      </c>
      <c r="AP268" s="391" t="str">
        <f>IF(Calculation!BJ274="N/A","N/A",Calculation!BJ274)</f>
        <v/>
      </c>
      <c r="AQ268" s="402" t="str">
        <f>IF(Calculation!BK274="N/A","N/A",Calculation!BK274)</f>
        <v/>
      </c>
      <c r="AR268" s="391" t="str">
        <f>IF(Calculation!BL274="N/A","N/A",Calculation!BL274)</f>
        <v/>
      </c>
      <c r="AS268" s="402" t="str">
        <f>IF(Calculation!BM274="N/A","N/A",Calculation!BM274)</f>
        <v/>
      </c>
      <c r="AT268" s="400"/>
    </row>
    <row r="269" spans="1:46">
      <c r="A269" s="224" t="str">
        <f>IF(Calculation!BN275="","",CONCATENATE(Calculation!BO275,"-",Calculation!R275,"-",Calculation!S275,"-",Calculation!T275,"-",Calculation!U275))</f>
        <v/>
      </c>
      <c r="B269" s="224">
        <v>254</v>
      </c>
      <c r="C269" s="629" t="str">
        <f>IF(A269="","",Calculation!B275)</f>
        <v/>
      </c>
      <c r="D269" s="386" t="str">
        <f>IF(A269="","",Calculation!L275)</f>
        <v/>
      </c>
      <c r="E269" s="387" t="str">
        <f>IF(A269="","",Calculation!J275)</f>
        <v/>
      </c>
      <c r="F269" s="387" t="str">
        <f>IF(A269="","",Calculation!C275)</f>
        <v/>
      </c>
      <c r="G269" s="387" t="str">
        <f>IF(A269="","",LEFT(Calculation!O275,6))</f>
        <v/>
      </c>
      <c r="H269" s="388" t="str">
        <f>IF(A269="","",Calculation!DX275)</f>
        <v/>
      </c>
      <c r="I269" s="387" t="str">
        <f>IF(A269="","",Calculation!P275)</f>
        <v/>
      </c>
      <c r="J269" s="387" t="str">
        <f>IF(A269="","",HLOOKUP(LEFT(Calculation!BO275,7),LookUps!$C$38:$M$41,4))</f>
        <v/>
      </c>
      <c r="K269" s="387" t="str">
        <f>IF(A269="","",Calculation!M275)</f>
        <v/>
      </c>
      <c r="L269" s="387" t="str">
        <f>IF(A269="","",Calculation!S275)</f>
        <v/>
      </c>
      <c r="M269" s="389" t="str">
        <f>IF(A269="","",Calculation!N275)</f>
        <v/>
      </c>
      <c r="N269" s="390" t="str">
        <f>IF(A269="","",Calculation!R275)</f>
        <v/>
      </c>
      <c r="O269" s="391" t="str">
        <f>IF(A269="","",Calculation!$F$6)</f>
        <v/>
      </c>
      <c r="P269" s="392" t="str">
        <f>IF(A269="","",Calculation!$F$7)</f>
        <v/>
      </c>
      <c r="Q269" s="393" t="str">
        <f>IF(A269="","",Calculation!$F$13)</f>
        <v/>
      </c>
      <c r="R269" s="394" t="str">
        <f>IF(A269="","",Calculation!X275)</f>
        <v/>
      </c>
      <c r="S269" s="393" t="str">
        <f>IF(A269="","",Calculation!T275)</f>
        <v/>
      </c>
      <c r="T269" s="395" t="str">
        <f>IF(A269="","",IF(Calculation!$O$8="None","Water",CONCATENATE(Calculation!$O$8,"-",Calculation!$S$8,"%")))</f>
        <v/>
      </c>
      <c r="U269" s="393" t="str">
        <f>IF(A269="","",Calculation!$P$6)</f>
        <v/>
      </c>
      <c r="V269" s="393" t="str">
        <f>IF(A269="","",Calculation!AT275)</f>
        <v/>
      </c>
      <c r="W269" s="396" t="str">
        <f>IF(A269="","",Calculation!AP275)</f>
        <v/>
      </c>
      <c r="X269" s="396" t="str">
        <f>IF(A269="","",Calculation!AO275)</f>
        <v/>
      </c>
      <c r="Y269" s="396" t="str">
        <f>IF(A269="","",Calculation!AQ275)</f>
        <v/>
      </c>
      <c r="Z269" s="396" t="str">
        <f>IF(A269="","",Calculation!$H$6)</f>
        <v/>
      </c>
      <c r="AA269" s="397" t="str">
        <f>IF(A269="","",Calculation!$H$13)</f>
        <v/>
      </c>
      <c r="AB269" s="397" t="str">
        <f>IF(A269="","",Calculation!U275)</f>
        <v/>
      </c>
      <c r="AC269" s="398" t="str">
        <f>IF(A269="","",IF(Calculation!$O$9="None","Water",CONCATENATE(Calculation!$O$9,"-",Calculation!$S$9,"%")))</f>
        <v/>
      </c>
      <c r="AD269" s="396" t="str">
        <f>IF(A269="","",Calculation!$S$6)</f>
        <v/>
      </c>
      <c r="AE269" s="399" t="str">
        <f>IF(A269="","",Calculation!BA275)</f>
        <v/>
      </c>
      <c r="AF269" s="396" t="str">
        <f>IF(A269="","",Calculation!AX275)</f>
        <v/>
      </c>
      <c r="AG269" s="396" t="str">
        <f>IF(A269="","",Calculation!AW275)</f>
        <v/>
      </c>
      <c r="AH269" s="391" t="str">
        <f>IF(A269="","",Calculation!AY275)</f>
        <v/>
      </c>
      <c r="AI269" s="391" t="str">
        <f>IF(A269="","",Calculation!Y275)</f>
        <v/>
      </c>
      <c r="AJ269" s="401" t="str">
        <f>IF(Calculation!BD275&gt;0,Calculation!BD275," ")</f>
        <v xml:space="preserve"> </v>
      </c>
      <c r="AK269" s="401" t="str">
        <f>IF(Calculation!BD275&gt;0,Calculation!BE275," ")</f>
        <v xml:space="preserve"> </v>
      </c>
      <c r="AL269" s="401" t="str">
        <f>IF(Calculation!BD275&gt;0,Calculation!BF275," ")</f>
        <v xml:space="preserve"> </v>
      </c>
      <c r="AM269" s="401" t="str">
        <f>IF(Calculation!BD275&gt;0,Calculation!BG275," ")</f>
        <v xml:space="preserve"> </v>
      </c>
      <c r="AN269" s="391" t="str">
        <f>IF(Calculation!BH275="N/A","N/A",Calculation!BH275)</f>
        <v xml:space="preserve"> </v>
      </c>
      <c r="AO269" s="402" t="str">
        <f>IF(Calculation!BI275="N/A","N/A",Calculation!BI275)</f>
        <v/>
      </c>
      <c r="AP269" s="391" t="str">
        <f>IF(Calculation!BJ275="N/A","N/A",Calculation!BJ275)</f>
        <v/>
      </c>
      <c r="AQ269" s="402" t="str">
        <f>IF(Calculation!BK275="N/A","N/A",Calculation!BK275)</f>
        <v/>
      </c>
      <c r="AR269" s="391" t="str">
        <f>IF(Calculation!BL275="N/A","N/A",Calculation!BL275)</f>
        <v/>
      </c>
      <c r="AS269" s="402" t="str">
        <f>IF(Calculation!BM275="N/A","N/A",Calculation!BM275)</f>
        <v/>
      </c>
      <c r="AT269" s="400"/>
    </row>
    <row r="270" spans="1:46">
      <c r="A270" s="224" t="str">
        <f>IF(Calculation!BN276="","",CONCATENATE(Calculation!BO276,"-",Calculation!R276,"-",Calculation!S276,"-",Calculation!T276,"-",Calculation!U276))</f>
        <v/>
      </c>
      <c r="B270" s="224">
        <v>255</v>
      </c>
      <c r="C270" s="629" t="str">
        <f>IF(A270="","",Calculation!B276)</f>
        <v/>
      </c>
      <c r="D270" s="386" t="str">
        <f>IF(A270="","",Calculation!L276)</f>
        <v/>
      </c>
      <c r="E270" s="387" t="str">
        <f>IF(A270="","",Calculation!J276)</f>
        <v/>
      </c>
      <c r="F270" s="387" t="str">
        <f>IF(A270="","",Calculation!C276)</f>
        <v/>
      </c>
      <c r="G270" s="387" t="str">
        <f>IF(A270="","",LEFT(Calculation!O276,6))</f>
        <v/>
      </c>
      <c r="H270" s="388" t="str">
        <f>IF(A270="","",Calculation!DX276)</f>
        <v/>
      </c>
      <c r="I270" s="387" t="str">
        <f>IF(A270="","",Calculation!P276)</f>
        <v/>
      </c>
      <c r="J270" s="387" t="str">
        <f>IF(A270="","",HLOOKUP(LEFT(Calculation!BO276,7),LookUps!$C$38:$M$41,4))</f>
        <v/>
      </c>
      <c r="K270" s="387" t="str">
        <f>IF(A270="","",Calculation!M276)</f>
        <v/>
      </c>
      <c r="L270" s="387" t="str">
        <f>IF(A270="","",Calculation!S276)</f>
        <v/>
      </c>
      <c r="M270" s="389" t="str">
        <f>IF(A270="","",Calculation!N276)</f>
        <v/>
      </c>
      <c r="N270" s="390" t="str">
        <f>IF(A270="","",Calculation!R276)</f>
        <v/>
      </c>
      <c r="O270" s="391" t="str">
        <f>IF(A270="","",Calculation!$F$6)</f>
        <v/>
      </c>
      <c r="P270" s="392" t="str">
        <f>IF(A270="","",Calculation!$F$7)</f>
        <v/>
      </c>
      <c r="Q270" s="393" t="str">
        <f>IF(A270="","",Calculation!$F$13)</f>
        <v/>
      </c>
      <c r="R270" s="394" t="str">
        <f>IF(A270="","",Calculation!X276)</f>
        <v/>
      </c>
      <c r="S270" s="393" t="str">
        <f>IF(A270="","",Calculation!T276)</f>
        <v/>
      </c>
      <c r="T270" s="395" t="str">
        <f>IF(A270="","",IF(Calculation!$O$8="None","Water",CONCATENATE(Calculation!$O$8,"-",Calculation!$S$8,"%")))</f>
        <v/>
      </c>
      <c r="U270" s="393" t="str">
        <f>IF(A270="","",Calculation!$P$6)</f>
        <v/>
      </c>
      <c r="V270" s="393" t="str">
        <f>IF(A270="","",Calculation!AT276)</f>
        <v/>
      </c>
      <c r="W270" s="396" t="str">
        <f>IF(A270="","",Calculation!AP276)</f>
        <v/>
      </c>
      <c r="X270" s="396" t="str">
        <f>IF(A270="","",Calculation!AO276)</f>
        <v/>
      </c>
      <c r="Y270" s="396" t="str">
        <f>IF(A270="","",Calculation!AQ276)</f>
        <v/>
      </c>
      <c r="Z270" s="396" t="str">
        <f>IF(A270="","",Calculation!$H$6)</f>
        <v/>
      </c>
      <c r="AA270" s="397" t="str">
        <f>IF(A270="","",Calculation!$H$13)</f>
        <v/>
      </c>
      <c r="AB270" s="397" t="str">
        <f>IF(A270="","",Calculation!U276)</f>
        <v/>
      </c>
      <c r="AC270" s="398" t="str">
        <f>IF(A270="","",IF(Calculation!$O$9="None","Water",CONCATENATE(Calculation!$O$9,"-",Calculation!$S$9,"%")))</f>
        <v/>
      </c>
      <c r="AD270" s="396" t="str">
        <f>IF(A270="","",Calculation!$S$6)</f>
        <v/>
      </c>
      <c r="AE270" s="399" t="str">
        <f>IF(A270="","",Calculation!BA276)</f>
        <v/>
      </c>
      <c r="AF270" s="396" t="str">
        <f>IF(A270="","",Calculation!AX276)</f>
        <v/>
      </c>
      <c r="AG270" s="396" t="str">
        <f>IF(A270="","",Calculation!AW276)</f>
        <v/>
      </c>
      <c r="AH270" s="391" t="str">
        <f>IF(A270="","",Calculation!AY276)</f>
        <v/>
      </c>
      <c r="AI270" s="391" t="str">
        <f>IF(A270="","",Calculation!Y276)</f>
        <v/>
      </c>
      <c r="AJ270" s="401" t="str">
        <f>IF(Calculation!BD276&gt;0,Calculation!BD276," ")</f>
        <v xml:space="preserve"> </v>
      </c>
      <c r="AK270" s="401" t="str">
        <f>IF(Calculation!BD276&gt;0,Calculation!BE276," ")</f>
        <v xml:space="preserve"> </v>
      </c>
      <c r="AL270" s="401" t="str">
        <f>IF(Calculation!BD276&gt;0,Calculation!BF276," ")</f>
        <v xml:space="preserve"> </v>
      </c>
      <c r="AM270" s="401" t="str">
        <f>IF(Calculation!BD276&gt;0,Calculation!BG276," ")</f>
        <v xml:space="preserve"> </v>
      </c>
      <c r="AN270" s="391" t="str">
        <f>IF(Calculation!BH276="N/A","N/A",Calculation!BH276)</f>
        <v xml:space="preserve"> </v>
      </c>
      <c r="AO270" s="402" t="str">
        <f>IF(Calculation!BI276="N/A","N/A",Calculation!BI276)</f>
        <v/>
      </c>
      <c r="AP270" s="391" t="str">
        <f>IF(Calculation!BJ276="N/A","N/A",Calculation!BJ276)</f>
        <v/>
      </c>
      <c r="AQ270" s="402" t="str">
        <f>IF(Calculation!BK276="N/A","N/A",Calculation!BK276)</f>
        <v/>
      </c>
      <c r="AR270" s="391" t="str">
        <f>IF(Calculation!BL276="N/A","N/A",Calculation!BL276)</f>
        <v/>
      </c>
      <c r="AS270" s="402" t="str">
        <f>IF(Calculation!BM276="N/A","N/A",Calculation!BM276)</f>
        <v/>
      </c>
      <c r="AT270" s="400"/>
    </row>
    <row r="271" spans="1:46">
      <c r="A271" s="224" t="str">
        <f>IF(Calculation!BN277="","",CONCATENATE(Calculation!BO277,"-",Calculation!R277,"-",Calculation!S277,"-",Calculation!T277,"-",Calculation!U277))</f>
        <v/>
      </c>
      <c r="B271" s="224">
        <v>256</v>
      </c>
      <c r="C271" s="629" t="str">
        <f>IF(A271="","",Calculation!B277)</f>
        <v/>
      </c>
      <c r="D271" s="386" t="str">
        <f>IF(A271="","",Calculation!L277)</f>
        <v/>
      </c>
      <c r="E271" s="387" t="str">
        <f>IF(A271="","",Calculation!J277)</f>
        <v/>
      </c>
      <c r="F271" s="387" t="str">
        <f>IF(A271="","",Calculation!C277)</f>
        <v/>
      </c>
      <c r="G271" s="387" t="str">
        <f>IF(A271="","",LEFT(Calculation!O277,6))</f>
        <v/>
      </c>
      <c r="H271" s="388" t="str">
        <f>IF(A271="","",Calculation!DX277)</f>
        <v/>
      </c>
      <c r="I271" s="387" t="str">
        <f>IF(A271="","",Calculation!P277)</f>
        <v/>
      </c>
      <c r="J271" s="387" t="str">
        <f>IF(A271="","",HLOOKUP(LEFT(Calculation!BO277,7),LookUps!$C$38:$M$41,4))</f>
        <v/>
      </c>
      <c r="K271" s="387" t="str">
        <f>IF(A271="","",Calculation!M277)</f>
        <v/>
      </c>
      <c r="L271" s="387" t="str">
        <f>IF(A271="","",Calculation!S277)</f>
        <v/>
      </c>
      <c r="M271" s="389" t="str">
        <f>IF(A271="","",Calculation!N277)</f>
        <v/>
      </c>
      <c r="N271" s="390" t="str">
        <f>IF(A271="","",Calculation!R277)</f>
        <v/>
      </c>
      <c r="O271" s="391" t="str">
        <f>IF(A271="","",Calculation!$F$6)</f>
        <v/>
      </c>
      <c r="P271" s="392" t="str">
        <f>IF(A271="","",Calculation!$F$7)</f>
        <v/>
      </c>
      <c r="Q271" s="393" t="str">
        <f>IF(A271="","",Calculation!$F$13)</f>
        <v/>
      </c>
      <c r="R271" s="394" t="str">
        <f>IF(A271="","",Calculation!X277)</f>
        <v/>
      </c>
      <c r="S271" s="393" t="str">
        <f>IF(A271="","",Calculation!T277)</f>
        <v/>
      </c>
      <c r="T271" s="395" t="str">
        <f>IF(A271="","",IF(Calculation!$O$8="None","Water",CONCATENATE(Calculation!$O$8,"-",Calculation!$S$8,"%")))</f>
        <v/>
      </c>
      <c r="U271" s="393" t="str">
        <f>IF(A271="","",Calculation!$P$6)</f>
        <v/>
      </c>
      <c r="V271" s="393" t="str">
        <f>IF(A271="","",Calculation!AT277)</f>
        <v/>
      </c>
      <c r="W271" s="396" t="str">
        <f>IF(A271="","",Calculation!AP277)</f>
        <v/>
      </c>
      <c r="X271" s="396" t="str">
        <f>IF(A271="","",Calculation!AO277)</f>
        <v/>
      </c>
      <c r="Y271" s="396" t="str">
        <f>IF(A271="","",Calculation!AQ277)</f>
        <v/>
      </c>
      <c r="Z271" s="396" t="str">
        <f>IF(A271="","",Calculation!$H$6)</f>
        <v/>
      </c>
      <c r="AA271" s="397" t="str">
        <f>IF(A271="","",Calculation!$H$13)</f>
        <v/>
      </c>
      <c r="AB271" s="397" t="str">
        <f>IF(A271="","",Calculation!U277)</f>
        <v/>
      </c>
      <c r="AC271" s="398" t="str">
        <f>IF(A271="","",IF(Calculation!$O$9="None","Water",CONCATENATE(Calculation!$O$9,"-",Calculation!$S$9,"%")))</f>
        <v/>
      </c>
      <c r="AD271" s="396" t="str">
        <f>IF(A271="","",Calculation!$S$6)</f>
        <v/>
      </c>
      <c r="AE271" s="399" t="str">
        <f>IF(A271="","",Calculation!BA277)</f>
        <v/>
      </c>
      <c r="AF271" s="396" t="str">
        <f>IF(A271="","",Calculation!AX277)</f>
        <v/>
      </c>
      <c r="AG271" s="396" t="str">
        <f>IF(A271="","",Calculation!AW277)</f>
        <v/>
      </c>
      <c r="AH271" s="391" t="str">
        <f>IF(A271="","",Calculation!AY277)</f>
        <v/>
      </c>
      <c r="AI271" s="391" t="str">
        <f>IF(A271="","",Calculation!Y277)</f>
        <v/>
      </c>
      <c r="AJ271" s="401" t="str">
        <f>IF(Calculation!BD277&gt;0,Calculation!BD277," ")</f>
        <v xml:space="preserve"> </v>
      </c>
      <c r="AK271" s="401" t="str">
        <f>IF(Calculation!BD277&gt;0,Calculation!BE277," ")</f>
        <v xml:space="preserve"> </v>
      </c>
      <c r="AL271" s="401" t="str">
        <f>IF(Calculation!BD277&gt;0,Calculation!BF277," ")</f>
        <v xml:space="preserve"> </v>
      </c>
      <c r="AM271" s="401" t="str">
        <f>IF(Calculation!BD277&gt;0,Calculation!BG277," ")</f>
        <v xml:space="preserve"> </v>
      </c>
      <c r="AN271" s="391" t="str">
        <f>IF(Calculation!BH277="N/A","N/A",Calculation!BH277)</f>
        <v xml:space="preserve"> </v>
      </c>
      <c r="AO271" s="402" t="str">
        <f>IF(Calculation!BI277="N/A","N/A",Calculation!BI277)</f>
        <v/>
      </c>
      <c r="AP271" s="391" t="str">
        <f>IF(Calculation!BJ277="N/A","N/A",Calculation!BJ277)</f>
        <v/>
      </c>
      <c r="AQ271" s="402" t="str">
        <f>IF(Calculation!BK277="N/A","N/A",Calculation!BK277)</f>
        <v/>
      </c>
      <c r="AR271" s="391" t="str">
        <f>IF(Calculation!BL277="N/A","N/A",Calculation!BL277)</f>
        <v/>
      </c>
      <c r="AS271" s="402" t="str">
        <f>IF(Calculation!BM277="N/A","N/A",Calculation!BM277)</f>
        <v/>
      </c>
      <c r="AT271" s="400"/>
    </row>
    <row r="272" spans="1:46">
      <c r="A272" s="224" t="str">
        <f>IF(Calculation!BN278="","",CONCATENATE(Calculation!BO278,"-",Calculation!R278,"-",Calculation!S278,"-",Calculation!T278,"-",Calculation!U278))</f>
        <v/>
      </c>
      <c r="B272" s="224">
        <v>257</v>
      </c>
      <c r="C272" s="629" t="str">
        <f>IF(A272="","",Calculation!B278)</f>
        <v/>
      </c>
      <c r="D272" s="386" t="str">
        <f>IF(A272="","",Calculation!L278)</f>
        <v/>
      </c>
      <c r="E272" s="387" t="str">
        <f>IF(A272="","",Calculation!J278)</f>
        <v/>
      </c>
      <c r="F272" s="387" t="str">
        <f>IF(A272="","",Calculation!C278)</f>
        <v/>
      </c>
      <c r="G272" s="387" t="str">
        <f>IF(A272="","",LEFT(Calculation!O278,6))</f>
        <v/>
      </c>
      <c r="H272" s="388" t="str">
        <f>IF(A272="","",Calculation!DX278)</f>
        <v/>
      </c>
      <c r="I272" s="387" t="str">
        <f>IF(A272="","",Calculation!P278)</f>
        <v/>
      </c>
      <c r="J272" s="387" t="str">
        <f>IF(A272="","",HLOOKUP(LEFT(Calculation!BO278,7),LookUps!$C$38:$M$41,4))</f>
        <v/>
      </c>
      <c r="K272" s="387" t="str">
        <f>IF(A272="","",Calculation!M278)</f>
        <v/>
      </c>
      <c r="L272" s="387" t="str">
        <f>IF(A272="","",Calculation!S278)</f>
        <v/>
      </c>
      <c r="M272" s="389" t="str">
        <f>IF(A272="","",Calculation!N278)</f>
        <v/>
      </c>
      <c r="N272" s="390" t="str">
        <f>IF(A272="","",Calculation!R278)</f>
        <v/>
      </c>
      <c r="O272" s="391" t="str">
        <f>IF(A272="","",Calculation!$F$6)</f>
        <v/>
      </c>
      <c r="P272" s="392" t="str">
        <f>IF(A272="","",Calculation!$F$7)</f>
        <v/>
      </c>
      <c r="Q272" s="393" t="str">
        <f>IF(A272="","",Calculation!$F$13)</f>
        <v/>
      </c>
      <c r="R272" s="394" t="str">
        <f>IF(A272="","",Calculation!X278)</f>
        <v/>
      </c>
      <c r="S272" s="393" t="str">
        <f>IF(A272="","",Calculation!T278)</f>
        <v/>
      </c>
      <c r="T272" s="395" t="str">
        <f>IF(A272="","",IF(Calculation!$O$8="None","Water",CONCATENATE(Calculation!$O$8,"-",Calculation!$S$8,"%")))</f>
        <v/>
      </c>
      <c r="U272" s="393" t="str">
        <f>IF(A272="","",Calculation!$P$6)</f>
        <v/>
      </c>
      <c r="V272" s="393" t="str">
        <f>IF(A272="","",Calculation!AT278)</f>
        <v/>
      </c>
      <c r="W272" s="396" t="str">
        <f>IF(A272="","",Calculation!AP278)</f>
        <v/>
      </c>
      <c r="X272" s="396" t="str">
        <f>IF(A272="","",Calculation!AO278)</f>
        <v/>
      </c>
      <c r="Y272" s="396" t="str">
        <f>IF(A272="","",Calculation!AQ278)</f>
        <v/>
      </c>
      <c r="Z272" s="396" t="str">
        <f>IF(A272="","",Calculation!$H$6)</f>
        <v/>
      </c>
      <c r="AA272" s="397" t="str">
        <f>IF(A272="","",Calculation!$H$13)</f>
        <v/>
      </c>
      <c r="AB272" s="397" t="str">
        <f>IF(A272="","",Calculation!U278)</f>
        <v/>
      </c>
      <c r="AC272" s="398" t="str">
        <f>IF(A272="","",IF(Calculation!$O$9="None","Water",CONCATENATE(Calculation!$O$9,"-",Calculation!$S$9,"%")))</f>
        <v/>
      </c>
      <c r="AD272" s="396" t="str">
        <f>IF(A272="","",Calculation!$S$6)</f>
        <v/>
      </c>
      <c r="AE272" s="399" t="str">
        <f>IF(A272="","",Calculation!BA278)</f>
        <v/>
      </c>
      <c r="AF272" s="396" t="str">
        <f>IF(A272="","",Calculation!AX278)</f>
        <v/>
      </c>
      <c r="AG272" s="396" t="str">
        <f>IF(A272="","",Calculation!AW278)</f>
        <v/>
      </c>
      <c r="AH272" s="391" t="str">
        <f>IF(A272="","",Calculation!AY278)</f>
        <v/>
      </c>
      <c r="AI272" s="391" t="str">
        <f>IF(A272="","",Calculation!Y278)</f>
        <v/>
      </c>
      <c r="AJ272" s="401" t="str">
        <f>IF(Calculation!BD278&gt;0,Calculation!BD278," ")</f>
        <v xml:space="preserve"> </v>
      </c>
      <c r="AK272" s="401" t="str">
        <f>IF(Calculation!BD278&gt;0,Calculation!BE278," ")</f>
        <v xml:space="preserve"> </v>
      </c>
      <c r="AL272" s="401" t="str">
        <f>IF(Calculation!BD278&gt;0,Calculation!BF278," ")</f>
        <v xml:space="preserve"> </v>
      </c>
      <c r="AM272" s="401" t="str">
        <f>IF(Calculation!BD278&gt;0,Calculation!BG278," ")</f>
        <v xml:space="preserve"> </v>
      </c>
      <c r="AN272" s="391" t="str">
        <f>IF(Calculation!BH278="N/A","N/A",Calculation!BH278)</f>
        <v xml:space="preserve"> </v>
      </c>
      <c r="AO272" s="402" t="str">
        <f>IF(Calculation!BI278="N/A","N/A",Calculation!BI278)</f>
        <v/>
      </c>
      <c r="AP272" s="391" t="str">
        <f>IF(Calculation!BJ278="N/A","N/A",Calculation!BJ278)</f>
        <v/>
      </c>
      <c r="AQ272" s="402" t="str">
        <f>IF(Calculation!BK278="N/A","N/A",Calculation!BK278)</f>
        <v/>
      </c>
      <c r="AR272" s="391" t="str">
        <f>IF(Calculation!BL278="N/A","N/A",Calculation!BL278)</f>
        <v/>
      </c>
      <c r="AS272" s="402" t="str">
        <f>IF(Calculation!BM278="N/A","N/A",Calculation!BM278)</f>
        <v/>
      </c>
      <c r="AT272" s="400"/>
    </row>
    <row r="273" spans="1:46">
      <c r="A273" s="224" t="str">
        <f>IF(Calculation!BN279="","",CONCATENATE(Calculation!BO279,"-",Calculation!R279,"-",Calculation!S279,"-",Calculation!T279,"-",Calculation!U279))</f>
        <v/>
      </c>
      <c r="B273" s="224">
        <v>258</v>
      </c>
      <c r="C273" s="629" t="str">
        <f>IF(A273="","",Calculation!B279)</f>
        <v/>
      </c>
      <c r="D273" s="386" t="str">
        <f>IF(A273="","",Calculation!L279)</f>
        <v/>
      </c>
      <c r="E273" s="387" t="str">
        <f>IF(A273="","",Calculation!J279)</f>
        <v/>
      </c>
      <c r="F273" s="387" t="str">
        <f>IF(A273="","",Calculation!C279)</f>
        <v/>
      </c>
      <c r="G273" s="387" t="str">
        <f>IF(A273="","",LEFT(Calculation!O279,6))</f>
        <v/>
      </c>
      <c r="H273" s="388" t="str">
        <f>IF(A273="","",Calculation!DX279)</f>
        <v/>
      </c>
      <c r="I273" s="387" t="str">
        <f>IF(A273="","",Calculation!P279)</f>
        <v/>
      </c>
      <c r="J273" s="387" t="str">
        <f>IF(A273="","",HLOOKUP(LEFT(Calculation!BO279,7),LookUps!$C$38:$M$41,4))</f>
        <v/>
      </c>
      <c r="K273" s="387" t="str">
        <f>IF(A273="","",Calculation!M279)</f>
        <v/>
      </c>
      <c r="L273" s="387" t="str">
        <f>IF(A273="","",Calculation!S279)</f>
        <v/>
      </c>
      <c r="M273" s="389" t="str">
        <f>IF(A273="","",Calculation!N279)</f>
        <v/>
      </c>
      <c r="N273" s="390" t="str">
        <f>IF(A273="","",Calculation!R279)</f>
        <v/>
      </c>
      <c r="O273" s="391" t="str">
        <f>IF(A273="","",Calculation!$F$6)</f>
        <v/>
      </c>
      <c r="P273" s="392" t="str">
        <f>IF(A273="","",Calculation!$F$7)</f>
        <v/>
      </c>
      <c r="Q273" s="393" t="str">
        <f>IF(A273="","",Calculation!$F$13)</f>
        <v/>
      </c>
      <c r="R273" s="394" t="str">
        <f>IF(A273="","",Calculation!X279)</f>
        <v/>
      </c>
      <c r="S273" s="393" t="str">
        <f>IF(A273="","",Calculation!T279)</f>
        <v/>
      </c>
      <c r="T273" s="395" t="str">
        <f>IF(A273="","",IF(Calculation!$O$8="None","Water",CONCATENATE(Calculation!$O$8,"-",Calculation!$S$8,"%")))</f>
        <v/>
      </c>
      <c r="U273" s="393" t="str">
        <f>IF(A273="","",Calculation!$P$6)</f>
        <v/>
      </c>
      <c r="V273" s="393" t="str">
        <f>IF(A273="","",Calculation!AT279)</f>
        <v/>
      </c>
      <c r="W273" s="396" t="str">
        <f>IF(A273="","",Calculation!AP279)</f>
        <v/>
      </c>
      <c r="X273" s="396" t="str">
        <f>IF(A273="","",Calculation!AO279)</f>
        <v/>
      </c>
      <c r="Y273" s="396" t="str">
        <f>IF(A273="","",Calculation!AQ279)</f>
        <v/>
      </c>
      <c r="Z273" s="396" t="str">
        <f>IF(A273="","",Calculation!$H$6)</f>
        <v/>
      </c>
      <c r="AA273" s="397" t="str">
        <f>IF(A273="","",Calculation!$H$13)</f>
        <v/>
      </c>
      <c r="AB273" s="397" t="str">
        <f>IF(A273="","",Calculation!U279)</f>
        <v/>
      </c>
      <c r="AC273" s="398" t="str">
        <f>IF(A273="","",IF(Calculation!$O$9="None","Water",CONCATENATE(Calculation!$O$9,"-",Calculation!$S$9,"%")))</f>
        <v/>
      </c>
      <c r="AD273" s="396" t="str">
        <f>IF(A273="","",Calculation!$S$6)</f>
        <v/>
      </c>
      <c r="AE273" s="399" t="str">
        <f>IF(A273="","",Calculation!BA279)</f>
        <v/>
      </c>
      <c r="AF273" s="396" t="str">
        <f>IF(A273="","",Calculation!AX279)</f>
        <v/>
      </c>
      <c r="AG273" s="396" t="str">
        <f>IF(A273="","",Calculation!AW279)</f>
        <v/>
      </c>
      <c r="AH273" s="391" t="str">
        <f>IF(A273="","",Calculation!AY279)</f>
        <v/>
      </c>
      <c r="AI273" s="391" t="str">
        <f>IF(A273="","",Calculation!Y279)</f>
        <v/>
      </c>
      <c r="AJ273" s="401" t="str">
        <f>IF(Calculation!BD279&gt;0,Calculation!BD279," ")</f>
        <v xml:space="preserve"> </v>
      </c>
      <c r="AK273" s="401" t="str">
        <f>IF(Calculation!BD279&gt;0,Calculation!BE279," ")</f>
        <v xml:space="preserve"> </v>
      </c>
      <c r="AL273" s="401" t="str">
        <f>IF(Calculation!BD279&gt;0,Calculation!BF279," ")</f>
        <v xml:space="preserve"> </v>
      </c>
      <c r="AM273" s="401" t="str">
        <f>IF(Calculation!BD279&gt;0,Calculation!BG279," ")</f>
        <v xml:space="preserve"> </v>
      </c>
      <c r="AN273" s="391" t="str">
        <f>IF(Calculation!BH279="N/A","N/A",Calculation!BH279)</f>
        <v xml:space="preserve"> </v>
      </c>
      <c r="AO273" s="402" t="str">
        <f>IF(Calculation!BI279="N/A","N/A",Calculation!BI279)</f>
        <v/>
      </c>
      <c r="AP273" s="391" t="str">
        <f>IF(Calculation!BJ279="N/A","N/A",Calculation!BJ279)</f>
        <v/>
      </c>
      <c r="AQ273" s="402" t="str">
        <f>IF(Calculation!BK279="N/A","N/A",Calculation!BK279)</f>
        <v/>
      </c>
      <c r="AR273" s="391" t="str">
        <f>IF(Calculation!BL279="N/A","N/A",Calculation!BL279)</f>
        <v/>
      </c>
      <c r="AS273" s="402" t="str">
        <f>IF(Calculation!BM279="N/A","N/A",Calculation!BM279)</f>
        <v/>
      </c>
      <c r="AT273" s="400"/>
    </row>
    <row r="274" spans="1:46">
      <c r="A274" s="224" t="str">
        <f>IF(Calculation!BN280="","",CONCATENATE(Calculation!BO280,"-",Calculation!R280,"-",Calculation!S280,"-",Calculation!T280,"-",Calculation!U280))</f>
        <v/>
      </c>
      <c r="B274" s="224">
        <v>259</v>
      </c>
      <c r="C274" s="629" t="str">
        <f>IF(A274="","",Calculation!B280)</f>
        <v/>
      </c>
      <c r="D274" s="386" t="str">
        <f>IF(A274="","",Calculation!L280)</f>
        <v/>
      </c>
      <c r="E274" s="387" t="str">
        <f>IF(A274="","",Calculation!J280)</f>
        <v/>
      </c>
      <c r="F274" s="387" t="str">
        <f>IF(A274="","",Calculation!C280)</f>
        <v/>
      </c>
      <c r="G274" s="387" t="str">
        <f>IF(A274="","",LEFT(Calculation!O280,6))</f>
        <v/>
      </c>
      <c r="H274" s="388" t="str">
        <f>IF(A274="","",Calculation!DX280)</f>
        <v/>
      </c>
      <c r="I274" s="387" t="str">
        <f>IF(A274="","",Calculation!P280)</f>
        <v/>
      </c>
      <c r="J274" s="387" t="str">
        <f>IF(A274="","",HLOOKUP(LEFT(Calculation!BO280,7),LookUps!$C$38:$M$41,4))</f>
        <v/>
      </c>
      <c r="K274" s="387" t="str">
        <f>IF(A274="","",Calculation!M280)</f>
        <v/>
      </c>
      <c r="L274" s="387" t="str">
        <f>IF(A274="","",Calculation!S280)</f>
        <v/>
      </c>
      <c r="M274" s="389" t="str">
        <f>IF(A274="","",Calculation!N280)</f>
        <v/>
      </c>
      <c r="N274" s="390" t="str">
        <f>IF(A274="","",Calculation!R280)</f>
        <v/>
      </c>
      <c r="O274" s="391" t="str">
        <f>IF(A274="","",Calculation!$F$6)</f>
        <v/>
      </c>
      <c r="P274" s="392" t="str">
        <f>IF(A274="","",Calculation!$F$7)</f>
        <v/>
      </c>
      <c r="Q274" s="393" t="str">
        <f>IF(A274="","",Calculation!$F$13)</f>
        <v/>
      </c>
      <c r="R274" s="394" t="str">
        <f>IF(A274="","",Calculation!X280)</f>
        <v/>
      </c>
      <c r="S274" s="393" t="str">
        <f>IF(A274="","",Calculation!T280)</f>
        <v/>
      </c>
      <c r="T274" s="395" t="str">
        <f>IF(A274="","",IF(Calculation!$O$8="None","Water",CONCATENATE(Calculation!$O$8,"-",Calculation!$S$8,"%")))</f>
        <v/>
      </c>
      <c r="U274" s="393" t="str">
        <f>IF(A274="","",Calculation!$P$6)</f>
        <v/>
      </c>
      <c r="V274" s="393" t="str">
        <f>IF(A274="","",Calculation!AT280)</f>
        <v/>
      </c>
      <c r="W274" s="396" t="str">
        <f>IF(A274="","",Calculation!AP280)</f>
        <v/>
      </c>
      <c r="X274" s="396" t="str">
        <f>IF(A274="","",Calculation!AO280)</f>
        <v/>
      </c>
      <c r="Y274" s="396" t="str">
        <f>IF(A274="","",Calculation!AQ280)</f>
        <v/>
      </c>
      <c r="Z274" s="396" t="str">
        <f>IF(A274="","",Calculation!$H$6)</f>
        <v/>
      </c>
      <c r="AA274" s="397" t="str">
        <f>IF(A274="","",Calculation!$H$13)</f>
        <v/>
      </c>
      <c r="AB274" s="397" t="str">
        <f>IF(A274="","",Calculation!U280)</f>
        <v/>
      </c>
      <c r="AC274" s="398" t="str">
        <f>IF(A274="","",IF(Calculation!$O$9="None","Water",CONCATENATE(Calculation!$O$9,"-",Calculation!$S$9,"%")))</f>
        <v/>
      </c>
      <c r="AD274" s="396" t="str">
        <f>IF(A274="","",Calculation!$S$6)</f>
        <v/>
      </c>
      <c r="AE274" s="399" t="str">
        <f>IF(A274="","",Calculation!BA280)</f>
        <v/>
      </c>
      <c r="AF274" s="396" t="str">
        <f>IF(A274="","",Calculation!AX280)</f>
        <v/>
      </c>
      <c r="AG274" s="396" t="str">
        <f>IF(A274="","",Calculation!AW280)</f>
        <v/>
      </c>
      <c r="AH274" s="391" t="str">
        <f>IF(A274="","",Calculation!AY280)</f>
        <v/>
      </c>
      <c r="AI274" s="391" t="str">
        <f>IF(A274="","",Calculation!Y280)</f>
        <v/>
      </c>
      <c r="AJ274" s="401" t="str">
        <f>IF(Calculation!BD280&gt;0,Calculation!BD280," ")</f>
        <v xml:space="preserve"> </v>
      </c>
      <c r="AK274" s="401" t="str">
        <f>IF(Calculation!BD280&gt;0,Calculation!BE280," ")</f>
        <v xml:space="preserve"> </v>
      </c>
      <c r="AL274" s="401" t="str">
        <f>IF(Calculation!BD280&gt;0,Calculation!BF280," ")</f>
        <v xml:space="preserve"> </v>
      </c>
      <c r="AM274" s="401" t="str">
        <f>IF(Calculation!BD280&gt;0,Calculation!BG280," ")</f>
        <v xml:space="preserve"> </v>
      </c>
      <c r="AN274" s="391" t="str">
        <f>IF(Calculation!BH280="N/A","N/A",Calculation!BH280)</f>
        <v xml:space="preserve"> </v>
      </c>
      <c r="AO274" s="402" t="str">
        <f>IF(Calculation!BI280="N/A","N/A",Calculation!BI280)</f>
        <v/>
      </c>
      <c r="AP274" s="391" t="str">
        <f>IF(Calculation!BJ280="N/A","N/A",Calculation!BJ280)</f>
        <v/>
      </c>
      <c r="AQ274" s="402" t="str">
        <f>IF(Calculation!BK280="N/A","N/A",Calculation!BK280)</f>
        <v/>
      </c>
      <c r="AR274" s="391" t="str">
        <f>IF(Calculation!BL280="N/A","N/A",Calculation!BL280)</f>
        <v/>
      </c>
      <c r="AS274" s="402" t="str">
        <f>IF(Calculation!BM280="N/A","N/A",Calculation!BM280)</f>
        <v/>
      </c>
      <c r="AT274" s="400"/>
    </row>
    <row r="275" spans="1:46">
      <c r="A275" s="224" t="str">
        <f>IF(Calculation!BN281="","",CONCATENATE(Calculation!BO281,"-",Calculation!R281,"-",Calculation!S281,"-",Calculation!T281,"-",Calculation!U281))</f>
        <v/>
      </c>
      <c r="B275" s="224">
        <v>260</v>
      </c>
      <c r="C275" s="629" t="str">
        <f>IF(A275="","",Calculation!B281)</f>
        <v/>
      </c>
      <c r="D275" s="386" t="str">
        <f>IF(A275="","",Calculation!L281)</f>
        <v/>
      </c>
      <c r="E275" s="387" t="str">
        <f>IF(A275="","",Calculation!J281)</f>
        <v/>
      </c>
      <c r="F275" s="387" t="str">
        <f>IF(A275="","",Calculation!C281)</f>
        <v/>
      </c>
      <c r="G275" s="387" t="str">
        <f>IF(A275="","",LEFT(Calculation!O281,6))</f>
        <v/>
      </c>
      <c r="H275" s="388" t="str">
        <f>IF(A275="","",Calculation!DX281)</f>
        <v/>
      </c>
      <c r="I275" s="387" t="str">
        <f>IF(A275="","",Calculation!P281)</f>
        <v/>
      </c>
      <c r="J275" s="387" t="str">
        <f>IF(A275="","",HLOOKUP(LEFT(Calculation!BO281,7),LookUps!$C$38:$M$41,4))</f>
        <v/>
      </c>
      <c r="K275" s="387" t="str">
        <f>IF(A275="","",Calculation!M281)</f>
        <v/>
      </c>
      <c r="L275" s="387" t="str">
        <f>IF(A275="","",Calculation!S281)</f>
        <v/>
      </c>
      <c r="M275" s="389" t="str">
        <f>IF(A275="","",Calculation!N281)</f>
        <v/>
      </c>
      <c r="N275" s="390" t="str">
        <f>IF(A275="","",Calculation!R281)</f>
        <v/>
      </c>
      <c r="O275" s="391" t="str">
        <f>IF(A275="","",Calculation!$F$6)</f>
        <v/>
      </c>
      <c r="P275" s="392" t="str">
        <f>IF(A275="","",Calculation!$F$7)</f>
        <v/>
      </c>
      <c r="Q275" s="393" t="str">
        <f>IF(A275="","",Calculation!$F$13)</f>
        <v/>
      </c>
      <c r="R275" s="394" t="str">
        <f>IF(A275="","",Calculation!X281)</f>
        <v/>
      </c>
      <c r="S275" s="393" t="str">
        <f>IF(A275="","",Calculation!T281)</f>
        <v/>
      </c>
      <c r="T275" s="395" t="str">
        <f>IF(A275="","",IF(Calculation!$O$8="None","Water",CONCATENATE(Calculation!$O$8,"-",Calculation!$S$8,"%")))</f>
        <v/>
      </c>
      <c r="U275" s="393" t="str">
        <f>IF(A275="","",Calculation!$P$6)</f>
        <v/>
      </c>
      <c r="V275" s="393" t="str">
        <f>IF(A275="","",Calculation!AT281)</f>
        <v/>
      </c>
      <c r="W275" s="396" t="str">
        <f>IF(A275="","",Calculation!AP281)</f>
        <v/>
      </c>
      <c r="X275" s="396" t="str">
        <f>IF(A275="","",Calculation!AO281)</f>
        <v/>
      </c>
      <c r="Y275" s="396" t="str">
        <f>IF(A275="","",Calculation!AQ281)</f>
        <v/>
      </c>
      <c r="Z275" s="396" t="str">
        <f>IF(A275="","",Calculation!$H$6)</f>
        <v/>
      </c>
      <c r="AA275" s="397" t="str">
        <f>IF(A275="","",Calculation!$H$13)</f>
        <v/>
      </c>
      <c r="AB275" s="397" t="str">
        <f>IF(A275="","",Calculation!U281)</f>
        <v/>
      </c>
      <c r="AC275" s="398" t="str">
        <f>IF(A275="","",IF(Calculation!$O$9="None","Water",CONCATENATE(Calculation!$O$9,"-",Calculation!$S$9,"%")))</f>
        <v/>
      </c>
      <c r="AD275" s="396" t="str">
        <f>IF(A275="","",Calculation!$S$6)</f>
        <v/>
      </c>
      <c r="AE275" s="399" t="str">
        <f>IF(A275="","",Calculation!BA281)</f>
        <v/>
      </c>
      <c r="AF275" s="396" t="str">
        <f>IF(A275="","",Calculation!AX281)</f>
        <v/>
      </c>
      <c r="AG275" s="396" t="str">
        <f>IF(A275="","",Calculation!AW281)</f>
        <v/>
      </c>
      <c r="AH275" s="391" t="str">
        <f>IF(A275="","",Calculation!AY281)</f>
        <v/>
      </c>
      <c r="AI275" s="391" t="str">
        <f>IF(A275="","",Calculation!Y281)</f>
        <v/>
      </c>
      <c r="AJ275" s="401" t="str">
        <f>IF(Calculation!BD281&gt;0,Calculation!BD281," ")</f>
        <v xml:space="preserve"> </v>
      </c>
      <c r="AK275" s="401" t="str">
        <f>IF(Calculation!BD281&gt;0,Calculation!BE281," ")</f>
        <v xml:space="preserve"> </v>
      </c>
      <c r="AL275" s="401" t="str">
        <f>IF(Calculation!BD281&gt;0,Calculation!BF281," ")</f>
        <v xml:space="preserve"> </v>
      </c>
      <c r="AM275" s="401" t="str">
        <f>IF(Calculation!BD281&gt;0,Calculation!BG281," ")</f>
        <v xml:space="preserve"> </v>
      </c>
      <c r="AN275" s="391" t="str">
        <f>IF(Calculation!BH281="N/A","N/A",Calculation!BH281)</f>
        <v xml:space="preserve"> </v>
      </c>
      <c r="AO275" s="402" t="str">
        <f>IF(Calculation!BI281="N/A","N/A",Calculation!BI281)</f>
        <v/>
      </c>
      <c r="AP275" s="391" t="str">
        <f>IF(Calculation!BJ281="N/A","N/A",Calculation!BJ281)</f>
        <v/>
      </c>
      <c r="AQ275" s="402" t="str">
        <f>IF(Calculation!BK281="N/A","N/A",Calculation!BK281)</f>
        <v/>
      </c>
      <c r="AR275" s="391" t="str">
        <f>IF(Calculation!BL281="N/A","N/A",Calculation!BL281)</f>
        <v/>
      </c>
      <c r="AS275" s="402" t="str">
        <f>IF(Calculation!BM281="N/A","N/A",Calculation!BM281)</f>
        <v/>
      </c>
      <c r="AT275" s="400"/>
    </row>
    <row r="276" spans="1:46">
      <c r="A276" s="224" t="str">
        <f>IF(Calculation!BN282="","",CONCATENATE(Calculation!BO282,"-",Calculation!R282,"-",Calculation!S282,"-",Calculation!T282,"-",Calculation!U282))</f>
        <v/>
      </c>
      <c r="B276" s="224">
        <v>261</v>
      </c>
      <c r="C276" s="629" t="str">
        <f>IF(A276="","",Calculation!B282)</f>
        <v/>
      </c>
      <c r="D276" s="386" t="str">
        <f>IF(A276="","",Calculation!L282)</f>
        <v/>
      </c>
      <c r="E276" s="387" t="str">
        <f>IF(A276="","",Calculation!J282)</f>
        <v/>
      </c>
      <c r="F276" s="387" t="str">
        <f>IF(A276="","",Calculation!C282)</f>
        <v/>
      </c>
      <c r="G276" s="387" t="str">
        <f>IF(A276="","",LEFT(Calculation!O282,6))</f>
        <v/>
      </c>
      <c r="H276" s="388" t="str">
        <f>IF(A276="","",Calculation!DX282)</f>
        <v/>
      </c>
      <c r="I276" s="387" t="str">
        <f>IF(A276="","",Calculation!P282)</f>
        <v/>
      </c>
      <c r="J276" s="387" t="str">
        <f>IF(A276="","",HLOOKUP(LEFT(Calculation!BO282,7),LookUps!$C$38:$M$41,4))</f>
        <v/>
      </c>
      <c r="K276" s="387" t="str">
        <f>IF(A276="","",Calculation!M282)</f>
        <v/>
      </c>
      <c r="L276" s="387" t="str">
        <f>IF(A276="","",Calculation!S282)</f>
        <v/>
      </c>
      <c r="M276" s="389" t="str">
        <f>IF(A276="","",Calculation!N282)</f>
        <v/>
      </c>
      <c r="N276" s="390" t="str">
        <f>IF(A276="","",Calculation!R282)</f>
        <v/>
      </c>
      <c r="O276" s="391" t="str">
        <f>IF(A276="","",Calculation!$F$6)</f>
        <v/>
      </c>
      <c r="P276" s="392" t="str">
        <f>IF(A276="","",Calculation!$F$7)</f>
        <v/>
      </c>
      <c r="Q276" s="393" t="str">
        <f>IF(A276="","",Calculation!$F$13)</f>
        <v/>
      </c>
      <c r="R276" s="394" t="str">
        <f>IF(A276="","",Calculation!X282)</f>
        <v/>
      </c>
      <c r="S276" s="393" t="str">
        <f>IF(A276="","",Calculation!T282)</f>
        <v/>
      </c>
      <c r="T276" s="395" t="str">
        <f>IF(A276="","",IF(Calculation!$O$8="None","Water",CONCATENATE(Calculation!$O$8,"-",Calculation!$S$8,"%")))</f>
        <v/>
      </c>
      <c r="U276" s="393" t="str">
        <f>IF(A276="","",Calculation!$P$6)</f>
        <v/>
      </c>
      <c r="V276" s="393" t="str">
        <f>IF(A276="","",Calculation!AT282)</f>
        <v/>
      </c>
      <c r="W276" s="396" t="str">
        <f>IF(A276="","",Calculation!AP282)</f>
        <v/>
      </c>
      <c r="X276" s="396" t="str">
        <f>IF(A276="","",Calculation!AO282)</f>
        <v/>
      </c>
      <c r="Y276" s="396" t="str">
        <f>IF(A276="","",Calculation!AQ282)</f>
        <v/>
      </c>
      <c r="Z276" s="396" t="str">
        <f>IF(A276="","",Calculation!$H$6)</f>
        <v/>
      </c>
      <c r="AA276" s="397" t="str">
        <f>IF(A276="","",Calculation!$H$13)</f>
        <v/>
      </c>
      <c r="AB276" s="397" t="str">
        <f>IF(A276="","",Calculation!U282)</f>
        <v/>
      </c>
      <c r="AC276" s="398" t="str">
        <f>IF(A276="","",IF(Calculation!$O$9="None","Water",CONCATENATE(Calculation!$O$9,"-",Calculation!$S$9,"%")))</f>
        <v/>
      </c>
      <c r="AD276" s="396" t="str">
        <f>IF(A276="","",Calculation!$S$6)</f>
        <v/>
      </c>
      <c r="AE276" s="399" t="str">
        <f>IF(A276="","",Calculation!BA282)</f>
        <v/>
      </c>
      <c r="AF276" s="396" t="str">
        <f>IF(A276="","",Calculation!AX282)</f>
        <v/>
      </c>
      <c r="AG276" s="396" t="str">
        <f>IF(A276="","",Calculation!AW282)</f>
        <v/>
      </c>
      <c r="AH276" s="391" t="str">
        <f>IF(A276="","",Calculation!AY282)</f>
        <v/>
      </c>
      <c r="AI276" s="391" t="str">
        <f>IF(A276="","",Calculation!Y282)</f>
        <v/>
      </c>
      <c r="AJ276" s="401" t="str">
        <f>IF(Calculation!BD282&gt;0,Calculation!BD282," ")</f>
        <v xml:space="preserve"> </v>
      </c>
      <c r="AK276" s="401" t="str">
        <f>IF(Calculation!BD282&gt;0,Calculation!BE282," ")</f>
        <v xml:space="preserve"> </v>
      </c>
      <c r="AL276" s="401" t="str">
        <f>IF(Calculation!BD282&gt;0,Calculation!BF282," ")</f>
        <v xml:space="preserve"> </v>
      </c>
      <c r="AM276" s="401" t="str">
        <f>IF(Calculation!BD282&gt;0,Calculation!BG282," ")</f>
        <v xml:space="preserve"> </v>
      </c>
      <c r="AN276" s="391" t="str">
        <f>IF(Calculation!BH282="N/A","N/A",Calculation!BH282)</f>
        <v xml:space="preserve"> </v>
      </c>
      <c r="AO276" s="402" t="str">
        <f>IF(Calculation!BI282="N/A","N/A",Calculation!BI282)</f>
        <v/>
      </c>
      <c r="AP276" s="391" t="str">
        <f>IF(Calculation!BJ282="N/A","N/A",Calculation!BJ282)</f>
        <v/>
      </c>
      <c r="AQ276" s="402" t="str">
        <f>IF(Calculation!BK282="N/A","N/A",Calculation!BK282)</f>
        <v/>
      </c>
      <c r="AR276" s="391" t="str">
        <f>IF(Calculation!BL282="N/A","N/A",Calculation!BL282)</f>
        <v/>
      </c>
      <c r="AS276" s="402" t="str">
        <f>IF(Calculation!BM282="N/A","N/A",Calculation!BM282)</f>
        <v/>
      </c>
      <c r="AT276" s="400"/>
    </row>
    <row r="277" spans="1:46">
      <c r="A277" s="224" t="str">
        <f>IF(Calculation!BN283="","",CONCATENATE(Calculation!BO283,"-",Calculation!R283,"-",Calculation!S283,"-",Calculation!T283,"-",Calculation!U283))</f>
        <v/>
      </c>
      <c r="B277" s="224">
        <v>262</v>
      </c>
      <c r="C277" s="629" t="str">
        <f>IF(A277="","",Calculation!B283)</f>
        <v/>
      </c>
      <c r="D277" s="386" t="str">
        <f>IF(A277="","",Calculation!L283)</f>
        <v/>
      </c>
      <c r="E277" s="387" t="str">
        <f>IF(A277="","",Calculation!J283)</f>
        <v/>
      </c>
      <c r="F277" s="387" t="str">
        <f>IF(A277="","",Calculation!C283)</f>
        <v/>
      </c>
      <c r="G277" s="387" t="str">
        <f>IF(A277="","",LEFT(Calculation!O283,6))</f>
        <v/>
      </c>
      <c r="H277" s="388" t="str">
        <f>IF(A277="","",Calculation!DX283)</f>
        <v/>
      </c>
      <c r="I277" s="387" t="str">
        <f>IF(A277="","",Calculation!P283)</f>
        <v/>
      </c>
      <c r="J277" s="387" t="str">
        <f>IF(A277="","",HLOOKUP(LEFT(Calculation!BO283,7),LookUps!$C$38:$M$41,4))</f>
        <v/>
      </c>
      <c r="K277" s="387" t="str">
        <f>IF(A277="","",Calculation!M283)</f>
        <v/>
      </c>
      <c r="L277" s="387" t="str">
        <f>IF(A277="","",Calculation!S283)</f>
        <v/>
      </c>
      <c r="M277" s="389" t="str">
        <f>IF(A277="","",Calculation!N283)</f>
        <v/>
      </c>
      <c r="N277" s="390" t="str">
        <f>IF(A277="","",Calculation!R283)</f>
        <v/>
      </c>
      <c r="O277" s="391" t="str">
        <f>IF(A277="","",Calculation!$F$6)</f>
        <v/>
      </c>
      <c r="P277" s="392" t="str">
        <f>IF(A277="","",Calculation!$F$7)</f>
        <v/>
      </c>
      <c r="Q277" s="393" t="str">
        <f>IF(A277="","",Calculation!$F$13)</f>
        <v/>
      </c>
      <c r="R277" s="394" t="str">
        <f>IF(A277="","",Calculation!X283)</f>
        <v/>
      </c>
      <c r="S277" s="393" t="str">
        <f>IF(A277="","",Calculation!T283)</f>
        <v/>
      </c>
      <c r="T277" s="395" t="str">
        <f>IF(A277="","",IF(Calculation!$O$8="None","Water",CONCATENATE(Calculation!$O$8,"-",Calculation!$S$8,"%")))</f>
        <v/>
      </c>
      <c r="U277" s="393" t="str">
        <f>IF(A277="","",Calculation!$P$6)</f>
        <v/>
      </c>
      <c r="V277" s="393" t="str">
        <f>IF(A277="","",Calculation!AT283)</f>
        <v/>
      </c>
      <c r="W277" s="396" t="str">
        <f>IF(A277="","",Calculation!AP283)</f>
        <v/>
      </c>
      <c r="X277" s="396" t="str">
        <f>IF(A277="","",Calculation!AO283)</f>
        <v/>
      </c>
      <c r="Y277" s="396" t="str">
        <f>IF(A277="","",Calculation!AQ283)</f>
        <v/>
      </c>
      <c r="Z277" s="396" t="str">
        <f>IF(A277="","",Calculation!$H$6)</f>
        <v/>
      </c>
      <c r="AA277" s="397" t="str">
        <f>IF(A277="","",Calculation!$H$13)</f>
        <v/>
      </c>
      <c r="AB277" s="397" t="str">
        <f>IF(A277="","",Calculation!U283)</f>
        <v/>
      </c>
      <c r="AC277" s="398" t="str">
        <f>IF(A277="","",IF(Calculation!$O$9="None","Water",CONCATENATE(Calculation!$O$9,"-",Calculation!$S$9,"%")))</f>
        <v/>
      </c>
      <c r="AD277" s="396" t="str">
        <f>IF(A277="","",Calculation!$S$6)</f>
        <v/>
      </c>
      <c r="AE277" s="399" t="str">
        <f>IF(A277="","",Calculation!BA283)</f>
        <v/>
      </c>
      <c r="AF277" s="396" t="str">
        <f>IF(A277="","",Calculation!AX283)</f>
        <v/>
      </c>
      <c r="AG277" s="396" t="str">
        <f>IF(A277="","",Calculation!AW283)</f>
        <v/>
      </c>
      <c r="AH277" s="391" t="str">
        <f>IF(A277="","",Calculation!AY283)</f>
        <v/>
      </c>
      <c r="AI277" s="391" t="str">
        <f>IF(A277="","",Calculation!Y283)</f>
        <v/>
      </c>
      <c r="AJ277" s="401" t="str">
        <f>IF(Calculation!BD283&gt;0,Calculation!BD283," ")</f>
        <v xml:space="preserve"> </v>
      </c>
      <c r="AK277" s="401" t="str">
        <f>IF(Calculation!BD283&gt;0,Calculation!BE283," ")</f>
        <v xml:space="preserve"> </v>
      </c>
      <c r="AL277" s="401" t="str">
        <f>IF(Calculation!BD283&gt;0,Calculation!BF283," ")</f>
        <v xml:space="preserve"> </v>
      </c>
      <c r="AM277" s="401" t="str">
        <f>IF(Calculation!BD283&gt;0,Calculation!BG283," ")</f>
        <v xml:space="preserve"> </v>
      </c>
      <c r="AN277" s="391" t="str">
        <f>IF(Calculation!BH283="N/A","N/A",Calculation!BH283)</f>
        <v xml:space="preserve"> </v>
      </c>
      <c r="AO277" s="402" t="str">
        <f>IF(Calculation!BI283="N/A","N/A",Calculation!BI283)</f>
        <v/>
      </c>
      <c r="AP277" s="391" t="str">
        <f>IF(Calculation!BJ283="N/A","N/A",Calculation!BJ283)</f>
        <v/>
      </c>
      <c r="AQ277" s="402" t="str">
        <f>IF(Calculation!BK283="N/A","N/A",Calculation!BK283)</f>
        <v/>
      </c>
      <c r="AR277" s="391" t="str">
        <f>IF(Calculation!BL283="N/A","N/A",Calculation!BL283)</f>
        <v/>
      </c>
      <c r="AS277" s="402" t="str">
        <f>IF(Calculation!BM283="N/A","N/A",Calculation!BM283)</f>
        <v/>
      </c>
      <c r="AT277" s="400"/>
    </row>
    <row r="278" spans="1:46">
      <c r="A278" s="224" t="str">
        <f>IF(Calculation!BN284="","",CONCATENATE(Calculation!BO284,"-",Calculation!R284,"-",Calculation!S284,"-",Calculation!T284,"-",Calculation!U284))</f>
        <v/>
      </c>
      <c r="B278" s="224">
        <v>263</v>
      </c>
      <c r="C278" s="629" t="str">
        <f>IF(A278="","",Calculation!B284)</f>
        <v/>
      </c>
      <c r="D278" s="386" t="str">
        <f>IF(A278="","",Calculation!L284)</f>
        <v/>
      </c>
      <c r="E278" s="387" t="str">
        <f>IF(A278="","",Calculation!J284)</f>
        <v/>
      </c>
      <c r="F278" s="387" t="str">
        <f>IF(A278="","",Calculation!C284)</f>
        <v/>
      </c>
      <c r="G278" s="387" t="str">
        <f>IF(A278="","",LEFT(Calculation!O284,6))</f>
        <v/>
      </c>
      <c r="H278" s="388" t="str">
        <f>IF(A278="","",Calculation!DX284)</f>
        <v/>
      </c>
      <c r="I278" s="387" t="str">
        <f>IF(A278="","",Calculation!P284)</f>
        <v/>
      </c>
      <c r="J278" s="387" t="str">
        <f>IF(A278="","",HLOOKUP(LEFT(Calculation!BO284,7),LookUps!$C$38:$M$41,4))</f>
        <v/>
      </c>
      <c r="K278" s="387" t="str">
        <f>IF(A278="","",Calculation!M284)</f>
        <v/>
      </c>
      <c r="L278" s="387" t="str">
        <f>IF(A278="","",Calculation!S284)</f>
        <v/>
      </c>
      <c r="M278" s="389" t="str">
        <f>IF(A278="","",Calculation!N284)</f>
        <v/>
      </c>
      <c r="N278" s="390" t="str">
        <f>IF(A278="","",Calculation!R284)</f>
        <v/>
      </c>
      <c r="O278" s="391" t="str">
        <f>IF(A278="","",Calculation!$F$6)</f>
        <v/>
      </c>
      <c r="P278" s="392" t="str">
        <f>IF(A278="","",Calculation!$F$7)</f>
        <v/>
      </c>
      <c r="Q278" s="393" t="str">
        <f>IF(A278="","",Calculation!$F$13)</f>
        <v/>
      </c>
      <c r="R278" s="394" t="str">
        <f>IF(A278="","",Calculation!X284)</f>
        <v/>
      </c>
      <c r="S278" s="393" t="str">
        <f>IF(A278="","",Calculation!T284)</f>
        <v/>
      </c>
      <c r="T278" s="395" t="str">
        <f>IF(A278="","",IF(Calculation!$O$8="None","Water",CONCATENATE(Calculation!$O$8,"-",Calculation!$S$8,"%")))</f>
        <v/>
      </c>
      <c r="U278" s="393" t="str">
        <f>IF(A278="","",Calculation!$P$6)</f>
        <v/>
      </c>
      <c r="V278" s="393" t="str">
        <f>IF(A278="","",Calculation!AT284)</f>
        <v/>
      </c>
      <c r="W278" s="396" t="str">
        <f>IF(A278="","",Calculation!AP284)</f>
        <v/>
      </c>
      <c r="X278" s="396" t="str">
        <f>IF(A278="","",Calculation!AO284)</f>
        <v/>
      </c>
      <c r="Y278" s="396" t="str">
        <f>IF(A278="","",Calculation!AQ284)</f>
        <v/>
      </c>
      <c r="Z278" s="396" t="str">
        <f>IF(A278="","",Calculation!$H$6)</f>
        <v/>
      </c>
      <c r="AA278" s="397" t="str">
        <f>IF(A278="","",Calculation!$H$13)</f>
        <v/>
      </c>
      <c r="AB278" s="397" t="str">
        <f>IF(A278="","",Calculation!U284)</f>
        <v/>
      </c>
      <c r="AC278" s="398" t="str">
        <f>IF(A278="","",IF(Calculation!$O$9="None","Water",CONCATENATE(Calculation!$O$9,"-",Calculation!$S$9,"%")))</f>
        <v/>
      </c>
      <c r="AD278" s="396" t="str">
        <f>IF(A278="","",Calculation!$S$6)</f>
        <v/>
      </c>
      <c r="AE278" s="399" t="str">
        <f>IF(A278="","",Calculation!BA284)</f>
        <v/>
      </c>
      <c r="AF278" s="396" t="str">
        <f>IF(A278="","",Calculation!AX284)</f>
        <v/>
      </c>
      <c r="AG278" s="396" t="str">
        <f>IF(A278="","",Calculation!AW284)</f>
        <v/>
      </c>
      <c r="AH278" s="391" t="str">
        <f>IF(A278="","",Calculation!AY284)</f>
        <v/>
      </c>
      <c r="AI278" s="391" t="str">
        <f>IF(A278="","",Calculation!Y284)</f>
        <v/>
      </c>
      <c r="AJ278" s="401" t="str">
        <f>IF(Calculation!BD284&gt;0,Calculation!BD284," ")</f>
        <v xml:space="preserve"> </v>
      </c>
      <c r="AK278" s="401" t="str">
        <f>IF(Calculation!BD284&gt;0,Calculation!BE284," ")</f>
        <v xml:space="preserve"> </v>
      </c>
      <c r="AL278" s="401" t="str">
        <f>IF(Calculation!BD284&gt;0,Calculation!BF284," ")</f>
        <v xml:space="preserve"> </v>
      </c>
      <c r="AM278" s="401" t="str">
        <f>IF(Calculation!BD284&gt;0,Calculation!BG284," ")</f>
        <v xml:space="preserve"> </v>
      </c>
      <c r="AN278" s="391" t="str">
        <f>IF(Calculation!BH284="N/A","N/A",Calculation!BH284)</f>
        <v xml:space="preserve"> </v>
      </c>
      <c r="AO278" s="402" t="str">
        <f>IF(Calculation!BI284="N/A","N/A",Calculation!BI284)</f>
        <v/>
      </c>
      <c r="AP278" s="391" t="str">
        <f>IF(Calculation!BJ284="N/A","N/A",Calculation!BJ284)</f>
        <v/>
      </c>
      <c r="AQ278" s="402" t="str">
        <f>IF(Calculation!BK284="N/A","N/A",Calculation!BK284)</f>
        <v/>
      </c>
      <c r="AR278" s="391" t="str">
        <f>IF(Calculation!BL284="N/A","N/A",Calculation!BL284)</f>
        <v/>
      </c>
      <c r="AS278" s="402" t="str">
        <f>IF(Calculation!BM284="N/A","N/A",Calculation!BM284)</f>
        <v/>
      </c>
      <c r="AT278" s="400"/>
    </row>
    <row r="279" spans="1:46">
      <c r="A279" s="224" t="str">
        <f>IF(Calculation!BN285="","",CONCATENATE(Calculation!BO285,"-",Calculation!R285,"-",Calculation!S285,"-",Calculation!T285,"-",Calculation!U285))</f>
        <v/>
      </c>
      <c r="B279" s="224">
        <v>264</v>
      </c>
      <c r="C279" s="629" t="str">
        <f>IF(A279="","",Calculation!B285)</f>
        <v/>
      </c>
      <c r="D279" s="386" t="str">
        <f>IF(A279="","",Calculation!L285)</f>
        <v/>
      </c>
      <c r="E279" s="387" t="str">
        <f>IF(A279="","",Calculation!J285)</f>
        <v/>
      </c>
      <c r="F279" s="387" t="str">
        <f>IF(A279="","",Calculation!C285)</f>
        <v/>
      </c>
      <c r="G279" s="387" t="str">
        <f>IF(A279="","",LEFT(Calculation!O285,6))</f>
        <v/>
      </c>
      <c r="H279" s="388" t="str">
        <f>IF(A279="","",Calculation!DX285)</f>
        <v/>
      </c>
      <c r="I279" s="387" t="str">
        <f>IF(A279="","",Calculation!P285)</f>
        <v/>
      </c>
      <c r="J279" s="387" t="str">
        <f>IF(A279="","",HLOOKUP(LEFT(Calculation!BO285,7),LookUps!$C$38:$M$41,4))</f>
        <v/>
      </c>
      <c r="K279" s="387" t="str">
        <f>IF(A279="","",Calculation!M285)</f>
        <v/>
      </c>
      <c r="L279" s="387" t="str">
        <f>IF(A279="","",Calculation!S285)</f>
        <v/>
      </c>
      <c r="M279" s="389" t="str">
        <f>IF(A279="","",Calculation!N285)</f>
        <v/>
      </c>
      <c r="N279" s="390" t="str">
        <f>IF(A279="","",Calculation!R285)</f>
        <v/>
      </c>
      <c r="O279" s="391" t="str">
        <f>IF(A279="","",Calculation!$F$6)</f>
        <v/>
      </c>
      <c r="P279" s="392" t="str">
        <f>IF(A279="","",Calculation!$F$7)</f>
        <v/>
      </c>
      <c r="Q279" s="393" t="str">
        <f>IF(A279="","",Calculation!$F$13)</f>
        <v/>
      </c>
      <c r="R279" s="394" t="str">
        <f>IF(A279="","",Calculation!X285)</f>
        <v/>
      </c>
      <c r="S279" s="393" t="str">
        <f>IF(A279="","",Calculation!T285)</f>
        <v/>
      </c>
      <c r="T279" s="395" t="str">
        <f>IF(A279="","",IF(Calculation!$O$8="None","Water",CONCATENATE(Calculation!$O$8,"-",Calculation!$S$8,"%")))</f>
        <v/>
      </c>
      <c r="U279" s="393" t="str">
        <f>IF(A279="","",Calculation!$P$6)</f>
        <v/>
      </c>
      <c r="V279" s="393" t="str">
        <f>IF(A279="","",Calculation!AT285)</f>
        <v/>
      </c>
      <c r="W279" s="396" t="str">
        <f>IF(A279="","",Calculation!AP285)</f>
        <v/>
      </c>
      <c r="X279" s="396" t="str">
        <f>IF(A279="","",Calculation!AO285)</f>
        <v/>
      </c>
      <c r="Y279" s="396" t="str">
        <f>IF(A279="","",Calculation!AQ285)</f>
        <v/>
      </c>
      <c r="Z279" s="396" t="str">
        <f>IF(A279="","",Calculation!$H$6)</f>
        <v/>
      </c>
      <c r="AA279" s="397" t="str">
        <f>IF(A279="","",Calculation!$H$13)</f>
        <v/>
      </c>
      <c r="AB279" s="397" t="str">
        <f>IF(A279="","",Calculation!U285)</f>
        <v/>
      </c>
      <c r="AC279" s="398" t="str">
        <f>IF(A279="","",IF(Calculation!$O$9="None","Water",CONCATENATE(Calculation!$O$9,"-",Calculation!$S$9,"%")))</f>
        <v/>
      </c>
      <c r="AD279" s="396" t="str">
        <f>IF(A279="","",Calculation!$S$6)</f>
        <v/>
      </c>
      <c r="AE279" s="399" t="str">
        <f>IF(A279="","",Calculation!BA285)</f>
        <v/>
      </c>
      <c r="AF279" s="396" t="str">
        <f>IF(A279="","",Calculation!AX285)</f>
        <v/>
      </c>
      <c r="AG279" s="396" t="str">
        <f>IF(A279="","",Calculation!AW285)</f>
        <v/>
      </c>
      <c r="AH279" s="391" t="str">
        <f>IF(A279="","",Calculation!AY285)</f>
        <v/>
      </c>
      <c r="AI279" s="391" t="str">
        <f>IF(A279="","",Calculation!Y285)</f>
        <v/>
      </c>
      <c r="AJ279" s="401" t="str">
        <f>IF(Calculation!BD285&gt;0,Calculation!BD285," ")</f>
        <v xml:space="preserve"> </v>
      </c>
      <c r="AK279" s="401" t="str">
        <f>IF(Calculation!BD285&gt;0,Calculation!BE285," ")</f>
        <v xml:space="preserve"> </v>
      </c>
      <c r="AL279" s="401" t="str">
        <f>IF(Calculation!BD285&gt;0,Calculation!BF285," ")</f>
        <v xml:space="preserve"> </v>
      </c>
      <c r="AM279" s="401" t="str">
        <f>IF(Calculation!BD285&gt;0,Calculation!BG285," ")</f>
        <v xml:space="preserve"> </v>
      </c>
      <c r="AN279" s="391" t="str">
        <f>IF(Calculation!BH285="N/A","N/A",Calculation!BH285)</f>
        <v xml:space="preserve"> </v>
      </c>
      <c r="AO279" s="402" t="str">
        <f>IF(Calculation!BI285="N/A","N/A",Calculation!BI285)</f>
        <v/>
      </c>
      <c r="AP279" s="391" t="str">
        <f>IF(Calculation!BJ285="N/A","N/A",Calculation!BJ285)</f>
        <v/>
      </c>
      <c r="AQ279" s="402" t="str">
        <f>IF(Calculation!BK285="N/A","N/A",Calculation!BK285)</f>
        <v/>
      </c>
      <c r="AR279" s="391" t="str">
        <f>IF(Calculation!BL285="N/A","N/A",Calculation!BL285)</f>
        <v/>
      </c>
      <c r="AS279" s="402" t="str">
        <f>IF(Calculation!BM285="N/A","N/A",Calculation!BM285)</f>
        <v/>
      </c>
      <c r="AT279" s="400"/>
    </row>
    <row r="280" spans="1:46">
      <c r="A280" s="224" t="str">
        <f>IF(Calculation!BN286="","",CONCATENATE(Calculation!BO286,"-",Calculation!R286,"-",Calculation!S286,"-",Calculation!T286,"-",Calculation!U286))</f>
        <v/>
      </c>
      <c r="B280" s="224">
        <v>265</v>
      </c>
      <c r="C280" s="629" t="str">
        <f>IF(A280="","",Calculation!B286)</f>
        <v/>
      </c>
      <c r="D280" s="386" t="str">
        <f>IF(A280="","",Calculation!L286)</f>
        <v/>
      </c>
      <c r="E280" s="387" t="str">
        <f>IF(A280="","",Calculation!J286)</f>
        <v/>
      </c>
      <c r="F280" s="387" t="str">
        <f>IF(A280="","",Calculation!C286)</f>
        <v/>
      </c>
      <c r="G280" s="387" t="str">
        <f>IF(A280="","",LEFT(Calculation!O286,6))</f>
        <v/>
      </c>
      <c r="H280" s="388" t="str">
        <f>IF(A280="","",Calculation!DX286)</f>
        <v/>
      </c>
      <c r="I280" s="387" t="str">
        <f>IF(A280="","",Calculation!P286)</f>
        <v/>
      </c>
      <c r="J280" s="387" t="str">
        <f>IF(A280="","",HLOOKUP(LEFT(Calculation!BO286,7),LookUps!$C$38:$M$41,4))</f>
        <v/>
      </c>
      <c r="K280" s="387" t="str">
        <f>IF(A280="","",Calculation!M286)</f>
        <v/>
      </c>
      <c r="L280" s="387" t="str">
        <f>IF(A280="","",Calculation!S286)</f>
        <v/>
      </c>
      <c r="M280" s="389" t="str">
        <f>IF(A280="","",Calculation!N286)</f>
        <v/>
      </c>
      <c r="N280" s="390" t="str">
        <f>IF(A280="","",Calculation!R286)</f>
        <v/>
      </c>
      <c r="O280" s="391" t="str">
        <f>IF(A280="","",Calculation!$F$6)</f>
        <v/>
      </c>
      <c r="P280" s="392" t="str">
        <f>IF(A280="","",Calculation!$F$7)</f>
        <v/>
      </c>
      <c r="Q280" s="393" t="str">
        <f>IF(A280="","",Calculation!$F$13)</f>
        <v/>
      </c>
      <c r="R280" s="394" t="str">
        <f>IF(A280="","",Calculation!X286)</f>
        <v/>
      </c>
      <c r="S280" s="393" t="str">
        <f>IF(A280="","",Calculation!T286)</f>
        <v/>
      </c>
      <c r="T280" s="395" t="str">
        <f>IF(A280="","",IF(Calculation!$O$8="None","Water",CONCATENATE(Calculation!$O$8,"-",Calculation!$S$8,"%")))</f>
        <v/>
      </c>
      <c r="U280" s="393" t="str">
        <f>IF(A280="","",Calculation!$P$6)</f>
        <v/>
      </c>
      <c r="V280" s="393" t="str">
        <f>IF(A280="","",Calculation!AT286)</f>
        <v/>
      </c>
      <c r="W280" s="396" t="str">
        <f>IF(A280="","",Calculation!AP286)</f>
        <v/>
      </c>
      <c r="X280" s="396" t="str">
        <f>IF(A280="","",Calculation!AO286)</f>
        <v/>
      </c>
      <c r="Y280" s="396" t="str">
        <f>IF(A280="","",Calculation!AQ286)</f>
        <v/>
      </c>
      <c r="Z280" s="396" t="str">
        <f>IF(A280="","",Calculation!$H$6)</f>
        <v/>
      </c>
      <c r="AA280" s="397" t="str">
        <f>IF(A280="","",Calculation!$H$13)</f>
        <v/>
      </c>
      <c r="AB280" s="397" t="str">
        <f>IF(A280="","",Calculation!U286)</f>
        <v/>
      </c>
      <c r="AC280" s="398" t="str">
        <f>IF(A280="","",IF(Calculation!$O$9="None","Water",CONCATENATE(Calculation!$O$9,"-",Calculation!$S$9,"%")))</f>
        <v/>
      </c>
      <c r="AD280" s="396" t="str">
        <f>IF(A280="","",Calculation!$S$6)</f>
        <v/>
      </c>
      <c r="AE280" s="399" t="str">
        <f>IF(A280="","",Calculation!BA286)</f>
        <v/>
      </c>
      <c r="AF280" s="396" t="str">
        <f>IF(A280="","",Calculation!AX286)</f>
        <v/>
      </c>
      <c r="AG280" s="396" t="str">
        <f>IF(A280="","",Calculation!AW286)</f>
        <v/>
      </c>
      <c r="AH280" s="391" t="str">
        <f>IF(A280="","",Calculation!AY286)</f>
        <v/>
      </c>
      <c r="AI280" s="391" t="str">
        <f>IF(A280="","",Calculation!Y286)</f>
        <v/>
      </c>
      <c r="AJ280" s="401" t="str">
        <f>IF(Calculation!BD286&gt;0,Calculation!BD286," ")</f>
        <v xml:space="preserve"> </v>
      </c>
      <c r="AK280" s="401" t="str">
        <f>IF(Calculation!BD286&gt;0,Calculation!BE286," ")</f>
        <v xml:space="preserve"> </v>
      </c>
      <c r="AL280" s="401" t="str">
        <f>IF(Calculation!BD286&gt;0,Calculation!BF286," ")</f>
        <v xml:space="preserve"> </v>
      </c>
      <c r="AM280" s="401" t="str">
        <f>IF(Calculation!BD286&gt;0,Calculation!BG286," ")</f>
        <v xml:space="preserve"> </v>
      </c>
      <c r="AN280" s="391" t="str">
        <f>IF(Calculation!BH286="N/A","N/A",Calculation!BH286)</f>
        <v xml:space="preserve"> </v>
      </c>
      <c r="AO280" s="402" t="str">
        <f>IF(Calculation!BI286="N/A","N/A",Calculation!BI286)</f>
        <v/>
      </c>
      <c r="AP280" s="391" t="str">
        <f>IF(Calculation!BJ286="N/A","N/A",Calculation!BJ286)</f>
        <v/>
      </c>
      <c r="AQ280" s="402" t="str">
        <f>IF(Calculation!BK286="N/A","N/A",Calculation!BK286)</f>
        <v/>
      </c>
      <c r="AR280" s="391" t="str">
        <f>IF(Calculation!BL286="N/A","N/A",Calculation!BL286)</f>
        <v/>
      </c>
      <c r="AS280" s="402" t="str">
        <f>IF(Calculation!BM286="N/A","N/A",Calculation!BM286)</f>
        <v/>
      </c>
      <c r="AT280" s="400"/>
    </row>
    <row r="281" spans="1:46">
      <c r="A281" s="224" t="str">
        <f>IF(Calculation!BN287="","",CONCATENATE(Calculation!BO287,"-",Calculation!R287,"-",Calculation!S287,"-",Calculation!T287,"-",Calculation!U287))</f>
        <v/>
      </c>
      <c r="B281" s="224">
        <v>266</v>
      </c>
      <c r="C281" s="629" t="str">
        <f>IF(A281="","",Calculation!B287)</f>
        <v/>
      </c>
      <c r="D281" s="386" t="str">
        <f>IF(A281="","",Calculation!L287)</f>
        <v/>
      </c>
      <c r="E281" s="387" t="str">
        <f>IF(A281="","",Calculation!J287)</f>
        <v/>
      </c>
      <c r="F281" s="387" t="str">
        <f>IF(A281="","",Calculation!C287)</f>
        <v/>
      </c>
      <c r="G281" s="387" t="str">
        <f>IF(A281="","",LEFT(Calculation!O287,6))</f>
        <v/>
      </c>
      <c r="H281" s="388" t="str">
        <f>IF(A281="","",Calculation!DX287)</f>
        <v/>
      </c>
      <c r="I281" s="387" t="str">
        <f>IF(A281="","",Calculation!P287)</f>
        <v/>
      </c>
      <c r="J281" s="387" t="str">
        <f>IF(A281="","",HLOOKUP(LEFT(Calculation!BO287,7),LookUps!$C$38:$M$41,4))</f>
        <v/>
      </c>
      <c r="K281" s="387" t="str">
        <f>IF(A281="","",Calculation!M287)</f>
        <v/>
      </c>
      <c r="L281" s="387" t="str">
        <f>IF(A281="","",Calculation!S287)</f>
        <v/>
      </c>
      <c r="M281" s="389" t="str">
        <f>IF(A281="","",Calculation!N287)</f>
        <v/>
      </c>
      <c r="N281" s="390" t="str">
        <f>IF(A281="","",Calculation!R287)</f>
        <v/>
      </c>
      <c r="O281" s="391" t="str">
        <f>IF(A281="","",Calculation!$F$6)</f>
        <v/>
      </c>
      <c r="P281" s="392" t="str">
        <f>IF(A281="","",Calculation!$F$7)</f>
        <v/>
      </c>
      <c r="Q281" s="393" t="str">
        <f>IF(A281="","",Calculation!$F$13)</f>
        <v/>
      </c>
      <c r="R281" s="394" t="str">
        <f>IF(A281="","",Calculation!X287)</f>
        <v/>
      </c>
      <c r="S281" s="393" t="str">
        <f>IF(A281="","",Calculation!T287)</f>
        <v/>
      </c>
      <c r="T281" s="395" t="str">
        <f>IF(A281="","",IF(Calculation!$O$8="None","Water",CONCATENATE(Calculation!$O$8,"-",Calculation!$S$8,"%")))</f>
        <v/>
      </c>
      <c r="U281" s="393" t="str">
        <f>IF(A281="","",Calculation!$P$6)</f>
        <v/>
      </c>
      <c r="V281" s="393" t="str">
        <f>IF(A281="","",Calculation!AT287)</f>
        <v/>
      </c>
      <c r="W281" s="396" t="str">
        <f>IF(A281="","",Calculation!AP287)</f>
        <v/>
      </c>
      <c r="X281" s="396" t="str">
        <f>IF(A281="","",Calculation!AO287)</f>
        <v/>
      </c>
      <c r="Y281" s="396" t="str">
        <f>IF(A281="","",Calculation!AQ287)</f>
        <v/>
      </c>
      <c r="Z281" s="396" t="str">
        <f>IF(A281="","",Calculation!$H$6)</f>
        <v/>
      </c>
      <c r="AA281" s="397" t="str">
        <f>IF(A281="","",Calculation!$H$13)</f>
        <v/>
      </c>
      <c r="AB281" s="397" t="str">
        <f>IF(A281="","",Calculation!U287)</f>
        <v/>
      </c>
      <c r="AC281" s="398" t="str">
        <f>IF(A281="","",IF(Calculation!$O$9="None","Water",CONCATENATE(Calculation!$O$9,"-",Calculation!$S$9,"%")))</f>
        <v/>
      </c>
      <c r="AD281" s="396" t="str">
        <f>IF(A281="","",Calculation!$S$6)</f>
        <v/>
      </c>
      <c r="AE281" s="399" t="str">
        <f>IF(A281="","",Calculation!BA287)</f>
        <v/>
      </c>
      <c r="AF281" s="396" t="str">
        <f>IF(A281="","",Calculation!AX287)</f>
        <v/>
      </c>
      <c r="AG281" s="396" t="str">
        <f>IF(A281="","",Calculation!AW287)</f>
        <v/>
      </c>
      <c r="AH281" s="391" t="str">
        <f>IF(A281="","",Calculation!AY287)</f>
        <v/>
      </c>
      <c r="AI281" s="391" t="str">
        <f>IF(A281="","",Calculation!Y287)</f>
        <v/>
      </c>
      <c r="AJ281" s="401" t="str">
        <f>IF(Calculation!BD287&gt;0,Calculation!BD287," ")</f>
        <v xml:space="preserve"> </v>
      </c>
      <c r="AK281" s="401" t="str">
        <f>IF(Calculation!BD287&gt;0,Calculation!BE287," ")</f>
        <v xml:space="preserve"> </v>
      </c>
      <c r="AL281" s="401" t="str">
        <f>IF(Calculation!BD287&gt;0,Calculation!BF287," ")</f>
        <v xml:space="preserve"> </v>
      </c>
      <c r="AM281" s="401" t="str">
        <f>IF(Calculation!BD287&gt;0,Calculation!BG287," ")</f>
        <v xml:space="preserve"> </v>
      </c>
      <c r="AN281" s="391" t="str">
        <f>IF(Calculation!BH287="N/A","N/A",Calculation!BH287)</f>
        <v xml:space="preserve"> </v>
      </c>
      <c r="AO281" s="402" t="str">
        <f>IF(Calculation!BI287="N/A","N/A",Calculation!BI287)</f>
        <v/>
      </c>
      <c r="AP281" s="391" t="str">
        <f>IF(Calculation!BJ287="N/A","N/A",Calculation!BJ287)</f>
        <v/>
      </c>
      <c r="AQ281" s="402" t="str">
        <f>IF(Calculation!BK287="N/A","N/A",Calculation!BK287)</f>
        <v/>
      </c>
      <c r="AR281" s="391" t="str">
        <f>IF(Calculation!BL287="N/A","N/A",Calculation!BL287)</f>
        <v/>
      </c>
      <c r="AS281" s="402" t="str">
        <f>IF(Calculation!BM287="N/A","N/A",Calculation!BM287)</f>
        <v/>
      </c>
      <c r="AT281" s="400"/>
    </row>
    <row r="282" spans="1:46">
      <c r="A282" s="224" t="str">
        <f>IF(Calculation!BN288="","",CONCATENATE(Calculation!BO288,"-",Calculation!R288,"-",Calculation!S288,"-",Calculation!T288,"-",Calculation!U288))</f>
        <v/>
      </c>
      <c r="B282" s="224">
        <v>267</v>
      </c>
      <c r="C282" s="629" t="str">
        <f>IF(A282="","",Calculation!B288)</f>
        <v/>
      </c>
      <c r="D282" s="386" t="str">
        <f>IF(A282="","",Calculation!L288)</f>
        <v/>
      </c>
      <c r="E282" s="387" t="str">
        <f>IF(A282="","",Calculation!J288)</f>
        <v/>
      </c>
      <c r="F282" s="387" t="str">
        <f>IF(A282="","",Calculation!C288)</f>
        <v/>
      </c>
      <c r="G282" s="387" t="str">
        <f>IF(A282="","",LEFT(Calculation!O288,6))</f>
        <v/>
      </c>
      <c r="H282" s="388" t="str">
        <f>IF(A282="","",Calculation!DX288)</f>
        <v/>
      </c>
      <c r="I282" s="387" t="str">
        <f>IF(A282="","",Calculation!P288)</f>
        <v/>
      </c>
      <c r="J282" s="387" t="str">
        <f>IF(A282="","",HLOOKUP(LEFT(Calculation!BO288,7),LookUps!$C$38:$M$41,4))</f>
        <v/>
      </c>
      <c r="K282" s="387" t="str">
        <f>IF(A282="","",Calculation!M288)</f>
        <v/>
      </c>
      <c r="L282" s="387" t="str">
        <f>IF(A282="","",Calculation!S288)</f>
        <v/>
      </c>
      <c r="M282" s="389" t="str">
        <f>IF(A282="","",Calculation!N288)</f>
        <v/>
      </c>
      <c r="N282" s="390" t="str">
        <f>IF(A282="","",Calculation!R288)</f>
        <v/>
      </c>
      <c r="O282" s="391" t="str">
        <f>IF(A282="","",Calculation!$F$6)</f>
        <v/>
      </c>
      <c r="P282" s="392" t="str">
        <f>IF(A282="","",Calculation!$F$7)</f>
        <v/>
      </c>
      <c r="Q282" s="393" t="str">
        <f>IF(A282="","",Calculation!$F$13)</f>
        <v/>
      </c>
      <c r="R282" s="394" t="str">
        <f>IF(A282="","",Calculation!X288)</f>
        <v/>
      </c>
      <c r="S282" s="393" t="str">
        <f>IF(A282="","",Calculation!T288)</f>
        <v/>
      </c>
      <c r="T282" s="395" t="str">
        <f>IF(A282="","",IF(Calculation!$O$8="None","Water",CONCATENATE(Calculation!$O$8,"-",Calculation!$S$8,"%")))</f>
        <v/>
      </c>
      <c r="U282" s="393" t="str">
        <f>IF(A282="","",Calculation!$P$6)</f>
        <v/>
      </c>
      <c r="V282" s="393" t="str">
        <f>IF(A282="","",Calculation!AT288)</f>
        <v/>
      </c>
      <c r="W282" s="396" t="str">
        <f>IF(A282="","",Calculation!AP288)</f>
        <v/>
      </c>
      <c r="X282" s="396" t="str">
        <f>IF(A282="","",Calculation!AO288)</f>
        <v/>
      </c>
      <c r="Y282" s="396" t="str">
        <f>IF(A282="","",Calculation!AQ288)</f>
        <v/>
      </c>
      <c r="Z282" s="396" t="str">
        <f>IF(A282="","",Calculation!$H$6)</f>
        <v/>
      </c>
      <c r="AA282" s="397" t="str">
        <f>IF(A282="","",Calculation!$H$13)</f>
        <v/>
      </c>
      <c r="AB282" s="397" t="str">
        <f>IF(A282="","",Calculation!U288)</f>
        <v/>
      </c>
      <c r="AC282" s="398" t="str">
        <f>IF(A282="","",IF(Calculation!$O$9="None","Water",CONCATENATE(Calculation!$O$9,"-",Calculation!$S$9,"%")))</f>
        <v/>
      </c>
      <c r="AD282" s="396" t="str">
        <f>IF(A282="","",Calculation!$S$6)</f>
        <v/>
      </c>
      <c r="AE282" s="399" t="str">
        <f>IF(A282="","",Calculation!BA288)</f>
        <v/>
      </c>
      <c r="AF282" s="396" t="str">
        <f>IF(A282="","",Calculation!AX288)</f>
        <v/>
      </c>
      <c r="AG282" s="396" t="str">
        <f>IF(A282="","",Calculation!AW288)</f>
        <v/>
      </c>
      <c r="AH282" s="391" t="str">
        <f>IF(A282="","",Calculation!AY288)</f>
        <v/>
      </c>
      <c r="AI282" s="391" t="str">
        <f>IF(A282="","",Calculation!Y288)</f>
        <v/>
      </c>
      <c r="AJ282" s="401" t="str">
        <f>IF(Calculation!BD288&gt;0,Calculation!BD288," ")</f>
        <v xml:space="preserve"> </v>
      </c>
      <c r="AK282" s="401" t="str">
        <f>IF(Calculation!BD288&gt;0,Calculation!BE288," ")</f>
        <v xml:space="preserve"> </v>
      </c>
      <c r="AL282" s="401" t="str">
        <f>IF(Calculation!BD288&gt;0,Calculation!BF288," ")</f>
        <v xml:space="preserve"> </v>
      </c>
      <c r="AM282" s="401" t="str">
        <f>IF(Calculation!BD288&gt;0,Calculation!BG288," ")</f>
        <v xml:space="preserve"> </v>
      </c>
      <c r="AN282" s="391" t="str">
        <f>IF(Calculation!BH288="N/A","N/A",Calculation!BH288)</f>
        <v xml:space="preserve"> </v>
      </c>
      <c r="AO282" s="402" t="str">
        <f>IF(Calculation!BI288="N/A","N/A",Calculation!BI288)</f>
        <v/>
      </c>
      <c r="AP282" s="391" t="str">
        <f>IF(Calculation!BJ288="N/A","N/A",Calculation!BJ288)</f>
        <v/>
      </c>
      <c r="AQ282" s="402" t="str">
        <f>IF(Calculation!BK288="N/A","N/A",Calculation!BK288)</f>
        <v/>
      </c>
      <c r="AR282" s="391" t="str">
        <f>IF(Calculation!BL288="N/A","N/A",Calculation!BL288)</f>
        <v/>
      </c>
      <c r="AS282" s="402" t="str">
        <f>IF(Calculation!BM288="N/A","N/A",Calculation!BM288)</f>
        <v/>
      </c>
      <c r="AT282" s="400"/>
    </row>
    <row r="283" spans="1:46">
      <c r="A283" s="224" t="str">
        <f>IF(Calculation!BN289="","",CONCATENATE(Calculation!BO289,"-",Calculation!R289,"-",Calculation!S289,"-",Calculation!T289,"-",Calculation!U289))</f>
        <v/>
      </c>
      <c r="B283" s="224">
        <v>268</v>
      </c>
      <c r="C283" s="629" t="str">
        <f>IF(A283="","",Calculation!B289)</f>
        <v/>
      </c>
      <c r="D283" s="386" t="str">
        <f>IF(A283="","",Calculation!L289)</f>
        <v/>
      </c>
      <c r="E283" s="387" t="str">
        <f>IF(A283="","",Calculation!J289)</f>
        <v/>
      </c>
      <c r="F283" s="387" t="str">
        <f>IF(A283="","",Calculation!C289)</f>
        <v/>
      </c>
      <c r="G283" s="387" t="str">
        <f>IF(A283="","",LEFT(Calculation!O289,6))</f>
        <v/>
      </c>
      <c r="H283" s="388" t="str">
        <f>IF(A283="","",Calculation!DX289)</f>
        <v/>
      </c>
      <c r="I283" s="387" t="str">
        <f>IF(A283="","",Calculation!P289)</f>
        <v/>
      </c>
      <c r="J283" s="387" t="str">
        <f>IF(A283="","",HLOOKUP(LEFT(Calculation!BO289,7),LookUps!$C$38:$M$41,4))</f>
        <v/>
      </c>
      <c r="K283" s="387" t="str">
        <f>IF(A283="","",Calculation!M289)</f>
        <v/>
      </c>
      <c r="L283" s="387" t="str">
        <f>IF(A283="","",Calculation!S289)</f>
        <v/>
      </c>
      <c r="M283" s="389" t="str">
        <f>IF(A283="","",Calculation!N289)</f>
        <v/>
      </c>
      <c r="N283" s="390" t="str">
        <f>IF(A283="","",Calculation!R289)</f>
        <v/>
      </c>
      <c r="O283" s="391" t="str">
        <f>IF(A283="","",Calculation!$F$6)</f>
        <v/>
      </c>
      <c r="P283" s="392" t="str">
        <f>IF(A283="","",Calculation!$F$7)</f>
        <v/>
      </c>
      <c r="Q283" s="393" t="str">
        <f>IF(A283="","",Calculation!$F$13)</f>
        <v/>
      </c>
      <c r="R283" s="394" t="str">
        <f>IF(A283="","",Calculation!X289)</f>
        <v/>
      </c>
      <c r="S283" s="393" t="str">
        <f>IF(A283="","",Calculation!T289)</f>
        <v/>
      </c>
      <c r="T283" s="395" t="str">
        <f>IF(A283="","",IF(Calculation!$O$8="None","Water",CONCATENATE(Calculation!$O$8,"-",Calculation!$S$8,"%")))</f>
        <v/>
      </c>
      <c r="U283" s="393" t="str">
        <f>IF(A283="","",Calculation!$P$6)</f>
        <v/>
      </c>
      <c r="V283" s="393" t="str">
        <f>IF(A283="","",Calculation!AT289)</f>
        <v/>
      </c>
      <c r="W283" s="396" t="str">
        <f>IF(A283="","",Calculation!AP289)</f>
        <v/>
      </c>
      <c r="X283" s="396" t="str">
        <f>IF(A283="","",Calculation!AO289)</f>
        <v/>
      </c>
      <c r="Y283" s="396" t="str">
        <f>IF(A283="","",Calculation!AQ289)</f>
        <v/>
      </c>
      <c r="Z283" s="396" t="str">
        <f>IF(A283="","",Calculation!$H$6)</f>
        <v/>
      </c>
      <c r="AA283" s="397" t="str">
        <f>IF(A283="","",Calculation!$H$13)</f>
        <v/>
      </c>
      <c r="AB283" s="397" t="str">
        <f>IF(A283="","",Calculation!U289)</f>
        <v/>
      </c>
      <c r="AC283" s="398" t="str">
        <f>IF(A283="","",IF(Calculation!$O$9="None","Water",CONCATENATE(Calculation!$O$9,"-",Calculation!$S$9,"%")))</f>
        <v/>
      </c>
      <c r="AD283" s="396" t="str">
        <f>IF(A283="","",Calculation!$S$6)</f>
        <v/>
      </c>
      <c r="AE283" s="399" t="str">
        <f>IF(A283="","",Calculation!BA289)</f>
        <v/>
      </c>
      <c r="AF283" s="396" t="str">
        <f>IF(A283="","",Calculation!AX289)</f>
        <v/>
      </c>
      <c r="AG283" s="396" t="str">
        <f>IF(A283="","",Calculation!AW289)</f>
        <v/>
      </c>
      <c r="AH283" s="391" t="str">
        <f>IF(A283="","",Calculation!AY289)</f>
        <v/>
      </c>
      <c r="AI283" s="391" t="str">
        <f>IF(A283="","",Calculation!Y289)</f>
        <v/>
      </c>
      <c r="AJ283" s="401" t="str">
        <f>IF(Calculation!BD289&gt;0,Calculation!BD289," ")</f>
        <v xml:space="preserve"> </v>
      </c>
      <c r="AK283" s="401" t="str">
        <f>IF(Calculation!BD289&gt;0,Calculation!BE289," ")</f>
        <v xml:space="preserve"> </v>
      </c>
      <c r="AL283" s="401" t="str">
        <f>IF(Calculation!BD289&gt;0,Calculation!BF289," ")</f>
        <v xml:space="preserve"> </v>
      </c>
      <c r="AM283" s="401" t="str">
        <f>IF(Calculation!BD289&gt;0,Calculation!BG289," ")</f>
        <v xml:space="preserve"> </v>
      </c>
      <c r="AN283" s="391" t="str">
        <f>IF(Calculation!BH289="N/A","N/A",Calculation!BH289)</f>
        <v xml:space="preserve"> </v>
      </c>
      <c r="AO283" s="402" t="str">
        <f>IF(Calculation!BI289="N/A","N/A",Calculation!BI289)</f>
        <v/>
      </c>
      <c r="AP283" s="391" t="str">
        <f>IF(Calculation!BJ289="N/A","N/A",Calculation!BJ289)</f>
        <v/>
      </c>
      <c r="AQ283" s="402" t="str">
        <f>IF(Calculation!BK289="N/A","N/A",Calculation!BK289)</f>
        <v/>
      </c>
      <c r="AR283" s="391" t="str">
        <f>IF(Calculation!BL289="N/A","N/A",Calculation!BL289)</f>
        <v/>
      </c>
      <c r="AS283" s="402" t="str">
        <f>IF(Calculation!BM289="N/A","N/A",Calculation!BM289)</f>
        <v/>
      </c>
      <c r="AT283" s="400"/>
    </row>
    <row r="284" spans="1:46">
      <c r="A284" s="224" t="str">
        <f>IF(Calculation!BN290="","",CONCATENATE(Calculation!BO290,"-",Calculation!R290,"-",Calculation!S290,"-",Calculation!T290,"-",Calculation!U290))</f>
        <v/>
      </c>
      <c r="B284" s="224">
        <v>269</v>
      </c>
      <c r="C284" s="629" t="str">
        <f>IF(A284="","",Calculation!B290)</f>
        <v/>
      </c>
      <c r="D284" s="386" t="str">
        <f>IF(A284="","",Calculation!L290)</f>
        <v/>
      </c>
      <c r="E284" s="387" t="str">
        <f>IF(A284="","",Calculation!J290)</f>
        <v/>
      </c>
      <c r="F284" s="387" t="str">
        <f>IF(A284="","",Calculation!C290)</f>
        <v/>
      </c>
      <c r="G284" s="387" t="str">
        <f>IF(A284="","",LEFT(Calculation!O290,6))</f>
        <v/>
      </c>
      <c r="H284" s="388" t="str">
        <f>IF(A284="","",Calculation!DX290)</f>
        <v/>
      </c>
      <c r="I284" s="387" t="str">
        <f>IF(A284="","",Calculation!P290)</f>
        <v/>
      </c>
      <c r="J284" s="387" t="str">
        <f>IF(A284="","",HLOOKUP(LEFT(Calculation!BO290,7),LookUps!$C$38:$M$41,4))</f>
        <v/>
      </c>
      <c r="K284" s="387" t="str">
        <f>IF(A284="","",Calculation!M290)</f>
        <v/>
      </c>
      <c r="L284" s="387" t="str">
        <f>IF(A284="","",Calculation!S290)</f>
        <v/>
      </c>
      <c r="M284" s="389" t="str">
        <f>IF(A284="","",Calculation!N290)</f>
        <v/>
      </c>
      <c r="N284" s="390" t="str">
        <f>IF(A284="","",Calculation!R290)</f>
        <v/>
      </c>
      <c r="O284" s="391" t="str">
        <f>IF(A284="","",Calculation!$F$6)</f>
        <v/>
      </c>
      <c r="P284" s="392" t="str">
        <f>IF(A284="","",Calculation!$F$7)</f>
        <v/>
      </c>
      <c r="Q284" s="393" t="str">
        <f>IF(A284="","",Calculation!$F$13)</f>
        <v/>
      </c>
      <c r="R284" s="394" t="str">
        <f>IF(A284="","",Calculation!X290)</f>
        <v/>
      </c>
      <c r="S284" s="393" t="str">
        <f>IF(A284="","",Calculation!T290)</f>
        <v/>
      </c>
      <c r="T284" s="395" t="str">
        <f>IF(A284="","",IF(Calculation!$O$8="None","Water",CONCATENATE(Calculation!$O$8,"-",Calculation!$S$8,"%")))</f>
        <v/>
      </c>
      <c r="U284" s="393" t="str">
        <f>IF(A284="","",Calculation!$P$6)</f>
        <v/>
      </c>
      <c r="V284" s="393" t="str">
        <f>IF(A284="","",Calculation!AT290)</f>
        <v/>
      </c>
      <c r="W284" s="396" t="str">
        <f>IF(A284="","",Calculation!AP290)</f>
        <v/>
      </c>
      <c r="X284" s="396" t="str">
        <f>IF(A284="","",Calculation!AO290)</f>
        <v/>
      </c>
      <c r="Y284" s="396" t="str">
        <f>IF(A284="","",Calculation!AQ290)</f>
        <v/>
      </c>
      <c r="Z284" s="396" t="str">
        <f>IF(A284="","",Calculation!$H$6)</f>
        <v/>
      </c>
      <c r="AA284" s="397" t="str">
        <f>IF(A284="","",Calculation!$H$13)</f>
        <v/>
      </c>
      <c r="AB284" s="397" t="str">
        <f>IF(A284="","",Calculation!U290)</f>
        <v/>
      </c>
      <c r="AC284" s="398" t="str">
        <f>IF(A284="","",IF(Calculation!$O$9="None","Water",CONCATENATE(Calculation!$O$9,"-",Calculation!$S$9,"%")))</f>
        <v/>
      </c>
      <c r="AD284" s="396" t="str">
        <f>IF(A284="","",Calculation!$S$6)</f>
        <v/>
      </c>
      <c r="AE284" s="399" t="str">
        <f>IF(A284="","",Calculation!BA290)</f>
        <v/>
      </c>
      <c r="AF284" s="396" t="str">
        <f>IF(A284="","",Calculation!AX290)</f>
        <v/>
      </c>
      <c r="AG284" s="396" t="str">
        <f>IF(A284="","",Calculation!AW290)</f>
        <v/>
      </c>
      <c r="AH284" s="391" t="str">
        <f>IF(A284="","",Calculation!AY290)</f>
        <v/>
      </c>
      <c r="AI284" s="391" t="str">
        <f>IF(A284="","",Calculation!Y290)</f>
        <v/>
      </c>
      <c r="AJ284" s="401" t="str">
        <f>IF(Calculation!BD290&gt;0,Calculation!BD290," ")</f>
        <v xml:space="preserve"> </v>
      </c>
      <c r="AK284" s="401" t="str">
        <f>IF(Calculation!BD290&gt;0,Calculation!BE290," ")</f>
        <v xml:space="preserve"> </v>
      </c>
      <c r="AL284" s="401" t="str">
        <f>IF(Calculation!BD290&gt;0,Calculation!BF290," ")</f>
        <v xml:space="preserve"> </v>
      </c>
      <c r="AM284" s="401" t="str">
        <f>IF(Calculation!BD290&gt;0,Calculation!BG290," ")</f>
        <v xml:space="preserve"> </v>
      </c>
      <c r="AN284" s="391" t="str">
        <f>IF(Calculation!BH290="N/A","N/A",Calculation!BH290)</f>
        <v xml:space="preserve"> </v>
      </c>
      <c r="AO284" s="402" t="str">
        <f>IF(Calculation!BI290="N/A","N/A",Calculation!BI290)</f>
        <v/>
      </c>
      <c r="AP284" s="391" t="str">
        <f>IF(Calculation!BJ290="N/A","N/A",Calculation!BJ290)</f>
        <v/>
      </c>
      <c r="AQ284" s="402" t="str">
        <f>IF(Calculation!BK290="N/A","N/A",Calculation!BK290)</f>
        <v/>
      </c>
      <c r="AR284" s="391" t="str">
        <f>IF(Calculation!BL290="N/A","N/A",Calculation!BL290)</f>
        <v/>
      </c>
      <c r="AS284" s="402" t="str">
        <f>IF(Calculation!BM290="N/A","N/A",Calculation!BM290)</f>
        <v/>
      </c>
      <c r="AT284" s="400"/>
    </row>
    <row r="285" spans="1:46">
      <c r="A285" s="224" t="str">
        <f>IF(Calculation!BN291="","",CONCATENATE(Calculation!BO291,"-",Calculation!R291,"-",Calculation!S291,"-",Calculation!T291,"-",Calculation!U291))</f>
        <v/>
      </c>
      <c r="B285" s="224">
        <v>270</v>
      </c>
      <c r="C285" s="629" t="str">
        <f>IF(A285="","",Calculation!B291)</f>
        <v/>
      </c>
      <c r="D285" s="386" t="str">
        <f>IF(A285="","",Calculation!L291)</f>
        <v/>
      </c>
      <c r="E285" s="387" t="str">
        <f>IF(A285="","",Calculation!J291)</f>
        <v/>
      </c>
      <c r="F285" s="387" t="str">
        <f>IF(A285="","",Calculation!C291)</f>
        <v/>
      </c>
      <c r="G285" s="387" t="str">
        <f>IF(A285="","",LEFT(Calculation!O291,6))</f>
        <v/>
      </c>
      <c r="H285" s="388" t="str">
        <f>IF(A285="","",Calculation!DX291)</f>
        <v/>
      </c>
      <c r="I285" s="387" t="str">
        <f>IF(A285="","",Calculation!P291)</f>
        <v/>
      </c>
      <c r="J285" s="387" t="str">
        <f>IF(A285="","",HLOOKUP(LEFT(Calculation!BO291,7),LookUps!$C$38:$M$41,4))</f>
        <v/>
      </c>
      <c r="K285" s="387" t="str">
        <f>IF(A285="","",Calculation!M291)</f>
        <v/>
      </c>
      <c r="L285" s="387" t="str">
        <f>IF(A285="","",Calculation!S291)</f>
        <v/>
      </c>
      <c r="M285" s="389" t="str">
        <f>IF(A285="","",Calculation!N291)</f>
        <v/>
      </c>
      <c r="N285" s="390" t="str">
        <f>IF(A285="","",Calculation!R291)</f>
        <v/>
      </c>
      <c r="O285" s="391" t="str">
        <f>IF(A285="","",Calculation!$F$6)</f>
        <v/>
      </c>
      <c r="P285" s="392" t="str">
        <f>IF(A285="","",Calculation!$F$7)</f>
        <v/>
      </c>
      <c r="Q285" s="393" t="str">
        <f>IF(A285="","",Calculation!$F$13)</f>
        <v/>
      </c>
      <c r="R285" s="394" t="str">
        <f>IF(A285="","",Calculation!X291)</f>
        <v/>
      </c>
      <c r="S285" s="393" t="str">
        <f>IF(A285="","",Calculation!T291)</f>
        <v/>
      </c>
      <c r="T285" s="395" t="str">
        <f>IF(A285="","",IF(Calculation!$O$8="None","Water",CONCATENATE(Calculation!$O$8,"-",Calculation!$S$8,"%")))</f>
        <v/>
      </c>
      <c r="U285" s="393" t="str">
        <f>IF(A285="","",Calculation!$P$6)</f>
        <v/>
      </c>
      <c r="V285" s="393" t="str">
        <f>IF(A285="","",Calculation!AT291)</f>
        <v/>
      </c>
      <c r="W285" s="396" t="str">
        <f>IF(A285="","",Calculation!AP291)</f>
        <v/>
      </c>
      <c r="X285" s="396" t="str">
        <f>IF(A285="","",Calculation!AO291)</f>
        <v/>
      </c>
      <c r="Y285" s="396" t="str">
        <f>IF(A285="","",Calculation!AQ291)</f>
        <v/>
      </c>
      <c r="Z285" s="396" t="str">
        <f>IF(A285="","",Calculation!$H$6)</f>
        <v/>
      </c>
      <c r="AA285" s="397" t="str">
        <f>IF(A285="","",Calculation!$H$13)</f>
        <v/>
      </c>
      <c r="AB285" s="397" t="str">
        <f>IF(A285="","",Calculation!U291)</f>
        <v/>
      </c>
      <c r="AC285" s="398" t="str">
        <f>IF(A285="","",IF(Calculation!$O$9="None","Water",CONCATENATE(Calculation!$O$9,"-",Calculation!$S$9,"%")))</f>
        <v/>
      </c>
      <c r="AD285" s="396" t="str">
        <f>IF(A285="","",Calculation!$S$6)</f>
        <v/>
      </c>
      <c r="AE285" s="399" t="str">
        <f>IF(A285="","",Calculation!BA291)</f>
        <v/>
      </c>
      <c r="AF285" s="396" t="str">
        <f>IF(A285="","",Calculation!AX291)</f>
        <v/>
      </c>
      <c r="AG285" s="396" t="str">
        <f>IF(A285="","",Calculation!AW291)</f>
        <v/>
      </c>
      <c r="AH285" s="391" t="str">
        <f>IF(A285="","",Calculation!AY291)</f>
        <v/>
      </c>
      <c r="AI285" s="391" t="str">
        <f>IF(A285="","",Calculation!Y291)</f>
        <v/>
      </c>
      <c r="AJ285" s="401" t="str">
        <f>IF(Calculation!BD291&gt;0,Calculation!BD291," ")</f>
        <v xml:space="preserve"> </v>
      </c>
      <c r="AK285" s="401" t="str">
        <f>IF(Calculation!BD291&gt;0,Calculation!BE291," ")</f>
        <v xml:space="preserve"> </v>
      </c>
      <c r="AL285" s="401" t="str">
        <f>IF(Calculation!BD291&gt;0,Calculation!BF291," ")</f>
        <v xml:space="preserve"> </v>
      </c>
      <c r="AM285" s="401" t="str">
        <f>IF(Calculation!BD291&gt;0,Calculation!BG291," ")</f>
        <v xml:space="preserve"> </v>
      </c>
      <c r="AN285" s="391" t="str">
        <f>IF(Calculation!BH291="N/A","N/A",Calculation!BH291)</f>
        <v xml:space="preserve"> </v>
      </c>
      <c r="AO285" s="402" t="str">
        <f>IF(Calculation!BI291="N/A","N/A",Calculation!BI291)</f>
        <v/>
      </c>
      <c r="AP285" s="391" t="str">
        <f>IF(Calculation!BJ291="N/A","N/A",Calculation!BJ291)</f>
        <v/>
      </c>
      <c r="AQ285" s="402" t="str">
        <f>IF(Calculation!BK291="N/A","N/A",Calculation!BK291)</f>
        <v/>
      </c>
      <c r="AR285" s="391" t="str">
        <f>IF(Calculation!BL291="N/A","N/A",Calculation!BL291)</f>
        <v/>
      </c>
      <c r="AS285" s="402" t="str">
        <f>IF(Calculation!BM291="N/A","N/A",Calculation!BM291)</f>
        <v/>
      </c>
      <c r="AT285" s="400"/>
    </row>
    <row r="286" spans="1:46">
      <c r="A286" s="224" t="str">
        <f>IF(Calculation!BN292="","",CONCATENATE(Calculation!BO292,"-",Calculation!R292,"-",Calculation!S292,"-",Calculation!T292,"-",Calculation!U292))</f>
        <v/>
      </c>
      <c r="B286" s="224">
        <v>271</v>
      </c>
      <c r="C286" s="629" t="str">
        <f>IF(A286="","",Calculation!B292)</f>
        <v/>
      </c>
      <c r="D286" s="386" t="str">
        <f>IF(A286="","",Calculation!L292)</f>
        <v/>
      </c>
      <c r="E286" s="387" t="str">
        <f>IF(A286="","",Calculation!J292)</f>
        <v/>
      </c>
      <c r="F286" s="387" t="str">
        <f>IF(A286="","",Calculation!C292)</f>
        <v/>
      </c>
      <c r="G286" s="387" t="str">
        <f>IF(A286="","",LEFT(Calculation!O292,6))</f>
        <v/>
      </c>
      <c r="H286" s="388" t="str">
        <f>IF(A286="","",Calculation!DX292)</f>
        <v/>
      </c>
      <c r="I286" s="387" t="str">
        <f>IF(A286="","",Calculation!P292)</f>
        <v/>
      </c>
      <c r="J286" s="387" t="str">
        <f>IF(A286="","",HLOOKUP(LEFT(Calculation!BO292,7),LookUps!$C$38:$M$41,4))</f>
        <v/>
      </c>
      <c r="K286" s="387" t="str">
        <f>IF(A286="","",Calculation!M292)</f>
        <v/>
      </c>
      <c r="L286" s="387" t="str">
        <f>IF(A286="","",Calculation!S292)</f>
        <v/>
      </c>
      <c r="M286" s="389" t="str">
        <f>IF(A286="","",Calculation!N292)</f>
        <v/>
      </c>
      <c r="N286" s="390" t="str">
        <f>IF(A286="","",Calculation!R292)</f>
        <v/>
      </c>
      <c r="O286" s="391" t="str">
        <f>IF(A286="","",Calculation!$F$6)</f>
        <v/>
      </c>
      <c r="P286" s="392" t="str">
        <f>IF(A286="","",Calculation!$F$7)</f>
        <v/>
      </c>
      <c r="Q286" s="393" t="str">
        <f>IF(A286="","",Calculation!$F$13)</f>
        <v/>
      </c>
      <c r="R286" s="394" t="str">
        <f>IF(A286="","",Calculation!X292)</f>
        <v/>
      </c>
      <c r="S286" s="393" t="str">
        <f>IF(A286="","",Calculation!T292)</f>
        <v/>
      </c>
      <c r="T286" s="395" t="str">
        <f>IF(A286="","",IF(Calculation!$O$8="None","Water",CONCATENATE(Calculation!$O$8,"-",Calculation!$S$8,"%")))</f>
        <v/>
      </c>
      <c r="U286" s="393" t="str">
        <f>IF(A286="","",Calculation!$P$6)</f>
        <v/>
      </c>
      <c r="V286" s="393" t="str">
        <f>IF(A286="","",Calculation!AT292)</f>
        <v/>
      </c>
      <c r="W286" s="396" t="str">
        <f>IF(A286="","",Calculation!AP292)</f>
        <v/>
      </c>
      <c r="X286" s="396" t="str">
        <f>IF(A286="","",Calculation!AO292)</f>
        <v/>
      </c>
      <c r="Y286" s="396" t="str">
        <f>IF(A286="","",Calculation!AQ292)</f>
        <v/>
      </c>
      <c r="Z286" s="396" t="str">
        <f>IF(A286="","",Calculation!$H$6)</f>
        <v/>
      </c>
      <c r="AA286" s="397" t="str">
        <f>IF(A286="","",Calculation!$H$13)</f>
        <v/>
      </c>
      <c r="AB286" s="397" t="str">
        <f>IF(A286="","",Calculation!U292)</f>
        <v/>
      </c>
      <c r="AC286" s="398" t="str">
        <f>IF(A286="","",IF(Calculation!$O$9="None","Water",CONCATENATE(Calculation!$O$9,"-",Calculation!$S$9,"%")))</f>
        <v/>
      </c>
      <c r="AD286" s="396" t="str">
        <f>IF(A286="","",Calculation!$S$6)</f>
        <v/>
      </c>
      <c r="AE286" s="399" t="str">
        <f>IF(A286="","",Calculation!BA292)</f>
        <v/>
      </c>
      <c r="AF286" s="396" t="str">
        <f>IF(A286="","",Calculation!AX292)</f>
        <v/>
      </c>
      <c r="AG286" s="396" t="str">
        <f>IF(A286="","",Calculation!AW292)</f>
        <v/>
      </c>
      <c r="AH286" s="391" t="str">
        <f>IF(A286="","",Calculation!AY292)</f>
        <v/>
      </c>
      <c r="AI286" s="391" t="str">
        <f>IF(A286="","",Calculation!Y292)</f>
        <v/>
      </c>
      <c r="AJ286" s="401" t="str">
        <f>IF(Calculation!BD292&gt;0,Calculation!BD292," ")</f>
        <v xml:space="preserve"> </v>
      </c>
      <c r="AK286" s="401" t="str">
        <f>IF(Calculation!BD292&gt;0,Calculation!BE292," ")</f>
        <v xml:space="preserve"> </v>
      </c>
      <c r="AL286" s="401" t="str">
        <f>IF(Calculation!BD292&gt;0,Calculation!BF292," ")</f>
        <v xml:space="preserve"> </v>
      </c>
      <c r="AM286" s="401" t="str">
        <f>IF(Calculation!BD292&gt;0,Calculation!BG292," ")</f>
        <v xml:space="preserve"> </v>
      </c>
      <c r="AN286" s="391" t="str">
        <f>IF(Calculation!BH292="N/A","N/A",Calculation!BH292)</f>
        <v xml:space="preserve"> </v>
      </c>
      <c r="AO286" s="402" t="str">
        <f>IF(Calculation!BI292="N/A","N/A",Calculation!BI292)</f>
        <v/>
      </c>
      <c r="AP286" s="391" t="str">
        <f>IF(Calculation!BJ292="N/A","N/A",Calculation!BJ292)</f>
        <v/>
      </c>
      <c r="AQ286" s="402" t="str">
        <f>IF(Calculation!BK292="N/A","N/A",Calculation!BK292)</f>
        <v/>
      </c>
      <c r="AR286" s="391" t="str">
        <f>IF(Calculation!BL292="N/A","N/A",Calculation!BL292)</f>
        <v/>
      </c>
      <c r="AS286" s="402" t="str">
        <f>IF(Calculation!BM292="N/A","N/A",Calculation!BM292)</f>
        <v/>
      </c>
      <c r="AT286" s="400"/>
    </row>
    <row r="287" spans="1:46">
      <c r="A287" s="224" t="str">
        <f>IF(Calculation!BN293="","",CONCATENATE(Calculation!BO293,"-",Calculation!R293,"-",Calculation!S293,"-",Calculation!T293,"-",Calculation!U293))</f>
        <v/>
      </c>
      <c r="B287" s="224">
        <v>272</v>
      </c>
      <c r="C287" s="629" t="str">
        <f>IF(A287="","",Calculation!B293)</f>
        <v/>
      </c>
      <c r="D287" s="386" t="str">
        <f>IF(A287="","",Calculation!L293)</f>
        <v/>
      </c>
      <c r="E287" s="387" t="str">
        <f>IF(A287="","",Calculation!J293)</f>
        <v/>
      </c>
      <c r="F287" s="387" t="str">
        <f>IF(A287="","",Calculation!C293)</f>
        <v/>
      </c>
      <c r="G287" s="387" t="str">
        <f>IF(A287="","",LEFT(Calculation!O293,6))</f>
        <v/>
      </c>
      <c r="H287" s="388" t="str">
        <f>IF(A287="","",Calculation!DX293)</f>
        <v/>
      </c>
      <c r="I287" s="387" t="str">
        <f>IF(A287="","",Calculation!P293)</f>
        <v/>
      </c>
      <c r="J287" s="387" t="str">
        <f>IF(A287="","",HLOOKUP(LEFT(Calculation!BO293,7),LookUps!$C$38:$M$41,4))</f>
        <v/>
      </c>
      <c r="K287" s="387" t="str">
        <f>IF(A287="","",Calculation!M293)</f>
        <v/>
      </c>
      <c r="L287" s="387" t="str">
        <f>IF(A287="","",Calculation!S293)</f>
        <v/>
      </c>
      <c r="M287" s="389" t="str">
        <f>IF(A287="","",Calculation!N293)</f>
        <v/>
      </c>
      <c r="N287" s="390" t="str">
        <f>IF(A287="","",Calculation!R293)</f>
        <v/>
      </c>
      <c r="O287" s="391" t="str">
        <f>IF(A287="","",Calculation!$F$6)</f>
        <v/>
      </c>
      <c r="P287" s="392" t="str">
        <f>IF(A287="","",Calculation!$F$7)</f>
        <v/>
      </c>
      <c r="Q287" s="393" t="str">
        <f>IF(A287="","",Calculation!$F$13)</f>
        <v/>
      </c>
      <c r="R287" s="394" t="str">
        <f>IF(A287="","",Calculation!X293)</f>
        <v/>
      </c>
      <c r="S287" s="393" t="str">
        <f>IF(A287="","",Calculation!T293)</f>
        <v/>
      </c>
      <c r="T287" s="395" t="str">
        <f>IF(A287="","",IF(Calculation!$O$8="None","Water",CONCATENATE(Calculation!$O$8,"-",Calculation!$S$8,"%")))</f>
        <v/>
      </c>
      <c r="U287" s="393" t="str">
        <f>IF(A287="","",Calculation!$P$6)</f>
        <v/>
      </c>
      <c r="V287" s="393" t="str">
        <f>IF(A287="","",Calculation!AT293)</f>
        <v/>
      </c>
      <c r="W287" s="396" t="str">
        <f>IF(A287="","",Calculation!AP293)</f>
        <v/>
      </c>
      <c r="X287" s="396" t="str">
        <f>IF(A287="","",Calculation!AO293)</f>
        <v/>
      </c>
      <c r="Y287" s="396" t="str">
        <f>IF(A287="","",Calculation!AQ293)</f>
        <v/>
      </c>
      <c r="Z287" s="396" t="str">
        <f>IF(A287="","",Calculation!$H$6)</f>
        <v/>
      </c>
      <c r="AA287" s="397" t="str">
        <f>IF(A287="","",Calculation!$H$13)</f>
        <v/>
      </c>
      <c r="AB287" s="397" t="str">
        <f>IF(A287="","",Calculation!U293)</f>
        <v/>
      </c>
      <c r="AC287" s="398" t="str">
        <f>IF(A287="","",IF(Calculation!$O$9="None","Water",CONCATENATE(Calculation!$O$9,"-",Calculation!$S$9,"%")))</f>
        <v/>
      </c>
      <c r="AD287" s="396" t="str">
        <f>IF(A287="","",Calculation!$S$6)</f>
        <v/>
      </c>
      <c r="AE287" s="399" t="str">
        <f>IF(A287="","",Calculation!BA293)</f>
        <v/>
      </c>
      <c r="AF287" s="396" t="str">
        <f>IF(A287="","",Calculation!AX293)</f>
        <v/>
      </c>
      <c r="AG287" s="396" t="str">
        <f>IF(A287="","",Calculation!AW293)</f>
        <v/>
      </c>
      <c r="AH287" s="391" t="str">
        <f>IF(A287="","",Calculation!AY293)</f>
        <v/>
      </c>
      <c r="AI287" s="391" t="str">
        <f>IF(A287="","",Calculation!Y293)</f>
        <v/>
      </c>
      <c r="AJ287" s="401" t="str">
        <f>IF(Calculation!BD293&gt;0,Calculation!BD293," ")</f>
        <v xml:space="preserve"> </v>
      </c>
      <c r="AK287" s="401" t="str">
        <f>IF(Calculation!BD293&gt;0,Calculation!BE293," ")</f>
        <v xml:space="preserve"> </v>
      </c>
      <c r="AL287" s="401" t="str">
        <f>IF(Calculation!BD293&gt;0,Calculation!BF293," ")</f>
        <v xml:space="preserve"> </v>
      </c>
      <c r="AM287" s="401" t="str">
        <f>IF(Calculation!BD293&gt;0,Calculation!BG293," ")</f>
        <v xml:space="preserve"> </v>
      </c>
      <c r="AN287" s="391" t="str">
        <f>IF(Calculation!BH293="N/A","N/A",Calculation!BH293)</f>
        <v xml:space="preserve"> </v>
      </c>
      <c r="AO287" s="402" t="str">
        <f>IF(Calculation!BI293="N/A","N/A",Calculation!BI293)</f>
        <v/>
      </c>
      <c r="AP287" s="391" t="str">
        <f>IF(Calculation!BJ293="N/A","N/A",Calculation!BJ293)</f>
        <v/>
      </c>
      <c r="AQ287" s="402" t="str">
        <f>IF(Calculation!BK293="N/A","N/A",Calculation!BK293)</f>
        <v/>
      </c>
      <c r="AR287" s="391" t="str">
        <f>IF(Calculation!BL293="N/A","N/A",Calculation!BL293)</f>
        <v/>
      </c>
      <c r="AS287" s="402" t="str">
        <f>IF(Calculation!BM293="N/A","N/A",Calculation!BM293)</f>
        <v/>
      </c>
      <c r="AT287" s="400"/>
    </row>
    <row r="288" spans="1:46">
      <c r="A288" s="224" t="str">
        <f>IF(Calculation!BN294="","",CONCATENATE(Calculation!BO294,"-",Calculation!R294,"-",Calculation!S294,"-",Calculation!T294,"-",Calculation!U294))</f>
        <v/>
      </c>
      <c r="B288" s="224">
        <v>273</v>
      </c>
      <c r="C288" s="629" t="str">
        <f>IF(A288="","",Calculation!B294)</f>
        <v/>
      </c>
      <c r="D288" s="386" t="str">
        <f>IF(A288="","",Calculation!L294)</f>
        <v/>
      </c>
      <c r="E288" s="387" t="str">
        <f>IF(A288="","",Calculation!J294)</f>
        <v/>
      </c>
      <c r="F288" s="387" t="str">
        <f>IF(A288="","",Calculation!C294)</f>
        <v/>
      </c>
      <c r="G288" s="387" t="str">
        <f>IF(A288="","",LEFT(Calculation!O294,6))</f>
        <v/>
      </c>
      <c r="H288" s="388" t="str">
        <f>IF(A288="","",Calculation!DX294)</f>
        <v/>
      </c>
      <c r="I288" s="387" t="str">
        <f>IF(A288="","",Calculation!P294)</f>
        <v/>
      </c>
      <c r="J288" s="387" t="str">
        <f>IF(A288="","",HLOOKUP(LEFT(Calculation!BO294,7),LookUps!$C$38:$M$41,4))</f>
        <v/>
      </c>
      <c r="K288" s="387" t="str">
        <f>IF(A288="","",Calculation!M294)</f>
        <v/>
      </c>
      <c r="L288" s="387" t="str">
        <f>IF(A288="","",Calculation!S294)</f>
        <v/>
      </c>
      <c r="M288" s="389" t="str">
        <f>IF(A288="","",Calculation!N294)</f>
        <v/>
      </c>
      <c r="N288" s="390" t="str">
        <f>IF(A288="","",Calculation!R294)</f>
        <v/>
      </c>
      <c r="O288" s="391" t="str">
        <f>IF(A288="","",Calculation!$F$6)</f>
        <v/>
      </c>
      <c r="P288" s="392" t="str">
        <f>IF(A288="","",Calculation!$F$7)</f>
        <v/>
      </c>
      <c r="Q288" s="393" t="str">
        <f>IF(A288="","",Calculation!$F$13)</f>
        <v/>
      </c>
      <c r="R288" s="394" t="str">
        <f>IF(A288="","",Calculation!X294)</f>
        <v/>
      </c>
      <c r="S288" s="393" t="str">
        <f>IF(A288="","",Calculation!T294)</f>
        <v/>
      </c>
      <c r="T288" s="395" t="str">
        <f>IF(A288="","",IF(Calculation!$O$8="None","Water",CONCATENATE(Calculation!$O$8,"-",Calculation!$S$8,"%")))</f>
        <v/>
      </c>
      <c r="U288" s="393" t="str">
        <f>IF(A288="","",Calculation!$P$6)</f>
        <v/>
      </c>
      <c r="V288" s="393" t="str">
        <f>IF(A288="","",Calculation!AT294)</f>
        <v/>
      </c>
      <c r="W288" s="396" t="str">
        <f>IF(A288="","",Calculation!AP294)</f>
        <v/>
      </c>
      <c r="X288" s="396" t="str">
        <f>IF(A288="","",Calculation!AO294)</f>
        <v/>
      </c>
      <c r="Y288" s="396" t="str">
        <f>IF(A288="","",Calculation!AQ294)</f>
        <v/>
      </c>
      <c r="Z288" s="396" t="str">
        <f>IF(A288="","",Calculation!$H$6)</f>
        <v/>
      </c>
      <c r="AA288" s="397" t="str">
        <f>IF(A288="","",Calculation!$H$13)</f>
        <v/>
      </c>
      <c r="AB288" s="397" t="str">
        <f>IF(A288="","",Calculation!U294)</f>
        <v/>
      </c>
      <c r="AC288" s="398" t="str">
        <f>IF(A288="","",IF(Calculation!$O$9="None","Water",CONCATENATE(Calculation!$O$9,"-",Calculation!$S$9,"%")))</f>
        <v/>
      </c>
      <c r="AD288" s="396" t="str">
        <f>IF(A288="","",Calculation!$S$6)</f>
        <v/>
      </c>
      <c r="AE288" s="399" t="str">
        <f>IF(A288="","",Calculation!BA294)</f>
        <v/>
      </c>
      <c r="AF288" s="396" t="str">
        <f>IF(A288="","",Calculation!AX294)</f>
        <v/>
      </c>
      <c r="AG288" s="396" t="str">
        <f>IF(A288="","",Calculation!AW294)</f>
        <v/>
      </c>
      <c r="AH288" s="391" t="str">
        <f>IF(A288="","",Calculation!AY294)</f>
        <v/>
      </c>
      <c r="AI288" s="391" t="str">
        <f>IF(A288="","",Calculation!Y294)</f>
        <v/>
      </c>
      <c r="AJ288" s="401" t="str">
        <f>IF(Calculation!BD294&gt;0,Calculation!BD294," ")</f>
        <v xml:space="preserve"> </v>
      </c>
      <c r="AK288" s="401" t="str">
        <f>IF(Calculation!BD294&gt;0,Calculation!BE294," ")</f>
        <v xml:space="preserve"> </v>
      </c>
      <c r="AL288" s="401" t="str">
        <f>IF(Calculation!BD294&gt;0,Calculation!BF294," ")</f>
        <v xml:space="preserve"> </v>
      </c>
      <c r="AM288" s="401" t="str">
        <f>IF(Calculation!BD294&gt;0,Calculation!BG294," ")</f>
        <v xml:space="preserve"> </v>
      </c>
      <c r="AN288" s="391" t="str">
        <f>IF(Calculation!BH294="N/A","N/A",Calculation!BH294)</f>
        <v xml:space="preserve"> </v>
      </c>
      <c r="AO288" s="402" t="str">
        <f>IF(Calculation!BI294="N/A","N/A",Calculation!BI294)</f>
        <v/>
      </c>
      <c r="AP288" s="391" t="str">
        <f>IF(Calculation!BJ294="N/A","N/A",Calculation!BJ294)</f>
        <v/>
      </c>
      <c r="AQ288" s="402" t="str">
        <f>IF(Calculation!BK294="N/A","N/A",Calculation!BK294)</f>
        <v/>
      </c>
      <c r="AR288" s="391" t="str">
        <f>IF(Calculation!BL294="N/A","N/A",Calculation!BL294)</f>
        <v/>
      </c>
      <c r="AS288" s="402" t="str">
        <f>IF(Calculation!BM294="N/A","N/A",Calculation!BM294)</f>
        <v/>
      </c>
      <c r="AT288" s="400"/>
    </row>
    <row r="289" spans="1:46">
      <c r="A289" s="224" t="str">
        <f>IF(Calculation!BN295="","",CONCATENATE(Calculation!BO295,"-",Calculation!R295,"-",Calculation!S295,"-",Calculation!T295,"-",Calculation!U295))</f>
        <v/>
      </c>
      <c r="B289" s="224">
        <v>274</v>
      </c>
      <c r="C289" s="629" t="str">
        <f>IF(A289="","",Calculation!B295)</f>
        <v/>
      </c>
      <c r="D289" s="386" t="str">
        <f>IF(A289="","",Calculation!L295)</f>
        <v/>
      </c>
      <c r="E289" s="387" t="str">
        <f>IF(A289="","",Calculation!J295)</f>
        <v/>
      </c>
      <c r="F289" s="387" t="str">
        <f>IF(A289="","",Calculation!C295)</f>
        <v/>
      </c>
      <c r="G289" s="387" t="str">
        <f>IF(A289="","",LEFT(Calculation!O295,6))</f>
        <v/>
      </c>
      <c r="H289" s="388" t="str">
        <f>IF(A289="","",Calculation!DX295)</f>
        <v/>
      </c>
      <c r="I289" s="387" t="str">
        <f>IF(A289="","",Calculation!P295)</f>
        <v/>
      </c>
      <c r="J289" s="387" t="str">
        <f>IF(A289="","",HLOOKUP(LEFT(Calculation!BO295,7),LookUps!$C$38:$M$41,4))</f>
        <v/>
      </c>
      <c r="K289" s="387" t="str">
        <f>IF(A289="","",Calculation!M295)</f>
        <v/>
      </c>
      <c r="L289" s="387" t="str">
        <f>IF(A289="","",Calculation!S295)</f>
        <v/>
      </c>
      <c r="M289" s="389" t="str">
        <f>IF(A289="","",Calculation!N295)</f>
        <v/>
      </c>
      <c r="N289" s="390" t="str">
        <f>IF(A289="","",Calculation!R295)</f>
        <v/>
      </c>
      <c r="O289" s="391" t="str">
        <f>IF(A289="","",Calculation!$F$6)</f>
        <v/>
      </c>
      <c r="P289" s="392" t="str">
        <f>IF(A289="","",Calculation!$F$7)</f>
        <v/>
      </c>
      <c r="Q289" s="393" t="str">
        <f>IF(A289="","",Calculation!$F$13)</f>
        <v/>
      </c>
      <c r="R289" s="394" t="str">
        <f>IF(A289="","",Calculation!X295)</f>
        <v/>
      </c>
      <c r="S289" s="393" t="str">
        <f>IF(A289="","",Calculation!T295)</f>
        <v/>
      </c>
      <c r="T289" s="395" t="str">
        <f>IF(A289="","",IF(Calculation!$O$8="None","Water",CONCATENATE(Calculation!$O$8,"-",Calculation!$S$8,"%")))</f>
        <v/>
      </c>
      <c r="U289" s="393" t="str">
        <f>IF(A289="","",Calculation!$P$6)</f>
        <v/>
      </c>
      <c r="V289" s="393" t="str">
        <f>IF(A289="","",Calculation!AT295)</f>
        <v/>
      </c>
      <c r="W289" s="396" t="str">
        <f>IF(A289="","",Calculation!AP295)</f>
        <v/>
      </c>
      <c r="X289" s="396" t="str">
        <f>IF(A289="","",Calculation!AO295)</f>
        <v/>
      </c>
      <c r="Y289" s="396" t="str">
        <f>IF(A289="","",Calculation!AQ295)</f>
        <v/>
      </c>
      <c r="Z289" s="396" t="str">
        <f>IF(A289="","",Calculation!$H$6)</f>
        <v/>
      </c>
      <c r="AA289" s="397" t="str">
        <f>IF(A289="","",Calculation!$H$13)</f>
        <v/>
      </c>
      <c r="AB289" s="397" t="str">
        <f>IF(A289="","",Calculation!U295)</f>
        <v/>
      </c>
      <c r="AC289" s="398" t="str">
        <f>IF(A289="","",IF(Calculation!$O$9="None","Water",CONCATENATE(Calculation!$O$9,"-",Calculation!$S$9,"%")))</f>
        <v/>
      </c>
      <c r="AD289" s="396" t="str">
        <f>IF(A289="","",Calculation!$S$6)</f>
        <v/>
      </c>
      <c r="AE289" s="399" t="str">
        <f>IF(A289="","",Calculation!BA295)</f>
        <v/>
      </c>
      <c r="AF289" s="396" t="str">
        <f>IF(A289="","",Calculation!AX295)</f>
        <v/>
      </c>
      <c r="AG289" s="396" t="str">
        <f>IF(A289="","",Calculation!AW295)</f>
        <v/>
      </c>
      <c r="AH289" s="391" t="str">
        <f>IF(A289="","",Calculation!AY295)</f>
        <v/>
      </c>
      <c r="AI289" s="391" t="str">
        <f>IF(A289="","",Calculation!Y295)</f>
        <v/>
      </c>
      <c r="AJ289" s="401" t="str">
        <f>IF(Calculation!BD295&gt;0,Calculation!BD295," ")</f>
        <v xml:space="preserve"> </v>
      </c>
      <c r="AK289" s="401" t="str">
        <f>IF(Calculation!BD295&gt;0,Calculation!BE295," ")</f>
        <v xml:space="preserve"> </v>
      </c>
      <c r="AL289" s="401" t="str">
        <f>IF(Calculation!BD295&gt;0,Calculation!BF295," ")</f>
        <v xml:space="preserve"> </v>
      </c>
      <c r="AM289" s="401" t="str">
        <f>IF(Calculation!BD295&gt;0,Calculation!BG295," ")</f>
        <v xml:space="preserve"> </v>
      </c>
      <c r="AN289" s="391" t="str">
        <f>IF(Calculation!BH295="N/A","N/A",Calculation!BH295)</f>
        <v xml:space="preserve"> </v>
      </c>
      <c r="AO289" s="402" t="str">
        <f>IF(Calculation!BI295="N/A","N/A",Calculation!BI295)</f>
        <v/>
      </c>
      <c r="AP289" s="391" t="str">
        <f>IF(Calculation!BJ295="N/A","N/A",Calculation!BJ295)</f>
        <v/>
      </c>
      <c r="AQ289" s="402" t="str">
        <f>IF(Calculation!BK295="N/A","N/A",Calculation!BK295)</f>
        <v/>
      </c>
      <c r="AR289" s="391" t="str">
        <f>IF(Calculation!BL295="N/A","N/A",Calculation!BL295)</f>
        <v/>
      </c>
      <c r="AS289" s="402" t="str">
        <f>IF(Calculation!BM295="N/A","N/A",Calculation!BM295)</f>
        <v/>
      </c>
      <c r="AT289" s="400"/>
    </row>
    <row r="290" spans="1:46">
      <c r="A290" s="224" t="str">
        <f>IF(Calculation!BN296="","",CONCATENATE(Calculation!BO296,"-",Calculation!R296,"-",Calculation!S296,"-",Calculation!T296,"-",Calculation!U296))</f>
        <v/>
      </c>
      <c r="B290" s="224">
        <v>275</v>
      </c>
      <c r="C290" s="629" t="str">
        <f>IF(A290="","",Calculation!B296)</f>
        <v/>
      </c>
      <c r="D290" s="386" t="str">
        <f>IF(A290="","",Calculation!L296)</f>
        <v/>
      </c>
      <c r="E290" s="387" t="str">
        <f>IF(A290="","",Calculation!J296)</f>
        <v/>
      </c>
      <c r="F290" s="387" t="str">
        <f>IF(A290="","",Calculation!C296)</f>
        <v/>
      </c>
      <c r="G290" s="387" t="str">
        <f>IF(A290="","",LEFT(Calculation!O296,6))</f>
        <v/>
      </c>
      <c r="H290" s="388" t="str">
        <f>IF(A290="","",Calculation!DX296)</f>
        <v/>
      </c>
      <c r="I290" s="387" t="str">
        <f>IF(A290="","",Calculation!P296)</f>
        <v/>
      </c>
      <c r="J290" s="387" t="str">
        <f>IF(A290="","",HLOOKUP(LEFT(Calculation!BO296,7),LookUps!$C$38:$M$41,4))</f>
        <v/>
      </c>
      <c r="K290" s="387" t="str">
        <f>IF(A290="","",Calculation!M296)</f>
        <v/>
      </c>
      <c r="L290" s="387" t="str">
        <f>IF(A290="","",Calculation!S296)</f>
        <v/>
      </c>
      <c r="M290" s="389" t="str">
        <f>IF(A290="","",Calculation!N296)</f>
        <v/>
      </c>
      <c r="N290" s="390" t="str">
        <f>IF(A290="","",Calculation!R296)</f>
        <v/>
      </c>
      <c r="O290" s="391" t="str">
        <f>IF(A290="","",Calculation!$F$6)</f>
        <v/>
      </c>
      <c r="P290" s="392" t="str">
        <f>IF(A290="","",Calculation!$F$7)</f>
        <v/>
      </c>
      <c r="Q290" s="393" t="str">
        <f>IF(A290="","",Calculation!$F$13)</f>
        <v/>
      </c>
      <c r="R290" s="394" t="str">
        <f>IF(A290="","",Calculation!X296)</f>
        <v/>
      </c>
      <c r="S290" s="393" t="str">
        <f>IF(A290="","",Calculation!T296)</f>
        <v/>
      </c>
      <c r="T290" s="395" t="str">
        <f>IF(A290="","",IF(Calculation!$O$8="None","Water",CONCATENATE(Calculation!$O$8,"-",Calculation!$S$8,"%")))</f>
        <v/>
      </c>
      <c r="U290" s="393" t="str">
        <f>IF(A290="","",Calculation!$P$6)</f>
        <v/>
      </c>
      <c r="V290" s="393" t="str">
        <f>IF(A290="","",Calculation!AT296)</f>
        <v/>
      </c>
      <c r="W290" s="396" t="str">
        <f>IF(A290="","",Calculation!AP296)</f>
        <v/>
      </c>
      <c r="X290" s="396" t="str">
        <f>IF(A290="","",Calculation!AO296)</f>
        <v/>
      </c>
      <c r="Y290" s="396" t="str">
        <f>IF(A290="","",Calculation!AQ296)</f>
        <v/>
      </c>
      <c r="Z290" s="396" t="str">
        <f>IF(A290="","",Calculation!$H$6)</f>
        <v/>
      </c>
      <c r="AA290" s="397" t="str">
        <f>IF(A290="","",Calculation!$H$13)</f>
        <v/>
      </c>
      <c r="AB290" s="397" t="str">
        <f>IF(A290="","",Calculation!U296)</f>
        <v/>
      </c>
      <c r="AC290" s="398" t="str">
        <f>IF(A290="","",IF(Calculation!$O$9="None","Water",CONCATENATE(Calculation!$O$9,"-",Calculation!$S$9,"%")))</f>
        <v/>
      </c>
      <c r="AD290" s="396" t="str">
        <f>IF(A290="","",Calculation!$S$6)</f>
        <v/>
      </c>
      <c r="AE290" s="399" t="str">
        <f>IF(A290="","",Calculation!BA296)</f>
        <v/>
      </c>
      <c r="AF290" s="396" t="str">
        <f>IF(A290="","",Calculation!AX296)</f>
        <v/>
      </c>
      <c r="AG290" s="396" t="str">
        <f>IF(A290="","",Calculation!AW296)</f>
        <v/>
      </c>
      <c r="AH290" s="391" t="str">
        <f>IF(A290="","",Calculation!AY296)</f>
        <v/>
      </c>
      <c r="AI290" s="391" t="str">
        <f>IF(A290="","",Calculation!Y296)</f>
        <v/>
      </c>
      <c r="AJ290" s="401" t="str">
        <f>IF(Calculation!BD296&gt;0,Calculation!BD296," ")</f>
        <v xml:space="preserve"> </v>
      </c>
      <c r="AK290" s="401" t="str">
        <f>IF(Calculation!BD296&gt;0,Calculation!BE296," ")</f>
        <v xml:space="preserve"> </v>
      </c>
      <c r="AL290" s="401" t="str">
        <f>IF(Calculation!BD296&gt;0,Calculation!BF296," ")</f>
        <v xml:space="preserve"> </v>
      </c>
      <c r="AM290" s="401" t="str">
        <f>IF(Calculation!BD296&gt;0,Calculation!BG296," ")</f>
        <v xml:space="preserve"> </v>
      </c>
      <c r="AN290" s="391" t="str">
        <f>IF(Calculation!BH296="N/A","N/A",Calculation!BH296)</f>
        <v xml:space="preserve"> </v>
      </c>
      <c r="AO290" s="402" t="str">
        <f>IF(Calculation!BI296="N/A","N/A",Calculation!BI296)</f>
        <v/>
      </c>
      <c r="AP290" s="391" t="str">
        <f>IF(Calculation!BJ296="N/A","N/A",Calculation!BJ296)</f>
        <v/>
      </c>
      <c r="AQ290" s="402" t="str">
        <f>IF(Calculation!BK296="N/A","N/A",Calculation!BK296)</f>
        <v/>
      </c>
      <c r="AR290" s="391" t="str">
        <f>IF(Calculation!BL296="N/A","N/A",Calculation!BL296)</f>
        <v/>
      </c>
      <c r="AS290" s="402" t="str">
        <f>IF(Calculation!BM296="N/A","N/A",Calculation!BM296)</f>
        <v/>
      </c>
      <c r="AT290" s="400"/>
    </row>
    <row r="291" spans="1:46">
      <c r="A291" s="224" t="str">
        <f>IF(Calculation!BN297="","",CONCATENATE(Calculation!BO297,"-",Calculation!R297,"-",Calculation!S297,"-",Calculation!T297,"-",Calculation!U297))</f>
        <v/>
      </c>
      <c r="B291" s="224">
        <v>276</v>
      </c>
      <c r="C291" s="629" t="str">
        <f>IF(A291="","",Calculation!B297)</f>
        <v/>
      </c>
      <c r="D291" s="386" t="str">
        <f>IF(A291="","",Calculation!L297)</f>
        <v/>
      </c>
      <c r="E291" s="387" t="str">
        <f>IF(A291="","",Calculation!J297)</f>
        <v/>
      </c>
      <c r="F291" s="387" t="str">
        <f>IF(A291="","",Calculation!C297)</f>
        <v/>
      </c>
      <c r="G291" s="387" t="str">
        <f>IF(A291="","",LEFT(Calculation!O297,6))</f>
        <v/>
      </c>
      <c r="H291" s="388" t="str">
        <f>IF(A291="","",Calculation!DX297)</f>
        <v/>
      </c>
      <c r="I291" s="387" t="str">
        <f>IF(A291="","",Calculation!P297)</f>
        <v/>
      </c>
      <c r="J291" s="387" t="str">
        <f>IF(A291="","",HLOOKUP(LEFT(Calculation!BO297,7),LookUps!$C$38:$M$41,4))</f>
        <v/>
      </c>
      <c r="K291" s="387" t="str">
        <f>IF(A291="","",Calculation!M297)</f>
        <v/>
      </c>
      <c r="L291" s="387" t="str">
        <f>IF(A291="","",Calculation!S297)</f>
        <v/>
      </c>
      <c r="M291" s="389" t="str">
        <f>IF(A291="","",Calculation!N297)</f>
        <v/>
      </c>
      <c r="N291" s="390" t="str">
        <f>IF(A291="","",Calculation!R297)</f>
        <v/>
      </c>
      <c r="O291" s="391" t="str">
        <f>IF(A291="","",Calculation!$F$6)</f>
        <v/>
      </c>
      <c r="P291" s="392" t="str">
        <f>IF(A291="","",Calculation!$F$7)</f>
        <v/>
      </c>
      <c r="Q291" s="393" t="str">
        <f>IF(A291="","",Calculation!$F$13)</f>
        <v/>
      </c>
      <c r="R291" s="394" t="str">
        <f>IF(A291="","",Calculation!X297)</f>
        <v/>
      </c>
      <c r="S291" s="393" t="str">
        <f>IF(A291="","",Calculation!T297)</f>
        <v/>
      </c>
      <c r="T291" s="395" t="str">
        <f>IF(A291="","",IF(Calculation!$O$8="None","Water",CONCATENATE(Calculation!$O$8,"-",Calculation!$S$8,"%")))</f>
        <v/>
      </c>
      <c r="U291" s="393" t="str">
        <f>IF(A291="","",Calculation!$P$6)</f>
        <v/>
      </c>
      <c r="V291" s="393" t="str">
        <f>IF(A291="","",Calculation!AT297)</f>
        <v/>
      </c>
      <c r="W291" s="396" t="str">
        <f>IF(A291="","",Calculation!AP297)</f>
        <v/>
      </c>
      <c r="X291" s="396" t="str">
        <f>IF(A291="","",Calculation!AO297)</f>
        <v/>
      </c>
      <c r="Y291" s="396" t="str">
        <f>IF(A291="","",Calculation!AQ297)</f>
        <v/>
      </c>
      <c r="Z291" s="396" t="str">
        <f>IF(A291="","",Calculation!$H$6)</f>
        <v/>
      </c>
      <c r="AA291" s="397" t="str">
        <f>IF(A291="","",Calculation!$H$13)</f>
        <v/>
      </c>
      <c r="AB291" s="397" t="str">
        <f>IF(A291="","",Calculation!U297)</f>
        <v/>
      </c>
      <c r="AC291" s="398" t="str">
        <f>IF(A291="","",IF(Calculation!$O$9="None","Water",CONCATENATE(Calculation!$O$9,"-",Calculation!$S$9,"%")))</f>
        <v/>
      </c>
      <c r="AD291" s="396" t="str">
        <f>IF(A291="","",Calculation!$S$6)</f>
        <v/>
      </c>
      <c r="AE291" s="399" t="str">
        <f>IF(A291="","",Calculation!BA297)</f>
        <v/>
      </c>
      <c r="AF291" s="396" t="str">
        <f>IF(A291="","",Calculation!AX297)</f>
        <v/>
      </c>
      <c r="AG291" s="396" t="str">
        <f>IF(A291="","",Calculation!AW297)</f>
        <v/>
      </c>
      <c r="AH291" s="391" t="str">
        <f>IF(A291="","",Calculation!AY297)</f>
        <v/>
      </c>
      <c r="AI291" s="391" t="str">
        <f>IF(A291="","",Calculation!Y297)</f>
        <v/>
      </c>
      <c r="AJ291" s="401" t="str">
        <f>IF(Calculation!BD297&gt;0,Calculation!BD297," ")</f>
        <v xml:space="preserve"> </v>
      </c>
      <c r="AK291" s="401" t="str">
        <f>IF(Calculation!BD297&gt;0,Calculation!BE297," ")</f>
        <v xml:space="preserve"> </v>
      </c>
      <c r="AL291" s="401" t="str">
        <f>IF(Calculation!BD297&gt;0,Calculation!BF297," ")</f>
        <v xml:space="preserve"> </v>
      </c>
      <c r="AM291" s="401" t="str">
        <f>IF(Calculation!BD297&gt;0,Calculation!BG297," ")</f>
        <v xml:space="preserve"> </v>
      </c>
      <c r="AN291" s="391" t="str">
        <f>IF(Calculation!BH297="N/A","N/A",Calculation!BH297)</f>
        <v xml:space="preserve"> </v>
      </c>
      <c r="AO291" s="402" t="str">
        <f>IF(Calculation!BI297="N/A","N/A",Calculation!BI297)</f>
        <v/>
      </c>
      <c r="AP291" s="391" t="str">
        <f>IF(Calculation!BJ297="N/A","N/A",Calculation!BJ297)</f>
        <v/>
      </c>
      <c r="AQ291" s="402" t="str">
        <f>IF(Calculation!BK297="N/A","N/A",Calculation!BK297)</f>
        <v/>
      </c>
      <c r="AR291" s="391" t="str">
        <f>IF(Calculation!BL297="N/A","N/A",Calculation!BL297)</f>
        <v/>
      </c>
      <c r="AS291" s="402" t="str">
        <f>IF(Calculation!BM297="N/A","N/A",Calculation!BM297)</f>
        <v/>
      </c>
      <c r="AT291" s="400"/>
    </row>
    <row r="292" spans="1:46">
      <c r="A292" s="224" t="str">
        <f>IF(Calculation!BN298="","",CONCATENATE(Calculation!BO298,"-",Calculation!R298,"-",Calculation!S298,"-",Calculation!T298,"-",Calculation!U298))</f>
        <v/>
      </c>
      <c r="B292" s="224">
        <v>277</v>
      </c>
      <c r="C292" s="629" t="str">
        <f>IF(A292="","",Calculation!B298)</f>
        <v/>
      </c>
      <c r="D292" s="386" t="str">
        <f>IF(A292="","",Calculation!L298)</f>
        <v/>
      </c>
      <c r="E292" s="387" t="str">
        <f>IF(A292="","",Calculation!J298)</f>
        <v/>
      </c>
      <c r="F292" s="387" t="str">
        <f>IF(A292="","",Calculation!C298)</f>
        <v/>
      </c>
      <c r="G292" s="387" t="str">
        <f>IF(A292="","",LEFT(Calculation!O298,6))</f>
        <v/>
      </c>
      <c r="H292" s="388" t="str">
        <f>IF(A292="","",Calculation!DX298)</f>
        <v/>
      </c>
      <c r="I292" s="387" t="str">
        <f>IF(A292="","",Calculation!P298)</f>
        <v/>
      </c>
      <c r="J292" s="387" t="str">
        <f>IF(A292="","",HLOOKUP(LEFT(Calculation!BO298,7),LookUps!$C$38:$M$41,4))</f>
        <v/>
      </c>
      <c r="K292" s="387" t="str">
        <f>IF(A292="","",Calculation!M298)</f>
        <v/>
      </c>
      <c r="L292" s="387" t="str">
        <f>IF(A292="","",Calculation!S298)</f>
        <v/>
      </c>
      <c r="M292" s="389" t="str">
        <f>IF(A292="","",Calculation!N298)</f>
        <v/>
      </c>
      <c r="N292" s="390" t="str">
        <f>IF(A292="","",Calculation!R298)</f>
        <v/>
      </c>
      <c r="O292" s="391" t="str">
        <f>IF(A292="","",Calculation!$F$6)</f>
        <v/>
      </c>
      <c r="P292" s="392" t="str">
        <f>IF(A292="","",Calculation!$F$7)</f>
        <v/>
      </c>
      <c r="Q292" s="393" t="str">
        <f>IF(A292="","",Calculation!$F$13)</f>
        <v/>
      </c>
      <c r="R292" s="394" t="str">
        <f>IF(A292="","",Calculation!X298)</f>
        <v/>
      </c>
      <c r="S292" s="393" t="str">
        <f>IF(A292="","",Calculation!T298)</f>
        <v/>
      </c>
      <c r="T292" s="395" t="str">
        <f>IF(A292="","",IF(Calculation!$O$8="None","Water",CONCATENATE(Calculation!$O$8,"-",Calculation!$S$8,"%")))</f>
        <v/>
      </c>
      <c r="U292" s="393" t="str">
        <f>IF(A292="","",Calculation!$P$6)</f>
        <v/>
      </c>
      <c r="V292" s="393" t="str">
        <f>IF(A292="","",Calculation!AT298)</f>
        <v/>
      </c>
      <c r="W292" s="396" t="str">
        <f>IF(A292="","",Calculation!AP298)</f>
        <v/>
      </c>
      <c r="X292" s="396" t="str">
        <f>IF(A292="","",Calculation!AO298)</f>
        <v/>
      </c>
      <c r="Y292" s="396" t="str">
        <f>IF(A292="","",Calculation!AQ298)</f>
        <v/>
      </c>
      <c r="Z292" s="396" t="str">
        <f>IF(A292="","",Calculation!$H$6)</f>
        <v/>
      </c>
      <c r="AA292" s="397" t="str">
        <f>IF(A292="","",Calculation!$H$13)</f>
        <v/>
      </c>
      <c r="AB292" s="397" t="str">
        <f>IF(A292="","",Calculation!U298)</f>
        <v/>
      </c>
      <c r="AC292" s="398" t="str">
        <f>IF(A292="","",IF(Calculation!$O$9="None","Water",CONCATENATE(Calculation!$O$9,"-",Calculation!$S$9,"%")))</f>
        <v/>
      </c>
      <c r="AD292" s="396" t="str">
        <f>IF(A292="","",Calculation!$S$6)</f>
        <v/>
      </c>
      <c r="AE292" s="399" t="str">
        <f>IF(A292="","",Calculation!BA298)</f>
        <v/>
      </c>
      <c r="AF292" s="396" t="str">
        <f>IF(A292="","",Calculation!AX298)</f>
        <v/>
      </c>
      <c r="AG292" s="396" t="str">
        <f>IF(A292="","",Calculation!AW298)</f>
        <v/>
      </c>
      <c r="AH292" s="391" t="str">
        <f>IF(A292="","",Calculation!AY298)</f>
        <v/>
      </c>
      <c r="AI292" s="391" t="str">
        <f>IF(A292="","",Calculation!Y298)</f>
        <v/>
      </c>
      <c r="AJ292" s="401" t="str">
        <f>IF(Calculation!BD298&gt;0,Calculation!BD298," ")</f>
        <v xml:space="preserve"> </v>
      </c>
      <c r="AK292" s="401" t="str">
        <f>IF(Calculation!BD298&gt;0,Calculation!BE298," ")</f>
        <v xml:space="preserve"> </v>
      </c>
      <c r="AL292" s="401" t="str">
        <f>IF(Calculation!BD298&gt;0,Calculation!BF298," ")</f>
        <v xml:space="preserve"> </v>
      </c>
      <c r="AM292" s="401" t="str">
        <f>IF(Calculation!BD298&gt;0,Calculation!BG298," ")</f>
        <v xml:space="preserve"> </v>
      </c>
      <c r="AN292" s="391" t="str">
        <f>IF(Calculation!BH298="N/A","N/A",Calculation!BH298)</f>
        <v xml:space="preserve"> </v>
      </c>
      <c r="AO292" s="402" t="str">
        <f>IF(Calculation!BI298="N/A","N/A",Calculation!BI298)</f>
        <v/>
      </c>
      <c r="AP292" s="391" t="str">
        <f>IF(Calculation!BJ298="N/A","N/A",Calculation!BJ298)</f>
        <v/>
      </c>
      <c r="AQ292" s="402" t="str">
        <f>IF(Calculation!BK298="N/A","N/A",Calculation!BK298)</f>
        <v/>
      </c>
      <c r="AR292" s="391" t="str">
        <f>IF(Calculation!BL298="N/A","N/A",Calculation!BL298)</f>
        <v/>
      </c>
      <c r="AS292" s="402" t="str">
        <f>IF(Calculation!BM298="N/A","N/A",Calculation!BM298)</f>
        <v/>
      </c>
      <c r="AT292" s="400"/>
    </row>
    <row r="293" spans="1:46">
      <c r="A293" s="224" t="str">
        <f>IF(Calculation!BN299="","",CONCATENATE(Calculation!BO299,"-",Calculation!R299,"-",Calculation!S299,"-",Calculation!T299,"-",Calculation!U299))</f>
        <v/>
      </c>
      <c r="B293" s="224">
        <v>278</v>
      </c>
      <c r="C293" s="629" t="str">
        <f>IF(A293="","",Calculation!B299)</f>
        <v/>
      </c>
      <c r="D293" s="386" t="str">
        <f>IF(A293="","",Calculation!L299)</f>
        <v/>
      </c>
      <c r="E293" s="387" t="str">
        <f>IF(A293="","",Calculation!J299)</f>
        <v/>
      </c>
      <c r="F293" s="387" t="str">
        <f>IF(A293="","",Calculation!C299)</f>
        <v/>
      </c>
      <c r="G293" s="387" t="str">
        <f>IF(A293="","",LEFT(Calculation!O299,6))</f>
        <v/>
      </c>
      <c r="H293" s="388" t="str">
        <f>IF(A293="","",Calculation!DX299)</f>
        <v/>
      </c>
      <c r="I293" s="387" t="str">
        <f>IF(A293="","",Calculation!P299)</f>
        <v/>
      </c>
      <c r="J293" s="387" t="str">
        <f>IF(A293="","",HLOOKUP(LEFT(Calculation!BO299,7),LookUps!$C$38:$M$41,4))</f>
        <v/>
      </c>
      <c r="K293" s="387" t="str">
        <f>IF(A293="","",Calculation!M299)</f>
        <v/>
      </c>
      <c r="L293" s="387" t="str">
        <f>IF(A293="","",Calculation!S299)</f>
        <v/>
      </c>
      <c r="M293" s="389" t="str">
        <f>IF(A293="","",Calculation!N299)</f>
        <v/>
      </c>
      <c r="N293" s="390" t="str">
        <f>IF(A293="","",Calculation!R299)</f>
        <v/>
      </c>
      <c r="O293" s="391" t="str">
        <f>IF(A293="","",Calculation!$F$6)</f>
        <v/>
      </c>
      <c r="P293" s="392" t="str">
        <f>IF(A293="","",Calculation!$F$7)</f>
        <v/>
      </c>
      <c r="Q293" s="393" t="str">
        <f>IF(A293="","",Calculation!$F$13)</f>
        <v/>
      </c>
      <c r="R293" s="394" t="str">
        <f>IF(A293="","",Calculation!X299)</f>
        <v/>
      </c>
      <c r="S293" s="393" t="str">
        <f>IF(A293="","",Calculation!T299)</f>
        <v/>
      </c>
      <c r="T293" s="395" t="str">
        <f>IF(A293="","",IF(Calculation!$O$8="None","Water",CONCATENATE(Calculation!$O$8,"-",Calculation!$S$8,"%")))</f>
        <v/>
      </c>
      <c r="U293" s="393" t="str">
        <f>IF(A293="","",Calculation!$P$6)</f>
        <v/>
      </c>
      <c r="V293" s="393" t="str">
        <f>IF(A293="","",Calculation!AT299)</f>
        <v/>
      </c>
      <c r="W293" s="396" t="str">
        <f>IF(A293="","",Calculation!AP299)</f>
        <v/>
      </c>
      <c r="X293" s="396" t="str">
        <f>IF(A293="","",Calculation!AO299)</f>
        <v/>
      </c>
      <c r="Y293" s="396" t="str">
        <f>IF(A293="","",Calculation!AQ299)</f>
        <v/>
      </c>
      <c r="Z293" s="396" t="str">
        <f>IF(A293="","",Calculation!$H$6)</f>
        <v/>
      </c>
      <c r="AA293" s="397" t="str">
        <f>IF(A293="","",Calculation!$H$13)</f>
        <v/>
      </c>
      <c r="AB293" s="397" t="str">
        <f>IF(A293="","",Calculation!U299)</f>
        <v/>
      </c>
      <c r="AC293" s="398" t="str">
        <f>IF(A293="","",IF(Calculation!$O$9="None","Water",CONCATENATE(Calculation!$O$9,"-",Calculation!$S$9,"%")))</f>
        <v/>
      </c>
      <c r="AD293" s="396" t="str">
        <f>IF(A293="","",Calculation!$S$6)</f>
        <v/>
      </c>
      <c r="AE293" s="399" t="str">
        <f>IF(A293="","",Calculation!BA299)</f>
        <v/>
      </c>
      <c r="AF293" s="396" t="str">
        <f>IF(A293="","",Calculation!AX299)</f>
        <v/>
      </c>
      <c r="AG293" s="396" t="str">
        <f>IF(A293="","",Calculation!AW299)</f>
        <v/>
      </c>
      <c r="AH293" s="391" t="str">
        <f>IF(A293="","",Calculation!AY299)</f>
        <v/>
      </c>
      <c r="AI293" s="391" t="str">
        <f>IF(A293="","",Calculation!Y299)</f>
        <v/>
      </c>
      <c r="AJ293" s="401" t="str">
        <f>IF(Calculation!BD299&gt;0,Calculation!BD299," ")</f>
        <v xml:space="preserve"> </v>
      </c>
      <c r="AK293" s="401" t="str">
        <f>IF(Calculation!BD299&gt;0,Calculation!BE299," ")</f>
        <v xml:space="preserve"> </v>
      </c>
      <c r="AL293" s="401" t="str">
        <f>IF(Calculation!BD299&gt;0,Calculation!BF299," ")</f>
        <v xml:space="preserve"> </v>
      </c>
      <c r="AM293" s="401" t="str">
        <f>IF(Calculation!BD299&gt;0,Calculation!BG299," ")</f>
        <v xml:space="preserve"> </v>
      </c>
      <c r="AN293" s="391" t="str">
        <f>IF(Calculation!BH299="N/A","N/A",Calculation!BH299)</f>
        <v xml:space="preserve"> </v>
      </c>
      <c r="AO293" s="402" t="str">
        <f>IF(Calculation!BI299="N/A","N/A",Calculation!BI299)</f>
        <v/>
      </c>
      <c r="AP293" s="391" t="str">
        <f>IF(Calculation!BJ299="N/A","N/A",Calculation!BJ299)</f>
        <v/>
      </c>
      <c r="AQ293" s="402" t="str">
        <f>IF(Calculation!BK299="N/A","N/A",Calculation!BK299)</f>
        <v/>
      </c>
      <c r="AR293" s="391" t="str">
        <f>IF(Calculation!BL299="N/A","N/A",Calculation!BL299)</f>
        <v/>
      </c>
      <c r="AS293" s="402" t="str">
        <f>IF(Calculation!BM299="N/A","N/A",Calculation!BM299)</f>
        <v/>
      </c>
      <c r="AT293" s="400"/>
    </row>
    <row r="294" spans="1:46">
      <c r="A294" s="224" t="str">
        <f>IF(Calculation!BN300="","",CONCATENATE(Calculation!BO300,"-",Calculation!R300,"-",Calculation!S300,"-",Calculation!T300,"-",Calculation!U300))</f>
        <v/>
      </c>
      <c r="B294" s="224">
        <v>279</v>
      </c>
      <c r="C294" s="629" t="str">
        <f>IF(A294="","",Calculation!B300)</f>
        <v/>
      </c>
      <c r="D294" s="386" t="str">
        <f>IF(A294="","",Calculation!L300)</f>
        <v/>
      </c>
      <c r="E294" s="387" t="str">
        <f>IF(A294="","",Calculation!J300)</f>
        <v/>
      </c>
      <c r="F294" s="387" t="str">
        <f>IF(A294="","",Calculation!C300)</f>
        <v/>
      </c>
      <c r="G294" s="387" t="str">
        <f>IF(A294="","",LEFT(Calculation!O300,6))</f>
        <v/>
      </c>
      <c r="H294" s="388" t="str">
        <f>IF(A294="","",Calculation!DX300)</f>
        <v/>
      </c>
      <c r="I294" s="387" t="str">
        <f>IF(A294="","",Calculation!P300)</f>
        <v/>
      </c>
      <c r="J294" s="387" t="str">
        <f>IF(A294="","",HLOOKUP(LEFT(Calculation!BO300,7),LookUps!$C$38:$M$41,4))</f>
        <v/>
      </c>
      <c r="K294" s="387" t="str">
        <f>IF(A294="","",Calculation!M300)</f>
        <v/>
      </c>
      <c r="L294" s="387" t="str">
        <f>IF(A294="","",Calculation!S300)</f>
        <v/>
      </c>
      <c r="M294" s="389" t="str">
        <f>IF(A294="","",Calculation!N300)</f>
        <v/>
      </c>
      <c r="N294" s="390" t="str">
        <f>IF(A294="","",Calculation!R300)</f>
        <v/>
      </c>
      <c r="O294" s="391" t="str">
        <f>IF(A294="","",Calculation!$F$6)</f>
        <v/>
      </c>
      <c r="P294" s="392" t="str">
        <f>IF(A294="","",Calculation!$F$7)</f>
        <v/>
      </c>
      <c r="Q294" s="393" t="str">
        <f>IF(A294="","",Calculation!$F$13)</f>
        <v/>
      </c>
      <c r="R294" s="394" t="str">
        <f>IF(A294="","",Calculation!X300)</f>
        <v/>
      </c>
      <c r="S294" s="393" t="str">
        <f>IF(A294="","",Calculation!T300)</f>
        <v/>
      </c>
      <c r="T294" s="395" t="str">
        <f>IF(A294="","",IF(Calculation!$O$8="None","Water",CONCATENATE(Calculation!$O$8,"-",Calculation!$S$8,"%")))</f>
        <v/>
      </c>
      <c r="U294" s="393" t="str">
        <f>IF(A294="","",Calculation!$P$6)</f>
        <v/>
      </c>
      <c r="V294" s="393" t="str">
        <f>IF(A294="","",Calculation!AT300)</f>
        <v/>
      </c>
      <c r="W294" s="396" t="str">
        <f>IF(A294="","",Calculation!AP300)</f>
        <v/>
      </c>
      <c r="X294" s="396" t="str">
        <f>IF(A294="","",Calculation!AO300)</f>
        <v/>
      </c>
      <c r="Y294" s="396" t="str">
        <f>IF(A294="","",Calculation!AQ300)</f>
        <v/>
      </c>
      <c r="Z294" s="396" t="str">
        <f>IF(A294="","",Calculation!$H$6)</f>
        <v/>
      </c>
      <c r="AA294" s="397" t="str">
        <f>IF(A294="","",Calculation!$H$13)</f>
        <v/>
      </c>
      <c r="AB294" s="397" t="str">
        <f>IF(A294="","",Calculation!U300)</f>
        <v/>
      </c>
      <c r="AC294" s="398" t="str">
        <f>IF(A294="","",IF(Calculation!$O$9="None","Water",CONCATENATE(Calculation!$O$9,"-",Calculation!$S$9,"%")))</f>
        <v/>
      </c>
      <c r="AD294" s="396" t="str">
        <f>IF(A294="","",Calculation!$S$6)</f>
        <v/>
      </c>
      <c r="AE294" s="399" t="str">
        <f>IF(A294="","",Calculation!BA300)</f>
        <v/>
      </c>
      <c r="AF294" s="396" t="str">
        <f>IF(A294="","",Calculation!AX300)</f>
        <v/>
      </c>
      <c r="AG294" s="396" t="str">
        <f>IF(A294="","",Calculation!AW300)</f>
        <v/>
      </c>
      <c r="AH294" s="391" t="str">
        <f>IF(A294="","",Calculation!AY300)</f>
        <v/>
      </c>
      <c r="AI294" s="391" t="str">
        <f>IF(A294="","",Calculation!Y300)</f>
        <v/>
      </c>
      <c r="AJ294" s="401" t="str">
        <f>IF(Calculation!BD300&gt;0,Calculation!BD300," ")</f>
        <v xml:space="preserve"> </v>
      </c>
      <c r="AK294" s="401" t="str">
        <f>IF(Calculation!BD300&gt;0,Calculation!BE300," ")</f>
        <v xml:space="preserve"> </v>
      </c>
      <c r="AL294" s="401" t="str">
        <f>IF(Calculation!BD300&gt;0,Calculation!BF300," ")</f>
        <v xml:space="preserve"> </v>
      </c>
      <c r="AM294" s="401" t="str">
        <f>IF(Calculation!BD300&gt;0,Calculation!BG300," ")</f>
        <v xml:space="preserve"> </v>
      </c>
      <c r="AN294" s="391" t="str">
        <f>IF(Calculation!BH300="N/A","N/A",Calculation!BH300)</f>
        <v xml:space="preserve"> </v>
      </c>
      <c r="AO294" s="402" t="str">
        <f>IF(Calculation!BI300="N/A","N/A",Calculation!BI300)</f>
        <v/>
      </c>
      <c r="AP294" s="391" t="str">
        <f>IF(Calculation!BJ300="N/A","N/A",Calculation!BJ300)</f>
        <v/>
      </c>
      <c r="AQ294" s="402" t="str">
        <f>IF(Calculation!BK300="N/A","N/A",Calculation!BK300)</f>
        <v/>
      </c>
      <c r="AR294" s="391" t="str">
        <f>IF(Calculation!BL300="N/A","N/A",Calculation!BL300)</f>
        <v/>
      </c>
      <c r="AS294" s="402" t="str">
        <f>IF(Calculation!BM300="N/A","N/A",Calculation!BM300)</f>
        <v/>
      </c>
      <c r="AT294" s="400"/>
    </row>
    <row r="295" spans="1:46">
      <c r="A295" s="224" t="str">
        <f>IF(Calculation!BN301="","",CONCATENATE(Calculation!BO301,"-",Calculation!R301,"-",Calculation!S301,"-",Calculation!T301,"-",Calculation!U301))</f>
        <v/>
      </c>
      <c r="B295" s="224">
        <v>280</v>
      </c>
      <c r="C295" s="629" t="str">
        <f>IF(A295="","",Calculation!B301)</f>
        <v/>
      </c>
      <c r="D295" s="386" t="str">
        <f>IF(A295="","",Calculation!L301)</f>
        <v/>
      </c>
      <c r="E295" s="387" t="str">
        <f>IF(A295="","",Calculation!J301)</f>
        <v/>
      </c>
      <c r="F295" s="387" t="str">
        <f>IF(A295="","",Calculation!C301)</f>
        <v/>
      </c>
      <c r="G295" s="387" t="str">
        <f>IF(A295="","",LEFT(Calculation!O301,6))</f>
        <v/>
      </c>
      <c r="H295" s="388" t="str">
        <f>IF(A295="","",Calculation!DX301)</f>
        <v/>
      </c>
      <c r="I295" s="387" t="str">
        <f>IF(A295="","",Calculation!P301)</f>
        <v/>
      </c>
      <c r="J295" s="387" t="str">
        <f>IF(A295="","",HLOOKUP(LEFT(Calculation!BO301,7),LookUps!$C$38:$M$41,4))</f>
        <v/>
      </c>
      <c r="K295" s="387" t="str">
        <f>IF(A295="","",Calculation!M301)</f>
        <v/>
      </c>
      <c r="L295" s="387" t="str">
        <f>IF(A295="","",Calculation!S301)</f>
        <v/>
      </c>
      <c r="M295" s="389" t="str">
        <f>IF(A295="","",Calculation!N301)</f>
        <v/>
      </c>
      <c r="N295" s="390" t="str">
        <f>IF(A295="","",Calculation!R301)</f>
        <v/>
      </c>
      <c r="O295" s="391" t="str">
        <f>IF(A295="","",Calculation!$F$6)</f>
        <v/>
      </c>
      <c r="P295" s="392" t="str">
        <f>IF(A295="","",Calculation!$F$7)</f>
        <v/>
      </c>
      <c r="Q295" s="393" t="str">
        <f>IF(A295="","",Calculation!$F$13)</f>
        <v/>
      </c>
      <c r="R295" s="394" t="str">
        <f>IF(A295="","",Calculation!X301)</f>
        <v/>
      </c>
      <c r="S295" s="393" t="str">
        <f>IF(A295="","",Calculation!T301)</f>
        <v/>
      </c>
      <c r="T295" s="395" t="str">
        <f>IF(A295="","",IF(Calculation!$O$8="None","Water",CONCATENATE(Calculation!$O$8,"-",Calculation!$S$8,"%")))</f>
        <v/>
      </c>
      <c r="U295" s="393" t="str">
        <f>IF(A295="","",Calculation!$P$6)</f>
        <v/>
      </c>
      <c r="V295" s="393" t="str">
        <f>IF(A295="","",Calculation!AT301)</f>
        <v/>
      </c>
      <c r="W295" s="396" t="str">
        <f>IF(A295="","",Calculation!AP301)</f>
        <v/>
      </c>
      <c r="X295" s="396" t="str">
        <f>IF(A295="","",Calculation!AO301)</f>
        <v/>
      </c>
      <c r="Y295" s="396" t="str">
        <f>IF(A295="","",Calculation!AQ301)</f>
        <v/>
      </c>
      <c r="Z295" s="396" t="str">
        <f>IF(A295="","",Calculation!$H$6)</f>
        <v/>
      </c>
      <c r="AA295" s="397" t="str">
        <f>IF(A295="","",Calculation!$H$13)</f>
        <v/>
      </c>
      <c r="AB295" s="397" t="str">
        <f>IF(A295="","",Calculation!U301)</f>
        <v/>
      </c>
      <c r="AC295" s="398" t="str">
        <f>IF(A295="","",IF(Calculation!$O$9="None","Water",CONCATENATE(Calculation!$O$9,"-",Calculation!$S$9,"%")))</f>
        <v/>
      </c>
      <c r="AD295" s="396" t="str">
        <f>IF(A295="","",Calculation!$S$6)</f>
        <v/>
      </c>
      <c r="AE295" s="399" t="str">
        <f>IF(A295="","",Calculation!BA301)</f>
        <v/>
      </c>
      <c r="AF295" s="396" t="str">
        <f>IF(A295="","",Calculation!AX301)</f>
        <v/>
      </c>
      <c r="AG295" s="396" t="str">
        <f>IF(A295="","",Calculation!AW301)</f>
        <v/>
      </c>
      <c r="AH295" s="391" t="str">
        <f>IF(A295="","",Calculation!AY301)</f>
        <v/>
      </c>
      <c r="AI295" s="391" t="str">
        <f>IF(A295="","",Calculation!Y301)</f>
        <v/>
      </c>
      <c r="AJ295" s="401" t="str">
        <f>IF(Calculation!BD301&gt;0,Calculation!BD301," ")</f>
        <v xml:space="preserve"> </v>
      </c>
      <c r="AK295" s="401" t="str">
        <f>IF(Calculation!BD301&gt;0,Calculation!BE301," ")</f>
        <v xml:space="preserve"> </v>
      </c>
      <c r="AL295" s="401" t="str">
        <f>IF(Calculation!BD301&gt;0,Calculation!BF301," ")</f>
        <v xml:space="preserve"> </v>
      </c>
      <c r="AM295" s="401" t="str">
        <f>IF(Calculation!BD301&gt;0,Calculation!BG301," ")</f>
        <v xml:space="preserve"> </v>
      </c>
      <c r="AN295" s="391" t="str">
        <f>IF(Calculation!BH301="N/A","N/A",Calculation!BH301)</f>
        <v xml:space="preserve"> </v>
      </c>
      <c r="AO295" s="402" t="str">
        <f>IF(Calculation!BI301="N/A","N/A",Calculation!BI301)</f>
        <v/>
      </c>
      <c r="AP295" s="391" t="str">
        <f>IF(Calculation!BJ301="N/A","N/A",Calculation!BJ301)</f>
        <v/>
      </c>
      <c r="AQ295" s="402" t="str">
        <f>IF(Calculation!BK301="N/A","N/A",Calculation!BK301)</f>
        <v/>
      </c>
      <c r="AR295" s="391" t="str">
        <f>IF(Calculation!BL301="N/A","N/A",Calculation!BL301)</f>
        <v/>
      </c>
      <c r="AS295" s="402" t="str">
        <f>IF(Calculation!BM301="N/A","N/A",Calculation!BM301)</f>
        <v/>
      </c>
      <c r="AT295" s="400"/>
    </row>
    <row r="296" spans="1:46">
      <c r="A296" s="224" t="str">
        <f>IF(Calculation!BN302="","",CONCATENATE(Calculation!BO302,"-",Calculation!R302,"-",Calculation!S302,"-",Calculation!T302,"-",Calculation!U302))</f>
        <v/>
      </c>
      <c r="B296" s="224">
        <v>281</v>
      </c>
      <c r="C296" s="629" t="str">
        <f>IF(A296="","",Calculation!B302)</f>
        <v/>
      </c>
      <c r="D296" s="386" t="str">
        <f>IF(A296="","",Calculation!L302)</f>
        <v/>
      </c>
      <c r="E296" s="387" t="str">
        <f>IF(A296="","",Calculation!J302)</f>
        <v/>
      </c>
      <c r="F296" s="387" t="str">
        <f>IF(A296="","",Calculation!C302)</f>
        <v/>
      </c>
      <c r="G296" s="387" t="str">
        <f>IF(A296="","",LEFT(Calculation!O302,6))</f>
        <v/>
      </c>
      <c r="H296" s="388" t="str">
        <f>IF(A296="","",Calculation!DX302)</f>
        <v/>
      </c>
      <c r="I296" s="387" t="str">
        <f>IF(A296="","",Calculation!P302)</f>
        <v/>
      </c>
      <c r="J296" s="387" t="str">
        <f>IF(A296="","",HLOOKUP(LEFT(Calculation!BO302,7),LookUps!$C$38:$M$41,4))</f>
        <v/>
      </c>
      <c r="K296" s="387" t="str">
        <f>IF(A296="","",Calculation!M302)</f>
        <v/>
      </c>
      <c r="L296" s="387" t="str">
        <f>IF(A296="","",Calculation!S302)</f>
        <v/>
      </c>
      <c r="M296" s="389" t="str">
        <f>IF(A296="","",Calculation!N302)</f>
        <v/>
      </c>
      <c r="N296" s="390" t="str">
        <f>IF(A296="","",Calculation!R302)</f>
        <v/>
      </c>
      <c r="O296" s="391" t="str">
        <f>IF(A296="","",Calculation!$F$6)</f>
        <v/>
      </c>
      <c r="P296" s="392" t="str">
        <f>IF(A296="","",Calculation!$F$7)</f>
        <v/>
      </c>
      <c r="Q296" s="393" t="str">
        <f>IF(A296="","",Calculation!$F$13)</f>
        <v/>
      </c>
      <c r="R296" s="394" t="str">
        <f>IF(A296="","",Calculation!X302)</f>
        <v/>
      </c>
      <c r="S296" s="393" t="str">
        <f>IF(A296="","",Calculation!T302)</f>
        <v/>
      </c>
      <c r="T296" s="395" t="str">
        <f>IF(A296="","",IF(Calculation!$O$8="None","Water",CONCATENATE(Calculation!$O$8,"-",Calculation!$S$8,"%")))</f>
        <v/>
      </c>
      <c r="U296" s="393" t="str">
        <f>IF(A296="","",Calculation!$P$6)</f>
        <v/>
      </c>
      <c r="V296" s="393" t="str">
        <f>IF(A296="","",Calculation!AT302)</f>
        <v/>
      </c>
      <c r="W296" s="396" t="str">
        <f>IF(A296="","",Calculation!AP302)</f>
        <v/>
      </c>
      <c r="X296" s="396" t="str">
        <f>IF(A296="","",Calculation!AO302)</f>
        <v/>
      </c>
      <c r="Y296" s="396" t="str">
        <f>IF(A296="","",Calculation!AQ302)</f>
        <v/>
      </c>
      <c r="Z296" s="396" t="str">
        <f>IF(A296="","",Calculation!$H$6)</f>
        <v/>
      </c>
      <c r="AA296" s="397" t="str">
        <f>IF(A296="","",Calculation!$H$13)</f>
        <v/>
      </c>
      <c r="AB296" s="397" t="str">
        <f>IF(A296="","",Calculation!U302)</f>
        <v/>
      </c>
      <c r="AC296" s="398" t="str">
        <f>IF(A296="","",IF(Calculation!$O$9="None","Water",CONCATENATE(Calculation!$O$9,"-",Calculation!$S$9,"%")))</f>
        <v/>
      </c>
      <c r="AD296" s="396" t="str">
        <f>IF(A296="","",Calculation!$S$6)</f>
        <v/>
      </c>
      <c r="AE296" s="399" t="str">
        <f>IF(A296="","",Calculation!BA302)</f>
        <v/>
      </c>
      <c r="AF296" s="396" t="str">
        <f>IF(A296="","",Calculation!AX302)</f>
        <v/>
      </c>
      <c r="AG296" s="396" t="str">
        <f>IF(A296="","",Calculation!AW302)</f>
        <v/>
      </c>
      <c r="AH296" s="391" t="str">
        <f>IF(A296="","",Calculation!AY302)</f>
        <v/>
      </c>
      <c r="AI296" s="391" t="str">
        <f>IF(A296="","",Calculation!Y302)</f>
        <v/>
      </c>
      <c r="AJ296" s="401" t="str">
        <f>IF(Calculation!BD302&gt;0,Calculation!BD302," ")</f>
        <v xml:space="preserve"> </v>
      </c>
      <c r="AK296" s="401" t="str">
        <f>IF(Calculation!BD302&gt;0,Calculation!BE302," ")</f>
        <v xml:space="preserve"> </v>
      </c>
      <c r="AL296" s="401" t="str">
        <f>IF(Calculation!BD302&gt;0,Calculation!BF302," ")</f>
        <v xml:space="preserve"> </v>
      </c>
      <c r="AM296" s="401" t="str">
        <f>IF(Calculation!BD302&gt;0,Calculation!BG302," ")</f>
        <v xml:space="preserve"> </v>
      </c>
      <c r="AN296" s="391" t="str">
        <f>IF(Calculation!BH302="N/A","N/A",Calculation!BH302)</f>
        <v xml:space="preserve"> </v>
      </c>
      <c r="AO296" s="402" t="str">
        <f>IF(Calculation!BI302="N/A","N/A",Calculation!BI302)</f>
        <v/>
      </c>
      <c r="AP296" s="391" t="str">
        <f>IF(Calculation!BJ302="N/A","N/A",Calculation!BJ302)</f>
        <v/>
      </c>
      <c r="AQ296" s="402" t="str">
        <f>IF(Calculation!BK302="N/A","N/A",Calculation!BK302)</f>
        <v/>
      </c>
      <c r="AR296" s="391" t="str">
        <f>IF(Calculation!BL302="N/A","N/A",Calculation!BL302)</f>
        <v/>
      </c>
      <c r="AS296" s="402" t="str">
        <f>IF(Calculation!BM302="N/A","N/A",Calculation!BM302)</f>
        <v/>
      </c>
      <c r="AT296" s="400"/>
    </row>
    <row r="297" spans="1:46">
      <c r="A297" s="224" t="str">
        <f>IF(Calculation!BN303="","",CONCATENATE(Calculation!BO303,"-",Calculation!R303,"-",Calculation!S303,"-",Calculation!T303,"-",Calculation!U303))</f>
        <v/>
      </c>
      <c r="B297" s="224">
        <v>282</v>
      </c>
      <c r="C297" s="629" t="str">
        <f>IF(A297="","",Calculation!B303)</f>
        <v/>
      </c>
      <c r="D297" s="386" t="str">
        <f>IF(A297="","",Calculation!L303)</f>
        <v/>
      </c>
      <c r="E297" s="387" t="str">
        <f>IF(A297="","",Calculation!J303)</f>
        <v/>
      </c>
      <c r="F297" s="387" t="str">
        <f>IF(A297="","",Calculation!C303)</f>
        <v/>
      </c>
      <c r="G297" s="387" t="str">
        <f>IF(A297="","",LEFT(Calculation!O303,6))</f>
        <v/>
      </c>
      <c r="H297" s="388" t="str">
        <f>IF(A297="","",Calculation!DX303)</f>
        <v/>
      </c>
      <c r="I297" s="387" t="str">
        <f>IF(A297="","",Calculation!P303)</f>
        <v/>
      </c>
      <c r="J297" s="387" t="str">
        <f>IF(A297="","",HLOOKUP(LEFT(Calculation!BO303,7),LookUps!$C$38:$M$41,4))</f>
        <v/>
      </c>
      <c r="K297" s="387" t="str">
        <f>IF(A297="","",Calculation!M303)</f>
        <v/>
      </c>
      <c r="L297" s="387" t="str">
        <f>IF(A297="","",Calculation!S303)</f>
        <v/>
      </c>
      <c r="M297" s="389" t="str">
        <f>IF(A297="","",Calculation!N303)</f>
        <v/>
      </c>
      <c r="N297" s="390" t="str">
        <f>IF(A297="","",Calculation!R303)</f>
        <v/>
      </c>
      <c r="O297" s="391" t="str">
        <f>IF(A297="","",Calculation!$F$6)</f>
        <v/>
      </c>
      <c r="P297" s="392" t="str">
        <f>IF(A297="","",Calculation!$F$7)</f>
        <v/>
      </c>
      <c r="Q297" s="393" t="str">
        <f>IF(A297="","",Calculation!$F$13)</f>
        <v/>
      </c>
      <c r="R297" s="394" t="str">
        <f>IF(A297="","",Calculation!X303)</f>
        <v/>
      </c>
      <c r="S297" s="393" t="str">
        <f>IF(A297="","",Calculation!T303)</f>
        <v/>
      </c>
      <c r="T297" s="395" t="str">
        <f>IF(A297="","",IF(Calculation!$O$8="None","Water",CONCATENATE(Calculation!$O$8,"-",Calculation!$S$8,"%")))</f>
        <v/>
      </c>
      <c r="U297" s="393" t="str">
        <f>IF(A297="","",Calculation!$P$6)</f>
        <v/>
      </c>
      <c r="V297" s="393" t="str">
        <f>IF(A297="","",Calculation!AT303)</f>
        <v/>
      </c>
      <c r="W297" s="396" t="str">
        <f>IF(A297="","",Calculation!AP303)</f>
        <v/>
      </c>
      <c r="X297" s="396" t="str">
        <f>IF(A297="","",Calculation!AO303)</f>
        <v/>
      </c>
      <c r="Y297" s="396" t="str">
        <f>IF(A297="","",Calculation!AQ303)</f>
        <v/>
      </c>
      <c r="Z297" s="396" t="str">
        <f>IF(A297="","",Calculation!$H$6)</f>
        <v/>
      </c>
      <c r="AA297" s="397" t="str">
        <f>IF(A297="","",Calculation!$H$13)</f>
        <v/>
      </c>
      <c r="AB297" s="397" t="str">
        <f>IF(A297="","",Calculation!U303)</f>
        <v/>
      </c>
      <c r="AC297" s="398" t="str">
        <f>IF(A297="","",IF(Calculation!$O$9="None","Water",CONCATENATE(Calculation!$O$9,"-",Calculation!$S$9,"%")))</f>
        <v/>
      </c>
      <c r="AD297" s="396" t="str">
        <f>IF(A297="","",Calculation!$S$6)</f>
        <v/>
      </c>
      <c r="AE297" s="399" t="str">
        <f>IF(A297="","",Calculation!BA303)</f>
        <v/>
      </c>
      <c r="AF297" s="396" t="str">
        <f>IF(A297="","",Calculation!AX303)</f>
        <v/>
      </c>
      <c r="AG297" s="396" t="str">
        <f>IF(A297="","",Calculation!AW303)</f>
        <v/>
      </c>
      <c r="AH297" s="391" t="str">
        <f>IF(A297="","",Calculation!AY303)</f>
        <v/>
      </c>
      <c r="AI297" s="391" t="str">
        <f>IF(A297="","",Calculation!Y303)</f>
        <v/>
      </c>
      <c r="AJ297" s="401" t="str">
        <f>IF(Calculation!BD303&gt;0,Calculation!BD303," ")</f>
        <v xml:space="preserve"> </v>
      </c>
      <c r="AK297" s="401" t="str">
        <f>IF(Calculation!BD303&gt;0,Calculation!BE303," ")</f>
        <v xml:space="preserve"> </v>
      </c>
      <c r="AL297" s="401" t="str">
        <f>IF(Calculation!BD303&gt;0,Calculation!BF303," ")</f>
        <v xml:space="preserve"> </v>
      </c>
      <c r="AM297" s="401" t="str">
        <f>IF(Calculation!BD303&gt;0,Calculation!BG303," ")</f>
        <v xml:space="preserve"> </v>
      </c>
      <c r="AN297" s="391" t="str">
        <f>IF(Calculation!BH303="N/A","N/A",Calculation!BH303)</f>
        <v xml:space="preserve"> </v>
      </c>
      <c r="AO297" s="402" t="str">
        <f>IF(Calculation!BI303="N/A","N/A",Calculation!BI303)</f>
        <v/>
      </c>
      <c r="AP297" s="391" t="str">
        <f>IF(Calculation!BJ303="N/A","N/A",Calculation!BJ303)</f>
        <v/>
      </c>
      <c r="AQ297" s="402" t="str">
        <f>IF(Calculation!BK303="N/A","N/A",Calculation!BK303)</f>
        <v/>
      </c>
      <c r="AR297" s="391" t="str">
        <f>IF(Calculation!BL303="N/A","N/A",Calculation!BL303)</f>
        <v/>
      </c>
      <c r="AS297" s="402" t="str">
        <f>IF(Calculation!BM303="N/A","N/A",Calculation!BM303)</f>
        <v/>
      </c>
      <c r="AT297" s="400"/>
    </row>
    <row r="298" spans="1:46">
      <c r="A298" s="224" t="str">
        <f>IF(Calculation!BN304="","",CONCATENATE(Calculation!BO304,"-",Calculation!R304,"-",Calculation!S304,"-",Calculation!T304,"-",Calculation!U304))</f>
        <v/>
      </c>
      <c r="B298" s="224">
        <v>283</v>
      </c>
      <c r="C298" s="629" t="str">
        <f>IF(A298="","",Calculation!B304)</f>
        <v/>
      </c>
      <c r="D298" s="386" t="str">
        <f>IF(A298="","",Calculation!L304)</f>
        <v/>
      </c>
      <c r="E298" s="387" t="str">
        <f>IF(A298="","",Calculation!J304)</f>
        <v/>
      </c>
      <c r="F298" s="387" t="str">
        <f>IF(A298="","",Calculation!C304)</f>
        <v/>
      </c>
      <c r="G298" s="387" t="str">
        <f>IF(A298="","",LEFT(Calculation!O304,6))</f>
        <v/>
      </c>
      <c r="H298" s="388" t="str">
        <f>IF(A298="","",Calculation!DX304)</f>
        <v/>
      </c>
      <c r="I298" s="387" t="str">
        <f>IF(A298="","",Calculation!P304)</f>
        <v/>
      </c>
      <c r="J298" s="387" t="str">
        <f>IF(A298="","",HLOOKUP(LEFT(Calculation!BO304,7),LookUps!$C$38:$M$41,4))</f>
        <v/>
      </c>
      <c r="K298" s="387" t="str">
        <f>IF(A298="","",Calculation!M304)</f>
        <v/>
      </c>
      <c r="L298" s="387" t="str">
        <f>IF(A298="","",Calculation!S304)</f>
        <v/>
      </c>
      <c r="M298" s="389" t="str">
        <f>IF(A298="","",Calculation!N304)</f>
        <v/>
      </c>
      <c r="N298" s="390" t="str">
        <f>IF(A298="","",Calculation!R304)</f>
        <v/>
      </c>
      <c r="O298" s="391" t="str">
        <f>IF(A298="","",Calculation!$F$6)</f>
        <v/>
      </c>
      <c r="P298" s="392" t="str">
        <f>IF(A298="","",Calculation!$F$7)</f>
        <v/>
      </c>
      <c r="Q298" s="393" t="str">
        <f>IF(A298="","",Calculation!$F$13)</f>
        <v/>
      </c>
      <c r="R298" s="394" t="str">
        <f>IF(A298="","",Calculation!X304)</f>
        <v/>
      </c>
      <c r="S298" s="393" t="str">
        <f>IF(A298="","",Calculation!T304)</f>
        <v/>
      </c>
      <c r="T298" s="395" t="str">
        <f>IF(A298="","",IF(Calculation!$O$8="None","Water",CONCATENATE(Calculation!$O$8,"-",Calculation!$S$8,"%")))</f>
        <v/>
      </c>
      <c r="U298" s="393" t="str">
        <f>IF(A298="","",Calculation!$P$6)</f>
        <v/>
      </c>
      <c r="V298" s="393" t="str">
        <f>IF(A298="","",Calculation!AT304)</f>
        <v/>
      </c>
      <c r="W298" s="396" t="str">
        <f>IF(A298="","",Calculation!AP304)</f>
        <v/>
      </c>
      <c r="X298" s="396" t="str">
        <f>IF(A298="","",Calculation!AO304)</f>
        <v/>
      </c>
      <c r="Y298" s="396" t="str">
        <f>IF(A298="","",Calculation!AQ304)</f>
        <v/>
      </c>
      <c r="Z298" s="396" t="str">
        <f>IF(A298="","",Calculation!$H$6)</f>
        <v/>
      </c>
      <c r="AA298" s="397" t="str">
        <f>IF(A298="","",Calculation!$H$13)</f>
        <v/>
      </c>
      <c r="AB298" s="397" t="str">
        <f>IF(A298="","",Calculation!U304)</f>
        <v/>
      </c>
      <c r="AC298" s="398" t="str">
        <f>IF(A298="","",IF(Calculation!$O$9="None","Water",CONCATENATE(Calculation!$O$9,"-",Calculation!$S$9,"%")))</f>
        <v/>
      </c>
      <c r="AD298" s="396" t="str">
        <f>IF(A298="","",Calculation!$S$6)</f>
        <v/>
      </c>
      <c r="AE298" s="399" t="str">
        <f>IF(A298="","",Calculation!BA304)</f>
        <v/>
      </c>
      <c r="AF298" s="396" t="str">
        <f>IF(A298="","",Calculation!AX304)</f>
        <v/>
      </c>
      <c r="AG298" s="396" t="str">
        <f>IF(A298="","",Calculation!AW304)</f>
        <v/>
      </c>
      <c r="AH298" s="391" t="str">
        <f>IF(A298="","",Calculation!AY304)</f>
        <v/>
      </c>
      <c r="AI298" s="391" t="str">
        <f>IF(A298="","",Calculation!Y304)</f>
        <v/>
      </c>
      <c r="AJ298" s="401" t="str">
        <f>IF(Calculation!BD304&gt;0,Calculation!BD304," ")</f>
        <v xml:space="preserve"> </v>
      </c>
      <c r="AK298" s="401" t="str">
        <f>IF(Calculation!BD304&gt;0,Calculation!BE304," ")</f>
        <v xml:space="preserve"> </v>
      </c>
      <c r="AL298" s="401" t="str">
        <f>IF(Calculation!BD304&gt;0,Calculation!BF304," ")</f>
        <v xml:space="preserve"> </v>
      </c>
      <c r="AM298" s="401" t="str">
        <f>IF(Calculation!BD304&gt;0,Calculation!BG304," ")</f>
        <v xml:space="preserve"> </v>
      </c>
      <c r="AN298" s="391" t="str">
        <f>IF(Calculation!BH304="N/A","N/A",Calculation!BH304)</f>
        <v xml:space="preserve"> </v>
      </c>
      <c r="AO298" s="402" t="str">
        <f>IF(Calculation!BI304="N/A","N/A",Calculation!BI304)</f>
        <v/>
      </c>
      <c r="AP298" s="391" t="str">
        <f>IF(Calculation!BJ304="N/A","N/A",Calculation!BJ304)</f>
        <v/>
      </c>
      <c r="AQ298" s="402" t="str">
        <f>IF(Calculation!BK304="N/A","N/A",Calculation!BK304)</f>
        <v/>
      </c>
      <c r="AR298" s="391" t="str">
        <f>IF(Calculation!BL304="N/A","N/A",Calculation!BL304)</f>
        <v/>
      </c>
      <c r="AS298" s="402" t="str">
        <f>IF(Calculation!BM304="N/A","N/A",Calculation!BM304)</f>
        <v/>
      </c>
      <c r="AT298" s="400"/>
    </row>
    <row r="299" spans="1:46">
      <c r="A299" s="224" t="str">
        <f>IF(Calculation!BN305="","",CONCATENATE(Calculation!BO305,"-",Calculation!R305,"-",Calculation!S305,"-",Calculation!T305,"-",Calculation!U305))</f>
        <v/>
      </c>
      <c r="B299" s="224">
        <v>284</v>
      </c>
      <c r="C299" s="629" t="str">
        <f>IF(A299="","",Calculation!B305)</f>
        <v/>
      </c>
      <c r="D299" s="386" t="str">
        <f>IF(A299="","",Calculation!L305)</f>
        <v/>
      </c>
      <c r="E299" s="387" t="str">
        <f>IF(A299="","",Calculation!J305)</f>
        <v/>
      </c>
      <c r="F299" s="387" t="str">
        <f>IF(A299="","",Calculation!C305)</f>
        <v/>
      </c>
      <c r="G299" s="387" t="str">
        <f>IF(A299="","",LEFT(Calculation!O305,6))</f>
        <v/>
      </c>
      <c r="H299" s="388" t="str">
        <f>IF(A299="","",Calculation!DX305)</f>
        <v/>
      </c>
      <c r="I299" s="387" t="str">
        <f>IF(A299="","",Calculation!P305)</f>
        <v/>
      </c>
      <c r="J299" s="387" t="str">
        <f>IF(A299="","",HLOOKUP(LEFT(Calculation!BO305,7),LookUps!$C$38:$M$41,4))</f>
        <v/>
      </c>
      <c r="K299" s="387" t="str">
        <f>IF(A299="","",Calculation!M305)</f>
        <v/>
      </c>
      <c r="L299" s="387" t="str">
        <f>IF(A299="","",Calculation!S305)</f>
        <v/>
      </c>
      <c r="M299" s="389" t="str">
        <f>IF(A299="","",Calculation!N305)</f>
        <v/>
      </c>
      <c r="N299" s="390" t="str">
        <f>IF(A299="","",Calculation!R305)</f>
        <v/>
      </c>
      <c r="O299" s="391" t="str">
        <f>IF(A299="","",Calculation!$F$6)</f>
        <v/>
      </c>
      <c r="P299" s="392" t="str">
        <f>IF(A299="","",Calculation!$F$7)</f>
        <v/>
      </c>
      <c r="Q299" s="393" t="str">
        <f>IF(A299="","",Calculation!$F$13)</f>
        <v/>
      </c>
      <c r="R299" s="394" t="str">
        <f>IF(A299="","",Calculation!X305)</f>
        <v/>
      </c>
      <c r="S299" s="393" t="str">
        <f>IF(A299="","",Calculation!T305)</f>
        <v/>
      </c>
      <c r="T299" s="395" t="str">
        <f>IF(A299="","",IF(Calculation!$O$8="None","Water",CONCATENATE(Calculation!$O$8,"-",Calculation!$S$8,"%")))</f>
        <v/>
      </c>
      <c r="U299" s="393" t="str">
        <f>IF(A299="","",Calculation!$P$6)</f>
        <v/>
      </c>
      <c r="V299" s="393" t="str">
        <f>IF(A299="","",Calculation!AT305)</f>
        <v/>
      </c>
      <c r="W299" s="396" t="str">
        <f>IF(A299="","",Calculation!AP305)</f>
        <v/>
      </c>
      <c r="X299" s="396" t="str">
        <f>IF(A299="","",Calculation!AO305)</f>
        <v/>
      </c>
      <c r="Y299" s="396" t="str">
        <f>IF(A299="","",Calculation!AQ305)</f>
        <v/>
      </c>
      <c r="Z299" s="396" t="str">
        <f>IF(A299="","",Calculation!$H$6)</f>
        <v/>
      </c>
      <c r="AA299" s="397" t="str">
        <f>IF(A299="","",Calculation!$H$13)</f>
        <v/>
      </c>
      <c r="AB299" s="397" t="str">
        <f>IF(A299="","",Calculation!U305)</f>
        <v/>
      </c>
      <c r="AC299" s="398" t="str">
        <f>IF(A299="","",IF(Calculation!$O$9="None","Water",CONCATENATE(Calculation!$O$9,"-",Calculation!$S$9,"%")))</f>
        <v/>
      </c>
      <c r="AD299" s="396" t="str">
        <f>IF(A299="","",Calculation!$S$6)</f>
        <v/>
      </c>
      <c r="AE299" s="399" t="str">
        <f>IF(A299="","",Calculation!BA305)</f>
        <v/>
      </c>
      <c r="AF299" s="396" t="str">
        <f>IF(A299="","",Calculation!AX305)</f>
        <v/>
      </c>
      <c r="AG299" s="396" t="str">
        <f>IF(A299="","",Calculation!AW305)</f>
        <v/>
      </c>
      <c r="AH299" s="391" t="str">
        <f>IF(A299="","",Calculation!AY305)</f>
        <v/>
      </c>
      <c r="AI299" s="391" t="str">
        <f>IF(A299="","",Calculation!Y305)</f>
        <v/>
      </c>
      <c r="AJ299" s="401" t="str">
        <f>IF(Calculation!BD305&gt;0,Calculation!BD305," ")</f>
        <v xml:space="preserve"> </v>
      </c>
      <c r="AK299" s="401" t="str">
        <f>IF(Calculation!BD305&gt;0,Calculation!BE305," ")</f>
        <v xml:space="preserve"> </v>
      </c>
      <c r="AL299" s="401" t="str">
        <f>IF(Calculation!BD305&gt;0,Calculation!BF305," ")</f>
        <v xml:space="preserve"> </v>
      </c>
      <c r="AM299" s="401" t="str">
        <f>IF(Calculation!BD305&gt;0,Calculation!BG305," ")</f>
        <v xml:space="preserve"> </v>
      </c>
      <c r="AN299" s="391" t="str">
        <f>IF(Calculation!BH305="N/A","N/A",Calculation!BH305)</f>
        <v xml:space="preserve"> </v>
      </c>
      <c r="AO299" s="402" t="str">
        <f>IF(Calculation!BI305="N/A","N/A",Calculation!BI305)</f>
        <v/>
      </c>
      <c r="AP299" s="391" t="str">
        <f>IF(Calculation!BJ305="N/A","N/A",Calculation!BJ305)</f>
        <v/>
      </c>
      <c r="AQ299" s="402" t="str">
        <f>IF(Calculation!BK305="N/A","N/A",Calculation!BK305)</f>
        <v/>
      </c>
      <c r="AR299" s="391" t="str">
        <f>IF(Calculation!BL305="N/A","N/A",Calculation!BL305)</f>
        <v/>
      </c>
      <c r="AS299" s="402" t="str">
        <f>IF(Calculation!BM305="N/A","N/A",Calculation!BM305)</f>
        <v/>
      </c>
      <c r="AT299" s="400"/>
    </row>
    <row r="300" spans="1:46">
      <c r="A300" s="224" t="str">
        <f>IF(Calculation!BN306="","",CONCATENATE(Calculation!BO306,"-",Calculation!R306,"-",Calculation!S306,"-",Calculation!T306,"-",Calculation!U306))</f>
        <v/>
      </c>
      <c r="B300" s="224">
        <v>285</v>
      </c>
      <c r="C300" s="629" t="str">
        <f>IF(A300="","",Calculation!B306)</f>
        <v/>
      </c>
      <c r="D300" s="386" t="str">
        <f>IF(A300="","",Calculation!L306)</f>
        <v/>
      </c>
      <c r="E300" s="387" t="str">
        <f>IF(A300="","",Calculation!J306)</f>
        <v/>
      </c>
      <c r="F300" s="387" t="str">
        <f>IF(A300="","",Calculation!C306)</f>
        <v/>
      </c>
      <c r="G300" s="387" t="str">
        <f>IF(A300="","",LEFT(Calculation!O306,6))</f>
        <v/>
      </c>
      <c r="H300" s="388" t="str">
        <f>IF(A300="","",Calculation!DX306)</f>
        <v/>
      </c>
      <c r="I300" s="387" t="str">
        <f>IF(A300="","",Calculation!P306)</f>
        <v/>
      </c>
      <c r="J300" s="387" t="str">
        <f>IF(A300="","",HLOOKUP(LEFT(Calculation!BO306,7),LookUps!$C$38:$M$41,4))</f>
        <v/>
      </c>
      <c r="K300" s="387" t="str">
        <f>IF(A300="","",Calculation!M306)</f>
        <v/>
      </c>
      <c r="L300" s="387" t="str">
        <f>IF(A300="","",Calculation!S306)</f>
        <v/>
      </c>
      <c r="M300" s="389" t="str">
        <f>IF(A300="","",Calculation!N306)</f>
        <v/>
      </c>
      <c r="N300" s="390" t="str">
        <f>IF(A300="","",Calculation!R306)</f>
        <v/>
      </c>
      <c r="O300" s="391" t="str">
        <f>IF(A300="","",Calculation!$F$6)</f>
        <v/>
      </c>
      <c r="P300" s="392" t="str">
        <f>IF(A300="","",Calculation!$F$7)</f>
        <v/>
      </c>
      <c r="Q300" s="393" t="str">
        <f>IF(A300="","",Calculation!$F$13)</f>
        <v/>
      </c>
      <c r="R300" s="394" t="str">
        <f>IF(A300="","",Calculation!X306)</f>
        <v/>
      </c>
      <c r="S300" s="393" t="str">
        <f>IF(A300="","",Calculation!T306)</f>
        <v/>
      </c>
      <c r="T300" s="395" t="str">
        <f>IF(A300="","",IF(Calculation!$O$8="None","Water",CONCATENATE(Calculation!$O$8,"-",Calculation!$S$8,"%")))</f>
        <v/>
      </c>
      <c r="U300" s="393" t="str">
        <f>IF(A300="","",Calculation!$P$6)</f>
        <v/>
      </c>
      <c r="V300" s="393" t="str">
        <f>IF(A300="","",Calculation!AT306)</f>
        <v/>
      </c>
      <c r="W300" s="396" t="str">
        <f>IF(A300="","",Calculation!AP306)</f>
        <v/>
      </c>
      <c r="X300" s="396" t="str">
        <f>IF(A300="","",Calculation!AO306)</f>
        <v/>
      </c>
      <c r="Y300" s="396" t="str">
        <f>IF(A300="","",Calculation!AQ306)</f>
        <v/>
      </c>
      <c r="Z300" s="396" t="str">
        <f>IF(A300="","",Calculation!$H$6)</f>
        <v/>
      </c>
      <c r="AA300" s="397" t="str">
        <f>IF(A300="","",Calculation!$H$13)</f>
        <v/>
      </c>
      <c r="AB300" s="397" t="str">
        <f>IF(A300="","",Calculation!U306)</f>
        <v/>
      </c>
      <c r="AC300" s="398" t="str">
        <f>IF(A300="","",IF(Calculation!$O$9="None","Water",CONCATENATE(Calculation!$O$9,"-",Calculation!$S$9,"%")))</f>
        <v/>
      </c>
      <c r="AD300" s="396" t="str">
        <f>IF(A300="","",Calculation!$S$6)</f>
        <v/>
      </c>
      <c r="AE300" s="399" t="str">
        <f>IF(A300="","",Calculation!BA306)</f>
        <v/>
      </c>
      <c r="AF300" s="396" t="str">
        <f>IF(A300="","",Calculation!AX306)</f>
        <v/>
      </c>
      <c r="AG300" s="396" t="str">
        <f>IF(A300="","",Calculation!AW306)</f>
        <v/>
      </c>
      <c r="AH300" s="391" t="str">
        <f>IF(A300="","",Calculation!AY306)</f>
        <v/>
      </c>
      <c r="AI300" s="391" t="str">
        <f>IF(A300="","",Calculation!Y306)</f>
        <v/>
      </c>
      <c r="AJ300" s="401" t="str">
        <f>IF(Calculation!BD306&gt;0,Calculation!BD306," ")</f>
        <v xml:space="preserve"> </v>
      </c>
      <c r="AK300" s="401" t="str">
        <f>IF(Calculation!BD306&gt;0,Calculation!BE306," ")</f>
        <v xml:space="preserve"> </v>
      </c>
      <c r="AL300" s="401" t="str">
        <f>IF(Calculation!BD306&gt;0,Calculation!BF306," ")</f>
        <v xml:space="preserve"> </v>
      </c>
      <c r="AM300" s="401" t="str">
        <f>IF(Calculation!BD306&gt;0,Calculation!BG306," ")</f>
        <v xml:space="preserve"> </v>
      </c>
      <c r="AN300" s="391" t="str">
        <f>IF(Calculation!BH306="N/A","N/A",Calculation!BH306)</f>
        <v xml:space="preserve"> </v>
      </c>
      <c r="AO300" s="402" t="str">
        <f>IF(Calculation!BI306="N/A","N/A",Calculation!BI306)</f>
        <v/>
      </c>
      <c r="AP300" s="391" t="str">
        <f>IF(Calculation!BJ306="N/A","N/A",Calculation!BJ306)</f>
        <v/>
      </c>
      <c r="AQ300" s="402" t="str">
        <f>IF(Calculation!BK306="N/A","N/A",Calculation!BK306)</f>
        <v/>
      </c>
      <c r="AR300" s="391" t="str">
        <f>IF(Calculation!BL306="N/A","N/A",Calculation!BL306)</f>
        <v/>
      </c>
      <c r="AS300" s="402" t="str">
        <f>IF(Calculation!BM306="N/A","N/A",Calculation!BM306)</f>
        <v/>
      </c>
      <c r="AT300" s="400"/>
    </row>
    <row r="301" spans="1:46">
      <c r="A301" s="224" t="str">
        <f>IF(Calculation!BN307="","",CONCATENATE(Calculation!BO307,"-",Calculation!R307,"-",Calculation!S307,"-",Calculation!T307,"-",Calculation!U307))</f>
        <v/>
      </c>
      <c r="B301" s="224">
        <v>286</v>
      </c>
      <c r="C301" s="629" t="str">
        <f>IF(A301="","",Calculation!B307)</f>
        <v/>
      </c>
      <c r="D301" s="386" t="str">
        <f>IF(A301="","",Calculation!L307)</f>
        <v/>
      </c>
      <c r="E301" s="387" t="str">
        <f>IF(A301="","",Calculation!J307)</f>
        <v/>
      </c>
      <c r="F301" s="387" t="str">
        <f>IF(A301="","",Calculation!C307)</f>
        <v/>
      </c>
      <c r="G301" s="387" t="str">
        <f>IF(A301="","",LEFT(Calculation!O307,6))</f>
        <v/>
      </c>
      <c r="H301" s="388" t="str">
        <f>IF(A301="","",Calculation!DX307)</f>
        <v/>
      </c>
      <c r="I301" s="387" t="str">
        <f>IF(A301="","",Calculation!P307)</f>
        <v/>
      </c>
      <c r="J301" s="387" t="str">
        <f>IF(A301="","",HLOOKUP(LEFT(Calculation!BO307,7),LookUps!$C$38:$M$41,4))</f>
        <v/>
      </c>
      <c r="K301" s="387" t="str">
        <f>IF(A301="","",Calculation!M307)</f>
        <v/>
      </c>
      <c r="L301" s="387" t="str">
        <f>IF(A301="","",Calculation!S307)</f>
        <v/>
      </c>
      <c r="M301" s="389" t="str">
        <f>IF(A301="","",Calculation!N307)</f>
        <v/>
      </c>
      <c r="N301" s="390" t="str">
        <f>IF(A301="","",Calculation!R307)</f>
        <v/>
      </c>
      <c r="O301" s="391" t="str">
        <f>IF(A301="","",Calculation!$F$6)</f>
        <v/>
      </c>
      <c r="P301" s="392" t="str">
        <f>IF(A301="","",Calculation!$F$7)</f>
        <v/>
      </c>
      <c r="Q301" s="393" t="str">
        <f>IF(A301="","",Calculation!$F$13)</f>
        <v/>
      </c>
      <c r="R301" s="394" t="str">
        <f>IF(A301="","",Calculation!X307)</f>
        <v/>
      </c>
      <c r="S301" s="393" t="str">
        <f>IF(A301="","",Calculation!T307)</f>
        <v/>
      </c>
      <c r="T301" s="395" t="str">
        <f>IF(A301="","",IF(Calculation!$O$8="None","Water",CONCATENATE(Calculation!$O$8,"-",Calculation!$S$8,"%")))</f>
        <v/>
      </c>
      <c r="U301" s="393" t="str">
        <f>IF(A301="","",Calculation!$P$6)</f>
        <v/>
      </c>
      <c r="V301" s="393" t="str">
        <f>IF(A301="","",Calculation!AT307)</f>
        <v/>
      </c>
      <c r="W301" s="396" t="str">
        <f>IF(A301="","",Calculation!AP307)</f>
        <v/>
      </c>
      <c r="X301" s="396" t="str">
        <f>IF(A301="","",Calculation!AO307)</f>
        <v/>
      </c>
      <c r="Y301" s="396" t="str">
        <f>IF(A301="","",Calculation!AQ307)</f>
        <v/>
      </c>
      <c r="Z301" s="396" t="str">
        <f>IF(A301="","",Calculation!$H$6)</f>
        <v/>
      </c>
      <c r="AA301" s="397" t="str">
        <f>IF(A301="","",Calculation!$H$13)</f>
        <v/>
      </c>
      <c r="AB301" s="397" t="str">
        <f>IF(A301="","",Calculation!U307)</f>
        <v/>
      </c>
      <c r="AC301" s="398" t="str">
        <f>IF(A301="","",IF(Calculation!$O$9="None","Water",CONCATENATE(Calculation!$O$9,"-",Calculation!$S$9,"%")))</f>
        <v/>
      </c>
      <c r="AD301" s="396" t="str">
        <f>IF(A301="","",Calculation!$S$6)</f>
        <v/>
      </c>
      <c r="AE301" s="399" t="str">
        <f>IF(A301="","",Calculation!BA307)</f>
        <v/>
      </c>
      <c r="AF301" s="396" t="str">
        <f>IF(A301="","",Calculation!AX307)</f>
        <v/>
      </c>
      <c r="AG301" s="396" t="str">
        <f>IF(A301="","",Calculation!AW307)</f>
        <v/>
      </c>
      <c r="AH301" s="391" t="str">
        <f>IF(A301="","",Calculation!AY307)</f>
        <v/>
      </c>
      <c r="AI301" s="391" t="str">
        <f>IF(A301="","",Calculation!Y307)</f>
        <v/>
      </c>
      <c r="AJ301" s="401" t="str">
        <f>IF(Calculation!BD307&gt;0,Calculation!BD307," ")</f>
        <v xml:space="preserve"> </v>
      </c>
      <c r="AK301" s="401" t="str">
        <f>IF(Calculation!BD307&gt;0,Calculation!BE307," ")</f>
        <v xml:space="preserve"> </v>
      </c>
      <c r="AL301" s="401" t="str">
        <f>IF(Calculation!BD307&gt;0,Calculation!BF307," ")</f>
        <v xml:space="preserve"> </v>
      </c>
      <c r="AM301" s="401" t="str">
        <f>IF(Calculation!BD307&gt;0,Calculation!BG307," ")</f>
        <v xml:space="preserve"> </v>
      </c>
      <c r="AN301" s="391" t="str">
        <f>IF(Calculation!BH307="N/A","N/A",Calculation!BH307)</f>
        <v xml:space="preserve"> </v>
      </c>
      <c r="AO301" s="402" t="str">
        <f>IF(Calculation!BI307="N/A","N/A",Calculation!BI307)</f>
        <v/>
      </c>
      <c r="AP301" s="391" t="str">
        <f>IF(Calculation!BJ307="N/A","N/A",Calculation!BJ307)</f>
        <v/>
      </c>
      <c r="AQ301" s="402" t="str">
        <f>IF(Calculation!BK307="N/A","N/A",Calculation!BK307)</f>
        <v/>
      </c>
      <c r="AR301" s="391" t="str">
        <f>IF(Calculation!BL307="N/A","N/A",Calculation!BL307)</f>
        <v/>
      </c>
      <c r="AS301" s="402" t="str">
        <f>IF(Calculation!BM307="N/A","N/A",Calculation!BM307)</f>
        <v/>
      </c>
      <c r="AT301" s="400"/>
    </row>
    <row r="302" spans="1:46">
      <c r="A302" s="224" t="str">
        <f>IF(Calculation!BN308="","",CONCATENATE(Calculation!BO308,"-",Calculation!R308,"-",Calculation!S308,"-",Calculation!T308,"-",Calculation!U308))</f>
        <v/>
      </c>
      <c r="B302" s="224">
        <v>287</v>
      </c>
      <c r="C302" s="629" t="str">
        <f>IF(A302="","",Calculation!B308)</f>
        <v/>
      </c>
      <c r="D302" s="386" t="str">
        <f>IF(A302="","",Calculation!L308)</f>
        <v/>
      </c>
      <c r="E302" s="387" t="str">
        <f>IF(A302="","",Calculation!J308)</f>
        <v/>
      </c>
      <c r="F302" s="387" t="str">
        <f>IF(A302="","",Calculation!C308)</f>
        <v/>
      </c>
      <c r="G302" s="387" t="str">
        <f>IF(A302="","",LEFT(Calculation!O308,6))</f>
        <v/>
      </c>
      <c r="H302" s="388" t="str">
        <f>IF(A302="","",Calculation!DX308)</f>
        <v/>
      </c>
      <c r="I302" s="387" t="str">
        <f>IF(A302="","",Calculation!P308)</f>
        <v/>
      </c>
      <c r="J302" s="387" t="str">
        <f>IF(A302="","",HLOOKUP(LEFT(Calculation!BO308,7),LookUps!$C$38:$M$41,4))</f>
        <v/>
      </c>
      <c r="K302" s="387" t="str">
        <f>IF(A302="","",Calculation!M308)</f>
        <v/>
      </c>
      <c r="L302" s="387" t="str">
        <f>IF(A302="","",Calculation!S308)</f>
        <v/>
      </c>
      <c r="M302" s="389" t="str">
        <f>IF(A302="","",Calculation!N308)</f>
        <v/>
      </c>
      <c r="N302" s="390" t="str">
        <f>IF(A302="","",Calculation!R308)</f>
        <v/>
      </c>
      <c r="O302" s="391" t="str">
        <f>IF(A302="","",Calculation!$F$6)</f>
        <v/>
      </c>
      <c r="P302" s="392" t="str">
        <f>IF(A302="","",Calculation!$F$7)</f>
        <v/>
      </c>
      <c r="Q302" s="393" t="str">
        <f>IF(A302="","",Calculation!$F$13)</f>
        <v/>
      </c>
      <c r="R302" s="394" t="str">
        <f>IF(A302="","",Calculation!X308)</f>
        <v/>
      </c>
      <c r="S302" s="393" t="str">
        <f>IF(A302="","",Calculation!T308)</f>
        <v/>
      </c>
      <c r="T302" s="395" t="str">
        <f>IF(A302="","",IF(Calculation!$O$8="None","Water",CONCATENATE(Calculation!$O$8,"-",Calculation!$S$8,"%")))</f>
        <v/>
      </c>
      <c r="U302" s="393" t="str">
        <f>IF(A302="","",Calculation!$P$6)</f>
        <v/>
      </c>
      <c r="V302" s="393" t="str">
        <f>IF(A302="","",Calculation!AT308)</f>
        <v/>
      </c>
      <c r="W302" s="396" t="str">
        <f>IF(A302="","",Calculation!AP308)</f>
        <v/>
      </c>
      <c r="X302" s="396" t="str">
        <f>IF(A302="","",Calculation!AO308)</f>
        <v/>
      </c>
      <c r="Y302" s="396" t="str">
        <f>IF(A302="","",Calculation!AQ308)</f>
        <v/>
      </c>
      <c r="Z302" s="396" t="str">
        <f>IF(A302="","",Calculation!$H$6)</f>
        <v/>
      </c>
      <c r="AA302" s="397" t="str">
        <f>IF(A302="","",Calculation!$H$13)</f>
        <v/>
      </c>
      <c r="AB302" s="397" t="str">
        <f>IF(A302="","",Calculation!U308)</f>
        <v/>
      </c>
      <c r="AC302" s="398" t="str">
        <f>IF(A302="","",IF(Calculation!$O$9="None","Water",CONCATENATE(Calculation!$O$9,"-",Calculation!$S$9,"%")))</f>
        <v/>
      </c>
      <c r="AD302" s="396" t="str">
        <f>IF(A302="","",Calculation!$S$6)</f>
        <v/>
      </c>
      <c r="AE302" s="399" t="str">
        <f>IF(A302="","",Calculation!BA308)</f>
        <v/>
      </c>
      <c r="AF302" s="396" t="str">
        <f>IF(A302="","",Calculation!AX308)</f>
        <v/>
      </c>
      <c r="AG302" s="396" t="str">
        <f>IF(A302="","",Calculation!AW308)</f>
        <v/>
      </c>
      <c r="AH302" s="391" t="str">
        <f>IF(A302="","",Calculation!AY308)</f>
        <v/>
      </c>
      <c r="AI302" s="391" t="str">
        <f>IF(A302="","",Calculation!Y308)</f>
        <v/>
      </c>
      <c r="AJ302" s="401" t="str">
        <f>IF(Calculation!BD308&gt;0,Calculation!BD308," ")</f>
        <v xml:space="preserve"> </v>
      </c>
      <c r="AK302" s="401" t="str">
        <f>IF(Calculation!BD308&gt;0,Calculation!BE308," ")</f>
        <v xml:space="preserve"> </v>
      </c>
      <c r="AL302" s="401" t="str">
        <f>IF(Calculation!BD308&gt;0,Calculation!BF308," ")</f>
        <v xml:space="preserve"> </v>
      </c>
      <c r="AM302" s="401" t="str">
        <f>IF(Calculation!BD308&gt;0,Calculation!BG308," ")</f>
        <v xml:space="preserve"> </v>
      </c>
      <c r="AN302" s="391" t="str">
        <f>IF(Calculation!BH308="N/A","N/A",Calculation!BH308)</f>
        <v xml:space="preserve"> </v>
      </c>
      <c r="AO302" s="402" t="str">
        <f>IF(Calculation!BI308="N/A","N/A",Calculation!BI308)</f>
        <v/>
      </c>
      <c r="AP302" s="391" t="str">
        <f>IF(Calculation!BJ308="N/A","N/A",Calculation!BJ308)</f>
        <v/>
      </c>
      <c r="AQ302" s="402" t="str">
        <f>IF(Calculation!BK308="N/A","N/A",Calculation!BK308)</f>
        <v/>
      </c>
      <c r="AR302" s="391" t="str">
        <f>IF(Calculation!BL308="N/A","N/A",Calculation!BL308)</f>
        <v/>
      </c>
      <c r="AS302" s="402" t="str">
        <f>IF(Calculation!BM308="N/A","N/A",Calculation!BM308)</f>
        <v/>
      </c>
      <c r="AT302" s="400"/>
    </row>
    <row r="303" spans="1:46">
      <c r="A303" s="224" t="str">
        <f>IF(Calculation!BN309="","",CONCATENATE(Calculation!BO309,"-",Calculation!R309,"-",Calculation!S309,"-",Calculation!T309,"-",Calculation!U309))</f>
        <v/>
      </c>
      <c r="B303" s="224">
        <v>288</v>
      </c>
      <c r="C303" s="629" t="str">
        <f>IF(A303="","",Calculation!B309)</f>
        <v/>
      </c>
      <c r="D303" s="386" t="str">
        <f>IF(A303="","",Calculation!L309)</f>
        <v/>
      </c>
      <c r="E303" s="387" t="str">
        <f>IF(A303="","",Calculation!J309)</f>
        <v/>
      </c>
      <c r="F303" s="387" t="str">
        <f>IF(A303="","",Calculation!C309)</f>
        <v/>
      </c>
      <c r="G303" s="387" t="str">
        <f>IF(A303="","",LEFT(Calculation!O309,6))</f>
        <v/>
      </c>
      <c r="H303" s="388" t="str">
        <f>IF(A303="","",Calculation!DX309)</f>
        <v/>
      </c>
      <c r="I303" s="387" t="str">
        <f>IF(A303="","",Calculation!P309)</f>
        <v/>
      </c>
      <c r="J303" s="387" t="str">
        <f>IF(A303="","",HLOOKUP(LEFT(Calculation!BO309,7),LookUps!$C$38:$M$41,4))</f>
        <v/>
      </c>
      <c r="K303" s="387" t="str">
        <f>IF(A303="","",Calculation!M309)</f>
        <v/>
      </c>
      <c r="L303" s="387" t="str">
        <f>IF(A303="","",Calculation!S309)</f>
        <v/>
      </c>
      <c r="M303" s="389" t="str">
        <f>IF(A303="","",Calculation!N309)</f>
        <v/>
      </c>
      <c r="N303" s="390" t="str">
        <f>IF(A303="","",Calculation!R309)</f>
        <v/>
      </c>
      <c r="O303" s="391" t="str">
        <f>IF(A303="","",Calculation!$F$6)</f>
        <v/>
      </c>
      <c r="P303" s="392" t="str">
        <f>IF(A303="","",Calculation!$F$7)</f>
        <v/>
      </c>
      <c r="Q303" s="393" t="str">
        <f>IF(A303="","",Calculation!$F$13)</f>
        <v/>
      </c>
      <c r="R303" s="394" t="str">
        <f>IF(A303="","",Calculation!X309)</f>
        <v/>
      </c>
      <c r="S303" s="393" t="str">
        <f>IF(A303="","",Calculation!T309)</f>
        <v/>
      </c>
      <c r="T303" s="395" t="str">
        <f>IF(A303="","",IF(Calculation!$O$8="None","Water",CONCATENATE(Calculation!$O$8,"-",Calculation!$S$8,"%")))</f>
        <v/>
      </c>
      <c r="U303" s="393" t="str">
        <f>IF(A303="","",Calculation!$P$6)</f>
        <v/>
      </c>
      <c r="V303" s="393" t="str">
        <f>IF(A303="","",Calculation!AT309)</f>
        <v/>
      </c>
      <c r="W303" s="396" t="str">
        <f>IF(A303="","",Calculation!AP309)</f>
        <v/>
      </c>
      <c r="X303" s="396" t="str">
        <f>IF(A303="","",Calculation!AO309)</f>
        <v/>
      </c>
      <c r="Y303" s="396" t="str">
        <f>IF(A303="","",Calculation!AQ309)</f>
        <v/>
      </c>
      <c r="Z303" s="396" t="str">
        <f>IF(A303="","",Calculation!$H$6)</f>
        <v/>
      </c>
      <c r="AA303" s="397" t="str">
        <f>IF(A303="","",Calculation!$H$13)</f>
        <v/>
      </c>
      <c r="AB303" s="397" t="str">
        <f>IF(A303="","",Calculation!U309)</f>
        <v/>
      </c>
      <c r="AC303" s="398" t="str">
        <f>IF(A303="","",IF(Calculation!$O$9="None","Water",CONCATENATE(Calculation!$O$9,"-",Calculation!$S$9,"%")))</f>
        <v/>
      </c>
      <c r="AD303" s="396" t="str">
        <f>IF(A303="","",Calculation!$S$6)</f>
        <v/>
      </c>
      <c r="AE303" s="399" t="str">
        <f>IF(A303="","",Calculation!BA309)</f>
        <v/>
      </c>
      <c r="AF303" s="396" t="str">
        <f>IF(A303="","",Calculation!AX309)</f>
        <v/>
      </c>
      <c r="AG303" s="396" t="str">
        <f>IF(A303="","",Calculation!AW309)</f>
        <v/>
      </c>
      <c r="AH303" s="391" t="str">
        <f>IF(A303="","",Calculation!AY309)</f>
        <v/>
      </c>
      <c r="AI303" s="391" t="str">
        <f>IF(A303="","",Calculation!Y309)</f>
        <v/>
      </c>
      <c r="AJ303" s="401" t="str">
        <f>IF(Calculation!BD309&gt;0,Calculation!BD309," ")</f>
        <v xml:space="preserve"> </v>
      </c>
      <c r="AK303" s="401" t="str">
        <f>IF(Calculation!BD309&gt;0,Calculation!BE309," ")</f>
        <v xml:space="preserve"> </v>
      </c>
      <c r="AL303" s="401" t="str">
        <f>IF(Calculation!BD309&gt;0,Calculation!BF309," ")</f>
        <v xml:space="preserve"> </v>
      </c>
      <c r="AM303" s="401" t="str">
        <f>IF(Calculation!BD309&gt;0,Calculation!BG309," ")</f>
        <v xml:space="preserve"> </v>
      </c>
      <c r="AN303" s="391" t="str">
        <f>IF(Calculation!BH309="N/A","N/A",Calculation!BH309)</f>
        <v xml:space="preserve"> </v>
      </c>
      <c r="AO303" s="402" t="str">
        <f>IF(Calculation!BI309="N/A","N/A",Calculation!BI309)</f>
        <v/>
      </c>
      <c r="AP303" s="391" t="str">
        <f>IF(Calculation!BJ309="N/A","N/A",Calculation!BJ309)</f>
        <v/>
      </c>
      <c r="AQ303" s="402" t="str">
        <f>IF(Calculation!BK309="N/A","N/A",Calculation!BK309)</f>
        <v/>
      </c>
      <c r="AR303" s="391" t="str">
        <f>IF(Calculation!BL309="N/A","N/A",Calculation!BL309)</f>
        <v/>
      </c>
      <c r="AS303" s="402" t="str">
        <f>IF(Calculation!BM309="N/A","N/A",Calculation!BM309)</f>
        <v/>
      </c>
      <c r="AT303" s="400"/>
    </row>
    <row r="304" spans="1:46">
      <c r="A304" s="224" t="str">
        <f>IF(Calculation!BN310="","",CONCATENATE(Calculation!BO310,"-",Calculation!R310,"-",Calculation!S310,"-",Calculation!T310,"-",Calculation!U310))</f>
        <v/>
      </c>
      <c r="B304" s="224">
        <v>289</v>
      </c>
      <c r="C304" s="629" t="str">
        <f>IF(A304="","",Calculation!B310)</f>
        <v/>
      </c>
      <c r="D304" s="386" t="str">
        <f>IF(A304="","",Calculation!L310)</f>
        <v/>
      </c>
      <c r="E304" s="387" t="str">
        <f>IF(A304="","",Calculation!J310)</f>
        <v/>
      </c>
      <c r="F304" s="387" t="str">
        <f>IF(A304="","",Calculation!C310)</f>
        <v/>
      </c>
      <c r="G304" s="387" t="str">
        <f>IF(A304="","",LEFT(Calculation!O310,6))</f>
        <v/>
      </c>
      <c r="H304" s="388" t="str">
        <f>IF(A304="","",Calculation!DX310)</f>
        <v/>
      </c>
      <c r="I304" s="387" t="str">
        <f>IF(A304="","",Calculation!P310)</f>
        <v/>
      </c>
      <c r="J304" s="387" t="str">
        <f>IF(A304="","",HLOOKUP(LEFT(Calculation!BO310,7),LookUps!$C$38:$M$41,4))</f>
        <v/>
      </c>
      <c r="K304" s="387" t="str">
        <f>IF(A304="","",Calculation!M310)</f>
        <v/>
      </c>
      <c r="L304" s="387" t="str">
        <f>IF(A304="","",Calculation!S310)</f>
        <v/>
      </c>
      <c r="M304" s="389" t="str">
        <f>IF(A304="","",Calculation!N310)</f>
        <v/>
      </c>
      <c r="N304" s="390" t="str">
        <f>IF(A304="","",Calculation!R310)</f>
        <v/>
      </c>
      <c r="O304" s="391" t="str">
        <f>IF(A304="","",Calculation!$F$6)</f>
        <v/>
      </c>
      <c r="P304" s="392" t="str">
        <f>IF(A304="","",Calculation!$F$7)</f>
        <v/>
      </c>
      <c r="Q304" s="393" t="str">
        <f>IF(A304="","",Calculation!$F$13)</f>
        <v/>
      </c>
      <c r="R304" s="394" t="str">
        <f>IF(A304="","",Calculation!X310)</f>
        <v/>
      </c>
      <c r="S304" s="393" t="str">
        <f>IF(A304="","",Calculation!T310)</f>
        <v/>
      </c>
      <c r="T304" s="395" t="str">
        <f>IF(A304="","",IF(Calculation!$O$8="None","Water",CONCATENATE(Calculation!$O$8,"-",Calculation!$S$8,"%")))</f>
        <v/>
      </c>
      <c r="U304" s="393" t="str">
        <f>IF(A304="","",Calculation!$P$6)</f>
        <v/>
      </c>
      <c r="V304" s="393" t="str">
        <f>IF(A304="","",Calculation!AT310)</f>
        <v/>
      </c>
      <c r="W304" s="396" t="str">
        <f>IF(A304="","",Calculation!AP310)</f>
        <v/>
      </c>
      <c r="X304" s="396" t="str">
        <f>IF(A304="","",Calculation!AO310)</f>
        <v/>
      </c>
      <c r="Y304" s="396" t="str">
        <f>IF(A304="","",Calculation!AQ310)</f>
        <v/>
      </c>
      <c r="Z304" s="396" t="str">
        <f>IF(A304="","",Calculation!$H$6)</f>
        <v/>
      </c>
      <c r="AA304" s="397" t="str">
        <f>IF(A304="","",Calculation!$H$13)</f>
        <v/>
      </c>
      <c r="AB304" s="397" t="str">
        <f>IF(A304="","",Calculation!U310)</f>
        <v/>
      </c>
      <c r="AC304" s="398" t="str">
        <f>IF(A304="","",IF(Calculation!$O$9="None","Water",CONCATENATE(Calculation!$O$9,"-",Calculation!$S$9,"%")))</f>
        <v/>
      </c>
      <c r="AD304" s="396" t="str">
        <f>IF(A304="","",Calculation!$S$6)</f>
        <v/>
      </c>
      <c r="AE304" s="399" t="str">
        <f>IF(A304="","",Calculation!BA310)</f>
        <v/>
      </c>
      <c r="AF304" s="396" t="str">
        <f>IF(A304="","",Calculation!AX310)</f>
        <v/>
      </c>
      <c r="AG304" s="396" t="str">
        <f>IF(A304="","",Calculation!AW310)</f>
        <v/>
      </c>
      <c r="AH304" s="391" t="str">
        <f>IF(A304="","",Calculation!AY310)</f>
        <v/>
      </c>
      <c r="AI304" s="391" t="str">
        <f>IF(A304="","",Calculation!Y310)</f>
        <v/>
      </c>
      <c r="AJ304" s="401" t="str">
        <f>IF(Calculation!BD310&gt;0,Calculation!BD310," ")</f>
        <v xml:space="preserve"> </v>
      </c>
      <c r="AK304" s="401" t="str">
        <f>IF(Calculation!BD310&gt;0,Calculation!BE310," ")</f>
        <v xml:space="preserve"> </v>
      </c>
      <c r="AL304" s="401" t="str">
        <f>IF(Calculation!BD310&gt;0,Calculation!BF310," ")</f>
        <v xml:space="preserve"> </v>
      </c>
      <c r="AM304" s="401" t="str">
        <f>IF(Calculation!BD310&gt;0,Calculation!BG310," ")</f>
        <v xml:space="preserve"> </v>
      </c>
      <c r="AN304" s="391" t="str">
        <f>IF(Calculation!BH310="N/A","N/A",Calculation!BH310)</f>
        <v xml:space="preserve"> </v>
      </c>
      <c r="AO304" s="402" t="str">
        <f>IF(Calculation!BI310="N/A","N/A",Calculation!BI310)</f>
        <v/>
      </c>
      <c r="AP304" s="391" t="str">
        <f>IF(Calculation!BJ310="N/A","N/A",Calculation!BJ310)</f>
        <v/>
      </c>
      <c r="AQ304" s="402" t="str">
        <f>IF(Calculation!BK310="N/A","N/A",Calculation!BK310)</f>
        <v/>
      </c>
      <c r="AR304" s="391" t="str">
        <f>IF(Calculation!BL310="N/A","N/A",Calculation!BL310)</f>
        <v/>
      </c>
      <c r="AS304" s="402" t="str">
        <f>IF(Calculation!BM310="N/A","N/A",Calculation!BM310)</f>
        <v/>
      </c>
      <c r="AT304" s="400"/>
    </row>
    <row r="305" spans="1:46">
      <c r="A305" s="224" t="str">
        <f>IF(Calculation!BN311="","",CONCATENATE(Calculation!BO311,"-",Calculation!R311,"-",Calculation!S311,"-",Calculation!T311,"-",Calculation!U311))</f>
        <v/>
      </c>
      <c r="B305" s="224">
        <v>290</v>
      </c>
      <c r="C305" s="629" t="str">
        <f>IF(A305="","",Calculation!B311)</f>
        <v/>
      </c>
      <c r="D305" s="386" t="str">
        <f>IF(A305="","",Calculation!L311)</f>
        <v/>
      </c>
      <c r="E305" s="387" t="str">
        <f>IF(A305="","",Calculation!J311)</f>
        <v/>
      </c>
      <c r="F305" s="387" t="str">
        <f>IF(A305="","",Calculation!C311)</f>
        <v/>
      </c>
      <c r="G305" s="387" t="str">
        <f>IF(A305="","",LEFT(Calculation!O311,6))</f>
        <v/>
      </c>
      <c r="H305" s="388" t="str">
        <f>IF(A305="","",Calculation!DX311)</f>
        <v/>
      </c>
      <c r="I305" s="387" t="str">
        <f>IF(A305="","",Calculation!P311)</f>
        <v/>
      </c>
      <c r="J305" s="387" t="str">
        <f>IF(A305="","",HLOOKUP(LEFT(Calculation!BO311,7),LookUps!$C$38:$M$41,4))</f>
        <v/>
      </c>
      <c r="K305" s="387" t="str">
        <f>IF(A305="","",Calculation!M311)</f>
        <v/>
      </c>
      <c r="L305" s="387" t="str">
        <f>IF(A305="","",Calculation!S311)</f>
        <v/>
      </c>
      <c r="M305" s="389" t="str">
        <f>IF(A305="","",Calculation!N311)</f>
        <v/>
      </c>
      <c r="N305" s="390" t="str">
        <f>IF(A305="","",Calculation!R311)</f>
        <v/>
      </c>
      <c r="O305" s="391" t="str">
        <f>IF(A305="","",Calculation!$F$6)</f>
        <v/>
      </c>
      <c r="P305" s="392" t="str">
        <f>IF(A305="","",Calculation!$F$7)</f>
        <v/>
      </c>
      <c r="Q305" s="393" t="str">
        <f>IF(A305="","",Calculation!$F$13)</f>
        <v/>
      </c>
      <c r="R305" s="394" t="str">
        <f>IF(A305="","",Calculation!X311)</f>
        <v/>
      </c>
      <c r="S305" s="393" t="str">
        <f>IF(A305="","",Calculation!T311)</f>
        <v/>
      </c>
      <c r="T305" s="395" t="str">
        <f>IF(A305="","",IF(Calculation!$O$8="None","Water",CONCATENATE(Calculation!$O$8,"-",Calculation!$S$8,"%")))</f>
        <v/>
      </c>
      <c r="U305" s="393" t="str">
        <f>IF(A305="","",Calculation!$P$6)</f>
        <v/>
      </c>
      <c r="V305" s="393" t="str">
        <f>IF(A305="","",Calculation!AT311)</f>
        <v/>
      </c>
      <c r="W305" s="396" t="str">
        <f>IF(A305="","",Calculation!AP311)</f>
        <v/>
      </c>
      <c r="X305" s="396" t="str">
        <f>IF(A305="","",Calculation!AO311)</f>
        <v/>
      </c>
      <c r="Y305" s="396" t="str">
        <f>IF(A305="","",Calculation!AQ311)</f>
        <v/>
      </c>
      <c r="Z305" s="396" t="str">
        <f>IF(A305="","",Calculation!$H$6)</f>
        <v/>
      </c>
      <c r="AA305" s="397" t="str">
        <f>IF(A305="","",Calculation!$H$13)</f>
        <v/>
      </c>
      <c r="AB305" s="397" t="str">
        <f>IF(A305="","",Calculation!U311)</f>
        <v/>
      </c>
      <c r="AC305" s="398" t="str">
        <f>IF(A305="","",IF(Calculation!$O$9="None","Water",CONCATENATE(Calculation!$O$9,"-",Calculation!$S$9,"%")))</f>
        <v/>
      </c>
      <c r="AD305" s="396" t="str">
        <f>IF(A305="","",Calculation!$S$6)</f>
        <v/>
      </c>
      <c r="AE305" s="399" t="str">
        <f>IF(A305="","",Calculation!BA311)</f>
        <v/>
      </c>
      <c r="AF305" s="396" t="str">
        <f>IF(A305="","",Calculation!AX311)</f>
        <v/>
      </c>
      <c r="AG305" s="396" t="str">
        <f>IF(A305="","",Calculation!AW311)</f>
        <v/>
      </c>
      <c r="AH305" s="391" t="str">
        <f>IF(A305="","",Calculation!AY311)</f>
        <v/>
      </c>
      <c r="AI305" s="391" t="str">
        <f>IF(A305="","",Calculation!Y311)</f>
        <v/>
      </c>
      <c r="AJ305" s="401" t="str">
        <f>IF(Calculation!BD311&gt;0,Calculation!BD311," ")</f>
        <v xml:space="preserve"> </v>
      </c>
      <c r="AK305" s="401" t="str">
        <f>IF(Calculation!BD311&gt;0,Calculation!BE311," ")</f>
        <v xml:space="preserve"> </v>
      </c>
      <c r="AL305" s="401" t="str">
        <f>IF(Calculation!BD311&gt;0,Calculation!BF311," ")</f>
        <v xml:space="preserve"> </v>
      </c>
      <c r="AM305" s="401" t="str">
        <f>IF(Calculation!BD311&gt;0,Calculation!BG311," ")</f>
        <v xml:space="preserve"> </v>
      </c>
      <c r="AN305" s="391" t="str">
        <f>IF(Calculation!BH311="N/A","N/A",Calculation!BH311)</f>
        <v xml:space="preserve"> </v>
      </c>
      <c r="AO305" s="402" t="str">
        <f>IF(Calculation!BI311="N/A","N/A",Calculation!BI311)</f>
        <v/>
      </c>
      <c r="AP305" s="391" t="str">
        <f>IF(Calculation!BJ311="N/A","N/A",Calculation!BJ311)</f>
        <v/>
      </c>
      <c r="AQ305" s="402" t="str">
        <f>IF(Calculation!BK311="N/A","N/A",Calculation!BK311)</f>
        <v/>
      </c>
      <c r="AR305" s="391" t="str">
        <f>IF(Calculation!BL311="N/A","N/A",Calculation!BL311)</f>
        <v/>
      </c>
      <c r="AS305" s="402" t="str">
        <f>IF(Calculation!BM311="N/A","N/A",Calculation!BM311)</f>
        <v/>
      </c>
      <c r="AT305" s="400"/>
    </row>
    <row r="306" spans="1:46">
      <c r="A306" s="224" t="str">
        <f>IF(Calculation!BN312="","",CONCATENATE(Calculation!BO312,"-",Calculation!R312,"-",Calculation!S312,"-",Calculation!T312,"-",Calculation!U312))</f>
        <v/>
      </c>
      <c r="B306" s="224">
        <v>291</v>
      </c>
      <c r="C306" s="629" t="str">
        <f>IF(A306="","",Calculation!B312)</f>
        <v/>
      </c>
      <c r="D306" s="386" t="str">
        <f>IF(A306="","",Calculation!L312)</f>
        <v/>
      </c>
      <c r="E306" s="387" t="str">
        <f>IF(A306="","",Calculation!J312)</f>
        <v/>
      </c>
      <c r="F306" s="387" t="str">
        <f>IF(A306="","",Calculation!C312)</f>
        <v/>
      </c>
      <c r="G306" s="387" t="str">
        <f>IF(A306="","",LEFT(Calculation!O312,6))</f>
        <v/>
      </c>
      <c r="H306" s="388" t="str">
        <f>IF(A306="","",Calculation!DX312)</f>
        <v/>
      </c>
      <c r="I306" s="387" t="str">
        <f>IF(A306="","",Calculation!P312)</f>
        <v/>
      </c>
      <c r="J306" s="387" t="str">
        <f>IF(A306="","",HLOOKUP(LEFT(Calculation!BO312,7),LookUps!$C$38:$M$41,4))</f>
        <v/>
      </c>
      <c r="K306" s="387" t="str">
        <f>IF(A306="","",Calculation!M312)</f>
        <v/>
      </c>
      <c r="L306" s="387" t="str">
        <f>IF(A306="","",Calculation!S312)</f>
        <v/>
      </c>
      <c r="M306" s="389" t="str">
        <f>IF(A306="","",Calculation!N312)</f>
        <v/>
      </c>
      <c r="N306" s="390" t="str">
        <f>IF(A306="","",Calculation!R312)</f>
        <v/>
      </c>
      <c r="O306" s="391" t="str">
        <f>IF(A306="","",Calculation!$F$6)</f>
        <v/>
      </c>
      <c r="P306" s="392" t="str">
        <f>IF(A306="","",Calculation!$F$7)</f>
        <v/>
      </c>
      <c r="Q306" s="393" t="str">
        <f>IF(A306="","",Calculation!$F$13)</f>
        <v/>
      </c>
      <c r="R306" s="394" t="str">
        <f>IF(A306="","",Calculation!X312)</f>
        <v/>
      </c>
      <c r="S306" s="393" t="str">
        <f>IF(A306="","",Calculation!T312)</f>
        <v/>
      </c>
      <c r="T306" s="395" t="str">
        <f>IF(A306="","",IF(Calculation!$O$8="None","Water",CONCATENATE(Calculation!$O$8,"-",Calculation!$S$8,"%")))</f>
        <v/>
      </c>
      <c r="U306" s="393" t="str">
        <f>IF(A306="","",Calculation!$P$6)</f>
        <v/>
      </c>
      <c r="V306" s="393" t="str">
        <f>IF(A306="","",Calculation!AT312)</f>
        <v/>
      </c>
      <c r="W306" s="396" t="str">
        <f>IF(A306="","",Calculation!AP312)</f>
        <v/>
      </c>
      <c r="X306" s="396" t="str">
        <f>IF(A306="","",Calculation!AO312)</f>
        <v/>
      </c>
      <c r="Y306" s="396" t="str">
        <f>IF(A306="","",Calculation!AQ312)</f>
        <v/>
      </c>
      <c r="Z306" s="396" t="str">
        <f>IF(A306="","",Calculation!$H$6)</f>
        <v/>
      </c>
      <c r="AA306" s="397" t="str">
        <f>IF(A306="","",Calculation!$H$13)</f>
        <v/>
      </c>
      <c r="AB306" s="397" t="str">
        <f>IF(A306="","",Calculation!U312)</f>
        <v/>
      </c>
      <c r="AC306" s="398" t="str">
        <f>IF(A306="","",IF(Calculation!$O$9="None","Water",CONCATENATE(Calculation!$O$9,"-",Calculation!$S$9,"%")))</f>
        <v/>
      </c>
      <c r="AD306" s="396" t="str">
        <f>IF(A306="","",Calculation!$S$6)</f>
        <v/>
      </c>
      <c r="AE306" s="399" t="str">
        <f>IF(A306="","",Calculation!BA312)</f>
        <v/>
      </c>
      <c r="AF306" s="396" t="str">
        <f>IF(A306="","",Calculation!AX312)</f>
        <v/>
      </c>
      <c r="AG306" s="396" t="str">
        <f>IF(A306="","",Calculation!AW312)</f>
        <v/>
      </c>
      <c r="AH306" s="391" t="str">
        <f>IF(A306="","",Calculation!AY312)</f>
        <v/>
      </c>
      <c r="AI306" s="391" t="str">
        <f>IF(A306="","",Calculation!Y312)</f>
        <v/>
      </c>
      <c r="AJ306" s="401" t="str">
        <f>IF(Calculation!BD312&gt;0,Calculation!BD312," ")</f>
        <v xml:space="preserve"> </v>
      </c>
      <c r="AK306" s="401" t="str">
        <f>IF(Calculation!BD312&gt;0,Calculation!BE312," ")</f>
        <v xml:space="preserve"> </v>
      </c>
      <c r="AL306" s="401" t="str">
        <f>IF(Calculation!BD312&gt;0,Calculation!BF312," ")</f>
        <v xml:space="preserve"> </v>
      </c>
      <c r="AM306" s="401" t="str">
        <f>IF(Calculation!BD312&gt;0,Calculation!BG312," ")</f>
        <v xml:space="preserve"> </v>
      </c>
      <c r="AN306" s="391" t="str">
        <f>IF(Calculation!BH312="N/A","N/A",Calculation!BH312)</f>
        <v xml:space="preserve"> </v>
      </c>
      <c r="AO306" s="402" t="str">
        <f>IF(Calculation!BI312="N/A","N/A",Calculation!BI312)</f>
        <v/>
      </c>
      <c r="AP306" s="391" t="str">
        <f>IF(Calculation!BJ312="N/A","N/A",Calculation!BJ312)</f>
        <v/>
      </c>
      <c r="AQ306" s="402" t="str">
        <f>IF(Calculation!BK312="N/A","N/A",Calculation!BK312)</f>
        <v/>
      </c>
      <c r="AR306" s="391" t="str">
        <f>IF(Calculation!BL312="N/A","N/A",Calculation!BL312)</f>
        <v/>
      </c>
      <c r="AS306" s="402" t="str">
        <f>IF(Calculation!BM312="N/A","N/A",Calculation!BM312)</f>
        <v/>
      </c>
      <c r="AT306" s="400"/>
    </row>
    <row r="307" spans="1:46">
      <c r="A307" s="224" t="str">
        <f>IF(Calculation!BN313="","",CONCATENATE(Calculation!BO313,"-",Calculation!R313,"-",Calculation!S313,"-",Calculation!T313,"-",Calculation!U313))</f>
        <v/>
      </c>
      <c r="B307" s="224">
        <v>292</v>
      </c>
      <c r="C307" s="629" t="str">
        <f>IF(A307="","",Calculation!B313)</f>
        <v/>
      </c>
      <c r="D307" s="386" t="str">
        <f>IF(A307="","",Calculation!L313)</f>
        <v/>
      </c>
      <c r="E307" s="387" t="str">
        <f>IF(A307="","",Calculation!J313)</f>
        <v/>
      </c>
      <c r="F307" s="387" t="str">
        <f>IF(A307="","",Calculation!C313)</f>
        <v/>
      </c>
      <c r="G307" s="387" t="str">
        <f>IF(A307="","",LEFT(Calculation!O313,6))</f>
        <v/>
      </c>
      <c r="H307" s="388" t="str">
        <f>IF(A307="","",Calculation!DX313)</f>
        <v/>
      </c>
      <c r="I307" s="387" t="str">
        <f>IF(A307="","",Calculation!P313)</f>
        <v/>
      </c>
      <c r="J307" s="387" t="str">
        <f>IF(A307="","",HLOOKUP(LEFT(Calculation!BO313,7),LookUps!$C$38:$M$41,4))</f>
        <v/>
      </c>
      <c r="K307" s="387" t="str">
        <f>IF(A307="","",Calculation!M313)</f>
        <v/>
      </c>
      <c r="L307" s="387" t="str">
        <f>IF(A307="","",Calculation!S313)</f>
        <v/>
      </c>
      <c r="M307" s="389" t="str">
        <f>IF(A307="","",Calculation!N313)</f>
        <v/>
      </c>
      <c r="N307" s="390" t="str">
        <f>IF(A307="","",Calculation!R313)</f>
        <v/>
      </c>
      <c r="O307" s="391" t="str">
        <f>IF(A307="","",Calculation!$F$6)</f>
        <v/>
      </c>
      <c r="P307" s="392" t="str">
        <f>IF(A307="","",Calculation!$F$7)</f>
        <v/>
      </c>
      <c r="Q307" s="393" t="str">
        <f>IF(A307="","",Calculation!$F$13)</f>
        <v/>
      </c>
      <c r="R307" s="394" t="str">
        <f>IF(A307="","",Calculation!X313)</f>
        <v/>
      </c>
      <c r="S307" s="393" t="str">
        <f>IF(A307="","",Calculation!T313)</f>
        <v/>
      </c>
      <c r="T307" s="395" t="str">
        <f>IF(A307="","",IF(Calculation!$O$8="None","Water",CONCATENATE(Calculation!$O$8,"-",Calculation!$S$8,"%")))</f>
        <v/>
      </c>
      <c r="U307" s="393" t="str">
        <f>IF(A307="","",Calculation!$P$6)</f>
        <v/>
      </c>
      <c r="V307" s="393" t="str">
        <f>IF(A307="","",Calculation!AT313)</f>
        <v/>
      </c>
      <c r="W307" s="396" t="str">
        <f>IF(A307="","",Calculation!AP313)</f>
        <v/>
      </c>
      <c r="X307" s="396" t="str">
        <f>IF(A307="","",Calculation!AO313)</f>
        <v/>
      </c>
      <c r="Y307" s="396" t="str">
        <f>IF(A307="","",Calculation!AQ313)</f>
        <v/>
      </c>
      <c r="Z307" s="396" t="str">
        <f>IF(A307="","",Calculation!$H$6)</f>
        <v/>
      </c>
      <c r="AA307" s="397" t="str">
        <f>IF(A307="","",Calculation!$H$13)</f>
        <v/>
      </c>
      <c r="AB307" s="397" t="str">
        <f>IF(A307="","",Calculation!U313)</f>
        <v/>
      </c>
      <c r="AC307" s="398" t="str">
        <f>IF(A307="","",IF(Calculation!$O$9="None","Water",CONCATENATE(Calculation!$O$9,"-",Calculation!$S$9,"%")))</f>
        <v/>
      </c>
      <c r="AD307" s="396" t="str">
        <f>IF(A307="","",Calculation!$S$6)</f>
        <v/>
      </c>
      <c r="AE307" s="399" t="str">
        <f>IF(A307="","",Calculation!BA313)</f>
        <v/>
      </c>
      <c r="AF307" s="396" t="str">
        <f>IF(A307="","",Calculation!AX313)</f>
        <v/>
      </c>
      <c r="AG307" s="396" t="str">
        <f>IF(A307="","",Calculation!AW313)</f>
        <v/>
      </c>
      <c r="AH307" s="391" t="str">
        <f>IF(A307="","",Calculation!AY313)</f>
        <v/>
      </c>
      <c r="AI307" s="391" t="str">
        <f>IF(A307="","",Calculation!Y313)</f>
        <v/>
      </c>
      <c r="AJ307" s="401" t="str">
        <f>IF(Calculation!BD313&gt;0,Calculation!BD313," ")</f>
        <v xml:space="preserve"> </v>
      </c>
      <c r="AK307" s="401" t="str">
        <f>IF(Calculation!BD313&gt;0,Calculation!BE313," ")</f>
        <v xml:space="preserve"> </v>
      </c>
      <c r="AL307" s="401" t="str">
        <f>IF(Calculation!BD313&gt;0,Calculation!BF313," ")</f>
        <v xml:space="preserve"> </v>
      </c>
      <c r="AM307" s="401" t="str">
        <f>IF(Calculation!BD313&gt;0,Calculation!BG313," ")</f>
        <v xml:space="preserve"> </v>
      </c>
      <c r="AN307" s="391" t="str">
        <f>IF(Calculation!BH313="N/A","N/A",Calculation!BH313)</f>
        <v xml:space="preserve"> </v>
      </c>
      <c r="AO307" s="402" t="str">
        <f>IF(Calculation!BI313="N/A","N/A",Calculation!BI313)</f>
        <v/>
      </c>
      <c r="AP307" s="391" t="str">
        <f>IF(Calculation!BJ313="N/A","N/A",Calculation!BJ313)</f>
        <v/>
      </c>
      <c r="AQ307" s="402" t="str">
        <f>IF(Calculation!BK313="N/A","N/A",Calculation!BK313)</f>
        <v/>
      </c>
      <c r="AR307" s="391" t="str">
        <f>IF(Calculation!BL313="N/A","N/A",Calculation!BL313)</f>
        <v/>
      </c>
      <c r="AS307" s="402" t="str">
        <f>IF(Calculation!BM313="N/A","N/A",Calculation!BM313)</f>
        <v/>
      </c>
      <c r="AT307" s="400"/>
    </row>
    <row r="308" spans="1:46">
      <c r="A308" s="224" t="str">
        <f>IF(Calculation!BN314="","",CONCATENATE(Calculation!BO314,"-",Calculation!R314,"-",Calculation!S314,"-",Calculation!T314,"-",Calculation!U314))</f>
        <v/>
      </c>
      <c r="B308" s="224">
        <v>293</v>
      </c>
      <c r="C308" s="629" t="str">
        <f>IF(A308="","",Calculation!B314)</f>
        <v/>
      </c>
      <c r="D308" s="386" t="str">
        <f>IF(A308="","",Calculation!L314)</f>
        <v/>
      </c>
      <c r="E308" s="387" t="str">
        <f>IF(A308="","",Calculation!J314)</f>
        <v/>
      </c>
      <c r="F308" s="387" t="str">
        <f>IF(A308="","",Calculation!C314)</f>
        <v/>
      </c>
      <c r="G308" s="387" t="str">
        <f>IF(A308="","",LEFT(Calculation!O314,6))</f>
        <v/>
      </c>
      <c r="H308" s="388" t="str">
        <f>IF(A308="","",Calculation!DX314)</f>
        <v/>
      </c>
      <c r="I308" s="387" t="str">
        <f>IF(A308="","",Calculation!P314)</f>
        <v/>
      </c>
      <c r="J308" s="387" t="str">
        <f>IF(A308="","",HLOOKUP(LEFT(Calculation!BO314,7),LookUps!$C$38:$M$41,4))</f>
        <v/>
      </c>
      <c r="K308" s="387" t="str">
        <f>IF(A308="","",Calculation!M314)</f>
        <v/>
      </c>
      <c r="L308" s="387" t="str">
        <f>IF(A308="","",Calculation!S314)</f>
        <v/>
      </c>
      <c r="M308" s="389" t="str">
        <f>IF(A308="","",Calculation!N314)</f>
        <v/>
      </c>
      <c r="N308" s="390" t="str">
        <f>IF(A308="","",Calculation!R314)</f>
        <v/>
      </c>
      <c r="O308" s="391" t="str">
        <f>IF(A308="","",Calculation!$F$6)</f>
        <v/>
      </c>
      <c r="P308" s="392" t="str">
        <f>IF(A308="","",Calculation!$F$7)</f>
        <v/>
      </c>
      <c r="Q308" s="393" t="str">
        <f>IF(A308="","",Calculation!$F$13)</f>
        <v/>
      </c>
      <c r="R308" s="394" t="str">
        <f>IF(A308="","",Calculation!X314)</f>
        <v/>
      </c>
      <c r="S308" s="393" t="str">
        <f>IF(A308="","",Calculation!T314)</f>
        <v/>
      </c>
      <c r="T308" s="395" t="str">
        <f>IF(A308="","",IF(Calculation!$O$8="None","Water",CONCATENATE(Calculation!$O$8,"-",Calculation!$S$8,"%")))</f>
        <v/>
      </c>
      <c r="U308" s="393" t="str">
        <f>IF(A308="","",Calculation!$P$6)</f>
        <v/>
      </c>
      <c r="V308" s="393" t="str">
        <f>IF(A308="","",Calculation!AT314)</f>
        <v/>
      </c>
      <c r="W308" s="396" t="str">
        <f>IF(A308="","",Calculation!AP314)</f>
        <v/>
      </c>
      <c r="X308" s="396" t="str">
        <f>IF(A308="","",Calculation!AO314)</f>
        <v/>
      </c>
      <c r="Y308" s="396" t="str">
        <f>IF(A308="","",Calculation!AQ314)</f>
        <v/>
      </c>
      <c r="Z308" s="396" t="str">
        <f>IF(A308="","",Calculation!$H$6)</f>
        <v/>
      </c>
      <c r="AA308" s="397" t="str">
        <f>IF(A308="","",Calculation!$H$13)</f>
        <v/>
      </c>
      <c r="AB308" s="397" t="str">
        <f>IF(A308="","",Calculation!U314)</f>
        <v/>
      </c>
      <c r="AC308" s="398" t="str">
        <f>IF(A308="","",IF(Calculation!$O$9="None","Water",CONCATENATE(Calculation!$O$9,"-",Calculation!$S$9,"%")))</f>
        <v/>
      </c>
      <c r="AD308" s="396" t="str">
        <f>IF(A308="","",Calculation!$S$6)</f>
        <v/>
      </c>
      <c r="AE308" s="399" t="str">
        <f>IF(A308="","",Calculation!BA314)</f>
        <v/>
      </c>
      <c r="AF308" s="396" t="str">
        <f>IF(A308="","",Calculation!AX314)</f>
        <v/>
      </c>
      <c r="AG308" s="396" t="str">
        <f>IF(A308="","",Calculation!AW314)</f>
        <v/>
      </c>
      <c r="AH308" s="391" t="str">
        <f>IF(A308="","",Calculation!AY314)</f>
        <v/>
      </c>
      <c r="AI308" s="391" t="str">
        <f>IF(A308="","",Calculation!Y314)</f>
        <v/>
      </c>
      <c r="AJ308" s="401" t="str">
        <f>IF(Calculation!BD314&gt;0,Calculation!BD314," ")</f>
        <v xml:space="preserve"> </v>
      </c>
      <c r="AK308" s="401" t="str">
        <f>IF(Calculation!BD314&gt;0,Calculation!BE314," ")</f>
        <v xml:space="preserve"> </v>
      </c>
      <c r="AL308" s="401" t="str">
        <f>IF(Calculation!BD314&gt;0,Calculation!BF314," ")</f>
        <v xml:space="preserve"> </v>
      </c>
      <c r="AM308" s="401" t="str">
        <f>IF(Calculation!BD314&gt;0,Calculation!BG314," ")</f>
        <v xml:space="preserve"> </v>
      </c>
      <c r="AN308" s="391" t="str">
        <f>IF(Calculation!BH314="N/A","N/A",Calculation!BH314)</f>
        <v xml:space="preserve"> </v>
      </c>
      <c r="AO308" s="402" t="str">
        <f>IF(Calculation!BI314="N/A","N/A",Calculation!BI314)</f>
        <v/>
      </c>
      <c r="AP308" s="391" t="str">
        <f>IF(Calculation!BJ314="N/A","N/A",Calculation!BJ314)</f>
        <v/>
      </c>
      <c r="AQ308" s="402" t="str">
        <f>IF(Calculation!BK314="N/A","N/A",Calculation!BK314)</f>
        <v/>
      </c>
      <c r="AR308" s="391" t="str">
        <f>IF(Calculation!BL314="N/A","N/A",Calculation!BL314)</f>
        <v/>
      </c>
      <c r="AS308" s="402" t="str">
        <f>IF(Calculation!BM314="N/A","N/A",Calculation!BM314)</f>
        <v/>
      </c>
      <c r="AT308" s="400"/>
    </row>
    <row r="309" spans="1:46">
      <c r="A309" s="224" t="str">
        <f>IF(Calculation!BN315="","",CONCATENATE(Calculation!BO315,"-",Calculation!R315,"-",Calculation!S315,"-",Calculation!T315,"-",Calculation!U315))</f>
        <v/>
      </c>
      <c r="B309" s="224">
        <v>294</v>
      </c>
      <c r="C309" s="629" t="str">
        <f>IF(A309="","",Calculation!B315)</f>
        <v/>
      </c>
      <c r="D309" s="386" t="str">
        <f>IF(A309="","",Calculation!L315)</f>
        <v/>
      </c>
      <c r="E309" s="387" t="str">
        <f>IF(A309="","",Calculation!J315)</f>
        <v/>
      </c>
      <c r="F309" s="387" t="str">
        <f>IF(A309="","",Calculation!C315)</f>
        <v/>
      </c>
      <c r="G309" s="387" t="str">
        <f>IF(A309="","",LEFT(Calculation!O315,6))</f>
        <v/>
      </c>
      <c r="H309" s="388" t="str">
        <f>IF(A309="","",Calculation!DX315)</f>
        <v/>
      </c>
      <c r="I309" s="387" t="str">
        <f>IF(A309="","",Calculation!P315)</f>
        <v/>
      </c>
      <c r="J309" s="387" t="str">
        <f>IF(A309="","",HLOOKUP(LEFT(Calculation!BO315,7),LookUps!$C$38:$M$41,4))</f>
        <v/>
      </c>
      <c r="K309" s="387" t="str">
        <f>IF(A309="","",Calculation!M315)</f>
        <v/>
      </c>
      <c r="L309" s="387" t="str">
        <f>IF(A309="","",Calculation!S315)</f>
        <v/>
      </c>
      <c r="M309" s="389" t="str">
        <f>IF(A309="","",Calculation!N315)</f>
        <v/>
      </c>
      <c r="N309" s="390" t="str">
        <f>IF(A309="","",Calculation!R315)</f>
        <v/>
      </c>
      <c r="O309" s="391" t="str">
        <f>IF(A309="","",Calculation!$F$6)</f>
        <v/>
      </c>
      <c r="P309" s="392" t="str">
        <f>IF(A309="","",Calculation!$F$7)</f>
        <v/>
      </c>
      <c r="Q309" s="393" t="str">
        <f>IF(A309="","",Calculation!$F$13)</f>
        <v/>
      </c>
      <c r="R309" s="394" t="str">
        <f>IF(A309="","",Calculation!X315)</f>
        <v/>
      </c>
      <c r="S309" s="393" t="str">
        <f>IF(A309="","",Calculation!T315)</f>
        <v/>
      </c>
      <c r="T309" s="395" t="str">
        <f>IF(A309="","",IF(Calculation!$O$8="None","Water",CONCATENATE(Calculation!$O$8,"-",Calculation!$S$8,"%")))</f>
        <v/>
      </c>
      <c r="U309" s="393" t="str">
        <f>IF(A309="","",Calculation!$P$6)</f>
        <v/>
      </c>
      <c r="V309" s="393" t="str">
        <f>IF(A309="","",Calculation!AT315)</f>
        <v/>
      </c>
      <c r="W309" s="396" t="str">
        <f>IF(A309="","",Calculation!AP315)</f>
        <v/>
      </c>
      <c r="X309" s="396" t="str">
        <f>IF(A309="","",Calculation!AO315)</f>
        <v/>
      </c>
      <c r="Y309" s="396" t="str">
        <f>IF(A309="","",Calculation!AQ315)</f>
        <v/>
      </c>
      <c r="Z309" s="396" t="str">
        <f>IF(A309="","",Calculation!$H$6)</f>
        <v/>
      </c>
      <c r="AA309" s="397" t="str">
        <f>IF(A309="","",Calculation!$H$13)</f>
        <v/>
      </c>
      <c r="AB309" s="397" t="str">
        <f>IF(A309="","",Calculation!U315)</f>
        <v/>
      </c>
      <c r="AC309" s="398" t="str">
        <f>IF(A309="","",IF(Calculation!$O$9="None","Water",CONCATENATE(Calculation!$O$9,"-",Calculation!$S$9,"%")))</f>
        <v/>
      </c>
      <c r="AD309" s="396" t="str">
        <f>IF(A309="","",Calculation!$S$6)</f>
        <v/>
      </c>
      <c r="AE309" s="399" t="str">
        <f>IF(A309="","",Calculation!BA315)</f>
        <v/>
      </c>
      <c r="AF309" s="396" t="str">
        <f>IF(A309="","",Calculation!AX315)</f>
        <v/>
      </c>
      <c r="AG309" s="396" t="str">
        <f>IF(A309="","",Calculation!AW315)</f>
        <v/>
      </c>
      <c r="AH309" s="391" t="str">
        <f>IF(A309="","",Calculation!AY315)</f>
        <v/>
      </c>
      <c r="AI309" s="391" t="str">
        <f>IF(A309="","",Calculation!Y315)</f>
        <v/>
      </c>
      <c r="AJ309" s="401" t="str">
        <f>IF(Calculation!BD315&gt;0,Calculation!BD315," ")</f>
        <v xml:space="preserve"> </v>
      </c>
      <c r="AK309" s="401" t="str">
        <f>IF(Calculation!BD315&gt;0,Calculation!BE315," ")</f>
        <v xml:space="preserve"> </v>
      </c>
      <c r="AL309" s="401" t="str">
        <f>IF(Calculation!BD315&gt;0,Calculation!BF315," ")</f>
        <v xml:space="preserve"> </v>
      </c>
      <c r="AM309" s="401" t="str">
        <f>IF(Calculation!BD315&gt;0,Calculation!BG315," ")</f>
        <v xml:space="preserve"> </v>
      </c>
      <c r="AN309" s="391" t="str">
        <f>IF(Calculation!BH315="N/A","N/A",Calculation!BH315)</f>
        <v xml:space="preserve"> </v>
      </c>
      <c r="AO309" s="402" t="str">
        <f>IF(Calculation!BI315="N/A","N/A",Calculation!BI315)</f>
        <v/>
      </c>
      <c r="AP309" s="391" t="str">
        <f>IF(Calculation!BJ315="N/A","N/A",Calculation!BJ315)</f>
        <v/>
      </c>
      <c r="AQ309" s="402" t="str">
        <f>IF(Calculation!BK315="N/A","N/A",Calculation!BK315)</f>
        <v/>
      </c>
      <c r="AR309" s="391" t="str">
        <f>IF(Calculation!BL315="N/A","N/A",Calculation!BL315)</f>
        <v/>
      </c>
      <c r="AS309" s="402" t="str">
        <f>IF(Calculation!BM315="N/A","N/A",Calculation!BM315)</f>
        <v/>
      </c>
      <c r="AT309" s="400"/>
    </row>
    <row r="310" spans="1:46">
      <c r="A310" s="224" t="str">
        <f>IF(Calculation!BN316="","",CONCATENATE(Calculation!BO316,"-",Calculation!R316,"-",Calculation!S316,"-",Calculation!T316,"-",Calculation!U316))</f>
        <v/>
      </c>
      <c r="B310" s="224">
        <v>295</v>
      </c>
      <c r="C310" s="629" t="str">
        <f>IF(A310="","",Calculation!B316)</f>
        <v/>
      </c>
      <c r="D310" s="386" t="str">
        <f>IF(A310="","",Calculation!L316)</f>
        <v/>
      </c>
      <c r="E310" s="387" t="str">
        <f>IF(A310="","",Calculation!J316)</f>
        <v/>
      </c>
      <c r="F310" s="387" t="str">
        <f>IF(A310="","",Calculation!C316)</f>
        <v/>
      </c>
      <c r="G310" s="387" t="str">
        <f>IF(A310="","",LEFT(Calculation!O316,6))</f>
        <v/>
      </c>
      <c r="H310" s="388" t="str">
        <f>IF(A310="","",Calculation!DX316)</f>
        <v/>
      </c>
      <c r="I310" s="387" t="str">
        <f>IF(A310="","",Calculation!P316)</f>
        <v/>
      </c>
      <c r="J310" s="387" t="str">
        <f>IF(A310="","",HLOOKUP(LEFT(Calculation!BO316,7),LookUps!$C$38:$M$41,4))</f>
        <v/>
      </c>
      <c r="K310" s="387" t="str">
        <f>IF(A310="","",Calculation!M316)</f>
        <v/>
      </c>
      <c r="L310" s="387" t="str">
        <f>IF(A310="","",Calculation!S316)</f>
        <v/>
      </c>
      <c r="M310" s="389" t="str">
        <f>IF(A310="","",Calculation!N316)</f>
        <v/>
      </c>
      <c r="N310" s="390" t="str">
        <f>IF(A310="","",Calculation!R316)</f>
        <v/>
      </c>
      <c r="O310" s="391" t="str">
        <f>IF(A310="","",Calculation!$F$6)</f>
        <v/>
      </c>
      <c r="P310" s="392" t="str">
        <f>IF(A310="","",Calculation!$F$7)</f>
        <v/>
      </c>
      <c r="Q310" s="393" t="str">
        <f>IF(A310="","",Calculation!$F$13)</f>
        <v/>
      </c>
      <c r="R310" s="394" t="str">
        <f>IF(A310="","",Calculation!X316)</f>
        <v/>
      </c>
      <c r="S310" s="393" t="str">
        <f>IF(A310="","",Calculation!T316)</f>
        <v/>
      </c>
      <c r="T310" s="395" t="str">
        <f>IF(A310="","",IF(Calculation!$O$8="None","Water",CONCATENATE(Calculation!$O$8,"-",Calculation!$S$8,"%")))</f>
        <v/>
      </c>
      <c r="U310" s="393" t="str">
        <f>IF(A310="","",Calculation!$P$6)</f>
        <v/>
      </c>
      <c r="V310" s="393" t="str">
        <f>IF(A310="","",Calculation!AT316)</f>
        <v/>
      </c>
      <c r="W310" s="396" t="str">
        <f>IF(A310="","",Calculation!AP316)</f>
        <v/>
      </c>
      <c r="X310" s="396" t="str">
        <f>IF(A310="","",Calculation!AO316)</f>
        <v/>
      </c>
      <c r="Y310" s="396" t="str">
        <f>IF(A310="","",Calculation!AQ316)</f>
        <v/>
      </c>
      <c r="Z310" s="396" t="str">
        <f>IF(A310="","",Calculation!$H$6)</f>
        <v/>
      </c>
      <c r="AA310" s="397" t="str">
        <f>IF(A310="","",Calculation!$H$13)</f>
        <v/>
      </c>
      <c r="AB310" s="397" t="str">
        <f>IF(A310="","",Calculation!U316)</f>
        <v/>
      </c>
      <c r="AC310" s="398" t="str">
        <f>IF(A310="","",IF(Calculation!$O$9="None","Water",CONCATENATE(Calculation!$O$9,"-",Calculation!$S$9,"%")))</f>
        <v/>
      </c>
      <c r="AD310" s="396" t="str">
        <f>IF(A310="","",Calculation!$S$6)</f>
        <v/>
      </c>
      <c r="AE310" s="399" t="str">
        <f>IF(A310="","",Calculation!BA316)</f>
        <v/>
      </c>
      <c r="AF310" s="396" t="str">
        <f>IF(A310="","",Calculation!AX316)</f>
        <v/>
      </c>
      <c r="AG310" s="396" t="str">
        <f>IF(A310="","",Calculation!AW316)</f>
        <v/>
      </c>
      <c r="AH310" s="391" t="str">
        <f>IF(A310="","",Calculation!AY316)</f>
        <v/>
      </c>
      <c r="AI310" s="391" t="str">
        <f>IF(A310="","",Calculation!Y316)</f>
        <v/>
      </c>
      <c r="AJ310" s="401" t="str">
        <f>IF(Calculation!BD316&gt;0,Calculation!BD316," ")</f>
        <v xml:space="preserve"> </v>
      </c>
      <c r="AK310" s="401" t="str">
        <f>IF(Calculation!BD316&gt;0,Calculation!BE316," ")</f>
        <v xml:space="preserve"> </v>
      </c>
      <c r="AL310" s="401" t="str">
        <f>IF(Calculation!BD316&gt;0,Calculation!BF316," ")</f>
        <v xml:space="preserve"> </v>
      </c>
      <c r="AM310" s="401" t="str">
        <f>IF(Calculation!BD316&gt;0,Calculation!BG316," ")</f>
        <v xml:space="preserve"> </v>
      </c>
      <c r="AN310" s="391" t="str">
        <f>IF(Calculation!BH316="N/A","N/A",Calculation!BH316)</f>
        <v xml:space="preserve"> </v>
      </c>
      <c r="AO310" s="402" t="str">
        <f>IF(Calculation!BI316="N/A","N/A",Calculation!BI316)</f>
        <v/>
      </c>
      <c r="AP310" s="391" t="str">
        <f>IF(Calculation!BJ316="N/A","N/A",Calculation!BJ316)</f>
        <v/>
      </c>
      <c r="AQ310" s="402" t="str">
        <f>IF(Calculation!BK316="N/A","N/A",Calculation!BK316)</f>
        <v/>
      </c>
      <c r="AR310" s="391" t="str">
        <f>IF(Calculation!BL316="N/A","N/A",Calculation!BL316)</f>
        <v/>
      </c>
      <c r="AS310" s="402" t="str">
        <f>IF(Calculation!BM316="N/A","N/A",Calculation!BM316)</f>
        <v/>
      </c>
      <c r="AT310" s="400"/>
    </row>
    <row r="311" spans="1:46">
      <c r="A311" s="224" t="str">
        <f>IF(Calculation!BN317="","",CONCATENATE(Calculation!BO317,"-",Calculation!R317,"-",Calculation!S317,"-",Calculation!T317,"-",Calculation!U317))</f>
        <v/>
      </c>
      <c r="B311" s="224">
        <v>296</v>
      </c>
      <c r="C311" s="629" t="str">
        <f>IF(A311="","",Calculation!B317)</f>
        <v/>
      </c>
      <c r="D311" s="386" t="str">
        <f>IF(A311="","",Calculation!L317)</f>
        <v/>
      </c>
      <c r="E311" s="387" t="str">
        <f>IF(A311="","",Calculation!J317)</f>
        <v/>
      </c>
      <c r="F311" s="387" t="str">
        <f>IF(A311="","",Calculation!C317)</f>
        <v/>
      </c>
      <c r="G311" s="387" t="str">
        <f>IF(A311="","",LEFT(Calculation!O317,6))</f>
        <v/>
      </c>
      <c r="H311" s="388" t="str">
        <f>IF(A311="","",Calculation!DX317)</f>
        <v/>
      </c>
      <c r="I311" s="387" t="str">
        <f>IF(A311="","",Calculation!P317)</f>
        <v/>
      </c>
      <c r="J311" s="387" t="str">
        <f>IF(A311="","",HLOOKUP(LEFT(Calculation!BO317,7),LookUps!$C$38:$M$41,4))</f>
        <v/>
      </c>
      <c r="K311" s="387" t="str">
        <f>IF(A311="","",Calculation!M317)</f>
        <v/>
      </c>
      <c r="L311" s="387" t="str">
        <f>IF(A311="","",Calculation!S317)</f>
        <v/>
      </c>
      <c r="M311" s="389" t="str">
        <f>IF(A311="","",Calculation!N317)</f>
        <v/>
      </c>
      <c r="N311" s="390" t="str">
        <f>IF(A311="","",Calculation!R317)</f>
        <v/>
      </c>
      <c r="O311" s="391" t="str">
        <f>IF(A311="","",Calculation!$F$6)</f>
        <v/>
      </c>
      <c r="P311" s="392" t="str">
        <f>IF(A311="","",Calculation!$F$7)</f>
        <v/>
      </c>
      <c r="Q311" s="393" t="str">
        <f>IF(A311="","",Calculation!$F$13)</f>
        <v/>
      </c>
      <c r="R311" s="394" t="str">
        <f>IF(A311="","",Calculation!X317)</f>
        <v/>
      </c>
      <c r="S311" s="393" t="str">
        <f>IF(A311="","",Calculation!T317)</f>
        <v/>
      </c>
      <c r="T311" s="395" t="str">
        <f>IF(A311="","",IF(Calculation!$O$8="None","Water",CONCATENATE(Calculation!$O$8,"-",Calculation!$S$8,"%")))</f>
        <v/>
      </c>
      <c r="U311" s="393" t="str">
        <f>IF(A311="","",Calculation!$P$6)</f>
        <v/>
      </c>
      <c r="V311" s="393" t="str">
        <f>IF(A311="","",Calculation!AT317)</f>
        <v/>
      </c>
      <c r="W311" s="396" t="str">
        <f>IF(A311="","",Calculation!AP317)</f>
        <v/>
      </c>
      <c r="X311" s="396" t="str">
        <f>IF(A311="","",Calculation!AO317)</f>
        <v/>
      </c>
      <c r="Y311" s="396" t="str">
        <f>IF(A311="","",Calculation!AQ317)</f>
        <v/>
      </c>
      <c r="Z311" s="396" t="str">
        <f>IF(A311="","",Calculation!$H$6)</f>
        <v/>
      </c>
      <c r="AA311" s="397" t="str">
        <f>IF(A311="","",Calculation!$H$13)</f>
        <v/>
      </c>
      <c r="AB311" s="397" t="str">
        <f>IF(A311="","",Calculation!U317)</f>
        <v/>
      </c>
      <c r="AC311" s="398" t="str">
        <f>IF(A311="","",IF(Calculation!$O$9="None","Water",CONCATENATE(Calculation!$O$9,"-",Calculation!$S$9,"%")))</f>
        <v/>
      </c>
      <c r="AD311" s="396" t="str">
        <f>IF(A311="","",Calculation!$S$6)</f>
        <v/>
      </c>
      <c r="AE311" s="399" t="str">
        <f>IF(A311="","",Calculation!BA317)</f>
        <v/>
      </c>
      <c r="AF311" s="396" t="str">
        <f>IF(A311="","",Calculation!AX317)</f>
        <v/>
      </c>
      <c r="AG311" s="396" t="str">
        <f>IF(A311="","",Calculation!AW317)</f>
        <v/>
      </c>
      <c r="AH311" s="391" t="str">
        <f>IF(A311="","",Calculation!AY317)</f>
        <v/>
      </c>
      <c r="AI311" s="391" t="str">
        <f>IF(A311="","",Calculation!Y317)</f>
        <v/>
      </c>
      <c r="AJ311" s="401" t="str">
        <f>IF(Calculation!BD317&gt;0,Calculation!BD317," ")</f>
        <v xml:space="preserve"> </v>
      </c>
      <c r="AK311" s="401" t="str">
        <f>IF(Calculation!BD317&gt;0,Calculation!BE317," ")</f>
        <v xml:space="preserve"> </v>
      </c>
      <c r="AL311" s="401" t="str">
        <f>IF(Calculation!BD317&gt;0,Calculation!BF317," ")</f>
        <v xml:space="preserve"> </v>
      </c>
      <c r="AM311" s="401" t="str">
        <f>IF(Calculation!BD317&gt;0,Calculation!BG317," ")</f>
        <v xml:space="preserve"> </v>
      </c>
      <c r="AN311" s="391" t="str">
        <f>IF(Calculation!BH317="N/A","N/A",Calculation!BH317)</f>
        <v xml:space="preserve"> </v>
      </c>
      <c r="AO311" s="402" t="str">
        <f>IF(Calculation!BI317="N/A","N/A",Calculation!BI317)</f>
        <v/>
      </c>
      <c r="AP311" s="391" t="str">
        <f>IF(Calculation!BJ317="N/A","N/A",Calculation!BJ317)</f>
        <v/>
      </c>
      <c r="AQ311" s="402" t="str">
        <f>IF(Calculation!BK317="N/A","N/A",Calculation!BK317)</f>
        <v/>
      </c>
      <c r="AR311" s="391" t="str">
        <f>IF(Calculation!BL317="N/A","N/A",Calculation!BL317)</f>
        <v/>
      </c>
      <c r="AS311" s="402" t="str">
        <f>IF(Calculation!BM317="N/A","N/A",Calculation!BM317)</f>
        <v/>
      </c>
      <c r="AT311" s="400"/>
    </row>
    <row r="312" spans="1:46">
      <c r="A312" s="224" t="str">
        <f>IF(Calculation!BN318="","",CONCATENATE(Calculation!BO318,"-",Calculation!R318,"-",Calculation!S318,"-",Calculation!T318,"-",Calculation!U318))</f>
        <v/>
      </c>
      <c r="B312" s="224">
        <v>297</v>
      </c>
      <c r="C312" s="629" t="str">
        <f>IF(A312="","",Calculation!B318)</f>
        <v/>
      </c>
      <c r="D312" s="386" t="str">
        <f>IF(A312="","",Calculation!L318)</f>
        <v/>
      </c>
      <c r="E312" s="387" t="str">
        <f>IF(A312="","",Calculation!J318)</f>
        <v/>
      </c>
      <c r="F312" s="387" t="str">
        <f>IF(A312="","",Calculation!C318)</f>
        <v/>
      </c>
      <c r="G312" s="387" t="str">
        <f>IF(A312="","",LEFT(Calculation!O318,6))</f>
        <v/>
      </c>
      <c r="H312" s="388" t="str">
        <f>IF(A312="","",Calculation!DX318)</f>
        <v/>
      </c>
      <c r="I312" s="387" t="str">
        <f>IF(A312="","",Calculation!P318)</f>
        <v/>
      </c>
      <c r="J312" s="387" t="str">
        <f>IF(A312="","",HLOOKUP(LEFT(Calculation!BO318,7),LookUps!$C$38:$M$41,4))</f>
        <v/>
      </c>
      <c r="K312" s="387" t="str">
        <f>IF(A312="","",Calculation!M318)</f>
        <v/>
      </c>
      <c r="L312" s="387" t="str">
        <f>IF(A312="","",Calculation!S318)</f>
        <v/>
      </c>
      <c r="M312" s="389" t="str">
        <f>IF(A312="","",Calculation!N318)</f>
        <v/>
      </c>
      <c r="N312" s="390" t="str">
        <f>IF(A312="","",Calculation!R318)</f>
        <v/>
      </c>
      <c r="O312" s="391" t="str">
        <f>IF(A312="","",Calculation!$F$6)</f>
        <v/>
      </c>
      <c r="P312" s="392" t="str">
        <f>IF(A312="","",Calculation!$F$7)</f>
        <v/>
      </c>
      <c r="Q312" s="393" t="str">
        <f>IF(A312="","",Calculation!$F$13)</f>
        <v/>
      </c>
      <c r="R312" s="394" t="str">
        <f>IF(A312="","",Calculation!X318)</f>
        <v/>
      </c>
      <c r="S312" s="393" t="str">
        <f>IF(A312="","",Calculation!T318)</f>
        <v/>
      </c>
      <c r="T312" s="395" t="str">
        <f>IF(A312="","",IF(Calculation!$O$8="None","Water",CONCATENATE(Calculation!$O$8,"-",Calculation!$S$8,"%")))</f>
        <v/>
      </c>
      <c r="U312" s="393" t="str">
        <f>IF(A312="","",Calculation!$P$6)</f>
        <v/>
      </c>
      <c r="V312" s="393" t="str">
        <f>IF(A312="","",Calculation!AT318)</f>
        <v/>
      </c>
      <c r="W312" s="396" t="str">
        <f>IF(A312="","",Calculation!AP318)</f>
        <v/>
      </c>
      <c r="X312" s="396" t="str">
        <f>IF(A312="","",Calculation!AO318)</f>
        <v/>
      </c>
      <c r="Y312" s="396" t="str">
        <f>IF(A312="","",Calculation!AQ318)</f>
        <v/>
      </c>
      <c r="Z312" s="396" t="str">
        <f>IF(A312="","",Calculation!$H$6)</f>
        <v/>
      </c>
      <c r="AA312" s="397" t="str">
        <f>IF(A312="","",Calculation!$H$13)</f>
        <v/>
      </c>
      <c r="AB312" s="397" t="str">
        <f>IF(A312="","",Calculation!U318)</f>
        <v/>
      </c>
      <c r="AC312" s="398" t="str">
        <f>IF(A312="","",IF(Calculation!$O$9="None","Water",CONCATENATE(Calculation!$O$9,"-",Calculation!$S$9,"%")))</f>
        <v/>
      </c>
      <c r="AD312" s="396" t="str">
        <f>IF(A312="","",Calculation!$S$6)</f>
        <v/>
      </c>
      <c r="AE312" s="399" t="str">
        <f>IF(A312="","",Calculation!BA318)</f>
        <v/>
      </c>
      <c r="AF312" s="396" t="str">
        <f>IF(A312="","",Calculation!AX318)</f>
        <v/>
      </c>
      <c r="AG312" s="396" t="str">
        <f>IF(A312="","",Calculation!AW318)</f>
        <v/>
      </c>
      <c r="AH312" s="391" t="str">
        <f>IF(A312="","",Calculation!AY318)</f>
        <v/>
      </c>
      <c r="AI312" s="391" t="str">
        <f>IF(A312="","",Calculation!Y318)</f>
        <v/>
      </c>
      <c r="AJ312" s="401" t="str">
        <f>IF(Calculation!BD318&gt;0,Calculation!BD318," ")</f>
        <v xml:space="preserve"> </v>
      </c>
      <c r="AK312" s="401" t="str">
        <f>IF(Calculation!BD318&gt;0,Calculation!BE318," ")</f>
        <v xml:space="preserve"> </v>
      </c>
      <c r="AL312" s="401" t="str">
        <f>IF(Calculation!BD318&gt;0,Calculation!BF318," ")</f>
        <v xml:space="preserve"> </v>
      </c>
      <c r="AM312" s="401" t="str">
        <f>IF(Calculation!BD318&gt;0,Calculation!BG318," ")</f>
        <v xml:space="preserve"> </v>
      </c>
      <c r="AN312" s="391" t="str">
        <f>IF(Calculation!BH318="N/A","N/A",Calculation!BH318)</f>
        <v xml:space="preserve"> </v>
      </c>
      <c r="AO312" s="402" t="str">
        <f>IF(Calculation!BI318="N/A","N/A",Calculation!BI318)</f>
        <v/>
      </c>
      <c r="AP312" s="391" t="str">
        <f>IF(Calculation!BJ318="N/A","N/A",Calculation!BJ318)</f>
        <v/>
      </c>
      <c r="AQ312" s="402" t="str">
        <f>IF(Calculation!BK318="N/A","N/A",Calculation!BK318)</f>
        <v/>
      </c>
      <c r="AR312" s="391" t="str">
        <f>IF(Calculation!BL318="N/A","N/A",Calculation!BL318)</f>
        <v/>
      </c>
      <c r="AS312" s="402" t="str">
        <f>IF(Calculation!BM318="N/A","N/A",Calculation!BM318)</f>
        <v/>
      </c>
      <c r="AT312" s="400"/>
    </row>
    <row r="313" spans="1:46">
      <c r="A313" s="224" t="str">
        <f>IF(Calculation!BN319="","",CONCATENATE(Calculation!BO319,"-",Calculation!R319,"-",Calculation!S319,"-",Calculation!T319,"-",Calculation!U319))</f>
        <v/>
      </c>
      <c r="B313" s="224">
        <v>298</v>
      </c>
      <c r="C313" s="629" t="str">
        <f>IF(A313="","",Calculation!B319)</f>
        <v/>
      </c>
      <c r="D313" s="386" t="str">
        <f>IF(A313="","",Calculation!L319)</f>
        <v/>
      </c>
      <c r="E313" s="387" t="str">
        <f>IF(A313="","",Calculation!J319)</f>
        <v/>
      </c>
      <c r="F313" s="387" t="str">
        <f>IF(A313="","",Calculation!C319)</f>
        <v/>
      </c>
      <c r="G313" s="387" t="str">
        <f>IF(A313="","",LEFT(Calculation!O319,6))</f>
        <v/>
      </c>
      <c r="H313" s="388" t="str">
        <f>IF(A313="","",Calculation!DX319)</f>
        <v/>
      </c>
      <c r="I313" s="387" t="str">
        <f>IF(A313="","",Calculation!P319)</f>
        <v/>
      </c>
      <c r="J313" s="387" t="str">
        <f>IF(A313="","",HLOOKUP(LEFT(Calculation!BO319,7),LookUps!$C$38:$M$41,4))</f>
        <v/>
      </c>
      <c r="K313" s="387" t="str">
        <f>IF(A313="","",Calculation!M319)</f>
        <v/>
      </c>
      <c r="L313" s="387" t="str">
        <f>IF(A313="","",Calculation!S319)</f>
        <v/>
      </c>
      <c r="M313" s="389" t="str">
        <f>IF(A313="","",Calculation!N319)</f>
        <v/>
      </c>
      <c r="N313" s="390" t="str">
        <f>IF(A313="","",Calculation!R319)</f>
        <v/>
      </c>
      <c r="O313" s="391" t="str">
        <f>IF(A313="","",Calculation!$F$6)</f>
        <v/>
      </c>
      <c r="P313" s="392" t="str">
        <f>IF(A313="","",Calculation!$F$7)</f>
        <v/>
      </c>
      <c r="Q313" s="393" t="str">
        <f>IF(A313="","",Calculation!$F$13)</f>
        <v/>
      </c>
      <c r="R313" s="394" t="str">
        <f>IF(A313="","",Calculation!X319)</f>
        <v/>
      </c>
      <c r="S313" s="393" t="str">
        <f>IF(A313="","",Calculation!T319)</f>
        <v/>
      </c>
      <c r="T313" s="395" t="str">
        <f>IF(A313="","",IF(Calculation!$O$8="None","Water",CONCATENATE(Calculation!$O$8,"-",Calculation!$S$8,"%")))</f>
        <v/>
      </c>
      <c r="U313" s="393" t="str">
        <f>IF(A313="","",Calculation!$P$6)</f>
        <v/>
      </c>
      <c r="V313" s="393" t="str">
        <f>IF(A313="","",Calculation!AT319)</f>
        <v/>
      </c>
      <c r="W313" s="396" t="str">
        <f>IF(A313="","",Calculation!AP319)</f>
        <v/>
      </c>
      <c r="X313" s="396" t="str">
        <f>IF(A313="","",Calculation!AO319)</f>
        <v/>
      </c>
      <c r="Y313" s="396" t="str">
        <f>IF(A313="","",Calculation!AQ319)</f>
        <v/>
      </c>
      <c r="Z313" s="396" t="str">
        <f>IF(A313="","",Calculation!$H$6)</f>
        <v/>
      </c>
      <c r="AA313" s="397" t="str">
        <f>IF(A313="","",Calculation!$H$13)</f>
        <v/>
      </c>
      <c r="AB313" s="397" t="str">
        <f>IF(A313="","",Calculation!U319)</f>
        <v/>
      </c>
      <c r="AC313" s="398" t="str">
        <f>IF(A313="","",IF(Calculation!$O$9="None","Water",CONCATENATE(Calculation!$O$9,"-",Calculation!$S$9,"%")))</f>
        <v/>
      </c>
      <c r="AD313" s="396" t="str">
        <f>IF(A313="","",Calculation!$S$6)</f>
        <v/>
      </c>
      <c r="AE313" s="399" t="str">
        <f>IF(A313="","",Calculation!BA319)</f>
        <v/>
      </c>
      <c r="AF313" s="396" t="str">
        <f>IF(A313="","",Calculation!AX319)</f>
        <v/>
      </c>
      <c r="AG313" s="396" t="str">
        <f>IF(A313="","",Calculation!AW319)</f>
        <v/>
      </c>
      <c r="AH313" s="391" t="str">
        <f>IF(A313="","",Calculation!AY319)</f>
        <v/>
      </c>
      <c r="AI313" s="391" t="str">
        <f>IF(A313="","",Calculation!Y319)</f>
        <v/>
      </c>
      <c r="AJ313" s="401" t="str">
        <f>IF(Calculation!BD319&gt;0,Calculation!BD319," ")</f>
        <v xml:space="preserve"> </v>
      </c>
      <c r="AK313" s="401" t="str">
        <f>IF(Calculation!BD319&gt;0,Calculation!BE319," ")</f>
        <v xml:space="preserve"> </v>
      </c>
      <c r="AL313" s="401" t="str">
        <f>IF(Calculation!BD319&gt;0,Calculation!BF319," ")</f>
        <v xml:space="preserve"> </v>
      </c>
      <c r="AM313" s="401" t="str">
        <f>IF(Calculation!BD319&gt;0,Calculation!BG319," ")</f>
        <v xml:space="preserve"> </v>
      </c>
      <c r="AN313" s="391" t="str">
        <f>IF(Calculation!BH319="N/A","N/A",Calculation!BH319)</f>
        <v xml:space="preserve"> </v>
      </c>
      <c r="AO313" s="402" t="str">
        <f>IF(Calculation!BI319="N/A","N/A",Calculation!BI319)</f>
        <v/>
      </c>
      <c r="AP313" s="391" t="str">
        <f>IF(Calculation!BJ319="N/A","N/A",Calculation!BJ319)</f>
        <v/>
      </c>
      <c r="AQ313" s="402" t="str">
        <f>IF(Calculation!BK319="N/A","N/A",Calculation!BK319)</f>
        <v/>
      </c>
      <c r="AR313" s="391" t="str">
        <f>IF(Calculation!BL319="N/A","N/A",Calculation!BL319)</f>
        <v/>
      </c>
      <c r="AS313" s="402" t="str">
        <f>IF(Calculation!BM319="N/A","N/A",Calculation!BM319)</f>
        <v/>
      </c>
      <c r="AT313" s="400"/>
    </row>
    <row r="314" spans="1:46">
      <c r="A314" s="224" t="str">
        <f>IF(Calculation!BN320="","",CONCATENATE(Calculation!BO320,"-",Calculation!R320,"-",Calculation!S320,"-",Calculation!T320,"-",Calculation!U320))</f>
        <v/>
      </c>
      <c r="B314" s="224">
        <v>299</v>
      </c>
      <c r="C314" s="629" t="str">
        <f>IF(A314="","",Calculation!B320)</f>
        <v/>
      </c>
      <c r="D314" s="386" t="str">
        <f>IF(A314="","",Calculation!L320)</f>
        <v/>
      </c>
      <c r="E314" s="387" t="str">
        <f>IF(A314="","",Calculation!J320)</f>
        <v/>
      </c>
      <c r="F314" s="387" t="str">
        <f>IF(A314="","",Calculation!C320)</f>
        <v/>
      </c>
      <c r="G314" s="387" t="str">
        <f>IF(A314="","",LEFT(Calculation!O320,6))</f>
        <v/>
      </c>
      <c r="H314" s="388" t="str">
        <f>IF(A314="","",Calculation!DX320)</f>
        <v/>
      </c>
      <c r="I314" s="387" t="str">
        <f>IF(A314="","",Calculation!P320)</f>
        <v/>
      </c>
      <c r="J314" s="387" t="str">
        <f>IF(A314="","",HLOOKUP(LEFT(Calculation!BO320,7),LookUps!$C$38:$M$41,4))</f>
        <v/>
      </c>
      <c r="K314" s="387" t="str">
        <f>IF(A314="","",Calculation!M320)</f>
        <v/>
      </c>
      <c r="L314" s="387" t="str">
        <f>IF(A314="","",Calculation!S320)</f>
        <v/>
      </c>
      <c r="M314" s="389" t="str">
        <f>IF(A314="","",Calculation!N320)</f>
        <v/>
      </c>
      <c r="N314" s="390" t="str">
        <f>IF(A314="","",Calculation!R320)</f>
        <v/>
      </c>
      <c r="O314" s="391" t="str">
        <f>IF(A314="","",Calculation!$F$6)</f>
        <v/>
      </c>
      <c r="P314" s="392" t="str">
        <f>IF(A314="","",Calculation!$F$7)</f>
        <v/>
      </c>
      <c r="Q314" s="393" t="str">
        <f>IF(A314="","",Calculation!$F$13)</f>
        <v/>
      </c>
      <c r="R314" s="394" t="str">
        <f>IF(A314="","",Calculation!X320)</f>
        <v/>
      </c>
      <c r="S314" s="393" t="str">
        <f>IF(A314="","",Calculation!T320)</f>
        <v/>
      </c>
      <c r="T314" s="395" t="str">
        <f>IF(A314="","",IF(Calculation!$O$8="None","Water",CONCATENATE(Calculation!$O$8,"-",Calculation!$S$8,"%")))</f>
        <v/>
      </c>
      <c r="U314" s="393" t="str">
        <f>IF(A314="","",Calculation!$P$6)</f>
        <v/>
      </c>
      <c r="V314" s="393" t="str">
        <f>IF(A314="","",Calculation!AT320)</f>
        <v/>
      </c>
      <c r="W314" s="396" t="str">
        <f>IF(A314="","",Calculation!AP320)</f>
        <v/>
      </c>
      <c r="X314" s="396" t="str">
        <f>IF(A314="","",Calculation!AO320)</f>
        <v/>
      </c>
      <c r="Y314" s="396" t="str">
        <f>IF(A314="","",Calculation!AQ320)</f>
        <v/>
      </c>
      <c r="Z314" s="396" t="str">
        <f>IF(A314="","",Calculation!$H$6)</f>
        <v/>
      </c>
      <c r="AA314" s="397" t="str">
        <f>IF(A314="","",Calculation!$H$13)</f>
        <v/>
      </c>
      <c r="AB314" s="397" t="str">
        <f>IF(A314="","",Calculation!U320)</f>
        <v/>
      </c>
      <c r="AC314" s="398" t="str">
        <f>IF(A314="","",IF(Calculation!$O$9="None","Water",CONCATENATE(Calculation!$O$9,"-",Calculation!$S$9,"%")))</f>
        <v/>
      </c>
      <c r="AD314" s="396" t="str">
        <f>IF(A314="","",Calculation!$S$6)</f>
        <v/>
      </c>
      <c r="AE314" s="399" t="str">
        <f>IF(A314="","",Calculation!BA320)</f>
        <v/>
      </c>
      <c r="AF314" s="396" t="str">
        <f>IF(A314="","",Calculation!AX320)</f>
        <v/>
      </c>
      <c r="AG314" s="396" t="str">
        <f>IF(A314="","",Calculation!AW320)</f>
        <v/>
      </c>
      <c r="AH314" s="391" t="str">
        <f>IF(A314="","",Calculation!AY320)</f>
        <v/>
      </c>
      <c r="AI314" s="391" t="str">
        <f>IF(A314="","",Calculation!Y320)</f>
        <v/>
      </c>
      <c r="AJ314" s="401" t="str">
        <f>IF(Calculation!BD320&gt;0,Calculation!BD320," ")</f>
        <v xml:space="preserve"> </v>
      </c>
      <c r="AK314" s="401" t="str">
        <f>IF(Calculation!BD320&gt;0,Calculation!BE320," ")</f>
        <v xml:space="preserve"> </v>
      </c>
      <c r="AL314" s="401" t="str">
        <f>IF(Calculation!BD320&gt;0,Calculation!BF320," ")</f>
        <v xml:space="preserve"> </v>
      </c>
      <c r="AM314" s="401" t="str">
        <f>IF(Calculation!BD320&gt;0,Calculation!BG320," ")</f>
        <v xml:space="preserve"> </v>
      </c>
      <c r="AN314" s="391" t="str">
        <f>IF(Calculation!BH320="N/A","N/A",Calculation!BH320)</f>
        <v xml:space="preserve"> </v>
      </c>
      <c r="AO314" s="402" t="str">
        <f>IF(Calculation!BI320="N/A","N/A",Calculation!BI320)</f>
        <v/>
      </c>
      <c r="AP314" s="391" t="str">
        <f>IF(Calculation!BJ320="N/A","N/A",Calculation!BJ320)</f>
        <v/>
      </c>
      <c r="AQ314" s="402" t="str">
        <f>IF(Calculation!BK320="N/A","N/A",Calculation!BK320)</f>
        <v/>
      </c>
      <c r="AR314" s="391" t="str">
        <f>IF(Calculation!BL320="N/A","N/A",Calculation!BL320)</f>
        <v/>
      </c>
      <c r="AS314" s="402" t="str">
        <f>IF(Calculation!BM320="N/A","N/A",Calculation!BM320)</f>
        <v/>
      </c>
      <c r="AT314" s="400"/>
    </row>
    <row r="315" spans="1:46">
      <c r="A315" s="224" t="str">
        <f>IF(Calculation!BN321="","",CONCATENATE(Calculation!BO321,"-",Calculation!R321,"-",Calculation!S321,"-",Calculation!T321,"-",Calculation!U321))</f>
        <v/>
      </c>
      <c r="B315" s="224">
        <v>300</v>
      </c>
      <c r="C315" s="629" t="str">
        <f>IF(A315="","",Calculation!B321)</f>
        <v/>
      </c>
      <c r="D315" s="386" t="str">
        <f>IF(A315="","",Calculation!L321)</f>
        <v/>
      </c>
      <c r="E315" s="387" t="str">
        <f>IF(A315="","",Calculation!J321)</f>
        <v/>
      </c>
      <c r="F315" s="387" t="str">
        <f>IF(A315="","",Calculation!C321)</f>
        <v/>
      </c>
      <c r="G315" s="387" t="str">
        <f>IF(A315="","",LEFT(Calculation!O321,6))</f>
        <v/>
      </c>
      <c r="H315" s="388" t="str">
        <f>IF(A315="","",Calculation!DX321)</f>
        <v/>
      </c>
      <c r="I315" s="387" t="str">
        <f>IF(A315="","",Calculation!P321)</f>
        <v/>
      </c>
      <c r="J315" s="387" t="str">
        <f>IF(A315="","",HLOOKUP(LEFT(Calculation!BO321,7),LookUps!$C$38:$M$41,4))</f>
        <v/>
      </c>
      <c r="K315" s="387" t="str">
        <f>IF(A315="","",Calculation!M321)</f>
        <v/>
      </c>
      <c r="L315" s="387" t="str">
        <f>IF(A315="","",Calculation!S321)</f>
        <v/>
      </c>
      <c r="M315" s="389" t="str">
        <f>IF(A315="","",Calculation!N321)</f>
        <v/>
      </c>
      <c r="N315" s="390" t="str">
        <f>IF(A315="","",Calculation!R321)</f>
        <v/>
      </c>
      <c r="O315" s="391" t="str">
        <f>IF(A315="","",Calculation!$F$6)</f>
        <v/>
      </c>
      <c r="P315" s="392" t="str">
        <f>IF(A315="","",Calculation!$F$7)</f>
        <v/>
      </c>
      <c r="Q315" s="393" t="str">
        <f>IF(A315="","",Calculation!$F$13)</f>
        <v/>
      </c>
      <c r="R315" s="394" t="str">
        <f>IF(A315="","",Calculation!X321)</f>
        <v/>
      </c>
      <c r="S315" s="393" t="str">
        <f>IF(A315="","",Calculation!T321)</f>
        <v/>
      </c>
      <c r="T315" s="395" t="str">
        <f>IF(A315="","",IF(Calculation!$O$8="None","Water",CONCATENATE(Calculation!$O$8,"-",Calculation!$S$8,"%")))</f>
        <v/>
      </c>
      <c r="U315" s="393" t="str">
        <f>IF(A315="","",Calculation!$P$6)</f>
        <v/>
      </c>
      <c r="V315" s="393" t="str">
        <f>IF(A315="","",Calculation!AT321)</f>
        <v/>
      </c>
      <c r="W315" s="396" t="str">
        <f>IF(A315="","",Calculation!AP321)</f>
        <v/>
      </c>
      <c r="X315" s="396" t="str">
        <f>IF(A315="","",Calculation!AO321)</f>
        <v/>
      </c>
      <c r="Y315" s="396" t="str">
        <f>IF(A315="","",Calculation!AQ321)</f>
        <v/>
      </c>
      <c r="Z315" s="396" t="str">
        <f>IF(A315="","",Calculation!$H$6)</f>
        <v/>
      </c>
      <c r="AA315" s="397" t="str">
        <f>IF(A315="","",Calculation!$H$13)</f>
        <v/>
      </c>
      <c r="AB315" s="397" t="str">
        <f>IF(A315="","",Calculation!U321)</f>
        <v/>
      </c>
      <c r="AC315" s="398" t="str">
        <f>IF(A315="","",IF(Calculation!$O$9="None","Water",CONCATENATE(Calculation!$O$9,"-",Calculation!$S$9,"%")))</f>
        <v/>
      </c>
      <c r="AD315" s="396" t="str">
        <f>IF(A315="","",Calculation!$S$6)</f>
        <v/>
      </c>
      <c r="AE315" s="399" t="str">
        <f>IF(A315="","",Calculation!BA321)</f>
        <v/>
      </c>
      <c r="AF315" s="396" t="str">
        <f>IF(A315="","",Calculation!AX321)</f>
        <v/>
      </c>
      <c r="AG315" s="396" t="str">
        <f>IF(A315="","",Calculation!AW321)</f>
        <v/>
      </c>
      <c r="AH315" s="391" t="str">
        <f>IF(A315="","",Calculation!AY321)</f>
        <v/>
      </c>
      <c r="AI315" s="391" t="str">
        <f>IF(A315="","",Calculation!Y321)</f>
        <v/>
      </c>
      <c r="AJ315" s="401" t="str">
        <f>IF(Calculation!BD321&gt;0,Calculation!BD321," ")</f>
        <v xml:space="preserve"> </v>
      </c>
      <c r="AK315" s="401" t="str">
        <f>IF(Calculation!BD321&gt;0,Calculation!BE321," ")</f>
        <v xml:space="preserve"> </v>
      </c>
      <c r="AL315" s="401" t="str">
        <f>IF(Calculation!BD321&gt;0,Calculation!BF321," ")</f>
        <v xml:space="preserve"> </v>
      </c>
      <c r="AM315" s="401" t="str">
        <f>IF(Calculation!BD321&gt;0,Calculation!BG321," ")</f>
        <v xml:space="preserve"> </v>
      </c>
      <c r="AN315" s="391" t="str">
        <f>IF(Calculation!BH321="N/A","N/A",Calculation!BH321)</f>
        <v xml:space="preserve"> </v>
      </c>
      <c r="AO315" s="402" t="str">
        <f>IF(Calculation!BI321="N/A","N/A",Calculation!BI321)</f>
        <v/>
      </c>
      <c r="AP315" s="391" t="str">
        <f>IF(Calculation!BJ321="N/A","N/A",Calculation!BJ321)</f>
        <v/>
      </c>
      <c r="AQ315" s="402" t="str">
        <f>IF(Calculation!BK321="N/A","N/A",Calculation!BK321)</f>
        <v/>
      </c>
      <c r="AR315" s="391" t="str">
        <f>IF(Calculation!BL321="N/A","N/A",Calculation!BL321)</f>
        <v/>
      </c>
      <c r="AS315" s="402" t="str">
        <f>IF(Calculation!BM321="N/A","N/A",Calculation!BM321)</f>
        <v/>
      </c>
      <c r="AT315" s="400"/>
    </row>
    <row r="316" spans="1:46">
      <c r="A316" s="224" t="str">
        <f>IF(Calculation!BN322="","",CONCATENATE(Calculation!BO322,"-",Calculation!R322,"-",Calculation!S322,"-",Calculation!T322,"-",Calculation!U322))</f>
        <v/>
      </c>
      <c r="B316" s="224">
        <v>301</v>
      </c>
      <c r="C316" s="629" t="str">
        <f>IF(A316="","",Calculation!B322)</f>
        <v/>
      </c>
      <c r="D316" s="386" t="str">
        <f>IF(A316="","",Calculation!L322)</f>
        <v/>
      </c>
      <c r="E316" s="387" t="str">
        <f>IF(A316="","",Calculation!J322)</f>
        <v/>
      </c>
      <c r="F316" s="387" t="str">
        <f>IF(A316="","",Calculation!C322)</f>
        <v/>
      </c>
      <c r="G316" s="387" t="str">
        <f>IF(A316="","",LEFT(Calculation!O322,6))</f>
        <v/>
      </c>
      <c r="H316" s="388" t="str">
        <f>IF(A316="","",Calculation!DX322)</f>
        <v/>
      </c>
      <c r="I316" s="387" t="str">
        <f>IF(A316="","",Calculation!P322)</f>
        <v/>
      </c>
      <c r="J316" s="387" t="str">
        <f>IF(A316="","",HLOOKUP(LEFT(Calculation!BO322,7),LookUps!$C$38:$M$41,4))</f>
        <v/>
      </c>
      <c r="K316" s="387" t="str">
        <f>IF(A316="","",Calculation!M322)</f>
        <v/>
      </c>
      <c r="L316" s="387" t="str">
        <f>IF(A316="","",Calculation!S322)</f>
        <v/>
      </c>
      <c r="M316" s="389" t="str">
        <f>IF(A316="","",Calculation!N322)</f>
        <v/>
      </c>
      <c r="N316" s="390" t="str">
        <f>IF(A316="","",Calculation!R322)</f>
        <v/>
      </c>
      <c r="O316" s="391" t="str">
        <f>IF(A316="","",Calculation!$F$6)</f>
        <v/>
      </c>
      <c r="P316" s="392" t="str">
        <f>IF(A316="","",Calculation!$F$7)</f>
        <v/>
      </c>
      <c r="Q316" s="393" t="str">
        <f>IF(A316="","",Calculation!$F$13)</f>
        <v/>
      </c>
      <c r="R316" s="394" t="str">
        <f>IF(A316="","",Calculation!X322)</f>
        <v/>
      </c>
      <c r="S316" s="393" t="str">
        <f>IF(A316="","",Calculation!T322)</f>
        <v/>
      </c>
      <c r="T316" s="395" t="str">
        <f>IF(A316="","",IF(Calculation!$O$8="None","Water",CONCATENATE(Calculation!$O$8,"-",Calculation!$S$8,"%")))</f>
        <v/>
      </c>
      <c r="U316" s="393" t="str">
        <f>IF(A316="","",Calculation!$P$6)</f>
        <v/>
      </c>
      <c r="V316" s="393" t="str">
        <f>IF(A316="","",Calculation!AT322)</f>
        <v/>
      </c>
      <c r="W316" s="396" t="str">
        <f>IF(A316="","",Calculation!AP322)</f>
        <v/>
      </c>
      <c r="X316" s="396" t="str">
        <f>IF(A316="","",Calculation!AO322)</f>
        <v/>
      </c>
      <c r="Y316" s="396" t="str">
        <f>IF(A316="","",Calculation!AQ322)</f>
        <v/>
      </c>
      <c r="Z316" s="396" t="str">
        <f>IF(A316="","",Calculation!$H$6)</f>
        <v/>
      </c>
      <c r="AA316" s="397" t="str">
        <f>IF(A316="","",Calculation!$H$13)</f>
        <v/>
      </c>
      <c r="AB316" s="397" t="str">
        <f>IF(A316="","",Calculation!U322)</f>
        <v/>
      </c>
      <c r="AC316" s="398" t="str">
        <f>IF(A316="","",IF(Calculation!$O$9="None","Water",CONCATENATE(Calculation!$O$9,"-",Calculation!$S$9,"%")))</f>
        <v/>
      </c>
      <c r="AD316" s="396" t="str">
        <f>IF(A316="","",Calculation!$S$6)</f>
        <v/>
      </c>
      <c r="AE316" s="399" t="str">
        <f>IF(A316="","",Calculation!BA322)</f>
        <v/>
      </c>
      <c r="AF316" s="396" t="str">
        <f>IF(A316="","",Calculation!AX322)</f>
        <v/>
      </c>
      <c r="AG316" s="396" t="str">
        <f>IF(A316="","",Calculation!AW322)</f>
        <v/>
      </c>
      <c r="AH316" s="391" t="str">
        <f>IF(A316="","",Calculation!AY322)</f>
        <v/>
      </c>
      <c r="AI316" s="391" t="str">
        <f>IF(A316="","",Calculation!Y322)</f>
        <v/>
      </c>
      <c r="AJ316" s="401" t="str">
        <f>IF(Calculation!BD322&gt;0,Calculation!BD322," ")</f>
        <v xml:space="preserve"> </v>
      </c>
      <c r="AK316" s="401" t="str">
        <f>IF(Calculation!BD322&gt;0,Calculation!BE322," ")</f>
        <v xml:space="preserve"> </v>
      </c>
      <c r="AL316" s="401" t="str">
        <f>IF(Calculation!BD322&gt;0,Calculation!BF322," ")</f>
        <v xml:space="preserve"> </v>
      </c>
      <c r="AM316" s="401" t="str">
        <f>IF(Calculation!BD322&gt;0,Calculation!BG322," ")</f>
        <v xml:space="preserve"> </v>
      </c>
      <c r="AN316" s="391" t="str">
        <f>IF(Calculation!BH322="N/A","N/A",Calculation!BH322)</f>
        <v xml:space="preserve"> </v>
      </c>
      <c r="AO316" s="402" t="str">
        <f>IF(Calculation!BI322="N/A","N/A",Calculation!BI322)</f>
        <v/>
      </c>
      <c r="AP316" s="391" t="str">
        <f>IF(Calculation!BJ322="N/A","N/A",Calculation!BJ322)</f>
        <v/>
      </c>
      <c r="AQ316" s="402" t="str">
        <f>IF(Calculation!BK322="N/A","N/A",Calculation!BK322)</f>
        <v/>
      </c>
      <c r="AR316" s="391" t="str">
        <f>IF(Calculation!BL322="N/A","N/A",Calculation!BL322)</f>
        <v/>
      </c>
      <c r="AS316" s="402" t="str">
        <f>IF(Calculation!BM322="N/A","N/A",Calculation!BM322)</f>
        <v/>
      </c>
      <c r="AT316" s="400"/>
    </row>
    <row r="317" spans="1:46">
      <c r="A317" s="224" t="str">
        <f>IF(Calculation!BN323="","",CONCATENATE(Calculation!BO323,"-",Calculation!R323,"-",Calculation!S323,"-",Calculation!T323,"-",Calculation!U323))</f>
        <v/>
      </c>
      <c r="B317" s="224">
        <v>302</v>
      </c>
      <c r="C317" s="629" t="str">
        <f>IF(A317="","",Calculation!B323)</f>
        <v/>
      </c>
      <c r="D317" s="386" t="str">
        <f>IF(A317="","",Calculation!L323)</f>
        <v/>
      </c>
      <c r="E317" s="387" t="str">
        <f>IF(A317="","",Calculation!J323)</f>
        <v/>
      </c>
      <c r="F317" s="387" t="str">
        <f>IF(A317="","",Calculation!C323)</f>
        <v/>
      </c>
      <c r="G317" s="387" t="str">
        <f>IF(A317="","",LEFT(Calculation!O323,6))</f>
        <v/>
      </c>
      <c r="H317" s="388" t="str">
        <f>IF(A317="","",Calculation!DX323)</f>
        <v/>
      </c>
      <c r="I317" s="387" t="str">
        <f>IF(A317="","",Calculation!P323)</f>
        <v/>
      </c>
      <c r="J317" s="387" t="str">
        <f>IF(A317="","",HLOOKUP(LEFT(Calculation!BO323,7),LookUps!$C$38:$M$41,4))</f>
        <v/>
      </c>
      <c r="K317" s="387" t="str">
        <f>IF(A317="","",Calculation!M323)</f>
        <v/>
      </c>
      <c r="L317" s="387" t="str">
        <f>IF(A317="","",Calculation!S323)</f>
        <v/>
      </c>
      <c r="M317" s="389" t="str">
        <f>IF(A317="","",Calculation!N323)</f>
        <v/>
      </c>
      <c r="N317" s="390" t="str">
        <f>IF(A317="","",Calculation!R323)</f>
        <v/>
      </c>
      <c r="O317" s="391" t="str">
        <f>IF(A317="","",Calculation!$F$6)</f>
        <v/>
      </c>
      <c r="P317" s="392" t="str">
        <f>IF(A317="","",Calculation!$F$7)</f>
        <v/>
      </c>
      <c r="Q317" s="393" t="str">
        <f>IF(A317="","",Calculation!$F$13)</f>
        <v/>
      </c>
      <c r="R317" s="394" t="str">
        <f>IF(A317="","",Calculation!X323)</f>
        <v/>
      </c>
      <c r="S317" s="393" t="str">
        <f>IF(A317="","",Calculation!T323)</f>
        <v/>
      </c>
      <c r="T317" s="395" t="str">
        <f>IF(A317="","",IF(Calculation!$O$8="None","Water",CONCATENATE(Calculation!$O$8,"-",Calculation!$S$8,"%")))</f>
        <v/>
      </c>
      <c r="U317" s="393" t="str">
        <f>IF(A317="","",Calculation!$P$6)</f>
        <v/>
      </c>
      <c r="V317" s="393" t="str">
        <f>IF(A317="","",Calculation!AT323)</f>
        <v/>
      </c>
      <c r="W317" s="396" t="str">
        <f>IF(A317="","",Calculation!AP323)</f>
        <v/>
      </c>
      <c r="X317" s="396" t="str">
        <f>IF(A317="","",Calculation!AO323)</f>
        <v/>
      </c>
      <c r="Y317" s="396" t="str">
        <f>IF(A317="","",Calculation!AQ323)</f>
        <v/>
      </c>
      <c r="Z317" s="396" t="str">
        <f>IF(A317="","",Calculation!$H$6)</f>
        <v/>
      </c>
      <c r="AA317" s="397" t="str">
        <f>IF(A317="","",Calculation!$H$13)</f>
        <v/>
      </c>
      <c r="AB317" s="397" t="str">
        <f>IF(A317="","",Calculation!U323)</f>
        <v/>
      </c>
      <c r="AC317" s="398" t="str">
        <f>IF(A317="","",IF(Calculation!$O$9="None","Water",CONCATENATE(Calculation!$O$9,"-",Calculation!$S$9,"%")))</f>
        <v/>
      </c>
      <c r="AD317" s="396" t="str">
        <f>IF(A317="","",Calculation!$S$6)</f>
        <v/>
      </c>
      <c r="AE317" s="399" t="str">
        <f>IF(A317="","",Calculation!BA323)</f>
        <v/>
      </c>
      <c r="AF317" s="396" t="str">
        <f>IF(A317="","",Calculation!AX323)</f>
        <v/>
      </c>
      <c r="AG317" s="396" t="str">
        <f>IF(A317="","",Calculation!AW323)</f>
        <v/>
      </c>
      <c r="AH317" s="391" t="str">
        <f>IF(A317="","",Calculation!AY323)</f>
        <v/>
      </c>
      <c r="AI317" s="391" t="str">
        <f>IF(A317="","",Calculation!Y323)</f>
        <v/>
      </c>
      <c r="AJ317" s="401" t="str">
        <f>IF(Calculation!BD323&gt;0,Calculation!BD323," ")</f>
        <v xml:space="preserve"> </v>
      </c>
      <c r="AK317" s="401" t="str">
        <f>IF(Calculation!BD323&gt;0,Calculation!BE323," ")</f>
        <v xml:space="preserve"> </v>
      </c>
      <c r="AL317" s="401" t="str">
        <f>IF(Calculation!BD323&gt;0,Calculation!BF323," ")</f>
        <v xml:space="preserve"> </v>
      </c>
      <c r="AM317" s="401" t="str">
        <f>IF(Calculation!BD323&gt;0,Calculation!BG323," ")</f>
        <v xml:space="preserve"> </v>
      </c>
      <c r="AN317" s="391" t="str">
        <f>IF(Calculation!BH323="N/A","N/A",Calculation!BH323)</f>
        <v xml:space="preserve"> </v>
      </c>
      <c r="AO317" s="402" t="str">
        <f>IF(Calculation!BI323="N/A","N/A",Calculation!BI323)</f>
        <v/>
      </c>
      <c r="AP317" s="391" t="str">
        <f>IF(Calculation!BJ323="N/A","N/A",Calculation!BJ323)</f>
        <v/>
      </c>
      <c r="AQ317" s="402" t="str">
        <f>IF(Calculation!BK323="N/A","N/A",Calculation!BK323)</f>
        <v/>
      </c>
      <c r="AR317" s="391" t="str">
        <f>IF(Calculation!BL323="N/A","N/A",Calculation!BL323)</f>
        <v/>
      </c>
      <c r="AS317" s="402" t="str">
        <f>IF(Calculation!BM323="N/A","N/A",Calculation!BM323)</f>
        <v/>
      </c>
      <c r="AT317" s="400"/>
    </row>
    <row r="318" spans="1:46">
      <c r="A318" s="224" t="str">
        <f>IF(Calculation!BN324="","",CONCATENATE(Calculation!BO324,"-",Calculation!R324,"-",Calculation!S324,"-",Calculation!T324,"-",Calculation!U324))</f>
        <v/>
      </c>
      <c r="B318" s="224">
        <v>303</v>
      </c>
      <c r="C318" s="629" t="str">
        <f>IF(A318="","",Calculation!B324)</f>
        <v/>
      </c>
      <c r="D318" s="386" t="str">
        <f>IF(A318="","",Calculation!L324)</f>
        <v/>
      </c>
      <c r="E318" s="387" t="str">
        <f>IF(A318="","",Calculation!J324)</f>
        <v/>
      </c>
      <c r="F318" s="387" t="str">
        <f>IF(A318="","",Calculation!C324)</f>
        <v/>
      </c>
      <c r="G318" s="387" t="str">
        <f>IF(A318="","",LEFT(Calculation!O324,6))</f>
        <v/>
      </c>
      <c r="H318" s="388" t="str">
        <f>IF(A318="","",Calculation!DX324)</f>
        <v/>
      </c>
      <c r="I318" s="387" t="str">
        <f>IF(A318="","",Calculation!P324)</f>
        <v/>
      </c>
      <c r="J318" s="387" t="str">
        <f>IF(A318="","",HLOOKUP(LEFT(Calculation!BO324,7),LookUps!$C$38:$M$41,4))</f>
        <v/>
      </c>
      <c r="K318" s="387" t="str">
        <f>IF(A318="","",Calculation!M324)</f>
        <v/>
      </c>
      <c r="L318" s="387" t="str">
        <f>IF(A318="","",Calculation!S324)</f>
        <v/>
      </c>
      <c r="M318" s="389" t="str">
        <f>IF(A318="","",Calculation!N324)</f>
        <v/>
      </c>
      <c r="N318" s="390" t="str">
        <f>IF(A318="","",Calculation!R324)</f>
        <v/>
      </c>
      <c r="O318" s="391" t="str">
        <f>IF(A318="","",Calculation!$F$6)</f>
        <v/>
      </c>
      <c r="P318" s="392" t="str">
        <f>IF(A318="","",Calculation!$F$7)</f>
        <v/>
      </c>
      <c r="Q318" s="393" t="str">
        <f>IF(A318="","",Calculation!$F$13)</f>
        <v/>
      </c>
      <c r="R318" s="394" t="str">
        <f>IF(A318="","",Calculation!X324)</f>
        <v/>
      </c>
      <c r="S318" s="393" t="str">
        <f>IF(A318="","",Calculation!T324)</f>
        <v/>
      </c>
      <c r="T318" s="395" t="str">
        <f>IF(A318="","",IF(Calculation!$O$8="None","Water",CONCATENATE(Calculation!$O$8,"-",Calculation!$S$8,"%")))</f>
        <v/>
      </c>
      <c r="U318" s="393" t="str">
        <f>IF(A318="","",Calculation!$P$6)</f>
        <v/>
      </c>
      <c r="V318" s="393" t="str">
        <f>IF(A318="","",Calculation!AT324)</f>
        <v/>
      </c>
      <c r="W318" s="396" t="str">
        <f>IF(A318="","",Calculation!AP324)</f>
        <v/>
      </c>
      <c r="X318" s="396" t="str">
        <f>IF(A318="","",Calculation!AO324)</f>
        <v/>
      </c>
      <c r="Y318" s="396" t="str">
        <f>IF(A318="","",Calculation!AQ324)</f>
        <v/>
      </c>
      <c r="Z318" s="396" t="str">
        <f>IF(A318="","",Calculation!$H$6)</f>
        <v/>
      </c>
      <c r="AA318" s="397" t="str">
        <f>IF(A318="","",Calculation!$H$13)</f>
        <v/>
      </c>
      <c r="AB318" s="397" t="str">
        <f>IF(A318="","",Calculation!U324)</f>
        <v/>
      </c>
      <c r="AC318" s="398" t="str">
        <f>IF(A318="","",IF(Calculation!$O$9="None","Water",CONCATENATE(Calculation!$O$9,"-",Calculation!$S$9,"%")))</f>
        <v/>
      </c>
      <c r="AD318" s="396" t="str">
        <f>IF(A318="","",Calculation!$S$6)</f>
        <v/>
      </c>
      <c r="AE318" s="399" t="str">
        <f>IF(A318="","",Calculation!BA324)</f>
        <v/>
      </c>
      <c r="AF318" s="396" t="str">
        <f>IF(A318="","",Calculation!AX324)</f>
        <v/>
      </c>
      <c r="AG318" s="396" t="str">
        <f>IF(A318="","",Calculation!AW324)</f>
        <v/>
      </c>
      <c r="AH318" s="391" t="str">
        <f>IF(A318="","",Calculation!AY324)</f>
        <v/>
      </c>
      <c r="AI318" s="391" t="str">
        <f>IF(A318="","",Calculation!Y324)</f>
        <v/>
      </c>
      <c r="AJ318" s="401" t="str">
        <f>IF(Calculation!BD324&gt;0,Calculation!BD324," ")</f>
        <v xml:space="preserve"> </v>
      </c>
      <c r="AK318" s="401" t="str">
        <f>IF(Calculation!BD324&gt;0,Calculation!BE324," ")</f>
        <v xml:space="preserve"> </v>
      </c>
      <c r="AL318" s="401" t="str">
        <f>IF(Calculation!BD324&gt;0,Calculation!BF324," ")</f>
        <v xml:space="preserve"> </v>
      </c>
      <c r="AM318" s="401" t="str">
        <f>IF(Calculation!BD324&gt;0,Calculation!BG324," ")</f>
        <v xml:space="preserve"> </v>
      </c>
      <c r="AN318" s="391" t="str">
        <f>IF(Calculation!BH324="N/A","N/A",Calculation!BH324)</f>
        <v xml:space="preserve"> </v>
      </c>
      <c r="AO318" s="402" t="str">
        <f>IF(Calculation!BI324="N/A","N/A",Calculation!BI324)</f>
        <v/>
      </c>
      <c r="AP318" s="391" t="str">
        <f>IF(Calculation!BJ324="N/A","N/A",Calculation!BJ324)</f>
        <v/>
      </c>
      <c r="AQ318" s="402" t="str">
        <f>IF(Calculation!BK324="N/A","N/A",Calculation!BK324)</f>
        <v/>
      </c>
      <c r="AR318" s="391" t="str">
        <f>IF(Calculation!BL324="N/A","N/A",Calculation!BL324)</f>
        <v/>
      </c>
      <c r="AS318" s="402" t="str">
        <f>IF(Calculation!BM324="N/A","N/A",Calculation!BM324)</f>
        <v/>
      </c>
      <c r="AT318" s="400"/>
    </row>
    <row r="319" spans="1:46">
      <c r="A319" s="224" t="str">
        <f>IF(Calculation!BN325="","",CONCATENATE(Calculation!BO325,"-",Calculation!R325,"-",Calculation!S325,"-",Calculation!T325,"-",Calculation!U325))</f>
        <v/>
      </c>
      <c r="B319" s="224">
        <v>304</v>
      </c>
      <c r="C319" s="629" t="str">
        <f>IF(A319="","",Calculation!B325)</f>
        <v/>
      </c>
      <c r="D319" s="386" t="str">
        <f>IF(A319="","",Calculation!L325)</f>
        <v/>
      </c>
      <c r="E319" s="387" t="str">
        <f>IF(A319="","",Calculation!J325)</f>
        <v/>
      </c>
      <c r="F319" s="387" t="str">
        <f>IF(A319="","",Calculation!C325)</f>
        <v/>
      </c>
      <c r="G319" s="387" t="str">
        <f>IF(A319="","",LEFT(Calculation!O325,6))</f>
        <v/>
      </c>
      <c r="H319" s="388" t="str">
        <f>IF(A319="","",Calculation!DX325)</f>
        <v/>
      </c>
      <c r="I319" s="387" t="str">
        <f>IF(A319="","",Calculation!P325)</f>
        <v/>
      </c>
      <c r="J319" s="387" t="str">
        <f>IF(A319="","",HLOOKUP(LEFT(Calculation!BO325,7),LookUps!$C$38:$M$41,4))</f>
        <v/>
      </c>
      <c r="K319" s="387" t="str">
        <f>IF(A319="","",Calculation!M325)</f>
        <v/>
      </c>
      <c r="L319" s="387" t="str">
        <f>IF(A319="","",Calculation!S325)</f>
        <v/>
      </c>
      <c r="M319" s="389" t="str">
        <f>IF(A319="","",Calculation!N325)</f>
        <v/>
      </c>
      <c r="N319" s="390" t="str">
        <f>IF(A319="","",Calculation!R325)</f>
        <v/>
      </c>
      <c r="O319" s="391" t="str">
        <f>IF(A319="","",Calculation!$F$6)</f>
        <v/>
      </c>
      <c r="P319" s="392" t="str">
        <f>IF(A319="","",Calculation!$F$7)</f>
        <v/>
      </c>
      <c r="Q319" s="393" t="str">
        <f>IF(A319="","",Calculation!$F$13)</f>
        <v/>
      </c>
      <c r="R319" s="394" t="str">
        <f>IF(A319="","",Calculation!X325)</f>
        <v/>
      </c>
      <c r="S319" s="393" t="str">
        <f>IF(A319="","",Calculation!T325)</f>
        <v/>
      </c>
      <c r="T319" s="395" t="str">
        <f>IF(A319="","",IF(Calculation!$O$8="None","Water",CONCATENATE(Calculation!$O$8,"-",Calculation!$S$8,"%")))</f>
        <v/>
      </c>
      <c r="U319" s="393" t="str">
        <f>IF(A319="","",Calculation!$P$6)</f>
        <v/>
      </c>
      <c r="V319" s="393" t="str">
        <f>IF(A319="","",Calculation!AT325)</f>
        <v/>
      </c>
      <c r="W319" s="396" t="str">
        <f>IF(A319="","",Calculation!AP325)</f>
        <v/>
      </c>
      <c r="X319" s="396" t="str">
        <f>IF(A319="","",Calculation!AO325)</f>
        <v/>
      </c>
      <c r="Y319" s="396" t="str">
        <f>IF(A319="","",Calculation!AQ325)</f>
        <v/>
      </c>
      <c r="Z319" s="396" t="str">
        <f>IF(A319="","",Calculation!$H$6)</f>
        <v/>
      </c>
      <c r="AA319" s="397" t="str">
        <f>IF(A319="","",Calculation!$H$13)</f>
        <v/>
      </c>
      <c r="AB319" s="397" t="str">
        <f>IF(A319="","",Calculation!U325)</f>
        <v/>
      </c>
      <c r="AC319" s="398" t="str">
        <f>IF(A319="","",IF(Calculation!$O$9="None","Water",CONCATENATE(Calculation!$O$9,"-",Calculation!$S$9,"%")))</f>
        <v/>
      </c>
      <c r="AD319" s="396" t="str">
        <f>IF(A319="","",Calculation!$S$6)</f>
        <v/>
      </c>
      <c r="AE319" s="399" t="str">
        <f>IF(A319="","",Calculation!BA325)</f>
        <v/>
      </c>
      <c r="AF319" s="396" t="str">
        <f>IF(A319="","",Calculation!AX325)</f>
        <v/>
      </c>
      <c r="AG319" s="396" t="str">
        <f>IF(A319="","",Calculation!AW325)</f>
        <v/>
      </c>
      <c r="AH319" s="391" t="str">
        <f>IF(A319="","",Calculation!AY325)</f>
        <v/>
      </c>
      <c r="AI319" s="391" t="str">
        <f>IF(A319="","",Calculation!Y325)</f>
        <v/>
      </c>
      <c r="AJ319" s="401" t="str">
        <f>IF(Calculation!BD325&gt;0,Calculation!BD325," ")</f>
        <v xml:space="preserve"> </v>
      </c>
      <c r="AK319" s="401" t="str">
        <f>IF(Calculation!BD325&gt;0,Calculation!BE325," ")</f>
        <v xml:space="preserve"> </v>
      </c>
      <c r="AL319" s="401" t="str">
        <f>IF(Calculation!BD325&gt;0,Calculation!BF325," ")</f>
        <v xml:space="preserve"> </v>
      </c>
      <c r="AM319" s="401" t="str">
        <f>IF(Calculation!BD325&gt;0,Calculation!BG325," ")</f>
        <v xml:space="preserve"> </v>
      </c>
      <c r="AN319" s="391" t="str">
        <f>IF(Calculation!BH325="N/A","N/A",Calculation!BH325)</f>
        <v xml:space="preserve"> </v>
      </c>
      <c r="AO319" s="402" t="str">
        <f>IF(Calculation!BI325="N/A","N/A",Calculation!BI325)</f>
        <v/>
      </c>
      <c r="AP319" s="391" t="str">
        <f>IF(Calculation!BJ325="N/A","N/A",Calculation!BJ325)</f>
        <v/>
      </c>
      <c r="AQ319" s="402" t="str">
        <f>IF(Calculation!BK325="N/A","N/A",Calculation!BK325)</f>
        <v/>
      </c>
      <c r="AR319" s="391" t="str">
        <f>IF(Calculation!BL325="N/A","N/A",Calculation!BL325)</f>
        <v/>
      </c>
      <c r="AS319" s="402" t="str">
        <f>IF(Calculation!BM325="N/A","N/A",Calculation!BM325)</f>
        <v/>
      </c>
      <c r="AT319" s="400"/>
    </row>
    <row r="320" spans="1:46">
      <c r="A320" s="224" t="str">
        <f>IF(Calculation!BN326="","",CONCATENATE(Calculation!BO326,"-",Calculation!R326,"-",Calculation!S326,"-",Calculation!T326,"-",Calculation!U326))</f>
        <v/>
      </c>
      <c r="B320" s="224">
        <v>305</v>
      </c>
      <c r="C320" s="629" t="str">
        <f>IF(A320="","",Calculation!B326)</f>
        <v/>
      </c>
      <c r="D320" s="386" t="str">
        <f>IF(A320="","",Calculation!L326)</f>
        <v/>
      </c>
      <c r="E320" s="387" t="str">
        <f>IF(A320="","",Calculation!J326)</f>
        <v/>
      </c>
      <c r="F320" s="387" t="str">
        <f>IF(A320="","",Calculation!C326)</f>
        <v/>
      </c>
      <c r="G320" s="387" t="str">
        <f>IF(A320="","",LEFT(Calculation!O326,6))</f>
        <v/>
      </c>
      <c r="H320" s="388" t="str">
        <f>IF(A320="","",Calculation!DX326)</f>
        <v/>
      </c>
      <c r="I320" s="387" t="str">
        <f>IF(A320="","",Calculation!P326)</f>
        <v/>
      </c>
      <c r="J320" s="387" t="str">
        <f>IF(A320="","",HLOOKUP(LEFT(Calculation!BO326,7),LookUps!$C$38:$M$41,4))</f>
        <v/>
      </c>
      <c r="K320" s="387" t="str">
        <f>IF(A320="","",Calculation!M326)</f>
        <v/>
      </c>
      <c r="L320" s="387" t="str">
        <f>IF(A320="","",Calculation!S326)</f>
        <v/>
      </c>
      <c r="M320" s="389" t="str">
        <f>IF(A320="","",Calculation!N326)</f>
        <v/>
      </c>
      <c r="N320" s="390" t="str">
        <f>IF(A320="","",Calculation!R326)</f>
        <v/>
      </c>
      <c r="O320" s="391" t="str">
        <f>IF(A320="","",Calculation!$F$6)</f>
        <v/>
      </c>
      <c r="P320" s="392" t="str">
        <f>IF(A320="","",Calculation!$F$7)</f>
        <v/>
      </c>
      <c r="Q320" s="393" t="str">
        <f>IF(A320="","",Calculation!$F$13)</f>
        <v/>
      </c>
      <c r="R320" s="394" t="str">
        <f>IF(A320="","",Calculation!X326)</f>
        <v/>
      </c>
      <c r="S320" s="393" t="str">
        <f>IF(A320="","",Calculation!T326)</f>
        <v/>
      </c>
      <c r="T320" s="395" t="str">
        <f>IF(A320="","",IF(Calculation!$O$8="None","Water",CONCATENATE(Calculation!$O$8,"-",Calculation!$S$8,"%")))</f>
        <v/>
      </c>
      <c r="U320" s="393" t="str">
        <f>IF(A320="","",Calculation!$P$6)</f>
        <v/>
      </c>
      <c r="V320" s="393" t="str">
        <f>IF(A320="","",Calculation!AT326)</f>
        <v/>
      </c>
      <c r="W320" s="396" t="str">
        <f>IF(A320="","",Calculation!AP326)</f>
        <v/>
      </c>
      <c r="X320" s="396" t="str">
        <f>IF(A320="","",Calculation!AO326)</f>
        <v/>
      </c>
      <c r="Y320" s="396" t="str">
        <f>IF(A320="","",Calculation!AQ326)</f>
        <v/>
      </c>
      <c r="Z320" s="396" t="str">
        <f>IF(A320="","",Calculation!$H$6)</f>
        <v/>
      </c>
      <c r="AA320" s="397" t="str">
        <f>IF(A320="","",Calculation!$H$13)</f>
        <v/>
      </c>
      <c r="AB320" s="397" t="str">
        <f>IF(A320="","",Calculation!U326)</f>
        <v/>
      </c>
      <c r="AC320" s="398" t="str">
        <f>IF(A320="","",IF(Calculation!$O$9="None","Water",CONCATENATE(Calculation!$O$9,"-",Calculation!$S$9,"%")))</f>
        <v/>
      </c>
      <c r="AD320" s="396" t="str">
        <f>IF(A320="","",Calculation!$S$6)</f>
        <v/>
      </c>
      <c r="AE320" s="399" t="str">
        <f>IF(A320="","",Calculation!BA326)</f>
        <v/>
      </c>
      <c r="AF320" s="396" t="str">
        <f>IF(A320="","",Calculation!AX326)</f>
        <v/>
      </c>
      <c r="AG320" s="396" t="str">
        <f>IF(A320="","",Calculation!AW326)</f>
        <v/>
      </c>
      <c r="AH320" s="391" t="str">
        <f>IF(A320="","",Calculation!AY326)</f>
        <v/>
      </c>
      <c r="AI320" s="391" t="str">
        <f>IF(A320="","",Calculation!Y326)</f>
        <v/>
      </c>
      <c r="AJ320" s="401" t="str">
        <f>IF(Calculation!BD326&gt;0,Calculation!BD326," ")</f>
        <v xml:space="preserve"> </v>
      </c>
      <c r="AK320" s="401" t="str">
        <f>IF(Calculation!BD326&gt;0,Calculation!BE326," ")</f>
        <v xml:space="preserve"> </v>
      </c>
      <c r="AL320" s="401" t="str">
        <f>IF(Calculation!BD326&gt;0,Calculation!BF326," ")</f>
        <v xml:space="preserve"> </v>
      </c>
      <c r="AM320" s="401" t="str">
        <f>IF(Calculation!BD326&gt;0,Calculation!BG326," ")</f>
        <v xml:space="preserve"> </v>
      </c>
      <c r="AN320" s="391" t="str">
        <f>IF(Calculation!BH326="N/A","N/A",Calculation!BH326)</f>
        <v xml:space="preserve"> </v>
      </c>
      <c r="AO320" s="402" t="str">
        <f>IF(Calculation!BI326="N/A","N/A",Calculation!BI326)</f>
        <v/>
      </c>
      <c r="AP320" s="391" t="str">
        <f>IF(Calculation!BJ326="N/A","N/A",Calculation!BJ326)</f>
        <v/>
      </c>
      <c r="AQ320" s="402" t="str">
        <f>IF(Calculation!BK326="N/A","N/A",Calculation!BK326)</f>
        <v/>
      </c>
      <c r="AR320" s="391" t="str">
        <f>IF(Calculation!BL326="N/A","N/A",Calculation!BL326)</f>
        <v/>
      </c>
      <c r="AS320" s="402" t="str">
        <f>IF(Calculation!BM326="N/A","N/A",Calculation!BM326)</f>
        <v/>
      </c>
      <c r="AT320" s="400"/>
    </row>
    <row r="321" spans="1:46">
      <c r="A321" s="224" t="str">
        <f>IF(Calculation!BN327="","",CONCATENATE(Calculation!BO327,"-",Calculation!R327,"-",Calculation!S327,"-",Calculation!T327,"-",Calculation!U327))</f>
        <v/>
      </c>
      <c r="B321" s="224">
        <v>306</v>
      </c>
      <c r="C321" s="629" t="str">
        <f>IF(A321="","",Calculation!B327)</f>
        <v/>
      </c>
      <c r="D321" s="386" t="str">
        <f>IF(A321="","",Calculation!L327)</f>
        <v/>
      </c>
      <c r="E321" s="387" t="str">
        <f>IF(A321="","",Calculation!J327)</f>
        <v/>
      </c>
      <c r="F321" s="387" t="str">
        <f>IF(A321="","",Calculation!C327)</f>
        <v/>
      </c>
      <c r="G321" s="387" t="str">
        <f>IF(A321="","",LEFT(Calculation!O327,6))</f>
        <v/>
      </c>
      <c r="H321" s="388" t="str">
        <f>IF(A321="","",Calculation!DX327)</f>
        <v/>
      </c>
      <c r="I321" s="387" t="str">
        <f>IF(A321="","",Calculation!P327)</f>
        <v/>
      </c>
      <c r="J321" s="387" t="str">
        <f>IF(A321="","",HLOOKUP(LEFT(Calculation!BO327,7),LookUps!$C$38:$M$41,4))</f>
        <v/>
      </c>
      <c r="K321" s="387" t="str">
        <f>IF(A321="","",Calculation!M327)</f>
        <v/>
      </c>
      <c r="L321" s="387" t="str">
        <f>IF(A321="","",Calculation!S327)</f>
        <v/>
      </c>
      <c r="M321" s="389" t="str">
        <f>IF(A321="","",Calculation!N327)</f>
        <v/>
      </c>
      <c r="N321" s="390" t="str">
        <f>IF(A321="","",Calculation!R327)</f>
        <v/>
      </c>
      <c r="O321" s="391" t="str">
        <f>IF(A321="","",Calculation!$F$6)</f>
        <v/>
      </c>
      <c r="P321" s="392" t="str">
        <f>IF(A321="","",Calculation!$F$7)</f>
        <v/>
      </c>
      <c r="Q321" s="393" t="str">
        <f>IF(A321="","",Calculation!$F$13)</f>
        <v/>
      </c>
      <c r="R321" s="394" t="str">
        <f>IF(A321="","",Calculation!X327)</f>
        <v/>
      </c>
      <c r="S321" s="393" t="str">
        <f>IF(A321="","",Calculation!T327)</f>
        <v/>
      </c>
      <c r="T321" s="395" t="str">
        <f>IF(A321="","",IF(Calculation!$O$8="None","Water",CONCATENATE(Calculation!$O$8,"-",Calculation!$S$8,"%")))</f>
        <v/>
      </c>
      <c r="U321" s="393" t="str">
        <f>IF(A321="","",Calculation!$P$6)</f>
        <v/>
      </c>
      <c r="V321" s="393" t="str">
        <f>IF(A321="","",Calculation!AT327)</f>
        <v/>
      </c>
      <c r="W321" s="396" t="str">
        <f>IF(A321="","",Calculation!AP327)</f>
        <v/>
      </c>
      <c r="X321" s="396" t="str">
        <f>IF(A321="","",Calculation!AO327)</f>
        <v/>
      </c>
      <c r="Y321" s="396" t="str">
        <f>IF(A321="","",Calculation!AQ327)</f>
        <v/>
      </c>
      <c r="Z321" s="396" t="str">
        <f>IF(A321="","",Calculation!$H$6)</f>
        <v/>
      </c>
      <c r="AA321" s="397" t="str">
        <f>IF(A321="","",Calculation!$H$13)</f>
        <v/>
      </c>
      <c r="AB321" s="397" t="str">
        <f>IF(A321="","",Calculation!U327)</f>
        <v/>
      </c>
      <c r="AC321" s="398" t="str">
        <f>IF(A321="","",IF(Calculation!$O$9="None","Water",CONCATENATE(Calculation!$O$9,"-",Calculation!$S$9,"%")))</f>
        <v/>
      </c>
      <c r="AD321" s="396" t="str">
        <f>IF(A321="","",Calculation!$S$6)</f>
        <v/>
      </c>
      <c r="AE321" s="399" t="str">
        <f>IF(A321="","",Calculation!BA327)</f>
        <v/>
      </c>
      <c r="AF321" s="396" t="str">
        <f>IF(A321="","",Calculation!AX327)</f>
        <v/>
      </c>
      <c r="AG321" s="396" t="str">
        <f>IF(A321="","",Calculation!AW327)</f>
        <v/>
      </c>
      <c r="AH321" s="391" t="str">
        <f>IF(A321="","",Calculation!AY327)</f>
        <v/>
      </c>
      <c r="AI321" s="391" t="str">
        <f>IF(A321="","",Calculation!Y327)</f>
        <v/>
      </c>
      <c r="AJ321" s="401" t="str">
        <f>IF(Calculation!BD327&gt;0,Calculation!BD327," ")</f>
        <v xml:space="preserve"> </v>
      </c>
      <c r="AK321" s="401" t="str">
        <f>IF(Calculation!BD327&gt;0,Calculation!BE327," ")</f>
        <v xml:space="preserve"> </v>
      </c>
      <c r="AL321" s="401" t="str">
        <f>IF(Calculation!BD327&gt;0,Calculation!BF327," ")</f>
        <v xml:space="preserve"> </v>
      </c>
      <c r="AM321" s="401" t="str">
        <f>IF(Calculation!BD327&gt;0,Calculation!BG327," ")</f>
        <v xml:space="preserve"> </v>
      </c>
      <c r="AN321" s="391" t="str">
        <f>IF(Calculation!BH327="N/A","N/A",Calculation!BH327)</f>
        <v xml:space="preserve"> </v>
      </c>
      <c r="AO321" s="402" t="str">
        <f>IF(Calculation!BI327="N/A","N/A",Calculation!BI327)</f>
        <v/>
      </c>
      <c r="AP321" s="391" t="str">
        <f>IF(Calculation!BJ327="N/A","N/A",Calculation!BJ327)</f>
        <v/>
      </c>
      <c r="AQ321" s="402" t="str">
        <f>IF(Calculation!BK327="N/A","N/A",Calculation!BK327)</f>
        <v/>
      </c>
      <c r="AR321" s="391" t="str">
        <f>IF(Calculation!BL327="N/A","N/A",Calculation!BL327)</f>
        <v/>
      </c>
      <c r="AS321" s="402" t="str">
        <f>IF(Calculation!BM327="N/A","N/A",Calculation!BM327)</f>
        <v/>
      </c>
      <c r="AT321" s="400"/>
    </row>
    <row r="322" spans="1:46">
      <c r="A322" s="224" t="str">
        <f>IF(Calculation!BN328="","",CONCATENATE(Calculation!BO328,"-",Calculation!R328,"-",Calculation!S328,"-",Calculation!T328,"-",Calculation!U328))</f>
        <v/>
      </c>
      <c r="B322" s="224">
        <v>307</v>
      </c>
      <c r="C322" s="629" t="str">
        <f>IF(A322="","",Calculation!B328)</f>
        <v/>
      </c>
      <c r="D322" s="386" t="str">
        <f>IF(A322="","",Calculation!L328)</f>
        <v/>
      </c>
      <c r="E322" s="387" t="str">
        <f>IF(A322="","",Calculation!J328)</f>
        <v/>
      </c>
      <c r="F322" s="387" t="str">
        <f>IF(A322="","",Calculation!C328)</f>
        <v/>
      </c>
      <c r="G322" s="387" t="str">
        <f>IF(A322="","",LEFT(Calculation!O328,6))</f>
        <v/>
      </c>
      <c r="H322" s="388" t="str">
        <f>IF(A322="","",Calculation!DX328)</f>
        <v/>
      </c>
      <c r="I322" s="387" t="str">
        <f>IF(A322="","",Calculation!P328)</f>
        <v/>
      </c>
      <c r="J322" s="387" t="str">
        <f>IF(A322="","",HLOOKUP(LEFT(Calculation!BO328,7),LookUps!$C$38:$M$41,4))</f>
        <v/>
      </c>
      <c r="K322" s="387" t="str">
        <f>IF(A322="","",Calculation!M328)</f>
        <v/>
      </c>
      <c r="L322" s="387" t="str">
        <f>IF(A322="","",Calculation!S328)</f>
        <v/>
      </c>
      <c r="M322" s="389" t="str">
        <f>IF(A322="","",Calculation!N328)</f>
        <v/>
      </c>
      <c r="N322" s="390" t="str">
        <f>IF(A322="","",Calculation!R328)</f>
        <v/>
      </c>
      <c r="O322" s="391" t="str">
        <f>IF(A322="","",Calculation!$F$6)</f>
        <v/>
      </c>
      <c r="P322" s="392" t="str">
        <f>IF(A322="","",Calculation!$F$7)</f>
        <v/>
      </c>
      <c r="Q322" s="393" t="str">
        <f>IF(A322="","",Calculation!$F$13)</f>
        <v/>
      </c>
      <c r="R322" s="394" t="str">
        <f>IF(A322="","",Calculation!X328)</f>
        <v/>
      </c>
      <c r="S322" s="393" t="str">
        <f>IF(A322="","",Calculation!T328)</f>
        <v/>
      </c>
      <c r="T322" s="395" t="str">
        <f>IF(A322="","",IF(Calculation!$O$8="None","Water",CONCATENATE(Calculation!$O$8,"-",Calculation!$S$8,"%")))</f>
        <v/>
      </c>
      <c r="U322" s="393" t="str">
        <f>IF(A322="","",Calculation!$P$6)</f>
        <v/>
      </c>
      <c r="V322" s="393" t="str">
        <f>IF(A322="","",Calculation!AT328)</f>
        <v/>
      </c>
      <c r="W322" s="396" t="str">
        <f>IF(A322="","",Calculation!AP328)</f>
        <v/>
      </c>
      <c r="X322" s="396" t="str">
        <f>IF(A322="","",Calculation!AO328)</f>
        <v/>
      </c>
      <c r="Y322" s="396" t="str">
        <f>IF(A322="","",Calculation!AQ328)</f>
        <v/>
      </c>
      <c r="Z322" s="396" t="str">
        <f>IF(A322="","",Calculation!$H$6)</f>
        <v/>
      </c>
      <c r="AA322" s="397" t="str">
        <f>IF(A322="","",Calculation!$H$13)</f>
        <v/>
      </c>
      <c r="AB322" s="397" t="str">
        <f>IF(A322="","",Calculation!U328)</f>
        <v/>
      </c>
      <c r="AC322" s="398" t="str">
        <f>IF(A322="","",IF(Calculation!$O$9="None","Water",CONCATENATE(Calculation!$O$9,"-",Calculation!$S$9,"%")))</f>
        <v/>
      </c>
      <c r="AD322" s="396" t="str">
        <f>IF(A322="","",Calculation!$S$6)</f>
        <v/>
      </c>
      <c r="AE322" s="399" t="str">
        <f>IF(A322="","",Calculation!BA328)</f>
        <v/>
      </c>
      <c r="AF322" s="396" t="str">
        <f>IF(A322="","",Calculation!AX328)</f>
        <v/>
      </c>
      <c r="AG322" s="396" t="str">
        <f>IF(A322="","",Calculation!AW328)</f>
        <v/>
      </c>
      <c r="AH322" s="391" t="str">
        <f>IF(A322="","",Calculation!AY328)</f>
        <v/>
      </c>
      <c r="AI322" s="391" t="str">
        <f>IF(A322="","",Calculation!Y328)</f>
        <v/>
      </c>
      <c r="AJ322" s="401" t="str">
        <f>IF(Calculation!BD328&gt;0,Calculation!BD328," ")</f>
        <v xml:space="preserve"> </v>
      </c>
      <c r="AK322" s="401" t="str">
        <f>IF(Calculation!BD328&gt;0,Calculation!BE328," ")</f>
        <v xml:space="preserve"> </v>
      </c>
      <c r="AL322" s="401" t="str">
        <f>IF(Calculation!BD328&gt;0,Calculation!BF328," ")</f>
        <v xml:space="preserve"> </v>
      </c>
      <c r="AM322" s="401" t="str">
        <f>IF(Calculation!BD328&gt;0,Calculation!BG328," ")</f>
        <v xml:space="preserve"> </v>
      </c>
      <c r="AN322" s="391" t="str">
        <f>IF(Calculation!BH328="N/A","N/A",Calculation!BH328)</f>
        <v xml:space="preserve"> </v>
      </c>
      <c r="AO322" s="402" t="str">
        <f>IF(Calculation!BI328="N/A","N/A",Calculation!BI328)</f>
        <v/>
      </c>
      <c r="AP322" s="391" t="str">
        <f>IF(Calculation!BJ328="N/A","N/A",Calculation!BJ328)</f>
        <v/>
      </c>
      <c r="AQ322" s="402" t="str">
        <f>IF(Calculation!BK328="N/A","N/A",Calculation!BK328)</f>
        <v/>
      </c>
      <c r="AR322" s="391" t="str">
        <f>IF(Calculation!BL328="N/A","N/A",Calculation!BL328)</f>
        <v/>
      </c>
      <c r="AS322" s="402" t="str">
        <f>IF(Calculation!BM328="N/A","N/A",Calculation!BM328)</f>
        <v/>
      </c>
      <c r="AT322" s="400"/>
    </row>
    <row r="323" spans="1:46">
      <c r="A323" s="224" t="str">
        <f>IF(Calculation!BN329="","",CONCATENATE(Calculation!BO329,"-",Calculation!R329,"-",Calculation!S329,"-",Calculation!T329,"-",Calculation!U329))</f>
        <v/>
      </c>
      <c r="B323" s="224">
        <v>308</v>
      </c>
      <c r="C323" s="629" t="str">
        <f>IF(A323="","",Calculation!B329)</f>
        <v/>
      </c>
      <c r="D323" s="386" t="str">
        <f>IF(A323="","",Calculation!L329)</f>
        <v/>
      </c>
      <c r="E323" s="387" t="str">
        <f>IF(A323="","",Calculation!J329)</f>
        <v/>
      </c>
      <c r="F323" s="387" t="str">
        <f>IF(A323="","",Calculation!C329)</f>
        <v/>
      </c>
      <c r="G323" s="387" t="str">
        <f>IF(A323="","",LEFT(Calculation!O329,6))</f>
        <v/>
      </c>
      <c r="H323" s="388" t="str">
        <f>IF(A323="","",Calculation!DX329)</f>
        <v/>
      </c>
      <c r="I323" s="387" t="str">
        <f>IF(A323="","",Calculation!P329)</f>
        <v/>
      </c>
      <c r="J323" s="387" t="str">
        <f>IF(A323="","",HLOOKUP(LEFT(Calculation!BO329,7),LookUps!$C$38:$M$41,4))</f>
        <v/>
      </c>
      <c r="K323" s="387" t="str">
        <f>IF(A323="","",Calculation!M329)</f>
        <v/>
      </c>
      <c r="L323" s="387" t="str">
        <f>IF(A323="","",Calculation!S329)</f>
        <v/>
      </c>
      <c r="M323" s="389" t="str">
        <f>IF(A323="","",Calculation!N329)</f>
        <v/>
      </c>
      <c r="N323" s="390" t="str">
        <f>IF(A323="","",Calculation!R329)</f>
        <v/>
      </c>
      <c r="O323" s="391" t="str">
        <f>IF(A323="","",Calculation!$F$6)</f>
        <v/>
      </c>
      <c r="P323" s="392" t="str">
        <f>IF(A323="","",Calculation!$F$7)</f>
        <v/>
      </c>
      <c r="Q323" s="393" t="str">
        <f>IF(A323="","",Calculation!$F$13)</f>
        <v/>
      </c>
      <c r="R323" s="394" t="str">
        <f>IF(A323="","",Calculation!X329)</f>
        <v/>
      </c>
      <c r="S323" s="393" t="str">
        <f>IF(A323="","",Calculation!T329)</f>
        <v/>
      </c>
      <c r="T323" s="395" t="str">
        <f>IF(A323="","",IF(Calculation!$O$8="None","Water",CONCATENATE(Calculation!$O$8,"-",Calculation!$S$8,"%")))</f>
        <v/>
      </c>
      <c r="U323" s="393" t="str">
        <f>IF(A323="","",Calculation!$P$6)</f>
        <v/>
      </c>
      <c r="V323" s="393" t="str">
        <f>IF(A323="","",Calculation!AT329)</f>
        <v/>
      </c>
      <c r="W323" s="396" t="str">
        <f>IF(A323="","",Calculation!AP329)</f>
        <v/>
      </c>
      <c r="X323" s="396" t="str">
        <f>IF(A323="","",Calculation!AO329)</f>
        <v/>
      </c>
      <c r="Y323" s="396" t="str">
        <f>IF(A323="","",Calculation!AQ329)</f>
        <v/>
      </c>
      <c r="Z323" s="396" t="str">
        <f>IF(A323="","",Calculation!$H$6)</f>
        <v/>
      </c>
      <c r="AA323" s="397" t="str">
        <f>IF(A323="","",Calculation!$H$13)</f>
        <v/>
      </c>
      <c r="AB323" s="397" t="str">
        <f>IF(A323="","",Calculation!U329)</f>
        <v/>
      </c>
      <c r="AC323" s="398" t="str">
        <f>IF(A323="","",IF(Calculation!$O$9="None","Water",CONCATENATE(Calculation!$O$9,"-",Calculation!$S$9,"%")))</f>
        <v/>
      </c>
      <c r="AD323" s="396" t="str">
        <f>IF(A323="","",Calculation!$S$6)</f>
        <v/>
      </c>
      <c r="AE323" s="399" t="str">
        <f>IF(A323="","",Calculation!BA329)</f>
        <v/>
      </c>
      <c r="AF323" s="396" t="str">
        <f>IF(A323="","",Calculation!AX329)</f>
        <v/>
      </c>
      <c r="AG323" s="396" t="str">
        <f>IF(A323="","",Calculation!AW329)</f>
        <v/>
      </c>
      <c r="AH323" s="391" t="str">
        <f>IF(A323="","",Calculation!AY329)</f>
        <v/>
      </c>
      <c r="AI323" s="391" t="str">
        <f>IF(A323="","",Calculation!Y329)</f>
        <v/>
      </c>
      <c r="AJ323" s="401" t="str">
        <f>IF(Calculation!BD329&gt;0,Calculation!BD329," ")</f>
        <v xml:space="preserve"> </v>
      </c>
      <c r="AK323" s="401" t="str">
        <f>IF(Calculation!BD329&gt;0,Calculation!BE329," ")</f>
        <v xml:space="preserve"> </v>
      </c>
      <c r="AL323" s="401" t="str">
        <f>IF(Calculation!BD329&gt;0,Calculation!BF329," ")</f>
        <v xml:space="preserve"> </v>
      </c>
      <c r="AM323" s="401" t="str">
        <f>IF(Calculation!BD329&gt;0,Calculation!BG329," ")</f>
        <v xml:space="preserve"> </v>
      </c>
      <c r="AN323" s="391" t="str">
        <f>IF(Calculation!BH329="N/A","N/A",Calculation!BH329)</f>
        <v xml:space="preserve"> </v>
      </c>
      <c r="AO323" s="402" t="str">
        <f>IF(Calculation!BI329="N/A","N/A",Calculation!BI329)</f>
        <v/>
      </c>
      <c r="AP323" s="391" t="str">
        <f>IF(Calculation!BJ329="N/A","N/A",Calculation!BJ329)</f>
        <v/>
      </c>
      <c r="AQ323" s="402" t="str">
        <f>IF(Calculation!BK329="N/A","N/A",Calculation!BK329)</f>
        <v/>
      </c>
      <c r="AR323" s="391" t="str">
        <f>IF(Calculation!BL329="N/A","N/A",Calculation!BL329)</f>
        <v/>
      </c>
      <c r="AS323" s="402" t="str">
        <f>IF(Calculation!BM329="N/A","N/A",Calculation!BM329)</f>
        <v/>
      </c>
      <c r="AT323" s="400"/>
    </row>
    <row r="324" spans="1:46">
      <c r="A324" s="224" t="str">
        <f>IF(Calculation!BN330="","",CONCATENATE(Calculation!BO330,"-",Calculation!R330,"-",Calculation!S330,"-",Calculation!T330,"-",Calculation!U330))</f>
        <v/>
      </c>
      <c r="B324" s="224">
        <v>309</v>
      </c>
      <c r="C324" s="629" t="str">
        <f>IF(A324="","",Calculation!B330)</f>
        <v/>
      </c>
      <c r="D324" s="386" t="str">
        <f>IF(A324="","",Calculation!L330)</f>
        <v/>
      </c>
      <c r="E324" s="387" t="str">
        <f>IF(A324="","",Calculation!J330)</f>
        <v/>
      </c>
      <c r="F324" s="387" t="str">
        <f>IF(A324="","",Calculation!C330)</f>
        <v/>
      </c>
      <c r="G324" s="387" t="str">
        <f>IF(A324="","",LEFT(Calculation!O330,6))</f>
        <v/>
      </c>
      <c r="H324" s="388" t="str">
        <f>IF(A324="","",Calculation!DX330)</f>
        <v/>
      </c>
      <c r="I324" s="387" t="str">
        <f>IF(A324="","",Calculation!P330)</f>
        <v/>
      </c>
      <c r="J324" s="387" t="str">
        <f>IF(A324="","",HLOOKUP(LEFT(Calculation!BO330,7),LookUps!$C$38:$M$41,4))</f>
        <v/>
      </c>
      <c r="K324" s="387" t="str">
        <f>IF(A324="","",Calculation!M330)</f>
        <v/>
      </c>
      <c r="L324" s="387" t="str">
        <f>IF(A324="","",Calculation!S330)</f>
        <v/>
      </c>
      <c r="M324" s="389" t="str">
        <f>IF(A324="","",Calculation!N330)</f>
        <v/>
      </c>
      <c r="N324" s="390" t="str">
        <f>IF(A324="","",Calculation!R330)</f>
        <v/>
      </c>
      <c r="O324" s="391" t="str">
        <f>IF(A324="","",Calculation!$F$6)</f>
        <v/>
      </c>
      <c r="P324" s="392" t="str">
        <f>IF(A324="","",Calculation!$F$7)</f>
        <v/>
      </c>
      <c r="Q324" s="393" t="str">
        <f>IF(A324="","",Calculation!$F$13)</f>
        <v/>
      </c>
      <c r="R324" s="394" t="str">
        <f>IF(A324="","",Calculation!X330)</f>
        <v/>
      </c>
      <c r="S324" s="393" t="str">
        <f>IF(A324="","",Calculation!T330)</f>
        <v/>
      </c>
      <c r="T324" s="395" t="str">
        <f>IF(A324="","",IF(Calculation!$O$8="None","Water",CONCATENATE(Calculation!$O$8,"-",Calculation!$S$8,"%")))</f>
        <v/>
      </c>
      <c r="U324" s="393" t="str">
        <f>IF(A324="","",Calculation!$P$6)</f>
        <v/>
      </c>
      <c r="V324" s="393" t="str">
        <f>IF(A324="","",Calculation!AT330)</f>
        <v/>
      </c>
      <c r="W324" s="396" t="str">
        <f>IF(A324="","",Calculation!AP330)</f>
        <v/>
      </c>
      <c r="X324" s="396" t="str">
        <f>IF(A324="","",Calculation!AO330)</f>
        <v/>
      </c>
      <c r="Y324" s="396" t="str">
        <f>IF(A324="","",Calculation!AQ330)</f>
        <v/>
      </c>
      <c r="Z324" s="396" t="str">
        <f>IF(A324="","",Calculation!$H$6)</f>
        <v/>
      </c>
      <c r="AA324" s="397" t="str">
        <f>IF(A324="","",Calculation!$H$13)</f>
        <v/>
      </c>
      <c r="AB324" s="397" t="str">
        <f>IF(A324="","",Calculation!U330)</f>
        <v/>
      </c>
      <c r="AC324" s="398" t="str">
        <f>IF(A324="","",IF(Calculation!$O$9="None","Water",CONCATENATE(Calculation!$O$9,"-",Calculation!$S$9,"%")))</f>
        <v/>
      </c>
      <c r="AD324" s="396" t="str">
        <f>IF(A324="","",Calculation!$S$6)</f>
        <v/>
      </c>
      <c r="AE324" s="399" t="str">
        <f>IF(A324="","",Calculation!BA330)</f>
        <v/>
      </c>
      <c r="AF324" s="396" t="str">
        <f>IF(A324="","",Calculation!AX330)</f>
        <v/>
      </c>
      <c r="AG324" s="396" t="str">
        <f>IF(A324="","",Calculation!AW330)</f>
        <v/>
      </c>
      <c r="AH324" s="391" t="str">
        <f>IF(A324="","",Calculation!AY330)</f>
        <v/>
      </c>
      <c r="AI324" s="391" t="str">
        <f>IF(A324="","",Calculation!Y330)</f>
        <v/>
      </c>
      <c r="AJ324" s="401" t="str">
        <f>IF(Calculation!BD330&gt;0,Calculation!BD330," ")</f>
        <v xml:space="preserve"> </v>
      </c>
      <c r="AK324" s="401" t="str">
        <f>IF(Calculation!BD330&gt;0,Calculation!BE330," ")</f>
        <v xml:space="preserve"> </v>
      </c>
      <c r="AL324" s="401" t="str">
        <f>IF(Calculation!BD330&gt;0,Calculation!BF330," ")</f>
        <v xml:space="preserve"> </v>
      </c>
      <c r="AM324" s="401" t="str">
        <f>IF(Calculation!BD330&gt;0,Calculation!BG330," ")</f>
        <v xml:space="preserve"> </v>
      </c>
      <c r="AN324" s="391" t="str">
        <f>IF(Calculation!BH330="N/A","N/A",Calculation!BH330)</f>
        <v xml:space="preserve"> </v>
      </c>
      <c r="AO324" s="402" t="str">
        <f>IF(Calculation!BI330="N/A","N/A",Calculation!BI330)</f>
        <v/>
      </c>
      <c r="AP324" s="391" t="str">
        <f>IF(Calculation!BJ330="N/A","N/A",Calculation!BJ330)</f>
        <v/>
      </c>
      <c r="AQ324" s="402" t="str">
        <f>IF(Calculation!BK330="N/A","N/A",Calculation!BK330)</f>
        <v/>
      </c>
      <c r="AR324" s="391" t="str">
        <f>IF(Calculation!BL330="N/A","N/A",Calculation!BL330)</f>
        <v/>
      </c>
      <c r="AS324" s="402" t="str">
        <f>IF(Calculation!BM330="N/A","N/A",Calculation!BM330)</f>
        <v/>
      </c>
      <c r="AT324" s="400"/>
    </row>
    <row r="325" spans="1:46">
      <c r="A325" s="224" t="str">
        <f>IF(Calculation!BN331="","",CONCATENATE(Calculation!BO331,"-",Calculation!R331,"-",Calculation!S331,"-",Calculation!T331,"-",Calculation!U331))</f>
        <v/>
      </c>
      <c r="B325" s="224">
        <v>310</v>
      </c>
      <c r="C325" s="629" t="str">
        <f>IF(A325="","",Calculation!B331)</f>
        <v/>
      </c>
      <c r="D325" s="386" t="str">
        <f>IF(A325="","",Calculation!L331)</f>
        <v/>
      </c>
      <c r="E325" s="387" t="str">
        <f>IF(A325="","",Calculation!J331)</f>
        <v/>
      </c>
      <c r="F325" s="387" t="str">
        <f>IF(A325="","",Calculation!C331)</f>
        <v/>
      </c>
      <c r="G325" s="387" t="str">
        <f>IF(A325="","",LEFT(Calculation!O331,6))</f>
        <v/>
      </c>
      <c r="H325" s="388" t="str">
        <f>IF(A325="","",Calculation!DX331)</f>
        <v/>
      </c>
      <c r="I325" s="387" t="str">
        <f>IF(A325="","",Calculation!P331)</f>
        <v/>
      </c>
      <c r="J325" s="387" t="str">
        <f>IF(A325="","",HLOOKUP(LEFT(Calculation!BO331,7),LookUps!$C$38:$M$41,4))</f>
        <v/>
      </c>
      <c r="K325" s="387" t="str">
        <f>IF(A325="","",Calculation!M331)</f>
        <v/>
      </c>
      <c r="L325" s="387" t="str">
        <f>IF(A325="","",Calculation!S331)</f>
        <v/>
      </c>
      <c r="M325" s="389" t="str">
        <f>IF(A325="","",Calculation!N331)</f>
        <v/>
      </c>
      <c r="N325" s="390" t="str">
        <f>IF(A325="","",Calculation!R331)</f>
        <v/>
      </c>
      <c r="O325" s="391" t="str">
        <f>IF(A325="","",Calculation!$F$6)</f>
        <v/>
      </c>
      <c r="P325" s="392" t="str">
        <f>IF(A325="","",Calculation!$F$7)</f>
        <v/>
      </c>
      <c r="Q325" s="393" t="str">
        <f>IF(A325="","",Calculation!$F$13)</f>
        <v/>
      </c>
      <c r="R325" s="394" t="str">
        <f>IF(A325="","",Calculation!X331)</f>
        <v/>
      </c>
      <c r="S325" s="393" t="str">
        <f>IF(A325="","",Calculation!T331)</f>
        <v/>
      </c>
      <c r="T325" s="395" t="str">
        <f>IF(A325="","",IF(Calculation!$O$8="None","Water",CONCATENATE(Calculation!$O$8,"-",Calculation!$S$8,"%")))</f>
        <v/>
      </c>
      <c r="U325" s="393" t="str">
        <f>IF(A325="","",Calculation!$P$6)</f>
        <v/>
      </c>
      <c r="V325" s="393" t="str">
        <f>IF(A325="","",Calculation!AT331)</f>
        <v/>
      </c>
      <c r="W325" s="396" t="str">
        <f>IF(A325="","",Calculation!AP331)</f>
        <v/>
      </c>
      <c r="X325" s="396" t="str">
        <f>IF(A325="","",Calculation!AO331)</f>
        <v/>
      </c>
      <c r="Y325" s="396" t="str">
        <f>IF(A325="","",Calculation!AQ331)</f>
        <v/>
      </c>
      <c r="Z325" s="396" t="str">
        <f>IF(A325="","",Calculation!$H$6)</f>
        <v/>
      </c>
      <c r="AA325" s="397" t="str">
        <f>IF(A325="","",Calculation!$H$13)</f>
        <v/>
      </c>
      <c r="AB325" s="397" t="str">
        <f>IF(A325="","",Calculation!U331)</f>
        <v/>
      </c>
      <c r="AC325" s="398" t="str">
        <f>IF(A325="","",IF(Calculation!$O$9="None","Water",CONCATENATE(Calculation!$O$9,"-",Calculation!$S$9,"%")))</f>
        <v/>
      </c>
      <c r="AD325" s="396" t="str">
        <f>IF(A325="","",Calculation!$S$6)</f>
        <v/>
      </c>
      <c r="AE325" s="399" t="str">
        <f>IF(A325="","",Calculation!BA331)</f>
        <v/>
      </c>
      <c r="AF325" s="396" t="str">
        <f>IF(A325="","",Calculation!AX331)</f>
        <v/>
      </c>
      <c r="AG325" s="396" t="str">
        <f>IF(A325="","",Calculation!AW331)</f>
        <v/>
      </c>
      <c r="AH325" s="391" t="str">
        <f>IF(A325="","",Calculation!AY331)</f>
        <v/>
      </c>
      <c r="AI325" s="391" t="str">
        <f>IF(A325="","",Calculation!Y331)</f>
        <v/>
      </c>
      <c r="AJ325" s="401" t="str">
        <f>IF(Calculation!BD331&gt;0,Calculation!BD331," ")</f>
        <v xml:space="preserve"> </v>
      </c>
      <c r="AK325" s="401" t="str">
        <f>IF(Calculation!BD331&gt;0,Calculation!BE331," ")</f>
        <v xml:space="preserve"> </v>
      </c>
      <c r="AL325" s="401" t="str">
        <f>IF(Calculation!BD331&gt;0,Calculation!BF331," ")</f>
        <v xml:space="preserve"> </v>
      </c>
      <c r="AM325" s="401" t="str">
        <f>IF(Calculation!BD331&gt;0,Calculation!BG331," ")</f>
        <v xml:space="preserve"> </v>
      </c>
      <c r="AN325" s="391" t="str">
        <f>IF(Calculation!BH331="N/A","N/A",Calculation!BH331)</f>
        <v xml:space="preserve"> </v>
      </c>
      <c r="AO325" s="402" t="str">
        <f>IF(Calculation!BI331="N/A","N/A",Calculation!BI331)</f>
        <v/>
      </c>
      <c r="AP325" s="391" t="str">
        <f>IF(Calculation!BJ331="N/A","N/A",Calculation!BJ331)</f>
        <v/>
      </c>
      <c r="AQ325" s="402" t="str">
        <f>IF(Calculation!BK331="N/A","N/A",Calculation!BK331)</f>
        <v/>
      </c>
      <c r="AR325" s="391" t="str">
        <f>IF(Calculation!BL331="N/A","N/A",Calculation!BL331)</f>
        <v/>
      </c>
      <c r="AS325" s="402" t="str">
        <f>IF(Calculation!BM331="N/A","N/A",Calculation!BM331)</f>
        <v/>
      </c>
      <c r="AT325" s="400"/>
    </row>
    <row r="326" spans="1:46">
      <c r="A326" s="224" t="str">
        <f>IF(Calculation!BN332="","",CONCATENATE(Calculation!BO332,"-",Calculation!R332,"-",Calculation!S332,"-",Calculation!T332,"-",Calculation!U332))</f>
        <v/>
      </c>
      <c r="B326" s="224">
        <v>311</v>
      </c>
      <c r="C326" s="629" t="str">
        <f>IF(A326="","",Calculation!B332)</f>
        <v/>
      </c>
      <c r="D326" s="386" t="str">
        <f>IF(A326="","",Calculation!L332)</f>
        <v/>
      </c>
      <c r="E326" s="387" t="str">
        <f>IF(A326="","",Calculation!J332)</f>
        <v/>
      </c>
      <c r="F326" s="387" t="str">
        <f>IF(A326="","",Calculation!C332)</f>
        <v/>
      </c>
      <c r="G326" s="387" t="str">
        <f>IF(A326="","",LEFT(Calculation!O332,6))</f>
        <v/>
      </c>
      <c r="H326" s="388" t="str">
        <f>IF(A326="","",Calculation!DX332)</f>
        <v/>
      </c>
      <c r="I326" s="387" t="str">
        <f>IF(A326="","",Calculation!P332)</f>
        <v/>
      </c>
      <c r="J326" s="387" t="str">
        <f>IF(A326="","",HLOOKUP(LEFT(Calculation!BO332,7),LookUps!$C$38:$M$41,4))</f>
        <v/>
      </c>
      <c r="K326" s="387" t="str">
        <f>IF(A326="","",Calculation!M332)</f>
        <v/>
      </c>
      <c r="L326" s="387" t="str">
        <f>IF(A326="","",Calculation!S332)</f>
        <v/>
      </c>
      <c r="M326" s="389" t="str">
        <f>IF(A326="","",Calculation!N332)</f>
        <v/>
      </c>
      <c r="N326" s="390" t="str">
        <f>IF(A326="","",Calculation!R332)</f>
        <v/>
      </c>
      <c r="O326" s="391" t="str">
        <f>IF(A326="","",Calculation!$F$6)</f>
        <v/>
      </c>
      <c r="P326" s="392" t="str">
        <f>IF(A326="","",Calculation!$F$7)</f>
        <v/>
      </c>
      <c r="Q326" s="393" t="str">
        <f>IF(A326="","",Calculation!$F$13)</f>
        <v/>
      </c>
      <c r="R326" s="394" t="str">
        <f>IF(A326="","",Calculation!X332)</f>
        <v/>
      </c>
      <c r="S326" s="393" t="str">
        <f>IF(A326="","",Calculation!T332)</f>
        <v/>
      </c>
      <c r="T326" s="395" t="str">
        <f>IF(A326="","",IF(Calculation!$O$8="None","Water",CONCATENATE(Calculation!$O$8,"-",Calculation!$S$8,"%")))</f>
        <v/>
      </c>
      <c r="U326" s="393" t="str">
        <f>IF(A326="","",Calculation!$P$6)</f>
        <v/>
      </c>
      <c r="V326" s="393" t="str">
        <f>IF(A326="","",Calculation!AT332)</f>
        <v/>
      </c>
      <c r="W326" s="396" t="str">
        <f>IF(A326="","",Calculation!AP332)</f>
        <v/>
      </c>
      <c r="X326" s="396" t="str">
        <f>IF(A326="","",Calculation!AO332)</f>
        <v/>
      </c>
      <c r="Y326" s="396" t="str">
        <f>IF(A326="","",Calculation!AQ332)</f>
        <v/>
      </c>
      <c r="Z326" s="396" t="str">
        <f>IF(A326="","",Calculation!$H$6)</f>
        <v/>
      </c>
      <c r="AA326" s="397" t="str">
        <f>IF(A326="","",Calculation!$H$13)</f>
        <v/>
      </c>
      <c r="AB326" s="397" t="str">
        <f>IF(A326="","",Calculation!U332)</f>
        <v/>
      </c>
      <c r="AC326" s="398" t="str">
        <f>IF(A326="","",IF(Calculation!$O$9="None","Water",CONCATENATE(Calculation!$O$9,"-",Calculation!$S$9,"%")))</f>
        <v/>
      </c>
      <c r="AD326" s="396" t="str">
        <f>IF(A326="","",Calculation!$S$6)</f>
        <v/>
      </c>
      <c r="AE326" s="399" t="str">
        <f>IF(A326="","",Calculation!BA332)</f>
        <v/>
      </c>
      <c r="AF326" s="396" t="str">
        <f>IF(A326="","",Calculation!AX332)</f>
        <v/>
      </c>
      <c r="AG326" s="396" t="str">
        <f>IF(A326="","",Calculation!AW332)</f>
        <v/>
      </c>
      <c r="AH326" s="391" t="str">
        <f>IF(A326="","",Calculation!AY332)</f>
        <v/>
      </c>
      <c r="AI326" s="391" t="str">
        <f>IF(A326="","",Calculation!Y332)</f>
        <v/>
      </c>
      <c r="AJ326" s="401" t="str">
        <f>IF(Calculation!BD332&gt;0,Calculation!BD332," ")</f>
        <v xml:space="preserve"> </v>
      </c>
      <c r="AK326" s="401" t="str">
        <f>IF(Calculation!BD332&gt;0,Calculation!BE332," ")</f>
        <v xml:space="preserve"> </v>
      </c>
      <c r="AL326" s="401" t="str">
        <f>IF(Calculation!BD332&gt;0,Calculation!BF332," ")</f>
        <v xml:space="preserve"> </v>
      </c>
      <c r="AM326" s="401" t="str">
        <f>IF(Calculation!BD332&gt;0,Calculation!BG332," ")</f>
        <v xml:space="preserve"> </v>
      </c>
      <c r="AN326" s="391" t="str">
        <f>IF(Calculation!BH332="N/A","N/A",Calculation!BH332)</f>
        <v xml:space="preserve"> </v>
      </c>
      <c r="AO326" s="402" t="str">
        <f>IF(Calculation!BI332="N/A","N/A",Calculation!BI332)</f>
        <v/>
      </c>
      <c r="AP326" s="391" t="str">
        <f>IF(Calculation!BJ332="N/A","N/A",Calculation!BJ332)</f>
        <v/>
      </c>
      <c r="AQ326" s="402" t="str">
        <f>IF(Calculation!BK332="N/A","N/A",Calculation!BK332)</f>
        <v/>
      </c>
      <c r="AR326" s="391" t="str">
        <f>IF(Calculation!BL332="N/A","N/A",Calculation!BL332)</f>
        <v/>
      </c>
      <c r="AS326" s="402" t="str">
        <f>IF(Calculation!BM332="N/A","N/A",Calculation!BM332)</f>
        <v/>
      </c>
      <c r="AT326" s="400"/>
    </row>
    <row r="327" spans="1:46">
      <c r="A327" s="224" t="str">
        <f>IF(Calculation!BN333="","",CONCATENATE(Calculation!BO333,"-",Calculation!R333,"-",Calculation!S333,"-",Calculation!T333,"-",Calculation!U333))</f>
        <v/>
      </c>
      <c r="B327" s="224">
        <v>312</v>
      </c>
      <c r="C327" s="629" t="str">
        <f>IF(A327="","",Calculation!B333)</f>
        <v/>
      </c>
      <c r="D327" s="386" t="str">
        <f>IF(A327="","",Calculation!L333)</f>
        <v/>
      </c>
      <c r="E327" s="387" t="str">
        <f>IF(A327="","",Calculation!J333)</f>
        <v/>
      </c>
      <c r="F327" s="387" t="str">
        <f>IF(A327="","",Calculation!C333)</f>
        <v/>
      </c>
      <c r="G327" s="387" t="str">
        <f>IF(A327="","",LEFT(Calculation!O333,6))</f>
        <v/>
      </c>
      <c r="H327" s="388" t="str">
        <f>IF(A327="","",Calculation!DX333)</f>
        <v/>
      </c>
      <c r="I327" s="387" t="str">
        <f>IF(A327="","",Calculation!P333)</f>
        <v/>
      </c>
      <c r="J327" s="387" t="str">
        <f>IF(A327="","",HLOOKUP(LEFT(Calculation!BO333,7),LookUps!$C$38:$M$41,4))</f>
        <v/>
      </c>
      <c r="K327" s="387" t="str">
        <f>IF(A327="","",Calculation!M333)</f>
        <v/>
      </c>
      <c r="L327" s="387" t="str">
        <f>IF(A327="","",Calculation!S333)</f>
        <v/>
      </c>
      <c r="M327" s="389" t="str">
        <f>IF(A327="","",Calculation!N333)</f>
        <v/>
      </c>
      <c r="N327" s="390" t="str">
        <f>IF(A327="","",Calculation!R333)</f>
        <v/>
      </c>
      <c r="O327" s="391" t="str">
        <f>IF(A327="","",Calculation!$F$6)</f>
        <v/>
      </c>
      <c r="P327" s="392" t="str">
        <f>IF(A327="","",Calculation!$F$7)</f>
        <v/>
      </c>
      <c r="Q327" s="393" t="str">
        <f>IF(A327="","",Calculation!$F$13)</f>
        <v/>
      </c>
      <c r="R327" s="394" t="str">
        <f>IF(A327="","",Calculation!X333)</f>
        <v/>
      </c>
      <c r="S327" s="393" t="str">
        <f>IF(A327="","",Calculation!T333)</f>
        <v/>
      </c>
      <c r="T327" s="395" t="str">
        <f>IF(A327="","",IF(Calculation!$O$8="None","Water",CONCATENATE(Calculation!$O$8,"-",Calculation!$S$8,"%")))</f>
        <v/>
      </c>
      <c r="U327" s="393" t="str">
        <f>IF(A327="","",Calculation!$P$6)</f>
        <v/>
      </c>
      <c r="V327" s="393" t="str">
        <f>IF(A327="","",Calculation!AT333)</f>
        <v/>
      </c>
      <c r="W327" s="396" t="str">
        <f>IF(A327="","",Calculation!AP333)</f>
        <v/>
      </c>
      <c r="X327" s="396" t="str">
        <f>IF(A327="","",Calculation!AO333)</f>
        <v/>
      </c>
      <c r="Y327" s="396" t="str">
        <f>IF(A327="","",Calculation!AQ333)</f>
        <v/>
      </c>
      <c r="Z327" s="396" t="str">
        <f>IF(A327="","",Calculation!$H$6)</f>
        <v/>
      </c>
      <c r="AA327" s="397" t="str">
        <f>IF(A327="","",Calculation!$H$13)</f>
        <v/>
      </c>
      <c r="AB327" s="397" t="str">
        <f>IF(A327="","",Calculation!U333)</f>
        <v/>
      </c>
      <c r="AC327" s="398" t="str">
        <f>IF(A327="","",IF(Calculation!$O$9="None","Water",CONCATENATE(Calculation!$O$9,"-",Calculation!$S$9,"%")))</f>
        <v/>
      </c>
      <c r="AD327" s="396" t="str">
        <f>IF(A327="","",Calculation!$S$6)</f>
        <v/>
      </c>
      <c r="AE327" s="399" t="str">
        <f>IF(A327="","",Calculation!BA333)</f>
        <v/>
      </c>
      <c r="AF327" s="396" t="str">
        <f>IF(A327="","",Calculation!AX333)</f>
        <v/>
      </c>
      <c r="AG327" s="396" t="str">
        <f>IF(A327="","",Calculation!AW333)</f>
        <v/>
      </c>
      <c r="AH327" s="391" t="str">
        <f>IF(A327="","",Calculation!AY333)</f>
        <v/>
      </c>
      <c r="AI327" s="391" t="str">
        <f>IF(A327="","",Calculation!Y333)</f>
        <v/>
      </c>
      <c r="AJ327" s="401" t="str">
        <f>IF(Calculation!BD333&gt;0,Calculation!BD333," ")</f>
        <v xml:space="preserve"> </v>
      </c>
      <c r="AK327" s="401" t="str">
        <f>IF(Calculation!BD333&gt;0,Calculation!BE333," ")</f>
        <v xml:space="preserve"> </v>
      </c>
      <c r="AL327" s="401" t="str">
        <f>IF(Calculation!BD333&gt;0,Calculation!BF333," ")</f>
        <v xml:space="preserve"> </v>
      </c>
      <c r="AM327" s="401" t="str">
        <f>IF(Calculation!BD333&gt;0,Calculation!BG333," ")</f>
        <v xml:space="preserve"> </v>
      </c>
      <c r="AN327" s="391" t="str">
        <f>IF(Calculation!BH333="N/A","N/A",Calculation!BH333)</f>
        <v xml:space="preserve"> </v>
      </c>
      <c r="AO327" s="402" t="str">
        <f>IF(Calculation!BI333="N/A","N/A",Calculation!BI333)</f>
        <v/>
      </c>
      <c r="AP327" s="391" t="str">
        <f>IF(Calculation!BJ333="N/A","N/A",Calculation!BJ333)</f>
        <v/>
      </c>
      <c r="AQ327" s="402" t="str">
        <f>IF(Calculation!BK333="N/A","N/A",Calculation!BK333)</f>
        <v/>
      </c>
      <c r="AR327" s="391" t="str">
        <f>IF(Calculation!BL333="N/A","N/A",Calculation!BL333)</f>
        <v/>
      </c>
      <c r="AS327" s="402" t="str">
        <f>IF(Calculation!BM333="N/A","N/A",Calculation!BM333)</f>
        <v/>
      </c>
      <c r="AT327" s="400"/>
    </row>
    <row r="328" spans="1:46">
      <c r="A328" s="224" t="str">
        <f>IF(Calculation!BN334="","",CONCATENATE(Calculation!BO334,"-",Calculation!R334,"-",Calculation!S334,"-",Calculation!T334,"-",Calculation!U334))</f>
        <v/>
      </c>
      <c r="B328" s="224">
        <v>313</v>
      </c>
      <c r="C328" s="629" t="str">
        <f>IF(A328="","",Calculation!B334)</f>
        <v/>
      </c>
      <c r="D328" s="386" t="str">
        <f>IF(A328="","",Calculation!L334)</f>
        <v/>
      </c>
      <c r="E328" s="387" t="str">
        <f>IF(A328="","",Calculation!J334)</f>
        <v/>
      </c>
      <c r="F328" s="387" t="str">
        <f>IF(A328="","",Calculation!C334)</f>
        <v/>
      </c>
      <c r="G328" s="387" t="str">
        <f>IF(A328="","",LEFT(Calculation!O334,6))</f>
        <v/>
      </c>
      <c r="H328" s="388" t="str">
        <f>IF(A328="","",Calculation!DX334)</f>
        <v/>
      </c>
      <c r="I328" s="387" t="str">
        <f>IF(A328="","",Calculation!P334)</f>
        <v/>
      </c>
      <c r="J328" s="387" t="str">
        <f>IF(A328="","",HLOOKUP(LEFT(Calculation!BO334,7),LookUps!$C$38:$M$41,4))</f>
        <v/>
      </c>
      <c r="K328" s="387" t="str">
        <f>IF(A328="","",Calculation!M334)</f>
        <v/>
      </c>
      <c r="L328" s="387" t="str">
        <f>IF(A328="","",Calculation!S334)</f>
        <v/>
      </c>
      <c r="M328" s="389" t="str">
        <f>IF(A328="","",Calculation!N334)</f>
        <v/>
      </c>
      <c r="N328" s="390" t="str">
        <f>IF(A328="","",Calculation!R334)</f>
        <v/>
      </c>
      <c r="O328" s="391" t="str">
        <f>IF(A328="","",Calculation!$F$6)</f>
        <v/>
      </c>
      <c r="P328" s="392" t="str">
        <f>IF(A328="","",Calculation!$F$7)</f>
        <v/>
      </c>
      <c r="Q328" s="393" t="str">
        <f>IF(A328="","",Calculation!$F$13)</f>
        <v/>
      </c>
      <c r="R328" s="394" t="str">
        <f>IF(A328="","",Calculation!X334)</f>
        <v/>
      </c>
      <c r="S328" s="393" t="str">
        <f>IF(A328="","",Calculation!T334)</f>
        <v/>
      </c>
      <c r="T328" s="395" t="str">
        <f>IF(A328="","",IF(Calculation!$O$8="None","Water",CONCATENATE(Calculation!$O$8,"-",Calculation!$S$8,"%")))</f>
        <v/>
      </c>
      <c r="U328" s="393" t="str">
        <f>IF(A328="","",Calculation!$P$6)</f>
        <v/>
      </c>
      <c r="V328" s="393" t="str">
        <f>IF(A328="","",Calculation!AT334)</f>
        <v/>
      </c>
      <c r="W328" s="396" t="str">
        <f>IF(A328="","",Calculation!AP334)</f>
        <v/>
      </c>
      <c r="X328" s="396" t="str">
        <f>IF(A328="","",Calculation!AO334)</f>
        <v/>
      </c>
      <c r="Y328" s="396" t="str">
        <f>IF(A328="","",Calculation!AQ334)</f>
        <v/>
      </c>
      <c r="Z328" s="396" t="str">
        <f>IF(A328="","",Calculation!$H$6)</f>
        <v/>
      </c>
      <c r="AA328" s="397" t="str">
        <f>IF(A328="","",Calculation!$H$13)</f>
        <v/>
      </c>
      <c r="AB328" s="397" t="str">
        <f>IF(A328="","",Calculation!U334)</f>
        <v/>
      </c>
      <c r="AC328" s="398" t="str">
        <f>IF(A328="","",IF(Calculation!$O$9="None","Water",CONCATENATE(Calculation!$O$9,"-",Calculation!$S$9,"%")))</f>
        <v/>
      </c>
      <c r="AD328" s="396" t="str">
        <f>IF(A328="","",Calculation!$S$6)</f>
        <v/>
      </c>
      <c r="AE328" s="399" t="str">
        <f>IF(A328="","",Calculation!BA334)</f>
        <v/>
      </c>
      <c r="AF328" s="396" t="str">
        <f>IF(A328="","",Calculation!AX334)</f>
        <v/>
      </c>
      <c r="AG328" s="396" t="str">
        <f>IF(A328="","",Calculation!AW334)</f>
        <v/>
      </c>
      <c r="AH328" s="391" t="str">
        <f>IF(A328="","",Calculation!AY334)</f>
        <v/>
      </c>
      <c r="AI328" s="391" t="str">
        <f>IF(A328="","",Calculation!Y334)</f>
        <v/>
      </c>
      <c r="AJ328" s="401" t="str">
        <f>IF(Calculation!BD334&gt;0,Calculation!BD334," ")</f>
        <v xml:space="preserve"> </v>
      </c>
      <c r="AK328" s="401" t="str">
        <f>IF(Calculation!BD334&gt;0,Calculation!BE334," ")</f>
        <v xml:space="preserve"> </v>
      </c>
      <c r="AL328" s="401" t="str">
        <f>IF(Calculation!BD334&gt;0,Calculation!BF334," ")</f>
        <v xml:space="preserve"> </v>
      </c>
      <c r="AM328" s="401" t="str">
        <f>IF(Calculation!BD334&gt;0,Calculation!BG334," ")</f>
        <v xml:space="preserve"> </v>
      </c>
      <c r="AN328" s="391" t="str">
        <f>IF(Calculation!BH334="N/A","N/A",Calculation!BH334)</f>
        <v xml:space="preserve"> </v>
      </c>
      <c r="AO328" s="402" t="str">
        <f>IF(Calculation!BI334="N/A","N/A",Calculation!BI334)</f>
        <v/>
      </c>
      <c r="AP328" s="391" t="str">
        <f>IF(Calculation!BJ334="N/A","N/A",Calculation!BJ334)</f>
        <v/>
      </c>
      <c r="AQ328" s="402" t="str">
        <f>IF(Calculation!BK334="N/A","N/A",Calculation!BK334)</f>
        <v/>
      </c>
      <c r="AR328" s="391" t="str">
        <f>IF(Calculation!BL334="N/A","N/A",Calculation!BL334)</f>
        <v/>
      </c>
      <c r="AS328" s="402" t="str">
        <f>IF(Calculation!BM334="N/A","N/A",Calculation!BM334)</f>
        <v/>
      </c>
      <c r="AT328" s="400"/>
    </row>
    <row r="329" spans="1:46">
      <c r="A329" s="224" t="str">
        <f>IF(Calculation!BN335="","",CONCATENATE(Calculation!BO335,"-",Calculation!R335,"-",Calculation!S335,"-",Calculation!T335,"-",Calculation!U335))</f>
        <v/>
      </c>
      <c r="B329" s="224">
        <v>314</v>
      </c>
      <c r="C329" s="629" t="str">
        <f>IF(A329="","",Calculation!B335)</f>
        <v/>
      </c>
      <c r="D329" s="386" t="str">
        <f>IF(A329="","",Calculation!L335)</f>
        <v/>
      </c>
      <c r="E329" s="387" t="str">
        <f>IF(A329="","",Calculation!J335)</f>
        <v/>
      </c>
      <c r="F329" s="387" t="str">
        <f>IF(A329="","",Calculation!C335)</f>
        <v/>
      </c>
      <c r="G329" s="387" t="str">
        <f>IF(A329="","",LEFT(Calculation!O335,6))</f>
        <v/>
      </c>
      <c r="H329" s="388" t="str">
        <f>IF(A329="","",Calculation!DX335)</f>
        <v/>
      </c>
      <c r="I329" s="387" t="str">
        <f>IF(A329="","",Calculation!P335)</f>
        <v/>
      </c>
      <c r="J329" s="387" t="str">
        <f>IF(A329="","",HLOOKUP(LEFT(Calculation!BO335,7),LookUps!$C$38:$M$41,4))</f>
        <v/>
      </c>
      <c r="K329" s="387" t="str">
        <f>IF(A329="","",Calculation!M335)</f>
        <v/>
      </c>
      <c r="L329" s="387" t="str">
        <f>IF(A329="","",Calculation!S335)</f>
        <v/>
      </c>
      <c r="M329" s="389" t="str">
        <f>IF(A329="","",Calculation!N335)</f>
        <v/>
      </c>
      <c r="N329" s="390" t="str">
        <f>IF(A329="","",Calculation!R335)</f>
        <v/>
      </c>
      <c r="O329" s="391" t="str">
        <f>IF(A329="","",Calculation!$F$6)</f>
        <v/>
      </c>
      <c r="P329" s="392" t="str">
        <f>IF(A329="","",Calculation!$F$7)</f>
        <v/>
      </c>
      <c r="Q329" s="393" t="str">
        <f>IF(A329="","",Calculation!$F$13)</f>
        <v/>
      </c>
      <c r="R329" s="394" t="str">
        <f>IF(A329="","",Calculation!X335)</f>
        <v/>
      </c>
      <c r="S329" s="393" t="str">
        <f>IF(A329="","",Calculation!T335)</f>
        <v/>
      </c>
      <c r="T329" s="395" t="str">
        <f>IF(A329="","",IF(Calculation!$O$8="None","Water",CONCATENATE(Calculation!$O$8,"-",Calculation!$S$8,"%")))</f>
        <v/>
      </c>
      <c r="U329" s="393" t="str">
        <f>IF(A329="","",Calculation!$P$6)</f>
        <v/>
      </c>
      <c r="V329" s="393" t="str">
        <f>IF(A329="","",Calculation!AT335)</f>
        <v/>
      </c>
      <c r="W329" s="396" t="str">
        <f>IF(A329="","",Calculation!AP335)</f>
        <v/>
      </c>
      <c r="X329" s="396" t="str">
        <f>IF(A329="","",Calculation!AO335)</f>
        <v/>
      </c>
      <c r="Y329" s="396" t="str">
        <f>IF(A329="","",Calculation!AQ335)</f>
        <v/>
      </c>
      <c r="Z329" s="396" t="str">
        <f>IF(A329="","",Calculation!$H$6)</f>
        <v/>
      </c>
      <c r="AA329" s="397" t="str">
        <f>IF(A329="","",Calculation!$H$13)</f>
        <v/>
      </c>
      <c r="AB329" s="397" t="str">
        <f>IF(A329="","",Calculation!U335)</f>
        <v/>
      </c>
      <c r="AC329" s="398" t="str">
        <f>IF(A329="","",IF(Calculation!$O$9="None","Water",CONCATENATE(Calculation!$O$9,"-",Calculation!$S$9,"%")))</f>
        <v/>
      </c>
      <c r="AD329" s="396" t="str">
        <f>IF(A329="","",Calculation!$S$6)</f>
        <v/>
      </c>
      <c r="AE329" s="399" t="str">
        <f>IF(A329="","",Calculation!BA335)</f>
        <v/>
      </c>
      <c r="AF329" s="396" t="str">
        <f>IF(A329="","",Calculation!AX335)</f>
        <v/>
      </c>
      <c r="AG329" s="396" t="str">
        <f>IF(A329="","",Calculation!AW335)</f>
        <v/>
      </c>
      <c r="AH329" s="391" t="str">
        <f>IF(A329="","",Calculation!AY335)</f>
        <v/>
      </c>
      <c r="AI329" s="391" t="str">
        <f>IF(A329="","",Calculation!Y335)</f>
        <v/>
      </c>
      <c r="AJ329" s="401" t="str">
        <f>IF(Calculation!BD335&gt;0,Calculation!BD335," ")</f>
        <v xml:space="preserve"> </v>
      </c>
      <c r="AK329" s="401" t="str">
        <f>IF(Calculation!BD335&gt;0,Calculation!BE335," ")</f>
        <v xml:space="preserve"> </v>
      </c>
      <c r="AL329" s="401" t="str">
        <f>IF(Calculation!BD335&gt;0,Calculation!BF335," ")</f>
        <v xml:space="preserve"> </v>
      </c>
      <c r="AM329" s="401" t="str">
        <f>IF(Calculation!BD335&gt;0,Calculation!BG335," ")</f>
        <v xml:space="preserve"> </v>
      </c>
      <c r="AN329" s="391" t="str">
        <f>IF(Calculation!BH335="N/A","N/A",Calculation!BH335)</f>
        <v xml:space="preserve"> </v>
      </c>
      <c r="AO329" s="402" t="str">
        <f>IF(Calculation!BI335="N/A","N/A",Calculation!BI335)</f>
        <v/>
      </c>
      <c r="AP329" s="391" t="str">
        <f>IF(Calculation!BJ335="N/A","N/A",Calculation!BJ335)</f>
        <v/>
      </c>
      <c r="AQ329" s="402" t="str">
        <f>IF(Calculation!BK335="N/A","N/A",Calculation!BK335)</f>
        <v/>
      </c>
      <c r="AR329" s="391" t="str">
        <f>IF(Calculation!BL335="N/A","N/A",Calculation!BL335)</f>
        <v/>
      </c>
      <c r="AS329" s="402" t="str">
        <f>IF(Calculation!BM335="N/A","N/A",Calculation!BM335)</f>
        <v/>
      </c>
      <c r="AT329" s="400"/>
    </row>
    <row r="330" spans="1:46">
      <c r="A330" s="224" t="str">
        <f>IF(Calculation!BN336="","",CONCATENATE(Calculation!BO336,"-",Calculation!R336,"-",Calculation!S336,"-",Calculation!T336,"-",Calculation!U336))</f>
        <v/>
      </c>
      <c r="B330" s="224">
        <v>315</v>
      </c>
      <c r="C330" s="629" t="str">
        <f>IF(A330="","",Calculation!B336)</f>
        <v/>
      </c>
      <c r="D330" s="386" t="str">
        <f>IF(A330="","",Calculation!L336)</f>
        <v/>
      </c>
      <c r="E330" s="387" t="str">
        <f>IF(A330="","",Calculation!J336)</f>
        <v/>
      </c>
      <c r="F330" s="387" t="str">
        <f>IF(A330="","",Calculation!C336)</f>
        <v/>
      </c>
      <c r="G330" s="387" t="str">
        <f>IF(A330="","",LEFT(Calculation!O336,6))</f>
        <v/>
      </c>
      <c r="H330" s="388" t="str">
        <f>IF(A330="","",Calculation!DX336)</f>
        <v/>
      </c>
      <c r="I330" s="387" t="str">
        <f>IF(A330="","",Calculation!P336)</f>
        <v/>
      </c>
      <c r="J330" s="387" t="str">
        <f>IF(A330="","",HLOOKUP(LEFT(Calculation!BO336,7),LookUps!$C$38:$M$41,4))</f>
        <v/>
      </c>
      <c r="K330" s="387" t="str">
        <f>IF(A330="","",Calculation!M336)</f>
        <v/>
      </c>
      <c r="L330" s="387" t="str">
        <f>IF(A330="","",Calculation!S336)</f>
        <v/>
      </c>
      <c r="M330" s="389" t="str">
        <f>IF(A330="","",Calculation!N336)</f>
        <v/>
      </c>
      <c r="N330" s="390" t="str">
        <f>IF(A330="","",Calculation!R336)</f>
        <v/>
      </c>
      <c r="O330" s="391" t="str">
        <f>IF(A330="","",Calculation!$F$6)</f>
        <v/>
      </c>
      <c r="P330" s="392" t="str">
        <f>IF(A330="","",Calculation!$F$7)</f>
        <v/>
      </c>
      <c r="Q330" s="393" t="str">
        <f>IF(A330="","",Calculation!$F$13)</f>
        <v/>
      </c>
      <c r="R330" s="394" t="str">
        <f>IF(A330="","",Calculation!X336)</f>
        <v/>
      </c>
      <c r="S330" s="393" t="str">
        <f>IF(A330="","",Calculation!T336)</f>
        <v/>
      </c>
      <c r="T330" s="395" t="str">
        <f>IF(A330="","",IF(Calculation!$O$8="None","Water",CONCATENATE(Calculation!$O$8,"-",Calculation!$S$8,"%")))</f>
        <v/>
      </c>
      <c r="U330" s="393" t="str">
        <f>IF(A330="","",Calculation!$P$6)</f>
        <v/>
      </c>
      <c r="V330" s="393" t="str">
        <f>IF(A330="","",Calculation!AT336)</f>
        <v/>
      </c>
      <c r="W330" s="396" t="str">
        <f>IF(A330="","",Calculation!AP336)</f>
        <v/>
      </c>
      <c r="X330" s="396" t="str">
        <f>IF(A330="","",Calculation!AO336)</f>
        <v/>
      </c>
      <c r="Y330" s="396" t="str">
        <f>IF(A330="","",Calculation!AQ336)</f>
        <v/>
      </c>
      <c r="Z330" s="396" t="str">
        <f>IF(A330="","",Calculation!$H$6)</f>
        <v/>
      </c>
      <c r="AA330" s="397" t="str">
        <f>IF(A330="","",Calculation!$H$13)</f>
        <v/>
      </c>
      <c r="AB330" s="397" t="str">
        <f>IF(A330="","",Calculation!U336)</f>
        <v/>
      </c>
      <c r="AC330" s="398" t="str">
        <f>IF(A330="","",IF(Calculation!$O$9="None","Water",CONCATENATE(Calculation!$O$9,"-",Calculation!$S$9,"%")))</f>
        <v/>
      </c>
      <c r="AD330" s="396" t="str">
        <f>IF(A330="","",Calculation!$S$6)</f>
        <v/>
      </c>
      <c r="AE330" s="399" t="str">
        <f>IF(A330="","",Calculation!BA336)</f>
        <v/>
      </c>
      <c r="AF330" s="396" t="str">
        <f>IF(A330="","",Calculation!AX336)</f>
        <v/>
      </c>
      <c r="AG330" s="396" t="str">
        <f>IF(A330="","",Calculation!AW336)</f>
        <v/>
      </c>
      <c r="AH330" s="391" t="str">
        <f>IF(A330="","",Calculation!AY336)</f>
        <v/>
      </c>
      <c r="AI330" s="391" t="str">
        <f>IF(A330="","",Calculation!Y336)</f>
        <v/>
      </c>
      <c r="AJ330" s="401" t="str">
        <f>IF(Calculation!BD336&gt;0,Calculation!BD336," ")</f>
        <v xml:space="preserve"> </v>
      </c>
      <c r="AK330" s="401" t="str">
        <f>IF(Calculation!BD336&gt;0,Calculation!BE336," ")</f>
        <v xml:space="preserve"> </v>
      </c>
      <c r="AL330" s="401" t="str">
        <f>IF(Calculation!BD336&gt;0,Calculation!BF336," ")</f>
        <v xml:space="preserve"> </v>
      </c>
      <c r="AM330" s="401" t="str">
        <f>IF(Calculation!BD336&gt;0,Calculation!BG336," ")</f>
        <v xml:space="preserve"> </v>
      </c>
      <c r="AN330" s="391" t="str">
        <f>IF(Calculation!BH336="N/A","N/A",Calculation!BH336)</f>
        <v xml:space="preserve"> </v>
      </c>
      <c r="AO330" s="402" t="str">
        <f>IF(Calculation!BI336="N/A","N/A",Calculation!BI336)</f>
        <v/>
      </c>
      <c r="AP330" s="391" t="str">
        <f>IF(Calculation!BJ336="N/A","N/A",Calculation!BJ336)</f>
        <v/>
      </c>
      <c r="AQ330" s="402" t="str">
        <f>IF(Calculation!BK336="N/A","N/A",Calculation!BK336)</f>
        <v/>
      </c>
      <c r="AR330" s="391" t="str">
        <f>IF(Calculation!BL336="N/A","N/A",Calculation!BL336)</f>
        <v/>
      </c>
      <c r="AS330" s="402" t="str">
        <f>IF(Calculation!BM336="N/A","N/A",Calculation!BM336)</f>
        <v/>
      </c>
      <c r="AT330" s="400"/>
    </row>
    <row r="331" spans="1:46">
      <c r="A331" s="224" t="str">
        <f>IF(Calculation!BN337="","",CONCATENATE(Calculation!BO337,"-",Calculation!R337,"-",Calculation!S337,"-",Calculation!T337,"-",Calculation!U337))</f>
        <v/>
      </c>
      <c r="B331" s="224">
        <v>316</v>
      </c>
      <c r="C331" s="629" t="str">
        <f>IF(A331="","",Calculation!B337)</f>
        <v/>
      </c>
      <c r="D331" s="386" t="str">
        <f>IF(A331="","",Calculation!L337)</f>
        <v/>
      </c>
      <c r="E331" s="387" t="str">
        <f>IF(A331="","",Calculation!J337)</f>
        <v/>
      </c>
      <c r="F331" s="387" t="str">
        <f>IF(A331="","",Calculation!C337)</f>
        <v/>
      </c>
      <c r="G331" s="387" t="str">
        <f>IF(A331="","",LEFT(Calculation!O337,6))</f>
        <v/>
      </c>
      <c r="H331" s="388" t="str">
        <f>IF(A331="","",Calculation!DX337)</f>
        <v/>
      </c>
      <c r="I331" s="387" t="str">
        <f>IF(A331="","",Calculation!P337)</f>
        <v/>
      </c>
      <c r="J331" s="387" t="str">
        <f>IF(A331="","",HLOOKUP(LEFT(Calculation!BO337,7),LookUps!$C$38:$M$41,4))</f>
        <v/>
      </c>
      <c r="K331" s="387" t="str">
        <f>IF(A331="","",Calculation!M337)</f>
        <v/>
      </c>
      <c r="L331" s="387" t="str">
        <f>IF(A331="","",Calculation!S337)</f>
        <v/>
      </c>
      <c r="M331" s="389" t="str">
        <f>IF(A331="","",Calculation!N337)</f>
        <v/>
      </c>
      <c r="N331" s="390" t="str">
        <f>IF(A331="","",Calculation!R337)</f>
        <v/>
      </c>
      <c r="O331" s="391" t="str">
        <f>IF(A331="","",Calculation!$F$6)</f>
        <v/>
      </c>
      <c r="P331" s="392" t="str">
        <f>IF(A331="","",Calculation!$F$7)</f>
        <v/>
      </c>
      <c r="Q331" s="393" t="str">
        <f>IF(A331="","",Calculation!$F$13)</f>
        <v/>
      </c>
      <c r="R331" s="394" t="str">
        <f>IF(A331="","",Calculation!X337)</f>
        <v/>
      </c>
      <c r="S331" s="393" t="str">
        <f>IF(A331="","",Calculation!T337)</f>
        <v/>
      </c>
      <c r="T331" s="395" t="str">
        <f>IF(A331="","",IF(Calculation!$O$8="None","Water",CONCATENATE(Calculation!$O$8,"-",Calculation!$S$8,"%")))</f>
        <v/>
      </c>
      <c r="U331" s="393" t="str">
        <f>IF(A331="","",Calculation!$P$6)</f>
        <v/>
      </c>
      <c r="V331" s="393" t="str">
        <f>IF(A331="","",Calculation!AT337)</f>
        <v/>
      </c>
      <c r="W331" s="396" t="str">
        <f>IF(A331="","",Calculation!AP337)</f>
        <v/>
      </c>
      <c r="X331" s="396" t="str">
        <f>IF(A331="","",Calculation!AO337)</f>
        <v/>
      </c>
      <c r="Y331" s="396" t="str">
        <f>IF(A331="","",Calculation!AQ337)</f>
        <v/>
      </c>
      <c r="Z331" s="396" t="str">
        <f>IF(A331="","",Calculation!$H$6)</f>
        <v/>
      </c>
      <c r="AA331" s="397" t="str">
        <f>IF(A331="","",Calculation!$H$13)</f>
        <v/>
      </c>
      <c r="AB331" s="397" t="str">
        <f>IF(A331="","",Calculation!U337)</f>
        <v/>
      </c>
      <c r="AC331" s="398" t="str">
        <f>IF(A331="","",IF(Calculation!$O$9="None","Water",CONCATENATE(Calculation!$O$9,"-",Calculation!$S$9,"%")))</f>
        <v/>
      </c>
      <c r="AD331" s="396" t="str">
        <f>IF(A331="","",Calculation!$S$6)</f>
        <v/>
      </c>
      <c r="AE331" s="399" t="str">
        <f>IF(A331="","",Calculation!BA337)</f>
        <v/>
      </c>
      <c r="AF331" s="396" t="str">
        <f>IF(A331="","",Calculation!AX337)</f>
        <v/>
      </c>
      <c r="AG331" s="396" t="str">
        <f>IF(A331="","",Calculation!AW337)</f>
        <v/>
      </c>
      <c r="AH331" s="391" t="str">
        <f>IF(A331="","",Calculation!AY337)</f>
        <v/>
      </c>
      <c r="AI331" s="391" t="str">
        <f>IF(A331="","",Calculation!Y337)</f>
        <v/>
      </c>
      <c r="AJ331" s="401" t="str">
        <f>IF(Calculation!BD337&gt;0,Calculation!BD337," ")</f>
        <v xml:space="preserve"> </v>
      </c>
      <c r="AK331" s="401" t="str">
        <f>IF(Calculation!BD337&gt;0,Calculation!BE337," ")</f>
        <v xml:space="preserve"> </v>
      </c>
      <c r="AL331" s="401" t="str">
        <f>IF(Calculation!BD337&gt;0,Calculation!BF337," ")</f>
        <v xml:space="preserve"> </v>
      </c>
      <c r="AM331" s="401" t="str">
        <f>IF(Calculation!BD337&gt;0,Calculation!BG337," ")</f>
        <v xml:space="preserve"> </v>
      </c>
      <c r="AN331" s="391" t="str">
        <f>IF(Calculation!BH337="N/A","N/A",Calculation!BH337)</f>
        <v xml:space="preserve"> </v>
      </c>
      <c r="AO331" s="402" t="str">
        <f>IF(Calculation!BI337="N/A","N/A",Calculation!BI337)</f>
        <v/>
      </c>
      <c r="AP331" s="391" t="str">
        <f>IF(Calculation!BJ337="N/A","N/A",Calculation!BJ337)</f>
        <v/>
      </c>
      <c r="AQ331" s="402" t="str">
        <f>IF(Calculation!BK337="N/A","N/A",Calculation!BK337)</f>
        <v/>
      </c>
      <c r="AR331" s="391" t="str">
        <f>IF(Calculation!BL337="N/A","N/A",Calculation!BL337)</f>
        <v/>
      </c>
      <c r="AS331" s="402" t="str">
        <f>IF(Calculation!BM337="N/A","N/A",Calculation!BM337)</f>
        <v/>
      </c>
      <c r="AT331" s="400"/>
    </row>
    <row r="332" spans="1:46">
      <c r="A332" s="224" t="str">
        <f>IF(Calculation!BN338="","",CONCATENATE(Calculation!BO338,"-",Calculation!R338,"-",Calculation!S338,"-",Calculation!T338,"-",Calculation!U338))</f>
        <v/>
      </c>
      <c r="B332" s="224">
        <v>317</v>
      </c>
      <c r="C332" s="629" t="str">
        <f>IF(A332="","",Calculation!B338)</f>
        <v/>
      </c>
      <c r="D332" s="386" t="str">
        <f>IF(A332="","",Calculation!L338)</f>
        <v/>
      </c>
      <c r="E332" s="387" t="str">
        <f>IF(A332="","",Calculation!J338)</f>
        <v/>
      </c>
      <c r="F332" s="387" t="str">
        <f>IF(A332="","",Calculation!C338)</f>
        <v/>
      </c>
      <c r="G332" s="387" t="str">
        <f>IF(A332="","",LEFT(Calculation!O338,6))</f>
        <v/>
      </c>
      <c r="H332" s="388" t="str">
        <f>IF(A332="","",Calculation!DX338)</f>
        <v/>
      </c>
      <c r="I332" s="387" t="str">
        <f>IF(A332="","",Calculation!P338)</f>
        <v/>
      </c>
      <c r="J332" s="387" t="str">
        <f>IF(A332="","",HLOOKUP(LEFT(Calculation!BO338,7),LookUps!$C$38:$M$41,4))</f>
        <v/>
      </c>
      <c r="K332" s="387" t="str">
        <f>IF(A332="","",Calculation!M338)</f>
        <v/>
      </c>
      <c r="L332" s="387" t="str">
        <f>IF(A332="","",Calculation!S338)</f>
        <v/>
      </c>
      <c r="M332" s="389" t="str">
        <f>IF(A332="","",Calculation!N338)</f>
        <v/>
      </c>
      <c r="N332" s="390" t="str">
        <f>IF(A332="","",Calculation!R338)</f>
        <v/>
      </c>
      <c r="O332" s="391" t="str">
        <f>IF(A332="","",Calculation!$F$6)</f>
        <v/>
      </c>
      <c r="P332" s="392" t="str">
        <f>IF(A332="","",Calculation!$F$7)</f>
        <v/>
      </c>
      <c r="Q332" s="393" t="str">
        <f>IF(A332="","",Calculation!$F$13)</f>
        <v/>
      </c>
      <c r="R332" s="394" t="str">
        <f>IF(A332="","",Calculation!X338)</f>
        <v/>
      </c>
      <c r="S332" s="393" t="str">
        <f>IF(A332="","",Calculation!T338)</f>
        <v/>
      </c>
      <c r="T332" s="395" t="str">
        <f>IF(A332="","",IF(Calculation!$O$8="None","Water",CONCATENATE(Calculation!$O$8,"-",Calculation!$S$8,"%")))</f>
        <v/>
      </c>
      <c r="U332" s="393" t="str">
        <f>IF(A332="","",Calculation!$P$6)</f>
        <v/>
      </c>
      <c r="V332" s="393" t="str">
        <f>IF(A332="","",Calculation!AT338)</f>
        <v/>
      </c>
      <c r="W332" s="396" t="str">
        <f>IF(A332="","",Calculation!AP338)</f>
        <v/>
      </c>
      <c r="X332" s="396" t="str">
        <f>IF(A332="","",Calculation!AO338)</f>
        <v/>
      </c>
      <c r="Y332" s="396" t="str">
        <f>IF(A332="","",Calculation!AQ338)</f>
        <v/>
      </c>
      <c r="Z332" s="396" t="str">
        <f>IF(A332="","",Calculation!$H$6)</f>
        <v/>
      </c>
      <c r="AA332" s="397" t="str">
        <f>IF(A332="","",Calculation!$H$13)</f>
        <v/>
      </c>
      <c r="AB332" s="397" t="str">
        <f>IF(A332="","",Calculation!U338)</f>
        <v/>
      </c>
      <c r="AC332" s="398" t="str">
        <f>IF(A332="","",IF(Calculation!$O$9="None","Water",CONCATENATE(Calculation!$O$9,"-",Calculation!$S$9,"%")))</f>
        <v/>
      </c>
      <c r="AD332" s="396" t="str">
        <f>IF(A332="","",Calculation!$S$6)</f>
        <v/>
      </c>
      <c r="AE332" s="399" t="str">
        <f>IF(A332="","",Calculation!BA338)</f>
        <v/>
      </c>
      <c r="AF332" s="396" t="str">
        <f>IF(A332="","",Calculation!AX338)</f>
        <v/>
      </c>
      <c r="AG332" s="396" t="str">
        <f>IF(A332="","",Calculation!AW338)</f>
        <v/>
      </c>
      <c r="AH332" s="391" t="str">
        <f>IF(A332="","",Calculation!AY338)</f>
        <v/>
      </c>
      <c r="AI332" s="391" t="str">
        <f>IF(A332="","",Calculation!Y338)</f>
        <v/>
      </c>
      <c r="AJ332" s="401" t="str">
        <f>IF(Calculation!BD338&gt;0,Calculation!BD338," ")</f>
        <v xml:space="preserve"> </v>
      </c>
      <c r="AK332" s="401" t="str">
        <f>IF(Calculation!BD338&gt;0,Calculation!BE338," ")</f>
        <v xml:space="preserve"> </v>
      </c>
      <c r="AL332" s="401" t="str">
        <f>IF(Calculation!BD338&gt;0,Calculation!BF338," ")</f>
        <v xml:space="preserve"> </v>
      </c>
      <c r="AM332" s="401" t="str">
        <f>IF(Calculation!BD338&gt;0,Calculation!BG338," ")</f>
        <v xml:space="preserve"> </v>
      </c>
      <c r="AN332" s="391" t="str">
        <f>IF(Calculation!BH338="N/A","N/A",Calculation!BH338)</f>
        <v xml:space="preserve"> </v>
      </c>
      <c r="AO332" s="402" t="str">
        <f>IF(Calculation!BI338="N/A","N/A",Calculation!BI338)</f>
        <v/>
      </c>
      <c r="AP332" s="391" t="str">
        <f>IF(Calculation!BJ338="N/A","N/A",Calculation!BJ338)</f>
        <v/>
      </c>
      <c r="AQ332" s="402" t="str">
        <f>IF(Calculation!BK338="N/A","N/A",Calculation!BK338)</f>
        <v/>
      </c>
      <c r="AR332" s="391" t="str">
        <f>IF(Calculation!BL338="N/A","N/A",Calculation!BL338)</f>
        <v/>
      </c>
      <c r="AS332" s="402" t="str">
        <f>IF(Calculation!BM338="N/A","N/A",Calculation!BM338)</f>
        <v/>
      </c>
      <c r="AT332" s="400"/>
    </row>
    <row r="333" spans="1:46">
      <c r="A333" s="224" t="str">
        <f>IF(Calculation!BN339="","",CONCATENATE(Calculation!BO339,"-",Calculation!R339,"-",Calculation!S339,"-",Calculation!T339,"-",Calculation!U339))</f>
        <v/>
      </c>
      <c r="B333" s="224">
        <v>318</v>
      </c>
      <c r="C333" s="629" t="str">
        <f>IF(A333="","",Calculation!B339)</f>
        <v/>
      </c>
      <c r="D333" s="386" t="str">
        <f>IF(A333="","",Calculation!L339)</f>
        <v/>
      </c>
      <c r="E333" s="387" t="str">
        <f>IF(A333="","",Calculation!J339)</f>
        <v/>
      </c>
      <c r="F333" s="387" t="str">
        <f>IF(A333="","",Calculation!C339)</f>
        <v/>
      </c>
      <c r="G333" s="387" t="str">
        <f>IF(A333="","",LEFT(Calculation!O339,6))</f>
        <v/>
      </c>
      <c r="H333" s="388" t="str">
        <f>IF(A333="","",Calculation!DX339)</f>
        <v/>
      </c>
      <c r="I333" s="387" t="str">
        <f>IF(A333="","",Calculation!P339)</f>
        <v/>
      </c>
      <c r="J333" s="387" t="str">
        <f>IF(A333="","",HLOOKUP(LEFT(Calculation!BO339,7),LookUps!$C$38:$M$41,4))</f>
        <v/>
      </c>
      <c r="K333" s="387" t="str">
        <f>IF(A333="","",Calculation!M339)</f>
        <v/>
      </c>
      <c r="L333" s="387" t="str">
        <f>IF(A333="","",Calculation!S339)</f>
        <v/>
      </c>
      <c r="M333" s="389" t="str">
        <f>IF(A333="","",Calculation!N339)</f>
        <v/>
      </c>
      <c r="N333" s="390" t="str">
        <f>IF(A333="","",Calculation!R339)</f>
        <v/>
      </c>
      <c r="O333" s="391" t="str">
        <f>IF(A333="","",Calculation!$F$6)</f>
        <v/>
      </c>
      <c r="P333" s="392" t="str">
        <f>IF(A333="","",Calculation!$F$7)</f>
        <v/>
      </c>
      <c r="Q333" s="393" t="str">
        <f>IF(A333="","",Calculation!$F$13)</f>
        <v/>
      </c>
      <c r="R333" s="394" t="str">
        <f>IF(A333="","",Calculation!X339)</f>
        <v/>
      </c>
      <c r="S333" s="393" t="str">
        <f>IF(A333="","",Calculation!T339)</f>
        <v/>
      </c>
      <c r="T333" s="395" t="str">
        <f>IF(A333="","",IF(Calculation!$O$8="None","Water",CONCATENATE(Calculation!$O$8,"-",Calculation!$S$8,"%")))</f>
        <v/>
      </c>
      <c r="U333" s="393" t="str">
        <f>IF(A333="","",Calculation!$P$6)</f>
        <v/>
      </c>
      <c r="V333" s="393" t="str">
        <f>IF(A333="","",Calculation!AT339)</f>
        <v/>
      </c>
      <c r="W333" s="396" t="str">
        <f>IF(A333="","",Calculation!AP339)</f>
        <v/>
      </c>
      <c r="X333" s="396" t="str">
        <f>IF(A333="","",Calculation!AO339)</f>
        <v/>
      </c>
      <c r="Y333" s="396" t="str">
        <f>IF(A333="","",Calculation!AQ339)</f>
        <v/>
      </c>
      <c r="Z333" s="396" t="str">
        <f>IF(A333="","",Calculation!$H$6)</f>
        <v/>
      </c>
      <c r="AA333" s="397" t="str">
        <f>IF(A333="","",Calculation!$H$13)</f>
        <v/>
      </c>
      <c r="AB333" s="397" t="str">
        <f>IF(A333="","",Calculation!U339)</f>
        <v/>
      </c>
      <c r="AC333" s="398" t="str">
        <f>IF(A333="","",IF(Calculation!$O$9="None","Water",CONCATENATE(Calculation!$O$9,"-",Calculation!$S$9,"%")))</f>
        <v/>
      </c>
      <c r="AD333" s="396" t="str">
        <f>IF(A333="","",Calculation!$S$6)</f>
        <v/>
      </c>
      <c r="AE333" s="399" t="str">
        <f>IF(A333="","",Calculation!BA339)</f>
        <v/>
      </c>
      <c r="AF333" s="396" t="str">
        <f>IF(A333="","",Calculation!AX339)</f>
        <v/>
      </c>
      <c r="AG333" s="396" t="str">
        <f>IF(A333="","",Calculation!AW339)</f>
        <v/>
      </c>
      <c r="AH333" s="391" t="str">
        <f>IF(A333="","",Calculation!AY339)</f>
        <v/>
      </c>
      <c r="AI333" s="391" t="str">
        <f>IF(A333="","",Calculation!Y339)</f>
        <v/>
      </c>
      <c r="AJ333" s="401" t="str">
        <f>IF(Calculation!BD339&gt;0,Calculation!BD339," ")</f>
        <v xml:space="preserve"> </v>
      </c>
      <c r="AK333" s="401" t="str">
        <f>IF(Calculation!BD339&gt;0,Calculation!BE339," ")</f>
        <v xml:space="preserve"> </v>
      </c>
      <c r="AL333" s="401" t="str">
        <f>IF(Calculation!BD339&gt;0,Calculation!BF339," ")</f>
        <v xml:space="preserve"> </v>
      </c>
      <c r="AM333" s="401" t="str">
        <f>IF(Calculation!BD339&gt;0,Calculation!BG339," ")</f>
        <v xml:space="preserve"> </v>
      </c>
      <c r="AN333" s="391" t="str">
        <f>IF(Calculation!BH339="N/A","N/A",Calculation!BH339)</f>
        <v xml:space="preserve"> </v>
      </c>
      <c r="AO333" s="402" t="str">
        <f>IF(Calculation!BI339="N/A","N/A",Calculation!BI339)</f>
        <v/>
      </c>
      <c r="AP333" s="391" t="str">
        <f>IF(Calculation!BJ339="N/A","N/A",Calculation!BJ339)</f>
        <v/>
      </c>
      <c r="AQ333" s="402" t="str">
        <f>IF(Calculation!BK339="N/A","N/A",Calculation!BK339)</f>
        <v/>
      </c>
      <c r="AR333" s="391" t="str">
        <f>IF(Calculation!BL339="N/A","N/A",Calculation!BL339)</f>
        <v/>
      </c>
      <c r="AS333" s="402" t="str">
        <f>IF(Calculation!BM339="N/A","N/A",Calculation!BM339)</f>
        <v/>
      </c>
      <c r="AT333" s="400"/>
    </row>
    <row r="334" spans="1:46">
      <c r="A334" s="224" t="str">
        <f>IF(Calculation!BN340="","",CONCATENATE(Calculation!BO340,"-",Calculation!R340,"-",Calculation!S340,"-",Calculation!T340,"-",Calculation!U340))</f>
        <v/>
      </c>
      <c r="B334" s="224">
        <v>319</v>
      </c>
      <c r="C334" s="629" t="str">
        <f>IF(A334="","",Calculation!B340)</f>
        <v/>
      </c>
      <c r="D334" s="386" t="str">
        <f>IF(A334="","",Calculation!L340)</f>
        <v/>
      </c>
      <c r="E334" s="387" t="str">
        <f>IF(A334="","",Calculation!J340)</f>
        <v/>
      </c>
      <c r="F334" s="387" t="str">
        <f>IF(A334="","",Calculation!C340)</f>
        <v/>
      </c>
      <c r="G334" s="387" t="str">
        <f>IF(A334="","",LEFT(Calculation!O340,6))</f>
        <v/>
      </c>
      <c r="H334" s="388" t="str">
        <f>IF(A334="","",Calculation!DX340)</f>
        <v/>
      </c>
      <c r="I334" s="387" t="str">
        <f>IF(A334="","",Calculation!P340)</f>
        <v/>
      </c>
      <c r="J334" s="387" t="str">
        <f>IF(A334="","",HLOOKUP(LEFT(Calculation!BO340,7),LookUps!$C$38:$M$41,4))</f>
        <v/>
      </c>
      <c r="K334" s="387" t="str">
        <f>IF(A334="","",Calculation!M340)</f>
        <v/>
      </c>
      <c r="L334" s="387" t="str">
        <f>IF(A334="","",Calculation!S340)</f>
        <v/>
      </c>
      <c r="M334" s="389" t="str">
        <f>IF(A334="","",Calculation!N340)</f>
        <v/>
      </c>
      <c r="N334" s="390" t="str">
        <f>IF(A334="","",Calculation!R340)</f>
        <v/>
      </c>
      <c r="O334" s="391" t="str">
        <f>IF(A334="","",Calculation!$F$6)</f>
        <v/>
      </c>
      <c r="P334" s="392" t="str">
        <f>IF(A334="","",Calculation!$F$7)</f>
        <v/>
      </c>
      <c r="Q334" s="393" t="str">
        <f>IF(A334="","",Calculation!$F$13)</f>
        <v/>
      </c>
      <c r="R334" s="394" t="str">
        <f>IF(A334="","",Calculation!X340)</f>
        <v/>
      </c>
      <c r="S334" s="393" t="str">
        <f>IF(A334="","",Calculation!T340)</f>
        <v/>
      </c>
      <c r="T334" s="395" t="str">
        <f>IF(A334="","",IF(Calculation!$O$8="None","Water",CONCATENATE(Calculation!$O$8,"-",Calculation!$S$8,"%")))</f>
        <v/>
      </c>
      <c r="U334" s="393" t="str">
        <f>IF(A334="","",Calculation!$P$6)</f>
        <v/>
      </c>
      <c r="V334" s="393" t="str">
        <f>IF(A334="","",Calculation!AT340)</f>
        <v/>
      </c>
      <c r="W334" s="396" t="str">
        <f>IF(A334="","",Calculation!AP340)</f>
        <v/>
      </c>
      <c r="X334" s="396" t="str">
        <f>IF(A334="","",Calculation!AO340)</f>
        <v/>
      </c>
      <c r="Y334" s="396" t="str">
        <f>IF(A334="","",Calculation!AQ340)</f>
        <v/>
      </c>
      <c r="Z334" s="396" t="str">
        <f>IF(A334="","",Calculation!$H$6)</f>
        <v/>
      </c>
      <c r="AA334" s="397" t="str">
        <f>IF(A334="","",Calculation!$H$13)</f>
        <v/>
      </c>
      <c r="AB334" s="397" t="str">
        <f>IF(A334="","",Calculation!U340)</f>
        <v/>
      </c>
      <c r="AC334" s="398" t="str">
        <f>IF(A334="","",IF(Calculation!$O$9="None","Water",CONCATENATE(Calculation!$O$9,"-",Calculation!$S$9,"%")))</f>
        <v/>
      </c>
      <c r="AD334" s="396" t="str">
        <f>IF(A334="","",Calculation!$S$6)</f>
        <v/>
      </c>
      <c r="AE334" s="399" t="str">
        <f>IF(A334="","",Calculation!BA340)</f>
        <v/>
      </c>
      <c r="AF334" s="396" t="str">
        <f>IF(A334="","",Calculation!AX340)</f>
        <v/>
      </c>
      <c r="AG334" s="396" t="str">
        <f>IF(A334="","",Calculation!AW340)</f>
        <v/>
      </c>
      <c r="AH334" s="391" t="str">
        <f>IF(A334="","",Calculation!AY340)</f>
        <v/>
      </c>
      <c r="AI334" s="391" t="str">
        <f>IF(A334="","",Calculation!Y340)</f>
        <v/>
      </c>
      <c r="AJ334" s="401" t="str">
        <f>IF(Calculation!BD340&gt;0,Calculation!BD340," ")</f>
        <v xml:space="preserve"> </v>
      </c>
      <c r="AK334" s="401" t="str">
        <f>IF(Calculation!BD340&gt;0,Calculation!BE340," ")</f>
        <v xml:space="preserve"> </v>
      </c>
      <c r="AL334" s="401" t="str">
        <f>IF(Calculation!BD340&gt;0,Calculation!BF340," ")</f>
        <v xml:space="preserve"> </v>
      </c>
      <c r="AM334" s="401" t="str">
        <f>IF(Calculation!BD340&gt;0,Calculation!BG340," ")</f>
        <v xml:space="preserve"> </v>
      </c>
      <c r="AN334" s="391" t="str">
        <f>IF(Calculation!BH340="N/A","N/A",Calculation!BH340)</f>
        <v xml:space="preserve"> </v>
      </c>
      <c r="AO334" s="402" t="str">
        <f>IF(Calculation!BI340="N/A","N/A",Calculation!BI340)</f>
        <v/>
      </c>
      <c r="AP334" s="391" t="str">
        <f>IF(Calculation!BJ340="N/A","N/A",Calculation!BJ340)</f>
        <v/>
      </c>
      <c r="AQ334" s="402" t="str">
        <f>IF(Calculation!BK340="N/A","N/A",Calculation!BK340)</f>
        <v/>
      </c>
      <c r="AR334" s="391" t="str">
        <f>IF(Calculation!BL340="N/A","N/A",Calculation!BL340)</f>
        <v/>
      </c>
      <c r="AS334" s="402" t="str">
        <f>IF(Calculation!BM340="N/A","N/A",Calculation!BM340)</f>
        <v/>
      </c>
      <c r="AT334" s="400"/>
    </row>
    <row r="335" spans="1:46">
      <c r="A335" s="224" t="str">
        <f>IF(Calculation!BN341="","",CONCATENATE(Calculation!BO341,"-",Calculation!R341,"-",Calculation!S341,"-",Calculation!T341,"-",Calculation!U341))</f>
        <v/>
      </c>
      <c r="B335" s="224">
        <v>320</v>
      </c>
      <c r="C335" s="629" t="str">
        <f>IF(A335="","",Calculation!B341)</f>
        <v/>
      </c>
      <c r="D335" s="386" t="str">
        <f>IF(A335="","",Calculation!L341)</f>
        <v/>
      </c>
      <c r="E335" s="387" t="str">
        <f>IF(A335="","",Calculation!J341)</f>
        <v/>
      </c>
      <c r="F335" s="387" t="str">
        <f>IF(A335="","",Calculation!C341)</f>
        <v/>
      </c>
      <c r="G335" s="387" t="str">
        <f>IF(A335="","",LEFT(Calculation!O341,6))</f>
        <v/>
      </c>
      <c r="H335" s="388" t="str">
        <f>IF(A335="","",Calculation!DX341)</f>
        <v/>
      </c>
      <c r="I335" s="387" t="str">
        <f>IF(A335="","",Calculation!P341)</f>
        <v/>
      </c>
      <c r="J335" s="387" t="str">
        <f>IF(A335="","",HLOOKUP(LEFT(Calculation!BO341,7),LookUps!$C$38:$M$41,4))</f>
        <v/>
      </c>
      <c r="K335" s="387" t="str">
        <f>IF(A335="","",Calculation!M341)</f>
        <v/>
      </c>
      <c r="L335" s="387" t="str">
        <f>IF(A335="","",Calculation!S341)</f>
        <v/>
      </c>
      <c r="M335" s="389" t="str">
        <f>IF(A335="","",Calculation!N341)</f>
        <v/>
      </c>
      <c r="N335" s="390" t="str">
        <f>IF(A335="","",Calculation!R341)</f>
        <v/>
      </c>
      <c r="O335" s="391" t="str">
        <f>IF(A335="","",Calculation!$F$6)</f>
        <v/>
      </c>
      <c r="P335" s="392" t="str">
        <f>IF(A335="","",Calculation!$F$7)</f>
        <v/>
      </c>
      <c r="Q335" s="393" t="str">
        <f>IF(A335="","",Calculation!$F$13)</f>
        <v/>
      </c>
      <c r="R335" s="394" t="str">
        <f>IF(A335="","",Calculation!X341)</f>
        <v/>
      </c>
      <c r="S335" s="393" t="str">
        <f>IF(A335="","",Calculation!T341)</f>
        <v/>
      </c>
      <c r="T335" s="395" t="str">
        <f>IF(A335="","",IF(Calculation!$O$8="None","Water",CONCATENATE(Calculation!$O$8,"-",Calculation!$S$8,"%")))</f>
        <v/>
      </c>
      <c r="U335" s="393" t="str">
        <f>IF(A335="","",Calculation!$P$6)</f>
        <v/>
      </c>
      <c r="V335" s="393" t="str">
        <f>IF(A335="","",Calculation!AT341)</f>
        <v/>
      </c>
      <c r="W335" s="396" t="str">
        <f>IF(A335="","",Calculation!AP341)</f>
        <v/>
      </c>
      <c r="X335" s="396" t="str">
        <f>IF(A335="","",Calculation!AO341)</f>
        <v/>
      </c>
      <c r="Y335" s="396" t="str">
        <f>IF(A335="","",Calculation!AQ341)</f>
        <v/>
      </c>
      <c r="Z335" s="396" t="str">
        <f>IF(A335="","",Calculation!$H$6)</f>
        <v/>
      </c>
      <c r="AA335" s="397" t="str">
        <f>IF(A335="","",Calculation!$H$13)</f>
        <v/>
      </c>
      <c r="AB335" s="397" t="str">
        <f>IF(A335="","",Calculation!U341)</f>
        <v/>
      </c>
      <c r="AC335" s="398" t="str">
        <f>IF(A335="","",IF(Calculation!$O$9="None","Water",CONCATENATE(Calculation!$O$9,"-",Calculation!$S$9,"%")))</f>
        <v/>
      </c>
      <c r="AD335" s="396" t="str">
        <f>IF(A335="","",Calculation!$S$6)</f>
        <v/>
      </c>
      <c r="AE335" s="399" t="str">
        <f>IF(A335="","",Calculation!BA341)</f>
        <v/>
      </c>
      <c r="AF335" s="396" t="str">
        <f>IF(A335="","",Calculation!AX341)</f>
        <v/>
      </c>
      <c r="AG335" s="396" t="str">
        <f>IF(A335="","",Calculation!AW341)</f>
        <v/>
      </c>
      <c r="AH335" s="391" t="str">
        <f>IF(A335="","",Calculation!AY341)</f>
        <v/>
      </c>
      <c r="AI335" s="391" t="str">
        <f>IF(A335="","",Calculation!Y341)</f>
        <v/>
      </c>
      <c r="AJ335" s="401" t="str">
        <f>IF(Calculation!BD341&gt;0,Calculation!BD341," ")</f>
        <v xml:space="preserve"> </v>
      </c>
      <c r="AK335" s="401" t="str">
        <f>IF(Calculation!BD341&gt;0,Calculation!BE341," ")</f>
        <v xml:space="preserve"> </v>
      </c>
      <c r="AL335" s="401" t="str">
        <f>IF(Calculation!BD341&gt;0,Calculation!BF341," ")</f>
        <v xml:space="preserve"> </v>
      </c>
      <c r="AM335" s="401" t="str">
        <f>IF(Calculation!BD341&gt;0,Calculation!BG341," ")</f>
        <v xml:space="preserve"> </v>
      </c>
      <c r="AN335" s="391" t="str">
        <f>IF(Calculation!BH341="N/A","N/A",Calculation!BH341)</f>
        <v xml:space="preserve"> </v>
      </c>
      <c r="AO335" s="402" t="str">
        <f>IF(Calculation!BI341="N/A","N/A",Calculation!BI341)</f>
        <v/>
      </c>
      <c r="AP335" s="391" t="str">
        <f>IF(Calculation!BJ341="N/A","N/A",Calculation!BJ341)</f>
        <v/>
      </c>
      <c r="AQ335" s="402" t="str">
        <f>IF(Calculation!BK341="N/A","N/A",Calculation!BK341)</f>
        <v/>
      </c>
      <c r="AR335" s="391" t="str">
        <f>IF(Calculation!BL341="N/A","N/A",Calculation!BL341)</f>
        <v/>
      </c>
      <c r="AS335" s="402" t="str">
        <f>IF(Calculation!BM341="N/A","N/A",Calculation!BM341)</f>
        <v/>
      </c>
      <c r="AT335" s="400"/>
    </row>
    <row r="336" spans="1:46">
      <c r="A336" s="224" t="str">
        <f>IF(Calculation!BN342="","",CONCATENATE(Calculation!BO342,"-",Calculation!R342,"-",Calculation!S342,"-",Calculation!T342,"-",Calculation!U342))</f>
        <v/>
      </c>
      <c r="B336" s="224">
        <v>321</v>
      </c>
      <c r="C336" s="629" t="str">
        <f>IF(A336="","",Calculation!B342)</f>
        <v/>
      </c>
      <c r="D336" s="386" t="str">
        <f>IF(A336="","",Calculation!L342)</f>
        <v/>
      </c>
      <c r="E336" s="387" t="str">
        <f>IF(A336="","",Calculation!J342)</f>
        <v/>
      </c>
      <c r="F336" s="387" t="str">
        <f>IF(A336="","",Calculation!C342)</f>
        <v/>
      </c>
      <c r="G336" s="387" t="str">
        <f>IF(A336="","",LEFT(Calculation!O342,6))</f>
        <v/>
      </c>
      <c r="H336" s="388" t="str">
        <f>IF(A336="","",Calculation!DX342)</f>
        <v/>
      </c>
      <c r="I336" s="387" t="str">
        <f>IF(A336="","",Calculation!P342)</f>
        <v/>
      </c>
      <c r="J336" s="387" t="str">
        <f>IF(A336="","",HLOOKUP(LEFT(Calculation!BO342,7),LookUps!$C$38:$M$41,4))</f>
        <v/>
      </c>
      <c r="K336" s="387" t="str">
        <f>IF(A336="","",Calculation!M342)</f>
        <v/>
      </c>
      <c r="L336" s="387" t="str">
        <f>IF(A336="","",Calculation!S342)</f>
        <v/>
      </c>
      <c r="M336" s="389" t="str">
        <f>IF(A336="","",Calculation!N342)</f>
        <v/>
      </c>
      <c r="N336" s="390" t="str">
        <f>IF(A336="","",Calculation!R342)</f>
        <v/>
      </c>
      <c r="O336" s="391" t="str">
        <f>IF(A336="","",Calculation!$F$6)</f>
        <v/>
      </c>
      <c r="P336" s="392" t="str">
        <f>IF(A336="","",Calculation!$F$7)</f>
        <v/>
      </c>
      <c r="Q336" s="393" t="str">
        <f>IF(A336="","",Calculation!$F$13)</f>
        <v/>
      </c>
      <c r="R336" s="394" t="str">
        <f>IF(A336="","",Calculation!X342)</f>
        <v/>
      </c>
      <c r="S336" s="393" t="str">
        <f>IF(A336="","",Calculation!T342)</f>
        <v/>
      </c>
      <c r="T336" s="395" t="str">
        <f>IF(A336="","",IF(Calculation!$O$8="None","Water",CONCATENATE(Calculation!$O$8,"-",Calculation!$S$8,"%")))</f>
        <v/>
      </c>
      <c r="U336" s="393" t="str">
        <f>IF(A336="","",Calculation!$P$6)</f>
        <v/>
      </c>
      <c r="V336" s="393" t="str">
        <f>IF(A336="","",Calculation!AT342)</f>
        <v/>
      </c>
      <c r="W336" s="396" t="str">
        <f>IF(A336="","",Calculation!AP342)</f>
        <v/>
      </c>
      <c r="X336" s="396" t="str">
        <f>IF(A336="","",Calculation!AO342)</f>
        <v/>
      </c>
      <c r="Y336" s="396" t="str">
        <f>IF(A336="","",Calculation!AQ342)</f>
        <v/>
      </c>
      <c r="Z336" s="396" t="str">
        <f>IF(A336="","",Calculation!$H$6)</f>
        <v/>
      </c>
      <c r="AA336" s="397" t="str">
        <f>IF(A336="","",Calculation!$H$13)</f>
        <v/>
      </c>
      <c r="AB336" s="397" t="str">
        <f>IF(A336="","",Calculation!U342)</f>
        <v/>
      </c>
      <c r="AC336" s="398" t="str">
        <f>IF(A336="","",IF(Calculation!$O$9="None","Water",CONCATENATE(Calculation!$O$9,"-",Calculation!$S$9,"%")))</f>
        <v/>
      </c>
      <c r="AD336" s="396" t="str">
        <f>IF(A336="","",Calculation!$S$6)</f>
        <v/>
      </c>
      <c r="AE336" s="399" t="str">
        <f>IF(A336="","",Calculation!BA342)</f>
        <v/>
      </c>
      <c r="AF336" s="396" t="str">
        <f>IF(A336="","",Calculation!AX342)</f>
        <v/>
      </c>
      <c r="AG336" s="396" t="str">
        <f>IF(A336="","",Calculation!AW342)</f>
        <v/>
      </c>
      <c r="AH336" s="391" t="str">
        <f>IF(A336="","",Calculation!AY342)</f>
        <v/>
      </c>
      <c r="AI336" s="391" t="str">
        <f>IF(A336="","",Calculation!Y342)</f>
        <v/>
      </c>
      <c r="AJ336" s="401" t="str">
        <f>IF(Calculation!BD342&gt;0,Calculation!BD342," ")</f>
        <v xml:space="preserve"> </v>
      </c>
      <c r="AK336" s="401" t="str">
        <f>IF(Calculation!BD342&gt;0,Calculation!BE342," ")</f>
        <v xml:space="preserve"> </v>
      </c>
      <c r="AL336" s="401" t="str">
        <f>IF(Calculation!BD342&gt;0,Calculation!BF342," ")</f>
        <v xml:space="preserve"> </v>
      </c>
      <c r="AM336" s="401" t="str">
        <f>IF(Calculation!BD342&gt;0,Calculation!BG342," ")</f>
        <v xml:space="preserve"> </v>
      </c>
      <c r="AN336" s="391" t="str">
        <f>IF(Calculation!BH342="N/A","N/A",Calculation!BH342)</f>
        <v xml:space="preserve"> </v>
      </c>
      <c r="AO336" s="402" t="str">
        <f>IF(Calculation!BI342="N/A","N/A",Calculation!BI342)</f>
        <v/>
      </c>
      <c r="AP336" s="391" t="str">
        <f>IF(Calculation!BJ342="N/A","N/A",Calculation!BJ342)</f>
        <v/>
      </c>
      <c r="AQ336" s="402" t="str">
        <f>IF(Calculation!BK342="N/A","N/A",Calculation!BK342)</f>
        <v/>
      </c>
      <c r="AR336" s="391" t="str">
        <f>IF(Calculation!BL342="N/A","N/A",Calculation!BL342)</f>
        <v/>
      </c>
      <c r="AS336" s="402" t="str">
        <f>IF(Calculation!BM342="N/A","N/A",Calculation!BM342)</f>
        <v/>
      </c>
      <c r="AT336" s="400"/>
    </row>
    <row r="337" spans="1:46">
      <c r="A337" s="224" t="str">
        <f>IF(Calculation!BN343="","",CONCATENATE(Calculation!BO343,"-",Calculation!R343,"-",Calculation!S343,"-",Calculation!T343,"-",Calculation!U343))</f>
        <v/>
      </c>
      <c r="B337" s="224">
        <v>322</v>
      </c>
      <c r="C337" s="629" t="str">
        <f>IF(A337="","",Calculation!B343)</f>
        <v/>
      </c>
      <c r="D337" s="386" t="str">
        <f>IF(A337="","",Calculation!L343)</f>
        <v/>
      </c>
      <c r="E337" s="387" t="str">
        <f>IF(A337="","",Calculation!J343)</f>
        <v/>
      </c>
      <c r="F337" s="387" t="str">
        <f>IF(A337="","",Calculation!C343)</f>
        <v/>
      </c>
      <c r="G337" s="387" t="str">
        <f>IF(A337="","",LEFT(Calculation!O343,6))</f>
        <v/>
      </c>
      <c r="H337" s="388" t="str">
        <f>IF(A337="","",Calculation!DX343)</f>
        <v/>
      </c>
      <c r="I337" s="387" t="str">
        <f>IF(A337="","",Calculation!P343)</f>
        <v/>
      </c>
      <c r="J337" s="387" t="str">
        <f>IF(A337="","",HLOOKUP(LEFT(Calculation!BO343,7),LookUps!$C$38:$M$41,4))</f>
        <v/>
      </c>
      <c r="K337" s="387" t="str">
        <f>IF(A337="","",Calculation!M343)</f>
        <v/>
      </c>
      <c r="L337" s="387" t="str">
        <f>IF(A337="","",Calculation!S343)</f>
        <v/>
      </c>
      <c r="M337" s="389" t="str">
        <f>IF(A337="","",Calculation!N343)</f>
        <v/>
      </c>
      <c r="N337" s="390" t="str">
        <f>IF(A337="","",Calculation!R343)</f>
        <v/>
      </c>
      <c r="O337" s="391" t="str">
        <f>IF(A337="","",Calculation!$F$6)</f>
        <v/>
      </c>
      <c r="P337" s="392" t="str">
        <f>IF(A337="","",Calculation!$F$7)</f>
        <v/>
      </c>
      <c r="Q337" s="393" t="str">
        <f>IF(A337="","",Calculation!$F$13)</f>
        <v/>
      </c>
      <c r="R337" s="394" t="str">
        <f>IF(A337="","",Calculation!X343)</f>
        <v/>
      </c>
      <c r="S337" s="393" t="str">
        <f>IF(A337="","",Calculation!T343)</f>
        <v/>
      </c>
      <c r="T337" s="395" t="str">
        <f>IF(A337="","",IF(Calculation!$O$8="None","Water",CONCATENATE(Calculation!$O$8,"-",Calculation!$S$8,"%")))</f>
        <v/>
      </c>
      <c r="U337" s="393" t="str">
        <f>IF(A337="","",Calculation!$P$6)</f>
        <v/>
      </c>
      <c r="V337" s="393" t="str">
        <f>IF(A337="","",Calculation!AT343)</f>
        <v/>
      </c>
      <c r="W337" s="396" t="str">
        <f>IF(A337="","",Calculation!AP343)</f>
        <v/>
      </c>
      <c r="X337" s="396" t="str">
        <f>IF(A337="","",Calculation!AO343)</f>
        <v/>
      </c>
      <c r="Y337" s="396" t="str">
        <f>IF(A337="","",Calculation!AQ343)</f>
        <v/>
      </c>
      <c r="Z337" s="396" t="str">
        <f>IF(A337="","",Calculation!$H$6)</f>
        <v/>
      </c>
      <c r="AA337" s="397" t="str">
        <f>IF(A337="","",Calculation!$H$13)</f>
        <v/>
      </c>
      <c r="AB337" s="397" t="str">
        <f>IF(A337="","",Calculation!U343)</f>
        <v/>
      </c>
      <c r="AC337" s="398" t="str">
        <f>IF(A337="","",IF(Calculation!$O$9="None","Water",CONCATENATE(Calculation!$O$9,"-",Calculation!$S$9,"%")))</f>
        <v/>
      </c>
      <c r="AD337" s="396" t="str">
        <f>IF(A337="","",Calculation!$S$6)</f>
        <v/>
      </c>
      <c r="AE337" s="399" t="str">
        <f>IF(A337="","",Calculation!BA343)</f>
        <v/>
      </c>
      <c r="AF337" s="396" t="str">
        <f>IF(A337="","",Calculation!AX343)</f>
        <v/>
      </c>
      <c r="AG337" s="396" t="str">
        <f>IF(A337="","",Calculation!AW343)</f>
        <v/>
      </c>
      <c r="AH337" s="391" t="str">
        <f>IF(A337="","",Calculation!AY343)</f>
        <v/>
      </c>
      <c r="AI337" s="391" t="str">
        <f>IF(A337="","",Calculation!Y343)</f>
        <v/>
      </c>
      <c r="AJ337" s="401" t="str">
        <f>IF(Calculation!BD343&gt;0,Calculation!BD343," ")</f>
        <v xml:space="preserve"> </v>
      </c>
      <c r="AK337" s="401" t="str">
        <f>IF(Calculation!BD343&gt;0,Calculation!BE343," ")</f>
        <v xml:space="preserve"> </v>
      </c>
      <c r="AL337" s="401" t="str">
        <f>IF(Calculation!BD343&gt;0,Calculation!BF343," ")</f>
        <v xml:space="preserve"> </v>
      </c>
      <c r="AM337" s="401" t="str">
        <f>IF(Calculation!BD343&gt;0,Calculation!BG343," ")</f>
        <v xml:space="preserve"> </v>
      </c>
      <c r="AN337" s="391" t="str">
        <f>IF(Calculation!BH343="N/A","N/A",Calculation!BH343)</f>
        <v xml:space="preserve"> </v>
      </c>
      <c r="AO337" s="402" t="str">
        <f>IF(Calculation!BI343="N/A","N/A",Calculation!BI343)</f>
        <v/>
      </c>
      <c r="AP337" s="391" t="str">
        <f>IF(Calculation!BJ343="N/A","N/A",Calculation!BJ343)</f>
        <v/>
      </c>
      <c r="AQ337" s="402" t="str">
        <f>IF(Calculation!BK343="N/A","N/A",Calculation!BK343)</f>
        <v/>
      </c>
      <c r="AR337" s="391" t="str">
        <f>IF(Calculation!BL343="N/A","N/A",Calculation!BL343)</f>
        <v/>
      </c>
      <c r="AS337" s="402" t="str">
        <f>IF(Calculation!BM343="N/A","N/A",Calculation!BM343)</f>
        <v/>
      </c>
      <c r="AT337" s="400"/>
    </row>
    <row r="338" spans="1:46">
      <c r="A338" s="224" t="str">
        <f>IF(Calculation!BN344="","",CONCATENATE(Calculation!BO344,"-",Calculation!R344,"-",Calculation!S344,"-",Calculation!T344,"-",Calculation!U344))</f>
        <v/>
      </c>
      <c r="B338" s="224">
        <v>323</v>
      </c>
      <c r="C338" s="629" t="str">
        <f>IF(A338="","",Calculation!B344)</f>
        <v/>
      </c>
      <c r="D338" s="386" t="str">
        <f>IF(A338="","",Calculation!L344)</f>
        <v/>
      </c>
      <c r="E338" s="387" t="str">
        <f>IF(A338="","",Calculation!J344)</f>
        <v/>
      </c>
      <c r="F338" s="387" t="str">
        <f>IF(A338="","",Calculation!C344)</f>
        <v/>
      </c>
      <c r="G338" s="387" t="str">
        <f>IF(A338="","",LEFT(Calculation!O344,6))</f>
        <v/>
      </c>
      <c r="H338" s="388" t="str">
        <f>IF(A338="","",Calculation!DX344)</f>
        <v/>
      </c>
      <c r="I338" s="387" t="str">
        <f>IF(A338="","",Calculation!P344)</f>
        <v/>
      </c>
      <c r="J338" s="387" t="str">
        <f>IF(A338="","",HLOOKUP(LEFT(Calculation!BO344,7),LookUps!$C$38:$M$41,4))</f>
        <v/>
      </c>
      <c r="K338" s="387" t="str">
        <f>IF(A338="","",Calculation!M344)</f>
        <v/>
      </c>
      <c r="L338" s="387" t="str">
        <f>IF(A338="","",Calculation!S344)</f>
        <v/>
      </c>
      <c r="M338" s="389" t="str">
        <f>IF(A338="","",Calculation!N344)</f>
        <v/>
      </c>
      <c r="N338" s="390" t="str">
        <f>IF(A338="","",Calculation!R344)</f>
        <v/>
      </c>
      <c r="O338" s="391" t="str">
        <f>IF(A338="","",Calculation!$F$6)</f>
        <v/>
      </c>
      <c r="P338" s="392" t="str">
        <f>IF(A338="","",Calculation!$F$7)</f>
        <v/>
      </c>
      <c r="Q338" s="393" t="str">
        <f>IF(A338="","",Calculation!$F$13)</f>
        <v/>
      </c>
      <c r="R338" s="394" t="str">
        <f>IF(A338="","",Calculation!X344)</f>
        <v/>
      </c>
      <c r="S338" s="393" t="str">
        <f>IF(A338="","",Calculation!T344)</f>
        <v/>
      </c>
      <c r="T338" s="395" t="str">
        <f>IF(A338="","",IF(Calculation!$O$8="None","Water",CONCATENATE(Calculation!$O$8,"-",Calculation!$S$8,"%")))</f>
        <v/>
      </c>
      <c r="U338" s="393" t="str">
        <f>IF(A338="","",Calculation!$P$6)</f>
        <v/>
      </c>
      <c r="V338" s="393" t="str">
        <f>IF(A338="","",Calculation!AT344)</f>
        <v/>
      </c>
      <c r="W338" s="396" t="str">
        <f>IF(A338="","",Calculation!AP344)</f>
        <v/>
      </c>
      <c r="X338" s="396" t="str">
        <f>IF(A338="","",Calculation!AO344)</f>
        <v/>
      </c>
      <c r="Y338" s="396" t="str">
        <f>IF(A338="","",Calculation!AQ344)</f>
        <v/>
      </c>
      <c r="Z338" s="396" t="str">
        <f>IF(A338="","",Calculation!$H$6)</f>
        <v/>
      </c>
      <c r="AA338" s="397" t="str">
        <f>IF(A338="","",Calculation!$H$13)</f>
        <v/>
      </c>
      <c r="AB338" s="397" t="str">
        <f>IF(A338="","",Calculation!U344)</f>
        <v/>
      </c>
      <c r="AC338" s="398" t="str">
        <f>IF(A338="","",IF(Calculation!$O$9="None","Water",CONCATENATE(Calculation!$O$9,"-",Calculation!$S$9,"%")))</f>
        <v/>
      </c>
      <c r="AD338" s="396" t="str">
        <f>IF(A338="","",Calculation!$S$6)</f>
        <v/>
      </c>
      <c r="AE338" s="399" t="str">
        <f>IF(A338="","",Calculation!BA344)</f>
        <v/>
      </c>
      <c r="AF338" s="396" t="str">
        <f>IF(A338="","",Calculation!AX344)</f>
        <v/>
      </c>
      <c r="AG338" s="396" t="str">
        <f>IF(A338="","",Calculation!AW344)</f>
        <v/>
      </c>
      <c r="AH338" s="391" t="str">
        <f>IF(A338="","",Calculation!AY344)</f>
        <v/>
      </c>
      <c r="AI338" s="391" t="str">
        <f>IF(A338="","",Calculation!Y344)</f>
        <v/>
      </c>
      <c r="AJ338" s="401" t="str">
        <f>IF(Calculation!BD344&gt;0,Calculation!BD344," ")</f>
        <v xml:space="preserve"> </v>
      </c>
      <c r="AK338" s="401" t="str">
        <f>IF(Calculation!BD344&gt;0,Calculation!BE344," ")</f>
        <v xml:space="preserve"> </v>
      </c>
      <c r="AL338" s="401" t="str">
        <f>IF(Calculation!BD344&gt;0,Calculation!BF344," ")</f>
        <v xml:space="preserve"> </v>
      </c>
      <c r="AM338" s="401" t="str">
        <f>IF(Calculation!BD344&gt;0,Calculation!BG344," ")</f>
        <v xml:space="preserve"> </v>
      </c>
      <c r="AN338" s="391" t="str">
        <f>IF(Calculation!BH344="N/A","N/A",Calculation!BH344)</f>
        <v xml:space="preserve"> </v>
      </c>
      <c r="AO338" s="402" t="str">
        <f>IF(Calculation!BI344="N/A","N/A",Calculation!BI344)</f>
        <v/>
      </c>
      <c r="AP338" s="391" t="str">
        <f>IF(Calculation!BJ344="N/A","N/A",Calculation!BJ344)</f>
        <v/>
      </c>
      <c r="AQ338" s="402" t="str">
        <f>IF(Calculation!BK344="N/A","N/A",Calculation!BK344)</f>
        <v/>
      </c>
      <c r="AR338" s="391" t="str">
        <f>IF(Calculation!BL344="N/A","N/A",Calculation!BL344)</f>
        <v/>
      </c>
      <c r="AS338" s="402" t="str">
        <f>IF(Calculation!BM344="N/A","N/A",Calculation!BM344)</f>
        <v/>
      </c>
      <c r="AT338" s="400"/>
    </row>
    <row r="339" spans="1:46">
      <c r="A339" s="224" t="str">
        <f>IF(Calculation!BN345="","",CONCATENATE(Calculation!BO345,"-",Calculation!R345,"-",Calculation!S345,"-",Calculation!T345,"-",Calculation!U345))</f>
        <v/>
      </c>
      <c r="B339" s="224">
        <v>324</v>
      </c>
      <c r="C339" s="629" t="str">
        <f>IF(A339="","",Calculation!B345)</f>
        <v/>
      </c>
      <c r="D339" s="386" t="str">
        <f>IF(A339="","",Calculation!L345)</f>
        <v/>
      </c>
      <c r="E339" s="387" t="str">
        <f>IF(A339="","",Calculation!J345)</f>
        <v/>
      </c>
      <c r="F339" s="387" t="str">
        <f>IF(A339="","",Calculation!C345)</f>
        <v/>
      </c>
      <c r="G339" s="387" t="str">
        <f>IF(A339="","",LEFT(Calculation!O345,6))</f>
        <v/>
      </c>
      <c r="H339" s="388" t="str">
        <f>IF(A339="","",Calculation!DX345)</f>
        <v/>
      </c>
      <c r="I339" s="387" t="str">
        <f>IF(A339="","",Calculation!P345)</f>
        <v/>
      </c>
      <c r="J339" s="387" t="str">
        <f>IF(A339="","",HLOOKUP(LEFT(Calculation!BO345,7),LookUps!$C$38:$M$41,4))</f>
        <v/>
      </c>
      <c r="K339" s="387" t="str">
        <f>IF(A339="","",Calculation!M345)</f>
        <v/>
      </c>
      <c r="L339" s="387" t="str">
        <f>IF(A339="","",Calculation!S345)</f>
        <v/>
      </c>
      <c r="M339" s="389" t="str">
        <f>IF(A339="","",Calculation!N345)</f>
        <v/>
      </c>
      <c r="N339" s="390" t="str">
        <f>IF(A339="","",Calculation!R345)</f>
        <v/>
      </c>
      <c r="O339" s="391" t="str">
        <f>IF(A339="","",Calculation!$F$6)</f>
        <v/>
      </c>
      <c r="P339" s="392" t="str">
        <f>IF(A339="","",Calculation!$F$7)</f>
        <v/>
      </c>
      <c r="Q339" s="393" t="str">
        <f>IF(A339="","",Calculation!$F$13)</f>
        <v/>
      </c>
      <c r="R339" s="394" t="str">
        <f>IF(A339="","",Calculation!X345)</f>
        <v/>
      </c>
      <c r="S339" s="393" t="str">
        <f>IF(A339="","",Calculation!T345)</f>
        <v/>
      </c>
      <c r="T339" s="395" t="str">
        <f>IF(A339="","",IF(Calculation!$O$8="None","Water",CONCATENATE(Calculation!$O$8,"-",Calculation!$S$8,"%")))</f>
        <v/>
      </c>
      <c r="U339" s="393" t="str">
        <f>IF(A339="","",Calculation!$P$6)</f>
        <v/>
      </c>
      <c r="V339" s="393" t="str">
        <f>IF(A339="","",Calculation!AT345)</f>
        <v/>
      </c>
      <c r="W339" s="396" t="str">
        <f>IF(A339="","",Calculation!AP345)</f>
        <v/>
      </c>
      <c r="X339" s="396" t="str">
        <f>IF(A339="","",Calculation!AO345)</f>
        <v/>
      </c>
      <c r="Y339" s="396" t="str">
        <f>IF(A339="","",Calculation!AQ345)</f>
        <v/>
      </c>
      <c r="Z339" s="396" t="str">
        <f>IF(A339="","",Calculation!$H$6)</f>
        <v/>
      </c>
      <c r="AA339" s="397" t="str">
        <f>IF(A339="","",Calculation!$H$13)</f>
        <v/>
      </c>
      <c r="AB339" s="397" t="str">
        <f>IF(A339="","",Calculation!U345)</f>
        <v/>
      </c>
      <c r="AC339" s="398" t="str">
        <f>IF(A339="","",IF(Calculation!$O$9="None","Water",CONCATENATE(Calculation!$O$9,"-",Calculation!$S$9,"%")))</f>
        <v/>
      </c>
      <c r="AD339" s="396" t="str">
        <f>IF(A339="","",Calculation!$S$6)</f>
        <v/>
      </c>
      <c r="AE339" s="399" t="str">
        <f>IF(A339="","",Calculation!BA345)</f>
        <v/>
      </c>
      <c r="AF339" s="396" t="str">
        <f>IF(A339="","",Calculation!AX345)</f>
        <v/>
      </c>
      <c r="AG339" s="396" t="str">
        <f>IF(A339="","",Calculation!AW345)</f>
        <v/>
      </c>
      <c r="AH339" s="391" t="str">
        <f>IF(A339="","",Calculation!AY345)</f>
        <v/>
      </c>
      <c r="AI339" s="391" t="str">
        <f>IF(A339="","",Calculation!Y345)</f>
        <v/>
      </c>
      <c r="AJ339" s="401" t="str">
        <f>IF(Calculation!BD345&gt;0,Calculation!BD345," ")</f>
        <v xml:space="preserve"> </v>
      </c>
      <c r="AK339" s="401" t="str">
        <f>IF(Calculation!BD345&gt;0,Calculation!BE345," ")</f>
        <v xml:space="preserve"> </v>
      </c>
      <c r="AL339" s="401" t="str">
        <f>IF(Calculation!BD345&gt;0,Calculation!BF345," ")</f>
        <v xml:space="preserve"> </v>
      </c>
      <c r="AM339" s="401" t="str">
        <f>IF(Calculation!BD345&gt;0,Calculation!BG345," ")</f>
        <v xml:space="preserve"> </v>
      </c>
      <c r="AN339" s="391" t="str">
        <f>IF(Calculation!BH345="N/A","N/A",Calculation!BH345)</f>
        <v xml:space="preserve"> </v>
      </c>
      <c r="AO339" s="402" t="str">
        <f>IF(Calculation!BI345="N/A","N/A",Calculation!BI345)</f>
        <v/>
      </c>
      <c r="AP339" s="391" t="str">
        <f>IF(Calculation!BJ345="N/A","N/A",Calculation!BJ345)</f>
        <v/>
      </c>
      <c r="AQ339" s="402" t="str">
        <f>IF(Calculation!BK345="N/A","N/A",Calculation!BK345)</f>
        <v/>
      </c>
      <c r="AR339" s="391" t="str">
        <f>IF(Calculation!BL345="N/A","N/A",Calculation!BL345)</f>
        <v/>
      </c>
      <c r="AS339" s="402" t="str">
        <f>IF(Calculation!BM345="N/A","N/A",Calculation!BM345)</f>
        <v/>
      </c>
      <c r="AT339" s="400"/>
    </row>
    <row r="340" spans="1:46">
      <c r="A340" s="224" t="str">
        <f>IF(Calculation!BN346="","",CONCATENATE(Calculation!BO346,"-",Calculation!R346,"-",Calculation!S346,"-",Calculation!T346,"-",Calculation!U346))</f>
        <v/>
      </c>
      <c r="B340" s="224">
        <v>325</v>
      </c>
      <c r="C340" s="629" t="str">
        <f>IF(A340="","",Calculation!B346)</f>
        <v/>
      </c>
      <c r="D340" s="386" t="str">
        <f>IF(A340="","",Calculation!L346)</f>
        <v/>
      </c>
      <c r="E340" s="387" t="str">
        <f>IF(A340="","",Calculation!J346)</f>
        <v/>
      </c>
      <c r="F340" s="387" t="str">
        <f>IF(A340="","",Calculation!C346)</f>
        <v/>
      </c>
      <c r="G340" s="387" t="str">
        <f>IF(A340="","",LEFT(Calculation!O346,6))</f>
        <v/>
      </c>
      <c r="H340" s="388" t="str">
        <f>IF(A340="","",Calculation!DX346)</f>
        <v/>
      </c>
      <c r="I340" s="387" t="str">
        <f>IF(A340="","",Calculation!P346)</f>
        <v/>
      </c>
      <c r="J340" s="387" t="str">
        <f>IF(A340="","",HLOOKUP(LEFT(Calculation!BO346,7),LookUps!$C$38:$M$41,4))</f>
        <v/>
      </c>
      <c r="K340" s="387" t="str">
        <f>IF(A340="","",Calculation!M346)</f>
        <v/>
      </c>
      <c r="L340" s="387" t="str">
        <f>IF(A340="","",Calculation!S346)</f>
        <v/>
      </c>
      <c r="M340" s="389" t="str">
        <f>IF(A340="","",Calculation!N346)</f>
        <v/>
      </c>
      <c r="N340" s="390" t="str">
        <f>IF(A340="","",Calculation!R346)</f>
        <v/>
      </c>
      <c r="O340" s="391" t="str">
        <f>IF(A340="","",Calculation!$F$6)</f>
        <v/>
      </c>
      <c r="P340" s="392" t="str">
        <f>IF(A340="","",Calculation!$F$7)</f>
        <v/>
      </c>
      <c r="Q340" s="393" t="str">
        <f>IF(A340="","",Calculation!$F$13)</f>
        <v/>
      </c>
      <c r="R340" s="394" t="str">
        <f>IF(A340="","",Calculation!X346)</f>
        <v/>
      </c>
      <c r="S340" s="393" t="str">
        <f>IF(A340="","",Calculation!T346)</f>
        <v/>
      </c>
      <c r="T340" s="395" t="str">
        <f>IF(A340="","",IF(Calculation!$O$8="None","Water",CONCATENATE(Calculation!$O$8,"-",Calculation!$S$8,"%")))</f>
        <v/>
      </c>
      <c r="U340" s="393" t="str">
        <f>IF(A340="","",Calculation!$P$6)</f>
        <v/>
      </c>
      <c r="V340" s="393" t="str">
        <f>IF(A340="","",Calculation!AT346)</f>
        <v/>
      </c>
      <c r="W340" s="396" t="str">
        <f>IF(A340="","",Calculation!AP346)</f>
        <v/>
      </c>
      <c r="X340" s="396" t="str">
        <f>IF(A340="","",Calculation!AO346)</f>
        <v/>
      </c>
      <c r="Y340" s="396" t="str">
        <f>IF(A340="","",Calculation!AQ346)</f>
        <v/>
      </c>
      <c r="Z340" s="396" t="str">
        <f>IF(A340="","",Calculation!$H$6)</f>
        <v/>
      </c>
      <c r="AA340" s="397" t="str">
        <f>IF(A340="","",Calculation!$H$13)</f>
        <v/>
      </c>
      <c r="AB340" s="397" t="str">
        <f>IF(A340="","",Calculation!U346)</f>
        <v/>
      </c>
      <c r="AC340" s="398" t="str">
        <f>IF(A340="","",IF(Calculation!$O$9="None","Water",CONCATENATE(Calculation!$O$9,"-",Calculation!$S$9,"%")))</f>
        <v/>
      </c>
      <c r="AD340" s="396" t="str">
        <f>IF(A340="","",Calculation!$S$6)</f>
        <v/>
      </c>
      <c r="AE340" s="399" t="str">
        <f>IF(A340="","",Calculation!BA346)</f>
        <v/>
      </c>
      <c r="AF340" s="396" t="str">
        <f>IF(A340="","",Calculation!AX346)</f>
        <v/>
      </c>
      <c r="AG340" s="396" t="str">
        <f>IF(A340="","",Calculation!AW346)</f>
        <v/>
      </c>
      <c r="AH340" s="391" t="str">
        <f>IF(A340="","",Calculation!AY346)</f>
        <v/>
      </c>
      <c r="AI340" s="391" t="str">
        <f>IF(A340="","",Calculation!Y346)</f>
        <v/>
      </c>
      <c r="AJ340" s="401" t="str">
        <f>IF(Calculation!BD346&gt;0,Calculation!BD346," ")</f>
        <v xml:space="preserve"> </v>
      </c>
      <c r="AK340" s="401" t="str">
        <f>IF(Calculation!BD346&gt;0,Calculation!BE346," ")</f>
        <v xml:space="preserve"> </v>
      </c>
      <c r="AL340" s="401" t="str">
        <f>IF(Calculation!BD346&gt;0,Calculation!BF346," ")</f>
        <v xml:space="preserve"> </v>
      </c>
      <c r="AM340" s="401" t="str">
        <f>IF(Calculation!BD346&gt;0,Calculation!BG346," ")</f>
        <v xml:space="preserve"> </v>
      </c>
      <c r="AN340" s="391" t="str">
        <f>IF(Calculation!BH346="N/A","N/A",Calculation!BH346)</f>
        <v xml:space="preserve"> </v>
      </c>
      <c r="AO340" s="402" t="str">
        <f>IF(Calculation!BI346="N/A","N/A",Calculation!BI346)</f>
        <v/>
      </c>
      <c r="AP340" s="391" t="str">
        <f>IF(Calculation!BJ346="N/A","N/A",Calculation!BJ346)</f>
        <v/>
      </c>
      <c r="AQ340" s="402" t="str">
        <f>IF(Calculation!BK346="N/A","N/A",Calculation!BK346)</f>
        <v/>
      </c>
      <c r="AR340" s="391" t="str">
        <f>IF(Calculation!BL346="N/A","N/A",Calculation!BL346)</f>
        <v/>
      </c>
      <c r="AS340" s="402" t="str">
        <f>IF(Calculation!BM346="N/A","N/A",Calculation!BM346)</f>
        <v/>
      </c>
      <c r="AT340" s="400"/>
    </row>
    <row r="341" spans="1:46">
      <c r="A341" s="224" t="str">
        <f>IF(Calculation!BN347="","",CONCATENATE(Calculation!BO347,"-",Calculation!R347,"-",Calculation!S347,"-",Calculation!T347,"-",Calculation!U347))</f>
        <v/>
      </c>
      <c r="B341" s="224">
        <v>326</v>
      </c>
      <c r="C341" s="629" t="str">
        <f>IF(A341="","",Calculation!B347)</f>
        <v/>
      </c>
      <c r="D341" s="386" t="str">
        <f>IF(A341="","",Calculation!L347)</f>
        <v/>
      </c>
      <c r="E341" s="387" t="str">
        <f>IF(A341="","",Calculation!J347)</f>
        <v/>
      </c>
      <c r="F341" s="387" t="str">
        <f>IF(A341="","",Calculation!C347)</f>
        <v/>
      </c>
      <c r="G341" s="387" t="str">
        <f>IF(A341="","",LEFT(Calculation!O347,6))</f>
        <v/>
      </c>
      <c r="H341" s="388" t="str">
        <f>IF(A341="","",Calculation!DX347)</f>
        <v/>
      </c>
      <c r="I341" s="387" t="str">
        <f>IF(A341="","",Calculation!P347)</f>
        <v/>
      </c>
      <c r="J341" s="387" t="str">
        <f>IF(A341="","",HLOOKUP(LEFT(Calculation!BO347,7),LookUps!$C$38:$M$41,4))</f>
        <v/>
      </c>
      <c r="K341" s="387" t="str">
        <f>IF(A341="","",Calculation!M347)</f>
        <v/>
      </c>
      <c r="L341" s="387" t="str">
        <f>IF(A341="","",Calculation!S347)</f>
        <v/>
      </c>
      <c r="M341" s="389" t="str">
        <f>IF(A341="","",Calculation!N347)</f>
        <v/>
      </c>
      <c r="N341" s="390" t="str">
        <f>IF(A341="","",Calculation!R347)</f>
        <v/>
      </c>
      <c r="O341" s="391" t="str">
        <f>IF(A341="","",Calculation!$F$6)</f>
        <v/>
      </c>
      <c r="P341" s="392" t="str">
        <f>IF(A341="","",Calculation!$F$7)</f>
        <v/>
      </c>
      <c r="Q341" s="393" t="str">
        <f>IF(A341="","",Calculation!$F$13)</f>
        <v/>
      </c>
      <c r="R341" s="394" t="str">
        <f>IF(A341="","",Calculation!X347)</f>
        <v/>
      </c>
      <c r="S341" s="393" t="str">
        <f>IF(A341="","",Calculation!T347)</f>
        <v/>
      </c>
      <c r="T341" s="395" t="str">
        <f>IF(A341="","",IF(Calculation!$O$8="None","Water",CONCATENATE(Calculation!$O$8,"-",Calculation!$S$8,"%")))</f>
        <v/>
      </c>
      <c r="U341" s="393" t="str">
        <f>IF(A341="","",Calculation!$P$6)</f>
        <v/>
      </c>
      <c r="V341" s="393" t="str">
        <f>IF(A341="","",Calculation!AT347)</f>
        <v/>
      </c>
      <c r="W341" s="396" t="str">
        <f>IF(A341="","",Calculation!AP347)</f>
        <v/>
      </c>
      <c r="X341" s="396" t="str">
        <f>IF(A341="","",Calculation!AO347)</f>
        <v/>
      </c>
      <c r="Y341" s="396" t="str">
        <f>IF(A341="","",Calculation!AQ347)</f>
        <v/>
      </c>
      <c r="Z341" s="396" t="str">
        <f>IF(A341="","",Calculation!$H$6)</f>
        <v/>
      </c>
      <c r="AA341" s="397" t="str">
        <f>IF(A341="","",Calculation!$H$13)</f>
        <v/>
      </c>
      <c r="AB341" s="397" t="str">
        <f>IF(A341="","",Calculation!U347)</f>
        <v/>
      </c>
      <c r="AC341" s="398" t="str">
        <f>IF(A341="","",IF(Calculation!$O$9="None","Water",CONCATENATE(Calculation!$O$9,"-",Calculation!$S$9,"%")))</f>
        <v/>
      </c>
      <c r="AD341" s="396" t="str">
        <f>IF(A341="","",Calculation!$S$6)</f>
        <v/>
      </c>
      <c r="AE341" s="399" t="str">
        <f>IF(A341="","",Calculation!BA347)</f>
        <v/>
      </c>
      <c r="AF341" s="396" t="str">
        <f>IF(A341="","",Calculation!AX347)</f>
        <v/>
      </c>
      <c r="AG341" s="396" t="str">
        <f>IF(A341="","",Calculation!AW347)</f>
        <v/>
      </c>
      <c r="AH341" s="391" t="str">
        <f>IF(A341="","",Calculation!AY347)</f>
        <v/>
      </c>
      <c r="AI341" s="391" t="str">
        <f>IF(A341="","",Calculation!Y347)</f>
        <v/>
      </c>
      <c r="AJ341" s="401" t="str">
        <f>IF(Calculation!BD347&gt;0,Calculation!BD347," ")</f>
        <v xml:space="preserve"> </v>
      </c>
      <c r="AK341" s="401" t="str">
        <f>IF(Calculation!BD347&gt;0,Calculation!BE347," ")</f>
        <v xml:space="preserve"> </v>
      </c>
      <c r="AL341" s="401" t="str">
        <f>IF(Calculation!BD347&gt;0,Calculation!BF347," ")</f>
        <v xml:space="preserve"> </v>
      </c>
      <c r="AM341" s="401" t="str">
        <f>IF(Calculation!BD347&gt;0,Calculation!BG347," ")</f>
        <v xml:space="preserve"> </v>
      </c>
      <c r="AN341" s="391" t="str">
        <f>IF(Calculation!BH347="N/A","N/A",Calculation!BH347)</f>
        <v xml:space="preserve"> </v>
      </c>
      <c r="AO341" s="402" t="str">
        <f>IF(Calculation!BI347="N/A","N/A",Calculation!BI347)</f>
        <v/>
      </c>
      <c r="AP341" s="391" t="str">
        <f>IF(Calculation!BJ347="N/A","N/A",Calculation!BJ347)</f>
        <v/>
      </c>
      <c r="AQ341" s="402" t="str">
        <f>IF(Calculation!BK347="N/A","N/A",Calculation!BK347)</f>
        <v/>
      </c>
      <c r="AR341" s="391" t="str">
        <f>IF(Calculation!BL347="N/A","N/A",Calculation!BL347)</f>
        <v/>
      </c>
      <c r="AS341" s="402" t="str">
        <f>IF(Calculation!BM347="N/A","N/A",Calculation!BM347)</f>
        <v/>
      </c>
      <c r="AT341" s="400"/>
    </row>
    <row r="342" spans="1:46">
      <c r="A342" s="224" t="str">
        <f>IF(Calculation!BN348="","",CONCATENATE(Calculation!BO348,"-",Calculation!R348,"-",Calculation!S348,"-",Calculation!T348,"-",Calculation!U348))</f>
        <v/>
      </c>
      <c r="B342" s="224">
        <v>327</v>
      </c>
      <c r="C342" s="629" t="str">
        <f>IF(A342="","",Calculation!B348)</f>
        <v/>
      </c>
      <c r="D342" s="386" t="str">
        <f>IF(A342="","",Calculation!L348)</f>
        <v/>
      </c>
      <c r="E342" s="387" t="str">
        <f>IF(A342="","",Calculation!J348)</f>
        <v/>
      </c>
      <c r="F342" s="387" t="str">
        <f>IF(A342="","",Calculation!C348)</f>
        <v/>
      </c>
      <c r="G342" s="387" t="str">
        <f>IF(A342="","",LEFT(Calculation!O348,6))</f>
        <v/>
      </c>
      <c r="H342" s="388" t="str">
        <f>IF(A342="","",Calculation!DX348)</f>
        <v/>
      </c>
      <c r="I342" s="387" t="str">
        <f>IF(A342="","",Calculation!P348)</f>
        <v/>
      </c>
      <c r="J342" s="387" t="str">
        <f>IF(A342="","",HLOOKUP(LEFT(Calculation!BO348,7),LookUps!$C$38:$M$41,4))</f>
        <v/>
      </c>
      <c r="K342" s="387" t="str">
        <f>IF(A342="","",Calculation!M348)</f>
        <v/>
      </c>
      <c r="L342" s="387" t="str">
        <f>IF(A342="","",Calculation!S348)</f>
        <v/>
      </c>
      <c r="M342" s="389" t="str">
        <f>IF(A342="","",Calculation!N348)</f>
        <v/>
      </c>
      <c r="N342" s="390" t="str">
        <f>IF(A342="","",Calculation!R348)</f>
        <v/>
      </c>
      <c r="O342" s="391" t="str">
        <f>IF(A342="","",Calculation!$F$6)</f>
        <v/>
      </c>
      <c r="P342" s="392" t="str">
        <f>IF(A342="","",Calculation!$F$7)</f>
        <v/>
      </c>
      <c r="Q342" s="393" t="str">
        <f>IF(A342="","",Calculation!$F$13)</f>
        <v/>
      </c>
      <c r="R342" s="394" t="str">
        <f>IF(A342="","",Calculation!X348)</f>
        <v/>
      </c>
      <c r="S342" s="393" t="str">
        <f>IF(A342="","",Calculation!T348)</f>
        <v/>
      </c>
      <c r="T342" s="395" t="str">
        <f>IF(A342="","",IF(Calculation!$O$8="None","Water",CONCATENATE(Calculation!$O$8,"-",Calculation!$S$8,"%")))</f>
        <v/>
      </c>
      <c r="U342" s="393" t="str">
        <f>IF(A342="","",Calculation!$P$6)</f>
        <v/>
      </c>
      <c r="V342" s="393" t="str">
        <f>IF(A342="","",Calculation!AT348)</f>
        <v/>
      </c>
      <c r="W342" s="396" t="str">
        <f>IF(A342="","",Calculation!AP348)</f>
        <v/>
      </c>
      <c r="X342" s="396" t="str">
        <f>IF(A342="","",Calculation!AO348)</f>
        <v/>
      </c>
      <c r="Y342" s="396" t="str">
        <f>IF(A342="","",Calculation!AQ348)</f>
        <v/>
      </c>
      <c r="Z342" s="396" t="str">
        <f>IF(A342="","",Calculation!$H$6)</f>
        <v/>
      </c>
      <c r="AA342" s="397" t="str">
        <f>IF(A342="","",Calculation!$H$13)</f>
        <v/>
      </c>
      <c r="AB342" s="397" t="str">
        <f>IF(A342="","",Calculation!U348)</f>
        <v/>
      </c>
      <c r="AC342" s="398" t="str">
        <f>IF(A342="","",IF(Calculation!$O$9="None","Water",CONCATENATE(Calculation!$O$9,"-",Calculation!$S$9,"%")))</f>
        <v/>
      </c>
      <c r="AD342" s="396" t="str">
        <f>IF(A342="","",Calculation!$S$6)</f>
        <v/>
      </c>
      <c r="AE342" s="399" t="str">
        <f>IF(A342="","",Calculation!BA348)</f>
        <v/>
      </c>
      <c r="AF342" s="396" t="str">
        <f>IF(A342="","",Calculation!AX348)</f>
        <v/>
      </c>
      <c r="AG342" s="396" t="str">
        <f>IF(A342="","",Calculation!AW348)</f>
        <v/>
      </c>
      <c r="AH342" s="391" t="str">
        <f>IF(A342="","",Calculation!AY348)</f>
        <v/>
      </c>
      <c r="AI342" s="391" t="str">
        <f>IF(A342="","",Calculation!Y348)</f>
        <v/>
      </c>
      <c r="AJ342" s="401" t="str">
        <f>IF(Calculation!BD348&gt;0,Calculation!BD348," ")</f>
        <v xml:space="preserve"> </v>
      </c>
      <c r="AK342" s="401" t="str">
        <f>IF(Calculation!BD348&gt;0,Calculation!BE348," ")</f>
        <v xml:space="preserve"> </v>
      </c>
      <c r="AL342" s="401" t="str">
        <f>IF(Calculation!BD348&gt;0,Calculation!BF348," ")</f>
        <v xml:space="preserve"> </v>
      </c>
      <c r="AM342" s="401" t="str">
        <f>IF(Calculation!BD348&gt;0,Calculation!BG348," ")</f>
        <v xml:space="preserve"> </v>
      </c>
      <c r="AN342" s="391" t="str">
        <f>IF(Calculation!BH348="N/A","N/A",Calculation!BH348)</f>
        <v xml:space="preserve"> </v>
      </c>
      <c r="AO342" s="402" t="str">
        <f>IF(Calculation!BI348="N/A","N/A",Calculation!BI348)</f>
        <v/>
      </c>
      <c r="AP342" s="391" t="str">
        <f>IF(Calculation!BJ348="N/A","N/A",Calculation!BJ348)</f>
        <v/>
      </c>
      <c r="AQ342" s="402" t="str">
        <f>IF(Calculation!BK348="N/A","N/A",Calculation!BK348)</f>
        <v/>
      </c>
      <c r="AR342" s="391" t="str">
        <f>IF(Calculation!BL348="N/A","N/A",Calculation!BL348)</f>
        <v/>
      </c>
      <c r="AS342" s="402" t="str">
        <f>IF(Calculation!BM348="N/A","N/A",Calculation!BM348)</f>
        <v/>
      </c>
      <c r="AT342" s="400"/>
    </row>
    <row r="343" spans="1:46">
      <c r="A343" s="224" t="str">
        <f>IF(Calculation!BN349="","",CONCATENATE(Calculation!BO349,"-",Calculation!R349,"-",Calculation!S349,"-",Calculation!T349,"-",Calculation!U349))</f>
        <v/>
      </c>
      <c r="B343" s="224">
        <v>328</v>
      </c>
      <c r="C343" s="629" t="str">
        <f>IF(A343="","",Calculation!B349)</f>
        <v/>
      </c>
      <c r="D343" s="386" t="str">
        <f>IF(A343="","",Calculation!L349)</f>
        <v/>
      </c>
      <c r="E343" s="387" t="str">
        <f>IF(A343="","",Calculation!J349)</f>
        <v/>
      </c>
      <c r="F343" s="387" t="str">
        <f>IF(A343="","",Calculation!C349)</f>
        <v/>
      </c>
      <c r="G343" s="387" t="str">
        <f>IF(A343="","",LEFT(Calculation!O349,6))</f>
        <v/>
      </c>
      <c r="H343" s="388" t="str">
        <f>IF(A343="","",Calculation!DX349)</f>
        <v/>
      </c>
      <c r="I343" s="387" t="str">
        <f>IF(A343="","",Calculation!P349)</f>
        <v/>
      </c>
      <c r="J343" s="387" t="str">
        <f>IF(A343="","",HLOOKUP(LEFT(Calculation!BO349,7),LookUps!$C$38:$M$41,4))</f>
        <v/>
      </c>
      <c r="K343" s="387" t="str">
        <f>IF(A343="","",Calculation!M349)</f>
        <v/>
      </c>
      <c r="L343" s="387" t="str">
        <f>IF(A343="","",Calculation!S349)</f>
        <v/>
      </c>
      <c r="M343" s="389" t="str">
        <f>IF(A343="","",Calculation!N349)</f>
        <v/>
      </c>
      <c r="N343" s="390" t="str">
        <f>IF(A343="","",Calculation!R349)</f>
        <v/>
      </c>
      <c r="O343" s="391" t="str">
        <f>IF(A343="","",Calculation!$F$6)</f>
        <v/>
      </c>
      <c r="P343" s="392" t="str">
        <f>IF(A343="","",Calculation!$F$7)</f>
        <v/>
      </c>
      <c r="Q343" s="393" t="str">
        <f>IF(A343="","",Calculation!$F$13)</f>
        <v/>
      </c>
      <c r="R343" s="394" t="str">
        <f>IF(A343="","",Calculation!X349)</f>
        <v/>
      </c>
      <c r="S343" s="393" t="str">
        <f>IF(A343="","",Calculation!T349)</f>
        <v/>
      </c>
      <c r="T343" s="395" t="str">
        <f>IF(A343="","",IF(Calculation!$O$8="None","Water",CONCATENATE(Calculation!$O$8,"-",Calculation!$S$8,"%")))</f>
        <v/>
      </c>
      <c r="U343" s="393" t="str">
        <f>IF(A343="","",Calculation!$P$6)</f>
        <v/>
      </c>
      <c r="V343" s="393" t="str">
        <f>IF(A343="","",Calculation!AT349)</f>
        <v/>
      </c>
      <c r="W343" s="396" t="str">
        <f>IF(A343="","",Calculation!AP349)</f>
        <v/>
      </c>
      <c r="X343" s="396" t="str">
        <f>IF(A343="","",Calculation!AO349)</f>
        <v/>
      </c>
      <c r="Y343" s="396" t="str">
        <f>IF(A343="","",Calculation!AQ349)</f>
        <v/>
      </c>
      <c r="Z343" s="396" t="str">
        <f>IF(A343="","",Calculation!$H$6)</f>
        <v/>
      </c>
      <c r="AA343" s="397" t="str">
        <f>IF(A343="","",Calculation!$H$13)</f>
        <v/>
      </c>
      <c r="AB343" s="397" t="str">
        <f>IF(A343="","",Calculation!U349)</f>
        <v/>
      </c>
      <c r="AC343" s="398" t="str">
        <f>IF(A343="","",IF(Calculation!$O$9="None","Water",CONCATENATE(Calculation!$O$9,"-",Calculation!$S$9,"%")))</f>
        <v/>
      </c>
      <c r="AD343" s="396" t="str">
        <f>IF(A343="","",Calculation!$S$6)</f>
        <v/>
      </c>
      <c r="AE343" s="399" t="str">
        <f>IF(A343="","",Calculation!BA349)</f>
        <v/>
      </c>
      <c r="AF343" s="396" t="str">
        <f>IF(A343="","",Calculation!AX349)</f>
        <v/>
      </c>
      <c r="AG343" s="396" t="str">
        <f>IF(A343="","",Calculation!AW349)</f>
        <v/>
      </c>
      <c r="AH343" s="391" t="str">
        <f>IF(A343="","",Calculation!AY349)</f>
        <v/>
      </c>
      <c r="AI343" s="391" t="str">
        <f>IF(A343="","",Calculation!Y349)</f>
        <v/>
      </c>
      <c r="AJ343" s="401" t="str">
        <f>IF(Calculation!BD349&gt;0,Calculation!BD349," ")</f>
        <v xml:space="preserve"> </v>
      </c>
      <c r="AK343" s="401" t="str">
        <f>IF(Calculation!BD349&gt;0,Calculation!BE349," ")</f>
        <v xml:space="preserve"> </v>
      </c>
      <c r="AL343" s="401" t="str">
        <f>IF(Calculation!BD349&gt;0,Calculation!BF349," ")</f>
        <v xml:space="preserve"> </v>
      </c>
      <c r="AM343" s="401" t="str">
        <f>IF(Calculation!BD349&gt;0,Calculation!BG349," ")</f>
        <v xml:space="preserve"> </v>
      </c>
      <c r="AN343" s="391" t="str">
        <f>IF(Calculation!BH349="N/A","N/A",Calculation!BH349)</f>
        <v xml:space="preserve"> </v>
      </c>
      <c r="AO343" s="402" t="str">
        <f>IF(Calculation!BI349="N/A","N/A",Calculation!BI349)</f>
        <v/>
      </c>
      <c r="AP343" s="391" t="str">
        <f>IF(Calculation!BJ349="N/A","N/A",Calculation!BJ349)</f>
        <v/>
      </c>
      <c r="AQ343" s="402" t="str">
        <f>IF(Calculation!BK349="N/A","N/A",Calculation!BK349)</f>
        <v/>
      </c>
      <c r="AR343" s="391" t="str">
        <f>IF(Calculation!BL349="N/A","N/A",Calculation!BL349)</f>
        <v/>
      </c>
      <c r="AS343" s="402" t="str">
        <f>IF(Calculation!BM349="N/A","N/A",Calculation!BM349)</f>
        <v/>
      </c>
      <c r="AT343" s="400"/>
    </row>
    <row r="344" spans="1:46">
      <c r="A344" s="224" t="str">
        <f>IF(Calculation!BN350="","",CONCATENATE(Calculation!BO350,"-",Calculation!R350,"-",Calculation!S350,"-",Calculation!T350,"-",Calculation!U350))</f>
        <v/>
      </c>
      <c r="B344" s="224">
        <v>329</v>
      </c>
      <c r="C344" s="629" t="str">
        <f>IF(A344="","",Calculation!B350)</f>
        <v/>
      </c>
      <c r="D344" s="386" t="str">
        <f>IF(A344="","",Calculation!L350)</f>
        <v/>
      </c>
      <c r="E344" s="387" t="str">
        <f>IF(A344="","",Calculation!J350)</f>
        <v/>
      </c>
      <c r="F344" s="387" t="str">
        <f>IF(A344="","",Calculation!C350)</f>
        <v/>
      </c>
      <c r="G344" s="387" t="str">
        <f>IF(A344="","",LEFT(Calculation!O350,6))</f>
        <v/>
      </c>
      <c r="H344" s="388" t="str">
        <f>IF(A344="","",Calculation!DX350)</f>
        <v/>
      </c>
      <c r="I344" s="387" t="str">
        <f>IF(A344="","",Calculation!P350)</f>
        <v/>
      </c>
      <c r="J344" s="387" t="str">
        <f>IF(A344="","",HLOOKUP(LEFT(Calculation!BO350,7),LookUps!$C$38:$M$41,4))</f>
        <v/>
      </c>
      <c r="K344" s="387" t="str">
        <f>IF(A344="","",Calculation!M350)</f>
        <v/>
      </c>
      <c r="L344" s="387" t="str">
        <f>IF(A344="","",Calculation!S350)</f>
        <v/>
      </c>
      <c r="M344" s="389" t="str">
        <f>IF(A344="","",Calculation!N350)</f>
        <v/>
      </c>
      <c r="N344" s="390" t="str">
        <f>IF(A344="","",Calculation!R350)</f>
        <v/>
      </c>
      <c r="O344" s="391" t="str">
        <f>IF(A344="","",Calculation!$F$6)</f>
        <v/>
      </c>
      <c r="P344" s="392" t="str">
        <f>IF(A344="","",Calculation!$F$7)</f>
        <v/>
      </c>
      <c r="Q344" s="393" t="str">
        <f>IF(A344="","",Calculation!$F$13)</f>
        <v/>
      </c>
      <c r="R344" s="394" t="str">
        <f>IF(A344="","",Calculation!X350)</f>
        <v/>
      </c>
      <c r="S344" s="393" t="str">
        <f>IF(A344="","",Calculation!T350)</f>
        <v/>
      </c>
      <c r="T344" s="395" t="str">
        <f>IF(A344="","",IF(Calculation!$O$8="None","Water",CONCATENATE(Calculation!$O$8,"-",Calculation!$S$8,"%")))</f>
        <v/>
      </c>
      <c r="U344" s="393" t="str">
        <f>IF(A344="","",Calculation!$P$6)</f>
        <v/>
      </c>
      <c r="V344" s="393" t="str">
        <f>IF(A344="","",Calculation!AT350)</f>
        <v/>
      </c>
      <c r="W344" s="396" t="str">
        <f>IF(A344="","",Calculation!AP350)</f>
        <v/>
      </c>
      <c r="X344" s="396" t="str">
        <f>IF(A344="","",Calculation!AO350)</f>
        <v/>
      </c>
      <c r="Y344" s="396" t="str">
        <f>IF(A344="","",Calculation!AQ350)</f>
        <v/>
      </c>
      <c r="Z344" s="396" t="str">
        <f>IF(A344="","",Calculation!$H$6)</f>
        <v/>
      </c>
      <c r="AA344" s="397" t="str">
        <f>IF(A344="","",Calculation!$H$13)</f>
        <v/>
      </c>
      <c r="AB344" s="397" t="str">
        <f>IF(A344="","",Calculation!U350)</f>
        <v/>
      </c>
      <c r="AC344" s="398" t="str">
        <f>IF(A344="","",IF(Calculation!$O$9="None","Water",CONCATENATE(Calculation!$O$9,"-",Calculation!$S$9,"%")))</f>
        <v/>
      </c>
      <c r="AD344" s="396" t="str">
        <f>IF(A344="","",Calculation!$S$6)</f>
        <v/>
      </c>
      <c r="AE344" s="399" t="str">
        <f>IF(A344="","",Calculation!BA350)</f>
        <v/>
      </c>
      <c r="AF344" s="396" t="str">
        <f>IF(A344="","",Calculation!AX350)</f>
        <v/>
      </c>
      <c r="AG344" s="396" t="str">
        <f>IF(A344="","",Calculation!AW350)</f>
        <v/>
      </c>
      <c r="AH344" s="391" t="str">
        <f>IF(A344="","",Calculation!AY350)</f>
        <v/>
      </c>
      <c r="AI344" s="391" t="str">
        <f>IF(A344="","",Calculation!Y350)</f>
        <v/>
      </c>
      <c r="AJ344" s="401" t="str">
        <f>IF(Calculation!BD350&gt;0,Calculation!BD350," ")</f>
        <v xml:space="preserve"> </v>
      </c>
      <c r="AK344" s="401" t="str">
        <f>IF(Calculation!BD350&gt;0,Calculation!BE350," ")</f>
        <v xml:space="preserve"> </v>
      </c>
      <c r="AL344" s="401" t="str">
        <f>IF(Calculation!BD350&gt;0,Calculation!BF350," ")</f>
        <v xml:space="preserve"> </v>
      </c>
      <c r="AM344" s="401" t="str">
        <f>IF(Calculation!BD350&gt;0,Calculation!BG350," ")</f>
        <v xml:space="preserve"> </v>
      </c>
      <c r="AN344" s="391" t="str">
        <f>IF(Calculation!BH350="N/A","N/A",Calculation!BH350)</f>
        <v xml:space="preserve"> </v>
      </c>
      <c r="AO344" s="402" t="str">
        <f>IF(Calculation!BI350="N/A","N/A",Calculation!BI350)</f>
        <v/>
      </c>
      <c r="AP344" s="391" t="str">
        <f>IF(Calculation!BJ350="N/A","N/A",Calculation!BJ350)</f>
        <v/>
      </c>
      <c r="AQ344" s="402" t="str">
        <f>IF(Calculation!BK350="N/A","N/A",Calculation!BK350)</f>
        <v/>
      </c>
      <c r="AR344" s="391" t="str">
        <f>IF(Calculation!BL350="N/A","N/A",Calculation!BL350)</f>
        <v/>
      </c>
      <c r="AS344" s="402" t="str">
        <f>IF(Calculation!BM350="N/A","N/A",Calculation!BM350)</f>
        <v/>
      </c>
      <c r="AT344" s="400"/>
    </row>
    <row r="345" spans="1:46">
      <c r="A345" s="224" t="str">
        <f>IF(Calculation!BN351="","",CONCATENATE(Calculation!BO351,"-",Calculation!R351,"-",Calculation!S351,"-",Calculation!T351,"-",Calculation!U351))</f>
        <v/>
      </c>
      <c r="B345" s="224">
        <v>330</v>
      </c>
      <c r="C345" s="629" t="str">
        <f>IF(A345="","",Calculation!B351)</f>
        <v/>
      </c>
      <c r="D345" s="386" t="str">
        <f>IF(A345="","",Calculation!L351)</f>
        <v/>
      </c>
      <c r="E345" s="387" t="str">
        <f>IF(A345="","",Calculation!J351)</f>
        <v/>
      </c>
      <c r="F345" s="387" t="str">
        <f>IF(A345="","",Calculation!C351)</f>
        <v/>
      </c>
      <c r="G345" s="387" t="str">
        <f>IF(A345="","",LEFT(Calculation!O351,6))</f>
        <v/>
      </c>
      <c r="H345" s="388" t="str">
        <f>IF(A345="","",Calculation!DX351)</f>
        <v/>
      </c>
      <c r="I345" s="387" t="str">
        <f>IF(A345="","",Calculation!P351)</f>
        <v/>
      </c>
      <c r="J345" s="387" t="str">
        <f>IF(A345="","",HLOOKUP(LEFT(Calculation!BO351,7),LookUps!$C$38:$M$41,4))</f>
        <v/>
      </c>
      <c r="K345" s="387" t="str">
        <f>IF(A345="","",Calculation!M351)</f>
        <v/>
      </c>
      <c r="L345" s="387" t="str">
        <f>IF(A345="","",Calculation!S351)</f>
        <v/>
      </c>
      <c r="M345" s="389" t="str">
        <f>IF(A345="","",Calculation!N351)</f>
        <v/>
      </c>
      <c r="N345" s="390" t="str">
        <f>IF(A345="","",Calculation!R351)</f>
        <v/>
      </c>
      <c r="O345" s="391" t="str">
        <f>IF(A345="","",Calculation!$F$6)</f>
        <v/>
      </c>
      <c r="P345" s="392" t="str">
        <f>IF(A345="","",Calculation!$F$7)</f>
        <v/>
      </c>
      <c r="Q345" s="393" t="str">
        <f>IF(A345="","",Calculation!$F$13)</f>
        <v/>
      </c>
      <c r="R345" s="394" t="str">
        <f>IF(A345="","",Calculation!X351)</f>
        <v/>
      </c>
      <c r="S345" s="393" t="str">
        <f>IF(A345="","",Calculation!T351)</f>
        <v/>
      </c>
      <c r="T345" s="395" t="str">
        <f>IF(A345="","",IF(Calculation!$O$8="None","Water",CONCATENATE(Calculation!$O$8,"-",Calculation!$S$8,"%")))</f>
        <v/>
      </c>
      <c r="U345" s="393" t="str">
        <f>IF(A345="","",Calculation!$P$6)</f>
        <v/>
      </c>
      <c r="V345" s="393" t="str">
        <f>IF(A345="","",Calculation!AT351)</f>
        <v/>
      </c>
      <c r="W345" s="396" t="str">
        <f>IF(A345="","",Calculation!AP351)</f>
        <v/>
      </c>
      <c r="X345" s="396" t="str">
        <f>IF(A345="","",Calculation!AO351)</f>
        <v/>
      </c>
      <c r="Y345" s="396" t="str">
        <f>IF(A345="","",Calculation!AQ351)</f>
        <v/>
      </c>
      <c r="Z345" s="396" t="str">
        <f>IF(A345="","",Calculation!$H$6)</f>
        <v/>
      </c>
      <c r="AA345" s="397" t="str">
        <f>IF(A345="","",Calculation!$H$13)</f>
        <v/>
      </c>
      <c r="AB345" s="397" t="str">
        <f>IF(A345="","",Calculation!U351)</f>
        <v/>
      </c>
      <c r="AC345" s="398" t="str">
        <f>IF(A345="","",IF(Calculation!$O$9="None","Water",CONCATENATE(Calculation!$O$9,"-",Calculation!$S$9,"%")))</f>
        <v/>
      </c>
      <c r="AD345" s="396" t="str">
        <f>IF(A345="","",Calculation!$S$6)</f>
        <v/>
      </c>
      <c r="AE345" s="399" t="str">
        <f>IF(A345="","",Calculation!BA351)</f>
        <v/>
      </c>
      <c r="AF345" s="396" t="str">
        <f>IF(A345="","",Calculation!AX351)</f>
        <v/>
      </c>
      <c r="AG345" s="396" t="str">
        <f>IF(A345="","",Calculation!AW351)</f>
        <v/>
      </c>
      <c r="AH345" s="391" t="str">
        <f>IF(A345="","",Calculation!AY351)</f>
        <v/>
      </c>
      <c r="AI345" s="391" t="str">
        <f>IF(A345="","",Calculation!Y351)</f>
        <v/>
      </c>
      <c r="AJ345" s="401" t="str">
        <f>IF(Calculation!BD351&gt;0,Calculation!BD351," ")</f>
        <v xml:space="preserve"> </v>
      </c>
      <c r="AK345" s="401" t="str">
        <f>IF(Calculation!BD351&gt;0,Calculation!BE351," ")</f>
        <v xml:space="preserve"> </v>
      </c>
      <c r="AL345" s="401" t="str">
        <f>IF(Calculation!BD351&gt;0,Calculation!BF351," ")</f>
        <v xml:space="preserve"> </v>
      </c>
      <c r="AM345" s="401" t="str">
        <f>IF(Calculation!BD351&gt;0,Calculation!BG351," ")</f>
        <v xml:space="preserve"> </v>
      </c>
      <c r="AN345" s="391" t="str">
        <f>IF(Calculation!BH351="N/A","N/A",Calculation!BH351)</f>
        <v xml:space="preserve"> </v>
      </c>
      <c r="AO345" s="402" t="str">
        <f>IF(Calculation!BI351="N/A","N/A",Calculation!BI351)</f>
        <v/>
      </c>
      <c r="AP345" s="391" t="str">
        <f>IF(Calculation!BJ351="N/A","N/A",Calculation!BJ351)</f>
        <v/>
      </c>
      <c r="AQ345" s="402" t="str">
        <f>IF(Calculation!BK351="N/A","N/A",Calculation!BK351)</f>
        <v/>
      </c>
      <c r="AR345" s="391" t="str">
        <f>IF(Calculation!BL351="N/A","N/A",Calculation!BL351)</f>
        <v/>
      </c>
      <c r="AS345" s="402" t="str">
        <f>IF(Calculation!BM351="N/A","N/A",Calculation!BM351)</f>
        <v/>
      </c>
      <c r="AT345" s="400"/>
    </row>
    <row r="346" spans="1:46">
      <c r="A346" s="224" t="str">
        <f>IF(Calculation!BN352="","",CONCATENATE(Calculation!BO352,"-",Calculation!R352,"-",Calculation!S352,"-",Calculation!T352,"-",Calculation!U352))</f>
        <v/>
      </c>
      <c r="B346" s="224">
        <v>331</v>
      </c>
      <c r="C346" s="629" t="str">
        <f>IF(A346="","",Calculation!B352)</f>
        <v/>
      </c>
      <c r="D346" s="386" t="str">
        <f>IF(A346="","",Calculation!L352)</f>
        <v/>
      </c>
      <c r="E346" s="387" t="str">
        <f>IF(A346="","",Calculation!J352)</f>
        <v/>
      </c>
      <c r="F346" s="387" t="str">
        <f>IF(A346="","",Calculation!C352)</f>
        <v/>
      </c>
      <c r="G346" s="387" t="str">
        <f>IF(A346="","",LEFT(Calculation!O352,6))</f>
        <v/>
      </c>
      <c r="H346" s="388" t="str">
        <f>IF(A346="","",Calculation!DX352)</f>
        <v/>
      </c>
      <c r="I346" s="387" t="str">
        <f>IF(A346="","",Calculation!P352)</f>
        <v/>
      </c>
      <c r="J346" s="387" t="str">
        <f>IF(A346="","",HLOOKUP(LEFT(Calculation!BO352,7),LookUps!$C$38:$M$41,4))</f>
        <v/>
      </c>
      <c r="K346" s="387" t="str">
        <f>IF(A346="","",Calculation!M352)</f>
        <v/>
      </c>
      <c r="L346" s="387" t="str">
        <f>IF(A346="","",Calculation!S352)</f>
        <v/>
      </c>
      <c r="M346" s="389" t="str">
        <f>IF(A346="","",Calculation!N352)</f>
        <v/>
      </c>
      <c r="N346" s="390" t="str">
        <f>IF(A346="","",Calculation!R352)</f>
        <v/>
      </c>
      <c r="O346" s="391" t="str">
        <f>IF(A346="","",Calculation!$F$6)</f>
        <v/>
      </c>
      <c r="P346" s="392" t="str">
        <f>IF(A346="","",Calculation!$F$7)</f>
        <v/>
      </c>
      <c r="Q346" s="393" t="str">
        <f>IF(A346="","",Calculation!$F$13)</f>
        <v/>
      </c>
      <c r="R346" s="394" t="str">
        <f>IF(A346="","",Calculation!X352)</f>
        <v/>
      </c>
      <c r="S346" s="393" t="str">
        <f>IF(A346="","",Calculation!T352)</f>
        <v/>
      </c>
      <c r="T346" s="395" t="str">
        <f>IF(A346="","",IF(Calculation!$O$8="None","Water",CONCATENATE(Calculation!$O$8,"-",Calculation!$S$8,"%")))</f>
        <v/>
      </c>
      <c r="U346" s="393" t="str">
        <f>IF(A346="","",Calculation!$P$6)</f>
        <v/>
      </c>
      <c r="V346" s="393" t="str">
        <f>IF(A346="","",Calculation!AT352)</f>
        <v/>
      </c>
      <c r="W346" s="396" t="str">
        <f>IF(A346="","",Calculation!AP352)</f>
        <v/>
      </c>
      <c r="X346" s="396" t="str">
        <f>IF(A346="","",Calculation!AO352)</f>
        <v/>
      </c>
      <c r="Y346" s="396" t="str">
        <f>IF(A346="","",Calculation!AQ352)</f>
        <v/>
      </c>
      <c r="Z346" s="396" t="str">
        <f>IF(A346="","",Calculation!$H$6)</f>
        <v/>
      </c>
      <c r="AA346" s="397" t="str">
        <f>IF(A346="","",Calculation!$H$13)</f>
        <v/>
      </c>
      <c r="AB346" s="397" t="str">
        <f>IF(A346="","",Calculation!U352)</f>
        <v/>
      </c>
      <c r="AC346" s="398" t="str">
        <f>IF(A346="","",IF(Calculation!$O$9="None","Water",CONCATENATE(Calculation!$O$9,"-",Calculation!$S$9,"%")))</f>
        <v/>
      </c>
      <c r="AD346" s="396" t="str">
        <f>IF(A346="","",Calculation!$S$6)</f>
        <v/>
      </c>
      <c r="AE346" s="399" t="str">
        <f>IF(A346="","",Calculation!BA352)</f>
        <v/>
      </c>
      <c r="AF346" s="396" t="str">
        <f>IF(A346="","",Calculation!AX352)</f>
        <v/>
      </c>
      <c r="AG346" s="396" t="str">
        <f>IF(A346="","",Calculation!AW352)</f>
        <v/>
      </c>
      <c r="AH346" s="391" t="str">
        <f>IF(A346="","",Calculation!AY352)</f>
        <v/>
      </c>
      <c r="AI346" s="391" t="str">
        <f>IF(A346="","",Calculation!Y352)</f>
        <v/>
      </c>
      <c r="AJ346" s="401" t="str">
        <f>IF(Calculation!BD352&gt;0,Calculation!BD352," ")</f>
        <v xml:space="preserve"> </v>
      </c>
      <c r="AK346" s="401" t="str">
        <f>IF(Calculation!BD352&gt;0,Calculation!BE352," ")</f>
        <v xml:space="preserve"> </v>
      </c>
      <c r="AL346" s="401" t="str">
        <f>IF(Calculation!BD352&gt;0,Calculation!BF352," ")</f>
        <v xml:space="preserve"> </v>
      </c>
      <c r="AM346" s="401" t="str">
        <f>IF(Calculation!BD352&gt;0,Calculation!BG352," ")</f>
        <v xml:space="preserve"> </v>
      </c>
      <c r="AN346" s="391" t="str">
        <f>IF(Calculation!BH352="N/A","N/A",Calculation!BH352)</f>
        <v xml:space="preserve"> </v>
      </c>
      <c r="AO346" s="402" t="str">
        <f>IF(Calculation!BI352="N/A","N/A",Calculation!BI352)</f>
        <v/>
      </c>
      <c r="AP346" s="391" t="str">
        <f>IF(Calculation!BJ352="N/A","N/A",Calculation!BJ352)</f>
        <v/>
      </c>
      <c r="AQ346" s="402" t="str">
        <f>IF(Calculation!BK352="N/A","N/A",Calculation!BK352)</f>
        <v/>
      </c>
      <c r="AR346" s="391" t="str">
        <f>IF(Calculation!BL352="N/A","N/A",Calculation!BL352)</f>
        <v/>
      </c>
      <c r="AS346" s="402" t="str">
        <f>IF(Calculation!BM352="N/A","N/A",Calculation!BM352)</f>
        <v/>
      </c>
      <c r="AT346" s="400"/>
    </row>
    <row r="347" spans="1:46">
      <c r="A347" s="224" t="str">
        <f>IF(Calculation!BN353="","",CONCATENATE(Calculation!BO353,"-",Calculation!R353,"-",Calculation!S353,"-",Calculation!T353,"-",Calculation!U353))</f>
        <v/>
      </c>
      <c r="B347" s="224">
        <v>332</v>
      </c>
      <c r="C347" s="629" t="str">
        <f>IF(A347="","",Calculation!B353)</f>
        <v/>
      </c>
      <c r="D347" s="386" t="str">
        <f>IF(A347="","",Calculation!L353)</f>
        <v/>
      </c>
      <c r="E347" s="387" t="str">
        <f>IF(A347="","",Calculation!J353)</f>
        <v/>
      </c>
      <c r="F347" s="387" t="str">
        <f>IF(A347="","",Calculation!C353)</f>
        <v/>
      </c>
      <c r="G347" s="387" t="str">
        <f>IF(A347="","",LEFT(Calculation!O353,6))</f>
        <v/>
      </c>
      <c r="H347" s="388" t="str">
        <f>IF(A347="","",Calculation!DX353)</f>
        <v/>
      </c>
      <c r="I347" s="387" t="str">
        <f>IF(A347="","",Calculation!P353)</f>
        <v/>
      </c>
      <c r="J347" s="387" t="str">
        <f>IF(A347="","",HLOOKUP(LEFT(Calculation!BO353,7),LookUps!$C$38:$M$41,4))</f>
        <v/>
      </c>
      <c r="K347" s="387" t="str">
        <f>IF(A347="","",Calculation!M353)</f>
        <v/>
      </c>
      <c r="L347" s="387" t="str">
        <f>IF(A347="","",Calculation!S353)</f>
        <v/>
      </c>
      <c r="M347" s="389" t="str">
        <f>IF(A347="","",Calculation!N353)</f>
        <v/>
      </c>
      <c r="N347" s="390" t="str">
        <f>IF(A347="","",Calculation!R353)</f>
        <v/>
      </c>
      <c r="O347" s="391" t="str">
        <f>IF(A347="","",Calculation!$F$6)</f>
        <v/>
      </c>
      <c r="P347" s="392" t="str">
        <f>IF(A347="","",Calculation!$F$7)</f>
        <v/>
      </c>
      <c r="Q347" s="393" t="str">
        <f>IF(A347="","",Calculation!$F$13)</f>
        <v/>
      </c>
      <c r="R347" s="394" t="str">
        <f>IF(A347="","",Calculation!X353)</f>
        <v/>
      </c>
      <c r="S347" s="393" t="str">
        <f>IF(A347="","",Calculation!T353)</f>
        <v/>
      </c>
      <c r="T347" s="395" t="str">
        <f>IF(A347="","",IF(Calculation!$O$8="None","Water",CONCATENATE(Calculation!$O$8,"-",Calculation!$S$8,"%")))</f>
        <v/>
      </c>
      <c r="U347" s="393" t="str">
        <f>IF(A347="","",Calculation!$P$6)</f>
        <v/>
      </c>
      <c r="V347" s="393" t="str">
        <f>IF(A347="","",Calculation!AT353)</f>
        <v/>
      </c>
      <c r="W347" s="396" t="str">
        <f>IF(A347="","",Calculation!AP353)</f>
        <v/>
      </c>
      <c r="X347" s="396" t="str">
        <f>IF(A347="","",Calculation!AO353)</f>
        <v/>
      </c>
      <c r="Y347" s="396" t="str">
        <f>IF(A347="","",Calculation!AQ353)</f>
        <v/>
      </c>
      <c r="Z347" s="396" t="str">
        <f>IF(A347="","",Calculation!$H$6)</f>
        <v/>
      </c>
      <c r="AA347" s="397" t="str">
        <f>IF(A347="","",Calculation!$H$13)</f>
        <v/>
      </c>
      <c r="AB347" s="397" t="str">
        <f>IF(A347="","",Calculation!U353)</f>
        <v/>
      </c>
      <c r="AC347" s="398" t="str">
        <f>IF(A347="","",IF(Calculation!$O$9="None","Water",CONCATENATE(Calculation!$O$9,"-",Calculation!$S$9,"%")))</f>
        <v/>
      </c>
      <c r="AD347" s="396" t="str">
        <f>IF(A347="","",Calculation!$S$6)</f>
        <v/>
      </c>
      <c r="AE347" s="399" t="str">
        <f>IF(A347="","",Calculation!BA353)</f>
        <v/>
      </c>
      <c r="AF347" s="396" t="str">
        <f>IF(A347="","",Calculation!AX353)</f>
        <v/>
      </c>
      <c r="AG347" s="396" t="str">
        <f>IF(A347="","",Calculation!AW353)</f>
        <v/>
      </c>
      <c r="AH347" s="391" t="str">
        <f>IF(A347="","",Calculation!AY353)</f>
        <v/>
      </c>
      <c r="AI347" s="391" t="str">
        <f>IF(A347="","",Calculation!Y353)</f>
        <v/>
      </c>
      <c r="AJ347" s="401" t="str">
        <f>IF(Calculation!BD353&gt;0,Calculation!BD353," ")</f>
        <v xml:space="preserve"> </v>
      </c>
      <c r="AK347" s="401" t="str">
        <f>IF(Calculation!BD353&gt;0,Calculation!BE353," ")</f>
        <v xml:space="preserve"> </v>
      </c>
      <c r="AL347" s="401" t="str">
        <f>IF(Calculation!BD353&gt;0,Calculation!BF353," ")</f>
        <v xml:space="preserve"> </v>
      </c>
      <c r="AM347" s="401" t="str">
        <f>IF(Calculation!BD353&gt;0,Calculation!BG353," ")</f>
        <v xml:space="preserve"> </v>
      </c>
      <c r="AN347" s="391" t="str">
        <f>IF(Calculation!BH353="N/A","N/A",Calculation!BH353)</f>
        <v xml:space="preserve"> </v>
      </c>
      <c r="AO347" s="402" t="str">
        <f>IF(Calculation!BI353="N/A","N/A",Calculation!BI353)</f>
        <v/>
      </c>
      <c r="AP347" s="391" t="str">
        <f>IF(Calculation!BJ353="N/A","N/A",Calculation!BJ353)</f>
        <v/>
      </c>
      <c r="AQ347" s="402" t="str">
        <f>IF(Calculation!BK353="N/A","N/A",Calculation!BK353)</f>
        <v/>
      </c>
      <c r="AR347" s="391" t="str">
        <f>IF(Calculation!BL353="N/A","N/A",Calculation!BL353)</f>
        <v/>
      </c>
      <c r="AS347" s="402" t="str">
        <f>IF(Calculation!BM353="N/A","N/A",Calculation!BM353)</f>
        <v/>
      </c>
      <c r="AT347" s="400"/>
    </row>
    <row r="348" spans="1:46">
      <c r="A348" s="224" t="str">
        <f>IF(Calculation!BN354="","",CONCATENATE(Calculation!BO354,"-",Calculation!R354,"-",Calculation!S354,"-",Calculation!T354,"-",Calculation!U354))</f>
        <v/>
      </c>
      <c r="B348" s="224">
        <v>333</v>
      </c>
      <c r="C348" s="629" t="str">
        <f>IF(A348="","",Calculation!B354)</f>
        <v/>
      </c>
      <c r="D348" s="386" t="str">
        <f>IF(A348="","",Calculation!L354)</f>
        <v/>
      </c>
      <c r="E348" s="387" t="str">
        <f>IF(A348="","",Calculation!J354)</f>
        <v/>
      </c>
      <c r="F348" s="387" t="str">
        <f>IF(A348="","",Calculation!C354)</f>
        <v/>
      </c>
      <c r="G348" s="387" t="str">
        <f>IF(A348="","",LEFT(Calculation!O354,6))</f>
        <v/>
      </c>
      <c r="H348" s="388" t="str">
        <f>IF(A348="","",Calculation!DX354)</f>
        <v/>
      </c>
      <c r="I348" s="387" t="str">
        <f>IF(A348="","",Calculation!P354)</f>
        <v/>
      </c>
      <c r="J348" s="387" t="str">
        <f>IF(A348="","",HLOOKUP(LEFT(Calculation!BO354,7),LookUps!$C$38:$M$41,4))</f>
        <v/>
      </c>
      <c r="K348" s="387" t="str">
        <f>IF(A348="","",Calculation!M354)</f>
        <v/>
      </c>
      <c r="L348" s="387" t="str">
        <f>IF(A348="","",Calculation!S354)</f>
        <v/>
      </c>
      <c r="M348" s="389" t="str">
        <f>IF(A348="","",Calculation!N354)</f>
        <v/>
      </c>
      <c r="N348" s="390" t="str">
        <f>IF(A348="","",Calculation!R354)</f>
        <v/>
      </c>
      <c r="O348" s="391" t="str">
        <f>IF(A348="","",Calculation!$F$6)</f>
        <v/>
      </c>
      <c r="P348" s="392" t="str">
        <f>IF(A348="","",Calculation!$F$7)</f>
        <v/>
      </c>
      <c r="Q348" s="393" t="str">
        <f>IF(A348="","",Calculation!$F$13)</f>
        <v/>
      </c>
      <c r="R348" s="394" t="str">
        <f>IF(A348="","",Calculation!X354)</f>
        <v/>
      </c>
      <c r="S348" s="393" t="str">
        <f>IF(A348="","",Calculation!T354)</f>
        <v/>
      </c>
      <c r="T348" s="395" t="str">
        <f>IF(A348="","",IF(Calculation!$O$8="None","Water",CONCATENATE(Calculation!$O$8,"-",Calculation!$S$8,"%")))</f>
        <v/>
      </c>
      <c r="U348" s="393" t="str">
        <f>IF(A348="","",Calculation!$P$6)</f>
        <v/>
      </c>
      <c r="V348" s="393" t="str">
        <f>IF(A348="","",Calculation!AT354)</f>
        <v/>
      </c>
      <c r="W348" s="396" t="str">
        <f>IF(A348="","",Calculation!AP354)</f>
        <v/>
      </c>
      <c r="X348" s="396" t="str">
        <f>IF(A348="","",Calculation!AO354)</f>
        <v/>
      </c>
      <c r="Y348" s="396" t="str">
        <f>IF(A348="","",Calculation!AQ354)</f>
        <v/>
      </c>
      <c r="Z348" s="396" t="str">
        <f>IF(A348="","",Calculation!$H$6)</f>
        <v/>
      </c>
      <c r="AA348" s="397" t="str">
        <f>IF(A348="","",Calculation!$H$13)</f>
        <v/>
      </c>
      <c r="AB348" s="397" t="str">
        <f>IF(A348="","",Calculation!U354)</f>
        <v/>
      </c>
      <c r="AC348" s="398" t="str">
        <f>IF(A348="","",IF(Calculation!$O$9="None","Water",CONCATENATE(Calculation!$O$9,"-",Calculation!$S$9,"%")))</f>
        <v/>
      </c>
      <c r="AD348" s="396" t="str">
        <f>IF(A348="","",Calculation!$S$6)</f>
        <v/>
      </c>
      <c r="AE348" s="399" t="str">
        <f>IF(A348="","",Calculation!BA354)</f>
        <v/>
      </c>
      <c r="AF348" s="396" t="str">
        <f>IF(A348="","",Calculation!AX354)</f>
        <v/>
      </c>
      <c r="AG348" s="396" t="str">
        <f>IF(A348="","",Calculation!AW354)</f>
        <v/>
      </c>
      <c r="AH348" s="391" t="str">
        <f>IF(A348="","",Calculation!AY354)</f>
        <v/>
      </c>
      <c r="AI348" s="391" t="str">
        <f>IF(A348="","",Calculation!Y354)</f>
        <v/>
      </c>
      <c r="AJ348" s="401" t="str">
        <f>IF(Calculation!BD354&gt;0,Calculation!BD354," ")</f>
        <v xml:space="preserve"> </v>
      </c>
      <c r="AK348" s="401" t="str">
        <f>IF(Calculation!BD354&gt;0,Calculation!BE354," ")</f>
        <v xml:space="preserve"> </v>
      </c>
      <c r="AL348" s="401" t="str">
        <f>IF(Calculation!BD354&gt;0,Calculation!BF354," ")</f>
        <v xml:space="preserve"> </v>
      </c>
      <c r="AM348" s="401" t="str">
        <f>IF(Calculation!BD354&gt;0,Calculation!BG354," ")</f>
        <v xml:space="preserve"> </v>
      </c>
      <c r="AN348" s="391" t="str">
        <f>IF(Calculation!BH354="N/A","N/A",Calculation!BH354)</f>
        <v xml:space="preserve"> </v>
      </c>
      <c r="AO348" s="402" t="str">
        <f>IF(Calculation!BI354="N/A","N/A",Calculation!BI354)</f>
        <v/>
      </c>
      <c r="AP348" s="391" t="str">
        <f>IF(Calculation!BJ354="N/A","N/A",Calculation!BJ354)</f>
        <v/>
      </c>
      <c r="AQ348" s="402" t="str">
        <f>IF(Calculation!BK354="N/A","N/A",Calculation!BK354)</f>
        <v/>
      </c>
      <c r="AR348" s="391" t="str">
        <f>IF(Calculation!BL354="N/A","N/A",Calculation!BL354)</f>
        <v/>
      </c>
      <c r="AS348" s="402" t="str">
        <f>IF(Calculation!BM354="N/A","N/A",Calculation!BM354)</f>
        <v/>
      </c>
      <c r="AT348" s="400"/>
    </row>
    <row r="349" spans="1:46">
      <c r="A349" s="224" t="str">
        <f>IF(Calculation!BN355="","",CONCATENATE(Calculation!BO355,"-",Calculation!R355,"-",Calculation!S355,"-",Calculation!T355,"-",Calculation!U355))</f>
        <v/>
      </c>
      <c r="B349" s="224">
        <v>334</v>
      </c>
      <c r="C349" s="629" t="str">
        <f>IF(A349="","",Calculation!B355)</f>
        <v/>
      </c>
      <c r="D349" s="386" t="str">
        <f>IF(A349="","",Calculation!L355)</f>
        <v/>
      </c>
      <c r="E349" s="387" t="str">
        <f>IF(A349="","",Calculation!J355)</f>
        <v/>
      </c>
      <c r="F349" s="387" t="str">
        <f>IF(A349="","",Calculation!C355)</f>
        <v/>
      </c>
      <c r="G349" s="387" t="str">
        <f>IF(A349="","",LEFT(Calculation!O355,6))</f>
        <v/>
      </c>
      <c r="H349" s="388" t="str">
        <f>IF(A349="","",Calculation!DX355)</f>
        <v/>
      </c>
      <c r="I349" s="387" t="str">
        <f>IF(A349="","",Calculation!P355)</f>
        <v/>
      </c>
      <c r="J349" s="387" t="str">
        <f>IF(A349="","",HLOOKUP(LEFT(Calculation!BO355,7),LookUps!$C$38:$M$41,4))</f>
        <v/>
      </c>
      <c r="K349" s="387" t="str">
        <f>IF(A349="","",Calculation!M355)</f>
        <v/>
      </c>
      <c r="L349" s="387" t="str">
        <f>IF(A349="","",Calculation!S355)</f>
        <v/>
      </c>
      <c r="M349" s="389" t="str">
        <f>IF(A349="","",Calculation!N355)</f>
        <v/>
      </c>
      <c r="N349" s="390" t="str">
        <f>IF(A349="","",Calculation!R355)</f>
        <v/>
      </c>
      <c r="O349" s="391" t="str">
        <f>IF(A349="","",Calculation!$F$6)</f>
        <v/>
      </c>
      <c r="P349" s="392" t="str">
        <f>IF(A349="","",Calculation!$F$7)</f>
        <v/>
      </c>
      <c r="Q349" s="393" t="str">
        <f>IF(A349="","",Calculation!$F$13)</f>
        <v/>
      </c>
      <c r="R349" s="394" t="str">
        <f>IF(A349="","",Calculation!X355)</f>
        <v/>
      </c>
      <c r="S349" s="393" t="str">
        <f>IF(A349="","",Calculation!T355)</f>
        <v/>
      </c>
      <c r="T349" s="395" t="str">
        <f>IF(A349="","",IF(Calculation!$O$8="None","Water",CONCATENATE(Calculation!$O$8,"-",Calculation!$S$8,"%")))</f>
        <v/>
      </c>
      <c r="U349" s="393" t="str">
        <f>IF(A349="","",Calculation!$P$6)</f>
        <v/>
      </c>
      <c r="V349" s="393" t="str">
        <f>IF(A349="","",Calculation!AT355)</f>
        <v/>
      </c>
      <c r="W349" s="396" t="str">
        <f>IF(A349="","",Calculation!AP355)</f>
        <v/>
      </c>
      <c r="X349" s="396" t="str">
        <f>IF(A349="","",Calculation!AO355)</f>
        <v/>
      </c>
      <c r="Y349" s="396" t="str">
        <f>IF(A349="","",Calculation!AQ355)</f>
        <v/>
      </c>
      <c r="Z349" s="396" t="str">
        <f>IF(A349="","",Calculation!$H$6)</f>
        <v/>
      </c>
      <c r="AA349" s="397" t="str">
        <f>IF(A349="","",Calculation!$H$13)</f>
        <v/>
      </c>
      <c r="AB349" s="397" t="str">
        <f>IF(A349="","",Calculation!U355)</f>
        <v/>
      </c>
      <c r="AC349" s="398" t="str">
        <f>IF(A349="","",IF(Calculation!$O$9="None","Water",CONCATENATE(Calculation!$O$9,"-",Calculation!$S$9,"%")))</f>
        <v/>
      </c>
      <c r="AD349" s="396" t="str">
        <f>IF(A349="","",Calculation!$S$6)</f>
        <v/>
      </c>
      <c r="AE349" s="399" t="str">
        <f>IF(A349="","",Calculation!BA355)</f>
        <v/>
      </c>
      <c r="AF349" s="396" t="str">
        <f>IF(A349="","",Calculation!AX355)</f>
        <v/>
      </c>
      <c r="AG349" s="396" t="str">
        <f>IF(A349="","",Calculation!AW355)</f>
        <v/>
      </c>
      <c r="AH349" s="391" t="str">
        <f>IF(A349="","",Calculation!AY355)</f>
        <v/>
      </c>
      <c r="AI349" s="391" t="str">
        <f>IF(A349="","",Calculation!Y355)</f>
        <v/>
      </c>
      <c r="AJ349" s="401" t="str">
        <f>IF(Calculation!BD355&gt;0,Calculation!BD355," ")</f>
        <v xml:space="preserve"> </v>
      </c>
      <c r="AK349" s="401" t="str">
        <f>IF(Calculation!BD355&gt;0,Calculation!BE355," ")</f>
        <v xml:space="preserve"> </v>
      </c>
      <c r="AL349" s="401" t="str">
        <f>IF(Calculation!BD355&gt;0,Calculation!BF355," ")</f>
        <v xml:space="preserve"> </v>
      </c>
      <c r="AM349" s="401" t="str">
        <f>IF(Calculation!BD355&gt;0,Calculation!BG355," ")</f>
        <v xml:space="preserve"> </v>
      </c>
      <c r="AN349" s="391" t="str">
        <f>IF(Calculation!BH355="N/A","N/A",Calculation!BH355)</f>
        <v xml:space="preserve"> </v>
      </c>
      <c r="AO349" s="402" t="str">
        <f>IF(Calculation!BI355="N/A","N/A",Calculation!BI355)</f>
        <v/>
      </c>
      <c r="AP349" s="391" t="str">
        <f>IF(Calculation!BJ355="N/A","N/A",Calculation!BJ355)</f>
        <v/>
      </c>
      <c r="AQ349" s="402" t="str">
        <f>IF(Calculation!BK355="N/A","N/A",Calculation!BK355)</f>
        <v/>
      </c>
      <c r="AR349" s="391" t="str">
        <f>IF(Calculation!BL355="N/A","N/A",Calculation!BL355)</f>
        <v/>
      </c>
      <c r="AS349" s="402" t="str">
        <f>IF(Calculation!BM355="N/A","N/A",Calculation!BM355)</f>
        <v/>
      </c>
      <c r="AT349" s="400"/>
    </row>
    <row r="350" spans="1:46">
      <c r="A350" s="224" t="str">
        <f>IF(Calculation!BN356="","",CONCATENATE(Calculation!BO356,"-",Calculation!R356,"-",Calculation!S356,"-",Calculation!T356,"-",Calculation!U356))</f>
        <v/>
      </c>
      <c r="B350" s="224">
        <v>335</v>
      </c>
      <c r="C350" s="629" t="str">
        <f>IF(A350="","",Calculation!B356)</f>
        <v/>
      </c>
      <c r="D350" s="386" t="str">
        <f>IF(A350="","",Calculation!L356)</f>
        <v/>
      </c>
      <c r="E350" s="387" t="str">
        <f>IF(A350="","",Calculation!J356)</f>
        <v/>
      </c>
      <c r="F350" s="387" t="str">
        <f>IF(A350="","",Calculation!C356)</f>
        <v/>
      </c>
      <c r="G350" s="387" t="str">
        <f>IF(A350="","",LEFT(Calculation!O356,6))</f>
        <v/>
      </c>
      <c r="H350" s="388" t="str">
        <f>IF(A350="","",Calculation!DX356)</f>
        <v/>
      </c>
      <c r="I350" s="387" t="str">
        <f>IF(A350="","",Calculation!P356)</f>
        <v/>
      </c>
      <c r="J350" s="387" t="str">
        <f>IF(A350="","",HLOOKUP(LEFT(Calculation!BO356,7),LookUps!$C$38:$M$41,4))</f>
        <v/>
      </c>
      <c r="K350" s="387" t="str">
        <f>IF(A350="","",Calculation!M356)</f>
        <v/>
      </c>
      <c r="L350" s="387" t="str">
        <f>IF(A350="","",Calculation!S356)</f>
        <v/>
      </c>
      <c r="M350" s="389" t="str">
        <f>IF(A350="","",Calculation!N356)</f>
        <v/>
      </c>
      <c r="N350" s="390" t="str">
        <f>IF(A350="","",Calculation!R356)</f>
        <v/>
      </c>
      <c r="O350" s="391" t="str">
        <f>IF(A350="","",Calculation!$F$6)</f>
        <v/>
      </c>
      <c r="P350" s="392" t="str">
        <f>IF(A350="","",Calculation!$F$7)</f>
        <v/>
      </c>
      <c r="Q350" s="393" t="str">
        <f>IF(A350="","",Calculation!$F$13)</f>
        <v/>
      </c>
      <c r="R350" s="394" t="str">
        <f>IF(A350="","",Calculation!X356)</f>
        <v/>
      </c>
      <c r="S350" s="393" t="str">
        <f>IF(A350="","",Calculation!T356)</f>
        <v/>
      </c>
      <c r="T350" s="395" t="str">
        <f>IF(A350="","",IF(Calculation!$O$8="None","Water",CONCATENATE(Calculation!$O$8,"-",Calculation!$S$8,"%")))</f>
        <v/>
      </c>
      <c r="U350" s="393" t="str">
        <f>IF(A350="","",Calculation!$P$6)</f>
        <v/>
      </c>
      <c r="V350" s="393" t="str">
        <f>IF(A350="","",Calculation!AT356)</f>
        <v/>
      </c>
      <c r="W350" s="396" t="str">
        <f>IF(A350="","",Calculation!AP356)</f>
        <v/>
      </c>
      <c r="X350" s="396" t="str">
        <f>IF(A350="","",Calculation!AO356)</f>
        <v/>
      </c>
      <c r="Y350" s="396" t="str">
        <f>IF(A350="","",Calculation!AQ356)</f>
        <v/>
      </c>
      <c r="Z350" s="396" t="str">
        <f>IF(A350="","",Calculation!$H$6)</f>
        <v/>
      </c>
      <c r="AA350" s="397" t="str">
        <f>IF(A350="","",Calculation!$H$13)</f>
        <v/>
      </c>
      <c r="AB350" s="397" t="str">
        <f>IF(A350="","",Calculation!U356)</f>
        <v/>
      </c>
      <c r="AC350" s="398" t="str">
        <f>IF(A350="","",IF(Calculation!$O$9="None","Water",CONCATENATE(Calculation!$O$9,"-",Calculation!$S$9,"%")))</f>
        <v/>
      </c>
      <c r="AD350" s="396" t="str">
        <f>IF(A350="","",Calculation!$S$6)</f>
        <v/>
      </c>
      <c r="AE350" s="399" t="str">
        <f>IF(A350="","",Calculation!BA356)</f>
        <v/>
      </c>
      <c r="AF350" s="396" t="str">
        <f>IF(A350="","",Calculation!AX356)</f>
        <v/>
      </c>
      <c r="AG350" s="396" t="str">
        <f>IF(A350="","",Calculation!AW356)</f>
        <v/>
      </c>
      <c r="AH350" s="391" t="str">
        <f>IF(A350="","",Calculation!AY356)</f>
        <v/>
      </c>
      <c r="AI350" s="391" t="str">
        <f>IF(A350="","",Calculation!Y356)</f>
        <v/>
      </c>
      <c r="AJ350" s="401" t="str">
        <f>IF(Calculation!BD356&gt;0,Calculation!BD356," ")</f>
        <v xml:space="preserve"> </v>
      </c>
      <c r="AK350" s="401" t="str">
        <f>IF(Calculation!BD356&gt;0,Calculation!BE356," ")</f>
        <v xml:space="preserve"> </v>
      </c>
      <c r="AL350" s="401" t="str">
        <f>IF(Calculation!BD356&gt;0,Calculation!BF356," ")</f>
        <v xml:space="preserve"> </v>
      </c>
      <c r="AM350" s="401" t="str">
        <f>IF(Calculation!BD356&gt;0,Calculation!BG356," ")</f>
        <v xml:space="preserve"> </v>
      </c>
      <c r="AN350" s="391" t="str">
        <f>IF(Calculation!BH356="N/A","N/A",Calculation!BH356)</f>
        <v xml:space="preserve"> </v>
      </c>
      <c r="AO350" s="402" t="str">
        <f>IF(Calculation!BI356="N/A","N/A",Calculation!BI356)</f>
        <v/>
      </c>
      <c r="AP350" s="391" t="str">
        <f>IF(Calculation!BJ356="N/A","N/A",Calculation!BJ356)</f>
        <v/>
      </c>
      <c r="AQ350" s="402" t="str">
        <f>IF(Calculation!BK356="N/A","N/A",Calculation!BK356)</f>
        <v/>
      </c>
      <c r="AR350" s="391" t="str">
        <f>IF(Calculation!BL356="N/A","N/A",Calculation!BL356)</f>
        <v/>
      </c>
      <c r="AS350" s="402" t="str">
        <f>IF(Calculation!BM356="N/A","N/A",Calculation!BM356)</f>
        <v/>
      </c>
      <c r="AT350" s="400"/>
    </row>
    <row r="351" spans="1:46">
      <c r="A351" s="224" t="str">
        <f>IF(Calculation!BN357="","",CONCATENATE(Calculation!BO357,"-",Calculation!R357,"-",Calculation!S357,"-",Calculation!T357,"-",Calculation!U357))</f>
        <v/>
      </c>
      <c r="B351" s="224">
        <v>336</v>
      </c>
      <c r="C351" s="629" t="str">
        <f>IF(A351="","",Calculation!B357)</f>
        <v/>
      </c>
      <c r="D351" s="386" t="str">
        <f>IF(A351="","",Calculation!L357)</f>
        <v/>
      </c>
      <c r="E351" s="387" t="str">
        <f>IF(A351="","",Calculation!J357)</f>
        <v/>
      </c>
      <c r="F351" s="387" t="str">
        <f>IF(A351="","",Calculation!C357)</f>
        <v/>
      </c>
      <c r="G351" s="387" t="str">
        <f>IF(A351="","",LEFT(Calculation!O357,6))</f>
        <v/>
      </c>
      <c r="H351" s="388" t="str">
        <f>IF(A351="","",Calculation!DX357)</f>
        <v/>
      </c>
      <c r="I351" s="387" t="str">
        <f>IF(A351="","",Calculation!P357)</f>
        <v/>
      </c>
      <c r="J351" s="387" t="str">
        <f>IF(A351="","",HLOOKUP(LEFT(Calculation!BO357,7),LookUps!$C$38:$M$41,4))</f>
        <v/>
      </c>
      <c r="K351" s="387" t="str">
        <f>IF(A351="","",Calculation!M357)</f>
        <v/>
      </c>
      <c r="L351" s="387" t="str">
        <f>IF(A351="","",Calculation!S357)</f>
        <v/>
      </c>
      <c r="M351" s="389" t="str">
        <f>IF(A351="","",Calculation!N357)</f>
        <v/>
      </c>
      <c r="N351" s="390" t="str">
        <f>IF(A351="","",Calculation!R357)</f>
        <v/>
      </c>
      <c r="O351" s="391" t="str">
        <f>IF(A351="","",Calculation!$F$6)</f>
        <v/>
      </c>
      <c r="P351" s="392" t="str">
        <f>IF(A351="","",Calculation!$F$7)</f>
        <v/>
      </c>
      <c r="Q351" s="393" t="str">
        <f>IF(A351="","",Calculation!$F$13)</f>
        <v/>
      </c>
      <c r="R351" s="394" t="str">
        <f>IF(A351="","",Calculation!X357)</f>
        <v/>
      </c>
      <c r="S351" s="393" t="str">
        <f>IF(A351="","",Calculation!T357)</f>
        <v/>
      </c>
      <c r="T351" s="395" t="str">
        <f>IF(A351="","",IF(Calculation!$O$8="None","Water",CONCATENATE(Calculation!$O$8,"-",Calculation!$S$8,"%")))</f>
        <v/>
      </c>
      <c r="U351" s="393" t="str">
        <f>IF(A351="","",Calculation!$P$6)</f>
        <v/>
      </c>
      <c r="V351" s="393" t="str">
        <f>IF(A351="","",Calculation!AT357)</f>
        <v/>
      </c>
      <c r="W351" s="396" t="str">
        <f>IF(A351="","",Calculation!AP357)</f>
        <v/>
      </c>
      <c r="X351" s="396" t="str">
        <f>IF(A351="","",Calculation!AO357)</f>
        <v/>
      </c>
      <c r="Y351" s="396" t="str">
        <f>IF(A351="","",Calculation!AQ357)</f>
        <v/>
      </c>
      <c r="Z351" s="396" t="str">
        <f>IF(A351="","",Calculation!$H$6)</f>
        <v/>
      </c>
      <c r="AA351" s="397" t="str">
        <f>IF(A351="","",Calculation!$H$13)</f>
        <v/>
      </c>
      <c r="AB351" s="397" t="str">
        <f>IF(A351="","",Calculation!U357)</f>
        <v/>
      </c>
      <c r="AC351" s="398" t="str">
        <f>IF(A351="","",IF(Calculation!$O$9="None","Water",CONCATENATE(Calculation!$O$9,"-",Calculation!$S$9,"%")))</f>
        <v/>
      </c>
      <c r="AD351" s="396" t="str">
        <f>IF(A351="","",Calculation!$S$6)</f>
        <v/>
      </c>
      <c r="AE351" s="399" t="str">
        <f>IF(A351="","",Calculation!BA357)</f>
        <v/>
      </c>
      <c r="AF351" s="396" t="str">
        <f>IF(A351="","",Calculation!AX357)</f>
        <v/>
      </c>
      <c r="AG351" s="396" t="str">
        <f>IF(A351="","",Calculation!AW357)</f>
        <v/>
      </c>
      <c r="AH351" s="391" t="str">
        <f>IF(A351="","",Calculation!AY357)</f>
        <v/>
      </c>
      <c r="AI351" s="391" t="str">
        <f>IF(A351="","",Calculation!Y357)</f>
        <v/>
      </c>
      <c r="AJ351" s="401" t="str">
        <f>IF(Calculation!BD357&gt;0,Calculation!BD357," ")</f>
        <v xml:space="preserve"> </v>
      </c>
      <c r="AK351" s="401" t="str">
        <f>IF(Calculation!BD357&gt;0,Calculation!BE357," ")</f>
        <v xml:space="preserve"> </v>
      </c>
      <c r="AL351" s="401" t="str">
        <f>IF(Calculation!BD357&gt;0,Calculation!BF357," ")</f>
        <v xml:space="preserve"> </v>
      </c>
      <c r="AM351" s="401" t="str">
        <f>IF(Calculation!BD357&gt;0,Calculation!BG357," ")</f>
        <v xml:space="preserve"> </v>
      </c>
      <c r="AN351" s="391" t="str">
        <f>IF(Calculation!BH357="N/A","N/A",Calculation!BH357)</f>
        <v xml:space="preserve"> </v>
      </c>
      <c r="AO351" s="402" t="str">
        <f>IF(Calculation!BI357="N/A","N/A",Calculation!BI357)</f>
        <v/>
      </c>
      <c r="AP351" s="391" t="str">
        <f>IF(Calculation!BJ357="N/A","N/A",Calculation!BJ357)</f>
        <v/>
      </c>
      <c r="AQ351" s="402" t="str">
        <f>IF(Calculation!BK357="N/A","N/A",Calculation!BK357)</f>
        <v/>
      </c>
      <c r="AR351" s="391" t="str">
        <f>IF(Calculation!BL357="N/A","N/A",Calculation!BL357)</f>
        <v/>
      </c>
      <c r="AS351" s="402" t="str">
        <f>IF(Calculation!BM357="N/A","N/A",Calculation!BM357)</f>
        <v/>
      </c>
      <c r="AT351" s="400"/>
    </row>
    <row r="352" spans="1:46">
      <c r="A352" s="224" t="str">
        <f>IF(Calculation!BN358="","",CONCATENATE(Calculation!BO358,"-",Calculation!R358,"-",Calculation!S358,"-",Calculation!T358,"-",Calculation!U358))</f>
        <v/>
      </c>
      <c r="B352" s="224">
        <v>337</v>
      </c>
      <c r="C352" s="629" t="str">
        <f>IF(A352="","",Calculation!B358)</f>
        <v/>
      </c>
      <c r="D352" s="386" t="str">
        <f>IF(A352="","",Calculation!L358)</f>
        <v/>
      </c>
      <c r="E352" s="387" t="str">
        <f>IF(A352="","",Calculation!J358)</f>
        <v/>
      </c>
      <c r="F352" s="387" t="str">
        <f>IF(A352="","",Calculation!C358)</f>
        <v/>
      </c>
      <c r="G352" s="387" t="str">
        <f>IF(A352="","",LEFT(Calculation!O358,6))</f>
        <v/>
      </c>
      <c r="H352" s="388" t="str">
        <f>IF(A352="","",Calculation!DX358)</f>
        <v/>
      </c>
      <c r="I352" s="387" t="str">
        <f>IF(A352="","",Calculation!P358)</f>
        <v/>
      </c>
      <c r="J352" s="387" t="str">
        <f>IF(A352="","",HLOOKUP(LEFT(Calculation!BO358,7),LookUps!$C$38:$M$41,4))</f>
        <v/>
      </c>
      <c r="K352" s="387" t="str">
        <f>IF(A352="","",Calculation!M358)</f>
        <v/>
      </c>
      <c r="L352" s="387" t="str">
        <f>IF(A352="","",Calculation!S358)</f>
        <v/>
      </c>
      <c r="M352" s="389" t="str">
        <f>IF(A352="","",Calculation!N358)</f>
        <v/>
      </c>
      <c r="N352" s="390" t="str">
        <f>IF(A352="","",Calculation!R358)</f>
        <v/>
      </c>
      <c r="O352" s="391" t="str">
        <f>IF(A352="","",Calculation!$F$6)</f>
        <v/>
      </c>
      <c r="P352" s="392" t="str">
        <f>IF(A352="","",Calculation!$F$7)</f>
        <v/>
      </c>
      <c r="Q352" s="393" t="str">
        <f>IF(A352="","",Calculation!$F$13)</f>
        <v/>
      </c>
      <c r="R352" s="394" t="str">
        <f>IF(A352="","",Calculation!X358)</f>
        <v/>
      </c>
      <c r="S352" s="393" t="str">
        <f>IF(A352="","",Calculation!T358)</f>
        <v/>
      </c>
      <c r="T352" s="395" t="str">
        <f>IF(A352="","",IF(Calculation!$O$8="None","Water",CONCATENATE(Calculation!$O$8,"-",Calculation!$S$8,"%")))</f>
        <v/>
      </c>
      <c r="U352" s="393" t="str">
        <f>IF(A352="","",Calculation!$P$6)</f>
        <v/>
      </c>
      <c r="V352" s="393" t="str">
        <f>IF(A352="","",Calculation!AT358)</f>
        <v/>
      </c>
      <c r="W352" s="396" t="str">
        <f>IF(A352="","",Calculation!AP358)</f>
        <v/>
      </c>
      <c r="X352" s="396" t="str">
        <f>IF(A352="","",Calculation!AO358)</f>
        <v/>
      </c>
      <c r="Y352" s="396" t="str">
        <f>IF(A352="","",Calculation!AQ358)</f>
        <v/>
      </c>
      <c r="Z352" s="396" t="str">
        <f>IF(A352="","",Calculation!$H$6)</f>
        <v/>
      </c>
      <c r="AA352" s="397" t="str">
        <f>IF(A352="","",Calculation!$H$13)</f>
        <v/>
      </c>
      <c r="AB352" s="397" t="str">
        <f>IF(A352="","",Calculation!U358)</f>
        <v/>
      </c>
      <c r="AC352" s="398" t="str">
        <f>IF(A352="","",IF(Calculation!$O$9="None","Water",CONCATENATE(Calculation!$O$9,"-",Calculation!$S$9,"%")))</f>
        <v/>
      </c>
      <c r="AD352" s="396" t="str">
        <f>IF(A352="","",Calculation!$S$6)</f>
        <v/>
      </c>
      <c r="AE352" s="399" t="str">
        <f>IF(A352="","",Calculation!BA358)</f>
        <v/>
      </c>
      <c r="AF352" s="396" t="str">
        <f>IF(A352="","",Calculation!AX358)</f>
        <v/>
      </c>
      <c r="AG352" s="396" t="str">
        <f>IF(A352="","",Calculation!AW358)</f>
        <v/>
      </c>
      <c r="AH352" s="391" t="str">
        <f>IF(A352="","",Calculation!AY358)</f>
        <v/>
      </c>
      <c r="AI352" s="391" t="str">
        <f>IF(A352="","",Calculation!Y358)</f>
        <v/>
      </c>
      <c r="AJ352" s="401" t="str">
        <f>IF(Calculation!BD358&gt;0,Calculation!BD358," ")</f>
        <v xml:space="preserve"> </v>
      </c>
      <c r="AK352" s="401" t="str">
        <f>IF(Calculation!BD358&gt;0,Calculation!BE358," ")</f>
        <v xml:space="preserve"> </v>
      </c>
      <c r="AL352" s="401" t="str">
        <f>IF(Calculation!BD358&gt;0,Calculation!BF358," ")</f>
        <v xml:space="preserve"> </v>
      </c>
      <c r="AM352" s="401" t="str">
        <f>IF(Calculation!BD358&gt;0,Calculation!BG358," ")</f>
        <v xml:space="preserve"> </v>
      </c>
      <c r="AN352" s="391" t="str">
        <f>IF(Calculation!BH358="N/A","N/A",Calculation!BH358)</f>
        <v xml:space="preserve"> </v>
      </c>
      <c r="AO352" s="402" t="str">
        <f>IF(Calculation!BI358="N/A","N/A",Calculation!BI358)</f>
        <v/>
      </c>
      <c r="AP352" s="391" t="str">
        <f>IF(Calculation!BJ358="N/A","N/A",Calculation!BJ358)</f>
        <v/>
      </c>
      <c r="AQ352" s="402" t="str">
        <f>IF(Calculation!BK358="N/A","N/A",Calculation!BK358)</f>
        <v/>
      </c>
      <c r="AR352" s="391" t="str">
        <f>IF(Calculation!BL358="N/A","N/A",Calculation!BL358)</f>
        <v/>
      </c>
      <c r="AS352" s="402" t="str">
        <f>IF(Calculation!BM358="N/A","N/A",Calculation!BM358)</f>
        <v/>
      </c>
      <c r="AT352" s="400"/>
    </row>
    <row r="353" spans="1:46">
      <c r="A353" s="224" t="str">
        <f>IF(Calculation!BN359="","",CONCATENATE(Calculation!BO359,"-",Calculation!R359,"-",Calculation!S359,"-",Calculation!T359,"-",Calculation!U359))</f>
        <v/>
      </c>
      <c r="B353" s="224">
        <v>338</v>
      </c>
      <c r="C353" s="629" t="str">
        <f>IF(A353="","",Calculation!B359)</f>
        <v/>
      </c>
      <c r="D353" s="386" t="str">
        <f>IF(A353="","",Calculation!L359)</f>
        <v/>
      </c>
      <c r="E353" s="387" t="str">
        <f>IF(A353="","",Calculation!J359)</f>
        <v/>
      </c>
      <c r="F353" s="387" t="str">
        <f>IF(A353="","",Calculation!C359)</f>
        <v/>
      </c>
      <c r="G353" s="387" t="str">
        <f>IF(A353="","",LEFT(Calculation!O359,6))</f>
        <v/>
      </c>
      <c r="H353" s="388" t="str">
        <f>IF(A353="","",Calculation!DX359)</f>
        <v/>
      </c>
      <c r="I353" s="387" t="str">
        <f>IF(A353="","",Calculation!P359)</f>
        <v/>
      </c>
      <c r="J353" s="387" t="str">
        <f>IF(A353="","",HLOOKUP(LEFT(Calculation!BO359,7),LookUps!$C$38:$M$41,4))</f>
        <v/>
      </c>
      <c r="K353" s="387" t="str">
        <f>IF(A353="","",Calculation!M359)</f>
        <v/>
      </c>
      <c r="L353" s="387" t="str">
        <f>IF(A353="","",Calculation!S359)</f>
        <v/>
      </c>
      <c r="M353" s="389" t="str">
        <f>IF(A353="","",Calculation!N359)</f>
        <v/>
      </c>
      <c r="N353" s="390" t="str">
        <f>IF(A353="","",Calculation!R359)</f>
        <v/>
      </c>
      <c r="O353" s="391" t="str">
        <f>IF(A353="","",Calculation!$F$6)</f>
        <v/>
      </c>
      <c r="P353" s="392" t="str">
        <f>IF(A353="","",Calculation!$F$7)</f>
        <v/>
      </c>
      <c r="Q353" s="393" t="str">
        <f>IF(A353="","",Calculation!$F$13)</f>
        <v/>
      </c>
      <c r="R353" s="394" t="str">
        <f>IF(A353="","",Calculation!X359)</f>
        <v/>
      </c>
      <c r="S353" s="393" t="str">
        <f>IF(A353="","",Calculation!T359)</f>
        <v/>
      </c>
      <c r="T353" s="395" t="str">
        <f>IF(A353="","",IF(Calculation!$O$8="None","Water",CONCATENATE(Calculation!$O$8,"-",Calculation!$S$8,"%")))</f>
        <v/>
      </c>
      <c r="U353" s="393" t="str">
        <f>IF(A353="","",Calculation!$P$6)</f>
        <v/>
      </c>
      <c r="V353" s="393" t="str">
        <f>IF(A353="","",Calculation!AT359)</f>
        <v/>
      </c>
      <c r="W353" s="396" t="str">
        <f>IF(A353="","",Calculation!AP359)</f>
        <v/>
      </c>
      <c r="X353" s="396" t="str">
        <f>IF(A353="","",Calculation!AO359)</f>
        <v/>
      </c>
      <c r="Y353" s="396" t="str">
        <f>IF(A353="","",Calculation!AQ359)</f>
        <v/>
      </c>
      <c r="Z353" s="396" t="str">
        <f>IF(A353="","",Calculation!$H$6)</f>
        <v/>
      </c>
      <c r="AA353" s="397" t="str">
        <f>IF(A353="","",Calculation!$H$13)</f>
        <v/>
      </c>
      <c r="AB353" s="397" t="str">
        <f>IF(A353="","",Calculation!U359)</f>
        <v/>
      </c>
      <c r="AC353" s="398" t="str">
        <f>IF(A353="","",IF(Calculation!$O$9="None","Water",CONCATENATE(Calculation!$O$9,"-",Calculation!$S$9,"%")))</f>
        <v/>
      </c>
      <c r="AD353" s="396" t="str">
        <f>IF(A353="","",Calculation!$S$6)</f>
        <v/>
      </c>
      <c r="AE353" s="399" t="str">
        <f>IF(A353="","",Calculation!BA359)</f>
        <v/>
      </c>
      <c r="AF353" s="396" t="str">
        <f>IF(A353="","",Calculation!AX359)</f>
        <v/>
      </c>
      <c r="AG353" s="396" t="str">
        <f>IF(A353="","",Calculation!AW359)</f>
        <v/>
      </c>
      <c r="AH353" s="391" t="str">
        <f>IF(A353="","",Calculation!AY359)</f>
        <v/>
      </c>
      <c r="AI353" s="391" t="str">
        <f>IF(A353="","",Calculation!Y359)</f>
        <v/>
      </c>
      <c r="AJ353" s="401" t="str">
        <f>IF(Calculation!BD359&gt;0,Calculation!BD359," ")</f>
        <v xml:space="preserve"> </v>
      </c>
      <c r="AK353" s="401" t="str">
        <f>IF(Calculation!BD359&gt;0,Calculation!BE359," ")</f>
        <v xml:space="preserve"> </v>
      </c>
      <c r="AL353" s="401" t="str">
        <f>IF(Calculation!BD359&gt;0,Calculation!BF359," ")</f>
        <v xml:space="preserve"> </v>
      </c>
      <c r="AM353" s="401" t="str">
        <f>IF(Calculation!BD359&gt;0,Calculation!BG359," ")</f>
        <v xml:space="preserve"> </v>
      </c>
      <c r="AN353" s="391" t="str">
        <f>IF(Calculation!BH359="N/A","N/A",Calculation!BH359)</f>
        <v xml:space="preserve"> </v>
      </c>
      <c r="AO353" s="402" t="str">
        <f>IF(Calculation!BI359="N/A","N/A",Calculation!BI359)</f>
        <v/>
      </c>
      <c r="AP353" s="391" t="str">
        <f>IF(Calculation!BJ359="N/A","N/A",Calculation!BJ359)</f>
        <v/>
      </c>
      <c r="AQ353" s="402" t="str">
        <f>IF(Calculation!BK359="N/A","N/A",Calculation!BK359)</f>
        <v/>
      </c>
      <c r="AR353" s="391" t="str">
        <f>IF(Calculation!BL359="N/A","N/A",Calculation!BL359)</f>
        <v/>
      </c>
      <c r="AS353" s="402" t="str">
        <f>IF(Calculation!BM359="N/A","N/A",Calculation!BM359)</f>
        <v/>
      </c>
      <c r="AT353" s="400"/>
    </row>
    <row r="354" spans="1:46">
      <c r="A354" s="224" t="str">
        <f>IF(Calculation!BN360="","",CONCATENATE(Calculation!BO360,"-",Calculation!R360,"-",Calculation!S360,"-",Calculation!T360,"-",Calculation!U360))</f>
        <v/>
      </c>
      <c r="B354" s="224">
        <v>339</v>
      </c>
      <c r="C354" s="629" t="str">
        <f>IF(A354="","",Calculation!B360)</f>
        <v/>
      </c>
      <c r="D354" s="386" t="str">
        <f>IF(A354="","",Calculation!L360)</f>
        <v/>
      </c>
      <c r="E354" s="387" t="str">
        <f>IF(A354="","",Calculation!J360)</f>
        <v/>
      </c>
      <c r="F354" s="387" t="str">
        <f>IF(A354="","",Calculation!C360)</f>
        <v/>
      </c>
      <c r="G354" s="387" t="str">
        <f>IF(A354="","",LEFT(Calculation!O360,6))</f>
        <v/>
      </c>
      <c r="H354" s="388" t="str">
        <f>IF(A354="","",Calculation!DX360)</f>
        <v/>
      </c>
      <c r="I354" s="387" t="str">
        <f>IF(A354="","",Calculation!P360)</f>
        <v/>
      </c>
      <c r="J354" s="387" t="str">
        <f>IF(A354="","",HLOOKUP(LEFT(Calculation!BO360,7),LookUps!$C$38:$M$41,4))</f>
        <v/>
      </c>
      <c r="K354" s="387" t="str">
        <f>IF(A354="","",Calculation!M360)</f>
        <v/>
      </c>
      <c r="L354" s="387" t="str">
        <f>IF(A354="","",Calculation!S360)</f>
        <v/>
      </c>
      <c r="M354" s="389" t="str">
        <f>IF(A354="","",Calculation!N360)</f>
        <v/>
      </c>
      <c r="N354" s="390" t="str">
        <f>IF(A354="","",Calculation!R360)</f>
        <v/>
      </c>
      <c r="O354" s="391" t="str">
        <f>IF(A354="","",Calculation!$F$6)</f>
        <v/>
      </c>
      <c r="P354" s="392" t="str">
        <f>IF(A354="","",Calculation!$F$7)</f>
        <v/>
      </c>
      <c r="Q354" s="393" t="str">
        <f>IF(A354="","",Calculation!$F$13)</f>
        <v/>
      </c>
      <c r="R354" s="394" t="str">
        <f>IF(A354="","",Calculation!X360)</f>
        <v/>
      </c>
      <c r="S354" s="393" t="str">
        <f>IF(A354="","",Calculation!T360)</f>
        <v/>
      </c>
      <c r="T354" s="395" t="str">
        <f>IF(A354="","",IF(Calculation!$O$8="None","Water",CONCATENATE(Calculation!$O$8,"-",Calculation!$S$8,"%")))</f>
        <v/>
      </c>
      <c r="U354" s="393" t="str">
        <f>IF(A354="","",Calculation!$P$6)</f>
        <v/>
      </c>
      <c r="V354" s="393" t="str">
        <f>IF(A354="","",Calculation!AT360)</f>
        <v/>
      </c>
      <c r="W354" s="396" t="str">
        <f>IF(A354="","",Calculation!AP360)</f>
        <v/>
      </c>
      <c r="X354" s="396" t="str">
        <f>IF(A354="","",Calculation!AO360)</f>
        <v/>
      </c>
      <c r="Y354" s="396" t="str">
        <f>IF(A354="","",Calculation!AQ360)</f>
        <v/>
      </c>
      <c r="Z354" s="396" t="str">
        <f>IF(A354="","",Calculation!$H$6)</f>
        <v/>
      </c>
      <c r="AA354" s="397" t="str">
        <f>IF(A354="","",Calculation!$H$13)</f>
        <v/>
      </c>
      <c r="AB354" s="397" t="str">
        <f>IF(A354="","",Calculation!U360)</f>
        <v/>
      </c>
      <c r="AC354" s="398" t="str">
        <f>IF(A354="","",IF(Calculation!$O$9="None","Water",CONCATENATE(Calculation!$O$9,"-",Calculation!$S$9,"%")))</f>
        <v/>
      </c>
      <c r="AD354" s="396" t="str">
        <f>IF(A354="","",Calculation!$S$6)</f>
        <v/>
      </c>
      <c r="AE354" s="399" t="str">
        <f>IF(A354="","",Calculation!BA360)</f>
        <v/>
      </c>
      <c r="AF354" s="396" t="str">
        <f>IF(A354="","",Calculation!AX360)</f>
        <v/>
      </c>
      <c r="AG354" s="396" t="str">
        <f>IF(A354="","",Calculation!AW360)</f>
        <v/>
      </c>
      <c r="AH354" s="391" t="str">
        <f>IF(A354="","",Calculation!AY360)</f>
        <v/>
      </c>
      <c r="AI354" s="391" t="str">
        <f>IF(A354="","",Calculation!Y360)</f>
        <v/>
      </c>
      <c r="AJ354" s="401" t="str">
        <f>IF(Calculation!BD360&gt;0,Calculation!BD360," ")</f>
        <v xml:space="preserve"> </v>
      </c>
      <c r="AK354" s="401" t="str">
        <f>IF(Calculation!BD360&gt;0,Calculation!BE360," ")</f>
        <v xml:space="preserve"> </v>
      </c>
      <c r="AL354" s="401" t="str">
        <f>IF(Calculation!BD360&gt;0,Calculation!BF360," ")</f>
        <v xml:space="preserve"> </v>
      </c>
      <c r="AM354" s="401" t="str">
        <f>IF(Calculation!BD360&gt;0,Calculation!BG360," ")</f>
        <v xml:space="preserve"> </v>
      </c>
      <c r="AN354" s="391" t="str">
        <f>IF(Calculation!BH360="N/A","N/A",Calculation!BH360)</f>
        <v xml:space="preserve"> </v>
      </c>
      <c r="AO354" s="402" t="str">
        <f>IF(Calculation!BI360="N/A","N/A",Calculation!BI360)</f>
        <v/>
      </c>
      <c r="AP354" s="391" t="str">
        <f>IF(Calculation!BJ360="N/A","N/A",Calculation!BJ360)</f>
        <v/>
      </c>
      <c r="AQ354" s="402" t="str">
        <f>IF(Calculation!BK360="N/A","N/A",Calculation!BK360)</f>
        <v/>
      </c>
      <c r="AR354" s="391" t="str">
        <f>IF(Calculation!BL360="N/A","N/A",Calculation!BL360)</f>
        <v/>
      </c>
      <c r="AS354" s="402" t="str">
        <f>IF(Calculation!BM360="N/A","N/A",Calculation!BM360)</f>
        <v/>
      </c>
      <c r="AT354" s="400"/>
    </row>
    <row r="355" spans="1:46">
      <c r="A355" s="224" t="str">
        <f>IF(Calculation!BN361="","",CONCATENATE(Calculation!BO361,"-",Calculation!R361,"-",Calculation!S361,"-",Calculation!T361,"-",Calculation!U361))</f>
        <v/>
      </c>
      <c r="B355" s="224">
        <v>340</v>
      </c>
      <c r="C355" s="629" t="str">
        <f>IF(A355="","",Calculation!B361)</f>
        <v/>
      </c>
      <c r="D355" s="386" t="str">
        <f>IF(A355="","",Calculation!L361)</f>
        <v/>
      </c>
      <c r="E355" s="387" t="str">
        <f>IF(A355="","",Calculation!J361)</f>
        <v/>
      </c>
      <c r="F355" s="387" t="str">
        <f>IF(A355="","",Calculation!C361)</f>
        <v/>
      </c>
      <c r="G355" s="387" t="str">
        <f>IF(A355="","",LEFT(Calculation!O361,6))</f>
        <v/>
      </c>
      <c r="H355" s="388" t="str">
        <f>IF(A355="","",Calculation!DX361)</f>
        <v/>
      </c>
      <c r="I355" s="387" t="str">
        <f>IF(A355="","",Calculation!P361)</f>
        <v/>
      </c>
      <c r="J355" s="387" t="str">
        <f>IF(A355="","",HLOOKUP(LEFT(Calculation!BO361,7),LookUps!$C$38:$M$41,4))</f>
        <v/>
      </c>
      <c r="K355" s="387" t="str">
        <f>IF(A355="","",Calculation!M361)</f>
        <v/>
      </c>
      <c r="L355" s="387" t="str">
        <f>IF(A355="","",Calculation!S361)</f>
        <v/>
      </c>
      <c r="M355" s="389" t="str">
        <f>IF(A355="","",Calculation!N361)</f>
        <v/>
      </c>
      <c r="N355" s="390" t="str">
        <f>IF(A355="","",Calculation!R361)</f>
        <v/>
      </c>
      <c r="O355" s="391" t="str">
        <f>IF(A355="","",Calculation!$F$6)</f>
        <v/>
      </c>
      <c r="P355" s="392" t="str">
        <f>IF(A355="","",Calculation!$F$7)</f>
        <v/>
      </c>
      <c r="Q355" s="393" t="str">
        <f>IF(A355="","",Calculation!$F$13)</f>
        <v/>
      </c>
      <c r="R355" s="394" t="str">
        <f>IF(A355="","",Calculation!X361)</f>
        <v/>
      </c>
      <c r="S355" s="393" t="str">
        <f>IF(A355="","",Calculation!T361)</f>
        <v/>
      </c>
      <c r="T355" s="395" t="str">
        <f>IF(A355="","",IF(Calculation!$O$8="None","Water",CONCATENATE(Calculation!$O$8,"-",Calculation!$S$8,"%")))</f>
        <v/>
      </c>
      <c r="U355" s="393" t="str">
        <f>IF(A355="","",Calculation!$P$6)</f>
        <v/>
      </c>
      <c r="V355" s="393" t="str">
        <f>IF(A355="","",Calculation!AT361)</f>
        <v/>
      </c>
      <c r="W355" s="396" t="str">
        <f>IF(A355="","",Calculation!AP361)</f>
        <v/>
      </c>
      <c r="X355" s="396" t="str">
        <f>IF(A355="","",Calculation!AO361)</f>
        <v/>
      </c>
      <c r="Y355" s="396" t="str">
        <f>IF(A355="","",Calculation!AQ361)</f>
        <v/>
      </c>
      <c r="Z355" s="396" t="str">
        <f>IF(A355="","",Calculation!$H$6)</f>
        <v/>
      </c>
      <c r="AA355" s="397" t="str">
        <f>IF(A355="","",Calculation!$H$13)</f>
        <v/>
      </c>
      <c r="AB355" s="397" t="str">
        <f>IF(A355="","",Calculation!U361)</f>
        <v/>
      </c>
      <c r="AC355" s="398" t="str">
        <f>IF(A355="","",IF(Calculation!$O$9="None","Water",CONCATENATE(Calculation!$O$9,"-",Calculation!$S$9,"%")))</f>
        <v/>
      </c>
      <c r="AD355" s="396" t="str">
        <f>IF(A355="","",Calculation!$S$6)</f>
        <v/>
      </c>
      <c r="AE355" s="399" t="str">
        <f>IF(A355="","",Calculation!BA361)</f>
        <v/>
      </c>
      <c r="AF355" s="396" t="str">
        <f>IF(A355="","",Calculation!AX361)</f>
        <v/>
      </c>
      <c r="AG355" s="396" t="str">
        <f>IF(A355="","",Calculation!AW361)</f>
        <v/>
      </c>
      <c r="AH355" s="391" t="str">
        <f>IF(A355="","",Calculation!AY361)</f>
        <v/>
      </c>
      <c r="AI355" s="391" t="str">
        <f>IF(A355="","",Calculation!Y361)</f>
        <v/>
      </c>
      <c r="AJ355" s="401" t="str">
        <f>IF(Calculation!BD361&gt;0,Calculation!BD361," ")</f>
        <v xml:space="preserve"> </v>
      </c>
      <c r="AK355" s="401" t="str">
        <f>IF(Calculation!BD361&gt;0,Calculation!BE361," ")</f>
        <v xml:space="preserve"> </v>
      </c>
      <c r="AL355" s="401" t="str">
        <f>IF(Calculation!BD361&gt;0,Calculation!BF361," ")</f>
        <v xml:space="preserve"> </v>
      </c>
      <c r="AM355" s="401" t="str">
        <f>IF(Calculation!BD361&gt;0,Calculation!BG361," ")</f>
        <v xml:space="preserve"> </v>
      </c>
      <c r="AN355" s="391" t="str">
        <f>IF(Calculation!BH361="N/A","N/A",Calculation!BH361)</f>
        <v xml:space="preserve"> </v>
      </c>
      <c r="AO355" s="402" t="str">
        <f>IF(Calculation!BI361="N/A","N/A",Calculation!BI361)</f>
        <v/>
      </c>
      <c r="AP355" s="391" t="str">
        <f>IF(Calculation!BJ361="N/A","N/A",Calculation!BJ361)</f>
        <v/>
      </c>
      <c r="AQ355" s="402" t="str">
        <f>IF(Calculation!BK361="N/A","N/A",Calculation!BK361)</f>
        <v/>
      </c>
      <c r="AR355" s="391" t="str">
        <f>IF(Calculation!BL361="N/A","N/A",Calculation!BL361)</f>
        <v/>
      </c>
      <c r="AS355" s="402" t="str">
        <f>IF(Calculation!BM361="N/A","N/A",Calculation!BM361)</f>
        <v/>
      </c>
      <c r="AT355" s="400"/>
    </row>
    <row r="356" spans="1:46">
      <c r="A356" s="224" t="str">
        <f>IF(Calculation!BN362="","",CONCATENATE(Calculation!BO362,"-",Calculation!R362,"-",Calculation!S362,"-",Calculation!T362,"-",Calculation!U362))</f>
        <v/>
      </c>
      <c r="B356" s="224">
        <v>341</v>
      </c>
      <c r="C356" s="629" t="str">
        <f>IF(A356="","",Calculation!B362)</f>
        <v/>
      </c>
      <c r="D356" s="386" t="str">
        <f>IF(A356="","",Calculation!L362)</f>
        <v/>
      </c>
      <c r="E356" s="387" t="str">
        <f>IF(A356="","",Calculation!J362)</f>
        <v/>
      </c>
      <c r="F356" s="387" t="str">
        <f>IF(A356="","",Calculation!C362)</f>
        <v/>
      </c>
      <c r="G356" s="387" t="str">
        <f>IF(A356="","",LEFT(Calculation!O362,6))</f>
        <v/>
      </c>
      <c r="H356" s="388" t="str">
        <f>IF(A356="","",Calculation!DX362)</f>
        <v/>
      </c>
      <c r="I356" s="387" t="str">
        <f>IF(A356="","",Calculation!P362)</f>
        <v/>
      </c>
      <c r="J356" s="387" t="str">
        <f>IF(A356="","",HLOOKUP(LEFT(Calculation!BO362,7),LookUps!$C$38:$M$41,4))</f>
        <v/>
      </c>
      <c r="K356" s="387" t="str">
        <f>IF(A356="","",Calculation!M362)</f>
        <v/>
      </c>
      <c r="L356" s="387" t="str">
        <f>IF(A356="","",Calculation!S362)</f>
        <v/>
      </c>
      <c r="M356" s="389" t="str">
        <f>IF(A356="","",Calculation!N362)</f>
        <v/>
      </c>
      <c r="N356" s="390" t="str">
        <f>IF(A356="","",Calculation!R362)</f>
        <v/>
      </c>
      <c r="O356" s="391" t="str">
        <f>IF(A356="","",Calculation!$F$6)</f>
        <v/>
      </c>
      <c r="P356" s="392" t="str">
        <f>IF(A356="","",Calculation!$F$7)</f>
        <v/>
      </c>
      <c r="Q356" s="393" t="str">
        <f>IF(A356="","",Calculation!$F$13)</f>
        <v/>
      </c>
      <c r="R356" s="394" t="str">
        <f>IF(A356="","",Calculation!X362)</f>
        <v/>
      </c>
      <c r="S356" s="393" t="str">
        <f>IF(A356="","",Calculation!T362)</f>
        <v/>
      </c>
      <c r="T356" s="395" t="str">
        <f>IF(A356="","",IF(Calculation!$O$8="None","Water",CONCATENATE(Calculation!$O$8,"-",Calculation!$S$8,"%")))</f>
        <v/>
      </c>
      <c r="U356" s="393" t="str">
        <f>IF(A356="","",Calculation!$P$6)</f>
        <v/>
      </c>
      <c r="V356" s="393" t="str">
        <f>IF(A356="","",Calculation!AT362)</f>
        <v/>
      </c>
      <c r="W356" s="396" t="str">
        <f>IF(A356="","",Calculation!AP362)</f>
        <v/>
      </c>
      <c r="X356" s="396" t="str">
        <f>IF(A356="","",Calculation!AO362)</f>
        <v/>
      </c>
      <c r="Y356" s="396" t="str">
        <f>IF(A356="","",Calculation!AQ362)</f>
        <v/>
      </c>
      <c r="Z356" s="396" t="str">
        <f>IF(A356="","",Calculation!$H$6)</f>
        <v/>
      </c>
      <c r="AA356" s="397" t="str">
        <f>IF(A356="","",Calculation!$H$13)</f>
        <v/>
      </c>
      <c r="AB356" s="397" t="str">
        <f>IF(A356="","",Calculation!U362)</f>
        <v/>
      </c>
      <c r="AC356" s="398" t="str">
        <f>IF(A356="","",IF(Calculation!$O$9="None","Water",CONCATENATE(Calculation!$O$9,"-",Calculation!$S$9,"%")))</f>
        <v/>
      </c>
      <c r="AD356" s="396" t="str">
        <f>IF(A356="","",Calculation!$S$6)</f>
        <v/>
      </c>
      <c r="AE356" s="399" t="str">
        <f>IF(A356="","",Calculation!BA362)</f>
        <v/>
      </c>
      <c r="AF356" s="396" t="str">
        <f>IF(A356="","",Calculation!AX362)</f>
        <v/>
      </c>
      <c r="AG356" s="396" t="str">
        <f>IF(A356="","",Calculation!AW362)</f>
        <v/>
      </c>
      <c r="AH356" s="391" t="str">
        <f>IF(A356="","",Calculation!AY362)</f>
        <v/>
      </c>
      <c r="AI356" s="391" t="str">
        <f>IF(A356="","",Calculation!Y362)</f>
        <v/>
      </c>
      <c r="AJ356" s="401" t="str">
        <f>IF(Calculation!BD362&gt;0,Calculation!BD362," ")</f>
        <v xml:space="preserve"> </v>
      </c>
      <c r="AK356" s="401" t="str">
        <f>IF(Calculation!BD362&gt;0,Calculation!BE362," ")</f>
        <v xml:space="preserve"> </v>
      </c>
      <c r="AL356" s="401" t="str">
        <f>IF(Calculation!BD362&gt;0,Calculation!BF362," ")</f>
        <v xml:space="preserve"> </v>
      </c>
      <c r="AM356" s="401" t="str">
        <f>IF(Calculation!BD362&gt;0,Calculation!BG362," ")</f>
        <v xml:space="preserve"> </v>
      </c>
      <c r="AN356" s="391" t="str">
        <f>IF(Calculation!BH362="N/A","N/A",Calculation!BH362)</f>
        <v xml:space="preserve"> </v>
      </c>
      <c r="AO356" s="402" t="str">
        <f>IF(Calculation!BI362="N/A","N/A",Calculation!BI362)</f>
        <v/>
      </c>
      <c r="AP356" s="391" t="str">
        <f>IF(Calculation!BJ362="N/A","N/A",Calculation!BJ362)</f>
        <v/>
      </c>
      <c r="AQ356" s="402" t="str">
        <f>IF(Calculation!BK362="N/A","N/A",Calculation!BK362)</f>
        <v/>
      </c>
      <c r="AR356" s="391" t="str">
        <f>IF(Calculation!BL362="N/A","N/A",Calculation!BL362)</f>
        <v/>
      </c>
      <c r="AS356" s="402" t="str">
        <f>IF(Calculation!BM362="N/A","N/A",Calculation!BM362)</f>
        <v/>
      </c>
      <c r="AT356" s="400"/>
    </row>
    <row r="357" spans="1:46">
      <c r="A357" s="224" t="str">
        <f>IF(Calculation!BN363="","",CONCATENATE(Calculation!BO363,"-",Calculation!R363,"-",Calculation!S363,"-",Calculation!T363,"-",Calculation!U363))</f>
        <v/>
      </c>
      <c r="B357" s="224">
        <v>342</v>
      </c>
      <c r="C357" s="629" t="str">
        <f>IF(A357="","",Calculation!B363)</f>
        <v/>
      </c>
      <c r="D357" s="386" t="str">
        <f>IF(A357="","",Calculation!L363)</f>
        <v/>
      </c>
      <c r="E357" s="387" t="str">
        <f>IF(A357="","",Calculation!J363)</f>
        <v/>
      </c>
      <c r="F357" s="387" t="str">
        <f>IF(A357="","",Calculation!C363)</f>
        <v/>
      </c>
      <c r="G357" s="387" t="str">
        <f>IF(A357="","",LEFT(Calculation!O363,6))</f>
        <v/>
      </c>
      <c r="H357" s="388" t="str">
        <f>IF(A357="","",Calculation!DX363)</f>
        <v/>
      </c>
      <c r="I357" s="387" t="str">
        <f>IF(A357="","",Calculation!P363)</f>
        <v/>
      </c>
      <c r="J357" s="387" t="str">
        <f>IF(A357="","",HLOOKUP(LEFT(Calculation!BO363,7),LookUps!$C$38:$M$41,4))</f>
        <v/>
      </c>
      <c r="K357" s="387" t="str">
        <f>IF(A357="","",Calculation!M363)</f>
        <v/>
      </c>
      <c r="L357" s="387" t="str">
        <f>IF(A357="","",Calculation!S363)</f>
        <v/>
      </c>
      <c r="M357" s="389" t="str">
        <f>IF(A357="","",Calculation!N363)</f>
        <v/>
      </c>
      <c r="N357" s="390" t="str">
        <f>IF(A357="","",Calculation!R363)</f>
        <v/>
      </c>
      <c r="O357" s="391" t="str">
        <f>IF(A357="","",Calculation!$F$6)</f>
        <v/>
      </c>
      <c r="P357" s="392" t="str">
        <f>IF(A357="","",Calculation!$F$7)</f>
        <v/>
      </c>
      <c r="Q357" s="393" t="str">
        <f>IF(A357="","",Calculation!$F$13)</f>
        <v/>
      </c>
      <c r="R357" s="394" t="str">
        <f>IF(A357="","",Calculation!X363)</f>
        <v/>
      </c>
      <c r="S357" s="393" t="str">
        <f>IF(A357="","",Calculation!T363)</f>
        <v/>
      </c>
      <c r="T357" s="395" t="str">
        <f>IF(A357="","",IF(Calculation!$O$8="None","Water",CONCATENATE(Calculation!$O$8,"-",Calculation!$S$8,"%")))</f>
        <v/>
      </c>
      <c r="U357" s="393" t="str">
        <f>IF(A357="","",Calculation!$P$6)</f>
        <v/>
      </c>
      <c r="V357" s="393" t="str">
        <f>IF(A357="","",Calculation!AT363)</f>
        <v/>
      </c>
      <c r="W357" s="396" t="str">
        <f>IF(A357="","",Calculation!AP363)</f>
        <v/>
      </c>
      <c r="X357" s="396" t="str">
        <f>IF(A357="","",Calculation!AO363)</f>
        <v/>
      </c>
      <c r="Y357" s="396" t="str">
        <f>IF(A357="","",Calculation!AQ363)</f>
        <v/>
      </c>
      <c r="Z357" s="396" t="str">
        <f>IF(A357="","",Calculation!$H$6)</f>
        <v/>
      </c>
      <c r="AA357" s="397" t="str">
        <f>IF(A357="","",Calculation!$H$13)</f>
        <v/>
      </c>
      <c r="AB357" s="397" t="str">
        <f>IF(A357="","",Calculation!U363)</f>
        <v/>
      </c>
      <c r="AC357" s="398" t="str">
        <f>IF(A357="","",IF(Calculation!$O$9="None","Water",CONCATENATE(Calculation!$O$9,"-",Calculation!$S$9,"%")))</f>
        <v/>
      </c>
      <c r="AD357" s="396" t="str">
        <f>IF(A357="","",Calculation!$S$6)</f>
        <v/>
      </c>
      <c r="AE357" s="399" t="str">
        <f>IF(A357="","",Calculation!BA363)</f>
        <v/>
      </c>
      <c r="AF357" s="396" t="str">
        <f>IF(A357="","",Calculation!AX363)</f>
        <v/>
      </c>
      <c r="AG357" s="396" t="str">
        <f>IF(A357="","",Calculation!AW363)</f>
        <v/>
      </c>
      <c r="AH357" s="391" t="str">
        <f>IF(A357="","",Calculation!AY363)</f>
        <v/>
      </c>
      <c r="AI357" s="391" t="str">
        <f>IF(A357="","",Calculation!Y363)</f>
        <v/>
      </c>
      <c r="AJ357" s="401" t="str">
        <f>IF(Calculation!BD363&gt;0,Calculation!BD363," ")</f>
        <v xml:space="preserve"> </v>
      </c>
      <c r="AK357" s="401" t="str">
        <f>IF(Calculation!BD363&gt;0,Calculation!BE363," ")</f>
        <v xml:space="preserve"> </v>
      </c>
      <c r="AL357" s="401" t="str">
        <f>IF(Calculation!BD363&gt;0,Calculation!BF363," ")</f>
        <v xml:space="preserve"> </v>
      </c>
      <c r="AM357" s="401" t="str">
        <f>IF(Calculation!BD363&gt;0,Calculation!BG363," ")</f>
        <v xml:space="preserve"> </v>
      </c>
      <c r="AN357" s="391" t="str">
        <f>IF(Calculation!BH363="N/A","N/A",Calculation!BH363)</f>
        <v xml:space="preserve"> </v>
      </c>
      <c r="AO357" s="402" t="str">
        <f>IF(Calculation!BI363="N/A","N/A",Calculation!BI363)</f>
        <v/>
      </c>
      <c r="AP357" s="391" t="str">
        <f>IF(Calculation!BJ363="N/A","N/A",Calculation!BJ363)</f>
        <v/>
      </c>
      <c r="AQ357" s="402" t="str">
        <f>IF(Calculation!BK363="N/A","N/A",Calculation!BK363)</f>
        <v/>
      </c>
      <c r="AR357" s="391" t="str">
        <f>IF(Calculation!BL363="N/A","N/A",Calculation!BL363)</f>
        <v/>
      </c>
      <c r="AS357" s="402" t="str">
        <f>IF(Calculation!BM363="N/A","N/A",Calculation!BM363)</f>
        <v/>
      </c>
      <c r="AT357" s="400"/>
    </row>
    <row r="358" spans="1:46">
      <c r="A358" s="224" t="str">
        <f>IF(Calculation!BN364="","",CONCATENATE(Calculation!BO364,"-",Calculation!R364,"-",Calculation!S364,"-",Calculation!T364,"-",Calculation!U364))</f>
        <v/>
      </c>
      <c r="B358" s="224">
        <v>343</v>
      </c>
      <c r="C358" s="629" t="str">
        <f>IF(A358="","",Calculation!B364)</f>
        <v/>
      </c>
      <c r="D358" s="386" t="str">
        <f>IF(A358="","",Calculation!L364)</f>
        <v/>
      </c>
      <c r="E358" s="387" t="str">
        <f>IF(A358="","",Calculation!J364)</f>
        <v/>
      </c>
      <c r="F358" s="387" t="str">
        <f>IF(A358="","",Calculation!C364)</f>
        <v/>
      </c>
      <c r="G358" s="387" t="str">
        <f>IF(A358="","",LEFT(Calculation!O364,6))</f>
        <v/>
      </c>
      <c r="H358" s="388" t="str">
        <f>IF(A358="","",Calculation!DX364)</f>
        <v/>
      </c>
      <c r="I358" s="387" t="str">
        <f>IF(A358="","",Calculation!P364)</f>
        <v/>
      </c>
      <c r="J358" s="387" t="str">
        <f>IF(A358="","",HLOOKUP(LEFT(Calculation!BO364,7),LookUps!$C$38:$M$41,4))</f>
        <v/>
      </c>
      <c r="K358" s="387" t="str">
        <f>IF(A358="","",Calculation!M364)</f>
        <v/>
      </c>
      <c r="L358" s="387" t="str">
        <f>IF(A358="","",Calculation!S364)</f>
        <v/>
      </c>
      <c r="M358" s="389" t="str">
        <f>IF(A358="","",Calculation!N364)</f>
        <v/>
      </c>
      <c r="N358" s="390" t="str">
        <f>IF(A358="","",Calculation!R364)</f>
        <v/>
      </c>
      <c r="O358" s="391" t="str">
        <f>IF(A358="","",Calculation!$F$6)</f>
        <v/>
      </c>
      <c r="P358" s="392" t="str">
        <f>IF(A358="","",Calculation!$F$7)</f>
        <v/>
      </c>
      <c r="Q358" s="393" t="str">
        <f>IF(A358="","",Calculation!$F$13)</f>
        <v/>
      </c>
      <c r="R358" s="394" t="str">
        <f>IF(A358="","",Calculation!X364)</f>
        <v/>
      </c>
      <c r="S358" s="393" t="str">
        <f>IF(A358="","",Calculation!T364)</f>
        <v/>
      </c>
      <c r="T358" s="395" t="str">
        <f>IF(A358="","",IF(Calculation!$O$8="None","Water",CONCATENATE(Calculation!$O$8,"-",Calculation!$S$8,"%")))</f>
        <v/>
      </c>
      <c r="U358" s="393" t="str">
        <f>IF(A358="","",Calculation!$P$6)</f>
        <v/>
      </c>
      <c r="V358" s="393" t="str">
        <f>IF(A358="","",Calculation!AT364)</f>
        <v/>
      </c>
      <c r="W358" s="396" t="str">
        <f>IF(A358="","",Calculation!AP364)</f>
        <v/>
      </c>
      <c r="X358" s="396" t="str">
        <f>IF(A358="","",Calculation!AO364)</f>
        <v/>
      </c>
      <c r="Y358" s="396" t="str">
        <f>IF(A358="","",Calculation!AQ364)</f>
        <v/>
      </c>
      <c r="Z358" s="396" t="str">
        <f>IF(A358="","",Calculation!$H$6)</f>
        <v/>
      </c>
      <c r="AA358" s="397" t="str">
        <f>IF(A358="","",Calculation!$H$13)</f>
        <v/>
      </c>
      <c r="AB358" s="397" t="str">
        <f>IF(A358="","",Calculation!U364)</f>
        <v/>
      </c>
      <c r="AC358" s="398" t="str">
        <f>IF(A358="","",IF(Calculation!$O$9="None","Water",CONCATENATE(Calculation!$O$9,"-",Calculation!$S$9,"%")))</f>
        <v/>
      </c>
      <c r="AD358" s="396" t="str">
        <f>IF(A358="","",Calculation!$S$6)</f>
        <v/>
      </c>
      <c r="AE358" s="399" t="str">
        <f>IF(A358="","",Calculation!BA364)</f>
        <v/>
      </c>
      <c r="AF358" s="396" t="str">
        <f>IF(A358="","",Calculation!AX364)</f>
        <v/>
      </c>
      <c r="AG358" s="396" t="str">
        <f>IF(A358="","",Calculation!AW364)</f>
        <v/>
      </c>
      <c r="AH358" s="391" t="str">
        <f>IF(A358="","",Calculation!AY364)</f>
        <v/>
      </c>
      <c r="AI358" s="391" t="str">
        <f>IF(A358="","",Calculation!Y364)</f>
        <v/>
      </c>
      <c r="AJ358" s="401" t="str">
        <f>IF(Calculation!BD364&gt;0,Calculation!BD364," ")</f>
        <v xml:space="preserve"> </v>
      </c>
      <c r="AK358" s="401" t="str">
        <f>IF(Calculation!BD364&gt;0,Calculation!BE364," ")</f>
        <v xml:space="preserve"> </v>
      </c>
      <c r="AL358" s="401" t="str">
        <f>IF(Calculation!BD364&gt;0,Calculation!BF364," ")</f>
        <v xml:space="preserve"> </v>
      </c>
      <c r="AM358" s="401" t="str">
        <f>IF(Calculation!BD364&gt;0,Calculation!BG364," ")</f>
        <v xml:space="preserve"> </v>
      </c>
      <c r="AN358" s="391" t="str">
        <f>IF(Calculation!BH364="N/A","N/A",Calculation!BH364)</f>
        <v xml:space="preserve"> </v>
      </c>
      <c r="AO358" s="402" t="str">
        <f>IF(Calculation!BI364="N/A","N/A",Calculation!BI364)</f>
        <v/>
      </c>
      <c r="AP358" s="391" t="str">
        <f>IF(Calculation!BJ364="N/A","N/A",Calculation!BJ364)</f>
        <v/>
      </c>
      <c r="AQ358" s="402" t="str">
        <f>IF(Calculation!BK364="N/A","N/A",Calculation!BK364)</f>
        <v/>
      </c>
      <c r="AR358" s="391" t="str">
        <f>IF(Calculation!BL364="N/A","N/A",Calculation!BL364)</f>
        <v/>
      </c>
      <c r="AS358" s="402" t="str">
        <f>IF(Calculation!BM364="N/A","N/A",Calculation!BM364)</f>
        <v/>
      </c>
      <c r="AT358" s="400"/>
    </row>
    <row r="359" spans="1:46">
      <c r="A359" s="224" t="str">
        <f>IF(Calculation!BN365="","",CONCATENATE(Calculation!BO365,"-",Calculation!R365,"-",Calculation!S365,"-",Calculation!T365,"-",Calculation!U365))</f>
        <v/>
      </c>
      <c r="B359" s="224">
        <v>344</v>
      </c>
      <c r="C359" s="629" t="str">
        <f>IF(A359="","",Calculation!B365)</f>
        <v/>
      </c>
      <c r="D359" s="386" t="str">
        <f>IF(A359="","",Calculation!L365)</f>
        <v/>
      </c>
      <c r="E359" s="387" t="str">
        <f>IF(A359="","",Calculation!J365)</f>
        <v/>
      </c>
      <c r="F359" s="387" t="str">
        <f>IF(A359="","",Calculation!C365)</f>
        <v/>
      </c>
      <c r="G359" s="387" t="str">
        <f>IF(A359="","",LEFT(Calculation!O365,6))</f>
        <v/>
      </c>
      <c r="H359" s="388" t="str">
        <f>IF(A359="","",Calculation!DX365)</f>
        <v/>
      </c>
      <c r="I359" s="387" t="str">
        <f>IF(A359="","",Calculation!P365)</f>
        <v/>
      </c>
      <c r="J359" s="387" t="str">
        <f>IF(A359="","",HLOOKUP(LEFT(Calculation!BO365,7),LookUps!$C$38:$M$41,4))</f>
        <v/>
      </c>
      <c r="K359" s="387" t="str">
        <f>IF(A359="","",Calculation!M365)</f>
        <v/>
      </c>
      <c r="L359" s="387" t="str">
        <f>IF(A359="","",Calculation!S365)</f>
        <v/>
      </c>
      <c r="M359" s="389" t="str">
        <f>IF(A359="","",Calculation!N365)</f>
        <v/>
      </c>
      <c r="N359" s="390" t="str">
        <f>IF(A359="","",Calculation!R365)</f>
        <v/>
      </c>
      <c r="O359" s="391" t="str">
        <f>IF(A359="","",Calculation!$F$6)</f>
        <v/>
      </c>
      <c r="P359" s="392" t="str">
        <f>IF(A359="","",Calculation!$F$7)</f>
        <v/>
      </c>
      <c r="Q359" s="393" t="str">
        <f>IF(A359="","",Calculation!$F$13)</f>
        <v/>
      </c>
      <c r="R359" s="394" t="str">
        <f>IF(A359="","",Calculation!X365)</f>
        <v/>
      </c>
      <c r="S359" s="393" t="str">
        <f>IF(A359="","",Calculation!T365)</f>
        <v/>
      </c>
      <c r="T359" s="395" t="str">
        <f>IF(A359="","",IF(Calculation!$O$8="None","Water",CONCATENATE(Calculation!$O$8,"-",Calculation!$S$8,"%")))</f>
        <v/>
      </c>
      <c r="U359" s="393" t="str">
        <f>IF(A359="","",Calculation!$P$6)</f>
        <v/>
      </c>
      <c r="V359" s="393" t="str">
        <f>IF(A359="","",Calculation!AT365)</f>
        <v/>
      </c>
      <c r="W359" s="396" t="str">
        <f>IF(A359="","",Calculation!AP365)</f>
        <v/>
      </c>
      <c r="X359" s="396" t="str">
        <f>IF(A359="","",Calculation!AO365)</f>
        <v/>
      </c>
      <c r="Y359" s="396" t="str">
        <f>IF(A359="","",Calculation!AQ365)</f>
        <v/>
      </c>
      <c r="Z359" s="396" t="str">
        <f>IF(A359="","",Calculation!$H$6)</f>
        <v/>
      </c>
      <c r="AA359" s="397" t="str">
        <f>IF(A359="","",Calculation!$H$13)</f>
        <v/>
      </c>
      <c r="AB359" s="397" t="str">
        <f>IF(A359="","",Calculation!U365)</f>
        <v/>
      </c>
      <c r="AC359" s="398" t="str">
        <f>IF(A359="","",IF(Calculation!$O$9="None","Water",CONCATENATE(Calculation!$O$9,"-",Calculation!$S$9,"%")))</f>
        <v/>
      </c>
      <c r="AD359" s="396" t="str">
        <f>IF(A359="","",Calculation!$S$6)</f>
        <v/>
      </c>
      <c r="AE359" s="399" t="str">
        <f>IF(A359="","",Calculation!BA365)</f>
        <v/>
      </c>
      <c r="AF359" s="396" t="str">
        <f>IF(A359="","",Calculation!AX365)</f>
        <v/>
      </c>
      <c r="AG359" s="396" t="str">
        <f>IF(A359="","",Calculation!AW365)</f>
        <v/>
      </c>
      <c r="AH359" s="391" t="str">
        <f>IF(A359="","",Calculation!AY365)</f>
        <v/>
      </c>
      <c r="AI359" s="391" t="str">
        <f>IF(A359="","",Calculation!Y365)</f>
        <v/>
      </c>
      <c r="AJ359" s="401" t="str">
        <f>IF(Calculation!BD365&gt;0,Calculation!BD365," ")</f>
        <v xml:space="preserve"> </v>
      </c>
      <c r="AK359" s="401" t="str">
        <f>IF(Calculation!BD365&gt;0,Calculation!BE365," ")</f>
        <v xml:space="preserve"> </v>
      </c>
      <c r="AL359" s="401" t="str">
        <f>IF(Calculation!BD365&gt;0,Calculation!BF365," ")</f>
        <v xml:space="preserve"> </v>
      </c>
      <c r="AM359" s="401" t="str">
        <f>IF(Calculation!BD365&gt;0,Calculation!BG365," ")</f>
        <v xml:space="preserve"> </v>
      </c>
      <c r="AN359" s="391" t="str">
        <f>IF(Calculation!BH365="N/A","N/A",Calculation!BH365)</f>
        <v xml:space="preserve"> </v>
      </c>
      <c r="AO359" s="402" t="str">
        <f>IF(Calculation!BI365="N/A","N/A",Calculation!BI365)</f>
        <v/>
      </c>
      <c r="AP359" s="391" t="str">
        <f>IF(Calculation!BJ365="N/A","N/A",Calculation!BJ365)</f>
        <v/>
      </c>
      <c r="AQ359" s="402" t="str">
        <f>IF(Calculation!BK365="N/A","N/A",Calculation!BK365)</f>
        <v/>
      </c>
      <c r="AR359" s="391" t="str">
        <f>IF(Calculation!BL365="N/A","N/A",Calculation!BL365)</f>
        <v/>
      </c>
      <c r="AS359" s="402" t="str">
        <f>IF(Calculation!BM365="N/A","N/A",Calculation!BM365)</f>
        <v/>
      </c>
      <c r="AT359" s="400"/>
    </row>
    <row r="360" spans="1:46">
      <c r="A360" s="224" t="str">
        <f>IF(Calculation!BN366="","",CONCATENATE(Calculation!BO366,"-",Calculation!R366,"-",Calculation!S366,"-",Calculation!T366,"-",Calculation!U366))</f>
        <v/>
      </c>
      <c r="B360" s="224">
        <v>345</v>
      </c>
      <c r="C360" s="629" t="str">
        <f>IF(A360="","",Calculation!B366)</f>
        <v/>
      </c>
      <c r="D360" s="386" t="str">
        <f>IF(A360="","",Calculation!L366)</f>
        <v/>
      </c>
      <c r="E360" s="387" t="str">
        <f>IF(A360="","",Calculation!J366)</f>
        <v/>
      </c>
      <c r="F360" s="387" t="str">
        <f>IF(A360="","",Calculation!C366)</f>
        <v/>
      </c>
      <c r="G360" s="387" t="str">
        <f>IF(A360="","",LEFT(Calculation!O366,6))</f>
        <v/>
      </c>
      <c r="H360" s="388" t="str">
        <f>IF(A360="","",Calculation!DX366)</f>
        <v/>
      </c>
      <c r="I360" s="387" t="str">
        <f>IF(A360="","",Calculation!P366)</f>
        <v/>
      </c>
      <c r="J360" s="387" t="str">
        <f>IF(A360="","",HLOOKUP(LEFT(Calculation!BO366,7),LookUps!$C$38:$M$41,4))</f>
        <v/>
      </c>
      <c r="K360" s="387" t="str">
        <f>IF(A360="","",Calculation!M366)</f>
        <v/>
      </c>
      <c r="L360" s="387" t="str">
        <f>IF(A360="","",Calculation!S366)</f>
        <v/>
      </c>
      <c r="M360" s="389" t="str">
        <f>IF(A360="","",Calculation!N366)</f>
        <v/>
      </c>
      <c r="N360" s="390" t="str">
        <f>IF(A360="","",Calculation!R366)</f>
        <v/>
      </c>
      <c r="O360" s="391" t="str">
        <f>IF(A360="","",Calculation!$F$6)</f>
        <v/>
      </c>
      <c r="P360" s="392" t="str">
        <f>IF(A360="","",Calculation!$F$7)</f>
        <v/>
      </c>
      <c r="Q360" s="393" t="str">
        <f>IF(A360="","",Calculation!$F$13)</f>
        <v/>
      </c>
      <c r="R360" s="394" t="str">
        <f>IF(A360="","",Calculation!X366)</f>
        <v/>
      </c>
      <c r="S360" s="393" t="str">
        <f>IF(A360="","",Calculation!T366)</f>
        <v/>
      </c>
      <c r="T360" s="395" t="str">
        <f>IF(A360="","",IF(Calculation!$O$8="None","Water",CONCATENATE(Calculation!$O$8,"-",Calculation!$S$8,"%")))</f>
        <v/>
      </c>
      <c r="U360" s="393" t="str">
        <f>IF(A360="","",Calculation!$P$6)</f>
        <v/>
      </c>
      <c r="V360" s="393" t="str">
        <f>IF(A360="","",Calculation!AT366)</f>
        <v/>
      </c>
      <c r="W360" s="396" t="str">
        <f>IF(A360="","",Calculation!AP366)</f>
        <v/>
      </c>
      <c r="X360" s="396" t="str">
        <f>IF(A360="","",Calculation!AO366)</f>
        <v/>
      </c>
      <c r="Y360" s="396" t="str">
        <f>IF(A360="","",Calculation!AQ366)</f>
        <v/>
      </c>
      <c r="Z360" s="396" t="str">
        <f>IF(A360="","",Calculation!$H$6)</f>
        <v/>
      </c>
      <c r="AA360" s="397" t="str">
        <f>IF(A360="","",Calculation!$H$13)</f>
        <v/>
      </c>
      <c r="AB360" s="397" t="str">
        <f>IF(A360="","",Calculation!U366)</f>
        <v/>
      </c>
      <c r="AC360" s="398" t="str">
        <f>IF(A360="","",IF(Calculation!$O$9="None","Water",CONCATENATE(Calculation!$O$9,"-",Calculation!$S$9,"%")))</f>
        <v/>
      </c>
      <c r="AD360" s="396" t="str">
        <f>IF(A360="","",Calculation!$S$6)</f>
        <v/>
      </c>
      <c r="AE360" s="399" t="str">
        <f>IF(A360="","",Calculation!BA366)</f>
        <v/>
      </c>
      <c r="AF360" s="396" t="str">
        <f>IF(A360="","",Calculation!AX366)</f>
        <v/>
      </c>
      <c r="AG360" s="396" t="str">
        <f>IF(A360="","",Calculation!AW366)</f>
        <v/>
      </c>
      <c r="AH360" s="391" t="str">
        <f>IF(A360="","",Calculation!AY366)</f>
        <v/>
      </c>
      <c r="AI360" s="391" t="str">
        <f>IF(A360="","",Calculation!Y366)</f>
        <v/>
      </c>
      <c r="AJ360" s="401" t="str">
        <f>IF(Calculation!BD366&gt;0,Calculation!BD366," ")</f>
        <v xml:space="preserve"> </v>
      </c>
      <c r="AK360" s="401" t="str">
        <f>IF(Calculation!BD366&gt;0,Calculation!BE366," ")</f>
        <v xml:space="preserve"> </v>
      </c>
      <c r="AL360" s="401" t="str">
        <f>IF(Calculation!BD366&gt;0,Calculation!BF366," ")</f>
        <v xml:space="preserve"> </v>
      </c>
      <c r="AM360" s="401" t="str">
        <f>IF(Calculation!BD366&gt;0,Calculation!BG366," ")</f>
        <v xml:space="preserve"> </v>
      </c>
      <c r="AN360" s="391" t="str">
        <f>IF(Calculation!BH366="N/A","N/A",Calculation!BH366)</f>
        <v xml:space="preserve"> </v>
      </c>
      <c r="AO360" s="402" t="str">
        <f>IF(Calculation!BI366="N/A","N/A",Calculation!BI366)</f>
        <v/>
      </c>
      <c r="AP360" s="391" t="str">
        <f>IF(Calculation!BJ366="N/A","N/A",Calculation!BJ366)</f>
        <v/>
      </c>
      <c r="AQ360" s="402" t="str">
        <f>IF(Calculation!BK366="N/A","N/A",Calculation!BK366)</f>
        <v/>
      </c>
      <c r="AR360" s="391" t="str">
        <f>IF(Calculation!BL366="N/A","N/A",Calculation!BL366)</f>
        <v/>
      </c>
      <c r="AS360" s="402" t="str">
        <f>IF(Calculation!BM366="N/A","N/A",Calculation!BM366)</f>
        <v/>
      </c>
      <c r="AT360" s="400"/>
    </row>
    <row r="361" spans="1:46">
      <c r="A361" s="224" t="str">
        <f>IF(Calculation!BN367="","",CONCATENATE(Calculation!BO367,"-",Calculation!R367,"-",Calculation!S367,"-",Calculation!T367,"-",Calculation!U367))</f>
        <v/>
      </c>
      <c r="B361" s="224">
        <v>346</v>
      </c>
      <c r="C361" s="629" t="str">
        <f>IF(A361="","",Calculation!B367)</f>
        <v/>
      </c>
      <c r="D361" s="386" t="str">
        <f>IF(A361="","",Calculation!L367)</f>
        <v/>
      </c>
      <c r="E361" s="387" t="str">
        <f>IF(A361="","",Calculation!J367)</f>
        <v/>
      </c>
      <c r="F361" s="387" t="str">
        <f>IF(A361="","",Calculation!C367)</f>
        <v/>
      </c>
      <c r="G361" s="387" t="str">
        <f>IF(A361="","",LEFT(Calculation!O367,6))</f>
        <v/>
      </c>
      <c r="H361" s="388" t="str">
        <f>IF(A361="","",Calculation!DX367)</f>
        <v/>
      </c>
      <c r="I361" s="387" t="str">
        <f>IF(A361="","",Calculation!P367)</f>
        <v/>
      </c>
      <c r="J361" s="387" t="str">
        <f>IF(A361="","",HLOOKUP(LEFT(Calculation!BO367,7),LookUps!$C$38:$M$41,4))</f>
        <v/>
      </c>
      <c r="K361" s="387" t="str">
        <f>IF(A361="","",Calculation!M367)</f>
        <v/>
      </c>
      <c r="L361" s="387" t="str">
        <f>IF(A361="","",Calculation!S367)</f>
        <v/>
      </c>
      <c r="M361" s="389" t="str">
        <f>IF(A361="","",Calculation!N367)</f>
        <v/>
      </c>
      <c r="N361" s="390" t="str">
        <f>IF(A361="","",Calculation!R367)</f>
        <v/>
      </c>
      <c r="O361" s="391" t="str">
        <f>IF(A361="","",Calculation!$F$6)</f>
        <v/>
      </c>
      <c r="P361" s="392" t="str">
        <f>IF(A361="","",Calculation!$F$7)</f>
        <v/>
      </c>
      <c r="Q361" s="393" t="str">
        <f>IF(A361="","",Calculation!$F$13)</f>
        <v/>
      </c>
      <c r="R361" s="394" t="str">
        <f>IF(A361="","",Calculation!X367)</f>
        <v/>
      </c>
      <c r="S361" s="393" t="str">
        <f>IF(A361="","",Calculation!T367)</f>
        <v/>
      </c>
      <c r="T361" s="395" t="str">
        <f>IF(A361="","",IF(Calculation!$O$8="None","Water",CONCATENATE(Calculation!$O$8,"-",Calculation!$S$8,"%")))</f>
        <v/>
      </c>
      <c r="U361" s="393" t="str">
        <f>IF(A361="","",Calculation!$P$6)</f>
        <v/>
      </c>
      <c r="V361" s="393" t="str">
        <f>IF(A361="","",Calculation!AT367)</f>
        <v/>
      </c>
      <c r="W361" s="396" t="str">
        <f>IF(A361="","",Calculation!AP367)</f>
        <v/>
      </c>
      <c r="X361" s="396" t="str">
        <f>IF(A361="","",Calculation!AO367)</f>
        <v/>
      </c>
      <c r="Y361" s="396" t="str">
        <f>IF(A361="","",Calculation!AQ367)</f>
        <v/>
      </c>
      <c r="Z361" s="396" t="str">
        <f>IF(A361="","",Calculation!$H$6)</f>
        <v/>
      </c>
      <c r="AA361" s="397" t="str">
        <f>IF(A361="","",Calculation!$H$13)</f>
        <v/>
      </c>
      <c r="AB361" s="397" t="str">
        <f>IF(A361="","",Calculation!U367)</f>
        <v/>
      </c>
      <c r="AC361" s="398" t="str">
        <f>IF(A361="","",IF(Calculation!$O$9="None","Water",CONCATENATE(Calculation!$O$9,"-",Calculation!$S$9,"%")))</f>
        <v/>
      </c>
      <c r="AD361" s="396" t="str">
        <f>IF(A361="","",Calculation!$S$6)</f>
        <v/>
      </c>
      <c r="AE361" s="399" t="str">
        <f>IF(A361="","",Calculation!BA367)</f>
        <v/>
      </c>
      <c r="AF361" s="396" t="str">
        <f>IF(A361="","",Calculation!AX367)</f>
        <v/>
      </c>
      <c r="AG361" s="396" t="str">
        <f>IF(A361="","",Calculation!AW367)</f>
        <v/>
      </c>
      <c r="AH361" s="391" t="str">
        <f>IF(A361="","",Calculation!AY367)</f>
        <v/>
      </c>
      <c r="AI361" s="391" t="str">
        <f>IF(A361="","",Calculation!Y367)</f>
        <v/>
      </c>
      <c r="AJ361" s="401" t="str">
        <f>IF(Calculation!BD367&gt;0,Calculation!BD367," ")</f>
        <v xml:space="preserve"> </v>
      </c>
      <c r="AK361" s="401" t="str">
        <f>IF(Calculation!BD367&gt;0,Calculation!BE367," ")</f>
        <v xml:space="preserve"> </v>
      </c>
      <c r="AL361" s="401" t="str">
        <f>IF(Calculation!BD367&gt;0,Calculation!BF367," ")</f>
        <v xml:space="preserve"> </v>
      </c>
      <c r="AM361" s="401" t="str">
        <f>IF(Calculation!BD367&gt;0,Calculation!BG367," ")</f>
        <v xml:space="preserve"> </v>
      </c>
      <c r="AN361" s="391" t="str">
        <f>IF(Calculation!BH367="N/A","N/A",Calculation!BH367)</f>
        <v xml:space="preserve"> </v>
      </c>
      <c r="AO361" s="402" t="str">
        <f>IF(Calculation!BI367="N/A","N/A",Calculation!BI367)</f>
        <v/>
      </c>
      <c r="AP361" s="391" t="str">
        <f>IF(Calculation!BJ367="N/A","N/A",Calculation!BJ367)</f>
        <v/>
      </c>
      <c r="AQ361" s="402" t="str">
        <f>IF(Calculation!BK367="N/A","N/A",Calculation!BK367)</f>
        <v/>
      </c>
      <c r="AR361" s="391" t="str">
        <f>IF(Calculation!BL367="N/A","N/A",Calculation!BL367)</f>
        <v/>
      </c>
      <c r="AS361" s="402" t="str">
        <f>IF(Calculation!BM367="N/A","N/A",Calculation!BM367)</f>
        <v/>
      </c>
      <c r="AT361" s="400"/>
    </row>
    <row r="362" spans="1:46">
      <c r="A362" s="224" t="str">
        <f>IF(Calculation!BN368="","",CONCATENATE(Calculation!BO368,"-",Calculation!R368,"-",Calculation!S368,"-",Calculation!T368,"-",Calculation!U368))</f>
        <v/>
      </c>
      <c r="B362" s="224">
        <v>347</v>
      </c>
      <c r="C362" s="629" t="str">
        <f>IF(A362="","",Calculation!B368)</f>
        <v/>
      </c>
      <c r="D362" s="386" t="str">
        <f>IF(A362="","",Calculation!L368)</f>
        <v/>
      </c>
      <c r="E362" s="387" t="str">
        <f>IF(A362="","",Calculation!J368)</f>
        <v/>
      </c>
      <c r="F362" s="387" t="str">
        <f>IF(A362="","",Calculation!C368)</f>
        <v/>
      </c>
      <c r="G362" s="387" t="str">
        <f>IF(A362="","",LEFT(Calculation!O368,6))</f>
        <v/>
      </c>
      <c r="H362" s="388" t="str">
        <f>IF(A362="","",Calculation!DX368)</f>
        <v/>
      </c>
      <c r="I362" s="387" t="str">
        <f>IF(A362="","",Calculation!P368)</f>
        <v/>
      </c>
      <c r="J362" s="387" t="str">
        <f>IF(A362="","",HLOOKUP(LEFT(Calculation!BO368,7),LookUps!$C$38:$M$41,4))</f>
        <v/>
      </c>
      <c r="K362" s="387" t="str">
        <f>IF(A362="","",Calculation!M368)</f>
        <v/>
      </c>
      <c r="L362" s="387" t="str">
        <f>IF(A362="","",Calculation!S368)</f>
        <v/>
      </c>
      <c r="M362" s="389" t="str">
        <f>IF(A362="","",Calculation!N368)</f>
        <v/>
      </c>
      <c r="N362" s="390" t="str">
        <f>IF(A362="","",Calculation!R368)</f>
        <v/>
      </c>
      <c r="O362" s="391" t="str">
        <f>IF(A362="","",Calculation!$F$6)</f>
        <v/>
      </c>
      <c r="P362" s="392" t="str">
        <f>IF(A362="","",Calculation!$F$7)</f>
        <v/>
      </c>
      <c r="Q362" s="393" t="str">
        <f>IF(A362="","",Calculation!$F$13)</f>
        <v/>
      </c>
      <c r="R362" s="394" t="str">
        <f>IF(A362="","",Calculation!X368)</f>
        <v/>
      </c>
      <c r="S362" s="393" t="str">
        <f>IF(A362="","",Calculation!T368)</f>
        <v/>
      </c>
      <c r="T362" s="395" t="str">
        <f>IF(A362="","",IF(Calculation!$O$8="None","Water",CONCATENATE(Calculation!$O$8,"-",Calculation!$S$8,"%")))</f>
        <v/>
      </c>
      <c r="U362" s="393" t="str">
        <f>IF(A362="","",Calculation!$P$6)</f>
        <v/>
      </c>
      <c r="V362" s="393" t="str">
        <f>IF(A362="","",Calculation!AT368)</f>
        <v/>
      </c>
      <c r="W362" s="396" t="str">
        <f>IF(A362="","",Calculation!AP368)</f>
        <v/>
      </c>
      <c r="X362" s="396" t="str">
        <f>IF(A362="","",Calculation!AO368)</f>
        <v/>
      </c>
      <c r="Y362" s="396" t="str">
        <f>IF(A362="","",Calculation!AQ368)</f>
        <v/>
      </c>
      <c r="Z362" s="396" t="str">
        <f>IF(A362="","",Calculation!$H$6)</f>
        <v/>
      </c>
      <c r="AA362" s="397" t="str">
        <f>IF(A362="","",Calculation!$H$13)</f>
        <v/>
      </c>
      <c r="AB362" s="397" t="str">
        <f>IF(A362="","",Calculation!U368)</f>
        <v/>
      </c>
      <c r="AC362" s="398" t="str">
        <f>IF(A362="","",IF(Calculation!$O$9="None","Water",CONCATENATE(Calculation!$O$9,"-",Calculation!$S$9,"%")))</f>
        <v/>
      </c>
      <c r="AD362" s="396" t="str">
        <f>IF(A362="","",Calculation!$S$6)</f>
        <v/>
      </c>
      <c r="AE362" s="399" t="str">
        <f>IF(A362="","",Calculation!BA368)</f>
        <v/>
      </c>
      <c r="AF362" s="396" t="str">
        <f>IF(A362="","",Calculation!AX368)</f>
        <v/>
      </c>
      <c r="AG362" s="396" t="str">
        <f>IF(A362="","",Calculation!AW368)</f>
        <v/>
      </c>
      <c r="AH362" s="391" t="str">
        <f>IF(A362="","",Calculation!AY368)</f>
        <v/>
      </c>
      <c r="AI362" s="391" t="str">
        <f>IF(A362="","",Calculation!Y368)</f>
        <v/>
      </c>
      <c r="AJ362" s="401" t="str">
        <f>IF(Calculation!BD368&gt;0,Calculation!BD368," ")</f>
        <v xml:space="preserve"> </v>
      </c>
      <c r="AK362" s="401" t="str">
        <f>IF(Calculation!BD368&gt;0,Calculation!BE368," ")</f>
        <v xml:space="preserve"> </v>
      </c>
      <c r="AL362" s="401" t="str">
        <f>IF(Calculation!BD368&gt;0,Calculation!BF368," ")</f>
        <v xml:space="preserve"> </v>
      </c>
      <c r="AM362" s="401" t="str">
        <f>IF(Calculation!BD368&gt;0,Calculation!BG368," ")</f>
        <v xml:space="preserve"> </v>
      </c>
      <c r="AN362" s="391" t="str">
        <f>IF(Calculation!BH368="N/A","N/A",Calculation!BH368)</f>
        <v xml:space="preserve"> </v>
      </c>
      <c r="AO362" s="402" t="str">
        <f>IF(Calculation!BI368="N/A","N/A",Calculation!BI368)</f>
        <v/>
      </c>
      <c r="AP362" s="391" t="str">
        <f>IF(Calculation!BJ368="N/A","N/A",Calculation!BJ368)</f>
        <v/>
      </c>
      <c r="AQ362" s="402" t="str">
        <f>IF(Calculation!BK368="N/A","N/A",Calculation!BK368)</f>
        <v/>
      </c>
      <c r="AR362" s="391" t="str">
        <f>IF(Calculation!BL368="N/A","N/A",Calculation!BL368)</f>
        <v/>
      </c>
      <c r="AS362" s="402" t="str">
        <f>IF(Calculation!BM368="N/A","N/A",Calculation!BM368)</f>
        <v/>
      </c>
      <c r="AT362" s="400"/>
    </row>
    <row r="363" spans="1:46">
      <c r="A363" s="224" t="str">
        <f>IF(Calculation!BN369="","",CONCATENATE(Calculation!BO369,"-",Calculation!R369,"-",Calculation!S369,"-",Calculation!T369,"-",Calculation!U369))</f>
        <v/>
      </c>
      <c r="B363" s="224">
        <v>348</v>
      </c>
      <c r="C363" s="629" t="str">
        <f>IF(A363="","",Calculation!B369)</f>
        <v/>
      </c>
      <c r="D363" s="386" t="str">
        <f>IF(A363="","",Calculation!L369)</f>
        <v/>
      </c>
      <c r="E363" s="387" t="str">
        <f>IF(A363="","",Calculation!J369)</f>
        <v/>
      </c>
      <c r="F363" s="387" t="str">
        <f>IF(A363="","",Calculation!C369)</f>
        <v/>
      </c>
      <c r="G363" s="387" t="str">
        <f>IF(A363="","",LEFT(Calculation!O369,6))</f>
        <v/>
      </c>
      <c r="H363" s="388" t="str">
        <f>IF(A363="","",Calculation!DX369)</f>
        <v/>
      </c>
      <c r="I363" s="387" t="str">
        <f>IF(A363="","",Calculation!P369)</f>
        <v/>
      </c>
      <c r="J363" s="387" t="str">
        <f>IF(A363="","",HLOOKUP(LEFT(Calculation!BO369,7),LookUps!$C$38:$M$41,4))</f>
        <v/>
      </c>
      <c r="K363" s="387" t="str">
        <f>IF(A363="","",Calculation!M369)</f>
        <v/>
      </c>
      <c r="L363" s="387" t="str">
        <f>IF(A363="","",Calculation!S369)</f>
        <v/>
      </c>
      <c r="M363" s="389" t="str">
        <f>IF(A363="","",Calculation!N369)</f>
        <v/>
      </c>
      <c r="N363" s="390" t="str">
        <f>IF(A363="","",Calculation!R369)</f>
        <v/>
      </c>
      <c r="O363" s="391" t="str">
        <f>IF(A363="","",Calculation!$F$6)</f>
        <v/>
      </c>
      <c r="P363" s="392" t="str">
        <f>IF(A363="","",Calculation!$F$7)</f>
        <v/>
      </c>
      <c r="Q363" s="393" t="str">
        <f>IF(A363="","",Calculation!$F$13)</f>
        <v/>
      </c>
      <c r="R363" s="394" t="str">
        <f>IF(A363="","",Calculation!X369)</f>
        <v/>
      </c>
      <c r="S363" s="393" t="str">
        <f>IF(A363="","",Calculation!T369)</f>
        <v/>
      </c>
      <c r="T363" s="395" t="str">
        <f>IF(A363="","",IF(Calculation!$O$8="None","Water",CONCATENATE(Calculation!$O$8,"-",Calculation!$S$8,"%")))</f>
        <v/>
      </c>
      <c r="U363" s="393" t="str">
        <f>IF(A363="","",Calculation!$P$6)</f>
        <v/>
      </c>
      <c r="V363" s="393" t="str">
        <f>IF(A363="","",Calculation!AT369)</f>
        <v/>
      </c>
      <c r="W363" s="396" t="str">
        <f>IF(A363="","",Calculation!AP369)</f>
        <v/>
      </c>
      <c r="X363" s="396" t="str">
        <f>IF(A363="","",Calculation!AO369)</f>
        <v/>
      </c>
      <c r="Y363" s="396" t="str">
        <f>IF(A363="","",Calculation!AQ369)</f>
        <v/>
      </c>
      <c r="Z363" s="396" t="str">
        <f>IF(A363="","",Calculation!$H$6)</f>
        <v/>
      </c>
      <c r="AA363" s="397" t="str">
        <f>IF(A363="","",Calculation!$H$13)</f>
        <v/>
      </c>
      <c r="AB363" s="397" t="str">
        <f>IF(A363="","",Calculation!U369)</f>
        <v/>
      </c>
      <c r="AC363" s="398" t="str">
        <f>IF(A363="","",IF(Calculation!$O$9="None","Water",CONCATENATE(Calculation!$O$9,"-",Calculation!$S$9,"%")))</f>
        <v/>
      </c>
      <c r="AD363" s="396" t="str">
        <f>IF(A363="","",Calculation!$S$6)</f>
        <v/>
      </c>
      <c r="AE363" s="399" t="str">
        <f>IF(A363="","",Calculation!BA369)</f>
        <v/>
      </c>
      <c r="AF363" s="396" t="str">
        <f>IF(A363="","",Calculation!AX369)</f>
        <v/>
      </c>
      <c r="AG363" s="396" t="str">
        <f>IF(A363="","",Calculation!AW369)</f>
        <v/>
      </c>
      <c r="AH363" s="391" t="str">
        <f>IF(A363="","",Calculation!AY369)</f>
        <v/>
      </c>
      <c r="AI363" s="391" t="str">
        <f>IF(A363="","",Calculation!Y369)</f>
        <v/>
      </c>
      <c r="AJ363" s="401" t="str">
        <f>IF(Calculation!BD369&gt;0,Calculation!BD369," ")</f>
        <v xml:space="preserve"> </v>
      </c>
      <c r="AK363" s="401" t="str">
        <f>IF(Calculation!BD369&gt;0,Calculation!BE369," ")</f>
        <v xml:space="preserve"> </v>
      </c>
      <c r="AL363" s="401" t="str">
        <f>IF(Calculation!BD369&gt;0,Calculation!BF369," ")</f>
        <v xml:space="preserve"> </v>
      </c>
      <c r="AM363" s="401" t="str">
        <f>IF(Calculation!BD369&gt;0,Calculation!BG369," ")</f>
        <v xml:space="preserve"> </v>
      </c>
      <c r="AN363" s="391" t="str">
        <f>IF(Calculation!BH369="N/A","N/A",Calculation!BH369)</f>
        <v xml:space="preserve"> </v>
      </c>
      <c r="AO363" s="402" t="str">
        <f>IF(Calculation!BI369="N/A","N/A",Calculation!BI369)</f>
        <v/>
      </c>
      <c r="AP363" s="391" t="str">
        <f>IF(Calculation!BJ369="N/A","N/A",Calculation!BJ369)</f>
        <v/>
      </c>
      <c r="AQ363" s="402" t="str">
        <f>IF(Calculation!BK369="N/A","N/A",Calculation!BK369)</f>
        <v/>
      </c>
      <c r="AR363" s="391" t="str">
        <f>IF(Calculation!BL369="N/A","N/A",Calculation!BL369)</f>
        <v/>
      </c>
      <c r="AS363" s="402" t="str">
        <f>IF(Calculation!BM369="N/A","N/A",Calculation!BM369)</f>
        <v/>
      </c>
      <c r="AT363" s="400"/>
    </row>
    <row r="364" spans="1:46">
      <c r="A364" s="224" t="str">
        <f>IF(Calculation!BN370="","",CONCATENATE(Calculation!BO370,"-",Calculation!R370,"-",Calculation!S370,"-",Calculation!T370,"-",Calculation!U370))</f>
        <v/>
      </c>
      <c r="B364" s="224">
        <v>349</v>
      </c>
      <c r="C364" s="629" t="str">
        <f>IF(A364="","",Calculation!B370)</f>
        <v/>
      </c>
      <c r="D364" s="386" t="str">
        <f>IF(A364="","",Calculation!L370)</f>
        <v/>
      </c>
      <c r="E364" s="387" t="str">
        <f>IF(A364="","",Calculation!J370)</f>
        <v/>
      </c>
      <c r="F364" s="387" t="str">
        <f>IF(A364="","",Calculation!C370)</f>
        <v/>
      </c>
      <c r="G364" s="387" t="str">
        <f>IF(A364="","",LEFT(Calculation!O370,6))</f>
        <v/>
      </c>
      <c r="H364" s="388" t="str">
        <f>IF(A364="","",Calculation!DX370)</f>
        <v/>
      </c>
      <c r="I364" s="387" t="str">
        <f>IF(A364="","",Calculation!P370)</f>
        <v/>
      </c>
      <c r="J364" s="387" t="str">
        <f>IF(A364="","",HLOOKUP(LEFT(Calculation!BO370,7),LookUps!$C$38:$M$41,4))</f>
        <v/>
      </c>
      <c r="K364" s="387" t="str">
        <f>IF(A364="","",Calculation!M370)</f>
        <v/>
      </c>
      <c r="L364" s="387" t="str">
        <f>IF(A364="","",Calculation!S370)</f>
        <v/>
      </c>
      <c r="M364" s="389" t="str">
        <f>IF(A364="","",Calculation!N370)</f>
        <v/>
      </c>
      <c r="N364" s="390" t="str">
        <f>IF(A364="","",Calculation!R370)</f>
        <v/>
      </c>
      <c r="O364" s="391" t="str">
        <f>IF(A364="","",Calculation!$F$6)</f>
        <v/>
      </c>
      <c r="P364" s="392" t="str">
        <f>IF(A364="","",Calculation!$F$7)</f>
        <v/>
      </c>
      <c r="Q364" s="393" t="str">
        <f>IF(A364="","",Calculation!$F$13)</f>
        <v/>
      </c>
      <c r="R364" s="394" t="str">
        <f>IF(A364="","",Calculation!X370)</f>
        <v/>
      </c>
      <c r="S364" s="393" t="str">
        <f>IF(A364="","",Calculation!T370)</f>
        <v/>
      </c>
      <c r="T364" s="395" t="str">
        <f>IF(A364="","",IF(Calculation!$O$8="None","Water",CONCATENATE(Calculation!$O$8,"-",Calculation!$S$8,"%")))</f>
        <v/>
      </c>
      <c r="U364" s="393" t="str">
        <f>IF(A364="","",Calculation!$P$6)</f>
        <v/>
      </c>
      <c r="V364" s="393" t="str">
        <f>IF(A364="","",Calculation!AT370)</f>
        <v/>
      </c>
      <c r="W364" s="396" t="str">
        <f>IF(A364="","",Calculation!AP370)</f>
        <v/>
      </c>
      <c r="X364" s="396" t="str">
        <f>IF(A364="","",Calculation!AO370)</f>
        <v/>
      </c>
      <c r="Y364" s="396" t="str">
        <f>IF(A364="","",Calculation!AQ370)</f>
        <v/>
      </c>
      <c r="Z364" s="396" t="str">
        <f>IF(A364="","",Calculation!$H$6)</f>
        <v/>
      </c>
      <c r="AA364" s="397" t="str">
        <f>IF(A364="","",Calculation!$H$13)</f>
        <v/>
      </c>
      <c r="AB364" s="397" t="str">
        <f>IF(A364="","",Calculation!U370)</f>
        <v/>
      </c>
      <c r="AC364" s="398" t="str">
        <f>IF(A364="","",IF(Calculation!$O$9="None","Water",CONCATENATE(Calculation!$O$9,"-",Calculation!$S$9,"%")))</f>
        <v/>
      </c>
      <c r="AD364" s="396" t="str">
        <f>IF(A364="","",Calculation!$S$6)</f>
        <v/>
      </c>
      <c r="AE364" s="399" t="str">
        <f>IF(A364="","",Calculation!BA370)</f>
        <v/>
      </c>
      <c r="AF364" s="396" t="str">
        <f>IF(A364="","",Calculation!AX370)</f>
        <v/>
      </c>
      <c r="AG364" s="396" t="str">
        <f>IF(A364="","",Calculation!AW370)</f>
        <v/>
      </c>
      <c r="AH364" s="391" t="str">
        <f>IF(A364="","",Calculation!AY370)</f>
        <v/>
      </c>
      <c r="AI364" s="391" t="str">
        <f>IF(A364="","",Calculation!Y370)</f>
        <v/>
      </c>
      <c r="AJ364" s="401" t="str">
        <f>IF(Calculation!BD370&gt;0,Calculation!BD370," ")</f>
        <v xml:space="preserve"> </v>
      </c>
      <c r="AK364" s="401" t="str">
        <f>IF(Calculation!BD370&gt;0,Calculation!BE370," ")</f>
        <v xml:space="preserve"> </v>
      </c>
      <c r="AL364" s="401" t="str">
        <f>IF(Calculation!BD370&gt;0,Calculation!BF370," ")</f>
        <v xml:space="preserve"> </v>
      </c>
      <c r="AM364" s="401" t="str">
        <f>IF(Calculation!BD370&gt;0,Calculation!BG370," ")</f>
        <v xml:space="preserve"> </v>
      </c>
      <c r="AN364" s="391" t="str">
        <f>IF(Calculation!BH370="N/A","N/A",Calculation!BH370)</f>
        <v xml:space="preserve"> </v>
      </c>
      <c r="AO364" s="402" t="str">
        <f>IF(Calculation!BI370="N/A","N/A",Calculation!BI370)</f>
        <v/>
      </c>
      <c r="AP364" s="391" t="str">
        <f>IF(Calculation!BJ370="N/A","N/A",Calculation!BJ370)</f>
        <v/>
      </c>
      <c r="AQ364" s="402" t="str">
        <f>IF(Calculation!BK370="N/A","N/A",Calculation!BK370)</f>
        <v/>
      </c>
      <c r="AR364" s="391" t="str">
        <f>IF(Calculation!BL370="N/A","N/A",Calculation!BL370)</f>
        <v/>
      </c>
      <c r="AS364" s="402" t="str">
        <f>IF(Calculation!BM370="N/A","N/A",Calculation!BM370)</f>
        <v/>
      </c>
      <c r="AT364" s="400"/>
    </row>
    <row r="365" spans="1:46">
      <c r="A365" s="224" t="str">
        <f>IF(Calculation!BN371="","",CONCATENATE(Calculation!BO371,"-",Calculation!R371,"-",Calculation!S371,"-",Calculation!T371,"-",Calculation!U371))</f>
        <v/>
      </c>
      <c r="B365" s="224">
        <v>350</v>
      </c>
      <c r="C365" s="629" t="str">
        <f>IF(A365="","",Calculation!B371)</f>
        <v/>
      </c>
      <c r="D365" s="386" t="str">
        <f>IF(A365="","",Calculation!L371)</f>
        <v/>
      </c>
      <c r="E365" s="387" t="str">
        <f>IF(A365="","",Calculation!J371)</f>
        <v/>
      </c>
      <c r="F365" s="387" t="str">
        <f>IF(A365="","",Calculation!C371)</f>
        <v/>
      </c>
      <c r="G365" s="387" t="str">
        <f>IF(A365="","",LEFT(Calculation!O371,6))</f>
        <v/>
      </c>
      <c r="H365" s="388" t="str">
        <f>IF(A365="","",Calculation!DX371)</f>
        <v/>
      </c>
      <c r="I365" s="387" t="str">
        <f>IF(A365="","",Calculation!P371)</f>
        <v/>
      </c>
      <c r="J365" s="387" t="str">
        <f>IF(A365="","",HLOOKUP(LEFT(Calculation!BO371,7),LookUps!$C$38:$M$41,4))</f>
        <v/>
      </c>
      <c r="K365" s="387" t="str">
        <f>IF(A365="","",Calculation!M371)</f>
        <v/>
      </c>
      <c r="L365" s="387" t="str">
        <f>IF(A365="","",Calculation!S371)</f>
        <v/>
      </c>
      <c r="M365" s="389" t="str">
        <f>IF(A365="","",Calculation!N371)</f>
        <v/>
      </c>
      <c r="N365" s="390" t="str">
        <f>IF(A365="","",Calculation!R371)</f>
        <v/>
      </c>
      <c r="O365" s="391" t="str">
        <f>IF(A365="","",Calculation!$F$6)</f>
        <v/>
      </c>
      <c r="P365" s="392" t="str">
        <f>IF(A365="","",Calculation!$F$7)</f>
        <v/>
      </c>
      <c r="Q365" s="393" t="str">
        <f>IF(A365="","",Calculation!$F$13)</f>
        <v/>
      </c>
      <c r="R365" s="394" t="str">
        <f>IF(A365="","",Calculation!X371)</f>
        <v/>
      </c>
      <c r="S365" s="393" t="str">
        <f>IF(A365="","",Calculation!T371)</f>
        <v/>
      </c>
      <c r="T365" s="395" t="str">
        <f>IF(A365="","",IF(Calculation!$O$8="None","Water",CONCATENATE(Calculation!$O$8,"-",Calculation!$S$8,"%")))</f>
        <v/>
      </c>
      <c r="U365" s="393" t="str">
        <f>IF(A365="","",Calculation!$P$6)</f>
        <v/>
      </c>
      <c r="V365" s="393" t="str">
        <f>IF(A365="","",Calculation!AT371)</f>
        <v/>
      </c>
      <c r="W365" s="396" t="str">
        <f>IF(A365="","",Calculation!AP371)</f>
        <v/>
      </c>
      <c r="X365" s="396" t="str">
        <f>IF(A365="","",Calculation!AO371)</f>
        <v/>
      </c>
      <c r="Y365" s="396" t="str">
        <f>IF(A365="","",Calculation!AQ371)</f>
        <v/>
      </c>
      <c r="Z365" s="396" t="str">
        <f>IF(A365="","",Calculation!$H$6)</f>
        <v/>
      </c>
      <c r="AA365" s="397" t="str">
        <f>IF(A365="","",Calculation!$H$13)</f>
        <v/>
      </c>
      <c r="AB365" s="397" t="str">
        <f>IF(A365="","",Calculation!U371)</f>
        <v/>
      </c>
      <c r="AC365" s="398" t="str">
        <f>IF(A365="","",IF(Calculation!$O$9="None","Water",CONCATENATE(Calculation!$O$9,"-",Calculation!$S$9,"%")))</f>
        <v/>
      </c>
      <c r="AD365" s="396" t="str">
        <f>IF(A365="","",Calculation!$S$6)</f>
        <v/>
      </c>
      <c r="AE365" s="399" t="str">
        <f>IF(A365="","",Calculation!BA371)</f>
        <v/>
      </c>
      <c r="AF365" s="396" t="str">
        <f>IF(A365="","",Calculation!AX371)</f>
        <v/>
      </c>
      <c r="AG365" s="396" t="str">
        <f>IF(A365="","",Calculation!AW371)</f>
        <v/>
      </c>
      <c r="AH365" s="391" t="str">
        <f>IF(A365="","",Calculation!AY371)</f>
        <v/>
      </c>
      <c r="AI365" s="391" t="str">
        <f>IF(A365="","",Calculation!Y371)</f>
        <v/>
      </c>
      <c r="AJ365" s="401" t="str">
        <f>IF(Calculation!BD371&gt;0,Calculation!BD371," ")</f>
        <v xml:space="preserve"> </v>
      </c>
      <c r="AK365" s="401" t="str">
        <f>IF(Calculation!BD371&gt;0,Calculation!BE371," ")</f>
        <v xml:space="preserve"> </v>
      </c>
      <c r="AL365" s="401" t="str">
        <f>IF(Calculation!BD371&gt;0,Calculation!BF371," ")</f>
        <v xml:space="preserve"> </v>
      </c>
      <c r="AM365" s="401" t="str">
        <f>IF(Calculation!BD371&gt;0,Calculation!BG371," ")</f>
        <v xml:space="preserve"> </v>
      </c>
      <c r="AN365" s="391" t="str">
        <f>IF(Calculation!BH371="N/A","N/A",Calculation!BH371)</f>
        <v xml:space="preserve"> </v>
      </c>
      <c r="AO365" s="402" t="str">
        <f>IF(Calculation!BI371="N/A","N/A",Calculation!BI371)</f>
        <v/>
      </c>
      <c r="AP365" s="391" t="str">
        <f>IF(Calculation!BJ371="N/A","N/A",Calculation!BJ371)</f>
        <v/>
      </c>
      <c r="AQ365" s="402" t="str">
        <f>IF(Calculation!BK371="N/A","N/A",Calculation!BK371)</f>
        <v/>
      </c>
      <c r="AR365" s="391" t="str">
        <f>IF(Calculation!BL371="N/A","N/A",Calculation!BL371)</f>
        <v/>
      </c>
      <c r="AS365" s="402" t="str">
        <f>IF(Calculation!BM371="N/A","N/A",Calculation!BM371)</f>
        <v/>
      </c>
      <c r="AT365" s="400"/>
    </row>
    <row r="366" spans="1:46">
      <c r="A366" s="224" t="str">
        <f>IF(Calculation!BN372="","",CONCATENATE(Calculation!BO372,"-",Calculation!R372,"-",Calculation!S372,"-",Calculation!T372,"-",Calculation!U372))</f>
        <v/>
      </c>
      <c r="B366" s="224">
        <v>351</v>
      </c>
      <c r="C366" s="629" t="str">
        <f>IF(A366="","",Calculation!B372)</f>
        <v/>
      </c>
      <c r="D366" s="386" t="str">
        <f>IF(A366="","",Calculation!L372)</f>
        <v/>
      </c>
      <c r="E366" s="387" t="str">
        <f>IF(A366="","",Calculation!J372)</f>
        <v/>
      </c>
      <c r="F366" s="387" t="str">
        <f>IF(A366="","",Calculation!C372)</f>
        <v/>
      </c>
      <c r="G366" s="387" t="str">
        <f>IF(A366="","",LEFT(Calculation!O372,6))</f>
        <v/>
      </c>
      <c r="H366" s="388" t="str">
        <f>IF(A366="","",Calculation!DX372)</f>
        <v/>
      </c>
      <c r="I366" s="387" t="str">
        <f>IF(A366="","",Calculation!P372)</f>
        <v/>
      </c>
      <c r="J366" s="387" t="str">
        <f>IF(A366="","",HLOOKUP(LEFT(Calculation!BO372,7),LookUps!$C$38:$M$41,4))</f>
        <v/>
      </c>
      <c r="K366" s="387" t="str">
        <f>IF(A366="","",Calculation!M372)</f>
        <v/>
      </c>
      <c r="L366" s="387" t="str">
        <f>IF(A366="","",Calculation!S372)</f>
        <v/>
      </c>
      <c r="M366" s="389" t="str">
        <f>IF(A366="","",Calculation!N372)</f>
        <v/>
      </c>
      <c r="N366" s="390" t="str">
        <f>IF(A366="","",Calculation!R372)</f>
        <v/>
      </c>
      <c r="O366" s="391" t="str">
        <f>IF(A366="","",Calculation!$F$6)</f>
        <v/>
      </c>
      <c r="P366" s="392" t="str">
        <f>IF(A366="","",Calculation!$F$7)</f>
        <v/>
      </c>
      <c r="Q366" s="393" t="str">
        <f>IF(A366="","",Calculation!$F$13)</f>
        <v/>
      </c>
      <c r="R366" s="394" t="str">
        <f>IF(A366="","",Calculation!X372)</f>
        <v/>
      </c>
      <c r="S366" s="393" t="str">
        <f>IF(A366="","",Calculation!T372)</f>
        <v/>
      </c>
      <c r="T366" s="395" t="str">
        <f>IF(A366="","",IF(Calculation!$O$8="None","Water",CONCATENATE(Calculation!$O$8,"-",Calculation!$S$8,"%")))</f>
        <v/>
      </c>
      <c r="U366" s="393" t="str">
        <f>IF(A366="","",Calculation!$P$6)</f>
        <v/>
      </c>
      <c r="V366" s="393" t="str">
        <f>IF(A366="","",Calculation!AT372)</f>
        <v/>
      </c>
      <c r="W366" s="396" t="str">
        <f>IF(A366="","",Calculation!AP372)</f>
        <v/>
      </c>
      <c r="X366" s="396" t="str">
        <f>IF(A366="","",Calculation!AO372)</f>
        <v/>
      </c>
      <c r="Y366" s="396" t="str">
        <f>IF(A366="","",Calculation!AQ372)</f>
        <v/>
      </c>
      <c r="Z366" s="396" t="str">
        <f>IF(A366="","",Calculation!$H$6)</f>
        <v/>
      </c>
      <c r="AA366" s="397" t="str">
        <f>IF(A366="","",Calculation!$H$13)</f>
        <v/>
      </c>
      <c r="AB366" s="397" t="str">
        <f>IF(A366="","",Calculation!U372)</f>
        <v/>
      </c>
      <c r="AC366" s="398" t="str">
        <f>IF(A366="","",IF(Calculation!$O$9="None","Water",CONCATENATE(Calculation!$O$9,"-",Calculation!$S$9,"%")))</f>
        <v/>
      </c>
      <c r="AD366" s="396" t="str">
        <f>IF(A366="","",Calculation!$S$6)</f>
        <v/>
      </c>
      <c r="AE366" s="399" t="str">
        <f>IF(A366="","",Calculation!BA372)</f>
        <v/>
      </c>
      <c r="AF366" s="396" t="str">
        <f>IF(A366="","",Calculation!AX372)</f>
        <v/>
      </c>
      <c r="AG366" s="396" t="str">
        <f>IF(A366="","",Calculation!AW372)</f>
        <v/>
      </c>
      <c r="AH366" s="391" t="str">
        <f>IF(A366="","",Calculation!AY372)</f>
        <v/>
      </c>
      <c r="AI366" s="391" t="str">
        <f>IF(A366="","",Calculation!Y372)</f>
        <v/>
      </c>
      <c r="AJ366" s="401" t="str">
        <f>IF(Calculation!BD372&gt;0,Calculation!BD372," ")</f>
        <v xml:space="preserve"> </v>
      </c>
      <c r="AK366" s="401" t="str">
        <f>IF(Calculation!BD372&gt;0,Calculation!BE372," ")</f>
        <v xml:space="preserve"> </v>
      </c>
      <c r="AL366" s="401" t="str">
        <f>IF(Calculation!BD372&gt;0,Calculation!BF372," ")</f>
        <v xml:space="preserve"> </v>
      </c>
      <c r="AM366" s="401" t="str">
        <f>IF(Calculation!BD372&gt;0,Calculation!BG372," ")</f>
        <v xml:space="preserve"> </v>
      </c>
      <c r="AN366" s="391" t="str">
        <f>IF(Calculation!BH372="N/A","N/A",Calculation!BH372)</f>
        <v xml:space="preserve"> </v>
      </c>
      <c r="AO366" s="402" t="str">
        <f>IF(Calculation!BI372="N/A","N/A",Calculation!BI372)</f>
        <v/>
      </c>
      <c r="AP366" s="391" t="str">
        <f>IF(Calculation!BJ372="N/A","N/A",Calculation!BJ372)</f>
        <v/>
      </c>
      <c r="AQ366" s="402" t="str">
        <f>IF(Calculation!BK372="N/A","N/A",Calculation!BK372)</f>
        <v/>
      </c>
      <c r="AR366" s="391" t="str">
        <f>IF(Calculation!BL372="N/A","N/A",Calculation!BL372)</f>
        <v/>
      </c>
      <c r="AS366" s="402" t="str">
        <f>IF(Calculation!BM372="N/A","N/A",Calculation!BM372)</f>
        <v/>
      </c>
      <c r="AT366" s="400"/>
    </row>
    <row r="367" spans="1:46">
      <c r="A367" s="224" t="str">
        <f>IF(Calculation!BN373="","",CONCATENATE(Calculation!BO373,"-",Calculation!R373,"-",Calculation!S373,"-",Calculation!T373,"-",Calculation!U373))</f>
        <v/>
      </c>
      <c r="B367" s="224">
        <v>352</v>
      </c>
      <c r="C367" s="629" t="str">
        <f>IF(A367="","",Calculation!B373)</f>
        <v/>
      </c>
      <c r="D367" s="386" t="str">
        <f>IF(A367="","",Calculation!L373)</f>
        <v/>
      </c>
      <c r="E367" s="387" t="str">
        <f>IF(A367="","",Calculation!J373)</f>
        <v/>
      </c>
      <c r="F367" s="387" t="str">
        <f>IF(A367="","",Calculation!C373)</f>
        <v/>
      </c>
      <c r="G367" s="387" t="str">
        <f>IF(A367="","",LEFT(Calculation!O373,6))</f>
        <v/>
      </c>
      <c r="H367" s="388" t="str">
        <f>IF(A367="","",Calculation!DX373)</f>
        <v/>
      </c>
      <c r="I367" s="387" t="str">
        <f>IF(A367="","",Calculation!P373)</f>
        <v/>
      </c>
      <c r="J367" s="387" t="str">
        <f>IF(A367="","",HLOOKUP(LEFT(Calculation!BO373,7),LookUps!$C$38:$M$41,4))</f>
        <v/>
      </c>
      <c r="K367" s="387" t="str">
        <f>IF(A367="","",Calculation!M373)</f>
        <v/>
      </c>
      <c r="L367" s="387" t="str">
        <f>IF(A367="","",Calculation!S373)</f>
        <v/>
      </c>
      <c r="M367" s="389" t="str">
        <f>IF(A367="","",Calculation!N373)</f>
        <v/>
      </c>
      <c r="N367" s="390" t="str">
        <f>IF(A367="","",Calculation!R373)</f>
        <v/>
      </c>
      <c r="O367" s="391" t="str">
        <f>IF(A367="","",Calculation!$F$6)</f>
        <v/>
      </c>
      <c r="P367" s="392" t="str">
        <f>IF(A367="","",Calculation!$F$7)</f>
        <v/>
      </c>
      <c r="Q367" s="393" t="str">
        <f>IF(A367="","",Calculation!$F$13)</f>
        <v/>
      </c>
      <c r="R367" s="394" t="str">
        <f>IF(A367="","",Calculation!X373)</f>
        <v/>
      </c>
      <c r="S367" s="393" t="str">
        <f>IF(A367="","",Calculation!T373)</f>
        <v/>
      </c>
      <c r="T367" s="395" t="str">
        <f>IF(A367="","",IF(Calculation!$O$8="None","Water",CONCATENATE(Calculation!$O$8,"-",Calculation!$S$8,"%")))</f>
        <v/>
      </c>
      <c r="U367" s="393" t="str">
        <f>IF(A367="","",Calculation!$P$6)</f>
        <v/>
      </c>
      <c r="V367" s="393" t="str">
        <f>IF(A367="","",Calculation!AT373)</f>
        <v/>
      </c>
      <c r="W367" s="396" t="str">
        <f>IF(A367="","",Calculation!AP373)</f>
        <v/>
      </c>
      <c r="X367" s="396" t="str">
        <f>IF(A367="","",Calculation!AO373)</f>
        <v/>
      </c>
      <c r="Y367" s="396" t="str">
        <f>IF(A367="","",Calculation!AQ373)</f>
        <v/>
      </c>
      <c r="Z367" s="396" t="str">
        <f>IF(A367="","",Calculation!$H$6)</f>
        <v/>
      </c>
      <c r="AA367" s="397" t="str">
        <f>IF(A367="","",Calculation!$H$13)</f>
        <v/>
      </c>
      <c r="AB367" s="397" t="str">
        <f>IF(A367="","",Calculation!U373)</f>
        <v/>
      </c>
      <c r="AC367" s="398" t="str">
        <f>IF(A367="","",IF(Calculation!$O$9="None","Water",CONCATENATE(Calculation!$O$9,"-",Calculation!$S$9,"%")))</f>
        <v/>
      </c>
      <c r="AD367" s="396" t="str">
        <f>IF(A367="","",Calculation!$S$6)</f>
        <v/>
      </c>
      <c r="AE367" s="399" t="str">
        <f>IF(A367="","",Calculation!BA373)</f>
        <v/>
      </c>
      <c r="AF367" s="396" t="str">
        <f>IF(A367="","",Calculation!AX373)</f>
        <v/>
      </c>
      <c r="AG367" s="396" t="str">
        <f>IF(A367="","",Calculation!AW373)</f>
        <v/>
      </c>
      <c r="AH367" s="391" t="str">
        <f>IF(A367="","",Calculation!AY373)</f>
        <v/>
      </c>
      <c r="AI367" s="391" t="str">
        <f>IF(A367="","",Calculation!Y373)</f>
        <v/>
      </c>
      <c r="AJ367" s="401" t="str">
        <f>IF(Calculation!BD373&gt;0,Calculation!BD373," ")</f>
        <v xml:space="preserve"> </v>
      </c>
      <c r="AK367" s="401" t="str">
        <f>IF(Calculation!BD373&gt;0,Calculation!BE373," ")</f>
        <v xml:space="preserve"> </v>
      </c>
      <c r="AL367" s="401" t="str">
        <f>IF(Calculation!BD373&gt;0,Calculation!BF373," ")</f>
        <v xml:space="preserve"> </v>
      </c>
      <c r="AM367" s="401" t="str">
        <f>IF(Calculation!BD373&gt;0,Calculation!BG373," ")</f>
        <v xml:space="preserve"> </v>
      </c>
      <c r="AN367" s="391" t="str">
        <f>IF(Calculation!BH373="N/A","N/A",Calculation!BH373)</f>
        <v xml:space="preserve"> </v>
      </c>
      <c r="AO367" s="402" t="str">
        <f>IF(Calculation!BI373="N/A","N/A",Calculation!BI373)</f>
        <v/>
      </c>
      <c r="AP367" s="391" t="str">
        <f>IF(Calculation!BJ373="N/A","N/A",Calculation!BJ373)</f>
        <v/>
      </c>
      <c r="AQ367" s="402" t="str">
        <f>IF(Calculation!BK373="N/A","N/A",Calculation!BK373)</f>
        <v/>
      </c>
      <c r="AR367" s="391" t="str">
        <f>IF(Calculation!BL373="N/A","N/A",Calculation!BL373)</f>
        <v/>
      </c>
      <c r="AS367" s="402" t="str">
        <f>IF(Calculation!BM373="N/A","N/A",Calculation!BM373)</f>
        <v/>
      </c>
      <c r="AT367" s="400"/>
    </row>
    <row r="368" spans="1:46">
      <c r="A368" s="224" t="str">
        <f>IF(Calculation!BN374="","",CONCATENATE(Calculation!BO374,"-",Calculation!R374,"-",Calculation!S374,"-",Calculation!T374,"-",Calculation!U374))</f>
        <v/>
      </c>
      <c r="B368" s="224">
        <v>353</v>
      </c>
      <c r="C368" s="629" t="str">
        <f>IF(A368="","",Calculation!B374)</f>
        <v/>
      </c>
      <c r="D368" s="386" t="str">
        <f>IF(A368="","",Calculation!L374)</f>
        <v/>
      </c>
      <c r="E368" s="387" t="str">
        <f>IF(A368="","",Calculation!J374)</f>
        <v/>
      </c>
      <c r="F368" s="387" t="str">
        <f>IF(A368="","",Calculation!C374)</f>
        <v/>
      </c>
      <c r="G368" s="387" t="str">
        <f>IF(A368="","",LEFT(Calculation!O374,6))</f>
        <v/>
      </c>
      <c r="H368" s="388" t="str">
        <f>IF(A368="","",Calculation!DX374)</f>
        <v/>
      </c>
      <c r="I368" s="387" t="str">
        <f>IF(A368="","",Calculation!P374)</f>
        <v/>
      </c>
      <c r="J368" s="387" t="str">
        <f>IF(A368="","",HLOOKUP(LEFT(Calculation!BO374,7),LookUps!$C$38:$M$41,4))</f>
        <v/>
      </c>
      <c r="K368" s="387" t="str">
        <f>IF(A368="","",Calculation!M374)</f>
        <v/>
      </c>
      <c r="L368" s="387" t="str">
        <f>IF(A368="","",Calculation!S374)</f>
        <v/>
      </c>
      <c r="M368" s="389" t="str">
        <f>IF(A368="","",Calculation!N374)</f>
        <v/>
      </c>
      <c r="N368" s="390" t="str">
        <f>IF(A368="","",Calculation!R374)</f>
        <v/>
      </c>
      <c r="O368" s="391" t="str">
        <f>IF(A368="","",Calculation!$F$6)</f>
        <v/>
      </c>
      <c r="P368" s="392" t="str">
        <f>IF(A368="","",Calculation!$F$7)</f>
        <v/>
      </c>
      <c r="Q368" s="393" t="str">
        <f>IF(A368="","",Calculation!$F$13)</f>
        <v/>
      </c>
      <c r="R368" s="394" t="str">
        <f>IF(A368="","",Calculation!X374)</f>
        <v/>
      </c>
      <c r="S368" s="393" t="str">
        <f>IF(A368="","",Calculation!T374)</f>
        <v/>
      </c>
      <c r="T368" s="395" t="str">
        <f>IF(A368="","",IF(Calculation!$O$8="None","Water",CONCATENATE(Calculation!$O$8,"-",Calculation!$S$8,"%")))</f>
        <v/>
      </c>
      <c r="U368" s="393" t="str">
        <f>IF(A368="","",Calculation!$P$6)</f>
        <v/>
      </c>
      <c r="V368" s="393" t="str">
        <f>IF(A368="","",Calculation!AT374)</f>
        <v/>
      </c>
      <c r="W368" s="396" t="str">
        <f>IF(A368="","",Calculation!AP374)</f>
        <v/>
      </c>
      <c r="X368" s="396" t="str">
        <f>IF(A368="","",Calculation!AO374)</f>
        <v/>
      </c>
      <c r="Y368" s="396" t="str">
        <f>IF(A368="","",Calculation!AQ374)</f>
        <v/>
      </c>
      <c r="Z368" s="396" t="str">
        <f>IF(A368="","",Calculation!$H$6)</f>
        <v/>
      </c>
      <c r="AA368" s="397" t="str">
        <f>IF(A368="","",Calculation!$H$13)</f>
        <v/>
      </c>
      <c r="AB368" s="397" t="str">
        <f>IF(A368="","",Calculation!U374)</f>
        <v/>
      </c>
      <c r="AC368" s="398" t="str">
        <f>IF(A368="","",IF(Calculation!$O$9="None","Water",CONCATENATE(Calculation!$O$9,"-",Calculation!$S$9,"%")))</f>
        <v/>
      </c>
      <c r="AD368" s="396" t="str">
        <f>IF(A368="","",Calculation!$S$6)</f>
        <v/>
      </c>
      <c r="AE368" s="399" t="str">
        <f>IF(A368="","",Calculation!BA374)</f>
        <v/>
      </c>
      <c r="AF368" s="396" t="str">
        <f>IF(A368="","",Calculation!AX374)</f>
        <v/>
      </c>
      <c r="AG368" s="396" t="str">
        <f>IF(A368="","",Calculation!AW374)</f>
        <v/>
      </c>
      <c r="AH368" s="391" t="str">
        <f>IF(A368="","",Calculation!AY374)</f>
        <v/>
      </c>
      <c r="AI368" s="391" t="str">
        <f>IF(A368="","",Calculation!Y374)</f>
        <v/>
      </c>
      <c r="AJ368" s="401" t="str">
        <f>IF(Calculation!BD374&gt;0,Calculation!BD374," ")</f>
        <v xml:space="preserve"> </v>
      </c>
      <c r="AK368" s="401" t="str">
        <f>IF(Calculation!BD374&gt;0,Calculation!BE374," ")</f>
        <v xml:space="preserve"> </v>
      </c>
      <c r="AL368" s="401" t="str">
        <f>IF(Calculation!BD374&gt;0,Calculation!BF374," ")</f>
        <v xml:space="preserve"> </v>
      </c>
      <c r="AM368" s="401" t="str">
        <f>IF(Calculation!BD374&gt;0,Calculation!BG374," ")</f>
        <v xml:space="preserve"> </v>
      </c>
      <c r="AN368" s="391" t="str">
        <f>IF(Calculation!BH374="N/A","N/A",Calculation!BH374)</f>
        <v xml:space="preserve"> </v>
      </c>
      <c r="AO368" s="402" t="str">
        <f>IF(Calculation!BI374="N/A","N/A",Calculation!BI374)</f>
        <v/>
      </c>
      <c r="AP368" s="391" t="str">
        <f>IF(Calculation!BJ374="N/A","N/A",Calculation!BJ374)</f>
        <v/>
      </c>
      <c r="AQ368" s="402" t="str">
        <f>IF(Calculation!BK374="N/A","N/A",Calculation!BK374)</f>
        <v/>
      </c>
      <c r="AR368" s="391" t="str">
        <f>IF(Calculation!BL374="N/A","N/A",Calculation!BL374)</f>
        <v/>
      </c>
      <c r="AS368" s="402" t="str">
        <f>IF(Calculation!BM374="N/A","N/A",Calculation!BM374)</f>
        <v/>
      </c>
      <c r="AT368" s="400"/>
    </row>
    <row r="369" spans="1:46">
      <c r="A369" s="224" t="str">
        <f>IF(Calculation!BN375="","",CONCATENATE(Calculation!BO375,"-",Calculation!R375,"-",Calculation!S375,"-",Calculation!T375,"-",Calculation!U375))</f>
        <v/>
      </c>
      <c r="B369" s="224">
        <v>354</v>
      </c>
      <c r="C369" s="629" t="str">
        <f>IF(A369="","",Calculation!B375)</f>
        <v/>
      </c>
      <c r="D369" s="386" t="str">
        <f>IF(A369="","",Calculation!L375)</f>
        <v/>
      </c>
      <c r="E369" s="387" t="str">
        <f>IF(A369="","",Calculation!J375)</f>
        <v/>
      </c>
      <c r="F369" s="387" t="str">
        <f>IF(A369="","",Calculation!C375)</f>
        <v/>
      </c>
      <c r="G369" s="387" t="str">
        <f>IF(A369="","",LEFT(Calculation!O375,6))</f>
        <v/>
      </c>
      <c r="H369" s="388" t="str">
        <f>IF(A369="","",Calculation!DX375)</f>
        <v/>
      </c>
      <c r="I369" s="387" t="str">
        <f>IF(A369="","",Calculation!P375)</f>
        <v/>
      </c>
      <c r="J369" s="387" t="str">
        <f>IF(A369="","",HLOOKUP(LEFT(Calculation!BO375,7),LookUps!$C$38:$M$41,4))</f>
        <v/>
      </c>
      <c r="K369" s="387" t="str">
        <f>IF(A369="","",Calculation!M375)</f>
        <v/>
      </c>
      <c r="L369" s="387" t="str">
        <f>IF(A369="","",Calculation!S375)</f>
        <v/>
      </c>
      <c r="M369" s="389" t="str">
        <f>IF(A369="","",Calculation!N375)</f>
        <v/>
      </c>
      <c r="N369" s="390" t="str">
        <f>IF(A369="","",Calculation!R375)</f>
        <v/>
      </c>
      <c r="O369" s="391" t="str">
        <f>IF(A369="","",Calculation!$F$6)</f>
        <v/>
      </c>
      <c r="P369" s="392" t="str">
        <f>IF(A369="","",Calculation!$F$7)</f>
        <v/>
      </c>
      <c r="Q369" s="393" t="str">
        <f>IF(A369="","",Calculation!$F$13)</f>
        <v/>
      </c>
      <c r="R369" s="394" t="str">
        <f>IF(A369="","",Calculation!X375)</f>
        <v/>
      </c>
      <c r="S369" s="393" t="str">
        <f>IF(A369="","",Calculation!T375)</f>
        <v/>
      </c>
      <c r="T369" s="395" t="str">
        <f>IF(A369="","",IF(Calculation!$O$8="None","Water",CONCATENATE(Calculation!$O$8,"-",Calculation!$S$8,"%")))</f>
        <v/>
      </c>
      <c r="U369" s="393" t="str">
        <f>IF(A369="","",Calculation!$P$6)</f>
        <v/>
      </c>
      <c r="V369" s="393" t="str">
        <f>IF(A369="","",Calculation!AT375)</f>
        <v/>
      </c>
      <c r="W369" s="396" t="str">
        <f>IF(A369="","",Calculation!AP375)</f>
        <v/>
      </c>
      <c r="X369" s="396" t="str">
        <f>IF(A369="","",Calculation!AO375)</f>
        <v/>
      </c>
      <c r="Y369" s="396" t="str">
        <f>IF(A369="","",Calculation!AQ375)</f>
        <v/>
      </c>
      <c r="Z369" s="396" t="str">
        <f>IF(A369="","",Calculation!$H$6)</f>
        <v/>
      </c>
      <c r="AA369" s="397" t="str">
        <f>IF(A369="","",Calculation!$H$13)</f>
        <v/>
      </c>
      <c r="AB369" s="397" t="str">
        <f>IF(A369="","",Calculation!U375)</f>
        <v/>
      </c>
      <c r="AC369" s="398" t="str">
        <f>IF(A369="","",IF(Calculation!$O$9="None","Water",CONCATENATE(Calculation!$O$9,"-",Calculation!$S$9,"%")))</f>
        <v/>
      </c>
      <c r="AD369" s="396" t="str">
        <f>IF(A369="","",Calculation!$S$6)</f>
        <v/>
      </c>
      <c r="AE369" s="399" t="str">
        <f>IF(A369="","",Calculation!BA375)</f>
        <v/>
      </c>
      <c r="AF369" s="396" t="str">
        <f>IF(A369="","",Calculation!AX375)</f>
        <v/>
      </c>
      <c r="AG369" s="396" t="str">
        <f>IF(A369="","",Calculation!AW375)</f>
        <v/>
      </c>
      <c r="AH369" s="391" t="str">
        <f>IF(A369="","",Calculation!AY375)</f>
        <v/>
      </c>
      <c r="AI369" s="391" t="str">
        <f>IF(A369="","",Calculation!Y375)</f>
        <v/>
      </c>
      <c r="AJ369" s="401" t="str">
        <f>IF(Calculation!BD375&gt;0,Calculation!BD375," ")</f>
        <v xml:space="preserve"> </v>
      </c>
      <c r="AK369" s="401" t="str">
        <f>IF(Calculation!BD375&gt;0,Calculation!BE375," ")</f>
        <v xml:space="preserve"> </v>
      </c>
      <c r="AL369" s="401" t="str">
        <f>IF(Calculation!BD375&gt;0,Calculation!BF375," ")</f>
        <v xml:space="preserve"> </v>
      </c>
      <c r="AM369" s="401" t="str">
        <f>IF(Calculation!BD375&gt;0,Calculation!BG375," ")</f>
        <v xml:space="preserve"> </v>
      </c>
      <c r="AN369" s="391" t="str">
        <f>IF(Calculation!BH375="N/A","N/A",Calculation!BH375)</f>
        <v xml:space="preserve"> </v>
      </c>
      <c r="AO369" s="402" t="str">
        <f>IF(Calculation!BI375="N/A","N/A",Calculation!BI375)</f>
        <v/>
      </c>
      <c r="AP369" s="391" t="str">
        <f>IF(Calculation!BJ375="N/A","N/A",Calculation!BJ375)</f>
        <v/>
      </c>
      <c r="AQ369" s="402" t="str">
        <f>IF(Calculation!BK375="N/A","N/A",Calculation!BK375)</f>
        <v/>
      </c>
      <c r="AR369" s="391" t="str">
        <f>IF(Calculation!BL375="N/A","N/A",Calculation!BL375)</f>
        <v/>
      </c>
      <c r="AS369" s="402" t="str">
        <f>IF(Calculation!BM375="N/A","N/A",Calculation!BM375)</f>
        <v/>
      </c>
      <c r="AT369" s="400"/>
    </row>
    <row r="370" spans="1:46">
      <c r="A370" s="224" t="str">
        <f>IF(Calculation!BN376="","",CONCATENATE(Calculation!BO376,"-",Calculation!R376,"-",Calculation!S376,"-",Calculation!T376,"-",Calculation!U376))</f>
        <v/>
      </c>
      <c r="B370" s="224">
        <v>355</v>
      </c>
      <c r="C370" s="629" t="str">
        <f>IF(A370="","",Calculation!B376)</f>
        <v/>
      </c>
      <c r="D370" s="386" t="str">
        <f>IF(A370="","",Calculation!L376)</f>
        <v/>
      </c>
      <c r="E370" s="387" t="str">
        <f>IF(A370="","",Calculation!J376)</f>
        <v/>
      </c>
      <c r="F370" s="387" t="str">
        <f>IF(A370="","",Calculation!C376)</f>
        <v/>
      </c>
      <c r="G370" s="387" t="str">
        <f>IF(A370="","",LEFT(Calculation!O376,6))</f>
        <v/>
      </c>
      <c r="H370" s="388" t="str">
        <f>IF(A370="","",Calculation!DX376)</f>
        <v/>
      </c>
      <c r="I370" s="387" t="str">
        <f>IF(A370="","",Calculation!P376)</f>
        <v/>
      </c>
      <c r="J370" s="387" t="str">
        <f>IF(A370="","",HLOOKUP(LEFT(Calculation!BO376,7),LookUps!$C$38:$M$41,4))</f>
        <v/>
      </c>
      <c r="K370" s="387" t="str">
        <f>IF(A370="","",Calculation!M376)</f>
        <v/>
      </c>
      <c r="L370" s="387" t="str">
        <f>IF(A370="","",Calculation!S376)</f>
        <v/>
      </c>
      <c r="M370" s="389" t="str">
        <f>IF(A370="","",Calculation!N376)</f>
        <v/>
      </c>
      <c r="N370" s="390" t="str">
        <f>IF(A370="","",Calculation!R376)</f>
        <v/>
      </c>
      <c r="O370" s="391" t="str">
        <f>IF(A370="","",Calculation!$F$6)</f>
        <v/>
      </c>
      <c r="P370" s="392" t="str">
        <f>IF(A370="","",Calculation!$F$7)</f>
        <v/>
      </c>
      <c r="Q370" s="393" t="str">
        <f>IF(A370="","",Calculation!$F$13)</f>
        <v/>
      </c>
      <c r="R370" s="394" t="str">
        <f>IF(A370="","",Calculation!X376)</f>
        <v/>
      </c>
      <c r="S370" s="393" t="str">
        <f>IF(A370="","",Calculation!T376)</f>
        <v/>
      </c>
      <c r="T370" s="395" t="str">
        <f>IF(A370="","",IF(Calculation!$O$8="None","Water",CONCATENATE(Calculation!$O$8,"-",Calculation!$S$8,"%")))</f>
        <v/>
      </c>
      <c r="U370" s="393" t="str">
        <f>IF(A370="","",Calculation!$P$6)</f>
        <v/>
      </c>
      <c r="V370" s="393" t="str">
        <f>IF(A370="","",Calculation!AT376)</f>
        <v/>
      </c>
      <c r="W370" s="396" t="str">
        <f>IF(A370="","",Calculation!AP376)</f>
        <v/>
      </c>
      <c r="X370" s="396" t="str">
        <f>IF(A370="","",Calculation!AO376)</f>
        <v/>
      </c>
      <c r="Y370" s="396" t="str">
        <f>IF(A370="","",Calculation!AQ376)</f>
        <v/>
      </c>
      <c r="Z370" s="396" t="str">
        <f>IF(A370="","",Calculation!$H$6)</f>
        <v/>
      </c>
      <c r="AA370" s="397" t="str">
        <f>IF(A370="","",Calculation!$H$13)</f>
        <v/>
      </c>
      <c r="AB370" s="397" t="str">
        <f>IF(A370="","",Calculation!U376)</f>
        <v/>
      </c>
      <c r="AC370" s="398" t="str">
        <f>IF(A370="","",IF(Calculation!$O$9="None","Water",CONCATENATE(Calculation!$O$9,"-",Calculation!$S$9,"%")))</f>
        <v/>
      </c>
      <c r="AD370" s="396" t="str">
        <f>IF(A370="","",Calculation!$S$6)</f>
        <v/>
      </c>
      <c r="AE370" s="399" t="str">
        <f>IF(A370="","",Calculation!BA376)</f>
        <v/>
      </c>
      <c r="AF370" s="396" t="str">
        <f>IF(A370="","",Calculation!AX376)</f>
        <v/>
      </c>
      <c r="AG370" s="396" t="str">
        <f>IF(A370="","",Calculation!AW376)</f>
        <v/>
      </c>
      <c r="AH370" s="391" t="str">
        <f>IF(A370="","",Calculation!AY376)</f>
        <v/>
      </c>
      <c r="AI370" s="391" t="str">
        <f>IF(A370="","",Calculation!Y376)</f>
        <v/>
      </c>
      <c r="AJ370" s="401" t="str">
        <f>IF(Calculation!BD376&gt;0,Calculation!BD376," ")</f>
        <v xml:space="preserve"> </v>
      </c>
      <c r="AK370" s="401" t="str">
        <f>IF(Calculation!BD376&gt;0,Calculation!BE376," ")</f>
        <v xml:space="preserve"> </v>
      </c>
      <c r="AL370" s="401" t="str">
        <f>IF(Calculation!BD376&gt;0,Calculation!BF376," ")</f>
        <v xml:space="preserve"> </v>
      </c>
      <c r="AM370" s="401" t="str">
        <f>IF(Calculation!BD376&gt;0,Calculation!BG376," ")</f>
        <v xml:space="preserve"> </v>
      </c>
      <c r="AN370" s="391" t="str">
        <f>IF(Calculation!BH376="N/A","N/A",Calculation!BH376)</f>
        <v xml:space="preserve"> </v>
      </c>
      <c r="AO370" s="402" t="str">
        <f>IF(Calculation!BI376="N/A","N/A",Calculation!BI376)</f>
        <v/>
      </c>
      <c r="AP370" s="391" t="str">
        <f>IF(Calculation!BJ376="N/A","N/A",Calculation!BJ376)</f>
        <v/>
      </c>
      <c r="AQ370" s="402" t="str">
        <f>IF(Calculation!BK376="N/A","N/A",Calculation!BK376)</f>
        <v/>
      </c>
      <c r="AR370" s="391" t="str">
        <f>IF(Calculation!BL376="N/A","N/A",Calculation!BL376)</f>
        <v/>
      </c>
      <c r="AS370" s="402" t="str">
        <f>IF(Calculation!BM376="N/A","N/A",Calculation!BM376)</f>
        <v/>
      </c>
      <c r="AT370" s="400"/>
    </row>
    <row r="371" spans="1:46">
      <c r="A371" s="224" t="str">
        <f>IF(Calculation!BN377="","",CONCATENATE(Calculation!BO377,"-",Calculation!R377,"-",Calculation!S377,"-",Calculation!T377,"-",Calculation!U377))</f>
        <v/>
      </c>
      <c r="B371" s="224">
        <v>356</v>
      </c>
      <c r="C371" s="629" t="str">
        <f>IF(A371="","",Calculation!B377)</f>
        <v/>
      </c>
      <c r="D371" s="386" t="str">
        <f>IF(A371="","",Calculation!L377)</f>
        <v/>
      </c>
      <c r="E371" s="387" t="str">
        <f>IF(A371="","",Calculation!J377)</f>
        <v/>
      </c>
      <c r="F371" s="387" t="str">
        <f>IF(A371="","",Calculation!C377)</f>
        <v/>
      </c>
      <c r="G371" s="387" t="str">
        <f>IF(A371="","",LEFT(Calculation!O377,6))</f>
        <v/>
      </c>
      <c r="H371" s="388" t="str">
        <f>IF(A371="","",Calculation!DX377)</f>
        <v/>
      </c>
      <c r="I371" s="387" t="str">
        <f>IF(A371="","",Calculation!P377)</f>
        <v/>
      </c>
      <c r="J371" s="387" t="str">
        <f>IF(A371="","",HLOOKUP(LEFT(Calculation!BO377,7),LookUps!$C$38:$M$41,4))</f>
        <v/>
      </c>
      <c r="K371" s="387" t="str">
        <f>IF(A371="","",Calculation!M377)</f>
        <v/>
      </c>
      <c r="L371" s="387" t="str">
        <f>IF(A371="","",Calculation!S377)</f>
        <v/>
      </c>
      <c r="M371" s="389" t="str">
        <f>IF(A371="","",Calculation!N377)</f>
        <v/>
      </c>
      <c r="N371" s="390" t="str">
        <f>IF(A371="","",Calculation!R377)</f>
        <v/>
      </c>
      <c r="O371" s="391" t="str">
        <f>IF(A371="","",Calculation!$F$6)</f>
        <v/>
      </c>
      <c r="P371" s="392" t="str">
        <f>IF(A371="","",Calculation!$F$7)</f>
        <v/>
      </c>
      <c r="Q371" s="393" t="str">
        <f>IF(A371="","",Calculation!$F$13)</f>
        <v/>
      </c>
      <c r="R371" s="394" t="str">
        <f>IF(A371="","",Calculation!X377)</f>
        <v/>
      </c>
      <c r="S371" s="393" t="str">
        <f>IF(A371="","",Calculation!T377)</f>
        <v/>
      </c>
      <c r="T371" s="395" t="str">
        <f>IF(A371="","",IF(Calculation!$O$8="None","Water",CONCATENATE(Calculation!$O$8,"-",Calculation!$S$8,"%")))</f>
        <v/>
      </c>
      <c r="U371" s="393" t="str">
        <f>IF(A371="","",Calculation!$P$6)</f>
        <v/>
      </c>
      <c r="V371" s="393" t="str">
        <f>IF(A371="","",Calculation!AT377)</f>
        <v/>
      </c>
      <c r="W371" s="396" t="str">
        <f>IF(A371="","",Calculation!AP377)</f>
        <v/>
      </c>
      <c r="X371" s="396" t="str">
        <f>IF(A371="","",Calculation!AO377)</f>
        <v/>
      </c>
      <c r="Y371" s="396" t="str">
        <f>IF(A371="","",Calculation!AQ377)</f>
        <v/>
      </c>
      <c r="Z371" s="396" t="str">
        <f>IF(A371="","",Calculation!$H$6)</f>
        <v/>
      </c>
      <c r="AA371" s="397" t="str">
        <f>IF(A371="","",Calculation!$H$13)</f>
        <v/>
      </c>
      <c r="AB371" s="397" t="str">
        <f>IF(A371="","",Calculation!U377)</f>
        <v/>
      </c>
      <c r="AC371" s="398" t="str">
        <f>IF(A371="","",IF(Calculation!$O$9="None","Water",CONCATENATE(Calculation!$O$9,"-",Calculation!$S$9,"%")))</f>
        <v/>
      </c>
      <c r="AD371" s="396" t="str">
        <f>IF(A371="","",Calculation!$S$6)</f>
        <v/>
      </c>
      <c r="AE371" s="399" t="str">
        <f>IF(A371="","",Calculation!BA377)</f>
        <v/>
      </c>
      <c r="AF371" s="396" t="str">
        <f>IF(A371="","",Calculation!AX377)</f>
        <v/>
      </c>
      <c r="AG371" s="396" t="str">
        <f>IF(A371="","",Calculation!AW377)</f>
        <v/>
      </c>
      <c r="AH371" s="391" t="str">
        <f>IF(A371="","",Calculation!AY377)</f>
        <v/>
      </c>
      <c r="AI371" s="391" t="str">
        <f>IF(A371="","",Calculation!Y377)</f>
        <v/>
      </c>
      <c r="AJ371" s="401" t="str">
        <f>IF(Calculation!BD377&gt;0,Calculation!BD377," ")</f>
        <v xml:space="preserve"> </v>
      </c>
      <c r="AK371" s="401" t="str">
        <f>IF(Calculation!BD377&gt;0,Calculation!BE377," ")</f>
        <v xml:space="preserve"> </v>
      </c>
      <c r="AL371" s="401" t="str">
        <f>IF(Calculation!BD377&gt;0,Calculation!BF377," ")</f>
        <v xml:space="preserve"> </v>
      </c>
      <c r="AM371" s="401" t="str">
        <f>IF(Calculation!BD377&gt;0,Calculation!BG377," ")</f>
        <v xml:space="preserve"> </v>
      </c>
      <c r="AN371" s="391" t="str">
        <f>IF(Calculation!BH377="N/A","N/A",Calculation!BH377)</f>
        <v xml:space="preserve"> </v>
      </c>
      <c r="AO371" s="402" t="str">
        <f>IF(Calculation!BI377="N/A","N/A",Calculation!BI377)</f>
        <v/>
      </c>
      <c r="AP371" s="391" t="str">
        <f>IF(Calculation!BJ377="N/A","N/A",Calculation!BJ377)</f>
        <v/>
      </c>
      <c r="AQ371" s="402" t="str">
        <f>IF(Calculation!BK377="N/A","N/A",Calculation!BK377)</f>
        <v/>
      </c>
      <c r="AR371" s="391" t="str">
        <f>IF(Calculation!BL377="N/A","N/A",Calculation!BL377)</f>
        <v/>
      </c>
      <c r="AS371" s="402" t="str">
        <f>IF(Calculation!BM377="N/A","N/A",Calculation!BM377)</f>
        <v/>
      </c>
      <c r="AT371" s="400"/>
    </row>
    <row r="372" spans="1:46">
      <c r="A372" s="224" t="str">
        <f>IF(Calculation!BN378="","",CONCATENATE(Calculation!BO378,"-",Calculation!R378,"-",Calculation!S378,"-",Calculation!T378,"-",Calculation!U378))</f>
        <v/>
      </c>
      <c r="B372" s="224">
        <v>357</v>
      </c>
      <c r="C372" s="629" t="str">
        <f>IF(A372="","",Calculation!B378)</f>
        <v/>
      </c>
      <c r="D372" s="386" t="str">
        <f>IF(A372="","",Calculation!L378)</f>
        <v/>
      </c>
      <c r="E372" s="387" t="str">
        <f>IF(A372="","",Calculation!J378)</f>
        <v/>
      </c>
      <c r="F372" s="387" t="str">
        <f>IF(A372="","",Calculation!C378)</f>
        <v/>
      </c>
      <c r="G372" s="387" t="str">
        <f>IF(A372="","",LEFT(Calculation!O378,6))</f>
        <v/>
      </c>
      <c r="H372" s="388" t="str">
        <f>IF(A372="","",Calculation!DX378)</f>
        <v/>
      </c>
      <c r="I372" s="387" t="str">
        <f>IF(A372="","",Calculation!P378)</f>
        <v/>
      </c>
      <c r="J372" s="387" t="str">
        <f>IF(A372="","",HLOOKUP(LEFT(Calculation!BO378,7),LookUps!$C$38:$M$41,4))</f>
        <v/>
      </c>
      <c r="K372" s="387" t="str">
        <f>IF(A372="","",Calculation!M378)</f>
        <v/>
      </c>
      <c r="L372" s="387" t="str">
        <f>IF(A372="","",Calculation!S378)</f>
        <v/>
      </c>
      <c r="M372" s="389" t="str">
        <f>IF(A372="","",Calculation!N378)</f>
        <v/>
      </c>
      <c r="N372" s="390" t="str">
        <f>IF(A372="","",Calculation!R378)</f>
        <v/>
      </c>
      <c r="O372" s="391" t="str">
        <f>IF(A372="","",Calculation!$F$6)</f>
        <v/>
      </c>
      <c r="P372" s="392" t="str">
        <f>IF(A372="","",Calculation!$F$7)</f>
        <v/>
      </c>
      <c r="Q372" s="393" t="str">
        <f>IF(A372="","",Calculation!$F$13)</f>
        <v/>
      </c>
      <c r="R372" s="394" t="str">
        <f>IF(A372="","",Calculation!X378)</f>
        <v/>
      </c>
      <c r="S372" s="393" t="str">
        <f>IF(A372="","",Calculation!T378)</f>
        <v/>
      </c>
      <c r="T372" s="395" t="str">
        <f>IF(A372="","",IF(Calculation!$O$8="None","Water",CONCATENATE(Calculation!$O$8,"-",Calculation!$S$8,"%")))</f>
        <v/>
      </c>
      <c r="U372" s="393" t="str">
        <f>IF(A372="","",Calculation!$P$6)</f>
        <v/>
      </c>
      <c r="V372" s="393" t="str">
        <f>IF(A372="","",Calculation!AT378)</f>
        <v/>
      </c>
      <c r="W372" s="396" t="str">
        <f>IF(A372="","",Calculation!AP378)</f>
        <v/>
      </c>
      <c r="X372" s="396" t="str">
        <f>IF(A372="","",Calculation!AO378)</f>
        <v/>
      </c>
      <c r="Y372" s="396" t="str">
        <f>IF(A372="","",Calculation!AQ378)</f>
        <v/>
      </c>
      <c r="Z372" s="396" t="str">
        <f>IF(A372="","",Calculation!$H$6)</f>
        <v/>
      </c>
      <c r="AA372" s="397" t="str">
        <f>IF(A372="","",Calculation!$H$13)</f>
        <v/>
      </c>
      <c r="AB372" s="397" t="str">
        <f>IF(A372="","",Calculation!U378)</f>
        <v/>
      </c>
      <c r="AC372" s="398" t="str">
        <f>IF(A372="","",IF(Calculation!$O$9="None","Water",CONCATENATE(Calculation!$O$9,"-",Calculation!$S$9,"%")))</f>
        <v/>
      </c>
      <c r="AD372" s="396" t="str">
        <f>IF(A372="","",Calculation!$S$6)</f>
        <v/>
      </c>
      <c r="AE372" s="399" t="str">
        <f>IF(A372="","",Calculation!BA378)</f>
        <v/>
      </c>
      <c r="AF372" s="396" t="str">
        <f>IF(A372="","",Calculation!AX378)</f>
        <v/>
      </c>
      <c r="AG372" s="396" t="str">
        <f>IF(A372="","",Calculation!AW378)</f>
        <v/>
      </c>
      <c r="AH372" s="391" t="str">
        <f>IF(A372="","",Calculation!AY378)</f>
        <v/>
      </c>
      <c r="AI372" s="391" t="str">
        <f>IF(A372="","",Calculation!Y378)</f>
        <v/>
      </c>
      <c r="AJ372" s="401" t="str">
        <f>IF(Calculation!BD378&gt;0,Calculation!BD378," ")</f>
        <v xml:space="preserve"> </v>
      </c>
      <c r="AK372" s="401" t="str">
        <f>IF(Calculation!BD378&gt;0,Calculation!BE378," ")</f>
        <v xml:space="preserve"> </v>
      </c>
      <c r="AL372" s="401" t="str">
        <f>IF(Calculation!BD378&gt;0,Calculation!BF378," ")</f>
        <v xml:space="preserve"> </v>
      </c>
      <c r="AM372" s="401" t="str">
        <f>IF(Calculation!BD378&gt;0,Calculation!BG378," ")</f>
        <v xml:space="preserve"> </v>
      </c>
      <c r="AN372" s="391" t="str">
        <f>IF(Calculation!BH378="N/A","N/A",Calculation!BH378)</f>
        <v xml:space="preserve"> </v>
      </c>
      <c r="AO372" s="402" t="str">
        <f>IF(Calculation!BI378="N/A","N/A",Calculation!BI378)</f>
        <v/>
      </c>
      <c r="AP372" s="391" t="str">
        <f>IF(Calculation!BJ378="N/A","N/A",Calculation!BJ378)</f>
        <v/>
      </c>
      <c r="AQ372" s="402" t="str">
        <f>IF(Calculation!BK378="N/A","N/A",Calculation!BK378)</f>
        <v/>
      </c>
      <c r="AR372" s="391" t="str">
        <f>IF(Calculation!BL378="N/A","N/A",Calculation!BL378)</f>
        <v/>
      </c>
      <c r="AS372" s="402" t="str">
        <f>IF(Calculation!BM378="N/A","N/A",Calculation!BM378)</f>
        <v/>
      </c>
      <c r="AT372" s="400"/>
    </row>
    <row r="373" spans="1:46">
      <c r="A373" s="224" t="str">
        <f>IF(Calculation!BN379="","",CONCATENATE(Calculation!BO379,"-",Calculation!R379,"-",Calculation!S379,"-",Calculation!T379,"-",Calculation!U379))</f>
        <v/>
      </c>
      <c r="B373" s="224">
        <v>358</v>
      </c>
      <c r="C373" s="629" t="str">
        <f>IF(A373="","",Calculation!B379)</f>
        <v/>
      </c>
      <c r="D373" s="386" t="str">
        <f>IF(A373="","",Calculation!L379)</f>
        <v/>
      </c>
      <c r="E373" s="387" t="str">
        <f>IF(A373="","",Calculation!J379)</f>
        <v/>
      </c>
      <c r="F373" s="387" t="str">
        <f>IF(A373="","",Calculation!C379)</f>
        <v/>
      </c>
      <c r="G373" s="387" t="str">
        <f>IF(A373="","",LEFT(Calculation!O379,6))</f>
        <v/>
      </c>
      <c r="H373" s="388" t="str">
        <f>IF(A373="","",Calculation!DX379)</f>
        <v/>
      </c>
      <c r="I373" s="387" t="str">
        <f>IF(A373="","",Calculation!P379)</f>
        <v/>
      </c>
      <c r="J373" s="387" t="str">
        <f>IF(A373="","",HLOOKUP(LEFT(Calculation!BO379,7),LookUps!$C$38:$M$41,4))</f>
        <v/>
      </c>
      <c r="K373" s="387" t="str">
        <f>IF(A373="","",Calculation!M379)</f>
        <v/>
      </c>
      <c r="L373" s="387" t="str">
        <f>IF(A373="","",Calculation!S379)</f>
        <v/>
      </c>
      <c r="M373" s="389" t="str">
        <f>IF(A373="","",Calculation!N379)</f>
        <v/>
      </c>
      <c r="N373" s="390" t="str">
        <f>IF(A373="","",Calculation!R379)</f>
        <v/>
      </c>
      <c r="O373" s="391" t="str">
        <f>IF(A373="","",Calculation!$F$6)</f>
        <v/>
      </c>
      <c r="P373" s="392" t="str">
        <f>IF(A373="","",Calculation!$F$7)</f>
        <v/>
      </c>
      <c r="Q373" s="393" t="str">
        <f>IF(A373="","",Calculation!$F$13)</f>
        <v/>
      </c>
      <c r="R373" s="394" t="str">
        <f>IF(A373="","",Calculation!X379)</f>
        <v/>
      </c>
      <c r="S373" s="393" t="str">
        <f>IF(A373="","",Calculation!T379)</f>
        <v/>
      </c>
      <c r="T373" s="395" t="str">
        <f>IF(A373="","",IF(Calculation!$O$8="None","Water",CONCATENATE(Calculation!$O$8,"-",Calculation!$S$8,"%")))</f>
        <v/>
      </c>
      <c r="U373" s="393" t="str">
        <f>IF(A373="","",Calculation!$P$6)</f>
        <v/>
      </c>
      <c r="V373" s="393" t="str">
        <f>IF(A373="","",Calculation!AT379)</f>
        <v/>
      </c>
      <c r="W373" s="396" t="str">
        <f>IF(A373="","",Calculation!AP379)</f>
        <v/>
      </c>
      <c r="X373" s="396" t="str">
        <f>IF(A373="","",Calculation!AO379)</f>
        <v/>
      </c>
      <c r="Y373" s="396" t="str">
        <f>IF(A373="","",Calculation!AQ379)</f>
        <v/>
      </c>
      <c r="Z373" s="396" t="str">
        <f>IF(A373="","",Calculation!$H$6)</f>
        <v/>
      </c>
      <c r="AA373" s="397" t="str">
        <f>IF(A373="","",Calculation!$H$13)</f>
        <v/>
      </c>
      <c r="AB373" s="397" t="str">
        <f>IF(A373="","",Calculation!U379)</f>
        <v/>
      </c>
      <c r="AC373" s="398" t="str">
        <f>IF(A373="","",IF(Calculation!$O$9="None","Water",CONCATENATE(Calculation!$O$9,"-",Calculation!$S$9,"%")))</f>
        <v/>
      </c>
      <c r="AD373" s="396" t="str">
        <f>IF(A373="","",Calculation!$S$6)</f>
        <v/>
      </c>
      <c r="AE373" s="399" t="str">
        <f>IF(A373="","",Calculation!BA379)</f>
        <v/>
      </c>
      <c r="AF373" s="396" t="str">
        <f>IF(A373="","",Calculation!AX379)</f>
        <v/>
      </c>
      <c r="AG373" s="396" t="str">
        <f>IF(A373="","",Calculation!AW379)</f>
        <v/>
      </c>
      <c r="AH373" s="391" t="str">
        <f>IF(A373="","",Calculation!AY379)</f>
        <v/>
      </c>
      <c r="AI373" s="391" t="str">
        <f>IF(A373="","",Calculation!Y379)</f>
        <v/>
      </c>
      <c r="AJ373" s="401" t="str">
        <f>IF(Calculation!BD379&gt;0,Calculation!BD379," ")</f>
        <v xml:space="preserve"> </v>
      </c>
      <c r="AK373" s="401" t="str">
        <f>IF(Calculation!BD379&gt;0,Calculation!BE379," ")</f>
        <v xml:space="preserve"> </v>
      </c>
      <c r="AL373" s="401" t="str">
        <f>IF(Calculation!BD379&gt;0,Calculation!BF379," ")</f>
        <v xml:space="preserve"> </v>
      </c>
      <c r="AM373" s="401" t="str">
        <f>IF(Calculation!BD379&gt;0,Calculation!BG379," ")</f>
        <v xml:space="preserve"> </v>
      </c>
      <c r="AN373" s="391" t="str">
        <f>IF(Calculation!BH379="N/A","N/A",Calculation!BH379)</f>
        <v xml:space="preserve"> </v>
      </c>
      <c r="AO373" s="402" t="str">
        <f>IF(Calculation!BI379="N/A","N/A",Calculation!BI379)</f>
        <v/>
      </c>
      <c r="AP373" s="391" t="str">
        <f>IF(Calculation!BJ379="N/A","N/A",Calculation!BJ379)</f>
        <v/>
      </c>
      <c r="AQ373" s="402" t="str">
        <f>IF(Calculation!BK379="N/A","N/A",Calculation!BK379)</f>
        <v/>
      </c>
      <c r="AR373" s="391" t="str">
        <f>IF(Calculation!BL379="N/A","N/A",Calculation!BL379)</f>
        <v/>
      </c>
      <c r="AS373" s="402" t="str">
        <f>IF(Calculation!BM379="N/A","N/A",Calculation!BM379)</f>
        <v/>
      </c>
      <c r="AT373" s="400"/>
    </row>
    <row r="374" spans="1:46">
      <c r="A374" s="224" t="str">
        <f>IF(Calculation!BN380="","",CONCATENATE(Calculation!BO380,"-",Calculation!R380,"-",Calculation!S380,"-",Calculation!T380,"-",Calculation!U380))</f>
        <v/>
      </c>
      <c r="B374" s="224">
        <v>359</v>
      </c>
      <c r="C374" s="629" t="str">
        <f>IF(A374="","",Calculation!B380)</f>
        <v/>
      </c>
      <c r="D374" s="386" t="str">
        <f>IF(A374="","",Calculation!L380)</f>
        <v/>
      </c>
      <c r="E374" s="387" t="str">
        <f>IF(A374="","",Calculation!J380)</f>
        <v/>
      </c>
      <c r="F374" s="387" t="str">
        <f>IF(A374="","",Calculation!C380)</f>
        <v/>
      </c>
      <c r="G374" s="387" t="str">
        <f>IF(A374="","",LEFT(Calculation!O380,6))</f>
        <v/>
      </c>
      <c r="H374" s="388" t="str">
        <f>IF(A374="","",Calculation!DX380)</f>
        <v/>
      </c>
      <c r="I374" s="387" t="str">
        <f>IF(A374="","",Calculation!P380)</f>
        <v/>
      </c>
      <c r="J374" s="387" t="str">
        <f>IF(A374="","",HLOOKUP(LEFT(Calculation!BO380,7),LookUps!$C$38:$M$41,4))</f>
        <v/>
      </c>
      <c r="K374" s="387" t="str">
        <f>IF(A374="","",Calculation!M380)</f>
        <v/>
      </c>
      <c r="L374" s="387" t="str">
        <f>IF(A374="","",Calculation!S380)</f>
        <v/>
      </c>
      <c r="M374" s="389" t="str">
        <f>IF(A374="","",Calculation!N380)</f>
        <v/>
      </c>
      <c r="N374" s="390" t="str">
        <f>IF(A374="","",Calculation!R380)</f>
        <v/>
      </c>
      <c r="O374" s="391" t="str">
        <f>IF(A374="","",Calculation!$F$6)</f>
        <v/>
      </c>
      <c r="P374" s="392" t="str">
        <f>IF(A374="","",Calculation!$F$7)</f>
        <v/>
      </c>
      <c r="Q374" s="393" t="str">
        <f>IF(A374="","",Calculation!$F$13)</f>
        <v/>
      </c>
      <c r="R374" s="394" t="str">
        <f>IF(A374="","",Calculation!X380)</f>
        <v/>
      </c>
      <c r="S374" s="393" t="str">
        <f>IF(A374="","",Calculation!T380)</f>
        <v/>
      </c>
      <c r="T374" s="395" t="str">
        <f>IF(A374="","",IF(Calculation!$O$8="None","Water",CONCATENATE(Calculation!$O$8,"-",Calculation!$S$8,"%")))</f>
        <v/>
      </c>
      <c r="U374" s="393" t="str">
        <f>IF(A374="","",Calculation!$P$6)</f>
        <v/>
      </c>
      <c r="V374" s="393" t="str">
        <f>IF(A374="","",Calculation!AT380)</f>
        <v/>
      </c>
      <c r="W374" s="396" t="str">
        <f>IF(A374="","",Calculation!AP380)</f>
        <v/>
      </c>
      <c r="X374" s="396" t="str">
        <f>IF(A374="","",Calculation!AO380)</f>
        <v/>
      </c>
      <c r="Y374" s="396" t="str">
        <f>IF(A374="","",Calculation!AQ380)</f>
        <v/>
      </c>
      <c r="Z374" s="396" t="str">
        <f>IF(A374="","",Calculation!$H$6)</f>
        <v/>
      </c>
      <c r="AA374" s="397" t="str">
        <f>IF(A374="","",Calculation!$H$13)</f>
        <v/>
      </c>
      <c r="AB374" s="397" t="str">
        <f>IF(A374="","",Calculation!U380)</f>
        <v/>
      </c>
      <c r="AC374" s="398" t="str">
        <f>IF(A374="","",IF(Calculation!$O$9="None","Water",CONCATENATE(Calculation!$O$9,"-",Calculation!$S$9,"%")))</f>
        <v/>
      </c>
      <c r="AD374" s="396" t="str">
        <f>IF(A374="","",Calculation!$S$6)</f>
        <v/>
      </c>
      <c r="AE374" s="399" t="str">
        <f>IF(A374="","",Calculation!BA380)</f>
        <v/>
      </c>
      <c r="AF374" s="396" t="str">
        <f>IF(A374="","",Calculation!AX380)</f>
        <v/>
      </c>
      <c r="AG374" s="396" t="str">
        <f>IF(A374="","",Calculation!AW380)</f>
        <v/>
      </c>
      <c r="AH374" s="391" t="str">
        <f>IF(A374="","",Calculation!AY380)</f>
        <v/>
      </c>
      <c r="AI374" s="391" t="str">
        <f>IF(A374="","",Calculation!Y380)</f>
        <v/>
      </c>
      <c r="AJ374" s="401" t="str">
        <f>IF(Calculation!BD380&gt;0,Calculation!BD380," ")</f>
        <v xml:space="preserve"> </v>
      </c>
      <c r="AK374" s="401" t="str">
        <f>IF(Calculation!BD380&gt;0,Calculation!BE380," ")</f>
        <v xml:space="preserve"> </v>
      </c>
      <c r="AL374" s="401" t="str">
        <f>IF(Calculation!BD380&gt;0,Calculation!BF380," ")</f>
        <v xml:space="preserve"> </v>
      </c>
      <c r="AM374" s="401" t="str">
        <f>IF(Calculation!BD380&gt;0,Calculation!BG380," ")</f>
        <v xml:space="preserve"> </v>
      </c>
      <c r="AN374" s="391" t="str">
        <f>IF(Calculation!BH380="N/A","N/A",Calculation!BH380)</f>
        <v xml:space="preserve"> </v>
      </c>
      <c r="AO374" s="402" t="str">
        <f>IF(Calculation!BI380="N/A","N/A",Calculation!BI380)</f>
        <v/>
      </c>
      <c r="AP374" s="391" t="str">
        <f>IF(Calculation!BJ380="N/A","N/A",Calculation!BJ380)</f>
        <v/>
      </c>
      <c r="AQ374" s="402" t="str">
        <f>IF(Calculation!BK380="N/A","N/A",Calculation!BK380)</f>
        <v/>
      </c>
      <c r="AR374" s="391" t="str">
        <f>IF(Calculation!BL380="N/A","N/A",Calculation!BL380)</f>
        <v/>
      </c>
      <c r="AS374" s="402" t="str">
        <f>IF(Calculation!BM380="N/A","N/A",Calculation!BM380)</f>
        <v/>
      </c>
      <c r="AT374" s="400"/>
    </row>
    <row r="375" spans="1:46">
      <c r="A375" s="224" t="str">
        <f>IF(Calculation!BN381="","",CONCATENATE(Calculation!BO381,"-",Calculation!R381,"-",Calculation!S381,"-",Calculation!T381,"-",Calculation!U381))</f>
        <v/>
      </c>
      <c r="B375" s="224">
        <v>360</v>
      </c>
      <c r="C375" s="629" t="str">
        <f>IF(A375="","",Calculation!B381)</f>
        <v/>
      </c>
      <c r="D375" s="386" t="str">
        <f>IF(A375="","",Calculation!L381)</f>
        <v/>
      </c>
      <c r="E375" s="387" t="str">
        <f>IF(A375="","",Calculation!J381)</f>
        <v/>
      </c>
      <c r="F375" s="387" t="str">
        <f>IF(A375="","",Calculation!C381)</f>
        <v/>
      </c>
      <c r="G375" s="387" t="str">
        <f>IF(A375="","",LEFT(Calculation!O381,6))</f>
        <v/>
      </c>
      <c r="H375" s="388" t="str">
        <f>IF(A375="","",Calculation!DX381)</f>
        <v/>
      </c>
      <c r="I375" s="387" t="str">
        <f>IF(A375="","",Calculation!P381)</f>
        <v/>
      </c>
      <c r="J375" s="387" t="str">
        <f>IF(A375="","",HLOOKUP(LEFT(Calculation!BO381,7),LookUps!$C$38:$M$41,4))</f>
        <v/>
      </c>
      <c r="K375" s="387" t="str">
        <f>IF(A375="","",Calculation!M381)</f>
        <v/>
      </c>
      <c r="L375" s="387" t="str">
        <f>IF(A375="","",Calculation!S381)</f>
        <v/>
      </c>
      <c r="M375" s="389" t="str">
        <f>IF(A375="","",Calculation!N381)</f>
        <v/>
      </c>
      <c r="N375" s="390" t="str">
        <f>IF(A375="","",Calculation!R381)</f>
        <v/>
      </c>
      <c r="O375" s="391" t="str">
        <f>IF(A375="","",Calculation!$F$6)</f>
        <v/>
      </c>
      <c r="P375" s="392" t="str">
        <f>IF(A375="","",Calculation!$F$7)</f>
        <v/>
      </c>
      <c r="Q375" s="393" t="str">
        <f>IF(A375="","",Calculation!$F$13)</f>
        <v/>
      </c>
      <c r="R375" s="394" t="str">
        <f>IF(A375="","",Calculation!X381)</f>
        <v/>
      </c>
      <c r="S375" s="393" t="str">
        <f>IF(A375="","",Calculation!T381)</f>
        <v/>
      </c>
      <c r="T375" s="395" t="str">
        <f>IF(A375="","",IF(Calculation!$O$8="None","Water",CONCATENATE(Calculation!$O$8,"-",Calculation!$S$8,"%")))</f>
        <v/>
      </c>
      <c r="U375" s="393" t="str">
        <f>IF(A375="","",Calculation!$P$6)</f>
        <v/>
      </c>
      <c r="V375" s="393" t="str">
        <f>IF(A375="","",Calculation!AT381)</f>
        <v/>
      </c>
      <c r="W375" s="396" t="str">
        <f>IF(A375="","",Calculation!AP381)</f>
        <v/>
      </c>
      <c r="X375" s="396" t="str">
        <f>IF(A375="","",Calculation!AO381)</f>
        <v/>
      </c>
      <c r="Y375" s="396" t="str">
        <f>IF(A375="","",Calculation!AQ381)</f>
        <v/>
      </c>
      <c r="Z375" s="396" t="str">
        <f>IF(A375="","",Calculation!$H$6)</f>
        <v/>
      </c>
      <c r="AA375" s="397" t="str">
        <f>IF(A375="","",Calculation!$H$13)</f>
        <v/>
      </c>
      <c r="AB375" s="397" t="str">
        <f>IF(A375="","",Calculation!U381)</f>
        <v/>
      </c>
      <c r="AC375" s="398" t="str">
        <f>IF(A375="","",IF(Calculation!$O$9="None","Water",CONCATENATE(Calculation!$O$9,"-",Calculation!$S$9,"%")))</f>
        <v/>
      </c>
      <c r="AD375" s="396" t="str">
        <f>IF(A375="","",Calculation!$S$6)</f>
        <v/>
      </c>
      <c r="AE375" s="399" t="str">
        <f>IF(A375="","",Calculation!BA381)</f>
        <v/>
      </c>
      <c r="AF375" s="396" t="str">
        <f>IF(A375="","",Calculation!AX381)</f>
        <v/>
      </c>
      <c r="AG375" s="396" t="str">
        <f>IF(A375="","",Calculation!AW381)</f>
        <v/>
      </c>
      <c r="AH375" s="391" t="str">
        <f>IF(A375="","",Calculation!AY381)</f>
        <v/>
      </c>
      <c r="AI375" s="391" t="str">
        <f>IF(A375="","",Calculation!Y381)</f>
        <v/>
      </c>
      <c r="AJ375" s="401" t="str">
        <f>IF(Calculation!BD381&gt;0,Calculation!BD381," ")</f>
        <v xml:space="preserve"> </v>
      </c>
      <c r="AK375" s="401" t="str">
        <f>IF(Calculation!BD381&gt;0,Calculation!BE381," ")</f>
        <v xml:space="preserve"> </v>
      </c>
      <c r="AL375" s="401" t="str">
        <f>IF(Calculation!BD381&gt;0,Calculation!BF381," ")</f>
        <v xml:space="preserve"> </v>
      </c>
      <c r="AM375" s="401" t="str">
        <f>IF(Calculation!BD381&gt;0,Calculation!BG381," ")</f>
        <v xml:space="preserve"> </v>
      </c>
      <c r="AN375" s="391" t="str">
        <f>IF(Calculation!BH381="N/A","N/A",Calculation!BH381)</f>
        <v xml:space="preserve"> </v>
      </c>
      <c r="AO375" s="402" t="str">
        <f>IF(Calculation!BI381="N/A","N/A",Calculation!BI381)</f>
        <v/>
      </c>
      <c r="AP375" s="391" t="str">
        <f>IF(Calculation!BJ381="N/A","N/A",Calculation!BJ381)</f>
        <v/>
      </c>
      <c r="AQ375" s="402" t="str">
        <f>IF(Calculation!BK381="N/A","N/A",Calculation!BK381)</f>
        <v/>
      </c>
      <c r="AR375" s="391" t="str">
        <f>IF(Calculation!BL381="N/A","N/A",Calculation!BL381)</f>
        <v/>
      </c>
      <c r="AS375" s="402" t="str">
        <f>IF(Calculation!BM381="N/A","N/A",Calculation!BM381)</f>
        <v/>
      </c>
      <c r="AT375" s="400"/>
    </row>
    <row r="376" spans="1:46">
      <c r="A376" s="224" t="str">
        <f>IF(Calculation!BN382="","",CONCATENATE(Calculation!BO382,"-",Calculation!R382,"-",Calculation!S382,"-",Calculation!T382,"-",Calculation!U382))</f>
        <v/>
      </c>
      <c r="B376" s="224">
        <v>361</v>
      </c>
      <c r="C376" s="629" t="str">
        <f>IF(A376="","",Calculation!B382)</f>
        <v/>
      </c>
      <c r="D376" s="386" t="str">
        <f>IF(A376="","",Calculation!L382)</f>
        <v/>
      </c>
      <c r="E376" s="387" t="str">
        <f>IF(A376="","",Calculation!J382)</f>
        <v/>
      </c>
      <c r="F376" s="387" t="str">
        <f>IF(A376="","",Calculation!C382)</f>
        <v/>
      </c>
      <c r="G376" s="387" t="str">
        <f>IF(A376="","",LEFT(Calculation!O382,6))</f>
        <v/>
      </c>
      <c r="H376" s="388" t="str">
        <f>IF(A376="","",Calculation!DX382)</f>
        <v/>
      </c>
      <c r="I376" s="387" t="str">
        <f>IF(A376="","",Calculation!P382)</f>
        <v/>
      </c>
      <c r="J376" s="387" t="str">
        <f>IF(A376="","",HLOOKUP(LEFT(Calculation!BO382,7),LookUps!$C$38:$M$41,4))</f>
        <v/>
      </c>
      <c r="K376" s="387" t="str">
        <f>IF(A376="","",Calculation!M382)</f>
        <v/>
      </c>
      <c r="L376" s="387" t="str">
        <f>IF(A376="","",Calculation!S382)</f>
        <v/>
      </c>
      <c r="M376" s="389" t="str">
        <f>IF(A376="","",Calculation!N382)</f>
        <v/>
      </c>
      <c r="N376" s="390" t="str">
        <f>IF(A376="","",Calculation!R382)</f>
        <v/>
      </c>
      <c r="O376" s="391" t="str">
        <f>IF(A376="","",Calculation!$F$6)</f>
        <v/>
      </c>
      <c r="P376" s="392" t="str">
        <f>IF(A376="","",Calculation!$F$7)</f>
        <v/>
      </c>
      <c r="Q376" s="393" t="str">
        <f>IF(A376="","",Calculation!$F$13)</f>
        <v/>
      </c>
      <c r="R376" s="394" t="str">
        <f>IF(A376="","",Calculation!X382)</f>
        <v/>
      </c>
      <c r="S376" s="393" t="str">
        <f>IF(A376="","",Calculation!T382)</f>
        <v/>
      </c>
      <c r="T376" s="395" t="str">
        <f>IF(A376="","",IF(Calculation!$O$8="None","Water",CONCATENATE(Calculation!$O$8,"-",Calculation!$S$8,"%")))</f>
        <v/>
      </c>
      <c r="U376" s="393" t="str">
        <f>IF(A376="","",Calculation!$P$6)</f>
        <v/>
      </c>
      <c r="V376" s="393" t="str">
        <f>IF(A376="","",Calculation!AT382)</f>
        <v/>
      </c>
      <c r="W376" s="396" t="str">
        <f>IF(A376="","",Calculation!AP382)</f>
        <v/>
      </c>
      <c r="X376" s="396" t="str">
        <f>IF(A376="","",Calculation!AO382)</f>
        <v/>
      </c>
      <c r="Y376" s="396" t="str">
        <f>IF(A376="","",Calculation!AQ382)</f>
        <v/>
      </c>
      <c r="Z376" s="396" t="str">
        <f>IF(A376="","",Calculation!$H$6)</f>
        <v/>
      </c>
      <c r="AA376" s="397" t="str">
        <f>IF(A376="","",Calculation!$H$13)</f>
        <v/>
      </c>
      <c r="AB376" s="397" t="str">
        <f>IF(A376="","",Calculation!U382)</f>
        <v/>
      </c>
      <c r="AC376" s="398" t="str">
        <f>IF(A376="","",IF(Calculation!$O$9="None","Water",CONCATENATE(Calculation!$O$9,"-",Calculation!$S$9,"%")))</f>
        <v/>
      </c>
      <c r="AD376" s="396" t="str">
        <f>IF(A376="","",Calculation!$S$6)</f>
        <v/>
      </c>
      <c r="AE376" s="399" t="str">
        <f>IF(A376="","",Calculation!BA382)</f>
        <v/>
      </c>
      <c r="AF376" s="396" t="str">
        <f>IF(A376="","",Calculation!AX382)</f>
        <v/>
      </c>
      <c r="AG376" s="396" t="str">
        <f>IF(A376="","",Calculation!AW382)</f>
        <v/>
      </c>
      <c r="AH376" s="391" t="str">
        <f>IF(A376="","",Calculation!AY382)</f>
        <v/>
      </c>
      <c r="AI376" s="391" t="str">
        <f>IF(A376="","",Calculation!Y382)</f>
        <v/>
      </c>
      <c r="AJ376" s="401" t="str">
        <f>IF(Calculation!BD382&gt;0,Calculation!BD382," ")</f>
        <v xml:space="preserve"> </v>
      </c>
      <c r="AK376" s="401" t="str">
        <f>IF(Calculation!BD382&gt;0,Calculation!BE382," ")</f>
        <v xml:space="preserve"> </v>
      </c>
      <c r="AL376" s="401" t="str">
        <f>IF(Calculation!BD382&gt;0,Calculation!BF382," ")</f>
        <v xml:space="preserve"> </v>
      </c>
      <c r="AM376" s="401" t="str">
        <f>IF(Calculation!BD382&gt;0,Calculation!BG382," ")</f>
        <v xml:space="preserve"> </v>
      </c>
      <c r="AN376" s="391" t="str">
        <f>IF(Calculation!BH382="N/A","N/A",Calculation!BH382)</f>
        <v xml:space="preserve"> </v>
      </c>
      <c r="AO376" s="402" t="str">
        <f>IF(Calculation!BI382="N/A","N/A",Calculation!BI382)</f>
        <v/>
      </c>
      <c r="AP376" s="391" t="str">
        <f>IF(Calculation!BJ382="N/A","N/A",Calculation!BJ382)</f>
        <v/>
      </c>
      <c r="AQ376" s="402" t="str">
        <f>IF(Calculation!BK382="N/A","N/A",Calculation!BK382)</f>
        <v/>
      </c>
      <c r="AR376" s="391" t="str">
        <f>IF(Calculation!BL382="N/A","N/A",Calculation!BL382)</f>
        <v/>
      </c>
      <c r="AS376" s="402" t="str">
        <f>IF(Calculation!BM382="N/A","N/A",Calculation!BM382)</f>
        <v/>
      </c>
      <c r="AT376" s="400"/>
    </row>
    <row r="377" spans="1:46">
      <c r="A377" s="224" t="str">
        <f>IF(Calculation!BN383="","",CONCATENATE(Calculation!BO383,"-",Calculation!R383,"-",Calculation!S383,"-",Calculation!T383,"-",Calculation!U383))</f>
        <v/>
      </c>
      <c r="B377" s="224">
        <v>362</v>
      </c>
      <c r="C377" s="629" t="str">
        <f>IF(A377="","",Calculation!B383)</f>
        <v/>
      </c>
      <c r="D377" s="386" t="str">
        <f>IF(A377="","",Calculation!L383)</f>
        <v/>
      </c>
      <c r="E377" s="387" t="str">
        <f>IF(A377="","",Calculation!J383)</f>
        <v/>
      </c>
      <c r="F377" s="387" t="str">
        <f>IF(A377="","",Calculation!C383)</f>
        <v/>
      </c>
      <c r="G377" s="387" t="str">
        <f>IF(A377="","",LEFT(Calculation!O383,6))</f>
        <v/>
      </c>
      <c r="H377" s="388" t="str">
        <f>IF(A377="","",Calculation!DX383)</f>
        <v/>
      </c>
      <c r="I377" s="387" t="str">
        <f>IF(A377="","",Calculation!P383)</f>
        <v/>
      </c>
      <c r="J377" s="387" t="str">
        <f>IF(A377="","",HLOOKUP(LEFT(Calculation!BO383,7),LookUps!$C$38:$M$41,4))</f>
        <v/>
      </c>
      <c r="K377" s="387" t="str">
        <f>IF(A377="","",Calculation!M383)</f>
        <v/>
      </c>
      <c r="L377" s="387" t="str">
        <f>IF(A377="","",Calculation!S383)</f>
        <v/>
      </c>
      <c r="M377" s="389" t="str">
        <f>IF(A377="","",Calculation!N383)</f>
        <v/>
      </c>
      <c r="N377" s="390" t="str">
        <f>IF(A377="","",Calculation!R383)</f>
        <v/>
      </c>
      <c r="O377" s="391" t="str">
        <f>IF(A377="","",Calculation!$F$6)</f>
        <v/>
      </c>
      <c r="P377" s="392" t="str">
        <f>IF(A377="","",Calculation!$F$7)</f>
        <v/>
      </c>
      <c r="Q377" s="393" t="str">
        <f>IF(A377="","",Calculation!$F$13)</f>
        <v/>
      </c>
      <c r="R377" s="394" t="str">
        <f>IF(A377="","",Calculation!X383)</f>
        <v/>
      </c>
      <c r="S377" s="393" t="str">
        <f>IF(A377="","",Calculation!T383)</f>
        <v/>
      </c>
      <c r="T377" s="395" t="str">
        <f>IF(A377="","",IF(Calculation!$O$8="None","Water",CONCATENATE(Calculation!$O$8,"-",Calculation!$S$8,"%")))</f>
        <v/>
      </c>
      <c r="U377" s="393" t="str">
        <f>IF(A377="","",Calculation!$P$6)</f>
        <v/>
      </c>
      <c r="V377" s="393" t="str">
        <f>IF(A377="","",Calculation!AT383)</f>
        <v/>
      </c>
      <c r="W377" s="396" t="str">
        <f>IF(A377="","",Calculation!AP383)</f>
        <v/>
      </c>
      <c r="X377" s="396" t="str">
        <f>IF(A377="","",Calculation!AO383)</f>
        <v/>
      </c>
      <c r="Y377" s="396" t="str">
        <f>IF(A377="","",Calculation!AQ383)</f>
        <v/>
      </c>
      <c r="Z377" s="396" t="str">
        <f>IF(A377="","",Calculation!$H$6)</f>
        <v/>
      </c>
      <c r="AA377" s="397" t="str">
        <f>IF(A377="","",Calculation!$H$13)</f>
        <v/>
      </c>
      <c r="AB377" s="397" t="str">
        <f>IF(A377="","",Calculation!U383)</f>
        <v/>
      </c>
      <c r="AC377" s="398" t="str">
        <f>IF(A377="","",IF(Calculation!$O$9="None","Water",CONCATENATE(Calculation!$O$9,"-",Calculation!$S$9,"%")))</f>
        <v/>
      </c>
      <c r="AD377" s="396" t="str">
        <f>IF(A377="","",Calculation!$S$6)</f>
        <v/>
      </c>
      <c r="AE377" s="399" t="str">
        <f>IF(A377="","",Calculation!BA383)</f>
        <v/>
      </c>
      <c r="AF377" s="396" t="str">
        <f>IF(A377="","",Calculation!AX383)</f>
        <v/>
      </c>
      <c r="AG377" s="396" t="str">
        <f>IF(A377="","",Calculation!AW383)</f>
        <v/>
      </c>
      <c r="AH377" s="391" t="str">
        <f>IF(A377="","",Calculation!AY383)</f>
        <v/>
      </c>
      <c r="AI377" s="391" t="str">
        <f>IF(A377="","",Calculation!Y383)</f>
        <v/>
      </c>
      <c r="AJ377" s="401" t="str">
        <f>IF(Calculation!BD383&gt;0,Calculation!BD383," ")</f>
        <v xml:space="preserve"> </v>
      </c>
      <c r="AK377" s="401" t="str">
        <f>IF(Calculation!BD383&gt;0,Calculation!BE383," ")</f>
        <v xml:space="preserve"> </v>
      </c>
      <c r="AL377" s="401" t="str">
        <f>IF(Calculation!BD383&gt;0,Calculation!BF383," ")</f>
        <v xml:space="preserve"> </v>
      </c>
      <c r="AM377" s="401" t="str">
        <f>IF(Calculation!BD383&gt;0,Calculation!BG383," ")</f>
        <v xml:space="preserve"> </v>
      </c>
      <c r="AN377" s="391" t="str">
        <f>IF(Calculation!BH383="N/A","N/A",Calculation!BH383)</f>
        <v xml:space="preserve"> </v>
      </c>
      <c r="AO377" s="402" t="str">
        <f>IF(Calculation!BI383="N/A","N/A",Calculation!BI383)</f>
        <v/>
      </c>
      <c r="AP377" s="391" t="str">
        <f>IF(Calculation!BJ383="N/A","N/A",Calculation!BJ383)</f>
        <v/>
      </c>
      <c r="AQ377" s="402" t="str">
        <f>IF(Calculation!BK383="N/A","N/A",Calculation!BK383)</f>
        <v/>
      </c>
      <c r="AR377" s="391" t="str">
        <f>IF(Calculation!BL383="N/A","N/A",Calculation!BL383)</f>
        <v/>
      </c>
      <c r="AS377" s="402" t="str">
        <f>IF(Calculation!BM383="N/A","N/A",Calculation!BM383)</f>
        <v/>
      </c>
      <c r="AT377" s="400"/>
    </row>
    <row r="378" spans="1:46">
      <c r="A378" s="224" t="str">
        <f>IF(Calculation!BN384="","",CONCATENATE(Calculation!BO384,"-",Calculation!R384,"-",Calculation!S384,"-",Calculation!T384,"-",Calculation!U384))</f>
        <v/>
      </c>
      <c r="B378" s="224">
        <v>363</v>
      </c>
      <c r="C378" s="629" t="str">
        <f>IF(A378="","",Calculation!B384)</f>
        <v/>
      </c>
      <c r="D378" s="386" t="str">
        <f>IF(A378="","",Calculation!L384)</f>
        <v/>
      </c>
      <c r="E378" s="387" t="str">
        <f>IF(A378="","",Calculation!J384)</f>
        <v/>
      </c>
      <c r="F378" s="387" t="str">
        <f>IF(A378="","",Calculation!C384)</f>
        <v/>
      </c>
      <c r="G378" s="387" t="str">
        <f>IF(A378="","",LEFT(Calculation!O384,6))</f>
        <v/>
      </c>
      <c r="H378" s="388" t="str">
        <f>IF(A378="","",Calculation!DX384)</f>
        <v/>
      </c>
      <c r="I378" s="387" t="str">
        <f>IF(A378="","",Calculation!P384)</f>
        <v/>
      </c>
      <c r="J378" s="387" t="str">
        <f>IF(A378="","",HLOOKUP(LEFT(Calculation!BO384,7),LookUps!$C$38:$M$41,4))</f>
        <v/>
      </c>
      <c r="K378" s="387" t="str">
        <f>IF(A378="","",Calculation!M384)</f>
        <v/>
      </c>
      <c r="L378" s="387" t="str">
        <f>IF(A378="","",Calculation!S384)</f>
        <v/>
      </c>
      <c r="M378" s="389" t="str">
        <f>IF(A378="","",Calculation!N384)</f>
        <v/>
      </c>
      <c r="N378" s="390" t="str">
        <f>IF(A378="","",Calculation!R384)</f>
        <v/>
      </c>
      <c r="O378" s="391" t="str">
        <f>IF(A378="","",Calculation!$F$6)</f>
        <v/>
      </c>
      <c r="P378" s="392" t="str">
        <f>IF(A378="","",Calculation!$F$7)</f>
        <v/>
      </c>
      <c r="Q378" s="393" t="str">
        <f>IF(A378="","",Calculation!$F$13)</f>
        <v/>
      </c>
      <c r="R378" s="394" t="str">
        <f>IF(A378="","",Calculation!X384)</f>
        <v/>
      </c>
      <c r="S378" s="393" t="str">
        <f>IF(A378="","",Calculation!T384)</f>
        <v/>
      </c>
      <c r="T378" s="395" t="str">
        <f>IF(A378="","",IF(Calculation!$O$8="None","Water",CONCATENATE(Calculation!$O$8,"-",Calculation!$S$8,"%")))</f>
        <v/>
      </c>
      <c r="U378" s="393" t="str">
        <f>IF(A378="","",Calculation!$P$6)</f>
        <v/>
      </c>
      <c r="V378" s="393" t="str">
        <f>IF(A378="","",Calculation!AT384)</f>
        <v/>
      </c>
      <c r="W378" s="396" t="str">
        <f>IF(A378="","",Calculation!AP384)</f>
        <v/>
      </c>
      <c r="X378" s="396" t="str">
        <f>IF(A378="","",Calculation!AO384)</f>
        <v/>
      </c>
      <c r="Y378" s="396" t="str">
        <f>IF(A378="","",Calculation!AQ384)</f>
        <v/>
      </c>
      <c r="Z378" s="396" t="str">
        <f>IF(A378="","",Calculation!$H$6)</f>
        <v/>
      </c>
      <c r="AA378" s="397" t="str">
        <f>IF(A378="","",Calculation!$H$13)</f>
        <v/>
      </c>
      <c r="AB378" s="397" t="str">
        <f>IF(A378="","",Calculation!U384)</f>
        <v/>
      </c>
      <c r="AC378" s="398" t="str">
        <f>IF(A378="","",IF(Calculation!$O$9="None","Water",CONCATENATE(Calculation!$O$9,"-",Calculation!$S$9,"%")))</f>
        <v/>
      </c>
      <c r="AD378" s="396" t="str">
        <f>IF(A378="","",Calculation!$S$6)</f>
        <v/>
      </c>
      <c r="AE378" s="399" t="str">
        <f>IF(A378="","",Calculation!BA384)</f>
        <v/>
      </c>
      <c r="AF378" s="396" t="str">
        <f>IF(A378="","",Calculation!AX384)</f>
        <v/>
      </c>
      <c r="AG378" s="396" t="str">
        <f>IF(A378="","",Calculation!AW384)</f>
        <v/>
      </c>
      <c r="AH378" s="391" t="str">
        <f>IF(A378="","",Calculation!AY384)</f>
        <v/>
      </c>
      <c r="AI378" s="391" t="str">
        <f>IF(A378="","",Calculation!Y384)</f>
        <v/>
      </c>
      <c r="AJ378" s="401" t="str">
        <f>IF(Calculation!BD384&gt;0,Calculation!BD384," ")</f>
        <v xml:space="preserve"> </v>
      </c>
      <c r="AK378" s="401" t="str">
        <f>IF(Calculation!BD384&gt;0,Calculation!BE384," ")</f>
        <v xml:space="preserve"> </v>
      </c>
      <c r="AL378" s="401" t="str">
        <f>IF(Calculation!BD384&gt;0,Calculation!BF384," ")</f>
        <v xml:space="preserve"> </v>
      </c>
      <c r="AM378" s="401" t="str">
        <f>IF(Calculation!BD384&gt;0,Calculation!BG384," ")</f>
        <v xml:space="preserve"> </v>
      </c>
      <c r="AN378" s="391" t="str">
        <f>IF(Calculation!BH384="N/A","N/A",Calculation!BH384)</f>
        <v xml:space="preserve"> </v>
      </c>
      <c r="AO378" s="402" t="str">
        <f>IF(Calculation!BI384="N/A","N/A",Calculation!BI384)</f>
        <v/>
      </c>
      <c r="AP378" s="391" t="str">
        <f>IF(Calculation!BJ384="N/A","N/A",Calculation!BJ384)</f>
        <v/>
      </c>
      <c r="AQ378" s="402" t="str">
        <f>IF(Calculation!BK384="N/A","N/A",Calculation!BK384)</f>
        <v/>
      </c>
      <c r="AR378" s="391" t="str">
        <f>IF(Calculation!BL384="N/A","N/A",Calculation!BL384)</f>
        <v/>
      </c>
      <c r="AS378" s="402" t="str">
        <f>IF(Calculation!BM384="N/A","N/A",Calculation!BM384)</f>
        <v/>
      </c>
      <c r="AT378" s="400"/>
    </row>
    <row r="379" spans="1:46">
      <c r="A379" s="224" t="str">
        <f>IF(Calculation!BN385="","",CONCATENATE(Calculation!BO385,"-",Calculation!R385,"-",Calculation!S385,"-",Calculation!T385,"-",Calculation!U385))</f>
        <v/>
      </c>
      <c r="B379" s="224">
        <v>364</v>
      </c>
      <c r="C379" s="629" t="str">
        <f>IF(A379="","",Calculation!B385)</f>
        <v/>
      </c>
      <c r="D379" s="386" t="str">
        <f>IF(A379="","",Calculation!L385)</f>
        <v/>
      </c>
      <c r="E379" s="387" t="str">
        <f>IF(A379="","",Calculation!J385)</f>
        <v/>
      </c>
      <c r="F379" s="387" t="str">
        <f>IF(A379="","",Calculation!C385)</f>
        <v/>
      </c>
      <c r="G379" s="387" t="str">
        <f>IF(A379="","",LEFT(Calculation!O385,6))</f>
        <v/>
      </c>
      <c r="H379" s="388" t="str">
        <f>IF(A379="","",Calculation!DX385)</f>
        <v/>
      </c>
      <c r="I379" s="387" t="str">
        <f>IF(A379="","",Calculation!P385)</f>
        <v/>
      </c>
      <c r="J379" s="387" t="str">
        <f>IF(A379="","",HLOOKUP(LEFT(Calculation!BO385,7),LookUps!$C$38:$M$41,4))</f>
        <v/>
      </c>
      <c r="K379" s="387" t="str">
        <f>IF(A379="","",Calculation!M385)</f>
        <v/>
      </c>
      <c r="L379" s="387" t="str">
        <f>IF(A379="","",Calculation!S385)</f>
        <v/>
      </c>
      <c r="M379" s="389" t="str">
        <f>IF(A379="","",Calculation!N385)</f>
        <v/>
      </c>
      <c r="N379" s="390" t="str">
        <f>IF(A379="","",Calculation!R385)</f>
        <v/>
      </c>
      <c r="O379" s="391" t="str">
        <f>IF(A379="","",Calculation!$F$6)</f>
        <v/>
      </c>
      <c r="P379" s="392" t="str">
        <f>IF(A379="","",Calculation!$F$7)</f>
        <v/>
      </c>
      <c r="Q379" s="393" t="str">
        <f>IF(A379="","",Calculation!$F$13)</f>
        <v/>
      </c>
      <c r="R379" s="394" t="str">
        <f>IF(A379="","",Calculation!X385)</f>
        <v/>
      </c>
      <c r="S379" s="393" t="str">
        <f>IF(A379="","",Calculation!T385)</f>
        <v/>
      </c>
      <c r="T379" s="395" t="str">
        <f>IF(A379="","",IF(Calculation!$O$8="None","Water",CONCATENATE(Calculation!$O$8,"-",Calculation!$S$8,"%")))</f>
        <v/>
      </c>
      <c r="U379" s="393" t="str">
        <f>IF(A379="","",Calculation!$P$6)</f>
        <v/>
      </c>
      <c r="V379" s="393" t="str">
        <f>IF(A379="","",Calculation!AT385)</f>
        <v/>
      </c>
      <c r="W379" s="396" t="str">
        <f>IF(A379="","",Calculation!AP385)</f>
        <v/>
      </c>
      <c r="X379" s="396" t="str">
        <f>IF(A379="","",Calculation!AO385)</f>
        <v/>
      </c>
      <c r="Y379" s="396" t="str">
        <f>IF(A379="","",Calculation!AQ385)</f>
        <v/>
      </c>
      <c r="Z379" s="396" t="str">
        <f>IF(A379="","",Calculation!$H$6)</f>
        <v/>
      </c>
      <c r="AA379" s="397" t="str">
        <f>IF(A379="","",Calculation!$H$13)</f>
        <v/>
      </c>
      <c r="AB379" s="397" t="str">
        <f>IF(A379="","",Calculation!U385)</f>
        <v/>
      </c>
      <c r="AC379" s="398" t="str">
        <f>IF(A379="","",IF(Calculation!$O$9="None","Water",CONCATENATE(Calculation!$O$9,"-",Calculation!$S$9,"%")))</f>
        <v/>
      </c>
      <c r="AD379" s="396" t="str">
        <f>IF(A379="","",Calculation!$S$6)</f>
        <v/>
      </c>
      <c r="AE379" s="399" t="str">
        <f>IF(A379="","",Calculation!BA385)</f>
        <v/>
      </c>
      <c r="AF379" s="396" t="str">
        <f>IF(A379="","",Calculation!AX385)</f>
        <v/>
      </c>
      <c r="AG379" s="396" t="str">
        <f>IF(A379="","",Calculation!AW385)</f>
        <v/>
      </c>
      <c r="AH379" s="391" t="str">
        <f>IF(A379="","",Calculation!AY385)</f>
        <v/>
      </c>
      <c r="AI379" s="391" t="str">
        <f>IF(A379="","",Calculation!Y385)</f>
        <v/>
      </c>
      <c r="AJ379" s="401" t="str">
        <f>IF(Calculation!BD385&gt;0,Calculation!BD385," ")</f>
        <v xml:space="preserve"> </v>
      </c>
      <c r="AK379" s="401" t="str">
        <f>IF(Calculation!BD385&gt;0,Calculation!BE385," ")</f>
        <v xml:space="preserve"> </v>
      </c>
      <c r="AL379" s="401" t="str">
        <f>IF(Calculation!BD385&gt;0,Calculation!BF385," ")</f>
        <v xml:space="preserve"> </v>
      </c>
      <c r="AM379" s="401" t="str">
        <f>IF(Calculation!BD385&gt;0,Calculation!BG385," ")</f>
        <v xml:space="preserve"> </v>
      </c>
      <c r="AN379" s="391" t="str">
        <f>IF(Calculation!BH385="N/A","N/A",Calculation!BH385)</f>
        <v xml:space="preserve"> </v>
      </c>
      <c r="AO379" s="402" t="str">
        <f>IF(Calculation!BI385="N/A","N/A",Calculation!BI385)</f>
        <v/>
      </c>
      <c r="AP379" s="391" t="str">
        <f>IF(Calculation!BJ385="N/A","N/A",Calculation!BJ385)</f>
        <v/>
      </c>
      <c r="AQ379" s="402" t="str">
        <f>IF(Calculation!BK385="N/A","N/A",Calculation!BK385)</f>
        <v/>
      </c>
      <c r="AR379" s="391" t="str">
        <f>IF(Calculation!BL385="N/A","N/A",Calculation!BL385)</f>
        <v/>
      </c>
      <c r="AS379" s="402" t="str">
        <f>IF(Calculation!BM385="N/A","N/A",Calculation!BM385)</f>
        <v/>
      </c>
      <c r="AT379" s="400"/>
    </row>
    <row r="380" spans="1:46">
      <c r="A380" s="224" t="str">
        <f>IF(Calculation!BN386="","",CONCATENATE(Calculation!BO386,"-",Calculation!R386,"-",Calculation!S386,"-",Calculation!T386,"-",Calculation!U386))</f>
        <v/>
      </c>
      <c r="B380" s="224">
        <v>365</v>
      </c>
      <c r="C380" s="629" t="str">
        <f>IF(A380="","",Calculation!B386)</f>
        <v/>
      </c>
      <c r="D380" s="386" t="str">
        <f>IF(A380="","",Calculation!L386)</f>
        <v/>
      </c>
      <c r="E380" s="387" t="str">
        <f>IF(A380="","",Calculation!J386)</f>
        <v/>
      </c>
      <c r="F380" s="387" t="str">
        <f>IF(A380="","",Calculation!C386)</f>
        <v/>
      </c>
      <c r="G380" s="387" t="str">
        <f>IF(A380="","",LEFT(Calculation!O386,6))</f>
        <v/>
      </c>
      <c r="H380" s="388" t="str">
        <f>IF(A380="","",Calculation!DX386)</f>
        <v/>
      </c>
      <c r="I380" s="387" t="str">
        <f>IF(A380="","",Calculation!P386)</f>
        <v/>
      </c>
      <c r="J380" s="387" t="str">
        <f>IF(A380="","",HLOOKUP(LEFT(Calculation!BO386,7),LookUps!$C$38:$M$41,4))</f>
        <v/>
      </c>
      <c r="K380" s="387" t="str">
        <f>IF(A380="","",Calculation!M386)</f>
        <v/>
      </c>
      <c r="L380" s="387" t="str">
        <f>IF(A380="","",Calculation!S386)</f>
        <v/>
      </c>
      <c r="M380" s="389" t="str">
        <f>IF(A380="","",Calculation!N386)</f>
        <v/>
      </c>
      <c r="N380" s="390" t="str">
        <f>IF(A380="","",Calculation!R386)</f>
        <v/>
      </c>
      <c r="O380" s="391" t="str">
        <f>IF(A380="","",Calculation!$F$6)</f>
        <v/>
      </c>
      <c r="P380" s="392" t="str">
        <f>IF(A380="","",Calculation!$F$7)</f>
        <v/>
      </c>
      <c r="Q380" s="393" t="str">
        <f>IF(A380="","",Calculation!$F$13)</f>
        <v/>
      </c>
      <c r="R380" s="394" t="str">
        <f>IF(A380="","",Calculation!X386)</f>
        <v/>
      </c>
      <c r="S380" s="393" t="str">
        <f>IF(A380="","",Calculation!T386)</f>
        <v/>
      </c>
      <c r="T380" s="395" t="str">
        <f>IF(A380="","",IF(Calculation!$O$8="None","Water",CONCATENATE(Calculation!$O$8,"-",Calculation!$S$8,"%")))</f>
        <v/>
      </c>
      <c r="U380" s="393" t="str">
        <f>IF(A380="","",Calculation!$P$6)</f>
        <v/>
      </c>
      <c r="V380" s="393" t="str">
        <f>IF(A380="","",Calculation!AT386)</f>
        <v/>
      </c>
      <c r="W380" s="396" t="str">
        <f>IF(A380="","",Calculation!AP386)</f>
        <v/>
      </c>
      <c r="X380" s="396" t="str">
        <f>IF(A380="","",Calculation!AO386)</f>
        <v/>
      </c>
      <c r="Y380" s="396" t="str">
        <f>IF(A380="","",Calculation!AQ386)</f>
        <v/>
      </c>
      <c r="Z380" s="396" t="str">
        <f>IF(A380="","",Calculation!$H$6)</f>
        <v/>
      </c>
      <c r="AA380" s="397" t="str">
        <f>IF(A380="","",Calculation!$H$13)</f>
        <v/>
      </c>
      <c r="AB380" s="397" t="str">
        <f>IF(A380="","",Calculation!U386)</f>
        <v/>
      </c>
      <c r="AC380" s="398" t="str">
        <f>IF(A380="","",IF(Calculation!$O$9="None","Water",CONCATENATE(Calculation!$O$9,"-",Calculation!$S$9,"%")))</f>
        <v/>
      </c>
      <c r="AD380" s="396" t="str">
        <f>IF(A380="","",Calculation!$S$6)</f>
        <v/>
      </c>
      <c r="AE380" s="399" t="str">
        <f>IF(A380="","",Calculation!BA386)</f>
        <v/>
      </c>
      <c r="AF380" s="396" t="str">
        <f>IF(A380="","",Calculation!AX386)</f>
        <v/>
      </c>
      <c r="AG380" s="396" t="str">
        <f>IF(A380="","",Calculation!AW386)</f>
        <v/>
      </c>
      <c r="AH380" s="391" t="str">
        <f>IF(A380="","",Calculation!AY386)</f>
        <v/>
      </c>
      <c r="AI380" s="391" t="str">
        <f>IF(A380="","",Calculation!Y386)</f>
        <v/>
      </c>
      <c r="AJ380" s="401" t="str">
        <f>IF(Calculation!BD386&gt;0,Calculation!BD386," ")</f>
        <v xml:space="preserve"> </v>
      </c>
      <c r="AK380" s="401" t="str">
        <f>IF(Calculation!BD386&gt;0,Calculation!BE386," ")</f>
        <v xml:space="preserve"> </v>
      </c>
      <c r="AL380" s="401" t="str">
        <f>IF(Calculation!BD386&gt;0,Calculation!BF386," ")</f>
        <v xml:space="preserve"> </v>
      </c>
      <c r="AM380" s="401" t="str">
        <f>IF(Calculation!BD386&gt;0,Calculation!BG386," ")</f>
        <v xml:space="preserve"> </v>
      </c>
      <c r="AN380" s="391" t="str">
        <f>IF(Calculation!BH386="N/A","N/A",Calculation!BH386)</f>
        <v xml:space="preserve"> </v>
      </c>
      <c r="AO380" s="402" t="str">
        <f>IF(Calculation!BI386="N/A","N/A",Calculation!BI386)</f>
        <v/>
      </c>
      <c r="AP380" s="391" t="str">
        <f>IF(Calculation!BJ386="N/A","N/A",Calculation!BJ386)</f>
        <v/>
      </c>
      <c r="AQ380" s="402" t="str">
        <f>IF(Calculation!BK386="N/A","N/A",Calculation!BK386)</f>
        <v/>
      </c>
      <c r="AR380" s="391" t="str">
        <f>IF(Calculation!BL386="N/A","N/A",Calculation!BL386)</f>
        <v/>
      </c>
      <c r="AS380" s="402" t="str">
        <f>IF(Calculation!BM386="N/A","N/A",Calculation!BM386)</f>
        <v/>
      </c>
      <c r="AT380" s="400"/>
    </row>
    <row r="381" spans="1:46">
      <c r="A381" s="224" t="str">
        <f>IF(Calculation!BN387="","",CONCATENATE(Calculation!BO387,"-",Calculation!R387,"-",Calculation!S387,"-",Calculation!T387,"-",Calculation!U387))</f>
        <v/>
      </c>
      <c r="B381" s="224">
        <v>366</v>
      </c>
      <c r="C381" s="629" t="str">
        <f>IF(A381="","",Calculation!B387)</f>
        <v/>
      </c>
      <c r="D381" s="386" t="str">
        <f>IF(A381="","",Calculation!L387)</f>
        <v/>
      </c>
      <c r="E381" s="387" t="str">
        <f>IF(A381="","",Calculation!J387)</f>
        <v/>
      </c>
      <c r="F381" s="387" t="str">
        <f>IF(A381="","",Calculation!C387)</f>
        <v/>
      </c>
      <c r="G381" s="387" t="str">
        <f>IF(A381="","",LEFT(Calculation!O387,6))</f>
        <v/>
      </c>
      <c r="H381" s="388" t="str">
        <f>IF(A381="","",Calculation!DX387)</f>
        <v/>
      </c>
      <c r="I381" s="387" t="str">
        <f>IF(A381="","",Calculation!P387)</f>
        <v/>
      </c>
      <c r="J381" s="387" t="str">
        <f>IF(A381="","",HLOOKUP(LEFT(Calculation!BO387,7),LookUps!$C$38:$M$41,4))</f>
        <v/>
      </c>
      <c r="K381" s="387" t="str">
        <f>IF(A381="","",Calculation!M387)</f>
        <v/>
      </c>
      <c r="L381" s="387" t="str">
        <f>IF(A381="","",Calculation!S387)</f>
        <v/>
      </c>
      <c r="M381" s="389" t="str">
        <f>IF(A381="","",Calculation!N387)</f>
        <v/>
      </c>
      <c r="N381" s="390" t="str">
        <f>IF(A381="","",Calculation!R387)</f>
        <v/>
      </c>
      <c r="O381" s="391" t="str">
        <f>IF(A381="","",Calculation!$F$6)</f>
        <v/>
      </c>
      <c r="P381" s="392" t="str">
        <f>IF(A381="","",Calculation!$F$7)</f>
        <v/>
      </c>
      <c r="Q381" s="393" t="str">
        <f>IF(A381="","",Calculation!$F$13)</f>
        <v/>
      </c>
      <c r="R381" s="394" t="str">
        <f>IF(A381="","",Calculation!X387)</f>
        <v/>
      </c>
      <c r="S381" s="393" t="str">
        <f>IF(A381="","",Calculation!T387)</f>
        <v/>
      </c>
      <c r="T381" s="395" t="str">
        <f>IF(A381="","",IF(Calculation!$O$8="None","Water",CONCATENATE(Calculation!$O$8,"-",Calculation!$S$8,"%")))</f>
        <v/>
      </c>
      <c r="U381" s="393" t="str">
        <f>IF(A381="","",Calculation!$P$6)</f>
        <v/>
      </c>
      <c r="V381" s="393" t="str">
        <f>IF(A381="","",Calculation!AT387)</f>
        <v/>
      </c>
      <c r="W381" s="396" t="str">
        <f>IF(A381="","",Calculation!AP387)</f>
        <v/>
      </c>
      <c r="X381" s="396" t="str">
        <f>IF(A381="","",Calculation!AO387)</f>
        <v/>
      </c>
      <c r="Y381" s="396" t="str">
        <f>IF(A381="","",Calculation!AQ387)</f>
        <v/>
      </c>
      <c r="Z381" s="396" t="str">
        <f>IF(A381="","",Calculation!$H$6)</f>
        <v/>
      </c>
      <c r="AA381" s="397" t="str">
        <f>IF(A381="","",Calculation!$H$13)</f>
        <v/>
      </c>
      <c r="AB381" s="397" t="str">
        <f>IF(A381="","",Calculation!U387)</f>
        <v/>
      </c>
      <c r="AC381" s="398" t="str">
        <f>IF(A381="","",IF(Calculation!$O$9="None","Water",CONCATENATE(Calculation!$O$9,"-",Calculation!$S$9,"%")))</f>
        <v/>
      </c>
      <c r="AD381" s="396" t="str">
        <f>IF(A381="","",Calculation!$S$6)</f>
        <v/>
      </c>
      <c r="AE381" s="399" t="str">
        <f>IF(A381="","",Calculation!BA387)</f>
        <v/>
      </c>
      <c r="AF381" s="396" t="str">
        <f>IF(A381="","",Calculation!AX387)</f>
        <v/>
      </c>
      <c r="AG381" s="396" t="str">
        <f>IF(A381="","",Calculation!AW387)</f>
        <v/>
      </c>
      <c r="AH381" s="391" t="str">
        <f>IF(A381="","",Calculation!AY387)</f>
        <v/>
      </c>
      <c r="AI381" s="391" t="str">
        <f>IF(A381="","",Calculation!Y387)</f>
        <v/>
      </c>
      <c r="AJ381" s="401" t="str">
        <f>IF(Calculation!BD387&gt;0,Calculation!BD387," ")</f>
        <v xml:space="preserve"> </v>
      </c>
      <c r="AK381" s="401" t="str">
        <f>IF(Calculation!BD387&gt;0,Calculation!BE387," ")</f>
        <v xml:space="preserve"> </v>
      </c>
      <c r="AL381" s="401" t="str">
        <f>IF(Calculation!BD387&gt;0,Calculation!BF387," ")</f>
        <v xml:space="preserve"> </v>
      </c>
      <c r="AM381" s="401" t="str">
        <f>IF(Calculation!BD387&gt;0,Calculation!BG387," ")</f>
        <v xml:space="preserve"> </v>
      </c>
      <c r="AN381" s="391" t="str">
        <f>IF(Calculation!BH387="N/A","N/A",Calculation!BH387)</f>
        <v xml:space="preserve"> </v>
      </c>
      <c r="AO381" s="402" t="str">
        <f>IF(Calculation!BI387="N/A","N/A",Calculation!BI387)</f>
        <v/>
      </c>
      <c r="AP381" s="391" t="str">
        <f>IF(Calculation!BJ387="N/A","N/A",Calculation!BJ387)</f>
        <v/>
      </c>
      <c r="AQ381" s="402" t="str">
        <f>IF(Calculation!BK387="N/A","N/A",Calculation!BK387)</f>
        <v/>
      </c>
      <c r="AR381" s="391" t="str">
        <f>IF(Calculation!BL387="N/A","N/A",Calculation!BL387)</f>
        <v/>
      </c>
      <c r="AS381" s="402" t="str">
        <f>IF(Calculation!BM387="N/A","N/A",Calculation!BM387)</f>
        <v/>
      </c>
      <c r="AT381" s="400"/>
    </row>
    <row r="382" spans="1:46">
      <c r="A382" s="224" t="str">
        <f>IF(Calculation!BN388="","",CONCATENATE(Calculation!BO388,"-",Calculation!R388,"-",Calculation!S388,"-",Calculation!T388,"-",Calculation!U388))</f>
        <v/>
      </c>
      <c r="B382" s="224">
        <v>367</v>
      </c>
      <c r="C382" s="629" t="str">
        <f>IF(A382="","",Calculation!B388)</f>
        <v/>
      </c>
      <c r="D382" s="386" t="str">
        <f>IF(A382="","",Calculation!L388)</f>
        <v/>
      </c>
      <c r="E382" s="387" t="str">
        <f>IF(A382="","",Calculation!J388)</f>
        <v/>
      </c>
      <c r="F382" s="387" t="str">
        <f>IF(A382="","",Calculation!C388)</f>
        <v/>
      </c>
      <c r="G382" s="387" t="str">
        <f>IF(A382="","",LEFT(Calculation!O388,6))</f>
        <v/>
      </c>
      <c r="H382" s="388" t="str">
        <f>IF(A382="","",Calculation!DX388)</f>
        <v/>
      </c>
      <c r="I382" s="387" t="str">
        <f>IF(A382="","",Calculation!P388)</f>
        <v/>
      </c>
      <c r="J382" s="387" t="str">
        <f>IF(A382="","",HLOOKUP(LEFT(Calculation!BO388,7),LookUps!$C$38:$M$41,4))</f>
        <v/>
      </c>
      <c r="K382" s="387" t="str">
        <f>IF(A382="","",Calculation!M388)</f>
        <v/>
      </c>
      <c r="L382" s="387" t="str">
        <f>IF(A382="","",Calculation!S388)</f>
        <v/>
      </c>
      <c r="M382" s="389" t="str">
        <f>IF(A382="","",Calculation!N388)</f>
        <v/>
      </c>
      <c r="N382" s="390" t="str">
        <f>IF(A382="","",Calculation!R388)</f>
        <v/>
      </c>
      <c r="O382" s="391" t="str">
        <f>IF(A382="","",Calculation!$F$6)</f>
        <v/>
      </c>
      <c r="P382" s="392" t="str">
        <f>IF(A382="","",Calculation!$F$7)</f>
        <v/>
      </c>
      <c r="Q382" s="393" t="str">
        <f>IF(A382="","",Calculation!$F$13)</f>
        <v/>
      </c>
      <c r="R382" s="394" t="str">
        <f>IF(A382="","",Calculation!X388)</f>
        <v/>
      </c>
      <c r="S382" s="393" t="str">
        <f>IF(A382="","",Calculation!T388)</f>
        <v/>
      </c>
      <c r="T382" s="395" t="str">
        <f>IF(A382="","",IF(Calculation!$O$8="None","Water",CONCATENATE(Calculation!$O$8,"-",Calculation!$S$8,"%")))</f>
        <v/>
      </c>
      <c r="U382" s="393" t="str">
        <f>IF(A382="","",Calculation!$P$6)</f>
        <v/>
      </c>
      <c r="V382" s="393" t="str">
        <f>IF(A382="","",Calculation!AT388)</f>
        <v/>
      </c>
      <c r="W382" s="396" t="str">
        <f>IF(A382="","",Calculation!AP388)</f>
        <v/>
      </c>
      <c r="X382" s="396" t="str">
        <f>IF(A382="","",Calculation!AO388)</f>
        <v/>
      </c>
      <c r="Y382" s="396" t="str">
        <f>IF(A382="","",Calculation!AQ388)</f>
        <v/>
      </c>
      <c r="Z382" s="396" t="str">
        <f>IF(A382="","",Calculation!$H$6)</f>
        <v/>
      </c>
      <c r="AA382" s="397" t="str">
        <f>IF(A382="","",Calculation!$H$13)</f>
        <v/>
      </c>
      <c r="AB382" s="397" t="str">
        <f>IF(A382="","",Calculation!U388)</f>
        <v/>
      </c>
      <c r="AC382" s="398" t="str">
        <f>IF(A382="","",IF(Calculation!$O$9="None","Water",CONCATENATE(Calculation!$O$9,"-",Calculation!$S$9,"%")))</f>
        <v/>
      </c>
      <c r="AD382" s="396" t="str">
        <f>IF(A382="","",Calculation!$S$6)</f>
        <v/>
      </c>
      <c r="AE382" s="399" t="str">
        <f>IF(A382="","",Calculation!BA388)</f>
        <v/>
      </c>
      <c r="AF382" s="396" t="str">
        <f>IF(A382="","",Calculation!AX388)</f>
        <v/>
      </c>
      <c r="AG382" s="396" t="str">
        <f>IF(A382="","",Calculation!AW388)</f>
        <v/>
      </c>
      <c r="AH382" s="391" t="str">
        <f>IF(A382="","",Calculation!AY388)</f>
        <v/>
      </c>
      <c r="AI382" s="391" t="str">
        <f>IF(A382="","",Calculation!Y388)</f>
        <v/>
      </c>
      <c r="AJ382" s="401" t="str">
        <f>IF(Calculation!BD388&gt;0,Calculation!BD388," ")</f>
        <v xml:space="preserve"> </v>
      </c>
      <c r="AK382" s="401" t="str">
        <f>IF(Calculation!BD388&gt;0,Calculation!BE388," ")</f>
        <v xml:space="preserve"> </v>
      </c>
      <c r="AL382" s="401" t="str">
        <f>IF(Calculation!BD388&gt;0,Calculation!BF388," ")</f>
        <v xml:space="preserve"> </v>
      </c>
      <c r="AM382" s="401" t="str">
        <f>IF(Calculation!BD388&gt;0,Calculation!BG388," ")</f>
        <v xml:space="preserve"> </v>
      </c>
      <c r="AN382" s="391" t="str">
        <f>IF(Calculation!BH388="N/A","N/A",Calculation!BH388)</f>
        <v xml:space="preserve"> </v>
      </c>
      <c r="AO382" s="402" t="str">
        <f>IF(Calculation!BI388="N/A","N/A",Calculation!BI388)</f>
        <v/>
      </c>
      <c r="AP382" s="391" t="str">
        <f>IF(Calculation!BJ388="N/A","N/A",Calculation!BJ388)</f>
        <v/>
      </c>
      <c r="AQ382" s="402" t="str">
        <f>IF(Calculation!BK388="N/A","N/A",Calculation!BK388)</f>
        <v/>
      </c>
      <c r="AR382" s="391" t="str">
        <f>IF(Calculation!BL388="N/A","N/A",Calculation!BL388)</f>
        <v/>
      </c>
      <c r="AS382" s="402" t="str">
        <f>IF(Calculation!BM388="N/A","N/A",Calculation!BM388)</f>
        <v/>
      </c>
      <c r="AT382" s="400"/>
    </row>
    <row r="383" spans="1:46">
      <c r="A383" s="224" t="str">
        <f>IF(Calculation!BN389="","",CONCATENATE(Calculation!BO389,"-",Calculation!R389,"-",Calculation!S389,"-",Calculation!T389,"-",Calculation!U389))</f>
        <v/>
      </c>
      <c r="B383" s="224">
        <v>368</v>
      </c>
      <c r="C383" s="629" t="str">
        <f>IF(A383="","",Calculation!B389)</f>
        <v/>
      </c>
      <c r="D383" s="386" t="str">
        <f>IF(A383="","",Calculation!L389)</f>
        <v/>
      </c>
      <c r="E383" s="387" t="str">
        <f>IF(A383="","",Calculation!J389)</f>
        <v/>
      </c>
      <c r="F383" s="387" t="str">
        <f>IF(A383="","",Calculation!C389)</f>
        <v/>
      </c>
      <c r="G383" s="387" t="str">
        <f>IF(A383="","",LEFT(Calculation!O389,6))</f>
        <v/>
      </c>
      <c r="H383" s="388" t="str">
        <f>IF(A383="","",Calculation!DX389)</f>
        <v/>
      </c>
      <c r="I383" s="387" t="str">
        <f>IF(A383="","",Calculation!P389)</f>
        <v/>
      </c>
      <c r="J383" s="387" t="str">
        <f>IF(A383="","",HLOOKUP(LEFT(Calculation!BO389,7),LookUps!$C$38:$M$41,4))</f>
        <v/>
      </c>
      <c r="K383" s="387" t="str">
        <f>IF(A383="","",Calculation!M389)</f>
        <v/>
      </c>
      <c r="L383" s="387" t="str">
        <f>IF(A383="","",Calculation!S389)</f>
        <v/>
      </c>
      <c r="M383" s="389" t="str">
        <f>IF(A383="","",Calculation!N389)</f>
        <v/>
      </c>
      <c r="N383" s="390" t="str">
        <f>IF(A383="","",Calculation!R389)</f>
        <v/>
      </c>
      <c r="O383" s="391" t="str">
        <f>IF(A383="","",Calculation!$F$6)</f>
        <v/>
      </c>
      <c r="P383" s="392" t="str">
        <f>IF(A383="","",Calculation!$F$7)</f>
        <v/>
      </c>
      <c r="Q383" s="393" t="str">
        <f>IF(A383="","",Calculation!$F$13)</f>
        <v/>
      </c>
      <c r="R383" s="394" t="str">
        <f>IF(A383="","",Calculation!X389)</f>
        <v/>
      </c>
      <c r="S383" s="393" t="str">
        <f>IF(A383="","",Calculation!T389)</f>
        <v/>
      </c>
      <c r="T383" s="395" t="str">
        <f>IF(A383="","",IF(Calculation!$O$8="None","Water",CONCATENATE(Calculation!$O$8,"-",Calculation!$S$8,"%")))</f>
        <v/>
      </c>
      <c r="U383" s="393" t="str">
        <f>IF(A383="","",Calculation!$P$6)</f>
        <v/>
      </c>
      <c r="V383" s="393" t="str">
        <f>IF(A383="","",Calculation!AT389)</f>
        <v/>
      </c>
      <c r="W383" s="396" t="str">
        <f>IF(A383="","",Calculation!AP389)</f>
        <v/>
      </c>
      <c r="X383" s="396" t="str">
        <f>IF(A383="","",Calculation!AO389)</f>
        <v/>
      </c>
      <c r="Y383" s="396" t="str">
        <f>IF(A383="","",Calculation!AQ389)</f>
        <v/>
      </c>
      <c r="Z383" s="396" t="str">
        <f>IF(A383="","",Calculation!$H$6)</f>
        <v/>
      </c>
      <c r="AA383" s="397" t="str">
        <f>IF(A383="","",Calculation!$H$13)</f>
        <v/>
      </c>
      <c r="AB383" s="397" t="str">
        <f>IF(A383="","",Calculation!U389)</f>
        <v/>
      </c>
      <c r="AC383" s="398" t="str">
        <f>IF(A383="","",IF(Calculation!$O$9="None","Water",CONCATENATE(Calculation!$O$9,"-",Calculation!$S$9,"%")))</f>
        <v/>
      </c>
      <c r="AD383" s="396" t="str">
        <f>IF(A383="","",Calculation!$S$6)</f>
        <v/>
      </c>
      <c r="AE383" s="399" t="str">
        <f>IF(A383="","",Calculation!BA389)</f>
        <v/>
      </c>
      <c r="AF383" s="396" t="str">
        <f>IF(A383="","",Calculation!AX389)</f>
        <v/>
      </c>
      <c r="AG383" s="396" t="str">
        <f>IF(A383="","",Calculation!AW389)</f>
        <v/>
      </c>
      <c r="AH383" s="391" t="str">
        <f>IF(A383="","",Calculation!AY389)</f>
        <v/>
      </c>
      <c r="AI383" s="391" t="str">
        <f>IF(A383="","",Calculation!Y389)</f>
        <v/>
      </c>
      <c r="AJ383" s="401" t="str">
        <f>IF(Calculation!BD389&gt;0,Calculation!BD389," ")</f>
        <v xml:space="preserve"> </v>
      </c>
      <c r="AK383" s="401" t="str">
        <f>IF(Calculation!BD389&gt;0,Calculation!BE389," ")</f>
        <v xml:space="preserve"> </v>
      </c>
      <c r="AL383" s="401" t="str">
        <f>IF(Calculation!BD389&gt;0,Calculation!BF389," ")</f>
        <v xml:space="preserve"> </v>
      </c>
      <c r="AM383" s="401" t="str">
        <f>IF(Calculation!BD389&gt;0,Calculation!BG389," ")</f>
        <v xml:space="preserve"> </v>
      </c>
      <c r="AN383" s="391" t="str">
        <f>IF(Calculation!BH389="N/A","N/A",Calculation!BH389)</f>
        <v xml:space="preserve"> </v>
      </c>
      <c r="AO383" s="402" t="str">
        <f>IF(Calculation!BI389="N/A","N/A",Calculation!BI389)</f>
        <v/>
      </c>
      <c r="AP383" s="391" t="str">
        <f>IF(Calculation!BJ389="N/A","N/A",Calculation!BJ389)</f>
        <v/>
      </c>
      <c r="AQ383" s="402" t="str">
        <f>IF(Calculation!BK389="N/A","N/A",Calculation!BK389)</f>
        <v/>
      </c>
      <c r="AR383" s="391" t="str">
        <f>IF(Calculation!BL389="N/A","N/A",Calculation!BL389)</f>
        <v/>
      </c>
      <c r="AS383" s="402" t="str">
        <f>IF(Calculation!BM389="N/A","N/A",Calculation!BM389)</f>
        <v/>
      </c>
      <c r="AT383" s="400"/>
    </row>
    <row r="384" spans="1:46">
      <c r="A384" s="224" t="str">
        <f>IF(Calculation!BN390="","",CONCATENATE(Calculation!BO390,"-",Calculation!R390,"-",Calculation!S390,"-",Calculation!T390,"-",Calculation!U390))</f>
        <v/>
      </c>
      <c r="B384" s="224">
        <v>369</v>
      </c>
      <c r="C384" s="629" t="str">
        <f>IF(A384="","",Calculation!B390)</f>
        <v/>
      </c>
      <c r="D384" s="386" t="str">
        <f>IF(A384="","",Calculation!L390)</f>
        <v/>
      </c>
      <c r="E384" s="387" t="str">
        <f>IF(A384="","",Calculation!J390)</f>
        <v/>
      </c>
      <c r="F384" s="387" t="str">
        <f>IF(A384="","",Calculation!C390)</f>
        <v/>
      </c>
      <c r="G384" s="387" t="str">
        <f>IF(A384="","",LEFT(Calculation!O390,6))</f>
        <v/>
      </c>
      <c r="H384" s="388" t="str">
        <f>IF(A384="","",Calculation!DX390)</f>
        <v/>
      </c>
      <c r="I384" s="387" t="str">
        <f>IF(A384="","",Calculation!P390)</f>
        <v/>
      </c>
      <c r="J384" s="387" t="str">
        <f>IF(A384="","",HLOOKUP(LEFT(Calculation!BO390,7),LookUps!$C$38:$M$41,4))</f>
        <v/>
      </c>
      <c r="K384" s="387" t="str">
        <f>IF(A384="","",Calculation!M390)</f>
        <v/>
      </c>
      <c r="L384" s="387" t="str">
        <f>IF(A384="","",Calculation!S390)</f>
        <v/>
      </c>
      <c r="M384" s="389" t="str">
        <f>IF(A384="","",Calculation!N390)</f>
        <v/>
      </c>
      <c r="N384" s="390" t="str">
        <f>IF(A384="","",Calculation!R390)</f>
        <v/>
      </c>
      <c r="O384" s="391" t="str">
        <f>IF(A384="","",Calculation!$F$6)</f>
        <v/>
      </c>
      <c r="P384" s="392" t="str">
        <f>IF(A384="","",Calculation!$F$7)</f>
        <v/>
      </c>
      <c r="Q384" s="393" t="str">
        <f>IF(A384="","",Calculation!$F$13)</f>
        <v/>
      </c>
      <c r="R384" s="394" t="str">
        <f>IF(A384="","",Calculation!X390)</f>
        <v/>
      </c>
      <c r="S384" s="393" t="str">
        <f>IF(A384="","",Calculation!T390)</f>
        <v/>
      </c>
      <c r="T384" s="395" t="str">
        <f>IF(A384="","",IF(Calculation!$O$8="None","Water",CONCATENATE(Calculation!$O$8,"-",Calculation!$S$8,"%")))</f>
        <v/>
      </c>
      <c r="U384" s="393" t="str">
        <f>IF(A384="","",Calculation!$P$6)</f>
        <v/>
      </c>
      <c r="V384" s="393" t="str">
        <f>IF(A384="","",Calculation!AT390)</f>
        <v/>
      </c>
      <c r="W384" s="396" t="str">
        <f>IF(A384="","",Calculation!AP390)</f>
        <v/>
      </c>
      <c r="X384" s="396" t="str">
        <f>IF(A384="","",Calculation!AO390)</f>
        <v/>
      </c>
      <c r="Y384" s="396" t="str">
        <f>IF(A384="","",Calculation!AQ390)</f>
        <v/>
      </c>
      <c r="Z384" s="396" t="str">
        <f>IF(A384="","",Calculation!$H$6)</f>
        <v/>
      </c>
      <c r="AA384" s="397" t="str">
        <f>IF(A384="","",Calculation!$H$13)</f>
        <v/>
      </c>
      <c r="AB384" s="397" t="str">
        <f>IF(A384="","",Calculation!U390)</f>
        <v/>
      </c>
      <c r="AC384" s="398" t="str">
        <f>IF(A384="","",IF(Calculation!$O$9="None","Water",CONCATENATE(Calculation!$O$9,"-",Calculation!$S$9,"%")))</f>
        <v/>
      </c>
      <c r="AD384" s="396" t="str">
        <f>IF(A384="","",Calculation!$S$6)</f>
        <v/>
      </c>
      <c r="AE384" s="399" t="str">
        <f>IF(A384="","",Calculation!BA390)</f>
        <v/>
      </c>
      <c r="AF384" s="396" t="str">
        <f>IF(A384="","",Calculation!AX390)</f>
        <v/>
      </c>
      <c r="AG384" s="396" t="str">
        <f>IF(A384="","",Calculation!AW390)</f>
        <v/>
      </c>
      <c r="AH384" s="391" t="str">
        <f>IF(A384="","",Calculation!AY390)</f>
        <v/>
      </c>
      <c r="AI384" s="391" t="str">
        <f>IF(A384="","",Calculation!Y390)</f>
        <v/>
      </c>
      <c r="AJ384" s="401" t="str">
        <f>IF(Calculation!BD390&gt;0,Calculation!BD390," ")</f>
        <v xml:space="preserve"> </v>
      </c>
      <c r="AK384" s="401" t="str">
        <f>IF(Calculation!BD390&gt;0,Calculation!BE390," ")</f>
        <v xml:space="preserve"> </v>
      </c>
      <c r="AL384" s="401" t="str">
        <f>IF(Calculation!BD390&gt;0,Calculation!BF390," ")</f>
        <v xml:space="preserve"> </v>
      </c>
      <c r="AM384" s="401" t="str">
        <f>IF(Calculation!BD390&gt;0,Calculation!BG390," ")</f>
        <v xml:space="preserve"> </v>
      </c>
      <c r="AN384" s="391" t="str">
        <f>IF(Calculation!BH390="N/A","N/A",Calculation!BH390)</f>
        <v xml:space="preserve"> </v>
      </c>
      <c r="AO384" s="402" t="str">
        <f>IF(Calculation!BI390="N/A","N/A",Calculation!BI390)</f>
        <v/>
      </c>
      <c r="AP384" s="391" t="str">
        <f>IF(Calculation!BJ390="N/A","N/A",Calculation!BJ390)</f>
        <v/>
      </c>
      <c r="AQ384" s="402" t="str">
        <f>IF(Calculation!BK390="N/A","N/A",Calculation!BK390)</f>
        <v/>
      </c>
      <c r="AR384" s="391" t="str">
        <f>IF(Calculation!BL390="N/A","N/A",Calculation!BL390)</f>
        <v/>
      </c>
      <c r="AS384" s="402" t="str">
        <f>IF(Calculation!BM390="N/A","N/A",Calculation!BM390)</f>
        <v/>
      </c>
      <c r="AT384" s="400"/>
    </row>
    <row r="385" spans="1:46">
      <c r="A385" s="224" t="str">
        <f>IF(Calculation!BN391="","",CONCATENATE(Calculation!BO391,"-",Calculation!R391,"-",Calculation!S391,"-",Calculation!T391,"-",Calculation!U391))</f>
        <v/>
      </c>
      <c r="B385" s="224">
        <v>370</v>
      </c>
      <c r="C385" s="629" t="str">
        <f>IF(A385="","",Calculation!B391)</f>
        <v/>
      </c>
      <c r="D385" s="386" t="str">
        <f>IF(A385="","",Calculation!L391)</f>
        <v/>
      </c>
      <c r="E385" s="387" t="str">
        <f>IF(A385="","",Calculation!J391)</f>
        <v/>
      </c>
      <c r="F385" s="387" t="str">
        <f>IF(A385="","",Calculation!C391)</f>
        <v/>
      </c>
      <c r="G385" s="387" t="str">
        <f>IF(A385="","",LEFT(Calculation!O391,6))</f>
        <v/>
      </c>
      <c r="H385" s="388" t="str">
        <f>IF(A385="","",Calculation!DX391)</f>
        <v/>
      </c>
      <c r="I385" s="387" t="str">
        <f>IF(A385="","",Calculation!P391)</f>
        <v/>
      </c>
      <c r="J385" s="387" t="str">
        <f>IF(A385="","",HLOOKUP(LEFT(Calculation!BO391,7),LookUps!$C$38:$M$41,4))</f>
        <v/>
      </c>
      <c r="K385" s="387" t="str">
        <f>IF(A385="","",Calculation!M391)</f>
        <v/>
      </c>
      <c r="L385" s="387" t="str">
        <f>IF(A385="","",Calculation!S391)</f>
        <v/>
      </c>
      <c r="M385" s="389" t="str">
        <f>IF(A385="","",Calculation!N391)</f>
        <v/>
      </c>
      <c r="N385" s="390" t="str">
        <f>IF(A385="","",Calculation!R391)</f>
        <v/>
      </c>
      <c r="O385" s="391" t="str">
        <f>IF(A385="","",Calculation!$F$6)</f>
        <v/>
      </c>
      <c r="P385" s="392" t="str">
        <f>IF(A385="","",Calculation!$F$7)</f>
        <v/>
      </c>
      <c r="Q385" s="393" t="str">
        <f>IF(A385="","",Calculation!$F$13)</f>
        <v/>
      </c>
      <c r="R385" s="394" t="str">
        <f>IF(A385="","",Calculation!X391)</f>
        <v/>
      </c>
      <c r="S385" s="393" t="str">
        <f>IF(A385="","",Calculation!T391)</f>
        <v/>
      </c>
      <c r="T385" s="395" t="str">
        <f>IF(A385="","",IF(Calculation!$O$8="None","Water",CONCATENATE(Calculation!$O$8,"-",Calculation!$S$8,"%")))</f>
        <v/>
      </c>
      <c r="U385" s="393" t="str">
        <f>IF(A385="","",Calculation!$P$6)</f>
        <v/>
      </c>
      <c r="V385" s="393" t="str">
        <f>IF(A385="","",Calculation!AT391)</f>
        <v/>
      </c>
      <c r="W385" s="396" t="str">
        <f>IF(A385="","",Calculation!AP391)</f>
        <v/>
      </c>
      <c r="X385" s="396" t="str">
        <f>IF(A385="","",Calculation!AO391)</f>
        <v/>
      </c>
      <c r="Y385" s="396" t="str">
        <f>IF(A385="","",Calculation!AQ391)</f>
        <v/>
      </c>
      <c r="Z385" s="396" t="str">
        <f>IF(A385="","",Calculation!$H$6)</f>
        <v/>
      </c>
      <c r="AA385" s="397" t="str">
        <f>IF(A385="","",Calculation!$H$13)</f>
        <v/>
      </c>
      <c r="AB385" s="397" t="str">
        <f>IF(A385="","",Calculation!U391)</f>
        <v/>
      </c>
      <c r="AC385" s="398" t="str">
        <f>IF(A385="","",IF(Calculation!$O$9="None","Water",CONCATENATE(Calculation!$O$9,"-",Calculation!$S$9,"%")))</f>
        <v/>
      </c>
      <c r="AD385" s="396" t="str">
        <f>IF(A385="","",Calculation!$S$6)</f>
        <v/>
      </c>
      <c r="AE385" s="399" t="str">
        <f>IF(A385="","",Calculation!BA391)</f>
        <v/>
      </c>
      <c r="AF385" s="396" t="str">
        <f>IF(A385="","",Calculation!AX391)</f>
        <v/>
      </c>
      <c r="AG385" s="396" t="str">
        <f>IF(A385="","",Calculation!AW391)</f>
        <v/>
      </c>
      <c r="AH385" s="391" t="str">
        <f>IF(A385="","",Calculation!AY391)</f>
        <v/>
      </c>
      <c r="AI385" s="391" t="str">
        <f>IF(A385="","",Calculation!Y391)</f>
        <v/>
      </c>
      <c r="AJ385" s="401" t="str">
        <f>IF(Calculation!BD391&gt;0,Calculation!BD391," ")</f>
        <v xml:space="preserve"> </v>
      </c>
      <c r="AK385" s="401" t="str">
        <f>IF(Calculation!BD391&gt;0,Calculation!BE391," ")</f>
        <v xml:space="preserve"> </v>
      </c>
      <c r="AL385" s="401" t="str">
        <f>IF(Calculation!BD391&gt;0,Calculation!BF391," ")</f>
        <v xml:space="preserve"> </v>
      </c>
      <c r="AM385" s="401" t="str">
        <f>IF(Calculation!BD391&gt;0,Calculation!BG391," ")</f>
        <v xml:space="preserve"> </v>
      </c>
      <c r="AN385" s="391" t="str">
        <f>IF(Calculation!BH391="N/A","N/A",Calculation!BH391)</f>
        <v xml:space="preserve"> </v>
      </c>
      <c r="AO385" s="402" t="str">
        <f>IF(Calculation!BI391="N/A","N/A",Calculation!BI391)</f>
        <v/>
      </c>
      <c r="AP385" s="391" t="str">
        <f>IF(Calculation!BJ391="N/A","N/A",Calculation!BJ391)</f>
        <v/>
      </c>
      <c r="AQ385" s="402" t="str">
        <f>IF(Calculation!BK391="N/A","N/A",Calculation!BK391)</f>
        <v/>
      </c>
      <c r="AR385" s="391" t="str">
        <f>IF(Calculation!BL391="N/A","N/A",Calculation!BL391)</f>
        <v/>
      </c>
      <c r="AS385" s="402" t="str">
        <f>IF(Calculation!BM391="N/A","N/A",Calculation!BM391)</f>
        <v/>
      </c>
      <c r="AT385" s="400"/>
    </row>
    <row r="386" spans="1:46">
      <c r="A386" s="224" t="str">
        <f>IF(Calculation!BN392="","",CONCATENATE(Calculation!BO392,"-",Calculation!R392,"-",Calculation!S392,"-",Calculation!T392,"-",Calculation!U392))</f>
        <v/>
      </c>
      <c r="B386" s="224">
        <v>371</v>
      </c>
      <c r="C386" s="629" t="str">
        <f>IF(A386="","",Calculation!B392)</f>
        <v/>
      </c>
      <c r="D386" s="386" t="str">
        <f>IF(A386="","",Calculation!L392)</f>
        <v/>
      </c>
      <c r="E386" s="387" t="str">
        <f>IF(A386="","",Calculation!J392)</f>
        <v/>
      </c>
      <c r="F386" s="387" t="str">
        <f>IF(A386="","",Calculation!C392)</f>
        <v/>
      </c>
      <c r="G386" s="387" t="str">
        <f>IF(A386="","",LEFT(Calculation!O392,6))</f>
        <v/>
      </c>
      <c r="H386" s="388" t="str">
        <f>IF(A386="","",Calculation!DX392)</f>
        <v/>
      </c>
      <c r="I386" s="387" t="str">
        <f>IF(A386="","",Calculation!P392)</f>
        <v/>
      </c>
      <c r="J386" s="387" t="str">
        <f>IF(A386="","",HLOOKUP(LEFT(Calculation!BO392,7),LookUps!$C$38:$M$41,4))</f>
        <v/>
      </c>
      <c r="K386" s="387" t="str">
        <f>IF(A386="","",Calculation!M392)</f>
        <v/>
      </c>
      <c r="L386" s="387" t="str">
        <f>IF(A386="","",Calculation!S392)</f>
        <v/>
      </c>
      <c r="M386" s="389" t="str">
        <f>IF(A386="","",Calculation!N392)</f>
        <v/>
      </c>
      <c r="N386" s="390" t="str">
        <f>IF(A386="","",Calculation!R392)</f>
        <v/>
      </c>
      <c r="O386" s="391" t="str">
        <f>IF(A386="","",Calculation!$F$6)</f>
        <v/>
      </c>
      <c r="P386" s="392" t="str">
        <f>IF(A386="","",Calculation!$F$7)</f>
        <v/>
      </c>
      <c r="Q386" s="393" t="str">
        <f>IF(A386="","",Calculation!$F$13)</f>
        <v/>
      </c>
      <c r="R386" s="394" t="str">
        <f>IF(A386="","",Calculation!X392)</f>
        <v/>
      </c>
      <c r="S386" s="393" t="str">
        <f>IF(A386="","",Calculation!T392)</f>
        <v/>
      </c>
      <c r="T386" s="395" t="str">
        <f>IF(A386="","",IF(Calculation!$O$8="None","Water",CONCATENATE(Calculation!$O$8,"-",Calculation!$S$8,"%")))</f>
        <v/>
      </c>
      <c r="U386" s="393" t="str">
        <f>IF(A386="","",Calculation!$P$6)</f>
        <v/>
      </c>
      <c r="V386" s="393" t="str">
        <f>IF(A386="","",Calculation!AT392)</f>
        <v/>
      </c>
      <c r="W386" s="396" t="str">
        <f>IF(A386="","",Calculation!AP392)</f>
        <v/>
      </c>
      <c r="X386" s="396" t="str">
        <f>IF(A386="","",Calculation!AO392)</f>
        <v/>
      </c>
      <c r="Y386" s="396" t="str">
        <f>IF(A386="","",Calculation!AQ392)</f>
        <v/>
      </c>
      <c r="Z386" s="396" t="str">
        <f>IF(A386="","",Calculation!$H$6)</f>
        <v/>
      </c>
      <c r="AA386" s="397" t="str">
        <f>IF(A386="","",Calculation!$H$13)</f>
        <v/>
      </c>
      <c r="AB386" s="397" t="str">
        <f>IF(A386="","",Calculation!U392)</f>
        <v/>
      </c>
      <c r="AC386" s="398" t="str">
        <f>IF(A386="","",IF(Calculation!$O$9="None","Water",CONCATENATE(Calculation!$O$9,"-",Calculation!$S$9,"%")))</f>
        <v/>
      </c>
      <c r="AD386" s="396" t="str">
        <f>IF(A386="","",Calculation!$S$6)</f>
        <v/>
      </c>
      <c r="AE386" s="399" t="str">
        <f>IF(A386="","",Calculation!BA392)</f>
        <v/>
      </c>
      <c r="AF386" s="396" t="str">
        <f>IF(A386="","",Calculation!AX392)</f>
        <v/>
      </c>
      <c r="AG386" s="396" t="str">
        <f>IF(A386="","",Calculation!AW392)</f>
        <v/>
      </c>
      <c r="AH386" s="391" t="str">
        <f>IF(A386="","",Calculation!AY392)</f>
        <v/>
      </c>
      <c r="AI386" s="391" t="str">
        <f>IF(A386="","",Calculation!Y392)</f>
        <v/>
      </c>
      <c r="AJ386" s="401" t="str">
        <f>IF(Calculation!BD392&gt;0,Calculation!BD392," ")</f>
        <v xml:space="preserve"> </v>
      </c>
      <c r="AK386" s="401" t="str">
        <f>IF(Calculation!BD392&gt;0,Calculation!BE392," ")</f>
        <v xml:space="preserve"> </v>
      </c>
      <c r="AL386" s="401" t="str">
        <f>IF(Calculation!BD392&gt;0,Calculation!BF392," ")</f>
        <v xml:space="preserve"> </v>
      </c>
      <c r="AM386" s="401" t="str">
        <f>IF(Calculation!BD392&gt;0,Calculation!BG392," ")</f>
        <v xml:space="preserve"> </v>
      </c>
      <c r="AN386" s="391" t="str">
        <f>IF(Calculation!BH392="N/A","N/A",Calculation!BH392)</f>
        <v xml:space="preserve"> </v>
      </c>
      <c r="AO386" s="402" t="str">
        <f>IF(Calculation!BI392="N/A","N/A",Calculation!BI392)</f>
        <v/>
      </c>
      <c r="AP386" s="391" t="str">
        <f>IF(Calculation!BJ392="N/A","N/A",Calculation!BJ392)</f>
        <v/>
      </c>
      <c r="AQ386" s="402" t="str">
        <f>IF(Calculation!BK392="N/A","N/A",Calculation!BK392)</f>
        <v/>
      </c>
      <c r="AR386" s="391" t="str">
        <f>IF(Calculation!BL392="N/A","N/A",Calculation!BL392)</f>
        <v/>
      </c>
      <c r="AS386" s="402" t="str">
        <f>IF(Calculation!BM392="N/A","N/A",Calculation!BM392)</f>
        <v/>
      </c>
      <c r="AT386" s="400"/>
    </row>
    <row r="387" spans="1:46" ht="13.8">
      <c r="C387" s="300"/>
      <c r="D387" s="386"/>
      <c r="E387" s="387"/>
      <c r="F387" s="387"/>
      <c r="G387" s="387"/>
      <c r="H387" s="388"/>
      <c r="I387" s="387"/>
      <c r="J387" s="387"/>
      <c r="K387" s="387"/>
      <c r="L387" s="387"/>
      <c r="M387" s="389"/>
      <c r="N387" s="390"/>
      <c r="O387" s="391"/>
      <c r="P387" s="392"/>
      <c r="Q387" s="393"/>
      <c r="R387" s="394"/>
      <c r="S387" s="393"/>
      <c r="T387" s="395"/>
      <c r="U387" s="393"/>
      <c r="V387" s="393"/>
      <c r="W387" s="396"/>
      <c r="X387" s="396"/>
      <c r="Y387" s="396"/>
      <c r="Z387" s="396"/>
      <c r="AA387" s="397"/>
      <c r="AB387" s="397"/>
      <c r="AC387" s="398"/>
      <c r="AD387" s="396"/>
      <c r="AE387" s="399"/>
      <c r="AF387" s="396"/>
      <c r="AG387" s="396"/>
      <c r="AH387" s="391"/>
      <c r="AI387" s="391"/>
      <c r="AJ387" s="401"/>
      <c r="AK387" s="401"/>
      <c r="AL387" s="401"/>
      <c r="AM387" s="401"/>
      <c r="AN387" s="391"/>
      <c r="AO387" s="402"/>
      <c r="AP387" s="391"/>
      <c r="AQ387" s="402"/>
      <c r="AR387" s="391"/>
      <c r="AS387" s="402"/>
      <c r="AT387" s="400"/>
    </row>
    <row r="388" spans="1:46" ht="14.4">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row>
    <row r="389" spans="1:46" ht="14.4">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row>
    <row r="390" spans="1:46" ht="14.4">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row>
    <row r="391" spans="1:46" ht="14.4">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row>
    <row r="392" spans="1:46" ht="14.4">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row>
    <row r="393" spans="1:46" ht="14.4">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row>
    <row r="394" spans="1:46" ht="14.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row>
    <row r="395" spans="1:46" ht="14.4">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row>
    <row r="396" spans="1:46" ht="14.4">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row>
    <row r="397" spans="1:46" ht="14.4">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row>
    <row r="398" spans="1:46" ht="14.4">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row>
    <row r="399" spans="1:46" ht="14.4">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row>
    <row r="400" spans="1:46" ht="14.4">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row>
    <row r="401" spans="3:45" ht="14.4">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row>
    <row r="402" spans="3:45" ht="14.4">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row>
    <row r="403" spans="3:45" ht="14.4">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row>
    <row r="404" spans="3:45" ht="14.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row>
    <row r="405" spans="3:45" ht="14.4">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row>
    <row r="406" spans="3:45" ht="14.4">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row>
    <row r="407" spans="3:45" ht="14.4">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row>
    <row r="408" spans="3:45" ht="14.4">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row>
    <row r="409" spans="3:45" ht="14.4">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row>
    <row r="410" spans="3:45" ht="14.4">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row>
    <row r="411" spans="3:45" ht="14.4">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row>
    <row r="412" spans="3:45" ht="14.4">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row>
    <row r="413" spans="3:45" ht="14.4">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row>
  </sheetData>
  <sheetProtection algorithmName="SHA-512" hashValue="gck0X95C/jvLqhuMsOZp1IY4UH0SBZOwsugo9QsEV0Q6V9el9tzG9G8HPKS6r0NzuTTGIsJg1mOa2+3eHEa7zw==" saltValue="Dudhuf95ozafqGxUeY6VhA==" spinCount="100000" sheet="1" formatCells="0" formatColumns="0" formatRows="0"/>
  <mergeCells count="23">
    <mergeCell ref="N12:Y13"/>
    <mergeCell ref="C12:M13"/>
    <mergeCell ref="Z12:AH13"/>
    <mergeCell ref="AI12:AI13"/>
    <mergeCell ref="AJ12:AS12"/>
    <mergeCell ref="AJ13:AM13"/>
    <mergeCell ref="AN13:AQ13"/>
    <mergeCell ref="AR13:AS13"/>
    <mergeCell ref="C1:F1"/>
    <mergeCell ref="G1:I1"/>
    <mergeCell ref="C2:E2"/>
    <mergeCell ref="C3:E3"/>
    <mergeCell ref="F2:G2"/>
    <mergeCell ref="F3:G3"/>
    <mergeCell ref="C8:E8"/>
    <mergeCell ref="C4:E4"/>
    <mergeCell ref="C6:E6"/>
    <mergeCell ref="C10:F10"/>
    <mergeCell ref="C7:E7"/>
    <mergeCell ref="F4:G4"/>
    <mergeCell ref="F6:G6"/>
    <mergeCell ref="F7:G7"/>
    <mergeCell ref="F8:G8"/>
  </mergeCells>
  <pageMargins left="0.25" right="0.25" top="0.75" bottom="0.75" header="0.3" footer="0.3"/>
  <pageSetup paperSize="3" scale="45" fitToHeight="0" orientation="landscape" r:id="rId1"/>
  <headerFooter alignWithMargins="0">
    <oddFooter>&amp;L&amp;C&amp;R</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tint="0.39997558519241921"/>
    <pageSetUpPr fitToPage="1"/>
  </sheetPr>
  <dimension ref="B1:Q23"/>
  <sheetViews>
    <sheetView showGridLines="0" zoomScale="85" zoomScaleNormal="85" workbookViewId="0">
      <selection activeCell="B2" sqref="B2:E3"/>
    </sheetView>
  </sheetViews>
  <sheetFormatPr defaultRowHeight="14.4"/>
  <cols>
    <col min="2" max="2" width="19.44140625" customWidth="1"/>
    <col min="3" max="3" width="19.6640625" customWidth="1"/>
    <col min="4" max="4" width="13" customWidth="1"/>
    <col min="5" max="5" width="20.6640625" customWidth="1"/>
    <col min="6" max="6" width="15.44140625" customWidth="1"/>
    <col min="7" max="7" width="19.44140625" customWidth="1"/>
    <col min="8" max="8" width="18.6640625" customWidth="1"/>
    <col min="9" max="9" width="19.88671875" customWidth="1"/>
    <col min="10" max="10" width="18.109375" customWidth="1"/>
    <col min="11" max="11" width="20.33203125" customWidth="1"/>
    <col min="12" max="12" width="18.109375" customWidth="1"/>
    <col min="13" max="13" width="16.44140625" customWidth="1"/>
    <col min="15" max="16" width="13.44140625" bestFit="1" customWidth="1"/>
  </cols>
  <sheetData>
    <row r="1" spans="2:17" ht="15" thickBot="1"/>
    <row r="2" spans="2:17" ht="41.25" customHeight="1">
      <c r="B2" s="826" t="str">
        <f>IF(Calculation!D3=0,"",Calculation!D3)</f>
        <v/>
      </c>
      <c r="C2" s="827"/>
      <c r="D2" s="827"/>
      <c r="E2" s="828"/>
      <c r="F2" s="834" t="s">
        <v>455</v>
      </c>
      <c r="G2" s="835"/>
      <c r="H2" s="835"/>
      <c r="I2" s="836"/>
      <c r="J2" s="463"/>
      <c r="K2" s="463"/>
      <c r="L2" s="464"/>
    </row>
    <row r="3" spans="2:17" ht="38.25" customHeight="1" thickBot="1">
      <c r="B3" s="829"/>
      <c r="C3" s="830"/>
      <c r="D3" s="830"/>
      <c r="E3" s="831"/>
      <c r="F3" s="479"/>
      <c r="G3" s="608" t="s">
        <v>462</v>
      </c>
      <c r="H3" s="609" t="str">
        <f>VLOOKUP(LookUps!E178,RSCalc!AQ16:AR18,2)</f>
        <v>Standard Qty (Good Efficiency)</v>
      </c>
      <c r="I3" s="480"/>
      <c r="J3" s="465"/>
      <c r="K3" s="465"/>
      <c r="L3" s="466"/>
    </row>
    <row r="4" spans="2:17" ht="29.25" customHeight="1">
      <c r="B4" s="821" t="s">
        <v>450</v>
      </c>
      <c r="C4" s="822"/>
      <c r="D4" s="823"/>
      <c r="E4" s="821" t="s">
        <v>453</v>
      </c>
      <c r="F4" s="822"/>
      <c r="G4" s="823"/>
      <c r="H4" s="821" t="s">
        <v>454</v>
      </c>
      <c r="I4" s="822"/>
      <c r="J4" s="822"/>
      <c r="K4" s="823"/>
      <c r="L4" s="454" t="s">
        <v>5</v>
      </c>
    </row>
    <row r="5" spans="2:17" ht="15.6">
      <c r="B5" s="832" t="s">
        <v>0</v>
      </c>
      <c r="C5" s="833"/>
      <c r="D5" s="564" t="s">
        <v>1</v>
      </c>
      <c r="E5" s="824" t="s">
        <v>0</v>
      </c>
      <c r="F5" s="825"/>
      <c r="G5" s="565" t="s">
        <v>1</v>
      </c>
      <c r="H5" s="566" t="s">
        <v>451</v>
      </c>
      <c r="I5" s="567" t="s">
        <v>19</v>
      </c>
      <c r="J5" s="568" t="s">
        <v>452</v>
      </c>
      <c r="K5" s="565" t="s">
        <v>19</v>
      </c>
      <c r="L5" s="569"/>
    </row>
    <row r="6" spans="2:17" ht="16.2" thickBot="1">
      <c r="B6" s="570">
        <f>Calculation!F6</f>
        <v>75</v>
      </c>
      <c r="C6" s="571" t="str">
        <f>CONCATENATE(Calculation!F7*100," ","% RH")</f>
        <v>53 % RH</v>
      </c>
      <c r="D6" s="572">
        <f>Calculation!H6</f>
        <v>70</v>
      </c>
      <c r="E6" s="570">
        <f>Calculation!F13</f>
        <v>55</v>
      </c>
      <c r="F6" s="573">
        <f>Calculation!BQ8</f>
        <v>48</v>
      </c>
      <c r="G6" s="574">
        <f>Calculation!H13</f>
        <v>70</v>
      </c>
      <c r="H6" s="575">
        <f>Calculation!P6</f>
        <v>57</v>
      </c>
      <c r="I6" s="576" t="str">
        <f>CONCATENATE(Calculation!S8,"% ",Calculation!O8)</f>
        <v>100% None</v>
      </c>
      <c r="J6" s="577">
        <f>Calculation!S6</f>
        <v>120</v>
      </c>
      <c r="K6" s="578" t="str">
        <f>CONCATENATE(Calculation!S9,"% ",Calculation!O9)</f>
        <v>100% None</v>
      </c>
      <c r="L6" s="579">
        <f>Calculation!S13</f>
        <v>0</v>
      </c>
    </row>
    <row r="7" spans="2:17">
      <c r="B7" s="458"/>
      <c r="C7" s="459"/>
      <c r="D7" s="456"/>
      <c r="E7" s="456"/>
      <c r="F7" s="456"/>
      <c r="G7" s="456"/>
      <c r="H7" s="456"/>
      <c r="I7" s="456"/>
      <c r="J7" s="456"/>
      <c r="K7" s="456"/>
      <c r="L7" s="457"/>
    </row>
    <row r="8" spans="2:17" ht="15" customHeight="1">
      <c r="B8" s="455"/>
      <c r="C8" s="456"/>
      <c r="D8" s="456"/>
      <c r="E8" s="456"/>
      <c r="F8" s="456"/>
      <c r="G8" s="456"/>
      <c r="H8" s="456"/>
      <c r="I8" s="456"/>
      <c r="J8" s="456"/>
      <c r="K8" s="456"/>
      <c r="L8" s="457"/>
    </row>
    <row r="9" spans="2:17" ht="18">
      <c r="B9" s="455"/>
      <c r="C9" s="613"/>
      <c r="D9" s="614"/>
      <c r="E9" s="615"/>
      <c r="F9" s="456"/>
      <c r="G9" s="456"/>
      <c r="H9" s="456"/>
      <c r="I9" s="456"/>
      <c r="J9" s="456"/>
      <c r="K9" s="456"/>
      <c r="L9" s="457"/>
    </row>
    <row r="10" spans="2:17" ht="18">
      <c r="B10" s="455"/>
      <c r="C10" s="553" t="s">
        <v>443</v>
      </c>
      <c r="D10" s="554"/>
      <c r="E10" s="555">
        <f>Calculation!$JB$394</f>
        <v>0</v>
      </c>
      <c r="F10" s="456"/>
      <c r="G10" s="456"/>
      <c r="H10" s="456"/>
      <c r="I10" s="456"/>
      <c r="J10" s="456"/>
      <c r="K10" s="456"/>
      <c r="L10" s="457"/>
    </row>
    <row r="11" spans="2:17" ht="18">
      <c r="B11" s="455"/>
      <c r="C11" s="553" t="s">
        <v>448</v>
      </c>
      <c r="D11" s="554"/>
      <c r="E11" s="556">
        <f>Calculation!D394</f>
        <v>0</v>
      </c>
      <c r="F11" s="456"/>
      <c r="G11" s="456"/>
      <c r="H11" s="456"/>
      <c r="I11" s="456"/>
      <c r="J11" s="456"/>
      <c r="K11" s="456"/>
      <c r="L11" s="457"/>
    </row>
    <row r="12" spans="2:17" ht="18">
      <c r="B12" s="455"/>
      <c r="C12" s="557" t="s">
        <v>444</v>
      </c>
      <c r="D12" s="554"/>
      <c r="E12" s="558">
        <f>Calculation!$JC$394</f>
        <v>0</v>
      </c>
      <c r="F12" s="456"/>
      <c r="G12" s="456"/>
      <c r="H12" s="456"/>
      <c r="I12" s="456"/>
      <c r="J12" s="456"/>
      <c r="K12" s="456"/>
      <c r="L12" s="457"/>
    </row>
    <row r="13" spans="2:17" ht="18">
      <c r="B13" s="455"/>
      <c r="C13" s="557" t="s">
        <v>445</v>
      </c>
      <c r="D13" s="554"/>
      <c r="E13" s="559">
        <f>Calculation!$JE$394</f>
        <v>0</v>
      </c>
      <c r="F13" s="456"/>
      <c r="G13" s="456"/>
      <c r="H13" s="456"/>
      <c r="I13" s="456"/>
      <c r="J13" s="456"/>
      <c r="K13" s="456"/>
      <c r="L13" s="457"/>
    </row>
    <row r="14" spans="2:17" ht="18">
      <c r="B14" s="455"/>
      <c r="C14" s="557" t="s">
        <v>446</v>
      </c>
      <c r="D14" s="554"/>
      <c r="E14" s="559">
        <f>Calculation!$JF$394</f>
        <v>0</v>
      </c>
      <c r="F14" s="456"/>
      <c r="G14" s="456"/>
      <c r="H14" s="456"/>
      <c r="I14" s="456"/>
      <c r="J14" s="456"/>
      <c r="K14" s="456"/>
      <c r="L14" s="457"/>
    </row>
    <row r="15" spans="2:17" ht="18">
      <c r="B15" s="455"/>
      <c r="C15" s="557" t="s">
        <v>447</v>
      </c>
      <c r="D15" s="560"/>
      <c r="E15" s="561">
        <f>Calculation!$JG$394</f>
        <v>0</v>
      </c>
      <c r="F15" s="456"/>
      <c r="G15" s="456"/>
      <c r="H15" s="456"/>
      <c r="I15" s="456"/>
      <c r="J15" s="456"/>
      <c r="K15" s="456"/>
      <c r="L15" s="457"/>
    </row>
    <row r="16" spans="2:17" ht="18">
      <c r="B16" s="455"/>
      <c r="C16" s="557" t="s">
        <v>449</v>
      </c>
      <c r="D16" s="560"/>
      <c r="E16" s="562">
        <f>Calculation!$JH$394</f>
        <v>0</v>
      </c>
      <c r="F16" s="456"/>
      <c r="G16" s="456"/>
      <c r="H16" s="456"/>
      <c r="I16" s="456"/>
      <c r="J16" s="456"/>
      <c r="K16" s="456"/>
      <c r="L16" s="457"/>
      <c r="O16" s="467" t="s">
        <v>441</v>
      </c>
      <c r="P16" s="467" t="s">
        <v>442</v>
      </c>
      <c r="Q16" s="467"/>
    </row>
    <row r="17" spans="2:17" ht="18">
      <c r="B17" s="455"/>
      <c r="C17" s="553" t="s">
        <v>441</v>
      </c>
      <c r="D17" s="554"/>
      <c r="E17" s="563">
        <f>ABS(Calculation!$JI$394)</f>
        <v>0</v>
      </c>
      <c r="F17" s="456"/>
      <c r="G17" s="456"/>
      <c r="H17" s="456"/>
      <c r="I17" s="456"/>
      <c r="J17" s="456"/>
      <c r="K17" s="456"/>
      <c r="L17" s="457"/>
      <c r="O17" s="468">
        <f>E17</f>
        <v>0</v>
      </c>
      <c r="P17" s="468">
        <f>E18</f>
        <v>0</v>
      </c>
      <c r="Q17" s="467"/>
    </row>
    <row r="18" spans="2:17" ht="18">
      <c r="B18" s="455"/>
      <c r="C18" s="553" t="s">
        <v>442</v>
      </c>
      <c r="D18" s="554"/>
      <c r="E18" s="563">
        <f>Calculation!$JJ$394</f>
        <v>0</v>
      </c>
      <c r="F18" s="456"/>
      <c r="G18" s="456"/>
      <c r="H18" s="456"/>
      <c r="I18" s="456"/>
      <c r="J18" s="456"/>
      <c r="K18" s="456"/>
      <c r="L18" s="457"/>
    </row>
    <row r="19" spans="2:17" ht="18">
      <c r="B19" s="455"/>
      <c r="C19" s="553" t="s">
        <v>456</v>
      </c>
      <c r="D19" s="554"/>
      <c r="E19" s="563">
        <f>E18+E17</f>
        <v>0</v>
      </c>
      <c r="F19" s="456"/>
      <c r="G19" s="456"/>
      <c r="H19" s="456"/>
      <c r="I19" s="456"/>
      <c r="J19" s="456"/>
      <c r="K19" s="456"/>
      <c r="L19" s="457"/>
    </row>
    <row r="20" spans="2:17" ht="18">
      <c r="B20" s="458"/>
      <c r="C20" s="553" t="s">
        <v>85</v>
      </c>
      <c r="D20" s="554"/>
      <c r="E20" s="563">
        <f>Calculation!$JK$394</f>
        <v>0</v>
      </c>
      <c r="F20" s="456"/>
      <c r="G20" s="456"/>
      <c r="H20" s="456"/>
      <c r="I20" s="456"/>
      <c r="J20" s="456"/>
      <c r="K20" s="456"/>
      <c r="L20" s="457"/>
    </row>
    <row r="21" spans="2:17" ht="18">
      <c r="B21" s="458"/>
      <c r="C21" s="553" t="s">
        <v>457</v>
      </c>
      <c r="D21" s="554"/>
      <c r="E21" s="563">
        <f>Calculation!$JL$394</f>
        <v>0</v>
      </c>
      <c r="F21" s="456"/>
      <c r="G21" s="456"/>
      <c r="H21" s="456"/>
      <c r="I21" s="456"/>
      <c r="J21" s="456"/>
      <c r="K21" s="456"/>
      <c r="L21" s="457"/>
    </row>
    <row r="22" spans="2:17">
      <c r="B22" s="455"/>
      <c r="C22" s="456"/>
      <c r="D22" s="456"/>
      <c r="E22" s="456"/>
      <c r="F22" s="456"/>
      <c r="G22" s="456"/>
      <c r="H22" s="456"/>
      <c r="I22" s="456"/>
      <c r="J22" s="456"/>
      <c r="K22" s="456"/>
      <c r="L22" s="457"/>
    </row>
    <row r="23" spans="2:17" ht="27.75" customHeight="1" thickBot="1">
      <c r="B23" s="460"/>
      <c r="C23" s="461"/>
      <c r="D23" s="461"/>
      <c r="E23" s="461"/>
      <c r="F23" s="461"/>
      <c r="G23" s="461"/>
      <c r="H23" s="461"/>
      <c r="I23" s="461"/>
      <c r="J23" s="461"/>
      <c r="K23" s="461"/>
      <c r="L23" s="462"/>
    </row>
  </sheetData>
  <sheetProtection algorithmName="SHA-512" hashValue="+oYGAfmCIsY26NALbt4goS26kBb7tCEkgBOJS9p4pUB4JnDQ2z8hmpeOVVDGSjFPNhWIdgPXb8y5Xcn9POGSWQ==" saltValue="nlIJXX+WRNPUVcDuSUc8mg==" spinCount="100000" sheet="1" objects="1" scenarios="1"/>
  <mergeCells count="7">
    <mergeCell ref="H4:K4"/>
    <mergeCell ref="E5:F5"/>
    <mergeCell ref="B2:E3"/>
    <mergeCell ref="B5:C5"/>
    <mergeCell ref="B4:D4"/>
    <mergeCell ref="E4:G4"/>
    <mergeCell ref="F2:I2"/>
  </mergeCells>
  <pageMargins left="0.7" right="0.7" top="0.75" bottom="0.75" header="0.3" footer="0.3"/>
  <pageSetup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4AFE-9DDE-483D-B08F-063320A230C6}">
  <sheetPr codeName="Sheet11">
    <tabColor theme="7" tint="0.59999389629810485"/>
  </sheetPr>
  <dimension ref="A1:R43"/>
  <sheetViews>
    <sheetView showGridLines="0" showRowColHeaders="0" zoomScaleNormal="100" workbookViewId="0">
      <selection activeCell="X10" sqref="X10"/>
    </sheetView>
  </sheetViews>
  <sheetFormatPr defaultRowHeight="14.4"/>
  <sheetData>
    <row r="1" spans="1:18" ht="47.25" customHeight="1">
      <c r="A1" s="839" t="s">
        <v>252</v>
      </c>
      <c r="B1" s="839"/>
      <c r="C1" s="839"/>
      <c r="D1" s="839"/>
      <c r="E1" s="839"/>
      <c r="F1" s="839"/>
      <c r="G1" s="839"/>
      <c r="H1" s="839"/>
      <c r="I1" s="839"/>
      <c r="J1" s="839"/>
      <c r="K1" s="839"/>
      <c r="L1" s="839"/>
      <c r="M1" s="839"/>
      <c r="N1" s="839"/>
      <c r="O1" s="839"/>
      <c r="P1" s="839"/>
      <c r="Q1" s="839"/>
      <c r="R1" s="839"/>
    </row>
    <row r="2" spans="1:18" ht="28.8">
      <c r="A2" s="840" t="s">
        <v>251</v>
      </c>
      <c r="B2" s="840"/>
      <c r="C2" s="840"/>
      <c r="D2" s="840"/>
      <c r="E2" s="840"/>
      <c r="F2" s="840"/>
      <c r="G2" s="840"/>
      <c r="H2" s="840"/>
      <c r="I2" s="840"/>
      <c r="J2" s="840"/>
      <c r="K2" s="840"/>
      <c r="L2" s="840"/>
      <c r="M2" s="840"/>
      <c r="N2" s="840"/>
      <c r="O2" s="840"/>
      <c r="P2" s="840"/>
      <c r="Q2" s="840"/>
      <c r="R2" s="840"/>
    </row>
    <row r="3" spans="1:18" ht="28.8">
      <c r="A3" s="840" t="s">
        <v>554</v>
      </c>
      <c r="B3" s="840"/>
      <c r="C3" s="840"/>
      <c r="D3" s="840"/>
      <c r="E3" s="840"/>
      <c r="F3" s="840"/>
      <c r="G3" s="840"/>
      <c r="H3" s="840"/>
      <c r="I3" s="840"/>
      <c r="J3" s="840"/>
      <c r="K3" s="840"/>
      <c r="L3" s="840"/>
      <c r="M3" s="840"/>
      <c r="N3" s="840"/>
      <c r="O3" s="840"/>
      <c r="P3" s="840"/>
      <c r="Q3" s="840"/>
      <c r="R3" s="840"/>
    </row>
    <row r="36" spans="3:16" ht="21">
      <c r="C36" s="841" t="s">
        <v>290</v>
      </c>
      <c r="D36" s="842"/>
      <c r="E36" s="842"/>
      <c r="F36" s="842"/>
      <c r="G36" s="842"/>
      <c r="H36" s="842"/>
      <c r="I36" s="842"/>
      <c r="J36" s="842"/>
      <c r="K36" s="842"/>
      <c r="L36" s="842"/>
      <c r="M36" s="842"/>
      <c r="N36" s="842"/>
      <c r="O36" s="842"/>
      <c r="P36" s="843"/>
    </row>
    <row r="37" spans="3:16">
      <c r="C37" s="844" t="s">
        <v>283</v>
      </c>
      <c r="D37" s="844"/>
      <c r="E37" s="844" t="s">
        <v>284</v>
      </c>
      <c r="F37" s="844"/>
      <c r="G37" s="844" t="s">
        <v>285</v>
      </c>
      <c r="H37" s="844"/>
      <c r="I37" s="844" t="s">
        <v>286</v>
      </c>
      <c r="J37" s="844"/>
      <c r="K37" s="844" t="s">
        <v>287</v>
      </c>
      <c r="L37" s="844"/>
      <c r="M37" s="844" t="s">
        <v>288</v>
      </c>
      <c r="N37" s="844"/>
      <c r="O37" s="844" t="s">
        <v>289</v>
      </c>
      <c r="P37" s="844"/>
    </row>
    <row r="38" spans="3:16">
      <c r="C38" s="844"/>
      <c r="D38" s="844"/>
      <c r="E38" s="844"/>
      <c r="F38" s="844"/>
      <c r="G38" s="844"/>
      <c r="H38" s="844"/>
      <c r="I38" s="844"/>
      <c r="J38" s="844"/>
      <c r="K38" s="844"/>
      <c r="L38" s="844"/>
      <c r="M38" s="844"/>
      <c r="N38" s="844"/>
      <c r="O38" s="844"/>
      <c r="P38" s="844"/>
    </row>
    <row r="39" spans="3:16">
      <c r="C39" s="837" t="s">
        <v>6</v>
      </c>
      <c r="D39" s="838" t="s">
        <v>282</v>
      </c>
      <c r="E39" s="837" t="s">
        <v>6</v>
      </c>
      <c r="F39" s="838" t="s">
        <v>282</v>
      </c>
      <c r="G39" s="837" t="s">
        <v>6</v>
      </c>
      <c r="H39" s="838" t="s">
        <v>282</v>
      </c>
      <c r="I39" s="837" t="s">
        <v>6</v>
      </c>
      <c r="J39" s="838" t="s">
        <v>282</v>
      </c>
      <c r="K39" s="837" t="s">
        <v>6</v>
      </c>
      <c r="L39" s="838" t="s">
        <v>282</v>
      </c>
      <c r="M39" s="837" t="s">
        <v>6</v>
      </c>
      <c r="N39" s="838" t="s">
        <v>282</v>
      </c>
      <c r="O39" s="837" t="s">
        <v>6</v>
      </c>
      <c r="P39" s="838" t="s">
        <v>282</v>
      </c>
    </row>
    <row r="40" spans="3:16">
      <c r="C40" s="837"/>
      <c r="D40" s="838"/>
      <c r="E40" s="837"/>
      <c r="F40" s="838"/>
      <c r="G40" s="837"/>
      <c r="H40" s="838"/>
      <c r="I40" s="837"/>
      <c r="J40" s="838"/>
      <c r="K40" s="837"/>
      <c r="L40" s="838"/>
      <c r="M40" s="837"/>
      <c r="N40" s="838"/>
      <c r="O40" s="837"/>
      <c r="P40" s="838"/>
    </row>
    <row r="41" spans="3:16">
      <c r="C41" s="621">
        <v>0.55000000000000004</v>
      </c>
      <c r="D41" s="622">
        <v>55</v>
      </c>
      <c r="E41" s="621">
        <f>0.54</f>
        <v>0.54</v>
      </c>
      <c r="F41" s="623">
        <v>55.5</v>
      </c>
      <c r="G41" s="621">
        <v>0.52</v>
      </c>
      <c r="H41" s="623">
        <v>55.3</v>
      </c>
      <c r="I41" s="621">
        <v>0.5</v>
      </c>
      <c r="J41" s="623">
        <v>55.2</v>
      </c>
      <c r="K41" s="621">
        <v>0.49</v>
      </c>
      <c r="L41" s="623">
        <v>55.6</v>
      </c>
      <c r="M41" s="621">
        <v>0.48</v>
      </c>
      <c r="N41" s="623">
        <v>55.9</v>
      </c>
      <c r="O41" s="621">
        <v>0.46</v>
      </c>
      <c r="P41" s="622">
        <v>55.6</v>
      </c>
    </row>
    <row r="42" spans="3:16">
      <c r="C42" s="156">
        <v>0.57999999999999996</v>
      </c>
      <c r="D42" s="153">
        <v>56.5</v>
      </c>
      <c r="E42" s="156">
        <f>0.57</f>
        <v>0.56999999999999995</v>
      </c>
      <c r="F42" s="98">
        <v>56.9</v>
      </c>
      <c r="G42" s="156">
        <v>0.55000000000000004</v>
      </c>
      <c r="H42" s="98">
        <v>56.9</v>
      </c>
      <c r="I42" s="156">
        <v>0.53</v>
      </c>
      <c r="J42" s="98">
        <v>56.8</v>
      </c>
      <c r="K42" s="156">
        <v>0.51</v>
      </c>
      <c r="L42" s="98">
        <v>56.6</v>
      </c>
      <c r="M42" s="156">
        <v>0.5</v>
      </c>
      <c r="N42" s="98">
        <v>57</v>
      </c>
      <c r="O42" s="156">
        <v>0.48</v>
      </c>
      <c r="P42" s="153">
        <v>56.8</v>
      </c>
    </row>
    <row r="43" spans="3:16">
      <c r="C43" s="157">
        <v>0.61</v>
      </c>
      <c r="D43" s="234">
        <v>57.9</v>
      </c>
      <c r="E43" s="157">
        <v>0.59</v>
      </c>
      <c r="F43" s="155">
        <v>57.9</v>
      </c>
      <c r="G43" s="157">
        <v>0.56999999999999995</v>
      </c>
      <c r="H43" s="155">
        <v>57.9</v>
      </c>
      <c r="I43" s="157">
        <f>I41+0.05</f>
        <v>0.55000000000000004</v>
      </c>
      <c r="J43" s="155">
        <v>57.8</v>
      </c>
      <c r="K43" s="157">
        <v>0.53</v>
      </c>
      <c r="L43" s="155">
        <v>57.7</v>
      </c>
      <c r="M43" s="157">
        <v>0.51</v>
      </c>
      <c r="N43" s="155">
        <v>57.6</v>
      </c>
      <c r="O43" s="157">
        <v>0.5</v>
      </c>
      <c r="P43" s="234">
        <v>57.9</v>
      </c>
    </row>
  </sheetData>
  <sheetProtection algorithmName="SHA-512" hashValue="AbFj9383C5TXLVGDlD+TEr8Js1UXZG5XydFVYbOv+M4uYEIlwf+PObq0r5Oz6FlJjFD9dtqSk4zbCFeYM/pL5g==" saltValue="eidOsIP51ESuqd4vBbl0Zg==" spinCount="100000" sheet="1" objects="1" selectLockedCells="1" selectUnlockedCells="1"/>
  <mergeCells count="25">
    <mergeCell ref="A1:R1"/>
    <mergeCell ref="A2:R2"/>
    <mergeCell ref="A3:R3"/>
    <mergeCell ref="C36:P36"/>
    <mergeCell ref="C37:D38"/>
    <mergeCell ref="E37:F38"/>
    <mergeCell ref="G37:H38"/>
    <mergeCell ref="I37:J38"/>
    <mergeCell ref="K37:L38"/>
    <mergeCell ref="M37:N38"/>
    <mergeCell ref="O37:P38"/>
    <mergeCell ref="C39:C40"/>
    <mergeCell ref="D39:D40"/>
    <mergeCell ref="E39:E40"/>
    <mergeCell ref="F39:F40"/>
    <mergeCell ref="G39:G40"/>
    <mergeCell ref="M39:M40"/>
    <mergeCell ref="N39:N40"/>
    <mergeCell ref="O39:O40"/>
    <mergeCell ref="P39:P40"/>
    <mergeCell ref="H39:H40"/>
    <mergeCell ref="I39:I40"/>
    <mergeCell ref="J39:J40"/>
    <mergeCell ref="K39:K40"/>
    <mergeCell ref="L39:L40"/>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5:AC318"/>
  <sheetViews>
    <sheetView topLeftCell="A299" zoomScale="145" zoomScaleNormal="145" workbookViewId="0">
      <selection activeCell="B306" sqref="B306:M306"/>
    </sheetView>
  </sheetViews>
  <sheetFormatPr defaultRowHeight="14.4"/>
  <cols>
    <col min="2" max="2" width="18.44140625" customWidth="1"/>
    <col min="3" max="9" width="10.5546875" bestFit="1" customWidth="1"/>
    <col min="11" max="13" width="10.5546875" bestFit="1" customWidth="1"/>
    <col min="15" max="15" width="9" customWidth="1"/>
  </cols>
  <sheetData>
    <row r="5" spans="15:22">
      <c r="O5" s="866"/>
      <c r="P5" s="867"/>
    </row>
    <row r="6" spans="15:22">
      <c r="O6" s="74" t="s">
        <v>140</v>
      </c>
      <c r="P6" s="74">
        <v>14</v>
      </c>
    </row>
    <row r="7" spans="15:22">
      <c r="O7" s="74" t="s">
        <v>139</v>
      </c>
      <c r="P7" s="74">
        <v>12</v>
      </c>
    </row>
    <row r="8" spans="15:22">
      <c r="O8" s="74" t="s">
        <v>142</v>
      </c>
      <c r="P8" s="74">
        <v>24</v>
      </c>
    </row>
    <row r="9" spans="15:22">
      <c r="O9" s="74" t="s">
        <v>141</v>
      </c>
      <c r="P9" s="74">
        <v>22</v>
      </c>
    </row>
    <row r="10" spans="15:22">
      <c r="O10" s="74" t="s">
        <v>143</v>
      </c>
      <c r="P10" s="74">
        <v>44</v>
      </c>
    </row>
    <row r="11" spans="15:22">
      <c r="O11" s="74" t="s">
        <v>144</v>
      </c>
      <c r="P11" s="74">
        <v>42</v>
      </c>
    </row>
    <row r="15" spans="15:22">
      <c r="V15" s="97"/>
    </row>
    <row r="16" spans="15:22">
      <c r="V16" s="97"/>
    </row>
    <row r="17" spans="15:22">
      <c r="V17" s="97"/>
    </row>
    <row r="18" spans="15:22">
      <c r="V18" s="97"/>
    </row>
    <row r="27" spans="15:22">
      <c r="O27" s="866"/>
      <c r="P27" s="867"/>
    </row>
    <row r="28" spans="15:22">
      <c r="O28" s="74" t="s">
        <v>253</v>
      </c>
      <c r="P28" s="74">
        <v>1</v>
      </c>
    </row>
    <row r="29" spans="15:22">
      <c r="O29" s="74" t="s">
        <v>254</v>
      </c>
      <c r="P29" s="74">
        <v>2</v>
      </c>
    </row>
    <row r="30" spans="15:22">
      <c r="O30" s="74" t="s">
        <v>255</v>
      </c>
      <c r="P30" s="74">
        <v>3</v>
      </c>
    </row>
    <row r="31" spans="15:22">
      <c r="O31" s="618" t="s">
        <v>512</v>
      </c>
      <c r="P31" s="74">
        <v>4</v>
      </c>
    </row>
    <row r="32" spans="15:22">
      <c r="O32" s="619" t="s">
        <v>513</v>
      </c>
      <c r="P32" s="302">
        <v>5</v>
      </c>
    </row>
    <row r="33" spans="2:16">
      <c r="O33" s="619" t="s">
        <v>514</v>
      </c>
      <c r="P33" s="302">
        <v>6</v>
      </c>
    </row>
    <row r="34" spans="2:16">
      <c r="O34" s="619" t="s">
        <v>515</v>
      </c>
      <c r="P34" s="302">
        <v>7</v>
      </c>
    </row>
    <row r="36" spans="2:16">
      <c r="B36" s="863"/>
      <c r="C36" s="864"/>
      <c r="D36" s="864"/>
      <c r="E36" s="864"/>
      <c r="F36" s="864"/>
      <c r="G36" s="864"/>
      <c r="H36" s="864"/>
      <c r="I36" s="864"/>
      <c r="J36" s="864"/>
      <c r="K36" s="864"/>
      <c r="L36" s="864"/>
      <c r="M36" s="865"/>
      <c r="N36" s="32"/>
    </row>
    <row r="37" spans="2:16">
      <c r="B37" s="196"/>
      <c r="C37" s="217" t="s">
        <v>34</v>
      </c>
      <c r="D37" s="217" t="s">
        <v>42</v>
      </c>
      <c r="E37" s="217" t="s">
        <v>520</v>
      </c>
      <c r="F37" s="217" t="s">
        <v>32</v>
      </c>
      <c r="G37" s="217" t="s">
        <v>35</v>
      </c>
      <c r="H37" s="217" t="s">
        <v>33</v>
      </c>
      <c r="I37" s="217" t="s">
        <v>41</v>
      </c>
      <c r="J37" s="217" t="s">
        <v>531</v>
      </c>
      <c r="K37" s="217" t="s">
        <v>530</v>
      </c>
      <c r="L37" s="217" t="s">
        <v>31</v>
      </c>
      <c r="M37" s="217" t="s">
        <v>541</v>
      </c>
    </row>
    <row r="38" spans="2:16">
      <c r="B38" s="196"/>
      <c r="C38" s="474" t="s">
        <v>135</v>
      </c>
      <c r="D38" s="474" t="s">
        <v>136</v>
      </c>
      <c r="E38" s="474" t="s">
        <v>521</v>
      </c>
      <c r="F38" s="474" t="s">
        <v>132</v>
      </c>
      <c r="G38" s="474" t="s">
        <v>137</v>
      </c>
      <c r="H38" s="474" t="s">
        <v>134</v>
      </c>
      <c r="I38" s="474" t="s">
        <v>138</v>
      </c>
      <c r="J38" s="474" t="s">
        <v>531</v>
      </c>
      <c r="K38" s="474" t="s">
        <v>530</v>
      </c>
      <c r="L38" s="474" t="s">
        <v>133</v>
      </c>
      <c r="M38" s="474" t="s">
        <v>541</v>
      </c>
    </row>
    <row r="39" spans="2:16">
      <c r="B39" s="196"/>
      <c r="C39" s="474"/>
      <c r="D39" s="474"/>
      <c r="E39" s="474"/>
      <c r="F39" s="474"/>
      <c r="G39" s="474"/>
      <c r="H39" s="474"/>
      <c r="I39" s="474"/>
      <c r="J39" s="474"/>
      <c r="K39" s="474"/>
      <c r="L39" s="474"/>
      <c r="M39" s="474"/>
    </row>
    <row r="40" spans="2:16">
      <c r="B40" s="475"/>
      <c r="C40" s="476">
        <v>12.5</v>
      </c>
      <c r="D40" s="476">
        <v>12.5</v>
      </c>
      <c r="E40" s="476">
        <v>10</v>
      </c>
      <c r="F40" s="476">
        <v>13.75</v>
      </c>
      <c r="G40" s="477">
        <v>10</v>
      </c>
      <c r="H40" s="477">
        <v>10</v>
      </c>
      <c r="I40" s="477">
        <v>5</v>
      </c>
      <c r="J40" s="478">
        <v>5</v>
      </c>
      <c r="K40" s="478">
        <v>10</v>
      </c>
      <c r="L40" s="477">
        <v>5</v>
      </c>
      <c r="M40" s="476">
        <v>5</v>
      </c>
    </row>
    <row r="41" spans="2:16">
      <c r="B41" s="475"/>
      <c r="C41" s="477">
        <v>8</v>
      </c>
      <c r="D41" s="477">
        <v>8</v>
      </c>
      <c r="E41" s="477">
        <v>24</v>
      </c>
      <c r="F41" s="477">
        <v>24</v>
      </c>
      <c r="G41" s="477">
        <v>8</v>
      </c>
      <c r="H41" s="477">
        <v>8</v>
      </c>
      <c r="I41" s="477">
        <v>10.5</v>
      </c>
      <c r="J41" s="478">
        <v>12</v>
      </c>
      <c r="K41" s="478">
        <v>24</v>
      </c>
      <c r="L41" s="477">
        <v>24</v>
      </c>
      <c r="M41" s="477">
        <v>12</v>
      </c>
    </row>
    <row r="43" spans="2:16">
      <c r="B43" s="868"/>
      <c r="C43" s="869"/>
      <c r="D43" s="869"/>
      <c r="E43" s="869"/>
      <c r="F43" s="869"/>
      <c r="G43" s="869"/>
      <c r="H43" s="869"/>
      <c r="I43" s="869"/>
      <c r="J43" s="869"/>
      <c r="K43" s="869"/>
      <c r="L43" s="869"/>
      <c r="M43" s="869"/>
      <c r="N43" s="869"/>
      <c r="O43" s="870"/>
    </row>
    <row r="44" spans="2:16">
      <c r="B44" s="196"/>
      <c r="C44" s="217" t="s">
        <v>34</v>
      </c>
      <c r="D44" s="217" t="s">
        <v>42</v>
      </c>
      <c r="E44" s="217" t="s">
        <v>520</v>
      </c>
      <c r="F44" s="217" t="s">
        <v>32</v>
      </c>
      <c r="G44" s="217" t="s">
        <v>35</v>
      </c>
      <c r="H44" s="217" t="s">
        <v>33</v>
      </c>
      <c r="I44" s="217" t="s">
        <v>41</v>
      </c>
      <c r="J44" s="217" t="s">
        <v>531</v>
      </c>
      <c r="K44" s="217" t="s">
        <v>530</v>
      </c>
      <c r="L44" s="217" t="s">
        <v>31</v>
      </c>
      <c r="M44" s="217" t="s">
        <v>541</v>
      </c>
      <c r="N44" s="217"/>
      <c r="O44" s="217"/>
    </row>
    <row r="45" spans="2:16">
      <c r="B45" s="196"/>
      <c r="C45" s="197" t="s">
        <v>135</v>
      </c>
      <c r="D45" s="197" t="s">
        <v>136</v>
      </c>
      <c r="E45" s="474" t="s">
        <v>521</v>
      </c>
      <c r="F45" s="197" t="s">
        <v>132</v>
      </c>
      <c r="G45" s="197" t="s">
        <v>137</v>
      </c>
      <c r="H45" s="197" t="s">
        <v>134</v>
      </c>
      <c r="I45" s="197" t="s">
        <v>138</v>
      </c>
      <c r="J45" s="197" t="s">
        <v>531</v>
      </c>
      <c r="K45" s="197" t="s">
        <v>530</v>
      </c>
      <c r="L45" s="197" t="s">
        <v>133</v>
      </c>
      <c r="M45" s="197" t="s">
        <v>541</v>
      </c>
      <c r="N45" s="197" t="s">
        <v>11</v>
      </c>
      <c r="O45" s="197" t="s">
        <v>128</v>
      </c>
    </row>
    <row r="46" spans="2:16">
      <c r="B46" s="196"/>
      <c r="C46" s="197"/>
      <c r="D46" s="197"/>
      <c r="E46" s="197"/>
      <c r="F46" s="197"/>
      <c r="G46" s="197"/>
      <c r="H46" s="197"/>
      <c r="I46" s="197"/>
      <c r="J46" s="197"/>
      <c r="K46" s="197"/>
      <c r="L46" s="197"/>
      <c r="M46" s="197"/>
      <c r="N46" s="197"/>
      <c r="O46" s="197"/>
    </row>
    <row r="47" spans="2:16">
      <c r="B47" s="214" t="s">
        <v>149</v>
      </c>
      <c r="C47" s="199">
        <v>0.61780206321521547</v>
      </c>
      <c r="D47" s="199">
        <v>0.61780206321521547</v>
      </c>
      <c r="E47" s="199">
        <v>0.6917144638660746</v>
      </c>
      <c r="F47" s="199">
        <v>0.6454972243679028</v>
      </c>
      <c r="G47" s="199">
        <v>0.6917144638660746</v>
      </c>
      <c r="H47" s="199">
        <v>0.6917144638660746</v>
      </c>
      <c r="I47" s="199">
        <v>0.96</v>
      </c>
      <c r="J47" s="199">
        <v>1.37</v>
      </c>
      <c r="K47" s="199">
        <v>0.6917144638660746</v>
      </c>
      <c r="L47" s="199">
        <v>0.99014754297667429</v>
      </c>
      <c r="M47" s="199">
        <v>1.37</v>
      </c>
      <c r="N47" s="215">
        <v>2</v>
      </c>
      <c r="O47" s="74" t="s">
        <v>181</v>
      </c>
    </row>
    <row r="48" spans="2:16">
      <c r="B48" s="214" t="s">
        <v>157</v>
      </c>
      <c r="C48" s="199">
        <v>1.7298457770026032</v>
      </c>
      <c r="D48" s="199">
        <v>1.7298457770026032</v>
      </c>
      <c r="E48" s="199">
        <v>1.9368004988250087</v>
      </c>
      <c r="F48" s="199">
        <v>1.7960530202677489</v>
      </c>
      <c r="G48" s="199">
        <v>1.9368004988250087</v>
      </c>
      <c r="H48" s="199">
        <v>1.9368004988250087</v>
      </c>
      <c r="I48" s="199">
        <v>2.77</v>
      </c>
      <c r="J48" s="199">
        <v>4.08</v>
      </c>
      <c r="K48" s="199">
        <v>1.9368004988250087</v>
      </c>
      <c r="L48" s="199">
        <v>2.7724131203346878</v>
      </c>
      <c r="M48" s="199">
        <v>4.08</v>
      </c>
      <c r="N48" s="215">
        <v>2</v>
      </c>
      <c r="O48" s="74" t="s">
        <v>182</v>
      </c>
    </row>
    <row r="49" spans="2:15">
      <c r="B49" s="214" t="s">
        <v>165</v>
      </c>
      <c r="C49" s="199">
        <v>0.6917144638660746</v>
      </c>
      <c r="D49" s="199">
        <v>0.6917144638660746</v>
      </c>
      <c r="E49" s="199">
        <v>0.80064076902543568</v>
      </c>
      <c r="F49" s="199">
        <v>0.7142857142857143</v>
      </c>
      <c r="G49" s="199">
        <v>0.80064076902543568</v>
      </c>
      <c r="H49" s="199">
        <v>0.80064076902543568</v>
      </c>
      <c r="I49" s="199">
        <v>1.1200000000000001</v>
      </c>
      <c r="J49" s="199">
        <v>1.6</v>
      </c>
      <c r="K49" s="199">
        <v>0.80064076902543568</v>
      </c>
      <c r="L49" s="199">
        <v>1.1547005383792517</v>
      </c>
      <c r="M49" s="199">
        <v>1.6</v>
      </c>
      <c r="N49" s="218">
        <v>2</v>
      </c>
      <c r="O49" s="74" t="s">
        <v>183</v>
      </c>
    </row>
    <row r="50" spans="2:15">
      <c r="B50" s="214" t="s">
        <v>173</v>
      </c>
      <c r="C50" s="199">
        <v>1.9368004988250087</v>
      </c>
      <c r="D50" s="199">
        <v>1.9368004988250087</v>
      </c>
      <c r="E50" s="199">
        <v>2.2417941532712198</v>
      </c>
      <c r="F50" s="199">
        <v>2</v>
      </c>
      <c r="G50" s="199">
        <v>2.2417941532712198</v>
      </c>
      <c r="H50" s="199">
        <v>2.2417941532712198</v>
      </c>
      <c r="I50" s="199">
        <v>3.16</v>
      </c>
      <c r="J50" s="199">
        <v>4.47</v>
      </c>
      <c r="K50" s="199">
        <v>2.2417941532712198</v>
      </c>
      <c r="L50" s="199">
        <v>3.2331615074619044</v>
      </c>
      <c r="M50" s="199">
        <v>4.47</v>
      </c>
      <c r="N50" s="218">
        <v>2</v>
      </c>
      <c r="O50" s="74" t="s">
        <v>184</v>
      </c>
    </row>
    <row r="51" spans="2:15">
      <c r="B51" s="214" t="s">
        <v>150</v>
      </c>
      <c r="C51" s="199">
        <v>0.52057920629535348</v>
      </c>
      <c r="D51" s="199">
        <v>0.52057920629535348</v>
      </c>
      <c r="E51" s="199">
        <v>0.58321184351980426</v>
      </c>
      <c r="F51" s="199"/>
      <c r="G51" s="199">
        <v>0.58321184351980426</v>
      </c>
      <c r="H51" s="199">
        <v>0.58321184351980426</v>
      </c>
      <c r="I51" s="199">
        <v>0.82</v>
      </c>
      <c r="J51" s="199">
        <v>1.1499999999999999</v>
      </c>
      <c r="K51" s="199">
        <v>0.58321184351980426</v>
      </c>
      <c r="L51" s="199">
        <v>0.83045479853739967</v>
      </c>
      <c r="M51" s="199">
        <v>1.1499999999999999</v>
      </c>
      <c r="N51" s="215">
        <v>3</v>
      </c>
      <c r="O51" s="74" t="s">
        <v>181</v>
      </c>
    </row>
    <row r="52" spans="2:15">
      <c r="B52" s="214" t="s">
        <v>158</v>
      </c>
      <c r="C52" s="199">
        <v>1.4576217776269897</v>
      </c>
      <c r="D52" s="199">
        <v>1.4576217776269897</v>
      </c>
      <c r="E52" s="199">
        <v>1.6329931618554518</v>
      </c>
      <c r="F52" s="199"/>
      <c r="G52" s="199">
        <v>1.6329931618554518</v>
      </c>
      <c r="H52" s="199">
        <v>1.6329931618554518</v>
      </c>
      <c r="I52" s="199">
        <v>2.29</v>
      </c>
      <c r="J52" s="199">
        <v>3.33</v>
      </c>
      <c r="K52" s="199">
        <v>1.6329931618554518</v>
      </c>
      <c r="L52" s="199">
        <v>2.3252734359047191</v>
      </c>
      <c r="M52" s="199">
        <v>3.33</v>
      </c>
      <c r="N52" s="215">
        <v>3</v>
      </c>
      <c r="O52" s="74" t="s">
        <v>182</v>
      </c>
    </row>
    <row r="53" spans="2:15">
      <c r="B53" s="214" t="s">
        <v>166</v>
      </c>
      <c r="C53" s="199">
        <v>0.58321184351980426</v>
      </c>
      <c r="D53" s="199">
        <v>0.58321184351980426</v>
      </c>
      <c r="E53" s="199">
        <v>0.67419986246324204</v>
      </c>
      <c r="F53" s="199"/>
      <c r="G53" s="199">
        <v>0.67419986246324204</v>
      </c>
      <c r="H53" s="199">
        <v>0.67419986246324204</v>
      </c>
      <c r="I53" s="199">
        <v>0.95</v>
      </c>
      <c r="J53" s="199">
        <v>1.34</v>
      </c>
      <c r="K53" s="199">
        <v>0.67419986246324204</v>
      </c>
      <c r="L53" s="199">
        <v>0.96673648904566356</v>
      </c>
      <c r="M53" s="199">
        <v>1.34</v>
      </c>
      <c r="N53" s="218">
        <v>3</v>
      </c>
      <c r="O53" s="74" t="s">
        <v>183</v>
      </c>
    </row>
    <row r="54" spans="2:15">
      <c r="B54" s="214" t="s">
        <v>174</v>
      </c>
      <c r="C54" s="199">
        <v>1.6329931618554518</v>
      </c>
      <c r="D54" s="199">
        <v>1.6329931618554518</v>
      </c>
      <c r="E54" s="199">
        <v>1.8877596148970777</v>
      </c>
      <c r="F54" s="199"/>
      <c r="G54" s="199">
        <v>1.8877596148970777</v>
      </c>
      <c r="H54" s="199">
        <v>1.8877596148970777</v>
      </c>
      <c r="I54" s="199">
        <v>1.66</v>
      </c>
      <c r="J54" s="199">
        <v>3.78</v>
      </c>
      <c r="K54" s="199">
        <v>1.8877596148970777</v>
      </c>
      <c r="L54" s="199">
        <v>2.7068621693278576</v>
      </c>
      <c r="M54" s="199">
        <v>3.78</v>
      </c>
      <c r="N54" s="218">
        <v>3</v>
      </c>
      <c r="O54" s="74" t="s">
        <v>184</v>
      </c>
    </row>
    <row r="55" spans="2:15">
      <c r="B55" s="214" t="s">
        <v>151</v>
      </c>
      <c r="C55" s="199">
        <v>0.45834924851410563</v>
      </c>
      <c r="D55" s="199">
        <v>0.45834924851410563</v>
      </c>
      <c r="E55" s="199">
        <v>0.5129891760425771</v>
      </c>
      <c r="F55" s="199">
        <v>0.45883146774112349</v>
      </c>
      <c r="G55" s="199">
        <v>0.5129891760425771</v>
      </c>
      <c r="H55" s="199">
        <v>0.5129891760425771</v>
      </c>
      <c r="I55" s="199">
        <v>0.72</v>
      </c>
      <c r="J55" s="199">
        <v>1.02</v>
      </c>
      <c r="K55" s="199">
        <v>0.5129891760425771</v>
      </c>
      <c r="L55" s="199">
        <v>0.72932495748947279</v>
      </c>
      <c r="M55" s="199">
        <v>1.02</v>
      </c>
      <c r="N55" s="215">
        <v>4</v>
      </c>
      <c r="O55" s="74" t="s">
        <v>181</v>
      </c>
    </row>
    <row r="56" spans="2:15">
      <c r="B56" s="214" t="s">
        <v>159</v>
      </c>
      <c r="C56" s="199">
        <v>1.2833778958394957</v>
      </c>
      <c r="D56" s="199">
        <v>1.2833778958394957</v>
      </c>
      <c r="E56" s="199">
        <v>1.4363696929192158</v>
      </c>
      <c r="F56" s="199">
        <v>1.270001270001905</v>
      </c>
      <c r="G56" s="199">
        <v>1.4363696929192158</v>
      </c>
      <c r="H56" s="199">
        <v>1.4363696929192158</v>
      </c>
      <c r="I56" s="199">
        <v>2</v>
      </c>
      <c r="J56" s="199">
        <v>3.89</v>
      </c>
      <c r="K56" s="199">
        <v>1.4363696929192158</v>
      </c>
      <c r="L56" s="199">
        <v>2.0421098809705236</v>
      </c>
      <c r="M56" s="199">
        <v>3.89</v>
      </c>
      <c r="N56" s="215">
        <v>4</v>
      </c>
      <c r="O56" s="74" t="s">
        <v>182</v>
      </c>
    </row>
    <row r="57" spans="2:15">
      <c r="B57" s="214" t="s">
        <v>167</v>
      </c>
      <c r="C57" s="199">
        <v>0.5129891760425771</v>
      </c>
      <c r="D57" s="199">
        <v>0.5129891760425771</v>
      </c>
      <c r="E57" s="199">
        <v>0.59234887775909228</v>
      </c>
      <c r="F57" s="199">
        <v>0.50767308256680954</v>
      </c>
      <c r="G57" s="199">
        <v>0.59234887775909228</v>
      </c>
      <c r="H57" s="199">
        <v>0.59234887775909228</v>
      </c>
      <c r="I57" s="199">
        <v>0.84</v>
      </c>
      <c r="J57" s="199">
        <v>1.18</v>
      </c>
      <c r="K57" s="199">
        <v>0.59234887775909228</v>
      </c>
      <c r="L57" s="199">
        <v>0.84818892967997084</v>
      </c>
      <c r="M57" s="199">
        <v>1.18</v>
      </c>
      <c r="N57" s="218">
        <v>4</v>
      </c>
      <c r="O57" s="74" t="s">
        <v>183</v>
      </c>
    </row>
    <row r="58" spans="2:15">
      <c r="B58" s="214" t="s">
        <v>175</v>
      </c>
      <c r="C58" s="199">
        <v>1.4363696929192158</v>
      </c>
      <c r="D58" s="199">
        <v>1.4363696929192158</v>
      </c>
      <c r="E58" s="199">
        <v>1.6585768577254583</v>
      </c>
      <c r="F58" s="199">
        <v>1.4142135623730949</v>
      </c>
      <c r="G58" s="199">
        <v>1.6585768577254583</v>
      </c>
      <c r="H58" s="199">
        <v>1.6585768577254583</v>
      </c>
      <c r="I58" s="199">
        <v>2.36</v>
      </c>
      <c r="J58" s="199">
        <v>3.33</v>
      </c>
      <c r="K58" s="199">
        <v>1.6585768577254583</v>
      </c>
      <c r="L58" s="199">
        <v>2.3749290031039183</v>
      </c>
      <c r="M58" s="199">
        <v>3.33</v>
      </c>
      <c r="N58" s="218">
        <v>4</v>
      </c>
      <c r="O58" s="74" t="s">
        <v>184</v>
      </c>
    </row>
    <row r="59" spans="2:15">
      <c r="B59" s="214" t="s">
        <v>152</v>
      </c>
      <c r="C59" s="199">
        <v>0.41415768328129116</v>
      </c>
      <c r="D59" s="199">
        <v>0.41415768328129116</v>
      </c>
      <c r="E59" s="199">
        <v>0.46373889576016825</v>
      </c>
      <c r="F59" s="199"/>
      <c r="G59" s="199">
        <v>0.46373889576016825</v>
      </c>
      <c r="H59" s="199">
        <v>0.46373889576016825</v>
      </c>
      <c r="I59" s="199">
        <v>0.65</v>
      </c>
      <c r="J59" s="199">
        <v>0.92</v>
      </c>
      <c r="K59" s="199">
        <v>0.46373889576016825</v>
      </c>
      <c r="L59" s="199">
        <v>0.65938047339578709</v>
      </c>
      <c r="M59" s="199">
        <v>0.92</v>
      </c>
      <c r="N59" s="215">
        <v>5</v>
      </c>
      <c r="O59" s="74" t="s">
        <v>181</v>
      </c>
    </row>
    <row r="60" spans="2:15">
      <c r="B60" s="214" t="s">
        <v>160</v>
      </c>
      <c r="C60" s="199">
        <v>1.1596415131876152</v>
      </c>
      <c r="D60" s="199">
        <v>1.1596415131876152</v>
      </c>
      <c r="E60" s="199">
        <v>1.298468908128471</v>
      </c>
      <c r="F60" s="199"/>
      <c r="G60" s="199">
        <v>1.298468908128471</v>
      </c>
      <c r="H60" s="199">
        <v>1.298468908128471</v>
      </c>
      <c r="I60" s="199">
        <v>1.83</v>
      </c>
      <c r="J60" s="199">
        <v>2.58</v>
      </c>
      <c r="K60" s="199">
        <v>1.298468908128471</v>
      </c>
      <c r="L60" s="199">
        <v>1.8462653255082038</v>
      </c>
      <c r="M60" s="199">
        <v>2.58</v>
      </c>
      <c r="N60" s="218">
        <v>5</v>
      </c>
      <c r="O60" s="74" t="s">
        <v>182</v>
      </c>
    </row>
    <row r="61" spans="2:15">
      <c r="B61" s="214" t="s">
        <v>168</v>
      </c>
      <c r="C61" s="199">
        <v>0.46373889576016825</v>
      </c>
      <c r="D61" s="199">
        <v>0.46373889576016825</v>
      </c>
      <c r="E61" s="199">
        <v>0.53528772757218923</v>
      </c>
      <c r="F61" s="199"/>
      <c r="G61" s="199">
        <v>0.53528772757218923</v>
      </c>
      <c r="H61" s="199">
        <v>0.53528772757218923</v>
      </c>
      <c r="I61" s="199">
        <v>0.76</v>
      </c>
      <c r="J61" s="199">
        <v>1.07</v>
      </c>
      <c r="K61" s="199">
        <v>0.53528772757218923</v>
      </c>
      <c r="L61" s="199">
        <v>0.76471911290187256</v>
      </c>
      <c r="M61" s="199">
        <v>1.07</v>
      </c>
      <c r="N61" s="218">
        <v>5</v>
      </c>
      <c r="O61" s="74" t="s">
        <v>183</v>
      </c>
    </row>
    <row r="62" spans="2:15">
      <c r="B62" s="214" t="s">
        <v>176</v>
      </c>
      <c r="C62" s="199">
        <v>1.298468908128471</v>
      </c>
      <c r="D62" s="199">
        <v>1.298468908128471</v>
      </c>
      <c r="E62" s="199">
        <v>1.4988056372021297</v>
      </c>
      <c r="F62" s="199"/>
      <c r="G62" s="199">
        <v>1.4988056372021297</v>
      </c>
      <c r="H62" s="199">
        <v>1.4988056372021297</v>
      </c>
      <c r="I62" s="199">
        <v>2.13</v>
      </c>
      <c r="J62" s="199">
        <v>3.02</v>
      </c>
      <c r="K62" s="199">
        <v>1.4988056372021297</v>
      </c>
      <c r="L62" s="199">
        <v>2.141213516125243</v>
      </c>
      <c r="M62" s="199">
        <v>3.02</v>
      </c>
      <c r="N62" s="218">
        <v>5</v>
      </c>
      <c r="O62" s="74" t="s">
        <v>184</v>
      </c>
    </row>
    <row r="63" spans="2:15">
      <c r="B63" s="214" t="s">
        <v>153</v>
      </c>
      <c r="C63" s="199">
        <v>0.38096965887972972</v>
      </c>
      <c r="D63" s="199">
        <v>0.38096965887972972</v>
      </c>
      <c r="E63" s="199">
        <v>0.426014322842305</v>
      </c>
      <c r="F63" s="199">
        <v>0.37529331252040077</v>
      </c>
      <c r="G63" s="199">
        <v>0.426014322842305</v>
      </c>
      <c r="H63" s="199">
        <v>0.426014322842305</v>
      </c>
      <c r="I63" s="199">
        <v>0.6</v>
      </c>
      <c r="J63" s="199">
        <v>0.85</v>
      </c>
      <c r="K63" s="199">
        <v>0.426014322842305</v>
      </c>
      <c r="L63" s="199">
        <v>0.60522753266880247</v>
      </c>
      <c r="M63" s="199">
        <v>0.85</v>
      </c>
      <c r="N63" s="215">
        <v>6</v>
      </c>
      <c r="O63" s="74" t="s">
        <v>181</v>
      </c>
    </row>
    <row r="64" spans="2:15">
      <c r="B64" s="214" t="s">
        <v>161</v>
      </c>
      <c r="C64" s="199">
        <v>1.0667150448632432</v>
      </c>
      <c r="D64" s="199">
        <v>1.0667150448632432</v>
      </c>
      <c r="E64" s="199">
        <v>1.192840103958454</v>
      </c>
      <c r="F64" s="199">
        <v>1.0425720702853738</v>
      </c>
      <c r="G64" s="199">
        <v>1.192840103958454</v>
      </c>
      <c r="H64" s="199">
        <v>1.192840103958454</v>
      </c>
      <c r="I64" s="199">
        <v>1.67</v>
      </c>
      <c r="J64" s="199">
        <v>2.36</v>
      </c>
      <c r="K64" s="199">
        <v>1.192840103958454</v>
      </c>
      <c r="L64" s="199">
        <v>1.6946370914726467</v>
      </c>
      <c r="M64" s="199">
        <v>2.36</v>
      </c>
      <c r="N64" s="218">
        <v>6</v>
      </c>
      <c r="O64" s="74" t="s">
        <v>182</v>
      </c>
    </row>
    <row r="65" spans="2:15">
      <c r="B65" s="214" t="s">
        <v>169</v>
      </c>
      <c r="C65" s="199">
        <v>0.426014322842305</v>
      </c>
      <c r="D65" s="199">
        <v>0.426014322842305</v>
      </c>
      <c r="E65" s="199">
        <v>0.49147318718299043</v>
      </c>
      <c r="F65" s="199">
        <v>0.41522739926869984</v>
      </c>
      <c r="G65" s="199">
        <v>0.49147318718299043</v>
      </c>
      <c r="H65" s="199">
        <v>0.49147318718299043</v>
      </c>
      <c r="I65" s="199">
        <v>0.7</v>
      </c>
      <c r="J65" s="199">
        <v>0.98</v>
      </c>
      <c r="K65" s="199">
        <v>0.49147318718299043</v>
      </c>
      <c r="L65" s="199">
        <v>0.70014004201400493</v>
      </c>
      <c r="M65" s="199">
        <v>0.98</v>
      </c>
      <c r="N65" s="218">
        <v>6</v>
      </c>
      <c r="O65" s="74" t="s">
        <v>183</v>
      </c>
    </row>
    <row r="66" spans="2:15">
      <c r="B66" s="214" t="s">
        <v>177</v>
      </c>
      <c r="C66" s="199">
        <v>1.192840103958454</v>
      </c>
      <c r="D66" s="199">
        <v>1.192840103958454</v>
      </c>
      <c r="E66" s="199">
        <v>1.3761249241123732</v>
      </c>
      <c r="F66" s="199">
        <v>1.1547005383792517</v>
      </c>
      <c r="G66" s="199">
        <v>1.3761249241123732</v>
      </c>
      <c r="H66" s="199">
        <v>1.3761249241123732</v>
      </c>
      <c r="I66" s="199">
        <v>1.92</v>
      </c>
      <c r="J66" s="199">
        <v>2.77</v>
      </c>
      <c r="K66" s="199">
        <v>1.3761249241123732</v>
      </c>
      <c r="L66" s="199">
        <v>1.9603921176392136</v>
      </c>
      <c r="M66" s="199">
        <v>2.77</v>
      </c>
      <c r="N66" s="218">
        <v>6</v>
      </c>
      <c r="O66" s="74" t="s">
        <v>184</v>
      </c>
    </row>
    <row r="67" spans="2:15">
      <c r="B67" s="214" t="s">
        <v>154</v>
      </c>
      <c r="C67" s="199"/>
      <c r="D67" s="199"/>
      <c r="E67" s="199">
        <v>0.39652579285907202</v>
      </c>
      <c r="F67" s="199"/>
      <c r="G67" s="199">
        <v>0.39652579285907202</v>
      </c>
      <c r="H67" s="199">
        <v>0.39652579285907202</v>
      </c>
      <c r="I67" s="199">
        <v>0.56000000000000005</v>
      </c>
      <c r="J67" s="199">
        <v>0.79</v>
      </c>
      <c r="K67" s="199">
        <v>0.39652579285907202</v>
      </c>
      <c r="L67" s="199">
        <v>0.56254395046301198</v>
      </c>
      <c r="M67" s="199">
        <v>0.79</v>
      </c>
      <c r="N67" s="215">
        <v>7</v>
      </c>
      <c r="O67" s="74" t="s">
        <v>181</v>
      </c>
    </row>
    <row r="68" spans="2:15">
      <c r="B68" s="214" t="s">
        <v>162</v>
      </c>
      <c r="C68" s="199"/>
      <c r="D68" s="199"/>
      <c r="E68" s="199">
        <v>1.1102722200054016</v>
      </c>
      <c r="F68" s="199"/>
      <c r="G68" s="199">
        <v>1.1102722200054016</v>
      </c>
      <c r="H68" s="199">
        <v>1.1102722200054016</v>
      </c>
      <c r="I68" s="199">
        <v>1.56</v>
      </c>
      <c r="J68" s="199">
        <v>2.2400000000000002</v>
      </c>
      <c r="K68" s="199">
        <v>1.1102722200054016</v>
      </c>
      <c r="L68" s="199">
        <v>1.5751230612964335</v>
      </c>
      <c r="M68" s="199">
        <v>2.2400000000000002</v>
      </c>
      <c r="N68" s="218">
        <v>7</v>
      </c>
      <c r="O68" s="74" t="s">
        <v>182</v>
      </c>
    </row>
    <row r="69" spans="2:15">
      <c r="B69" s="214" t="s">
        <v>170</v>
      </c>
      <c r="C69" s="199"/>
      <c r="D69" s="199"/>
      <c r="E69" s="199">
        <v>0.4573893537463482</v>
      </c>
      <c r="F69" s="199"/>
      <c r="G69" s="199">
        <v>0.4573893537463482</v>
      </c>
      <c r="H69" s="199">
        <v>0.4573893537463482</v>
      </c>
      <c r="I69" s="199">
        <v>0.65</v>
      </c>
      <c r="J69" s="199">
        <v>0.91</v>
      </c>
      <c r="K69" s="199">
        <v>0.4573893537463482</v>
      </c>
      <c r="L69" s="199">
        <v>0.65094455490411929</v>
      </c>
      <c r="M69" s="199">
        <v>0.91</v>
      </c>
      <c r="N69" s="218">
        <v>7</v>
      </c>
      <c r="O69" s="74" t="s">
        <v>183</v>
      </c>
    </row>
    <row r="70" spans="2:15">
      <c r="B70" s="214" t="s">
        <v>178</v>
      </c>
      <c r="C70" s="199"/>
      <c r="D70" s="199"/>
      <c r="E70" s="199">
        <v>1.2806901904897749</v>
      </c>
      <c r="F70" s="199"/>
      <c r="G70" s="199">
        <v>1.2806901904897749</v>
      </c>
      <c r="H70" s="199">
        <v>1.2806901904897749</v>
      </c>
      <c r="I70" s="199">
        <v>1.8</v>
      </c>
      <c r="J70" s="199">
        <v>2.58</v>
      </c>
      <c r="K70" s="199">
        <v>1.2806901904897749</v>
      </c>
      <c r="L70" s="199">
        <v>1.8226447537315338</v>
      </c>
      <c r="M70" s="199">
        <v>2.58</v>
      </c>
      <c r="N70" s="218">
        <v>7</v>
      </c>
      <c r="O70" s="74" t="s">
        <v>184</v>
      </c>
    </row>
    <row r="71" spans="2:15">
      <c r="B71" s="214" t="s">
        <v>155</v>
      </c>
      <c r="C71" s="199"/>
      <c r="D71" s="199"/>
      <c r="E71" s="199">
        <v>0.37241946136192933</v>
      </c>
      <c r="F71" s="199"/>
      <c r="G71" s="199">
        <v>0.37241946136192933</v>
      </c>
      <c r="H71" s="199">
        <v>0.37241946136192933</v>
      </c>
      <c r="I71" s="199">
        <v>0.52</v>
      </c>
      <c r="J71" s="199">
        <v>0.74</v>
      </c>
      <c r="K71" s="199">
        <v>0.37241946136192933</v>
      </c>
      <c r="L71" s="199">
        <v>0.52851642258168996</v>
      </c>
      <c r="M71" s="199">
        <v>0.74</v>
      </c>
      <c r="N71" s="215">
        <v>8</v>
      </c>
      <c r="O71" s="74" t="s">
        <v>181</v>
      </c>
    </row>
    <row r="72" spans="2:15">
      <c r="B72" s="214" t="s">
        <v>163</v>
      </c>
      <c r="C72" s="199"/>
      <c r="D72" s="199"/>
      <c r="E72" s="199">
        <v>1.0427744918134021</v>
      </c>
      <c r="F72" s="199"/>
      <c r="G72" s="199">
        <v>1.0427744918134021</v>
      </c>
      <c r="H72" s="199">
        <v>1.0427744918134021</v>
      </c>
      <c r="I72" s="199">
        <v>1.46</v>
      </c>
      <c r="J72" s="199">
        <v>1.52</v>
      </c>
      <c r="K72" s="199">
        <v>1.0427744918134021</v>
      </c>
      <c r="L72" s="199">
        <v>1.4798459832287318</v>
      </c>
      <c r="M72" s="199">
        <v>1.52</v>
      </c>
      <c r="N72" s="218">
        <v>8</v>
      </c>
      <c r="O72" s="74" t="s">
        <v>182</v>
      </c>
    </row>
    <row r="73" spans="2:15">
      <c r="B73" s="214" t="s">
        <v>171</v>
      </c>
      <c r="C73" s="199"/>
      <c r="D73" s="199"/>
      <c r="E73" s="199">
        <v>0.42953677958755776</v>
      </c>
      <c r="F73" s="199"/>
      <c r="G73" s="199">
        <v>0.42953677958755776</v>
      </c>
      <c r="H73" s="199">
        <v>0.42953677958755776</v>
      </c>
      <c r="I73" s="199">
        <v>0.61</v>
      </c>
      <c r="J73" s="199">
        <v>0.86</v>
      </c>
      <c r="K73" s="199">
        <v>0.42953677958755776</v>
      </c>
      <c r="L73" s="199">
        <v>0.61084722178152606</v>
      </c>
      <c r="M73" s="199">
        <v>0.86</v>
      </c>
      <c r="N73" s="218">
        <v>8</v>
      </c>
      <c r="O73" s="74" t="s">
        <v>183</v>
      </c>
    </row>
    <row r="74" spans="2:15">
      <c r="B74" s="214" t="s">
        <v>179</v>
      </c>
      <c r="C74" s="199"/>
      <c r="D74" s="199"/>
      <c r="E74" s="199">
        <v>1.2027029828451616</v>
      </c>
      <c r="F74" s="199"/>
      <c r="G74" s="199">
        <v>1.2027029828451616</v>
      </c>
      <c r="H74" s="199">
        <v>1.2027029828451616</v>
      </c>
      <c r="I74" s="199">
        <v>1.69</v>
      </c>
      <c r="J74" s="199">
        <v>2.4300000000000002</v>
      </c>
      <c r="K74" s="199">
        <v>1.2027029828451616</v>
      </c>
      <c r="L74" s="199">
        <v>1.7103722209882728</v>
      </c>
      <c r="M74" s="199">
        <v>2.4300000000000002</v>
      </c>
      <c r="N74" s="218">
        <v>8</v>
      </c>
      <c r="O74" s="74" t="s">
        <v>184</v>
      </c>
    </row>
    <row r="75" spans="2:15">
      <c r="B75" s="214" t="s">
        <v>156</v>
      </c>
      <c r="C75" s="199"/>
      <c r="D75" s="199"/>
      <c r="E75" s="199">
        <v>0.35201667190438141</v>
      </c>
      <c r="F75" s="199"/>
      <c r="G75" s="199">
        <v>0.35201667190438141</v>
      </c>
      <c r="H75" s="199">
        <v>0.35201667190438141</v>
      </c>
      <c r="I75" s="199">
        <v>0.5</v>
      </c>
      <c r="J75" s="199">
        <v>0.7</v>
      </c>
      <c r="K75" s="199">
        <v>0.35201667190438141</v>
      </c>
      <c r="L75" s="199">
        <v>0.49937616943892232</v>
      </c>
      <c r="M75" s="199">
        <v>0.7</v>
      </c>
      <c r="N75" s="215">
        <v>9</v>
      </c>
      <c r="O75" s="74" t="s">
        <v>181</v>
      </c>
    </row>
    <row r="76" spans="2:15">
      <c r="B76" s="214" t="s">
        <v>164</v>
      </c>
      <c r="C76" s="199"/>
      <c r="D76" s="199"/>
      <c r="E76" s="199">
        <v>0.98564668133226785</v>
      </c>
      <c r="F76" s="199"/>
      <c r="G76" s="199">
        <v>0.98564668133226785</v>
      </c>
      <c r="H76" s="199">
        <v>0.98564668133226785</v>
      </c>
      <c r="I76" s="199">
        <v>1.37</v>
      </c>
      <c r="J76" s="199">
        <v>1.96</v>
      </c>
      <c r="K76" s="199">
        <v>0.98564668133226785</v>
      </c>
      <c r="L76" s="199">
        <v>1.3982532744289824</v>
      </c>
      <c r="M76" s="199">
        <v>1.96</v>
      </c>
      <c r="N76" s="218">
        <v>9</v>
      </c>
      <c r="O76" s="74" t="s">
        <v>182</v>
      </c>
    </row>
    <row r="77" spans="2:15">
      <c r="B77" s="214" t="s">
        <v>172</v>
      </c>
      <c r="C77" s="199"/>
      <c r="D77" s="199"/>
      <c r="E77" s="199">
        <v>0.40588747923409946</v>
      </c>
      <c r="F77" s="199"/>
      <c r="G77" s="199">
        <v>0.40588747923409946</v>
      </c>
      <c r="H77" s="199">
        <v>0.40588747923409946</v>
      </c>
      <c r="I77" s="199">
        <v>0.56999999999999995</v>
      </c>
      <c r="J77" s="199">
        <v>0.81</v>
      </c>
      <c r="K77" s="199">
        <v>0.40588747923409946</v>
      </c>
      <c r="L77" s="199">
        <v>0.57735026918962584</v>
      </c>
      <c r="M77" s="199">
        <v>0.81</v>
      </c>
      <c r="N77" s="218">
        <v>9</v>
      </c>
      <c r="O77" s="74" t="s">
        <v>183</v>
      </c>
    </row>
    <row r="78" spans="2:15">
      <c r="B78" s="214" t="s">
        <v>180</v>
      </c>
      <c r="C78" s="199"/>
      <c r="D78" s="199"/>
      <c r="E78" s="199">
        <v>1.1364849418554783</v>
      </c>
      <c r="F78" s="199"/>
      <c r="G78" s="199">
        <v>1.1364849418554783</v>
      </c>
      <c r="H78" s="199">
        <v>1.1364849418554783</v>
      </c>
      <c r="I78" s="199">
        <v>1.6</v>
      </c>
      <c r="J78" s="199">
        <v>2.29</v>
      </c>
      <c r="K78" s="199">
        <v>1.1364849418554783</v>
      </c>
      <c r="L78" s="199">
        <v>1.6165807537309522</v>
      </c>
      <c r="M78" s="199">
        <v>2.29</v>
      </c>
      <c r="N78" s="218">
        <v>9</v>
      </c>
      <c r="O78" s="74" t="s">
        <v>184</v>
      </c>
    </row>
    <row r="79" spans="2:15">
      <c r="B79" s="214" t="s">
        <v>145</v>
      </c>
      <c r="C79" s="199"/>
      <c r="D79" s="199"/>
      <c r="E79" s="199">
        <v>0.33482476509121251</v>
      </c>
      <c r="F79" s="199"/>
      <c r="G79" s="199">
        <v>0.33482476509121251</v>
      </c>
      <c r="H79" s="199">
        <v>0.33482476509121251</v>
      </c>
      <c r="I79" s="199">
        <v>0.47</v>
      </c>
      <c r="J79" s="199">
        <v>0.67</v>
      </c>
      <c r="K79" s="199">
        <v>0.33482476509121251</v>
      </c>
      <c r="L79" s="199">
        <v>0.47457899787624952</v>
      </c>
      <c r="M79" s="199">
        <v>0.67</v>
      </c>
      <c r="N79" s="215">
        <v>10</v>
      </c>
      <c r="O79" s="74" t="s">
        <v>181</v>
      </c>
    </row>
    <row r="80" spans="2:15">
      <c r="B80" s="214" t="s">
        <v>146</v>
      </c>
      <c r="C80" s="199"/>
      <c r="D80" s="199"/>
      <c r="E80" s="199">
        <v>0.93750934225539495</v>
      </c>
      <c r="F80" s="199"/>
      <c r="G80" s="199">
        <v>0.93750934225539495</v>
      </c>
      <c r="H80" s="199">
        <v>0.93750934225539495</v>
      </c>
      <c r="I80" s="199">
        <v>1.31</v>
      </c>
      <c r="J80" s="199">
        <v>1.3</v>
      </c>
      <c r="K80" s="199">
        <v>0.93750934225539495</v>
      </c>
      <c r="L80" s="199">
        <v>1.3288211940534986</v>
      </c>
      <c r="M80" s="199">
        <v>1.3</v>
      </c>
      <c r="N80" s="218">
        <v>10</v>
      </c>
      <c r="O80" s="74" t="s">
        <v>182</v>
      </c>
    </row>
    <row r="81" spans="2:15">
      <c r="B81" s="214" t="s">
        <v>147</v>
      </c>
      <c r="C81" s="199"/>
      <c r="D81" s="199"/>
      <c r="E81" s="199">
        <v>0.38604571824109146</v>
      </c>
      <c r="F81" s="199"/>
      <c r="G81" s="199">
        <v>0.38604571824109146</v>
      </c>
      <c r="H81" s="199">
        <v>0.38604571824109146</v>
      </c>
      <c r="I81" s="199">
        <v>0.55000000000000004</v>
      </c>
      <c r="J81" s="199">
        <v>0.77</v>
      </c>
      <c r="K81" s="199">
        <v>0.38604571824109146</v>
      </c>
      <c r="L81" s="199">
        <v>0.54882129994845175</v>
      </c>
      <c r="M81" s="199">
        <v>0.77</v>
      </c>
      <c r="N81" s="218">
        <v>10</v>
      </c>
      <c r="O81" s="74" t="s">
        <v>183</v>
      </c>
    </row>
    <row r="82" spans="2:15">
      <c r="B82" s="214" t="s">
        <v>148</v>
      </c>
      <c r="C82" s="199"/>
      <c r="D82" s="199"/>
      <c r="E82" s="199">
        <v>1.0809280110750561</v>
      </c>
      <c r="F82" s="199"/>
      <c r="G82" s="199">
        <v>1.0809280110750561</v>
      </c>
      <c r="H82" s="199">
        <v>1.0809280110750561</v>
      </c>
      <c r="I82" s="199">
        <v>1.52</v>
      </c>
      <c r="J82" s="199">
        <v>2.1800000000000002</v>
      </c>
      <c r="K82" s="199">
        <v>1.0809280110750561</v>
      </c>
      <c r="L82" s="199">
        <v>1.5366996398556647</v>
      </c>
      <c r="M82" s="199">
        <v>2.1800000000000002</v>
      </c>
      <c r="N82" s="218">
        <v>10</v>
      </c>
      <c r="O82" s="74" t="s">
        <v>184</v>
      </c>
    </row>
    <row r="85" spans="2:15">
      <c r="B85" s="871"/>
      <c r="C85" s="872"/>
      <c r="D85" s="872"/>
      <c r="E85" s="872"/>
      <c r="F85" s="872"/>
      <c r="G85" s="872"/>
      <c r="H85" s="872"/>
      <c r="I85" s="872"/>
      <c r="J85" s="872"/>
      <c r="K85" s="872"/>
      <c r="L85" s="872"/>
      <c r="M85" s="872"/>
      <c r="N85" s="872"/>
      <c r="O85" s="873"/>
    </row>
    <row r="86" spans="2:15">
      <c r="B86" s="196"/>
      <c r="C86" s="217" t="s">
        <v>34</v>
      </c>
      <c r="D86" s="217" t="s">
        <v>42</v>
      </c>
      <c r="E86" s="217" t="s">
        <v>520</v>
      </c>
      <c r="F86" s="217" t="s">
        <v>32</v>
      </c>
      <c r="G86" s="217" t="s">
        <v>35</v>
      </c>
      <c r="H86" s="217" t="s">
        <v>33</v>
      </c>
      <c r="I86" s="217" t="s">
        <v>41</v>
      </c>
      <c r="J86" s="217" t="s">
        <v>531</v>
      </c>
      <c r="K86" s="217" t="s">
        <v>530</v>
      </c>
      <c r="L86" s="217" t="s">
        <v>31</v>
      </c>
      <c r="M86" s="217" t="s">
        <v>541</v>
      </c>
      <c r="N86" s="217"/>
      <c r="O86" s="217"/>
    </row>
    <row r="87" spans="2:15">
      <c r="B87" s="196"/>
      <c r="C87" s="197" t="s">
        <v>135</v>
      </c>
      <c r="D87" s="197" t="s">
        <v>136</v>
      </c>
      <c r="E87" s="474" t="s">
        <v>521</v>
      </c>
      <c r="F87" s="197" t="s">
        <v>132</v>
      </c>
      <c r="G87" s="197" t="s">
        <v>137</v>
      </c>
      <c r="H87" s="197" t="s">
        <v>134</v>
      </c>
      <c r="I87" s="197" t="s">
        <v>138</v>
      </c>
      <c r="J87" s="197" t="s">
        <v>531</v>
      </c>
      <c r="K87" s="197" t="s">
        <v>530</v>
      </c>
      <c r="L87" s="197" t="s">
        <v>133</v>
      </c>
      <c r="M87" s="197" t="s">
        <v>541</v>
      </c>
      <c r="N87" s="197" t="s">
        <v>11</v>
      </c>
      <c r="O87" s="197" t="s">
        <v>128</v>
      </c>
    </row>
    <row r="88" spans="2:15">
      <c r="B88" s="196"/>
      <c r="C88" s="197"/>
      <c r="D88" s="197"/>
      <c r="E88" s="197"/>
      <c r="F88" s="197"/>
      <c r="G88" s="197"/>
      <c r="H88" s="197"/>
      <c r="I88" s="197"/>
      <c r="J88" s="197"/>
      <c r="K88" s="197"/>
      <c r="L88" s="197"/>
      <c r="M88" s="197"/>
      <c r="N88" s="197"/>
      <c r="O88" s="197"/>
    </row>
    <row r="89" spans="2:15">
      <c r="B89" s="214" t="s">
        <v>185</v>
      </c>
      <c r="C89" s="199">
        <v>1.7179113807746667</v>
      </c>
      <c r="D89" s="199">
        <v>1.7179113807746667</v>
      </c>
      <c r="E89" s="199">
        <v>1.7179113807746667</v>
      </c>
      <c r="F89" s="199">
        <v>1.7392527130926085</v>
      </c>
      <c r="G89" s="199">
        <v>1.7179113807746667</v>
      </c>
      <c r="H89" s="199">
        <v>1.7179113807746667</v>
      </c>
      <c r="I89" s="199">
        <v>1.98</v>
      </c>
      <c r="J89" s="199">
        <v>2.75</v>
      </c>
      <c r="K89" s="199">
        <v>1.7179113807746667</v>
      </c>
      <c r="L89" s="199">
        <v>1.9445436482630059</v>
      </c>
      <c r="M89" s="199">
        <v>2.75</v>
      </c>
      <c r="N89" s="215">
        <v>2</v>
      </c>
      <c r="O89" s="74" t="s">
        <v>204</v>
      </c>
    </row>
    <row r="90" spans="2:15">
      <c r="B90" s="214" t="s">
        <v>186</v>
      </c>
      <c r="C90" s="199">
        <v>1.4320780207890627</v>
      </c>
      <c r="D90" s="199">
        <v>1.4320780207890627</v>
      </c>
      <c r="E90" s="199">
        <v>1.4320780207890627</v>
      </c>
      <c r="F90" s="74"/>
      <c r="G90" s="69">
        <v>1.4320780207890627</v>
      </c>
      <c r="H90" s="199">
        <v>1.4320780207890627</v>
      </c>
      <c r="I90" s="199">
        <v>1.66</v>
      </c>
      <c r="J90" s="199">
        <v>2.31</v>
      </c>
      <c r="K90" s="199">
        <v>1.4320780207890627</v>
      </c>
      <c r="L90" s="199">
        <v>1.6774842736586515</v>
      </c>
      <c r="M90" s="199">
        <v>2.31</v>
      </c>
      <c r="N90" s="215">
        <v>3</v>
      </c>
      <c r="O90" s="74" t="s">
        <v>204</v>
      </c>
    </row>
    <row r="91" spans="2:15">
      <c r="B91" s="214" t="s">
        <v>187</v>
      </c>
      <c r="C91" s="199">
        <v>1.26178653628809</v>
      </c>
      <c r="D91" s="199">
        <v>1.26178653628809</v>
      </c>
      <c r="E91" s="199">
        <v>1.26178653628809</v>
      </c>
      <c r="F91" s="199">
        <v>1.2147467868233122</v>
      </c>
      <c r="G91" s="199">
        <v>1.26178653628809</v>
      </c>
      <c r="H91" s="199">
        <v>1.26178653628809</v>
      </c>
      <c r="I91" s="199">
        <v>1.4586499149789456</v>
      </c>
      <c r="J91" s="199">
        <v>2.04</v>
      </c>
      <c r="K91" s="199">
        <v>1.26178653628809</v>
      </c>
      <c r="L91" s="199">
        <v>1.4969103983674978</v>
      </c>
      <c r="M91" s="199">
        <v>2.04</v>
      </c>
      <c r="N91" s="215">
        <v>4</v>
      </c>
      <c r="O91" s="74" t="s">
        <v>204</v>
      </c>
    </row>
    <row r="92" spans="2:15">
      <c r="B92" s="214" t="s">
        <v>188</v>
      </c>
      <c r="C92" s="199">
        <v>1.134563370884673</v>
      </c>
      <c r="D92" s="199">
        <v>1.134563370884673</v>
      </c>
      <c r="E92" s="199">
        <v>1.134563370884673</v>
      </c>
      <c r="F92" s="74"/>
      <c r="G92" s="69">
        <v>1.134563370884673</v>
      </c>
      <c r="H92" s="199">
        <v>1.134563370884673</v>
      </c>
      <c r="I92" s="199">
        <v>1.3187609467915742</v>
      </c>
      <c r="J92" s="199">
        <v>1.84</v>
      </c>
      <c r="K92" s="199">
        <v>1.134563370884673</v>
      </c>
      <c r="L92" s="199">
        <v>1.3643820804812929</v>
      </c>
      <c r="M92" s="199">
        <v>1.84</v>
      </c>
      <c r="N92" s="215">
        <v>5</v>
      </c>
      <c r="O92" s="74" t="s">
        <v>204</v>
      </c>
    </row>
    <row r="93" spans="2:15">
      <c r="B93" s="214" t="s">
        <v>189</v>
      </c>
      <c r="C93" s="199">
        <v>1.044073795327749</v>
      </c>
      <c r="D93" s="199">
        <v>1.044073795327749</v>
      </c>
      <c r="E93" s="199">
        <v>1.044073795327749</v>
      </c>
      <c r="F93" s="199">
        <v>0.98386991009990754</v>
      </c>
      <c r="G93" s="199">
        <v>1.044073795327749</v>
      </c>
      <c r="H93" s="199">
        <v>1.044073795327749</v>
      </c>
      <c r="I93" s="199">
        <v>1.2082441866603539</v>
      </c>
      <c r="J93" s="199">
        <v>1.7</v>
      </c>
      <c r="K93" s="199">
        <v>1.044073795327749</v>
      </c>
      <c r="L93" s="199">
        <v>1.2701705922171769</v>
      </c>
      <c r="M93" s="199">
        <v>1.7</v>
      </c>
      <c r="N93" s="215">
        <v>6</v>
      </c>
      <c r="O93" s="74" t="s">
        <v>204</v>
      </c>
    </row>
    <row r="94" spans="2:15">
      <c r="B94" s="214" t="s">
        <v>190</v>
      </c>
      <c r="C94" s="199"/>
      <c r="D94" s="199"/>
      <c r="E94" s="199">
        <v>0.96849599695818633</v>
      </c>
      <c r="F94" s="74"/>
      <c r="G94" s="69">
        <v>0.96849599695818633</v>
      </c>
      <c r="H94" s="199">
        <v>0.96849599695818633</v>
      </c>
      <c r="I94" s="199">
        <v>1.125087900926024</v>
      </c>
      <c r="J94" s="199">
        <v>1.58</v>
      </c>
      <c r="K94" s="199">
        <v>0.96849599695818633</v>
      </c>
      <c r="L94" s="199">
        <v>1.1861605052378228</v>
      </c>
      <c r="M94" s="199">
        <v>1.58</v>
      </c>
      <c r="N94" s="215">
        <v>7</v>
      </c>
      <c r="O94" s="74" t="s">
        <v>204</v>
      </c>
    </row>
    <row r="95" spans="2:15">
      <c r="B95" s="214" t="s">
        <v>191</v>
      </c>
      <c r="C95" s="199"/>
      <c r="D95" s="199"/>
      <c r="E95" s="199">
        <v>0.9103664774626048</v>
      </c>
      <c r="F95" s="199"/>
      <c r="G95" s="199">
        <v>0.9103664774626048</v>
      </c>
      <c r="H95" s="199">
        <v>0.9103664774626048</v>
      </c>
      <c r="I95" s="199">
        <v>1.0570328451633799</v>
      </c>
      <c r="J95" s="199">
        <v>1.48</v>
      </c>
      <c r="K95" s="199">
        <v>0.9103664774626048</v>
      </c>
      <c r="L95" s="199">
        <v>1.116880781646981</v>
      </c>
      <c r="M95" s="199">
        <v>1.48</v>
      </c>
      <c r="N95" s="215">
        <v>8</v>
      </c>
      <c r="O95" s="74" t="s">
        <v>204</v>
      </c>
    </row>
    <row r="96" spans="2:15">
      <c r="B96" s="214" t="s">
        <v>192</v>
      </c>
      <c r="C96" s="199"/>
      <c r="D96" s="199"/>
      <c r="E96" s="199">
        <v>0.85895569038733333</v>
      </c>
      <c r="F96" s="199"/>
      <c r="G96" s="199">
        <v>0.85895569038733333</v>
      </c>
      <c r="H96" s="199">
        <v>0.85895569038733333</v>
      </c>
      <c r="I96" s="199">
        <v>0.99750933610763293</v>
      </c>
      <c r="J96" s="199">
        <v>1.4</v>
      </c>
      <c r="K96" s="199">
        <v>0.85895569038733333</v>
      </c>
      <c r="L96" s="199">
        <v>1.0634101379502301</v>
      </c>
      <c r="M96" s="199">
        <v>1.4</v>
      </c>
      <c r="N96" s="215">
        <v>9</v>
      </c>
      <c r="O96" s="74" t="s">
        <v>204</v>
      </c>
    </row>
    <row r="97" spans="2:29">
      <c r="B97" s="214" t="s">
        <v>193</v>
      </c>
      <c r="C97" s="199"/>
      <c r="D97" s="199"/>
      <c r="E97" s="199">
        <v>0.81762356087188293</v>
      </c>
      <c r="F97" s="199"/>
      <c r="G97" s="199">
        <v>0.81762356087188293</v>
      </c>
      <c r="H97" s="199">
        <v>0.81762356087188293</v>
      </c>
      <c r="I97" s="199">
        <v>0.95346258924559224</v>
      </c>
      <c r="J97" s="199">
        <v>1.33</v>
      </c>
      <c r="K97" s="199">
        <v>0.81762356087188293</v>
      </c>
      <c r="L97" s="199">
        <v>1.0126320796881561</v>
      </c>
      <c r="M97" s="199">
        <v>1.33</v>
      </c>
      <c r="N97" s="215">
        <v>10</v>
      </c>
      <c r="O97" s="74" t="s">
        <v>204</v>
      </c>
    </row>
    <row r="100" spans="2:29">
      <c r="B100" s="854"/>
      <c r="C100" s="854"/>
      <c r="D100" s="854"/>
      <c r="E100" s="854"/>
      <c r="F100" s="854"/>
      <c r="G100" s="854"/>
      <c r="H100" s="854"/>
      <c r="I100" s="854"/>
      <c r="J100" s="854"/>
      <c r="K100" s="854"/>
      <c r="L100" s="854"/>
      <c r="M100" s="854"/>
      <c r="N100" s="854"/>
      <c r="O100" s="854"/>
    </row>
    <row r="101" spans="2:29">
      <c r="B101" s="196"/>
      <c r="C101" s="217" t="s">
        <v>34</v>
      </c>
      <c r="D101" s="217" t="s">
        <v>42</v>
      </c>
      <c r="E101" s="217" t="s">
        <v>520</v>
      </c>
      <c r="F101" s="217" t="s">
        <v>32</v>
      </c>
      <c r="G101" s="217" t="s">
        <v>35</v>
      </c>
      <c r="H101" s="217" t="s">
        <v>33</v>
      </c>
      <c r="I101" s="217" t="s">
        <v>41</v>
      </c>
      <c r="J101" s="217" t="s">
        <v>531</v>
      </c>
      <c r="K101" s="217" t="s">
        <v>530</v>
      </c>
      <c r="L101" s="217" t="s">
        <v>31</v>
      </c>
      <c r="M101" s="217" t="s">
        <v>541</v>
      </c>
      <c r="N101" s="217"/>
      <c r="O101" s="217"/>
    </row>
    <row r="102" spans="2:29">
      <c r="B102" s="196"/>
      <c r="C102" s="197" t="s">
        <v>135</v>
      </c>
      <c r="D102" s="197" t="s">
        <v>136</v>
      </c>
      <c r="E102" s="474" t="s">
        <v>521</v>
      </c>
      <c r="F102" s="197" t="s">
        <v>132</v>
      </c>
      <c r="G102" s="197" t="s">
        <v>137</v>
      </c>
      <c r="H102" s="197" t="s">
        <v>134</v>
      </c>
      <c r="I102" s="197" t="s">
        <v>138</v>
      </c>
      <c r="J102" s="197" t="s">
        <v>531</v>
      </c>
      <c r="K102" s="197" t="s">
        <v>530</v>
      </c>
      <c r="L102" s="197" t="s">
        <v>133</v>
      </c>
      <c r="M102" s="197" t="s">
        <v>541</v>
      </c>
      <c r="N102" s="197" t="s">
        <v>11</v>
      </c>
      <c r="O102" s="197" t="s">
        <v>128</v>
      </c>
    </row>
    <row r="103" spans="2:29">
      <c r="B103" s="196"/>
      <c r="C103" s="197"/>
      <c r="D103" s="197"/>
      <c r="E103" s="197"/>
      <c r="F103" s="197"/>
      <c r="G103" s="197"/>
      <c r="H103" s="197"/>
      <c r="I103" s="197"/>
      <c r="J103" s="197"/>
      <c r="K103" s="197"/>
      <c r="L103" s="197"/>
      <c r="M103" s="197"/>
      <c r="N103" s="197"/>
      <c r="O103" s="197"/>
    </row>
    <row r="104" spans="2:29">
      <c r="B104" s="214" t="s">
        <v>202</v>
      </c>
      <c r="C104" s="199">
        <f>C47*(Calculation!$M$13)^0.5</f>
        <v>1.953661662911409</v>
      </c>
      <c r="D104" s="199">
        <f>D47*(Calculation!$M$13)^0.5</f>
        <v>1.953661662911409</v>
      </c>
      <c r="E104" s="199">
        <f>E47*(Calculation!$M$13)^0.5</f>
        <v>2.1873931962990354</v>
      </c>
      <c r="F104" s="199">
        <v>4</v>
      </c>
      <c r="G104" s="199">
        <f>G47*(Calculation!$M$13)^0.5</f>
        <v>2.1873931962990354</v>
      </c>
      <c r="H104" s="199">
        <f>H47*(Calculation!$M$13)^0.5</f>
        <v>2.1873931962990354</v>
      </c>
      <c r="I104" s="199">
        <v>4</v>
      </c>
      <c r="J104" s="199">
        <f>J47*(Calculation!$M$13)^0.5</f>
        <v>4.3323203944306803</v>
      </c>
      <c r="K104" s="199">
        <f>K47*(Calculation!$M$13)^0.5</f>
        <v>2.1873931962990354</v>
      </c>
      <c r="L104" s="199">
        <f>L47*(Calculation!$M$13)^0.5</f>
        <v>3.1311214554257476</v>
      </c>
      <c r="M104" s="199">
        <f>M47*(Calculation!$M$13)^0.5</f>
        <v>4.3323203944306803</v>
      </c>
      <c r="N104" s="215">
        <v>2</v>
      </c>
      <c r="O104" s="74" t="s">
        <v>203</v>
      </c>
      <c r="S104" s="69"/>
      <c r="T104" s="69"/>
      <c r="U104" s="69"/>
      <c r="V104" s="69"/>
      <c r="W104" s="69"/>
      <c r="X104" s="69"/>
      <c r="Y104" s="69"/>
      <c r="Z104" s="69"/>
      <c r="AA104" s="69"/>
      <c r="AB104" s="69"/>
      <c r="AC104" s="69"/>
    </row>
    <row r="105" spans="2:29">
      <c r="B105" s="214" t="s">
        <v>185</v>
      </c>
      <c r="C105" s="199">
        <f>C49*(Calculation!$M$13)^0.5</f>
        <v>2.1873931962990354</v>
      </c>
      <c r="D105" s="199">
        <f>D49*(Calculation!$M$13)^0.5</f>
        <v>2.1873931962990354</v>
      </c>
      <c r="E105" s="199">
        <f>E49*(Calculation!$M$13)^0.5</f>
        <v>2.5318484177091669</v>
      </c>
      <c r="F105" s="199">
        <v>4</v>
      </c>
      <c r="G105" s="199">
        <f>G49*(Calculation!$M$13)^0.5</f>
        <v>2.5318484177091669</v>
      </c>
      <c r="H105" s="199">
        <f>H49*(Calculation!$M$13)^0.5</f>
        <v>2.5318484177091669</v>
      </c>
      <c r="I105" s="199">
        <v>4</v>
      </c>
      <c r="J105" s="199">
        <f>J49*(Calculation!$M$13)^0.5</f>
        <v>5.0596442562694079</v>
      </c>
      <c r="K105" s="199">
        <f>K49*(Calculation!$M$13)^0.5</f>
        <v>2.5318484177091669</v>
      </c>
      <c r="L105" s="199">
        <f>L49*(Calculation!$M$13)^0.5</f>
        <v>3.6514837167011081</v>
      </c>
      <c r="M105" s="199">
        <f>M49*(Calculation!$M$13)^0.5</f>
        <v>5.0596442562694079</v>
      </c>
      <c r="N105" s="215">
        <v>2</v>
      </c>
      <c r="O105" s="74" t="s">
        <v>204</v>
      </c>
      <c r="S105" s="69"/>
      <c r="T105" s="69"/>
      <c r="U105" s="69"/>
      <c r="V105" s="69"/>
      <c r="W105" s="69"/>
      <c r="X105" s="69"/>
      <c r="Y105" s="69"/>
      <c r="Z105" s="69"/>
      <c r="AA105" s="69"/>
      <c r="AB105" s="69"/>
      <c r="AC105" s="69"/>
    </row>
    <row r="106" spans="2:29">
      <c r="B106" s="214" t="s">
        <v>194</v>
      </c>
      <c r="C106" s="199">
        <f>C51*(Calculation!$M$13)^0.5</f>
        <v>1.6462159944159827</v>
      </c>
      <c r="D106" s="199">
        <f>D51*(Calculation!$M$13)^0.5</f>
        <v>1.6462159944159827</v>
      </c>
      <c r="E106" s="199">
        <f>E51*(Calculation!$M$13)^0.5</f>
        <v>1.8442777839082938</v>
      </c>
      <c r="F106" s="199"/>
      <c r="G106" s="199">
        <f>G51*(Calculation!$M$13)^0.5</f>
        <v>1.8442777839082938</v>
      </c>
      <c r="H106" s="199">
        <f>H51*(Calculation!$M$13)^0.5</f>
        <v>1.8442777839082938</v>
      </c>
      <c r="I106" s="199">
        <v>4</v>
      </c>
      <c r="J106" s="199">
        <f>J51*(Calculation!$M$13)^0.5</f>
        <v>3.6366193091936361</v>
      </c>
      <c r="K106" s="199">
        <f>K51*(Calculation!$M$13)^0.5</f>
        <v>1.8442777839082938</v>
      </c>
      <c r="L106" s="199">
        <f>L51*(Calculation!$M$13)^0.5</f>
        <v>2.6261286571944513</v>
      </c>
      <c r="M106" s="199">
        <f>M51*(Calculation!$M$13)^0.5</f>
        <v>3.6366193091936361</v>
      </c>
      <c r="N106" s="215">
        <v>3</v>
      </c>
      <c r="O106" s="74" t="s">
        <v>203</v>
      </c>
      <c r="S106" s="69"/>
      <c r="T106" s="69"/>
      <c r="U106" s="69"/>
      <c r="V106" s="69"/>
      <c r="W106" s="69"/>
      <c r="X106" s="69"/>
      <c r="Y106" s="69"/>
      <c r="Z106" s="69"/>
      <c r="AA106" s="69"/>
      <c r="AB106" s="69"/>
      <c r="AC106" s="69"/>
    </row>
    <row r="107" spans="2:29">
      <c r="B107" s="214" t="s">
        <v>186</v>
      </c>
      <c r="C107" s="199">
        <f>C53*(Calculation!$M$13)^0.5</f>
        <v>1.8442777839082938</v>
      </c>
      <c r="D107" s="199">
        <f>D53*(Calculation!$M$13)^0.5</f>
        <v>1.8442777839082938</v>
      </c>
      <c r="E107" s="199">
        <f>E53*(Calculation!$M$13)^0.5</f>
        <v>2.1320071635561044</v>
      </c>
      <c r="F107" s="199"/>
      <c r="G107" s="199">
        <f>G53*(Calculation!$M$13)^0.5</f>
        <v>2.1320071635561044</v>
      </c>
      <c r="H107" s="199">
        <f>H53*(Calculation!$M$13)^0.5</f>
        <v>2.1320071635561044</v>
      </c>
      <c r="I107" s="199">
        <v>4</v>
      </c>
      <c r="J107" s="199">
        <f>J53*(Calculation!$M$13)^0.5</f>
        <v>4.2374520646256286</v>
      </c>
      <c r="K107" s="199">
        <f>K53*(Calculation!$M$13)^0.5</f>
        <v>2.1320071635561044</v>
      </c>
      <c r="L107" s="199">
        <f>L53*(Calculation!$M$13)^0.5</f>
        <v>3.0570892025787151</v>
      </c>
      <c r="M107" s="199">
        <f>M53*(Calculation!$M$13)^0.5</f>
        <v>4.2374520646256286</v>
      </c>
      <c r="N107" s="215">
        <v>3</v>
      </c>
      <c r="O107" s="74" t="s">
        <v>204</v>
      </c>
      <c r="S107" s="69"/>
      <c r="T107" s="69"/>
      <c r="U107" s="69"/>
      <c r="V107" s="69"/>
      <c r="W107" s="69"/>
      <c r="X107" s="69"/>
      <c r="Y107" s="69"/>
      <c r="Z107" s="69"/>
      <c r="AA107" s="69"/>
      <c r="AB107" s="69"/>
      <c r="AC107" s="69"/>
    </row>
    <row r="108" spans="2:29">
      <c r="B108" s="214" t="s">
        <v>195</v>
      </c>
      <c r="C108" s="199">
        <f>C55*(Calculation!$M$13)^0.5</f>
        <v>1.449427589131121</v>
      </c>
      <c r="D108" s="199">
        <f>D55*(Calculation!$M$13)^0.5</f>
        <v>1.449427589131121</v>
      </c>
      <c r="E108" s="199">
        <f>E55*(Calculation!$M$13)^0.5</f>
        <v>1.6222142113076257</v>
      </c>
      <c r="F108" s="199">
        <v>4</v>
      </c>
      <c r="G108" s="199">
        <f>G55*(Calculation!$M$13)^0.5</f>
        <v>1.6222142113076257</v>
      </c>
      <c r="H108" s="199">
        <f>H55*(Calculation!$M$13)^0.5</f>
        <v>1.6222142113076257</v>
      </c>
      <c r="I108" s="199">
        <v>4</v>
      </c>
      <c r="J108" s="199">
        <f>J55*(Calculation!$M$13)^0.5</f>
        <v>3.2255232133717473</v>
      </c>
      <c r="K108" s="199">
        <f>K55*(Calculation!$M$13)^0.5</f>
        <v>1.6222142113076257</v>
      </c>
      <c r="L108" s="199">
        <f>L55*(Calculation!$M$13)^0.5</f>
        <v>2.3063280200722129</v>
      </c>
      <c r="M108" s="199">
        <f>M55*(Calculation!$M$13)^0.5</f>
        <v>3.2255232133717473</v>
      </c>
      <c r="N108" s="215">
        <v>4</v>
      </c>
      <c r="O108" s="74" t="s">
        <v>203</v>
      </c>
      <c r="S108" s="69"/>
      <c r="T108" s="69"/>
      <c r="U108" s="69"/>
      <c r="V108" s="69"/>
      <c r="W108" s="69"/>
      <c r="X108" s="69"/>
      <c r="Y108" s="69"/>
      <c r="Z108" s="69"/>
      <c r="AA108" s="69"/>
      <c r="AB108" s="69"/>
      <c r="AC108" s="69"/>
    </row>
    <row r="109" spans="2:29">
      <c r="B109" s="214" t="s">
        <v>187</v>
      </c>
      <c r="C109" s="199">
        <f>C57*(Calculation!$M$13)^0.5</f>
        <v>1.6222142113076257</v>
      </c>
      <c r="D109" s="199">
        <f>D57*(Calculation!$M$13)^0.5</f>
        <v>1.6222142113076257</v>
      </c>
      <c r="E109" s="199">
        <f>E57*(Calculation!$M$13)^0.5</f>
        <v>1.8731716231633879</v>
      </c>
      <c r="F109" s="199">
        <v>4</v>
      </c>
      <c r="G109" s="199">
        <f>G57*(Calculation!$M$13)^0.5</f>
        <v>1.8731716231633879</v>
      </c>
      <c r="H109" s="199">
        <f>H57*(Calculation!$M$13)^0.5</f>
        <v>1.8731716231633879</v>
      </c>
      <c r="I109" s="199">
        <v>4</v>
      </c>
      <c r="J109" s="199">
        <f>J57*(Calculation!$M$13)^0.5</f>
        <v>3.7314876389986877</v>
      </c>
      <c r="K109" s="199">
        <f>K57*(Calculation!$M$13)^0.5</f>
        <v>1.8731716231633879</v>
      </c>
      <c r="L109" s="199">
        <f>L57*(Calculation!$M$13)^0.5</f>
        <v>2.6822089039291002</v>
      </c>
      <c r="M109" s="199">
        <f>M57*(Calculation!$M$13)^0.5</f>
        <v>3.7314876389986877</v>
      </c>
      <c r="N109" s="215">
        <v>4</v>
      </c>
      <c r="O109" s="74" t="s">
        <v>204</v>
      </c>
      <c r="S109" s="69"/>
      <c r="T109" s="69"/>
      <c r="U109" s="69"/>
      <c r="V109" s="69"/>
      <c r="W109" s="69"/>
      <c r="X109" s="69"/>
      <c r="Y109" s="69"/>
      <c r="Z109" s="69"/>
      <c r="AA109" s="69"/>
      <c r="AB109" s="69"/>
      <c r="AC109" s="69"/>
    </row>
    <row r="110" spans="2:29">
      <c r="B110" s="214" t="s">
        <v>196</v>
      </c>
      <c r="C110" s="199">
        <f>C59*(Calculation!$M$13)^0.5</f>
        <v>1.3096815896275182</v>
      </c>
      <c r="D110" s="199">
        <f>D59*(Calculation!$M$13)^0.5</f>
        <v>1.3096815896275182</v>
      </c>
      <c r="E110" s="199">
        <f>E59*(Calculation!$M$13)^0.5</f>
        <v>1.4664711502135328</v>
      </c>
      <c r="F110" s="199"/>
      <c r="G110" s="199">
        <f>G59*(Calculation!$M$13)^0.5</f>
        <v>1.4664711502135328</v>
      </c>
      <c r="H110" s="199">
        <f>H59*(Calculation!$M$13)^0.5</f>
        <v>1.4664711502135328</v>
      </c>
      <c r="I110" s="199">
        <v>4</v>
      </c>
      <c r="J110" s="199">
        <f>J59*(Calculation!$M$13)^0.5</f>
        <v>2.9092954473549093</v>
      </c>
      <c r="K110" s="199">
        <f>K59*(Calculation!$M$13)^0.5</f>
        <v>1.4664711502135328</v>
      </c>
      <c r="L110" s="199">
        <f>L59*(Calculation!$M$13)^0.5</f>
        <v>2.085144140570748</v>
      </c>
      <c r="M110" s="199">
        <f>M59*(Calculation!$M$13)^0.5</f>
        <v>2.9092954473549093</v>
      </c>
      <c r="N110" s="215">
        <v>5</v>
      </c>
      <c r="O110" s="74" t="s">
        <v>203</v>
      </c>
      <c r="S110" s="69"/>
      <c r="T110" s="69"/>
      <c r="U110" s="69"/>
      <c r="V110" s="69"/>
      <c r="W110" s="69"/>
      <c r="X110" s="69"/>
      <c r="Y110" s="69"/>
      <c r="Z110" s="69"/>
      <c r="AA110" s="69"/>
      <c r="AB110" s="69"/>
      <c r="AC110" s="69"/>
    </row>
    <row r="111" spans="2:29">
      <c r="B111" s="214" t="s">
        <v>188</v>
      </c>
      <c r="C111" s="199">
        <f>C61*(Calculation!$M$13)^0.5</f>
        <v>1.4664711502135328</v>
      </c>
      <c r="D111" s="199">
        <f>D61*(Calculation!$M$13)^0.5</f>
        <v>1.4664711502135328</v>
      </c>
      <c r="E111" s="199">
        <f>E61*(Calculation!$M$13)^0.5</f>
        <v>1.6927284226638315</v>
      </c>
      <c r="F111" s="199"/>
      <c r="G111" s="199">
        <f>G61*(Calculation!$M$13)^0.5</f>
        <v>1.6927284226638315</v>
      </c>
      <c r="H111" s="199">
        <f>H61*(Calculation!$M$13)^0.5</f>
        <v>1.6927284226638315</v>
      </c>
      <c r="I111" s="199">
        <v>4</v>
      </c>
      <c r="J111" s="199">
        <f>J61*(Calculation!$M$13)^0.5</f>
        <v>3.3836370963801663</v>
      </c>
      <c r="K111" s="199">
        <f>K61*(Calculation!$M$13)^0.5</f>
        <v>1.6927284226638315</v>
      </c>
      <c r="L111" s="199">
        <f>L61*(Calculation!$M$13)^0.5</f>
        <v>2.4182541670333726</v>
      </c>
      <c r="M111" s="199">
        <f>M61*(Calculation!$M$13)^0.5</f>
        <v>3.3836370963801663</v>
      </c>
      <c r="N111" s="215">
        <v>5</v>
      </c>
      <c r="O111" s="74" t="s">
        <v>204</v>
      </c>
      <c r="S111" s="69"/>
      <c r="T111" s="69"/>
      <c r="U111" s="69"/>
      <c r="V111" s="69"/>
      <c r="W111" s="69"/>
      <c r="X111" s="69"/>
      <c r="Y111" s="69"/>
      <c r="Z111" s="69"/>
      <c r="AA111" s="69"/>
      <c r="AB111" s="69"/>
      <c r="AC111" s="69"/>
    </row>
    <row r="112" spans="2:29">
      <c r="B112" s="214" t="s">
        <v>197</v>
      </c>
      <c r="C112" s="199">
        <f>C63*(Calculation!$M$13)^0.5</f>
        <v>1.2047318414773374</v>
      </c>
      <c r="D112" s="199">
        <f>D63*(Calculation!$M$13)^0.5</f>
        <v>1.2047318414773374</v>
      </c>
      <c r="E112" s="199">
        <f>E63*(Calculation!$M$13)^0.5</f>
        <v>1.3471755760359809</v>
      </c>
      <c r="F112" s="199">
        <v>4</v>
      </c>
      <c r="G112" s="199">
        <f>G63*(Calculation!$M$13)^0.5</f>
        <v>1.3471755760359809</v>
      </c>
      <c r="H112" s="199">
        <f>H63*(Calculation!$M$13)^0.5</f>
        <v>1.3471755760359809</v>
      </c>
      <c r="I112" s="199">
        <v>4</v>
      </c>
      <c r="J112" s="199">
        <f>J63*(Calculation!$M$13)^0.5</f>
        <v>2.6879360111431225</v>
      </c>
      <c r="K112" s="199">
        <f>K63*(Calculation!$M$13)^0.5</f>
        <v>1.3471755760359809</v>
      </c>
      <c r="L112" s="199">
        <f>L63*(Calculation!$M$13)^0.5</f>
        <v>1.9138975058773822</v>
      </c>
      <c r="M112" s="199">
        <f>M63*(Calculation!$M$13)^0.5</f>
        <v>2.6879360111431225</v>
      </c>
      <c r="N112" s="215">
        <v>6</v>
      </c>
      <c r="O112" s="74" t="s">
        <v>203</v>
      </c>
      <c r="S112" s="69"/>
      <c r="T112" s="69"/>
      <c r="U112" s="69"/>
      <c r="V112" s="69"/>
      <c r="W112" s="69"/>
      <c r="X112" s="69"/>
      <c r="Y112" s="69"/>
      <c r="Z112" s="69"/>
      <c r="AA112" s="69"/>
      <c r="AB112" s="69"/>
      <c r="AC112" s="69"/>
    </row>
    <row r="113" spans="2:29">
      <c r="B113" s="214" t="s">
        <v>189</v>
      </c>
      <c r="C113" s="199">
        <f>C65*(Calculation!$M$13)^0.5</f>
        <v>1.3471755760359809</v>
      </c>
      <c r="D113" s="199">
        <f>D65*(Calculation!$M$13)^0.5</f>
        <v>1.3471755760359809</v>
      </c>
      <c r="E113" s="199">
        <f>E65*(Calculation!$M$13)^0.5</f>
        <v>1.554174680400523</v>
      </c>
      <c r="F113" s="199">
        <v>4</v>
      </c>
      <c r="G113" s="199">
        <f>G65*(Calculation!$M$13)^0.5</f>
        <v>1.554174680400523</v>
      </c>
      <c r="H113" s="199">
        <f>H65*(Calculation!$M$13)^0.5</f>
        <v>1.554174680400523</v>
      </c>
      <c r="I113" s="199">
        <v>4</v>
      </c>
      <c r="J113" s="199">
        <f>J65*(Calculation!$M$13)^0.5</f>
        <v>3.0990321069650117</v>
      </c>
      <c r="K113" s="199">
        <f>K65*(Calculation!$M$13)^0.5</f>
        <v>1.554174680400523</v>
      </c>
      <c r="L113" s="199">
        <f>L65*(Calculation!$M$13)^0.5</f>
        <v>2.2140372138502382</v>
      </c>
      <c r="M113" s="199">
        <f>M65*(Calculation!$M$13)^0.5</f>
        <v>3.0990321069650117</v>
      </c>
      <c r="N113" s="215">
        <v>6</v>
      </c>
      <c r="O113" s="74" t="s">
        <v>204</v>
      </c>
      <c r="S113" s="69"/>
      <c r="T113" s="69"/>
      <c r="U113" s="69"/>
      <c r="V113" s="69"/>
      <c r="W113" s="69"/>
      <c r="X113" s="69"/>
      <c r="Y113" s="69"/>
      <c r="Z113" s="69"/>
      <c r="AA113" s="69"/>
      <c r="AB113" s="69"/>
      <c r="AC113" s="69"/>
    </row>
    <row r="114" spans="2:29">
      <c r="B114" s="214" t="s">
        <v>198</v>
      </c>
      <c r="C114" s="199"/>
      <c r="D114" s="199"/>
      <c r="E114" s="199">
        <f>E67*(Calculation!$M$13)^0.5</f>
        <v>1.2539246564387978</v>
      </c>
      <c r="F114" s="74"/>
      <c r="G114" s="199">
        <f>G67*(Calculation!$M$13)^0.5</f>
        <v>1.2539246564387978</v>
      </c>
      <c r="H114" s="199">
        <f>H67*(Calculation!$M$13)^0.5</f>
        <v>1.2539246564387978</v>
      </c>
      <c r="I114" s="199">
        <v>4</v>
      </c>
      <c r="J114" s="199">
        <f>J67*(Calculation!$M$13)^0.5</f>
        <v>2.4981993515330201</v>
      </c>
      <c r="K114" s="199">
        <f>K67*(Calculation!$M$13)^0.5</f>
        <v>1.2539246564387978</v>
      </c>
      <c r="L114" s="199">
        <f>L67*(Calculation!$M$13)^0.5</f>
        <v>1.7789201674120503</v>
      </c>
      <c r="M114" s="199">
        <f>M67*(Calculation!$M$13)^0.5</f>
        <v>2.4981993515330201</v>
      </c>
      <c r="N114" s="215">
        <v>7</v>
      </c>
      <c r="O114" s="74" t="s">
        <v>203</v>
      </c>
      <c r="S114" s="69"/>
      <c r="T114" s="69"/>
      <c r="U114" s="69"/>
      <c r="V114" s="69"/>
      <c r="W114" s="69"/>
      <c r="X114" s="69"/>
      <c r="Y114" s="69"/>
      <c r="Z114" s="69"/>
      <c r="AA114" s="69"/>
      <c r="AB114" s="69"/>
      <c r="AC114" s="69"/>
    </row>
    <row r="115" spans="2:29">
      <c r="B115" s="214" t="s">
        <v>190</v>
      </c>
      <c r="C115" s="199"/>
      <c r="D115" s="199"/>
      <c r="E115" s="199">
        <f>E69*(Calculation!$M$13)^0.5</f>
        <v>1.4463921353509293</v>
      </c>
      <c r="F115" s="74"/>
      <c r="G115" s="199">
        <f>G69*(Calculation!$M$13)^0.5</f>
        <v>1.4463921353509293</v>
      </c>
      <c r="H115" s="199">
        <f>H69*(Calculation!$M$13)^0.5</f>
        <v>1.4463921353509293</v>
      </c>
      <c r="I115" s="199">
        <v>4</v>
      </c>
      <c r="J115" s="199">
        <f>J69*(Calculation!$M$13)^0.5</f>
        <v>2.8776726707532254</v>
      </c>
      <c r="K115" s="199">
        <f>K69*(Calculation!$M$13)^0.5</f>
        <v>1.4463921353509293</v>
      </c>
      <c r="L115" s="199">
        <f>L69*(Calculation!$M$13)^0.5</f>
        <v>2.0584674239815457</v>
      </c>
      <c r="M115" s="199">
        <f>M69*(Calculation!$M$13)^0.5</f>
        <v>2.8776726707532254</v>
      </c>
      <c r="N115" s="215">
        <v>7</v>
      </c>
      <c r="O115" s="74" t="s">
        <v>204</v>
      </c>
      <c r="S115" s="69"/>
      <c r="T115" s="69"/>
      <c r="U115" s="69"/>
      <c r="V115" s="69"/>
      <c r="W115" s="69"/>
      <c r="X115" s="69"/>
      <c r="Y115" s="69"/>
      <c r="Z115" s="69"/>
      <c r="AA115" s="69"/>
      <c r="AB115" s="69"/>
      <c r="AC115" s="69"/>
    </row>
    <row r="116" spans="2:29">
      <c r="B116" s="214" t="s">
        <v>199</v>
      </c>
      <c r="C116" s="199"/>
      <c r="D116" s="199"/>
      <c r="E116" s="199">
        <f>E71*(Calculation!$M$13)^0.5</f>
        <v>1.1776937428767702</v>
      </c>
      <c r="F116" s="199"/>
      <c r="G116" s="199">
        <f>G71*(Calculation!$M$13)^0.5</f>
        <v>1.1776937428767702</v>
      </c>
      <c r="H116" s="199">
        <f>H71*(Calculation!$M$13)^0.5</f>
        <v>1.1776937428767702</v>
      </c>
      <c r="I116" s="199">
        <v>4</v>
      </c>
      <c r="J116" s="199">
        <f>J71*(Calculation!$M$13)^0.5</f>
        <v>2.3400854685246006</v>
      </c>
      <c r="K116" s="199">
        <f>K71*(Calculation!$M$13)^0.5</f>
        <v>1.1776937428767702</v>
      </c>
      <c r="L116" s="199">
        <f>L71*(Calculation!$M$13)^0.5</f>
        <v>1.671315676162189</v>
      </c>
      <c r="M116" s="199">
        <f>M71*(Calculation!$M$13)^0.5</f>
        <v>2.3400854685246006</v>
      </c>
      <c r="N116" s="215">
        <v>8</v>
      </c>
      <c r="O116" s="74" t="s">
        <v>203</v>
      </c>
      <c r="S116" s="69"/>
      <c r="T116" s="69"/>
      <c r="U116" s="69"/>
      <c r="V116" s="69"/>
      <c r="W116" s="69"/>
      <c r="X116" s="69"/>
      <c r="Y116" s="69"/>
      <c r="Z116" s="69"/>
      <c r="AA116" s="69"/>
      <c r="AB116" s="69"/>
      <c r="AC116" s="69"/>
    </row>
    <row r="117" spans="2:29">
      <c r="B117" s="214" t="s">
        <v>191</v>
      </c>
      <c r="C117" s="199"/>
      <c r="D117" s="199"/>
      <c r="E117" s="199">
        <f>E73*(Calculation!$M$13)^0.5</f>
        <v>1.3583145623104032</v>
      </c>
      <c r="F117" s="199"/>
      <c r="G117" s="199">
        <f>G73*(Calculation!$M$13)^0.5</f>
        <v>1.3583145623104032</v>
      </c>
      <c r="H117" s="199">
        <f>H73*(Calculation!$M$13)^0.5</f>
        <v>1.3583145623104032</v>
      </c>
      <c r="I117" s="199">
        <v>4</v>
      </c>
      <c r="J117" s="199">
        <f>J73*(Calculation!$M$13)^0.5</f>
        <v>2.7195587877448064</v>
      </c>
      <c r="K117" s="199">
        <f>K73*(Calculation!$M$13)^0.5</f>
        <v>1.3583145623104032</v>
      </c>
      <c r="L117" s="199">
        <f>L73*(Calculation!$M$13)^0.5</f>
        <v>1.9316685232156394</v>
      </c>
      <c r="M117" s="199">
        <f>M73*(Calculation!$M$13)^0.5</f>
        <v>2.7195587877448064</v>
      </c>
      <c r="N117" s="215">
        <v>8</v>
      </c>
      <c r="O117" s="74" t="s">
        <v>204</v>
      </c>
      <c r="S117" s="69"/>
      <c r="T117" s="69"/>
      <c r="U117" s="69"/>
      <c r="V117" s="69"/>
      <c r="W117" s="69"/>
      <c r="X117" s="69"/>
      <c r="Y117" s="69"/>
      <c r="Z117" s="69"/>
      <c r="AA117" s="69"/>
      <c r="AB117" s="69"/>
      <c r="AC117" s="69"/>
    </row>
    <row r="118" spans="2:29">
      <c r="B118" s="214" t="s">
        <v>200</v>
      </c>
      <c r="C118" s="199"/>
      <c r="D118" s="199"/>
      <c r="E118" s="199">
        <f>E75*(Calculation!$M$13)^0.5</f>
        <v>1.1131744575700473</v>
      </c>
      <c r="F118" s="199"/>
      <c r="G118" s="199">
        <f>G75*(Calculation!$M$13)^0.5</f>
        <v>1.1131744575700473</v>
      </c>
      <c r="H118" s="199">
        <f>H75*(Calculation!$M$13)^0.5</f>
        <v>1.1131744575700473</v>
      </c>
      <c r="I118" s="199">
        <v>4</v>
      </c>
      <c r="J118" s="199">
        <f>J75*(Calculation!$M$13)^0.5</f>
        <v>2.2135943621178655</v>
      </c>
      <c r="K118" s="199">
        <f>K75*(Calculation!$M$13)^0.5</f>
        <v>1.1131744575700473</v>
      </c>
      <c r="L118" s="199">
        <f>L75*(Calculation!$M$13)^0.5</f>
        <v>1.5791661046371634</v>
      </c>
      <c r="M118" s="199">
        <f>M75*(Calculation!$M$13)^0.5</f>
        <v>2.2135943621178655</v>
      </c>
      <c r="N118" s="215">
        <v>9</v>
      </c>
      <c r="O118" s="74" t="s">
        <v>203</v>
      </c>
      <c r="S118" s="69"/>
      <c r="T118" s="69"/>
      <c r="U118" s="69"/>
      <c r="V118" s="69"/>
      <c r="W118" s="69"/>
      <c r="X118" s="69"/>
      <c r="Y118" s="69"/>
      <c r="Z118" s="69"/>
      <c r="AA118" s="69"/>
      <c r="AB118" s="69"/>
      <c r="AC118" s="69"/>
    </row>
    <row r="119" spans="2:29">
      <c r="B119" s="214" t="s">
        <v>192</v>
      </c>
      <c r="C119" s="199"/>
      <c r="D119" s="199"/>
      <c r="E119" s="199">
        <f>E77*(Calculation!$M$13)^0.5</f>
        <v>1.2835289081240497</v>
      </c>
      <c r="F119" s="199"/>
      <c r="G119" s="199">
        <f>G77*(Calculation!$M$13)^0.5</f>
        <v>1.2835289081240497</v>
      </c>
      <c r="H119" s="199">
        <f>H77*(Calculation!$M$13)^0.5</f>
        <v>1.2835289081240497</v>
      </c>
      <c r="I119" s="199">
        <v>4</v>
      </c>
      <c r="J119" s="199">
        <f>J77*(Calculation!$M$13)^0.5</f>
        <v>2.5614449047363874</v>
      </c>
      <c r="K119" s="199">
        <f>K77*(Calculation!$M$13)^0.5</f>
        <v>1.2835289081240497</v>
      </c>
      <c r="L119" s="199">
        <f>L77*(Calculation!$M$13)^0.5</f>
        <v>1.825741858350554</v>
      </c>
      <c r="M119" s="199">
        <f>M77*(Calculation!$M$13)^0.5</f>
        <v>2.5614449047363874</v>
      </c>
      <c r="N119" s="215">
        <v>9</v>
      </c>
      <c r="O119" s="74" t="s">
        <v>204</v>
      </c>
      <c r="S119" s="69"/>
      <c r="T119" s="69"/>
      <c r="U119" s="69"/>
      <c r="V119" s="69"/>
      <c r="W119" s="69"/>
      <c r="X119" s="69"/>
      <c r="Y119" s="69"/>
      <c r="Z119" s="69"/>
      <c r="AA119" s="69"/>
      <c r="AB119" s="69"/>
      <c r="AC119" s="69"/>
    </row>
    <row r="120" spans="2:29">
      <c r="B120" s="214" t="s">
        <v>201</v>
      </c>
      <c r="C120" s="199"/>
      <c r="D120" s="199"/>
      <c r="E120" s="199">
        <f>E79*(Calculation!$M$13)^0.5</f>
        <v>1.0588088747190667</v>
      </c>
      <c r="F120" s="199"/>
      <c r="G120" s="199">
        <f>G79*(Calculation!$M$13)^0.5</f>
        <v>1.0588088747190667</v>
      </c>
      <c r="H120" s="199">
        <f>H79*(Calculation!$M$13)^0.5</f>
        <v>1.0588088747190667</v>
      </c>
      <c r="I120" s="199">
        <v>4</v>
      </c>
      <c r="J120" s="199">
        <f>J79*(Calculation!$M$13)^0.5</f>
        <v>2.1187260323128143</v>
      </c>
      <c r="K120" s="199">
        <f>K79*(Calculation!$M$13)^0.5</f>
        <v>1.0588088747190667</v>
      </c>
      <c r="L120" s="199">
        <f>L79*(Calculation!$M$13)^0.5</f>
        <v>1.5007505629691607</v>
      </c>
      <c r="M120" s="199">
        <f>M79*(Calculation!$M$13)^0.5</f>
        <v>2.1187260323128143</v>
      </c>
      <c r="N120" s="215">
        <v>10</v>
      </c>
      <c r="O120" s="74" t="s">
        <v>203</v>
      </c>
      <c r="S120" s="69"/>
      <c r="T120" s="69"/>
      <c r="U120" s="69"/>
      <c r="V120" s="69"/>
      <c r="W120" s="69"/>
      <c r="X120" s="69"/>
      <c r="Y120" s="69"/>
      <c r="Z120" s="69"/>
      <c r="AA120" s="69"/>
      <c r="AB120" s="69"/>
      <c r="AC120" s="69"/>
    </row>
    <row r="121" spans="2:29">
      <c r="B121" s="214" t="s">
        <v>193</v>
      </c>
      <c r="C121" s="199"/>
      <c r="D121" s="199"/>
      <c r="E121" s="199">
        <f>E81*(Calculation!$M$13)^0.5</f>
        <v>1.2207837505974601</v>
      </c>
      <c r="F121" s="199"/>
      <c r="G121" s="199">
        <f>G81*(Calculation!$M$13)^0.5</f>
        <v>1.2207837505974601</v>
      </c>
      <c r="H121" s="199">
        <f>H81*(Calculation!$M$13)^0.5</f>
        <v>1.2207837505974601</v>
      </c>
      <c r="I121" s="199">
        <v>4</v>
      </c>
      <c r="J121" s="199">
        <f>J81*(Calculation!$M$13)^0.5</f>
        <v>2.4349537983296523</v>
      </c>
      <c r="K121" s="199">
        <f>K81*(Calculation!$M$13)^0.5</f>
        <v>1.2207837505974601</v>
      </c>
      <c r="L121" s="199">
        <f>L81*(Calculation!$M$13)^0.5</f>
        <v>1.7355253362515584</v>
      </c>
      <c r="M121" s="199">
        <f>M81*(Calculation!$M$13)^0.5</f>
        <v>2.4349537983296523</v>
      </c>
      <c r="N121" s="215">
        <v>10</v>
      </c>
      <c r="O121" s="74" t="s">
        <v>204</v>
      </c>
      <c r="S121" s="69"/>
      <c r="T121" s="69"/>
      <c r="U121" s="69"/>
      <c r="V121" s="69"/>
      <c r="W121" s="69"/>
      <c r="X121" s="69"/>
      <c r="Y121" s="69"/>
      <c r="Z121" s="69"/>
      <c r="AA121" s="69"/>
      <c r="AB121" s="69"/>
      <c r="AC121" s="69"/>
    </row>
    <row r="126" spans="2:29">
      <c r="B126" s="858"/>
      <c r="C126" s="859"/>
      <c r="D126" s="859"/>
      <c r="E126" s="859"/>
      <c r="F126" s="859"/>
      <c r="G126" s="859"/>
      <c r="H126" s="859"/>
      <c r="I126" s="859"/>
      <c r="J126" s="859"/>
      <c r="K126" s="859"/>
      <c r="L126" s="859"/>
      <c r="M126" s="859"/>
      <c r="N126" s="859"/>
      <c r="O126" s="860"/>
    </row>
    <row r="127" spans="2:29">
      <c r="B127" s="196"/>
      <c r="C127" s="217" t="s">
        <v>34</v>
      </c>
      <c r="D127" s="217" t="s">
        <v>42</v>
      </c>
      <c r="E127" s="217" t="s">
        <v>520</v>
      </c>
      <c r="F127" s="217" t="s">
        <v>32</v>
      </c>
      <c r="G127" s="217" t="s">
        <v>35</v>
      </c>
      <c r="H127" s="217" t="s">
        <v>33</v>
      </c>
      <c r="I127" s="217" t="s">
        <v>41</v>
      </c>
      <c r="J127" s="217" t="s">
        <v>531</v>
      </c>
      <c r="K127" s="217" t="s">
        <v>530</v>
      </c>
      <c r="L127" s="217" t="s">
        <v>31</v>
      </c>
      <c r="M127" s="217" t="s">
        <v>541</v>
      </c>
      <c r="N127" s="217"/>
      <c r="O127" s="217"/>
    </row>
    <row r="128" spans="2:29">
      <c r="B128" s="196"/>
      <c r="C128" s="474" t="s">
        <v>135</v>
      </c>
      <c r="D128" s="474" t="s">
        <v>136</v>
      </c>
      <c r="E128" s="474" t="s">
        <v>521</v>
      </c>
      <c r="F128" s="474" t="s">
        <v>132</v>
      </c>
      <c r="G128" s="474" t="s">
        <v>137</v>
      </c>
      <c r="H128" s="474" t="s">
        <v>134</v>
      </c>
      <c r="I128" s="474" t="s">
        <v>138</v>
      </c>
      <c r="J128" s="474" t="s">
        <v>531</v>
      </c>
      <c r="K128" s="474" t="s">
        <v>530</v>
      </c>
      <c r="L128" s="474" t="s">
        <v>133</v>
      </c>
      <c r="M128" s="474" t="s">
        <v>541</v>
      </c>
      <c r="N128" s="474" t="s">
        <v>11</v>
      </c>
      <c r="O128" s="474" t="s">
        <v>256</v>
      </c>
    </row>
    <row r="129" spans="2:15">
      <c r="B129" s="196"/>
      <c r="C129" s="474"/>
      <c r="D129" s="474"/>
      <c r="E129" s="474"/>
      <c r="F129" s="474"/>
      <c r="G129" s="474"/>
      <c r="H129" s="474"/>
      <c r="I129" s="474"/>
      <c r="J129" s="474"/>
      <c r="K129" s="474"/>
      <c r="L129" s="474"/>
      <c r="M129" s="474"/>
      <c r="N129" s="474"/>
      <c r="O129" s="474"/>
    </row>
    <row r="130" spans="2:15">
      <c r="B130" s="538" t="s">
        <v>273</v>
      </c>
      <c r="C130" s="592">
        <v>2.39</v>
      </c>
      <c r="D130" s="592">
        <v>2.39</v>
      </c>
      <c r="E130" s="592">
        <v>1.1000000000000001</v>
      </c>
      <c r="F130" s="592"/>
      <c r="G130" s="592">
        <v>4.83</v>
      </c>
      <c r="H130" s="592">
        <v>4.83</v>
      </c>
      <c r="I130" s="592">
        <v>1.28</v>
      </c>
      <c r="J130" s="592">
        <v>0.86</v>
      </c>
      <c r="K130" s="592">
        <v>1.1000000000000001</v>
      </c>
      <c r="L130" s="592"/>
      <c r="M130" s="592">
        <v>0.86</v>
      </c>
      <c r="N130" s="539">
        <v>10</v>
      </c>
      <c r="O130" s="483">
        <v>1</v>
      </c>
    </row>
    <row r="131" spans="2:15">
      <c r="B131" s="538" t="s">
        <v>274</v>
      </c>
      <c r="C131" s="592"/>
      <c r="D131" s="592"/>
      <c r="E131" s="592">
        <v>2.2000000000000002</v>
      </c>
      <c r="F131" s="592"/>
      <c r="G131" s="592"/>
      <c r="H131" s="592"/>
      <c r="I131" s="592"/>
      <c r="J131" s="592">
        <v>1.72</v>
      </c>
      <c r="K131" s="592">
        <v>2.2000000000000002</v>
      </c>
      <c r="L131" s="592">
        <v>1.6527777777777777</v>
      </c>
      <c r="M131" s="592">
        <v>1.72</v>
      </c>
      <c r="N131" s="539">
        <v>10</v>
      </c>
      <c r="O131" s="483">
        <v>2</v>
      </c>
    </row>
    <row r="132" spans="2:15">
      <c r="B132" s="540" t="s">
        <v>477</v>
      </c>
      <c r="C132" s="592">
        <v>0.39</v>
      </c>
      <c r="D132" s="592">
        <v>0.39</v>
      </c>
      <c r="E132" s="592">
        <v>0.2</v>
      </c>
      <c r="F132" s="592"/>
      <c r="G132" s="592">
        <v>0.16666666666666666</v>
      </c>
      <c r="H132" s="592">
        <v>0.16666666666666666</v>
      </c>
      <c r="I132" s="592">
        <v>0.22</v>
      </c>
      <c r="J132" s="592">
        <v>0.16</v>
      </c>
      <c r="K132" s="592">
        <v>0.2</v>
      </c>
      <c r="L132" s="592"/>
      <c r="M132" s="592">
        <v>0.16</v>
      </c>
      <c r="N132" s="539">
        <v>2</v>
      </c>
      <c r="O132" s="483">
        <v>1</v>
      </c>
    </row>
    <row r="133" spans="2:15">
      <c r="B133" s="538" t="s">
        <v>478</v>
      </c>
      <c r="C133" s="592"/>
      <c r="D133" s="592"/>
      <c r="E133" s="592">
        <v>0.4</v>
      </c>
      <c r="F133" s="592"/>
      <c r="G133" s="592"/>
      <c r="H133" s="592"/>
      <c r="I133" s="592"/>
      <c r="J133" s="592">
        <v>0.32</v>
      </c>
      <c r="K133" s="592">
        <v>0.4</v>
      </c>
      <c r="L133" s="592">
        <v>0.31944444444444442</v>
      </c>
      <c r="M133" s="592">
        <v>0.32</v>
      </c>
      <c r="N133" s="539">
        <v>2</v>
      </c>
      <c r="O133" s="483">
        <v>2</v>
      </c>
    </row>
    <row r="134" spans="2:15">
      <c r="B134" s="538" t="s">
        <v>479</v>
      </c>
      <c r="C134" s="592"/>
      <c r="D134" s="592"/>
      <c r="E134" s="592"/>
      <c r="F134" s="592">
        <v>0.56000000000000005</v>
      </c>
      <c r="G134" s="592"/>
      <c r="H134" s="592"/>
      <c r="I134" s="592"/>
      <c r="J134" s="592"/>
      <c r="K134" s="592"/>
      <c r="L134" s="592"/>
      <c r="M134" s="592"/>
      <c r="N134" s="539">
        <v>2</v>
      </c>
      <c r="O134" s="483">
        <v>4</v>
      </c>
    </row>
    <row r="135" spans="2:15">
      <c r="B135" s="538" t="s">
        <v>480</v>
      </c>
      <c r="C135" s="592">
        <v>0.64</v>
      </c>
      <c r="D135" s="592">
        <v>0.64</v>
      </c>
      <c r="E135" s="592">
        <v>0.32</v>
      </c>
      <c r="F135" s="592"/>
      <c r="G135" s="592">
        <v>1.33</v>
      </c>
      <c r="H135" s="592">
        <v>1.33</v>
      </c>
      <c r="I135" s="592">
        <v>0.35</v>
      </c>
      <c r="J135" s="592">
        <v>0.25</v>
      </c>
      <c r="K135" s="592">
        <v>0.32</v>
      </c>
      <c r="L135" s="592"/>
      <c r="M135" s="592">
        <v>0.25</v>
      </c>
      <c r="N135" s="539">
        <v>3</v>
      </c>
      <c r="O135" s="483">
        <v>1</v>
      </c>
    </row>
    <row r="136" spans="2:15">
      <c r="B136" s="538" t="s">
        <v>481</v>
      </c>
      <c r="C136" s="592"/>
      <c r="D136" s="592"/>
      <c r="E136" s="592">
        <v>0.64</v>
      </c>
      <c r="F136" s="592"/>
      <c r="G136" s="592"/>
      <c r="H136" s="592"/>
      <c r="I136" s="592"/>
      <c r="J136" s="592">
        <v>0.5</v>
      </c>
      <c r="K136" s="592">
        <v>0.64</v>
      </c>
      <c r="L136" s="592">
        <v>0.4861111111111111</v>
      </c>
      <c r="M136" s="592">
        <v>0.5</v>
      </c>
      <c r="N136" s="539">
        <v>3</v>
      </c>
      <c r="O136" s="483">
        <v>2</v>
      </c>
    </row>
    <row r="137" spans="2:15">
      <c r="B137" s="540" t="s">
        <v>482</v>
      </c>
      <c r="C137" s="592">
        <v>0.89</v>
      </c>
      <c r="D137" s="592">
        <v>0.89</v>
      </c>
      <c r="E137" s="592">
        <v>0.43</v>
      </c>
      <c r="F137" s="592"/>
      <c r="G137" s="592">
        <v>1.83</v>
      </c>
      <c r="H137" s="592">
        <v>1.83</v>
      </c>
      <c r="I137" s="592">
        <v>0.48</v>
      </c>
      <c r="J137" s="592">
        <v>0.34</v>
      </c>
      <c r="K137" s="592">
        <v>0.43</v>
      </c>
      <c r="L137" s="592"/>
      <c r="M137" s="592">
        <v>0.34</v>
      </c>
      <c r="N137" s="539">
        <v>4</v>
      </c>
      <c r="O137" s="483">
        <v>1</v>
      </c>
    </row>
    <row r="138" spans="2:15">
      <c r="B138" s="538" t="s">
        <v>483</v>
      </c>
      <c r="C138" s="592"/>
      <c r="D138" s="592"/>
      <c r="E138" s="592">
        <v>0.86</v>
      </c>
      <c r="F138" s="592"/>
      <c r="G138" s="592"/>
      <c r="H138" s="592"/>
      <c r="I138" s="592"/>
      <c r="J138" s="592">
        <v>0.68</v>
      </c>
      <c r="K138" s="592">
        <v>0.86</v>
      </c>
      <c r="L138" s="592">
        <v>0.65277777777777779</v>
      </c>
      <c r="M138" s="592">
        <v>0.68</v>
      </c>
      <c r="N138" s="539">
        <v>4</v>
      </c>
      <c r="O138" s="483">
        <v>2</v>
      </c>
    </row>
    <row r="139" spans="2:15">
      <c r="B139" s="538" t="s">
        <v>484</v>
      </c>
      <c r="C139" s="592"/>
      <c r="D139" s="592"/>
      <c r="E139" s="592"/>
      <c r="F139" s="592">
        <v>0.88</v>
      </c>
      <c r="G139" s="592"/>
      <c r="H139" s="592"/>
      <c r="I139" s="592"/>
      <c r="J139" s="592"/>
      <c r="K139" s="592"/>
      <c r="L139" s="592"/>
      <c r="M139" s="592"/>
      <c r="N139" s="539">
        <v>4</v>
      </c>
      <c r="O139" s="483">
        <v>4</v>
      </c>
    </row>
    <row r="140" spans="2:15">
      <c r="B140" s="538" t="s">
        <v>485</v>
      </c>
      <c r="C140" s="592">
        <v>1.1399999999999999</v>
      </c>
      <c r="D140" s="592">
        <v>1.1399999999999999</v>
      </c>
      <c r="E140" s="592">
        <v>0.54</v>
      </c>
      <c r="F140" s="592"/>
      <c r="G140" s="592">
        <v>2.33</v>
      </c>
      <c r="H140" s="592">
        <v>2.33</v>
      </c>
      <c r="I140" s="592">
        <v>0.62</v>
      </c>
      <c r="J140" s="592">
        <v>0.43</v>
      </c>
      <c r="K140" s="592">
        <v>0.54</v>
      </c>
      <c r="L140" s="592"/>
      <c r="M140" s="592">
        <v>0.43</v>
      </c>
      <c r="N140" s="539">
        <v>5</v>
      </c>
      <c r="O140" s="483">
        <v>1</v>
      </c>
    </row>
    <row r="141" spans="2:15">
      <c r="B141" s="538" t="s">
        <v>486</v>
      </c>
      <c r="C141" s="592"/>
      <c r="D141" s="592"/>
      <c r="E141" s="592">
        <v>1.08</v>
      </c>
      <c r="F141" s="592"/>
      <c r="G141" s="592"/>
      <c r="H141" s="592"/>
      <c r="I141" s="592"/>
      <c r="J141" s="592">
        <v>0.86</v>
      </c>
      <c r="K141" s="592">
        <v>1.08</v>
      </c>
      <c r="L141" s="592">
        <v>0.81944444444444442</v>
      </c>
      <c r="M141" s="592">
        <v>0.86</v>
      </c>
      <c r="N141" s="539">
        <v>5</v>
      </c>
      <c r="O141" s="483">
        <v>2</v>
      </c>
    </row>
    <row r="142" spans="2:15">
      <c r="B142" s="538" t="s">
        <v>487</v>
      </c>
      <c r="C142" s="592">
        <v>1.39</v>
      </c>
      <c r="D142" s="592">
        <v>1.39</v>
      </c>
      <c r="E142" s="592">
        <v>0.65</v>
      </c>
      <c r="F142" s="592"/>
      <c r="G142" s="592">
        <v>2.83</v>
      </c>
      <c r="H142" s="592">
        <v>2.83</v>
      </c>
      <c r="I142" s="592">
        <v>0.75</v>
      </c>
      <c r="J142" s="592">
        <v>0.51</v>
      </c>
      <c r="K142" s="592">
        <v>0.65</v>
      </c>
      <c r="L142" s="592"/>
      <c r="M142" s="592">
        <v>0.51</v>
      </c>
      <c r="N142" s="539">
        <v>6</v>
      </c>
      <c r="O142" s="483">
        <v>1</v>
      </c>
    </row>
    <row r="143" spans="2:15">
      <c r="B143" s="538" t="s">
        <v>488</v>
      </c>
      <c r="C143" s="592"/>
      <c r="D143" s="592"/>
      <c r="E143" s="592">
        <v>1.3</v>
      </c>
      <c r="F143" s="592"/>
      <c r="G143" s="592"/>
      <c r="H143" s="592"/>
      <c r="I143" s="592"/>
      <c r="J143" s="592">
        <v>1.02</v>
      </c>
      <c r="K143" s="592">
        <v>1.3</v>
      </c>
      <c r="L143" s="592">
        <v>0.98611111111111116</v>
      </c>
      <c r="M143" s="592">
        <v>1.02</v>
      </c>
      <c r="N143" s="539">
        <v>6</v>
      </c>
      <c r="O143" s="483">
        <v>2</v>
      </c>
    </row>
    <row r="144" spans="2:15">
      <c r="B144" s="538" t="s">
        <v>489</v>
      </c>
      <c r="C144" s="592">
        <v>1.64</v>
      </c>
      <c r="D144" s="592">
        <v>1.64</v>
      </c>
      <c r="E144" s="592">
        <v>0.77</v>
      </c>
      <c r="F144" s="592"/>
      <c r="G144" s="592">
        <v>3.33</v>
      </c>
      <c r="H144" s="592">
        <v>3.33</v>
      </c>
      <c r="I144" s="592">
        <v>0.88</v>
      </c>
      <c r="J144" s="592">
        <v>0.6</v>
      </c>
      <c r="K144" s="592">
        <v>0.77</v>
      </c>
      <c r="L144" s="592"/>
      <c r="M144" s="592">
        <v>0.6</v>
      </c>
      <c r="N144" s="539">
        <v>7</v>
      </c>
      <c r="O144" s="483">
        <v>1</v>
      </c>
    </row>
    <row r="145" spans="2:15">
      <c r="B145" s="538" t="s">
        <v>490</v>
      </c>
      <c r="C145" s="592"/>
      <c r="D145" s="592"/>
      <c r="E145" s="592">
        <v>1.54</v>
      </c>
      <c r="F145" s="592"/>
      <c r="G145" s="592"/>
      <c r="H145" s="592"/>
      <c r="I145" s="592"/>
      <c r="J145" s="592">
        <v>1.2</v>
      </c>
      <c r="K145" s="592">
        <v>1.54</v>
      </c>
      <c r="L145" s="592">
        <v>1.1527777777777777</v>
      </c>
      <c r="M145" s="592">
        <v>1.2</v>
      </c>
      <c r="N145" s="539">
        <v>7</v>
      </c>
      <c r="O145" s="483">
        <v>2</v>
      </c>
    </row>
    <row r="146" spans="2:15">
      <c r="B146" s="538" t="s">
        <v>491</v>
      </c>
      <c r="C146" s="592">
        <v>1.89</v>
      </c>
      <c r="D146" s="592">
        <v>1.89</v>
      </c>
      <c r="E146" s="592">
        <v>0.88</v>
      </c>
      <c r="F146" s="592"/>
      <c r="G146" s="592">
        <v>3.83</v>
      </c>
      <c r="H146" s="592">
        <v>3.83</v>
      </c>
      <c r="I146" s="592">
        <v>1.02</v>
      </c>
      <c r="J146" s="592">
        <v>0.69</v>
      </c>
      <c r="K146" s="592">
        <v>0.88</v>
      </c>
      <c r="L146" s="592"/>
      <c r="M146" s="592">
        <v>0.69</v>
      </c>
      <c r="N146" s="539">
        <v>8</v>
      </c>
      <c r="O146" s="483">
        <v>1</v>
      </c>
    </row>
    <row r="147" spans="2:15">
      <c r="B147" s="538" t="s">
        <v>492</v>
      </c>
      <c r="C147" s="592"/>
      <c r="D147" s="592"/>
      <c r="E147" s="592">
        <v>1.76</v>
      </c>
      <c r="F147" s="592"/>
      <c r="G147" s="592"/>
      <c r="H147" s="592"/>
      <c r="I147" s="592"/>
      <c r="J147" s="592">
        <v>1.38</v>
      </c>
      <c r="K147" s="592">
        <v>1.76</v>
      </c>
      <c r="L147" s="592">
        <v>1.3194444444444444</v>
      </c>
      <c r="M147" s="592">
        <v>1.38</v>
      </c>
      <c r="N147" s="539">
        <v>8</v>
      </c>
      <c r="O147" s="483">
        <v>2</v>
      </c>
    </row>
    <row r="148" spans="2:15">
      <c r="B148" s="538" t="s">
        <v>493</v>
      </c>
      <c r="C148" s="592">
        <v>2.14</v>
      </c>
      <c r="D148" s="592">
        <v>2.14</v>
      </c>
      <c r="E148" s="592">
        <v>0.99</v>
      </c>
      <c r="F148" s="592"/>
      <c r="G148" s="592">
        <v>4.33</v>
      </c>
      <c r="H148" s="592">
        <v>4.33</v>
      </c>
      <c r="I148" s="592">
        <v>1.1499999999999999</v>
      </c>
      <c r="J148" s="592">
        <v>0.78</v>
      </c>
      <c r="K148" s="592">
        <v>0.99</v>
      </c>
      <c r="L148" s="592"/>
      <c r="M148" s="592">
        <v>0.78</v>
      </c>
      <c r="N148" s="539">
        <v>9</v>
      </c>
      <c r="O148" s="483">
        <v>1</v>
      </c>
    </row>
    <row r="149" spans="2:15">
      <c r="B149" s="538" t="s">
        <v>494</v>
      </c>
      <c r="C149" s="592"/>
      <c r="D149" s="592"/>
      <c r="E149" s="592">
        <v>1.98</v>
      </c>
      <c r="F149" s="592"/>
      <c r="G149" s="592"/>
      <c r="H149" s="592"/>
      <c r="I149" s="592"/>
      <c r="J149" s="592">
        <v>1.56</v>
      </c>
      <c r="K149" s="592">
        <v>1.98</v>
      </c>
      <c r="L149" s="592">
        <v>1.4861111111111112</v>
      </c>
      <c r="M149" s="592">
        <v>1.56</v>
      </c>
      <c r="N149" s="539">
        <v>9</v>
      </c>
      <c r="O149" s="483">
        <v>2</v>
      </c>
    </row>
    <row r="152" spans="2:15">
      <c r="B152" s="858"/>
      <c r="C152" s="859"/>
      <c r="D152" s="859"/>
      <c r="E152" s="859"/>
      <c r="F152" s="859"/>
      <c r="G152" s="859"/>
      <c r="H152" s="859"/>
      <c r="I152" s="859"/>
      <c r="J152" s="859"/>
      <c r="K152" s="859"/>
      <c r="L152" s="859"/>
      <c r="M152" s="860"/>
    </row>
    <row r="153" spans="2:15">
      <c r="B153" s="541" t="s">
        <v>125</v>
      </c>
      <c r="C153" s="217" t="s">
        <v>34</v>
      </c>
      <c r="D153" s="217" t="s">
        <v>42</v>
      </c>
      <c r="E153" s="217" t="s">
        <v>520</v>
      </c>
      <c r="F153" s="217" t="s">
        <v>32</v>
      </c>
      <c r="G153" s="217" t="s">
        <v>35</v>
      </c>
      <c r="H153" s="217" t="s">
        <v>33</v>
      </c>
      <c r="I153" s="217" t="s">
        <v>41</v>
      </c>
      <c r="J153" s="217" t="s">
        <v>531</v>
      </c>
      <c r="K153" s="217" t="s">
        <v>530</v>
      </c>
      <c r="L153" s="217" t="s">
        <v>31</v>
      </c>
      <c r="M153" s="217" t="s">
        <v>541</v>
      </c>
    </row>
    <row r="154" spans="2:15">
      <c r="B154" s="541" t="s">
        <v>131</v>
      </c>
      <c r="C154" s="474" t="s">
        <v>135</v>
      </c>
      <c r="D154" s="474" t="s">
        <v>136</v>
      </c>
      <c r="E154" s="474" t="s">
        <v>521</v>
      </c>
      <c r="F154" s="474" t="s">
        <v>132</v>
      </c>
      <c r="G154" s="474" t="s">
        <v>137</v>
      </c>
      <c r="H154" s="474" t="s">
        <v>134</v>
      </c>
      <c r="I154" s="474" t="s">
        <v>138</v>
      </c>
      <c r="J154" s="474" t="s">
        <v>531</v>
      </c>
      <c r="K154" s="474" t="s">
        <v>530</v>
      </c>
      <c r="L154" s="474" t="s">
        <v>133</v>
      </c>
      <c r="M154" s="474" t="s">
        <v>541</v>
      </c>
    </row>
    <row r="155" spans="2:15">
      <c r="B155" s="542"/>
      <c r="C155" s="474"/>
      <c r="D155" s="474"/>
      <c r="E155" s="474"/>
      <c r="F155" s="474"/>
      <c r="G155" s="474"/>
      <c r="H155" s="474"/>
      <c r="I155" s="474"/>
      <c r="J155" s="474"/>
      <c r="K155" s="474"/>
      <c r="L155" s="474"/>
      <c r="M155" s="474"/>
    </row>
    <row r="156" spans="2:15">
      <c r="B156" s="543" t="s">
        <v>298</v>
      </c>
      <c r="C156" s="544">
        <v>1.401</v>
      </c>
      <c r="D156" s="544">
        <v>1.401</v>
      </c>
      <c r="E156" s="546">
        <f>0.693</f>
        <v>0.69299999999999995</v>
      </c>
      <c r="F156" s="546">
        <f>1.19688834287265</f>
        <v>1.19688834287265</v>
      </c>
      <c r="G156" s="546">
        <v>0.309</v>
      </c>
      <c r="H156" s="547">
        <v>0.309</v>
      </c>
      <c r="I156" s="547">
        <v>1.0658543658201582</v>
      </c>
      <c r="J156" s="548">
        <v>0.83399999999999996</v>
      </c>
      <c r="K156" s="546">
        <f>0.693</f>
        <v>0.69299999999999995</v>
      </c>
      <c r="L156" s="546">
        <f>0.834</f>
        <v>0.83399999999999996</v>
      </c>
      <c r="M156" s="545">
        <v>0.83399999999999996</v>
      </c>
    </row>
    <row r="157" spans="2:15">
      <c r="B157" s="543" t="s">
        <v>299</v>
      </c>
      <c r="C157" s="549">
        <v>4.8470000000000004</v>
      </c>
      <c r="D157" s="549">
        <v>4.8470000000000004</v>
      </c>
      <c r="E157" s="547">
        <f>3.349</f>
        <v>3.3490000000000002</v>
      </c>
      <c r="F157" s="547">
        <f>4.63799085631641</f>
        <v>4.6379908563164101</v>
      </c>
      <c r="G157" s="547">
        <v>2.1669999999999998</v>
      </c>
      <c r="H157" s="547">
        <v>2.1669999999999998</v>
      </c>
      <c r="I157" s="547">
        <v>3.5601029119842913</v>
      </c>
      <c r="J157" s="551">
        <v>3.96</v>
      </c>
      <c r="K157" s="547">
        <f>3.349</f>
        <v>3.3490000000000002</v>
      </c>
      <c r="L157" s="547">
        <f>3.96</f>
        <v>3.96</v>
      </c>
      <c r="M157" s="550">
        <v>3.96</v>
      </c>
    </row>
    <row r="158" spans="2:15">
      <c r="B158" s="543" t="s">
        <v>476</v>
      </c>
      <c r="C158" s="549">
        <v>11.555999999999999</v>
      </c>
      <c r="D158" s="549">
        <v>11.555999999999999</v>
      </c>
      <c r="E158" s="547">
        <f>10.49</f>
        <v>10.49</v>
      </c>
      <c r="F158" s="547">
        <f>12.3674047235849</f>
        <v>12.367404723584899</v>
      </c>
      <c r="G158" s="547">
        <v>7.67</v>
      </c>
      <c r="H158" s="547">
        <v>7.67</v>
      </c>
      <c r="I158" s="547">
        <v>8.7484713952405375</v>
      </c>
      <c r="J158" s="551">
        <v>10.33</v>
      </c>
      <c r="K158" s="547">
        <f>10.49</f>
        <v>10.49</v>
      </c>
      <c r="L158" s="547">
        <f>10.033</f>
        <v>10.032999999999999</v>
      </c>
      <c r="M158" s="550">
        <v>10.33</v>
      </c>
    </row>
    <row r="177" spans="3:16" ht="23.4">
      <c r="C177" s="489"/>
    </row>
    <row r="178" spans="3:16" ht="21.6" thickBot="1">
      <c r="C178" s="491"/>
      <c r="E178" s="552">
        <v>2</v>
      </c>
      <c r="G178" s="492"/>
    </row>
    <row r="179" spans="3:16" ht="15" thickBot="1">
      <c r="G179" s="492">
        <f>IF(Calculation!W8=4,0.937,1)</f>
        <v>1</v>
      </c>
      <c r="I179" s="594"/>
      <c r="J179" s="595"/>
      <c r="K179" s="861"/>
      <c r="L179" s="861"/>
      <c r="M179" s="861"/>
      <c r="N179" s="861"/>
      <c r="O179" s="862"/>
    </row>
    <row r="180" spans="3:16" ht="24" thickBot="1">
      <c r="C180" s="490"/>
      <c r="I180" s="64"/>
      <c r="J180" s="593">
        <v>0.1</v>
      </c>
      <c r="K180" s="593">
        <v>0.4</v>
      </c>
      <c r="L180" s="593">
        <v>0.5</v>
      </c>
      <c r="M180" s="593">
        <v>0.6</v>
      </c>
      <c r="N180" s="593">
        <v>0.7</v>
      </c>
      <c r="O180" s="66">
        <v>0.8</v>
      </c>
    </row>
    <row r="181" spans="3:16">
      <c r="C181" s="856"/>
      <c r="D181" s="857"/>
      <c r="E181" s="441"/>
      <c r="F181" s="442"/>
      <c r="G181" s="442"/>
      <c r="I181" s="596"/>
      <c r="J181" s="74">
        <v>4412</v>
      </c>
      <c r="K181" s="74">
        <v>4760</v>
      </c>
      <c r="L181" s="74">
        <v>5030</v>
      </c>
      <c r="M181" s="74">
        <v>5030</v>
      </c>
      <c r="N181" s="74">
        <v>5351</v>
      </c>
      <c r="O181" s="597">
        <v>5731</v>
      </c>
      <c r="P181" t="s">
        <v>503</v>
      </c>
    </row>
    <row r="182" spans="3:16">
      <c r="C182" s="484"/>
      <c r="D182" s="485"/>
      <c r="E182" s="616" t="s">
        <v>512</v>
      </c>
      <c r="F182" s="617" t="s">
        <v>513</v>
      </c>
      <c r="G182" s="617" t="s">
        <v>514</v>
      </c>
      <c r="I182" s="596"/>
      <c r="J182" s="74">
        <v>35</v>
      </c>
      <c r="K182" s="74">
        <v>40</v>
      </c>
      <c r="L182" s="74">
        <v>45</v>
      </c>
      <c r="M182" s="74">
        <v>45</v>
      </c>
      <c r="N182" s="74">
        <v>50</v>
      </c>
      <c r="O182" s="597">
        <v>55</v>
      </c>
      <c r="P182" t="s">
        <v>4</v>
      </c>
    </row>
    <row r="183" spans="3:16">
      <c r="C183" s="484"/>
      <c r="D183" s="486">
        <f>INDEX(E183:G183,1,$E$178)</f>
        <v>80</v>
      </c>
      <c r="E183" s="441">
        <f>HLOOKUP(Calculation!$P$13,J180:O186,3)</f>
        <v>50</v>
      </c>
      <c r="F183" s="587">
        <f>HLOOKUP(Calculation!$P$13,J180:O186,5)</f>
        <v>80</v>
      </c>
      <c r="G183" s="587">
        <f>HLOOKUP(Calculation!$P$13,J180:O186,7)</f>
        <v>160</v>
      </c>
      <c r="H183" t="s">
        <v>4</v>
      </c>
      <c r="I183" s="596"/>
      <c r="J183" s="74">
        <v>4163</v>
      </c>
      <c r="K183" s="74">
        <v>4566</v>
      </c>
      <c r="L183" s="74">
        <v>5103</v>
      </c>
      <c r="M183" s="74">
        <v>5494</v>
      </c>
      <c r="N183" s="74">
        <v>5943</v>
      </c>
      <c r="O183" s="597">
        <v>6394</v>
      </c>
      <c r="P183" t="s">
        <v>503</v>
      </c>
    </row>
    <row r="184" spans="3:16" ht="15" thickBot="1">
      <c r="C184" s="487">
        <f>((Calculation!$F$6-Calculation!$F$13)*$D183*1.08*Calculation!$BQ$15)+$D184</f>
        <v>7671</v>
      </c>
      <c r="D184" s="488">
        <f>INDEX(E184:G184,1,$E$178)*Calculation!BR15</f>
        <v>5943</v>
      </c>
      <c r="E184" s="441">
        <f>HLOOKUP(Calculation!$P$13,J180:O186,2)</f>
        <v>5351</v>
      </c>
      <c r="F184" s="587">
        <f>HLOOKUP(Calculation!$P$13,J180:O186,4)</f>
        <v>5943</v>
      </c>
      <c r="G184" s="587">
        <f>HLOOKUP(Calculation!$P$13,J180:O186,6)</f>
        <v>7511</v>
      </c>
      <c r="I184" s="596"/>
      <c r="J184" s="74">
        <v>50</v>
      </c>
      <c r="K184" s="74">
        <v>60</v>
      </c>
      <c r="L184" s="74">
        <v>70</v>
      </c>
      <c r="M184" s="74">
        <v>75</v>
      </c>
      <c r="N184" s="74">
        <v>80</v>
      </c>
      <c r="O184" s="597">
        <v>85</v>
      </c>
      <c r="P184" t="s">
        <v>4</v>
      </c>
    </row>
    <row r="185" spans="3:16">
      <c r="I185" s="596"/>
      <c r="J185" s="74">
        <v>4930</v>
      </c>
      <c r="K185" s="74">
        <v>6130</v>
      </c>
      <c r="L185" s="74">
        <v>6671</v>
      </c>
      <c r="M185" s="74">
        <v>7188</v>
      </c>
      <c r="N185" s="74">
        <v>7511</v>
      </c>
      <c r="O185" s="597">
        <v>7827</v>
      </c>
      <c r="P185" t="s">
        <v>503</v>
      </c>
    </row>
    <row r="186" spans="3:16" ht="24" thickBot="1">
      <c r="C186" s="490"/>
      <c r="I186" s="598"/>
      <c r="J186" s="599">
        <v>100</v>
      </c>
      <c r="K186" s="599">
        <v>120</v>
      </c>
      <c r="L186" s="599">
        <v>135</v>
      </c>
      <c r="M186" s="599">
        <v>150</v>
      </c>
      <c r="N186" s="599">
        <v>160</v>
      </c>
      <c r="O186" s="600">
        <v>170</v>
      </c>
      <c r="P186" t="s">
        <v>4</v>
      </c>
    </row>
    <row r="187" spans="3:16">
      <c r="C187" s="856"/>
      <c r="D187" s="857"/>
      <c r="E187" s="441"/>
      <c r="F187" s="442"/>
      <c r="G187" s="442"/>
    </row>
    <row r="188" spans="3:16">
      <c r="C188" s="484"/>
      <c r="D188" s="485"/>
      <c r="E188" s="616" t="s">
        <v>512</v>
      </c>
      <c r="F188" s="617" t="s">
        <v>513</v>
      </c>
      <c r="G188" s="617" t="s">
        <v>514</v>
      </c>
    </row>
    <row r="189" spans="3:16">
      <c r="C189" s="484"/>
      <c r="D189" s="486">
        <f>INDEX(E189:G189,1,$E$178)</f>
        <v>100</v>
      </c>
      <c r="E189" s="441">
        <v>70</v>
      </c>
      <c r="F189" s="442">
        <v>100</v>
      </c>
      <c r="G189" s="442">
        <v>120</v>
      </c>
      <c r="H189" t="s">
        <v>4</v>
      </c>
    </row>
    <row r="190" spans="3:16" ht="15" thickBot="1">
      <c r="C190" s="487">
        <f>((Calculation!$F$6-Calculation!$F$13)*$D189*1.08*Calculation!$BQ$15)+$D190</f>
        <v>5601</v>
      </c>
      <c r="D190" s="488">
        <f>INDEX(E190:G190,1,$E$178)*Calculation!BR15</f>
        <v>3441</v>
      </c>
      <c r="E190" s="441">
        <f>3274*G179</f>
        <v>3274</v>
      </c>
      <c r="F190" s="442">
        <f>3441*G179</f>
        <v>3441</v>
      </c>
      <c r="G190" s="442">
        <f>4001*G179</f>
        <v>4001</v>
      </c>
    </row>
    <row r="191" spans="3:16" ht="24" thickBot="1">
      <c r="C191" s="490"/>
    </row>
    <row r="192" spans="3:16">
      <c r="C192" s="856"/>
      <c r="D192" s="857"/>
      <c r="E192" s="441"/>
      <c r="F192" s="442"/>
      <c r="G192" s="442"/>
    </row>
    <row r="193" spans="3:8">
      <c r="C193" s="484"/>
      <c r="D193" s="485"/>
      <c r="E193" s="616" t="s">
        <v>512</v>
      </c>
      <c r="F193" s="617" t="s">
        <v>513</v>
      </c>
      <c r="G193" s="617" t="s">
        <v>514</v>
      </c>
    </row>
    <row r="194" spans="3:8">
      <c r="C194" s="484"/>
      <c r="D194" s="486">
        <f>INDEX(E194:G194,1,$E$178)</f>
        <v>50</v>
      </c>
      <c r="E194" s="441">
        <v>30</v>
      </c>
      <c r="F194" s="442">
        <v>50</v>
      </c>
      <c r="G194" s="442">
        <v>95</v>
      </c>
      <c r="H194" t="s">
        <v>4</v>
      </c>
    </row>
    <row r="195" spans="3:8" ht="15" thickBot="1">
      <c r="C195" s="487">
        <f>((Calculation!$F$6-Calculation!$F$13)*$D194*1.08*Calculation!$BQ$15)+$D195</f>
        <v>3360</v>
      </c>
      <c r="D195" s="488">
        <f>INDEX(E195:G195,1,$E$178)*Calculation!BR15</f>
        <v>2280</v>
      </c>
      <c r="E195" s="441">
        <f>1747*G179</f>
        <v>1747</v>
      </c>
      <c r="F195" s="442">
        <f>2280*G179</f>
        <v>2280</v>
      </c>
      <c r="G195" s="442">
        <f>3012*G179</f>
        <v>3012</v>
      </c>
    </row>
    <row r="196" spans="3:8" ht="24" thickBot="1">
      <c r="C196" s="490"/>
      <c r="E196" s="97"/>
      <c r="F196" s="97"/>
      <c r="G196" s="97"/>
    </row>
    <row r="197" spans="3:8">
      <c r="C197" s="856"/>
      <c r="D197" s="857"/>
      <c r="E197" s="441"/>
      <c r="F197" s="442"/>
      <c r="G197" s="442"/>
    </row>
    <row r="198" spans="3:8">
      <c r="C198" s="484"/>
      <c r="D198" s="485"/>
      <c r="E198" s="616" t="s">
        <v>512</v>
      </c>
      <c r="F198" s="617" t="s">
        <v>513</v>
      </c>
      <c r="G198" s="617" t="s">
        <v>514</v>
      </c>
    </row>
    <row r="199" spans="3:8">
      <c r="C199" s="484"/>
      <c r="D199" s="486">
        <f>INDEX(E199:G199,1,$E$178)</f>
        <v>75</v>
      </c>
      <c r="E199" s="588">
        <v>50</v>
      </c>
      <c r="F199" s="587">
        <v>75</v>
      </c>
      <c r="G199" s="587">
        <v>140</v>
      </c>
      <c r="H199" t="s">
        <v>4</v>
      </c>
    </row>
    <row r="200" spans="3:8" ht="15" thickBot="1">
      <c r="C200" s="487">
        <f>((Calculation!$F$6-Calculation!$F$13)*$D199*1.08*Calculation!$BQ$15)+$D200</f>
        <v>6291</v>
      </c>
      <c r="D200" s="488">
        <f>INDEX(E200:G200,1,$E$178)*Calculation!BR15</f>
        <v>4671</v>
      </c>
      <c r="E200" s="588">
        <v>2851</v>
      </c>
      <c r="F200" s="587">
        <v>4671</v>
      </c>
      <c r="G200" s="587">
        <v>6022</v>
      </c>
    </row>
    <row r="201" spans="3:8">
      <c r="E201" s="97"/>
    </row>
    <row r="202" spans="3:8" ht="24" thickBot="1">
      <c r="C202" s="490"/>
    </row>
    <row r="203" spans="3:8">
      <c r="C203" s="856"/>
      <c r="D203" s="857"/>
      <c r="E203" s="441"/>
      <c r="F203" s="442"/>
      <c r="G203" s="442"/>
    </row>
    <row r="204" spans="3:8">
      <c r="C204" s="484"/>
      <c r="D204" s="485"/>
      <c r="E204" s="616" t="s">
        <v>512</v>
      </c>
      <c r="F204" s="617" t="s">
        <v>513</v>
      </c>
      <c r="G204" s="617" t="s">
        <v>514</v>
      </c>
    </row>
    <row r="205" spans="3:8">
      <c r="C205" s="484"/>
      <c r="D205" s="486">
        <f>INDEX(E205:G205,1,$E$178)</f>
        <v>55</v>
      </c>
      <c r="E205" s="441">
        <v>30</v>
      </c>
      <c r="F205" s="442">
        <v>55</v>
      </c>
      <c r="G205" s="587">
        <v>95</v>
      </c>
      <c r="H205" t="s">
        <v>4</v>
      </c>
    </row>
    <row r="206" spans="3:8" ht="15" thickBot="1">
      <c r="C206" s="487">
        <f>((Calculation!$F$6-Calculation!$F$13)*$D205*1.08*Calculation!$BQ$15)+$D206</f>
        <v>4559</v>
      </c>
      <c r="D206" s="488">
        <f>INDEX(E206:G206,1,$E$178)*Calculation!BR15</f>
        <v>3371</v>
      </c>
      <c r="E206" s="441">
        <f>2166*G179</f>
        <v>2166</v>
      </c>
      <c r="F206" s="442">
        <f>3371*G179</f>
        <v>3371</v>
      </c>
      <c r="G206" s="587">
        <f>4039*G179</f>
        <v>4039</v>
      </c>
    </row>
    <row r="207" spans="3:8" ht="24" thickBot="1">
      <c r="C207" s="490"/>
    </row>
    <row r="208" spans="3:8">
      <c r="C208" s="856"/>
      <c r="D208" s="857"/>
      <c r="E208" s="441"/>
      <c r="F208" s="442"/>
      <c r="G208" s="442"/>
    </row>
    <row r="209" spans="2:15">
      <c r="C209" s="484"/>
      <c r="D209" s="485"/>
      <c r="E209" s="616" t="s">
        <v>512</v>
      </c>
      <c r="F209" s="617" t="s">
        <v>513</v>
      </c>
      <c r="G209" s="617" t="s">
        <v>514</v>
      </c>
    </row>
    <row r="210" spans="2:15">
      <c r="C210" s="484"/>
      <c r="D210" s="486">
        <f>INDEX(E210:G210,1,$E$178)</f>
        <v>55</v>
      </c>
      <c r="E210" s="441">
        <v>30</v>
      </c>
      <c r="F210" s="442">
        <v>55</v>
      </c>
      <c r="G210" s="442">
        <v>100</v>
      </c>
      <c r="H210" t="s">
        <v>4</v>
      </c>
    </row>
    <row r="211" spans="2:15" ht="15" thickBot="1">
      <c r="C211" s="487">
        <f>((Calculation!$F$6-Calculation!$F$13)*$D210*1.08*Calculation!$BQ$15)+$D211</f>
        <v>3426</v>
      </c>
      <c r="D211" s="488">
        <f>INDEX(E211:G211,1,$E$178)*Calculation!BR15</f>
        <v>2238</v>
      </c>
      <c r="E211" s="441">
        <v>1417</v>
      </c>
      <c r="F211" s="442">
        <v>2238</v>
      </c>
      <c r="G211" s="442">
        <v>4408</v>
      </c>
    </row>
    <row r="215" spans="2:15">
      <c r="B215" s="855"/>
      <c r="C215" s="855"/>
      <c r="D215" s="855"/>
      <c r="E215" s="855"/>
      <c r="F215" s="855"/>
      <c r="G215" s="855"/>
      <c r="H215" s="855"/>
      <c r="I215" s="855"/>
      <c r="J215" s="855"/>
      <c r="K215" s="855"/>
      <c r="L215" s="855"/>
      <c r="M215" s="855"/>
      <c r="N215" s="855"/>
      <c r="O215" s="855"/>
    </row>
    <row r="216" spans="2:15">
      <c r="B216" s="196"/>
      <c r="C216" s="197" t="s">
        <v>34</v>
      </c>
      <c r="D216" s="197" t="s">
        <v>42</v>
      </c>
      <c r="E216" s="217" t="s">
        <v>520</v>
      </c>
      <c r="F216" s="217" t="s">
        <v>32</v>
      </c>
      <c r="G216" s="197" t="s">
        <v>35</v>
      </c>
      <c r="H216" s="197" t="s">
        <v>33</v>
      </c>
      <c r="I216" s="197" t="s">
        <v>41</v>
      </c>
      <c r="J216" s="197" t="s">
        <v>531</v>
      </c>
      <c r="K216" s="197" t="s">
        <v>530</v>
      </c>
      <c r="L216" s="197" t="s">
        <v>31</v>
      </c>
      <c r="M216" s="197" t="s">
        <v>541</v>
      </c>
      <c r="N216" s="197"/>
      <c r="O216" s="197"/>
    </row>
    <row r="217" spans="2:15">
      <c r="B217" s="196"/>
      <c r="C217" s="197" t="s">
        <v>135</v>
      </c>
      <c r="D217" s="197" t="s">
        <v>136</v>
      </c>
      <c r="E217" s="474" t="s">
        <v>521</v>
      </c>
      <c r="F217" s="197" t="s">
        <v>132</v>
      </c>
      <c r="G217" s="197" t="s">
        <v>137</v>
      </c>
      <c r="H217" s="197" t="s">
        <v>134</v>
      </c>
      <c r="I217" s="197" t="s">
        <v>138</v>
      </c>
      <c r="J217" s="197" t="s">
        <v>531</v>
      </c>
      <c r="K217" s="197" t="s">
        <v>530</v>
      </c>
      <c r="L217" s="197" t="s">
        <v>133</v>
      </c>
      <c r="M217" s="197" t="s">
        <v>541</v>
      </c>
      <c r="N217" s="197"/>
      <c r="O217" s="197"/>
    </row>
    <row r="218" spans="2:15">
      <c r="B218" s="196"/>
      <c r="C218" s="197"/>
      <c r="D218" s="197"/>
      <c r="E218" s="197"/>
      <c r="F218" s="197"/>
      <c r="G218" s="197"/>
      <c r="H218" s="197"/>
      <c r="I218" s="197"/>
      <c r="J218" s="197"/>
      <c r="K218" s="197"/>
      <c r="L218" s="197"/>
      <c r="M218" s="197"/>
      <c r="N218" s="197"/>
      <c r="O218" s="197"/>
    </row>
    <row r="219" spans="2:15">
      <c r="B219" s="214" t="s">
        <v>208</v>
      </c>
      <c r="C219" s="199">
        <f>C211</f>
        <v>3426</v>
      </c>
      <c r="D219" s="199">
        <f>C211</f>
        <v>3426</v>
      </c>
      <c r="E219" s="199">
        <f>C184</f>
        <v>7671</v>
      </c>
      <c r="F219" s="199">
        <f>C195</f>
        <v>3360</v>
      </c>
      <c r="G219" s="199">
        <f>((Calculation!$F$6-Calculation!$F$13)*60*1.08*Calculation!$BQ$15)+(2970*G179*Calculation!BR15)</f>
        <v>4266</v>
      </c>
      <c r="H219" s="199">
        <v>4200</v>
      </c>
      <c r="I219" s="199">
        <f>((Calculation!$F$6-Calculation!$F$13)*60*1.08*Calculation!$BQ$15)+(2200*G179*Calculation!BR15)</f>
        <v>3496</v>
      </c>
      <c r="J219" s="199">
        <f>C190</f>
        <v>5601</v>
      </c>
      <c r="K219" s="199">
        <f>C184</f>
        <v>7671</v>
      </c>
      <c r="L219" s="199">
        <f>C200</f>
        <v>6291</v>
      </c>
      <c r="M219" s="199">
        <f>C190</f>
        <v>5601</v>
      </c>
      <c r="N219" s="218"/>
      <c r="O219" s="218"/>
    </row>
    <row r="221" spans="2:15">
      <c r="B221" s="851"/>
      <c r="C221" s="852"/>
      <c r="D221" s="852"/>
      <c r="E221" s="852"/>
      <c r="F221" s="852"/>
      <c r="G221" s="852"/>
      <c r="H221" s="852"/>
      <c r="I221" s="852"/>
      <c r="J221" s="852"/>
      <c r="K221" s="852"/>
      <c r="L221" s="852"/>
      <c r="M221" s="852"/>
      <c r="N221" s="852"/>
      <c r="O221" s="853"/>
    </row>
    <row r="222" spans="2:15">
      <c r="B222" s="196"/>
      <c r="C222" s="217" t="s">
        <v>34</v>
      </c>
      <c r="D222" s="217" t="s">
        <v>42</v>
      </c>
      <c r="E222" s="217" t="s">
        <v>520</v>
      </c>
      <c r="F222" s="217" t="s">
        <v>32</v>
      </c>
      <c r="G222" s="217" t="s">
        <v>35</v>
      </c>
      <c r="H222" s="217" t="s">
        <v>33</v>
      </c>
      <c r="I222" s="217" t="s">
        <v>41</v>
      </c>
      <c r="J222" s="217" t="s">
        <v>531</v>
      </c>
      <c r="K222" s="217" t="s">
        <v>530</v>
      </c>
      <c r="L222" s="217" t="s">
        <v>31</v>
      </c>
      <c r="M222" s="217" t="s">
        <v>541</v>
      </c>
      <c r="N222" s="217"/>
      <c r="O222" s="217"/>
    </row>
    <row r="223" spans="2:15">
      <c r="B223" s="196"/>
      <c r="C223" s="197" t="s">
        <v>135</v>
      </c>
      <c r="D223" s="197" t="s">
        <v>136</v>
      </c>
      <c r="E223" s="474" t="s">
        <v>521</v>
      </c>
      <c r="F223" s="197" t="s">
        <v>132</v>
      </c>
      <c r="G223" s="197" t="s">
        <v>137</v>
      </c>
      <c r="H223" s="197" t="s">
        <v>134</v>
      </c>
      <c r="I223" s="197" t="s">
        <v>138</v>
      </c>
      <c r="J223" s="197" t="s">
        <v>531</v>
      </c>
      <c r="K223" s="197" t="s">
        <v>530</v>
      </c>
      <c r="L223" s="197" t="s">
        <v>133</v>
      </c>
      <c r="M223" s="197" t="s">
        <v>541</v>
      </c>
      <c r="N223" s="197"/>
      <c r="O223" s="197"/>
    </row>
    <row r="224" spans="2:15">
      <c r="B224" s="196"/>
      <c r="C224" s="197"/>
      <c r="D224" s="197"/>
      <c r="E224" s="197"/>
      <c r="F224" s="197"/>
      <c r="G224" s="197"/>
      <c r="H224" s="197"/>
      <c r="I224" s="197"/>
      <c r="J224" s="197"/>
      <c r="K224" s="197"/>
      <c r="L224" s="197"/>
      <c r="M224" s="197"/>
      <c r="N224" s="197"/>
      <c r="O224" s="197"/>
    </row>
    <row r="225" spans="2:15">
      <c r="B225" s="214"/>
      <c r="C225" s="215">
        <v>3</v>
      </c>
      <c r="D225" s="215">
        <v>3</v>
      </c>
      <c r="E225" s="215">
        <v>2</v>
      </c>
      <c r="F225" s="198">
        <v>2</v>
      </c>
      <c r="G225" s="198">
        <v>3</v>
      </c>
      <c r="H225" s="198">
        <v>2</v>
      </c>
      <c r="I225" s="198">
        <v>3</v>
      </c>
      <c r="J225" s="198">
        <v>2</v>
      </c>
      <c r="K225" s="215">
        <v>2</v>
      </c>
      <c r="L225" s="198">
        <v>2</v>
      </c>
      <c r="M225" s="215">
        <v>2</v>
      </c>
      <c r="N225" s="215"/>
      <c r="O225" s="74"/>
    </row>
    <row r="226" spans="2:15">
      <c r="B226" s="214"/>
      <c r="C226" s="215">
        <v>4</v>
      </c>
      <c r="D226" s="215">
        <v>4</v>
      </c>
      <c r="E226" s="215">
        <v>3</v>
      </c>
      <c r="F226" s="198">
        <v>4</v>
      </c>
      <c r="G226" s="198">
        <v>4</v>
      </c>
      <c r="H226" s="198">
        <v>3</v>
      </c>
      <c r="I226" s="198">
        <v>4</v>
      </c>
      <c r="J226" s="198">
        <v>3</v>
      </c>
      <c r="K226" s="215">
        <v>3</v>
      </c>
      <c r="L226" s="198">
        <v>4</v>
      </c>
      <c r="M226" s="215">
        <v>3</v>
      </c>
      <c r="N226" s="215"/>
      <c r="O226" s="74"/>
    </row>
    <row r="227" spans="2:15">
      <c r="B227" s="214"/>
      <c r="C227" s="215">
        <v>5</v>
      </c>
      <c r="D227" s="215">
        <v>5</v>
      </c>
      <c r="E227" s="215">
        <v>4</v>
      </c>
      <c r="F227" s="198" t="s">
        <v>247</v>
      </c>
      <c r="G227" s="198">
        <v>5</v>
      </c>
      <c r="H227" s="198">
        <v>4</v>
      </c>
      <c r="I227" s="198">
        <v>5</v>
      </c>
      <c r="J227" s="198">
        <v>4</v>
      </c>
      <c r="K227" s="215">
        <v>4</v>
      </c>
      <c r="L227" s="198">
        <v>6</v>
      </c>
      <c r="M227" s="215">
        <v>4</v>
      </c>
      <c r="N227" s="215"/>
      <c r="O227" s="74"/>
    </row>
    <row r="228" spans="2:15">
      <c r="B228" s="214"/>
      <c r="C228" s="215">
        <v>6</v>
      </c>
      <c r="D228" s="215">
        <v>6</v>
      </c>
      <c r="E228" s="215">
        <v>5</v>
      </c>
      <c r="F228" s="198" t="s">
        <v>247</v>
      </c>
      <c r="G228" s="198">
        <v>6</v>
      </c>
      <c r="H228" s="198">
        <v>6</v>
      </c>
      <c r="I228" s="198">
        <v>6</v>
      </c>
      <c r="J228" s="198">
        <v>5</v>
      </c>
      <c r="K228" s="215">
        <v>5</v>
      </c>
      <c r="L228" s="198">
        <v>8</v>
      </c>
      <c r="M228" s="215">
        <v>5</v>
      </c>
      <c r="N228" s="215"/>
      <c r="O228" s="74"/>
    </row>
    <row r="229" spans="2:15">
      <c r="B229" s="214"/>
      <c r="C229" s="199" t="s">
        <v>246</v>
      </c>
      <c r="D229" s="199" t="s">
        <v>246</v>
      </c>
      <c r="E229" s="215">
        <v>6</v>
      </c>
      <c r="F229" s="198" t="s">
        <v>247</v>
      </c>
      <c r="G229" s="198" t="s">
        <v>247</v>
      </c>
      <c r="H229" s="198" t="s">
        <v>246</v>
      </c>
      <c r="I229" s="198">
        <v>7</v>
      </c>
      <c r="J229" s="198">
        <v>6</v>
      </c>
      <c r="K229" s="215">
        <v>6</v>
      </c>
      <c r="L229" s="198" t="s">
        <v>246</v>
      </c>
      <c r="M229" s="215">
        <v>6</v>
      </c>
      <c r="N229" s="215"/>
      <c r="O229" s="74"/>
    </row>
    <row r="230" spans="2:15">
      <c r="B230" s="214"/>
      <c r="C230" s="199" t="s">
        <v>246</v>
      </c>
      <c r="D230" s="199" t="s">
        <v>246</v>
      </c>
      <c r="E230" s="215">
        <v>7</v>
      </c>
      <c r="F230" s="198" t="s">
        <v>247</v>
      </c>
      <c r="G230" s="198" t="s">
        <v>247</v>
      </c>
      <c r="H230" s="198" t="s">
        <v>246</v>
      </c>
      <c r="I230" s="198">
        <v>8</v>
      </c>
      <c r="J230" s="198">
        <v>7</v>
      </c>
      <c r="K230" s="215">
        <v>7</v>
      </c>
      <c r="L230" s="198" t="s">
        <v>246</v>
      </c>
      <c r="M230" s="215">
        <v>7</v>
      </c>
      <c r="N230" s="215"/>
      <c r="O230" s="74"/>
    </row>
    <row r="231" spans="2:15">
      <c r="B231" s="214"/>
      <c r="C231" s="199" t="s">
        <v>246</v>
      </c>
      <c r="D231" s="199" t="s">
        <v>246</v>
      </c>
      <c r="E231" s="215">
        <v>8</v>
      </c>
      <c r="F231" s="198" t="s">
        <v>247</v>
      </c>
      <c r="G231" s="198" t="s">
        <v>247</v>
      </c>
      <c r="H231" s="198" t="s">
        <v>246</v>
      </c>
      <c r="I231" s="198" t="s">
        <v>246</v>
      </c>
      <c r="J231" s="198">
        <v>8</v>
      </c>
      <c r="K231" s="215">
        <v>8</v>
      </c>
      <c r="L231" s="198" t="s">
        <v>246</v>
      </c>
      <c r="M231" s="215">
        <v>8</v>
      </c>
      <c r="N231" s="215"/>
      <c r="O231" s="74"/>
    </row>
    <row r="232" spans="2:15">
      <c r="B232" s="214"/>
      <c r="C232" s="199" t="s">
        <v>246</v>
      </c>
      <c r="D232" s="199" t="s">
        <v>246</v>
      </c>
      <c r="E232" s="215">
        <v>9</v>
      </c>
      <c r="F232" s="198" t="s">
        <v>247</v>
      </c>
      <c r="G232" s="198" t="s">
        <v>247</v>
      </c>
      <c r="H232" s="198" t="s">
        <v>246</v>
      </c>
      <c r="I232" s="198" t="s">
        <v>246</v>
      </c>
      <c r="J232" s="198">
        <v>9</v>
      </c>
      <c r="K232" s="215">
        <v>9</v>
      </c>
      <c r="L232" s="198" t="s">
        <v>246</v>
      </c>
      <c r="M232" s="215">
        <v>9</v>
      </c>
      <c r="N232" s="215"/>
      <c r="O232" s="74"/>
    </row>
    <row r="233" spans="2:15">
      <c r="B233" s="214"/>
      <c r="C233" s="199" t="s">
        <v>246</v>
      </c>
      <c r="D233" s="199" t="s">
        <v>246</v>
      </c>
      <c r="E233" s="215">
        <v>10</v>
      </c>
      <c r="F233" s="198" t="s">
        <v>247</v>
      </c>
      <c r="G233" s="198" t="s">
        <v>247</v>
      </c>
      <c r="H233" s="198" t="s">
        <v>246</v>
      </c>
      <c r="I233" s="198" t="s">
        <v>246</v>
      </c>
      <c r="J233" s="198">
        <v>10</v>
      </c>
      <c r="K233" s="215">
        <v>10</v>
      </c>
      <c r="L233" s="198" t="s">
        <v>246</v>
      </c>
      <c r="M233" s="215">
        <v>10</v>
      </c>
      <c r="N233" s="215"/>
      <c r="O233" s="74"/>
    </row>
    <row r="234" spans="2:15">
      <c r="B234" s="214"/>
      <c r="C234" s="199" t="s">
        <v>246</v>
      </c>
      <c r="D234" s="199" t="s">
        <v>246</v>
      </c>
      <c r="E234" s="199"/>
      <c r="F234" s="198" t="s">
        <v>247</v>
      </c>
      <c r="G234" s="198" t="s">
        <v>247</v>
      </c>
      <c r="H234" s="198" t="s">
        <v>246</v>
      </c>
      <c r="I234" s="198" t="s">
        <v>246</v>
      </c>
      <c r="J234" s="199"/>
      <c r="K234" s="199"/>
      <c r="L234" s="198" t="s">
        <v>246</v>
      </c>
      <c r="M234" s="199"/>
      <c r="N234" s="215"/>
      <c r="O234" s="74"/>
    </row>
    <row r="236" spans="2:15">
      <c r="B236" s="848"/>
      <c r="C236" s="849"/>
      <c r="D236" s="849"/>
      <c r="E236" s="849"/>
      <c r="F236" s="849"/>
      <c r="G236" s="849"/>
      <c r="H236" s="849"/>
      <c r="I236" s="849"/>
      <c r="J236" s="849"/>
      <c r="K236" s="849"/>
      <c r="L236" s="849"/>
      <c r="M236" s="849"/>
      <c r="N236" s="849"/>
      <c r="O236" s="850"/>
    </row>
    <row r="237" spans="2:15">
      <c r="B237" s="196"/>
      <c r="C237" s="217" t="s">
        <v>34</v>
      </c>
      <c r="D237" s="217" t="s">
        <v>42</v>
      </c>
      <c r="E237" s="217" t="s">
        <v>520</v>
      </c>
      <c r="F237" s="217" t="s">
        <v>32</v>
      </c>
      <c r="G237" s="217" t="s">
        <v>35</v>
      </c>
      <c r="H237" s="217" t="s">
        <v>33</v>
      </c>
      <c r="I237" s="217" t="s">
        <v>41</v>
      </c>
      <c r="J237" s="217" t="s">
        <v>531</v>
      </c>
      <c r="K237" s="217" t="s">
        <v>530</v>
      </c>
      <c r="L237" s="217" t="s">
        <v>31</v>
      </c>
      <c r="M237" s="217" t="s">
        <v>541</v>
      </c>
      <c r="N237" s="217"/>
      <c r="O237" s="217"/>
    </row>
    <row r="238" spans="2:15">
      <c r="B238" s="196"/>
      <c r="C238" s="197" t="s">
        <v>135</v>
      </c>
      <c r="D238" s="197" t="s">
        <v>136</v>
      </c>
      <c r="E238" s="474" t="s">
        <v>521</v>
      </c>
      <c r="F238" s="197" t="s">
        <v>132</v>
      </c>
      <c r="G238" s="197" t="s">
        <v>137</v>
      </c>
      <c r="H238" s="197" t="s">
        <v>134</v>
      </c>
      <c r="I238" s="197" t="s">
        <v>138</v>
      </c>
      <c r="J238" s="197" t="s">
        <v>531</v>
      </c>
      <c r="K238" s="197" t="s">
        <v>530</v>
      </c>
      <c r="L238" s="197" t="s">
        <v>133</v>
      </c>
      <c r="M238" s="197" t="s">
        <v>541</v>
      </c>
      <c r="N238" s="197" t="s">
        <v>11</v>
      </c>
      <c r="O238" s="197" t="s">
        <v>256</v>
      </c>
    </row>
    <row r="239" spans="2:15">
      <c r="B239" s="196"/>
      <c r="C239" s="197"/>
      <c r="D239" s="197"/>
      <c r="E239" s="197"/>
      <c r="F239" s="197"/>
      <c r="G239" s="197"/>
      <c r="H239" s="197"/>
      <c r="I239" s="197"/>
      <c r="J239" s="197"/>
      <c r="K239" s="197"/>
      <c r="L239" s="197"/>
      <c r="M239" s="197"/>
      <c r="N239" s="197"/>
      <c r="O239" s="197"/>
    </row>
    <row r="240" spans="2:15">
      <c r="B240" s="214" t="s">
        <v>257</v>
      </c>
      <c r="C240" s="198">
        <v>23</v>
      </c>
      <c r="D240" s="198">
        <v>23</v>
      </c>
      <c r="E240" s="198">
        <v>21</v>
      </c>
      <c r="F240" s="198"/>
      <c r="G240" s="198"/>
      <c r="H240" s="198">
        <v>19</v>
      </c>
      <c r="I240" s="198">
        <v>19</v>
      </c>
      <c r="J240" s="198">
        <v>17</v>
      </c>
      <c r="K240" s="198">
        <v>21</v>
      </c>
      <c r="L240" s="198"/>
      <c r="M240" s="198">
        <v>17</v>
      </c>
      <c r="N240" s="215">
        <v>2</v>
      </c>
      <c r="O240" s="74">
        <v>1</v>
      </c>
    </row>
    <row r="241" spans="2:15">
      <c r="B241" s="214" t="s">
        <v>258</v>
      </c>
      <c r="C241" s="198"/>
      <c r="D241" s="198"/>
      <c r="E241" s="198">
        <v>42</v>
      </c>
      <c r="F241" s="198"/>
      <c r="G241" s="198"/>
      <c r="H241" s="198">
        <v>19</v>
      </c>
      <c r="I241" s="198"/>
      <c r="J241" s="198">
        <v>34</v>
      </c>
      <c r="K241" s="198">
        <v>42</v>
      </c>
      <c r="L241" s="198">
        <v>36</v>
      </c>
      <c r="M241" s="198">
        <v>34</v>
      </c>
      <c r="N241" s="215">
        <v>2</v>
      </c>
      <c r="O241" s="74">
        <v>2</v>
      </c>
    </row>
    <row r="242" spans="2:15">
      <c r="B242" s="286" t="s">
        <v>303</v>
      </c>
      <c r="C242" s="198"/>
      <c r="D242" s="198"/>
      <c r="E242" s="198"/>
      <c r="F242" s="198">
        <v>72</v>
      </c>
      <c r="G242" s="198"/>
      <c r="H242" s="198"/>
      <c r="I242" s="198"/>
      <c r="J242" s="198"/>
      <c r="K242" s="198"/>
      <c r="L242" s="198"/>
      <c r="M242" s="198"/>
      <c r="N242" s="215">
        <v>2</v>
      </c>
      <c r="O242" s="74">
        <v>4</v>
      </c>
    </row>
    <row r="243" spans="2:15">
      <c r="B243" s="214" t="s">
        <v>259</v>
      </c>
      <c r="C243" s="198">
        <v>35</v>
      </c>
      <c r="D243" s="198">
        <v>35</v>
      </c>
      <c r="E243" s="198">
        <v>33</v>
      </c>
      <c r="F243" s="198"/>
      <c r="G243" s="198">
        <v>31</v>
      </c>
      <c r="H243" s="198">
        <v>31</v>
      </c>
      <c r="I243" s="198">
        <v>31</v>
      </c>
      <c r="J243" s="198">
        <v>29</v>
      </c>
      <c r="K243" s="198">
        <v>33</v>
      </c>
      <c r="L243" s="198"/>
      <c r="M243" s="198">
        <v>29</v>
      </c>
      <c r="N243" s="215">
        <v>3</v>
      </c>
      <c r="O243" s="74">
        <v>1</v>
      </c>
    </row>
    <row r="244" spans="2:15">
      <c r="B244" s="214" t="s">
        <v>260</v>
      </c>
      <c r="C244" s="198"/>
      <c r="D244" s="198"/>
      <c r="E244" s="198">
        <v>66</v>
      </c>
      <c r="F244" s="198"/>
      <c r="G244" s="198"/>
      <c r="H244" s="198">
        <v>31</v>
      </c>
      <c r="I244" s="198"/>
      <c r="J244" s="198">
        <v>58</v>
      </c>
      <c r="K244" s="198">
        <v>66</v>
      </c>
      <c r="L244" s="198"/>
      <c r="M244" s="198">
        <v>58</v>
      </c>
      <c r="N244" s="215">
        <v>3</v>
      </c>
      <c r="O244" s="74">
        <v>2</v>
      </c>
    </row>
    <row r="245" spans="2:15">
      <c r="B245" s="214" t="s">
        <v>261</v>
      </c>
      <c r="C245" s="198">
        <v>47</v>
      </c>
      <c r="D245" s="198">
        <v>47</v>
      </c>
      <c r="E245" s="198">
        <v>45</v>
      </c>
      <c r="F245" s="198"/>
      <c r="G245" s="198">
        <v>43</v>
      </c>
      <c r="H245" s="198">
        <v>43</v>
      </c>
      <c r="I245" s="198">
        <v>43</v>
      </c>
      <c r="J245" s="198">
        <v>41</v>
      </c>
      <c r="K245" s="198">
        <v>45</v>
      </c>
      <c r="L245" s="198"/>
      <c r="M245" s="198">
        <v>41</v>
      </c>
      <c r="N245" s="215">
        <v>4</v>
      </c>
      <c r="O245" s="74">
        <v>1</v>
      </c>
    </row>
    <row r="246" spans="2:15">
      <c r="B246" s="214" t="s">
        <v>262</v>
      </c>
      <c r="C246" s="198"/>
      <c r="D246" s="198"/>
      <c r="E246" s="198">
        <v>90</v>
      </c>
      <c r="F246" s="198"/>
      <c r="G246" s="198"/>
      <c r="H246" s="198">
        <v>43</v>
      </c>
      <c r="I246" s="198"/>
      <c r="J246" s="198">
        <v>82</v>
      </c>
      <c r="K246" s="198">
        <v>90</v>
      </c>
      <c r="L246" s="198">
        <v>84</v>
      </c>
      <c r="M246" s="198">
        <v>82</v>
      </c>
      <c r="N246" s="215">
        <v>4</v>
      </c>
      <c r="O246" s="74">
        <v>2</v>
      </c>
    </row>
    <row r="247" spans="2:15">
      <c r="B247" s="286" t="s">
        <v>304</v>
      </c>
      <c r="C247" s="198"/>
      <c r="D247" s="198"/>
      <c r="E247" s="198"/>
      <c r="F247" s="198">
        <v>120</v>
      </c>
      <c r="G247" s="198"/>
      <c r="H247" s="198"/>
      <c r="I247" s="198"/>
      <c r="J247" s="198"/>
      <c r="K247" s="198"/>
      <c r="L247" s="198"/>
      <c r="M247" s="198"/>
      <c r="N247" s="215">
        <v>4</v>
      </c>
      <c r="O247" s="74">
        <v>4</v>
      </c>
    </row>
    <row r="248" spans="2:15">
      <c r="B248" s="214" t="s">
        <v>263</v>
      </c>
      <c r="C248" s="198">
        <v>59</v>
      </c>
      <c r="D248" s="198">
        <v>59</v>
      </c>
      <c r="E248" s="198">
        <v>57</v>
      </c>
      <c r="F248" s="198"/>
      <c r="G248" s="198">
        <v>55</v>
      </c>
      <c r="H248" s="198"/>
      <c r="I248" s="198">
        <v>55</v>
      </c>
      <c r="J248" s="198">
        <v>53</v>
      </c>
      <c r="K248" s="198">
        <v>57</v>
      </c>
      <c r="L248" s="198"/>
      <c r="M248" s="198">
        <v>53</v>
      </c>
      <c r="N248" s="215">
        <v>5</v>
      </c>
      <c r="O248" s="74">
        <v>1</v>
      </c>
    </row>
    <row r="249" spans="2:15">
      <c r="B249" s="214" t="s">
        <v>264</v>
      </c>
      <c r="C249" s="198"/>
      <c r="D249" s="198"/>
      <c r="E249" s="198">
        <v>114</v>
      </c>
      <c r="F249" s="198"/>
      <c r="G249" s="198"/>
      <c r="H249" s="198"/>
      <c r="I249" s="198"/>
      <c r="J249" s="198">
        <v>106</v>
      </c>
      <c r="K249" s="198">
        <v>114</v>
      </c>
      <c r="L249" s="198"/>
      <c r="M249" s="198">
        <v>106</v>
      </c>
      <c r="N249" s="215">
        <v>5</v>
      </c>
      <c r="O249" s="74">
        <v>2</v>
      </c>
    </row>
    <row r="250" spans="2:15">
      <c r="B250" s="214" t="s">
        <v>265</v>
      </c>
      <c r="C250" s="198">
        <v>71</v>
      </c>
      <c r="D250" s="198">
        <v>71</v>
      </c>
      <c r="E250" s="198">
        <v>69</v>
      </c>
      <c r="F250" s="198"/>
      <c r="G250" s="198">
        <v>67</v>
      </c>
      <c r="H250" s="198">
        <v>67</v>
      </c>
      <c r="I250" s="198">
        <v>67</v>
      </c>
      <c r="J250" s="198">
        <v>65</v>
      </c>
      <c r="K250" s="198">
        <v>69</v>
      </c>
      <c r="L250" s="198"/>
      <c r="M250" s="198">
        <v>65</v>
      </c>
      <c r="N250" s="215">
        <v>6</v>
      </c>
      <c r="O250" s="74">
        <v>1</v>
      </c>
    </row>
    <row r="251" spans="2:15">
      <c r="B251" s="214" t="s">
        <v>266</v>
      </c>
      <c r="C251" s="198"/>
      <c r="D251" s="198"/>
      <c r="E251" s="198">
        <v>138</v>
      </c>
      <c r="F251" s="198"/>
      <c r="G251" s="198"/>
      <c r="H251" s="198">
        <v>67</v>
      </c>
      <c r="I251" s="198"/>
      <c r="J251" s="198">
        <v>130</v>
      </c>
      <c r="K251" s="198">
        <v>138</v>
      </c>
      <c r="L251" s="198">
        <v>132</v>
      </c>
      <c r="M251" s="198">
        <v>130</v>
      </c>
      <c r="N251" s="215">
        <v>6</v>
      </c>
      <c r="O251" s="74">
        <v>2</v>
      </c>
    </row>
    <row r="252" spans="2:15">
      <c r="B252" s="214" t="s">
        <v>267</v>
      </c>
      <c r="C252" s="198"/>
      <c r="D252" s="198"/>
      <c r="E252" s="198">
        <v>81</v>
      </c>
      <c r="F252" s="198"/>
      <c r="G252" s="198"/>
      <c r="H252" s="198"/>
      <c r="I252" s="198">
        <v>79</v>
      </c>
      <c r="J252" s="198">
        <v>77</v>
      </c>
      <c r="K252" s="198">
        <v>81</v>
      </c>
      <c r="L252" s="198"/>
      <c r="M252" s="198">
        <v>77</v>
      </c>
      <c r="N252" s="215">
        <v>7</v>
      </c>
      <c r="O252" s="74">
        <v>1</v>
      </c>
    </row>
    <row r="253" spans="2:15">
      <c r="B253" s="214" t="s">
        <v>268</v>
      </c>
      <c r="C253" s="198"/>
      <c r="D253" s="198"/>
      <c r="E253" s="198">
        <v>162</v>
      </c>
      <c r="F253" s="198"/>
      <c r="G253" s="198"/>
      <c r="H253" s="198"/>
      <c r="I253" s="198"/>
      <c r="J253" s="198">
        <v>154</v>
      </c>
      <c r="K253" s="198">
        <v>162</v>
      </c>
      <c r="L253" s="198"/>
      <c r="M253" s="198">
        <v>154</v>
      </c>
      <c r="N253" s="215">
        <v>7</v>
      </c>
      <c r="O253" s="74">
        <v>2</v>
      </c>
    </row>
    <row r="254" spans="2:15">
      <c r="B254" s="214" t="s">
        <v>269</v>
      </c>
      <c r="C254" s="198"/>
      <c r="D254" s="198"/>
      <c r="E254" s="198">
        <v>93</v>
      </c>
      <c r="F254" s="198"/>
      <c r="G254" s="198"/>
      <c r="H254" s="198"/>
      <c r="I254" s="198">
        <v>91</v>
      </c>
      <c r="J254" s="198">
        <v>89</v>
      </c>
      <c r="K254" s="198">
        <v>93</v>
      </c>
      <c r="L254" s="198"/>
      <c r="M254" s="198">
        <v>89</v>
      </c>
      <c r="N254" s="215">
        <v>8</v>
      </c>
      <c r="O254" s="74">
        <v>1</v>
      </c>
    </row>
    <row r="255" spans="2:15">
      <c r="B255" s="214" t="s">
        <v>270</v>
      </c>
      <c r="C255" s="198"/>
      <c r="D255" s="198"/>
      <c r="E255" s="198">
        <v>186</v>
      </c>
      <c r="F255" s="198"/>
      <c r="G255" s="198"/>
      <c r="H255" s="198"/>
      <c r="I255" s="198"/>
      <c r="J255" s="198">
        <v>178</v>
      </c>
      <c r="K255" s="198">
        <v>186</v>
      </c>
      <c r="L255" s="198">
        <v>180</v>
      </c>
      <c r="M255" s="198">
        <v>178</v>
      </c>
      <c r="N255" s="215">
        <v>8</v>
      </c>
      <c r="O255" s="74">
        <v>2</v>
      </c>
    </row>
    <row r="256" spans="2:15">
      <c r="B256" s="214" t="s">
        <v>271</v>
      </c>
      <c r="C256" s="198"/>
      <c r="D256" s="198"/>
      <c r="E256" s="198">
        <v>105</v>
      </c>
      <c r="F256" s="198"/>
      <c r="G256" s="198"/>
      <c r="H256" s="198"/>
      <c r="I256" s="198"/>
      <c r="J256" s="198">
        <v>101</v>
      </c>
      <c r="K256" s="198">
        <v>105</v>
      </c>
      <c r="L256" s="198"/>
      <c r="M256" s="198">
        <v>101</v>
      </c>
      <c r="N256" s="215">
        <v>9</v>
      </c>
      <c r="O256" s="74">
        <v>1</v>
      </c>
    </row>
    <row r="257" spans="2:15">
      <c r="B257" s="214" t="s">
        <v>272</v>
      </c>
      <c r="C257" s="198"/>
      <c r="D257" s="198"/>
      <c r="E257" s="198">
        <v>210</v>
      </c>
      <c r="F257" s="198"/>
      <c r="G257" s="198"/>
      <c r="H257" s="198"/>
      <c r="I257" s="198"/>
      <c r="J257" s="198">
        <v>202</v>
      </c>
      <c r="K257" s="198">
        <v>210</v>
      </c>
      <c r="L257" s="198"/>
      <c r="M257" s="198">
        <v>202</v>
      </c>
      <c r="N257" s="215">
        <v>9</v>
      </c>
      <c r="O257" s="74">
        <v>2</v>
      </c>
    </row>
    <row r="258" spans="2:15">
      <c r="B258" s="214" t="s">
        <v>273</v>
      </c>
      <c r="C258" s="198"/>
      <c r="D258" s="198"/>
      <c r="E258" s="198">
        <v>117</v>
      </c>
      <c r="F258" s="198"/>
      <c r="G258" s="198"/>
      <c r="H258" s="198"/>
      <c r="I258" s="198"/>
      <c r="J258" s="198">
        <v>113</v>
      </c>
      <c r="K258" s="198">
        <v>117</v>
      </c>
      <c r="L258" s="198"/>
      <c r="M258" s="198">
        <v>113</v>
      </c>
      <c r="N258" s="215">
        <v>10</v>
      </c>
      <c r="O258" s="74">
        <v>1</v>
      </c>
    </row>
    <row r="259" spans="2:15">
      <c r="B259" s="214" t="s">
        <v>274</v>
      </c>
      <c r="C259" s="198"/>
      <c r="D259" s="198"/>
      <c r="E259" s="198">
        <v>234</v>
      </c>
      <c r="F259" s="198"/>
      <c r="G259" s="198"/>
      <c r="H259" s="198"/>
      <c r="I259" s="198"/>
      <c r="J259" s="198">
        <v>226</v>
      </c>
      <c r="K259" s="198">
        <v>234</v>
      </c>
      <c r="L259" s="198"/>
      <c r="M259" s="198">
        <v>226</v>
      </c>
      <c r="N259" s="215">
        <v>10</v>
      </c>
      <c r="O259" s="74">
        <v>2</v>
      </c>
    </row>
    <row r="261" spans="2:15">
      <c r="B261" s="851"/>
      <c r="C261" s="852"/>
      <c r="D261" s="852"/>
      <c r="E261" s="852"/>
      <c r="F261" s="852"/>
      <c r="G261" s="852"/>
      <c r="H261" s="852"/>
      <c r="I261" s="852"/>
      <c r="J261" s="852"/>
      <c r="K261" s="852"/>
      <c r="L261" s="852"/>
      <c r="M261" s="852"/>
      <c r="N261" s="852"/>
      <c r="O261" s="853"/>
    </row>
    <row r="262" spans="2:15">
      <c r="B262" s="196"/>
      <c r="C262" s="217" t="s">
        <v>34</v>
      </c>
      <c r="D262" s="217" t="s">
        <v>42</v>
      </c>
      <c r="E262" s="217" t="s">
        <v>520</v>
      </c>
      <c r="F262" s="217" t="s">
        <v>32</v>
      </c>
      <c r="G262" s="217" t="s">
        <v>35</v>
      </c>
      <c r="H262" s="217" t="s">
        <v>33</v>
      </c>
      <c r="I262" s="217" t="s">
        <v>41</v>
      </c>
      <c r="J262" s="217" t="s">
        <v>531</v>
      </c>
      <c r="K262" s="217" t="s">
        <v>530</v>
      </c>
      <c r="L262" s="217" t="s">
        <v>31</v>
      </c>
      <c r="M262" s="217" t="s">
        <v>541</v>
      </c>
      <c r="N262" s="217"/>
      <c r="O262" s="217"/>
    </row>
    <row r="263" spans="2:15">
      <c r="B263" s="196"/>
      <c r="C263" s="197" t="s">
        <v>135</v>
      </c>
      <c r="D263" s="197" t="s">
        <v>136</v>
      </c>
      <c r="E263" s="474" t="s">
        <v>521</v>
      </c>
      <c r="F263" s="197" t="s">
        <v>132</v>
      </c>
      <c r="G263" s="197" t="s">
        <v>137</v>
      </c>
      <c r="H263" s="197" t="s">
        <v>134</v>
      </c>
      <c r="I263" s="197" t="s">
        <v>138</v>
      </c>
      <c r="J263" s="197" t="s">
        <v>531</v>
      </c>
      <c r="K263" s="474" t="s">
        <v>530</v>
      </c>
      <c r="L263" s="197" t="s">
        <v>133</v>
      </c>
      <c r="M263" s="197" t="s">
        <v>541</v>
      </c>
      <c r="N263" s="197" t="s">
        <v>11</v>
      </c>
      <c r="O263" s="197" t="s">
        <v>256</v>
      </c>
    </row>
    <row r="264" spans="2:15">
      <c r="B264" s="196"/>
      <c r="C264" s="197"/>
      <c r="D264" s="197"/>
      <c r="E264" s="197"/>
      <c r="F264" s="197"/>
      <c r="G264" s="197"/>
      <c r="H264" s="197"/>
      <c r="I264" s="197"/>
      <c r="J264" s="197"/>
      <c r="K264" s="197"/>
      <c r="L264" s="197"/>
      <c r="M264" s="197"/>
      <c r="N264" s="197"/>
      <c r="O264" s="197"/>
    </row>
    <row r="265" spans="2:15">
      <c r="B265" s="214" t="s">
        <v>257</v>
      </c>
      <c r="C265" s="382">
        <v>0.56000000000000005</v>
      </c>
      <c r="D265" s="382">
        <v>0.56000000000000005</v>
      </c>
      <c r="E265" s="382">
        <v>0.56000000000000005</v>
      </c>
      <c r="F265" s="382"/>
      <c r="G265" s="382">
        <v>0.56000000000000005</v>
      </c>
      <c r="H265" s="382">
        <v>0.56000000000000005</v>
      </c>
      <c r="I265" s="382">
        <v>0.56000000000000005</v>
      </c>
      <c r="J265" s="382">
        <v>0.56000000000000005</v>
      </c>
      <c r="K265" s="382">
        <v>0.56000000000000005</v>
      </c>
      <c r="L265" s="382"/>
      <c r="M265" s="382">
        <v>0.56000000000000005</v>
      </c>
      <c r="N265" s="383">
        <v>2</v>
      </c>
      <c r="O265" s="384">
        <v>1</v>
      </c>
    </row>
    <row r="266" spans="2:15">
      <c r="B266" s="214" t="s">
        <v>258</v>
      </c>
      <c r="C266" s="382"/>
      <c r="D266" s="382"/>
      <c r="E266" s="382">
        <v>0.56000000000000005</v>
      </c>
      <c r="F266" s="382"/>
      <c r="G266" s="382"/>
      <c r="H266" s="382"/>
      <c r="I266" s="382"/>
      <c r="J266" s="382">
        <v>0.56000000000000005</v>
      </c>
      <c r="K266" s="382">
        <v>0.56000000000000005</v>
      </c>
      <c r="L266" s="382">
        <v>0.56000000000000005</v>
      </c>
      <c r="M266" s="382">
        <v>0.56000000000000005</v>
      </c>
      <c r="N266" s="383">
        <v>2</v>
      </c>
      <c r="O266" s="384">
        <v>2</v>
      </c>
    </row>
    <row r="267" spans="2:15">
      <c r="B267" s="286" t="s">
        <v>303</v>
      </c>
      <c r="C267" s="384"/>
      <c r="D267" s="384"/>
      <c r="E267" s="384"/>
      <c r="F267" s="384">
        <v>0.63</v>
      </c>
      <c r="G267" s="384"/>
      <c r="H267" s="384"/>
      <c r="I267" s="384"/>
      <c r="J267" s="384"/>
      <c r="K267" s="384"/>
      <c r="L267" s="384"/>
      <c r="M267" s="384"/>
      <c r="N267" s="383">
        <v>2</v>
      </c>
      <c r="O267" s="384">
        <v>4</v>
      </c>
    </row>
    <row r="268" spans="2:15">
      <c r="B268" s="214" t="s">
        <v>259</v>
      </c>
      <c r="C268" s="382">
        <v>0.78</v>
      </c>
      <c r="D268" s="382">
        <v>0.78</v>
      </c>
      <c r="E268" s="382">
        <v>0.78</v>
      </c>
      <c r="F268" s="382"/>
      <c r="G268" s="382">
        <v>0.78</v>
      </c>
      <c r="H268" s="382">
        <v>0.78</v>
      </c>
      <c r="I268" s="382">
        <v>0.78</v>
      </c>
      <c r="J268" s="382">
        <v>0.78</v>
      </c>
      <c r="K268" s="382">
        <v>0.78</v>
      </c>
      <c r="L268" s="382"/>
      <c r="M268" s="382">
        <v>0.78</v>
      </c>
      <c r="N268" s="383">
        <v>3</v>
      </c>
      <c r="O268" s="384">
        <v>1</v>
      </c>
    </row>
    <row r="269" spans="2:15">
      <c r="B269" s="214" t="s">
        <v>260</v>
      </c>
      <c r="C269" s="382"/>
      <c r="D269" s="382"/>
      <c r="E269" s="382">
        <v>0.78</v>
      </c>
      <c r="F269" s="382"/>
      <c r="G269" s="382"/>
      <c r="H269" s="382"/>
      <c r="I269" s="382"/>
      <c r="J269" s="382">
        <v>0.78</v>
      </c>
      <c r="K269" s="382">
        <v>0.78</v>
      </c>
      <c r="L269" s="382">
        <v>0.78</v>
      </c>
      <c r="M269" s="382">
        <v>0.78</v>
      </c>
      <c r="N269" s="383">
        <v>3</v>
      </c>
      <c r="O269" s="384">
        <v>2</v>
      </c>
    </row>
    <row r="270" spans="2:15">
      <c r="B270" s="214" t="s">
        <v>261</v>
      </c>
      <c r="C270" s="382">
        <v>1</v>
      </c>
      <c r="D270" s="382">
        <v>1</v>
      </c>
      <c r="E270" s="382">
        <v>1</v>
      </c>
      <c r="F270" s="382"/>
      <c r="G270" s="382">
        <v>1</v>
      </c>
      <c r="H270" s="382">
        <v>1</v>
      </c>
      <c r="I270" s="382">
        <v>1</v>
      </c>
      <c r="J270" s="382">
        <v>1</v>
      </c>
      <c r="K270" s="382">
        <v>1</v>
      </c>
      <c r="L270" s="382"/>
      <c r="M270" s="382">
        <v>1</v>
      </c>
      <c r="N270" s="383">
        <v>4</v>
      </c>
      <c r="O270" s="384">
        <v>1</v>
      </c>
    </row>
    <row r="271" spans="2:15">
      <c r="B271" s="214" t="s">
        <v>262</v>
      </c>
      <c r="C271" s="382"/>
      <c r="D271" s="382"/>
      <c r="E271" s="382">
        <v>1</v>
      </c>
      <c r="F271" s="382"/>
      <c r="G271" s="382"/>
      <c r="H271" s="382"/>
      <c r="I271" s="382"/>
      <c r="J271" s="382">
        <v>1</v>
      </c>
      <c r="K271" s="382">
        <v>1</v>
      </c>
      <c r="L271" s="382">
        <v>1</v>
      </c>
      <c r="M271" s="382">
        <v>1</v>
      </c>
      <c r="N271" s="383">
        <v>4</v>
      </c>
      <c r="O271" s="384">
        <v>2</v>
      </c>
    </row>
    <row r="272" spans="2:15">
      <c r="B272" s="286" t="s">
        <v>304</v>
      </c>
      <c r="C272" s="384"/>
      <c r="D272" s="384"/>
      <c r="E272" s="384"/>
      <c r="F272" s="385">
        <v>1</v>
      </c>
      <c r="G272" s="384"/>
      <c r="H272" s="384"/>
      <c r="I272" s="384"/>
      <c r="J272" s="384"/>
      <c r="K272" s="384"/>
      <c r="L272" s="384"/>
      <c r="M272" s="384"/>
      <c r="N272" s="383">
        <v>4</v>
      </c>
      <c r="O272" s="384">
        <v>4</v>
      </c>
    </row>
    <row r="273" spans="2:15">
      <c r="B273" s="214" t="s">
        <v>263</v>
      </c>
      <c r="C273" s="382">
        <v>1.21</v>
      </c>
      <c r="D273" s="382">
        <v>1.21</v>
      </c>
      <c r="E273" s="382">
        <v>1.214</v>
      </c>
      <c r="F273" s="382"/>
      <c r="G273" s="382">
        <v>1.21</v>
      </c>
      <c r="H273" s="382">
        <v>1.21</v>
      </c>
      <c r="I273" s="382">
        <v>1.21</v>
      </c>
      <c r="J273" s="382">
        <v>1.18</v>
      </c>
      <c r="K273" s="382">
        <v>1.214</v>
      </c>
      <c r="L273" s="382"/>
      <c r="M273" s="382">
        <v>1.18</v>
      </c>
      <c r="N273" s="383">
        <v>5</v>
      </c>
      <c r="O273" s="384">
        <v>1</v>
      </c>
    </row>
    <row r="274" spans="2:15">
      <c r="B274" s="214" t="s">
        <v>264</v>
      </c>
      <c r="C274" s="382"/>
      <c r="D274" s="382"/>
      <c r="E274" s="382">
        <v>1.214</v>
      </c>
      <c r="F274" s="382"/>
      <c r="G274" s="382"/>
      <c r="H274" s="382"/>
      <c r="I274" s="382"/>
      <c r="J274" s="382">
        <v>1.18</v>
      </c>
      <c r="K274" s="382">
        <v>1.214</v>
      </c>
      <c r="L274" s="382">
        <v>1.214</v>
      </c>
      <c r="M274" s="382">
        <v>1.18</v>
      </c>
      <c r="N274" s="383">
        <v>5</v>
      </c>
      <c r="O274" s="384">
        <v>2</v>
      </c>
    </row>
    <row r="275" spans="2:15">
      <c r="B275" s="214" t="s">
        <v>265</v>
      </c>
      <c r="C275" s="382">
        <v>1.43</v>
      </c>
      <c r="D275" s="382">
        <v>1.43</v>
      </c>
      <c r="E275" s="382">
        <v>1.43</v>
      </c>
      <c r="F275" s="382"/>
      <c r="G275" s="382">
        <v>1.43</v>
      </c>
      <c r="H275" s="382">
        <v>1.43</v>
      </c>
      <c r="I275" s="382">
        <v>1.43</v>
      </c>
      <c r="J275" s="382">
        <v>1.34</v>
      </c>
      <c r="K275" s="382">
        <v>1.43</v>
      </c>
      <c r="L275" s="382"/>
      <c r="M275" s="382">
        <v>1.34</v>
      </c>
      <c r="N275" s="383">
        <v>6</v>
      </c>
      <c r="O275" s="384">
        <v>1</v>
      </c>
    </row>
    <row r="276" spans="2:15">
      <c r="B276" s="214" t="s">
        <v>266</v>
      </c>
      <c r="C276" s="382"/>
      <c r="D276" s="382"/>
      <c r="E276" s="382">
        <v>1.43</v>
      </c>
      <c r="F276" s="382"/>
      <c r="G276" s="382"/>
      <c r="H276" s="382"/>
      <c r="I276" s="382"/>
      <c r="J276" s="382">
        <v>1.34</v>
      </c>
      <c r="K276" s="382">
        <v>1.43</v>
      </c>
      <c r="L276" s="382">
        <v>1.43</v>
      </c>
      <c r="M276" s="382">
        <v>1.34</v>
      </c>
      <c r="N276" s="383">
        <v>6</v>
      </c>
      <c r="O276" s="384">
        <v>2</v>
      </c>
    </row>
    <row r="277" spans="2:15">
      <c r="B277" s="214" t="s">
        <v>267</v>
      </c>
      <c r="C277" s="382">
        <v>1.61</v>
      </c>
      <c r="D277" s="382">
        <v>1.61</v>
      </c>
      <c r="E277" s="382">
        <v>1.6140000000000001</v>
      </c>
      <c r="F277" s="382"/>
      <c r="G277" s="382">
        <v>1.61</v>
      </c>
      <c r="H277" s="382">
        <v>1.61</v>
      </c>
      <c r="I277" s="382">
        <v>1.61</v>
      </c>
      <c r="J277" s="382">
        <v>1.55</v>
      </c>
      <c r="K277" s="382">
        <v>1.6140000000000001</v>
      </c>
      <c r="L277" s="382"/>
      <c r="M277" s="382">
        <v>1.55</v>
      </c>
      <c r="N277" s="383">
        <v>7</v>
      </c>
      <c r="O277" s="384">
        <v>1</v>
      </c>
    </row>
    <row r="278" spans="2:15">
      <c r="B278" s="214" t="s">
        <v>268</v>
      </c>
      <c r="C278" s="382"/>
      <c r="D278" s="382"/>
      <c r="E278" s="382">
        <v>1.6140000000000001</v>
      </c>
      <c r="F278" s="382"/>
      <c r="G278" s="382"/>
      <c r="H278" s="382"/>
      <c r="I278" s="382"/>
      <c r="J278" s="382">
        <v>1.55</v>
      </c>
      <c r="K278" s="382">
        <v>1.6140000000000001</v>
      </c>
      <c r="L278" s="382">
        <v>1.6140000000000001</v>
      </c>
      <c r="M278" s="382">
        <v>1.55</v>
      </c>
      <c r="N278" s="383">
        <v>7</v>
      </c>
      <c r="O278" s="384">
        <v>2</v>
      </c>
    </row>
    <row r="279" spans="2:15">
      <c r="B279" s="214" t="s">
        <v>269</v>
      </c>
      <c r="C279" s="382">
        <v>1.81</v>
      </c>
      <c r="D279" s="382">
        <v>1.81</v>
      </c>
      <c r="E279" s="382">
        <v>1.8140000000000001</v>
      </c>
      <c r="F279" s="382"/>
      <c r="G279" s="382">
        <v>1.81</v>
      </c>
      <c r="H279" s="382">
        <v>1.81</v>
      </c>
      <c r="I279" s="382">
        <v>1.81</v>
      </c>
      <c r="J279" s="382">
        <v>1.75</v>
      </c>
      <c r="K279" s="382">
        <v>1.8140000000000001</v>
      </c>
      <c r="L279" s="382"/>
      <c r="M279" s="382">
        <v>1.75</v>
      </c>
      <c r="N279" s="383">
        <v>8</v>
      </c>
      <c r="O279" s="384">
        <v>1</v>
      </c>
    </row>
    <row r="280" spans="2:15">
      <c r="B280" s="214" t="s">
        <v>270</v>
      </c>
      <c r="C280" s="382"/>
      <c r="D280" s="382"/>
      <c r="E280" s="382">
        <v>1.8140000000000001</v>
      </c>
      <c r="F280" s="382"/>
      <c r="G280" s="382"/>
      <c r="H280" s="382"/>
      <c r="I280" s="382"/>
      <c r="J280" s="382">
        <v>1.75</v>
      </c>
      <c r="K280" s="382">
        <v>1.8140000000000001</v>
      </c>
      <c r="L280" s="382">
        <v>1.8140000000000001</v>
      </c>
      <c r="M280" s="382">
        <v>1.75</v>
      </c>
      <c r="N280" s="383">
        <v>8</v>
      </c>
      <c r="O280" s="384">
        <v>2</v>
      </c>
    </row>
    <row r="281" spans="2:15">
      <c r="B281" s="214" t="s">
        <v>271</v>
      </c>
      <c r="C281" s="382">
        <v>1.97</v>
      </c>
      <c r="D281" s="382">
        <v>1.97</v>
      </c>
      <c r="E281" s="382">
        <v>1.97</v>
      </c>
      <c r="F281" s="382"/>
      <c r="G281" s="382">
        <v>1.97</v>
      </c>
      <c r="H281" s="382">
        <v>1.97</v>
      </c>
      <c r="I281" s="382">
        <v>1.97</v>
      </c>
      <c r="J281" s="382">
        <v>1.95</v>
      </c>
      <c r="K281" s="382">
        <v>1.97</v>
      </c>
      <c r="L281" s="382"/>
      <c r="M281" s="382">
        <v>1.95</v>
      </c>
      <c r="N281" s="383">
        <v>9</v>
      </c>
      <c r="O281" s="384">
        <v>1</v>
      </c>
    </row>
    <row r="282" spans="2:15">
      <c r="B282" s="214" t="s">
        <v>272</v>
      </c>
      <c r="C282" s="382"/>
      <c r="D282" s="382"/>
      <c r="E282" s="382">
        <v>1.97</v>
      </c>
      <c r="F282" s="382"/>
      <c r="G282" s="382"/>
      <c r="H282" s="382"/>
      <c r="I282" s="382"/>
      <c r="J282" s="382">
        <v>1.95</v>
      </c>
      <c r="K282" s="382">
        <v>1.97</v>
      </c>
      <c r="L282" s="382">
        <v>1.97</v>
      </c>
      <c r="M282" s="382">
        <v>1.95</v>
      </c>
      <c r="N282" s="383">
        <v>9</v>
      </c>
      <c r="O282" s="384">
        <v>2</v>
      </c>
    </row>
    <row r="283" spans="2:15">
      <c r="B283" s="214" t="s">
        <v>273</v>
      </c>
      <c r="C283" s="382">
        <v>2.13</v>
      </c>
      <c r="D283" s="382">
        <v>2.13</v>
      </c>
      <c r="E283" s="382">
        <v>2.13</v>
      </c>
      <c r="F283" s="382"/>
      <c r="G283" s="382">
        <v>2.13</v>
      </c>
      <c r="H283" s="382">
        <v>2.13</v>
      </c>
      <c r="I283" s="382">
        <v>2.13</v>
      </c>
      <c r="J283" s="382">
        <v>2.13</v>
      </c>
      <c r="K283" s="382">
        <v>2.13</v>
      </c>
      <c r="L283" s="382"/>
      <c r="M283" s="382">
        <v>2.13</v>
      </c>
      <c r="N283" s="383">
        <v>10</v>
      </c>
      <c r="O283" s="384">
        <v>1</v>
      </c>
    </row>
    <row r="284" spans="2:15">
      <c r="B284" s="214" t="s">
        <v>274</v>
      </c>
      <c r="C284" s="382"/>
      <c r="D284" s="382"/>
      <c r="E284" s="382">
        <v>2.13</v>
      </c>
      <c r="F284" s="382"/>
      <c r="G284" s="382"/>
      <c r="H284" s="382"/>
      <c r="I284" s="382"/>
      <c r="J284" s="382">
        <v>2.13</v>
      </c>
      <c r="K284" s="382">
        <v>2.13</v>
      </c>
      <c r="L284" s="382">
        <v>2.13</v>
      </c>
      <c r="M284" s="382">
        <v>2.13</v>
      </c>
      <c r="N284" s="383">
        <v>10</v>
      </c>
      <c r="O284" s="384">
        <v>2</v>
      </c>
    </row>
    <row r="306" spans="1:13">
      <c r="B306" s="845"/>
      <c r="C306" s="846"/>
      <c r="D306" s="846"/>
      <c r="E306" s="846"/>
      <c r="F306" s="846"/>
      <c r="G306" s="846"/>
      <c r="H306" s="846"/>
      <c r="I306" s="846"/>
      <c r="J306" s="846"/>
      <c r="K306" s="846"/>
      <c r="L306" s="846"/>
      <c r="M306" s="847"/>
    </row>
    <row r="307" spans="1:13">
      <c r="B307" s="213"/>
      <c r="C307" s="211" t="s">
        <v>3</v>
      </c>
      <c r="D307" s="211" t="s">
        <v>46</v>
      </c>
      <c r="E307" s="211" t="s">
        <v>32</v>
      </c>
      <c r="F307" s="211" t="s">
        <v>31</v>
      </c>
      <c r="G307" s="211" t="s">
        <v>33</v>
      </c>
      <c r="H307" s="211" t="s">
        <v>34</v>
      </c>
      <c r="I307" s="211" t="s">
        <v>42</v>
      </c>
      <c r="J307" s="212" t="s">
        <v>35</v>
      </c>
      <c r="K307" s="211" t="s">
        <v>41</v>
      </c>
      <c r="L307" s="211" t="s">
        <v>30</v>
      </c>
      <c r="M307" s="75" t="s">
        <v>47</v>
      </c>
    </row>
    <row r="308" spans="1:13">
      <c r="B308" s="145" t="s">
        <v>62</v>
      </c>
      <c r="C308" s="114">
        <f>-128.88</f>
        <v>-128.88</v>
      </c>
      <c r="D308" s="114">
        <f>-128.88</f>
        <v>-128.88</v>
      </c>
      <c r="E308" s="114">
        <v>-179.62868377339399</v>
      </c>
      <c r="F308" s="114">
        <v>-137.94300000000001</v>
      </c>
      <c r="G308" s="114">
        <v>-179.62868377339416</v>
      </c>
      <c r="H308" s="114">
        <v>-236.95099999999999</v>
      </c>
      <c r="I308" s="114">
        <v>-236.95099999999999</v>
      </c>
      <c r="J308" s="114">
        <v>-179.62868377339416</v>
      </c>
      <c r="K308" s="114">
        <v>-152.63900000000001</v>
      </c>
      <c r="L308" s="601">
        <v>-128</v>
      </c>
      <c r="M308" s="601">
        <v>-128</v>
      </c>
    </row>
    <row r="309" spans="1:13">
      <c r="B309" s="146" t="s">
        <v>63</v>
      </c>
      <c r="C309" s="114">
        <f>30.764</f>
        <v>30.763999999999999</v>
      </c>
      <c r="D309" s="114">
        <f>30.764</f>
        <v>30.763999999999999</v>
      </c>
      <c r="E309" s="114">
        <v>28.910465570311999</v>
      </c>
      <c r="F309" s="114">
        <v>34.968000000000004</v>
      </c>
      <c r="G309" s="114">
        <v>28.910465570312013</v>
      </c>
      <c r="H309" s="114">
        <v>26.768999999999998</v>
      </c>
      <c r="I309" s="114">
        <v>26.768999999999998</v>
      </c>
      <c r="J309" s="114">
        <v>28.910465570312013</v>
      </c>
      <c r="K309" s="251">
        <v>28.914934866097582</v>
      </c>
      <c r="L309" s="601">
        <v>32.299999999999997</v>
      </c>
      <c r="M309" s="601">
        <v>32.299999999999997</v>
      </c>
    </row>
    <row r="310" spans="1:13">
      <c r="B310" s="145" t="s">
        <v>64</v>
      </c>
      <c r="C310" s="114">
        <f>11.967</f>
        <v>11.967000000000001</v>
      </c>
      <c r="D310" s="114">
        <f>11.967</f>
        <v>11.967000000000001</v>
      </c>
      <c r="E310" s="114">
        <v>38.500555508248397</v>
      </c>
      <c r="F310" s="114">
        <v>31.327999999999999</v>
      </c>
      <c r="G310" s="114">
        <v>37</v>
      </c>
      <c r="H310" s="114">
        <v>64.801000000000002</v>
      </c>
      <c r="I310" s="114">
        <v>64.801000000000002</v>
      </c>
      <c r="J310" s="114">
        <v>37</v>
      </c>
      <c r="K310" s="251">
        <v>37.011591542531221</v>
      </c>
      <c r="L310" s="601">
        <v>12</v>
      </c>
      <c r="M310" s="601">
        <v>12</v>
      </c>
    </row>
    <row r="311" spans="1:13">
      <c r="B311" s="147" t="s">
        <v>65</v>
      </c>
      <c r="C311" s="114">
        <f>16.817</f>
        <v>16.817</v>
      </c>
      <c r="D311" s="114">
        <f>16.817</f>
        <v>16.817</v>
      </c>
      <c r="E311" s="114">
        <v>1.1371808229929501</v>
      </c>
      <c r="F311" s="114">
        <v>-13.968</v>
      </c>
      <c r="G311" s="114">
        <v>1.137180822992947</v>
      </c>
      <c r="H311" s="114">
        <v>-21.388000000000002</v>
      </c>
      <c r="I311" s="114">
        <v>-21.388000000000002</v>
      </c>
      <c r="J311" s="114">
        <v>1.137180822992947</v>
      </c>
      <c r="K311" s="251">
        <v>-11.796457400389135</v>
      </c>
      <c r="L311" s="601">
        <v>17</v>
      </c>
      <c r="M311" s="601">
        <v>17</v>
      </c>
    </row>
    <row r="312" spans="1:13" ht="15">
      <c r="A312" s="620"/>
      <c r="B312" s="145" t="s">
        <v>516</v>
      </c>
      <c r="C312" s="160">
        <v>5.9</v>
      </c>
      <c r="D312" s="160">
        <v>5.9</v>
      </c>
      <c r="E312" s="161">
        <v>4.5</v>
      </c>
      <c r="F312" s="160">
        <v>4.2</v>
      </c>
      <c r="G312" s="161">
        <v>7.2</v>
      </c>
      <c r="H312" s="161">
        <v>6.9</v>
      </c>
      <c r="I312" s="161">
        <v>6.9</v>
      </c>
      <c r="J312" s="161">
        <v>7.2</v>
      </c>
      <c r="K312" s="161">
        <v>5.5</v>
      </c>
      <c r="L312" s="161">
        <v>4.5999999999999996</v>
      </c>
      <c r="M312" s="161">
        <v>4.5999999999999996</v>
      </c>
    </row>
    <row r="313" spans="1:13" ht="15">
      <c r="A313" s="620"/>
      <c r="B313" s="145" t="s">
        <v>517</v>
      </c>
      <c r="C313" s="160">
        <v>4.8</v>
      </c>
      <c r="D313" s="160">
        <v>4.8</v>
      </c>
      <c r="E313" s="161">
        <v>3.5</v>
      </c>
      <c r="F313" s="160">
        <v>3.7</v>
      </c>
      <c r="G313" s="161">
        <v>5.7</v>
      </c>
      <c r="H313" s="160">
        <v>6</v>
      </c>
      <c r="I313" s="160">
        <v>6</v>
      </c>
      <c r="J313" s="161">
        <v>5.7</v>
      </c>
      <c r="K313" s="160">
        <v>4.4000000000000004</v>
      </c>
      <c r="L313" s="260">
        <v>3.7</v>
      </c>
      <c r="M313" s="260">
        <v>3.7</v>
      </c>
    </row>
    <row r="314" spans="1:13" ht="15">
      <c r="A314" s="620"/>
      <c r="B314" s="145" t="s">
        <v>518</v>
      </c>
      <c r="C314" s="160">
        <v>4</v>
      </c>
      <c r="D314" s="160">
        <v>4</v>
      </c>
      <c r="E314" s="161">
        <v>2.5</v>
      </c>
      <c r="F314" s="160">
        <v>2.7</v>
      </c>
      <c r="G314" s="161">
        <v>4.8</v>
      </c>
      <c r="H314" s="160">
        <v>4.5</v>
      </c>
      <c r="I314" s="160">
        <v>4.5</v>
      </c>
      <c r="J314" s="161">
        <v>4.8</v>
      </c>
      <c r="K314" s="160">
        <v>3.6</v>
      </c>
      <c r="L314" s="260">
        <v>2.9</v>
      </c>
      <c r="M314" s="260">
        <v>2.9</v>
      </c>
    </row>
    <row r="315" spans="1:13" ht="15">
      <c r="A315" s="620"/>
      <c r="B315" s="145" t="s">
        <v>519</v>
      </c>
      <c r="C315" s="160">
        <v>2.5</v>
      </c>
      <c r="D315" s="160">
        <v>2.5</v>
      </c>
      <c r="E315" s="161">
        <v>1.8</v>
      </c>
      <c r="F315" s="160">
        <v>1.9</v>
      </c>
      <c r="G315" s="161">
        <v>3.4</v>
      </c>
      <c r="H315" s="160">
        <v>2.7</v>
      </c>
      <c r="I315" s="160">
        <v>2.7</v>
      </c>
      <c r="J315" s="161">
        <v>3.4</v>
      </c>
      <c r="K315" s="160">
        <v>3</v>
      </c>
      <c r="L315" s="74"/>
      <c r="M315" s="74"/>
    </row>
    <row r="316" spans="1:13">
      <c r="B316" s="145" t="s">
        <v>297</v>
      </c>
      <c r="C316" s="74"/>
      <c r="D316" s="74"/>
      <c r="E316" s="74"/>
      <c r="F316" s="74"/>
      <c r="G316" s="74"/>
      <c r="H316" s="74"/>
      <c r="I316" s="74"/>
      <c r="J316" s="74"/>
      <c r="K316" s="74"/>
      <c r="L316" s="74"/>
      <c r="M316" s="74"/>
    </row>
    <row r="317" spans="1:13">
      <c r="B317" s="145" t="s">
        <v>298</v>
      </c>
      <c r="C317" s="74"/>
      <c r="D317" s="74"/>
      <c r="E317" s="74"/>
      <c r="F317" s="74"/>
      <c r="G317" s="74"/>
      <c r="H317" s="74"/>
      <c r="I317" s="74"/>
      <c r="J317" s="74"/>
      <c r="K317" s="74"/>
      <c r="L317" s="74"/>
      <c r="M317" s="74"/>
    </row>
    <row r="318" spans="1:13">
      <c r="B318" s="145" t="s">
        <v>299</v>
      </c>
      <c r="C318" s="74"/>
      <c r="D318" s="74"/>
      <c r="E318" s="74"/>
      <c r="F318" s="74"/>
      <c r="G318" s="74"/>
      <c r="H318" s="74"/>
      <c r="I318" s="74"/>
      <c r="J318" s="74"/>
      <c r="K318" s="74"/>
      <c r="L318" s="74"/>
      <c r="M318" s="74"/>
    </row>
  </sheetData>
  <sortState xmlns:xlrd2="http://schemas.microsoft.com/office/spreadsheetml/2017/richdata2" columnSort="1" ref="C262:M284">
    <sortCondition ref="C263:M263"/>
  </sortState>
  <mergeCells count="20">
    <mergeCell ref="B36:M36"/>
    <mergeCell ref="O5:P5"/>
    <mergeCell ref="O27:P27"/>
    <mergeCell ref="B43:O43"/>
    <mergeCell ref="B85:O85"/>
    <mergeCell ref="B306:M306"/>
    <mergeCell ref="B236:O236"/>
    <mergeCell ref="B261:O261"/>
    <mergeCell ref="B221:O221"/>
    <mergeCell ref="B100:O100"/>
    <mergeCell ref="B215:O215"/>
    <mergeCell ref="C181:D181"/>
    <mergeCell ref="C187:D187"/>
    <mergeCell ref="C192:D192"/>
    <mergeCell ref="C197:D197"/>
    <mergeCell ref="C203:D203"/>
    <mergeCell ref="C208:D208"/>
    <mergeCell ref="B126:O126"/>
    <mergeCell ref="B152:M152"/>
    <mergeCell ref="K179:O179"/>
  </mergeCells>
  <dataValidations disablePrompts="1" count="4">
    <dataValidation type="list" allowBlank="1" showInputMessage="1" showErrorMessage="1" sqref="Q23" xr:uid="{00000000-0002-0000-0700-000000000000}">
      <formula1>$O$6:$O$11</formula1>
    </dataValidation>
    <dataValidation type="list" allowBlank="1" showInputMessage="1" showErrorMessage="1" sqref="T4" xr:uid="{00000000-0002-0000-0700-000001000000}">
      <formula1>$C$4:$M$4</formula1>
    </dataValidation>
    <dataValidation type="list" allowBlank="1" showInputMessage="1" showErrorMessage="1" sqref="S48" xr:uid="{00000000-0002-0000-0700-000002000000}">
      <formula1>$B$47:$B$82</formula1>
    </dataValidation>
    <dataValidation type="list" allowBlank="1" showInputMessage="1" showErrorMessage="1" sqref="S85" xr:uid="{00000000-0002-0000-0700-000003000000}">
      <formula1>$B$89:$B$97</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B1:AT838"/>
  <sheetViews>
    <sheetView topLeftCell="A598" zoomScale="85" zoomScaleNormal="85" workbookViewId="0">
      <selection activeCell="AW629" sqref="AW629"/>
    </sheetView>
  </sheetViews>
  <sheetFormatPr defaultRowHeight="14.4"/>
  <cols>
    <col min="1" max="1" width="14.6640625" customWidth="1"/>
    <col min="31" max="31" width="11.109375" customWidth="1"/>
    <col min="32" max="32" width="10.33203125" customWidth="1"/>
    <col min="33" max="33" width="10.6640625" customWidth="1"/>
    <col min="34" max="39" width="6.6640625" customWidth="1"/>
  </cols>
  <sheetData>
    <row r="1" spans="8:35" ht="15" customHeight="1">
      <c r="H1" t="s">
        <v>345</v>
      </c>
    </row>
    <row r="2" spans="8:35" ht="15" customHeight="1">
      <c r="H2">
        <v>1</v>
      </c>
      <c r="I2">
        <v>25</v>
      </c>
      <c r="J2">
        <v>35</v>
      </c>
      <c r="K2">
        <v>45</v>
      </c>
      <c r="L2">
        <v>55</v>
      </c>
      <c r="M2">
        <v>65</v>
      </c>
      <c r="N2">
        <v>75</v>
      </c>
      <c r="O2">
        <v>85</v>
      </c>
      <c r="P2">
        <v>95</v>
      </c>
      <c r="Q2">
        <v>105</v>
      </c>
      <c r="R2">
        <v>115</v>
      </c>
      <c r="S2">
        <v>125</v>
      </c>
      <c r="T2">
        <v>135</v>
      </c>
      <c r="U2">
        <v>145</v>
      </c>
      <c r="V2">
        <v>155</v>
      </c>
      <c r="AA2" t="s">
        <v>346</v>
      </c>
      <c r="AB2" t="s">
        <v>347</v>
      </c>
      <c r="AC2" t="s">
        <v>383</v>
      </c>
      <c r="AD2" t="s">
        <v>384</v>
      </c>
      <c r="AE2" t="s">
        <v>385</v>
      </c>
      <c r="AF2" t="s">
        <v>348</v>
      </c>
      <c r="AG2" t="s">
        <v>66</v>
      </c>
      <c r="AH2" t="s">
        <v>400</v>
      </c>
      <c r="AI2" t="s">
        <v>529</v>
      </c>
    </row>
    <row r="3" spans="8:35">
      <c r="P3" t="s">
        <v>135</v>
      </c>
      <c r="Q3" t="s">
        <v>355</v>
      </c>
      <c r="R3">
        <v>1</v>
      </c>
      <c r="Z3" t="s">
        <v>135</v>
      </c>
      <c r="AA3" t="s">
        <v>393</v>
      </c>
      <c r="AB3" t="s">
        <v>394</v>
      </c>
      <c r="AC3" t="s">
        <v>395</v>
      </c>
      <c r="AD3" t="s">
        <v>396</v>
      </c>
      <c r="AE3" t="s">
        <v>397</v>
      </c>
      <c r="AF3" t="s">
        <v>398</v>
      </c>
      <c r="AG3" t="s">
        <v>399</v>
      </c>
      <c r="AH3" t="s">
        <v>407</v>
      </c>
      <c r="AI3" t="s">
        <v>522</v>
      </c>
    </row>
    <row r="4" spans="8:35">
      <c r="H4" t="s">
        <v>349</v>
      </c>
      <c r="P4" t="s">
        <v>136</v>
      </c>
      <c r="Q4" t="s">
        <v>355</v>
      </c>
      <c r="R4">
        <v>1</v>
      </c>
      <c r="Z4" t="s">
        <v>136</v>
      </c>
      <c r="AA4" t="s">
        <v>393</v>
      </c>
      <c r="AB4" t="s">
        <v>394</v>
      </c>
      <c r="AC4" t="s">
        <v>395</v>
      </c>
      <c r="AD4" t="s">
        <v>396</v>
      </c>
      <c r="AE4" t="s">
        <v>397</v>
      </c>
      <c r="AF4" t="s">
        <v>398</v>
      </c>
      <c r="AG4" t="s">
        <v>399</v>
      </c>
      <c r="AH4" t="s">
        <v>407</v>
      </c>
      <c r="AI4" t="s">
        <v>522</v>
      </c>
    </row>
    <row r="5" spans="8:35">
      <c r="H5">
        <v>0</v>
      </c>
      <c r="I5">
        <v>0.51</v>
      </c>
      <c r="J5">
        <v>0.76</v>
      </c>
      <c r="K5">
        <v>1.01</v>
      </c>
      <c r="L5">
        <v>1.51</v>
      </c>
      <c r="M5">
        <v>2.11</v>
      </c>
      <c r="N5" t="s">
        <v>351</v>
      </c>
      <c r="P5" t="s">
        <v>521</v>
      </c>
      <c r="Q5" t="s">
        <v>355</v>
      </c>
      <c r="R5">
        <v>1</v>
      </c>
      <c r="Z5" t="s">
        <v>521</v>
      </c>
      <c r="AA5" t="s">
        <v>357</v>
      </c>
      <c r="AB5" t="s">
        <v>358</v>
      </c>
      <c r="AC5" t="s">
        <v>379</v>
      </c>
      <c r="AD5" t="s">
        <v>359</v>
      </c>
      <c r="AE5" t="s">
        <v>360</v>
      </c>
      <c r="AF5" t="s">
        <v>361</v>
      </c>
      <c r="AG5" t="s">
        <v>557</v>
      </c>
      <c r="AH5" t="s">
        <v>558</v>
      </c>
      <c r="AI5" t="s">
        <v>559</v>
      </c>
    </row>
    <row r="6" spans="8:35">
      <c r="H6">
        <v>0</v>
      </c>
      <c r="I6">
        <v>1.01</v>
      </c>
      <c r="J6">
        <v>1.51</v>
      </c>
      <c r="K6">
        <v>2.0099999999999998</v>
      </c>
      <c r="L6">
        <v>3.01</v>
      </c>
      <c r="M6">
        <v>4.21</v>
      </c>
      <c r="N6" t="s">
        <v>352</v>
      </c>
      <c r="P6" t="s">
        <v>132</v>
      </c>
      <c r="Q6" t="s">
        <v>355</v>
      </c>
      <c r="R6">
        <v>1</v>
      </c>
      <c r="Z6" t="s">
        <v>132</v>
      </c>
      <c r="AA6" t="s">
        <v>362</v>
      </c>
      <c r="AB6" t="s">
        <v>363</v>
      </c>
      <c r="AC6" t="s">
        <v>380</v>
      </c>
      <c r="AD6" t="s">
        <v>439</v>
      </c>
      <c r="AE6" t="s">
        <v>438</v>
      </c>
      <c r="AF6" t="s">
        <v>364</v>
      </c>
      <c r="AG6" t="s">
        <v>365</v>
      </c>
      <c r="AH6" t="s">
        <v>408</v>
      </c>
      <c r="AI6" t="s">
        <v>524</v>
      </c>
    </row>
    <row r="7" spans="8:35">
      <c r="P7" t="s">
        <v>137</v>
      </c>
      <c r="Q7" t="s">
        <v>355</v>
      </c>
      <c r="R7">
        <v>1</v>
      </c>
      <c r="Z7" t="s">
        <v>137</v>
      </c>
      <c r="AA7" t="s">
        <v>430</v>
      </c>
      <c r="AB7" t="s">
        <v>431</v>
      </c>
      <c r="AC7" t="s">
        <v>432</v>
      </c>
      <c r="AD7" t="s">
        <v>437</v>
      </c>
      <c r="AE7" t="s">
        <v>433</v>
      </c>
      <c r="AF7" t="s">
        <v>434</v>
      </c>
      <c r="AG7" t="s">
        <v>435</v>
      </c>
      <c r="AH7" t="s">
        <v>436</v>
      </c>
      <c r="AI7" t="s">
        <v>525</v>
      </c>
    </row>
    <row r="8" spans="8:35">
      <c r="H8" t="s">
        <v>350</v>
      </c>
      <c r="P8" t="s">
        <v>134</v>
      </c>
      <c r="Q8" t="s">
        <v>355</v>
      </c>
      <c r="R8">
        <v>1</v>
      </c>
      <c r="Z8" t="s">
        <v>134</v>
      </c>
      <c r="AA8" t="s">
        <v>366</v>
      </c>
      <c r="AB8" t="s">
        <v>367</v>
      </c>
      <c r="AC8" t="s">
        <v>381</v>
      </c>
      <c r="AD8" t="s">
        <v>368</v>
      </c>
      <c r="AE8" t="s">
        <v>369</v>
      </c>
      <c r="AF8" t="s">
        <v>370</v>
      </c>
      <c r="AG8" t="s">
        <v>371</v>
      </c>
      <c r="AH8" t="s">
        <v>409</v>
      </c>
      <c r="AI8" t="s">
        <v>526</v>
      </c>
    </row>
    <row r="9" spans="8:35">
      <c r="H9">
        <v>12</v>
      </c>
      <c r="I9">
        <v>14</v>
      </c>
      <c r="J9">
        <v>22</v>
      </c>
      <c r="K9">
        <v>24</v>
      </c>
      <c r="L9">
        <v>42</v>
      </c>
      <c r="M9">
        <v>44</v>
      </c>
      <c r="P9" t="s">
        <v>138</v>
      </c>
      <c r="Q9" t="s">
        <v>355</v>
      </c>
      <c r="R9">
        <v>1</v>
      </c>
      <c r="Z9" t="s">
        <v>138</v>
      </c>
      <c r="AA9" t="s">
        <v>386</v>
      </c>
      <c r="AB9" t="s">
        <v>387</v>
      </c>
      <c r="AC9" t="s">
        <v>388</v>
      </c>
      <c r="AD9" t="s">
        <v>389</v>
      </c>
      <c r="AE9" t="s">
        <v>390</v>
      </c>
      <c r="AF9" t="s">
        <v>391</v>
      </c>
      <c r="AG9" t="s">
        <v>392</v>
      </c>
      <c r="AH9" t="s">
        <v>410</v>
      </c>
      <c r="AI9" t="s">
        <v>527</v>
      </c>
    </row>
    <row r="10" spans="8:35">
      <c r="H10">
        <v>3</v>
      </c>
      <c r="I10">
        <v>4</v>
      </c>
      <c r="J10">
        <v>1</v>
      </c>
      <c r="K10">
        <v>2</v>
      </c>
      <c r="L10">
        <v>1</v>
      </c>
      <c r="M10">
        <v>2</v>
      </c>
      <c r="P10" t="s">
        <v>544</v>
      </c>
      <c r="Q10" t="s">
        <v>355</v>
      </c>
      <c r="R10">
        <v>1</v>
      </c>
      <c r="Z10" t="s">
        <v>531</v>
      </c>
      <c r="AA10" t="s">
        <v>401</v>
      </c>
      <c r="AB10" t="s">
        <v>402</v>
      </c>
      <c r="AC10" t="s">
        <v>403</v>
      </c>
      <c r="AD10" t="s">
        <v>404</v>
      </c>
      <c r="AE10" t="s">
        <v>405</v>
      </c>
      <c r="AF10" t="s">
        <v>406</v>
      </c>
      <c r="AG10" t="s">
        <v>414</v>
      </c>
      <c r="AH10" t="s">
        <v>415</v>
      </c>
      <c r="AI10" t="s">
        <v>523</v>
      </c>
    </row>
    <row r="11" spans="8:35">
      <c r="P11" t="s">
        <v>545</v>
      </c>
      <c r="Q11" t="s">
        <v>356</v>
      </c>
      <c r="R11">
        <v>2</v>
      </c>
      <c r="Z11" t="s">
        <v>530</v>
      </c>
      <c r="AA11" t="s">
        <v>357</v>
      </c>
      <c r="AB11" t="s">
        <v>358</v>
      </c>
      <c r="AC11" t="s">
        <v>379</v>
      </c>
      <c r="AD11" t="s">
        <v>359</v>
      </c>
      <c r="AE11" t="s">
        <v>360</v>
      </c>
      <c r="AF11" t="s">
        <v>361</v>
      </c>
      <c r="AG11" t="s">
        <v>557</v>
      </c>
      <c r="AH11" t="s">
        <v>558</v>
      </c>
      <c r="AI11" t="s">
        <v>559</v>
      </c>
    </row>
    <row r="12" spans="8:35">
      <c r="H12" t="s">
        <v>412</v>
      </c>
      <c r="P12" t="s">
        <v>530</v>
      </c>
      <c r="Q12" t="s">
        <v>355</v>
      </c>
      <c r="R12">
        <v>1</v>
      </c>
      <c r="Z12" t="s">
        <v>133</v>
      </c>
      <c r="AA12" t="s">
        <v>372</v>
      </c>
      <c r="AB12" t="s">
        <v>373</v>
      </c>
      <c r="AC12" t="s">
        <v>382</v>
      </c>
      <c r="AD12" t="s">
        <v>374</v>
      </c>
      <c r="AE12" t="s">
        <v>375</v>
      </c>
      <c r="AF12" t="s">
        <v>376</v>
      </c>
      <c r="AG12" t="s">
        <v>377</v>
      </c>
      <c r="AH12" t="s">
        <v>411</v>
      </c>
      <c r="AI12" t="s">
        <v>528</v>
      </c>
    </row>
    <row r="13" spans="8:35">
      <c r="H13" t="s">
        <v>512</v>
      </c>
      <c r="I13" t="s">
        <v>513</v>
      </c>
      <c r="J13" t="s">
        <v>555</v>
      </c>
      <c r="K13" t="s">
        <v>514</v>
      </c>
      <c r="L13" t="s">
        <v>556</v>
      </c>
      <c r="M13" t="s">
        <v>515</v>
      </c>
      <c r="P13" t="s">
        <v>353</v>
      </c>
      <c r="Q13" t="s">
        <v>355</v>
      </c>
      <c r="R13">
        <v>1</v>
      </c>
      <c r="Z13" t="s">
        <v>541</v>
      </c>
      <c r="AA13" t="s">
        <v>401</v>
      </c>
      <c r="AB13" t="s">
        <v>402</v>
      </c>
      <c r="AC13" t="s">
        <v>403</v>
      </c>
      <c r="AD13" t="s">
        <v>404</v>
      </c>
      <c r="AE13" t="s">
        <v>405</v>
      </c>
      <c r="AF13" t="s">
        <v>406</v>
      </c>
      <c r="AG13" t="s">
        <v>414</v>
      </c>
      <c r="AH13" t="s">
        <v>415</v>
      </c>
      <c r="AI13" t="s">
        <v>523</v>
      </c>
    </row>
    <row r="14" spans="8:35">
      <c r="P14" t="s">
        <v>354</v>
      </c>
      <c r="Q14" t="s">
        <v>356</v>
      </c>
      <c r="R14">
        <v>2</v>
      </c>
    </row>
    <row r="15" spans="8:35">
      <c r="H15" t="s">
        <v>413</v>
      </c>
      <c r="P15" t="s">
        <v>542</v>
      </c>
      <c r="Q15" t="s">
        <v>355</v>
      </c>
      <c r="R15">
        <v>1</v>
      </c>
    </row>
    <row r="16" spans="8:35">
      <c r="H16" t="s">
        <v>512</v>
      </c>
      <c r="I16" t="s">
        <v>513</v>
      </c>
      <c r="J16" t="s">
        <v>514</v>
      </c>
      <c r="K16" t="s">
        <v>515</v>
      </c>
      <c r="P16" t="s">
        <v>543</v>
      </c>
      <c r="Q16" t="s">
        <v>356</v>
      </c>
      <c r="R16">
        <v>2</v>
      </c>
    </row>
    <row r="19" spans="2:44">
      <c r="D19">
        <v>1</v>
      </c>
      <c r="E19">
        <v>1.5</v>
      </c>
      <c r="F19">
        <v>2</v>
      </c>
      <c r="G19">
        <v>3</v>
      </c>
      <c r="H19">
        <v>4.2</v>
      </c>
      <c r="I19">
        <v>5</v>
      </c>
      <c r="J19">
        <v>1</v>
      </c>
      <c r="K19">
        <v>1.5</v>
      </c>
      <c r="L19">
        <v>2</v>
      </c>
      <c r="M19">
        <v>3</v>
      </c>
      <c r="N19">
        <v>4.2</v>
      </c>
      <c r="O19">
        <v>5</v>
      </c>
    </row>
    <row r="21" spans="2:44" ht="18.75" customHeight="1"/>
    <row r="23" spans="2:44" ht="15.75" customHeight="1">
      <c r="B23">
        <v>2</v>
      </c>
      <c r="C23">
        <v>15</v>
      </c>
      <c r="D23">
        <v>1.4662756598240456E-2</v>
      </c>
      <c r="E23">
        <v>4.8875855327468187E-3</v>
      </c>
      <c r="F23">
        <v>2.9325513196480912E-3</v>
      </c>
      <c r="G23">
        <v>1.4662756598240443E-3</v>
      </c>
      <c r="H23">
        <v>8.1459758879113577E-4</v>
      </c>
      <c r="I23">
        <v>6.109481915933518E-4</v>
      </c>
      <c r="J23">
        <v>7.575757575757576E-2</v>
      </c>
      <c r="K23">
        <v>8.0645161290322578E-2</v>
      </c>
      <c r="L23">
        <v>8.2111436950146624E-2</v>
      </c>
      <c r="M23">
        <v>8.357771260997067E-2</v>
      </c>
      <c r="N23">
        <v>8.4555229716520033E-2</v>
      </c>
      <c r="O23">
        <v>8.498289345063538E-2</v>
      </c>
      <c r="P23">
        <v>0.81</v>
      </c>
      <c r="Q23">
        <v>0.86</v>
      </c>
      <c r="R23">
        <v>0.87</v>
      </c>
      <c r="S23">
        <v>0.87</v>
      </c>
      <c r="T23">
        <v>0.87</v>
      </c>
      <c r="U23">
        <v>0.87</v>
      </c>
      <c r="V23">
        <v>15</v>
      </c>
      <c r="W23">
        <v>3273.6000000000004</v>
      </c>
      <c r="X23">
        <v>3069</v>
      </c>
      <c r="Y23">
        <v>3273.6000000000004</v>
      </c>
      <c r="Z23">
        <v>3069</v>
      </c>
      <c r="AA23">
        <v>12349</v>
      </c>
      <c r="AB23">
        <v>7867</v>
      </c>
      <c r="AC23">
        <v>12349</v>
      </c>
      <c r="AD23">
        <v>7867</v>
      </c>
      <c r="AE23">
        <v>2</v>
      </c>
      <c r="AF23">
        <f t="shared" ref="AF23:AF31" si="0">AE23*12-6</f>
        <v>18</v>
      </c>
      <c r="AG23">
        <v>10</v>
      </c>
      <c r="AH23">
        <v>1</v>
      </c>
      <c r="AI23">
        <v>2</v>
      </c>
      <c r="AJ23">
        <v>16</v>
      </c>
      <c r="AK23">
        <v>12</v>
      </c>
      <c r="AL23">
        <v>4</v>
      </c>
      <c r="AM23">
        <v>1.25</v>
      </c>
      <c r="AN23">
        <v>2</v>
      </c>
      <c r="AO23" t="s">
        <v>512</v>
      </c>
      <c r="AP23">
        <v>5.9</v>
      </c>
      <c r="AQ23">
        <v>1.2397468739066957</v>
      </c>
      <c r="AR23">
        <v>16.23465254462408</v>
      </c>
    </row>
    <row r="24" spans="2:44" ht="15.75" customHeight="1">
      <c r="C24">
        <v>25</v>
      </c>
      <c r="D24">
        <v>3.7145650048875878E-2</v>
      </c>
      <c r="E24">
        <v>1.4662756598240456E-2</v>
      </c>
      <c r="F24">
        <v>6.8426197458455462E-3</v>
      </c>
      <c r="G24">
        <v>3.9100684261974515E-3</v>
      </c>
      <c r="H24">
        <v>1.6291951775822715E-3</v>
      </c>
      <c r="I24">
        <v>1.2218963831867036E-3</v>
      </c>
      <c r="J24">
        <v>0.11070381231671553</v>
      </c>
      <c r="K24">
        <v>0.12194525904203324</v>
      </c>
      <c r="L24">
        <v>0.12781036168132942</v>
      </c>
      <c r="M24">
        <v>0.13074291300097751</v>
      </c>
      <c r="N24">
        <v>0.13416422287390029</v>
      </c>
      <c r="O24">
        <v>0.13501955034213098</v>
      </c>
      <c r="P24">
        <v>0.81</v>
      </c>
      <c r="Q24">
        <v>0.86</v>
      </c>
      <c r="R24">
        <v>0.87</v>
      </c>
      <c r="S24">
        <v>0.87</v>
      </c>
      <c r="T24">
        <v>0.87</v>
      </c>
      <c r="U24">
        <v>0.87</v>
      </c>
      <c r="V24">
        <v>25</v>
      </c>
      <c r="W24">
        <v>3273.6000000000004</v>
      </c>
      <c r="X24">
        <v>3069</v>
      </c>
      <c r="Y24">
        <v>3273.6000000000004</v>
      </c>
      <c r="Z24">
        <v>3069</v>
      </c>
      <c r="AA24">
        <v>12349</v>
      </c>
      <c r="AB24">
        <v>7867</v>
      </c>
      <c r="AC24">
        <v>12349</v>
      </c>
      <c r="AD24">
        <v>7867</v>
      </c>
      <c r="AE24">
        <f t="shared" ref="AE24:AE31" si="1">AE23+1</f>
        <v>3</v>
      </c>
      <c r="AF24">
        <f t="shared" si="0"/>
        <v>30</v>
      </c>
      <c r="AG24">
        <v>10</v>
      </c>
      <c r="AH24">
        <v>1</v>
      </c>
      <c r="AI24">
        <v>2</v>
      </c>
      <c r="AJ24">
        <v>16</v>
      </c>
      <c r="AK24">
        <v>12</v>
      </c>
      <c r="AL24">
        <v>4</v>
      </c>
      <c r="AM24">
        <v>2.08</v>
      </c>
      <c r="AO24" t="s">
        <v>513</v>
      </c>
      <c r="AP24">
        <v>4.8</v>
      </c>
      <c r="AQ24">
        <v>1.1866549912434325</v>
      </c>
      <c r="AR24">
        <v>23.035847913888151</v>
      </c>
    </row>
    <row r="25" spans="2:44" ht="15.75" customHeight="1">
      <c r="C25">
        <v>35</v>
      </c>
      <c r="D25">
        <v>7.1358748778103553E-2</v>
      </c>
      <c r="E25">
        <v>2.5415444770283568E-2</v>
      </c>
      <c r="F25">
        <v>9.7751710654936375E-3</v>
      </c>
      <c r="G25">
        <v>7.3313782991202212E-3</v>
      </c>
      <c r="H25">
        <v>3.2583903551645431E-3</v>
      </c>
      <c r="I25">
        <v>3.0547409579667591E-3</v>
      </c>
      <c r="J25">
        <v>0.1370967741935484</v>
      </c>
      <c r="K25">
        <v>0.1600684261974584</v>
      </c>
      <c r="L25">
        <v>0.17179863147605084</v>
      </c>
      <c r="M25">
        <v>0.17424242424242425</v>
      </c>
      <c r="N25">
        <v>0.18035190615835778</v>
      </c>
      <c r="O25">
        <v>0.18077956989247312</v>
      </c>
      <c r="P25">
        <v>0.87</v>
      </c>
      <c r="Q25">
        <v>0.9</v>
      </c>
      <c r="R25">
        <v>0.93</v>
      </c>
      <c r="S25">
        <v>0.94</v>
      </c>
      <c r="T25">
        <v>0.96</v>
      </c>
      <c r="U25">
        <v>0.96</v>
      </c>
      <c r="V25">
        <v>35</v>
      </c>
      <c r="W25">
        <v>3273.6000000000004</v>
      </c>
      <c r="X25">
        <v>3069</v>
      </c>
      <c r="Y25">
        <v>3273.6000000000004</v>
      </c>
      <c r="Z25">
        <v>3069</v>
      </c>
      <c r="AA25">
        <v>12349</v>
      </c>
      <c r="AB25">
        <v>7867</v>
      </c>
      <c r="AC25">
        <v>12349</v>
      </c>
      <c r="AD25">
        <v>7867</v>
      </c>
      <c r="AE25">
        <f t="shared" si="1"/>
        <v>4</v>
      </c>
      <c r="AF25">
        <f t="shared" si="0"/>
        <v>42</v>
      </c>
      <c r="AG25">
        <v>10</v>
      </c>
      <c r="AH25">
        <v>1</v>
      </c>
      <c r="AI25">
        <v>2</v>
      </c>
      <c r="AJ25">
        <v>16</v>
      </c>
      <c r="AK25">
        <v>12</v>
      </c>
      <c r="AL25">
        <v>4</v>
      </c>
      <c r="AM25">
        <v>2.92</v>
      </c>
      <c r="AO25" t="s">
        <v>555</v>
      </c>
      <c r="AP25">
        <v>4.3</v>
      </c>
      <c r="AQ25">
        <v>1.0806317539484622</v>
      </c>
      <c r="AR25">
        <v>34.660485187295571</v>
      </c>
    </row>
    <row r="26" spans="2:44" ht="15.75" customHeight="1">
      <c r="C26">
        <v>45</v>
      </c>
      <c r="D26">
        <v>9.9706744868035213E-2</v>
      </c>
      <c r="E26">
        <v>3.910068426197455E-2</v>
      </c>
      <c r="F26">
        <v>2.1505376344086002E-2</v>
      </c>
      <c r="G26">
        <v>1.1241446725317728E-2</v>
      </c>
      <c r="H26">
        <v>5.7021831215379503E-3</v>
      </c>
      <c r="I26">
        <v>3.0547409579666897E-3</v>
      </c>
      <c r="J26">
        <v>0.15835777126099707</v>
      </c>
      <c r="K26">
        <v>0.1886608015640274</v>
      </c>
      <c r="L26">
        <v>0.20185728250244381</v>
      </c>
      <c r="M26">
        <v>0.21212121212121207</v>
      </c>
      <c r="N26">
        <v>0.22043010752688175</v>
      </c>
      <c r="O26">
        <v>0.22598973607038139</v>
      </c>
      <c r="P26">
        <v>0.87</v>
      </c>
      <c r="Q26">
        <v>0.91</v>
      </c>
      <c r="R26">
        <v>0.92</v>
      </c>
      <c r="S26">
        <v>0.92</v>
      </c>
      <c r="T26">
        <v>0.93</v>
      </c>
      <c r="U26">
        <v>0.93</v>
      </c>
      <c r="V26">
        <v>45</v>
      </c>
      <c r="W26">
        <v>3273.6000000000004</v>
      </c>
      <c r="X26">
        <v>3069</v>
      </c>
      <c r="Y26">
        <v>3273.6000000000004</v>
      </c>
      <c r="Z26">
        <v>3069</v>
      </c>
      <c r="AA26">
        <v>12349</v>
      </c>
      <c r="AB26">
        <v>7867</v>
      </c>
      <c r="AC26">
        <v>12349</v>
      </c>
      <c r="AD26">
        <v>7867</v>
      </c>
      <c r="AE26">
        <f t="shared" si="1"/>
        <v>5</v>
      </c>
      <c r="AF26">
        <f t="shared" si="0"/>
        <v>54</v>
      </c>
      <c r="AG26">
        <v>10</v>
      </c>
      <c r="AH26">
        <v>1</v>
      </c>
      <c r="AI26">
        <v>2</v>
      </c>
      <c r="AJ26">
        <v>16</v>
      </c>
      <c r="AK26">
        <v>12</v>
      </c>
      <c r="AL26">
        <v>4</v>
      </c>
      <c r="AM26">
        <v>3.75</v>
      </c>
      <c r="AO26" t="s">
        <v>514</v>
      </c>
      <c r="AP26">
        <v>4</v>
      </c>
      <c r="AQ26">
        <v>1.0900000000000001</v>
      </c>
      <c r="AR26">
        <v>42.263216133551019</v>
      </c>
    </row>
    <row r="27" spans="2:44" ht="15.75" customHeight="1">
      <c r="C27">
        <v>55</v>
      </c>
      <c r="D27">
        <v>0.13587487781036167</v>
      </c>
      <c r="E27">
        <v>5.4740957966764481E-2</v>
      </c>
      <c r="F27">
        <v>3.0303030303030276E-2</v>
      </c>
      <c r="G27">
        <v>1.6129032258064488E-2</v>
      </c>
      <c r="H27">
        <v>8.145975887911449E-3</v>
      </c>
      <c r="I27">
        <v>4.8875855327466756E-3</v>
      </c>
      <c r="J27">
        <v>0.17497556207233625</v>
      </c>
      <c r="K27">
        <v>0.21554252199413484</v>
      </c>
      <c r="L27">
        <v>0.2338709677419355</v>
      </c>
      <c r="M27">
        <v>0.24804496578690127</v>
      </c>
      <c r="N27">
        <v>0.26001955034213087</v>
      </c>
      <c r="O27">
        <v>0.26686217008797686</v>
      </c>
      <c r="P27">
        <v>0.86</v>
      </c>
      <c r="Q27">
        <v>0.9</v>
      </c>
      <c r="R27">
        <v>0.9</v>
      </c>
      <c r="S27">
        <v>0.9</v>
      </c>
      <c r="T27">
        <v>0.9</v>
      </c>
      <c r="U27">
        <v>0.9</v>
      </c>
      <c r="V27">
        <v>55</v>
      </c>
      <c r="W27">
        <v>3273.6000000000004</v>
      </c>
      <c r="X27">
        <v>3069</v>
      </c>
      <c r="Y27">
        <v>3273.6000000000004</v>
      </c>
      <c r="Z27">
        <v>3069</v>
      </c>
      <c r="AA27">
        <v>12349</v>
      </c>
      <c r="AB27">
        <v>7867</v>
      </c>
      <c r="AC27">
        <v>12349</v>
      </c>
      <c r="AD27">
        <v>7867</v>
      </c>
      <c r="AE27">
        <f t="shared" si="1"/>
        <v>6</v>
      </c>
      <c r="AF27">
        <f t="shared" si="0"/>
        <v>66</v>
      </c>
      <c r="AG27">
        <v>10</v>
      </c>
      <c r="AH27">
        <v>1</v>
      </c>
      <c r="AI27">
        <v>2</v>
      </c>
      <c r="AJ27">
        <v>16</v>
      </c>
      <c r="AK27">
        <v>12</v>
      </c>
      <c r="AL27">
        <v>4</v>
      </c>
      <c r="AM27">
        <v>4.58</v>
      </c>
      <c r="AO27" t="s">
        <v>556</v>
      </c>
      <c r="AP27">
        <v>3.2</v>
      </c>
      <c r="AQ27">
        <v>1.0640891922091196</v>
      </c>
      <c r="AR27">
        <v>61.62812596109999</v>
      </c>
    </row>
    <row r="28" spans="2:44" ht="15.75" customHeight="1">
      <c r="C28">
        <v>65</v>
      </c>
      <c r="D28">
        <v>0.17008797653958929</v>
      </c>
      <c r="E28">
        <v>7.0381231671554412E-2</v>
      </c>
      <c r="F28">
        <v>3.910068426197455E-2</v>
      </c>
      <c r="G28">
        <v>2.1016617790811414E-2</v>
      </c>
      <c r="H28">
        <v>1.099706744868024E-2</v>
      </c>
      <c r="I28">
        <v>6.7204301075268697E-3</v>
      </c>
      <c r="J28">
        <v>0.1867057673509287</v>
      </c>
      <c r="K28">
        <v>0.23655913978494614</v>
      </c>
      <c r="L28">
        <v>0.26001955034213103</v>
      </c>
      <c r="M28">
        <v>0.27810361681329415</v>
      </c>
      <c r="N28">
        <v>0.29313294232649095</v>
      </c>
      <c r="O28">
        <v>0.30211388074291301</v>
      </c>
      <c r="P28">
        <v>0.88500000000000001</v>
      </c>
      <c r="Q28">
        <v>0.91500000000000004</v>
      </c>
      <c r="R28">
        <v>0.94</v>
      </c>
      <c r="S28">
        <v>0.93500000000000005</v>
      </c>
      <c r="T28">
        <v>0.94500000000000006</v>
      </c>
      <c r="U28">
        <v>0.94500000000000006</v>
      </c>
      <c r="V28">
        <v>65</v>
      </c>
      <c r="W28">
        <v>3273.6000000000004</v>
      </c>
      <c r="X28">
        <v>3069</v>
      </c>
      <c r="Y28">
        <v>3273.6000000000004</v>
      </c>
      <c r="Z28">
        <v>3069</v>
      </c>
      <c r="AA28">
        <v>12349</v>
      </c>
      <c r="AB28">
        <v>7867</v>
      </c>
      <c r="AC28">
        <v>12349</v>
      </c>
      <c r="AD28">
        <v>7867</v>
      </c>
      <c r="AE28">
        <f t="shared" si="1"/>
        <v>7</v>
      </c>
      <c r="AF28">
        <f t="shared" si="0"/>
        <v>78</v>
      </c>
      <c r="AG28">
        <v>10</v>
      </c>
      <c r="AH28">
        <v>1</v>
      </c>
      <c r="AI28">
        <v>2</v>
      </c>
      <c r="AJ28">
        <v>16</v>
      </c>
      <c r="AK28">
        <v>12</v>
      </c>
      <c r="AL28">
        <v>4</v>
      </c>
      <c r="AM28">
        <v>5.42</v>
      </c>
      <c r="AO28" t="s">
        <v>515</v>
      </c>
      <c r="AP28">
        <v>2.5</v>
      </c>
      <c r="AQ28">
        <v>1.1299999999999999</v>
      </c>
      <c r="AR28">
        <v>80.106129558486899</v>
      </c>
    </row>
    <row r="29" spans="2:44" ht="15.75" customHeight="1">
      <c r="C29">
        <v>75</v>
      </c>
      <c r="D29">
        <v>0.20723362658846545</v>
      </c>
      <c r="E29">
        <v>8.7976539589442737E-2</v>
      </c>
      <c r="F29">
        <v>4.8875855327468187E-2</v>
      </c>
      <c r="G29">
        <v>2.6881720430107479E-2</v>
      </c>
      <c r="H29">
        <v>1.3848159009449308E-2</v>
      </c>
      <c r="I29">
        <v>8.5532746823070646E-3</v>
      </c>
      <c r="J29">
        <v>0.19672531769305956</v>
      </c>
      <c r="K29">
        <v>0.25635386119257092</v>
      </c>
      <c r="L29">
        <v>0.28567937438905183</v>
      </c>
      <c r="M29">
        <v>0.30767350928641257</v>
      </c>
      <c r="N29">
        <v>0.32722385141739979</v>
      </c>
      <c r="O29">
        <v>0.33834310850439853</v>
      </c>
      <c r="P29">
        <v>0.91</v>
      </c>
      <c r="Q29">
        <v>0.93</v>
      </c>
      <c r="R29">
        <v>0.98</v>
      </c>
      <c r="S29">
        <v>0.97</v>
      </c>
      <c r="T29">
        <v>0.99</v>
      </c>
      <c r="U29">
        <v>0.99</v>
      </c>
      <c r="V29">
        <v>75</v>
      </c>
      <c r="W29">
        <v>3273.6000000000004</v>
      </c>
      <c r="X29">
        <v>3069</v>
      </c>
      <c r="Y29">
        <v>3273.6000000000004</v>
      </c>
      <c r="Z29">
        <v>3069</v>
      </c>
      <c r="AA29">
        <v>12349</v>
      </c>
      <c r="AB29">
        <v>7867</v>
      </c>
      <c r="AC29">
        <v>12349</v>
      </c>
      <c r="AD29">
        <v>7867</v>
      </c>
      <c r="AE29">
        <f t="shared" si="1"/>
        <v>8</v>
      </c>
      <c r="AF29">
        <f t="shared" si="0"/>
        <v>90</v>
      </c>
      <c r="AG29">
        <v>10</v>
      </c>
      <c r="AH29">
        <v>1</v>
      </c>
      <c r="AI29">
        <v>2</v>
      </c>
      <c r="AJ29">
        <v>16</v>
      </c>
      <c r="AK29">
        <v>12</v>
      </c>
      <c r="AL29">
        <v>4</v>
      </c>
      <c r="AM29">
        <v>6.25</v>
      </c>
      <c r="AN29">
        <v>3</v>
      </c>
      <c r="AO29" t="s">
        <v>512</v>
      </c>
      <c r="AP29">
        <v>5.9</v>
      </c>
      <c r="AQ29">
        <v>1.3063317443722728</v>
      </c>
      <c r="AR29">
        <v>25.263911449470474</v>
      </c>
    </row>
    <row r="30" spans="2:44" ht="15.75" customHeight="1">
      <c r="C30">
        <v>85</v>
      </c>
      <c r="D30">
        <v>0.2404692082111437</v>
      </c>
      <c r="E30">
        <v>0.10459433040078214</v>
      </c>
      <c r="F30">
        <v>5.9628543499511188E-2</v>
      </c>
      <c r="G30">
        <v>3.2258064516129087E-2</v>
      </c>
      <c r="H30">
        <v>1.6699250570218191E-2</v>
      </c>
      <c r="I30">
        <v>1.038611925708712E-2</v>
      </c>
      <c r="J30">
        <v>0.20405669599217985</v>
      </c>
      <c r="K30">
        <v>0.27199413489736063</v>
      </c>
      <c r="L30">
        <v>0.30571847507331384</v>
      </c>
      <c r="M30">
        <v>0.33308895405669592</v>
      </c>
      <c r="N30">
        <v>0.35642717497556231</v>
      </c>
      <c r="O30">
        <v>0.36968475073313756</v>
      </c>
      <c r="P30">
        <v>0.99</v>
      </c>
      <c r="Q30">
        <v>1</v>
      </c>
      <c r="R30">
        <v>1.02</v>
      </c>
      <c r="S30">
        <v>1.01</v>
      </c>
      <c r="T30">
        <v>1.02</v>
      </c>
      <c r="U30">
        <v>1.02</v>
      </c>
      <c r="V30">
        <v>85</v>
      </c>
      <c r="W30">
        <v>3273.6000000000004</v>
      </c>
      <c r="X30">
        <v>3069</v>
      </c>
      <c r="Y30">
        <v>3273.6000000000004</v>
      </c>
      <c r="Z30">
        <v>3069</v>
      </c>
      <c r="AA30">
        <v>12349</v>
      </c>
      <c r="AB30">
        <v>7867</v>
      </c>
      <c r="AC30">
        <v>12349</v>
      </c>
      <c r="AD30">
        <v>7867</v>
      </c>
      <c r="AE30">
        <f t="shared" si="1"/>
        <v>9</v>
      </c>
      <c r="AF30">
        <f t="shared" si="0"/>
        <v>102</v>
      </c>
      <c r="AG30">
        <v>10</v>
      </c>
      <c r="AH30">
        <v>1</v>
      </c>
      <c r="AI30">
        <v>2</v>
      </c>
      <c r="AJ30">
        <v>16</v>
      </c>
      <c r="AK30">
        <v>12</v>
      </c>
      <c r="AL30">
        <v>4</v>
      </c>
      <c r="AM30">
        <v>7.08</v>
      </c>
      <c r="AO30" t="s">
        <v>513</v>
      </c>
      <c r="AP30">
        <v>4.8</v>
      </c>
      <c r="AQ30">
        <v>1.2540369809471095</v>
      </c>
      <c r="AR30">
        <v>35.847741136452846</v>
      </c>
    </row>
    <row r="31" spans="2:44" ht="15.75" customHeight="1">
      <c r="C31">
        <v>95</v>
      </c>
      <c r="D31">
        <v>0.2756598240469208</v>
      </c>
      <c r="E31">
        <v>0.12316715542522005</v>
      </c>
      <c r="F31">
        <v>7.038123167155419E-2</v>
      </c>
      <c r="G31">
        <v>3.8611925708699944E-2</v>
      </c>
      <c r="H31">
        <v>1.9957640925382734E-2</v>
      </c>
      <c r="I31">
        <v>1.2829912023460387E-2</v>
      </c>
      <c r="J31">
        <v>0.21041055718475071</v>
      </c>
      <c r="K31">
        <v>0.28665689149560108</v>
      </c>
      <c r="L31">
        <v>0.32624633431085048</v>
      </c>
      <c r="M31">
        <v>0.35801564027370475</v>
      </c>
      <c r="N31">
        <v>0.38599706744868056</v>
      </c>
      <c r="O31">
        <v>0.40096529814271747</v>
      </c>
      <c r="P31">
        <v>1.07</v>
      </c>
      <c r="Q31">
        <v>1.07</v>
      </c>
      <c r="R31">
        <v>1.06</v>
      </c>
      <c r="S31">
        <v>1.05</v>
      </c>
      <c r="T31">
        <v>1.05</v>
      </c>
      <c r="U31">
        <v>1.05</v>
      </c>
      <c r="V31">
        <v>95</v>
      </c>
      <c r="W31">
        <v>3273.6000000000004</v>
      </c>
      <c r="X31">
        <v>3069</v>
      </c>
      <c r="Y31">
        <v>3273.6000000000004</v>
      </c>
      <c r="Z31">
        <v>3069</v>
      </c>
      <c r="AA31">
        <v>12349</v>
      </c>
      <c r="AB31">
        <v>7867</v>
      </c>
      <c r="AC31">
        <v>12349</v>
      </c>
      <c r="AD31">
        <v>7867</v>
      </c>
      <c r="AE31">
        <f t="shared" si="1"/>
        <v>10</v>
      </c>
      <c r="AF31">
        <f t="shared" si="0"/>
        <v>114</v>
      </c>
      <c r="AG31">
        <v>10</v>
      </c>
      <c r="AH31">
        <v>1</v>
      </c>
      <c r="AI31">
        <v>2</v>
      </c>
      <c r="AJ31">
        <v>16</v>
      </c>
      <c r="AK31">
        <v>12</v>
      </c>
      <c r="AL31">
        <v>4</v>
      </c>
      <c r="AM31">
        <v>7.92</v>
      </c>
      <c r="AO31" t="s">
        <v>555</v>
      </c>
      <c r="AP31">
        <v>4.3</v>
      </c>
      <c r="AQ31">
        <v>1.0962443625478362</v>
      </c>
      <c r="AR31">
        <v>53.937675978010589</v>
      </c>
    </row>
    <row r="32" spans="2:44" ht="15.75" customHeight="1">
      <c r="C32">
        <v>105</v>
      </c>
      <c r="D32">
        <v>0.30889540566959917</v>
      </c>
      <c r="E32">
        <v>0.13978494623655924</v>
      </c>
      <c r="F32">
        <v>8.0156402737047827E-2</v>
      </c>
      <c r="G32">
        <v>4.4965786901270802E-2</v>
      </c>
      <c r="H32">
        <v>2.3216031280547368E-2</v>
      </c>
      <c r="I32">
        <v>1.4662756598240442E-2</v>
      </c>
      <c r="J32">
        <v>0.21432062561094822</v>
      </c>
      <c r="K32">
        <v>0.29887585532746819</v>
      </c>
      <c r="L32">
        <v>0.34359726295210175</v>
      </c>
      <c r="M32">
        <v>0.37878787878787878</v>
      </c>
      <c r="N32">
        <v>0.41141251221896391</v>
      </c>
      <c r="O32">
        <v>0.42937438905180847</v>
      </c>
      <c r="P32">
        <v>1.1000000000000001</v>
      </c>
      <c r="Q32">
        <v>1.085</v>
      </c>
      <c r="R32">
        <v>1.0750000000000002</v>
      </c>
      <c r="S32">
        <v>1.06</v>
      </c>
      <c r="T32">
        <v>1.0550000000000002</v>
      </c>
      <c r="U32">
        <v>1.0550000000000002</v>
      </c>
      <c r="V32">
        <v>105</v>
      </c>
      <c r="W32">
        <v>3273.6000000000004</v>
      </c>
      <c r="X32">
        <v>3069</v>
      </c>
      <c r="Y32">
        <v>3273.6000000000004</v>
      </c>
      <c r="Z32">
        <v>3069</v>
      </c>
      <c r="AA32">
        <v>12349</v>
      </c>
      <c r="AB32">
        <v>7867</v>
      </c>
      <c r="AC32">
        <v>12349</v>
      </c>
      <c r="AD32">
        <v>7867</v>
      </c>
      <c r="AO32" t="s">
        <v>514</v>
      </c>
      <c r="AP32">
        <v>4</v>
      </c>
      <c r="AQ32">
        <v>1.0900000000000001</v>
      </c>
      <c r="AR32">
        <v>65.768832873570375</v>
      </c>
    </row>
    <row r="33" spans="2:44" ht="15.75" customHeight="1">
      <c r="C33">
        <v>115</v>
      </c>
      <c r="D33">
        <v>0.34213098729227753</v>
      </c>
      <c r="E33">
        <v>0.15738025415444779</v>
      </c>
      <c r="F33">
        <v>9.1886608015640192E-2</v>
      </c>
      <c r="G33">
        <v>5.1319648093841659E-2</v>
      </c>
      <c r="H33">
        <v>2.7289019224503046E-2</v>
      </c>
      <c r="I33">
        <v>1.7106549364613852E-2</v>
      </c>
      <c r="J33">
        <v>0.21823069403714568</v>
      </c>
      <c r="K33">
        <v>0.31060606060606055</v>
      </c>
      <c r="L33">
        <v>0.35972629521016625</v>
      </c>
      <c r="M33">
        <v>0.40029325513196479</v>
      </c>
      <c r="N33">
        <v>0.43633919843597269</v>
      </c>
      <c r="O33">
        <v>0.45772238514174002</v>
      </c>
      <c r="P33">
        <v>1.1000000000000001</v>
      </c>
      <c r="Q33">
        <v>1.1000000000000001</v>
      </c>
      <c r="R33">
        <v>1.0900000000000001</v>
      </c>
      <c r="S33">
        <v>1.07</v>
      </c>
      <c r="T33">
        <v>1.06</v>
      </c>
      <c r="U33">
        <v>1.06</v>
      </c>
      <c r="V33">
        <v>115</v>
      </c>
      <c r="W33">
        <v>3273.6000000000004</v>
      </c>
      <c r="X33">
        <v>3069</v>
      </c>
      <c r="Y33">
        <v>3273.6000000000004</v>
      </c>
      <c r="Z33">
        <v>3069</v>
      </c>
      <c r="AA33">
        <v>12349</v>
      </c>
      <c r="AB33">
        <v>7867</v>
      </c>
      <c r="AC33">
        <v>12349</v>
      </c>
      <c r="AD33">
        <v>7867</v>
      </c>
      <c r="AO33" t="s">
        <v>556</v>
      </c>
      <c r="AP33">
        <v>3.2</v>
      </c>
      <c r="AQ33">
        <v>1.0784221604321624</v>
      </c>
      <c r="AR33">
        <v>95.903963007426057</v>
      </c>
    </row>
    <row r="34" spans="2:44" ht="15.75" customHeight="1">
      <c r="C34">
        <v>125</v>
      </c>
      <c r="D34">
        <v>0.37243401759530803</v>
      </c>
      <c r="E34">
        <v>0.17497556207233611</v>
      </c>
      <c r="F34">
        <v>0.10263929618768342</v>
      </c>
      <c r="G34">
        <v>5.7673509286412412E-2</v>
      </c>
      <c r="H34">
        <v>3.0547409579667777E-2</v>
      </c>
      <c r="I34">
        <v>1.9550342130987258E-2</v>
      </c>
      <c r="J34">
        <v>0.22091886608015637</v>
      </c>
      <c r="K34">
        <v>0.31964809384164233</v>
      </c>
      <c r="L34">
        <v>0.37390029325513185</v>
      </c>
      <c r="M34">
        <v>0.41886608015640286</v>
      </c>
      <c r="N34">
        <v>0.45955522971651985</v>
      </c>
      <c r="O34">
        <v>0.4826490713587489</v>
      </c>
      <c r="P34">
        <v>1.1000000000000001</v>
      </c>
      <c r="Q34">
        <v>1.1000000000000001</v>
      </c>
      <c r="R34">
        <v>1.085</v>
      </c>
      <c r="S34">
        <v>1.0649999999999999</v>
      </c>
      <c r="T34">
        <v>1.05</v>
      </c>
      <c r="U34">
        <v>1.05</v>
      </c>
      <c r="V34">
        <v>125</v>
      </c>
      <c r="W34">
        <v>3273.6000000000004</v>
      </c>
      <c r="X34">
        <v>3069</v>
      </c>
      <c r="Y34">
        <v>3273.6000000000004</v>
      </c>
      <c r="Z34">
        <v>3069</v>
      </c>
      <c r="AA34">
        <v>12349</v>
      </c>
      <c r="AB34">
        <v>7867</v>
      </c>
      <c r="AC34">
        <v>12349</v>
      </c>
      <c r="AD34">
        <v>7867</v>
      </c>
      <c r="AO34" t="s">
        <v>515</v>
      </c>
      <c r="AP34">
        <v>2.5</v>
      </c>
      <c r="AQ34">
        <v>1.1299999999999999</v>
      </c>
      <c r="AR34">
        <v>124.65891451403927</v>
      </c>
    </row>
    <row r="35" spans="2:44" ht="15.75" customHeight="1">
      <c r="C35">
        <v>135</v>
      </c>
      <c r="D35">
        <v>0.40273704789833831</v>
      </c>
      <c r="E35">
        <v>0.19257086999022488</v>
      </c>
      <c r="F35">
        <v>0.11339198435972619</v>
      </c>
      <c r="G35">
        <v>6.4516129032257952E-2</v>
      </c>
      <c r="H35">
        <v>3.4213098729227703E-2</v>
      </c>
      <c r="I35">
        <v>2.1994134897360663E-2</v>
      </c>
      <c r="J35">
        <v>0.2228739002932551</v>
      </c>
      <c r="K35">
        <v>0.32795698924731181</v>
      </c>
      <c r="L35">
        <v>0.38734115347018583</v>
      </c>
      <c r="M35">
        <v>0.43621700879765407</v>
      </c>
      <c r="N35">
        <v>0.48167155425219943</v>
      </c>
      <c r="O35">
        <v>0.50733137829912023</v>
      </c>
      <c r="P35">
        <v>1.1000000000000001</v>
      </c>
      <c r="Q35">
        <v>1.1000000000000001</v>
      </c>
      <c r="R35">
        <v>1.08</v>
      </c>
      <c r="S35">
        <v>1.06</v>
      </c>
      <c r="T35">
        <v>1.04</v>
      </c>
      <c r="U35">
        <v>1.04</v>
      </c>
      <c r="V35">
        <v>135</v>
      </c>
      <c r="W35">
        <v>3273.6000000000004</v>
      </c>
      <c r="X35">
        <v>3069</v>
      </c>
      <c r="Y35">
        <v>3273.6000000000004</v>
      </c>
      <c r="Z35">
        <v>3069</v>
      </c>
      <c r="AA35">
        <v>12349</v>
      </c>
      <c r="AB35">
        <v>7867</v>
      </c>
      <c r="AC35">
        <v>12349</v>
      </c>
      <c r="AD35">
        <v>7867</v>
      </c>
      <c r="AN35">
        <v>4</v>
      </c>
      <c r="AO35" t="s">
        <v>512</v>
      </c>
      <c r="AP35">
        <v>5.9</v>
      </c>
      <c r="AQ35">
        <v>1.3729166148378498</v>
      </c>
      <c r="AR35">
        <v>33.775282686457857</v>
      </c>
    </row>
    <row r="36" spans="2:44" ht="15.75" customHeight="1">
      <c r="C36">
        <v>145</v>
      </c>
      <c r="D36">
        <v>0.43304007820136814</v>
      </c>
      <c r="E36">
        <v>0.20918866080156429</v>
      </c>
      <c r="F36">
        <v>0.1241446725317692</v>
      </c>
      <c r="G36">
        <v>7.0869990224828802E-2</v>
      </c>
      <c r="H36">
        <v>3.8286086673183381E-2</v>
      </c>
      <c r="I36">
        <v>2.4437927663734073E-2</v>
      </c>
      <c r="J36">
        <v>0.22385141739980463</v>
      </c>
      <c r="K36">
        <v>0.33577712609970656</v>
      </c>
      <c r="L36">
        <v>0.39956011730205288</v>
      </c>
      <c r="M36">
        <v>0.45283479960899325</v>
      </c>
      <c r="N36">
        <v>0.50171065493646139</v>
      </c>
      <c r="O36">
        <v>0.53079178885630496</v>
      </c>
      <c r="P36">
        <v>1.1000000000000001</v>
      </c>
      <c r="Q36">
        <v>1.0900000000000001</v>
      </c>
      <c r="R36">
        <v>1.07</v>
      </c>
      <c r="S36">
        <v>1.0550000000000002</v>
      </c>
      <c r="T36">
        <v>1.0350000000000001</v>
      </c>
      <c r="U36">
        <v>1.0350000000000001</v>
      </c>
      <c r="V36">
        <v>145</v>
      </c>
      <c r="W36">
        <v>3273.6000000000004</v>
      </c>
      <c r="X36">
        <v>3069</v>
      </c>
      <c r="Y36">
        <v>3273.6000000000004</v>
      </c>
      <c r="Z36">
        <v>3069</v>
      </c>
      <c r="AA36">
        <v>12349</v>
      </c>
      <c r="AB36">
        <v>7867</v>
      </c>
      <c r="AC36">
        <v>12349</v>
      </c>
      <c r="AD36">
        <v>7867</v>
      </c>
      <c r="AO36" t="s">
        <v>513</v>
      </c>
      <c r="AP36">
        <v>4.8</v>
      </c>
      <c r="AQ36">
        <v>1.3214189706507866</v>
      </c>
      <c r="AR36">
        <v>47.924787615578673</v>
      </c>
    </row>
    <row r="37" spans="2:44" ht="15.75" customHeight="1">
      <c r="C37">
        <v>155</v>
      </c>
      <c r="D37">
        <v>0.46041055718475055</v>
      </c>
      <c r="E37">
        <v>0.22678396871945283</v>
      </c>
      <c r="F37">
        <v>0.1348973607038122</v>
      </c>
      <c r="G37">
        <v>7.7712609970674348E-2</v>
      </c>
      <c r="H37">
        <v>4.1544477028347924E-2</v>
      </c>
      <c r="I37">
        <v>2.6881720430107479E-2</v>
      </c>
      <c r="J37">
        <v>0.22507331378299122</v>
      </c>
      <c r="K37">
        <v>0.34188660801564008</v>
      </c>
      <c r="L37">
        <v>0.41080156402737056</v>
      </c>
      <c r="M37">
        <v>0.46798631476050839</v>
      </c>
      <c r="N37">
        <v>0.52223851417399803</v>
      </c>
      <c r="O37">
        <v>0.55303030303030298</v>
      </c>
      <c r="P37">
        <v>1.1000000000000001</v>
      </c>
      <c r="Q37">
        <v>1.08</v>
      </c>
      <c r="R37">
        <v>1.06</v>
      </c>
      <c r="S37">
        <v>1.05</v>
      </c>
      <c r="T37">
        <v>1.03</v>
      </c>
      <c r="U37">
        <v>1.03</v>
      </c>
      <c r="V37">
        <v>155</v>
      </c>
      <c r="W37">
        <v>3273.6000000000004</v>
      </c>
      <c r="X37">
        <v>3069</v>
      </c>
      <c r="Y37">
        <v>3273.6000000000004</v>
      </c>
      <c r="Z37">
        <v>3069</v>
      </c>
      <c r="AA37">
        <v>12349</v>
      </c>
      <c r="AB37">
        <v>7867</v>
      </c>
      <c r="AC37">
        <v>12349</v>
      </c>
      <c r="AD37">
        <v>7867</v>
      </c>
      <c r="AO37" t="s">
        <v>555</v>
      </c>
      <c r="AP37">
        <v>4.3</v>
      </c>
      <c r="AQ37">
        <v>1.0904787282218757</v>
      </c>
      <c r="AR37">
        <v>72.10919248397137</v>
      </c>
    </row>
    <row r="38" spans="2:44" ht="15.75" customHeight="1">
      <c r="B38">
        <v>3</v>
      </c>
      <c r="C38">
        <v>15</v>
      </c>
      <c r="D38">
        <v>3.7145650048875933E-2</v>
      </c>
      <c r="E38">
        <v>1.2707722385141729E-2</v>
      </c>
      <c r="F38">
        <v>6.8426197458455462E-3</v>
      </c>
      <c r="G38">
        <v>3.4213098729228256E-3</v>
      </c>
      <c r="H38">
        <v>1.6291951775822251E-3</v>
      </c>
      <c r="I38">
        <v>1.2218963831867036E-3</v>
      </c>
      <c r="J38">
        <v>0.11656891495601168</v>
      </c>
      <c r="K38">
        <v>0.12878787878787878</v>
      </c>
      <c r="L38">
        <v>0.13318670576735092</v>
      </c>
      <c r="M38">
        <v>0.13660801564027364</v>
      </c>
      <c r="N38">
        <v>0.13929618768328456</v>
      </c>
      <c r="O38">
        <v>0.14015151515151514</v>
      </c>
      <c r="P38">
        <v>0.81</v>
      </c>
      <c r="Q38">
        <v>0.86</v>
      </c>
      <c r="R38">
        <v>0.87</v>
      </c>
      <c r="S38">
        <v>0.87</v>
      </c>
      <c r="T38">
        <v>0.87</v>
      </c>
      <c r="U38">
        <v>0.87</v>
      </c>
      <c r="AO38" t="s">
        <v>514</v>
      </c>
      <c r="AP38">
        <v>4</v>
      </c>
      <c r="AQ38">
        <v>1.0900000000000001</v>
      </c>
      <c r="AR38">
        <v>87.92624715717966</v>
      </c>
    </row>
    <row r="39" spans="2:44" ht="15.75" customHeight="1">
      <c r="C39">
        <v>25</v>
      </c>
      <c r="D39">
        <v>8.6999022482893484E-2</v>
      </c>
      <c r="E39">
        <v>3.4213098729227731E-2</v>
      </c>
      <c r="F39">
        <v>1.8572825024437911E-2</v>
      </c>
      <c r="G39">
        <v>9.2864125122189469E-3</v>
      </c>
      <c r="H39">
        <v>4.4802867383512465E-3</v>
      </c>
      <c r="I39">
        <v>3.0547409579668285E-3</v>
      </c>
      <c r="J39">
        <v>0.16471163245356793</v>
      </c>
      <c r="K39">
        <v>0.19110459433040081</v>
      </c>
      <c r="L39">
        <v>0.20283479960899317</v>
      </c>
      <c r="M39">
        <v>0.21212121212121213</v>
      </c>
      <c r="N39">
        <v>0.21933040078201368</v>
      </c>
      <c r="O39">
        <v>0.22232404692082097</v>
      </c>
      <c r="P39">
        <v>0.81</v>
      </c>
      <c r="Q39">
        <v>0.86</v>
      </c>
      <c r="R39">
        <v>0.87</v>
      </c>
      <c r="S39">
        <v>0.87</v>
      </c>
      <c r="T39">
        <v>0.87</v>
      </c>
      <c r="U39">
        <v>0.87</v>
      </c>
      <c r="AO39" t="s">
        <v>556</v>
      </c>
      <c r="AP39">
        <v>3.2</v>
      </c>
      <c r="AQ39">
        <v>1.0604498501169575</v>
      </c>
      <c r="AR39">
        <v>128.21385428800275</v>
      </c>
    </row>
    <row r="40" spans="2:44" ht="15.75" customHeight="1">
      <c r="C40">
        <v>35</v>
      </c>
      <c r="D40">
        <v>0.15151515151515138</v>
      </c>
      <c r="E40">
        <v>6.0606060606060774E-2</v>
      </c>
      <c r="F40">
        <v>3.2258064516129004E-2</v>
      </c>
      <c r="G40">
        <v>1.7106549364613852E-2</v>
      </c>
      <c r="H40">
        <v>8.5532746823069258E-3</v>
      </c>
      <c r="I40">
        <v>4.8875855327468144E-3</v>
      </c>
      <c r="J40">
        <v>0.19599217986314765</v>
      </c>
      <c r="K40">
        <v>0.24144672531769296</v>
      </c>
      <c r="L40">
        <v>0.26270772238514178</v>
      </c>
      <c r="M40">
        <v>0.27785923753665692</v>
      </c>
      <c r="N40">
        <v>0.29068914956011732</v>
      </c>
      <c r="O40">
        <v>0.29838709677419356</v>
      </c>
      <c r="P40">
        <v>0.87</v>
      </c>
      <c r="Q40">
        <v>0.9</v>
      </c>
      <c r="R40">
        <v>0.93</v>
      </c>
      <c r="S40">
        <v>0.94</v>
      </c>
      <c r="T40">
        <v>0.96</v>
      </c>
      <c r="U40">
        <v>0.96</v>
      </c>
      <c r="AO40" t="s">
        <v>515</v>
      </c>
      <c r="AP40">
        <v>2.5</v>
      </c>
      <c r="AQ40">
        <v>1.1299999999999999</v>
      </c>
      <c r="AR40">
        <v>166.65630282625568</v>
      </c>
    </row>
    <row r="41" spans="2:44" ht="15.75" customHeight="1">
      <c r="C41">
        <v>45</v>
      </c>
      <c r="D41">
        <v>0.21994134897360729</v>
      </c>
      <c r="E41">
        <v>8.9931573802541465E-2</v>
      </c>
      <c r="F41">
        <v>4.9853372434017551E-2</v>
      </c>
      <c r="G41">
        <v>2.6392961876832797E-2</v>
      </c>
      <c r="H41">
        <v>1.3440860215053739E-2</v>
      </c>
      <c r="I41">
        <v>8.5532746823069258E-3</v>
      </c>
      <c r="J41">
        <v>0.21676441837732152</v>
      </c>
      <c r="K41">
        <v>0.28176930596285443</v>
      </c>
      <c r="L41">
        <v>0.31182795698924737</v>
      </c>
      <c r="M41">
        <v>0.3352883675464321</v>
      </c>
      <c r="N41">
        <v>0.3547165200391007</v>
      </c>
      <c r="O41">
        <v>0.36498044965786902</v>
      </c>
      <c r="P41">
        <v>0.87</v>
      </c>
      <c r="Q41">
        <v>0.91</v>
      </c>
      <c r="R41">
        <v>0.92</v>
      </c>
      <c r="S41">
        <v>0.92</v>
      </c>
      <c r="T41">
        <v>0.93</v>
      </c>
      <c r="U41">
        <v>0.93</v>
      </c>
      <c r="AN41">
        <v>5</v>
      </c>
      <c r="AO41" t="s">
        <v>512</v>
      </c>
      <c r="AP41">
        <v>5.9</v>
      </c>
      <c r="AQ41">
        <v>1.3729166148378498</v>
      </c>
      <c r="AR41">
        <v>42.782024736179949</v>
      </c>
    </row>
    <row r="42" spans="2:44" ht="15.75" customHeight="1">
      <c r="C42">
        <v>55</v>
      </c>
      <c r="D42">
        <v>0.28739002932551316</v>
      </c>
      <c r="E42">
        <v>0.12316715542522005</v>
      </c>
      <c r="F42">
        <v>6.9403714565004826E-2</v>
      </c>
      <c r="G42">
        <v>3.7145650048875899E-2</v>
      </c>
      <c r="H42">
        <v>1.8735744542196123E-2</v>
      </c>
      <c r="I42">
        <v>1.1608015640273684E-2</v>
      </c>
      <c r="J42">
        <v>0.23093841642228741</v>
      </c>
      <c r="K42">
        <v>0.31304985337243396</v>
      </c>
      <c r="L42">
        <v>0.35337243401759538</v>
      </c>
      <c r="M42">
        <v>0.38563049853372433</v>
      </c>
      <c r="N42">
        <v>0.41324535679374397</v>
      </c>
      <c r="O42">
        <v>0.4282135874877811</v>
      </c>
      <c r="P42">
        <v>0.86</v>
      </c>
      <c r="Q42">
        <v>0.9</v>
      </c>
      <c r="R42">
        <v>0.9</v>
      </c>
      <c r="S42">
        <v>0.9</v>
      </c>
      <c r="T42">
        <v>0.9</v>
      </c>
      <c r="U42">
        <v>0.9</v>
      </c>
      <c r="AO42" t="s">
        <v>513</v>
      </c>
      <c r="AP42">
        <v>4.8</v>
      </c>
      <c r="AQ42">
        <v>1.3214189706507866</v>
      </c>
      <c r="AR42">
        <v>60.704730979732993</v>
      </c>
    </row>
    <row r="43" spans="2:44" ht="15.75" customHeight="1">
      <c r="C43">
        <v>65</v>
      </c>
      <c r="D43">
        <v>0.35288367546432053</v>
      </c>
      <c r="E43">
        <v>0.15542521994134906</v>
      </c>
      <c r="F43">
        <v>8.7976539589442737E-2</v>
      </c>
      <c r="G43">
        <v>4.7898338220918782E-2</v>
      </c>
      <c r="H43">
        <v>2.4845226458129824E-2</v>
      </c>
      <c r="I43">
        <v>1.5884652981426869E-2</v>
      </c>
      <c r="J43">
        <v>0.23875855327468237</v>
      </c>
      <c r="K43">
        <v>0.33748778103616811</v>
      </c>
      <c r="L43">
        <v>0.38807429130009785</v>
      </c>
      <c r="M43">
        <v>0.42815249266862182</v>
      </c>
      <c r="N43">
        <v>0.46273216031280529</v>
      </c>
      <c r="O43">
        <v>0.48154936461388148</v>
      </c>
      <c r="P43">
        <v>0.88500000000000001</v>
      </c>
      <c r="Q43">
        <v>0.91500000000000004</v>
      </c>
      <c r="R43">
        <v>0.94</v>
      </c>
      <c r="S43">
        <v>0.93500000000000005</v>
      </c>
      <c r="T43">
        <v>0.94500000000000006</v>
      </c>
      <c r="U43">
        <v>0.94500000000000006</v>
      </c>
      <c r="AO43" t="s">
        <v>555</v>
      </c>
      <c r="AP43">
        <v>4.3</v>
      </c>
      <c r="AQ43">
        <v>1.108649336</v>
      </c>
      <c r="AR43">
        <v>91.338310479697071</v>
      </c>
    </row>
    <row r="44" spans="2:44" ht="15.75" customHeight="1">
      <c r="C44">
        <v>75</v>
      </c>
      <c r="D44">
        <v>0.41739980449657876</v>
      </c>
      <c r="E44">
        <v>0.18963831867057679</v>
      </c>
      <c r="F44">
        <v>0.11143695014662747</v>
      </c>
      <c r="G44">
        <v>6.0117302052785815E-2</v>
      </c>
      <c r="H44">
        <v>3.1362007168458911E-2</v>
      </c>
      <c r="I44">
        <v>2.0161290322580332E-2</v>
      </c>
      <c r="J44">
        <v>0.2443792766373411</v>
      </c>
      <c r="K44">
        <v>0.35826001955034209</v>
      </c>
      <c r="L44">
        <v>0.41691104594330408</v>
      </c>
      <c r="M44">
        <v>0.46823069403714573</v>
      </c>
      <c r="N44">
        <v>0.51136363636363613</v>
      </c>
      <c r="O44">
        <v>0.53488514173998114</v>
      </c>
      <c r="P44">
        <v>0.91</v>
      </c>
      <c r="Q44">
        <v>0.93</v>
      </c>
      <c r="R44">
        <v>0.98</v>
      </c>
      <c r="S44">
        <v>0.97</v>
      </c>
      <c r="T44">
        <v>0.99</v>
      </c>
      <c r="U44">
        <v>0.99</v>
      </c>
      <c r="AO44" t="s">
        <v>514</v>
      </c>
      <c r="AP44">
        <v>4</v>
      </c>
      <c r="AQ44">
        <v>1.0900000000000001</v>
      </c>
      <c r="AR44">
        <v>110.25951393510329</v>
      </c>
    </row>
    <row r="45" spans="2:44" ht="15.75" customHeight="1">
      <c r="C45">
        <v>85</v>
      </c>
      <c r="D45">
        <v>0.47996089931573804</v>
      </c>
      <c r="E45">
        <v>0.22482893450635411</v>
      </c>
      <c r="F45">
        <v>0.13098729227761474</v>
      </c>
      <c r="G45">
        <v>7.282502443792753E-2</v>
      </c>
      <c r="H45">
        <v>3.8286086673183561E-2</v>
      </c>
      <c r="I45">
        <v>2.4437927663733795E-2</v>
      </c>
      <c r="J45">
        <v>0.24682306940371457</v>
      </c>
      <c r="K45">
        <v>0.37438905180840654</v>
      </c>
      <c r="L45">
        <v>0.44477028347996106</v>
      </c>
      <c r="M45">
        <v>0.50293255131964831</v>
      </c>
      <c r="N45">
        <v>0.55474095796676426</v>
      </c>
      <c r="O45">
        <v>0.58382209188660872</v>
      </c>
      <c r="P45">
        <v>0.99</v>
      </c>
      <c r="Q45">
        <v>1</v>
      </c>
      <c r="R45">
        <v>1.02</v>
      </c>
      <c r="S45">
        <v>1.01</v>
      </c>
      <c r="T45">
        <v>1.02</v>
      </c>
      <c r="U45">
        <v>1.02</v>
      </c>
      <c r="AO45" t="s">
        <v>556</v>
      </c>
      <c r="AP45">
        <v>3.2</v>
      </c>
      <c r="AQ45">
        <v>1.0799627685746049</v>
      </c>
      <c r="AR45">
        <v>159.15613112284075</v>
      </c>
    </row>
    <row r="46" spans="2:44" ht="15.75" customHeight="1">
      <c r="C46">
        <v>95</v>
      </c>
      <c r="D46">
        <v>0.5405669599217986</v>
      </c>
      <c r="E46">
        <v>0.25904203323558184</v>
      </c>
      <c r="F46">
        <v>0.15249266862170074</v>
      </c>
      <c r="G46">
        <v>8.6021505376344148E-2</v>
      </c>
      <c r="H46">
        <v>4.5617464972303415E-2</v>
      </c>
      <c r="I46">
        <v>2.8714565004887813E-2</v>
      </c>
      <c r="J46">
        <v>0.24706744868035191</v>
      </c>
      <c r="K46">
        <v>0.38782991202346029</v>
      </c>
      <c r="L46">
        <v>0.46774193548387111</v>
      </c>
      <c r="M46">
        <v>0.53421309872922773</v>
      </c>
      <c r="N46">
        <v>0.59481915933528884</v>
      </c>
      <c r="O46">
        <v>0.63031524926686155</v>
      </c>
      <c r="P46">
        <v>1.07</v>
      </c>
      <c r="Q46">
        <v>1.07</v>
      </c>
      <c r="R46">
        <v>1.06</v>
      </c>
      <c r="S46">
        <v>1.05</v>
      </c>
      <c r="T46">
        <v>1.05</v>
      </c>
      <c r="U46">
        <v>1.05</v>
      </c>
      <c r="AO46" t="s">
        <v>515</v>
      </c>
      <c r="AP46">
        <v>2.5</v>
      </c>
      <c r="AQ46">
        <v>1.1299999999999999</v>
      </c>
      <c r="AR46">
        <v>204.76504407252617</v>
      </c>
    </row>
    <row r="47" spans="2:44" ht="15.75" customHeight="1">
      <c r="C47">
        <v>105</v>
      </c>
      <c r="D47">
        <v>0.59726295210166169</v>
      </c>
      <c r="E47">
        <v>0.29325513196480957</v>
      </c>
      <c r="F47">
        <v>0.17497556207233611</v>
      </c>
      <c r="G47">
        <v>9.9217986314760559E-2</v>
      </c>
      <c r="H47">
        <v>5.2541544477028072E-2</v>
      </c>
      <c r="I47">
        <v>3.3602150537634351E-2</v>
      </c>
      <c r="J47">
        <v>0.24633431085043989</v>
      </c>
      <c r="K47">
        <v>0.39833822091886595</v>
      </c>
      <c r="L47">
        <v>0.48704789833822104</v>
      </c>
      <c r="M47">
        <v>0.56280547409579662</v>
      </c>
      <c r="N47">
        <v>0.63282013685239535</v>
      </c>
      <c r="O47">
        <v>0.6725928641251222</v>
      </c>
      <c r="P47">
        <v>1.1000000000000001</v>
      </c>
      <c r="Q47">
        <v>1.085</v>
      </c>
      <c r="R47">
        <v>1.0750000000000002</v>
      </c>
      <c r="S47">
        <v>1.06</v>
      </c>
      <c r="T47">
        <v>1.0550000000000002</v>
      </c>
      <c r="U47">
        <v>1.0550000000000002</v>
      </c>
      <c r="AN47">
        <v>6</v>
      </c>
      <c r="AO47" t="s">
        <v>512</v>
      </c>
      <c r="AP47">
        <v>5.9</v>
      </c>
      <c r="AQ47">
        <v>1.3729166148378498</v>
      </c>
      <c r="AR47">
        <v>51.788766785902048</v>
      </c>
    </row>
    <row r="48" spans="2:44" ht="15.75" customHeight="1">
      <c r="C48">
        <v>115</v>
      </c>
      <c r="D48">
        <v>0.65102639296187714</v>
      </c>
      <c r="E48">
        <v>0.32649071358748749</v>
      </c>
      <c r="F48">
        <v>0.19648093841642256</v>
      </c>
      <c r="G48">
        <v>0.11241446725317673</v>
      </c>
      <c r="H48">
        <v>6.0687520364939795E-2</v>
      </c>
      <c r="I48">
        <v>3.8489736070381163E-2</v>
      </c>
      <c r="J48">
        <v>0.24462365591397839</v>
      </c>
      <c r="K48">
        <v>0.40689149560117321</v>
      </c>
      <c r="L48">
        <v>0.50439882697947191</v>
      </c>
      <c r="M48">
        <v>0.58846529814271775</v>
      </c>
      <c r="N48">
        <v>0.66605571847507317</v>
      </c>
      <c r="O48">
        <v>0.71267106549364634</v>
      </c>
      <c r="P48">
        <v>1.1000000000000001</v>
      </c>
      <c r="Q48">
        <v>1.1000000000000001</v>
      </c>
      <c r="R48">
        <v>1.0900000000000001</v>
      </c>
      <c r="S48">
        <v>1.07</v>
      </c>
      <c r="T48">
        <v>1.06</v>
      </c>
      <c r="U48">
        <v>1.06</v>
      </c>
      <c r="AO48" t="s">
        <v>513</v>
      </c>
      <c r="AP48">
        <v>4.8</v>
      </c>
      <c r="AQ48">
        <v>1.3214189706507866</v>
      </c>
      <c r="AR48">
        <v>72.749827600448413</v>
      </c>
    </row>
    <row r="49" spans="2:44" ht="15.75" customHeight="1">
      <c r="C49">
        <v>125</v>
      </c>
      <c r="D49">
        <v>0.69990224828934511</v>
      </c>
      <c r="E49">
        <v>0.35874877810361694</v>
      </c>
      <c r="F49">
        <v>0.21700879765395875</v>
      </c>
      <c r="G49">
        <v>0.12609970674486803</v>
      </c>
      <c r="H49">
        <v>6.8018898664059829E-2</v>
      </c>
      <c r="I49">
        <v>4.3377321603127697E-2</v>
      </c>
      <c r="J49">
        <v>0.24242424242424243</v>
      </c>
      <c r="K49">
        <v>0.41300097751710652</v>
      </c>
      <c r="L49">
        <v>0.51930596285435016</v>
      </c>
      <c r="M49">
        <v>0.61021505376344087</v>
      </c>
      <c r="N49">
        <v>0.69733626588465325</v>
      </c>
      <c r="O49">
        <v>0.74908357771261069</v>
      </c>
      <c r="P49">
        <v>1.1000000000000001</v>
      </c>
      <c r="Q49">
        <v>1.1000000000000001</v>
      </c>
      <c r="R49">
        <v>1.085</v>
      </c>
      <c r="S49">
        <v>1.0649999999999999</v>
      </c>
      <c r="T49">
        <v>1.05</v>
      </c>
      <c r="U49">
        <v>1.05</v>
      </c>
      <c r="AO49" t="s">
        <v>555</v>
      </c>
      <c r="AP49">
        <v>4.3</v>
      </c>
      <c r="AQ49">
        <v>1.1268199430596602</v>
      </c>
      <c r="AR49">
        <v>108.35607990591431</v>
      </c>
    </row>
    <row r="50" spans="2:44" ht="15.75" customHeight="1">
      <c r="C50">
        <v>135</v>
      </c>
      <c r="D50">
        <v>0.74780058651026393</v>
      </c>
      <c r="E50">
        <v>0.39002932551319613</v>
      </c>
      <c r="F50">
        <v>0.23949169110459456</v>
      </c>
      <c r="G50">
        <v>0.13880742913000976</v>
      </c>
      <c r="H50">
        <v>7.5757575757575621E-2</v>
      </c>
      <c r="I50">
        <v>4.8875855327468146E-2</v>
      </c>
      <c r="J50">
        <v>0.23949169110459434</v>
      </c>
      <c r="K50">
        <v>0.41837732160312824</v>
      </c>
      <c r="L50">
        <v>0.53128054740957942</v>
      </c>
      <c r="M50">
        <v>0.63196480938416422</v>
      </c>
      <c r="N50">
        <v>0.72653958944281549</v>
      </c>
      <c r="O50">
        <v>0.78299120234604114</v>
      </c>
      <c r="P50">
        <v>1.1000000000000001</v>
      </c>
      <c r="Q50">
        <v>1.1000000000000001</v>
      </c>
      <c r="R50">
        <v>1.08</v>
      </c>
      <c r="S50">
        <v>1.06</v>
      </c>
      <c r="T50">
        <v>1.04</v>
      </c>
      <c r="U50">
        <v>1.04</v>
      </c>
      <c r="AO50" t="s">
        <v>514</v>
      </c>
      <c r="AP50">
        <v>4</v>
      </c>
      <c r="AQ50">
        <v>1.0900000000000001</v>
      </c>
      <c r="AR50">
        <v>132.12384072818864</v>
      </c>
    </row>
    <row r="51" spans="2:44" ht="15.75" customHeight="1">
      <c r="C51">
        <v>145</v>
      </c>
      <c r="D51">
        <v>0.79276637341153466</v>
      </c>
      <c r="E51">
        <v>0.42033235581622685</v>
      </c>
      <c r="F51">
        <v>0.26099706744868012</v>
      </c>
      <c r="G51">
        <v>0.15249266862170061</v>
      </c>
      <c r="H51">
        <v>8.3496252851091593E-2</v>
      </c>
      <c r="I51">
        <v>5.437438905180831E-2</v>
      </c>
      <c r="J51">
        <v>0.23631476050830891</v>
      </c>
      <c r="K51">
        <v>0.42253176930596281</v>
      </c>
      <c r="L51">
        <v>0.54203323558162286</v>
      </c>
      <c r="M51">
        <v>0.65053763440860235</v>
      </c>
      <c r="N51">
        <v>0.7540322580645159</v>
      </c>
      <c r="O51">
        <v>0.81518817204301086</v>
      </c>
      <c r="P51">
        <v>1.1000000000000001</v>
      </c>
      <c r="Q51">
        <v>1.0900000000000001</v>
      </c>
      <c r="R51">
        <v>1.07</v>
      </c>
      <c r="S51">
        <v>1.0550000000000002</v>
      </c>
      <c r="T51">
        <v>1.0350000000000001</v>
      </c>
      <c r="U51">
        <v>1.0350000000000001</v>
      </c>
      <c r="AO51" t="s">
        <v>556</v>
      </c>
      <c r="AP51">
        <v>3.2</v>
      </c>
      <c r="AQ51">
        <v>1.0842014310000001</v>
      </c>
      <c r="AR51">
        <v>190.69673927768943</v>
      </c>
    </row>
    <row r="52" spans="2:44" ht="15.75" customHeight="1">
      <c r="C52">
        <v>155</v>
      </c>
      <c r="D52">
        <v>0.83577712609970667</v>
      </c>
      <c r="E52">
        <v>0.45063538611925757</v>
      </c>
      <c r="F52">
        <v>0.2805474095796674</v>
      </c>
      <c r="G52">
        <v>0.1661779081133917</v>
      </c>
      <c r="H52">
        <v>9.1642228739003143E-2</v>
      </c>
      <c r="I52">
        <v>5.9261974584554844E-2</v>
      </c>
      <c r="J52">
        <v>0.23264907135874879</v>
      </c>
      <c r="K52">
        <v>0.42521994134897334</v>
      </c>
      <c r="L52">
        <v>0.55278592375366598</v>
      </c>
      <c r="M52">
        <v>0.66715542521994164</v>
      </c>
      <c r="N52">
        <v>0.77895894428152457</v>
      </c>
      <c r="O52">
        <v>0.84695747800586596</v>
      </c>
      <c r="P52">
        <v>1.1000000000000001</v>
      </c>
      <c r="Q52">
        <v>1.08</v>
      </c>
      <c r="R52">
        <v>1.06</v>
      </c>
      <c r="S52">
        <v>1.05</v>
      </c>
      <c r="T52">
        <v>1.03</v>
      </c>
      <c r="U52">
        <v>1.03</v>
      </c>
      <c r="AO52" t="s">
        <v>515</v>
      </c>
      <c r="AP52">
        <v>2.5</v>
      </c>
      <c r="AQ52">
        <v>1.1299999999999999</v>
      </c>
      <c r="AR52">
        <v>247.87347440358428</v>
      </c>
    </row>
    <row r="53" spans="2:44" ht="15.75" customHeight="1">
      <c r="B53">
        <v>4</v>
      </c>
      <c r="C53">
        <v>15</v>
      </c>
      <c r="D53">
        <v>6.5493646138807371E-2</v>
      </c>
      <c r="E53">
        <v>2.4437927663734205E-2</v>
      </c>
      <c r="F53">
        <v>1.2707722385141729E-2</v>
      </c>
      <c r="G53">
        <v>6.3538611925708583E-3</v>
      </c>
      <c r="H53">
        <v>3.258390355164589E-3</v>
      </c>
      <c r="I53">
        <v>1.8328445747799859E-3</v>
      </c>
      <c r="J53">
        <v>0.15151515151515152</v>
      </c>
      <c r="K53">
        <v>0.1720430107526881</v>
      </c>
      <c r="L53">
        <v>0.18084066471163246</v>
      </c>
      <c r="M53">
        <v>0.18719452590420332</v>
      </c>
      <c r="N53">
        <v>0.19183773216031275</v>
      </c>
      <c r="O53">
        <v>0.19483137829912039</v>
      </c>
      <c r="P53">
        <v>0.81</v>
      </c>
      <c r="Q53">
        <v>0.86</v>
      </c>
      <c r="R53">
        <v>0.87</v>
      </c>
      <c r="S53">
        <v>0.87</v>
      </c>
      <c r="T53">
        <v>0.87</v>
      </c>
      <c r="U53">
        <v>0.87</v>
      </c>
      <c r="AN53">
        <v>7</v>
      </c>
      <c r="AO53" t="s">
        <v>512</v>
      </c>
      <c r="AP53">
        <v>5.9</v>
      </c>
      <c r="AQ53">
        <v>1.4358841379879492</v>
      </c>
      <c r="AR53">
        <v>60.187553747267899</v>
      </c>
    </row>
    <row r="54" spans="2:44" ht="15.75" customHeight="1">
      <c r="C54">
        <v>25</v>
      </c>
      <c r="D54">
        <v>0.15444770283479969</v>
      </c>
      <c r="E54">
        <v>6.0606060606060552E-2</v>
      </c>
      <c r="F54">
        <v>3.2258064516129004E-2</v>
      </c>
      <c r="G54">
        <v>1.661779081133917E-2</v>
      </c>
      <c r="H54">
        <v>8.5532746823070178E-3</v>
      </c>
      <c r="I54">
        <v>4.8875855327466756E-3</v>
      </c>
      <c r="J54">
        <v>0.20356793743890517</v>
      </c>
      <c r="K54">
        <v>0.25048875855327474</v>
      </c>
      <c r="L54">
        <v>0.2717497556207234</v>
      </c>
      <c r="M54">
        <v>0.28739002932551322</v>
      </c>
      <c r="N54">
        <v>0.29948680351906148</v>
      </c>
      <c r="O54">
        <v>0.30718475073313817</v>
      </c>
      <c r="P54">
        <v>0.81</v>
      </c>
      <c r="Q54">
        <v>0.86</v>
      </c>
      <c r="R54">
        <v>0.87</v>
      </c>
      <c r="S54">
        <v>0.87</v>
      </c>
      <c r="T54">
        <v>0.87</v>
      </c>
      <c r="U54">
        <v>0.87</v>
      </c>
      <c r="AO54" t="s">
        <v>513</v>
      </c>
      <c r="AP54">
        <v>4.8</v>
      </c>
      <c r="AQ54">
        <v>1.38</v>
      </c>
      <c r="AR54">
        <v>84.539325353880784</v>
      </c>
    </row>
    <row r="55" spans="2:44" ht="15.75" customHeight="1">
      <c r="C55">
        <v>35</v>
      </c>
      <c r="D55">
        <v>0.25513196480938438</v>
      </c>
      <c r="E55">
        <v>0.10459433040078192</v>
      </c>
      <c r="F55">
        <v>5.7673509286412461E-2</v>
      </c>
      <c r="G55">
        <v>3.0303030303030248E-2</v>
      </c>
      <c r="H55">
        <v>1.5477354187031578E-2</v>
      </c>
      <c r="I55">
        <v>9.7751710654937676E-3</v>
      </c>
      <c r="J55">
        <v>0.23289345063538602</v>
      </c>
      <c r="K55">
        <v>0.30816226783968725</v>
      </c>
      <c r="L55">
        <v>0.34335288367546435</v>
      </c>
      <c r="M55">
        <v>0.37072336265884653</v>
      </c>
      <c r="N55">
        <v>0.39296187683284456</v>
      </c>
      <c r="O55">
        <v>0.40493646138807399</v>
      </c>
      <c r="P55">
        <v>0.87</v>
      </c>
      <c r="Q55">
        <v>0.9</v>
      </c>
      <c r="R55">
        <v>0.93</v>
      </c>
      <c r="S55">
        <v>0.94</v>
      </c>
      <c r="T55">
        <v>0.96</v>
      </c>
      <c r="U55">
        <v>0.96</v>
      </c>
      <c r="AO55" t="s">
        <v>555</v>
      </c>
      <c r="AP55">
        <v>4.3</v>
      </c>
      <c r="AQ55">
        <v>1.144990551</v>
      </c>
      <c r="AR55">
        <v>125.902650077014</v>
      </c>
    </row>
    <row r="56" spans="2:44" ht="15.75" customHeight="1">
      <c r="C56">
        <v>45</v>
      </c>
      <c r="D56">
        <v>0.35581622678396885</v>
      </c>
      <c r="E56">
        <v>0.15542521994134906</v>
      </c>
      <c r="F56">
        <v>8.7976539589442737E-2</v>
      </c>
      <c r="G56">
        <v>4.6920821114369418E-2</v>
      </c>
      <c r="H56">
        <v>2.3623330074942935E-2</v>
      </c>
      <c r="I56">
        <v>1.5273704789833795E-2</v>
      </c>
      <c r="J56">
        <v>0.24951124144672526</v>
      </c>
      <c r="K56">
        <v>0.34970674486803516</v>
      </c>
      <c r="L56">
        <v>0.4002932551319649</v>
      </c>
      <c r="M56">
        <v>0.44134897360703823</v>
      </c>
      <c r="N56">
        <v>0.47629521016617793</v>
      </c>
      <c r="O56">
        <v>0.49382942326490714</v>
      </c>
      <c r="P56">
        <v>0.87</v>
      </c>
      <c r="Q56">
        <v>0.91</v>
      </c>
      <c r="R56">
        <v>0.92</v>
      </c>
      <c r="S56">
        <v>0.92</v>
      </c>
      <c r="T56">
        <v>0.93</v>
      </c>
      <c r="U56">
        <v>0.93</v>
      </c>
      <c r="AO56" t="s">
        <v>514</v>
      </c>
      <c r="AP56">
        <v>4</v>
      </c>
      <c r="AQ56">
        <v>1.0900000000000001</v>
      </c>
      <c r="AR56">
        <v>153.51922753643569</v>
      </c>
    </row>
    <row r="57" spans="2:44" ht="15.75" customHeight="1">
      <c r="C57">
        <v>55</v>
      </c>
      <c r="D57">
        <v>0.45650048875855331</v>
      </c>
      <c r="E57">
        <v>0.20625610948191597</v>
      </c>
      <c r="F57">
        <v>0.12218963831867047</v>
      </c>
      <c r="G57">
        <v>6.4516129032258174E-2</v>
      </c>
      <c r="H57">
        <v>3.3398501140436562E-2</v>
      </c>
      <c r="I57">
        <v>2.1383186705767037E-2</v>
      </c>
      <c r="J57">
        <v>0.25659824046920826</v>
      </c>
      <c r="K57">
        <v>0.38172043010752693</v>
      </c>
      <c r="L57">
        <v>0.44477028347996106</v>
      </c>
      <c r="M57">
        <v>0.50244379276637341</v>
      </c>
      <c r="N57">
        <v>0.54912023460410575</v>
      </c>
      <c r="O57">
        <v>0.57435239491691181</v>
      </c>
      <c r="P57">
        <v>0.86</v>
      </c>
      <c r="Q57">
        <v>0.9</v>
      </c>
      <c r="R57">
        <v>0.9</v>
      </c>
      <c r="S57">
        <v>0.9</v>
      </c>
      <c r="T57">
        <v>0.9</v>
      </c>
      <c r="U57">
        <v>0.9</v>
      </c>
      <c r="AO57" t="s">
        <v>556</v>
      </c>
      <c r="AP57">
        <v>3.2</v>
      </c>
      <c r="AQ57">
        <v>1.113352264</v>
      </c>
      <c r="AR57">
        <v>222.13050255396476</v>
      </c>
    </row>
    <row r="58" spans="2:44" ht="15.75" customHeight="1">
      <c r="C58">
        <v>65</v>
      </c>
      <c r="D58">
        <v>0.55816226783968714</v>
      </c>
      <c r="E58">
        <v>0.26197458455522948</v>
      </c>
      <c r="F58">
        <v>0.14760508308895437</v>
      </c>
      <c r="G58">
        <v>8.4066471163245213E-2</v>
      </c>
      <c r="H58">
        <v>4.3988269794721514E-2</v>
      </c>
      <c r="I58">
        <v>2.7492668621700554E-2</v>
      </c>
      <c r="J58">
        <v>0.25659824046920821</v>
      </c>
      <c r="K58">
        <v>0.40469208211143703</v>
      </c>
      <c r="L58">
        <v>0.49046920821114337</v>
      </c>
      <c r="M58">
        <v>0.55400782013685257</v>
      </c>
      <c r="N58">
        <v>0.61412512218963811</v>
      </c>
      <c r="O58">
        <v>0.64876588465298213</v>
      </c>
      <c r="P58">
        <v>0.88500000000000001</v>
      </c>
      <c r="Q58">
        <v>0.91500000000000004</v>
      </c>
      <c r="R58">
        <v>0.94</v>
      </c>
      <c r="S58">
        <v>0.93500000000000005</v>
      </c>
      <c r="T58">
        <v>0.94500000000000006</v>
      </c>
      <c r="U58">
        <v>0.94500000000000006</v>
      </c>
      <c r="AO58" t="s">
        <v>515</v>
      </c>
      <c r="AP58">
        <v>2.5</v>
      </c>
      <c r="AQ58">
        <v>1.1299999999999999</v>
      </c>
      <c r="AR58">
        <v>288.73204464648796</v>
      </c>
    </row>
    <row r="59" spans="2:44" ht="15.75" customHeight="1">
      <c r="C59">
        <v>75</v>
      </c>
      <c r="D59">
        <v>0.64809384164222883</v>
      </c>
      <c r="E59">
        <v>0.31476050830889557</v>
      </c>
      <c r="F59">
        <v>0.18279569892473102</v>
      </c>
      <c r="G59">
        <v>0.10410557184750714</v>
      </c>
      <c r="H59">
        <v>5.4985337243401849E-2</v>
      </c>
      <c r="I59">
        <v>3.4824046920820778E-2</v>
      </c>
      <c r="J59">
        <v>0.25439882697947214</v>
      </c>
      <c r="K59">
        <v>0.42106549364613877</v>
      </c>
      <c r="L59">
        <v>0.52003910068426218</v>
      </c>
      <c r="M59">
        <v>0.59872922776148607</v>
      </c>
      <c r="N59">
        <v>0.67240957966764403</v>
      </c>
      <c r="O59">
        <v>0.71474828934506429</v>
      </c>
      <c r="P59">
        <v>0.91</v>
      </c>
      <c r="Q59">
        <v>0.93</v>
      </c>
      <c r="R59">
        <v>0.98</v>
      </c>
      <c r="S59">
        <v>0.97</v>
      </c>
      <c r="T59">
        <v>0.99</v>
      </c>
      <c r="U59">
        <v>0.99</v>
      </c>
      <c r="AN59">
        <v>8</v>
      </c>
      <c r="AO59" t="s">
        <v>512</v>
      </c>
      <c r="AP59">
        <v>5.9</v>
      </c>
      <c r="AQ59">
        <v>1.4029295168635305</v>
      </c>
      <c r="AR59">
        <v>68.406205867639301</v>
      </c>
    </row>
    <row r="60" spans="2:44" ht="15.75" customHeight="1">
      <c r="C60">
        <v>85</v>
      </c>
      <c r="D60">
        <v>0.73118279569892475</v>
      </c>
      <c r="E60">
        <v>0.36656891495601185</v>
      </c>
      <c r="F60">
        <v>0.21896383186705748</v>
      </c>
      <c r="G60">
        <v>0.12512218963831845</v>
      </c>
      <c r="H60">
        <v>6.6389703486477741E-2</v>
      </c>
      <c r="I60">
        <v>4.2766373411534907E-2</v>
      </c>
      <c r="J60">
        <v>0.25048875855327468</v>
      </c>
      <c r="K60">
        <v>0.43279569892473113</v>
      </c>
      <c r="L60">
        <v>0.54349951124144691</v>
      </c>
      <c r="M60">
        <v>0.63734115347018594</v>
      </c>
      <c r="N60">
        <v>0.72543988269794701</v>
      </c>
      <c r="O60">
        <v>0.775048875855327</v>
      </c>
      <c r="P60">
        <v>0.99</v>
      </c>
      <c r="Q60">
        <v>1</v>
      </c>
      <c r="R60">
        <v>1.02</v>
      </c>
      <c r="S60">
        <v>1.01</v>
      </c>
      <c r="T60">
        <v>1.02</v>
      </c>
      <c r="U60">
        <v>1.02</v>
      </c>
      <c r="AO60" t="s">
        <v>513</v>
      </c>
      <c r="AP60">
        <v>4.8</v>
      </c>
      <c r="AQ60">
        <v>1.38</v>
      </c>
      <c r="AR60">
        <v>96.826423897812134</v>
      </c>
    </row>
    <row r="61" spans="2:44" ht="15.75" customHeight="1">
      <c r="C61">
        <v>95</v>
      </c>
      <c r="D61">
        <v>0.80840664711632471</v>
      </c>
      <c r="E61">
        <v>0.41739980449657832</v>
      </c>
      <c r="F61">
        <v>0.25317693059628565</v>
      </c>
      <c r="G61">
        <v>0.14613880742912996</v>
      </c>
      <c r="H61">
        <v>7.8608667318344594E-2</v>
      </c>
      <c r="I61">
        <v>5.009775171065485E-2</v>
      </c>
      <c r="J61">
        <v>0.24486803519061584</v>
      </c>
      <c r="K61">
        <v>0.44037145650048903</v>
      </c>
      <c r="L61">
        <v>0.56353861192570853</v>
      </c>
      <c r="M61">
        <v>0.6705767350928642</v>
      </c>
      <c r="N61">
        <v>0.77187194525904235</v>
      </c>
      <c r="O61">
        <v>0.83174486803519077</v>
      </c>
      <c r="P61">
        <v>1.07</v>
      </c>
      <c r="Q61">
        <v>1.07</v>
      </c>
      <c r="R61">
        <v>1.06</v>
      </c>
      <c r="S61">
        <v>1.05</v>
      </c>
      <c r="T61">
        <v>1.05</v>
      </c>
      <c r="U61">
        <v>1.05</v>
      </c>
      <c r="AO61" t="s">
        <v>555</v>
      </c>
      <c r="AP61">
        <v>4.3</v>
      </c>
      <c r="AQ61">
        <v>1.1631611584521719</v>
      </c>
      <c r="AR61">
        <v>141.97854004541105</v>
      </c>
    </row>
    <row r="62" spans="2:44" ht="15.75" customHeight="1">
      <c r="C62">
        <v>105</v>
      </c>
      <c r="D62">
        <v>0.87976539589442848</v>
      </c>
      <c r="E62">
        <v>0.46627565982404651</v>
      </c>
      <c r="F62">
        <v>0.28836754643206275</v>
      </c>
      <c r="G62">
        <v>0.16764418377321597</v>
      </c>
      <c r="H62">
        <v>9.0420332355816063E-2</v>
      </c>
      <c r="I62">
        <v>5.8651026392961769E-2</v>
      </c>
      <c r="J62">
        <v>0.23875855327468221</v>
      </c>
      <c r="K62">
        <v>0.44550342130987319</v>
      </c>
      <c r="L62">
        <v>0.57893450635386101</v>
      </c>
      <c r="M62">
        <v>0.69965786901270777</v>
      </c>
      <c r="N62">
        <v>0.8154936461388077</v>
      </c>
      <c r="O62">
        <v>0.88220918866080167</v>
      </c>
      <c r="P62">
        <v>1.1000000000000001</v>
      </c>
      <c r="Q62">
        <v>1.085</v>
      </c>
      <c r="R62">
        <v>1.0750000000000002</v>
      </c>
      <c r="S62">
        <v>1.06</v>
      </c>
      <c r="T62">
        <v>1.0550000000000002</v>
      </c>
      <c r="U62">
        <v>1.0550000000000002</v>
      </c>
      <c r="AO62" t="s">
        <v>514</v>
      </c>
      <c r="AP62">
        <v>4</v>
      </c>
      <c r="AQ62">
        <v>1.0900000000000001</v>
      </c>
      <c r="AR62">
        <v>172.62853191859605</v>
      </c>
    </row>
    <row r="63" spans="2:44" ht="15.75" customHeight="1">
      <c r="C63">
        <v>115</v>
      </c>
      <c r="D63">
        <v>0.94721407624633391</v>
      </c>
      <c r="E63">
        <v>0.51417399804496577</v>
      </c>
      <c r="F63">
        <v>0.32258064516129048</v>
      </c>
      <c r="G63">
        <v>0.18866080156402726</v>
      </c>
      <c r="H63">
        <v>0.10345389377647424</v>
      </c>
      <c r="I63">
        <v>6.659335288367535E-2</v>
      </c>
      <c r="J63">
        <v>0.2314271749755622</v>
      </c>
      <c r="K63">
        <v>0.44794721407624627</v>
      </c>
      <c r="L63">
        <v>0.59164222873900274</v>
      </c>
      <c r="M63">
        <v>0.72556207233626591</v>
      </c>
      <c r="N63">
        <v>0.85337243401759555</v>
      </c>
      <c r="O63">
        <v>0.93077956989247324</v>
      </c>
      <c r="P63">
        <v>1.1000000000000001</v>
      </c>
      <c r="Q63">
        <v>1.1000000000000001</v>
      </c>
      <c r="R63">
        <v>1.0900000000000001</v>
      </c>
      <c r="S63">
        <v>1.07</v>
      </c>
      <c r="T63">
        <v>1.06</v>
      </c>
      <c r="U63">
        <v>1.06</v>
      </c>
      <c r="AO63" t="s">
        <v>556</v>
      </c>
      <c r="AP63">
        <v>3.2</v>
      </c>
      <c r="AQ63">
        <v>1.1000000000000001</v>
      </c>
      <c r="AR63">
        <v>253.23074930331708</v>
      </c>
    </row>
    <row r="64" spans="2:44" ht="15.75" customHeight="1">
      <c r="C64">
        <v>125</v>
      </c>
      <c r="D64">
        <v>1.010752688172043</v>
      </c>
      <c r="E64">
        <v>0.56109481915933568</v>
      </c>
      <c r="F64">
        <v>0.35288367546432031</v>
      </c>
      <c r="G64">
        <v>0.21016617790811346</v>
      </c>
      <c r="H64">
        <v>0.11608015640273685</v>
      </c>
      <c r="I64">
        <v>7.5146627565982269E-2</v>
      </c>
      <c r="J64">
        <v>0.22385141739980452</v>
      </c>
      <c r="K64">
        <v>0.44868035190615818</v>
      </c>
      <c r="L64">
        <v>0.60483870967741971</v>
      </c>
      <c r="M64">
        <v>0.74755620723362659</v>
      </c>
      <c r="N64">
        <v>0.88868523949169154</v>
      </c>
      <c r="O64">
        <v>0.97464565004887616</v>
      </c>
      <c r="P64">
        <v>1.1000000000000001</v>
      </c>
      <c r="Q64">
        <v>1.1000000000000001</v>
      </c>
      <c r="R64">
        <v>1.085</v>
      </c>
      <c r="S64">
        <v>1.0649999999999999</v>
      </c>
      <c r="T64">
        <v>1.05</v>
      </c>
      <c r="U64">
        <v>1.05</v>
      </c>
      <c r="AO64" t="s">
        <v>515</v>
      </c>
      <c r="AP64">
        <v>2.5</v>
      </c>
      <c r="AQ64">
        <v>1.1299999999999999</v>
      </c>
      <c r="AR64">
        <v>327.20187454888196</v>
      </c>
    </row>
    <row r="65" spans="2:44" ht="15.75" customHeight="1">
      <c r="C65">
        <v>135</v>
      </c>
      <c r="D65">
        <v>1.0664711632453567</v>
      </c>
      <c r="E65">
        <v>0.60606060606060597</v>
      </c>
      <c r="F65">
        <v>0.38611925708699912</v>
      </c>
      <c r="G65">
        <v>0.23118279569892478</v>
      </c>
      <c r="H65">
        <v>0.12829912023460388</v>
      </c>
      <c r="I65">
        <v>8.4310850439882554E-2</v>
      </c>
      <c r="J65">
        <v>0.21725317693059631</v>
      </c>
      <c r="K65">
        <v>0.4474584555229717</v>
      </c>
      <c r="L65">
        <v>0.61241446725317683</v>
      </c>
      <c r="M65">
        <v>0.76735092864125121</v>
      </c>
      <c r="N65">
        <v>0.92167644183773256</v>
      </c>
      <c r="O65">
        <v>1.0140518084066474</v>
      </c>
      <c r="P65">
        <v>1.1000000000000001</v>
      </c>
      <c r="Q65">
        <v>1.1000000000000001</v>
      </c>
      <c r="R65">
        <v>1.08</v>
      </c>
      <c r="S65">
        <v>1.06</v>
      </c>
      <c r="T65">
        <v>1.04</v>
      </c>
      <c r="U65">
        <v>1.04</v>
      </c>
      <c r="AN65">
        <v>9</v>
      </c>
      <c r="AO65" t="s">
        <v>512</v>
      </c>
      <c r="AP65">
        <v>5.9</v>
      </c>
      <c r="AQ65">
        <v>1.4207480504850427</v>
      </c>
      <c r="AR65">
        <v>77.232813076366966</v>
      </c>
    </row>
    <row r="66" spans="2:44" ht="15.75" customHeight="1">
      <c r="C66">
        <v>145</v>
      </c>
      <c r="D66">
        <v>1.120234604105572</v>
      </c>
      <c r="E66">
        <v>0.64809384164222861</v>
      </c>
      <c r="F66">
        <v>0.41739980449657876</v>
      </c>
      <c r="G66">
        <v>0.25219941348973562</v>
      </c>
      <c r="H66">
        <v>0.14133268165526242</v>
      </c>
      <c r="I66">
        <v>9.2864125122189473E-2</v>
      </c>
      <c r="J66">
        <v>0.20992179863147598</v>
      </c>
      <c r="K66">
        <v>0.44599217986314765</v>
      </c>
      <c r="L66">
        <v>0.61901270772238504</v>
      </c>
      <c r="M66">
        <v>0.78421309872922818</v>
      </c>
      <c r="N66">
        <v>0.95051319648093802</v>
      </c>
      <c r="O66">
        <v>1.0522971652003912</v>
      </c>
      <c r="P66">
        <v>1.1000000000000001</v>
      </c>
      <c r="Q66">
        <v>1.0900000000000001</v>
      </c>
      <c r="R66">
        <v>1.07</v>
      </c>
      <c r="S66">
        <v>1.0550000000000002</v>
      </c>
      <c r="T66">
        <v>1.0350000000000001</v>
      </c>
      <c r="U66">
        <v>1.0350000000000001</v>
      </c>
      <c r="AO66" t="s">
        <v>513</v>
      </c>
      <c r="AP66">
        <v>4.8</v>
      </c>
      <c r="AQ66">
        <v>1.38</v>
      </c>
      <c r="AR66">
        <v>108.46976930325972</v>
      </c>
    </row>
    <row r="67" spans="2:44" ht="15.75" customHeight="1">
      <c r="C67">
        <v>155</v>
      </c>
      <c r="D67">
        <v>1.1691104594330399</v>
      </c>
      <c r="E67">
        <v>0.68914956011730233</v>
      </c>
      <c r="F67">
        <v>0.44868035190615796</v>
      </c>
      <c r="G67">
        <v>0.27272727272727226</v>
      </c>
      <c r="H67">
        <v>0.15436624307592059</v>
      </c>
      <c r="I67">
        <v>0.10141739980449641</v>
      </c>
      <c r="J67">
        <v>0.20307917888563054</v>
      </c>
      <c r="K67">
        <v>0.44305962854349934</v>
      </c>
      <c r="L67">
        <v>0.62341153470185762</v>
      </c>
      <c r="M67">
        <v>0.79936461388074331</v>
      </c>
      <c r="N67">
        <v>0.97690615835777095</v>
      </c>
      <c r="O67">
        <v>1.0880987292277617</v>
      </c>
      <c r="P67">
        <v>1.1000000000000001</v>
      </c>
      <c r="Q67">
        <v>1.08</v>
      </c>
      <c r="R67">
        <v>1.06</v>
      </c>
      <c r="S67">
        <v>1.05</v>
      </c>
      <c r="T67">
        <v>1.03</v>
      </c>
      <c r="U67">
        <v>1.03</v>
      </c>
      <c r="AO67" t="s">
        <v>555</v>
      </c>
      <c r="AP67">
        <v>4.3</v>
      </c>
      <c r="AQ67">
        <v>1.1631611584521719</v>
      </c>
      <c r="AR67">
        <v>159.84204333946985</v>
      </c>
    </row>
    <row r="68" spans="2:44" ht="15.75" customHeight="1">
      <c r="B68">
        <v>5</v>
      </c>
      <c r="C68">
        <v>15</v>
      </c>
      <c r="D68">
        <v>0.10166177908113394</v>
      </c>
      <c r="E68">
        <v>3.8123167155425186E-2</v>
      </c>
      <c r="F68">
        <v>1.9550342130987275E-2</v>
      </c>
      <c r="G68">
        <v>1.0263929618768422E-2</v>
      </c>
      <c r="H68">
        <v>5.2948843271422895E-3</v>
      </c>
      <c r="I68">
        <v>3.0547409579667591E-3</v>
      </c>
      <c r="J68">
        <v>0.18035190615835778</v>
      </c>
      <c r="K68">
        <v>0.21212121212121215</v>
      </c>
      <c r="L68">
        <v>0.22605083088954059</v>
      </c>
      <c r="M68">
        <v>0.23533724340175943</v>
      </c>
      <c r="N68">
        <v>0.24279081133919864</v>
      </c>
      <c r="O68">
        <v>0.24749511241446726</v>
      </c>
      <c r="P68">
        <v>0.84000000000000008</v>
      </c>
      <c r="Q68">
        <v>0.88</v>
      </c>
      <c r="R68">
        <v>0.88500000000000001</v>
      </c>
      <c r="S68">
        <v>0.9</v>
      </c>
      <c r="T68">
        <v>0.9</v>
      </c>
      <c r="U68">
        <v>0.9</v>
      </c>
      <c r="AO68" t="s">
        <v>514</v>
      </c>
      <c r="AP68">
        <v>4</v>
      </c>
      <c r="AQ68">
        <v>1.0900000000000001</v>
      </c>
      <c r="AR68">
        <v>192.33866565633051</v>
      </c>
    </row>
    <row r="69" spans="2:44" ht="15.75" customHeight="1">
      <c r="C69">
        <v>25</v>
      </c>
      <c r="D69">
        <v>0.23264907135874879</v>
      </c>
      <c r="E69">
        <v>9.384164222873892E-2</v>
      </c>
      <c r="F69">
        <v>4.5943304007820096E-2</v>
      </c>
      <c r="G69">
        <v>2.6392961876832797E-2</v>
      </c>
      <c r="H69">
        <v>1.3033561420658264E-2</v>
      </c>
      <c r="I69">
        <v>7.9423264907134347E-3</v>
      </c>
      <c r="J69">
        <v>0.23118279569892475</v>
      </c>
      <c r="K69">
        <v>0.30058651026392968</v>
      </c>
      <c r="L69">
        <v>0.3365102639296188</v>
      </c>
      <c r="M69">
        <v>0.35606060606060608</v>
      </c>
      <c r="N69">
        <v>0.37609970674486792</v>
      </c>
      <c r="O69">
        <v>0.38679130009775203</v>
      </c>
      <c r="P69">
        <v>0.8600000000000001</v>
      </c>
      <c r="Q69">
        <v>0.90999999999999992</v>
      </c>
      <c r="R69">
        <v>0.92500000000000004</v>
      </c>
      <c r="S69">
        <v>0.93500000000000005</v>
      </c>
      <c r="T69">
        <v>0.92500000000000004</v>
      </c>
      <c r="U69">
        <v>0.92500000000000004</v>
      </c>
      <c r="AO69" t="s">
        <v>556</v>
      </c>
      <c r="AP69">
        <v>3.2</v>
      </c>
      <c r="AQ69">
        <v>1.0955509157882228</v>
      </c>
      <c r="AR69">
        <v>278.22406380496597</v>
      </c>
    </row>
    <row r="70" spans="2:44" ht="15.75" customHeight="1">
      <c r="C70">
        <v>35</v>
      </c>
      <c r="D70">
        <v>0.36852394916911058</v>
      </c>
      <c r="E70">
        <v>0.15835777126099693</v>
      </c>
      <c r="F70">
        <v>8.7976539589442959E-2</v>
      </c>
      <c r="G70">
        <v>4.7409579667644322E-2</v>
      </c>
      <c r="H70">
        <v>2.4030628869338318E-2</v>
      </c>
      <c r="I70">
        <v>1.466275659824072E-2</v>
      </c>
      <c r="J70">
        <v>0.25537634408602145</v>
      </c>
      <c r="K70">
        <v>0.36045943304007827</v>
      </c>
      <c r="L70">
        <v>0.41324535679374375</v>
      </c>
      <c r="M70">
        <v>0.4538123167155424</v>
      </c>
      <c r="N70">
        <v>0.48888074291300138</v>
      </c>
      <c r="O70">
        <v>0.50855327468230638</v>
      </c>
      <c r="P70">
        <v>0.85499999999999998</v>
      </c>
      <c r="Q70">
        <v>0.88500000000000001</v>
      </c>
      <c r="R70">
        <v>0.91500000000000004</v>
      </c>
      <c r="S70">
        <v>0.91999999999999993</v>
      </c>
      <c r="T70">
        <v>0.93500000000000005</v>
      </c>
      <c r="U70">
        <v>0.93500000000000005</v>
      </c>
      <c r="AO70" t="s">
        <v>515</v>
      </c>
      <c r="AP70">
        <v>2.5</v>
      </c>
      <c r="AQ70">
        <v>1.1299999999999999</v>
      </c>
      <c r="AR70">
        <v>357.75553006702887</v>
      </c>
    </row>
    <row r="71" spans="2:44" ht="15.75" customHeight="1">
      <c r="C71">
        <v>45</v>
      </c>
      <c r="D71">
        <v>0.51026392961876832</v>
      </c>
      <c r="E71">
        <v>0.23069403714565029</v>
      </c>
      <c r="F71">
        <v>0.13098729227761474</v>
      </c>
      <c r="G71">
        <v>7.2336265884652848E-2</v>
      </c>
      <c r="H71">
        <v>3.7064190289996676E-2</v>
      </c>
      <c r="I71">
        <v>2.3216031280547368E-2</v>
      </c>
      <c r="J71">
        <v>0.26221896383186705</v>
      </c>
      <c r="K71">
        <v>0.40200391006842606</v>
      </c>
      <c r="L71">
        <v>0.47678396871945272</v>
      </c>
      <c r="M71">
        <v>0.53543499511241466</v>
      </c>
      <c r="N71">
        <v>0.58834310850439886</v>
      </c>
      <c r="O71">
        <v>0.61742424242424243</v>
      </c>
      <c r="P71">
        <v>0.88</v>
      </c>
      <c r="Q71">
        <v>0.92</v>
      </c>
      <c r="R71">
        <v>0.92500000000000004</v>
      </c>
      <c r="S71">
        <v>0.92500000000000004</v>
      </c>
      <c r="T71">
        <v>0.92500000000000004</v>
      </c>
      <c r="U71">
        <v>0.92500000000000004</v>
      </c>
      <c r="AN71">
        <v>10</v>
      </c>
      <c r="AO71" t="s">
        <v>512</v>
      </c>
      <c r="AP71">
        <v>5.9</v>
      </c>
      <c r="AQ71">
        <v>1.432747993715348</v>
      </c>
      <c r="AR71">
        <v>85.181262935246693</v>
      </c>
    </row>
    <row r="72" spans="2:44" ht="15.75" customHeight="1">
      <c r="C72">
        <v>55</v>
      </c>
      <c r="D72">
        <v>0.63831867057673519</v>
      </c>
      <c r="E72">
        <v>0.30400782013685257</v>
      </c>
      <c r="F72">
        <v>0.17595307917888547</v>
      </c>
      <c r="G72">
        <v>9.8729227761485655E-2</v>
      </c>
      <c r="H72">
        <v>5.1319648093841548E-2</v>
      </c>
      <c r="I72">
        <v>3.2380254154447924E-2</v>
      </c>
      <c r="J72">
        <v>0.260752688172043</v>
      </c>
      <c r="K72">
        <v>0.42790811339198431</v>
      </c>
      <c r="L72">
        <v>0.52394916911045963</v>
      </c>
      <c r="M72">
        <v>0.60117302052785948</v>
      </c>
      <c r="N72">
        <v>0.67228739002932558</v>
      </c>
      <c r="O72">
        <v>0.71206011730205221</v>
      </c>
      <c r="P72">
        <v>0.88</v>
      </c>
      <c r="Q72">
        <v>0.91</v>
      </c>
      <c r="R72">
        <v>0.91500000000000004</v>
      </c>
      <c r="S72">
        <v>0.91500000000000004</v>
      </c>
      <c r="T72">
        <v>0.91</v>
      </c>
      <c r="U72">
        <v>0.91</v>
      </c>
      <c r="AO72" t="s">
        <v>513</v>
      </c>
      <c r="AP72">
        <v>4.8</v>
      </c>
      <c r="AQ72">
        <v>1.38</v>
      </c>
      <c r="AR72">
        <v>119.62026988848437</v>
      </c>
    </row>
    <row r="73" spans="2:44" ht="15.75" customHeight="1">
      <c r="C73">
        <v>65</v>
      </c>
      <c r="D73">
        <v>0.7595307917888563</v>
      </c>
      <c r="E73">
        <v>0.37829912023460421</v>
      </c>
      <c r="F73">
        <v>0.2238514173998043</v>
      </c>
      <c r="G73">
        <v>0.1270772238514174</v>
      </c>
      <c r="H73">
        <v>6.7204301075268702E-2</v>
      </c>
      <c r="I73">
        <v>4.2766373411534629E-2</v>
      </c>
      <c r="J73">
        <v>0.25439882697947214</v>
      </c>
      <c r="K73">
        <v>0.44501466275659818</v>
      </c>
      <c r="L73">
        <v>0.56085043988269812</v>
      </c>
      <c r="M73">
        <v>0.65762463343108502</v>
      </c>
      <c r="N73">
        <v>0.74743401759530803</v>
      </c>
      <c r="O73">
        <v>0.79875366568914963</v>
      </c>
      <c r="P73">
        <v>0.9425</v>
      </c>
      <c r="Q73">
        <v>0.96250000000000002</v>
      </c>
      <c r="R73">
        <v>0.97750000000000004</v>
      </c>
      <c r="S73">
        <v>0.97000000000000008</v>
      </c>
      <c r="T73">
        <v>0.97250000000000003</v>
      </c>
      <c r="U73">
        <v>0.97250000000000003</v>
      </c>
      <c r="AO73" t="s">
        <v>555</v>
      </c>
      <c r="AP73">
        <v>4.3</v>
      </c>
      <c r="AQ73">
        <v>1.1631611584521719</v>
      </c>
      <c r="AR73">
        <v>176.23486643082603</v>
      </c>
    </row>
    <row r="74" spans="2:44" ht="15.75" customHeight="1">
      <c r="C74">
        <v>75</v>
      </c>
      <c r="D74">
        <v>0.87096774193548399</v>
      </c>
      <c r="E74">
        <v>0.45063538611925713</v>
      </c>
      <c r="F74">
        <v>0.27272727272727249</v>
      </c>
      <c r="G74">
        <v>0.15640273704789806</v>
      </c>
      <c r="H74">
        <v>8.3903551645486976E-2</v>
      </c>
      <c r="I74">
        <v>5.3763440860215235E-2</v>
      </c>
      <c r="J74">
        <v>0.2446236559139785</v>
      </c>
      <c r="K74">
        <v>0.45478983382209193</v>
      </c>
      <c r="L74">
        <v>0.58822091886608041</v>
      </c>
      <c r="M74">
        <v>0.70454545454545481</v>
      </c>
      <c r="N74">
        <v>0.81329423264907152</v>
      </c>
      <c r="O74">
        <v>0.87658846529814216</v>
      </c>
      <c r="P74">
        <v>1.0050000000000001</v>
      </c>
      <c r="Q74">
        <v>1.0150000000000001</v>
      </c>
      <c r="R74">
        <v>1.04</v>
      </c>
      <c r="S74">
        <v>1.0249999999999999</v>
      </c>
      <c r="T74">
        <v>1.0350000000000001</v>
      </c>
      <c r="U74">
        <v>1.0350000000000001</v>
      </c>
      <c r="AO74" t="s">
        <v>514</v>
      </c>
      <c r="AP74">
        <v>4</v>
      </c>
      <c r="AQ74">
        <v>1.0900000000000001</v>
      </c>
      <c r="AR74">
        <v>212.60566562606039</v>
      </c>
    </row>
    <row r="75" spans="2:44" ht="15.75" customHeight="1">
      <c r="C75">
        <v>85</v>
      </c>
      <c r="D75">
        <v>0.96774193548387122</v>
      </c>
      <c r="E75">
        <v>0.51906158357771215</v>
      </c>
      <c r="F75">
        <v>0.31964809384164239</v>
      </c>
      <c r="G75">
        <v>0.18572825024437872</v>
      </c>
      <c r="H75">
        <v>0.1010101010101012</v>
      </c>
      <c r="I75">
        <v>6.4760508308895293E-2</v>
      </c>
      <c r="J75">
        <v>0.23460410557184741</v>
      </c>
      <c r="K75">
        <v>0.45894428152492694</v>
      </c>
      <c r="L75">
        <v>0.60850439882697926</v>
      </c>
      <c r="M75">
        <v>0.74242424242424288</v>
      </c>
      <c r="N75">
        <v>0.86950146627565927</v>
      </c>
      <c r="O75">
        <v>0.94562561094819175</v>
      </c>
      <c r="P75">
        <v>1.05</v>
      </c>
      <c r="Q75">
        <v>1.05</v>
      </c>
      <c r="R75">
        <v>1.06</v>
      </c>
      <c r="S75">
        <v>1.04</v>
      </c>
      <c r="T75">
        <v>1.0449999999999999</v>
      </c>
      <c r="U75">
        <v>1.0449999999999999</v>
      </c>
      <c r="AO75" t="s">
        <v>556</v>
      </c>
      <c r="AP75">
        <v>3.2</v>
      </c>
      <c r="AQ75">
        <v>1.0845357768581412</v>
      </c>
      <c r="AR75">
        <v>306.68753945690258</v>
      </c>
    </row>
    <row r="76" spans="2:44" ht="15.75" customHeight="1">
      <c r="C76">
        <v>95</v>
      </c>
      <c r="D76">
        <v>1.0566959921798635</v>
      </c>
      <c r="E76">
        <v>0.58455522971651996</v>
      </c>
      <c r="F76">
        <v>0.36559139784946204</v>
      </c>
      <c r="G76">
        <v>0.21603128054740964</v>
      </c>
      <c r="H76">
        <v>0.11770935158031874</v>
      </c>
      <c r="I76">
        <v>7.6979472140762326E-2</v>
      </c>
      <c r="J76">
        <v>0.22336265884652973</v>
      </c>
      <c r="K76">
        <v>0.45943304007820152</v>
      </c>
      <c r="L76">
        <v>0.62365591397849496</v>
      </c>
      <c r="M76">
        <v>0.77321603128054739</v>
      </c>
      <c r="N76">
        <v>0.92069892473118375</v>
      </c>
      <c r="O76">
        <v>1.0062316715542523</v>
      </c>
      <c r="P76">
        <v>1.0950000000000002</v>
      </c>
      <c r="Q76">
        <v>1.085</v>
      </c>
      <c r="R76">
        <v>1.08</v>
      </c>
      <c r="S76">
        <v>1.0550000000000002</v>
      </c>
      <c r="T76">
        <v>1.0550000000000002</v>
      </c>
      <c r="U76">
        <v>1.0550000000000002</v>
      </c>
      <c r="AO76" t="s">
        <v>515</v>
      </c>
      <c r="AP76">
        <v>2.5</v>
      </c>
      <c r="AQ76">
        <v>1.1299999999999999</v>
      </c>
      <c r="AR76">
        <v>394.30881248692094</v>
      </c>
    </row>
    <row r="77" spans="2:44" ht="15.75" customHeight="1">
      <c r="C77">
        <v>105</v>
      </c>
      <c r="D77">
        <v>1.1388074291300097</v>
      </c>
      <c r="E77">
        <v>0.64907135874877797</v>
      </c>
      <c r="F77">
        <v>0.41153470185728258</v>
      </c>
      <c r="G77">
        <v>0.24633431085043989</v>
      </c>
      <c r="H77">
        <v>0.13603779732811966</v>
      </c>
      <c r="I77">
        <v>8.8587487781035451E-2</v>
      </c>
      <c r="J77">
        <v>0.21212121212121215</v>
      </c>
      <c r="K77">
        <v>0.456989247311828</v>
      </c>
      <c r="L77">
        <v>0.63514173998044954</v>
      </c>
      <c r="M77">
        <v>0.80034213098729223</v>
      </c>
      <c r="N77">
        <v>0.96578690127077271</v>
      </c>
      <c r="O77">
        <v>1.0654325513196494</v>
      </c>
      <c r="P77">
        <v>1.1000000000000001</v>
      </c>
      <c r="Q77">
        <v>1.1000000000000001</v>
      </c>
      <c r="R77">
        <v>1.0850000000000002</v>
      </c>
      <c r="S77">
        <v>1.0625</v>
      </c>
      <c r="T77">
        <v>1.0575000000000001</v>
      </c>
      <c r="U77">
        <v>1.0575000000000001</v>
      </c>
    </row>
    <row r="78" spans="2:44" ht="15.75" customHeight="1">
      <c r="C78">
        <v>115</v>
      </c>
      <c r="D78">
        <v>1.2111436950146626</v>
      </c>
      <c r="E78">
        <v>0.7077223851417398</v>
      </c>
      <c r="F78">
        <v>0.48582600195503423</v>
      </c>
      <c r="G78">
        <v>0.2609970674486799</v>
      </c>
      <c r="H78">
        <v>0.15395894428152501</v>
      </c>
      <c r="I78">
        <v>0.10080645161290305</v>
      </c>
      <c r="J78">
        <v>0.20136852394916915</v>
      </c>
      <c r="K78">
        <v>0.45307917888563054</v>
      </c>
      <c r="L78">
        <v>0.61950146627565972</v>
      </c>
      <c r="M78">
        <v>0.84433040078201405</v>
      </c>
      <c r="N78">
        <v>1.0048875855327464</v>
      </c>
      <c r="O78">
        <v>1.1165078201368526</v>
      </c>
      <c r="P78">
        <v>1.135</v>
      </c>
      <c r="Q78">
        <v>1.115</v>
      </c>
      <c r="R78">
        <v>1.0900000000000001</v>
      </c>
      <c r="S78">
        <v>1.07</v>
      </c>
      <c r="T78">
        <v>1.06</v>
      </c>
      <c r="U78">
        <v>1.06</v>
      </c>
    </row>
    <row r="79" spans="2:44" ht="15.75" customHeight="1">
      <c r="C79">
        <v>125</v>
      </c>
      <c r="D79">
        <v>1.2776148582600197</v>
      </c>
      <c r="E79">
        <v>0.76539589442815315</v>
      </c>
      <c r="F79">
        <v>0.50048875855327424</v>
      </c>
      <c r="G79">
        <v>0.30547409579667634</v>
      </c>
      <c r="H79">
        <v>0.17188009123492964</v>
      </c>
      <c r="I79">
        <v>0.11363636363636344</v>
      </c>
      <c r="J79">
        <v>0.19110459433040072</v>
      </c>
      <c r="K79">
        <v>0.44721407624633402</v>
      </c>
      <c r="L79">
        <v>0.64589442815249321</v>
      </c>
      <c r="M79">
        <v>0.84090909090909105</v>
      </c>
      <c r="N79">
        <v>1.0413000977517113</v>
      </c>
      <c r="O79">
        <v>1.1636119257087003</v>
      </c>
      <c r="P79">
        <v>1.1325000000000001</v>
      </c>
      <c r="Q79">
        <v>1.1125</v>
      </c>
      <c r="R79">
        <v>1.0900000000000001</v>
      </c>
      <c r="S79">
        <v>1.0674999999999999</v>
      </c>
      <c r="T79">
        <v>1.0575000000000001</v>
      </c>
      <c r="U79">
        <v>1.0575000000000001</v>
      </c>
    </row>
    <row r="80" spans="2:44" ht="15.75" customHeight="1">
      <c r="C80">
        <v>135</v>
      </c>
      <c r="D80">
        <v>1.3372434017595314</v>
      </c>
      <c r="E80">
        <v>0.82013685239491707</v>
      </c>
      <c r="F80">
        <v>0.54252199413489688</v>
      </c>
      <c r="G80">
        <v>0.33479960899315725</v>
      </c>
      <c r="H80">
        <v>0.19020853698273019</v>
      </c>
      <c r="I80">
        <v>0.12585532746823103</v>
      </c>
      <c r="J80">
        <v>0.18132942326490697</v>
      </c>
      <c r="K80">
        <v>0.43988269794721413</v>
      </c>
      <c r="L80">
        <v>0.64809384164222927</v>
      </c>
      <c r="M80">
        <v>0.85581622678396885</v>
      </c>
      <c r="N80">
        <v>1.0727028347996095</v>
      </c>
      <c r="O80">
        <v>1.2078445747800579</v>
      </c>
      <c r="P80">
        <v>1.1299999999999999</v>
      </c>
      <c r="Q80">
        <v>1.1100000000000001</v>
      </c>
      <c r="R80">
        <v>1.0900000000000001</v>
      </c>
      <c r="S80">
        <v>1.0649999999999999</v>
      </c>
      <c r="T80">
        <v>1.0550000000000002</v>
      </c>
      <c r="U80">
        <v>1.0550000000000002</v>
      </c>
    </row>
    <row r="81" spans="2:21" ht="15.75" customHeight="1">
      <c r="C81">
        <v>145</v>
      </c>
      <c r="D81">
        <v>1.3919843597262958</v>
      </c>
      <c r="E81">
        <v>0.8709677419354831</v>
      </c>
      <c r="F81">
        <v>0.58357771260997104</v>
      </c>
      <c r="G81">
        <v>0.3631476050830883</v>
      </c>
      <c r="H81">
        <v>0.20853698273053112</v>
      </c>
      <c r="I81">
        <v>0.13868523949169143</v>
      </c>
      <c r="J81">
        <v>0.17204301075268802</v>
      </c>
      <c r="K81">
        <v>0.43255131964809435</v>
      </c>
      <c r="L81">
        <v>0.64809384164222839</v>
      </c>
      <c r="M81">
        <v>0.86852394916911113</v>
      </c>
      <c r="N81">
        <v>1.1004398826979469</v>
      </c>
      <c r="O81">
        <v>1.2471285434995103</v>
      </c>
      <c r="P81">
        <v>1.1274999999999999</v>
      </c>
      <c r="Q81">
        <v>1.1000000000000001</v>
      </c>
      <c r="R81">
        <v>1.0750000000000002</v>
      </c>
      <c r="S81">
        <v>1.0525000000000002</v>
      </c>
      <c r="T81">
        <v>1.04</v>
      </c>
      <c r="U81">
        <v>1.04</v>
      </c>
    </row>
    <row r="82" spans="2:21" ht="15.75" customHeight="1">
      <c r="C82">
        <v>155</v>
      </c>
      <c r="D82">
        <v>1.4418377321603129</v>
      </c>
      <c r="E82">
        <v>0.91984359726295173</v>
      </c>
      <c r="F82">
        <v>0.62267839687194559</v>
      </c>
      <c r="G82">
        <v>0.39149560117302029</v>
      </c>
      <c r="H82">
        <v>0.22645812968393572</v>
      </c>
      <c r="I82">
        <v>0.15090420332355789</v>
      </c>
      <c r="J82">
        <v>0.16324535679374386</v>
      </c>
      <c r="K82">
        <v>0.42424242424242442</v>
      </c>
      <c r="L82">
        <v>0.64711632453567902</v>
      </c>
      <c r="M82">
        <v>0.87829912023460432</v>
      </c>
      <c r="N82">
        <v>1.1258553274682312</v>
      </c>
      <c r="O82">
        <v>1.2845185728250248</v>
      </c>
      <c r="P82">
        <v>1.125</v>
      </c>
      <c r="Q82">
        <v>1.0900000000000001</v>
      </c>
      <c r="R82">
        <v>1.06</v>
      </c>
      <c r="S82">
        <v>1.04</v>
      </c>
      <c r="T82">
        <v>1.0249999999999999</v>
      </c>
      <c r="U82">
        <v>1.0249999999999999</v>
      </c>
    </row>
    <row r="83" spans="2:21" ht="15.75" customHeight="1">
      <c r="B83">
        <v>6</v>
      </c>
      <c r="C83">
        <v>15</v>
      </c>
      <c r="D83">
        <v>0.14271749755620733</v>
      </c>
      <c r="E83">
        <v>5.3763440860215006E-2</v>
      </c>
      <c r="F83">
        <v>2.9325513196480912E-2</v>
      </c>
      <c r="G83">
        <v>1.4662756598240442E-2</v>
      </c>
      <c r="H83">
        <v>7.3313782991202212E-3</v>
      </c>
      <c r="I83">
        <v>4.8875855327468144E-3</v>
      </c>
      <c r="J83">
        <v>0.20430107526881719</v>
      </c>
      <c r="K83">
        <v>0.24877810361681335</v>
      </c>
      <c r="L83">
        <v>0.26710654936461392</v>
      </c>
      <c r="M83">
        <v>0.28176930596285438</v>
      </c>
      <c r="N83">
        <v>0.29276637341153472</v>
      </c>
      <c r="O83">
        <v>0.29789833822091888</v>
      </c>
      <c r="P83">
        <v>0.87</v>
      </c>
      <c r="Q83">
        <v>0.9</v>
      </c>
      <c r="R83">
        <v>0.9</v>
      </c>
      <c r="S83">
        <v>0.93</v>
      </c>
      <c r="T83">
        <v>0.93</v>
      </c>
      <c r="U83">
        <v>0.93</v>
      </c>
    </row>
    <row r="84" spans="2:21" ht="15.75" customHeight="1">
      <c r="C84">
        <v>25</v>
      </c>
      <c r="D84">
        <v>0.31476050830889535</v>
      </c>
      <c r="E84">
        <v>0.1300097751710656</v>
      </c>
      <c r="F84">
        <v>7.2336265884652917E-2</v>
      </c>
      <c r="G84">
        <v>3.7634408602150581E-2</v>
      </c>
      <c r="H84">
        <v>1.914304333659169E-2</v>
      </c>
      <c r="I84">
        <v>1.2218963831866898E-2</v>
      </c>
      <c r="J84">
        <v>0.25171065493646139</v>
      </c>
      <c r="K84">
        <v>0.34408602150537626</v>
      </c>
      <c r="L84">
        <v>0.38734115347018577</v>
      </c>
      <c r="M84">
        <v>0.42204301075268813</v>
      </c>
      <c r="N84">
        <v>0.44978005865102644</v>
      </c>
      <c r="O84">
        <v>0.4643206256109485</v>
      </c>
      <c r="P84">
        <v>0.91</v>
      </c>
      <c r="Q84">
        <v>0.96</v>
      </c>
      <c r="R84">
        <v>0.98</v>
      </c>
      <c r="S84">
        <v>1</v>
      </c>
      <c r="T84">
        <v>0.98</v>
      </c>
      <c r="U84">
        <v>0.98</v>
      </c>
    </row>
    <row r="85" spans="2:21" ht="15.75" customHeight="1">
      <c r="C85">
        <v>35</v>
      </c>
      <c r="D85">
        <v>0.49071358748778149</v>
      </c>
      <c r="E85">
        <v>0.21798631476050812</v>
      </c>
      <c r="F85">
        <v>0.12316715542521983</v>
      </c>
      <c r="G85">
        <v>6.6959921798631361E-2</v>
      </c>
      <c r="H85">
        <v>3.4213098729227884E-2</v>
      </c>
      <c r="I85">
        <v>2.1383186705767037E-2</v>
      </c>
      <c r="J85">
        <v>0.26539589442815237</v>
      </c>
      <c r="K85">
        <v>0.40175953079178905</v>
      </c>
      <c r="L85">
        <v>0.47287390029325527</v>
      </c>
      <c r="M85">
        <v>0.52908113391984379</v>
      </c>
      <c r="N85">
        <v>0.57820136852394899</v>
      </c>
      <c r="O85">
        <v>0.60514418377321677</v>
      </c>
      <c r="P85">
        <v>0.84</v>
      </c>
      <c r="Q85">
        <v>0.87</v>
      </c>
      <c r="R85">
        <v>0.9</v>
      </c>
      <c r="S85">
        <v>0.9</v>
      </c>
      <c r="T85">
        <v>0.91</v>
      </c>
      <c r="U85">
        <v>0.91</v>
      </c>
    </row>
    <row r="86" spans="2:21" ht="15.75" customHeight="1">
      <c r="C86">
        <v>45</v>
      </c>
      <c r="D86">
        <v>0.6568914956011731</v>
      </c>
      <c r="E86">
        <v>0.31085043988269767</v>
      </c>
      <c r="F86">
        <v>0.17986314760508337</v>
      </c>
      <c r="G86">
        <v>9.9706744868035241E-2</v>
      </c>
      <c r="H86">
        <v>5.2134245682632689E-2</v>
      </c>
      <c r="I86">
        <v>3.2380254154447646E-2</v>
      </c>
      <c r="J86">
        <v>0.26368523949169109</v>
      </c>
      <c r="K86">
        <v>0.43670576735092881</v>
      </c>
      <c r="L86">
        <v>0.53494623655913953</v>
      </c>
      <c r="M86">
        <v>0.61510263929618769</v>
      </c>
      <c r="N86">
        <v>0.68646138807429147</v>
      </c>
      <c r="O86">
        <v>0.72794477028348015</v>
      </c>
      <c r="P86">
        <v>0.89</v>
      </c>
      <c r="Q86">
        <v>0.93</v>
      </c>
      <c r="R86">
        <v>0.93</v>
      </c>
      <c r="S86">
        <v>0.93</v>
      </c>
      <c r="T86">
        <v>0.92</v>
      </c>
      <c r="U86">
        <v>0.92</v>
      </c>
    </row>
    <row r="87" spans="2:21" ht="15.75" customHeight="1">
      <c r="C87">
        <v>55</v>
      </c>
      <c r="D87">
        <v>0.8113391984359728</v>
      </c>
      <c r="E87">
        <v>0.40664711632453576</v>
      </c>
      <c r="F87">
        <v>0.24046920821114348</v>
      </c>
      <c r="G87">
        <v>0.13685239491691081</v>
      </c>
      <c r="H87">
        <v>7.1684587813620124E-2</v>
      </c>
      <c r="I87">
        <v>4.5821114369501384E-2</v>
      </c>
      <c r="J87">
        <v>0.25366568914956011</v>
      </c>
      <c r="K87">
        <v>0.45601173020527863</v>
      </c>
      <c r="L87">
        <v>0.58064516129032284</v>
      </c>
      <c r="M87">
        <v>0.68426197458455551</v>
      </c>
      <c r="N87">
        <v>0.78201368523949155</v>
      </c>
      <c r="O87">
        <v>0.83632697947214096</v>
      </c>
      <c r="P87">
        <v>0.9</v>
      </c>
      <c r="Q87">
        <v>0.92</v>
      </c>
      <c r="R87">
        <v>0.93</v>
      </c>
      <c r="S87">
        <v>0.93</v>
      </c>
      <c r="T87">
        <v>0.92</v>
      </c>
      <c r="U87">
        <v>0.92</v>
      </c>
    </row>
    <row r="88" spans="2:21" ht="15.75" customHeight="1">
      <c r="C88">
        <v>65</v>
      </c>
      <c r="D88">
        <v>0.95210166177908095</v>
      </c>
      <c r="E88">
        <v>0.50048875855327513</v>
      </c>
      <c r="F88">
        <v>0.30498533724340149</v>
      </c>
      <c r="G88">
        <v>0.17546432062561085</v>
      </c>
      <c r="H88">
        <v>9.4086021505376177E-2</v>
      </c>
      <c r="I88">
        <v>5.9872922776148474E-2</v>
      </c>
      <c r="J88">
        <v>0.23973607038123168</v>
      </c>
      <c r="K88">
        <v>0.46554252199413459</v>
      </c>
      <c r="L88">
        <v>0.61217008797653982</v>
      </c>
      <c r="M88">
        <v>0.74169110459433041</v>
      </c>
      <c r="N88">
        <v>0.86375855327468254</v>
      </c>
      <c r="O88">
        <v>0.93560606060606077</v>
      </c>
      <c r="P88">
        <v>1</v>
      </c>
      <c r="Q88">
        <v>1.01</v>
      </c>
      <c r="R88">
        <v>1.0150000000000001</v>
      </c>
      <c r="S88">
        <v>1.0050000000000001</v>
      </c>
      <c r="T88">
        <v>1</v>
      </c>
      <c r="U88">
        <v>1</v>
      </c>
    </row>
    <row r="89" spans="2:21" ht="15.75" customHeight="1">
      <c r="C89">
        <v>75</v>
      </c>
      <c r="D89">
        <v>1.0742913000977516</v>
      </c>
      <c r="E89">
        <v>0.58944281524926678</v>
      </c>
      <c r="F89">
        <v>0.36461388074291312</v>
      </c>
      <c r="G89">
        <v>0.21407624633431047</v>
      </c>
      <c r="H89">
        <v>0.11730205278592391</v>
      </c>
      <c r="I89">
        <v>7.5999999999999998E-2</v>
      </c>
      <c r="J89">
        <v>0.2243401759530792</v>
      </c>
      <c r="K89">
        <v>0.46676441837732163</v>
      </c>
      <c r="L89">
        <v>0.63538611925708688</v>
      </c>
      <c r="M89">
        <v>0.78592375366568956</v>
      </c>
      <c r="N89">
        <v>0.93108504398826941</v>
      </c>
      <c r="O89">
        <v>1.018</v>
      </c>
      <c r="P89">
        <v>1.1000000000000001</v>
      </c>
      <c r="Q89">
        <v>1.1000000000000001</v>
      </c>
      <c r="R89">
        <v>1.1000000000000001</v>
      </c>
      <c r="S89">
        <v>1.08</v>
      </c>
      <c r="T89">
        <v>1.08</v>
      </c>
      <c r="U89">
        <v>1.08</v>
      </c>
    </row>
    <row r="90" spans="2:21" ht="15.75" customHeight="1">
      <c r="C90">
        <v>85</v>
      </c>
      <c r="D90">
        <v>1.1818181818181817</v>
      </c>
      <c r="E90">
        <v>0.67350928641251206</v>
      </c>
      <c r="F90">
        <v>0.4271749755620724</v>
      </c>
      <c r="G90">
        <v>0.25415444770283435</v>
      </c>
      <c r="H90">
        <v>0.13970348647768016</v>
      </c>
      <c r="I90">
        <v>9.1031280547409416E-2</v>
      </c>
      <c r="J90">
        <v>0.20894428152492672</v>
      </c>
      <c r="K90">
        <v>0.46309872922776152</v>
      </c>
      <c r="L90">
        <v>0.64784946236559127</v>
      </c>
      <c r="M90">
        <v>0.82086999022482932</v>
      </c>
      <c r="N90">
        <v>0.99254643206256066</v>
      </c>
      <c r="O90">
        <v>1.0947580645161292</v>
      </c>
      <c r="P90">
        <v>1.1100000000000001</v>
      </c>
      <c r="Q90">
        <v>1.1000000000000001</v>
      </c>
      <c r="R90">
        <v>1.1000000000000001</v>
      </c>
      <c r="S90">
        <v>1.07</v>
      </c>
      <c r="T90">
        <v>1.07</v>
      </c>
      <c r="U90">
        <v>1.07</v>
      </c>
    </row>
    <row r="91" spans="2:21" ht="15.75" customHeight="1">
      <c r="C91">
        <v>95</v>
      </c>
      <c r="D91">
        <v>1.2766373411534708</v>
      </c>
      <c r="E91">
        <v>0.75268817204301008</v>
      </c>
      <c r="F91">
        <v>0.48582600195503467</v>
      </c>
      <c r="G91">
        <v>0.29374389051808397</v>
      </c>
      <c r="H91">
        <v>0.16373411534701829</v>
      </c>
      <c r="I91">
        <v>0.10691593352883712</v>
      </c>
      <c r="J91">
        <v>0.1940371456500487</v>
      </c>
      <c r="K91">
        <v>0.45601173020527908</v>
      </c>
      <c r="L91">
        <v>0.65615835777126064</v>
      </c>
      <c r="M91">
        <v>0.84824046920821128</v>
      </c>
      <c r="N91">
        <v>1.04325513196481</v>
      </c>
      <c r="O91">
        <v>1.1625733137829903</v>
      </c>
      <c r="P91">
        <v>1.1200000000000001</v>
      </c>
      <c r="Q91">
        <v>1.1000000000000001</v>
      </c>
      <c r="R91">
        <v>1.1000000000000001</v>
      </c>
      <c r="S91">
        <v>1.06</v>
      </c>
      <c r="T91">
        <v>1.06</v>
      </c>
      <c r="U91">
        <v>1.06</v>
      </c>
    </row>
    <row r="92" spans="2:21" ht="15.75" customHeight="1">
      <c r="C92">
        <v>105</v>
      </c>
      <c r="D92">
        <v>1.3577712609970676</v>
      </c>
      <c r="E92">
        <v>0.8260019550342137</v>
      </c>
      <c r="F92">
        <v>0.54154447702834752</v>
      </c>
      <c r="G92">
        <v>0.33186705767350916</v>
      </c>
      <c r="H92">
        <v>0.18695014662756565</v>
      </c>
      <c r="I92">
        <v>0.12341153470185762</v>
      </c>
      <c r="J92">
        <v>0.18059628543499506</v>
      </c>
      <c r="K92">
        <v>0.446480938416422</v>
      </c>
      <c r="L92">
        <v>0.65982404692082164</v>
      </c>
      <c r="M92">
        <v>0.86950146627565994</v>
      </c>
      <c r="N92">
        <v>1.0868768328445753</v>
      </c>
      <c r="O92">
        <v>1.2203079178885623</v>
      </c>
      <c r="P92">
        <v>1.145</v>
      </c>
      <c r="Q92">
        <v>1.115</v>
      </c>
      <c r="R92">
        <v>1.0950000000000002</v>
      </c>
      <c r="S92">
        <v>1.0649999999999999</v>
      </c>
      <c r="T92">
        <v>1.06</v>
      </c>
      <c r="U92">
        <v>1.06</v>
      </c>
    </row>
    <row r="93" spans="2:21" ht="15.75" customHeight="1">
      <c r="C93">
        <v>115</v>
      </c>
      <c r="D93">
        <v>1.4320625610948197</v>
      </c>
      <c r="E93">
        <v>0.89540566959921719</v>
      </c>
      <c r="F93">
        <v>0.5982404692082115</v>
      </c>
      <c r="G93">
        <v>0.36950146627565916</v>
      </c>
      <c r="H93">
        <v>0.2113880742913001</v>
      </c>
      <c r="I93">
        <v>0.13990713587487813</v>
      </c>
      <c r="J93">
        <v>0.16739980449657854</v>
      </c>
      <c r="K93">
        <v>0.43572825024437978</v>
      </c>
      <c r="L93">
        <v>0.65860215053763405</v>
      </c>
      <c r="M93">
        <v>0.88734115347018638</v>
      </c>
      <c r="N93">
        <v>1.1245112414467251</v>
      </c>
      <c r="O93">
        <v>1.2746212121212113</v>
      </c>
      <c r="P93">
        <v>1.17</v>
      </c>
      <c r="Q93">
        <v>1.1299999999999999</v>
      </c>
      <c r="R93">
        <v>1.0900000000000001</v>
      </c>
      <c r="S93">
        <v>1.07</v>
      </c>
      <c r="T93">
        <v>1.06</v>
      </c>
      <c r="U93">
        <v>1.06</v>
      </c>
    </row>
    <row r="94" spans="2:21" ht="15.75" customHeight="1">
      <c r="C94">
        <v>125</v>
      </c>
      <c r="D94">
        <v>1.4975562072336266</v>
      </c>
      <c r="E94">
        <v>0.95992179863147564</v>
      </c>
      <c r="F94">
        <v>0.65102639296187714</v>
      </c>
      <c r="G94">
        <v>0.40762463343108429</v>
      </c>
      <c r="H94">
        <v>0.2350114043662434</v>
      </c>
      <c r="I94">
        <v>0.15640273704789751</v>
      </c>
      <c r="J94">
        <v>0.15542521994134895</v>
      </c>
      <c r="K94">
        <v>0.42424242424242442</v>
      </c>
      <c r="L94">
        <v>0.6559139784946233</v>
      </c>
      <c r="M94">
        <v>0.8993157380254162</v>
      </c>
      <c r="N94">
        <v>1.1582355816226775</v>
      </c>
      <c r="O94">
        <v>1.3233137829912041</v>
      </c>
      <c r="P94">
        <v>1.165</v>
      </c>
      <c r="Q94">
        <v>1.125</v>
      </c>
      <c r="R94">
        <v>1.0950000000000002</v>
      </c>
      <c r="S94">
        <v>1.07</v>
      </c>
      <c r="T94">
        <v>1.0649999999999999</v>
      </c>
      <c r="U94">
        <v>1.0649999999999999</v>
      </c>
    </row>
    <row r="95" spans="2:21" ht="15.75" customHeight="1">
      <c r="C95">
        <v>135</v>
      </c>
      <c r="D95">
        <v>1.5542521994134897</v>
      </c>
      <c r="E95">
        <v>1.0215053763440856</v>
      </c>
      <c r="F95">
        <v>0.70087976539589469</v>
      </c>
      <c r="G95">
        <v>0.44477028347996056</v>
      </c>
      <c r="H95">
        <v>0.25904203323558156</v>
      </c>
      <c r="I95">
        <v>0.1680107526881712</v>
      </c>
      <c r="J95">
        <v>0.14491691104594329</v>
      </c>
      <c r="K95">
        <v>0.41129032258064535</v>
      </c>
      <c r="L95">
        <v>0.6517595307917885</v>
      </c>
      <c r="M95">
        <v>0.90786901270772258</v>
      </c>
      <c r="N95">
        <v>1.1864613880742914</v>
      </c>
      <c r="O95">
        <v>1.377627077223853</v>
      </c>
      <c r="P95">
        <v>1.1599999999999999</v>
      </c>
      <c r="Q95">
        <v>1.1200000000000001</v>
      </c>
      <c r="R95">
        <v>1.1000000000000001</v>
      </c>
      <c r="S95">
        <v>1.07</v>
      </c>
      <c r="T95">
        <v>1.07</v>
      </c>
      <c r="U95">
        <v>1.07</v>
      </c>
    </row>
    <row r="96" spans="2:21" ht="15.75" customHeight="1">
      <c r="C96">
        <v>145</v>
      </c>
      <c r="D96">
        <v>1.6060606060606064</v>
      </c>
      <c r="E96">
        <v>1.0782013685239491</v>
      </c>
      <c r="F96">
        <v>0.74975562072336288</v>
      </c>
      <c r="G96">
        <v>0.48044965786901273</v>
      </c>
      <c r="H96">
        <v>0.28266536331052411</v>
      </c>
      <c r="I96">
        <v>0.19000488758553241</v>
      </c>
      <c r="J96">
        <v>0.1348973607038122</v>
      </c>
      <c r="K96">
        <v>0.39882697947214085</v>
      </c>
      <c r="L96">
        <v>0.64516129032258052</v>
      </c>
      <c r="M96">
        <v>0.91446725317693067</v>
      </c>
      <c r="N96">
        <v>1.2111436950146637</v>
      </c>
      <c r="O96">
        <v>1.4057306940371463</v>
      </c>
      <c r="P96">
        <v>1.1549999999999998</v>
      </c>
      <c r="Q96">
        <v>1.1100000000000001</v>
      </c>
      <c r="R96">
        <v>1.08</v>
      </c>
      <c r="S96">
        <v>1.05</v>
      </c>
      <c r="T96">
        <v>1.0449999999999999</v>
      </c>
      <c r="U96">
        <v>1.0449999999999999</v>
      </c>
    </row>
    <row r="97" spans="2:21" ht="15.75" customHeight="1">
      <c r="C97">
        <v>155</v>
      </c>
      <c r="D97">
        <v>1.6520039100684265</v>
      </c>
      <c r="E97">
        <v>1.1309872922776147</v>
      </c>
      <c r="F97">
        <v>0.79569892473118298</v>
      </c>
      <c r="G97">
        <v>0.51564027370478982</v>
      </c>
      <c r="H97">
        <v>0.30628869338546705</v>
      </c>
      <c r="I97">
        <v>0.20711143695014625</v>
      </c>
      <c r="J97">
        <v>0.12585532746823058</v>
      </c>
      <c r="K97">
        <v>0.38636363636363646</v>
      </c>
      <c r="L97">
        <v>0.63782991202346029</v>
      </c>
      <c r="M97">
        <v>0.91788856304985345</v>
      </c>
      <c r="N97">
        <v>1.2319159335288377</v>
      </c>
      <c r="O97">
        <v>1.4401881720430114</v>
      </c>
      <c r="P97">
        <v>1.1499999999999999</v>
      </c>
      <c r="Q97">
        <v>1.1000000000000001</v>
      </c>
      <c r="R97">
        <v>1.06</v>
      </c>
      <c r="S97">
        <v>1.03</v>
      </c>
      <c r="T97">
        <v>1.02</v>
      </c>
      <c r="U97">
        <v>1.02</v>
      </c>
    </row>
    <row r="98" spans="2:21" ht="15.75" customHeight="1">
      <c r="B98">
        <v>7</v>
      </c>
      <c r="C98">
        <v>15</v>
      </c>
      <c r="D98">
        <v>0.18866080156402742</v>
      </c>
      <c r="E98">
        <v>7.3313782991202281E-2</v>
      </c>
      <c r="F98">
        <v>3.8123167155425186E-2</v>
      </c>
      <c r="G98">
        <v>2.0527859237536621E-2</v>
      </c>
      <c r="H98">
        <v>1.0182469859889196E-2</v>
      </c>
      <c r="I98">
        <v>6.109481915933657E-3</v>
      </c>
      <c r="J98">
        <v>0.22360703812316718</v>
      </c>
      <c r="K98">
        <v>0.28128054740957975</v>
      </c>
      <c r="L98">
        <v>0.30767350928641257</v>
      </c>
      <c r="M98">
        <v>0.32526881720430112</v>
      </c>
      <c r="N98">
        <v>0.34078690127077227</v>
      </c>
      <c r="O98">
        <v>0.34934017595307892</v>
      </c>
      <c r="P98">
        <v>0.92500000000000004</v>
      </c>
      <c r="Q98">
        <v>0.96500000000000008</v>
      </c>
      <c r="R98">
        <v>0.96500000000000008</v>
      </c>
      <c r="S98">
        <v>0.99</v>
      </c>
      <c r="T98">
        <v>0.99</v>
      </c>
      <c r="U98">
        <v>0.99</v>
      </c>
    </row>
    <row r="99" spans="2:21" ht="15.75" customHeight="1">
      <c r="C99">
        <v>25</v>
      </c>
      <c r="D99">
        <v>0.40371456500488745</v>
      </c>
      <c r="E99">
        <v>0.17302052785923761</v>
      </c>
      <c r="F99">
        <v>9.4819159335288283E-2</v>
      </c>
      <c r="G99">
        <v>5.1319648093841548E-2</v>
      </c>
      <c r="H99">
        <v>2.6067122841316528E-2</v>
      </c>
      <c r="I99">
        <v>1.5884652981426869E-2</v>
      </c>
      <c r="J99">
        <v>0.26368523949169115</v>
      </c>
      <c r="K99">
        <v>0.37903225806451607</v>
      </c>
      <c r="L99">
        <v>0.43768328445747806</v>
      </c>
      <c r="M99">
        <v>0.4811827956989248</v>
      </c>
      <c r="N99">
        <v>0.51906158357771237</v>
      </c>
      <c r="O99">
        <v>0.54044477028348059</v>
      </c>
      <c r="P99">
        <v>0.94500000000000006</v>
      </c>
      <c r="Q99">
        <v>0.995</v>
      </c>
      <c r="R99">
        <v>1.0049999999999999</v>
      </c>
      <c r="S99">
        <v>1.0249999999999999</v>
      </c>
      <c r="T99">
        <v>1.0150000000000001</v>
      </c>
      <c r="U99">
        <v>1.0150000000000001</v>
      </c>
    </row>
    <row r="100" spans="2:21" ht="15.75" customHeight="1">
      <c r="C100">
        <v>35</v>
      </c>
      <c r="D100">
        <v>0.61681329423264919</v>
      </c>
      <c r="E100">
        <v>0.28543499511241466</v>
      </c>
      <c r="F100">
        <v>0.16324535679374375</v>
      </c>
      <c r="G100">
        <v>9.0420332355816063E-2</v>
      </c>
      <c r="H100">
        <v>4.6024763766699166E-2</v>
      </c>
      <c r="I100">
        <v>2.9325513196480885E-2</v>
      </c>
      <c r="J100">
        <v>0.26759530791788855</v>
      </c>
      <c r="K100">
        <v>0.43328445747800581</v>
      </c>
      <c r="L100">
        <v>0.524926686217009</v>
      </c>
      <c r="M100">
        <v>0.59775171065493671</v>
      </c>
      <c r="N100">
        <v>0.664345063538612</v>
      </c>
      <c r="O100">
        <v>0.69941348973607043</v>
      </c>
      <c r="P100">
        <v>0.89999999999999991</v>
      </c>
      <c r="Q100">
        <v>0.93500000000000005</v>
      </c>
      <c r="R100">
        <v>0.95</v>
      </c>
      <c r="S100">
        <v>0.95</v>
      </c>
      <c r="T100">
        <v>0.95500000000000007</v>
      </c>
      <c r="U100">
        <v>0.95500000000000007</v>
      </c>
    </row>
    <row r="101" spans="2:21" ht="15.75" customHeight="1">
      <c r="C101">
        <v>45</v>
      </c>
      <c r="D101">
        <v>0.80742913000977534</v>
      </c>
      <c r="E101">
        <v>0.39980449657868977</v>
      </c>
      <c r="F101">
        <v>0.23558162267839711</v>
      </c>
      <c r="G101">
        <v>0.13294232649071336</v>
      </c>
      <c r="H101">
        <v>6.9648093841642292E-2</v>
      </c>
      <c r="I101">
        <v>4.4599217986314679E-2</v>
      </c>
      <c r="J101">
        <v>0.25659824046920821</v>
      </c>
      <c r="K101">
        <v>0.46041055718475099</v>
      </c>
      <c r="L101">
        <v>0.58357771260997049</v>
      </c>
      <c r="M101">
        <v>0.68621700879765424</v>
      </c>
      <c r="N101">
        <v>0.78115835777126086</v>
      </c>
      <c r="O101">
        <v>0.83376099706744888</v>
      </c>
      <c r="P101">
        <v>0.89</v>
      </c>
      <c r="Q101">
        <v>0.93</v>
      </c>
      <c r="R101">
        <v>0.93</v>
      </c>
      <c r="S101">
        <v>0.92500000000000004</v>
      </c>
      <c r="T101">
        <v>0.92</v>
      </c>
      <c r="U101">
        <v>0.92</v>
      </c>
    </row>
    <row r="102" spans="2:21" ht="15.75" customHeight="1">
      <c r="C102">
        <v>55</v>
      </c>
      <c r="D102">
        <v>0.98142717497556187</v>
      </c>
      <c r="E102">
        <v>0.51612903225806495</v>
      </c>
      <c r="F102">
        <v>0.31378299120234576</v>
      </c>
      <c r="G102">
        <v>0.18035190615835767</v>
      </c>
      <c r="H102">
        <v>9.6529814271749587E-2</v>
      </c>
      <c r="I102">
        <v>6.1705767350928531E-2</v>
      </c>
      <c r="J102">
        <v>0.23851417399804498</v>
      </c>
      <c r="K102">
        <v>0.47116324535679344</v>
      </c>
      <c r="L102">
        <v>0.62292277614858282</v>
      </c>
      <c r="M102">
        <v>0.75635386119257086</v>
      </c>
      <c r="N102">
        <v>0.88208699902248311</v>
      </c>
      <c r="O102">
        <v>0.95521749755620733</v>
      </c>
      <c r="P102">
        <v>0.91</v>
      </c>
      <c r="Q102">
        <v>0.92999999999999994</v>
      </c>
      <c r="R102">
        <v>0.93</v>
      </c>
      <c r="S102">
        <v>0.92500000000000004</v>
      </c>
      <c r="T102">
        <v>0.91500000000000004</v>
      </c>
      <c r="U102">
        <v>0.91500000000000004</v>
      </c>
    </row>
    <row r="103" spans="2:21" ht="15.75" customHeight="1">
      <c r="C103">
        <v>65</v>
      </c>
      <c r="D103">
        <v>1.1300097751710654</v>
      </c>
      <c r="E103">
        <v>0.62561094819159324</v>
      </c>
      <c r="F103">
        <v>0.38905180840664721</v>
      </c>
      <c r="G103">
        <v>0.22873900293255137</v>
      </c>
      <c r="H103">
        <v>0.1242261322906482</v>
      </c>
      <c r="I103">
        <v>8.0034213098729087E-2</v>
      </c>
      <c r="J103">
        <v>0.21847507331378302</v>
      </c>
      <c r="K103">
        <v>0.47067448680351909</v>
      </c>
      <c r="L103">
        <v>0.64809384164222861</v>
      </c>
      <c r="M103">
        <v>0.80840664711632448</v>
      </c>
      <c r="N103">
        <v>0.96517595307917925</v>
      </c>
      <c r="O103">
        <v>1.0579789833822093</v>
      </c>
      <c r="P103">
        <v>1.0175000000000001</v>
      </c>
      <c r="Q103">
        <v>1.02</v>
      </c>
      <c r="R103">
        <v>1.0150000000000001</v>
      </c>
      <c r="S103">
        <v>1</v>
      </c>
      <c r="T103">
        <v>0.995</v>
      </c>
      <c r="U103">
        <v>0.995</v>
      </c>
    </row>
    <row r="104" spans="2:21" ht="15.75" customHeight="1">
      <c r="C104">
        <v>75</v>
      </c>
      <c r="D104">
        <v>1.2561094819159337</v>
      </c>
      <c r="E104">
        <v>0.72825024437927732</v>
      </c>
      <c r="F104">
        <v>0.46432062561094778</v>
      </c>
      <c r="G104">
        <v>0.27761485826001953</v>
      </c>
      <c r="H104">
        <v>0.15314434669273352</v>
      </c>
      <c r="I104">
        <v>9.9584555229716348E-2</v>
      </c>
      <c r="J104">
        <v>0.19941348973607032</v>
      </c>
      <c r="K104">
        <v>0.46334310850439853</v>
      </c>
      <c r="L104">
        <v>0.66129032258064568</v>
      </c>
      <c r="M104">
        <v>0.84799608993157394</v>
      </c>
      <c r="N104">
        <v>1.0347018572825029</v>
      </c>
      <c r="O104">
        <v>1.1471774193548392</v>
      </c>
      <c r="P104">
        <v>1.125</v>
      </c>
      <c r="Q104">
        <v>1.1100000000000001</v>
      </c>
      <c r="R104">
        <v>1.1000000000000001</v>
      </c>
      <c r="S104">
        <v>1.0750000000000002</v>
      </c>
      <c r="T104">
        <v>1.0750000000000002</v>
      </c>
      <c r="U104">
        <v>1.0750000000000002</v>
      </c>
    </row>
    <row r="105" spans="2:21" ht="15.75" customHeight="1">
      <c r="C105">
        <v>85</v>
      </c>
      <c r="D105">
        <v>1.3655913978494625</v>
      </c>
      <c r="E105">
        <v>0.82404692082111408</v>
      </c>
      <c r="F105">
        <v>0.53665689149560158</v>
      </c>
      <c r="G105">
        <v>0.32649071358748766</v>
      </c>
      <c r="H105">
        <v>0.18246985988921477</v>
      </c>
      <c r="I105">
        <v>0.11974584555229695</v>
      </c>
      <c r="J105">
        <v>0.1808406647116324</v>
      </c>
      <c r="K105">
        <v>0.45161290322580661</v>
      </c>
      <c r="L105">
        <v>0.66715542521994098</v>
      </c>
      <c r="M105">
        <v>0.87732160312805485</v>
      </c>
      <c r="N105">
        <v>1.0933528836754642</v>
      </c>
      <c r="O105">
        <v>1.2250733137829917</v>
      </c>
      <c r="P105">
        <v>1.1375000000000002</v>
      </c>
      <c r="Q105">
        <v>1.115</v>
      </c>
      <c r="R105">
        <v>1.1000000000000001</v>
      </c>
      <c r="S105">
        <v>1.0725000000000002</v>
      </c>
      <c r="T105">
        <v>1.0725000000000002</v>
      </c>
      <c r="U105">
        <v>1.0725000000000002</v>
      </c>
    </row>
    <row r="106" spans="2:21" ht="15.75" customHeight="1">
      <c r="C106">
        <v>95</v>
      </c>
      <c r="D106">
        <v>1.4633431085043989</v>
      </c>
      <c r="E106">
        <v>0.91495601173020491</v>
      </c>
      <c r="F106">
        <v>0.59921798631476086</v>
      </c>
      <c r="G106">
        <v>0.37438905180840598</v>
      </c>
      <c r="H106">
        <v>0.21260997067448681</v>
      </c>
      <c r="I106">
        <v>0.14051808406647093</v>
      </c>
      <c r="J106">
        <v>0.16324535679374386</v>
      </c>
      <c r="K106">
        <v>0.43743890518084083</v>
      </c>
      <c r="L106">
        <v>0.67424242424242387</v>
      </c>
      <c r="M106">
        <v>0.89907135874877875</v>
      </c>
      <c r="N106">
        <v>1.1417399804496575</v>
      </c>
      <c r="O106">
        <v>1.293132942326491</v>
      </c>
      <c r="P106">
        <v>1.1499999999999999</v>
      </c>
      <c r="Q106">
        <v>1.1200000000000001</v>
      </c>
      <c r="R106">
        <v>1.1000000000000001</v>
      </c>
      <c r="S106">
        <v>1.07</v>
      </c>
      <c r="T106">
        <v>1.07</v>
      </c>
      <c r="U106">
        <v>1.07</v>
      </c>
    </row>
    <row r="107" spans="2:21" ht="15.75" customHeight="1">
      <c r="C107">
        <v>105</v>
      </c>
      <c r="D107">
        <v>1.5405669599217986</v>
      </c>
      <c r="E107">
        <v>0.9931573802541549</v>
      </c>
      <c r="F107">
        <v>0.67350928641251162</v>
      </c>
      <c r="G107">
        <v>0.42179863147605051</v>
      </c>
      <c r="H107">
        <v>0.24275008145975846</v>
      </c>
      <c r="I107">
        <v>0.16129032258064488</v>
      </c>
      <c r="J107">
        <v>0.14882697947214074</v>
      </c>
      <c r="K107">
        <v>0.42253176930596259</v>
      </c>
      <c r="L107">
        <v>0.66226783968719505</v>
      </c>
      <c r="M107">
        <v>0.91397849462365621</v>
      </c>
      <c r="N107">
        <v>1.1825513196480943</v>
      </c>
      <c r="O107">
        <v>1.353616813294233</v>
      </c>
      <c r="P107">
        <v>1.175</v>
      </c>
      <c r="Q107">
        <v>1.1324999999999998</v>
      </c>
      <c r="R107">
        <v>1.1075000000000002</v>
      </c>
      <c r="S107">
        <v>1.0775000000000001</v>
      </c>
      <c r="T107">
        <v>1.0725</v>
      </c>
      <c r="U107">
        <v>1.0725</v>
      </c>
    </row>
    <row r="108" spans="2:21" ht="15.75" customHeight="1">
      <c r="C108">
        <v>115</v>
      </c>
      <c r="D108">
        <v>1.6099706744868034</v>
      </c>
      <c r="E108">
        <v>1.0694037145650048</v>
      </c>
      <c r="F108">
        <v>0.73704789833822115</v>
      </c>
      <c r="G108">
        <v>0.46774193548387061</v>
      </c>
      <c r="H108">
        <v>0.27289019224503086</v>
      </c>
      <c r="I108">
        <v>0.18206256109481939</v>
      </c>
      <c r="J108">
        <v>0.1353861192570871</v>
      </c>
      <c r="K108">
        <v>0.4056695992179864</v>
      </c>
      <c r="L108">
        <v>0.65493646138807415</v>
      </c>
      <c r="M108">
        <v>0.92424242424242464</v>
      </c>
      <c r="N108">
        <v>1.2165200391006845</v>
      </c>
      <c r="O108">
        <v>1.4072580645161286</v>
      </c>
      <c r="P108">
        <v>1.2</v>
      </c>
      <c r="Q108">
        <v>1.145</v>
      </c>
      <c r="R108">
        <v>1.115</v>
      </c>
      <c r="S108">
        <v>1.085</v>
      </c>
      <c r="T108">
        <v>1.0750000000000002</v>
      </c>
      <c r="U108">
        <v>1.0750000000000002</v>
      </c>
    </row>
    <row r="109" spans="2:21" ht="15.75" customHeight="1">
      <c r="C109">
        <v>125</v>
      </c>
      <c r="D109">
        <v>1.6705767350928649</v>
      </c>
      <c r="E109">
        <v>1.1407624633431079</v>
      </c>
      <c r="F109">
        <v>0.79863147605083107</v>
      </c>
      <c r="G109">
        <v>0.51417399804496533</v>
      </c>
      <c r="H109">
        <v>0.30299999999999999</v>
      </c>
      <c r="I109">
        <v>0.20499999999999999</v>
      </c>
      <c r="J109">
        <v>0.12341153470185706</v>
      </c>
      <c r="K109">
        <v>0.38831867057673553</v>
      </c>
      <c r="L109">
        <v>0.64491691104594318</v>
      </c>
      <c r="M109">
        <v>0.92937438905180891</v>
      </c>
      <c r="N109">
        <v>1.2470000000000001</v>
      </c>
      <c r="O109">
        <v>1.452</v>
      </c>
      <c r="P109">
        <v>1.2075</v>
      </c>
      <c r="Q109">
        <v>1.1524999999999999</v>
      </c>
      <c r="R109">
        <v>1.1200000000000001</v>
      </c>
      <c r="S109">
        <v>1.0874999999999999</v>
      </c>
      <c r="T109">
        <v>1.075</v>
      </c>
      <c r="U109">
        <v>1.075</v>
      </c>
    </row>
    <row r="110" spans="2:21" ht="15.75" customHeight="1">
      <c r="C110">
        <v>135</v>
      </c>
      <c r="D110">
        <v>1.7243401759530794</v>
      </c>
      <c r="E110">
        <v>1.204301075268817</v>
      </c>
      <c r="F110">
        <v>0.85630498533724353</v>
      </c>
      <c r="G110">
        <v>0.55767350928641246</v>
      </c>
      <c r="H110">
        <v>0.33276311502117895</v>
      </c>
      <c r="I110">
        <v>0.22543988269794682</v>
      </c>
      <c r="J110">
        <v>0.11217008797653949</v>
      </c>
      <c r="K110">
        <v>0.37218963831867069</v>
      </c>
      <c r="L110">
        <v>0.63318670576735081</v>
      </c>
      <c r="M110">
        <v>0.93181818181818188</v>
      </c>
      <c r="N110">
        <v>1.2691837732160323</v>
      </c>
      <c r="O110">
        <v>1.4945625610948197</v>
      </c>
      <c r="P110">
        <v>1.2149999999999999</v>
      </c>
      <c r="Q110">
        <v>1.1600000000000001</v>
      </c>
      <c r="R110">
        <v>1.125</v>
      </c>
      <c r="S110">
        <v>1.0900000000000001</v>
      </c>
      <c r="T110">
        <v>1.0750000000000002</v>
      </c>
      <c r="U110">
        <v>1.0750000000000002</v>
      </c>
    </row>
    <row r="111" spans="2:21" ht="15.75" customHeight="1">
      <c r="C111">
        <v>145</v>
      </c>
      <c r="D111">
        <v>1.7702834799608995</v>
      </c>
      <c r="E111">
        <v>1.2639296187683282</v>
      </c>
      <c r="F111">
        <v>0.91006842619745854</v>
      </c>
      <c r="G111">
        <v>0.60019550342130923</v>
      </c>
      <c r="H111">
        <v>0.36168132942326464</v>
      </c>
      <c r="I111">
        <v>0.24682306940371412</v>
      </c>
      <c r="J111">
        <v>0.10263929618768319</v>
      </c>
      <c r="K111">
        <v>0.35581622678396885</v>
      </c>
      <c r="L111">
        <v>0.6212121212121211</v>
      </c>
      <c r="M111">
        <v>0.93108504398827041</v>
      </c>
      <c r="N111">
        <v>1.2888563049853374</v>
      </c>
      <c r="O111">
        <v>1.5300586510263936</v>
      </c>
      <c r="P111">
        <v>1.2149999999999999</v>
      </c>
      <c r="Q111">
        <v>1.155</v>
      </c>
      <c r="R111">
        <v>1.1099999999999999</v>
      </c>
      <c r="S111">
        <v>1.0750000000000002</v>
      </c>
      <c r="T111">
        <v>1.06</v>
      </c>
      <c r="U111">
        <v>1.06</v>
      </c>
    </row>
    <row r="112" spans="2:21" ht="15.75" customHeight="1">
      <c r="C112">
        <v>155</v>
      </c>
      <c r="D112">
        <v>1.8113391984359728</v>
      </c>
      <c r="E112">
        <v>1.3176930596285432</v>
      </c>
      <c r="F112">
        <v>0.96187683284457481</v>
      </c>
      <c r="G112">
        <v>0.64173998044965719</v>
      </c>
      <c r="H112">
        <v>0.39019224503095473</v>
      </c>
      <c r="I112">
        <v>0.2675953079178881</v>
      </c>
      <c r="J112">
        <v>9.384164222873892E-2</v>
      </c>
      <c r="K112">
        <v>0.34066471163245371</v>
      </c>
      <c r="L112">
        <v>0.60752688172043001</v>
      </c>
      <c r="M112">
        <v>0.92766373411534764</v>
      </c>
      <c r="N112">
        <v>1.3049853372434015</v>
      </c>
      <c r="O112">
        <v>1.5624389051808416</v>
      </c>
      <c r="P112">
        <v>1.2149999999999999</v>
      </c>
      <c r="Q112">
        <v>1.1499999999999999</v>
      </c>
      <c r="R112">
        <v>1.095</v>
      </c>
      <c r="S112">
        <v>1.06</v>
      </c>
      <c r="T112">
        <v>1.0449999999999999</v>
      </c>
      <c r="U112">
        <v>1.0449999999999999</v>
      </c>
    </row>
    <row r="113" spans="2:21" ht="15.75" customHeight="1">
      <c r="B113">
        <v>8</v>
      </c>
      <c r="C113">
        <v>15</v>
      </c>
      <c r="D113">
        <v>0.23655913978494647</v>
      </c>
      <c r="E113">
        <v>9.4819159335288061E-2</v>
      </c>
      <c r="F113">
        <v>4.9853372434017773E-2</v>
      </c>
      <c r="G113">
        <v>2.6392961876832797E-2</v>
      </c>
      <c r="H113">
        <v>1.3440860215053831E-2</v>
      </c>
      <c r="I113">
        <v>7.9423264907135735E-3</v>
      </c>
      <c r="J113">
        <v>0.23949169110459423</v>
      </c>
      <c r="K113">
        <v>0.31036168132942343</v>
      </c>
      <c r="L113">
        <v>0.34408602150537615</v>
      </c>
      <c r="M113">
        <v>0.3675464320625611</v>
      </c>
      <c r="N113">
        <v>0.38697458455522959</v>
      </c>
      <c r="O113">
        <v>0.39852150537634412</v>
      </c>
      <c r="P113">
        <v>0.98</v>
      </c>
      <c r="Q113">
        <v>1.03</v>
      </c>
      <c r="R113">
        <v>1.03</v>
      </c>
      <c r="S113">
        <v>1.05</v>
      </c>
      <c r="T113">
        <v>1.05</v>
      </c>
      <c r="U113">
        <v>1.05</v>
      </c>
    </row>
    <row r="114" spans="2:21" ht="15.75" customHeight="1">
      <c r="C114">
        <v>25</v>
      </c>
      <c r="D114">
        <v>0.48680351906158337</v>
      </c>
      <c r="E114">
        <v>0.21603128054740983</v>
      </c>
      <c r="F114">
        <v>0.13294232649071347</v>
      </c>
      <c r="G114">
        <v>6.5982404692081997E-2</v>
      </c>
      <c r="H114">
        <v>3.3805799934832133E-2</v>
      </c>
      <c r="I114">
        <v>2.077223851417424E-2</v>
      </c>
      <c r="J114">
        <v>0.2719941348973608</v>
      </c>
      <c r="K114">
        <v>0.40738025415444756</v>
      </c>
      <c r="L114">
        <v>0.46969696969696983</v>
      </c>
      <c r="M114">
        <v>0.53665689149560136</v>
      </c>
      <c r="N114">
        <v>0.58492179863147609</v>
      </c>
      <c r="O114">
        <v>0.61229227761485772</v>
      </c>
      <c r="P114">
        <v>0.98</v>
      </c>
      <c r="Q114">
        <v>1.03</v>
      </c>
      <c r="R114">
        <v>1.03</v>
      </c>
      <c r="S114">
        <v>1.05</v>
      </c>
      <c r="T114">
        <v>1.05</v>
      </c>
      <c r="U114">
        <v>1.05</v>
      </c>
    </row>
    <row r="115" spans="2:21" ht="15.75" customHeight="1">
      <c r="C115">
        <v>35</v>
      </c>
      <c r="D115">
        <v>0.74193548387096775</v>
      </c>
      <c r="E115">
        <v>0.35679374389051821</v>
      </c>
      <c r="F115">
        <v>0.20723362658846511</v>
      </c>
      <c r="G115">
        <v>0.11583577712609951</v>
      </c>
      <c r="H115">
        <v>5.9872922776148661E-2</v>
      </c>
      <c r="I115">
        <v>3.787878787878781E-2</v>
      </c>
      <c r="J115">
        <v>0.26319648093841641</v>
      </c>
      <c r="K115">
        <v>0.45576735092864118</v>
      </c>
      <c r="L115">
        <v>0.567937438905181</v>
      </c>
      <c r="M115">
        <v>0.65933528836754662</v>
      </c>
      <c r="N115">
        <v>0.7432795698924729</v>
      </c>
      <c r="O115">
        <v>0.78946725317693067</v>
      </c>
      <c r="P115">
        <v>0.96</v>
      </c>
      <c r="Q115">
        <v>1</v>
      </c>
      <c r="R115">
        <v>1</v>
      </c>
      <c r="S115">
        <v>1</v>
      </c>
      <c r="T115">
        <v>1</v>
      </c>
      <c r="U115">
        <v>1</v>
      </c>
    </row>
    <row r="116" spans="2:21" ht="15.75" customHeight="1">
      <c r="C116">
        <v>45</v>
      </c>
      <c r="D116">
        <v>0.95503421309872882</v>
      </c>
      <c r="E116">
        <v>0.49364613880742914</v>
      </c>
      <c r="F116">
        <v>0.29814271749755639</v>
      </c>
      <c r="G116">
        <v>0.16959921798631469</v>
      </c>
      <c r="H116">
        <v>9.00130335614205E-2</v>
      </c>
      <c r="I116">
        <v>5.7429130009775071E-2</v>
      </c>
      <c r="J116">
        <v>0.24315738025415456</v>
      </c>
      <c r="K116">
        <v>0.47385141739980441</v>
      </c>
      <c r="L116">
        <v>0.62047898338220897</v>
      </c>
      <c r="M116">
        <v>0.74902248289345064</v>
      </c>
      <c r="N116">
        <v>0.86840175953079202</v>
      </c>
      <c r="O116">
        <v>0.93682795698924748</v>
      </c>
      <c r="P116">
        <v>0.89</v>
      </c>
      <c r="Q116">
        <v>0.93</v>
      </c>
      <c r="R116">
        <v>0.93</v>
      </c>
      <c r="S116">
        <v>0.92</v>
      </c>
      <c r="T116">
        <v>0.92</v>
      </c>
      <c r="U116">
        <v>0.92</v>
      </c>
    </row>
    <row r="117" spans="2:21" ht="15.75" customHeight="1">
      <c r="C117">
        <v>55</v>
      </c>
      <c r="D117">
        <v>1.1388074291300097</v>
      </c>
      <c r="E117">
        <v>0.62756598240469197</v>
      </c>
      <c r="F117">
        <v>0.39002932551319658</v>
      </c>
      <c r="G117">
        <v>0.22776148582600156</v>
      </c>
      <c r="H117">
        <v>0.12341153470185744</v>
      </c>
      <c r="I117">
        <v>7.9423264907135735E-2</v>
      </c>
      <c r="J117">
        <v>0.2189638318670577</v>
      </c>
      <c r="K117">
        <v>0.47458455522971654</v>
      </c>
      <c r="L117">
        <v>0.65273704789833809</v>
      </c>
      <c r="M117">
        <v>0.81500488758553313</v>
      </c>
      <c r="N117">
        <v>0.97152981427174934</v>
      </c>
      <c r="O117">
        <v>1.063905180840665</v>
      </c>
      <c r="P117">
        <v>0.92</v>
      </c>
      <c r="Q117">
        <v>0.94</v>
      </c>
      <c r="R117">
        <v>0.93</v>
      </c>
      <c r="S117">
        <v>0.92</v>
      </c>
      <c r="T117">
        <v>0.91</v>
      </c>
      <c r="U117">
        <v>0.91</v>
      </c>
    </row>
    <row r="118" spans="2:21" ht="15.75" customHeight="1">
      <c r="C118">
        <v>65</v>
      </c>
      <c r="D118">
        <v>1.286412512218964</v>
      </c>
      <c r="E118">
        <v>0.74682306940371523</v>
      </c>
      <c r="F118">
        <v>0.47702834799608951</v>
      </c>
      <c r="G118">
        <v>0.28445747800586457</v>
      </c>
      <c r="H118">
        <v>0.15640273704789842</v>
      </c>
      <c r="I118">
        <v>0.10202834799608974</v>
      </c>
      <c r="J118">
        <v>0.1957478005865102</v>
      </c>
      <c r="K118">
        <v>0.46554252199413459</v>
      </c>
      <c r="L118">
        <v>0.66788856304985389</v>
      </c>
      <c r="M118">
        <v>0.86045943304007877</v>
      </c>
      <c r="N118">
        <v>1.0525415444770281</v>
      </c>
      <c r="O118">
        <v>1.1667277614858265</v>
      </c>
      <c r="P118">
        <v>1.0349999999999999</v>
      </c>
      <c r="Q118">
        <v>1.03</v>
      </c>
      <c r="R118">
        <v>1.0150000000000001</v>
      </c>
      <c r="S118">
        <v>0.99500000000000011</v>
      </c>
      <c r="T118">
        <v>0.99</v>
      </c>
      <c r="U118">
        <v>0.99</v>
      </c>
    </row>
    <row r="119" spans="2:21" ht="15.75" customHeight="1">
      <c r="C119">
        <v>75</v>
      </c>
      <c r="D119">
        <v>1.417</v>
      </c>
      <c r="E119">
        <v>0.86412512218963888</v>
      </c>
      <c r="F119">
        <v>0.56695992179863097</v>
      </c>
      <c r="G119">
        <v>0.34457478005865083</v>
      </c>
      <c r="H119">
        <v>0.193</v>
      </c>
      <c r="I119">
        <v>0.12707722385141718</v>
      </c>
      <c r="J119">
        <v>0.17299999999999999</v>
      </c>
      <c r="K119">
        <v>0.44965786901270743</v>
      </c>
      <c r="L119">
        <v>0.67253176930596337</v>
      </c>
      <c r="M119">
        <v>0.89491691104594351</v>
      </c>
      <c r="N119">
        <v>1.1220000000000001</v>
      </c>
      <c r="O119">
        <v>1.260997067448681</v>
      </c>
      <c r="P119">
        <v>1.1499999999999999</v>
      </c>
      <c r="Q119">
        <v>1.1200000000000001</v>
      </c>
      <c r="R119">
        <v>1.1000000000000001</v>
      </c>
      <c r="S119">
        <v>1.07</v>
      </c>
      <c r="T119">
        <v>1.07</v>
      </c>
      <c r="U119">
        <v>1.07</v>
      </c>
    </row>
    <row r="120" spans="2:21" ht="15.75" customHeight="1">
      <c r="C120">
        <v>85</v>
      </c>
      <c r="D120">
        <v>1.52297165200391</v>
      </c>
      <c r="E120">
        <v>0.96871945259041992</v>
      </c>
      <c r="F120">
        <v>0.64907135874877842</v>
      </c>
      <c r="G120">
        <v>0.40322580645161266</v>
      </c>
      <c r="H120">
        <v>0.22930922124470471</v>
      </c>
      <c r="I120">
        <v>0.1515151515151518</v>
      </c>
      <c r="J120">
        <v>0.15347018572825022</v>
      </c>
      <c r="K120">
        <v>0.43059628543499529</v>
      </c>
      <c r="L120">
        <v>0.67033235581622641</v>
      </c>
      <c r="M120">
        <v>0.91617790811339217</v>
      </c>
      <c r="N120">
        <v>1.1770527859237543</v>
      </c>
      <c r="O120">
        <v>1.3404203323558153</v>
      </c>
      <c r="P120">
        <v>1.165</v>
      </c>
      <c r="Q120">
        <v>1.1299999999999999</v>
      </c>
      <c r="R120">
        <v>1.1000000000000001</v>
      </c>
      <c r="S120">
        <v>1.0750000000000002</v>
      </c>
      <c r="T120">
        <v>1.0750000000000002</v>
      </c>
      <c r="U120">
        <v>1.0750000000000002</v>
      </c>
    </row>
    <row r="121" spans="2:21" ht="15.75" customHeight="1">
      <c r="C121">
        <v>95</v>
      </c>
      <c r="D121">
        <v>1.6138807429130009</v>
      </c>
      <c r="E121">
        <v>1.0645161290322589</v>
      </c>
      <c r="F121">
        <v>0.72922776148582535</v>
      </c>
      <c r="G121">
        <v>0.46041055718475038</v>
      </c>
      <c r="H121">
        <v>0.26637341153470173</v>
      </c>
      <c r="I121">
        <v>0.17778592375366536</v>
      </c>
      <c r="J121">
        <v>0.13563049853372444</v>
      </c>
      <c r="K121">
        <v>0.41031280547409543</v>
      </c>
      <c r="L121">
        <v>0.66177908113392059</v>
      </c>
      <c r="M121">
        <v>0.93059628543499551</v>
      </c>
      <c r="N121">
        <v>1.2216520039100687</v>
      </c>
      <c r="O121">
        <v>1.4076857282502451</v>
      </c>
      <c r="P121">
        <v>1.18</v>
      </c>
      <c r="Q121">
        <v>1.1399999999999999</v>
      </c>
      <c r="R121">
        <v>1.1000000000000001</v>
      </c>
      <c r="S121">
        <v>1.08</v>
      </c>
      <c r="T121">
        <v>1.08</v>
      </c>
      <c r="U121">
        <v>1.08</v>
      </c>
    </row>
    <row r="122" spans="2:21" ht="15.75" customHeight="1">
      <c r="C122">
        <v>105</v>
      </c>
      <c r="D122">
        <v>1.6891495601173023</v>
      </c>
      <c r="E122">
        <v>1.1515151515151509</v>
      </c>
      <c r="F122">
        <v>0.80351906158357789</v>
      </c>
      <c r="G122">
        <v>0.51564027370478938</v>
      </c>
      <c r="H122">
        <v>0.30221570544151172</v>
      </c>
      <c r="I122">
        <v>0.20344574780058669</v>
      </c>
      <c r="J122">
        <v>0.12023460410557185</v>
      </c>
      <c r="K122">
        <v>0.38905180840664755</v>
      </c>
      <c r="L122">
        <v>0.65004887585532733</v>
      </c>
      <c r="M122">
        <v>0.93792766373411585</v>
      </c>
      <c r="N122">
        <v>1.2580645161290325</v>
      </c>
      <c r="O122">
        <v>1.465481427174975</v>
      </c>
      <c r="P122">
        <v>1.2050000000000001</v>
      </c>
      <c r="Q122">
        <v>1.1499999999999999</v>
      </c>
      <c r="R122">
        <v>1.1200000000000001</v>
      </c>
      <c r="S122">
        <v>1.0900000000000001</v>
      </c>
      <c r="T122">
        <v>1.085</v>
      </c>
      <c r="U122">
        <v>1.085</v>
      </c>
    </row>
    <row r="123" spans="2:21" ht="15.75" customHeight="1">
      <c r="C123">
        <v>115</v>
      </c>
      <c r="D123">
        <v>1.752688172043011</v>
      </c>
      <c r="E123">
        <v>1.2310000000000001</v>
      </c>
      <c r="F123">
        <v>0.77712609970674507</v>
      </c>
      <c r="G123">
        <v>0.56940371456500383</v>
      </c>
      <c r="H123">
        <v>0.33887259693711319</v>
      </c>
      <c r="I123">
        <v>0.22910557184750693</v>
      </c>
      <c r="J123">
        <v>0.10703812316715533</v>
      </c>
      <c r="K123">
        <v>0.36799999999999999</v>
      </c>
      <c r="L123">
        <v>0.73264907135874857</v>
      </c>
      <c r="M123">
        <v>0.94037145650048981</v>
      </c>
      <c r="N123">
        <v>1.286168132942326</v>
      </c>
      <c r="O123">
        <v>1.5166788856304991</v>
      </c>
      <c r="P123">
        <v>1.23</v>
      </c>
      <c r="Q123">
        <v>1.1599999999999999</v>
      </c>
      <c r="R123">
        <v>1.1399999999999999</v>
      </c>
      <c r="S123">
        <v>1.1000000000000001</v>
      </c>
      <c r="T123">
        <v>1.0900000000000001</v>
      </c>
      <c r="U123">
        <v>1.0900000000000001</v>
      </c>
    </row>
    <row r="124" spans="2:21" ht="15.75" customHeight="1">
      <c r="C124">
        <v>125</v>
      </c>
      <c r="D124">
        <v>1.8074291300097749</v>
      </c>
      <c r="E124">
        <v>1.3020527859237538</v>
      </c>
      <c r="F124">
        <v>0.94037145650048881</v>
      </c>
      <c r="G124">
        <v>0.62170087976539568</v>
      </c>
      <c r="H124">
        <v>0.37471489084392245</v>
      </c>
      <c r="I124">
        <v>0.25476539589442826</v>
      </c>
      <c r="J124">
        <v>9.5307917888563076E-2</v>
      </c>
      <c r="K124">
        <v>0.3479960899315736</v>
      </c>
      <c r="L124">
        <v>0.61925708699902238</v>
      </c>
      <c r="M124">
        <v>0.93792766373411551</v>
      </c>
      <c r="N124">
        <v>1.3084066471163256</v>
      </c>
      <c r="O124">
        <v>1.5603005865102633</v>
      </c>
      <c r="P124">
        <v>1.25</v>
      </c>
      <c r="Q124">
        <v>1.18</v>
      </c>
      <c r="R124">
        <v>1.145</v>
      </c>
      <c r="S124">
        <v>1.105</v>
      </c>
      <c r="T124">
        <v>1.085</v>
      </c>
      <c r="U124">
        <v>1.085</v>
      </c>
    </row>
    <row r="125" spans="2:21" ht="15.75" customHeight="1">
      <c r="C125">
        <v>135</v>
      </c>
      <c r="D125">
        <v>1.8533724340175954</v>
      </c>
      <c r="E125">
        <v>1.3665689149560114</v>
      </c>
      <c r="F125">
        <v>1.0029325513196481</v>
      </c>
      <c r="G125">
        <v>0.67204301075268746</v>
      </c>
      <c r="H125">
        <v>0.40933528836754607</v>
      </c>
      <c r="I125">
        <v>0.28103616813294185</v>
      </c>
      <c r="J125">
        <v>8.5532746823069328E-2</v>
      </c>
      <c r="K125">
        <v>0.32893450635386134</v>
      </c>
      <c r="L125">
        <v>0.60166177908113383</v>
      </c>
      <c r="M125">
        <v>0.93255131964809435</v>
      </c>
      <c r="N125">
        <v>1.3266129032258065</v>
      </c>
      <c r="O125">
        <v>1.5960410557184757</v>
      </c>
      <c r="P125">
        <v>1.27</v>
      </c>
      <c r="Q125">
        <v>1.2</v>
      </c>
      <c r="R125">
        <v>1.1499999999999999</v>
      </c>
      <c r="S125">
        <v>1.1100000000000001</v>
      </c>
      <c r="T125">
        <v>1.08</v>
      </c>
      <c r="U125">
        <v>1.08</v>
      </c>
    </row>
    <row r="126" spans="2:21" ht="15.75" customHeight="1">
      <c r="C126">
        <v>145</v>
      </c>
      <c r="D126">
        <v>1.8924731182795704</v>
      </c>
      <c r="E126">
        <v>1.4261974584555217</v>
      </c>
      <c r="F126">
        <v>1.0615835777126108</v>
      </c>
      <c r="G126">
        <v>0.71994134897360662</v>
      </c>
      <c r="H126">
        <v>0.44395568589116896</v>
      </c>
      <c r="I126">
        <v>0.3066959921798626</v>
      </c>
      <c r="J126">
        <v>7.6979472140762395E-2</v>
      </c>
      <c r="K126">
        <v>0.31011730205278676</v>
      </c>
      <c r="L126">
        <v>0.58357771260996993</v>
      </c>
      <c r="M126">
        <v>0.92521994134897412</v>
      </c>
      <c r="N126">
        <v>1.3391984359726308</v>
      </c>
      <c r="O126">
        <v>1.6274437927663743</v>
      </c>
      <c r="P126">
        <v>1.2749999999999999</v>
      </c>
      <c r="Q126">
        <v>1.2</v>
      </c>
      <c r="R126">
        <v>1.1399999999999999</v>
      </c>
      <c r="S126">
        <v>1.1000000000000001</v>
      </c>
      <c r="T126">
        <v>1.0750000000000002</v>
      </c>
      <c r="U126">
        <v>1.0750000000000002</v>
      </c>
    </row>
    <row r="127" spans="2:21" ht="15.75" customHeight="1">
      <c r="C127">
        <v>155</v>
      </c>
      <c r="D127">
        <v>1.9266862170087977</v>
      </c>
      <c r="E127">
        <v>1.4799608993157385</v>
      </c>
      <c r="F127">
        <v>1.1163245356793743</v>
      </c>
      <c r="G127">
        <v>0.76637341153470095</v>
      </c>
      <c r="H127">
        <v>0.47735418703160626</v>
      </c>
      <c r="I127">
        <v>0.3323558162267834</v>
      </c>
      <c r="J127">
        <v>6.9403714565004826E-2</v>
      </c>
      <c r="K127">
        <v>0.29276637341153444</v>
      </c>
      <c r="L127">
        <v>0.56549364613880759</v>
      </c>
      <c r="M127">
        <v>0.91544477028348092</v>
      </c>
      <c r="N127">
        <v>1.3489736070381231</v>
      </c>
      <c r="O127">
        <v>1.6534701857282512</v>
      </c>
      <c r="P127">
        <v>1.28</v>
      </c>
      <c r="Q127">
        <v>1.2</v>
      </c>
      <c r="R127">
        <v>1.1299999999999999</v>
      </c>
      <c r="S127">
        <v>1.0900000000000001</v>
      </c>
      <c r="T127">
        <v>1.07</v>
      </c>
      <c r="U127">
        <v>1.07</v>
      </c>
    </row>
    <row r="128" spans="2:21" ht="15.75" customHeight="1">
      <c r="B128">
        <v>9</v>
      </c>
      <c r="C128">
        <v>15</v>
      </c>
      <c r="D128">
        <v>0.28836754643206253</v>
      </c>
      <c r="E128">
        <v>0.11730205278592387</v>
      </c>
      <c r="F128">
        <v>6.3538611925708643E-2</v>
      </c>
      <c r="G128">
        <v>3.323558162267834E-2</v>
      </c>
      <c r="H128">
        <v>1.6699250570218281E-2</v>
      </c>
      <c r="I128">
        <v>1.038611925708712E-2</v>
      </c>
      <c r="J128">
        <v>0.25171065493646139</v>
      </c>
      <c r="K128">
        <v>0.33724340175953071</v>
      </c>
      <c r="L128">
        <v>0.37756598240469214</v>
      </c>
      <c r="M128">
        <v>0.40786901270772247</v>
      </c>
      <c r="N128">
        <v>0.43267350928641252</v>
      </c>
      <c r="O128">
        <v>0.44593108504398798</v>
      </c>
      <c r="P128">
        <v>0.98</v>
      </c>
      <c r="Q128">
        <v>1.03</v>
      </c>
      <c r="R128">
        <v>1.03</v>
      </c>
      <c r="S128">
        <v>1.05</v>
      </c>
      <c r="T128">
        <v>1.05</v>
      </c>
      <c r="U128">
        <v>1.05</v>
      </c>
    </row>
    <row r="129" spans="2:21" ht="15.75" customHeight="1">
      <c r="C129">
        <v>25</v>
      </c>
      <c r="D129">
        <v>0.5835777126099706</v>
      </c>
      <c r="E129">
        <v>0.26392961876832821</v>
      </c>
      <c r="F129">
        <v>0.15053763440860246</v>
      </c>
      <c r="G129">
        <v>8.1622678396871803E-2</v>
      </c>
      <c r="H129">
        <v>4.1951775822743675E-2</v>
      </c>
      <c r="I129">
        <v>2.5659824046920496E-2</v>
      </c>
      <c r="J129">
        <v>0.271505376344086</v>
      </c>
      <c r="K129">
        <v>0.4313294232649072</v>
      </c>
      <c r="L129">
        <v>0.51637341153470151</v>
      </c>
      <c r="M129">
        <v>0.58528836754643221</v>
      </c>
      <c r="N129">
        <v>0.64479472140762439</v>
      </c>
      <c r="O129">
        <v>0.67900782013685301</v>
      </c>
      <c r="P129">
        <v>0.98</v>
      </c>
      <c r="Q129">
        <v>1.03</v>
      </c>
      <c r="R129">
        <v>1.03</v>
      </c>
      <c r="S129">
        <v>1.05</v>
      </c>
      <c r="T129">
        <v>1.05</v>
      </c>
      <c r="U129">
        <v>1.05</v>
      </c>
    </row>
    <row r="130" spans="2:21" ht="15.75" customHeight="1">
      <c r="C130">
        <v>35</v>
      </c>
      <c r="D130">
        <v>0.85630498533724353</v>
      </c>
      <c r="E130">
        <v>0.42521994134897367</v>
      </c>
      <c r="F130">
        <v>0.25219941348973585</v>
      </c>
      <c r="G130">
        <v>0.14125122189638292</v>
      </c>
      <c r="H130">
        <v>7.4535679374389111E-2</v>
      </c>
      <c r="I130">
        <v>4.6432062561094736E-2</v>
      </c>
      <c r="J130">
        <v>0.25513196480938416</v>
      </c>
      <c r="K130">
        <v>0.47067448680351909</v>
      </c>
      <c r="L130">
        <v>0.60043988269794746</v>
      </c>
      <c r="M130">
        <v>0.71138807429130035</v>
      </c>
      <c r="N130">
        <v>0.81146138807429113</v>
      </c>
      <c r="O130">
        <v>0.8704789833822093</v>
      </c>
      <c r="P130">
        <v>0.96</v>
      </c>
      <c r="Q130">
        <v>1</v>
      </c>
      <c r="R130">
        <v>1</v>
      </c>
      <c r="S130">
        <v>1</v>
      </c>
      <c r="T130">
        <v>1</v>
      </c>
      <c r="U130">
        <v>1</v>
      </c>
    </row>
    <row r="131" spans="2:21" ht="15.75" customHeight="1">
      <c r="C131">
        <v>45</v>
      </c>
      <c r="D131">
        <v>1.0869990224828938</v>
      </c>
      <c r="E131">
        <v>0.58455522971651952</v>
      </c>
      <c r="F131">
        <v>0.35874877810361694</v>
      </c>
      <c r="G131">
        <v>0.2077223851417396</v>
      </c>
      <c r="H131">
        <v>0.11119257086999003</v>
      </c>
      <c r="I131">
        <v>7.0999999999999994E-2</v>
      </c>
      <c r="J131">
        <v>0.22751710654936452</v>
      </c>
      <c r="K131">
        <v>0.47873900293255167</v>
      </c>
      <c r="L131">
        <v>0.64809384164222861</v>
      </c>
      <c r="M131">
        <v>0.79912023460410597</v>
      </c>
      <c r="N131">
        <v>0.94391495601173037</v>
      </c>
      <c r="O131">
        <v>1.0269999999999999</v>
      </c>
      <c r="P131">
        <v>0.9</v>
      </c>
      <c r="Q131">
        <v>0.91500000000000004</v>
      </c>
      <c r="R131">
        <v>0.91500000000000004</v>
      </c>
      <c r="S131">
        <v>0.91</v>
      </c>
      <c r="T131">
        <v>0.91</v>
      </c>
      <c r="U131">
        <v>0.91</v>
      </c>
    </row>
    <row r="132" spans="2:21" ht="15.75" customHeight="1">
      <c r="C132">
        <v>55</v>
      </c>
      <c r="D132">
        <v>1.2766373411534704</v>
      </c>
      <c r="E132">
        <v>0.73411534701857351</v>
      </c>
      <c r="F132">
        <v>0.46529814271749714</v>
      </c>
      <c r="G132">
        <v>0.27663734115347016</v>
      </c>
      <c r="H132">
        <v>0.15151515151515124</v>
      </c>
      <c r="I132">
        <v>9.7751710654936846E-2</v>
      </c>
      <c r="J132">
        <v>0.19843597262952095</v>
      </c>
      <c r="K132">
        <v>0.46969696969696939</v>
      </c>
      <c r="L132">
        <v>0.67130987292277666</v>
      </c>
      <c r="M132">
        <v>0.85997067448680364</v>
      </c>
      <c r="N132">
        <v>1.0476539589442821</v>
      </c>
      <c r="O132">
        <v>1.1605571847507323</v>
      </c>
      <c r="P132">
        <v>0.92</v>
      </c>
      <c r="Q132">
        <v>0.94</v>
      </c>
      <c r="R132">
        <v>0.93</v>
      </c>
      <c r="S132">
        <v>0.92</v>
      </c>
      <c r="T132">
        <v>0.91</v>
      </c>
      <c r="U132">
        <v>0.91</v>
      </c>
    </row>
    <row r="133" spans="2:21" ht="15.75" customHeight="1">
      <c r="C133">
        <v>65</v>
      </c>
      <c r="D133">
        <v>1.4281524926686218</v>
      </c>
      <c r="E133">
        <v>0.86999022482893507</v>
      </c>
      <c r="F133">
        <v>0.56793743890518034</v>
      </c>
      <c r="G133">
        <v>0.34457478005865083</v>
      </c>
      <c r="H133">
        <v>0.19305962854349917</v>
      </c>
      <c r="I133">
        <v>0.12585532746823047</v>
      </c>
      <c r="J133">
        <v>0.17204301075268813</v>
      </c>
      <c r="K133">
        <v>0.45112414467253148</v>
      </c>
      <c r="L133">
        <v>0.67766373411534753</v>
      </c>
      <c r="M133">
        <v>0.90102639296187703</v>
      </c>
      <c r="N133">
        <v>1.1282991202346047</v>
      </c>
      <c r="O133">
        <v>1.2694281524926689</v>
      </c>
      <c r="P133">
        <v>1.0274999999999999</v>
      </c>
      <c r="Q133">
        <v>1.03</v>
      </c>
      <c r="R133">
        <v>1.0150000000000001</v>
      </c>
      <c r="S133">
        <v>0.99500000000000011</v>
      </c>
      <c r="T133">
        <v>0.99</v>
      </c>
      <c r="U133">
        <v>0.99</v>
      </c>
    </row>
    <row r="134" spans="2:21" ht="15.75" customHeight="1">
      <c r="C134">
        <v>75</v>
      </c>
      <c r="D134">
        <v>1.5532746823069408</v>
      </c>
      <c r="E134">
        <v>0.99413489736070382</v>
      </c>
      <c r="F134">
        <v>0.66666666666666607</v>
      </c>
      <c r="G134">
        <v>0.4139784946236556</v>
      </c>
      <c r="H134">
        <v>0.23582600195503378</v>
      </c>
      <c r="I134">
        <v>0.15579178885630526</v>
      </c>
      <c r="J134">
        <v>0.14833822091886595</v>
      </c>
      <c r="K134">
        <v>0.42790811339198442</v>
      </c>
      <c r="L134">
        <v>0.67350928641251273</v>
      </c>
      <c r="M134">
        <v>0.92619745845552326</v>
      </c>
      <c r="N134">
        <v>1.1934261974584559</v>
      </c>
      <c r="O134">
        <v>1.3614980449657861</v>
      </c>
      <c r="P134">
        <v>1.135</v>
      </c>
      <c r="Q134">
        <v>1.1200000000000001</v>
      </c>
      <c r="R134">
        <v>1.1000000000000001</v>
      </c>
      <c r="S134">
        <v>1.07</v>
      </c>
      <c r="T134">
        <v>1.07</v>
      </c>
      <c r="U134">
        <v>1.07</v>
      </c>
    </row>
    <row r="135" spans="2:21" ht="15.75" customHeight="1">
      <c r="C135">
        <v>85</v>
      </c>
      <c r="D135">
        <v>1.6559139784946231</v>
      </c>
      <c r="E135">
        <v>1.1045943304007824</v>
      </c>
      <c r="F135">
        <v>0.76050830889540588</v>
      </c>
      <c r="G135">
        <v>0.48142717497556164</v>
      </c>
      <c r="H135">
        <v>0.27899967416096438</v>
      </c>
      <c r="I135">
        <v>0.1863391984359723</v>
      </c>
      <c r="J135">
        <v>0.12781036168132964</v>
      </c>
      <c r="K135">
        <v>0.40347018572825</v>
      </c>
      <c r="L135">
        <v>0.66153470185728236</v>
      </c>
      <c r="M135">
        <v>0.9406158357771266</v>
      </c>
      <c r="N135">
        <v>1.2442570869990226</v>
      </c>
      <c r="O135">
        <v>1.4388440860215059</v>
      </c>
      <c r="P135">
        <v>1.1575</v>
      </c>
      <c r="Q135">
        <v>1.1299999999999999</v>
      </c>
      <c r="R135">
        <v>1.1000000000000001</v>
      </c>
      <c r="S135">
        <v>1.0750000000000002</v>
      </c>
      <c r="T135">
        <v>1.0750000000000002</v>
      </c>
      <c r="U135">
        <v>1.0750000000000002</v>
      </c>
    </row>
    <row r="136" spans="2:21" ht="15.75" customHeight="1">
      <c r="C136">
        <v>95</v>
      </c>
      <c r="D136">
        <v>1.7390029325513199</v>
      </c>
      <c r="E136">
        <v>1.2052785923753664</v>
      </c>
      <c r="F136">
        <v>0.84750733137829926</v>
      </c>
      <c r="G136">
        <v>0.5474095796676437</v>
      </c>
      <c r="H136">
        <v>0.32217334636689454</v>
      </c>
      <c r="I136">
        <v>0.21627565982404598</v>
      </c>
      <c r="J136">
        <v>0.1104594330400781</v>
      </c>
      <c r="K136">
        <v>0.37732160312805485</v>
      </c>
      <c r="L136">
        <v>0.6456500488758552</v>
      </c>
      <c r="M136">
        <v>0.94574780058651076</v>
      </c>
      <c r="N136">
        <v>1.2836021505376345</v>
      </c>
      <c r="O136">
        <v>1.5059872922776165</v>
      </c>
      <c r="P136">
        <v>1.18</v>
      </c>
      <c r="Q136">
        <v>1.1399999999999999</v>
      </c>
      <c r="R136">
        <v>1.1000000000000001</v>
      </c>
      <c r="S136">
        <v>1.08</v>
      </c>
      <c r="T136">
        <v>1.08</v>
      </c>
      <c r="U136">
        <v>1.08</v>
      </c>
    </row>
    <row r="137" spans="2:21" ht="15.75" customHeight="1">
      <c r="C137">
        <v>105</v>
      </c>
      <c r="D137">
        <v>1.8084066471163247</v>
      </c>
      <c r="E137">
        <v>1.2942326490713585</v>
      </c>
      <c r="F137">
        <v>0.92961876832844581</v>
      </c>
      <c r="G137">
        <v>0.60997067448680287</v>
      </c>
      <c r="H137">
        <v>0.36493971977842915</v>
      </c>
      <c r="I137">
        <v>0.24743401759530692</v>
      </c>
      <c r="J137">
        <v>9.5552297165200306E-2</v>
      </c>
      <c r="K137">
        <v>0.35263929618768342</v>
      </c>
      <c r="L137">
        <v>0.62609970674486792</v>
      </c>
      <c r="M137">
        <v>0.94574780058651087</v>
      </c>
      <c r="N137">
        <v>1.3132942326490715</v>
      </c>
      <c r="O137">
        <v>1.5600562072336284</v>
      </c>
      <c r="P137">
        <v>1.2050000000000001</v>
      </c>
      <c r="Q137">
        <v>1.1499999999999999</v>
      </c>
      <c r="R137">
        <v>1.1200000000000001</v>
      </c>
      <c r="S137">
        <v>1.0900000000000001</v>
      </c>
      <c r="T137">
        <v>1.085</v>
      </c>
      <c r="U137">
        <v>1.085</v>
      </c>
    </row>
    <row r="138" spans="2:21" ht="15.75" customHeight="1">
      <c r="C138">
        <v>115</v>
      </c>
      <c r="D138">
        <v>1.8631476050830891</v>
      </c>
      <c r="E138">
        <v>1.373411534701857</v>
      </c>
      <c r="F138">
        <v>1.0039100684261975</v>
      </c>
      <c r="G138">
        <v>0.67008797653958918</v>
      </c>
      <c r="H138">
        <v>0.40648419680677672</v>
      </c>
      <c r="I138">
        <v>0.27859237536656845</v>
      </c>
      <c r="J138">
        <v>8.3822091886607941E-2</v>
      </c>
      <c r="K138">
        <v>0.328690127077224</v>
      </c>
      <c r="L138">
        <v>0.60581622678396863</v>
      </c>
      <c r="M138">
        <v>0.93963831867057679</v>
      </c>
      <c r="N138">
        <v>1.3350439882697955</v>
      </c>
      <c r="O138">
        <v>1.6036168132942332</v>
      </c>
      <c r="P138">
        <v>1.23</v>
      </c>
      <c r="Q138">
        <v>1.1599999999999999</v>
      </c>
      <c r="R138">
        <v>1.1399999999999999</v>
      </c>
      <c r="S138">
        <v>1.1000000000000001</v>
      </c>
      <c r="T138">
        <v>1.0900000000000001</v>
      </c>
      <c r="U138">
        <v>1.0900000000000001</v>
      </c>
    </row>
    <row r="139" spans="2:21" ht="15.75" customHeight="1">
      <c r="C139">
        <v>125</v>
      </c>
      <c r="D139">
        <v>1.9110459433040088</v>
      </c>
      <c r="E139">
        <v>1.4447702834799605</v>
      </c>
      <c r="F139">
        <v>1.075268817204301</v>
      </c>
      <c r="G139">
        <v>0.72873900293255045</v>
      </c>
      <c r="H139">
        <v>0.4480286738351254</v>
      </c>
      <c r="I139">
        <v>0.30913978494623601</v>
      </c>
      <c r="J139">
        <v>7.3069403714564718E-2</v>
      </c>
      <c r="K139">
        <v>0.30620723362658886</v>
      </c>
      <c r="L139">
        <v>0.58333333333333348</v>
      </c>
      <c r="M139">
        <v>0.92986314760508404</v>
      </c>
      <c r="N139">
        <v>1.3509286412512216</v>
      </c>
      <c r="O139">
        <v>1.6425953079178897</v>
      </c>
      <c r="P139">
        <v>1.25</v>
      </c>
      <c r="Q139">
        <v>1.18</v>
      </c>
      <c r="R139">
        <v>1.145</v>
      </c>
      <c r="S139">
        <v>1.105</v>
      </c>
      <c r="T139">
        <v>1.085</v>
      </c>
      <c r="U139">
        <v>1.085</v>
      </c>
    </row>
    <row r="140" spans="2:21" ht="15.75" customHeight="1">
      <c r="C140">
        <v>135</v>
      </c>
      <c r="D140">
        <v>1.9511241446725314</v>
      </c>
      <c r="E140">
        <v>1.50830889540567</v>
      </c>
      <c r="F140">
        <v>1.1407624633431084</v>
      </c>
      <c r="G140">
        <v>0.78396871945259039</v>
      </c>
      <c r="H140">
        <v>0.48835125448028627</v>
      </c>
      <c r="I140">
        <v>0.33968719452590362</v>
      </c>
      <c r="J140">
        <v>6.4027370478983547E-2</v>
      </c>
      <c r="K140">
        <v>0.28543499511241421</v>
      </c>
      <c r="L140">
        <v>0.56109481915933546</v>
      </c>
      <c r="M140">
        <v>0.91788856304985345</v>
      </c>
      <c r="N140">
        <v>1.3613147605083098</v>
      </c>
      <c r="O140">
        <v>1.6735092864125134</v>
      </c>
      <c r="P140">
        <v>1.27</v>
      </c>
      <c r="Q140">
        <v>1.2</v>
      </c>
      <c r="R140">
        <v>1.1499999999999999</v>
      </c>
      <c r="S140">
        <v>1.1100000000000001</v>
      </c>
      <c r="T140">
        <v>1.08</v>
      </c>
      <c r="U140">
        <v>1.08</v>
      </c>
    </row>
    <row r="141" spans="2:21" ht="15.75" customHeight="1">
      <c r="C141">
        <v>145</v>
      </c>
      <c r="D141">
        <v>1.9843597262952106</v>
      </c>
      <c r="E141">
        <v>1.5650048875855322</v>
      </c>
      <c r="F141">
        <v>1.2013685239491689</v>
      </c>
      <c r="G141">
        <v>0.83724340175952972</v>
      </c>
      <c r="H141">
        <v>0.52785923753665664</v>
      </c>
      <c r="I141">
        <v>0.36962365591397839</v>
      </c>
      <c r="J141">
        <v>5.6451612903225756E-2</v>
      </c>
      <c r="K141">
        <v>0.26612903225806495</v>
      </c>
      <c r="L141">
        <v>0.53885630498533743</v>
      </c>
      <c r="M141">
        <v>0.90298142717497676</v>
      </c>
      <c r="N141">
        <v>1.3670576735092865</v>
      </c>
      <c r="O141">
        <v>1.6993523949169109</v>
      </c>
      <c r="P141">
        <v>1.2675000000000001</v>
      </c>
      <c r="Q141">
        <v>1.2</v>
      </c>
      <c r="R141">
        <v>1.1499999999999999</v>
      </c>
      <c r="S141">
        <v>1.1000000000000001</v>
      </c>
      <c r="T141">
        <v>1.0750000000000002</v>
      </c>
      <c r="U141">
        <v>1.0750000000000002</v>
      </c>
    </row>
    <row r="142" spans="2:21" ht="15.75" customHeight="1">
      <c r="C142">
        <v>155</v>
      </c>
      <c r="D142">
        <v>2.0117302052785928</v>
      </c>
      <c r="E142">
        <v>1.6168132942326485</v>
      </c>
      <c r="F142">
        <v>1.258064516129032</v>
      </c>
      <c r="G142">
        <v>0.88709677419354727</v>
      </c>
      <c r="H142">
        <v>0.56655262300423603</v>
      </c>
      <c r="I142">
        <v>0.39894916911045819</v>
      </c>
      <c r="J142">
        <v>5.0342130987292233E-2</v>
      </c>
      <c r="K142">
        <v>0.24780058651026438</v>
      </c>
      <c r="L142">
        <v>0.51686217008797675</v>
      </c>
      <c r="M142">
        <v>0.8878299120234614</v>
      </c>
      <c r="N142">
        <v>1.3686461388074285</v>
      </c>
      <c r="O142">
        <v>1.720613391984362</v>
      </c>
      <c r="P142">
        <v>1.2650000000000001</v>
      </c>
      <c r="Q142">
        <v>1.2</v>
      </c>
      <c r="R142">
        <v>1.1499999999999999</v>
      </c>
      <c r="S142">
        <v>1.0900000000000001</v>
      </c>
      <c r="T142">
        <v>1.07</v>
      </c>
      <c r="U142">
        <v>1.07</v>
      </c>
    </row>
    <row r="143" spans="2:21" ht="15.75" customHeight="1">
      <c r="B143">
        <v>10</v>
      </c>
      <c r="C143">
        <v>15</v>
      </c>
      <c r="D143">
        <v>0.3431085043988269</v>
      </c>
      <c r="E143">
        <v>0.14173998044965797</v>
      </c>
      <c r="F143">
        <v>7.7223851417399736E-2</v>
      </c>
      <c r="G143">
        <v>4.1055718475073243E-2</v>
      </c>
      <c r="H143">
        <v>2.0364939719778579E-2</v>
      </c>
      <c r="I143">
        <v>1.2218963831866759E-2</v>
      </c>
      <c r="J143">
        <v>0.26075268817204306</v>
      </c>
      <c r="K143">
        <v>0.36143695014662752</v>
      </c>
      <c r="L143">
        <v>0.40982404692082119</v>
      </c>
      <c r="M143">
        <v>0.44599217986314771</v>
      </c>
      <c r="N143">
        <v>0.47702834799608967</v>
      </c>
      <c r="O143">
        <v>0.49413489736070454</v>
      </c>
      <c r="P143">
        <v>0.98</v>
      </c>
      <c r="Q143">
        <v>1.03</v>
      </c>
      <c r="R143">
        <v>1.03</v>
      </c>
      <c r="S143">
        <v>1.05</v>
      </c>
      <c r="T143">
        <v>1.05</v>
      </c>
      <c r="U143">
        <v>1.05</v>
      </c>
    </row>
    <row r="144" spans="2:21" ht="15.75" customHeight="1">
      <c r="C144">
        <v>25</v>
      </c>
      <c r="D144">
        <v>0.67546432062561101</v>
      </c>
      <c r="E144">
        <v>0.31573802541544449</v>
      </c>
      <c r="F144">
        <v>0.17986314760508337</v>
      </c>
      <c r="G144">
        <v>9.9706744868035019E-2</v>
      </c>
      <c r="H144">
        <v>5.0912349299445984E-2</v>
      </c>
      <c r="I144">
        <v>3.2380254154447924E-2</v>
      </c>
      <c r="J144">
        <v>0.26955034213098727</v>
      </c>
      <c r="K144">
        <v>0.44941348973607054</v>
      </c>
      <c r="L144">
        <v>0.55131964809384137</v>
      </c>
      <c r="M144">
        <v>0.63147605083088976</v>
      </c>
      <c r="N144">
        <v>0.70466764418377326</v>
      </c>
      <c r="O144">
        <v>0.74358504398826919</v>
      </c>
      <c r="P144">
        <v>0.98</v>
      </c>
      <c r="Q144">
        <v>1.03</v>
      </c>
      <c r="R144">
        <v>1.03</v>
      </c>
      <c r="S144">
        <v>1.05</v>
      </c>
      <c r="T144">
        <v>1.05</v>
      </c>
      <c r="U144">
        <v>1.05</v>
      </c>
    </row>
    <row r="145" spans="3:21" ht="15.75" customHeight="1">
      <c r="C145">
        <v>35</v>
      </c>
      <c r="D145">
        <v>0.96969696969696972</v>
      </c>
      <c r="E145">
        <v>0.49853372434017595</v>
      </c>
      <c r="F145">
        <v>0.30009775171065467</v>
      </c>
      <c r="G145">
        <v>0.17008797653958938</v>
      </c>
      <c r="H145">
        <v>9.00130335614205E-2</v>
      </c>
      <c r="I145">
        <v>5.6818181818181719E-2</v>
      </c>
      <c r="J145">
        <v>0.24364613880742914</v>
      </c>
      <c r="K145">
        <v>0.47922776148582602</v>
      </c>
      <c r="L145">
        <v>0.62805474095796698</v>
      </c>
      <c r="M145">
        <v>0.75806451612903225</v>
      </c>
      <c r="N145">
        <v>0.87817693059628565</v>
      </c>
      <c r="O145">
        <v>0.9478861192570871</v>
      </c>
      <c r="P145">
        <v>0.96</v>
      </c>
      <c r="Q145">
        <v>1</v>
      </c>
      <c r="R145">
        <v>1</v>
      </c>
      <c r="S145">
        <v>1</v>
      </c>
      <c r="T145">
        <v>1</v>
      </c>
      <c r="U145">
        <v>1</v>
      </c>
    </row>
    <row r="146" spans="3:21" ht="15.75" customHeight="1">
      <c r="C146">
        <v>45</v>
      </c>
      <c r="D146">
        <v>1.2091886608015638</v>
      </c>
      <c r="E146">
        <v>0.67644183773216016</v>
      </c>
      <c r="F146">
        <v>0.42130987292277622</v>
      </c>
      <c r="G146">
        <v>0.24780058651026349</v>
      </c>
      <c r="H146">
        <v>0.13400130335614219</v>
      </c>
      <c r="I146">
        <v>8.6143695014662597E-2</v>
      </c>
      <c r="J146">
        <v>0.21016617790811343</v>
      </c>
      <c r="K146">
        <v>0.47653958944281527</v>
      </c>
      <c r="L146">
        <v>0.66788856304985322</v>
      </c>
      <c r="M146">
        <v>0.84139784946236595</v>
      </c>
      <c r="N146">
        <v>1.012096774193548</v>
      </c>
      <c r="O146">
        <v>1.1125977517106551</v>
      </c>
      <c r="P146">
        <v>0.91</v>
      </c>
      <c r="Q146">
        <v>0.9</v>
      </c>
      <c r="R146">
        <v>0.9</v>
      </c>
      <c r="S146">
        <v>0.9</v>
      </c>
      <c r="T146">
        <v>0.9</v>
      </c>
      <c r="U146">
        <v>0.9</v>
      </c>
    </row>
    <row r="147" spans="3:21" ht="15.75" customHeight="1">
      <c r="C147">
        <v>55</v>
      </c>
      <c r="D147">
        <v>1.40078201368524</v>
      </c>
      <c r="E147">
        <v>0.83870967741935409</v>
      </c>
      <c r="F147">
        <v>0.54252199413489777</v>
      </c>
      <c r="G147">
        <v>0.32697947214076234</v>
      </c>
      <c r="H147">
        <v>0.1812479635060277</v>
      </c>
      <c r="I147">
        <v>0.11791300097751745</v>
      </c>
      <c r="J147">
        <v>0.17741935483870952</v>
      </c>
      <c r="K147">
        <v>0.45845552297165248</v>
      </c>
      <c r="L147">
        <v>0.68059628543499473</v>
      </c>
      <c r="M147">
        <v>0.8961388074291301</v>
      </c>
      <c r="N147">
        <v>1.1147360703812321</v>
      </c>
      <c r="O147">
        <v>1.2477394916911038</v>
      </c>
      <c r="P147">
        <v>0.92</v>
      </c>
      <c r="Q147">
        <v>0.94</v>
      </c>
      <c r="R147">
        <v>0.93</v>
      </c>
      <c r="S147">
        <v>0.92</v>
      </c>
      <c r="T147">
        <v>0.91</v>
      </c>
      <c r="U147">
        <v>0.91</v>
      </c>
    </row>
    <row r="148" spans="3:21" ht="15.75" customHeight="1">
      <c r="C148">
        <v>65</v>
      </c>
      <c r="D148">
        <v>1.5513196480938416</v>
      </c>
      <c r="E148">
        <v>0.98533724340175999</v>
      </c>
      <c r="F148">
        <v>0.6578690127077218</v>
      </c>
      <c r="G148">
        <v>0.40664711632453493</v>
      </c>
      <c r="H148">
        <v>0.23012381883349622</v>
      </c>
      <c r="I148">
        <v>0.15151515151515124</v>
      </c>
      <c r="J148">
        <v>0.14907135874877808</v>
      </c>
      <c r="K148">
        <v>0.43206256109481889</v>
      </c>
      <c r="L148">
        <v>0.67766373411534753</v>
      </c>
      <c r="M148">
        <v>0.92888563049853445</v>
      </c>
      <c r="N148">
        <v>1.1936705767350926</v>
      </c>
      <c r="O148">
        <v>1.3587487781036172</v>
      </c>
      <c r="P148">
        <v>1.02</v>
      </c>
      <c r="Q148">
        <v>1.03</v>
      </c>
      <c r="R148">
        <v>1.0150000000000001</v>
      </c>
      <c r="S148">
        <v>0.99500000000000011</v>
      </c>
      <c r="T148">
        <v>0.99</v>
      </c>
      <c r="U148">
        <v>0.99</v>
      </c>
    </row>
    <row r="149" spans="3:21" ht="15.75" customHeight="1">
      <c r="C149">
        <v>75</v>
      </c>
      <c r="D149">
        <v>1.670576735092864</v>
      </c>
      <c r="E149">
        <v>1.1163245356793752</v>
      </c>
      <c r="F149">
        <v>0.7683284457477999</v>
      </c>
      <c r="G149">
        <v>0.48533724340175954</v>
      </c>
      <c r="H149">
        <v>0.28103616813294147</v>
      </c>
      <c r="I149">
        <v>0.1869501466275662</v>
      </c>
      <c r="J149">
        <v>0.12536656891495612</v>
      </c>
      <c r="K149">
        <v>0.40249266862170052</v>
      </c>
      <c r="L149">
        <v>0.66348973607038197</v>
      </c>
      <c r="M149">
        <v>0.94648093841642233</v>
      </c>
      <c r="N149">
        <v>1.2529325513196494</v>
      </c>
      <c r="O149">
        <v>1.4505131964809377</v>
      </c>
      <c r="P149">
        <v>1.1200000000000001</v>
      </c>
      <c r="Q149">
        <v>1.1200000000000001</v>
      </c>
      <c r="R149">
        <v>1.1000000000000001</v>
      </c>
      <c r="S149">
        <v>1.07</v>
      </c>
      <c r="T149">
        <v>1.07</v>
      </c>
      <c r="U149">
        <v>1.07</v>
      </c>
    </row>
    <row r="150" spans="3:21" ht="15.75" customHeight="1">
      <c r="C150">
        <v>85</v>
      </c>
      <c r="D150">
        <v>1.7653958944281527</v>
      </c>
      <c r="E150">
        <v>1.2306940371456498</v>
      </c>
      <c r="F150">
        <v>0.83968719452590435</v>
      </c>
      <c r="G150">
        <v>0.57575757575757514</v>
      </c>
      <c r="H150">
        <v>0.33072662104920147</v>
      </c>
      <c r="I150">
        <v>0.2223851417399795</v>
      </c>
      <c r="J150">
        <v>0.10532746823069394</v>
      </c>
      <c r="K150">
        <v>0.37267839687194537</v>
      </c>
      <c r="L150">
        <v>0.6659335288367545</v>
      </c>
      <c r="M150">
        <v>0.92986314760508371</v>
      </c>
      <c r="N150">
        <v>1.2974095796676444</v>
      </c>
      <c r="O150">
        <v>1.5249266862170106</v>
      </c>
      <c r="P150">
        <v>1.1499999999999999</v>
      </c>
      <c r="Q150">
        <v>1.1299999999999999</v>
      </c>
      <c r="R150">
        <v>1.1000000000000001</v>
      </c>
      <c r="S150">
        <v>1.0750000000000002</v>
      </c>
      <c r="T150">
        <v>1.0750000000000002</v>
      </c>
      <c r="U150">
        <v>1.0750000000000002</v>
      </c>
    </row>
    <row r="151" spans="3:21" ht="15.75" customHeight="1">
      <c r="C151">
        <v>95</v>
      </c>
      <c r="D151">
        <v>1.8406647116324537</v>
      </c>
      <c r="E151">
        <v>1.3616813294232646</v>
      </c>
      <c r="F151">
        <v>0.9325513196480939</v>
      </c>
      <c r="G151">
        <v>0.63391984359726272</v>
      </c>
      <c r="H151">
        <v>0.38041707396546037</v>
      </c>
      <c r="I151">
        <v>0.25782013685239447</v>
      </c>
      <c r="J151">
        <v>8.8954056695992101E-2</v>
      </c>
      <c r="K151">
        <v>0.32844574780058666</v>
      </c>
      <c r="L151">
        <v>0.65029325513196468</v>
      </c>
      <c r="M151">
        <v>0.94892473118279586</v>
      </c>
      <c r="N151">
        <v>1.3291788856304994</v>
      </c>
      <c r="O151">
        <v>1.5866324535679381</v>
      </c>
      <c r="P151">
        <v>1.18</v>
      </c>
      <c r="Q151">
        <v>1.1399999999999999</v>
      </c>
      <c r="R151">
        <v>1.1000000000000001</v>
      </c>
      <c r="S151">
        <v>1.08</v>
      </c>
      <c r="T151">
        <v>1.08</v>
      </c>
      <c r="U151">
        <v>1.08</v>
      </c>
    </row>
    <row r="152" spans="3:21" ht="15.75" customHeight="1">
      <c r="C152">
        <v>105</v>
      </c>
      <c r="D152">
        <v>1.9002932551319645</v>
      </c>
      <c r="E152">
        <v>1.4203323558162273</v>
      </c>
      <c r="F152">
        <v>1.0469208211143695</v>
      </c>
      <c r="G152">
        <v>0.70283479960899231</v>
      </c>
      <c r="H152">
        <v>0.42807103290974219</v>
      </c>
      <c r="I152">
        <v>0.29386608015640275</v>
      </c>
      <c r="J152">
        <v>7.5757575757575912E-2</v>
      </c>
      <c r="K152">
        <v>0.31573802541544449</v>
      </c>
      <c r="L152">
        <v>0.59579667644183787</v>
      </c>
      <c r="M152">
        <v>0.93988269794721502</v>
      </c>
      <c r="N152">
        <v>1.3520283479960904</v>
      </c>
      <c r="O152">
        <v>1.6338587487781033</v>
      </c>
      <c r="P152">
        <v>1.2050000000000001</v>
      </c>
      <c r="Q152">
        <v>1.1499999999999999</v>
      </c>
      <c r="R152">
        <v>1.1200000000000001</v>
      </c>
      <c r="S152">
        <v>1.0900000000000001</v>
      </c>
      <c r="T152">
        <v>1.085</v>
      </c>
      <c r="U152">
        <v>1.085</v>
      </c>
    </row>
    <row r="153" spans="3:21" ht="15.75" customHeight="1">
      <c r="C153">
        <v>115</v>
      </c>
      <c r="D153">
        <v>1.9491691104594326</v>
      </c>
      <c r="E153">
        <v>1.4985337243401764</v>
      </c>
      <c r="F153">
        <v>1.1270772238514173</v>
      </c>
      <c r="G153">
        <v>0.76881720430107436</v>
      </c>
      <c r="H153">
        <v>0.475724991854024</v>
      </c>
      <c r="I153">
        <v>0.32930107526881719</v>
      </c>
      <c r="J153">
        <v>6.476050830889557E-2</v>
      </c>
      <c r="K153">
        <v>0.29007820136852369</v>
      </c>
      <c r="L153">
        <v>0.56867057673509303</v>
      </c>
      <c r="M153">
        <v>0.92693059628543595</v>
      </c>
      <c r="N153">
        <v>1.3665689149560116</v>
      </c>
      <c r="O153">
        <v>1.674059139784946</v>
      </c>
      <c r="P153">
        <v>1.23</v>
      </c>
      <c r="Q153">
        <v>1.1599999999999999</v>
      </c>
      <c r="R153">
        <v>1.1399999999999999</v>
      </c>
      <c r="S153">
        <v>1.1000000000000001</v>
      </c>
      <c r="T153">
        <v>1.0900000000000001</v>
      </c>
      <c r="U153">
        <v>1.0900000000000001</v>
      </c>
    </row>
    <row r="154" spans="3:21" ht="15.75" customHeight="1">
      <c r="C154">
        <v>125</v>
      </c>
      <c r="D154">
        <v>1.9902248289345073</v>
      </c>
      <c r="E154">
        <v>1.5679374389051803</v>
      </c>
      <c r="F154">
        <v>1.2013685239491689</v>
      </c>
      <c r="G154">
        <v>0.8333333333333327</v>
      </c>
      <c r="H154">
        <v>0.5233789507983051</v>
      </c>
      <c r="I154">
        <v>0.36473607038123157</v>
      </c>
      <c r="J154">
        <v>5.5474095796676171E-2</v>
      </c>
      <c r="K154">
        <v>0.26661779081133963</v>
      </c>
      <c r="L154">
        <v>0.54154447702834818</v>
      </c>
      <c r="M154">
        <v>0.90957966764418452</v>
      </c>
      <c r="N154">
        <v>1.374511241446726</v>
      </c>
      <c r="O154">
        <v>1.7076612903225805</v>
      </c>
      <c r="P154">
        <v>1.25</v>
      </c>
      <c r="Q154">
        <v>1.18</v>
      </c>
      <c r="R154">
        <v>1.145</v>
      </c>
      <c r="S154">
        <v>1.105</v>
      </c>
      <c r="T154">
        <v>1.085</v>
      </c>
      <c r="U154">
        <v>1.085</v>
      </c>
    </row>
    <row r="155" spans="3:21" ht="15.75" customHeight="1">
      <c r="C155">
        <v>135</v>
      </c>
      <c r="D155">
        <v>2.0234604105571852</v>
      </c>
      <c r="E155">
        <v>1.6295210166177894</v>
      </c>
      <c r="F155">
        <v>1.2678396871945266</v>
      </c>
      <c r="G155">
        <v>0.89296187683284345</v>
      </c>
      <c r="H155">
        <v>0.5685891169762135</v>
      </c>
      <c r="I155">
        <v>0.3995601173020521</v>
      </c>
      <c r="J155">
        <v>4.7653958944281483E-2</v>
      </c>
      <c r="K155">
        <v>0.24462365591397939</v>
      </c>
      <c r="L155">
        <v>0.51588465298142649</v>
      </c>
      <c r="M155">
        <v>0.89076246334310949</v>
      </c>
      <c r="N155">
        <v>1.3773216031280546</v>
      </c>
      <c r="O155">
        <v>1.7322825024437938</v>
      </c>
      <c r="P155">
        <v>1.27</v>
      </c>
      <c r="Q155">
        <v>1.2</v>
      </c>
      <c r="R155">
        <v>1.1499999999999999</v>
      </c>
      <c r="S155">
        <v>1.1100000000000001</v>
      </c>
      <c r="T155">
        <v>1.08</v>
      </c>
      <c r="U155">
        <v>1.08</v>
      </c>
    </row>
    <row r="156" spans="3:21" ht="15.75" customHeight="1">
      <c r="C156">
        <v>145</v>
      </c>
      <c r="D156">
        <v>2.0508308895405669</v>
      </c>
      <c r="E156">
        <v>1.6832844574780061</v>
      </c>
      <c r="F156">
        <v>1.3294232649071356</v>
      </c>
      <c r="G156">
        <v>0.94965786901270732</v>
      </c>
      <c r="H156">
        <v>0.6125773867709341</v>
      </c>
      <c r="I156">
        <v>0.43438416422287368</v>
      </c>
      <c r="J156">
        <v>4.1300097751710618E-2</v>
      </c>
      <c r="K156">
        <v>0.225073313782991</v>
      </c>
      <c r="L156">
        <v>0.49046920821114393</v>
      </c>
      <c r="M156">
        <v>0.87023460410557218</v>
      </c>
      <c r="N156">
        <v>1.3758553274682321</v>
      </c>
      <c r="O156">
        <v>1.7500610948191593</v>
      </c>
      <c r="P156">
        <v>1.26</v>
      </c>
      <c r="Q156">
        <v>1.2</v>
      </c>
      <c r="R156">
        <v>1.1599999999999999</v>
      </c>
      <c r="S156">
        <v>1.1000000000000001</v>
      </c>
      <c r="T156">
        <v>1.0750000000000002</v>
      </c>
      <c r="U156">
        <v>1.0750000000000002</v>
      </c>
    </row>
    <row r="157" spans="3:21" ht="15.75" customHeight="1">
      <c r="C157">
        <v>155</v>
      </c>
      <c r="D157">
        <v>2.0733137829912018</v>
      </c>
      <c r="E157">
        <v>1.7311827956989241</v>
      </c>
      <c r="F157">
        <v>1.3851417399804502</v>
      </c>
      <c r="G157">
        <v>1.0034213098729219</v>
      </c>
      <c r="H157">
        <v>0.65534376018246909</v>
      </c>
      <c r="I157">
        <v>0.4679863147605075</v>
      </c>
      <c r="J157">
        <v>3.6168132942326681E-2</v>
      </c>
      <c r="K157">
        <v>0.20723362658846556</v>
      </c>
      <c r="L157">
        <v>0.46676441837732097</v>
      </c>
      <c r="M157">
        <v>0.84848484848484929</v>
      </c>
      <c r="N157">
        <v>1.3706011730205285</v>
      </c>
      <c r="O157">
        <v>1.7640518084066481</v>
      </c>
      <c r="P157">
        <v>1.25</v>
      </c>
      <c r="Q157">
        <v>1.2</v>
      </c>
      <c r="R157">
        <v>1.17</v>
      </c>
      <c r="S157">
        <v>1.0900000000000001</v>
      </c>
      <c r="T157">
        <v>1.07</v>
      </c>
      <c r="U157">
        <v>1.07</v>
      </c>
    </row>
    <row r="163" spans="2:44">
      <c r="B163">
        <v>2</v>
      </c>
      <c r="C163">
        <v>15</v>
      </c>
      <c r="D163">
        <v>1.7873100983020584E-2</v>
      </c>
      <c r="E163">
        <v>5.9577003276735097E-3</v>
      </c>
      <c r="F163">
        <v>3.5746201966040947E-3</v>
      </c>
      <c r="G163">
        <v>1.7873100983020458E-3</v>
      </c>
      <c r="H163">
        <v>4.964750273061631E-4</v>
      </c>
      <c r="I163">
        <v>7.4471254095913948E-4</v>
      </c>
      <c r="J163">
        <v>9.1748585046172171E-2</v>
      </c>
      <c r="K163">
        <v>9.7706285373845708E-2</v>
      </c>
      <c r="L163">
        <v>9.9493595472147769E-2</v>
      </c>
      <c r="M163">
        <v>0.10128090557044982</v>
      </c>
      <c r="N163">
        <v>0.10321715817694364</v>
      </c>
      <c r="O163">
        <v>0.10269585939827239</v>
      </c>
      <c r="P163">
        <v>0.81</v>
      </c>
      <c r="Q163">
        <v>0.86</v>
      </c>
      <c r="R163">
        <v>0.87</v>
      </c>
      <c r="S163">
        <v>0.87</v>
      </c>
      <c r="T163">
        <v>0.87</v>
      </c>
      <c r="U163">
        <v>0.87</v>
      </c>
      <c r="V163">
        <v>15</v>
      </c>
      <c r="W163">
        <v>2685.6000000000004</v>
      </c>
      <c r="X163">
        <v>2517.75</v>
      </c>
      <c r="AA163">
        <v>10076</v>
      </c>
      <c r="AB163">
        <v>5805</v>
      </c>
      <c r="AE163">
        <v>2</v>
      </c>
      <c r="AF163">
        <v>13</v>
      </c>
      <c r="AG163">
        <v>13.75</v>
      </c>
      <c r="AH163">
        <v>1</v>
      </c>
      <c r="AI163">
        <v>2</v>
      </c>
      <c r="AJ163">
        <v>22</v>
      </c>
      <c r="AK163">
        <v>18</v>
      </c>
      <c r="AL163">
        <v>4</v>
      </c>
      <c r="AM163">
        <v>1.24</v>
      </c>
      <c r="AN163">
        <v>2</v>
      </c>
      <c r="AO163" t="s">
        <v>512</v>
      </c>
      <c r="AP163">
        <v>4.4000000000000004</v>
      </c>
      <c r="AQ163">
        <v>1.07</v>
      </c>
      <c r="AR163">
        <v>30.174177874776987</v>
      </c>
    </row>
    <row r="164" spans="2:44">
      <c r="C164">
        <v>25</v>
      </c>
      <c r="D164">
        <v>4.6470062555853509E-2</v>
      </c>
      <c r="E164">
        <v>1.6681560917485849E-2</v>
      </c>
      <c r="F164">
        <v>8.3407804587428691E-3</v>
      </c>
      <c r="G164">
        <v>4.7661602621388256E-3</v>
      </c>
      <c r="H164">
        <v>1.9859001092244672E-3</v>
      </c>
      <c r="I164">
        <v>1.4894250819183484E-3</v>
      </c>
      <c r="J164">
        <v>0.1346440274054215</v>
      </c>
      <c r="K164">
        <v>0.14953827822460533</v>
      </c>
      <c r="L164">
        <v>0.15579386356866257</v>
      </c>
      <c r="M164">
        <v>0.15936848376526661</v>
      </c>
      <c r="N164">
        <v>0.16353887399463815</v>
      </c>
      <c r="O164">
        <v>0.164581471551981</v>
      </c>
      <c r="P164">
        <v>0.81</v>
      </c>
      <c r="Q164">
        <v>0.86</v>
      </c>
      <c r="R164">
        <v>0.87</v>
      </c>
      <c r="S164">
        <v>0.87</v>
      </c>
      <c r="T164">
        <v>0.87</v>
      </c>
      <c r="U164">
        <v>0.87</v>
      </c>
      <c r="V164">
        <v>25</v>
      </c>
      <c r="W164">
        <v>2685.6000000000004</v>
      </c>
      <c r="X164">
        <v>2517.75</v>
      </c>
      <c r="AA164">
        <v>10076</v>
      </c>
      <c r="AB164">
        <v>5805</v>
      </c>
      <c r="AE164">
        <v>3</v>
      </c>
      <c r="AO164" t="s">
        <v>513</v>
      </c>
      <c r="AP164">
        <v>3.5</v>
      </c>
      <c r="AQ164">
        <v>1.06</v>
      </c>
      <c r="AR164">
        <v>42.369577521370154</v>
      </c>
    </row>
    <row r="165" spans="2:44">
      <c r="C165">
        <v>35</v>
      </c>
      <c r="D165">
        <v>8.1024724456359887E-2</v>
      </c>
      <c r="E165">
        <v>4.0512362228179888E-2</v>
      </c>
      <c r="F165">
        <v>7.1492403932081894E-3</v>
      </c>
      <c r="G165">
        <v>8.3407804587429177E-3</v>
      </c>
      <c r="H165">
        <v>4.4682752457551904E-3</v>
      </c>
      <c r="I165">
        <v>2.2341376228774529E-3</v>
      </c>
      <c r="J165">
        <v>0.16770926422400953</v>
      </c>
      <c r="K165">
        <v>0.18796544533809953</v>
      </c>
      <c r="L165">
        <v>0.2129877867143283</v>
      </c>
      <c r="M165">
        <v>0.21179624664879357</v>
      </c>
      <c r="N165">
        <v>0.21760500446827516</v>
      </c>
      <c r="O165">
        <v>0.22229669347631842</v>
      </c>
      <c r="P165">
        <v>0.87</v>
      </c>
      <c r="Q165">
        <v>0.9</v>
      </c>
      <c r="R165">
        <v>0.93</v>
      </c>
      <c r="S165">
        <v>0.94</v>
      </c>
      <c r="T165">
        <v>0.96</v>
      </c>
      <c r="U165">
        <v>0.96</v>
      </c>
      <c r="V165">
        <v>35</v>
      </c>
      <c r="W165">
        <v>2685.6000000000004</v>
      </c>
      <c r="X165">
        <v>2517.75</v>
      </c>
      <c r="AA165">
        <v>10076</v>
      </c>
      <c r="AB165">
        <v>5805</v>
      </c>
      <c r="AE165">
        <v>4</v>
      </c>
      <c r="AF165">
        <v>37</v>
      </c>
      <c r="AG165">
        <v>13.75</v>
      </c>
      <c r="AH165">
        <v>1</v>
      </c>
      <c r="AI165">
        <v>2</v>
      </c>
      <c r="AJ165">
        <v>22</v>
      </c>
      <c r="AK165">
        <v>18</v>
      </c>
      <c r="AL165">
        <v>4</v>
      </c>
      <c r="AM165">
        <v>3.53</v>
      </c>
      <c r="AO165" t="s">
        <v>514</v>
      </c>
      <c r="AP165">
        <v>2.5</v>
      </c>
      <c r="AQ165">
        <v>1.2</v>
      </c>
      <c r="AR165">
        <v>68.724757204551267</v>
      </c>
    </row>
    <row r="166" spans="2:44">
      <c r="C166">
        <v>45</v>
      </c>
      <c r="D166">
        <v>0.12153708668453966</v>
      </c>
      <c r="E166">
        <v>4.7661602621388299E-2</v>
      </c>
      <c r="F166">
        <v>2.5022341376228718E-2</v>
      </c>
      <c r="G166">
        <v>1.3702710753649138E-2</v>
      </c>
      <c r="H166">
        <v>6.9506503822858211E-3</v>
      </c>
      <c r="I166">
        <v>3.7235627047958707E-3</v>
      </c>
      <c r="J166">
        <v>0.19243372058385466</v>
      </c>
      <c r="K166">
        <v>0.22937146261543034</v>
      </c>
      <c r="L166">
        <v>0.24635090854930003</v>
      </c>
      <c r="M166">
        <v>0.2576705391718796</v>
      </c>
      <c r="N166">
        <v>0.2677986297289246</v>
      </c>
      <c r="O166">
        <v>0.27457551385165346</v>
      </c>
      <c r="P166">
        <v>0.87</v>
      </c>
      <c r="Q166">
        <v>0.91</v>
      </c>
      <c r="R166">
        <v>0.92</v>
      </c>
      <c r="S166">
        <v>0.92</v>
      </c>
      <c r="T166">
        <v>0.93</v>
      </c>
      <c r="U166">
        <v>0.93</v>
      </c>
      <c r="V166">
        <v>45</v>
      </c>
      <c r="W166">
        <v>2685.6000000000004</v>
      </c>
      <c r="X166">
        <v>2517.75</v>
      </c>
      <c r="AA166">
        <v>10076</v>
      </c>
      <c r="AB166">
        <v>5805</v>
      </c>
      <c r="AO166" t="s">
        <v>515</v>
      </c>
      <c r="AP166">
        <v>1.8</v>
      </c>
      <c r="AQ166">
        <v>1.23</v>
      </c>
      <c r="AR166">
        <v>136.66014174917947</v>
      </c>
    </row>
    <row r="167" spans="2:44">
      <c r="C167">
        <v>55</v>
      </c>
      <c r="D167">
        <v>0.16324098897825423</v>
      </c>
      <c r="E167">
        <v>6.6726243669943619E-2</v>
      </c>
      <c r="F167">
        <v>3.5746201966041058E-2</v>
      </c>
      <c r="G167">
        <v>1.9064641048555191E-2</v>
      </c>
      <c r="H167">
        <v>9.929500546122615E-3</v>
      </c>
      <c r="I167">
        <v>5.9577003276735322E-3</v>
      </c>
      <c r="J167">
        <v>0.2117962466487936</v>
      </c>
      <c r="K167">
        <v>0.2600536193029489</v>
      </c>
      <c r="L167">
        <v>0.28328865058087582</v>
      </c>
      <c r="M167">
        <v>0.29997021149836167</v>
      </c>
      <c r="N167">
        <v>0.31367292225201054</v>
      </c>
      <c r="O167">
        <v>0.32201370271075364</v>
      </c>
      <c r="P167">
        <v>0.86</v>
      </c>
      <c r="Q167">
        <v>0.9</v>
      </c>
      <c r="R167">
        <v>0.9</v>
      </c>
      <c r="S167">
        <v>0.9</v>
      </c>
      <c r="T167">
        <v>0.9</v>
      </c>
      <c r="U167">
        <v>0.9</v>
      </c>
      <c r="V167">
        <v>55</v>
      </c>
      <c r="W167">
        <v>2685.6000000000004</v>
      </c>
      <c r="X167">
        <v>2517.75</v>
      </c>
      <c r="AA167">
        <v>10076</v>
      </c>
      <c r="AB167">
        <v>5805</v>
      </c>
    </row>
    <row r="168" spans="2:44">
      <c r="C168">
        <v>65</v>
      </c>
      <c r="D168">
        <v>0.20613643133750359</v>
      </c>
      <c r="E168">
        <v>8.5790884718498717E-2</v>
      </c>
      <c r="F168">
        <v>4.6470062555853398E-2</v>
      </c>
      <c r="G168">
        <v>2.5618111408996034E-2</v>
      </c>
      <c r="H168">
        <v>1.2908350709959316E-2</v>
      </c>
      <c r="I168">
        <v>8.1918379505511937E-3</v>
      </c>
      <c r="J168">
        <v>0.2269883824843611</v>
      </c>
      <c r="K168">
        <v>0.28716115579386353</v>
      </c>
      <c r="L168">
        <v>0.31665177241584752</v>
      </c>
      <c r="M168">
        <v>0.33750372356270486</v>
      </c>
      <c r="N168">
        <v>0.35656836461125996</v>
      </c>
      <c r="O168">
        <v>0.366473041406017</v>
      </c>
      <c r="P168">
        <v>0.88500000000000001</v>
      </c>
      <c r="Q168">
        <v>0.91500000000000004</v>
      </c>
      <c r="R168">
        <v>0.94</v>
      </c>
      <c r="S168">
        <v>0.93500000000000005</v>
      </c>
      <c r="T168">
        <v>0.94500000000000006</v>
      </c>
      <c r="U168">
        <v>0.94500000000000006</v>
      </c>
      <c r="V168">
        <v>65</v>
      </c>
      <c r="W168">
        <v>2685.6000000000004</v>
      </c>
      <c r="X168">
        <v>2517.75</v>
      </c>
      <c r="AA168">
        <v>10076</v>
      </c>
      <c r="AB168">
        <v>5805</v>
      </c>
    </row>
    <row r="169" spans="2:44">
      <c r="C169">
        <v>75</v>
      </c>
      <c r="D169">
        <v>0.24784033363121827</v>
      </c>
      <c r="E169">
        <v>0.10604706583258872</v>
      </c>
      <c r="F169">
        <v>5.9577003276735097E-2</v>
      </c>
      <c r="G169">
        <v>3.2171581769436991E-2</v>
      </c>
      <c r="H169">
        <v>1.6383675901102134E-2</v>
      </c>
      <c r="I169">
        <v>1.0425975573428716E-2</v>
      </c>
      <c r="J169">
        <v>0.23920166815609178</v>
      </c>
      <c r="K169">
        <v>0.31009830205540656</v>
      </c>
      <c r="L169">
        <v>0.34495084897229678</v>
      </c>
      <c r="M169">
        <v>0.37235627047959485</v>
      </c>
      <c r="N169">
        <v>0.3960381292820972</v>
      </c>
      <c r="O169">
        <v>0.40854929997021133</v>
      </c>
      <c r="P169">
        <v>0.91</v>
      </c>
      <c r="Q169">
        <v>0.93</v>
      </c>
      <c r="R169">
        <v>0.98</v>
      </c>
      <c r="S169">
        <v>0.97</v>
      </c>
      <c r="T169">
        <v>0.99</v>
      </c>
      <c r="U169">
        <v>0.99</v>
      </c>
      <c r="V169">
        <v>75</v>
      </c>
      <c r="W169">
        <v>2685.6000000000004</v>
      </c>
      <c r="X169">
        <v>2517.75</v>
      </c>
      <c r="AA169">
        <v>10076</v>
      </c>
      <c r="AB169">
        <v>5805</v>
      </c>
    </row>
    <row r="170" spans="2:44">
      <c r="C170">
        <v>85</v>
      </c>
      <c r="D170">
        <v>0.29073577599046763</v>
      </c>
      <c r="E170">
        <v>0.1274947870122134</v>
      </c>
      <c r="F170">
        <v>7.1492403932082116E-2</v>
      </c>
      <c r="G170">
        <v>3.9320822162645284E-2</v>
      </c>
      <c r="H170">
        <v>1.9859001092245043E-2</v>
      </c>
      <c r="I170">
        <v>1.3404825737265274E-2</v>
      </c>
      <c r="J170">
        <v>0.24813821864760205</v>
      </c>
      <c r="K170">
        <v>0.32975871313672916</v>
      </c>
      <c r="L170">
        <v>0.37176050044682762</v>
      </c>
      <c r="M170">
        <v>0.40393208221626448</v>
      </c>
      <c r="N170">
        <v>0.43312481382186485</v>
      </c>
      <c r="O170">
        <v>0.44667858206732236</v>
      </c>
      <c r="P170">
        <v>0.91</v>
      </c>
      <c r="Q170">
        <v>0.92500000000000004</v>
      </c>
      <c r="R170">
        <v>0.94500000000000006</v>
      </c>
      <c r="S170">
        <v>0.94</v>
      </c>
      <c r="T170">
        <v>0.95</v>
      </c>
      <c r="U170">
        <v>0.95</v>
      </c>
      <c r="V170">
        <v>85</v>
      </c>
      <c r="W170">
        <v>2685.6000000000004</v>
      </c>
      <c r="X170">
        <v>2517.75</v>
      </c>
      <c r="AA170">
        <v>10076</v>
      </c>
      <c r="AB170">
        <v>5805</v>
      </c>
    </row>
    <row r="171" spans="2:44">
      <c r="C171">
        <v>95</v>
      </c>
      <c r="D171">
        <v>0.33243967828418231</v>
      </c>
      <c r="E171">
        <v>0.14775096812630339</v>
      </c>
      <c r="F171">
        <v>8.4599344652963815E-2</v>
      </c>
      <c r="G171">
        <v>4.6470062555853467E-2</v>
      </c>
      <c r="H171">
        <v>2.4327276338000001E-2</v>
      </c>
      <c r="I171">
        <v>1.5638963360143351E-2</v>
      </c>
      <c r="J171">
        <v>0.25528745904081024</v>
      </c>
      <c r="K171">
        <v>0.34763181411974969</v>
      </c>
      <c r="L171">
        <v>0.39499553172475438</v>
      </c>
      <c r="M171">
        <v>0.43312481382186474</v>
      </c>
      <c r="N171">
        <v>0.46633899314864491</v>
      </c>
      <c r="O171">
        <v>0.48458445040214393</v>
      </c>
      <c r="P171">
        <v>0.91</v>
      </c>
      <c r="Q171">
        <v>0.92</v>
      </c>
      <c r="R171">
        <v>0.91</v>
      </c>
      <c r="S171">
        <v>0.91</v>
      </c>
      <c r="T171">
        <v>0.91</v>
      </c>
      <c r="U171">
        <v>0.91</v>
      </c>
      <c r="V171">
        <v>95</v>
      </c>
      <c r="W171">
        <v>2685.6000000000004</v>
      </c>
      <c r="X171">
        <v>2517.75</v>
      </c>
      <c r="AA171">
        <v>10076</v>
      </c>
      <c r="AB171">
        <v>5805</v>
      </c>
      <c r="AN171">
        <v>4</v>
      </c>
      <c r="AO171" t="s">
        <v>512</v>
      </c>
      <c r="AP171">
        <v>4.4000000000000004</v>
      </c>
      <c r="AQ171">
        <v>1.07</v>
      </c>
      <c r="AR171">
        <v>47.272878670483941</v>
      </c>
    </row>
    <row r="172" spans="2:44">
      <c r="C172">
        <v>105</v>
      </c>
      <c r="D172">
        <v>0.3729520405123623</v>
      </c>
      <c r="E172">
        <v>0.16919868930592785</v>
      </c>
      <c r="F172">
        <v>9.6514745308311056E-2</v>
      </c>
      <c r="G172">
        <v>5.4215072981828878E-2</v>
      </c>
      <c r="H172">
        <v>2.8299076556449306E-2</v>
      </c>
      <c r="I172">
        <v>1.7873100983020456E-2</v>
      </c>
      <c r="J172">
        <v>0.26094727435210002</v>
      </c>
      <c r="K172">
        <v>0.36282394995531725</v>
      </c>
      <c r="L172">
        <v>0.41733690795352985</v>
      </c>
      <c r="M172">
        <v>0.45963658028001203</v>
      </c>
      <c r="N172">
        <v>0.49851057491808137</v>
      </c>
      <c r="O172">
        <v>0.52040512362228197</v>
      </c>
      <c r="P172">
        <v>0.92</v>
      </c>
      <c r="Q172">
        <v>0.92</v>
      </c>
      <c r="R172">
        <v>0.91</v>
      </c>
      <c r="S172">
        <v>0.91</v>
      </c>
      <c r="T172">
        <v>0.9</v>
      </c>
      <c r="U172">
        <v>0.9</v>
      </c>
      <c r="V172">
        <v>105</v>
      </c>
      <c r="W172">
        <v>2685.6000000000004</v>
      </c>
      <c r="X172">
        <v>2517.75</v>
      </c>
      <c r="AA172">
        <v>10076</v>
      </c>
      <c r="AB172">
        <v>5805</v>
      </c>
      <c r="AO172" t="s">
        <v>513</v>
      </c>
      <c r="AP172">
        <v>3.5</v>
      </c>
      <c r="AQ172">
        <v>1.06</v>
      </c>
      <c r="AR172">
        <v>67.076941776961888</v>
      </c>
    </row>
    <row r="173" spans="2:44">
      <c r="C173">
        <v>115</v>
      </c>
      <c r="D173">
        <v>0.4122728626750074</v>
      </c>
      <c r="E173">
        <v>0.19064641048555298</v>
      </c>
      <c r="F173">
        <v>0.11081322609472721</v>
      </c>
      <c r="G173">
        <v>6.1364313375037172E-2</v>
      </c>
      <c r="H173">
        <v>3.2767351802204268E-2</v>
      </c>
      <c r="I173">
        <v>2.0851951146857433E-2</v>
      </c>
      <c r="J173">
        <v>0.26511766458147151</v>
      </c>
      <c r="K173">
        <v>0.37593089067619873</v>
      </c>
      <c r="L173">
        <v>0.43580577896931805</v>
      </c>
      <c r="M173">
        <v>0.48525469168900809</v>
      </c>
      <c r="N173">
        <v>0.5281501340482575</v>
      </c>
      <c r="O173">
        <v>0.55317247542448578</v>
      </c>
      <c r="P173">
        <v>0.92</v>
      </c>
      <c r="Q173">
        <v>0.92</v>
      </c>
      <c r="R173">
        <v>0.91</v>
      </c>
      <c r="S173">
        <v>0.91</v>
      </c>
      <c r="T173">
        <v>0.89</v>
      </c>
      <c r="U173">
        <v>0.89</v>
      </c>
      <c r="V173">
        <v>115</v>
      </c>
      <c r="W173">
        <v>2685.6000000000004</v>
      </c>
      <c r="X173">
        <v>2517.75</v>
      </c>
      <c r="AA173">
        <v>10076</v>
      </c>
      <c r="AB173">
        <v>5805</v>
      </c>
      <c r="AO173" t="s">
        <v>514</v>
      </c>
      <c r="AP173">
        <v>2.5</v>
      </c>
      <c r="AQ173">
        <v>1.2</v>
      </c>
      <c r="AR173">
        <v>107.62109502225995</v>
      </c>
    </row>
    <row r="174" spans="2:44">
      <c r="C174">
        <v>125</v>
      </c>
      <c r="D174">
        <v>0.4504021447721176</v>
      </c>
      <c r="E174">
        <v>0.21090259159964253</v>
      </c>
      <c r="F174">
        <v>0.12392016681560936</v>
      </c>
      <c r="G174">
        <v>6.9705093833780152E-2</v>
      </c>
      <c r="H174">
        <v>3.6739152020653386E-2</v>
      </c>
      <c r="I174">
        <v>2.3830801310694129E-2</v>
      </c>
      <c r="J174">
        <v>0.2683943997616921</v>
      </c>
      <c r="K174">
        <v>0.38814417634792964</v>
      </c>
      <c r="L174">
        <v>0.45338099493595452</v>
      </c>
      <c r="M174">
        <v>0.50759606791778378</v>
      </c>
      <c r="N174">
        <v>0.55704498063747387</v>
      </c>
      <c r="O174">
        <v>0.58415251712838834</v>
      </c>
      <c r="P174">
        <v>0.91</v>
      </c>
      <c r="Q174">
        <v>0.90500000000000003</v>
      </c>
      <c r="R174">
        <v>0.89</v>
      </c>
      <c r="S174">
        <v>0.88500000000000001</v>
      </c>
      <c r="T174">
        <v>0.875</v>
      </c>
      <c r="U174">
        <v>0.875</v>
      </c>
      <c r="V174">
        <v>125</v>
      </c>
      <c r="W174">
        <v>2685.6000000000004</v>
      </c>
      <c r="X174">
        <v>2517.75</v>
      </c>
      <c r="AA174">
        <v>10076</v>
      </c>
      <c r="AB174">
        <v>5805</v>
      </c>
      <c r="AO174" t="s">
        <v>515</v>
      </c>
      <c r="AP174">
        <v>1.8</v>
      </c>
      <c r="AQ174">
        <v>1.23</v>
      </c>
      <c r="AR174">
        <v>212.4695185765402</v>
      </c>
    </row>
    <row r="175" spans="2:44">
      <c r="C175">
        <v>135</v>
      </c>
      <c r="D175">
        <v>0.48733988680369378</v>
      </c>
      <c r="E175">
        <v>0.23235031277926721</v>
      </c>
      <c r="F175">
        <v>0.13583556747095615</v>
      </c>
      <c r="G175">
        <v>7.8045874292522896E-2</v>
      </c>
      <c r="H175">
        <v>4.1207427266408532E-2</v>
      </c>
      <c r="I175">
        <v>2.6064938933571789E-2</v>
      </c>
      <c r="J175">
        <v>0.27077747989276135</v>
      </c>
      <c r="K175">
        <v>0.39827226690497464</v>
      </c>
      <c r="L175">
        <v>0.47065832588620793</v>
      </c>
      <c r="M175">
        <v>0.52844801906464123</v>
      </c>
      <c r="N175">
        <v>0.58370568960381275</v>
      </c>
      <c r="O175">
        <v>0.61550491510276995</v>
      </c>
      <c r="P175">
        <v>0.9</v>
      </c>
      <c r="Q175">
        <v>0.89</v>
      </c>
      <c r="R175">
        <v>0.87</v>
      </c>
      <c r="S175">
        <v>0.86</v>
      </c>
      <c r="T175">
        <v>0.86</v>
      </c>
      <c r="U175">
        <v>0.86</v>
      </c>
      <c r="V175">
        <v>135</v>
      </c>
      <c r="W175">
        <v>2685.6000000000004</v>
      </c>
      <c r="X175">
        <v>2517.75</v>
      </c>
      <c r="AA175">
        <v>10076</v>
      </c>
      <c r="AB175">
        <v>5805</v>
      </c>
    </row>
    <row r="176" spans="2:44">
      <c r="C176">
        <v>145</v>
      </c>
      <c r="D176">
        <v>0.52189454870419993</v>
      </c>
      <c r="E176">
        <v>0.25260649389335743</v>
      </c>
      <c r="F176">
        <v>0.15013404825737275</v>
      </c>
      <c r="G176">
        <v>8.5790884718498425E-2</v>
      </c>
      <c r="H176">
        <v>4.5675702512163859E-2</v>
      </c>
      <c r="I176">
        <v>2.9788501638367521E-2</v>
      </c>
      <c r="J176">
        <v>0.27286267500744721</v>
      </c>
      <c r="K176">
        <v>0.40750670241286846</v>
      </c>
      <c r="L176">
        <v>0.48436103663985697</v>
      </c>
      <c r="M176">
        <v>0.54870420017873123</v>
      </c>
      <c r="N176">
        <v>0.60887697348823311</v>
      </c>
      <c r="O176">
        <v>0.64224009532320547</v>
      </c>
      <c r="P176">
        <v>0.9</v>
      </c>
      <c r="Q176">
        <v>0.88</v>
      </c>
      <c r="R176">
        <v>0.85499999999999998</v>
      </c>
      <c r="S176">
        <v>0.84499999999999997</v>
      </c>
      <c r="T176">
        <v>0.84</v>
      </c>
      <c r="U176">
        <v>0.84</v>
      </c>
      <c r="V176">
        <v>145</v>
      </c>
      <c r="W176">
        <v>2685.6000000000004</v>
      </c>
      <c r="X176">
        <v>2517.75</v>
      </c>
      <c r="AA176">
        <v>10076</v>
      </c>
      <c r="AB176">
        <v>5805</v>
      </c>
    </row>
    <row r="177" spans="2:28">
      <c r="C177">
        <v>155</v>
      </c>
      <c r="D177">
        <v>0.55644921060470676</v>
      </c>
      <c r="E177">
        <v>0.27405421507298167</v>
      </c>
      <c r="F177">
        <v>0.16324098897825445</v>
      </c>
      <c r="G177">
        <v>9.3535895144474163E-2</v>
      </c>
      <c r="H177">
        <v>5.0143977757918637E-2</v>
      </c>
      <c r="I177">
        <v>3.2767351802204497E-2</v>
      </c>
      <c r="J177">
        <v>0.27375633005659805</v>
      </c>
      <c r="K177">
        <v>0.4149538278224606</v>
      </c>
      <c r="L177">
        <v>0.49806374739350601</v>
      </c>
      <c r="M177">
        <v>0.56776884122728632</v>
      </c>
      <c r="N177">
        <v>0.63285671730711957</v>
      </c>
      <c r="O177">
        <v>0.66934763181411927</v>
      </c>
      <c r="P177">
        <v>0.9</v>
      </c>
      <c r="Q177">
        <v>0.87</v>
      </c>
      <c r="R177">
        <v>0.84</v>
      </c>
      <c r="S177">
        <v>0.83</v>
      </c>
      <c r="T177">
        <v>0.82</v>
      </c>
      <c r="U177">
        <v>0.82</v>
      </c>
      <c r="V177">
        <v>155</v>
      </c>
      <c r="W177">
        <v>2685.6000000000004</v>
      </c>
      <c r="X177">
        <v>2517.75</v>
      </c>
      <c r="AA177">
        <v>10076</v>
      </c>
      <c r="AB177">
        <v>5805</v>
      </c>
    </row>
    <row r="178" spans="2:28">
      <c r="B178">
        <v>3</v>
      </c>
      <c r="C178">
        <v>15</v>
      </c>
      <c r="D178">
        <v>0</v>
      </c>
      <c r="E178">
        <v>0</v>
      </c>
      <c r="F178">
        <v>0</v>
      </c>
      <c r="G178">
        <v>0</v>
      </c>
      <c r="H178">
        <v>0</v>
      </c>
      <c r="I178">
        <v>0</v>
      </c>
      <c r="J178">
        <v>0</v>
      </c>
      <c r="K178">
        <v>0</v>
      </c>
      <c r="L178">
        <v>0</v>
      </c>
      <c r="M178">
        <v>0</v>
      </c>
      <c r="N178">
        <v>0</v>
      </c>
      <c r="O178">
        <v>0</v>
      </c>
      <c r="P178">
        <v>0</v>
      </c>
      <c r="Q178">
        <v>0</v>
      </c>
      <c r="R178">
        <v>0</v>
      </c>
      <c r="S178">
        <v>0</v>
      </c>
      <c r="T178">
        <v>0</v>
      </c>
      <c r="U178">
        <v>0</v>
      </c>
    </row>
    <row r="179" spans="2:28">
      <c r="C179">
        <v>25</v>
      </c>
      <c r="D179">
        <v>0</v>
      </c>
      <c r="E179">
        <v>0</v>
      </c>
      <c r="F179">
        <v>0</v>
      </c>
      <c r="G179">
        <v>0</v>
      </c>
      <c r="H179">
        <v>0</v>
      </c>
      <c r="I179">
        <v>0</v>
      </c>
      <c r="J179">
        <v>0</v>
      </c>
      <c r="K179">
        <v>0</v>
      </c>
      <c r="L179">
        <v>0</v>
      </c>
      <c r="M179">
        <v>0</v>
      </c>
      <c r="N179">
        <v>0</v>
      </c>
      <c r="O179">
        <v>0</v>
      </c>
      <c r="P179">
        <v>0</v>
      </c>
      <c r="Q179">
        <v>0</v>
      </c>
      <c r="R179">
        <v>0</v>
      </c>
      <c r="S179">
        <v>0</v>
      </c>
      <c r="T179">
        <v>0</v>
      </c>
      <c r="U179">
        <v>0</v>
      </c>
    </row>
    <row r="180" spans="2:28">
      <c r="C180">
        <v>35</v>
      </c>
      <c r="D180">
        <v>0</v>
      </c>
      <c r="E180">
        <v>0</v>
      </c>
      <c r="F180">
        <v>0</v>
      </c>
      <c r="G180">
        <v>0</v>
      </c>
      <c r="H180">
        <v>0</v>
      </c>
      <c r="I180">
        <v>0</v>
      </c>
      <c r="J180">
        <v>0</v>
      </c>
      <c r="K180">
        <v>0</v>
      </c>
      <c r="L180">
        <v>0</v>
      </c>
      <c r="M180">
        <v>0</v>
      </c>
      <c r="N180">
        <v>0</v>
      </c>
      <c r="O180">
        <v>0</v>
      </c>
      <c r="P180">
        <v>0</v>
      </c>
      <c r="Q180">
        <v>0</v>
      </c>
      <c r="R180">
        <v>0</v>
      </c>
      <c r="S180">
        <v>0</v>
      </c>
      <c r="T180">
        <v>0</v>
      </c>
      <c r="U180">
        <v>0</v>
      </c>
    </row>
    <row r="181" spans="2:28">
      <c r="C181">
        <v>45</v>
      </c>
      <c r="D181">
        <v>0</v>
      </c>
      <c r="E181">
        <v>0</v>
      </c>
      <c r="F181">
        <v>0</v>
      </c>
      <c r="G181">
        <v>0</v>
      </c>
      <c r="H181">
        <v>0</v>
      </c>
      <c r="I181">
        <v>0</v>
      </c>
      <c r="J181">
        <v>0</v>
      </c>
      <c r="K181">
        <v>0</v>
      </c>
      <c r="L181">
        <v>0</v>
      </c>
      <c r="M181">
        <v>0</v>
      </c>
      <c r="N181">
        <v>0</v>
      </c>
      <c r="O181">
        <v>0</v>
      </c>
      <c r="P181">
        <v>0</v>
      </c>
      <c r="Q181">
        <v>0</v>
      </c>
      <c r="R181">
        <v>0</v>
      </c>
      <c r="S181">
        <v>0</v>
      </c>
      <c r="T181">
        <v>0</v>
      </c>
      <c r="U181">
        <v>0</v>
      </c>
    </row>
    <row r="182" spans="2:28">
      <c r="C182">
        <v>55</v>
      </c>
      <c r="D182">
        <v>0</v>
      </c>
      <c r="E182">
        <v>0</v>
      </c>
      <c r="F182">
        <v>0</v>
      </c>
      <c r="G182">
        <v>0</v>
      </c>
      <c r="H182">
        <v>0</v>
      </c>
      <c r="I182">
        <v>0</v>
      </c>
      <c r="J182">
        <v>0</v>
      </c>
      <c r="K182">
        <v>0</v>
      </c>
      <c r="L182">
        <v>0</v>
      </c>
      <c r="M182">
        <v>0</v>
      </c>
      <c r="N182">
        <v>0</v>
      </c>
      <c r="O182">
        <v>0</v>
      </c>
      <c r="P182">
        <v>0</v>
      </c>
      <c r="Q182">
        <v>0</v>
      </c>
      <c r="R182">
        <v>0</v>
      </c>
      <c r="S182">
        <v>0</v>
      </c>
      <c r="T182">
        <v>0</v>
      </c>
      <c r="U182">
        <v>0</v>
      </c>
    </row>
    <row r="183" spans="2:28">
      <c r="C183">
        <v>65</v>
      </c>
      <c r="D183">
        <v>0</v>
      </c>
      <c r="E183">
        <v>0</v>
      </c>
      <c r="F183">
        <v>0</v>
      </c>
      <c r="G183">
        <v>0</v>
      </c>
      <c r="H183">
        <v>0</v>
      </c>
      <c r="I183">
        <v>0</v>
      </c>
      <c r="J183">
        <v>0</v>
      </c>
      <c r="K183">
        <v>0</v>
      </c>
      <c r="L183">
        <v>0</v>
      </c>
      <c r="M183">
        <v>0</v>
      </c>
      <c r="N183">
        <v>0</v>
      </c>
      <c r="O183">
        <v>0</v>
      </c>
      <c r="P183">
        <v>0</v>
      </c>
      <c r="Q183">
        <v>0</v>
      </c>
      <c r="R183">
        <v>0</v>
      </c>
      <c r="S183">
        <v>0</v>
      </c>
      <c r="T183">
        <v>0</v>
      </c>
      <c r="U183">
        <v>0</v>
      </c>
    </row>
    <row r="184" spans="2:28">
      <c r="C184">
        <v>75</v>
      </c>
      <c r="D184">
        <v>0</v>
      </c>
      <c r="E184">
        <v>0</v>
      </c>
      <c r="F184">
        <v>0</v>
      </c>
      <c r="G184">
        <v>0</v>
      </c>
      <c r="H184">
        <v>0</v>
      </c>
      <c r="I184">
        <v>0</v>
      </c>
      <c r="J184">
        <v>0</v>
      </c>
      <c r="K184">
        <v>0</v>
      </c>
      <c r="L184">
        <v>0</v>
      </c>
      <c r="M184">
        <v>0</v>
      </c>
      <c r="N184">
        <v>0</v>
      </c>
      <c r="O184">
        <v>0</v>
      </c>
      <c r="P184">
        <v>0</v>
      </c>
      <c r="Q184">
        <v>0</v>
      </c>
      <c r="R184">
        <v>0</v>
      </c>
      <c r="S184">
        <v>0</v>
      </c>
      <c r="T184">
        <v>0</v>
      </c>
      <c r="U184">
        <v>0</v>
      </c>
    </row>
    <row r="185" spans="2:28">
      <c r="C185">
        <v>85</v>
      </c>
      <c r="D185">
        <v>0</v>
      </c>
      <c r="E185">
        <v>0</v>
      </c>
      <c r="F185">
        <v>0</v>
      </c>
      <c r="G185">
        <v>0</v>
      </c>
      <c r="H185">
        <v>0</v>
      </c>
      <c r="I185">
        <v>0</v>
      </c>
      <c r="J185">
        <v>0</v>
      </c>
      <c r="K185">
        <v>0</v>
      </c>
      <c r="L185">
        <v>0</v>
      </c>
      <c r="M185">
        <v>0</v>
      </c>
      <c r="N185">
        <v>0</v>
      </c>
      <c r="O185">
        <v>0</v>
      </c>
      <c r="P185">
        <v>0</v>
      </c>
      <c r="Q185">
        <v>0</v>
      </c>
      <c r="R185">
        <v>0</v>
      </c>
      <c r="S185">
        <v>0</v>
      </c>
      <c r="T185">
        <v>0</v>
      </c>
      <c r="U185">
        <v>0</v>
      </c>
    </row>
    <row r="186" spans="2:28">
      <c r="C186">
        <v>95</v>
      </c>
      <c r="D186">
        <v>0</v>
      </c>
      <c r="E186">
        <v>0</v>
      </c>
      <c r="F186">
        <v>0</v>
      </c>
      <c r="G186">
        <v>0</v>
      </c>
      <c r="H186">
        <v>0</v>
      </c>
      <c r="I186">
        <v>0</v>
      </c>
      <c r="J186">
        <v>0</v>
      </c>
      <c r="K186">
        <v>0</v>
      </c>
      <c r="L186">
        <v>0</v>
      </c>
      <c r="M186">
        <v>0</v>
      </c>
      <c r="N186">
        <v>0</v>
      </c>
      <c r="O186">
        <v>0</v>
      </c>
      <c r="P186">
        <v>0</v>
      </c>
      <c r="Q186">
        <v>0</v>
      </c>
      <c r="R186">
        <v>0</v>
      </c>
      <c r="S186">
        <v>0</v>
      </c>
      <c r="T186">
        <v>0</v>
      </c>
      <c r="U186">
        <v>0</v>
      </c>
    </row>
    <row r="187" spans="2:28">
      <c r="C187">
        <v>105</v>
      </c>
      <c r="D187">
        <v>0</v>
      </c>
      <c r="E187">
        <v>0</v>
      </c>
      <c r="F187">
        <v>0</v>
      </c>
      <c r="G187">
        <v>0</v>
      </c>
      <c r="H187">
        <v>0</v>
      </c>
      <c r="I187">
        <v>0</v>
      </c>
      <c r="J187">
        <v>0</v>
      </c>
      <c r="K187">
        <v>0</v>
      </c>
      <c r="L187">
        <v>0</v>
      </c>
      <c r="M187">
        <v>0</v>
      </c>
      <c r="N187">
        <v>0</v>
      </c>
      <c r="O187">
        <v>0</v>
      </c>
      <c r="P187">
        <v>0</v>
      </c>
      <c r="Q187">
        <v>0</v>
      </c>
      <c r="R187">
        <v>0</v>
      </c>
      <c r="S187">
        <v>0</v>
      </c>
      <c r="T187">
        <v>0</v>
      </c>
      <c r="U187">
        <v>0</v>
      </c>
    </row>
    <row r="188" spans="2:28">
      <c r="C188">
        <v>115</v>
      </c>
      <c r="D188">
        <v>0</v>
      </c>
      <c r="E188">
        <v>0</v>
      </c>
      <c r="F188">
        <v>0</v>
      </c>
      <c r="G188">
        <v>0</v>
      </c>
      <c r="H188">
        <v>0</v>
      </c>
      <c r="I188">
        <v>0</v>
      </c>
      <c r="J188">
        <v>0</v>
      </c>
      <c r="K188">
        <v>0</v>
      </c>
      <c r="L188">
        <v>0</v>
      </c>
      <c r="M188">
        <v>0</v>
      </c>
      <c r="N188">
        <v>0</v>
      </c>
      <c r="O188">
        <v>0</v>
      </c>
      <c r="P188">
        <v>0</v>
      </c>
      <c r="Q188">
        <v>0</v>
      </c>
      <c r="R188">
        <v>0</v>
      </c>
      <c r="S188">
        <v>0</v>
      </c>
      <c r="T188">
        <v>0</v>
      </c>
      <c r="U188">
        <v>0</v>
      </c>
    </row>
    <row r="189" spans="2:28">
      <c r="C189">
        <v>125</v>
      </c>
      <c r="D189">
        <v>0</v>
      </c>
      <c r="E189">
        <v>0</v>
      </c>
      <c r="F189">
        <v>0</v>
      </c>
      <c r="G189">
        <v>0</v>
      </c>
      <c r="H189">
        <v>0</v>
      </c>
      <c r="I189">
        <v>0</v>
      </c>
      <c r="J189">
        <v>0</v>
      </c>
      <c r="K189">
        <v>0</v>
      </c>
      <c r="L189">
        <v>0</v>
      </c>
      <c r="M189">
        <v>0</v>
      </c>
      <c r="N189">
        <v>0</v>
      </c>
      <c r="O189">
        <v>0</v>
      </c>
      <c r="P189">
        <v>0</v>
      </c>
      <c r="Q189">
        <v>0</v>
      </c>
      <c r="R189">
        <v>0</v>
      </c>
      <c r="S189">
        <v>0</v>
      </c>
      <c r="T189">
        <v>0</v>
      </c>
      <c r="U189">
        <v>0</v>
      </c>
    </row>
    <row r="190" spans="2:28">
      <c r="C190">
        <v>135</v>
      </c>
      <c r="D190">
        <v>0</v>
      </c>
      <c r="E190">
        <v>0</v>
      </c>
      <c r="F190">
        <v>0</v>
      </c>
      <c r="G190">
        <v>0</v>
      </c>
      <c r="H190">
        <v>0</v>
      </c>
      <c r="I190">
        <v>0</v>
      </c>
      <c r="J190">
        <v>0</v>
      </c>
      <c r="K190">
        <v>0</v>
      </c>
      <c r="L190">
        <v>0</v>
      </c>
      <c r="M190">
        <v>0</v>
      </c>
      <c r="N190">
        <v>0</v>
      </c>
      <c r="O190">
        <v>0</v>
      </c>
      <c r="P190">
        <v>0</v>
      </c>
      <c r="Q190">
        <v>0</v>
      </c>
      <c r="R190">
        <v>0</v>
      </c>
      <c r="S190">
        <v>0</v>
      </c>
      <c r="T190">
        <v>0</v>
      </c>
      <c r="U190">
        <v>0</v>
      </c>
    </row>
    <row r="191" spans="2:28">
      <c r="C191">
        <v>145</v>
      </c>
      <c r="D191">
        <v>0</v>
      </c>
      <c r="E191">
        <v>0</v>
      </c>
      <c r="F191">
        <v>0</v>
      </c>
      <c r="G191">
        <v>0</v>
      </c>
      <c r="H191">
        <v>0</v>
      </c>
      <c r="I191">
        <v>0</v>
      </c>
      <c r="J191">
        <v>0</v>
      </c>
      <c r="K191">
        <v>0</v>
      </c>
      <c r="L191">
        <v>0</v>
      </c>
      <c r="M191">
        <v>0</v>
      </c>
      <c r="N191">
        <v>0</v>
      </c>
      <c r="O191">
        <v>0</v>
      </c>
      <c r="P191">
        <v>0</v>
      </c>
      <c r="Q191">
        <v>0</v>
      </c>
      <c r="R191">
        <v>0</v>
      </c>
      <c r="S191">
        <v>0</v>
      </c>
      <c r="T191">
        <v>0</v>
      </c>
      <c r="U191">
        <v>0</v>
      </c>
    </row>
    <row r="192" spans="2:28">
      <c r="C192">
        <v>155</v>
      </c>
      <c r="D192">
        <v>0</v>
      </c>
      <c r="E192">
        <v>0</v>
      </c>
      <c r="F192">
        <v>0</v>
      </c>
      <c r="G192">
        <v>0</v>
      </c>
      <c r="H192">
        <v>0</v>
      </c>
      <c r="I192">
        <v>0</v>
      </c>
      <c r="J192">
        <v>0</v>
      </c>
      <c r="K192">
        <v>0</v>
      </c>
      <c r="L192">
        <v>0</v>
      </c>
      <c r="M192">
        <v>0</v>
      </c>
      <c r="N192">
        <v>0</v>
      </c>
      <c r="O192">
        <v>0</v>
      </c>
      <c r="P192">
        <v>0</v>
      </c>
      <c r="Q192">
        <v>0</v>
      </c>
      <c r="R192">
        <v>0</v>
      </c>
      <c r="S192">
        <v>0</v>
      </c>
      <c r="T192">
        <v>0</v>
      </c>
      <c r="U192">
        <v>0</v>
      </c>
    </row>
    <row r="193" spans="2:21">
      <c r="B193">
        <v>4</v>
      </c>
      <c r="C193">
        <v>15</v>
      </c>
      <c r="D193">
        <v>0.12096514745308309</v>
      </c>
      <c r="E193">
        <v>4.1703902293714679E-2</v>
      </c>
      <c r="F193">
        <v>2.1447721179624679E-2</v>
      </c>
      <c r="G193">
        <v>1.1319630622579669E-2</v>
      </c>
      <c r="H193">
        <v>5.4612253003674706E-3</v>
      </c>
      <c r="I193">
        <v>2.9788501638366967E-3</v>
      </c>
      <c r="J193">
        <v>0.22809651474530832</v>
      </c>
      <c r="K193">
        <v>0.24635090854929992</v>
      </c>
      <c r="L193">
        <v>0.26154304438486742</v>
      </c>
      <c r="M193">
        <v>0.27167113494191242</v>
      </c>
      <c r="N193">
        <v>0.28045874292523071</v>
      </c>
      <c r="O193">
        <v>0.28567173071194535</v>
      </c>
      <c r="P193">
        <v>0.81</v>
      </c>
      <c r="Q193">
        <v>0.86</v>
      </c>
      <c r="R193">
        <v>0.87</v>
      </c>
      <c r="S193">
        <v>0.87</v>
      </c>
      <c r="T193">
        <v>0.87</v>
      </c>
      <c r="U193">
        <v>0.87</v>
      </c>
    </row>
    <row r="194" spans="2:21">
      <c r="C194">
        <v>25</v>
      </c>
      <c r="D194">
        <v>0.27538873994638069</v>
      </c>
      <c r="E194">
        <v>0.10128090557044978</v>
      </c>
      <c r="F194">
        <v>5.4810843014596378E-2</v>
      </c>
      <c r="G194">
        <v>2.9192731605600295E-2</v>
      </c>
      <c r="H194">
        <v>1.4397775791877574E-2</v>
      </c>
      <c r="I194">
        <v>8.9365504915103668E-3</v>
      </c>
      <c r="J194">
        <v>0.29694369973190349</v>
      </c>
      <c r="K194">
        <v>0.35180220434912124</v>
      </c>
      <c r="L194">
        <v>0.38665475126601129</v>
      </c>
      <c r="M194">
        <v>0.41227286267500735</v>
      </c>
      <c r="N194">
        <v>0.43446529639559145</v>
      </c>
      <c r="O194">
        <v>0.4459338695263626</v>
      </c>
      <c r="P194">
        <v>0.81</v>
      </c>
      <c r="Q194">
        <v>0.86</v>
      </c>
      <c r="R194">
        <v>0.87</v>
      </c>
      <c r="S194">
        <v>0.87</v>
      </c>
      <c r="T194">
        <v>0.87</v>
      </c>
      <c r="U194">
        <v>0.87</v>
      </c>
    </row>
    <row r="195" spans="2:21">
      <c r="C195">
        <v>35</v>
      </c>
      <c r="D195">
        <v>0.44654155495978526</v>
      </c>
      <c r="E195">
        <v>0.1763479296991366</v>
      </c>
      <c r="F195">
        <v>8.6982424784033174E-2</v>
      </c>
      <c r="G195">
        <v>5.6598153112898238E-2</v>
      </c>
      <c r="H195">
        <v>2.6313176447224841E-2</v>
      </c>
      <c r="I195">
        <v>1.638367590110211E-2</v>
      </c>
      <c r="J195">
        <v>0.33008042895442369</v>
      </c>
      <c r="K195">
        <v>0.4241882633303542</v>
      </c>
      <c r="L195">
        <v>0.49121239201668176</v>
      </c>
      <c r="M195">
        <v>0.52159666368781665</v>
      </c>
      <c r="N195">
        <v>0.56702412868632679</v>
      </c>
      <c r="O195">
        <v>0.58787607983318457</v>
      </c>
      <c r="P195">
        <v>0.87</v>
      </c>
      <c r="Q195">
        <v>0.9</v>
      </c>
      <c r="R195">
        <v>0.93</v>
      </c>
      <c r="S195">
        <v>0.94</v>
      </c>
      <c r="T195">
        <v>0.96</v>
      </c>
      <c r="U195">
        <v>0.96</v>
      </c>
    </row>
    <row r="196" spans="2:21">
      <c r="C196">
        <v>45</v>
      </c>
      <c r="D196">
        <v>0.61769436997319027</v>
      </c>
      <c r="E196">
        <v>0.25618111408996125</v>
      </c>
      <c r="F196">
        <v>0.14417634792969913</v>
      </c>
      <c r="G196">
        <v>7.9237414358057576E-2</v>
      </c>
      <c r="H196">
        <v>4.0214477211796482E-2</v>
      </c>
      <c r="I196">
        <v>2.5320226392612478E-2</v>
      </c>
      <c r="J196">
        <v>0.34262734584450405</v>
      </c>
      <c r="K196">
        <v>0.47512660113196303</v>
      </c>
      <c r="L196">
        <v>0.55913017575215962</v>
      </c>
      <c r="M196">
        <v>0.62406910932380122</v>
      </c>
      <c r="N196">
        <v>0.68260351504319283</v>
      </c>
      <c r="O196">
        <v>0.71388144176347923</v>
      </c>
      <c r="P196">
        <v>0.87</v>
      </c>
      <c r="Q196">
        <v>0.91</v>
      </c>
      <c r="R196">
        <v>0.92</v>
      </c>
      <c r="S196">
        <v>0.92</v>
      </c>
      <c r="T196">
        <v>0.93</v>
      </c>
      <c r="U196">
        <v>0.93</v>
      </c>
    </row>
    <row r="197" spans="2:21">
      <c r="C197">
        <v>55</v>
      </c>
      <c r="D197">
        <v>0.77983914209115257</v>
      </c>
      <c r="E197">
        <v>0.3383973786118557</v>
      </c>
      <c r="F197">
        <v>0.19660411081322637</v>
      </c>
      <c r="G197">
        <v>0.10843014596365798</v>
      </c>
      <c r="H197">
        <v>5.6598153112898432E-2</v>
      </c>
      <c r="I197">
        <v>3.574620196604119E-2</v>
      </c>
      <c r="J197">
        <v>0.34359249329758723</v>
      </c>
      <c r="K197">
        <v>0.50997914804885314</v>
      </c>
      <c r="L197">
        <v>0.61632409889782513</v>
      </c>
      <c r="M197">
        <v>0.70449806374739354</v>
      </c>
      <c r="N197">
        <v>0.78224605302353289</v>
      </c>
      <c r="O197">
        <v>0.8260351504319331</v>
      </c>
      <c r="P197">
        <v>0.86</v>
      </c>
      <c r="Q197">
        <v>0.9</v>
      </c>
      <c r="R197">
        <v>0.9</v>
      </c>
      <c r="S197">
        <v>0.9</v>
      </c>
      <c r="T197">
        <v>0.9</v>
      </c>
      <c r="U197">
        <v>0.9</v>
      </c>
    </row>
    <row r="198" spans="2:21">
      <c r="C198">
        <v>65</v>
      </c>
      <c r="D198">
        <v>0.9291152815013406</v>
      </c>
      <c r="E198">
        <v>0.42299672326481952</v>
      </c>
      <c r="F198">
        <v>0.24903187369675317</v>
      </c>
      <c r="G198">
        <v>0.14000595770032753</v>
      </c>
      <c r="H198">
        <v>7.3974779068612981E-2</v>
      </c>
      <c r="I198">
        <v>4.6916890080428944E-2</v>
      </c>
      <c r="J198">
        <v>0.33812332439678289</v>
      </c>
      <c r="K198">
        <v>0.53172475424486165</v>
      </c>
      <c r="L198">
        <v>0.66219839142091141</v>
      </c>
      <c r="M198">
        <v>0.77122430741733705</v>
      </c>
      <c r="N198">
        <v>0.87027107536490889</v>
      </c>
      <c r="O198">
        <v>0.92709264224009535</v>
      </c>
      <c r="P198">
        <v>0.88500000000000001</v>
      </c>
      <c r="Q198">
        <v>0.91500000000000004</v>
      </c>
      <c r="R198">
        <v>0.94</v>
      </c>
      <c r="S198">
        <v>0.93500000000000005</v>
      </c>
      <c r="T198">
        <v>0.94500000000000006</v>
      </c>
      <c r="U198">
        <v>0.94500000000000006</v>
      </c>
    </row>
    <row r="199" spans="2:21">
      <c r="C199">
        <v>75</v>
      </c>
      <c r="D199">
        <v>1.0693833780160857</v>
      </c>
      <c r="E199">
        <v>0.50402144772117952</v>
      </c>
      <c r="F199">
        <v>0.30265117664581487</v>
      </c>
      <c r="G199">
        <v>0.17277330950253172</v>
      </c>
      <c r="H199">
        <v>9.2344355078939774E-2</v>
      </c>
      <c r="I199">
        <v>5.8832290735775727E-2</v>
      </c>
      <c r="J199">
        <v>0.32750670241286867</v>
      </c>
      <c r="K199">
        <v>0.54632112004766165</v>
      </c>
      <c r="L199">
        <v>0.69734882335418513</v>
      </c>
      <c r="M199">
        <v>0.82722669049746833</v>
      </c>
      <c r="N199">
        <v>0.94787012213285626</v>
      </c>
      <c r="O199">
        <v>1.0182454572535007</v>
      </c>
      <c r="P199">
        <v>0.91</v>
      </c>
      <c r="Q199">
        <v>0.93</v>
      </c>
      <c r="R199">
        <v>0.98</v>
      </c>
      <c r="S199">
        <v>0.97</v>
      </c>
      <c r="T199">
        <v>0.99</v>
      </c>
      <c r="U199">
        <v>0.99</v>
      </c>
    </row>
    <row r="200" spans="2:21">
      <c r="C200">
        <v>85</v>
      </c>
      <c r="D200">
        <v>1.1954959785522787</v>
      </c>
      <c r="E200">
        <v>0.58266309204647015</v>
      </c>
      <c r="F200">
        <v>0.35627047959487657</v>
      </c>
      <c r="G200">
        <v>0.20673220137027062</v>
      </c>
      <c r="H200">
        <v>0.11121040611657276</v>
      </c>
      <c r="I200">
        <v>7.149240393208238E-2</v>
      </c>
      <c r="J200">
        <v>0.31560321715817707</v>
      </c>
      <c r="K200">
        <v>0.55436401549002079</v>
      </c>
      <c r="L200">
        <v>0.72415847482871598</v>
      </c>
      <c r="M200">
        <v>0.87369675305332195</v>
      </c>
      <c r="N200">
        <v>1.0169794459338688</v>
      </c>
      <c r="O200">
        <v>1.1003872505212986</v>
      </c>
      <c r="P200">
        <v>0.91</v>
      </c>
      <c r="Q200">
        <v>0.92500000000000004</v>
      </c>
      <c r="R200">
        <v>0.94500000000000006</v>
      </c>
      <c r="S200">
        <v>0.94</v>
      </c>
      <c r="T200">
        <v>0.95</v>
      </c>
      <c r="U200">
        <v>0.95</v>
      </c>
    </row>
    <row r="201" spans="2:21">
      <c r="C201">
        <v>95</v>
      </c>
      <c r="D201">
        <v>1.3100268096514742</v>
      </c>
      <c r="E201">
        <v>0.66011319630622634</v>
      </c>
      <c r="F201">
        <v>0.40988978254393782</v>
      </c>
      <c r="G201">
        <v>0.24009532320524296</v>
      </c>
      <c r="H201">
        <v>0.13057293218151086</v>
      </c>
      <c r="I201">
        <v>8.415251712838849E-2</v>
      </c>
      <c r="J201">
        <v>0.30273458445040213</v>
      </c>
      <c r="K201">
        <v>0.55674709562108982</v>
      </c>
      <c r="L201">
        <v>0.7444146559428062</v>
      </c>
      <c r="M201">
        <v>0.91420911528150106</v>
      </c>
      <c r="N201">
        <v>1.0784927018170993</v>
      </c>
      <c r="O201">
        <v>1.1759755734286563</v>
      </c>
      <c r="P201">
        <v>0.91</v>
      </c>
      <c r="Q201">
        <v>0.92</v>
      </c>
      <c r="R201">
        <v>0.91</v>
      </c>
      <c r="S201">
        <v>0.91</v>
      </c>
      <c r="T201">
        <v>0.91</v>
      </c>
      <c r="U201">
        <v>0.91</v>
      </c>
    </row>
    <row r="202" spans="2:21">
      <c r="C202">
        <v>105</v>
      </c>
      <c r="D202">
        <v>1.4155495978552279</v>
      </c>
      <c r="E202">
        <v>0.73279714030384335</v>
      </c>
      <c r="F202">
        <v>0.46112600536192971</v>
      </c>
      <c r="G202">
        <v>0.27405421507298189</v>
      </c>
      <c r="H202">
        <v>0.15043193327375629</v>
      </c>
      <c r="I202">
        <v>9.830205540661266E-2</v>
      </c>
      <c r="J202">
        <v>0.28922252010723865</v>
      </c>
      <c r="K202">
        <v>0.55674709562108993</v>
      </c>
      <c r="L202">
        <v>0.76050044682752516</v>
      </c>
      <c r="M202">
        <v>0.94757223711647298</v>
      </c>
      <c r="N202">
        <v>1.1330056598153115</v>
      </c>
      <c r="O202">
        <v>1.242478403336313</v>
      </c>
      <c r="P202">
        <v>0.92</v>
      </c>
      <c r="Q202">
        <v>0.92</v>
      </c>
      <c r="R202">
        <v>0.91</v>
      </c>
      <c r="S202">
        <v>0.91</v>
      </c>
      <c r="T202">
        <v>0.9</v>
      </c>
      <c r="U202">
        <v>0.9</v>
      </c>
    </row>
    <row r="203" spans="2:21">
      <c r="C203">
        <v>115</v>
      </c>
      <c r="D203">
        <v>1.5107774798927613</v>
      </c>
      <c r="E203">
        <v>0.80190646410485567</v>
      </c>
      <c r="F203">
        <v>0.5123622281799225</v>
      </c>
      <c r="G203">
        <v>0.30801310694072076</v>
      </c>
      <c r="H203">
        <v>0.17078740939330753</v>
      </c>
      <c r="I203">
        <v>0.11170688114387863</v>
      </c>
      <c r="J203">
        <v>0.27603217158176957</v>
      </c>
      <c r="K203">
        <v>0.55406613047363718</v>
      </c>
      <c r="L203">
        <v>0.77122430741733705</v>
      </c>
      <c r="M203">
        <v>0.97557342865653873</v>
      </c>
      <c r="N203">
        <v>1.1814119749776588</v>
      </c>
      <c r="O203">
        <v>1.3054810843014595</v>
      </c>
      <c r="P203">
        <v>0.92</v>
      </c>
      <c r="Q203">
        <v>0.92</v>
      </c>
      <c r="R203">
        <v>0.91</v>
      </c>
      <c r="S203">
        <v>0.91</v>
      </c>
      <c r="T203">
        <v>0.89</v>
      </c>
      <c r="U203">
        <v>0.89</v>
      </c>
    </row>
    <row r="204" spans="2:21">
      <c r="C204">
        <v>125</v>
      </c>
      <c r="D204">
        <v>1.5957104557640758</v>
      </c>
      <c r="E204">
        <v>0.86982424784033308</v>
      </c>
      <c r="F204">
        <v>0.56240691093238038</v>
      </c>
      <c r="G204">
        <v>0.34078045874292479</v>
      </c>
      <c r="H204">
        <v>0.19114288551285916</v>
      </c>
      <c r="I204">
        <v>0.12585641942210279</v>
      </c>
      <c r="J204">
        <v>0.26380697050938329</v>
      </c>
      <c r="K204">
        <v>0.54810843014596411</v>
      </c>
      <c r="L204">
        <v>0.77867143282692863</v>
      </c>
      <c r="M204">
        <v>1.0002978850163842</v>
      </c>
      <c r="N204">
        <v>1.2247542448614828</v>
      </c>
      <c r="O204">
        <v>1.361855823652071</v>
      </c>
      <c r="P204">
        <v>0.91</v>
      </c>
      <c r="Q204">
        <v>0.90500000000000003</v>
      </c>
      <c r="R204">
        <v>0.89</v>
      </c>
      <c r="S204">
        <v>0.88500000000000001</v>
      </c>
      <c r="T204">
        <v>0.875</v>
      </c>
      <c r="U204">
        <v>0.875</v>
      </c>
    </row>
    <row r="205" spans="2:21">
      <c r="C205">
        <v>135</v>
      </c>
      <c r="D205">
        <v>1.6754959785522794</v>
      </c>
      <c r="E205">
        <v>0.93178433124813775</v>
      </c>
      <c r="F205">
        <v>0.61126005361930336</v>
      </c>
      <c r="G205">
        <v>0.37414358057789665</v>
      </c>
      <c r="H205">
        <v>0.21149836163241004</v>
      </c>
      <c r="I205">
        <v>0.13926124515936822</v>
      </c>
      <c r="J205">
        <v>0.25126005361930276</v>
      </c>
      <c r="K205">
        <v>0.5424486148346741</v>
      </c>
      <c r="L205">
        <v>0.7828418230562999</v>
      </c>
      <c r="M205">
        <v>1.0199582960977067</v>
      </c>
      <c r="N205">
        <v>1.2639261245159366</v>
      </c>
      <c r="O205">
        <v>1.4156240691093245</v>
      </c>
      <c r="P205">
        <v>0.9</v>
      </c>
      <c r="Q205">
        <v>0.89</v>
      </c>
      <c r="R205">
        <v>0.87</v>
      </c>
      <c r="S205">
        <v>0.86</v>
      </c>
      <c r="T205">
        <v>0.86</v>
      </c>
      <c r="U205">
        <v>0.86</v>
      </c>
    </row>
    <row r="206" spans="2:21">
      <c r="C206">
        <v>145</v>
      </c>
      <c r="D206">
        <v>1.7462734584450401</v>
      </c>
      <c r="E206">
        <v>0.99255287459040797</v>
      </c>
      <c r="F206">
        <v>0.65773011617515653</v>
      </c>
      <c r="G206">
        <v>0.40691093238010062</v>
      </c>
      <c r="H206">
        <v>0.23185383775196128</v>
      </c>
      <c r="I206">
        <v>0.15341078343759348</v>
      </c>
      <c r="J206">
        <v>0.24000000000000013</v>
      </c>
      <c r="K206">
        <v>0.53440571939231463</v>
      </c>
      <c r="L206">
        <v>0.78552278820375321</v>
      </c>
      <c r="M206">
        <v>1.0363419719988092</v>
      </c>
      <c r="N206">
        <v>1.2989276139410182</v>
      </c>
      <c r="O206">
        <v>1.4636580280011906</v>
      </c>
      <c r="P206">
        <v>0.9</v>
      </c>
      <c r="Q206">
        <v>0.88</v>
      </c>
      <c r="R206">
        <v>0.85499999999999998</v>
      </c>
      <c r="S206">
        <v>0.84499999999999997</v>
      </c>
      <c r="T206">
        <v>0.84</v>
      </c>
      <c r="U206">
        <v>0.84</v>
      </c>
    </row>
    <row r="207" spans="2:21">
      <c r="C207">
        <v>155</v>
      </c>
      <c r="D207">
        <v>1.8119034852546925</v>
      </c>
      <c r="E207">
        <v>1.0497467977360735</v>
      </c>
      <c r="F207">
        <v>0.70420017873100971</v>
      </c>
      <c r="G207">
        <v>0.43848674411677063</v>
      </c>
      <c r="H207">
        <v>0.25220931387151219</v>
      </c>
      <c r="I207">
        <v>0.16756032171581822</v>
      </c>
      <c r="J207">
        <v>0.22906166219839116</v>
      </c>
      <c r="K207">
        <v>0.52606493893357187</v>
      </c>
      <c r="L207">
        <v>0.7852249031873697</v>
      </c>
      <c r="M207">
        <v>1.0509383378016088</v>
      </c>
      <c r="N207">
        <v>1.3303544831694967</v>
      </c>
      <c r="O207">
        <v>1.5081173666964538</v>
      </c>
      <c r="P207">
        <v>0.9</v>
      </c>
      <c r="Q207">
        <v>0.87</v>
      </c>
      <c r="R207">
        <v>0.84</v>
      </c>
      <c r="S207">
        <v>0.83</v>
      </c>
      <c r="T207">
        <v>0.82</v>
      </c>
      <c r="U207">
        <v>0.82</v>
      </c>
    </row>
    <row r="213" spans="2:44">
      <c r="B213">
        <v>2</v>
      </c>
      <c r="C213">
        <v>15</v>
      </c>
      <c r="D213">
        <v>1.4662756598240456E-2</v>
      </c>
      <c r="E213">
        <v>4.8875855327468187E-3</v>
      </c>
      <c r="F213">
        <v>2.9325513196480912E-3</v>
      </c>
      <c r="G213">
        <v>1.4662756598240443E-3</v>
      </c>
      <c r="H213">
        <v>8.1459758879113577E-4</v>
      </c>
      <c r="I213">
        <v>6.109481915933518E-4</v>
      </c>
      <c r="J213">
        <v>7.575757575757576E-2</v>
      </c>
      <c r="K213">
        <v>8.0645161290322578E-2</v>
      </c>
      <c r="L213">
        <v>8.2111436950146624E-2</v>
      </c>
      <c r="M213">
        <v>8.357771260997067E-2</v>
      </c>
      <c r="N213">
        <v>8.4555229716520033E-2</v>
      </c>
      <c r="O213">
        <v>8.498289345063538E-2</v>
      </c>
      <c r="P213">
        <v>0.88</v>
      </c>
      <c r="Q213">
        <v>0.92</v>
      </c>
      <c r="R213">
        <v>0.93</v>
      </c>
      <c r="S213">
        <v>0.94</v>
      </c>
      <c r="T213">
        <v>0.94</v>
      </c>
      <c r="U213">
        <v>0.94</v>
      </c>
      <c r="V213">
        <v>15</v>
      </c>
      <c r="Y213">
        <v>3273.6000000000004</v>
      </c>
      <c r="Z213">
        <v>3150</v>
      </c>
      <c r="AC213">
        <v>13700</v>
      </c>
      <c r="AD213">
        <v>9548</v>
      </c>
      <c r="AE213">
        <v>2</v>
      </c>
      <c r="AF213">
        <f t="shared" ref="AF213:AF217" si="2">AE213*12-6</f>
        <v>18</v>
      </c>
      <c r="AG213">
        <v>10</v>
      </c>
      <c r="AH213">
        <v>1</v>
      </c>
      <c r="AI213">
        <v>2</v>
      </c>
      <c r="AJ213">
        <v>16</v>
      </c>
      <c r="AK213">
        <v>12</v>
      </c>
      <c r="AL213">
        <v>4</v>
      </c>
      <c r="AM213">
        <v>1.25</v>
      </c>
      <c r="AN213">
        <v>2</v>
      </c>
      <c r="AO213" t="s">
        <v>512</v>
      </c>
      <c r="AP213">
        <v>7.2</v>
      </c>
      <c r="AQ213">
        <v>1.2</v>
      </c>
      <c r="AR213">
        <v>7.2283249155484413</v>
      </c>
    </row>
    <row r="214" spans="2:44">
      <c r="C214">
        <v>25</v>
      </c>
      <c r="D214">
        <v>3.7145650048875878E-2</v>
      </c>
      <c r="E214">
        <v>1.4662756598240456E-2</v>
      </c>
      <c r="F214">
        <v>6.8426197458455462E-3</v>
      </c>
      <c r="G214">
        <v>3.9100684261974515E-3</v>
      </c>
      <c r="H214">
        <v>1.6291951775822715E-3</v>
      </c>
      <c r="I214">
        <v>1.2218963831867036E-3</v>
      </c>
      <c r="J214">
        <v>0.11070381231671553</v>
      </c>
      <c r="K214">
        <v>0.12194525904203324</v>
      </c>
      <c r="L214">
        <v>0.12781036168132942</v>
      </c>
      <c r="M214">
        <v>0.13074291300097751</v>
      </c>
      <c r="N214">
        <v>0.13416422287390029</v>
      </c>
      <c r="O214">
        <v>0.13501955034213098</v>
      </c>
      <c r="P214">
        <v>0.88</v>
      </c>
      <c r="Q214">
        <v>0.92</v>
      </c>
      <c r="R214">
        <v>0.93</v>
      </c>
      <c r="S214">
        <v>0.94</v>
      </c>
      <c r="T214">
        <v>0.94</v>
      </c>
      <c r="U214">
        <v>0.94</v>
      </c>
      <c r="V214">
        <v>25</v>
      </c>
      <c r="Y214">
        <v>3273.6000000000004</v>
      </c>
      <c r="Z214">
        <v>3150</v>
      </c>
      <c r="AC214">
        <v>13700</v>
      </c>
      <c r="AD214">
        <v>9548</v>
      </c>
      <c r="AE214">
        <f t="shared" ref="AE214:AE217" si="3">AE213+1</f>
        <v>3</v>
      </c>
      <c r="AF214">
        <f t="shared" si="2"/>
        <v>30</v>
      </c>
      <c r="AG214">
        <v>10</v>
      </c>
      <c r="AH214">
        <v>1</v>
      </c>
      <c r="AI214">
        <v>2</v>
      </c>
      <c r="AJ214">
        <v>16</v>
      </c>
      <c r="AK214">
        <v>12</v>
      </c>
      <c r="AL214">
        <v>4</v>
      </c>
      <c r="AM214">
        <v>2.08</v>
      </c>
      <c r="AO214" t="s">
        <v>513</v>
      </c>
      <c r="AP214">
        <v>5.7</v>
      </c>
      <c r="AQ214">
        <v>1.2</v>
      </c>
      <c r="AR214">
        <v>11.238067343825312</v>
      </c>
    </row>
    <row r="215" spans="2:44">
      <c r="C215">
        <v>35</v>
      </c>
      <c r="D215">
        <v>7.1358748778103553E-2</v>
      </c>
      <c r="E215">
        <v>2.5415444770283568E-2</v>
      </c>
      <c r="F215">
        <v>9.7751710654936375E-3</v>
      </c>
      <c r="G215">
        <v>7.3313782991202212E-3</v>
      </c>
      <c r="H215">
        <v>3.2583903551645431E-3</v>
      </c>
      <c r="I215">
        <v>3.0547409579667591E-3</v>
      </c>
      <c r="J215">
        <v>0.1370967741935484</v>
      </c>
      <c r="K215">
        <v>0.1600684261974584</v>
      </c>
      <c r="L215">
        <v>0.17179863147605084</v>
      </c>
      <c r="M215">
        <v>0.17424242424242425</v>
      </c>
      <c r="N215">
        <v>0.18035190615835778</v>
      </c>
      <c r="O215">
        <v>0.18077956989247312</v>
      </c>
      <c r="P215">
        <v>0.88</v>
      </c>
      <c r="Q215">
        <v>0.92</v>
      </c>
      <c r="R215">
        <v>0.93</v>
      </c>
      <c r="S215">
        <v>0.94</v>
      </c>
      <c r="T215">
        <v>0.94</v>
      </c>
      <c r="U215">
        <v>0.94</v>
      </c>
      <c r="V215">
        <v>35</v>
      </c>
      <c r="Y215">
        <v>3273.6000000000004</v>
      </c>
      <c r="Z215">
        <v>3150</v>
      </c>
      <c r="AC215">
        <v>13700</v>
      </c>
      <c r="AD215">
        <v>9548</v>
      </c>
      <c r="AE215">
        <f t="shared" si="3"/>
        <v>4</v>
      </c>
      <c r="AF215">
        <f t="shared" si="2"/>
        <v>42</v>
      </c>
      <c r="AG215">
        <v>10</v>
      </c>
      <c r="AH215">
        <v>1</v>
      </c>
      <c r="AI215">
        <v>2</v>
      </c>
      <c r="AJ215">
        <v>16</v>
      </c>
      <c r="AK215">
        <v>12</v>
      </c>
      <c r="AL215">
        <v>4</v>
      </c>
      <c r="AM215">
        <v>2.92</v>
      </c>
      <c r="AO215" t="s">
        <v>514</v>
      </c>
      <c r="AP215">
        <v>4.8</v>
      </c>
      <c r="AQ215">
        <v>1.23</v>
      </c>
      <c r="AR215">
        <v>22.290331974232714</v>
      </c>
    </row>
    <row r="216" spans="2:44">
      <c r="C216">
        <v>45</v>
      </c>
      <c r="D216">
        <v>9.9706744868035213E-2</v>
      </c>
      <c r="E216">
        <v>3.910068426197455E-2</v>
      </c>
      <c r="F216">
        <v>2.1505376344086002E-2</v>
      </c>
      <c r="G216">
        <v>1.1241446725317728E-2</v>
      </c>
      <c r="H216">
        <v>5.7021831215379503E-3</v>
      </c>
      <c r="I216">
        <v>3.0547409579666897E-3</v>
      </c>
      <c r="J216">
        <v>0.15835777126099707</v>
      </c>
      <c r="K216">
        <v>0.1886608015640274</v>
      </c>
      <c r="L216">
        <v>0.20185728250244381</v>
      </c>
      <c r="M216">
        <v>0.21212121212121207</v>
      </c>
      <c r="N216">
        <v>0.22043010752688175</v>
      </c>
      <c r="O216">
        <v>0.22598973607038139</v>
      </c>
      <c r="P216">
        <v>0.88</v>
      </c>
      <c r="Q216">
        <v>0.92</v>
      </c>
      <c r="R216">
        <v>0.93</v>
      </c>
      <c r="S216">
        <v>0.94</v>
      </c>
      <c r="T216">
        <v>0.94</v>
      </c>
      <c r="U216">
        <v>0.94</v>
      </c>
      <c r="V216">
        <v>45</v>
      </c>
      <c r="Y216">
        <v>3273.6000000000004</v>
      </c>
      <c r="Z216">
        <v>3150</v>
      </c>
      <c r="AC216">
        <v>13700</v>
      </c>
      <c r="AD216">
        <v>9548</v>
      </c>
      <c r="AE216">
        <f t="shared" si="3"/>
        <v>5</v>
      </c>
      <c r="AF216">
        <f t="shared" si="2"/>
        <v>54</v>
      </c>
      <c r="AG216">
        <v>10</v>
      </c>
      <c r="AH216">
        <v>1</v>
      </c>
      <c r="AI216">
        <v>2</v>
      </c>
      <c r="AJ216">
        <v>16</v>
      </c>
      <c r="AK216">
        <v>12</v>
      </c>
      <c r="AL216">
        <v>4</v>
      </c>
      <c r="AM216">
        <v>3.75</v>
      </c>
      <c r="AO216" t="s">
        <v>515</v>
      </c>
      <c r="AP216">
        <v>3.4</v>
      </c>
      <c r="AQ216">
        <v>1.3</v>
      </c>
      <c r="AR216">
        <v>37.250447222332966</v>
      </c>
    </row>
    <row r="217" spans="2:44">
      <c r="C217">
        <v>55</v>
      </c>
      <c r="D217">
        <v>0.13587487781036167</v>
      </c>
      <c r="E217">
        <v>5.4740957966764481E-2</v>
      </c>
      <c r="F217">
        <v>3.0303030303030276E-2</v>
      </c>
      <c r="G217">
        <v>1.6129032258064488E-2</v>
      </c>
      <c r="H217">
        <v>8.145975887911449E-3</v>
      </c>
      <c r="I217">
        <v>4.8875855327466756E-3</v>
      </c>
      <c r="J217">
        <v>0.17497556207233625</v>
      </c>
      <c r="K217">
        <v>0.21554252199413484</v>
      </c>
      <c r="L217">
        <v>0.2338709677419355</v>
      </c>
      <c r="M217">
        <v>0.24804496578690127</v>
      </c>
      <c r="N217">
        <v>0.26001955034213087</v>
      </c>
      <c r="O217">
        <v>0.26686217008797686</v>
      </c>
      <c r="P217">
        <v>0.88</v>
      </c>
      <c r="Q217">
        <v>0.92</v>
      </c>
      <c r="R217">
        <v>0.93</v>
      </c>
      <c r="S217">
        <v>0.94</v>
      </c>
      <c r="T217">
        <v>0.94</v>
      </c>
      <c r="U217">
        <v>0.94</v>
      </c>
      <c r="V217">
        <v>55</v>
      </c>
      <c r="Y217">
        <v>3273.6000000000004</v>
      </c>
      <c r="Z217">
        <v>3150</v>
      </c>
      <c r="AC217">
        <v>13700</v>
      </c>
      <c r="AD217">
        <v>9548</v>
      </c>
      <c r="AE217">
        <f t="shared" si="3"/>
        <v>6</v>
      </c>
      <c r="AF217">
        <f t="shared" si="2"/>
        <v>66</v>
      </c>
      <c r="AG217">
        <v>10</v>
      </c>
      <c r="AH217">
        <v>1</v>
      </c>
      <c r="AI217">
        <v>2</v>
      </c>
      <c r="AJ217">
        <v>16</v>
      </c>
      <c r="AK217">
        <v>12</v>
      </c>
      <c r="AL217">
        <v>4</v>
      </c>
      <c r="AM217">
        <v>4.58</v>
      </c>
      <c r="AN217">
        <v>3</v>
      </c>
      <c r="AO217" t="s">
        <v>512</v>
      </c>
      <c r="AP217">
        <v>7.2</v>
      </c>
      <c r="AQ217">
        <v>1.2</v>
      </c>
      <c r="AR217">
        <v>11.623512417367033</v>
      </c>
    </row>
    <row r="218" spans="2:44">
      <c r="C218">
        <v>65</v>
      </c>
      <c r="D218">
        <v>0.17008797653958929</v>
      </c>
      <c r="E218">
        <v>7.0381231671554412E-2</v>
      </c>
      <c r="F218">
        <v>3.910068426197455E-2</v>
      </c>
      <c r="G218">
        <v>2.1016617790811414E-2</v>
      </c>
      <c r="H218">
        <v>1.099706744868024E-2</v>
      </c>
      <c r="I218">
        <v>6.7204301075268697E-3</v>
      </c>
      <c r="J218">
        <v>0.1867057673509287</v>
      </c>
      <c r="K218">
        <v>0.23655913978494614</v>
      </c>
      <c r="L218">
        <v>0.26001955034213103</v>
      </c>
      <c r="M218">
        <v>0.27810361681329415</v>
      </c>
      <c r="N218">
        <v>0.29313294232649095</v>
      </c>
      <c r="O218">
        <v>0.30211388074291301</v>
      </c>
      <c r="P218">
        <v>0.88</v>
      </c>
      <c r="Q218">
        <v>0.92</v>
      </c>
      <c r="R218">
        <v>0.93</v>
      </c>
      <c r="S218">
        <v>0.94</v>
      </c>
      <c r="T218">
        <v>0.94</v>
      </c>
      <c r="U218">
        <v>0.94</v>
      </c>
      <c r="V218">
        <v>65</v>
      </c>
      <c r="Y218">
        <v>3273.6000000000004</v>
      </c>
      <c r="Z218">
        <v>3150</v>
      </c>
      <c r="AC218">
        <v>13700</v>
      </c>
      <c r="AD218">
        <v>9548</v>
      </c>
      <c r="AO218" t="s">
        <v>513</v>
      </c>
      <c r="AP218">
        <v>5.7</v>
      </c>
      <c r="AQ218">
        <v>1.2</v>
      </c>
      <c r="AR218">
        <v>18.04703243749092</v>
      </c>
    </row>
    <row r="219" spans="2:44">
      <c r="C219">
        <v>75</v>
      </c>
      <c r="D219">
        <v>0.20723362658846545</v>
      </c>
      <c r="E219">
        <v>8.7976539589442737E-2</v>
      </c>
      <c r="F219">
        <v>4.8875855327468187E-2</v>
      </c>
      <c r="G219">
        <v>2.6881720430107479E-2</v>
      </c>
      <c r="H219">
        <v>1.3848159009449308E-2</v>
      </c>
      <c r="I219">
        <v>8.5532746823070646E-3</v>
      </c>
      <c r="J219">
        <v>0.19672531769305956</v>
      </c>
      <c r="K219">
        <v>0.25635386119257092</v>
      </c>
      <c r="L219">
        <v>0.28567937438905183</v>
      </c>
      <c r="M219">
        <v>0.30767350928641257</v>
      </c>
      <c r="N219">
        <v>0.32722385141739979</v>
      </c>
      <c r="O219">
        <v>0.33834310850439853</v>
      </c>
      <c r="P219">
        <v>0.88</v>
      </c>
      <c r="Q219">
        <v>0.92</v>
      </c>
      <c r="R219">
        <v>0.93</v>
      </c>
      <c r="S219">
        <v>0.94</v>
      </c>
      <c r="T219">
        <v>0.94</v>
      </c>
      <c r="U219">
        <v>0.94</v>
      </c>
      <c r="V219">
        <v>75</v>
      </c>
      <c r="Y219">
        <v>3273.6000000000004</v>
      </c>
      <c r="Z219">
        <v>3150</v>
      </c>
      <c r="AC219">
        <v>13700</v>
      </c>
      <c r="AD219">
        <v>9548</v>
      </c>
      <c r="AO219" t="s">
        <v>514</v>
      </c>
      <c r="AP219">
        <v>4.8</v>
      </c>
      <c r="AQ219">
        <v>1.23</v>
      </c>
      <c r="AR219">
        <v>36.094064874981839</v>
      </c>
    </row>
    <row r="220" spans="2:44">
      <c r="C220">
        <v>85</v>
      </c>
      <c r="D220">
        <v>0.2404692082111437</v>
      </c>
      <c r="E220">
        <v>0.10459433040078214</v>
      </c>
      <c r="F220">
        <v>5.9628543499511188E-2</v>
      </c>
      <c r="G220">
        <v>3.2258064516129087E-2</v>
      </c>
      <c r="H220">
        <v>1.6699250570218191E-2</v>
      </c>
      <c r="I220">
        <v>1.038611925708712E-2</v>
      </c>
      <c r="J220">
        <v>0.20405669599217985</v>
      </c>
      <c r="K220">
        <v>0.27199413489736063</v>
      </c>
      <c r="L220">
        <v>0.30571847507331384</v>
      </c>
      <c r="M220">
        <v>0.33308895405669592</v>
      </c>
      <c r="N220">
        <v>0.35642717497556231</v>
      </c>
      <c r="O220">
        <v>0.36968475073313756</v>
      </c>
      <c r="P220">
        <v>0.88</v>
      </c>
      <c r="Q220">
        <v>0.92</v>
      </c>
      <c r="R220">
        <v>0.93</v>
      </c>
      <c r="S220">
        <v>0.94</v>
      </c>
      <c r="T220">
        <v>0.94</v>
      </c>
      <c r="U220">
        <v>0.94</v>
      </c>
      <c r="V220">
        <v>85</v>
      </c>
      <c r="Y220">
        <v>3273.6000000000004</v>
      </c>
      <c r="Z220">
        <v>3150</v>
      </c>
      <c r="AC220">
        <v>13700</v>
      </c>
      <c r="AD220">
        <v>9548</v>
      </c>
      <c r="AO220" t="s">
        <v>515</v>
      </c>
      <c r="AP220">
        <v>3.4</v>
      </c>
      <c r="AQ220">
        <v>1.3</v>
      </c>
      <c r="AR220">
        <v>60.258735426876463</v>
      </c>
    </row>
    <row r="221" spans="2:44">
      <c r="C221">
        <v>95</v>
      </c>
      <c r="D221">
        <v>0.2756598240469208</v>
      </c>
      <c r="E221">
        <v>0.12316715542522005</v>
      </c>
      <c r="F221">
        <v>7.038123167155419E-2</v>
      </c>
      <c r="G221">
        <v>3.8611925708699944E-2</v>
      </c>
      <c r="H221">
        <v>1.9957640925382734E-2</v>
      </c>
      <c r="I221">
        <v>1.2829912023460387E-2</v>
      </c>
      <c r="J221">
        <v>0.21041055718475071</v>
      </c>
      <c r="K221">
        <v>0.28665689149560108</v>
      </c>
      <c r="L221">
        <v>0.32624633431085048</v>
      </c>
      <c r="M221">
        <v>0.35801564027370475</v>
      </c>
      <c r="N221">
        <v>0.38599706744868056</v>
      </c>
      <c r="O221">
        <v>0.40096529814271747</v>
      </c>
      <c r="P221">
        <v>0.88</v>
      </c>
      <c r="Q221">
        <v>0.92</v>
      </c>
      <c r="R221">
        <v>0.93</v>
      </c>
      <c r="S221">
        <v>0.94</v>
      </c>
      <c r="T221">
        <v>0.94</v>
      </c>
      <c r="U221">
        <v>0.94</v>
      </c>
      <c r="V221">
        <v>95</v>
      </c>
      <c r="Y221">
        <v>3273.6000000000004</v>
      </c>
      <c r="Z221">
        <v>3150</v>
      </c>
      <c r="AC221">
        <v>13700</v>
      </c>
      <c r="AD221">
        <v>9548</v>
      </c>
      <c r="AN221">
        <v>4</v>
      </c>
      <c r="AO221" t="s">
        <v>512</v>
      </c>
      <c r="AP221">
        <v>7.2</v>
      </c>
      <c r="AQ221">
        <v>1.2</v>
      </c>
      <c r="AR221">
        <v>16.038079017986739</v>
      </c>
    </row>
    <row r="222" spans="2:44">
      <c r="C222">
        <v>105</v>
      </c>
      <c r="D222">
        <v>0.30889540566959917</v>
      </c>
      <c r="E222">
        <v>0.13978494623655924</v>
      </c>
      <c r="F222">
        <v>8.0156402737047827E-2</v>
      </c>
      <c r="G222">
        <v>4.4965786901270802E-2</v>
      </c>
      <c r="H222">
        <v>2.3216031280547368E-2</v>
      </c>
      <c r="I222">
        <v>1.4662756598240442E-2</v>
      </c>
      <c r="J222">
        <v>0.21432062561094822</v>
      </c>
      <c r="K222">
        <v>0.29887585532746819</v>
      </c>
      <c r="L222">
        <v>0.34359726295210175</v>
      </c>
      <c r="M222">
        <v>0.37878787878787878</v>
      </c>
      <c r="N222">
        <v>0.41141251221896391</v>
      </c>
      <c r="O222">
        <v>0.42937438905180847</v>
      </c>
      <c r="P222">
        <v>0.88</v>
      </c>
      <c r="Q222">
        <v>0.92</v>
      </c>
      <c r="R222">
        <v>0.93</v>
      </c>
      <c r="S222">
        <v>0.94</v>
      </c>
      <c r="T222">
        <v>0.94</v>
      </c>
      <c r="U222">
        <v>0.94</v>
      </c>
      <c r="V222">
        <v>105</v>
      </c>
      <c r="Y222">
        <v>3273.6000000000004</v>
      </c>
      <c r="Z222">
        <v>3150</v>
      </c>
      <c r="AC222">
        <v>13700</v>
      </c>
      <c r="AD222">
        <v>9548</v>
      </c>
      <c r="AO222" t="s">
        <v>513</v>
      </c>
      <c r="AP222">
        <v>5.7</v>
      </c>
      <c r="AQ222">
        <v>1.2</v>
      </c>
      <c r="AR222">
        <v>24.934824343884856</v>
      </c>
    </row>
    <row r="223" spans="2:44">
      <c r="C223">
        <v>115</v>
      </c>
      <c r="D223">
        <v>0.34213098729227753</v>
      </c>
      <c r="E223">
        <v>0.15738025415444779</v>
      </c>
      <c r="F223">
        <v>9.1886608015640192E-2</v>
      </c>
      <c r="G223">
        <v>5.1319648093841659E-2</v>
      </c>
      <c r="H223">
        <v>2.7289019224503046E-2</v>
      </c>
      <c r="I223">
        <v>1.7106549364613852E-2</v>
      </c>
      <c r="J223">
        <v>0.21823069403714568</v>
      </c>
      <c r="K223">
        <v>0.31060606060606055</v>
      </c>
      <c r="L223">
        <v>0.35972629521016625</v>
      </c>
      <c r="M223">
        <v>0.40029325513196479</v>
      </c>
      <c r="N223">
        <v>0.43633919843597269</v>
      </c>
      <c r="O223">
        <v>0.45772238514174002</v>
      </c>
      <c r="P223">
        <v>0.88</v>
      </c>
      <c r="Q223">
        <v>0.92</v>
      </c>
      <c r="R223">
        <v>0.93</v>
      </c>
      <c r="S223">
        <v>0.94</v>
      </c>
      <c r="T223">
        <v>0.94</v>
      </c>
      <c r="U223">
        <v>0.94</v>
      </c>
      <c r="V223">
        <v>115</v>
      </c>
      <c r="Y223">
        <v>3273.6000000000004</v>
      </c>
      <c r="Z223">
        <v>3150</v>
      </c>
      <c r="AC223">
        <v>13700</v>
      </c>
      <c r="AD223">
        <v>9548</v>
      </c>
      <c r="AO223" t="s">
        <v>514</v>
      </c>
      <c r="AP223">
        <v>4.8</v>
      </c>
      <c r="AQ223">
        <v>1.23</v>
      </c>
      <c r="AR223">
        <v>49.457392925284147</v>
      </c>
    </row>
    <row r="224" spans="2:44">
      <c r="C224">
        <v>125</v>
      </c>
      <c r="D224">
        <v>0.37243401759530803</v>
      </c>
      <c r="E224">
        <v>0.17497556207233611</v>
      </c>
      <c r="F224">
        <v>0.10263929618768342</v>
      </c>
      <c r="G224">
        <v>5.7673509286412412E-2</v>
      </c>
      <c r="H224">
        <v>3.0547409579667777E-2</v>
      </c>
      <c r="I224">
        <v>1.9550342130987258E-2</v>
      </c>
      <c r="J224">
        <v>0.22091886608015637</v>
      </c>
      <c r="K224">
        <v>0.31964809384164233</v>
      </c>
      <c r="L224">
        <v>0.37390029325513185</v>
      </c>
      <c r="M224">
        <v>0.41886608015640286</v>
      </c>
      <c r="N224">
        <v>0.45955522971651985</v>
      </c>
      <c r="O224">
        <v>0.4826490713587489</v>
      </c>
      <c r="P224">
        <v>0.88</v>
      </c>
      <c r="Q224">
        <v>0.92</v>
      </c>
      <c r="R224">
        <v>0.93</v>
      </c>
      <c r="S224">
        <v>0.94</v>
      </c>
      <c r="T224">
        <v>0.94</v>
      </c>
      <c r="U224">
        <v>0.94</v>
      </c>
      <c r="V224">
        <v>125</v>
      </c>
      <c r="Y224">
        <v>3273.6000000000004</v>
      </c>
      <c r="Z224">
        <v>3150</v>
      </c>
      <c r="AC224">
        <v>13700</v>
      </c>
      <c r="AD224">
        <v>9548</v>
      </c>
      <c r="AO224" t="s">
        <v>515</v>
      </c>
      <c r="AP224">
        <v>3.4</v>
      </c>
      <c r="AQ224">
        <v>1.3</v>
      </c>
      <c r="AR224">
        <v>82.650631091863659</v>
      </c>
    </row>
    <row r="225" spans="2:44">
      <c r="C225">
        <v>135</v>
      </c>
      <c r="D225">
        <v>0.40273704789833831</v>
      </c>
      <c r="E225">
        <v>0.19257086999022488</v>
      </c>
      <c r="F225">
        <v>0.11339198435972619</v>
      </c>
      <c r="G225">
        <v>6.4516129032257952E-2</v>
      </c>
      <c r="H225">
        <v>3.4213098729227703E-2</v>
      </c>
      <c r="I225">
        <v>2.1994134897360663E-2</v>
      </c>
      <c r="J225">
        <v>0.2228739002932551</v>
      </c>
      <c r="K225">
        <v>0.32795698924731181</v>
      </c>
      <c r="L225">
        <v>0.38734115347018583</v>
      </c>
      <c r="M225">
        <v>0.43621700879765407</v>
      </c>
      <c r="N225">
        <v>0.48167155425219943</v>
      </c>
      <c r="O225">
        <v>0.50733137829912023</v>
      </c>
      <c r="P225">
        <v>0.88</v>
      </c>
      <c r="Q225">
        <v>0.92</v>
      </c>
      <c r="R225">
        <v>0.93</v>
      </c>
      <c r="S225">
        <v>0.94</v>
      </c>
      <c r="T225">
        <v>0.94</v>
      </c>
      <c r="U225">
        <v>0.94</v>
      </c>
      <c r="V225">
        <v>135</v>
      </c>
      <c r="Y225">
        <v>3273.6000000000004</v>
      </c>
      <c r="Z225">
        <v>3150</v>
      </c>
      <c r="AC225">
        <v>13700</v>
      </c>
      <c r="AD225">
        <v>9548</v>
      </c>
      <c r="AN225">
        <v>5</v>
      </c>
      <c r="AO225" t="s">
        <v>512</v>
      </c>
      <c r="AP225">
        <v>7.2</v>
      </c>
      <c r="AQ225">
        <v>1.2</v>
      </c>
    </row>
    <row r="226" spans="2:44">
      <c r="C226">
        <v>145</v>
      </c>
      <c r="D226">
        <v>0.43304007820136814</v>
      </c>
      <c r="E226">
        <v>0.20918866080156429</v>
      </c>
      <c r="F226">
        <v>0.1241446725317692</v>
      </c>
      <c r="G226">
        <v>7.0869990224828802E-2</v>
      </c>
      <c r="H226">
        <v>3.8286086673183381E-2</v>
      </c>
      <c r="I226">
        <v>2.4437927663734073E-2</v>
      </c>
      <c r="J226">
        <v>0.22385141739980463</v>
      </c>
      <c r="K226">
        <v>0.33577712609970656</v>
      </c>
      <c r="L226">
        <v>0.39956011730205288</v>
      </c>
      <c r="M226">
        <v>0.45283479960899325</v>
      </c>
      <c r="N226">
        <v>0.50171065493646139</v>
      </c>
      <c r="O226">
        <v>0.53079178885630496</v>
      </c>
      <c r="P226">
        <v>0.88</v>
      </c>
      <c r="Q226">
        <v>0.92</v>
      </c>
      <c r="R226">
        <v>0.93</v>
      </c>
      <c r="S226">
        <v>0.94</v>
      </c>
      <c r="T226">
        <v>0.94</v>
      </c>
      <c r="U226">
        <v>0.94</v>
      </c>
      <c r="V226">
        <v>145</v>
      </c>
      <c r="Y226">
        <v>3273.6000000000004</v>
      </c>
      <c r="Z226">
        <v>3150</v>
      </c>
      <c r="AC226">
        <v>13700</v>
      </c>
      <c r="AD226">
        <v>9548</v>
      </c>
      <c r="AO226" t="s">
        <v>513</v>
      </c>
      <c r="AP226">
        <v>5.7</v>
      </c>
      <c r="AQ226">
        <v>1.2</v>
      </c>
    </row>
    <row r="227" spans="2:44">
      <c r="C227">
        <v>155</v>
      </c>
      <c r="D227">
        <v>0.46041055718475055</v>
      </c>
      <c r="E227">
        <v>0.22678396871945283</v>
      </c>
      <c r="F227">
        <v>0.1348973607038122</v>
      </c>
      <c r="G227">
        <v>7.7712609970674348E-2</v>
      </c>
      <c r="H227">
        <v>4.1544477028347924E-2</v>
      </c>
      <c r="I227">
        <v>2.6881720430107479E-2</v>
      </c>
      <c r="J227">
        <v>0.22507331378299122</v>
      </c>
      <c r="K227">
        <v>0.34188660801564008</v>
      </c>
      <c r="L227">
        <v>0.41080156402737056</v>
      </c>
      <c r="M227">
        <v>0.46798631476050839</v>
      </c>
      <c r="N227">
        <v>0.52223851417399803</v>
      </c>
      <c r="O227">
        <v>0.55303030303030298</v>
      </c>
      <c r="P227">
        <v>0.88</v>
      </c>
      <c r="Q227">
        <v>0.92</v>
      </c>
      <c r="R227">
        <v>0.93</v>
      </c>
      <c r="S227">
        <v>0.94</v>
      </c>
      <c r="T227">
        <v>0.94</v>
      </c>
      <c r="U227">
        <v>0.94</v>
      </c>
      <c r="V227">
        <v>155</v>
      </c>
      <c r="Y227">
        <v>3273.6000000000004</v>
      </c>
      <c r="Z227">
        <v>3150</v>
      </c>
      <c r="AC227">
        <v>13700</v>
      </c>
      <c r="AD227">
        <v>9548</v>
      </c>
      <c r="AO227" t="s">
        <v>514</v>
      </c>
      <c r="AP227">
        <v>4.8</v>
      </c>
      <c r="AQ227">
        <v>1.23</v>
      </c>
    </row>
    <row r="228" spans="2:44">
      <c r="B228">
        <v>3</v>
      </c>
      <c r="C228">
        <v>15</v>
      </c>
      <c r="D228">
        <v>3.7145650048875933E-2</v>
      </c>
      <c r="E228">
        <v>1.2707722385141729E-2</v>
      </c>
      <c r="F228">
        <v>6.8426197458455462E-3</v>
      </c>
      <c r="G228">
        <v>3.4213098729228256E-3</v>
      </c>
      <c r="H228">
        <v>1.6291951775822251E-3</v>
      </c>
      <c r="I228">
        <v>1.2218963831867036E-3</v>
      </c>
      <c r="J228">
        <v>0.11656891495601168</v>
      </c>
      <c r="K228">
        <v>0.12878787878787878</v>
      </c>
      <c r="L228">
        <v>0.13318670576735092</v>
      </c>
      <c r="M228">
        <v>0.13660801564027364</v>
      </c>
      <c r="N228">
        <v>0.13929618768328456</v>
      </c>
      <c r="O228">
        <v>0.14015151515151514</v>
      </c>
      <c r="P228">
        <v>0.88</v>
      </c>
      <c r="Q228">
        <v>0.92</v>
      </c>
      <c r="R228">
        <v>0.93</v>
      </c>
      <c r="S228">
        <v>0.94</v>
      </c>
      <c r="T228">
        <v>0.94</v>
      </c>
      <c r="U228">
        <v>0.94</v>
      </c>
      <c r="AO228" t="s">
        <v>515</v>
      </c>
      <c r="AP228">
        <v>3.4</v>
      </c>
      <c r="AQ228">
        <v>1.3</v>
      </c>
    </row>
    <row r="229" spans="2:44">
      <c r="C229">
        <v>25</v>
      </c>
      <c r="D229">
        <v>8.6999022482893484E-2</v>
      </c>
      <c r="E229">
        <v>3.4213098729227731E-2</v>
      </c>
      <c r="F229">
        <v>1.8572825024437911E-2</v>
      </c>
      <c r="G229">
        <v>9.2864125122189469E-3</v>
      </c>
      <c r="H229">
        <v>4.4802867383512465E-3</v>
      </c>
      <c r="I229">
        <v>3.0547409579668285E-3</v>
      </c>
      <c r="J229">
        <v>0.16471163245356793</v>
      </c>
      <c r="K229">
        <v>0.19110459433040081</v>
      </c>
      <c r="L229">
        <v>0.20283479960899317</v>
      </c>
      <c r="M229">
        <v>0.21212121212121213</v>
      </c>
      <c r="N229">
        <v>0.21933040078201368</v>
      </c>
      <c r="O229">
        <v>0.22232404692082097</v>
      </c>
      <c r="P229">
        <v>0.88</v>
      </c>
      <c r="Q229">
        <v>0.92</v>
      </c>
      <c r="R229">
        <v>0.93</v>
      </c>
      <c r="S229">
        <v>0.94</v>
      </c>
      <c r="T229">
        <v>0.94</v>
      </c>
      <c r="U229">
        <v>0.94</v>
      </c>
      <c r="AN229">
        <v>6</v>
      </c>
      <c r="AO229" t="s">
        <v>512</v>
      </c>
      <c r="AP229">
        <v>7.2</v>
      </c>
      <c r="AQ229">
        <v>1.2</v>
      </c>
      <c r="AR229">
        <v>23.799585696680207</v>
      </c>
    </row>
    <row r="230" spans="2:44">
      <c r="C230">
        <v>35</v>
      </c>
      <c r="D230">
        <v>0.15151515151515138</v>
      </c>
      <c r="E230">
        <v>6.0606060606060774E-2</v>
      </c>
      <c r="F230">
        <v>3.2258064516129004E-2</v>
      </c>
      <c r="G230">
        <v>1.7106549364613852E-2</v>
      </c>
      <c r="H230">
        <v>8.5532746823069258E-3</v>
      </c>
      <c r="I230">
        <v>4.8875855327468144E-3</v>
      </c>
      <c r="J230">
        <v>0.19599217986314765</v>
      </c>
      <c r="K230">
        <v>0.24144672531769296</v>
      </c>
      <c r="L230">
        <v>0.26270772238514178</v>
      </c>
      <c r="M230">
        <v>0.27785923753665692</v>
      </c>
      <c r="N230">
        <v>0.29068914956011732</v>
      </c>
      <c r="O230">
        <v>0.29838709677419356</v>
      </c>
      <c r="P230">
        <v>0.88</v>
      </c>
      <c r="Q230">
        <v>0.92</v>
      </c>
      <c r="R230">
        <v>0.93</v>
      </c>
      <c r="S230">
        <v>0.94</v>
      </c>
      <c r="T230">
        <v>0.94</v>
      </c>
      <c r="U230">
        <v>0.94</v>
      </c>
      <c r="AO230" t="s">
        <v>513</v>
      </c>
      <c r="AP230">
        <v>5.7</v>
      </c>
      <c r="AQ230">
        <v>1.2</v>
      </c>
      <c r="AR230">
        <v>37.001843433893356</v>
      </c>
    </row>
    <row r="231" spans="2:44">
      <c r="C231">
        <v>45</v>
      </c>
      <c r="D231">
        <v>0.21994134897360729</v>
      </c>
      <c r="E231">
        <v>8.9931573802541465E-2</v>
      </c>
      <c r="F231">
        <v>4.9853372434017551E-2</v>
      </c>
      <c r="G231">
        <v>2.6392961876832797E-2</v>
      </c>
      <c r="H231">
        <v>1.3440860215053739E-2</v>
      </c>
      <c r="I231">
        <v>8.5532746823069258E-3</v>
      </c>
      <c r="J231">
        <v>0.21676441837732152</v>
      </c>
      <c r="K231">
        <v>0.28176930596285443</v>
      </c>
      <c r="L231">
        <v>0.31182795698924737</v>
      </c>
      <c r="M231">
        <v>0.3352883675464321</v>
      </c>
      <c r="N231">
        <v>0.3547165200391007</v>
      </c>
      <c r="O231">
        <v>0.36498044965786902</v>
      </c>
      <c r="P231">
        <v>0.88</v>
      </c>
      <c r="Q231">
        <v>0.92</v>
      </c>
      <c r="R231">
        <v>0.93</v>
      </c>
      <c r="S231">
        <v>0.94</v>
      </c>
      <c r="T231">
        <v>0.94</v>
      </c>
      <c r="U231">
        <v>0.94</v>
      </c>
      <c r="AO231" t="s">
        <v>514</v>
      </c>
      <c r="AP231">
        <v>4.8</v>
      </c>
      <c r="AQ231">
        <v>1.23</v>
      </c>
      <c r="AR231">
        <v>73.391923056346343</v>
      </c>
    </row>
    <row r="232" spans="2:44">
      <c r="C232">
        <v>55</v>
      </c>
      <c r="D232">
        <v>0.28739002932551316</v>
      </c>
      <c r="E232">
        <v>0.12316715542522005</v>
      </c>
      <c r="F232">
        <v>6.9403714565004826E-2</v>
      </c>
      <c r="G232">
        <v>3.7145650048875899E-2</v>
      </c>
      <c r="H232">
        <v>1.8735744542196123E-2</v>
      </c>
      <c r="I232">
        <v>1.1608015640273684E-2</v>
      </c>
      <c r="J232">
        <v>0.23093841642228741</v>
      </c>
      <c r="K232">
        <v>0.31304985337243396</v>
      </c>
      <c r="L232">
        <v>0.35337243401759538</v>
      </c>
      <c r="M232">
        <v>0.38563049853372433</v>
      </c>
      <c r="N232">
        <v>0.41324535679374397</v>
      </c>
      <c r="O232">
        <v>0.4282135874877811</v>
      </c>
      <c r="P232">
        <v>0.88</v>
      </c>
      <c r="Q232">
        <v>0.92</v>
      </c>
      <c r="R232">
        <v>0.93</v>
      </c>
      <c r="S232">
        <v>0.94</v>
      </c>
      <c r="T232">
        <v>0.94</v>
      </c>
      <c r="U232">
        <v>0.94</v>
      </c>
      <c r="AO232" t="s">
        <v>515</v>
      </c>
      <c r="AP232">
        <v>3.4</v>
      </c>
      <c r="AQ232">
        <v>1.3</v>
      </c>
      <c r="AR232">
        <v>122.64877703554518</v>
      </c>
    </row>
    <row r="233" spans="2:44">
      <c r="C233">
        <v>65</v>
      </c>
      <c r="D233">
        <v>0.35288367546432053</v>
      </c>
      <c r="E233">
        <v>0.15542521994134906</v>
      </c>
      <c r="F233">
        <v>8.7976539589442737E-2</v>
      </c>
      <c r="G233">
        <v>4.7898338220918782E-2</v>
      </c>
      <c r="H233">
        <v>2.4845226458129824E-2</v>
      </c>
      <c r="I233">
        <v>1.5884652981426869E-2</v>
      </c>
      <c r="J233">
        <v>0.23875855327468237</v>
      </c>
      <c r="K233">
        <v>0.33748778103616811</v>
      </c>
      <c r="L233">
        <v>0.38807429130009785</v>
      </c>
      <c r="M233">
        <v>0.42815249266862182</v>
      </c>
      <c r="N233">
        <v>0.46273216031280529</v>
      </c>
      <c r="O233">
        <v>0.48154936461388148</v>
      </c>
      <c r="P233">
        <v>0.88</v>
      </c>
      <c r="Q233">
        <v>0.92</v>
      </c>
      <c r="R233">
        <v>0.93</v>
      </c>
      <c r="S233">
        <v>0.94</v>
      </c>
      <c r="T233">
        <v>0.94</v>
      </c>
      <c r="U233">
        <v>0.94</v>
      </c>
    </row>
    <row r="234" spans="2:44">
      <c r="C234">
        <v>75</v>
      </c>
      <c r="D234">
        <v>0.41739980449657876</v>
      </c>
      <c r="E234">
        <v>0.18963831867057679</v>
      </c>
      <c r="F234">
        <v>0.11143695014662747</v>
      </c>
      <c r="G234">
        <v>6.0117302052785815E-2</v>
      </c>
      <c r="H234">
        <v>3.1362007168458911E-2</v>
      </c>
      <c r="I234">
        <v>2.0161290322580332E-2</v>
      </c>
      <c r="J234">
        <v>0.2443792766373411</v>
      </c>
      <c r="K234">
        <v>0.35826001955034209</v>
      </c>
      <c r="L234">
        <v>0.41691104594330408</v>
      </c>
      <c r="M234">
        <v>0.46823069403714573</v>
      </c>
      <c r="N234">
        <v>0.51136363636363613</v>
      </c>
      <c r="O234">
        <v>0.53488514173998114</v>
      </c>
      <c r="P234">
        <v>0.88</v>
      </c>
      <c r="Q234">
        <v>0.92</v>
      </c>
      <c r="R234">
        <v>0.93</v>
      </c>
      <c r="S234">
        <v>0.94</v>
      </c>
      <c r="T234">
        <v>0.94</v>
      </c>
      <c r="U234">
        <v>0.94</v>
      </c>
    </row>
    <row r="235" spans="2:44">
      <c r="C235">
        <v>85</v>
      </c>
      <c r="D235">
        <v>0.47996089931573804</v>
      </c>
      <c r="E235">
        <v>0.22482893450635411</v>
      </c>
      <c r="F235">
        <v>0.13098729227761474</v>
      </c>
      <c r="G235">
        <v>7.282502443792753E-2</v>
      </c>
      <c r="H235">
        <v>3.8286086673183561E-2</v>
      </c>
      <c r="I235">
        <v>2.4437927663733795E-2</v>
      </c>
      <c r="J235">
        <v>0.24682306940371457</v>
      </c>
      <c r="K235">
        <v>0.37438905180840654</v>
      </c>
      <c r="L235">
        <v>0.44477028347996106</v>
      </c>
      <c r="M235">
        <v>0.50293255131964831</v>
      </c>
      <c r="N235">
        <v>0.55474095796676426</v>
      </c>
      <c r="O235">
        <v>0.58382209188660872</v>
      </c>
      <c r="P235">
        <v>0.88</v>
      </c>
      <c r="Q235">
        <v>0.92</v>
      </c>
      <c r="R235">
        <v>0.93</v>
      </c>
      <c r="S235">
        <v>0.94</v>
      </c>
      <c r="T235">
        <v>0.94</v>
      </c>
      <c r="U235">
        <v>0.94</v>
      </c>
    </row>
    <row r="236" spans="2:44">
      <c r="C236">
        <v>95</v>
      </c>
      <c r="D236">
        <v>0.5405669599217986</v>
      </c>
      <c r="E236">
        <v>0.25904203323558184</v>
      </c>
      <c r="F236">
        <v>0.15249266862170074</v>
      </c>
      <c r="G236">
        <v>8.6021505376344148E-2</v>
      </c>
      <c r="H236">
        <v>4.5617464972303415E-2</v>
      </c>
      <c r="I236">
        <v>2.8714565004887813E-2</v>
      </c>
      <c r="J236">
        <v>0.24706744868035191</v>
      </c>
      <c r="K236">
        <v>0.38782991202346029</v>
      </c>
      <c r="L236">
        <v>0.46774193548387111</v>
      </c>
      <c r="M236">
        <v>0.53421309872922773</v>
      </c>
      <c r="N236">
        <v>0.59481915933528884</v>
      </c>
      <c r="O236">
        <v>0.63031524926686155</v>
      </c>
      <c r="P236">
        <v>0.88</v>
      </c>
      <c r="Q236">
        <v>0.92</v>
      </c>
      <c r="R236">
        <v>0.93</v>
      </c>
      <c r="S236">
        <v>0.94</v>
      </c>
      <c r="T236">
        <v>0.94</v>
      </c>
      <c r="U236">
        <v>0.94</v>
      </c>
    </row>
    <row r="237" spans="2:44">
      <c r="C237">
        <v>105</v>
      </c>
      <c r="D237">
        <v>0.59726295210166169</v>
      </c>
      <c r="E237">
        <v>0.29325513196480957</v>
      </c>
      <c r="F237">
        <v>0.17497556207233611</v>
      </c>
      <c r="G237">
        <v>9.9217986314760559E-2</v>
      </c>
      <c r="H237">
        <v>5.2541544477028072E-2</v>
      </c>
      <c r="I237">
        <v>3.3602150537634351E-2</v>
      </c>
      <c r="J237">
        <v>0.24633431085043989</v>
      </c>
      <c r="K237">
        <v>0.39833822091886595</v>
      </c>
      <c r="L237">
        <v>0.48704789833822104</v>
      </c>
      <c r="M237">
        <v>0.56280547409579662</v>
      </c>
      <c r="N237">
        <v>0.63282013685239535</v>
      </c>
      <c r="O237">
        <v>0.6725928641251222</v>
      </c>
      <c r="P237">
        <v>0.88</v>
      </c>
      <c r="Q237">
        <v>0.92</v>
      </c>
      <c r="R237">
        <v>0.93</v>
      </c>
      <c r="S237">
        <v>0.94</v>
      </c>
      <c r="T237">
        <v>0.94</v>
      </c>
      <c r="U237">
        <v>0.94</v>
      </c>
    </row>
    <row r="238" spans="2:44">
      <c r="C238">
        <v>115</v>
      </c>
      <c r="D238">
        <v>0.65102639296187714</v>
      </c>
      <c r="E238">
        <v>0.32649071358748749</v>
      </c>
      <c r="F238">
        <v>0.19648093841642256</v>
      </c>
      <c r="G238">
        <v>0.11241446725317673</v>
      </c>
      <c r="H238">
        <v>6.0687520364939795E-2</v>
      </c>
      <c r="I238">
        <v>3.8489736070381163E-2</v>
      </c>
      <c r="J238">
        <v>0.24462365591397839</v>
      </c>
      <c r="K238">
        <v>0.40689149560117321</v>
      </c>
      <c r="L238">
        <v>0.50439882697947191</v>
      </c>
      <c r="M238">
        <v>0.58846529814271775</v>
      </c>
      <c r="N238">
        <v>0.66605571847507317</v>
      </c>
      <c r="O238">
        <v>0.71267106549364634</v>
      </c>
      <c r="P238">
        <v>0.88</v>
      </c>
      <c r="Q238">
        <v>0.92</v>
      </c>
      <c r="R238">
        <v>0.93</v>
      </c>
      <c r="S238">
        <v>0.94</v>
      </c>
      <c r="T238">
        <v>0.94</v>
      </c>
      <c r="U238">
        <v>0.94</v>
      </c>
    </row>
    <row r="239" spans="2:44">
      <c r="C239">
        <v>125</v>
      </c>
      <c r="D239">
        <v>0.69990224828934511</v>
      </c>
      <c r="E239">
        <v>0.35874877810361694</v>
      </c>
      <c r="F239">
        <v>0.21700879765395875</v>
      </c>
      <c r="G239">
        <v>0.12609970674486803</v>
      </c>
      <c r="H239">
        <v>6.8018898664059829E-2</v>
      </c>
      <c r="I239">
        <v>4.3377321603127697E-2</v>
      </c>
      <c r="J239">
        <v>0.24242424242424243</v>
      </c>
      <c r="K239">
        <v>0.41300097751710652</v>
      </c>
      <c r="L239">
        <v>0.51930596285435016</v>
      </c>
      <c r="M239">
        <v>0.61021505376344087</v>
      </c>
      <c r="N239">
        <v>0.69733626588465325</v>
      </c>
      <c r="O239">
        <v>0.74908357771261069</v>
      </c>
      <c r="P239">
        <v>0.88</v>
      </c>
      <c r="Q239">
        <v>0.92</v>
      </c>
      <c r="R239">
        <v>0.93</v>
      </c>
      <c r="S239">
        <v>0.94</v>
      </c>
      <c r="T239">
        <v>0.94</v>
      </c>
      <c r="U239">
        <v>0.94</v>
      </c>
    </row>
    <row r="240" spans="2:44">
      <c r="C240">
        <v>135</v>
      </c>
      <c r="D240">
        <v>0.74780058651026393</v>
      </c>
      <c r="E240">
        <v>0.39002932551319613</v>
      </c>
      <c r="F240">
        <v>0.23949169110459456</v>
      </c>
      <c r="G240">
        <v>0.13880742913000976</v>
      </c>
      <c r="H240">
        <v>7.5757575757575621E-2</v>
      </c>
      <c r="I240">
        <v>4.8875855327468146E-2</v>
      </c>
      <c r="J240">
        <v>0.23949169110459434</v>
      </c>
      <c r="K240">
        <v>0.41837732160312824</v>
      </c>
      <c r="L240">
        <v>0.53128054740957942</v>
      </c>
      <c r="M240">
        <v>0.63196480938416422</v>
      </c>
      <c r="N240">
        <v>0.72653958944281549</v>
      </c>
      <c r="O240">
        <v>0.78299120234604114</v>
      </c>
      <c r="P240">
        <v>0.88</v>
      </c>
      <c r="Q240">
        <v>0.92</v>
      </c>
      <c r="R240">
        <v>0.93</v>
      </c>
      <c r="S240">
        <v>0.94</v>
      </c>
      <c r="T240">
        <v>0.94</v>
      </c>
      <c r="U240">
        <v>0.94</v>
      </c>
    </row>
    <row r="241" spans="2:21">
      <c r="C241">
        <v>145</v>
      </c>
      <c r="D241">
        <v>0.79276637341153466</v>
      </c>
      <c r="E241">
        <v>0.42033235581622685</v>
      </c>
      <c r="F241">
        <v>0.26099706744868012</v>
      </c>
      <c r="G241">
        <v>0.15249266862170061</v>
      </c>
      <c r="H241">
        <v>8.3496252851091593E-2</v>
      </c>
      <c r="I241">
        <v>5.437438905180831E-2</v>
      </c>
      <c r="J241">
        <v>0.23631476050830891</v>
      </c>
      <c r="K241">
        <v>0.42253176930596281</v>
      </c>
      <c r="L241">
        <v>0.54203323558162286</v>
      </c>
      <c r="M241">
        <v>0.65053763440860235</v>
      </c>
      <c r="N241">
        <v>0.7540322580645159</v>
      </c>
      <c r="O241">
        <v>0.81518817204301086</v>
      </c>
      <c r="P241">
        <v>0.88</v>
      </c>
      <c r="Q241">
        <v>0.92</v>
      </c>
      <c r="R241">
        <v>0.93</v>
      </c>
      <c r="S241">
        <v>0.94</v>
      </c>
      <c r="T241">
        <v>0.94</v>
      </c>
      <c r="U241">
        <v>0.94</v>
      </c>
    </row>
    <row r="242" spans="2:21">
      <c r="C242">
        <v>155</v>
      </c>
      <c r="D242">
        <v>0.83577712609970667</v>
      </c>
      <c r="E242">
        <v>0.45063538611925757</v>
      </c>
      <c r="F242">
        <v>0.2805474095796674</v>
      </c>
      <c r="G242">
        <v>0.1661779081133917</v>
      </c>
      <c r="H242">
        <v>9.1642228739003143E-2</v>
      </c>
      <c r="I242">
        <v>5.9261974584554844E-2</v>
      </c>
      <c r="J242">
        <v>0.23264907135874879</v>
      </c>
      <c r="K242">
        <v>0.42521994134897334</v>
      </c>
      <c r="L242">
        <v>0.55278592375366598</v>
      </c>
      <c r="M242">
        <v>0.66715542521994164</v>
      </c>
      <c r="N242">
        <v>0.77895894428152457</v>
      </c>
      <c r="O242">
        <v>0.84695747800586596</v>
      </c>
      <c r="P242">
        <v>0.88</v>
      </c>
      <c r="Q242">
        <v>0.92</v>
      </c>
      <c r="R242">
        <v>0.93</v>
      </c>
      <c r="S242">
        <v>0.94</v>
      </c>
      <c r="T242">
        <v>0.94</v>
      </c>
      <c r="U242">
        <v>0.94</v>
      </c>
    </row>
    <row r="243" spans="2:21">
      <c r="B243">
        <v>4</v>
      </c>
      <c r="C243">
        <v>15</v>
      </c>
      <c r="D243">
        <v>6.5493646138807371E-2</v>
      </c>
      <c r="E243">
        <v>2.4437927663734205E-2</v>
      </c>
      <c r="F243">
        <v>1.2707722385141729E-2</v>
      </c>
      <c r="G243">
        <v>6.3538611925708583E-3</v>
      </c>
      <c r="H243">
        <v>3.258390355164589E-3</v>
      </c>
      <c r="I243">
        <v>1.8328445747799859E-3</v>
      </c>
      <c r="J243">
        <v>0.15151515151515152</v>
      </c>
      <c r="K243">
        <v>0.1720430107526881</v>
      </c>
      <c r="L243">
        <v>0.18084066471163246</v>
      </c>
      <c r="M243">
        <v>0.18719452590420332</v>
      </c>
      <c r="N243">
        <v>0.19183773216031275</v>
      </c>
      <c r="O243">
        <v>0.19483137829912039</v>
      </c>
      <c r="P243">
        <v>0.88</v>
      </c>
      <c r="Q243">
        <v>0.92</v>
      </c>
      <c r="R243">
        <v>0.93</v>
      </c>
      <c r="S243">
        <v>0.94</v>
      </c>
      <c r="T243">
        <v>0.94</v>
      </c>
      <c r="U243">
        <v>0.94</v>
      </c>
    </row>
    <row r="244" spans="2:21">
      <c r="C244">
        <v>25</v>
      </c>
      <c r="D244">
        <v>0.15444770283479969</v>
      </c>
      <c r="E244">
        <v>6.0606060606060552E-2</v>
      </c>
      <c r="F244">
        <v>3.2258064516129004E-2</v>
      </c>
      <c r="G244">
        <v>1.661779081133917E-2</v>
      </c>
      <c r="H244">
        <v>8.5532746823070178E-3</v>
      </c>
      <c r="I244">
        <v>4.8875855327466756E-3</v>
      </c>
      <c r="J244">
        <v>0.20356793743890517</v>
      </c>
      <c r="K244">
        <v>0.25048875855327474</v>
      </c>
      <c r="L244">
        <v>0.2717497556207234</v>
      </c>
      <c r="M244">
        <v>0.28739002932551322</v>
      </c>
      <c r="N244">
        <v>0.29948680351906148</v>
      </c>
      <c r="O244">
        <v>0.30718475073313817</v>
      </c>
      <c r="P244">
        <v>0.88</v>
      </c>
      <c r="Q244">
        <v>0.92</v>
      </c>
      <c r="R244">
        <v>0.93</v>
      </c>
      <c r="S244">
        <v>0.94</v>
      </c>
      <c r="T244">
        <v>0.94</v>
      </c>
      <c r="U244">
        <v>0.94</v>
      </c>
    </row>
    <row r="245" spans="2:21">
      <c r="C245">
        <v>35</v>
      </c>
      <c r="D245">
        <v>0.25513196480938438</v>
      </c>
      <c r="E245">
        <v>0.10459433040078192</v>
      </c>
      <c r="F245">
        <v>5.7673509286412461E-2</v>
      </c>
      <c r="G245">
        <v>3.0303030303030248E-2</v>
      </c>
      <c r="H245">
        <v>1.5477354187031578E-2</v>
      </c>
      <c r="I245">
        <v>9.7751710654937676E-3</v>
      </c>
      <c r="J245">
        <v>0.23289345063538602</v>
      </c>
      <c r="K245">
        <v>0.30816226783968725</v>
      </c>
      <c r="L245">
        <v>0.34335288367546435</v>
      </c>
      <c r="M245">
        <v>0.37072336265884653</v>
      </c>
      <c r="N245">
        <v>0.39296187683284456</v>
      </c>
      <c r="O245">
        <v>0.40493646138807399</v>
      </c>
      <c r="P245">
        <v>0.88</v>
      </c>
      <c r="Q245">
        <v>0.92</v>
      </c>
      <c r="R245">
        <v>0.93</v>
      </c>
      <c r="S245">
        <v>0.94</v>
      </c>
      <c r="T245">
        <v>0.94</v>
      </c>
      <c r="U245">
        <v>0.94</v>
      </c>
    </row>
    <row r="246" spans="2:21">
      <c r="C246">
        <v>45</v>
      </c>
      <c r="D246">
        <v>0.35581622678396885</v>
      </c>
      <c r="E246">
        <v>0.15542521994134906</v>
      </c>
      <c r="F246">
        <v>8.7976539589442737E-2</v>
      </c>
      <c r="G246">
        <v>4.6920821114369418E-2</v>
      </c>
      <c r="H246">
        <v>2.3623330074942935E-2</v>
      </c>
      <c r="I246">
        <v>1.5273704789833795E-2</v>
      </c>
      <c r="J246">
        <v>0.24951124144672526</v>
      </c>
      <c r="K246">
        <v>0.34970674486803516</v>
      </c>
      <c r="L246">
        <v>0.4002932551319649</v>
      </c>
      <c r="M246">
        <v>0.44134897360703823</v>
      </c>
      <c r="N246">
        <v>0.47629521016617793</v>
      </c>
      <c r="O246">
        <v>0.49382942326490714</v>
      </c>
      <c r="P246">
        <v>0.88</v>
      </c>
      <c r="Q246">
        <v>0.92</v>
      </c>
      <c r="R246">
        <v>0.93</v>
      </c>
      <c r="S246">
        <v>0.94</v>
      </c>
      <c r="T246">
        <v>0.94</v>
      </c>
      <c r="U246">
        <v>0.94</v>
      </c>
    </row>
    <row r="247" spans="2:21">
      <c r="C247">
        <v>55</v>
      </c>
      <c r="D247">
        <v>0.45650048875855331</v>
      </c>
      <c r="E247">
        <v>0.20625610948191597</v>
      </c>
      <c r="F247">
        <v>0.12218963831867047</v>
      </c>
      <c r="G247">
        <v>6.4516129032258174E-2</v>
      </c>
      <c r="H247">
        <v>3.3398501140436562E-2</v>
      </c>
      <c r="I247">
        <v>2.1383186705767037E-2</v>
      </c>
      <c r="J247">
        <v>0.25659824046920826</v>
      </c>
      <c r="K247">
        <v>0.38172043010752693</v>
      </c>
      <c r="L247">
        <v>0.44477028347996106</v>
      </c>
      <c r="M247">
        <v>0.50244379276637341</v>
      </c>
      <c r="N247">
        <v>0.54912023460410575</v>
      </c>
      <c r="O247">
        <v>0.57435239491691181</v>
      </c>
      <c r="P247">
        <v>0.88</v>
      </c>
      <c r="Q247">
        <v>0.92</v>
      </c>
      <c r="R247">
        <v>0.93</v>
      </c>
      <c r="S247">
        <v>0.94</v>
      </c>
      <c r="T247">
        <v>0.94</v>
      </c>
      <c r="U247">
        <v>0.94</v>
      </c>
    </row>
    <row r="248" spans="2:21">
      <c r="C248">
        <v>65</v>
      </c>
      <c r="D248">
        <v>0.55816226783968714</v>
      </c>
      <c r="E248">
        <v>0.26197458455522948</v>
      </c>
      <c r="F248">
        <v>0.14760508308895437</v>
      </c>
      <c r="G248">
        <v>8.4066471163245213E-2</v>
      </c>
      <c r="H248">
        <v>4.3988269794721514E-2</v>
      </c>
      <c r="I248">
        <v>2.7492668621700554E-2</v>
      </c>
      <c r="J248">
        <v>0.25659824046920821</v>
      </c>
      <c r="K248">
        <v>0.40469208211143703</v>
      </c>
      <c r="L248">
        <v>0.49046920821114337</v>
      </c>
      <c r="M248">
        <v>0.55400782013685257</v>
      </c>
      <c r="N248">
        <v>0.61412512218963811</v>
      </c>
      <c r="O248">
        <v>0.64876588465298213</v>
      </c>
      <c r="P248">
        <v>0.88</v>
      </c>
      <c r="Q248">
        <v>0.92</v>
      </c>
      <c r="R248">
        <v>0.93</v>
      </c>
      <c r="S248">
        <v>0.94</v>
      </c>
      <c r="T248">
        <v>0.94</v>
      </c>
      <c r="U248">
        <v>0.94</v>
      </c>
    </row>
    <row r="249" spans="2:21">
      <c r="C249">
        <v>75</v>
      </c>
      <c r="D249">
        <v>0.64809384164222883</v>
      </c>
      <c r="E249">
        <v>0.31476050830889557</v>
      </c>
      <c r="F249">
        <v>0.18279569892473102</v>
      </c>
      <c r="G249">
        <v>0.10410557184750714</v>
      </c>
      <c r="H249">
        <v>5.4985337243401849E-2</v>
      </c>
      <c r="I249">
        <v>3.4824046920820778E-2</v>
      </c>
      <c r="J249">
        <v>0.25439882697947214</v>
      </c>
      <c r="K249">
        <v>0.42106549364613877</v>
      </c>
      <c r="L249">
        <v>0.52003910068426218</v>
      </c>
      <c r="M249">
        <v>0.59872922776148607</v>
      </c>
      <c r="N249">
        <v>0.67240957966764403</v>
      </c>
      <c r="O249">
        <v>0.71474828934506429</v>
      </c>
      <c r="P249">
        <v>0.88</v>
      </c>
      <c r="Q249">
        <v>0.92</v>
      </c>
      <c r="R249">
        <v>0.93</v>
      </c>
      <c r="S249">
        <v>0.94</v>
      </c>
      <c r="T249">
        <v>0.94</v>
      </c>
      <c r="U249">
        <v>0.94</v>
      </c>
    </row>
    <row r="250" spans="2:21">
      <c r="C250">
        <v>85</v>
      </c>
      <c r="D250">
        <v>0.73118279569892475</v>
      </c>
      <c r="E250">
        <v>0.36656891495601185</v>
      </c>
      <c r="F250">
        <v>0.21896383186705748</v>
      </c>
      <c r="G250">
        <v>0.12512218963831845</v>
      </c>
      <c r="H250">
        <v>6.6389703486477741E-2</v>
      </c>
      <c r="I250">
        <v>4.2766373411534907E-2</v>
      </c>
      <c r="J250">
        <v>0.25048875855327468</v>
      </c>
      <c r="K250">
        <v>0.43279569892473113</v>
      </c>
      <c r="L250">
        <v>0.54349951124144691</v>
      </c>
      <c r="M250">
        <v>0.63734115347018594</v>
      </c>
      <c r="N250">
        <v>0.72543988269794701</v>
      </c>
      <c r="O250">
        <v>0.775048875855327</v>
      </c>
      <c r="P250">
        <v>0.88</v>
      </c>
      <c r="Q250">
        <v>0.92</v>
      </c>
      <c r="R250">
        <v>0.93</v>
      </c>
      <c r="S250">
        <v>0.94</v>
      </c>
      <c r="T250">
        <v>0.94</v>
      </c>
      <c r="U250">
        <v>0.94</v>
      </c>
    </row>
    <row r="251" spans="2:21">
      <c r="C251">
        <v>95</v>
      </c>
      <c r="D251">
        <v>0.80840664711632471</v>
      </c>
      <c r="E251">
        <v>0.41739980449657832</v>
      </c>
      <c r="F251">
        <v>0.25317693059628565</v>
      </c>
      <c r="G251">
        <v>0.14613880742912996</v>
      </c>
      <c r="H251">
        <v>7.8608667318344594E-2</v>
      </c>
      <c r="I251">
        <v>5.009775171065485E-2</v>
      </c>
      <c r="J251">
        <v>0.24486803519061584</v>
      </c>
      <c r="K251">
        <v>0.44037145650048903</v>
      </c>
      <c r="L251">
        <v>0.56353861192570853</v>
      </c>
      <c r="M251">
        <v>0.6705767350928642</v>
      </c>
      <c r="N251">
        <v>0.77187194525904235</v>
      </c>
      <c r="O251">
        <v>0.83174486803519077</v>
      </c>
      <c r="P251">
        <v>0.88</v>
      </c>
      <c r="Q251">
        <v>0.92</v>
      </c>
      <c r="R251">
        <v>0.93</v>
      </c>
      <c r="S251">
        <v>0.94</v>
      </c>
      <c r="T251">
        <v>0.94</v>
      </c>
      <c r="U251">
        <v>0.94</v>
      </c>
    </row>
    <row r="252" spans="2:21">
      <c r="C252">
        <v>105</v>
      </c>
      <c r="D252">
        <v>0.87976539589442848</v>
      </c>
      <c r="E252">
        <v>0.46627565982404651</v>
      </c>
      <c r="F252">
        <v>0.28836754643206275</v>
      </c>
      <c r="G252">
        <v>0.16764418377321597</v>
      </c>
      <c r="H252">
        <v>9.0420332355816063E-2</v>
      </c>
      <c r="I252">
        <v>5.8651026392961769E-2</v>
      </c>
      <c r="J252">
        <v>0.23875855327468221</v>
      </c>
      <c r="K252">
        <v>0.44550342130987319</v>
      </c>
      <c r="L252">
        <v>0.57893450635386101</v>
      </c>
      <c r="M252">
        <v>0.69965786901270777</v>
      </c>
      <c r="N252">
        <v>0.8154936461388077</v>
      </c>
      <c r="O252">
        <v>0.88220918866080167</v>
      </c>
      <c r="P252">
        <v>0.88</v>
      </c>
      <c r="Q252">
        <v>0.92</v>
      </c>
      <c r="R252">
        <v>0.93</v>
      </c>
      <c r="S252">
        <v>0.94</v>
      </c>
      <c r="T252">
        <v>0.94</v>
      </c>
      <c r="U252">
        <v>0.94</v>
      </c>
    </row>
    <row r="253" spans="2:21">
      <c r="C253">
        <v>115</v>
      </c>
      <c r="D253">
        <v>0.94721407624633391</v>
      </c>
      <c r="E253">
        <v>0.51417399804496577</v>
      </c>
      <c r="F253">
        <v>0.32258064516129048</v>
      </c>
      <c r="G253">
        <v>0.18866080156402726</v>
      </c>
      <c r="H253">
        <v>0.10345389377647424</v>
      </c>
      <c r="I253">
        <v>6.659335288367535E-2</v>
      </c>
      <c r="J253">
        <v>0.2314271749755622</v>
      </c>
      <c r="K253">
        <v>0.44794721407624627</v>
      </c>
      <c r="L253">
        <v>0.59164222873900274</v>
      </c>
      <c r="M253">
        <v>0.72556207233626591</v>
      </c>
      <c r="N253">
        <v>0.85337243401759555</v>
      </c>
      <c r="O253">
        <v>0.93077956989247324</v>
      </c>
      <c r="P253">
        <v>0.88</v>
      </c>
      <c r="Q253">
        <v>0.92</v>
      </c>
      <c r="R253">
        <v>0.93</v>
      </c>
      <c r="S253">
        <v>0.94</v>
      </c>
      <c r="T253">
        <v>0.94</v>
      </c>
      <c r="U253">
        <v>0.94</v>
      </c>
    </row>
    <row r="254" spans="2:21">
      <c r="C254">
        <v>125</v>
      </c>
      <c r="D254">
        <v>1.010752688172043</v>
      </c>
      <c r="E254">
        <v>0.56109481915933568</v>
      </c>
      <c r="F254">
        <v>0.35288367546432031</v>
      </c>
      <c r="G254">
        <v>0.21016617790811346</v>
      </c>
      <c r="H254">
        <v>0.11608015640273685</v>
      </c>
      <c r="I254">
        <v>7.5146627565982269E-2</v>
      </c>
      <c r="J254">
        <v>0.22385141739980452</v>
      </c>
      <c r="K254">
        <v>0.44868035190615818</v>
      </c>
      <c r="L254">
        <v>0.60483870967741971</v>
      </c>
      <c r="M254">
        <v>0.74755620723362659</v>
      </c>
      <c r="N254">
        <v>0.88868523949169154</v>
      </c>
      <c r="O254">
        <v>0.97464565004887616</v>
      </c>
      <c r="P254">
        <v>0.88</v>
      </c>
      <c r="Q254">
        <v>0.92</v>
      </c>
      <c r="R254">
        <v>0.93</v>
      </c>
      <c r="S254">
        <v>0.94</v>
      </c>
      <c r="T254">
        <v>0.94</v>
      </c>
      <c r="U254">
        <v>0.94</v>
      </c>
    </row>
    <row r="255" spans="2:21">
      <c r="C255">
        <v>135</v>
      </c>
      <c r="D255">
        <v>1.0664711632453567</v>
      </c>
      <c r="E255">
        <v>0.60606060606060597</v>
      </c>
      <c r="F255">
        <v>0.38611925708699912</v>
      </c>
      <c r="G255">
        <v>0.23118279569892478</v>
      </c>
      <c r="H255">
        <v>0.12829912023460388</v>
      </c>
      <c r="I255">
        <v>8.4310850439882554E-2</v>
      </c>
      <c r="J255">
        <v>0.21725317693059631</v>
      </c>
      <c r="K255">
        <v>0.4474584555229717</v>
      </c>
      <c r="L255">
        <v>0.61241446725317683</v>
      </c>
      <c r="M255">
        <v>0.76735092864125121</v>
      </c>
      <c r="N255">
        <v>0.92167644183773256</v>
      </c>
      <c r="O255">
        <v>1.0140518084066474</v>
      </c>
      <c r="P255">
        <v>0.88</v>
      </c>
      <c r="Q255">
        <v>0.92</v>
      </c>
      <c r="R255">
        <v>0.93</v>
      </c>
      <c r="S255">
        <v>0.94</v>
      </c>
      <c r="T255">
        <v>0.94</v>
      </c>
      <c r="U255">
        <v>0.94</v>
      </c>
    </row>
    <row r="256" spans="2:21">
      <c r="C256">
        <v>145</v>
      </c>
      <c r="D256">
        <v>1.120234604105572</v>
      </c>
      <c r="E256">
        <v>0.64809384164222861</v>
      </c>
      <c r="F256">
        <v>0.41739980449657876</v>
      </c>
      <c r="G256">
        <v>0.25219941348973562</v>
      </c>
      <c r="H256">
        <v>0.14133268165526242</v>
      </c>
      <c r="I256">
        <v>9.2864125122189473E-2</v>
      </c>
      <c r="J256">
        <v>0.20992179863147598</v>
      </c>
      <c r="K256">
        <v>0.44599217986314765</v>
      </c>
      <c r="L256">
        <v>0.61901270772238504</v>
      </c>
      <c r="M256">
        <v>0.78421309872922818</v>
      </c>
      <c r="N256">
        <v>0.95051319648093802</v>
      </c>
      <c r="O256">
        <v>1.0522971652003912</v>
      </c>
      <c r="P256">
        <v>0.88</v>
      </c>
      <c r="Q256">
        <v>0.92</v>
      </c>
      <c r="R256">
        <v>0.93</v>
      </c>
      <c r="S256">
        <v>0.94</v>
      </c>
      <c r="T256">
        <v>0.94</v>
      </c>
      <c r="U256">
        <v>0.94</v>
      </c>
    </row>
    <row r="257" spans="2:21">
      <c r="C257">
        <v>155</v>
      </c>
      <c r="D257">
        <v>1.1691104594330399</v>
      </c>
      <c r="E257">
        <v>0.68914956011730233</v>
      </c>
      <c r="F257">
        <v>0.44868035190615796</v>
      </c>
      <c r="G257">
        <v>0.27272727272727226</v>
      </c>
      <c r="H257">
        <v>0.15436624307592059</v>
      </c>
      <c r="I257">
        <v>0.10141739980449641</v>
      </c>
      <c r="J257">
        <v>0.20307917888563054</v>
      </c>
      <c r="K257">
        <v>0.44305962854349934</v>
      </c>
      <c r="L257">
        <v>0.62341153470185762</v>
      </c>
      <c r="M257">
        <v>0.79936461388074331</v>
      </c>
      <c r="N257">
        <v>0.97690615835777095</v>
      </c>
      <c r="O257">
        <v>1.0880987292277617</v>
      </c>
      <c r="P257">
        <v>0.88</v>
      </c>
      <c r="Q257">
        <v>0.92</v>
      </c>
      <c r="R257">
        <v>0.93</v>
      </c>
      <c r="S257">
        <v>0.94</v>
      </c>
      <c r="T257">
        <v>0.94</v>
      </c>
      <c r="U257">
        <v>0.94</v>
      </c>
    </row>
    <row r="258" spans="2:21">
      <c r="B258">
        <v>5</v>
      </c>
      <c r="C258">
        <v>15</v>
      </c>
      <c r="D258">
        <v>0.10166177908113394</v>
      </c>
      <c r="E258">
        <v>3.8123167155425186E-2</v>
      </c>
      <c r="F258">
        <v>1.9550342130987275E-2</v>
      </c>
      <c r="G258">
        <v>1.0263929618768422E-2</v>
      </c>
      <c r="H258">
        <v>5.2948843271422895E-3</v>
      </c>
      <c r="I258">
        <v>3.0547409579667591E-3</v>
      </c>
      <c r="J258">
        <v>0.18035190615835778</v>
      </c>
      <c r="K258">
        <v>0.21212121212121215</v>
      </c>
      <c r="L258">
        <v>0.22605083088954059</v>
      </c>
      <c r="M258">
        <v>0.23533724340175943</v>
      </c>
      <c r="N258">
        <v>0.24279081133919864</v>
      </c>
      <c r="O258">
        <v>0.24749511241446726</v>
      </c>
      <c r="P258">
        <v>0.76</v>
      </c>
      <c r="Q258">
        <v>0.8</v>
      </c>
      <c r="R258">
        <v>0.8</v>
      </c>
      <c r="S258">
        <v>0.8</v>
      </c>
      <c r="T258">
        <v>0.8</v>
      </c>
      <c r="U258">
        <v>0.8</v>
      </c>
    </row>
    <row r="259" spans="2:21">
      <c r="C259">
        <v>25</v>
      </c>
      <c r="D259">
        <v>0.23264907135874879</v>
      </c>
      <c r="E259">
        <v>9.384164222873892E-2</v>
      </c>
      <c r="F259">
        <v>4.5943304007820096E-2</v>
      </c>
      <c r="G259">
        <v>2.6392961876832797E-2</v>
      </c>
      <c r="H259">
        <v>1.3033561420658264E-2</v>
      </c>
      <c r="I259">
        <v>7.9423264907134347E-3</v>
      </c>
      <c r="J259">
        <v>0.23118279569892475</v>
      </c>
      <c r="K259">
        <v>0.30058651026392968</v>
      </c>
      <c r="L259">
        <v>0.3365102639296188</v>
      </c>
      <c r="M259">
        <v>0.35606060606060608</v>
      </c>
      <c r="N259">
        <v>0.37609970674486792</v>
      </c>
      <c r="O259">
        <v>0.38679130009775203</v>
      </c>
      <c r="P259">
        <v>0.76</v>
      </c>
      <c r="Q259">
        <v>0.8</v>
      </c>
      <c r="R259">
        <v>0.8</v>
      </c>
      <c r="S259">
        <v>0.8</v>
      </c>
      <c r="T259">
        <v>0.8</v>
      </c>
      <c r="U259">
        <v>0.8</v>
      </c>
    </row>
    <row r="260" spans="2:21">
      <c r="C260">
        <v>35</v>
      </c>
      <c r="D260">
        <v>0.36852394916911058</v>
      </c>
      <c r="E260">
        <v>0.15835777126099693</v>
      </c>
      <c r="F260">
        <v>8.7976539589442959E-2</v>
      </c>
      <c r="G260">
        <v>4.7409579667644322E-2</v>
      </c>
      <c r="H260">
        <v>2.4030628869338318E-2</v>
      </c>
      <c r="I260">
        <v>1.466275659824072E-2</v>
      </c>
      <c r="J260">
        <v>0.25537634408602145</v>
      </c>
      <c r="K260">
        <v>0.36045943304007827</v>
      </c>
      <c r="L260">
        <v>0.41324535679374375</v>
      </c>
      <c r="M260">
        <v>0.4538123167155424</v>
      </c>
      <c r="N260">
        <v>0.48888074291300138</v>
      </c>
      <c r="O260">
        <v>0.50855327468230638</v>
      </c>
      <c r="P260">
        <v>0.76</v>
      </c>
      <c r="Q260">
        <v>0.8</v>
      </c>
      <c r="R260">
        <v>0.8</v>
      </c>
      <c r="S260">
        <v>0.8</v>
      </c>
      <c r="T260">
        <v>0.8</v>
      </c>
      <c r="U260">
        <v>0.8</v>
      </c>
    </row>
    <row r="261" spans="2:21">
      <c r="C261">
        <v>45</v>
      </c>
      <c r="D261">
        <v>0.51026392961876832</v>
      </c>
      <c r="E261">
        <v>0.23069403714565029</v>
      </c>
      <c r="F261">
        <v>0.13098729227761474</v>
      </c>
      <c r="G261">
        <v>7.2336265884652848E-2</v>
      </c>
      <c r="H261">
        <v>3.7064190289996676E-2</v>
      </c>
      <c r="I261">
        <v>2.3216031280547368E-2</v>
      </c>
      <c r="J261">
        <v>0.26221896383186705</v>
      </c>
      <c r="K261">
        <v>0.40200391006842606</v>
      </c>
      <c r="L261">
        <v>0.47678396871945272</v>
      </c>
      <c r="M261">
        <v>0.53543499511241466</v>
      </c>
      <c r="N261">
        <v>0.58834310850439886</v>
      </c>
      <c r="O261">
        <v>0.61742424242424243</v>
      </c>
      <c r="P261">
        <v>0.83</v>
      </c>
      <c r="Q261">
        <v>0.83</v>
      </c>
      <c r="R261">
        <v>0.83</v>
      </c>
      <c r="S261">
        <v>0.83</v>
      </c>
      <c r="T261">
        <v>0.83</v>
      </c>
      <c r="U261">
        <v>0.83</v>
      </c>
    </row>
    <row r="262" spans="2:21">
      <c r="C262">
        <v>55</v>
      </c>
      <c r="D262">
        <v>0.63831867057673519</v>
      </c>
      <c r="E262">
        <v>0.30400782013685257</v>
      </c>
      <c r="F262">
        <v>0.17595307917888547</v>
      </c>
      <c r="G262">
        <v>9.8729227761485655E-2</v>
      </c>
      <c r="H262">
        <v>5.1319648093841548E-2</v>
      </c>
      <c r="I262">
        <v>3.2380254154447924E-2</v>
      </c>
      <c r="J262">
        <v>0.260752688172043</v>
      </c>
      <c r="K262">
        <v>0.42790811339198431</v>
      </c>
      <c r="L262">
        <v>0.52394916911045963</v>
      </c>
      <c r="M262">
        <v>0.60117302052785948</v>
      </c>
      <c r="N262">
        <v>0.67228739002932558</v>
      </c>
      <c r="O262">
        <v>0.71206011730205221</v>
      </c>
      <c r="P262">
        <v>0.87</v>
      </c>
      <c r="Q262">
        <v>0.87</v>
      </c>
      <c r="R262">
        <v>0.87</v>
      </c>
      <c r="S262">
        <v>0.87</v>
      </c>
      <c r="T262">
        <v>0.87</v>
      </c>
      <c r="U262">
        <v>0.87</v>
      </c>
    </row>
    <row r="263" spans="2:21">
      <c r="C263">
        <v>65</v>
      </c>
      <c r="D263">
        <v>0.7595307917888563</v>
      </c>
      <c r="E263">
        <v>0.37829912023460421</v>
      </c>
      <c r="F263">
        <v>0.2238514173998043</v>
      </c>
      <c r="G263">
        <v>0.1270772238514174</v>
      </c>
      <c r="H263">
        <v>6.7204301075268702E-2</v>
      </c>
      <c r="I263">
        <v>4.2766373411534629E-2</v>
      </c>
      <c r="J263">
        <v>0.25439882697947214</v>
      </c>
      <c r="K263">
        <v>0.44501466275659818</v>
      </c>
      <c r="L263">
        <v>0.56085043988269812</v>
      </c>
      <c r="M263">
        <v>0.65762463343108502</v>
      </c>
      <c r="N263">
        <v>0.74743401759530803</v>
      </c>
      <c r="O263">
        <v>0.79875366568914963</v>
      </c>
      <c r="P263">
        <v>0.87</v>
      </c>
      <c r="Q263">
        <v>0.87</v>
      </c>
      <c r="R263">
        <v>0.87</v>
      </c>
      <c r="S263">
        <v>0.87</v>
      </c>
      <c r="T263">
        <v>0.87</v>
      </c>
      <c r="U263">
        <v>0.87</v>
      </c>
    </row>
    <row r="264" spans="2:21">
      <c r="C264">
        <v>75</v>
      </c>
      <c r="D264">
        <v>0.87096774193548399</v>
      </c>
      <c r="E264">
        <v>0.45063538611925713</v>
      </c>
      <c r="F264">
        <v>0.27272727272727249</v>
      </c>
      <c r="G264">
        <v>0.15640273704789806</v>
      </c>
      <c r="H264">
        <v>8.3903551645486976E-2</v>
      </c>
      <c r="I264">
        <v>5.3763440860215235E-2</v>
      </c>
      <c r="J264">
        <v>0.2446236559139785</v>
      </c>
      <c r="K264">
        <v>0.45478983382209193</v>
      </c>
      <c r="L264">
        <v>0.58822091886608041</v>
      </c>
      <c r="M264">
        <v>0.70454545454545481</v>
      </c>
      <c r="N264">
        <v>0.81329423264907152</v>
      </c>
      <c r="O264">
        <v>0.87658846529814216</v>
      </c>
      <c r="P264">
        <v>0.87</v>
      </c>
      <c r="Q264">
        <v>0.87</v>
      </c>
      <c r="R264">
        <v>0.87</v>
      </c>
      <c r="S264">
        <v>0.87</v>
      </c>
      <c r="T264">
        <v>0.87</v>
      </c>
      <c r="U264">
        <v>0.87</v>
      </c>
    </row>
    <row r="265" spans="2:21">
      <c r="C265">
        <v>85</v>
      </c>
      <c r="D265">
        <v>0.96774193548387122</v>
      </c>
      <c r="E265">
        <v>0.51906158357771215</v>
      </c>
      <c r="F265">
        <v>0.31964809384164239</v>
      </c>
      <c r="G265">
        <v>0.18572825024437872</v>
      </c>
      <c r="H265">
        <v>0.1010101010101012</v>
      </c>
      <c r="I265">
        <v>6.4760508308895293E-2</v>
      </c>
      <c r="J265">
        <v>0.23460410557184741</v>
      </c>
      <c r="K265">
        <v>0.45894428152492694</v>
      </c>
      <c r="L265">
        <v>0.60850439882697926</v>
      </c>
      <c r="M265">
        <v>0.74242424242424288</v>
      </c>
      <c r="N265">
        <v>0.86950146627565927</v>
      </c>
      <c r="O265">
        <v>0.94562561094819175</v>
      </c>
      <c r="P265">
        <v>0.87</v>
      </c>
      <c r="Q265">
        <v>0.87</v>
      </c>
      <c r="R265">
        <v>0.87</v>
      </c>
      <c r="S265">
        <v>0.87</v>
      </c>
      <c r="T265">
        <v>0.87</v>
      </c>
      <c r="U265">
        <v>0.87</v>
      </c>
    </row>
    <row r="266" spans="2:21">
      <c r="C266">
        <v>95</v>
      </c>
      <c r="D266">
        <v>1.0566959921798635</v>
      </c>
      <c r="E266">
        <v>0.58455522971651996</v>
      </c>
      <c r="F266">
        <v>0.36559139784946204</v>
      </c>
      <c r="G266">
        <v>0.21603128054740964</v>
      </c>
      <c r="H266">
        <v>0.11770935158031874</v>
      </c>
      <c r="I266">
        <v>7.6979472140762326E-2</v>
      </c>
      <c r="J266">
        <v>0.22336265884652973</v>
      </c>
      <c r="K266">
        <v>0.45943304007820152</v>
      </c>
      <c r="L266">
        <v>0.62365591397849496</v>
      </c>
      <c r="M266">
        <v>0.77321603128054739</v>
      </c>
      <c r="N266">
        <v>0.92069892473118375</v>
      </c>
      <c r="O266">
        <v>1.0062316715542523</v>
      </c>
      <c r="P266">
        <v>0.87</v>
      </c>
      <c r="Q266">
        <v>0.87</v>
      </c>
      <c r="R266">
        <v>0.87</v>
      </c>
      <c r="S266">
        <v>0.87</v>
      </c>
      <c r="T266">
        <v>0.87</v>
      </c>
      <c r="U266">
        <v>0.87</v>
      </c>
    </row>
    <row r="267" spans="2:21">
      <c r="C267">
        <v>105</v>
      </c>
      <c r="D267">
        <v>1.1388074291300097</v>
      </c>
      <c r="E267">
        <v>0.64907135874877797</v>
      </c>
      <c r="F267">
        <v>0.41153470185728258</v>
      </c>
      <c r="G267">
        <v>0.24633431085043989</v>
      </c>
      <c r="H267">
        <v>0.13603779732811966</v>
      </c>
      <c r="I267">
        <v>8.8587487781035451E-2</v>
      </c>
      <c r="J267">
        <v>0.21212121212121215</v>
      </c>
      <c r="K267">
        <v>0.456989247311828</v>
      </c>
      <c r="L267">
        <v>0.63514173998044954</v>
      </c>
      <c r="M267">
        <v>0.80034213098729223</v>
      </c>
      <c r="N267">
        <v>0.96578690127077271</v>
      </c>
      <c r="O267">
        <v>1.0654325513196494</v>
      </c>
      <c r="P267">
        <v>0.87</v>
      </c>
      <c r="Q267">
        <v>0.87</v>
      </c>
      <c r="R267">
        <v>0.87</v>
      </c>
      <c r="S267">
        <v>0.87</v>
      </c>
      <c r="T267">
        <v>0.87</v>
      </c>
      <c r="U267">
        <v>0.87</v>
      </c>
    </row>
    <row r="268" spans="2:21">
      <c r="C268">
        <v>115</v>
      </c>
      <c r="D268">
        <v>1.2111436950146626</v>
      </c>
      <c r="E268">
        <v>0.7077223851417398</v>
      </c>
      <c r="F268">
        <v>0.48582600195503423</v>
      </c>
      <c r="G268">
        <v>0.2609970674486799</v>
      </c>
      <c r="H268">
        <v>0.15395894428152501</v>
      </c>
      <c r="I268">
        <v>0.10080645161290305</v>
      </c>
      <c r="J268">
        <v>0.20136852394916915</v>
      </c>
      <c r="K268">
        <v>0.45307917888563054</v>
      </c>
      <c r="L268">
        <v>0.61950146627565972</v>
      </c>
      <c r="M268">
        <v>0.84433040078201405</v>
      </c>
      <c r="N268">
        <v>1.0048875855327464</v>
      </c>
      <c r="O268">
        <v>1.1165078201368526</v>
      </c>
      <c r="P268">
        <v>0.87</v>
      </c>
      <c r="Q268">
        <v>0.87</v>
      </c>
      <c r="R268">
        <v>0.87</v>
      </c>
      <c r="S268">
        <v>0.87</v>
      </c>
      <c r="T268">
        <v>0.87</v>
      </c>
      <c r="U268">
        <v>0.87</v>
      </c>
    </row>
    <row r="269" spans="2:21">
      <c r="C269">
        <v>125</v>
      </c>
      <c r="D269">
        <v>1.2776148582600197</v>
      </c>
      <c r="E269">
        <v>0.76539589442815315</v>
      </c>
      <c r="F269">
        <v>0.50048875855327424</v>
      </c>
      <c r="G269">
        <v>0.30547409579667634</v>
      </c>
      <c r="H269">
        <v>0.17188009123492964</v>
      </c>
      <c r="I269">
        <v>0.11363636363636344</v>
      </c>
      <c r="J269">
        <v>0.19110459433040072</v>
      </c>
      <c r="K269">
        <v>0.44721407624633402</v>
      </c>
      <c r="L269">
        <v>0.64589442815249321</v>
      </c>
      <c r="M269">
        <v>0.84090909090909105</v>
      </c>
      <c r="N269">
        <v>1.0413000977517113</v>
      </c>
      <c r="O269">
        <v>1.1636119257087003</v>
      </c>
      <c r="P269">
        <v>0.87</v>
      </c>
      <c r="Q269">
        <v>0.87</v>
      </c>
      <c r="R269">
        <v>0.87</v>
      </c>
      <c r="S269">
        <v>0.87</v>
      </c>
      <c r="T269">
        <v>0.87</v>
      </c>
      <c r="U269">
        <v>0.87</v>
      </c>
    </row>
    <row r="270" spans="2:21">
      <c r="C270">
        <v>135</v>
      </c>
      <c r="D270">
        <v>1.3372434017595314</v>
      </c>
      <c r="E270">
        <v>0.82013685239491707</v>
      </c>
      <c r="F270">
        <v>0.54252199413489688</v>
      </c>
      <c r="G270">
        <v>0.33479960899315725</v>
      </c>
      <c r="H270">
        <v>0.19020853698273019</v>
      </c>
      <c r="I270">
        <v>0.12585532746823103</v>
      </c>
      <c r="J270">
        <v>0.18132942326490697</v>
      </c>
      <c r="K270">
        <v>0.43988269794721413</v>
      </c>
      <c r="L270">
        <v>0.64809384164222927</v>
      </c>
      <c r="M270">
        <v>0.85581622678396885</v>
      </c>
      <c r="N270">
        <v>1.0727028347996095</v>
      </c>
      <c r="O270">
        <v>1.2078445747800579</v>
      </c>
      <c r="P270">
        <v>0.87</v>
      </c>
      <c r="Q270">
        <v>0.87</v>
      </c>
      <c r="R270">
        <v>0.87</v>
      </c>
      <c r="S270">
        <v>0.87</v>
      </c>
      <c r="T270">
        <v>0.87</v>
      </c>
      <c r="U270">
        <v>0.87</v>
      </c>
    </row>
    <row r="271" spans="2:21">
      <c r="C271">
        <v>145</v>
      </c>
      <c r="D271">
        <v>1.3919843597262958</v>
      </c>
      <c r="E271">
        <v>0.8709677419354831</v>
      </c>
      <c r="F271">
        <v>0.58357771260997104</v>
      </c>
      <c r="G271">
        <v>0.3631476050830883</v>
      </c>
      <c r="H271">
        <v>0.20853698273053112</v>
      </c>
      <c r="I271">
        <v>0.13868523949169143</v>
      </c>
      <c r="J271">
        <v>0.17204301075268802</v>
      </c>
      <c r="K271">
        <v>0.43255131964809435</v>
      </c>
      <c r="L271">
        <v>0.64809384164222839</v>
      </c>
      <c r="M271">
        <v>0.86852394916911113</v>
      </c>
      <c r="N271">
        <v>1.1004398826979469</v>
      </c>
      <c r="O271">
        <v>1.2471285434995103</v>
      </c>
      <c r="P271">
        <v>0.87</v>
      </c>
      <c r="Q271">
        <v>0.87</v>
      </c>
      <c r="R271">
        <v>0.87</v>
      </c>
      <c r="S271">
        <v>0.87</v>
      </c>
      <c r="T271">
        <v>0.87</v>
      </c>
      <c r="U271">
        <v>0.87</v>
      </c>
    </row>
    <row r="272" spans="2:21">
      <c r="C272">
        <v>155</v>
      </c>
      <c r="D272">
        <v>1.4418377321603129</v>
      </c>
      <c r="E272">
        <v>0.91984359726295173</v>
      </c>
      <c r="F272">
        <v>0.62267839687194559</v>
      </c>
      <c r="G272">
        <v>0.39149560117302029</v>
      </c>
      <c r="H272">
        <v>0.22645812968393572</v>
      </c>
      <c r="I272">
        <v>0.15090420332355789</v>
      </c>
      <c r="J272">
        <v>0.16324535679374386</v>
      </c>
      <c r="K272">
        <v>0.42424242424242442</v>
      </c>
      <c r="L272">
        <v>0.64711632453567902</v>
      </c>
      <c r="M272">
        <v>0.87829912023460432</v>
      </c>
      <c r="N272">
        <v>1.1258553274682312</v>
      </c>
      <c r="O272">
        <v>1.2845185728250248</v>
      </c>
      <c r="P272">
        <v>0.87</v>
      </c>
      <c r="Q272">
        <v>0.87</v>
      </c>
      <c r="R272">
        <v>0.87</v>
      </c>
      <c r="S272">
        <v>0.87</v>
      </c>
      <c r="T272">
        <v>0.87</v>
      </c>
      <c r="U272">
        <v>0.87</v>
      </c>
    </row>
    <row r="273" spans="2:21">
      <c r="B273">
        <v>6</v>
      </c>
      <c r="C273">
        <v>15</v>
      </c>
      <c r="D273">
        <v>0.14271749755620733</v>
      </c>
      <c r="E273">
        <v>5.3763440860215006E-2</v>
      </c>
      <c r="F273">
        <v>2.9325513196480912E-2</v>
      </c>
      <c r="G273">
        <v>1.4662756598240442E-2</v>
      </c>
      <c r="H273">
        <v>7.3313782991202212E-3</v>
      </c>
      <c r="I273">
        <v>4.8875855327468144E-3</v>
      </c>
      <c r="J273">
        <v>0.20430107526881719</v>
      </c>
      <c r="K273">
        <v>0.24877810361681335</v>
      </c>
      <c r="L273">
        <v>0.26710654936461392</v>
      </c>
      <c r="M273">
        <v>0.28176930596285438</v>
      </c>
      <c r="N273">
        <v>0.29276637341153472</v>
      </c>
      <c r="O273">
        <v>0.29789833822091888</v>
      </c>
      <c r="P273">
        <v>0.76</v>
      </c>
      <c r="Q273">
        <v>0.8</v>
      </c>
      <c r="R273">
        <v>0.8</v>
      </c>
      <c r="S273">
        <v>0.8</v>
      </c>
      <c r="T273">
        <v>0.8</v>
      </c>
      <c r="U273">
        <v>0.8</v>
      </c>
    </row>
    <row r="274" spans="2:21">
      <c r="C274">
        <v>25</v>
      </c>
      <c r="D274">
        <v>0.31476050830889535</v>
      </c>
      <c r="E274">
        <v>0.1300097751710656</v>
      </c>
      <c r="F274">
        <v>7.2336265884652917E-2</v>
      </c>
      <c r="G274">
        <v>3.7634408602150581E-2</v>
      </c>
      <c r="H274">
        <v>1.914304333659169E-2</v>
      </c>
      <c r="I274">
        <v>1.2218963831866898E-2</v>
      </c>
      <c r="J274">
        <v>0.25171065493646139</v>
      </c>
      <c r="K274">
        <v>0.34408602150537626</v>
      </c>
      <c r="L274">
        <v>0.38734115347018577</v>
      </c>
      <c r="M274">
        <v>0.42204301075268813</v>
      </c>
      <c r="N274">
        <v>0.44978005865102644</v>
      </c>
      <c r="O274">
        <v>0.4643206256109485</v>
      </c>
      <c r="P274">
        <v>0.76</v>
      </c>
      <c r="Q274">
        <v>0.8</v>
      </c>
      <c r="R274">
        <v>0.8</v>
      </c>
      <c r="S274">
        <v>0.8</v>
      </c>
      <c r="T274">
        <v>0.8</v>
      </c>
      <c r="U274">
        <v>0.8</v>
      </c>
    </row>
    <row r="275" spans="2:21">
      <c r="C275">
        <v>35</v>
      </c>
      <c r="D275">
        <v>0.49071358748778149</v>
      </c>
      <c r="E275">
        <v>0.21798631476050812</v>
      </c>
      <c r="F275">
        <v>0.12316715542521983</v>
      </c>
      <c r="G275">
        <v>6.6959921798631361E-2</v>
      </c>
      <c r="H275">
        <v>3.4213098729227884E-2</v>
      </c>
      <c r="I275">
        <v>2.1383186705767037E-2</v>
      </c>
      <c r="J275">
        <v>0.26539589442815237</v>
      </c>
      <c r="K275">
        <v>0.40175953079178905</v>
      </c>
      <c r="L275">
        <v>0.47287390029325527</v>
      </c>
      <c r="M275">
        <v>0.52908113391984379</v>
      </c>
      <c r="N275">
        <v>0.57820136852394899</v>
      </c>
      <c r="O275">
        <v>0.60514418377321677</v>
      </c>
      <c r="P275">
        <v>0.76</v>
      </c>
      <c r="Q275">
        <v>0.8</v>
      </c>
      <c r="R275">
        <v>0.8</v>
      </c>
      <c r="S275">
        <v>0.8</v>
      </c>
      <c r="T275">
        <v>0.8</v>
      </c>
      <c r="U275">
        <v>0.8</v>
      </c>
    </row>
    <row r="276" spans="2:21">
      <c r="C276">
        <v>45</v>
      </c>
      <c r="D276">
        <v>0.6568914956011731</v>
      </c>
      <c r="E276">
        <v>0.31085043988269767</v>
      </c>
      <c r="F276">
        <v>0.17986314760508337</v>
      </c>
      <c r="G276">
        <v>9.9706744868035241E-2</v>
      </c>
      <c r="H276">
        <v>5.2134245682632689E-2</v>
      </c>
      <c r="I276">
        <v>3.2380254154447646E-2</v>
      </c>
      <c r="J276">
        <v>0.26368523949169109</v>
      </c>
      <c r="K276">
        <v>0.43670576735092881</v>
      </c>
      <c r="L276">
        <v>0.53494623655913953</v>
      </c>
      <c r="M276">
        <v>0.61510263929618769</v>
      </c>
      <c r="N276">
        <v>0.68646138807429147</v>
      </c>
      <c r="O276">
        <v>0.72794477028348015</v>
      </c>
      <c r="P276">
        <v>0.83</v>
      </c>
      <c r="Q276">
        <v>0.83</v>
      </c>
      <c r="R276">
        <v>0.83</v>
      </c>
      <c r="S276">
        <v>0.83</v>
      </c>
      <c r="T276">
        <v>0.83</v>
      </c>
      <c r="U276">
        <v>0.83</v>
      </c>
    </row>
    <row r="277" spans="2:21">
      <c r="C277">
        <v>55</v>
      </c>
      <c r="D277">
        <v>0.8113391984359728</v>
      </c>
      <c r="E277">
        <v>0.40664711632453576</v>
      </c>
      <c r="F277">
        <v>0.24046920821114348</v>
      </c>
      <c r="G277">
        <v>0.13685239491691081</v>
      </c>
      <c r="H277">
        <v>7.1684587813620124E-2</v>
      </c>
      <c r="I277">
        <v>4.5821114369501384E-2</v>
      </c>
      <c r="J277">
        <v>0.25366568914956011</v>
      </c>
      <c r="K277">
        <v>0.45601173020527863</v>
      </c>
      <c r="L277">
        <v>0.58064516129032284</v>
      </c>
      <c r="M277">
        <v>0.68426197458455551</v>
      </c>
      <c r="N277">
        <v>0.78201368523949155</v>
      </c>
      <c r="O277">
        <v>0.83632697947214096</v>
      </c>
      <c r="P277">
        <v>0.87</v>
      </c>
      <c r="Q277">
        <v>0.87</v>
      </c>
      <c r="R277">
        <v>0.87</v>
      </c>
      <c r="S277">
        <v>0.87</v>
      </c>
      <c r="T277">
        <v>0.87</v>
      </c>
      <c r="U277">
        <v>0.87</v>
      </c>
    </row>
    <row r="278" spans="2:21">
      <c r="C278">
        <v>65</v>
      </c>
      <c r="D278">
        <v>0.95210166177908095</v>
      </c>
      <c r="E278">
        <v>0.50048875855327513</v>
      </c>
      <c r="F278">
        <v>0.30498533724340149</v>
      </c>
      <c r="G278">
        <v>0.17546432062561085</v>
      </c>
      <c r="H278">
        <v>9.4086021505376177E-2</v>
      </c>
      <c r="I278">
        <v>5.9872922776148474E-2</v>
      </c>
      <c r="J278">
        <v>0.23973607038123168</v>
      </c>
      <c r="K278">
        <v>0.46554252199413459</v>
      </c>
      <c r="L278">
        <v>0.61217008797653982</v>
      </c>
      <c r="M278">
        <v>0.74169110459433041</v>
      </c>
      <c r="N278">
        <v>0.86375855327468254</v>
      </c>
      <c r="O278">
        <v>0.93560606060606077</v>
      </c>
      <c r="P278">
        <v>0.87</v>
      </c>
      <c r="Q278">
        <v>0.87</v>
      </c>
      <c r="R278">
        <v>0.87</v>
      </c>
      <c r="S278">
        <v>0.87</v>
      </c>
      <c r="T278">
        <v>0.87</v>
      </c>
      <c r="U278">
        <v>0.87</v>
      </c>
    </row>
    <row r="279" spans="2:21">
      <c r="C279">
        <v>75</v>
      </c>
      <c r="D279">
        <v>1.0742913000977516</v>
      </c>
      <c r="E279">
        <v>0.58944281524926678</v>
      </c>
      <c r="F279">
        <v>0.36461388074291312</v>
      </c>
      <c r="G279">
        <v>0.21407624633431047</v>
      </c>
      <c r="H279">
        <v>0.11730205278592391</v>
      </c>
      <c r="I279">
        <v>7.5999999999999998E-2</v>
      </c>
      <c r="J279">
        <v>0.2243401759530792</v>
      </c>
      <c r="K279">
        <v>0.46676441837732163</v>
      </c>
      <c r="L279">
        <v>0.63538611925708688</v>
      </c>
      <c r="M279">
        <v>0.78592375366568956</v>
      </c>
      <c r="N279">
        <v>0.93108504398826941</v>
      </c>
      <c r="O279">
        <v>1.018</v>
      </c>
      <c r="P279">
        <v>0.87</v>
      </c>
      <c r="Q279">
        <v>0.87</v>
      </c>
      <c r="R279">
        <v>0.87</v>
      </c>
      <c r="S279">
        <v>0.87</v>
      </c>
      <c r="T279">
        <v>0.87</v>
      </c>
      <c r="U279">
        <v>0.87</v>
      </c>
    </row>
    <row r="280" spans="2:21">
      <c r="C280">
        <v>85</v>
      </c>
      <c r="D280">
        <v>1.1818181818181817</v>
      </c>
      <c r="E280">
        <v>0.67350928641251206</v>
      </c>
      <c r="F280">
        <v>0.4271749755620724</v>
      </c>
      <c r="G280">
        <v>0.25415444770283435</v>
      </c>
      <c r="H280">
        <v>0.13970348647768016</v>
      </c>
      <c r="I280">
        <v>9.1031280547409416E-2</v>
      </c>
      <c r="J280">
        <v>0.20894428152492672</v>
      </c>
      <c r="K280">
        <v>0.46309872922776152</v>
      </c>
      <c r="L280">
        <v>0.64784946236559127</v>
      </c>
      <c r="M280">
        <v>0.82086999022482932</v>
      </c>
      <c r="N280">
        <v>0.99254643206256066</v>
      </c>
      <c r="O280">
        <v>1.0947580645161292</v>
      </c>
      <c r="P280">
        <v>0.87</v>
      </c>
      <c r="Q280">
        <v>0.87</v>
      </c>
      <c r="R280">
        <v>0.87</v>
      </c>
      <c r="S280">
        <v>0.87</v>
      </c>
      <c r="T280">
        <v>0.87</v>
      </c>
      <c r="U280">
        <v>0.87</v>
      </c>
    </row>
    <row r="281" spans="2:21">
      <c r="C281">
        <v>95</v>
      </c>
      <c r="D281">
        <v>1.2766373411534708</v>
      </c>
      <c r="E281">
        <v>0.75268817204301008</v>
      </c>
      <c r="F281">
        <v>0.48582600195503467</v>
      </c>
      <c r="G281">
        <v>0.29374389051808397</v>
      </c>
      <c r="H281">
        <v>0.16373411534701829</v>
      </c>
      <c r="I281">
        <v>0.10691593352883712</v>
      </c>
      <c r="J281">
        <v>0.1940371456500487</v>
      </c>
      <c r="K281">
        <v>0.45601173020527908</v>
      </c>
      <c r="L281">
        <v>0.65615835777126064</v>
      </c>
      <c r="M281">
        <v>0.84824046920821128</v>
      </c>
      <c r="N281">
        <v>1.04325513196481</v>
      </c>
      <c r="O281">
        <v>1.1625733137829903</v>
      </c>
      <c r="P281">
        <v>0.87</v>
      </c>
      <c r="Q281">
        <v>0.87</v>
      </c>
      <c r="R281">
        <v>0.87</v>
      </c>
      <c r="S281">
        <v>0.87</v>
      </c>
      <c r="T281">
        <v>0.87</v>
      </c>
      <c r="U281">
        <v>0.87</v>
      </c>
    </row>
    <row r="282" spans="2:21">
      <c r="C282">
        <v>105</v>
      </c>
      <c r="D282">
        <v>1.3577712609970676</v>
      </c>
      <c r="E282">
        <v>0.8260019550342137</v>
      </c>
      <c r="F282">
        <v>0.54154447702834752</v>
      </c>
      <c r="G282">
        <v>0.33186705767350916</v>
      </c>
      <c r="H282">
        <v>0.18695014662756565</v>
      </c>
      <c r="I282">
        <v>0.12341153470185762</v>
      </c>
      <c r="J282">
        <v>0.18059628543499506</v>
      </c>
      <c r="K282">
        <v>0.446480938416422</v>
      </c>
      <c r="L282">
        <v>0.65982404692082164</v>
      </c>
      <c r="M282">
        <v>0.86950146627565994</v>
      </c>
      <c r="N282">
        <v>1.0868768328445753</v>
      </c>
      <c r="O282">
        <v>1.2203079178885623</v>
      </c>
      <c r="P282">
        <v>0.87</v>
      </c>
      <c r="Q282">
        <v>0.87</v>
      </c>
      <c r="R282">
        <v>0.87</v>
      </c>
      <c r="S282">
        <v>0.87</v>
      </c>
      <c r="T282">
        <v>0.87</v>
      </c>
      <c r="U282">
        <v>0.87</v>
      </c>
    </row>
    <row r="283" spans="2:21">
      <c r="C283">
        <v>115</v>
      </c>
      <c r="D283">
        <v>1.4320625610948197</v>
      </c>
      <c r="E283">
        <v>0.89540566959921719</v>
      </c>
      <c r="F283">
        <v>0.5982404692082115</v>
      </c>
      <c r="G283">
        <v>0.36950146627565916</v>
      </c>
      <c r="H283">
        <v>0.2113880742913001</v>
      </c>
      <c r="I283">
        <v>0.13990713587487813</v>
      </c>
      <c r="J283">
        <v>0.16739980449657854</v>
      </c>
      <c r="K283">
        <v>0.43572825024437978</v>
      </c>
      <c r="L283">
        <v>0.65860215053763405</v>
      </c>
      <c r="M283">
        <v>0.88734115347018638</v>
      </c>
      <c r="N283">
        <v>1.1245112414467251</v>
      </c>
      <c r="O283">
        <v>1.2746212121212113</v>
      </c>
      <c r="P283">
        <v>0.87</v>
      </c>
      <c r="Q283">
        <v>0.87</v>
      </c>
      <c r="R283">
        <v>0.87</v>
      </c>
      <c r="S283">
        <v>0.87</v>
      </c>
      <c r="T283">
        <v>0.87</v>
      </c>
      <c r="U283">
        <v>0.87</v>
      </c>
    </row>
    <row r="284" spans="2:21">
      <c r="C284">
        <v>125</v>
      </c>
      <c r="D284">
        <v>1.4975562072336266</v>
      </c>
      <c r="E284">
        <v>0.95992179863147564</v>
      </c>
      <c r="F284">
        <v>0.65102639296187714</v>
      </c>
      <c r="G284">
        <v>0.40762463343108429</v>
      </c>
      <c r="H284">
        <v>0.2350114043662434</v>
      </c>
      <c r="I284">
        <v>0.15640273704789751</v>
      </c>
      <c r="J284">
        <v>0.15542521994134895</v>
      </c>
      <c r="K284">
        <v>0.42424242424242442</v>
      </c>
      <c r="L284">
        <v>0.6559139784946233</v>
      </c>
      <c r="M284">
        <v>0.8993157380254162</v>
      </c>
      <c r="N284">
        <v>1.1582355816226775</v>
      </c>
      <c r="O284">
        <v>1.3233137829912041</v>
      </c>
      <c r="P284">
        <v>0.87</v>
      </c>
      <c r="Q284">
        <v>0.87</v>
      </c>
      <c r="R284">
        <v>0.87</v>
      </c>
      <c r="S284">
        <v>0.87</v>
      </c>
      <c r="T284">
        <v>0.87</v>
      </c>
      <c r="U284">
        <v>0.87</v>
      </c>
    </row>
    <row r="285" spans="2:21">
      <c r="C285">
        <v>135</v>
      </c>
      <c r="D285">
        <v>1.5542521994134897</v>
      </c>
      <c r="E285">
        <v>1.0215053763440856</v>
      </c>
      <c r="F285">
        <v>0.70087976539589469</v>
      </c>
      <c r="G285">
        <v>0.44477028347996056</v>
      </c>
      <c r="H285">
        <v>0.25904203323558156</v>
      </c>
      <c r="I285">
        <v>0.1680107526881712</v>
      </c>
      <c r="J285">
        <v>0.14491691104594329</v>
      </c>
      <c r="K285">
        <v>0.41129032258064535</v>
      </c>
      <c r="L285">
        <v>0.6517595307917885</v>
      </c>
      <c r="M285">
        <v>0.90786901270772258</v>
      </c>
      <c r="N285">
        <v>1.1864613880742914</v>
      </c>
      <c r="O285">
        <v>1.377627077223853</v>
      </c>
      <c r="P285">
        <v>0.87</v>
      </c>
      <c r="Q285">
        <v>0.87</v>
      </c>
      <c r="R285">
        <v>0.87</v>
      </c>
      <c r="S285">
        <v>0.87</v>
      </c>
      <c r="T285">
        <v>0.87</v>
      </c>
      <c r="U285">
        <v>0.87</v>
      </c>
    </row>
    <row r="286" spans="2:21">
      <c r="C286">
        <v>145</v>
      </c>
      <c r="D286">
        <v>1.6060606060606064</v>
      </c>
      <c r="E286">
        <v>1.0782013685239491</v>
      </c>
      <c r="F286">
        <v>0.74975562072336288</v>
      </c>
      <c r="G286">
        <v>0.48044965786901273</v>
      </c>
      <c r="H286">
        <v>0.28266536331052411</v>
      </c>
      <c r="I286">
        <v>0.19000488758553241</v>
      </c>
      <c r="J286">
        <v>0.1348973607038122</v>
      </c>
      <c r="K286">
        <v>0.39882697947214085</v>
      </c>
      <c r="L286">
        <v>0.64516129032258052</v>
      </c>
      <c r="M286">
        <v>0.91446725317693067</v>
      </c>
      <c r="N286">
        <v>1.2111436950146637</v>
      </c>
      <c r="O286">
        <v>1.4057306940371463</v>
      </c>
      <c r="P286">
        <v>0.87</v>
      </c>
      <c r="Q286">
        <v>0.87</v>
      </c>
      <c r="R286">
        <v>0.87</v>
      </c>
      <c r="S286">
        <v>0.87</v>
      </c>
      <c r="T286">
        <v>0.87</v>
      </c>
      <c r="U286">
        <v>0.87</v>
      </c>
    </row>
    <row r="287" spans="2:21">
      <c r="C287">
        <v>155</v>
      </c>
      <c r="D287">
        <v>1.6520039100684265</v>
      </c>
      <c r="E287">
        <v>1.1309872922776147</v>
      </c>
      <c r="F287">
        <v>0.79569892473118298</v>
      </c>
      <c r="G287">
        <v>0.51564027370478982</v>
      </c>
      <c r="H287">
        <v>0.30628869338546705</v>
      </c>
      <c r="I287">
        <v>0.20711143695014625</v>
      </c>
      <c r="J287">
        <v>0.12585532746823058</v>
      </c>
      <c r="K287">
        <v>0.38636363636363646</v>
      </c>
      <c r="L287">
        <v>0.63782991202346029</v>
      </c>
      <c r="M287">
        <v>0.91788856304985345</v>
      </c>
      <c r="N287">
        <v>1.2319159335288377</v>
      </c>
      <c r="O287">
        <v>1.4401881720430114</v>
      </c>
      <c r="P287">
        <v>0.87</v>
      </c>
      <c r="Q287">
        <v>0.87</v>
      </c>
      <c r="R287">
        <v>0.87</v>
      </c>
      <c r="S287">
        <v>0.87</v>
      </c>
      <c r="T287">
        <v>0.87</v>
      </c>
      <c r="U287">
        <v>0.87</v>
      </c>
    </row>
    <row r="291" spans="2:44" ht="18.75" customHeight="1"/>
    <row r="292" spans="2:44" ht="15" customHeight="1"/>
    <row r="293" spans="2:44">
      <c r="B293">
        <v>2</v>
      </c>
      <c r="C293">
        <v>15</v>
      </c>
      <c r="D293">
        <v>3.4071550255536653E-3</v>
      </c>
      <c r="E293">
        <v>1.7035775127768327E-3</v>
      </c>
      <c r="F293">
        <v>8.5178875638841633E-4</v>
      </c>
      <c r="G293">
        <v>4.2589437819420817E-4</v>
      </c>
      <c r="H293">
        <v>1.7745599091425338E-4</v>
      </c>
      <c r="I293">
        <v>2.6618398637138016E-4</v>
      </c>
      <c r="J293">
        <v>7.0272572402044292E-2</v>
      </c>
      <c r="K293">
        <v>7.1976149914821125E-2</v>
      </c>
      <c r="L293">
        <v>7.3253833049403749E-2</v>
      </c>
      <c r="M293">
        <v>7.4105621805792166E-2</v>
      </c>
      <c r="N293">
        <v>7.4850936967632037E-2</v>
      </c>
      <c r="O293">
        <v>7.4478279386712101E-2</v>
      </c>
      <c r="P293">
        <v>1</v>
      </c>
      <c r="Q293">
        <v>1</v>
      </c>
      <c r="R293">
        <v>1</v>
      </c>
      <c r="S293">
        <v>1</v>
      </c>
      <c r="T293">
        <v>1</v>
      </c>
      <c r="U293">
        <v>1</v>
      </c>
      <c r="V293">
        <v>15</v>
      </c>
      <c r="W293">
        <v>3756.8</v>
      </c>
      <c r="X293">
        <v>3522</v>
      </c>
      <c r="Y293">
        <v>3756.8</v>
      </c>
      <c r="Z293">
        <v>3522</v>
      </c>
      <c r="AA293">
        <v>14609.777777777777</v>
      </c>
      <c r="AB293">
        <v>10957.333333333332</v>
      </c>
      <c r="AC293">
        <v>14609.777777777777</v>
      </c>
      <c r="AD293">
        <v>10957.333333333332</v>
      </c>
      <c r="AE293">
        <v>2</v>
      </c>
      <c r="AF293">
        <v>18</v>
      </c>
      <c r="AG293">
        <v>5</v>
      </c>
      <c r="AH293">
        <v>2</v>
      </c>
      <c r="AI293">
        <v>2</v>
      </c>
      <c r="AJ293">
        <v>16</v>
      </c>
      <c r="AK293">
        <v>12</v>
      </c>
      <c r="AL293">
        <v>4</v>
      </c>
      <c r="AM293">
        <v>1.25</v>
      </c>
      <c r="AN293">
        <v>2</v>
      </c>
      <c r="AO293" t="s">
        <v>512</v>
      </c>
      <c r="AP293">
        <v>5.9</v>
      </c>
      <c r="AQ293">
        <v>0.75</v>
      </c>
      <c r="AR293">
        <v>11.069899999999999</v>
      </c>
    </row>
    <row r="294" spans="2:44">
      <c r="C294">
        <v>25</v>
      </c>
      <c r="D294">
        <v>1.1073253833049385E-2</v>
      </c>
      <c r="E294">
        <v>3.4071550255536653E-3</v>
      </c>
      <c r="F294">
        <v>2.555366269165249E-3</v>
      </c>
      <c r="G294">
        <v>8.5178875638840246E-4</v>
      </c>
      <c r="H294">
        <v>7.098239636570251E-4</v>
      </c>
      <c r="I294">
        <v>5.3236797274276032E-4</v>
      </c>
      <c r="J294">
        <v>0.10604770017035776</v>
      </c>
      <c r="K294">
        <v>0.11371379897785348</v>
      </c>
      <c r="L294">
        <v>0.11499148211243611</v>
      </c>
      <c r="M294">
        <v>0.1183986371379898</v>
      </c>
      <c r="N294">
        <v>0.11882453151618394</v>
      </c>
      <c r="O294">
        <v>0.11956984667802384</v>
      </c>
      <c r="P294">
        <v>1</v>
      </c>
      <c r="Q294">
        <v>1</v>
      </c>
      <c r="R294">
        <v>1</v>
      </c>
      <c r="S294">
        <v>1</v>
      </c>
      <c r="T294">
        <v>1</v>
      </c>
      <c r="U294">
        <v>1</v>
      </c>
      <c r="V294">
        <v>25</v>
      </c>
      <c r="W294">
        <v>3756.8</v>
      </c>
      <c r="X294">
        <v>3522</v>
      </c>
      <c r="Y294">
        <v>3756.8</v>
      </c>
      <c r="Z294">
        <v>3522</v>
      </c>
      <c r="AA294">
        <v>14609.777777777777</v>
      </c>
      <c r="AB294">
        <v>10957.333333333332</v>
      </c>
      <c r="AC294">
        <v>14609.777777777777</v>
      </c>
      <c r="AD294">
        <v>10957.333333333332</v>
      </c>
      <c r="AE294">
        <v>3</v>
      </c>
      <c r="AO294" t="s">
        <v>513</v>
      </c>
      <c r="AP294">
        <v>4.5</v>
      </c>
      <c r="AQ294">
        <v>1.1000000000000001</v>
      </c>
      <c r="AR294">
        <v>18.188000000000002</v>
      </c>
    </row>
    <row r="295" spans="2:44">
      <c r="C295">
        <v>35</v>
      </c>
      <c r="D295">
        <v>1.959114139693352E-2</v>
      </c>
      <c r="E295">
        <v>7.666098807495747E-3</v>
      </c>
      <c r="F295">
        <v>4.2589437819420817E-3</v>
      </c>
      <c r="G295">
        <v>2.1294718909710408E-3</v>
      </c>
      <c r="H295">
        <v>7.098239636570135E-4</v>
      </c>
      <c r="I295">
        <v>1.0647359454855206E-3</v>
      </c>
      <c r="J295">
        <v>0.13628620102214653</v>
      </c>
      <c r="K295">
        <v>0.1482112436115843</v>
      </c>
      <c r="L295">
        <v>0.1533219761499148</v>
      </c>
      <c r="M295">
        <v>0.15758091993185688</v>
      </c>
      <c r="N295">
        <v>0.16183986371379896</v>
      </c>
      <c r="O295">
        <v>0.16034923339011922</v>
      </c>
      <c r="P295">
        <v>1</v>
      </c>
      <c r="Q295">
        <v>1</v>
      </c>
      <c r="R295">
        <v>1</v>
      </c>
      <c r="S295">
        <v>1</v>
      </c>
      <c r="T295">
        <v>1</v>
      </c>
      <c r="U295">
        <v>1</v>
      </c>
      <c r="V295">
        <v>35</v>
      </c>
      <c r="W295">
        <v>3756.8</v>
      </c>
      <c r="X295">
        <v>3522</v>
      </c>
      <c r="Y295">
        <v>3756.8</v>
      </c>
      <c r="Z295">
        <v>3522</v>
      </c>
      <c r="AA295">
        <v>14609.777777777777</v>
      </c>
      <c r="AB295">
        <v>10957.333333333332</v>
      </c>
      <c r="AC295">
        <v>14609.777777777777</v>
      </c>
      <c r="AD295">
        <v>10957.333333333332</v>
      </c>
      <c r="AE295">
        <v>4</v>
      </c>
      <c r="AF295">
        <v>42</v>
      </c>
      <c r="AG295">
        <v>5</v>
      </c>
      <c r="AH295">
        <v>2</v>
      </c>
      <c r="AI295">
        <v>2</v>
      </c>
      <c r="AJ295">
        <v>16</v>
      </c>
      <c r="AK295">
        <v>12</v>
      </c>
      <c r="AL295">
        <v>4</v>
      </c>
      <c r="AM295">
        <v>2.92</v>
      </c>
      <c r="AO295" t="s">
        <v>514</v>
      </c>
      <c r="AP295">
        <v>2.7</v>
      </c>
      <c r="AQ295">
        <v>1.3</v>
      </c>
      <c r="AR295">
        <v>34.570399999999999</v>
      </c>
    </row>
    <row r="296" spans="2:44">
      <c r="C296">
        <v>45</v>
      </c>
      <c r="D296">
        <v>3.0664395229982933E-2</v>
      </c>
      <c r="E296">
        <v>1.1073253833049412E-2</v>
      </c>
      <c r="F296">
        <v>6.8143100511073307E-3</v>
      </c>
      <c r="G296">
        <v>3.4071550255536653E-3</v>
      </c>
      <c r="H296">
        <v>1.419647927314027E-3</v>
      </c>
      <c r="I296">
        <v>1.0647359454855206E-3</v>
      </c>
      <c r="J296">
        <v>0.16098807495741058</v>
      </c>
      <c r="K296">
        <v>0.1805792163543441</v>
      </c>
      <c r="L296">
        <v>0.18696763202725722</v>
      </c>
      <c r="M296">
        <v>0.19378194207836455</v>
      </c>
      <c r="N296">
        <v>0.19974446337308346</v>
      </c>
      <c r="O296">
        <v>0.20123509369676318</v>
      </c>
      <c r="P296">
        <v>1</v>
      </c>
      <c r="Q296">
        <v>1</v>
      </c>
      <c r="R296">
        <v>1</v>
      </c>
      <c r="S296">
        <v>1</v>
      </c>
      <c r="T296">
        <v>1</v>
      </c>
      <c r="U296">
        <v>1</v>
      </c>
      <c r="V296">
        <v>45</v>
      </c>
      <c r="W296">
        <v>3756.8</v>
      </c>
      <c r="X296">
        <v>3522</v>
      </c>
      <c r="Y296">
        <v>3756.8</v>
      </c>
      <c r="Z296">
        <v>3522</v>
      </c>
      <c r="AA296">
        <v>14609.777777777777</v>
      </c>
      <c r="AB296">
        <v>10957.333333333332</v>
      </c>
      <c r="AC296">
        <v>14609.777777777777</v>
      </c>
      <c r="AD296">
        <v>10957.333333333332</v>
      </c>
      <c r="AE296">
        <v>5</v>
      </c>
      <c r="AO296" t="s">
        <v>515</v>
      </c>
      <c r="AP296">
        <v>2.2999999999999998</v>
      </c>
      <c r="AQ296">
        <v>1.3</v>
      </c>
      <c r="AR296">
        <v>65.8566</v>
      </c>
    </row>
    <row r="297" spans="2:44">
      <c r="C297">
        <v>55</v>
      </c>
      <c r="D297">
        <v>4.2589437819420761E-2</v>
      </c>
      <c r="E297">
        <v>1.618398637137991E-2</v>
      </c>
      <c r="F297">
        <v>9.3696763202725797E-3</v>
      </c>
      <c r="G297">
        <v>4.6848381601363176E-3</v>
      </c>
      <c r="H297">
        <v>2.4843838727995242E-3</v>
      </c>
      <c r="I297">
        <v>1.5971039182282811E-3</v>
      </c>
      <c r="J297">
        <v>0.18143100511073254</v>
      </c>
      <c r="K297">
        <v>0.20783645655877339</v>
      </c>
      <c r="L297">
        <v>0.21805792163543439</v>
      </c>
      <c r="M297">
        <v>0.22742759795570691</v>
      </c>
      <c r="N297">
        <v>0.23402896081771729</v>
      </c>
      <c r="O297">
        <v>0.23775553662691651</v>
      </c>
      <c r="P297">
        <v>1</v>
      </c>
      <c r="Q297">
        <v>1</v>
      </c>
      <c r="R297">
        <v>1</v>
      </c>
      <c r="S297">
        <v>1</v>
      </c>
      <c r="T297">
        <v>1</v>
      </c>
      <c r="U297">
        <v>1</v>
      </c>
      <c r="V297">
        <v>55</v>
      </c>
      <c r="W297">
        <v>3756.8</v>
      </c>
      <c r="X297">
        <v>3522</v>
      </c>
      <c r="Y297">
        <v>3756.8</v>
      </c>
      <c r="Z297">
        <v>3522</v>
      </c>
      <c r="AA297">
        <v>14609.777777777777</v>
      </c>
      <c r="AB297">
        <v>10957.333333333332</v>
      </c>
      <c r="AC297">
        <v>14609.777777777777</v>
      </c>
      <c r="AD297">
        <v>10957.333333333332</v>
      </c>
      <c r="AE297">
        <v>6</v>
      </c>
      <c r="AF297">
        <v>66</v>
      </c>
      <c r="AG297">
        <v>5</v>
      </c>
      <c r="AH297">
        <v>2</v>
      </c>
      <c r="AI297">
        <v>2</v>
      </c>
      <c r="AJ297">
        <v>16</v>
      </c>
      <c r="AK297">
        <v>12</v>
      </c>
      <c r="AL297">
        <v>4</v>
      </c>
      <c r="AM297">
        <v>4.5830000000000002</v>
      </c>
    </row>
    <row r="298" spans="2:44">
      <c r="C298">
        <v>65</v>
      </c>
      <c r="D298">
        <v>5.4514480408858534E-2</v>
      </c>
      <c r="E298">
        <v>2.2146507666098825E-2</v>
      </c>
      <c r="F298">
        <v>1.1925042589437829E-2</v>
      </c>
      <c r="G298">
        <v>6.3884156729131503E-3</v>
      </c>
      <c r="H298">
        <v>3.1942078364565378E-3</v>
      </c>
      <c r="I298">
        <v>2.1294718909710413E-3</v>
      </c>
      <c r="J298">
        <v>0.19931856899488931</v>
      </c>
      <c r="K298">
        <v>0.23168654173764902</v>
      </c>
      <c r="L298">
        <v>0.24701873935264052</v>
      </c>
      <c r="M298">
        <v>0.25809199318568987</v>
      </c>
      <c r="N298">
        <v>0.26767461669505971</v>
      </c>
      <c r="O298">
        <v>0.27214650766609877</v>
      </c>
      <c r="P298">
        <v>1</v>
      </c>
      <c r="Q298">
        <v>1</v>
      </c>
      <c r="R298">
        <v>1</v>
      </c>
      <c r="S298">
        <v>1</v>
      </c>
      <c r="T298">
        <v>1</v>
      </c>
      <c r="U298">
        <v>1</v>
      </c>
      <c r="V298">
        <v>65</v>
      </c>
      <c r="W298">
        <v>3756.8</v>
      </c>
      <c r="X298">
        <v>3522</v>
      </c>
      <c r="Y298">
        <v>3756.8</v>
      </c>
      <c r="Z298">
        <v>3522</v>
      </c>
      <c r="AA298">
        <v>14609.777777777777</v>
      </c>
      <c r="AB298">
        <v>10957.333333333332</v>
      </c>
      <c r="AC298">
        <v>14609.777777777777</v>
      </c>
      <c r="AD298">
        <v>10957.333333333332</v>
      </c>
      <c r="AE298">
        <v>7</v>
      </c>
    </row>
    <row r="299" spans="2:44">
      <c r="C299">
        <v>75</v>
      </c>
      <c r="D299">
        <v>6.729131175468489E-2</v>
      </c>
      <c r="E299">
        <v>2.7257240204429212E-2</v>
      </c>
      <c r="F299">
        <v>1.5332197614991494E-2</v>
      </c>
      <c r="G299">
        <v>8.0919931856899274E-3</v>
      </c>
      <c r="H299">
        <v>4.2589437819420808E-3</v>
      </c>
      <c r="I299">
        <v>2.6618398637138362E-3</v>
      </c>
      <c r="J299">
        <v>0.21422487223168651</v>
      </c>
      <c r="K299">
        <v>0.25425894378194219</v>
      </c>
      <c r="L299">
        <v>0.27214650766609877</v>
      </c>
      <c r="M299">
        <v>0.2866269165247019</v>
      </c>
      <c r="N299">
        <v>0.29812606473594544</v>
      </c>
      <c r="O299">
        <v>0.30483390119250409</v>
      </c>
      <c r="P299">
        <v>1</v>
      </c>
      <c r="Q299">
        <v>1</v>
      </c>
      <c r="R299">
        <v>1</v>
      </c>
      <c r="S299">
        <v>1</v>
      </c>
      <c r="T299">
        <v>1</v>
      </c>
      <c r="U299">
        <v>1</v>
      </c>
      <c r="V299">
        <v>75</v>
      </c>
      <c r="W299">
        <v>3756.8</v>
      </c>
      <c r="X299">
        <v>3522</v>
      </c>
      <c r="Y299">
        <v>3756.8</v>
      </c>
      <c r="Z299">
        <v>3522</v>
      </c>
      <c r="AA299">
        <v>14609.777777777777</v>
      </c>
      <c r="AB299">
        <v>10957.333333333332</v>
      </c>
      <c r="AC299">
        <v>14609.777777777777</v>
      </c>
      <c r="AD299">
        <v>10957.333333333332</v>
      </c>
      <c r="AE299">
        <v>8</v>
      </c>
      <c r="AF299">
        <v>90</v>
      </c>
      <c r="AG299">
        <v>5</v>
      </c>
      <c r="AH299">
        <v>2</v>
      </c>
      <c r="AI299">
        <v>2</v>
      </c>
      <c r="AJ299">
        <v>16</v>
      </c>
      <c r="AK299">
        <v>12</v>
      </c>
      <c r="AL299">
        <v>4</v>
      </c>
      <c r="AM299">
        <v>6.2496</v>
      </c>
    </row>
    <row r="300" spans="2:44">
      <c r="C300">
        <v>85</v>
      </c>
      <c r="D300">
        <v>8.0068143100511135E-2</v>
      </c>
      <c r="E300">
        <v>3.3219761499148182E-2</v>
      </c>
      <c r="F300">
        <v>1.8739352640545159E-2</v>
      </c>
      <c r="G300">
        <v>1.0221465076660996E-2</v>
      </c>
      <c r="H300">
        <v>4.9687677455990944E-3</v>
      </c>
      <c r="I300">
        <v>3.1942078364565621E-3</v>
      </c>
      <c r="J300">
        <v>0.2270017035775127</v>
      </c>
      <c r="K300">
        <v>0.27385008517887566</v>
      </c>
      <c r="L300">
        <v>0.29557069846678019</v>
      </c>
      <c r="M300">
        <v>0.31260647359454852</v>
      </c>
      <c r="N300">
        <v>0.32836456558773425</v>
      </c>
      <c r="O300">
        <v>0.33581771720613285</v>
      </c>
      <c r="P300">
        <v>1</v>
      </c>
      <c r="Q300">
        <v>1</v>
      </c>
      <c r="R300">
        <v>1</v>
      </c>
      <c r="S300">
        <v>1</v>
      </c>
      <c r="T300">
        <v>1</v>
      </c>
      <c r="U300">
        <v>1</v>
      </c>
      <c r="V300">
        <v>85</v>
      </c>
      <c r="W300">
        <v>3756.8</v>
      </c>
      <c r="X300">
        <v>3522</v>
      </c>
      <c r="Y300">
        <v>3756.8</v>
      </c>
      <c r="Z300">
        <v>3522</v>
      </c>
      <c r="AA300">
        <v>14609.777777777777</v>
      </c>
      <c r="AB300">
        <v>10957.333333333332</v>
      </c>
      <c r="AC300">
        <v>14609.777777777777</v>
      </c>
      <c r="AD300">
        <v>10957.333333333332</v>
      </c>
    </row>
    <row r="301" spans="2:44">
      <c r="C301">
        <v>95</v>
      </c>
      <c r="D301">
        <v>9.3696763202725686E-2</v>
      </c>
      <c r="E301">
        <v>3.9182282793867151E-2</v>
      </c>
      <c r="F301">
        <v>2.2146507666098825E-2</v>
      </c>
      <c r="G301">
        <v>1.1925042589437829E-2</v>
      </c>
      <c r="H301">
        <v>6.0335036910845914E-3</v>
      </c>
      <c r="I301">
        <v>4.2589437819420825E-3</v>
      </c>
      <c r="J301">
        <v>0.23764906303236799</v>
      </c>
      <c r="K301">
        <v>0.29216354344122653</v>
      </c>
      <c r="L301">
        <v>0.31771720613287902</v>
      </c>
      <c r="M301">
        <v>0.33816013628620101</v>
      </c>
      <c r="N301">
        <v>0.35583475298126072</v>
      </c>
      <c r="O301">
        <v>0.36328790459965926</v>
      </c>
      <c r="P301">
        <v>1</v>
      </c>
      <c r="Q301">
        <v>1</v>
      </c>
      <c r="R301">
        <v>1</v>
      </c>
      <c r="S301">
        <v>1</v>
      </c>
      <c r="T301">
        <v>1</v>
      </c>
      <c r="U301">
        <v>1</v>
      </c>
      <c r="V301">
        <v>95</v>
      </c>
      <c r="W301">
        <v>3756.8</v>
      </c>
      <c r="X301">
        <v>3522</v>
      </c>
      <c r="Y301">
        <v>3756.8</v>
      </c>
      <c r="Z301">
        <v>3522</v>
      </c>
      <c r="AA301">
        <v>14609.777777777777</v>
      </c>
      <c r="AB301">
        <v>10957.333333333332</v>
      </c>
      <c r="AC301">
        <v>14609.777777777777</v>
      </c>
      <c r="AD301">
        <v>10957.333333333332</v>
      </c>
      <c r="AN301">
        <v>4</v>
      </c>
      <c r="AO301" t="s">
        <v>512</v>
      </c>
      <c r="AP301">
        <v>5.9</v>
      </c>
      <c r="AQ301">
        <v>0.75</v>
      </c>
      <c r="AR301">
        <v>28.210699999999999</v>
      </c>
    </row>
    <row r="302" spans="2:44">
      <c r="C302">
        <v>105</v>
      </c>
      <c r="D302">
        <v>0.10562180579216363</v>
      </c>
      <c r="E302">
        <v>4.5996592844974482E-2</v>
      </c>
      <c r="F302">
        <v>2.5553662691652379E-2</v>
      </c>
      <c r="G302">
        <v>1.4054514480408842E-2</v>
      </c>
      <c r="H302">
        <v>7.0982396365701353E-3</v>
      </c>
      <c r="I302">
        <v>4.7913117546848774E-3</v>
      </c>
      <c r="J302">
        <v>0.24787052810902893</v>
      </c>
      <c r="K302">
        <v>0.30749574105621807</v>
      </c>
      <c r="L302">
        <v>0.33816013628620123</v>
      </c>
      <c r="M302">
        <v>0.3611584327086883</v>
      </c>
      <c r="N302">
        <v>0.38202725724020442</v>
      </c>
      <c r="O302">
        <v>0.3917163543441225</v>
      </c>
      <c r="P302">
        <v>1</v>
      </c>
      <c r="Q302">
        <v>1</v>
      </c>
      <c r="R302">
        <v>1</v>
      </c>
      <c r="S302">
        <v>1</v>
      </c>
      <c r="T302">
        <v>1</v>
      </c>
      <c r="U302">
        <v>1</v>
      </c>
      <c r="V302">
        <v>105</v>
      </c>
      <c r="W302">
        <v>3756.8</v>
      </c>
      <c r="X302">
        <v>3522</v>
      </c>
      <c r="Y302">
        <v>3756.8</v>
      </c>
      <c r="Z302">
        <v>3522</v>
      </c>
      <c r="AA302">
        <v>14609.777777777777</v>
      </c>
      <c r="AB302">
        <v>10957.333333333332</v>
      </c>
      <c r="AC302">
        <v>14609.777777777777</v>
      </c>
      <c r="AD302">
        <v>10957.333333333332</v>
      </c>
      <c r="AO302" t="s">
        <v>513</v>
      </c>
      <c r="AP302">
        <v>4.5</v>
      </c>
      <c r="AQ302">
        <v>1.1000000000000001</v>
      </c>
      <c r="AR302">
        <v>45.332000000000001</v>
      </c>
    </row>
    <row r="303" spans="2:44">
      <c r="C303">
        <v>115</v>
      </c>
      <c r="D303">
        <v>0.11925042589437818</v>
      </c>
      <c r="E303">
        <v>5.1959114139693341E-2</v>
      </c>
      <c r="F303">
        <v>2.8960817717206155E-2</v>
      </c>
      <c r="G303">
        <v>1.618398637137991E-2</v>
      </c>
      <c r="H303">
        <v>8.5178875638841616E-3</v>
      </c>
      <c r="I303">
        <v>5.323679727427603E-3</v>
      </c>
      <c r="J303">
        <v>0.25553662691652473</v>
      </c>
      <c r="K303">
        <v>0.32282793867120957</v>
      </c>
      <c r="L303">
        <v>0.35732538330494035</v>
      </c>
      <c r="M303">
        <v>0.38287904599659284</v>
      </c>
      <c r="N303">
        <v>0.40587734241908008</v>
      </c>
      <c r="O303">
        <v>0.41929301533219765</v>
      </c>
      <c r="P303">
        <v>1</v>
      </c>
      <c r="Q303">
        <v>1</v>
      </c>
      <c r="R303">
        <v>1</v>
      </c>
      <c r="S303">
        <v>1</v>
      </c>
      <c r="T303">
        <v>1</v>
      </c>
      <c r="U303">
        <v>1</v>
      </c>
      <c r="V303">
        <v>115</v>
      </c>
      <c r="W303">
        <v>3756.8</v>
      </c>
      <c r="X303">
        <v>3522</v>
      </c>
      <c r="Y303">
        <v>3756.8</v>
      </c>
      <c r="Z303">
        <v>3522</v>
      </c>
      <c r="AA303">
        <v>14609.777777777777</v>
      </c>
      <c r="AB303">
        <v>10957.333333333332</v>
      </c>
      <c r="AC303">
        <v>14609.777777777777</v>
      </c>
      <c r="AD303">
        <v>10957.333333333332</v>
      </c>
      <c r="AO303" t="s">
        <v>514</v>
      </c>
      <c r="AP303">
        <v>2.7</v>
      </c>
      <c r="AQ303">
        <v>1.3</v>
      </c>
      <c r="AR303">
        <v>85.997599999999991</v>
      </c>
    </row>
    <row r="304" spans="2:44">
      <c r="C304">
        <v>125</v>
      </c>
      <c r="D304">
        <v>0.13202725724020437</v>
      </c>
      <c r="E304">
        <v>5.79216354344122E-2</v>
      </c>
      <c r="F304">
        <v>3.2367972742759821E-2</v>
      </c>
      <c r="G304">
        <v>1.8313458262350923E-2</v>
      </c>
      <c r="H304">
        <v>9.5826235093696595E-3</v>
      </c>
      <c r="I304">
        <v>6.3884156729131936E-3</v>
      </c>
      <c r="J304">
        <v>0.2627768313458263</v>
      </c>
      <c r="K304">
        <v>0.33688245315161847</v>
      </c>
      <c r="L304">
        <v>0.37521294718909703</v>
      </c>
      <c r="M304">
        <v>0.40332197614991483</v>
      </c>
      <c r="N304">
        <v>0.42951448040885865</v>
      </c>
      <c r="O304">
        <v>0.44293015332197577</v>
      </c>
      <c r="P304">
        <v>1</v>
      </c>
      <c r="Q304">
        <v>1</v>
      </c>
      <c r="R304">
        <v>1</v>
      </c>
      <c r="S304">
        <v>1</v>
      </c>
      <c r="T304">
        <v>1</v>
      </c>
      <c r="U304">
        <v>1</v>
      </c>
      <c r="V304">
        <v>125</v>
      </c>
      <c r="W304">
        <v>3756.8</v>
      </c>
      <c r="X304">
        <v>3522</v>
      </c>
      <c r="Y304">
        <v>3756.8</v>
      </c>
      <c r="Z304">
        <v>3522</v>
      </c>
      <c r="AA304">
        <v>14609.777777777777</v>
      </c>
      <c r="AB304">
        <v>10957.333333333332</v>
      </c>
      <c r="AC304">
        <v>14609.777777777777</v>
      </c>
      <c r="AD304">
        <v>10957.333333333332</v>
      </c>
      <c r="AO304" t="s">
        <v>515</v>
      </c>
      <c r="AP304">
        <v>2.2999999999999998</v>
      </c>
      <c r="AQ304">
        <v>1.3</v>
      </c>
      <c r="AR304">
        <v>151.57020000000003</v>
      </c>
    </row>
    <row r="305" spans="2:44">
      <c r="C305">
        <v>135</v>
      </c>
      <c r="D305">
        <v>0.14395229982964219</v>
      </c>
      <c r="E305">
        <v>6.388415672913117E-2</v>
      </c>
      <c r="F305">
        <v>3.6626916524701847E-2</v>
      </c>
      <c r="G305">
        <v>2.0442930153321992E-2</v>
      </c>
      <c r="H305">
        <v>1.1002271436683732E-2</v>
      </c>
      <c r="I305">
        <v>6.9207836456558498E-3</v>
      </c>
      <c r="J305">
        <v>0.26959114139693363</v>
      </c>
      <c r="K305">
        <v>0.34965928449744466</v>
      </c>
      <c r="L305">
        <v>0.39054514480408864</v>
      </c>
      <c r="M305">
        <v>0.42291311754684835</v>
      </c>
      <c r="N305">
        <v>0.45123509369676312</v>
      </c>
      <c r="O305">
        <v>0.46837734241908024</v>
      </c>
      <c r="P305">
        <v>1</v>
      </c>
      <c r="Q305">
        <v>1</v>
      </c>
      <c r="R305">
        <v>1</v>
      </c>
      <c r="S305">
        <v>1</v>
      </c>
      <c r="T305">
        <v>1</v>
      </c>
      <c r="U305">
        <v>1</v>
      </c>
      <c r="V305">
        <v>135</v>
      </c>
      <c r="W305">
        <v>3756.8</v>
      </c>
      <c r="X305">
        <v>3522</v>
      </c>
      <c r="Y305">
        <v>3756.8</v>
      </c>
      <c r="Z305">
        <v>3522</v>
      </c>
      <c r="AA305">
        <v>14609.777777777777</v>
      </c>
      <c r="AB305">
        <v>10957.333333333332</v>
      </c>
      <c r="AC305">
        <v>14609.777777777777</v>
      </c>
      <c r="AD305">
        <v>10957.333333333332</v>
      </c>
    </row>
    <row r="306" spans="2:44">
      <c r="C306">
        <v>145</v>
      </c>
      <c r="D306">
        <v>0.15502555366269166</v>
      </c>
      <c r="E306">
        <v>7.06984667802385E-2</v>
      </c>
      <c r="F306">
        <v>4.0885860306643984E-2</v>
      </c>
      <c r="G306">
        <v>2.257240204429295E-2</v>
      </c>
      <c r="H306">
        <v>1.2067007382169277E-2</v>
      </c>
      <c r="I306">
        <v>7.9855195911413008E-3</v>
      </c>
      <c r="J306">
        <v>0.27597955706984667</v>
      </c>
      <c r="K306">
        <v>0.36030664395229983</v>
      </c>
      <c r="L306">
        <v>0.40502555366269161</v>
      </c>
      <c r="M306">
        <v>0.44165247018739368</v>
      </c>
      <c r="N306">
        <v>0.47316865417376469</v>
      </c>
      <c r="O306">
        <v>0.4903109028960822</v>
      </c>
      <c r="P306">
        <v>1</v>
      </c>
      <c r="Q306">
        <v>1</v>
      </c>
      <c r="R306">
        <v>1</v>
      </c>
      <c r="S306">
        <v>1</v>
      </c>
      <c r="T306">
        <v>1</v>
      </c>
      <c r="U306">
        <v>1</v>
      </c>
      <c r="V306">
        <v>145</v>
      </c>
      <c r="W306">
        <v>3756.8</v>
      </c>
      <c r="X306">
        <v>3522</v>
      </c>
      <c r="Y306">
        <v>3756.8</v>
      </c>
      <c r="Z306">
        <v>3522</v>
      </c>
      <c r="AA306">
        <v>14609.777777777777</v>
      </c>
      <c r="AB306">
        <v>10957.333333333332</v>
      </c>
      <c r="AC306">
        <v>14609.777777777777</v>
      </c>
      <c r="AD306">
        <v>10957.333333333332</v>
      </c>
    </row>
    <row r="307" spans="2:44">
      <c r="C307">
        <v>155</v>
      </c>
      <c r="D307">
        <v>0.16780238500851785</v>
      </c>
      <c r="E307">
        <v>7.6660988074957359E-2</v>
      </c>
      <c r="F307">
        <v>4.4293015332197649E-2</v>
      </c>
      <c r="G307">
        <v>2.512776831345831E-2</v>
      </c>
      <c r="H307">
        <v>1.348665530948321E-2</v>
      </c>
      <c r="I307">
        <v>8.5178875638841651E-3</v>
      </c>
      <c r="J307">
        <v>0.28023850085178881</v>
      </c>
      <c r="K307">
        <v>0.3713798977853493</v>
      </c>
      <c r="L307">
        <v>0.41993185689948886</v>
      </c>
      <c r="M307">
        <v>0.45826235093696754</v>
      </c>
      <c r="N307">
        <v>0.49318568994889284</v>
      </c>
      <c r="O307">
        <v>0.51405451448040884</v>
      </c>
      <c r="P307">
        <v>1</v>
      </c>
      <c r="Q307">
        <v>1</v>
      </c>
      <c r="R307">
        <v>1</v>
      </c>
      <c r="S307">
        <v>1</v>
      </c>
      <c r="T307">
        <v>1</v>
      </c>
      <c r="U307">
        <v>1</v>
      </c>
      <c r="V307">
        <v>155</v>
      </c>
      <c r="W307">
        <v>3756.8</v>
      </c>
      <c r="X307">
        <v>3522</v>
      </c>
      <c r="Y307">
        <v>3756.8</v>
      </c>
      <c r="Z307">
        <v>3522</v>
      </c>
      <c r="AA307">
        <v>14609.777777777777</v>
      </c>
      <c r="AB307">
        <v>10957.333333333332</v>
      </c>
      <c r="AC307">
        <v>14609.777777777777</v>
      </c>
      <c r="AD307">
        <v>10957.333333333332</v>
      </c>
    </row>
    <row r="308" spans="2:44">
      <c r="B308">
        <v>3</v>
      </c>
      <c r="C308">
        <v>15</v>
      </c>
      <c r="D308">
        <v>0</v>
      </c>
      <c r="E308">
        <v>0</v>
      </c>
      <c r="F308">
        <v>0</v>
      </c>
      <c r="G308">
        <v>0</v>
      </c>
      <c r="H308">
        <v>0</v>
      </c>
      <c r="I308">
        <v>0</v>
      </c>
      <c r="J308">
        <v>0</v>
      </c>
      <c r="K308">
        <v>0</v>
      </c>
      <c r="L308">
        <v>0</v>
      </c>
      <c r="M308">
        <v>0</v>
      </c>
      <c r="N308">
        <v>0</v>
      </c>
      <c r="O308">
        <v>0</v>
      </c>
      <c r="P308">
        <v>0</v>
      </c>
      <c r="Q308">
        <v>0</v>
      </c>
      <c r="R308">
        <v>0</v>
      </c>
      <c r="S308">
        <v>0</v>
      </c>
      <c r="T308">
        <v>0</v>
      </c>
      <c r="U308">
        <v>0</v>
      </c>
    </row>
    <row r="309" spans="2:44">
      <c r="C309">
        <v>25</v>
      </c>
      <c r="D309">
        <v>0</v>
      </c>
      <c r="E309">
        <v>0</v>
      </c>
      <c r="F309">
        <v>0</v>
      </c>
      <c r="G309">
        <v>0</v>
      </c>
      <c r="H309">
        <v>0</v>
      </c>
      <c r="I309">
        <v>0</v>
      </c>
      <c r="J309">
        <v>0</v>
      </c>
      <c r="K309">
        <v>0</v>
      </c>
      <c r="L309">
        <v>0</v>
      </c>
      <c r="M309">
        <v>0</v>
      </c>
      <c r="N309">
        <v>0</v>
      </c>
      <c r="O309">
        <v>0</v>
      </c>
      <c r="P309">
        <v>0</v>
      </c>
      <c r="Q309">
        <v>0</v>
      </c>
      <c r="R309">
        <v>0</v>
      </c>
      <c r="S309">
        <v>0</v>
      </c>
      <c r="T309">
        <v>0</v>
      </c>
      <c r="U309">
        <v>0</v>
      </c>
      <c r="AN309">
        <v>6</v>
      </c>
      <c r="AO309" t="s">
        <v>512</v>
      </c>
      <c r="AP309">
        <v>5.9</v>
      </c>
      <c r="AQ309">
        <v>0.75</v>
      </c>
      <c r="AR309">
        <v>45.351499999999994</v>
      </c>
    </row>
    <row r="310" spans="2:44">
      <c r="C310">
        <v>35</v>
      </c>
      <c r="D310">
        <v>0</v>
      </c>
      <c r="E310">
        <v>0</v>
      </c>
      <c r="F310">
        <v>0</v>
      </c>
      <c r="G310">
        <v>0</v>
      </c>
      <c r="H310">
        <v>0</v>
      </c>
      <c r="I310">
        <v>0</v>
      </c>
      <c r="J310">
        <v>0</v>
      </c>
      <c r="K310">
        <v>0</v>
      </c>
      <c r="L310">
        <v>0</v>
      </c>
      <c r="M310">
        <v>0</v>
      </c>
      <c r="N310">
        <v>0</v>
      </c>
      <c r="O310">
        <v>0</v>
      </c>
      <c r="P310">
        <v>0</v>
      </c>
      <c r="Q310">
        <v>0</v>
      </c>
      <c r="R310">
        <v>0</v>
      </c>
      <c r="S310">
        <v>0</v>
      </c>
      <c r="T310">
        <v>0</v>
      </c>
      <c r="U310">
        <v>0</v>
      </c>
      <c r="AO310" t="s">
        <v>513</v>
      </c>
      <c r="AP310">
        <v>4.5</v>
      </c>
      <c r="AQ310">
        <v>1.1000000000000001</v>
      </c>
      <c r="AR310">
        <v>72.475999999999999</v>
      </c>
    </row>
    <row r="311" spans="2:44">
      <c r="C311">
        <v>45</v>
      </c>
      <c r="D311">
        <v>0</v>
      </c>
      <c r="E311">
        <v>0</v>
      </c>
      <c r="F311">
        <v>0</v>
      </c>
      <c r="G311">
        <v>0</v>
      </c>
      <c r="H311">
        <v>0</v>
      </c>
      <c r="I311">
        <v>0</v>
      </c>
      <c r="J311">
        <v>0</v>
      </c>
      <c r="K311">
        <v>0</v>
      </c>
      <c r="L311">
        <v>0</v>
      </c>
      <c r="M311">
        <v>0</v>
      </c>
      <c r="N311">
        <v>0</v>
      </c>
      <c r="O311">
        <v>0</v>
      </c>
      <c r="P311">
        <v>0</v>
      </c>
      <c r="Q311">
        <v>0</v>
      </c>
      <c r="R311">
        <v>0</v>
      </c>
      <c r="S311">
        <v>0</v>
      </c>
      <c r="T311">
        <v>0</v>
      </c>
      <c r="U311">
        <v>0</v>
      </c>
      <c r="AO311" t="s">
        <v>514</v>
      </c>
      <c r="AP311">
        <v>2.7</v>
      </c>
      <c r="AQ311">
        <v>1.3</v>
      </c>
      <c r="AR311">
        <v>137.42479999999998</v>
      </c>
    </row>
    <row r="312" spans="2:44">
      <c r="C312">
        <v>55</v>
      </c>
      <c r="D312">
        <v>0</v>
      </c>
      <c r="E312">
        <v>0</v>
      </c>
      <c r="F312">
        <v>0</v>
      </c>
      <c r="G312">
        <v>0</v>
      </c>
      <c r="H312">
        <v>0</v>
      </c>
      <c r="I312">
        <v>0</v>
      </c>
      <c r="J312">
        <v>0</v>
      </c>
      <c r="K312">
        <v>0</v>
      </c>
      <c r="L312">
        <v>0</v>
      </c>
      <c r="M312">
        <v>0</v>
      </c>
      <c r="N312">
        <v>0</v>
      </c>
      <c r="O312">
        <v>0</v>
      </c>
      <c r="P312">
        <v>0</v>
      </c>
      <c r="Q312">
        <v>0</v>
      </c>
      <c r="R312">
        <v>0</v>
      </c>
      <c r="S312">
        <v>0</v>
      </c>
      <c r="T312">
        <v>0</v>
      </c>
      <c r="U312">
        <v>0</v>
      </c>
      <c r="AO312" t="s">
        <v>515</v>
      </c>
      <c r="AP312">
        <v>2.2999999999999998</v>
      </c>
      <c r="AQ312">
        <v>1.3</v>
      </c>
      <c r="AR312">
        <v>237.28380000000001</v>
      </c>
    </row>
    <row r="313" spans="2:44">
      <c r="C313">
        <v>65</v>
      </c>
      <c r="D313">
        <v>0</v>
      </c>
      <c r="E313">
        <v>0</v>
      </c>
      <c r="F313">
        <v>0</v>
      </c>
      <c r="G313">
        <v>0</v>
      </c>
      <c r="H313">
        <v>0</v>
      </c>
      <c r="I313">
        <v>0</v>
      </c>
      <c r="J313">
        <v>0</v>
      </c>
      <c r="K313">
        <v>0</v>
      </c>
      <c r="L313">
        <v>0</v>
      </c>
      <c r="M313">
        <v>0</v>
      </c>
      <c r="N313">
        <v>0</v>
      </c>
      <c r="O313">
        <v>0</v>
      </c>
      <c r="P313">
        <v>0</v>
      </c>
      <c r="Q313">
        <v>0</v>
      </c>
      <c r="R313">
        <v>0</v>
      </c>
      <c r="S313">
        <v>0</v>
      </c>
      <c r="T313">
        <v>0</v>
      </c>
      <c r="U313">
        <v>0</v>
      </c>
    </row>
    <row r="314" spans="2:44">
      <c r="C314">
        <v>75</v>
      </c>
      <c r="D314">
        <v>0</v>
      </c>
      <c r="E314">
        <v>0</v>
      </c>
      <c r="F314">
        <v>0</v>
      </c>
      <c r="G314">
        <v>0</v>
      </c>
      <c r="H314">
        <v>0</v>
      </c>
      <c r="I314">
        <v>0</v>
      </c>
      <c r="J314">
        <v>0</v>
      </c>
      <c r="K314">
        <v>0</v>
      </c>
      <c r="L314">
        <v>0</v>
      </c>
      <c r="M314">
        <v>0</v>
      </c>
      <c r="N314">
        <v>0</v>
      </c>
      <c r="O314">
        <v>0</v>
      </c>
      <c r="P314">
        <v>0</v>
      </c>
      <c r="Q314">
        <v>0</v>
      </c>
      <c r="R314">
        <v>0</v>
      </c>
      <c r="S314">
        <v>0</v>
      </c>
      <c r="T314">
        <v>0</v>
      </c>
      <c r="U314">
        <v>0</v>
      </c>
    </row>
    <row r="315" spans="2:44">
      <c r="C315">
        <v>85</v>
      </c>
      <c r="D315">
        <v>0</v>
      </c>
      <c r="E315">
        <v>0</v>
      </c>
      <c r="F315">
        <v>0</v>
      </c>
      <c r="G315">
        <v>0</v>
      </c>
      <c r="H315">
        <v>0</v>
      </c>
      <c r="I315">
        <v>0</v>
      </c>
      <c r="J315">
        <v>0</v>
      </c>
      <c r="K315">
        <v>0</v>
      </c>
      <c r="L315">
        <v>0</v>
      </c>
      <c r="M315">
        <v>0</v>
      </c>
      <c r="N315">
        <v>0</v>
      </c>
      <c r="O315">
        <v>0</v>
      </c>
      <c r="P315">
        <v>0</v>
      </c>
      <c r="Q315">
        <v>0</v>
      </c>
      <c r="R315">
        <v>0</v>
      </c>
      <c r="S315">
        <v>0</v>
      </c>
      <c r="T315">
        <v>0</v>
      </c>
      <c r="U315">
        <v>0</v>
      </c>
    </row>
    <row r="316" spans="2:44">
      <c r="C316">
        <v>95</v>
      </c>
      <c r="D316">
        <v>0</v>
      </c>
      <c r="E316">
        <v>0</v>
      </c>
      <c r="F316">
        <v>0</v>
      </c>
      <c r="G316">
        <v>0</v>
      </c>
      <c r="H316">
        <v>0</v>
      </c>
      <c r="I316">
        <v>0</v>
      </c>
      <c r="J316">
        <v>0</v>
      </c>
      <c r="K316">
        <v>0</v>
      </c>
      <c r="L316">
        <v>0</v>
      </c>
      <c r="M316">
        <v>0</v>
      </c>
      <c r="N316">
        <v>0</v>
      </c>
      <c r="O316">
        <v>0</v>
      </c>
      <c r="P316">
        <v>0</v>
      </c>
      <c r="Q316">
        <v>0</v>
      </c>
      <c r="R316">
        <v>0</v>
      </c>
      <c r="S316">
        <v>0</v>
      </c>
      <c r="T316">
        <v>0</v>
      </c>
      <c r="U316">
        <v>0</v>
      </c>
    </row>
    <row r="317" spans="2:44">
      <c r="C317">
        <v>105</v>
      </c>
      <c r="D317">
        <v>0</v>
      </c>
      <c r="E317">
        <v>0</v>
      </c>
      <c r="F317">
        <v>0</v>
      </c>
      <c r="G317">
        <v>0</v>
      </c>
      <c r="H317">
        <v>0</v>
      </c>
      <c r="I317">
        <v>0</v>
      </c>
      <c r="J317">
        <v>0</v>
      </c>
      <c r="K317">
        <v>0</v>
      </c>
      <c r="L317">
        <v>0</v>
      </c>
      <c r="M317">
        <v>0</v>
      </c>
      <c r="N317">
        <v>0</v>
      </c>
      <c r="O317">
        <v>0</v>
      </c>
      <c r="P317">
        <v>0</v>
      </c>
      <c r="Q317">
        <v>0</v>
      </c>
      <c r="R317">
        <v>0</v>
      </c>
      <c r="S317">
        <v>0</v>
      </c>
      <c r="T317">
        <v>0</v>
      </c>
      <c r="U317">
        <v>0</v>
      </c>
      <c r="AN317">
        <v>8</v>
      </c>
      <c r="AO317" t="s">
        <v>512</v>
      </c>
      <c r="AP317">
        <v>5.9</v>
      </c>
      <c r="AQ317">
        <v>0.75</v>
      </c>
      <c r="AR317">
        <v>62.492299999999993</v>
      </c>
    </row>
    <row r="318" spans="2:44">
      <c r="C318">
        <v>115</v>
      </c>
      <c r="D318">
        <v>0</v>
      </c>
      <c r="E318">
        <v>0</v>
      </c>
      <c r="F318">
        <v>0</v>
      </c>
      <c r="G318">
        <v>0</v>
      </c>
      <c r="H318">
        <v>0</v>
      </c>
      <c r="I318">
        <v>0</v>
      </c>
      <c r="J318">
        <v>0</v>
      </c>
      <c r="K318">
        <v>0</v>
      </c>
      <c r="L318">
        <v>0</v>
      </c>
      <c r="M318">
        <v>0</v>
      </c>
      <c r="N318">
        <v>0</v>
      </c>
      <c r="O318">
        <v>0</v>
      </c>
      <c r="P318">
        <v>0</v>
      </c>
      <c r="Q318">
        <v>0</v>
      </c>
      <c r="R318">
        <v>0</v>
      </c>
      <c r="S318">
        <v>0</v>
      </c>
      <c r="T318">
        <v>0</v>
      </c>
      <c r="U318">
        <v>0</v>
      </c>
      <c r="AO318" t="s">
        <v>513</v>
      </c>
      <c r="AP318">
        <v>4.5</v>
      </c>
      <c r="AQ318">
        <v>1.1000000000000001</v>
      </c>
      <c r="AR318">
        <v>99.62</v>
      </c>
    </row>
    <row r="319" spans="2:44">
      <c r="C319">
        <v>125</v>
      </c>
      <c r="D319">
        <v>0</v>
      </c>
      <c r="E319">
        <v>0</v>
      </c>
      <c r="F319">
        <v>0</v>
      </c>
      <c r="G319">
        <v>0</v>
      </c>
      <c r="H319">
        <v>0</v>
      </c>
      <c r="I319">
        <v>0</v>
      </c>
      <c r="J319">
        <v>0</v>
      </c>
      <c r="K319">
        <v>0</v>
      </c>
      <c r="L319">
        <v>0</v>
      </c>
      <c r="M319">
        <v>0</v>
      </c>
      <c r="N319">
        <v>0</v>
      </c>
      <c r="O319">
        <v>0</v>
      </c>
      <c r="P319">
        <v>0</v>
      </c>
      <c r="Q319">
        <v>0</v>
      </c>
      <c r="R319">
        <v>0</v>
      </c>
      <c r="S319">
        <v>0</v>
      </c>
      <c r="T319">
        <v>0</v>
      </c>
      <c r="U319">
        <v>0</v>
      </c>
      <c r="AO319" t="s">
        <v>514</v>
      </c>
      <c r="AP319">
        <v>2.7</v>
      </c>
      <c r="AQ319">
        <v>1.3</v>
      </c>
      <c r="AR319">
        <v>188.85199999999998</v>
      </c>
    </row>
    <row r="320" spans="2:44">
      <c r="C320">
        <v>135</v>
      </c>
      <c r="D320">
        <v>0</v>
      </c>
      <c r="E320">
        <v>0</v>
      </c>
      <c r="F320">
        <v>0</v>
      </c>
      <c r="G320">
        <v>0</v>
      </c>
      <c r="H320">
        <v>0</v>
      </c>
      <c r="I320">
        <v>0</v>
      </c>
      <c r="J320">
        <v>0</v>
      </c>
      <c r="K320">
        <v>0</v>
      </c>
      <c r="L320">
        <v>0</v>
      </c>
      <c r="M320">
        <v>0</v>
      </c>
      <c r="N320">
        <v>0</v>
      </c>
      <c r="O320">
        <v>0</v>
      </c>
      <c r="P320">
        <v>0</v>
      </c>
      <c r="Q320">
        <v>0</v>
      </c>
      <c r="R320">
        <v>0</v>
      </c>
      <c r="S320">
        <v>0</v>
      </c>
      <c r="T320">
        <v>0</v>
      </c>
      <c r="U320">
        <v>0</v>
      </c>
      <c r="AO320" t="s">
        <v>515</v>
      </c>
      <c r="AP320">
        <v>2.2999999999999998</v>
      </c>
      <c r="AQ320">
        <v>1.3</v>
      </c>
      <c r="AR320">
        <v>322.99739999999997</v>
      </c>
    </row>
    <row r="321" spans="2:21">
      <c r="C321">
        <v>145</v>
      </c>
      <c r="D321">
        <v>0</v>
      </c>
      <c r="E321">
        <v>0</v>
      </c>
      <c r="F321">
        <v>0</v>
      </c>
      <c r="G321">
        <v>0</v>
      </c>
      <c r="H321">
        <v>0</v>
      </c>
      <c r="I321">
        <v>0</v>
      </c>
      <c r="J321">
        <v>0</v>
      </c>
      <c r="K321">
        <v>0</v>
      </c>
      <c r="L321">
        <v>0</v>
      </c>
      <c r="M321">
        <v>0</v>
      </c>
      <c r="N321">
        <v>0</v>
      </c>
      <c r="O321">
        <v>0</v>
      </c>
      <c r="P321">
        <v>0</v>
      </c>
      <c r="Q321">
        <v>0</v>
      </c>
      <c r="R321">
        <v>0</v>
      </c>
      <c r="S321">
        <v>0</v>
      </c>
      <c r="T321">
        <v>0</v>
      </c>
      <c r="U321">
        <v>0</v>
      </c>
    </row>
    <row r="322" spans="2:21">
      <c r="C322">
        <v>155</v>
      </c>
      <c r="D322">
        <v>0</v>
      </c>
      <c r="E322">
        <v>0</v>
      </c>
      <c r="F322">
        <v>0</v>
      </c>
      <c r="G322">
        <v>0</v>
      </c>
      <c r="H322">
        <v>0</v>
      </c>
      <c r="I322">
        <v>0</v>
      </c>
      <c r="J322">
        <v>0</v>
      </c>
      <c r="K322">
        <v>0</v>
      </c>
      <c r="L322">
        <v>0</v>
      </c>
      <c r="M322">
        <v>0</v>
      </c>
      <c r="N322">
        <v>0</v>
      </c>
      <c r="O322">
        <v>0</v>
      </c>
      <c r="P322">
        <v>0</v>
      </c>
      <c r="Q322">
        <v>0</v>
      </c>
      <c r="R322">
        <v>0</v>
      </c>
      <c r="S322">
        <v>0</v>
      </c>
      <c r="T322">
        <v>0</v>
      </c>
      <c r="U322">
        <v>0</v>
      </c>
    </row>
    <row r="323" spans="2:21">
      <c r="B323">
        <v>4</v>
      </c>
      <c r="C323">
        <v>15</v>
      </c>
      <c r="D323">
        <v>1.7035775127768271E-2</v>
      </c>
      <c r="E323">
        <v>5.9625212947189143E-3</v>
      </c>
      <c r="F323">
        <v>3.4071550255536653E-3</v>
      </c>
      <c r="G323">
        <v>1.7035775127768327E-3</v>
      </c>
      <c r="H323">
        <v>7.098239636570135E-4</v>
      </c>
      <c r="I323">
        <v>5.3236797274276032E-4</v>
      </c>
      <c r="J323">
        <v>0.15076660988074961</v>
      </c>
      <c r="K323">
        <v>0.16183986371379896</v>
      </c>
      <c r="L323">
        <v>0.16567291311754684</v>
      </c>
      <c r="M323">
        <v>0.1690800681431005</v>
      </c>
      <c r="N323">
        <v>0.17206132879045996</v>
      </c>
      <c r="O323">
        <v>0.17280664395229983</v>
      </c>
      <c r="P323">
        <v>1</v>
      </c>
      <c r="Q323">
        <v>1</v>
      </c>
      <c r="R323">
        <v>1</v>
      </c>
      <c r="S323">
        <v>1</v>
      </c>
      <c r="T323">
        <v>1</v>
      </c>
      <c r="U323">
        <v>1</v>
      </c>
    </row>
    <row r="324" spans="2:21">
      <c r="C324">
        <v>25</v>
      </c>
      <c r="D324">
        <v>4.3441226575809178E-2</v>
      </c>
      <c r="E324">
        <v>1.5332197614991494E-2</v>
      </c>
      <c r="F324">
        <v>8.5178875638841633E-3</v>
      </c>
      <c r="G324">
        <v>4.2589437819420817E-3</v>
      </c>
      <c r="H324">
        <v>2.1294718909710404E-3</v>
      </c>
      <c r="I324">
        <v>1.5971039182282464E-3</v>
      </c>
      <c r="J324">
        <v>0.21890971039182283</v>
      </c>
      <c r="K324">
        <v>0.24701873935264052</v>
      </c>
      <c r="L324">
        <v>0.25724020442930151</v>
      </c>
      <c r="M324">
        <v>0.26575809199318567</v>
      </c>
      <c r="N324">
        <v>0.27214650766609882</v>
      </c>
      <c r="O324">
        <v>0.27438245315161852</v>
      </c>
      <c r="P324">
        <v>1</v>
      </c>
      <c r="Q324">
        <v>1</v>
      </c>
      <c r="R324">
        <v>1</v>
      </c>
      <c r="S324">
        <v>1</v>
      </c>
      <c r="T324">
        <v>1</v>
      </c>
      <c r="U324">
        <v>1</v>
      </c>
    </row>
    <row r="325" spans="2:21">
      <c r="C325">
        <v>35</v>
      </c>
      <c r="D325">
        <v>7.5809199318568887E-2</v>
      </c>
      <c r="E325">
        <v>2.8960817717206155E-2</v>
      </c>
      <c r="F325">
        <v>1.5332197614991494E-2</v>
      </c>
      <c r="G325">
        <v>8.0919931856899274E-3</v>
      </c>
      <c r="H325">
        <v>3.9040318001135974E-3</v>
      </c>
      <c r="I325">
        <v>2.6618398637138362E-3</v>
      </c>
      <c r="J325">
        <v>0.26916524701873945</v>
      </c>
      <c r="K325">
        <v>0.31601362862010218</v>
      </c>
      <c r="L325">
        <v>0.33645655877342417</v>
      </c>
      <c r="M325">
        <v>0.35093696763202731</v>
      </c>
      <c r="N325">
        <v>0.3635008517887563</v>
      </c>
      <c r="O325">
        <v>0.36871805792163531</v>
      </c>
      <c r="P325">
        <v>1</v>
      </c>
      <c r="Q325">
        <v>1</v>
      </c>
      <c r="R325">
        <v>1</v>
      </c>
      <c r="S325">
        <v>1</v>
      </c>
      <c r="T325">
        <v>1</v>
      </c>
      <c r="U325">
        <v>1</v>
      </c>
    </row>
    <row r="326" spans="2:21">
      <c r="C326">
        <v>45</v>
      </c>
      <c r="D326">
        <v>0.11073253833049412</v>
      </c>
      <c r="E326">
        <v>4.4293015332197538E-2</v>
      </c>
      <c r="F326">
        <v>2.3850085178875657E-2</v>
      </c>
      <c r="G326">
        <v>1.2776831345826245E-2</v>
      </c>
      <c r="H326">
        <v>6.3884156729130757E-3</v>
      </c>
      <c r="I326">
        <v>3.7265758091994264E-3</v>
      </c>
      <c r="J326">
        <v>0.30706984667802378</v>
      </c>
      <c r="K326">
        <v>0.37350936967632037</v>
      </c>
      <c r="L326">
        <v>0.40417376490630319</v>
      </c>
      <c r="M326">
        <v>0.42632027257240201</v>
      </c>
      <c r="N326">
        <v>0.44548551959114152</v>
      </c>
      <c r="O326">
        <v>0.45666524701873884</v>
      </c>
      <c r="P326">
        <v>1</v>
      </c>
      <c r="Q326">
        <v>1</v>
      </c>
      <c r="R326">
        <v>1</v>
      </c>
      <c r="S326">
        <v>1</v>
      </c>
      <c r="T326">
        <v>1</v>
      </c>
      <c r="U326">
        <v>1</v>
      </c>
    </row>
    <row r="327" spans="2:21">
      <c r="C327">
        <v>55</v>
      </c>
      <c r="D327">
        <v>0.14821124361158433</v>
      </c>
      <c r="E327">
        <v>6.1328790459966087E-2</v>
      </c>
      <c r="F327">
        <v>3.3219761499148071E-2</v>
      </c>
      <c r="G327">
        <v>1.7887563884156688E-2</v>
      </c>
      <c r="H327">
        <v>8.8727995457126459E-3</v>
      </c>
      <c r="I327">
        <v>5.8560477001703979E-3</v>
      </c>
      <c r="J327">
        <v>0.3347529812606474</v>
      </c>
      <c r="K327">
        <v>0.42163543441226564</v>
      </c>
      <c r="L327">
        <v>0.46379897785349267</v>
      </c>
      <c r="M327">
        <v>0.49446337308347543</v>
      </c>
      <c r="N327">
        <v>0.52150766609880761</v>
      </c>
      <c r="O327">
        <v>0.53417802385008495</v>
      </c>
      <c r="P327">
        <v>1</v>
      </c>
      <c r="Q327">
        <v>1</v>
      </c>
      <c r="R327">
        <v>1</v>
      </c>
      <c r="S327">
        <v>1</v>
      </c>
      <c r="T327">
        <v>1</v>
      </c>
      <c r="U327">
        <v>1</v>
      </c>
    </row>
    <row r="328" spans="2:21">
      <c r="C328">
        <v>65</v>
      </c>
      <c r="D328">
        <v>0.18568994889267443</v>
      </c>
      <c r="E328">
        <v>7.8364565587734303E-2</v>
      </c>
      <c r="F328">
        <v>4.3441226575809289E-2</v>
      </c>
      <c r="G328">
        <v>2.3424190800681477E-2</v>
      </c>
      <c r="H328">
        <v>1.2067007382169183E-2</v>
      </c>
      <c r="I328">
        <v>7.4531516183985753E-3</v>
      </c>
      <c r="J328">
        <v>0.35604770017035792</v>
      </c>
      <c r="K328">
        <v>0.46337308347529804</v>
      </c>
      <c r="L328">
        <v>0.51575809199318556</v>
      </c>
      <c r="M328">
        <v>0.55579216354344119</v>
      </c>
      <c r="N328">
        <v>0.58986371379897806</v>
      </c>
      <c r="O328">
        <v>0.60924190800681466</v>
      </c>
      <c r="P328">
        <v>1</v>
      </c>
      <c r="Q328">
        <v>1</v>
      </c>
      <c r="R328">
        <v>1</v>
      </c>
      <c r="S328">
        <v>1</v>
      </c>
      <c r="T328">
        <v>1</v>
      </c>
      <c r="U328">
        <v>1</v>
      </c>
    </row>
    <row r="329" spans="2:21">
      <c r="C329">
        <v>75</v>
      </c>
      <c r="D329">
        <v>0.22316865417376486</v>
      </c>
      <c r="E329">
        <v>9.7103918228279351E-2</v>
      </c>
      <c r="F329">
        <v>5.4514480408858645E-2</v>
      </c>
      <c r="G329">
        <v>2.9386712095400225E-2</v>
      </c>
      <c r="H329">
        <v>1.5261215218625813E-2</v>
      </c>
      <c r="I329">
        <v>9.5826235093698937E-3</v>
      </c>
      <c r="J329">
        <v>0.3713798977853493</v>
      </c>
      <c r="K329">
        <v>0.49744463373083481</v>
      </c>
      <c r="L329">
        <v>0.56132879045996587</v>
      </c>
      <c r="M329">
        <v>0.61158432708688271</v>
      </c>
      <c r="N329">
        <v>0.65396081771720593</v>
      </c>
      <c r="O329">
        <v>0.67781090289608081</v>
      </c>
      <c r="P329">
        <v>1</v>
      </c>
      <c r="Q329">
        <v>1</v>
      </c>
      <c r="R329">
        <v>1</v>
      </c>
      <c r="S329">
        <v>1</v>
      </c>
      <c r="T329">
        <v>1</v>
      </c>
      <c r="U329">
        <v>1</v>
      </c>
    </row>
    <row r="330" spans="2:21">
      <c r="C330">
        <v>85</v>
      </c>
      <c r="D330">
        <v>0.2597955706984667</v>
      </c>
      <c r="E330">
        <v>0.11499148211243604</v>
      </c>
      <c r="F330">
        <v>6.5587734241908002E-2</v>
      </c>
      <c r="G330">
        <v>3.6201022146507555E-2</v>
      </c>
      <c r="H330">
        <v>1.845542305508235E-2</v>
      </c>
      <c r="I330">
        <v>1.1712095400340796E-2</v>
      </c>
      <c r="J330">
        <v>0.38330494037478713</v>
      </c>
      <c r="K330">
        <v>0.52810902896081779</v>
      </c>
      <c r="L330">
        <v>0.60221465076660985</v>
      </c>
      <c r="M330">
        <v>0.66098807495741074</v>
      </c>
      <c r="N330">
        <v>0.7142248722316864</v>
      </c>
      <c r="O330">
        <v>0.7425468483816009</v>
      </c>
      <c r="P330">
        <v>1</v>
      </c>
      <c r="Q330">
        <v>1</v>
      </c>
      <c r="R330">
        <v>1</v>
      </c>
      <c r="S330">
        <v>1</v>
      </c>
      <c r="T330">
        <v>1</v>
      </c>
      <c r="U330">
        <v>1</v>
      </c>
    </row>
    <row r="331" spans="2:21">
      <c r="C331">
        <v>95</v>
      </c>
      <c r="D331">
        <v>0.29557069846678008</v>
      </c>
      <c r="E331">
        <v>0.13458262350936989</v>
      </c>
      <c r="F331">
        <v>7.6660988074957359E-2</v>
      </c>
      <c r="G331">
        <v>4.2589437819420706E-2</v>
      </c>
      <c r="H331">
        <v>2.235945485519595E-2</v>
      </c>
      <c r="I331">
        <v>1.4373935264054425E-2</v>
      </c>
      <c r="J331">
        <v>0.39139693356047711</v>
      </c>
      <c r="K331">
        <v>0.5523850085178873</v>
      </c>
      <c r="L331">
        <v>0.6392674616695061</v>
      </c>
      <c r="M331">
        <v>0.70741056218057941</v>
      </c>
      <c r="N331">
        <v>0.76810051107325372</v>
      </c>
      <c r="O331">
        <v>0.80163969335604812</v>
      </c>
      <c r="P331">
        <v>1</v>
      </c>
      <c r="Q331">
        <v>1</v>
      </c>
      <c r="R331">
        <v>1</v>
      </c>
      <c r="S331">
        <v>1</v>
      </c>
      <c r="T331">
        <v>1</v>
      </c>
      <c r="U331">
        <v>1</v>
      </c>
    </row>
    <row r="332" spans="2:21">
      <c r="C332">
        <v>105</v>
      </c>
      <c r="D332">
        <v>0.32964224872231673</v>
      </c>
      <c r="E332">
        <v>0.15332197614991472</v>
      </c>
      <c r="F332">
        <v>8.8586030664395299E-2</v>
      </c>
      <c r="G332">
        <v>4.9403747870528147E-2</v>
      </c>
      <c r="H332">
        <v>2.5908574673480969E-2</v>
      </c>
      <c r="I332">
        <v>1.6503407155025605E-2</v>
      </c>
      <c r="J332">
        <v>0.39778534923339026</v>
      </c>
      <c r="K332">
        <v>0.57410562180579228</v>
      </c>
      <c r="L332">
        <v>0.67120954003407141</v>
      </c>
      <c r="M332">
        <v>0.74957410562180571</v>
      </c>
      <c r="N332">
        <v>0.82005962521294729</v>
      </c>
      <c r="O332">
        <v>0.85956132879045977</v>
      </c>
      <c r="P332">
        <v>1</v>
      </c>
      <c r="Q332">
        <v>1</v>
      </c>
      <c r="R332">
        <v>1</v>
      </c>
      <c r="S332">
        <v>1</v>
      </c>
      <c r="T332">
        <v>1</v>
      </c>
      <c r="U332">
        <v>1</v>
      </c>
    </row>
    <row r="333" spans="2:21">
      <c r="C333">
        <v>115</v>
      </c>
      <c r="D333">
        <v>0.3628620102214648</v>
      </c>
      <c r="E333">
        <v>0.17206132879045999</v>
      </c>
      <c r="F333">
        <v>9.9659284497444656E-2</v>
      </c>
      <c r="G333">
        <v>5.6643952299829659E-2</v>
      </c>
      <c r="H333">
        <v>2.9812606473594568E-2</v>
      </c>
      <c r="I333">
        <v>1.9165247018739232E-2</v>
      </c>
      <c r="J333">
        <v>0.4020442930153324</v>
      </c>
      <c r="K333">
        <v>0.59284497444633721</v>
      </c>
      <c r="L333">
        <v>0.70144804088586021</v>
      </c>
      <c r="M333">
        <v>0.78747870528109021</v>
      </c>
      <c r="N333">
        <v>0.86797274275979541</v>
      </c>
      <c r="O333">
        <v>0.91269165247018791</v>
      </c>
      <c r="P333">
        <v>1</v>
      </c>
      <c r="Q333">
        <v>1</v>
      </c>
      <c r="R333">
        <v>1</v>
      </c>
      <c r="S333">
        <v>1</v>
      </c>
      <c r="T333">
        <v>1</v>
      </c>
      <c r="U333">
        <v>1</v>
      </c>
    </row>
    <row r="334" spans="2:21">
      <c r="C334">
        <v>125</v>
      </c>
      <c r="D334">
        <v>0.39522998296422496</v>
      </c>
      <c r="E334">
        <v>0.18994889267461668</v>
      </c>
      <c r="F334">
        <v>0.11158432708688237</v>
      </c>
      <c r="G334">
        <v>6.3458262350936878E-2</v>
      </c>
      <c r="H334">
        <v>3.4071550255536646E-2</v>
      </c>
      <c r="I334">
        <v>2.1294718909710412E-2</v>
      </c>
      <c r="J334">
        <v>0.40459965928449737</v>
      </c>
      <c r="K334">
        <v>0.60988074957410565</v>
      </c>
      <c r="L334">
        <v>0.72742759795570711</v>
      </c>
      <c r="M334">
        <v>0.8236797274275981</v>
      </c>
      <c r="N334">
        <v>0.91183986371379877</v>
      </c>
      <c r="O334">
        <v>0.96550255536626894</v>
      </c>
      <c r="P334">
        <v>1</v>
      </c>
      <c r="Q334">
        <v>1</v>
      </c>
      <c r="R334">
        <v>1</v>
      </c>
      <c r="S334">
        <v>1</v>
      </c>
      <c r="T334">
        <v>1</v>
      </c>
      <c r="U334">
        <v>1</v>
      </c>
    </row>
    <row r="335" spans="2:21">
      <c r="C335">
        <v>135</v>
      </c>
      <c r="D335">
        <v>0.42589437819420772</v>
      </c>
      <c r="E335">
        <v>0.20868824531516195</v>
      </c>
      <c r="F335">
        <v>0.12350936967632031</v>
      </c>
      <c r="G335">
        <v>7.0698466780238389E-2</v>
      </c>
      <c r="H335">
        <v>3.7620670073821853E-2</v>
      </c>
      <c r="I335">
        <v>2.4488926746166768E-2</v>
      </c>
      <c r="J335">
        <v>0.40587734241908013</v>
      </c>
      <c r="K335">
        <v>0.62308347529812591</v>
      </c>
      <c r="L335">
        <v>0.75085178875638836</v>
      </c>
      <c r="M335">
        <v>0.85647359454855221</v>
      </c>
      <c r="N335">
        <v>0.9557069846678018</v>
      </c>
      <c r="O335">
        <v>1.0108603066439532</v>
      </c>
      <c r="P335">
        <v>1</v>
      </c>
      <c r="Q335">
        <v>1</v>
      </c>
      <c r="R335">
        <v>1</v>
      </c>
      <c r="S335">
        <v>1</v>
      </c>
      <c r="T335">
        <v>1</v>
      </c>
      <c r="U335">
        <v>1</v>
      </c>
    </row>
    <row r="336" spans="2:21">
      <c r="C336">
        <v>145</v>
      </c>
      <c r="D336">
        <v>0.45570698466780235</v>
      </c>
      <c r="E336">
        <v>0.22572402044293027</v>
      </c>
      <c r="F336">
        <v>0.13543441226575803</v>
      </c>
      <c r="G336">
        <v>7.7938671209540011E-2</v>
      </c>
      <c r="H336">
        <v>4.1879613855763845E-2</v>
      </c>
      <c r="I336">
        <v>2.7150766609880535E-2</v>
      </c>
      <c r="J336">
        <v>0.4063032367972742</v>
      </c>
      <c r="K336">
        <v>0.63628620102214628</v>
      </c>
      <c r="L336">
        <v>0.77172061328790464</v>
      </c>
      <c r="M336">
        <v>0.88671209540034068</v>
      </c>
      <c r="N336">
        <v>0.99488926746166917</v>
      </c>
      <c r="O336">
        <v>1.0567504258943792</v>
      </c>
      <c r="P336">
        <v>1</v>
      </c>
      <c r="Q336">
        <v>1</v>
      </c>
      <c r="R336">
        <v>1</v>
      </c>
      <c r="S336">
        <v>1</v>
      </c>
      <c r="T336">
        <v>1</v>
      </c>
      <c r="U336">
        <v>1</v>
      </c>
    </row>
    <row r="337" spans="2:21">
      <c r="C337">
        <v>155</v>
      </c>
      <c r="D337">
        <v>0.48466780238500839</v>
      </c>
      <c r="E337">
        <v>0.24361158432708696</v>
      </c>
      <c r="F337">
        <v>0.14650766609880739</v>
      </c>
      <c r="G337">
        <v>8.5178875638841633E-2</v>
      </c>
      <c r="H337">
        <v>4.6138557637705829E-2</v>
      </c>
      <c r="I337">
        <v>2.9280238500851714E-2</v>
      </c>
      <c r="J337">
        <v>0.40545144804088606</v>
      </c>
      <c r="K337">
        <v>0.6465076660988075</v>
      </c>
      <c r="L337">
        <v>0.79216354344122686</v>
      </c>
      <c r="M337">
        <v>0.91482112436115837</v>
      </c>
      <c r="N337">
        <v>1.0319420783645659</v>
      </c>
      <c r="O337">
        <v>1.1027470187393531</v>
      </c>
      <c r="P337">
        <v>1</v>
      </c>
      <c r="Q337">
        <v>1</v>
      </c>
      <c r="R337">
        <v>1</v>
      </c>
      <c r="S337">
        <v>1</v>
      </c>
      <c r="T337">
        <v>1</v>
      </c>
      <c r="U337">
        <v>1</v>
      </c>
    </row>
    <row r="338" spans="2:21">
      <c r="B338">
        <v>5</v>
      </c>
      <c r="C338">
        <v>15</v>
      </c>
      <c r="D338">
        <v>0</v>
      </c>
      <c r="E338">
        <v>0</v>
      </c>
      <c r="F338">
        <v>0</v>
      </c>
      <c r="G338">
        <v>0</v>
      </c>
      <c r="H338">
        <v>0</v>
      </c>
      <c r="I338">
        <v>0</v>
      </c>
      <c r="J338">
        <v>0</v>
      </c>
      <c r="K338">
        <v>0</v>
      </c>
      <c r="L338">
        <v>0</v>
      </c>
      <c r="M338">
        <v>0</v>
      </c>
      <c r="N338">
        <v>0</v>
      </c>
      <c r="O338">
        <v>0</v>
      </c>
      <c r="P338">
        <v>0</v>
      </c>
      <c r="Q338">
        <v>0</v>
      </c>
      <c r="R338">
        <v>0</v>
      </c>
      <c r="S338">
        <v>0</v>
      </c>
      <c r="T338">
        <v>0</v>
      </c>
      <c r="U338">
        <v>0</v>
      </c>
    </row>
    <row r="339" spans="2:21">
      <c r="C339">
        <v>25</v>
      </c>
      <c r="D339">
        <v>0</v>
      </c>
      <c r="E339">
        <v>0</v>
      </c>
      <c r="F339">
        <v>0</v>
      </c>
      <c r="G339">
        <v>0</v>
      </c>
      <c r="H339">
        <v>0</v>
      </c>
      <c r="I339">
        <v>0</v>
      </c>
      <c r="J339">
        <v>0</v>
      </c>
      <c r="K339">
        <v>0</v>
      </c>
      <c r="L339">
        <v>0</v>
      </c>
      <c r="M339">
        <v>0</v>
      </c>
      <c r="N339">
        <v>0</v>
      </c>
      <c r="O339">
        <v>0</v>
      </c>
      <c r="P339">
        <v>0</v>
      </c>
      <c r="Q339">
        <v>0</v>
      </c>
      <c r="R339">
        <v>0</v>
      </c>
      <c r="S339">
        <v>0</v>
      </c>
      <c r="T339">
        <v>0</v>
      </c>
      <c r="U339">
        <v>0</v>
      </c>
    </row>
    <row r="340" spans="2:21">
      <c r="C340">
        <v>35</v>
      </c>
      <c r="D340">
        <v>0</v>
      </c>
      <c r="E340">
        <v>0</v>
      </c>
      <c r="F340">
        <v>0</v>
      </c>
      <c r="G340">
        <v>0</v>
      </c>
      <c r="H340">
        <v>0</v>
      </c>
      <c r="I340">
        <v>0</v>
      </c>
      <c r="J340">
        <v>0</v>
      </c>
      <c r="K340">
        <v>0</v>
      </c>
      <c r="L340">
        <v>0</v>
      </c>
      <c r="M340">
        <v>0</v>
      </c>
      <c r="N340">
        <v>0</v>
      </c>
      <c r="O340">
        <v>0</v>
      </c>
      <c r="P340">
        <v>0</v>
      </c>
      <c r="Q340">
        <v>0</v>
      </c>
      <c r="R340">
        <v>0</v>
      </c>
      <c r="S340">
        <v>0</v>
      </c>
      <c r="T340">
        <v>0</v>
      </c>
      <c r="U340">
        <v>0</v>
      </c>
    </row>
    <row r="341" spans="2:21">
      <c r="C341">
        <v>45</v>
      </c>
      <c r="D341">
        <v>0</v>
      </c>
      <c r="E341">
        <v>0</v>
      </c>
      <c r="F341">
        <v>0</v>
      </c>
      <c r="G341">
        <v>0</v>
      </c>
      <c r="H341">
        <v>0</v>
      </c>
      <c r="I341">
        <v>0</v>
      </c>
      <c r="J341">
        <v>0</v>
      </c>
      <c r="K341">
        <v>0</v>
      </c>
      <c r="L341">
        <v>0</v>
      </c>
      <c r="M341">
        <v>0</v>
      </c>
      <c r="N341">
        <v>0</v>
      </c>
      <c r="O341">
        <v>0</v>
      </c>
      <c r="P341">
        <v>0</v>
      </c>
      <c r="Q341">
        <v>0</v>
      </c>
      <c r="R341">
        <v>0</v>
      </c>
      <c r="S341">
        <v>0</v>
      </c>
      <c r="T341">
        <v>0</v>
      </c>
      <c r="U341">
        <v>0</v>
      </c>
    </row>
    <row r="342" spans="2:21">
      <c r="C342">
        <v>55</v>
      </c>
      <c r="D342">
        <v>0</v>
      </c>
      <c r="E342">
        <v>0</v>
      </c>
      <c r="F342">
        <v>0</v>
      </c>
      <c r="G342">
        <v>0</v>
      </c>
      <c r="H342">
        <v>0</v>
      </c>
      <c r="I342">
        <v>0</v>
      </c>
      <c r="J342">
        <v>0</v>
      </c>
      <c r="K342">
        <v>0</v>
      </c>
      <c r="L342">
        <v>0</v>
      </c>
      <c r="M342">
        <v>0</v>
      </c>
      <c r="N342">
        <v>0</v>
      </c>
      <c r="O342">
        <v>0</v>
      </c>
      <c r="P342">
        <v>0</v>
      </c>
      <c r="Q342">
        <v>0</v>
      </c>
      <c r="R342">
        <v>0</v>
      </c>
      <c r="S342">
        <v>0</v>
      </c>
      <c r="T342">
        <v>0</v>
      </c>
      <c r="U342">
        <v>0</v>
      </c>
    </row>
    <row r="343" spans="2:21">
      <c r="C343">
        <v>65</v>
      </c>
      <c r="D343">
        <v>0</v>
      </c>
      <c r="E343">
        <v>0</v>
      </c>
      <c r="F343">
        <v>0</v>
      </c>
      <c r="G343">
        <v>0</v>
      </c>
      <c r="H343">
        <v>0</v>
      </c>
      <c r="I343">
        <v>0</v>
      </c>
      <c r="J343">
        <v>0</v>
      </c>
      <c r="K343">
        <v>0</v>
      </c>
      <c r="L343">
        <v>0</v>
      </c>
      <c r="M343">
        <v>0</v>
      </c>
      <c r="N343">
        <v>0</v>
      </c>
      <c r="O343">
        <v>0</v>
      </c>
      <c r="P343">
        <v>0</v>
      </c>
      <c r="Q343">
        <v>0</v>
      </c>
      <c r="R343">
        <v>0</v>
      </c>
      <c r="S343">
        <v>0</v>
      </c>
      <c r="T343">
        <v>0</v>
      </c>
      <c r="U343">
        <v>0</v>
      </c>
    </row>
    <row r="344" spans="2:21">
      <c r="C344">
        <v>75</v>
      </c>
      <c r="D344">
        <v>0</v>
      </c>
      <c r="E344">
        <v>0</v>
      </c>
      <c r="F344">
        <v>0</v>
      </c>
      <c r="G344">
        <v>0</v>
      </c>
      <c r="H344">
        <v>0</v>
      </c>
      <c r="I344">
        <v>0</v>
      </c>
      <c r="J344">
        <v>0</v>
      </c>
      <c r="K344">
        <v>0</v>
      </c>
      <c r="L344">
        <v>0</v>
      </c>
      <c r="M344">
        <v>0</v>
      </c>
      <c r="N344">
        <v>0</v>
      </c>
      <c r="O344">
        <v>0</v>
      </c>
      <c r="P344">
        <v>0</v>
      </c>
      <c r="Q344">
        <v>0</v>
      </c>
      <c r="R344">
        <v>0</v>
      </c>
      <c r="S344">
        <v>0</v>
      </c>
      <c r="T344">
        <v>0</v>
      </c>
      <c r="U344">
        <v>0</v>
      </c>
    </row>
    <row r="345" spans="2:21">
      <c r="C345">
        <v>85</v>
      </c>
      <c r="D345">
        <v>0</v>
      </c>
      <c r="E345">
        <v>0</v>
      </c>
      <c r="F345">
        <v>0</v>
      </c>
      <c r="G345">
        <v>0</v>
      </c>
      <c r="H345">
        <v>0</v>
      </c>
      <c r="I345">
        <v>0</v>
      </c>
      <c r="J345">
        <v>0</v>
      </c>
      <c r="K345">
        <v>0</v>
      </c>
      <c r="L345">
        <v>0</v>
      </c>
      <c r="M345">
        <v>0</v>
      </c>
      <c r="N345">
        <v>0</v>
      </c>
      <c r="O345">
        <v>0</v>
      </c>
      <c r="P345">
        <v>0</v>
      </c>
      <c r="Q345">
        <v>0</v>
      </c>
      <c r="R345">
        <v>0</v>
      </c>
      <c r="S345">
        <v>0</v>
      </c>
      <c r="T345">
        <v>0</v>
      </c>
      <c r="U345">
        <v>0</v>
      </c>
    </row>
    <row r="346" spans="2:21">
      <c r="C346">
        <v>95</v>
      </c>
      <c r="D346">
        <v>0</v>
      </c>
      <c r="E346">
        <v>0</v>
      </c>
      <c r="F346">
        <v>0</v>
      </c>
      <c r="G346">
        <v>0</v>
      </c>
      <c r="H346">
        <v>0</v>
      </c>
      <c r="I346">
        <v>0</v>
      </c>
      <c r="J346">
        <v>0</v>
      </c>
      <c r="K346">
        <v>0</v>
      </c>
      <c r="L346">
        <v>0</v>
      </c>
      <c r="M346">
        <v>0</v>
      </c>
      <c r="N346">
        <v>0</v>
      </c>
      <c r="O346">
        <v>0</v>
      </c>
      <c r="P346">
        <v>0</v>
      </c>
      <c r="Q346">
        <v>0</v>
      </c>
      <c r="R346">
        <v>0</v>
      </c>
      <c r="S346">
        <v>0</v>
      </c>
      <c r="T346">
        <v>0</v>
      </c>
      <c r="U346">
        <v>0</v>
      </c>
    </row>
    <row r="347" spans="2:21">
      <c r="C347">
        <v>105</v>
      </c>
      <c r="D347">
        <v>0</v>
      </c>
      <c r="E347">
        <v>0</v>
      </c>
      <c r="F347">
        <v>0</v>
      </c>
      <c r="G347">
        <v>0</v>
      </c>
      <c r="H347">
        <v>0</v>
      </c>
      <c r="I347">
        <v>0</v>
      </c>
      <c r="J347">
        <v>0</v>
      </c>
      <c r="K347">
        <v>0</v>
      </c>
      <c r="L347">
        <v>0</v>
      </c>
      <c r="M347">
        <v>0</v>
      </c>
      <c r="N347">
        <v>0</v>
      </c>
      <c r="O347">
        <v>0</v>
      </c>
      <c r="P347">
        <v>0</v>
      </c>
      <c r="Q347">
        <v>0</v>
      </c>
      <c r="R347">
        <v>0</v>
      </c>
      <c r="S347">
        <v>0</v>
      </c>
      <c r="T347">
        <v>0</v>
      </c>
      <c r="U347">
        <v>0</v>
      </c>
    </row>
    <row r="348" spans="2:21">
      <c r="C348">
        <v>115</v>
      </c>
      <c r="D348">
        <v>0</v>
      </c>
      <c r="E348">
        <v>0</v>
      </c>
      <c r="F348">
        <v>0</v>
      </c>
      <c r="G348">
        <v>0</v>
      </c>
      <c r="H348">
        <v>0</v>
      </c>
      <c r="I348">
        <v>0</v>
      </c>
      <c r="J348">
        <v>0</v>
      </c>
      <c r="K348">
        <v>0</v>
      </c>
      <c r="L348">
        <v>0</v>
      </c>
      <c r="M348">
        <v>0</v>
      </c>
      <c r="N348">
        <v>0</v>
      </c>
      <c r="O348">
        <v>0</v>
      </c>
      <c r="P348">
        <v>0</v>
      </c>
      <c r="Q348">
        <v>0</v>
      </c>
      <c r="R348">
        <v>0</v>
      </c>
      <c r="S348">
        <v>0</v>
      </c>
      <c r="T348">
        <v>0</v>
      </c>
      <c r="U348">
        <v>0</v>
      </c>
    </row>
    <row r="349" spans="2:21">
      <c r="C349">
        <v>125</v>
      </c>
      <c r="D349">
        <v>0</v>
      </c>
      <c r="E349">
        <v>0</v>
      </c>
      <c r="F349">
        <v>0</v>
      </c>
      <c r="G349">
        <v>0</v>
      </c>
      <c r="H349">
        <v>0</v>
      </c>
      <c r="I349">
        <v>0</v>
      </c>
      <c r="J349">
        <v>0</v>
      </c>
      <c r="K349">
        <v>0</v>
      </c>
      <c r="L349">
        <v>0</v>
      </c>
      <c r="M349">
        <v>0</v>
      </c>
      <c r="N349">
        <v>0</v>
      </c>
      <c r="O349">
        <v>0</v>
      </c>
      <c r="P349">
        <v>0</v>
      </c>
      <c r="Q349">
        <v>0</v>
      </c>
      <c r="R349">
        <v>0</v>
      </c>
      <c r="S349">
        <v>0</v>
      </c>
      <c r="T349">
        <v>0</v>
      </c>
      <c r="U349">
        <v>0</v>
      </c>
    </row>
    <row r="350" spans="2:21">
      <c r="C350">
        <v>135</v>
      </c>
      <c r="D350">
        <v>0</v>
      </c>
      <c r="E350">
        <v>0</v>
      </c>
      <c r="F350">
        <v>0</v>
      </c>
      <c r="G350">
        <v>0</v>
      </c>
      <c r="H350">
        <v>0</v>
      </c>
      <c r="I350">
        <v>0</v>
      </c>
      <c r="J350">
        <v>0</v>
      </c>
      <c r="K350">
        <v>0</v>
      </c>
      <c r="L350">
        <v>0</v>
      </c>
      <c r="M350">
        <v>0</v>
      </c>
      <c r="N350">
        <v>0</v>
      </c>
      <c r="O350">
        <v>0</v>
      </c>
      <c r="P350">
        <v>0</v>
      </c>
      <c r="Q350">
        <v>0</v>
      </c>
      <c r="R350">
        <v>0</v>
      </c>
      <c r="S350">
        <v>0</v>
      </c>
      <c r="T350">
        <v>0</v>
      </c>
      <c r="U350">
        <v>0</v>
      </c>
    </row>
    <row r="351" spans="2:21">
      <c r="C351">
        <v>145</v>
      </c>
      <c r="D351">
        <v>0</v>
      </c>
      <c r="E351">
        <v>0</v>
      </c>
      <c r="F351">
        <v>0</v>
      </c>
      <c r="G351">
        <v>0</v>
      </c>
      <c r="H351">
        <v>0</v>
      </c>
      <c r="I351">
        <v>0</v>
      </c>
      <c r="J351">
        <v>0</v>
      </c>
      <c r="K351">
        <v>0</v>
      </c>
      <c r="L351">
        <v>0</v>
      </c>
      <c r="M351">
        <v>0</v>
      </c>
      <c r="N351">
        <v>0</v>
      </c>
      <c r="O351">
        <v>0</v>
      </c>
      <c r="P351">
        <v>0</v>
      </c>
      <c r="Q351">
        <v>0</v>
      </c>
      <c r="R351">
        <v>0</v>
      </c>
      <c r="S351">
        <v>0</v>
      </c>
      <c r="T351">
        <v>0</v>
      </c>
      <c r="U351">
        <v>0</v>
      </c>
    </row>
    <row r="352" spans="2:21">
      <c r="C352">
        <v>155</v>
      </c>
      <c r="D352">
        <v>0</v>
      </c>
      <c r="E352">
        <v>0</v>
      </c>
      <c r="F352">
        <v>0</v>
      </c>
      <c r="G352">
        <v>0</v>
      </c>
      <c r="H352">
        <v>0</v>
      </c>
      <c r="I352">
        <v>0</v>
      </c>
      <c r="J352">
        <v>0</v>
      </c>
      <c r="K352">
        <v>0</v>
      </c>
      <c r="L352">
        <v>0</v>
      </c>
      <c r="M352">
        <v>0</v>
      </c>
      <c r="N352">
        <v>0</v>
      </c>
      <c r="O352">
        <v>0</v>
      </c>
      <c r="P352">
        <v>0</v>
      </c>
      <c r="Q352">
        <v>0</v>
      </c>
      <c r="R352">
        <v>0</v>
      </c>
      <c r="S352">
        <v>0</v>
      </c>
      <c r="T352">
        <v>0</v>
      </c>
      <c r="U352">
        <v>0</v>
      </c>
    </row>
    <row r="353" spans="2:21">
      <c r="B353">
        <v>6</v>
      </c>
      <c r="C353">
        <v>15</v>
      </c>
      <c r="D353">
        <v>3.7478705281090263E-2</v>
      </c>
      <c r="E353">
        <v>1.3628620102214661E-2</v>
      </c>
      <c r="F353">
        <v>6.8143100511073307E-3</v>
      </c>
      <c r="G353">
        <v>3.4071550255536653E-3</v>
      </c>
      <c r="H353">
        <v>1.7745599091425568E-3</v>
      </c>
      <c r="I353">
        <v>1.0647359454854512E-3</v>
      </c>
      <c r="J353">
        <v>0.21976149914821125</v>
      </c>
      <c r="K353">
        <v>0.24361158432708685</v>
      </c>
      <c r="L353">
        <v>0.25383304940374785</v>
      </c>
      <c r="M353">
        <v>0.26064735945485518</v>
      </c>
      <c r="N353">
        <v>0.26554514480408853</v>
      </c>
      <c r="O353">
        <v>0.26852640545144835</v>
      </c>
      <c r="P353">
        <v>1</v>
      </c>
      <c r="Q353">
        <v>1</v>
      </c>
      <c r="R353">
        <v>1</v>
      </c>
      <c r="S353">
        <v>1</v>
      </c>
      <c r="T353">
        <v>1</v>
      </c>
      <c r="U353">
        <v>1</v>
      </c>
    </row>
    <row r="354" spans="2:21">
      <c r="C354">
        <v>25</v>
      </c>
      <c r="D354">
        <v>9.028960817717202E-2</v>
      </c>
      <c r="E354">
        <v>3.4923339011925125E-2</v>
      </c>
      <c r="F354">
        <v>1.7887563884156688E-2</v>
      </c>
      <c r="G354">
        <v>9.7955706984668156E-3</v>
      </c>
      <c r="H354">
        <v>4.6138557637705651E-3</v>
      </c>
      <c r="I354">
        <v>2.6618398637137668E-3</v>
      </c>
      <c r="J354">
        <v>0.30536626916524706</v>
      </c>
      <c r="K354">
        <v>0.36073253833049396</v>
      </c>
      <c r="L354">
        <v>0.38628620102214661</v>
      </c>
      <c r="M354">
        <v>0.40247018739352636</v>
      </c>
      <c r="N354">
        <v>0.41801533219761511</v>
      </c>
      <c r="O354">
        <v>0.42621379897785366</v>
      </c>
      <c r="P354">
        <v>1</v>
      </c>
      <c r="Q354">
        <v>1</v>
      </c>
      <c r="R354">
        <v>1</v>
      </c>
      <c r="S354">
        <v>1</v>
      </c>
      <c r="T354">
        <v>1</v>
      </c>
      <c r="U354">
        <v>1</v>
      </c>
    </row>
    <row r="355" spans="2:21">
      <c r="C355">
        <v>35</v>
      </c>
      <c r="D355">
        <v>0.16183986371379888</v>
      </c>
      <c r="E355">
        <v>6.1328790459966198E-2</v>
      </c>
      <c r="F355">
        <v>3.3219761499148071E-2</v>
      </c>
      <c r="G355">
        <v>1.7461669505962507E-2</v>
      </c>
      <c r="H355">
        <v>8.8727995457126459E-3</v>
      </c>
      <c r="I355">
        <v>5.3236797274276723E-3</v>
      </c>
      <c r="J355">
        <v>0.35178875638841567</v>
      </c>
      <c r="K355">
        <v>0.45229982964224835</v>
      </c>
      <c r="L355">
        <v>0.49446337308347554</v>
      </c>
      <c r="M355">
        <v>0.52597955706984667</v>
      </c>
      <c r="N355">
        <v>0.55174616695059631</v>
      </c>
      <c r="O355">
        <v>0.56665247018739318</v>
      </c>
      <c r="P355">
        <v>1</v>
      </c>
      <c r="Q355">
        <v>1</v>
      </c>
      <c r="R355">
        <v>1</v>
      </c>
      <c r="S355">
        <v>1</v>
      </c>
      <c r="T355">
        <v>1</v>
      </c>
      <c r="U355">
        <v>1</v>
      </c>
    </row>
    <row r="356" spans="2:21">
      <c r="C356">
        <v>45</v>
      </c>
      <c r="D356">
        <v>0.2197614991482113</v>
      </c>
      <c r="E356">
        <v>9.1993185689948742E-2</v>
      </c>
      <c r="F356">
        <v>5.0255536626916619E-2</v>
      </c>
      <c r="G356">
        <v>2.6831345826235031E-2</v>
      </c>
      <c r="H356">
        <v>1.3841567291311786E-2</v>
      </c>
      <c r="I356">
        <v>8.5178875638841651E-3</v>
      </c>
      <c r="J356">
        <v>0.39522998296422485</v>
      </c>
      <c r="K356">
        <v>0.52299829642248741</v>
      </c>
      <c r="L356">
        <v>0.58560477001703559</v>
      </c>
      <c r="M356">
        <v>0.63245315161839877</v>
      </c>
      <c r="N356">
        <v>0.67142248722316855</v>
      </c>
      <c r="O356">
        <v>0.69378194207836452</v>
      </c>
      <c r="P356">
        <v>1</v>
      </c>
      <c r="Q356">
        <v>1</v>
      </c>
      <c r="R356">
        <v>1</v>
      </c>
      <c r="S356">
        <v>1</v>
      </c>
      <c r="T356">
        <v>1</v>
      </c>
      <c r="U356">
        <v>1</v>
      </c>
    </row>
    <row r="357" spans="2:21">
      <c r="C357">
        <v>55</v>
      </c>
      <c r="D357">
        <v>0.28620102214650767</v>
      </c>
      <c r="E357">
        <v>0.12436115843270867</v>
      </c>
      <c r="F357">
        <v>6.8994889267461668E-2</v>
      </c>
      <c r="G357">
        <v>3.7904599659284388E-2</v>
      </c>
      <c r="H357">
        <v>1.9165247018739413E-2</v>
      </c>
      <c r="I357">
        <v>1.2244463373083523E-2</v>
      </c>
      <c r="J357">
        <v>0.41695059625212949</v>
      </c>
      <c r="K357">
        <v>0.57879045996592848</v>
      </c>
      <c r="L357">
        <v>0.66183986371379899</v>
      </c>
      <c r="M357">
        <v>0.72402044293015355</v>
      </c>
      <c r="N357">
        <v>0.78023850085178847</v>
      </c>
      <c r="O357">
        <v>0.80930579216354326</v>
      </c>
      <c r="P357">
        <v>1</v>
      </c>
      <c r="Q357">
        <v>1</v>
      </c>
      <c r="R357">
        <v>1</v>
      </c>
      <c r="S357">
        <v>1</v>
      </c>
      <c r="T357">
        <v>1</v>
      </c>
      <c r="U357">
        <v>1</v>
      </c>
    </row>
    <row r="358" spans="2:21">
      <c r="C358">
        <v>65</v>
      </c>
      <c r="D358">
        <v>0.35178875638841545</v>
      </c>
      <c r="E358">
        <v>0.15758091993185697</v>
      </c>
      <c r="F358">
        <v>8.943781942078366E-2</v>
      </c>
      <c r="G358">
        <v>4.9403747870528147E-2</v>
      </c>
      <c r="H358">
        <v>2.5198750709824004E-2</v>
      </c>
      <c r="I358">
        <v>1.3309199318568835E-2</v>
      </c>
      <c r="J358">
        <v>0.42887563884156743</v>
      </c>
      <c r="K358">
        <v>0.62308347529812591</v>
      </c>
      <c r="L358">
        <v>0.72529812606473587</v>
      </c>
      <c r="M358">
        <v>0.8053662691652469</v>
      </c>
      <c r="N358">
        <v>0.87798126064735937</v>
      </c>
      <c r="O358">
        <v>0.927917376490631</v>
      </c>
      <c r="P358">
        <v>1</v>
      </c>
      <c r="Q358">
        <v>1</v>
      </c>
      <c r="R358">
        <v>1</v>
      </c>
      <c r="S358">
        <v>1</v>
      </c>
      <c r="T358">
        <v>1</v>
      </c>
      <c r="U358">
        <v>1</v>
      </c>
    </row>
    <row r="359" spans="2:21">
      <c r="C359">
        <v>75</v>
      </c>
      <c r="D359">
        <v>0.41396933560477001</v>
      </c>
      <c r="E359">
        <v>0.19165247018739362</v>
      </c>
      <c r="F359">
        <v>0.11073253833049401</v>
      </c>
      <c r="G359">
        <v>6.1328790459965976E-2</v>
      </c>
      <c r="H359">
        <v>3.1942078364565564E-2</v>
      </c>
      <c r="I359">
        <v>2.0229982964224961E-2</v>
      </c>
      <c r="J359">
        <v>0.43483816013628618</v>
      </c>
      <c r="K359">
        <v>0.65715502555366256</v>
      </c>
      <c r="L359">
        <v>0.77853492333901197</v>
      </c>
      <c r="M359">
        <v>0.87734241908006805</v>
      </c>
      <c r="N359">
        <v>0.96550255536626928</v>
      </c>
      <c r="O359">
        <v>1.0146933560476998</v>
      </c>
      <c r="P359">
        <v>1</v>
      </c>
      <c r="Q359">
        <v>1</v>
      </c>
      <c r="R359">
        <v>1</v>
      </c>
      <c r="S359">
        <v>1</v>
      </c>
      <c r="T359">
        <v>1</v>
      </c>
      <c r="U359">
        <v>1</v>
      </c>
    </row>
    <row r="360" spans="2:21">
      <c r="C360">
        <v>85</v>
      </c>
      <c r="D360">
        <v>0.47359454855195904</v>
      </c>
      <c r="E360">
        <v>0.22572402044293005</v>
      </c>
      <c r="F360">
        <v>0.13202725724020459</v>
      </c>
      <c r="G360">
        <v>7.4105621805792055E-2</v>
      </c>
      <c r="H360">
        <v>3.904031800113579E-2</v>
      </c>
      <c r="I360">
        <v>2.4488926746167046E-2</v>
      </c>
      <c r="J360">
        <v>0.43611584327086894</v>
      </c>
      <c r="K360">
        <v>0.68398637137989793</v>
      </c>
      <c r="L360">
        <v>0.82453151618398612</v>
      </c>
      <c r="M360">
        <v>0.94037478705281119</v>
      </c>
      <c r="N360">
        <v>1.0455706984667801</v>
      </c>
      <c r="O360">
        <v>1.1066865417376488</v>
      </c>
      <c r="P360">
        <v>1</v>
      </c>
      <c r="Q360">
        <v>1</v>
      </c>
      <c r="R360">
        <v>1</v>
      </c>
      <c r="S360">
        <v>1</v>
      </c>
      <c r="T360">
        <v>1</v>
      </c>
      <c r="U360">
        <v>1</v>
      </c>
    </row>
    <row r="361" spans="2:21">
      <c r="C361">
        <v>95</v>
      </c>
      <c r="D361">
        <v>0.53066439522998299</v>
      </c>
      <c r="E361">
        <v>0.25894378194207857</v>
      </c>
      <c r="F361">
        <v>0.15332197614991472</v>
      </c>
      <c r="G361">
        <v>8.6882453151618355E-2</v>
      </c>
      <c r="H361">
        <v>4.6138557637705829E-2</v>
      </c>
      <c r="I361">
        <v>2.9280238500851714E-2</v>
      </c>
      <c r="J361">
        <v>0.43398637137989771</v>
      </c>
      <c r="K361">
        <v>0.70570698466780213</v>
      </c>
      <c r="L361">
        <v>0.8641396933560479</v>
      </c>
      <c r="M361">
        <v>0.99701873935264063</v>
      </c>
      <c r="N361">
        <v>1.1192504258943783</v>
      </c>
      <c r="O361">
        <v>1.1900553662691655</v>
      </c>
      <c r="P361">
        <v>1</v>
      </c>
      <c r="Q361">
        <v>1</v>
      </c>
      <c r="R361">
        <v>1</v>
      </c>
      <c r="S361">
        <v>1</v>
      </c>
      <c r="T361">
        <v>1</v>
      </c>
      <c r="U361">
        <v>1</v>
      </c>
    </row>
    <row r="362" spans="2:21">
      <c r="C362">
        <v>105</v>
      </c>
      <c r="D362">
        <v>0.58262350936967633</v>
      </c>
      <c r="E362">
        <v>0.29216354344122619</v>
      </c>
      <c r="F362">
        <v>0.17546848381601388</v>
      </c>
      <c r="G362">
        <v>0.10008517887563895</v>
      </c>
      <c r="H362">
        <v>5.3591709256104451E-2</v>
      </c>
      <c r="I362">
        <v>3.407155025553666E-2</v>
      </c>
      <c r="J362">
        <v>0.43100511073253833</v>
      </c>
      <c r="K362">
        <v>0.72146507666098847</v>
      </c>
      <c r="L362">
        <v>0.89650766609880694</v>
      </c>
      <c r="M362">
        <v>1.0472742759795568</v>
      </c>
      <c r="N362">
        <v>1.1867546848381603</v>
      </c>
      <c r="O362">
        <v>1.268739352640545</v>
      </c>
      <c r="P362">
        <v>1</v>
      </c>
      <c r="Q362">
        <v>1</v>
      </c>
      <c r="R362">
        <v>1</v>
      </c>
      <c r="S362">
        <v>1</v>
      </c>
      <c r="T362">
        <v>1</v>
      </c>
      <c r="U362">
        <v>1</v>
      </c>
    </row>
    <row r="363" spans="2:21">
      <c r="C363">
        <v>115</v>
      </c>
      <c r="D363">
        <v>0.63287904599659317</v>
      </c>
      <c r="E363">
        <v>0.32453151618398612</v>
      </c>
      <c r="F363">
        <v>0.19676320272572401</v>
      </c>
      <c r="G363">
        <v>0.11328790459965932</v>
      </c>
      <c r="H363">
        <v>6.1044860874503067E-2</v>
      </c>
      <c r="I363">
        <v>3.9395229982964193E-2</v>
      </c>
      <c r="J363">
        <v>0.42546848381601343</v>
      </c>
      <c r="K363">
        <v>0.73381601362862048</v>
      </c>
      <c r="L363">
        <v>0.92546848381601365</v>
      </c>
      <c r="M363">
        <v>1.092419080068143</v>
      </c>
      <c r="N363">
        <v>1.2491482112436119</v>
      </c>
      <c r="O363">
        <v>1.340076660988075</v>
      </c>
      <c r="P363">
        <v>1</v>
      </c>
      <c r="Q363">
        <v>1</v>
      </c>
      <c r="R363">
        <v>1</v>
      </c>
      <c r="S363">
        <v>1</v>
      </c>
      <c r="T363">
        <v>1</v>
      </c>
      <c r="U363">
        <v>1</v>
      </c>
    </row>
    <row r="364" spans="2:21">
      <c r="C364">
        <v>125</v>
      </c>
      <c r="D364">
        <v>0.6797274275979559</v>
      </c>
      <c r="E364">
        <v>0.35604770017035747</v>
      </c>
      <c r="F364">
        <v>0.21805792163543458</v>
      </c>
      <c r="G364">
        <v>0.12691652470187376</v>
      </c>
      <c r="H364">
        <v>6.8498012492901869E-2</v>
      </c>
      <c r="I364">
        <v>4.4718909710392003E-2</v>
      </c>
      <c r="J364">
        <v>0.41908006814310039</v>
      </c>
      <c r="K364">
        <v>0.74275979557069882</v>
      </c>
      <c r="L364">
        <v>0.94974446337308316</v>
      </c>
      <c r="M364">
        <v>1.1320272572402048</v>
      </c>
      <c r="N364">
        <v>1.3072827938671205</v>
      </c>
      <c r="O364">
        <v>1.407155025553662</v>
      </c>
      <c r="P364">
        <v>1</v>
      </c>
      <c r="Q364">
        <v>1</v>
      </c>
      <c r="R364">
        <v>1</v>
      </c>
      <c r="S364">
        <v>1</v>
      </c>
      <c r="T364">
        <v>1</v>
      </c>
      <c r="U364">
        <v>1</v>
      </c>
    </row>
    <row r="365" spans="2:21">
      <c r="C365">
        <v>135</v>
      </c>
      <c r="D365">
        <v>0.72487223168654191</v>
      </c>
      <c r="E365">
        <v>0.3858603066439521</v>
      </c>
      <c r="F365">
        <v>0.23935264054514471</v>
      </c>
      <c r="G365">
        <v>0.16993185689948898</v>
      </c>
      <c r="H365">
        <v>7.6660988074957276E-2</v>
      </c>
      <c r="I365">
        <v>4.9510221465076679E-2</v>
      </c>
      <c r="J365">
        <v>0.4114139693356047</v>
      </c>
      <c r="K365">
        <v>0.75042589437819451</v>
      </c>
      <c r="L365">
        <v>0.97018739352640559</v>
      </c>
      <c r="M365">
        <v>1.1090289608177171</v>
      </c>
      <c r="N365">
        <v>1.3590289608177177</v>
      </c>
      <c r="O365">
        <v>1.4730621805792163</v>
      </c>
      <c r="P365">
        <v>1</v>
      </c>
      <c r="Q365">
        <v>1</v>
      </c>
      <c r="R365">
        <v>1</v>
      </c>
      <c r="S365">
        <v>1</v>
      </c>
      <c r="T365">
        <v>1</v>
      </c>
      <c r="U365">
        <v>1</v>
      </c>
    </row>
    <row r="366" spans="2:21">
      <c r="C366">
        <v>145</v>
      </c>
      <c r="D366">
        <v>0.76660988074957448</v>
      </c>
      <c r="E366">
        <v>0.41567291311754673</v>
      </c>
      <c r="F366">
        <v>0.2597955706984667</v>
      </c>
      <c r="G366">
        <v>0.15332197614991472</v>
      </c>
      <c r="H366">
        <v>8.4469051675184467E-2</v>
      </c>
      <c r="I366">
        <v>5.4833901192504211E-2</v>
      </c>
      <c r="J366">
        <v>0.40374787052810879</v>
      </c>
      <c r="K366">
        <v>0.75468483816013654</v>
      </c>
      <c r="L366">
        <v>0.98850085178875657</v>
      </c>
      <c r="M366">
        <v>1.2014480408858605</v>
      </c>
      <c r="N366">
        <v>1.4080068143100513</v>
      </c>
      <c r="O366">
        <v>1.5324744463373083</v>
      </c>
      <c r="P366">
        <v>1</v>
      </c>
      <c r="Q366">
        <v>1</v>
      </c>
      <c r="R366">
        <v>1</v>
      </c>
      <c r="S366">
        <v>1</v>
      </c>
      <c r="T366">
        <v>1</v>
      </c>
      <c r="U366">
        <v>1</v>
      </c>
    </row>
    <row r="367" spans="2:21">
      <c r="C367">
        <v>155</v>
      </c>
      <c r="D367">
        <v>0.80494037478705271</v>
      </c>
      <c r="E367">
        <v>0.44463373083475277</v>
      </c>
      <c r="F367">
        <v>0.28023850085178914</v>
      </c>
      <c r="G367">
        <v>0.16695059625212938</v>
      </c>
      <c r="H367">
        <v>9.2277115275411853E-2</v>
      </c>
      <c r="I367">
        <v>6.0157580919931744E-2</v>
      </c>
      <c r="J367">
        <v>0.39650766609880761</v>
      </c>
      <c r="K367">
        <v>0.75681431005110755</v>
      </c>
      <c r="L367">
        <v>1.003407155025553</v>
      </c>
      <c r="M367">
        <v>1.2299829642248725</v>
      </c>
      <c r="N367">
        <v>1.454003407155025</v>
      </c>
      <c r="O367">
        <v>1.5889054514480416</v>
      </c>
      <c r="P367">
        <v>1</v>
      </c>
      <c r="Q367">
        <v>1</v>
      </c>
      <c r="R367">
        <v>1</v>
      </c>
      <c r="S367">
        <v>1</v>
      </c>
      <c r="T367">
        <v>1</v>
      </c>
      <c r="U367">
        <v>1</v>
      </c>
    </row>
    <row r="368" spans="2:21">
      <c r="B368">
        <v>7</v>
      </c>
      <c r="C368">
        <v>15</v>
      </c>
      <c r="D368">
        <v>0</v>
      </c>
      <c r="E368">
        <v>0</v>
      </c>
      <c r="F368">
        <v>0</v>
      </c>
      <c r="G368">
        <v>0</v>
      </c>
      <c r="H368">
        <v>0</v>
      </c>
      <c r="I368">
        <v>0</v>
      </c>
      <c r="J368">
        <v>0</v>
      </c>
      <c r="K368">
        <v>0</v>
      </c>
      <c r="L368">
        <v>0</v>
      </c>
      <c r="M368">
        <v>0</v>
      </c>
      <c r="N368">
        <v>0</v>
      </c>
      <c r="O368">
        <v>0</v>
      </c>
      <c r="P368">
        <v>0</v>
      </c>
      <c r="Q368">
        <v>0</v>
      </c>
      <c r="R368">
        <v>0</v>
      </c>
      <c r="S368">
        <v>0</v>
      </c>
      <c r="T368">
        <v>0</v>
      </c>
      <c r="U368">
        <v>0</v>
      </c>
    </row>
    <row r="369" spans="2:21">
      <c r="C369">
        <v>25</v>
      </c>
      <c r="D369">
        <v>0</v>
      </c>
      <c r="E369">
        <v>0</v>
      </c>
      <c r="F369">
        <v>0</v>
      </c>
      <c r="G369">
        <v>0</v>
      </c>
      <c r="H369">
        <v>0</v>
      </c>
      <c r="I369">
        <v>0</v>
      </c>
      <c r="J369">
        <v>0</v>
      </c>
      <c r="K369">
        <v>0</v>
      </c>
      <c r="L369">
        <v>0</v>
      </c>
      <c r="M369">
        <v>0</v>
      </c>
      <c r="N369">
        <v>0</v>
      </c>
      <c r="O369">
        <v>0</v>
      </c>
      <c r="P369">
        <v>0</v>
      </c>
      <c r="Q369">
        <v>0</v>
      </c>
      <c r="R369">
        <v>0</v>
      </c>
      <c r="S369">
        <v>0</v>
      </c>
      <c r="T369">
        <v>0</v>
      </c>
      <c r="U369">
        <v>0</v>
      </c>
    </row>
    <row r="370" spans="2:21">
      <c r="C370">
        <v>35</v>
      </c>
      <c r="D370">
        <v>0</v>
      </c>
      <c r="E370">
        <v>0</v>
      </c>
      <c r="F370">
        <v>0</v>
      </c>
      <c r="G370">
        <v>0</v>
      </c>
      <c r="H370">
        <v>0</v>
      </c>
      <c r="I370">
        <v>0</v>
      </c>
      <c r="J370">
        <v>0</v>
      </c>
      <c r="K370">
        <v>0</v>
      </c>
      <c r="L370">
        <v>0</v>
      </c>
      <c r="M370">
        <v>0</v>
      </c>
      <c r="N370">
        <v>0</v>
      </c>
      <c r="O370">
        <v>0</v>
      </c>
      <c r="P370">
        <v>0</v>
      </c>
      <c r="Q370">
        <v>0</v>
      </c>
      <c r="R370">
        <v>0</v>
      </c>
      <c r="S370">
        <v>0</v>
      </c>
      <c r="T370">
        <v>0</v>
      </c>
      <c r="U370">
        <v>0</v>
      </c>
    </row>
    <row r="371" spans="2:21">
      <c r="C371">
        <v>45</v>
      </c>
      <c r="D371">
        <v>0</v>
      </c>
      <c r="E371">
        <v>0</v>
      </c>
      <c r="F371">
        <v>0</v>
      </c>
      <c r="G371">
        <v>0</v>
      </c>
      <c r="H371">
        <v>0</v>
      </c>
      <c r="I371">
        <v>0</v>
      </c>
      <c r="J371">
        <v>0</v>
      </c>
      <c r="K371">
        <v>0</v>
      </c>
      <c r="L371">
        <v>0</v>
      </c>
      <c r="M371">
        <v>0</v>
      </c>
      <c r="N371">
        <v>0</v>
      </c>
      <c r="O371">
        <v>0</v>
      </c>
      <c r="P371">
        <v>0</v>
      </c>
      <c r="Q371">
        <v>0</v>
      </c>
      <c r="R371">
        <v>0</v>
      </c>
      <c r="S371">
        <v>0</v>
      </c>
      <c r="T371">
        <v>0</v>
      </c>
      <c r="U371">
        <v>0</v>
      </c>
    </row>
    <row r="372" spans="2:21">
      <c r="C372">
        <v>55</v>
      </c>
      <c r="D372">
        <v>0</v>
      </c>
      <c r="E372">
        <v>0</v>
      </c>
      <c r="F372">
        <v>0</v>
      </c>
      <c r="G372">
        <v>0</v>
      </c>
      <c r="H372">
        <v>0</v>
      </c>
      <c r="I372">
        <v>0</v>
      </c>
      <c r="J372">
        <v>0</v>
      </c>
      <c r="K372">
        <v>0</v>
      </c>
      <c r="L372">
        <v>0</v>
      </c>
      <c r="M372">
        <v>0</v>
      </c>
      <c r="N372">
        <v>0</v>
      </c>
      <c r="O372">
        <v>0</v>
      </c>
      <c r="P372">
        <v>0</v>
      </c>
      <c r="Q372">
        <v>0</v>
      </c>
      <c r="R372">
        <v>0</v>
      </c>
      <c r="S372">
        <v>0</v>
      </c>
      <c r="T372">
        <v>0</v>
      </c>
      <c r="U372">
        <v>0</v>
      </c>
    </row>
    <row r="373" spans="2:21">
      <c r="C373">
        <v>65</v>
      </c>
      <c r="D373">
        <v>0</v>
      </c>
      <c r="E373">
        <v>0</v>
      </c>
      <c r="F373">
        <v>0</v>
      </c>
      <c r="G373">
        <v>0</v>
      </c>
      <c r="H373">
        <v>0</v>
      </c>
      <c r="I373">
        <v>0</v>
      </c>
      <c r="J373">
        <v>0</v>
      </c>
      <c r="K373">
        <v>0</v>
      </c>
      <c r="L373">
        <v>0</v>
      </c>
      <c r="M373">
        <v>0</v>
      </c>
      <c r="N373">
        <v>0</v>
      </c>
      <c r="O373">
        <v>0</v>
      </c>
      <c r="P373">
        <v>0</v>
      </c>
      <c r="Q373">
        <v>0</v>
      </c>
      <c r="R373">
        <v>0</v>
      </c>
      <c r="S373">
        <v>0</v>
      </c>
      <c r="T373">
        <v>0</v>
      </c>
      <c r="U373">
        <v>0</v>
      </c>
    </row>
    <row r="374" spans="2:21">
      <c r="C374">
        <v>75</v>
      </c>
      <c r="D374">
        <v>0</v>
      </c>
      <c r="E374">
        <v>0</v>
      </c>
      <c r="F374">
        <v>0</v>
      </c>
      <c r="G374">
        <v>0</v>
      </c>
      <c r="H374">
        <v>0</v>
      </c>
      <c r="I374">
        <v>0</v>
      </c>
      <c r="J374">
        <v>0</v>
      </c>
      <c r="K374">
        <v>0</v>
      </c>
      <c r="L374">
        <v>0</v>
      </c>
      <c r="M374">
        <v>0</v>
      </c>
      <c r="N374">
        <v>0</v>
      </c>
      <c r="O374">
        <v>0</v>
      </c>
      <c r="P374">
        <v>0</v>
      </c>
      <c r="Q374">
        <v>0</v>
      </c>
      <c r="R374">
        <v>0</v>
      </c>
      <c r="S374">
        <v>0</v>
      </c>
      <c r="T374">
        <v>0</v>
      </c>
      <c r="U374">
        <v>0</v>
      </c>
    </row>
    <row r="375" spans="2:21">
      <c r="C375">
        <v>85</v>
      </c>
      <c r="D375">
        <v>0</v>
      </c>
      <c r="E375">
        <v>0</v>
      </c>
      <c r="F375">
        <v>0</v>
      </c>
      <c r="G375">
        <v>0</v>
      </c>
      <c r="H375">
        <v>0</v>
      </c>
      <c r="I375">
        <v>0</v>
      </c>
      <c r="J375">
        <v>0</v>
      </c>
      <c r="K375">
        <v>0</v>
      </c>
      <c r="L375">
        <v>0</v>
      </c>
      <c r="M375">
        <v>0</v>
      </c>
      <c r="N375">
        <v>0</v>
      </c>
      <c r="O375">
        <v>0</v>
      </c>
      <c r="P375">
        <v>0</v>
      </c>
      <c r="Q375">
        <v>0</v>
      </c>
      <c r="R375">
        <v>0</v>
      </c>
      <c r="S375">
        <v>0</v>
      </c>
      <c r="T375">
        <v>0</v>
      </c>
      <c r="U375">
        <v>0</v>
      </c>
    </row>
    <row r="376" spans="2:21">
      <c r="C376">
        <v>95</v>
      </c>
      <c r="D376">
        <v>0</v>
      </c>
      <c r="E376">
        <v>0</v>
      </c>
      <c r="F376">
        <v>0</v>
      </c>
      <c r="G376">
        <v>0</v>
      </c>
      <c r="H376">
        <v>0</v>
      </c>
      <c r="I376">
        <v>0</v>
      </c>
      <c r="J376">
        <v>0</v>
      </c>
      <c r="K376">
        <v>0</v>
      </c>
      <c r="L376">
        <v>0</v>
      </c>
      <c r="M376">
        <v>0</v>
      </c>
      <c r="N376">
        <v>0</v>
      </c>
      <c r="O376">
        <v>0</v>
      </c>
      <c r="P376">
        <v>0</v>
      </c>
      <c r="Q376">
        <v>0</v>
      </c>
      <c r="R376">
        <v>0</v>
      </c>
      <c r="S376">
        <v>0</v>
      </c>
      <c r="T376">
        <v>0</v>
      </c>
      <c r="U376">
        <v>0</v>
      </c>
    </row>
    <row r="377" spans="2:21">
      <c r="C377">
        <v>105</v>
      </c>
      <c r="D377">
        <v>0</v>
      </c>
      <c r="E377">
        <v>0</v>
      </c>
      <c r="F377">
        <v>0</v>
      </c>
      <c r="G377">
        <v>0</v>
      </c>
      <c r="H377">
        <v>0</v>
      </c>
      <c r="I377">
        <v>0</v>
      </c>
      <c r="J377">
        <v>0</v>
      </c>
      <c r="K377">
        <v>0</v>
      </c>
      <c r="L377">
        <v>0</v>
      </c>
      <c r="M377">
        <v>0</v>
      </c>
      <c r="N377">
        <v>0</v>
      </c>
      <c r="O377">
        <v>0</v>
      </c>
      <c r="P377">
        <v>0</v>
      </c>
      <c r="Q377">
        <v>0</v>
      </c>
      <c r="R377">
        <v>0</v>
      </c>
      <c r="S377">
        <v>0</v>
      </c>
      <c r="T377">
        <v>0</v>
      </c>
      <c r="U377">
        <v>0</v>
      </c>
    </row>
    <row r="378" spans="2:21">
      <c r="C378">
        <v>115</v>
      </c>
      <c r="D378">
        <v>0</v>
      </c>
      <c r="E378">
        <v>0</v>
      </c>
      <c r="F378">
        <v>0</v>
      </c>
      <c r="G378">
        <v>0</v>
      </c>
      <c r="H378">
        <v>0</v>
      </c>
      <c r="I378">
        <v>0</v>
      </c>
      <c r="J378">
        <v>0</v>
      </c>
      <c r="K378">
        <v>0</v>
      </c>
      <c r="L378">
        <v>0</v>
      </c>
      <c r="M378">
        <v>0</v>
      </c>
      <c r="N378">
        <v>0</v>
      </c>
      <c r="O378">
        <v>0</v>
      </c>
      <c r="P378">
        <v>0</v>
      </c>
      <c r="Q378">
        <v>0</v>
      </c>
      <c r="R378">
        <v>0</v>
      </c>
      <c r="S378">
        <v>0</v>
      </c>
      <c r="T378">
        <v>0</v>
      </c>
      <c r="U378">
        <v>0</v>
      </c>
    </row>
    <row r="379" spans="2:21">
      <c r="C379">
        <v>125</v>
      </c>
      <c r="D379">
        <v>0</v>
      </c>
      <c r="E379">
        <v>0</v>
      </c>
      <c r="F379">
        <v>0</v>
      </c>
      <c r="G379">
        <v>0</v>
      </c>
      <c r="H379">
        <v>0</v>
      </c>
      <c r="I379">
        <v>0</v>
      </c>
      <c r="J379">
        <v>0</v>
      </c>
      <c r="K379">
        <v>0</v>
      </c>
      <c r="L379">
        <v>0</v>
      </c>
      <c r="M379">
        <v>0</v>
      </c>
      <c r="N379">
        <v>0</v>
      </c>
      <c r="O379">
        <v>0</v>
      </c>
      <c r="P379">
        <v>0</v>
      </c>
      <c r="Q379">
        <v>0</v>
      </c>
      <c r="R379">
        <v>0</v>
      </c>
      <c r="S379">
        <v>0</v>
      </c>
      <c r="T379">
        <v>0</v>
      </c>
      <c r="U379">
        <v>0</v>
      </c>
    </row>
    <row r="380" spans="2:21">
      <c r="C380">
        <v>135</v>
      </c>
      <c r="D380">
        <v>0</v>
      </c>
      <c r="E380">
        <v>0</v>
      </c>
      <c r="F380">
        <v>0</v>
      </c>
      <c r="G380">
        <v>0</v>
      </c>
      <c r="H380">
        <v>0</v>
      </c>
      <c r="I380">
        <v>0</v>
      </c>
      <c r="J380">
        <v>0</v>
      </c>
      <c r="K380">
        <v>0</v>
      </c>
      <c r="L380">
        <v>0</v>
      </c>
      <c r="M380">
        <v>0</v>
      </c>
      <c r="N380">
        <v>0</v>
      </c>
      <c r="O380">
        <v>0</v>
      </c>
      <c r="P380">
        <v>0</v>
      </c>
      <c r="Q380">
        <v>0</v>
      </c>
      <c r="R380">
        <v>0</v>
      </c>
      <c r="S380">
        <v>0</v>
      </c>
      <c r="T380">
        <v>0</v>
      </c>
      <c r="U380">
        <v>0</v>
      </c>
    </row>
    <row r="381" spans="2:21">
      <c r="C381">
        <v>145</v>
      </c>
      <c r="D381">
        <v>0</v>
      </c>
      <c r="E381">
        <v>0</v>
      </c>
      <c r="F381">
        <v>0</v>
      </c>
      <c r="G381">
        <v>0</v>
      </c>
      <c r="H381">
        <v>0</v>
      </c>
      <c r="I381">
        <v>0</v>
      </c>
      <c r="J381">
        <v>0</v>
      </c>
      <c r="K381">
        <v>0</v>
      </c>
      <c r="L381">
        <v>0</v>
      </c>
      <c r="M381">
        <v>0</v>
      </c>
      <c r="N381">
        <v>0</v>
      </c>
      <c r="O381">
        <v>0</v>
      </c>
      <c r="P381">
        <v>0</v>
      </c>
      <c r="Q381">
        <v>0</v>
      </c>
      <c r="R381">
        <v>0</v>
      </c>
      <c r="S381">
        <v>0</v>
      </c>
      <c r="T381">
        <v>0</v>
      </c>
      <c r="U381">
        <v>0</v>
      </c>
    </row>
    <row r="382" spans="2:21">
      <c r="C382">
        <v>155</v>
      </c>
      <c r="D382">
        <v>0</v>
      </c>
      <c r="E382">
        <v>0</v>
      </c>
      <c r="F382">
        <v>0</v>
      </c>
      <c r="G382">
        <v>0</v>
      </c>
      <c r="H382">
        <v>0</v>
      </c>
      <c r="I382">
        <v>0</v>
      </c>
      <c r="J382">
        <v>0</v>
      </c>
      <c r="K382">
        <v>0</v>
      </c>
      <c r="L382">
        <v>0</v>
      </c>
      <c r="M382">
        <v>0</v>
      </c>
      <c r="N382">
        <v>0</v>
      </c>
      <c r="O382">
        <v>0</v>
      </c>
      <c r="P382">
        <v>0</v>
      </c>
      <c r="Q382">
        <v>0</v>
      </c>
      <c r="R382">
        <v>0</v>
      </c>
      <c r="S382">
        <v>0</v>
      </c>
      <c r="T382">
        <v>0</v>
      </c>
      <c r="U382">
        <v>0</v>
      </c>
    </row>
    <row r="383" spans="2:21">
      <c r="B383">
        <v>8</v>
      </c>
      <c r="C383">
        <v>15</v>
      </c>
      <c r="D383">
        <v>6.4735945485519641E-2</v>
      </c>
      <c r="E383">
        <v>2.3850085178875657E-2</v>
      </c>
      <c r="F383">
        <v>1.277683134582619E-2</v>
      </c>
      <c r="G383">
        <v>6.3884156729130948E-3</v>
      </c>
      <c r="H383">
        <v>2.839295854628054E-3</v>
      </c>
      <c r="I383">
        <v>2.1294718909710413E-3</v>
      </c>
      <c r="J383">
        <v>0.27725724020442927</v>
      </c>
      <c r="K383">
        <v>0.31814310051107325</v>
      </c>
      <c r="L383">
        <v>0.33475298126064745</v>
      </c>
      <c r="M383">
        <v>0.34752981260647364</v>
      </c>
      <c r="N383">
        <v>0.35817717206132876</v>
      </c>
      <c r="O383">
        <v>0.36115843270868819</v>
      </c>
      <c r="P383">
        <v>1</v>
      </c>
      <c r="Q383">
        <v>1</v>
      </c>
      <c r="R383">
        <v>1</v>
      </c>
      <c r="S383">
        <v>1</v>
      </c>
      <c r="T383">
        <v>1</v>
      </c>
      <c r="U383">
        <v>1</v>
      </c>
    </row>
    <row r="384" spans="2:21">
      <c r="C384">
        <v>25</v>
      </c>
      <c r="D384">
        <v>0.14991482112436105</v>
      </c>
      <c r="E384">
        <v>5.9625212947189254E-2</v>
      </c>
      <c r="F384">
        <v>3.1516183986371349E-2</v>
      </c>
      <c r="G384">
        <v>1.6609880749574035E-2</v>
      </c>
      <c r="H384">
        <v>8.1629755820556791E-3</v>
      </c>
      <c r="I384">
        <v>4.7913117546849468E-3</v>
      </c>
      <c r="J384">
        <v>0.368824531516184</v>
      </c>
      <c r="K384">
        <v>0.45911413969335579</v>
      </c>
      <c r="L384">
        <v>0.50127768313458265</v>
      </c>
      <c r="M384">
        <v>0.53109028960817728</v>
      </c>
      <c r="N384">
        <v>0.5564310051107324</v>
      </c>
      <c r="O384">
        <v>0.57059199318568943</v>
      </c>
      <c r="P384">
        <v>1</v>
      </c>
      <c r="Q384">
        <v>1</v>
      </c>
      <c r="R384">
        <v>1</v>
      </c>
      <c r="S384">
        <v>1</v>
      </c>
      <c r="T384">
        <v>1</v>
      </c>
      <c r="U384">
        <v>1</v>
      </c>
    </row>
    <row r="385" spans="3:21">
      <c r="C385">
        <v>35</v>
      </c>
      <c r="D385">
        <v>0.2470187393526404</v>
      </c>
      <c r="E385">
        <v>0.10221465076660996</v>
      </c>
      <c r="F385">
        <v>5.6218057921635367E-2</v>
      </c>
      <c r="G385">
        <v>3.0238500851788808E-2</v>
      </c>
      <c r="H385">
        <v>1.5261215218625722E-2</v>
      </c>
      <c r="I385">
        <v>9.0502555366268906E-3</v>
      </c>
      <c r="J385">
        <v>0.41780238500851807</v>
      </c>
      <c r="K385">
        <v>0.56260647359454852</v>
      </c>
      <c r="L385">
        <v>0.63160136286201041</v>
      </c>
      <c r="M385">
        <v>0.68356047700170353</v>
      </c>
      <c r="N385">
        <v>0.72849233390119283</v>
      </c>
      <c r="O385">
        <v>0.75457836456558791</v>
      </c>
      <c r="P385">
        <v>1</v>
      </c>
      <c r="Q385">
        <v>1</v>
      </c>
      <c r="R385">
        <v>1</v>
      </c>
      <c r="S385">
        <v>1</v>
      </c>
      <c r="T385">
        <v>1</v>
      </c>
      <c r="U385">
        <v>1</v>
      </c>
    </row>
    <row r="386" spans="3:21">
      <c r="C386">
        <v>45</v>
      </c>
      <c r="D386">
        <v>0.34412265758091998</v>
      </c>
      <c r="E386">
        <v>0.15076660988074941</v>
      </c>
      <c r="F386">
        <v>8.4327086882453273E-2</v>
      </c>
      <c r="G386">
        <v>4.5996592844974482E-2</v>
      </c>
      <c r="H386">
        <v>2.3424190800681307E-2</v>
      </c>
      <c r="I386">
        <v>1.4906303236797428E-2</v>
      </c>
      <c r="J386">
        <v>0.44250425894378187</v>
      </c>
      <c r="K386">
        <v>0.63586030664395243</v>
      </c>
      <c r="L386">
        <v>0.73551959114139664</v>
      </c>
      <c r="M386">
        <v>0.81218057921635423</v>
      </c>
      <c r="N386">
        <v>0.8798977853492338</v>
      </c>
      <c r="O386">
        <v>0.91567291311754606</v>
      </c>
      <c r="P386">
        <v>1</v>
      </c>
      <c r="Q386">
        <v>1</v>
      </c>
      <c r="R386">
        <v>1</v>
      </c>
      <c r="S386">
        <v>1</v>
      </c>
      <c r="T386">
        <v>1</v>
      </c>
      <c r="U386">
        <v>1</v>
      </c>
    </row>
    <row r="387" spans="3:21">
      <c r="C387">
        <v>55</v>
      </c>
      <c r="D387">
        <v>0.43952299829642261</v>
      </c>
      <c r="E387">
        <v>0.20102214650766581</v>
      </c>
      <c r="F387">
        <v>0.11499148211243626</v>
      </c>
      <c r="G387">
        <v>6.3458262350936989E-2</v>
      </c>
      <c r="H387">
        <v>3.6201022146507549E-2</v>
      </c>
      <c r="I387">
        <v>1.5438671209540015E-2</v>
      </c>
      <c r="J387">
        <v>0.45059625212947174</v>
      </c>
      <c r="K387">
        <v>0.68909710391822854</v>
      </c>
      <c r="L387">
        <v>0.81814310051107286</v>
      </c>
      <c r="M387">
        <v>0.92120954003407141</v>
      </c>
      <c r="N387">
        <v>1.0029812606473598</v>
      </c>
      <c r="O387">
        <v>1.0901831345826234</v>
      </c>
      <c r="P387">
        <v>1</v>
      </c>
      <c r="Q387">
        <v>1</v>
      </c>
      <c r="R387">
        <v>1</v>
      </c>
      <c r="S387">
        <v>1</v>
      </c>
      <c r="T387">
        <v>1</v>
      </c>
      <c r="U387">
        <v>1</v>
      </c>
    </row>
    <row r="388" spans="3:21">
      <c r="C388">
        <v>65</v>
      </c>
      <c r="D388">
        <v>0.52896081771720604</v>
      </c>
      <c r="E388">
        <v>0.25212947189097124</v>
      </c>
      <c r="F388">
        <v>0.14650766609880739</v>
      </c>
      <c r="G388">
        <v>8.2197614991482038E-2</v>
      </c>
      <c r="H388">
        <v>4.2944349801249199E-2</v>
      </c>
      <c r="I388">
        <v>2.6618398637138226E-2</v>
      </c>
      <c r="J388">
        <v>0.4497444633730836</v>
      </c>
      <c r="K388">
        <v>0.72657580919931841</v>
      </c>
      <c r="L388">
        <v>0.88500851788756418</v>
      </c>
      <c r="M388">
        <v>1.0136286201022149</v>
      </c>
      <c r="N388">
        <v>1.1313884156729135</v>
      </c>
      <c r="O388">
        <v>1.1999574105621795</v>
      </c>
      <c r="P388">
        <v>1</v>
      </c>
      <c r="Q388">
        <v>1</v>
      </c>
      <c r="R388">
        <v>1</v>
      </c>
      <c r="S388">
        <v>1</v>
      </c>
      <c r="T388">
        <v>1</v>
      </c>
      <c r="U388">
        <v>1</v>
      </c>
    </row>
    <row r="389" spans="3:21">
      <c r="C389">
        <v>75</v>
      </c>
      <c r="D389">
        <v>0.61328790459965932</v>
      </c>
      <c r="E389">
        <v>0.30238500851788741</v>
      </c>
      <c r="F389">
        <v>0.17887563884156732</v>
      </c>
      <c r="G389">
        <v>0.1013628620102216</v>
      </c>
      <c r="H389">
        <v>5.394662123793284E-2</v>
      </c>
      <c r="I389">
        <v>3.407155025553666E-2</v>
      </c>
      <c r="J389">
        <v>0.44207836456558769</v>
      </c>
      <c r="K389">
        <v>0.7529812606473596</v>
      </c>
      <c r="L389">
        <v>0.93824531516183973</v>
      </c>
      <c r="M389">
        <v>1.0932708688245312</v>
      </c>
      <c r="N389">
        <v>1.2355195911413974</v>
      </c>
      <c r="O389">
        <v>1.3189948892674614</v>
      </c>
      <c r="P389">
        <v>1</v>
      </c>
      <c r="Q389">
        <v>1</v>
      </c>
      <c r="R389">
        <v>1</v>
      </c>
      <c r="S389">
        <v>1</v>
      </c>
      <c r="T389">
        <v>1</v>
      </c>
      <c r="U389">
        <v>1</v>
      </c>
    </row>
    <row r="390" spans="3:21">
      <c r="C390">
        <v>85</v>
      </c>
      <c r="D390">
        <v>0.68994889267461668</v>
      </c>
      <c r="E390">
        <v>0.35178875638841589</v>
      </c>
      <c r="F390">
        <v>0.21209540034071539</v>
      </c>
      <c r="G390">
        <v>0.12137989778534908</v>
      </c>
      <c r="H390">
        <v>6.4948892674616857E-2</v>
      </c>
      <c r="I390">
        <v>4.1524701873935095E-2</v>
      </c>
      <c r="J390">
        <v>0.43185689948892669</v>
      </c>
      <c r="K390">
        <v>0.77001703577512748</v>
      </c>
      <c r="L390">
        <v>0.97955706984667823</v>
      </c>
      <c r="M390">
        <v>1.1609880749574109</v>
      </c>
      <c r="N390">
        <v>1.3302810902896076</v>
      </c>
      <c r="O390">
        <v>1.428662691652471</v>
      </c>
      <c r="P390">
        <v>1</v>
      </c>
      <c r="Q390">
        <v>1</v>
      </c>
      <c r="R390">
        <v>1</v>
      </c>
      <c r="S390">
        <v>1</v>
      </c>
      <c r="T390">
        <v>1</v>
      </c>
      <c r="U390">
        <v>1</v>
      </c>
    </row>
    <row r="391" spans="3:21">
      <c r="C391">
        <v>95</v>
      </c>
      <c r="D391">
        <v>0.76149914821124343</v>
      </c>
      <c r="E391">
        <v>0.39948892674616721</v>
      </c>
      <c r="F391">
        <v>0.24446337308347532</v>
      </c>
      <c r="G391">
        <v>0.14182282793867129</v>
      </c>
      <c r="H391">
        <v>7.6660988074957276E-2</v>
      </c>
      <c r="I391">
        <v>4.9510221465076679E-2</v>
      </c>
      <c r="J391">
        <v>0.41908006814310061</v>
      </c>
      <c r="K391">
        <v>0.78109028960817684</v>
      </c>
      <c r="L391">
        <v>1.0136286201022147</v>
      </c>
      <c r="M391">
        <v>1.2189097103918227</v>
      </c>
      <c r="N391">
        <v>1.4143952299829647</v>
      </c>
      <c r="O391">
        <v>1.5284284497444633</v>
      </c>
      <c r="P391">
        <v>1</v>
      </c>
      <c r="Q391">
        <v>1</v>
      </c>
      <c r="R391">
        <v>1</v>
      </c>
      <c r="S391">
        <v>1</v>
      </c>
      <c r="T391">
        <v>1</v>
      </c>
      <c r="U391">
        <v>1</v>
      </c>
    </row>
    <row r="392" spans="3:21">
      <c r="C392">
        <v>105</v>
      </c>
      <c r="D392">
        <v>0.82708688245315165</v>
      </c>
      <c r="E392">
        <v>0.44633730834752994</v>
      </c>
      <c r="F392">
        <v>0.27683134582623481</v>
      </c>
      <c r="G392">
        <v>0.16183986371379921</v>
      </c>
      <c r="H392">
        <v>8.8727995457126271E-2</v>
      </c>
      <c r="I392">
        <v>5.6963373083475669E-2</v>
      </c>
      <c r="J392">
        <v>0.40545144804088595</v>
      </c>
      <c r="K392">
        <v>0.78620102214650767</v>
      </c>
      <c r="L392">
        <v>1.0404599659284504</v>
      </c>
      <c r="M392">
        <v>1.2704429301533215</v>
      </c>
      <c r="N392">
        <v>1.4897785349233403</v>
      </c>
      <c r="O392">
        <v>1.6231899488926729</v>
      </c>
      <c r="P392">
        <v>1</v>
      </c>
      <c r="Q392">
        <v>1</v>
      </c>
      <c r="R392">
        <v>1</v>
      </c>
      <c r="S392">
        <v>1</v>
      </c>
      <c r="T392">
        <v>1</v>
      </c>
      <c r="U392">
        <v>1</v>
      </c>
    </row>
    <row r="393" spans="3:21">
      <c r="C393">
        <v>115</v>
      </c>
      <c r="D393">
        <v>0.88671209540034068</v>
      </c>
      <c r="E393">
        <v>0.49063032367972736</v>
      </c>
      <c r="F393">
        <v>0.3083475298126066</v>
      </c>
      <c r="G393">
        <v>0.18270868824531528</v>
      </c>
      <c r="H393">
        <v>0.10044009085746725</v>
      </c>
      <c r="I393">
        <v>6.5481260647359554E-2</v>
      </c>
      <c r="J393">
        <v>0.39182282793867129</v>
      </c>
      <c r="K393">
        <v>0.78790459965928461</v>
      </c>
      <c r="L393">
        <v>1.0613287904599658</v>
      </c>
      <c r="M393">
        <v>1.3126064735945484</v>
      </c>
      <c r="N393">
        <v>1.5594122657580924</v>
      </c>
      <c r="O393">
        <v>1.7062393526405448</v>
      </c>
      <c r="P393">
        <v>1</v>
      </c>
      <c r="Q393">
        <v>1</v>
      </c>
      <c r="R393">
        <v>1</v>
      </c>
      <c r="S393">
        <v>1</v>
      </c>
      <c r="T393">
        <v>1</v>
      </c>
      <c r="U393">
        <v>1</v>
      </c>
    </row>
    <row r="394" spans="3:21">
      <c r="C394">
        <v>125</v>
      </c>
      <c r="D394">
        <v>0.94207836456558769</v>
      </c>
      <c r="E394">
        <v>0.53407155025553665</v>
      </c>
      <c r="F394">
        <v>0.33901192504258937</v>
      </c>
      <c r="G394">
        <v>0.20315161839863705</v>
      </c>
      <c r="H394">
        <v>0.11250709823963662</v>
      </c>
      <c r="I394">
        <v>7.3466780238500853E-2</v>
      </c>
      <c r="J394">
        <v>0.37776831345826234</v>
      </c>
      <c r="K394">
        <v>0.78577512776831338</v>
      </c>
      <c r="L394">
        <v>1.0783645655877343</v>
      </c>
      <c r="M394">
        <v>1.3500851788756389</v>
      </c>
      <c r="N394">
        <v>1.6220187393526402</v>
      </c>
      <c r="O394">
        <v>1.7859880749574104</v>
      </c>
      <c r="P394">
        <v>1</v>
      </c>
      <c r="Q394">
        <v>1</v>
      </c>
      <c r="R394">
        <v>1</v>
      </c>
      <c r="S394">
        <v>1</v>
      </c>
      <c r="T394">
        <v>1</v>
      </c>
      <c r="U394">
        <v>1</v>
      </c>
    </row>
    <row r="395" spans="3:21">
      <c r="C395">
        <v>135</v>
      </c>
      <c r="D395">
        <v>0.99318568994889245</v>
      </c>
      <c r="E395">
        <v>0.57495741056218108</v>
      </c>
      <c r="F395">
        <v>0.36967632027257213</v>
      </c>
      <c r="G395">
        <v>0.22316865417376475</v>
      </c>
      <c r="H395">
        <v>0.12492901760363438</v>
      </c>
      <c r="I395">
        <v>8.1984667802385017E-2</v>
      </c>
      <c r="J395">
        <v>0.36371379897785361</v>
      </c>
      <c r="K395">
        <v>0.78194207836456497</v>
      </c>
      <c r="L395">
        <v>1.0898637137989784</v>
      </c>
      <c r="M395">
        <v>1.3828790459965932</v>
      </c>
      <c r="N395">
        <v>1.6775979557069842</v>
      </c>
      <c r="O395">
        <v>1.8579642248722317</v>
      </c>
      <c r="P395">
        <v>1</v>
      </c>
      <c r="Q395">
        <v>1</v>
      </c>
      <c r="R395">
        <v>1</v>
      </c>
      <c r="S395">
        <v>1</v>
      </c>
      <c r="T395">
        <v>1</v>
      </c>
      <c r="U395">
        <v>1</v>
      </c>
    </row>
    <row r="396" spans="3:21">
      <c r="C396">
        <v>145</v>
      </c>
      <c r="D396">
        <v>1.0400340715502556</v>
      </c>
      <c r="E396">
        <v>0.6141396933560479</v>
      </c>
      <c r="F396">
        <v>0.39948892674616676</v>
      </c>
      <c r="G396">
        <v>0.24361158432708696</v>
      </c>
      <c r="H396">
        <v>0.13699602498580338</v>
      </c>
      <c r="I396">
        <v>8.9970187393526593E-2</v>
      </c>
      <c r="J396">
        <v>0.35008517887563873</v>
      </c>
      <c r="K396">
        <v>0.77597955706984645</v>
      </c>
      <c r="L396">
        <v>1.0979557069846682</v>
      </c>
      <c r="M396">
        <v>1.4097103918228278</v>
      </c>
      <c r="N396">
        <v>1.7295570698466785</v>
      </c>
      <c r="O396">
        <v>1.9270655877342411</v>
      </c>
      <c r="P396">
        <v>1</v>
      </c>
      <c r="Q396">
        <v>1</v>
      </c>
      <c r="R396">
        <v>1</v>
      </c>
      <c r="S396">
        <v>1</v>
      </c>
      <c r="T396">
        <v>1</v>
      </c>
      <c r="U396">
        <v>1</v>
      </c>
    </row>
    <row r="397" spans="3:21">
      <c r="C397">
        <v>155</v>
      </c>
      <c r="D397">
        <v>1.0834752981260649</v>
      </c>
      <c r="E397">
        <v>0.65247018739352614</v>
      </c>
      <c r="F397">
        <v>0.42844974446337325</v>
      </c>
      <c r="G397">
        <v>0.2627768313458263</v>
      </c>
      <c r="H397">
        <v>0.14941794434980113</v>
      </c>
      <c r="I397">
        <v>9.8488074957410771E-2</v>
      </c>
      <c r="J397">
        <v>0.33688245315161836</v>
      </c>
      <c r="K397">
        <v>0.76788756388415713</v>
      </c>
      <c r="L397">
        <v>1.1039182282793865</v>
      </c>
      <c r="M397">
        <v>1.4352640545144804</v>
      </c>
      <c r="N397">
        <v>1.7753407155025558</v>
      </c>
      <c r="O397">
        <v>1.9892461669505954</v>
      </c>
      <c r="P397">
        <v>1</v>
      </c>
      <c r="Q397">
        <v>1</v>
      </c>
      <c r="R397">
        <v>1</v>
      </c>
      <c r="S397">
        <v>1</v>
      </c>
      <c r="T397">
        <v>1</v>
      </c>
      <c r="U397">
        <v>1</v>
      </c>
    </row>
    <row r="401" spans="2:44" ht="18.75" customHeight="1"/>
    <row r="403" spans="2:44">
      <c r="B403">
        <v>2</v>
      </c>
      <c r="C403">
        <v>15</v>
      </c>
      <c r="D403">
        <v>6.8143100511073307E-3</v>
      </c>
      <c r="E403">
        <v>3.4071550255536653E-3</v>
      </c>
      <c r="F403">
        <v>1.7035775127768327E-3</v>
      </c>
      <c r="G403">
        <v>8.5178875638841633E-4</v>
      </c>
      <c r="H403">
        <v>3.5491198182850675E-4</v>
      </c>
      <c r="I403">
        <v>5.3236797274276032E-4</v>
      </c>
      <c r="J403">
        <v>7.0272572402044292E-2</v>
      </c>
      <c r="K403">
        <v>7.1976149914821125E-2</v>
      </c>
      <c r="L403">
        <v>7.3253833049403749E-2</v>
      </c>
      <c r="M403">
        <v>7.4105621805792166E-2</v>
      </c>
      <c r="N403">
        <v>7.4850936967632037E-2</v>
      </c>
      <c r="O403">
        <v>7.4478279386712101E-2</v>
      </c>
      <c r="P403">
        <v>0.9</v>
      </c>
      <c r="Q403">
        <v>0.9</v>
      </c>
      <c r="R403">
        <v>0.9</v>
      </c>
      <c r="S403">
        <v>0.9</v>
      </c>
      <c r="T403">
        <v>0.9</v>
      </c>
      <c r="U403">
        <v>0.9</v>
      </c>
      <c r="V403">
        <v>15</v>
      </c>
      <c r="Y403">
        <v>1878.4</v>
      </c>
      <c r="Z403">
        <v>1761</v>
      </c>
      <c r="AC403">
        <v>7304.8888888888887</v>
      </c>
      <c r="AD403">
        <v>5706.9444444444443</v>
      </c>
      <c r="AE403">
        <v>2</v>
      </c>
      <c r="AF403">
        <f t="shared" ref="AF403:AF409" si="4">AE403*12-6</f>
        <v>18</v>
      </c>
      <c r="AG403">
        <v>10</v>
      </c>
      <c r="AH403">
        <v>1</v>
      </c>
      <c r="AI403">
        <v>2</v>
      </c>
      <c r="AJ403">
        <v>16</v>
      </c>
      <c r="AK403">
        <v>12</v>
      </c>
      <c r="AL403">
        <v>4</v>
      </c>
      <c r="AM403">
        <v>0.62</v>
      </c>
    </row>
    <row r="404" spans="2:44">
      <c r="C404">
        <v>25</v>
      </c>
      <c r="D404">
        <v>2.2146507666098769E-2</v>
      </c>
      <c r="E404">
        <v>6.8143100511073307E-3</v>
      </c>
      <c r="F404">
        <v>5.110732538330498E-3</v>
      </c>
      <c r="G404">
        <v>1.7035775127768049E-3</v>
      </c>
      <c r="H404">
        <v>1.4196479273140502E-3</v>
      </c>
      <c r="I404">
        <v>1.0647359454855206E-3</v>
      </c>
      <c r="J404">
        <v>0.10604770017035776</v>
      </c>
      <c r="K404">
        <v>0.11371379897785348</v>
      </c>
      <c r="L404">
        <v>0.11499148211243611</v>
      </c>
      <c r="M404">
        <v>0.1183986371379898</v>
      </c>
      <c r="N404">
        <v>0.11882453151618394</v>
      </c>
      <c r="O404">
        <v>0.11956984667802384</v>
      </c>
      <c r="P404">
        <v>0.9</v>
      </c>
      <c r="Q404">
        <v>0.9</v>
      </c>
      <c r="R404">
        <v>0.9</v>
      </c>
      <c r="S404">
        <v>0.9</v>
      </c>
      <c r="T404">
        <v>0.9</v>
      </c>
      <c r="U404">
        <v>0.9</v>
      </c>
      <c r="V404">
        <v>25</v>
      </c>
      <c r="Y404">
        <v>1878.4</v>
      </c>
      <c r="Z404">
        <v>1761</v>
      </c>
      <c r="AC404">
        <v>7304.8888888888887</v>
      </c>
      <c r="AD404">
        <v>5706.9444444444443</v>
      </c>
      <c r="AE404">
        <f t="shared" ref="AE404:AE409" si="5">AE403+1</f>
        <v>3</v>
      </c>
      <c r="AF404">
        <f t="shared" si="4"/>
        <v>30</v>
      </c>
      <c r="AG404">
        <v>10</v>
      </c>
      <c r="AH404">
        <v>1</v>
      </c>
      <c r="AI404">
        <v>2</v>
      </c>
      <c r="AJ404">
        <v>16</v>
      </c>
      <c r="AK404">
        <v>12</v>
      </c>
      <c r="AL404">
        <v>4</v>
      </c>
      <c r="AM404">
        <v>1.04</v>
      </c>
    </row>
    <row r="405" spans="2:44">
      <c r="C405">
        <v>35</v>
      </c>
      <c r="D405">
        <v>3.918228279386704E-2</v>
      </c>
      <c r="E405">
        <v>1.5332197614991494E-2</v>
      </c>
      <c r="F405">
        <v>8.5178875638841633E-3</v>
      </c>
      <c r="G405">
        <v>4.2589437819420817E-3</v>
      </c>
      <c r="H405">
        <v>1.419647927314027E-3</v>
      </c>
      <c r="I405">
        <v>2.1294718909710413E-3</v>
      </c>
      <c r="J405">
        <v>0.13628620102214653</v>
      </c>
      <c r="K405">
        <v>0.1482112436115843</v>
      </c>
      <c r="L405">
        <v>0.1533219761499148</v>
      </c>
      <c r="M405">
        <v>0.15758091993185688</v>
      </c>
      <c r="N405">
        <v>0.16183986371379896</v>
      </c>
      <c r="O405">
        <v>0.16034923339011922</v>
      </c>
      <c r="P405">
        <v>0.9</v>
      </c>
      <c r="Q405">
        <v>0.9</v>
      </c>
      <c r="R405">
        <v>0.9</v>
      </c>
      <c r="S405">
        <v>0.9</v>
      </c>
      <c r="T405">
        <v>0.9</v>
      </c>
      <c r="U405">
        <v>0.9</v>
      </c>
      <c r="V405">
        <v>35</v>
      </c>
      <c r="Y405">
        <v>1878.4</v>
      </c>
      <c r="Z405">
        <v>1761</v>
      </c>
      <c r="AC405">
        <v>7304.8888888888887</v>
      </c>
      <c r="AD405">
        <v>5706.9444444444443</v>
      </c>
      <c r="AE405">
        <f t="shared" si="5"/>
        <v>4</v>
      </c>
      <c r="AF405">
        <f t="shared" si="4"/>
        <v>42</v>
      </c>
      <c r="AG405">
        <v>10</v>
      </c>
      <c r="AH405">
        <v>1</v>
      </c>
      <c r="AI405">
        <v>2</v>
      </c>
      <c r="AJ405">
        <v>16</v>
      </c>
      <c r="AK405">
        <v>12</v>
      </c>
      <c r="AL405">
        <v>4</v>
      </c>
      <c r="AM405">
        <v>1.46</v>
      </c>
    </row>
    <row r="406" spans="2:44">
      <c r="C406">
        <v>45</v>
      </c>
      <c r="D406">
        <v>6.1328790459965865E-2</v>
      </c>
      <c r="E406">
        <v>2.2146507666098825E-2</v>
      </c>
      <c r="F406">
        <v>1.3628620102214661E-2</v>
      </c>
      <c r="G406">
        <v>6.8143100511073307E-3</v>
      </c>
      <c r="H406">
        <v>2.839295854628054E-3</v>
      </c>
      <c r="I406">
        <v>2.1294718909710413E-3</v>
      </c>
      <c r="J406">
        <v>0.16098807495741058</v>
      </c>
      <c r="K406">
        <v>0.1805792163543441</v>
      </c>
      <c r="L406">
        <v>0.18696763202725722</v>
      </c>
      <c r="M406">
        <v>0.19378194207836455</v>
      </c>
      <c r="N406">
        <v>0.19974446337308346</v>
      </c>
      <c r="O406">
        <v>0.20123509369676318</v>
      </c>
      <c r="P406">
        <v>0.9</v>
      </c>
      <c r="Q406">
        <v>0.9</v>
      </c>
      <c r="R406">
        <v>0.9</v>
      </c>
      <c r="S406">
        <v>0.9</v>
      </c>
      <c r="T406">
        <v>0.9</v>
      </c>
      <c r="U406">
        <v>0.9</v>
      </c>
      <c r="V406">
        <v>45</v>
      </c>
      <c r="Y406">
        <v>1878.4</v>
      </c>
      <c r="Z406">
        <v>1761</v>
      </c>
      <c r="AC406">
        <v>7304.8888888888887</v>
      </c>
      <c r="AD406">
        <v>5706.9444444444443</v>
      </c>
      <c r="AE406">
        <f t="shared" si="5"/>
        <v>5</v>
      </c>
      <c r="AF406">
        <f t="shared" si="4"/>
        <v>54</v>
      </c>
      <c r="AG406">
        <v>10</v>
      </c>
      <c r="AH406">
        <v>1</v>
      </c>
      <c r="AI406">
        <v>2</v>
      </c>
      <c r="AJ406">
        <v>16</v>
      </c>
      <c r="AK406">
        <v>12</v>
      </c>
      <c r="AL406">
        <v>4</v>
      </c>
      <c r="AM406">
        <v>1.88</v>
      </c>
    </row>
    <row r="407" spans="2:44">
      <c r="C407">
        <v>55</v>
      </c>
      <c r="D407">
        <v>8.5178875638841522E-2</v>
      </c>
      <c r="E407">
        <v>3.2367972742759821E-2</v>
      </c>
      <c r="F407">
        <v>1.8739352640545159E-2</v>
      </c>
      <c r="G407">
        <v>9.3696763202726352E-3</v>
      </c>
      <c r="H407">
        <v>4.9687677455990484E-3</v>
      </c>
      <c r="I407">
        <v>3.1942078364565621E-3</v>
      </c>
      <c r="J407">
        <v>0.18143100511073254</v>
      </c>
      <c r="K407">
        <v>0.20783645655877339</v>
      </c>
      <c r="L407">
        <v>0.21805792163543439</v>
      </c>
      <c r="M407">
        <v>0.22742759795570691</v>
      </c>
      <c r="N407">
        <v>0.23402896081771729</v>
      </c>
      <c r="O407">
        <v>0.23775553662691651</v>
      </c>
      <c r="P407">
        <v>0.9</v>
      </c>
      <c r="Q407">
        <v>0.9</v>
      </c>
      <c r="R407">
        <v>0.9</v>
      </c>
      <c r="S407">
        <v>0.9</v>
      </c>
      <c r="T407">
        <v>0.9</v>
      </c>
      <c r="U407">
        <v>0.9</v>
      </c>
      <c r="V407">
        <v>55</v>
      </c>
      <c r="Y407">
        <v>1878.4</v>
      </c>
      <c r="Z407">
        <v>1761</v>
      </c>
      <c r="AC407">
        <v>7304.8888888888887</v>
      </c>
      <c r="AD407">
        <v>5706.9444444444443</v>
      </c>
      <c r="AE407">
        <f t="shared" si="5"/>
        <v>6</v>
      </c>
      <c r="AF407">
        <f t="shared" si="4"/>
        <v>66</v>
      </c>
      <c r="AG407">
        <v>10</v>
      </c>
      <c r="AH407">
        <v>1</v>
      </c>
      <c r="AI407">
        <v>2</v>
      </c>
      <c r="AJ407">
        <v>16</v>
      </c>
      <c r="AK407">
        <v>12</v>
      </c>
      <c r="AL407">
        <v>4</v>
      </c>
      <c r="AM407">
        <v>2.29</v>
      </c>
      <c r="AN407">
        <v>3</v>
      </c>
      <c r="AO407" t="s">
        <v>512</v>
      </c>
      <c r="AP407">
        <v>5</v>
      </c>
      <c r="AQ407">
        <v>1</v>
      </c>
      <c r="AR407">
        <v>9.2843999999999998</v>
      </c>
    </row>
    <row r="408" spans="2:44">
      <c r="C408">
        <v>65</v>
      </c>
      <c r="D408">
        <v>0.10902896081771707</v>
      </c>
      <c r="E408">
        <v>4.4293015332197649E-2</v>
      </c>
      <c r="F408">
        <v>2.3850085178875657E-2</v>
      </c>
      <c r="G408">
        <v>1.2776831345826301E-2</v>
      </c>
      <c r="H408">
        <v>6.3884156729130757E-3</v>
      </c>
      <c r="I408">
        <v>4.2589437819420825E-3</v>
      </c>
      <c r="J408">
        <v>0.19931856899488931</v>
      </c>
      <c r="K408">
        <v>0.23168654173764902</v>
      </c>
      <c r="L408">
        <v>0.24701873935264052</v>
      </c>
      <c r="M408">
        <v>0.25809199318568987</v>
      </c>
      <c r="N408">
        <v>0.26767461669505971</v>
      </c>
      <c r="O408">
        <v>0.27214650766609877</v>
      </c>
      <c r="P408">
        <v>0.9</v>
      </c>
      <c r="Q408">
        <v>0.9</v>
      </c>
      <c r="R408">
        <v>0.9</v>
      </c>
      <c r="S408">
        <v>0.9</v>
      </c>
      <c r="T408">
        <v>0.9</v>
      </c>
      <c r="U408">
        <v>0.9</v>
      </c>
      <c r="V408">
        <v>65</v>
      </c>
      <c r="Y408">
        <v>1878.4</v>
      </c>
      <c r="Z408">
        <v>1761</v>
      </c>
      <c r="AC408">
        <v>7304.8888888888887</v>
      </c>
      <c r="AD408">
        <v>5706.9444444444443</v>
      </c>
      <c r="AE408">
        <f t="shared" si="5"/>
        <v>7</v>
      </c>
      <c r="AF408">
        <f t="shared" si="4"/>
        <v>78</v>
      </c>
      <c r="AG408">
        <v>10</v>
      </c>
      <c r="AH408">
        <v>1</v>
      </c>
      <c r="AI408">
        <v>2</v>
      </c>
      <c r="AJ408">
        <v>16</v>
      </c>
      <c r="AK408">
        <v>12</v>
      </c>
      <c r="AL408">
        <v>4</v>
      </c>
      <c r="AM408">
        <v>2.71</v>
      </c>
      <c r="AO408" t="s">
        <v>513</v>
      </c>
      <c r="AP408">
        <v>4.4000000000000004</v>
      </c>
      <c r="AQ408">
        <v>1.04</v>
      </c>
      <c r="AR408">
        <v>15.3605</v>
      </c>
    </row>
    <row r="409" spans="2:44">
      <c r="C409">
        <v>75</v>
      </c>
      <c r="D409">
        <v>0.13458262350936978</v>
      </c>
      <c r="E409">
        <v>5.4514480408858423E-2</v>
      </c>
      <c r="F409">
        <v>3.0664395229982988E-2</v>
      </c>
      <c r="G409">
        <v>1.6183986371379855E-2</v>
      </c>
      <c r="H409">
        <v>8.5178875638841616E-3</v>
      </c>
      <c r="I409">
        <v>5.3236797274276723E-3</v>
      </c>
      <c r="J409">
        <v>0.21422487223168651</v>
      </c>
      <c r="K409">
        <v>0.25425894378194219</v>
      </c>
      <c r="L409">
        <v>0.27214650766609877</v>
      </c>
      <c r="M409">
        <v>0.2866269165247019</v>
      </c>
      <c r="N409">
        <v>0.29812606473594544</v>
      </c>
      <c r="O409">
        <v>0.30483390119250409</v>
      </c>
      <c r="P409">
        <v>0.9</v>
      </c>
      <c r="Q409">
        <v>0.9</v>
      </c>
      <c r="R409">
        <v>0.9</v>
      </c>
      <c r="S409">
        <v>0.9</v>
      </c>
      <c r="T409">
        <v>0.9</v>
      </c>
      <c r="U409">
        <v>0.9</v>
      </c>
      <c r="V409">
        <v>75</v>
      </c>
      <c r="Y409">
        <v>1878.4</v>
      </c>
      <c r="Z409">
        <v>1761</v>
      </c>
      <c r="AC409">
        <v>7304.8888888888887</v>
      </c>
      <c r="AD409">
        <v>5706.9444444444443</v>
      </c>
      <c r="AE409">
        <f t="shared" si="5"/>
        <v>8</v>
      </c>
      <c r="AF409">
        <f t="shared" si="4"/>
        <v>90</v>
      </c>
      <c r="AG409">
        <v>10</v>
      </c>
      <c r="AH409">
        <v>1</v>
      </c>
      <c r="AI409">
        <v>2</v>
      </c>
      <c r="AJ409">
        <v>16</v>
      </c>
      <c r="AK409">
        <v>12</v>
      </c>
      <c r="AL409">
        <v>4</v>
      </c>
      <c r="AM409">
        <v>3.12</v>
      </c>
      <c r="AO409" t="s">
        <v>514</v>
      </c>
      <c r="AP409">
        <v>3.6</v>
      </c>
      <c r="AQ409">
        <v>1.1200000000000001</v>
      </c>
      <c r="AR409">
        <v>29.2134</v>
      </c>
    </row>
    <row r="410" spans="2:44">
      <c r="C410">
        <v>85</v>
      </c>
      <c r="D410">
        <v>0.16013628620102227</v>
      </c>
      <c r="E410">
        <v>6.6439522998296363E-2</v>
      </c>
      <c r="F410">
        <v>3.7478705281090319E-2</v>
      </c>
      <c r="G410">
        <v>2.0442930153321992E-2</v>
      </c>
      <c r="H410">
        <v>9.9375354911981888E-3</v>
      </c>
      <c r="I410">
        <v>6.3884156729131242E-3</v>
      </c>
      <c r="J410">
        <v>0.2270017035775127</v>
      </c>
      <c r="K410">
        <v>0.27385008517887566</v>
      </c>
      <c r="L410">
        <v>0.29557069846678019</v>
      </c>
      <c r="M410">
        <v>0.31260647359454852</v>
      </c>
      <c r="N410">
        <v>0.32836456558773425</v>
      </c>
      <c r="O410">
        <v>0.33581771720613285</v>
      </c>
      <c r="P410">
        <v>0.9</v>
      </c>
      <c r="Q410">
        <v>0.9</v>
      </c>
      <c r="R410">
        <v>0.9</v>
      </c>
      <c r="S410">
        <v>0.9</v>
      </c>
      <c r="T410">
        <v>0.9</v>
      </c>
      <c r="U410">
        <v>0.9</v>
      </c>
      <c r="V410">
        <v>85</v>
      </c>
      <c r="Y410">
        <v>1878.4</v>
      </c>
      <c r="Z410">
        <v>1761</v>
      </c>
      <c r="AC410">
        <v>7304.8888888888887</v>
      </c>
      <c r="AD410">
        <v>5706.9444444444443</v>
      </c>
      <c r="AO410" t="s">
        <v>515</v>
      </c>
      <c r="AP410">
        <v>3</v>
      </c>
      <c r="AQ410">
        <v>1.1499999999999999</v>
      </c>
      <c r="AR410">
        <v>56.928100000000001</v>
      </c>
    </row>
    <row r="411" spans="2:44">
      <c r="C411">
        <v>95</v>
      </c>
      <c r="D411">
        <v>0.18739352640545137</v>
      </c>
      <c r="E411">
        <v>7.8364565587734303E-2</v>
      </c>
      <c r="F411">
        <v>4.4293015332197649E-2</v>
      </c>
      <c r="G411">
        <v>2.3850085178875657E-2</v>
      </c>
      <c r="H411">
        <v>1.2067007382169183E-2</v>
      </c>
      <c r="I411">
        <v>8.5178875638841651E-3</v>
      </c>
      <c r="J411">
        <v>0.23764906303236799</v>
      </c>
      <c r="K411">
        <v>0.29216354344122653</v>
      </c>
      <c r="L411">
        <v>0.31771720613287902</v>
      </c>
      <c r="M411">
        <v>0.33816013628620101</v>
      </c>
      <c r="N411">
        <v>0.35583475298126072</v>
      </c>
      <c r="O411">
        <v>0.36328790459965926</v>
      </c>
      <c r="P411">
        <v>0.9</v>
      </c>
      <c r="Q411">
        <v>0.9</v>
      </c>
      <c r="R411">
        <v>0.9</v>
      </c>
      <c r="S411">
        <v>0.9</v>
      </c>
      <c r="T411">
        <v>0.9</v>
      </c>
      <c r="U411">
        <v>0.9</v>
      </c>
      <c r="V411">
        <v>95</v>
      </c>
      <c r="Y411">
        <v>1878.4</v>
      </c>
      <c r="Z411">
        <v>1761</v>
      </c>
      <c r="AC411">
        <v>7304.8888888888887</v>
      </c>
      <c r="AD411">
        <v>5706.9444444444443</v>
      </c>
      <c r="AN411">
        <v>4</v>
      </c>
      <c r="AO411" t="s">
        <v>512</v>
      </c>
      <c r="AP411">
        <v>5</v>
      </c>
      <c r="AQ411">
        <v>1</v>
      </c>
      <c r="AR411">
        <v>13.569599999999999</v>
      </c>
    </row>
    <row r="412" spans="2:44">
      <c r="C412">
        <v>105</v>
      </c>
      <c r="D412">
        <v>0.21124361158432725</v>
      </c>
      <c r="E412">
        <v>9.1993185689948964E-2</v>
      </c>
      <c r="F412">
        <v>5.1107325383304758E-2</v>
      </c>
      <c r="G412">
        <v>2.8109028960817684E-2</v>
      </c>
      <c r="H412">
        <v>1.4196479273140271E-2</v>
      </c>
      <c r="I412">
        <v>9.5826235093697549E-3</v>
      </c>
      <c r="J412">
        <v>0.24787052810902893</v>
      </c>
      <c r="K412">
        <v>0.30749574105621807</v>
      </c>
      <c r="L412">
        <v>0.33816013628620123</v>
      </c>
      <c r="M412">
        <v>0.3611584327086883</v>
      </c>
      <c r="N412">
        <v>0.38202725724020442</v>
      </c>
      <c r="O412">
        <v>0.3917163543441225</v>
      </c>
      <c r="P412">
        <v>0.9</v>
      </c>
      <c r="Q412">
        <v>0.9</v>
      </c>
      <c r="R412">
        <v>0.9</v>
      </c>
      <c r="S412">
        <v>0.9</v>
      </c>
      <c r="T412">
        <v>0.9</v>
      </c>
      <c r="U412">
        <v>0.9</v>
      </c>
      <c r="V412">
        <v>105</v>
      </c>
      <c r="Y412">
        <v>1878.4</v>
      </c>
      <c r="Z412">
        <v>1761</v>
      </c>
      <c r="AC412">
        <v>7304.8888888888887</v>
      </c>
      <c r="AD412">
        <v>5706.9444444444443</v>
      </c>
      <c r="AO412" t="s">
        <v>513</v>
      </c>
      <c r="AP412">
        <v>4.4000000000000004</v>
      </c>
      <c r="AQ412">
        <v>1.04</v>
      </c>
      <c r="AR412">
        <v>22.146500000000003</v>
      </c>
    </row>
    <row r="413" spans="2:44">
      <c r="C413">
        <v>115</v>
      </c>
      <c r="D413">
        <v>0.23850085178875635</v>
      </c>
      <c r="E413">
        <v>0.10391822827938668</v>
      </c>
      <c r="F413">
        <v>5.7921635434412311E-2</v>
      </c>
      <c r="G413">
        <v>3.2367972742759821E-2</v>
      </c>
      <c r="H413">
        <v>1.7035775127768323E-2</v>
      </c>
      <c r="I413">
        <v>1.0647359454855206E-2</v>
      </c>
      <c r="J413">
        <v>0.25553662691652473</v>
      </c>
      <c r="K413">
        <v>0.32282793867120957</v>
      </c>
      <c r="L413">
        <v>0.35732538330494035</v>
      </c>
      <c r="M413">
        <v>0.38287904599659284</v>
      </c>
      <c r="N413">
        <v>0.40587734241908008</v>
      </c>
      <c r="O413">
        <v>0.41929301533219765</v>
      </c>
      <c r="P413">
        <v>0.9</v>
      </c>
      <c r="Q413">
        <v>0.9</v>
      </c>
      <c r="R413">
        <v>0.9</v>
      </c>
      <c r="S413">
        <v>0.9</v>
      </c>
      <c r="T413">
        <v>0.9</v>
      </c>
      <c r="U413">
        <v>0.9</v>
      </c>
      <c r="V413">
        <v>115</v>
      </c>
      <c r="Y413">
        <v>1878.4</v>
      </c>
      <c r="Z413">
        <v>1761</v>
      </c>
      <c r="AC413">
        <v>7304.8888888888887</v>
      </c>
      <c r="AD413">
        <v>5706.9444444444443</v>
      </c>
      <c r="AO413" t="s">
        <v>514</v>
      </c>
      <c r="AP413">
        <v>3.6</v>
      </c>
      <c r="AQ413">
        <v>1.1200000000000001</v>
      </c>
      <c r="AR413">
        <v>42.070199999999993</v>
      </c>
    </row>
    <row r="414" spans="2:44">
      <c r="C414">
        <v>125</v>
      </c>
      <c r="D414">
        <v>0.26405451448040873</v>
      </c>
      <c r="E414">
        <v>0.1158432708688244</v>
      </c>
      <c r="F414">
        <v>6.4735945485519641E-2</v>
      </c>
      <c r="G414">
        <v>3.6626916524701847E-2</v>
      </c>
      <c r="H414">
        <v>1.9165247018739319E-2</v>
      </c>
      <c r="I414">
        <v>1.2776831345826387E-2</v>
      </c>
      <c r="J414">
        <v>0.2627768313458263</v>
      </c>
      <c r="K414">
        <v>0.33688245315161847</v>
      </c>
      <c r="L414">
        <v>0.37521294718909703</v>
      </c>
      <c r="M414">
        <v>0.40332197614991483</v>
      </c>
      <c r="N414">
        <v>0.42951448040885865</v>
      </c>
      <c r="O414">
        <v>0.44293015332197577</v>
      </c>
      <c r="P414">
        <v>0.9</v>
      </c>
      <c r="Q414">
        <v>0.9</v>
      </c>
      <c r="R414">
        <v>0.9</v>
      </c>
      <c r="S414">
        <v>0.9</v>
      </c>
      <c r="T414">
        <v>0.9</v>
      </c>
      <c r="U414">
        <v>0.9</v>
      </c>
      <c r="V414">
        <v>125</v>
      </c>
      <c r="Y414">
        <v>1878.4</v>
      </c>
      <c r="Z414">
        <v>1761</v>
      </c>
      <c r="AC414">
        <v>7304.8888888888887</v>
      </c>
      <c r="AD414">
        <v>5706.9444444444443</v>
      </c>
      <c r="AO414" t="s">
        <v>515</v>
      </c>
      <c r="AP414">
        <v>3</v>
      </c>
      <c r="AQ414">
        <v>1.1499999999999999</v>
      </c>
      <c r="AR414">
        <v>78.356499999999997</v>
      </c>
    </row>
    <row r="415" spans="2:44">
      <c r="C415">
        <v>135</v>
      </c>
      <c r="D415">
        <v>0.28790459965928439</v>
      </c>
      <c r="E415">
        <v>0.12776831345826234</v>
      </c>
      <c r="F415">
        <v>7.3253833049403694E-2</v>
      </c>
      <c r="G415">
        <v>4.0885860306643984E-2</v>
      </c>
      <c r="H415">
        <v>2.2004542873367464E-2</v>
      </c>
      <c r="I415">
        <v>1.38415672913117E-2</v>
      </c>
      <c r="J415">
        <v>0.26959114139693363</v>
      </c>
      <c r="K415">
        <v>0.34965928449744466</v>
      </c>
      <c r="L415">
        <v>0.39054514480408864</v>
      </c>
      <c r="M415">
        <v>0.42291311754684835</v>
      </c>
      <c r="N415">
        <v>0.45123509369676312</v>
      </c>
      <c r="O415">
        <v>0.46837734241908024</v>
      </c>
      <c r="P415">
        <v>0.9</v>
      </c>
      <c r="Q415">
        <v>0.9</v>
      </c>
      <c r="R415">
        <v>0.9</v>
      </c>
      <c r="S415">
        <v>0.9</v>
      </c>
      <c r="T415">
        <v>0.9</v>
      </c>
      <c r="U415">
        <v>0.9</v>
      </c>
      <c r="V415">
        <v>135</v>
      </c>
      <c r="Y415">
        <v>1878.4</v>
      </c>
      <c r="Z415">
        <v>1761</v>
      </c>
      <c r="AC415">
        <v>7304.8888888888887</v>
      </c>
      <c r="AD415">
        <v>5706.9444444444443</v>
      </c>
      <c r="AN415">
        <v>5</v>
      </c>
      <c r="AO415" t="s">
        <v>512</v>
      </c>
      <c r="AP415">
        <v>5</v>
      </c>
      <c r="AQ415">
        <v>1</v>
      </c>
      <c r="AR415">
        <v>17.854800000000001</v>
      </c>
    </row>
    <row r="416" spans="2:44">
      <c r="C416">
        <v>145</v>
      </c>
      <c r="D416">
        <v>0.31005110732538332</v>
      </c>
      <c r="E416">
        <v>0.141396933560477</v>
      </c>
      <c r="F416">
        <v>8.1771720613287968E-2</v>
      </c>
      <c r="G416">
        <v>4.5144804088585899E-2</v>
      </c>
      <c r="H416">
        <v>2.4134014764338553E-2</v>
      </c>
      <c r="I416">
        <v>1.5971039182282602E-2</v>
      </c>
      <c r="J416">
        <v>0.27597955706984667</v>
      </c>
      <c r="K416">
        <v>0.36030664395229983</v>
      </c>
      <c r="L416">
        <v>0.40502555366269161</v>
      </c>
      <c r="M416">
        <v>0.44165247018739368</v>
      </c>
      <c r="N416">
        <v>0.47316865417376469</v>
      </c>
      <c r="O416">
        <v>0.4903109028960822</v>
      </c>
      <c r="P416">
        <v>0.9</v>
      </c>
      <c r="Q416">
        <v>0.9</v>
      </c>
      <c r="R416">
        <v>0.9</v>
      </c>
      <c r="S416">
        <v>0.9</v>
      </c>
      <c r="T416">
        <v>0.9</v>
      </c>
      <c r="U416">
        <v>0.9</v>
      </c>
      <c r="V416">
        <v>145</v>
      </c>
      <c r="Y416">
        <v>1878.4</v>
      </c>
      <c r="Z416">
        <v>1761</v>
      </c>
      <c r="AC416">
        <v>7304.8888888888887</v>
      </c>
      <c r="AD416">
        <v>5706.9444444444443</v>
      </c>
      <c r="AO416" t="s">
        <v>513</v>
      </c>
      <c r="AP416">
        <v>4.4000000000000004</v>
      </c>
      <c r="AQ416">
        <v>1.04</v>
      </c>
      <c r="AR416">
        <v>28.932499999999997</v>
      </c>
    </row>
    <row r="417" spans="2:44">
      <c r="C417">
        <v>155</v>
      </c>
      <c r="D417">
        <v>0.3356047700170357</v>
      </c>
      <c r="E417">
        <v>0.15332197614991472</v>
      </c>
      <c r="F417">
        <v>8.8586030664395299E-2</v>
      </c>
      <c r="G417">
        <v>5.0255536626916619E-2</v>
      </c>
      <c r="H417">
        <v>2.697331061896642E-2</v>
      </c>
      <c r="I417">
        <v>1.703577512776833E-2</v>
      </c>
      <c r="J417">
        <v>0.28023850085178881</v>
      </c>
      <c r="K417">
        <v>0.3713798977853493</v>
      </c>
      <c r="L417">
        <v>0.41993185689948886</v>
      </c>
      <c r="M417">
        <v>0.45826235093696754</v>
      </c>
      <c r="N417">
        <v>0.49318568994889284</v>
      </c>
      <c r="O417">
        <v>0.51405451448040884</v>
      </c>
      <c r="P417">
        <v>0.9</v>
      </c>
      <c r="Q417">
        <v>0.9</v>
      </c>
      <c r="R417">
        <v>0.9</v>
      </c>
      <c r="S417">
        <v>0.9</v>
      </c>
      <c r="T417">
        <v>0.9</v>
      </c>
      <c r="U417">
        <v>0.9</v>
      </c>
      <c r="V417">
        <v>155</v>
      </c>
      <c r="Y417">
        <v>1878.4</v>
      </c>
      <c r="Z417">
        <v>1761</v>
      </c>
      <c r="AC417">
        <v>7304.8888888888887</v>
      </c>
      <c r="AD417">
        <v>5706.9444444444443</v>
      </c>
      <c r="AO417" t="s">
        <v>514</v>
      </c>
      <c r="AP417">
        <v>3.6</v>
      </c>
      <c r="AQ417">
        <v>1.1200000000000001</v>
      </c>
      <c r="AR417">
        <v>54.926999999999992</v>
      </c>
    </row>
    <row r="418" spans="2:44">
      <c r="B418">
        <v>3</v>
      </c>
      <c r="C418">
        <v>15</v>
      </c>
      <c r="D418">
        <v>1.8739352640545159E-2</v>
      </c>
      <c r="E418">
        <v>6.8143100511073307E-3</v>
      </c>
      <c r="F418">
        <v>3.4071550255536653E-3</v>
      </c>
      <c r="G418">
        <v>1.7035775127768327E-3</v>
      </c>
      <c r="H418">
        <v>7.0982396365699041E-4</v>
      </c>
      <c r="I418">
        <v>1.0647359454855206E-3</v>
      </c>
      <c r="J418">
        <v>0.11201022146507665</v>
      </c>
      <c r="K418">
        <v>0.11797274275979557</v>
      </c>
      <c r="L418">
        <v>0.12052810902896081</v>
      </c>
      <c r="M418">
        <v>0.12223168654173765</v>
      </c>
      <c r="N418">
        <v>0.1237223168654174</v>
      </c>
      <c r="O418">
        <v>0.12297700170357749</v>
      </c>
      <c r="P418">
        <v>0.9</v>
      </c>
      <c r="Q418">
        <v>0.9</v>
      </c>
      <c r="R418">
        <v>0.9</v>
      </c>
      <c r="S418">
        <v>0.9</v>
      </c>
      <c r="T418">
        <v>0.9</v>
      </c>
      <c r="U418">
        <v>0.9</v>
      </c>
      <c r="AO418" t="s">
        <v>515</v>
      </c>
      <c r="AP418">
        <v>3</v>
      </c>
      <c r="AQ418">
        <v>1.1499999999999999</v>
      </c>
      <c r="AR418">
        <v>99.784900000000007</v>
      </c>
    </row>
    <row r="419" spans="2:44">
      <c r="C419">
        <v>25</v>
      </c>
      <c r="D419">
        <v>4.9403747870528147E-2</v>
      </c>
      <c r="E419">
        <v>1.7035775127768327E-2</v>
      </c>
      <c r="F419">
        <v>1.0221465076660996E-2</v>
      </c>
      <c r="G419">
        <v>4.2589437819420817E-3</v>
      </c>
      <c r="H419">
        <v>2.8392958546280076E-3</v>
      </c>
      <c r="I419">
        <v>1.06473594548559E-3</v>
      </c>
      <c r="J419">
        <v>0.16652470187393523</v>
      </c>
      <c r="K419">
        <v>0.18270868824531514</v>
      </c>
      <c r="L419">
        <v>0.18781942078364564</v>
      </c>
      <c r="M419">
        <v>0.19378194207836455</v>
      </c>
      <c r="N419">
        <v>0.19591141396933567</v>
      </c>
      <c r="O419">
        <v>0.19963798977853472</v>
      </c>
      <c r="P419">
        <v>0.9</v>
      </c>
      <c r="Q419">
        <v>0.9</v>
      </c>
      <c r="R419">
        <v>0.9</v>
      </c>
      <c r="S419">
        <v>0.9</v>
      </c>
      <c r="T419">
        <v>0.9</v>
      </c>
      <c r="U419">
        <v>0.9</v>
      </c>
      <c r="AN419">
        <v>6</v>
      </c>
      <c r="AO419" t="s">
        <v>512</v>
      </c>
      <c r="AP419">
        <v>5</v>
      </c>
      <c r="AQ419">
        <v>1</v>
      </c>
      <c r="AR419">
        <v>22.14</v>
      </c>
    </row>
    <row r="420" spans="2:44">
      <c r="C420">
        <v>35</v>
      </c>
      <c r="D420">
        <v>8.8586030664395188E-2</v>
      </c>
      <c r="E420">
        <v>3.4071550255536653E-2</v>
      </c>
      <c r="F420">
        <v>1.7035775127768327E-2</v>
      </c>
      <c r="G420">
        <v>9.3696763202725242E-3</v>
      </c>
      <c r="H420">
        <v>4.2589437819420808E-3</v>
      </c>
      <c r="I420">
        <v>3.1942078364566315E-3</v>
      </c>
      <c r="J420">
        <v>0.20868824531516184</v>
      </c>
      <c r="K420">
        <v>0.2359454855195911</v>
      </c>
      <c r="L420">
        <v>0.24872231686541735</v>
      </c>
      <c r="M420">
        <v>0.25638841567291315</v>
      </c>
      <c r="N420">
        <v>0.26405451448040884</v>
      </c>
      <c r="O420">
        <v>0.26629045996592826</v>
      </c>
      <c r="P420">
        <v>0.9</v>
      </c>
      <c r="Q420">
        <v>0.9</v>
      </c>
      <c r="R420">
        <v>0.9</v>
      </c>
      <c r="S420">
        <v>0.9</v>
      </c>
      <c r="T420">
        <v>0.9</v>
      </c>
      <c r="U420">
        <v>0.9</v>
      </c>
      <c r="AO420" t="s">
        <v>513</v>
      </c>
      <c r="AP420">
        <v>4.4000000000000004</v>
      </c>
      <c r="AQ420">
        <v>1.04</v>
      </c>
      <c r="AR420">
        <v>35.718499999999999</v>
      </c>
    </row>
    <row r="421" spans="2:44">
      <c r="C421">
        <v>45</v>
      </c>
      <c r="D421">
        <v>0.13287904599659273</v>
      </c>
      <c r="E421">
        <v>5.110732538330498E-2</v>
      </c>
      <c r="F421">
        <v>2.7257240204429323E-2</v>
      </c>
      <c r="G421">
        <v>1.4480408858603022E-2</v>
      </c>
      <c r="H421">
        <v>7.0982396365702272E-3</v>
      </c>
      <c r="I421">
        <v>5.3236797274275336E-3</v>
      </c>
      <c r="J421">
        <v>0.24233390119250431</v>
      </c>
      <c r="K421">
        <v>0.28321976149914818</v>
      </c>
      <c r="L421">
        <v>0.30110732538330492</v>
      </c>
      <c r="M421">
        <v>0.31388415672913123</v>
      </c>
      <c r="N421">
        <v>0.32495741056218042</v>
      </c>
      <c r="O421">
        <v>0.32868398637138008</v>
      </c>
      <c r="P421">
        <v>0.9</v>
      </c>
      <c r="Q421">
        <v>0.9</v>
      </c>
      <c r="R421">
        <v>0.9</v>
      </c>
      <c r="S421">
        <v>0.9</v>
      </c>
      <c r="T421">
        <v>0.9</v>
      </c>
      <c r="U421">
        <v>0.9</v>
      </c>
      <c r="AO421" t="s">
        <v>514</v>
      </c>
      <c r="AP421">
        <v>3.6</v>
      </c>
      <c r="AQ421">
        <v>1.1200000000000001</v>
      </c>
      <c r="AR421">
        <v>67.783799999999999</v>
      </c>
    </row>
    <row r="422" spans="2:44">
      <c r="C422">
        <v>55</v>
      </c>
      <c r="D422">
        <v>0.1788756388415671</v>
      </c>
      <c r="E422">
        <v>7.3253833049403694E-2</v>
      </c>
      <c r="F422">
        <v>3.9182282793867262E-2</v>
      </c>
      <c r="G422">
        <v>2.0442930153321992E-2</v>
      </c>
      <c r="H422">
        <v>9.2277115275412221E-3</v>
      </c>
      <c r="I422">
        <v>8.5178875638841651E-3</v>
      </c>
      <c r="J422">
        <v>0.26916524701873945</v>
      </c>
      <c r="K422">
        <v>0.32197614991482115</v>
      </c>
      <c r="L422">
        <v>0.34752981260647348</v>
      </c>
      <c r="M422">
        <v>0.36626916524701875</v>
      </c>
      <c r="N422">
        <v>0.38309199318568987</v>
      </c>
      <c r="O422">
        <v>0.38458262350936973</v>
      </c>
      <c r="P422">
        <v>0.9</v>
      </c>
      <c r="Q422">
        <v>0.9</v>
      </c>
      <c r="R422">
        <v>0.9</v>
      </c>
      <c r="S422">
        <v>0.9</v>
      </c>
      <c r="T422">
        <v>0.9</v>
      </c>
      <c r="U422">
        <v>0.9</v>
      </c>
      <c r="AO422" t="s">
        <v>515</v>
      </c>
      <c r="AP422">
        <v>3</v>
      </c>
      <c r="AQ422">
        <v>1.1499999999999999</v>
      </c>
      <c r="AR422">
        <v>121.2133</v>
      </c>
    </row>
    <row r="423" spans="2:44">
      <c r="C423">
        <v>65</v>
      </c>
      <c r="D423">
        <v>0.22827938671209536</v>
      </c>
      <c r="E423">
        <v>9.3696763202725686E-2</v>
      </c>
      <c r="F423">
        <v>5.110732538330498E-2</v>
      </c>
      <c r="G423">
        <v>2.7257240204429434E-2</v>
      </c>
      <c r="H423">
        <v>1.4196479273140085E-2</v>
      </c>
      <c r="I423">
        <v>8.5178875638843039E-3</v>
      </c>
      <c r="J423">
        <v>0.29045996592844975</v>
      </c>
      <c r="K423">
        <v>0.35775127768313458</v>
      </c>
      <c r="L423">
        <v>0.38969335604770011</v>
      </c>
      <c r="M423">
        <v>0.41354344122657566</v>
      </c>
      <c r="N423">
        <v>0.43313458262350968</v>
      </c>
      <c r="O423">
        <v>0.44505962521294684</v>
      </c>
      <c r="P423">
        <v>0.9</v>
      </c>
      <c r="Q423">
        <v>0.9</v>
      </c>
      <c r="R423">
        <v>0.9</v>
      </c>
      <c r="S423">
        <v>0.9</v>
      </c>
      <c r="T423">
        <v>0.9</v>
      </c>
      <c r="U423">
        <v>0.9</v>
      </c>
      <c r="AN423">
        <v>7</v>
      </c>
      <c r="AO423" t="s">
        <v>512</v>
      </c>
      <c r="AP423">
        <v>5</v>
      </c>
      <c r="AQ423">
        <v>1</v>
      </c>
      <c r="AR423">
        <v>26.4252</v>
      </c>
    </row>
    <row r="424" spans="2:44">
      <c r="C424">
        <v>75</v>
      </c>
      <c r="D424">
        <v>0.27768313458262361</v>
      </c>
      <c r="E424">
        <v>0.1158432708688244</v>
      </c>
      <c r="F424">
        <v>6.4735945485519641E-2</v>
      </c>
      <c r="G424">
        <v>3.4923339011925014E-2</v>
      </c>
      <c r="H424">
        <v>1.7745599091425292E-2</v>
      </c>
      <c r="I424">
        <v>1.1712095400340796E-2</v>
      </c>
      <c r="J424">
        <v>0.30749574105621802</v>
      </c>
      <c r="K424">
        <v>0.38841567291311763</v>
      </c>
      <c r="L424">
        <v>0.4267461669505962</v>
      </c>
      <c r="M424">
        <v>0.45655877342419082</v>
      </c>
      <c r="N424">
        <v>0.4823253833049404</v>
      </c>
      <c r="O424">
        <v>0.49499574105621785</v>
      </c>
      <c r="P424">
        <v>0.9</v>
      </c>
      <c r="Q424">
        <v>0.9</v>
      </c>
      <c r="R424">
        <v>0.9</v>
      </c>
      <c r="S424">
        <v>0.9</v>
      </c>
      <c r="T424">
        <v>0.9</v>
      </c>
      <c r="U424">
        <v>0.9</v>
      </c>
      <c r="AO424" t="s">
        <v>513</v>
      </c>
      <c r="AP424">
        <v>4.4000000000000004</v>
      </c>
      <c r="AQ424">
        <v>1.04</v>
      </c>
      <c r="AR424">
        <v>42.5045</v>
      </c>
    </row>
    <row r="425" spans="2:44">
      <c r="C425">
        <v>85</v>
      </c>
      <c r="D425">
        <v>0.32708688245315165</v>
      </c>
      <c r="E425">
        <v>0.13969335604770028</v>
      </c>
      <c r="F425">
        <v>7.8364565587734081E-2</v>
      </c>
      <c r="G425">
        <v>4.2589437819420706E-2</v>
      </c>
      <c r="H425">
        <v>2.2004542873367464E-2</v>
      </c>
      <c r="I425">
        <v>1.3841567291311977E-2</v>
      </c>
      <c r="J425">
        <v>0.32112436115843274</v>
      </c>
      <c r="K425">
        <v>0.41482112436115842</v>
      </c>
      <c r="L425">
        <v>0.46081771720613307</v>
      </c>
      <c r="M425">
        <v>0.49659284497444645</v>
      </c>
      <c r="N425">
        <v>0.52747018739352636</v>
      </c>
      <c r="O425">
        <v>0.54461243611584287</v>
      </c>
      <c r="P425">
        <v>0.9</v>
      </c>
      <c r="Q425">
        <v>0.9</v>
      </c>
      <c r="R425">
        <v>0.9</v>
      </c>
      <c r="S425">
        <v>0.9</v>
      </c>
      <c r="T425">
        <v>0.9</v>
      </c>
      <c r="U425">
        <v>0.9</v>
      </c>
      <c r="AO425" t="s">
        <v>514</v>
      </c>
      <c r="AP425">
        <v>3.6</v>
      </c>
      <c r="AQ425">
        <v>1.1200000000000001</v>
      </c>
      <c r="AR425">
        <v>80.640599999999992</v>
      </c>
    </row>
    <row r="426" spans="2:44">
      <c r="C426">
        <v>95</v>
      </c>
      <c r="D426">
        <v>0.3730834752981258</v>
      </c>
      <c r="E426">
        <v>0.16354344122657594</v>
      </c>
      <c r="F426">
        <v>9.3696763202725908E-2</v>
      </c>
      <c r="G426">
        <v>5.0255536626916397E-2</v>
      </c>
      <c r="H426">
        <v>2.6973310618966607E-2</v>
      </c>
      <c r="I426">
        <v>1.5971039182282879E-2</v>
      </c>
      <c r="J426">
        <v>0.3334752981260648</v>
      </c>
      <c r="K426">
        <v>0.43824531516183973</v>
      </c>
      <c r="L426">
        <v>0.49063032367972725</v>
      </c>
      <c r="M426">
        <v>0.53407155025553676</v>
      </c>
      <c r="N426">
        <v>0.56899488926746145</v>
      </c>
      <c r="O426">
        <v>0.59209965928449726</v>
      </c>
      <c r="P426">
        <v>0.9</v>
      </c>
      <c r="Q426">
        <v>0.9</v>
      </c>
      <c r="R426">
        <v>0.9</v>
      </c>
      <c r="S426">
        <v>0.9</v>
      </c>
      <c r="T426">
        <v>0.9</v>
      </c>
      <c r="U426">
        <v>0.9</v>
      </c>
      <c r="AO426" t="s">
        <v>515</v>
      </c>
      <c r="AP426">
        <v>3</v>
      </c>
      <c r="AQ426">
        <v>1.1499999999999999</v>
      </c>
      <c r="AR426">
        <v>142.64170000000001</v>
      </c>
    </row>
    <row r="427" spans="2:44">
      <c r="C427">
        <v>105</v>
      </c>
      <c r="D427">
        <v>0.42248722316865406</v>
      </c>
      <c r="E427">
        <v>0.18739352640545137</v>
      </c>
      <c r="F427">
        <v>0.10732538330494057</v>
      </c>
      <c r="G427">
        <v>5.8773424190800672E-2</v>
      </c>
      <c r="H427">
        <v>3.1232254400908595E-2</v>
      </c>
      <c r="I427">
        <v>1.916524701873951E-2</v>
      </c>
      <c r="J427">
        <v>0.34199318568994896</v>
      </c>
      <c r="K427">
        <v>0.45954003407155031</v>
      </c>
      <c r="L427">
        <v>0.51959114139693341</v>
      </c>
      <c r="M427">
        <v>0.56814310051107331</v>
      </c>
      <c r="N427">
        <v>0.60945485519591136</v>
      </c>
      <c r="O427">
        <v>0.63479557069846648</v>
      </c>
      <c r="P427">
        <v>0.9</v>
      </c>
      <c r="Q427">
        <v>0.9</v>
      </c>
      <c r="R427">
        <v>0.9</v>
      </c>
      <c r="S427">
        <v>0.9</v>
      </c>
      <c r="T427">
        <v>0.9</v>
      </c>
      <c r="U427">
        <v>0.9</v>
      </c>
      <c r="AN427">
        <v>8</v>
      </c>
      <c r="AO427" t="s">
        <v>512</v>
      </c>
      <c r="AP427">
        <v>5</v>
      </c>
      <c r="AQ427">
        <v>1</v>
      </c>
      <c r="AR427">
        <v>30.7104</v>
      </c>
    </row>
    <row r="428" spans="2:44">
      <c r="C428">
        <v>115</v>
      </c>
      <c r="D428">
        <v>0.46848381601362865</v>
      </c>
      <c r="E428">
        <v>0.21124361158432681</v>
      </c>
      <c r="F428">
        <v>0.12265758091993195</v>
      </c>
      <c r="G428">
        <v>6.7291311754684724E-2</v>
      </c>
      <c r="H428">
        <v>3.5491198182850771E-2</v>
      </c>
      <c r="I428">
        <v>2.3424190800681314E-2</v>
      </c>
      <c r="J428">
        <v>0.34965928449744466</v>
      </c>
      <c r="K428">
        <v>0.47827938671209558</v>
      </c>
      <c r="L428">
        <v>0.54471890971039172</v>
      </c>
      <c r="M428">
        <v>0.60008517887563895</v>
      </c>
      <c r="N428">
        <v>0.64778534923338982</v>
      </c>
      <c r="O428">
        <v>0.67312606473594572</v>
      </c>
      <c r="P428">
        <v>0.9</v>
      </c>
      <c r="Q428">
        <v>0.9</v>
      </c>
      <c r="R428">
        <v>0.9</v>
      </c>
      <c r="S428">
        <v>0.9</v>
      </c>
      <c r="T428">
        <v>0.9</v>
      </c>
      <c r="U428">
        <v>0.9</v>
      </c>
      <c r="AO428" t="s">
        <v>513</v>
      </c>
      <c r="AP428">
        <v>4.4000000000000004</v>
      </c>
      <c r="AQ428">
        <v>1.04</v>
      </c>
      <c r="AR428">
        <v>49.290500000000002</v>
      </c>
    </row>
    <row r="429" spans="2:44">
      <c r="C429">
        <v>125</v>
      </c>
      <c r="D429">
        <v>0.5127768313458263</v>
      </c>
      <c r="E429">
        <v>0.23509369676320269</v>
      </c>
      <c r="F429">
        <v>0.13798977853492334</v>
      </c>
      <c r="G429">
        <v>7.6660988074957581E-2</v>
      </c>
      <c r="H429">
        <v>4.045996592844954E-2</v>
      </c>
      <c r="I429">
        <v>2.5553662691652497E-2</v>
      </c>
      <c r="J429">
        <v>0.35604770017035769</v>
      </c>
      <c r="K429">
        <v>0.4948892674616695</v>
      </c>
      <c r="L429">
        <v>0.56771720613287902</v>
      </c>
      <c r="M429">
        <v>0.62904599659284477</v>
      </c>
      <c r="N429">
        <v>0.68334752981260682</v>
      </c>
      <c r="O429">
        <v>0.71465076660988058</v>
      </c>
      <c r="P429">
        <v>0.9</v>
      </c>
      <c r="Q429">
        <v>0.9</v>
      </c>
      <c r="R429">
        <v>0.9</v>
      </c>
      <c r="S429">
        <v>0.9</v>
      </c>
      <c r="T429">
        <v>0.9</v>
      </c>
      <c r="U429">
        <v>0.9</v>
      </c>
      <c r="AO429" t="s">
        <v>514</v>
      </c>
      <c r="AP429">
        <v>3.6</v>
      </c>
      <c r="AQ429">
        <v>1.1200000000000001</v>
      </c>
      <c r="AR429">
        <v>93.497399999999985</v>
      </c>
    </row>
    <row r="430" spans="2:44">
      <c r="C430">
        <v>135</v>
      </c>
      <c r="D430">
        <v>0.55706984667802395</v>
      </c>
      <c r="E430">
        <v>0.26064735945485529</v>
      </c>
      <c r="F430">
        <v>0.151618398637138</v>
      </c>
      <c r="G430">
        <v>8.5178875638841633E-2</v>
      </c>
      <c r="H430">
        <v>4.5428733674048677E-2</v>
      </c>
      <c r="I430">
        <v>2.8747870528109128E-2</v>
      </c>
      <c r="J430">
        <v>0.36073253833049401</v>
      </c>
      <c r="K430">
        <v>0.50894378194207834</v>
      </c>
      <c r="L430">
        <v>0.59071550255536631</v>
      </c>
      <c r="M430">
        <v>0.65715502555366268</v>
      </c>
      <c r="N430">
        <v>0.71678023850085215</v>
      </c>
      <c r="O430">
        <v>0.75181005110732513</v>
      </c>
      <c r="P430">
        <v>0.9</v>
      </c>
      <c r="Q430">
        <v>0.9</v>
      </c>
      <c r="R430">
        <v>0.9</v>
      </c>
      <c r="S430">
        <v>0.9</v>
      </c>
      <c r="T430">
        <v>0.9</v>
      </c>
      <c r="U430">
        <v>0.9</v>
      </c>
      <c r="AO430" t="s">
        <v>515</v>
      </c>
      <c r="AP430">
        <v>3</v>
      </c>
      <c r="AQ430">
        <v>1.1499999999999999</v>
      </c>
      <c r="AR430">
        <v>164.07010000000002</v>
      </c>
    </row>
    <row r="431" spans="2:44">
      <c r="C431">
        <v>145</v>
      </c>
      <c r="D431">
        <v>0.59795570698466793</v>
      </c>
      <c r="E431">
        <v>0.28449744463373072</v>
      </c>
      <c r="F431">
        <v>0.16695059625212938</v>
      </c>
      <c r="G431">
        <v>9.3696763202725686E-2</v>
      </c>
      <c r="H431">
        <v>5.0397501419648008E-2</v>
      </c>
      <c r="I431">
        <v>3.3006814310051209E-2</v>
      </c>
      <c r="J431">
        <v>0.36541737649063033</v>
      </c>
      <c r="K431">
        <v>0.52214650766609894</v>
      </c>
      <c r="L431">
        <v>0.61030664395229994</v>
      </c>
      <c r="M431">
        <v>0.68356047700170364</v>
      </c>
      <c r="N431">
        <v>0.74850936967632009</v>
      </c>
      <c r="O431">
        <v>0.78502981260647342</v>
      </c>
      <c r="P431">
        <v>0.9</v>
      </c>
      <c r="Q431">
        <v>0.9</v>
      </c>
      <c r="R431">
        <v>0.9</v>
      </c>
      <c r="S431">
        <v>0.9</v>
      </c>
      <c r="T431">
        <v>0.9</v>
      </c>
      <c r="U431">
        <v>0.9</v>
      </c>
    </row>
    <row r="432" spans="2:44">
      <c r="C432">
        <v>155</v>
      </c>
      <c r="D432">
        <v>0.64054514480408864</v>
      </c>
      <c r="E432">
        <v>0.30664395229982944</v>
      </c>
      <c r="F432">
        <v>0.18228279386712121</v>
      </c>
      <c r="G432">
        <v>0.1030664395229981</v>
      </c>
      <c r="H432">
        <v>5.5366269165247145E-2</v>
      </c>
      <c r="I432">
        <v>3.6201022146507562E-2</v>
      </c>
      <c r="J432">
        <v>0.36797274275979552</v>
      </c>
      <c r="K432">
        <v>0.53492333901192513</v>
      </c>
      <c r="L432">
        <v>0.6281942078364563</v>
      </c>
      <c r="M432">
        <v>0.70741056218057941</v>
      </c>
      <c r="N432">
        <v>0.77896081771720582</v>
      </c>
      <c r="O432">
        <v>0.81920783645655892</v>
      </c>
      <c r="P432">
        <v>0.9</v>
      </c>
      <c r="Q432">
        <v>0.9</v>
      </c>
      <c r="R432">
        <v>0.9</v>
      </c>
      <c r="S432">
        <v>0.9</v>
      </c>
      <c r="T432">
        <v>0.9</v>
      </c>
      <c r="U432">
        <v>0.9</v>
      </c>
    </row>
    <row r="433" spans="2:21">
      <c r="B433">
        <v>4</v>
      </c>
      <c r="C433">
        <v>15</v>
      </c>
      <c r="D433">
        <v>3.4071550255536542E-2</v>
      </c>
      <c r="E433">
        <v>1.1925042589437829E-2</v>
      </c>
      <c r="F433">
        <v>6.8143100511073307E-3</v>
      </c>
      <c r="G433">
        <v>3.4071550255536653E-3</v>
      </c>
      <c r="H433">
        <v>1.419647927314027E-3</v>
      </c>
      <c r="I433">
        <v>1.0647359454855206E-3</v>
      </c>
      <c r="J433">
        <v>0.15076660988074961</v>
      </c>
      <c r="K433">
        <v>0.16183986371379896</v>
      </c>
      <c r="L433">
        <v>0.16567291311754684</v>
      </c>
      <c r="M433">
        <v>0.1690800681431005</v>
      </c>
      <c r="N433">
        <v>0.17206132879045996</v>
      </c>
      <c r="O433">
        <v>0.17280664395229983</v>
      </c>
      <c r="P433">
        <v>0.9</v>
      </c>
      <c r="Q433">
        <v>0.9</v>
      </c>
      <c r="R433">
        <v>0.9</v>
      </c>
      <c r="S433">
        <v>0.9</v>
      </c>
      <c r="T433">
        <v>0.9</v>
      </c>
      <c r="U433">
        <v>0.9</v>
      </c>
    </row>
    <row r="434" spans="2:21">
      <c r="C434">
        <v>25</v>
      </c>
      <c r="D434">
        <v>8.6882453151618355E-2</v>
      </c>
      <c r="E434">
        <v>3.0664395229982988E-2</v>
      </c>
      <c r="F434">
        <v>1.7035775127768327E-2</v>
      </c>
      <c r="G434">
        <v>8.5178875638841633E-3</v>
      </c>
      <c r="H434">
        <v>4.2589437819420808E-3</v>
      </c>
      <c r="I434">
        <v>3.1942078364564927E-3</v>
      </c>
      <c r="J434">
        <v>0.21890971039182283</v>
      </c>
      <c r="K434">
        <v>0.24701873935264052</v>
      </c>
      <c r="L434">
        <v>0.25724020442930151</v>
      </c>
      <c r="M434">
        <v>0.26575809199318567</v>
      </c>
      <c r="N434">
        <v>0.27214650766609882</v>
      </c>
      <c r="O434">
        <v>0.27438245315161852</v>
      </c>
      <c r="P434">
        <v>0.9</v>
      </c>
      <c r="Q434">
        <v>0.9</v>
      </c>
      <c r="R434">
        <v>0.9</v>
      </c>
      <c r="S434">
        <v>0.9</v>
      </c>
      <c r="T434">
        <v>0.9</v>
      </c>
      <c r="U434">
        <v>0.9</v>
      </c>
    </row>
    <row r="435" spans="2:21">
      <c r="C435">
        <v>35</v>
      </c>
      <c r="D435">
        <v>0.15161839863713777</v>
      </c>
      <c r="E435">
        <v>5.7921635434412311E-2</v>
      </c>
      <c r="F435">
        <v>3.0664395229982988E-2</v>
      </c>
      <c r="G435">
        <v>1.6183986371379855E-2</v>
      </c>
      <c r="H435">
        <v>7.8080636002271948E-3</v>
      </c>
      <c r="I435">
        <v>5.3236797274276723E-3</v>
      </c>
      <c r="J435">
        <v>0.26916524701873945</v>
      </c>
      <c r="K435">
        <v>0.31601362862010218</v>
      </c>
      <c r="L435">
        <v>0.33645655877342417</v>
      </c>
      <c r="M435">
        <v>0.35093696763202731</v>
      </c>
      <c r="N435">
        <v>0.3635008517887563</v>
      </c>
      <c r="O435">
        <v>0.36871805792163531</v>
      </c>
      <c r="P435">
        <v>0.9</v>
      </c>
      <c r="Q435">
        <v>0.9</v>
      </c>
      <c r="R435">
        <v>0.9</v>
      </c>
      <c r="S435">
        <v>0.9</v>
      </c>
      <c r="T435">
        <v>0.9</v>
      </c>
      <c r="U435">
        <v>0.9</v>
      </c>
    </row>
    <row r="436" spans="2:21">
      <c r="C436">
        <v>45</v>
      </c>
      <c r="D436">
        <v>0.22146507666098825</v>
      </c>
      <c r="E436">
        <v>8.8586030664395077E-2</v>
      </c>
      <c r="F436">
        <v>4.7700170357751315E-2</v>
      </c>
      <c r="G436">
        <v>2.555366269165249E-2</v>
      </c>
      <c r="H436">
        <v>1.2776831345826151E-2</v>
      </c>
      <c r="I436">
        <v>7.4531516183988528E-3</v>
      </c>
      <c r="J436">
        <v>0.30706984667802378</v>
      </c>
      <c r="K436">
        <v>0.37350936967632037</v>
      </c>
      <c r="L436">
        <v>0.40417376490630319</v>
      </c>
      <c r="M436">
        <v>0.42632027257240201</v>
      </c>
      <c r="N436">
        <v>0.44548551959114152</v>
      </c>
      <c r="O436">
        <v>0.45666524701873884</v>
      </c>
      <c r="P436">
        <v>0.9</v>
      </c>
      <c r="Q436">
        <v>0.9</v>
      </c>
      <c r="R436">
        <v>0.9</v>
      </c>
      <c r="S436">
        <v>0.9</v>
      </c>
      <c r="T436">
        <v>0.9</v>
      </c>
      <c r="U436">
        <v>0.9</v>
      </c>
    </row>
    <row r="437" spans="2:21">
      <c r="C437">
        <v>55</v>
      </c>
      <c r="D437">
        <v>0.29642248722316866</v>
      </c>
      <c r="E437">
        <v>0.12265758091993217</v>
      </c>
      <c r="F437">
        <v>6.6439522998296141E-2</v>
      </c>
      <c r="G437">
        <v>3.5775127768313375E-2</v>
      </c>
      <c r="H437">
        <v>1.7745599091425292E-2</v>
      </c>
      <c r="I437">
        <v>1.1712095400340796E-2</v>
      </c>
      <c r="J437">
        <v>0.3347529812606474</v>
      </c>
      <c r="K437">
        <v>0.42163543441226564</v>
      </c>
      <c r="L437">
        <v>0.46379897785349267</v>
      </c>
      <c r="M437">
        <v>0.49446337308347543</v>
      </c>
      <c r="N437">
        <v>0.52150766609880761</v>
      </c>
      <c r="O437">
        <v>0.53417802385008495</v>
      </c>
      <c r="P437">
        <v>0.9</v>
      </c>
      <c r="Q437">
        <v>0.9</v>
      </c>
      <c r="R437">
        <v>0.9</v>
      </c>
      <c r="S437">
        <v>0.9</v>
      </c>
      <c r="T437">
        <v>0.9</v>
      </c>
      <c r="U437">
        <v>0.9</v>
      </c>
    </row>
    <row r="438" spans="2:21">
      <c r="C438">
        <v>65</v>
      </c>
      <c r="D438">
        <v>0.37137989778534886</v>
      </c>
      <c r="E438">
        <v>0.15672913117546861</v>
      </c>
      <c r="F438">
        <v>8.6882453151618577E-2</v>
      </c>
      <c r="G438">
        <v>4.6848381601362954E-2</v>
      </c>
      <c r="H438">
        <v>2.4134014764338366E-2</v>
      </c>
      <c r="I438">
        <v>1.4906303236797151E-2</v>
      </c>
      <c r="J438">
        <v>0.35604770017035792</v>
      </c>
      <c r="K438">
        <v>0.46337308347529804</v>
      </c>
      <c r="L438">
        <v>0.51575809199318556</v>
      </c>
      <c r="M438">
        <v>0.55579216354344119</v>
      </c>
      <c r="N438">
        <v>0.58986371379897806</v>
      </c>
      <c r="O438">
        <v>0.60924190800681466</v>
      </c>
      <c r="P438">
        <v>0.9</v>
      </c>
      <c r="Q438">
        <v>0.9</v>
      </c>
      <c r="R438">
        <v>0.9</v>
      </c>
      <c r="S438">
        <v>0.9</v>
      </c>
      <c r="T438">
        <v>0.9</v>
      </c>
      <c r="U438">
        <v>0.9</v>
      </c>
    </row>
    <row r="439" spans="2:21">
      <c r="C439">
        <v>75</v>
      </c>
      <c r="D439">
        <v>0.44633730834752972</v>
      </c>
      <c r="E439">
        <v>0.1942078364565587</v>
      </c>
      <c r="F439">
        <v>0.10902896081771729</v>
      </c>
      <c r="G439">
        <v>5.877342419080045E-2</v>
      </c>
      <c r="H439">
        <v>3.0522430437251627E-2</v>
      </c>
      <c r="I439">
        <v>1.9165247018739787E-2</v>
      </c>
      <c r="J439">
        <v>0.3713798977853493</v>
      </c>
      <c r="K439">
        <v>0.49744463373083481</v>
      </c>
      <c r="L439">
        <v>0.56132879045996587</v>
      </c>
      <c r="M439">
        <v>0.61158432708688271</v>
      </c>
      <c r="N439">
        <v>0.65396081771720593</v>
      </c>
      <c r="O439">
        <v>0.67781090289608081</v>
      </c>
      <c r="P439">
        <v>0.9</v>
      </c>
      <c r="Q439">
        <v>0.9</v>
      </c>
      <c r="R439">
        <v>0.9</v>
      </c>
      <c r="S439">
        <v>0.9</v>
      </c>
      <c r="T439">
        <v>0.9</v>
      </c>
      <c r="U439">
        <v>0.9</v>
      </c>
    </row>
    <row r="440" spans="2:21">
      <c r="C440">
        <v>85</v>
      </c>
      <c r="D440">
        <v>0.51959114139693341</v>
      </c>
      <c r="E440">
        <v>0.22998296422487208</v>
      </c>
      <c r="F440">
        <v>0.131175468483816</v>
      </c>
      <c r="G440">
        <v>7.2402044293015111E-2</v>
      </c>
      <c r="H440">
        <v>3.6910846110164701E-2</v>
      </c>
      <c r="I440">
        <v>2.3424190800681591E-2</v>
      </c>
      <c r="J440">
        <v>0.38330494037478713</v>
      </c>
      <c r="K440">
        <v>0.52810902896081779</v>
      </c>
      <c r="L440">
        <v>0.60221465076660985</v>
      </c>
      <c r="M440">
        <v>0.66098807495741074</v>
      </c>
      <c r="N440">
        <v>0.7142248722316864</v>
      </c>
      <c r="O440">
        <v>0.7425468483816009</v>
      </c>
      <c r="P440">
        <v>0.9</v>
      </c>
      <c r="Q440">
        <v>0.9</v>
      </c>
      <c r="R440">
        <v>0.9</v>
      </c>
      <c r="S440">
        <v>0.9</v>
      </c>
      <c r="T440">
        <v>0.9</v>
      </c>
      <c r="U440">
        <v>0.9</v>
      </c>
    </row>
    <row r="441" spans="2:21">
      <c r="C441">
        <v>95</v>
      </c>
      <c r="D441">
        <v>0.59114139693356016</v>
      </c>
      <c r="E441">
        <v>0.26916524701873978</v>
      </c>
      <c r="F441">
        <v>0.15332197614991472</v>
      </c>
      <c r="G441">
        <v>8.5178875638841411E-2</v>
      </c>
      <c r="H441">
        <v>4.4718909710391899E-2</v>
      </c>
      <c r="I441">
        <v>2.874787052810885E-2</v>
      </c>
      <c r="J441">
        <v>0.39139693356047711</v>
      </c>
      <c r="K441">
        <v>0.5523850085178873</v>
      </c>
      <c r="L441">
        <v>0.6392674616695061</v>
      </c>
      <c r="M441">
        <v>0.70741056218057941</v>
      </c>
      <c r="N441">
        <v>0.76810051107325372</v>
      </c>
      <c r="O441">
        <v>0.80163969335604812</v>
      </c>
      <c r="P441">
        <v>0.9</v>
      </c>
      <c r="Q441">
        <v>0.9</v>
      </c>
      <c r="R441">
        <v>0.9</v>
      </c>
      <c r="S441">
        <v>0.9</v>
      </c>
      <c r="T441">
        <v>0.9</v>
      </c>
      <c r="U441">
        <v>0.9</v>
      </c>
    </row>
    <row r="442" spans="2:21">
      <c r="C442">
        <v>105</v>
      </c>
      <c r="D442">
        <v>0.65928449744463347</v>
      </c>
      <c r="E442">
        <v>0.30664395229982944</v>
      </c>
      <c r="F442">
        <v>0.1771720613287906</v>
      </c>
      <c r="G442">
        <v>9.8807495741056295E-2</v>
      </c>
      <c r="H442">
        <v>5.1817149346961938E-2</v>
      </c>
      <c r="I442">
        <v>3.3006814310051209E-2</v>
      </c>
      <c r="J442">
        <v>0.39778534923339026</v>
      </c>
      <c r="K442">
        <v>0.57410562180579228</v>
      </c>
      <c r="L442">
        <v>0.67120954003407141</v>
      </c>
      <c r="M442">
        <v>0.74957410562180571</v>
      </c>
      <c r="N442">
        <v>0.82005962521294729</v>
      </c>
      <c r="O442">
        <v>0.85956132879045977</v>
      </c>
      <c r="P442">
        <v>0.9</v>
      </c>
      <c r="Q442">
        <v>0.9</v>
      </c>
      <c r="R442">
        <v>0.9</v>
      </c>
      <c r="S442">
        <v>0.9</v>
      </c>
      <c r="T442">
        <v>0.9</v>
      </c>
      <c r="U442">
        <v>0.9</v>
      </c>
    </row>
    <row r="443" spans="2:21">
      <c r="C443">
        <v>115</v>
      </c>
      <c r="D443">
        <v>0.72572402044292961</v>
      </c>
      <c r="E443">
        <v>0.34412265758091998</v>
      </c>
      <c r="F443">
        <v>0.19931856899488931</v>
      </c>
      <c r="G443">
        <v>0.11328790459965932</v>
      </c>
      <c r="H443">
        <v>5.9625212947189137E-2</v>
      </c>
      <c r="I443">
        <v>3.8330494037478464E-2</v>
      </c>
      <c r="J443">
        <v>0.4020442930153324</v>
      </c>
      <c r="K443">
        <v>0.59284497444633721</v>
      </c>
      <c r="L443">
        <v>0.70144804088586021</v>
      </c>
      <c r="M443">
        <v>0.78747870528109021</v>
      </c>
      <c r="N443">
        <v>0.86797274275979541</v>
      </c>
      <c r="O443">
        <v>0.91269165247018791</v>
      </c>
      <c r="P443">
        <v>0.9</v>
      </c>
      <c r="Q443">
        <v>0.9</v>
      </c>
      <c r="R443">
        <v>0.9</v>
      </c>
      <c r="S443">
        <v>0.9</v>
      </c>
      <c r="T443">
        <v>0.9</v>
      </c>
      <c r="U443">
        <v>0.9</v>
      </c>
    </row>
    <row r="444" spans="2:21">
      <c r="C444">
        <v>125</v>
      </c>
      <c r="D444">
        <v>0.79045996592844991</v>
      </c>
      <c r="E444">
        <v>0.37989778534923335</v>
      </c>
      <c r="F444">
        <v>0.22316865417376475</v>
      </c>
      <c r="G444">
        <v>0.12691652470187376</v>
      </c>
      <c r="H444">
        <v>6.8143100511073293E-2</v>
      </c>
      <c r="I444">
        <v>4.2589437819420824E-2</v>
      </c>
      <c r="J444">
        <v>0.40459965928449737</v>
      </c>
      <c r="K444">
        <v>0.60988074957410565</v>
      </c>
      <c r="L444">
        <v>0.72742759795570711</v>
      </c>
      <c r="M444">
        <v>0.8236797274275981</v>
      </c>
      <c r="N444">
        <v>0.91183986371379877</v>
      </c>
      <c r="O444">
        <v>0.96550255536626894</v>
      </c>
      <c r="P444">
        <v>0.9</v>
      </c>
      <c r="Q444">
        <v>0.9</v>
      </c>
      <c r="R444">
        <v>0.9</v>
      </c>
      <c r="S444">
        <v>0.9</v>
      </c>
      <c r="T444">
        <v>0.9</v>
      </c>
      <c r="U444">
        <v>0.9</v>
      </c>
    </row>
    <row r="445" spans="2:21">
      <c r="C445">
        <v>135</v>
      </c>
      <c r="D445">
        <v>0.85178875638841545</v>
      </c>
      <c r="E445">
        <v>0.41737649063032389</v>
      </c>
      <c r="F445">
        <v>0.24701873935264063</v>
      </c>
      <c r="G445">
        <v>0.14139693356047678</v>
      </c>
      <c r="H445">
        <v>7.5241340147643707E-2</v>
      </c>
      <c r="I445">
        <v>4.8977853492333537E-2</v>
      </c>
      <c r="J445">
        <v>0.40587734241908013</v>
      </c>
      <c r="K445">
        <v>0.62308347529812591</v>
      </c>
      <c r="L445">
        <v>0.75085178875638836</v>
      </c>
      <c r="M445">
        <v>0.85647359454855221</v>
      </c>
      <c r="N445">
        <v>0.9557069846678018</v>
      </c>
      <c r="O445">
        <v>1.0108603066439532</v>
      </c>
      <c r="P445">
        <v>0.9</v>
      </c>
      <c r="Q445">
        <v>0.9</v>
      </c>
      <c r="R445">
        <v>0.9</v>
      </c>
      <c r="S445">
        <v>0.9</v>
      </c>
      <c r="T445">
        <v>0.9</v>
      </c>
      <c r="U445">
        <v>0.9</v>
      </c>
    </row>
    <row r="446" spans="2:21">
      <c r="C446">
        <v>145</v>
      </c>
      <c r="D446">
        <v>0.9114139693356047</v>
      </c>
      <c r="E446">
        <v>0.45144804088586055</v>
      </c>
      <c r="F446">
        <v>0.27086882453151606</v>
      </c>
      <c r="G446">
        <v>0.15587734241908002</v>
      </c>
      <c r="H446">
        <v>8.375922771152769E-2</v>
      </c>
      <c r="I446">
        <v>5.430153321976107E-2</v>
      </c>
      <c r="J446">
        <v>0.4063032367972742</v>
      </c>
      <c r="K446">
        <v>0.63628620102214628</v>
      </c>
      <c r="L446">
        <v>0.77172061328790464</v>
      </c>
      <c r="M446">
        <v>0.88671209540034068</v>
      </c>
      <c r="N446">
        <v>0.99488926746166917</v>
      </c>
      <c r="O446">
        <v>1.0567504258943792</v>
      </c>
      <c r="P446">
        <v>0.9</v>
      </c>
      <c r="Q446">
        <v>0.9</v>
      </c>
      <c r="R446">
        <v>0.9</v>
      </c>
      <c r="S446">
        <v>0.9</v>
      </c>
      <c r="T446">
        <v>0.9</v>
      </c>
      <c r="U446">
        <v>0.9</v>
      </c>
    </row>
    <row r="447" spans="2:21">
      <c r="C447">
        <v>155</v>
      </c>
      <c r="D447">
        <v>0.96933560477001679</v>
      </c>
      <c r="E447">
        <v>0.48722316865417392</v>
      </c>
      <c r="F447">
        <v>0.29301533219761478</v>
      </c>
      <c r="G447">
        <v>0.17035775127768327</v>
      </c>
      <c r="H447">
        <v>9.2277115275411659E-2</v>
      </c>
      <c r="I447">
        <v>5.8560477001703429E-2</v>
      </c>
      <c r="J447">
        <v>0.40545144804088606</v>
      </c>
      <c r="K447">
        <v>0.6465076660988075</v>
      </c>
      <c r="L447">
        <v>0.79216354344122686</v>
      </c>
      <c r="M447">
        <v>0.91482112436115837</v>
      </c>
      <c r="N447">
        <v>1.0319420783645659</v>
      </c>
      <c r="O447">
        <v>1.1027470187393531</v>
      </c>
      <c r="P447">
        <v>0.9</v>
      </c>
      <c r="Q447">
        <v>0.9</v>
      </c>
      <c r="R447">
        <v>0.9</v>
      </c>
      <c r="S447">
        <v>0.9</v>
      </c>
      <c r="T447">
        <v>0.9</v>
      </c>
      <c r="U447">
        <v>0.9</v>
      </c>
    </row>
    <row r="448" spans="2:21">
      <c r="B448">
        <v>5</v>
      </c>
      <c r="C448">
        <v>15</v>
      </c>
      <c r="D448">
        <v>5.2810902896081813E-2</v>
      </c>
      <c r="E448">
        <v>1.8739352640545048E-2</v>
      </c>
      <c r="F448">
        <v>1.0221465076660996E-2</v>
      </c>
      <c r="G448">
        <v>5.110732538330498E-3</v>
      </c>
      <c r="H448">
        <v>2.1294718909710404E-3</v>
      </c>
      <c r="I448">
        <v>2.1294718909709719E-3</v>
      </c>
      <c r="J448">
        <v>0.18654173764906304</v>
      </c>
      <c r="K448">
        <v>0.20357751277683142</v>
      </c>
      <c r="L448">
        <v>0.20996592844974446</v>
      </c>
      <c r="M448">
        <v>0.21507666098807496</v>
      </c>
      <c r="N448">
        <v>0.21954855195911416</v>
      </c>
      <c r="O448">
        <v>0.2195485519591143</v>
      </c>
      <c r="P448">
        <v>0.9</v>
      </c>
      <c r="Q448">
        <v>0.9</v>
      </c>
      <c r="R448">
        <v>0.9</v>
      </c>
      <c r="S448">
        <v>0.9</v>
      </c>
      <c r="T448">
        <v>0.9</v>
      </c>
      <c r="U448">
        <v>0.9</v>
      </c>
    </row>
    <row r="449" spans="2:21">
      <c r="C449">
        <v>25</v>
      </c>
      <c r="D449">
        <v>0.13117546848381623</v>
      </c>
      <c r="E449">
        <v>4.7700170357751093E-2</v>
      </c>
      <c r="F449">
        <v>2.5553662691652601E-2</v>
      </c>
      <c r="G449">
        <v>1.362862010221455E-2</v>
      </c>
      <c r="H449">
        <v>6.3884156729131676E-3</v>
      </c>
      <c r="I449">
        <v>4.2589437819422213E-3</v>
      </c>
      <c r="J449">
        <v>0.2649063032367972</v>
      </c>
      <c r="K449">
        <v>0.30664395229982977</v>
      </c>
      <c r="L449">
        <v>0.32325383304940364</v>
      </c>
      <c r="M449">
        <v>0.33517887563884169</v>
      </c>
      <c r="N449">
        <v>0.34603918228279379</v>
      </c>
      <c r="O449">
        <v>0.35051107325383274</v>
      </c>
      <c r="P449">
        <v>0.9</v>
      </c>
      <c r="Q449">
        <v>0.9</v>
      </c>
      <c r="R449">
        <v>0.9</v>
      </c>
      <c r="S449">
        <v>0.9</v>
      </c>
      <c r="T449">
        <v>0.9</v>
      </c>
      <c r="U449">
        <v>0.9</v>
      </c>
    </row>
    <row r="450" spans="2:21">
      <c r="C450">
        <v>35</v>
      </c>
      <c r="D450">
        <v>0.22316865417376497</v>
      </c>
      <c r="E450">
        <v>8.8586030664395077E-2</v>
      </c>
      <c r="F450">
        <v>4.5996592844974593E-2</v>
      </c>
      <c r="G450">
        <v>2.5553662691652379E-2</v>
      </c>
      <c r="H450">
        <v>1.2067007382169368E-2</v>
      </c>
      <c r="I450">
        <v>7.4531516183985753E-3</v>
      </c>
      <c r="J450">
        <v>0.31984667802385003</v>
      </c>
      <c r="K450">
        <v>0.38713798977853497</v>
      </c>
      <c r="L450">
        <v>0.41908006814310034</v>
      </c>
      <c r="M450">
        <v>0.43952299829642255</v>
      </c>
      <c r="N450">
        <v>0.45975298126064706</v>
      </c>
      <c r="O450">
        <v>0.46944207836456575</v>
      </c>
      <c r="P450">
        <v>0.9</v>
      </c>
      <c r="Q450">
        <v>0.9</v>
      </c>
      <c r="R450">
        <v>0.9</v>
      </c>
      <c r="S450">
        <v>0.9</v>
      </c>
      <c r="T450">
        <v>0.9</v>
      </c>
      <c r="U450">
        <v>0.9</v>
      </c>
    </row>
    <row r="451" spans="2:21">
      <c r="C451">
        <v>45</v>
      </c>
      <c r="D451">
        <v>0.32538330494037448</v>
      </c>
      <c r="E451">
        <v>0.131175468483816</v>
      </c>
      <c r="F451">
        <v>7.3253833049403916E-2</v>
      </c>
      <c r="G451">
        <v>3.833049403747868E-2</v>
      </c>
      <c r="H451">
        <v>1.9165247018739225E-2</v>
      </c>
      <c r="I451">
        <v>1.2776831345826526E-2</v>
      </c>
      <c r="J451">
        <v>0.35732538330494046</v>
      </c>
      <c r="K451">
        <v>0.4544293015332197</v>
      </c>
      <c r="L451">
        <v>0.49787052810902876</v>
      </c>
      <c r="M451">
        <v>0.532793867120954</v>
      </c>
      <c r="N451">
        <v>0.56154173764906323</v>
      </c>
      <c r="O451">
        <v>0.57495741056217986</v>
      </c>
      <c r="P451">
        <v>0.9</v>
      </c>
      <c r="Q451">
        <v>0.9</v>
      </c>
      <c r="R451">
        <v>0.9</v>
      </c>
      <c r="S451">
        <v>0.9</v>
      </c>
      <c r="T451">
        <v>0.9</v>
      </c>
      <c r="U451">
        <v>0.9</v>
      </c>
    </row>
    <row r="452" spans="2:21">
      <c r="C452">
        <v>55</v>
      </c>
      <c r="D452">
        <v>0.42759795570698445</v>
      </c>
      <c r="E452">
        <v>0.18057921635434404</v>
      </c>
      <c r="F452">
        <v>0.10051107325383324</v>
      </c>
      <c r="G452">
        <v>5.4514480408858645E-2</v>
      </c>
      <c r="H452">
        <v>2.6973310618966607E-2</v>
      </c>
      <c r="I452">
        <v>1.7035775127768053E-2</v>
      </c>
      <c r="J452">
        <v>0.38373083475298131</v>
      </c>
      <c r="K452">
        <v>0.50724020442930151</v>
      </c>
      <c r="L452">
        <v>0.56729131175468461</v>
      </c>
      <c r="M452">
        <v>0.61328790459965921</v>
      </c>
      <c r="N452">
        <v>0.65459965928449726</v>
      </c>
      <c r="O452">
        <v>0.67546848381601421</v>
      </c>
      <c r="P452">
        <v>0.9</v>
      </c>
      <c r="Q452">
        <v>0.9</v>
      </c>
      <c r="R452">
        <v>0.9</v>
      </c>
      <c r="S452">
        <v>0.9</v>
      </c>
      <c r="T452">
        <v>0.9</v>
      </c>
      <c r="U452">
        <v>0.9</v>
      </c>
    </row>
    <row r="453" spans="2:21">
      <c r="C453">
        <v>65</v>
      </c>
      <c r="D453">
        <v>0.53151618398637179</v>
      </c>
      <c r="E453">
        <v>0.2316865417376488</v>
      </c>
      <c r="F453">
        <v>0.12947189097103928</v>
      </c>
      <c r="G453">
        <v>7.1550255536626972E-2</v>
      </c>
      <c r="H453">
        <v>3.6201022146507736E-2</v>
      </c>
      <c r="I453">
        <v>2.2359454855195585E-2</v>
      </c>
      <c r="J453">
        <v>0.40076660988074941</v>
      </c>
      <c r="K453">
        <v>0.55068143100511091</v>
      </c>
      <c r="L453">
        <v>0.62734241908006805</v>
      </c>
      <c r="M453">
        <v>0.68526405451448036</v>
      </c>
      <c r="N453">
        <v>0.73828790459965921</v>
      </c>
      <c r="O453">
        <v>0.76735519591141477</v>
      </c>
      <c r="P453">
        <v>0.9</v>
      </c>
      <c r="Q453">
        <v>0.9</v>
      </c>
      <c r="R453">
        <v>0.9</v>
      </c>
      <c r="S453">
        <v>0.9</v>
      </c>
      <c r="T453">
        <v>0.9</v>
      </c>
      <c r="U453">
        <v>0.9</v>
      </c>
    </row>
    <row r="454" spans="2:21">
      <c r="C454">
        <v>75</v>
      </c>
      <c r="D454">
        <v>0.63202725724020414</v>
      </c>
      <c r="E454">
        <v>0.28449744463373117</v>
      </c>
      <c r="F454">
        <v>0.16013628620102205</v>
      </c>
      <c r="G454">
        <v>8.8586030664395299E-2</v>
      </c>
      <c r="H454">
        <v>4.6138557637705649E-2</v>
      </c>
      <c r="I454">
        <v>2.8747870528109128E-2</v>
      </c>
      <c r="J454">
        <v>0.41226575809199328</v>
      </c>
      <c r="K454">
        <v>0.58603066439522977</v>
      </c>
      <c r="L454">
        <v>0.67930153321976161</v>
      </c>
      <c r="M454">
        <v>0.75085178875638836</v>
      </c>
      <c r="N454">
        <v>0.81452299829642283</v>
      </c>
      <c r="O454">
        <v>0.85104344122657549</v>
      </c>
      <c r="P454">
        <v>0.9</v>
      </c>
      <c r="Q454">
        <v>0.9</v>
      </c>
      <c r="R454">
        <v>0.9</v>
      </c>
      <c r="S454">
        <v>0.9</v>
      </c>
      <c r="T454">
        <v>0.9</v>
      </c>
      <c r="U454">
        <v>0.9</v>
      </c>
    </row>
    <row r="455" spans="2:21">
      <c r="C455">
        <v>85</v>
      </c>
      <c r="D455">
        <v>0.72913117546848349</v>
      </c>
      <c r="E455">
        <v>0.33560477001703592</v>
      </c>
      <c r="F455">
        <v>0.19250425894378198</v>
      </c>
      <c r="G455">
        <v>0.10732538330494035</v>
      </c>
      <c r="H455">
        <v>5.6785917092561262E-2</v>
      </c>
      <c r="I455">
        <v>3.5136286201021834E-2</v>
      </c>
      <c r="J455">
        <v>0.4195059625212948</v>
      </c>
      <c r="K455">
        <v>0.61626916524701858</v>
      </c>
      <c r="L455">
        <v>0.72359454855195904</v>
      </c>
      <c r="M455">
        <v>0.80877342419080067</v>
      </c>
      <c r="N455">
        <v>0.88458262350936934</v>
      </c>
      <c r="O455">
        <v>0.93004684838160212</v>
      </c>
      <c r="P455">
        <v>0.9</v>
      </c>
      <c r="Q455">
        <v>0.9</v>
      </c>
      <c r="R455">
        <v>0.9</v>
      </c>
      <c r="S455">
        <v>0.9</v>
      </c>
      <c r="T455">
        <v>0.9</v>
      </c>
      <c r="U455">
        <v>0.9</v>
      </c>
    </row>
    <row r="456" spans="2:21">
      <c r="C456">
        <v>95</v>
      </c>
      <c r="D456">
        <v>0.8228279386712094</v>
      </c>
      <c r="E456">
        <v>0.38841567291311785</v>
      </c>
      <c r="F456">
        <v>0.22487223168654147</v>
      </c>
      <c r="G456">
        <v>0.12691652470187353</v>
      </c>
      <c r="H456">
        <v>6.6723452583759738E-2</v>
      </c>
      <c r="I456">
        <v>4.2589437819420269E-2</v>
      </c>
      <c r="J456">
        <v>0.42291311754684846</v>
      </c>
      <c r="K456">
        <v>0.64011925042589424</v>
      </c>
      <c r="L456">
        <v>0.76277683134582652</v>
      </c>
      <c r="M456">
        <v>0.86073253833049446</v>
      </c>
      <c r="N456">
        <v>0.95102214650766514</v>
      </c>
      <c r="O456">
        <v>1.0017035775127781</v>
      </c>
      <c r="P456">
        <v>0.9</v>
      </c>
      <c r="Q456">
        <v>0.9</v>
      </c>
      <c r="R456">
        <v>0.9</v>
      </c>
      <c r="S456">
        <v>0.9</v>
      </c>
      <c r="T456">
        <v>0.9</v>
      </c>
      <c r="U456">
        <v>0.9</v>
      </c>
    </row>
    <row r="457" spans="2:21">
      <c r="C457">
        <v>105</v>
      </c>
      <c r="D457">
        <v>0.9114139693356047</v>
      </c>
      <c r="E457">
        <v>0.43952299829642261</v>
      </c>
      <c r="F457">
        <v>0.25894378194207812</v>
      </c>
      <c r="G457">
        <v>0.14650766609880739</v>
      </c>
      <c r="H457">
        <v>7.7370812038614803E-2</v>
      </c>
      <c r="I457">
        <v>4.8977853492333537E-2</v>
      </c>
      <c r="J457">
        <v>0.42461669505962518</v>
      </c>
      <c r="K457">
        <v>0.66056218057921623</v>
      </c>
      <c r="L457">
        <v>0.79599659284497459</v>
      </c>
      <c r="M457">
        <v>0.90843270868824533</v>
      </c>
      <c r="N457">
        <v>1.0121379897785343</v>
      </c>
      <c r="O457">
        <v>1.0717632027257249</v>
      </c>
      <c r="P457">
        <v>0.9</v>
      </c>
      <c r="Q457">
        <v>0.9</v>
      </c>
      <c r="R457">
        <v>0.9</v>
      </c>
      <c r="S457">
        <v>0.9</v>
      </c>
      <c r="T457">
        <v>0.9</v>
      </c>
      <c r="U457">
        <v>0.9</v>
      </c>
    </row>
    <row r="458" spans="2:21">
      <c r="C458">
        <v>115</v>
      </c>
      <c r="D458">
        <v>0.99659284497444611</v>
      </c>
      <c r="E458">
        <v>0.49063032367972692</v>
      </c>
      <c r="F458">
        <v>0.2913117546848385</v>
      </c>
      <c r="G458">
        <v>0.16695059625212938</v>
      </c>
      <c r="H458">
        <v>8.8727995457126646E-2</v>
      </c>
      <c r="I458">
        <v>5.6431005110732527E-2</v>
      </c>
      <c r="J458">
        <v>0.42376490630323693</v>
      </c>
      <c r="K458">
        <v>0.67674616695059653</v>
      </c>
      <c r="L458">
        <v>0.82623509369676285</v>
      </c>
      <c r="M458">
        <v>0.95059625212947196</v>
      </c>
      <c r="N458">
        <v>1.0679301533219761</v>
      </c>
      <c r="O458">
        <v>1.1357538330494037</v>
      </c>
      <c r="P458">
        <v>0.9</v>
      </c>
      <c r="Q458">
        <v>0.9</v>
      </c>
      <c r="R458">
        <v>0.9</v>
      </c>
      <c r="S458">
        <v>0.9</v>
      </c>
      <c r="T458">
        <v>0.9</v>
      </c>
      <c r="U458">
        <v>0.9</v>
      </c>
    </row>
    <row r="459" spans="2:21">
      <c r="C459">
        <v>125</v>
      </c>
      <c r="D459">
        <v>1.0783645655877341</v>
      </c>
      <c r="E459">
        <v>0.54003407155025496</v>
      </c>
      <c r="F459">
        <v>0.32367972742759843</v>
      </c>
      <c r="G459">
        <v>0.18654173764906323</v>
      </c>
      <c r="H459">
        <v>0.10079500283929564</v>
      </c>
      <c r="I459">
        <v>6.3884156729131517E-2</v>
      </c>
      <c r="J459">
        <v>0.42163543441226592</v>
      </c>
      <c r="K459">
        <v>0.69080068143100548</v>
      </c>
      <c r="L459">
        <v>0.85306643952299788</v>
      </c>
      <c r="M459">
        <v>0.99020442930153307</v>
      </c>
      <c r="N459">
        <v>1.1188245315161844</v>
      </c>
      <c r="O459">
        <v>1.196337308347529</v>
      </c>
      <c r="P459">
        <v>0.9</v>
      </c>
      <c r="Q459">
        <v>0.9</v>
      </c>
      <c r="R459">
        <v>0.9</v>
      </c>
      <c r="S459">
        <v>0.9</v>
      </c>
      <c r="T459">
        <v>0.9</v>
      </c>
      <c r="U459">
        <v>0.9</v>
      </c>
    </row>
    <row r="460" spans="2:21">
      <c r="C460">
        <v>135</v>
      </c>
      <c r="D460">
        <v>1.1550255536626914</v>
      </c>
      <c r="E460">
        <v>0.58943781942078388</v>
      </c>
      <c r="F460">
        <v>0.35775127768313464</v>
      </c>
      <c r="G460">
        <v>0.20613287904599664</v>
      </c>
      <c r="H460">
        <v>0.11215218625780786</v>
      </c>
      <c r="I460">
        <v>7.240204429301568E-2</v>
      </c>
      <c r="J460">
        <v>0.41865417376490632</v>
      </c>
      <c r="K460">
        <v>0.7014480408858601</v>
      </c>
      <c r="L460">
        <v>0.87521294718909703</v>
      </c>
      <c r="M460">
        <v>1.026831345826235</v>
      </c>
      <c r="N460">
        <v>1.1678023850085182</v>
      </c>
      <c r="O460">
        <v>1.2512776831345818</v>
      </c>
      <c r="P460">
        <v>0.9</v>
      </c>
      <c r="Q460">
        <v>0.9</v>
      </c>
      <c r="R460">
        <v>0.9</v>
      </c>
      <c r="S460">
        <v>0.9</v>
      </c>
      <c r="T460">
        <v>0.9</v>
      </c>
      <c r="U460">
        <v>0.9</v>
      </c>
    </row>
    <row r="461" spans="2:21">
      <c r="C461">
        <v>145</v>
      </c>
      <c r="D461">
        <v>1.2265758091993186</v>
      </c>
      <c r="E461">
        <v>0.63713798977853475</v>
      </c>
      <c r="F461">
        <v>0.39011925042589457</v>
      </c>
      <c r="G461">
        <v>0.22657580919931863</v>
      </c>
      <c r="H461">
        <v>0.12350936967632008</v>
      </c>
      <c r="I461">
        <v>7.9855195911414115E-2</v>
      </c>
      <c r="J461">
        <v>0.41567291311754673</v>
      </c>
      <c r="K461">
        <v>0.71039182282793867</v>
      </c>
      <c r="L461">
        <v>0.8956558773424188</v>
      </c>
      <c r="M461">
        <v>1.0591993185689947</v>
      </c>
      <c r="N461">
        <v>1.2137989778534926</v>
      </c>
      <c r="O461">
        <v>1.3054727427597952</v>
      </c>
      <c r="P461">
        <v>0.9</v>
      </c>
      <c r="Q461">
        <v>0.9</v>
      </c>
      <c r="R461">
        <v>0.9</v>
      </c>
      <c r="S461">
        <v>0.9</v>
      </c>
      <c r="T461">
        <v>0.9</v>
      </c>
      <c r="U461">
        <v>0.9</v>
      </c>
    </row>
    <row r="462" spans="2:21">
      <c r="C462">
        <v>155</v>
      </c>
      <c r="D462">
        <v>1.2964224872231682</v>
      </c>
      <c r="E462">
        <v>0.68483816013628651</v>
      </c>
      <c r="F462">
        <v>0.42078364565587734</v>
      </c>
      <c r="G462">
        <v>0.24787052810902876</v>
      </c>
      <c r="H462">
        <v>0.13486655309483267</v>
      </c>
      <c r="I462">
        <v>8.8373083475297723E-2</v>
      </c>
      <c r="J462">
        <v>0.41098807495741063</v>
      </c>
      <c r="K462">
        <v>0.71678023850085149</v>
      </c>
      <c r="L462">
        <v>0.91482112436115837</v>
      </c>
      <c r="M462">
        <v>1.0877342419080069</v>
      </c>
      <c r="N462">
        <v>1.257240204429301</v>
      </c>
      <c r="O462">
        <v>1.3548764906303246</v>
      </c>
      <c r="P462">
        <v>0.9</v>
      </c>
      <c r="Q462">
        <v>0.9</v>
      </c>
      <c r="R462">
        <v>0.9</v>
      </c>
      <c r="S462">
        <v>0.9</v>
      </c>
      <c r="T462">
        <v>0.9</v>
      </c>
      <c r="U462">
        <v>0.9</v>
      </c>
    </row>
    <row r="463" spans="2:21">
      <c r="B463">
        <v>6</v>
      </c>
      <c r="C463">
        <v>15</v>
      </c>
      <c r="D463">
        <v>7.4957410562180526E-2</v>
      </c>
      <c r="E463">
        <v>2.7257240204429323E-2</v>
      </c>
      <c r="F463">
        <v>1.3628620102214661E-2</v>
      </c>
      <c r="G463">
        <v>6.8143100511073307E-3</v>
      </c>
      <c r="H463">
        <v>3.5491198182851136E-3</v>
      </c>
      <c r="I463">
        <v>2.1294718909709025E-3</v>
      </c>
      <c r="J463">
        <v>0.21976149914821125</v>
      </c>
      <c r="K463">
        <v>0.24361158432708685</v>
      </c>
      <c r="L463">
        <v>0.25383304940374785</v>
      </c>
      <c r="M463">
        <v>0.26064735945485518</v>
      </c>
      <c r="N463">
        <v>0.26554514480408853</v>
      </c>
      <c r="O463">
        <v>0.26852640545144835</v>
      </c>
      <c r="P463">
        <v>0.9</v>
      </c>
      <c r="Q463">
        <v>0.9</v>
      </c>
      <c r="R463">
        <v>0.9</v>
      </c>
      <c r="S463">
        <v>0.9</v>
      </c>
      <c r="T463">
        <v>0.9</v>
      </c>
      <c r="U463">
        <v>0.9</v>
      </c>
    </row>
    <row r="464" spans="2:21">
      <c r="C464">
        <v>25</v>
      </c>
      <c r="D464">
        <v>0.18057921635434404</v>
      </c>
      <c r="E464">
        <v>6.984667802385025E-2</v>
      </c>
      <c r="F464">
        <v>3.5775127768313375E-2</v>
      </c>
      <c r="G464">
        <v>1.9591141396933631E-2</v>
      </c>
      <c r="H464">
        <v>9.2277115275411301E-3</v>
      </c>
      <c r="I464">
        <v>5.3236797274275336E-3</v>
      </c>
      <c r="J464">
        <v>0.30536626916524706</v>
      </c>
      <c r="K464">
        <v>0.36073253833049396</v>
      </c>
      <c r="L464">
        <v>0.38628620102214661</v>
      </c>
      <c r="M464">
        <v>0.40247018739352636</v>
      </c>
      <c r="N464">
        <v>0.41801533219761511</v>
      </c>
      <c r="O464">
        <v>0.42621379897785366</v>
      </c>
      <c r="P464">
        <v>0.9</v>
      </c>
      <c r="Q464">
        <v>0.9</v>
      </c>
      <c r="R464">
        <v>0.9</v>
      </c>
      <c r="S464">
        <v>0.9</v>
      </c>
      <c r="T464">
        <v>0.9</v>
      </c>
      <c r="U464">
        <v>0.9</v>
      </c>
    </row>
    <row r="465" spans="2:21">
      <c r="C465">
        <v>35</v>
      </c>
      <c r="D465">
        <v>0.32367972742759776</v>
      </c>
      <c r="E465">
        <v>0.1226575809199324</v>
      </c>
      <c r="F465">
        <v>6.6439522998296141E-2</v>
      </c>
      <c r="G465">
        <v>3.4923339011925014E-2</v>
      </c>
      <c r="H465">
        <v>1.7745599091425292E-2</v>
      </c>
      <c r="I465">
        <v>1.0647359454855345E-2</v>
      </c>
      <c r="J465">
        <v>0.35178875638841567</v>
      </c>
      <c r="K465">
        <v>0.45229982964224835</v>
      </c>
      <c r="L465">
        <v>0.49446337308347554</v>
      </c>
      <c r="M465">
        <v>0.52597955706984667</v>
      </c>
      <c r="N465">
        <v>0.55174616695059631</v>
      </c>
      <c r="O465">
        <v>0.56665247018739318</v>
      </c>
      <c r="P465">
        <v>0.9</v>
      </c>
      <c r="Q465">
        <v>0.9</v>
      </c>
      <c r="R465">
        <v>0.9</v>
      </c>
      <c r="S465">
        <v>0.9</v>
      </c>
      <c r="T465">
        <v>0.9</v>
      </c>
      <c r="U465">
        <v>0.9</v>
      </c>
    </row>
    <row r="466" spans="2:21">
      <c r="C466">
        <v>45</v>
      </c>
      <c r="D466">
        <v>0.43952299829642261</v>
      </c>
      <c r="E466">
        <v>0.18398637137989748</v>
      </c>
      <c r="F466">
        <v>0.10051107325383324</v>
      </c>
      <c r="G466">
        <v>5.3662691652470063E-2</v>
      </c>
      <c r="H466">
        <v>2.7683134582623573E-2</v>
      </c>
      <c r="I466">
        <v>1.703577512776833E-2</v>
      </c>
      <c r="J466">
        <v>0.39522998296422485</v>
      </c>
      <c r="K466">
        <v>0.52299829642248741</v>
      </c>
      <c r="L466">
        <v>0.58560477001703559</v>
      </c>
      <c r="M466">
        <v>0.63245315161839877</v>
      </c>
      <c r="N466">
        <v>0.67142248722316855</v>
      </c>
      <c r="O466">
        <v>0.69378194207836452</v>
      </c>
      <c r="P466">
        <v>0.9</v>
      </c>
      <c r="Q466">
        <v>0.9</v>
      </c>
      <c r="R466">
        <v>0.9</v>
      </c>
      <c r="S466">
        <v>0.9</v>
      </c>
      <c r="T466">
        <v>0.9</v>
      </c>
      <c r="U466">
        <v>0.9</v>
      </c>
    </row>
    <row r="467" spans="2:21">
      <c r="C467">
        <v>55</v>
      </c>
      <c r="D467">
        <v>0.57240204429301533</v>
      </c>
      <c r="E467">
        <v>0.24872231686541735</v>
      </c>
      <c r="F467">
        <v>0.13798977853492334</v>
      </c>
      <c r="G467">
        <v>7.5809199318568776E-2</v>
      </c>
      <c r="H467">
        <v>3.8330494037478825E-2</v>
      </c>
      <c r="I467">
        <v>2.4488926746167046E-2</v>
      </c>
      <c r="J467">
        <v>0.41695059625212949</v>
      </c>
      <c r="K467">
        <v>0.57879045996592848</v>
      </c>
      <c r="L467">
        <v>0.66183986371379899</v>
      </c>
      <c r="M467">
        <v>0.72402044293015355</v>
      </c>
      <c r="N467">
        <v>0.78023850085178847</v>
      </c>
      <c r="O467">
        <v>0.80930579216354326</v>
      </c>
      <c r="P467">
        <v>0.9</v>
      </c>
      <c r="Q467">
        <v>0.9</v>
      </c>
      <c r="R467">
        <v>0.9</v>
      </c>
      <c r="S467">
        <v>0.9</v>
      </c>
      <c r="T467">
        <v>0.9</v>
      </c>
      <c r="U467">
        <v>0.9</v>
      </c>
    </row>
    <row r="468" spans="2:21">
      <c r="C468">
        <v>65</v>
      </c>
      <c r="D468">
        <v>0.70357751277683089</v>
      </c>
      <c r="E468">
        <v>0.31516183986371393</v>
      </c>
      <c r="F468">
        <v>0.17887563884156732</v>
      </c>
      <c r="G468">
        <v>9.8807495741056295E-2</v>
      </c>
      <c r="H468">
        <v>5.0397501419648008E-2</v>
      </c>
      <c r="I468">
        <v>2.661839863713767E-2</v>
      </c>
      <c r="J468">
        <v>0.42887563884156743</v>
      </c>
      <c r="K468">
        <v>0.62308347529812591</v>
      </c>
      <c r="L468">
        <v>0.72529812606473587</v>
      </c>
      <c r="M468">
        <v>0.8053662691652469</v>
      </c>
      <c r="N468">
        <v>0.87798126064735937</v>
      </c>
      <c r="O468">
        <v>0.927917376490631</v>
      </c>
      <c r="P468">
        <v>0.9</v>
      </c>
      <c r="Q468">
        <v>0.9</v>
      </c>
      <c r="R468">
        <v>0.9</v>
      </c>
      <c r="S468">
        <v>0.9</v>
      </c>
      <c r="T468">
        <v>0.9</v>
      </c>
      <c r="U468">
        <v>0.9</v>
      </c>
    </row>
    <row r="469" spans="2:21">
      <c r="C469">
        <v>75</v>
      </c>
      <c r="D469">
        <v>0.82793867120954001</v>
      </c>
      <c r="E469">
        <v>0.38330494037478724</v>
      </c>
      <c r="F469">
        <v>0.22146507666098803</v>
      </c>
      <c r="G469">
        <v>0.12265758091993195</v>
      </c>
      <c r="H469">
        <v>6.3884156729131128E-2</v>
      </c>
      <c r="I469">
        <v>4.0459965928449922E-2</v>
      </c>
      <c r="J469">
        <v>0.43483816013628618</v>
      </c>
      <c r="K469">
        <v>0.65715502555366256</v>
      </c>
      <c r="L469">
        <v>0.77853492333901197</v>
      </c>
      <c r="M469">
        <v>0.87734241908006805</v>
      </c>
      <c r="N469">
        <v>0.96550255536626928</v>
      </c>
      <c r="O469">
        <v>1.0146933560476998</v>
      </c>
      <c r="P469">
        <v>0.9</v>
      </c>
      <c r="Q469">
        <v>0.9</v>
      </c>
      <c r="R469">
        <v>0.9</v>
      </c>
      <c r="S469">
        <v>0.9</v>
      </c>
      <c r="T469">
        <v>0.9</v>
      </c>
      <c r="U469">
        <v>0.9</v>
      </c>
    </row>
    <row r="470" spans="2:21">
      <c r="C470">
        <v>85</v>
      </c>
      <c r="D470">
        <v>0.94718909710391808</v>
      </c>
      <c r="E470">
        <v>0.4514480408858601</v>
      </c>
      <c r="F470">
        <v>0.26405451448040917</v>
      </c>
      <c r="G470">
        <v>0.14821124361158411</v>
      </c>
      <c r="H470">
        <v>7.8080636002271581E-2</v>
      </c>
      <c r="I470">
        <v>4.8977853492334092E-2</v>
      </c>
      <c r="J470">
        <v>0.43611584327086894</v>
      </c>
      <c r="K470">
        <v>0.68398637137989793</v>
      </c>
      <c r="L470">
        <v>0.82453151618398612</v>
      </c>
      <c r="M470">
        <v>0.94037478705281119</v>
      </c>
      <c r="N470">
        <v>1.0455706984667801</v>
      </c>
      <c r="O470">
        <v>1.1066865417376488</v>
      </c>
      <c r="P470">
        <v>0.9</v>
      </c>
      <c r="Q470">
        <v>0.9</v>
      </c>
      <c r="R470">
        <v>0.9</v>
      </c>
      <c r="S470">
        <v>0.9</v>
      </c>
      <c r="T470">
        <v>0.9</v>
      </c>
      <c r="U470">
        <v>0.9</v>
      </c>
    </row>
    <row r="471" spans="2:21">
      <c r="C471">
        <v>95</v>
      </c>
      <c r="D471">
        <v>1.061328790459966</v>
      </c>
      <c r="E471">
        <v>0.51788756388415713</v>
      </c>
      <c r="F471">
        <v>0.30664395229982944</v>
      </c>
      <c r="G471">
        <v>0.17376490630323671</v>
      </c>
      <c r="H471">
        <v>9.2277115275411659E-2</v>
      </c>
      <c r="I471">
        <v>5.8560477001703429E-2</v>
      </c>
      <c r="J471">
        <v>0.43398637137989771</v>
      </c>
      <c r="K471">
        <v>0.70570698466780213</v>
      </c>
      <c r="L471">
        <v>0.8641396933560479</v>
      </c>
      <c r="M471">
        <v>0.99701873935264063</v>
      </c>
      <c r="N471">
        <v>1.1192504258943783</v>
      </c>
      <c r="O471">
        <v>1.1900553662691655</v>
      </c>
      <c r="P471">
        <v>0.9</v>
      </c>
      <c r="Q471">
        <v>0.9</v>
      </c>
      <c r="R471">
        <v>0.9</v>
      </c>
      <c r="S471">
        <v>0.9</v>
      </c>
      <c r="T471">
        <v>0.9</v>
      </c>
      <c r="U471">
        <v>0.9</v>
      </c>
    </row>
    <row r="472" spans="2:21">
      <c r="C472">
        <v>105</v>
      </c>
      <c r="D472">
        <v>1.1652470187393527</v>
      </c>
      <c r="E472">
        <v>0.58432708688245238</v>
      </c>
      <c r="F472">
        <v>0.35093696763202775</v>
      </c>
      <c r="G472">
        <v>0.20017035775127789</v>
      </c>
      <c r="H472">
        <v>0.1071834185122089</v>
      </c>
      <c r="I472">
        <v>6.8143100511073321E-2</v>
      </c>
      <c r="J472">
        <v>0.43100511073253833</v>
      </c>
      <c r="K472">
        <v>0.72146507666098847</v>
      </c>
      <c r="L472">
        <v>0.89650766609880694</v>
      </c>
      <c r="M472">
        <v>1.0472742759795568</v>
      </c>
      <c r="N472">
        <v>1.1867546848381603</v>
      </c>
      <c r="O472">
        <v>1.268739352640545</v>
      </c>
      <c r="P472">
        <v>0.9</v>
      </c>
      <c r="Q472">
        <v>0.9</v>
      </c>
      <c r="R472">
        <v>0.9</v>
      </c>
      <c r="S472">
        <v>0.9</v>
      </c>
      <c r="T472">
        <v>0.9</v>
      </c>
      <c r="U472">
        <v>0.9</v>
      </c>
    </row>
    <row r="473" spans="2:21">
      <c r="C473">
        <v>115</v>
      </c>
      <c r="D473">
        <v>1.2657580919931863</v>
      </c>
      <c r="E473">
        <v>0.64906303236797225</v>
      </c>
      <c r="F473">
        <v>0.39352640545144801</v>
      </c>
      <c r="G473">
        <v>0.22657580919931863</v>
      </c>
      <c r="H473">
        <v>0.12208972174900613</v>
      </c>
      <c r="I473">
        <v>7.8790459965928386E-2</v>
      </c>
      <c r="J473">
        <v>0.42546848381601343</v>
      </c>
      <c r="K473">
        <v>0.73381601362862048</v>
      </c>
      <c r="L473">
        <v>0.92546848381601365</v>
      </c>
      <c r="M473">
        <v>1.092419080068143</v>
      </c>
      <c r="N473">
        <v>1.2491482112436119</v>
      </c>
      <c r="O473">
        <v>1.340076660988075</v>
      </c>
      <c r="P473">
        <v>0.9</v>
      </c>
      <c r="Q473">
        <v>0.9</v>
      </c>
      <c r="R473">
        <v>0.9</v>
      </c>
      <c r="S473">
        <v>0.9</v>
      </c>
      <c r="T473">
        <v>0.9</v>
      </c>
      <c r="U473">
        <v>0.9</v>
      </c>
    </row>
    <row r="474" spans="2:21">
      <c r="C474">
        <v>125</v>
      </c>
      <c r="D474">
        <v>1.3594548551959118</v>
      </c>
      <c r="E474">
        <v>0.71209540034071495</v>
      </c>
      <c r="F474">
        <v>0.43611584327086916</v>
      </c>
      <c r="G474">
        <v>0.25383304940374751</v>
      </c>
      <c r="H474">
        <v>0.13699602498580374</v>
      </c>
      <c r="I474">
        <v>8.9437819420784007E-2</v>
      </c>
      <c r="J474">
        <v>0.41908006814310039</v>
      </c>
      <c r="K474">
        <v>0.74275979557069882</v>
      </c>
      <c r="L474">
        <v>0.94974446337308316</v>
      </c>
      <c r="M474">
        <v>1.1320272572402048</v>
      </c>
      <c r="N474">
        <v>1.3072827938671205</v>
      </c>
      <c r="O474">
        <v>1.407155025553662</v>
      </c>
      <c r="P474">
        <v>0.9</v>
      </c>
      <c r="Q474">
        <v>0.9</v>
      </c>
      <c r="R474">
        <v>0.9</v>
      </c>
      <c r="S474">
        <v>0.9</v>
      </c>
      <c r="T474">
        <v>0.9</v>
      </c>
      <c r="U474">
        <v>0.9</v>
      </c>
    </row>
    <row r="475" spans="2:21">
      <c r="C475">
        <v>135</v>
      </c>
      <c r="D475">
        <v>1.4497444633730838</v>
      </c>
      <c r="E475">
        <v>0.7717206132879042</v>
      </c>
      <c r="F475">
        <v>0.47870528109028943</v>
      </c>
      <c r="G475">
        <v>0.28023850085178914</v>
      </c>
      <c r="H475">
        <v>0.15332197614991455</v>
      </c>
      <c r="I475">
        <v>9.9020442930153357E-2</v>
      </c>
      <c r="J475">
        <v>0.4114139693356047</v>
      </c>
      <c r="K475">
        <v>0.75042589437819451</v>
      </c>
      <c r="L475">
        <v>0.97018739352640559</v>
      </c>
      <c r="M475">
        <v>1.1686541737649059</v>
      </c>
      <c r="N475">
        <v>1.3590289608177177</v>
      </c>
      <c r="O475">
        <v>1.4730621805792163</v>
      </c>
      <c r="P475">
        <v>0.9</v>
      </c>
      <c r="Q475">
        <v>0.9</v>
      </c>
      <c r="R475">
        <v>0.9</v>
      </c>
      <c r="S475">
        <v>0.9</v>
      </c>
      <c r="T475">
        <v>0.9</v>
      </c>
      <c r="U475">
        <v>0.9</v>
      </c>
    </row>
    <row r="476" spans="2:21">
      <c r="C476">
        <v>145</v>
      </c>
      <c r="D476">
        <v>1.533219761499149</v>
      </c>
      <c r="E476">
        <v>0.83134582623509345</v>
      </c>
      <c r="F476">
        <v>0.51959114139693341</v>
      </c>
      <c r="G476">
        <v>0.30664395229982944</v>
      </c>
      <c r="H476">
        <v>0.16893810335036893</v>
      </c>
      <c r="I476">
        <v>0.10966780238500842</v>
      </c>
      <c r="J476">
        <v>0.40374787052810879</v>
      </c>
      <c r="K476">
        <v>0.75468483816013654</v>
      </c>
      <c r="L476">
        <v>0.98850085178875657</v>
      </c>
      <c r="M476">
        <v>1.2014480408858605</v>
      </c>
      <c r="N476">
        <v>1.4080068143100513</v>
      </c>
      <c r="O476">
        <v>1.5324744463373083</v>
      </c>
      <c r="P476">
        <v>0.9</v>
      </c>
      <c r="Q476">
        <v>0.9</v>
      </c>
      <c r="R476">
        <v>0.9</v>
      </c>
      <c r="S476">
        <v>0.9</v>
      </c>
      <c r="T476">
        <v>0.9</v>
      </c>
      <c r="U476">
        <v>0.9</v>
      </c>
    </row>
    <row r="477" spans="2:21">
      <c r="C477">
        <v>155</v>
      </c>
      <c r="D477">
        <v>1.6098807495741054</v>
      </c>
      <c r="E477">
        <v>0.88926746166950554</v>
      </c>
      <c r="F477">
        <v>0.56047700170357828</v>
      </c>
      <c r="G477">
        <v>0.33390119250425876</v>
      </c>
      <c r="H477">
        <v>0.18455423055082371</v>
      </c>
      <c r="I477">
        <v>0.12031516183986349</v>
      </c>
      <c r="J477">
        <v>0.39650766609880761</v>
      </c>
      <c r="K477">
        <v>0.75681431005110755</v>
      </c>
      <c r="L477">
        <v>1.003407155025553</v>
      </c>
      <c r="M477">
        <v>1.2299829642248725</v>
      </c>
      <c r="N477">
        <v>1.454003407155025</v>
      </c>
      <c r="O477">
        <v>1.5889054514480416</v>
      </c>
      <c r="P477">
        <v>0.9</v>
      </c>
      <c r="Q477">
        <v>0.9</v>
      </c>
      <c r="R477">
        <v>0.9</v>
      </c>
      <c r="S477">
        <v>0.9</v>
      </c>
      <c r="T477">
        <v>0.9</v>
      </c>
      <c r="U477">
        <v>0.9</v>
      </c>
    </row>
    <row r="478" spans="2:21">
      <c r="B478">
        <v>7</v>
      </c>
      <c r="C478">
        <v>15</v>
      </c>
      <c r="D478">
        <v>0.10051107325383302</v>
      </c>
      <c r="E478">
        <v>3.5775127768313375E-2</v>
      </c>
      <c r="F478">
        <v>1.873935264054527E-2</v>
      </c>
      <c r="G478">
        <v>1.0221465076660996E-2</v>
      </c>
      <c r="H478">
        <v>4.9687677455990484E-3</v>
      </c>
      <c r="I478">
        <v>2.1294718909710413E-3</v>
      </c>
      <c r="J478">
        <v>0.25</v>
      </c>
      <c r="K478">
        <v>0.28236797274275982</v>
      </c>
      <c r="L478">
        <v>0.2951448040885859</v>
      </c>
      <c r="M478">
        <v>0.30366269165247017</v>
      </c>
      <c r="N478">
        <v>0.31154173764906312</v>
      </c>
      <c r="O478">
        <v>0.31750425894378193</v>
      </c>
      <c r="P478">
        <v>0.9</v>
      </c>
      <c r="Q478">
        <v>0.9</v>
      </c>
      <c r="R478">
        <v>0.9</v>
      </c>
      <c r="S478">
        <v>0.9</v>
      </c>
      <c r="T478">
        <v>0.9</v>
      </c>
      <c r="U478">
        <v>0.9</v>
      </c>
    </row>
    <row r="479" spans="2:21">
      <c r="C479">
        <v>25</v>
      </c>
      <c r="D479">
        <v>0.23850085178875635</v>
      </c>
      <c r="E479">
        <v>9.1993185689948742E-2</v>
      </c>
      <c r="F479">
        <v>4.9403747870528258E-2</v>
      </c>
      <c r="G479">
        <v>2.555366269165249E-2</v>
      </c>
      <c r="H479">
        <v>1.2776831345826335E-2</v>
      </c>
      <c r="I479">
        <v>7.4531516183984365E-3</v>
      </c>
      <c r="J479">
        <v>0.33943781942078366</v>
      </c>
      <c r="K479">
        <v>0.41269165247018746</v>
      </c>
      <c r="L479">
        <v>0.44463373083475283</v>
      </c>
      <c r="M479">
        <v>0.4684838160136286</v>
      </c>
      <c r="N479">
        <v>0.48764906303236782</v>
      </c>
      <c r="O479">
        <v>0.49882879045996642</v>
      </c>
      <c r="P479">
        <v>0.9</v>
      </c>
      <c r="Q479">
        <v>0.9</v>
      </c>
      <c r="R479">
        <v>0.9</v>
      </c>
      <c r="S479">
        <v>0.9</v>
      </c>
      <c r="T479">
        <v>0.9</v>
      </c>
      <c r="U479">
        <v>0.9</v>
      </c>
    </row>
    <row r="480" spans="2:21">
      <c r="C480">
        <v>35</v>
      </c>
      <c r="D480">
        <v>0.3969335604770019</v>
      </c>
      <c r="E480">
        <v>0.16183986371379877</v>
      </c>
      <c r="F480">
        <v>8.8586030664395299E-2</v>
      </c>
      <c r="G480">
        <v>4.6848381601362954E-2</v>
      </c>
      <c r="H480">
        <v>2.3424190800681213E-2</v>
      </c>
      <c r="I480">
        <v>1.4906303236797428E-2</v>
      </c>
      <c r="J480">
        <v>0.39267461669505954</v>
      </c>
      <c r="K480">
        <v>0.51022146507666111</v>
      </c>
      <c r="L480">
        <v>0.56516183986371371</v>
      </c>
      <c r="M480">
        <v>0.60689948892674606</v>
      </c>
      <c r="N480">
        <v>0.64203577512776866</v>
      </c>
      <c r="O480">
        <v>0.65992333901192457</v>
      </c>
      <c r="P480">
        <v>0.9</v>
      </c>
      <c r="Q480">
        <v>0.9</v>
      </c>
      <c r="R480">
        <v>0.9</v>
      </c>
      <c r="S480">
        <v>0.9</v>
      </c>
      <c r="T480">
        <v>0.9</v>
      </c>
      <c r="U480">
        <v>0.9</v>
      </c>
    </row>
    <row r="481" spans="2:21">
      <c r="C481">
        <v>45</v>
      </c>
      <c r="D481">
        <v>0.56218057921635411</v>
      </c>
      <c r="E481">
        <v>0.23850085178875657</v>
      </c>
      <c r="F481">
        <v>0.13458262350936945</v>
      </c>
      <c r="G481">
        <v>7.1550255536626972E-2</v>
      </c>
      <c r="H481">
        <v>3.6201022146507549E-2</v>
      </c>
      <c r="I481">
        <v>2.3424190800681314E-2</v>
      </c>
      <c r="J481">
        <v>0.42291311754684846</v>
      </c>
      <c r="K481">
        <v>0.58475298126064723</v>
      </c>
      <c r="L481">
        <v>0.66269165247018758</v>
      </c>
      <c r="M481">
        <v>0.72572402044293005</v>
      </c>
      <c r="N481">
        <v>0.77874787052810923</v>
      </c>
      <c r="O481">
        <v>0.80557921635434426</v>
      </c>
      <c r="P481">
        <v>0.9</v>
      </c>
      <c r="Q481">
        <v>0.9</v>
      </c>
      <c r="R481">
        <v>0.9</v>
      </c>
      <c r="S481">
        <v>0.9</v>
      </c>
      <c r="T481">
        <v>0.9</v>
      </c>
      <c r="U481">
        <v>0.9</v>
      </c>
    </row>
    <row r="482" spans="2:21">
      <c r="C482">
        <v>55</v>
      </c>
      <c r="D482">
        <v>0.72231686541737661</v>
      </c>
      <c r="E482">
        <v>0.32367972742759754</v>
      </c>
      <c r="F482">
        <v>0.18228279386712121</v>
      </c>
      <c r="G482">
        <v>9.9659284497444434E-2</v>
      </c>
      <c r="H482">
        <v>5.1107325383305161E-2</v>
      </c>
      <c r="I482">
        <v>3.1942078364565203E-2</v>
      </c>
      <c r="J482">
        <v>0.43909710391822832</v>
      </c>
      <c r="K482">
        <v>0.63841567291311785</v>
      </c>
      <c r="L482">
        <v>0.7444633730834751</v>
      </c>
      <c r="M482">
        <v>0.82708688245315187</v>
      </c>
      <c r="N482">
        <v>0.89991482112436083</v>
      </c>
      <c r="O482">
        <v>0.94016183986371471</v>
      </c>
      <c r="P482">
        <v>0.9</v>
      </c>
      <c r="Q482">
        <v>0.9</v>
      </c>
      <c r="R482">
        <v>0.9</v>
      </c>
      <c r="S482">
        <v>0.9</v>
      </c>
      <c r="T482">
        <v>0.9</v>
      </c>
      <c r="U482">
        <v>0.9</v>
      </c>
    </row>
    <row r="483" spans="2:21">
      <c r="C483">
        <v>65</v>
      </c>
      <c r="D483">
        <v>0.87904599659284521</v>
      </c>
      <c r="E483">
        <v>0.40715502555366268</v>
      </c>
      <c r="F483">
        <v>0.23339011925042552</v>
      </c>
      <c r="G483">
        <v>0.12947189097103928</v>
      </c>
      <c r="H483">
        <v>6.7433276547416141E-2</v>
      </c>
      <c r="I483">
        <v>4.2589437819420824E-2</v>
      </c>
      <c r="J483">
        <v>0.44463373083475299</v>
      </c>
      <c r="K483">
        <v>0.68057921635434426</v>
      </c>
      <c r="L483">
        <v>0.81090289608177213</v>
      </c>
      <c r="M483">
        <v>0.91482112436115837</v>
      </c>
      <c r="N483">
        <v>1.0078790459965932</v>
      </c>
      <c r="O483">
        <v>1.0600511073253833</v>
      </c>
      <c r="P483">
        <v>0.9</v>
      </c>
      <c r="Q483">
        <v>0.9</v>
      </c>
      <c r="R483">
        <v>0.9</v>
      </c>
      <c r="S483">
        <v>0.9</v>
      </c>
      <c r="T483">
        <v>0.9</v>
      </c>
      <c r="U483">
        <v>0.9</v>
      </c>
    </row>
    <row r="484" spans="2:21">
      <c r="C484">
        <v>75</v>
      </c>
      <c r="D484">
        <v>1.0272572402044293</v>
      </c>
      <c r="E484">
        <v>0.49063032367972692</v>
      </c>
      <c r="F484">
        <v>0.28790459965928505</v>
      </c>
      <c r="G484">
        <v>0.16098807495741019</v>
      </c>
      <c r="H484">
        <v>8.4469051675184842E-2</v>
      </c>
      <c r="I484">
        <v>5.3236797274275896E-2</v>
      </c>
      <c r="J484">
        <v>0.44378194207836463</v>
      </c>
      <c r="K484">
        <v>0.71209540034071583</v>
      </c>
      <c r="L484">
        <v>0.86413969335604723</v>
      </c>
      <c r="M484">
        <v>0.9910562180579221</v>
      </c>
      <c r="N484">
        <v>1.1058347529812602</v>
      </c>
      <c r="O484">
        <v>1.1714224872231689</v>
      </c>
      <c r="P484">
        <v>0.9</v>
      </c>
      <c r="Q484">
        <v>0.9</v>
      </c>
      <c r="R484">
        <v>0.9</v>
      </c>
      <c r="S484">
        <v>0.9</v>
      </c>
      <c r="T484">
        <v>0.9</v>
      </c>
      <c r="U484">
        <v>0.9</v>
      </c>
    </row>
    <row r="485" spans="2:21">
      <c r="C485">
        <v>85</v>
      </c>
      <c r="D485">
        <v>1.1652470187393527</v>
      </c>
      <c r="E485">
        <v>0.57410562180579294</v>
      </c>
      <c r="F485">
        <v>0.34071550255536565</v>
      </c>
      <c r="G485">
        <v>0.19335604770017012</v>
      </c>
      <c r="H485">
        <v>0.1029244747302671</v>
      </c>
      <c r="I485">
        <v>6.494889267461669E-2</v>
      </c>
      <c r="J485">
        <v>0.43952299829642238</v>
      </c>
      <c r="K485">
        <v>0.73509369676320224</v>
      </c>
      <c r="L485">
        <v>0.91013628620102272</v>
      </c>
      <c r="M485">
        <v>1.0574957410562182</v>
      </c>
      <c r="N485">
        <v>1.1931431005110729</v>
      </c>
      <c r="O485">
        <v>1.2728918228279387</v>
      </c>
      <c r="P485">
        <v>0.9</v>
      </c>
      <c r="Q485">
        <v>0.9</v>
      </c>
      <c r="R485">
        <v>0.9</v>
      </c>
      <c r="S485">
        <v>0.9</v>
      </c>
      <c r="T485">
        <v>0.9</v>
      </c>
      <c r="U485">
        <v>0.9</v>
      </c>
    </row>
    <row r="486" spans="2:21">
      <c r="C486">
        <v>95</v>
      </c>
      <c r="D486">
        <v>1.2947189097103915</v>
      </c>
      <c r="E486">
        <v>0.65758091993185719</v>
      </c>
      <c r="F486">
        <v>0.39352640545144801</v>
      </c>
      <c r="G486">
        <v>0.22657580919931819</v>
      </c>
      <c r="H486">
        <v>0.12137989778534936</v>
      </c>
      <c r="I486">
        <v>7.7725724020443213E-2</v>
      </c>
      <c r="J486">
        <v>0.43185689948892692</v>
      </c>
      <c r="K486">
        <v>0.75042589437819407</v>
      </c>
      <c r="L486">
        <v>0.94846678023850095</v>
      </c>
      <c r="M486">
        <v>1.1154173764906308</v>
      </c>
      <c r="N486">
        <v>1.2732112436115841</v>
      </c>
      <c r="O486">
        <v>1.364885008517887</v>
      </c>
      <c r="P486">
        <v>0.9</v>
      </c>
      <c r="Q486">
        <v>0.9</v>
      </c>
      <c r="R486">
        <v>0.9</v>
      </c>
      <c r="S486">
        <v>0.9</v>
      </c>
      <c r="T486">
        <v>0.9</v>
      </c>
      <c r="U486">
        <v>0.9</v>
      </c>
    </row>
    <row r="487" spans="2:21">
      <c r="C487">
        <v>105</v>
      </c>
      <c r="D487">
        <v>1.41396933560477</v>
      </c>
      <c r="E487">
        <v>0.73594548551959083</v>
      </c>
      <c r="F487">
        <v>0.44974446337308382</v>
      </c>
      <c r="G487">
        <v>0.25979557069846715</v>
      </c>
      <c r="H487">
        <v>0.14054514480408839</v>
      </c>
      <c r="I487">
        <v>8.9437819420783451E-2</v>
      </c>
      <c r="J487">
        <v>0.42333901192504264</v>
      </c>
      <c r="K487">
        <v>0.76235093696763223</v>
      </c>
      <c r="L487">
        <v>0.97700170357751248</v>
      </c>
      <c r="M487">
        <v>1.1669505962521292</v>
      </c>
      <c r="N487">
        <v>1.3458262350936974</v>
      </c>
      <c r="O487">
        <v>1.4531516183986377</v>
      </c>
      <c r="P487">
        <v>0.9</v>
      </c>
      <c r="Q487">
        <v>0.9</v>
      </c>
      <c r="R487">
        <v>0.9</v>
      </c>
      <c r="S487">
        <v>0.9</v>
      </c>
      <c r="T487">
        <v>0.9</v>
      </c>
      <c r="U487">
        <v>0.9</v>
      </c>
    </row>
    <row r="488" spans="2:21">
      <c r="C488">
        <v>115</v>
      </c>
      <c r="D488">
        <v>1.5264054514480412</v>
      </c>
      <c r="E488">
        <v>0.81431005110732535</v>
      </c>
      <c r="F488">
        <v>0.50085178875638814</v>
      </c>
      <c r="G488">
        <v>0.2938671209540038</v>
      </c>
      <c r="H488">
        <v>0.15971039182282781</v>
      </c>
      <c r="I488">
        <v>0.10327938671209461</v>
      </c>
      <c r="J488">
        <v>0.41311754684838142</v>
      </c>
      <c r="K488">
        <v>0.76916524701873934</v>
      </c>
      <c r="L488">
        <v>1.0042589437819422</v>
      </c>
      <c r="M488">
        <v>1.2112436115843266</v>
      </c>
      <c r="N488">
        <v>1.4124787052810905</v>
      </c>
      <c r="O488">
        <v>1.5309838160136304</v>
      </c>
      <c r="P488">
        <v>0.9</v>
      </c>
      <c r="Q488">
        <v>0.9</v>
      </c>
      <c r="R488">
        <v>0.9</v>
      </c>
      <c r="S488">
        <v>0.9</v>
      </c>
      <c r="T488">
        <v>0.9</v>
      </c>
      <c r="U488">
        <v>0.9</v>
      </c>
    </row>
    <row r="489" spans="2:21">
      <c r="C489">
        <v>125</v>
      </c>
      <c r="D489">
        <v>1.6303236797274279</v>
      </c>
      <c r="E489">
        <v>0.88926746166950643</v>
      </c>
      <c r="F489">
        <v>0.55366269165246962</v>
      </c>
      <c r="G489">
        <v>0.32708688245315187</v>
      </c>
      <c r="H489">
        <v>0.179585462805224</v>
      </c>
      <c r="I489">
        <v>0.11712095400340741</v>
      </c>
      <c r="J489">
        <v>0.40247018739352636</v>
      </c>
      <c r="K489">
        <v>0.77299829642248707</v>
      </c>
      <c r="L489">
        <v>1.0247018739352647</v>
      </c>
      <c r="M489">
        <v>1.2512776831345824</v>
      </c>
      <c r="N489">
        <v>1.4725298126064743</v>
      </c>
      <c r="O489">
        <v>1.603705281090289</v>
      </c>
      <c r="P489">
        <v>0.9</v>
      </c>
      <c r="Q489">
        <v>0.9</v>
      </c>
      <c r="R489">
        <v>0.9</v>
      </c>
      <c r="S489">
        <v>0.9</v>
      </c>
      <c r="T489">
        <v>0.9</v>
      </c>
      <c r="U489">
        <v>0.9</v>
      </c>
    </row>
    <row r="490" spans="2:21">
      <c r="C490">
        <v>135</v>
      </c>
      <c r="D490">
        <v>1.7274275979557068</v>
      </c>
      <c r="E490">
        <v>0.96081771720613318</v>
      </c>
      <c r="F490">
        <v>0.60647359454855199</v>
      </c>
      <c r="G490">
        <v>0.36115843270868853</v>
      </c>
      <c r="H490">
        <v>0.19875070982396303</v>
      </c>
      <c r="I490">
        <v>0.13096252129471966</v>
      </c>
      <c r="J490">
        <v>0.391396933560477</v>
      </c>
      <c r="K490">
        <v>0.7747018739352638</v>
      </c>
      <c r="L490">
        <v>1.0404599659284497</v>
      </c>
      <c r="M490">
        <v>1.2857751277683132</v>
      </c>
      <c r="N490">
        <v>1.5293867120954014</v>
      </c>
      <c r="O490">
        <v>1.6717419080068125</v>
      </c>
      <c r="P490">
        <v>0.9</v>
      </c>
      <c r="Q490">
        <v>0.9</v>
      </c>
      <c r="R490">
        <v>0.9</v>
      </c>
      <c r="S490">
        <v>0.9</v>
      </c>
      <c r="T490">
        <v>0.9</v>
      </c>
      <c r="U490">
        <v>0.9</v>
      </c>
    </row>
    <row r="491" spans="2:21">
      <c r="C491">
        <v>145</v>
      </c>
      <c r="D491">
        <v>1.819420783645656</v>
      </c>
      <c r="E491">
        <v>1.0289608177172056</v>
      </c>
      <c r="F491">
        <v>0.65758091993185719</v>
      </c>
      <c r="G491">
        <v>0.39352640545144801</v>
      </c>
      <c r="H491">
        <v>0.21933560477001712</v>
      </c>
      <c r="I491">
        <v>0.14373935264054508</v>
      </c>
      <c r="J491">
        <v>0.37989778534923335</v>
      </c>
      <c r="K491">
        <v>0.77512776831345853</v>
      </c>
      <c r="L491">
        <v>1.0536626916524698</v>
      </c>
      <c r="M491">
        <v>1.317717206132879</v>
      </c>
      <c r="N491">
        <v>1.5790034071550254</v>
      </c>
      <c r="O491">
        <v>1.7377555366269166</v>
      </c>
      <c r="P491">
        <v>0.9</v>
      </c>
      <c r="Q491">
        <v>0.9</v>
      </c>
      <c r="R491">
        <v>0.9</v>
      </c>
      <c r="S491">
        <v>0.9</v>
      </c>
      <c r="T491">
        <v>0.9</v>
      </c>
      <c r="U491">
        <v>0.9</v>
      </c>
    </row>
    <row r="492" spans="2:21">
      <c r="C492">
        <v>155</v>
      </c>
      <c r="D492">
        <v>1.9028960817717202</v>
      </c>
      <c r="E492">
        <v>1.0971039182282798</v>
      </c>
      <c r="F492">
        <v>0.70528109028960806</v>
      </c>
      <c r="G492">
        <v>0.42759795570698511</v>
      </c>
      <c r="H492">
        <v>0.23921067575241295</v>
      </c>
      <c r="I492">
        <v>0.15758091993185677</v>
      </c>
      <c r="J492">
        <v>0.36925042589437829</v>
      </c>
      <c r="K492">
        <v>0.77214650766609849</v>
      </c>
      <c r="L492">
        <v>1.0660136286201023</v>
      </c>
      <c r="M492">
        <v>1.3436967632027252</v>
      </c>
      <c r="N492">
        <v>1.6262776831345835</v>
      </c>
      <c r="O492">
        <v>1.7977001703577515</v>
      </c>
      <c r="P492">
        <v>0.9</v>
      </c>
      <c r="Q492">
        <v>0.9</v>
      </c>
      <c r="R492">
        <v>0.9</v>
      </c>
      <c r="S492">
        <v>0.9</v>
      </c>
      <c r="T492">
        <v>0.9</v>
      </c>
      <c r="U492">
        <v>0.9</v>
      </c>
    </row>
    <row r="493" spans="2:21">
      <c r="B493">
        <v>8</v>
      </c>
      <c r="C493">
        <v>15</v>
      </c>
      <c r="D493">
        <v>0.12947189097103928</v>
      </c>
      <c r="E493">
        <v>4.7700170357751315E-2</v>
      </c>
      <c r="F493">
        <v>2.5553662691652379E-2</v>
      </c>
      <c r="G493">
        <v>1.277683134582619E-2</v>
      </c>
      <c r="H493">
        <v>5.678591709256108E-3</v>
      </c>
      <c r="I493">
        <v>4.2589437819420825E-3</v>
      </c>
      <c r="J493">
        <v>0.27725724020442927</v>
      </c>
      <c r="K493">
        <v>0.31814310051107325</v>
      </c>
      <c r="L493">
        <v>0.33475298126064745</v>
      </c>
      <c r="M493">
        <v>0.34752981260647364</v>
      </c>
      <c r="N493">
        <v>0.35817717206132876</v>
      </c>
      <c r="O493">
        <v>0.36115843270868819</v>
      </c>
      <c r="P493">
        <v>0.9</v>
      </c>
      <c r="Q493">
        <v>0.9</v>
      </c>
      <c r="R493">
        <v>0.9</v>
      </c>
      <c r="S493">
        <v>0.9</v>
      </c>
      <c r="T493">
        <v>0.9</v>
      </c>
      <c r="U493">
        <v>0.9</v>
      </c>
    </row>
    <row r="494" spans="2:21">
      <c r="C494">
        <v>25</v>
      </c>
      <c r="D494">
        <v>0.29982964224872211</v>
      </c>
      <c r="E494">
        <v>0.11925042589437851</v>
      </c>
      <c r="F494">
        <v>6.3032367972742698E-2</v>
      </c>
      <c r="G494">
        <v>3.3219761499148071E-2</v>
      </c>
      <c r="H494">
        <v>1.6325951164111358E-2</v>
      </c>
      <c r="I494">
        <v>9.5826235093698937E-3</v>
      </c>
      <c r="J494">
        <v>0.368824531516184</v>
      </c>
      <c r="K494">
        <v>0.45911413969335579</v>
      </c>
      <c r="L494">
        <v>0.50127768313458265</v>
      </c>
      <c r="M494">
        <v>0.53109028960817728</v>
      </c>
      <c r="N494">
        <v>0.5564310051107324</v>
      </c>
      <c r="O494">
        <v>0.57059199318568943</v>
      </c>
      <c r="P494">
        <v>0.9</v>
      </c>
      <c r="Q494">
        <v>0.9</v>
      </c>
      <c r="R494">
        <v>0.9</v>
      </c>
      <c r="S494">
        <v>0.9</v>
      </c>
      <c r="T494">
        <v>0.9</v>
      </c>
      <c r="U494">
        <v>0.9</v>
      </c>
    </row>
    <row r="495" spans="2:21">
      <c r="C495">
        <v>35</v>
      </c>
      <c r="D495">
        <v>0.49403747870528081</v>
      </c>
      <c r="E495">
        <v>0.20442930153321992</v>
      </c>
      <c r="F495">
        <v>0.11243611584327073</v>
      </c>
      <c r="G495">
        <v>6.0477001703577615E-2</v>
      </c>
      <c r="H495">
        <v>3.0522430437251443E-2</v>
      </c>
      <c r="I495">
        <v>1.8100511073253781E-2</v>
      </c>
      <c r="J495">
        <v>0.41780238500851807</v>
      </c>
      <c r="K495">
        <v>0.56260647359454852</v>
      </c>
      <c r="L495">
        <v>0.63160136286201041</v>
      </c>
      <c r="M495">
        <v>0.68356047700170353</v>
      </c>
      <c r="N495">
        <v>0.72849233390119283</v>
      </c>
      <c r="O495">
        <v>0.75457836456558791</v>
      </c>
      <c r="P495">
        <v>0.9</v>
      </c>
      <c r="Q495">
        <v>0.9</v>
      </c>
      <c r="R495">
        <v>0.9</v>
      </c>
      <c r="S495">
        <v>0.9</v>
      </c>
      <c r="T495">
        <v>0.9</v>
      </c>
      <c r="U495">
        <v>0.9</v>
      </c>
    </row>
    <row r="496" spans="2:21">
      <c r="C496">
        <v>45</v>
      </c>
      <c r="D496">
        <v>0.68824531516183995</v>
      </c>
      <c r="E496">
        <v>0.30153321976149883</v>
      </c>
      <c r="F496">
        <v>0.16865417376490655</v>
      </c>
      <c r="G496">
        <v>9.1993185689948964E-2</v>
      </c>
      <c r="H496">
        <v>4.6848381601362614E-2</v>
      </c>
      <c r="I496">
        <v>2.9812606473594856E-2</v>
      </c>
      <c r="J496">
        <v>0.44250425894378187</v>
      </c>
      <c r="K496">
        <v>0.63586030664395243</v>
      </c>
      <c r="L496">
        <v>0.73551959114139664</v>
      </c>
      <c r="M496">
        <v>0.81218057921635423</v>
      </c>
      <c r="N496">
        <v>0.8798977853492338</v>
      </c>
      <c r="O496">
        <v>0.91567291311754606</v>
      </c>
      <c r="P496">
        <v>0.9</v>
      </c>
      <c r="Q496">
        <v>0.9</v>
      </c>
      <c r="R496">
        <v>0.9</v>
      </c>
      <c r="S496">
        <v>0.9</v>
      </c>
      <c r="T496">
        <v>0.9</v>
      </c>
      <c r="U496">
        <v>0.9</v>
      </c>
    </row>
    <row r="497" spans="3:21">
      <c r="C497">
        <v>55</v>
      </c>
      <c r="D497">
        <v>0.87904599659284521</v>
      </c>
      <c r="E497">
        <v>0.40204429301533162</v>
      </c>
      <c r="F497">
        <v>0.22998296422487252</v>
      </c>
      <c r="G497">
        <v>0.12691652470187398</v>
      </c>
      <c r="H497">
        <v>6.5303804656445058E-2</v>
      </c>
      <c r="I497">
        <v>4.1524701873935095E-2</v>
      </c>
      <c r="J497">
        <v>0.45059625212947174</v>
      </c>
      <c r="K497">
        <v>0.68909710391822854</v>
      </c>
      <c r="L497">
        <v>0.81814310051107286</v>
      </c>
      <c r="M497">
        <v>0.92120954003407141</v>
      </c>
      <c r="N497">
        <v>1.0136286201022147</v>
      </c>
      <c r="O497">
        <v>1.0635647359454856</v>
      </c>
      <c r="P497">
        <v>0.9</v>
      </c>
      <c r="Q497">
        <v>0.9</v>
      </c>
      <c r="R497">
        <v>0.9</v>
      </c>
      <c r="S497">
        <v>0.9</v>
      </c>
      <c r="T497">
        <v>0.9</v>
      </c>
      <c r="U497">
        <v>0.9</v>
      </c>
    </row>
    <row r="498" spans="3:21">
      <c r="C498">
        <v>65</v>
      </c>
      <c r="D498">
        <v>1.0579216354344121</v>
      </c>
      <c r="E498">
        <v>0.50425894378194247</v>
      </c>
      <c r="F498">
        <v>0.29301533219761478</v>
      </c>
      <c r="G498">
        <v>0.16439522998296408</v>
      </c>
      <c r="H498">
        <v>8.5888699602498397E-2</v>
      </c>
      <c r="I498">
        <v>5.3236797274276451E-2</v>
      </c>
      <c r="J498">
        <v>0.4497444633730836</v>
      </c>
      <c r="K498">
        <v>0.72657580919931841</v>
      </c>
      <c r="L498">
        <v>0.88500851788756418</v>
      </c>
      <c r="M498">
        <v>1.0136286201022149</v>
      </c>
      <c r="N498">
        <v>1.1313884156729135</v>
      </c>
      <c r="O498">
        <v>1.1999574105621795</v>
      </c>
      <c r="P498">
        <v>0.9</v>
      </c>
      <c r="Q498">
        <v>0.9</v>
      </c>
      <c r="R498">
        <v>0.9</v>
      </c>
      <c r="S498">
        <v>0.9</v>
      </c>
      <c r="T498">
        <v>0.9</v>
      </c>
      <c r="U498">
        <v>0.9</v>
      </c>
    </row>
    <row r="499" spans="3:21">
      <c r="C499">
        <v>75</v>
      </c>
      <c r="D499">
        <v>1.2265758091993186</v>
      </c>
      <c r="E499">
        <v>0.60477001703577482</v>
      </c>
      <c r="F499">
        <v>0.35775127768313464</v>
      </c>
      <c r="G499">
        <v>0.2027257240204432</v>
      </c>
      <c r="H499">
        <v>0.10789324247586568</v>
      </c>
      <c r="I499">
        <v>6.8143100511073321E-2</v>
      </c>
      <c r="J499">
        <v>0.44207836456558769</v>
      </c>
      <c r="K499">
        <v>0.7529812606473596</v>
      </c>
      <c r="L499">
        <v>0.93824531516183973</v>
      </c>
      <c r="M499">
        <v>1.0932708688245312</v>
      </c>
      <c r="N499">
        <v>1.2355195911413974</v>
      </c>
      <c r="O499">
        <v>1.3189948892674614</v>
      </c>
      <c r="P499">
        <v>0.9</v>
      </c>
      <c r="Q499">
        <v>0.9</v>
      </c>
      <c r="R499">
        <v>0.9</v>
      </c>
      <c r="S499">
        <v>0.9</v>
      </c>
      <c r="T499">
        <v>0.9</v>
      </c>
      <c r="U499">
        <v>0.9</v>
      </c>
    </row>
    <row r="500" spans="3:21">
      <c r="C500">
        <v>85</v>
      </c>
      <c r="D500">
        <v>1.3798977853492334</v>
      </c>
      <c r="E500">
        <v>0.70357751277683178</v>
      </c>
      <c r="F500">
        <v>0.42419080068143078</v>
      </c>
      <c r="G500">
        <v>0.24275979557069816</v>
      </c>
      <c r="H500">
        <v>0.12989778534923371</v>
      </c>
      <c r="I500">
        <v>8.304940374787019E-2</v>
      </c>
      <c r="J500">
        <v>0.43185689948892669</v>
      </c>
      <c r="K500">
        <v>0.77001703577512748</v>
      </c>
      <c r="L500">
        <v>0.97955706984667823</v>
      </c>
      <c r="M500">
        <v>1.1609880749574109</v>
      </c>
      <c r="N500">
        <v>1.3302810902896076</v>
      </c>
      <c r="O500">
        <v>1.428662691652471</v>
      </c>
      <c r="P500">
        <v>0.9</v>
      </c>
      <c r="Q500">
        <v>0.9</v>
      </c>
      <c r="R500">
        <v>0.9</v>
      </c>
      <c r="S500">
        <v>0.9</v>
      </c>
      <c r="T500">
        <v>0.9</v>
      </c>
      <c r="U500">
        <v>0.9</v>
      </c>
    </row>
    <row r="501" spans="3:21">
      <c r="C501">
        <v>95</v>
      </c>
      <c r="D501">
        <v>1.5229982964224869</v>
      </c>
      <c r="E501">
        <v>0.79897785349233441</v>
      </c>
      <c r="F501">
        <v>0.48892674616695064</v>
      </c>
      <c r="G501">
        <v>0.28364565587734258</v>
      </c>
      <c r="H501">
        <v>0.15332197614991455</v>
      </c>
      <c r="I501">
        <v>9.9020442930153357E-2</v>
      </c>
      <c r="J501">
        <v>0.41908006814310061</v>
      </c>
      <c r="K501">
        <v>0.78109028960817684</v>
      </c>
      <c r="L501">
        <v>1.0136286201022147</v>
      </c>
      <c r="M501">
        <v>1.2189097103918227</v>
      </c>
      <c r="N501">
        <v>1.4143952299829647</v>
      </c>
      <c r="O501">
        <v>1.5284284497444633</v>
      </c>
      <c r="P501">
        <v>0.9</v>
      </c>
      <c r="Q501">
        <v>0.9</v>
      </c>
      <c r="R501">
        <v>0.9</v>
      </c>
      <c r="S501">
        <v>0.9</v>
      </c>
      <c r="T501">
        <v>0.9</v>
      </c>
      <c r="U501">
        <v>0.9</v>
      </c>
    </row>
    <row r="502" spans="3:21">
      <c r="C502">
        <v>105</v>
      </c>
      <c r="D502">
        <v>1.6541737649063033</v>
      </c>
      <c r="E502">
        <v>0.89267461669505987</v>
      </c>
      <c r="F502">
        <v>0.55366269165246962</v>
      </c>
      <c r="G502">
        <v>0.32367972742759843</v>
      </c>
      <c r="H502">
        <v>0.17745599091425254</v>
      </c>
      <c r="I502">
        <v>0.11392674616695134</v>
      </c>
      <c r="J502">
        <v>0.40545144804088595</v>
      </c>
      <c r="K502">
        <v>0.78620102214650767</v>
      </c>
      <c r="L502">
        <v>1.0404599659284504</v>
      </c>
      <c r="M502">
        <v>1.2704429301533215</v>
      </c>
      <c r="N502">
        <v>1.4897785349233403</v>
      </c>
      <c r="O502">
        <v>1.6231899488926729</v>
      </c>
      <c r="P502">
        <v>0.9</v>
      </c>
      <c r="Q502">
        <v>0.9</v>
      </c>
      <c r="R502">
        <v>0.9</v>
      </c>
      <c r="S502">
        <v>0.9</v>
      </c>
      <c r="T502">
        <v>0.9</v>
      </c>
      <c r="U502">
        <v>0.9</v>
      </c>
    </row>
    <row r="503" spans="3:21">
      <c r="C503">
        <v>115</v>
      </c>
      <c r="D503">
        <v>1.7734241908006814</v>
      </c>
      <c r="E503">
        <v>0.98126064735945473</v>
      </c>
      <c r="F503">
        <v>0.6166950596252132</v>
      </c>
      <c r="G503">
        <v>0.36541737649063055</v>
      </c>
      <c r="H503">
        <v>0.20088018171493449</v>
      </c>
      <c r="I503">
        <v>0.13096252129471911</v>
      </c>
      <c r="J503">
        <v>0.39182282793867129</v>
      </c>
      <c r="K503">
        <v>0.78790459965928461</v>
      </c>
      <c r="L503">
        <v>1.0613287904599658</v>
      </c>
      <c r="M503">
        <v>1.3126064735945484</v>
      </c>
      <c r="N503">
        <v>1.5594122657580924</v>
      </c>
      <c r="O503">
        <v>1.7062393526405448</v>
      </c>
      <c r="P503">
        <v>0.9</v>
      </c>
      <c r="Q503">
        <v>0.9</v>
      </c>
      <c r="R503">
        <v>0.9</v>
      </c>
      <c r="S503">
        <v>0.9</v>
      </c>
      <c r="T503">
        <v>0.9</v>
      </c>
      <c r="U503">
        <v>0.9</v>
      </c>
    </row>
    <row r="504" spans="3:21">
      <c r="C504">
        <v>125</v>
      </c>
      <c r="D504">
        <v>1.8841567291311754</v>
      </c>
      <c r="E504">
        <v>1.0681431005110733</v>
      </c>
      <c r="F504">
        <v>0.67802385008517874</v>
      </c>
      <c r="G504">
        <v>0.40630323679727409</v>
      </c>
      <c r="H504">
        <v>0.22501419647927323</v>
      </c>
      <c r="I504">
        <v>0.14693356047700171</v>
      </c>
      <c r="J504">
        <v>0.37776831345826234</v>
      </c>
      <c r="K504">
        <v>0.78577512776831338</v>
      </c>
      <c r="L504">
        <v>1.0783645655877343</v>
      </c>
      <c r="M504">
        <v>1.3500851788756389</v>
      </c>
      <c r="N504">
        <v>1.6220187393526402</v>
      </c>
      <c r="O504">
        <v>1.7859880749574104</v>
      </c>
      <c r="P504">
        <v>0.9</v>
      </c>
      <c r="Q504">
        <v>0.9</v>
      </c>
      <c r="R504">
        <v>0.9</v>
      </c>
      <c r="S504">
        <v>0.9</v>
      </c>
      <c r="T504">
        <v>0.9</v>
      </c>
      <c r="U504">
        <v>0.9</v>
      </c>
    </row>
    <row r="505" spans="3:21">
      <c r="C505">
        <v>135</v>
      </c>
      <c r="D505">
        <v>1.9863713798977849</v>
      </c>
      <c r="E505">
        <v>1.1499148211243622</v>
      </c>
      <c r="F505">
        <v>0.73935264054514427</v>
      </c>
      <c r="G505">
        <v>0.44633730834752949</v>
      </c>
      <c r="H505">
        <v>0.24985803520726876</v>
      </c>
      <c r="I505">
        <v>0.16396933560477003</v>
      </c>
      <c r="J505">
        <v>0.36371379897785361</v>
      </c>
      <c r="K505">
        <v>0.78194207836456497</v>
      </c>
      <c r="L505">
        <v>1.0898637137989784</v>
      </c>
      <c r="M505">
        <v>1.3828790459965932</v>
      </c>
      <c r="N505">
        <v>1.6775979557069842</v>
      </c>
      <c r="O505">
        <v>1.8579642248722317</v>
      </c>
      <c r="P505">
        <v>0.9</v>
      </c>
      <c r="Q505">
        <v>0.9</v>
      </c>
      <c r="R505">
        <v>0.9</v>
      </c>
      <c r="S505">
        <v>0.9</v>
      </c>
      <c r="T505">
        <v>0.9</v>
      </c>
      <c r="U505">
        <v>0.9</v>
      </c>
    </row>
    <row r="506" spans="3:21">
      <c r="C506">
        <v>145</v>
      </c>
      <c r="D506">
        <v>2.0800681431005112</v>
      </c>
      <c r="E506">
        <v>1.2282793867120958</v>
      </c>
      <c r="F506">
        <v>0.79897785349233352</v>
      </c>
      <c r="G506">
        <v>0.48722316865417392</v>
      </c>
      <c r="H506">
        <v>0.27399204997160675</v>
      </c>
      <c r="I506">
        <v>0.17994037478705319</v>
      </c>
      <c r="J506">
        <v>0.35008517887563873</v>
      </c>
      <c r="K506">
        <v>0.77597955706984645</v>
      </c>
      <c r="L506">
        <v>1.0979557069846682</v>
      </c>
      <c r="M506">
        <v>1.4097103918228278</v>
      </c>
      <c r="N506">
        <v>1.7295570698466785</v>
      </c>
      <c r="O506">
        <v>1.9270655877342411</v>
      </c>
      <c r="P506">
        <v>0.9</v>
      </c>
      <c r="Q506">
        <v>0.9</v>
      </c>
      <c r="R506">
        <v>0.9</v>
      </c>
      <c r="S506">
        <v>0.9</v>
      </c>
      <c r="T506">
        <v>0.9</v>
      </c>
      <c r="U506">
        <v>0.9</v>
      </c>
    </row>
    <row r="507" spans="3:21">
      <c r="C507">
        <v>155</v>
      </c>
      <c r="D507">
        <v>2.1669505962521298</v>
      </c>
      <c r="E507">
        <v>1.3049403747870523</v>
      </c>
      <c r="F507">
        <v>0.8568994889267465</v>
      </c>
      <c r="G507">
        <v>0.5255536626916526</v>
      </c>
      <c r="H507">
        <v>0.29883588869960226</v>
      </c>
      <c r="I507">
        <v>0.19697614991482154</v>
      </c>
      <c r="J507">
        <v>0.33688245315161836</v>
      </c>
      <c r="K507">
        <v>0.76788756388415713</v>
      </c>
      <c r="L507">
        <v>1.1039182282793865</v>
      </c>
      <c r="M507">
        <v>1.4352640545144804</v>
      </c>
      <c r="N507">
        <v>1.7753407155025558</v>
      </c>
      <c r="O507">
        <v>1.9892461669505954</v>
      </c>
      <c r="P507">
        <v>0.9</v>
      </c>
      <c r="Q507">
        <v>0.9</v>
      </c>
      <c r="R507">
        <v>0.9</v>
      </c>
      <c r="S507">
        <v>0.9</v>
      </c>
      <c r="T507">
        <v>0.9</v>
      </c>
      <c r="U507">
        <v>0.9</v>
      </c>
    </row>
    <row r="513" spans="2:44">
      <c r="B513">
        <v>2</v>
      </c>
      <c r="C513">
        <v>15</v>
      </c>
      <c r="D513">
        <v>1.8383120952579879E-2</v>
      </c>
      <c r="E513">
        <v>6.6847712554836125E-3</v>
      </c>
      <c r="F513">
        <v>3.3423856277418063E-3</v>
      </c>
      <c r="G513">
        <v>1.6711928138709294E-3</v>
      </c>
      <c r="H513">
        <v>1.0444955086693019E-3</v>
      </c>
      <c r="I513">
        <v>5.2224775433463945E-4</v>
      </c>
      <c r="J513">
        <v>7.8754961353666192E-2</v>
      </c>
      <c r="K513">
        <v>8.4604136202214325E-2</v>
      </c>
      <c r="L513">
        <v>8.711092542302068E-2</v>
      </c>
      <c r="M513">
        <v>8.8782118236891555E-2</v>
      </c>
      <c r="N513">
        <v>8.9722164194694004E-2</v>
      </c>
      <c r="O513">
        <v>9.0818884478796796E-2</v>
      </c>
      <c r="P513">
        <v>0.8</v>
      </c>
      <c r="Q513">
        <v>0.8</v>
      </c>
      <c r="R513">
        <v>0.8</v>
      </c>
      <c r="S513">
        <v>0.8</v>
      </c>
      <c r="T513">
        <v>0.8</v>
      </c>
      <c r="U513">
        <v>0.8</v>
      </c>
      <c r="V513">
        <v>15</v>
      </c>
      <c r="Y513">
        <v>3829.6000000000004</v>
      </c>
      <c r="Z513">
        <v>3590.25</v>
      </c>
      <c r="AC513">
        <v>14892.888888888889</v>
      </c>
      <c r="AD513">
        <v>11169.666666666666</v>
      </c>
      <c r="AE513">
        <v>2</v>
      </c>
      <c r="AF513">
        <f>AE513*12-6</f>
        <v>18</v>
      </c>
      <c r="AG513">
        <v>12.5</v>
      </c>
      <c r="AH513">
        <v>1</v>
      </c>
      <c r="AI513">
        <v>2</v>
      </c>
      <c r="AJ513">
        <v>20</v>
      </c>
      <c r="AK513">
        <v>16</v>
      </c>
      <c r="AL513">
        <v>4</v>
      </c>
      <c r="AM513">
        <v>1.56</v>
      </c>
      <c r="AN513">
        <v>2</v>
      </c>
      <c r="AO513" t="s">
        <v>512</v>
      </c>
      <c r="AP513">
        <v>6.9</v>
      </c>
      <c r="AQ513">
        <v>1.03</v>
      </c>
      <c r="AR513">
        <v>6.4276</v>
      </c>
    </row>
    <row r="514" spans="2:44">
      <c r="C514">
        <v>25</v>
      </c>
      <c r="D514">
        <v>4.6793398788385288E-2</v>
      </c>
      <c r="E514">
        <v>1.7547524545644344E-2</v>
      </c>
      <c r="F514">
        <v>9.191560476289995E-3</v>
      </c>
      <c r="G514">
        <v>5.013578441612705E-3</v>
      </c>
      <c r="H514">
        <v>2.4371561868950301E-3</v>
      </c>
      <c r="I514">
        <v>1.0444955086693483E-3</v>
      </c>
      <c r="J514">
        <v>0.11364111134322119</v>
      </c>
      <c r="K514">
        <v>0.12826404846459166</v>
      </c>
      <c r="L514">
        <v>0.13453102151660742</v>
      </c>
      <c r="M514">
        <v>0.13870900355128471</v>
      </c>
      <c r="N514">
        <v>0.14257363693336123</v>
      </c>
      <c r="O514">
        <v>0.14549822435763515</v>
      </c>
      <c r="P514">
        <v>0.8</v>
      </c>
      <c r="Q514">
        <v>0.85</v>
      </c>
      <c r="R514">
        <v>0.85</v>
      </c>
      <c r="S514">
        <v>0.85</v>
      </c>
      <c r="T514">
        <v>0.85</v>
      </c>
      <c r="U514">
        <v>0.85</v>
      </c>
      <c r="V514">
        <v>25</v>
      </c>
      <c r="Y514">
        <v>3829.6000000000004</v>
      </c>
      <c r="Z514">
        <v>3590.25</v>
      </c>
      <c r="AC514">
        <v>14892.888888888889</v>
      </c>
      <c r="AD514">
        <v>11169.666666666666</v>
      </c>
      <c r="AE514">
        <v>3</v>
      </c>
      <c r="AF514">
        <f t="shared" ref="AF514:AF519" si="6">AE514*12-6</f>
        <v>30</v>
      </c>
      <c r="AG514">
        <v>12.5</v>
      </c>
      <c r="AH514">
        <v>1</v>
      </c>
      <c r="AI514">
        <v>2</v>
      </c>
      <c r="AJ514">
        <v>20</v>
      </c>
      <c r="AK514">
        <v>16</v>
      </c>
      <c r="AL514">
        <v>4</v>
      </c>
      <c r="AM514">
        <v>2.6</v>
      </c>
      <c r="AO514" t="s">
        <v>513</v>
      </c>
      <c r="AP514">
        <v>6</v>
      </c>
      <c r="AQ514">
        <v>1.1599999999999999</v>
      </c>
      <c r="AR514">
        <v>10.836500000000001</v>
      </c>
    </row>
    <row r="515" spans="2:44">
      <c r="C515">
        <v>35</v>
      </c>
      <c r="D515">
        <v>8.272404428660951E-2</v>
      </c>
      <c r="E515">
        <v>3.1752663463547104E-2</v>
      </c>
      <c r="F515">
        <v>1.6711928138709031E-2</v>
      </c>
      <c r="G515">
        <v>8.7737622728222206E-3</v>
      </c>
      <c r="H515">
        <v>4.5261472042336338E-3</v>
      </c>
      <c r="I515">
        <v>2.6112387716734054E-3</v>
      </c>
      <c r="J515">
        <v>0.13870900355128477</v>
      </c>
      <c r="K515">
        <v>0.16419469396281597</v>
      </c>
      <c r="L515">
        <v>0.17547524545644452</v>
      </c>
      <c r="M515">
        <v>0.18341341132233133</v>
      </c>
      <c r="N515">
        <v>0.18978483392521422</v>
      </c>
      <c r="O515">
        <v>0.1938061416335907</v>
      </c>
      <c r="P515">
        <v>0.85</v>
      </c>
      <c r="Q515">
        <v>0.85</v>
      </c>
      <c r="R515">
        <v>0.85</v>
      </c>
      <c r="S515">
        <v>0.85</v>
      </c>
      <c r="T515">
        <v>0.85</v>
      </c>
      <c r="U515">
        <v>0.85</v>
      </c>
      <c r="V515">
        <v>35</v>
      </c>
      <c r="Y515">
        <v>3829.6000000000004</v>
      </c>
      <c r="Z515">
        <v>3590.25</v>
      </c>
      <c r="AC515">
        <v>14892.888888888889</v>
      </c>
      <c r="AD515">
        <v>11169.666666666666</v>
      </c>
      <c r="AE515">
        <v>4</v>
      </c>
      <c r="AF515">
        <f t="shared" si="6"/>
        <v>42</v>
      </c>
      <c r="AG515">
        <v>12.5</v>
      </c>
      <c r="AH515">
        <v>1</v>
      </c>
      <c r="AI515">
        <v>2</v>
      </c>
      <c r="AJ515">
        <v>20</v>
      </c>
      <c r="AK515">
        <v>16</v>
      </c>
      <c r="AL515">
        <v>4</v>
      </c>
      <c r="AM515">
        <v>3.65</v>
      </c>
      <c r="AO515" t="s">
        <v>514</v>
      </c>
      <c r="AP515">
        <v>4.5</v>
      </c>
      <c r="AQ515">
        <v>1.5</v>
      </c>
      <c r="AR515">
        <v>20.642199999999999</v>
      </c>
    </row>
    <row r="516" spans="2:44">
      <c r="C516">
        <v>45</v>
      </c>
      <c r="D516">
        <v>0.12116147900564034</v>
      </c>
      <c r="E516">
        <v>4.8464591602256135E-2</v>
      </c>
      <c r="F516">
        <v>2.5903488614998915E-2</v>
      </c>
      <c r="G516">
        <v>1.3787340714434925E-2</v>
      </c>
      <c r="H516">
        <v>6.9633033911288035E-3</v>
      </c>
      <c r="I516">
        <v>4.7002297890117546E-3</v>
      </c>
      <c r="J516">
        <v>0.15730102360559847</v>
      </c>
      <c r="K516">
        <v>0.19364946730729057</v>
      </c>
      <c r="L516">
        <v>0.21057029454773349</v>
      </c>
      <c r="M516">
        <v>0.22268644244829747</v>
      </c>
      <c r="N516">
        <v>0.23292249843325666</v>
      </c>
      <c r="O516">
        <v>0.23767495299770247</v>
      </c>
      <c r="P516">
        <v>0.92</v>
      </c>
      <c r="Q516">
        <v>0.92</v>
      </c>
      <c r="R516">
        <v>0.92</v>
      </c>
      <c r="S516">
        <v>0.92</v>
      </c>
      <c r="T516">
        <v>0.92</v>
      </c>
      <c r="U516">
        <v>0.92</v>
      </c>
      <c r="V516">
        <v>45</v>
      </c>
      <c r="Y516">
        <v>3829.6000000000004</v>
      </c>
      <c r="Z516">
        <v>3590.25</v>
      </c>
      <c r="AC516">
        <v>14892.888888888889</v>
      </c>
      <c r="AD516">
        <v>11169.666666666666</v>
      </c>
      <c r="AE516">
        <v>5</v>
      </c>
      <c r="AF516">
        <f t="shared" si="6"/>
        <v>54</v>
      </c>
      <c r="AG516">
        <v>12.5</v>
      </c>
      <c r="AH516">
        <v>1</v>
      </c>
      <c r="AI516">
        <v>2</v>
      </c>
      <c r="AJ516">
        <v>20</v>
      </c>
      <c r="AK516">
        <v>16</v>
      </c>
      <c r="AL516">
        <v>4</v>
      </c>
      <c r="AM516">
        <v>4.6900000000000004</v>
      </c>
      <c r="AO516" t="s">
        <v>515</v>
      </c>
      <c r="AP516">
        <v>2.7</v>
      </c>
      <c r="AQ516">
        <v>1.78</v>
      </c>
      <c r="AR516">
        <v>42.642499999999998</v>
      </c>
    </row>
    <row r="517" spans="2:44">
      <c r="C517">
        <v>55</v>
      </c>
      <c r="D517">
        <v>0.161</v>
      </c>
      <c r="E517">
        <v>6.601211614790059E-2</v>
      </c>
      <c r="F517">
        <v>3.6766241905159758E-2</v>
      </c>
      <c r="G517">
        <v>1.9636515562983164E-2</v>
      </c>
      <c r="H517">
        <v>9.7486247475801202E-3</v>
      </c>
      <c r="I517">
        <v>6.2669730520159509E-3</v>
      </c>
      <c r="J517">
        <v>0.17100000000000001</v>
      </c>
      <c r="K517">
        <v>0.21850846041362021</v>
      </c>
      <c r="L517">
        <v>0.24044286609567583</v>
      </c>
      <c r="M517">
        <v>0.25757259243785241</v>
      </c>
      <c r="N517">
        <v>0.27240442866095699</v>
      </c>
      <c r="O517">
        <v>0.27971589722164175</v>
      </c>
      <c r="P517">
        <v>0.95</v>
      </c>
      <c r="Q517">
        <v>0.95</v>
      </c>
      <c r="R517">
        <v>0.95</v>
      </c>
      <c r="S517">
        <v>0.95</v>
      </c>
      <c r="T517">
        <v>0.95</v>
      </c>
      <c r="U517">
        <v>0.95</v>
      </c>
      <c r="V517">
        <v>55</v>
      </c>
      <c r="Y517">
        <v>3829.6000000000004</v>
      </c>
      <c r="Z517">
        <v>3590.25</v>
      </c>
      <c r="AC517">
        <v>14892.888888888889</v>
      </c>
      <c r="AD517">
        <v>11169.666666666666</v>
      </c>
      <c r="AE517">
        <v>6</v>
      </c>
      <c r="AF517">
        <f t="shared" si="6"/>
        <v>66</v>
      </c>
      <c r="AG517">
        <v>12.5</v>
      </c>
      <c r="AH517">
        <v>1</v>
      </c>
      <c r="AI517">
        <v>2</v>
      </c>
      <c r="AJ517">
        <v>20</v>
      </c>
      <c r="AK517">
        <v>16</v>
      </c>
      <c r="AL517">
        <v>4</v>
      </c>
      <c r="AM517">
        <v>5.73</v>
      </c>
      <c r="AN517">
        <v>3</v>
      </c>
      <c r="AO517" t="s">
        <v>512</v>
      </c>
      <c r="AP517">
        <v>6.9</v>
      </c>
      <c r="AQ517">
        <v>1.03</v>
      </c>
      <c r="AR517">
        <v>10.7128</v>
      </c>
    </row>
    <row r="518" spans="2:44">
      <c r="C518">
        <v>65</v>
      </c>
      <c r="D518">
        <v>0.20137873407144358</v>
      </c>
      <c r="E518">
        <v>8.5230833507415671E-2</v>
      </c>
      <c r="F518">
        <v>4.7628995195320822E-2</v>
      </c>
      <c r="G518">
        <v>2.5903488614998891E-2</v>
      </c>
      <c r="H518">
        <v>1.3230276443144661E-2</v>
      </c>
      <c r="I518">
        <v>8.3559640693545087E-3</v>
      </c>
      <c r="J518">
        <v>0.18090662210152492</v>
      </c>
      <c r="K518">
        <v>0.23898057238353887</v>
      </c>
      <c r="L518">
        <v>0.26718195111761001</v>
      </c>
      <c r="M518">
        <v>0.28890745769793191</v>
      </c>
      <c r="N518">
        <v>0.30791727595571328</v>
      </c>
      <c r="O518">
        <v>0.31815333194067263</v>
      </c>
      <c r="P518">
        <v>0.95</v>
      </c>
      <c r="Q518">
        <v>0.95</v>
      </c>
      <c r="R518">
        <v>0.95</v>
      </c>
      <c r="S518">
        <v>0.95</v>
      </c>
      <c r="T518">
        <v>0.95</v>
      </c>
      <c r="U518">
        <v>0.95</v>
      </c>
      <c r="V518">
        <v>65</v>
      </c>
      <c r="Y518">
        <v>3829.6000000000004</v>
      </c>
      <c r="Z518">
        <v>3590.25</v>
      </c>
      <c r="AC518">
        <v>14892.888888888889</v>
      </c>
      <c r="AD518">
        <v>11169.666666666666</v>
      </c>
      <c r="AE518">
        <v>7</v>
      </c>
      <c r="AF518">
        <f t="shared" si="6"/>
        <v>78</v>
      </c>
      <c r="AG518">
        <v>12.5</v>
      </c>
      <c r="AH518">
        <v>1</v>
      </c>
      <c r="AI518">
        <v>2</v>
      </c>
      <c r="AJ518">
        <v>20</v>
      </c>
      <c r="AK518">
        <v>16</v>
      </c>
      <c r="AL518">
        <v>4</v>
      </c>
      <c r="AM518">
        <v>6.77</v>
      </c>
      <c r="AO518" t="s">
        <v>513</v>
      </c>
      <c r="AP518">
        <v>6</v>
      </c>
      <c r="AQ518">
        <v>1.1599999999999999</v>
      </c>
      <c r="AR518">
        <v>17.622500000000002</v>
      </c>
    </row>
    <row r="519" spans="2:44">
      <c r="C519">
        <v>75</v>
      </c>
      <c r="D519">
        <v>0.24148736160434503</v>
      </c>
      <c r="E519">
        <v>0.10528514727386673</v>
      </c>
      <c r="F519">
        <v>5.9327344892416978E-2</v>
      </c>
      <c r="G519">
        <v>3.2588259870482611E-2</v>
      </c>
      <c r="H519">
        <v>1.6711928138708924E-2</v>
      </c>
      <c r="I519">
        <v>1.0444955086693205E-2</v>
      </c>
      <c r="J519">
        <v>0.1880091915604763</v>
      </c>
      <c r="K519">
        <v>0.25611029872571545</v>
      </c>
      <c r="L519">
        <v>0.29057865051180276</v>
      </c>
      <c r="M519">
        <v>0.3173177355337371</v>
      </c>
      <c r="N519">
        <v>0.34113223313139768</v>
      </c>
      <c r="O519">
        <v>0.35429287654063069</v>
      </c>
      <c r="P519">
        <v>0.95</v>
      </c>
      <c r="Q519">
        <v>0.95</v>
      </c>
      <c r="R519">
        <v>0.95</v>
      </c>
      <c r="S519">
        <v>0.95</v>
      </c>
      <c r="T519">
        <v>0.95</v>
      </c>
      <c r="U519">
        <v>0.95</v>
      </c>
      <c r="V519">
        <v>75</v>
      </c>
      <c r="Y519">
        <v>3829.6000000000004</v>
      </c>
      <c r="Z519">
        <v>3590.25</v>
      </c>
      <c r="AC519">
        <v>14892.888888888889</v>
      </c>
      <c r="AD519">
        <v>11169.666666666666</v>
      </c>
      <c r="AE519">
        <v>8</v>
      </c>
      <c r="AF519">
        <f t="shared" si="6"/>
        <v>90</v>
      </c>
      <c r="AG519">
        <v>12.5</v>
      </c>
      <c r="AH519">
        <v>1</v>
      </c>
      <c r="AI519">
        <v>2</v>
      </c>
      <c r="AJ519">
        <v>20</v>
      </c>
      <c r="AK519">
        <v>16</v>
      </c>
      <c r="AL519">
        <v>4</v>
      </c>
      <c r="AM519">
        <v>7.81</v>
      </c>
      <c r="AO519" t="s">
        <v>514</v>
      </c>
      <c r="AP519">
        <v>4.5</v>
      </c>
      <c r="AQ519">
        <v>1.5</v>
      </c>
      <c r="AR519">
        <v>33.498999999999995</v>
      </c>
    </row>
    <row r="520" spans="2:44">
      <c r="C520">
        <v>85</v>
      </c>
      <c r="D520">
        <v>0.27992479632337597</v>
      </c>
      <c r="E520">
        <v>0.12533946104031757</v>
      </c>
      <c r="F520">
        <v>7.1861290996448668E-2</v>
      </c>
      <c r="G520">
        <v>3.9273031125966106E-2</v>
      </c>
      <c r="H520">
        <v>2.0541745003829843E-2</v>
      </c>
      <c r="I520">
        <v>1.3056193858366332E-2</v>
      </c>
      <c r="J520">
        <v>0.19344056820555666</v>
      </c>
      <c r="K520">
        <v>0.27073323584708586</v>
      </c>
      <c r="L520">
        <v>0.31084186337998754</v>
      </c>
      <c r="M520">
        <v>0.34343012325047012</v>
      </c>
      <c r="N520">
        <v>0.37152705243367451</v>
      </c>
      <c r="O520">
        <v>0.38724670983914788</v>
      </c>
      <c r="P520">
        <v>0.95</v>
      </c>
      <c r="Q520">
        <v>0.95</v>
      </c>
      <c r="R520">
        <v>0.95</v>
      </c>
      <c r="S520">
        <v>0.95</v>
      </c>
      <c r="T520">
        <v>0.95</v>
      </c>
      <c r="U520">
        <v>0.95</v>
      </c>
      <c r="V520">
        <v>85</v>
      </c>
      <c r="Y520">
        <v>3829.6000000000004</v>
      </c>
      <c r="Z520">
        <v>3590.25</v>
      </c>
      <c r="AC520">
        <v>14892.888888888889</v>
      </c>
      <c r="AD520">
        <v>11169.666666666666</v>
      </c>
      <c r="AO520" t="s">
        <v>515</v>
      </c>
      <c r="AP520">
        <v>2.7</v>
      </c>
      <c r="AQ520">
        <v>1.78</v>
      </c>
      <c r="AR520">
        <v>64.070900000000009</v>
      </c>
    </row>
    <row r="521" spans="2:44">
      <c r="C521">
        <v>95</v>
      </c>
      <c r="D521">
        <v>0.3183622310424068</v>
      </c>
      <c r="E521">
        <v>0.14539377480676818</v>
      </c>
      <c r="F521">
        <v>8.3559640693545045E-2</v>
      </c>
      <c r="G521">
        <v>4.6793398788385135E-2</v>
      </c>
      <c r="H521">
        <v>2.4371561868950578E-2</v>
      </c>
      <c r="I521">
        <v>1.5667432630039876E-2</v>
      </c>
      <c r="J521">
        <v>0.19678295383329841</v>
      </c>
      <c r="K521">
        <v>0.28326718195111772</v>
      </c>
      <c r="L521">
        <v>0.32964278253603507</v>
      </c>
      <c r="M521">
        <v>0.366409024441195</v>
      </c>
      <c r="N521">
        <v>0.40004177982034683</v>
      </c>
      <c r="O521">
        <v>0.4183204512220593</v>
      </c>
      <c r="P521">
        <v>0.95</v>
      </c>
      <c r="Q521">
        <v>0.95</v>
      </c>
      <c r="R521">
        <v>0.95</v>
      </c>
      <c r="S521">
        <v>0.95</v>
      </c>
      <c r="T521">
        <v>0.95</v>
      </c>
      <c r="U521">
        <v>0.95</v>
      </c>
      <c r="V521">
        <v>95</v>
      </c>
      <c r="Y521">
        <v>3829.6000000000004</v>
      </c>
      <c r="Z521">
        <v>3590.25</v>
      </c>
      <c r="AC521">
        <v>14892.888888888889</v>
      </c>
      <c r="AD521">
        <v>11169.666666666666</v>
      </c>
      <c r="AN521">
        <v>4</v>
      </c>
      <c r="AO521" t="s">
        <v>512</v>
      </c>
      <c r="AP521">
        <v>6.9</v>
      </c>
      <c r="AQ521">
        <v>1.03</v>
      </c>
      <c r="AR521">
        <v>14.997999999999999</v>
      </c>
    </row>
    <row r="522" spans="2:44">
      <c r="C522">
        <v>105</v>
      </c>
      <c r="D522">
        <v>0.3542928765406308</v>
      </c>
      <c r="E522">
        <v>0.16544808857321924</v>
      </c>
      <c r="F522">
        <v>9.6093586797576735E-2</v>
      </c>
      <c r="G522">
        <v>5.4313766450804275E-2</v>
      </c>
      <c r="H522">
        <v>2.8549543903627881E-2</v>
      </c>
      <c r="I522">
        <v>1.7756423647378294E-2</v>
      </c>
      <c r="J522">
        <v>0.19949864215583873</v>
      </c>
      <c r="K522">
        <v>0.29392103613954451</v>
      </c>
      <c r="L522">
        <v>0.34593691247127639</v>
      </c>
      <c r="M522">
        <v>0.38771673281804886</v>
      </c>
      <c r="N522">
        <v>0.42636306663881346</v>
      </c>
      <c r="O522">
        <v>0.44902861917693759</v>
      </c>
      <c r="P522">
        <v>0.95</v>
      </c>
      <c r="Q522">
        <v>0.95</v>
      </c>
      <c r="R522">
        <v>0.95</v>
      </c>
      <c r="S522">
        <v>0.95</v>
      </c>
      <c r="T522">
        <v>0.95</v>
      </c>
      <c r="U522">
        <v>0.95</v>
      </c>
      <c r="V522">
        <v>105</v>
      </c>
      <c r="Y522">
        <v>3829.6000000000004</v>
      </c>
      <c r="Z522">
        <v>3590.25</v>
      </c>
      <c r="AC522">
        <v>14892.888888888889</v>
      </c>
      <c r="AD522">
        <v>11169.666666666666</v>
      </c>
      <c r="AO522" t="s">
        <v>513</v>
      </c>
      <c r="AP522">
        <v>6</v>
      </c>
      <c r="AQ522">
        <v>1.1599999999999999</v>
      </c>
      <c r="AR522">
        <v>24.408500000000004</v>
      </c>
    </row>
    <row r="523" spans="2:44">
      <c r="C523">
        <v>115</v>
      </c>
      <c r="D523">
        <v>0.38938792563191971</v>
      </c>
      <c r="E523">
        <v>0.18550240233966986</v>
      </c>
      <c r="F523">
        <v>0.10862753290160865</v>
      </c>
      <c r="G523">
        <v>6.1834134113223305E-2</v>
      </c>
      <c r="H523">
        <v>3.2379360768748526E-2</v>
      </c>
      <c r="I523">
        <v>2.0889910173386411E-2</v>
      </c>
      <c r="J523">
        <v>0.20096093586797581</v>
      </c>
      <c r="K523">
        <v>0.30290369751410073</v>
      </c>
      <c r="L523">
        <v>0.36055984959264664</v>
      </c>
      <c r="M523">
        <v>0.40735324838103198</v>
      </c>
      <c r="N523">
        <v>0.4515354083977442</v>
      </c>
      <c r="O523">
        <v>0.47566325464800463</v>
      </c>
      <c r="P523">
        <v>0.95</v>
      </c>
      <c r="Q523">
        <v>0.95</v>
      </c>
      <c r="R523">
        <v>0.95</v>
      </c>
      <c r="S523">
        <v>0.95</v>
      </c>
      <c r="T523">
        <v>0.95</v>
      </c>
      <c r="U523">
        <v>0.95</v>
      </c>
      <c r="V523">
        <v>115</v>
      </c>
      <c r="Y523">
        <v>3829.6000000000004</v>
      </c>
      <c r="Z523">
        <v>3590.25</v>
      </c>
      <c r="AC523">
        <v>14892.888888888889</v>
      </c>
      <c r="AD523">
        <v>11169.666666666666</v>
      </c>
      <c r="AO523" t="s">
        <v>514</v>
      </c>
      <c r="AP523">
        <v>4.5</v>
      </c>
      <c r="AQ523">
        <v>1.5</v>
      </c>
      <c r="AR523">
        <v>46.355799999999995</v>
      </c>
    </row>
    <row r="524" spans="2:44">
      <c r="C524">
        <v>125</v>
      </c>
      <c r="D524">
        <v>0.42281178190933799</v>
      </c>
      <c r="E524">
        <v>0.20472111969918538</v>
      </c>
      <c r="F524">
        <v>0.12199707541257565</v>
      </c>
      <c r="G524">
        <v>6.9354501775642452E-2</v>
      </c>
      <c r="H524">
        <v>3.6905507972982386E-2</v>
      </c>
      <c r="I524">
        <v>2.3501148945059259E-2</v>
      </c>
      <c r="J524">
        <v>0.20179653227491112</v>
      </c>
      <c r="K524">
        <v>0.31084186337998743</v>
      </c>
      <c r="L524">
        <v>0.37288489659494473</v>
      </c>
      <c r="M524">
        <v>0.42552747023187792</v>
      </c>
      <c r="N524">
        <v>0.47420096093586805</v>
      </c>
      <c r="O524">
        <v>0.50235011489450665</v>
      </c>
      <c r="P524">
        <v>0.95</v>
      </c>
      <c r="Q524">
        <v>0.95</v>
      </c>
      <c r="R524">
        <v>0.95</v>
      </c>
      <c r="S524">
        <v>0.95</v>
      </c>
      <c r="T524">
        <v>0.95</v>
      </c>
      <c r="U524">
        <v>0.95</v>
      </c>
      <c r="V524">
        <v>125</v>
      </c>
      <c r="Y524">
        <v>3829.6000000000004</v>
      </c>
      <c r="Z524">
        <v>3590.25</v>
      </c>
      <c r="AC524">
        <v>14892.888888888889</v>
      </c>
      <c r="AD524">
        <v>11169.666666666666</v>
      </c>
      <c r="AO524" t="s">
        <v>515</v>
      </c>
      <c r="AP524">
        <v>2.7</v>
      </c>
      <c r="AQ524">
        <v>1.78</v>
      </c>
      <c r="AR524">
        <v>85.499300000000005</v>
      </c>
    </row>
    <row r="525" spans="2:44">
      <c r="C525">
        <v>135</v>
      </c>
      <c r="D525">
        <v>0.45540004177982052</v>
      </c>
      <c r="E525">
        <v>0.224775433465636</v>
      </c>
      <c r="F525">
        <v>0.13369542510967203</v>
      </c>
      <c r="G525">
        <v>7.6874869438061363E-2</v>
      </c>
      <c r="H525">
        <v>4.1431655177215886E-2</v>
      </c>
      <c r="I525">
        <v>2.6634635471067789E-2</v>
      </c>
      <c r="J525">
        <v>0.20179653227491118</v>
      </c>
      <c r="K525">
        <v>0.31710883643200344</v>
      </c>
      <c r="L525">
        <v>0.38541884269897642</v>
      </c>
      <c r="M525">
        <v>0.44223939837058707</v>
      </c>
      <c r="N525">
        <v>0.49540421976185534</v>
      </c>
      <c r="O525">
        <v>0.5264779611447663</v>
      </c>
      <c r="P525">
        <v>0.95</v>
      </c>
      <c r="Q525">
        <v>0.95</v>
      </c>
      <c r="R525">
        <v>0.95</v>
      </c>
      <c r="S525">
        <v>0.95</v>
      </c>
      <c r="T525">
        <v>0.95</v>
      </c>
      <c r="U525">
        <v>0.95</v>
      </c>
      <c r="V525">
        <v>135</v>
      </c>
      <c r="Y525">
        <v>3829.6000000000004</v>
      </c>
      <c r="Z525">
        <v>3590.25</v>
      </c>
      <c r="AC525">
        <v>14892.888888888889</v>
      </c>
      <c r="AD525">
        <v>11169.666666666666</v>
      </c>
      <c r="AN525">
        <v>5</v>
      </c>
      <c r="AO525" t="s">
        <v>512</v>
      </c>
      <c r="AP525">
        <v>6.9</v>
      </c>
      <c r="AQ525">
        <v>1.03</v>
      </c>
      <c r="AR525">
        <v>19.283200000000001</v>
      </c>
    </row>
    <row r="526" spans="2:44">
      <c r="C526">
        <v>145</v>
      </c>
      <c r="D526">
        <v>0.48548151242949644</v>
      </c>
      <c r="E526">
        <v>0.2439941508251513</v>
      </c>
      <c r="F526">
        <v>0.14706496762063948</v>
      </c>
      <c r="G526">
        <v>8.4395237100480511E-2</v>
      </c>
      <c r="H526">
        <v>4.5957802381449565E-2</v>
      </c>
      <c r="I526">
        <v>2.9245874242740919E-2</v>
      </c>
      <c r="J526">
        <v>0.20179653227491123</v>
      </c>
      <c r="K526">
        <v>0.3225402130770838</v>
      </c>
      <c r="L526">
        <v>0.39523710048046767</v>
      </c>
      <c r="M526">
        <v>0.45790683100062662</v>
      </c>
      <c r="N526">
        <v>0.51556298307917303</v>
      </c>
      <c r="O526">
        <v>0.55065803217046128</v>
      </c>
      <c r="P526">
        <v>0.95</v>
      </c>
      <c r="Q526">
        <v>0.95</v>
      </c>
      <c r="R526">
        <v>0.95</v>
      </c>
      <c r="S526">
        <v>0.95</v>
      </c>
      <c r="T526">
        <v>0.95</v>
      </c>
      <c r="U526">
        <v>0.95</v>
      </c>
      <c r="V526">
        <v>145</v>
      </c>
      <c r="Y526">
        <v>3829.6000000000004</v>
      </c>
      <c r="Z526">
        <v>3590.25</v>
      </c>
      <c r="AC526">
        <v>14892.888888888889</v>
      </c>
      <c r="AD526">
        <v>11169.666666666666</v>
      </c>
      <c r="AO526" t="s">
        <v>513</v>
      </c>
      <c r="AP526">
        <v>6</v>
      </c>
      <c r="AQ526">
        <v>1.1599999999999999</v>
      </c>
      <c r="AR526">
        <v>31.194499999999998</v>
      </c>
    </row>
    <row r="527" spans="2:44">
      <c r="C527">
        <v>155</v>
      </c>
      <c r="D527">
        <v>0.51556298307917303</v>
      </c>
      <c r="E527">
        <v>0.26237727177773129</v>
      </c>
      <c r="F527">
        <v>0.15959891372467094</v>
      </c>
      <c r="G527">
        <v>9.2333402966367079E-2</v>
      </c>
      <c r="H527">
        <v>5.0135784416127052E-2</v>
      </c>
      <c r="I527">
        <v>3.2379360768748894E-2</v>
      </c>
      <c r="J527">
        <v>0.2009609358679757</v>
      </c>
      <c r="K527">
        <v>0.32755379151869657</v>
      </c>
      <c r="L527">
        <v>0.40463756005849183</v>
      </c>
      <c r="M527">
        <v>0.47190307081679572</v>
      </c>
      <c r="N527">
        <v>0.53519949864215577</v>
      </c>
      <c r="O527">
        <v>0.57248798830164993</v>
      </c>
      <c r="P527">
        <v>0.95</v>
      </c>
      <c r="Q527">
        <v>0.95</v>
      </c>
      <c r="R527">
        <v>0.95</v>
      </c>
      <c r="S527">
        <v>0.95</v>
      </c>
      <c r="T527">
        <v>0.95</v>
      </c>
      <c r="U527">
        <v>0.95</v>
      </c>
      <c r="V527">
        <v>155</v>
      </c>
      <c r="Y527">
        <v>3829.6000000000004</v>
      </c>
      <c r="Z527">
        <v>3590.25</v>
      </c>
      <c r="AC527">
        <v>14892.888888888889</v>
      </c>
      <c r="AD527">
        <v>11169.666666666666</v>
      </c>
      <c r="AO527" t="s">
        <v>514</v>
      </c>
      <c r="AP527">
        <v>4.5</v>
      </c>
      <c r="AQ527">
        <v>1.27</v>
      </c>
      <c r="AR527">
        <v>59.212599999999995</v>
      </c>
    </row>
    <row r="528" spans="2:44">
      <c r="B528">
        <v>3</v>
      </c>
      <c r="C528">
        <v>15</v>
      </c>
      <c r="D528">
        <v>4.5957802381449753E-2</v>
      </c>
      <c r="E528">
        <v>1.6711928138709031E-2</v>
      </c>
      <c r="F528">
        <v>8.3559640693544601E-3</v>
      </c>
      <c r="G528">
        <v>4.5957802381449931E-3</v>
      </c>
      <c r="H528">
        <v>2.0889910173386038E-3</v>
      </c>
      <c r="I528">
        <v>1.5667432630039877E-3</v>
      </c>
      <c r="J528">
        <v>0.11907248798830167</v>
      </c>
      <c r="K528">
        <v>0.13369542510967203</v>
      </c>
      <c r="L528">
        <v>0.13996239816168796</v>
      </c>
      <c r="M528">
        <v>0.14372258199289742</v>
      </c>
      <c r="N528">
        <v>0.14748276582410702</v>
      </c>
      <c r="O528">
        <v>0.1485794861082097</v>
      </c>
      <c r="P528">
        <v>0.8</v>
      </c>
      <c r="Q528">
        <v>0.8</v>
      </c>
      <c r="R528">
        <v>0.8</v>
      </c>
      <c r="S528">
        <v>0.8</v>
      </c>
      <c r="T528">
        <v>0.8</v>
      </c>
      <c r="U528">
        <v>0.8</v>
      </c>
      <c r="AO528" t="s">
        <v>515</v>
      </c>
      <c r="AP528">
        <v>2.7</v>
      </c>
      <c r="AQ528">
        <v>1.48</v>
      </c>
      <c r="AR528">
        <v>106.9277</v>
      </c>
    </row>
    <row r="529" spans="2:44">
      <c r="C529">
        <v>25</v>
      </c>
      <c r="D529">
        <v>0.11029872571547938</v>
      </c>
      <c r="E529">
        <v>4.1779820346772523E-2</v>
      </c>
      <c r="F529">
        <v>2.2561102987257109E-2</v>
      </c>
      <c r="G529">
        <v>1.1698349697096256E-2</v>
      </c>
      <c r="H529">
        <v>5.9188078824594778E-3</v>
      </c>
      <c r="I529">
        <v>3.1334865260078367E-3</v>
      </c>
      <c r="J529">
        <v>0.16231460204721124</v>
      </c>
      <c r="K529">
        <v>0.19657405473156467</v>
      </c>
      <c r="L529">
        <v>0.21098809275120123</v>
      </c>
      <c r="M529">
        <v>0.22185084604136207</v>
      </c>
      <c r="N529">
        <v>0.23052015876331725</v>
      </c>
      <c r="O529">
        <v>0.23636933361186571</v>
      </c>
      <c r="P529">
        <v>0.8</v>
      </c>
      <c r="Q529">
        <v>0.85</v>
      </c>
      <c r="R529">
        <v>0.85</v>
      </c>
      <c r="S529">
        <v>0.85</v>
      </c>
      <c r="T529">
        <v>0.85</v>
      </c>
      <c r="U529">
        <v>0.85</v>
      </c>
      <c r="AN529">
        <v>6</v>
      </c>
      <c r="AO529" t="s">
        <v>512</v>
      </c>
      <c r="AP529">
        <v>6.9</v>
      </c>
      <c r="AQ529">
        <v>1.03</v>
      </c>
      <c r="AR529">
        <v>23.5684</v>
      </c>
    </row>
    <row r="530" spans="2:44">
      <c r="C530">
        <v>35</v>
      </c>
      <c r="D530">
        <v>0.13369542510967203</v>
      </c>
      <c r="E530">
        <v>0.12450386463338203</v>
      </c>
      <c r="F530">
        <v>4.0108627532901675E-2</v>
      </c>
      <c r="G530">
        <v>2.1725506580321664E-2</v>
      </c>
      <c r="H530">
        <v>1.0444955086693066E-2</v>
      </c>
      <c r="I530">
        <v>6.7892208063505205E-3</v>
      </c>
      <c r="J530">
        <v>0.20137873407144347</v>
      </c>
      <c r="K530">
        <v>0.20597451430958846</v>
      </c>
      <c r="L530">
        <v>0.26927094213494873</v>
      </c>
      <c r="M530">
        <v>0.28765406308752872</v>
      </c>
      <c r="N530">
        <v>0.30457489032797164</v>
      </c>
      <c r="O530">
        <v>0.31225193231669102</v>
      </c>
      <c r="P530">
        <v>0.85</v>
      </c>
      <c r="Q530">
        <v>0.85</v>
      </c>
      <c r="R530">
        <v>0.85</v>
      </c>
      <c r="S530">
        <v>0.85</v>
      </c>
      <c r="T530">
        <v>0.85</v>
      </c>
      <c r="U530">
        <v>0.85</v>
      </c>
      <c r="AO530" t="s">
        <v>513</v>
      </c>
      <c r="AP530">
        <v>6</v>
      </c>
      <c r="AQ530">
        <v>1.1599999999999999</v>
      </c>
      <c r="AR530">
        <v>37.980499999999999</v>
      </c>
    </row>
    <row r="531" spans="2:44">
      <c r="C531">
        <v>45</v>
      </c>
      <c r="D531">
        <v>0.26070607896386044</v>
      </c>
      <c r="E531">
        <v>0.1102987257154795</v>
      </c>
      <c r="F531">
        <v>6.0998537706287825E-2</v>
      </c>
      <c r="G531">
        <v>3.3006058073950156E-2</v>
      </c>
      <c r="H531">
        <v>1.6711928138709017E-2</v>
      </c>
      <c r="I531">
        <v>1.0444955086693205E-2</v>
      </c>
      <c r="J531">
        <v>0.20430332149571756</v>
      </c>
      <c r="K531">
        <v>0.27950699811990803</v>
      </c>
      <c r="L531">
        <v>0.31648213912680179</v>
      </c>
      <c r="M531">
        <v>0.34447461875913943</v>
      </c>
      <c r="N531">
        <v>0.36891581366200116</v>
      </c>
      <c r="O531">
        <v>0.38207645707123439</v>
      </c>
      <c r="P531">
        <v>0.92</v>
      </c>
      <c r="Q531">
        <v>0.92</v>
      </c>
      <c r="R531">
        <v>0.92</v>
      </c>
      <c r="S531">
        <v>0.92</v>
      </c>
      <c r="T531">
        <v>0.92</v>
      </c>
      <c r="U531">
        <v>0.92</v>
      </c>
      <c r="AO531" t="s">
        <v>514</v>
      </c>
      <c r="AP531">
        <v>4.5</v>
      </c>
      <c r="AQ531">
        <v>1.5</v>
      </c>
      <c r="AR531">
        <v>72.069399999999987</v>
      </c>
    </row>
    <row r="532" spans="2:44">
      <c r="C532">
        <v>55</v>
      </c>
      <c r="D532">
        <v>0.33590975558805081</v>
      </c>
      <c r="E532">
        <v>0.14873616043451032</v>
      </c>
      <c r="F532">
        <v>8.4395237100480358E-2</v>
      </c>
      <c r="G532">
        <v>4.5540004177982055E-2</v>
      </c>
      <c r="H532">
        <v>2.3675231529837727E-2</v>
      </c>
      <c r="I532">
        <v>1.4622937121370321E-2</v>
      </c>
      <c r="J532">
        <v>0.21307708376853984</v>
      </c>
      <c r="K532">
        <v>0.30666388134531009</v>
      </c>
      <c r="L532">
        <v>0.35491957384583256</v>
      </c>
      <c r="M532">
        <v>0.39377480676833088</v>
      </c>
      <c r="N532">
        <v>0.42657196574054734</v>
      </c>
      <c r="O532">
        <v>0.44558178399832893</v>
      </c>
      <c r="P532">
        <v>0.95</v>
      </c>
      <c r="Q532">
        <v>0.95</v>
      </c>
      <c r="R532">
        <v>0.95</v>
      </c>
      <c r="S532">
        <v>0.95</v>
      </c>
      <c r="T532">
        <v>0.95</v>
      </c>
      <c r="U532">
        <v>0.95</v>
      </c>
      <c r="AO532" t="s">
        <v>515</v>
      </c>
      <c r="AP532">
        <v>2.7</v>
      </c>
      <c r="AQ532">
        <v>1.78</v>
      </c>
      <c r="AR532">
        <v>128.3561</v>
      </c>
    </row>
    <row r="533" spans="2:44">
      <c r="C533">
        <v>65</v>
      </c>
      <c r="D533">
        <v>0.40944223939837054</v>
      </c>
      <c r="E533">
        <v>0.18800919156047646</v>
      </c>
      <c r="F533">
        <v>0.10779193649467289</v>
      </c>
      <c r="G533">
        <v>5.974514309588469E-2</v>
      </c>
      <c r="H533">
        <v>3.0986700090522817E-2</v>
      </c>
      <c r="I533">
        <v>1.9323166910382421E-2</v>
      </c>
      <c r="J533">
        <v>0.21662836849801548</v>
      </c>
      <c r="K533">
        <v>0.32734489241696252</v>
      </c>
      <c r="L533">
        <v>0.3875078337163152</v>
      </c>
      <c r="M533">
        <v>0.4355546271151034</v>
      </c>
      <c r="N533">
        <v>0.47869229162314619</v>
      </c>
      <c r="O533">
        <v>0.50318571130144107</v>
      </c>
      <c r="P533">
        <v>0.95</v>
      </c>
      <c r="Q533">
        <v>0.95</v>
      </c>
      <c r="R533">
        <v>0.95</v>
      </c>
      <c r="S533">
        <v>0.95</v>
      </c>
      <c r="T533">
        <v>0.95</v>
      </c>
      <c r="U533">
        <v>0.95</v>
      </c>
    </row>
    <row r="534" spans="2:44">
      <c r="C534">
        <v>75</v>
      </c>
      <c r="D534">
        <v>0.47963233758094836</v>
      </c>
      <c r="E534">
        <v>0.2272822226864426</v>
      </c>
      <c r="F534">
        <v>0.13202423229580118</v>
      </c>
      <c r="G534">
        <v>7.4368080217254981E-2</v>
      </c>
      <c r="H534">
        <v>3.8646333820764475E-2</v>
      </c>
      <c r="I534">
        <v>2.5067892208063526E-2</v>
      </c>
      <c r="J534">
        <v>0.21704616670148319</v>
      </c>
      <c r="K534">
        <v>0.34322122414873607</v>
      </c>
      <c r="L534">
        <v>0.41466471694171714</v>
      </c>
      <c r="M534">
        <v>0.47232086902026332</v>
      </c>
      <c r="N534">
        <v>0.52590348861499914</v>
      </c>
      <c r="O534">
        <v>0.55441821600167107</v>
      </c>
      <c r="P534">
        <v>0.95</v>
      </c>
      <c r="Q534">
        <v>0.95</v>
      </c>
      <c r="R534">
        <v>0.95</v>
      </c>
      <c r="S534">
        <v>0.95</v>
      </c>
      <c r="T534">
        <v>0.95</v>
      </c>
      <c r="U534">
        <v>0.95</v>
      </c>
    </row>
    <row r="535" spans="2:44">
      <c r="C535">
        <v>85</v>
      </c>
      <c r="D535">
        <v>0.49550866931272197</v>
      </c>
      <c r="E535">
        <v>0.26571965740547276</v>
      </c>
      <c r="F535">
        <v>0.14957175684144586</v>
      </c>
      <c r="G535">
        <v>9.3168999373302613E-2</v>
      </c>
      <c r="H535">
        <v>4.7350463059675454E-2</v>
      </c>
      <c r="I535">
        <v>2.9768121997075486E-2</v>
      </c>
      <c r="J535">
        <v>0.24044286609567583</v>
      </c>
      <c r="K535">
        <v>0.35533737204930044</v>
      </c>
      <c r="L535">
        <v>0.44244829747232062</v>
      </c>
      <c r="M535">
        <v>0.49885105494046389</v>
      </c>
      <c r="N535">
        <v>0.56757885941090458</v>
      </c>
      <c r="O535">
        <v>0.60450177564236451</v>
      </c>
      <c r="P535">
        <v>0.95</v>
      </c>
      <c r="Q535">
        <v>0.95</v>
      </c>
      <c r="R535">
        <v>0.95</v>
      </c>
      <c r="S535">
        <v>0.95</v>
      </c>
      <c r="T535">
        <v>0.95</v>
      </c>
      <c r="U535">
        <v>0.95</v>
      </c>
    </row>
    <row r="536" spans="2:44">
      <c r="C536">
        <v>95</v>
      </c>
      <c r="D536">
        <v>0.60664299143513678</v>
      </c>
      <c r="E536">
        <v>0.30499268853143935</v>
      </c>
      <c r="F536">
        <v>0.18216001671192839</v>
      </c>
      <c r="G536">
        <v>0.10444955086693132</v>
      </c>
      <c r="H536">
        <v>5.5706427129029873E-2</v>
      </c>
      <c r="I536">
        <v>3.6035095049091158E-2</v>
      </c>
      <c r="J536">
        <v>0.21265928556507208</v>
      </c>
      <c r="K536">
        <v>0.36348443701692079</v>
      </c>
      <c r="L536">
        <v>0.45560894088155401</v>
      </c>
      <c r="M536">
        <v>0.53331940672655109</v>
      </c>
      <c r="N536">
        <v>0.60643409233340329</v>
      </c>
      <c r="O536">
        <v>0.64774388970127461</v>
      </c>
      <c r="P536">
        <v>0.95</v>
      </c>
      <c r="Q536">
        <v>0.95</v>
      </c>
      <c r="R536">
        <v>0.95</v>
      </c>
      <c r="S536">
        <v>0.95</v>
      </c>
      <c r="T536">
        <v>0.95</v>
      </c>
      <c r="U536">
        <v>0.95</v>
      </c>
    </row>
    <row r="537" spans="2:44">
      <c r="C537">
        <v>105</v>
      </c>
      <c r="D537">
        <v>0.66346354710674715</v>
      </c>
      <c r="E537">
        <v>0.34259452684353464</v>
      </c>
      <c r="F537">
        <v>0.20722790891999177</v>
      </c>
      <c r="G537">
        <v>0.11990808439523704</v>
      </c>
      <c r="H537">
        <v>6.4758721537497232E-2</v>
      </c>
      <c r="I537">
        <v>4.1257572592437973E-2</v>
      </c>
      <c r="J537">
        <v>0.20910800083559655</v>
      </c>
      <c r="K537">
        <v>0.36954251096720281</v>
      </c>
      <c r="L537">
        <v>0.47106747440985997</v>
      </c>
      <c r="M537">
        <v>0.5583872989346147</v>
      </c>
      <c r="N537">
        <v>0.64111134322122443</v>
      </c>
      <c r="O537">
        <v>0.69046375600584886</v>
      </c>
      <c r="P537">
        <v>0.95</v>
      </c>
      <c r="Q537">
        <v>0.95</v>
      </c>
      <c r="R537">
        <v>0.95</v>
      </c>
      <c r="S537">
        <v>0.95</v>
      </c>
      <c r="T537">
        <v>0.95</v>
      </c>
      <c r="U537">
        <v>0.95</v>
      </c>
    </row>
    <row r="538" spans="2:44">
      <c r="C538">
        <v>115</v>
      </c>
      <c r="D538">
        <v>0.71694171715061628</v>
      </c>
      <c r="E538">
        <v>0.37936076874869462</v>
      </c>
      <c r="F538">
        <v>0.23229580112805515</v>
      </c>
      <c r="G538">
        <v>0.13536661792354299</v>
      </c>
      <c r="H538">
        <v>7.3811015945964592E-2</v>
      </c>
      <c r="I538">
        <v>4.7524545644453645E-2</v>
      </c>
      <c r="J538">
        <v>0.20472111969918527</v>
      </c>
      <c r="K538">
        <v>0.3735115939001461</v>
      </c>
      <c r="L538">
        <v>0.48381031961562571</v>
      </c>
      <c r="M538">
        <v>0.58073950282013787</v>
      </c>
      <c r="N538">
        <v>0.67307290578650547</v>
      </c>
      <c r="O538">
        <v>0.72827449341967854</v>
      </c>
      <c r="P538">
        <v>0.95</v>
      </c>
      <c r="Q538">
        <v>0.95</v>
      </c>
      <c r="R538">
        <v>0.95</v>
      </c>
      <c r="S538">
        <v>0.95</v>
      </c>
      <c r="T538">
        <v>0.95</v>
      </c>
      <c r="U538">
        <v>0.95</v>
      </c>
    </row>
    <row r="539" spans="2:44">
      <c r="C539">
        <v>125</v>
      </c>
      <c r="D539">
        <v>0.76791309797367835</v>
      </c>
      <c r="E539">
        <v>0.41362022143304822</v>
      </c>
      <c r="F539">
        <v>0.25736369333611853</v>
      </c>
      <c r="G539">
        <v>0.15124294965531634</v>
      </c>
      <c r="H539">
        <v>8.2515145184875752E-2</v>
      </c>
      <c r="I539">
        <v>5.3791518696469594E-2</v>
      </c>
      <c r="J539">
        <v>0.19970754125757273</v>
      </c>
      <c r="K539">
        <v>0.37685397952788779</v>
      </c>
      <c r="L539">
        <v>0.49404637560058506</v>
      </c>
      <c r="M539">
        <v>0.60016711928138722</v>
      </c>
      <c r="N539">
        <v>0.70325882598704814</v>
      </c>
      <c r="O539">
        <v>0.76357844161270116</v>
      </c>
      <c r="P539">
        <v>0.95</v>
      </c>
      <c r="Q539">
        <v>0.95</v>
      </c>
      <c r="R539">
        <v>0.95</v>
      </c>
      <c r="S539">
        <v>0.95</v>
      </c>
      <c r="T539">
        <v>0.95</v>
      </c>
      <c r="U539">
        <v>0.95</v>
      </c>
    </row>
    <row r="540" spans="2:44">
      <c r="C540">
        <v>135</v>
      </c>
      <c r="D540">
        <v>0.81470649676206408</v>
      </c>
      <c r="E540">
        <v>0.44787967411740093</v>
      </c>
      <c r="F540">
        <v>0.28076039273031128</v>
      </c>
      <c r="G540">
        <v>0.16711928138708995</v>
      </c>
      <c r="H540">
        <v>9.1915604762899492E-2</v>
      </c>
      <c r="I540">
        <v>5.9536243994150417E-2</v>
      </c>
      <c r="J540">
        <v>0.19469396281595985</v>
      </c>
      <c r="K540">
        <v>0.37810737413829143</v>
      </c>
      <c r="L540">
        <v>0.50344683517860866</v>
      </c>
      <c r="M540">
        <v>0.61708794652182997</v>
      </c>
      <c r="N540">
        <v>0.72989346145811573</v>
      </c>
      <c r="O540">
        <v>0.79789011907248875</v>
      </c>
      <c r="P540">
        <v>0.95</v>
      </c>
      <c r="Q540">
        <v>0.95</v>
      </c>
      <c r="R540">
        <v>0.95</v>
      </c>
      <c r="S540">
        <v>0.95</v>
      </c>
      <c r="T540">
        <v>0.95</v>
      </c>
      <c r="U540">
        <v>0.95</v>
      </c>
    </row>
    <row r="541" spans="2:44">
      <c r="C541">
        <v>145</v>
      </c>
      <c r="D541">
        <v>0.85815750992270701</v>
      </c>
      <c r="E541">
        <v>0.48130353039481966</v>
      </c>
      <c r="F541">
        <v>0.30499268853143935</v>
      </c>
      <c r="G541">
        <v>0.18216001671192822</v>
      </c>
      <c r="H541">
        <v>0.10131606434092305</v>
      </c>
      <c r="I541">
        <v>6.5803217046166651E-2</v>
      </c>
      <c r="J541">
        <v>0.18968038437434731</v>
      </c>
      <c r="K541">
        <v>0.37810737413829099</v>
      </c>
      <c r="L541">
        <v>0.51034050553582622</v>
      </c>
      <c r="M541">
        <v>0.63317317735533729</v>
      </c>
      <c r="N541">
        <v>0.75443910591184515</v>
      </c>
      <c r="O541">
        <v>0.82901608523083359</v>
      </c>
      <c r="P541">
        <v>0.95</v>
      </c>
      <c r="Q541">
        <v>0.95</v>
      </c>
      <c r="R541">
        <v>0.95</v>
      </c>
      <c r="S541">
        <v>0.95</v>
      </c>
      <c r="T541">
        <v>0.95</v>
      </c>
      <c r="U541">
        <v>0.95</v>
      </c>
    </row>
    <row r="542" spans="2:44">
      <c r="C542">
        <v>155</v>
      </c>
      <c r="D542">
        <v>0.89826613745560935</v>
      </c>
      <c r="E542">
        <v>0.51305619385836598</v>
      </c>
      <c r="F542">
        <v>0.3283893879256321</v>
      </c>
      <c r="G542">
        <v>0.19761855024023373</v>
      </c>
      <c r="H542">
        <v>0.11071652391894699</v>
      </c>
      <c r="I542">
        <v>7.2070190098182871E-2</v>
      </c>
      <c r="J542">
        <v>0.18487570503446826</v>
      </c>
      <c r="K542">
        <v>0.37748067683308995</v>
      </c>
      <c r="L542">
        <v>0.51598078128264036</v>
      </c>
      <c r="M542">
        <v>0.64675161896803868</v>
      </c>
      <c r="N542">
        <v>0.7771046584499689</v>
      </c>
      <c r="O542">
        <v>0.85826195947357353</v>
      </c>
      <c r="P542">
        <v>0.95</v>
      </c>
      <c r="Q542">
        <v>0.95</v>
      </c>
      <c r="R542">
        <v>0.95</v>
      </c>
      <c r="S542">
        <v>0.95</v>
      </c>
      <c r="T542">
        <v>0.95</v>
      </c>
      <c r="U542">
        <v>0.95</v>
      </c>
    </row>
    <row r="543" spans="2:44">
      <c r="B543">
        <v>4</v>
      </c>
      <c r="C543">
        <v>15</v>
      </c>
      <c r="D543">
        <v>8.1888447879674198E-2</v>
      </c>
      <c r="E543">
        <v>3.0917067056611569E-2</v>
      </c>
      <c r="F543">
        <v>1.6711928138709031E-2</v>
      </c>
      <c r="G543">
        <v>8.3559640693545087E-3</v>
      </c>
      <c r="H543">
        <v>3.8298168651208276E-3</v>
      </c>
      <c r="I543">
        <v>2.6112387716732666E-3</v>
      </c>
      <c r="J543">
        <v>0.1516607478587842</v>
      </c>
      <c r="K543">
        <v>0.17714643827031551</v>
      </c>
      <c r="L543">
        <v>0.18780029245874241</v>
      </c>
      <c r="M543">
        <v>0.19615625652809693</v>
      </c>
      <c r="N543">
        <v>0.20294547733444745</v>
      </c>
      <c r="O543">
        <v>0.20550449133068735</v>
      </c>
      <c r="P543">
        <v>0.8</v>
      </c>
      <c r="Q543">
        <v>0.8</v>
      </c>
      <c r="R543">
        <v>0.8</v>
      </c>
      <c r="S543">
        <v>0.8</v>
      </c>
      <c r="T543">
        <v>0.8</v>
      </c>
      <c r="U543">
        <v>0.8</v>
      </c>
    </row>
    <row r="544" spans="2:44">
      <c r="C544">
        <v>25</v>
      </c>
      <c r="D544">
        <v>0.18800919156047635</v>
      </c>
      <c r="E544">
        <v>7.5203676624190585E-2</v>
      </c>
      <c r="F544">
        <v>4.0944223939836988E-2</v>
      </c>
      <c r="G544">
        <v>2.13077083768539E-2</v>
      </c>
      <c r="H544">
        <v>1.0793120256249631E-2</v>
      </c>
      <c r="I544">
        <v>6.2669730520158121E-3</v>
      </c>
      <c r="J544">
        <v>0.19573845832462916</v>
      </c>
      <c r="K544">
        <v>0.25214121579277204</v>
      </c>
      <c r="L544">
        <v>0.27783580530603724</v>
      </c>
      <c r="M544">
        <v>0.29747232086902031</v>
      </c>
      <c r="N544">
        <v>0.31324420304992673</v>
      </c>
      <c r="O544">
        <v>0.32274911217881774</v>
      </c>
      <c r="P544">
        <v>0.8</v>
      </c>
      <c r="Q544">
        <v>0.85</v>
      </c>
      <c r="R544">
        <v>0.85</v>
      </c>
      <c r="S544">
        <v>0.85</v>
      </c>
      <c r="T544">
        <v>0.85</v>
      </c>
      <c r="U544">
        <v>0.85</v>
      </c>
    </row>
    <row r="545" spans="2:21">
      <c r="C545">
        <v>35</v>
      </c>
      <c r="D545">
        <v>0.30415709212450404</v>
      </c>
      <c r="E545">
        <v>0.1295174430749948</v>
      </c>
      <c r="F545">
        <v>7.1861290996448668E-2</v>
      </c>
      <c r="G545">
        <v>3.8437434719030793E-2</v>
      </c>
      <c r="H545">
        <v>1.9497249495160334E-2</v>
      </c>
      <c r="I545">
        <v>1.2533946104031902E-2</v>
      </c>
      <c r="J545">
        <v>0.21621057029454765</v>
      </c>
      <c r="K545">
        <v>0.30353039481930227</v>
      </c>
      <c r="L545">
        <v>0.34677250887821187</v>
      </c>
      <c r="M545">
        <v>0.38019636515562977</v>
      </c>
      <c r="N545">
        <v>0.40860664299143545</v>
      </c>
      <c r="O545">
        <v>0.42322958011280515</v>
      </c>
      <c r="P545">
        <v>0.85</v>
      </c>
      <c r="Q545">
        <v>0.85</v>
      </c>
      <c r="R545">
        <v>0.85</v>
      </c>
      <c r="S545">
        <v>0.85</v>
      </c>
      <c r="T545">
        <v>0.85</v>
      </c>
      <c r="U545">
        <v>0.85</v>
      </c>
    </row>
    <row r="546" spans="2:21">
      <c r="C546">
        <v>45</v>
      </c>
      <c r="D546">
        <v>0.41863379987466054</v>
      </c>
      <c r="E546">
        <v>0.188844787967412</v>
      </c>
      <c r="F546">
        <v>0.10695634008773758</v>
      </c>
      <c r="G546">
        <v>5.8491748485481616E-2</v>
      </c>
      <c r="H546">
        <v>2.9942204581853493E-2</v>
      </c>
      <c r="I546">
        <v>1.8800919156047573E-2</v>
      </c>
      <c r="J546">
        <v>0.22352203885523292</v>
      </c>
      <c r="K546">
        <v>0.33841654480885719</v>
      </c>
      <c r="L546">
        <v>0.399832880718613</v>
      </c>
      <c r="M546">
        <v>0.44829747232086897</v>
      </c>
      <c r="N546">
        <v>0.49112178817631114</v>
      </c>
      <c r="O546">
        <v>0.51451848757050356</v>
      </c>
      <c r="P546">
        <v>0.92</v>
      </c>
      <c r="Q546">
        <v>0.92</v>
      </c>
      <c r="R546">
        <v>0.92</v>
      </c>
      <c r="S546">
        <v>0.92</v>
      </c>
      <c r="T546">
        <v>0.92</v>
      </c>
      <c r="U546">
        <v>0.92</v>
      </c>
    </row>
    <row r="547" spans="2:21">
      <c r="C547">
        <v>55</v>
      </c>
      <c r="D547">
        <v>0.52726133277626941</v>
      </c>
      <c r="E547">
        <v>0.24900772926676384</v>
      </c>
      <c r="F547">
        <v>0.14455817839983309</v>
      </c>
      <c r="G547">
        <v>8.0217255065803059E-2</v>
      </c>
      <c r="H547">
        <v>4.2127985516329014E-2</v>
      </c>
      <c r="I547">
        <v>2.6112387716732664E-2</v>
      </c>
      <c r="J547">
        <v>0.2231042406517651</v>
      </c>
      <c r="K547">
        <v>0.36223104240651788</v>
      </c>
      <c r="L547">
        <v>0.44056820555671594</v>
      </c>
      <c r="M547">
        <v>0.50490912889074602</v>
      </c>
      <c r="N547">
        <v>0.56204303321495708</v>
      </c>
      <c r="O547">
        <v>0.59567578859410941</v>
      </c>
      <c r="P547">
        <v>0.95</v>
      </c>
      <c r="Q547">
        <v>0.95</v>
      </c>
      <c r="R547">
        <v>0.95</v>
      </c>
      <c r="S547">
        <v>0.95</v>
      </c>
      <c r="T547">
        <v>0.95</v>
      </c>
      <c r="U547">
        <v>0.95</v>
      </c>
    </row>
    <row r="548" spans="2:21">
      <c r="C548">
        <v>65</v>
      </c>
      <c r="D548">
        <v>0.62753290160852337</v>
      </c>
      <c r="E548">
        <v>0.31000626697305167</v>
      </c>
      <c r="F548">
        <v>0.1829956131188637</v>
      </c>
      <c r="G548">
        <v>0.10361395445999579</v>
      </c>
      <c r="H548">
        <v>5.4661931620360732E-2</v>
      </c>
      <c r="I548">
        <v>3.4990599540422024E-2</v>
      </c>
      <c r="J548">
        <v>0.21829956131188633</v>
      </c>
      <c r="K548">
        <v>0.37706287862962218</v>
      </c>
      <c r="L548">
        <v>0.47232086902026316</v>
      </c>
      <c r="M548">
        <v>0.55170252767913108</v>
      </c>
      <c r="N548">
        <v>0.62513056193858363</v>
      </c>
      <c r="O548">
        <v>0.66644035930645495</v>
      </c>
      <c r="P548">
        <v>0.95</v>
      </c>
      <c r="Q548">
        <v>0.95</v>
      </c>
      <c r="R548">
        <v>0.95</v>
      </c>
      <c r="S548">
        <v>0.95</v>
      </c>
      <c r="T548">
        <v>0.95</v>
      </c>
      <c r="U548">
        <v>0.95</v>
      </c>
    </row>
    <row r="549" spans="2:21">
      <c r="C549">
        <v>75</v>
      </c>
      <c r="D549">
        <v>0.7186129099644869</v>
      </c>
      <c r="E549">
        <v>0.36933361186546909</v>
      </c>
      <c r="F549">
        <v>0.223</v>
      </c>
      <c r="G549">
        <v>0.12742845205765618</v>
      </c>
      <c r="H549">
        <v>6.8240373233061591E-2</v>
      </c>
      <c r="I549">
        <v>4.3346563609776526E-2</v>
      </c>
      <c r="J549">
        <v>0.21140589095466888</v>
      </c>
      <c r="K549">
        <v>0.3860455400041779</v>
      </c>
      <c r="L549">
        <v>0.49571756841445569</v>
      </c>
      <c r="M549">
        <v>0.59139335700856488</v>
      </c>
      <c r="N549">
        <v>0.68017547524545674</v>
      </c>
      <c r="O549">
        <v>0.73245247545435543</v>
      </c>
      <c r="P549">
        <v>0.95</v>
      </c>
      <c r="Q549">
        <v>0.95</v>
      </c>
      <c r="R549">
        <v>0.95</v>
      </c>
      <c r="S549">
        <v>0.95</v>
      </c>
      <c r="T549">
        <v>0.95</v>
      </c>
      <c r="U549">
        <v>0.95</v>
      </c>
    </row>
    <row r="550" spans="2:21">
      <c r="C550">
        <v>85</v>
      </c>
      <c r="D550">
        <v>0.80300814706496748</v>
      </c>
      <c r="E550">
        <v>0.42615416753707969</v>
      </c>
      <c r="F550">
        <v>0.26237727177773129</v>
      </c>
      <c r="G550">
        <v>0.15207854606225188</v>
      </c>
      <c r="H550">
        <v>8.1818814845762811E-2</v>
      </c>
      <c r="I550">
        <v>5.3269270942135023E-2</v>
      </c>
      <c r="J550">
        <v>0.20263212868184677</v>
      </c>
      <c r="K550">
        <v>0.39105911844579067</v>
      </c>
      <c r="L550">
        <v>0.51389179026530196</v>
      </c>
      <c r="M550">
        <v>0.62419051598078135</v>
      </c>
      <c r="N550">
        <v>0.72958011280551505</v>
      </c>
      <c r="O550">
        <v>0.7895341550031334</v>
      </c>
      <c r="P550">
        <v>0.95</v>
      </c>
      <c r="Q550">
        <v>0.95</v>
      </c>
      <c r="R550">
        <v>0.95</v>
      </c>
      <c r="S550">
        <v>0.95</v>
      </c>
      <c r="T550">
        <v>0.95</v>
      </c>
      <c r="U550">
        <v>0.95</v>
      </c>
    </row>
    <row r="551" spans="2:21">
      <c r="C551">
        <v>95</v>
      </c>
      <c r="D551">
        <v>0.87821182368915851</v>
      </c>
      <c r="E551">
        <v>0.48213912680175453</v>
      </c>
      <c r="F551">
        <v>0.29997911008982658</v>
      </c>
      <c r="G551">
        <v>0.17672864006684735</v>
      </c>
      <c r="H551">
        <v>9.6789917136689746E-2</v>
      </c>
      <c r="I551">
        <v>6.2147482765824102E-2</v>
      </c>
      <c r="J551">
        <v>0.19385836640902432</v>
      </c>
      <c r="K551">
        <v>0.39189471485272631</v>
      </c>
      <c r="L551">
        <v>0.52851472738667227</v>
      </c>
      <c r="M551">
        <v>0.65176519740965144</v>
      </c>
      <c r="N551">
        <v>0.77167328180488792</v>
      </c>
      <c r="O551">
        <v>0.84442239398370589</v>
      </c>
      <c r="P551">
        <v>0.95</v>
      </c>
      <c r="Q551">
        <v>0.95</v>
      </c>
      <c r="R551">
        <v>0.95</v>
      </c>
      <c r="S551">
        <v>0.95</v>
      </c>
      <c r="T551">
        <v>0.95</v>
      </c>
      <c r="U551">
        <v>0.95</v>
      </c>
    </row>
    <row r="552" spans="2:21">
      <c r="C552">
        <v>105</v>
      </c>
      <c r="D552">
        <v>0.94756632546480035</v>
      </c>
      <c r="E552">
        <v>0.53478170043868856</v>
      </c>
      <c r="F552">
        <v>0.33841654480885719</v>
      </c>
      <c r="G552">
        <v>0.20137873407144352</v>
      </c>
      <c r="H552">
        <v>0.11106468908850317</v>
      </c>
      <c r="I552">
        <v>7.2592437852517164E-2</v>
      </c>
      <c r="J552">
        <v>0.18445790683100061</v>
      </c>
      <c r="K552">
        <v>0.3908502193440565</v>
      </c>
      <c r="L552">
        <v>0.53812408606643003</v>
      </c>
      <c r="M552">
        <v>0.67516189680384375</v>
      </c>
      <c r="N552">
        <v>0.81063296427825426</v>
      </c>
      <c r="O552">
        <v>0.89142469187382489</v>
      </c>
      <c r="P552">
        <v>0.95</v>
      </c>
      <c r="Q552">
        <v>0.95</v>
      </c>
      <c r="R552">
        <v>0.95</v>
      </c>
      <c r="S552">
        <v>0.95</v>
      </c>
      <c r="T552">
        <v>0.95</v>
      </c>
      <c r="U552">
        <v>0.95</v>
      </c>
    </row>
    <row r="553" spans="2:21">
      <c r="C553">
        <v>115</v>
      </c>
      <c r="D553">
        <v>1.0094004595780239</v>
      </c>
      <c r="E553">
        <v>0.58491748485481487</v>
      </c>
      <c r="F553">
        <v>0.37601838312095248</v>
      </c>
      <c r="G553">
        <v>0.22602882807603944</v>
      </c>
      <c r="H553">
        <v>0.12568762620987337</v>
      </c>
      <c r="I553">
        <v>8.2515145184875946E-2</v>
      </c>
      <c r="J553">
        <v>0.17568414455817838</v>
      </c>
      <c r="K553">
        <v>0.38792563191978291</v>
      </c>
      <c r="L553">
        <v>0.5445999582201797</v>
      </c>
      <c r="M553">
        <v>0.69458951326509277</v>
      </c>
      <c r="N553">
        <v>0.84510131606434191</v>
      </c>
      <c r="O553">
        <v>0.93576352621683645</v>
      </c>
      <c r="P553">
        <v>0.95</v>
      </c>
      <c r="Q553">
        <v>0.95</v>
      </c>
      <c r="R553">
        <v>0.95</v>
      </c>
      <c r="S553">
        <v>0.95</v>
      </c>
      <c r="T553">
        <v>0.95</v>
      </c>
      <c r="U553">
        <v>0.95</v>
      </c>
    </row>
    <row r="554" spans="2:21">
      <c r="C554">
        <v>125</v>
      </c>
      <c r="D554">
        <v>1.0653854188426988</v>
      </c>
      <c r="E554">
        <v>0.6325464800501357</v>
      </c>
      <c r="F554">
        <v>0.41194902861917715</v>
      </c>
      <c r="G554">
        <v>0.25067892208063491</v>
      </c>
      <c r="H554">
        <v>0.14065872850080047</v>
      </c>
      <c r="I554">
        <v>9.2437852517234159E-2</v>
      </c>
      <c r="J554">
        <v>0.16732818048882392</v>
      </c>
      <c r="K554">
        <v>0.38374764988510546</v>
      </c>
      <c r="L554">
        <v>0.54919573845832437</v>
      </c>
      <c r="M554">
        <v>0.7104658449968666</v>
      </c>
      <c r="N554">
        <v>0.8754961353666183</v>
      </c>
      <c r="O554">
        <v>0.97675997493210764</v>
      </c>
      <c r="P554">
        <v>0.95</v>
      </c>
      <c r="Q554">
        <v>0.95</v>
      </c>
      <c r="R554">
        <v>0.95</v>
      </c>
      <c r="S554">
        <v>0.95</v>
      </c>
      <c r="T554">
        <v>0.95</v>
      </c>
      <c r="U554">
        <v>0.95</v>
      </c>
    </row>
    <row r="555" spans="2:21">
      <c r="C555">
        <v>135</v>
      </c>
      <c r="D555">
        <v>1.1163567996657613</v>
      </c>
      <c r="E555">
        <v>0.67850428243158545</v>
      </c>
      <c r="F555">
        <v>0.44704407771046606</v>
      </c>
      <c r="G555">
        <v>0.2744934196782951</v>
      </c>
      <c r="H555">
        <v>0.1556298307917276</v>
      </c>
      <c r="I555">
        <v>0.10288280760392667</v>
      </c>
      <c r="J555">
        <v>0.15918111552120329</v>
      </c>
      <c r="K555">
        <v>0.37810737413829121</v>
      </c>
      <c r="L555">
        <v>0.55170252767913075</v>
      </c>
      <c r="M555">
        <v>0.72425318571130171</v>
      </c>
      <c r="N555">
        <v>0.90254856904115299</v>
      </c>
      <c r="O555">
        <v>1.013317317735535</v>
      </c>
      <c r="P555">
        <v>0.95</v>
      </c>
      <c r="Q555">
        <v>0.95</v>
      </c>
      <c r="R555">
        <v>0.95</v>
      </c>
      <c r="S555">
        <v>0.95</v>
      </c>
      <c r="T555">
        <v>0.95</v>
      </c>
      <c r="U555">
        <v>0.95</v>
      </c>
    </row>
    <row r="556" spans="2:21">
      <c r="C556">
        <v>145</v>
      </c>
      <c r="D556">
        <v>1.1639857948610821</v>
      </c>
      <c r="E556">
        <v>0.72111969918529351</v>
      </c>
      <c r="F556">
        <v>0.48130353039481921</v>
      </c>
      <c r="G556">
        <v>0.29830791727595568</v>
      </c>
      <c r="H556">
        <v>0.17060093308265398</v>
      </c>
      <c r="I556">
        <v>0.1133277626906203</v>
      </c>
      <c r="J556">
        <v>0.15103405055358254</v>
      </c>
      <c r="K556">
        <v>0.37246709839147685</v>
      </c>
      <c r="L556">
        <v>0.55232922498433257</v>
      </c>
      <c r="M556">
        <v>0.73532483810319604</v>
      </c>
      <c r="N556">
        <v>0.9268853143931487</v>
      </c>
      <c r="O556">
        <v>1.0471589722164194</v>
      </c>
      <c r="P556">
        <v>0.95</v>
      </c>
      <c r="Q556">
        <v>0.95</v>
      </c>
      <c r="R556">
        <v>0.95</v>
      </c>
      <c r="S556">
        <v>0.95</v>
      </c>
      <c r="T556">
        <v>0.95</v>
      </c>
      <c r="U556">
        <v>0.95</v>
      </c>
    </row>
    <row r="557" spans="2:21">
      <c r="C557">
        <v>155</v>
      </c>
      <c r="D557">
        <v>1.2066012116147899</v>
      </c>
      <c r="E557">
        <v>0.76206392312513094</v>
      </c>
      <c r="F557">
        <v>0.51389179026530174</v>
      </c>
      <c r="G557">
        <v>0.32170461667014799</v>
      </c>
      <c r="H557">
        <v>0.1852238702040245</v>
      </c>
      <c r="I557">
        <v>0.12377271777731391</v>
      </c>
      <c r="J557">
        <v>0.14372258199289745</v>
      </c>
      <c r="K557">
        <v>0.36599122623772695</v>
      </c>
      <c r="L557">
        <v>0.55212032588259885</v>
      </c>
      <c r="M557">
        <v>0.74430749947775254</v>
      </c>
      <c r="N557">
        <v>0.94902861917693793</v>
      </c>
      <c r="O557">
        <v>1.0780760392730302</v>
      </c>
      <c r="P557">
        <v>0.95</v>
      </c>
      <c r="Q557">
        <v>0.95</v>
      </c>
      <c r="R557">
        <v>0.95</v>
      </c>
      <c r="S557">
        <v>0.95</v>
      </c>
      <c r="T557">
        <v>0.95</v>
      </c>
      <c r="U557">
        <v>0.95</v>
      </c>
    </row>
    <row r="558" spans="2:21">
      <c r="B558">
        <v>5</v>
      </c>
      <c r="C558">
        <v>15</v>
      </c>
      <c r="D558">
        <v>0.12617505744725288</v>
      </c>
      <c r="E558">
        <v>4.8464591602256246E-2</v>
      </c>
      <c r="F558">
        <v>2.506789220806338E-2</v>
      </c>
      <c r="G558">
        <v>1.3369542510967102E-2</v>
      </c>
      <c r="H558">
        <v>6.6151382215724232E-3</v>
      </c>
      <c r="I558">
        <v>4.1779820346772543E-3</v>
      </c>
      <c r="J558">
        <v>0.17714643827031548</v>
      </c>
      <c r="K558">
        <v>0.2160016711928138</v>
      </c>
      <c r="L558">
        <v>0.23354919573845845</v>
      </c>
      <c r="M558">
        <v>0.24524754543555471</v>
      </c>
      <c r="N558">
        <v>0.25537915186964677</v>
      </c>
      <c r="O558">
        <v>0.26049717986212662</v>
      </c>
      <c r="P558">
        <v>0.8</v>
      </c>
      <c r="Q558">
        <v>0.8</v>
      </c>
      <c r="R558">
        <v>0.8</v>
      </c>
      <c r="S558">
        <v>0.8</v>
      </c>
      <c r="T558">
        <v>0.8</v>
      </c>
      <c r="U558">
        <v>0.8</v>
      </c>
    </row>
    <row r="559" spans="2:21">
      <c r="C559">
        <v>25</v>
      </c>
      <c r="D559">
        <v>0.27658241069563383</v>
      </c>
      <c r="E559">
        <v>0.11531230415709226</v>
      </c>
      <c r="F559">
        <v>6.3505326927094208E-2</v>
      </c>
      <c r="G559">
        <v>3.3423856277417924E-2</v>
      </c>
      <c r="H559">
        <v>1.7060093308265488E-2</v>
      </c>
      <c r="I559">
        <v>1.0444955086693066E-2</v>
      </c>
      <c r="J559">
        <v>0.21662836849801553</v>
      </c>
      <c r="K559">
        <v>0.29726342176728632</v>
      </c>
      <c r="L559">
        <v>0.33611865468978486</v>
      </c>
      <c r="M559">
        <v>0.36620012533946111</v>
      </c>
      <c r="N559">
        <v>0.39074576979318981</v>
      </c>
      <c r="O559">
        <v>0.40463756005849189</v>
      </c>
      <c r="P559">
        <v>0.8</v>
      </c>
      <c r="Q559">
        <v>0.85</v>
      </c>
      <c r="R559">
        <v>0.85</v>
      </c>
      <c r="S559">
        <v>0.85</v>
      </c>
      <c r="T559">
        <v>0.85</v>
      </c>
      <c r="U559">
        <v>0.85</v>
      </c>
    </row>
    <row r="560" spans="2:21">
      <c r="C560">
        <v>35</v>
      </c>
      <c r="D560">
        <v>0.4328389387925633</v>
      </c>
      <c r="E560">
        <v>0.19469396281595985</v>
      </c>
      <c r="F560">
        <v>0.10946312930854396</v>
      </c>
      <c r="G560">
        <v>5.9745143095884801E-2</v>
      </c>
      <c r="H560">
        <v>3.0638534920966253E-2</v>
      </c>
      <c r="I560">
        <v>1.8800919156047573E-2</v>
      </c>
      <c r="J560">
        <v>0.22790891999164403</v>
      </c>
      <c r="K560">
        <v>0.34698140797994576</v>
      </c>
      <c r="L560">
        <v>0.41090453311050767</v>
      </c>
      <c r="M560">
        <v>0.46062251932316683</v>
      </c>
      <c r="N560">
        <v>0.50428243158554464</v>
      </c>
      <c r="O560">
        <v>0.52914142469187386</v>
      </c>
      <c r="P560">
        <v>0.85</v>
      </c>
      <c r="Q560">
        <v>0.85</v>
      </c>
      <c r="R560">
        <v>0.85</v>
      </c>
      <c r="S560">
        <v>0.85</v>
      </c>
      <c r="T560">
        <v>0.85</v>
      </c>
      <c r="U560">
        <v>0.85</v>
      </c>
    </row>
    <row r="561" spans="2:21">
      <c r="C561">
        <v>45</v>
      </c>
      <c r="D561">
        <v>0.58073950282013809</v>
      </c>
      <c r="E561">
        <v>0.27741800710256959</v>
      </c>
      <c r="F561">
        <v>0.16127010653854157</v>
      </c>
      <c r="G561">
        <v>8.940881554209304E-2</v>
      </c>
      <c r="H561">
        <v>4.6654132720562506E-2</v>
      </c>
      <c r="I561">
        <v>2.9245874242740919E-2</v>
      </c>
      <c r="J561">
        <v>0.22498433256736994</v>
      </c>
      <c r="K561">
        <v>0.37664508042615419</v>
      </c>
      <c r="L561">
        <v>0.4637560058491752</v>
      </c>
      <c r="M561">
        <v>0.53561729684562376</v>
      </c>
      <c r="N561">
        <v>0.59974932107791956</v>
      </c>
      <c r="O561">
        <v>0.63630666388134494</v>
      </c>
      <c r="P561">
        <v>0.92</v>
      </c>
      <c r="Q561">
        <v>0.92</v>
      </c>
      <c r="R561">
        <v>0.92</v>
      </c>
      <c r="S561">
        <v>0.92</v>
      </c>
      <c r="T561">
        <v>0.92</v>
      </c>
      <c r="U561">
        <v>0.92</v>
      </c>
    </row>
    <row r="562" spans="2:21">
      <c r="C562">
        <v>55</v>
      </c>
      <c r="D562">
        <v>0.71527052433674521</v>
      </c>
      <c r="E562">
        <v>0.36014205138917887</v>
      </c>
      <c r="F562">
        <v>0.21474827658241091</v>
      </c>
      <c r="G562">
        <v>0.12199707541257554</v>
      </c>
      <c r="H562">
        <v>6.4410556367940852E-2</v>
      </c>
      <c r="I562">
        <v>4.0735324838103125E-2</v>
      </c>
      <c r="J562">
        <v>0.21516607478587846</v>
      </c>
      <c r="K562">
        <v>0.39273031125966162</v>
      </c>
      <c r="L562">
        <v>0.5017756423647376</v>
      </c>
      <c r="M562">
        <v>0.59452684353457297</v>
      </c>
      <c r="N562">
        <v>0.68090662210152497</v>
      </c>
      <c r="O562">
        <v>0.7306246083141843</v>
      </c>
      <c r="P562">
        <v>0.92</v>
      </c>
      <c r="Q562">
        <v>0.95</v>
      </c>
      <c r="R562">
        <v>0.95</v>
      </c>
      <c r="S562">
        <v>0.95</v>
      </c>
      <c r="T562">
        <v>0.95</v>
      </c>
      <c r="U562">
        <v>0.95</v>
      </c>
    </row>
    <row r="563" spans="2:21">
      <c r="C563">
        <v>65</v>
      </c>
      <c r="D563">
        <v>0.83392521412157938</v>
      </c>
      <c r="E563">
        <v>0.44119490286191754</v>
      </c>
      <c r="F563">
        <v>0.26906204303321513</v>
      </c>
      <c r="G563">
        <v>0.1554209316899938</v>
      </c>
      <c r="H563">
        <v>8.3559640693544893E-2</v>
      </c>
      <c r="I563">
        <v>5.3791518696469316E-2</v>
      </c>
      <c r="J563">
        <v>0.20263212868184666</v>
      </c>
      <c r="K563">
        <v>0.39899728431167758</v>
      </c>
      <c r="L563">
        <v>0.52809692918320439</v>
      </c>
      <c r="M563">
        <v>0.64173804052642569</v>
      </c>
      <c r="N563">
        <v>0.74952997702109914</v>
      </c>
      <c r="O563">
        <v>0.81204303321495785</v>
      </c>
      <c r="P563">
        <v>0.91</v>
      </c>
      <c r="Q563">
        <v>0.93</v>
      </c>
      <c r="R563">
        <v>0.93</v>
      </c>
      <c r="S563">
        <v>0.93</v>
      </c>
      <c r="T563">
        <v>0.95</v>
      </c>
      <c r="U563">
        <v>0.93</v>
      </c>
    </row>
    <row r="564" spans="2:21">
      <c r="C564">
        <v>75</v>
      </c>
      <c r="D564">
        <v>0.93837476498851102</v>
      </c>
      <c r="E564">
        <v>0.5189053687069145</v>
      </c>
      <c r="F564">
        <v>0.32254021307708358</v>
      </c>
      <c r="G564">
        <v>0.19009818257781458</v>
      </c>
      <c r="H564">
        <v>0.10340505535826189</v>
      </c>
      <c r="I564">
        <v>6.684771255483607E-2</v>
      </c>
      <c r="J564">
        <v>0.18926258617087932</v>
      </c>
      <c r="K564">
        <v>0.39899728431167758</v>
      </c>
      <c r="L564">
        <v>0.54627115103405077</v>
      </c>
      <c r="M564">
        <v>0.67871318153331983</v>
      </c>
      <c r="N564">
        <v>0.80875287236264881</v>
      </c>
      <c r="O564">
        <v>0.88552329224984305</v>
      </c>
      <c r="P564">
        <v>0.91</v>
      </c>
      <c r="Q564">
        <v>0.93</v>
      </c>
      <c r="R564">
        <v>0.93</v>
      </c>
      <c r="S564">
        <v>0.93</v>
      </c>
      <c r="T564">
        <v>0.95</v>
      </c>
      <c r="U564">
        <v>0.93</v>
      </c>
    </row>
    <row r="565" spans="2:21">
      <c r="C565">
        <v>85</v>
      </c>
      <c r="D565">
        <v>1.0302903697514099</v>
      </c>
      <c r="E565">
        <v>0.59160225611029915</v>
      </c>
      <c r="F565">
        <v>0.37601838312095248</v>
      </c>
      <c r="G565">
        <v>0.22477543346563625</v>
      </c>
      <c r="H565">
        <v>0.12394680036209164</v>
      </c>
      <c r="I565">
        <v>8.0426154167536554E-2</v>
      </c>
      <c r="J565">
        <v>0.17589304365991232</v>
      </c>
      <c r="K565">
        <v>0.39523710048046767</v>
      </c>
      <c r="L565">
        <v>0.55692500522247768</v>
      </c>
      <c r="M565">
        <v>0.70816795487779394</v>
      </c>
      <c r="N565">
        <v>0.85941090453311086</v>
      </c>
      <c r="O565">
        <v>0.95080426154167652</v>
      </c>
      <c r="P565">
        <v>0.91</v>
      </c>
      <c r="Q565">
        <v>0.93</v>
      </c>
      <c r="R565">
        <v>0.93</v>
      </c>
      <c r="S565">
        <v>0.93</v>
      </c>
      <c r="T565">
        <v>0.95</v>
      </c>
      <c r="U565">
        <v>0.93</v>
      </c>
    </row>
    <row r="566" spans="2:21">
      <c r="C566">
        <v>95</v>
      </c>
      <c r="D566">
        <v>1.111343221224149</v>
      </c>
      <c r="E566">
        <v>0.66012116147900546</v>
      </c>
      <c r="F566">
        <v>0.42782536035095031</v>
      </c>
      <c r="G566">
        <v>0.2590348861499896</v>
      </c>
      <c r="H566">
        <v>0.14483671053547778</v>
      </c>
      <c r="I566">
        <v>9.4526843534572996E-2</v>
      </c>
      <c r="J566">
        <v>0.16294129935241275</v>
      </c>
      <c r="K566">
        <v>0.38855232922498451</v>
      </c>
      <c r="L566">
        <v>0.56277418007102586</v>
      </c>
      <c r="M566">
        <v>0.73156465427198658</v>
      </c>
      <c r="N566">
        <v>0.90286191769375435</v>
      </c>
      <c r="O566">
        <v>1.0085126383956544</v>
      </c>
      <c r="P566">
        <v>0.91</v>
      </c>
      <c r="Q566">
        <v>0.93</v>
      </c>
      <c r="R566">
        <v>0.93</v>
      </c>
      <c r="S566">
        <v>0.93</v>
      </c>
      <c r="T566">
        <v>0.95</v>
      </c>
      <c r="U566">
        <v>0.93</v>
      </c>
    </row>
    <row r="567" spans="2:21">
      <c r="C567">
        <v>105</v>
      </c>
      <c r="D567">
        <v>1.1823689158136619</v>
      </c>
      <c r="E567">
        <v>0.72446208481303564</v>
      </c>
      <c r="F567">
        <v>0.47796114476707752</v>
      </c>
      <c r="G567">
        <v>0.29329433883434247</v>
      </c>
      <c r="H567">
        <v>0.16572662070886426</v>
      </c>
      <c r="I567">
        <v>0.10914978065594318</v>
      </c>
      <c r="J567">
        <v>0.15082515145184883</v>
      </c>
      <c r="K567">
        <v>0.37977856695216194</v>
      </c>
      <c r="L567">
        <v>0.56465427198663054</v>
      </c>
      <c r="M567">
        <v>0.74932107791936553</v>
      </c>
      <c r="N567">
        <v>0.94067265510758302</v>
      </c>
      <c r="O567">
        <v>1.0594840192187174</v>
      </c>
      <c r="P567">
        <v>0.91</v>
      </c>
      <c r="Q567">
        <v>0.93</v>
      </c>
      <c r="R567">
        <v>0.93</v>
      </c>
      <c r="S567">
        <v>0.93</v>
      </c>
      <c r="T567">
        <v>0.95</v>
      </c>
      <c r="U567">
        <v>0.93</v>
      </c>
    </row>
    <row r="568" spans="2:21">
      <c r="C568">
        <v>115</v>
      </c>
      <c r="D568">
        <v>1.2450386463338206</v>
      </c>
      <c r="E568">
        <v>0.78546062251932369</v>
      </c>
      <c r="F568">
        <v>0.5255901399623979</v>
      </c>
      <c r="G568">
        <v>0.3267181951117612</v>
      </c>
      <c r="H568">
        <v>0.1869646960518066</v>
      </c>
      <c r="I568">
        <v>0.12377271777731336</v>
      </c>
      <c r="J568">
        <v>0.13954459995822033</v>
      </c>
      <c r="K568">
        <v>0.36933361186546876</v>
      </c>
      <c r="L568">
        <v>0.56423647378316311</v>
      </c>
      <c r="M568">
        <v>0.76310841863379975</v>
      </c>
      <c r="N568">
        <v>0.9727386672237317</v>
      </c>
      <c r="O568">
        <v>1.1054418216001676</v>
      </c>
      <c r="P568">
        <v>0.91</v>
      </c>
      <c r="Q568">
        <v>0.93</v>
      </c>
      <c r="R568">
        <v>0.93</v>
      </c>
      <c r="S568">
        <v>0.93</v>
      </c>
      <c r="T568">
        <v>0.95</v>
      </c>
      <c r="U568">
        <v>0.93</v>
      </c>
    </row>
    <row r="569" spans="2:21">
      <c r="C569">
        <v>125</v>
      </c>
      <c r="D569">
        <v>1.3010236055984958</v>
      </c>
      <c r="E569">
        <v>0.84060998537706277</v>
      </c>
      <c r="F569">
        <v>0.5723835387507834</v>
      </c>
      <c r="G569">
        <v>0.35972425318571111</v>
      </c>
      <c r="H569">
        <v>0.20785460622519311</v>
      </c>
      <c r="I569">
        <v>0.1389179026530184</v>
      </c>
      <c r="J569">
        <v>0.12909964487152703</v>
      </c>
      <c r="K569">
        <v>0.35930645498224356</v>
      </c>
      <c r="L569">
        <v>0.56047628995195309</v>
      </c>
      <c r="M569">
        <v>0.77313557551702539</v>
      </c>
      <c r="N569">
        <v>1.0009400459578024</v>
      </c>
      <c r="O569">
        <v>1.1457071234593694</v>
      </c>
      <c r="P569">
        <v>0.91</v>
      </c>
      <c r="Q569">
        <v>0.93</v>
      </c>
      <c r="R569">
        <v>0.93</v>
      </c>
      <c r="S569">
        <v>0.93</v>
      </c>
      <c r="T569">
        <v>0.95</v>
      </c>
      <c r="U569">
        <v>0.93</v>
      </c>
    </row>
    <row r="570" spans="2:21">
      <c r="C570">
        <v>135</v>
      </c>
      <c r="D570">
        <v>1.3494881972007522</v>
      </c>
      <c r="E570">
        <v>0.89325255901399592</v>
      </c>
      <c r="F570">
        <v>0.61667014831836209</v>
      </c>
      <c r="G570">
        <v>0.39189471485272576</v>
      </c>
      <c r="H570">
        <v>0.22909268156813542</v>
      </c>
      <c r="I570">
        <v>0.15354083977438912</v>
      </c>
      <c r="J570">
        <v>0.11990808439523704</v>
      </c>
      <c r="K570">
        <v>0.34802590348861517</v>
      </c>
      <c r="L570">
        <v>0.55546271151034055</v>
      </c>
      <c r="M570">
        <v>0.78023814497597688</v>
      </c>
      <c r="N570">
        <v>1.0244411949028625</v>
      </c>
      <c r="O570">
        <v>1.1831000626697299</v>
      </c>
      <c r="P570">
        <v>0.91</v>
      </c>
      <c r="Q570">
        <v>0.93</v>
      </c>
      <c r="R570">
        <v>0.93</v>
      </c>
      <c r="S570">
        <v>0.93</v>
      </c>
      <c r="T570">
        <v>0.95</v>
      </c>
      <c r="U570">
        <v>0.93</v>
      </c>
    </row>
    <row r="571" spans="2:21">
      <c r="C571">
        <v>145</v>
      </c>
      <c r="D571">
        <v>1.3929392103613951</v>
      </c>
      <c r="E571">
        <v>0.9417171506162525</v>
      </c>
      <c r="F571">
        <v>0.65844996866513483</v>
      </c>
      <c r="G571">
        <v>0.42364737831627292</v>
      </c>
      <c r="H571">
        <v>0.24963442657196575</v>
      </c>
      <c r="I571">
        <v>0.16868602465009361</v>
      </c>
      <c r="J571">
        <v>0.11155212032588269</v>
      </c>
      <c r="K571">
        <v>0.337163150198454</v>
      </c>
      <c r="L571">
        <v>0.54961353666179225</v>
      </c>
      <c r="M571">
        <v>0.78441612701065422</v>
      </c>
      <c r="N571">
        <v>1.045435554627115</v>
      </c>
      <c r="O571">
        <v>1.2154271986630465</v>
      </c>
      <c r="P571">
        <v>0.91</v>
      </c>
      <c r="Q571">
        <v>0.93</v>
      </c>
      <c r="R571">
        <v>0.93</v>
      </c>
      <c r="S571">
        <v>0.93</v>
      </c>
      <c r="T571">
        <v>0.95</v>
      </c>
      <c r="U571">
        <v>0.93</v>
      </c>
    </row>
    <row r="572" spans="2:21">
      <c r="C572">
        <v>155</v>
      </c>
      <c r="D572">
        <v>1.4313766450804264</v>
      </c>
      <c r="E572">
        <v>0.98851054940463756</v>
      </c>
      <c r="F572">
        <v>0.69855859619803606</v>
      </c>
      <c r="G572">
        <v>0.45414664716941694</v>
      </c>
      <c r="H572">
        <v>0.27017617157579493</v>
      </c>
      <c r="I572">
        <v>0.18383120952579918</v>
      </c>
      <c r="J572">
        <v>0.1038228535617296</v>
      </c>
      <c r="K572">
        <v>0.32525590139962401</v>
      </c>
      <c r="L572">
        <v>0.54271986630457514</v>
      </c>
      <c r="M572">
        <v>0.78713181533319421</v>
      </c>
      <c r="N572">
        <v>1.0630875287236274</v>
      </c>
      <c r="O572">
        <v>1.2444119490286185</v>
      </c>
      <c r="P572">
        <v>0.91</v>
      </c>
      <c r="Q572">
        <v>0.93</v>
      </c>
      <c r="R572">
        <v>0.93</v>
      </c>
      <c r="S572">
        <v>0.93</v>
      </c>
      <c r="T572">
        <v>0.95</v>
      </c>
      <c r="U572">
        <v>0.93</v>
      </c>
    </row>
    <row r="573" spans="2:21">
      <c r="B573">
        <v>6</v>
      </c>
      <c r="C573">
        <v>15</v>
      </c>
      <c r="D573">
        <v>0.17547524545644455</v>
      </c>
      <c r="E573">
        <v>6.9354501775642508E-2</v>
      </c>
      <c r="F573">
        <v>3.6766241905159758E-2</v>
      </c>
      <c r="G573">
        <v>1.9218717359515396E-2</v>
      </c>
      <c r="H573">
        <v>9.7486247475802139E-3</v>
      </c>
      <c r="I573">
        <v>5.7447252976811029E-3</v>
      </c>
      <c r="J573">
        <v>0.19699185293503235</v>
      </c>
      <c r="K573">
        <v>0.25005222477543337</v>
      </c>
      <c r="L573">
        <v>0.27449341967829544</v>
      </c>
      <c r="M573">
        <v>0.29204094422393978</v>
      </c>
      <c r="N573">
        <v>0.3062460831418426</v>
      </c>
      <c r="O573">
        <v>0.31465427198663071</v>
      </c>
      <c r="P573">
        <v>0.8</v>
      </c>
      <c r="Q573">
        <v>0.8</v>
      </c>
      <c r="R573">
        <v>0.8</v>
      </c>
      <c r="S573">
        <v>0.8</v>
      </c>
      <c r="T573">
        <v>0.8</v>
      </c>
      <c r="U573">
        <v>0.8</v>
      </c>
    </row>
    <row r="574" spans="2:21">
      <c r="C574">
        <v>25</v>
      </c>
      <c r="D574">
        <v>0.37267599749321079</v>
      </c>
      <c r="E574">
        <v>0.16043451013160648</v>
      </c>
      <c r="F574">
        <v>8.9408815542093123E-2</v>
      </c>
      <c r="G574">
        <v>4.8046793398788548E-2</v>
      </c>
      <c r="H574">
        <v>2.4371561868950488E-2</v>
      </c>
      <c r="I574">
        <v>1.5145184875705028E-2</v>
      </c>
      <c r="J574">
        <v>0.22749112178817632</v>
      </c>
      <c r="K574">
        <v>0.33361186546897847</v>
      </c>
      <c r="L574">
        <v>0.38688113641111349</v>
      </c>
      <c r="M574">
        <v>0.42824315855441808</v>
      </c>
      <c r="N574">
        <v>0.46375600584917515</v>
      </c>
      <c r="O574">
        <v>0.48313139753499063</v>
      </c>
      <c r="P574">
        <v>0.8</v>
      </c>
      <c r="Q574">
        <v>0.85</v>
      </c>
      <c r="R574">
        <v>0.85</v>
      </c>
      <c r="S574">
        <v>0.85</v>
      </c>
      <c r="T574">
        <v>0.85</v>
      </c>
      <c r="U574">
        <v>0.85</v>
      </c>
    </row>
    <row r="575" spans="2:21">
      <c r="C575">
        <v>35</v>
      </c>
      <c r="D575">
        <v>0.56486317108836426</v>
      </c>
      <c r="E575">
        <v>0.29078754961353681</v>
      </c>
      <c r="F575">
        <v>0.12701065385418842</v>
      </c>
      <c r="G575">
        <v>8.4395237100480511E-2</v>
      </c>
      <c r="H575">
        <v>4.3868811364111096E-2</v>
      </c>
      <c r="I575">
        <v>2.7156883225402082E-2</v>
      </c>
      <c r="J575">
        <v>0.22811781909337792</v>
      </c>
      <c r="K575">
        <v>0.36515562983079164</v>
      </c>
      <c r="L575">
        <v>0.48798830165030294</v>
      </c>
      <c r="M575">
        <v>0.53060371840401088</v>
      </c>
      <c r="N575">
        <v>0.59139335700856499</v>
      </c>
      <c r="O575">
        <v>0.6264884060998539</v>
      </c>
      <c r="P575">
        <v>0.85</v>
      </c>
      <c r="Q575">
        <v>0.85</v>
      </c>
      <c r="R575">
        <v>0.85</v>
      </c>
      <c r="S575">
        <v>0.85</v>
      </c>
      <c r="T575">
        <v>0.85</v>
      </c>
      <c r="U575">
        <v>0.85</v>
      </c>
    </row>
    <row r="576" spans="2:21">
      <c r="C576">
        <v>45</v>
      </c>
      <c r="D576">
        <v>0.73950282013787327</v>
      </c>
      <c r="E576">
        <v>0.37184040108627547</v>
      </c>
      <c r="F576">
        <v>0.2214330478378943</v>
      </c>
      <c r="G576">
        <v>0.12533946104031723</v>
      </c>
      <c r="H576">
        <v>6.5803217046166734E-2</v>
      </c>
      <c r="I576">
        <v>4.1779820346772543E-2</v>
      </c>
      <c r="J576">
        <v>0.21516607478587846</v>
      </c>
      <c r="K576">
        <v>0.39899728431167736</v>
      </c>
      <c r="L576">
        <v>0.51180279924796324</v>
      </c>
      <c r="M576">
        <v>0.6078963860455403</v>
      </c>
      <c r="N576">
        <v>0.69720075203676612</v>
      </c>
      <c r="O576">
        <v>0.74764988510549391</v>
      </c>
      <c r="P576">
        <v>0.92</v>
      </c>
      <c r="Q576">
        <v>0.92</v>
      </c>
      <c r="R576">
        <v>0.92</v>
      </c>
      <c r="S576">
        <v>0.92</v>
      </c>
      <c r="T576">
        <v>0.92</v>
      </c>
      <c r="U576">
        <v>0.92</v>
      </c>
    </row>
    <row r="577" spans="3:21">
      <c r="C577">
        <v>55</v>
      </c>
      <c r="D577">
        <v>0.88991017338625467</v>
      </c>
      <c r="E577">
        <v>0.47628995195320645</v>
      </c>
      <c r="F577">
        <v>0.29162314602047212</v>
      </c>
      <c r="G577">
        <v>0.1687904742009608</v>
      </c>
      <c r="H577">
        <v>9.052294408467379E-2</v>
      </c>
      <c r="I577">
        <v>5.7969500731146435E-2</v>
      </c>
      <c r="J577">
        <v>0.19782744934196772</v>
      </c>
      <c r="K577">
        <v>0.40463756005849183</v>
      </c>
      <c r="L577">
        <v>0.54313766450804257</v>
      </c>
      <c r="M577">
        <v>0.66597033632755387</v>
      </c>
      <c r="N577">
        <v>0.78337163150198441</v>
      </c>
      <c r="O577">
        <v>0.85173386254439198</v>
      </c>
      <c r="P577">
        <v>0.92</v>
      </c>
      <c r="Q577">
        <v>0.95</v>
      </c>
      <c r="R577">
        <v>0.95</v>
      </c>
      <c r="S577">
        <v>0.95</v>
      </c>
      <c r="T577">
        <v>0.95</v>
      </c>
      <c r="U577">
        <v>0.95</v>
      </c>
    </row>
    <row r="578" spans="3:21">
      <c r="C578">
        <v>65</v>
      </c>
      <c r="D578">
        <v>1.0185920200543139</v>
      </c>
      <c r="E578">
        <v>0.57405473156465403</v>
      </c>
      <c r="F578">
        <v>0.36181324420304994</v>
      </c>
      <c r="G578">
        <v>0.21349488197200731</v>
      </c>
      <c r="H578">
        <v>0.11663533180140637</v>
      </c>
      <c r="I578">
        <v>7.5203676624190294E-2</v>
      </c>
      <c r="J578">
        <v>0.17965322749112178</v>
      </c>
      <c r="K578">
        <v>0.40192187173595173</v>
      </c>
      <c r="L578">
        <v>0.56110298725715479</v>
      </c>
      <c r="M578">
        <v>0.70942134948819746</v>
      </c>
      <c r="N578">
        <v>0.8547106747440989</v>
      </c>
      <c r="O578">
        <v>0.94171715061625272</v>
      </c>
      <c r="P578">
        <v>0.91</v>
      </c>
      <c r="Q578">
        <v>0.93</v>
      </c>
      <c r="R578">
        <v>0.93</v>
      </c>
      <c r="S578">
        <v>0.93</v>
      </c>
      <c r="T578">
        <v>0.95</v>
      </c>
      <c r="U578">
        <v>0.93</v>
      </c>
    </row>
    <row r="579" spans="3:21">
      <c r="C579">
        <v>75</v>
      </c>
      <c r="D579">
        <v>1.1280551493628577</v>
      </c>
      <c r="E579">
        <v>0.66680593273448929</v>
      </c>
      <c r="F579">
        <v>0.42949655316482138</v>
      </c>
      <c r="G579">
        <v>0.2586170879465215</v>
      </c>
      <c r="H579">
        <v>0.14344404985725226</v>
      </c>
      <c r="I579">
        <v>9.34823480259033E-2</v>
      </c>
      <c r="J579">
        <v>0.1618968038437435</v>
      </c>
      <c r="K579">
        <v>0.39252141215792768</v>
      </c>
      <c r="L579">
        <v>0.57050344683517862</v>
      </c>
      <c r="M579">
        <v>0.7413829120534785</v>
      </c>
      <c r="N579">
        <v>0.9141424691873824</v>
      </c>
      <c r="O579">
        <v>1.0190620430332153</v>
      </c>
      <c r="P579">
        <v>0.91</v>
      </c>
      <c r="Q579">
        <v>0.93</v>
      </c>
      <c r="R579">
        <v>0.93</v>
      </c>
      <c r="S579">
        <v>0.93</v>
      </c>
      <c r="T579">
        <v>0.95</v>
      </c>
      <c r="U579">
        <v>0.93</v>
      </c>
    </row>
    <row r="580" spans="3:21">
      <c r="C580">
        <v>85</v>
      </c>
      <c r="D580">
        <v>1.2216419469396282</v>
      </c>
      <c r="E580">
        <v>0.75120116983496965</v>
      </c>
      <c r="F580">
        <v>0.49550866931272219</v>
      </c>
      <c r="G580">
        <v>0.303321495717568</v>
      </c>
      <c r="H580">
        <v>0.1712972634217671</v>
      </c>
      <c r="I580">
        <v>0.11228326718195171</v>
      </c>
      <c r="J580">
        <v>0.14539377480676829</v>
      </c>
      <c r="K580">
        <v>0.38061416335909759</v>
      </c>
      <c r="L580">
        <v>0.57238353875078318</v>
      </c>
      <c r="M580">
        <v>0.76457071234593732</v>
      </c>
      <c r="N580">
        <v>0.96260706078963887</v>
      </c>
      <c r="O580">
        <v>1.0865364528932511</v>
      </c>
      <c r="P580">
        <v>0.91</v>
      </c>
      <c r="Q580">
        <v>0.93</v>
      </c>
      <c r="R580">
        <v>0.93</v>
      </c>
      <c r="S580">
        <v>0.93</v>
      </c>
      <c r="T580">
        <v>0.95</v>
      </c>
      <c r="U580">
        <v>0.93</v>
      </c>
    </row>
    <row r="581" spans="3:21">
      <c r="C581">
        <v>95</v>
      </c>
      <c r="D581">
        <v>1.3010236055984956</v>
      </c>
      <c r="E581">
        <v>0.82974723208690238</v>
      </c>
      <c r="F581">
        <v>0.55817839983288042</v>
      </c>
      <c r="G581">
        <v>0.34760810528514663</v>
      </c>
      <c r="H581">
        <v>0.19880231181672575</v>
      </c>
      <c r="I581">
        <v>0.13160643409233386</v>
      </c>
      <c r="J581">
        <v>0.13056193858366416</v>
      </c>
      <c r="K581">
        <v>0.36620012533946078</v>
      </c>
      <c r="L581">
        <v>0.56987674952997724</v>
      </c>
      <c r="M581">
        <v>0.78044704407771104</v>
      </c>
      <c r="N581">
        <v>1.0036557342803425</v>
      </c>
      <c r="O581">
        <v>1.1447670775015655</v>
      </c>
      <c r="P581">
        <v>0.91</v>
      </c>
      <c r="Q581">
        <v>0.93</v>
      </c>
      <c r="R581">
        <v>0.93</v>
      </c>
      <c r="S581">
        <v>0.93</v>
      </c>
      <c r="T581">
        <v>0.95</v>
      </c>
      <c r="U581">
        <v>0.93</v>
      </c>
    </row>
    <row r="582" spans="3:21">
      <c r="C582">
        <v>105</v>
      </c>
      <c r="D582">
        <v>1.3678713181533315</v>
      </c>
      <c r="E582">
        <v>0.90160852308335082</v>
      </c>
      <c r="F582">
        <v>0.6183413411322336</v>
      </c>
      <c r="G582">
        <v>0.39105911844579044</v>
      </c>
      <c r="H582">
        <v>0.22630736021168438</v>
      </c>
      <c r="I582">
        <v>0.15145184875705028</v>
      </c>
      <c r="J582">
        <v>0.11781909337789864</v>
      </c>
      <c r="K582">
        <v>0.35095049091288899</v>
      </c>
      <c r="L582">
        <v>0.56340087737622691</v>
      </c>
      <c r="M582">
        <v>0.79068310006267006</v>
      </c>
      <c r="N582">
        <v>1.0378107374138292</v>
      </c>
      <c r="O582">
        <v>1.1950073114685609</v>
      </c>
      <c r="P582">
        <v>0.91</v>
      </c>
      <c r="Q582">
        <v>0.93</v>
      </c>
      <c r="R582">
        <v>0.93</v>
      </c>
      <c r="S582">
        <v>0.93</v>
      </c>
      <c r="T582">
        <v>0.95</v>
      </c>
      <c r="U582">
        <v>0.93</v>
      </c>
    </row>
    <row r="583" spans="3:21">
      <c r="C583">
        <v>115</v>
      </c>
      <c r="D583">
        <v>1.426363066638813</v>
      </c>
      <c r="E583">
        <v>0.96762063923125163</v>
      </c>
      <c r="F583">
        <v>0.67516189680384375</v>
      </c>
      <c r="G583">
        <v>0.43325673699603057</v>
      </c>
      <c r="H583">
        <v>0.25416057377619922</v>
      </c>
      <c r="I583">
        <v>0.17077501566743244</v>
      </c>
      <c r="J583">
        <v>0.10591184457906844</v>
      </c>
      <c r="K583">
        <v>0.3352830582828491</v>
      </c>
      <c r="L583">
        <v>0.55462711510340501</v>
      </c>
      <c r="M583">
        <v>0.79653227491121825</v>
      </c>
      <c r="N583">
        <v>1.0651765197409653</v>
      </c>
      <c r="O583">
        <v>1.2402861917693757</v>
      </c>
      <c r="P583">
        <v>0.91</v>
      </c>
      <c r="Q583">
        <v>0.93</v>
      </c>
      <c r="R583">
        <v>0.93</v>
      </c>
      <c r="S583">
        <v>0.93</v>
      </c>
      <c r="T583">
        <v>0.95</v>
      </c>
      <c r="U583">
        <v>0.93</v>
      </c>
    </row>
    <row r="584" spans="3:21">
      <c r="C584">
        <v>125</v>
      </c>
      <c r="D584">
        <v>1.4756632546480051</v>
      </c>
      <c r="E584">
        <v>1.0286191769375392</v>
      </c>
      <c r="F584">
        <v>0.72864006684771265</v>
      </c>
      <c r="G584">
        <v>0.47378316273240006</v>
      </c>
      <c r="H584">
        <v>0.28166562217115748</v>
      </c>
      <c r="I584">
        <v>0.19062043033214998</v>
      </c>
      <c r="J584">
        <v>9.5884687695842907E-2</v>
      </c>
      <c r="K584">
        <v>0.31940672655107583</v>
      </c>
      <c r="L584">
        <v>0.54439105911844576</v>
      </c>
      <c r="M584">
        <v>0.79924796323375835</v>
      </c>
      <c r="N584">
        <v>1.0874242740756224</v>
      </c>
      <c r="O584">
        <v>1.2786191769375381</v>
      </c>
      <c r="P584">
        <v>0.91</v>
      </c>
      <c r="Q584">
        <v>0.93</v>
      </c>
      <c r="R584">
        <v>0.93</v>
      </c>
      <c r="S584">
        <v>0.93</v>
      </c>
      <c r="T584">
        <v>0.95</v>
      </c>
      <c r="U584">
        <v>0.93</v>
      </c>
    </row>
    <row r="585" spans="3:21">
      <c r="C585">
        <v>135</v>
      </c>
      <c r="D585">
        <v>1.5191142678086484</v>
      </c>
      <c r="E585">
        <v>1.0837685397952788</v>
      </c>
      <c r="F585">
        <v>0.77961144767077517</v>
      </c>
      <c r="G585">
        <v>0.51347399206183386</v>
      </c>
      <c r="H585">
        <v>0.30847434022700337</v>
      </c>
      <c r="I585">
        <v>0.21046584499686585</v>
      </c>
      <c r="J585">
        <v>8.6693127219552912E-2</v>
      </c>
      <c r="K585">
        <v>0.30436599122623775</v>
      </c>
      <c r="L585">
        <v>0.53248381031961545</v>
      </c>
      <c r="M585">
        <v>0.79862126592855676</v>
      </c>
      <c r="N585">
        <v>1.1061207436808025</v>
      </c>
      <c r="O585">
        <v>1.3119385836640913</v>
      </c>
      <c r="P585">
        <v>0.91</v>
      </c>
      <c r="Q585">
        <v>0.93</v>
      </c>
      <c r="R585">
        <v>0.93</v>
      </c>
      <c r="S585">
        <v>0.93</v>
      </c>
      <c r="T585">
        <v>0.95</v>
      </c>
      <c r="U585">
        <v>0.93</v>
      </c>
    </row>
    <row r="586" spans="3:21">
      <c r="C586">
        <v>145</v>
      </c>
      <c r="D586">
        <v>1.5558805097138086</v>
      </c>
      <c r="E586">
        <v>1.1347399206183413</v>
      </c>
      <c r="F586">
        <v>0.82724044286609555</v>
      </c>
      <c r="G586">
        <v>0.55191142678086447</v>
      </c>
      <c r="H586">
        <v>0.33528305828284927</v>
      </c>
      <c r="I586">
        <v>0.22978901190724801</v>
      </c>
      <c r="J586">
        <v>7.8963860455399937E-2</v>
      </c>
      <c r="K586">
        <v>0.28953415500313362</v>
      </c>
      <c r="L586">
        <v>0.52015876331731792</v>
      </c>
      <c r="M586">
        <v>0.795487779402549</v>
      </c>
      <c r="N586">
        <v>1.1204303321495719</v>
      </c>
      <c r="O586">
        <v>1.3419678295383346</v>
      </c>
      <c r="P586">
        <v>0.91</v>
      </c>
      <c r="Q586">
        <v>0.93</v>
      </c>
      <c r="R586">
        <v>0.93</v>
      </c>
      <c r="S586">
        <v>0.93</v>
      </c>
      <c r="T586">
        <v>0.95</v>
      </c>
      <c r="U586">
        <v>0.93</v>
      </c>
    </row>
    <row r="587" spans="3:21">
      <c r="C587">
        <v>155</v>
      </c>
      <c r="D587">
        <v>1.589304365991226</v>
      </c>
      <c r="E587">
        <v>1.1806977229997919</v>
      </c>
      <c r="F587">
        <v>0.87236264884060954</v>
      </c>
      <c r="G587">
        <v>0.58909546688949177</v>
      </c>
      <c r="H587">
        <v>0.36139544599958168</v>
      </c>
      <c r="I587">
        <v>0.24911217881763181</v>
      </c>
      <c r="J587">
        <v>7.1652391894714951E-2</v>
      </c>
      <c r="K587">
        <v>0.27595571339043201</v>
      </c>
      <c r="L587">
        <v>0.50720701900981879</v>
      </c>
      <c r="M587">
        <v>0.79047420096093657</v>
      </c>
      <c r="N587">
        <v>1.1320242322958018</v>
      </c>
      <c r="O587">
        <v>1.3678190933778966</v>
      </c>
      <c r="P587">
        <v>0.91</v>
      </c>
      <c r="Q587">
        <v>0.93</v>
      </c>
      <c r="R587">
        <v>0.93</v>
      </c>
      <c r="S587">
        <v>0.93</v>
      </c>
      <c r="T587">
        <v>0.95</v>
      </c>
      <c r="U587">
        <v>0.93</v>
      </c>
    </row>
    <row r="622" spans="2:44" ht="27" customHeight="1"/>
    <row r="623" spans="2:44">
      <c r="B623">
        <v>2</v>
      </c>
      <c r="C623">
        <v>15</v>
      </c>
      <c r="D623">
        <v>7.0381231671554356E-3</v>
      </c>
      <c r="E623">
        <v>2.3460410557184508E-3</v>
      </c>
      <c r="F623">
        <v>2.3460410557184785E-3</v>
      </c>
      <c r="G623">
        <v>5.865102639296127E-4</v>
      </c>
      <c r="H623">
        <v>4.887585532746887E-4</v>
      </c>
      <c r="I623">
        <v>7.3313782991201609E-4</v>
      </c>
      <c r="J623">
        <v>7.859237536656892E-2</v>
      </c>
      <c r="K623">
        <v>8.3284457478005905E-2</v>
      </c>
      <c r="L623">
        <v>8.3284457478005863E-2</v>
      </c>
      <c r="M623">
        <v>8.6803519061583595E-2</v>
      </c>
      <c r="N623">
        <v>8.7096774193548374E-2</v>
      </c>
      <c r="O623">
        <v>8.6070381231671586E-2</v>
      </c>
      <c r="P623">
        <v>0.98</v>
      </c>
      <c r="Q623">
        <v>0.97</v>
      </c>
      <c r="R623">
        <v>0.97</v>
      </c>
      <c r="S623">
        <v>0.97</v>
      </c>
      <c r="T623">
        <v>0.97</v>
      </c>
      <c r="U623">
        <v>0.97</v>
      </c>
      <c r="V623">
        <v>15</v>
      </c>
      <c r="W623">
        <v>5071</v>
      </c>
      <c r="X623">
        <v>4830</v>
      </c>
      <c r="Y623">
        <v>4432</v>
      </c>
      <c r="Z623">
        <v>3671</v>
      </c>
      <c r="AA623">
        <v>20067</v>
      </c>
      <c r="AB623">
        <v>12190</v>
      </c>
      <c r="AC623">
        <v>15383</v>
      </c>
      <c r="AD623">
        <v>12190</v>
      </c>
      <c r="AE623">
        <v>2</v>
      </c>
      <c r="AF623">
        <f t="shared" ref="AF623:AF631" si="7">AE623*12-6</f>
        <v>18</v>
      </c>
      <c r="AG623">
        <v>5</v>
      </c>
      <c r="AH623">
        <v>2</v>
      </c>
      <c r="AI623">
        <v>1</v>
      </c>
      <c r="AJ623">
        <v>16</v>
      </c>
      <c r="AK623">
        <v>12</v>
      </c>
      <c r="AL623">
        <v>4</v>
      </c>
      <c r="AM623">
        <v>1.25</v>
      </c>
      <c r="AN623">
        <v>2</v>
      </c>
      <c r="AO623" t="s">
        <v>512</v>
      </c>
      <c r="AP623">
        <v>3.2</v>
      </c>
      <c r="AQ623">
        <v>0.85</v>
      </c>
      <c r="AR623">
        <v>12.85</v>
      </c>
    </row>
    <row r="624" spans="2:44" ht="15.75" customHeight="1">
      <c r="C624">
        <v>25</v>
      </c>
      <c r="D624">
        <v>1.5249266862170069E-2</v>
      </c>
      <c r="E624">
        <v>5.8651026392961825E-3</v>
      </c>
      <c r="F624">
        <v>3.5190615835777317E-3</v>
      </c>
      <c r="G624">
        <v>1.7595307917888381E-3</v>
      </c>
      <c r="H624">
        <v>9.7751710654937741E-4</v>
      </c>
      <c r="I624">
        <v>7.3313782991201609E-4</v>
      </c>
      <c r="J624">
        <v>0.1126099706744868</v>
      </c>
      <c r="K624">
        <v>0.12199413489736069</v>
      </c>
      <c r="L624">
        <v>0.12551319648093837</v>
      </c>
      <c r="M624">
        <v>0.12903225806451615</v>
      </c>
      <c r="N624">
        <v>0.13137829912023455</v>
      </c>
      <c r="O624">
        <v>0.13240469208211145</v>
      </c>
      <c r="P624">
        <v>0.98</v>
      </c>
      <c r="Q624">
        <v>0.97</v>
      </c>
      <c r="R624">
        <v>0.97</v>
      </c>
      <c r="S624">
        <v>0.97</v>
      </c>
      <c r="T624">
        <v>0.97</v>
      </c>
      <c r="U624">
        <v>0.97</v>
      </c>
      <c r="V624">
        <v>25</v>
      </c>
      <c r="W624">
        <v>5071</v>
      </c>
      <c r="X624">
        <v>4830</v>
      </c>
      <c r="Y624">
        <v>4432</v>
      </c>
      <c r="Z624">
        <v>3671</v>
      </c>
      <c r="AA624">
        <v>20067</v>
      </c>
      <c r="AB624">
        <v>12190</v>
      </c>
      <c r="AC624">
        <v>15383</v>
      </c>
      <c r="AD624">
        <v>12190</v>
      </c>
      <c r="AE624">
        <f t="shared" ref="AE624:AE631" si="8">AE623+1</f>
        <v>3</v>
      </c>
      <c r="AF624">
        <f t="shared" si="7"/>
        <v>30</v>
      </c>
      <c r="AG624">
        <v>5</v>
      </c>
      <c r="AH624">
        <v>2</v>
      </c>
      <c r="AI624">
        <v>1</v>
      </c>
      <c r="AJ624">
        <v>16</v>
      </c>
      <c r="AK624">
        <v>12</v>
      </c>
      <c r="AL624">
        <v>4</v>
      </c>
      <c r="AM624">
        <v>2.08</v>
      </c>
      <c r="AO624" t="s">
        <v>513</v>
      </c>
      <c r="AP624">
        <v>2.9</v>
      </c>
      <c r="AQ624">
        <v>0.84</v>
      </c>
      <c r="AR624">
        <v>19.920000000000002</v>
      </c>
    </row>
    <row r="625" spans="2:46">
      <c r="C625">
        <v>35</v>
      </c>
      <c r="D625">
        <v>2.5806451612903236E-2</v>
      </c>
      <c r="E625">
        <v>1.055718475073314E-2</v>
      </c>
      <c r="F625">
        <v>5.8651026392961825E-3</v>
      </c>
      <c r="G625">
        <v>2.9325513196480912E-3</v>
      </c>
      <c r="H625">
        <v>1.4662756598240547E-3</v>
      </c>
      <c r="I625">
        <v>7.3313782991201609E-4</v>
      </c>
      <c r="J625">
        <v>0.1378299120234604</v>
      </c>
      <c r="K625">
        <v>0.1530791788856305</v>
      </c>
      <c r="L625">
        <v>0.16011730205278593</v>
      </c>
      <c r="M625">
        <v>0.16598240469208211</v>
      </c>
      <c r="N625">
        <v>0.17038123167155422</v>
      </c>
      <c r="O625">
        <v>0.17346041055718478</v>
      </c>
      <c r="P625">
        <v>0.98</v>
      </c>
      <c r="Q625">
        <v>0.97</v>
      </c>
      <c r="R625">
        <v>0.97</v>
      </c>
      <c r="S625">
        <v>0.97</v>
      </c>
      <c r="T625">
        <v>0.97</v>
      </c>
      <c r="U625">
        <v>0.97</v>
      </c>
      <c r="V625">
        <v>35</v>
      </c>
      <c r="W625">
        <v>5071</v>
      </c>
      <c r="X625">
        <v>4830</v>
      </c>
      <c r="Y625">
        <v>4432</v>
      </c>
      <c r="Z625">
        <v>3671</v>
      </c>
      <c r="AA625">
        <v>20067</v>
      </c>
      <c r="AB625">
        <v>12190</v>
      </c>
      <c r="AC625">
        <v>15383</v>
      </c>
      <c r="AD625">
        <v>12190</v>
      </c>
      <c r="AE625">
        <f t="shared" si="8"/>
        <v>4</v>
      </c>
      <c r="AF625">
        <f t="shared" si="7"/>
        <v>42</v>
      </c>
      <c r="AG625">
        <v>5</v>
      </c>
      <c r="AH625">
        <v>2</v>
      </c>
      <c r="AI625">
        <v>1</v>
      </c>
      <c r="AJ625">
        <v>16</v>
      </c>
      <c r="AK625">
        <v>12</v>
      </c>
      <c r="AL625">
        <v>4</v>
      </c>
      <c r="AM625">
        <v>2.92</v>
      </c>
      <c r="AO625" t="s">
        <v>514</v>
      </c>
      <c r="AP625">
        <v>1.9</v>
      </c>
      <c r="AQ625">
        <v>0.85</v>
      </c>
      <c r="AR625">
        <v>36.78</v>
      </c>
    </row>
    <row r="626" spans="2:46">
      <c r="C626">
        <v>45</v>
      </c>
      <c r="D626">
        <v>5.1612903225806472E-2</v>
      </c>
      <c r="E626">
        <v>1.5249266862170041E-2</v>
      </c>
      <c r="F626">
        <v>8.2111436950146888E-3</v>
      </c>
      <c r="G626">
        <v>4.6920821114369571E-3</v>
      </c>
      <c r="H626">
        <v>1.9550342130987318E-3</v>
      </c>
      <c r="I626">
        <v>1.4662756598240322E-3</v>
      </c>
      <c r="J626">
        <v>0.14310850439882697</v>
      </c>
      <c r="K626">
        <v>0.1794721407624634</v>
      </c>
      <c r="L626">
        <v>0.19002932551319643</v>
      </c>
      <c r="M626">
        <v>0.19706744868035189</v>
      </c>
      <c r="N626">
        <v>0.20527859237536655</v>
      </c>
      <c r="O626">
        <v>0.20733137829912029</v>
      </c>
      <c r="P626">
        <v>0.98</v>
      </c>
      <c r="Q626">
        <v>0.97</v>
      </c>
      <c r="R626">
        <v>0.97</v>
      </c>
      <c r="S626">
        <v>0.97</v>
      </c>
      <c r="T626">
        <v>0.97</v>
      </c>
      <c r="U626">
        <v>0.97</v>
      </c>
      <c r="V626">
        <v>45</v>
      </c>
      <c r="W626">
        <v>5071</v>
      </c>
      <c r="X626">
        <v>4830</v>
      </c>
      <c r="Y626">
        <v>4432</v>
      </c>
      <c r="Z626">
        <v>3671</v>
      </c>
      <c r="AA626">
        <v>20067</v>
      </c>
      <c r="AB626">
        <v>12190</v>
      </c>
      <c r="AC626">
        <v>15383</v>
      </c>
      <c r="AD626">
        <v>12190</v>
      </c>
      <c r="AE626">
        <f t="shared" si="8"/>
        <v>5</v>
      </c>
      <c r="AF626">
        <f t="shared" si="7"/>
        <v>54</v>
      </c>
      <c r="AG626">
        <v>5</v>
      </c>
      <c r="AH626">
        <v>2</v>
      </c>
      <c r="AI626">
        <v>1</v>
      </c>
      <c r="AJ626">
        <v>16</v>
      </c>
      <c r="AK626">
        <v>12</v>
      </c>
      <c r="AL626">
        <v>4</v>
      </c>
      <c r="AM626">
        <v>3.75</v>
      </c>
      <c r="AO626" t="s">
        <v>515</v>
      </c>
      <c r="AP626">
        <v>1</v>
      </c>
      <c r="AQ626">
        <v>1</v>
      </c>
      <c r="AR626">
        <v>65.239999999999995</v>
      </c>
    </row>
    <row r="627" spans="2:46">
      <c r="C627">
        <v>55</v>
      </c>
      <c r="D627">
        <v>4.692082111436946E-2</v>
      </c>
      <c r="E627">
        <v>1.9941348973607054E-2</v>
      </c>
      <c r="F627">
        <v>1.1730205278592365E-2</v>
      </c>
      <c r="G627">
        <v>5.8651026392962102E-3</v>
      </c>
      <c r="H627">
        <v>2.932551319648063E-3</v>
      </c>
      <c r="I627">
        <v>2.1994134897361174E-3</v>
      </c>
      <c r="J627">
        <v>0.17536656891495606</v>
      </c>
      <c r="K627">
        <v>0.20234604105571846</v>
      </c>
      <c r="L627">
        <v>0.2146627565982405</v>
      </c>
      <c r="M627">
        <v>0.2263929618768328</v>
      </c>
      <c r="N627">
        <v>0.23519061583577724</v>
      </c>
      <c r="O627">
        <v>0.23826979472140741</v>
      </c>
      <c r="P627">
        <v>0.98</v>
      </c>
      <c r="Q627">
        <v>0.97</v>
      </c>
      <c r="R627">
        <v>0.97</v>
      </c>
      <c r="S627">
        <v>0.97</v>
      </c>
      <c r="T627">
        <v>0.97</v>
      </c>
      <c r="U627">
        <v>0.97</v>
      </c>
      <c r="V627">
        <v>55</v>
      </c>
      <c r="W627">
        <v>5071</v>
      </c>
      <c r="X627">
        <v>4830</v>
      </c>
      <c r="Y627">
        <v>4432</v>
      </c>
      <c r="Z627">
        <v>3671</v>
      </c>
      <c r="AA627">
        <v>20067</v>
      </c>
      <c r="AB627">
        <v>12190</v>
      </c>
      <c r="AC627">
        <v>15383</v>
      </c>
      <c r="AD627">
        <v>12190</v>
      </c>
      <c r="AE627">
        <f t="shared" si="8"/>
        <v>6</v>
      </c>
      <c r="AF627">
        <f t="shared" si="7"/>
        <v>66</v>
      </c>
      <c r="AG627">
        <v>5</v>
      </c>
      <c r="AH627">
        <v>2</v>
      </c>
      <c r="AI627">
        <v>1</v>
      </c>
      <c r="AJ627">
        <v>16</v>
      </c>
      <c r="AK627">
        <v>12</v>
      </c>
      <c r="AL627">
        <v>4</v>
      </c>
      <c r="AM627">
        <v>4.58</v>
      </c>
      <c r="AN627">
        <v>3</v>
      </c>
      <c r="AO627" t="s">
        <v>512</v>
      </c>
      <c r="AP627">
        <v>3.2</v>
      </c>
      <c r="AQ627">
        <v>0.85</v>
      </c>
      <c r="AR627">
        <v>21.91</v>
      </c>
    </row>
    <row r="628" spans="2:46">
      <c r="C628">
        <v>65</v>
      </c>
      <c r="D628">
        <v>5.865102639296188E-2</v>
      </c>
      <c r="E628">
        <v>2.4633431085044011E-2</v>
      </c>
      <c r="F628">
        <v>1.4076246334310816E-2</v>
      </c>
      <c r="G628">
        <v>7.6246334310849928E-3</v>
      </c>
      <c r="H628">
        <v>3.9100684261975096E-3</v>
      </c>
      <c r="I628">
        <v>2.9325513196480643E-3</v>
      </c>
      <c r="J628">
        <v>0.18885630498533723</v>
      </c>
      <c r="K628">
        <v>0.2228739002932551</v>
      </c>
      <c r="L628">
        <v>0.23870967741935489</v>
      </c>
      <c r="M628">
        <v>0.25161290322580654</v>
      </c>
      <c r="N628">
        <v>0.26275659824046899</v>
      </c>
      <c r="O628">
        <v>0.26686217008797664</v>
      </c>
      <c r="P628">
        <v>0.98</v>
      </c>
      <c r="Q628">
        <v>0.97</v>
      </c>
      <c r="R628">
        <v>0.97</v>
      </c>
      <c r="S628">
        <v>0.97</v>
      </c>
      <c r="T628">
        <v>0.97</v>
      </c>
      <c r="U628">
        <v>0.97</v>
      </c>
      <c r="V628">
        <v>65</v>
      </c>
      <c r="W628">
        <v>5071</v>
      </c>
      <c r="X628">
        <v>4830</v>
      </c>
      <c r="Y628">
        <v>4432</v>
      </c>
      <c r="Z628">
        <v>3671</v>
      </c>
      <c r="AA628">
        <v>20067</v>
      </c>
      <c r="AB628">
        <v>12190</v>
      </c>
      <c r="AC628">
        <v>15383</v>
      </c>
      <c r="AD628">
        <v>12190</v>
      </c>
      <c r="AE628">
        <f t="shared" si="8"/>
        <v>7</v>
      </c>
      <c r="AF628">
        <f t="shared" si="7"/>
        <v>78</v>
      </c>
      <c r="AG628">
        <v>5</v>
      </c>
      <c r="AH628">
        <v>2</v>
      </c>
      <c r="AI628">
        <v>1</v>
      </c>
      <c r="AJ628">
        <v>16</v>
      </c>
      <c r="AK628">
        <v>12</v>
      </c>
      <c r="AL628">
        <v>4</v>
      </c>
      <c r="AM628">
        <v>5.42</v>
      </c>
      <c r="AO628" t="s">
        <v>513</v>
      </c>
      <c r="AP628">
        <v>2.9</v>
      </c>
      <c r="AQ628">
        <v>0.84</v>
      </c>
      <c r="AR628">
        <v>33.99</v>
      </c>
    </row>
    <row r="629" spans="2:46">
      <c r="C629">
        <v>75</v>
      </c>
      <c r="D629">
        <v>6.9208211143694964E-2</v>
      </c>
      <c r="E629">
        <v>2.9325513196480912E-2</v>
      </c>
      <c r="F629">
        <v>1.6422287390029378E-2</v>
      </c>
      <c r="G629">
        <v>9.3841642228739142E-3</v>
      </c>
      <c r="H629">
        <v>4.8875855327468179E-3</v>
      </c>
      <c r="I629">
        <v>3.6656891495601149E-3</v>
      </c>
      <c r="J629">
        <v>0.20117302052785929</v>
      </c>
      <c r="K629">
        <v>0.24105571847507334</v>
      </c>
      <c r="L629">
        <v>0.26041055718475065</v>
      </c>
      <c r="M629">
        <v>0.27448680351906157</v>
      </c>
      <c r="N629">
        <v>0.28797653958944286</v>
      </c>
      <c r="O629">
        <v>0.29310850439882702</v>
      </c>
      <c r="P629">
        <v>0.98</v>
      </c>
      <c r="Q629">
        <v>0.97</v>
      </c>
      <c r="R629">
        <v>0.97</v>
      </c>
      <c r="S629">
        <v>0.97</v>
      </c>
      <c r="T629">
        <v>0.97</v>
      </c>
      <c r="U629">
        <v>0.97</v>
      </c>
      <c r="V629">
        <v>75</v>
      </c>
      <c r="W629">
        <v>5071</v>
      </c>
      <c r="X629">
        <v>4830</v>
      </c>
      <c r="Y629">
        <v>4432</v>
      </c>
      <c r="Z629">
        <v>3671</v>
      </c>
      <c r="AA629">
        <v>20067</v>
      </c>
      <c r="AB629">
        <v>12190</v>
      </c>
      <c r="AC629">
        <v>15383</v>
      </c>
      <c r="AD629">
        <v>12190</v>
      </c>
      <c r="AE629">
        <f t="shared" si="8"/>
        <v>8</v>
      </c>
      <c r="AF629">
        <f t="shared" si="7"/>
        <v>90</v>
      </c>
      <c r="AG629">
        <v>5</v>
      </c>
      <c r="AH629">
        <v>2</v>
      </c>
      <c r="AI629">
        <v>1</v>
      </c>
      <c r="AJ629">
        <v>16</v>
      </c>
      <c r="AK629">
        <v>12</v>
      </c>
      <c r="AL629">
        <v>4</v>
      </c>
      <c r="AM629">
        <v>6.25</v>
      </c>
      <c r="AO629" t="s">
        <v>514</v>
      </c>
      <c r="AP629">
        <v>1.9</v>
      </c>
      <c r="AQ629">
        <v>0.85</v>
      </c>
      <c r="AR629">
        <v>62.74</v>
      </c>
    </row>
    <row r="630" spans="2:46">
      <c r="C630">
        <v>85</v>
      </c>
      <c r="D630">
        <v>7.8592375366568934E-2</v>
      </c>
      <c r="E630">
        <v>3.5190615835777095E-2</v>
      </c>
      <c r="F630">
        <v>1.9941348973607109E-2</v>
      </c>
      <c r="G630">
        <v>1.114369501466278E-2</v>
      </c>
      <c r="H630">
        <v>5.8651026392961721E-3</v>
      </c>
      <c r="I630">
        <v>3.6656891495601149E-3</v>
      </c>
      <c r="J630">
        <v>0.21231671554252196</v>
      </c>
      <c r="K630">
        <v>0.2557184750733138</v>
      </c>
      <c r="L630">
        <v>0.27859237536656878</v>
      </c>
      <c r="M630">
        <v>0.29618768328445744</v>
      </c>
      <c r="N630">
        <v>0.31202346041055729</v>
      </c>
      <c r="O630">
        <v>0.32126099706744871</v>
      </c>
      <c r="P630">
        <v>0.98</v>
      </c>
      <c r="Q630">
        <v>0.97</v>
      </c>
      <c r="R630">
        <v>0.97</v>
      </c>
      <c r="S630">
        <v>0.97</v>
      </c>
      <c r="T630">
        <v>0.97</v>
      </c>
      <c r="U630">
        <v>0.97</v>
      </c>
      <c r="V630">
        <v>85</v>
      </c>
      <c r="W630">
        <v>5071</v>
      </c>
      <c r="X630">
        <v>4830</v>
      </c>
      <c r="Y630">
        <v>4432</v>
      </c>
      <c r="Z630">
        <v>3671</v>
      </c>
      <c r="AA630">
        <v>20067</v>
      </c>
      <c r="AB630">
        <v>12190</v>
      </c>
      <c r="AC630">
        <v>15383</v>
      </c>
      <c r="AD630">
        <v>12190</v>
      </c>
      <c r="AE630">
        <f t="shared" si="8"/>
        <v>9</v>
      </c>
      <c r="AF630">
        <f t="shared" si="7"/>
        <v>102</v>
      </c>
      <c r="AG630">
        <v>5</v>
      </c>
      <c r="AH630">
        <v>2</v>
      </c>
      <c r="AI630">
        <v>1</v>
      </c>
      <c r="AJ630">
        <v>16</v>
      </c>
      <c r="AK630">
        <v>12</v>
      </c>
      <c r="AL630">
        <v>4</v>
      </c>
      <c r="AM630">
        <v>7.08</v>
      </c>
      <c r="AO630" t="s">
        <v>515</v>
      </c>
      <c r="AP630">
        <v>1</v>
      </c>
      <c r="AQ630">
        <v>1</v>
      </c>
      <c r="AR630">
        <v>111.29</v>
      </c>
    </row>
    <row r="631" spans="2:46">
      <c r="C631">
        <v>95</v>
      </c>
      <c r="D631">
        <v>8.9149560117302018E-2</v>
      </c>
      <c r="E631">
        <v>3.9882697947214107E-2</v>
      </c>
      <c r="F631">
        <v>2.346041055718473E-2</v>
      </c>
      <c r="G631">
        <v>1.290322580645159E-2</v>
      </c>
      <c r="H631">
        <v>6.8426197458455731E-3</v>
      </c>
      <c r="I631">
        <v>3.6656891495601149E-3</v>
      </c>
      <c r="J631">
        <v>0.22111436950146629</v>
      </c>
      <c r="K631">
        <v>0.2703812316715542</v>
      </c>
      <c r="L631">
        <v>0.29501466275659827</v>
      </c>
      <c r="M631">
        <v>0.31612903225806455</v>
      </c>
      <c r="N631">
        <v>0.33431085043988262</v>
      </c>
      <c r="O631">
        <v>0.34765395894428153</v>
      </c>
      <c r="P631">
        <v>0.98</v>
      </c>
      <c r="Q631">
        <v>0.97</v>
      </c>
      <c r="R631">
        <v>0.97</v>
      </c>
      <c r="S631">
        <v>0.97</v>
      </c>
      <c r="T631">
        <v>0.97</v>
      </c>
      <c r="U631">
        <v>0.97</v>
      </c>
      <c r="V631">
        <v>95</v>
      </c>
      <c r="W631">
        <v>5071</v>
      </c>
      <c r="X631">
        <v>4830</v>
      </c>
      <c r="Y631">
        <v>4432</v>
      </c>
      <c r="Z631">
        <v>3671</v>
      </c>
      <c r="AA631">
        <v>20067</v>
      </c>
      <c r="AB631">
        <v>12190</v>
      </c>
      <c r="AC631">
        <v>15383</v>
      </c>
      <c r="AD631">
        <v>12190</v>
      </c>
      <c r="AE631">
        <f t="shared" si="8"/>
        <v>10</v>
      </c>
      <c r="AF631">
        <f t="shared" si="7"/>
        <v>114</v>
      </c>
      <c r="AG631">
        <v>5</v>
      </c>
      <c r="AH631">
        <v>2</v>
      </c>
      <c r="AI631">
        <v>1</v>
      </c>
      <c r="AJ631">
        <v>16</v>
      </c>
      <c r="AK631">
        <v>12</v>
      </c>
      <c r="AL631">
        <v>4</v>
      </c>
      <c r="AM631">
        <v>7.92</v>
      </c>
      <c r="AN631">
        <v>4</v>
      </c>
      <c r="AO631" t="s">
        <v>512</v>
      </c>
      <c r="AP631">
        <v>3.2</v>
      </c>
      <c r="AQ631">
        <v>0.85</v>
      </c>
      <c r="AR631">
        <v>30.98</v>
      </c>
    </row>
    <row r="632" spans="2:46">
      <c r="C632">
        <v>105</v>
      </c>
      <c r="D632">
        <v>9.9706744868035102E-2</v>
      </c>
      <c r="E632">
        <v>4.4574780058651009E-2</v>
      </c>
      <c r="F632">
        <v>2.5806451612903292E-2</v>
      </c>
      <c r="G632">
        <v>1.4662756598240456E-2</v>
      </c>
      <c r="H632">
        <v>7.8201368523949273E-3</v>
      </c>
      <c r="I632">
        <v>5.1319648093841467E-3</v>
      </c>
      <c r="J632">
        <v>0.22873900293255139</v>
      </c>
      <c r="K632">
        <v>0.28387096774193549</v>
      </c>
      <c r="L632">
        <v>0.31202346041055706</v>
      </c>
      <c r="M632">
        <v>0.33431085043988273</v>
      </c>
      <c r="N632">
        <v>0.35483870967741932</v>
      </c>
      <c r="O632">
        <v>0.36612903225806459</v>
      </c>
      <c r="P632">
        <v>0.98</v>
      </c>
      <c r="Q632">
        <v>0.97</v>
      </c>
      <c r="R632">
        <v>0.97</v>
      </c>
      <c r="S632">
        <v>0.97</v>
      </c>
      <c r="T632">
        <v>0.97</v>
      </c>
      <c r="U632">
        <v>0.97</v>
      </c>
      <c r="V632">
        <v>105</v>
      </c>
      <c r="W632">
        <v>5071</v>
      </c>
      <c r="X632">
        <v>4830</v>
      </c>
      <c r="Y632">
        <v>4432</v>
      </c>
      <c r="Z632">
        <v>3671</v>
      </c>
      <c r="AA632">
        <v>20067</v>
      </c>
      <c r="AB632">
        <v>12190</v>
      </c>
      <c r="AC632">
        <v>15383</v>
      </c>
      <c r="AD632">
        <v>12190</v>
      </c>
      <c r="AO632" t="s">
        <v>513</v>
      </c>
      <c r="AP632">
        <v>2.9</v>
      </c>
      <c r="AQ632">
        <v>0.84</v>
      </c>
      <c r="AR632">
        <v>48.05</v>
      </c>
    </row>
    <row r="633" spans="2:46">
      <c r="C633">
        <v>115</v>
      </c>
      <c r="D633">
        <v>0.10909090909090902</v>
      </c>
      <c r="E633">
        <v>5.0439882697947191E-2</v>
      </c>
      <c r="F633">
        <v>2.8152492668621742E-2</v>
      </c>
      <c r="G633">
        <v>1.6422287390029322E-2</v>
      </c>
      <c r="H633">
        <v>8.7976539589443275E-3</v>
      </c>
      <c r="I633">
        <v>5.8651026392961287E-3</v>
      </c>
      <c r="J633">
        <v>0.2357771260997068</v>
      </c>
      <c r="K633">
        <v>0.29442815249266863</v>
      </c>
      <c r="L633">
        <v>0.3278592375366568</v>
      </c>
      <c r="M633">
        <v>0.35131964809384164</v>
      </c>
      <c r="N633">
        <v>0.37419354838709662</v>
      </c>
      <c r="O633">
        <v>0.38651026392961907</v>
      </c>
      <c r="P633">
        <v>0.98</v>
      </c>
      <c r="Q633">
        <v>0.97</v>
      </c>
      <c r="R633">
        <v>0.97</v>
      </c>
      <c r="S633">
        <v>0.97</v>
      </c>
      <c r="T633">
        <v>0.97</v>
      </c>
      <c r="U633">
        <v>0.97</v>
      </c>
      <c r="V633">
        <v>115</v>
      </c>
      <c r="W633">
        <v>5071</v>
      </c>
      <c r="X633">
        <v>4830</v>
      </c>
      <c r="Y633">
        <v>4432</v>
      </c>
      <c r="Z633">
        <v>3671</v>
      </c>
      <c r="AA633">
        <v>20067</v>
      </c>
      <c r="AB633">
        <v>12190</v>
      </c>
      <c r="AC633">
        <v>15383</v>
      </c>
      <c r="AD633">
        <v>12190</v>
      </c>
      <c r="AO633" t="s">
        <v>514</v>
      </c>
      <c r="AP633">
        <v>1.9</v>
      </c>
      <c r="AQ633">
        <v>0.85</v>
      </c>
      <c r="AR633">
        <v>88.71</v>
      </c>
    </row>
    <row r="634" spans="2:46">
      <c r="C634">
        <v>125</v>
      </c>
      <c r="D634">
        <v>0.11847507331378293</v>
      </c>
      <c r="E634">
        <v>5.5131964809384204E-2</v>
      </c>
      <c r="F634">
        <v>3.1671554252199363E-2</v>
      </c>
      <c r="G634">
        <v>1.8181818181818188E-2</v>
      </c>
      <c r="H634">
        <v>9.7751710654936357E-3</v>
      </c>
      <c r="I634">
        <v>6.5982404692081793E-3</v>
      </c>
      <c r="J634">
        <v>0.24222873900293262</v>
      </c>
      <c r="K634">
        <v>0.30557184750733135</v>
      </c>
      <c r="L634">
        <v>0.34076246334310861</v>
      </c>
      <c r="M634">
        <v>0.36774193548387096</v>
      </c>
      <c r="N634">
        <v>0.39296187683284461</v>
      </c>
      <c r="O634">
        <v>0.40630498533724352</v>
      </c>
      <c r="P634">
        <v>0.98</v>
      </c>
      <c r="Q634">
        <v>0.97</v>
      </c>
      <c r="R634">
        <v>0.97</v>
      </c>
      <c r="S634">
        <v>0.97</v>
      </c>
      <c r="T634">
        <v>0.97</v>
      </c>
      <c r="U634">
        <v>0.97</v>
      </c>
      <c r="V634">
        <v>125</v>
      </c>
      <c r="W634">
        <v>5071</v>
      </c>
      <c r="X634">
        <v>4830</v>
      </c>
      <c r="Y634">
        <v>4432</v>
      </c>
      <c r="Z634">
        <v>3671</v>
      </c>
      <c r="AA634">
        <v>20067</v>
      </c>
      <c r="AB634">
        <v>12190</v>
      </c>
      <c r="AC634">
        <v>15383</v>
      </c>
      <c r="AD634">
        <v>12190</v>
      </c>
      <c r="AO634" t="s">
        <v>515</v>
      </c>
      <c r="AP634">
        <v>1</v>
      </c>
      <c r="AQ634">
        <v>1</v>
      </c>
      <c r="AR634">
        <v>157.34</v>
      </c>
    </row>
    <row r="635" spans="2:46">
      <c r="C635">
        <v>135</v>
      </c>
      <c r="D635">
        <v>0.12785923753665696</v>
      </c>
      <c r="E635">
        <v>5.9824046920821106E-2</v>
      </c>
      <c r="F635">
        <v>3.5190615835777095E-2</v>
      </c>
      <c r="G635">
        <v>1.9941348973607054E-2</v>
      </c>
      <c r="H635">
        <v>1.0752688172042991E-2</v>
      </c>
      <c r="I635">
        <v>7.3313782991202298E-3</v>
      </c>
      <c r="J635">
        <v>0.24750733137829906</v>
      </c>
      <c r="K635">
        <v>0.31554252199413491</v>
      </c>
      <c r="L635">
        <v>0.35249266862170092</v>
      </c>
      <c r="M635">
        <v>0.382991202346041</v>
      </c>
      <c r="N635">
        <v>0.41055718475073322</v>
      </c>
      <c r="O635">
        <v>0.4249266862170088</v>
      </c>
      <c r="P635">
        <v>0.98</v>
      </c>
      <c r="Q635">
        <v>0.97</v>
      </c>
      <c r="R635">
        <v>0.97</v>
      </c>
      <c r="S635">
        <v>0.97</v>
      </c>
      <c r="T635">
        <v>0.97</v>
      </c>
      <c r="U635">
        <v>0.97</v>
      </c>
      <c r="V635">
        <v>135</v>
      </c>
      <c r="W635">
        <v>5071</v>
      </c>
      <c r="X635">
        <v>4830</v>
      </c>
      <c r="Y635">
        <v>4432</v>
      </c>
      <c r="Z635">
        <v>3671</v>
      </c>
      <c r="AA635">
        <v>20067</v>
      </c>
      <c r="AB635">
        <v>12190</v>
      </c>
      <c r="AC635">
        <v>15383</v>
      </c>
      <c r="AD635">
        <v>12190</v>
      </c>
      <c r="AN635">
        <v>5</v>
      </c>
      <c r="AO635" t="s">
        <v>512</v>
      </c>
      <c r="AP635">
        <v>3.6</v>
      </c>
      <c r="AQ635">
        <v>0.85</v>
      </c>
      <c r="AR635">
        <v>38.94</v>
      </c>
    </row>
    <row r="636" spans="2:46">
      <c r="C636">
        <v>145</v>
      </c>
      <c r="D636">
        <v>0.13724340175953076</v>
      </c>
      <c r="E636">
        <v>6.4516129032258118E-2</v>
      </c>
      <c r="F636">
        <v>3.7536656891495546E-2</v>
      </c>
      <c r="G636">
        <v>2.170087976539592E-2</v>
      </c>
      <c r="H636">
        <v>1.2218963831866998E-2</v>
      </c>
      <c r="I636">
        <v>7.3313782991202992E-3</v>
      </c>
      <c r="J636">
        <v>0.25219941348973612</v>
      </c>
      <c r="K636">
        <v>0.32492668621700876</v>
      </c>
      <c r="L636">
        <v>0.36539589442815262</v>
      </c>
      <c r="M636">
        <v>0.39706744868035188</v>
      </c>
      <c r="N636">
        <v>0.42551319648093866</v>
      </c>
      <c r="O636">
        <v>0.4460410557184748</v>
      </c>
      <c r="P636">
        <v>0.98</v>
      </c>
      <c r="Q636">
        <v>0.97</v>
      </c>
      <c r="R636">
        <v>0.97</v>
      </c>
      <c r="S636">
        <v>0.97</v>
      </c>
      <c r="T636">
        <v>0.97</v>
      </c>
      <c r="U636">
        <v>0.97</v>
      </c>
      <c r="V636">
        <v>145</v>
      </c>
      <c r="W636">
        <v>5071</v>
      </c>
      <c r="X636">
        <v>4830</v>
      </c>
      <c r="Y636">
        <v>4432</v>
      </c>
      <c r="Z636">
        <v>3671</v>
      </c>
      <c r="AA636">
        <v>20067</v>
      </c>
      <c r="AB636">
        <v>12190</v>
      </c>
      <c r="AC636">
        <v>15383</v>
      </c>
      <c r="AD636">
        <v>12190</v>
      </c>
      <c r="AO636" t="s">
        <v>513</v>
      </c>
      <c r="AP636">
        <v>3.2</v>
      </c>
      <c r="AQ636">
        <v>0.84</v>
      </c>
      <c r="AR636">
        <v>60.4</v>
      </c>
    </row>
    <row r="637" spans="2:46">
      <c r="C637">
        <v>155</v>
      </c>
      <c r="D637">
        <v>0.1454545454545455</v>
      </c>
      <c r="E637">
        <v>6.920821114369502E-2</v>
      </c>
      <c r="F637">
        <v>4.1055718475073277E-2</v>
      </c>
      <c r="G637">
        <v>2.404692082111437E-2</v>
      </c>
      <c r="H637">
        <v>1.2707722385141699E-2</v>
      </c>
      <c r="I637">
        <v>8.0645161290324192E-3</v>
      </c>
      <c r="J637">
        <v>0.25689149560117297</v>
      </c>
      <c r="K637">
        <v>0.33313782991202345</v>
      </c>
      <c r="L637">
        <v>0.37536656891495607</v>
      </c>
      <c r="M637">
        <v>0.40938416422287388</v>
      </c>
      <c r="N637">
        <v>0.44340175953079192</v>
      </c>
      <c r="O637">
        <v>0.46290322580645088</v>
      </c>
      <c r="P637">
        <v>0.98</v>
      </c>
      <c r="Q637">
        <v>0.97</v>
      </c>
      <c r="R637">
        <v>0.97</v>
      </c>
      <c r="S637">
        <v>0.97</v>
      </c>
      <c r="T637">
        <v>0.97</v>
      </c>
      <c r="U637">
        <v>0.97</v>
      </c>
      <c r="V637">
        <v>155</v>
      </c>
      <c r="W637">
        <v>5071</v>
      </c>
      <c r="X637">
        <v>4830</v>
      </c>
      <c r="Y637">
        <v>4432</v>
      </c>
      <c r="Z637">
        <v>3671</v>
      </c>
      <c r="AA637">
        <v>20067</v>
      </c>
      <c r="AB637">
        <v>12190</v>
      </c>
      <c r="AC637">
        <v>15383</v>
      </c>
      <c r="AD637">
        <v>12190</v>
      </c>
      <c r="AO637" t="s">
        <v>514</v>
      </c>
      <c r="AP637">
        <v>2.2000000000000002</v>
      </c>
      <c r="AQ637">
        <v>0.85</v>
      </c>
      <c r="AR637">
        <v>111.5</v>
      </c>
    </row>
    <row r="638" spans="2:46">
      <c r="B638">
        <v>3</v>
      </c>
      <c r="C638">
        <v>15</v>
      </c>
      <c r="D638">
        <v>1.4076246334310871E-2</v>
      </c>
      <c r="E638">
        <v>5.8651026392961825E-3</v>
      </c>
      <c r="F638">
        <v>2.3460410557184508E-3</v>
      </c>
      <c r="G638">
        <v>1.1730205278592254E-3</v>
      </c>
      <c r="H638">
        <v>9.7751710654937741E-4</v>
      </c>
      <c r="I638">
        <v>7.3313782991205078E-4</v>
      </c>
      <c r="J638">
        <v>0.12727272727272726</v>
      </c>
      <c r="K638">
        <v>0.13548387096774195</v>
      </c>
      <c r="L638">
        <v>0.14076246334310855</v>
      </c>
      <c r="M638">
        <v>0.143108504398827</v>
      </c>
      <c r="N638">
        <v>0.14369501466275655</v>
      </c>
      <c r="O638">
        <v>0.14472140762463331</v>
      </c>
      <c r="P638">
        <v>0.98</v>
      </c>
      <c r="Q638">
        <v>0.97</v>
      </c>
      <c r="R638">
        <v>0.97</v>
      </c>
      <c r="S638">
        <v>0.97</v>
      </c>
      <c r="T638">
        <v>0.97</v>
      </c>
      <c r="U638">
        <v>0.97</v>
      </c>
      <c r="AO638" t="s">
        <v>515</v>
      </c>
      <c r="AP638">
        <v>1.2</v>
      </c>
      <c r="AQ638">
        <v>1</v>
      </c>
      <c r="AR638">
        <v>197.78</v>
      </c>
    </row>
    <row r="639" spans="2:46">
      <c r="C639">
        <v>25</v>
      </c>
      <c r="D639">
        <v>3.1671554252199474E-2</v>
      </c>
      <c r="E639">
        <v>1.1730205278592365E-2</v>
      </c>
      <c r="F639">
        <v>7.0381231671554079E-3</v>
      </c>
      <c r="G639">
        <v>3.5190615835777317E-3</v>
      </c>
      <c r="H639">
        <v>1.4662756598240547E-3</v>
      </c>
      <c r="I639">
        <v>1.4662756598239975E-3</v>
      </c>
      <c r="J639">
        <v>0.17829912023460406</v>
      </c>
      <c r="K639">
        <v>0.19824046920821117</v>
      </c>
      <c r="L639">
        <v>0.20527859237536661</v>
      </c>
      <c r="M639">
        <v>0.21231671554252196</v>
      </c>
      <c r="N639">
        <v>0.21847507331378299</v>
      </c>
      <c r="O639">
        <v>0.21847507331378324</v>
      </c>
      <c r="P639">
        <v>0.98</v>
      </c>
      <c r="Q639">
        <v>0.97</v>
      </c>
      <c r="R639">
        <v>0.97</v>
      </c>
      <c r="S639">
        <v>0.97</v>
      </c>
      <c r="T639">
        <v>0.97</v>
      </c>
      <c r="U639">
        <v>0.97</v>
      </c>
      <c r="AN639">
        <v>6</v>
      </c>
      <c r="AO639" t="s">
        <v>512</v>
      </c>
      <c r="AP639">
        <v>3.2</v>
      </c>
      <c r="AQ639">
        <v>0.85</v>
      </c>
      <c r="AR639">
        <v>46.41</v>
      </c>
      <c r="AT639" s="69"/>
    </row>
    <row r="640" spans="2:46">
      <c r="C640">
        <v>35</v>
      </c>
      <c r="D640">
        <v>5.0439882697947247E-2</v>
      </c>
      <c r="E640">
        <v>1.9941348973606998E-2</v>
      </c>
      <c r="F640">
        <v>1.1730205278592365E-2</v>
      </c>
      <c r="G640">
        <v>5.8651026392961825E-3</v>
      </c>
      <c r="H640">
        <v>2.9325513196481095E-3</v>
      </c>
      <c r="I640">
        <v>2.1994134897360134E-3</v>
      </c>
      <c r="J640">
        <v>0.21700879765395892</v>
      </c>
      <c r="K640">
        <v>0.24750733137829917</v>
      </c>
      <c r="L640">
        <v>0.25982404692082112</v>
      </c>
      <c r="M640">
        <v>0.27155425219941348</v>
      </c>
      <c r="N640">
        <v>0.2803519061583577</v>
      </c>
      <c r="O640">
        <v>0.28343108504398851</v>
      </c>
      <c r="P640">
        <v>0.98</v>
      </c>
      <c r="Q640">
        <v>0.97</v>
      </c>
      <c r="R640">
        <v>0.97</v>
      </c>
      <c r="S640">
        <v>0.97</v>
      </c>
      <c r="T640">
        <v>0.97</v>
      </c>
      <c r="U640">
        <v>0.97</v>
      </c>
      <c r="AO640" t="s">
        <v>513</v>
      </c>
      <c r="AP640">
        <v>2.9</v>
      </c>
      <c r="AQ640">
        <v>0.84</v>
      </c>
      <c r="AR640">
        <v>71.97</v>
      </c>
    </row>
    <row r="641" spans="2:44">
      <c r="C641">
        <v>45</v>
      </c>
      <c r="D641">
        <v>7.0381231671554301E-2</v>
      </c>
      <c r="E641">
        <v>2.9325513196480912E-2</v>
      </c>
      <c r="F641">
        <v>1.6422287390029378E-2</v>
      </c>
      <c r="G641">
        <v>8.7976539589443292E-3</v>
      </c>
      <c r="H641">
        <v>4.3988269794720718E-3</v>
      </c>
      <c r="I641">
        <v>2.9325513196481337E-3</v>
      </c>
      <c r="J641">
        <v>0.24633431085043983</v>
      </c>
      <c r="K641">
        <v>0.28739002932551322</v>
      </c>
      <c r="L641">
        <v>0.30674486803519052</v>
      </c>
      <c r="M641">
        <v>0.32199413489736062</v>
      </c>
      <c r="N641">
        <v>0.33519061583577736</v>
      </c>
      <c r="O641">
        <v>0.34134897360703792</v>
      </c>
      <c r="P641">
        <v>0.98</v>
      </c>
      <c r="Q641">
        <v>0.97</v>
      </c>
      <c r="R641">
        <v>0.97</v>
      </c>
      <c r="S641">
        <v>0.97</v>
      </c>
      <c r="T641">
        <v>0.97</v>
      </c>
      <c r="U641">
        <v>0.97</v>
      </c>
      <c r="AO641" t="s">
        <v>514</v>
      </c>
      <c r="AP641">
        <v>1.9</v>
      </c>
      <c r="AQ641">
        <v>0.85</v>
      </c>
      <c r="AR641">
        <v>132.87</v>
      </c>
    </row>
    <row r="642" spans="2:44">
      <c r="C642">
        <v>55</v>
      </c>
      <c r="D642">
        <v>9.149560117302058E-2</v>
      </c>
      <c r="E642">
        <v>3.8709677419354827E-2</v>
      </c>
      <c r="F642">
        <v>2.1114369501466279E-2</v>
      </c>
      <c r="G642">
        <v>1.1730205278592365E-2</v>
      </c>
      <c r="H642">
        <v>6.353861192570873E-3</v>
      </c>
      <c r="I642">
        <v>3.6656891495601149E-3</v>
      </c>
      <c r="J642">
        <v>0.26920821114369498</v>
      </c>
      <c r="K642">
        <v>0.32199413489736073</v>
      </c>
      <c r="L642">
        <v>0.34838709677419355</v>
      </c>
      <c r="M642">
        <v>0.36715542521994138</v>
      </c>
      <c r="N642">
        <v>0.38328445747800588</v>
      </c>
      <c r="O642">
        <v>0.39457478005865104</v>
      </c>
      <c r="P642">
        <v>0.98</v>
      </c>
      <c r="Q642">
        <v>0.97</v>
      </c>
      <c r="R642">
        <v>0.97</v>
      </c>
      <c r="S642">
        <v>0.97</v>
      </c>
      <c r="T642">
        <v>0.97</v>
      </c>
      <c r="U642">
        <v>0.97</v>
      </c>
      <c r="AO642" t="s">
        <v>515</v>
      </c>
      <c r="AP642">
        <v>1</v>
      </c>
      <c r="AQ642">
        <v>1</v>
      </c>
      <c r="AR642">
        <v>235.68</v>
      </c>
    </row>
    <row r="643" spans="2:44">
      <c r="C643">
        <v>65</v>
      </c>
      <c r="D643">
        <v>0.11143695014662747</v>
      </c>
      <c r="E643">
        <v>4.6920821114369571E-2</v>
      </c>
      <c r="F643">
        <v>2.6979472140762462E-2</v>
      </c>
      <c r="G643">
        <v>1.5249266862170097E-2</v>
      </c>
      <c r="H643">
        <v>7.8201368523949273E-3</v>
      </c>
      <c r="I643">
        <v>5.1319648093840773E-3</v>
      </c>
      <c r="J643">
        <v>0.2885630498533725</v>
      </c>
      <c r="K643">
        <v>0.3530791788856304</v>
      </c>
      <c r="L643">
        <v>0.38299120234604106</v>
      </c>
      <c r="M643">
        <v>0.40645161290322579</v>
      </c>
      <c r="N643">
        <v>0.42873900293255129</v>
      </c>
      <c r="O643">
        <v>0.44002932551319685</v>
      </c>
      <c r="P643">
        <v>0.98</v>
      </c>
      <c r="Q643">
        <v>0.97</v>
      </c>
      <c r="R643">
        <v>0.97</v>
      </c>
      <c r="S643">
        <v>0.97</v>
      </c>
      <c r="T643">
        <v>0.97</v>
      </c>
      <c r="U643">
        <v>0.97</v>
      </c>
      <c r="AN643">
        <v>7</v>
      </c>
      <c r="AO643" t="s">
        <v>512</v>
      </c>
      <c r="AP643">
        <v>4.2</v>
      </c>
      <c r="AQ643">
        <v>0.9</v>
      </c>
      <c r="AR643">
        <v>54.08</v>
      </c>
    </row>
    <row r="644" spans="2:44">
      <c r="C644">
        <v>75</v>
      </c>
      <c r="D644">
        <v>0.1302052785923753</v>
      </c>
      <c r="E644">
        <v>5.7478005865102655E-2</v>
      </c>
      <c r="F644">
        <v>3.2844574780058644E-2</v>
      </c>
      <c r="G644">
        <v>1.8181818181818243E-2</v>
      </c>
      <c r="H644">
        <v>9.2864125122188897E-3</v>
      </c>
      <c r="I644">
        <v>6.5982404692081793E-3</v>
      </c>
      <c r="J644">
        <v>0.30498533724340182</v>
      </c>
      <c r="K644">
        <v>0.37771260997067446</v>
      </c>
      <c r="L644">
        <v>0.41466275659824048</v>
      </c>
      <c r="M644">
        <v>0.44398826979472128</v>
      </c>
      <c r="N644">
        <v>0.47067448680351931</v>
      </c>
      <c r="O644">
        <v>0.48196480938416431</v>
      </c>
      <c r="P644">
        <v>0.98</v>
      </c>
      <c r="Q644">
        <v>0.97</v>
      </c>
      <c r="R644">
        <v>0.97</v>
      </c>
      <c r="S644">
        <v>0.97</v>
      </c>
      <c r="T644">
        <v>0.97</v>
      </c>
      <c r="U644">
        <v>0.97</v>
      </c>
      <c r="AO644" t="s">
        <v>513</v>
      </c>
      <c r="AP644">
        <v>3.8</v>
      </c>
      <c r="AQ644">
        <v>0.9</v>
      </c>
      <c r="AR644">
        <v>83.66</v>
      </c>
    </row>
    <row r="645" spans="2:44">
      <c r="C645">
        <v>85</v>
      </c>
      <c r="D645">
        <v>0.1501466275659824</v>
      </c>
      <c r="E645">
        <v>6.686217008797668E-2</v>
      </c>
      <c r="F645">
        <v>3.8709677419354716E-2</v>
      </c>
      <c r="G645">
        <v>2.1114369501466279E-2</v>
      </c>
      <c r="H645">
        <v>1.1730205278592438E-2</v>
      </c>
      <c r="I645">
        <v>7.331378299120091E-3</v>
      </c>
      <c r="J645">
        <v>0.31730205278592377</v>
      </c>
      <c r="K645">
        <v>0.4005865102639295</v>
      </c>
      <c r="L645">
        <v>0.44281524926686244</v>
      </c>
      <c r="M645">
        <v>0.47800586510263932</v>
      </c>
      <c r="N645">
        <v>0.50615835777126084</v>
      </c>
      <c r="O645">
        <v>0.52463343108504468</v>
      </c>
      <c r="P645">
        <v>0.98</v>
      </c>
      <c r="Q645">
        <v>0.97</v>
      </c>
      <c r="R645">
        <v>0.97</v>
      </c>
      <c r="S645">
        <v>0.97</v>
      </c>
      <c r="T645">
        <v>0.97</v>
      </c>
      <c r="U645">
        <v>0.97</v>
      </c>
      <c r="AO645" t="s">
        <v>514</v>
      </c>
      <c r="AP645">
        <v>2.6</v>
      </c>
      <c r="AQ645">
        <v>0.9</v>
      </c>
      <c r="AR645">
        <v>153.12</v>
      </c>
    </row>
    <row r="646" spans="2:44">
      <c r="C646">
        <v>95</v>
      </c>
      <c r="D646">
        <v>0.16891495601173012</v>
      </c>
      <c r="E646">
        <v>7.6246334310850372E-2</v>
      </c>
      <c r="F646">
        <v>4.3401759530791839E-2</v>
      </c>
      <c r="G646">
        <v>2.5219941348973651E-2</v>
      </c>
      <c r="H646">
        <v>1.3196480938416353E-2</v>
      </c>
      <c r="I646">
        <v>8.0645161290324192E-3</v>
      </c>
      <c r="J646">
        <v>0.32844574780058655</v>
      </c>
      <c r="K646">
        <v>0.4211143695014663</v>
      </c>
      <c r="L646">
        <v>0.4703812316715541</v>
      </c>
      <c r="M646">
        <v>0.50674486803519048</v>
      </c>
      <c r="N646">
        <v>0.54281524926686242</v>
      </c>
      <c r="O646">
        <v>0.56436950146627485</v>
      </c>
      <c r="P646">
        <v>0.98</v>
      </c>
      <c r="Q646">
        <v>0.97</v>
      </c>
      <c r="R646">
        <v>0.97</v>
      </c>
      <c r="S646">
        <v>0.97</v>
      </c>
      <c r="T646">
        <v>0.97</v>
      </c>
      <c r="U646">
        <v>0.97</v>
      </c>
      <c r="AO646" t="s">
        <v>515</v>
      </c>
      <c r="AP646">
        <v>1.4</v>
      </c>
      <c r="AQ646">
        <v>1</v>
      </c>
      <c r="AR646">
        <v>271.58</v>
      </c>
    </row>
    <row r="647" spans="2:44">
      <c r="C647">
        <v>105</v>
      </c>
      <c r="D647">
        <v>0.18651026392961867</v>
      </c>
      <c r="E647">
        <v>8.5630498533724397E-2</v>
      </c>
      <c r="F647">
        <v>4.9266862170088022E-2</v>
      </c>
      <c r="G647">
        <v>2.8152492668621742E-2</v>
      </c>
      <c r="H647">
        <v>1.5151515151515154E-2</v>
      </c>
      <c r="I647">
        <v>9.5307917888562427E-3</v>
      </c>
      <c r="J647">
        <v>0.33841642228739011</v>
      </c>
      <c r="K647">
        <v>0.43929618768328438</v>
      </c>
      <c r="L647">
        <v>0.49384164222873894</v>
      </c>
      <c r="M647">
        <v>0.5360703812316715</v>
      </c>
      <c r="N647">
        <v>0.57507331378299131</v>
      </c>
      <c r="O647">
        <v>0.59868035190615865</v>
      </c>
      <c r="P647">
        <v>0.98</v>
      </c>
      <c r="Q647">
        <v>0.97</v>
      </c>
      <c r="R647">
        <v>0.97</v>
      </c>
      <c r="S647">
        <v>0.97</v>
      </c>
      <c r="T647">
        <v>0.97</v>
      </c>
      <c r="U647">
        <v>0.97</v>
      </c>
      <c r="AN647">
        <v>8</v>
      </c>
      <c r="AO647" t="s">
        <v>512</v>
      </c>
      <c r="AP647">
        <v>3.2</v>
      </c>
      <c r="AQ647">
        <v>0.93</v>
      </c>
      <c r="AR647">
        <v>61.47</v>
      </c>
    </row>
    <row r="648" spans="2:44">
      <c r="C648">
        <v>115</v>
      </c>
      <c r="D648">
        <v>0.20293255131964805</v>
      </c>
      <c r="E648">
        <v>9.50146627565982E-2</v>
      </c>
      <c r="F648">
        <v>5.5131964809384204E-2</v>
      </c>
      <c r="G648">
        <v>3.1671554252199474E-2</v>
      </c>
      <c r="H648">
        <v>1.7106549364613862E-2</v>
      </c>
      <c r="I648">
        <v>1.0997067448680344E-2</v>
      </c>
      <c r="J648">
        <v>0.34721407624633438</v>
      </c>
      <c r="K648">
        <v>0.45513196480938423</v>
      </c>
      <c r="L648">
        <v>0.51495601173020522</v>
      </c>
      <c r="M648">
        <v>0.56187683284457468</v>
      </c>
      <c r="N648">
        <v>0.60557184750733151</v>
      </c>
      <c r="O648">
        <v>0.6312316715542523</v>
      </c>
      <c r="P648">
        <v>0.98</v>
      </c>
      <c r="Q648">
        <v>0.97</v>
      </c>
      <c r="R648">
        <v>0.97</v>
      </c>
      <c r="S648">
        <v>0.97</v>
      </c>
      <c r="T648">
        <v>0.97</v>
      </c>
      <c r="U648">
        <v>0.97</v>
      </c>
      <c r="AO648" t="s">
        <v>513</v>
      </c>
      <c r="AP648">
        <v>2.9</v>
      </c>
      <c r="AQ648">
        <v>0.93</v>
      </c>
      <c r="AR648">
        <v>94.84</v>
      </c>
    </row>
    <row r="649" spans="2:44">
      <c r="C649">
        <v>125</v>
      </c>
      <c r="D649">
        <v>0.22052785923753659</v>
      </c>
      <c r="E649">
        <v>0.10322580645161294</v>
      </c>
      <c r="F649">
        <v>6.0997067448680387E-2</v>
      </c>
      <c r="G649">
        <v>3.5190615835777095E-2</v>
      </c>
      <c r="H649">
        <v>1.9061583577712666E-2</v>
      </c>
      <c r="I649">
        <v>1.1730205278592257E-2</v>
      </c>
      <c r="J649">
        <v>0.35366568914956009</v>
      </c>
      <c r="K649">
        <v>0.47096774193548374</v>
      </c>
      <c r="L649">
        <v>0.53431085043988258</v>
      </c>
      <c r="M649">
        <v>0.58592375366568916</v>
      </c>
      <c r="N649">
        <v>0.63431085043988245</v>
      </c>
      <c r="O649">
        <v>0.66510263929618818</v>
      </c>
      <c r="P649">
        <v>0.98</v>
      </c>
      <c r="Q649">
        <v>0.97</v>
      </c>
      <c r="R649">
        <v>0.97</v>
      </c>
      <c r="S649">
        <v>0.97</v>
      </c>
      <c r="T649">
        <v>0.97</v>
      </c>
      <c r="U649">
        <v>0.97</v>
      </c>
      <c r="AO649" t="s">
        <v>514</v>
      </c>
      <c r="AP649">
        <v>1.9</v>
      </c>
      <c r="AQ649">
        <v>0.93</v>
      </c>
      <c r="AR649">
        <v>172.02</v>
      </c>
    </row>
    <row r="650" spans="2:44">
      <c r="C650">
        <v>135</v>
      </c>
      <c r="D650">
        <v>0.23695014662756597</v>
      </c>
      <c r="E650">
        <v>0.11260997067448675</v>
      </c>
      <c r="F650">
        <v>6.6862170087976569E-2</v>
      </c>
      <c r="G650">
        <v>3.8123167155425186E-2</v>
      </c>
      <c r="H650">
        <v>2.1016617790811279E-2</v>
      </c>
      <c r="I650">
        <v>1.3196480938416636E-2</v>
      </c>
      <c r="J650">
        <v>0.35953079178885627</v>
      </c>
      <c r="K650">
        <v>0.4838709677419355</v>
      </c>
      <c r="L650">
        <v>0.55249266862170077</v>
      </c>
      <c r="M650">
        <v>0.60997067448680353</v>
      </c>
      <c r="N650">
        <v>0.66129032258064524</v>
      </c>
      <c r="O650">
        <v>0.69413489736070277</v>
      </c>
      <c r="P650">
        <v>0.98</v>
      </c>
      <c r="Q650">
        <v>0.97</v>
      </c>
      <c r="R650">
        <v>0.97</v>
      </c>
      <c r="S650">
        <v>0.97</v>
      </c>
      <c r="T650">
        <v>0.97</v>
      </c>
      <c r="U650">
        <v>0.97</v>
      </c>
      <c r="AO650" t="s">
        <v>515</v>
      </c>
      <c r="AP650">
        <v>1</v>
      </c>
      <c r="AQ650">
        <v>1</v>
      </c>
      <c r="AR650">
        <v>305.12</v>
      </c>
    </row>
    <row r="651" spans="2:44">
      <c r="C651">
        <v>145</v>
      </c>
      <c r="D651">
        <v>0.25219941348973596</v>
      </c>
      <c r="E651">
        <v>0.12082111436950149</v>
      </c>
      <c r="F651">
        <v>7.2727272727272751E-2</v>
      </c>
      <c r="G651">
        <v>4.1642228739002918E-2</v>
      </c>
      <c r="H651">
        <v>2.248289345063538E-2</v>
      </c>
      <c r="I651">
        <v>1.539589442815251E-2</v>
      </c>
      <c r="J651">
        <v>0.36539589442815257</v>
      </c>
      <c r="K651">
        <v>0.49677419354838703</v>
      </c>
      <c r="L651">
        <v>0.56891495601173014</v>
      </c>
      <c r="M651">
        <v>0.63108504398826981</v>
      </c>
      <c r="N651">
        <v>0.68856304985337247</v>
      </c>
      <c r="O651">
        <v>0.71832844574780053</v>
      </c>
      <c r="P651">
        <v>0.98</v>
      </c>
      <c r="Q651">
        <v>0.97</v>
      </c>
      <c r="R651">
        <v>0.97</v>
      </c>
      <c r="S651">
        <v>0.97</v>
      </c>
      <c r="T651">
        <v>0.97</v>
      </c>
      <c r="U651">
        <v>0.97</v>
      </c>
      <c r="AN651">
        <v>9</v>
      </c>
      <c r="AO651" t="s">
        <v>512</v>
      </c>
      <c r="AP651">
        <v>4.4000000000000004</v>
      </c>
      <c r="AQ651">
        <v>0.97</v>
      </c>
      <c r="AR651">
        <v>68.63</v>
      </c>
    </row>
    <row r="652" spans="2:44">
      <c r="C652">
        <v>155</v>
      </c>
      <c r="D652">
        <v>0.26627565982404677</v>
      </c>
      <c r="E652">
        <v>0.13020527859237552</v>
      </c>
      <c r="F652">
        <v>7.7419354838709653E-2</v>
      </c>
      <c r="G652">
        <v>4.5161290322580649E-2</v>
      </c>
      <c r="H652">
        <v>2.4926686217008789E-2</v>
      </c>
      <c r="I652">
        <v>1.6129032258064422E-2</v>
      </c>
      <c r="J652">
        <v>0.37067448680351911</v>
      </c>
      <c r="K652">
        <v>0.50674486803519037</v>
      </c>
      <c r="L652">
        <v>0.58592375366568916</v>
      </c>
      <c r="M652">
        <v>0.65043988269794717</v>
      </c>
      <c r="N652">
        <v>0.71114369501466279</v>
      </c>
      <c r="O652">
        <v>0.74809384164222914</v>
      </c>
      <c r="P652">
        <v>0.98</v>
      </c>
      <c r="Q652">
        <v>0.97</v>
      </c>
      <c r="R652">
        <v>0.97</v>
      </c>
      <c r="S652">
        <v>0.97</v>
      </c>
      <c r="T652">
        <v>0.97</v>
      </c>
      <c r="U652">
        <v>0.97</v>
      </c>
      <c r="AO652" t="s">
        <v>513</v>
      </c>
      <c r="AP652">
        <v>4</v>
      </c>
      <c r="AQ652">
        <v>0.97</v>
      </c>
      <c r="AR652">
        <v>105.61</v>
      </c>
    </row>
    <row r="653" spans="2:44">
      <c r="B653">
        <v>4</v>
      </c>
      <c r="C653">
        <v>15</v>
      </c>
      <c r="D653">
        <v>2.3460410557184785E-2</v>
      </c>
      <c r="E653">
        <v>8.2111436950146333E-3</v>
      </c>
      <c r="F653">
        <v>4.6920821114369571E-3</v>
      </c>
      <c r="G653">
        <v>2.3460410557184785E-3</v>
      </c>
      <c r="H653">
        <v>1.4662756598240315E-3</v>
      </c>
      <c r="I653">
        <v>7.3313782991205078E-4</v>
      </c>
      <c r="J653">
        <v>0.17243401759530788</v>
      </c>
      <c r="K653">
        <v>0.18768328445747803</v>
      </c>
      <c r="L653">
        <v>0.19296187683284455</v>
      </c>
      <c r="M653">
        <v>0.1976539589442815</v>
      </c>
      <c r="N653">
        <v>0.20029325513196486</v>
      </c>
      <c r="O653">
        <v>0.20337243401759517</v>
      </c>
      <c r="P653">
        <v>0.98</v>
      </c>
      <c r="Q653">
        <v>0.97</v>
      </c>
      <c r="R653">
        <v>0.97</v>
      </c>
      <c r="S653">
        <v>0.97</v>
      </c>
      <c r="T653">
        <v>0.97</v>
      </c>
      <c r="U653">
        <v>0.97</v>
      </c>
      <c r="AO653" t="s">
        <v>514</v>
      </c>
      <c r="AP653">
        <v>2.7</v>
      </c>
      <c r="AQ653">
        <v>0.97</v>
      </c>
      <c r="AR653">
        <v>189.9</v>
      </c>
    </row>
    <row r="654" spans="2:44">
      <c r="C654">
        <v>25</v>
      </c>
      <c r="D654">
        <v>5.0439882697947191E-2</v>
      </c>
      <c r="E654">
        <v>1.9941348973606998E-2</v>
      </c>
      <c r="F654">
        <v>1.0557184750733195E-2</v>
      </c>
      <c r="G654">
        <v>5.8651026392961825E-3</v>
      </c>
      <c r="H654">
        <v>2.9325513196481095E-3</v>
      </c>
      <c r="I654">
        <v>1.4662756598240322E-3</v>
      </c>
      <c r="J654">
        <v>0.23870967741935484</v>
      </c>
      <c r="K654">
        <v>0.26920821114369503</v>
      </c>
      <c r="L654">
        <v>0.28328445747800574</v>
      </c>
      <c r="M654">
        <v>0.29266862170087976</v>
      </c>
      <c r="N654">
        <v>0.30146627565982398</v>
      </c>
      <c r="O654">
        <v>0.30762463343108509</v>
      </c>
      <c r="P654">
        <v>0.98</v>
      </c>
      <c r="Q654">
        <v>0.97</v>
      </c>
      <c r="R654">
        <v>0.97</v>
      </c>
      <c r="S654">
        <v>0.97</v>
      </c>
      <c r="T654">
        <v>0.97</v>
      </c>
      <c r="U654">
        <v>0.97</v>
      </c>
      <c r="AO654" t="s">
        <v>515</v>
      </c>
      <c r="AP654">
        <v>1.4</v>
      </c>
      <c r="AQ654">
        <v>1</v>
      </c>
      <c r="AR654">
        <v>336.83</v>
      </c>
    </row>
    <row r="655" spans="2:44">
      <c r="C655">
        <v>35</v>
      </c>
      <c r="D655">
        <v>8.0938416422287385E-2</v>
      </c>
      <c r="E655">
        <v>3.2844574780058644E-2</v>
      </c>
      <c r="F655">
        <v>1.7595307917888547E-2</v>
      </c>
      <c r="G655">
        <v>9.9706744868034991E-3</v>
      </c>
      <c r="H655">
        <v>4.8875855327468638E-3</v>
      </c>
      <c r="I655">
        <v>2.9325513196480643E-3</v>
      </c>
      <c r="J655">
        <v>0.28563049853372435</v>
      </c>
      <c r="K655">
        <v>0.33372434017595309</v>
      </c>
      <c r="L655">
        <v>0.35659824046920824</v>
      </c>
      <c r="M655">
        <v>0.37184750733137834</v>
      </c>
      <c r="N655">
        <v>0.38709677419354827</v>
      </c>
      <c r="O655">
        <v>0.39530791788856318</v>
      </c>
      <c r="P655">
        <v>0.98</v>
      </c>
      <c r="Q655">
        <v>0.97</v>
      </c>
      <c r="R655">
        <v>0.97</v>
      </c>
      <c r="S655">
        <v>0.97</v>
      </c>
      <c r="T655">
        <v>0.97</v>
      </c>
      <c r="U655">
        <v>0.97</v>
      </c>
      <c r="AN655">
        <v>10</v>
      </c>
      <c r="AO655" t="s">
        <v>512</v>
      </c>
      <c r="AP655">
        <v>4.4000000000000004</v>
      </c>
      <c r="AQ655">
        <v>1</v>
      </c>
      <c r="AR655">
        <v>75.510000000000005</v>
      </c>
    </row>
    <row r="656" spans="2:44">
      <c r="C656">
        <v>45</v>
      </c>
      <c r="D656">
        <v>0.11143695014662758</v>
      </c>
      <c r="E656">
        <v>4.6920821114369571E-2</v>
      </c>
      <c r="F656">
        <v>2.5806451612903181E-2</v>
      </c>
      <c r="G656">
        <v>1.4076246334310871E-2</v>
      </c>
      <c r="H656">
        <v>7.3313782991202272E-3</v>
      </c>
      <c r="I656">
        <v>4.3988269794720961E-3</v>
      </c>
      <c r="J656">
        <v>0.32140762463343109</v>
      </c>
      <c r="K656">
        <v>0.3859237536656891</v>
      </c>
      <c r="L656">
        <v>0.41759530791788868</v>
      </c>
      <c r="M656">
        <v>0.4410557184750733</v>
      </c>
      <c r="N656">
        <v>0.46129032258064523</v>
      </c>
      <c r="O656">
        <v>0.4736070381231674</v>
      </c>
      <c r="P656">
        <v>0.98</v>
      </c>
      <c r="Q656">
        <v>0.97</v>
      </c>
      <c r="R656">
        <v>0.97</v>
      </c>
      <c r="S656">
        <v>0.97</v>
      </c>
      <c r="T656">
        <v>0.97</v>
      </c>
      <c r="U656">
        <v>0.97</v>
      </c>
      <c r="AO656" t="s">
        <v>513</v>
      </c>
      <c r="AP656">
        <v>4</v>
      </c>
      <c r="AQ656">
        <v>1</v>
      </c>
      <c r="AR656">
        <v>115.9</v>
      </c>
    </row>
    <row r="657" spans="2:44">
      <c r="C657">
        <v>55</v>
      </c>
      <c r="D657">
        <v>0.14310850439882683</v>
      </c>
      <c r="E657">
        <v>6.0997067448680498E-2</v>
      </c>
      <c r="F657">
        <v>3.5190615835777095E-2</v>
      </c>
      <c r="G657">
        <v>1.8768328445747828E-2</v>
      </c>
      <c r="H657">
        <v>9.7751710654936357E-3</v>
      </c>
      <c r="I657">
        <v>5.8651026392962675E-3</v>
      </c>
      <c r="J657">
        <v>0.34780058651026408</v>
      </c>
      <c r="K657">
        <v>0.42991202346041041</v>
      </c>
      <c r="L657">
        <v>0.46862170087976551</v>
      </c>
      <c r="M657">
        <v>0.50146627565982405</v>
      </c>
      <c r="N657">
        <v>0.52844574780058662</v>
      </c>
      <c r="O657">
        <v>0.54486803519061555</v>
      </c>
      <c r="P657">
        <v>0.98</v>
      </c>
      <c r="Q657">
        <v>0.97</v>
      </c>
      <c r="R657">
        <v>0.97</v>
      </c>
      <c r="S657">
        <v>0.97</v>
      </c>
      <c r="T657">
        <v>0.97</v>
      </c>
      <c r="U657">
        <v>0.97</v>
      </c>
      <c r="AO657" t="s">
        <v>514</v>
      </c>
      <c r="AP657">
        <v>2.7</v>
      </c>
      <c r="AQ657">
        <v>1</v>
      </c>
      <c r="AR657">
        <v>206.52</v>
      </c>
    </row>
    <row r="658" spans="2:44">
      <c r="C658">
        <v>65</v>
      </c>
      <c r="D658">
        <v>0.17360703812316725</v>
      </c>
      <c r="E658">
        <v>7.6246334310850372E-2</v>
      </c>
      <c r="F658">
        <v>4.2228739002932558E-2</v>
      </c>
      <c r="G658">
        <v>2.404692082111437E-2</v>
      </c>
      <c r="H658">
        <v>1.2707722385141746E-2</v>
      </c>
      <c r="I658">
        <v>7.3313782991202298E-3</v>
      </c>
      <c r="J658">
        <v>0.36891495601173019</v>
      </c>
      <c r="K658">
        <v>0.46627565982404706</v>
      </c>
      <c r="L658">
        <v>0.51730205278592378</v>
      </c>
      <c r="M658">
        <v>0.55366568914956016</v>
      </c>
      <c r="N658">
        <v>0.58768328445747797</v>
      </c>
      <c r="O658">
        <v>0.61026392961876841</v>
      </c>
      <c r="P658">
        <v>0.98</v>
      </c>
      <c r="Q658">
        <v>0.97</v>
      </c>
      <c r="R658">
        <v>0.97</v>
      </c>
      <c r="S658">
        <v>0.97</v>
      </c>
      <c r="T658">
        <v>0.97</v>
      </c>
      <c r="U658">
        <v>0.97</v>
      </c>
      <c r="AO658" t="s">
        <v>515</v>
      </c>
      <c r="AP658">
        <v>1.4</v>
      </c>
      <c r="AQ658">
        <v>1</v>
      </c>
      <c r="AR658">
        <v>366.3</v>
      </c>
    </row>
    <row r="659" spans="2:44">
      <c r="C659">
        <v>75</v>
      </c>
      <c r="D659">
        <v>0.20293255131964816</v>
      </c>
      <c r="E659">
        <v>9.0322580645161299E-2</v>
      </c>
      <c r="F659">
        <v>5.1612903225806361E-2</v>
      </c>
      <c r="G659">
        <v>2.9325513196481023E-2</v>
      </c>
      <c r="H659">
        <v>1.5151515151515154E-2</v>
      </c>
      <c r="I659">
        <v>9.5307917888562427E-3</v>
      </c>
      <c r="J659">
        <v>0.3859237536656891</v>
      </c>
      <c r="K659">
        <v>0.49853372434017595</v>
      </c>
      <c r="L659">
        <v>0.55659824046920836</v>
      </c>
      <c r="M659">
        <v>0.60117302052785904</v>
      </c>
      <c r="N659">
        <v>0.64369501466275669</v>
      </c>
      <c r="O659">
        <v>0.66730205278592403</v>
      </c>
      <c r="P659">
        <v>0.98</v>
      </c>
      <c r="Q659">
        <v>0.97</v>
      </c>
      <c r="R659">
        <v>0.97</v>
      </c>
      <c r="S659">
        <v>0.97</v>
      </c>
      <c r="T659">
        <v>0.97</v>
      </c>
      <c r="U659">
        <v>0.97</v>
      </c>
    </row>
    <row r="660" spans="2:44">
      <c r="C660">
        <v>85</v>
      </c>
      <c r="D660">
        <v>0.2310850439882699</v>
      </c>
      <c r="E660">
        <v>0.104398826979472</v>
      </c>
      <c r="F660">
        <v>6.0997067448680387E-2</v>
      </c>
      <c r="G660">
        <v>3.4017595307917814E-2</v>
      </c>
      <c r="H660">
        <v>1.8084066471163264E-2</v>
      </c>
      <c r="I660">
        <v>1.1730205278592535E-2</v>
      </c>
      <c r="J660">
        <v>0.39999999999999991</v>
      </c>
      <c r="K660">
        <v>0.52668621700879781</v>
      </c>
      <c r="L660">
        <v>0.59178885630498523</v>
      </c>
      <c r="M660">
        <v>0.64574780058651038</v>
      </c>
      <c r="N660">
        <v>0.69354838709677402</v>
      </c>
      <c r="O660">
        <v>0.72023460410557105</v>
      </c>
      <c r="P660">
        <v>0.98</v>
      </c>
      <c r="Q660">
        <v>0.97</v>
      </c>
      <c r="R660">
        <v>0.97</v>
      </c>
      <c r="S660">
        <v>0.97</v>
      </c>
      <c r="T660">
        <v>0.97</v>
      </c>
      <c r="U660">
        <v>0.97</v>
      </c>
    </row>
    <row r="661" spans="2:44">
      <c r="C661">
        <v>95</v>
      </c>
      <c r="D661">
        <v>0.25806451612903225</v>
      </c>
      <c r="E661">
        <v>0.11847507331378293</v>
      </c>
      <c r="F661">
        <v>6.9208211143695131E-2</v>
      </c>
      <c r="G661">
        <v>3.9296187683284467E-2</v>
      </c>
      <c r="H661">
        <v>2.1016617790811279E-2</v>
      </c>
      <c r="I661">
        <v>1.3929618768328548E-2</v>
      </c>
      <c r="J661">
        <v>0.41173020527859239</v>
      </c>
      <c r="K661">
        <v>0.55131964809384171</v>
      </c>
      <c r="L661">
        <v>0.62521994134897341</v>
      </c>
      <c r="M661">
        <v>0.68504398826979473</v>
      </c>
      <c r="N661">
        <v>0.73988269794721429</v>
      </c>
      <c r="O661">
        <v>0.76964809384164179</v>
      </c>
      <c r="P661">
        <v>0.98</v>
      </c>
      <c r="Q661">
        <v>0.97</v>
      </c>
      <c r="R661">
        <v>0.97</v>
      </c>
      <c r="S661">
        <v>0.97</v>
      </c>
      <c r="T661">
        <v>0.97</v>
      </c>
      <c r="U661">
        <v>0.97</v>
      </c>
    </row>
    <row r="662" spans="2:44">
      <c r="C662">
        <v>105</v>
      </c>
      <c r="D662">
        <v>0.28387096774193554</v>
      </c>
      <c r="E662">
        <v>0.13255131964809386</v>
      </c>
      <c r="F662">
        <v>7.8592375366568934E-2</v>
      </c>
      <c r="G662">
        <v>4.4574780058650898E-2</v>
      </c>
      <c r="H662">
        <v>2.3949169110459575E-2</v>
      </c>
      <c r="I662">
        <v>1.5395894428152371E-2</v>
      </c>
      <c r="J662">
        <v>0.42111436950146619</v>
      </c>
      <c r="K662">
        <v>0.57243401759530788</v>
      </c>
      <c r="L662">
        <v>0.65337243401759526</v>
      </c>
      <c r="M662">
        <v>0.72140762463343133</v>
      </c>
      <c r="N662">
        <v>0.78328445747800535</v>
      </c>
      <c r="O662">
        <v>0.81920821114369557</v>
      </c>
      <c r="P662">
        <v>0.98</v>
      </c>
      <c r="Q662">
        <v>0.97</v>
      </c>
      <c r="R662">
        <v>0.97</v>
      </c>
      <c r="S662">
        <v>0.97</v>
      </c>
      <c r="T662">
        <v>0.97</v>
      </c>
      <c r="U662">
        <v>0.97</v>
      </c>
    </row>
    <row r="663" spans="2:44">
      <c r="C663">
        <v>115</v>
      </c>
      <c r="D663">
        <v>0.30967741935483861</v>
      </c>
      <c r="E663">
        <v>0.14662756598240456</v>
      </c>
      <c r="F663">
        <v>8.6803519061583678E-2</v>
      </c>
      <c r="G663">
        <v>4.9853372434017662E-2</v>
      </c>
      <c r="H663">
        <v>2.6881720430107406E-2</v>
      </c>
      <c r="I663">
        <v>1.7595307917888523E-2</v>
      </c>
      <c r="J663">
        <v>0.42815249266862176</v>
      </c>
      <c r="K663">
        <v>0.59120234604105582</v>
      </c>
      <c r="L663">
        <v>0.68093841642228714</v>
      </c>
      <c r="M663">
        <v>0.75483870967741917</v>
      </c>
      <c r="N663">
        <v>0.82375366568914998</v>
      </c>
      <c r="O663">
        <v>0.86275659824046924</v>
      </c>
      <c r="P663">
        <v>0.98</v>
      </c>
      <c r="Q663">
        <v>0.97</v>
      </c>
      <c r="R663">
        <v>0.97</v>
      </c>
      <c r="S663">
        <v>0.97</v>
      </c>
      <c r="T663">
        <v>0.97</v>
      </c>
      <c r="U663">
        <v>0.97</v>
      </c>
    </row>
    <row r="664" spans="2:44">
      <c r="C664">
        <v>125</v>
      </c>
      <c r="D664">
        <v>0.33431085043988262</v>
      </c>
      <c r="E664">
        <v>0.15953079178885643</v>
      </c>
      <c r="F664">
        <v>9.6187683284457481E-2</v>
      </c>
      <c r="G664">
        <v>5.5131964809384204E-2</v>
      </c>
      <c r="H664">
        <v>2.9814271749755514E-2</v>
      </c>
      <c r="I664">
        <v>1.9061583577712763E-2</v>
      </c>
      <c r="J664">
        <v>0.43401759530791795</v>
      </c>
      <c r="K664">
        <v>0.60879765395894414</v>
      </c>
      <c r="L664">
        <v>0.70381231671554256</v>
      </c>
      <c r="M664">
        <v>0.78592375366568912</v>
      </c>
      <c r="N664">
        <v>0.86187683284457517</v>
      </c>
      <c r="O664">
        <v>0.90703812316715471</v>
      </c>
      <c r="P664">
        <v>0.98</v>
      </c>
      <c r="Q664">
        <v>0.97</v>
      </c>
      <c r="R664">
        <v>0.97</v>
      </c>
      <c r="S664">
        <v>0.97</v>
      </c>
      <c r="T664">
        <v>0.97</v>
      </c>
      <c r="U664">
        <v>0.97</v>
      </c>
    </row>
    <row r="665" spans="2:44">
      <c r="C665">
        <v>135</v>
      </c>
      <c r="D665">
        <v>0.35659824046920829</v>
      </c>
      <c r="E665">
        <v>0.17360703812316713</v>
      </c>
      <c r="F665">
        <v>0.104398826979472</v>
      </c>
      <c r="G665">
        <v>6.0410557184750746E-2</v>
      </c>
      <c r="H665">
        <v>3.2746823069403533E-2</v>
      </c>
      <c r="I665">
        <v>2.1260997067449054E-2</v>
      </c>
      <c r="J665">
        <v>0.43988269794721402</v>
      </c>
      <c r="K665">
        <v>0.62287390029325518</v>
      </c>
      <c r="L665">
        <v>0.72668621700879787</v>
      </c>
      <c r="M665">
        <v>0.81466275659824039</v>
      </c>
      <c r="N665">
        <v>0.89765395894428202</v>
      </c>
      <c r="O665">
        <v>0.94589442815249081</v>
      </c>
      <c r="P665">
        <v>0.98</v>
      </c>
      <c r="Q665">
        <v>0.97</v>
      </c>
      <c r="R665">
        <v>0.97</v>
      </c>
      <c r="S665">
        <v>0.97</v>
      </c>
      <c r="T665">
        <v>0.97</v>
      </c>
      <c r="U665">
        <v>0.97</v>
      </c>
    </row>
    <row r="666" spans="2:44">
      <c r="C666">
        <v>145</v>
      </c>
      <c r="D666">
        <v>0.37771260997067446</v>
      </c>
      <c r="E666">
        <v>0.18651026392961856</v>
      </c>
      <c r="F666">
        <v>0.11260997067448697</v>
      </c>
      <c r="G666">
        <v>6.5689149560117288E-2</v>
      </c>
      <c r="H666">
        <v>3.5679374389051735E-2</v>
      </c>
      <c r="I666">
        <v>2.3460410557184792E-2</v>
      </c>
      <c r="J666">
        <v>0.44516129032258067</v>
      </c>
      <c r="K666">
        <v>0.63636363636363658</v>
      </c>
      <c r="L666">
        <v>0.74721407624633396</v>
      </c>
      <c r="M666">
        <v>0.84105571847507332</v>
      </c>
      <c r="N666">
        <v>0.93108504398826997</v>
      </c>
      <c r="O666">
        <v>0.98240469208211112</v>
      </c>
      <c r="P666">
        <v>0.98</v>
      </c>
      <c r="Q666">
        <v>0.97</v>
      </c>
      <c r="R666">
        <v>0.97</v>
      </c>
      <c r="S666">
        <v>0.97</v>
      </c>
      <c r="T666">
        <v>0.97</v>
      </c>
      <c r="U666">
        <v>0.97</v>
      </c>
    </row>
    <row r="667" spans="2:44">
      <c r="C667">
        <v>155</v>
      </c>
      <c r="D667">
        <v>0.40000000000000013</v>
      </c>
      <c r="E667">
        <v>0.19941348973607043</v>
      </c>
      <c r="F667">
        <v>0.12082111436950149</v>
      </c>
      <c r="G667">
        <v>7.038123167155419E-2</v>
      </c>
      <c r="H667">
        <v>3.8611925708699937E-2</v>
      </c>
      <c r="I667">
        <v>2.5659824046920805E-2</v>
      </c>
      <c r="J667">
        <v>0.44809384164222865</v>
      </c>
      <c r="K667">
        <v>0.64868035190615836</v>
      </c>
      <c r="L667">
        <v>0.76656891495601176</v>
      </c>
      <c r="M667">
        <v>0.86744868035190636</v>
      </c>
      <c r="N667">
        <v>0.96275659824046911</v>
      </c>
      <c r="O667">
        <v>1.0171554252199415</v>
      </c>
      <c r="P667">
        <v>0.98</v>
      </c>
      <c r="Q667">
        <v>0.97</v>
      </c>
      <c r="R667">
        <v>0.97</v>
      </c>
      <c r="S667">
        <v>0.97</v>
      </c>
      <c r="T667">
        <v>0.97</v>
      </c>
      <c r="U667">
        <v>0.97</v>
      </c>
    </row>
    <row r="668" spans="2:44">
      <c r="B668">
        <v>5</v>
      </c>
      <c r="C668">
        <v>15</v>
      </c>
      <c r="D668">
        <v>3.4017595307917925E-2</v>
      </c>
      <c r="E668">
        <v>1.2903225806451646E-2</v>
      </c>
      <c r="F668">
        <v>7.0381231671553524E-3</v>
      </c>
      <c r="G668">
        <v>3.5190615835776762E-3</v>
      </c>
      <c r="H668">
        <v>1.4662756598240547E-3</v>
      </c>
      <c r="I668">
        <v>1.4662756598240322E-3</v>
      </c>
      <c r="J668">
        <v>0.21524926686217005</v>
      </c>
      <c r="K668">
        <v>0.23636363636363633</v>
      </c>
      <c r="L668">
        <v>0.24516129032258077</v>
      </c>
      <c r="M668">
        <v>0.25219941348973612</v>
      </c>
      <c r="N668">
        <v>0.25835777126099702</v>
      </c>
      <c r="O668">
        <v>0.25835777126099707</v>
      </c>
      <c r="P668">
        <v>0.98</v>
      </c>
      <c r="Q668">
        <v>0.97</v>
      </c>
      <c r="R668">
        <v>0.97</v>
      </c>
      <c r="S668">
        <v>0.97</v>
      </c>
      <c r="T668">
        <v>0.97</v>
      </c>
      <c r="U668">
        <v>0.97</v>
      </c>
    </row>
    <row r="669" spans="2:44">
      <c r="C669">
        <v>25</v>
      </c>
      <c r="D669">
        <v>7.3900293255132032E-2</v>
      </c>
      <c r="E669">
        <v>2.9325513196480912E-2</v>
      </c>
      <c r="F669">
        <v>1.5249266862170097E-2</v>
      </c>
      <c r="G669">
        <v>8.2111436950146333E-3</v>
      </c>
      <c r="H669">
        <v>4.3988269794722106E-3</v>
      </c>
      <c r="I669">
        <v>2.1994134897360134E-3</v>
      </c>
      <c r="J669">
        <v>0.29208211143695006</v>
      </c>
      <c r="K669">
        <v>0.33665689149560118</v>
      </c>
      <c r="L669">
        <v>0.35777126099706741</v>
      </c>
      <c r="M669">
        <v>0.37184750733137834</v>
      </c>
      <c r="N669">
        <v>0.3832844574780056</v>
      </c>
      <c r="O669">
        <v>0.39252199413489763</v>
      </c>
      <c r="P669">
        <v>0.98</v>
      </c>
      <c r="Q669">
        <v>0.97</v>
      </c>
      <c r="R669">
        <v>0.97</v>
      </c>
      <c r="S669">
        <v>0.97</v>
      </c>
      <c r="T669">
        <v>0.97</v>
      </c>
      <c r="U669">
        <v>0.97</v>
      </c>
    </row>
    <row r="670" spans="2:44">
      <c r="C670">
        <v>35</v>
      </c>
      <c r="D670">
        <v>0.11612903225806448</v>
      </c>
      <c r="E670">
        <v>4.8093841642228741E-2</v>
      </c>
      <c r="F670">
        <v>2.5806451612903181E-2</v>
      </c>
      <c r="G670">
        <v>1.4076246334310927E-2</v>
      </c>
      <c r="H670">
        <v>7.3313782991201344E-3</v>
      </c>
      <c r="I670">
        <v>4.3988269794721655E-3</v>
      </c>
      <c r="J670">
        <v>0.34545454545454551</v>
      </c>
      <c r="K670">
        <v>0.41348973607038125</v>
      </c>
      <c r="L670">
        <v>0.44692082111436959</v>
      </c>
      <c r="M670">
        <v>0.4703812316715541</v>
      </c>
      <c r="N670">
        <v>0.49061583577712647</v>
      </c>
      <c r="O670">
        <v>0.50293255131964798</v>
      </c>
      <c r="P670">
        <v>0.98</v>
      </c>
      <c r="Q670">
        <v>0.97</v>
      </c>
      <c r="R670">
        <v>0.97</v>
      </c>
      <c r="S670">
        <v>0.97</v>
      </c>
      <c r="T670">
        <v>0.97</v>
      </c>
      <c r="U670">
        <v>0.97</v>
      </c>
    </row>
    <row r="671" spans="2:44">
      <c r="C671">
        <v>45</v>
      </c>
      <c r="D671">
        <v>0.15835777126099726</v>
      </c>
      <c r="E671">
        <v>6.8035190615835628E-2</v>
      </c>
      <c r="F671">
        <v>3.7536656891495657E-2</v>
      </c>
      <c r="G671">
        <v>1.9941348973606998E-2</v>
      </c>
      <c r="H671">
        <v>1.0752688172043036E-2</v>
      </c>
      <c r="I671">
        <v>6.598240469208318E-3</v>
      </c>
      <c r="J671">
        <v>0.38475073313782981</v>
      </c>
      <c r="K671">
        <v>0.47507331378299145</v>
      </c>
      <c r="L671">
        <v>0.5208211143695014</v>
      </c>
      <c r="M671">
        <v>0.55601173020527872</v>
      </c>
      <c r="N671">
        <v>0.5835777126099706</v>
      </c>
      <c r="O671">
        <v>0.60102639296187643</v>
      </c>
      <c r="P671">
        <v>0.98</v>
      </c>
      <c r="Q671">
        <v>0.97</v>
      </c>
      <c r="R671">
        <v>0.97</v>
      </c>
      <c r="S671">
        <v>0.97</v>
      </c>
      <c r="T671">
        <v>0.97</v>
      </c>
      <c r="U671">
        <v>0.97</v>
      </c>
    </row>
    <row r="672" spans="2:44">
      <c r="C672">
        <v>55</v>
      </c>
      <c r="D672">
        <v>0.20175953079178899</v>
      </c>
      <c r="E672">
        <v>8.7976539589442737E-2</v>
      </c>
      <c r="F672">
        <v>4.9266862170088022E-2</v>
      </c>
      <c r="G672">
        <v>2.6979472140762573E-2</v>
      </c>
      <c r="H672">
        <v>1.4173998044965662E-2</v>
      </c>
      <c r="I672">
        <v>8.797653958944331E-3</v>
      </c>
      <c r="J672">
        <v>0.41231671554252192</v>
      </c>
      <c r="K672">
        <v>0.52609970674486817</v>
      </c>
      <c r="L672">
        <v>0.58416422287390024</v>
      </c>
      <c r="M672">
        <v>0.62873900293255114</v>
      </c>
      <c r="N672">
        <v>0.66715542521994187</v>
      </c>
      <c r="O672">
        <v>0.68973607038123141</v>
      </c>
      <c r="P672">
        <v>0.98</v>
      </c>
      <c r="Q672">
        <v>0.97</v>
      </c>
      <c r="R672">
        <v>0.97</v>
      </c>
      <c r="S672">
        <v>0.97</v>
      </c>
      <c r="T672">
        <v>0.97</v>
      </c>
      <c r="U672">
        <v>0.97</v>
      </c>
    </row>
    <row r="673" spans="2:21">
      <c r="C673">
        <v>65</v>
      </c>
      <c r="D673">
        <v>0.24164222873900321</v>
      </c>
      <c r="E673">
        <v>0.10791788856304985</v>
      </c>
      <c r="F673">
        <v>6.2170087976539445E-2</v>
      </c>
      <c r="G673">
        <v>3.4017595307917814E-2</v>
      </c>
      <c r="H673">
        <v>1.8084066471163264E-2</v>
      </c>
      <c r="I673">
        <v>1.1730205278592396E-2</v>
      </c>
      <c r="J673">
        <v>0.43460410557184725</v>
      </c>
      <c r="K673">
        <v>0.56832844574780061</v>
      </c>
      <c r="L673">
        <v>0.63695014662756622</v>
      </c>
      <c r="M673">
        <v>0.69325513196480948</v>
      </c>
      <c r="N673">
        <v>0.74105571847507312</v>
      </c>
      <c r="O673">
        <v>0.76774193548387082</v>
      </c>
      <c r="P673">
        <v>0.98</v>
      </c>
      <c r="Q673">
        <v>0.97</v>
      </c>
      <c r="R673">
        <v>0.97</v>
      </c>
      <c r="S673">
        <v>0.97</v>
      </c>
      <c r="T673">
        <v>0.97</v>
      </c>
      <c r="U673">
        <v>0.97</v>
      </c>
    </row>
    <row r="674" spans="2:21">
      <c r="C674">
        <v>75</v>
      </c>
      <c r="D674">
        <v>0.28269794721407604</v>
      </c>
      <c r="E674">
        <v>0.12785923753665718</v>
      </c>
      <c r="F674">
        <v>7.390029325513181E-2</v>
      </c>
      <c r="G674">
        <v>4.1642228739002918E-2</v>
      </c>
      <c r="H674">
        <v>2.1505376344086072E-2</v>
      </c>
      <c r="I674">
        <v>1.3929618768328409E-2</v>
      </c>
      <c r="J674">
        <v>0.44985337243401768</v>
      </c>
      <c r="K674">
        <v>0.60469208211143655</v>
      </c>
      <c r="L674">
        <v>0.6856304985337246</v>
      </c>
      <c r="M674">
        <v>0.75014662756598238</v>
      </c>
      <c r="N674">
        <v>0.81055718475073291</v>
      </c>
      <c r="O674">
        <v>0.8423753665689151</v>
      </c>
      <c r="P674">
        <v>0.98</v>
      </c>
      <c r="Q674">
        <v>0.97</v>
      </c>
      <c r="R674">
        <v>0.97</v>
      </c>
      <c r="S674">
        <v>0.97</v>
      </c>
      <c r="T674">
        <v>0.97</v>
      </c>
      <c r="U674">
        <v>0.97</v>
      </c>
    </row>
    <row r="675" spans="2:21">
      <c r="C675">
        <v>85</v>
      </c>
      <c r="D675">
        <v>0.31906158357771264</v>
      </c>
      <c r="E675">
        <v>0.14897360703812312</v>
      </c>
      <c r="F675">
        <v>8.5630498533724397E-2</v>
      </c>
      <c r="G675">
        <v>4.868035190615827E-2</v>
      </c>
      <c r="H675">
        <v>2.5904203323558285E-2</v>
      </c>
      <c r="I675">
        <v>1.6862170087976473E-2</v>
      </c>
      <c r="J675">
        <v>0.46334310850439875</v>
      </c>
      <c r="K675">
        <v>0.63343108504398826</v>
      </c>
      <c r="L675">
        <v>0.72844574780058635</v>
      </c>
      <c r="M675">
        <v>0.80234604105571861</v>
      </c>
      <c r="N675">
        <v>0.87067448680351855</v>
      </c>
      <c r="O675">
        <v>0.90865102639296214</v>
      </c>
      <c r="P675">
        <v>0.98</v>
      </c>
      <c r="Q675">
        <v>0.97</v>
      </c>
      <c r="R675">
        <v>0.97</v>
      </c>
      <c r="S675">
        <v>0.97</v>
      </c>
      <c r="T675">
        <v>0.97</v>
      </c>
      <c r="U675">
        <v>0.97</v>
      </c>
    </row>
    <row r="676" spans="2:21">
      <c r="C676">
        <v>95</v>
      </c>
      <c r="D676">
        <v>0.35542521994134901</v>
      </c>
      <c r="E676">
        <v>0.16774193548387095</v>
      </c>
      <c r="F676">
        <v>9.8533724340175821E-2</v>
      </c>
      <c r="G676">
        <v>5.6304985337243374E-2</v>
      </c>
      <c r="H676">
        <v>3.0303030303030307E-2</v>
      </c>
      <c r="I676">
        <v>1.9061583577712485E-2</v>
      </c>
      <c r="J676">
        <v>0.47272727272727277</v>
      </c>
      <c r="K676">
        <v>0.66041055718475083</v>
      </c>
      <c r="L676">
        <v>0.76422287390029353</v>
      </c>
      <c r="M676">
        <v>0.84868035190615843</v>
      </c>
      <c r="N676">
        <v>0.92668621700879761</v>
      </c>
      <c r="O676">
        <v>0.9739002932551325</v>
      </c>
      <c r="P676">
        <v>0.98</v>
      </c>
      <c r="Q676">
        <v>0.97</v>
      </c>
      <c r="R676">
        <v>0.97</v>
      </c>
      <c r="S676">
        <v>0.97</v>
      </c>
      <c r="T676">
        <v>0.97</v>
      </c>
      <c r="U676">
        <v>0.97</v>
      </c>
    </row>
    <row r="677" spans="2:21">
      <c r="C677">
        <v>105</v>
      </c>
      <c r="D677">
        <v>0.39061583577712611</v>
      </c>
      <c r="E677">
        <v>0.18651026392961878</v>
      </c>
      <c r="F677">
        <v>0.11143695014662747</v>
      </c>
      <c r="G677">
        <v>6.3343108504398726E-2</v>
      </c>
      <c r="H677">
        <v>3.4213098729227912E-2</v>
      </c>
      <c r="I677">
        <v>2.199413489736041E-2</v>
      </c>
      <c r="J677">
        <v>0.47976539589442813</v>
      </c>
      <c r="K677">
        <v>0.68387096774193545</v>
      </c>
      <c r="L677">
        <v>0.79648093841642242</v>
      </c>
      <c r="M677">
        <v>0.89266862170087991</v>
      </c>
      <c r="N677">
        <v>0.98005865102639234</v>
      </c>
      <c r="O677">
        <v>1.0313782991202358</v>
      </c>
      <c r="P677">
        <v>0.98</v>
      </c>
      <c r="Q677">
        <v>0.97</v>
      </c>
      <c r="R677">
        <v>0.97</v>
      </c>
      <c r="S677">
        <v>0.97</v>
      </c>
      <c r="T677">
        <v>0.97</v>
      </c>
      <c r="U677">
        <v>0.97</v>
      </c>
    </row>
    <row r="678" spans="2:21">
      <c r="C678">
        <v>115</v>
      </c>
      <c r="D678">
        <v>0.42228739002932536</v>
      </c>
      <c r="E678">
        <v>0.20645161290322589</v>
      </c>
      <c r="F678">
        <v>0.12199413489736077</v>
      </c>
      <c r="G678">
        <v>7.0967741935483941E-2</v>
      </c>
      <c r="H678">
        <v>3.861192570869975E-2</v>
      </c>
      <c r="I678">
        <v>2.4193548387096982E-2</v>
      </c>
      <c r="J678">
        <v>0.48621700879765406</v>
      </c>
      <c r="K678">
        <v>0.70205278592375353</v>
      </c>
      <c r="L678">
        <v>0.82873900293255121</v>
      </c>
      <c r="M678">
        <v>0.93079178885630487</v>
      </c>
      <c r="N678">
        <v>1.0278592375366575</v>
      </c>
      <c r="O678">
        <v>1.0884164222873891</v>
      </c>
      <c r="P678">
        <v>0.98</v>
      </c>
      <c r="Q678">
        <v>0.97</v>
      </c>
      <c r="R678">
        <v>0.97</v>
      </c>
      <c r="S678">
        <v>0.97</v>
      </c>
      <c r="T678">
        <v>0.97</v>
      </c>
      <c r="U678">
        <v>0.97</v>
      </c>
    </row>
    <row r="679" spans="2:21">
      <c r="C679">
        <v>125</v>
      </c>
      <c r="D679">
        <v>0.45395894428152506</v>
      </c>
      <c r="E679">
        <v>0.22404692082111444</v>
      </c>
      <c r="F679">
        <v>0.1348973607038122</v>
      </c>
      <c r="G679">
        <v>7.8005865102639182E-2</v>
      </c>
      <c r="H679">
        <v>4.2521994134897351E-2</v>
      </c>
      <c r="I679">
        <v>2.7859237536657096E-2</v>
      </c>
      <c r="J679">
        <v>0.49032258064516121</v>
      </c>
      <c r="K679">
        <v>0.72023460410557183</v>
      </c>
      <c r="L679">
        <v>0.85395894428152519</v>
      </c>
      <c r="M679">
        <v>0.96774193548387122</v>
      </c>
      <c r="N679">
        <v>1.0741935483870968</v>
      </c>
      <c r="O679">
        <v>1.1357771260997058</v>
      </c>
      <c r="P679">
        <v>0.98</v>
      </c>
      <c r="Q679">
        <v>0.97</v>
      </c>
      <c r="R679">
        <v>0.97</v>
      </c>
      <c r="S679">
        <v>0.97</v>
      </c>
      <c r="T679">
        <v>0.97</v>
      </c>
      <c r="U679">
        <v>0.97</v>
      </c>
    </row>
    <row r="680" spans="2:21">
      <c r="C680">
        <v>135</v>
      </c>
      <c r="D680">
        <v>0.48328445747800575</v>
      </c>
      <c r="E680">
        <v>0.24164222873900298</v>
      </c>
      <c r="F680">
        <v>0.14780058651026406</v>
      </c>
      <c r="G680">
        <v>8.5043988269794646E-2</v>
      </c>
      <c r="H680">
        <v>4.6920821114369564E-2</v>
      </c>
      <c r="I680">
        <v>3.0058651026393109E-2</v>
      </c>
      <c r="J680">
        <v>0.49384164222873905</v>
      </c>
      <c r="K680">
        <v>0.73548387096774182</v>
      </c>
      <c r="L680">
        <v>0.87624633431085019</v>
      </c>
      <c r="M680">
        <v>1.001759530791789</v>
      </c>
      <c r="N680">
        <v>1.1161290322580644</v>
      </c>
      <c r="O680">
        <v>1.1869501466275654</v>
      </c>
      <c r="P680">
        <v>0.98</v>
      </c>
      <c r="Q680">
        <v>0.97</v>
      </c>
      <c r="R680">
        <v>0.97</v>
      </c>
      <c r="S680">
        <v>0.97</v>
      </c>
      <c r="T680">
        <v>0.97</v>
      </c>
      <c r="U680">
        <v>0.97</v>
      </c>
    </row>
    <row r="681" spans="2:21">
      <c r="C681">
        <v>145</v>
      </c>
      <c r="D681">
        <v>0.5114369501466276</v>
      </c>
      <c r="E681">
        <v>0.25923753665689153</v>
      </c>
      <c r="F681">
        <v>0.15835777126099693</v>
      </c>
      <c r="G681">
        <v>9.2668621700879861E-2</v>
      </c>
      <c r="H681">
        <v>5.0830889540566797E-2</v>
      </c>
      <c r="I681">
        <v>3.2991202346041033E-2</v>
      </c>
      <c r="J681">
        <v>0.49677419354838714</v>
      </c>
      <c r="K681">
        <v>0.74897360703812321</v>
      </c>
      <c r="L681">
        <v>0.90029325513196512</v>
      </c>
      <c r="M681">
        <v>1.0316715542521993</v>
      </c>
      <c r="N681">
        <v>1.1571847507331385</v>
      </c>
      <c r="O681">
        <v>1.2321114369501467</v>
      </c>
      <c r="P681">
        <v>0.98</v>
      </c>
      <c r="Q681">
        <v>0.97</v>
      </c>
      <c r="R681">
        <v>0.97</v>
      </c>
      <c r="S681">
        <v>0.97</v>
      </c>
      <c r="T681">
        <v>0.97</v>
      </c>
      <c r="U681">
        <v>0.97</v>
      </c>
    </row>
    <row r="682" spans="2:21">
      <c r="C682">
        <v>155</v>
      </c>
      <c r="D682">
        <v>0.53841642228738995</v>
      </c>
      <c r="E682">
        <v>0.27565982404692102</v>
      </c>
      <c r="F682">
        <v>0.17008797653958929</v>
      </c>
      <c r="G682">
        <v>9.9706744868035324E-2</v>
      </c>
      <c r="H682">
        <v>5.5229716520039003E-2</v>
      </c>
      <c r="I682">
        <v>3.5923753665688958E-2</v>
      </c>
      <c r="J682">
        <v>0.49853372434017595</v>
      </c>
      <c r="K682">
        <v>0.76129032258064488</v>
      </c>
      <c r="L682">
        <v>0.91964809384164248</v>
      </c>
      <c r="M682">
        <v>1.0604105571847504</v>
      </c>
      <c r="N682">
        <v>1.1938416422287395</v>
      </c>
      <c r="O682">
        <v>1.2749266862170097</v>
      </c>
      <c r="P682">
        <v>0.98</v>
      </c>
      <c r="Q682">
        <v>0.97</v>
      </c>
      <c r="R682">
        <v>0.97</v>
      </c>
      <c r="S682">
        <v>0.97</v>
      </c>
      <c r="T682">
        <v>0.97</v>
      </c>
      <c r="U682">
        <v>0.97</v>
      </c>
    </row>
    <row r="683" spans="2:21">
      <c r="B683">
        <v>6</v>
      </c>
      <c r="C683">
        <v>15</v>
      </c>
      <c r="D683">
        <v>4.6920821114369571E-2</v>
      </c>
      <c r="E683">
        <v>1.7595307917888547E-2</v>
      </c>
      <c r="F683">
        <v>9.3841642228739142E-3</v>
      </c>
      <c r="G683">
        <v>4.6920821114369571E-3</v>
      </c>
      <c r="H683">
        <v>2.4437927663733625E-3</v>
      </c>
      <c r="I683">
        <v>1.4662756598241016E-3</v>
      </c>
      <c r="J683">
        <v>0.25454545454545446</v>
      </c>
      <c r="K683">
        <v>0.28387096774193549</v>
      </c>
      <c r="L683">
        <v>0.29618768328445744</v>
      </c>
      <c r="M683">
        <v>0.30557184750733135</v>
      </c>
      <c r="N683">
        <v>0.31231671554252216</v>
      </c>
      <c r="O683">
        <v>0.31642228739002903</v>
      </c>
      <c r="P683">
        <v>0.98</v>
      </c>
      <c r="Q683">
        <v>0.97</v>
      </c>
      <c r="R683">
        <v>0.97</v>
      </c>
      <c r="S683">
        <v>0.97</v>
      </c>
      <c r="T683">
        <v>0.97</v>
      </c>
      <c r="U683">
        <v>0.97</v>
      </c>
    </row>
    <row r="684" spans="2:21">
      <c r="C684">
        <v>25</v>
      </c>
      <c r="D684">
        <v>9.9706744868035213E-2</v>
      </c>
      <c r="E684">
        <v>3.8709677419354827E-2</v>
      </c>
      <c r="F684">
        <v>2.1114369501466279E-2</v>
      </c>
      <c r="G684">
        <v>1.1730205278592365E-2</v>
      </c>
      <c r="H684">
        <v>5.3763440860215179E-3</v>
      </c>
      <c r="I684">
        <v>3.6656891495601843E-3</v>
      </c>
      <c r="J684">
        <v>0.3407624633431085</v>
      </c>
      <c r="K684">
        <v>0.40175953079178889</v>
      </c>
      <c r="L684">
        <v>0.42815249266862171</v>
      </c>
      <c r="M684">
        <v>0.44692082111436954</v>
      </c>
      <c r="N684">
        <v>0.46598240469208208</v>
      </c>
      <c r="O684">
        <v>0.4731671554252197</v>
      </c>
      <c r="P684">
        <v>0.98</v>
      </c>
      <c r="Q684">
        <v>0.97</v>
      </c>
      <c r="R684">
        <v>0.97</v>
      </c>
      <c r="S684">
        <v>0.97</v>
      </c>
      <c r="T684">
        <v>0.97</v>
      </c>
      <c r="U684">
        <v>0.97</v>
      </c>
    </row>
    <row r="685" spans="2:21">
      <c r="C685">
        <v>35</v>
      </c>
      <c r="D685">
        <v>0.1548387096774192</v>
      </c>
      <c r="E685">
        <v>6.4516129032258229E-2</v>
      </c>
      <c r="F685">
        <v>3.5190615835777095E-2</v>
      </c>
      <c r="G685">
        <v>1.9354838709677469E-2</v>
      </c>
      <c r="H685">
        <v>9.7751710654936357E-3</v>
      </c>
      <c r="I685">
        <v>5.8651026392961287E-3</v>
      </c>
      <c r="J685">
        <v>0.39824046920821121</v>
      </c>
      <c r="K685">
        <v>0.48856304985337218</v>
      </c>
      <c r="L685">
        <v>0.53255131964809388</v>
      </c>
      <c r="M685">
        <v>0.56422287390029313</v>
      </c>
      <c r="N685">
        <v>0.59296187683284463</v>
      </c>
      <c r="O685">
        <v>0.60938416422287411</v>
      </c>
      <c r="P685">
        <v>0.98</v>
      </c>
      <c r="Q685">
        <v>0.97</v>
      </c>
      <c r="R685">
        <v>0.97</v>
      </c>
      <c r="S685">
        <v>0.97</v>
      </c>
      <c r="T685">
        <v>0.97</v>
      </c>
      <c r="U685">
        <v>0.97</v>
      </c>
    </row>
    <row r="686" spans="2:21">
      <c r="C686">
        <v>45</v>
      </c>
      <c r="D686">
        <v>0.21114369501466279</v>
      </c>
      <c r="E686">
        <v>9.0322580645161077E-2</v>
      </c>
      <c r="F686">
        <v>5.1612903225806583E-2</v>
      </c>
      <c r="G686">
        <v>2.7565982404691991E-2</v>
      </c>
      <c r="H686">
        <v>1.4173998044965845E-2</v>
      </c>
      <c r="I686">
        <v>8.797653958944331E-3</v>
      </c>
      <c r="J686">
        <v>0.43695014662756604</v>
      </c>
      <c r="K686">
        <v>0.55777126099706775</v>
      </c>
      <c r="L686">
        <v>0.61583577712609949</v>
      </c>
      <c r="M686">
        <v>0.66392961876832868</v>
      </c>
      <c r="N686">
        <v>0.70410557184750711</v>
      </c>
      <c r="O686">
        <v>0.72668621700879743</v>
      </c>
      <c r="P686">
        <v>0.98</v>
      </c>
      <c r="Q686">
        <v>0.97</v>
      </c>
      <c r="R686">
        <v>0.97</v>
      </c>
      <c r="S686">
        <v>0.97</v>
      </c>
      <c r="T686">
        <v>0.97</v>
      </c>
      <c r="U686">
        <v>0.97</v>
      </c>
    </row>
    <row r="687" spans="2:21">
      <c r="C687">
        <v>55</v>
      </c>
      <c r="D687">
        <v>0.26510263929618771</v>
      </c>
      <c r="E687">
        <v>0.11730205278592365</v>
      </c>
      <c r="F687">
        <v>6.6862170087976569E-2</v>
      </c>
      <c r="G687">
        <v>3.6363636363636265E-2</v>
      </c>
      <c r="H687">
        <v>1.9061583577712756E-2</v>
      </c>
      <c r="I687">
        <v>1.2463343108504308E-2</v>
      </c>
      <c r="J687">
        <v>0.46510263929618767</v>
      </c>
      <c r="K687">
        <v>0.61290322580645173</v>
      </c>
      <c r="L687">
        <v>0.68856304985337236</v>
      </c>
      <c r="M687">
        <v>0.74956011730205296</v>
      </c>
      <c r="N687">
        <v>0.80146627565982353</v>
      </c>
      <c r="O687">
        <v>0.82917888563049902</v>
      </c>
      <c r="P687">
        <v>0.98</v>
      </c>
      <c r="Q687">
        <v>0.97</v>
      </c>
      <c r="R687">
        <v>0.97</v>
      </c>
      <c r="S687">
        <v>0.97</v>
      </c>
      <c r="T687">
        <v>0.97</v>
      </c>
      <c r="U687">
        <v>0.97</v>
      </c>
    </row>
    <row r="688" spans="2:21">
      <c r="C688">
        <v>65</v>
      </c>
      <c r="D688">
        <v>0.31788856304985313</v>
      </c>
      <c r="E688">
        <v>0.14310850439882716</v>
      </c>
      <c r="F688">
        <v>8.2111436950146555E-2</v>
      </c>
      <c r="G688">
        <v>4.633431085043993E-2</v>
      </c>
      <c r="H688">
        <v>2.4437927663733996E-2</v>
      </c>
      <c r="I688">
        <v>1.5395894428152649E-2</v>
      </c>
      <c r="J688">
        <v>0.48445747800586525</v>
      </c>
      <c r="K688">
        <v>0.65923753665689122</v>
      </c>
      <c r="L688">
        <v>0.75073313782991213</v>
      </c>
      <c r="M688">
        <v>0.82228739002932538</v>
      </c>
      <c r="N688">
        <v>0.88797653958944323</v>
      </c>
      <c r="O688">
        <v>0.92595307917888481</v>
      </c>
      <c r="P688">
        <v>0.98</v>
      </c>
      <c r="Q688">
        <v>0.97</v>
      </c>
      <c r="R688">
        <v>0.97</v>
      </c>
      <c r="S688">
        <v>0.97</v>
      </c>
      <c r="T688">
        <v>0.97</v>
      </c>
      <c r="U688">
        <v>0.97</v>
      </c>
    </row>
    <row r="689" spans="2:21">
      <c r="C689">
        <v>75</v>
      </c>
      <c r="D689">
        <v>0.36715542521994138</v>
      </c>
      <c r="E689">
        <v>0.17008797653958929</v>
      </c>
      <c r="F689">
        <v>9.8533724340176043E-2</v>
      </c>
      <c r="G689">
        <v>5.5718475073313734E-2</v>
      </c>
      <c r="H689">
        <v>2.9814271749755702E-2</v>
      </c>
      <c r="I689">
        <v>1.8328445747800574E-2</v>
      </c>
      <c r="J689">
        <v>0.49853372434017595</v>
      </c>
      <c r="K689">
        <v>0.69560117302052804</v>
      </c>
      <c r="L689">
        <v>0.80293255131964791</v>
      </c>
      <c r="M689">
        <v>0.88856304985337253</v>
      </c>
      <c r="N689">
        <v>0.96627565982404662</v>
      </c>
      <c r="O689">
        <v>1.0145161290322582</v>
      </c>
      <c r="P689">
        <v>0.98</v>
      </c>
      <c r="Q689">
        <v>0.97</v>
      </c>
      <c r="R689">
        <v>0.97</v>
      </c>
      <c r="S689">
        <v>0.97</v>
      </c>
      <c r="T689">
        <v>0.97</v>
      </c>
      <c r="U689">
        <v>0.97</v>
      </c>
    </row>
    <row r="690" spans="2:21">
      <c r="C690">
        <v>85</v>
      </c>
      <c r="D690">
        <v>0.41407624633431062</v>
      </c>
      <c r="E690">
        <v>0.19472140762463352</v>
      </c>
      <c r="F690">
        <v>0.11612903225806459</v>
      </c>
      <c r="G690">
        <v>6.5102639296187759E-2</v>
      </c>
      <c r="H690">
        <v>3.4701857282502517E-2</v>
      </c>
      <c r="I690">
        <v>2.27272727272726E-2</v>
      </c>
      <c r="J690">
        <v>0.50909090909090926</v>
      </c>
      <c r="K690">
        <v>0.72844574780058635</v>
      </c>
      <c r="L690">
        <v>0.84633431085043975</v>
      </c>
      <c r="M690">
        <v>0.94838709677419342</v>
      </c>
      <c r="N690">
        <v>1.0395894428152492</v>
      </c>
      <c r="O690">
        <v>1.0898826979472147</v>
      </c>
      <c r="P690">
        <v>0.98</v>
      </c>
      <c r="Q690">
        <v>0.97</v>
      </c>
      <c r="R690">
        <v>0.97</v>
      </c>
      <c r="S690">
        <v>0.97</v>
      </c>
      <c r="T690">
        <v>0.97</v>
      </c>
      <c r="U690">
        <v>0.97</v>
      </c>
    </row>
    <row r="691" spans="2:21">
      <c r="C691">
        <v>95</v>
      </c>
      <c r="D691">
        <v>0.45865102639296151</v>
      </c>
      <c r="E691">
        <v>0.22052785923753682</v>
      </c>
      <c r="F691">
        <v>0.13137829912023458</v>
      </c>
      <c r="G691">
        <v>7.5073313782991313E-2</v>
      </c>
      <c r="H691">
        <v>4.0078201368523941E-2</v>
      </c>
      <c r="I691">
        <v>2.6392961876832717E-2</v>
      </c>
      <c r="J691">
        <v>0.51612903225806472</v>
      </c>
      <c r="K691">
        <v>0.75425219941348942</v>
      </c>
      <c r="L691">
        <v>0.88797653958944278</v>
      </c>
      <c r="M691">
        <v>1.0005865102639293</v>
      </c>
      <c r="N691">
        <v>1.1055718475073315</v>
      </c>
      <c r="O691">
        <v>1.1630498533724345</v>
      </c>
      <c r="P691">
        <v>0.98</v>
      </c>
      <c r="Q691">
        <v>0.97</v>
      </c>
      <c r="R691">
        <v>0.97</v>
      </c>
      <c r="S691">
        <v>0.97</v>
      </c>
      <c r="T691">
        <v>0.97</v>
      </c>
      <c r="U691">
        <v>0.97</v>
      </c>
    </row>
    <row r="692" spans="2:21">
      <c r="C692">
        <v>105</v>
      </c>
      <c r="D692">
        <v>0.50087976539589429</v>
      </c>
      <c r="E692">
        <v>0.24516129032258061</v>
      </c>
      <c r="F692">
        <v>0.14780058651026406</v>
      </c>
      <c r="G692">
        <v>8.4457478005865116E-2</v>
      </c>
      <c r="H692">
        <v>4.5943304007819978E-2</v>
      </c>
      <c r="I692">
        <v>2.9325513196481197E-2</v>
      </c>
      <c r="J692">
        <v>0.52082111436950163</v>
      </c>
      <c r="K692">
        <v>0.77653958944281531</v>
      </c>
      <c r="L692">
        <v>0.92258064516129012</v>
      </c>
      <c r="M692">
        <v>1.049266862170088</v>
      </c>
      <c r="N692">
        <v>1.1648093841642235</v>
      </c>
      <c r="O692">
        <v>1.2346041055718464</v>
      </c>
      <c r="P692">
        <v>0.98</v>
      </c>
      <c r="Q692">
        <v>0.97</v>
      </c>
      <c r="R692">
        <v>0.97</v>
      </c>
      <c r="S692">
        <v>0.97</v>
      </c>
      <c r="T692">
        <v>0.97</v>
      </c>
      <c r="U692">
        <v>0.97</v>
      </c>
    </row>
    <row r="693" spans="2:21">
      <c r="C693">
        <v>115</v>
      </c>
      <c r="D693">
        <v>0.53958944281524945</v>
      </c>
      <c r="E693">
        <v>0.26979472140762439</v>
      </c>
      <c r="F693">
        <v>0.16304985337243405</v>
      </c>
      <c r="G693">
        <v>9.4428152492668671E-2</v>
      </c>
      <c r="H693">
        <v>5.131964809384159E-2</v>
      </c>
      <c r="I693">
        <v>3.2991202346041033E-2</v>
      </c>
      <c r="J693">
        <v>0.52492668621700878</v>
      </c>
      <c r="K693">
        <v>0.79472140762463384</v>
      </c>
      <c r="L693">
        <v>0.95483870967741935</v>
      </c>
      <c r="M693">
        <v>1.0920821114369501</v>
      </c>
      <c r="N693">
        <v>1.2214076246334313</v>
      </c>
      <c r="O693">
        <v>1.2983870967741937</v>
      </c>
      <c r="P693">
        <v>0.98</v>
      </c>
      <c r="Q693">
        <v>0.97</v>
      </c>
      <c r="R693">
        <v>0.97</v>
      </c>
      <c r="S693">
        <v>0.97</v>
      </c>
      <c r="T693">
        <v>0.97</v>
      </c>
      <c r="U693">
        <v>0.97</v>
      </c>
    </row>
    <row r="694" spans="2:21">
      <c r="C694">
        <v>125</v>
      </c>
      <c r="D694">
        <v>0.57829912023460373</v>
      </c>
      <c r="E694">
        <v>0.29208211143695051</v>
      </c>
      <c r="F694">
        <v>0.17829912023460404</v>
      </c>
      <c r="G694">
        <v>0.10381231671554247</v>
      </c>
      <c r="H694">
        <v>5.7184750733137807E-2</v>
      </c>
      <c r="I694">
        <v>3.6656891495601147E-2</v>
      </c>
      <c r="J694">
        <v>0.52609970674486828</v>
      </c>
      <c r="K694">
        <v>0.81231671554252149</v>
      </c>
      <c r="L694">
        <v>0.9829912023460412</v>
      </c>
      <c r="M694">
        <v>1.1319648093841643</v>
      </c>
      <c r="N694">
        <v>1.2718475073313784</v>
      </c>
      <c r="O694">
        <v>1.3580645161290323</v>
      </c>
      <c r="P694">
        <v>0.98</v>
      </c>
      <c r="Q694">
        <v>0.97</v>
      </c>
      <c r="R694">
        <v>0.97</v>
      </c>
      <c r="S694">
        <v>0.97</v>
      </c>
      <c r="T694">
        <v>0.97</v>
      </c>
      <c r="U694">
        <v>0.97</v>
      </c>
    </row>
    <row r="695" spans="2:21">
      <c r="C695">
        <v>135</v>
      </c>
      <c r="D695">
        <v>0.61348973607038149</v>
      </c>
      <c r="E695">
        <v>0.31554252199413479</v>
      </c>
      <c r="F695">
        <v>0.19354838709677402</v>
      </c>
      <c r="G695">
        <v>0.11319648093841628</v>
      </c>
      <c r="H695">
        <v>6.2561094819159419E-2</v>
      </c>
      <c r="I695">
        <v>4.0322580645161539E-2</v>
      </c>
      <c r="J695">
        <v>0.52727272727272712</v>
      </c>
      <c r="K695">
        <v>0.82521994134897381</v>
      </c>
      <c r="L695">
        <v>1.008211143695015</v>
      </c>
      <c r="M695">
        <v>1.1689149560117305</v>
      </c>
      <c r="N695">
        <v>1.320821114369501</v>
      </c>
      <c r="O695">
        <v>1.4142228739002922</v>
      </c>
      <c r="P695">
        <v>0.98</v>
      </c>
      <c r="Q695">
        <v>0.97</v>
      </c>
      <c r="R695">
        <v>0.97</v>
      </c>
      <c r="S695">
        <v>0.97</v>
      </c>
      <c r="T695">
        <v>0.97</v>
      </c>
      <c r="U695">
        <v>0.97</v>
      </c>
    </row>
    <row r="696" spans="2:21">
      <c r="C696">
        <v>145</v>
      </c>
      <c r="D696">
        <v>0.64750733137829908</v>
      </c>
      <c r="E696">
        <v>0.33782991202346047</v>
      </c>
      <c r="F696">
        <v>0.20762463343108495</v>
      </c>
      <c r="G696">
        <v>0.12258064516129008</v>
      </c>
      <c r="H696">
        <v>6.793743890518103E-2</v>
      </c>
      <c r="I696">
        <v>4.4721407624633287E-2</v>
      </c>
      <c r="J696">
        <v>0.52727272727272734</v>
      </c>
      <c r="K696">
        <v>0.83695014662756595</v>
      </c>
      <c r="L696">
        <v>1.0322580645161292</v>
      </c>
      <c r="M696">
        <v>1.202346041055719</v>
      </c>
      <c r="N696">
        <v>1.366275659824046</v>
      </c>
      <c r="O696">
        <v>1.4637829912023466</v>
      </c>
      <c r="P696">
        <v>0.98</v>
      </c>
      <c r="Q696">
        <v>0.97</v>
      </c>
      <c r="R696">
        <v>0.97</v>
      </c>
      <c r="S696">
        <v>0.97</v>
      </c>
      <c r="T696">
        <v>0.97</v>
      </c>
      <c r="U696">
        <v>0.97</v>
      </c>
    </row>
    <row r="697" spans="2:21">
      <c r="C697">
        <v>155</v>
      </c>
      <c r="D697">
        <v>0.68035190615835806</v>
      </c>
      <c r="E697">
        <v>0.35894428152492663</v>
      </c>
      <c r="F697">
        <v>0.22170087976539588</v>
      </c>
      <c r="G697">
        <v>0.13255131964809386</v>
      </c>
      <c r="H697">
        <v>7.3313782991202267E-2</v>
      </c>
      <c r="I697">
        <v>4.7653958944281774E-2</v>
      </c>
      <c r="J697">
        <v>0.52609970674486783</v>
      </c>
      <c r="K697">
        <v>0.84750733137829926</v>
      </c>
      <c r="L697">
        <v>1.0533724340175954</v>
      </c>
      <c r="M697">
        <v>1.2316715542521994</v>
      </c>
      <c r="N697">
        <v>1.4093841642228742</v>
      </c>
      <c r="O697">
        <v>1.5171554252199404</v>
      </c>
      <c r="P697">
        <v>0.98</v>
      </c>
      <c r="Q697">
        <v>0.97</v>
      </c>
      <c r="R697">
        <v>0.97</v>
      </c>
      <c r="S697">
        <v>0.97</v>
      </c>
      <c r="T697">
        <v>0.97</v>
      </c>
      <c r="U697">
        <v>0.97</v>
      </c>
    </row>
    <row r="698" spans="2:21">
      <c r="B698">
        <v>7</v>
      </c>
      <c r="C698">
        <v>15</v>
      </c>
      <c r="D698">
        <v>6.0997067448680387E-2</v>
      </c>
      <c r="E698">
        <v>2.228739002932556E-2</v>
      </c>
      <c r="F698">
        <v>1.2903225806451535E-2</v>
      </c>
      <c r="G698">
        <v>6.4516129032257674E-3</v>
      </c>
      <c r="H698">
        <v>2.9325513196481095E-3</v>
      </c>
      <c r="I698">
        <v>2.1994134897360827E-3</v>
      </c>
      <c r="J698">
        <v>0.29149560117302054</v>
      </c>
      <c r="K698">
        <v>0.33020527859237536</v>
      </c>
      <c r="L698">
        <v>0.3442815249266864</v>
      </c>
      <c r="M698">
        <v>0.35718475073313793</v>
      </c>
      <c r="N698">
        <v>0.36774193548387091</v>
      </c>
      <c r="O698">
        <v>0.37082111436950144</v>
      </c>
      <c r="P698">
        <v>0.98</v>
      </c>
      <c r="Q698">
        <v>0.97</v>
      </c>
      <c r="R698">
        <v>0.97</v>
      </c>
      <c r="S698">
        <v>0.97</v>
      </c>
      <c r="T698">
        <v>0.97</v>
      </c>
      <c r="U698">
        <v>0.97</v>
      </c>
    </row>
    <row r="699" spans="2:21">
      <c r="C699">
        <v>25</v>
      </c>
      <c r="D699">
        <v>0.12668621700879767</v>
      </c>
      <c r="E699">
        <v>5.1612903225806361E-2</v>
      </c>
      <c r="F699">
        <v>2.6979472140762573E-2</v>
      </c>
      <c r="G699">
        <v>1.5249266862170097E-2</v>
      </c>
      <c r="H699">
        <v>7.3313782991202272E-3</v>
      </c>
      <c r="I699">
        <v>4.3988269794721655E-3</v>
      </c>
      <c r="J699">
        <v>0.38533724340175945</v>
      </c>
      <c r="K699">
        <v>0.46041055718475077</v>
      </c>
      <c r="L699">
        <v>0.49736070381231645</v>
      </c>
      <c r="M699">
        <v>0.5208211143695014</v>
      </c>
      <c r="N699">
        <v>0.54457478005865101</v>
      </c>
      <c r="O699">
        <v>0.5568914956011729</v>
      </c>
      <c r="P699">
        <v>0.98</v>
      </c>
      <c r="Q699">
        <v>0.97</v>
      </c>
      <c r="R699">
        <v>0.97</v>
      </c>
      <c r="S699">
        <v>0.97</v>
      </c>
      <c r="T699">
        <v>0.97</v>
      </c>
      <c r="U699">
        <v>0.97</v>
      </c>
    </row>
    <row r="700" spans="2:21">
      <c r="C700">
        <v>35</v>
      </c>
      <c r="D700">
        <v>0.19824046920821115</v>
      </c>
      <c r="E700">
        <v>8.2111436950146777E-2</v>
      </c>
      <c r="F700">
        <v>4.5747800586510179E-2</v>
      </c>
      <c r="G700">
        <v>2.4633431085044011E-2</v>
      </c>
      <c r="H700">
        <v>1.3196480938416353E-2</v>
      </c>
      <c r="I700">
        <v>7.3313782991202298E-3</v>
      </c>
      <c r="J700">
        <v>0.44281524926686211</v>
      </c>
      <c r="K700">
        <v>0.55894428152492648</v>
      </c>
      <c r="L700">
        <v>0.61348973607038138</v>
      </c>
      <c r="M700">
        <v>0.65571847507331371</v>
      </c>
      <c r="N700">
        <v>0.69002932551319673</v>
      </c>
      <c r="O700">
        <v>0.71466275659824041</v>
      </c>
      <c r="P700">
        <v>0.98</v>
      </c>
      <c r="Q700">
        <v>0.97</v>
      </c>
      <c r="R700">
        <v>0.97</v>
      </c>
      <c r="S700">
        <v>0.97</v>
      </c>
      <c r="T700">
        <v>0.97</v>
      </c>
      <c r="U700">
        <v>0.97</v>
      </c>
    </row>
    <row r="701" spans="2:21">
      <c r="C701">
        <v>45</v>
      </c>
      <c r="D701">
        <v>0.26744868035190605</v>
      </c>
      <c r="E701">
        <v>0.1501466275659824</v>
      </c>
      <c r="F701">
        <v>6.5689149560117288E-2</v>
      </c>
      <c r="G701">
        <v>3.5777126099706735E-2</v>
      </c>
      <c r="H701">
        <v>1.8572825024437963E-2</v>
      </c>
      <c r="I701">
        <v>1.1730205278592396E-2</v>
      </c>
      <c r="J701">
        <v>0.49853372434017607</v>
      </c>
      <c r="K701">
        <v>0.63343108504398826</v>
      </c>
      <c r="L701">
        <v>0.70733137829912029</v>
      </c>
      <c r="M701">
        <v>0.7671554252199414</v>
      </c>
      <c r="N701">
        <v>0.81876832844574776</v>
      </c>
      <c r="O701">
        <v>0.84750733137829914</v>
      </c>
      <c r="P701">
        <v>0.98</v>
      </c>
      <c r="Q701">
        <v>0.97</v>
      </c>
      <c r="R701">
        <v>0.97</v>
      </c>
      <c r="S701">
        <v>0.97</v>
      </c>
      <c r="T701">
        <v>0.97</v>
      </c>
      <c r="U701">
        <v>0.97</v>
      </c>
    </row>
    <row r="702" spans="2:21">
      <c r="C702">
        <v>55</v>
      </c>
      <c r="D702">
        <v>0.33313782991202334</v>
      </c>
      <c r="E702">
        <v>0.14897360703812335</v>
      </c>
      <c r="F702">
        <v>8.5630498533724175E-2</v>
      </c>
      <c r="G702">
        <v>4.75073313782991E-2</v>
      </c>
      <c r="H702">
        <v>2.4926686217008699E-2</v>
      </c>
      <c r="I702">
        <v>1.5395894428152649E-2</v>
      </c>
      <c r="J702">
        <v>0.5067448680351907</v>
      </c>
      <c r="K702">
        <v>0.6909090909090907</v>
      </c>
      <c r="L702">
        <v>0.78592375366568945</v>
      </c>
      <c r="M702">
        <v>0.8621700879765396</v>
      </c>
      <c r="N702">
        <v>0.9299120234604108</v>
      </c>
      <c r="O702">
        <v>0.96994134897360618</v>
      </c>
      <c r="P702">
        <v>0.98</v>
      </c>
      <c r="Q702">
        <v>0.97</v>
      </c>
      <c r="R702">
        <v>0.97</v>
      </c>
      <c r="S702">
        <v>0.97</v>
      </c>
      <c r="T702">
        <v>0.97</v>
      </c>
      <c r="U702">
        <v>0.97</v>
      </c>
    </row>
    <row r="703" spans="2:21">
      <c r="C703">
        <v>65</v>
      </c>
      <c r="D703">
        <v>0.39648093841642229</v>
      </c>
      <c r="E703">
        <v>0.18299120234604116</v>
      </c>
      <c r="F703">
        <v>0.10557184750733128</v>
      </c>
      <c r="G703">
        <v>5.9237536656891576E-2</v>
      </c>
      <c r="H703">
        <v>3.1280547409579522E-2</v>
      </c>
      <c r="I703">
        <v>2.0527859237536587E-2</v>
      </c>
      <c r="J703">
        <v>0.52316715542521997</v>
      </c>
      <c r="K703">
        <v>0.7366568914956011</v>
      </c>
      <c r="L703">
        <v>0.85278592375366591</v>
      </c>
      <c r="M703">
        <v>0.94545454545454533</v>
      </c>
      <c r="N703">
        <v>1.0293255131964816</v>
      </c>
      <c r="O703">
        <v>1.0744868035190618</v>
      </c>
      <c r="P703">
        <v>0.98</v>
      </c>
      <c r="Q703">
        <v>0.97</v>
      </c>
      <c r="R703">
        <v>0.97</v>
      </c>
      <c r="S703">
        <v>0.97</v>
      </c>
      <c r="T703">
        <v>0.97</v>
      </c>
      <c r="U703">
        <v>0.97</v>
      </c>
    </row>
    <row r="704" spans="2:21">
      <c r="C704">
        <v>75</v>
      </c>
      <c r="D704">
        <v>0.45513196480938412</v>
      </c>
      <c r="E704">
        <v>0.21583577712609969</v>
      </c>
      <c r="F704">
        <v>0.12551319648093839</v>
      </c>
      <c r="G704">
        <v>7.1554252199413471E-2</v>
      </c>
      <c r="H704">
        <v>3.8123167155425144E-2</v>
      </c>
      <c r="I704">
        <v>2.4193548387096982E-2</v>
      </c>
      <c r="J704">
        <v>0.53489736070381233</v>
      </c>
      <c r="K704">
        <v>0.77419354838709675</v>
      </c>
      <c r="L704">
        <v>0.9096774193548387</v>
      </c>
      <c r="M704">
        <v>1.0175953079178885</v>
      </c>
      <c r="N704">
        <v>1.1178885630498536</v>
      </c>
      <c r="O704">
        <v>1.1763929618768318</v>
      </c>
      <c r="P704">
        <v>0.98</v>
      </c>
      <c r="Q704">
        <v>0.97</v>
      </c>
      <c r="R704">
        <v>0.97</v>
      </c>
      <c r="S704">
        <v>0.97</v>
      </c>
      <c r="T704">
        <v>0.97</v>
      </c>
      <c r="U704">
        <v>0.97</v>
      </c>
    </row>
    <row r="705" spans="2:21">
      <c r="C705">
        <v>85</v>
      </c>
      <c r="D705">
        <v>0.5114369501466276</v>
      </c>
      <c r="E705">
        <v>0.24750733137829917</v>
      </c>
      <c r="F705">
        <v>0.14662756598240456</v>
      </c>
      <c r="G705">
        <v>8.3870967741935365E-2</v>
      </c>
      <c r="H705">
        <v>4.4477028347996155E-2</v>
      </c>
      <c r="I705">
        <v>2.9325513196480919E-2</v>
      </c>
      <c r="J705">
        <v>0.54134897360703804</v>
      </c>
      <c r="K705">
        <v>0.80527859237536648</v>
      </c>
      <c r="L705">
        <v>0.95659824046920838</v>
      </c>
      <c r="M705">
        <v>1.0821114369501468</v>
      </c>
      <c r="N705">
        <v>1.2002932551319645</v>
      </c>
      <c r="O705">
        <v>1.2639296187683284</v>
      </c>
      <c r="P705">
        <v>0.98</v>
      </c>
      <c r="Q705">
        <v>0.97</v>
      </c>
      <c r="R705">
        <v>0.97</v>
      </c>
      <c r="S705">
        <v>0.97</v>
      </c>
      <c r="T705">
        <v>0.97</v>
      </c>
      <c r="U705">
        <v>0.97</v>
      </c>
    </row>
    <row r="706" spans="2:21">
      <c r="C706">
        <v>95</v>
      </c>
      <c r="D706">
        <v>0.56422287390029346</v>
      </c>
      <c r="E706">
        <v>0.27917888563049864</v>
      </c>
      <c r="F706">
        <v>0.16656891495601167</v>
      </c>
      <c r="G706">
        <v>9.5601173020527952E-2</v>
      </c>
      <c r="H706">
        <v>5.1808406647116383E-2</v>
      </c>
      <c r="I706">
        <v>3.3724340175952945E-2</v>
      </c>
      <c r="J706">
        <v>0.54486803519061566</v>
      </c>
      <c r="K706">
        <v>0.82991202346041049</v>
      </c>
      <c r="L706">
        <v>0.99882697947214094</v>
      </c>
      <c r="M706">
        <v>1.1407624633431084</v>
      </c>
      <c r="N706">
        <v>1.2721407624633432</v>
      </c>
      <c r="O706">
        <v>1.3480938416422295</v>
      </c>
      <c r="P706">
        <v>0.98</v>
      </c>
      <c r="Q706">
        <v>0.97</v>
      </c>
      <c r="R706">
        <v>0.97</v>
      </c>
      <c r="S706">
        <v>0.97</v>
      </c>
      <c r="T706">
        <v>0.97</v>
      </c>
      <c r="U706">
        <v>0.97</v>
      </c>
    </row>
    <row r="707" spans="2:21">
      <c r="C707">
        <v>105</v>
      </c>
      <c r="D707">
        <v>0.61348973607038126</v>
      </c>
      <c r="E707">
        <v>0.30850439882697955</v>
      </c>
      <c r="F707">
        <v>0.18651026392961878</v>
      </c>
      <c r="G707">
        <v>0.10791788856304985</v>
      </c>
      <c r="H707">
        <v>5.9139784946236611E-2</v>
      </c>
      <c r="I707">
        <v>3.7390029325513337E-2</v>
      </c>
      <c r="J707">
        <v>0.5466275659824047</v>
      </c>
      <c r="K707">
        <v>0.85161290322580641</v>
      </c>
      <c r="L707">
        <v>1.0346041055718476</v>
      </c>
      <c r="M707">
        <v>1.1917888563049854</v>
      </c>
      <c r="N707">
        <v>1.3381231671554252</v>
      </c>
      <c r="O707">
        <v>1.4294721407624629</v>
      </c>
      <c r="P707">
        <v>0.98</v>
      </c>
      <c r="Q707">
        <v>0.97</v>
      </c>
      <c r="R707">
        <v>0.97</v>
      </c>
      <c r="S707">
        <v>0.97</v>
      </c>
      <c r="T707">
        <v>0.97</v>
      </c>
      <c r="U707">
        <v>0.97</v>
      </c>
    </row>
    <row r="708" spans="2:21">
      <c r="C708">
        <v>115</v>
      </c>
      <c r="D708">
        <v>0.66041055718475095</v>
      </c>
      <c r="E708">
        <v>0.33665689149560096</v>
      </c>
      <c r="F708">
        <v>0.20645161290322589</v>
      </c>
      <c r="G708">
        <v>0.12023460410557196</v>
      </c>
      <c r="H708">
        <v>6.5493646138807246E-2</v>
      </c>
      <c r="I708">
        <v>4.2521994134897274E-2</v>
      </c>
      <c r="J708">
        <v>0.54662756598240447</v>
      </c>
      <c r="K708">
        <v>0.87038123167155446</v>
      </c>
      <c r="L708">
        <v>1.0656891495601171</v>
      </c>
      <c r="M708">
        <v>1.2381231671554249</v>
      </c>
      <c r="N708">
        <v>1.4023460410557191</v>
      </c>
      <c r="O708">
        <v>1.4988269794721409</v>
      </c>
      <c r="P708">
        <v>0.98</v>
      </c>
      <c r="Q708">
        <v>0.97</v>
      </c>
      <c r="R708">
        <v>0.97</v>
      </c>
      <c r="S708">
        <v>0.97</v>
      </c>
      <c r="T708">
        <v>0.97</v>
      </c>
      <c r="U708">
        <v>0.97</v>
      </c>
    </row>
    <row r="709" spans="2:21">
      <c r="C709">
        <v>125</v>
      </c>
      <c r="D709">
        <v>0.70498533724340162</v>
      </c>
      <c r="E709">
        <v>0.36480938416422282</v>
      </c>
      <c r="F709">
        <v>0.22521994134897394</v>
      </c>
      <c r="G709">
        <v>0.13196480938416411</v>
      </c>
      <c r="H709">
        <v>7.2825024437927668E-2</v>
      </c>
      <c r="I709">
        <v>4.6920821114369585E-2</v>
      </c>
      <c r="J709">
        <v>0.54486803519061588</v>
      </c>
      <c r="K709">
        <v>0.88504398826979469</v>
      </c>
      <c r="L709">
        <v>1.094428152492668</v>
      </c>
      <c r="M709">
        <v>1.2809384164222877</v>
      </c>
      <c r="N709">
        <v>1.458357771260997</v>
      </c>
      <c r="O709">
        <v>1.5671554252199409</v>
      </c>
      <c r="P709">
        <v>0.98</v>
      </c>
      <c r="Q709">
        <v>0.97</v>
      </c>
      <c r="R709">
        <v>0.97</v>
      </c>
      <c r="S709">
        <v>0.97</v>
      </c>
      <c r="T709">
        <v>0.97</v>
      </c>
      <c r="U709">
        <v>0.97</v>
      </c>
    </row>
    <row r="710" spans="2:21">
      <c r="C710">
        <v>135</v>
      </c>
      <c r="D710">
        <v>0.74486803519061584</v>
      </c>
      <c r="E710">
        <v>0.39296187683284423</v>
      </c>
      <c r="F710">
        <v>0.24398826979472155</v>
      </c>
      <c r="G710">
        <v>0.14369501466275647</v>
      </c>
      <c r="H710">
        <v>7.966764418377309E-2</v>
      </c>
      <c r="I710">
        <v>5.2052785923754077E-2</v>
      </c>
      <c r="J710">
        <v>0.5436950146627566</v>
      </c>
      <c r="K710">
        <v>0.89560117302052822</v>
      </c>
      <c r="L710">
        <v>1.1190615835777122</v>
      </c>
      <c r="M710">
        <v>1.3196480938416424</v>
      </c>
      <c r="N710">
        <v>1.5117302052785926</v>
      </c>
      <c r="O710">
        <v>1.6277126099706725</v>
      </c>
      <c r="P710">
        <v>0.98</v>
      </c>
      <c r="Q710">
        <v>0.97</v>
      </c>
      <c r="R710">
        <v>0.97</v>
      </c>
      <c r="S710">
        <v>0.97</v>
      </c>
      <c r="T710">
        <v>0.97</v>
      </c>
      <c r="U710">
        <v>0.97</v>
      </c>
    </row>
    <row r="711" spans="2:21">
      <c r="C711">
        <v>145</v>
      </c>
      <c r="D711">
        <v>0.78357771260997056</v>
      </c>
      <c r="E711">
        <v>0.41876832844574752</v>
      </c>
      <c r="F711">
        <v>0.26158357771261009</v>
      </c>
      <c r="G711">
        <v>0.15601173020527859</v>
      </c>
      <c r="H711">
        <v>8.65102639296189E-2</v>
      </c>
      <c r="I711">
        <v>5.6451612903225826E-2</v>
      </c>
      <c r="J711">
        <v>0.54134897360703826</v>
      </c>
      <c r="K711">
        <v>0.9061583577712613</v>
      </c>
      <c r="L711">
        <v>1.1419354838709674</v>
      </c>
      <c r="M711">
        <v>1.3530791788856305</v>
      </c>
      <c r="N711">
        <v>1.5615835777126095</v>
      </c>
      <c r="O711">
        <v>1.6878299120234606</v>
      </c>
      <c r="P711">
        <v>0.98</v>
      </c>
      <c r="Q711">
        <v>0.97</v>
      </c>
      <c r="R711">
        <v>0.97</v>
      </c>
      <c r="S711">
        <v>0.97</v>
      </c>
      <c r="T711">
        <v>0.97</v>
      </c>
      <c r="U711">
        <v>0.97</v>
      </c>
    </row>
    <row r="712" spans="2:21">
      <c r="C712">
        <v>155</v>
      </c>
      <c r="D712">
        <v>0.82228739002932549</v>
      </c>
      <c r="E712">
        <v>0.44340175953079175</v>
      </c>
      <c r="F712">
        <v>0.2803519061583577</v>
      </c>
      <c r="G712">
        <v>0.1671554252199412</v>
      </c>
      <c r="H712">
        <v>9.3352883675464515E-2</v>
      </c>
      <c r="I712">
        <v>6.1583577712610041E-2</v>
      </c>
      <c r="J712">
        <v>0.53665689149560114</v>
      </c>
      <c r="K712">
        <v>0.91554252199413488</v>
      </c>
      <c r="L712">
        <v>1.160117302052786</v>
      </c>
      <c r="M712">
        <v>1.386510263929619</v>
      </c>
      <c r="N712">
        <v>1.607917888563049</v>
      </c>
      <c r="O712">
        <v>1.7413489736070378</v>
      </c>
      <c r="P712">
        <v>0.98</v>
      </c>
      <c r="Q712">
        <v>0.97</v>
      </c>
      <c r="R712">
        <v>0.97</v>
      </c>
      <c r="S712">
        <v>0.97</v>
      </c>
      <c r="T712">
        <v>0.97</v>
      </c>
      <c r="U712">
        <v>0.97</v>
      </c>
    </row>
    <row r="713" spans="2:21">
      <c r="B713">
        <v>8</v>
      </c>
      <c r="C713">
        <v>15</v>
      </c>
      <c r="D713">
        <v>7.6246334310850483E-2</v>
      </c>
      <c r="E713">
        <v>2.9325513196480912E-2</v>
      </c>
      <c r="F713">
        <v>1.5249266862170097E-2</v>
      </c>
      <c r="G713">
        <v>8.2111436950146888E-3</v>
      </c>
      <c r="H713">
        <v>3.9100684261974177E-3</v>
      </c>
      <c r="I713">
        <v>2.1994134897360827E-3</v>
      </c>
      <c r="J713">
        <v>0.32609970674486799</v>
      </c>
      <c r="K713">
        <v>0.37302052785923756</v>
      </c>
      <c r="L713">
        <v>0.39413489736070378</v>
      </c>
      <c r="M713">
        <v>0.4082111436950146</v>
      </c>
      <c r="N713">
        <v>0.42111436950146641</v>
      </c>
      <c r="O713">
        <v>0.42829912023460404</v>
      </c>
      <c r="P713">
        <v>0.98</v>
      </c>
      <c r="Q713">
        <v>0.97</v>
      </c>
      <c r="R713">
        <v>0.97</v>
      </c>
      <c r="S713">
        <v>0.97</v>
      </c>
      <c r="T713">
        <v>0.97</v>
      </c>
      <c r="U713">
        <v>0.97</v>
      </c>
    </row>
    <row r="714" spans="2:21">
      <c r="C714">
        <v>25</v>
      </c>
      <c r="D714">
        <v>0.15835777126099693</v>
      </c>
      <c r="E714">
        <v>6.4516129032258229E-2</v>
      </c>
      <c r="F714">
        <v>3.4017595307917814E-2</v>
      </c>
      <c r="G714">
        <v>1.8768328445747828E-2</v>
      </c>
      <c r="H714">
        <v>9.2864125122189365E-3</v>
      </c>
      <c r="I714">
        <v>5.8651026392962675E-3</v>
      </c>
      <c r="J714">
        <v>0.42346041055718486</v>
      </c>
      <c r="K714">
        <v>0.51730205278592356</v>
      </c>
      <c r="L714">
        <v>0.56304985337243418</v>
      </c>
      <c r="M714">
        <v>0.59354838709677415</v>
      </c>
      <c r="N714">
        <v>0.62199413489736077</v>
      </c>
      <c r="O714">
        <v>0.63636363636363602</v>
      </c>
      <c r="P714">
        <v>0.98</v>
      </c>
      <c r="Q714">
        <v>0.97</v>
      </c>
      <c r="R714">
        <v>0.97</v>
      </c>
      <c r="S714">
        <v>0.97</v>
      </c>
      <c r="T714">
        <v>0.97</v>
      </c>
      <c r="U714">
        <v>0.97</v>
      </c>
    </row>
    <row r="715" spans="2:21">
      <c r="C715">
        <v>35</v>
      </c>
      <c r="D715">
        <v>0.24398826979472132</v>
      </c>
      <c r="E715">
        <v>0.10322580645161317</v>
      </c>
      <c r="F715">
        <v>5.7478005865102544E-2</v>
      </c>
      <c r="G715">
        <v>3.1085043988269834E-2</v>
      </c>
      <c r="H715">
        <v>1.5640273704789761E-2</v>
      </c>
      <c r="I715">
        <v>1.0263929618768293E-2</v>
      </c>
      <c r="J715">
        <v>0.48093841642228741</v>
      </c>
      <c r="K715">
        <v>0.62170087976539556</v>
      </c>
      <c r="L715">
        <v>0.6903225806451615</v>
      </c>
      <c r="M715">
        <v>0.74310850439882692</v>
      </c>
      <c r="N715">
        <v>0.78944281524926718</v>
      </c>
      <c r="O715">
        <v>0.81202346041055729</v>
      </c>
      <c r="P715">
        <v>0.98</v>
      </c>
      <c r="Q715">
        <v>0.97</v>
      </c>
      <c r="R715">
        <v>0.97</v>
      </c>
      <c r="S715">
        <v>0.97</v>
      </c>
      <c r="T715">
        <v>0.97</v>
      </c>
      <c r="U715">
        <v>0.97</v>
      </c>
    </row>
    <row r="716" spans="2:21">
      <c r="C716">
        <v>45</v>
      </c>
      <c r="D716">
        <v>0.3260997067448681</v>
      </c>
      <c r="E716">
        <v>0.14428152492668622</v>
      </c>
      <c r="F716">
        <v>8.0938416422287496E-2</v>
      </c>
      <c r="G716">
        <v>4.5161290322580538E-2</v>
      </c>
      <c r="H716">
        <v>2.2971652003910267E-2</v>
      </c>
      <c r="I716">
        <v>1.4662756598240182E-2</v>
      </c>
      <c r="J716">
        <v>0.51671554252199403</v>
      </c>
      <c r="K716">
        <v>0.69853372434017591</v>
      </c>
      <c r="L716">
        <v>0.793548387096774</v>
      </c>
      <c r="M716">
        <v>0.86510263929618791</v>
      </c>
      <c r="N716">
        <v>0.93167155425219872</v>
      </c>
      <c r="O716">
        <v>0.96656891495601305</v>
      </c>
      <c r="P716">
        <v>0.98</v>
      </c>
      <c r="Q716">
        <v>0.97</v>
      </c>
      <c r="R716">
        <v>0.97</v>
      </c>
      <c r="S716">
        <v>0.97</v>
      </c>
      <c r="T716">
        <v>0.97</v>
      </c>
      <c r="U716">
        <v>0.97</v>
      </c>
    </row>
    <row r="717" spans="2:21">
      <c r="C717">
        <v>55</v>
      </c>
      <c r="D717">
        <v>0.40469208211143726</v>
      </c>
      <c r="E717">
        <v>0.18416422287390022</v>
      </c>
      <c r="F717">
        <v>0.10557184750733128</v>
      </c>
      <c r="G717">
        <v>5.9237536656891354E-2</v>
      </c>
      <c r="H717">
        <v>3.0791788856305288E-2</v>
      </c>
      <c r="I717">
        <v>1.9794721407624397E-2</v>
      </c>
      <c r="J717">
        <v>0.53900293255131948</v>
      </c>
      <c r="K717">
        <v>0.75953079178885652</v>
      </c>
      <c r="L717">
        <v>0.87741935483870992</v>
      </c>
      <c r="M717">
        <v>0.97008797653958978</v>
      </c>
      <c r="N717">
        <v>1.0554252199413479</v>
      </c>
      <c r="O717">
        <v>1.1016129032258077</v>
      </c>
      <c r="P717">
        <v>0.98</v>
      </c>
      <c r="Q717">
        <v>0.97</v>
      </c>
      <c r="R717">
        <v>0.97</v>
      </c>
      <c r="S717">
        <v>0.97</v>
      </c>
      <c r="T717">
        <v>0.97</v>
      </c>
      <c r="U717">
        <v>0.97</v>
      </c>
    </row>
    <row r="718" spans="2:21">
      <c r="C718">
        <v>65</v>
      </c>
      <c r="D718">
        <v>0.47741935483870956</v>
      </c>
      <c r="E718">
        <v>0.2252199413489735</v>
      </c>
      <c r="F718">
        <v>0.13020527859237552</v>
      </c>
      <c r="G718">
        <v>7.3900293255132032E-2</v>
      </c>
      <c r="H718">
        <v>3.9100684261974543E-2</v>
      </c>
      <c r="I718">
        <v>2.4926686217008616E-2</v>
      </c>
      <c r="J718">
        <v>0.55249266862170088</v>
      </c>
      <c r="K718">
        <v>0.80469208211143695</v>
      </c>
      <c r="L718">
        <v>0.94721407624633391</v>
      </c>
      <c r="M718">
        <v>1.0598240469208209</v>
      </c>
      <c r="N718">
        <v>1.1642228739002933</v>
      </c>
      <c r="O718">
        <v>1.2237536656891503</v>
      </c>
      <c r="P718">
        <v>0.98</v>
      </c>
      <c r="Q718">
        <v>0.97</v>
      </c>
      <c r="R718">
        <v>0.97</v>
      </c>
      <c r="S718">
        <v>0.97</v>
      </c>
      <c r="T718">
        <v>0.97</v>
      </c>
      <c r="U718">
        <v>0.97</v>
      </c>
    </row>
    <row r="719" spans="2:21">
      <c r="C719">
        <v>75</v>
      </c>
      <c r="D719">
        <v>0.54780058651026398</v>
      </c>
      <c r="E719">
        <v>0.26392961876832821</v>
      </c>
      <c r="F719">
        <v>0.15601173020527881</v>
      </c>
      <c r="G719">
        <v>8.8563049853372489E-2</v>
      </c>
      <c r="H719">
        <v>4.7409579667644169E-2</v>
      </c>
      <c r="I719">
        <v>3.0058651026393109E-2</v>
      </c>
      <c r="J719">
        <v>0.55835777126099706</v>
      </c>
      <c r="K719">
        <v>0.84222873900293282</v>
      </c>
      <c r="L719">
        <v>1.0041055718475069</v>
      </c>
      <c r="M719">
        <v>1.1390029325513196</v>
      </c>
      <c r="N719">
        <v>1.2624633431085046</v>
      </c>
      <c r="O719">
        <v>1.335337243401759</v>
      </c>
      <c r="P719">
        <v>0.98</v>
      </c>
      <c r="Q719">
        <v>0.97</v>
      </c>
      <c r="R719">
        <v>0.97</v>
      </c>
      <c r="S719">
        <v>0.97</v>
      </c>
      <c r="T719">
        <v>0.97</v>
      </c>
      <c r="U719">
        <v>0.97</v>
      </c>
    </row>
    <row r="720" spans="2:21">
      <c r="C720">
        <v>85</v>
      </c>
      <c r="D720">
        <v>0.61231671554252198</v>
      </c>
      <c r="E720">
        <v>0.30146627565982387</v>
      </c>
      <c r="F720">
        <v>0.1806451612903226</v>
      </c>
      <c r="G720">
        <v>0.10322580645161272</v>
      </c>
      <c r="H720">
        <v>5.6207233626588589E-2</v>
      </c>
      <c r="I720">
        <v>3.5923753665688958E-2</v>
      </c>
      <c r="J720">
        <v>0.56129032258064515</v>
      </c>
      <c r="K720">
        <v>0.87214076246334327</v>
      </c>
      <c r="L720">
        <v>1.0533724340175952</v>
      </c>
      <c r="M720">
        <v>1.2082111436950149</v>
      </c>
      <c r="N720">
        <v>1.3492668621700874</v>
      </c>
      <c r="O720">
        <v>1.4344574780058659</v>
      </c>
      <c r="P720">
        <v>0.98</v>
      </c>
      <c r="Q720">
        <v>0.97</v>
      </c>
      <c r="R720">
        <v>0.97</v>
      </c>
      <c r="S720">
        <v>0.97</v>
      </c>
      <c r="T720">
        <v>0.97</v>
      </c>
      <c r="U720">
        <v>0.97</v>
      </c>
    </row>
    <row r="721" spans="2:21">
      <c r="C721">
        <v>95</v>
      </c>
      <c r="D721">
        <v>0.67096774193548381</v>
      </c>
      <c r="E721">
        <v>0.33782991202346047</v>
      </c>
      <c r="F721">
        <v>0.20527859237536639</v>
      </c>
      <c r="G721">
        <v>0.11847507331378293</v>
      </c>
      <c r="H721">
        <v>6.4516129032258215E-2</v>
      </c>
      <c r="I721">
        <v>4.1788856304985363E-2</v>
      </c>
      <c r="J721">
        <v>0.56246334310850443</v>
      </c>
      <c r="K721">
        <v>0.89560117302052777</v>
      </c>
      <c r="L721">
        <v>1.0944281524926689</v>
      </c>
      <c r="M721">
        <v>1.2680351906158358</v>
      </c>
      <c r="N721">
        <v>1.4299120234604099</v>
      </c>
      <c r="O721">
        <v>1.525366568914956</v>
      </c>
      <c r="P721">
        <v>0.98</v>
      </c>
      <c r="Q721">
        <v>0.97</v>
      </c>
      <c r="R721">
        <v>0.97</v>
      </c>
      <c r="S721">
        <v>0.97</v>
      </c>
      <c r="T721">
        <v>0.97</v>
      </c>
      <c r="U721">
        <v>0.97</v>
      </c>
    </row>
    <row r="722" spans="2:21">
      <c r="C722">
        <v>105</v>
      </c>
      <c r="D722">
        <v>0.72727272727272707</v>
      </c>
      <c r="E722">
        <v>0.37419354838709706</v>
      </c>
      <c r="F722">
        <v>0.22873900293255112</v>
      </c>
      <c r="G722">
        <v>0.13313782991202361</v>
      </c>
      <c r="H722">
        <v>7.3313782991202267E-2</v>
      </c>
      <c r="I722">
        <v>4.6920821114369585E-2</v>
      </c>
      <c r="J722">
        <v>0.56011730205278609</v>
      </c>
      <c r="K722">
        <v>0.9131964809384161</v>
      </c>
      <c r="L722">
        <v>1.131378299120235</v>
      </c>
      <c r="M722">
        <v>1.32258064516129</v>
      </c>
      <c r="N722">
        <v>1.502052785923754</v>
      </c>
      <c r="O722">
        <v>1.6129032258064513</v>
      </c>
      <c r="P722">
        <v>0.98</v>
      </c>
      <c r="Q722">
        <v>0.97</v>
      </c>
      <c r="R722">
        <v>0.97</v>
      </c>
      <c r="S722">
        <v>0.97</v>
      </c>
      <c r="T722">
        <v>0.97</v>
      </c>
      <c r="U722">
        <v>0.97</v>
      </c>
    </row>
    <row r="723" spans="2:21">
      <c r="C723">
        <v>115</v>
      </c>
      <c r="D723">
        <v>0.78005865102639271</v>
      </c>
      <c r="E723">
        <v>0.40821114369501466</v>
      </c>
      <c r="F723">
        <v>0.25219941348973629</v>
      </c>
      <c r="G723">
        <v>0.14780058651026384</v>
      </c>
      <c r="H723">
        <v>8.1622678396871901E-2</v>
      </c>
      <c r="I723">
        <v>5.2785923753665989E-2</v>
      </c>
      <c r="J723">
        <v>0.55659824046920825</v>
      </c>
      <c r="K723">
        <v>0.92844574780058631</v>
      </c>
      <c r="L723">
        <v>1.1624633431085039</v>
      </c>
      <c r="M723">
        <v>1.3712609970674488</v>
      </c>
      <c r="N723">
        <v>1.5697947214076247</v>
      </c>
      <c r="O723">
        <v>1.6909090909090894</v>
      </c>
      <c r="P723">
        <v>0.98</v>
      </c>
      <c r="Q723">
        <v>0.97</v>
      </c>
      <c r="R723">
        <v>0.97</v>
      </c>
      <c r="S723">
        <v>0.97</v>
      </c>
      <c r="T723">
        <v>0.97</v>
      </c>
      <c r="U723">
        <v>0.97</v>
      </c>
    </row>
    <row r="724" spans="2:21">
      <c r="C724">
        <v>125</v>
      </c>
      <c r="D724">
        <v>0.82815249266862145</v>
      </c>
      <c r="E724">
        <v>0.44105571847507363</v>
      </c>
      <c r="F724">
        <v>0.27448680351906152</v>
      </c>
      <c r="G724">
        <v>0.16304985337243405</v>
      </c>
      <c r="H724">
        <v>8.9931573802541714E-2</v>
      </c>
      <c r="I724">
        <v>5.8651026392961839E-2</v>
      </c>
      <c r="J724">
        <v>0.55307917888563063</v>
      </c>
      <c r="K724">
        <v>0.94017595307917845</v>
      </c>
      <c r="L724">
        <v>1.1900293255131966</v>
      </c>
      <c r="M724">
        <v>1.4129032258064516</v>
      </c>
      <c r="N724">
        <v>1.6322580645161286</v>
      </c>
      <c r="O724">
        <v>1.7636363636363641</v>
      </c>
      <c r="P724">
        <v>0.98</v>
      </c>
      <c r="Q724">
        <v>0.97</v>
      </c>
      <c r="R724">
        <v>0.97</v>
      </c>
      <c r="S724">
        <v>0.97</v>
      </c>
      <c r="T724">
        <v>0.97</v>
      </c>
      <c r="U724">
        <v>0.97</v>
      </c>
    </row>
    <row r="725" spans="2:21">
      <c r="C725">
        <v>135</v>
      </c>
      <c r="D725">
        <v>0.87507331378299114</v>
      </c>
      <c r="E725">
        <v>0.47272727272727266</v>
      </c>
      <c r="F725">
        <v>0.29677419354838719</v>
      </c>
      <c r="G725">
        <v>0.17712609970674476</v>
      </c>
      <c r="H725">
        <v>9.8729227761485766E-2</v>
      </c>
      <c r="I725">
        <v>6.4516129032258798E-2</v>
      </c>
      <c r="J725">
        <v>0.54721407624633445</v>
      </c>
      <c r="K725">
        <v>0.94956011730205292</v>
      </c>
      <c r="L725">
        <v>1.2134897360703811</v>
      </c>
      <c r="M725">
        <v>1.452785923753666</v>
      </c>
      <c r="N725">
        <v>1.6879765395894428</v>
      </c>
      <c r="O725">
        <v>1.8316715542521962</v>
      </c>
      <c r="P725">
        <v>0.98</v>
      </c>
      <c r="Q725">
        <v>0.97</v>
      </c>
      <c r="R725">
        <v>0.97</v>
      </c>
      <c r="S725">
        <v>0.97</v>
      </c>
      <c r="T725">
        <v>0.97</v>
      </c>
      <c r="U725">
        <v>0.97</v>
      </c>
    </row>
    <row r="726" spans="2:21">
      <c r="C726">
        <v>145</v>
      </c>
      <c r="D726">
        <v>0.91847507331378253</v>
      </c>
      <c r="E726">
        <v>0.51495601173020544</v>
      </c>
      <c r="F726">
        <v>0.30615835777126099</v>
      </c>
      <c r="G726">
        <v>0.19120234604105568</v>
      </c>
      <c r="H726">
        <v>0.10703812316715539</v>
      </c>
      <c r="I726">
        <v>7.0381231671554093E-2</v>
      </c>
      <c r="J726">
        <v>0.54193548387096802</v>
      </c>
      <c r="K726">
        <v>0.9454545454545451</v>
      </c>
      <c r="L726">
        <v>1.2586510263929618</v>
      </c>
      <c r="M726">
        <v>1.4885630498533724</v>
      </c>
      <c r="N726">
        <v>1.7410557184750732</v>
      </c>
      <c r="O726">
        <v>1.8950146627565987</v>
      </c>
      <c r="P726">
        <v>0.98</v>
      </c>
      <c r="Q726">
        <v>0.97</v>
      </c>
      <c r="R726">
        <v>0.97</v>
      </c>
      <c r="S726">
        <v>0.97</v>
      </c>
      <c r="T726">
        <v>0.97</v>
      </c>
      <c r="U726">
        <v>0.97</v>
      </c>
    </row>
    <row r="727" spans="2:21">
      <c r="C727">
        <v>155</v>
      </c>
      <c r="D727">
        <v>0.95953079178885625</v>
      </c>
      <c r="E727">
        <v>0.53372434017595349</v>
      </c>
      <c r="F727">
        <v>0.33900293255131952</v>
      </c>
      <c r="G727">
        <v>0.20469208211143708</v>
      </c>
      <c r="H727">
        <v>0.11534701857282482</v>
      </c>
      <c r="I727">
        <v>7.6246334310850497E-2</v>
      </c>
      <c r="J727">
        <v>0.53548387096774186</v>
      </c>
      <c r="K727">
        <v>0.96129032258064462</v>
      </c>
      <c r="L727">
        <v>1.2533724340175956</v>
      </c>
      <c r="M727">
        <v>1.5219941348973605</v>
      </c>
      <c r="N727">
        <v>1.7900293255131972</v>
      </c>
      <c r="O727">
        <v>1.9542521994134894</v>
      </c>
      <c r="P727">
        <v>0.98</v>
      </c>
      <c r="Q727">
        <v>0.97</v>
      </c>
      <c r="R727">
        <v>0.97</v>
      </c>
      <c r="S727">
        <v>0.97</v>
      </c>
      <c r="T727">
        <v>0.97</v>
      </c>
      <c r="U727">
        <v>0.97</v>
      </c>
    </row>
    <row r="728" spans="2:21">
      <c r="B728">
        <v>9</v>
      </c>
      <c r="C728">
        <v>15</v>
      </c>
      <c r="D728">
        <v>9.266862170087975E-2</v>
      </c>
      <c r="E728">
        <v>3.6363636363636376E-2</v>
      </c>
      <c r="F728">
        <v>1.8768328445747828E-2</v>
      </c>
      <c r="G728">
        <v>9.9706744868034991E-3</v>
      </c>
      <c r="H728">
        <v>4.8875855327468638E-3</v>
      </c>
      <c r="I728">
        <v>2.9325513196481337E-3</v>
      </c>
      <c r="J728">
        <v>0.35835777126099705</v>
      </c>
      <c r="K728">
        <v>0.41466275659824042</v>
      </c>
      <c r="L728">
        <v>0.44105571847507324</v>
      </c>
      <c r="M728">
        <v>0.4586510263929619</v>
      </c>
      <c r="N728">
        <v>0.47390029325513183</v>
      </c>
      <c r="O728">
        <v>0.48211143695014647</v>
      </c>
      <c r="P728">
        <v>0.98</v>
      </c>
      <c r="Q728">
        <v>0.97</v>
      </c>
      <c r="R728">
        <v>0.97</v>
      </c>
      <c r="S728">
        <v>0.97</v>
      </c>
      <c r="T728">
        <v>0.97</v>
      </c>
      <c r="U728">
        <v>0.97</v>
      </c>
    </row>
    <row r="729" spans="2:21">
      <c r="C729">
        <v>25</v>
      </c>
      <c r="D729">
        <v>0.19120234604105568</v>
      </c>
      <c r="E729">
        <v>7.7419354838709653E-2</v>
      </c>
      <c r="F729">
        <v>4.3401759530791839E-2</v>
      </c>
      <c r="G729">
        <v>2.2873900293255089E-2</v>
      </c>
      <c r="H729">
        <v>1.1730205278592438E-2</v>
      </c>
      <c r="I729">
        <v>6.5982404692081793E-3</v>
      </c>
      <c r="J729">
        <v>0.45806451612903232</v>
      </c>
      <c r="K729">
        <v>0.57184750733137835</v>
      </c>
      <c r="L729">
        <v>0.62287390029325507</v>
      </c>
      <c r="M729">
        <v>0.66392961876832857</v>
      </c>
      <c r="N729">
        <v>0.69736070381231652</v>
      </c>
      <c r="O729">
        <v>0.71891495601173039</v>
      </c>
      <c r="P729">
        <v>0.98</v>
      </c>
      <c r="Q729">
        <v>0.97</v>
      </c>
      <c r="R729">
        <v>0.97</v>
      </c>
      <c r="S729">
        <v>0.97</v>
      </c>
      <c r="T729">
        <v>0.97</v>
      </c>
      <c r="U729">
        <v>0.97</v>
      </c>
    </row>
    <row r="730" spans="2:21">
      <c r="C730">
        <v>35</v>
      </c>
      <c r="D730">
        <v>0.29090909090909101</v>
      </c>
      <c r="E730">
        <v>0.12551319648093817</v>
      </c>
      <c r="F730">
        <v>6.9208211143695131E-2</v>
      </c>
      <c r="G730">
        <v>3.8123167155425186E-2</v>
      </c>
      <c r="H730">
        <v>1.9550342130987271E-2</v>
      </c>
      <c r="I730">
        <v>1.2463343108504586E-2</v>
      </c>
      <c r="J730">
        <v>0.51436950146627558</v>
      </c>
      <c r="K730">
        <v>0.67976539589442841</v>
      </c>
      <c r="L730">
        <v>0.76422287390029298</v>
      </c>
      <c r="M730">
        <v>0.82639296187683287</v>
      </c>
      <c r="N730">
        <v>0.8821114369501466</v>
      </c>
      <c r="O730">
        <v>0.91187683284457388</v>
      </c>
      <c r="P730">
        <v>0.98</v>
      </c>
      <c r="Q730">
        <v>0.97</v>
      </c>
      <c r="R730">
        <v>0.97</v>
      </c>
      <c r="S730">
        <v>0.97</v>
      </c>
      <c r="T730">
        <v>0.97</v>
      </c>
      <c r="U730">
        <v>0.97</v>
      </c>
    </row>
    <row r="731" spans="2:21">
      <c r="C731">
        <v>45</v>
      </c>
      <c r="D731">
        <v>0.38709677419354827</v>
      </c>
      <c r="E731">
        <v>0.17360703812316713</v>
      </c>
      <c r="F731">
        <v>9.8533724340176043E-2</v>
      </c>
      <c r="G731">
        <v>5.4545454545454453E-2</v>
      </c>
      <c r="H731">
        <v>2.88367546432063E-2</v>
      </c>
      <c r="I731">
        <v>1.7595307917888662E-2</v>
      </c>
      <c r="J731">
        <v>0.54604105571847505</v>
      </c>
      <c r="K731">
        <v>0.75953079178885619</v>
      </c>
      <c r="L731">
        <v>0.87214076246334282</v>
      </c>
      <c r="M731">
        <v>0.960117302052786</v>
      </c>
      <c r="N731">
        <v>1.0372434017595304</v>
      </c>
      <c r="O731">
        <v>1.0844574780058645</v>
      </c>
      <c r="P731">
        <v>0.98</v>
      </c>
      <c r="Q731">
        <v>0.97</v>
      </c>
      <c r="R731">
        <v>0.97</v>
      </c>
      <c r="S731">
        <v>0.97</v>
      </c>
      <c r="T731">
        <v>0.97</v>
      </c>
      <c r="U731">
        <v>0.97</v>
      </c>
    </row>
    <row r="732" spans="2:21">
      <c r="C732">
        <v>55</v>
      </c>
      <c r="D732">
        <v>0.47741935483870956</v>
      </c>
      <c r="E732">
        <v>0.22170087976539588</v>
      </c>
      <c r="F732">
        <v>0.12785923753665696</v>
      </c>
      <c r="G732">
        <v>7.2140762463343222E-2</v>
      </c>
      <c r="H732">
        <v>3.7634408602150352E-2</v>
      </c>
      <c r="I732">
        <v>2.4193548387096982E-2</v>
      </c>
      <c r="J732">
        <v>0.56363636363636371</v>
      </c>
      <c r="K732">
        <v>0.8193548387096774</v>
      </c>
      <c r="L732">
        <v>0.96011730205278578</v>
      </c>
      <c r="M732">
        <v>1.0715542521994132</v>
      </c>
      <c r="N732">
        <v>1.1750733137829918</v>
      </c>
      <c r="O732">
        <v>1.231524926686216</v>
      </c>
      <c r="P732">
        <v>0.98</v>
      </c>
      <c r="Q732">
        <v>0.97</v>
      </c>
      <c r="R732">
        <v>0.97</v>
      </c>
      <c r="S732">
        <v>0.97</v>
      </c>
      <c r="T732">
        <v>0.97</v>
      </c>
      <c r="U732">
        <v>0.97</v>
      </c>
    </row>
    <row r="733" spans="2:21">
      <c r="C733">
        <v>65</v>
      </c>
      <c r="D733">
        <v>0.5618768328445749</v>
      </c>
      <c r="E733">
        <v>0.26862170087976533</v>
      </c>
      <c r="F733">
        <v>0.15718475073313787</v>
      </c>
      <c r="G733">
        <v>8.9736070381231547E-2</v>
      </c>
      <c r="H733">
        <v>4.7409579667644169E-2</v>
      </c>
      <c r="I733">
        <v>3.079178885630502E-2</v>
      </c>
      <c r="J733">
        <v>0.57184750733137824</v>
      </c>
      <c r="K733">
        <v>0.8651026392961878</v>
      </c>
      <c r="L733">
        <v>1.032258064516129</v>
      </c>
      <c r="M733">
        <v>1.1671554252199416</v>
      </c>
      <c r="N733">
        <v>1.2941348973607039</v>
      </c>
      <c r="O733">
        <v>1.3639296187683283</v>
      </c>
      <c r="P733">
        <v>0.98</v>
      </c>
      <c r="Q733">
        <v>0.97</v>
      </c>
      <c r="R733">
        <v>0.97</v>
      </c>
      <c r="S733">
        <v>0.97</v>
      </c>
      <c r="T733">
        <v>0.97</v>
      </c>
      <c r="U733">
        <v>0.97</v>
      </c>
    </row>
    <row r="734" spans="2:21">
      <c r="C734">
        <v>75</v>
      </c>
      <c r="D734">
        <v>0.74017595307917894</v>
      </c>
      <c r="E734">
        <v>0.31436950146627574</v>
      </c>
      <c r="F734">
        <v>0.18768328445747784</v>
      </c>
      <c r="G734">
        <v>0.10733137829912009</v>
      </c>
      <c r="H734">
        <v>5.7673509286412787E-2</v>
      </c>
      <c r="I734">
        <v>3.6656891495601147E-2</v>
      </c>
      <c r="J734">
        <v>0.52375366568914949</v>
      </c>
      <c r="K734">
        <v>0.89970674486803515</v>
      </c>
      <c r="L734">
        <v>1.089736070381232</v>
      </c>
      <c r="M734">
        <v>1.2504398826979475</v>
      </c>
      <c r="N734">
        <v>1.3994134897360695</v>
      </c>
      <c r="O734">
        <v>1.4876832844574783</v>
      </c>
      <c r="P734">
        <v>0.98</v>
      </c>
      <c r="Q734">
        <v>0.97</v>
      </c>
      <c r="R734">
        <v>0.97</v>
      </c>
      <c r="S734">
        <v>0.97</v>
      </c>
      <c r="T734">
        <v>0.97</v>
      </c>
      <c r="U734">
        <v>0.97</v>
      </c>
    </row>
    <row r="735" spans="2:21">
      <c r="C735">
        <v>85</v>
      </c>
      <c r="D735">
        <v>0.71202346041055753</v>
      </c>
      <c r="E735">
        <v>0.35777126099706713</v>
      </c>
      <c r="F735">
        <v>0.2170087976539592</v>
      </c>
      <c r="G735">
        <v>0.12492668621700886</v>
      </c>
      <c r="H735">
        <v>6.793743890518085E-2</v>
      </c>
      <c r="I735">
        <v>4.3255131964809186E-2</v>
      </c>
      <c r="J735">
        <v>0.57302052785923729</v>
      </c>
      <c r="K735">
        <v>0.92727272727272769</v>
      </c>
      <c r="L735">
        <v>1.1384164222873896</v>
      </c>
      <c r="M735">
        <v>1.3225806451612903</v>
      </c>
      <c r="N735">
        <v>1.4935483870967743</v>
      </c>
      <c r="O735">
        <v>1.5972140762463354</v>
      </c>
      <c r="P735">
        <v>0.98</v>
      </c>
      <c r="Q735">
        <v>0.97</v>
      </c>
      <c r="R735">
        <v>0.97</v>
      </c>
      <c r="S735">
        <v>0.97</v>
      </c>
      <c r="T735">
        <v>0.97</v>
      </c>
      <c r="U735">
        <v>0.97</v>
      </c>
    </row>
    <row r="736" spans="2:21">
      <c r="C736">
        <v>95</v>
      </c>
      <c r="D736">
        <v>0.77888563049853365</v>
      </c>
      <c r="E736">
        <v>0.40117302052785941</v>
      </c>
      <c r="F736">
        <v>0.24516129032258061</v>
      </c>
      <c r="G736">
        <v>0.14310850439882694</v>
      </c>
      <c r="H736">
        <v>7.7712609970674487E-2</v>
      </c>
      <c r="I736">
        <v>5.0586510263929421E-2</v>
      </c>
      <c r="J736">
        <v>0.56891495601173014</v>
      </c>
      <c r="K736">
        <v>0.94662756598240438</v>
      </c>
      <c r="L736">
        <v>1.1806451612903226</v>
      </c>
      <c r="M736">
        <v>1.3847507331378299</v>
      </c>
      <c r="N736">
        <v>1.5809384164222873</v>
      </c>
      <c r="O736">
        <v>1.6948680351906167</v>
      </c>
      <c r="P736">
        <v>0.98</v>
      </c>
      <c r="Q736">
        <v>0.97</v>
      </c>
      <c r="R736">
        <v>0.97</v>
      </c>
      <c r="S736">
        <v>0.97</v>
      </c>
      <c r="T736">
        <v>0.97</v>
      </c>
      <c r="U736">
        <v>0.97</v>
      </c>
    </row>
    <row r="737" spans="2:21">
      <c r="C737">
        <v>105</v>
      </c>
      <c r="D737">
        <v>0.84105571847507354</v>
      </c>
      <c r="E737">
        <v>0.44222873900293225</v>
      </c>
      <c r="F737">
        <v>0.27331378299120246</v>
      </c>
      <c r="G737">
        <v>0.16011730205278596</v>
      </c>
      <c r="H737">
        <v>8.8465298142717516E-2</v>
      </c>
      <c r="I737">
        <v>5.7184750733138015E-2</v>
      </c>
      <c r="J737">
        <v>0.56304985337243396</v>
      </c>
      <c r="K737">
        <v>0.96187683284457526</v>
      </c>
      <c r="L737">
        <v>1.2152492668621699</v>
      </c>
      <c r="M737">
        <v>1.4416422287390029</v>
      </c>
      <c r="N737">
        <v>1.6565982404692083</v>
      </c>
      <c r="O737">
        <v>1.7879765395894422</v>
      </c>
      <c r="P737">
        <v>0.98</v>
      </c>
      <c r="Q737">
        <v>0.97</v>
      </c>
      <c r="R737">
        <v>0.97</v>
      </c>
      <c r="S737">
        <v>0.97</v>
      </c>
      <c r="T737">
        <v>0.97</v>
      </c>
      <c r="U737">
        <v>0.97</v>
      </c>
    </row>
    <row r="738" spans="2:21">
      <c r="C738">
        <v>115</v>
      </c>
      <c r="D738">
        <v>0.89853372434017587</v>
      </c>
      <c r="E738">
        <v>0.48093841642228741</v>
      </c>
      <c r="F738">
        <v>0.30029325513196481</v>
      </c>
      <c r="G738">
        <v>0.17771260997067451</v>
      </c>
      <c r="H738">
        <v>9.8240469208210973E-2</v>
      </c>
      <c r="I738">
        <v>6.4516129032258243E-2</v>
      </c>
      <c r="J738">
        <v>0.55659824046920825</v>
      </c>
      <c r="K738">
        <v>0.97419354838709671</v>
      </c>
      <c r="L738">
        <v>1.2451612903225806</v>
      </c>
      <c r="M738">
        <v>1.4903225806451612</v>
      </c>
      <c r="N738">
        <v>1.7287390029325518</v>
      </c>
      <c r="O738">
        <v>1.8703812316715533</v>
      </c>
      <c r="P738">
        <v>0.98</v>
      </c>
      <c r="Q738">
        <v>0.97</v>
      </c>
      <c r="R738">
        <v>0.97</v>
      </c>
      <c r="S738">
        <v>0.97</v>
      </c>
      <c r="T738">
        <v>0.97</v>
      </c>
      <c r="U738">
        <v>0.97</v>
      </c>
    </row>
    <row r="739" spans="2:21">
      <c r="C739">
        <v>125</v>
      </c>
      <c r="D739">
        <v>0.95131964809384151</v>
      </c>
      <c r="E739">
        <v>0.51964809384164212</v>
      </c>
      <c r="F739">
        <v>0.3260997067448681</v>
      </c>
      <c r="G739">
        <v>0.19530791788856305</v>
      </c>
      <c r="H739">
        <v>0.10850439882697958</v>
      </c>
      <c r="I739">
        <v>7.1114369501466004E-2</v>
      </c>
      <c r="J739">
        <v>0.54956011730205301</v>
      </c>
      <c r="K739">
        <v>0.98123167155425239</v>
      </c>
      <c r="L739">
        <v>1.2715542521994134</v>
      </c>
      <c r="M739">
        <v>1.5331378299120235</v>
      </c>
      <c r="N739">
        <v>1.7935483870967739</v>
      </c>
      <c r="O739">
        <v>1.950586510263931</v>
      </c>
      <c r="P739">
        <v>0.98</v>
      </c>
      <c r="Q739">
        <v>0.97</v>
      </c>
      <c r="R739">
        <v>0.97</v>
      </c>
      <c r="S739">
        <v>0.97</v>
      </c>
      <c r="T739">
        <v>0.97</v>
      </c>
      <c r="U739">
        <v>0.97</v>
      </c>
    </row>
    <row r="740" spans="2:21">
      <c r="C740">
        <v>135</v>
      </c>
      <c r="D740">
        <v>1.0017595307917886</v>
      </c>
      <c r="E740">
        <v>0.55483870967741966</v>
      </c>
      <c r="F740">
        <v>0.35307917888563045</v>
      </c>
      <c r="G740">
        <v>0.2117302052785921</v>
      </c>
      <c r="H740">
        <v>0.11876832844574819</v>
      </c>
      <c r="I740">
        <v>7.7712609970674321E-2</v>
      </c>
      <c r="J740">
        <v>0.54134897360703826</v>
      </c>
      <c r="K740">
        <v>0.98826979472140719</v>
      </c>
      <c r="L740">
        <v>1.290909090909091</v>
      </c>
      <c r="M740">
        <v>1.5736070381231677</v>
      </c>
      <c r="N740">
        <v>1.8524926686216994</v>
      </c>
      <c r="O740">
        <v>2.0249266862170097</v>
      </c>
      <c r="P740">
        <v>0.98</v>
      </c>
      <c r="Q740">
        <v>0.97</v>
      </c>
      <c r="R740">
        <v>0.97</v>
      </c>
      <c r="S740">
        <v>0.97</v>
      </c>
      <c r="T740">
        <v>0.97</v>
      </c>
      <c r="U740">
        <v>0.97</v>
      </c>
    </row>
    <row r="741" spans="2:21">
      <c r="C741">
        <v>145</v>
      </c>
      <c r="D741">
        <v>1.0486803519061585</v>
      </c>
      <c r="E741">
        <v>0.59002932551319676</v>
      </c>
      <c r="F741">
        <v>0.37771260997067424</v>
      </c>
      <c r="G741">
        <v>0.22815249266862159</v>
      </c>
      <c r="H741">
        <v>0.12854349951124147</v>
      </c>
      <c r="I741">
        <v>8.5043988269794549E-2</v>
      </c>
      <c r="J741">
        <v>0.53313782991202352</v>
      </c>
      <c r="K741">
        <v>0.99178885630498526</v>
      </c>
      <c r="L741">
        <v>1.310263929618769</v>
      </c>
      <c r="M741">
        <v>1.6093841642228743</v>
      </c>
      <c r="N741">
        <v>1.9082111436950147</v>
      </c>
      <c r="O741">
        <v>2.0909090909090917</v>
      </c>
      <c r="P741">
        <v>0.98</v>
      </c>
      <c r="Q741">
        <v>0.97</v>
      </c>
      <c r="R741">
        <v>0.97</v>
      </c>
      <c r="S741">
        <v>0.97</v>
      </c>
      <c r="T741">
        <v>0.97</v>
      </c>
      <c r="U741">
        <v>0.97</v>
      </c>
    </row>
    <row r="742" spans="2:21">
      <c r="C742">
        <v>155</v>
      </c>
      <c r="D742">
        <v>1.0932551319648094</v>
      </c>
      <c r="E742">
        <v>0.62287390029325529</v>
      </c>
      <c r="F742">
        <v>0.40117302052785897</v>
      </c>
      <c r="G742">
        <v>0.24457478005865108</v>
      </c>
      <c r="H742">
        <v>0.13880742913000971</v>
      </c>
      <c r="I742">
        <v>9.2375366568914777E-2</v>
      </c>
      <c r="J742">
        <v>0.52434017595307902</v>
      </c>
      <c r="K742">
        <v>0.99472140762463312</v>
      </c>
      <c r="L742">
        <v>1.3272727272727276</v>
      </c>
      <c r="M742">
        <v>1.6404692082111434</v>
      </c>
      <c r="N742">
        <v>1.9577712609970674</v>
      </c>
      <c r="O742">
        <v>2.1527859237536662</v>
      </c>
      <c r="P742">
        <v>0.98</v>
      </c>
      <c r="Q742">
        <v>0.97</v>
      </c>
      <c r="R742">
        <v>0.97</v>
      </c>
      <c r="S742">
        <v>0.97</v>
      </c>
      <c r="T742">
        <v>0.97</v>
      </c>
      <c r="U742">
        <v>0.97</v>
      </c>
    </row>
    <row r="743" spans="2:21">
      <c r="B743">
        <v>10</v>
      </c>
      <c r="C743">
        <v>15</v>
      </c>
      <c r="D743">
        <v>0.11143695014662758</v>
      </c>
      <c r="E743">
        <v>4.3401759530791617E-2</v>
      </c>
      <c r="F743">
        <v>2.2287390029325671E-2</v>
      </c>
      <c r="G743">
        <v>1.2316715542522005E-2</v>
      </c>
      <c r="H743">
        <v>5.8651026392961261E-3</v>
      </c>
      <c r="I743">
        <v>3.6656891495602537E-3</v>
      </c>
      <c r="J743">
        <v>0.38768328445747802</v>
      </c>
      <c r="K743">
        <v>0.45571847507331398</v>
      </c>
      <c r="L743">
        <v>0.4873900293255129</v>
      </c>
      <c r="M743">
        <v>0.50733137829912023</v>
      </c>
      <c r="N743">
        <v>0.52668621700879792</v>
      </c>
      <c r="O743">
        <v>0.53592375366568856</v>
      </c>
      <c r="P743">
        <v>0.98</v>
      </c>
      <c r="Q743">
        <v>0.97</v>
      </c>
      <c r="R743">
        <v>0.97</v>
      </c>
      <c r="S743">
        <v>0.97</v>
      </c>
      <c r="T743">
        <v>0.97</v>
      </c>
      <c r="U743">
        <v>0.97</v>
      </c>
    </row>
    <row r="744" spans="2:21">
      <c r="C744">
        <v>25</v>
      </c>
      <c r="D744">
        <v>0.22639296187683278</v>
      </c>
      <c r="E744">
        <v>9.384164222873892E-2</v>
      </c>
      <c r="F744">
        <v>5.0439882697947303E-2</v>
      </c>
      <c r="G744">
        <v>2.7565982404692102E-2</v>
      </c>
      <c r="H744">
        <v>1.4173998044965753E-2</v>
      </c>
      <c r="I744">
        <v>8.7976539589441922E-3</v>
      </c>
      <c r="J744">
        <v>0.48797653958944287</v>
      </c>
      <c r="K744">
        <v>0.62052785923753673</v>
      </c>
      <c r="L744">
        <v>0.68563049853372415</v>
      </c>
      <c r="M744">
        <v>0.73137829912023455</v>
      </c>
      <c r="N744">
        <v>0.77155425219941365</v>
      </c>
      <c r="O744">
        <v>0.7941348973607042</v>
      </c>
      <c r="P744">
        <v>0.98</v>
      </c>
      <c r="Q744">
        <v>0.97</v>
      </c>
      <c r="R744">
        <v>0.97</v>
      </c>
      <c r="S744">
        <v>0.97</v>
      </c>
      <c r="T744">
        <v>0.97</v>
      </c>
      <c r="U744">
        <v>0.97</v>
      </c>
    </row>
    <row r="745" spans="2:21">
      <c r="C745">
        <v>35</v>
      </c>
      <c r="D745">
        <v>0.34252199413489737</v>
      </c>
      <c r="E745">
        <v>0.14780058651026384</v>
      </c>
      <c r="F745">
        <v>8.3284457478005836E-2</v>
      </c>
      <c r="G745">
        <v>4.5747800586510401E-2</v>
      </c>
      <c r="H745">
        <v>2.3460410557184504E-2</v>
      </c>
      <c r="I745">
        <v>1.4662756598240737E-2</v>
      </c>
      <c r="J745">
        <v>0.54017595307917898</v>
      </c>
      <c r="K745">
        <v>0.73489736070381251</v>
      </c>
      <c r="L745">
        <v>0.83167155425219952</v>
      </c>
      <c r="M745">
        <v>0.90674486803519039</v>
      </c>
      <c r="N745">
        <v>0.97360703812316807</v>
      </c>
      <c r="O745">
        <v>1.010557184750732</v>
      </c>
      <c r="P745">
        <v>0.98</v>
      </c>
      <c r="Q745">
        <v>0.97</v>
      </c>
      <c r="R745">
        <v>0.97</v>
      </c>
      <c r="S745">
        <v>0.97</v>
      </c>
      <c r="T745">
        <v>0.97</v>
      </c>
      <c r="U745">
        <v>0.97</v>
      </c>
    </row>
    <row r="746" spans="2:21">
      <c r="C746">
        <v>45</v>
      </c>
      <c r="D746">
        <v>0.45161290322580672</v>
      </c>
      <c r="E746">
        <v>0.20410557184750733</v>
      </c>
      <c r="F746">
        <v>0.11730205278592365</v>
      </c>
      <c r="G746">
        <v>6.5689149560117288E-2</v>
      </c>
      <c r="H746">
        <v>3.3724340175953119E-2</v>
      </c>
      <c r="I746">
        <v>2.1260997067448498E-2</v>
      </c>
      <c r="J746">
        <v>0.56774193548387086</v>
      </c>
      <c r="K746">
        <v>0.81524926686217025</v>
      </c>
      <c r="L746">
        <v>0.94545454545454577</v>
      </c>
      <c r="M746">
        <v>1.0486803519061585</v>
      </c>
      <c r="N746">
        <v>1.144574780058651</v>
      </c>
      <c r="O746">
        <v>1.1969208211143705</v>
      </c>
      <c r="P746">
        <v>0.98</v>
      </c>
      <c r="Q746">
        <v>0.97</v>
      </c>
      <c r="R746">
        <v>0.97</v>
      </c>
      <c r="S746">
        <v>0.97</v>
      </c>
      <c r="T746">
        <v>0.97</v>
      </c>
      <c r="U746">
        <v>0.97</v>
      </c>
    </row>
    <row r="747" spans="2:21">
      <c r="C747">
        <v>55</v>
      </c>
      <c r="D747">
        <v>0.55249266862170132</v>
      </c>
      <c r="E747">
        <v>0.26041055718475015</v>
      </c>
      <c r="F747">
        <v>0.15249266862170119</v>
      </c>
      <c r="G747">
        <v>8.5630498533724397E-2</v>
      </c>
      <c r="H747">
        <v>4.496578690127076E-2</v>
      </c>
      <c r="I747">
        <v>2.8592375366569008E-2</v>
      </c>
      <c r="J747">
        <v>0.58064516129032229</v>
      </c>
      <c r="K747">
        <v>0.87272727272727346</v>
      </c>
      <c r="L747">
        <v>1.0346041055718469</v>
      </c>
      <c r="M747">
        <v>1.1683284457478005</v>
      </c>
      <c r="N747">
        <v>1.2903225806451615</v>
      </c>
      <c r="O747">
        <v>1.3590909090909087</v>
      </c>
      <c r="P747">
        <v>0.98</v>
      </c>
      <c r="Q747">
        <v>0.97</v>
      </c>
      <c r="R747">
        <v>0.97</v>
      </c>
      <c r="S747">
        <v>0.97</v>
      </c>
      <c r="T747">
        <v>0.97</v>
      </c>
      <c r="U747">
        <v>0.97</v>
      </c>
    </row>
    <row r="748" spans="2:21">
      <c r="C748">
        <v>65</v>
      </c>
      <c r="D748">
        <v>0.64633431085044002</v>
      </c>
      <c r="E748">
        <v>0.31436950146627574</v>
      </c>
      <c r="F748">
        <v>0.18768328445747784</v>
      </c>
      <c r="G748">
        <v>0.10615835777126104</v>
      </c>
      <c r="H748">
        <v>5.6695992179863201E-2</v>
      </c>
      <c r="I748">
        <v>3.5923753665689236E-2</v>
      </c>
      <c r="J748">
        <v>0.58416422287390013</v>
      </c>
      <c r="K748">
        <v>0.91612903225806441</v>
      </c>
      <c r="L748">
        <v>1.1061583577712613</v>
      </c>
      <c r="M748">
        <v>1.2692082111436949</v>
      </c>
      <c r="N748">
        <v>1.4175953079178885</v>
      </c>
      <c r="O748">
        <v>1.504838709677419</v>
      </c>
      <c r="P748">
        <v>0.98</v>
      </c>
      <c r="Q748">
        <v>0.97</v>
      </c>
      <c r="R748">
        <v>0.97</v>
      </c>
      <c r="S748">
        <v>0.97</v>
      </c>
      <c r="T748">
        <v>0.97</v>
      </c>
      <c r="U748">
        <v>0.97</v>
      </c>
    </row>
    <row r="749" spans="2:21">
      <c r="C749">
        <v>75</v>
      </c>
      <c r="D749">
        <v>0.73196480938416419</v>
      </c>
      <c r="E749">
        <v>0.36715542521994138</v>
      </c>
      <c r="F749">
        <v>0.22170087976539588</v>
      </c>
      <c r="G749">
        <v>0.12727272727272743</v>
      </c>
      <c r="H749">
        <v>6.8426197458455448E-2</v>
      </c>
      <c r="I749">
        <v>4.3988269794721375E-2</v>
      </c>
      <c r="J749">
        <v>0.58240469208211154</v>
      </c>
      <c r="K749">
        <v>0.94721407624633436</v>
      </c>
      <c r="L749">
        <v>1.1653958944281526</v>
      </c>
      <c r="M749">
        <v>1.3542521994134895</v>
      </c>
      <c r="N749">
        <v>1.5307917888563054</v>
      </c>
      <c r="O749">
        <v>1.6334310850439886</v>
      </c>
      <c r="P749">
        <v>0.98</v>
      </c>
      <c r="Q749">
        <v>0.97</v>
      </c>
      <c r="R749">
        <v>0.97</v>
      </c>
      <c r="S749">
        <v>0.97</v>
      </c>
      <c r="T749">
        <v>0.97</v>
      </c>
      <c r="U749">
        <v>0.97</v>
      </c>
    </row>
    <row r="750" spans="2:21">
      <c r="C750">
        <v>85</v>
      </c>
      <c r="D750">
        <v>0.81173020527859219</v>
      </c>
      <c r="E750">
        <v>0.41759530791788846</v>
      </c>
      <c r="F750">
        <v>0.25571847507331391</v>
      </c>
      <c r="G750">
        <v>0.14780058651026384</v>
      </c>
      <c r="H750">
        <v>8.0645161290322676E-2</v>
      </c>
      <c r="I750">
        <v>5.2052785923753245E-2</v>
      </c>
      <c r="J750">
        <v>0.57595307917888583</v>
      </c>
      <c r="K750">
        <v>0.97008797653958956</v>
      </c>
      <c r="L750">
        <v>1.2129032258064514</v>
      </c>
      <c r="M750">
        <v>1.4287390029325515</v>
      </c>
      <c r="N750">
        <v>1.6302052785923751</v>
      </c>
      <c r="O750">
        <v>1.7502932551319668</v>
      </c>
      <c r="P750">
        <v>0.98</v>
      </c>
      <c r="Q750">
        <v>0.97</v>
      </c>
      <c r="R750">
        <v>0.97</v>
      </c>
      <c r="S750">
        <v>0.97</v>
      </c>
      <c r="T750">
        <v>0.97</v>
      </c>
      <c r="U750">
        <v>0.97</v>
      </c>
    </row>
    <row r="751" spans="2:21">
      <c r="C751">
        <v>95</v>
      </c>
      <c r="D751">
        <v>0.88445747800586538</v>
      </c>
      <c r="E751">
        <v>0.46568914956011698</v>
      </c>
      <c r="F751">
        <v>0.28739002932551339</v>
      </c>
      <c r="G751">
        <v>0.16891495601173045</v>
      </c>
      <c r="H751">
        <v>9.2375366568914929E-2</v>
      </c>
      <c r="I751">
        <v>6.0117302052785662E-2</v>
      </c>
      <c r="J751">
        <v>0.56832844574780039</v>
      </c>
      <c r="K751">
        <v>0.9870967741935488</v>
      </c>
      <c r="L751">
        <v>1.2545454545454542</v>
      </c>
      <c r="M751">
        <v>1.49149560117302</v>
      </c>
      <c r="N751">
        <v>1.7211143695014666</v>
      </c>
      <c r="O751">
        <v>1.8565982404692096</v>
      </c>
      <c r="P751">
        <v>0.98</v>
      </c>
      <c r="Q751">
        <v>0.97</v>
      </c>
      <c r="R751">
        <v>0.97</v>
      </c>
      <c r="S751">
        <v>0.97</v>
      </c>
      <c r="T751">
        <v>0.97</v>
      </c>
      <c r="U751">
        <v>0.97</v>
      </c>
    </row>
    <row r="752" spans="2:21">
      <c r="C752">
        <v>105</v>
      </c>
      <c r="D752">
        <v>0.95131964809384151</v>
      </c>
      <c r="E752">
        <v>0.51143695014662738</v>
      </c>
      <c r="F752">
        <v>0.32023460410557192</v>
      </c>
      <c r="G752">
        <v>0.18885630498533734</v>
      </c>
      <c r="H752">
        <v>0.10459433040078198</v>
      </c>
      <c r="I752">
        <v>6.8181818181818357E-2</v>
      </c>
      <c r="J752">
        <v>0.55953079178885656</v>
      </c>
      <c r="K752">
        <v>0.99941348973607069</v>
      </c>
      <c r="L752">
        <v>1.2862170087976539</v>
      </c>
      <c r="M752">
        <v>1.548973607038123</v>
      </c>
      <c r="N752">
        <v>1.8017595307917891</v>
      </c>
      <c r="O752">
        <v>1.9546920821114364</v>
      </c>
      <c r="P752">
        <v>0.98</v>
      </c>
      <c r="Q752">
        <v>0.97</v>
      </c>
      <c r="R752">
        <v>0.97</v>
      </c>
      <c r="S752">
        <v>0.97</v>
      </c>
      <c r="T752">
        <v>0.97</v>
      </c>
      <c r="U752">
        <v>0.97</v>
      </c>
    </row>
    <row r="753" spans="2:44">
      <c r="C753">
        <v>115</v>
      </c>
      <c r="D753">
        <v>1.013489736070381</v>
      </c>
      <c r="E753">
        <v>0.55601173020527872</v>
      </c>
      <c r="F753">
        <v>0.34956011730205283</v>
      </c>
      <c r="G753">
        <v>0.20938416422287398</v>
      </c>
      <c r="H753">
        <v>0.11681329423264902</v>
      </c>
      <c r="I753">
        <v>7.6246334310849942E-2</v>
      </c>
      <c r="J753">
        <v>0.54956011730205279</v>
      </c>
      <c r="K753">
        <v>1.007038123167155</v>
      </c>
      <c r="L753">
        <v>1.3167155425219939</v>
      </c>
      <c r="M753">
        <v>1.5970674486803516</v>
      </c>
      <c r="N753">
        <v>1.8747800586510264</v>
      </c>
      <c r="O753">
        <v>2.0451612903225826</v>
      </c>
      <c r="P753">
        <v>0.98</v>
      </c>
      <c r="Q753">
        <v>0.97</v>
      </c>
      <c r="R753">
        <v>0.97</v>
      </c>
      <c r="S753">
        <v>0.97</v>
      </c>
      <c r="T753">
        <v>0.97</v>
      </c>
      <c r="U753">
        <v>0.97</v>
      </c>
    </row>
    <row r="754" spans="2:44">
      <c r="C754">
        <v>125</v>
      </c>
      <c r="D754">
        <v>1.0709677419354842</v>
      </c>
      <c r="E754">
        <v>0.597067448680352</v>
      </c>
      <c r="F754">
        <v>0.38123167155425186</v>
      </c>
      <c r="G754">
        <v>0.22932551319648109</v>
      </c>
      <c r="H754">
        <v>0.12805474095796648</v>
      </c>
      <c r="I754">
        <v>8.5043988269795104E-2</v>
      </c>
      <c r="J754">
        <v>0.53900293255131948</v>
      </c>
      <c r="K754">
        <v>1.0129032258064516</v>
      </c>
      <c r="L754">
        <v>1.3366568914956019</v>
      </c>
      <c r="M754">
        <v>1.6404692082111434</v>
      </c>
      <c r="N754">
        <v>1.9442815249266872</v>
      </c>
      <c r="O754">
        <v>2.1249266862170071</v>
      </c>
      <c r="P754">
        <v>0.98</v>
      </c>
      <c r="Q754">
        <v>0.97</v>
      </c>
      <c r="R754">
        <v>0.97</v>
      </c>
      <c r="S754">
        <v>0.97</v>
      </c>
      <c r="T754">
        <v>0.97</v>
      </c>
      <c r="U754">
        <v>0.97</v>
      </c>
    </row>
    <row r="755" spans="2:44">
      <c r="C755">
        <v>135</v>
      </c>
      <c r="D755">
        <v>1.1237536656891498</v>
      </c>
      <c r="E755">
        <v>0.63929618768328433</v>
      </c>
      <c r="F755">
        <v>0.40938416422287416</v>
      </c>
      <c r="G755">
        <v>0.24868035190615823</v>
      </c>
      <c r="H755">
        <v>0.14027370478983389</v>
      </c>
      <c r="I755">
        <v>9.2375366568915332E-2</v>
      </c>
      <c r="J755">
        <v>0.5284457478005864</v>
      </c>
      <c r="K755">
        <v>1.0129032258064519</v>
      </c>
      <c r="L755">
        <v>1.3577712609970671</v>
      </c>
      <c r="M755">
        <v>1.679178885630499</v>
      </c>
      <c r="N755">
        <v>2.0043988269794721</v>
      </c>
      <c r="O755">
        <v>2.20557184750733</v>
      </c>
      <c r="P755">
        <v>0.98</v>
      </c>
      <c r="Q755">
        <v>0.97</v>
      </c>
      <c r="R755">
        <v>0.97</v>
      </c>
      <c r="S755">
        <v>0.97</v>
      </c>
      <c r="T755">
        <v>0.97</v>
      </c>
      <c r="U755">
        <v>0.97</v>
      </c>
    </row>
    <row r="756" spans="2:44">
      <c r="C756">
        <v>145</v>
      </c>
      <c r="D756">
        <v>1.1741935483870964</v>
      </c>
      <c r="E756">
        <v>0.67683284457477999</v>
      </c>
      <c r="F756">
        <v>0.43753665689149557</v>
      </c>
      <c r="G756">
        <v>0.26803519061583536</v>
      </c>
      <c r="H756">
        <v>0.15200391006842634</v>
      </c>
      <c r="I756">
        <v>0.10043988269794693</v>
      </c>
      <c r="J756">
        <v>0.517302052785924</v>
      </c>
      <c r="K756">
        <v>1.0146627565982405</v>
      </c>
      <c r="L756">
        <v>1.3736070381231671</v>
      </c>
      <c r="M756">
        <v>1.7126099706744875</v>
      </c>
      <c r="N756">
        <v>2.0607038123167145</v>
      </c>
      <c r="O756">
        <v>2.2772727272727282</v>
      </c>
      <c r="P756">
        <v>0.98</v>
      </c>
      <c r="Q756">
        <v>0.97</v>
      </c>
      <c r="R756">
        <v>0.97</v>
      </c>
      <c r="S756">
        <v>0.97</v>
      </c>
      <c r="T756">
        <v>0.97</v>
      </c>
      <c r="U756">
        <v>0.97</v>
      </c>
    </row>
    <row r="757" spans="2:44">
      <c r="C757">
        <v>155</v>
      </c>
      <c r="D757">
        <v>1.2199413489736068</v>
      </c>
      <c r="E757">
        <v>0.71319648093841659</v>
      </c>
      <c r="F757">
        <v>0.46568914956011742</v>
      </c>
      <c r="G757">
        <v>0.28621700879765388</v>
      </c>
      <c r="H757">
        <v>0.16373411534701876</v>
      </c>
      <c r="I757">
        <v>0.10850439882697963</v>
      </c>
      <c r="J757">
        <v>0.50733137829912045</v>
      </c>
      <c r="K757">
        <v>1.0140762463343107</v>
      </c>
      <c r="L757">
        <v>1.3853372434017595</v>
      </c>
      <c r="M757">
        <v>1.7442815249266865</v>
      </c>
      <c r="N757">
        <v>2.111730205278592</v>
      </c>
      <c r="O757">
        <v>2.3436950146627562</v>
      </c>
      <c r="P757">
        <v>0.98</v>
      </c>
      <c r="Q757">
        <v>0.97</v>
      </c>
      <c r="R757">
        <v>0.97</v>
      </c>
      <c r="S757">
        <v>0.97</v>
      </c>
      <c r="T757">
        <v>0.97</v>
      </c>
      <c r="U757">
        <v>0.97</v>
      </c>
    </row>
    <row r="764" spans="2:44">
      <c r="B764">
        <v>2</v>
      </c>
      <c r="C764">
        <v>15</v>
      </c>
      <c r="D764">
        <v>1.4662756598240456E-2</v>
      </c>
      <c r="E764">
        <v>4.8875855327468187E-3</v>
      </c>
      <c r="F764">
        <v>2.9325513196480912E-3</v>
      </c>
      <c r="G764">
        <v>1.4662756598240443E-3</v>
      </c>
      <c r="H764">
        <v>8.1459758879113577E-4</v>
      </c>
      <c r="I764">
        <v>6.109481915933518E-4</v>
      </c>
      <c r="J764">
        <v>7.575757575757576E-2</v>
      </c>
      <c r="K764">
        <v>8.0645161290322578E-2</v>
      </c>
      <c r="L764">
        <v>8.2111436950146624E-2</v>
      </c>
      <c r="M764">
        <v>8.357771260997067E-2</v>
      </c>
      <c r="N764">
        <v>8.4555229716520033E-2</v>
      </c>
      <c r="O764">
        <v>8.498289345063538E-2</v>
      </c>
      <c r="P764">
        <v>0.88</v>
      </c>
      <c r="Q764">
        <v>0.92</v>
      </c>
      <c r="R764">
        <v>0.93</v>
      </c>
      <c r="S764">
        <v>0.94</v>
      </c>
      <c r="T764">
        <v>0.94</v>
      </c>
      <c r="U764">
        <v>0.94</v>
      </c>
      <c r="V764">
        <v>15</v>
      </c>
      <c r="Y764">
        <v>3273.6000000000004</v>
      </c>
      <c r="Z764">
        <v>3150</v>
      </c>
      <c r="AC764">
        <v>13700</v>
      </c>
      <c r="AD764">
        <v>9548</v>
      </c>
      <c r="AE764">
        <v>2</v>
      </c>
      <c r="AF764">
        <v>18</v>
      </c>
      <c r="AG764">
        <v>10</v>
      </c>
      <c r="AH764">
        <v>1</v>
      </c>
      <c r="AI764">
        <v>2</v>
      </c>
      <c r="AJ764">
        <v>16</v>
      </c>
      <c r="AK764">
        <v>12</v>
      </c>
      <c r="AL764">
        <v>4</v>
      </c>
      <c r="AM764">
        <v>1.25</v>
      </c>
      <c r="AN764">
        <v>2</v>
      </c>
    </row>
    <row r="765" spans="2:44">
      <c r="C765">
        <v>25</v>
      </c>
      <c r="D765">
        <v>3.7145650048875878E-2</v>
      </c>
      <c r="E765">
        <v>1.4662756598240456E-2</v>
      </c>
      <c r="F765">
        <v>6.8426197458455462E-3</v>
      </c>
      <c r="G765">
        <v>3.9100684261974515E-3</v>
      </c>
      <c r="H765">
        <v>1.6291951775822715E-3</v>
      </c>
      <c r="I765">
        <v>1.2218963831867036E-3</v>
      </c>
      <c r="J765">
        <v>0.11070381231671553</v>
      </c>
      <c r="K765">
        <v>0.12194525904203324</v>
      </c>
      <c r="L765">
        <v>0.12781036168132942</v>
      </c>
      <c r="M765">
        <v>0.13074291300097751</v>
      </c>
      <c r="N765">
        <v>0.13416422287390029</v>
      </c>
      <c r="O765">
        <v>0.13501955034213098</v>
      </c>
      <c r="P765">
        <v>0.88</v>
      </c>
      <c r="Q765">
        <v>0.92</v>
      </c>
      <c r="R765">
        <v>0.93</v>
      </c>
      <c r="S765">
        <v>0.94</v>
      </c>
      <c r="T765">
        <v>0.94</v>
      </c>
      <c r="U765">
        <v>0.94</v>
      </c>
      <c r="V765">
        <v>25</v>
      </c>
      <c r="Y765">
        <v>3273.6000000000004</v>
      </c>
      <c r="Z765">
        <v>3150</v>
      </c>
      <c r="AC765">
        <v>13700</v>
      </c>
      <c r="AD765">
        <v>9548</v>
      </c>
      <c r="AE765">
        <f t="shared" ref="AE765:AE772" si="9">AE764+1</f>
        <v>3</v>
      </c>
      <c r="AF765">
        <v>30</v>
      </c>
      <c r="AG765">
        <v>10</v>
      </c>
      <c r="AH765">
        <v>1</v>
      </c>
      <c r="AI765">
        <v>2</v>
      </c>
      <c r="AJ765">
        <v>16</v>
      </c>
      <c r="AK765">
        <v>12</v>
      </c>
      <c r="AL765">
        <v>4</v>
      </c>
      <c r="AM765">
        <v>2.08</v>
      </c>
    </row>
    <row r="766" spans="2:44">
      <c r="C766">
        <v>35</v>
      </c>
      <c r="D766">
        <v>7.1358748778103553E-2</v>
      </c>
      <c r="E766">
        <v>2.5415444770283568E-2</v>
      </c>
      <c r="F766">
        <v>9.7751710654936375E-3</v>
      </c>
      <c r="G766">
        <v>7.3313782991202212E-3</v>
      </c>
      <c r="H766">
        <v>3.2583903551645431E-3</v>
      </c>
      <c r="I766">
        <v>3.0547409579667591E-3</v>
      </c>
      <c r="J766">
        <v>0.1370967741935484</v>
      </c>
      <c r="K766">
        <v>0.1600684261974584</v>
      </c>
      <c r="L766">
        <v>0.17179863147605084</v>
      </c>
      <c r="M766">
        <v>0.17424242424242425</v>
      </c>
      <c r="N766">
        <v>0.18035190615835778</v>
      </c>
      <c r="O766">
        <v>0.18077956989247312</v>
      </c>
      <c r="P766">
        <v>0.88</v>
      </c>
      <c r="Q766">
        <v>0.92</v>
      </c>
      <c r="R766">
        <v>0.93</v>
      </c>
      <c r="S766">
        <v>0.94</v>
      </c>
      <c r="T766">
        <v>0.94</v>
      </c>
      <c r="U766">
        <v>0.94</v>
      </c>
      <c r="V766">
        <v>35</v>
      </c>
      <c r="Y766">
        <v>3273.6000000000004</v>
      </c>
      <c r="Z766">
        <v>3150</v>
      </c>
      <c r="AC766">
        <v>13700</v>
      </c>
      <c r="AD766">
        <v>9548</v>
      </c>
      <c r="AE766">
        <f t="shared" si="9"/>
        <v>4</v>
      </c>
      <c r="AF766">
        <v>42</v>
      </c>
      <c r="AG766">
        <v>10</v>
      </c>
      <c r="AH766">
        <v>1</v>
      </c>
      <c r="AI766">
        <v>2</v>
      </c>
      <c r="AJ766">
        <v>16</v>
      </c>
      <c r="AK766">
        <v>12</v>
      </c>
      <c r="AL766">
        <v>4</v>
      </c>
      <c r="AM766">
        <v>2.92</v>
      </c>
    </row>
    <row r="767" spans="2:44">
      <c r="C767">
        <v>45</v>
      </c>
      <c r="D767">
        <v>9.9706744868035213E-2</v>
      </c>
      <c r="E767">
        <v>3.910068426197455E-2</v>
      </c>
      <c r="F767">
        <v>2.1505376344086002E-2</v>
      </c>
      <c r="G767">
        <v>1.1241446725317728E-2</v>
      </c>
      <c r="H767">
        <v>5.7021831215379503E-3</v>
      </c>
      <c r="I767">
        <v>3.0547409579666897E-3</v>
      </c>
      <c r="J767">
        <v>0.15835777126099707</v>
      </c>
      <c r="K767">
        <v>0.1886608015640274</v>
      </c>
      <c r="L767">
        <v>0.20185728250244381</v>
      </c>
      <c r="M767">
        <v>0.21212121212121207</v>
      </c>
      <c r="N767">
        <v>0.22043010752688175</v>
      </c>
      <c r="O767">
        <v>0.22598973607038139</v>
      </c>
      <c r="P767">
        <v>0.88</v>
      </c>
      <c r="Q767">
        <v>0.92</v>
      </c>
      <c r="R767">
        <v>0.93</v>
      </c>
      <c r="S767">
        <v>0.94</v>
      </c>
      <c r="T767">
        <v>0.94</v>
      </c>
      <c r="U767">
        <v>0.94</v>
      </c>
      <c r="V767">
        <v>45</v>
      </c>
      <c r="Y767">
        <v>3273.6000000000004</v>
      </c>
      <c r="Z767">
        <v>3150</v>
      </c>
      <c r="AC767">
        <v>13700</v>
      </c>
      <c r="AD767">
        <v>9548</v>
      </c>
      <c r="AE767">
        <f t="shared" si="9"/>
        <v>5</v>
      </c>
      <c r="AF767">
        <v>54</v>
      </c>
      <c r="AG767">
        <v>10</v>
      </c>
      <c r="AH767">
        <v>1</v>
      </c>
      <c r="AI767">
        <v>2</v>
      </c>
      <c r="AJ767">
        <v>16</v>
      </c>
      <c r="AK767">
        <v>12</v>
      </c>
      <c r="AL767">
        <v>4</v>
      </c>
      <c r="AM767">
        <v>3.75</v>
      </c>
    </row>
    <row r="768" spans="2:44">
      <c r="C768">
        <v>55</v>
      </c>
      <c r="D768">
        <v>0.13587487781036167</v>
      </c>
      <c r="E768">
        <v>5.4740957966764481E-2</v>
      </c>
      <c r="F768">
        <v>3.0303030303030276E-2</v>
      </c>
      <c r="G768">
        <v>1.6129032258064488E-2</v>
      </c>
      <c r="H768">
        <v>8.145975887911449E-3</v>
      </c>
      <c r="I768">
        <v>4.8875855327466756E-3</v>
      </c>
      <c r="J768">
        <v>0.17497556207233625</v>
      </c>
      <c r="K768">
        <v>0.21554252199413484</v>
      </c>
      <c r="L768">
        <v>0.2338709677419355</v>
      </c>
      <c r="M768">
        <v>0.24804496578690127</v>
      </c>
      <c r="N768">
        <v>0.26001955034213087</v>
      </c>
      <c r="O768">
        <v>0.26686217008797686</v>
      </c>
      <c r="P768">
        <v>0.88</v>
      </c>
      <c r="Q768">
        <v>0.92</v>
      </c>
      <c r="R768">
        <v>0.93</v>
      </c>
      <c r="S768">
        <v>0.94</v>
      </c>
      <c r="T768">
        <v>0.94</v>
      </c>
      <c r="U768">
        <v>0.94</v>
      </c>
      <c r="V768">
        <v>55</v>
      </c>
      <c r="Y768">
        <v>3273.6000000000004</v>
      </c>
      <c r="Z768">
        <v>3150</v>
      </c>
      <c r="AC768">
        <v>13700</v>
      </c>
      <c r="AD768">
        <v>9548</v>
      </c>
      <c r="AE768">
        <f t="shared" si="9"/>
        <v>6</v>
      </c>
      <c r="AF768">
        <v>66</v>
      </c>
      <c r="AG768">
        <v>10</v>
      </c>
      <c r="AH768">
        <v>1</v>
      </c>
      <c r="AI768">
        <v>2</v>
      </c>
      <c r="AJ768">
        <v>16</v>
      </c>
      <c r="AK768">
        <v>12</v>
      </c>
      <c r="AL768">
        <v>4</v>
      </c>
      <c r="AM768">
        <v>4.58</v>
      </c>
      <c r="AN768">
        <v>3</v>
      </c>
      <c r="AO768" t="s">
        <v>512</v>
      </c>
      <c r="AP768">
        <v>7.2</v>
      </c>
      <c r="AQ768">
        <v>1.2</v>
      </c>
      <c r="AR768">
        <v>11.623512417367033</v>
      </c>
    </row>
    <row r="769" spans="2:44">
      <c r="C769">
        <v>65</v>
      </c>
      <c r="D769">
        <v>0.17008797653958929</v>
      </c>
      <c r="E769">
        <v>7.0381231671554412E-2</v>
      </c>
      <c r="F769">
        <v>3.910068426197455E-2</v>
      </c>
      <c r="G769">
        <v>2.1016617790811414E-2</v>
      </c>
      <c r="H769">
        <v>1.099706744868024E-2</v>
      </c>
      <c r="I769">
        <v>6.7204301075268697E-3</v>
      </c>
      <c r="J769">
        <v>0.1867057673509287</v>
      </c>
      <c r="K769">
        <v>0.23655913978494614</v>
      </c>
      <c r="L769">
        <v>0.26001955034213103</v>
      </c>
      <c r="M769">
        <v>0.27810361681329415</v>
      </c>
      <c r="N769">
        <v>0.29313294232649095</v>
      </c>
      <c r="O769">
        <v>0.30211388074291301</v>
      </c>
      <c r="P769">
        <v>0.88</v>
      </c>
      <c r="Q769">
        <v>0.92</v>
      </c>
      <c r="R769">
        <v>0.93</v>
      </c>
      <c r="S769">
        <v>0.94</v>
      </c>
      <c r="T769">
        <v>0.94</v>
      </c>
      <c r="U769">
        <v>0.94</v>
      </c>
      <c r="V769">
        <v>65</v>
      </c>
      <c r="Y769">
        <v>3273.6000000000004</v>
      </c>
      <c r="Z769">
        <v>3150</v>
      </c>
      <c r="AC769">
        <v>13700</v>
      </c>
      <c r="AD769">
        <v>9548</v>
      </c>
      <c r="AE769">
        <f t="shared" si="9"/>
        <v>7</v>
      </c>
      <c r="AO769" t="s">
        <v>513</v>
      </c>
      <c r="AP769">
        <v>5.7</v>
      </c>
      <c r="AQ769">
        <v>1.2</v>
      </c>
      <c r="AR769">
        <v>18.04703243749092</v>
      </c>
    </row>
    <row r="770" spans="2:44">
      <c r="C770">
        <v>75</v>
      </c>
      <c r="D770">
        <v>0.20723362658846545</v>
      </c>
      <c r="E770">
        <v>8.7976539589442737E-2</v>
      </c>
      <c r="F770">
        <v>4.8875855327468187E-2</v>
      </c>
      <c r="G770">
        <v>2.6881720430107479E-2</v>
      </c>
      <c r="H770">
        <v>1.3848159009449308E-2</v>
      </c>
      <c r="I770">
        <v>8.5532746823070646E-3</v>
      </c>
      <c r="J770">
        <v>0.19672531769305956</v>
      </c>
      <c r="K770">
        <v>0.25635386119257092</v>
      </c>
      <c r="L770">
        <v>0.28567937438905183</v>
      </c>
      <c r="M770">
        <v>0.30767350928641257</v>
      </c>
      <c r="N770">
        <v>0.32722385141739979</v>
      </c>
      <c r="O770">
        <v>0.33834310850439853</v>
      </c>
      <c r="P770">
        <v>0.88</v>
      </c>
      <c r="Q770">
        <v>0.92</v>
      </c>
      <c r="R770">
        <v>0.93</v>
      </c>
      <c r="S770">
        <v>0.94</v>
      </c>
      <c r="T770">
        <v>0.94</v>
      </c>
      <c r="U770">
        <v>0.94</v>
      </c>
      <c r="V770">
        <v>75</v>
      </c>
      <c r="Y770">
        <v>3273.6000000000004</v>
      </c>
      <c r="Z770">
        <v>3150</v>
      </c>
      <c r="AC770">
        <v>13700</v>
      </c>
      <c r="AD770">
        <v>9548</v>
      </c>
      <c r="AE770">
        <f t="shared" si="9"/>
        <v>8</v>
      </c>
      <c r="AO770" t="s">
        <v>514</v>
      </c>
      <c r="AP770">
        <v>4.8</v>
      </c>
      <c r="AQ770">
        <v>1.23</v>
      </c>
      <c r="AR770">
        <v>36.094064874981839</v>
      </c>
    </row>
    <row r="771" spans="2:44">
      <c r="C771">
        <v>85</v>
      </c>
      <c r="D771">
        <v>0.2404692082111437</v>
      </c>
      <c r="E771">
        <v>0.10459433040078214</v>
      </c>
      <c r="F771">
        <v>5.9628543499511188E-2</v>
      </c>
      <c r="G771">
        <v>3.2258064516129087E-2</v>
      </c>
      <c r="H771">
        <v>1.6699250570218191E-2</v>
      </c>
      <c r="I771">
        <v>1.038611925708712E-2</v>
      </c>
      <c r="J771">
        <v>0.20405669599217985</v>
      </c>
      <c r="K771">
        <v>0.27199413489736063</v>
      </c>
      <c r="L771">
        <v>0.30571847507331384</v>
      </c>
      <c r="M771">
        <v>0.33308895405669592</v>
      </c>
      <c r="N771">
        <v>0.35642717497556231</v>
      </c>
      <c r="O771">
        <v>0.36968475073313756</v>
      </c>
      <c r="P771">
        <v>0.88</v>
      </c>
      <c r="Q771">
        <v>0.92</v>
      </c>
      <c r="R771">
        <v>0.93</v>
      </c>
      <c r="S771">
        <v>0.94</v>
      </c>
      <c r="T771">
        <v>0.94</v>
      </c>
      <c r="U771">
        <v>0.94</v>
      </c>
      <c r="V771">
        <v>85</v>
      </c>
      <c r="Y771">
        <v>3273.6000000000004</v>
      </c>
      <c r="Z771">
        <v>3150</v>
      </c>
      <c r="AC771">
        <v>13700</v>
      </c>
      <c r="AD771">
        <v>9548</v>
      </c>
      <c r="AE771">
        <f t="shared" si="9"/>
        <v>9</v>
      </c>
      <c r="AO771" t="s">
        <v>515</v>
      </c>
      <c r="AP771">
        <v>3.4</v>
      </c>
      <c r="AQ771">
        <v>1.3</v>
      </c>
      <c r="AR771">
        <v>60.258735426876463</v>
      </c>
    </row>
    <row r="772" spans="2:44">
      <c r="C772">
        <v>95</v>
      </c>
      <c r="D772">
        <v>0.2756598240469208</v>
      </c>
      <c r="E772">
        <v>0.12316715542522005</v>
      </c>
      <c r="F772">
        <v>7.038123167155419E-2</v>
      </c>
      <c r="G772">
        <v>3.8611925708699944E-2</v>
      </c>
      <c r="H772">
        <v>1.9957640925382734E-2</v>
      </c>
      <c r="I772">
        <v>1.2829912023460387E-2</v>
      </c>
      <c r="J772">
        <v>0.21041055718475071</v>
      </c>
      <c r="K772">
        <v>0.28665689149560108</v>
      </c>
      <c r="L772">
        <v>0.32624633431085048</v>
      </c>
      <c r="M772">
        <v>0.35801564027370475</v>
      </c>
      <c r="N772">
        <v>0.38599706744868056</v>
      </c>
      <c r="O772">
        <v>0.40096529814271747</v>
      </c>
      <c r="P772">
        <v>0.88</v>
      </c>
      <c r="Q772">
        <v>0.92</v>
      </c>
      <c r="R772">
        <v>0.93</v>
      </c>
      <c r="S772">
        <v>0.94</v>
      </c>
      <c r="T772">
        <v>0.94</v>
      </c>
      <c r="U772">
        <v>0.94</v>
      </c>
      <c r="V772">
        <v>95</v>
      </c>
      <c r="Y772">
        <v>3273.6000000000004</v>
      </c>
      <c r="Z772">
        <v>3150</v>
      </c>
      <c r="AC772">
        <v>13700</v>
      </c>
      <c r="AD772">
        <v>9548</v>
      </c>
      <c r="AE772">
        <f t="shared" si="9"/>
        <v>10</v>
      </c>
      <c r="AN772">
        <v>4</v>
      </c>
      <c r="AO772" t="s">
        <v>512</v>
      </c>
      <c r="AP772">
        <v>7.2</v>
      </c>
      <c r="AQ772">
        <v>1.2</v>
      </c>
      <c r="AR772">
        <v>16.038079017986739</v>
      </c>
    </row>
    <row r="773" spans="2:44">
      <c r="C773">
        <v>105</v>
      </c>
      <c r="D773">
        <v>0.30889540566959917</v>
      </c>
      <c r="E773">
        <v>0.13978494623655924</v>
      </c>
      <c r="F773">
        <v>8.0156402737047827E-2</v>
      </c>
      <c r="G773">
        <v>4.4965786901270802E-2</v>
      </c>
      <c r="H773">
        <v>2.3216031280547368E-2</v>
      </c>
      <c r="I773">
        <v>1.4662756598240442E-2</v>
      </c>
      <c r="J773">
        <v>0.21432062561094822</v>
      </c>
      <c r="K773">
        <v>0.29887585532746819</v>
      </c>
      <c r="L773">
        <v>0.34359726295210175</v>
      </c>
      <c r="M773">
        <v>0.37878787878787878</v>
      </c>
      <c r="N773">
        <v>0.41141251221896391</v>
      </c>
      <c r="O773">
        <v>0.42937438905180847</v>
      </c>
      <c r="P773">
        <v>0.88</v>
      </c>
      <c r="Q773">
        <v>0.92</v>
      </c>
      <c r="R773">
        <v>0.93</v>
      </c>
      <c r="S773">
        <v>0.94</v>
      </c>
      <c r="T773">
        <v>0.94</v>
      </c>
      <c r="U773">
        <v>0.94</v>
      </c>
      <c r="V773">
        <v>105</v>
      </c>
      <c r="Y773">
        <v>3273.6000000000004</v>
      </c>
      <c r="Z773">
        <v>3150</v>
      </c>
      <c r="AC773">
        <v>13700</v>
      </c>
      <c r="AD773">
        <v>9548</v>
      </c>
      <c r="AO773" t="s">
        <v>513</v>
      </c>
      <c r="AP773">
        <v>5.7</v>
      </c>
      <c r="AQ773">
        <v>1.2</v>
      </c>
      <c r="AR773">
        <v>24.934824343884856</v>
      </c>
    </row>
    <row r="774" spans="2:44">
      <c r="C774">
        <v>115</v>
      </c>
      <c r="D774">
        <v>0.34213098729227753</v>
      </c>
      <c r="E774">
        <v>0.15738025415444779</v>
      </c>
      <c r="F774">
        <v>9.1886608015640192E-2</v>
      </c>
      <c r="G774">
        <v>5.1319648093841659E-2</v>
      </c>
      <c r="H774">
        <v>2.7289019224503046E-2</v>
      </c>
      <c r="I774">
        <v>1.7106549364613852E-2</v>
      </c>
      <c r="J774">
        <v>0.21823069403714568</v>
      </c>
      <c r="K774">
        <v>0.31060606060606055</v>
      </c>
      <c r="L774">
        <v>0.35972629521016625</v>
      </c>
      <c r="M774">
        <v>0.40029325513196479</v>
      </c>
      <c r="N774">
        <v>0.43633919843597269</v>
      </c>
      <c r="O774">
        <v>0.45772238514174002</v>
      </c>
      <c r="P774">
        <v>0.88</v>
      </c>
      <c r="Q774">
        <v>0.92</v>
      </c>
      <c r="R774">
        <v>0.93</v>
      </c>
      <c r="S774">
        <v>0.94</v>
      </c>
      <c r="T774">
        <v>0.94</v>
      </c>
      <c r="U774">
        <v>0.94</v>
      </c>
      <c r="V774">
        <v>115</v>
      </c>
      <c r="Y774">
        <v>3273.6000000000004</v>
      </c>
      <c r="Z774">
        <v>3150</v>
      </c>
      <c r="AC774">
        <v>13700</v>
      </c>
      <c r="AD774">
        <v>9548</v>
      </c>
      <c r="AO774" t="s">
        <v>514</v>
      </c>
      <c r="AP774">
        <v>4.8</v>
      </c>
      <c r="AQ774">
        <v>1.23</v>
      </c>
      <c r="AR774">
        <v>49.457392925284147</v>
      </c>
    </row>
    <row r="775" spans="2:44">
      <c r="C775">
        <v>125</v>
      </c>
      <c r="D775">
        <v>0.37243401759530803</v>
      </c>
      <c r="E775">
        <v>0.17497556207233611</v>
      </c>
      <c r="F775">
        <v>0.10263929618768342</v>
      </c>
      <c r="G775">
        <v>5.7673509286412412E-2</v>
      </c>
      <c r="H775">
        <v>3.0547409579667777E-2</v>
      </c>
      <c r="I775">
        <v>1.9550342130987258E-2</v>
      </c>
      <c r="J775">
        <v>0.22091886608015637</v>
      </c>
      <c r="K775">
        <v>0.31964809384164233</v>
      </c>
      <c r="L775">
        <v>0.37390029325513185</v>
      </c>
      <c r="M775">
        <v>0.41886608015640286</v>
      </c>
      <c r="N775">
        <v>0.45955522971651985</v>
      </c>
      <c r="O775">
        <v>0.4826490713587489</v>
      </c>
      <c r="P775">
        <v>0.88</v>
      </c>
      <c r="Q775">
        <v>0.92</v>
      </c>
      <c r="R775">
        <v>0.93</v>
      </c>
      <c r="S775">
        <v>0.94</v>
      </c>
      <c r="T775">
        <v>0.94</v>
      </c>
      <c r="U775">
        <v>0.94</v>
      </c>
      <c r="V775">
        <v>125</v>
      </c>
      <c r="Y775">
        <v>3273.6000000000004</v>
      </c>
      <c r="Z775">
        <v>3150</v>
      </c>
      <c r="AC775">
        <v>13700</v>
      </c>
      <c r="AD775">
        <v>9548</v>
      </c>
      <c r="AO775" t="s">
        <v>515</v>
      </c>
      <c r="AP775">
        <v>3.4</v>
      </c>
      <c r="AQ775">
        <v>1.3</v>
      </c>
      <c r="AR775">
        <v>82.650631091863659</v>
      </c>
    </row>
    <row r="776" spans="2:44">
      <c r="C776">
        <v>135</v>
      </c>
      <c r="D776">
        <v>0.40273704789833831</v>
      </c>
      <c r="E776">
        <v>0.19257086999022488</v>
      </c>
      <c r="F776">
        <v>0.11339198435972619</v>
      </c>
      <c r="G776">
        <v>6.4516129032257952E-2</v>
      </c>
      <c r="H776">
        <v>3.4213098729227703E-2</v>
      </c>
      <c r="I776">
        <v>2.1994134897360663E-2</v>
      </c>
      <c r="J776">
        <v>0.2228739002932551</v>
      </c>
      <c r="K776">
        <v>0.32795698924731181</v>
      </c>
      <c r="L776">
        <v>0.38734115347018583</v>
      </c>
      <c r="M776">
        <v>0.43621700879765407</v>
      </c>
      <c r="N776">
        <v>0.48167155425219943</v>
      </c>
      <c r="O776">
        <v>0.50733137829912023</v>
      </c>
      <c r="P776">
        <v>0.88</v>
      </c>
      <c r="Q776">
        <v>0.92</v>
      </c>
      <c r="R776">
        <v>0.93</v>
      </c>
      <c r="S776">
        <v>0.94</v>
      </c>
      <c r="T776">
        <v>0.94</v>
      </c>
      <c r="U776">
        <v>0.94</v>
      </c>
      <c r="V776">
        <v>135</v>
      </c>
      <c r="Y776">
        <v>3273.6000000000004</v>
      </c>
      <c r="Z776">
        <v>3150</v>
      </c>
      <c r="AC776">
        <v>13700</v>
      </c>
      <c r="AD776">
        <v>9548</v>
      </c>
      <c r="AN776">
        <v>5</v>
      </c>
      <c r="AO776" t="s">
        <v>512</v>
      </c>
      <c r="AP776">
        <v>7.2</v>
      </c>
      <c r="AQ776">
        <v>1.2</v>
      </c>
      <c r="AR776">
        <v>20.079667036792799</v>
      </c>
    </row>
    <row r="777" spans="2:44">
      <c r="C777">
        <v>145</v>
      </c>
      <c r="D777">
        <v>0.43304007820136814</v>
      </c>
      <c r="E777">
        <v>0.20918866080156429</v>
      </c>
      <c r="F777">
        <v>0.1241446725317692</v>
      </c>
      <c r="G777">
        <v>7.0869990224828802E-2</v>
      </c>
      <c r="H777">
        <v>3.8286086673183381E-2</v>
      </c>
      <c r="I777">
        <v>2.4437927663734073E-2</v>
      </c>
      <c r="J777">
        <v>0.22385141739980463</v>
      </c>
      <c r="K777">
        <v>0.33577712609970656</v>
      </c>
      <c r="L777">
        <v>0.39956011730205288</v>
      </c>
      <c r="M777">
        <v>0.45283479960899325</v>
      </c>
      <c r="N777">
        <v>0.50171065493646139</v>
      </c>
      <c r="O777">
        <v>0.53079178885630496</v>
      </c>
      <c r="P777">
        <v>0.88</v>
      </c>
      <c r="Q777">
        <v>0.92</v>
      </c>
      <c r="R777">
        <v>0.93</v>
      </c>
      <c r="S777">
        <v>0.94</v>
      </c>
      <c r="T777">
        <v>0.94</v>
      </c>
      <c r="U777">
        <v>0.94</v>
      </c>
      <c r="V777">
        <v>145</v>
      </c>
      <c r="Y777">
        <v>3273.6000000000004</v>
      </c>
      <c r="Z777">
        <v>3150</v>
      </c>
      <c r="AC777">
        <v>13700</v>
      </c>
      <c r="AD777">
        <v>9548</v>
      </c>
      <c r="AO777" t="s">
        <v>513</v>
      </c>
      <c r="AP777">
        <v>5.7</v>
      </c>
      <c r="AQ777">
        <v>1.2</v>
      </c>
      <c r="AR777">
        <v>30.933541110734847</v>
      </c>
    </row>
    <row r="778" spans="2:44">
      <c r="C778">
        <v>155</v>
      </c>
      <c r="D778">
        <v>0.46041055718475055</v>
      </c>
      <c r="E778">
        <v>0.22678396871945283</v>
      </c>
      <c r="F778">
        <v>0.1348973607038122</v>
      </c>
      <c r="G778">
        <v>7.7712609970674348E-2</v>
      </c>
      <c r="H778">
        <v>4.1544477028347924E-2</v>
      </c>
      <c r="I778">
        <v>2.6881720430107479E-2</v>
      </c>
      <c r="J778">
        <v>0.22507331378299122</v>
      </c>
      <c r="K778">
        <v>0.34188660801564008</v>
      </c>
      <c r="L778">
        <v>0.41080156402737056</v>
      </c>
      <c r="M778">
        <v>0.46798631476050839</v>
      </c>
      <c r="N778">
        <v>0.52223851417399803</v>
      </c>
      <c r="O778">
        <v>0.55303030303030298</v>
      </c>
      <c r="P778">
        <v>0.88</v>
      </c>
      <c r="Q778">
        <v>0.92</v>
      </c>
      <c r="R778">
        <v>0.93</v>
      </c>
      <c r="S778">
        <v>0.94</v>
      </c>
      <c r="T778">
        <v>0.94</v>
      </c>
      <c r="U778">
        <v>0.94</v>
      </c>
      <c r="V778">
        <v>155</v>
      </c>
      <c r="Y778">
        <v>3273.6000000000004</v>
      </c>
      <c r="Z778">
        <v>3150</v>
      </c>
      <c r="AC778">
        <v>13700</v>
      </c>
      <c r="AD778">
        <v>9548</v>
      </c>
      <c r="AO778" t="s">
        <v>514</v>
      </c>
      <c r="AP778">
        <v>4.8</v>
      </c>
      <c r="AQ778">
        <v>1.23</v>
      </c>
      <c r="AR778">
        <v>61.867082221469694</v>
      </c>
    </row>
    <row r="779" spans="2:44">
      <c r="B779">
        <v>3</v>
      </c>
      <c r="C779">
        <v>15</v>
      </c>
      <c r="D779">
        <v>3.7145650048875933E-2</v>
      </c>
      <c r="E779">
        <v>1.2707722385141729E-2</v>
      </c>
      <c r="F779">
        <v>6.8426197458455462E-3</v>
      </c>
      <c r="G779">
        <v>3.4213098729228256E-3</v>
      </c>
      <c r="H779">
        <v>1.6291951775822251E-3</v>
      </c>
      <c r="I779">
        <v>1.2218963831867036E-3</v>
      </c>
      <c r="J779">
        <v>0.11656891495601168</v>
      </c>
      <c r="K779">
        <v>0.12878787878787878</v>
      </c>
      <c r="L779">
        <v>0.13318670576735092</v>
      </c>
      <c r="M779">
        <v>0.13660801564027364</v>
      </c>
      <c r="N779">
        <v>0.13929618768328456</v>
      </c>
      <c r="O779">
        <v>0.14015151515151514</v>
      </c>
      <c r="P779">
        <v>0.88</v>
      </c>
      <c r="Q779">
        <v>0.92</v>
      </c>
      <c r="R779">
        <v>0.93</v>
      </c>
      <c r="S779">
        <v>0.94</v>
      </c>
      <c r="T779">
        <v>0.94</v>
      </c>
      <c r="U779">
        <v>0.94</v>
      </c>
      <c r="AO779" t="s">
        <v>515</v>
      </c>
      <c r="AP779">
        <v>3.4</v>
      </c>
      <c r="AQ779">
        <v>1.3</v>
      </c>
      <c r="AR779">
        <v>103.11180370244949</v>
      </c>
    </row>
    <row r="780" spans="2:44">
      <c r="C780">
        <v>25</v>
      </c>
      <c r="D780">
        <v>8.6999022482893484E-2</v>
      </c>
      <c r="E780">
        <v>3.4213098729227731E-2</v>
      </c>
      <c r="F780">
        <v>1.8572825024437911E-2</v>
      </c>
      <c r="G780">
        <v>9.2864125122189469E-3</v>
      </c>
      <c r="H780">
        <v>4.4802867383512465E-3</v>
      </c>
      <c r="I780">
        <v>3.0547409579668285E-3</v>
      </c>
      <c r="J780">
        <v>0.16471163245356793</v>
      </c>
      <c r="K780">
        <v>0.19110459433040081</v>
      </c>
      <c r="L780">
        <v>0.20283479960899317</v>
      </c>
      <c r="M780">
        <v>0.21212121212121213</v>
      </c>
      <c r="N780">
        <v>0.21933040078201368</v>
      </c>
      <c r="O780">
        <v>0.22232404692082097</v>
      </c>
      <c r="P780">
        <v>0.88</v>
      </c>
      <c r="Q780">
        <v>0.92</v>
      </c>
      <c r="R780">
        <v>0.93</v>
      </c>
      <c r="S780">
        <v>0.94</v>
      </c>
      <c r="T780">
        <v>0.94</v>
      </c>
      <c r="U780">
        <v>0.94</v>
      </c>
      <c r="AN780">
        <v>6</v>
      </c>
      <c r="AO780" t="s">
        <v>512</v>
      </c>
      <c r="AP780">
        <v>7.2</v>
      </c>
      <c r="AQ780">
        <v>1.2</v>
      </c>
      <c r="AR780">
        <v>23.799585696680207</v>
      </c>
    </row>
    <row r="781" spans="2:44">
      <c r="C781">
        <v>35</v>
      </c>
      <c r="D781">
        <v>0.15151515151515138</v>
      </c>
      <c r="E781">
        <v>6.0606060606060774E-2</v>
      </c>
      <c r="F781">
        <v>3.2258064516129004E-2</v>
      </c>
      <c r="G781">
        <v>1.7106549364613852E-2</v>
      </c>
      <c r="H781">
        <v>8.5532746823069258E-3</v>
      </c>
      <c r="I781">
        <v>4.8875855327468144E-3</v>
      </c>
      <c r="J781">
        <v>0.19599217986314765</v>
      </c>
      <c r="K781">
        <v>0.24144672531769296</v>
      </c>
      <c r="L781">
        <v>0.26270772238514178</v>
      </c>
      <c r="M781">
        <v>0.27785923753665692</v>
      </c>
      <c r="N781">
        <v>0.29068914956011732</v>
      </c>
      <c r="O781">
        <v>0.29838709677419356</v>
      </c>
      <c r="P781">
        <v>0.88</v>
      </c>
      <c r="Q781">
        <v>0.92</v>
      </c>
      <c r="R781">
        <v>0.93</v>
      </c>
      <c r="S781">
        <v>0.94</v>
      </c>
      <c r="T781">
        <v>0.94</v>
      </c>
      <c r="U781">
        <v>0.94</v>
      </c>
      <c r="AO781" t="s">
        <v>513</v>
      </c>
      <c r="AP781">
        <v>5.7</v>
      </c>
      <c r="AQ781">
        <v>1.2</v>
      </c>
      <c r="AR781">
        <v>37.001843433893356</v>
      </c>
    </row>
    <row r="782" spans="2:44">
      <c r="C782">
        <v>45</v>
      </c>
      <c r="D782">
        <v>0.21994134897360729</v>
      </c>
      <c r="E782">
        <v>8.9931573802541465E-2</v>
      </c>
      <c r="F782">
        <v>4.9853372434017551E-2</v>
      </c>
      <c r="G782">
        <v>2.6392961876832797E-2</v>
      </c>
      <c r="H782">
        <v>1.3440860215053739E-2</v>
      </c>
      <c r="I782">
        <v>8.5532746823069258E-3</v>
      </c>
      <c r="J782">
        <v>0.21676441837732152</v>
      </c>
      <c r="K782">
        <v>0.28176930596285443</v>
      </c>
      <c r="L782">
        <v>0.31182795698924737</v>
      </c>
      <c r="M782">
        <v>0.3352883675464321</v>
      </c>
      <c r="N782">
        <v>0.3547165200391007</v>
      </c>
      <c r="O782">
        <v>0.36498044965786902</v>
      </c>
      <c r="P782">
        <v>0.88</v>
      </c>
      <c r="Q782">
        <v>0.92</v>
      </c>
      <c r="R782">
        <v>0.93</v>
      </c>
      <c r="S782">
        <v>0.94</v>
      </c>
      <c r="T782">
        <v>0.94</v>
      </c>
      <c r="U782">
        <v>0.94</v>
      </c>
      <c r="AO782" t="s">
        <v>514</v>
      </c>
      <c r="AP782">
        <v>4.8</v>
      </c>
      <c r="AQ782">
        <v>1.23</v>
      </c>
      <c r="AR782">
        <v>73.391923056346343</v>
      </c>
    </row>
    <row r="783" spans="2:44">
      <c r="C783">
        <v>55</v>
      </c>
      <c r="D783">
        <v>0.28739002932551316</v>
      </c>
      <c r="E783">
        <v>0.12316715542522005</v>
      </c>
      <c r="F783">
        <v>6.9403714565004826E-2</v>
      </c>
      <c r="G783">
        <v>3.7145650048875899E-2</v>
      </c>
      <c r="H783">
        <v>1.8735744542196123E-2</v>
      </c>
      <c r="I783">
        <v>1.1608015640273684E-2</v>
      </c>
      <c r="J783">
        <v>0.23093841642228741</v>
      </c>
      <c r="K783">
        <v>0.31304985337243396</v>
      </c>
      <c r="L783">
        <v>0.35337243401759538</v>
      </c>
      <c r="M783">
        <v>0.38563049853372433</v>
      </c>
      <c r="N783">
        <v>0.41324535679374397</v>
      </c>
      <c r="O783">
        <v>0.4282135874877811</v>
      </c>
      <c r="P783">
        <v>0.88</v>
      </c>
      <c r="Q783">
        <v>0.92</v>
      </c>
      <c r="R783">
        <v>0.93</v>
      </c>
      <c r="S783">
        <v>0.94</v>
      </c>
      <c r="T783">
        <v>0.94</v>
      </c>
      <c r="U783">
        <v>0.94</v>
      </c>
      <c r="AO783" t="s">
        <v>515</v>
      </c>
      <c r="AP783">
        <v>3.4</v>
      </c>
      <c r="AQ783">
        <v>1.3</v>
      </c>
      <c r="AR783">
        <v>122.64877703554518</v>
      </c>
    </row>
    <row r="784" spans="2:44">
      <c r="C784">
        <v>65</v>
      </c>
      <c r="D784">
        <v>0.35288367546432053</v>
      </c>
      <c r="E784">
        <v>0.15542521994134906</v>
      </c>
      <c r="F784">
        <v>8.7976539589442737E-2</v>
      </c>
      <c r="G784">
        <v>4.7898338220918782E-2</v>
      </c>
      <c r="H784">
        <v>2.4845226458129824E-2</v>
      </c>
      <c r="I784">
        <v>1.5884652981426869E-2</v>
      </c>
      <c r="J784">
        <v>0.23875855327468237</v>
      </c>
      <c r="K784">
        <v>0.33748778103616811</v>
      </c>
      <c r="L784">
        <v>0.38807429130009785</v>
      </c>
      <c r="M784">
        <v>0.42815249266862182</v>
      </c>
      <c r="N784">
        <v>0.46273216031280529</v>
      </c>
      <c r="O784">
        <v>0.48154936461388148</v>
      </c>
      <c r="P784">
        <v>0.88</v>
      </c>
      <c r="Q784">
        <v>0.92</v>
      </c>
      <c r="R784">
        <v>0.93</v>
      </c>
      <c r="S784">
        <v>0.94</v>
      </c>
      <c r="T784">
        <v>0.94</v>
      </c>
      <c r="U784">
        <v>0.94</v>
      </c>
      <c r="AN784">
        <v>7</v>
      </c>
    </row>
    <row r="785" spans="2:40">
      <c r="C785">
        <v>75</v>
      </c>
      <c r="D785">
        <v>0.41739980449657876</v>
      </c>
      <c r="E785">
        <v>0.18963831867057679</v>
      </c>
      <c r="F785">
        <v>0.11143695014662747</v>
      </c>
      <c r="G785">
        <v>6.0117302052785815E-2</v>
      </c>
      <c r="H785">
        <v>3.1362007168458911E-2</v>
      </c>
      <c r="I785">
        <v>2.0161290322580332E-2</v>
      </c>
      <c r="J785">
        <v>0.2443792766373411</v>
      </c>
      <c r="K785">
        <v>0.35826001955034209</v>
      </c>
      <c r="L785">
        <v>0.41691104594330408</v>
      </c>
      <c r="M785">
        <v>0.46823069403714573</v>
      </c>
      <c r="N785">
        <v>0.51136363636363613</v>
      </c>
      <c r="O785">
        <v>0.53488514173998114</v>
      </c>
      <c r="P785">
        <v>0.88</v>
      </c>
      <c r="Q785">
        <v>0.92</v>
      </c>
      <c r="R785">
        <v>0.93</v>
      </c>
      <c r="S785">
        <v>0.94</v>
      </c>
      <c r="T785">
        <v>0.94</v>
      </c>
      <c r="U785">
        <v>0.94</v>
      </c>
    </row>
    <row r="786" spans="2:40">
      <c r="C786">
        <v>85</v>
      </c>
      <c r="D786">
        <v>0.47996089931573804</v>
      </c>
      <c r="E786">
        <v>0.22482893450635411</v>
      </c>
      <c r="F786">
        <v>0.13098729227761474</v>
      </c>
      <c r="G786">
        <v>7.282502443792753E-2</v>
      </c>
      <c r="H786">
        <v>3.8286086673183561E-2</v>
      </c>
      <c r="I786">
        <v>2.4437927663733795E-2</v>
      </c>
      <c r="J786">
        <v>0.24682306940371457</v>
      </c>
      <c r="K786">
        <v>0.37438905180840654</v>
      </c>
      <c r="L786">
        <v>0.44477028347996106</v>
      </c>
      <c r="M786">
        <v>0.50293255131964831</v>
      </c>
      <c r="N786">
        <v>0.55474095796676426</v>
      </c>
      <c r="O786">
        <v>0.58382209188660872</v>
      </c>
      <c r="P786">
        <v>0.88</v>
      </c>
      <c r="Q786">
        <v>0.92</v>
      </c>
      <c r="R786">
        <v>0.93</v>
      </c>
      <c r="S786">
        <v>0.94</v>
      </c>
      <c r="T786">
        <v>0.94</v>
      </c>
      <c r="U786">
        <v>0.94</v>
      </c>
    </row>
    <row r="787" spans="2:40">
      <c r="C787">
        <v>95</v>
      </c>
      <c r="D787">
        <v>0.5405669599217986</v>
      </c>
      <c r="E787">
        <v>0.25904203323558184</v>
      </c>
      <c r="F787">
        <v>0.15249266862170074</v>
      </c>
      <c r="G787">
        <v>8.6021505376344148E-2</v>
      </c>
      <c r="H787">
        <v>4.5617464972303415E-2</v>
      </c>
      <c r="I787">
        <v>2.8714565004887813E-2</v>
      </c>
      <c r="J787">
        <v>0.24706744868035191</v>
      </c>
      <c r="K787">
        <v>0.38782991202346029</v>
      </c>
      <c r="L787">
        <v>0.46774193548387111</v>
      </c>
      <c r="M787">
        <v>0.53421309872922773</v>
      </c>
      <c r="N787">
        <v>0.59481915933528884</v>
      </c>
      <c r="O787">
        <v>0.63031524926686155</v>
      </c>
      <c r="P787">
        <v>0.88</v>
      </c>
      <c r="Q787">
        <v>0.92</v>
      </c>
      <c r="R787">
        <v>0.93</v>
      </c>
      <c r="S787">
        <v>0.94</v>
      </c>
      <c r="T787">
        <v>0.94</v>
      </c>
      <c r="U787">
        <v>0.94</v>
      </c>
    </row>
    <row r="788" spans="2:40">
      <c r="C788">
        <v>105</v>
      </c>
      <c r="D788">
        <v>0.59726295210166169</v>
      </c>
      <c r="E788">
        <v>0.29325513196480957</v>
      </c>
      <c r="F788">
        <v>0.17497556207233611</v>
      </c>
      <c r="G788">
        <v>9.9217986314760559E-2</v>
      </c>
      <c r="H788">
        <v>5.2541544477028072E-2</v>
      </c>
      <c r="I788">
        <v>3.3602150537634351E-2</v>
      </c>
      <c r="J788">
        <v>0.24633431085043989</v>
      </c>
      <c r="K788">
        <v>0.39833822091886595</v>
      </c>
      <c r="L788">
        <v>0.48704789833822104</v>
      </c>
      <c r="M788">
        <v>0.56280547409579662</v>
      </c>
      <c r="N788">
        <v>0.63282013685239535</v>
      </c>
      <c r="O788">
        <v>0.6725928641251222</v>
      </c>
      <c r="P788">
        <v>0.88</v>
      </c>
      <c r="Q788">
        <v>0.92</v>
      </c>
      <c r="R788">
        <v>0.93</v>
      </c>
      <c r="S788">
        <v>0.94</v>
      </c>
      <c r="T788">
        <v>0.94</v>
      </c>
      <c r="U788">
        <v>0.94</v>
      </c>
      <c r="AN788">
        <v>8</v>
      </c>
    </row>
    <row r="789" spans="2:40">
      <c r="C789">
        <v>115</v>
      </c>
      <c r="D789">
        <v>0.65102639296187714</v>
      </c>
      <c r="E789">
        <v>0.32649071358748749</v>
      </c>
      <c r="F789">
        <v>0.19648093841642256</v>
      </c>
      <c r="G789">
        <v>0.11241446725317673</v>
      </c>
      <c r="H789">
        <v>6.0687520364939795E-2</v>
      </c>
      <c r="I789">
        <v>3.8489736070381163E-2</v>
      </c>
      <c r="J789">
        <v>0.24462365591397839</v>
      </c>
      <c r="K789">
        <v>0.40689149560117321</v>
      </c>
      <c r="L789">
        <v>0.50439882697947191</v>
      </c>
      <c r="M789">
        <v>0.58846529814271775</v>
      </c>
      <c r="N789">
        <v>0.66605571847507317</v>
      </c>
      <c r="O789">
        <v>0.71267106549364634</v>
      </c>
      <c r="P789">
        <v>0.88</v>
      </c>
      <c r="Q789">
        <v>0.92</v>
      </c>
      <c r="R789">
        <v>0.93</v>
      </c>
      <c r="S789">
        <v>0.94</v>
      </c>
      <c r="T789">
        <v>0.94</v>
      </c>
      <c r="U789">
        <v>0.94</v>
      </c>
    </row>
    <row r="790" spans="2:40">
      <c r="C790">
        <v>125</v>
      </c>
      <c r="D790">
        <v>0.69990224828934511</v>
      </c>
      <c r="E790">
        <v>0.35874877810361694</v>
      </c>
      <c r="F790">
        <v>0.21700879765395875</v>
      </c>
      <c r="G790">
        <v>0.12609970674486803</v>
      </c>
      <c r="H790">
        <v>6.8018898664059829E-2</v>
      </c>
      <c r="I790">
        <v>4.3377321603127697E-2</v>
      </c>
      <c r="J790">
        <v>0.24242424242424243</v>
      </c>
      <c r="K790">
        <v>0.41300097751710652</v>
      </c>
      <c r="L790">
        <v>0.51930596285435016</v>
      </c>
      <c r="M790">
        <v>0.61021505376344087</v>
      </c>
      <c r="N790">
        <v>0.69733626588465325</v>
      </c>
      <c r="O790">
        <v>0.74908357771261069</v>
      </c>
      <c r="P790">
        <v>0.88</v>
      </c>
      <c r="Q790">
        <v>0.92</v>
      </c>
      <c r="R790">
        <v>0.93</v>
      </c>
      <c r="S790">
        <v>0.94</v>
      </c>
      <c r="T790">
        <v>0.94</v>
      </c>
      <c r="U790">
        <v>0.94</v>
      </c>
    </row>
    <row r="791" spans="2:40">
      <c r="C791">
        <v>135</v>
      </c>
      <c r="D791">
        <v>0.74780058651026393</v>
      </c>
      <c r="E791">
        <v>0.39002932551319613</v>
      </c>
      <c r="F791">
        <v>0.23949169110459456</v>
      </c>
      <c r="G791">
        <v>0.13880742913000976</v>
      </c>
      <c r="H791">
        <v>7.5757575757575621E-2</v>
      </c>
      <c r="I791">
        <v>4.8875855327468146E-2</v>
      </c>
      <c r="J791">
        <v>0.23949169110459434</v>
      </c>
      <c r="K791">
        <v>0.41837732160312824</v>
      </c>
      <c r="L791">
        <v>0.53128054740957942</v>
      </c>
      <c r="M791">
        <v>0.63196480938416422</v>
      </c>
      <c r="N791">
        <v>0.72653958944281549</v>
      </c>
      <c r="O791">
        <v>0.78299120234604114</v>
      </c>
      <c r="P791">
        <v>0.88</v>
      </c>
      <c r="Q791">
        <v>0.92</v>
      </c>
      <c r="R791">
        <v>0.93</v>
      </c>
      <c r="S791">
        <v>0.94</v>
      </c>
      <c r="T791">
        <v>0.94</v>
      </c>
      <c r="U791">
        <v>0.94</v>
      </c>
    </row>
    <row r="792" spans="2:40">
      <c r="C792">
        <v>145</v>
      </c>
      <c r="D792">
        <v>0.79276637341153466</v>
      </c>
      <c r="E792">
        <v>0.42033235581622685</v>
      </c>
      <c r="F792">
        <v>0.26099706744868012</v>
      </c>
      <c r="G792">
        <v>0.15249266862170061</v>
      </c>
      <c r="H792">
        <v>8.3496252851091593E-2</v>
      </c>
      <c r="I792">
        <v>5.437438905180831E-2</v>
      </c>
      <c r="J792">
        <v>0.23631476050830891</v>
      </c>
      <c r="K792">
        <v>0.42253176930596281</v>
      </c>
      <c r="L792">
        <v>0.54203323558162286</v>
      </c>
      <c r="M792">
        <v>0.65053763440860235</v>
      </c>
      <c r="N792">
        <v>0.7540322580645159</v>
      </c>
      <c r="O792">
        <v>0.81518817204301086</v>
      </c>
      <c r="P792">
        <v>0.88</v>
      </c>
      <c r="Q792">
        <v>0.92</v>
      </c>
      <c r="R792">
        <v>0.93</v>
      </c>
      <c r="S792">
        <v>0.94</v>
      </c>
      <c r="T792">
        <v>0.94</v>
      </c>
      <c r="U792">
        <v>0.94</v>
      </c>
      <c r="AN792">
        <v>9</v>
      </c>
    </row>
    <row r="793" spans="2:40">
      <c r="C793">
        <v>155</v>
      </c>
      <c r="D793">
        <v>0.83577712609970667</v>
      </c>
      <c r="E793">
        <v>0.45063538611925757</v>
      </c>
      <c r="F793">
        <v>0.2805474095796674</v>
      </c>
      <c r="G793">
        <v>0.1661779081133917</v>
      </c>
      <c r="H793">
        <v>9.1642228739003143E-2</v>
      </c>
      <c r="I793">
        <v>5.9261974584554844E-2</v>
      </c>
      <c r="J793">
        <v>0.23264907135874879</v>
      </c>
      <c r="K793">
        <v>0.42521994134897334</v>
      </c>
      <c r="L793">
        <v>0.55278592375366598</v>
      </c>
      <c r="M793">
        <v>0.66715542521994164</v>
      </c>
      <c r="N793">
        <v>0.77895894428152457</v>
      </c>
      <c r="O793">
        <v>0.84695747800586596</v>
      </c>
      <c r="P793">
        <v>0.88</v>
      </c>
      <c r="Q793">
        <v>0.92</v>
      </c>
      <c r="R793">
        <v>0.93</v>
      </c>
      <c r="S793">
        <v>0.94</v>
      </c>
      <c r="T793">
        <v>0.94</v>
      </c>
      <c r="U793">
        <v>0.94</v>
      </c>
    </row>
    <row r="794" spans="2:40">
      <c r="B794">
        <v>4</v>
      </c>
      <c r="C794">
        <v>15</v>
      </c>
      <c r="D794">
        <v>6.5493646138807371E-2</v>
      </c>
      <c r="E794">
        <v>2.4437927663734205E-2</v>
      </c>
      <c r="F794">
        <v>1.2707722385141729E-2</v>
      </c>
      <c r="G794">
        <v>6.3538611925708583E-3</v>
      </c>
      <c r="H794">
        <v>3.258390355164589E-3</v>
      </c>
      <c r="I794">
        <v>1.8328445747799859E-3</v>
      </c>
      <c r="J794">
        <v>0.15151515151515152</v>
      </c>
      <c r="K794">
        <v>0.1720430107526881</v>
      </c>
      <c r="L794">
        <v>0.18084066471163246</v>
      </c>
      <c r="M794">
        <v>0.18719452590420332</v>
      </c>
      <c r="N794">
        <v>0.19183773216031275</v>
      </c>
      <c r="O794">
        <v>0.19483137829912039</v>
      </c>
      <c r="P794">
        <v>0.88</v>
      </c>
      <c r="Q794">
        <v>0.92</v>
      </c>
      <c r="R794">
        <v>0.93</v>
      </c>
      <c r="S794">
        <v>0.94</v>
      </c>
      <c r="T794">
        <v>0.94</v>
      </c>
      <c r="U794">
        <v>0.94</v>
      </c>
    </row>
    <row r="795" spans="2:40">
      <c r="C795">
        <v>25</v>
      </c>
      <c r="D795">
        <v>0.15444770283479969</v>
      </c>
      <c r="E795">
        <v>6.0606060606060552E-2</v>
      </c>
      <c r="F795">
        <v>3.2258064516129004E-2</v>
      </c>
      <c r="G795">
        <v>1.661779081133917E-2</v>
      </c>
      <c r="H795">
        <v>8.5532746823070178E-3</v>
      </c>
      <c r="I795">
        <v>4.8875855327466756E-3</v>
      </c>
      <c r="J795">
        <v>0.20356793743890517</v>
      </c>
      <c r="K795">
        <v>0.25048875855327474</v>
      </c>
      <c r="L795">
        <v>0.2717497556207234</v>
      </c>
      <c r="M795">
        <v>0.28739002932551322</v>
      </c>
      <c r="N795">
        <v>0.29948680351906148</v>
      </c>
      <c r="O795">
        <v>0.30718475073313817</v>
      </c>
      <c r="P795">
        <v>0.88</v>
      </c>
      <c r="Q795">
        <v>0.92</v>
      </c>
      <c r="R795">
        <v>0.93</v>
      </c>
      <c r="S795">
        <v>0.94</v>
      </c>
      <c r="T795">
        <v>0.94</v>
      </c>
      <c r="U795">
        <v>0.94</v>
      </c>
    </row>
    <row r="796" spans="2:40">
      <c r="C796">
        <v>35</v>
      </c>
      <c r="D796">
        <v>0.25513196480938438</v>
      </c>
      <c r="E796">
        <v>0.10459433040078192</v>
      </c>
      <c r="F796">
        <v>5.7673509286412461E-2</v>
      </c>
      <c r="G796">
        <v>3.0303030303030248E-2</v>
      </c>
      <c r="H796">
        <v>1.5477354187031578E-2</v>
      </c>
      <c r="I796">
        <v>9.7751710654937676E-3</v>
      </c>
      <c r="J796">
        <v>0.23289345063538602</v>
      </c>
      <c r="K796">
        <v>0.30816226783968725</v>
      </c>
      <c r="L796">
        <v>0.34335288367546435</v>
      </c>
      <c r="M796">
        <v>0.37072336265884653</v>
      </c>
      <c r="N796">
        <v>0.39296187683284456</v>
      </c>
      <c r="O796">
        <v>0.40493646138807399</v>
      </c>
      <c r="P796">
        <v>0.88</v>
      </c>
      <c r="Q796">
        <v>0.92</v>
      </c>
      <c r="R796">
        <v>0.93</v>
      </c>
      <c r="S796">
        <v>0.94</v>
      </c>
      <c r="T796">
        <v>0.94</v>
      </c>
      <c r="U796">
        <v>0.94</v>
      </c>
      <c r="AN796">
        <v>10</v>
      </c>
    </row>
    <row r="797" spans="2:40">
      <c r="C797">
        <v>45</v>
      </c>
      <c r="D797">
        <v>0.35581622678396885</v>
      </c>
      <c r="E797">
        <v>0.15542521994134906</v>
      </c>
      <c r="F797">
        <v>8.7976539589442737E-2</v>
      </c>
      <c r="G797">
        <v>4.6920821114369418E-2</v>
      </c>
      <c r="H797">
        <v>2.3623330074942935E-2</v>
      </c>
      <c r="I797">
        <v>1.5273704789833795E-2</v>
      </c>
      <c r="J797">
        <v>0.24951124144672526</v>
      </c>
      <c r="K797">
        <v>0.34970674486803516</v>
      </c>
      <c r="L797">
        <v>0.4002932551319649</v>
      </c>
      <c r="M797">
        <v>0.44134897360703823</v>
      </c>
      <c r="N797">
        <v>0.47629521016617793</v>
      </c>
      <c r="O797">
        <v>0.49382942326490714</v>
      </c>
      <c r="P797">
        <v>0.88</v>
      </c>
      <c r="Q797">
        <v>0.92</v>
      </c>
      <c r="R797">
        <v>0.93</v>
      </c>
      <c r="S797">
        <v>0.94</v>
      </c>
      <c r="T797">
        <v>0.94</v>
      </c>
      <c r="U797">
        <v>0.94</v>
      </c>
    </row>
    <row r="798" spans="2:40">
      <c r="C798">
        <v>55</v>
      </c>
      <c r="D798">
        <v>0.45650048875855331</v>
      </c>
      <c r="E798">
        <v>0.20625610948191597</v>
      </c>
      <c r="F798">
        <v>0.12218963831867047</v>
      </c>
      <c r="G798">
        <v>6.4516129032258174E-2</v>
      </c>
      <c r="H798">
        <v>3.3398501140436562E-2</v>
      </c>
      <c r="I798">
        <v>2.1383186705767037E-2</v>
      </c>
      <c r="J798">
        <v>0.25659824046920826</v>
      </c>
      <c r="K798">
        <v>0.38172043010752693</v>
      </c>
      <c r="L798">
        <v>0.44477028347996106</v>
      </c>
      <c r="M798">
        <v>0.50244379276637341</v>
      </c>
      <c r="N798">
        <v>0.54912023460410575</v>
      </c>
      <c r="O798">
        <v>0.57435239491691181</v>
      </c>
      <c r="P798">
        <v>0.88</v>
      </c>
      <c r="Q798">
        <v>0.92</v>
      </c>
      <c r="R798">
        <v>0.93</v>
      </c>
      <c r="S798">
        <v>0.94</v>
      </c>
      <c r="T798">
        <v>0.94</v>
      </c>
      <c r="U798">
        <v>0.94</v>
      </c>
    </row>
    <row r="799" spans="2:40">
      <c r="C799">
        <v>65</v>
      </c>
      <c r="D799">
        <v>0.55816226783968714</v>
      </c>
      <c r="E799">
        <v>0.26197458455522948</v>
      </c>
      <c r="F799">
        <v>0.14760508308895437</v>
      </c>
      <c r="G799">
        <v>8.4066471163245213E-2</v>
      </c>
      <c r="H799">
        <v>4.3988269794721514E-2</v>
      </c>
      <c r="I799">
        <v>2.7492668621700554E-2</v>
      </c>
      <c r="J799">
        <v>0.25659824046920821</v>
      </c>
      <c r="K799">
        <v>0.40469208211143703</v>
      </c>
      <c r="L799">
        <v>0.49046920821114337</v>
      </c>
      <c r="M799">
        <v>0.55400782013685257</v>
      </c>
      <c r="N799">
        <v>0.61412512218963811</v>
      </c>
      <c r="O799">
        <v>0.64876588465298213</v>
      </c>
      <c r="P799">
        <v>0.88</v>
      </c>
      <c r="Q799">
        <v>0.92</v>
      </c>
      <c r="R799">
        <v>0.93</v>
      </c>
      <c r="S799">
        <v>0.94</v>
      </c>
      <c r="T799">
        <v>0.94</v>
      </c>
      <c r="U799">
        <v>0.94</v>
      </c>
    </row>
    <row r="800" spans="2:40">
      <c r="C800">
        <v>75</v>
      </c>
      <c r="D800">
        <v>0.64809384164222883</v>
      </c>
      <c r="E800">
        <v>0.31476050830889557</v>
      </c>
      <c r="F800">
        <v>0.18279569892473102</v>
      </c>
      <c r="G800">
        <v>0.10410557184750714</v>
      </c>
      <c r="H800">
        <v>5.4985337243401849E-2</v>
      </c>
      <c r="I800">
        <v>3.4824046920820778E-2</v>
      </c>
      <c r="J800">
        <v>0.25439882697947214</v>
      </c>
      <c r="K800">
        <v>0.42106549364613877</v>
      </c>
      <c r="L800">
        <v>0.52003910068426218</v>
      </c>
      <c r="M800">
        <v>0.59872922776148607</v>
      </c>
      <c r="N800">
        <v>0.67240957966764403</v>
      </c>
      <c r="O800">
        <v>0.71474828934506429</v>
      </c>
      <c r="P800">
        <v>0.88</v>
      </c>
      <c r="Q800">
        <v>0.92</v>
      </c>
      <c r="R800">
        <v>0.93</v>
      </c>
      <c r="S800">
        <v>0.94</v>
      </c>
      <c r="T800">
        <v>0.94</v>
      </c>
      <c r="U800">
        <v>0.94</v>
      </c>
    </row>
    <row r="801" spans="2:21">
      <c r="C801">
        <v>85</v>
      </c>
      <c r="D801">
        <v>0.73118279569892475</v>
      </c>
      <c r="E801">
        <v>0.36656891495601185</v>
      </c>
      <c r="F801">
        <v>0.21896383186705748</v>
      </c>
      <c r="G801">
        <v>0.12512218963831845</v>
      </c>
      <c r="H801">
        <v>6.6389703486477741E-2</v>
      </c>
      <c r="I801">
        <v>4.2766373411534907E-2</v>
      </c>
      <c r="J801">
        <v>0.25048875855327468</v>
      </c>
      <c r="K801">
        <v>0.43279569892473113</v>
      </c>
      <c r="L801">
        <v>0.54349951124144691</v>
      </c>
      <c r="M801">
        <v>0.63734115347018594</v>
      </c>
      <c r="N801">
        <v>0.72543988269794701</v>
      </c>
      <c r="O801">
        <v>0.775048875855327</v>
      </c>
      <c r="P801">
        <v>0.88</v>
      </c>
      <c r="Q801">
        <v>0.92</v>
      </c>
      <c r="R801">
        <v>0.93</v>
      </c>
      <c r="S801">
        <v>0.94</v>
      </c>
      <c r="T801">
        <v>0.94</v>
      </c>
      <c r="U801">
        <v>0.94</v>
      </c>
    </row>
    <row r="802" spans="2:21">
      <c r="C802">
        <v>95</v>
      </c>
      <c r="D802">
        <v>0.80840664711632471</v>
      </c>
      <c r="E802">
        <v>0.41739980449657832</v>
      </c>
      <c r="F802">
        <v>0.25317693059628565</v>
      </c>
      <c r="G802">
        <v>0.14613880742912996</v>
      </c>
      <c r="H802">
        <v>7.8608667318344594E-2</v>
      </c>
      <c r="I802">
        <v>5.009775171065485E-2</v>
      </c>
      <c r="J802">
        <v>0.24486803519061584</v>
      </c>
      <c r="K802">
        <v>0.44037145650048903</v>
      </c>
      <c r="L802">
        <v>0.56353861192570853</v>
      </c>
      <c r="M802">
        <v>0.6705767350928642</v>
      </c>
      <c r="N802">
        <v>0.77187194525904235</v>
      </c>
      <c r="O802">
        <v>0.83174486803519077</v>
      </c>
      <c r="P802">
        <v>0.88</v>
      </c>
      <c r="Q802">
        <v>0.92</v>
      </c>
      <c r="R802">
        <v>0.93</v>
      </c>
      <c r="S802">
        <v>0.94</v>
      </c>
      <c r="T802">
        <v>0.94</v>
      </c>
      <c r="U802">
        <v>0.94</v>
      </c>
    </row>
    <row r="803" spans="2:21">
      <c r="C803">
        <v>105</v>
      </c>
      <c r="D803">
        <v>0.87976539589442848</v>
      </c>
      <c r="E803">
        <v>0.46627565982404651</v>
      </c>
      <c r="F803">
        <v>0.28836754643206275</v>
      </c>
      <c r="G803">
        <v>0.16764418377321597</v>
      </c>
      <c r="H803">
        <v>9.0420332355816063E-2</v>
      </c>
      <c r="I803">
        <v>5.8651026392961769E-2</v>
      </c>
      <c r="J803">
        <v>0.23875855327468221</v>
      </c>
      <c r="K803">
        <v>0.44550342130987319</v>
      </c>
      <c r="L803">
        <v>0.57893450635386101</v>
      </c>
      <c r="M803">
        <v>0.69965786901270777</v>
      </c>
      <c r="N803">
        <v>0.8154936461388077</v>
      </c>
      <c r="O803">
        <v>0.88220918866080167</v>
      </c>
      <c r="P803">
        <v>0.88</v>
      </c>
      <c r="Q803">
        <v>0.92</v>
      </c>
      <c r="R803">
        <v>0.93</v>
      </c>
      <c r="S803">
        <v>0.94</v>
      </c>
      <c r="T803">
        <v>0.94</v>
      </c>
      <c r="U803">
        <v>0.94</v>
      </c>
    </row>
    <row r="804" spans="2:21">
      <c r="C804">
        <v>115</v>
      </c>
      <c r="D804">
        <v>0.94721407624633391</v>
      </c>
      <c r="E804">
        <v>0.51417399804496577</v>
      </c>
      <c r="F804">
        <v>0.32258064516129048</v>
      </c>
      <c r="G804">
        <v>0.18866080156402726</v>
      </c>
      <c r="H804">
        <v>0.10345389377647424</v>
      </c>
      <c r="I804">
        <v>6.659335288367535E-2</v>
      </c>
      <c r="J804">
        <v>0.2314271749755622</v>
      </c>
      <c r="K804">
        <v>0.44794721407624627</v>
      </c>
      <c r="L804">
        <v>0.59164222873900274</v>
      </c>
      <c r="M804">
        <v>0.72556207233626591</v>
      </c>
      <c r="N804">
        <v>0.85337243401759555</v>
      </c>
      <c r="O804">
        <v>0.93077956989247324</v>
      </c>
      <c r="P804">
        <v>0.88</v>
      </c>
      <c r="Q804">
        <v>0.92</v>
      </c>
      <c r="R804">
        <v>0.93</v>
      </c>
      <c r="S804">
        <v>0.94</v>
      </c>
      <c r="T804">
        <v>0.94</v>
      </c>
      <c r="U804">
        <v>0.94</v>
      </c>
    </row>
    <row r="805" spans="2:21">
      <c r="C805">
        <v>125</v>
      </c>
      <c r="D805">
        <v>1.010752688172043</v>
      </c>
      <c r="E805">
        <v>0.56109481915933568</v>
      </c>
      <c r="F805">
        <v>0.35288367546432031</v>
      </c>
      <c r="G805">
        <v>0.21016617790811346</v>
      </c>
      <c r="H805">
        <v>0.11608015640273685</v>
      </c>
      <c r="I805">
        <v>7.5146627565982269E-2</v>
      </c>
      <c r="J805">
        <v>0.22385141739980452</v>
      </c>
      <c r="K805">
        <v>0.44868035190615818</v>
      </c>
      <c r="L805">
        <v>0.60483870967741971</v>
      </c>
      <c r="M805">
        <v>0.74755620723362659</v>
      </c>
      <c r="N805">
        <v>0.88868523949169154</v>
      </c>
      <c r="O805">
        <v>0.97464565004887616</v>
      </c>
      <c r="P805">
        <v>0.88</v>
      </c>
      <c r="Q805">
        <v>0.92</v>
      </c>
      <c r="R805">
        <v>0.93</v>
      </c>
      <c r="S805">
        <v>0.94</v>
      </c>
      <c r="T805">
        <v>0.94</v>
      </c>
      <c r="U805">
        <v>0.94</v>
      </c>
    </row>
    <row r="806" spans="2:21">
      <c r="C806">
        <v>135</v>
      </c>
      <c r="D806">
        <v>1.0664711632453567</v>
      </c>
      <c r="E806">
        <v>0.60606060606060597</v>
      </c>
      <c r="F806">
        <v>0.38611925708699912</v>
      </c>
      <c r="G806">
        <v>0.23118279569892478</v>
      </c>
      <c r="H806">
        <v>0.12829912023460388</v>
      </c>
      <c r="I806">
        <v>8.4310850439882554E-2</v>
      </c>
      <c r="J806">
        <v>0.21725317693059631</v>
      </c>
      <c r="K806">
        <v>0.4474584555229717</v>
      </c>
      <c r="L806">
        <v>0.61241446725317683</v>
      </c>
      <c r="M806">
        <v>0.76735092864125121</v>
      </c>
      <c r="N806">
        <v>0.92167644183773256</v>
      </c>
      <c r="O806">
        <v>1.0140518084066474</v>
      </c>
      <c r="P806">
        <v>0.88</v>
      </c>
      <c r="Q806">
        <v>0.92</v>
      </c>
      <c r="R806">
        <v>0.93</v>
      </c>
      <c r="S806">
        <v>0.94</v>
      </c>
      <c r="T806">
        <v>0.94</v>
      </c>
      <c r="U806">
        <v>0.94</v>
      </c>
    </row>
    <row r="807" spans="2:21">
      <c r="C807">
        <v>145</v>
      </c>
      <c r="D807">
        <v>1.120234604105572</v>
      </c>
      <c r="E807">
        <v>0.64809384164222861</v>
      </c>
      <c r="F807">
        <v>0.41739980449657876</v>
      </c>
      <c r="G807">
        <v>0.25219941348973562</v>
      </c>
      <c r="H807">
        <v>0.14133268165526242</v>
      </c>
      <c r="I807">
        <v>9.2864125122189473E-2</v>
      </c>
      <c r="J807">
        <v>0.20992179863147598</v>
      </c>
      <c r="K807">
        <v>0.44599217986314765</v>
      </c>
      <c r="L807">
        <v>0.61901270772238504</v>
      </c>
      <c r="M807">
        <v>0.78421309872922818</v>
      </c>
      <c r="N807">
        <v>0.95051319648093802</v>
      </c>
      <c r="O807">
        <v>1.0522971652003912</v>
      </c>
      <c r="P807">
        <v>0.88</v>
      </c>
      <c r="Q807">
        <v>0.92</v>
      </c>
      <c r="R807">
        <v>0.93</v>
      </c>
      <c r="S807">
        <v>0.94</v>
      </c>
      <c r="T807">
        <v>0.94</v>
      </c>
      <c r="U807">
        <v>0.94</v>
      </c>
    </row>
    <row r="808" spans="2:21">
      <c r="C808">
        <v>155</v>
      </c>
      <c r="D808">
        <v>1.1691104594330399</v>
      </c>
      <c r="E808">
        <v>0.68914956011730233</v>
      </c>
      <c r="F808">
        <v>0.44868035190615796</v>
      </c>
      <c r="G808">
        <v>0.27272727272727226</v>
      </c>
      <c r="H808">
        <v>0.15436624307592059</v>
      </c>
      <c r="I808">
        <v>0.10141739980449641</v>
      </c>
      <c r="J808">
        <v>0.20307917888563054</v>
      </c>
      <c r="K808">
        <v>0.44305962854349934</v>
      </c>
      <c r="L808">
        <v>0.62341153470185762</v>
      </c>
      <c r="M808">
        <v>0.79936461388074331</v>
      </c>
      <c r="N808">
        <v>0.97690615835777095</v>
      </c>
      <c r="O808">
        <v>1.0880987292277617</v>
      </c>
      <c r="P808">
        <v>0.88</v>
      </c>
      <c r="Q808">
        <v>0.92</v>
      </c>
      <c r="R808">
        <v>0.93</v>
      </c>
      <c r="S808">
        <v>0.94</v>
      </c>
      <c r="T808">
        <v>0.94</v>
      </c>
      <c r="U808">
        <v>0.94</v>
      </c>
    </row>
    <row r="809" spans="2:21">
      <c r="B809">
        <v>5</v>
      </c>
      <c r="C809">
        <v>15</v>
      </c>
      <c r="D809">
        <v>0.10166177908113394</v>
      </c>
      <c r="E809">
        <v>3.8123167155425186E-2</v>
      </c>
      <c r="F809">
        <v>1.9550342130987275E-2</v>
      </c>
      <c r="G809">
        <v>1.0263929618768422E-2</v>
      </c>
      <c r="H809">
        <v>5.2948843271422895E-3</v>
      </c>
      <c r="I809">
        <v>3.0547409579667591E-3</v>
      </c>
      <c r="J809">
        <v>0.18035190615835778</v>
      </c>
      <c r="K809">
        <v>0.21212121212121215</v>
      </c>
      <c r="L809">
        <v>0.22605083088954059</v>
      </c>
      <c r="M809">
        <v>0.23533724340175943</v>
      </c>
      <c r="N809">
        <v>0.24279081133919864</v>
      </c>
      <c r="O809">
        <v>0.24749511241446726</v>
      </c>
      <c r="P809">
        <v>0.76</v>
      </c>
      <c r="Q809">
        <v>0.8</v>
      </c>
      <c r="R809">
        <v>0.8</v>
      </c>
      <c r="S809">
        <v>0.8</v>
      </c>
      <c r="T809">
        <v>0.8</v>
      </c>
      <c r="U809">
        <v>0.8</v>
      </c>
    </row>
    <row r="810" spans="2:21">
      <c r="C810">
        <v>25</v>
      </c>
      <c r="D810">
        <v>0.23264907135874879</v>
      </c>
      <c r="E810">
        <v>9.384164222873892E-2</v>
      </c>
      <c r="F810">
        <v>4.5943304007820096E-2</v>
      </c>
      <c r="G810">
        <v>2.6392961876832797E-2</v>
      </c>
      <c r="H810">
        <v>1.3033561420658264E-2</v>
      </c>
      <c r="I810">
        <v>7.9423264907134347E-3</v>
      </c>
      <c r="J810">
        <v>0.23118279569892475</v>
      </c>
      <c r="K810">
        <v>0.30058651026392968</v>
      </c>
      <c r="L810">
        <v>0.3365102639296188</v>
      </c>
      <c r="M810">
        <v>0.35606060606060608</v>
      </c>
      <c r="N810">
        <v>0.37609970674486792</v>
      </c>
      <c r="O810">
        <v>0.38679130009775203</v>
      </c>
      <c r="P810">
        <v>0.76</v>
      </c>
      <c r="Q810">
        <v>0.8</v>
      </c>
      <c r="R810">
        <v>0.8</v>
      </c>
      <c r="S810">
        <v>0.8</v>
      </c>
      <c r="T810">
        <v>0.8</v>
      </c>
      <c r="U810">
        <v>0.8</v>
      </c>
    </row>
    <row r="811" spans="2:21">
      <c r="C811">
        <v>35</v>
      </c>
      <c r="D811">
        <v>0.36852394916911058</v>
      </c>
      <c r="E811">
        <v>0.15835777126099693</v>
      </c>
      <c r="F811">
        <v>8.7976539589442959E-2</v>
      </c>
      <c r="G811">
        <v>4.7409579667644322E-2</v>
      </c>
      <c r="H811">
        <v>2.4030628869338318E-2</v>
      </c>
      <c r="I811">
        <v>1.466275659824072E-2</v>
      </c>
      <c r="J811">
        <v>0.25537634408602145</v>
      </c>
      <c r="K811">
        <v>0.36045943304007827</v>
      </c>
      <c r="L811">
        <v>0.41324535679374375</v>
      </c>
      <c r="M811">
        <v>0.4538123167155424</v>
      </c>
      <c r="N811">
        <v>0.48888074291300138</v>
      </c>
      <c r="O811">
        <v>0.50855327468230638</v>
      </c>
      <c r="P811">
        <v>0.76</v>
      </c>
      <c r="Q811">
        <v>0.8</v>
      </c>
      <c r="R811">
        <v>0.8</v>
      </c>
      <c r="S811">
        <v>0.8</v>
      </c>
      <c r="T811">
        <v>0.8</v>
      </c>
      <c r="U811">
        <v>0.8</v>
      </c>
    </row>
    <row r="812" spans="2:21">
      <c r="C812">
        <v>45</v>
      </c>
      <c r="D812">
        <v>0.51026392961876832</v>
      </c>
      <c r="E812">
        <v>0.23069403714565029</v>
      </c>
      <c r="F812">
        <v>0.13098729227761474</v>
      </c>
      <c r="G812">
        <v>7.2336265884652848E-2</v>
      </c>
      <c r="H812">
        <v>3.7064190289996676E-2</v>
      </c>
      <c r="I812">
        <v>2.3216031280547368E-2</v>
      </c>
      <c r="J812">
        <v>0.26221896383186705</v>
      </c>
      <c r="K812">
        <v>0.40200391006842606</v>
      </c>
      <c r="L812">
        <v>0.47678396871945272</v>
      </c>
      <c r="M812">
        <v>0.53543499511241466</v>
      </c>
      <c r="N812">
        <v>0.58834310850439886</v>
      </c>
      <c r="O812">
        <v>0.61742424242424243</v>
      </c>
      <c r="P812">
        <v>0.83</v>
      </c>
      <c r="Q812">
        <v>0.83</v>
      </c>
      <c r="R812">
        <v>0.83</v>
      </c>
      <c r="S812">
        <v>0.83</v>
      </c>
      <c r="T812">
        <v>0.83</v>
      </c>
      <c r="U812">
        <v>0.83</v>
      </c>
    </row>
    <row r="813" spans="2:21">
      <c r="C813">
        <v>55</v>
      </c>
      <c r="D813">
        <v>0.63831867057673519</v>
      </c>
      <c r="E813">
        <v>0.30400782013685257</v>
      </c>
      <c r="F813">
        <v>0.17595307917888547</v>
      </c>
      <c r="G813">
        <v>9.8729227761485655E-2</v>
      </c>
      <c r="H813">
        <v>5.1319648093841548E-2</v>
      </c>
      <c r="I813">
        <v>3.2380254154447924E-2</v>
      </c>
      <c r="J813">
        <v>0.260752688172043</v>
      </c>
      <c r="K813">
        <v>0.42790811339198431</v>
      </c>
      <c r="L813">
        <v>0.52394916911045963</v>
      </c>
      <c r="M813">
        <v>0.60117302052785948</v>
      </c>
      <c r="N813">
        <v>0.67228739002932558</v>
      </c>
      <c r="O813">
        <v>0.71206011730205221</v>
      </c>
      <c r="P813">
        <v>0.87</v>
      </c>
      <c r="Q813">
        <v>0.87</v>
      </c>
      <c r="R813">
        <v>0.87</v>
      </c>
      <c r="S813">
        <v>0.87</v>
      </c>
      <c r="T813">
        <v>0.87</v>
      </c>
      <c r="U813">
        <v>0.87</v>
      </c>
    </row>
    <row r="814" spans="2:21">
      <c r="C814">
        <v>65</v>
      </c>
      <c r="D814">
        <v>0.7595307917888563</v>
      </c>
      <c r="E814">
        <v>0.37829912023460421</v>
      </c>
      <c r="F814">
        <v>0.2238514173998043</v>
      </c>
      <c r="G814">
        <v>0.1270772238514174</v>
      </c>
      <c r="H814">
        <v>6.7204301075268702E-2</v>
      </c>
      <c r="I814">
        <v>4.2766373411534629E-2</v>
      </c>
      <c r="J814">
        <v>0.25439882697947214</v>
      </c>
      <c r="K814">
        <v>0.44501466275659818</v>
      </c>
      <c r="L814">
        <v>0.56085043988269812</v>
      </c>
      <c r="M814">
        <v>0.65762463343108502</v>
      </c>
      <c r="N814">
        <v>0.74743401759530803</v>
      </c>
      <c r="O814">
        <v>0.79875366568914963</v>
      </c>
      <c r="P814">
        <v>0.87</v>
      </c>
      <c r="Q814">
        <v>0.87</v>
      </c>
      <c r="R814">
        <v>0.87</v>
      </c>
      <c r="S814">
        <v>0.87</v>
      </c>
      <c r="T814">
        <v>0.87</v>
      </c>
      <c r="U814">
        <v>0.87</v>
      </c>
    </row>
    <row r="815" spans="2:21">
      <c r="C815">
        <v>75</v>
      </c>
      <c r="D815">
        <v>0.87096774193548399</v>
      </c>
      <c r="E815">
        <v>0.45063538611925713</v>
      </c>
      <c r="F815">
        <v>0.27272727272727249</v>
      </c>
      <c r="G815">
        <v>0.15640273704789806</v>
      </c>
      <c r="H815">
        <v>8.3903551645486976E-2</v>
      </c>
      <c r="I815">
        <v>5.3763440860215235E-2</v>
      </c>
      <c r="J815">
        <v>0.2446236559139785</v>
      </c>
      <c r="K815">
        <v>0.45478983382209193</v>
      </c>
      <c r="L815">
        <v>0.58822091886608041</v>
      </c>
      <c r="M815">
        <v>0.70454545454545481</v>
      </c>
      <c r="N815">
        <v>0.81329423264907152</v>
      </c>
      <c r="O815">
        <v>0.87658846529814216</v>
      </c>
      <c r="P815">
        <v>0.87</v>
      </c>
      <c r="Q815">
        <v>0.87</v>
      </c>
      <c r="R815">
        <v>0.87</v>
      </c>
      <c r="S815">
        <v>0.87</v>
      </c>
      <c r="T815">
        <v>0.87</v>
      </c>
      <c r="U815">
        <v>0.87</v>
      </c>
    </row>
    <row r="816" spans="2:21">
      <c r="C816">
        <v>85</v>
      </c>
      <c r="D816">
        <v>0.96774193548387122</v>
      </c>
      <c r="E816">
        <v>0.51906158357771215</v>
      </c>
      <c r="F816">
        <v>0.31964809384164239</v>
      </c>
      <c r="G816">
        <v>0.18572825024437872</v>
      </c>
      <c r="H816">
        <v>0.1010101010101012</v>
      </c>
      <c r="I816">
        <v>6.4760508308895293E-2</v>
      </c>
      <c r="J816">
        <v>0.23460410557184741</v>
      </c>
      <c r="K816">
        <v>0.45894428152492694</v>
      </c>
      <c r="L816">
        <v>0.60850439882697926</v>
      </c>
      <c r="M816">
        <v>0.74242424242424288</v>
      </c>
      <c r="N816">
        <v>0.86950146627565927</v>
      </c>
      <c r="O816">
        <v>0.94562561094819175</v>
      </c>
      <c r="P816">
        <v>0.87</v>
      </c>
      <c r="Q816">
        <v>0.87</v>
      </c>
      <c r="R816">
        <v>0.87</v>
      </c>
      <c r="S816">
        <v>0.87</v>
      </c>
      <c r="T816">
        <v>0.87</v>
      </c>
      <c r="U816">
        <v>0.87</v>
      </c>
    </row>
    <row r="817" spans="2:21">
      <c r="C817">
        <v>95</v>
      </c>
      <c r="D817">
        <v>1.0566959921798635</v>
      </c>
      <c r="E817">
        <v>0.58455522971651996</v>
      </c>
      <c r="F817">
        <v>0.36559139784946204</v>
      </c>
      <c r="G817">
        <v>0.21603128054740964</v>
      </c>
      <c r="H817">
        <v>0.11770935158031874</v>
      </c>
      <c r="I817">
        <v>7.6979472140762326E-2</v>
      </c>
      <c r="J817">
        <v>0.22336265884652973</v>
      </c>
      <c r="K817">
        <v>0.45943304007820152</v>
      </c>
      <c r="L817">
        <v>0.62365591397849496</v>
      </c>
      <c r="M817">
        <v>0.77321603128054739</v>
      </c>
      <c r="N817">
        <v>0.92069892473118375</v>
      </c>
      <c r="O817">
        <v>1.0062316715542523</v>
      </c>
      <c r="P817">
        <v>0.87</v>
      </c>
      <c r="Q817">
        <v>0.87</v>
      </c>
      <c r="R817">
        <v>0.87</v>
      </c>
      <c r="S817">
        <v>0.87</v>
      </c>
      <c r="T817">
        <v>0.87</v>
      </c>
      <c r="U817">
        <v>0.87</v>
      </c>
    </row>
    <row r="818" spans="2:21">
      <c r="C818">
        <v>105</v>
      </c>
      <c r="D818">
        <v>1.1388074291300097</v>
      </c>
      <c r="E818">
        <v>0.64907135874877797</v>
      </c>
      <c r="F818">
        <v>0.41153470185728258</v>
      </c>
      <c r="G818">
        <v>0.24633431085043989</v>
      </c>
      <c r="H818">
        <v>0.13603779732811966</v>
      </c>
      <c r="I818">
        <v>8.8587487781035451E-2</v>
      </c>
      <c r="J818">
        <v>0.21212121212121215</v>
      </c>
      <c r="K818">
        <v>0.456989247311828</v>
      </c>
      <c r="L818">
        <v>0.63514173998044954</v>
      </c>
      <c r="M818">
        <v>0.80034213098729223</v>
      </c>
      <c r="N818">
        <v>0.96578690127077271</v>
      </c>
      <c r="O818">
        <v>1.0654325513196494</v>
      </c>
      <c r="P818">
        <v>0.87</v>
      </c>
      <c r="Q818">
        <v>0.87</v>
      </c>
      <c r="R818">
        <v>0.87</v>
      </c>
      <c r="S818">
        <v>0.87</v>
      </c>
      <c r="T818">
        <v>0.87</v>
      </c>
      <c r="U818">
        <v>0.87</v>
      </c>
    </row>
    <row r="819" spans="2:21">
      <c r="C819">
        <v>115</v>
      </c>
      <c r="D819">
        <v>1.2111436950146626</v>
      </c>
      <c r="E819">
        <v>0.7077223851417398</v>
      </c>
      <c r="F819">
        <v>0.48582600195503423</v>
      </c>
      <c r="G819">
        <v>0.2609970674486799</v>
      </c>
      <c r="H819">
        <v>0.15395894428152501</v>
      </c>
      <c r="I819">
        <v>0.10080645161290305</v>
      </c>
      <c r="J819">
        <v>0.20136852394916915</v>
      </c>
      <c r="K819">
        <v>0.45307917888563054</v>
      </c>
      <c r="L819">
        <v>0.61950146627565972</v>
      </c>
      <c r="M819">
        <v>0.84433040078201405</v>
      </c>
      <c r="N819">
        <v>1.0048875855327464</v>
      </c>
      <c r="O819">
        <v>1.1165078201368526</v>
      </c>
      <c r="P819">
        <v>0.87</v>
      </c>
      <c r="Q819">
        <v>0.87</v>
      </c>
      <c r="R819">
        <v>0.87</v>
      </c>
      <c r="S819">
        <v>0.87</v>
      </c>
      <c r="T819">
        <v>0.87</v>
      </c>
      <c r="U819">
        <v>0.87</v>
      </c>
    </row>
    <row r="820" spans="2:21">
      <c r="C820">
        <v>125</v>
      </c>
      <c r="D820">
        <v>1.2776148582600197</v>
      </c>
      <c r="E820">
        <v>0.76539589442815315</v>
      </c>
      <c r="F820">
        <v>0.50048875855327424</v>
      </c>
      <c r="G820">
        <v>0.30547409579667634</v>
      </c>
      <c r="H820">
        <v>0.17188009123492964</v>
      </c>
      <c r="I820">
        <v>0.11363636363636344</v>
      </c>
      <c r="J820">
        <v>0.19110459433040072</v>
      </c>
      <c r="K820">
        <v>0.44721407624633402</v>
      </c>
      <c r="L820">
        <v>0.64589442815249321</v>
      </c>
      <c r="M820">
        <v>0.84090909090909105</v>
      </c>
      <c r="N820">
        <v>1.0413000977517113</v>
      </c>
      <c r="O820">
        <v>1.1636119257087003</v>
      </c>
      <c r="P820">
        <v>0.87</v>
      </c>
      <c r="Q820">
        <v>0.87</v>
      </c>
      <c r="R820">
        <v>0.87</v>
      </c>
      <c r="S820">
        <v>0.87</v>
      </c>
      <c r="T820">
        <v>0.87</v>
      </c>
      <c r="U820">
        <v>0.87</v>
      </c>
    </row>
    <row r="821" spans="2:21">
      <c r="C821">
        <v>135</v>
      </c>
      <c r="D821">
        <v>1.3372434017595314</v>
      </c>
      <c r="E821">
        <v>0.82013685239491707</v>
      </c>
      <c r="F821">
        <v>0.54252199413489688</v>
      </c>
      <c r="G821">
        <v>0.33479960899315725</v>
      </c>
      <c r="H821">
        <v>0.19020853698273019</v>
      </c>
      <c r="I821">
        <v>0.12585532746823103</v>
      </c>
      <c r="J821">
        <v>0.18132942326490697</v>
      </c>
      <c r="K821">
        <v>0.43988269794721413</v>
      </c>
      <c r="L821">
        <v>0.64809384164222927</v>
      </c>
      <c r="M821">
        <v>0.85581622678396885</v>
      </c>
      <c r="N821">
        <v>1.0727028347996095</v>
      </c>
      <c r="O821">
        <v>1.2078445747800579</v>
      </c>
      <c r="P821">
        <v>0.87</v>
      </c>
      <c r="Q821">
        <v>0.87</v>
      </c>
      <c r="R821">
        <v>0.87</v>
      </c>
      <c r="S821">
        <v>0.87</v>
      </c>
      <c r="T821">
        <v>0.87</v>
      </c>
      <c r="U821">
        <v>0.87</v>
      </c>
    </row>
    <row r="822" spans="2:21">
      <c r="C822">
        <v>145</v>
      </c>
      <c r="D822">
        <v>1.3919843597262958</v>
      </c>
      <c r="E822">
        <v>0.8709677419354831</v>
      </c>
      <c r="F822">
        <v>0.58357771260997104</v>
      </c>
      <c r="G822">
        <v>0.3631476050830883</v>
      </c>
      <c r="H822">
        <v>0.20853698273053112</v>
      </c>
      <c r="I822">
        <v>0.13868523949169143</v>
      </c>
      <c r="J822">
        <v>0.17204301075268802</v>
      </c>
      <c r="K822">
        <v>0.43255131964809435</v>
      </c>
      <c r="L822">
        <v>0.64809384164222839</v>
      </c>
      <c r="M822">
        <v>0.86852394916911113</v>
      </c>
      <c r="N822">
        <v>1.1004398826979469</v>
      </c>
      <c r="O822">
        <v>1.2471285434995103</v>
      </c>
      <c r="P822">
        <v>0.87</v>
      </c>
      <c r="Q822">
        <v>0.87</v>
      </c>
      <c r="R822">
        <v>0.87</v>
      </c>
      <c r="S822">
        <v>0.87</v>
      </c>
      <c r="T822">
        <v>0.87</v>
      </c>
      <c r="U822">
        <v>0.87</v>
      </c>
    </row>
    <row r="823" spans="2:21">
      <c r="C823">
        <v>155</v>
      </c>
      <c r="D823">
        <v>1.4418377321603129</v>
      </c>
      <c r="E823">
        <v>0.91984359726295173</v>
      </c>
      <c r="F823">
        <v>0.62267839687194559</v>
      </c>
      <c r="G823">
        <v>0.39149560117302029</v>
      </c>
      <c r="H823">
        <v>0.22645812968393572</v>
      </c>
      <c r="I823">
        <v>0.15090420332355789</v>
      </c>
      <c r="J823">
        <v>0.16324535679374386</v>
      </c>
      <c r="K823">
        <v>0.42424242424242442</v>
      </c>
      <c r="L823">
        <v>0.64711632453567902</v>
      </c>
      <c r="M823">
        <v>0.87829912023460432</v>
      </c>
      <c r="N823">
        <v>1.1258553274682312</v>
      </c>
      <c r="O823">
        <v>1.2845185728250248</v>
      </c>
      <c r="P823">
        <v>0.87</v>
      </c>
      <c r="Q823">
        <v>0.87</v>
      </c>
      <c r="R823">
        <v>0.87</v>
      </c>
      <c r="S823">
        <v>0.87</v>
      </c>
      <c r="T823">
        <v>0.87</v>
      </c>
      <c r="U823">
        <v>0.87</v>
      </c>
    </row>
    <row r="824" spans="2:21">
      <c r="B824">
        <v>6</v>
      </c>
      <c r="C824">
        <v>15</v>
      </c>
      <c r="D824">
        <v>0.14271749755620733</v>
      </c>
      <c r="E824">
        <v>5.3763440860215006E-2</v>
      </c>
      <c r="F824">
        <v>2.9325513196480912E-2</v>
      </c>
      <c r="G824">
        <v>1.4662756598240442E-2</v>
      </c>
      <c r="H824">
        <v>7.3313782991202212E-3</v>
      </c>
      <c r="I824">
        <v>4.8875855327468144E-3</v>
      </c>
      <c r="J824">
        <v>0.20430107526881719</v>
      </c>
      <c r="K824">
        <v>0.24877810361681335</v>
      </c>
      <c r="L824">
        <v>0.26710654936461392</v>
      </c>
      <c r="M824">
        <v>0.28176930596285438</v>
      </c>
      <c r="N824">
        <v>0.29276637341153472</v>
      </c>
      <c r="O824">
        <v>0.29789833822091888</v>
      </c>
      <c r="P824">
        <v>0.76</v>
      </c>
      <c r="Q824">
        <v>0.8</v>
      </c>
      <c r="R824">
        <v>0.8</v>
      </c>
      <c r="S824">
        <v>0.8</v>
      </c>
      <c r="T824">
        <v>0.8</v>
      </c>
      <c r="U824">
        <v>0.8</v>
      </c>
    </row>
    <row r="825" spans="2:21">
      <c r="C825">
        <v>25</v>
      </c>
      <c r="D825">
        <v>0.31476050830889535</v>
      </c>
      <c r="E825">
        <v>0.1300097751710656</v>
      </c>
      <c r="F825">
        <v>7.2336265884652917E-2</v>
      </c>
      <c r="G825">
        <v>3.7634408602150581E-2</v>
      </c>
      <c r="H825">
        <v>1.914304333659169E-2</v>
      </c>
      <c r="I825">
        <v>1.2218963831866898E-2</v>
      </c>
      <c r="J825">
        <v>0.25171065493646139</v>
      </c>
      <c r="K825">
        <v>0.34408602150537626</v>
      </c>
      <c r="L825">
        <v>0.38734115347018577</v>
      </c>
      <c r="M825">
        <v>0.42204301075268813</v>
      </c>
      <c r="N825">
        <v>0.44978005865102644</v>
      </c>
      <c r="O825">
        <v>0.4643206256109485</v>
      </c>
      <c r="P825">
        <v>0.76</v>
      </c>
      <c r="Q825">
        <v>0.8</v>
      </c>
      <c r="R825">
        <v>0.8</v>
      </c>
      <c r="S825">
        <v>0.8</v>
      </c>
      <c r="T825">
        <v>0.8</v>
      </c>
      <c r="U825">
        <v>0.8</v>
      </c>
    </row>
    <row r="826" spans="2:21">
      <c r="C826">
        <v>35</v>
      </c>
      <c r="D826">
        <v>0.49071358748778149</v>
      </c>
      <c r="E826">
        <v>0.21798631476050812</v>
      </c>
      <c r="F826">
        <v>0.12316715542521983</v>
      </c>
      <c r="G826">
        <v>6.6959921798631361E-2</v>
      </c>
      <c r="H826">
        <v>3.4213098729227884E-2</v>
      </c>
      <c r="I826">
        <v>2.1383186705767037E-2</v>
      </c>
      <c r="J826">
        <v>0.26539589442815237</v>
      </c>
      <c r="K826">
        <v>0.40175953079178905</v>
      </c>
      <c r="L826">
        <v>0.47287390029325527</v>
      </c>
      <c r="M826">
        <v>0.52908113391984379</v>
      </c>
      <c r="N826">
        <v>0.57820136852394899</v>
      </c>
      <c r="O826">
        <v>0.60514418377321677</v>
      </c>
      <c r="P826">
        <v>0.76</v>
      </c>
      <c r="Q826">
        <v>0.8</v>
      </c>
      <c r="R826">
        <v>0.8</v>
      </c>
      <c r="S826">
        <v>0.8</v>
      </c>
      <c r="T826">
        <v>0.8</v>
      </c>
      <c r="U826">
        <v>0.8</v>
      </c>
    </row>
    <row r="827" spans="2:21">
      <c r="C827">
        <v>45</v>
      </c>
      <c r="D827">
        <v>0.6568914956011731</v>
      </c>
      <c r="E827">
        <v>0.31085043988269767</v>
      </c>
      <c r="F827">
        <v>0.17986314760508337</v>
      </c>
      <c r="G827">
        <v>9.9706744868035241E-2</v>
      </c>
      <c r="H827">
        <v>5.2134245682632689E-2</v>
      </c>
      <c r="I827">
        <v>3.2380254154447646E-2</v>
      </c>
      <c r="J827">
        <v>0.26368523949169109</v>
      </c>
      <c r="K827">
        <v>0.43670576735092881</v>
      </c>
      <c r="L827">
        <v>0.53494623655913953</v>
      </c>
      <c r="M827">
        <v>0.61510263929618769</v>
      </c>
      <c r="N827">
        <v>0.68646138807429147</v>
      </c>
      <c r="O827">
        <v>0.72794477028348015</v>
      </c>
      <c r="P827">
        <v>0.83</v>
      </c>
      <c r="Q827">
        <v>0.83</v>
      </c>
      <c r="R827">
        <v>0.83</v>
      </c>
      <c r="S827">
        <v>0.83</v>
      </c>
      <c r="T827">
        <v>0.83</v>
      </c>
      <c r="U827">
        <v>0.83</v>
      </c>
    </row>
    <row r="828" spans="2:21">
      <c r="C828">
        <v>55</v>
      </c>
      <c r="D828">
        <v>0.8113391984359728</v>
      </c>
      <c r="E828">
        <v>0.40664711632453576</v>
      </c>
      <c r="F828">
        <v>0.24046920821114348</v>
      </c>
      <c r="G828">
        <v>0.13685239491691081</v>
      </c>
      <c r="H828">
        <v>7.1684587813620124E-2</v>
      </c>
      <c r="I828">
        <v>4.5821114369501384E-2</v>
      </c>
      <c r="J828">
        <v>0.25366568914956011</v>
      </c>
      <c r="K828">
        <v>0.45601173020527863</v>
      </c>
      <c r="L828">
        <v>0.58064516129032284</v>
      </c>
      <c r="M828">
        <v>0.68426197458455551</v>
      </c>
      <c r="N828">
        <v>0.78201368523949155</v>
      </c>
      <c r="O828">
        <v>0.83632697947214096</v>
      </c>
      <c r="P828">
        <v>0.87</v>
      </c>
      <c r="Q828">
        <v>0.87</v>
      </c>
      <c r="R828">
        <v>0.87</v>
      </c>
      <c r="S828">
        <v>0.87</v>
      </c>
      <c r="T828">
        <v>0.87</v>
      </c>
      <c r="U828">
        <v>0.87</v>
      </c>
    </row>
    <row r="829" spans="2:21">
      <c r="C829">
        <v>65</v>
      </c>
      <c r="D829">
        <v>0.95210166177908095</v>
      </c>
      <c r="E829">
        <v>0.50048875855327513</v>
      </c>
      <c r="F829">
        <v>0.30498533724340149</v>
      </c>
      <c r="G829">
        <v>0.17546432062561085</v>
      </c>
      <c r="H829">
        <v>9.4086021505376177E-2</v>
      </c>
      <c r="I829">
        <v>5.9872922776148474E-2</v>
      </c>
      <c r="J829">
        <v>0.23973607038123168</v>
      </c>
      <c r="K829">
        <v>0.46554252199413459</v>
      </c>
      <c r="L829">
        <v>0.61217008797653982</v>
      </c>
      <c r="M829">
        <v>0.74169110459433041</v>
      </c>
      <c r="N829">
        <v>0.86375855327468254</v>
      </c>
      <c r="O829">
        <v>0.93560606060606077</v>
      </c>
      <c r="P829">
        <v>0.87</v>
      </c>
      <c r="Q829">
        <v>0.87</v>
      </c>
      <c r="R829">
        <v>0.87</v>
      </c>
      <c r="S829">
        <v>0.87</v>
      </c>
      <c r="T829">
        <v>0.87</v>
      </c>
      <c r="U829">
        <v>0.87</v>
      </c>
    </row>
    <row r="830" spans="2:21">
      <c r="C830">
        <v>75</v>
      </c>
      <c r="D830">
        <v>1.0742913000977516</v>
      </c>
      <c r="E830">
        <v>0.58944281524926678</v>
      </c>
      <c r="F830">
        <v>0.36461388074291312</v>
      </c>
      <c r="G830">
        <v>0.21407624633431047</v>
      </c>
      <c r="H830">
        <v>0.11730205278592391</v>
      </c>
      <c r="I830">
        <v>7.5999999999999998E-2</v>
      </c>
      <c r="J830">
        <v>0.2243401759530792</v>
      </c>
      <c r="K830">
        <v>0.46676441837732163</v>
      </c>
      <c r="L830">
        <v>0.63538611925708688</v>
      </c>
      <c r="M830">
        <v>0.78592375366568956</v>
      </c>
      <c r="N830">
        <v>0.93108504398826941</v>
      </c>
      <c r="O830">
        <v>1.018</v>
      </c>
      <c r="P830">
        <v>0.87</v>
      </c>
      <c r="Q830">
        <v>0.87</v>
      </c>
      <c r="R830">
        <v>0.87</v>
      </c>
      <c r="S830">
        <v>0.87</v>
      </c>
      <c r="T830">
        <v>0.87</v>
      </c>
      <c r="U830">
        <v>0.87</v>
      </c>
    </row>
    <row r="831" spans="2:21">
      <c r="C831">
        <v>85</v>
      </c>
      <c r="D831">
        <v>1.1818181818181817</v>
      </c>
      <c r="E831">
        <v>0.67350928641251206</v>
      </c>
      <c r="F831">
        <v>0.4271749755620724</v>
      </c>
      <c r="G831">
        <v>0.25415444770283435</v>
      </c>
      <c r="H831">
        <v>0.13970348647768016</v>
      </c>
      <c r="I831">
        <v>9.1031280547409416E-2</v>
      </c>
      <c r="J831">
        <v>0.20894428152492672</v>
      </c>
      <c r="K831">
        <v>0.46309872922776152</v>
      </c>
      <c r="L831">
        <v>0.64784946236559127</v>
      </c>
      <c r="M831">
        <v>0.82086999022482932</v>
      </c>
      <c r="N831">
        <v>0.99254643206256066</v>
      </c>
      <c r="O831">
        <v>1.0947580645161292</v>
      </c>
      <c r="P831">
        <v>0.87</v>
      </c>
      <c r="Q831">
        <v>0.87</v>
      </c>
      <c r="R831">
        <v>0.87</v>
      </c>
      <c r="S831">
        <v>0.87</v>
      </c>
      <c r="T831">
        <v>0.87</v>
      </c>
      <c r="U831">
        <v>0.87</v>
      </c>
    </row>
    <row r="832" spans="2:21">
      <c r="C832">
        <v>95</v>
      </c>
      <c r="D832">
        <v>1.2766373411534708</v>
      </c>
      <c r="E832">
        <v>0.75268817204301008</v>
      </c>
      <c r="F832">
        <v>0.48582600195503467</v>
      </c>
      <c r="G832">
        <v>0.29374389051808397</v>
      </c>
      <c r="H832">
        <v>0.16373411534701829</v>
      </c>
      <c r="I832">
        <v>0.10691593352883712</v>
      </c>
      <c r="J832">
        <v>0.1940371456500487</v>
      </c>
      <c r="K832">
        <v>0.45601173020527908</v>
      </c>
      <c r="L832">
        <v>0.65615835777126064</v>
      </c>
      <c r="M832">
        <v>0.84824046920821128</v>
      </c>
      <c r="N832">
        <v>1.04325513196481</v>
      </c>
      <c r="O832">
        <v>1.1625733137829903</v>
      </c>
      <c r="P832">
        <v>0.87</v>
      </c>
      <c r="Q832">
        <v>0.87</v>
      </c>
      <c r="R832">
        <v>0.87</v>
      </c>
      <c r="S832">
        <v>0.87</v>
      </c>
      <c r="T832">
        <v>0.87</v>
      </c>
      <c r="U832">
        <v>0.87</v>
      </c>
    </row>
    <row r="833" spans="3:21">
      <c r="C833">
        <v>105</v>
      </c>
      <c r="D833">
        <v>1.3577712609970676</v>
      </c>
      <c r="E833">
        <v>0.8260019550342137</v>
      </c>
      <c r="F833">
        <v>0.54154447702834752</v>
      </c>
      <c r="G833">
        <v>0.33186705767350916</v>
      </c>
      <c r="H833">
        <v>0.18695014662756565</v>
      </c>
      <c r="I833">
        <v>0.12341153470185762</v>
      </c>
      <c r="J833">
        <v>0.18059628543499506</v>
      </c>
      <c r="K833">
        <v>0.446480938416422</v>
      </c>
      <c r="L833">
        <v>0.65982404692082164</v>
      </c>
      <c r="M833">
        <v>0.86950146627565994</v>
      </c>
      <c r="N833">
        <v>1.0868768328445753</v>
      </c>
      <c r="O833">
        <v>1.2203079178885623</v>
      </c>
      <c r="P833">
        <v>0.87</v>
      </c>
      <c r="Q833">
        <v>0.87</v>
      </c>
      <c r="R833">
        <v>0.87</v>
      </c>
      <c r="S833">
        <v>0.87</v>
      </c>
      <c r="T833">
        <v>0.87</v>
      </c>
      <c r="U833">
        <v>0.87</v>
      </c>
    </row>
    <row r="834" spans="3:21">
      <c r="C834">
        <v>115</v>
      </c>
      <c r="D834">
        <v>1.4320625610948197</v>
      </c>
      <c r="E834">
        <v>0.89540566959921719</v>
      </c>
      <c r="F834">
        <v>0.5982404692082115</v>
      </c>
      <c r="G834">
        <v>0.36950146627565916</v>
      </c>
      <c r="H834">
        <v>0.2113880742913001</v>
      </c>
      <c r="I834">
        <v>0.13990713587487813</v>
      </c>
      <c r="J834">
        <v>0.16739980449657854</v>
      </c>
      <c r="K834">
        <v>0.43572825024437978</v>
      </c>
      <c r="L834">
        <v>0.65860215053763405</v>
      </c>
      <c r="M834">
        <v>0.88734115347018638</v>
      </c>
      <c r="N834">
        <v>1.1245112414467251</v>
      </c>
      <c r="O834">
        <v>1.2746212121212113</v>
      </c>
      <c r="P834">
        <v>0.87</v>
      </c>
      <c r="Q834">
        <v>0.87</v>
      </c>
      <c r="R834">
        <v>0.87</v>
      </c>
      <c r="S834">
        <v>0.87</v>
      </c>
      <c r="T834">
        <v>0.87</v>
      </c>
      <c r="U834">
        <v>0.87</v>
      </c>
    </row>
    <row r="835" spans="3:21">
      <c r="C835">
        <v>125</v>
      </c>
      <c r="D835">
        <v>1.4975562072336266</v>
      </c>
      <c r="E835">
        <v>0.95992179863147564</v>
      </c>
      <c r="F835">
        <v>0.65102639296187714</v>
      </c>
      <c r="G835">
        <v>0.40762463343108429</v>
      </c>
      <c r="H835">
        <v>0.2350114043662434</v>
      </c>
      <c r="I835">
        <v>0.15640273704789751</v>
      </c>
      <c r="J835">
        <v>0.15542521994134895</v>
      </c>
      <c r="K835">
        <v>0.42424242424242442</v>
      </c>
      <c r="L835">
        <v>0.6559139784946233</v>
      </c>
      <c r="M835">
        <v>0.8993157380254162</v>
      </c>
      <c r="N835">
        <v>1.1582355816226775</v>
      </c>
      <c r="O835">
        <v>1.3233137829912041</v>
      </c>
      <c r="P835">
        <v>0.87</v>
      </c>
      <c r="Q835">
        <v>0.87</v>
      </c>
      <c r="R835">
        <v>0.87</v>
      </c>
      <c r="S835">
        <v>0.87</v>
      </c>
      <c r="T835">
        <v>0.87</v>
      </c>
      <c r="U835">
        <v>0.87</v>
      </c>
    </row>
    <row r="836" spans="3:21">
      <c r="C836">
        <v>135</v>
      </c>
      <c r="D836">
        <v>1.5542521994134897</v>
      </c>
      <c r="E836">
        <v>1.0215053763440856</v>
      </c>
      <c r="F836">
        <v>0.70087976539589469</v>
      </c>
      <c r="G836">
        <v>0.44477028347996056</v>
      </c>
      <c r="H836">
        <v>0.25904203323558156</v>
      </c>
      <c r="I836">
        <v>0.1680107526881712</v>
      </c>
      <c r="J836">
        <v>0.14491691104594329</v>
      </c>
      <c r="K836">
        <v>0.41129032258064535</v>
      </c>
      <c r="L836">
        <v>0.6517595307917885</v>
      </c>
      <c r="M836">
        <v>0.90786901270772258</v>
      </c>
      <c r="N836">
        <v>1.1864613880742914</v>
      </c>
      <c r="O836">
        <v>1.377627077223853</v>
      </c>
      <c r="P836">
        <v>0.87</v>
      </c>
      <c r="Q836">
        <v>0.87</v>
      </c>
      <c r="R836">
        <v>0.87</v>
      </c>
      <c r="S836">
        <v>0.87</v>
      </c>
      <c r="T836">
        <v>0.87</v>
      </c>
      <c r="U836">
        <v>0.87</v>
      </c>
    </row>
    <row r="837" spans="3:21">
      <c r="C837">
        <v>145</v>
      </c>
      <c r="D837">
        <v>1.6060606060606064</v>
      </c>
      <c r="E837">
        <v>1.0782013685239491</v>
      </c>
      <c r="F837">
        <v>0.74975562072336288</v>
      </c>
      <c r="G837">
        <v>0.48044965786901273</v>
      </c>
      <c r="H837">
        <v>0.28266536331052411</v>
      </c>
      <c r="I837">
        <v>0.19000488758553241</v>
      </c>
      <c r="J837">
        <v>0.1348973607038122</v>
      </c>
      <c r="K837">
        <v>0.39882697947214085</v>
      </c>
      <c r="L837">
        <v>0.64516129032258052</v>
      </c>
      <c r="M837">
        <v>0.91446725317693067</v>
      </c>
      <c r="N837">
        <v>1.2111436950146637</v>
      </c>
      <c r="O837">
        <v>1.4057306940371463</v>
      </c>
      <c r="P837">
        <v>0.87</v>
      </c>
      <c r="Q837">
        <v>0.87</v>
      </c>
      <c r="R837">
        <v>0.87</v>
      </c>
      <c r="S837">
        <v>0.87</v>
      </c>
      <c r="T837">
        <v>0.87</v>
      </c>
      <c r="U837">
        <v>0.87</v>
      </c>
    </row>
    <row r="838" spans="3:21">
      <c r="C838">
        <v>155</v>
      </c>
      <c r="D838">
        <v>1.6520039100684265</v>
      </c>
      <c r="E838">
        <v>1.1309872922776147</v>
      </c>
      <c r="F838">
        <v>0.79569892473118298</v>
      </c>
      <c r="G838">
        <v>0.51564027370478982</v>
      </c>
      <c r="H838">
        <v>0.30628869338546705</v>
      </c>
      <c r="I838">
        <v>0.20711143695014625</v>
      </c>
      <c r="J838">
        <v>0.12585532746823058</v>
      </c>
      <c r="K838">
        <v>0.38636363636363646</v>
      </c>
      <c r="L838">
        <v>0.63782991202346029</v>
      </c>
      <c r="M838">
        <v>0.91788856304985345</v>
      </c>
      <c r="N838">
        <v>1.2319159335288377</v>
      </c>
      <c r="O838">
        <v>1.4401881720430114</v>
      </c>
      <c r="P838">
        <v>0.87</v>
      </c>
      <c r="Q838">
        <v>0.87</v>
      </c>
      <c r="R838">
        <v>0.87</v>
      </c>
      <c r="S838">
        <v>0.87</v>
      </c>
      <c r="T838">
        <v>0.87</v>
      </c>
      <c r="U838">
        <v>0.87</v>
      </c>
    </row>
  </sheetData>
  <sortState xmlns:xlrd2="http://schemas.microsoft.com/office/spreadsheetml/2017/richdata2" ref="P3:R16">
    <sortCondition ref="P3:P16"/>
  </sortState>
  <pageMargins left="0.7" right="0.7" top="0.75" bottom="0.75" header="0.3" footer="0.3"/>
  <pageSetup scale="7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B4:E4"/>
  <sheetViews>
    <sheetView workbookViewId="0">
      <selection activeCell="B4" sqref="B4"/>
    </sheetView>
  </sheetViews>
  <sheetFormatPr defaultRowHeight="14.4"/>
  <cols>
    <col min="2" max="2" width="19.33203125" customWidth="1"/>
    <col min="3" max="3" width="8.5546875" customWidth="1"/>
    <col min="4" max="4" width="10.6640625" customWidth="1"/>
    <col min="5" max="5" width="20.6640625" customWidth="1"/>
    <col min="258" max="258" width="19.33203125" customWidth="1"/>
    <col min="259" max="259" width="8.5546875" customWidth="1"/>
    <col min="260" max="260" width="10.6640625" customWidth="1"/>
    <col min="261" max="261" width="20.6640625" customWidth="1"/>
    <col min="514" max="514" width="19.33203125" customWidth="1"/>
    <col min="515" max="515" width="8.5546875" customWidth="1"/>
    <col min="516" max="516" width="10.6640625" customWidth="1"/>
    <col min="517" max="517" width="20.6640625" customWidth="1"/>
    <col min="770" max="770" width="19.33203125" customWidth="1"/>
    <col min="771" max="771" width="8.5546875" customWidth="1"/>
    <col min="772" max="772" width="10.6640625" customWidth="1"/>
    <col min="773" max="773" width="20.6640625" customWidth="1"/>
    <col min="1026" max="1026" width="19.33203125" customWidth="1"/>
    <col min="1027" max="1027" width="8.5546875" customWidth="1"/>
    <col min="1028" max="1028" width="10.6640625" customWidth="1"/>
    <col min="1029" max="1029" width="20.6640625" customWidth="1"/>
    <col min="1282" max="1282" width="19.33203125" customWidth="1"/>
    <col min="1283" max="1283" width="8.5546875" customWidth="1"/>
    <col min="1284" max="1284" width="10.6640625" customWidth="1"/>
    <col min="1285" max="1285" width="20.6640625" customWidth="1"/>
    <col min="1538" max="1538" width="19.33203125" customWidth="1"/>
    <col min="1539" max="1539" width="8.5546875" customWidth="1"/>
    <col min="1540" max="1540" width="10.6640625" customWidth="1"/>
    <col min="1541" max="1541" width="20.6640625" customWidth="1"/>
    <col min="1794" max="1794" width="19.33203125" customWidth="1"/>
    <col min="1795" max="1795" width="8.5546875" customWidth="1"/>
    <col min="1796" max="1796" width="10.6640625" customWidth="1"/>
    <col min="1797" max="1797" width="20.6640625" customWidth="1"/>
    <col min="2050" max="2050" width="19.33203125" customWidth="1"/>
    <col min="2051" max="2051" width="8.5546875" customWidth="1"/>
    <col min="2052" max="2052" width="10.6640625" customWidth="1"/>
    <col min="2053" max="2053" width="20.6640625" customWidth="1"/>
    <col min="2306" max="2306" width="19.33203125" customWidth="1"/>
    <col min="2307" max="2307" width="8.5546875" customWidth="1"/>
    <col min="2308" max="2308" width="10.6640625" customWidth="1"/>
    <col min="2309" max="2309" width="20.6640625" customWidth="1"/>
    <col min="2562" max="2562" width="19.33203125" customWidth="1"/>
    <col min="2563" max="2563" width="8.5546875" customWidth="1"/>
    <col min="2564" max="2564" width="10.6640625" customWidth="1"/>
    <col min="2565" max="2565" width="20.6640625" customWidth="1"/>
    <col min="2818" max="2818" width="19.33203125" customWidth="1"/>
    <col min="2819" max="2819" width="8.5546875" customWidth="1"/>
    <col min="2820" max="2820" width="10.6640625" customWidth="1"/>
    <col min="2821" max="2821" width="20.6640625" customWidth="1"/>
    <col min="3074" max="3074" width="19.33203125" customWidth="1"/>
    <col min="3075" max="3075" width="8.5546875" customWidth="1"/>
    <col min="3076" max="3076" width="10.6640625" customWidth="1"/>
    <col min="3077" max="3077" width="20.6640625" customWidth="1"/>
    <col min="3330" max="3330" width="19.33203125" customWidth="1"/>
    <col min="3331" max="3331" width="8.5546875" customWidth="1"/>
    <col min="3332" max="3332" width="10.6640625" customWidth="1"/>
    <col min="3333" max="3333" width="20.6640625" customWidth="1"/>
    <col min="3586" max="3586" width="19.33203125" customWidth="1"/>
    <col min="3587" max="3587" width="8.5546875" customWidth="1"/>
    <col min="3588" max="3588" width="10.6640625" customWidth="1"/>
    <col min="3589" max="3589" width="20.6640625" customWidth="1"/>
    <col min="3842" max="3842" width="19.33203125" customWidth="1"/>
    <col min="3843" max="3843" width="8.5546875" customWidth="1"/>
    <col min="3844" max="3844" width="10.6640625" customWidth="1"/>
    <col min="3845" max="3845" width="20.6640625" customWidth="1"/>
    <col min="4098" max="4098" width="19.33203125" customWidth="1"/>
    <col min="4099" max="4099" width="8.5546875" customWidth="1"/>
    <col min="4100" max="4100" width="10.6640625" customWidth="1"/>
    <col min="4101" max="4101" width="20.6640625" customWidth="1"/>
    <col min="4354" max="4354" width="19.33203125" customWidth="1"/>
    <col min="4355" max="4355" width="8.5546875" customWidth="1"/>
    <col min="4356" max="4356" width="10.6640625" customWidth="1"/>
    <col min="4357" max="4357" width="20.6640625" customWidth="1"/>
    <col min="4610" max="4610" width="19.33203125" customWidth="1"/>
    <col min="4611" max="4611" width="8.5546875" customWidth="1"/>
    <col min="4612" max="4612" width="10.6640625" customWidth="1"/>
    <col min="4613" max="4613" width="20.6640625" customWidth="1"/>
    <col min="4866" max="4866" width="19.33203125" customWidth="1"/>
    <col min="4867" max="4867" width="8.5546875" customWidth="1"/>
    <col min="4868" max="4868" width="10.6640625" customWidth="1"/>
    <col min="4869" max="4869" width="20.6640625" customWidth="1"/>
    <col min="5122" max="5122" width="19.33203125" customWidth="1"/>
    <col min="5123" max="5123" width="8.5546875" customWidth="1"/>
    <col min="5124" max="5124" width="10.6640625" customWidth="1"/>
    <col min="5125" max="5125" width="20.6640625" customWidth="1"/>
    <col min="5378" max="5378" width="19.33203125" customWidth="1"/>
    <col min="5379" max="5379" width="8.5546875" customWidth="1"/>
    <col min="5380" max="5380" width="10.6640625" customWidth="1"/>
    <col min="5381" max="5381" width="20.6640625" customWidth="1"/>
    <col min="5634" max="5634" width="19.33203125" customWidth="1"/>
    <col min="5635" max="5635" width="8.5546875" customWidth="1"/>
    <col min="5636" max="5636" width="10.6640625" customWidth="1"/>
    <col min="5637" max="5637" width="20.6640625" customWidth="1"/>
    <col min="5890" max="5890" width="19.33203125" customWidth="1"/>
    <col min="5891" max="5891" width="8.5546875" customWidth="1"/>
    <col min="5892" max="5892" width="10.6640625" customWidth="1"/>
    <col min="5893" max="5893" width="20.6640625" customWidth="1"/>
    <col min="6146" max="6146" width="19.33203125" customWidth="1"/>
    <col min="6147" max="6147" width="8.5546875" customWidth="1"/>
    <col min="6148" max="6148" width="10.6640625" customWidth="1"/>
    <col min="6149" max="6149" width="20.6640625" customWidth="1"/>
    <col min="6402" max="6402" width="19.33203125" customWidth="1"/>
    <col min="6403" max="6403" width="8.5546875" customWidth="1"/>
    <col min="6404" max="6404" width="10.6640625" customWidth="1"/>
    <col min="6405" max="6405" width="20.6640625" customWidth="1"/>
    <col min="6658" max="6658" width="19.33203125" customWidth="1"/>
    <col min="6659" max="6659" width="8.5546875" customWidth="1"/>
    <col min="6660" max="6660" width="10.6640625" customWidth="1"/>
    <col min="6661" max="6661" width="20.6640625" customWidth="1"/>
    <col min="6914" max="6914" width="19.33203125" customWidth="1"/>
    <col min="6915" max="6915" width="8.5546875" customWidth="1"/>
    <col min="6916" max="6916" width="10.6640625" customWidth="1"/>
    <col min="6917" max="6917" width="20.6640625" customWidth="1"/>
    <col min="7170" max="7170" width="19.33203125" customWidth="1"/>
    <col min="7171" max="7171" width="8.5546875" customWidth="1"/>
    <col min="7172" max="7172" width="10.6640625" customWidth="1"/>
    <col min="7173" max="7173" width="20.6640625" customWidth="1"/>
    <col min="7426" max="7426" width="19.33203125" customWidth="1"/>
    <col min="7427" max="7427" width="8.5546875" customWidth="1"/>
    <col min="7428" max="7428" width="10.6640625" customWidth="1"/>
    <col min="7429" max="7429" width="20.6640625" customWidth="1"/>
    <col min="7682" max="7682" width="19.33203125" customWidth="1"/>
    <col min="7683" max="7683" width="8.5546875" customWidth="1"/>
    <col min="7684" max="7684" width="10.6640625" customWidth="1"/>
    <col min="7685" max="7685" width="20.6640625" customWidth="1"/>
    <col min="7938" max="7938" width="19.33203125" customWidth="1"/>
    <col min="7939" max="7939" width="8.5546875" customWidth="1"/>
    <col min="7940" max="7940" width="10.6640625" customWidth="1"/>
    <col min="7941" max="7941" width="20.6640625" customWidth="1"/>
    <col min="8194" max="8194" width="19.33203125" customWidth="1"/>
    <col min="8195" max="8195" width="8.5546875" customWidth="1"/>
    <col min="8196" max="8196" width="10.6640625" customWidth="1"/>
    <col min="8197" max="8197" width="20.6640625" customWidth="1"/>
    <col min="8450" max="8450" width="19.33203125" customWidth="1"/>
    <col min="8451" max="8451" width="8.5546875" customWidth="1"/>
    <col min="8452" max="8452" width="10.6640625" customWidth="1"/>
    <col min="8453" max="8453" width="20.6640625" customWidth="1"/>
    <col min="8706" max="8706" width="19.33203125" customWidth="1"/>
    <col min="8707" max="8707" width="8.5546875" customWidth="1"/>
    <col min="8708" max="8708" width="10.6640625" customWidth="1"/>
    <col min="8709" max="8709" width="20.6640625" customWidth="1"/>
    <col min="8962" max="8962" width="19.33203125" customWidth="1"/>
    <col min="8963" max="8963" width="8.5546875" customWidth="1"/>
    <col min="8964" max="8964" width="10.6640625" customWidth="1"/>
    <col min="8965" max="8965" width="20.6640625" customWidth="1"/>
    <col min="9218" max="9218" width="19.33203125" customWidth="1"/>
    <col min="9219" max="9219" width="8.5546875" customWidth="1"/>
    <col min="9220" max="9220" width="10.6640625" customWidth="1"/>
    <col min="9221" max="9221" width="20.6640625" customWidth="1"/>
    <col min="9474" max="9474" width="19.33203125" customWidth="1"/>
    <col min="9475" max="9475" width="8.5546875" customWidth="1"/>
    <col min="9476" max="9476" width="10.6640625" customWidth="1"/>
    <col min="9477" max="9477" width="20.6640625" customWidth="1"/>
    <col min="9730" max="9730" width="19.33203125" customWidth="1"/>
    <col min="9731" max="9731" width="8.5546875" customWidth="1"/>
    <col min="9732" max="9732" width="10.6640625" customWidth="1"/>
    <col min="9733" max="9733" width="20.6640625" customWidth="1"/>
    <col min="9986" max="9986" width="19.33203125" customWidth="1"/>
    <col min="9987" max="9987" width="8.5546875" customWidth="1"/>
    <col min="9988" max="9988" width="10.6640625" customWidth="1"/>
    <col min="9989" max="9989" width="20.6640625" customWidth="1"/>
    <col min="10242" max="10242" width="19.33203125" customWidth="1"/>
    <col min="10243" max="10243" width="8.5546875" customWidth="1"/>
    <col min="10244" max="10244" width="10.6640625" customWidth="1"/>
    <col min="10245" max="10245" width="20.6640625" customWidth="1"/>
    <col min="10498" max="10498" width="19.33203125" customWidth="1"/>
    <col min="10499" max="10499" width="8.5546875" customWidth="1"/>
    <col min="10500" max="10500" width="10.6640625" customWidth="1"/>
    <col min="10501" max="10501" width="20.6640625" customWidth="1"/>
    <col min="10754" max="10754" width="19.33203125" customWidth="1"/>
    <col min="10755" max="10755" width="8.5546875" customWidth="1"/>
    <col min="10756" max="10756" width="10.6640625" customWidth="1"/>
    <col min="10757" max="10757" width="20.6640625" customWidth="1"/>
    <col min="11010" max="11010" width="19.33203125" customWidth="1"/>
    <col min="11011" max="11011" width="8.5546875" customWidth="1"/>
    <col min="11012" max="11012" width="10.6640625" customWidth="1"/>
    <col min="11013" max="11013" width="20.6640625" customWidth="1"/>
    <col min="11266" max="11266" width="19.33203125" customWidth="1"/>
    <col min="11267" max="11267" width="8.5546875" customWidth="1"/>
    <col min="11268" max="11268" width="10.6640625" customWidth="1"/>
    <col min="11269" max="11269" width="20.6640625" customWidth="1"/>
    <col min="11522" max="11522" width="19.33203125" customWidth="1"/>
    <col min="11523" max="11523" width="8.5546875" customWidth="1"/>
    <col min="11524" max="11524" width="10.6640625" customWidth="1"/>
    <col min="11525" max="11525" width="20.6640625" customWidth="1"/>
    <col min="11778" max="11778" width="19.33203125" customWidth="1"/>
    <col min="11779" max="11779" width="8.5546875" customWidth="1"/>
    <col min="11780" max="11780" width="10.6640625" customWidth="1"/>
    <col min="11781" max="11781" width="20.6640625" customWidth="1"/>
    <col min="12034" max="12034" width="19.33203125" customWidth="1"/>
    <col min="12035" max="12035" width="8.5546875" customWidth="1"/>
    <col min="12036" max="12036" width="10.6640625" customWidth="1"/>
    <col min="12037" max="12037" width="20.6640625" customWidth="1"/>
    <col min="12290" max="12290" width="19.33203125" customWidth="1"/>
    <col min="12291" max="12291" width="8.5546875" customWidth="1"/>
    <col min="12292" max="12292" width="10.6640625" customWidth="1"/>
    <col min="12293" max="12293" width="20.6640625" customWidth="1"/>
    <col min="12546" max="12546" width="19.33203125" customWidth="1"/>
    <col min="12547" max="12547" width="8.5546875" customWidth="1"/>
    <col min="12548" max="12548" width="10.6640625" customWidth="1"/>
    <col min="12549" max="12549" width="20.6640625" customWidth="1"/>
    <col min="12802" max="12802" width="19.33203125" customWidth="1"/>
    <col min="12803" max="12803" width="8.5546875" customWidth="1"/>
    <col min="12804" max="12804" width="10.6640625" customWidth="1"/>
    <col min="12805" max="12805" width="20.6640625" customWidth="1"/>
    <col min="13058" max="13058" width="19.33203125" customWidth="1"/>
    <col min="13059" max="13059" width="8.5546875" customWidth="1"/>
    <col min="13060" max="13060" width="10.6640625" customWidth="1"/>
    <col min="13061" max="13061" width="20.6640625" customWidth="1"/>
    <col min="13314" max="13314" width="19.33203125" customWidth="1"/>
    <col min="13315" max="13315" width="8.5546875" customWidth="1"/>
    <col min="13316" max="13316" width="10.6640625" customWidth="1"/>
    <col min="13317" max="13317" width="20.6640625" customWidth="1"/>
    <col min="13570" max="13570" width="19.33203125" customWidth="1"/>
    <col min="13571" max="13571" width="8.5546875" customWidth="1"/>
    <col min="13572" max="13572" width="10.6640625" customWidth="1"/>
    <col min="13573" max="13573" width="20.6640625" customWidth="1"/>
    <col min="13826" max="13826" width="19.33203125" customWidth="1"/>
    <col min="13827" max="13827" width="8.5546875" customWidth="1"/>
    <col min="13828" max="13828" width="10.6640625" customWidth="1"/>
    <col min="13829" max="13829" width="20.6640625" customWidth="1"/>
    <col min="14082" max="14082" width="19.33203125" customWidth="1"/>
    <col min="14083" max="14083" width="8.5546875" customWidth="1"/>
    <col min="14084" max="14084" width="10.6640625" customWidth="1"/>
    <col min="14085" max="14085" width="20.6640625" customWidth="1"/>
    <col min="14338" max="14338" width="19.33203125" customWidth="1"/>
    <col min="14339" max="14339" width="8.5546875" customWidth="1"/>
    <col min="14340" max="14340" width="10.6640625" customWidth="1"/>
    <col min="14341" max="14341" width="20.6640625" customWidth="1"/>
    <col min="14594" max="14594" width="19.33203125" customWidth="1"/>
    <col min="14595" max="14595" width="8.5546875" customWidth="1"/>
    <col min="14596" max="14596" width="10.6640625" customWidth="1"/>
    <col min="14597" max="14597" width="20.6640625" customWidth="1"/>
    <col min="14850" max="14850" width="19.33203125" customWidth="1"/>
    <col min="14851" max="14851" width="8.5546875" customWidth="1"/>
    <col min="14852" max="14852" width="10.6640625" customWidth="1"/>
    <col min="14853" max="14853" width="20.6640625" customWidth="1"/>
    <col min="15106" max="15106" width="19.33203125" customWidth="1"/>
    <col min="15107" max="15107" width="8.5546875" customWidth="1"/>
    <col min="15108" max="15108" width="10.6640625" customWidth="1"/>
    <col min="15109" max="15109" width="20.6640625" customWidth="1"/>
    <col min="15362" max="15362" width="19.33203125" customWidth="1"/>
    <col min="15363" max="15363" width="8.5546875" customWidth="1"/>
    <col min="15364" max="15364" width="10.6640625" customWidth="1"/>
    <col min="15365" max="15365" width="20.6640625" customWidth="1"/>
    <col min="15618" max="15618" width="19.33203125" customWidth="1"/>
    <col min="15619" max="15619" width="8.5546875" customWidth="1"/>
    <col min="15620" max="15620" width="10.6640625" customWidth="1"/>
    <col min="15621" max="15621" width="20.6640625" customWidth="1"/>
    <col min="15874" max="15874" width="19.33203125" customWidth="1"/>
    <col min="15875" max="15875" width="8.5546875" customWidth="1"/>
    <col min="15876" max="15876" width="10.6640625" customWidth="1"/>
    <col min="15877" max="15877" width="20.6640625" customWidth="1"/>
    <col min="16130" max="16130" width="19.33203125" customWidth="1"/>
    <col min="16131" max="16131" width="8.5546875" customWidth="1"/>
    <col min="16132" max="16132" width="10.6640625" customWidth="1"/>
    <col min="16133" max="16133" width="20.6640625" customWidth="1"/>
  </cols>
  <sheetData>
    <row r="4" spans="2:5">
      <c r="B4" s="380" t="s">
        <v>87</v>
      </c>
      <c r="C4" s="380" t="s">
        <v>11</v>
      </c>
      <c r="D4" s="380" t="s">
        <v>341</v>
      </c>
      <c r="E4" s="380" t="s">
        <v>342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2:H373"/>
  <sheetViews>
    <sheetView workbookViewId="0"/>
  </sheetViews>
  <sheetFormatPr defaultRowHeight="14.4"/>
  <cols>
    <col min="2" max="2" width="10.109375" customWidth="1"/>
    <col min="3" max="3" width="32.6640625" customWidth="1"/>
    <col min="4" max="4" width="8.33203125" customWidth="1"/>
    <col min="5" max="8" width="8.6640625" customWidth="1"/>
  </cols>
  <sheetData>
    <row r="2" spans="2:8">
      <c r="B2" s="311"/>
      <c r="C2" s="311"/>
      <c r="D2" s="312"/>
      <c r="E2" s="311"/>
      <c r="F2" s="312"/>
      <c r="G2" s="311"/>
      <c r="H2" s="311"/>
    </row>
    <row r="3" spans="2:8">
      <c r="B3" s="311"/>
      <c r="C3" s="311"/>
      <c r="D3" s="312"/>
      <c r="E3" s="311"/>
      <c r="F3" s="312"/>
      <c r="G3" s="311"/>
      <c r="H3" s="311"/>
    </row>
    <row r="4" spans="2:8">
      <c r="B4" s="311"/>
      <c r="C4" s="311"/>
      <c r="D4" s="312"/>
      <c r="E4" s="311"/>
      <c r="F4" s="312"/>
      <c r="G4" s="311"/>
      <c r="H4" s="311"/>
    </row>
    <row r="5" spans="2:8">
      <c r="B5" s="311"/>
      <c r="C5" s="311"/>
      <c r="D5" s="312"/>
      <c r="E5" s="311"/>
      <c r="F5" s="312"/>
      <c r="G5" s="311"/>
      <c r="H5" s="311"/>
    </row>
    <row r="6" spans="2:8">
      <c r="B6" s="311"/>
      <c r="C6" s="311"/>
      <c r="D6" s="312"/>
      <c r="E6" s="311"/>
      <c r="F6" s="312"/>
      <c r="G6" s="311"/>
      <c r="H6" s="311"/>
    </row>
    <row r="7" spans="2:8">
      <c r="B7" s="311"/>
      <c r="C7" s="311"/>
      <c r="D7" s="312"/>
      <c r="E7" s="311"/>
      <c r="F7" s="312"/>
      <c r="G7" s="311"/>
      <c r="H7" s="311"/>
    </row>
    <row r="8" spans="2:8">
      <c r="B8" s="311"/>
      <c r="C8" s="311"/>
      <c r="D8" s="312"/>
      <c r="E8" s="311"/>
      <c r="F8" s="312"/>
      <c r="G8" s="311"/>
      <c r="H8" s="311"/>
    </row>
    <row r="9" spans="2:8">
      <c r="B9" s="311"/>
      <c r="C9" s="311"/>
      <c r="D9" s="312"/>
      <c r="E9" s="311"/>
      <c r="F9" s="312"/>
      <c r="G9" s="311"/>
      <c r="H9" s="311"/>
    </row>
    <row r="10" spans="2:8">
      <c r="B10" s="311"/>
      <c r="C10" s="311"/>
      <c r="D10" s="312"/>
      <c r="E10" s="311"/>
      <c r="F10" s="312"/>
      <c r="G10" s="311"/>
      <c r="H10" s="311"/>
    </row>
    <row r="11" spans="2:8">
      <c r="B11" s="311"/>
      <c r="C11" s="311"/>
      <c r="D11" s="312"/>
      <c r="E11" s="311"/>
      <c r="F11" s="312"/>
      <c r="G11" s="311"/>
      <c r="H11" s="311"/>
    </row>
    <row r="12" spans="2:8">
      <c r="B12" s="311"/>
      <c r="C12" s="311"/>
      <c r="D12" s="312"/>
      <c r="E12" s="311"/>
      <c r="F12" s="312"/>
      <c r="G12" s="311"/>
      <c r="H12" s="311"/>
    </row>
    <row r="13" spans="2:8">
      <c r="B13" s="311"/>
      <c r="C13" s="311"/>
      <c r="D13" s="312"/>
      <c r="E13" s="311"/>
      <c r="F13" s="312"/>
      <c r="G13" s="311"/>
      <c r="H13" s="311"/>
    </row>
    <row r="14" spans="2:8">
      <c r="B14" s="311"/>
      <c r="C14" s="311"/>
      <c r="D14" s="312"/>
      <c r="E14" s="311"/>
      <c r="F14" s="312"/>
      <c r="G14" s="311"/>
      <c r="H14" s="311"/>
    </row>
    <row r="15" spans="2:8">
      <c r="B15" s="311"/>
      <c r="C15" s="311"/>
      <c r="D15" s="312"/>
      <c r="E15" s="311"/>
      <c r="F15" s="312"/>
      <c r="G15" s="311"/>
      <c r="H15" s="311"/>
    </row>
    <row r="16" spans="2:8">
      <c r="B16" s="311"/>
      <c r="C16" s="311"/>
      <c r="D16" s="312"/>
      <c r="E16" s="311"/>
      <c r="F16" s="312"/>
      <c r="G16" s="311"/>
      <c r="H16" s="311"/>
    </row>
    <row r="17" spans="2:8">
      <c r="B17" s="311"/>
      <c r="C17" s="311"/>
      <c r="D17" s="312"/>
      <c r="E17" s="311"/>
      <c r="F17" s="312"/>
      <c r="G17" s="311"/>
      <c r="H17" s="311"/>
    </row>
    <row r="18" spans="2:8">
      <c r="B18" s="311"/>
      <c r="C18" s="311"/>
      <c r="D18" s="312"/>
      <c r="E18" s="311"/>
      <c r="F18" s="312"/>
      <c r="G18" s="311"/>
      <c r="H18" s="311"/>
    </row>
    <row r="19" spans="2:8">
      <c r="B19" s="311"/>
      <c r="C19" s="311"/>
      <c r="D19" s="312"/>
      <c r="E19" s="311"/>
      <c r="F19" s="312"/>
      <c r="G19" s="311"/>
      <c r="H19" s="311"/>
    </row>
    <row r="20" spans="2:8">
      <c r="B20" s="311"/>
      <c r="C20" s="311"/>
      <c r="D20" s="312"/>
      <c r="E20" s="311"/>
      <c r="F20" s="312"/>
      <c r="G20" s="311"/>
      <c r="H20" s="311"/>
    </row>
    <row r="21" spans="2:8">
      <c r="B21" s="311"/>
      <c r="C21" s="311"/>
      <c r="D21" s="312"/>
      <c r="E21" s="311"/>
      <c r="F21" s="312"/>
      <c r="G21" s="311"/>
      <c r="H21" s="311"/>
    </row>
    <row r="22" spans="2:8">
      <c r="B22" s="311"/>
      <c r="C22" s="311"/>
      <c r="D22" s="312"/>
      <c r="E22" s="311"/>
      <c r="F22" s="312"/>
      <c r="G22" s="311"/>
      <c r="H22" s="311"/>
    </row>
    <row r="23" spans="2:8">
      <c r="B23" s="311"/>
      <c r="C23" s="311"/>
      <c r="D23" s="312"/>
      <c r="E23" s="311"/>
      <c r="F23" s="312"/>
      <c r="G23" s="311"/>
      <c r="H23" s="311"/>
    </row>
    <row r="24" spans="2:8">
      <c r="B24" s="311"/>
      <c r="C24" s="311"/>
      <c r="D24" s="312"/>
      <c r="E24" s="311"/>
      <c r="F24" s="312"/>
      <c r="G24" s="311"/>
      <c r="H24" s="311"/>
    </row>
    <row r="25" spans="2:8">
      <c r="B25" s="311"/>
      <c r="C25" s="311"/>
      <c r="D25" s="312"/>
      <c r="E25" s="311"/>
      <c r="F25" s="312"/>
      <c r="G25" s="311"/>
      <c r="H25" s="311"/>
    </row>
    <row r="26" spans="2:8">
      <c r="B26" s="311"/>
      <c r="C26" s="311"/>
      <c r="D26" s="312"/>
      <c r="E26" s="311"/>
      <c r="F26" s="312"/>
      <c r="G26" s="311"/>
      <c r="H26" s="311"/>
    </row>
    <row r="27" spans="2:8">
      <c r="B27" s="311"/>
      <c r="C27" s="311"/>
      <c r="D27" s="312"/>
      <c r="E27" s="311"/>
      <c r="F27" s="312"/>
      <c r="G27" s="311"/>
      <c r="H27" s="311"/>
    </row>
    <row r="28" spans="2:8">
      <c r="B28" s="311"/>
      <c r="C28" s="311"/>
      <c r="D28" s="312"/>
      <c r="E28" s="311"/>
      <c r="F28" s="312"/>
      <c r="G28" s="311"/>
      <c r="H28" s="311"/>
    </row>
    <row r="29" spans="2:8">
      <c r="B29" s="311"/>
      <c r="C29" s="311"/>
      <c r="D29" s="312"/>
      <c r="E29" s="311"/>
      <c r="F29" s="312"/>
      <c r="G29" s="311"/>
      <c r="H29" s="311"/>
    </row>
    <row r="30" spans="2:8">
      <c r="B30" s="311"/>
      <c r="C30" s="311"/>
      <c r="D30" s="312"/>
      <c r="E30" s="311"/>
      <c r="F30" s="312"/>
      <c r="G30" s="311"/>
      <c r="H30" s="311"/>
    </row>
    <row r="31" spans="2:8">
      <c r="B31" s="311"/>
      <c r="C31" s="311"/>
      <c r="D31" s="312"/>
      <c r="E31" s="311"/>
      <c r="F31" s="312"/>
      <c r="G31" s="311"/>
      <c r="H31" s="311"/>
    </row>
    <row r="32" spans="2:8">
      <c r="B32" s="311"/>
      <c r="C32" s="311"/>
      <c r="D32" s="312"/>
      <c r="E32" s="311"/>
      <c r="F32" s="312"/>
      <c r="G32" s="311"/>
      <c r="H32" s="311"/>
    </row>
    <row r="33" spans="2:8">
      <c r="B33" s="311"/>
      <c r="C33" s="311"/>
      <c r="D33" s="312"/>
      <c r="E33" s="311"/>
      <c r="F33" s="312"/>
      <c r="G33" s="311"/>
      <c r="H33" s="311"/>
    </row>
    <row r="34" spans="2:8">
      <c r="B34" s="311"/>
      <c r="C34" s="311"/>
      <c r="D34" s="312"/>
      <c r="E34" s="311"/>
      <c r="F34" s="312"/>
      <c r="G34" s="311"/>
      <c r="H34" s="311"/>
    </row>
    <row r="35" spans="2:8">
      <c r="B35" s="311"/>
      <c r="C35" s="311"/>
      <c r="D35" s="312"/>
      <c r="E35" s="311"/>
      <c r="F35" s="312"/>
      <c r="G35" s="311"/>
      <c r="H35" s="311"/>
    </row>
    <row r="36" spans="2:8">
      <c r="B36" s="311"/>
      <c r="C36" s="311"/>
      <c r="D36" s="312"/>
      <c r="E36" s="311"/>
      <c r="F36" s="312"/>
      <c r="G36" s="311"/>
      <c r="H36" s="311"/>
    </row>
    <row r="37" spans="2:8">
      <c r="B37" s="311"/>
      <c r="C37" s="311"/>
      <c r="D37" s="312"/>
      <c r="E37" s="311"/>
      <c r="F37" s="312"/>
      <c r="G37" s="311"/>
      <c r="H37" s="311"/>
    </row>
    <row r="38" spans="2:8">
      <c r="B38" s="311"/>
      <c r="C38" s="311"/>
      <c r="D38" s="312"/>
      <c r="E38" s="311"/>
      <c r="F38" s="312"/>
      <c r="G38" s="311"/>
      <c r="H38" s="311"/>
    </row>
    <row r="39" spans="2:8">
      <c r="B39" s="311"/>
      <c r="C39" s="311"/>
      <c r="D39" s="312"/>
      <c r="E39" s="311"/>
      <c r="F39" s="312"/>
      <c r="G39" s="311"/>
      <c r="H39" s="311"/>
    </row>
    <row r="40" spans="2:8">
      <c r="B40" s="311"/>
      <c r="C40" s="311"/>
      <c r="D40" s="312"/>
      <c r="E40" s="311"/>
      <c r="F40" s="312"/>
      <c r="G40" s="311"/>
      <c r="H40" s="311"/>
    </row>
    <row r="41" spans="2:8">
      <c r="B41" s="311"/>
      <c r="C41" s="311"/>
      <c r="D41" s="312"/>
      <c r="E41" s="311"/>
      <c r="F41" s="312"/>
      <c r="G41" s="311"/>
      <c r="H41" s="311"/>
    </row>
    <row r="42" spans="2:8">
      <c r="B42" s="311"/>
      <c r="C42" s="311"/>
      <c r="D42" s="312"/>
      <c r="E42" s="311"/>
      <c r="F42" s="312"/>
      <c r="G42" s="311"/>
      <c r="H42" s="311"/>
    </row>
    <row r="43" spans="2:8">
      <c r="B43" s="311"/>
      <c r="C43" s="311"/>
      <c r="D43" s="312"/>
      <c r="E43" s="311"/>
      <c r="F43" s="312"/>
      <c r="G43" s="311"/>
      <c r="H43" s="311"/>
    </row>
    <row r="44" spans="2:8">
      <c r="B44" s="311"/>
      <c r="C44" s="311"/>
      <c r="D44" s="312"/>
      <c r="E44" s="311"/>
      <c r="F44" s="312"/>
      <c r="G44" s="311"/>
      <c r="H44" s="311"/>
    </row>
    <row r="45" spans="2:8">
      <c r="B45" s="311"/>
      <c r="C45" s="311"/>
      <c r="D45" s="312"/>
      <c r="E45" s="311"/>
      <c r="F45" s="312"/>
      <c r="G45" s="311"/>
      <c r="H45" s="311"/>
    </row>
    <row r="46" spans="2:8">
      <c r="B46" s="311"/>
      <c r="C46" s="311"/>
      <c r="D46" s="312"/>
      <c r="E46" s="311"/>
      <c r="F46" s="312"/>
      <c r="G46" s="311"/>
      <c r="H46" s="311"/>
    </row>
    <row r="47" spans="2:8">
      <c r="B47" s="311"/>
      <c r="C47" s="311"/>
      <c r="D47" s="312"/>
      <c r="E47" s="311"/>
      <c r="F47" s="312"/>
      <c r="G47" s="311"/>
      <c r="H47" s="311"/>
    </row>
    <row r="48" spans="2:8">
      <c r="B48" s="311"/>
      <c r="C48" s="311"/>
      <c r="D48" s="312"/>
      <c r="E48" s="311"/>
      <c r="F48" s="312"/>
      <c r="G48" s="311"/>
      <c r="H48" s="311"/>
    </row>
    <row r="49" spans="2:8">
      <c r="B49" s="311"/>
      <c r="C49" s="311"/>
      <c r="D49" s="312"/>
      <c r="E49" s="311"/>
      <c r="F49" s="312"/>
      <c r="G49" s="311"/>
      <c r="H49" s="311"/>
    </row>
    <row r="50" spans="2:8">
      <c r="B50" s="311"/>
      <c r="C50" s="311"/>
      <c r="D50" s="312"/>
      <c r="E50" s="311"/>
      <c r="F50" s="312"/>
      <c r="G50" s="311"/>
      <c r="H50" s="311"/>
    </row>
    <row r="51" spans="2:8">
      <c r="B51" s="311"/>
      <c r="C51" s="311"/>
      <c r="D51" s="312"/>
      <c r="E51" s="311"/>
      <c r="F51" s="312"/>
      <c r="G51" s="311"/>
      <c r="H51" s="311"/>
    </row>
    <row r="52" spans="2:8">
      <c r="B52" s="311"/>
      <c r="C52" s="311"/>
      <c r="D52" s="312"/>
      <c r="E52" s="311"/>
      <c r="F52" s="312"/>
      <c r="G52" s="311"/>
      <c r="H52" s="311"/>
    </row>
    <row r="53" spans="2:8">
      <c r="B53" s="311"/>
      <c r="C53" s="311"/>
      <c r="D53" s="312"/>
      <c r="E53" s="311"/>
      <c r="F53" s="312"/>
      <c r="G53" s="311"/>
      <c r="H53" s="311"/>
    </row>
    <row r="54" spans="2:8">
      <c r="B54" s="311"/>
      <c r="C54" s="311"/>
      <c r="D54" s="312"/>
      <c r="E54" s="311"/>
      <c r="F54" s="312"/>
      <c r="G54" s="311"/>
      <c r="H54" s="311"/>
    </row>
    <row r="55" spans="2:8">
      <c r="B55" s="311"/>
      <c r="C55" s="311"/>
      <c r="D55" s="312"/>
      <c r="E55" s="311"/>
      <c r="F55" s="312"/>
      <c r="G55" s="311"/>
      <c r="H55" s="311"/>
    </row>
    <row r="56" spans="2:8">
      <c r="B56" s="311"/>
      <c r="C56" s="311"/>
      <c r="D56" s="312"/>
      <c r="E56" s="311"/>
      <c r="F56" s="312"/>
      <c r="G56" s="311"/>
      <c r="H56" s="311"/>
    </row>
    <row r="57" spans="2:8">
      <c r="B57" s="311"/>
      <c r="C57" s="311"/>
      <c r="D57" s="312"/>
      <c r="E57" s="311"/>
      <c r="F57" s="312"/>
      <c r="G57" s="311"/>
      <c r="H57" s="311"/>
    </row>
    <row r="58" spans="2:8">
      <c r="B58" s="311"/>
      <c r="C58" s="311"/>
      <c r="D58" s="312"/>
      <c r="E58" s="311"/>
      <c r="F58" s="312"/>
      <c r="G58" s="311"/>
      <c r="H58" s="311"/>
    </row>
    <row r="59" spans="2:8">
      <c r="B59" s="311"/>
      <c r="C59" s="311"/>
      <c r="D59" s="312"/>
      <c r="E59" s="311"/>
      <c r="F59" s="312"/>
      <c r="G59" s="311"/>
      <c r="H59" s="311"/>
    </row>
    <row r="60" spans="2:8">
      <c r="B60" s="311"/>
      <c r="C60" s="311"/>
      <c r="D60" s="312"/>
      <c r="E60" s="311"/>
      <c r="F60" s="312"/>
      <c r="G60" s="311"/>
      <c r="H60" s="311"/>
    </row>
    <row r="61" spans="2:8">
      <c r="B61" s="311"/>
      <c r="C61" s="311"/>
      <c r="D61" s="312"/>
      <c r="E61" s="311"/>
      <c r="F61" s="312"/>
      <c r="G61" s="311"/>
      <c r="H61" s="311"/>
    </row>
    <row r="62" spans="2:8">
      <c r="B62" s="311"/>
      <c r="C62" s="311"/>
      <c r="D62" s="312"/>
      <c r="E62" s="311"/>
      <c r="F62" s="312"/>
      <c r="G62" s="311"/>
      <c r="H62" s="311"/>
    </row>
    <row r="63" spans="2:8">
      <c r="B63" s="311"/>
      <c r="C63" s="311"/>
      <c r="D63" s="312"/>
      <c r="E63" s="311"/>
      <c r="F63" s="312"/>
      <c r="G63" s="311"/>
      <c r="H63" s="311"/>
    </row>
    <row r="64" spans="2:8">
      <c r="B64" s="311"/>
      <c r="C64" s="311"/>
      <c r="D64" s="312"/>
      <c r="E64" s="311"/>
      <c r="F64" s="312"/>
      <c r="G64" s="311"/>
      <c r="H64" s="311"/>
    </row>
    <row r="65" spans="2:8">
      <c r="B65" s="311"/>
      <c r="C65" s="311"/>
      <c r="D65" s="312"/>
      <c r="E65" s="311"/>
      <c r="F65" s="312"/>
      <c r="G65" s="311"/>
      <c r="H65" s="311"/>
    </row>
    <row r="66" spans="2:8">
      <c r="B66" s="311"/>
      <c r="C66" s="311"/>
      <c r="D66" s="312"/>
      <c r="E66" s="311"/>
      <c r="F66" s="312"/>
      <c r="G66" s="311"/>
      <c r="H66" s="311"/>
    </row>
    <row r="67" spans="2:8">
      <c r="B67" s="311"/>
      <c r="C67" s="311"/>
      <c r="D67" s="312"/>
      <c r="E67" s="311"/>
      <c r="F67" s="312"/>
      <c r="G67" s="311"/>
      <c r="H67" s="311"/>
    </row>
    <row r="68" spans="2:8">
      <c r="B68" s="311"/>
      <c r="C68" s="311"/>
      <c r="D68" s="312"/>
      <c r="E68" s="311"/>
      <c r="F68" s="312"/>
      <c r="G68" s="311"/>
      <c r="H68" s="311"/>
    </row>
    <row r="69" spans="2:8">
      <c r="B69" s="311"/>
      <c r="C69" s="311"/>
      <c r="D69" s="312"/>
      <c r="E69" s="311"/>
      <c r="F69" s="312"/>
      <c r="G69" s="311"/>
      <c r="H69" s="311"/>
    </row>
    <row r="70" spans="2:8">
      <c r="B70" s="311"/>
      <c r="C70" s="311"/>
      <c r="D70" s="312"/>
      <c r="E70" s="311"/>
      <c r="F70" s="312"/>
      <c r="G70" s="311"/>
      <c r="H70" s="311"/>
    </row>
    <row r="71" spans="2:8">
      <c r="B71" s="311"/>
      <c r="C71" s="311"/>
      <c r="D71" s="312"/>
      <c r="E71" s="311"/>
      <c r="F71" s="312"/>
      <c r="G71" s="311"/>
      <c r="H71" s="311"/>
    </row>
    <row r="72" spans="2:8">
      <c r="B72" s="311"/>
      <c r="C72" s="311"/>
      <c r="D72" s="312"/>
      <c r="E72" s="311"/>
      <c r="F72" s="312"/>
      <c r="G72" s="311"/>
      <c r="H72" s="311"/>
    </row>
    <row r="73" spans="2:8">
      <c r="B73" s="311"/>
      <c r="C73" s="311"/>
      <c r="D73" s="312"/>
      <c r="E73" s="311"/>
      <c r="F73" s="312"/>
      <c r="G73" s="311"/>
      <c r="H73" s="311"/>
    </row>
    <row r="74" spans="2:8">
      <c r="B74" s="311"/>
      <c r="C74" s="311"/>
      <c r="D74" s="312"/>
      <c r="E74" s="311"/>
      <c r="F74" s="312"/>
      <c r="G74" s="311"/>
      <c r="H74" s="311"/>
    </row>
    <row r="75" spans="2:8">
      <c r="B75" s="311"/>
      <c r="C75" s="311"/>
      <c r="D75" s="312"/>
      <c r="E75" s="311"/>
      <c r="F75" s="312"/>
      <c r="G75" s="311"/>
      <c r="H75" s="311"/>
    </row>
    <row r="76" spans="2:8">
      <c r="B76" s="311"/>
      <c r="C76" s="311"/>
      <c r="D76" s="312"/>
      <c r="E76" s="311"/>
      <c r="F76" s="312"/>
      <c r="G76" s="311"/>
      <c r="H76" s="311"/>
    </row>
    <row r="77" spans="2:8">
      <c r="B77" s="311"/>
      <c r="C77" s="311"/>
      <c r="D77" s="312"/>
      <c r="E77" s="311"/>
      <c r="F77" s="312"/>
      <c r="G77" s="311"/>
      <c r="H77" s="311"/>
    </row>
    <row r="78" spans="2:8">
      <c r="B78" s="311"/>
      <c r="C78" s="311"/>
      <c r="D78" s="312"/>
      <c r="E78" s="311"/>
      <c r="F78" s="312"/>
      <c r="G78" s="311"/>
      <c r="H78" s="311"/>
    </row>
    <row r="79" spans="2:8">
      <c r="B79" s="311"/>
      <c r="C79" s="311"/>
      <c r="D79" s="312"/>
      <c r="E79" s="311"/>
      <c r="F79" s="312"/>
      <c r="G79" s="311"/>
      <c r="H79" s="311"/>
    </row>
    <row r="80" spans="2:8">
      <c r="B80" s="311"/>
      <c r="C80" s="311"/>
      <c r="D80" s="312"/>
      <c r="E80" s="311"/>
      <c r="F80" s="312"/>
      <c r="G80" s="311"/>
      <c r="H80" s="311"/>
    </row>
    <row r="81" spans="2:8">
      <c r="B81" s="311"/>
      <c r="C81" s="311"/>
      <c r="D81" s="312"/>
      <c r="E81" s="311"/>
      <c r="F81" s="312"/>
      <c r="G81" s="311"/>
      <c r="H81" s="311"/>
    </row>
    <row r="82" spans="2:8">
      <c r="B82" s="311"/>
      <c r="C82" s="311"/>
      <c r="D82" s="312"/>
      <c r="E82" s="311"/>
      <c r="F82" s="312"/>
      <c r="G82" s="311"/>
      <c r="H82" s="311"/>
    </row>
    <row r="83" spans="2:8">
      <c r="B83" s="311"/>
      <c r="C83" s="311"/>
      <c r="D83" s="312"/>
      <c r="E83" s="311"/>
      <c r="F83" s="312"/>
      <c r="G83" s="311"/>
      <c r="H83" s="311"/>
    </row>
    <row r="84" spans="2:8">
      <c r="B84" s="311"/>
      <c r="C84" s="311"/>
      <c r="D84" s="312"/>
      <c r="E84" s="311"/>
      <c r="F84" s="312"/>
      <c r="G84" s="311"/>
      <c r="H84" s="311"/>
    </row>
    <row r="85" spans="2:8">
      <c r="B85" s="311"/>
      <c r="C85" s="311"/>
      <c r="D85" s="312"/>
      <c r="E85" s="311"/>
      <c r="F85" s="312"/>
      <c r="G85" s="311"/>
      <c r="H85" s="311"/>
    </row>
    <row r="86" spans="2:8">
      <c r="B86" s="311"/>
      <c r="C86" s="311"/>
      <c r="D86" s="312"/>
      <c r="E86" s="311"/>
      <c r="F86" s="312"/>
      <c r="G86" s="311"/>
      <c r="H86" s="311"/>
    </row>
    <row r="87" spans="2:8">
      <c r="B87" s="311"/>
      <c r="C87" s="311"/>
      <c r="D87" s="312"/>
      <c r="E87" s="311"/>
      <c r="F87" s="312"/>
      <c r="G87" s="311"/>
      <c r="H87" s="311"/>
    </row>
    <row r="88" spans="2:8">
      <c r="B88" s="311"/>
      <c r="C88" s="311"/>
      <c r="D88" s="312"/>
      <c r="E88" s="311"/>
      <c r="F88" s="312"/>
      <c r="G88" s="311"/>
      <c r="H88" s="311"/>
    </row>
    <row r="89" spans="2:8">
      <c r="B89" s="311"/>
      <c r="C89" s="311"/>
      <c r="D89" s="312"/>
      <c r="E89" s="311"/>
      <c r="F89" s="312"/>
      <c r="G89" s="311"/>
      <c r="H89" s="311"/>
    </row>
    <row r="90" spans="2:8">
      <c r="B90" s="311"/>
      <c r="C90" s="311"/>
      <c r="D90" s="312"/>
      <c r="E90" s="311"/>
      <c r="F90" s="312"/>
      <c r="G90" s="311"/>
      <c r="H90" s="311"/>
    </row>
    <row r="91" spans="2:8">
      <c r="B91" s="311"/>
      <c r="C91" s="311"/>
      <c r="D91" s="312"/>
      <c r="E91" s="311"/>
      <c r="F91" s="312"/>
      <c r="G91" s="311"/>
      <c r="H91" s="311"/>
    </row>
    <row r="92" spans="2:8">
      <c r="B92" s="311"/>
      <c r="C92" s="311"/>
      <c r="D92" s="312"/>
      <c r="E92" s="311"/>
      <c r="F92" s="312"/>
      <c r="G92" s="311"/>
      <c r="H92" s="311"/>
    </row>
    <row r="93" spans="2:8">
      <c r="B93" s="311"/>
      <c r="C93" s="311"/>
      <c r="D93" s="312"/>
      <c r="E93" s="311"/>
      <c r="F93" s="312"/>
      <c r="G93" s="311"/>
      <c r="H93" s="311"/>
    </row>
    <row r="94" spans="2:8">
      <c r="B94" s="311"/>
      <c r="C94" s="311"/>
      <c r="D94" s="312"/>
      <c r="E94" s="311"/>
      <c r="F94" s="312"/>
      <c r="G94" s="311"/>
      <c r="H94" s="311"/>
    </row>
    <row r="95" spans="2:8">
      <c r="B95" s="311"/>
      <c r="C95" s="311"/>
      <c r="D95" s="312"/>
      <c r="E95" s="311"/>
      <c r="F95" s="312"/>
      <c r="G95" s="311"/>
      <c r="H95" s="311"/>
    </row>
    <row r="96" spans="2:8">
      <c r="B96" s="311"/>
      <c r="C96" s="311"/>
      <c r="D96" s="312"/>
      <c r="E96" s="311"/>
      <c r="F96" s="312"/>
      <c r="G96" s="311"/>
      <c r="H96" s="311"/>
    </row>
    <row r="97" spans="2:8">
      <c r="B97" s="311"/>
      <c r="C97" s="311"/>
      <c r="D97" s="312"/>
      <c r="E97" s="311"/>
      <c r="F97" s="312"/>
      <c r="G97" s="311"/>
      <c r="H97" s="311"/>
    </row>
    <row r="98" spans="2:8">
      <c r="B98" s="311"/>
      <c r="C98" s="311"/>
      <c r="D98" s="312"/>
      <c r="E98" s="311"/>
      <c r="F98" s="312"/>
      <c r="G98" s="311"/>
      <c r="H98" s="311"/>
    </row>
    <row r="99" spans="2:8">
      <c r="B99" s="311"/>
      <c r="C99" s="311"/>
      <c r="D99" s="312"/>
      <c r="E99" s="311"/>
      <c r="F99" s="312"/>
      <c r="G99" s="311"/>
      <c r="H99" s="311"/>
    </row>
    <row r="100" spans="2:8">
      <c r="B100" s="311"/>
      <c r="C100" s="311"/>
      <c r="D100" s="312"/>
      <c r="E100" s="311"/>
      <c r="F100" s="312"/>
      <c r="G100" s="311"/>
      <c r="H100" s="311"/>
    </row>
    <row r="101" spans="2:8">
      <c r="B101" s="311"/>
      <c r="C101" s="311"/>
      <c r="D101" s="312"/>
      <c r="E101" s="311"/>
      <c r="F101" s="312"/>
      <c r="G101" s="311"/>
      <c r="H101" s="311"/>
    </row>
    <row r="102" spans="2:8">
      <c r="B102" s="311"/>
      <c r="C102" s="311"/>
      <c r="D102" s="312"/>
      <c r="E102" s="311"/>
      <c r="F102" s="312"/>
      <c r="G102" s="311"/>
      <c r="H102" s="311"/>
    </row>
    <row r="103" spans="2:8">
      <c r="B103" s="311"/>
      <c r="C103" s="311"/>
      <c r="D103" s="312"/>
      <c r="E103" s="311"/>
      <c r="F103" s="312"/>
      <c r="G103" s="311"/>
      <c r="H103" s="311"/>
    </row>
    <row r="104" spans="2:8">
      <c r="B104" s="311"/>
      <c r="C104" s="311"/>
      <c r="D104" s="312"/>
      <c r="E104" s="311"/>
      <c r="F104" s="312"/>
      <c r="G104" s="311"/>
      <c r="H104" s="311"/>
    </row>
    <row r="105" spans="2:8">
      <c r="B105" s="311"/>
      <c r="C105" s="311"/>
      <c r="D105" s="312"/>
      <c r="E105" s="311"/>
      <c r="F105" s="312"/>
      <c r="G105" s="311"/>
      <c r="H105" s="311"/>
    </row>
    <row r="106" spans="2:8">
      <c r="B106" s="311"/>
      <c r="C106" s="311"/>
      <c r="D106" s="312"/>
      <c r="E106" s="311"/>
      <c r="F106" s="312"/>
      <c r="G106" s="311"/>
      <c r="H106" s="311"/>
    </row>
    <row r="107" spans="2:8">
      <c r="B107" s="311"/>
      <c r="C107" s="311"/>
      <c r="D107" s="312"/>
      <c r="E107" s="311"/>
      <c r="F107" s="312"/>
      <c r="G107" s="311"/>
      <c r="H107" s="311"/>
    </row>
    <row r="108" spans="2:8">
      <c r="B108" s="311"/>
      <c r="C108" s="311"/>
      <c r="D108" s="312"/>
      <c r="E108" s="311"/>
      <c r="F108" s="312"/>
      <c r="G108" s="311"/>
      <c r="H108" s="311"/>
    </row>
    <row r="109" spans="2:8">
      <c r="B109" s="311"/>
      <c r="C109" s="311"/>
      <c r="D109" s="312"/>
      <c r="E109" s="311"/>
      <c r="F109" s="312"/>
      <c r="G109" s="311"/>
      <c r="H109" s="311"/>
    </row>
    <row r="110" spans="2:8">
      <c r="B110" s="311"/>
      <c r="C110" s="311"/>
      <c r="D110" s="312"/>
      <c r="E110" s="311"/>
      <c r="F110" s="312"/>
      <c r="G110" s="311"/>
      <c r="H110" s="311"/>
    </row>
    <row r="111" spans="2:8">
      <c r="B111" s="311"/>
      <c r="C111" s="311"/>
      <c r="D111" s="312"/>
      <c r="E111" s="311"/>
      <c r="F111" s="312"/>
      <c r="G111" s="311"/>
      <c r="H111" s="311"/>
    </row>
    <row r="112" spans="2:8">
      <c r="B112" s="311"/>
      <c r="C112" s="311"/>
      <c r="D112" s="312"/>
      <c r="E112" s="311"/>
      <c r="F112" s="312"/>
      <c r="G112" s="311"/>
      <c r="H112" s="311"/>
    </row>
    <row r="113" spans="2:8">
      <c r="B113" s="311"/>
      <c r="C113" s="311"/>
      <c r="D113" s="312"/>
      <c r="E113" s="311"/>
      <c r="F113" s="312"/>
      <c r="G113" s="311"/>
      <c r="H113" s="311"/>
    </row>
    <row r="114" spans="2:8">
      <c r="B114" s="311"/>
      <c r="C114" s="311"/>
      <c r="D114" s="312"/>
      <c r="E114" s="311"/>
      <c r="F114" s="312"/>
      <c r="G114" s="311"/>
      <c r="H114" s="311"/>
    </row>
    <row r="115" spans="2:8">
      <c r="B115" s="311"/>
      <c r="C115" s="311"/>
      <c r="D115" s="312"/>
      <c r="E115" s="311"/>
      <c r="F115" s="312"/>
      <c r="G115" s="311"/>
      <c r="H115" s="311"/>
    </row>
    <row r="116" spans="2:8">
      <c r="B116" s="311"/>
      <c r="C116" s="311"/>
      <c r="D116" s="312"/>
      <c r="E116" s="311"/>
      <c r="F116" s="312"/>
      <c r="G116" s="311"/>
      <c r="H116" s="311"/>
    </row>
    <row r="117" spans="2:8">
      <c r="B117" s="311"/>
      <c r="C117" s="311"/>
      <c r="D117" s="312"/>
      <c r="E117" s="311"/>
      <c r="F117" s="312"/>
      <c r="G117" s="311"/>
      <c r="H117" s="311"/>
    </row>
    <row r="118" spans="2:8">
      <c r="B118" s="311"/>
      <c r="C118" s="311"/>
      <c r="D118" s="312"/>
      <c r="E118" s="311"/>
      <c r="F118" s="312"/>
      <c r="G118" s="311"/>
      <c r="H118" s="311"/>
    </row>
    <row r="119" spans="2:8">
      <c r="B119" s="311"/>
      <c r="C119" s="311"/>
      <c r="D119" s="312"/>
      <c r="E119" s="311"/>
      <c r="F119" s="312"/>
      <c r="G119" s="311"/>
      <c r="H119" s="311"/>
    </row>
    <row r="120" spans="2:8">
      <c r="B120" s="311"/>
      <c r="C120" s="311"/>
      <c r="D120" s="312"/>
      <c r="E120" s="311"/>
      <c r="F120" s="312"/>
      <c r="G120" s="311"/>
      <c r="H120" s="311"/>
    </row>
    <row r="121" spans="2:8">
      <c r="B121" s="311"/>
      <c r="C121" s="311"/>
      <c r="D121" s="312"/>
      <c r="E121" s="311"/>
      <c r="F121" s="312"/>
      <c r="G121" s="311"/>
      <c r="H121" s="311"/>
    </row>
    <row r="122" spans="2:8">
      <c r="B122" s="311"/>
      <c r="C122" s="311"/>
      <c r="D122" s="312"/>
      <c r="E122" s="311"/>
      <c r="F122" s="312"/>
      <c r="G122" s="311"/>
      <c r="H122" s="311"/>
    </row>
    <row r="123" spans="2:8">
      <c r="B123" s="311"/>
      <c r="C123" s="311"/>
      <c r="D123" s="312"/>
      <c r="E123" s="311"/>
      <c r="F123" s="312"/>
      <c r="G123" s="311"/>
      <c r="H123" s="311"/>
    </row>
    <row r="124" spans="2:8">
      <c r="B124" s="311"/>
      <c r="C124" s="311"/>
      <c r="D124" s="312"/>
      <c r="E124" s="311"/>
      <c r="F124" s="312"/>
      <c r="G124" s="311"/>
      <c r="H124" s="311"/>
    </row>
    <row r="125" spans="2:8">
      <c r="B125" s="311"/>
      <c r="C125" s="311"/>
      <c r="D125" s="312"/>
      <c r="E125" s="311"/>
      <c r="F125" s="312"/>
      <c r="G125" s="311"/>
      <c r="H125" s="311"/>
    </row>
    <row r="126" spans="2:8">
      <c r="B126" s="311"/>
      <c r="C126" s="311"/>
      <c r="D126" s="312"/>
      <c r="E126" s="311"/>
      <c r="F126" s="312"/>
      <c r="G126" s="311"/>
      <c r="H126" s="311"/>
    </row>
    <row r="127" spans="2:8">
      <c r="B127" s="311"/>
      <c r="C127" s="311"/>
      <c r="D127" s="312"/>
      <c r="E127" s="311"/>
      <c r="F127" s="312"/>
      <c r="G127" s="311"/>
      <c r="H127" s="311"/>
    </row>
    <row r="128" spans="2:8">
      <c r="B128" s="311"/>
      <c r="C128" s="311"/>
      <c r="D128" s="312"/>
      <c r="E128" s="311"/>
      <c r="F128" s="312"/>
      <c r="G128" s="311"/>
      <c r="H128" s="311"/>
    </row>
    <row r="129" spans="2:8">
      <c r="B129" s="311"/>
      <c r="C129" s="311"/>
      <c r="D129" s="312"/>
      <c r="E129" s="311"/>
      <c r="F129" s="312"/>
      <c r="G129" s="311"/>
      <c r="H129" s="311"/>
    </row>
    <row r="130" spans="2:8">
      <c r="B130" s="311"/>
      <c r="C130" s="311"/>
      <c r="D130" s="312"/>
      <c r="E130" s="311"/>
      <c r="F130" s="312"/>
      <c r="G130" s="311"/>
      <c r="H130" s="311"/>
    </row>
    <row r="131" spans="2:8">
      <c r="B131" s="311"/>
      <c r="C131" s="311"/>
      <c r="D131" s="312"/>
      <c r="E131" s="311"/>
      <c r="F131" s="312"/>
      <c r="G131" s="311"/>
      <c r="H131" s="311"/>
    </row>
    <row r="132" spans="2:8">
      <c r="B132" s="311"/>
      <c r="C132" s="311"/>
      <c r="D132" s="312"/>
      <c r="E132" s="311"/>
      <c r="F132" s="312"/>
      <c r="G132" s="311"/>
      <c r="H132" s="311"/>
    </row>
    <row r="133" spans="2:8">
      <c r="B133" s="311"/>
      <c r="C133" s="311"/>
      <c r="D133" s="312"/>
      <c r="E133" s="311"/>
      <c r="F133" s="312"/>
      <c r="G133" s="311"/>
      <c r="H133" s="311"/>
    </row>
    <row r="134" spans="2:8">
      <c r="B134" s="311"/>
      <c r="C134" s="311"/>
      <c r="D134" s="312"/>
      <c r="E134" s="311"/>
      <c r="F134" s="312"/>
      <c r="G134" s="311"/>
      <c r="H134" s="311"/>
    </row>
    <row r="135" spans="2:8">
      <c r="B135" s="311"/>
      <c r="C135" s="311"/>
      <c r="D135" s="312"/>
      <c r="E135" s="311"/>
      <c r="F135" s="312"/>
      <c r="G135" s="311"/>
      <c r="H135" s="311"/>
    </row>
    <row r="136" spans="2:8">
      <c r="B136" s="311"/>
      <c r="C136" s="311"/>
      <c r="D136" s="312"/>
      <c r="E136" s="311"/>
      <c r="F136" s="312"/>
      <c r="G136" s="311"/>
      <c r="H136" s="311"/>
    </row>
    <row r="137" spans="2:8">
      <c r="B137" s="311"/>
      <c r="C137" s="311"/>
      <c r="D137" s="312"/>
      <c r="E137" s="311"/>
      <c r="F137" s="312"/>
      <c r="G137" s="311"/>
      <c r="H137" s="311"/>
    </row>
    <row r="138" spans="2:8">
      <c r="B138" s="311"/>
      <c r="C138" s="311"/>
      <c r="D138" s="312"/>
      <c r="E138" s="311"/>
      <c r="F138" s="312"/>
      <c r="G138" s="311"/>
      <c r="H138" s="311"/>
    </row>
    <row r="139" spans="2:8">
      <c r="B139" s="311"/>
      <c r="C139" s="311"/>
      <c r="D139" s="312"/>
      <c r="E139" s="311"/>
      <c r="F139" s="312"/>
      <c r="G139" s="311"/>
      <c r="H139" s="311"/>
    </row>
    <row r="140" spans="2:8">
      <c r="B140" s="311"/>
      <c r="C140" s="311"/>
      <c r="D140" s="312"/>
      <c r="E140" s="311"/>
      <c r="F140" s="312"/>
      <c r="G140" s="311"/>
      <c r="H140" s="311"/>
    </row>
    <row r="141" spans="2:8">
      <c r="B141" s="311"/>
      <c r="C141" s="311"/>
      <c r="D141" s="312"/>
      <c r="E141" s="311"/>
      <c r="F141" s="312"/>
      <c r="G141" s="311"/>
      <c r="H141" s="311"/>
    </row>
    <row r="142" spans="2:8">
      <c r="B142" s="311"/>
      <c r="C142" s="311"/>
      <c r="D142" s="312"/>
      <c r="E142" s="311"/>
      <c r="F142" s="312"/>
      <c r="G142" s="311"/>
      <c r="H142" s="311"/>
    </row>
    <row r="143" spans="2:8">
      <c r="B143" s="311"/>
      <c r="C143" s="311"/>
      <c r="D143" s="312"/>
      <c r="E143" s="311"/>
      <c r="F143" s="312"/>
      <c r="G143" s="311"/>
      <c r="H143" s="311"/>
    </row>
    <row r="144" spans="2:8">
      <c r="B144" s="311"/>
      <c r="C144" s="311"/>
      <c r="D144" s="312"/>
      <c r="E144" s="311"/>
      <c r="F144" s="312"/>
      <c r="G144" s="311"/>
      <c r="H144" s="311"/>
    </row>
    <row r="145" spans="2:8">
      <c r="B145" s="311"/>
      <c r="C145" s="311"/>
      <c r="D145" s="312"/>
      <c r="E145" s="311"/>
      <c r="F145" s="312"/>
      <c r="G145" s="311"/>
      <c r="H145" s="311"/>
    </row>
    <row r="146" spans="2:8">
      <c r="B146" s="311"/>
      <c r="C146" s="311"/>
      <c r="D146" s="312"/>
      <c r="E146" s="311"/>
      <c r="F146" s="312"/>
      <c r="G146" s="311"/>
      <c r="H146" s="311"/>
    </row>
    <row r="147" spans="2:8">
      <c r="B147" s="311"/>
      <c r="C147" s="311"/>
      <c r="D147" s="312"/>
      <c r="E147" s="311"/>
      <c r="F147" s="312"/>
      <c r="G147" s="311"/>
      <c r="H147" s="311"/>
    </row>
    <row r="148" spans="2:8">
      <c r="B148" s="311"/>
      <c r="C148" s="311"/>
      <c r="D148" s="312"/>
      <c r="E148" s="311"/>
      <c r="F148" s="312"/>
      <c r="G148" s="311"/>
      <c r="H148" s="311"/>
    </row>
    <row r="149" spans="2:8">
      <c r="B149" s="311"/>
      <c r="C149" s="311"/>
      <c r="D149" s="312"/>
      <c r="E149" s="311"/>
      <c r="F149" s="312"/>
      <c r="G149" s="311"/>
      <c r="H149" s="311"/>
    </row>
    <row r="150" spans="2:8">
      <c r="B150" s="311"/>
      <c r="C150" s="311"/>
      <c r="D150" s="312"/>
      <c r="E150" s="311"/>
      <c r="F150" s="312"/>
      <c r="G150" s="311"/>
      <c r="H150" s="311"/>
    </row>
    <row r="151" spans="2:8">
      <c r="B151" s="311"/>
      <c r="C151" s="311"/>
      <c r="D151" s="312"/>
      <c r="E151" s="311"/>
      <c r="F151" s="312"/>
      <c r="G151" s="311"/>
      <c r="H151" s="311"/>
    </row>
    <row r="152" spans="2:8">
      <c r="B152" s="311"/>
      <c r="C152" s="311"/>
      <c r="D152" s="312"/>
      <c r="E152" s="311"/>
      <c r="F152" s="312"/>
      <c r="G152" s="311"/>
      <c r="H152" s="311"/>
    </row>
    <row r="153" spans="2:8">
      <c r="B153" s="311"/>
      <c r="C153" s="311"/>
      <c r="D153" s="312"/>
      <c r="E153" s="311"/>
      <c r="F153" s="312"/>
      <c r="G153" s="311"/>
      <c r="H153" s="311"/>
    </row>
    <row r="154" spans="2:8">
      <c r="B154" s="311"/>
      <c r="C154" s="311"/>
      <c r="D154" s="312"/>
      <c r="E154" s="311"/>
      <c r="F154" s="312"/>
      <c r="G154" s="311"/>
      <c r="H154" s="311"/>
    </row>
    <row r="155" spans="2:8">
      <c r="B155" s="311"/>
      <c r="C155" s="311"/>
      <c r="D155" s="312"/>
      <c r="E155" s="311"/>
      <c r="F155" s="312"/>
      <c r="G155" s="311"/>
      <c r="H155" s="311"/>
    </row>
    <row r="156" spans="2:8">
      <c r="B156" s="311"/>
      <c r="C156" s="311"/>
      <c r="D156" s="312"/>
      <c r="E156" s="311"/>
      <c r="F156" s="312"/>
      <c r="G156" s="311"/>
      <c r="H156" s="311"/>
    </row>
    <row r="157" spans="2:8">
      <c r="B157" s="311"/>
      <c r="C157" s="311"/>
      <c r="D157" s="312"/>
      <c r="E157" s="311"/>
      <c r="F157" s="312"/>
      <c r="G157" s="311"/>
      <c r="H157" s="311"/>
    </row>
    <row r="158" spans="2:8">
      <c r="B158" s="311"/>
      <c r="C158" s="311"/>
      <c r="D158" s="312"/>
      <c r="E158" s="311"/>
      <c r="F158" s="312"/>
      <c r="G158" s="311"/>
      <c r="H158" s="311"/>
    </row>
    <row r="159" spans="2:8">
      <c r="B159" s="311"/>
      <c r="C159" s="311"/>
      <c r="D159" s="312"/>
      <c r="E159" s="311"/>
      <c r="F159" s="312"/>
      <c r="G159" s="311"/>
      <c r="H159" s="311"/>
    </row>
    <row r="160" spans="2:8">
      <c r="B160" s="311"/>
      <c r="C160" s="311"/>
      <c r="D160" s="312"/>
      <c r="E160" s="311"/>
      <c r="F160" s="312"/>
      <c r="G160" s="311"/>
      <c r="H160" s="311"/>
    </row>
    <row r="161" spans="2:8">
      <c r="B161" s="311"/>
      <c r="C161" s="311"/>
      <c r="D161" s="312"/>
      <c r="E161" s="311"/>
      <c r="F161" s="312"/>
      <c r="G161" s="311"/>
      <c r="H161" s="311"/>
    </row>
    <row r="162" spans="2:8">
      <c r="B162" s="311"/>
      <c r="C162" s="311"/>
      <c r="D162" s="312"/>
      <c r="E162" s="311"/>
      <c r="F162" s="312"/>
      <c r="G162" s="311"/>
      <c r="H162" s="311"/>
    </row>
    <row r="163" spans="2:8">
      <c r="B163" s="311"/>
      <c r="C163" s="311"/>
      <c r="D163" s="312"/>
      <c r="E163" s="311"/>
      <c r="F163" s="312"/>
      <c r="G163" s="311"/>
      <c r="H163" s="311"/>
    </row>
    <row r="164" spans="2:8">
      <c r="B164" s="311"/>
      <c r="C164" s="311"/>
      <c r="D164" s="312"/>
      <c r="E164" s="311"/>
      <c r="F164" s="312"/>
      <c r="G164" s="311"/>
      <c r="H164" s="311"/>
    </row>
    <row r="165" spans="2:8">
      <c r="B165" s="311"/>
      <c r="C165" s="311"/>
      <c r="D165" s="312"/>
      <c r="E165" s="311"/>
      <c r="F165" s="312"/>
      <c r="G165" s="311"/>
      <c r="H165" s="311"/>
    </row>
    <row r="166" spans="2:8">
      <c r="B166" s="311"/>
      <c r="C166" s="311"/>
      <c r="D166" s="312"/>
      <c r="E166" s="311"/>
      <c r="F166" s="312"/>
      <c r="G166" s="311"/>
      <c r="H166" s="311"/>
    </row>
    <row r="167" spans="2:8">
      <c r="B167" s="311"/>
      <c r="C167" s="311"/>
      <c r="D167" s="312"/>
      <c r="E167" s="311"/>
      <c r="F167" s="312"/>
      <c r="G167" s="311"/>
      <c r="H167" s="311"/>
    </row>
    <row r="168" spans="2:8">
      <c r="B168" s="311"/>
      <c r="C168" s="311"/>
      <c r="D168" s="312"/>
      <c r="E168" s="311"/>
      <c r="F168" s="312"/>
      <c r="G168" s="311"/>
      <c r="H168" s="311"/>
    </row>
    <row r="169" spans="2:8">
      <c r="B169" s="311"/>
      <c r="C169" s="311"/>
      <c r="D169" s="312"/>
      <c r="E169" s="311"/>
      <c r="F169" s="312"/>
      <c r="G169" s="311"/>
      <c r="H169" s="311"/>
    </row>
    <row r="170" spans="2:8">
      <c r="B170" s="311"/>
      <c r="C170" s="311"/>
      <c r="D170" s="312"/>
      <c r="E170" s="311"/>
      <c r="F170" s="312"/>
      <c r="G170" s="311"/>
      <c r="H170" s="311"/>
    </row>
    <row r="171" spans="2:8">
      <c r="B171" s="311"/>
      <c r="C171" s="311"/>
      <c r="D171" s="312"/>
      <c r="E171" s="311"/>
      <c r="F171" s="312"/>
      <c r="G171" s="311"/>
      <c r="H171" s="311"/>
    </row>
    <row r="172" spans="2:8">
      <c r="B172" s="311"/>
      <c r="C172" s="311"/>
      <c r="D172" s="312"/>
      <c r="E172" s="311"/>
      <c r="F172" s="312"/>
      <c r="G172" s="311"/>
      <c r="H172" s="311"/>
    </row>
    <row r="173" spans="2:8">
      <c r="B173" s="311"/>
      <c r="C173" s="311"/>
      <c r="D173" s="312"/>
      <c r="E173" s="311"/>
      <c r="F173" s="312"/>
      <c r="G173" s="311"/>
      <c r="H173" s="311"/>
    </row>
    <row r="174" spans="2:8">
      <c r="B174" s="311"/>
      <c r="C174" s="311"/>
      <c r="D174" s="312"/>
      <c r="E174" s="311"/>
      <c r="F174" s="312"/>
      <c r="G174" s="311"/>
      <c r="H174" s="311"/>
    </row>
    <row r="175" spans="2:8">
      <c r="B175" s="311"/>
      <c r="C175" s="311"/>
      <c r="D175" s="312"/>
      <c r="E175" s="311"/>
      <c r="F175" s="312"/>
      <c r="G175" s="311"/>
      <c r="H175" s="311"/>
    </row>
    <row r="176" spans="2:8">
      <c r="B176" s="311"/>
      <c r="C176" s="311"/>
      <c r="D176" s="312"/>
      <c r="E176" s="311"/>
      <c r="F176" s="312"/>
      <c r="G176" s="311"/>
      <c r="H176" s="311"/>
    </row>
    <row r="177" spans="2:8">
      <c r="B177" s="311"/>
      <c r="C177" s="311"/>
      <c r="D177" s="312"/>
      <c r="E177" s="311"/>
      <c r="F177" s="312"/>
      <c r="G177" s="311"/>
      <c r="H177" s="311"/>
    </row>
    <row r="178" spans="2:8">
      <c r="B178" s="311"/>
      <c r="C178" s="311"/>
      <c r="D178" s="312"/>
      <c r="E178" s="311"/>
      <c r="F178" s="312"/>
      <c r="G178" s="311"/>
      <c r="H178" s="311"/>
    </row>
    <row r="179" spans="2:8">
      <c r="B179" s="311"/>
      <c r="C179" s="311"/>
      <c r="D179" s="312"/>
      <c r="E179" s="311"/>
      <c r="F179" s="312"/>
      <c r="G179" s="311"/>
      <c r="H179" s="311"/>
    </row>
    <row r="180" spans="2:8">
      <c r="B180" s="311"/>
      <c r="C180" s="311"/>
      <c r="D180" s="312"/>
      <c r="E180" s="311"/>
      <c r="F180" s="312"/>
      <c r="G180" s="311"/>
      <c r="H180" s="311"/>
    </row>
    <row r="181" spans="2:8">
      <c r="B181" s="311"/>
      <c r="C181" s="311"/>
      <c r="D181" s="312"/>
      <c r="E181" s="311"/>
      <c r="F181" s="312"/>
      <c r="G181" s="311"/>
      <c r="H181" s="311"/>
    </row>
    <row r="182" spans="2:8">
      <c r="B182" s="311"/>
      <c r="C182" s="311"/>
      <c r="D182" s="312"/>
      <c r="E182" s="311"/>
      <c r="F182" s="312"/>
      <c r="G182" s="311"/>
      <c r="H182" s="311"/>
    </row>
    <row r="183" spans="2:8">
      <c r="B183" s="311"/>
      <c r="C183" s="311"/>
      <c r="D183" s="312"/>
      <c r="E183" s="311"/>
      <c r="F183" s="312"/>
      <c r="G183" s="311"/>
      <c r="H183" s="311"/>
    </row>
    <row r="184" spans="2:8">
      <c r="B184" s="311"/>
      <c r="C184" s="311"/>
      <c r="D184" s="312"/>
      <c r="E184" s="311"/>
      <c r="F184" s="312"/>
      <c r="G184" s="311"/>
      <c r="H184" s="311"/>
    </row>
    <row r="185" spans="2:8">
      <c r="B185" s="311"/>
      <c r="C185" s="311"/>
      <c r="D185" s="312"/>
      <c r="E185" s="311"/>
      <c r="F185" s="312"/>
      <c r="G185" s="311"/>
      <c r="H185" s="311"/>
    </row>
    <row r="186" spans="2:8">
      <c r="B186" s="311"/>
      <c r="C186" s="311"/>
      <c r="D186" s="312"/>
      <c r="E186" s="311"/>
      <c r="F186" s="312"/>
      <c r="G186" s="311"/>
      <c r="H186" s="311"/>
    </row>
    <row r="187" spans="2:8">
      <c r="B187" s="311"/>
      <c r="C187" s="311"/>
      <c r="D187" s="312"/>
      <c r="E187" s="311"/>
      <c r="F187" s="312"/>
      <c r="G187" s="311"/>
      <c r="H187" s="311"/>
    </row>
    <row r="188" spans="2:8">
      <c r="B188" s="311"/>
      <c r="C188" s="311"/>
      <c r="D188" s="312"/>
      <c r="E188" s="311"/>
      <c r="F188" s="312"/>
      <c r="G188" s="311"/>
      <c r="H188" s="311"/>
    </row>
    <row r="189" spans="2:8">
      <c r="B189" s="311"/>
      <c r="C189" s="311"/>
      <c r="D189" s="312"/>
      <c r="E189" s="311"/>
      <c r="F189" s="312"/>
      <c r="G189" s="311"/>
      <c r="H189" s="311"/>
    </row>
    <row r="190" spans="2:8">
      <c r="B190" s="311"/>
      <c r="C190" s="311"/>
      <c r="D190" s="312"/>
      <c r="E190" s="311"/>
      <c r="F190" s="312"/>
      <c r="G190" s="311"/>
      <c r="H190" s="311"/>
    </row>
    <row r="191" spans="2:8">
      <c r="B191" s="311"/>
      <c r="C191" s="311"/>
      <c r="D191" s="312"/>
      <c r="E191" s="311"/>
      <c r="F191" s="312"/>
      <c r="G191" s="311"/>
      <c r="H191" s="311"/>
    </row>
    <row r="192" spans="2:8">
      <c r="B192" s="311"/>
      <c r="C192" s="311"/>
      <c r="D192" s="312"/>
      <c r="E192" s="311"/>
      <c r="F192" s="312"/>
      <c r="G192" s="311"/>
      <c r="H192" s="311"/>
    </row>
    <row r="193" spans="2:8">
      <c r="B193" s="311"/>
      <c r="C193" s="311"/>
      <c r="D193" s="312"/>
      <c r="E193" s="311"/>
      <c r="F193" s="312"/>
      <c r="G193" s="311"/>
      <c r="H193" s="311"/>
    </row>
    <row r="194" spans="2:8">
      <c r="B194" s="311"/>
      <c r="C194" s="311"/>
      <c r="D194" s="312"/>
      <c r="E194" s="311"/>
      <c r="F194" s="312"/>
      <c r="G194" s="311"/>
      <c r="H194" s="311"/>
    </row>
    <row r="195" spans="2:8">
      <c r="B195" s="311"/>
      <c r="C195" s="311"/>
      <c r="D195" s="312"/>
      <c r="E195" s="311"/>
      <c r="F195" s="312"/>
      <c r="G195" s="311"/>
      <c r="H195" s="311"/>
    </row>
    <row r="196" spans="2:8">
      <c r="B196" s="311"/>
      <c r="C196" s="311"/>
      <c r="D196" s="312"/>
      <c r="E196" s="311"/>
      <c r="F196" s="312"/>
      <c r="G196" s="311"/>
      <c r="H196" s="311"/>
    </row>
    <row r="197" spans="2:8">
      <c r="B197" s="311"/>
      <c r="C197" s="311"/>
      <c r="D197" s="312"/>
      <c r="E197" s="311"/>
      <c r="F197" s="312"/>
      <c r="G197" s="311"/>
      <c r="H197" s="311"/>
    </row>
    <row r="198" spans="2:8">
      <c r="B198" s="311"/>
      <c r="C198" s="311"/>
      <c r="D198" s="312"/>
      <c r="E198" s="311"/>
      <c r="F198" s="312"/>
      <c r="G198" s="311"/>
      <c r="H198" s="311"/>
    </row>
    <row r="199" spans="2:8">
      <c r="B199" s="311"/>
      <c r="C199" s="311"/>
      <c r="D199" s="312"/>
      <c r="E199" s="311"/>
      <c r="F199" s="312"/>
      <c r="G199" s="311"/>
      <c r="H199" s="311"/>
    </row>
    <row r="200" spans="2:8">
      <c r="B200" s="311"/>
      <c r="C200" s="311"/>
      <c r="D200" s="312"/>
      <c r="E200" s="311"/>
      <c r="F200" s="312"/>
      <c r="G200" s="311"/>
      <c r="H200" s="311"/>
    </row>
    <row r="201" spans="2:8">
      <c r="B201" s="311"/>
      <c r="C201" s="311"/>
      <c r="D201" s="312"/>
      <c r="E201" s="311"/>
      <c r="F201" s="312"/>
      <c r="G201" s="311"/>
      <c r="H201" s="311"/>
    </row>
    <row r="202" spans="2:8">
      <c r="B202" s="311"/>
      <c r="C202" s="311"/>
      <c r="D202" s="312"/>
      <c r="E202" s="311"/>
      <c r="F202" s="312"/>
      <c r="G202" s="311"/>
      <c r="H202" s="311"/>
    </row>
    <row r="203" spans="2:8">
      <c r="B203" s="311"/>
      <c r="C203" s="311"/>
      <c r="D203" s="312"/>
      <c r="E203" s="311"/>
      <c r="F203" s="312"/>
      <c r="G203" s="311"/>
      <c r="H203" s="311"/>
    </row>
    <row r="204" spans="2:8">
      <c r="B204" s="311"/>
      <c r="C204" s="311"/>
      <c r="D204" s="312"/>
      <c r="E204" s="311"/>
      <c r="F204" s="312"/>
      <c r="G204" s="311"/>
      <c r="H204" s="311"/>
    </row>
    <row r="205" spans="2:8">
      <c r="B205" s="311"/>
      <c r="C205" s="311"/>
      <c r="D205" s="312"/>
      <c r="E205" s="311"/>
      <c r="F205" s="312"/>
      <c r="G205" s="311"/>
      <c r="H205" s="311"/>
    </row>
    <row r="206" spans="2:8">
      <c r="B206" s="311"/>
      <c r="C206" s="311"/>
      <c r="D206" s="312"/>
      <c r="E206" s="311"/>
      <c r="F206" s="312"/>
      <c r="G206" s="311"/>
      <c r="H206" s="311"/>
    </row>
    <row r="207" spans="2:8">
      <c r="B207" s="311"/>
      <c r="C207" s="311"/>
      <c r="D207" s="312"/>
      <c r="E207" s="311"/>
      <c r="F207" s="312"/>
      <c r="G207" s="311"/>
      <c r="H207" s="311"/>
    </row>
    <row r="208" spans="2:8">
      <c r="B208" s="311"/>
      <c r="C208" s="311"/>
      <c r="D208" s="312"/>
      <c r="E208" s="311"/>
      <c r="F208" s="312"/>
      <c r="G208" s="311"/>
      <c r="H208" s="311"/>
    </row>
    <row r="209" spans="2:8">
      <c r="B209" s="311"/>
      <c r="C209" s="311"/>
      <c r="D209" s="312"/>
      <c r="E209" s="311"/>
      <c r="F209" s="312"/>
      <c r="G209" s="311"/>
      <c r="H209" s="311"/>
    </row>
    <row r="210" spans="2:8">
      <c r="B210" s="311"/>
      <c r="C210" s="311"/>
      <c r="D210" s="312"/>
      <c r="E210" s="311"/>
      <c r="F210" s="312"/>
      <c r="G210" s="311"/>
      <c r="H210" s="311"/>
    </row>
    <row r="211" spans="2:8">
      <c r="B211" s="311"/>
      <c r="C211" s="311"/>
      <c r="D211" s="312"/>
      <c r="E211" s="311"/>
      <c r="F211" s="312"/>
      <c r="G211" s="311"/>
      <c r="H211" s="311"/>
    </row>
    <row r="212" spans="2:8">
      <c r="B212" s="311"/>
      <c r="C212" s="311"/>
      <c r="D212" s="312"/>
      <c r="E212" s="311"/>
      <c r="F212" s="312"/>
      <c r="G212" s="311"/>
      <c r="H212" s="311"/>
    </row>
    <row r="213" spans="2:8">
      <c r="B213" s="311"/>
      <c r="C213" s="311"/>
      <c r="D213" s="312"/>
      <c r="E213" s="311"/>
      <c r="F213" s="312"/>
      <c r="G213" s="311"/>
      <c r="H213" s="311"/>
    </row>
    <row r="214" spans="2:8">
      <c r="B214" s="311"/>
      <c r="C214" s="311"/>
      <c r="D214" s="312"/>
      <c r="E214" s="311"/>
      <c r="F214" s="312"/>
      <c r="G214" s="311"/>
      <c r="H214" s="311"/>
    </row>
    <row r="215" spans="2:8">
      <c r="B215" s="311"/>
      <c r="C215" s="311"/>
      <c r="D215" s="312"/>
      <c r="E215" s="311"/>
      <c r="F215" s="312"/>
      <c r="G215" s="311"/>
      <c r="H215" s="311"/>
    </row>
    <row r="216" spans="2:8">
      <c r="B216" s="311"/>
      <c r="C216" s="311"/>
      <c r="D216" s="312"/>
      <c r="E216" s="311"/>
      <c r="F216" s="312"/>
      <c r="G216" s="311"/>
      <c r="H216" s="311"/>
    </row>
    <row r="217" spans="2:8">
      <c r="B217" s="311"/>
      <c r="C217" s="311"/>
      <c r="D217" s="312"/>
      <c r="E217" s="311"/>
      <c r="F217" s="312"/>
      <c r="G217" s="311"/>
      <c r="H217" s="311"/>
    </row>
    <row r="218" spans="2:8">
      <c r="B218" s="311"/>
      <c r="C218" s="311"/>
      <c r="D218" s="312"/>
      <c r="E218" s="311"/>
      <c r="F218" s="312"/>
      <c r="G218" s="311"/>
      <c r="H218" s="311"/>
    </row>
    <row r="219" spans="2:8">
      <c r="B219" s="311"/>
      <c r="C219" s="311"/>
      <c r="D219" s="312"/>
      <c r="E219" s="311"/>
      <c r="F219" s="312"/>
      <c r="G219" s="311"/>
      <c r="H219" s="311"/>
    </row>
    <row r="220" spans="2:8">
      <c r="B220" s="311"/>
      <c r="C220" s="311"/>
      <c r="D220" s="312"/>
      <c r="E220" s="311"/>
      <c r="F220" s="312"/>
      <c r="G220" s="311"/>
      <c r="H220" s="311"/>
    </row>
    <row r="221" spans="2:8">
      <c r="B221" s="311"/>
      <c r="C221" s="311"/>
      <c r="D221" s="312"/>
      <c r="E221" s="311"/>
      <c r="F221" s="312"/>
      <c r="G221" s="311"/>
      <c r="H221" s="311"/>
    </row>
    <row r="222" spans="2:8">
      <c r="B222" s="311"/>
      <c r="C222" s="311"/>
      <c r="D222" s="312"/>
      <c r="E222" s="311"/>
      <c r="F222" s="312"/>
      <c r="G222" s="311"/>
      <c r="H222" s="311"/>
    </row>
    <row r="223" spans="2:8">
      <c r="B223" s="311"/>
      <c r="C223" s="311"/>
      <c r="D223" s="312"/>
      <c r="E223" s="311"/>
      <c r="F223" s="312"/>
      <c r="G223" s="311"/>
      <c r="H223" s="311"/>
    </row>
    <row r="224" spans="2:8">
      <c r="B224" s="311"/>
      <c r="C224" s="311"/>
      <c r="D224" s="312"/>
      <c r="E224" s="311"/>
      <c r="F224" s="312"/>
      <c r="G224" s="311"/>
      <c r="H224" s="311"/>
    </row>
    <row r="225" spans="2:8">
      <c r="B225" s="311"/>
      <c r="C225" s="311"/>
      <c r="D225" s="312"/>
      <c r="E225" s="311"/>
      <c r="F225" s="312"/>
      <c r="G225" s="311"/>
      <c r="H225" s="311"/>
    </row>
    <row r="226" spans="2:8">
      <c r="B226" s="311"/>
      <c r="C226" s="311"/>
      <c r="D226" s="312"/>
      <c r="E226" s="311"/>
      <c r="F226" s="312"/>
      <c r="G226" s="311"/>
      <c r="H226" s="311"/>
    </row>
    <row r="227" spans="2:8">
      <c r="B227" s="311"/>
      <c r="C227" s="311"/>
      <c r="D227" s="312"/>
      <c r="E227" s="311"/>
      <c r="F227" s="312"/>
      <c r="G227" s="311"/>
      <c r="H227" s="311"/>
    </row>
    <row r="228" spans="2:8">
      <c r="B228" s="311"/>
      <c r="C228" s="311"/>
      <c r="D228" s="312"/>
      <c r="E228" s="311"/>
      <c r="F228" s="312"/>
      <c r="G228" s="311"/>
      <c r="H228" s="311"/>
    </row>
    <row r="229" spans="2:8">
      <c r="B229" s="311"/>
      <c r="C229" s="311"/>
      <c r="D229" s="312"/>
      <c r="E229" s="311"/>
      <c r="F229" s="312"/>
      <c r="G229" s="311"/>
      <c r="H229" s="311"/>
    </row>
    <row r="230" spans="2:8">
      <c r="B230" s="311"/>
      <c r="C230" s="311"/>
      <c r="D230" s="312"/>
      <c r="E230" s="311"/>
      <c r="F230" s="312"/>
      <c r="G230" s="311"/>
      <c r="H230" s="311"/>
    </row>
    <row r="231" spans="2:8">
      <c r="B231" s="311"/>
      <c r="C231" s="311"/>
      <c r="D231" s="312"/>
      <c r="E231" s="311"/>
      <c r="F231" s="312"/>
      <c r="G231" s="311"/>
      <c r="H231" s="311"/>
    </row>
    <row r="232" spans="2:8">
      <c r="B232" s="311"/>
      <c r="C232" s="311"/>
      <c r="D232" s="312"/>
      <c r="E232" s="311"/>
      <c r="F232" s="312"/>
      <c r="G232" s="311"/>
      <c r="H232" s="311"/>
    </row>
    <row r="233" spans="2:8">
      <c r="B233" s="311"/>
      <c r="C233" s="311"/>
      <c r="D233" s="312"/>
      <c r="E233" s="311"/>
      <c r="F233" s="312"/>
      <c r="G233" s="311"/>
      <c r="H233" s="311"/>
    </row>
    <row r="234" spans="2:8">
      <c r="B234" s="311"/>
      <c r="C234" s="311"/>
      <c r="D234" s="312"/>
      <c r="E234" s="311"/>
      <c r="F234" s="312"/>
      <c r="G234" s="311"/>
      <c r="H234" s="311"/>
    </row>
    <row r="235" spans="2:8">
      <c r="B235" s="311"/>
      <c r="C235" s="311"/>
      <c r="D235" s="312"/>
      <c r="E235" s="311"/>
      <c r="F235" s="312"/>
      <c r="G235" s="311"/>
      <c r="H235" s="311"/>
    </row>
    <row r="236" spans="2:8">
      <c r="B236" s="311"/>
      <c r="C236" s="311"/>
      <c r="D236" s="312"/>
      <c r="E236" s="311"/>
      <c r="F236" s="312"/>
      <c r="G236" s="311"/>
      <c r="H236" s="311"/>
    </row>
    <row r="237" spans="2:8">
      <c r="B237" s="311"/>
      <c r="C237" s="311"/>
      <c r="D237" s="312"/>
      <c r="E237" s="311"/>
      <c r="F237" s="312"/>
      <c r="G237" s="311"/>
      <c r="H237" s="311"/>
    </row>
    <row r="238" spans="2:8">
      <c r="B238" s="311"/>
      <c r="C238" s="311"/>
      <c r="D238" s="312"/>
      <c r="E238" s="311"/>
      <c r="F238" s="312"/>
      <c r="G238" s="311"/>
      <c r="H238" s="311"/>
    </row>
    <row r="239" spans="2:8">
      <c r="B239" s="311"/>
      <c r="C239" s="311"/>
      <c r="D239" s="312"/>
      <c r="E239" s="311"/>
      <c r="F239" s="312"/>
      <c r="G239" s="311"/>
      <c r="H239" s="311"/>
    </row>
    <row r="240" spans="2:8">
      <c r="B240" s="311"/>
      <c r="C240" s="311"/>
      <c r="D240" s="312"/>
      <c r="E240" s="311"/>
      <c r="F240" s="312"/>
      <c r="G240" s="311"/>
      <c r="H240" s="311"/>
    </row>
    <row r="241" spans="2:8">
      <c r="B241" s="311"/>
      <c r="C241" s="311"/>
      <c r="D241" s="312"/>
      <c r="E241" s="311"/>
      <c r="F241" s="312"/>
      <c r="G241" s="311"/>
      <c r="H241" s="311"/>
    </row>
    <row r="242" spans="2:8">
      <c r="B242" s="311"/>
      <c r="C242" s="311"/>
      <c r="D242" s="312"/>
      <c r="E242" s="311"/>
      <c r="F242" s="312"/>
      <c r="G242" s="311"/>
      <c r="H242" s="311"/>
    </row>
    <row r="243" spans="2:8">
      <c r="B243" s="311"/>
      <c r="C243" s="311"/>
      <c r="D243" s="312"/>
      <c r="E243" s="311"/>
      <c r="F243" s="312"/>
      <c r="G243" s="311"/>
      <c r="H243" s="311"/>
    </row>
    <row r="244" spans="2:8">
      <c r="B244" s="311"/>
      <c r="C244" s="311"/>
      <c r="D244" s="312"/>
      <c r="E244" s="311"/>
      <c r="F244" s="312"/>
      <c r="G244" s="311"/>
      <c r="H244" s="311"/>
    </row>
    <row r="245" spans="2:8">
      <c r="B245" s="311"/>
      <c r="C245" s="311"/>
      <c r="D245" s="312"/>
      <c r="E245" s="311"/>
      <c r="F245" s="312"/>
      <c r="G245" s="311"/>
      <c r="H245" s="311"/>
    </row>
    <row r="246" spans="2:8">
      <c r="B246" s="311"/>
      <c r="C246" s="311"/>
      <c r="D246" s="312"/>
      <c r="E246" s="311"/>
      <c r="F246" s="312"/>
      <c r="G246" s="311"/>
      <c r="H246" s="311"/>
    </row>
    <row r="247" spans="2:8">
      <c r="B247" s="311"/>
      <c r="C247" s="311"/>
      <c r="D247" s="312"/>
      <c r="E247" s="311"/>
      <c r="F247" s="312"/>
      <c r="G247" s="311"/>
      <c r="H247" s="311"/>
    </row>
    <row r="248" spans="2:8">
      <c r="B248" s="311"/>
      <c r="C248" s="311"/>
      <c r="D248" s="312"/>
      <c r="E248" s="311"/>
      <c r="F248" s="312"/>
      <c r="G248" s="311"/>
      <c r="H248" s="311"/>
    </row>
    <row r="249" spans="2:8">
      <c r="B249" s="311"/>
      <c r="C249" s="311"/>
      <c r="D249" s="312"/>
      <c r="E249" s="311"/>
      <c r="F249" s="312"/>
      <c r="G249" s="311"/>
      <c r="H249" s="311"/>
    </row>
    <row r="250" spans="2:8">
      <c r="B250" s="311"/>
      <c r="C250" s="311"/>
      <c r="D250" s="312"/>
      <c r="E250" s="311"/>
      <c r="F250" s="312"/>
      <c r="G250" s="311"/>
      <c r="H250" s="311"/>
    </row>
    <row r="251" spans="2:8">
      <c r="B251" s="311"/>
      <c r="C251" s="311"/>
      <c r="D251" s="312"/>
      <c r="E251" s="311"/>
      <c r="F251" s="312"/>
      <c r="G251" s="311"/>
      <c r="H251" s="311"/>
    </row>
    <row r="252" spans="2:8">
      <c r="B252" s="311"/>
      <c r="C252" s="311"/>
      <c r="D252" s="312"/>
      <c r="E252" s="311"/>
      <c r="F252" s="312"/>
      <c r="G252" s="311"/>
      <c r="H252" s="311"/>
    </row>
    <row r="253" spans="2:8">
      <c r="B253" s="311"/>
      <c r="C253" s="311"/>
      <c r="D253" s="312"/>
      <c r="E253" s="311"/>
      <c r="F253" s="312"/>
      <c r="G253" s="311"/>
      <c r="H253" s="311"/>
    </row>
    <row r="254" spans="2:8">
      <c r="B254" s="311"/>
      <c r="C254" s="311"/>
      <c r="D254" s="312"/>
      <c r="E254" s="311"/>
      <c r="F254" s="312"/>
      <c r="G254" s="311"/>
      <c r="H254" s="311"/>
    </row>
    <row r="255" spans="2:8">
      <c r="B255" s="311"/>
      <c r="C255" s="311"/>
      <c r="D255" s="312"/>
      <c r="E255" s="311"/>
      <c r="F255" s="312"/>
      <c r="G255" s="311"/>
      <c r="H255" s="311"/>
    </row>
    <row r="256" spans="2:8">
      <c r="B256" s="311"/>
      <c r="C256" s="311"/>
      <c r="D256" s="312"/>
      <c r="E256" s="311"/>
      <c r="F256" s="312"/>
      <c r="G256" s="311"/>
      <c r="H256" s="311"/>
    </row>
    <row r="257" spans="2:8">
      <c r="B257" s="311"/>
      <c r="C257" s="311"/>
      <c r="D257" s="312"/>
      <c r="E257" s="311"/>
      <c r="F257" s="312"/>
      <c r="G257" s="311"/>
      <c r="H257" s="311"/>
    </row>
    <row r="258" spans="2:8">
      <c r="B258" s="311"/>
      <c r="C258" s="311"/>
      <c r="D258" s="312"/>
      <c r="E258" s="311"/>
      <c r="F258" s="312"/>
      <c r="G258" s="311"/>
      <c r="H258" s="311"/>
    </row>
    <row r="259" spans="2:8">
      <c r="B259" s="311"/>
      <c r="C259" s="311"/>
      <c r="D259" s="312"/>
      <c r="E259" s="311"/>
      <c r="F259" s="312"/>
      <c r="G259" s="311"/>
      <c r="H259" s="311"/>
    </row>
    <row r="260" spans="2:8">
      <c r="B260" s="311"/>
      <c r="C260" s="311"/>
      <c r="D260" s="312"/>
      <c r="E260" s="311"/>
      <c r="F260" s="312"/>
      <c r="G260" s="311"/>
      <c r="H260" s="311"/>
    </row>
    <row r="261" spans="2:8">
      <c r="B261" s="311"/>
      <c r="C261" s="311"/>
      <c r="D261" s="312"/>
      <c r="E261" s="311"/>
      <c r="F261" s="312"/>
      <c r="G261" s="311"/>
      <c r="H261" s="311"/>
    </row>
    <row r="262" spans="2:8">
      <c r="B262" s="311"/>
      <c r="C262" s="311"/>
      <c r="D262" s="312"/>
      <c r="E262" s="311"/>
      <c r="F262" s="312"/>
      <c r="G262" s="311"/>
      <c r="H262" s="311"/>
    </row>
    <row r="263" spans="2:8">
      <c r="B263" s="311"/>
      <c r="C263" s="311"/>
      <c r="D263" s="312"/>
      <c r="E263" s="311"/>
      <c r="F263" s="312"/>
      <c r="G263" s="311"/>
      <c r="H263" s="311"/>
    </row>
    <row r="264" spans="2:8">
      <c r="B264" s="311"/>
      <c r="C264" s="311"/>
      <c r="D264" s="312"/>
      <c r="E264" s="311"/>
      <c r="F264" s="312"/>
      <c r="G264" s="311"/>
      <c r="H264" s="311"/>
    </row>
    <row r="265" spans="2:8">
      <c r="B265" s="311"/>
      <c r="C265" s="311"/>
      <c r="D265" s="312"/>
      <c r="E265" s="311"/>
      <c r="F265" s="312"/>
      <c r="G265" s="311"/>
      <c r="H265" s="311"/>
    </row>
    <row r="266" spans="2:8">
      <c r="B266" s="311"/>
      <c r="C266" s="311"/>
      <c r="D266" s="312"/>
      <c r="E266" s="311"/>
      <c r="F266" s="312"/>
      <c r="G266" s="311"/>
      <c r="H266" s="311"/>
    </row>
    <row r="267" spans="2:8">
      <c r="B267" s="311"/>
      <c r="C267" s="311"/>
      <c r="D267" s="312"/>
      <c r="E267" s="311"/>
      <c r="F267" s="312"/>
      <c r="G267" s="311"/>
      <c r="H267" s="311"/>
    </row>
    <row r="268" spans="2:8">
      <c r="B268" s="311"/>
      <c r="C268" s="311"/>
      <c r="D268" s="312"/>
      <c r="E268" s="311"/>
      <c r="F268" s="312"/>
      <c r="G268" s="311"/>
      <c r="H268" s="311"/>
    </row>
    <row r="269" spans="2:8">
      <c r="B269" s="311"/>
      <c r="C269" s="311"/>
      <c r="D269" s="312"/>
      <c r="E269" s="311"/>
      <c r="F269" s="312"/>
      <c r="G269" s="311"/>
      <c r="H269" s="311"/>
    </row>
    <row r="270" spans="2:8">
      <c r="B270" s="311"/>
      <c r="C270" s="311"/>
      <c r="D270" s="312"/>
      <c r="E270" s="311"/>
      <c r="F270" s="312"/>
      <c r="G270" s="311"/>
      <c r="H270" s="311"/>
    </row>
    <row r="271" spans="2:8">
      <c r="B271" s="311"/>
      <c r="C271" s="311"/>
      <c r="D271" s="312"/>
      <c r="E271" s="311"/>
      <c r="F271" s="312"/>
      <c r="G271" s="311"/>
      <c r="H271" s="311"/>
    </row>
    <row r="272" spans="2:8">
      <c r="B272" s="311"/>
      <c r="C272" s="311"/>
      <c r="D272" s="312"/>
      <c r="E272" s="311"/>
      <c r="F272" s="312"/>
      <c r="G272" s="311"/>
      <c r="H272" s="311"/>
    </row>
    <row r="273" spans="2:8">
      <c r="B273" s="311"/>
      <c r="C273" s="311"/>
      <c r="D273" s="312"/>
      <c r="E273" s="311"/>
      <c r="F273" s="312"/>
      <c r="G273" s="311"/>
      <c r="H273" s="311"/>
    </row>
    <row r="274" spans="2:8">
      <c r="B274" s="311"/>
      <c r="C274" s="311"/>
      <c r="D274" s="312"/>
      <c r="E274" s="311"/>
      <c r="F274" s="312"/>
      <c r="G274" s="311"/>
      <c r="H274" s="311"/>
    </row>
    <row r="275" spans="2:8">
      <c r="B275" s="311"/>
      <c r="C275" s="311"/>
      <c r="D275" s="312"/>
      <c r="E275" s="311"/>
      <c r="F275" s="312"/>
      <c r="G275" s="311"/>
      <c r="H275" s="311"/>
    </row>
    <row r="276" spans="2:8">
      <c r="B276" s="311"/>
      <c r="C276" s="311"/>
      <c r="D276" s="312"/>
      <c r="E276" s="311"/>
      <c r="F276" s="312"/>
      <c r="G276" s="311"/>
      <c r="H276" s="311"/>
    </row>
    <row r="277" spans="2:8">
      <c r="B277" s="311"/>
      <c r="C277" s="311"/>
      <c r="D277" s="312"/>
      <c r="E277" s="311"/>
      <c r="F277" s="312"/>
      <c r="G277" s="311"/>
      <c r="H277" s="311"/>
    </row>
    <row r="278" spans="2:8">
      <c r="B278" s="311"/>
      <c r="C278" s="311"/>
      <c r="D278" s="312"/>
      <c r="E278" s="311"/>
      <c r="F278" s="312"/>
      <c r="G278" s="311"/>
      <c r="H278" s="311"/>
    </row>
    <row r="279" spans="2:8">
      <c r="B279" s="311"/>
      <c r="C279" s="311"/>
      <c r="D279" s="312"/>
      <c r="E279" s="311"/>
      <c r="F279" s="312"/>
      <c r="G279" s="311"/>
      <c r="H279" s="311"/>
    </row>
    <row r="280" spans="2:8">
      <c r="B280" s="311"/>
      <c r="C280" s="311"/>
      <c r="D280" s="312"/>
      <c r="E280" s="311"/>
      <c r="F280" s="312"/>
      <c r="G280" s="311"/>
      <c r="H280" s="311"/>
    </row>
    <row r="281" spans="2:8">
      <c r="B281" s="311"/>
      <c r="C281" s="311"/>
      <c r="D281" s="312"/>
      <c r="E281" s="311"/>
      <c r="F281" s="312"/>
      <c r="G281" s="311"/>
      <c r="H281" s="311"/>
    </row>
    <row r="282" spans="2:8">
      <c r="B282" s="311"/>
      <c r="C282" s="311"/>
      <c r="D282" s="312"/>
      <c r="E282" s="311"/>
      <c r="F282" s="312"/>
      <c r="G282" s="311"/>
      <c r="H282" s="311"/>
    </row>
    <row r="283" spans="2:8">
      <c r="B283" s="311"/>
      <c r="C283" s="311"/>
      <c r="D283" s="312"/>
      <c r="E283" s="311"/>
      <c r="F283" s="312"/>
      <c r="G283" s="311"/>
      <c r="H283" s="311"/>
    </row>
    <row r="284" spans="2:8">
      <c r="B284" s="311"/>
      <c r="C284" s="311"/>
      <c r="D284" s="312"/>
      <c r="E284" s="311"/>
      <c r="F284" s="312"/>
      <c r="G284" s="311"/>
      <c r="H284" s="311"/>
    </row>
    <row r="285" spans="2:8">
      <c r="B285" s="311"/>
      <c r="C285" s="311"/>
      <c r="D285" s="312"/>
      <c r="E285" s="311"/>
      <c r="F285" s="312"/>
      <c r="G285" s="311"/>
      <c r="H285" s="311"/>
    </row>
    <row r="286" spans="2:8">
      <c r="B286" s="311"/>
      <c r="C286" s="311"/>
      <c r="D286" s="312"/>
      <c r="E286" s="311"/>
      <c r="F286" s="312"/>
      <c r="G286" s="311"/>
      <c r="H286" s="311"/>
    </row>
    <row r="287" spans="2:8">
      <c r="B287" s="311"/>
      <c r="C287" s="311"/>
      <c r="D287" s="312"/>
      <c r="E287" s="311"/>
      <c r="F287" s="312"/>
      <c r="G287" s="311"/>
      <c r="H287" s="311"/>
    </row>
    <row r="288" spans="2:8">
      <c r="B288" s="311"/>
      <c r="C288" s="311"/>
      <c r="D288" s="312"/>
      <c r="E288" s="311"/>
      <c r="F288" s="312"/>
      <c r="G288" s="311"/>
      <c r="H288" s="311"/>
    </row>
    <row r="289" spans="2:8">
      <c r="B289" s="311"/>
      <c r="C289" s="311"/>
      <c r="D289" s="312"/>
      <c r="E289" s="311"/>
      <c r="F289" s="312"/>
      <c r="G289" s="311"/>
      <c r="H289" s="311"/>
    </row>
    <row r="290" spans="2:8">
      <c r="B290" s="311"/>
      <c r="C290" s="311"/>
      <c r="D290" s="312"/>
      <c r="E290" s="311"/>
      <c r="F290" s="312"/>
      <c r="G290" s="311"/>
      <c r="H290" s="311"/>
    </row>
    <row r="291" spans="2:8">
      <c r="B291" s="311"/>
      <c r="C291" s="311"/>
      <c r="D291" s="312"/>
      <c r="E291" s="311"/>
      <c r="F291" s="312"/>
      <c r="G291" s="311"/>
      <c r="H291" s="311"/>
    </row>
    <row r="292" spans="2:8">
      <c r="B292" s="311"/>
      <c r="C292" s="311"/>
      <c r="D292" s="312"/>
      <c r="E292" s="311"/>
      <c r="F292" s="312"/>
      <c r="G292" s="311"/>
      <c r="H292" s="311"/>
    </row>
    <row r="293" spans="2:8">
      <c r="B293" s="311"/>
      <c r="C293" s="311"/>
      <c r="D293" s="312"/>
      <c r="E293" s="311"/>
      <c r="F293" s="312"/>
      <c r="G293" s="311"/>
      <c r="H293" s="311"/>
    </row>
    <row r="294" spans="2:8">
      <c r="B294" s="311"/>
      <c r="C294" s="311"/>
      <c r="D294" s="312"/>
      <c r="E294" s="311"/>
      <c r="F294" s="312"/>
      <c r="G294" s="311"/>
      <c r="H294" s="311"/>
    </row>
    <row r="295" spans="2:8">
      <c r="B295" s="311"/>
      <c r="C295" s="311"/>
      <c r="D295" s="312"/>
      <c r="E295" s="311"/>
      <c r="F295" s="312"/>
      <c r="G295" s="311"/>
      <c r="H295" s="311"/>
    </row>
    <row r="296" spans="2:8">
      <c r="B296" s="311"/>
      <c r="C296" s="311"/>
      <c r="D296" s="312"/>
      <c r="E296" s="311"/>
      <c r="F296" s="312"/>
      <c r="G296" s="311"/>
      <c r="H296" s="311"/>
    </row>
    <row r="297" spans="2:8">
      <c r="B297" s="311"/>
      <c r="C297" s="311"/>
      <c r="D297" s="312"/>
      <c r="E297" s="311"/>
      <c r="F297" s="312"/>
      <c r="G297" s="311"/>
      <c r="H297" s="311"/>
    </row>
    <row r="298" spans="2:8">
      <c r="B298" s="311"/>
      <c r="C298" s="311"/>
      <c r="D298" s="312"/>
      <c r="E298" s="311"/>
      <c r="F298" s="312"/>
      <c r="G298" s="311"/>
      <c r="H298" s="311"/>
    </row>
    <row r="299" spans="2:8">
      <c r="B299" s="311"/>
      <c r="C299" s="311"/>
      <c r="D299" s="312"/>
      <c r="E299" s="311"/>
      <c r="F299" s="312"/>
      <c r="G299" s="311"/>
      <c r="H299" s="311"/>
    </row>
    <row r="300" spans="2:8">
      <c r="B300" s="311"/>
      <c r="C300" s="311"/>
      <c r="D300" s="312"/>
      <c r="E300" s="311"/>
      <c r="F300" s="312"/>
      <c r="G300" s="311"/>
      <c r="H300" s="311"/>
    </row>
    <row r="301" spans="2:8">
      <c r="B301" s="311"/>
      <c r="C301" s="311"/>
      <c r="D301" s="312"/>
      <c r="E301" s="311"/>
      <c r="F301" s="312"/>
      <c r="G301" s="311"/>
      <c r="H301" s="311"/>
    </row>
    <row r="302" spans="2:8">
      <c r="B302" s="311"/>
      <c r="C302" s="311"/>
      <c r="D302" s="312"/>
      <c r="E302" s="311"/>
      <c r="F302" s="312"/>
      <c r="G302" s="311"/>
      <c r="H302" s="311"/>
    </row>
    <row r="303" spans="2:8">
      <c r="B303" s="311"/>
      <c r="C303" s="311"/>
      <c r="D303" s="312"/>
      <c r="E303" s="311"/>
      <c r="F303" s="312"/>
      <c r="G303" s="311"/>
      <c r="H303" s="311"/>
    </row>
    <row r="304" spans="2:8">
      <c r="B304" s="311"/>
      <c r="C304" s="311"/>
      <c r="D304" s="312"/>
      <c r="E304" s="311"/>
      <c r="F304" s="312"/>
      <c r="G304" s="311"/>
      <c r="H304" s="311"/>
    </row>
    <row r="305" spans="2:8">
      <c r="B305" s="311"/>
      <c r="C305" s="311"/>
      <c r="D305" s="312"/>
      <c r="E305" s="311"/>
      <c r="F305" s="312"/>
      <c r="G305" s="311"/>
      <c r="H305" s="311"/>
    </row>
    <row r="306" spans="2:8">
      <c r="B306" s="311"/>
      <c r="C306" s="311"/>
      <c r="D306" s="312"/>
      <c r="E306" s="311"/>
      <c r="F306" s="312"/>
      <c r="G306" s="311"/>
      <c r="H306" s="311"/>
    </row>
    <row r="307" spans="2:8">
      <c r="B307" s="311"/>
      <c r="C307" s="311"/>
      <c r="D307" s="312"/>
      <c r="E307" s="311"/>
      <c r="F307" s="312"/>
      <c r="G307" s="311"/>
      <c r="H307" s="311"/>
    </row>
    <row r="308" spans="2:8">
      <c r="B308" s="311"/>
      <c r="C308" s="311"/>
      <c r="D308" s="312"/>
      <c r="E308" s="311"/>
      <c r="F308" s="312"/>
      <c r="G308" s="311"/>
      <c r="H308" s="311"/>
    </row>
    <row r="309" spans="2:8">
      <c r="B309" s="311"/>
      <c r="C309" s="311"/>
      <c r="D309" s="312"/>
      <c r="E309" s="311"/>
      <c r="F309" s="312"/>
      <c r="G309" s="311"/>
      <c r="H309" s="311"/>
    </row>
    <row r="310" spans="2:8">
      <c r="B310" s="311"/>
      <c r="C310" s="311"/>
      <c r="D310" s="312"/>
      <c r="E310" s="311"/>
      <c r="F310" s="312"/>
      <c r="G310" s="311"/>
      <c r="H310" s="311"/>
    </row>
    <row r="311" spans="2:8">
      <c r="B311" s="311"/>
      <c r="C311" s="311"/>
      <c r="D311" s="312"/>
      <c r="E311" s="311"/>
      <c r="F311" s="312"/>
      <c r="G311" s="311"/>
      <c r="H311" s="311"/>
    </row>
    <row r="312" spans="2:8">
      <c r="B312" s="311"/>
      <c r="C312" s="311"/>
      <c r="D312" s="312"/>
      <c r="E312" s="311"/>
      <c r="F312" s="312"/>
      <c r="G312" s="311"/>
      <c r="H312" s="311"/>
    </row>
    <row r="313" spans="2:8">
      <c r="B313" s="311"/>
      <c r="C313" s="311"/>
      <c r="D313" s="312"/>
      <c r="E313" s="311"/>
      <c r="F313" s="312"/>
      <c r="G313" s="311"/>
      <c r="H313" s="311"/>
    </row>
    <row r="314" spans="2:8">
      <c r="B314" s="311"/>
      <c r="C314" s="311"/>
      <c r="D314" s="312"/>
      <c r="E314" s="311"/>
      <c r="F314" s="312"/>
      <c r="G314" s="311"/>
      <c r="H314" s="311"/>
    </row>
    <row r="315" spans="2:8">
      <c r="B315" s="311"/>
      <c r="C315" s="311"/>
      <c r="D315" s="312"/>
      <c r="E315" s="311"/>
      <c r="F315" s="312"/>
      <c r="G315" s="311"/>
      <c r="H315" s="311"/>
    </row>
    <row r="316" spans="2:8">
      <c r="B316" s="311"/>
      <c r="C316" s="311"/>
      <c r="D316" s="312"/>
      <c r="E316" s="311"/>
      <c r="F316" s="312"/>
      <c r="G316" s="311"/>
      <c r="H316" s="311"/>
    </row>
    <row r="317" spans="2:8">
      <c r="B317" s="311"/>
      <c r="C317" s="311"/>
      <c r="D317" s="312"/>
      <c r="E317" s="311"/>
      <c r="F317" s="312"/>
      <c r="G317" s="311"/>
      <c r="H317" s="311"/>
    </row>
    <row r="318" spans="2:8">
      <c r="B318" s="311"/>
      <c r="C318" s="311"/>
      <c r="D318" s="312"/>
      <c r="E318" s="311"/>
      <c r="F318" s="312"/>
      <c r="G318" s="311"/>
      <c r="H318" s="311"/>
    </row>
    <row r="319" spans="2:8">
      <c r="B319" s="311"/>
      <c r="C319" s="311"/>
      <c r="D319" s="312"/>
      <c r="E319" s="311"/>
      <c r="F319" s="312"/>
      <c r="G319" s="311"/>
      <c r="H319" s="311"/>
    </row>
    <row r="320" spans="2:8">
      <c r="B320" s="311"/>
      <c r="C320" s="311"/>
      <c r="D320" s="312"/>
      <c r="E320" s="311"/>
      <c r="F320" s="312"/>
      <c r="G320" s="311"/>
      <c r="H320" s="311"/>
    </row>
    <row r="321" spans="2:8">
      <c r="B321" s="311"/>
      <c r="C321" s="311"/>
      <c r="D321" s="312"/>
      <c r="E321" s="311"/>
      <c r="F321" s="312"/>
      <c r="G321" s="311"/>
      <c r="H321" s="311"/>
    </row>
    <row r="322" spans="2:8">
      <c r="B322" s="311"/>
      <c r="C322" s="311"/>
      <c r="D322" s="312"/>
      <c r="E322" s="311"/>
      <c r="F322" s="312"/>
      <c r="G322" s="311"/>
      <c r="H322" s="311"/>
    </row>
    <row r="323" spans="2:8">
      <c r="B323" s="311"/>
      <c r="C323" s="311"/>
      <c r="D323" s="312"/>
      <c r="E323" s="311"/>
      <c r="F323" s="312"/>
      <c r="G323" s="311"/>
      <c r="H323" s="311"/>
    </row>
    <row r="324" spans="2:8">
      <c r="B324" s="311"/>
      <c r="C324" s="311"/>
      <c r="D324" s="312"/>
      <c r="E324" s="311"/>
      <c r="F324" s="312"/>
      <c r="G324" s="311"/>
      <c r="H324" s="311"/>
    </row>
    <row r="325" spans="2:8">
      <c r="B325" s="311"/>
      <c r="C325" s="311"/>
      <c r="D325" s="312"/>
      <c r="E325" s="311"/>
      <c r="F325" s="312"/>
      <c r="G325" s="311"/>
      <c r="H325" s="311"/>
    </row>
    <row r="326" spans="2:8">
      <c r="B326" s="311"/>
      <c r="C326" s="311"/>
      <c r="D326" s="312"/>
      <c r="E326" s="311"/>
      <c r="F326" s="312"/>
      <c r="G326" s="311"/>
      <c r="H326" s="311"/>
    </row>
    <row r="327" spans="2:8">
      <c r="B327" s="311"/>
      <c r="C327" s="311"/>
      <c r="D327" s="312"/>
      <c r="E327" s="311"/>
      <c r="F327" s="312"/>
      <c r="G327" s="311"/>
      <c r="H327" s="311"/>
    </row>
    <row r="328" spans="2:8">
      <c r="B328" s="311"/>
      <c r="C328" s="311"/>
      <c r="D328" s="312"/>
      <c r="E328" s="311"/>
      <c r="F328" s="312"/>
      <c r="G328" s="311"/>
      <c r="H328" s="311"/>
    </row>
    <row r="329" spans="2:8">
      <c r="B329" s="311"/>
      <c r="C329" s="311"/>
      <c r="D329" s="312"/>
      <c r="E329" s="311"/>
      <c r="F329" s="312"/>
      <c r="G329" s="311"/>
      <c r="H329" s="311"/>
    </row>
    <row r="330" spans="2:8">
      <c r="B330" s="311"/>
      <c r="C330" s="311"/>
      <c r="D330" s="312"/>
      <c r="E330" s="311"/>
      <c r="F330" s="312"/>
      <c r="G330" s="311"/>
      <c r="H330" s="311"/>
    </row>
    <row r="331" spans="2:8">
      <c r="B331" s="311"/>
      <c r="C331" s="311"/>
      <c r="D331" s="312"/>
      <c r="E331" s="311"/>
      <c r="F331" s="312"/>
      <c r="G331" s="311"/>
      <c r="H331" s="311"/>
    </row>
    <row r="332" spans="2:8">
      <c r="B332" s="311"/>
      <c r="C332" s="311"/>
      <c r="D332" s="312"/>
      <c r="E332" s="311"/>
      <c r="F332" s="312"/>
      <c r="G332" s="311"/>
      <c r="H332" s="311"/>
    </row>
    <row r="333" spans="2:8">
      <c r="B333" s="311"/>
      <c r="C333" s="311"/>
      <c r="D333" s="312"/>
      <c r="E333" s="311"/>
      <c r="F333" s="312"/>
      <c r="G333" s="311"/>
      <c r="H333" s="311"/>
    </row>
    <row r="334" spans="2:8">
      <c r="B334" s="311"/>
      <c r="C334" s="311"/>
      <c r="D334" s="312"/>
      <c r="E334" s="311"/>
      <c r="F334" s="312"/>
      <c r="G334" s="311"/>
      <c r="H334" s="311"/>
    </row>
    <row r="335" spans="2:8">
      <c r="B335" s="311"/>
      <c r="C335" s="311"/>
      <c r="D335" s="312"/>
      <c r="E335" s="311"/>
      <c r="F335" s="312"/>
      <c r="G335" s="311"/>
      <c r="H335" s="311"/>
    </row>
    <row r="336" spans="2:8">
      <c r="B336" s="311"/>
      <c r="C336" s="311"/>
      <c r="D336" s="312"/>
      <c r="E336" s="311"/>
      <c r="F336" s="312"/>
      <c r="G336" s="311"/>
      <c r="H336" s="311"/>
    </row>
    <row r="337" spans="2:8">
      <c r="B337" s="311"/>
      <c r="C337" s="311"/>
      <c r="D337" s="312"/>
      <c r="E337" s="311"/>
      <c r="F337" s="312"/>
      <c r="G337" s="311"/>
      <c r="H337" s="311"/>
    </row>
    <row r="338" spans="2:8">
      <c r="B338" s="311"/>
      <c r="C338" s="311"/>
      <c r="D338" s="312"/>
      <c r="E338" s="311"/>
      <c r="F338" s="312"/>
      <c r="G338" s="311"/>
      <c r="H338" s="311"/>
    </row>
    <row r="339" spans="2:8">
      <c r="B339" s="311"/>
      <c r="C339" s="311"/>
      <c r="D339" s="312"/>
      <c r="E339" s="311"/>
      <c r="F339" s="312"/>
      <c r="G339" s="311"/>
      <c r="H339" s="311"/>
    </row>
    <row r="340" spans="2:8">
      <c r="B340" s="311"/>
      <c r="C340" s="311"/>
      <c r="D340" s="312"/>
      <c r="E340" s="311"/>
      <c r="F340" s="312"/>
      <c r="G340" s="311"/>
      <c r="H340" s="311"/>
    </row>
    <row r="341" spans="2:8">
      <c r="B341" s="311"/>
      <c r="C341" s="311"/>
      <c r="D341" s="312"/>
      <c r="E341" s="311"/>
      <c r="F341" s="312"/>
      <c r="G341" s="311"/>
      <c r="H341" s="311"/>
    </row>
    <row r="342" spans="2:8">
      <c r="B342" s="311"/>
      <c r="C342" s="311"/>
      <c r="D342" s="312"/>
      <c r="E342" s="311"/>
      <c r="F342" s="312"/>
      <c r="G342" s="311"/>
      <c r="H342" s="311"/>
    </row>
    <row r="343" spans="2:8">
      <c r="B343" s="311"/>
      <c r="C343" s="311"/>
      <c r="D343" s="312"/>
      <c r="E343" s="311"/>
      <c r="F343" s="312"/>
      <c r="G343" s="311"/>
      <c r="H343" s="311"/>
    </row>
    <row r="344" spans="2:8">
      <c r="B344" s="311"/>
      <c r="C344" s="311"/>
      <c r="D344" s="312"/>
      <c r="E344" s="311"/>
      <c r="F344" s="312"/>
      <c r="G344" s="311"/>
      <c r="H344" s="311"/>
    </row>
    <row r="345" spans="2:8">
      <c r="B345" s="311"/>
      <c r="C345" s="311"/>
      <c r="D345" s="312"/>
      <c r="E345" s="311"/>
      <c r="F345" s="312"/>
      <c r="G345" s="311"/>
      <c r="H345" s="311"/>
    </row>
    <row r="346" spans="2:8">
      <c r="B346" s="311"/>
      <c r="C346" s="311"/>
      <c r="D346" s="312"/>
      <c r="E346" s="311"/>
      <c r="F346" s="312"/>
      <c r="G346" s="311"/>
      <c r="H346" s="311"/>
    </row>
    <row r="347" spans="2:8">
      <c r="B347" s="311"/>
      <c r="C347" s="311"/>
      <c r="D347" s="312"/>
      <c r="E347" s="311"/>
      <c r="F347" s="312"/>
      <c r="G347" s="311"/>
      <c r="H347" s="311"/>
    </row>
    <row r="348" spans="2:8">
      <c r="B348" s="311"/>
      <c r="C348" s="311"/>
      <c r="D348" s="312"/>
      <c r="E348" s="311"/>
      <c r="F348" s="312"/>
      <c r="G348" s="311"/>
      <c r="H348" s="311"/>
    </row>
    <row r="349" spans="2:8">
      <c r="B349" s="311"/>
      <c r="C349" s="311"/>
      <c r="D349" s="312"/>
      <c r="E349" s="311"/>
      <c r="F349" s="312"/>
      <c r="G349" s="311"/>
      <c r="H349" s="311"/>
    </row>
    <row r="350" spans="2:8">
      <c r="B350" s="311"/>
      <c r="C350" s="311"/>
      <c r="D350" s="312"/>
      <c r="E350" s="311"/>
      <c r="F350" s="312"/>
      <c r="G350" s="311"/>
      <c r="H350" s="311"/>
    </row>
    <row r="351" spans="2:8">
      <c r="B351" s="311"/>
      <c r="C351" s="311"/>
      <c r="D351" s="312"/>
      <c r="E351" s="311"/>
      <c r="F351" s="312"/>
      <c r="G351" s="311"/>
      <c r="H351" s="311"/>
    </row>
    <row r="352" spans="2:8">
      <c r="B352" s="311"/>
      <c r="C352" s="311"/>
      <c r="D352" s="312"/>
      <c r="E352" s="311"/>
      <c r="F352" s="312"/>
      <c r="G352" s="311"/>
      <c r="H352" s="311"/>
    </row>
    <row r="353" spans="2:8">
      <c r="B353" s="311"/>
      <c r="C353" s="311"/>
      <c r="D353" s="312"/>
      <c r="E353" s="311"/>
      <c r="F353" s="312"/>
      <c r="G353" s="311"/>
      <c r="H353" s="311"/>
    </row>
    <row r="354" spans="2:8">
      <c r="B354" s="311"/>
      <c r="C354" s="311"/>
      <c r="D354" s="312"/>
      <c r="E354" s="311"/>
      <c r="F354" s="312"/>
      <c r="G354" s="311"/>
      <c r="H354" s="311"/>
    </row>
    <row r="355" spans="2:8">
      <c r="B355" s="311"/>
      <c r="C355" s="311"/>
      <c r="D355" s="312"/>
      <c r="E355" s="311"/>
      <c r="F355" s="312"/>
      <c r="G355" s="311"/>
      <c r="H355" s="311"/>
    </row>
    <row r="356" spans="2:8">
      <c r="B356" s="311"/>
      <c r="C356" s="311"/>
      <c r="D356" s="312"/>
      <c r="E356" s="311"/>
      <c r="F356" s="312"/>
      <c r="G356" s="311"/>
      <c r="H356" s="311"/>
    </row>
    <row r="357" spans="2:8">
      <c r="B357" s="311"/>
      <c r="C357" s="311"/>
      <c r="D357" s="312"/>
      <c r="E357" s="311"/>
      <c r="F357" s="312"/>
      <c r="G357" s="311"/>
      <c r="H357" s="311"/>
    </row>
    <row r="358" spans="2:8">
      <c r="B358" s="311"/>
      <c r="C358" s="311"/>
      <c r="D358" s="312"/>
      <c r="E358" s="311"/>
      <c r="F358" s="312"/>
      <c r="G358" s="311"/>
      <c r="H358" s="311"/>
    </row>
    <row r="359" spans="2:8">
      <c r="B359" s="311"/>
      <c r="C359" s="311"/>
      <c r="D359" s="312"/>
      <c r="E359" s="311"/>
      <c r="F359" s="312"/>
      <c r="G359" s="311"/>
      <c r="H359" s="311"/>
    </row>
    <row r="360" spans="2:8">
      <c r="B360" s="311"/>
      <c r="C360" s="311"/>
      <c r="D360" s="312"/>
      <c r="E360" s="311"/>
      <c r="F360" s="312"/>
      <c r="G360" s="311"/>
      <c r="H360" s="311"/>
    </row>
    <row r="361" spans="2:8">
      <c r="B361" s="311"/>
      <c r="C361" s="311"/>
      <c r="D361" s="312"/>
      <c r="E361" s="311"/>
      <c r="F361" s="312"/>
      <c r="G361" s="311"/>
      <c r="H361" s="311"/>
    </row>
    <row r="362" spans="2:8">
      <c r="B362" s="311"/>
      <c r="C362" s="311"/>
      <c r="D362" s="312"/>
      <c r="E362" s="311"/>
      <c r="F362" s="312"/>
      <c r="G362" s="311"/>
      <c r="H362" s="311"/>
    </row>
    <row r="363" spans="2:8">
      <c r="B363" s="311"/>
      <c r="C363" s="311"/>
      <c r="D363" s="312"/>
      <c r="E363" s="311"/>
      <c r="F363" s="312"/>
      <c r="G363" s="311"/>
      <c r="H363" s="311"/>
    </row>
    <row r="364" spans="2:8">
      <c r="B364" s="311"/>
      <c r="C364" s="311"/>
      <c r="D364" s="312"/>
      <c r="E364" s="311"/>
      <c r="F364" s="312"/>
      <c r="G364" s="311"/>
      <c r="H364" s="311"/>
    </row>
    <row r="365" spans="2:8">
      <c r="B365" s="311"/>
      <c r="C365" s="311"/>
      <c r="D365" s="312"/>
      <c r="E365" s="311"/>
      <c r="F365" s="312"/>
      <c r="G365" s="311"/>
      <c r="H365" s="311"/>
    </row>
    <row r="366" spans="2:8">
      <c r="B366" s="311"/>
      <c r="C366" s="311"/>
      <c r="D366" s="312"/>
      <c r="E366" s="311"/>
      <c r="F366" s="312"/>
      <c r="G366" s="311"/>
      <c r="H366" s="311"/>
    </row>
    <row r="367" spans="2:8">
      <c r="B367" s="311"/>
      <c r="C367" s="311"/>
      <c r="D367" s="312"/>
      <c r="E367" s="311"/>
      <c r="F367" s="312"/>
      <c r="G367" s="311"/>
      <c r="H367" s="311"/>
    </row>
    <row r="368" spans="2:8">
      <c r="B368" s="311"/>
      <c r="C368" s="311"/>
      <c r="D368" s="312"/>
      <c r="E368" s="311"/>
      <c r="F368" s="312"/>
      <c r="G368" s="311"/>
      <c r="H368" s="311"/>
    </row>
    <row r="369" spans="2:8">
      <c r="B369" s="311"/>
      <c r="C369" s="311"/>
      <c r="D369" s="312"/>
      <c r="E369" s="311"/>
      <c r="F369" s="312"/>
      <c r="G369" s="311"/>
      <c r="H369" s="311"/>
    </row>
    <row r="370" spans="2:8">
      <c r="B370" s="311"/>
      <c r="C370" s="311"/>
      <c r="D370" s="312"/>
      <c r="E370" s="311"/>
      <c r="F370" s="312"/>
      <c r="G370" s="311"/>
      <c r="H370" s="311"/>
    </row>
    <row r="371" spans="2:8">
      <c r="B371" s="311"/>
      <c r="C371" s="311"/>
      <c r="D371" s="312"/>
      <c r="E371" s="311"/>
      <c r="F371" s="312"/>
      <c r="G371" s="311"/>
      <c r="H371" s="311"/>
    </row>
    <row r="372" spans="2:8">
      <c r="B372" s="311"/>
      <c r="C372" s="311"/>
      <c r="D372" s="312"/>
      <c r="E372" s="311"/>
      <c r="F372" s="312"/>
      <c r="G372" s="311"/>
      <c r="H372" s="311"/>
    </row>
    <row r="373" spans="2:8">
      <c r="B373" s="303"/>
      <c r="C373" s="303"/>
      <c r="D373" s="303"/>
      <c r="E373" s="309"/>
      <c r="F373" s="310"/>
      <c r="G373" s="309"/>
      <c r="H373" s="303"/>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76</vt:i4>
      </vt:variant>
    </vt:vector>
  </HeadingPairs>
  <TitlesOfParts>
    <vt:vector size="81" baseType="lpstr">
      <vt:lpstr>Calculation</vt:lpstr>
      <vt:lpstr>Chilled Beam Schedule</vt:lpstr>
      <vt:lpstr>Building Summary</vt:lpstr>
      <vt:lpstr>User Notes</vt:lpstr>
      <vt:lpstr>Format</vt:lpstr>
      <vt:lpstr>Approx_Cool</vt:lpstr>
      <vt:lpstr>Avail_Lengths</vt:lpstr>
      <vt:lpstr>CBAB_4P_1</vt:lpstr>
      <vt:lpstr>CBAB_4P_1_COM</vt:lpstr>
      <vt:lpstr>CBAB_4P_1_FO</vt:lpstr>
      <vt:lpstr>CBAB4P1</vt:lpstr>
      <vt:lpstr>CBAL12_2P_1</vt:lpstr>
      <vt:lpstr>CBAL12_2P_1_COM</vt:lpstr>
      <vt:lpstr>CBAL12_2P_1_FO</vt:lpstr>
      <vt:lpstr>CBAL12_2P_2</vt:lpstr>
      <vt:lpstr>CBAL12_2P_2_COM</vt:lpstr>
      <vt:lpstr>CBAL12_2P_2_FO</vt:lpstr>
      <vt:lpstr>CBAL12_4P_1</vt:lpstr>
      <vt:lpstr>CBAL12_4P_1_COM</vt:lpstr>
      <vt:lpstr>CBAL12_4P_1_FO</vt:lpstr>
      <vt:lpstr>CBAL12_4P_2</vt:lpstr>
      <vt:lpstr>CBAL12_4P_2_COM</vt:lpstr>
      <vt:lpstr>CBAL12_4P_2_FO</vt:lpstr>
      <vt:lpstr>CBAS_2P_1</vt:lpstr>
      <vt:lpstr>CBAS_2P_1_COM</vt:lpstr>
      <vt:lpstr>CBAS_2P_1_FO</vt:lpstr>
      <vt:lpstr>CBAS_4P_1</vt:lpstr>
      <vt:lpstr>CBAS_4P_1_COM</vt:lpstr>
      <vt:lpstr>CBAS_4P_1_FO</vt:lpstr>
      <vt:lpstr>CBAV_2P</vt:lpstr>
      <vt:lpstr>CBAV_2P_1_FO</vt:lpstr>
      <vt:lpstr>CBAV_2P_COM</vt:lpstr>
      <vt:lpstr>CBAV_2P_FO</vt:lpstr>
      <vt:lpstr>CBAV_4P_1</vt:lpstr>
      <vt:lpstr>CBAV_4P_1_COM</vt:lpstr>
      <vt:lpstr>CBAV_4P_1_FO</vt:lpstr>
      <vt:lpstr>CBAW_2P_1</vt:lpstr>
      <vt:lpstr>CBAW_2P_1_COM</vt:lpstr>
      <vt:lpstr>CBAW_2P_1_FO</vt:lpstr>
      <vt:lpstr>CBAW_2P_COM</vt:lpstr>
      <vt:lpstr>CBAW_2P_FO</vt:lpstr>
      <vt:lpstr>CBAW_4P_1</vt:lpstr>
      <vt:lpstr>CBAW_4P_1_COM</vt:lpstr>
      <vt:lpstr>CBAW_4P_1_FO</vt:lpstr>
      <vt:lpstr>CBLV_2P_2</vt:lpstr>
      <vt:lpstr>CBLV_2P_2_COM</vt:lpstr>
      <vt:lpstr>CBLV_2P_2_FO</vt:lpstr>
      <vt:lpstr>CBLV_4P_2</vt:lpstr>
      <vt:lpstr>CBLV_4P_2_COM</vt:lpstr>
      <vt:lpstr>CBLV_4P_2_FO</vt:lpstr>
      <vt:lpstr>Coil_K</vt:lpstr>
      <vt:lpstr>CoilWidths</vt:lpstr>
      <vt:lpstr>CoolWatersideRefs</vt:lpstr>
      <vt:lpstr>Discharge_Area</vt:lpstr>
      <vt:lpstr>FourP_Coil_LU</vt:lpstr>
      <vt:lpstr>HeatWatersideRefs</vt:lpstr>
      <vt:lpstr>IndRatios</vt:lpstr>
      <vt:lpstr>Len_SlotLU</vt:lpstr>
      <vt:lpstr>Length_Factor</vt:lpstr>
      <vt:lpstr>LengthCoilLU</vt:lpstr>
      <vt:lpstr>LengthIn</vt:lpstr>
      <vt:lpstr>LengthOut</vt:lpstr>
      <vt:lpstr>MatchTagsOut</vt:lpstr>
      <vt:lpstr>ModelIn</vt:lpstr>
      <vt:lpstr>ModelOut</vt:lpstr>
      <vt:lpstr>Noz_LU</vt:lpstr>
      <vt:lpstr>Noz_Qty</vt:lpstr>
      <vt:lpstr>NozzleLU</vt:lpstr>
      <vt:lpstr>'Building Summary'!Print_Area</vt:lpstr>
      <vt:lpstr>Calculation!Print_Area</vt:lpstr>
      <vt:lpstr>'Chilled Beam Schedule'!Print_Area</vt:lpstr>
      <vt:lpstr>CLU!Print_Area</vt:lpstr>
      <vt:lpstr>QuantityIn</vt:lpstr>
      <vt:lpstr>QuantityOut</vt:lpstr>
      <vt:lpstr>SCMG</vt:lpstr>
      <vt:lpstr>SCMG_LU</vt:lpstr>
      <vt:lpstr>Sec_Coil_K</vt:lpstr>
      <vt:lpstr>SlotPipeLU</vt:lpstr>
      <vt:lpstr>TagIn</vt:lpstr>
      <vt:lpstr>Throw_Coeff</vt:lpstr>
      <vt:lpstr>VINLET</vt:lpstr>
    </vt:vector>
  </TitlesOfParts>
  <Company>Air Distribution Technologies,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Loudermilk, Ken</dc:creator>
  <cp:lastModifiedBy>Jana Flashing</cp:lastModifiedBy>
  <cp:lastPrinted>2017-04-01T18:34:42Z</cp:lastPrinted>
  <dcterms:created xsi:type="dcterms:W3CDTF">2016-04-28T17:47:40Z</dcterms:created>
  <dcterms:modified xsi:type="dcterms:W3CDTF">2026-02-13T15:47:34Z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rmation Classification">
    <vt:lpwstr>Internal </vt:lpwstr>
  </property>
  <property fmtid="{D5CDD505-2E9C-101B-9397-08002B2CF9AE}" pid="3" name="MSIP_Label_6be01c0c-f9b3-4dc4-af0b-a82110cc37cd_Enabled">
    <vt:lpwstr>true</vt:lpwstr>
  </property>
  <property fmtid="{D5CDD505-2E9C-101B-9397-08002B2CF9AE}" pid="4" name="MSIP_Label_6be01c0c-f9b3-4dc4-af0b-a82110cc37cd_SetDate">
    <vt:lpwstr>2022-10-12T17:15:44Z</vt:lpwstr>
  </property>
  <property fmtid="{D5CDD505-2E9C-101B-9397-08002B2CF9AE}" pid="5" name="MSIP_Label_6be01c0c-f9b3-4dc4-af0b-a82110cc37cd_Method">
    <vt:lpwstr>Standard</vt:lpwstr>
  </property>
  <property fmtid="{D5CDD505-2E9C-101B-9397-08002B2CF9AE}" pid="6" name="MSIP_Label_6be01c0c-f9b3-4dc4-af0b-a82110cc37cd_Name">
    <vt:lpwstr>6be01c0c-f9b3-4dc4-af0b-a82110cc37cd</vt:lpwstr>
  </property>
  <property fmtid="{D5CDD505-2E9C-101B-9397-08002B2CF9AE}" pid="7" name="MSIP_Label_6be01c0c-f9b3-4dc4-af0b-a82110cc37cd_SiteId">
    <vt:lpwstr>a1f1e214-7ded-45b6-81a1-9e8ae3459641</vt:lpwstr>
  </property>
  <property fmtid="{D5CDD505-2E9C-101B-9397-08002B2CF9AE}" pid="8" name="MSIP_Label_6be01c0c-f9b3-4dc4-af0b-a82110cc37cd_ContentBits">
    <vt:lpwstr>0</vt:lpwstr>
  </property>
  <property fmtid="{D5CDD505-2E9C-101B-9397-08002B2CF9AE}" pid="9" name="MSIP_Label_defa4170-0d19-0005-0004-bc88714345d2_Enabled">
    <vt:lpwstr>true</vt:lpwstr>
  </property>
  <property fmtid="{D5CDD505-2E9C-101B-9397-08002B2CF9AE}" pid="10" name="MSIP_Label_defa4170-0d19-0005-0004-bc88714345d2_SetDate">
    <vt:lpwstr>2025-08-08T16:21:59Z</vt:lpwstr>
  </property>
  <property fmtid="{D5CDD505-2E9C-101B-9397-08002B2CF9AE}" pid="11" name="MSIP_Label_defa4170-0d19-0005-0004-bc88714345d2_Method">
    <vt:lpwstr>Standard</vt:lpwstr>
  </property>
  <property fmtid="{D5CDD505-2E9C-101B-9397-08002B2CF9AE}" pid="12" name="MSIP_Label_defa4170-0d19-0005-0004-bc88714345d2_Name">
    <vt:lpwstr>defa4170-0d19-0005-0004-bc88714345d2</vt:lpwstr>
  </property>
  <property fmtid="{D5CDD505-2E9C-101B-9397-08002B2CF9AE}" pid="13" name="MSIP_Label_defa4170-0d19-0005-0004-bc88714345d2_SiteId">
    <vt:lpwstr>eb501910-8723-4628-a50d-8c2358301d40</vt:lpwstr>
  </property>
  <property fmtid="{D5CDD505-2E9C-101B-9397-08002B2CF9AE}" pid="14" name="MSIP_Label_defa4170-0d19-0005-0004-bc88714345d2_ActionId">
    <vt:lpwstr>08e2ba9a-5224-4f65-a040-290e34b1accc</vt:lpwstr>
  </property>
  <property fmtid="{D5CDD505-2E9C-101B-9397-08002B2CF9AE}" pid="15" name="MSIP_Label_defa4170-0d19-0005-0004-bc88714345d2_ContentBits">
    <vt:lpwstr>0</vt:lpwstr>
  </property>
  <property fmtid="{D5CDD505-2E9C-101B-9397-08002B2CF9AE}" pid="16" name="MSIP_Label_defa4170-0d19-0005-0004-bc88714345d2_Tag">
    <vt:lpwstr>10, 3, 0, 1</vt:lpwstr>
  </property>
</Properties>
</file>